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LATFORM31\Marketing en Communicatie\Communicatie en Media\Uitgeverij\Archief uitgeverij\300.220 IKC RO\322.001 IKCRO Publieksdiensten 2003-2018\Werkmap Wim\"/>
    </mc:Choice>
  </mc:AlternateContent>
  <workbookProtection workbookPassword="CF00" lockStructure="1"/>
  <bookViews>
    <workbookView xWindow="12585" yWindow="-15" windowWidth="7905" windowHeight="7740" tabRatio="601" activeTab="7"/>
  </bookViews>
  <sheets>
    <sheet name="Dashboard" sheetId="1" r:id="rId1"/>
    <sheet name="Exploitatie" sheetId="2" r:id="rId2"/>
    <sheet name="Resultaat marktwaardering" sheetId="11" r:id="rId3"/>
    <sheet name="Gebiedsindeling" sheetId="5" state="hidden" r:id="rId4"/>
    <sheet name="Hulp - basis" sheetId="4" state="hidden" r:id="rId5"/>
    <sheet name="Invoer gegevens" sheetId="9" state="hidden" r:id="rId6"/>
    <sheet name="Invoer gegevens (N)" sheetId="30" state="hidden" r:id="rId7"/>
    <sheet name="Parameters" sheetId="31" r:id="rId8"/>
    <sheet name="Reeksen" sheetId="3" state="hidden" r:id="rId9"/>
    <sheet name="Reeksen (N)" sheetId="20" state="hidden" r:id="rId10"/>
    <sheet name="Marktwaarde in verhuurde staat" sheetId="12" state="hidden" r:id="rId11"/>
    <sheet name="Marktwaarde in verhuurde st (N)" sheetId="21" state="hidden" r:id="rId12"/>
    <sheet name="Beleidswaarde" sheetId="13" state="hidden" r:id="rId13"/>
    <sheet name="Beleidswaarde (N)" sheetId="22" state="hidden" r:id="rId14"/>
    <sheet name="Bedrijfswaarde" sheetId="14" state="hidden" r:id="rId15"/>
    <sheet name="Bedrijfswaarde (N)" sheetId="23" state="hidden" r:id="rId16"/>
    <sheet name="RW - MW - DE - DE" sheetId="15" state="hidden" r:id="rId17"/>
    <sheet name="RW - MW - DE - DE (N)" sheetId="24" state="hidden" r:id="rId18"/>
    <sheet name="RW - MW - DE - UP" sheetId="16" state="hidden" r:id="rId19"/>
    <sheet name="RW - MW - DE - UP (N)" sheetId="25" state="hidden" r:id="rId20"/>
    <sheet name="RW - MW - UP" sheetId="17" state="hidden" r:id="rId21"/>
    <sheet name="RW - MW - UP (N)" sheetId="28" state="hidden" r:id="rId22"/>
    <sheet name="RW - BW - DE" sheetId="18" state="hidden" r:id="rId23"/>
    <sheet name="RW - BW - DE (N)" sheetId="26" state="hidden" r:id="rId24"/>
    <sheet name="RW - BW - UP" sheetId="19" state="hidden" r:id="rId25"/>
    <sheet name="RW - BW - UP (N)" sheetId="29" state="hidden" r:id="rId26"/>
  </sheets>
  <definedNames>
    <definedName name="COROP">'Hulp - basis'!$A$87:$A$126</definedName>
    <definedName name="GEMEENTE">'Hulp - basis'!$A$155:$A$547</definedName>
    <definedName name="kl_product" localSheetId="15">#REF!</definedName>
    <definedName name="kl_product" localSheetId="13">#REF!</definedName>
    <definedName name="kl_product" localSheetId="6">#REF!</definedName>
    <definedName name="kl_product" localSheetId="11">#REF!</definedName>
    <definedName name="kl_product" localSheetId="9">#REF!</definedName>
    <definedName name="kl_product" localSheetId="23">#REF!</definedName>
    <definedName name="kl_product" localSheetId="25">#REF!</definedName>
    <definedName name="kl_product" localSheetId="17">#REF!</definedName>
    <definedName name="kl_product" localSheetId="19">#REF!</definedName>
    <definedName name="kl_product" localSheetId="21">#REF!</definedName>
    <definedName name="kl_type" localSheetId="15">#REF!</definedName>
    <definedName name="kl_type" localSheetId="13">#REF!</definedName>
    <definedName name="kl_type" localSheetId="6">#REF!</definedName>
    <definedName name="kl_type" localSheetId="11">#REF!</definedName>
    <definedName name="kl_type" localSheetId="9">#REF!</definedName>
    <definedName name="kl_type" localSheetId="23">#REF!</definedName>
    <definedName name="kl_type" localSheetId="25">#REF!</definedName>
    <definedName name="kl_type" localSheetId="17">#REF!</definedName>
    <definedName name="kl_type" localSheetId="19">#REF!</definedName>
    <definedName name="kl_type" localSheetId="21">#REF!</definedName>
  </definedNames>
  <calcPr calcId="171027"/>
</workbook>
</file>

<file path=xl/calcChain.xml><?xml version="1.0" encoding="utf-8"?>
<calcChain xmlns="http://schemas.openxmlformats.org/spreadsheetml/2006/main">
  <c r="C56" i="1" l="1"/>
  <c r="C40" i="1" l="1"/>
  <c r="E56" i="1" l="1"/>
  <c r="D56" i="1"/>
  <c r="K594" i="4" l="1"/>
  <c r="F27" i="30" s="1"/>
  <c r="L594" i="4"/>
  <c r="F28" i="30" s="1"/>
  <c r="J594" i="4"/>
  <c r="F26" i="30" s="1"/>
  <c r="C594" i="4"/>
  <c r="F27" i="9" s="1"/>
  <c r="D594" i="4"/>
  <c r="F28" i="9" s="1"/>
  <c r="B594" i="4"/>
  <c r="F26" i="9" s="1"/>
  <c r="D68" i="1"/>
  <c r="E68" i="1"/>
  <c r="C68" i="1"/>
  <c r="D67" i="1"/>
  <c r="E67" i="1"/>
  <c r="C67" i="1"/>
  <c r="AE7" i="20" l="1"/>
  <c r="AE6" i="20"/>
  <c r="AE5" i="20"/>
  <c r="AE7" i="3"/>
  <c r="AE6" i="3"/>
  <c r="AE5" i="3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7" i="20"/>
  <c r="W6" i="20"/>
  <c r="W5" i="20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7" i="3"/>
  <c r="W6" i="3"/>
  <c r="W5" i="3"/>
  <c r="K9" i="4"/>
  <c r="L9" i="4"/>
  <c r="M9" i="4"/>
  <c r="C9" i="4"/>
  <c r="D9" i="4"/>
  <c r="E9" i="4"/>
  <c r="K6" i="4"/>
  <c r="L6" i="4"/>
  <c r="M6" i="4"/>
  <c r="C6" i="4"/>
  <c r="D6" i="4"/>
  <c r="E6" i="4"/>
  <c r="D22" i="1" l="1"/>
  <c r="C22" i="1"/>
  <c r="C16" i="1"/>
  <c r="E57" i="1"/>
  <c r="C1" i="2" l="1"/>
  <c r="C3" i="2" s="1"/>
  <c r="C62" i="1"/>
  <c r="C50" i="1"/>
  <c r="C54" i="1"/>
  <c r="C58" i="1"/>
  <c r="D58" i="1"/>
  <c r="E58" i="1"/>
  <c r="C18" i="30" l="1"/>
  <c r="C18" i="9"/>
  <c r="B83" i="1"/>
  <c r="C10" i="30"/>
  <c r="B6" i="3" l="1"/>
  <c r="C6" i="3"/>
  <c r="D6" i="3"/>
  <c r="B7" i="3"/>
  <c r="C7" i="3"/>
  <c r="D7" i="3"/>
  <c r="B8" i="3"/>
  <c r="C8" i="3"/>
  <c r="D8" i="3"/>
  <c r="B9" i="3"/>
  <c r="C9" i="3"/>
  <c r="D9" i="3"/>
  <c r="B10" i="3"/>
  <c r="C10" i="3"/>
  <c r="D10" i="3"/>
  <c r="B11" i="3"/>
  <c r="C11" i="3"/>
  <c r="D11" i="3"/>
  <c r="B12" i="3"/>
  <c r="C12" i="3"/>
  <c r="D12" i="3"/>
  <c r="B13" i="3"/>
  <c r="C13" i="3"/>
  <c r="D13" i="3"/>
  <c r="B14" i="3"/>
  <c r="C14" i="3"/>
  <c r="D14" i="3"/>
  <c r="B15" i="3"/>
  <c r="C15" i="3"/>
  <c r="D15" i="3"/>
  <c r="B16" i="3"/>
  <c r="C16" i="3"/>
  <c r="D16" i="3"/>
  <c r="B17" i="3"/>
  <c r="C17" i="3"/>
  <c r="D17" i="3"/>
  <c r="B18" i="3"/>
  <c r="C18" i="3"/>
  <c r="D18" i="3"/>
  <c r="B19" i="3"/>
  <c r="C19" i="3"/>
  <c r="D19" i="3"/>
  <c r="B20" i="3"/>
  <c r="C20" i="3"/>
  <c r="D20" i="3"/>
  <c r="B21" i="3"/>
  <c r="C21" i="3"/>
  <c r="D21" i="3"/>
  <c r="B22" i="3"/>
  <c r="C22" i="3"/>
  <c r="D22" i="3"/>
  <c r="B23" i="3"/>
  <c r="C23" i="3"/>
  <c r="D23" i="3"/>
  <c r="B24" i="3"/>
  <c r="C24" i="3"/>
  <c r="D24" i="3"/>
  <c r="B25" i="3"/>
  <c r="C25" i="3"/>
  <c r="D25" i="3"/>
  <c r="B26" i="3"/>
  <c r="C26" i="3"/>
  <c r="D26" i="3"/>
  <c r="B27" i="3"/>
  <c r="C27" i="3"/>
  <c r="D27" i="3"/>
  <c r="B28" i="3"/>
  <c r="C28" i="3"/>
  <c r="D28" i="3"/>
  <c r="B29" i="3"/>
  <c r="C29" i="3"/>
  <c r="D29" i="3"/>
  <c r="B30" i="3"/>
  <c r="C30" i="3"/>
  <c r="D30" i="3"/>
  <c r="B31" i="3"/>
  <c r="C31" i="3"/>
  <c r="D31" i="3"/>
  <c r="B32" i="3"/>
  <c r="C32" i="3"/>
  <c r="D32" i="3"/>
  <c r="B33" i="3"/>
  <c r="C33" i="3"/>
  <c r="D33" i="3"/>
  <c r="B34" i="3"/>
  <c r="C34" i="3"/>
  <c r="D34" i="3"/>
  <c r="B35" i="3"/>
  <c r="C35" i="3"/>
  <c r="D35" i="3"/>
  <c r="B36" i="3"/>
  <c r="C36" i="3"/>
  <c r="D36" i="3"/>
  <c r="B37" i="3"/>
  <c r="C37" i="3"/>
  <c r="D37" i="3"/>
  <c r="B38" i="3"/>
  <c r="C38" i="3"/>
  <c r="D38" i="3"/>
  <c r="B39" i="3"/>
  <c r="C39" i="3"/>
  <c r="D39" i="3"/>
  <c r="B40" i="3"/>
  <c r="C40" i="3"/>
  <c r="D40" i="3"/>
  <c r="B41" i="3"/>
  <c r="C41" i="3"/>
  <c r="D41" i="3"/>
  <c r="B42" i="3"/>
  <c r="C42" i="3"/>
  <c r="D42" i="3"/>
  <c r="B43" i="3"/>
  <c r="C43" i="3"/>
  <c r="D43" i="3"/>
  <c r="B44" i="3"/>
  <c r="C44" i="3"/>
  <c r="D44" i="3"/>
  <c r="B45" i="3"/>
  <c r="C45" i="3"/>
  <c r="D45" i="3"/>
  <c r="B46" i="3"/>
  <c r="C46" i="3"/>
  <c r="D46" i="3"/>
  <c r="B47" i="3"/>
  <c r="C47" i="3"/>
  <c r="D47" i="3"/>
  <c r="B48" i="3"/>
  <c r="C48" i="3"/>
  <c r="D48" i="3"/>
  <c r="B49" i="3"/>
  <c r="C49" i="3"/>
  <c r="D49" i="3"/>
  <c r="B50" i="3"/>
  <c r="C50" i="3"/>
  <c r="D50" i="3"/>
  <c r="B51" i="3"/>
  <c r="C51" i="3"/>
  <c r="D51" i="3"/>
  <c r="B52" i="3"/>
  <c r="C52" i="3"/>
  <c r="D52" i="3"/>
  <c r="B53" i="3"/>
  <c r="C53" i="3"/>
  <c r="D53" i="3"/>
  <c r="B54" i="3"/>
  <c r="C54" i="3"/>
  <c r="D54" i="3"/>
  <c r="B55" i="3"/>
  <c r="C55" i="3"/>
  <c r="D55" i="3"/>
  <c r="B56" i="3"/>
  <c r="C56" i="3"/>
  <c r="D56" i="3"/>
  <c r="B57" i="3"/>
  <c r="C57" i="3"/>
  <c r="D57" i="3"/>
  <c r="B58" i="3"/>
  <c r="C58" i="3"/>
  <c r="D58" i="3"/>
  <c r="B59" i="3"/>
  <c r="C59" i="3"/>
  <c r="D59" i="3"/>
  <c r="B60" i="3"/>
  <c r="C60" i="3"/>
  <c r="D60" i="3"/>
  <c r="B61" i="3"/>
  <c r="C61" i="3"/>
  <c r="D61" i="3"/>
  <c r="B62" i="3"/>
  <c r="C62" i="3"/>
  <c r="D62" i="3"/>
  <c r="B63" i="3"/>
  <c r="C63" i="3"/>
  <c r="D63" i="3"/>
  <c r="B64" i="3"/>
  <c r="C64" i="3"/>
  <c r="D64" i="3"/>
  <c r="B65" i="3"/>
  <c r="C65" i="3"/>
  <c r="D65" i="3"/>
  <c r="B66" i="3"/>
  <c r="C66" i="3"/>
  <c r="D66" i="3"/>
  <c r="B67" i="3"/>
  <c r="C67" i="3"/>
  <c r="D67" i="3"/>
  <c r="B68" i="3"/>
  <c r="C68" i="3"/>
  <c r="D68" i="3"/>
  <c r="B69" i="3"/>
  <c r="C69" i="3"/>
  <c r="D69" i="3"/>
  <c r="B70" i="3"/>
  <c r="C70" i="3"/>
  <c r="D70" i="3"/>
  <c r="B71" i="3"/>
  <c r="C71" i="3"/>
  <c r="D71" i="3"/>
  <c r="B72" i="3"/>
  <c r="C72" i="3"/>
  <c r="D72" i="3"/>
  <c r="B73" i="3"/>
  <c r="C73" i="3"/>
  <c r="D73" i="3"/>
  <c r="B74" i="3"/>
  <c r="C74" i="3"/>
  <c r="D74" i="3"/>
  <c r="B75" i="3"/>
  <c r="C75" i="3"/>
  <c r="D75" i="3"/>
  <c r="B76" i="3"/>
  <c r="C76" i="3"/>
  <c r="D76" i="3"/>
  <c r="B77" i="3"/>
  <c r="C77" i="3"/>
  <c r="D77" i="3"/>
  <c r="B78" i="3"/>
  <c r="C78" i="3"/>
  <c r="D78" i="3"/>
  <c r="B79" i="3"/>
  <c r="C79" i="3"/>
  <c r="D79" i="3"/>
  <c r="B80" i="3"/>
  <c r="C80" i="3"/>
  <c r="D80" i="3"/>
  <c r="B81" i="3"/>
  <c r="C81" i="3"/>
  <c r="D81" i="3"/>
  <c r="B82" i="3"/>
  <c r="C82" i="3"/>
  <c r="D82" i="3"/>
  <c r="B83" i="3"/>
  <c r="C83" i="3"/>
  <c r="D83" i="3"/>
  <c r="B84" i="3"/>
  <c r="C84" i="3"/>
  <c r="D84" i="3"/>
  <c r="B85" i="3"/>
  <c r="C85" i="3"/>
  <c r="D85" i="3"/>
  <c r="B86" i="3"/>
  <c r="C86" i="3"/>
  <c r="D86" i="3"/>
  <c r="B87" i="3"/>
  <c r="C87" i="3"/>
  <c r="D87" i="3"/>
  <c r="B88" i="3"/>
  <c r="C88" i="3"/>
  <c r="D88" i="3"/>
  <c r="B89" i="3"/>
  <c r="C89" i="3"/>
  <c r="D89" i="3"/>
  <c r="B90" i="3"/>
  <c r="C90" i="3"/>
  <c r="D90" i="3"/>
  <c r="B91" i="3"/>
  <c r="C91" i="3"/>
  <c r="D91" i="3"/>
  <c r="B92" i="3"/>
  <c r="C92" i="3"/>
  <c r="D92" i="3"/>
  <c r="B93" i="3"/>
  <c r="C93" i="3"/>
  <c r="D93" i="3"/>
  <c r="B94" i="3"/>
  <c r="C94" i="3"/>
  <c r="D94" i="3"/>
  <c r="B95" i="3"/>
  <c r="C95" i="3"/>
  <c r="D95" i="3"/>
  <c r="B96" i="3"/>
  <c r="C96" i="3"/>
  <c r="D96" i="3"/>
  <c r="B97" i="3"/>
  <c r="C97" i="3"/>
  <c r="D97" i="3"/>
  <c r="B98" i="3"/>
  <c r="C98" i="3"/>
  <c r="D98" i="3"/>
  <c r="B99" i="3"/>
  <c r="C99" i="3"/>
  <c r="D99" i="3"/>
  <c r="B100" i="3"/>
  <c r="C100" i="3"/>
  <c r="D100" i="3"/>
  <c r="B101" i="3"/>
  <c r="C101" i="3"/>
  <c r="D101" i="3"/>
  <c r="B102" i="3"/>
  <c r="C102" i="3"/>
  <c r="D102" i="3"/>
  <c r="B103" i="3"/>
  <c r="C103" i="3"/>
  <c r="D103" i="3"/>
  <c r="B104" i="3"/>
  <c r="C104" i="3"/>
  <c r="D104" i="3"/>
  <c r="B105" i="3"/>
  <c r="C105" i="3"/>
  <c r="D105" i="3"/>
  <c r="B106" i="3"/>
  <c r="C106" i="3"/>
  <c r="D106" i="3"/>
  <c r="B107" i="3"/>
  <c r="C107" i="3"/>
  <c r="D107" i="3"/>
  <c r="B108" i="3"/>
  <c r="C108" i="3"/>
  <c r="D108" i="3"/>
  <c r="B109" i="3"/>
  <c r="C109" i="3"/>
  <c r="D109" i="3"/>
  <c r="B110" i="3"/>
  <c r="C110" i="3"/>
  <c r="D110" i="3"/>
  <c r="B111" i="3"/>
  <c r="C111" i="3"/>
  <c r="D111" i="3"/>
  <c r="B112" i="3"/>
  <c r="C112" i="3"/>
  <c r="D112" i="3"/>
  <c r="B113" i="3"/>
  <c r="C113" i="3"/>
  <c r="D113" i="3"/>
  <c r="B114" i="3"/>
  <c r="C114" i="3"/>
  <c r="D114" i="3"/>
  <c r="B115" i="3"/>
  <c r="C115" i="3"/>
  <c r="D115" i="3"/>
  <c r="B116" i="3"/>
  <c r="C116" i="3"/>
  <c r="D116" i="3"/>
  <c r="B117" i="3"/>
  <c r="C117" i="3"/>
  <c r="D117" i="3"/>
  <c r="B118" i="3"/>
  <c r="C118" i="3"/>
  <c r="D118" i="3"/>
  <c r="B119" i="3"/>
  <c r="C119" i="3"/>
  <c r="D119" i="3"/>
  <c r="B120" i="3"/>
  <c r="C120" i="3"/>
  <c r="D120" i="3"/>
  <c r="B121" i="3"/>
  <c r="C121" i="3"/>
  <c r="D121" i="3"/>
  <c r="B122" i="3"/>
  <c r="C122" i="3"/>
  <c r="D122" i="3"/>
  <c r="B123" i="3"/>
  <c r="C123" i="3"/>
  <c r="D123" i="3"/>
  <c r="B124" i="3"/>
  <c r="C124" i="3"/>
  <c r="D124" i="3"/>
  <c r="B125" i="3"/>
  <c r="C125" i="3"/>
  <c r="D125" i="3"/>
  <c r="B126" i="3"/>
  <c r="C126" i="3"/>
  <c r="D126" i="3"/>
  <c r="B127" i="3"/>
  <c r="C127" i="3"/>
  <c r="D127" i="3"/>
  <c r="B128" i="3"/>
  <c r="C128" i="3"/>
  <c r="D128" i="3"/>
  <c r="B129" i="3"/>
  <c r="C129" i="3"/>
  <c r="D129" i="3"/>
  <c r="B130" i="3"/>
  <c r="C130" i="3"/>
  <c r="D130" i="3"/>
  <c r="B131" i="3"/>
  <c r="C131" i="3"/>
  <c r="D131" i="3"/>
  <c r="B132" i="3"/>
  <c r="C132" i="3"/>
  <c r="D132" i="3"/>
  <c r="B133" i="3"/>
  <c r="C133" i="3"/>
  <c r="D133" i="3"/>
  <c r="B134" i="3"/>
  <c r="C134" i="3"/>
  <c r="D134" i="3"/>
  <c r="B135" i="3"/>
  <c r="C135" i="3"/>
  <c r="D135" i="3"/>
  <c r="B136" i="3"/>
  <c r="C136" i="3"/>
  <c r="D136" i="3"/>
  <c r="B137" i="3"/>
  <c r="C137" i="3"/>
  <c r="D137" i="3"/>
  <c r="B138" i="3"/>
  <c r="C138" i="3"/>
  <c r="D138" i="3"/>
  <c r="B139" i="3"/>
  <c r="C139" i="3"/>
  <c r="D139" i="3"/>
  <c r="B140" i="3"/>
  <c r="C140" i="3"/>
  <c r="D140" i="3"/>
  <c r="B141" i="3"/>
  <c r="C141" i="3"/>
  <c r="D141" i="3"/>
  <c r="B142" i="3"/>
  <c r="C142" i="3"/>
  <c r="D142" i="3"/>
  <c r="B143" i="3"/>
  <c r="C143" i="3"/>
  <c r="D143" i="3"/>
  <c r="B144" i="3"/>
  <c r="C144" i="3"/>
  <c r="D144" i="3"/>
  <c r="B145" i="3"/>
  <c r="C145" i="3"/>
  <c r="D145" i="3"/>
  <c r="B146" i="3"/>
  <c r="C146" i="3"/>
  <c r="D146" i="3"/>
  <c r="B147" i="3"/>
  <c r="C147" i="3"/>
  <c r="D147" i="3"/>
  <c r="B148" i="3"/>
  <c r="C148" i="3"/>
  <c r="D148" i="3"/>
  <c r="B149" i="3"/>
  <c r="C149" i="3"/>
  <c r="D149" i="3"/>
  <c r="B150" i="3"/>
  <c r="C150" i="3"/>
  <c r="D150" i="3"/>
  <c r="B151" i="3"/>
  <c r="C151" i="3"/>
  <c r="D151" i="3"/>
  <c r="B152" i="3"/>
  <c r="C152" i="3"/>
  <c r="D152" i="3"/>
  <c r="B153" i="3"/>
  <c r="C153" i="3"/>
  <c r="D153" i="3"/>
  <c r="B154" i="3"/>
  <c r="C154" i="3"/>
  <c r="D154" i="3"/>
  <c r="B155" i="3"/>
  <c r="C155" i="3"/>
  <c r="D155" i="3"/>
  <c r="B156" i="3"/>
  <c r="C156" i="3"/>
  <c r="D156" i="3"/>
  <c r="B157" i="3"/>
  <c r="C157" i="3"/>
  <c r="D157" i="3"/>
  <c r="B158" i="3"/>
  <c r="C158" i="3"/>
  <c r="D158" i="3"/>
  <c r="B159" i="3"/>
  <c r="C159" i="3"/>
  <c r="D159" i="3"/>
  <c r="B160" i="3"/>
  <c r="C160" i="3"/>
  <c r="D160" i="3"/>
  <c r="B161" i="3"/>
  <c r="C161" i="3"/>
  <c r="D161" i="3"/>
  <c r="B162" i="3"/>
  <c r="C162" i="3"/>
  <c r="D162" i="3"/>
  <c r="B163" i="3"/>
  <c r="C163" i="3"/>
  <c r="D163" i="3"/>
  <c r="B164" i="3"/>
  <c r="C164" i="3"/>
  <c r="D164" i="3"/>
  <c r="B165" i="3"/>
  <c r="C165" i="3"/>
  <c r="D165" i="3"/>
  <c r="B166" i="3"/>
  <c r="C166" i="3"/>
  <c r="D166" i="3"/>
  <c r="B167" i="3"/>
  <c r="C167" i="3"/>
  <c r="D167" i="3"/>
  <c r="B168" i="3"/>
  <c r="C168" i="3"/>
  <c r="D168" i="3"/>
  <c r="B169" i="3"/>
  <c r="C169" i="3"/>
  <c r="D169" i="3"/>
  <c r="B170" i="3"/>
  <c r="C170" i="3"/>
  <c r="D170" i="3"/>
  <c r="B171" i="3"/>
  <c r="C171" i="3"/>
  <c r="D171" i="3"/>
  <c r="B172" i="3"/>
  <c r="C172" i="3"/>
  <c r="D172" i="3"/>
  <c r="B173" i="3"/>
  <c r="C173" i="3"/>
  <c r="D173" i="3"/>
  <c r="B174" i="3"/>
  <c r="C174" i="3"/>
  <c r="D174" i="3"/>
  <c r="B175" i="3"/>
  <c r="C175" i="3"/>
  <c r="D175" i="3"/>
  <c r="B176" i="3"/>
  <c r="C176" i="3"/>
  <c r="D176" i="3"/>
  <c r="B177" i="3"/>
  <c r="C177" i="3"/>
  <c r="D177" i="3"/>
  <c r="B178" i="3"/>
  <c r="C178" i="3"/>
  <c r="D178" i="3"/>
  <c r="B179" i="3"/>
  <c r="C179" i="3"/>
  <c r="D179" i="3"/>
  <c r="B180" i="3"/>
  <c r="C180" i="3"/>
  <c r="D180" i="3"/>
  <c r="B181" i="3"/>
  <c r="C181" i="3"/>
  <c r="D181" i="3"/>
  <c r="B182" i="3"/>
  <c r="C182" i="3"/>
  <c r="D182" i="3"/>
  <c r="B183" i="3"/>
  <c r="C183" i="3"/>
  <c r="D183" i="3"/>
  <c r="B184" i="3"/>
  <c r="C184" i="3"/>
  <c r="D184" i="3"/>
  <c r="B185" i="3"/>
  <c r="C185" i="3"/>
  <c r="D185" i="3"/>
  <c r="B186" i="3"/>
  <c r="C186" i="3"/>
  <c r="D186" i="3"/>
  <c r="B187" i="3"/>
  <c r="C187" i="3"/>
  <c r="D187" i="3"/>
  <c r="B188" i="3"/>
  <c r="C188" i="3"/>
  <c r="D188" i="3"/>
  <c r="B189" i="3"/>
  <c r="C189" i="3"/>
  <c r="D189" i="3"/>
  <c r="B190" i="3"/>
  <c r="C190" i="3"/>
  <c r="D190" i="3"/>
  <c r="B191" i="3"/>
  <c r="C191" i="3"/>
  <c r="D191" i="3"/>
  <c r="B192" i="3"/>
  <c r="C192" i="3"/>
  <c r="D192" i="3"/>
  <c r="B193" i="3"/>
  <c r="C193" i="3"/>
  <c r="D193" i="3"/>
  <c r="B194" i="3"/>
  <c r="C194" i="3"/>
  <c r="D194" i="3"/>
  <c r="B195" i="3"/>
  <c r="C195" i="3"/>
  <c r="D195" i="3"/>
  <c r="B196" i="3"/>
  <c r="C196" i="3"/>
  <c r="D196" i="3"/>
  <c r="B197" i="3"/>
  <c r="C197" i="3"/>
  <c r="D197" i="3"/>
  <c r="B198" i="3"/>
  <c r="C198" i="3"/>
  <c r="D198" i="3"/>
  <c r="B199" i="3"/>
  <c r="C199" i="3"/>
  <c r="D199" i="3"/>
  <c r="B200" i="3"/>
  <c r="C200" i="3"/>
  <c r="D200" i="3"/>
  <c r="B201" i="3"/>
  <c r="C201" i="3"/>
  <c r="D201" i="3"/>
  <c r="B202" i="3"/>
  <c r="C202" i="3"/>
  <c r="D202" i="3"/>
  <c r="B203" i="3"/>
  <c r="C203" i="3"/>
  <c r="D203" i="3"/>
  <c r="B204" i="3"/>
  <c r="C204" i="3"/>
  <c r="D204" i="3"/>
  <c r="B205" i="3"/>
  <c r="C205" i="3"/>
  <c r="D205" i="3"/>
  <c r="B206" i="3"/>
  <c r="C206" i="3"/>
  <c r="D206" i="3"/>
  <c r="B207" i="3"/>
  <c r="C207" i="3"/>
  <c r="D207" i="3"/>
  <c r="B208" i="3"/>
  <c r="C208" i="3"/>
  <c r="D208" i="3"/>
  <c r="B209" i="3"/>
  <c r="C209" i="3"/>
  <c r="D209" i="3"/>
  <c r="B210" i="3"/>
  <c r="C210" i="3"/>
  <c r="D210" i="3"/>
  <c r="B211" i="3"/>
  <c r="C211" i="3"/>
  <c r="D211" i="3"/>
  <c r="B212" i="3"/>
  <c r="C212" i="3"/>
  <c r="D212" i="3"/>
  <c r="B213" i="3"/>
  <c r="C213" i="3"/>
  <c r="D213" i="3"/>
  <c r="B214" i="3"/>
  <c r="C214" i="3"/>
  <c r="D214" i="3"/>
  <c r="B215" i="3"/>
  <c r="C215" i="3"/>
  <c r="D215" i="3"/>
  <c r="B216" i="3"/>
  <c r="C216" i="3"/>
  <c r="D216" i="3"/>
  <c r="B217" i="3"/>
  <c r="C217" i="3"/>
  <c r="D217" i="3"/>
  <c r="B218" i="3"/>
  <c r="C218" i="3"/>
  <c r="D218" i="3"/>
  <c r="B219" i="3"/>
  <c r="C219" i="3"/>
  <c r="D219" i="3"/>
  <c r="B220" i="3"/>
  <c r="C220" i="3"/>
  <c r="D220" i="3"/>
  <c r="B221" i="3"/>
  <c r="C221" i="3"/>
  <c r="D221" i="3"/>
  <c r="B222" i="3"/>
  <c r="C222" i="3"/>
  <c r="D222" i="3"/>
  <c r="B223" i="3"/>
  <c r="C223" i="3"/>
  <c r="D223" i="3"/>
  <c r="B224" i="3"/>
  <c r="C224" i="3"/>
  <c r="D224" i="3"/>
  <c r="B225" i="3"/>
  <c r="C225" i="3"/>
  <c r="D225" i="3"/>
  <c r="B226" i="3"/>
  <c r="C226" i="3"/>
  <c r="D226" i="3"/>
  <c r="B227" i="3"/>
  <c r="C227" i="3"/>
  <c r="D227" i="3"/>
  <c r="B228" i="3"/>
  <c r="C228" i="3"/>
  <c r="D228" i="3"/>
  <c r="B229" i="3"/>
  <c r="C229" i="3"/>
  <c r="D229" i="3"/>
  <c r="B230" i="3"/>
  <c r="C230" i="3"/>
  <c r="D230" i="3"/>
  <c r="B231" i="3"/>
  <c r="C231" i="3"/>
  <c r="D231" i="3"/>
  <c r="B232" i="3"/>
  <c r="C232" i="3"/>
  <c r="D232" i="3"/>
  <c r="B233" i="3"/>
  <c r="C233" i="3"/>
  <c r="D233" i="3"/>
  <c r="B234" i="3"/>
  <c r="C234" i="3"/>
  <c r="D234" i="3"/>
  <c r="C5" i="3"/>
  <c r="D5" i="3"/>
  <c r="B5" i="3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5" i="20"/>
  <c r="B6" i="20"/>
  <c r="D6" i="20" s="1"/>
  <c r="B7" i="20"/>
  <c r="D7" i="20" s="1"/>
  <c r="B8" i="20"/>
  <c r="D8" i="20" s="1"/>
  <c r="B9" i="20"/>
  <c r="D9" i="20" s="1"/>
  <c r="B10" i="20"/>
  <c r="D10" i="20" s="1"/>
  <c r="B11" i="20"/>
  <c r="D11" i="20" s="1"/>
  <c r="B12" i="20"/>
  <c r="D12" i="20" s="1"/>
  <c r="B13" i="20"/>
  <c r="D13" i="20" s="1"/>
  <c r="B14" i="20"/>
  <c r="D14" i="20" s="1"/>
  <c r="B15" i="20"/>
  <c r="D15" i="20" s="1"/>
  <c r="B16" i="20"/>
  <c r="D16" i="20" s="1"/>
  <c r="B17" i="20"/>
  <c r="D17" i="20" s="1"/>
  <c r="B18" i="20"/>
  <c r="D18" i="20" s="1"/>
  <c r="B19" i="20"/>
  <c r="D19" i="20" s="1"/>
  <c r="B20" i="20"/>
  <c r="D20" i="20" s="1"/>
  <c r="B21" i="20"/>
  <c r="D21" i="20" s="1"/>
  <c r="B22" i="20"/>
  <c r="D22" i="20" s="1"/>
  <c r="B23" i="20"/>
  <c r="D23" i="20" s="1"/>
  <c r="B24" i="20"/>
  <c r="D24" i="20" s="1"/>
  <c r="B25" i="20"/>
  <c r="D25" i="20" s="1"/>
  <c r="B26" i="20"/>
  <c r="D26" i="20" s="1"/>
  <c r="B27" i="20"/>
  <c r="D27" i="20" s="1"/>
  <c r="B28" i="20"/>
  <c r="D28" i="20" s="1"/>
  <c r="B29" i="20"/>
  <c r="D29" i="20" s="1"/>
  <c r="B30" i="20"/>
  <c r="D30" i="20" s="1"/>
  <c r="B31" i="20"/>
  <c r="D31" i="20" s="1"/>
  <c r="B32" i="20"/>
  <c r="D32" i="20" s="1"/>
  <c r="B33" i="20"/>
  <c r="D33" i="20" s="1"/>
  <c r="B34" i="20"/>
  <c r="D34" i="20" s="1"/>
  <c r="B35" i="20"/>
  <c r="D35" i="20" s="1"/>
  <c r="B36" i="20"/>
  <c r="D36" i="20" s="1"/>
  <c r="B37" i="20"/>
  <c r="D37" i="20" s="1"/>
  <c r="B38" i="20"/>
  <c r="D38" i="20" s="1"/>
  <c r="B39" i="20"/>
  <c r="D39" i="20" s="1"/>
  <c r="B40" i="20"/>
  <c r="D40" i="20" s="1"/>
  <c r="B41" i="20"/>
  <c r="D41" i="20" s="1"/>
  <c r="B42" i="20"/>
  <c r="D42" i="20" s="1"/>
  <c r="B43" i="20"/>
  <c r="D43" i="20" s="1"/>
  <c r="B44" i="20"/>
  <c r="D44" i="20" s="1"/>
  <c r="B45" i="20"/>
  <c r="D45" i="20" s="1"/>
  <c r="B46" i="20"/>
  <c r="D46" i="20" s="1"/>
  <c r="B47" i="20"/>
  <c r="D47" i="20" s="1"/>
  <c r="B48" i="20"/>
  <c r="D48" i="20" s="1"/>
  <c r="B49" i="20"/>
  <c r="D49" i="20" s="1"/>
  <c r="B50" i="20"/>
  <c r="D50" i="20" s="1"/>
  <c r="B51" i="20"/>
  <c r="D51" i="20" s="1"/>
  <c r="B52" i="20"/>
  <c r="D52" i="20" s="1"/>
  <c r="B53" i="20"/>
  <c r="D53" i="20" s="1"/>
  <c r="B54" i="20"/>
  <c r="D54" i="20" s="1"/>
  <c r="B55" i="20"/>
  <c r="D55" i="20" s="1"/>
  <c r="B56" i="20"/>
  <c r="D56" i="20" s="1"/>
  <c r="B57" i="20"/>
  <c r="D57" i="20" s="1"/>
  <c r="B58" i="20"/>
  <c r="D58" i="20" s="1"/>
  <c r="B59" i="20"/>
  <c r="D59" i="20" s="1"/>
  <c r="B60" i="20"/>
  <c r="D60" i="20" s="1"/>
  <c r="B61" i="20"/>
  <c r="D61" i="20" s="1"/>
  <c r="B62" i="20"/>
  <c r="D62" i="20" s="1"/>
  <c r="B63" i="20"/>
  <c r="D63" i="20" s="1"/>
  <c r="B64" i="20"/>
  <c r="D64" i="20" s="1"/>
  <c r="B65" i="20"/>
  <c r="D65" i="20" s="1"/>
  <c r="B66" i="20"/>
  <c r="D66" i="20" s="1"/>
  <c r="B67" i="20"/>
  <c r="D67" i="20" s="1"/>
  <c r="B68" i="20"/>
  <c r="D68" i="20" s="1"/>
  <c r="B69" i="20"/>
  <c r="D69" i="20" s="1"/>
  <c r="B70" i="20"/>
  <c r="D70" i="20" s="1"/>
  <c r="B71" i="20"/>
  <c r="D71" i="20" s="1"/>
  <c r="B72" i="20"/>
  <c r="D72" i="20" s="1"/>
  <c r="B73" i="20"/>
  <c r="D73" i="20" s="1"/>
  <c r="B74" i="20"/>
  <c r="D74" i="20" s="1"/>
  <c r="B75" i="20"/>
  <c r="D75" i="20" s="1"/>
  <c r="B76" i="20"/>
  <c r="D76" i="20" s="1"/>
  <c r="B77" i="20"/>
  <c r="D77" i="20" s="1"/>
  <c r="B78" i="20"/>
  <c r="D78" i="20" s="1"/>
  <c r="B79" i="20"/>
  <c r="D79" i="20" s="1"/>
  <c r="B80" i="20"/>
  <c r="D80" i="20" s="1"/>
  <c r="B81" i="20"/>
  <c r="D81" i="20" s="1"/>
  <c r="B82" i="20"/>
  <c r="D82" i="20" s="1"/>
  <c r="B83" i="20"/>
  <c r="D83" i="20" s="1"/>
  <c r="B84" i="20"/>
  <c r="D84" i="20" s="1"/>
  <c r="B85" i="20"/>
  <c r="D85" i="20" s="1"/>
  <c r="B86" i="20"/>
  <c r="D86" i="20" s="1"/>
  <c r="B87" i="20"/>
  <c r="D87" i="20" s="1"/>
  <c r="B88" i="20"/>
  <c r="D88" i="20" s="1"/>
  <c r="B89" i="20"/>
  <c r="D89" i="20" s="1"/>
  <c r="B90" i="20"/>
  <c r="D90" i="20" s="1"/>
  <c r="B91" i="20"/>
  <c r="D91" i="20" s="1"/>
  <c r="B92" i="20"/>
  <c r="D92" i="20" s="1"/>
  <c r="B93" i="20"/>
  <c r="D93" i="20" s="1"/>
  <c r="B94" i="20"/>
  <c r="D94" i="20" s="1"/>
  <c r="B95" i="20"/>
  <c r="D95" i="20" s="1"/>
  <c r="B96" i="20"/>
  <c r="D96" i="20" s="1"/>
  <c r="B97" i="20"/>
  <c r="D97" i="20" s="1"/>
  <c r="B98" i="20"/>
  <c r="D98" i="20" s="1"/>
  <c r="B99" i="20"/>
  <c r="D99" i="20" s="1"/>
  <c r="B100" i="20"/>
  <c r="D100" i="20" s="1"/>
  <c r="B101" i="20"/>
  <c r="D101" i="20" s="1"/>
  <c r="B102" i="20"/>
  <c r="D102" i="20" s="1"/>
  <c r="B103" i="20"/>
  <c r="D103" i="20" s="1"/>
  <c r="B104" i="20"/>
  <c r="D104" i="20" s="1"/>
  <c r="B105" i="20"/>
  <c r="D105" i="20" s="1"/>
  <c r="B106" i="20"/>
  <c r="D106" i="20" s="1"/>
  <c r="B107" i="20"/>
  <c r="D107" i="20" s="1"/>
  <c r="B108" i="20"/>
  <c r="D108" i="20" s="1"/>
  <c r="B109" i="20"/>
  <c r="D109" i="20" s="1"/>
  <c r="B110" i="20"/>
  <c r="D110" i="20" s="1"/>
  <c r="B111" i="20"/>
  <c r="D111" i="20" s="1"/>
  <c r="B112" i="20"/>
  <c r="D112" i="20" s="1"/>
  <c r="B113" i="20"/>
  <c r="D113" i="20" s="1"/>
  <c r="B114" i="20"/>
  <c r="D114" i="20" s="1"/>
  <c r="B115" i="20"/>
  <c r="D115" i="20" s="1"/>
  <c r="B116" i="20"/>
  <c r="D116" i="20" s="1"/>
  <c r="B117" i="20"/>
  <c r="D117" i="20" s="1"/>
  <c r="B118" i="20"/>
  <c r="D118" i="20" s="1"/>
  <c r="B119" i="20"/>
  <c r="D119" i="20" s="1"/>
  <c r="B120" i="20"/>
  <c r="D120" i="20" s="1"/>
  <c r="B121" i="20"/>
  <c r="D121" i="20" s="1"/>
  <c r="B122" i="20"/>
  <c r="D122" i="20" s="1"/>
  <c r="B123" i="20"/>
  <c r="D123" i="20" s="1"/>
  <c r="B124" i="20"/>
  <c r="D124" i="20" s="1"/>
  <c r="B125" i="20"/>
  <c r="D125" i="20" s="1"/>
  <c r="B126" i="20"/>
  <c r="D126" i="20" s="1"/>
  <c r="B127" i="20"/>
  <c r="D127" i="20" s="1"/>
  <c r="B128" i="20"/>
  <c r="D128" i="20" s="1"/>
  <c r="B129" i="20"/>
  <c r="D129" i="20" s="1"/>
  <c r="B130" i="20"/>
  <c r="D130" i="20" s="1"/>
  <c r="B131" i="20"/>
  <c r="D131" i="20" s="1"/>
  <c r="B132" i="20"/>
  <c r="D132" i="20" s="1"/>
  <c r="B133" i="20"/>
  <c r="D133" i="20" s="1"/>
  <c r="B134" i="20"/>
  <c r="D134" i="20" s="1"/>
  <c r="B135" i="20"/>
  <c r="D135" i="20" s="1"/>
  <c r="B136" i="20"/>
  <c r="D136" i="20" s="1"/>
  <c r="B137" i="20"/>
  <c r="D137" i="20" s="1"/>
  <c r="B138" i="20"/>
  <c r="D138" i="20" s="1"/>
  <c r="B139" i="20"/>
  <c r="D139" i="20" s="1"/>
  <c r="B140" i="20"/>
  <c r="D140" i="20" s="1"/>
  <c r="B141" i="20"/>
  <c r="D141" i="20" s="1"/>
  <c r="B142" i="20"/>
  <c r="D142" i="20" s="1"/>
  <c r="B143" i="20"/>
  <c r="D143" i="20" s="1"/>
  <c r="B144" i="20"/>
  <c r="D144" i="20" s="1"/>
  <c r="B145" i="20"/>
  <c r="D145" i="20" s="1"/>
  <c r="B146" i="20"/>
  <c r="D146" i="20" s="1"/>
  <c r="B147" i="20"/>
  <c r="D147" i="20" s="1"/>
  <c r="B148" i="20"/>
  <c r="D148" i="20" s="1"/>
  <c r="B149" i="20"/>
  <c r="D149" i="20" s="1"/>
  <c r="B150" i="20"/>
  <c r="D150" i="20" s="1"/>
  <c r="B151" i="20"/>
  <c r="D151" i="20" s="1"/>
  <c r="B152" i="20"/>
  <c r="D152" i="20" s="1"/>
  <c r="B153" i="20"/>
  <c r="D153" i="20" s="1"/>
  <c r="B154" i="20"/>
  <c r="D154" i="20" s="1"/>
  <c r="B155" i="20"/>
  <c r="D155" i="20" s="1"/>
  <c r="B156" i="20"/>
  <c r="D156" i="20" s="1"/>
  <c r="B157" i="20"/>
  <c r="D157" i="20" s="1"/>
  <c r="B158" i="20"/>
  <c r="D158" i="20" s="1"/>
  <c r="B159" i="20"/>
  <c r="D159" i="20" s="1"/>
  <c r="B160" i="20"/>
  <c r="D160" i="20" s="1"/>
  <c r="B161" i="20"/>
  <c r="D161" i="20" s="1"/>
  <c r="B162" i="20"/>
  <c r="D162" i="20" s="1"/>
  <c r="B163" i="20"/>
  <c r="D163" i="20" s="1"/>
  <c r="B164" i="20"/>
  <c r="D164" i="20" s="1"/>
  <c r="B165" i="20"/>
  <c r="D165" i="20" s="1"/>
  <c r="B166" i="20"/>
  <c r="D166" i="20" s="1"/>
  <c r="B167" i="20"/>
  <c r="D167" i="20" s="1"/>
  <c r="B168" i="20"/>
  <c r="D168" i="20" s="1"/>
  <c r="B169" i="20"/>
  <c r="D169" i="20" s="1"/>
  <c r="B170" i="20"/>
  <c r="D170" i="20" s="1"/>
  <c r="B171" i="20"/>
  <c r="D171" i="20" s="1"/>
  <c r="B172" i="20"/>
  <c r="D172" i="20" s="1"/>
  <c r="B173" i="20"/>
  <c r="D173" i="20" s="1"/>
  <c r="B174" i="20"/>
  <c r="D174" i="20" s="1"/>
  <c r="B175" i="20"/>
  <c r="D175" i="20" s="1"/>
  <c r="B176" i="20"/>
  <c r="D176" i="20" s="1"/>
  <c r="B177" i="20"/>
  <c r="D177" i="20" s="1"/>
  <c r="B178" i="20"/>
  <c r="D178" i="20" s="1"/>
  <c r="B179" i="20"/>
  <c r="D179" i="20" s="1"/>
  <c r="B180" i="20"/>
  <c r="D180" i="20" s="1"/>
  <c r="B181" i="20"/>
  <c r="D181" i="20" s="1"/>
  <c r="B182" i="20"/>
  <c r="D182" i="20" s="1"/>
  <c r="B183" i="20"/>
  <c r="D183" i="20" s="1"/>
  <c r="B184" i="20"/>
  <c r="D184" i="20" s="1"/>
  <c r="B185" i="20"/>
  <c r="D185" i="20" s="1"/>
  <c r="B186" i="20"/>
  <c r="D186" i="20" s="1"/>
  <c r="B187" i="20"/>
  <c r="D187" i="20" s="1"/>
  <c r="B188" i="20"/>
  <c r="D188" i="20" s="1"/>
  <c r="B189" i="20"/>
  <c r="D189" i="20" s="1"/>
  <c r="B190" i="20"/>
  <c r="D190" i="20" s="1"/>
  <c r="B191" i="20"/>
  <c r="D191" i="20" s="1"/>
  <c r="B192" i="20"/>
  <c r="D192" i="20" s="1"/>
  <c r="B193" i="20"/>
  <c r="D193" i="20" s="1"/>
  <c r="B194" i="20"/>
  <c r="D194" i="20" s="1"/>
  <c r="B195" i="20"/>
  <c r="D195" i="20" s="1"/>
  <c r="B196" i="20"/>
  <c r="D196" i="20" s="1"/>
  <c r="B197" i="20"/>
  <c r="D197" i="20" s="1"/>
  <c r="B198" i="20"/>
  <c r="D198" i="20" s="1"/>
  <c r="B199" i="20"/>
  <c r="D199" i="20" s="1"/>
  <c r="B200" i="20"/>
  <c r="D200" i="20" s="1"/>
  <c r="B201" i="20"/>
  <c r="D201" i="20" s="1"/>
  <c r="B202" i="20"/>
  <c r="D202" i="20" s="1"/>
  <c r="B203" i="20"/>
  <c r="D203" i="20" s="1"/>
  <c r="B204" i="20"/>
  <c r="D204" i="20" s="1"/>
  <c r="B205" i="20"/>
  <c r="D205" i="20" s="1"/>
  <c r="B206" i="20"/>
  <c r="D206" i="20" s="1"/>
  <c r="B207" i="20"/>
  <c r="D207" i="20" s="1"/>
  <c r="B208" i="20"/>
  <c r="D208" i="20" s="1"/>
  <c r="B209" i="20"/>
  <c r="D209" i="20" s="1"/>
  <c r="B210" i="20"/>
  <c r="D210" i="20" s="1"/>
  <c r="B211" i="20"/>
  <c r="D211" i="20" s="1"/>
  <c r="B212" i="20"/>
  <c r="D212" i="20" s="1"/>
  <c r="B213" i="20"/>
  <c r="D213" i="20" s="1"/>
  <c r="B214" i="20"/>
  <c r="D214" i="20" s="1"/>
  <c r="B215" i="20"/>
  <c r="D215" i="20" s="1"/>
  <c r="B216" i="20"/>
  <c r="D216" i="20" s="1"/>
  <c r="B217" i="20"/>
  <c r="D217" i="20" s="1"/>
  <c r="B218" i="20"/>
  <c r="D218" i="20" s="1"/>
  <c r="B219" i="20"/>
  <c r="D219" i="20" s="1"/>
  <c r="B220" i="20"/>
  <c r="D220" i="20" s="1"/>
  <c r="B221" i="20"/>
  <c r="D221" i="20" s="1"/>
  <c r="B222" i="20"/>
  <c r="D222" i="20" s="1"/>
  <c r="B223" i="20"/>
  <c r="D223" i="20" s="1"/>
  <c r="B224" i="20"/>
  <c r="D224" i="20" s="1"/>
  <c r="B225" i="20"/>
  <c r="D225" i="20" s="1"/>
  <c r="B226" i="20"/>
  <c r="D226" i="20" s="1"/>
  <c r="B227" i="20"/>
  <c r="D227" i="20" s="1"/>
  <c r="B228" i="20"/>
  <c r="D228" i="20" s="1"/>
  <c r="B229" i="20"/>
  <c r="D229" i="20" s="1"/>
  <c r="B230" i="20"/>
  <c r="D230" i="20" s="1"/>
  <c r="B231" i="20"/>
  <c r="D231" i="20" s="1"/>
  <c r="B232" i="20"/>
  <c r="D232" i="20" s="1"/>
  <c r="B233" i="20"/>
  <c r="D233" i="20" s="1"/>
  <c r="B234" i="20"/>
  <c r="D234" i="20" s="1"/>
  <c r="B5" i="20"/>
  <c r="D5" i="20" s="1"/>
  <c r="E89" i="2" l="1"/>
  <c r="E82" i="2"/>
  <c r="F82" i="2"/>
  <c r="G82" i="2"/>
  <c r="H82" i="2"/>
  <c r="I82" i="2"/>
  <c r="J82" i="2"/>
  <c r="K82" i="2"/>
  <c r="L82" i="2"/>
  <c r="M82" i="2"/>
  <c r="N82" i="2"/>
  <c r="O82" i="2"/>
  <c r="P82" i="2"/>
  <c r="D82" i="2"/>
  <c r="C5" i="1" l="1"/>
  <c r="BR6" i="3" l="1"/>
  <c r="BR7" i="3"/>
  <c r="BR8" i="3"/>
  <c r="BR9" i="3"/>
  <c r="BR10" i="3"/>
  <c r="BR11" i="3"/>
  <c r="BR5" i="3"/>
  <c r="C7" i="9"/>
  <c r="C9" i="9" s="1"/>
  <c r="C8" i="9"/>
  <c r="B62" i="2"/>
  <c r="P5" i="29"/>
  <c r="J5" i="29"/>
  <c r="AB234" i="29"/>
  <c r="V234" i="29"/>
  <c r="AB233" i="29"/>
  <c r="V233" i="29"/>
  <c r="AB232" i="29"/>
  <c r="V232" i="29"/>
  <c r="AB231" i="29"/>
  <c r="V231" i="29"/>
  <c r="AB230" i="29"/>
  <c r="V230" i="29"/>
  <c r="AB229" i="29"/>
  <c r="V229" i="29"/>
  <c r="AB228" i="29"/>
  <c r="V228" i="29"/>
  <c r="AB227" i="29"/>
  <c r="V227" i="29"/>
  <c r="AB226" i="29"/>
  <c r="V226" i="29"/>
  <c r="AB225" i="29"/>
  <c r="V225" i="29"/>
  <c r="AB224" i="29"/>
  <c r="V224" i="29"/>
  <c r="AB223" i="29"/>
  <c r="V223" i="29"/>
  <c r="AB222" i="29"/>
  <c r="V222" i="29"/>
  <c r="AB221" i="29"/>
  <c r="V221" i="29"/>
  <c r="AB220" i="29"/>
  <c r="V220" i="29"/>
  <c r="AB219" i="29"/>
  <c r="V219" i="29"/>
  <c r="AB218" i="29"/>
  <c r="V218" i="29"/>
  <c r="AB217" i="29"/>
  <c r="V217" i="29"/>
  <c r="AB216" i="29"/>
  <c r="V216" i="29"/>
  <c r="AB215" i="29"/>
  <c r="V215" i="29"/>
  <c r="AB214" i="29"/>
  <c r="V214" i="29"/>
  <c r="AB213" i="29"/>
  <c r="V213" i="29"/>
  <c r="AB212" i="29"/>
  <c r="V212" i="29"/>
  <c r="AB211" i="29"/>
  <c r="V211" i="29"/>
  <c r="AB210" i="29"/>
  <c r="V210" i="29"/>
  <c r="AB209" i="29"/>
  <c r="V209" i="29"/>
  <c r="AB208" i="29"/>
  <c r="V208" i="29"/>
  <c r="AB207" i="29"/>
  <c r="V207" i="29"/>
  <c r="AB206" i="29"/>
  <c r="V206" i="29"/>
  <c r="AB205" i="29"/>
  <c r="V205" i="29"/>
  <c r="AB204" i="29"/>
  <c r="V204" i="29"/>
  <c r="AB203" i="29"/>
  <c r="V203" i="29"/>
  <c r="AB202" i="29"/>
  <c r="V202" i="29"/>
  <c r="AB201" i="29"/>
  <c r="V201" i="29"/>
  <c r="AB200" i="29"/>
  <c r="V200" i="29"/>
  <c r="AB199" i="29"/>
  <c r="V199" i="29"/>
  <c r="AB198" i="29"/>
  <c r="V198" i="29"/>
  <c r="AB197" i="29"/>
  <c r="V197" i="29"/>
  <c r="AB196" i="29"/>
  <c r="V196" i="29"/>
  <c r="AB195" i="29"/>
  <c r="V195" i="29"/>
  <c r="AB194" i="29"/>
  <c r="V194" i="29"/>
  <c r="AB193" i="29"/>
  <c r="V193" i="29"/>
  <c r="AB192" i="29"/>
  <c r="V192" i="29"/>
  <c r="AB191" i="29"/>
  <c r="V191" i="29"/>
  <c r="AB190" i="29"/>
  <c r="V190" i="29"/>
  <c r="AB189" i="29"/>
  <c r="V189" i="29"/>
  <c r="AB188" i="29"/>
  <c r="V188" i="29"/>
  <c r="AB187" i="29"/>
  <c r="V187" i="29"/>
  <c r="AB186" i="29"/>
  <c r="V186" i="29"/>
  <c r="AB185" i="29"/>
  <c r="V185" i="29"/>
  <c r="AB184" i="29"/>
  <c r="V184" i="29"/>
  <c r="AB183" i="29"/>
  <c r="V183" i="29"/>
  <c r="AB182" i="29"/>
  <c r="V182" i="29"/>
  <c r="AB181" i="29"/>
  <c r="V181" i="29"/>
  <c r="AB180" i="29"/>
  <c r="V180" i="29"/>
  <c r="AB179" i="29"/>
  <c r="V179" i="29"/>
  <c r="AB178" i="29"/>
  <c r="V178" i="29"/>
  <c r="AB177" i="29"/>
  <c r="V177" i="29"/>
  <c r="AB176" i="29"/>
  <c r="V176" i="29"/>
  <c r="AB175" i="29"/>
  <c r="V175" i="29"/>
  <c r="AB174" i="29"/>
  <c r="V174" i="29"/>
  <c r="AB173" i="29"/>
  <c r="V173" i="29"/>
  <c r="AB172" i="29"/>
  <c r="V172" i="29"/>
  <c r="AB171" i="29"/>
  <c r="V171" i="29"/>
  <c r="AB170" i="29"/>
  <c r="V170" i="29"/>
  <c r="AB169" i="29"/>
  <c r="V169" i="29"/>
  <c r="AB168" i="29"/>
  <c r="V168" i="29"/>
  <c r="AB167" i="29"/>
  <c r="V167" i="29"/>
  <c r="AB166" i="29"/>
  <c r="V166" i="29"/>
  <c r="AB165" i="29"/>
  <c r="V165" i="29"/>
  <c r="AB164" i="29"/>
  <c r="V164" i="29"/>
  <c r="AB163" i="29"/>
  <c r="V163" i="29"/>
  <c r="AB162" i="29"/>
  <c r="V162" i="29"/>
  <c r="AB161" i="29"/>
  <c r="V161" i="29"/>
  <c r="AB160" i="29"/>
  <c r="V160" i="29"/>
  <c r="AB159" i="29"/>
  <c r="V159" i="29"/>
  <c r="AB158" i="29"/>
  <c r="V158" i="29"/>
  <c r="AB157" i="29"/>
  <c r="V157" i="29"/>
  <c r="AB156" i="29"/>
  <c r="V156" i="29"/>
  <c r="AB155" i="29"/>
  <c r="V155" i="29"/>
  <c r="AB154" i="29"/>
  <c r="V154" i="29"/>
  <c r="AB153" i="29"/>
  <c r="V153" i="29"/>
  <c r="AB152" i="29"/>
  <c r="V152" i="29"/>
  <c r="AB151" i="29"/>
  <c r="V151" i="29"/>
  <c r="AB150" i="29"/>
  <c r="V150" i="29"/>
  <c r="AB149" i="29"/>
  <c r="V149" i="29"/>
  <c r="AB148" i="29"/>
  <c r="V148" i="29"/>
  <c r="AB147" i="29"/>
  <c r="V147" i="29"/>
  <c r="AB146" i="29"/>
  <c r="V146" i="29"/>
  <c r="AB145" i="29"/>
  <c r="V145" i="29"/>
  <c r="AB144" i="29"/>
  <c r="V144" i="29"/>
  <c r="AB143" i="29"/>
  <c r="V143" i="29"/>
  <c r="AB142" i="29"/>
  <c r="V142" i="29"/>
  <c r="AB141" i="29"/>
  <c r="V141" i="29"/>
  <c r="AB140" i="29"/>
  <c r="V140" i="29"/>
  <c r="AB139" i="29"/>
  <c r="V139" i="29"/>
  <c r="AB138" i="29"/>
  <c r="V138" i="29"/>
  <c r="AB137" i="29"/>
  <c r="V137" i="29"/>
  <c r="AB136" i="29"/>
  <c r="V136" i="29"/>
  <c r="AB135" i="29"/>
  <c r="V135" i="29"/>
  <c r="AB134" i="29"/>
  <c r="V134" i="29"/>
  <c r="AB133" i="29"/>
  <c r="V133" i="29"/>
  <c r="AB132" i="29"/>
  <c r="V132" i="29"/>
  <c r="AB131" i="29"/>
  <c r="V131" i="29"/>
  <c r="AB130" i="29"/>
  <c r="V130" i="29"/>
  <c r="AB129" i="29"/>
  <c r="V129" i="29"/>
  <c r="AB128" i="29"/>
  <c r="V128" i="29"/>
  <c r="AB127" i="29"/>
  <c r="V127" i="29"/>
  <c r="AB126" i="29"/>
  <c r="V126" i="29"/>
  <c r="AB125" i="29"/>
  <c r="V125" i="29"/>
  <c r="AB124" i="29"/>
  <c r="V124" i="29"/>
  <c r="AB123" i="29"/>
  <c r="V123" i="29"/>
  <c r="AB122" i="29"/>
  <c r="V122" i="29"/>
  <c r="AB121" i="29"/>
  <c r="V121" i="29"/>
  <c r="AB120" i="29"/>
  <c r="V120" i="29"/>
  <c r="AB119" i="29"/>
  <c r="V119" i="29"/>
  <c r="AB118" i="29"/>
  <c r="V118" i="29"/>
  <c r="AB117" i="29"/>
  <c r="V117" i="29"/>
  <c r="AB116" i="29"/>
  <c r="V116" i="29"/>
  <c r="AB115" i="29"/>
  <c r="V115" i="29"/>
  <c r="AB114" i="29"/>
  <c r="V114" i="29"/>
  <c r="AB113" i="29"/>
  <c r="V113" i="29"/>
  <c r="AB112" i="29"/>
  <c r="V112" i="29"/>
  <c r="AB111" i="29"/>
  <c r="V111" i="29"/>
  <c r="AB110" i="29"/>
  <c r="V110" i="29"/>
  <c r="AB109" i="29"/>
  <c r="V109" i="29"/>
  <c r="AB108" i="29"/>
  <c r="V108" i="29"/>
  <c r="AB107" i="29"/>
  <c r="V107" i="29"/>
  <c r="AB106" i="29"/>
  <c r="V106" i="29"/>
  <c r="AB105" i="29"/>
  <c r="V105" i="29"/>
  <c r="AB104" i="29"/>
  <c r="V104" i="29"/>
  <c r="AB103" i="29"/>
  <c r="V103" i="29"/>
  <c r="AB102" i="29"/>
  <c r="V102" i="29"/>
  <c r="AB101" i="29"/>
  <c r="V101" i="29"/>
  <c r="AB100" i="29"/>
  <c r="V100" i="29"/>
  <c r="AB99" i="29"/>
  <c r="V99" i="29"/>
  <c r="AB98" i="29"/>
  <c r="V98" i="29"/>
  <c r="AB97" i="29"/>
  <c r="V97" i="29"/>
  <c r="AB96" i="29"/>
  <c r="V96" i="29"/>
  <c r="AB95" i="29"/>
  <c r="V95" i="29"/>
  <c r="AB94" i="29"/>
  <c r="V94" i="29"/>
  <c r="AB93" i="29"/>
  <c r="V93" i="29"/>
  <c r="AB92" i="29"/>
  <c r="V92" i="29"/>
  <c r="AB91" i="29"/>
  <c r="V91" i="29"/>
  <c r="AB90" i="29"/>
  <c r="V90" i="29"/>
  <c r="AB89" i="29"/>
  <c r="V89" i="29"/>
  <c r="AB88" i="29"/>
  <c r="V88" i="29"/>
  <c r="AB87" i="29"/>
  <c r="V87" i="29"/>
  <c r="AB86" i="29"/>
  <c r="V86" i="29"/>
  <c r="AB85" i="29"/>
  <c r="V85" i="29"/>
  <c r="AB84" i="29"/>
  <c r="V84" i="29"/>
  <c r="AB83" i="29"/>
  <c r="V83" i="29"/>
  <c r="AB82" i="29"/>
  <c r="V82" i="29"/>
  <c r="AB81" i="29"/>
  <c r="V81" i="29"/>
  <c r="AB80" i="29"/>
  <c r="V80" i="29"/>
  <c r="AB79" i="29"/>
  <c r="V79" i="29"/>
  <c r="AB78" i="29"/>
  <c r="V78" i="29"/>
  <c r="AB77" i="29"/>
  <c r="V77" i="29"/>
  <c r="AB76" i="29"/>
  <c r="V76" i="29"/>
  <c r="AB75" i="29"/>
  <c r="V75" i="29"/>
  <c r="AB74" i="29"/>
  <c r="V74" i="29"/>
  <c r="AB73" i="29"/>
  <c r="V73" i="29"/>
  <c r="AB72" i="29"/>
  <c r="V72" i="29"/>
  <c r="AB71" i="29"/>
  <c r="V71" i="29"/>
  <c r="AB70" i="29"/>
  <c r="V70" i="29"/>
  <c r="AB69" i="29"/>
  <c r="V69" i="29"/>
  <c r="AB68" i="29"/>
  <c r="V68" i="29"/>
  <c r="AB67" i="29"/>
  <c r="V67" i="29"/>
  <c r="AB66" i="29"/>
  <c r="V66" i="29"/>
  <c r="AB65" i="29"/>
  <c r="V65" i="29"/>
  <c r="AB64" i="29"/>
  <c r="V64" i="29"/>
  <c r="AB63" i="29"/>
  <c r="V63" i="29"/>
  <c r="AB62" i="29"/>
  <c r="V62" i="29"/>
  <c r="AB61" i="29"/>
  <c r="V61" i="29"/>
  <c r="AB60" i="29"/>
  <c r="V60" i="29"/>
  <c r="AB59" i="29"/>
  <c r="V59" i="29"/>
  <c r="AB58" i="29"/>
  <c r="V58" i="29"/>
  <c r="AB57" i="29"/>
  <c r="V57" i="29"/>
  <c r="AB56" i="29"/>
  <c r="V56" i="29"/>
  <c r="AB55" i="29"/>
  <c r="V55" i="29"/>
  <c r="AB54" i="29"/>
  <c r="V54" i="29"/>
  <c r="AB53" i="29"/>
  <c r="V53" i="29"/>
  <c r="AB52" i="29"/>
  <c r="V52" i="29"/>
  <c r="AB51" i="29"/>
  <c r="V51" i="29"/>
  <c r="AB50" i="29"/>
  <c r="V50" i="29"/>
  <c r="AB49" i="29"/>
  <c r="V49" i="29"/>
  <c r="AB48" i="29"/>
  <c r="V48" i="29"/>
  <c r="AB47" i="29"/>
  <c r="V47" i="29"/>
  <c r="AB46" i="29"/>
  <c r="V46" i="29"/>
  <c r="AB45" i="29"/>
  <c r="V45" i="29"/>
  <c r="AB44" i="29"/>
  <c r="V44" i="29"/>
  <c r="AB43" i="29"/>
  <c r="V43" i="29"/>
  <c r="AB42" i="29"/>
  <c r="V42" i="29"/>
  <c r="AB41" i="29"/>
  <c r="V41" i="29"/>
  <c r="AB40" i="29"/>
  <c r="V40" i="29"/>
  <c r="AB39" i="29"/>
  <c r="V39" i="29"/>
  <c r="AB38" i="29"/>
  <c r="V38" i="29"/>
  <c r="AB37" i="29"/>
  <c r="V37" i="29"/>
  <c r="AB36" i="29"/>
  <c r="V36" i="29"/>
  <c r="AB35" i="29"/>
  <c r="V35" i="29"/>
  <c r="AB34" i="29"/>
  <c r="V34" i="29"/>
  <c r="AB33" i="29"/>
  <c r="V33" i="29"/>
  <c r="AB32" i="29"/>
  <c r="V32" i="29"/>
  <c r="AB31" i="29"/>
  <c r="V31" i="29"/>
  <c r="AB30" i="29"/>
  <c r="V30" i="29"/>
  <c r="AB29" i="29"/>
  <c r="V29" i="29"/>
  <c r="AB28" i="29"/>
  <c r="V28" i="29"/>
  <c r="AB27" i="29"/>
  <c r="V27" i="29"/>
  <c r="AB26" i="29"/>
  <c r="V26" i="29"/>
  <c r="AB25" i="29"/>
  <c r="V25" i="29"/>
  <c r="AB24" i="29"/>
  <c r="V24" i="29"/>
  <c r="AB23" i="29"/>
  <c r="V23" i="29"/>
  <c r="AB22" i="29"/>
  <c r="V22" i="29"/>
  <c r="AB21" i="29"/>
  <c r="V21" i="29"/>
  <c r="AB20" i="29"/>
  <c r="V20" i="29"/>
  <c r="AB19" i="29"/>
  <c r="V19" i="29"/>
  <c r="AB18" i="29"/>
  <c r="V18" i="29"/>
  <c r="AB17" i="29"/>
  <c r="V17" i="29"/>
  <c r="AB16" i="29"/>
  <c r="V16" i="29"/>
  <c r="AB15" i="29"/>
  <c r="V15" i="29"/>
  <c r="AB14" i="29"/>
  <c r="V14" i="29"/>
  <c r="AB13" i="29"/>
  <c r="V13" i="29"/>
  <c r="AB12" i="29"/>
  <c r="V12" i="29"/>
  <c r="AB11" i="29"/>
  <c r="V11" i="29"/>
  <c r="AB10" i="29"/>
  <c r="V10" i="29"/>
  <c r="AB9" i="29"/>
  <c r="V9" i="29"/>
  <c r="AB8" i="29"/>
  <c r="V8" i="29"/>
  <c r="AB7" i="29"/>
  <c r="V7" i="29"/>
  <c r="AB6" i="29"/>
  <c r="V6" i="29"/>
  <c r="AB5" i="29"/>
  <c r="V5" i="29"/>
  <c r="AA234" i="28"/>
  <c r="U234" i="28"/>
  <c r="AA233" i="28"/>
  <c r="U233" i="28"/>
  <c r="AA232" i="28"/>
  <c r="U232" i="28"/>
  <c r="AA231" i="28"/>
  <c r="U231" i="28"/>
  <c r="AA230" i="28"/>
  <c r="U230" i="28"/>
  <c r="AA229" i="28"/>
  <c r="U229" i="28"/>
  <c r="AA228" i="28"/>
  <c r="U228" i="28"/>
  <c r="AA227" i="28"/>
  <c r="U227" i="28"/>
  <c r="AA226" i="28"/>
  <c r="U226" i="28"/>
  <c r="AA225" i="28"/>
  <c r="U225" i="28"/>
  <c r="AA224" i="28"/>
  <c r="U224" i="28"/>
  <c r="AA223" i="28"/>
  <c r="U223" i="28"/>
  <c r="AA222" i="28"/>
  <c r="U222" i="28"/>
  <c r="AA221" i="28"/>
  <c r="U221" i="28"/>
  <c r="AA220" i="28"/>
  <c r="U220" i="28"/>
  <c r="AA219" i="28"/>
  <c r="U219" i="28"/>
  <c r="AA218" i="28"/>
  <c r="U218" i="28"/>
  <c r="AA217" i="28"/>
  <c r="U217" i="28"/>
  <c r="AA216" i="28"/>
  <c r="U216" i="28"/>
  <c r="AA215" i="28"/>
  <c r="U215" i="28"/>
  <c r="AA214" i="28"/>
  <c r="U214" i="28"/>
  <c r="AA213" i="28"/>
  <c r="U213" i="28"/>
  <c r="AA212" i="28"/>
  <c r="U212" i="28"/>
  <c r="AA211" i="28"/>
  <c r="U211" i="28"/>
  <c r="AA210" i="28"/>
  <c r="U210" i="28"/>
  <c r="AA209" i="28"/>
  <c r="U209" i="28"/>
  <c r="AA208" i="28"/>
  <c r="U208" i="28"/>
  <c r="AA207" i="28"/>
  <c r="U207" i="28"/>
  <c r="AA206" i="28"/>
  <c r="U206" i="28"/>
  <c r="AA205" i="28"/>
  <c r="U205" i="28"/>
  <c r="AA204" i="28"/>
  <c r="U204" i="28"/>
  <c r="AA203" i="28"/>
  <c r="U203" i="28"/>
  <c r="AA202" i="28"/>
  <c r="U202" i="28"/>
  <c r="AA201" i="28"/>
  <c r="U201" i="28"/>
  <c r="AA200" i="28"/>
  <c r="U200" i="28"/>
  <c r="AA199" i="28"/>
  <c r="U199" i="28"/>
  <c r="AA198" i="28"/>
  <c r="U198" i="28"/>
  <c r="AA197" i="28"/>
  <c r="U197" i="28"/>
  <c r="AA196" i="28"/>
  <c r="U196" i="28"/>
  <c r="AA195" i="28"/>
  <c r="U195" i="28"/>
  <c r="AA194" i="28"/>
  <c r="U194" i="28"/>
  <c r="AA193" i="28"/>
  <c r="U193" i="28"/>
  <c r="AA192" i="28"/>
  <c r="U192" i="28"/>
  <c r="AA191" i="28"/>
  <c r="U191" i="28"/>
  <c r="AA190" i="28"/>
  <c r="U190" i="28"/>
  <c r="AA189" i="28"/>
  <c r="U189" i="28"/>
  <c r="AA188" i="28"/>
  <c r="U188" i="28"/>
  <c r="AA187" i="28"/>
  <c r="U187" i="28"/>
  <c r="AA186" i="28"/>
  <c r="U186" i="28"/>
  <c r="AA185" i="28"/>
  <c r="U185" i="28"/>
  <c r="AA184" i="28"/>
  <c r="U184" i="28"/>
  <c r="AA183" i="28"/>
  <c r="U183" i="28"/>
  <c r="AA182" i="28"/>
  <c r="U182" i="28"/>
  <c r="AA181" i="28"/>
  <c r="U181" i="28"/>
  <c r="AA180" i="28"/>
  <c r="U180" i="28"/>
  <c r="AA179" i="28"/>
  <c r="U179" i="28"/>
  <c r="AA178" i="28"/>
  <c r="U178" i="28"/>
  <c r="AA177" i="28"/>
  <c r="U177" i="28"/>
  <c r="AA176" i="28"/>
  <c r="U176" i="28"/>
  <c r="AA175" i="28"/>
  <c r="U175" i="28"/>
  <c r="AA174" i="28"/>
  <c r="U174" i="28"/>
  <c r="AA173" i="28"/>
  <c r="U173" i="28"/>
  <c r="AA172" i="28"/>
  <c r="U172" i="28"/>
  <c r="AA171" i="28"/>
  <c r="U171" i="28"/>
  <c r="AA170" i="28"/>
  <c r="U170" i="28"/>
  <c r="AA169" i="28"/>
  <c r="U169" i="28"/>
  <c r="AA168" i="28"/>
  <c r="U168" i="28"/>
  <c r="AA167" i="28"/>
  <c r="U167" i="28"/>
  <c r="AA166" i="28"/>
  <c r="U166" i="28"/>
  <c r="AA165" i="28"/>
  <c r="U165" i="28"/>
  <c r="AA164" i="28"/>
  <c r="U164" i="28"/>
  <c r="AA163" i="28"/>
  <c r="U163" i="28"/>
  <c r="AA162" i="28"/>
  <c r="U162" i="28"/>
  <c r="AA161" i="28"/>
  <c r="U161" i="28"/>
  <c r="AA160" i="28"/>
  <c r="U160" i="28"/>
  <c r="AA159" i="28"/>
  <c r="U159" i="28"/>
  <c r="AA158" i="28"/>
  <c r="U158" i="28"/>
  <c r="AA157" i="28"/>
  <c r="U157" i="28"/>
  <c r="AA156" i="28"/>
  <c r="U156" i="28"/>
  <c r="AA155" i="28"/>
  <c r="U155" i="28"/>
  <c r="AA154" i="28"/>
  <c r="U154" i="28"/>
  <c r="AA153" i="28"/>
  <c r="U153" i="28"/>
  <c r="AA152" i="28"/>
  <c r="U152" i="28"/>
  <c r="AA151" i="28"/>
  <c r="U151" i="28"/>
  <c r="AA150" i="28"/>
  <c r="U150" i="28"/>
  <c r="AA149" i="28"/>
  <c r="U149" i="28"/>
  <c r="AA148" i="28"/>
  <c r="U148" i="28"/>
  <c r="AA147" i="28"/>
  <c r="U147" i="28"/>
  <c r="AA146" i="28"/>
  <c r="U146" i="28"/>
  <c r="AA145" i="28"/>
  <c r="U145" i="28"/>
  <c r="AA144" i="28"/>
  <c r="U144" i="28"/>
  <c r="AA143" i="28"/>
  <c r="U143" i="28"/>
  <c r="AA142" i="28"/>
  <c r="U142" i="28"/>
  <c r="AA141" i="28"/>
  <c r="U141" i="28"/>
  <c r="AA140" i="28"/>
  <c r="U140" i="28"/>
  <c r="AA139" i="28"/>
  <c r="U139" i="28"/>
  <c r="AA138" i="28"/>
  <c r="U138" i="28"/>
  <c r="AA137" i="28"/>
  <c r="U137" i="28"/>
  <c r="AA136" i="28"/>
  <c r="U136" i="28"/>
  <c r="AA135" i="28"/>
  <c r="U135" i="28"/>
  <c r="AA134" i="28"/>
  <c r="U134" i="28"/>
  <c r="AA133" i="28"/>
  <c r="U133" i="28"/>
  <c r="AA132" i="28"/>
  <c r="U132" i="28"/>
  <c r="AA131" i="28"/>
  <c r="U131" i="28"/>
  <c r="AA130" i="28"/>
  <c r="U130" i="28"/>
  <c r="AA129" i="28"/>
  <c r="U129" i="28"/>
  <c r="AA128" i="28"/>
  <c r="U128" i="28"/>
  <c r="AA127" i="28"/>
  <c r="U127" i="28"/>
  <c r="AA126" i="28"/>
  <c r="U126" i="28"/>
  <c r="AA125" i="28"/>
  <c r="U125" i="28"/>
  <c r="AA124" i="28"/>
  <c r="U124" i="28"/>
  <c r="AA123" i="28"/>
  <c r="U123" i="28"/>
  <c r="AA122" i="28"/>
  <c r="U122" i="28"/>
  <c r="AA121" i="28"/>
  <c r="U121" i="28"/>
  <c r="AA120" i="28"/>
  <c r="U120" i="28"/>
  <c r="AA119" i="28"/>
  <c r="U119" i="28"/>
  <c r="AA118" i="28"/>
  <c r="U118" i="28"/>
  <c r="AA117" i="28"/>
  <c r="U117" i="28"/>
  <c r="AA116" i="28"/>
  <c r="U116" i="28"/>
  <c r="AA115" i="28"/>
  <c r="U115" i="28"/>
  <c r="AA114" i="28"/>
  <c r="U114" i="28"/>
  <c r="AA113" i="28"/>
  <c r="U113" i="28"/>
  <c r="AA112" i="28"/>
  <c r="U112" i="28"/>
  <c r="AA111" i="28"/>
  <c r="U111" i="28"/>
  <c r="AA110" i="28"/>
  <c r="U110" i="28"/>
  <c r="AA109" i="28"/>
  <c r="U109" i="28"/>
  <c r="AA108" i="28"/>
  <c r="U108" i="28"/>
  <c r="AA107" i="28"/>
  <c r="U107" i="28"/>
  <c r="AA106" i="28"/>
  <c r="U106" i="28"/>
  <c r="AA105" i="28"/>
  <c r="U105" i="28"/>
  <c r="AA104" i="28"/>
  <c r="U104" i="28"/>
  <c r="AA103" i="28"/>
  <c r="U103" i="28"/>
  <c r="AA102" i="28"/>
  <c r="U102" i="28"/>
  <c r="AA101" i="28"/>
  <c r="U101" i="28"/>
  <c r="AA100" i="28"/>
  <c r="U100" i="28"/>
  <c r="AA99" i="28"/>
  <c r="U99" i="28"/>
  <c r="AA98" i="28"/>
  <c r="U98" i="28"/>
  <c r="AA97" i="28"/>
  <c r="U97" i="28"/>
  <c r="AA96" i="28"/>
  <c r="U96" i="28"/>
  <c r="AA95" i="28"/>
  <c r="U95" i="28"/>
  <c r="AA94" i="28"/>
  <c r="U94" i="28"/>
  <c r="AA93" i="28"/>
  <c r="U93" i="28"/>
  <c r="AA92" i="28"/>
  <c r="U92" i="28"/>
  <c r="AA91" i="28"/>
  <c r="U91" i="28"/>
  <c r="AA90" i="28"/>
  <c r="U90" i="28"/>
  <c r="AA89" i="28"/>
  <c r="U89" i="28"/>
  <c r="AA88" i="28"/>
  <c r="U88" i="28"/>
  <c r="AA87" i="28"/>
  <c r="U87" i="28"/>
  <c r="AA86" i="28"/>
  <c r="U86" i="28"/>
  <c r="AA85" i="28"/>
  <c r="U85" i="28"/>
  <c r="AA84" i="28"/>
  <c r="U84" i="28"/>
  <c r="AA83" i="28"/>
  <c r="U83" i="28"/>
  <c r="AA82" i="28"/>
  <c r="U82" i="28"/>
  <c r="AA81" i="28"/>
  <c r="U81" i="28"/>
  <c r="AA80" i="28"/>
  <c r="U80" i="28"/>
  <c r="AA79" i="28"/>
  <c r="U79" i="28"/>
  <c r="AA78" i="28"/>
  <c r="U78" i="28"/>
  <c r="AA77" i="28"/>
  <c r="U77" i="28"/>
  <c r="AA76" i="28"/>
  <c r="U76" i="28"/>
  <c r="AA75" i="28"/>
  <c r="U75" i="28"/>
  <c r="AA74" i="28"/>
  <c r="U74" i="28"/>
  <c r="AA73" i="28"/>
  <c r="U73" i="28"/>
  <c r="AA72" i="28"/>
  <c r="U72" i="28"/>
  <c r="AA71" i="28"/>
  <c r="U71" i="28"/>
  <c r="AA70" i="28"/>
  <c r="U70" i="28"/>
  <c r="AA69" i="28"/>
  <c r="U69" i="28"/>
  <c r="AA68" i="28"/>
  <c r="U68" i="28"/>
  <c r="AA67" i="28"/>
  <c r="U67" i="28"/>
  <c r="AA66" i="28"/>
  <c r="U66" i="28"/>
  <c r="AA65" i="28"/>
  <c r="U65" i="28"/>
  <c r="AA64" i="28"/>
  <c r="U64" i="28"/>
  <c r="AA63" i="28"/>
  <c r="U63" i="28"/>
  <c r="AA62" i="28"/>
  <c r="U62" i="28"/>
  <c r="AA61" i="28"/>
  <c r="U61" i="28"/>
  <c r="AA60" i="28"/>
  <c r="U60" i="28"/>
  <c r="AA59" i="28"/>
  <c r="U59" i="28"/>
  <c r="AA58" i="28"/>
  <c r="U58" i="28"/>
  <c r="AA57" i="28"/>
  <c r="U57" i="28"/>
  <c r="AA56" i="28"/>
  <c r="U56" i="28"/>
  <c r="AA55" i="28"/>
  <c r="U55" i="28"/>
  <c r="AA54" i="28"/>
  <c r="U54" i="28"/>
  <c r="AA53" i="28"/>
  <c r="U53" i="28"/>
  <c r="AA52" i="28"/>
  <c r="U52" i="28"/>
  <c r="AA51" i="28"/>
  <c r="U51" i="28"/>
  <c r="AA50" i="28"/>
  <c r="U50" i="28"/>
  <c r="AA49" i="28"/>
  <c r="U49" i="28"/>
  <c r="AA48" i="28"/>
  <c r="U48" i="28"/>
  <c r="AA47" i="28"/>
  <c r="U47" i="28"/>
  <c r="AA46" i="28"/>
  <c r="U46" i="28"/>
  <c r="AA45" i="28"/>
  <c r="U45" i="28"/>
  <c r="AA44" i="28"/>
  <c r="U44" i="28"/>
  <c r="AA43" i="28"/>
  <c r="U43" i="28"/>
  <c r="AA42" i="28"/>
  <c r="U42" i="28"/>
  <c r="AA41" i="28"/>
  <c r="U41" i="28"/>
  <c r="AA40" i="28"/>
  <c r="U40" i="28"/>
  <c r="AA39" i="28"/>
  <c r="U39" i="28"/>
  <c r="AA38" i="28"/>
  <c r="U38" i="28"/>
  <c r="AA37" i="28"/>
  <c r="U37" i="28"/>
  <c r="AA36" i="28"/>
  <c r="U36" i="28"/>
  <c r="AA35" i="28"/>
  <c r="U35" i="28"/>
  <c r="AA34" i="28"/>
  <c r="U34" i="28"/>
  <c r="AA33" i="28"/>
  <c r="U33" i="28"/>
  <c r="AA32" i="28"/>
  <c r="U32" i="28"/>
  <c r="AA31" i="28"/>
  <c r="U31" i="28"/>
  <c r="AA30" i="28"/>
  <c r="U30" i="28"/>
  <c r="AA29" i="28"/>
  <c r="U29" i="28"/>
  <c r="AA28" i="28"/>
  <c r="U28" i="28"/>
  <c r="AA27" i="28"/>
  <c r="U27" i="28"/>
  <c r="AA26" i="28"/>
  <c r="U26" i="28"/>
  <c r="AA25" i="28"/>
  <c r="U25" i="28"/>
  <c r="AA24" i="28"/>
  <c r="U24" i="28"/>
  <c r="AA23" i="28"/>
  <c r="U23" i="28"/>
  <c r="AA22" i="28"/>
  <c r="U22" i="28"/>
  <c r="AA21" i="28"/>
  <c r="U21" i="28"/>
  <c r="AA20" i="28"/>
  <c r="U20" i="28"/>
  <c r="AA19" i="28"/>
  <c r="U19" i="28"/>
  <c r="AA18" i="28"/>
  <c r="U18" i="28"/>
  <c r="AA17" i="28"/>
  <c r="U17" i="28"/>
  <c r="AA16" i="28"/>
  <c r="U16" i="28"/>
  <c r="AA15" i="28"/>
  <c r="U15" i="28"/>
  <c r="AA14" i="28"/>
  <c r="U14" i="28"/>
  <c r="AA13" i="28"/>
  <c r="U13" i="28"/>
  <c r="AA12" i="28"/>
  <c r="U12" i="28"/>
  <c r="AA11" i="28"/>
  <c r="U11" i="28"/>
  <c r="AA10" i="28"/>
  <c r="U10" i="28"/>
  <c r="AA9" i="28"/>
  <c r="U9" i="28"/>
  <c r="AA8" i="28"/>
  <c r="U8" i="28"/>
  <c r="AA7" i="28"/>
  <c r="U7" i="28"/>
  <c r="AA6" i="28"/>
  <c r="U6" i="28"/>
  <c r="AA5" i="28"/>
  <c r="U5" i="28"/>
  <c r="P5" i="28"/>
  <c r="J5" i="28"/>
  <c r="AB132" i="23"/>
  <c r="V132" i="23"/>
  <c r="AB131" i="23"/>
  <c r="V131" i="23"/>
  <c r="AB130" i="23"/>
  <c r="V130" i="23"/>
  <c r="AB129" i="23"/>
  <c r="V129" i="23"/>
  <c r="AB128" i="23"/>
  <c r="V128" i="23"/>
  <c r="AB127" i="23"/>
  <c r="V127" i="23"/>
  <c r="AB126" i="23"/>
  <c r="V126" i="23"/>
  <c r="AB125" i="23"/>
  <c r="V125" i="23"/>
  <c r="AB124" i="23"/>
  <c r="V124" i="23"/>
  <c r="AB123" i="23"/>
  <c r="V123" i="23"/>
  <c r="AB122" i="23"/>
  <c r="V122" i="23"/>
  <c r="AB121" i="23"/>
  <c r="V121" i="23"/>
  <c r="AB120" i="23"/>
  <c r="V120" i="23"/>
  <c r="AB119" i="23"/>
  <c r="V119" i="23"/>
  <c r="AB118" i="23"/>
  <c r="V118" i="23"/>
  <c r="AB117" i="23"/>
  <c r="V117" i="23"/>
  <c r="AB116" i="23"/>
  <c r="V116" i="23"/>
  <c r="AB115" i="23"/>
  <c r="V115" i="23"/>
  <c r="AB114" i="23"/>
  <c r="V114" i="23"/>
  <c r="AB113" i="23"/>
  <c r="V113" i="23"/>
  <c r="AB112" i="23"/>
  <c r="V112" i="23"/>
  <c r="AB111" i="23"/>
  <c r="V111" i="23"/>
  <c r="AB110" i="23"/>
  <c r="V110" i="23"/>
  <c r="AB109" i="23"/>
  <c r="V109" i="23"/>
  <c r="AB108" i="23"/>
  <c r="V108" i="23"/>
  <c r="AB107" i="23"/>
  <c r="V107" i="23"/>
  <c r="AB106" i="23"/>
  <c r="V106" i="23"/>
  <c r="AB105" i="23"/>
  <c r="V105" i="23"/>
  <c r="AB104" i="23"/>
  <c r="V104" i="23"/>
  <c r="AB103" i="23"/>
  <c r="V103" i="23"/>
  <c r="AB102" i="23"/>
  <c r="V102" i="23"/>
  <c r="AB101" i="23"/>
  <c r="V101" i="23"/>
  <c r="AB100" i="23"/>
  <c r="V100" i="23"/>
  <c r="AB99" i="23"/>
  <c r="V99" i="23"/>
  <c r="AB98" i="23"/>
  <c r="V98" i="23"/>
  <c r="AB97" i="23"/>
  <c r="V97" i="23"/>
  <c r="AB96" i="23"/>
  <c r="V96" i="23"/>
  <c r="AB95" i="23"/>
  <c r="V95" i="23"/>
  <c r="AB94" i="23"/>
  <c r="V94" i="23"/>
  <c r="AB93" i="23"/>
  <c r="V93" i="23"/>
  <c r="AB92" i="23"/>
  <c r="V92" i="23"/>
  <c r="AB91" i="23"/>
  <c r="V91" i="23"/>
  <c r="AB90" i="23"/>
  <c r="V90" i="23"/>
  <c r="AB89" i="23"/>
  <c r="V89" i="23"/>
  <c r="AB88" i="23"/>
  <c r="V88" i="23"/>
  <c r="AB87" i="23"/>
  <c r="V87" i="23"/>
  <c r="AB86" i="23"/>
  <c r="V86" i="23"/>
  <c r="AB85" i="23"/>
  <c r="V85" i="23"/>
  <c r="AB84" i="23"/>
  <c r="V84" i="23"/>
  <c r="AB83" i="23"/>
  <c r="V83" i="23"/>
  <c r="AB82" i="23"/>
  <c r="V82" i="23"/>
  <c r="AB81" i="23"/>
  <c r="V81" i="23"/>
  <c r="AB80" i="23"/>
  <c r="V80" i="23"/>
  <c r="AB79" i="23"/>
  <c r="V79" i="23"/>
  <c r="AB78" i="23"/>
  <c r="V78" i="23"/>
  <c r="AB77" i="23"/>
  <c r="V77" i="23"/>
  <c r="AB76" i="23"/>
  <c r="V76" i="23"/>
  <c r="AB75" i="23"/>
  <c r="V75" i="23"/>
  <c r="AB74" i="23"/>
  <c r="V74" i="23"/>
  <c r="AB73" i="23"/>
  <c r="V73" i="23"/>
  <c r="AB61" i="22"/>
  <c r="V61" i="22"/>
  <c r="AB60" i="22"/>
  <c r="V60" i="22"/>
  <c r="AB59" i="22"/>
  <c r="V59" i="22"/>
  <c r="AB58" i="22"/>
  <c r="V58" i="22"/>
  <c r="AB57" i="22"/>
  <c r="V57" i="22"/>
  <c r="AB56" i="22"/>
  <c r="V56" i="22"/>
  <c r="AB55" i="22"/>
  <c r="V55" i="22"/>
  <c r="AB54" i="22"/>
  <c r="V54" i="22"/>
  <c r="AB53" i="22"/>
  <c r="V53" i="22"/>
  <c r="AB52" i="22"/>
  <c r="V52" i="22"/>
  <c r="AB51" i="22"/>
  <c r="V51" i="22"/>
  <c r="AB50" i="22"/>
  <c r="V50" i="22"/>
  <c r="AB49" i="22"/>
  <c r="V49" i="22"/>
  <c r="AB48" i="22"/>
  <c r="V48" i="22"/>
  <c r="AB47" i="22"/>
  <c r="V47" i="22"/>
  <c r="AB46" i="22"/>
  <c r="V46" i="22"/>
  <c r="AB45" i="22"/>
  <c r="V45" i="22"/>
  <c r="AB44" i="22"/>
  <c r="V44" i="22"/>
  <c r="AB43" i="22"/>
  <c r="V43" i="22"/>
  <c r="AB42" i="22"/>
  <c r="V42" i="22"/>
  <c r="AB41" i="22"/>
  <c r="V41" i="22"/>
  <c r="AB40" i="22"/>
  <c r="V40" i="22"/>
  <c r="AB39" i="22"/>
  <c r="V39" i="22"/>
  <c r="AB38" i="22"/>
  <c r="V38" i="22"/>
  <c r="AB37" i="22"/>
  <c r="V37" i="22"/>
  <c r="AA61" i="21"/>
  <c r="U61" i="21"/>
  <c r="AA60" i="21"/>
  <c r="U60" i="21"/>
  <c r="AA59" i="21"/>
  <c r="U59" i="21"/>
  <c r="AA58" i="21"/>
  <c r="U58" i="21"/>
  <c r="AA57" i="21"/>
  <c r="U57" i="21"/>
  <c r="AA56" i="21"/>
  <c r="U56" i="21"/>
  <c r="AA55" i="21"/>
  <c r="U55" i="21"/>
  <c r="AA54" i="21"/>
  <c r="U54" i="21"/>
  <c r="AA53" i="21"/>
  <c r="U53" i="21"/>
  <c r="AA52" i="21"/>
  <c r="U52" i="21"/>
  <c r="AA51" i="21"/>
  <c r="U51" i="21"/>
  <c r="AA50" i="21"/>
  <c r="U50" i="21"/>
  <c r="AA49" i="21"/>
  <c r="U49" i="21"/>
  <c r="AA48" i="21"/>
  <c r="U48" i="21"/>
  <c r="AA47" i="21"/>
  <c r="U47" i="21"/>
  <c r="AA46" i="21"/>
  <c r="U46" i="21"/>
  <c r="AA45" i="21"/>
  <c r="U45" i="21"/>
  <c r="AA44" i="21"/>
  <c r="U44" i="21"/>
  <c r="AA43" i="21"/>
  <c r="U43" i="21"/>
  <c r="AA42" i="21"/>
  <c r="U42" i="21"/>
  <c r="AA41" i="21"/>
  <c r="U41" i="21"/>
  <c r="AA40" i="21"/>
  <c r="U40" i="21"/>
  <c r="AA39" i="21"/>
  <c r="U39" i="21"/>
  <c r="AA38" i="21"/>
  <c r="U38" i="21"/>
  <c r="AA37" i="21"/>
  <c r="U37" i="21"/>
  <c r="K7" i="20"/>
  <c r="K8" i="20" s="1"/>
  <c r="K9" i="20" s="1"/>
  <c r="K10" i="20" s="1"/>
  <c r="K11" i="20" s="1"/>
  <c r="K12" i="20" s="1"/>
  <c r="K13" i="20" s="1"/>
  <c r="K14" i="20" s="1"/>
  <c r="K15" i="20" s="1"/>
  <c r="K16" i="20" s="1"/>
  <c r="K17" i="20" s="1"/>
  <c r="K18" i="20" s="1"/>
  <c r="K19" i="20" s="1"/>
  <c r="K20" i="20" s="1"/>
  <c r="K21" i="20" s="1"/>
  <c r="K22" i="20" s="1"/>
  <c r="K23" i="20" s="1"/>
  <c r="K24" i="20" s="1"/>
  <c r="K25" i="20" s="1"/>
  <c r="K26" i="20" s="1"/>
  <c r="K27" i="20" s="1"/>
  <c r="K28" i="20" s="1"/>
  <c r="K29" i="20" s="1"/>
  <c r="K30" i="20" s="1"/>
  <c r="K31" i="20" s="1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K54" i="20" s="1"/>
  <c r="K55" i="20" s="1"/>
  <c r="K56" i="20" s="1"/>
  <c r="K57" i="20" s="1"/>
  <c r="K58" i="20" s="1"/>
  <c r="K59" i="20" s="1"/>
  <c r="K60" i="20" s="1"/>
  <c r="K61" i="20" s="1"/>
  <c r="K62" i="20" s="1"/>
  <c r="K63" i="20" s="1"/>
  <c r="K64" i="20" s="1"/>
  <c r="K65" i="20" s="1"/>
  <c r="K66" i="20" s="1"/>
  <c r="K67" i="20" s="1"/>
  <c r="K68" i="20" s="1"/>
  <c r="K69" i="20" s="1"/>
  <c r="K70" i="20" s="1"/>
  <c r="K71" i="20" s="1"/>
  <c r="K72" i="20" s="1"/>
  <c r="K73" i="20" s="1"/>
  <c r="K74" i="20" s="1"/>
  <c r="K75" i="20" s="1"/>
  <c r="K76" i="20" s="1"/>
  <c r="K77" i="20" s="1"/>
  <c r="K78" i="20" s="1"/>
  <c r="K79" i="20" s="1"/>
  <c r="K80" i="20" s="1"/>
  <c r="K81" i="20" s="1"/>
  <c r="K82" i="20" s="1"/>
  <c r="K83" i="20" s="1"/>
  <c r="K84" i="20" s="1"/>
  <c r="K85" i="20" s="1"/>
  <c r="K86" i="20" s="1"/>
  <c r="K87" i="20" s="1"/>
  <c r="K88" i="20" s="1"/>
  <c r="K89" i="20" s="1"/>
  <c r="K90" i="20" s="1"/>
  <c r="K91" i="20" s="1"/>
  <c r="K92" i="20" s="1"/>
  <c r="K93" i="20" s="1"/>
  <c r="K94" i="20" s="1"/>
  <c r="K95" i="20" s="1"/>
  <c r="K96" i="20" s="1"/>
  <c r="K97" i="20" s="1"/>
  <c r="K98" i="20" s="1"/>
  <c r="K99" i="20" s="1"/>
  <c r="K100" i="20" s="1"/>
  <c r="K101" i="20" s="1"/>
  <c r="K102" i="20" s="1"/>
  <c r="K103" i="20" s="1"/>
  <c r="K104" i="20" s="1"/>
  <c r="K105" i="20" s="1"/>
  <c r="K106" i="20" s="1"/>
  <c r="K107" i="20" s="1"/>
  <c r="K108" i="20" s="1"/>
  <c r="K109" i="20" s="1"/>
  <c r="K110" i="20" s="1"/>
  <c r="K111" i="20" s="1"/>
  <c r="K112" i="20" s="1"/>
  <c r="K113" i="20" s="1"/>
  <c r="K114" i="20" s="1"/>
  <c r="K115" i="20" s="1"/>
  <c r="K116" i="20" s="1"/>
  <c r="K117" i="20" s="1"/>
  <c r="K118" i="20" s="1"/>
  <c r="K119" i="20" s="1"/>
  <c r="K120" i="20" s="1"/>
  <c r="K121" i="20" s="1"/>
  <c r="K122" i="20" s="1"/>
  <c r="K123" i="20" s="1"/>
  <c r="K124" i="20" s="1"/>
  <c r="K125" i="20" s="1"/>
  <c r="K126" i="20" s="1"/>
  <c r="K127" i="20" s="1"/>
  <c r="K128" i="20" s="1"/>
  <c r="K129" i="20" s="1"/>
  <c r="K130" i="20" s="1"/>
  <c r="K131" i="20" s="1"/>
  <c r="K132" i="20" s="1"/>
  <c r="K133" i="20" s="1"/>
  <c r="K134" i="20" s="1"/>
  <c r="K135" i="20" s="1"/>
  <c r="K136" i="20" s="1"/>
  <c r="K137" i="20" s="1"/>
  <c r="K138" i="20" s="1"/>
  <c r="K139" i="20" s="1"/>
  <c r="K140" i="20" s="1"/>
  <c r="K141" i="20" s="1"/>
  <c r="K142" i="20" s="1"/>
  <c r="K143" i="20" s="1"/>
  <c r="K144" i="20" s="1"/>
  <c r="K145" i="20" s="1"/>
  <c r="K146" i="20" s="1"/>
  <c r="K147" i="20" s="1"/>
  <c r="K148" i="20" s="1"/>
  <c r="K149" i="20" s="1"/>
  <c r="K150" i="20" s="1"/>
  <c r="K151" i="20" s="1"/>
  <c r="K152" i="20" s="1"/>
  <c r="K153" i="20" s="1"/>
  <c r="K154" i="20" s="1"/>
  <c r="K155" i="20" s="1"/>
  <c r="K156" i="20" s="1"/>
  <c r="K157" i="20" s="1"/>
  <c r="K158" i="20" s="1"/>
  <c r="K159" i="20" s="1"/>
  <c r="K160" i="20" s="1"/>
  <c r="K161" i="20" s="1"/>
  <c r="K162" i="20" s="1"/>
  <c r="K163" i="20" s="1"/>
  <c r="K164" i="20" s="1"/>
  <c r="K165" i="20" s="1"/>
  <c r="K166" i="20" s="1"/>
  <c r="K167" i="20" s="1"/>
  <c r="K168" i="20" s="1"/>
  <c r="K169" i="20" s="1"/>
  <c r="K170" i="20" s="1"/>
  <c r="K171" i="20" s="1"/>
  <c r="K172" i="20" s="1"/>
  <c r="K173" i="20" s="1"/>
  <c r="K174" i="20" s="1"/>
  <c r="K175" i="20" s="1"/>
  <c r="K176" i="20" s="1"/>
  <c r="K177" i="20" s="1"/>
  <c r="K178" i="20" s="1"/>
  <c r="K179" i="20" s="1"/>
  <c r="K180" i="20" s="1"/>
  <c r="K181" i="20" s="1"/>
  <c r="K182" i="20" s="1"/>
  <c r="K183" i="20" s="1"/>
  <c r="K184" i="20" s="1"/>
  <c r="K185" i="20" s="1"/>
  <c r="K186" i="20" s="1"/>
  <c r="K187" i="20" s="1"/>
  <c r="K188" i="20" s="1"/>
  <c r="K189" i="20" s="1"/>
  <c r="K190" i="20" s="1"/>
  <c r="K191" i="20" s="1"/>
  <c r="K192" i="20" s="1"/>
  <c r="K193" i="20" s="1"/>
  <c r="K194" i="20" s="1"/>
  <c r="K195" i="20" s="1"/>
  <c r="K196" i="20" s="1"/>
  <c r="K197" i="20" s="1"/>
  <c r="K198" i="20" s="1"/>
  <c r="K199" i="20" s="1"/>
  <c r="K200" i="20" s="1"/>
  <c r="K201" i="20" s="1"/>
  <c r="K202" i="20" s="1"/>
  <c r="K203" i="20" s="1"/>
  <c r="K204" i="20" s="1"/>
  <c r="K205" i="20" s="1"/>
  <c r="K206" i="20" s="1"/>
  <c r="K207" i="20" s="1"/>
  <c r="K208" i="20" s="1"/>
  <c r="K209" i="20" s="1"/>
  <c r="K210" i="20" s="1"/>
  <c r="K211" i="20" s="1"/>
  <c r="K212" i="20" s="1"/>
  <c r="K213" i="20" s="1"/>
  <c r="K214" i="20" s="1"/>
  <c r="K215" i="20" s="1"/>
  <c r="K216" i="20" s="1"/>
  <c r="K217" i="20" s="1"/>
  <c r="K218" i="20" s="1"/>
  <c r="K219" i="20" s="1"/>
  <c r="K220" i="20" s="1"/>
  <c r="K221" i="20" s="1"/>
  <c r="K222" i="20" s="1"/>
  <c r="K223" i="20" s="1"/>
  <c r="K224" i="20" s="1"/>
  <c r="K225" i="20" s="1"/>
  <c r="K226" i="20" s="1"/>
  <c r="K227" i="20" s="1"/>
  <c r="K228" i="20" s="1"/>
  <c r="K229" i="20" s="1"/>
  <c r="K230" i="20" s="1"/>
  <c r="K231" i="20" s="1"/>
  <c r="K232" i="20" s="1"/>
  <c r="K233" i="20" s="1"/>
  <c r="K234" i="20" s="1"/>
  <c r="I7" i="20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I87" i="20" s="1"/>
  <c r="I88" i="20" s="1"/>
  <c r="I89" i="20" s="1"/>
  <c r="I90" i="20" s="1"/>
  <c r="I91" i="20" s="1"/>
  <c r="I92" i="20" s="1"/>
  <c r="I93" i="20" s="1"/>
  <c r="I94" i="20" s="1"/>
  <c r="I95" i="20" s="1"/>
  <c r="I96" i="20" s="1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3" i="20" s="1"/>
  <c r="I114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42" i="20" s="1"/>
  <c r="I143" i="20" s="1"/>
  <c r="I144" i="20" s="1"/>
  <c r="I145" i="20" s="1"/>
  <c r="I146" i="20" s="1"/>
  <c r="I147" i="20" s="1"/>
  <c r="I148" i="20" s="1"/>
  <c r="I149" i="20" s="1"/>
  <c r="I150" i="20" s="1"/>
  <c r="I151" i="20" s="1"/>
  <c r="I152" i="20" s="1"/>
  <c r="I153" i="20" s="1"/>
  <c r="I154" i="20" s="1"/>
  <c r="I155" i="20" s="1"/>
  <c r="I156" i="20" s="1"/>
  <c r="I157" i="20" s="1"/>
  <c r="I158" i="20" s="1"/>
  <c r="I159" i="20" s="1"/>
  <c r="I160" i="20" s="1"/>
  <c r="I161" i="20" s="1"/>
  <c r="I162" i="20" s="1"/>
  <c r="I163" i="20" s="1"/>
  <c r="I164" i="20" s="1"/>
  <c r="I165" i="20" s="1"/>
  <c r="I166" i="20" s="1"/>
  <c r="I167" i="20" s="1"/>
  <c r="I168" i="20" s="1"/>
  <c r="I169" i="20" s="1"/>
  <c r="I170" i="20" s="1"/>
  <c r="I171" i="20" s="1"/>
  <c r="I172" i="20" s="1"/>
  <c r="I173" i="20" s="1"/>
  <c r="I174" i="20" s="1"/>
  <c r="I175" i="20" s="1"/>
  <c r="I176" i="20" s="1"/>
  <c r="I177" i="20" s="1"/>
  <c r="I178" i="20" s="1"/>
  <c r="I179" i="20" s="1"/>
  <c r="I180" i="20" s="1"/>
  <c r="I181" i="20" s="1"/>
  <c r="I182" i="20" s="1"/>
  <c r="I183" i="20" s="1"/>
  <c r="I184" i="20" s="1"/>
  <c r="I185" i="20" s="1"/>
  <c r="I186" i="20" s="1"/>
  <c r="I187" i="20" s="1"/>
  <c r="I188" i="20" s="1"/>
  <c r="I189" i="20" s="1"/>
  <c r="I190" i="20" s="1"/>
  <c r="I191" i="20" s="1"/>
  <c r="I192" i="20" s="1"/>
  <c r="I193" i="20" s="1"/>
  <c r="I194" i="20" s="1"/>
  <c r="I195" i="20" s="1"/>
  <c r="I196" i="20" s="1"/>
  <c r="I197" i="20" s="1"/>
  <c r="I198" i="20" s="1"/>
  <c r="I199" i="20" s="1"/>
  <c r="I200" i="20" s="1"/>
  <c r="I201" i="20" s="1"/>
  <c r="I202" i="20" s="1"/>
  <c r="I203" i="20" s="1"/>
  <c r="I204" i="20" s="1"/>
  <c r="I205" i="20" s="1"/>
  <c r="I206" i="20" s="1"/>
  <c r="I207" i="20" s="1"/>
  <c r="I208" i="20" s="1"/>
  <c r="I209" i="20" s="1"/>
  <c r="I210" i="20" s="1"/>
  <c r="I211" i="20" s="1"/>
  <c r="I212" i="20" s="1"/>
  <c r="I213" i="20" s="1"/>
  <c r="I214" i="20" s="1"/>
  <c r="I215" i="20" s="1"/>
  <c r="I216" i="20" s="1"/>
  <c r="I217" i="20" s="1"/>
  <c r="I218" i="20" s="1"/>
  <c r="I219" i="20" s="1"/>
  <c r="I220" i="20" s="1"/>
  <c r="I221" i="20" s="1"/>
  <c r="I222" i="20" s="1"/>
  <c r="I223" i="20" s="1"/>
  <c r="I224" i="20" s="1"/>
  <c r="I225" i="20" s="1"/>
  <c r="I226" i="20" s="1"/>
  <c r="I227" i="20" s="1"/>
  <c r="I228" i="20" s="1"/>
  <c r="I229" i="20" s="1"/>
  <c r="I230" i="20" s="1"/>
  <c r="I231" i="20" s="1"/>
  <c r="I232" i="20" s="1"/>
  <c r="I233" i="20" s="1"/>
  <c r="I234" i="20" s="1"/>
  <c r="G7" i="20"/>
  <c r="V7" i="20" s="1"/>
  <c r="X7" i="20" s="1"/>
  <c r="K6" i="20"/>
  <c r="I6" i="20"/>
  <c r="G6" i="20"/>
  <c r="K5" i="20"/>
  <c r="L5" i="20" s="1"/>
  <c r="I5" i="20"/>
  <c r="J5" i="20" s="1"/>
  <c r="G5" i="20"/>
  <c r="H5" i="20" s="1"/>
  <c r="A5" i="20"/>
  <c r="F40" i="30"/>
  <c r="F23" i="30"/>
  <c r="AC4" i="20" s="1"/>
  <c r="AH4" i="20" s="1"/>
  <c r="BD4" i="20" s="1"/>
  <c r="C19" i="30"/>
  <c r="C15" i="30"/>
  <c r="C10" i="9"/>
  <c r="C37" i="30"/>
  <c r="I25" i="30"/>
  <c r="C17" i="30"/>
  <c r="C14" i="30"/>
  <c r="C13" i="30"/>
  <c r="C12" i="30"/>
  <c r="C8" i="30"/>
  <c r="C7" i="30"/>
  <c r="C9" i="30" s="1"/>
  <c r="O5" i="20" s="1"/>
  <c r="P5" i="20" s="1"/>
  <c r="I5" i="30"/>
  <c r="J38" i="4"/>
  <c r="O550" i="4" s="1"/>
  <c r="D6" i="29"/>
  <c r="D7" i="29" s="1"/>
  <c r="D8" i="29" s="1"/>
  <c r="D9" i="29" s="1"/>
  <c r="D10" i="29" s="1"/>
  <c r="D11" i="29" s="1"/>
  <c r="D12" i="29" s="1"/>
  <c r="D13" i="29" s="1"/>
  <c r="D14" i="29" s="1"/>
  <c r="D15" i="29" s="1"/>
  <c r="D16" i="29" s="1"/>
  <c r="D17" i="29" s="1"/>
  <c r="D18" i="29" s="1"/>
  <c r="D19" i="29" s="1"/>
  <c r="D20" i="29" s="1"/>
  <c r="D21" i="29" s="1"/>
  <c r="D22" i="29" s="1"/>
  <c r="D23" i="29" s="1"/>
  <c r="D24" i="29" s="1"/>
  <c r="D25" i="29" s="1"/>
  <c r="D26" i="29" s="1"/>
  <c r="D27" i="29" s="1"/>
  <c r="D28" i="29" s="1"/>
  <c r="D29" i="29" s="1"/>
  <c r="D30" i="29" s="1"/>
  <c r="D31" i="29" s="1"/>
  <c r="D32" i="29" s="1"/>
  <c r="D33" i="29" s="1"/>
  <c r="D34" i="29" s="1"/>
  <c r="D35" i="29" s="1"/>
  <c r="D36" i="29" s="1"/>
  <c r="D37" i="29" s="1"/>
  <c r="D38" i="29" s="1"/>
  <c r="D39" i="29" s="1"/>
  <c r="D40" i="29" s="1"/>
  <c r="D41" i="29" s="1"/>
  <c r="D42" i="29" s="1"/>
  <c r="D43" i="29" s="1"/>
  <c r="D44" i="29" s="1"/>
  <c r="D45" i="29" s="1"/>
  <c r="D46" i="29" s="1"/>
  <c r="D47" i="29" s="1"/>
  <c r="D48" i="29" s="1"/>
  <c r="D49" i="29" s="1"/>
  <c r="D50" i="29" s="1"/>
  <c r="D51" i="29" s="1"/>
  <c r="D52" i="29" s="1"/>
  <c r="D53" i="29" s="1"/>
  <c r="D54" i="29" s="1"/>
  <c r="D55" i="29" s="1"/>
  <c r="D56" i="29" s="1"/>
  <c r="D57" i="29" s="1"/>
  <c r="D58" i="29" s="1"/>
  <c r="D59" i="29" s="1"/>
  <c r="D60" i="29" s="1"/>
  <c r="D61" i="29" s="1"/>
  <c r="D62" i="29" s="1"/>
  <c r="D63" i="29" s="1"/>
  <c r="D64" i="29" s="1"/>
  <c r="D65" i="29" s="1"/>
  <c r="D66" i="29" s="1"/>
  <c r="D67" i="29" s="1"/>
  <c r="D68" i="29" s="1"/>
  <c r="D69" i="29" s="1"/>
  <c r="D70" i="29" s="1"/>
  <c r="D71" i="29" s="1"/>
  <c r="D72" i="29" s="1"/>
  <c r="D73" i="29" s="1"/>
  <c r="D74" i="29" s="1"/>
  <c r="D75" i="29" s="1"/>
  <c r="D76" i="29" s="1"/>
  <c r="D77" i="29" s="1"/>
  <c r="D78" i="29" s="1"/>
  <c r="D79" i="29" s="1"/>
  <c r="D80" i="29" s="1"/>
  <c r="D81" i="29" s="1"/>
  <c r="D82" i="29" s="1"/>
  <c r="D83" i="29" s="1"/>
  <c r="D84" i="29" s="1"/>
  <c r="D85" i="29" s="1"/>
  <c r="D86" i="29" s="1"/>
  <c r="D87" i="29" s="1"/>
  <c r="D88" i="29" s="1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109" i="29" s="1"/>
  <c r="D110" i="29" s="1"/>
  <c r="D111" i="29" s="1"/>
  <c r="D112" i="29" s="1"/>
  <c r="D113" i="29" s="1"/>
  <c r="D114" i="29" s="1"/>
  <c r="D115" i="29" s="1"/>
  <c r="D116" i="29" s="1"/>
  <c r="D117" i="29" s="1"/>
  <c r="D118" i="29" s="1"/>
  <c r="D119" i="29" s="1"/>
  <c r="D120" i="29" s="1"/>
  <c r="D121" i="29" s="1"/>
  <c r="D122" i="29" s="1"/>
  <c r="D123" i="29" s="1"/>
  <c r="D124" i="29" s="1"/>
  <c r="D125" i="29" s="1"/>
  <c r="D126" i="29" s="1"/>
  <c r="D127" i="29" s="1"/>
  <c r="D128" i="29" s="1"/>
  <c r="D129" i="29" s="1"/>
  <c r="D130" i="29" s="1"/>
  <c r="D131" i="29" s="1"/>
  <c r="D132" i="29" s="1"/>
  <c r="D133" i="29" s="1"/>
  <c r="D134" i="29" s="1"/>
  <c r="D135" i="29" s="1"/>
  <c r="D136" i="29" s="1"/>
  <c r="D137" i="29" s="1"/>
  <c r="D138" i="29" s="1"/>
  <c r="D139" i="29" s="1"/>
  <c r="D140" i="29" s="1"/>
  <c r="D141" i="29" s="1"/>
  <c r="D142" i="29" s="1"/>
  <c r="D143" i="29" s="1"/>
  <c r="D144" i="29" s="1"/>
  <c r="D145" i="29" s="1"/>
  <c r="D146" i="29" s="1"/>
  <c r="D147" i="29" s="1"/>
  <c r="D148" i="29" s="1"/>
  <c r="D149" i="29" s="1"/>
  <c r="D150" i="29" s="1"/>
  <c r="D151" i="29" s="1"/>
  <c r="D152" i="29" s="1"/>
  <c r="D153" i="29" s="1"/>
  <c r="D154" i="29" s="1"/>
  <c r="D155" i="29" s="1"/>
  <c r="D156" i="29" s="1"/>
  <c r="D157" i="29" s="1"/>
  <c r="D158" i="29" s="1"/>
  <c r="D159" i="29" s="1"/>
  <c r="D160" i="29" s="1"/>
  <c r="D161" i="29" s="1"/>
  <c r="D162" i="29" s="1"/>
  <c r="D163" i="29" s="1"/>
  <c r="D164" i="29" s="1"/>
  <c r="D165" i="29" s="1"/>
  <c r="D166" i="29" s="1"/>
  <c r="D167" i="29" s="1"/>
  <c r="D168" i="29" s="1"/>
  <c r="D169" i="29" s="1"/>
  <c r="D170" i="29" s="1"/>
  <c r="D171" i="29" s="1"/>
  <c r="D172" i="29" s="1"/>
  <c r="D173" i="29" s="1"/>
  <c r="D174" i="29" s="1"/>
  <c r="D175" i="29" s="1"/>
  <c r="D176" i="29" s="1"/>
  <c r="D177" i="29" s="1"/>
  <c r="D178" i="29" s="1"/>
  <c r="D179" i="29" s="1"/>
  <c r="D180" i="29" s="1"/>
  <c r="D181" i="29" s="1"/>
  <c r="D182" i="29" s="1"/>
  <c r="D183" i="29" s="1"/>
  <c r="D184" i="29" s="1"/>
  <c r="D185" i="29" s="1"/>
  <c r="D186" i="29" s="1"/>
  <c r="D187" i="29" s="1"/>
  <c r="D188" i="29" s="1"/>
  <c r="D189" i="29" s="1"/>
  <c r="D190" i="29" s="1"/>
  <c r="D191" i="29" s="1"/>
  <c r="D192" i="29" s="1"/>
  <c r="D193" i="29" s="1"/>
  <c r="D194" i="29" s="1"/>
  <c r="D195" i="29" s="1"/>
  <c r="D196" i="29" s="1"/>
  <c r="D197" i="29" s="1"/>
  <c r="D198" i="29" s="1"/>
  <c r="D199" i="29" s="1"/>
  <c r="D200" i="29" s="1"/>
  <c r="D201" i="29" s="1"/>
  <c r="D202" i="29" s="1"/>
  <c r="D203" i="29" s="1"/>
  <c r="D204" i="29" s="1"/>
  <c r="D205" i="29" s="1"/>
  <c r="D206" i="29" s="1"/>
  <c r="D207" i="29" s="1"/>
  <c r="D208" i="29" s="1"/>
  <c r="D209" i="29" s="1"/>
  <c r="D210" i="29" s="1"/>
  <c r="D211" i="29" s="1"/>
  <c r="D212" i="29" s="1"/>
  <c r="D213" i="29" s="1"/>
  <c r="D214" i="29" s="1"/>
  <c r="D215" i="29" s="1"/>
  <c r="D216" i="29" s="1"/>
  <c r="D217" i="29" s="1"/>
  <c r="D218" i="29" s="1"/>
  <c r="D219" i="29" s="1"/>
  <c r="D220" i="29" s="1"/>
  <c r="D221" i="29" s="1"/>
  <c r="D222" i="29" s="1"/>
  <c r="D223" i="29" s="1"/>
  <c r="D224" i="29" s="1"/>
  <c r="D225" i="29" s="1"/>
  <c r="D226" i="29" s="1"/>
  <c r="D227" i="29" s="1"/>
  <c r="D228" i="29" s="1"/>
  <c r="D229" i="29" s="1"/>
  <c r="D230" i="29" s="1"/>
  <c r="D231" i="29" s="1"/>
  <c r="D232" i="29" s="1"/>
  <c r="D233" i="29" s="1"/>
  <c r="D234" i="29" s="1"/>
  <c r="B6" i="29"/>
  <c r="B7" i="29" s="1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D6" i="28"/>
  <c r="D7" i="28" s="1"/>
  <c r="D8" i="28" s="1"/>
  <c r="D9" i="28" s="1"/>
  <c r="D10" i="28" s="1"/>
  <c r="D11" i="28" s="1"/>
  <c r="D12" i="28" s="1"/>
  <c r="D13" i="28" s="1"/>
  <c r="D14" i="28" s="1"/>
  <c r="D15" i="28" s="1"/>
  <c r="D16" i="28" s="1"/>
  <c r="D17" i="28" s="1"/>
  <c r="D18" i="28" s="1"/>
  <c r="D19" i="28" s="1"/>
  <c r="D20" i="28" s="1"/>
  <c r="D21" i="28" s="1"/>
  <c r="D22" i="28" s="1"/>
  <c r="D23" i="28" s="1"/>
  <c r="D24" i="28" s="1"/>
  <c r="D25" i="28" s="1"/>
  <c r="D26" i="28" s="1"/>
  <c r="D27" i="28" s="1"/>
  <c r="D28" i="28" s="1"/>
  <c r="D29" i="28" s="1"/>
  <c r="D30" i="28" s="1"/>
  <c r="D31" i="28" s="1"/>
  <c r="D32" i="28" s="1"/>
  <c r="D33" i="28" s="1"/>
  <c r="D34" i="28" s="1"/>
  <c r="D35" i="28" s="1"/>
  <c r="D36" i="28" s="1"/>
  <c r="D37" i="28" s="1"/>
  <c r="D38" i="28" s="1"/>
  <c r="D39" i="28" s="1"/>
  <c r="D40" i="28" s="1"/>
  <c r="D41" i="28" s="1"/>
  <c r="D42" i="28" s="1"/>
  <c r="D43" i="28" s="1"/>
  <c r="D44" i="28" s="1"/>
  <c r="D45" i="28" s="1"/>
  <c r="D46" i="28" s="1"/>
  <c r="D47" i="28" s="1"/>
  <c r="D48" i="28" s="1"/>
  <c r="D49" i="28" s="1"/>
  <c r="D50" i="28" s="1"/>
  <c r="D51" i="28" s="1"/>
  <c r="D52" i="28" s="1"/>
  <c r="D53" i="28" s="1"/>
  <c r="D54" i="28" s="1"/>
  <c r="D55" i="28" s="1"/>
  <c r="D56" i="28" s="1"/>
  <c r="D57" i="28" s="1"/>
  <c r="D58" i="28" s="1"/>
  <c r="D59" i="28" s="1"/>
  <c r="D60" i="28" s="1"/>
  <c r="D61" i="28" s="1"/>
  <c r="D62" i="28" s="1"/>
  <c r="D63" i="28" s="1"/>
  <c r="D64" i="28" s="1"/>
  <c r="D65" i="28" s="1"/>
  <c r="D66" i="28" s="1"/>
  <c r="D67" i="28" s="1"/>
  <c r="D68" i="28" s="1"/>
  <c r="D69" i="28" s="1"/>
  <c r="D70" i="28" s="1"/>
  <c r="D71" i="28" s="1"/>
  <c r="D72" i="28" s="1"/>
  <c r="D73" i="28" s="1"/>
  <c r="D74" i="28" s="1"/>
  <c r="D75" i="28" s="1"/>
  <c r="D76" i="28" s="1"/>
  <c r="D77" i="28" s="1"/>
  <c r="D78" i="28" s="1"/>
  <c r="D79" i="28" s="1"/>
  <c r="D80" i="28" s="1"/>
  <c r="D81" i="28" s="1"/>
  <c r="D82" i="28" s="1"/>
  <c r="D83" i="28" s="1"/>
  <c r="D84" i="28" s="1"/>
  <c r="D85" i="28" s="1"/>
  <c r="D86" i="28" s="1"/>
  <c r="D87" i="28" s="1"/>
  <c r="D88" i="28" s="1"/>
  <c r="D89" i="28" s="1"/>
  <c r="D90" i="28" s="1"/>
  <c r="D91" i="28" s="1"/>
  <c r="D92" i="28" s="1"/>
  <c r="D93" i="28" s="1"/>
  <c r="D94" i="28" s="1"/>
  <c r="D95" i="28" s="1"/>
  <c r="D96" i="28" s="1"/>
  <c r="D97" i="28" s="1"/>
  <c r="D98" i="28" s="1"/>
  <c r="D99" i="28" s="1"/>
  <c r="D100" i="28" s="1"/>
  <c r="D101" i="28" s="1"/>
  <c r="D102" i="28" s="1"/>
  <c r="D103" i="28" s="1"/>
  <c r="D104" i="28" s="1"/>
  <c r="D105" i="28" s="1"/>
  <c r="D106" i="28" s="1"/>
  <c r="D107" i="28" s="1"/>
  <c r="D108" i="28" s="1"/>
  <c r="D109" i="28" s="1"/>
  <c r="D110" i="28" s="1"/>
  <c r="D111" i="28" s="1"/>
  <c r="D112" i="28" s="1"/>
  <c r="D113" i="28" s="1"/>
  <c r="D114" i="28" s="1"/>
  <c r="D115" i="28" s="1"/>
  <c r="D116" i="28" s="1"/>
  <c r="D117" i="28" s="1"/>
  <c r="D118" i="28" s="1"/>
  <c r="D119" i="28" s="1"/>
  <c r="D120" i="28" s="1"/>
  <c r="D121" i="28" s="1"/>
  <c r="D122" i="28" s="1"/>
  <c r="D123" i="28" s="1"/>
  <c r="D124" i="28" s="1"/>
  <c r="D125" i="28" s="1"/>
  <c r="D126" i="28" s="1"/>
  <c r="D127" i="28" s="1"/>
  <c r="D128" i="28" s="1"/>
  <c r="D129" i="28" s="1"/>
  <c r="D130" i="28" s="1"/>
  <c r="D131" i="28" s="1"/>
  <c r="D132" i="28" s="1"/>
  <c r="D133" i="28" s="1"/>
  <c r="D134" i="28" s="1"/>
  <c r="D135" i="28" s="1"/>
  <c r="D136" i="28" s="1"/>
  <c r="D137" i="28" s="1"/>
  <c r="D138" i="28" s="1"/>
  <c r="D139" i="28" s="1"/>
  <c r="D140" i="28" s="1"/>
  <c r="D141" i="28" s="1"/>
  <c r="D142" i="28" s="1"/>
  <c r="D143" i="28" s="1"/>
  <c r="D144" i="28" s="1"/>
  <c r="D145" i="28" s="1"/>
  <c r="D146" i="28" s="1"/>
  <c r="D147" i="28" s="1"/>
  <c r="D148" i="28" s="1"/>
  <c r="D149" i="28" s="1"/>
  <c r="D150" i="28" s="1"/>
  <c r="D151" i="28" s="1"/>
  <c r="D152" i="28" s="1"/>
  <c r="D153" i="28" s="1"/>
  <c r="D154" i="28" s="1"/>
  <c r="D155" i="28" s="1"/>
  <c r="D156" i="28" s="1"/>
  <c r="D157" i="28" s="1"/>
  <c r="D158" i="28" s="1"/>
  <c r="D159" i="28" s="1"/>
  <c r="D160" i="28" s="1"/>
  <c r="D161" i="28" s="1"/>
  <c r="D162" i="28" s="1"/>
  <c r="D163" i="28" s="1"/>
  <c r="D164" i="28" s="1"/>
  <c r="D165" i="28" s="1"/>
  <c r="D166" i="28" s="1"/>
  <c r="D167" i="28" s="1"/>
  <c r="D168" i="28" s="1"/>
  <c r="D169" i="28" s="1"/>
  <c r="D170" i="28" s="1"/>
  <c r="D171" i="28" s="1"/>
  <c r="D172" i="28" s="1"/>
  <c r="D173" i="28" s="1"/>
  <c r="D174" i="28" s="1"/>
  <c r="D175" i="28" s="1"/>
  <c r="D176" i="28" s="1"/>
  <c r="D177" i="28" s="1"/>
  <c r="D178" i="28" s="1"/>
  <c r="D179" i="28" s="1"/>
  <c r="D180" i="28" s="1"/>
  <c r="D181" i="28" s="1"/>
  <c r="D182" i="28" s="1"/>
  <c r="D183" i="28" s="1"/>
  <c r="D184" i="28" s="1"/>
  <c r="D185" i="28" s="1"/>
  <c r="D186" i="28" s="1"/>
  <c r="D187" i="28" s="1"/>
  <c r="D188" i="28" s="1"/>
  <c r="D189" i="28" s="1"/>
  <c r="D190" i="28" s="1"/>
  <c r="D191" i="28" s="1"/>
  <c r="D192" i="28" s="1"/>
  <c r="D193" i="28" s="1"/>
  <c r="D194" i="28" s="1"/>
  <c r="D195" i="28" s="1"/>
  <c r="D196" i="28" s="1"/>
  <c r="D197" i="28" s="1"/>
  <c r="D198" i="28" s="1"/>
  <c r="D199" i="28" s="1"/>
  <c r="D200" i="28" s="1"/>
  <c r="D201" i="28" s="1"/>
  <c r="D202" i="28" s="1"/>
  <c r="D203" i="28" s="1"/>
  <c r="D204" i="28" s="1"/>
  <c r="D205" i="28" s="1"/>
  <c r="D206" i="28" s="1"/>
  <c r="D207" i="28" s="1"/>
  <c r="D208" i="28" s="1"/>
  <c r="D209" i="28" s="1"/>
  <c r="D210" i="28" s="1"/>
  <c r="D211" i="28" s="1"/>
  <c r="D212" i="28" s="1"/>
  <c r="D213" i="28" s="1"/>
  <c r="D214" i="28" s="1"/>
  <c r="D215" i="28" s="1"/>
  <c r="D216" i="28" s="1"/>
  <c r="D217" i="28" s="1"/>
  <c r="D218" i="28" s="1"/>
  <c r="D219" i="28" s="1"/>
  <c r="D220" i="28" s="1"/>
  <c r="D221" i="28" s="1"/>
  <c r="D222" i="28" s="1"/>
  <c r="D223" i="28" s="1"/>
  <c r="D224" i="28" s="1"/>
  <c r="D225" i="28" s="1"/>
  <c r="D226" i="28" s="1"/>
  <c r="D227" i="28" s="1"/>
  <c r="D228" i="28" s="1"/>
  <c r="D229" i="28" s="1"/>
  <c r="D230" i="28" s="1"/>
  <c r="D231" i="28" s="1"/>
  <c r="D232" i="28" s="1"/>
  <c r="D233" i="28" s="1"/>
  <c r="D234" i="28" s="1"/>
  <c r="B6" i="28"/>
  <c r="B7" i="28" s="1"/>
  <c r="B8" i="28" s="1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D6" i="26"/>
  <c r="D7" i="26" s="1"/>
  <c r="D8" i="26" s="1"/>
  <c r="D9" i="26" s="1"/>
  <c r="D10" i="26" s="1"/>
  <c r="D11" i="26" s="1"/>
  <c r="D12" i="26" s="1"/>
  <c r="D13" i="26" s="1"/>
  <c r="D14" i="26" s="1"/>
  <c r="D15" i="26" s="1"/>
  <c r="D16" i="26" s="1"/>
  <c r="D17" i="26" s="1"/>
  <c r="D18" i="26" s="1"/>
  <c r="D19" i="26" s="1"/>
  <c r="D20" i="26" s="1"/>
  <c r="D21" i="26" s="1"/>
  <c r="D22" i="26" s="1"/>
  <c r="D23" i="26" s="1"/>
  <c r="D24" i="26" s="1"/>
  <c r="D25" i="26" s="1"/>
  <c r="D26" i="26" s="1"/>
  <c r="D27" i="26" s="1"/>
  <c r="D28" i="26" s="1"/>
  <c r="D29" i="26" s="1"/>
  <c r="D30" i="26" s="1"/>
  <c r="D31" i="26" s="1"/>
  <c r="D32" i="26" s="1"/>
  <c r="D33" i="26" s="1"/>
  <c r="D34" i="26" s="1"/>
  <c r="D35" i="26" s="1"/>
  <c r="D36" i="26" s="1"/>
  <c r="D37" i="26" s="1"/>
  <c r="D38" i="26" s="1"/>
  <c r="D39" i="26" s="1"/>
  <c r="D40" i="26" s="1"/>
  <c r="D41" i="26" s="1"/>
  <c r="D42" i="26" s="1"/>
  <c r="D43" i="26" s="1"/>
  <c r="D44" i="26" s="1"/>
  <c r="D45" i="26" s="1"/>
  <c r="D46" i="26" s="1"/>
  <c r="D47" i="26" s="1"/>
  <c r="D48" i="26" s="1"/>
  <c r="D49" i="26" s="1"/>
  <c r="D50" i="26" s="1"/>
  <c r="D51" i="26" s="1"/>
  <c r="D52" i="26" s="1"/>
  <c r="D53" i="26" s="1"/>
  <c r="D54" i="26" s="1"/>
  <c r="D55" i="26" s="1"/>
  <c r="D56" i="26" s="1"/>
  <c r="D57" i="26" s="1"/>
  <c r="D58" i="26" s="1"/>
  <c r="D59" i="26" s="1"/>
  <c r="D60" i="26" s="1"/>
  <c r="D61" i="26" s="1"/>
  <c r="D62" i="26" s="1"/>
  <c r="D63" i="26" s="1"/>
  <c r="D64" i="26" s="1"/>
  <c r="D65" i="26" s="1"/>
  <c r="D66" i="26" s="1"/>
  <c r="D67" i="26" s="1"/>
  <c r="D68" i="26" s="1"/>
  <c r="D69" i="26" s="1"/>
  <c r="D70" i="26" s="1"/>
  <c r="D71" i="26" s="1"/>
  <c r="D72" i="26" s="1"/>
  <c r="D73" i="26" s="1"/>
  <c r="D74" i="26" s="1"/>
  <c r="D75" i="26" s="1"/>
  <c r="D76" i="26" s="1"/>
  <c r="D77" i="26" s="1"/>
  <c r="D78" i="26" s="1"/>
  <c r="D79" i="26" s="1"/>
  <c r="D80" i="26" s="1"/>
  <c r="D81" i="26" s="1"/>
  <c r="D82" i="26" s="1"/>
  <c r="D83" i="26" s="1"/>
  <c r="D84" i="26" s="1"/>
  <c r="D85" i="26" s="1"/>
  <c r="D86" i="26" s="1"/>
  <c r="D87" i="26" s="1"/>
  <c r="D88" i="26" s="1"/>
  <c r="D89" i="26" s="1"/>
  <c r="D90" i="26" s="1"/>
  <c r="D91" i="26" s="1"/>
  <c r="D92" i="26" s="1"/>
  <c r="D93" i="26" s="1"/>
  <c r="D94" i="26" s="1"/>
  <c r="D95" i="26" s="1"/>
  <c r="D96" i="26" s="1"/>
  <c r="D97" i="26" s="1"/>
  <c r="D98" i="26" s="1"/>
  <c r="D99" i="26" s="1"/>
  <c r="D100" i="26" s="1"/>
  <c r="D101" i="26" s="1"/>
  <c r="D102" i="26" s="1"/>
  <c r="D103" i="26" s="1"/>
  <c r="D104" i="26" s="1"/>
  <c r="D105" i="26" s="1"/>
  <c r="D106" i="26" s="1"/>
  <c r="D107" i="26" s="1"/>
  <c r="D108" i="26" s="1"/>
  <c r="D109" i="26" s="1"/>
  <c r="D110" i="26" s="1"/>
  <c r="D111" i="26" s="1"/>
  <c r="D112" i="26" s="1"/>
  <c r="D113" i="26" s="1"/>
  <c r="D114" i="26" s="1"/>
  <c r="D115" i="26" s="1"/>
  <c r="D116" i="26" s="1"/>
  <c r="D117" i="26" s="1"/>
  <c r="D118" i="26" s="1"/>
  <c r="D119" i="26" s="1"/>
  <c r="D120" i="26" s="1"/>
  <c r="D121" i="26" s="1"/>
  <c r="D122" i="26" s="1"/>
  <c r="D123" i="26" s="1"/>
  <c r="D124" i="26" s="1"/>
  <c r="D125" i="26" s="1"/>
  <c r="D126" i="26" s="1"/>
  <c r="D127" i="26" s="1"/>
  <c r="D128" i="26" s="1"/>
  <c r="D129" i="26" s="1"/>
  <c r="D130" i="26" s="1"/>
  <c r="D131" i="26" s="1"/>
  <c r="D132" i="26" s="1"/>
  <c r="D133" i="26" s="1"/>
  <c r="D134" i="26" s="1"/>
  <c r="D135" i="26" s="1"/>
  <c r="D136" i="26" s="1"/>
  <c r="D137" i="26" s="1"/>
  <c r="D138" i="26" s="1"/>
  <c r="D139" i="26" s="1"/>
  <c r="D140" i="26" s="1"/>
  <c r="D141" i="26" s="1"/>
  <c r="D142" i="26" s="1"/>
  <c r="D143" i="26" s="1"/>
  <c r="D144" i="26" s="1"/>
  <c r="D145" i="26" s="1"/>
  <c r="D146" i="26" s="1"/>
  <c r="D147" i="26" s="1"/>
  <c r="D148" i="26" s="1"/>
  <c r="D149" i="26" s="1"/>
  <c r="D150" i="26" s="1"/>
  <c r="D151" i="26" s="1"/>
  <c r="D152" i="26" s="1"/>
  <c r="D153" i="26" s="1"/>
  <c r="D154" i="26" s="1"/>
  <c r="D155" i="26" s="1"/>
  <c r="D156" i="26" s="1"/>
  <c r="D157" i="26" s="1"/>
  <c r="D158" i="26" s="1"/>
  <c r="D159" i="26" s="1"/>
  <c r="D160" i="26" s="1"/>
  <c r="D161" i="26" s="1"/>
  <c r="D162" i="26" s="1"/>
  <c r="D163" i="26" s="1"/>
  <c r="D164" i="26" s="1"/>
  <c r="D165" i="26" s="1"/>
  <c r="D166" i="26" s="1"/>
  <c r="D167" i="26" s="1"/>
  <c r="D168" i="26" s="1"/>
  <c r="D169" i="26" s="1"/>
  <c r="D170" i="26" s="1"/>
  <c r="D171" i="26" s="1"/>
  <c r="D172" i="26" s="1"/>
  <c r="D173" i="26" s="1"/>
  <c r="D174" i="26" s="1"/>
  <c r="D175" i="26" s="1"/>
  <c r="D176" i="26" s="1"/>
  <c r="D177" i="26" s="1"/>
  <c r="D178" i="26" s="1"/>
  <c r="D179" i="26" s="1"/>
  <c r="D180" i="26" s="1"/>
  <c r="D181" i="26" s="1"/>
  <c r="D182" i="26" s="1"/>
  <c r="D183" i="26" s="1"/>
  <c r="D184" i="26" s="1"/>
  <c r="D185" i="26" s="1"/>
  <c r="D186" i="26" s="1"/>
  <c r="D187" i="26" s="1"/>
  <c r="D188" i="26" s="1"/>
  <c r="D189" i="26" s="1"/>
  <c r="D190" i="26" s="1"/>
  <c r="D191" i="26" s="1"/>
  <c r="D192" i="26" s="1"/>
  <c r="D193" i="26" s="1"/>
  <c r="D194" i="26" s="1"/>
  <c r="D195" i="26" s="1"/>
  <c r="D196" i="26" s="1"/>
  <c r="D197" i="26" s="1"/>
  <c r="D198" i="26" s="1"/>
  <c r="D199" i="26" s="1"/>
  <c r="D200" i="26" s="1"/>
  <c r="D201" i="26" s="1"/>
  <c r="D202" i="26" s="1"/>
  <c r="D203" i="26" s="1"/>
  <c r="D204" i="26" s="1"/>
  <c r="D205" i="26" s="1"/>
  <c r="D206" i="26" s="1"/>
  <c r="D207" i="26" s="1"/>
  <c r="D208" i="26" s="1"/>
  <c r="D209" i="26" s="1"/>
  <c r="D210" i="26" s="1"/>
  <c r="D211" i="26" s="1"/>
  <c r="D212" i="26" s="1"/>
  <c r="D213" i="26" s="1"/>
  <c r="D214" i="26" s="1"/>
  <c r="D215" i="26" s="1"/>
  <c r="D216" i="26" s="1"/>
  <c r="D217" i="26" s="1"/>
  <c r="D218" i="26" s="1"/>
  <c r="D219" i="26" s="1"/>
  <c r="D220" i="26" s="1"/>
  <c r="D221" i="26" s="1"/>
  <c r="D222" i="26" s="1"/>
  <c r="D223" i="26" s="1"/>
  <c r="D224" i="26" s="1"/>
  <c r="D225" i="26" s="1"/>
  <c r="D226" i="26" s="1"/>
  <c r="D227" i="26" s="1"/>
  <c r="D228" i="26" s="1"/>
  <c r="D229" i="26" s="1"/>
  <c r="D230" i="26" s="1"/>
  <c r="D231" i="26" s="1"/>
  <c r="D232" i="26" s="1"/>
  <c r="D233" i="26" s="1"/>
  <c r="D234" i="26" s="1"/>
  <c r="B6" i="26"/>
  <c r="B7" i="26" s="1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B192" i="26" s="1"/>
  <c r="B193" i="26" s="1"/>
  <c r="B194" i="26" s="1"/>
  <c r="B195" i="26" s="1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218" i="26" s="1"/>
  <c r="B219" i="26" s="1"/>
  <c r="B220" i="26" s="1"/>
  <c r="B221" i="26" s="1"/>
  <c r="B222" i="26" s="1"/>
  <c r="B223" i="26" s="1"/>
  <c r="B224" i="26" s="1"/>
  <c r="B225" i="26" s="1"/>
  <c r="B226" i="26" s="1"/>
  <c r="B227" i="26" s="1"/>
  <c r="B228" i="26" s="1"/>
  <c r="B229" i="26" s="1"/>
  <c r="B230" i="26" s="1"/>
  <c r="B231" i="26" s="1"/>
  <c r="B232" i="26" s="1"/>
  <c r="B233" i="26" s="1"/>
  <c r="B234" i="26" s="1"/>
  <c r="D6" i="25"/>
  <c r="D7" i="25" s="1"/>
  <c r="D8" i="25" s="1"/>
  <c r="D9" i="25" s="1"/>
  <c r="D10" i="25" s="1"/>
  <c r="D11" i="25" s="1"/>
  <c r="D12" i="25" s="1"/>
  <c r="D13" i="25" s="1"/>
  <c r="D14" i="25" s="1"/>
  <c r="D15" i="25" s="1"/>
  <c r="D16" i="25" s="1"/>
  <c r="D17" i="25" s="1"/>
  <c r="D18" i="25" s="1"/>
  <c r="D19" i="25" s="1"/>
  <c r="D20" i="25" s="1"/>
  <c r="D21" i="25" s="1"/>
  <c r="D22" i="25" s="1"/>
  <c r="D23" i="25" s="1"/>
  <c r="D24" i="25" s="1"/>
  <c r="D25" i="25" s="1"/>
  <c r="D26" i="25" s="1"/>
  <c r="D27" i="25" s="1"/>
  <c r="D28" i="25" s="1"/>
  <c r="D29" i="25" s="1"/>
  <c r="D30" i="25" s="1"/>
  <c r="D31" i="25" s="1"/>
  <c r="D32" i="25" s="1"/>
  <c r="D33" i="25" s="1"/>
  <c r="D34" i="25" s="1"/>
  <c r="D35" i="25" s="1"/>
  <c r="D36" i="25" s="1"/>
  <c r="D37" i="25" s="1"/>
  <c r="D38" i="25" s="1"/>
  <c r="D39" i="25" s="1"/>
  <c r="D40" i="25" s="1"/>
  <c r="D41" i="25" s="1"/>
  <c r="D42" i="25" s="1"/>
  <c r="D43" i="25" s="1"/>
  <c r="D44" i="25" s="1"/>
  <c r="D45" i="25" s="1"/>
  <c r="D46" i="25" s="1"/>
  <c r="D47" i="25" s="1"/>
  <c r="D48" i="25" s="1"/>
  <c r="D49" i="25" s="1"/>
  <c r="D50" i="25" s="1"/>
  <c r="D51" i="25" s="1"/>
  <c r="D52" i="25" s="1"/>
  <c r="D53" i="25" s="1"/>
  <c r="D54" i="25" s="1"/>
  <c r="D55" i="25" s="1"/>
  <c r="D56" i="25" s="1"/>
  <c r="D57" i="25" s="1"/>
  <c r="D58" i="25" s="1"/>
  <c r="D59" i="25" s="1"/>
  <c r="D60" i="25" s="1"/>
  <c r="D61" i="25" s="1"/>
  <c r="D62" i="25" s="1"/>
  <c r="D63" i="25" s="1"/>
  <c r="D64" i="25" s="1"/>
  <c r="D65" i="25" s="1"/>
  <c r="D66" i="25" s="1"/>
  <c r="D67" i="25" s="1"/>
  <c r="D68" i="25" s="1"/>
  <c r="D69" i="25" s="1"/>
  <c r="D70" i="25" s="1"/>
  <c r="D71" i="25" s="1"/>
  <c r="D72" i="25" s="1"/>
  <c r="D73" i="25" s="1"/>
  <c r="D74" i="25" s="1"/>
  <c r="D75" i="25" s="1"/>
  <c r="D76" i="25" s="1"/>
  <c r="D77" i="25" s="1"/>
  <c r="D78" i="25" s="1"/>
  <c r="D79" i="25" s="1"/>
  <c r="D80" i="25" s="1"/>
  <c r="D81" i="25" s="1"/>
  <c r="D82" i="25" s="1"/>
  <c r="D83" i="25" s="1"/>
  <c r="D84" i="25" s="1"/>
  <c r="D85" i="25" s="1"/>
  <c r="D86" i="25" s="1"/>
  <c r="D87" i="25" s="1"/>
  <c r="D88" i="25" s="1"/>
  <c r="D89" i="25" s="1"/>
  <c r="D90" i="25" s="1"/>
  <c r="D91" i="25" s="1"/>
  <c r="D92" i="25" s="1"/>
  <c r="D93" i="25" s="1"/>
  <c r="D94" i="25" s="1"/>
  <c r="D95" i="25" s="1"/>
  <c r="D96" i="25" s="1"/>
  <c r="D97" i="25" s="1"/>
  <c r="D98" i="25" s="1"/>
  <c r="D99" i="25" s="1"/>
  <c r="D100" i="25" s="1"/>
  <c r="D101" i="25" s="1"/>
  <c r="D102" i="25" s="1"/>
  <c r="D103" i="25" s="1"/>
  <c r="D104" i="25" s="1"/>
  <c r="D105" i="25" s="1"/>
  <c r="D106" i="25" s="1"/>
  <c r="D107" i="25" s="1"/>
  <c r="D108" i="25" s="1"/>
  <c r="D109" i="25" s="1"/>
  <c r="D110" i="25" s="1"/>
  <c r="D111" i="25" s="1"/>
  <c r="D112" i="25" s="1"/>
  <c r="D113" i="25" s="1"/>
  <c r="D114" i="25" s="1"/>
  <c r="D115" i="25" s="1"/>
  <c r="D116" i="25" s="1"/>
  <c r="D117" i="25" s="1"/>
  <c r="D118" i="25" s="1"/>
  <c r="D119" i="25" s="1"/>
  <c r="D120" i="25" s="1"/>
  <c r="D121" i="25" s="1"/>
  <c r="D122" i="25" s="1"/>
  <c r="D123" i="25" s="1"/>
  <c r="D124" i="25" s="1"/>
  <c r="D125" i="25" s="1"/>
  <c r="D126" i="25" s="1"/>
  <c r="D127" i="25" s="1"/>
  <c r="D128" i="25" s="1"/>
  <c r="D129" i="25" s="1"/>
  <c r="D130" i="25" s="1"/>
  <c r="D131" i="25" s="1"/>
  <c r="D132" i="25" s="1"/>
  <c r="D133" i="25" s="1"/>
  <c r="D134" i="25" s="1"/>
  <c r="D135" i="25" s="1"/>
  <c r="D136" i="25" s="1"/>
  <c r="D137" i="25" s="1"/>
  <c r="D138" i="25" s="1"/>
  <c r="D139" i="25" s="1"/>
  <c r="D140" i="25" s="1"/>
  <c r="D141" i="25" s="1"/>
  <c r="D142" i="25" s="1"/>
  <c r="D143" i="25" s="1"/>
  <c r="D144" i="25" s="1"/>
  <c r="D145" i="25" s="1"/>
  <c r="D146" i="25" s="1"/>
  <c r="D147" i="25" s="1"/>
  <c r="D148" i="25" s="1"/>
  <c r="D149" i="25" s="1"/>
  <c r="D150" i="25" s="1"/>
  <c r="D151" i="25" s="1"/>
  <c r="D152" i="25" s="1"/>
  <c r="D153" i="25" s="1"/>
  <c r="D154" i="25" s="1"/>
  <c r="D155" i="25" s="1"/>
  <c r="D156" i="25" s="1"/>
  <c r="D157" i="25" s="1"/>
  <c r="D158" i="25" s="1"/>
  <c r="D159" i="25" s="1"/>
  <c r="D160" i="25" s="1"/>
  <c r="D161" i="25" s="1"/>
  <c r="D162" i="25" s="1"/>
  <c r="D163" i="25" s="1"/>
  <c r="D164" i="25" s="1"/>
  <c r="D165" i="25" s="1"/>
  <c r="D166" i="25" s="1"/>
  <c r="D167" i="25" s="1"/>
  <c r="D168" i="25" s="1"/>
  <c r="D169" i="25" s="1"/>
  <c r="D170" i="25" s="1"/>
  <c r="D171" i="25" s="1"/>
  <c r="D172" i="25" s="1"/>
  <c r="D173" i="25" s="1"/>
  <c r="D174" i="25" s="1"/>
  <c r="D175" i="25" s="1"/>
  <c r="D176" i="25" s="1"/>
  <c r="D177" i="25" s="1"/>
  <c r="D178" i="25" s="1"/>
  <c r="D179" i="25" s="1"/>
  <c r="D180" i="25" s="1"/>
  <c r="D181" i="25" s="1"/>
  <c r="D182" i="25" s="1"/>
  <c r="D183" i="25" s="1"/>
  <c r="D184" i="25" s="1"/>
  <c r="D185" i="25" s="1"/>
  <c r="D186" i="25" s="1"/>
  <c r="D187" i="25" s="1"/>
  <c r="D188" i="25" s="1"/>
  <c r="D189" i="25" s="1"/>
  <c r="D190" i="25" s="1"/>
  <c r="D191" i="25" s="1"/>
  <c r="D192" i="25" s="1"/>
  <c r="D193" i="25" s="1"/>
  <c r="D194" i="25" s="1"/>
  <c r="D195" i="25" s="1"/>
  <c r="D196" i="25" s="1"/>
  <c r="D197" i="25" s="1"/>
  <c r="D198" i="25" s="1"/>
  <c r="D199" i="25" s="1"/>
  <c r="D200" i="25" s="1"/>
  <c r="D201" i="25" s="1"/>
  <c r="D202" i="25" s="1"/>
  <c r="D203" i="25" s="1"/>
  <c r="D204" i="25" s="1"/>
  <c r="D205" i="25" s="1"/>
  <c r="D206" i="25" s="1"/>
  <c r="D207" i="25" s="1"/>
  <c r="D208" i="25" s="1"/>
  <c r="D209" i="25" s="1"/>
  <c r="D210" i="25" s="1"/>
  <c r="D211" i="25" s="1"/>
  <c r="D212" i="25" s="1"/>
  <c r="D213" i="25" s="1"/>
  <c r="D214" i="25" s="1"/>
  <c r="D215" i="25" s="1"/>
  <c r="D216" i="25" s="1"/>
  <c r="D217" i="25" s="1"/>
  <c r="D218" i="25" s="1"/>
  <c r="D219" i="25" s="1"/>
  <c r="D220" i="25" s="1"/>
  <c r="D221" i="25" s="1"/>
  <c r="D222" i="25" s="1"/>
  <c r="D223" i="25" s="1"/>
  <c r="D224" i="25" s="1"/>
  <c r="D225" i="25" s="1"/>
  <c r="D226" i="25" s="1"/>
  <c r="D227" i="25" s="1"/>
  <c r="D228" i="25" s="1"/>
  <c r="D229" i="25" s="1"/>
  <c r="D230" i="25" s="1"/>
  <c r="D231" i="25" s="1"/>
  <c r="D232" i="25" s="1"/>
  <c r="D233" i="25" s="1"/>
  <c r="D234" i="25" s="1"/>
  <c r="B6" i="25"/>
  <c r="B7" i="25" s="1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206" i="25" s="1"/>
  <c r="B207" i="25" s="1"/>
  <c r="B208" i="25" s="1"/>
  <c r="B209" i="25" s="1"/>
  <c r="B210" i="25" s="1"/>
  <c r="B211" i="25" s="1"/>
  <c r="B212" i="25" s="1"/>
  <c r="B213" i="25" s="1"/>
  <c r="B214" i="25" s="1"/>
  <c r="B215" i="25" s="1"/>
  <c r="B216" i="25" s="1"/>
  <c r="B217" i="25" s="1"/>
  <c r="B218" i="25" s="1"/>
  <c r="B219" i="25" s="1"/>
  <c r="B220" i="25" s="1"/>
  <c r="B221" i="25" s="1"/>
  <c r="B222" i="25" s="1"/>
  <c r="B223" i="25" s="1"/>
  <c r="B224" i="25" s="1"/>
  <c r="B225" i="25" s="1"/>
  <c r="B226" i="25" s="1"/>
  <c r="B227" i="25" s="1"/>
  <c r="B228" i="25" s="1"/>
  <c r="B229" i="25" s="1"/>
  <c r="B230" i="25" s="1"/>
  <c r="B231" i="25" s="1"/>
  <c r="B232" i="25" s="1"/>
  <c r="B233" i="25" s="1"/>
  <c r="B234" i="25" s="1"/>
  <c r="D6" i="24"/>
  <c r="D7" i="24" s="1"/>
  <c r="D8" i="24" s="1"/>
  <c r="D9" i="24" s="1"/>
  <c r="D10" i="24" s="1"/>
  <c r="D11" i="24" s="1"/>
  <c r="D12" i="24" s="1"/>
  <c r="D13" i="24" s="1"/>
  <c r="D14" i="24" s="1"/>
  <c r="D15" i="24" s="1"/>
  <c r="D16" i="24" s="1"/>
  <c r="D17" i="24" s="1"/>
  <c r="D18" i="24" s="1"/>
  <c r="D19" i="24" s="1"/>
  <c r="D20" i="24" s="1"/>
  <c r="D21" i="24" s="1"/>
  <c r="D22" i="24" s="1"/>
  <c r="D23" i="24" s="1"/>
  <c r="D24" i="24" s="1"/>
  <c r="D25" i="24" s="1"/>
  <c r="D26" i="24" s="1"/>
  <c r="D27" i="24" s="1"/>
  <c r="D28" i="24" s="1"/>
  <c r="D29" i="24" s="1"/>
  <c r="D30" i="24" s="1"/>
  <c r="D31" i="24" s="1"/>
  <c r="D32" i="24" s="1"/>
  <c r="D33" i="24" s="1"/>
  <c r="D34" i="24" s="1"/>
  <c r="D35" i="24" s="1"/>
  <c r="D36" i="24" s="1"/>
  <c r="D37" i="24" s="1"/>
  <c r="D38" i="24" s="1"/>
  <c r="D39" i="24" s="1"/>
  <c r="D40" i="24" s="1"/>
  <c r="D41" i="24" s="1"/>
  <c r="D42" i="24" s="1"/>
  <c r="D43" i="24" s="1"/>
  <c r="D44" i="24" s="1"/>
  <c r="D45" i="24" s="1"/>
  <c r="D46" i="24" s="1"/>
  <c r="D47" i="24" s="1"/>
  <c r="D48" i="24" s="1"/>
  <c r="D49" i="24" s="1"/>
  <c r="D50" i="24" s="1"/>
  <c r="D51" i="24" s="1"/>
  <c r="D52" i="24" s="1"/>
  <c r="D53" i="24" s="1"/>
  <c r="D54" i="24" s="1"/>
  <c r="D55" i="24" s="1"/>
  <c r="D56" i="24" s="1"/>
  <c r="D57" i="24" s="1"/>
  <c r="D58" i="24" s="1"/>
  <c r="D59" i="24" s="1"/>
  <c r="D60" i="24" s="1"/>
  <c r="D61" i="24" s="1"/>
  <c r="D62" i="24" s="1"/>
  <c r="D63" i="24" s="1"/>
  <c r="D64" i="24" s="1"/>
  <c r="D65" i="24" s="1"/>
  <c r="D66" i="24" s="1"/>
  <c r="D67" i="24" s="1"/>
  <c r="D68" i="24" s="1"/>
  <c r="D69" i="24" s="1"/>
  <c r="D70" i="24" s="1"/>
  <c r="D71" i="24" s="1"/>
  <c r="D72" i="24" s="1"/>
  <c r="D73" i="24" s="1"/>
  <c r="D74" i="24" s="1"/>
  <c r="D75" i="24" s="1"/>
  <c r="D76" i="24" s="1"/>
  <c r="D77" i="24" s="1"/>
  <c r="D78" i="24" s="1"/>
  <c r="D79" i="24" s="1"/>
  <c r="D80" i="24" s="1"/>
  <c r="D81" i="24" s="1"/>
  <c r="D82" i="24" s="1"/>
  <c r="D83" i="24" s="1"/>
  <c r="D84" i="24" s="1"/>
  <c r="D85" i="24" s="1"/>
  <c r="D86" i="24" s="1"/>
  <c r="D87" i="24" s="1"/>
  <c r="D88" i="24" s="1"/>
  <c r="D89" i="24" s="1"/>
  <c r="D90" i="24" s="1"/>
  <c r="D91" i="24" s="1"/>
  <c r="D92" i="24" s="1"/>
  <c r="D93" i="24" s="1"/>
  <c r="D94" i="24" s="1"/>
  <c r="D95" i="24" s="1"/>
  <c r="D96" i="24" s="1"/>
  <c r="D97" i="24" s="1"/>
  <c r="D98" i="24" s="1"/>
  <c r="D99" i="24" s="1"/>
  <c r="D100" i="24" s="1"/>
  <c r="D101" i="24" s="1"/>
  <c r="D102" i="24" s="1"/>
  <c r="D103" i="24" s="1"/>
  <c r="D104" i="24" s="1"/>
  <c r="D105" i="24" s="1"/>
  <c r="D106" i="24" s="1"/>
  <c r="D107" i="24" s="1"/>
  <c r="D108" i="24" s="1"/>
  <c r="D109" i="24" s="1"/>
  <c r="D110" i="24" s="1"/>
  <c r="D111" i="24" s="1"/>
  <c r="D112" i="24" s="1"/>
  <c r="D113" i="24" s="1"/>
  <c r="D114" i="24" s="1"/>
  <c r="D115" i="24" s="1"/>
  <c r="D116" i="24" s="1"/>
  <c r="D117" i="24" s="1"/>
  <c r="D118" i="24" s="1"/>
  <c r="D119" i="24" s="1"/>
  <c r="D120" i="24" s="1"/>
  <c r="D121" i="24" s="1"/>
  <c r="D122" i="24" s="1"/>
  <c r="D123" i="24" s="1"/>
  <c r="D124" i="24" s="1"/>
  <c r="D125" i="24" s="1"/>
  <c r="D126" i="24" s="1"/>
  <c r="D127" i="24" s="1"/>
  <c r="D128" i="24" s="1"/>
  <c r="D129" i="24" s="1"/>
  <c r="D130" i="24" s="1"/>
  <c r="D131" i="24" s="1"/>
  <c r="D132" i="24" s="1"/>
  <c r="D133" i="24" s="1"/>
  <c r="D134" i="24" s="1"/>
  <c r="D135" i="24" s="1"/>
  <c r="D136" i="24" s="1"/>
  <c r="D137" i="24" s="1"/>
  <c r="D138" i="24" s="1"/>
  <c r="D139" i="24" s="1"/>
  <c r="D140" i="24" s="1"/>
  <c r="D141" i="24" s="1"/>
  <c r="D142" i="24" s="1"/>
  <c r="D143" i="24" s="1"/>
  <c r="D144" i="24" s="1"/>
  <c r="D145" i="24" s="1"/>
  <c r="D146" i="24" s="1"/>
  <c r="D147" i="24" s="1"/>
  <c r="D148" i="24" s="1"/>
  <c r="D149" i="24" s="1"/>
  <c r="D150" i="24" s="1"/>
  <c r="D151" i="24" s="1"/>
  <c r="D152" i="24" s="1"/>
  <c r="D153" i="24" s="1"/>
  <c r="D154" i="24" s="1"/>
  <c r="D155" i="24" s="1"/>
  <c r="D156" i="24" s="1"/>
  <c r="D157" i="24" s="1"/>
  <c r="D158" i="24" s="1"/>
  <c r="D159" i="24" s="1"/>
  <c r="D160" i="24" s="1"/>
  <c r="D161" i="24" s="1"/>
  <c r="D162" i="24" s="1"/>
  <c r="D163" i="24" s="1"/>
  <c r="D164" i="24" s="1"/>
  <c r="D165" i="24" s="1"/>
  <c r="D166" i="24" s="1"/>
  <c r="D167" i="24" s="1"/>
  <c r="D168" i="24" s="1"/>
  <c r="D169" i="24" s="1"/>
  <c r="D170" i="24" s="1"/>
  <c r="D171" i="24" s="1"/>
  <c r="D172" i="24" s="1"/>
  <c r="D173" i="24" s="1"/>
  <c r="D174" i="24" s="1"/>
  <c r="D175" i="24" s="1"/>
  <c r="D176" i="24" s="1"/>
  <c r="D177" i="24" s="1"/>
  <c r="D178" i="24" s="1"/>
  <c r="D179" i="24" s="1"/>
  <c r="D180" i="24" s="1"/>
  <c r="D181" i="24" s="1"/>
  <c r="D182" i="24" s="1"/>
  <c r="D183" i="24" s="1"/>
  <c r="D184" i="24" s="1"/>
  <c r="D185" i="24" s="1"/>
  <c r="D186" i="24" s="1"/>
  <c r="D187" i="24" s="1"/>
  <c r="D188" i="24" s="1"/>
  <c r="D189" i="24" s="1"/>
  <c r="D190" i="24" s="1"/>
  <c r="D191" i="24" s="1"/>
  <c r="D192" i="24" s="1"/>
  <c r="D193" i="24" s="1"/>
  <c r="D194" i="24" s="1"/>
  <c r="D195" i="24" s="1"/>
  <c r="D196" i="24" s="1"/>
  <c r="D197" i="24" s="1"/>
  <c r="D198" i="24" s="1"/>
  <c r="D199" i="24" s="1"/>
  <c r="D200" i="24" s="1"/>
  <c r="D201" i="24" s="1"/>
  <c r="D202" i="24" s="1"/>
  <c r="D203" i="24" s="1"/>
  <c r="D204" i="24" s="1"/>
  <c r="D205" i="24" s="1"/>
  <c r="D206" i="24" s="1"/>
  <c r="D207" i="24" s="1"/>
  <c r="D208" i="24" s="1"/>
  <c r="D209" i="24" s="1"/>
  <c r="D210" i="24" s="1"/>
  <c r="D211" i="24" s="1"/>
  <c r="D212" i="24" s="1"/>
  <c r="D213" i="24" s="1"/>
  <c r="D214" i="24" s="1"/>
  <c r="D215" i="24" s="1"/>
  <c r="D216" i="24" s="1"/>
  <c r="D217" i="24" s="1"/>
  <c r="D218" i="24" s="1"/>
  <c r="D219" i="24" s="1"/>
  <c r="D220" i="24" s="1"/>
  <c r="D221" i="24" s="1"/>
  <c r="D222" i="24" s="1"/>
  <c r="D223" i="24" s="1"/>
  <c r="D224" i="24" s="1"/>
  <c r="D225" i="24" s="1"/>
  <c r="D226" i="24" s="1"/>
  <c r="D227" i="24" s="1"/>
  <c r="D228" i="24" s="1"/>
  <c r="D229" i="24" s="1"/>
  <c r="D230" i="24" s="1"/>
  <c r="D231" i="24" s="1"/>
  <c r="D232" i="24" s="1"/>
  <c r="D233" i="24" s="1"/>
  <c r="D234" i="24" s="1"/>
  <c r="B6" i="24"/>
  <c r="B7" i="24" s="1"/>
  <c r="B8" i="24" s="1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B192" i="24" s="1"/>
  <c r="B193" i="24" s="1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B218" i="24" s="1"/>
  <c r="B219" i="24" s="1"/>
  <c r="B220" i="24" s="1"/>
  <c r="B221" i="24" s="1"/>
  <c r="B222" i="24" s="1"/>
  <c r="B223" i="24" s="1"/>
  <c r="B224" i="24" s="1"/>
  <c r="B225" i="24" s="1"/>
  <c r="B226" i="24" s="1"/>
  <c r="B227" i="24" s="1"/>
  <c r="B228" i="24" s="1"/>
  <c r="B229" i="24" s="1"/>
  <c r="B230" i="24" s="1"/>
  <c r="B231" i="24" s="1"/>
  <c r="B232" i="24" s="1"/>
  <c r="B233" i="24" s="1"/>
  <c r="B234" i="24" s="1"/>
  <c r="D74" i="23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D88" i="23" s="1"/>
  <c r="D89" i="23" s="1"/>
  <c r="D90" i="23" s="1"/>
  <c r="D91" i="23" s="1"/>
  <c r="D92" i="23" s="1"/>
  <c r="D93" i="23" s="1"/>
  <c r="D94" i="23" s="1"/>
  <c r="D95" i="23" s="1"/>
  <c r="D96" i="23" s="1"/>
  <c r="D97" i="23" s="1"/>
  <c r="D98" i="23" s="1"/>
  <c r="D99" i="23" s="1"/>
  <c r="D100" i="23" s="1"/>
  <c r="D101" i="23" s="1"/>
  <c r="D102" i="23" s="1"/>
  <c r="D103" i="23" s="1"/>
  <c r="D104" i="23" s="1"/>
  <c r="D105" i="23" s="1"/>
  <c r="D106" i="23" s="1"/>
  <c r="D107" i="23" s="1"/>
  <c r="D108" i="23" s="1"/>
  <c r="D109" i="23" s="1"/>
  <c r="D110" i="23" s="1"/>
  <c r="D111" i="23" s="1"/>
  <c r="D112" i="23" s="1"/>
  <c r="D113" i="23" s="1"/>
  <c r="D114" i="23" s="1"/>
  <c r="D115" i="23" s="1"/>
  <c r="D116" i="23" s="1"/>
  <c r="D117" i="23" s="1"/>
  <c r="D118" i="23" s="1"/>
  <c r="D119" i="23" s="1"/>
  <c r="D120" i="23" s="1"/>
  <c r="D121" i="23" s="1"/>
  <c r="D122" i="23" s="1"/>
  <c r="D123" i="23" s="1"/>
  <c r="D124" i="23" s="1"/>
  <c r="D125" i="23" s="1"/>
  <c r="D126" i="23" s="1"/>
  <c r="D127" i="23" s="1"/>
  <c r="D128" i="23" s="1"/>
  <c r="D129" i="23" s="1"/>
  <c r="D130" i="23" s="1"/>
  <c r="D131" i="23" s="1"/>
  <c r="D132" i="23" s="1"/>
  <c r="B74" i="23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AP66" i="23"/>
  <c r="AO66" i="23"/>
  <c r="D6" i="23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D54" i="23" s="1"/>
  <c r="D55" i="23" s="1"/>
  <c r="D56" i="23" s="1"/>
  <c r="D57" i="23" s="1"/>
  <c r="D58" i="23" s="1"/>
  <c r="D59" i="23" s="1"/>
  <c r="D60" i="23" s="1"/>
  <c r="D61" i="23" s="1"/>
  <c r="D62" i="23" s="1"/>
  <c r="D63" i="23" s="1"/>
  <c r="D64" i="23" s="1"/>
  <c r="B6" i="23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AV63" i="22"/>
  <c r="D38" i="22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s="1"/>
  <c r="B38" i="22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AV31" i="22"/>
  <c r="AP31" i="22"/>
  <c r="AO31" i="22"/>
  <c r="D6" i="22"/>
  <c r="D7" i="22" s="1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B6" i="22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AR63" i="21"/>
  <c r="D38" i="2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D54" i="21" s="1"/>
  <c r="D55" i="21" s="1"/>
  <c r="D56" i="21" s="1"/>
  <c r="D57" i="21" s="1"/>
  <c r="D58" i="21" s="1"/>
  <c r="D59" i="21" s="1"/>
  <c r="D60" i="21" s="1"/>
  <c r="D61" i="21" s="1"/>
  <c r="B38" i="2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AV63" i="21"/>
  <c r="AP31" i="21"/>
  <c r="AO31" i="21"/>
  <c r="D6" i="2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B6" i="2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AV31" i="21"/>
  <c r="AW10" i="20"/>
  <c r="AW9" i="20"/>
  <c r="AW8" i="20"/>
  <c r="S8" i="20"/>
  <c r="S9" i="20" s="1"/>
  <c r="S10" i="20" s="1"/>
  <c r="S11" i="20" s="1"/>
  <c r="S12" i="20" s="1"/>
  <c r="S13" i="20" s="1"/>
  <c r="S14" i="20" s="1"/>
  <c r="S15" i="20" s="1"/>
  <c r="S16" i="20" s="1"/>
  <c r="S17" i="20" s="1"/>
  <c r="S18" i="20" s="1"/>
  <c r="S19" i="20" s="1"/>
  <c r="S20" i="20" s="1"/>
  <c r="S21" i="20" s="1"/>
  <c r="S22" i="20" s="1"/>
  <c r="S23" i="20" s="1"/>
  <c r="S24" i="20" s="1"/>
  <c r="S25" i="20" s="1"/>
  <c r="S26" i="20" s="1"/>
  <c r="S27" i="20" s="1"/>
  <c r="S28" i="20" s="1"/>
  <c r="S29" i="20" s="1"/>
  <c r="S30" i="20" s="1"/>
  <c r="S31" i="20" s="1"/>
  <c r="S32" i="20" s="1"/>
  <c r="S33" i="20" s="1"/>
  <c r="S34" i="20" s="1"/>
  <c r="S35" i="20" s="1"/>
  <c r="S36" i="20" s="1"/>
  <c r="S37" i="20" s="1"/>
  <c r="S38" i="20" s="1"/>
  <c r="S39" i="20" s="1"/>
  <c r="S40" i="20" s="1"/>
  <c r="S41" i="20" s="1"/>
  <c r="S42" i="20" s="1"/>
  <c r="S43" i="20" s="1"/>
  <c r="S44" i="20" s="1"/>
  <c r="S45" i="20" s="1"/>
  <c r="S46" i="20" s="1"/>
  <c r="S47" i="20" s="1"/>
  <c r="S48" i="20" s="1"/>
  <c r="S49" i="20" s="1"/>
  <c r="S50" i="20" s="1"/>
  <c r="S51" i="20" s="1"/>
  <c r="S52" i="20" s="1"/>
  <c r="S53" i="20" s="1"/>
  <c r="S54" i="20" s="1"/>
  <c r="S55" i="20" s="1"/>
  <c r="S56" i="20" s="1"/>
  <c r="S57" i="20" s="1"/>
  <c r="S58" i="20" s="1"/>
  <c r="S59" i="20" s="1"/>
  <c r="S60" i="20" s="1"/>
  <c r="S61" i="20" s="1"/>
  <c r="S62" i="20" s="1"/>
  <c r="S63" i="20" s="1"/>
  <c r="S64" i="20" s="1"/>
  <c r="S65" i="20" s="1"/>
  <c r="S66" i="20" s="1"/>
  <c r="S67" i="20" s="1"/>
  <c r="S68" i="20" s="1"/>
  <c r="S69" i="20" s="1"/>
  <c r="S70" i="20" s="1"/>
  <c r="S71" i="20" s="1"/>
  <c r="S72" i="20" s="1"/>
  <c r="S73" i="20" s="1"/>
  <c r="S74" i="20" s="1"/>
  <c r="S75" i="20" s="1"/>
  <c r="S76" i="20" s="1"/>
  <c r="S77" i="20" s="1"/>
  <c r="S78" i="20" s="1"/>
  <c r="S79" i="20" s="1"/>
  <c r="S80" i="20" s="1"/>
  <c r="S81" i="20" s="1"/>
  <c r="S82" i="20" s="1"/>
  <c r="S83" i="20" s="1"/>
  <c r="S84" i="20" s="1"/>
  <c r="S85" i="20" s="1"/>
  <c r="S86" i="20" s="1"/>
  <c r="S87" i="20" s="1"/>
  <c r="S88" i="20" s="1"/>
  <c r="S89" i="20" s="1"/>
  <c r="S90" i="20" s="1"/>
  <c r="S91" i="20" s="1"/>
  <c r="S92" i="20" s="1"/>
  <c r="S93" i="20" s="1"/>
  <c r="S94" i="20" s="1"/>
  <c r="S95" i="20" s="1"/>
  <c r="S96" i="20" s="1"/>
  <c r="S97" i="20" s="1"/>
  <c r="S98" i="20" s="1"/>
  <c r="S99" i="20" s="1"/>
  <c r="S100" i="20" s="1"/>
  <c r="S101" i="20" s="1"/>
  <c r="S102" i="20" s="1"/>
  <c r="S103" i="20" s="1"/>
  <c r="S104" i="20" s="1"/>
  <c r="S105" i="20" s="1"/>
  <c r="S106" i="20" s="1"/>
  <c r="S107" i="20" s="1"/>
  <c r="S108" i="20" s="1"/>
  <c r="S109" i="20" s="1"/>
  <c r="S110" i="20" s="1"/>
  <c r="S111" i="20" s="1"/>
  <c r="S112" i="20" s="1"/>
  <c r="S113" i="20" s="1"/>
  <c r="S114" i="20" s="1"/>
  <c r="S115" i="20" s="1"/>
  <c r="S116" i="20" s="1"/>
  <c r="S117" i="20" s="1"/>
  <c r="S118" i="20" s="1"/>
  <c r="S119" i="20" s="1"/>
  <c r="S120" i="20" s="1"/>
  <c r="S121" i="20" s="1"/>
  <c r="S122" i="20" s="1"/>
  <c r="S123" i="20" s="1"/>
  <c r="S124" i="20" s="1"/>
  <c r="S125" i="20" s="1"/>
  <c r="S126" i="20" s="1"/>
  <c r="S127" i="20" s="1"/>
  <c r="S128" i="20" s="1"/>
  <c r="S129" i="20" s="1"/>
  <c r="S130" i="20" s="1"/>
  <c r="S131" i="20" s="1"/>
  <c r="S132" i="20" s="1"/>
  <c r="S133" i="20" s="1"/>
  <c r="S134" i="20" s="1"/>
  <c r="S135" i="20" s="1"/>
  <c r="S136" i="20" s="1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7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S159" i="20" s="1"/>
  <c r="S160" i="20" s="1"/>
  <c r="S161" i="20" s="1"/>
  <c r="S162" i="20" s="1"/>
  <c r="S163" i="20" s="1"/>
  <c r="S164" i="20" s="1"/>
  <c r="S165" i="20" s="1"/>
  <c r="S166" i="20" s="1"/>
  <c r="S167" i="20" s="1"/>
  <c r="S168" i="20" s="1"/>
  <c r="S169" i="20" s="1"/>
  <c r="S170" i="20" s="1"/>
  <c r="S171" i="20" s="1"/>
  <c r="S172" i="20" s="1"/>
  <c r="S173" i="20" s="1"/>
  <c r="S174" i="20" s="1"/>
  <c r="S175" i="20" s="1"/>
  <c r="S176" i="20" s="1"/>
  <c r="S177" i="20" s="1"/>
  <c r="S178" i="20" s="1"/>
  <c r="S179" i="20" s="1"/>
  <c r="S180" i="20" s="1"/>
  <c r="S181" i="20" s="1"/>
  <c r="S182" i="20" s="1"/>
  <c r="S183" i="20" s="1"/>
  <c r="S184" i="20" s="1"/>
  <c r="S185" i="20" s="1"/>
  <c r="S186" i="20" s="1"/>
  <c r="S187" i="20" s="1"/>
  <c r="S188" i="20" s="1"/>
  <c r="S189" i="20" s="1"/>
  <c r="S190" i="20" s="1"/>
  <c r="S191" i="20" s="1"/>
  <c r="S192" i="20" s="1"/>
  <c r="S193" i="20" s="1"/>
  <c r="S194" i="20" s="1"/>
  <c r="S195" i="20" s="1"/>
  <c r="S196" i="20" s="1"/>
  <c r="S197" i="20" s="1"/>
  <c r="S198" i="20" s="1"/>
  <c r="S199" i="20" s="1"/>
  <c r="S200" i="20" s="1"/>
  <c r="S201" i="20" s="1"/>
  <c r="S202" i="20" s="1"/>
  <c r="S203" i="20" s="1"/>
  <c r="S204" i="20" s="1"/>
  <c r="S205" i="20" s="1"/>
  <c r="S206" i="20" s="1"/>
  <c r="S207" i="20" s="1"/>
  <c r="S208" i="20" s="1"/>
  <c r="S209" i="20" s="1"/>
  <c r="S210" i="20" s="1"/>
  <c r="S211" i="20" s="1"/>
  <c r="S212" i="20" s="1"/>
  <c r="S213" i="20" s="1"/>
  <c r="S214" i="20" s="1"/>
  <c r="S215" i="20" s="1"/>
  <c r="S216" i="20" s="1"/>
  <c r="S217" i="20" s="1"/>
  <c r="S218" i="20" s="1"/>
  <c r="S219" i="20" s="1"/>
  <c r="S220" i="20" s="1"/>
  <c r="S221" i="20" s="1"/>
  <c r="S222" i="20" s="1"/>
  <c r="S223" i="20" s="1"/>
  <c r="S224" i="20" s="1"/>
  <c r="S225" i="20" s="1"/>
  <c r="S226" i="20" s="1"/>
  <c r="S227" i="20" s="1"/>
  <c r="S228" i="20" s="1"/>
  <c r="S229" i="20" s="1"/>
  <c r="S230" i="20" s="1"/>
  <c r="S231" i="20" s="1"/>
  <c r="S232" i="20" s="1"/>
  <c r="S233" i="20" s="1"/>
  <c r="S234" i="20" s="1"/>
  <c r="BC7" i="20"/>
  <c r="AW7" i="20"/>
  <c r="BC6" i="20"/>
  <c r="AW6" i="20"/>
  <c r="BC5" i="20"/>
  <c r="AW5" i="20"/>
  <c r="BC4" i="20"/>
  <c r="C82" i="2"/>
  <c r="D32" i="1" l="1"/>
  <c r="C32" i="1"/>
  <c r="E24" i="2"/>
  <c r="E26" i="2" s="1"/>
  <c r="C24" i="2"/>
  <c r="D24" i="2"/>
  <c r="D26" i="2" s="1"/>
  <c r="BI5" i="20"/>
  <c r="BJ5" i="20" s="1"/>
  <c r="AV5" i="20"/>
  <c r="AX5" i="20" s="1"/>
  <c r="V5" i="20"/>
  <c r="X5" i="20" s="1"/>
  <c r="Y5" i="20" s="1"/>
  <c r="AC5" i="20" s="1"/>
  <c r="AN4" i="20"/>
  <c r="AN5" i="20" s="1"/>
  <c r="O6" i="20"/>
  <c r="AQ6" i="20" s="1"/>
  <c r="BB4" i="20"/>
  <c r="AG4" i="20"/>
  <c r="L6" i="20"/>
  <c r="L7" i="20" s="1"/>
  <c r="L8" i="20" s="1"/>
  <c r="L9" i="20" s="1"/>
  <c r="L10" i="20" s="1"/>
  <c r="L11" i="20" s="1"/>
  <c r="L12" i="20" s="1"/>
  <c r="L13" i="20" s="1"/>
  <c r="L14" i="20" s="1"/>
  <c r="L15" i="20" s="1"/>
  <c r="L16" i="20" s="1"/>
  <c r="L17" i="20" s="1"/>
  <c r="L18" i="20" s="1"/>
  <c r="L19" i="20" s="1"/>
  <c r="L20" i="20" s="1"/>
  <c r="L21" i="20" s="1"/>
  <c r="L22" i="20" s="1"/>
  <c r="L23" i="20" s="1"/>
  <c r="L24" i="20" s="1"/>
  <c r="L25" i="20" s="1"/>
  <c r="L26" i="20" s="1"/>
  <c r="L27" i="20" s="1"/>
  <c r="L28" i="20" s="1"/>
  <c r="L29" i="20" s="1"/>
  <c r="L30" i="20" s="1"/>
  <c r="L31" i="20" s="1"/>
  <c r="L32" i="20" s="1"/>
  <c r="L33" i="20" s="1"/>
  <c r="L34" i="20" s="1"/>
  <c r="L35" i="20" s="1"/>
  <c r="L36" i="20" s="1"/>
  <c r="L37" i="20" s="1"/>
  <c r="L38" i="20" s="1"/>
  <c r="L39" i="20" s="1"/>
  <c r="L40" i="20" s="1"/>
  <c r="L41" i="20" s="1"/>
  <c r="L42" i="20" s="1"/>
  <c r="L43" i="20" s="1"/>
  <c r="L44" i="20" s="1"/>
  <c r="L45" i="20" s="1"/>
  <c r="L46" i="20" s="1"/>
  <c r="L47" i="20" s="1"/>
  <c r="L48" i="20" s="1"/>
  <c r="L49" i="20" s="1"/>
  <c r="L50" i="20" s="1"/>
  <c r="L51" i="20" s="1"/>
  <c r="L52" i="20" s="1"/>
  <c r="L53" i="20" s="1"/>
  <c r="L54" i="20" s="1"/>
  <c r="L55" i="20" s="1"/>
  <c r="L56" i="20" s="1"/>
  <c r="L57" i="20" s="1"/>
  <c r="L58" i="20" s="1"/>
  <c r="L59" i="20" s="1"/>
  <c r="L60" i="20" s="1"/>
  <c r="L61" i="20" s="1"/>
  <c r="L62" i="20" s="1"/>
  <c r="L63" i="20" s="1"/>
  <c r="L64" i="20" s="1"/>
  <c r="L65" i="20" s="1"/>
  <c r="L66" i="20" s="1"/>
  <c r="L67" i="20" s="1"/>
  <c r="L68" i="20" s="1"/>
  <c r="L69" i="20" s="1"/>
  <c r="L70" i="20" s="1"/>
  <c r="L71" i="20" s="1"/>
  <c r="L72" i="20" s="1"/>
  <c r="L73" i="20" s="1"/>
  <c r="L74" i="20" s="1"/>
  <c r="L75" i="20" s="1"/>
  <c r="L76" i="20" s="1"/>
  <c r="L77" i="20" s="1"/>
  <c r="L78" i="20" s="1"/>
  <c r="L79" i="20" s="1"/>
  <c r="L80" i="20" s="1"/>
  <c r="L81" i="20" s="1"/>
  <c r="L82" i="20" s="1"/>
  <c r="L83" i="20" s="1"/>
  <c r="L84" i="20" s="1"/>
  <c r="L85" i="20" s="1"/>
  <c r="L86" i="20" s="1"/>
  <c r="L87" i="20" s="1"/>
  <c r="L88" i="20" s="1"/>
  <c r="L89" i="20" s="1"/>
  <c r="L90" i="20" s="1"/>
  <c r="L91" i="20" s="1"/>
  <c r="L92" i="20" s="1"/>
  <c r="L93" i="20" s="1"/>
  <c r="L94" i="20" s="1"/>
  <c r="L95" i="20" s="1"/>
  <c r="L96" i="20" s="1"/>
  <c r="L97" i="20" s="1"/>
  <c r="L98" i="20" s="1"/>
  <c r="L99" i="20" s="1"/>
  <c r="L100" i="20" s="1"/>
  <c r="L101" i="20" s="1"/>
  <c r="L102" i="20" s="1"/>
  <c r="L103" i="20" s="1"/>
  <c r="L104" i="20" s="1"/>
  <c r="L105" i="20" s="1"/>
  <c r="L106" i="20" s="1"/>
  <c r="L107" i="20" s="1"/>
  <c r="L108" i="20" s="1"/>
  <c r="L109" i="20" s="1"/>
  <c r="L110" i="20" s="1"/>
  <c r="L111" i="20" s="1"/>
  <c r="L112" i="20" s="1"/>
  <c r="L113" i="20" s="1"/>
  <c r="L114" i="20" s="1"/>
  <c r="L115" i="20" s="1"/>
  <c r="L116" i="20" s="1"/>
  <c r="L117" i="20" s="1"/>
  <c r="L118" i="20" s="1"/>
  <c r="L119" i="20" s="1"/>
  <c r="L120" i="20" s="1"/>
  <c r="L121" i="20" s="1"/>
  <c r="L122" i="20" s="1"/>
  <c r="L123" i="20" s="1"/>
  <c r="L124" i="20" s="1"/>
  <c r="L125" i="20" s="1"/>
  <c r="L126" i="20" s="1"/>
  <c r="L127" i="20" s="1"/>
  <c r="L128" i="20" s="1"/>
  <c r="L129" i="20" s="1"/>
  <c r="L130" i="20" s="1"/>
  <c r="L131" i="20" s="1"/>
  <c r="L132" i="20" s="1"/>
  <c r="L133" i="20" s="1"/>
  <c r="L134" i="20" s="1"/>
  <c r="L135" i="20" s="1"/>
  <c r="L136" i="20" s="1"/>
  <c r="L137" i="20" s="1"/>
  <c r="L138" i="20" s="1"/>
  <c r="L139" i="20" s="1"/>
  <c r="L140" i="20" s="1"/>
  <c r="L141" i="20" s="1"/>
  <c r="L142" i="20" s="1"/>
  <c r="L143" i="20" s="1"/>
  <c r="L144" i="20" s="1"/>
  <c r="L145" i="20" s="1"/>
  <c r="L146" i="20" s="1"/>
  <c r="L147" i="20" s="1"/>
  <c r="L148" i="20" s="1"/>
  <c r="L149" i="20" s="1"/>
  <c r="L150" i="20" s="1"/>
  <c r="L151" i="20" s="1"/>
  <c r="L152" i="20" s="1"/>
  <c r="L153" i="20" s="1"/>
  <c r="L154" i="20" s="1"/>
  <c r="L155" i="20" s="1"/>
  <c r="L156" i="20" s="1"/>
  <c r="L157" i="20" s="1"/>
  <c r="L158" i="20" s="1"/>
  <c r="L159" i="20" s="1"/>
  <c r="L160" i="20" s="1"/>
  <c r="L161" i="20" s="1"/>
  <c r="L162" i="20" s="1"/>
  <c r="L163" i="20" s="1"/>
  <c r="L164" i="20" s="1"/>
  <c r="L165" i="20" s="1"/>
  <c r="L166" i="20" s="1"/>
  <c r="L167" i="20" s="1"/>
  <c r="L168" i="20" s="1"/>
  <c r="L169" i="20" s="1"/>
  <c r="L170" i="20" s="1"/>
  <c r="L171" i="20" s="1"/>
  <c r="L172" i="20" s="1"/>
  <c r="L173" i="20" s="1"/>
  <c r="L174" i="20" s="1"/>
  <c r="L175" i="20" s="1"/>
  <c r="L176" i="20" s="1"/>
  <c r="L177" i="20" s="1"/>
  <c r="L178" i="20" s="1"/>
  <c r="L179" i="20" s="1"/>
  <c r="L180" i="20" s="1"/>
  <c r="L181" i="20" s="1"/>
  <c r="L182" i="20" s="1"/>
  <c r="L183" i="20" s="1"/>
  <c r="L184" i="20" s="1"/>
  <c r="L185" i="20" s="1"/>
  <c r="L186" i="20" s="1"/>
  <c r="L187" i="20" s="1"/>
  <c r="L188" i="20" s="1"/>
  <c r="L189" i="20" s="1"/>
  <c r="L190" i="20" s="1"/>
  <c r="L191" i="20" s="1"/>
  <c r="L192" i="20" s="1"/>
  <c r="L193" i="20" s="1"/>
  <c r="L194" i="20" s="1"/>
  <c r="L195" i="20" s="1"/>
  <c r="L196" i="20" s="1"/>
  <c r="L197" i="20" s="1"/>
  <c r="L198" i="20" s="1"/>
  <c r="L199" i="20" s="1"/>
  <c r="L200" i="20" s="1"/>
  <c r="L201" i="20" s="1"/>
  <c r="L202" i="20" s="1"/>
  <c r="L203" i="20" s="1"/>
  <c r="L204" i="20" s="1"/>
  <c r="L205" i="20" s="1"/>
  <c r="L206" i="20" s="1"/>
  <c r="L207" i="20" s="1"/>
  <c r="L208" i="20" s="1"/>
  <c r="L209" i="20" s="1"/>
  <c r="L210" i="20" s="1"/>
  <c r="L211" i="20" s="1"/>
  <c r="L212" i="20" s="1"/>
  <c r="L213" i="20" s="1"/>
  <c r="L214" i="20" s="1"/>
  <c r="L215" i="20" s="1"/>
  <c r="L216" i="20" s="1"/>
  <c r="L217" i="20" s="1"/>
  <c r="L218" i="20" s="1"/>
  <c r="L219" i="20" s="1"/>
  <c r="L220" i="20" s="1"/>
  <c r="L221" i="20" s="1"/>
  <c r="L222" i="20" s="1"/>
  <c r="L223" i="20" s="1"/>
  <c r="L224" i="20" s="1"/>
  <c r="L225" i="20" s="1"/>
  <c r="L226" i="20" s="1"/>
  <c r="L227" i="20" s="1"/>
  <c r="L228" i="20" s="1"/>
  <c r="L229" i="20" s="1"/>
  <c r="L230" i="20" s="1"/>
  <c r="L231" i="20" s="1"/>
  <c r="L232" i="20" s="1"/>
  <c r="L233" i="20" s="1"/>
  <c r="L234" i="20" s="1"/>
  <c r="J6" i="20"/>
  <c r="J7" i="20" s="1"/>
  <c r="J8" i="20" s="1"/>
  <c r="J9" i="20" s="1"/>
  <c r="J10" i="20" s="1"/>
  <c r="J11" i="20" s="1"/>
  <c r="J12" i="20" s="1"/>
  <c r="J13" i="20" s="1"/>
  <c r="J14" i="20" s="1"/>
  <c r="J15" i="20" s="1"/>
  <c r="J16" i="20" s="1"/>
  <c r="J17" i="20" s="1"/>
  <c r="J18" i="20" s="1"/>
  <c r="J19" i="20" s="1"/>
  <c r="J20" i="20" s="1"/>
  <c r="J21" i="20" s="1"/>
  <c r="J22" i="20" s="1"/>
  <c r="J23" i="20" s="1"/>
  <c r="J24" i="20" s="1"/>
  <c r="J25" i="20" s="1"/>
  <c r="J26" i="20" s="1"/>
  <c r="J27" i="20" s="1"/>
  <c r="J28" i="20" s="1"/>
  <c r="J29" i="20" s="1"/>
  <c r="J30" i="20" s="1"/>
  <c r="J31" i="20" s="1"/>
  <c r="J32" i="20" s="1"/>
  <c r="J33" i="20" s="1"/>
  <c r="J34" i="20" s="1"/>
  <c r="J35" i="20" s="1"/>
  <c r="J36" i="20" s="1"/>
  <c r="J37" i="20" s="1"/>
  <c r="J38" i="20" s="1"/>
  <c r="J39" i="20" s="1"/>
  <c r="J40" i="20" s="1"/>
  <c r="J41" i="20" s="1"/>
  <c r="J42" i="20" s="1"/>
  <c r="J43" i="20" s="1"/>
  <c r="J44" i="20" s="1"/>
  <c r="J45" i="20" s="1"/>
  <c r="J46" i="20" s="1"/>
  <c r="J47" i="20" s="1"/>
  <c r="J48" i="20" s="1"/>
  <c r="J49" i="20" s="1"/>
  <c r="J50" i="20" s="1"/>
  <c r="J51" i="20" s="1"/>
  <c r="J52" i="20" s="1"/>
  <c r="J53" i="20" s="1"/>
  <c r="J54" i="20" s="1"/>
  <c r="J55" i="20" s="1"/>
  <c r="J56" i="20" s="1"/>
  <c r="J57" i="20" s="1"/>
  <c r="J58" i="20" s="1"/>
  <c r="J59" i="20" s="1"/>
  <c r="J60" i="20" s="1"/>
  <c r="J61" i="20" s="1"/>
  <c r="J62" i="20" s="1"/>
  <c r="J63" i="20" s="1"/>
  <c r="J64" i="20" s="1"/>
  <c r="J65" i="20" s="1"/>
  <c r="J66" i="20" s="1"/>
  <c r="J67" i="20" s="1"/>
  <c r="J68" i="20" s="1"/>
  <c r="J69" i="20" s="1"/>
  <c r="J70" i="20" s="1"/>
  <c r="J71" i="20" s="1"/>
  <c r="J72" i="20" s="1"/>
  <c r="J73" i="20" s="1"/>
  <c r="J74" i="20" s="1"/>
  <c r="J75" i="20" s="1"/>
  <c r="J76" i="20" s="1"/>
  <c r="J77" i="20" s="1"/>
  <c r="J78" i="20" s="1"/>
  <c r="J79" i="20" s="1"/>
  <c r="J80" i="20" s="1"/>
  <c r="J81" i="20" s="1"/>
  <c r="J82" i="20" s="1"/>
  <c r="J83" i="20" s="1"/>
  <c r="J84" i="20" s="1"/>
  <c r="J85" i="20" s="1"/>
  <c r="J86" i="20" s="1"/>
  <c r="J87" i="20" s="1"/>
  <c r="J88" i="20" s="1"/>
  <c r="J89" i="20" s="1"/>
  <c r="J90" i="20" s="1"/>
  <c r="J91" i="20" s="1"/>
  <c r="J92" i="20" s="1"/>
  <c r="J93" i="20" s="1"/>
  <c r="J94" i="20" s="1"/>
  <c r="J95" i="20" s="1"/>
  <c r="J96" i="20" s="1"/>
  <c r="J97" i="20" s="1"/>
  <c r="J98" i="20" s="1"/>
  <c r="J99" i="20" s="1"/>
  <c r="J100" i="20" s="1"/>
  <c r="J101" i="20" s="1"/>
  <c r="J102" i="20" s="1"/>
  <c r="J103" i="20" s="1"/>
  <c r="J104" i="20" s="1"/>
  <c r="J105" i="20" s="1"/>
  <c r="J106" i="20" s="1"/>
  <c r="J107" i="20" s="1"/>
  <c r="J108" i="20" s="1"/>
  <c r="J109" i="20" s="1"/>
  <c r="J110" i="20" s="1"/>
  <c r="J111" i="20" s="1"/>
  <c r="J112" i="20" s="1"/>
  <c r="J113" i="20" s="1"/>
  <c r="J114" i="20" s="1"/>
  <c r="J115" i="20" s="1"/>
  <c r="J116" i="20" s="1"/>
  <c r="J117" i="20" s="1"/>
  <c r="J118" i="20" s="1"/>
  <c r="J119" i="20" s="1"/>
  <c r="J120" i="20" s="1"/>
  <c r="J121" i="20" s="1"/>
  <c r="J122" i="20" s="1"/>
  <c r="J123" i="20" s="1"/>
  <c r="J124" i="20" s="1"/>
  <c r="J125" i="20" s="1"/>
  <c r="J126" i="20" s="1"/>
  <c r="J127" i="20" s="1"/>
  <c r="J128" i="20" s="1"/>
  <c r="J129" i="20" s="1"/>
  <c r="J130" i="20" s="1"/>
  <c r="J131" i="20" s="1"/>
  <c r="J132" i="20" s="1"/>
  <c r="J133" i="20" s="1"/>
  <c r="J134" i="20" s="1"/>
  <c r="J135" i="20" s="1"/>
  <c r="J136" i="20" s="1"/>
  <c r="J137" i="20" s="1"/>
  <c r="J138" i="20" s="1"/>
  <c r="J139" i="20" s="1"/>
  <c r="J140" i="20" s="1"/>
  <c r="J141" i="20" s="1"/>
  <c r="J142" i="20" s="1"/>
  <c r="J143" i="20" s="1"/>
  <c r="J144" i="20" s="1"/>
  <c r="J145" i="20" s="1"/>
  <c r="J146" i="20" s="1"/>
  <c r="J147" i="20" s="1"/>
  <c r="J148" i="20" s="1"/>
  <c r="J149" i="20" s="1"/>
  <c r="J150" i="20" s="1"/>
  <c r="J151" i="20" s="1"/>
  <c r="J152" i="20" s="1"/>
  <c r="J153" i="20" s="1"/>
  <c r="J154" i="20" s="1"/>
  <c r="J155" i="20" s="1"/>
  <c r="J156" i="20" s="1"/>
  <c r="J157" i="20" s="1"/>
  <c r="J158" i="20" s="1"/>
  <c r="J159" i="20" s="1"/>
  <c r="J160" i="20" s="1"/>
  <c r="J161" i="20" s="1"/>
  <c r="J162" i="20" s="1"/>
  <c r="J163" i="20" s="1"/>
  <c r="J164" i="20" s="1"/>
  <c r="J165" i="20" s="1"/>
  <c r="J166" i="20" s="1"/>
  <c r="J167" i="20" s="1"/>
  <c r="J168" i="20" s="1"/>
  <c r="J169" i="20" s="1"/>
  <c r="J170" i="20" s="1"/>
  <c r="J171" i="20" s="1"/>
  <c r="J172" i="20" s="1"/>
  <c r="J173" i="20" s="1"/>
  <c r="J174" i="20" s="1"/>
  <c r="J175" i="20" s="1"/>
  <c r="J176" i="20" s="1"/>
  <c r="J177" i="20" s="1"/>
  <c r="J178" i="20" s="1"/>
  <c r="J179" i="20" s="1"/>
  <c r="J180" i="20" s="1"/>
  <c r="J181" i="20" s="1"/>
  <c r="J182" i="20" s="1"/>
  <c r="J183" i="20" s="1"/>
  <c r="J184" i="20" s="1"/>
  <c r="J185" i="20" s="1"/>
  <c r="J186" i="20" s="1"/>
  <c r="J187" i="20" s="1"/>
  <c r="J188" i="20" s="1"/>
  <c r="J189" i="20" s="1"/>
  <c r="J190" i="20" s="1"/>
  <c r="J191" i="20" s="1"/>
  <c r="J192" i="20" s="1"/>
  <c r="J193" i="20" s="1"/>
  <c r="J194" i="20" s="1"/>
  <c r="J195" i="20" s="1"/>
  <c r="J196" i="20" s="1"/>
  <c r="J197" i="20" s="1"/>
  <c r="J198" i="20" s="1"/>
  <c r="J199" i="20" s="1"/>
  <c r="J200" i="20" s="1"/>
  <c r="J201" i="20" s="1"/>
  <c r="J202" i="20" s="1"/>
  <c r="J203" i="20" s="1"/>
  <c r="J204" i="20" s="1"/>
  <c r="J205" i="20" s="1"/>
  <c r="J206" i="20" s="1"/>
  <c r="J207" i="20" s="1"/>
  <c r="J208" i="20" s="1"/>
  <c r="J209" i="20" s="1"/>
  <c r="J210" i="20" s="1"/>
  <c r="J211" i="20" s="1"/>
  <c r="J212" i="20" s="1"/>
  <c r="J213" i="20" s="1"/>
  <c r="J214" i="20" s="1"/>
  <c r="J215" i="20" s="1"/>
  <c r="J216" i="20" s="1"/>
  <c r="J217" i="20" s="1"/>
  <c r="J218" i="20" s="1"/>
  <c r="J219" i="20" s="1"/>
  <c r="J220" i="20" s="1"/>
  <c r="J221" i="20" s="1"/>
  <c r="J222" i="20" s="1"/>
  <c r="J223" i="20" s="1"/>
  <c r="J224" i="20" s="1"/>
  <c r="J225" i="20" s="1"/>
  <c r="J226" i="20" s="1"/>
  <c r="J227" i="20" s="1"/>
  <c r="J228" i="20" s="1"/>
  <c r="J229" i="20" s="1"/>
  <c r="J230" i="20" s="1"/>
  <c r="J231" i="20" s="1"/>
  <c r="J232" i="20" s="1"/>
  <c r="J233" i="20" s="1"/>
  <c r="J234" i="20" s="1"/>
  <c r="AQ5" i="20"/>
  <c r="AR5" i="20" s="1"/>
  <c r="AW12" i="20"/>
  <c r="AW11" i="20"/>
  <c r="H6" i="20"/>
  <c r="A6" i="20"/>
  <c r="V6" i="20"/>
  <c r="X6" i="20" s="1"/>
  <c r="AV6" i="20"/>
  <c r="AX6" i="20" s="1"/>
  <c r="AV7" i="20"/>
  <c r="AX7" i="20" s="1"/>
  <c r="G8" i="20"/>
  <c r="D89" i="2" l="1"/>
  <c r="C89" i="2"/>
  <c r="BB5" i="20"/>
  <c r="BB6" i="20" s="1"/>
  <c r="BB7" i="20" s="1"/>
  <c r="Y6" i="20"/>
  <c r="AC6" i="20" s="1"/>
  <c r="AH5" i="20"/>
  <c r="AH6" i="20" s="1"/>
  <c r="AG5" i="20"/>
  <c r="AG6" i="20" s="1"/>
  <c r="AM5" i="20"/>
  <c r="AM6" i="20" s="1"/>
  <c r="AM7" i="20" s="1"/>
  <c r="AL5" i="20"/>
  <c r="AL6" i="20" s="1"/>
  <c r="AL7" i="20" s="1"/>
  <c r="P6" i="20"/>
  <c r="AR6" i="20"/>
  <c r="AN6" i="20"/>
  <c r="A7" i="20"/>
  <c r="AW13" i="20"/>
  <c r="H7" i="20"/>
  <c r="AV8" i="20"/>
  <c r="AX8" i="20" s="1"/>
  <c r="G9" i="20"/>
  <c r="V8" i="20"/>
  <c r="BB8" i="20" l="1"/>
  <c r="Y7" i="20"/>
  <c r="AC7" i="20" s="1"/>
  <c r="BD5" i="20"/>
  <c r="AG7" i="20"/>
  <c r="A8" i="20"/>
  <c r="AV9" i="20"/>
  <c r="AX9" i="20" s="1"/>
  <c r="G10" i="20"/>
  <c r="V9" i="20"/>
  <c r="X9" i="20" s="1"/>
  <c r="AW14" i="20"/>
  <c r="AE8" i="20"/>
  <c r="X8" i="20"/>
  <c r="AH7" i="20"/>
  <c r="BD6" i="20"/>
  <c r="H8" i="20"/>
  <c r="AM8" i="20"/>
  <c r="AL8" i="20"/>
  <c r="BB9" i="20" l="1"/>
  <c r="Y8" i="20"/>
  <c r="AC8" i="20" s="1"/>
  <c r="AM9" i="20"/>
  <c r="AL9" i="20"/>
  <c r="AH8" i="20"/>
  <c r="BD7" i="20"/>
  <c r="H9" i="20"/>
  <c r="AG8" i="20"/>
  <c r="A9" i="20"/>
  <c r="AV10" i="20"/>
  <c r="AX10" i="20" s="1"/>
  <c r="V10" i="20"/>
  <c r="X10" i="20" s="1"/>
  <c r="G11" i="20"/>
  <c r="AW15" i="20"/>
  <c r="AE9" i="20"/>
  <c r="BC8" i="20"/>
  <c r="BB10" i="20" l="1"/>
  <c r="Y9" i="20"/>
  <c r="AC9" i="20" s="1"/>
  <c r="G12" i="20"/>
  <c r="AV11" i="20"/>
  <c r="AX11" i="20" s="1"/>
  <c r="V11" i="20"/>
  <c r="X11" i="20" s="1"/>
  <c r="BD8" i="20"/>
  <c r="AH9" i="20"/>
  <c r="AW16" i="20"/>
  <c r="AE10" i="20"/>
  <c r="BC9" i="20"/>
  <c r="H10" i="20"/>
  <c r="AG9" i="20"/>
  <c r="A10" i="20"/>
  <c r="AM10" i="20"/>
  <c r="AL10" i="20"/>
  <c r="BB11" i="20" l="1"/>
  <c r="Y10" i="20"/>
  <c r="Y11" i="20" s="1"/>
  <c r="AV12" i="20"/>
  <c r="AX12" i="20" s="1"/>
  <c r="BB12" i="20" s="1"/>
  <c r="V12" i="20"/>
  <c r="X12" i="20" s="1"/>
  <c r="G13" i="20"/>
  <c r="AH10" i="20"/>
  <c r="BD9" i="20"/>
  <c r="AE11" i="20"/>
  <c r="BC10" i="20"/>
  <c r="AL11" i="20"/>
  <c r="H11" i="20"/>
  <c r="AG10" i="20"/>
  <c r="A11" i="20"/>
  <c r="AM11" i="20"/>
  <c r="AW17" i="20"/>
  <c r="AC10" i="20" l="1"/>
  <c r="AM12" i="20"/>
  <c r="AM13" i="20" s="1"/>
  <c r="H12" i="20"/>
  <c r="A12" i="20"/>
  <c r="AH11" i="20"/>
  <c r="BD10" i="20"/>
  <c r="BC11" i="20"/>
  <c r="AE12" i="20"/>
  <c r="AC11" i="20"/>
  <c r="Y12" i="20"/>
  <c r="AL12" i="20"/>
  <c r="AL13" i="20" s="1"/>
  <c r="AG11" i="20"/>
  <c r="V13" i="20"/>
  <c r="X13" i="20" s="1"/>
  <c r="AV13" i="20"/>
  <c r="AX13" i="20" s="1"/>
  <c r="BB13" i="20" s="1"/>
  <c r="G14" i="20"/>
  <c r="AW18" i="20"/>
  <c r="AC12" i="20" l="1"/>
  <c r="Y13" i="20"/>
  <c r="H13" i="20"/>
  <c r="V14" i="20"/>
  <c r="X14" i="20" s="1"/>
  <c r="G15" i="20"/>
  <c r="AV14" i="20"/>
  <c r="AX14" i="20" s="1"/>
  <c r="BB14" i="20" s="1"/>
  <c r="AH12" i="20"/>
  <c r="BD11" i="20"/>
  <c r="BC12" i="20"/>
  <c r="AE13" i="20"/>
  <c r="AG12" i="20"/>
  <c r="AW19" i="20"/>
  <c r="A13" i="20"/>
  <c r="AM14" i="20" l="1"/>
  <c r="AL14" i="20"/>
  <c r="BC13" i="20"/>
  <c r="AE14" i="20"/>
  <c r="A14" i="20"/>
  <c r="AG13" i="20"/>
  <c r="H14" i="20"/>
  <c r="AH13" i="20"/>
  <c r="BD12" i="20"/>
  <c r="AC13" i="20"/>
  <c r="Y14" i="20"/>
  <c r="AW20" i="20"/>
  <c r="V15" i="20"/>
  <c r="X15" i="20" s="1"/>
  <c r="AV15" i="20"/>
  <c r="AX15" i="20" s="1"/>
  <c r="BB15" i="20" s="1"/>
  <c r="G16" i="20"/>
  <c r="A15" i="20" l="1"/>
  <c r="BC14" i="20"/>
  <c r="AE15" i="20"/>
  <c r="AC14" i="20"/>
  <c r="Y15" i="20"/>
  <c r="AW21" i="20"/>
  <c r="AG14" i="20"/>
  <c r="V16" i="20"/>
  <c r="X16" i="20" s="1"/>
  <c r="G17" i="20"/>
  <c r="AV16" i="20"/>
  <c r="AX16" i="20" s="1"/>
  <c r="BB16" i="20" s="1"/>
  <c r="AM15" i="20"/>
  <c r="AH14" i="20"/>
  <c r="BD13" i="20"/>
  <c r="H15" i="20"/>
  <c r="AL15" i="20"/>
  <c r="AM16" i="20" l="1"/>
  <c r="AL16" i="20"/>
  <c r="BC15" i="20"/>
  <c r="AE16" i="20"/>
  <c r="H16" i="20"/>
  <c r="Y16" i="20"/>
  <c r="AC15" i="20"/>
  <c r="AG15" i="20"/>
  <c r="A16" i="20"/>
  <c r="BD14" i="20"/>
  <c r="AH15" i="20"/>
  <c r="AW22" i="20"/>
  <c r="V17" i="20"/>
  <c r="X17" i="20" s="1"/>
  <c r="G18" i="20"/>
  <c r="AV17" i="20"/>
  <c r="AX17" i="20" s="1"/>
  <c r="BB17" i="20" s="1"/>
  <c r="AM17" i="20" l="1"/>
  <c r="BD15" i="20"/>
  <c r="AH16" i="20"/>
  <c r="BC16" i="20"/>
  <c r="AE17" i="20"/>
  <c r="Y17" i="20"/>
  <c r="AC16" i="20"/>
  <c r="AL17" i="20"/>
  <c r="A17" i="20"/>
  <c r="V18" i="20"/>
  <c r="X18" i="20" s="1"/>
  <c r="G19" i="20"/>
  <c r="AV18" i="20"/>
  <c r="AX18" i="20" s="1"/>
  <c r="BB18" i="20" s="1"/>
  <c r="AG16" i="20"/>
  <c r="AW23" i="20"/>
  <c r="H17" i="20"/>
  <c r="A18" i="20" l="1"/>
  <c r="AG17" i="20"/>
  <c r="AH17" i="20"/>
  <c r="BD16" i="20"/>
  <c r="AW24" i="20"/>
  <c r="AM18" i="20"/>
  <c r="AE18" i="20"/>
  <c r="BC17" i="20"/>
  <c r="H18" i="20"/>
  <c r="AL18" i="20"/>
  <c r="V19" i="20"/>
  <c r="X19" i="20" s="1"/>
  <c r="G20" i="20"/>
  <c r="AV19" i="20"/>
  <c r="AX19" i="20" s="1"/>
  <c r="BB19" i="20" s="1"/>
  <c r="Y18" i="20"/>
  <c r="AC17" i="20"/>
  <c r="AL19" i="20" l="1"/>
  <c r="AG18" i="20"/>
  <c r="BC18" i="20"/>
  <c r="AE19" i="20"/>
  <c r="H19" i="20"/>
  <c r="A19" i="20"/>
  <c r="AH18" i="20"/>
  <c r="BD17" i="20"/>
  <c r="V20" i="20"/>
  <c r="X20" i="20" s="1"/>
  <c r="G21" i="20"/>
  <c r="AV20" i="20"/>
  <c r="AX20" i="20" s="1"/>
  <c r="BB20" i="20" s="1"/>
  <c r="AW25" i="20"/>
  <c r="AM19" i="20"/>
  <c r="Y19" i="20"/>
  <c r="AC18" i="20"/>
  <c r="AM20" i="20" l="1"/>
  <c r="AL20" i="20"/>
  <c r="AG19" i="20"/>
  <c r="AE20" i="20"/>
  <c r="BC19" i="20"/>
  <c r="A20" i="20"/>
  <c r="G22" i="20"/>
  <c r="AV21" i="20"/>
  <c r="AX21" i="20" s="1"/>
  <c r="BB21" i="20" s="1"/>
  <c r="V21" i="20"/>
  <c r="X21" i="20" s="1"/>
  <c r="AW26" i="20"/>
  <c r="H20" i="20"/>
  <c r="Y20" i="20"/>
  <c r="AC19" i="20"/>
  <c r="BD18" i="20"/>
  <c r="AH19" i="20"/>
  <c r="AM21" i="20" l="1"/>
  <c r="AG20" i="20"/>
  <c r="AW27" i="20"/>
  <c r="Y21" i="20"/>
  <c r="AC20" i="20"/>
  <c r="H21" i="20"/>
  <c r="AL21" i="20"/>
  <c r="AE21" i="20"/>
  <c r="BC20" i="20"/>
  <c r="A21" i="20"/>
  <c r="BD19" i="20"/>
  <c r="AH20" i="20"/>
  <c r="G23" i="20"/>
  <c r="AV22" i="20"/>
  <c r="AX22" i="20" s="1"/>
  <c r="BB22" i="20" s="1"/>
  <c r="V22" i="20"/>
  <c r="X22" i="20" s="1"/>
  <c r="AM22" i="20" l="1"/>
  <c r="AL22" i="20"/>
  <c r="A22" i="20"/>
  <c r="AW28" i="20"/>
  <c r="Y22" i="20"/>
  <c r="AC21" i="20"/>
  <c r="AE22" i="20"/>
  <c r="BC21" i="20"/>
  <c r="AH21" i="20"/>
  <c r="BD20" i="20"/>
  <c r="H22" i="20"/>
  <c r="AG21" i="20"/>
  <c r="G24" i="20"/>
  <c r="AV23" i="20"/>
  <c r="AX23" i="20" s="1"/>
  <c r="BB23" i="20" s="1"/>
  <c r="V23" i="20"/>
  <c r="X23" i="20" s="1"/>
  <c r="AM23" i="20" l="1"/>
  <c r="AL23" i="20"/>
  <c r="AW29" i="20"/>
  <c r="H23" i="20"/>
  <c r="A23" i="20"/>
  <c r="Y23" i="20"/>
  <c r="AC22" i="20"/>
  <c r="AG22" i="20"/>
  <c r="AH22" i="20"/>
  <c r="BD21" i="20"/>
  <c r="AV24" i="20"/>
  <c r="AX24" i="20" s="1"/>
  <c r="BB24" i="20" s="1"/>
  <c r="V24" i="20"/>
  <c r="X24" i="20" s="1"/>
  <c r="G25" i="20"/>
  <c r="AE23" i="20"/>
  <c r="BC22" i="20"/>
  <c r="AV25" i="20" l="1"/>
  <c r="AX25" i="20" s="1"/>
  <c r="BB25" i="20" s="1"/>
  <c r="V25" i="20"/>
  <c r="X25" i="20" s="1"/>
  <c r="G26" i="20"/>
  <c r="AL24" i="20"/>
  <c r="AM24" i="20"/>
  <c r="AW30" i="20"/>
  <c r="H24" i="20"/>
  <c r="AE24" i="20"/>
  <c r="BC23" i="20"/>
  <c r="Y24" i="20"/>
  <c r="AC23" i="20"/>
  <c r="AG23" i="20"/>
  <c r="A24" i="20"/>
  <c r="AH23" i="20"/>
  <c r="BD22" i="20"/>
  <c r="Y25" i="20" l="1"/>
  <c r="AC24" i="20"/>
  <c r="AG24" i="20"/>
  <c r="AL25" i="20"/>
  <c r="AL26" i="20" s="1"/>
  <c r="AV26" i="20"/>
  <c r="AX26" i="20" s="1"/>
  <c r="BB26" i="20" s="1"/>
  <c r="G27" i="20"/>
  <c r="V26" i="20"/>
  <c r="X26" i="20" s="1"/>
  <c r="AM25" i="20"/>
  <c r="AE25" i="20"/>
  <c r="BC24" i="20"/>
  <c r="AH24" i="20"/>
  <c r="BD23" i="20"/>
  <c r="A25" i="20"/>
  <c r="AW31" i="20"/>
  <c r="H25" i="20"/>
  <c r="A26" i="20" l="1"/>
  <c r="H26" i="20"/>
  <c r="V27" i="20"/>
  <c r="X27" i="20" s="1"/>
  <c r="G28" i="20"/>
  <c r="AV27" i="20"/>
  <c r="AX27" i="20" s="1"/>
  <c r="BB27" i="20" s="1"/>
  <c r="AH25" i="20"/>
  <c r="BD24" i="20"/>
  <c r="AG25" i="20"/>
  <c r="AM26" i="20"/>
  <c r="Y26" i="20"/>
  <c r="AC25" i="20"/>
  <c r="AW32" i="20"/>
  <c r="AE26" i="20"/>
  <c r="BC25" i="20"/>
  <c r="AM27" i="20" l="1"/>
  <c r="Y27" i="20"/>
  <c r="AC26" i="20"/>
  <c r="A27" i="20"/>
  <c r="AW33" i="20"/>
  <c r="AE27" i="20"/>
  <c r="BC26" i="20"/>
  <c r="H27" i="20"/>
  <c r="V28" i="20"/>
  <c r="X28" i="20" s="1"/>
  <c r="G29" i="20"/>
  <c r="AV28" i="20"/>
  <c r="AX28" i="20" s="1"/>
  <c r="BB28" i="20" s="1"/>
  <c r="AL27" i="20"/>
  <c r="AG26" i="20"/>
  <c r="AH26" i="20"/>
  <c r="BD25" i="20"/>
  <c r="AM28" i="20" l="1"/>
  <c r="V29" i="20"/>
  <c r="X29" i="20" s="1"/>
  <c r="G30" i="20"/>
  <c r="AV29" i="20"/>
  <c r="AX29" i="20" s="1"/>
  <c r="BB29" i="20" s="1"/>
  <c r="AG27" i="20"/>
  <c r="BC27" i="20"/>
  <c r="AE28" i="20"/>
  <c r="AW34" i="20"/>
  <c r="AH27" i="20"/>
  <c r="BD26" i="20"/>
  <c r="H28" i="20"/>
  <c r="Y28" i="20"/>
  <c r="AC27" i="20"/>
  <c r="A28" i="20"/>
  <c r="AL28" i="20"/>
  <c r="AH28" i="20" l="1"/>
  <c r="BD27" i="20"/>
  <c r="V30" i="20"/>
  <c r="X30" i="20" s="1"/>
  <c r="G31" i="20"/>
  <c r="AV30" i="20"/>
  <c r="AX30" i="20" s="1"/>
  <c r="BB30" i="20" s="1"/>
  <c r="Y29" i="20"/>
  <c r="AC28" i="20"/>
  <c r="A29" i="20"/>
  <c r="AM29" i="20"/>
  <c r="AL29" i="20"/>
  <c r="H29" i="20"/>
  <c r="AG28" i="20"/>
  <c r="BC28" i="20"/>
  <c r="AE29" i="20"/>
  <c r="AW35" i="20"/>
  <c r="AH29" i="20" l="1"/>
  <c r="BD28" i="20"/>
  <c r="H30" i="20"/>
  <c r="Y30" i="20"/>
  <c r="AC29" i="20"/>
  <c r="AW36" i="20"/>
  <c r="BC29" i="20"/>
  <c r="AE30" i="20"/>
  <c r="A30" i="20"/>
  <c r="AG29" i="20"/>
  <c r="AM30" i="20"/>
  <c r="AM31" i="20" s="1"/>
  <c r="AL30" i="20"/>
  <c r="V31" i="20"/>
  <c r="X31" i="20" s="1"/>
  <c r="G32" i="20"/>
  <c r="AV31" i="20"/>
  <c r="AX31" i="20" s="1"/>
  <c r="BB31" i="20" s="1"/>
  <c r="AL31" i="20" l="1"/>
  <c r="V32" i="20"/>
  <c r="X32" i="20" s="1"/>
  <c r="G33" i="20"/>
  <c r="AV32" i="20"/>
  <c r="AX32" i="20" s="1"/>
  <c r="BB32" i="20" s="1"/>
  <c r="AW37" i="20"/>
  <c r="A31" i="20"/>
  <c r="H31" i="20"/>
  <c r="AG30" i="20"/>
  <c r="AH30" i="20"/>
  <c r="BD29" i="20"/>
  <c r="Y31" i="20"/>
  <c r="AC30" i="20"/>
  <c r="BC30" i="20"/>
  <c r="AE31" i="20"/>
  <c r="AM32" i="20" l="1"/>
  <c r="AG31" i="20"/>
  <c r="H32" i="20"/>
  <c r="Y32" i="20"/>
  <c r="AC31" i="20"/>
  <c r="AE32" i="20"/>
  <c r="BC31" i="20"/>
  <c r="A32" i="20"/>
  <c r="BD30" i="20"/>
  <c r="AH31" i="20"/>
  <c r="AW38" i="20"/>
  <c r="AL32" i="20"/>
  <c r="AL33" i="20" s="1"/>
  <c r="V33" i="20"/>
  <c r="X33" i="20" s="1"/>
  <c r="AV33" i="20"/>
  <c r="AX33" i="20" s="1"/>
  <c r="BB33" i="20" s="1"/>
  <c r="G34" i="20"/>
  <c r="AM33" i="20" l="1"/>
  <c r="BD31" i="20"/>
  <c r="AH32" i="20"/>
  <c r="AG32" i="20"/>
  <c r="AW39" i="20"/>
  <c r="H33" i="20"/>
  <c r="Y33" i="20"/>
  <c r="AC32" i="20"/>
  <c r="V34" i="20"/>
  <c r="X34" i="20" s="1"/>
  <c r="G35" i="20"/>
  <c r="AV34" i="20"/>
  <c r="AX34" i="20" s="1"/>
  <c r="BB34" i="20" s="1"/>
  <c r="AE33" i="20"/>
  <c r="BC32" i="20"/>
  <c r="A33" i="20"/>
  <c r="AC33" i="20" l="1"/>
  <c r="Y34" i="20"/>
  <c r="AH33" i="20"/>
  <c r="BD32" i="20"/>
  <c r="AE34" i="20"/>
  <c r="BC33" i="20"/>
  <c r="AG33" i="20"/>
  <c r="A34" i="20"/>
  <c r="AW40" i="20"/>
  <c r="AM34" i="20"/>
  <c r="V35" i="20"/>
  <c r="X35" i="20" s="1"/>
  <c r="G36" i="20"/>
  <c r="AV35" i="20"/>
  <c r="AX35" i="20" s="1"/>
  <c r="BB35" i="20" s="1"/>
  <c r="H34" i="20"/>
  <c r="AL34" i="20"/>
  <c r="AM35" i="20" l="1"/>
  <c r="Y35" i="20"/>
  <c r="AC34" i="20"/>
  <c r="V36" i="20"/>
  <c r="X36" i="20" s="1"/>
  <c r="G37" i="20"/>
  <c r="AV36" i="20"/>
  <c r="AX36" i="20" s="1"/>
  <c r="BB36" i="20" s="1"/>
  <c r="H35" i="20"/>
  <c r="AE35" i="20"/>
  <c r="BC34" i="20"/>
  <c r="A35" i="20"/>
  <c r="AW41" i="20"/>
  <c r="AH34" i="20"/>
  <c r="BD33" i="20"/>
  <c r="AG34" i="20"/>
  <c r="AL35" i="20"/>
  <c r="AW42" i="20" l="1"/>
  <c r="AH35" i="20"/>
  <c r="BD34" i="20"/>
  <c r="AM36" i="20"/>
  <c r="AM37" i="20" s="1"/>
  <c r="Y36" i="20"/>
  <c r="AC35" i="20"/>
  <c r="AG35" i="20"/>
  <c r="H36" i="20"/>
  <c r="AE36" i="20"/>
  <c r="BC35" i="20"/>
  <c r="G38" i="20"/>
  <c r="AV37" i="20"/>
  <c r="AX37" i="20" s="1"/>
  <c r="BB37" i="20" s="1"/>
  <c r="V37" i="20"/>
  <c r="X37" i="20" s="1"/>
  <c r="A36" i="20"/>
  <c r="AL36" i="20"/>
  <c r="AW43" i="20" l="1"/>
  <c r="AE37" i="20"/>
  <c r="BC36" i="20"/>
  <c r="AH36" i="20"/>
  <c r="BD35" i="20"/>
  <c r="A37" i="20"/>
  <c r="Y37" i="20"/>
  <c r="AC36" i="20"/>
  <c r="AG36" i="20"/>
  <c r="G39" i="20"/>
  <c r="AV38" i="20"/>
  <c r="AX38" i="20" s="1"/>
  <c r="BB38" i="20" s="1"/>
  <c r="V38" i="20"/>
  <c r="X38" i="20" s="1"/>
  <c r="H37" i="20"/>
  <c r="AL37" i="20"/>
  <c r="G40" i="20" l="1"/>
  <c r="AV39" i="20"/>
  <c r="AX39" i="20" s="1"/>
  <c r="BB39" i="20" s="1"/>
  <c r="V39" i="20"/>
  <c r="X39" i="20" s="1"/>
  <c r="AW44" i="20"/>
  <c r="AG37" i="20"/>
  <c r="H38" i="20"/>
  <c r="A38" i="20"/>
  <c r="AE38" i="20"/>
  <c r="BC37" i="20"/>
  <c r="Y38" i="20"/>
  <c r="AC37" i="20"/>
  <c r="AL38" i="20"/>
  <c r="AM38" i="20"/>
  <c r="AH37" i="20"/>
  <c r="BD36" i="20"/>
  <c r="AV40" i="20" l="1"/>
  <c r="AX40" i="20" s="1"/>
  <c r="BB40" i="20" s="1"/>
  <c r="V40" i="20"/>
  <c r="X40" i="20" s="1"/>
  <c r="G41" i="20"/>
  <c r="H39" i="20"/>
  <c r="AW45" i="20"/>
  <c r="AG38" i="20"/>
  <c r="Y39" i="20"/>
  <c r="AC38" i="20"/>
  <c r="AH38" i="20"/>
  <c r="BD37" i="20"/>
  <c r="A39" i="20"/>
  <c r="AE39" i="20"/>
  <c r="BC38" i="20"/>
  <c r="AL39" i="20"/>
  <c r="AM39" i="20"/>
  <c r="H40" i="20" l="1"/>
  <c r="AM40" i="20"/>
  <c r="AV41" i="20"/>
  <c r="AX41" i="20" s="1"/>
  <c r="BB41" i="20" s="1"/>
  <c r="V41" i="20"/>
  <c r="X41" i="20" s="1"/>
  <c r="G42" i="20"/>
  <c r="AE40" i="20"/>
  <c r="BC39" i="20"/>
  <c r="AL40" i="20"/>
  <c r="AH39" i="20"/>
  <c r="BD38" i="20"/>
  <c r="AW46" i="20"/>
  <c r="AG39" i="20"/>
  <c r="Y40" i="20"/>
  <c r="AC39" i="20"/>
  <c r="A40" i="20"/>
  <c r="AM41" i="20" l="1"/>
  <c r="H41" i="20"/>
  <c r="AW47" i="20"/>
  <c r="Y41" i="20"/>
  <c r="AC40" i="20"/>
  <c r="A41" i="20"/>
  <c r="AG40" i="20"/>
  <c r="V42" i="20"/>
  <c r="X42" i="20" s="1"/>
  <c r="G43" i="20"/>
  <c r="AV42" i="20"/>
  <c r="AX42" i="20" s="1"/>
  <c r="BB42" i="20" s="1"/>
  <c r="AE41" i="20"/>
  <c r="BC40" i="20"/>
  <c r="AL41" i="20"/>
  <c r="AH40" i="20"/>
  <c r="BD39" i="20"/>
  <c r="V43" i="20" l="1"/>
  <c r="X43" i="20" s="1"/>
  <c r="G44" i="20"/>
  <c r="AV43" i="20"/>
  <c r="AX43" i="20" s="1"/>
  <c r="BB43" i="20" s="1"/>
  <c r="AL42" i="20"/>
  <c r="AH41" i="20"/>
  <c r="BD40" i="20"/>
  <c r="A42" i="20"/>
  <c r="H42" i="20"/>
  <c r="AE42" i="20"/>
  <c r="BC41" i="20"/>
  <c r="AW48" i="20"/>
  <c r="Y42" i="20"/>
  <c r="AC41" i="20"/>
  <c r="AG41" i="20"/>
  <c r="AM42" i="20"/>
  <c r="AW49" i="20" l="1"/>
  <c r="Y43" i="20"/>
  <c r="AC42" i="20"/>
  <c r="V44" i="20"/>
  <c r="X44" i="20" s="1"/>
  <c r="G45" i="20"/>
  <c r="AV44" i="20"/>
  <c r="AX44" i="20" s="1"/>
  <c r="BB44" i="20" s="1"/>
  <c r="AM43" i="20"/>
  <c r="A43" i="20"/>
  <c r="H43" i="20"/>
  <c r="AE43" i="20"/>
  <c r="BC42" i="20"/>
  <c r="AL43" i="20"/>
  <c r="AH42" i="20"/>
  <c r="BD41" i="20"/>
  <c r="AG42" i="20"/>
  <c r="AM44" i="20" l="1"/>
  <c r="AL44" i="20"/>
  <c r="AW50" i="20"/>
  <c r="AH43" i="20"/>
  <c r="BD42" i="20"/>
  <c r="AG43" i="20"/>
  <c r="V45" i="20"/>
  <c r="X45" i="20" s="1"/>
  <c r="G46" i="20"/>
  <c r="AV45" i="20"/>
  <c r="AX45" i="20" s="1"/>
  <c r="BB45" i="20" s="1"/>
  <c r="A44" i="20"/>
  <c r="H44" i="20"/>
  <c r="BC43" i="20"/>
  <c r="AE44" i="20"/>
  <c r="Y44" i="20"/>
  <c r="AC43" i="20"/>
  <c r="AL45" i="20" l="1"/>
  <c r="AM45" i="20"/>
  <c r="A45" i="20"/>
  <c r="H45" i="20"/>
  <c r="BC44" i="20"/>
  <c r="AE45" i="20"/>
  <c r="AW51" i="20"/>
  <c r="AG44" i="20"/>
  <c r="AH44" i="20"/>
  <c r="BD43" i="20"/>
  <c r="Y45" i="20"/>
  <c r="AC44" i="20"/>
  <c r="V46" i="20"/>
  <c r="X46" i="20" s="1"/>
  <c r="G47" i="20"/>
  <c r="AV46" i="20"/>
  <c r="AX46" i="20" s="1"/>
  <c r="BB46" i="20" s="1"/>
  <c r="AM46" i="20" l="1"/>
  <c r="A46" i="20"/>
  <c r="V47" i="20"/>
  <c r="X47" i="20" s="1"/>
  <c r="G48" i="20"/>
  <c r="AV47" i="20"/>
  <c r="AX47" i="20" s="1"/>
  <c r="BB47" i="20" s="1"/>
  <c r="BC45" i="20"/>
  <c r="AE46" i="20"/>
  <c r="AH45" i="20"/>
  <c r="BD44" i="20"/>
  <c r="Y46" i="20"/>
  <c r="AC45" i="20"/>
  <c r="H46" i="20"/>
  <c r="AG45" i="20"/>
  <c r="AW52" i="20"/>
  <c r="AL46" i="20"/>
  <c r="AG46" i="20" l="1"/>
  <c r="AW53" i="20"/>
  <c r="H47" i="20"/>
  <c r="BC46" i="20"/>
  <c r="AE47" i="20"/>
  <c r="Y47" i="20"/>
  <c r="AC46" i="20"/>
  <c r="V48" i="20"/>
  <c r="X48" i="20" s="1"/>
  <c r="G49" i="20"/>
  <c r="AV48" i="20"/>
  <c r="AX48" i="20" s="1"/>
  <c r="BB48" i="20" s="1"/>
  <c r="AL47" i="20"/>
  <c r="A47" i="20"/>
  <c r="AH46" i="20"/>
  <c r="BD45" i="20"/>
  <c r="AM47" i="20"/>
  <c r="AL48" i="20" l="1"/>
  <c r="AM48" i="20"/>
  <c r="V49" i="20"/>
  <c r="X49" i="20" s="1"/>
  <c r="G50" i="20"/>
  <c r="AV49" i="20"/>
  <c r="AX49" i="20" s="1"/>
  <c r="BB49" i="20" s="1"/>
  <c r="AG47" i="20"/>
  <c r="A48" i="20"/>
  <c r="H48" i="20"/>
  <c r="BD46" i="20"/>
  <c r="AH47" i="20"/>
  <c r="AW54" i="20"/>
  <c r="Y48" i="20"/>
  <c r="AC47" i="20"/>
  <c r="AE48" i="20"/>
  <c r="BC47" i="20"/>
  <c r="AW55" i="20" l="1"/>
  <c r="Y49" i="20"/>
  <c r="AC48" i="20"/>
  <c r="AM49" i="20"/>
  <c r="A49" i="20"/>
  <c r="H49" i="20"/>
  <c r="AL49" i="20"/>
  <c r="AG48" i="20"/>
  <c r="V50" i="20"/>
  <c r="X50" i="20" s="1"/>
  <c r="G51" i="20"/>
  <c r="AV50" i="20"/>
  <c r="AX50" i="20" s="1"/>
  <c r="BB50" i="20" s="1"/>
  <c r="AE49" i="20"/>
  <c r="BC48" i="20"/>
  <c r="BD47" i="20"/>
  <c r="AH48" i="20"/>
  <c r="Y50" i="20" l="1"/>
  <c r="AC49" i="20"/>
  <c r="AG49" i="20"/>
  <c r="A50" i="20"/>
  <c r="AM50" i="20"/>
  <c r="AL50" i="20"/>
  <c r="AW56" i="20"/>
  <c r="AE50" i="20"/>
  <c r="BC49" i="20"/>
  <c r="AH49" i="20"/>
  <c r="BD48" i="20"/>
  <c r="H50" i="20"/>
  <c r="V51" i="20"/>
  <c r="X51" i="20" s="1"/>
  <c r="G52" i="20"/>
  <c r="AV51" i="20"/>
  <c r="AX51" i="20" s="1"/>
  <c r="BB51" i="20" s="1"/>
  <c r="AE51" i="20" l="1"/>
  <c r="BC50" i="20"/>
  <c r="Y51" i="20"/>
  <c r="AC50" i="20"/>
  <c r="H51" i="20"/>
  <c r="AH50" i="20"/>
  <c r="BD49" i="20"/>
  <c r="AG50" i="20"/>
  <c r="A51" i="20"/>
  <c r="AL51" i="20"/>
  <c r="V52" i="20"/>
  <c r="X52" i="20" s="1"/>
  <c r="G53" i="20"/>
  <c r="AV52" i="20"/>
  <c r="AX52" i="20" s="1"/>
  <c r="BB52" i="20" s="1"/>
  <c r="AM51" i="20"/>
  <c r="AW57" i="20"/>
  <c r="AL52" i="20" l="1"/>
  <c r="AE52" i="20"/>
  <c r="BC51" i="20"/>
  <c r="Y52" i="20"/>
  <c r="AC51" i="20"/>
  <c r="AH51" i="20"/>
  <c r="BD50" i="20"/>
  <c r="AG51" i="20"/>
  <c r="AM52" i="20"/>
  <c r="H52" i="20"/>
  <c r="AW58" i="20"/>
  <c r="G54" i="20"/>
  <c r="AV53" i="20"/>
  <c r="AX53" i="20" s="1"/>
  <c r="BB53" i="20" s="1"/>
  <c r="V53" i="20"/>
  <c r="X53" i="20" s="1"/>
  <c r="A52" i="20"/>
  <c r="AL53" i="20" l="1"/>
  <c r="Y53" i="20"/>
  <c r="AC52" i="20"/>
  <c r="H53" i="20"/>
  <c r="G55" i="20"/>
  <c r="AV54" i="20"/>
  <c r="AX54" i="20" s="1"/>
  <c r="BB54" i="20" s="1"/>
  <c r="V54" i="20"/>
  <c r="X54" i="20" s="1"/>
  <c r="AE53" i="20"/>
  <c r="BC52" i="20"/>
  <c r="AG52" i="20"/>
  <c r="AW59" i="20"/>
  <c r="AH52" i="20"/>
  <c r="BD51" i="20"/>
  <c r="A53" i="20"/>
  <c r="AM53" i="20"/>
  <c r="AM54" i="20" l="1"/>
  <c r="AL54" i="20"/>
  <c r="AG53" i="20"/>
  <c r="Y54" i="20"/>
  <c r="AC53" i="20"/>
  <c r="AH53" i="20"/>
  <c r="BD52" i="20"/>
  <c r="H54" i="20"/>
  <c r="G56" i="20"/>
  <c r="AV55" i="20"/>
  <c r="AX55" i="20" s="1"/>
  <c r="BB55" i="20" s="1"/>
  <c r="V55" i="20"/>
  <c r="X55" i="20" s="1"/>
  <c r="A54" i="20"/>
  <c r="AE54" i="20"/>
  <c r="BC53" i="20"/>
  <c r="AW60" i="20"/>
  <c r="AL55" i="20" l="1"/>
  <c r="AM55" i="20"/>
  <c r="AE55" i="20"/>
  <c r="BC54" i="20"/>
  <c r="A55" i="20"/>
  <c r="Y55" i="20"/>
  <c r="AC54" i="20"/>
  <c r="AH54" i="20"/>
  <c r="BD53" i="20"/>
  <c r="H55" i="20"/>
  <c r="AW61" i="20"/>
  <c r="AG54" i="20"/>
  <c r="AV56" i="20"/>
  <c r="AX56" i="20" s="1"/>
  <c r="BB56" i="20" s="1"/>
  <c r="V56" i="20"/>
  <c r="X56" i="20" s="1"/>
  <c r="G57" i="20"/>
  <c r="AM56" i="20" l="1"/>
  <c r="AL56" i="20"/>
  <c r="A56" i="20"/>
  <c r="AE56" i="20"/>
  <c r="BC55" i="20"/>
  <c r="AV57" i="20"/>
  <c r="AX57" i="20" s="1"/>
  <c r="BB57" i="20" s="1"/>
  <c r="V57" i="20"/>
  <c r="X57" i="20" s="1"/>
  <c r="G58" i="20"/>
  <c r="Y56" i="20"/>
  <c r="AC55" i="20"/>
  <c r="AW62" i="20"/>
  <c r="AH55" i="20"/>
  <c r="BD54" i="20"/>
  <c r="AG55" i="20"/>
  <c r="H56" i="20"/>
  <c r="AL57" i="20" l="1"/>
  <c r="AE57" i="20"/>
  <c r="BC56" i="20"/>
  <c r="A57" i="20"/>
  <c r="AH56" i="20"/>
  <c r="BD55" i="20"/>
  <c r="AG56" i="20"/>
  <c r="H57" i="20"/>
  <c r="V58" i="20"/>
  <c r="X58" i="20" s="1"/>
  <c r="G59" i="20"/>
  <c r="AV58" i="20"/>
  <c r="AX58" i="20" s="1"/>
  <c r="BB58" i="20" s="1"/>
  <c r="Y57" i="20"/>
  <c r="AC56" i="20"/>
  <c r="AW63" i="20"/>
  <c r="AM57" i="20"/>
  <c r="V59" i="20" l="1"/>
  <c r="X59" i="20" s="1"/>
  <c r="G60" i="20"/>
  <c r="AV59" i="20"/>
  <c r="AX59" i="20" s="1"/>
  <c r="BB59" i="20" s="1"/>
  <c r="AE58" i="20"/>
  <c r="BC57" i="20"/>
  <c r="AH57" i="20"/>
  <c r="BD56" i="20"/>
  <c r="AW64" i="20"/>
  <c r="Y58" i="20"/>
  <c r="AC57" i="20"/>
  <c r="AG57" i="20"/>
  <c r="A58" i="20"/>
  <c r="H58" i="20"/>
  <c r="AL58" i="20"/>
  <c r="AM58" i="20"/>
  <c r="AG58" i="20" l="1"/>
  <c r="V60" i="20"/>
  <c r="X60" i="20" s="1"/>
  <c r="G61" i="20"/>
  <c r="AV60" i="20"/>
  <c r="AX60" i="20" s="1"/>
  <c r="BB60" i="20" s="1"/>
  <c r="AE59" i="20"/>
  <c r="BC58" i="20"/>
  <c r="H59" i="20"/>
  <c r="AL59" i="20"/>
  <c r="A59" i="20"/>
  <c r="Y59" i="20"/>
  <c r="AC58" i="20"/>
  <c r="AM59" i="20"/>
  <c r="AH58" i="20"/>
  <c r="BD57" i="20"/>
  <c r="AW65" i="20"/>
  <c r="AM60" i="20" l="1"/>
  <c r="AG59" i="20"/>
  <c r="A60" i="20"/>
  <c r="AH59" i="20"/>
  <c r="BD58" i="20"/>
  <c r="BC59" i="20"/>
  <c r="AE60" i="20"/>
  <c r="H60" i="20"/>
  <c r="Y60" i="20"/>
  <c r="AC59" i="20"/>
  <c r="V61" i="20"/>
  <c r="X61" i="20" s="1"/>
  <c r="G62" i="20"/>
  <c r="AV61" i="20"/>
  <c r="AX61" i="20" s="1"/>
  <c r="BB61" i="20" s="1"/>
  <c r="AW66" i="20"/>
  <c r="AL60" i="20"/>
  <c r="AM61" i="20" l="1"/>
  <c r="H61" i="20"/>
  <c r="A61" i="20"/>
  <c r="AG60" i="20"/>
  <c r="AH60" i="20"/>
  <c r="BD59" i="20"/>
  <c r="AW67" i="20"/>
  <c r="Y61" i="20"/>
  <c r="AC60" i="20"/>
  <c r="V62" i="20"/>
  <c r="X62" i="20" s="1"/>
  <c r="G63" i="20"/>
  <c r="AV62" i="20"/>
  <c r="AX62" i="20" s="1"/>
  <c r="BB62" i="20" s="1"/>
  <c r="BC60" i="20"/>
  <c r="AE61" i="20"/>
  <c r="AL61" i="20"/>
  <c r="AM62" i="20" l="1"/>
  <c r="AW68" i="20"/>
  <c r="H62" i="20"/>
  <c r="A62" i="20"/>
  <c r="BC61" i="20"/>
  <c r="AE62" i="20"/>
  <c r="AH61" i="20"/>
  <c r="BD60" i="20"/>
  <c r="Y62" i="20"/>
  <c r="AC61" i="20"/>
  <c r="V63" i="20"/>
  <c r="X63" i="20" s="1"/>
  <c r="G64" i="20"/>
  <c r="AV63" i="20"/>
  <c r="AX63" i="20" s="1"/>
  <c r="BB63" i="20" s="1"/>
  <c r="AL62" i="20"/>
  <c r="AG61" i="20"/>
  <c r="AL63" i="20" l="1"/>
  <c r="AM63" i="20"/>
  <c r="Y63" i="20"/>
  <c r="AC62" i="20"/>
  <c r="AW69" i="20"/>
  <c r="AH62" i="20"/>
  <c r="BD61" i="20"/>
  <c r="BC62" i="20"/>
  <c r="AE63" i="20"/>
  <c r="H63" i="20"/>
  <c r="A63" i="20"/>
  <c r="V64" i="20"/>
  <c r="X64" i="20" s="1"/>
  <c r="G65" i="20"/>
  <c r="AV64" i="20"/>
  <c r="AX64" i="20" s="1"/>
  <c r="BB64" i="20" s="1"/>
  <c r="AG62" i="20"/>
  <c r="AM64" i="20" l="1"/>
  <c r="AL64" i="20"/>
  <c r="AW70" i="20"/>
  <c r="V65" i="20"/>
  <c r="X65" i="20" s="1"/>
  <c r="G66" i="20"/>
  <c r="AV65" i="20"/>
  <c r="AX65" i="20" s="1"/>
  <c r="BB65" i="20" s="1"/>
  <c r="Y64" i="20"/>
  <c r="AC63" i="20"/>
  <c r="A64" i="20"/>
  <c r="H64" i="20"/>
  <c r="AG63" i="20"/>
  <c r="BD62" i="20"/>
  <c r="AH63" i="20"/>
  <c r="AE64" i="20"/>
  <c r="BC63" i="20"/>
  <c r="AW71" i="20" l="1"/>
  <c r="AL65" i="20"/>
  <c r="V66" i="20"/>
  <c r="X66" i="20" s="1"/>
  <c r="G67" i="20"/>
  <c r="AV66" i="20"/>
  <c r="AX66" i="20" s="1"/>
  <c r="BB66" i="20" s="1"/>
  <c r="BD63" i="20"/>
  <c r="AH64" i="20"/>
  <c r="AM65" i="20"/>
  <c r="AG64" i="20"/>
  <c r="Y65" i="20"/>
  <c r="AC64" i="20"/>
  <c r="AE65" i="20"/>
  <c r="BC64" i="20"/>
  <c r="A65" i="20"/>
  <c r="H65" i="20"/>
  <c r="AL66" i="20" l="1"/>
  <c r="AE66" i="20"/>
  <c r="BC65" i="20"/>
  <c r="H66" i="20"/>
  <c r="AW72" i="20"/>
  <c r="V67" i="20"/>
  <c r="X67" i="20" s="1"/>
  <c r="G68" i="20"/>
  <c r="AV67" i="20"/>
  <c r="AX67" i="20" s="1"/>
  <c r="BB67" i="20" s="1"/>
  <c r="Y66" i="20"/>
  <c r="AC65" i="20"/>
  <c r="AH65" i="20"/>
  <c r="BD64" i="20"/>
  <c r="AG65" i="20"/>
  <c r="A66" i="20"/>
  <c r="AM66" i="20"/>
  <c r="AL67" i="20" l="1"/>
  <c r="AM67" i="20"/>
  <c r="Y67" i="20"/>
  <c r="AC66" i="20"/>
  <c r="AH66" i="20"/>
  <c r="BD65" i="20"/>
  <c r="AE67" i="20"/>
  <c r="BC66" i="20"/>
  <c r="H67" i="20"/>
  <c r="AG66" i="20"/>
  <c r="V68" i="20"/>
  <c r="X68" i="20" s="1"/>
  <c r="G69" i="20"/>
  <c r="AV68" i="20"/>
  <c r="AX68" i="20" s="1"/>
  <c r="BB68" i="20" s="1"/>
  <c r="A67" i="20"/>
  <c r="AW73" i="20"/>
  <c r="A68" i="20" l="1"/>
  <c r="AM68" i="20"/>
  <c r="AH67" i="20"/>
  <c r="BD66" i="20"/>
  <c r="AW74" i="20"/>
  <c r="G70" i="20"/>
  <c r="V69" i="20"/>
  <c r="X69" i="20" s="1"/>
  <c r="AV69" i="20"/>
  <c r="AX69" i="20" s="1"/>
  <c r="BB69" i="20" s="1"/>
  <c r="H68" i="20"/>
  <c r="AL68" i="20"/>
  <c r="Y68" i="20"/>
  <c r="AC67" i="20"/>
  <c r="AE68" i="20"/>
  <c r="BC67" i="20"/>
  <c r="AG67" i="20"/>
  <c r="AM69" i="20" l="1"/>
  <c r="AL69" i="20"/>
  <c r="Y69" i="20"/>
  <c r="AC68" i="20"/>
  <c r="A69" i="20"/>
  <c r="AG68" i="20"/>
  <c r="BC68" i="20"/>
  <c r="AE69" i="20"/>
  <c r="AH68" i="20"/>
  <c r="BD67" i="20"/>
  <c r="AW75" i="20"/>
  <c r="V70" i="20"/>
  <c r="X70" i="20" s="1"/>
  <c r="AV70" i="20"/>
  <c r="AX70" i="20" s="1"/>
  <c r="BB70" i="20" s="1"/>
  <c r="G71" i="20"/>
  <c r="H69" i="20"/>
  <c r="AM70" i="20" l="1"/>
  <c r="AL70" i="20"/>
  <c r="BC69" i="20"/>
  <c r="AE70" i="20"/>
  <c r="G72" i="20"/>
  <c r="V71" i="20"/>
  <c r="X71" i="20" s="1"/>
  <c r="AV71" i="20"/>
  <c r="AX71" i="20" s="1"/>
  <c r="BB71" i="20" s="1"/>
  <c r="Y70" i="20"/>
  <c r="AC69" i="20"/>
  <c r="A70" i="20"/>
  <c r="H70" i="20"/>
  <c r="BD68" i="20"/>
  <c r="AH69" i="20"/>
  <c r="AW76" i="20"/>
  <c r="AG69" i="20"/>
  <c r="AL71" i="20" l="1"/>
  <c r="H71" i="20"/>
  <c r="BC70" i="20"/>
  <c r="AE71" i="20"/>
  <c r="AM71" i="20"/>
  <c r="BD69" i="20"/>
  <c r="AH70" i="20"/>
  <c r="AW77" i="20"/>
  <c r="V72" i="20"/>
  <c r="X72" i="20" s="1"/>
  <c r="AV72" i="20"/>
  <c r="AX72" i="20" s="1"/>
  <c r="BB72" i="20" s="1"/>
  <c r="G73" i="20"/>
  <c r="AG70" i="20"/>
  <c r="Y71" i="20"/>
  <c r="AC70" i="20"/>
  <c r="A71" i="20"/>
  <c r="AL72" i="20" l="1"/>
  <c r="AM72" i="20"/>
  <c r="V73" i="20"/>
  <c r="X73" i="20" s="1"/>
  <c r="G74" i="20"/>
  <c r="AV73" i="20"/>
  <c r="AX73" i="20" s="1"/>
  <c r="BB73" i="20" s="1"/>
  <c r="AG71" i="20"/>
  <c r="H72" i="20"/>
  <c r="Y72" i="20"/>
  <c r="AC71" i="20"/>
  <c r="AW78" i="20"/>
  <c r="AH71" i="20"/>
  <c r="BD70" i="20"/>
  <c r="AE72" i="20"/>
  <c r="BC71" i="20"/>
  <c r="A72" i="20"/>
  <c r="V74" i="20" l="1"/>
  <c r="X74" i="20" s="1"/>
  <c r="G75" i="20"/>
  <c r="AV74" i="20"/>
  <c r="AX74" i="20" s="1"/>
  <c r="BB74" i="20" s="1"/>
  <c r="AL73" i="20"/>
  <c r="BD71" i="20"/>
  <c r="AH72" i="20"/>
  <c r="AG72" i="20"/>
  <c r="AM73" i="20"/>
  <c r="Y73" i="20"/>
  <c r="AC72" i="20"/>
  <c r="AW79" i="20"/>
  <c r="BC72" i="20"/>
  <c r="AE73" i="20"/>
  <c r="H73" i="20"/>
  <c r="A73" i="20"/>
  <c r="AL74" i="20" l="1"/>
  <c r="AW80" i="20"/>
  <c r="V75" i="20"/>
  <c r="X75" i="20" s="1"/>
  <c r="G76" i="20"/>
  <c r="AV75" i="20"/>
  <c r="AX75" i="20" s="1"/>
  <c r="BB75" i="20" s="1"/>
  <c r="AE74" i="20"/>
  <c r="BC73" i="20"/>
  <c r="H74" i="20"/>
  <c r="BD72" i="20"/>
  <c r="AH73" i="20"/>
  <c r="AM74" i="20"/>
  <c r="AG73" i="20"/>
  <c r="A74" i="20"/>
  <c r="Y74" i="20"/>
  <c r="AC73" i="20"/>
  <c r="AM75" i="20" l="1"/>
  <c r="AH74" i="20"/>
  <c r="BD73" i="20"/>
  <c r="G77" i="20"/>
  <c r="AV76" i="20"/>
  <c r="AX76" i="20" s="1"/>
  <c r="BB76" i="20" s="1"/>
  <c r="V76" i="20"/>
  <c r="X76" i="20" s="1"/>
  <c r="AW81" i="20"/>
  <c r="A75" i="20"/>
  <c r="AL75" i="20"/>
  <c r="Y75" i="20"/>
  <c r="AC74" i="20"/>
  <c r="H75" i="20"/>
  <c r="AG74" i="20"/>
  <c r="AE75" i="20"/>
  <c r="BC74" i="20"/>
  <c r="AM76" i="20" l="1"/>
  <c r="H76" i="20"/>
  <c r="BD74" i="20"/>
  <c r="AH75" i="20"/>
  <c r="AG75" i="20"/>
  <c r="AE76" i="20"/>
  <c r="BC75" i="20"/>
  <c r="AW82" i="20"/>
  <c r="G78" i="20"/>
  <c r="AV77" i="20"/>
  <c r="AX77" i="20" s="1"/>
  <c r="BB77" i="20" s="1"/>
  <c r="V77" i="20"/>
  <c r="X77" i="20" s="1"/>
  <c r="A76" i="20"/>
  <c r="AL76" i="20"/>
  <c r="Y76" i="20"/>
  <c r="AC75" i="20"/>
  <c r="H77" i="20" l="1"/>
  <c r="AW83" i="20"/>
  <c r="BD75" i="20"/>
  <c r="AH76" i="20"/>
  <c r="A77" i="20"/>
  <c r="AE77" i="20"/>
  <c r="BC76" i="20"/>
  <c r="G79" i="20"/>
  <c r="AV78" i="20"/>
  <c r="AX78" i="20" s="1"/>
  <c r="BB78" i="20" s="1"/>
  <c r="V78" i="20"/>
  <c r="X78" i="20" s="1"/>
  <c r="Y77" i="20"/>
  <c r="AC76" i="20"/>
  <c r="AL77" i="20"/>
  <c r="AM77" i="20"/>
  <c r="AG76" i="20"/>
  <c r="H78" i="20" l="1"/>
  <c r="AL78" i="20"/>
  <c r="AL79" i="20" s="1"/>
  <c r="BD76" i="20"/>
  <c r="AH77" i="20"/>
  <c r="A78" i="20"/>
  <c r="AM78" i="20"/>
  <c r="AM79" i="20" s="1"/>
  <c r="AV79" i="20"/>
  <c r="AX79" i="20" s="1"/>
  <c r="BB79" i="20" s="1"/>
  <c r="G80" i="20"/>
  <c r="V79" i="20"/>
  <c r="X79" i="20" s="1"/>
  <c r="AG77" i="20"/>
  <c r="Y78" i="20"/>
  <c r="AC77" i="20"/>
  <c r="AW84" i="20"/>
  <c r="AE78" i="20"/>
  <c r="BC77" i="20"/>
  <c r="Y79" i="20" l="1"/>
  <c r="AC78" i="20"/>
  <c r="BD77" i="20"/>
  <c r="AH78" i="20"/>
  <c r="AE79" i="20"/>
  <c r="BC78" i="20"/>
  <c r="H79" i="20"/>
  <c r="AW85" i="20"/>
  <c r="AV80" i="20"/>
  <c r="AX80" i="20" s="1"/>
  <c r="BB80" i="20" s="1"/>
  <c r="G81" i="20"/>
  <c r="V80" i="20"/>
  <c r="X80" i="20" s="1"/>
  <c r="AG78" i="20"/>
  <c r="A79" i="20"/>
  <c r="AL80" i="20" l="1"/>
  <c r="AM80" i="20"/>
  <c r="Y80" i="20"/>
  <c r="AC79" i="20"/>
  <c r="G82" i="20"/>
  <c r="AV81" i="20"/>
  <c r="AX81" i="20" s="1"/>
  <c r="BB81" i="20" s="1"/>
  <c r="V81" i="20"/>
  <c r="X81" i="20" s="1"/>
  <c r="BD78" i="20"/>
  <c r="AH79" i="20"/>
  <c r="AE80" i="20"/>
  <c r="BC79" i="20"/>
  <c r="AG79" i="20"/>
  <c r="A80" i="20"/>
  <c r="H80" i="20"/>
  <c r="AW86" i="20"/>
  <c r="AL81" i="20" l="1"/>
  <c r="AM81" i="20"/>
  <c r="AE81" i="20"/>
  <c r="BC80" i="20"/>
  <c r="AG80" i="20"/>
  <c r="Y81" i="20"/>
  <c r="AC80" i="20"/>
  <c r="A81" i="20"/>
  <c r="H81" i="20"/>
  <c r="AW87" i="20"/>
  <c r="G83" i="20"/>
  <c r="V82" i="20"/>
  <c r="X82" i="20" s="1"/>
  <c r="AV82" i="20"/>
  <c r="AX82" i="20" s="1"/>
  <c r="BB82" i="20" s="1"/>
  <c r="AH80" i="20"/>
  <c r="BD79" i="20"/>
  <c r="AL82" i="20" l="1"/>
  <c r="AM82" i="20"/>
  <c r="AE82" i="20"/>
  <c r="BC81" i="20"/>
  <c r="AG81" i="20"/>
  <c r="G84" i="20"/>
  <c r="V83" i="20"/>
  <c r="X83" i="20" s="1"/>
  <c r="AV83" i="20"/>
  <c r="AX83" i="20" s="1"/>
  <c r="BB83" i="20" s="1"/>
  <c r="Y82" i="20"/>
  <c r="AC81" i="20"/>
  <c r="H82" i="20"/>
  <c r="AW88" i="20"/>
  <c r="BD80" i="20"/>
  <c r="AH81" i="20"/>
  <c r="A82" i="20"/>
  <c r="AM83" i="20" l="1"/>
  <c r="AL83" i="20"/>
  <c r="AW89" i="20"/>
  <c r="AG82" i="20"/>
  <c r="G85" i="20"/>
  <c r="V84" i="20"/>
  <c r="X84" i="20" s="1"/>
  <c r="AV84" i="20"/>
  <c r="AX84" i="20" s="1"/>
  <c r="BB84" i="20" s="1"/>
  <c r="AH82" i="20"/>
  <c r="BD81" i="20"/>
  <c r="A83" i="20"/>
  <c r="H83" i="20"/>
  <c r="Y83" i="20"/>
  <c r="AC82" i="20"/>
  <c r="BC82" i="20"/>
  <c r="AE83" i="20"/>
  <c r="AL84" i="20" l="1"/>
  <c r="AM84" i="20"/>
  <c r="AW90" i="20"/>
  <c r="H84" i="20"/>
  <c r="AG83" i="20"/>
  <c r="A84" i="20"/>
  <c r="G86" i="20"/>
  <c r="AV85" i="20"/>
  <c r="AX85" i="20" s="1"/>
  <c r="BB85" i="20" s="1"/>
  <c r="V85" i="20"/>
  <c r="X85" i="20" s="1"/>
  <c r="Y84" i="20"/>
  <c r="AC83" i="20"/>
  <c r="BC83" i="20"/>
  <c r="AE84" i="20"/>
  <c r="AH83" i="20"/>
  <c r="BD82" i="20"/>
  <c r="AM85" i="20" l="1"/>
  <c r="AL85" i="20"/>
  <c r="Y85" i="20"/>
  <c r="AC84" i="20"/>
  <c r="H85" i="20"/>
  <c r="AG84" i="20"/>
  <c r="AH84" i="20"/>
  <c r="BD83" i="20"/>
  <c r="A85" i="20"/>
  <c r="V86" i="20"/>
  <c r="X86" i="20" s="1"/>
  <c r="G87" i="20"/>
  <c r="AV86" i="20"/>
  <c r="AX86" i="20" s="1"/>
  <c r="BB86" i="20" s="1"/>
  <c r="AW91" i="20"/>
  <c r="BC84" i="20"/>
  <c r="AE85" i="20"/>
  <c r="AL86" i="20" l="1"/>
  <c r="AG85" i="20"/>
  <c r="BC85" i="20"/>
  <c r="AE86" i="20"/>
  <c r="AH85" i="20"/>
  <c r="BD84" i="20"/>
  <c r="Y86" i="20"/>
  <c r="AC85" i="20"/>
  <c r="AW92" i="20"/>
  <c r="AM86" i="20"/>
  <c r="V87" i="20"/>
  <c r="X87" i="20" s="1"/>
  <c r="G88" i="20"/>
  <c r="AV87" i="20"/>
  <c r="AX87" i="20" s="1"/>
  <c r="BB87" i="20" s="1"/>
  <c r="H86" i="20"/>
  <c r="A86" i="20"/>
  <c r="AL87" i="20" l="1"/>
  <c r="AM87" i="20"/>
  <c r="BC86" i="20"/>
  <c r="AE87" i="20"/>
  <c r="AW93" i="20"/>
  <c r="BD85" i="20"/>
  <c r="AH86" i="20"/>
  <c r="H87" i="20"/>
  <c r="A87" i="20"/>
  <c r="Y87" i="20"/>
  <c r="AC86" i="20"/>
  <c r="AG86" i="20"/>
  <c r="V88" i="20"/>
  <c r="X88" i="20" s="1"/>
  <c r="G89" i="20"/>
  <c r="AV88" i="20"/>
  <c r="AX88" i="20" s="1"/>
  <c r="BB88" i="20" s="1"/>
  <c r="V89" i="20" l="1"/>
  <c r="X89" i="20" s="1"/>
  <c r="G90" i="20"/>
  <c r="AV89" i="20"/>
  <c r="AX89" i="20" s="1"/>
  <c r="BB89" i="20" s="1"/>
  <c r="BC87" i="20"/>
  <c r="AE88" i="20"/>
  <c r="AM88" i="20"/>
  <c r="Y88" i="20"/>
  <c r="AC87" i="20"/>
  <c r="AW94" i="20"/>
  <c r="AL88" i="20"/>
  <c r="AG87" i="20"/>
  <c r="BD86" i="20"/>
  <c r="AH87" i="20"/>
  <c r="A88" i="20"/>
  <c r="H88" i="20"/>
  <c r="AL89" i="20" l="1"/>
  <c r="AG88" i="20"/>
  <c r="AW95" i="20"/>
  <c r="BC88" i="20"/>
  <c r="AE89" i="20"/>
  <c r="H89" i="20"/>
  <c r="Y89" i="20"/>
  <c r="AC88" i="20"/>
  <c r="BD87" i="20"/>
  <c r="AH88" i="20"/>
  <c r="V90" i="20"/>
  <c r="X90" i="20" s="1"/>
  <c r="G91" i="20"/>
  <c r="AV90" i="20"/>
  <c r="AX90" i="20" s="1"/>
  <c r="BB90" i="20" s="1"/>
  <c r="AM89" i="20"/>
  <c r="A89" i="20"/>
  <c r="AG89" i="20" l="1"/>
  <c r="AW96" i="20"/>
  <c r="BD88" i="20"/>
  <c r="AH89" i="20"/>
  <c r="BC89" i="20"/>
  <c r="AE90" i="20"/>
  <c r="H90" i="20"/>
  <c r="AL90" i="20"/>
  <c r="AM90" i="20"/>
  <c r="V91" i="20"/>
  <c r="X91" i="20" s="1"/>
  <c r="G92" i="20"/>
  <c r="AV91" i="20"/>
  <c r="AX91" i="20" s="1"/>
  <c r="BB91" i="20" s="1"/>
  <c r="A90" i="20"/>
  <c r="Y90" i="20"/>
  <c r="AC89" i="20"/>
  <c r="AM91" i="20" l="1"/>
  <c r="AW97" i="20"/>
  <c r="Y91" i="20"/>
  <c r="AC90" i="20"/>
  <c r="G93" i="20"/>
  <c r="AV92" i="20"/>
  <c r="AX92" i="20" s="1"/>
  <c r="BB92" i="20" s="1"/>
  <c r="V92" i="20"/>
  <c r="X92" i="20" s="1"/>
  <c r="BD89" i="20"/>
  <c r="AH90" i="20"/>
  <c r="A91" i="20"/>
  <c r="BC90" i="20"/>
  <c r="AE91" i="20"/>
  <c r="AG90" i="20"/>
  <c r="H91" i="20"/>
  <c r="AL91" i="20"/>
  <c r="AM92" i="20" l="1"/>
  <c r="G94" i="20"/>
  <c r="AV93" i="20"/>
  <c r="AX93" i="20" s="1"/>
  <c r="BB93" i="20" s="1"/>
  <c r="V93" i="20"/>
  <c r="X93" i="20" s="1"/>
  <c r="AW98" i="20"/>
  <c r="AG91" i="20"/>
  <c r="H92" i="20"/>
  <c r="BC91" i="20"/>
  <c r="AE92" i="20"/>
  <c r="AL92" i="20"/>
  <c r="BD90" i="20"/>
  <c r="AH91" i="20"/>
  <c r="Y92" i="20"/>
  <c r="AC91" i="20"/>
  <c r="A92" i="20"/>
  <c r="AM93" i="20" l="1"/>
  <c r="AL93" i="20"/>
  <c r="Y93" i="20"/>
  <c r="AC92" i="20"/>
  <c r="AW99" i="20"/>
  <c r="AG92" i="20"/>
  <c r="H93" i="20"/>
  <c r="A93" i="20"/>
  <c r="BD91" i="20"/>
  <c r="AH92" i="20"/>
  <c r="G95" i="20"/>
  <c r="AV94" i="20"/>
  <c r="AX94" i="20" s="1"/>
  <c r="BB94" i="20" s="1"/>
  <c r="V94" i="20"/>
  <c r="X94" i="20" s="1"/>
  <c r="AE93" i="20"/>
  <c r="BC92" i="20"/>
  <c r="AM94" i="20" l="1"/>
  <c r="AW100" i="20"/>
  <c r="AG93" i="20"/>
  <c r="AL94" i="20"/>
  <c r="BC93" i="20"/>
  <c r="AE94" i="20"/>
  <c r="H94" i="20"/>
  <c r="AV95" i="20"/>
  <c r="AX95" i="20" s="1"/>
  <c r="BB95" i="20" s="1"/>
  <c r="V95" i="20"/>
  <c r="X95" i="20" s="1"/>
  <c r="G96" i="20"/>
  <c r="Y94" i="20"/>
  <c r="AC93" i="20"/>
  <c r="BD92" i="20"/>
  <c r="AH93" i="20"/>
  <c r="A94" i="20"/>
  <c r="AG94" i="20" l="1"/>
  <c r="BD93" i="20"/>
  <c r="AH94" i="20"/>
  <c r="AE95" i="20"/>
  <c r="BC94" i="20"/>
  <c r="Y95" i="20"/>
  <c r="AC94" i="20"/>
  <c r="H95" i="20"/>
  <c r="AW101" i="20"/>
  <c r="A95" i="20"/>
  <c r="AL95" i="20"/>
  <c r="AM95" i="20"/>
  <c r="AM96" i="20" s="1"/>
  <c r="AV96" i="20"/>
  <c r="AX96" i="20" s="1"/>
  <c r="BB96" i="20" s="1"/>
  <c r="V96" i="20"/>
  <c r="X96" i="20" s="1"/>
  <c r="G97" i="20"/>
  <c r="AL96" i="20" l="1"/>
  <c r="AG95" i="20"/>
  <c r="Y96" i="20"/>
  <c r="AC95" i="20"/>
  <c r="AW102" i="20"/>
  <c r="BD94" i="20"/>
  <c r="AH95" i="20"/>
  <c r="H96" i="20"/>
  <c r="AE96" i="20"/>
  <c r="BC95" i="20"/>
  <c r="V97" i="20"/>
  <c r="X97" i="20" s="1"/>
  <c r="AV97" i="20"/>
  <c r="AX97" i="20" s="1"/>
  <c r="BB97" i="20" s="1"/>
  <c r="G98" i="20"/>
  <c r="A96" i="20"/>
  <c r="AW103" i="20" l="1"/>
  <c r="V98" i="20"/>
  <c r="X98" i="20" s="1"/>
  <c r="G99" i="20"/>
  <c r="AV98" i="20"/>
  <c r="AX98" i="20" s="1"/>
  <c r="BB98" i="20" s="1"/>
  <c r="AL97" i="20"/>
  <c r="A97" i="20"/>
  <c r="AH96" i="20"/>
  <c r="BD95" i="20"/>
  <c r="AG96" i="20"/>
  <c r="H97" i="20"/>
  <c r="AM97" i="20"/>
  <c r="AE97" i="20"/>
  <c r="BC96" i="20"/>
  <c r="Y97" i="20"/>
  <c r="AC96" i="20"/>
  <c r="AM98" i="20" l="1"/>
  <c r="AG97" i="20"/>
  <c r="V99" i="20"/>
  <c r="X99" i="20" s="1"/>
  <c r="G100" i="20"/>
  <c r="AV99" i="20"/>
  <c r="AX99" i="20" s="1"/>
  <c r="BB99" i="20" s="1"/>
  <c r="AW104" i="20"/>
  <c r="AL98" i="20"/>
  <c r="A98" i="20"/>
  <c r="H98" i="20"/>
  <c r="BD96" i="20"/>
  <c r="AH97" i="20"/>
  <c r="AE98" i="20"/>
  <c r="BC97" i="20"/>
  <c r="Y98" i="20"/>
  <c r="AC97" i="20"/>
  <c r="AM99" i="20" l="1"/>
  <c r="AG98" i="20"/>
  <c r="AW105" i="20"/>
  <c r="AL99" i="20"/>
  <c r="H99" i="20"/>
  <c r="G101" i="20"/>
  <c r="AV100" i="20"/>
  <c r="AX100" i="20" s="1"/>
  <c r="BB100" i="20" s="1"/>
  <c r="V100" i="20"/>
  <c r="X100" i="20" s="1"/>
  <c r="Y99" i="20"/>
  <c r="AC98" i="20"/>
  <c r="AH98" i="20"/>
  <c r="BD97" i="20"/>
  <c r="BC98" i="20"/>
  <c r="AE99" i="20"/>
  <c r="A99" i="20"/>
  <c r="AM100" i="20" l="1"/>
  <c r="AW106" i="20"/>
  <c r="AH99" i="20"/>
  <c r="BD98" i="20"/>
  <c r="AL100" i="20"/>
  <c r="BC99" i="20"/>
  <c r="AE100" i="20"/>
  <c r="A100" i="20"/>
  <c r="H100" i="20"/>
  <c r="Y100" i="20"/>
  <c r="AC99" i="20"/>
  <c r="V101" i="20"/>
  <c r="X101" i="20" s="1"/>
  <c r="G102" i="20"/>
  <c r="AV101" i="20"/>
  <c r="AX101" i="20" s="1"/>
  <c r="BB101" i="20" s="1"/>
  <c r="AG99" i="20"/>
  <c r="AM101" i="20" l="1"/>
  <c r="AW107" i="20"/>
  <c r="AH100" i="20"/>
  <c r="BD99" i="20"/>
  <c r="AL101" i="20"/>
  <c r="A101" i="20"/>
  <c r="Y101" i="20"/>
  <c r="AC100" i="20"/>
  <c r="AG100" i="20"/>
  <c r="BC100" i="20"/>
  <c r="AE101" i="20"/>
  <c r="H101" i="20"/>
  <c r="V102" i="20"/>
  <c r="X102" i="20" s="1"/>
  <c r="G103" i="20"/>
  <c r="AV102" i="20"/>
  <c r="AX102" i="20" s="1"/>
  <c r="BB102" i="20" s="1"/>
  <c r="AM102" i="20" l="1"/>
  <c r="AH101" i="20"/>
  <c r="BD100" i="20"/>
  <c r="AL102" i="20"/>
  <c r="H102" i="20"/>
  <c r="G104" i="20"/>
  <c r="AV103" i="20"/>
  <c r="AX103" i="20" s="1"/>
  <c r="BB103" i="20" s="1"/>
  <c r="V103" i="20"/>
  <c r="X103" i="20" s="1"/>
  <c r="AW108" i="20"/>
  <c r="BC101" i="20"/>
  <c r="AE102" i="20"/>
  <c r="A102" i="20"/>
  <c r="AG101" i="20"/>
  <c r="Y102" i="20"/>
  <c r="AC101" i="20"/>
  <c r="AL103" i="20" l="1"/>
  <c r="AM103" i="20"/>
  <c r="AE103" i="20"/>
  <c r="BC102" i="20"/>
  <c r="AG102" i="20"/>
  <c r="BD101" i="20"/>
  <c r="AH102" i="20"/>
  <c r="Y103" i="20"/>
  <c r="AC102" i="20"/>
  <c r="H103" i="20"/>
  <c r="AW109" i="20"/>
  <c r="AV104" i="20"/>
  <c r="AX104" i="20" s="1"/>
  <c r="BB104" i="20" s="1"/>
  <c r="G105" i="20"/>
  <c r="V104" i="20"/>
  <c r="X104" i="20" s="1"/>
  <c r="A103" i="20"/>
  <c r="AM104" i="20" l="1"/>
  <c r="AL104" i="20"/>
  <c r="AG103" i="20"/>
  <c r="AW110" i="20"/>
  <c r="A104" i="20"/>
  <c r="V105" i="20"/>
  <c r="X105" i="20" s="1"/>
  <c r="AV105" i="20"/>
  <c r="AX105" i="20" s="1"/>
  <c r="BB105" i="20" s="1"/>
  <c r="G106" i="20"/>
  <c r="BD102" i="20"/>
  <c r="AH103" i="20"/>
  <c r="Y104" i="20"/>
  <c r="AC103" i="20"/>
  <c r="AE104" i="20"/>
  <c r="BC103" i="20"/>
  <c r="H104" i="20"/>
  <c r="AL105" i="20" l="1"/>
  <c r="AM105" i="20"/>
  <c r="BD103" i="20"/>
  <c r="AH104" i="20"/>
  <c r="BC104" i="20"/>
  <c r="AE105" i="20"/>
  <c r="AW111" i="20"/>
  <c r="H105" i="20"/>
  <c r="A105" i="20"/>
  <c r="Y105" i="20"/>
  <c r="AC104" i="20"/>
  <c r="G107" i="20"/>
  <c r="V106" i="20"/>
  <c r="X106" i="20" s="1"/>
  <c r="AV106" i="20"/>
  <c r="AX106" i="20" s="1"/>
  <c r="BB106" i="20" s="1"/>
  <c r="AG104" i="20"/>
  <c r="AL106" i="20" l="1"/>
  <c r="AM106" i="20"/>
  <c r="G108" i="20"/>
  <c r="V107" i="20"/>
  <c r="X107" i="20" s="1"/>
  <c r="AV107" i="20"/>
  <c r="AX107" i="20" s="1"/>
  <c r="BB107" i="20" s="1"/>
  <c r="BC105" i="20"/>
  <c r="AE106" i="20"/>
  <c r="AW112" i="20"/>
  <c r="AG105" i="20"/>
  <c r="H106" i="20"/>
  <c r="Y106" i="20"/>
  <c r="AC105" i="20"/>
  <c r="AH105" i="20"/>
  <c r="BD104" i="20"/>
  <c r="A106" i="20"/>
  <c r="Y107" i="20" l="1"/>
  <c r="AC106" i="20"/>
  <c r="A107" i="20"/>
  <c r="BC106" i="20"/>
  <c r="AE107" i="20"/>
  <c r="AW113" i="20"/>
  <c r="AL107" i="20"/>
  <c r="G109" i="20"/>
  <c r="V108" i="20"/>
  <c r="X108" i="20" s="1"/>
  <c r="AV108" i="20"/>
  <c r="AX108" i="20" s="1"/>
  <c r="BB108" i="20" s="1"/>
  <c r="AG106" i="20"/>
  <c r="AM107" i="20"/>
  <c r="AH106" i="20"/>
  <c r="BD105" i="20"/>
  <c r="H107" i="20"/>
  <c r="BD106" i="20" l="1"/>
  <c r="AH107" i="20"/>
  <c r="A108" i="20"/>
  <c r="Y108" i="20"/>
  <c r="AC107" i="20"/>
  <c r="G110" i="20"/>
  <c r="V109" i="20"/>
  <c r="X109" i="20" s="1"/>
  <c r="AV109" i="20"/>
  <c r="AX109" i="20" s="1"/>
  <c r="BB109" i="20" s="1"/>
  <c r="H108" i="20"/>
  <c r="BC107" i="20"/>
  <c r="AE108" i="20"/>
  <c r="AG107" i="20"/>
  <c r="AW114" i="20"/>
  <c r="AM108" i="20"/>
  <c r="AL108" i="20"/>
  <c r="AL109" i="20" l="1"/>
  <c r="AM109" i="20"/>
  <c r="A109" i="20"/>
  <c r="AW115" i="20"/>
  <c r="Y109" i="20"/>
  <c r="AC108" i="20"/>
  <c r="G111" i="20"/>
  <c r="V110" i="20"/>
  <c r="X110" i="20" s="1"/>
  <c r="AV110" i="20"/>
  <c r="AX110" i="20" s="1"/>
  <c r="BB110" i="20" s="1"/>
  <c r="H109" i="20"/>
  <c r="AG108" i="20"/>
  <c r="BD107" i="20"/>
  <c r="AH108" i="20"/>
  <c r="AE109" i="20"/>
  <c r="BC108" i="20"/>
  <c r="AL110" i="20" l="1"/>
  <c r="A110" i="20"/>
  <c r="AW116" i="20"/>
  <c r="Y110" i="20"/>
  <c r="AC109" i="20"/>
  <c r="AG109" i="20"/>
  <c r="AH109" i="20"/>
  <c r="BD108" i="20"/>
  <c r="V111" i="20"/>
  <c r="X111" i="20" s="1"/>
  <c r="AV111" i="20"/>
  <c r="AX111" i="20" s="1"/>
  <c r="BB111" i="20" s="1"/>
  <c r="G112" i="20"/>
  <c r="BC109" i="20"/>
  <c r="AE110" i="20"/>
  <c r="AM110" i="20"/>
  <c r="H110" i="20"/>
  <c r="AE111" i="20" l="1"/>
  <c r="BC110" i="20"/>
  <c r="Y111" i="20"/>
  <c r="AC110" i="20"/>
  <c r="AL111" i="20"/>
  <c r="A111" i="20"/>
  <c r="AG110" i="20"/>
  <c r="H111" i="20"/>
  <c r="AM111" i="20"/>
  <c r="AM112" i="20" s="1"/>
  <c r="V112" i="20"/>
  <c r="X112" i="20" s="1"/>
  <c r="G113" i="20"/>
  <c r="AV112" i="20"/>
  <c r="AX112" i="20" s="1"/>
  <c r="BB112" i="20" s="1"/>
  <c r="BD109" i="20"/>
  <c r="AH110" i="20"/>
  <c r="AW117" i="20"/>
  <c r="BC111" i="20" l="1"/>
  <c r="AE112" i="20"/>
  <c r="H112" i="20"/>
  <c r="V113" i="20"/>
  <c r="X113" i="20" s="1"/>
  <c r="AV113" i="20"/>
  <c r="AX113" i="20" s="1"/>
  <c r="BB113" i="20" s="1"/>
  <c r="G114" i="20"/>
  <c r="Y112" i="20"/>
  <c r="AC111" i="20"/>
  <c r="AH111" i="20"/>
  <c r="BD110" i="20"/>
  <c r="AL112" i="20"/>
  <c r="AW118" i="20"/>
  <c r="A112" i="20"/>
  <c r="AG111" i="20"/>
  <c r="AL113" i="20" l="1"/>
  <c r="AM113" i="20"/>
  <c r="AE113" i="20"/>
  <c r="BC112" i="20"/>
  <c r="H113" i="20"/>
  <c r="A113" i="20"/>
  <c r="AG112" i="20"/>
  <c r="G115" i="20"/>
  <c r="V114" i="20"/>
  <c r="X114" i="20" s="1"/>
  <c r="AV114" i="20"/>
  <c r="AX114" i="20" s="1"/>
  <c r="BB114" i="20" s="1"/>
  <c r="Y113" i="20"/>
  <c r="AC112" i="20"/>
  <c r="AW119" i="20"/>
  <c r="AH112" i="20"/>
  <c r="BD111" i="20"/>
  <c r="Y114" i="20" l="1"/>
  <c r="AC113" i="20"/>
  <c r="AM114" i="20"/>
  <c r="H114" i="20"/>
  <c r="A114" i="20"/>
  <c r="BD112" i="20"/>
  <c r="AH113" i="20"/>
  <c r="AL114" i="20"/>
  <c r="AG113" i="20"/>
  <c r="AW120" i="20"/>
  <c r="AE114" i="20"/>
  <c r="BC113" i="20"/>
  <c r="G116" i="20"/>
  <c r="V115" i="20"/>
  <c r="X115" i="20" s="1"/>
  <c r="AV115" i="20"/>
  <c r="AX115" i="20" s="1"/>
  <c r="BB115" i="20" s="1"/>
  <c r="AM115" i="20" l="1"/>
  <c r="Y115" i="20"/>
  <c r="AC114" i="20"/>
  <c r="BC114" i="20"/>
  <c r="AE115" i="20"/>
  <c r="H115" i="20"/>
  <c r="AV116" i="20"/>
  <c r="AX116" i="20" s="1"/>
  <c r="BB116" i="20" s="1"/>
  <c r="G117" i="20"/>
  <c r="V116" i="20"/>
  <c r="X116" i="20" s="1"/>
  <c r="A115" i="20"/>
  <c r="AG114" i="20"/>
  <c r="AW121" i="20"/>
  <c r="AH114" i="20"/>
  <c r="BD113" i="20"/>
  <c r="AL115" i="20"/>
  <c r="AL116" i="20" l="1"/>
  <c r="AM116" i="20"/>
  <c r="AE116" i="20"/>
  <c r="BC115" i="20"/>
  <c r="H116" i="20"/>
  <c r="BD114" i="20"/>
  <c r="AH115" i="20"/>
  <c r="AW122" i="20"/>
  <c r="A116" i="20"/>
  <c r="AG115" i="20"/>
  <c r="Y116" i="20"/>
  <c r="AC115" i="20"/>
  <c r="AV117" i="20"/>
  <c r="AX117" i="20" s="1"/>
  <c r="BB117" i="20" s="1"/>
  <c r="G118" i="20"/>
  <c r="V117" i="20"/>
  <c r="X117" i="20" s="1"/>
  <c r="AM117" i="20" l="1"/>
  <c r="AL117" i="20"/>
  <c r="BC116" i="20"/>
  <c r="AE117" i="20"/>
  <c r="AG116" i="20"/>
  <c r="Y117" i="20"/>
  <c r="AC116" i="20"/>
  <c r="H117" i="20"/>
  <c r="AV118" i="20"/>
  <c r="AX118" i="20" s="1"/>
  <c r="BB118" i="20" s="1"/>
  <c r="G119" i="20"/>
  <c r="V118" i="20"/>
  <c r="X118" i="20" s="1"/>
  <c r="A117" i="20"/>
  <c r="AH116" i="20"/>
  <c r="BD115" i="20"/>
  <c r="AW123" i="20"/>
  <c r="AM118" i="20" l="1"/>
  <c r="G120" i="20"/>
  <c r="V119" i="20"/>
  <c r="X119" i="20" s="1"/>
  <c r="AV119" i="20"/>
  <c r="AX119" i="20" s="1"/>
  <c r="BB119" i="20" s="1"/>
  <c r="AE118" i="20"/>
  <c r="BC117" i="20"/>
  <c r="AG117" i="20"/>
  <c r="A118" i="20"/>
  <c r="BD116" i="20"/>
  <c r="AH117" i="20"/>
  <c r="AL118" i="20"/>
  <c r="Y118" i="20"/>
  <c r="AC117" i="20"/>
  <c r="AW124" i="20"/>
  <c r="H118" i="20"/>
  <c r="AE119" i="20" l="1"/>
  <c r="BC118" i="20"/>
  <c r="Y119" i="20"/>
  <c r="AC118" i="20"/>
  <c r="AM119" i="20"/>
  <c r="H119" i="20"/>
  <c r="AG118" i="20"/>
  <c r="G121" i="20"/>
  <c r="V120" i="20"/>
  <c r="X120" i="20" s="1"/>
  <c r="AV120" i="20"/>
  <c r="AX120" i="20" s="1"/>
  <c r="BB120" i="20" s="1"/>
  <c r="A119" i="20"/>
  <c r="AW125" i="20"/>
  <c r="AH118" i="20"/>
  <c r="BD117" i="20"/>
  <c r="AL119" i="20"/>
  <c r="AV121" i="20" l="1"/>
  <c r="AX121" i="20" s="1"/>
  <c r="BB121" i="20" s="1"/>
  <c r="G122" i="20"/>
  <c r="V121" i="20"/>
  <c r="X121" i="20" s="1"/>
  <c r="Y120" i="20"/>
  <c r="AC119" i="20"/>
  <c r="AW126" i="20"/>
  <c r="AM120" i="20"/>
  <c r="BD118" i="20"/>
  <c r="AH119" i="20"/>
  <c r="A120" i="20"/>
  <c r="H120" i="20"/>
  <c r="AE120" i="20"/>
  <c r="BC119" i="20"/>
  <c r="AL120" i="20"/>
  <c r="AG119" i="20"/>
  <c r="AL121" i="20" l="1"/>
  <c r="H121" i="20"/>
  <c r="V122" i="20"/>
  <c r="X122" i="20" s="1"/>
  <c r="AV122" i="20"/>
  <c r="AX122" i="20" s="1"/>
  <c r="BB122" i="20" s="1"/>
  <c r="G123" i="20"/>
  <c r="AH120" i="20"/>
  <c r="BD119" i="20"/>
  <c r="Y121" i="20"/>
  <c r="AC120" i="20"/>
  <c r="BC120" i="20"/>
  <c r="AE121" i="20"/>
  <c r="AW127" i="20"/>
  <c r="AG120" i="20"/>
  <c r="A121" i="20"/>
  <c r="AM121" i="20"/>
  <c r="AL122" i="20" l="1"/>
  <c r="AG121" i="20"/>
  <c r="G124" i="20"/>
  <c r="V123" i="20"/>
  <c r="X123" i="20" s="1"/>
  <c r="AV123" i="20"/>
  <c r="AX123" i="20" s="1"/>
  <c r="BB123" i="20" s="1"/>
  <c r="A122" i="20"/>
  <c r="AH121" i="20"/>
  <c r="BD120" i="20"/>
  <c r="Y122" i="20"/>
  <c r="AC121" i="20"/>
  <c r="AM122" i="20"/>
  <c r="AW128" i="20"/>
  <c r="H122" i="20"/>
  <c r="BC121" i="20"/>
  <c r="AE122" i="20"/>
  <c r="AM123" i="20" l="1"/>
  <c r="V124" i="20"/>
  <c r="X124" i="20" s="1"/>
  <c r="G125" i="20"/>
  <c r="AV124" i="20"/>
  <c r="AX124" i="20" s="1"/>
  <c r="BB124" i="20" s="1"/>
  <c r="H123" i="20"/>
  <c r="A123" i="20"/>
  <c r="AH122" i="20"/>
  <c r="BD121" i="20"/>
  <c r="AG122" i="20"/>
  <c r="BC122" i="20"/>
  <c r="AE123" i="20"/>
  <c r="AL123" i="20"/>
  <c r="AW129" i="20"/>
  <c r="Y123" i="20"/>
  <c r="AC122" i="20"/>
  <c r="AL124" i="20" l="1"/>
  <c r="AW130" i="20"/>
  <c r="Y124" i="20"/>
  <c r="AC123" i="20"/>
  <c r="H124" i="20"/>
  <c r="A124" i="20"/>
  <c r="BD122" i="20"/>
  <c r="AH123" i="20"/>
  <c r="AM124" i="20"/>
  <c r="BC123" i="20"/>
  <c r="AE124" i="20"/>
  <c r="G126" i="20"/>
  <c r="AV125" i="20"/>
  <c r="AX125" i="20" s="1"/>
  <c r="BB125" i="20" s="1"/>
  <c r="V125" i="20"/>
  <c r="X125" i="20" s="1"/>
  <c r="AG123" i="20"/>
  <c r="AL125" i="20" l="1"/>
  <c r="AM125" i="20"/>
  <c r="BD123" i="20"/>
  <c r="AH124" i="20"/>
  <c r="AW131" i="20"/>
  <c r="Y125" i="20"/>
  <c r="AC124" i="20"/>
  <c r="V126" i="20"/>
  <c r="X126" i="20" s="1"/>
  <c r="G127" i="20"/>
  <c r="AV126" i="20"/>
  <c r="AX126" i="20" s="1"/>
  <c r="BB126" i="20" s="1"/>
  <c r="AG124" i="20"/>
  <c r="H125" i="20"/>
  <c r="AE125" i="20"/>
  <c r="BC124" i="20"/>
  <c r="A125" i="20"/>
  <c r="AM126" i="20" l="1"/>
  <c r="AL126" i="20"/>
  <c r="AG125" i="20"/>
  <c r="H126" i="20"/>
  <c r="BC125" i="20"/>
  <c r="AE126" i="20"/>
  <c r="A126" i="20"/>
  <c r="Y126" i="20"/>
  <c r="AC125" i="20"/>
  <c r="AW132" i="20"/>
  <c r="AH125" i="20"/>
  <c r="BD124" i="20"/>
  <c r="V127" i="20"/>
  <c r="X127" i="20" s="1"/>
  <c r="G128" i="20"/>
  <c r="AV127" i="20"/>
  <c r="AX127" i="20" s="1"/>
  <c r="BB127" i="20" s="1"/>
  <c r="AM127" i="20" l="1"/>
  <c r="AW133" i="20"/>
  <c r="BD125" i="20"/>
  <c r="AH126" i="20"/>
  <c r="AG126" i="20"/>
  <c r="AL127" i="20"/>
  <c r="V128" i="20"/>
  <c r="X128" i="20" s="1"/>
  <c r="G129" i="20"/>
  <c r="AV128" i="20"/>
  <c r="AX128" i="20" s="1"/>
  <c r="BB128" i="20" s="1"/>
  <c r="H127" i="20"/>
  <c r="BC126" i="20"/>
  <c r="AE127" i="20"/>
  <c r="A127" i="20"/>
  <c r="Y127" i="20"/>
  <c r="AC126" i="20"/>
  <c r="AL128" i="20" l="1"/>
  <c r="AM128" i="20"/>
  <c r="AW134" i="20"/>
  <c r="A128" i="20"/>
  <c r="AG127" i="20"/>
  <c r="BC127" i="20"/>
  <c r="AE128" i="20"/>
  <c r="Y128" i="20"/>
  <c r="AC127" i="20"/>
  <c r="G130" i="20"/>
  <c r="AV129" i="20"/>
  <c r="AX129" i="20" s="1"/>
  <c r="BB129" i="20" s="1"/>
  <c r="V129" i="20"/>
  <c r="X129" i="20" s="1"/>
  <c r="H128" i="20"/>
  <c r="BD126" i="20"/>
  <c r="AH127" i="20"/>
  <c r="AM129" i="20" l="1"/>
  <c r="AL129" i="20"/>
  <c r="AW135" i="20"/>
  <c r="G131" i="20"/>
  <c r="AV130" i="20"/>
  <c r="AX130" i="20" s="1"/>
  <c r="BB130" i="20" s="1"/>
  <c r="V130" i="20"/>
  <c r="X130" i="20" s="1"/>
  <c r="H129" i="20"/>
  <c r="AG128" i="20"/>
  <c r="BC128" i="20"/>
  <c r="AE129" i="20"/>
  <c r="BD127" i="20"/>
  <c r="AH128" i="20"/>
  <c r="Y129" i="20"/>
  <c r="AC128" i="20"/>
  <c r="A129" i="20"/>
  <c r="Y130" i="20" l="1"/>
  <c r="AC129" i="20"/>
  <c r="H130" i="20"/>
  <c r="AM130" i="20"/>
  <c r="A130" i="20"/>
  <c r="AG129" i="20"/>
  <c r="AE130" i="20"/>
  <c r="BC129" i="20"/>
  <c r="AL130" i="20"/>
  <c r="G132" i="20"/>
  <c r="AV131" i="20"/>
  <c r="AX131" i="20" s="1"/>
  <c r="BB131" i="20" s="1"/>
  <c r="V131" i="20"/>
  <c r="X131" i="20" s="1"/>
  <c r="AW136" i="20"/>
  <c r="AH129" i="20"/>
  <c r="BD128" i="20"/>
  <c r="AL131" i="20" l="1"/>
  <c r="Y131" i="20"/>
  <c r="AC130" i="20"/>
  <c r="H131" i="20"/>
  <c r="AW137" i="20"/>
  <c r="AM131" i="20"/>
  <c r="AV132" i="20"/>
  <c r="AX132" i="20" s="1"/>
  <c r="BB132" i="20" s="1"/>
  <c r="V132" i="20"/>
  <c r="X132" i="20" s="1"/>
  <c r="G133" i="20"/>
  <c r="AH130" i="20"/>
  <c r="BD129" i="20"/>
  <c r="A131" i="20"/>
  <c r="AG130" i="20"/>
  <c r="AE131" i="20"/>
  <c r="BC130" i="20"/>
  <c r="AM132" i="20" l="1"/>
  <c r="AL132" i="20"/>
  <c r="Y132" i="20"/>
  <c r="AC131" i="20"/>
  <c r="H132" i="20"/>
  <c r="AW138" i="20"/>
  <c r="BC131" i="20"/>
  <c r="AE132" i="20"/>
  <c r="AG131" i="20"/>
  <c r="AV133" i="20"/>
  <c r="AX133" i="20" s="1"/>
  <c r="BB133" i="20" s="1"/>
  <c r="G134" i="20"/>
  <c r="V133" i="20"/>
  <c r="X133" i="20" s="1"/>
  <c r="BD130" i="20"/>
  <c r="AH131" i="20"/>
  <c r="A132" i="20"/>
  <c r="H133" i="20" l="1"/>
  <c r="AG132" i="20"/>
  <c r="G135" i="20"/>
  <c r="V134" i="20"/>
  <c r="X134" i="20" s="1"/>
  <c r="AV134" i="20"/>
  <c r="AX134" i="20" s="1"/>
  <c r="BB134" i="20" s="1"/>
  <c r="AW139" i="20"/>
  <c r="Y133" i="20"/>
  <c r="AC132" i="20"/>
  <c r="BD131" i="20"/>
  <c r="AH132" i="20"/>
  <c r="AL133" i="20"/>
  <c r="AM133" i="20"/>
  <c r="A133" i="20"/>
  <c r="AE133" i="20"/>
  <c r="BC132" i="20"/>
  <c r="AL134" i="20" l="1"/>
  <c r="AM134" i="20"/>
  <c r="BD132" i="20"/>
  <c r="AH133" i="20"/>
  <c r="AE134" i="20"/>
  <c r="BC133" i="20"/>
  <c r="A134" i="20"/>
  <c r="AG133" i="20"/>
  <c r="G136" i="20"/>
  <c r="AV135" i="20"/>
  <c r="AX135" i="20" s="1"/>
  <c r="BB135" i="20" s="1"/>
  <c r="V135" i="20"/>
  <c r="X135" i="20" s="1"/>
  <c r="AW140" i="20"/>
  <c r="H134" i="20"/>
  <c r="Y134" i="20"/>
  <c r="AC133" i="20"/>
  <c r="AM135" i="20" l="1"/>
  <c r="AL135" i="20"/>
  <c r="Y135" i="20"/>
  <c r="AC134" i="20"/>
  <c r="A135" i="20"/>
  <c r="AW141" i="20"/>
  <c r="AG134" i="20"/>
  <c r="V136" i="20"/>
  <c r="X136" i="20" s="1"/>
  <c r="AV136" i="20"/>
  <c r="AX136" i="20" s="1"/>
  <c r="BB136" i="20" s="1"/>
  <c r="G137" i="20"/>
  <c r="AH134" i="20"/>
  <c r="BD133" i="20"/>
  <c r="H135" i="20"/>
  <c r="AE135" i="20"/>
  <c r="BC134" i="20"/>
  <c r="AL136" i="20" l="1"/>
  <c r="AH135" i="20"/>
  <c r="BD134" i="20"/>
  <c r="Y136" i="20"/>
  <c r="AC135" i="20"/>
  <c r="H136" i="20"/>
  <c r="V137" i="20"/>
  <c r="X137" i="20" s="1"/>
  <c r="AV137" i="20"/>
  <c r="AX137" i="20" s="1"/>
  <c r="BB137" i="20" s="1"/>
  <c r="G138" i="20"/>
  <c r="BC135" i="20"/>
  <c r="AE136" i="20"/>
  <c r="A136" i="20"/>
  <c r="AW142" i="20"/>
  <c r="AG135" i="20"/>
  <c r="AM136" i="20"/>
  <c r="AM137" i="20" l="1"/>
  <c r="AL137" i="20"/>
  <c r="A137" i="20"/>
  <c r="H137" i="20"/>
  <c r="AW143" i="20"/>
  <c r="Y137" i="20"/>
  <c r="AC136" i="20"/>
  <c r="AH136" i="20"/>
  <c r="BD135" i="20"/>
  <c r="AG136" i="20"/>
  <c r="G139" i="20"/>
  <c r="V138" i="20"/>
  <c r="X138" i="20" s="1"/>
  <c r="AV138" i="20"/>
  <c r="AX138" i="20" s="1"/>
  <c r="BB138" i="20" s="1"/>
  <c r="BC136" i="20"/>
  <c r="AE137" i="20"/>
  <c r="G140" i="20" l="1"/>
  <c r="V139" i="20"/>
  <c r="X139" i="20" s="1"/>
  <c r="AV139" i="20"/>
  <c r="AX139" i="20" s="1"/>
  <c r="BB139" i="20" s="1"/>
  <c r="AG137" i="20"/>
  <c r="AL138" i="20"/>
  <c r="A138" i="20"/>
  <c r="H138" i="20"/>
  <c r="AH137" i="20"/>
  <c r="BD136" i="20"/>
  <c r="AM138" i="20"/>
  <c r="AW144" i="20"/>
  <c r="BC137" i="20"/>
  <c r="AE138" i="20"/>
  <c r="Y138" i="20"/>
  <c r="AC137" i="20"/>
  <c r="AW145" i="20" l="1"/>
  <c r="BC138" i="20"/>
  <c r="AE139" i="20"/>
  <c r="AG138" i="20"/>
  <c r="AL139" i="20"/>
  <c r="Y139" i="20"/>
  <c r="AC138" i="20"/>
  <c r="A139" i="20"/>
  <c r="H139" i="20"/>
  <c r="AH138" i="20"/>
  <c r="BD137" i="20"/>
  <c r="V140" i="20"/>
  <c r="X140" i="20" s="1"/>
  <c r="G141" i="20"/>
  <c r="AV140" i="20"/>
  <c r="AX140" i="20" s="1"/>
  <c r="BB140" i="20" s="1"/>
  <c r="AM139" i="20"/>
  <c r="H140" i="20" l="1"/>
  <c r="AW146" i="20"/>
  <c r="BD138" i="20"/>
  <c r="AH139" i="20"/>
  <c r="AE140" i="20"/>
  <c r="BC139" i="20"/>
  <c r="AV141" i="20"/>
  <c r="AX141" i="20" s="1"/>
  <c r="BB141" i="20" s="1"/>
  <c r="V141" i="20"/>
  <c r="X141" i="20" s="1"/>
  <c r="G142" i="20"/>
  <c r="AG139" i="20"/>
  <c r="AM140" i="20"/>
  <c r="AL140" i="20"/>
  <c r="Y140" i="20"/>
  <c r="AC139" i="20"/>
  <c r="A140" i="20"/>
  <c r="AM141" i="20" l="1"/>
  <c r="AL141" i="20"/>
  <c r="AW147" i="20"/>
  <c r="Y141" i="20"/>
  <c r="AC140" i="20"/>
  <c r="BD139" i="20"/>
  <c r="AH140" i="20"/>
  <c r="H141" i="20"/>
  <c r="BC140" i="20"/>
  <c r="AE141" i="20"/>
  <c r="A141" i="20"/>
  <c r="V142" i="20"/>
  <c r="X142" i="20" s="1"/>
  <c r="AV142" i="20"/>
  <c r="AX142" i="20" s="1"/>
  <c r="BB142" i="20" s="1"/>
  <c r="G143" i="20"/>
  <c r="AG140" i="20"/>
  <c r="AM142" i="20" l="1"/>
  <c r="AL142" i="20"/>
  <c r="AW148" i="20"/>
  <c r="Y142" i="20"/>
  <c r="AC141" i="20"/>
  <c r="A142" i="20"/>
  <c r="V143" i="20"/>
  <c r="X143" i="20" s="1"/>
  <c r="G144" i="20"/>
  <c r="AV143" i="20"/>
  <c r="AX143" i="20" s="1"/>
  <c r="BB143" i="20" s="1"/>
  <c r="BD140" i="20"/>
  <c r="AH141" i="20"/>
  <c r="AG141" i="20"/>
  <c r="H142" i="20"/>
  <c r="BC141" i="20"/>
  <c r="AE142" i="20"/>
  <c r="AL143" i="20" l="1"/>
  <c r="AM143" i="20"/>
  <c r="BD141" i="20"/>
  <c r="AH142" i="20"/>
  <c r="AG142" i="20"/>
  <c r="AW149" i="20"/>
  <c r="Y143" i="20"/>
  <c r="AC142" i="20"/>
  <c r="H143" i="20"/>
  <c r="A143" i="20"/>
  <c r="BC142" i="20"/>
  <c r="AE143" i="20"/>
  <c r="V144" i="20"/>
  <c r="X144" i="20" s="1"/>
  <c r="G145" i="20"/>
  <c r="AV144" i="20"/>
  <c r="AX144" i="20" s="1"/>
  <c r="BB144" i="20" s="1"/>
  <c r="AM144" i="20" l="1"/>
  <c r="AL144" i="20"/>
  <c r="BC143" i="20"/>
  <c r="AE144" i="20"/>
  <c r="AG143" i="20"/>
  <c r="AW150" i="20"/>
  <c r="BD142" i="20"/>
  <c r="AH143" i="20"/>
  <c r="G146" i="20"/>
  <c r="AV145" i="20"/>
  <c r="AX145" i="20" s="1"/>
  <c r="BB145" i="20" s="1"/>
  <c r="V145" i="20"/>
  <c r="X145" i="20" s="1"/>
  <c r="Y144" i="20"/>
  <c r="AC143" i="20"/>
  <c r="A144" i="20"/>
  <c r="H144" i="20"/>
  <c r="G147" i="20" l="1"/>
  <c r="V146" i="20"/>
  <c r="X146" i="20" s="1"/>
  <c r="AV146" i="20"/>
  <c r="AX146" i="20" s="1"/>
  <c r="BB146" i="20" s="1"/>
  <c r="AL145" i="20"/>
  <c r="AE145" i="20"/>
  <c r="BC144" i="20"/>
  <c r="AG144" i="20"/>
  <c r="Y145" i="20"/>
  <c r="AC144" i="20"/>
  <c r="AW151" i="20"/>
  <c r="A145" i="20"/>
  <c r="H145" i="20"/>
  <c r="AM145" i="20"/>
  <c r="AH144" i="20"/>
  <c r="BD143" i="20"/>
  <c r="H146" i="20" l="1"/>
  <c r="AL146" i="20"/>
  <c r="A146" i="20"/>
  <c r="AE146" i="20"/>
  <c r="BC145" i="20"/>
  <c r="AM146" i="20"/>
  <c r="AH145" i="20"/>
  <c r="BD144" i="20"/>
  <c r="AG145" i="20"/>
  <c r="AV147" i="20"/>
  <c r="AX147" i="20" s="1"/>
  <c r="BB147" i="20" s="1"/>
  <c r="V147" i="20"/>
  <c r="X147" i="20" s="1"/>
  <c r="G148" i="20"/>
  <c r="Y146" i="20"/>
  <c r="AC145" i="20"/>
  <c r="AW152" i="20"/>
  <c r="AG146" i="20" l="1"/>
  <c r="AL147" i="20"/>
  <c r="G149" i="20"/>
  <c r="AV148" i="20"/>
  <c r="AX148" i="20" s="1"/>
  <c r="BB148" i="20" s="1"/>
  <c r="V148" i="20"/>
  <c r="X148" i="20" s="1"/>
  <c r="A147" i="20"/>
  <c r="Y147" i="20"/>
  <c r="AC146" i="20"/>
  <c r="AE147" i="20"/>
  <c r="BC146" i="20"/>
  <c r="H147" i="20"/>
  <c r="AW153" i="20"/>
  <c r="AM147" i="20"/>
  <c r="BD145" i="20"/>
  <c r="AH146" i="20"/>
  <c r="AL148" i="20" l="1"/>
  <c r="V149" i="20"/>
  <c r="X149" i="20" s="1"/>
  <c r="G150" i="20"/>
  <c r="AV149" i="20"/>
  <c r="AX149" i="20" s="1"/>
  <c r="BB149" i="20" s="1"/>
  <c r="AW154" i="20"/>
  <c r="A148" i="20"/>
  <c r="Y148" i="20"/>
  <c r="AC147" i="20"/>
  <c r="AM148" i="20"/>
  <c r="H148" i="20"/>
  <c r="BD146" i="20"/>
  <c r="AH147" i="20"/>
  <c r="BC147" i="20"/>
  <c r="AE148" i="20"/>
  <c r="AG147" i="20"/>
  <c r="AM149" i="20" l="1"/>
  <c r="AL149" i="20"/>
  <c r="H149" i="20"/>
  <c r="AW155" i="20"/>
  <c r="AH148" i="20"/>
  <c r="BD147" i="20"/>
  <c r="AE149" i="20"/>
  <c r="BC148" i="20"/>
  <c r="A149" i="20"/>
  <c r="AG148" i="20"/>
  <c r="Y149" i="20"/>
  <c r="AC148" i="20"/>
  <c r="V150" i="20"/>
  <c r="X150" i="20" s="1"/>
  <c r="G151" i="20"/>
  <c r="AV150" i="20"/>
  <c r="AX150" i="20" s="1"/>
  <c r="BB150" i="20" s="1"/>
  <c r="AL150" i="20" l="1"/>
  <c r="AM150" i="20"/>
  <c r="Y150" i="20"/>
  <c r="AC149" i="20"/>
  <c r="AW156" i="20"/>
  <c r="AH149" i="20"/>
  <c r="BD148" i="20"/>
  <c r="A150" i="20"/>
  <c r="V151" i="20"/>
  <c r="X151" i="20" s="1"/>
  <c r="G152" i="20"/>
  <c r="AV151" i="20"/>
  <c r="AX151" i="20" s="1"/>
  <c r="BB151" i="20" s="1"/>
  <c r="AG149" i="20"/>
  <c r="BC149" i="20"/>
  <c r="AE150" i="20"/>
  <c r="H150" i="20"/>
  <c r="AG150" i="20" l="1"/>
  <c r="Y151" i="20"/>
  <c r="AC150" i="20"/>
  <c r="AW157" i="20"/>
  <c r="V152" i="20"/>
  <c r="X152" i="20" s="1"/>
  <c r="G153" i="20"/>
  <c r="AV152" i="20"/>
  <c r="AX152" i="20" s="1"/>
  <c r="BB152" i="20" s="1"/>
  <c r="AH150" i="20"/>
  <c r="BD149" i="20"/>
  <c r="AE151" i="20"/>
  <c r="BC150" i="20"/>
  <c r="H151" i="20"/>
  <c r="A151" i="20"/>
  <c r="AL151" i="20"/>
  <c r="AM151" i="20"/>
  <c r="AM152" i="20" l="1"/>
  <c r="AL152" i="20"/>
  <c r="AG151" i="20"/>
  <c r="H152" i="20"/>
  <c r="Y152" i="20"/>
  <c r="AC151" i="20"/>
  <c r="AW158" i="20"/>
  <c r="G154" i="20"/>
  <c r="AV153" i="20"/>
  <c r="AX153" i="20" s="1"/>
  <c r="BB153" i="20" s="1"/>
  <c r="V153" i="20"/>
  <c r="X153" i="20" s="1"/>
  <c r="AH151" i="20"/>
  <c r="BD150" i="20"/>
  <c r="AE152" i="20"/>
  <c r="BC151" i="20"/>
  <c r="A152" i="20"/>
  <c r="G155" i="20" l="1"/>
  <c r="AV154" i="20"/>
  <c r="AX154" i="20" s="1"/>
  <c r="BB154" i="20" s="1"/>
  <c r="V154" i="20"/>
  <c r="X154" i="20" s="1"/>
  <c r="AG152" i="20"/>
  <c r="AH152" i="20"/>
  <c r="BD151" i="20"/>
  <c r="Y153" i="20"/>
  <c r="AC152" i="20"/>
  <c r="AE153" i="20"/>
  <c r="BC152" i="20"/>
  <c r="AL153" i="20"/>
  <c r="A153" i="20"/>
  <c r="AW159" i="20"/>
  <c r="H153" i="20"/>
  <c r="AM153" i="20"/>
  <c r="AL154" i="20" l="1"/>
  <c r="A154" i="20"/>
  <c r="AG153" i="20"/>
  <c r="AW160" i="20"/>
  <c r="AH153" i="20"/>
  <c r="BD152" i="20"/>
  <c r="Y154" i="20"/>
  <c r="AC153" i="20"/>
  <c r="H154" i="20"/>
  <c r="AM154" i="20"/>
  <c r="AE154" i="20"/>
  <c r="BC153" i="20"/>
  <c r="G156" i="20"/>
  <c r="AV155" i="20"/>
  <c r="AX155" i="20" s="1"/>
  <c r="BB155" i="20" s="1"/>
  <c r="V155" i="20"/>
  <c r="X155" i="20" s="1"/>
  <c r="AL155" i="20" l="1"/>
  <c r="AM155" i="20"/>
  <c r="A155" i="20"/>
  <c r="AG154" i="20"/>
  <c r="AE155" i="20"/>
  <c r="BC154" i="20"/>
  <c r="AW161" i="20"/>
  <c r="AH154" i="20"/>
  <c r="BD153" i="20"/>
  <c r="AV156" i="20"/>
  <c r="AX156" i="20" s="1"/>
  <c r="BB156" i="20" s="1"/>
  <c r="G157" i="20"/>
  <c r="V156" i="20"/>
  <c r="X156" i="20" s="1"/>
  <c r="Y155" i="20"/>
  <c r="AC154" i="20"/>
  <c r="H155" i="20"/>
  <c r="AL156" i="20" l="1"/>
  <c r="AH155" i="20"/>
  <c r="BD154" i="20"/>
  <c r="AM156" i="20"/>
  <c r="Y156" i="20"/>
  <c r="AC155" i="20"/>
  <c r="AG155" i="20"/>
  <c r="A156" i="20"/>
  <c r="AE156" i="20"/>
  <c r="BC155" i="20"/>
  <c r="H156" i="20"/>
  <c r="AW162" i="20"/>
  <c r="AV157" i="20"/>
  <c r="AX157" i="20" s="1"/>
  <c r="BB157" i="20" s="1"/>
  <c r="G158" i="20"/>
  <c r="V157" i="20"/>
  <c r="X157" i="20" s="1"/>
  <c r="AM157" i="20" l="1"/>
  <c r="AW163" i="20"/>
  <c r="Y157" i="20"/>
  <c r="AC156" i="20"/>
  <c r="G159" i="20"/>
  <c r="V158" i="20"/>
  <c r="X158" i="20" s="1"/>
  <c r="AV158" i="20"/>
  <c r="AX158" i="20" s="1"/>
  <c r="BB158" i="20" s="1"/>
  <c r="AG156" i="20"/>
  <c r="AL157" i="20"/>
  <c r="H157" i="20"/>
  <c r="A157" i="20"/>
  <c r="AH156" i="20"/>
  <c r="BD155" i="20"/>
  <c r="AE157" i="20"/>
  <c r="BC156" i="20"/>
  <c r="AM158" i="20" l="1"/>
  <c r="Y158" i="20"/>
  <c r="AC157" i="20"/>
  <c r="H158" i="20"/>
  <c r="A158" i="20"/>
  <c r="AH157" i="20"/>
  <c r="BD156" i="20"/>
  <c r="G160" i="20"/>
  <c r="V159" i="20"/>
  <c r="X159" i="20" s="1"/>
  <c r="AV159" i="20"/>
  <c r="AX159" i="20" s="1"/>
  <c r="BB159" i="20" s="1"/>
  <c r="AE158" i="20"/>
  <c r="BC157" i="20"/>
  <c r="AG157" i="20"/>
  <c r="AL158" i="20"/>
  <c r="AW164" i="20"/>
  <c r="AM159" i="20" l="1"/>
  <c r="AL159" i="20"/>
  <c r="AG158" i="20"/>
  <c r="H159" i="20"/>
  <c r="AW165" i="20"/>
  <c r="A159" i="20"/>
  <c r="AH158" i="20"/>
  <c r="BD157" i="20"/>
  <c r="G161" i="20"/>
  <c r="V160" i="20"/>
  <c r="X160" i="20" s="1"/>
  <c r="AV160" i="20"/>
  <c r="AX160" i="20" s="1"/>
  <c r="BB160" i="20" s="1"/>
  <c r="Y159" i="20"/>
  <c r="AC158" i="20"/>
  <c r="AE159" i="20"/>
  <c r="BC158" i="20"/>
  <c r="H160" i="20" l="1"/>
  <c r="Y160" i="20"/>
  <c r="AC159" i="20"/>
  <c r="AM160" i="20"/>
  <c r="G162" i="20"/>
  <c r="V161" i="20"/>
  <c r="X161" i="20" s="1"/>
  <c r="AV161" i="20"/>
  <c r="AX161" i="20" s="1"/>
  <c r="BB161" i="20" s="1"/>
  <c r="BC159" i="20"/>
  <c r="AE160" i="20"/>
  <c r="AL160" i="20"/>
  <c r="AW166" i="20"/>
  <c r="AG159" i="20"/>
  <c r="A160" i="20"/>
  <c r="AH159" i="20"/>
  <c r="BD158" i="20"/>
  <c r="AM161" i="20" l="1"/>
  <c r="AL161" i="20"/>
  <c r="AW167" i="20"/>
  <c r="AG160" i="20"/>
  <c r="Y161" i="20"/>
  <c r="AC160" i="20"/>
  <c r="A161" i="20"/>
  <c r="H161" i="20"/>
  <c r="AH160" i="20"/>
  <c r="BD159" i="20"/>
  <c r="G163" i="20"/>
  <c r="V162" i="20"/>
  <c r="X162" i="20" s="1"/>
  <c r="AV162" i="20"/>
  <c r="AX162" i="20" s="1"/>
  <c r="BB162" i="20" s="1"/>
  <c r="BC160" i="20"/>
  <c r="AE161" i="20"/>
  <c r="AL162" i="20" l="1"/>
  <c r="AW168" i="20"/>
  <c r="AM162" i="20"/>
  <c r="V163" i="20"/>
  <c r="X163" i="20" s="1"/>
  <c r="G164" i="20"/>
  <c r="AV163" i="20"/>
  <c r="AX163" i="20" s="1"/>
  <c r="BB163" i="20" s="1"/>
  <c r="AG161" i="20"/>
  <c r="Y162" i="20"/>
  <c r="AC161" i="20"/>
  <c r="AH161" i="20"/>
  <c r="BD160" i="20"/>
  <c r="BC161" i="20"/>
  <c r="AE162" i="20"/>
  <c r="A162" i="20"/>
  <c r="H162" i="20"/>
  <c r="AM163" i="20" l="1"/>
  <c r="AW169" i="20"/>
  <c r="BC162" i="20"/>
  <c r="AE163" i="20"/>
  <c r="G165" i="20"/>
  <c r="V164" i="20"/>
  <c r="X164" i="20" s="1"/>
  <c r="AV164" i="20"/>
  <c r="AX164" i="20" s="1"/>
  <c r="BB164" i="20" s="1"/>
  <c r="AG162" i="20"/>
  <c r="H163" i="20"/>
  <c r="Y163" i="20"/>
  <c r="AC162" i="20"/>
  <c r="AL163" i="20"/>
  <c r="AH162" i="20"/>
  <c r="BD161" i="20"/>
  <c r="A163" i="20"/>
  <c r="AM164" i="20" l="1"/>
  <c r="AL164" i="20"/>
  <c r="AW170" i="20"/>
  <c r="Y164" i="20"/>
  <c r="AC163" i="20"/>
  <c r="BC163" i="20"/>
  <c r="AE164" i="20"/>
  <c r="BD162" i="20"/>
  <c r="AH163" i="20"/>
  <c r="V165" i="20"/>
  <c r="X165" i="20" s="1"/>
  <c r="G166" i="20"/>
  <c r="AV165" i="20"/>
  <c r="AX165" i="20" s="1"/>
  <c r="BB165" i="20" s="1"/>
  <c r="A164" i="20"/>
  <c r="AG163" i="20"/>
  <c r="H164" i="20"/>
  <c r="AL165" i="20" l="1"/>
  <c r="AM165" i="20"/>
  <c r="A165" i="20"/>
  <c r="AW171" i="20"/>
  <c r="AG164" i="20"/>
  <c r="Y165" i="20"/>
  <c r="AC164" i="20"/>
  <c r="H165" i="20"/>
  <c r="BC164" i="20"/>
  <c r="AE165" i="20"/>
  <c r="V166" i="20"/>
  <c r="X166" i="20" s="1"/>
  <c r="G167" i="20"/>
  <c r="AV166" i="20"/>
  <c r="AX166" i="20" s="1"/>
  <c r="BB166" i="20" s="1"/>
  <c r="BD163" i="20"/>
  <c r="AH164" i="20"/>
  <c r="AM166" i="20" l="1"/>
  <c r="AL166" i="20"/>
  <c r="A166" i="20"/>
  <c r="BC165" i="20"/>
  <c r="AE166" i="20"/>
  <c r="AW172" i="20"/>
  <c r="V167" i="20"/>
  <c r="X167" i="20" s="1"/>
  <c r="G168" i="20"/>
  <c r="AV167" i="20"/>
  <c r="AX167" i="20" s="1"/>
  <c r="BB167" i="20" s="1"/>
  <c r="AG165" i="20"/>
  <c r="BD164" i="20"/>
  <c r="AH165" i="20"/>
  <c r="Y166" i="20"/>
  <c r="AC165" i="20"/>
  <c r="H166" i="20"/>
  <c r="AM167" i="20" l="1"/>
  <c r="AL167" i="20"/>
  <c r="A167" i="20"/>
  <c r="BC166" i="20"/>
  <c r="AE167" i="20"/>
  <c r="AW173" i="20"/>
  <c r="H167" i="20"/>
  <c r="V168" i="20"/>
  <c r="X168" i="20" s="1"/>
  <c r="G169" i="20"/>
  <c r="AV168" i="20"/>
  <c r="AX168" i="20" s="1"/>
  <c r="BB168" i="20" s="1"/>
  <c r="Y167" i="20"/>
  <c r="AC166" i="20"/>
  <c r="BD165" i="20"/>
  <c r="AH166" i="20"/>
  <c r="AG166" i="20"/>
  <c r="A168" i="20" l="1"/>
  <c r="Y168" i="20"/>
  <c r="AC167" i="20"/>
  <c r="AM168" i="20"/>
  <c r="AE168" i="20"/>
  <c r="BC167" i="20"/>
  <c r="AH167" i="20"/>
  <c r="BD166" i="20"/>
  <c r="AG167" i="20"/>
  <c r="AW174" i="20"/>
  <c r="AL168" i="20"/>
  <c r="V169" i="20"/>
  <c r="X169" i="20" s="1"/>
  <c r="G170" i="20"/>
  <c r="AV169" i="20"/>
  <c r="AX169" i="20" s="1"/>
  <c r="BB169" i="20" s="1"/>
  <c r="H168" i="20"/>
  <c r="AL169" i="20" l="1"/>
  <c r="AM169" i="20"/>
  <c r="A169" i="20"/>
  <c r="Y169" i="20"/>
  <c r="AC168" i="20"/>
  <c r="AW175" i="20"/>
  <c r="G171" i="20"/>
  <c r="AV170" i="20"/>
  <c r="AX170" i="20" s="1"/>
  <c r="BB170" i="20" s="1"/>
  <c r="V170" i="20"/>
  <c r="X170" i="20" s="1"/>
  <c r="AE169" i="20"/>
  <c r="BC168" i="20"/>
  <c r="H169" i="20"/>
  <c r="AH168" i="20"/>
  <c r="BD167" i="20"/>
  <c r="AG168" i="20"/>
  <c r="AL170" i="20" l="1"/>
  <c r="AM170" i="20"/>
  <c r="A170" i="20"/>
  <c r="H170" i="20"/>
  <c r="Y170" i="20"/>
  <c r="AC169" i="20"/>
  <c r="AH169" i="20"/>
  <c r="BD168" i="20"/>
  <c r="AW176" i="20"/>
  <c r="G172" i="20"/>
  <c r="AV171" i="20"/>
  <c r="AX171" i="20" s="1"/>
  <c r="BB171" i="20" s="1"/>
  <c r="V171" i="20"/>
  <c r="X171" i="20" s="1"/>
  <c r="AG169" i="20"/>
  <c r="AE170" i="20"/>
  <c r="BC169" i="20"/>
  <c r="AM171" i="20" l="1"/>
  <c r="AL171" i="20"/>
  <c r="A171" i="20"/>
  <c r="H171" i="20"/>
  <c r="G173" i="20"/>
  <c r="AV172" i="20"/>
  <c r="AX172" i="20" s="1"/>
  <c r="BB172" i="20" s="1"/>
  <c r="V172" i="20"/>
  <c r="X172" i="20" s="1"/>
  <c r="Y171" i="20"/>
  <c r="AC170" i="20"/>
  <c r="AG170" i="20"/>
  <c r="AE171" i="20"/>
  <c r="BC170" i="20"/>
  <c r="AH170" i="20"/>
  <c r="BD169" i="20"/>
  <c r="AW177" i="20"/>
  <c r="AM172" i="20" l="1"/>
  <c r="AE172" i="20"/>
  <c r="BC171" i="20"/>
  <c r="A172" i="20"/>
  <c r="BD170" i="20"/>
  <c r="AH171" i="20"/>
  <c r="H172" i="20"/>
  <c r="AV173" i="20"/>
  <c r="AX173" i="20" s="1"/>
  <c r="BB173" i="20" s="1"/>
  <c r="G174" i="20"/>
  <c r="V173" i="20"/>
  <c r="X173" i="20" s="1"/>
  <c r="AW178" i="20"/>
  <c r="Y172" i="20"/>
  <c r="AC171" i="20"/>
  <c r="AL172" i="20"/>
  <c r="AG171" i="20"/>
  <c r="A173" i="20" l="1"/>
  <c r="AH172" i="20"/>
  <c r="BD171" i="20"/>
  <c r="H173" i="20"/>
  <c r="AL173" i="20"/>
  <c r="AE173" i="20"/>
  <c r="BC172" i="20"/>
  <c r="AG172" i="20"/>
  <c r="AM173" i="20"/>
  <c r="AW179" i="20"/>
  <c r="Y173" i="20"/>
  <c r="AC172" i="20"/>
  <c r="AV174" i="20"/>
  <c r="AX174" i="20" s="1"/>
  <c r="BB174" i="20" s="1"/>
  <c r="V174" i="20"/>
  <c r="X174" i="20" s="1"/>
  <c r="G175" i="20"/>
  <c r="AM174" i="20" l="1"/>
  <c r="A174" i="20"/>
  <c r="AW180" i="20"/>
  <c r="AH173" i="20"/>
  <c r="BD172" i="20"/>
  <c r="Y174" i="20"/>
  <c r="AC173" i="20"/>
  <c r="H174" i="20"/>
  <c r="AL174" i="20"/>
  <c r="AG173" i="20"/>
  <c r="G176" i="20"/>
  <c r="AV175" i="20"/>
  <c r="AX175" i="20" s="1"/>
  <c r="BB175" i="20" s="1"/>
  <c r="V175" i="20"/>
  <c r="X175" i="20" s="1"/>
  <c r="AE174" i="20"/>
  <c r="BC173" i="20"/>
  <c r="AL175" i="20" l="1"/>
  <c r="AM175" i="20"/>
  <c r="AG174" i="20"/>
  <c r="AV176" i="20"/>
  <c r="AX176" i="20" s="1"/>
  <c r="BB176" i="20" s="1"/>
  <c r="G177" i="20"/>
  <c r="V176" i="20"/>
  <c r="X176" i="20" s="1"/>
  <c r="A175" i="20"/>
  <c r="AW181" i="20"/>
  <c r="AE175" i="20"/>
  <c r="BC174" i="20"/>
  <c r="AH174" i="20"/>
  <c r="BD173" i="20"/>
  <c r="Y175" i="20"/>
  <c r="AC174" i="20"/>
  <c r="H175" i="20"/>
  <c r="AL176" i="20" l="1"/>
  <c r="Y176" i="20"/>
  <c r="AC175" i="20"/>
  <c r="AG175" i="20"/>
  <c r="AV177" i="20"/>
  <c r="AX177" i="20" s="1"/>
  <c r="BB177" i="20" s="1"/>
  <c r="V177" i="20"/>
  <c r="X177" i="20" s="1"/>
  <c r="G178" i="20"/>
  <c r="A176" i="20"/>
  <c r="H176" i="20"/>
  <c r="AW182" i="20"/>
  <c r="AE176" i="20"/>
  <c r="BC175" i="20"/>
  <c r="AM176" i="20"/>
  <c r="AH175" i="20"/>
  <c r="BD174" i="20"/>
  <c r="AM177" i="20" l="1"/>
  <c r="A177" i="20"/>
  <c r="H177" i="20"/>
  <c r="BC176" i="20"/>
  <c r="AE177" i="20"/>
  <c r="AG176" i="20"/>
  <c r="AH176" i="20"/>
  <c r="BD175" i="20"/>
  <c r="V178" i="20"/>
  <c r="X178" i="20" s="1"/>
  <c r="AV178" i="20"/>
  <c r="AX178" i="20" s="1"/>
  <c r="BB178" i="20" s="1"/>
  <c r="G179" i="20"/>
  <c r="AL177" i="20"/>
  <c r="AW183" i="20"/>
  <c r="Y177" i="20"/>
  <c r="AC176" i="20"/>
  <c r="V179" i="20" l="1"/>
  <c r="X179" i="20" s="1"/>
  <c r="G180" i="20"/>
  <c r="AV179" i="20"/>
  <c r="AX179" i="20" s="1"/>
  <c r="BB179" i="20" s="1"/>
  <c r="H178" i="20"/>
  <c r="AL178" i="20"/>
  <c r="AW184" i="20"/>
  <c r="Y178" i="20"/>
  <c r="AC177" i="20"/>
  <c r="BC177" i="20"/>
  <c r="AE178" i="20"/>
  <c r="AG177" i="20"/>
  <c r="A178" i="20"/>
  <c r="AM178" i="20"/>
  <c r="AH177" i="20"/>
  <c r="BD176" i="20"/>
  <c r="V180" i="20" l="1"/>
  <c r="X180" i="20" s="1"/>
  <c r="AV180" i="20"/>
  <c r="AX180" i="20" s="1"/>
  <c r="BB180" i="20" s="1"/>
  <c r="G181" i="20"/>
  <c r="AG178" i="20"/>
  <c r="H179" i="20"/>
  <c r="AL179" i="20"/>
  <c r="A179" i="20"/>
  <c r="AW185" i="20"/>
  <c r="AM179" i="20"/>
  <c r="AH178" i="20"/>
  <c r="BD177" i="20"/>
  <c r="Y179" i="20"/>
  <c r="AC178" i="20"/>
  <c r="BC178" i="20"/>
  <c r="AE179" i="20"/>
  <c r="AM180" i="20" l="1"/>
  <c r="Y180" i="20"/>
  <c r="AC179" i="20"/>
  <c r="V181" i="20"/>
  <c r="X181" i="20" s="1"/>
  <c r="G182" i="20"/>
  <c r="AV181" i="20"/>
  <c r="AX181" i="20" s="1"/>
  <c r="BB181" i="20" s="1"/>
  <c r="AG179" i="20"/>
  <c r="H180" i="20"/>
  <c r="AH179" i="20"/>
  <c r="BD178" i="20"/>
  <c r="BC179" i="20"/>
  <c r="AE180" i="20"/>
  <c r="AL180" i="20"/>
  <c r="A180" i="20"/>
  <c r="AW186" i="20"/>
  <c r="AM181" i="20" l="1"/>
  <c r="AL181" i="20"/>
  <c r="AE181" i="20"/>
  <c r="BC180" i="20"/>
  <c r="Y181" i="20"/>
  <c r="AC180" i="20"/>
  <c r="BD179" i="20"/>
  <c r="AH180" i="20"/>
  <c r="A181" i="20"/>
  <c r="V182" i="20"/>
  <c r="X182" i="20" s="1"/>
  <c r="G183" i="20"/>
  <c r="AV182" i="20"/>
  <c r="AX182" i="20" s="1"/>
  <c r="BB182" i="20" s="1"/>
  <c r="AW187" i="20"/>
  <c r="AG180" i="20"/>
  <c r="H181" i="20"/>
  <c r="BD180" i="20" l="1"/>
  <c r="AH181" i="20"/>
  <c r="A182" i="20"/>
  <c r="BC181" i="20"/>
  <c r="AE182" i="20"/>
  <c r="AW188" i="20"/>
  <c r="AG181" i="20"/>
  <c r="Y182" i="20"/>
  <c r="AC181" i="20"/>
  <c r="V183" i="20"/>
  <c r="X183" i="20" s="1"/>
  <c r="G184" i="20"/>
  <c r="AV183" i="20"/>
  <c r="AX183" i="20" s="1"/>
  <c r="BB183" i="20" s="1"/>
  <c r="H182" i="20"/>
  <c r="AL182" i="20"/>
  <c r="AM182" i="20"/>
  <c r="Y183" i="20" l="1"/>
  <c r="AC182" i="20"/>
  <c r="A183" i="20"/>
  <c r="V184" i="20"/>
  <c r="X184" i="20" s="1"/>
  <c r="G185" i="20"/>
  <c r="AV184" i="20"/>
  <c r="AX184" i="20" s="1"/>
  <c r="BB184" i="20" s="1"/>
  <c r="H183" i="20"/>
  <c r="AH182" i="20"/>
  <c r="BD181" i="20"/>
  <c r="AE183" i="20"/>
  <c r="BC182" i="20"/>
  <c r="AL183" i="20"/>
  <c r="AW189" i="20"/>
  <c r="AM183" i="20"/>
  <c r="AG182" i="20"/>
  <c r="AL184" i="20" l="1"/>
  <c r="AM184" i="20"/>
  <c r="A184" i="20"/>
  <c r="AW190" i="20"/>
  <c r="V185" i="20"/>
  <c r="X185" i="20" s="1"/>
  <c r="G186" i="20"/>
  <c r="AV185" i="20"/>
  <c r="AX185" i="20" s="1"/>
  <c r="BB185" i="20" s="1"/>
  <c r="AG183" i="20"/>
  <c r="Y184" i="20"/>
  <c r="AC183" i="20"/>
  <c r="H184" i="20"/>
  <c r="BC183" i="20"/>
  <c r="AE184" i="20"/>
  <c r="AH183" i="20"/>
  <c r="BD182" i="20"/>
  <c r="AL185" i="20" l="1"/>
  <c r="Y185" i="20"/>
  <c r="AC184" i="20"/>
  <c r="H185" i="20"/>
  <c r="A185" i="20"/>
  <c r="AE185" i="20"/>
  <c r="BC184" i="20"/>
  <c r="AW191" i="20"/>
  <c r="BD183" i="20"/>
  <c r="AH184" i="20"/>
  <c r="G187" i="20"/>
  <c r="AV186" i="20"/>
  <c r="AX186" i="20" s="1"/>
  <c r="BB186" i="20" s="1"/>
  <c r="V186" i="20"/>
  <c r="X186" i="20" s="1"/>
  <c r="AM185" i="20"/>
  <c r="AG184" i="20"/>
  <c r="G188" i="20" l="1"/>
  <c r="AV187" i="20"/>
  <c r="AX187" i="20" s="1"/>
  <c r="BB187" i="20" s="1"/>
  <c r="V187" i="20"/>
  <c r="X187" i="20" s="1"/>
  <c r="H186" i="20"/>
  <c r="AM186" i="20"/>
  <c r="AL186" i="20"/>
  <c r="AG185" i="20"/>
  <c r="A186" i="20"/>
  <c r="AH185" i="20"/>
  <c r="BD184" i="20"/>
  <c r="AE186" i="20"/>
  <c r="BC185" i="20"/>
  <c r="Y186" i="20"/>
  <c r="AC185" i="20"/>
  <c r="AW192" i="20"/>
  <c r="G189" i="20" l="1"/>
  <c r="AV188" i="20"/>
  <c r="AX188" i="20" s="1"/>
  <c r="BB188" i="20" s="1"/>
  <c r="V188" i="20"/>
  <c r="X188" i="20" s="1"/>
  <c r="BD185" i="20"/>
  <c r="AH186" i="20"/>
  <c r="A187" i="20"/>
  <c r="Y187" i="20"/>
  <c r="AC186" i="20"/>
  <c r="H187" i="20"/>
  <c r="AW193" i="20"/>
  <c r="AG186" i="20"/>
  <c r="AM187" i="20"/>
  <c r="AL187" i="20"/>
  <c r="AE187" i="20"/>
  <c r="BC186" i="20"/>
  <c r="AG187" i="20" l="1"/>
  <c r="AH187" i="20"/>
  <c r="BD186" i="20"/>
  <c r="A188" i="20"/>
  <c r="AM188" i="20"/>
  <c r="AL188" i="20"/>
  <c r="AE188" i="20"/>
  <c r="BC187" i="20"/>
  <c r="Y188" i="20"/>
  <c r="AC187" i="20"/>
  <c r="AV189" i="20"/>
  <c r="AX189" i="20" s="1"/>
  <c r="BB189" i="20" s="1"/>
  <c r="V189" i="20"/>
  <c r="X189" i="20" s="1"/>
  <c r="G190" i="20"/>
  <c r="AW194" i="20"/>
  <c r="H188" i="20"/>
  <c r="Y189" i="20" l="1"/>
  <c r="AC188" i="20"/>
  <c r="AG188" i="20"/>
  <c r="AH188" i="20"/>
  <c r="BD187" i="20"/>
  <c r="AV190" i="20"/>
  <c r="AX190" i="20" s="1"/>
  <c r="BB190" i="20" s="1"/>
  <c r="V190" i="20"/>
  <c r="X190" i="20" s="1"/>
  <c r="G191" i="20"/>
  <c r="A189" i="20"/>
  <c r="AW195" i="20"/>
  <c r="AM189" i="20"/>
  <c r="AL189" i="20"/>
  <c r="H189" i="20"/>
  <c r="AE189" i="20"/>
  <c r="BC188" i="20"/>
  <c r="AM190" i="20" l="1"/>
  <c r="AL190" i="20"/>
  <c r="Y190" i="20"/>
  <c r="AC189" i="20"/>
  <c r="H190" i="20"/>
  <c r="AE190" i="20"/>
  <c r="BC189" i="20"/>
  <c r="AG189" i="20"/>
  <c r="AH189" i="20"/>
  <c r="BD188" i="20"/>
  <c r="G192" i="20"/>
  <c r="AV191" i="20"/>
  <c r="AX191" i="20" s="1"/>
  <c r="BB191" i="20" s="1"/>
  <c r="V191" i="20"/>
  <c r="X191" i="20" s="1"/>
  <c r="A190" i="20"/>
  <c r="AW196" i="20"/>
  <c r="AM191" i="20" l="1"/>
  <c r="Y191" i="20"/>
  <c r="AC190" i="20"/>
  <c r="AL191" i="20"/>
  <c r="H191" i="20"/>
  <c r="AE191" i="20"/>
  <c r="BC190" i="20"/>
  <c r="A191" i="20"/>
  <c r="AV192" i="20"/>
  <c r="AX192" i="20" s="1"/>
  <c r="BB192" i="20" s="1"/>
  <c r="V192" i="20"/>
  <c r="X192" i="20" s="1"/>
  <c r="G193" i="20"/>
  <c r="AW197" i="20"/>
  <c r="AG190" i="20"/>
  <c r="AH190" i="20"/>
  <c r="BD189" i="20"/>
  <c r="AW198" i="20" l="1"/>
  <c r="Y192" i="20"/>
  <c r="AC191" i="20"/>
  <c r="AM192" i="20"/>
  <c r="AL192" i="20"/>
  <c r="H192" i="20"/>
  <c r="AG191" i="20"/>
  <c r="AH191" i="20"/>
  <c r="BD190" i="20"/>
  <c r="AE192" i="20"/>
  <c r="BC191" i="20"/>
  <c r="G194" i="20"/>
  <c r="V193" i="20"/>
  <c r="X193" i="20" s="1"/>
  <c r="AV193" i="20"/>
  <c r="AX193" i="20" s="1"/>
  <c r="BB193" i="20" s="1"/>
  <c r="A192" i="20"/>
  <c r="BC192" i="20" l="1"/>
  <c r="AE193" i="20"/>
  <c r="Y193" i="20"/>
  <c r="AC192" i="20"/>
  <c r="V194" i="20"/>
  <c r="X194" i="20" s="1"/>
  <c r="AV194" i="20"/>
  <c r="AX194" i="20" s="1"/>
  <c r="BB194" i="20" s="1"/>
  <c r="G195" i="20"/>
  <c r="AM193" i="20"/>
  <c r="AW199" i="20"/>
  <c r="AL193" i="20"/>
  <c r="H193" i="20"/>
  <c r="A193" i="20"/>
  <c r="AG192" i="20"/>
  <c r="AH192" i="20"/>
  <c r="BD191" i="20"/>
  <c r="AL194" i="20" l="1"/>
  <c r="Y194" i="20"/>
  <c r="AC193" i="20"/>
  <c r="BC193" i="20"/>
  <c r="AE194" i="20"/>
  <c r="H194" i="20"/>
  <c r="A194" i="20"/>
  <c r="AG193" i="20"/>
  <c r="AH193" i="20"/>
  <c r="BD192" i="20"/>
  <c r="V195" i="20"/>
  <c r="X195" i="20" s="1"/>
  <c r="AV195" i="20"/>
  <c r="AX195" i="20" s="1"/>
  <c r="BB195" i="20" s="1"/>
  <c r="G196" i="20"/>
  <c r="AM194" i="20"/>
  <c r="AW200" i="20"/>
  <c r="Y195" i="20" l="1"/>
  <c r="AC194" i="20"/>
  <c r="V196" i="20"/>
  <c r="X196" i="20" s="1"/>
  <c r="G197" i="20"/>
  <c r="AV196" i="20"/>
  <c r="AX196" i="20" s="1"/>
  <c r="BB196" i="20" s="1"/>
  <c r="BC194" i="20"/>
  <c r="AE195" i="20"/>
  <c r="AM195" i="20"/>
  <c r="AH194" i="20"/>
  <c r="BD193" i="20"/>
  <c r="AW201" i="20"/>
  <c r="H195" i="20"/>
  <c r="AL195" i="20"/>
  <c r="A195" i="20"/>
  <c r="AG194" i="20"/>
  <c r="AL196" i="20" l="1"/>
  <c r="AH195" i="20"/>
  <c r="BD194" i="20"/>
  <c r="AW202" i="20"/>
  <c r="Y196" i="20"/>
  <c r="AC195" i="20"/>
  <c r="H196" i="20"/>
  <c r="A196" i="20"/>
  <c r="V197" i="20"/>
  <c r="X197" i="20" s="1"/>
  <c r="G198" i="20"/>
  <c r="AV197" i="20"/>
  <c r="AX197" i="20" s="1"/>
  <c r="BB197" i="20" s="1"/>
  <c r="AG195" i="20"/>
  <c r="BC195" i="20"/>
  <c r="AE196" i="20"/>
  <c r="AM196" i="20"/>
  <c r="AL197" i="20" l="1"/>
  <c r="AM197" i="20"/>
  <c r="V198" i="20"/>
  <c r="X198" i="20" s="1"/>
  <c r="G199" i="20"/>
  <c r="AV198" i="20"/>
  <c r="AX198" i="20" s="1"/>
  <c r="BB198" i="20" s="1"/>
  <c r="AG196" i="20"/>
  <c r="AW203" i="20"/>
  <c r="BD195" i="20"/>
  <c r="AH196" i="20"/>
  <c r="Y197" i="20"/>
  <c r="AC196" i="20"/>
  <c r="H197" i="20"/>
  <c r="BC196" i="20"/>
  <c r="AE197" i="20"/>
  <c r="A197" i="20"/>
  <c r="V199" i="20" l="1"/>
  <c r="X199" i="20" s="1"/>
  <c r="G200" i="20"/>
  <c r="AV199" i="20"/>
  <c r="AX199" i="20" s="1"/>
  <c r="BB199" i="20" s="1"/>
  <c r="AG197" i="20"/>
  <c r="AE198" i="20"/>
  <c r="BC197" i="20"/>
  <c r="AW204" i="20"/>
  <c r="AM198" i="20"/>
  <c r="AL198" i="20"/>
  <c r="BD196" i="20"/>
  <c r="AH197" i="20"/>
  <c r="A198" i="20"/>
  <c r="Y198" i="20"/>
  <c r="AC197" i="20"/>
  <c r="H198" i="20"/>
  <c r="A199" i="20" l="1"/>
  <c r="H199" i="20"/>
  <c r="AG198" i="20"/>
  <c r="BD197" i="20"/>
  <c r="AH198" i="20"/>
  <c r="BC198" i="20"/>
  <c r="AE199" i="20"/>
  <c r="Y199" i="20"/>
  <c r="AC198" i="20"/>
  <c r="AW205" i="20"/>
  <c r="V200" i="20"/>
  <c r="X200" i="20" s="1"/>
  <c r="G201" i="20"/>
  <c r="AV200" i="20"/>
  <c r="AX200" i="20" s="1"/>
  <c r="BB200" i="20" s="1"/>
  <c r="AM199" i="20"/>
  <c r="AL199" i="20"/>
  <c r="AM200" i="20" l="1"/>
  <c r="AL200" i="20"/>
  <c r="A200" i="20"/>
  <c r="AW206" i="20"/>
  <c r="Y200" i="20"/>
  <c r="AC199" i="20"/>
  <c r="H200" i="20"/>
  <c r="V201" i="20"/>
  <c r="X201" i="20" s="1"/>
  <c r="G202" i="20"/>
  <c r="AV201" i="20"/>
  <c r="AX201" i="20" s="1"/>
  <c r="BB201" i="20" s="1"/>
  <c r="AG199" i="20"/>
  <c r="AH199" i="20"/>
  <c r="BD198" i="20"/>
  <c r="AE200" i="20"/>
  <c r="BC199" i="20"/>
  <c r="AL201" i="20" l="1"/>
  <c r="A201" i="20"/>
  <c r="AW207" i="20"/>
  <c r="Y201" i="20"/>
  <c r="AC200" i="20"/>
  <c r="AE201" i="20"/>
  <c r="BC200" i="20"/>
  <c r="H201" i="20"/>
  <c r="G203" i="20"/>
  <c r="AV202" i="20"/>
  <c r="AX202" i="20" s="1"/>
  <c r="BB202" i="20" s="1"/>
  <c r="V202" i="20"/>
  <c r="X202" i="20" s="1"/>
  <c r="AH200" i="20"/>
  <c r="BD199" i="20"/>
  <c r="AG200" i="20"/>
  <c r="AM201" i="20"/>
  <c r="AL202" i="20" l="1"/>
  <c r="AM202" i="20"/>
  <c r="A202" i="20"/>
  <c r="G204" i="20"/>
  <c r="AV203" i="20"/>
  <c r="AX203" i="20" s="1"/>
  <c r="BB203" i="20" s="1"/>
  <c r="V203" i="20"/>
  <c r="X203" i="20" s="1"/>
  <c r="AW208" i="20"/>
  <c r="BD200" i="20"/>
  <c r="AH201" i="20"/>
  <c r="Y202" i="20"/>
  <c r="AC201" i="20"/>
  <c r="AG201" i="20"/>
  <c r="AE202" i="20"/>
  <c r="BC201" i="20"/>
  <c r="H202" i="20"/>
  <c r="AM203" i="20" l="1"/>
  <c r="A203" i="20"/>
  <c r="AG202" i="20"/>
  <c r="G205" i="20"/>
  <c r="AV204" i="20"/>
  <c r="AX204" i="20" s="1"/>
  <c r="BB204" i="20" s="1"/>
  <c r="V204" i="20"/>
  <c r="X204" i="20" s="1"/>
  <c r="AE203" i="20"/>
  <c r="BC202" i="20"/>
  <c r="AL203" i="20"/>
  <c r="AW209" i="20"/>
  <c r="H203" i="20"/>
  <c r="AH202" i="20"/>
  <c r="BD201" i="20"/>
  <c r="Y203" i="20"/>
  <c r="AC202" i="20"/>
  <c r="AM204" i="20" l="1"/>
  <c r="A204" i="20"/>
  <c r="AH203" i="20"/>
  <c r="BD202" i="20"/>
  <c r="AG203" i="20"/>
  <c r="AV205" i="20"/>
  <c r="AX205" i="20" s="1"/>
  <c r="BB205" i="20" s="1"/>
  <c r="V205" i="20"/>
  <c r="X205" i="20" s="1"/>
  <c r="G206" i="20"/>
  <c r="Y204" i="20"/>
  <c r="AC203" i="20"/>
  <c r="AE204" i="20"/>
  <c r="BC203" i="20"/>
  <c r="AL204" i="20"/>
  <c r="H204" i="20"/>
  <c r="AW210" i="20"/>
  <c r="AL205" i="20" l="1"/>
  <c r="AE205" i="20"/>
  <c r="BC204" i="20"/>
  <c r="A205" i="20"/>
  <c r="AH204" i="20"/>
  <c r="BD203" i="20"/>
  <c r="AG204" i="20"/>
  <c r="H205" i="20"/>
  <c r="AW211" i="20"/>
  <c r="AV206" i="20"/>
  <c r="AX206" i="20" s="1"/>
  <c r="BB206" i="20" s="1"/>
  <c r="G207" i="20"/>
  <c r="V206" i="20"/>
  <c r="X206" i="20" s="1"/>
  <c r="Y205" i="20"/>
  <c r="AC204" i="20"/>
  <c r="AM205" i="20"/>
  <c r="AV207" i="20" l="1"/>
  <c r="AX207" i="20" s="1"/>
  <c r="BB207" i="20" s="1"/>
  <c r="V207" i="20"/>
  <c r="X207" i="20" s="1"/>
  <c r="G208" i="20"/>
  <c r="A206" i="20"/>
  <c r="AW212" i="20"/>
  <c r="Y206" i="20"/>
  <c r="AC205" i="20"/>
  <c r="AH205" i="20"/>
  <c r="BD204" i="20"/>
  <c r="AE206" i="20"/>
  <c r="BC205" i="20"/>
  <c r="AG205" i="20"/>
  <c r="AM206" i="20"/>
  <c r="AL206" i="20"/>
  <c r="H206" i="20"/>
  <c r="G209" i="20" l="1"/>
  <c r="AV208" i="20"/>
  <c r="AX208" i="20" s="1"/>
  <c r="BB208" i="20" s="1"/>
  <c r="V208" i="20"/>
  <c r="X208" i="20" s="1"/>
  <c r="AG206" i="20"/>
  <c r="A207" i="20"/>
  <c r="AM207" i="20"/>
  <c r="AW213" i="20"/>
  <c r="AL207" i="20"/>
  <c r="Y207" i="20"/>
  <c r="AC206" i="20"/>
  <c r="H207" i="20"/>
  <c r="AH206" i="20"/>
  <c r="BD205" i="20"/>
  <c r="AE207" i="20"/>
  <c r="BC206" i="20"/>
  <c r="Y208" i="20" l="1"/>
  <c r="AC207" i="20"/>
  <c r="AV209" i="20"/>
  <c r="AX209" i="20" s="1"/>
  <c r="BB209" i="20" s="1"/>
  <c r="V209" i="20"/>
  <c r="X209" i="20" s="1"/>
  <c r="G210" i="20"/>
  <c r="H208" i="20"/>
  <c r="AH207" i="20"/>
  <c r="BD206" i="20"/>
  <c r="AG207" i="20"/>
  <c r="AE208" i="20"/>
  <c r="BC207" i="20"/>
  <c r="A208" i="20"/>
  <c r="AM208" i="20"/>
  <c r="AW214" i="20"/>
  <c r="AL208" i="20"/>
  <c r="AL209" i="20" l="1"/>
  <c r="AM209" i="20"/>
  <c r="Y209" i="20"/>
  <c r="AC208" i="20"/>
  <c r="A209" i="20"/>
  <c r="V210" i="20"/>
  <c r="X210" i="20" s="1"/>
  <c r="AV210" i="20"/>
  <c r="AX210" i="20" s="1"/>
  <c r="BB210" i="20" s="1"/>
  <c r="G211" i="20"/>
  <c r="BC208" i="20"/>
  <c r="AE209" i="20"/>
  <c r="H209" i="20"/>
  <c r="AW215" i="20"/>
  <c r="AG208" i="20"/>
  <c r="AH208" i="20"/>
  <c r="BD207" i="20"/>
  <c r="A210" i="20" l="1"/>
  <c r="V211" i="20"/>
  <c r="X211" i="20" s="1"/>
  <c r="G212" i="20"/>
  <c r="AV211" i="20"/>
  <c r="AX211" i="20" s="1"/>
  <c r="BB211" i="20" s="1"/>
  <c r="AG209" i="20"/>
  <c r="AM210" i="20"/>
  <c r="AW216" i="20"/>
  <c r="AH209" i="20"/>
  <c r="BD208" i="20"/>
  <c r="BC209" i="20"/>
  <c r="AE210" i="20"/>
  <c r="Y210" i="20"/>
  <c r="AC209" i="20"/>
  <c r="H210" i="20"/>
  <c r="AL210" i="20"/>
  <c r="AH210" i="20" l="1"/>
  <c r="BD209" i="20"/>
  <c r="BC210" i="20"/>
  <c r="AE211" i="20"/>
  <c r="A211" i="20"/>
  <c r="Y211" i="20"/>
  <c r="AC210" i="20"/>
  <c r="H211" i="20"/>
  <c r="V212" i="20"/>
  <c r="X212" i="20" s="1"/>
  <c r="AV212" i="20"/>
  <c r="AX212" i="20" s="1"/>
  <c r="BB212" i="20" s="1"/>
  <c r="G213" i="20"/>
  <c r="AG210" i="20"/>
  <c r="AL211" i="20"/>
  <c r="AM211" i="20"/>
  <c r="AW217" i="20"/>
  <c r="AH211" i="20" l="1"/>
  <c r="BD210" i="20"/>
  <c r="H212" i="20"/>
  <c r="V213" i="20"/>
  <c r="X213" i="20" s="1"/>
  <c r="G214" i="20"/>
  <c r="AV213" i="20"/>
  <c r="AX213" i="20" s="1"/>
  <c r="BB213" i="20" s="1"/>
  <c r="AG211" i="20"/>
  <c r="BC211" i="20"/>
  <c r="AE212" i="20"/>
  <c r="AL212" i="20"/>
  <c r="A212" i="20"/>
  <c r="AM212" i="20"/>
  <c r="AW218" i="20"/>
  <c r="Y212" i="20"/>
  <c r="AC211" i="20"/>
  <c r="AL213" i="20" l="1"/>
  <c r="AM213" i="20"/>
  <c r="BD211" i="20"/>
  <c r="AH212" i="20"/>
  <c r="A213" i="20"/>
  <c r="AW219" i="20"/>
  <c r="H213" i="20"/>
  <c r="Y213" i="20"/>
  <c r="AC212" i="20"/>
  <c r="V214" i="20"/>
  <c r="X214" i="20" s="1"/>
  <c r="G215" i="20"/>
  <c r="AV214" i="20"/>
  <c r="AX214" i="20" s="1"/>
  <c r="BB214" i="20" s="1"/>
  <c r="AG212" i="20"/>
  <c r="AE213" i="20"/>
  <c r="BC212" i="20"/>
  <c r="AM214" i="20" l="1"/>
  <c r="AL214" i="20"/>
  <c r="V215" i="20"/>
  <c r="X215" i="20" s="1"/>
  <c r="G216" i="20"/>
  <c r="AV215" i="20"/>
  <c r="AX215" i="20" s="1"/>
  <c r="BB215" i="20" s="1"/>
  <c r="BD212" i="20"/>
  <c r="AH213" i="20"/>
  <c r="A214" i="20"/>
  <c r="AG213" i="20"/>
  <c r="AW220" i="20"/>
  <c r="BC213" i="20"/>
  <c r="AE214" i="20"/>
  <c r="H214" i="20"/>
  <c r="Y214" i="20"/>
  <c r="AC213" i="20"/>
  <c r="AL215" i="20" l="1"/>
  <c r="AM215" i="20"/>
  <c r="V216" i="20"/>
  <c r="X216" i="20" s="1"/>
  <c r="G217" i="20"/>
  <c r="AV216" i="20"/>
  <c r="AX216" i="20" s="1"/>
  <c r="BB216" i="20" s="1"/>
  <c r="H215" i="20"/>
  <c r="Y215" i="20"/>
  <c r="AC214" i="20"/>
  <c r="A215" i="20"/>
  <c r="AE215" i="20"/>
  <c r="BC214" i="20"/>
  <c r="AG214" i="20"/>
  <c r="AH214" i="20"/>
  <c r="BD213" i="20"/>
  <c r="AW221" i="20"/>
  <c r="V217" i="20" l="1"/>
  <c r="X217" i="20" s="1"/>
  <c r="G218" i="20"/>
  <c r="AV217" i="20"/>
  <c r="AX217" i="20" s="1"/>
  <c r="BB217" i="20" s="1"/>
  <c r="AM216" i="20"/>
  <c r="AH215" i="20"/>
  <c r="BD214" i="20"/>
  <c r="H216" i="20"/>
  <c r="Y216" i="20"/>
  <c r="AC215" i="20"/>
  <c r="A216" i="20"/>
  <c r="AW222" i="20"/>
  <c r="AE216" i="20"/>
  <c r="BC215" i="20"/>
  <c r="AL216" i="20"/>
  <c r="AG215" i="20"/>
  <c r="AW223" i="20" l="1"/>
  <c r="AE217" i="20"/>
  <c r="BC216" i="20"/>
  <c r="AM217" i="20"/>
  <c r="BD215" i="20"/>
  <c r="AH216" i="20"/>
  <c r="AL217" i="20"/>
  <c r="H217" i="20"/>
  <c r="A217" i="20"/>
  <c r="AG216" i="20"/>
  <c r="Y217" i="20"/>
  <c r="AC216" i="20"/>
  <c r="G219" i="20"/>
  <c r="AV218" i="20"/>
  <c r="AX218" i="20" s="1"/>
  <c r="BB218" i="20" s="1"/>
  <c r="V218" i="20"/>
  <c r="X218" i="20" s="1"/>
  <c r="A218" i="20" l="1"/>
  <c r="AG217" i="20"/>
  <c r="AW224" i="20"/>
  <c r="Y218" i="20"/>
  <c r="AC217" i="20"/>
  <c r="AE218" i="20"/>
  <c r="BC217" i="20"/>
  <c r="G220" i="20"/>
  <c r="AV219" i="20"/>
  <c r="AX219" i="20" s="1"/>
  <c r="BB219" i="20" s="1"/>
  <c r="V219" i="20"/>
  <c r="X219" i="20" s="1"/>
  <c r="AM218" i="20"/>
  <c r="AH217" i="20"/>
  <c r="BD216" i="20"/>
  <c r="AL218" i="20"/>
  <c r="H218" i="20"/>
  <c r="AM219" i="20" l="1"/>
  <c r="AE219" i="20"/>
  <c r="BC218" i="20"/>
  <c r="G221" i="20"/>
  <c r="AV220" i="20"/>
  <c r="AX220" i="20" s="1"/>
  <c r="BB220" i="20" s="1"/>
  <c r="V220" i="20"/>
  <c r="X220" i="20" s="1"/>
  <c r="AG218" i="20"/>
  <c r="AH218" i="20"/>
  <c r="BD217" i="20"/>
  <c r="AW225" i="20"/>
  <c r="A219" i="20"/>
  <c r="Y219" i="20"/>
  <c r="AC218" i="20"/>
  <c r="AL219" i="20"/>
  <c r="H219" i="20"/>
  <c r="AL220" i="20" l="1"/>
  <c r="AW226" i="20"/>
  <c r="AE220" i="20"/>
  <c r="BC219" i="20"/>
  <c r="A220" i="20"/>
  <c r="Y220" i="20"/>
  <c r="AC219" i="20"/>
  <c r="AV221" i="20"/>
  <c r="AX221" i="20" s="1"/>
  <c r="BB221" i="20" s="1"/>
  <c r="G222" i="20"/>
  <c r="V221" i="20"/>
  <c r="X221" i="20" s="1"/>
  <c r="H220" i="20"/>
  <c r="AM220" i="20"/>
  <c r="AG219" i="20"/>
  <c r="AH219" i="20"/>
  <c r="BD218" i="20"/>
  <c r="AM221" i="20" l="1"/>
  <c r="AL221" i="20"/>
  <c r="BB222" i="20"/>
  <c r="AE221" i="20"/>
  <c r="BC220" i="20"/>
  <c r="A221" i="20"/>
  <c r="AW227" i="20"/>
  <c r="AG220" i="20"/>
  <c r="Y221" i="20"/>
  <c r="AC220" i="20"/>
  <c r="AH220" i="20"/>
  <c r="BD219" i="20"/>
  <c r="H221" i="20"/>
  <c r="AV222" i="20"/>
  <c r="AX222" i="20" s="1"/>
  <c r="G223" i="20"/>
  <c r="V222" i="20"/>
  <c r="X222" i="20" s="1"/>
  <c r="AL222" i="20" l="1"/>
  <c r="AE222" i="20"/>
  <c r="BC221" i="20"/>
  <c r="H222" i="20"/>
  <c r="V223" i="20"/>
  <c r="X223" i="20" s="1"/>
  <c r="AV223" i="20"/>
  <c r="AX223" i="20" s="1"/>
  <c r="BB223" i="20" s="1"/>
  <c r="G224" i="20"/>
  <c r="A222" i="20"/>
  <c r="AM222" i="20"/>
  <c r="AH221" i="20"/>
  <c r="BD220" i="20"/>
  <c r="AW228" i="20"/>
  <c r="AG221" i="20"/>
  <c r="Y222" i="20"/>
  <c r="AC221" i="20"/>
  <c r="AL223" i="20" l="1"/>
  <c r="AM223" i="20"/>
  <c r="A223" i="20"/>
  <c r="AH222" i="20"/>
  <c r="BD221" i="20"/>
  <c r="AW229" i="20"/>
  <c r="AE223" i="20"/>
  <c r="BC222" i="20"/>
  <c r="AG222" i="20"/>
  <c r="H223" i="20"/>
  <c r="Y223" i="20"/>
  <c r="AC222" i="20"/>
  <c r="V224" i="20"/>
  <c r="X224" i="20" s="1"/>
  <c r="AV224" i="20"/>
  <c r="AX224" i="20" s="1"/>
  <c r="BB224" i="20" s="1"/>
  <c r="G225" i="20"/>
  <c r="AM224" i="20" l="1"/>
  <c r="H224" i="20"/>
  <c r="Y224" i="20"/>
  <c r="AC223" i="20"/>
  <c r="AH223" i="20"/>
  <c r="BD222" i="20"/>
  <c r="AW230" i="20"/>
  <c r="AE224" i="20"/>
  <c r="BC223" i="20"/>
  <c r="AG223" i="20"/>
  <c r="V225" i="20"/>
  <c r="X225" i="20" s="1"/>
  <c r="G226" i="20"/>
  <c r="AV225" i="20"/>
  <c r="AX225" i="20" s="1"/>
  <c r="BB225" i="20" s="1"/>
  <c r="A224" i="20"/>
  <c r="AL224" i="20"/>
  <c r="AM225" i="20" l="1"/>
  <c r="H225" i="20"/>
  <c r="Y225" i="20"/>
  <c r="AC224" i="20"/>
  <c r="AG224" i="20"/>
  <c r="AH224" i="20"/>
  <c r="BD223" i="20"/>
  <c r="V226" i="20"/>
  <c r="X226" i="20" s="1"/>
  <c r="G227" i="20"/>
  <c r="AV226" i="20"/>
  <c r="AX226" i="20" s="1"/>
  <c r="BB226" i="20" s="1"/>
  <c r="A225" i="20"/>
  <c r="AL225" i="20"/>
  <c r="AW231" i="20"/>
  <c r="BC224" i="20"/>
  <c r="AE225" i="20"/>
  <c r="AM226" i="20" l="1"/>
  <c r="AL226" i="20"/>
  <c r="H226" i="20"/>
  <c r="A226" i="20"/>
  <c r="Y226" i="20"/>
  <c r="AC225" i="20"/>
  <c r="AW232" i="20"/>
  <c r="AG225" i="20"/>
  <c r="BC225" i="20"/>
  <c r="AE226" i="20"/>
  <c r="AH225" i="20"/>
  <c r="BD224" i="20"/>
  <c r="V227" i="20"/>
  <c r="X227" i="20" s="1"/>
  <c r="G228" i="20"/>
  <c r="AV227" i="20"/>
  <c r="AX227" i="20" s="1"/>
  <c r="BB227" i="20" s="1"/>
  <c r="AM227" i="20" l="1"/>
  <c r="AG226" i="20"/>
  <c r="BC226" i="20"/>
  <c r="AE227" i="20"/>
  <c r="AH226" i="20"/>
  <c r="BD225" i="20"/>
  <c r="A227" i="20"/>
  <c r="H227" i="20"/>
  <c r="Y227" i="20"/>
  <c r="AC226" i="20"/>
  <c r="V228" i="20"/>
  <c r="X228" i="20" s="1"/>
  <c r="G229" i="20"/>
  <c r="AV228" i="20"/>
  <c r="AX228" i="20" s="1"/>
  <c r="BB228" i="20" s="1"/>
  <c r="AL227" i="20"/>
  <c r="AW234" i="20"/>
  <c r="AW233" i="20"/>
  <c r="H228" i="20" l="1"/>
  <c r="AG227" i="20"/>
  <c r="Y228" i="20"/>
  <c r="AC227" i="20"/>
  <c r="V229" i="20"/>
  <c r="X229" i="20" s="1"/>
  <c r="G230" i="20"/>
  <c r="AV229" i="20"/>
  <c r="AX229" i="20" s="1"/>
  <c r="BB229" i="20" s="1"/>
  <c r="BC227" i="20"/>
  <c r="AE228" i="20"/>
  <c r="AH227" i="20"/>
  <c r="BD226" i="20"/>
  <c r="AL228" i="20"/>
  <c r="AM228" i="20"/>
  <c r="A228" i="20"/>
  <c r="AL229" i="20" l="1"/>
  <c r="AM229" i="20"/>
  <c r="AE229" i="20"/>
  <c r="BC228" i="20"/>
  <c r="AG228" i="20"/>
  <c r="BD227" i="20"/>
  <c r="AH228" i="20"/>
  <c r="Y229" i="20"/>
  <c r="AC228" i="20"/>
  <c r="A229" i="20"/>
  <c r="H229" i="20"/>
  <c r="V230" i="20"/>
  <c r="X230" i="20" s="1"/>
  <c r="G231" i="20"/>
  <c r="AV230" i="20"/>
  <c r="AX230" i="20" s="1"/>
  <c r="BB230" i="20" s="1"/>
  <c r="AE230" i="20" l="1"/>
  <c r="BC229" i="20"/>
  <c r="AG229" i="20"/>
  <c r="H230" i="20"/>
  <c r="BD228" i="20"/>
  <c r="AH229" i="20"/>
  <c r="Y230" i="20"/>
  <c r="AC229" i="20"/>
  <c r="V231" i="20"/>
  <c r="X231" i="20" s="1"/>
  <c r="G232" i="20"/>
  <c r="AV231" i="20"/>
  <c r="AX231" i="20" s="1"/>
  <c r="BB231" i="20" s="1"/>
  <c r="A230" i="20"/>
  <c r="AL230" i="20"/>
  <c r="AM230" i="20"/>
  <c r="V232" i="20" l="1"/>
  <c r="X232" i="20" s="1"/>
  <c r="G233" i="20"/>
  <c r="AV232" i="20"/>
  <c r="AX232" i="20" s="1"/>
  <c r="BB232" i="20" s="1"/>
  <c r="AE231" i="20"/>
  <c r="BC230" i="20"/>
  <c r="A231" i="20"/>
  <c r="AG230" i="20"/>
  <c r="AL231" i="20"/>
  <c r="AM231" i="20"/>
  <c r="H231" i="20"/>
  <c r="AH230" i="20"/>
  <c r="BD229" i="20"/>
  <c r="Y231" i="20"/>
  <c r="AC230" i="20"/>
  <c r="AL232" i="20" l="1"/>
  <c r="AM232" i="20"/>
  <c r="H232" i="20"/>
  <c r="V233" i="20"/>
  <c r="X233" i="20" s="1"/>
  <c r="G234" i="20"/>
  <c r="AV233" i="20"/>
  <c r="AX233" i="20" s="1"/>
  <c r="BB233" i="20" s="1"/>
  <c r="AH231" i="20"/>
  <c r="BD230" i="20"/>
  <c r="Y232" i="20"/>
  <c r="AC231" i="20"/>
  <c r="AE232" i="20"/>
  <c r="BC231" i="20"/>
  <c r="A232" i="20"/>
  <c r="AG231" i="20"/>
  <c r="AM233" i="20" l="1"/>
  <c r="AL233" i="20"/>
  <c r="H233" i="20"/>
  <c r="A233" i="20"/>
  <c r="AV234" i="20"/>
  <c r="AX234" i="20" s="1"/>
  <c r="BB234" i="20" s="1"/>
  <c r="V234" i="20"/>
  <c r="X234" i="20" s="1"/>
  <c r="AH232" i="20"/>
  <c r="BD231" i="20"/>
  <c r="AG232" i="20"/>
  <c r="Y233" i="20"/>
  <c r="AC232" i="20"/>
  <c r="AE233" i="20"/>
  <c r="BC232" i="20"/>
  <c r="A234" i="20" l="1"/>
  <c r="AM234" i="20"/>
  <c r="H234" i="20"/>
  <c r="AH233" i="20"/>
  <c r="BD232" i="20"/>
  <c r="AG233" i="20"/>
  <c r="AL234" i="20"/>
  <c r="Y234" i="20"/>
  <c r="AC234" i="20" s="1"/>
  <c r="AC233" i="20"/>
  <c r="AE234" i="20"/>
  <c r="BC233" i="20"/>
  <c r="AH234" i="20" l="1"/>
  <c r="BD234" i="20" s="1"/>
  <c r="BD233" i="20"/>
  <c r="AG234" i="20"/>
  <c r="BC234" i="20"/>
  <c r="C23" i="2" l="1"/>
  <c r="C26" i="2" l="1"/>
  <c r="F40" i="9"/>
  <c r="AV39" i="13"/>
  <c r="AV40" i="13"/>
  <c r="AV41" i="13"/>
  <c r="AV42" i="13"/>
  <c r="AV43" i="13"/>
  <c r="AV44" i="13"/>
  <c r="AV45" i="13"/>
  <c r="AV46" i="13"/>
  <c r="AV47" i="13"/>
  <c r="AV48" i="13"/>
  <c r="AV49" i="13"/>
  <c r="AV50" i="13"/>
  <c r="AV51" i="13"/>
  <c r="AV52" i="13"/>
  <c r="AV53" i="13"/>
  <c r="AV54" i="13"/>
  <c r="AV55" i="13"/>
  <c r="AV56" i="13"/>
  <c r="AV57" i="13"/>
  <c r="AV58" i="13"/>
  <c r="AV59" i="13"/>
  <c r="AV60" i="13"/>
  <c r="AV61" i="13"/>
  <c r="BC4" i="3" l="1"/>
  <c r="B38" i="4"/>
  <c r="F23" i="9"/>
  <c r="BB4" i="3" s="1"/>
  <c r="K6" i="3"/>
  <c r="K5" i="3"/>
  <c r="L5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95" i="3" s="1"/>
  <c r="K96" i="3" s="1"/>
  <c r="K97" i="3" s="1"/>
  <c r="K98" i="3" s="1"/>
  <c r="K99" i="3" s="1"/>
  <c r="K100" i="3" s="1"/>
  <c r="K101" i="3" s="1"/>
  <c r="K102" i="3" s="1"/>
  <c r="K103" i="3" s="1"/>
  <c r="K104" i="3" s="1"/>
  <c r="K105" i="3" s="1"/>
  <c r="K106" i="3" s="1"/>
  <c r="K107" i="3" s="1"/>
  <c r="K108" i="3" s="1"/>
  <c r="K109" i="3" s="1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 s="1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 s="1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 s="1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 s="1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 s="1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 s="1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 s="1"/>
  <c r="K204" i="3" s="1"/>
  <c r="K205" i="3" s="1"/>
  <c r="K206" i="3" s="1"/>
  <c r="K207" i="3" s="1"/>
  <c r="K208" i="3" s="1"/>
  <c r="K209" i="3" s="1"/>
  <c r="K210" i="3" s="1"/>
  <c r="K211" i="3" s="1"/>
  <c r="K212" i="3" s="1"/>
  <c r="K213" i="3" s="1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 s="1"/>
  <c r="K228" i="3" s="1"/>
  <c r="K229" i="3" s="1"/>
  <c r="K230" i="3" s="1"/>
  <c r="K231" i="3" s="1"/>
  <c r="K232" i="3" s="1"/>
  <c r="K233" i="3" s="1"/>
  <c r="K234" i="3" s="1"/>
  <c r="I7" i="3"/>
  <c r="I8" i="3" s="1"/>
  <c r="I9" i="3" s="1"/>
  <c r="I10" i="3" s="1"/>
  <c r="I11" i="3" s="1"/>
  <c r="I12" i="3" s="1"/>
  <c r="I13" i="3" s="1"/>
  <c r="I14" i="3" s="1"/>
  <c r="I15" i="3" s="1"/>
  <c r="I16" i="3" s="1"/>
  <c r="I17" i="3" s="1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I35" i="3" s="1"/>
  <c r="I36" i="3" s="1"/>
  <c r="I37" i="3" s="1"/>
  <c r="I38" i="3" s="1"/>
  <c r="I39" i="3" s="1"/>
  <c r="I40" i="3" s="1"/>
  <c r="I41" i="3" s="1"/>
  <c r="I42" i="3" s="1"/>
  <c r="I43" i="3" s="1"/>
  <c r="I44" i="3" s="1"/>
  <c r="I45" i="3" s="1"/>
  <c r="I46" i="3" s="1"/>
  <c r="I47" i="3" s="1"/>
  <c r="I48" i="3" s="1"/>
  <c r="I49" i="3" s="1"/>
  <c r="I50" i="3" s="1"/>
  <c r="I51" i="3" s="1"/>
  <c r="I52" i="3" s="1"/>
  <c r="I53" i="3" s="1"/>
  <c r="I54" i="3" s="1"/>
  <c r="I55" i="3" s="1"/>
  <c r="I56" i="3" s="1"/>
  <c r="I57" i="3" s="1"/>
  <c r="I58" i="3" s="1"/>
  <c r="I59" i="3" s="1"/>
  <c r="I60" i="3" s="1"/>
  <c r="I61" i="3" s="1"/>
  <c r="I62" i="3" s="1"/>
  <c r="I63" i="3" s="1"/>
  <c r="I64" i="3" s="1"/>
  <c r="I65" i="3" s="1"/>
  <c r="I66" i="3" s="1"/>
  <c r="I67" i="3" s="1"/>
  <c r="I68" i="3" s="1"/>
  <c r="I69" i="3" s="1"/>
  <c r="I70" i="3" s="1"/>
  <c r="I71" i="3" s="1"/>
  <c r="I72" i="3" s="1"/>
  <c r="I73" i="3" s="1"/>
  <c r="I74" i="3" s="1"/>
  <c r="I75" i="3" s="1"/>
  <c r="I76" i="3" s="1"/>
  <c r="I77" i="3" s="1"/>
  <c r="I78" i="3" s="1"/>
  <c r="I79" i="3" s="1"/>
  <c r="I80" i="3" s="1"/>
  <c r="I81" i="3" s="1"/>
  <c r="I82" i="3" s="1"/>
  <c r="I83" i="3" s="1"/>
  <c r="I84" i="3" s="1"/>
  <c r="I85" i="3" s="1"/>
  <c r="I86" i="3" s="1"/>
  <c r="I87" i="3" s="1"/>
  <c r="I88" i="3" s="1"/>
  <c r="I89" i="3" s="1"/>
  <c r="I90" i="3" s="1"/>
  <c r="I91" i="3" s="1"/>
  <c r="I92" i="3" s="1"/>
  <c r="I93" i="3" s="1"/>
  <c r="I94" i="3" s="1"/>
  <c r="I95" i="3" s="1"/>
  <c r="I96" i="3" s="1"/>
  <c r="I97" i="3" s="1"/>
  <c r="I98" i="3" s="1"/>
  <c r="I99" i="3" s="1"/>
  <c r="I100" i="3" s="1"/>
  <c r="I101" i="3" s="1"/>
  <c r="I102" i="3" s="1"/>
  <c r="I103" i="3" s="1"/>
  <c r="I104" i="3" s="1"/>
  <c r="I105" i="3" s="1"/>
  <c r="I106" i="3" s="1"/>
  <c r="I107" i="3" s="1"/>
  <c r="I108" i="3" s="1"/>
  <c r="I109" i="3" s="1"/>
  <c r="I110" i="3" s="1"/>
  <c r="I111" i="3" s="1"/>
  <c r="I112" i="3" s="1"/>
  <c r="I113" i="3" s="1"/>
  <c r="I114" i="3" s="1"/>
  <c r="I115" i="3" s="1"/>
  <c r="I116" i="3" s="1"/>
  <c r="I117" i="3" s="1"/>
  <c r="I118" i="3" s="1"/>
  <c r="I119" i="3" s="1"/>
  <c r="I120" i="3" s="1"/>
  <c r="I121" i="3" s="1"/>
  <c r="I122" i="3" s="1"/>
  <c r="I123" i="3" s="1"/>
  <c r="I124" i="3" s="1"/>
  <c r="I125" i="3" s="1"/>
  <c r="I126" i="3" s="1"/>
  <c r="I127" i="3" s="1"/>
  <c r="I128" i="3" s="1"/>
  <c r="I129" i="3" s="1"/>
  <c r="I130" i="3" s="1"/>
  <c r="I131" i="3" s="1"/>
  <c r="I132" i="3" s="1"/>
  <c r="I133" i="3" s="1"/>
  <c r="I134" i="3" s="1"/>
  <c r="I135" i="3" s="1"/>
  <c r="I136" i="3" s="1"/>
  <c r="I137" i="3" s="1"/>
  <c r="I138" i="3" s="1"/>
  <c r="I139" i="3" s="1"/>
  <c r="I140" i="3" s="1"/>
  <c r="I141" i="3" s="1"/>
  <c r="I142" i="3" s="1"/>
  <c r="I143" i="3" s="1"/>
  <c r="I144" i="3" s="1"/>
  <c r="I145" i="3" s="1"/>
  <c r="I146" i="3" s="1"/>
  <c r="I147" i="3" s="1"/>
  <c r="I148" i="3" s="1"/>
  <c r="I149" i="3" s="1"/>
  <c r="I150" i="3" s="1"/>
  <c r="I151" i="3" s="1"/>
  <c r="I152" i="3" s="1"/>
  <c r="I153" i="3" s="1"/>
  <c r="I154" i="3" s="1"/>
  <c r="I155" i="3" s="1"/>
  <c r="I156" i="3" s="1"/>
  <c r="I157" i="3" s="1"/>
  <c r="I158" i="3" s="1"/>
  <c r="I159" i="3" s="1"/>
  <c r="I160" i="3" s="1"/>
  <c r="I161" i="3" s="1"/>
  <c r="I162" i="3" s="1"/>
  <c r="I163" i="3" s="1"/>
  <c r="I164" i="3" s="1"/>
  <c r="I165" i="3" s="1"/>
  <c r="I166" i="3" s="1"/>
  <c r="I167" i="3" s="1"/>
  <c r="I168" i="3" s="1"/>
  <c r="I169" i="3" s="1"/>
  <c r="I170" i="3" s="1"/>
  <c r="I171" i="3" s="1"/>
  <c r="I172" i="3" s="1"/>
  <c r="I173" i="3" s="1"/>
  <c r="I174" i="3" s="1"/>
  <c r="I175" i="3" s="1"/>
  <c r="I176" i="3" s="1"/>
  <c r="I177" i="3" s="1"/>
  <c r="I178" i="3" s="1"/>
  <c r="I179" i="3" s="1"/>
  <c r="I180" i="3" s="1"/>
  <c r="I181" i="3" s="1"/>
  <c r="I182" i="3" s="1"/>
  <c r="I183" i="3" s="1"/>
  <c r="I184" i="3" s="1"/>
  <c r="I185" i="3" s="1"/>
  <c r="I186" i="3" s="1"/>
  <c r="I187" i="3" s="1"/>
  <c r="I188" i="3" s="1"/>
  <c r="I189" i="3" s="1"/>
  <c r="I190" i="3" s="1"/>
  <c r="I191" i="3" s="1"/>
  <c r="I192" i="3" s="1"/>
  <c r="I193" i="3" s="1"/>
  <c r="I194" i="3" s="1"/>
  <c r="I195" i="3" s="1"/>
  <c r="I196" i="3" s="1"/>
  <c r="I197" i="3" s="1"/>
  <c r="I198" i="3" s="1"/>
  <c r="I199" i="3" s="1"/>
  <c r="I200" i="3" s="1"/>
  <c r="I201" i="3" s="1"/>
  <c r="I202" i="3" s="1"/>
  <c r="I203" i="3" s="1"/>
  <c r="I204" i="3" s="1"/>
  <c r="I205" i="3" s="1"/>
  <c r="I206" i="3" s="1"/>
  <c r="I207" i="3" s="1"/>
  <c r="I208" i="3" s="1"/>
  <c r="I209" i="3" s="1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I227" i="3" s="1"/>
  <c r="I228" i="3" s="1"/>
  <c r="I229" i="3" s="1"/>
  <c r="I230" i="3" s="1"/>
  <c r="I231" i="3" s="1"/>
  <c r="I232" i="3" s="1"/>
  <c r="I233" i="3" s="1"/>
  <c r="I234" i="3" s="1"/>
  <c r="I6" i="3"/>
  <c r="I5" i="3"/>
  <c r="J5" i="3" s="1"/>
  <c r="G7" i="3"/>
  <c r="V7" i="3" s="1"/>
  <c r="X7" i="3" s="1"/>
  <c r="G6" i="3"/>
  <c r="AV6" i="3" s="1"/>
  <c r="G5" i="3"/>
  <c r="H5" i="3" s="1"/>
  <c r="A5" i="3"/>
  <c r="C17" i="9"/>
  <c r="C15" i="9"/>
  <c r="C14" i="9"/>
  <c r="C13" i="9"/>
  <c r="C12" i="9"/>
  <c r="C11" i="9"/>
  <c r="F37" i="12" s="1"/>
  <c r="C37" i="9"/>
  <c r="C19" i="9"/>
  <c r="AV61" i="12"/>
  <c r="AV60" i="12"/>
  <c r="AV59" i="12"/>
  <c r="AV58" i="12"/>
  <c r="AV57" i="12"/>
  <c r="AV56" i="12"/>
  <c r="AV55" i="12"/>
  <c r="AV54" i="12"/>
  <c r="AV53" i="12"/>
  <c r="AV52" i="12"/>
  <c r="AV51" i="12"/>
  <c r="AV50" i="12"/>
  <c r="AV49" i="12"/>
  <c r="AV48" i="12"/>
  <c r="AV47" i="12"/>
  <c r="AV46" i="12"/>
  <c r="AV45" i="12"/>
  <c r="AV44" i="12"/>
  <c r="AV43" i="12"/>
  <c r="AV42" i="12"/>
  <c r="AV41" i="12"/>
  <c r="AV40" i="12"/>
  <c r="AV39" i="12"/>
  <c r="AV38" i="12"/>
  <c r="AV37" i="12"/>
  <c r="AV29" i="12"/>
  <c r="AV28" i="12"/>
  <c r="AV27" i="12"/>
  <c r="AV26" i="12"/>
  <c r="AV25" i="12"/>
  <c r="AV24" i="12"/>
  <c r="AV23" i="12"/>
  <c r="AV22" i="12"/>
  <c r="AV21" i="12"/>
  <c r="AV20" i="12"/>
  <c r="AV19" i="12"/>
  <c r="AV18" i="12"/>
  <c r="AV17" i="12"/>
  <c r="AV16" i="12"/>
  <c r="AV15" i="12"/>
  <c r="AV14" i="12"/>
  <c r="AV13" i="12"/>
  <c r="AV12" i="12"/>
  <c r="AV11" i="12"/>
  <c r="AV10" i="12"/>
  <c r="AV9" i="12"/>
  <c r="AV8" i="12"/>
  <c r="AV7" i="12"/>
  <c r="AV6" i="12"/>
  <c r="AV5" i="12"/>
  <c r="AV38" i="13"/>
  <c r="AV19" i="15"/>
  <c r="AV20" i="15" s="1"/>
  <c r="AV21" i="15" s="1"/>
  <c r="AV22" i="15" s="1"/>
  <c r="AV23" i="15" s="1"/>
  <c r="AV24" i="15" s="1"/>
  <c r="AV25" i="15" s="1"/>
  <c r="AV26" i="15" s="1"/>
  <c r="AV27" i="15" s="1"/>
  <c r="AV28" i="15" s="1"/>
  <c r="AV29" i="15" s="1"/>
  <c r="AV30" i="15" s="1"/>
  <c r="AV31" i="15" s="1"/>
  <c r="AV32" i="15" s="1"/>
  <c r="AV33" i="15" s="1"/>
  <c r="AV34" i="15" s="1"/>
  <c r="AV35" i="15" s="1"/>
  <c r="AV36" i="15" s="1"/>
  <c r="AV37" i="15" s="1"/>
  <c r="AV38" i="15" s="1"/>
  <c r="AV39" i="15" s="1"/>
  <c r="AV40" i="15" s="1"/>
  <c r="AV41" i="15" s="1"/>
  <c r="AV42" i="15" s="1"/>
  <c r="AV43" i="15" s="1"/>
  <c r="AV44" i="15" s="1"/>
  <c r="AV45" i="15" s="1"/>
  <c r="AV46" i="15" s="1"/>
  <c r="AV47" i="15" s="1"/>
  <c r="AV48" i="15" s="1"/>
  <c r="AV49" i="15" s="1"/>
  <c r="AV50" i="15" s="1"/>
  <c r="AV51" i="15" s="1"/>
  <c r="AV52" i="15" s="1"/>
  <c r="AV53" i="15" s="1"/>
  <c r="AV54" i="15" s="1"/>
  <c r="AV55" i="15" s="1"/>
  <c r="AV56" i="15" s="1"/>
  <c r="AV57" i="15" s="1"/>
  <c r="AV58" i="15" s="1"/>
  <c r="AV59" i="15" s="1"/>
  <c r="AV60" i="15" s="1"/>
  <c r="AV61" i="15" s="1"/>
  <c r="AV62" i="15" s="1"/>
  <c r="AV63" i="15" s="1"/>
  <c r="AV64" i="15" s="1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AV79" i="15" s="1"/>
  <c r="AV80" i="15" s="1"/>
  <c r="AV81" i="15" s="1"/>
  <c r="AV82" i="15" s="1"/>
  <c r="AV83" i="15" s="1"/>
  <c r="AV84" i="15" s="1"/>
  <c r="AV85" i="15" s="1"/>
  <c r="AV86" i="15" s="1"/>
  <c r="AV87" i="15" s="1"/>
  <c r="AV88" i="15" s="1"/>
  <c r="AV89" i="15" s="1"/>
  <c r="AV90" i="15" s="1"/>
  <c r="AV91" i="15" s="1"/>
  <c r="AV92" i="15" s="1"/>
  <c r="AV93" i="15" s="1"/>
  <c r="AV94" i="15" s="1"/>
  <c r="AV95" i="15" s="1"/>
  <c r="AV96" i="15" s="1"/>
  <c r="AV97" i="15" s="1"/>
  <c r="AV98" i="15" s="1"/>
  <c r="AV99" i="15" s="1"/>
  <c r="AV100" i="15" s="1"/>
  <c r="AV101" i="15" s="1"/>
  <c r="AV102" i="15" s="1"/>
  <c r="AV103" i="15" s="1"/>
  <c r="AV104" i="15" s="1"/>
  <c r="AV105" i="15" s="1"/>
  <c r="AV106" i="15" s="1"/>
  <c r="AV107" i="15" s="1"/>
  <c r="AV108" i="15" s="1"/>
  <c r="AV109" i="15" s="1"/>
  <c r="AV110" i="15" s="1"/>
  <c r="AV111" i="15" s="1"/>
  <c r="AV112" i="15" s="1"/>
  <c r="AV113" i="15" s="1"/>
  <c r="AV114" i="15" s="1"/>
  <c r="AV115" i="15" s="1"/>
  <c r="AV116" i="15" s="1"/>
  <c r="AV117" i="15" s="1"/>
  <c r="AV118" i="15" s="1"/>
  <c r="AV119" i="15" s="1"/>
  <c r="AV120" i="15" s="1"/>
  <c r="AV121" i="15" s="1"/>
  <c r="AV122" i="15" s="1"/>
  <c r="AV123" i="15" s="1"/>
  <c r="AV124" i="15" s="1"/>
  <c r="AV125" i="15" s="1"/>
  <c r="AV126" i="15" s="1"/>
  <c r="AV127" i="15" s="1"/>
  <c r="AV128" i="15" s="1"/>
  <c r="AV129" i="15" s="1"/>
  <c r="AV130" i="15" s="1"/>
  <c r="AV131" i="15" s="1"/>
  <c r="AV132" i="15" s="1"/>
  <c r="AV133" i="15" s="1"/>
  <c r="AV134" i="15" s="1"/>
  <c r="AV135" i="15" s="1"/>
  <c r="AV136" i="15" s="1"/>
  <c r="AV137" i="15" s="1"/>
  <c r="AV138" i="15" s="1"/>
  <c r="AV139" i="15" s="1"/>
  <c r="AV140" i="15" s="1"/>
  <c r="AV141" i="15" s="1"/>
  <c r="AV142" i="15" s="1"/>
  <c r="AV143" i="15" s="1"/>
  <c r="AV144" i="15" s="1"/>
  <c r="AV145" i="15" s="1"/>
  <c r="AV146" i="15" s="1"/>
  <c r="AV147" i="15" s="1"/>
  <c r="AV148" i="15" s="1"/>
  <c r="AV149" i="15" s="1"/>
  <c r="AV150" i="15" s="1"/>
  <c r="AV151" i="15" s="1"/>
  <c r="AV152" i="15" s="1"/>
  <c r="AV153" i="15" s="1"/>
  <c r="AV154" i="15" s="1"/>
  <c r="AV155" i="15" s="1"/>
  <c r="AV156" i="15" s="1"/>
  <c r="AV157" i="15" s="1"/>
  <c r="AV158" i="15" s="1"/>
  <c r="AV159" i="15" s="1"/>
  <c r="AV160" i="15" s="1"/>
  <c r="AV161" i="15" s="1"/>
  <c r="AV162" i="15" s="1"/>
  <c r="AV163" i="15" s="1"/>
  <c r="AV164" i="15" s="1"/>
  <c r="AV165" i="15" s="1"/>
  <c r="AV166" i="15" s="1"/>
  <c r="AV167" i="15" s="1"/>
  <c r="AV168" i="15" s="1"/>
  <c r="AV169" i="15" s="1"/>
  <c r="AV170" i="15" s="1"/>
  <c r="AV171" i="15" s="1"/>
  <c r="AV172" i="15" s="1"/>
  <c r="AV173" i="15" s="1"/>
  <c r="AV174" i="15" s="1"/>
  <c r="AV175" i="15" s="1"/>
  <c r="AV176" i="15" s="1"/>
  <c r="AV177" i="15" s="1"/>
  <c r="AV178" i="15" s="1"/>
  <c r="AV179" i="15" s="1"/>
  <c r="AV180" i="15" s="1"/>
  <c r="AV181" i="15" s="1"/>
  <c r="AV182" i="15" s="1"/>
  <c r="AV183" i="15" s="1"/>
  <c r="AV184" i="15" s="1"/>
  <c r="AV185" i="15" s="1"/>
  <c r="AV186" i="15" s="1"/>
  <c r="AV187" i="15" s="1"/>
  <c r="AV188" i="15" s="1"/>
  <c r="AV189" i="15" s="1"/>
  <c r="AV190" i="15" s="1"/>
  <c r="AV191" i="15" s="1"/>
  <c r="AV192" i="15" s="1"/>
  <c r="AV193" i="15" s="1"/>
  <c r="AV194" i="15" s="1"/>
  <c r="AV195" i="15" s="1"/>
  <c r="AV196" i="15" s="1"/>
  <c r="AV197" i="15" s="1"/>
  <c r="AV198" i="15" s="1"/>
  <c r="AV199" i="15" s="1"/>
  <c r="AV200" i="15" s="1"/>
  <c r="AV201" i="15" s="1"/>
  <c r="AV202" i="15" s="1"/>
  <c r="AV203" i="15" s="1"/>
  <c r="AV204" i="15" s="1"/>
  <c r="AV205" i="15" s="1"/>
  <c r="AV206" i="15" s="1"/>
  <c r="AV207" i="15" s="1"/>
  <c r="AV208" i="15" s="1"/>
  <c r="AV209" i="15" s="1"/>
  <c r="AV210" i="15" s="1"/>
  <c r="AV211" i="15" s="1"/>
  <c r="AV212" i="15" s="1"/>
  <c r="AV213" i="15" s="1"/>
  <c r="AV214" i="15" s="1"/>
  <c r="AV215" i="15" s="1"/>
  <c r="AV216" i="15" s="1"/>
  <c r="AV217" i="15" s="1"/>
  <c r="AV218" i="15" s="1"/>
  <c r="AV219" i="15" s="1"/>
  <c r="AV220" i="15" s="1"/>
  <c r="AV221" i="15" s="1"/>
  <c r="AV222" i="15" s="1"/>
  <c r="AV223" i="15" s="1"/>
  <c r="AV224" i="15" s="1"/>
  <c r="AV225" i="15" s="1"/>
  <c r="AV226" i="15" s="1"/>
  <c r="AV227" i="15" s="1"/>
  <c r="AV228" i="15" s="1"/>
  <c r="AV229" i="15" s="1"/>
  <c r="AV230" i="15" s="1"/>
  <c r="AV231" i="15" s="1"/>
  <c r="AV232" i="15" s="1"/>
  <c r="AV233" i="15" s="1"/>
  <c r="AV234" i="15" s="1"/>
  <c r="AV18" i="15"/>
  <c r="AV17" i="15"/>
  <c r="AV16" i="15"/>
  <c r="AV15" i="15"/>
  <c r="AV14" i="15"/>
  <c r="AV13" i="15"/>
  <c r="AV12" i="15"/>
  <c r="AV11" i="15"/>
  <c r="AV10" i="15"/>
  <c r="AV9" i="15"/>
  <c r="AV8" i="15"/>
  <c r="AV7" i="15"/>
  <c r="AV6" i="15"/>
  <c r="AV5" i="15"/>
  <c r="AV19" i="16"/>
  <c r="AV20" i="16" s="1"/>
  <c r="AV21" i="16" s="1"/>
  <c r="AV22" i="16" s="1"/>
  <c r="AV23" i="16" s="1"/>
  <c r="AV24" i="16" s="1"/>
  <c r="AV25" i="16" s="1"/>
  <c r="AV26" i="16" s="1"/>
  <c r="AV27" i="16" s="1"/>
  <c r="AV28" i="16" s="1"/>
  <c r="AV29" i="16" s="1"/>
  <c r="AV30" i="16" s="1"/>
  <c r="AV31" i="16" s="1"/>
  <c r="AV32" i="16" s="1"/>
  <c r="AV33" i="16" s="1"/>
  <c r="AV34" i="16" s="1"/>
  <c r="AV35" i="16" s="1"/>
  <c r="AV36" i="16" s="1"/>
  <c r="AV37" i="16" s="1"/>
  <c r="AV38" i="16" s="1"/>
  <c r="AV39" i="16" s="1"/>
  <c r="AV40" i="16" s="1"/>
  <c r="AV41" i="16" s="1"/>
  <c r="AV42" i="16" s="1"/>
  <c r="AV43" i="16" s="1"/>
  <c r="AV44" i="16" s="1"/>
  <c r="AV45" i="16" s="1"/>
  <c r="AV46" i="16" s="1"/>
  <c r="AV47" i="16" s="1"/>
  <c r="AV48" i="16" s="1"/>
  <c r="AV49" i="16" s="1"/>
  <c r="AV50" i="16" s="1"/>
  <c r="AV51" i="16" s="1"/>
  <c r="AV52" i="16" s="1"/>
  <c r="AV53" i="16" s="1"/>
  <c r="AV54" i="16" s="1"/>
  <c r="AV55" i="16" s="1"/>
  <c r="AV56" i="16" s="1"/>
  <c r="AV57" i="16" s="1"/>
  <c r="AV58" i="16" s="1"/>
  <c r="AV59" i="16" s="1"/>
  <c r="AV60" i="16" s="1"/>
  <c r="AV61" i="16" s="1"/>
  <c r="AV62" i="16" s="1"/>
  <c r="AV63" i="16" s="1"/>
  <c r="AV64" i="16" s="1"/>
  <c r="AV65" i="16" s="1"/>
  <c r="AV66" i="16" s="1"/>
  <c r="AV67" i="16" s="1"/>
  <c r="AV68" i="16" s="1"/>
  <c r="AV69" i="16" s="1"/>
  <c r="AV70" i="16" s="1"/>
  <c r="AV71" i="16" s="1"/>
  <c r="AV72" i="16" s="1"/>
  <c r="AV73" i="16" s="1"/>
  <c r="AV74" i="16" s="1"/>
  <c r="AV75" i="16" s="1"/>
  <c r="AV76" i="16" s="1"/>
  <c r="AV77" i="16" s="1"/>
  <c r="AV78" i="16" s="1"/>
  <c r="AV79" i="16" s="1"/>
  <c r="AV80" i="16" s="1"/>
  <c r="AV81" i="16" s="1"/>
  <c r="AV82" i="16" s="1"/>
  <c r="AV83" i="16" s="1"/>
  <c r="AV84" i="16" s="1"/>
  <c r="AV85" i="16" s="1"/>
  <c r="AV86" i="16" s="1"/>
  <c r="AV87" i="16" s="1"/>
  <c r="AV88" i="16" s="1"/>
  <c r="AV89" i="16" s="1"/>
  <c r="AV90" i="16" s="1"/>
  <c r="AV91" i="16" s="1"/>
  <c r="AV92" i="16" s="1"/>
  <c r="AV93" i="16" s="1"/>
  <c r="AV94" i="16" s="1"/>
  <c r="AV95" i="16" s="1"/>
  <c r="AV96" i="16" s="1"/>
  <c r="AV97" i="16" s="1"/>
  <c r="AV98" i="16" s="1"/>
  <c r="AV99" i="16" s="1"/>
  <c r="AV100" i="16" s="1"/>
  <c r="AV101" i="16" s="1"/>
  <c r="AV102" i="16" s="1"/>
  <c r="AV103" i="16" s="1"/>
  <c r="AV104" i="16" s="1"/>
  <c r="AV105" i="16" s="1"/>
  <c r="AV106" i="16" s="1"/>
  <c r="AV107" i="16" s="1"/>
  <c r="AV108" i="16" s="1"/>
  <c r="AV109" i="16" s="1"/>
  <c r="AV110" i="16" s="1"/>
  <c r="AV111" i="16" s="1"/>
  <c r="AV112" i="16" s="1"/>
  <c r="AV113" i="16" s="1"/>
  <c r="AV114" i="16" s="1"/>
  <c r="AV115" i="16" s="1"/>
  <c r="AV116" i="16" s="1"/>
  <c r="AV117" i="16" s="1"/>
  <c r="AV118" i="16" s="1"/>
  <c r="AV119" i="16" s="1"/>
  <c r="AV120" i="16" s="1"/>
  <c r="AV121" i="16" s="1"/>
  <c r="AV122" i="16" s="1"/>
  <c r="AV123" i="16" s="1"/>
  <c r="AV124" i="16" s="1"/>
  <c r="AV125" i="16" s="1"/>
  <c r="AV126" i="16" s="1"/>
  <c r="AV127" i="16" s="1"/>
  <c r="AV128" i="16" s="1"/>
  <c r="AV129" i="16" s="1"/>
  <c r="AV130" i="16" s="1"/>
  <c r="AV131" i="16" s="1"/>
  <c r="AV132" i="16" s="1"/>
  <c r="AV133" i="16" s="1"/>
  <c r="AV134" i="16" s="1"/>
  <c r="AV135" i="16" s="1"/>
  <c r="AV136" i="16" s="1"/>
  <c r="AV137" i="16" s="1"/>
  <c r="AV138" i="16" s="1"/>
  <c r="AV139" i="16" s="1"/>
  <c r="AV140" i="16" s="1"/>
  <c r="AV141" i="16" s="1"/>
  <c r="AV142" i="16" s="1"/>
  <c r="AV143" i="16" s="1"/>
  <c r="AV144" i="16" s="1"/>
  <c r="AV145" i="16" s="1"/>
  <c r="AV146" i="16" s="1"/>
  <c r="AV147" i="16" s="1"/>
  <c r="AV148" i="16" s="1"/>
  <c r="AV149" i="16" s="1"/>
  <c r="AV150" i="16" s="1"/>
  <c r="AV151" i="16" s="1"/>
  <c r="AV152" i="16" s="1"/>
  <c r="AV153" i="16" s="1"/>
  <c r="AV154" i="16" s="1"/>
  <c r="AV155" i="16" s="1"/>
  <c r="AV156" i="16" s="1"/>
  <c r="AV157" i="16" s="1"/>
  <c r="AV158" i="16" s="1"/>
  <c r="AV159" i="16" s="1"/>
  <c r="AV160" i="16" s="1"/>
  <c r="AV161" i="16" s="1"/>
  <c r="AV162" i="16" s="1"/>
  <c r="AV163" i="16" s="1"/>
  <c r="AV164" i="16" s="1"/>
  <c r="AV165" i="16" s="1"/>
  <c r="AV166" i="16" s="1"/>
  <c r="AV167" i="16" s="1"/>
  <c r="AV168" i="16" s="1"/>
  <c r="AV169" i="16" s="1"/>
  <c r="AV170" i="16" s="1"/>
  <c r="AV171" i="16" s="1"/>
  <c r="AV172" i="16" s="1"/>
  <c r="AV173" i="16" s="1"/>
  <c r="AV174" i="16" s="1"/>
  <c r="AV175" i="16" s="1"/>
  <c r="AV176" i="16" s="1"/>
  <c r="AV177" i="16" s="1"/>
  <c r="AV178" i="16" s="1"/>
  <c r="AV179" i="16" s="1"/>
  <c r="AV180" i="16" s="1"/>
  <c r="AV181" i="16" s="1"/>
  <c r="AV182" i="16" s="1"/>
  <c r="AV183" i="16" s="1"/>
  <c r="AV184" i="16" s="1"/>
  <c r="AV185" i="16" s="1"/>
  <c r="AV186" i="16" s="1"/>
  <c r="AV187" i="16" s="1"/>
  <c r="AV188" i="16" s="1"/>
  <c r="AV189" i="16" s="1"/>
  <c r="AV190" i="16" s="1"/>
  <c r="AV191" i="16" s="1"/>
  <c r="AV192" i="16" s="1"/>
  <c r="AV193" i="16" s="1"/>
  <c r="AV194" i="16" s="1"/>
  <c r="AV195" i="16" s="1"/>
  <c r="AV196" i="16" s="1"/>
  <c r="AV197" i="16" s="1"/>
  <c r="AV198" i="16" s="1"/>
  <c r="AV199" i="16" s="1"/>
  <c r="AV200" i="16" s="1"/>
  <c r="AV201" i="16" s="1"/>
  <c r="AV202" i="16" s="1"/>
  <c r="AV203" i="16" s="1"/>
  <c r="AV204" i="16" s="1"/>
  <c r="AV205" i="16" s="1"/>
  <c r="AV206" i="16" s="1"/>
  <c r="AV207" i="16" s="1"/>
  <c r="AV208" i="16" s="1"/>
  <c r="AV209" i="16" s="1"/>
  <c r="AV210" i="16" s="1"/>
  <c r="AV211" i="16" s="1"/>
  <c r="AV212" i="16" s="1"/>
  <c r="AV213" i="16" s="1"/>
  <c r="AV214" i="16" s="1"/>
  <c r="AV215" i="16" s="1"/>
  <c r="AV216" i="16" s="1"/>
  <c r="AV217" i="16" s="1"/>
  <c r="AV218" i="16" s="1"/>
  <c r="AV219" i="16" s="1"/>
  <c r="AV220" i="16" s="1"/>
  <c r="AV221" i="16" s="1"/>
  <c r="AV222" i="16" s="1"/>
  <c r="AV223" i="16" s="1"/>
  <c r="AV224" i="16" s="1"/>
  <c r="AV225" i="16" s="1"/>
  <c r="AV226" i="16" s="1"/>
  <c r="AV227" i="16" s="1"/>
  <c r="AV228" i="16" s="1"/>
  <c r="AV229" i="16" s="1"/>
  <c r="AV230" i="16" s="1"/>
  <c r="AV231" i="16" s="1"/>
  <c r="AV232" i="16" s="1"/>
  <c r="AV233" i="16" s="1"/>
  <c r="AV234" i="16" s="1"/>
  <c r="AV18" i="16"/>
  <c r="AV17" i="16"/>
  <c r="AV16" i="16"/>
  <c r="AV15" i="16"/>
  <c r="AV14" i="16"/>
  <c r="AV13" i="16"/>
  <c r="AV12" i="16"/>
  <c r="AV11" i="16"/>
  <c r="AV10" i="16"/>
  <c r="AV9" i="16"/>
  <c r="AV8" i="16"/>
  <c r="AV7" i="16"/>
  <c r="AV6" i="16"/>
  <c r="AV5" i="16"/>
  <c r="AV19" i="17"/>
  <c r="AV20" i="17" s="1"/>
  <c r="AV21" i="17" s="1"/>
  <c r="AV22" i="17" s="1"/>
  <c r="AV23" i="17" s="1"/>
  <c r="AV24" i="17" s="1"/>
  <c r="AV25" i="17" s="1"/>
  <c r="AV26" i="17" s="1"/>
  <c r="AV27" i="17" s="1"/>
  <c r="AV28" i="17" s="1"/>
  <c r="AV29" i="17" s="1"/>
  <c r="AV30" i="17" s="1"/>
  <c r="AV31" i="17" s="1"/>
  <c r="AV32" i="17" s="1"/>
  <c r="AV33" i="17" s="1"/>
  <c r="AV34" i="17" s="1"/>
  <c r="AV35" i="17" s="1"/>
  <c r="AV36" i="17" s="1"/>
  <c r="AV37" i="17" s="1"/>
  <c r="AV38" i="17" s="1"/>
  <c r="AV39" i="17" s="1"/>
  <c r="AV40" i="17" s="1"/>
  <c r="AV41" i="17" s="1"/>
  <c r="AV42" i="17" s="1"/>
  <c r="AV43" i="17" s="1"/>
  <c r="AV44" i="17" s="1"/>
  <c r="AV45" i="17" s="1"/>
  <c r="AV46" i="17" s="1"/>
  <c r="AV47" i="17" s="1"/>
  <c r="AV48" i="17" s="1"/>
  <c r="AV49" i="17" s="1"/>
  <c r="AV50" i="17" s="1"/>
  <c r="AV51" i="17" s="1"/>
  <c r="AV52" i="17" s="1"/>
  <c r="AV53" i="17" s="1"/>
  <c r="AV54" i="17" s="1"/>
  <c r="AV55" i="17" s="1"/>
  <c r="AV56" i="17" s="1"/>
  <c r="AV57" i="17" s="1"/>
  <c r="AV58" i="17" s="1"/>
  <c r="AV59" i="17" s="1"/>
  <c r="AV60" i="17" s="1"/>
  <c r="AV61" i="17" s="1"/>
  <c r="AV62" i="17" s="1"/>
  <c r="AV63" i="17" s="1"/>
  <c r="AV64" i="17" s="1"/>
  <c r="AV65" i="17" s="1"/>
  <c r="AV66" i="17" s="1"/>
  <c r="AV67" i="17" s="1"/>
  <c r="AV68" i="17" s="1"/>
  <c r="AV69" i="17" s="1"/>
  <c r="AV70" i="17" s="1"/>
  <c r="AV71" i="17" s="1"/>
  <c r="AV72" i="17" s="1"/>
  <c r="AV73" i="17" s="1"/>
  <c r="AV74" i="17" s="1"/>
  <c r="AV75" i="17" s="1"/>
  <c r="AV76" i="17" s="1"/>
  <c r="AV77" i="17" s="1"/>
  <c r="AV78" i="17" s="1"/>
  <c r="AV79" i="17" s="1"/>
  <c r="AV80" i="17" s="1"/>
  <c r="AV81" i="17" s="1"/>
  <c r="AV82" i="17" s="1"/>
  <c r="AV83" i="17" s="1"/>
  <c r="AV84" i="17" s="1"/>
  <c r="AV85" i="17" s="1"/>
  <c r="AV86" i="17" s="1"/>
  <c r="AV87" i="17" s="1"/>
  <c r="AV88" i="17" s="1"/>
  <c r="AV89" i="17" s="1"/>
  <c r="AV90" i="17" s="1"/>
  <c r="AV91" i="17" s="1"/>
  <c r="AV92" i="17" s="1"/>
  <c r="AV93" i="17" s="1"/>
  <c r="AV94" i="17" s="1"/>
  <c r="AV95" i="17" s="1"/>
  <c r="AV96" i="17" s="1"/>
  <c r="AV97" i="17" s="1"/>
  <c r="AV98" i="17" s="1"/>
  <c r="AV99" i="17" s="1"/>
  <c r="AV100" i="17" s="1"/>
  <c r="AV101" i="17" s="1"/>
  <c r="AV102" i="17" s="1"/>
  <c r="AV103" i="17" s="1"/>
  <c r="AV104" i="17" s="1"/>
  <c r="AV105" i="17" s="1"/>
  <c r="AV106" i="17" s="1"/>
  <c r="AV107" i="17" s="1"/>
  <c r="AV108" i="17" s="1"/>
  <c r="AV109" i="17" s="1"/>
  <c r="AV110" i="17" s="1"/>
  <c r="AV111" i="17" s="1"/>
  <c r="AV112" i="17" s="1"/>
  <c r="AV113" i="17" s="1"/>
  <c r="AV114" i="17" s="1"/>
  <c r="AV115" i="17" s="1"/>
  <c r="AV116" i="17" s="1"/>
  <c r="AV117" i="17" s="1"/>
  <c r="AV118" i="17" s="1"/>
  <c r="AV119" i="17" s="1"/>
  <c r="AV120" i="17" s="1"/>
  <c r="AV121" i="17" s="1"/>
  <c r="AV122" i="17" s="1"/>
  <c r="AV123" i="17" s="1"/>
  <c r="AV124" i="17" s="1"/>
  <c r="AV125" i="17" s="1"/>
  <c r="AV126" i="17" s="1"/>
  <c r="AV127" i="17" s="1"/>
  <c r="AV128" i="17" s="1"/>
  <c r="AV129" i="17" s="1"/>
  <c r="AV130" i="17" s="1"/>
  <c r="AV131" i="17" s="1"/>
  <c r="AV132" i="17" s="1"/>
  <c r="AV133" i="17" s="1"/>
  <c r="AV134" i="17" s="1"/>
  <c r="AV135" i="17" s="1"/>
  <c r="AV136" i="17" s="1"/>
  <c r="AV137" i="17" s="1"/>
  <c r="AV138" i="17" s="1"/>
  <c r="AV139" i="17" s="1"/>
  <c r="AV140" i="17" s="1"/>
  <c r="AV141" i="17" s="1"/>
  <c r="AV142" i="17" s="1"/>
  <c r="AV143" i="17" s="1"/>
  <c r="AV144" i="17" s="1"/>
  <c r="AV145" i="17" s="1"/>
  <c r="AV146" i="17" s="1"/>
  <c r="AV147" i="17" s="1"/>
  <c r="AV148" i="17" s="1"/>
  <c r="AV149" i="17" s="1"/>
  <c r="AV150" i="17" s="1"/>
  <c r="AV151" i="17" s="1"/>
  <c r="AV152" i="17" s="1"/>
  <c r="AV153" i="17" s="1"/>
  <c r="AV154" i="17" s="1"/>
  <c r="AV155" i="17" s="1"/>
  <c r="AV156" i="17" s="1"/>
  <c r="AV157" i="17" s="1"/>
  <c r="AV158" i="17" s="1"/>
  <c r="AV159" i="17" s="1"/>
  <c r="AV160" i="17" s="1"/>
  <c r="AV161" i="17" s="1"/>
  <c r="AV162" i="17" s="1"/>
  <c r="AV163" i="17" s="1"/>
  <c r="AV164" i="17" s="1"/>
  <c r="AV165" i="17" s="1"/>
  <c r="AV166" i="17" s="1"/>
  <c r="AV167" i="17" s="1"/>
  <c r="AV168" i="17" s="1"/>
  <c r="AV169" i="17" s="1"/>
  <c r="AV170" i="17" s="1"/>
  <c r="AV171" i="17" s="1"/>
  <c r="AV172" i="17" s="1"/>
  <c r="AV173" i="17" s="1"/>
  <c r="AV174" i="17" s="1"/>
  <c r="AV175" i="17" s="1"/>
  <c r="AV176" i="17" s="1"/>
  <c r="AV177" i="17" s="1"/>
  <c r="AV178" i="17" s="1"/>
  <c r="AV179" i="17" s="1"/>
  <c r="AV180" i="17" s="1"/>
  <c r="AV181" i="17" s="1"/>
  <c r="AV182" i="17" s="1"/>
  <c r="AV183" i="17" s="1"/>
  <c r="AV184" i="17" s="1"/>
  <c r="AV185" i="17" s="1"/>
  <c r="AV186" i="17" s="1"/>
  <c r="AV187" i="17" s="1"/>
  <c r="AV188" i="17" s="1"/>
  <c r="AV189" i="17" s="1"/>
  <c r="AV190" i="17" s="1"/>
  <c r="AV191" i="17" s="1"/>
  <c r="AV192" i="17" s="1"/>
  <c r="AV193" i="17" s="1"/>
  <c r="AV194" i="17" s="1"/>
  <c r="AV195" i="17" s="1"/>
  <c r="AV196" i="17" s="1"/>
  <c r="AV197" i="17" s="1"/>
  <c r="AV198" i="17" s="1"/>
  <c r="AV199" i="17" s="1"/>
  <c r="AV200" i="17" s="1"/>
  <c r="AV201" i="17" s="1"/>
  <c r="AV202" i="17" s="1"/>
  <c r="AV203" i="17" s="1"/>
  <c r="AV204" i="17" s="1"/>
  <c r="AV205" i="17" s="1"/>
  <c r="AV206" i="17" s="1"/>
  <c r="AV207" i="17" s="1"/>
  <c r="AV208" i="17" s="1"/>
  <c r="AV209" i="17" s="1"/>
  <c r="AV210" i="17" s="1"/>
  <c r="AV211" i="17" s="1"/>
  <c r="AV212" i="17" s="1"/>
  <c r="AV213" i="17" s="1"/>
  <c r="AV214" i="17" s="1"/>
  <c r="AV215" i="17" s="1"/>
  <c r="AV216" i="17" s="1"/>
  <c r="AV217" i="17" s="1"/>
  <c r="AV218" i="17" s="1"/>
  <c r="AV219" i="17" s="1"/>
  <c r="AV220" i="17" s="1"/>
  <c r="AV221" i="17" s="1"/>
  <c r="AV222" i="17" s="1"/>
  <c r="AV223" i="17" s="1"/>
  <c r="AV224" i="17" s="1"/>
  <c r="AV225" i="17" s="1"/>
  <c r="AV226" i="17" s="1"/>
  <c r="AV227" i="17" s="1"/>
  <c r="AV228" i="17" s="1"/>
  <c r="AV229" i="17" s="1"/>
  <c r="AV230" i="17" s="1"/>
  <c r="AV231" i="17" s="1"/>
  <c r="AV232" i="17" s="1"/>
  <c r="AV233" i="17" s="1"/>
  <c r="AV234" i="17" s="1"/>
  <c r="AV18" i="17"/>
  <c r="AV17" i="17"/>
  <c r="AV16" i="17"/>
  <c r="AV15" i="17"/>
  <c r="AV14" i="17"/>
  <c r="AV13" i="17"/>
  <c r="AV12" i="17"/>
  <c r="AV11" i="17"/>
  <c r="AV10" i="17"/>
  <c r="AV9" i="17"/>
  <c r="AV8" i="17"/>
  <c r="AV7" i="17"/>
  <c r="AV6" i="17"/>
  <c r="AV5" i="17"/>
  <c r="P5" i="17"/>
  <c r="J5" i="17"/>
  <c r="AV19" i="18"/>
  <c r="AV20" i="18" s="1"/>
  <c r="AV21" i="18" s="1"/>
  <c r="AV22" i="18" s="1"/>
  <c r="AV23" i="18" s="1"/>
  <c r="AV24" i="18" s="1"/>
  <c r="AV25" i="18" s="1"/>
  <c r="AV26" i="18" s="1"/>
  <c r="AV27" i="18" s="1"/>
  <c r="AV28" i="18" s="1"/>
  <c r="AV29" i="18" s="1"/>
  <c r="AV30" i="18" s="1"/>
  <c r="AV31" i="18" s="1"/>
  <c r="AV32" i="18" s="1"/>
  <c r="AV33" i="18" s="1"/>
  <c r="AV34" i="18" s="1"/>
  <c r="AV35" i="18" s="1"/>
  <c r="AV36" i="18" s="1"/>
  <c r="AV37" i="18" s="1"/>
  <c r="AV38" i="18" s="1"/>
  <c r="AV39" i="18" s="1"/>
  <c r="AV40" i="18" s="1"/>
  <c r="AV41" i="18" s="1"/>
  <c r="AV42" i="18" s="1"/>
  <c r="AV43" i="18" s="1"/>
  <c r="AV44" i="18" s="1"/>
  <c r="AV45" i="18" s="1"/>
  <c r="AV46" i="18" s="1"/>
  <c r="AV47" i="18" s="1"/>
  <c r="AV48" i="18" s="1"/>
  <c r="AV49" i="18" s="1"/>
  <c r="AV50" i="18" s="1"/>
  <c r="AV51" i="18" s="1"/>
  <c r="AV52" i="18" s="1"/>
  <c r="AV53" i="18" s="1"/>
  <c r="AV54" i="18" s="1"/>
  <c r="AV55" i="18" s="1"/>
  <c r="AV56" i="18" s="1"/>
  <c r="AV57" i="18" s="1"/>
  <c r="AV58" i="18" s="1"/>
  <c r="AV59" i="18" s="1"/>
  <c r="AV60" i="18" s="1"/>
  <c r="AV61" i="18" s="1"/>
  <c r="AV62" i="18" s="1"/>
  <c r="AV63" i="18" s="1"/>
  <c r="AV64" i="18" s="1"/>
  <c r="AV65" i="18" s="1"/>
  <c r="AV66" i="18" s="1"/>
  <c r="AV67" i="18" s="1"/>
  <c r="AV68" i="18" s="1"/>
  <c r="AV69" i="18" s="1"/>
  <c r="AV70" i="18" s="1"/>
  <c r="AV71" i="18" s="1"/>
  <c r="AV72" i="18" s="1"/>
  <c r="AV73" i="18" s="1"/>
  <c r="AV74" i="18" s="1"/>
  <c r="AV75" i="18" s="1"/>
  <c r="AV76" i="18" s="1"/>
  <c r="AV77" i="18" s="1"/>
  <c r="AV78" i="18" s="1"/>
  <c r="AV79" i="18" s="1"/>
  <c r="AV80" i="18" s="1"/>
  <c r="AV81" i="18" s="1"/>
  <c r="AV82" i="18" s="1"/>
  <c r="AV83" i="18" s="1"/>
  <c r="AV84" i="18" s="1"/>
  <c r="AV85" i="18" s="1"/>
  <c r="AV86" i="18" s="1"/>
  <c r="AV87" i="18" s="1"/>
  <c r="AV88" i="18" s="1"/>
  <c r="AV89" i="18" s="1"/>
  <c r="AV90" i="18" s="1"/>
  <c r="AV91" i="18" s="1"/>
  <c r="AV92" i="18" s="1"/>
  <c r="AV93" i="18" s="1"/>
  <c r="AV94" i="18" s="1"/>
  <c r="AV95" i="18" s="1"/>
  <c r="AV96" i="18" s="1"/>
  <c r="AV97" i="18" s="1"/>
  <c r="AV98" i="18" s="1"/>
  <c r="AV99" i="18" s="1"/>
  <c r="AV100" i="18" s="1"/>
  <c r="AV101" i="18" s="1"/>
  <c r="AV102" i="18" s="1"/>
  <c r="AV103" i="18" s="1"/>
  <c r="AV104" i="18" s="1"/>
  <c r="AV105" i="18" s="1"/>
  <c r="AV106" i="18" s="1"/>
  <c r="AV107" i="18" s="1"/>
  <c r="AV108" i="18" s="1"/>
  <c r="AV109" i="18" s="1"/>
  <c r="AV110" i="18" s="1"/>
  <c r="AV111" i="18" s="1"/>
  <c r="AV112" i="18" s="1"/>
  <c r="AV113" i="18" s="1"/>
  <c r="AV114" i="18" s="1"/>
  <c r="AV115" i="18" s="1"/>
  <c r="AV116" i="18" s="1"/>
  <c r="AV117" i="18" s="1"/>
  <c r="AV118" i="18" s="1"/>
  <c r="AV119" i="18" s="1"/>
  <c r="AV120" i="18" s="1"/>
  <c r="AV121" i="18" s="1"/>
  <c r="AV122" i="18" s="1"/>
  <c r="AV123" i="18" s="1"/>
  <c r="AV124" i="18" s="1"/>
  <c r="AV125" i="18" s="1"/>
  <c r="AV126" i="18" s="1"/>
  <c r="AV127" i="18" s="1"/>
  <c r="AV128" i="18" s="1"/>
  <c r="AV129" i="18" s="1"/>
  <c r="AV130" i="18" s="1"/>
  <c r="AV131" i="18" s="1"/>
  <c r="AV132" i="18" s="1"/>
  <c r="AV133" i="18" s="1"/>
  <c r="AV134" i="18" s="1"/>
  <c r="AV135" i="18" s="1"/>
  <c r="AV136" i="18" s="1"/>
  <c r="AV137" i="18" s="1"/>
  <c r="AV138" i="18" s="1"/>
  <c r="AV139" i="18" s="1"/>
  <c r="AV140" i="18" s="1"/>
  <c r="AV141" i="18" s="1"/>
  <c r="AV142" i="18" s="1"/>
  <c r="AV143" i="18" s="1"/>
  <c r="AV144" i="18" s="1"/>
  <c r="AV145" i="18" s="1"/>
  <c r="AV146" i="18" s="1"/>
  <c r="AV147" i="18" s="1"/>
  <c r="AV148" i="18" s="1"/>
  <c r="AV149" i="18" s="1"/>
  <c r="AV150" i="18" s="1"/>
  <c r="AV151" i="18" s="1"/>
  <c r="AV152" i="18" s="1"/>
  <c r="AV153" i="18" s="1"/>
  <c r="AV154" i="18" s="1"/>
  <c r="AV155" i="18" s="1"/>
  <c r="AV156" i="18" s="1"/>
  <c r="AV157" i="18" s="1"/>
  <c r="AV158" i="18" s="1"/>
  <c r="AV159" i="18" s="1"/>
  <c r="AV160" i="18" s="1"/>
  <c r="AV161" i="18" s="1"/>
  <c r="AV162" i="18" s="1"/>
  <c r="AV163" i="18" s="1"/>
  <c r="AV164" i="18" s="1"/>
  <c r="AV165" i="18" s="1"/>
  <c r="AV166" i="18" s="1"/>
  <c r="AV167" i="18" s="1"/>
  <c r="AV168" i="18" s="1"/>
  <c r="AV169" i="18" s="1"/>
  <c r="AV170" i="18" s="1"/>
  <c r="AV171" i="18" s="1"/>
  <c r="AV172" i="18" s="1"/>
  <c r="AV173" i="18" s="1"/>
  <c r="AV174" i="18" s="1"/>
  <c r="AV175" i="18" s="1"/>
  <c r="AV176" i="18" s="1"/>
  <c r="AV177" i="18" s="1"/>
  <c r="AV178" i="18" s="1"/>
  <c r="AV179" i="18" s="1"/>
  <c r="AV180" i="18" s="1"/>
  <c r="AV181" i="18" s="1"/>
  <c r="AV182" i="18" s="1"/>
  <c r="AV183" i="18" s="1"/>
  <c r="AV184" i="18" s="1"/>
  <c r="AV185" i="18" s="1"/>
  <c r="AV186" i="18" s="1"/>
  <c r="AV187" i="18" s="1"/>
  <c r="AV188" i="18" s="1"/>
  <c r="AV189" i="18" s="1"/>
  <c r="AV190" i="18" s="1"/>
  <c r="AV191" i="18" s="1"/>
  <c r="AV192" i="18" s="1"/>
  <c r="AV193" i="18" s="1"/>
  <c r="AV194" i="18" s="1"/>
  <c r="AV195" i="18" s="1"/>
  <c r="AV196" i="18" s="1"/>
  <c r="AV197" i="18" s="1"/>
  <c r="AV198" i="18" s="1"/>
  <c r="AV199" i="18" s="1"/>
  <c r="AV200" i="18" s="1"/>
  <c r="AV201" i="18" s="1"/>
  <c r="AV202" i="18" s="1"/>
  <c r="AV203" i="18" s="1"/>
  <c r="AV204" i="18" s="1"/>
  <c r="AV205" i="18" s="1"/>
  <c r="AV206" i="18" s="1"/>
  <c r="AV207" i="18" s="1"/>
  <c r="AV208" i="18" s="1"/>
  <c r="AV209" i="18" s="1"/>
  <c r="AV210" i="18" s="1"/>
  <c r="AV211" i="18" s="1"/>
  <c r="AV212" i="18" s="1"/>
  <c r="AV213" i="18" s="1"/>
  <c r="AV214" i="18" s="1"/>
  <c r="AV215" i="18" s="1"/>
  <c r="AV216" i="18" s="1"/>
  <c r="AV217" i="18" s="1"/>
  <c r="AV218" i="18" s="1"/>
  <c r="AV219" i="18" s="1"/>
  <c r="AV220" i="18" s="1"/>
  <c r="AV221" i="18" s="1"/>
  <c r="AV222" i="18" s="1"/>
  <c r="AV223" i="18" s="1"/>
  <c r="AV224" i="18" s="1"/>
  <c r="AV225" i="18" s="1"/>
  <c r="AV226" i="18" s="1"/>
  <c r="AV227" i="18" s="1"/>
  <c r="AV228" i="18" s="1"/>
  <c r="AV229" i="18" s="1"/>
  <c r="AV230" i="18" s="1"/>
  <c r="AV231" i="18" s="1"/>
  <c r="AV232" i="18" s="1"/>
  <c r="AV233" i="18" s="1"/>
  <c r="AV234" i="18" s="1"/>
  <c r="AV18" i="18"/>
  <c r="AV17" i="18"/>
  <c r="AV16" i="18"/>
  <c r="AV15" i="18"/>
  <c r="AV14" i="18"/>
  <c r="AV13" i="18"/>
  <c r="AV12" i="18"/>
  <c r="AV11" i="18"/>
  <c r="AV10" i="18"/>
  <c r="AV9" i="18"/>
  <c r="AV8" i="18"/>
  <c r="AV7" i="18"/>
  <c r="AV6" i="18"/>
  <c r="AV5" i="18"/>
  <c r="AV234" i="19"/>
  <c r="AV233" i="19"/>
  <c r="AV232" i="19"/>
  <c r="AV231" i="19"/>
  <c r="AV230" i="19"/>
  <c r="AV229" i="19"/>
  <c r="AV228" i="19"/>
  <c r="AV227" i="19"/>
  <c r="AV226" i="19"/>
  <c r="AV225" i="19"/>
  <c r="AV224" i="19"/>
  <c r="AV223" i="19"/>
  <c r="AV222" i="19"/>
  <c r="AV221" i="19"/>
  <c r="AV220" i="19"/>
  <c r="AV219" i="19"/>
  <c r="AV218" i="19"/>
  <c r="AV217" i="19"/>
  <c r="AV216" i="19"/>
  <c r="AV215" i="19"/>
  <c r="AV214" i="19"/>
  <c r="AV213" i="19"/>
  <c r="AV212" i="19"/>
  <c r="AV211" i="19"/>
  <c r="AV210" i="19"/>
  <c r="AV209" i="19"/>
  <c r="AV208" i="19"/>
  <c r="AV207" i="19"/>
  <c r="AV206" i="19"/>
  <c r="AV205" i="19"/>
  <c r="AV204" i="19"/>
  <c r="AV203" i="19"/>
  <c r="AV202" i="19"/>
  <c r="AV201" i="19"/>
  <c r="AV200" i="19"/>
  <c r="AV199" i="19"/>
  <c r="AV198" i="19"/>
  <c r="AV197" i="19"/>
  <c r="AV196" i="19"/>
  <c r="AV195" i="19"/>
  <c r="AV194" i="19"/>
  <c r="AV193" i="19"/>
  <c r="AV192" i="19"/>
  <c r="AV191" i="19"/>
  <c r="AV190" i="19"/>
  <c r="AV189" i="19"/>
  <c r="AV188" i="19"/>
  <c r="AV187" i="19"/>
  <c r="AV186" i="19"/>
  <c r="AV185" i="19"/>
  <c r="AV184" i="19"/>
  <c r="AV183" i="19"/>
  <c r="AV182" i="19"/>
  <c r="AV181" i="19"/>
  <c r="AV180" i="19"/>
  <c r="AV179" i="19"/>
  <c r="AV178" i="19"/>
  <c r="AV177" i="19"/>
  <c r="AV176" i="19"/>
  <c r="AV175" i="19"/>
  <c r="AV174" i="19"/>
  <c r="AV173" i="19"/>
  <c r="AV172" i="19"/>
  <c r="AV171" i="19"/>
  <c r="AV170" i="19"/>
  <c r="AV169" i="19"/>
  <c r="AV168" i="19"/>
  <c r="AV167" i="19"/>
  <c r="AV166" i="19"/>
  <c r="AV165" i="19"/>
  <c r="AV164" i="19"/>
  <c r="AV163" i="19"/>
  <c r="AV162" i="19"/>
  <c r="AV161" i="19"/>
  <c r="AV160" i="19"/>
  <c r="AV159" i="19"/>
  <c r="AV158" i="19"/>
  <c r="AV157" i="19"/>
  <c r="AV156" i="19"/>
  <c r="AV155" i="19"/>
  <c r="AV154" i="19"/>
  <c r="AV153" i="19"/>
  <c r="AV152" i="19"/>
  <c r="AV151" i="19"/>
  <c r="AV150" i="19"/>
  <c r="AV149" i="19"/>
  <c r="AV148" i="19"/>
  <c r="AV147" i="19"/>
  <c r="AV146" i="19"/>
  <c r="AV145" i="19"/>
  <c r="AV144" i="19"/>
  <c r="AV143" i="19"/>
  <c r="AV142" i="19"/>
  <c r="AV141" i="19"/>
  <c r="AV140" i="19"/>
  <c r="AV139" i="19"/>
  <c r="AV138" i="19"/>
  <c r="AV137" i="19"/>
  <c r="AV136" i="19"/>
  <c r="AV135" i="19"/>
  <c r="AV134" i="19"/>
  <c r="AV133" i="19"/>
  <c r="AV132" i="19"/>
  <c r="AV131" i="19"/>
  <c r="AV130" i="19"/>
  <c r="AV129" i="19"/>
  <c r="AV128" i="19"/>
  <c r="AV127" i="19"/>
  <c r="AV126" i="19"/>
  <c r="AV125" i="19"/>
  <c r="AV124" i="19"/>
  <c r="AV123" i="19"/>
  <c r="AV122" i="19"/>
  <c r="AV121" i="19"/>
  <c r="AV120" i="19"/>
  <c r="AV119" i="19"/>
  <c r="AV118" i="19"/>
  <c r="AV117" i="19"/>
  <c r="AV116" i="19"/>
  <c r="AV115" i="19"/>
  <c r="AV114" i="19"/>
  <c r="AV113" i="19"/>
  <c r="AV112" i="19"/>
  <c r="AV111" i="19"/>
  <c r="AV110" i="19"/>
  <c r="AV109" i="19"/>
  <c r="AV108" i="19"/>
  <c r="AV107" i="19"/>
  <c r="AV106" i="19"/>
  <c r="AV105" i="19"/>
  <c r="AV104" i="19"/>
  <c r="AV103" i="19"/>
  <c r="AV102" i="19"/>
  <c r="AV101" i="19"/>
  <c r="AV100" i="19"/>
  <c r="AV99" i="19"/>
  <c r="AV98" i="19"/>
  <c r="AV97" i="19"/>
  <c r="AV96" i="19"/>
  <c r="AV95" i="19"/>
  <c r="AV94" i="19"/>
  <c r="AV93" i="19"/>
  <c r="AV92" i="19"/>
  <c r="AV91" i="19"/>
  <c r="AV90" i="19"/>
  <c r="AV89" i="19"/>
  <c r="AV88" i="19"/>
  <c r="AV87" i="19"/>
  <c r="AV86" i="19"/>
  <c r="AV85" i="19"/>
  <c r="AV84" i="19"/>
  <c r="AV83" i="19"/>
  <c r="AV82" i="19"/>
  <c r="AV81" i="19"/>
  <c r="AV80" i="19"/>
  <c r="AV79" i="19"/>
  <c r="AV78" i="19"/>
  <c r="AV77" i="19"/>
  <c r="AV76" i="19"/>
  <c r="AV75" i="19"/>
  <c r="AV74" i="19"/>
  <c r="AV73" i="19"/>
  <c r="AV72" i="19"/>
  <c r="AV71" i="19"/>
  <c r="AV70" i="19"/>
  <c r="AV69" i="19"/>
  <c r="AV68" i="19"/>
  <c r="AV67" i="19"/>
  <c r="AV66" i="19"/>
  <c r="AV65" i="19"/>
  <c r="AV64" i="19"/>
  <c r="AV63" i="19"/>
  <c r="AV62" i="19"/>
  <c r="AV61" i="19"/>
  <c r="AV60" i="19"/>
  <c r="AV59" i="19"/>
  <c r="AV58" i="19"/>
  <c r="AV57" i="19"/>
  <c r="AV56" i="19"/>
  <c r="AV55" i="19"/>
  <c r="AV54" i="19"/>
  <c r="AV53" i="19"/>
  <c r="AV52" i="19"/>
  <c r="AV51" i="19"/>
  <c r="AV50" i="19"/>
  <c r="AV49" i="19"/>
  <c r="AV48" i="19"/>
  <c r="AV47" i="19"/>
  <c r="AV46" i="19"/>
  <c r="AV45" i="19"/>
  <c r="AV44" i="19"/>
  <c r="AV43" i="19"/>
  <c r="AV42" i="19"/>
  <c r="AV41" i="19"/>
  <c r="AV40" i="19"/>
  <c r="AV39" i="19"/>
  <c r="AV38" i="19"/>
  <c r="AV37" i="19"/>
  <c r="AV36" i="19"/>
  <c r="AV35" i="19"/>
  <c r="AV34" i="19"/>
  <c r="AV33" i="19"/>
  <c r="AV32" i="19"/>
  <c r="AV31" i="19"/>
  <c r="AV30" i="19"/>
  <c r="AV29" i="19"/>
  <c r="AV28" i="19"/>
  <c r="AV27" i="19"/>
  <c r="AV26" i="19"/>
  <c r="AV25" i="19"/>
  <c r="AV24" i="19"/>
  <c r="AV23" i="19"/>
  <c r="AV22" i="19"/>
  <c r="AV21" i="19"/>
  <c r="AV20" i="19"/>
  <c r="AV19" i="19"/>
  <c r="AV18" i="19"/>
  <c r="AV17" i="19"/>
  <c r="AV16" i="19"/>
  <c r="AV15" i="19"/>
  <c r="AV14" i="19"/>
  <c r="AV13" i="19"/>
  <c r="AV12" i="19"/>
  <c r="AV11" i="19"/>
  <c r="AV10" i="19"/>
  <c r="AV9" i="19"/>
  <c r="AV8" i="19"/>
  <c r="AV7" i="19"/>
  <c r="AV6" i="19"/>
  <c r="AV5" i="19"/>
  <c r="P5" i="19"/>
  <c r="J5" i="19"/>
  <c r="D6" i="19"/>
  <c r="D7" i="19" s="1"/>
  <c r="D8" i="19" s="1"/>
  <c r="D9" i="19" s="1"/>
  <c r="D10" i="19" s="1"/>
  <c r="D11" i="19" s="1"/>
  <c r="D12" i="19" s="1"/>
  <c r="D13" i="19" s="1"/>
  <c r="D14" i="19" s="1"/>
  <c r="D15" i="19" s="1"/>
  <c r="D16" i="19" s="1"/>
  <c r="D17" i="19" s="1"/>
  <c r="D18" i="19" s="1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D50" i="19" s="1"/>
  <c r="D51" i="19" s="1"/>
  <c r="D52" i="19" s="1"/>
  <c r="D53" i="19" s="1"/>
  <c r="D54" i="19" s="1"/>
  <c r="D55" i="19" s="1"/>
  <c r="D56" i="19" s="1"/>
  <c r="D57" i="19" s="1"/>
  <c r="D58" i="19" s="1"/>
  <c r="D59" i="19" s="1"/>
  <c r="D60" i="19" s="1"/>
  <c r="D61" i="19" s="1"/>
  <c r="D62" i="19" s="1"/>
  <c r="D63" i="19" s="1"/>
  <c r="D64" i="19" s="1"/>
  <c r="D65" i="19" s="1"/>
  <c r="D66" i="19" s="1"/>
  <c r="D67" i="19" s="1"/>
  <c r="D68" i="19" s="1"/>
  <c r="D69" i="19" s="1"/>
  <c r="D70" i="19" s="1"/>
  <c r="D71" i="19" s="1"/>
  <c r="D72" i="19" s="1"/>
  <c r="D73" i="19" s="1"/>
  <c r="D74" i="19" s="1"/>
  <c r="D75" i="19" s="1"/>
  <c r="D76" i="19" s="1"/>
  <c r="D77" i="19" s="1"/>
  <c r="D78" i="19" s="1"/>
  <c r="D79" i="19" s="1"/>
  <c r="D80" i="19" s="1"/>
  <c r="D81" i="19" s="1"/>
  <c r="D82" i="19" s="1"/>
  <c r="D83" i="19" s="1"/>
  <c r="D84" i="19" s="1"/>
  <c r="D85" i="19" s="1"/>
  <c r="D86" i="19" s="1"/>
  <c r="D87" i="19" s="1"/>
  <c r="D88" i="19" s="1"/>
  <c r="D89" i="19" s="1"/>
  <c r="D90" i="19" s="1"/>
  <c r="D91" i="19" s="1"/>
  <c r="D92" i="19" s="1"/>
  <c r="D93" i="19" s="1"/>
  <c r="D94" i="19" s="1"/>
  <c r="D95" i="19" s="1"/>
  <c r="D96" i="19" s="1"/>
  <c r="D97" i="19" s="1"/>
  <c r="D98" i="19" s="1"/>
  <c r="D99" i="19" s="1"/>
  <c r="D100" i="19" s="1"/>
  <c r="D101" i="19" s="1"/>
  <c r="D102" i="19" s="1"/>
  <c r="D103" i="19" s="1"/>
  <c r="D104" i="19" s="1"/>
  <c r="D105" i="19" s="1"/>
  <c r="D106" i="19" s="1"/>
  <c r="D107" i="19" s="1"/>
  <c r="D108" i="19" s="1"/>
  <c r="D109" i="19" s="1"/>
  <c r="D110" i="19" s="1"/>
  <c r="D111" i="19" s="1"/>
  <c r="D112" i="19" s="1"/>
  <c r="D113" i="19" s="1"/>
  <c r="D114" i="19" s="1"/>
  <c r="D115" i="19" s="1"/>
  <c r="D116" i="19" s="1"/>
  <c r="D117" i="19" s="1"/>
  <c r="D118" i="19" s="1"/>
  <c r="D119" i="19" s="1"/>
  <c r="D120" i="19" s="1"/>
  <c r="D121" i="19" s="1"/>
  <c r="D122" i="19" s="1"/>
  <c r="D123" i="19" s="1"/>
  <c r="D124" i="19" s="1"/>
  <c r="D125" i="19" s="1"/>
  <c r="D126" i="19" s="1"/>
  <c r="D127" i="19" s="1"/>
  <c r="D128" i="19" s="1"/>
  <c r="D129" i="19" s="1"/>
  <c r="D130" i="19" s="1"/>
  <c r="D131" i="19" s="1"/>
  <c r="D132" i="19" s="1"/>
  <c r="D133" i="19" s="1"/>
  <c r="D134" i="19" s="1"/>
  <c r="D135" i="19" s="1"/>
  <c r="D136" i="19" s="1"/>
  <c r="D137" i="19" s="1"/>
  <c r="D138" i="19" s="1"/>
  <c r="D139" i="19" s="1"/>
  <c r="D140" i="19" s="1"/>
  <c r="D141" i="19" s="1"/>
  <c r="D142" i="19" s="1"/>
  <c r="D143" i="19" s="1"/>
  <c r="D144" i="19" s="1"/>
  <c r="D145" i="19" s="1"/>
  <c r="D146" i="19" s="1"/>
  <c r="D147" i="19" s="1"/>
  <c r="D148" i="19" s="1"/>
  <c r="D149" i="19" s="1"/>
  <c r="D150" i="19" s="1"/>
  <c r="D151" i="19" s="1"/>
  <c r="D152" i="19" s="1"/>
  <c r="D153" i="19" s="1"/>
  <c r="D154" i="19" s="1"/>
  <c r="D155" i="19" s="1"/>
  <c r="D156" i="19" s="1"/>
  <c r="D157" i="19" s="1"/>
  <c r="D158" i="19" s="1"/>
  <c r="D159" i="19" s="1"/>
  <c r="D160" i="19" s="1"/>
  <c r="D161" i="19" s="1"/>
  <c r="D162" i="19" s="1"/>
  <c r="D163" i="19" s="1"/>
  <c r="D164" i="19" s="1"/>
  <c r="D165" i="19" s="1"/>
  <c r="D166" i="19" s="1"/>
  <c r="D167" i="19" s="1"/>
  <c r="D168" i="19" s="1"/>
  <c r="D169" i="19" s="1"/>
  <c r="D170" i="19" s="1"/>
  <c r="D171" i="19" s="1"/>
  <c r="D172" i="19" s="1"/>
  <c r="D173" i="19" s="1"/>
  <c r="D174" i="19" s="1"/>
  <c r="D175" i="19" s="1"/>
  <c r="D176" i="19" s="1"/>
  <c r="D177" i="19" s="1"/>
  <c r="D178" i="19" s="1"/>
  <c r="D179" i="19" s="1"/>
  <c r="D180" i="19" s="1"/>
  <c r="D181" i="19" s="1"/>
  <c r="D182" i="19" s="1"/>
  <c r="D183" i="19" s="1"/>
  <c r="D184" i="19" s="1"/>
  <c r="D185" i="19" s="1"/>
  <c r="D186" i="19" s="1"/>
  <c r="D187" i="19" s="1"/>
  <c r="D188" i="19" s="1"/>
  <c r="D189" i="19" s="1"/>
  <c r="D190" i="19" s="1"/>
  <c r="D191" i="19" s="1"/>
  <c r="D192" i="19" s="1"/>
  <c r="D193" i="19" s="1"/>
  <c r="D194" i="19" s="1"/>
  <c r="D195" i="19" s="1"/>
  <c r="D196" i="19" s="1"/>
  <c r="D197" i="19" s="1"/>
  <c r="D198" i="19" s="1"/>
  <c r="D199" i="19" s="1"/>
  <c r="D200" i="19" s="1"/>
  <c r="D201" i="19" s="1"/>
  <c r="D202" i="19" s="1"/>
  <c r="D203" i="19" s="1"/>
  <c r="D204" i="19" s="1"/>
  <c r="D205" i="19" s="1"/>
  <c r="D206" i="19" s="1"/>
  <c r="D207" i="19" s="1"/>
  <c r="D208" i="19" s="1"/>
  <c r="D209" i="19" s="1"/>
  <c r="D210" i="19" s="1"/>
  <c r="D211" i="19" s="1"/>
  <c r="D212" i="19" s="1"/>
  <c r="D213" i="19" s="1"/>
  <c r="D214" i="19" s="1"/>
  <c r="D215" i="19" s="1"/>
  <c r="D216" i="19" s="1"/>
  <c r="D217" i="19" s="1"/>
  <c r="D218" i="19" s="1"/>
  <c r="D219" i="19" s="1"/>
  <c r="D220" i="19" s="1"/>
  <c r="D221" i="19" s="1"/>
  <c r="D222" i="19" s="1"/>
  <c r="D223" i="19" s="1"/>
  <c r="D224" i="19" s="1"/>
  <c r="D225" i="19" s="1"/>
  <c r="D226" i="19" s="1"/>
  <c r="D227" i="19" s="1"/>
  <c r="D228" i="19" s="1"/>
  <c r="D229" i="19" s="1"/>
  <c r="D230" i="19" s="1"/>
  <c r="D231" i="19" s="1"/>
  <c r="D232" i="19" s="1"/>
  <c r="D233" i="19" s="1"/>
  <c r="D234" i="19" s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D6" i="18"/>
  <c r="D7" i="18" s="1"/>
  <c r="D8" i="18" s="1"/>
  <c r="D9" i="18" s="1"/>
  <c r="D10" i="18" s="1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D49" i="18" s="1"/>
  <c r="D50" i="18" s="1"/>
  <c r="D51" i="18" s="1"/>
  <c r="D52" i="18" s="1"/>
  <c r="D53" i="18" s="1"/>
  <c r="D54" i="18" s="1"/>
  <c r="D55" i="18" s="1"/>
  <c r="D56" i="18" s="1"/>
  <c r="D57" i="18" s="1"/>
  <c r="D58" i="18" s="1"/>
  <c r="D59" i="18" s="1"/>
  <c r="D60" i="18" s="1"/>
  <c r="D61" i="18" s="1"/>
  <c r="D62" i="18" s="1"/>
  <c r="D63" i="18" s="1"/>
  <c r="D64" i="18" s="1"/>
  <c r="D65" i="18" s="1"/>
  <c r="D66" i="18" s="1"/>
  <c r="D67" i="18" s="1"/>
  <c r="D68" i="18" s="1"/>
  <c r="D69" i="18" s="1"/>
  <c r="D70" i="18" s="1"/>
  <c r="D71" i="18" s="1"/>
  <c r="D72" i="18" s="1"/>
  <c r="D73" i="18" s="1"/>
  <c r="D74" i="18" s="1"/>
  <c r="D75" i="18" s="1"/>
  <c r="D76" i="18" s="1"/>
  <c r="D77" i="18" s="1"/>
  <c r="D78" i="18" s="1"/>
  <c r="D79" i="18" s="1"/>
  <c r="D80" i="18" s="1"/>
  <c r="D81" i="18" s="1"/>
  <c r="D82" i="18" s="1"/>
  <c r="D83" i="18" s="1"/>
  <c r="D84" i="18" s="1"/>
  <c r="D85" i="18" s="1"/>
  <c r="D86" i="18" s="1"/>
  <c r="D87" i="18" s="1"/>
  <c r="D88" i="18" s="1"/>
  <c r="D89" i="18" s="1"/>
  <c r="D90" i="18" s="1"/>
  <c r="D91" i="18" s="1"/>
  <c r="D92" i="18" s="1"/>
  <c r="D93" i="18" s="1"/>
  <c r="D94" i="18" s="1"/>
  <c r="D95" i="18" s="1"/>
  <c r="D96" i="18" s="1"/>
  <c r="D97" i="18" s="1"/>
  <c r="D98" i="18" s="1"/>
  <c r="D99" i="18" s="1"/>
  <c r="D100" i="18" s="1"/>
  <c r="D101" i="18" s="1"/>
  <c r="D102" i="18" s="1"/>
  <c r="D103" i="18" s="1"/>
  <c r="D104" i="18" s="1"/>
  <c r="D105" i="18" s="1"/>
  <c r="D106" i="18" s="1"/>
  <c r="D107" i="18" s="1"/>
  <c r="D108" i="18" s="1"/>
  <c r="D109" i="18" s="1"/>
  <c r="D110" i="18" s="1"/>
  <c r="D111" i="18" s="1"/>
  <c r="D112" i="18" s="1"/>
  <c r="D113" i="18" s="1"/>
  <c r="D114" i="18" s="1"/>
  <c r="D115" i="18" s="1"/>
  <c r="D116" i="18" s="1"/>
  <c r="D117" i="18" s="1"/>
  <c r="D118" i="18" s="1"/>
  <c r="D119" i="18" s="1"/>
  <c r="D120" i="18" s="1"/>
  <c r="D121" i="18" s="1"/>
  <c r="D122" i="18" s="1"/>
  <c r="D123" i="18" s="1"/>
  <c r="D124" i="18" s="1"/>
  <c r="D125" i="18" s="1"/>
  <c r="D126" i="18" s="1"/>
  <c r="D127" i="18" s="1"/>
  <c r="D128" i="18" s="1"/>
  <c r="D129" i="18" s="1"/>
  <c r="D130" i="18" s="1"/>
  <c r="D131" i="18" s="1"/>
  <c r="D132" i="18" s="1"/>
  <c r="D133" i="18" s="1"/>
  <c r="D134" i="18" s="1"/>
  <c r="D135" i="18" s="1"/>
  <c r="D136" i="18" s="1"/>
  <c r="D137" i="18" s="1"/>
  <c r="D138" i="18" s="1"/>
  <c r="D139" i="18" s="1"/>
  <c r="D140" i="18" s="1"/>
  <c r="D141" i="18" s="1"/>
  <c r="D142" i="18" s="1"/>
  <c r="D143" i="18" s="1"/>
  <c r="D144" i="18" s="1"/>
  <c r="D145" i="18" s="1"/>
  <c r="D146" i="18" s="1"/>
  <c r="D147" i="18" s="1"/>
  <c r="D148" i="18" s="1"/>
  <c r="D149" i="18" s="1"/>
  <c r="D150" i="18" s="1"/>
  <c r="D151" i="18" s="1"/>
  <c r="D152" i="18" s="1"/>
  <c r="D153" i="18" s="1"/>
  <c r="D154" i="18" s="1"/>
  <c r="D155" i="18" s="1"/>
  <c r="D156" i="18" s="1"/>
  <c r="D157" i="18" s="1"/>
  <c r="D158" i="18" s="1"/>
  <c r="D159" i="18" s="1"/>
  <c r="D160" i="18" s="1"/>
  <c r="D161" i="18" s="1"/>
  <c r="D162" i="18" s="1"/>
  <c r="D163" i="18" s="1"/>
  <c r="D164" i="18" s="1"/>
  <c r="D165" i="18" s="1"/>
  <c r="D166" i="18" s="1"/>
  <c r="D167" i="18" s="1"/>
  <c r="D168" i="18" s="1"/>
  <c r="D169" i="18" s="1"/>
  <c r="D170" i="18" s="1"/>
  <c r="D171" i="18" s="1"/>
  <c r="D172" i="18" s="1"/>
  <c r="D173" i="18" s="1"/>
  <c r="D174" i="18" s="1"/>
  <c r="D175" i="18" s="1"/>
  <c r="D176" i="18" s="1"/>
  <c r="D177" i="18" s="1"/>
  <c r="D178" i="18" s="1"/>
  <c r="D179" i="18" s="1"/>
  <c r="D180" i="18" s="1"/>
  <c r="D181" i="18" s="1"/>
  <c r="D182" i="18" s="1"/>
  <c r="D183" i="18" s="1"/>
  <c r="D184" i="18" s="1"/>
  <c r="D185" i="18" s="1"/>
  <c r="D186" i="18" s="1"/>
  <c r="D187" i="18" s="1"/>
  <c r="D188" i="18" s="1"/>
  <c r="D189" i="18" s="1"/>
  <c r="D190" i="18" s="1"/>
  <c r="D191" i="18" s="1"/>
  <c r="D192" i="18" s="1"/>
  <c r="D193" i="18" s="1"/>
  <c r="D194" i="18" s="1"/>
  <c r="D195" i="18" s="1"/>
  <c r="D196" i="18" s="1"/>
  <c r="D197" i="18" s="1"/>
  <c r="D198" i="18" s="1"/>
  <c r="D199" i="18" s="1"/>
  <c r="D200" i="18" s="1"/>
  <c r="D201" i="18" s="1"/>
  <c r="D202" i="18" s="1"/>
  <c r="D203" i="18" s="1"/>
  <c r="D204" i="18" s="1"/>
  <c r="D205" i="18" s="1"/>
  <c r="D206" i="18" s="1"/>
  <c r="D207" i="18" s="1"/>
  <c r="D208" i="18" s="1"/>
  <c r="D209" i="18" s="1"/>
  <c r="D210" i="18" s="1"/>
  <c r="D211" i="18" s="1"/>
  <c r="D212" i="18" s="1"/>
  <c r="D213" i="18" s="1"/>
  <c r="D214" i="18" s="1"/>
  <c r="D215" i="18" s="1"/>
  <c r="D216" i="18" s="1"/>
  <c r="D217" i="18" s="1"/>
  <c r="D218" i="18" s="1"/>
  <c r="D219" i="18" s="1"/>
  <c r="D220" i="18" s="1"/>
  <c r="D221" i="18" s="1"/>
  <c r="D222" i="18" s="1"/>
  <c r="D223" i="18" s="1"/>
  <c r="D224" i="18" s="1"/>
  <c r="D225" i="18" s="1"/>
  <c r="D226" i="18" s="1"/>
  <c r="D227" i="18" s="1"/>
  <c r="D228" i="18" s="1"/>
  <c r="D229" i="18" s="1"/>
  <c r="D230" i="18" s="1"/>
  <c r="D231" i="18" s="1"/>
  <c r="D232" i="18" s="1"/>
  <c r="D233" i="18" s="1"/>
  <c r="D234" i="18" s="1"/>
  <c r="B6" i="18"/>
  <c r="B7" i="18" s="1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B191" i="18" s="1"/>
  <c r="B192" i="18" s="1"/>
  <c r="B193" i="18" s="1"/>
  <c r="B194" i="18" s="1"/>
  <c r="B195" i="18" s="1"/>
  <c r="B196" i="18" s="1"/>
  <c r="B197" i="18" s="1"/>
  <c r="B198" i="18" s="1"/>
  <c r="B199" i="18" s="1"/>
  <c r="B200" i="18" s="1"/>
  <c r="B201" i="18" s="1"/>
  <c r="B202" i="18" s="1"/>
  <c r="B203" i="18" s="1"/>
  <c r="B204" i="18" s="1"/>
  <c r="B205" i="18" s="1"/>
  <c r="B206" i="18" s="1"/>
  <c r="B207" i="18" s="1"/>
  <c r="B208" i="18" s="1"/>
  <c r="B209" i="18" s="1"/>
  <c r="B210" i="18" s="1"/>
  <c r="B211" i="18" s="1"/>
  <c r="B212" i="18" s="1"/>
  <c r="B213" i="18" s="1"/>
  <c r="B214" i="18" s="1"/>
  <c r="B215" i="18" s="1"/>
  <c r="B216" i="18" s="1"/>
  <c r="B217" i="18" s="1"/>
  <c r="B218" i="18" s="1"/>
  <c r="B219" i="18" s="1"/>
  <c r="B220" i="18" s="1"/>
  <c r="B221" i="18" s="1"/>
  <c r="B222" i="18" s="1"/>
  <c r="B223" i="18" s="1"/>
  <c r="B224" i="18" s="1"/>
  <c r="B225" i="18" s="1"/>
  <c r="B226" i="18" s="1"/>
  <c r="B227" i="18" s="1"/>
  <c r="B228" i="18" s="1"/>
  <c r="B229" i="18" s="1"/>
  <c r="B230" i="18" s="1"/>
  <c r="B231" i="18" s="1"/>
  <c r="B232" i="18" s="1"/>
  <c r="B233" i="18" s="1"/>
  <c r="B234" i="18" s="1"/>
  <c r="B7" i="17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B192" i="17" s="1"/>
  <c r="B193" i="17" s="1"/>
  <c r="B194" i="17" s="1"/>
  <c r="B195" i="17" s="1"/>
  <c r="B196" i="17" s="1"/>
  <c r="B197" i="17" s="1"/>
  <c r="B198" i="17" s="1"/>
  <c r="B199" i="17" s="1"/>
  <c r="B200" i="17" s="1"/>
  <c r="B201" i="17" s="1"/>
  <c r="B202" i="17" s="1"/>
  <c r="B203" i="17" s="1"/>
  <c r="B204" i="17" s="1"/>
  <c r="B205" i="17" s="1"/>
  <c r="B206" i="17" s="1"/>
  <c r="B207" i="17" s="1"/>
  <c r="B208" i="17" s="1"/>
  <c r="B209" i="17" s="1"/>
  <c r="B210" i="17" s="1"/>
  <c r="B211" i="17" s="1"/>
  <c r="B212" i="17" s="1"/>
  <c r="B213" i="17" s="1"/>
  <c r="B214" i="17" s="1"/>
  <c r="B215" i="17" s="1"/>
  <c r="B216" i="17" s="1"/>
  <c r="B217" i="17" s="1"/>
  <c r="B218" i="17" s="1"/>
  <c r="B219" i="17" s="1"/>
  <c r="B220" i="17" s="1"/>
  <c r="B221" i="17" s="1"/>
  <c r="B222" i="17" s="1"/>
  <c r="B223" i="17" s="1"/>
  <c r="B224" i="17" s="1"/>
  <c r="B225" i="17" s="1"/>
  <c r="B226" i="17" s="1"/>
  <c r="B227" i="17" s="1"/>
  <c r="B228" i="17" s="1"/>
  <c r="B229" i="17" s="1"/>
  <c r="B230" i="17" s="1"/>
  <c r="B231" i="17" s="1"/>
  <c r="B232" i="17" s="1"/>
  <c r="B233" i="17" s="1"/>
  <c r="B234" i="17" s="1"/>
  <c r="D6" i="17"/>
  <c r="D7" i="17" s="1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37" i="17" s="1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D49" i="17" s="1"/>
  <c r="D50" i="17" s="1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D62" i="17" s="1"/>
  <c r="D63" i="17" s="1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D75" i="17" s="1"/>
  <c r="D76" i="17" s="1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D88" i="17" s="1"/>
  <c r="D89" i="17" s="1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D101" i="17" s="1"/>
  <c r="D102" i="17" s="1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D114" i="17" s="1"/>
  <c r="D115" i="17" s="1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D127" i="17" s="1"/>
  <c r="D128" i="17" s="1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D140" i="17" s="1"/>
  <c r="D141" i="17" s="1"/>
  <c r="D142" i="17" s="1"/>
  <c r="D143" i="17" s="1"/>
  <c r="D144" i="17" s="1"/>
  <c r="D145" i="17" s="1"/>
  <c r="D146" i="17" s="1"/>
  <c r="D147" i="17" s="1"/>
  <c r="D148" i="17" s="1"/>
  <c r="D149" i="17" s="1"/>
  <c r="D150" i="17" s="1"/>
  <c r="D151" i="17" s="1"/>
  <c r="D152" i="17" s="1"/>
  <c r="D153" i="17" s="1"/>
  <c r="D154" i="17" s="1"/>
  <c r="D155" i="17" s="1"/>
  <c r="D156" i="17" s="1"/>
  <c r="D157" i="17" s="1"/>
  <c r="D158" i="17" s="1"/>
  <c r="D159" i="17" s="1"/>
  <c r="D160" i="17" s="1"/>
  <c r="D161" i="17" s="1"/>
  <c r="D162" i="17" s="1"/>
  <c r="D163" i="17" s="1"/>
  <c r="D164" i="17" s="1"/>
  <c r="D165" i="17" s="1"/>
  <c r="D166" i="17" s="1"/>
  <c r="D167" i="17" s="1"/>
  <c r="D168" i="17" s="1"/>
  <c r="D169" i="17" s="1"/>
  <c r="D170" i="17" s="1"/>
  <c r="D171" i="17" s="1"/>
  <c r="D172" i="17" s="1"/>
  <c r="D173" i="17" s="1"/>
  <c r="D174" i="17" s="1"/>
  <c r="D175" i="17" s="1"/>
  <c r="D176" i="17" s="1"/>
  <c r="D177" i="17" s="1"/>
  <c r="D178" i="17" s="1"/>
  <c r="D179" i="17" s="1"/>
  <c r="D180" i="17" s="1"/>
  <c r="D181" i="17" s="1"/>
  <c r="D182" i="17" s="1"/>
  <c r="D183" i="17" s="1"/>
  <c r="D184" i="17" s="1"/>
  <c r="D185" i="17" s="1"/>
  <c r="D186" i="17" s="1"/>
  <c r="D187" i="17" s="1"/>
  <c r="D188" i="17" s="1"/>
  <c r="D189" i="17" s="1"/>
  <c r="D190" i="17" s="1"/>
  <c r="D191" i="17" s="1"/>
  <c r="D192" i="17" s="1"/>
  <c r="D193" i="17" s="1"/>
  <c r="D194" i="17" s="1"/>
  <c r="D195" i="17" s="1"/>
  <c r="D196" i="17" s="1"/>
  <c r="D197" i="17" s="1"/>
  <c r="D198" i="17" s="1"/>
  <c r="D199" i="17" s="1"/>
  <c r="D200" i="17" s="1"/>
  <c r="D201" i="17" s="1"/>
  <c r="D202" i="17" s="1"/>
  <c r="D203" i="17" s="1"/>
  <c r="D204" i="17" s="1"/>
  <c r="D205" i="17" s="1"/>
  <c r="D206" i="17" s="1"/>
  <c r="D207" i="17" s="1"/>
  <c r="D208" i="17" s="1"/>
  <c r="D209" i="17" s="1"/>
  <c r="D210" i="17" s="1"/>
  <c r="D211" i="17" s="1"/>
  <c r="D212" i="17" s="1"/>
  <c r="D213" i="17" s="1"/>
  <c r="D214" i="17" s="1"/>
  <c r="D215" i="17" s="1"/>
  <c r="D216" i="17" s="1"/>
  <c r="D217" i="17" s="1"/>
  <c r="D218" i="17" s="1"/>
  <c r="D219" i="17" s="1"/>
  <c r="D220" i="17" s="1"/>
  <c r="D221" i="17" s="1"/>
  <c r="D222" i="17" s="1"/>
  <c r="D223" i="17" s="1"/>
  <c r="D224" i="17" s="1"/>
  <c r="D225" i="17" s="1"/>
  <c r="D226" i="17" s="1"/>
  <c r="D227" i="17" s="1"/>
  <c r="D228" i="17" s="1"/>
  <c r="D229" i="17" s="1"/>
  <c r="D230" i="17" s="1"/>
  <c r="D231" i="17" s="1"/>
  <c r="D232" i="17" s="1"/>
  <c r="D233" i="17" s="1"/>
  <c r="D234" i="17" s="1"/>
  <c r="B6" i="17"/>
  <c r="D6" i="16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B6" i="16"/>
  <c r="B7" i="16" s="1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B206" i="16" s="1"/>
  <c r="B207" i="16" s="1"/>
  <c r="B208" i="16" s="1"/>
  <c r="B209" i="16" s="1"/>
  <c r="B210" i="16" s="1"/>
  <c r="B211" i="16" s="1"/>
  <c r="B212" i="16" s="1"/>
  <c r="B213" i="16" s="1"/>
  <c r="B214" i="16" s="1"/>
  <c r="B215" i="16" s="1"/>
  <c r="B216" i="16" s="1"/>
  <c r="B217" i="16" s="1"/>
  <c r="B218" i="16" s="1"/>
  <c r="B219" i="16" s="1"/>
  <c r="B220" i="16" s="1"/>
  <c r="B221" i="16" s="1"/>
  <c r="B222" i="16" s="1"/>
  <c r="B223" i="16" s="1"/>
  <c r="B224" i="16" s="1"/>
  <c r="B225" i="16" s="1"/>
  <c r="B226" i="16" s="1"/>
  <c r="B227" i="16" s="1"/>
  <c r="B228" i="16" s="1"/>
  <c r="B229" i="16" s="1"/>
  <c r="B230" i="16" s="1"/>
  <c r="B231" i="16" s="1"/>
  <c r="B232" i="16" s="1"/>
  <c r="B233" i="16" s="1"/>
  <c r="B234" i="16" s="1"/>
  <c r="D6" i="15"/>
  <c r="D7" i="15" s="1"/>
  <c r="D8" i="15" s="1"/>
  <c r="D9" i="15" s="1"/>
  <c r="D10" i="15" s="1"/>
  <c r="D11" i="15" s="1"/>
  <c r="D12" i="15" s="1"/>
  <c r="D13" i="15" s="1"/>
  <c r="D14" i="15" s="1"/>
  <c r="D15" i="15" s="1"/>
  <c r="D16" i="15" s="1"/>
  <c r="D17" i="15" s="1"/>
  <c r="D18" i="15" s="1"/>
  <c r="D19" i="15" s="1"/>
  <c r="D20" i="15" s="1"/>
  <c r="D21" i="15" s="1"/>
  <c r="D22" i="15" s="1"/>
  <c r="D23" i="15" s="1"/>
  <c r="D24" i="15" s="1"/>
  <c r="D25" i="15" s="1"/>
  <c r="D26" i="15" s="1"/>
  <c r="D27" i="15" s="1"/>
  <c r="D28" i="15" s="1"/>
  <c r="D29" i="15" s="1"/>
  <c r="D30" i="15" s="1"/>
  <c r="D31" i="15" s="1"/>
  <c r="D32" i="15" s="1"/>
  <c r="D33" i="15" s="1"/>
  <c r="D34" i="15" s="1"/>
  <c r="D35" i="15" s="1"/>
  <c r="D36" i="15" s="1"/>
  <c r="D37" i="15" s="1"/>
  <c r="D38" i="15" s="1"/>
  <c r="D39" i="15" s="1"/>
  <c r="D40" i="15" s="1"/>
  <c r="D41" i="15" s="1"/>
  <c r="D42" i="15" s="1"/>
  <c r="D43" i="15" s="1"/>
  <c r="D44" i="15" s="1"/>
  <c r="D45" i="15" s="1"/>
  <c r="D46" i="15" s="1"/>
  <c r="D47" i="15" s="1"/>
  <c r="D48" i="15" s="1"/>
  <c r="D49" i="15" s="1"/>
  <c r="D50" i="15" s="1"/>
  <c r="D51" i="15" s="1"/>
  <c r="D52" i="15" s="1"/>
  <c r="D53" i="15" s="1"/>
  <c r="D54" i="15" s="1"/>
  <c r="D55" i="15" s="1"/>
  <c r="D56" i="15" s="1"/>
  <c r="D57" i="15" s="1"/>
  <c r="D58" i="15" s="1"/>
  <c r="D59" i="15" s="1"/>
  <c r="D60" i="15" s="1"/>
  <c r="D61" i="15" s="1"/>
  <c r="D62" i="15" s="1"/>
  <c r="D63" i="15" s="1"/>
  <c r="D64" i="15" s="1"/>
  <c r="D65" i="15" s="1"/>
  <c r="D66" i="15" s="1"/>
  <c r="D67" i="15" s="1"/>
  <c r="D68" i="15" s="1"/>
  <c r="D69" i="15" s="1"/>
  <c r="D70" i="15" s="1"/>
  <c r="D71" i="15" s="1"/>
  <c r="D72" i="15" s="1"/>
  <c r="D73" i="15" s="1"/>
  <c r="D74" i="15" s="1"/>
  <c r="D75" i="15" s="1"/>
  <c r="D76" i="15" s="1"/>
  <c r="D77" i="15" s="1"/>
  <c r="D78" i="15" s="1"/>
  <c r="D79" i="15" s="1"/>
  <c r="D80" i="15" s="1"/>
  <c r="D81" i="15" s="1"/>
  <c r="D82" i="15" s="1"/>
  <c r="D83" i="15" s="1"/>
  <c r="D84" i="15" s="1"/>
  <c r="D85" i="15" s="1"/>
  <c r="D86" i="15" s="1"/>
  <c r="D87" i="15" s="1"/>
  <c r="D88" i="15" s="1"/>
  <c r="D89" i="15" s="1"/>
  <c r="D90" i="15" s="1"/>
  <c r="D91" i="15" s="1"/>
  <c r="D92" i="15" s="1"/>
  <c r="D93" i="15" s="1"/>
  <c r="D94" i="15" s="1"/>
  <c r="D95" i="15" s="1"/>
  <c r="D96" i="15" s="1"/>
  <c r="D97" i="15" s="1"/>
  <c r="D98" i="15" s="1"/>
  <c r="D99" i="15" s="1"/>
  <c r="D100" i="15" s="1"/>
  <c r="D101" i="15" s="1"/>
  <c r="D102" i="15" s="1"/>
  <c r="D103" i="15" s="1"/>
  <c r="D104" i="15" s="1"/>
  <c r="D105" i="15" s="1"/>
  <c r="D106" i="15" s="1"/>
  <c r="D107" i="15" s="1"/>
  <c r="D108" i="15" s="1"/>
  <c r="D109" i="15" s="1"/>
  <c r="D110" i="15" s="1"/>
  <c r="D111" i="15" s="1"/>
  <c r="D112" i="15" s="1"/>
  <c r="D113" i="15" s="1"/>
  <c r="D114" i="15" s="1"/>
  <c r="D115" i="15" s="1"/>
  <c r="D116" i="15" s="1"/>
  <c r="D117" i="15" s="1"/>
  <c r="D118" i="15" s="1"/>
  <c r="D119" i="15" s="1"/>
  <c r="D120" i="15" s="1"/>
  <c r="D121" i="15" s="1"/>
  <c r="D122" i="15" s="1"/>
  <c r="D123" i="15" s="1"/>
  <c r="D124" i="15" s="1"/>
  <c r="D125" i="15" s="1"/>
  <c r="D126" i="15" s="1"/>
  <c r="D127" i="15" s="1"/>
  <c r="D128" i="15" s="1"/>
  <c r="D129" i="15" s="1"/>
  <c r="D130" i="15" s="1"/>
  <c r="D131" i="15" s="1"/>
  <c r="D132" i="15" s="1"/>
  <c r="D133" i="15" s="1"/>
  <c r="D134" i="15" s="1"/>
  <c r="D135" i="15" s="1"/>
  <c r="D136" i="15" s="1"/>
  <c r="D137" i="15" s="1"/>
  <c r="D138" i="15" s="1"/>
  <c r="D139" i="15" s="1"/>
  <c r="D140" i="15" s="1"/>
  <c r="D141" i="15" s="1"/>
  <c r="D142" i="15" s="1"/>
  <c r="D143" i="15" s="1"/>
  <c r="D144" i="15" s="1"/>
  <c r="D145" i="15" s="1"/>
  <c r="D146" i="15" s="1"/>
  <c r="D147" i="15" s="1"/>
  <c r="D148" i="15" s="1"/>
  <c r="D149" i="15" s="1"/>
  <c r="D150" i="15" s="1"/>
  <c r="D151" i="15" s="1"/>
  <c r="D152" i="15" s="1"/>
  <c r="D153" i="15" s="1"/>
  <c r="D154" i="15" s="1"/>
  <c r="D155" i="15" s="1"/>
  <c r="D156" i="15" s="1"/>
  <c r="D157" i="15" s="1"/>
  <c r="D158" i="15" s="1"/>
  <c r="D159" i="15" s="1"/>
  <c r="D160" i="15" s="1"/>
  <c r="D161" i="15" s="1"/>
  <c r="D162" i="15" s="1"/>
  <c r="D163" i="15" s="1"/>
  <c r="D164" i="15" s="1"/>
  <c r="D165" i="15" s="1"/>
  <c r="D166" i="15" s="1"/>
  <c r="D167" i="15" s="1"/>
  <c r="D168" i="15" s="1"/>
  <c r="D169" i="15" s="1"/>
  <c r="D170" i="15" s="1"/>
  <c r="D171" i="15" s="1"/>
  <c r="D172" i="15" s="1"/>
  <c r="D173" i="15" s="1"/>
  <c r="D174" i="15" s="1"/>
  <c r="D175" i="15" s="1"/>
  <c r="D176" i="15" s="1"/>
  <c r="D177" i="15" s="1"/>
  <c r="D178" i="15" s="1"/>
  <c r="D179" i="15" s="1"/>
  <c r="D180" i="15" s="1"/>
  <c r="D181" i="15" s="1"/>
  <c r="D182" i="15" s="1"/>
  <c r="D183" i="15" s="1"/>
  <c r="D184" i="15" s="1"/>
  <c r="D185" i="15" s="1"/>
  <c r="D186" i="15" s="1"/>
  <c r="D187" i="15" s="1"/>
  <c r="D188" i="15" s="1"/>
  <c r="D189" i="15" s="1"/>
  <c r="D190" i="15" s="1"/>
  <c r="D191" i="15" s="1"/>
  <c r="D192" i="15" s="1"/>
  <c r="D193" i="15" s="1"/>
  <c r="D194" i="15" s="1"/>
  <c r="D195" i="15" s="1"/>
  <c r="D196" i="15" s="1"/>
  <c r="D197" i="15" s="1"/>
  <c r="D198" i="15" s="1"/>
  <c r="D199" i="15" s="1"/>
  <c r="D200" i="15" s="1"/>
  <c r="D201" i="15" s="1"/>
  <c r="D202" i="15" s="1"/>
  <c r="D203" i="15" s="1"/>
  <c r="D204" i="15" s="1"/>
  <c r="D205" i="15" s="1"/>
  <c r="D206" i="15" s="1"/>
  <c r="D207" i="15" s="1"/>
  <c r="D208" i="15" s="1"/>
  <c r="D209" i="15" s="1"/>
  <c r="D210" i="15" s="1"/>
  <c r="D211" i="15" s="1"/>
  <c r="D212" i="15" s="1"/>
  <c r="D213" i="15" s="1"/>
  <c r="D214" i="15" s="1"/>
  <c r="D215" i="15" s="1"/>
  <c r="D216" i="15" s="1"/>
  <c r="D217" i="15" s="1"/>
  <c r="D218" i="15" s="1"/>
  <c r="D219" i="15" s="1"/>
  <c r="D220" i="15" s="1"/>
  <c r="D221" i="15" s="1"/>
  <c r="D222" i="15" s="1"/>
  <c r="D223" i="15" s="1"/>
  <c r="D224" i="15" s="1"/>
  <c r="D225" i="15" s="1"/>
  <c r="D226" i="15" s="1"/>
  <c r="D227" i="15" s="1"/>
  <c r="D228" i="15" s="1"/>
  <c r="D229" i="15" s="1"/>
  <c r="D230" i="15" s="1"/>
  <c r="D231" i="15" s="1"/>
  <c r="D232" i="15" s="1"/>
  <c r="D233" i="15" s="1"/>
  <c r="D234" i="15" s="1"/>
  <c r="B6" i="15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D74" i="14"/>
  <c r="D75" i="14" s="1"/>
  <c r="D76" i="14" s="1"/>
  <c r="D77" i="14" s="1"/>
  <c r="D78" i="14" s="1"/>
  <c r="D79" i="14" s="1"/>
  <c r="D80" i="14" s="1"/>
  <c r="D81" i="14" s="1"/>
  <c r="D82" i="14" s="1"/>
  <c r="D83" i="14" s="1"/>
  <c r="D84" i="14" s="1"/>
  <c r="D85" i="14" s="1"/>
  <c r="D86" i="14" s="1"/>
  <c r="D87" i="14" s="1"/>
  <c r="D88" i="14" s="1"/>
  <c r="D89" i="14" s="1"/>
  <c r="D90" i="14" s="1"/>
  <c r="D91" i="14" s="1"/>
  <c r="D92" i="14" s="1"/>
  <c r="D93" i="14" s="1"/>
  <c r="D94" i="14" s="1"/>
  <c r="D95" i="14" s="1"/>
  <c r="D96" i="14" s="1"/>
  <c r="D97" i="14" s="1"/>
  <c r="D98" i="14" s="1"/>
  <c r="D99" i="14" s="1"/>
  <c r="D100" i="14" s="1"/>
  <c r="D101" i="14" s="1"/>
  <c r="D102" i="14" s="1"/>
  <c r="D103" i="14" s="1"/>
  <c r="D104" i="14" s="1"/>
  <c r="D105" i="14" s="1"/>
  <c r="D106" i="14" s="1"/>
  <c r="D107" i="14" s="1"/>
  <c r="D108" i="14" s="1"/>
  <c r="D109" i="14" s="1"/>
  <c r="D110" i="14" s="1"/>
  <c r="D111" i="14" s="1"/>
  <c r="D112" i="14" s="1"/>
  <c r="D113" i="14" s="1"/>
  <c r="D114" i="14" s="1"/>
  <c r="D115" i="14" s="1"/>
  <c r="D116" i="14" s="1"/>
  <c r="D117" i="14" s="1"/>
  <c r="D118" i="14" s="1"/>
  <c r="D119" i="14" s="1"/>
  <c r="D120" i="14" s="1"/>
  <c r="D121" i="14" s="1"/>
  <c r="D122" i="14" s="1"/>
  <c r="D123" i="14" s="1"/>
  <c r="D124" i="14" s="1"/>
  <c r="D125" i="14" s="1"/>
  <c r="D126" i="14" s="1"/>
  <c r="D127" i="14" s="1"/>
  <c r="D128" i="14" s="1"/>
  <c r="D129" i="14" s="1"/>
  <c r="D130" i="14" s="1"/>
  <c r="D131" i="14" s="1"/>
  <c r="D132" i="14" s="1"/>
  <c r="B74" i="14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AP66" i="14"/>
  <c r="AO66" i="14"/>
  <c r="D6" i="14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D26" i="14" s="1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D50" i="14" s="1"/>
  <c r="D51" i="14" s="1"/>
  <c r="D52" i="14" s="1"/>
  <c r="D53" i="14" s="1"/>
  <c r="D54" i="14" s="1"/>
  <c r="D55" i="14" s="1"/>
  <c r="D56" i="14" s="1"/>
  <c r="D57" i="14" s="1"/>
  <c r="D58" i="14" s="1"/>
  <c r="D59" i="14" s="1"/>
  <c r="D60" i="14" s="1"/>
  <c r="D61" i="14" s="1"/>
  <c r="D62" i="14" s="1"/>
  <c r="D63" i="14" s="1"/>
  <c r="D64" i="14" s="1"/>
  <c r="B6" i="14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D38" i="13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B38" i="13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AP31" i="13"/>
  <c r="AO31" i="13"/>
  <c r="D6" i="13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B6" i="13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AR63" i="12"/>
  <c r="D38" i="12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B38" i="12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AP31" i="12"/>
  <c r="AO31" i="12"/>
  <c r="B7" i="12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D6" i="12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B6" i="12"/>
  <c r="AW9" i="3"/>
  <c r="AW8" i="3"/>
  <c r="S8" i="3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S22" i="3" s="1"/>
  <c r="S23" i="3" s="1"/>
  <c r="S24" i="3" s="1"/>
  <c r="S25" i="3" s="1"/>
  <c r="S26" i="3" s="1"/>
  <c r="S27" i="3" s="1"/>
  <c r="S28" i="3" s="1"/>
  <c r="S29" i="3" s="1"/>
  <c r="S30" i="3" s="1"/>
  <c r="S31" i="3" s="1"/>
  <c r="S32" i="3" s="1"/>
  <c r="S33" i="3" s="1"/>
  <c r="S34" i="3" s="1"/>
  <c r="S35" i="3" s="1"/>
  <c r="S36" i="3" s="1"/>
  <c r="S37" i="3" s="1"/>
  <c r="S38" i="3" s="1"/>
  <c r="S39" i="3" s="1"/>
  <c r="S40" i="3" s="1"/>
  <c r="S41" i="3" s="1"/>
  <c r="S42" i="3" s="1"/>
  <c r="S43" i="3" s="1"/>
  <c r="S44" i="3" s="1"/>
  <c r="S45" i="3" s="1"/>
  <c r="S46" i="3" s="1"/>
  <c r="S47" i="3" s="1"/>
  <c r="S48" i="3" s="1"/>
  <c r="S49" i="3" s="1"/>
  <c r="S50" i="3" s="1"/>
  <c r="S51" i="3" s="1"/>
  <c r="S52" i="3" s="1"/>
  <c r="S53" i="3" s="1"/>
  <c r="S54" i="3" s="1"/>
  <c r="S55" i="3" s="1"/>
  <c r="S56" i="3" s="1"/>
  <c r="S57" i="3" s="1"/>
  <c r="S58" i="3" s="1"/>
  <c r="S59" i="3" s="1"/>
  <c r="S60" i="3" s="1"/>
  <c r="S61" i="3" s="1"/>
  <c r="S62" i="3" s="1"/>
  <c r="S63" i="3" s="1"/>
  <c r="S64" i="3" s="1"/>
  <c r="S65" i="3" s="1"/>
  <c r="S66" i="3" s="1"/>
  <c r="S67" i="3" s="1"/>
  <c r="S68" i="3" s="1"/>
  <c r="S69" i="3" s="1"/>
  <c r="S70" i="3" s="1"/>
  <c r="S71" i="3" s="1"/>
  <c r="S72" i="3" s="1"/>
  <c r="S73" i="3" s="1"/>
  <c r="S74" i="3" s="1"/>
  <c r="S75" i="3" s="1"/>
  <c r="S76" i="3" s="1"/>
  <c r="S77" i="3" s="1"/>
  <c r="S78" i="3" s="1"/>
  <c r="S79" i="3" s="1"/>
  <c r="S80" i="3" s="1"/>
  <c r="S81" i="3" s="1"/>
  <c r="S82" i="3" s="1"/>
  <c r="S83" i="3" s="1"/>
  <c r="S84" i="3" s="1"/>
  <c r="S85" i="3" s="1"/>
  <c r="S86" i="3" s="1"/>
  <c r="S87" i="3" s="1"/>
  <c r="S88" i="3" s="1"/>
  <c r="S89" i="3" s="1"/>
  <c r="S90" i="3" s="1"/>
  <c r="S91" i="3" s="1"/>
  <c r="S92" i="3" s="1"/>
  <c r="S93" i="3" s="1"/>
  <c r="S94" i="3" s="1"/>
  <c r="S95" i="3" s="1"/>
  <c r="S96" i="3" s="1"/>
  <c r="S97" i="3" s="1"/>
  <c r="S98" i="3" s="1"/>
  <c r="S99" i="3" s="1"/>
  <c r="S100" i="3" s="1"/>
  <c r="S101" i="3" s="1"/>
  <c r="S102" i="3" s="1"/>
  <c r="S103" i="3" s="1"/>
  <c r="S104" i="3" s="1"/>
  <c r="S105" i="3" s="1"/>
  <c r="S106" i="3" s="1"/>
  <c r="S107" i="3" s="1"/>
  <c r="S108" i="3" s="1"/>
  <c r="S109" i="3" s="1"/>
  <c r="S110" i="3" s="1"/>
  <c r="S111" i="3" s="1"/>
  <c r="S112" i="3" s="1"/>
  <c r="S113" i="3" s="1"/>
  <c r="S114" i="3" s="1"/>
  <c r="S115" i="3" s="1"/>
  <c r="S116" i="3" s="1"/>
  <c r="S117" i="3" s="1"/>
  <c r="S118" i="3" s="1"/>
  <c r="S119" i="3" s="1"/>
  <c r="S120" i="3" s="1"/>
  <c r="S121" i="3" s="1"/>
  <c r="S122" i="3" s="1"/>
  <c r="S123" i="3" s="1"/>
  <c r="S124" i="3" s="1"/>
  <c r="S125" i="3" s="1"/>
  <c r="S126" i="3" s="1"/>
  <c r="S127" i="3" s="1"/>
  <c r="S128" i="3" s="1"/>
  <c r="S129" i="3" s="1"/>
  <c r="S130" i="3" s="1"/>
  <c r="S131" i="3" s="1"/>
  <c r="S132" i="3" s="1"/>
  <c r="S133" i="3" s="1"/>
  <c r="S134" i="3" s="1"/>
  <c r="S135" i="3" s="1"/>
  <c r="S136" i="3" s="1"/>
  <c r="S137" i="3" s="1"/>
  <c r="S138" i="3" s="1"/>
  <c r="S139" i="3" s="1"/>
  <c r="S140" i="3" s="1"/>
  <c r="S141" i="3" s="1"/>
  <c r="S142" i="3" s="1"/>
  <c r="S143" i="3" s="1"/>
  <c r="S144" i="3" s="1"/>
  <c r="S145" i="3" s="1"/>
  <c r="S146" i="3" s="1"/>
  <c r="S147" i="3" s="1"/>
  <c r="S148" i="3" s="1"/>
  <c r="S149" i="3" s="1"/>
  <c r="S150" i="3" s="1"/>
  <c r="S151" i="3" s="1"/>
  <c r="S152" i="3" s="1"/>
  <c r="S153" i="3" s="1"/>
  <c r="S154" i="3" s="1"/>
  <c r="S155" i="3" s="1"/>
  <c r="S156" i="3" s="1"/>
  <c r="S157" i="3" s="1"/>
  <c r="S158" i="3" s="1"/>
  <c r="S159" i="3" s="1"/>
  <c r="S160" i="3" s="1"/>
  <c r="S161" i="3" s="1"/>
  <c r="S162" i="3" s="1"/>
  <c r="S163" i="3" s="1"/>
  <c r="S164" i="3" s="1"/>
  <c r="S165" i="3" s="1"/>
  <c r="S166" i="3" s="1"/>
  <c r="S167" i="3" s="1"/>
  <c r="S168" i="3" s="1"/>
  <c r="S169" i="3" s="1"/>
  <c r="S170" i="3" s="1"/>
  <c r="S171" i="3" s="1"/>
  <c r="S172" i="3" s="1"/>
  <c r="S173" i="3" s="1"/>
  <c r="S174" i="3" s="1"/>
  <c r="S175" i="3" s="1"/>
  <c r="S176" i="3" s="1"/>
  <c r="S177" i="3" s="1"/>
  <c r="S178" i="3" s="1"/>
  <c r="S179" i="3" s="1"/>
  <c r="S180" i="3" s="1"/>
  <c r="S181" i="3" s="1"/>
  <c r="S182" i="3" s="1"/>
  <c r="S183" i="3" s="1"/>
  <c r="S184" i="3" s="1"/>
  <c r="S185" i="3" s="1"/>
  <c r="S186" i="3" s="1"/>
  <c r="S187" i="3" s="1"/>
  <c r="S188" i="3" s="1"/>
  <c r="S189" i="3" s="1"/>
  <c r="S190" i="3" s="1"/>
  <c r="S191" i="3" s="1"/>
  <c r="S192" i="3" s="1"/>
  <c r="S193" i="3" s="1"/>
  <c r="S194" i="3" s="1"/>
  <c r="S195" i="3" s="1"/>
  <c r="S196" i="3" s="1"/>
  <c r="S197" i="3" s="1"/>
  <c r="S198" i="3" s="1"/>
  <c r="S199" i="3" s="1"/>
  <c r="S200" i="3" s="1"/>
  <c r="S201" i="3" s="1"/>
  <c r="S202" i="3" s="1"/>
  <c r="S203" i="3" s="1"/>
  <c r="S204" i="3" s="1"/>
  <c r="S205" i="3" s="1"/>
  <c r="S206" i="3" s="1"/>
  <c r="S207" i="3" s="1"/>
  <c r="S208" i="3" s="1"/>
  <c r="S209" i="3" s="1"/>
  <c r="S210" i="3" s="1"/>
  <c r="S211" i="3" s="1"/>
  <c r="S212" i="3" s="1"/>
  <c r="S213" i="3" s="1"/>
  <c r="S214" i="3" s="1"/>
  <c r="S215" i="3" s="1"/>
  <c r="S216" i="3" s="1"/>
  <c r="S217" i="3" s="1"/>
  <c r="S218" i="3" s="1"/>
  <c r="S219" i="3" s="1"/>
  <c r="S220" i="3" s="1"/>
  <c r="S221" i="3" s="1"/>
  <c r="S222" i="3" s="1"/>
  <c r="S223" i="3" s="1"/>
  <c r="S224" i="3" s="1"/>
  <c r="S225" i="3" s="1"/>
  <c r="S226" i="3" s="1"/>
  <c r="S227" i="3" s="1"/>
  <c r="S228" i="3" s="1"/>
  <c r="S229" i="3" s="1"/>
  <c r="S230" i="3" s="1"/>
  <c r="S231" i="3" s="1"/>
  <c r="S232" i="3" s="1"/>
  <c r="S233" i="3" s="1"/>
  <c r="S234" i="3" s="1"/>
  <c r="BC7" i="3"/>
  <c r="AW7" i="3"/>
  <c r="BC6" i="3"/>
  <c r="AW6" i="3"/>
  <c r="BC5" i="3"/>
  <c r="AW5" i="3"/>
  <c r="I25" i="9"/>
  <c r="I5" i="9"/>
  <c r="AV7" i="3" l="1"/>
  <c r="AX7" i="3" s="1"/>
  <c r="AX6" i="3"/>
  <c r="L6" i="3"/>
  <c r="L7" i="3" s="1"/>
  <c r="L8" i="3" s="1"/>
  <c r="L9" i="3" s="1"/>
  <c r="L10" i="3" s="1"/>
  <c r="L11" i="3" s="1"/>
  <c r="L12" i="3" s="1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L35" i="3" s="1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L46" i="3" s="1"/>
  <c r="L47" i="3" s="1"/>
  <c r="L48" i="3" s="1"/>
  <c r="L49" i="3" s="1"/>
  <c r="L50" i="3" s="1"/>
  <c r="L51" i="3" s="1"/>
  <c r="L52" i="3" s="1"/>
  <c r="L53" i="3" s="1"/>
  <c r="L54" i="3" s="1"/>
  <c r="L55" i="3" s="1"/>
  <c r="L56" i="3" s="1"/>
  <c r="L57" i="3" s="1"/>
  <c r="L58" i="3" s="1"/>
  <c r="L59" i="3" s="1"/>
  <c r="L60" i="3" s="1"/>
  <c r="L61" i="3" s="1"/>
  <c r="L62" i="3" s="1"/>
  <c r="L63" i="3" s="1"/>
  <c r="L64" i="3" s="1"/>
  <c r="L65" i="3" s="1"/>
  <c r="L66" i="3" s="1"/>
  <c r="L67" i="3" s="1"/>
  <c r="L68" i="3" s="1"/>
  <c r="L69" i="3" s="1"/>
  <c r="L70" i="3" s="1"/>
  <c r="L71" i="3" s="1"/>
  <c r="L72" i="3" s="1"/>
  <c r="L73" i="3" s="1"/>
  <c r="L74" i="3" s="1"/>
  <c r="L75" i="3" s="1"/>
  <c r="L76" i="3" s="1"/>
  <c r="L77" i="3" s="1"/>
  <c r="L78" i="3" s="1"/>
  <c r="L79" i="3" s="1"/>
  <c r="L80" i="3" s="1"/>
  <c r="L81" i="3" s="1"/>
  <c r="L82" i="3" s="1"/>
  <c r="L83" i="3" s="1"/>
  <c r="L84" i="3" s="1"/>
  <c r="L85" i="3" s="1"/>
  <c r="L86" i="3" s="1"/>
  <c r="L87" i="3" s="1"/>
  <c r="L88" i="3" s="1"/>
  <c r="L89" i="3" s="1"/>
  <c r="L90" i="3" s="1"/>
  <c r="L91" i="3" s="1"/>
  <c r="L92" i="3" s="1"/>
  <c r="L93" i="3" s="1"/>
  <c r="L94" i="3" s="1"/>
  <c r="L95" i="3" s="1"/>
  <c r="L96" i="3" s="1"/>
  <c r="L97" i="3" s="1"/>
  <c r="L98" i="3" s="1"/>
  <c r="L99" i="3" s="1"/>
  <c r="L100" i="3" s="1"/>
  <c r="L101" i="3" s="1"/>
  <c r="L102" i="3" s="1"/>
  <c r="L103" i="3" s="1"/>
  <c r="L104" i="3" s="1"/>
  <c r="L105" i="3" s="1"/>
  <c r="L106" i="3" s="1"/>
  <c r="L107" i="3" s="1"/>
  <c r="L108" i="3" s="1"/>
  <c r="L109" i="3" s="1"/>
  <c r="L110" i="3" s="1"/>
  <c r="L111" i="3" s="1"/>
  <c r="L112" i="3" s="1"/>
  <c r="L113" i="3" s="1"/>
  <c r="L114" i="3" s="1"/>
  <c r="L115" i="3" s="1"/>
  <c r="L116" i="3" s="1"/>
  <c r="L117" i="3" s="1"/>
  <c r="L118" i="3" s="1"/>
  <c r="L119" i="3" s="1"/>
  <c r="L120" i="3" s="1"/>
  <c r="L121" i="3" s="1"/>
  <c r="L122" i="3" s="1"/>
  <c r="L123" i="3" s="1"/>
  <c r="L124" i="3" s="1"/>
  <c r="L125" i="3" s="1"/>
  <c r="L126" i="3" s="1"/>
  <c r="L127" i="3" s="1"/>
  <c r="L128" i="3" s="1"/>
  <c r="L129" i="3" s="1"/>
  <c r="L130" i="3" s="1"/>
  <c r="L131" i="3" s="1"/>
  <c r="L132" i="3" s="1"/>
  <c r="L133" i="3" s="1"/>
  <c r="L134" i="3" s="1"/>
  <c r="L135" i="3" s="1"/>
  <c r="L136" i="3" s="1"/>
  <c r="L137" i="3" s="1"/>
  <c r="L138" i="3" s="1"/>
  <c r="L139" i="3" s="1"/>
  <c r="L140" i="3" s="1"/>
  <c r="L141" i="3" s="1"/>
  <c r="L142" i="3" s="1"/>
  <c r="L143" i="3" s="1"/>
  <c r="L144" i="3" s="1"/>
  <c r="L145" i="3" s="1"/>
  <c r="L146" i="3" s="1"/>
  <c r="L147" i="3" s="1"/>
  <c r="L148" i="3" s="1"/>
  <c r="L149" i="3" s="1"/>
  <c r="L150" i="3" s="1"/>
  <c r="L151" i="3" s="1"/>
  <c r="L152" i="3" s="1"/>
  <c r="L153" i="3" s="1"/>
  <c r="L154" i="3" s="1"/>
  <c r="L155" i="3" s="1"/>
  <c r="L156" i="3" s="1"/>
  <c r="L157" i="3" s="1"/>
  <c r="L158" i="3" s="1"/>
  <c r="L159" i="3" s="1"/>
  <c r="L160" i="3" s="1"/>
  <c r="L161" i="3" s="1"/>
  <c r="L162" i="3" s="1"/>
  <c r="L163" i="3" s="1"/>
  <c r="L164" i="3" s="1"/>
  <c r="L165" i="3" s="1"/>
  <c r="L166" i="3" s="1"/>
  <c r="L167" i="3" s="1"/>
  <c r="L168" i="3" s="1"/>
  <c r="L169" i="3" s="1"/>
  <c r="L170" i="3" s="1"/>
  <c r="L171" i="3" s="1"/>
  <c r="L172" i="3" s="1"/>
  <c r="L173" i="3" s="1"/>
  <c r="L174" i="3" s="1"/>
  <c r="L175" i="3" s="1"/>
  <c r="L176" i="3" s="1"/>
  <c r="L177" i="3" s="1"/>
  <c r="L178" i="3" s="1"/>
  <c r="L179" i="3" s="1"/>
  <c r="L180" i="3" s="1"/>
  <c r="L181" i="3" s="1"/>
  <c r="L182" i="3" s="1"/>
  <c r="L183" i="3" s="1"/>
  <c r="L184" i="3" s="1"/>
  <c r="L185" i="3" s="1"/>
  <c r="L186" i="3" s="1"/>
  <c r="L187" i="3" s="1"/>
  <c r="L188" i="3" s="1"/>
  <c r="L189" i="3" s="1"/>
  <c r="L190" i="3" s="1"/>
  <c r="L191" i="3" s="1"/>
  <c r="L192" i="3" s="1"/>
  <c r="L193" i="3" s="1"/>
  <c r="L194" i="3" s="1"/>
  <c r="L195" i="3" s="1"/>
  <c r="L196" i="3" s="1"/>
  <c r="L197" i="3" s="1"/>
  <c r="L198" i="3" s="1"/>
  <c r="L199" i="3" s="1"/>
  <c r="L200" i="3" s="1"/>
  <c r="L201" i="3" s="1"/>
  <c r="L202" i="3" s="1"/>
  <c r="L203" i="3" s="1"/>
  <c r="L204" i="3" s="1"/>
  <c r="L205" i="3" s="1"/>
  <c r="L206" i="3" s="1"/>
  <c r="L207" i="3" s="1"/>
  <c r="L208" i="3" s="1"/>
  <c r="L209" i="3" s="1"/>
  <c r="L210" i="3" s="1"/>
  <c r="L211" i="3" s="1"/>
  <c r="L212" i="3" s="1"/>
  <c r="L213" i="3" s="1"/>
  <c r="L214" i="3" s="1"/>
  <c r="L215" i="3" s="1"/>
  <c r="L216" i="3" s="1"/>
  <c r="L217" i="3" s="1"/>
  <c r="L218" i="3" s="1"/>
  <c r="L219" i="3" s="1"/>
  <c r="L220" i="3" s="1"/>
  <c r="L221" i="3" s="1"/>
  <c r="L222" i="3" s="1"/>
  <c r="L223" i="3" s="1"/>
  <c r="L224" i="3" s="1"/>
  <c r="L225" i="3" s="1"/>
  <c r="L226" i="3" s="1"/>
  <c r="L227" i="3" s="1"/>
  <c r="L228" i="3" s="1"/>
  <c r="L229" i="3" s="1"/>
  <c r="L230" i="3" s="1"/>
  <c r="L231" i="3" s="1"/>
  <c r="L232" i="3" s="1"/>
  <c r="L233" i="3" s="1"/>
  <c r="L234" i="3" s="1"/>
  <c r="G19" i="4"/>
  <c r="G18" i="4"/>
  <c r="G17" i="4"/>
  <c r="G16" i="4"/>
  <c r="G29" i="4"/>
  <c r="G24" i="4"/>
  <c r="G15" i="4"/>
  <c r="G28" i="4"/>
  <c r="G30" i="4"/>
  <c r="G23" i="4"/>
  <c r="G27" i="4"/>
  <c r="G26" i="4"/>
  <c r="G25" i="4"/>
  <c r="G22" i="4"/>
  <c r="G21" i="4"/>
  <c r="G20" i="4"/>
  <c r="V5" i="3"/>
  <c r="O15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J6" i="3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AN4" i="3"/>
  <c r="G550" i="4"/>
  <c r="BI6" i="20"/>
  <c r="BJ6" i="20" s="1"/>
  <c r="BI7" i="20"/>
  <c r="BJ7" i="20" s="1"/>
  <c r="BI8" i="20"/>
  <c r="BJ8" i="20" s="1"/>
  <c r="BI9" i="20"/>
  <c r="BJ9" i="20" s="1"/>
  <c r="BI10" i="20"/>
  <c r="BJ10" i="20" s="1"/>
  <c r="BI11" i="20"/>
  <c r="BJ11" i="20" s="1"/>
  <c r="BI12" i="20"/>
  <c r="BJ12" i="20" s="1"/>
  <c r="BI13" i="20"/>
  <c r="BJ13" i="20" s="1"/>
  <c r="BI14" i="20"/>
  <c r="BJ14" i="20" s="1"/>
  <c r="BI15" i="20"/>
  <c r="BJ15" i="20" s="1"/>
  <c r="BI16" i="20"/>
  <c r="BJ16" i="20" s="1"/>
  <c r="BI17" i="20"/>
  <c r="BJ17" i="20" s="1"/>
  <c r="BI18" i="20"/>
  <c r="BJ18" i="20" s="1"/>
  <c r="BI19" i="20"/>
  <c r="BJ19" i="20" s="1"/>
  <c r="BI20" i="20"/>
  <c r="BJ20" i="20" s="1"/>
  <c r="BI21" i="20"/>
  <c r="BJ21" i="20" s="1"/>
  <c r="BI22" i="20"/>
  <c r="BJ22" i="20" s="1"/>
  <c r="BI23" i="20"/>
  <c r="BJ23" i="20" s="1"/>
  <c r="BI24" i="20"/>
  <c r="BJ24" i="20" s="1"/>
  <c r="BI25" i="20"/>
  <c r="BJ25" i="20" s="1"/>
  <c r="BI26" i="20"/>
  <c r="BJ26" i="20" s="1"/>
  <c r="BI27" i="20"/>
  <c r="BJ27" i="20" s="1"/>
  <c r="BI28" i="20"/>
  <c r="BJ28" i="20" s="1"/>
  <c r="BI29" i="20"/>
  <c r="BJ29" i="20" s="1"/>
  <c r="BI30" i="20"/>
  <c r="BJ30" i="20" s="1"/>
  <c r="BI31" i="20"/>
  <c r="BJ31" i="20" s="1"/>
  <c r="BI32" i="20"/>
  <c r="BJ32" i="20" s="1"/>
  <c r="BI33" i="20"/>
  <c r="BJ33" i="20" s="1"/>
  <c r="BI34" i="20"/>
  <c r="BJ34" i="20" s="1"/>
  <c r="BI35" i="20"/>
  <c r="BJ35" i="20" s="1"/>
  <c r="BI36" i="20"/>
  <c r="BJ36" i="20" s="1"/>
  <c r="BI37" i="20"/>
  <c r="BJ37" i="20" s="1"/>
  <c r="BI38" i="20"/>
  <c r="BJ38" i="20" s="1"/>
  <c r="BI39" i="20"/>
  <c r="BJ39" i="20" s="1"/>
  <c r="BI40" i="20"/>
  <c r="BJ40" i="20" s="1"/>
  <c r="BI41" i="20"/>
  <c r="BJ41" i="20" s="1"/>
  <c r="BI42" i="20"/>
  <c r="BJ42" i="20" s="1"/>
  <c r="BI43" i="20"/>
  <c r="BJ43" i="20" s="1"/>
  <c r="BI44" i="20"/>
  <c r="BJ44" i="20" s="1"/>
  <c r="BI45" i="20"/>
  <c r="BJ45" i="20" s="1"/>
  <c r="BI46" i="20"/>
  <c r="BJ46" i="20" s="1"/>
  <c r="BI47" i="20"/>
  <c r="BJ47" i="20" s="1"/>
  <c r="BI48" i="20"/>
  <c r="BJ48" i="20" s="1"/>
  <c r="BI49" i="20"/>
  <c r="BJ49" i="20" s="1"/>
  <c r="BI50" i="20"/>
  <c r="BJ50" i="20" s="1"/>
  <c r="BI51" i="20"/>
  <c r="BJ51" i="20" s="1"/>
  <c r="BI52" i="20"/>
  <c r="BJ52" i="20" s="1"/>
  <c r="BI53" i="20"/>
  <c r="BJ53" i="20" s="1"/>
  <c r="BI54" i="20"/>
  <c r="BJ54" i="20" s="1"/>
  <c r="BI55" i="20"/>
  <c r="BJ55" i="20" s="1"/>
  <c r="BI56" i="20"/>
  <c r="BJ56" i="20" s="1"/>
  <c r="BI57" i="20"/>
  <c r="BJ57" i="20" s="1"/>
  <c r="BI58" i="20"/>
  <c r="BJ58" i="20" s="1"/>
  <c r="BI59" i="20"/>
  <c r="BJ59" i="20" s="1"/>
  <c r="BI60" i="20"/>
  <c r="BJ60" i="20" s="1"/>
  <c r="BI61" i="20"/>
  <c r="BJ61" i="20" s="1"/>
  <c r="BI62" i="20"/>
  <c r="BJ62" i="20" s="1"/>
  <c r="BI63" i="20"/>
  <c r="BJ63" i="20" s="1"/>
  <c r="BI64" i="20"/>
  <c r="BJ64" i="20" s="1"/>
  <c r="BI65" i="20"/>
  <c r="BJ65" i="20" s="1"/>
  <c r="BI66" i="20"/>
  <c r="BJ66" i="20" s="1"/>
  <c r="BI67" i="20"/>
  <c r="BJ67" i="20" s="1"/>
  <c r="BI68" i="20"/>
  <c r="BJ68" i="20" s="1"/>
  <c r="BI69" i="20"/>
  <c r="BJ69" i="20" s="1"/>
  <c r="BI70" i="20"/>
  <c r="BJ70" i="20" s="1"/>
  <c r="BI71" i="20"/>
  <c r="BJ71" i="20" s="1"/>
  <c r="BI72" i="20"/>
  <c r="BJ72" i="20" s="1"/>
  <c r="BI73" i="20"/>
  <c r="BJ73" i="20" s="1"/>
  <c r="BI74" i="20"/>
  <c r="BJ74" i="20" s="1"/>
  <c r="BI75" i="20"/>
  <c r="BJ75" i="20" s="1"/>
  <c r="BI76" i="20"/>
  <c r="BJ76" i="20" s="1"/>
  <c r="BI77" i="20"/>
  <c r="BJ77" i="20" s="1"/>
  <c r="BI78" i="20"/>
  <c r="BJ78" i="20" s="1"/>
  <c r="BI79" i="20"/>
  <c r="BJ79" i="20" s="1"/>
  <c r="BI80" i="20"/>
  <c r="BJ80" i="20" s="1"/>
  <c r="BI81" i="20"/>
  <c r="BJ81" i="20" s="1"/>
  <c r="BI82" i="20"/>
  <c r="BJ82" i="20" s="1"/>
  <c r="BI83" i="20"/>
  <c r="BJ83" i="20" s="1"/>
  <c r="BI84" i="20"/>
  <c r="BJ84" i="20" s="1"/>
  <c r="BI85" i="20"/>
  <c r="BJ85" i="20" s="1"/>
  <c r="BI86" i="20"/>
  <c r="BJ86" i="20" s="1"/>
  <c r="BI87" i="20"/>
  <c r="BJ87" i="20" s="1"/>
  <c r="BI88" i="20"/>
  <c r="BJ88" i="20" s="1"/>
  <c r="BI89" i="20"/>
  <c r="BJ89" i="20" s="1"/>
  <c r="BI90" i="20"/>
  <c r="BJ90" i="20" s="1"/>
  <c r="BI91" i="20"/>
  <c r="BJ91" i="20" s="1"/>
  <c r="BI92" i="20"/>
  <c r="BJ92" i="20" s="1"/>
  <c r="BI93" i="20"/>
  <c r="BJ93" i="20" s="1"/>
  <c r="BI94" i="20"/>
  <c r="BJ94" i="20" s="1"/>
  <c r="BI95" i="20"/>
  <c r="BJ95" i="20" s="1"/>
  <c r="BI96" i="20"/>
  <c r="BJ96" i="20" s="1"/>
  <c r="BI97" i="20"/>
  <c r="BJ97" i="20" s="1"/>
  <c r="BI98" i="20"/>
  <c r="BJ98" i="20" s="1"/>
  <c r="BI99" i="20"/>
  <c r="BJ99" i="20" s="1"/>
  <c r="BI100" i="20"/>
  <c r="BJ100" i="20" s="1"/>
  <c r="BI101" i="20"/>
  <c r="BJ101" i="20" s="1"/>
  <c r="BI102" i="20"/>
  <c r="BJ102" i="20" s="1"/>
  <c r="BI103" i="20"/>
  <c r="BJ103" i="20" s="1"/>
  <c r="BI104" i="20"/>
  <c r="BJ104" i="20" s="1"/>
  <c r="BI105" i="20"/>
  <c r="BJ105" i="20" s="1"/>
  <c r="BI106" i="20"/>
  <c r="BJ106" i="20" s="1"/>
  <c r="BI107" i="20"/>
  <c r="BJ107" i="20" s="1"/>
  <c r="BI108" i="20"/>
  <c r="BJ108" i="20" s="1"/>
  <c r="BI109" i="20"/>
  <c r="BJ109" i="20" s="1"/>
  <c r="BI110" i="20"/>
  <c r="BJ110" i="20" s="1"/>
  <c r="BI111" i="20"/>
  <c r="BJ111" i="20" s="1"/>
  <c r="BI112" i="20"/>
  <c r="BJ112" i="20" s="1"/>
  <c r="BI113" i="20"/>
  <c r="BJ113" i="20" s="1"/>
  <c r="BI114" i="20"/>
  <c r="BJ114" i="20" s="1"/>
  <c r="BI115" i="20"/>
  <c r="BJ115" i="20" s="1"/>
  <c r="BI116" i="20"/>
  <c r="BJ116" i="20" s="1"/>
  <c r="BI117" i="20"/>
  <c r="BJ117" i="20" s="1"/>
  <c r="BI118" i="20"/>
  <c r="BJ118" i="20" s="1"/>
  <c r="BI119" i="20"/>
  <c r="BJ119" i="20" s="1"/>
  <c r="BI120" i="20"/>
  <c r="BJ120" i="20" s="1"/>
  <c r="BI121" i="20"/>
  <c r="BJ121" i="20" s="1"/>
  <c r="BI122" i="20"/>
  <c r="BJ122" i="20" s="1"/>
  <c r="BI123" i="20"/>
  <c r="BJ123" i="20" s="1"/>
  <c r="BI124" i="20"/>
  <c r="BJ124" i="20" s="1"/>
  <c r="BI125" i="20"/>
  <c r="BJ125" i="20" s="1"/>
  <c r="BI126" i="20"/>
  <c r="BJ126" i="20" s="1"/>
  <c r="BI127" i="20"/>
  <c r="BJ127" i="20" s="1"/>
  <c r="BI128" i="20"/>
  <c r="BJ128" i="20" s="1"/>
  <c r="BI129" i="20"/>
  <c r="BJ129" i="20" s="1"/>
  <c r="BI130" i="20"/>
  <c r="BJ130" i="20" s="1"/>
  <c r="BI131" i="20"/>
  <c r="BJ131" i="20" s="1"/>
  <c r="BI132" i="20"/>
  <c r="BJ132" i="20" s="1"/>
  <c r="BI133" i="20"/>
  <c r="BJ133" i="20" s="1"/>
  <c r="BI134" i="20"/>
  <c r="BJ134" i="20" s="1"/>
  <c r="BI135" i="20"/>
  <c r="BJ135" i="20" s="1"/>
  <c r="BI136" i="20"/>
  <c r="BJ136" i="20" s="1"/>
  <c r="BI137" i="20"/>
  <c r="BJ137" i="20" s="1"/>
  <c r="BI138" i="20"/>
  <c r="BJ138" i="20" s="1"/>
  <c r="BI139" i="20"/>
  <c r="BJ139" i="20" s="1"/>
  <c r="BI140" i="20"/>
  <c r="BJ140" i="20" s="1"/>
  <c r="BI141" i="20"/>
  <c r="BJ141" i="20" s="1"/>
  <c r="BI142" i="20"/>
  <c r="BJ142" i="20" s="1"/>
  <c r="BI143" i="20"/>
  <c r="BJ143" i="20" s="1"/>
  <c r="BI144" i="20"/>
  <c r="BJ144" i="20" s="1"/>
  <c r="BI145" i="20"/>
  <c r="BJ145" i="20" s="1"/>
  <c r="BI146" i="20"/>
  <c r="BJ146" i="20" s="1"/>
  <c r="BI147" i="20"/>
  <c r="BJ147" i="20" s="1"/>
  <c r="BI148" i="20"/>
  <c r="BJ148" i="20" s="1"/>
  <c r="BI149" i="20"/>
  <c r="BJ149" i="20" s="1"/>
  <c r="BI150" i="20"/>
  <c r="BJ150" i="20" s="1"/>
  <c r="BI151" i="20"/>
  <c r="BJ151" i="20" s="1"/>
  <c r="BI152" i="20"/>
  <c r="BJ152" i="20" s="1"/>
  <c r="BI153" i="20"/>
  <c r="BJ153" i="20" s="1"/>
  <c r="BI154" i="20"/>
  <c r="BJ154" i="20" s="1"/>
  <c r="BI155" i="20"/>
  <c r="BJ155" i="20" s="1"/>
  <c r="BI156" i="20"/>
  <c r="BJ156" i="20" s="1"/>
  <c r="BI157" i="20"/>
  <c r="BJ157" i="20" s="1"/>
  <c r="BI158" i="20"/>
  <c r="BJ158" i="20" s="1"/>
  <c r="BI159" i="20"/>
  <c r="BJ159" i="20" s="1"/>
  <c r="BI160" i="20"/>
  <c r="BJ160" i="20" s="1"/>
  <c r="BI161" i="20"/>
  <c r="BJ161" i="20" s="1"/>
  <c r="BI162" i="20"/>
  <c r="BJ162" i="20" s="1"/>
  <c r="BI163" i="20"/>
  <c r="BJ163" i="20" s="1"/>
  <c r="BI164" i="20"/>
  <c r="BJ164" i="20" s="1"/>
  <c r="BI165" i="20"/>
  <c r="BJ165" i="20" s="1"/>
  <c r="BI166" i="20"/>
  <c r="BJ166" i="20" s="1"/>
  <c r="BI167" i="20"/>
  <c r="BJ167" i="20" s="1"/>
  <c r="BI168" i="20"/>
  <c r="BJ168" i="20" s="1"/>
  <c r="BI169" i="20"/>
  <c r="BJ169" i="20" s="1"/>
  <c r="BI170" i="20"/>
  <c r="BJ170" i="20" s="1"/>
  <c r="BI171" i="20"/>
  <c r="BJ171" i="20" s="1"/>
  <c r="BI172" i="20"/>
  <c r="BJ172" i="20" s="1"/>
  <c r="BI173" i="20"/>
  <c r="BJ173" i="20" s="1"/>
  <c r="BI174" i="20"/>
  <c r="BJ174" i="20" s="1"/>
  <c r="BI175" i="20"/>
  <c r="BJ175" i="20" s="1"/>
  <c r="BI176" i="20"/>
  <c r="BJ176" i="20" s="1"/>
  <c r="BI177" i="20"/>
  <c r="BJ177" i="20" s="1"/>
  <c r="BI178" i="20"/>
  <c r="BJ178" i="20" s="1"/>
  <c r="BI179" i="20"/>
  <c r="BJ179" i="20" s="1"/>
  <c r="BI180" i="20"/>
  <c r="BJ180" i="20" s="1"/>
  <c r="BI181" i="20"/>
  <c r="BJ181" i="20" s="1"/>
  <c r="BI182" i="20"/>
  <c r="BJ182" i="20" s="1"/>
  <c r="BI183" i="20"/>
  <c r="BJ183" i="20" s="1"/>
  <c r="BI184" i="20"/>
  <c r="BJ184" i="20" s="1"/>
  <c r="BI185" i="20"/>
  <c r="BJ185" i="20" s="1"/>
  <c r="BI186" i="20"/>
  <c r="BJ186" i="20" s="1"/>
  <c r="BI187" i="20"/>
  <c r="BJ187" i="20" s="1"/>
  <c r="BI188" i="20"/>
  <c r="BJ188" i="20" s="1"/>
  <c r="BI189" i="20"/>
  <c r="BJ189" i="20" s="1"/>
  <c r="BI190" i="20"/>
  <c r="BJ190" i="20" s="1"/>
  <c r="BI191" i="20"/>
  <c r="BJ191" i="20" s="1"/>
  <c r="BI192" i="20"/>
  <c r="BJ192" i="20" s="1"/>
  <c r="BI193" i="20"/>
  <c r="BJ193" i="20" s="1"/>
  <c r="BI194" i="20"/>
  <c r="BJ194" i="20" s="1"/>
  <c r="BI195" i="20"/>
  <c r="BJ195" i="20" s="1"/>
  <c r="BI196" i="20"/>
  <c r="BJ196" i="20" s="1"/>
  <c r="BI197" i="20"/>
  <c r="BJ197" i="20" s="1"/>
  <c r="BI198" i="20"/>
  <c r="BJ198" i="20" s="1"/>
  <c r="BI199" i="20"/>
  <c r="BJ199" i="20" s="1"/>
  <c r="BI200" i="20"/>
  <c r="BJ200" i="20" s="1"/>
  <c r="BI201" i="20"/>
  <c r="BJ201" i="20" s="1"/>
  <c r="BI202" i="20"/>
  <c r="BJ202" i="20" s="1"/>
  <c r="BI203" i="20"/>
  <c r="BJ203" i="20" s="1"/>
  <c r="BI204" i="20"/>
  <c r="BJ204" i="20" s="1"/>
  <c r="BI205" i="20"/>
  <c r="BJ205" i="20" s="1"/>
  <c r="BI206" i="20"/>
  <c r="BJ206" i="20" s="1"/>
  <c r="BI207" i="20"/>
  <c r="BJ207" i="20" s="1"/>
  <c r="BI208" i="20"/>
  <c r="BJ208" i="20" s="1"/>
  <c r="BI209" i="20"/>
  <c r="BJ209" i="20" s="1"/>
  <c r="BI210" i="20"/>
  <c r="BJ210" i="20" s="1"/>
  <c r="BI211" i="20"/>
  <c r="BJ211" i="20" s="1"/>
  <c r="BI212" i="20"/>
  <c r="BJ212" i="20" s="1"/>
  <c r="BI213" i="20"/>
  <c r="BJ213" i="20" s="1"/>
  <c r="BI214" i="20"/>
  <c r="BJ214" i="20" s="1"/>
  <c r="BI215" i="20"/>
  <c r="BJ215" i="20" s="1"/>
  <c r="BI216" i="20"/>
  <c r="BJ216" i="20" s="1"/>
  <c r="BI217" i="20"/>
  <c r="BJ217" i="20" s="1"/>
  <c r="BI218" i="20"/>
  <c r="BJ218" i="20" s="1"/>
  <c r="BI219" i="20"/>
  <c r="BJ219" i="20" s="1"/>
  <c r="BI220" i="20"/>
  <c r="BJ220" i="20" s="1"/>
  <c r="BI221" i="20"/>
  <c r="BJ221" i="20" s="1"/>
  <c r="BI222" i="20"/>
  <c r="BJ222" i="20" s="1"/>
  <c r="BI223" i="20"/>
  <c r="BJ223" i="20" s="1"/>
  <c r="BI224" i="20"/>
  <c r="BJ224" i="20" s="1"/>
  <c r="BI225" i="20"/>
  <c r="BJ225" i="20" s="1"/>
  <c r="BI226" i="20"/>
  <c r="BJ226" i="20" s="1"/>
  <c r="BI227" i="20"/>
  <c r="BJ227" i="20" s="1"/>
  <c r="BI228" i="20"/>
  <c r="BJ228" i="20" s="1"/>
  <c r="BI229" i="20"/>
  <c r="BJ229" i="20" s="1"/>
  <c r="BI230" i="20"/>
  <c r="BJ230" i="20" s="1"/>
  <c r="BI231" i="20"/>
  <c r="BJ231" i="20" s="1"/>
  <c r="BI232" i="20"/>
  <c r="BJ232" i="20" s="1"/>
  <c r="BI233" i="20"/>
  <c r="BJ233" i="20" s="1"/>
  <c r="BI234" i="20"/>
  <c r="BJ234" i="20" s="1"/>
  <c r="O6" i="3"/>
  <c r="AQ6" i="3" s="1"/>
  <c r="O7" i="20"/>
  <c r="AG4" i="3"/>
  <c r="AC4" i="3"/>
  <c r="AH4" i="3" s="1"/>
  <c r="BD4" i="3" s="1"/>
  <c r="BI5" i="3"/>
  <c r="BJ5" i="3" s="1"/>
  <c r="O7" i="3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O35" i="3" s="1"/>
  <c r="O36" i="3" s="1"/>
  <c r="O37" i="3" s="1"/>
  <c r="O38" i="3" s="1"/>
  <c r="O39" i="3" s="1"/>
  <c r="O40" i="3" s="1"/>
  <c r="O41" i="3" s="1"/>
  <c r="O42" i="3" s="1"/>
  <c r="O43" i="3" s="1"/>
  <c r="O44" i="3" s="1"/>
  <c r="O45" i="3" s="1"/>
  <c r="O46" i="3" s="1"/>
  <c r="O47" i="3" s="1"/>
  <c r="O48" i="3" s="1"/>
  <c r="O49" i="3" s="1"/>
  <c r="O50" i="3" s="1"/>
  <c r="O51" i="3" s="1"/>
  <c r="O52" i="3" s="1"/>
  <c r="O53" i="3" s="1"/>
  <c r="O54" i="3" s="1"/>
  <c r="O55" i="3" s="1"/>
  <c r="O56" i="3" s="1"/>
  <c r="O57" i="3" s="1"/>
  <c r="O58" i="3" s="1"/>
  <c r="O59" i="3" s="1"/>
  <c r="O60" i="3" s="1"/>
  <c r="O61" i="3" s="1"/>
  <c r="O62" i="3" s="1"/>
  <c r="O63" i="3" s="1"/>
  <c r="O64" i="3" s="1"/>
  <c r="O65" i="3" s="1"/>
  <c r="O66" i="3" s="1"/>
  <c r="O67" i="3" s="1"/>
  <c r="O68" i="3" s="1"/>
  <c r="O69" i="3" s="1"/>
  <c r="O70" i="3" s="1"/>
  <c r="O71" i="3" s="1"/>
  <c r="O72" i="3" s="1"/>
  <c r="O73" i="3" s="1"/>
  <c r="O74" i="3" s="1"/>
  <c r="O75" i="3" s="1"/>
  <c r="O76" i="3" s="1"/>
  <c r="O77" i="3" s="1"/>
  <c r="O78" i="3" s="1"/>
  <c r="O79" i="3" s="1"/>
  <c r="O80" i="3" s="1"/>
  <c r="O81" i="3" s="1"/>
  <c r="O82" i="3" s="1"/>
  <c r="O83" i="3" s="1"/>
  <c r="O84" i="3" s="1"/>
  <c r="O85" i="3" s="1"/>
  <c r="O86" i="3" s="1"/>
  <c r="O87" i="3" s="1"/>
  <c r="O88" i="3" s="1"/>
  <c r="O89" i="3" s="1"/>
  <c r="O90" i="3" s="1"/>
  <c r="O91" i="3" s="1"/>
  <c r="O92" i="3" s="1"/>
  <c r="O93" i="3" s="1"/>
  <c r="O94" i="3" s="1"/>
  <c r="O95" i="3" s="1"/>
  <c r="O96" i="3" s="1"/>
  <c r="O97" i="3" s="1"/>
  <c r="O98" i="3" s="1"/>
  <c r="O99" i="3" s="1"/>
  <c r="O100" i="3" s="1"/>
  <c r="O101" i="3" s="1"/>
  <c r="O102" i="3" s="1"/>
  <c r="O103" i="3" s="1"/>
  <c r="O104" i="3" s="1"/>
  <c r="O105" i="3" s="1"/>
  <c r="O106" i="3" s="1"/>
  <c r="O107" i="3" s="1"/>
  <c r="O108" i="3" s="1"/>
  <c r="O109" i="3" s="1"/>
  <c r="O110" i="3" s="1"/>
  <c r="O111" i="3" s="1"/>
  <c r="O112" i="3" s="1"/>
  <c r="O113" i="3" s="1"/>
  <c r="O114" i="3" s="1"/>
  <c r="O115" i="3" s="1"/>
  <c r="O116" i="3" s="1"/>
  <c r="O117" i="3" s="1"/>
  <c r="O118" i="3" s="1"/>
  <c r="O119" i="3" s="1"/>
  <c r="O120" i="3" s="1"/>
  <c r="O121" i="3" s="1"/>
  <c r="O122" i="3" s="1"/>
  <c r="O123" i="3" s="1"/>
  <c r="O124" i="3" s="1"/>
  <c r="O125" i="3" s="1"/>
  <c r="O126" i="3" s="1"/>
  <c r="O127" i="3" s="1"/>
  <c r="O128" i="3" s="1"/>
  <c r="O129" i="3" s="1"/>
  <c r="O130" i="3" s="1"/>
  <c r="O131" i="3" s="1"/>
  <c r="O132" i="3" s="1"/>
  <c r="O133" i="3" s="1"/>
  <c r="O134" i="3" s="1"/>
  <c r="O135" i="3" s="1"/>
  <c r="O136" i="3" s="1"/>
  <c r="O137" i="3" s="1"/>
  <c r="O138" i="3" s="1"/>
  <c r="O139" i="3" s="1"/>
  <c r="O140" i="3" s="1"/>
  <c r="O141" i="3" s="1"/>
  <c r="O142" i="3" s="1"/>
  <c r="O143" i="3" s="1"/>
  <c r="O144" i="3" s="1"/>
  <c r="O145" i="3" s="1"/>
  <c r="O146" i="3" s="1"/>
  <c r="O147" i="3" s="1"/>
  <c r="O148" i="3" s="1"/>
  <c r="O149" i="3" s="1"/>
  <c r="O150" i="3" s="1"/>
  <c r="O151" i="3" s="1"/>
  <c r="O152" i="3" s="1"/>
  <c r="O153" i="3" s="1"/>
  <c r="O154" i="3" s="1"/>
  <c r="O155" i="3" s="1"/>
  <c r="O156" i="3" s="1"/>
  <c r="O157" i="3" s="1"/>
  <c r="O158" i="3" s="1"/>
  <c r="O159" i="3" s="1"/>
  <c r="O160" i="3" s="1"/>
  <c r="O161" i="3" s="1"/>
  <c r="O162" i="3" s="1"/>
  <c r="O163" i="3" s="1"/>
  <c r="O164" i="3" s="1"/>
  <c r="O165" i="3" s="1"/>
  <c r="O166" i="3" s="1"/>
  <c r="O167" i="3" s="1"/>
  <c r="O168" i="3" s="1"/>
  <c r="O169" i="3" s="1"/>
  <c r="O170" i="3" s="1"/>
  <c r="O171" i="3" s="1"/>
  <c r="O172" i="3" s="1"/>
  <c r="O173" i="3" s="1"/>
  <c r="O174" i="3" s="1"/>
  <c r="O175" i="3" s="1"/>
  <c r="O176" i="3" s="1"/>
  <c r="O177" i="3" s="1"/>
  <c r="O178" i="3" s="1"/>
  <c r="O179" i="3" s="1"/>
  <c r="O180" i="3" s="1"/>
  <c r="O181" i="3" s="1"/>
  <c r="O182" i="3" s="1"/>
  <c r="O183" i="3" s="1"/>
  <c r="O184" i="3" s="1"/>
  <c r="O185" i="3" s="1"/>
  <c r="O186" i="3" s="1"/>
  <c r="O187" i="3" s="1"/>
  <c r="O188" i="3" s="1"/>
  <c r="O189" i="3" s="1"/>
  <c r="O190" i="3" s="1"/>
  <c r="O191" i="3" s="1"/>
  <c r="O192" i="3" s="1"/>
  <c r="O193" i="3" s="1"/>
  <c r="O194" i="3" s="1"/>
  <c r="O195" i="3" s="1"/>
  <c r="O196" i="3" s="1"/>
  <c r="O197" i="3" s="1"/>
  <c r="O198" i="3" s="1"/>
  <c r="O199" i="3" s="1"/>
  <c r="O200" i="3" s="1"/>
  <c r="O201" i="3" s="1"/>
  <c r="O202" i="3" s="1"/>
  <c r="O203" i="3" s="1"/>
  <c r="O204" i="3" s="1"/>
  <c r="O205" i="3" s="1"/>
  <c r="O206" i="3" s="1"/>
  <c r="O207" i="3" s="1"/>
  <c r="O208" i="3" s="1"/>
  <c r="O209" i="3" s="1"/>
  <c r="O210" i="3" s="1"/>
  <c r="O211" i="3" s="1"/>
  <c r="O212" i="3" s="1"/>
  <c r="O213" i="3" s="1"/>
  <c r="O214" i="3" s="1"/>
  <c r="O215" i="3" s="1"/>
  <c r="O216" i="3" s="1"/>
  <c r="O217" i="3" s="1"/>
  <c r="O218" i="3" s="1"/>
  <c r="O219" i="3" s="1"/>
  <c r="O220" i="3" s="1"/>
  <c r="O221" i="3" s="1"/>
  <c r="O222" i="3" s="1"/>
  <c r="O223" i="3" s="1"/>
  <c r="O224" i="3" s="1"/>
  <c r="O225" i="3" s="1"/>
  <c r="O226" i="3" s="1"/>
  <c r="O227" i="3" s="1"/>
  <c r="O228" i="3" s="1"/>
  <c r="O229" i="3" s="1"/>
  <c r="O230" i="3" s="1"/>
  <c r="O231" i="3" s="1"/>
  <c r="O232" i="3" s="1"/>
  <c r="O233" i="3" s="1"/>
  <c r="O234" i="3" s="1"/>
  <c r="O5" i="3"/>
  <c r="A6" i="3"/>
  <c r="A7" i="3" s="1"/>
  <c r="BI7" i="3" s="1"/>
  <c r="BJ7" i="3" s="1"/>
  <c r="V6" i="3"/>
  <c r="X6" i="3" s="1"/>
  <c r="AV63" i="12"/>
  <c r="AV63" i="13"/>
  <c r="AV31" i="13"/>
  <c r="AV31" i="12"/>
  <c r="AV5" i="3"/>
  <c r="AX5" i="3" s="1"/>
  <c r="H6" i="3"/>
  <c r="G8" i="3"/>
  <c r="B8" i="1"/>
  <c r="K581" i="4"/>
  <c r="K580" i="4"/>
  <c r="K579" i="4"/>
  <c r="K578" i="4"/>
  <c r="N578" i="4" s="1"/>
  <c r="O578" i="4" s="1"/>
  <c r="C579" i="4"/>
  <c r="C580" i="4"/>
  <c r="C581" i="4"/>
  <c r="C578" i="4"/>
  <c r="F578" i="4" s="1"/>
  <c r="G578" i="4" s="1"/>
  <c r="M571" i="4"/>
  <c r="M570" i="4"/>
  <c r="M569" i="4"/>
  <c r="M568" i="4"/>
  <c r="M567" i="4"/>
  <c r="N567" i="4" s="1"/>
  <c r="O567" i="4" s="1"/>
  <c r="E571" i="4"/>
  <c r="E568" i="4"/>
  <c r="E569" i="4"/>
  <c r="E570" i="4"/>
  <c r="E567" i="4"/>
  <c r="N156" i="4"/>
  <c r="O156" i="4" s="1"/>
  <c r="N157" i="4"/>
  <c r="O157" i="4" s="1"/>
  <c r="N158" i="4"/>
  <c r="O158" i="4" s="1"/>
  <c r="N159" i="4"/>
  <c r="O159" i="4" s="1"/>
  <c r="N160" i="4"/>
  <c r="O160" i="4" s="1"/>
  <c r="N161" i="4"/>
  <c r="O161" i="4" s="1"/>
  <c r="N162" i="4"/>
  <c r="O162" i="4" s="1"/>
  <c r="N163" i="4"/>
  <c r="O163" i="4" s="1"/>
  <c r="N164" i="4"/>
  <c r="O164" i="4" s="1"/>
  <c r="N165" i="4"/>
  <c r="O165" i="4" s="1"/>
  <c r="N166" i="4"/>
  <c r="O166" i="4" s="1"/>
  <c r="N167" i="4"/>
  <c r="O167" i="4" s="1"/>
  <c r="N168" i="4"/>
  <c r="O168" i="4" s="1"/>
  <c r="N169" i="4"/>
  <c r="O169" i="4" s="1"/>
  <c r="N170" i="4"/>
  <c r="O170" i="4" s="1"/>
  <c r="N171" i="4"/>
  <c r="O171" i="4" s="1"/>
  <c r="N172" i="4"/>
  <c r="O172" i="4" s="1"/>
  <c r="N173" i="4"/>
  <c r="O173" i="4" s="1"/>
  <c r="N174" i="4"/>
  <c r="O174" i="4" s="1"/>
  <c r="N175" i="4"/>
  <c r="O175" i="4" s="1"/>
  <c r="N176" i="4"/>
  <c r="O176" i="4" s="1"/>
  <c r="N177" i="4"/>
  <c r="O177" i="4" s="1"/>
  <c r="N178" i="4"/>
  <c r="O178" i="4" s="1"/>
  <c r="N179" i="4"/>
  <c r="O179" i="4" s="1"/>
  <c r="N180" i="4"/>
  <c r="O180" i="4" s="1"/>
  <c r="N181" i="4"/>
  <c r="O181" i="4" s="1"/>
  <c r="N182" i="4"/>
  <c r="O182" i="4" s="1"/>
  <c r="N183" i="4"/>
  <c r="O183" i="4" s="1"/>
  <c r="N184" i="4"/>
  <c r="O184" i="4" s="1"/>
  <c r="N185" i="4"/>
  <c r="O185" i="4" s="1"/>
  <c r="N186" i="4"/>
  <c r="O186" i="4" s="1"/>
  <c r="N187" i="4"/>
  <c r="O187" i="4" s="1"/>
  <c r="N188" i="4"/>
  <c r="O188" i="4" s="1"/>
  <c r="N189" i="4"/>
  <c r="O189" i="4" s="1"/>
  <c r="N190" i="4"/>
  <c r="O190" i="4" s="1"/>
  <c r="N191" i="4"/>
  <c r="O191" i="4" s="1"/>
  <c r="N192" i="4"/>
  <c r="O192" i="4" s="1"/>
  <c r="N193" i="4"/>
  <c r="O193" i="4" s="1"/>
  <c r="N194" i="4"/>
  <c r="O194" i="4" s="1"/>
  <c r="N195" i="4"/>
  <c r="O195" i="4" s="1"/>
  <c r="N196" i="4"/>
  <c r="O196" i="4" s="1"/>
  <c r="N197" i="4"/>
  <c r="O197" i="4" s="1"/>
  <c r="N198" i="4"/>
  <c r="O198" i="4" s="1"/>
  <c r="N199" i="4"/>
  <c r="O199" i="4" s="1"/>
  <c r="N200" i="4"/>
  <c r="O200" i="4" s="1"/>
  <c r="N201" i="4"/>
  <c r="O201" i="4" s="1"/>
  <c r="N202" i="4"/>
  <c r="O202" i="4" s="1"/>
  <c r="N203" i="4"/>
  <c r="O203" i="4" s="1"/>
  <c r="N204" i="4"/>
  <c r="O204" i="4" s="1"/>
  <c r="N205" i="4"/>
  <c r="O205" i="4" s="1"/>
  <c r="N206" i="4"/>
  <c r="O206" i="4" s="1"/>
  <c r="N207" i="4"/>
  <c r="O207" i="4" s="1"/>
  <c r="N208" i="4"/>
  <c r="O208" i="4" s="1"/>
  <c r="N209" i="4"/>
  <c r="O209" i="4" s="1"/>
  <c r="N210" i="4"/>
  <c r="O210" i="4" s="1"/>
  <c r="N211" i="4"/>
  <c r="O211" i="4" s="1"/>
  <c r="N212" i="4"/>
  <c r="O212" i="4" s="1"/>
  <c r="N213" i="4"/>
  <c r="O213" i="4" s="1"/>
  <c r="N214" i="4"/>
  <c r="O214" i="4" s="1"/>
  <c r="N215" i="4"/>
  <c r="O215" i="4" s="1"/>
  <c r="N216" i="4"/>
  <c r="O216" i="4" s="1"/>
  <c r="N217" i="4"/>
  <c r="O217" i="4" s="1"/>
  <c r="N218" i="4"/>
  <c r="O218" i="4" s="1"/>
  <c r="N219" i="4"/>
  <c r="O219" i="4" s="1"/>
  <c r="N220" i="4"/>
  <c r="O220" i="4" s="1"/>
  <c r="N221" i="4"/>
  <c r="O221" i="4" s="1"/>
  <c r="N222" i="4"/>
  <c r="O222" i="4" s="1"/>
  <c r="N223" i="4"/>
  <c r="O223" i="4" s="1"/>
  <c r="N224" i="4"/>
  <c r="O224" i="4" s="1"/>
  <c r="N225" i="4"/>
  <c r="O225" i="4" s="1"/>
  <c r="N226" i="4"/>
  <c r="O226" i="4" s="1"/>
  <c r="N227" i="4"/>
  <c r="O227" i="4" s="1"/>
  <c r="N228" i="4"/>
  <c r="O228" i="4" s="1"/>
  <c r="N229" i="4"/>
  <c r="O229" i="4" s="1"/>
  <c r="N230" i="4"/>
  <c r="O230" i="4" s="1"/>
  <c r="N231" i="4"/>
  <c r="O231" i="4" s="1"/>
  <c r="N232" i="4"/>
  <c r="O232" i="4" s="1"/>
  <c r="N233" i="4"/>
  <c r="O233" i="4" s="1"/>
  <c r="N234" i="4"/>
  <c r="O234" i="4" s="1"/>
  <c r="N235" i="4"/>
  <c r="O235" i="4" s="1"/>
  <c r="N236" i="4"/>
  <c r="O236" i="4" s="1"/>
  <c r="N237" i="4"/>
  <c r="O237" i="4" s="1"/>
  <c r="N238" i="4"/>
  <c r="O238" i="4" s="1"/>
  <c r="N239" i="4"/>
  <c r="O239" i="4" s="1"/>
  <c r="N240" i="4"/>
  <c r="O240" i="4" s="1"/>
  <c r="N241" i="4"/>
  <c r="O241" i="4" s="1"/>
  <c r="N242" i="4"/>
  <c r="O242" i="4" s="1"/>
  <c r="N243" i="4"/>
  <c r="O243" i="4" s="1"/>
  <c r="N244" i="4"/>
  <c r="O244" i="4" s="1"/>
  <c r="N245" i="4"/>
  <c r="O245" i="4" s="1"/>
  <c r="N246" i="4"/>
  <c r="O246" i="4" s="1"/>
  <c r="N247" i="4"/>
  <c r="O247" i="4" s="1"/>
  <c r="N248" i="4"/>
  <c r="O248" i="4" s="1"/>
  <c r="N249" i="4"/>
  <c r="O249" i="4" s="1"/>
  <c r="N250" i="4"/>
  <c r="O250" i="4" s="1"/>
  <c r="N251" i="4"/>
  <c r="O251" i="4" s="1"/>
  <c r="N252" i="4"/>
  <c r="O252" i="4" s="1"/>
  <c r="N253" i="4"/>
  <c r="O253" i="4" s="1"/>
  <c r="N254" i="4"/>
  <c r="O254" i="4" s="1"/>
  <c r="N255" i="4"/>
  <c r="O255" i="4" s="1"/>
  <c r="N256" i="4"/>
  <c r="O256" i="4" s="1"/>
  <c r="N257" i="4"/>
  <c r="O257" i="4" s="1"/>
  <c r="N258" i="4"/>
  <c r="O258" i="4" s="1"/>
  <c r="N259" i="4"/>
  <c r="O259" i="4" s="1"/>
  <c r="N260" i="4"/>
  <c r="O260" i="4" s="1"/>
  <c r="N261" i="4"/>
  <c r="O261" i="4" s="1"/>
  <c r="N262" i="4"/>
  <c r="O262" i="4" s="1"/>
  <c r="N263" i="4"/>
  <c r="O263" i="4" s="1"/>
  <c r="N264" i="4"/>
  <c r="O264" i="4" s="1"/>
  <c r="N265" i="4"/>
  <c r="O265" i="4" s="1"/>
  <c r="N266" i="4"/>
  <c r="O266" i="4" s="1"/>
  <c r="N267" i="4"/>
  <c r="O267" i="4" s="1"/>
  <c r="N268" i="4"/>
  <c r="O268" i="4" s="1"/>
  <c r="N269" i="4"/>
  <c r="O269" i="4" s="1"/>
  <c r="N270" i="4"/>
  <c r="O270" i="4" s="1"/>
  <c r="N271" i="4"/>
  <c r="O271" i="4" s="1"/>
  <c r="N272" i="4"/>
  <c r="O272" i="4" s="1"/>
  <c r="N273" i="4"/>
  <c r="O273" i="4" s="1"/>
  <c r="N274" i="4"/>
  <c r="O274" i="4" s="1"/>
  <c r="N275" i="4"/>
  <c r="O275" i="4" s="1"/>
  <c r="N276" i="4"/>
  <c r="O276" i="4" s="1"/>
  <c r="N277" i="4"/>
  <c r="O277" i="4" s="1"/>
  <c r="N278" i="4"/>
  <c r="O278" i="4" s="1"/>
  <c r="N279" i="4"/>
  <c r="O279" i="4" s="1"/>
  <c r="N280" i="4"/>
  <c r="O280" i="4" s="1"/>
  <c r="N281" i="4"/>
  <c r="O281" i="4" s="1"/>
  <c r="N282" i="4"/>
  <c r="O282" i="4" s="1"/>
  <c r="N283" i="4"/>
  <c r="O283" i="4" s="1"/>
  <c r="N284" i="4"/>
  <c r="O284" i="4" s="1"/>
  <c r="N285" i="4"/>
  <c r="O285" i="4" s="1"/>
  <c r="N286" i="4"/>
  <c r="O286" i="4" s="1"/>
  <c r="N287" i="4"/>
  <c r="O287" i="4" s="1"/>
  <c r="N288" i="4"/>
  <c r="O288" i="4" s="1"/>
  <c r="N289" i="4"/>
  <c r="O289" i="4" s="1"/>
  <c r="N290" i="4"/>
  <c r="O290" i="4" s="1"/>
  <c r="N291" i="4"/>
  <c r="O291" i="4" s="1"/>
  <c r="N292" i="4"/>
  <c r="O292" i="4" s="1"/>
  <c r="N293" i="4"/>
  <c r="O293" i="4" s="1"/>
  <c r="N294" i="4"/>
  <c r="O294" i="4" s="1"/>
  <c r="N295" i="4"/>
  <c r="O295" i="4" s="1"/>
  <c r="N296" i="4"/>
  <c r="O296" i="4" s="1"/>
  <c r="N297" i="4"/>
  <c r="O297" i="4" s="1"/>
  <c r="N298" i="4"/>
  <c r="O298" i="4" s="1"/>
  <c r="N299" i="4"/>
  <c r="O299" i="4" s="1"/>
  <c r="N300" i="4"/>
  <c r="O300" i="4" s="1"/>
  <c r="N301" i="4"/>
  <c r="O301" i="4" s="1"/>
  <c r="N302" i="4"/>
  <c r="O302" i="4" s="1"/>
  <c r="N303" i="4"/>
  <c r="O303" i="4" s="1"/>
  <c r="N304" i="4"/>
  <c r="O304" i="4" s="1"/>
  <c r="N305" i="4"/>
  <c r="O305" i="4" s="1"/>
  <c r="N306" i="4"/>
  <c r="O306" i="4" s="1"/>
  <c r="N307" i="4"/>
  <c r="O307" i="4" s="1"/>
  <c r="N308" i="4"/>
  <c r="O308" i="4" s="1"/>
  <c r="N309" i="4"/>
  <c r="O309" i="4" s="1"/>
  <c r="N310" i="4"/>
  <c r="O310" i="4" s="1"/>
  <c r="N311" i="4"/>
  <c r="O311" i="4" s="1"/>
  <c r="N312" i="4"/>
  <c r="O312" i="4" s="1"/>
  <c r="N313" i="4"/>
  <c r="O313" i="4" s="1"/>
  <c r="N314" i="4"/>
  <c r="O314" i="4" s="1"/>
  <c r="N315" i="4"/>
  <c r="O315" i="4" s="1"/>
  <c r="N316" i="4"/>
  <c r="O316" i="4" s="1"/>
  <c r="N317" i="4"/>
  <c r="O317" i="4" s="1"/>
  <c r="N318" i="4"/>
  <c r="O318" i="4" s="1"/>
  <c r="N319" i="4"/>
  <c r="O319" i="4" s="1"/>
  <c r="N320" i="4"/>
  <c r="O320" i="4" s="1"/>
  <c r="N321" i="4"/>
  <c r="O321" i="4" s="1"/>
  <c r="N322" i="4"/>
  <c r="O322" i="4" s="1"/>
  <c r="N323" i="4"/>
  <c r="O323" i="4" s="1"/>
  <c r="N324" i="4"/>
  <c r="O324" i="4" s="1"/>
  <c r="N325" i="4"/>
  <c r="O325" i="4" s="1"/>
  <c r="N326" i="4"/>
  <c r="O326" i="4" s="1"/>
  <c r="N327" i="4"/>
  <c r="O327" i="4" s="1"/>
  <c r="N328" i="4"/>
  <c r="O328" i="4" s="1"/>
  <c r="N329" i="4"/>
  <c r="O329" i="4" s="1"/>
  <c r="N330" i="4"/>
  <c r="O330" i="4" s="1"/>
  <c r="N331" i="4"/>
  <c r="O331" i="4" s="1"/>
  <c r="N332" i="4"/>
  <c r="O332" i="4" s="1"/>
  <c r="N333" i="4"/>
  <c r="O333" i="4" s="1"/>
  <c r="N334" i="4"/>
  <c r="O334" i="4" s="1"/>
  <c r="N335" i="4"/>
  <c r="O335" i="4" s="1"/>
  <c r="N336" i="4"/>
  <c r="O336" i="4" s="1"/>
  <c r="N337" i="4"/>
  <c r="O337" i="4" s="1"/>
  <c r="N338" i="4"/>
  <c r="O338" i="4" s="1"/>
  <c r="N339" i="4"/>
  <c r="O339" i="4" s="1"/>
  <c r="N340" i="4"/>
  <c r="O340" i="4" s="1"/>
  <c r="N341" i="4"/>
  <c r="O341" i="4" s="1"/>
  <c r="N342" i="4"/>
  <c r="O342" i="4" s="1"/>
  <c r="N343" i="4"/>
  <c r="O343" i="4" s="1"/>
  <c r="N344" i="4"/>
  <c r="O344" i="4" s="1"/>
  <c r="N345" i="4"/>
  <c r="O345" i="4" s="1"/>
  <c r="N346" i="4"/>
  <c r="O346" i="4" s="1"/>
  <c r="N347" i="4"/>
  <c r="O347" i="4" s="1"/>
  <c r="N348" i="4"/>
  <c r="O348" i="4" s="1"/>
  <c r="N349" i="4"/>
  <c r="O349" i="4" s="1"/>
  <c r="N350" i="4"/>
  <c r="O350" i="4" s="1"/>
  <c r="N351" i="4"/>
  <c r="O351" i="4" s="1"/>
  <c r="N352" i="4"/>
  <c r="O352" i="4" s="1"/>
  <c r="N353" i="4"/>
  <c r="O353" i="4" s="1"/>
  <c r="N354" i="4"/>
  <c r="O354" i="4" s="1"/>
  <c r="N355" i="4"/>
  <c r="O355" i="4" s="1"/>
  <c r="N356" i="4"/>
  <c r="O356" i="4" s="1"/>
  <c r="N357" i="4"/>
  <c r="O357" i="4" s="1"/>
  <c r="N358" i="4"/>
  <c r="O358" i="4" s="1"/>
  <c r="N359" i="4"/>
  <c r="O359" i="4" s="1"/>
  <c r="N360" i="4"/>
  <c r="O360" i="4" s="1"/>
  <c r="N361" i="4"/>
  <c r="O361" i="4" s="1"/>
  <c r="N362" i="4"/>
  <c r="O362" i="4" s="1"/>
  <c r="N363" i="4"/>
  <c r="O363" i="4" s="1"/>
  <c r="N364" i="4"/>
  <c r="O364" i="4" s="1"/>
  <c r="N365" i="4"/>
  <c r="O365" i="4" s="1"/>
  <c r="N366" i="4"/>
  <c r="O366" i="4" s="1"/>
  <c r="N367" i="4"/>
  <c r="O367" i="4" s="1"/>
  <c r="N368" i="4"/>
  <c r="O368" i="4" s="1"/>
  <c r="N369" i="4"/>
  <c r="O369" i="4" s="1"/>
  <c r="N370" i="4"/>
  <c r="O370" i="4" s="1"/>
  <c r="N371" i="4"/>
  <c r="O371" i="4" s="1"/>
  <c r="N372" i="4"/>
  <c r="O372" i="4" s="1"/>
  <c r="N373" i="4"/>
  <c r="O373" i="4" s="1"/>
  <c r="N374" i="4"/>
  <c r="O374" i="4" s="1"/>
  <c r="N375" i="4"/>
  <c r="O375" i="4" s="1"/>
  <c r="N376" i="4"/>
  <c r="O376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2" i="4"/>
  <c r="O392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5" i="4"/>
  <c r="O405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1" i="4"/>
  <c r="O431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1" i="4"/>
  <c r="O461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89" i="4"/>
  <c r="O489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2" i="4"/>
  <c r="O502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0" i="4"/>
  <c r="O530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F156" i="4"/>
  <c r="G156" i="4" s="1"/>
  <c r="F157" i="4"/>
  <c r="G157" i="4" s="1"/>
  <c r="F158" i="4"/>
  <c r="G158" i="4" s="1"/>
  <c r="F159" i="4"/>
  <c r="G159" i="4" s="1"/>
  <c r="F160" i="4"/>
  <c r="G160" i="4" s="1"/>
  <c r="F161" i="4"/>
  <c r="G161" i="4" s="1"/>
  <c r="F162" i="4"/>
  <c r="G162" i="4" s="1"/>
  <c r="F163" i="4"/>
  <c r="G163" i="4" s="1"/>
  <c r="F164" i="4"/>
  <c r="G164" i="4" s="1"/>
  <c r="F165" i="4"/>
  <c r="G165" i="4" s="1"/>
  <c r="F166" i="4"/>
  <c r="G166" i="4" s="1"/>
  <c r="F167" i="4"/>
  <c r="G167" i="4" s="1"/>
  <c r="F168" i="4"/>
  <c r="G168" i="4" s="1"/>
  <c r="F169" i="4"/>
  <c r="G169" i="4" s="1"/>
  <c r="F170" i="4"/>
  <c r="G170" i="4" s="1"/>
  <c r="F171" i="4"/>
  <c r="G171" i="4" s="1"/>
  <c r="F172" i="4"/>
  <c r="G172" i="4" s="1"/>
  <c r="F173" i="4"/>
  <c r="G173" i="4" s="1"/>
  <c r="F174" i="4"/>
  <c r="G174" i="4" s="1"/>
  <c r="F175" i="4"/>
  <c r="G175" i="4" s="1"/>
  <c r="F176" i="4"/>
  <c r="G176" i="4" s="1"/>
  <c r="F177" i="4"/>
  <c r="G177" i="4" s="1"/>
  <c r="F178" i="4"/>
  <c r="G178" i="4" s="1"/>
  <c r="F179" i="4"/>
  <c r="G179" i="4" s="1"/>
  <c r="F180" i="4"/>
  <c r="G180" i="4" s="1"/>
  <c r="F181" i="4"/>
  <c r="G181" i="4" s="1"/>
  <c r="F182" i="4"/>
  <c r="G182" i="4" s="1"/>
  <c r="F183" i="4"/>
  <c r="G183" i="4" s="1"/>
  <c r="F184" i="4"/>
  <c r="G184" i="4" s="1"/>
  <c r="F185" i="4"/>
  <c r="G185" i="4" s="1"/>
  <c r="F186" i="4"/>
  <c r="G186" i="4" s="1"/>
  <c r="F187" i="4"/>
  <c r="G187" i="4" s="1"/>
  <c r="F188" i="4"/>
  <c r="G188" i="4" s="1"/>
  <c r="F189" i="4"/>
  <c r="G189" i="4" s="1"/>
  <c r="F190" i="4"/>
  <c r="G190" i="4" s="1"/>
  <c r="F191" i="4"/>
  <c r="G191" i="4" s="1"/>
  <c r="F192" i="4"/>
  <c r="G192" i="4" s="1"/>
  <c r="F193" i="4"/>
  <c r="G193" i="4" s="1"/>
  <c r="F194" i="4"/>
  <c r="G194" i="4" s="1"/>
  <c r="F195" i="4"/>
  <c r="G195" i="4" s="1"/>
  <c r="F196" i="4"/>
  <c r="G196" i="4" s="1"/>
  <c r="F197" i="4"/>
  <c r="G197" i="4" s="1"/>
  <c r="F198" i="4"/>
  <c r="G198" i="4" s="1"/>
  <c r="F199" i="4"/>
  <c r="G199" i="4" s="1"/>
  <c r="F200" i="4"/>
  <c r="G200" i="4" s="1"/>
  <c r="F201" i="4"/>
  <c r="G201" i="4" s="1"/>
  <c r="F202" i="4"/>
  <c r="G202" i="4" s="1"/>
  <c r="F203" i="4"/>
  <c r="G203" i="4" s="1"/>
  <c r="F204" i="4"/>
  <c r="G204" i="4" s="1"/>
  <c r="F205" i="4"/>
  <c r="G205" i="4" s="1"/>
  <c r="F206" i="4"/>
  <c r="G206" i="4" s="1"/>
  <c r="F207" i="4"/>
  <c r="G207" i="4" s="1"/>
  <c r="F208" i="4"/>
  <c r="G208" i="4" s="1"/>
  <c r="F209" i="4"/>
  <c r="G209" i="4" s="1"/>
  <c r="F210" i="4"/>
  <c r="G210" i="4" s="1"/>
  <c r="F211" i="4"/>
  <c r="G211" i="4" s="1"/>
  <c r="F212" i="4"/>
  <c r="G212" i="4" s="1"/>
  <c r="F213" i="4"/>
  <c r="G213" i="4" s="1"/>
  <c r="F214" i="4"/>
  <c r="G214" i="4" s="1"/>
  <c r="F215" i="4"/>
  <c r="G215" i="4" s="1"/>
  <c r="F216" i="4"/>
  <c r="G216" i="4" s="1"/>
  <c r="F217" i="4"/>
  <c r="G217" i="4" s="1"/>
  <c r="F218" i="4"/>
  <c r="G218" i="4" s="1"/>
  <c r="F219" i="4"/>
  <c r="G219" i="4" s="1"/>
  <c r="F220" i="4"/>
  <c r="G220" i="4" s="1"/>
  <c r="F221" i="4"/>
  <c r="G221" i="4" s="1"/>
  <c r="F222" i="4"/>
  <c r="G222" i="4" s="1"/>
  <c r="F223" i="4"/>
  <c r="G223" i="4" s="1"/>
  <c r="F224" i="4"/>
  <c r="G224" i="4" s="1"/>
  <c r="F225" i="4"/>
  <c r="G225" i="4" s="1"/>
  <c r="F226" i="4"/>
  <c r="G226" i="4" s="1"/>
  <c r="F227" i="4"/>
  <c r="G227" i="4" s="1"/>
  <c r="F228" i="4"/>
  <c r="G228" i="4" s="1"/>
  <c r="F229" i="4"/>
  <c r="G229" i="4" s="1"/>
  <c r="F230" i="4"/>
  <c r="G230" i="4" s="1"/>
  <c r="F231" i="4"/>
  <c r="G231" i="4" s="1"/>
  <c r="F232" i="4"/>
  <c r="G232" i="4" s="1"/>
  <c r="F233" i="4"/>
  <c r="G233" i="4" s="1"/>
  <c r="F234" i="4"/>
  <c r="G234" i="4" s="1"/>
  <c r="F235" i="4"/>
  <c r="G235" i="4" s="1"/>
  <c r="F236" i="4"/>
  <c r="G236" i="4" s="1"/>
  <c r="F237" i="4"/>
  <c r="G237" i="4" s="1"/>
  <c r="F238" i="4"/>
  <c r="G238" i="4" s="1"/>
  <c r="F239" i="4"/>
  <c r="G239" i="4" s="1"/>
  <c r="F240" i="4"/>
  <c r="G240" i="4" s="1"/>
  <c r="F241" i="4"/>
  <c r="G241" i="4" s="1"/>
  <c r="F242" i="4"/>
  <c r="G242" i="4" s="1"/>
  <c r="F243" i="4"/>
  <c r="G243" i="4" s="1"/>
  <c r="F244" i="4"/>
  <c r="G244" i="4" s="1"/>
  <c r="F245" i="4"/>
  <c r="G245" i="4" s="1"/>
  <c r="F246" i="4"/>
  <c r="G246" i="4" s="1"/>
  <c r="F247" i="4"/>
  <c r="G247" i="4" s="1"/>
  <c r="F248" i="4"/>
  <c r="G248" i="4" s="1"/>
  <c r="F249" i="4"/>
  <c r="G249" i="4" s="1"/>
  <c r="F250" i="4"/>
  <c r="G250" i="4" s="1"/>
  <c r="F251" i="4"/>
  <c r="G251" i="4" s="1"/>
  <c r="F252" i="4"/>
  <c r="G252" i="4" s="1"/>
  <c r="F253" i="4"/>
  <c r="G253" i="4" s="1"/>
  <c r="F254" i="4"/>
  <c r="G254" i="4" s="1"/>
  <c r="F255" i="4"/>
  <c r="G255" i="4" s="1"/>
  <c r="F256" i="4"/>
  <c r="G256" i="4" s="1"/>
  <c r="F257" i="4"/>
  <c r="G257" i="4" s="1"/>
  <c r="F258" i="4"/>
  <c r="G258" i="4" s="1"/>
  <c r="F259" i="4"/>
  <c r="G259" i="4" s="1"/>
  <c r="F260" i="4"/>
  <c r="G260" i="4" s="1"/>
  <c r="F261" i="4"/>
  <c r="G261" i="4" s="1"/>
  <c r="F262" i="4"/>
  <c r="G262" i="4" s="1"/>
  <c r="F263" i="4"/>
  <c r="G263" i="4" s="1"/>
  <c r="F264" i="4"/>
  <c r="G264" i="4" s="1"/>
  <c r="F265" i="4"/>
  <c r="G265" i="4" s="1"/>
  <c r="F266" i="4"/>
  <c r="G266" i="4" s="1"/>
  <c r="F267" i="4"/>
  <c r="G267" i="4" s="1"/>
  <c r="F268" i="4"/>
  <c r="G268" i="4" s="1"/>
  <c r="F269" i="4"/>
  <c r="G269" i="4" s="1"/>
  <c r="F270" i="4"/>
  <c r="G270" i="4" s="1"/>
  <c r="F271" i="4"/>
  <c r="G271" i="4" s="1"/>
  <c r="F272" i="4"/>
  <c r="G272" i="4" s="1"/>
  <c r="F273" i="4"/>
  <c r="G273" i="4" s="1"/>
  <c r="F274" i="4"/>
  <c r="G274" i="4" s="1"/>
  <c r="F275" i="4"/>
  <c r="G275" i="4" s="1"/>
  <c r="F276" i="4"/>
  <c r="G276" i="4" s="1"/>
  <c r="F277" i="4"/>
  <c r="G277" i="4" s="1"/>
  <c r="F278" i="4"/>
  <c r="G278" i="4" s="1"/>
  <c r="F279" i="4"/>
  <c r="G279" i="4" s="1"/>
  <c r="F280" i="4"/>
  <c r="G280" i="4" s="1"/>
  <c r="F281" i="4"/>
  <c r="G281" i="4" s="1"/>
  <c r="F282" i="4"/>
  <c r="G282" i="4" s="1"/>
  <c r="F283" i="4"/>
  <c r="G283" i="4" s="1"/>
  <c r="F284" i="4"/>
  <c r="G284" i="4" s="1"/>
  <c r="F285" i="4"/>
  <c r="G285" i="4" s="1"/>
  <c r="F286" i="4"/>
  <c r="G286" i="4" s="1"/>
  <c r="F287" i="4"/>
  <c r="G287" i="4" s="1"/>
  <c r="F288" i="4"/>
  <c r="G288" i="4" s="1"/>
  <c r="F289" i="4"/>
  <c r="G289" i="4" s="1"/>
  <c r="F290" i="4"/>
  <c r="G290" i="4" s="1"/>
  <c r="F291" i="4"/>
  <c r="G291" i="4" s="1"/>
  <c r="F292" i="4"/>
  <c r="G292" i="4" s="1"/>
  <c r="F293" i="4"/>
  <c r="G293" i="4" s="1"/>
  <c r="F294" i="4"/>
  <c r="G294" i="4" s="1"/>
  <c r="F295" i="4"/>
  <c r="G295" i="4" s="1"/>
  <c r="F296" i="4"/>
  <c r="G296" i="4" s="1"/>
  <c r="F297" i="4"/>
  <c r="G297" i="4" s="1"/>
  <c r="F298" i="4"/>
  <c r="G298" i="4" s="1"/>
  <c r="F299" i="4"/>
  <c r="G299" i="4" s="1"/>
  <c r="F300" i="4"/>
  <c r="G300" i="4" s="1"/>
  <c r="F301" i="4"/>
  <c r="G301" i="4" s="1"/>
  <c r="F302" i="4"/>
  <c r="G302" i="4" s="1"/>
  <c r="F303" i="4"/>
  <c r="G303" i="4" s="1"/>
  <c r="F304" i="4"/>
  <c r="G304" i="4" s="1"/>
  <c r="F305" i="4"/>
  <c r="G305" i="4" s="1"/>
  <c r="F306" i="4"/>
  <c r="G306" i="4" s="1"/>
  <c r="F307" i="4"/>
  <c r="G307" i="4" s="1"/>
  <c r="F308" i="4"/>
  <c r="G308" i="4" s="1"/>
  <c r="F309" i="4"/>
  <c r="G309" i="4" s="1"/>
  <c r="F310" i="4"/>
  <c r="G310" i="4" s="1"/>
  <c r="F311" i="4"/>
  <c r="G311" i="4" s="1"/>
  <c r="F312" i="4"/>
  <c r="G312" i="4" s="1"/>
  <c r="F313" i="4"/>
  <c r="G313" i="4" s="1"/>
  <c r="F314" i="4"/>
  <c r="G314" i="4" s="1"/>
  <c r="F315" i="4"/>
  <c r="G315" i="4" s="1"/>
  <c r="F316" i="4"/>
  <c r="G316" i="4" s="1"/>
  <c r="F317" i="4"/>
  <c r="G317" i="4" s="1"/>
  <c r="F318" i="4"/>
  <c r="G318" i="4" s="1"/>
  <c r="F319" i="4"/>
  <c r="G319" i="4" s="1"/>
  <c r="F320" i="4"/>
  <c r="G320" i="4" s="1"/>
  <c r="F321" i="4"/>
  <c r="G321" i="4" s="1"/>
  <c r="F322" i="4"/>
  <c r="G322" i="4" s="1"/>
  <c r="F323" i="4"/>
  <c r="G323" i="4" s="1"/>
  <c r="F324" i="4"/>
  <c r="G324" i="4" s="1"/>
  <c r="F325" i="4"/>
  <c r="G325" i="4" s="1"/>
  <c r="F326" i="4"/>
  <c r="G326" i="4" s="1"/>
  <c r="F327" i="4"/>
  <c r="G327" i="4" s="1"/>
  <c r="F328" i="4"/>
  <c r="G328" i="4" s="1"/>
  <c r="F329" i="4"/>
  <c r="G329" i="4" s="1"/>
  <c r="F330" i="4"/>
  <c r="G330" i="4" s="1"/>
  <c r="F331" i="4"/>
  <c r="G331" i="4" s="1"/>
  <c r="F332" i="4"/>
  <c r="G332" i="4" s="1"/>
  <c r="F333" i="4"/>
  <c r="G333" i="4" s="1"/>
  <c r="F334" i="4"/>
  <c r="G334" i="4" s="1"/>
  <c r="F335" i="4"/>
  <c r="G335" i="4" s="1"/>
  <c r="F336" i="4"/>
  <c r="G336" i="4" s="1"/>
  <c r="F337" i="4"/>
  <c r="G337" i="4" s="1"/>
  <c r="F338" i="4"/>
  <c r="G338" i="4" s="1"/>
  <c r="F339" i="4"/>
  <c r="G339" i="4" s="1"/>
  <c r="F340" i="4"/>
  <c r="G340" i="4" s="1"/>
  <c r="F341" i="4"/>
  <c r="G341" i="4" s="1"/>
  <c r="F342" i="4"/>
  <c r="G342" i="4" s="1"/>
  <c r="F343" i="4"/>
  <c r="G343" i="4" s="1"/>
  <c r="F344" i="4"/>
  <c r="G344" i="4" s="1"/>
  <c r="F345" i="4"/>
  <c r="G345" i="4" s="1"/>
  <c r="F346" i="4"/>
  <c r="G346" i="4" s="1"/>
  <c r="F347" i="4"/>
  <c r="G347" i="4" s="1"/>
  <c r="F348" i="4"/>
  <c r="G348" i="4" s="1"/>
  <c r="F349" i="4"/>
  <c r="G349" i="4" s="1"/>
  <c r="F350" i="4"/>
  <c r="G350" i="4" s="1"/>
  <c r="F351" i="4"/>
  <c r="G351" i="4" s="1"/>
  <c r="F352" i="4"/>
  <c r="G352" i="4" s="1"/>
  <c r="F353" i="4"/>
  <c r="G353" i="4" s="1"/>
  <c r="F354" i="4"/>
  <c r="G354" i="4" s="1"/>
  <c r="F355" i="4"/>
  <c r="G355" i="4" s="1"/>
  <c r="F356" i="4"/>
  <c r="G356" i="4" s="1"/>
  <c r="F357" i="4"/>
  <c r="G357" i="4" s="1"/>
  <c r="F358" i="4"/>
  <c r="G358" i="4" s="1"/>
  <c r="F359" i="4"/>
  <c r="G359" i="4" s="1"/>
  <c r="F360" i="4"/>
  <c r="G360" i="4" s="1"/>
  <c r="F361" i="4"/>
  <c r="G361" i="4" s="1"/>
  <c r="F362" i="4"/>
  <c r="G362" i="4" s="1"/>
  <c r="F363" i="4"/>
  <c r="G363" i="4" s="1"/>
  <c r="F364" i="4"/>
  <c r="G364" i="4" s="1"/>
  <c r="F365" i="4"/>
  <c r="G365" i="4" s="1"/>
  <c r="F366" i="4"/>
  <c r="G366" i="4" s="1"/>
  <c r="F367" i="4"/>
  <c r="G367" i="4" s="1"/>
  <c r="F368" i="4"/>
  <c r="G368" i="4" s="1"/>
  <c r="F369" i="4"/>
  <c r="G369" i="4" s="1"/>
  <c r="F370" i="4"/>
  <c r="G370" i="4" s="1"/>
  <c r="F371" i="4"/>
  <c r="G371" i="4" s="1"/>
  <c r="F372" i="4"/>
  <c r="G372" i="4" s="1"/>
  <c r="F373" i="4"/>
  <c r="G373" i="4" s="1"/>
  <c r="F374" i="4"/>
  <c r="G374" i="4" s="1"/>
  <c r="F375" i="4"/>
  <c r="G375" i="4" s="1"/>
  <c r="F376" i="4"/>
  <c r="G376" i="4" s="1"/>
  <c r="F377" i="4"/>
  <c r="G377" i="4" s="1"/>
  <c r="F378" i="4"/>
  <c r="G378" i="4" s="1"/>
  <c r="F379" i="4"/>
  <c r="G379" i="4" s="1"/>
  <c r="F380" i="4"/>
  <c r="G380" i="4" s="1"/>
  <c r="F381" i="4"/>
  <c r="G381" i="4" s="1"/>
  <c r="F382" i="4"/>
  <c r="G382" i="4" s="1"/>
  <c r="F383" i="4"/>
  <c r="G383" i="4" s="1"/>
  <c r="F384" i="4"/>
  <c r="G384" i="4" s="1"/>
  <c r="F385" i="4"/>
  <c r="G385" i="4" s="1"/>
  <c r="F386" i="4"/>
  <c r="G386" i="4" s="1"/>
  <c r="F387" i="4"/>
  <c r="G387" i="4" s="1"/>
  <c r="F388" i="4"/>
  <c r="G388" i="4" s="1"/>
  <c r="F389" i="4"/>
  <c r="G389" i="4" s="1"/>
  <c r="F390" i="4"/>
  <c r="G390" i="4" s="1"/>
  <c r="F391" i="4"/>
  <c r="G391" i="4" s="1"/>
  <c r="F392" i="4"/>
  <c r="G392" i="4" s="1"/>
  <c r="F393" i="4"/>
  <c r="G393" i="4" s="1"/>
  <c r="F394" i="4"/>
  <c r="G394" i="4" s="1"/>
  <c r="F395" i="4"/>
  <c r="G395" i="4" s="1"/>
  <c r="F396" i="4"/>
  <c r="G396" i="4" s="1"/>
  <c r="F397" i="4"/>
  <c r="G397" i="4" s="1"/>
  <c r="F398" i="4"/>
  <c r="G398" i="4" s="1"/>
  <c r="F399" i="4"/>
  <c r="G399" i="4" s="1"/>
  <c r="F400" i="4"/>
  <c r="G400" i="4" s="1"/>
  <c r="F401" i="4"/>
  <c r="G401" i="4" s="1"/>
  <c r="F402" i="4"/>
  <c r="G402" i="4" s="1"/>
  <c r="F403" i="4"/>
  <c r="G403" i="4" s="1"/>
  <c r="F404" i="4"/>
  <c r="G404" i="4" s="1"/>
  <c r="F405" i="4"/>
  <c r="G405" i="4" s="1"/>
  <c r="F406" i="4"/>
  <c r="G406" i="4" s="1"/>
  <c r="F407" i="4"/>
  <c r="G407" i="4" s="1"/>
  <c r="F408" i="4"/>
  <c r="G408" i="4" s="1"/>
  <c r="F409" i="4"/>
  <c r="G409" i="4" s="1"/>
  <c r="F410" i="4"/>
  <c r="G410" i="4" s="1"/>
  <c r="F411" i="4"/>
  <c r="G411" i="4" s="1"/>
  <c r="F412" i="4"/>
  <c r="G412" i="4" s="1"/>
  <c r="F413" i="4"/>
  <c r="G413" i="4" s="1"/>
  <c r="F414" i="4"/>
  <c r="G414" i="4" s="1"/>
  <c r="F415" i="4"/>
  <c r="G415" i="4" s="1"/>
  <c r="F416" i="4"/>
  <c r="G416" i="4" s="1"/>
  <c r="F417" i="4"/>
  <c r="G417" i="4" s="1"/>
  <c r="F418" i="4"/>
  <c r="G418" i="4" s="1"/>
  <c r="F419" i="4"/>
  <c r="G419" i="4" s="1"/>
  <c r="F420" i="4"/>
  <c r="G420" i="4" s="1"/>
  <c r="F421" i="4"/>
  <c r="G421" i="4" s="1"/>
  <c r="F422" i="4"/>
  <c r="G422" i="4" s="1"/>
  <c r="F423" i="4"/>
  <c r="G423" i="4" s="1"/>
  <c r="F424" i="4"/>
  <c r="G424" i="4" s="1"/>
  <c r="F425" i="4"/>
  <c r="G425" i="4" s="1"/>
  <c r="F426" i="4"/>
  <c r="G426" i="4" s="1"/>
  <c r="F427" i="4"/>
  <c r="G427" i="4" s="1"/>
  <c r="F428" i="4"/>
  <c r="G428" i="4" s="1"/>
  <c r="F429" i="4"/>
  <c r="G429" i="4" s="1"/>
  <c r="F430" i="4"/>
  <c r="G430" i="4" s="1"/>
  <c r="F431" i="4"/>
  <c r="G431" i="4" s="1"/>
  <c r="F432" i="4"/>
  <c r="G432" i="4" s="1"/>
  <c r="F433" i="4"/>
  <c r="G433" i="4" s="1"/>
  <c r="F434" i="4"/>
  <c r="G434" i="4" s="1"/>
  <c r="F435" i="4"/>
  <c r="G435" i="4" s="1"/>
  <c r="F436" i="4"/>
  <c r="G436" i="4" s="1"/>
  <c r="F437" i="4"/>
  <c r="G437" i="4" s="1"/>
  <c r="F438" i="4"/>
  <c r="G438" i="4" s="1"/>
  <c r="F439" i="4"/>
  <c r="G439" i="4" s="1"/>
  <c r="F440" i="4"/>
  <c r="G440" i="4" s="1"/>
  <c r="F441" i="4"/>
  <c r="G441" i="4" s="1"/>
  <c r="F442" i="4"/>
  <c r="G442" i="4" s="1"/>
  <c r="F443" i="4"/>
  <c r="G443" i="4" s="1"/>
  <c r="F444" i="4"/>
  <c r="G444" i="4" s="1"/>
  <c r="F445" i="4"/>
  <c r="G445" i="4" s="1"/>
  <c r="F446" i="4"/>
  <c r="G446" i="4" s="1"/>
  <c r="F447" i="4"/>
  <c r="G447" i="4" s="1"/>
  <c r="F448" i="4"/>
  <c r="G448" i="4" s="1"/>
  <c r="F449" i="4"/>
  <c r="G449" i="4" s="1"/>
  <c r="F450" i="4"/>
  <c r="G450" i="4" s="1"/>
  <c r="F451" i="4"/>
  <c r="G451" i="4" s="1"/>
  <c r="F452" i="4"/>
  <c r="G452" i="4" s="1"/>
  <c r="F453" i="4"/>
  <c r="G453" i="4" s="1"/>
  <c r="F454" i="4"/>
  <c r="G454" i="4" s="1"/>
  <c r="F455" i="4"/>
  <c r="G455" i="4" s="1"/>
  <c r="F456" i="4"/>
  <c r="G456" i="4" s="1"/>
  <c r="F457" i="4"/>
  <c r="G457" i="4" s="1"/>
  <c r="F458" i="4"/>
  <c r="G458" i="4" s="1"/>
  <c r="F459" i="4"/>
  <c r="G459" i="4" s="1"/>
  <c r="F460" i="4"/>
  <c r="G460" i="4" s="1"/>
  <c r="F461" i="4"/>
  <c r="G461" i="4" s="1"/>
  <c r="F462" i="4"/>
  <c r="G462" i="4" s="1"/>
  <c r="F463" i="4"/>
  <c r="G463" i="4" s="1"/>
  <c r="F464" i="4"/>
  <c r="G464" i="4" s="1"/>
  <c r="F465" i="4"/>
  <c r="G465" i="4" s="1"/>
  <c r="F466" i="4"/>
  <c r="G466" i="4" s="1"/>
  <c r="F467" i="4"/>
  <c r="G467" i="4" s="1"/>
  <c r="F468" i="4"/>
  <c r="G468" i="4" s="1"/>
  <c r="F469" i="4"/>
  <c r="G469" i="4" s="1"/>
  <c r="F470" i="4"/>
  <c r="G470" i="4" s="1"/>
  <c r="F471" i="4"/>
  <c r="G471" i="4" s="1"/>
  <c r="F472" i="4"/>
  <c r="G472" i="4" s="1"/>
  <c r="F473" i="4"/>
  <c r="G473" i="4" s="1"/>
  <c r="F474" i="4"/>
  <c r="G474" i="4" s="1"/>
  <c r="F475" i="4"/>
  <c r="G475" i="4" s="1"/>
  <c r="F476" i="4"/>
  <c r="G476" i="4" s="1"/>
  <c r="F477" i="4"/>
  <c r="G477" i="4" s="1"/>
  <c r="F478" i="4"/>
  <c r="G478" i="4" s="1"/>
  <c r="F479" i="4"/>
  <c r="G479" i="4" s="1"/>
  <c r="F480" i="4"/>
  <c r="G480" i="4" s="1"/>
  <c r="F481" i="4"/>
  <c r="G481" i="4" s="1"/>
  <c r="F482" i="4"/>
  <c r="G482" i="4" s="1"/>
  <c r="F483" i="4"/>
  <c r="G483" i="4" s="1"/>
  <c r="F484" i="4"/>
  <c r="G484" i="4" s="1"/>
  <c r="F485" i="4"/>
  <c r="G485" i="4" s="1"/>
  <c r="F486" i="4"/>
  <c r="G486" i="4" s="1"/>
  <c r="F487" i="4"/>
  <c r="G487" i="4" s="1"/>
  <c r="F488" i="4"/>
  <c r="G488" i="4" s="1"/>
  <c r="F489" i="4"/>
  <c r="G489" i="4" s="1"/>
  <c r="F490" i="4"/>
  <c r="G490" i="4" s="1"/>
  <c r="F491" i="4"/>
  <c r="G491" i="4" s="1"/>
  <c r="F492" i="4"/>
  <c r="G492" i="4" s="1"/>
  <c r="F493" i="4"/>
  <c r="G493" i="4" s="1"/>
  <c r="F494" i="4"/>
  <c r="G494" i="4" s="1"/>
  <c r="F495" i="4"/>
  <c r="G495" i="4" s="1"/>
  <c r="F496" i="4"/>
  <c r="G496" i="4" s="1"/>
  <c r="F497" i="4"/>
  <c r="G497" i="4" s="1"/>
  <c r="F498" i="4"/>
  <c r="G498" i="4" s="1"/>
  <c r="F499" i="4"/>
  <c r="G499" i="4" s="1"/>
  <c r="F500" i="4"/>
  <c r="G500" i="4" s="1"/>
  <c r="F501" i="4"/>
  <c r="G501" i="4" s="1"/>
  <c r="F502" i="4"/>
  <c r="G502" i="4" s="1"/>
  <c r="F503" i="4"/>
  <c r="G503" i="4" s="1"/>
  <c r="F504" i="4"/>
  <c r="G504" i="4" s="1"/>
  <c r="F505" i="4"/>
  <c r="G505" i="4" s="1"/>
  <c r="F506" i="4"/>
  <c r="G506" i="4" s="1"/>
  <c r="F507" i="4"/>
  <c r="G507" i="4" s="1"/>
  <c r="F508" i="4"/>
  <c r="G508" i="4" s="1"/>
  <c r="F509" i="4"/>
  <c r="G509" i="4" s="1"/>
  <c r="F510" i="4"/>
  <c r="G510" i="4" s="1"/>
  <c r="F511" i="4"/>
  <c r="G511" i="4" s="1"/>
  <c r="F512" i="4"/>
  <c r="G512" i="4" s="1"/>
  <c r="F513" i="4"/>
  <c r="G513" i="4" s="1"/>
  <c r="F514" i="4"/>
  <c r="G514" i="4" s="1"/>
  <c r="F515" i="4"/>
  <c r="G515" i="4" s="1"/>
  <c r="F516" i="4"/>
  <c r="G516" i="4" s="1"/>
  <c r="F517" i="4"/>
  <c r="G517" i="4" s="1"/>
  <c r="F518" i="4"/>
  <c r="G518" i="4" s="1"/>
  <c r="F519" i="4"/>
  <c r="G519" i="4" s="1"/>
  <c r="F520" i="4"/>
  <c r="G520" i="4" s="1"/>
  <c r="F521" i="4"/>
  <c r="G521" i="4" s="1"/>
  <c r="F522" i="4"/>
  <c r="G522" i="4" s="1"/>
  <c r="F523" i="4"/>
  <c r="G523" i="4" s="1"/>
  <c r="F524" i="4"/>
  <c r="G524" i="4" s="1"/>
  <c r="F525" i="4"/>
  <c r="G525" i="4" s="1"/>
  <c r="F526" i="4"/>
  <c r="G526" i="4" s="1"/>
  <c r="F527" i="4"/>
  <c r="G527" i="4" s="1"/>
  <c r="F528" i="4"/>
  <c r="G528" i="4" s="1"/>
  <c r="F529" i="4"/>
  <c r="G529" i="4" s="1"/>
  <c r="F530" i="4"/>
  <c r="G530" i="4" s="1"/>
  <c r="F531" i="4"/>
  <c r="G531" i="4" s="1"/>
  <c r="F532" i="4"/>
  <c r="G532" i="4" s="1"/>
  <c r="F533" i="4"/>
  <c r="G533" i="4" s="1"/>
  <c r="F534" i="4"/>
  <c r="G534" i="4" s="1"/>
  <c r="F535" i="4"/>
  <c r="G535" i="4" s="1"/>
  <c r="F536" i="4"/>
  <c r="G536" i="4" s="1"/>
  <c r="F537" i="4"/>
  <c r="G537" i="4" s="1"/>
  <c r="F538" i="4"/>
  <c r="G538" i="4" s="1"/>
  <c r="F539" i="4"/>
  <c r="G539" i="4" s="1"/>
  <c r="F540" i="4"/>
  <c r="G540" i="4" s="1"/>
  <c r="F541" i="4"/>
  <c r="G541" i="4" s="1"/>
  <c r="F542" i="4"/>
  <c r="G542" i="4" s="1"/>
  <c r="F543" i="4"/>
  <c r="G543" i="4" s="1"/>
  <c r="F544" i="4"/>
  <c r="G544" i="4" s="1"/>
  <c r="F545" i="4"/>
  <c r="G545" i="4" s="1"/>
  <c r="F546" i="4"/>
  <c r="G546" i="4" s="1"/>
  <c r="F547" i="4"/>
  <c r="G547" i="4" s="1"/>
  <c r="N155" i="4"/>
  <c r="O155" i="4" s="1"/>
  <c r="F155" i="4"/>
  <c r="G155" i="4" s="1"/>
  <c r="K137" i="4"/>
  <c r="K138" i="4" s="1"/>
  <c r="L137" i="4"/>
  <c r="L138" i="4" s="1"/>
  <c r="M137" i="4"/>
  <c r="M138" i="4" s="1"/>
  <c r="N137" i="4"/>
  <c r="N138" i="4" s="1"/>
  <c r="J137" i="4"/>
  <c r="J138" i="4" s="1"/>
  <c r="C137" i="4"/>
  <c r="C138" i="4" s="1"/>
  <c r="D137" i="4"/>
  <c r="D138" i="4" s="1"/>
  <c r="E137" i="4"/>
  <c r="E138" i="4" s="1"/>
  <c r="F137" i="4"/>
  <c r="F138" i="4" s="1"/>
  <c r="B137" i="4"/>
  <c r="B138" i="4" s="1"/>
  <c r="M80" i="4"/>
  <c r="N80" i="4" s="1"/>
  <c r="O80" i="4" s="1"/>
  <c r="M81" i="4"/>
  <c r="N81" i="4" s="1"/>
  <c r="O81" i="4" s="1"/>
  <c r="M82" i="4"/>
  <c r="N82" i="4" s="1"/>
  <c r="O82" i="4" s="1"/>
  <c r="M83" i="4"/>
  <c r="N83" i="4" s="1"/>
  <c r="O83" i="4" s="1"/>
  <c r="M84" i="4"/>
  <c r="N84" i="4" s="1"/>
  <c r="O84" i="4" s="1"/>
  <c r="M79" i="4"/>
  <c r="N79" i="4" s="1"/>
  <c r="O79" i="4" s="1"/>
  <c r="K569" i="4"/>
  <c r="K570" i="4" s="1"/>
  <c r="K571" i="4" s="1"/>
  <c r="K95" i="4"/>
  <c r="N95" i="4" s="1"/>
  <c r="O95" i="4" s="1"/>
  <c r="K118" i="4"/>
  <c r="N118" i="4" s="1"/>
  <c r="O118" i="4" s="1"/>
  <c r="K101" i="4"/>
  <c r="N101" i="4" s="1"/>
  <c r="O101" i="4" s="1"/>
  <c r="K105" i="4"/>
  <c r="N105" i="4" s="1"/>
  <c r="O105" i="4" s="1"/>
  <c r="K121" i="4"/>
  <c r="N121" i="4" s="1"/>
  <c r="O121" i="4" s="1"/>
  <c r="K106" i="4"/>
  <c r="N106" i="4" s="1"/>
  <c r="O106" i="4" s="1"/>
  <c r="K102" i="4"/>
  <c r="N102" i="4" s="1"/>
  <c r="O102" i="4" s="1"/>
  <c r="K115" i="4"/>
  <c r="N115" i="4" s="1"/>
  <c r="O115" i="4" s="1"/>
  <c r="K111" i="4"/>
  <c r="N111" i="4" s="1"/>
  <c r="O111" i="4" s="1"/>
  <c r="K117" i="4"/>
  <c r="N117" i="4" s="1"/>
  <c r="O117" i="4" s="1"/>
  <c r="K122" i="4"/>
  <c r="N122" i="4" s="1"/>
  <c r="O122" i="4" s="1"/>
  <c r="K97" i="4"/>
  <c r="N97" i="4" s="1"/>
  <c r="O97" i="4" s="1"/>
  <c r="K109" i="4"/>
  <c r="N109" i="4" s="1"/>
  <c r="O109" i="4" s="1"/>
  <c r="K93" i="4"/>
  <c r="N93" i="4" s="1"/>
  <c r="O93" i="4" s="1"/>
  <c r="K90" i="4"/>
  <c r="N90" i="4" s="1"/>
  <c r="O90" i="4" s="1"/>
  <c r="K88" i="4"/>
  <c r="N88" i="4" s="1"/>
  <c r="O88" i="4" s="1"/>
  <c r="K98" i="4"/>
  <c r="N98" i="4" s="1"/>
  <c r="O98" i="4" s="1"/>
  <c r="K96" i="4"/>
  <c r="N96" i="4" s="1"/>
  <c r="O96" i="4" s="1"/>
  <c r="K116" i="4"/>
  <c r="N116" i="4" s="1"/>
  <c r="O116" i="4" s="1"/>
  <c r="K89" i="4"/>
  <c r="N89" i="4" s="1"/>
  <c r="O89" i="4" s="1"/>
  <c r="K99" i="4"/>
  <c r="N99" i="4" s="1"/>
  <c r="O99" i="4" s="1"/>
  <c r="K91" i="4"/>
  <c r="N91" i="4" s="1"/>
  <c r="O91" i="4" s="1"/>
  <c r="K100" i="4"/>
  <c r="N100" i="4" s="1"/>
  <c r="O100" i="4" s="1"/>
  <c r="K113" i="4"/>
  <c r="N113" i="4" s="1"/>
  <c r="O113" i="4" s="1"/>
  <c r="K126" i="4"/>
  <c r="N126" i="4" s="1"/>
  <c r="O126" i="4" s="1"/>
  <c r="K92" i="4"/>
  <c r="N92" i="4" s="1"/>
  <c r="O92" i="4" s="1"/>
  <c r="K87" i="4"/>
  <c r="N87" i="4" s="1"/>
  <c r="O87" i="4" s="1"/>
  <c r="K114" i="4"/>
  <c r="N114" i="4" s="1"/>
  <c r="O114" i="4" s="1"/>
  <c r="K112" i="4"/>
  <c r="N112" i="4" s="1"/>
  <c r="O112" i="4" s="1"/>
  <c r="K125" i="4"/>
  <c r="N125" i="4" s="1"/>
  <c r="O125" i="4" s="1"/>
  <c r="K107" i="4"/>
  <c r="N107" i="4" s="1"/>
  <c r="O107" i="4" s="1"/>
  <c r="K123" i="4"/>
  <c r="N123" i="4" s="1"/>
  <c r="O123" i="4" s="1"/>
  <c r="K119" i="4"/>
  <c r="N119" i="4" s="1"/>
  <c r="O119" i="4" s="1"/>
  <c r="K103" i="4"/>
  <c r="N103" i="4" s="1"/>
  <c r="O103" i="4" s="1"/>
  <c r="K120" i="4"/>
  <c r="N120" i="4" s="1"/>
  <c r="O120" i="4" s="1"/>
  <c r="K124" i="4"/>
  <c r="N124" i="4" s="1"/>
  <c r="O124" i="4" s="1"/>
  <c r="K104" i="4"/>
  <c r="N104" i="4" s="1"/>
  <c r="O104" i="4" s="1"/>
  <c r="K110" i="4"/>
  <c r="N110" i="4" s="1"/>
  <c r="O110" i="4" s="1"/>
  <c r="K94" i="4"/>
  <c r="N94" i="4" s="1"/>
  <c r="O94" i="4" s="1"/>
  <c r="K108" i="4"/>
  <c r="N108" i="4" s="1"/>
  <c r="O108" i="4" s="1"/>
  <c r="K76" i="4"/>
  <c r="N76" i="4" s="1"/>
  <c r="O76" i="4" s="1"/>
  <c r="K75" i="4"/>
  <c r="J139" i="4" s="1"/>
  <c r="M72" i="4"/>
  <c r="M71" i="4"/>
  <c r="M70" i="4"/>
  <c r="M69" i="4"/>
  <c r="K69" i="4"/>
  <c r="K70" i="4" s="1"/>
  <c r="M68" i="4"/>
  <c r="N68" i="4" s="1"/>
  <c r="O68" i="4" s="1"/>
  <c r="M67" i="4"/>
  <c r="N67" i="4" s="1"/>
  <c r="O67" i="4" s="1"/>
  <c r="K50" i="4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M49" i="4"/>
  <c r="N49" i="4" s="1"/>
  <c r="O49" i="4" s="1"/>
  <c r="E80" i="4"/>
  <c r="F80" i="4" s="1"/>
  <c r="G80" i="4" s="1"/>
  <c r="E81" i="4"/>
  <c r="F81" i="4" s="1"/>
  <c r="G81" i="4" s="1"/>
  <c r="E82" i="4"/>
  <c r="E83" i="4"/>
  <c r="E84" i="4"/>
  <c r="E79" i="4"/>
  <c r="F79" i="4" s="1"/>
  <c r="G79" i="4" s="1"/>
  <c r="C76" i="4"/>
  <c r="F76" i="4" s="1"/>
  <c r="G76" i="4" s="1"/>
  <c r="C75" i="4"/>
  <c r="F75" i="4" s="1"/>
  <c r="G75" i="4" s="1"/>
  <c r="E68" i="4"/>
  <c r="E69" i="4"/>
  <c r="E70" i="4"/>
  <c r="E71" i="4"/>
  <c r="E72" i="4"/>
  <c r="E67" i="4"/>
  <c r="F67" i="4" s="1"/>
  <c r="G67" i="4" s="1"/>
  <c r="C94" i="4"/>
  <c r="F94" i="4" s="1"/>
  <c r="G94" i="4" s="1"/>
  <c r="C110" i="4"/>
  <c r="F110" i="4" s="1"/>
  <c r="G110" i="4" s="1"/>
  <c r="C104" i="4"/>
  <c r="F104" i="4" s="1"/>
  <c r="G104" i="4" s="1"/>
  <c r="C124" i="4"/>
  <c r="F124" i="4" s="1"/>
  <c r="G124" i="4" s="1"/>
  <c r="C120" i="4"/>
  <c r="F120" i="4" s="1"/>
  <c r="G120" i="4" s="1"/>
  <c r="C103" i="4"/>
  <c r="F103" i="4" s="1"/>
  <c r="G103" i="4" s="1"/>
  <c r="C119" i="4"/>
  <c r="F119" i="4" s="1"/>
  <c r="G119" i="4" s="1"/>
  <c r="C123" i="4"/>
  <c r="F123" i="4" s="1"/>
  <c r="G123" i="4" s="1"/>
  <c r="C107" i="4"/>
  <c r="F107" i="4" s="1"/>
  <c r="G107" i="4" s="1"/>
  <c r="C125" i="4"/>
  <c r="F125" i="4" s="1"/>
  <c r="G125" i="4" s="1"/>
  <c r="C112" i="4"/>
  <c r="F112" i="4" s="1"/>
  <c r="G112" i="4" s="1"/>
  <c r="C114" i="4"/>
  <c r="F114" i="4" s="1"/>
  <c r="G114" i="4" s="1"/>
  <c r="C87" i="4"/>
  <c r="F87" i="4" s="1"/>
  <c r="G87" i="4" s="1"/>
  <c r="C92" i="4"/>
  <c r="F92" i="4" s="1"/>
  <c r="G92" i="4" s="1"/>
  <c r="C126" i="4"/>
  <c r="F126" i="4" s="1"/>
  <c r="G126" i="4" s="1"/>
  <c r="C113" i="4"/>
  <c r="F113" i="4" s="1"/>
  <c r="G113" i="4" s="1"/>
  <c r="C100" i="4"/>
  <c r="F100" i="4" s="1"/>
  <c r="G100" i="4" s="1"/>
  <c r="C91" i="4"/>
  <c r="F91" i="4" s="1"/>
  <c r="G91" i="4" s="1"/>
  <c r="C99" i="4"/>
  <c r="F99" i="4" s="1"/>
  <c r="G99" i="4" s="1"/>
  <c r="C89" i="4"/>
  <c r="F89" i="4" s="1"/>
  <c r="G89" i="4" s="1"/>
  <c r="C116" i="4"/>
  <c r="F116" i="4" s="1"/>
  <c r="G116" i="4" s="1"/>
  <c r="C96" i="4"/>
  <c r="F96" i="4" s="1"/>
  <c r="G96" i="4" s="1"/>
  <c r="C98" i="4"/>
  <c r="F98" i="4" s="1"/>
  <c r="G98" i="4" s="1"/>
  <c r="C88" i="4"/>
  <c r="F88" i="4" s="1"/>
  <c r="G88" i="4" s="1"/>
  <c r="C90" i="4"/>
  <c r="F90" i="4" s="1"/>
  <c r="G90" i="4" s="1"/>
  <c r="C93" i="4"/>
  <c r="F93" i="4" s="1"/>
  <c r="G93" i="4" s="1"/>
  <c r="C109" i="4"/>
  <c r="F109" i="4" s="1"/>
  <c r="G109" i="4" s="1"/>
  <c r="C97" i="4"/>
  <c r="F97" i="4" s="1"/>
  <c r="G97" i="4" s="1"/>
  <c r="C122" i="4"/>
  <c r="F122" i="4" s="1"/>
  <c r="G122" i="4" s="1"/>
  <c r="C117" i="4"/>
  <c r="F117" i="4" s="1"/>
  <c r="G117" i="4" s="1"/>
  <c r="C111" i="4"/>
  <c r="F111" i="4" s="1"/>
  <c r="G111" i="4" s="1"/>
  <c r="C115" i="4"/>
  <c r="F115" i="4" s="1"/>
  <c r="G115" i="4" s="1"/>
  <c r="C102" i="4"/>
  <c r="F102" i="4" s="1"/>
  <c r="G102" i="4" s="1"/>
  <c r="C106" i="4"/>
  <c r="F106" i="4" s="1"/>
  <c r="G106" i="4" s="1"/>
  <c r="C121" i="4"/>
  <c r="F121" i="4" s="1"/>
  <c r="G121" i="4" s="1"/>
  <c r="C105" i="4"/>
  <c r="F105" i="4" s="1"/>
  <c r="G105" i="4" s="1"/>
  <c r="C101" i="4"/>
  <c r="F101" i="4" s="1"/>
  <c r="G101" i="4" s="1"/>
  <c r="C118" i="4"/>
  <c r="F118" i="4" s="1"/>
  <c r="G118" i="4" s="1"/>
  <c r="C95" i="4"/>
  <c r="F95" i="4" s="1"/>
  <c r="G95" i="4" s="1"/>
  <c r="C108" i="4"/>
  <c r="F108" i="4" s="1"/>
  <c r="G108" i="4" s="1"/>
  <c r="C569" i="4"/>
  <c r="C570" i="4" s="1"/>
  <c r="C571" i="4" s="1"/>
  <c r="C69" i="4"/>
  <c r="C70" i="4" s="1"/>
  <c r="C71" i="4" s="1"/>
  <c r="C72" i="4" s="1"/>
  <c r="C50" i="4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E49" i="4"/>
  <c r="E50" i="4" s="1"/>
  <c r="N69" i="4" l="1"/>
  <c r="O69" i="4" s="1"/>
  <c r="N569" i="4"/>
  <c r="O569" i="4" s="1"/>
  <c r="B10" i="31"/>
  <c r="B1" i="31"/>
  <c r="B14" i="31"/>
  <c r="X5" i="3"/>
  <c r="Y5" i="3" s="1"/>
  <c r="Y6" i="3" s="1"/>
  <c r="Y7" i="3" s="1"/>
  <c r="K31" i="4"/>
  <c r="F31" i="4"/>
  <c r="B31" i="4"/>
  <c r="E31" i="4"/>
  <c r="D31" i="4"/>
  <c r="C31" i="4"/>
  <c r="J31" i="4"/>
  <c r="L31" i="4"/>
  <c r="M31" i="4"/>
  <c r="N31" i="4"/>
  <c r="AM5" i="3"/>
  <c r="AM6" i="3" s="1"/>
  <c r="AM7" i="3" s="1"/>
  <c r="AL5" i="3"/>
  <c r="AL6" i="3" s="1"/>
  <c r="AL7" i="3" s="1"/>
  <c r="AG5" i="3"/>
  <c r="AG6" i="3" s="1"/>
  <c r="AH5" i="3"/>
  <c r="BD5" i="3" s="1"/>
  <c r="BI6" i="3"/>
  <c r="BJ6" i="3" s="1"/>
  <c r="AN5" i="3"/>
  <c r="AN6" i="3" s="1"/>
  <c r="AN7" i="3" s="1"/>
  <c r="AN8" i="3" s="1"/>
  <c r="AN9" i="3" s="1"/>
  <c r="AN10" i="3" s="1"/>
  <c r="J152" i="4"/>
  <c r="AQ7" i="20"/>
  <c r="AR7" i="20" s="1"/>
  <c r="O8" i="20"/>
  <c r="AN7" i="20"/>
  <c r="P7" i="20"/>
  <c r="C16" i="30"/>
  <c r="C34" i="30"/>
  <c r="R5" i="20"/>
  <c r="R6" i="20" s="1"/>
  <c r="R7" i="20" s="1"/>
  <c r="R8" i="20" s="1"/>
  <c r="R9" i="20" s="1"/>
  <c r="R10" i="20" s="1"/>
  <c r="R11" i="20" s="1"/>
  <c r="R12" i="20" s="1"/>
  <c r="R13" i="20" s="1"/>
  <c r="R14" i="20" s="1"/>
  <c r="R15" i="20" s="1"/>
  <c r="R16" i="20" s="1"/>
  <c r="R17" i="20" s="1"/>
  <c r="R18" i="20" s="1"/>
  <c r="R19" i="20" s="1"/>
  <c r="R20" i="20" s="1"/>
  <c r="R21" i="20" s="1"/>
  <c r="R22" i="20" s="1"/>
  <c r="R23" i="20" s="1"/>
  <c r="R24" i="20" s="1"/>
  <c r="R25" i="20" s="1"/>
  <c r="R26" i="20" s="1"/>
  <c r="R27" i="20" s="1"/>
  <c r="R28" i="20" s="1"/>
  <c r="R29" i="20" s="1"/>
  <c r="R30" i="20" s="1"/>
  <c r="R31" i="20" s="1"/>
  <c r="R32" i="20" s="1"/>
  <c r="R33" i="20" s="1"/>
  <c r="R34" i="20" s="1"/>
  <c r="R35" i="20" s="1"/>
  <c r="R36" i="20" s="1"/>
  <c r="R37" i="20" s="1"/>
  <c r="R38" i="20" s="1"/>
  <c r="R39" i="20" s="1"/>
  <c r="R40" i="20" s="1"/>
  <c r="R41" i="20" s="1"/>
  <c r="R42" i="20" s="1"/>
  <c r="R43" i="20" s="1"/>
  <c r="R44" i="20" s="1"/>
  <c r="R45" i="20" s="1"/>
  <c r="R46" i="20" s="1"/>
  <c r="R47" i="20" s="1"/>
  <c r="R48" i="20" s="1"/>
  <c r="R49" i="20" s="1"/>
  <c r="R50" i="20" s="1"/>
  <c r="R51" i="20" s="1"/>
  <c r="R52" i="20" s="1"/>
  <c r="R53" i="20" s="1"/>
  <c r="R54" i="20" s="1"/>
  <c r="R55" i="20" s="1"/>
  <c r="R56" i="20" s="1"/>
  <c r="R57" i="20" s="1"/>
  <c r="R58" i="20" s="1"/>
  <c r="R59" i="20" s="1"/>
  <c r="R60" i="20" s="1"/>
  <c r="R61" i="20" s="1"/>
  <c r="R62" i="20" s="1"/>
  <c r="R63" i="20" s="1"/>
  <c r="R64" i="20" s="1"/>
  <c r="R65" i="20" s="1"/>
  <c r="R66" i="20" s="1"/>
  <c r="R67" i="20" s="1"/>
  <c r="R68" i="20" s="1"/>
  <c r="R69" i="20" s="1"/>
  <c r="R70" i="20" s="1"/>
  <c r="R71" i="20" s="1"/>
  <c r="R72" i="20" s="1"/>
  <c r="R73" i="20" s="1"/>
  <c r="R74" i="20" s="1"/>
  <c r="R75" i="20" s="1"/>
  <c r="R76" i="20" s="1"/>
  <c r="R77" i="20" s="1"/>
  <c r="R78" i="20" s="1"/>
  <c r="R79" i="20" s="1"/>
  <c r="R80" i="20" s="1"/>
  <c r="R81" i="20" s="1"/>
  <c r="R82" i="20" s="1"/>
  <c r="R83" i="20" s="1"/>
  <c r="R84" i="20" s="1"/>
  <c r="R85" i="20" s="1"/>
  <c r="R86" i="20" s="1"/>
  <c r="R87" i="20" s="1"/>
  <c r="R88" i="20" s="1"/>
  <c r="R89" i="20" s="1"/>
  <c r="R90" i="20" s="1"/>
  <c r="R91" i="20" s="1"/>
  <c r="R92" i="20" s="1"/>
  <c r="R93" i="20" s="1"/>
  <c r="R94" i="20" s="1"/>
  <c r="R95" i="20" s="1"/>
  <c r="R96" i="20" s="1"/>
  <c r="R97" i="20" s="1"/>
  <c r="R98" i="20" s="1"/>
  <c r="R99" i="20" s="1"/>
  <c r="R100" i="20" s="1"/>
  <c r="R101" i="20" s="1"/>
  <c r="R102" i="20" s="1"/>
  <c r="R103" i="20" s="1"/>
  <c r="R104" i="20" s="1"/>
  <c r="R105" i="20" s="1"/>
  <c r="R106" i="20" s="1"/>
  <c r="R107" i="20" s="1"/>
  <c r="R108" i="20" s="1"/>
  <c r="R109" i="20" s="1"/>
  <c r="R110" i="20" s="1"/>
  <c r="R111" i="20" s="1"/>
  <c r="R112" i="20" s="1"/>
  <c r="R113" i="20" s="1"/>
  <c r="R114" i="20" s="1"/>
  <c r="R115" i="20" s="1"/>
  <c r="R116" i="20" s="1"/>
  <c r="R117" i="20" s="1"/>
  <c r="R118" i="20" s="1"/>
  <c r="R119" i="20" s="1"/>
  <c r="R120" i="20" s="1"/>
  <c r="R121" i="20" s="1"/>
  <c r="R122" i="20" s="1"/>
  <c r="R123" i="20" s="1"/>
  <c r="R124" i="20" s="1"/>
  <c r="R125" i="20" s="1"/>
  <c r="R126" i="20" s="1"/>
  <c r="R127" i="20" s="1"/>
  <c r="R128" i="20" s="1"/>
  <c r="R129" i="20" s="1"/>
  <c r="R130" i="20" s="1"/>
  <c r="R131" i="20" s="1"/>
  <c r="R132" i="20" s="1"/>
  <c r="R133" i="20" s="1"/>
  <c r="R134" i="20" s="1"/>
  <c r="R135" i="20" s="1"/>
  <c r="R136" i="20" s="1"/>
  <c r="R137" i="20" s="1"/>
  <c r="R138" i="20" s="1"/>
  <c r="R139" i="20" s="1"/>
  <c r="R140" i="20" s="1"/>
  <c r="R141" i="20" s="1"/>
  <c r="R142" i="20" s="1"/>
  <c r="R143" i="20" s="1"/>
  <c r="R144" i="20" s="1"/>
  <c r="R145" i="20" s="1"/>
  <c r="R146" i="20" s="1"/>
  <c r="R147" i="20" s="1"/>
  <c r="R148" i="20" s="1"/>
  <c r="R149" i="20" s="1"/>
  <c r="R150" i="20" s="1"/>
  <c r="R151" i="20" s="1"/>
  <c r="R152" i="20" s="1"/>
  <c r="R153" i="20" s="1"/>
  <c r="R154" i="20" s="1"/>
  <c r="R155" i="20" s="1"/>
  <c r="R156" i="20" s="1"/>
  <c r="R157" i="20" s="1"/>
  <c r="R158" i="20" s="1"/>
  <c r="R159" i="20" s="1"/>
  <c r="R160" i="20" s="1"/>
  <c r="R161" i="20" s="1"/>
  <c r="R162" i="20" s="1"/>
  <c r="R163" i="20" s="1"/>
  <c r="R164" i="20" s="1"/>
  <c r="R165" i="20" s="1"/>
  <c r="R166" i="20" s="1"/>
  <c r="R167" i="20" s="1"/>
  <c r="R168" i="20" s="1"/>
  <c r="R169" i="20" s="1"/>
  <c r="R170" i="20" s="1"/>
  <c r="R171" i="20" s="1"/>
  <c r="R172" i="20" s="1"/>
  <c r="R173" i="20" s="1"/>
  <c r="R174" i="20" s="1"/>
  <c r="R175" i="20" s="1"/>
  <c r="R176" i="20" s="1"/>
  <c r="R177" i="20" s="1"/>
  <c r="R178" i="20" s="1"/>
  <c r="R179" i="20" s="1"/>
  <c r="R180" i="20" s="1"/>
  <c r="R181" i="20" s="1"/>
  <c r="R182" i="20" s="1"/>
  <c r="R183" i="20" s="1"/>
  <c r="R184" i="20" s="1"/>
  <c r="R185" i="20" s="1"/>
  <c r="R186" i="20" s="1"/>
  <c r="R187" i="20" s="1"/>
  <c r="R188" i="20" s="1"/>
  <c r="R189" i="20" s="1"/>
  <c r="R190" i="20" s="1"/>
  <c r="R191" i="20" s="1"/>
  <c r="R192" i="20" s="1"/>
  <c r="R193" i="20" s="1"/>
  <c r="R194" i="20" s="1"/>
  <c r="R195" i="20" s="1"/>
  <c r="R196" i="20" s="1"/>
  <c r="R197" i="20" s="1"/>
  <c r="R198" i="20" s="1"/>
  <c r="R199" i="20" s="1"/>
  <c r="R200" i="20" s="1"/>
  <c r="R201" i="20" s="1"/>
  <c r="R202" i="20" s="1"/>
  <c r="R203" i="20" s="1"/>
  <c r="R204" i="20" s="1"/>
  <c r="R205" i="20" s="1"/>
  <c r="R206" i="20" s="1"/>
  <c r="R207" i="20" s="1"/>
  <c r="R208" i="20" s="1"/>
  <c r="R209" i="20" s="1"/>
  <c r="R210" i="20" s="1"/>
  <c r="R211" i="20" s="1"/>
  <c r="R212" i="20" s="1"/>
  <c r="R213" i="20" s="1"/>
  <c r="R214" i="20" s="1"/>
  <c r="R215" i="20" s="1"/>
  <c r="R216" i="20" s="1"/>
  <c r="R217" i="20" s="1"/>
  <c r="R218" i="20" s="1"/>
  <c r="R219" i="20" s="1"/>
  <c r="R220" i="20" s="1"/>
  <c r="R221" i="20" s="1"/>
  <c r="R222" i="20" s="1"/>
  <c r="R223" i="20" s="1"/>
  <c r="R224" i="20" s="1"/>
  <c r="R225" i="20" s="1"/>
  <c r="R226" i="20" s="1"/>
  <c r="R227" i="20" s="1"/>
  <c r="R228" i="20" s="1"/>
  <c r="R229" i="20" s="1"/>
  <c r="R230" i="20" s="1"/>
  <c r="R231" i="20" s="1"/>
  <c r="R232" i="20" s="1"/>
  <c r="R233" i="20" s="1"/>
  <c r="R234" i="20" s="1"/>
  <c r="N5" i="20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AP5" i="20"/>
  <c r="AP6" i="20" s="1"/>
  <c r="AP7" i="20" s="1"/>
  <c r="AP8" i="20" s="1"/>
  <c r="AP9" i="20" s="1"/>
  <c r="AP10" i="20" s="1"/>
  <c r="AP11" i="20" s="1"/>
  <c r="AP12" i="20" s="1"/>
  <c r="AP13" i="20" s="1"/>
  <c r="AP14" i="20" s="1"/>
  <c r="AP15" i="20" s="1"/>
  <c r="AP16" i="20" s="1"/>
  <c r="AP17" i="20" s="1"/>
  <c r="AP18" i="20" s="1"/>
  <c r="AP19" i="20" s="1"/>
  <c r="AP20" i="20" s="1"/>
  <c r="AP21" i="20" s="1"/>
  <c r="AP22" i="20" s="1"/>
  <c r="AP23" i="20" s="1"/>
  <c r="AP24" i="20" s="1"/>
  <c r="AP25" i="20" s="1"/>
  <c r="AP26" i="20" s="1"/>
  <c r="AP27" i="20" s="1"/>
  <c r="AP28" i="20" s="1"/>
  <c r="AP29" i="20" s="1"/>
  <c r="AP30" i="20" s="1"/>
  <c r="AP31" i="20" s="1"/>
  <c r="AP32" i="20" s="1"/>
  <c r="AP33" i="20" s="1"/>
  <c r="AP34" i="20" s="1"/>
  <c r="AP35" i="20" s="1"/>
  <c r="AP36" i="20" s="1"/>
  <c r="AP37" i="20" s="1"/>
  <c r="AP38" i="20" s="1"/>
  <c r="AP39" i="20" s="1"/>
  <c r="AP40" i="20" s="1"/>
  <c r="AP41" i="20" s="1"/>
  <c r="AP42" i="20" s="1"/>
  <c r="AP43" i="20" s="1"/>
  <c r="AP44" i="20" s="1"/>
  <c r="AP45" i="20" s="1"/>
  <c r="AP46" i="20" s="1"/>
  <c r="AP47" i="20" s="1"/>
  <c r="AP48" i="20" s="1"/>
  <c r="AP49" i="20" s="1"/>
  <c r="AP50" i="20" s="1"/>
  <c r="AP51" i="20" s="1"/>
  <c r="AP52" i="20" s="1"/>
  <c r="AP53" i="20" s="1"/>
  <c r="AP54" i="20" s="1"/>
  <c r="AP55" i="20" s="1"/>
  <c r="AP56" i="20" s="1"/>
  <c r="AP57" i="20" s="1"/>
  <c r="AP58" i="20" s="1"/>
  <c r="AP59" i="20" s="1"/>
  <c r="AP60" i="20" s="1"/>
  <c r="AP61" i="20" s="1"/>
  <c r="AP62" i="20" s="1"/>
  <c r="AP63" i="20" s="1"/>
  <c r="AP64" i="20" s="1"/>
  <c r="AP65" i="20" s="1"/>
  <c r="AP66" i="20" s="1"/>
  <c r="AP67" i="20" s="1"/>
  <c r="AP68" i="20" s="1"/>
  <c r="AP69" i="20" s="1"/>
  <c r="AP70" i="20" s="1"/>
  <c r="AP71" i="20" s="1"/>
  <c r="AP72" i="20" s="1"/>
  <c r="AP73" i="20" s="1"/>
  <c r="AP74" i="20" s="1"/>
  <c r="AP75" i="20" s="1"/>
  <c r="AP76" i="20" s="1"/>
  <c r="AP77" i="20" s="1"/>
  <c r="AP78" i="20" s="1"/>
  <c r="AP79" i="20" s="1"/>
  <c r="AP80" i="20" s="1"/>
  <c r="AP81" i="20" s="1"/>
  <c r="AP82" i="20" s="1"/>
  <c r="AP83" i="20" s="1"/>
  <c r="AP84" i="20" s="1"/>
  <c r="AP85" i="20" s="1"/>
  <c r="AP86" i="20" s="1"/>
  <c r="AP87" i="20" s="1"/>
  <c r="AP88" i="20" s="1"/>
  <c r="AP89" i="20" s="1"/>
  <c r="AP90" i="20" s="1"/>
  <c r="AP91" i="20" s="1"/>
  <c r="AP92" i="20" s="1"/>
  <c r="AP93" i="20" s="1"/>
  <c r="AP94" i="20" s="1"/>
  <c r="AP95" i="20" s="1"/>
  <c r="AP96" i="20" s="1"/>
  <c r="AP97" i="20" s="1"/>
  <c r="AP98" i="20" s="1"/>
  <c r="AP99" i="20" s="1"/>
  <c r="AP100" i="20" s="1"/>
  <c r="AP101" i="20" s="1"/>
  <c r="AP102" i="20" s="1"/>
  <c r="AP103" i="20" s="1"/>
  <c r="AP104" i="20" s="1"/>
  <c r="AP105" i="20" s="1"/>
  <c r="AP106" i="20" s="1"/>
  <c r="AP107" i="20" s="1"/>
  <c r="AP108" i="20" s="1"/>
  <c r="AP109" i="20" s="1"/>
  <c r="AP110" i="20" s="1"/>
  <c r="AP111" i="20" s="1"/>
  <c r="AP112" i="20" s="1"/>
  <c r="AP113" i="20" s="1"/>
  <c r="AP114" i="20" s="1"/>
  <c r="AP115" i="20" s="1"/>
  <c r="AP116" i="20" s="1"/>
  <c r="AP117" i="20" s="1"/>
  <c r="AP118" i="20" s="1"/>
  <c r="AP119" i="20" s="1"/>
  <c r="AP120" i="20" s="1"/>
  <c r="AP121" i="20" s="1"/>
  <c r="AP122" i="20" s="1"/>
  <c r="AP123" i="20" s="1"/>
  <c r="AP124" i="20" s="1"/>
  <c r="AP125" i="20" s="1"/>
  <c r="AP126" i="20" s="1"/>
  <c r="AP127" i="20" s="1"/>
  <c r="AP128" i="20" s="1"/>
  <c r="AP129" i="20" s="1"/>
  <c r="AP130" i="20" s="1"/>
  <c r="AP131" i="20" s="1"/>
  <c r="AP132" i="20" s="1"/>
  <c r="AP133" i="20" s="1"/>
  <c r="AP134" i="20" s="1"/>
  <c r="AP135" i="20" s="1"/>
  <c r="AP136" i="20" s="1"/>
  <c r="AP137" i="20" s="1"/>
  <c r="AP138" i="20" s="1"/>
  <c r="AP139" i="20" s="1"/>
  <c r="AP140" i="20" s="1"/>
  <c r="AP141" i="20" s="1"/>
  <c r="AP142" i="20" s="1"/>
  <c r="AP143" i="20" s="1"/>
  <c r="AP144" i="20" s="1"/>
  <c r="AP145" i="20" s="1"/>
  <c r="AP146" i="20" s="1"/>
  <c r="AP147" i="20" s="1"/>
  <c r="AP148" i="20" s="1"/>
  <c r="AP149" i="20" s="1"/>
  <c r="AP150" i="20" s="1"/>
  <c r="AP151" i="20" s="1"/>
  <c r="AP152" i="20" s="1"/>
  <c r="AP153" i="20" s="1"/>
  <c r="AP154" i="20" s="1"/>
  <c r="AP155" i="20" s="1"/>
  <c r="AP156" i="20" s="1"/>
  <c r="AP157" i="20" s="1"/>
  <c r="AP158" i="20" s="1"/>
  <c r="AP159" i="20" s="1"/>
  <c r="AP160" i="20" s="1"/>
  <c r="AP161" i="20" s="1"/>
  <c r="AP162" i="20" s="1"/>
  <c r="AP163" i="20" s="1"/>
  <c r="AP164" i="20" s="1"/>
  <c r="AP165" i="20" s="1"/>
  <c r="AP166" i="20" s="1"/>
  <c r="AP167" i="20" s="1"/>
  <c r="AP168" i="20" s="1"/>
  <c r="AP169" i="20" s="1"/>
  <c r="AP170" i="20" s="1"/>
  <c r="AP171" i="20" s="1"/>
  <c r="AP172" i="20" s="1"/>
  <c r="AP173" i="20" s="1"/>
  <c r="AP174" i="20" s="1"/>
  <c r="AP175" i="20" s="1"/>
  <c r="AP176" i="20" s="1"/>
  <c r="AP177" i="20" s="1"/>
  <c r="AP178" i="20" s="1"/>
  <c r="AP179" i="20" s="1"/>
  <c r="AP180" i="20" s="1"/>
  <c r="AP181" i="20" s="1"/>
  <c r="AP182" i="20" s="1"/>
  <c r="AP183" i="20" s="1"/>
  <c r="AP184" i="20" s="1"/>
  <c r="AP185" i="20" s="1"/>
  <c r="AP186" i="20" s="1"/>
  <c r="AP187" i="20" s="1"/>
  <c r="AP188" i="20" s="1"/>
  <c r="AP189" i="20" s="1"/>
  <c r="AP190" i="20" s="1"/>
  <c r="AP191" i="20" s="1"/>
  <c r="AP192" i="20" s="1"/>
  <c r="AP193" i="20" s="1"/>
  <c r="AP194" i="20" s="1"/>
  <c r="AP195" i="20" s="1"/>
  <c r="AP196" i="20" s="1"/>
  <c r="AP197" i="20" s="1"/>
  <c r="AP198" i="20" s="1"/>
  <c r="AP199" i="20" s="1"/>
  <c r="AP200" i="20" s="1"/>
  <c r="AP201" i="20" s="1"/>
  <c r="AP202" i="20" s="1"/>
  <c r="AP203" i="20" s="1"/>
  <c r="AP204" i="20" s="1"/>
  <c r="AP205" i="20" s="1"/>
  <c r="AP206" i="20" s="1"/>
  <c r="AP207" i="20" s="1"/>
  <c r="AP208" i="20" s="1"/>
  <c r="AP209" i="20" s="1"/>
  <c r="AP210" i="20" s="1"/>
  <c r="AP211" i="20" s="1"/>
  <c r="AP212" i="20" s="1"/>
  <c r="AP213" i="20" s="1"/>
  <c r="AP214" i="20" s="1"/>
  <c r="AP215" i="20" s="1"/>
  <c r="AP216" i="20" s="1"/>
  <c r="AP217" i="20" s="1"/>
  <c r="AP218" i="20" s="1"/>
  <c r="AP219" i="20" s="1"/>
  <c r="AP220" i="20" s="1"/>
  <c r="AP221" i="20" s="1"/>
  <c r="AP222" i="20" s="1"/>
  <c r="AP223" i="20" s="1"/>
  <c r="AP224" i="20" s="1"/>
  <c r="AP225" i="20" s="1"/>
  <c r="AP226" i="20" s="1"/>
  <c r="AP227" i="20" s="1"/>
  <c r="AP228" i="20" s="1"/>
  <c r="AP229" i="20" s="1"/>
  <c r="AP230" i="20" s="1"/>
  <c r="AP231" i="20" s="1"/>
  <c r="AP232" i="20" s="1"/>
  <c r="AP233" i="20" s="1"/>
  <c r="AP234" i="20" s="1"/>
  <c r="U5" i="20"/>
  <c r="U6" i="20" s="1"/>
  <c r="U7" i="20" s="1"/>
  <c r="U8" i="20" s="1"/>
  <c r="U9" i="20" s="1"/>
  <c r="U10" i="20" s="1"/>
  <c r="U11" i="20" s="1"/>
  <c r="U12" i="20" s="1"/>
  <c r="U13" i="20" s="1"/>
  <c r="U14" i="20" s="1"/>
  <c r="U15" i="20" s="1"/>
  <c r="U16" i="20" s="1"/>
  <c r="U17" i="20" s="1"/>
  <c r="U18" i="20" s="1"/>
  <c r="U19" i="20" s="1"/>
  <c r="U20" i="20" s="1"/>
  <c r="U21" i="20" s="1"/>
  <c r="U22" i="20" s="1"/>
  <c r="U23" i="20" s="1"/>
  <c r="U24" i="20" s="1"/>
  <c r="U25" i="20" s="1"/>
  <c r="U26" i="20" s="1"/>
  <c r="U27" i="20" s="1"/>
  <c r="U28" i="20" s="1"/>
  <c r="U29" i="20" s="1"/>
  <c r="U30" i="20" s="1"/>
  <c r="U31" i="20" s="1"/>
  <c r="U32" i="20" s="1"/>
  <c r="U33" i="20" s="1"/>
  <c r="U34" i="20" s="1"/>
  <c r="U35" i="20" s="1"/>
  <c r="U36" i="20" s="1"/>
  <c r="U37" i="20" s="1"/>
  <c r="U38" i="20" s="1"/>
  <c r="U39" i="20" s="1"/>
  <c r="U40" i="20" s="1"/>
  <c r="U41" i="20" s="1"/>
  <c r="U42" i="20" s="1"/>
  <c r="U43" i="20" s="1"/>
  <c r="U44" i="20" s="1"/>
  <c r="U45" i="20" s="1"/>
  <c r="U46" i="20" s="1"/>
  <c r="U47" i="20" s="1"/>
  <c r="U48" i="20" s="1"/>
  <c r="U49" i="20" s="1"/>
  <c r="U50" i="20" s="1"/>
  <c r="U51" i="20" s="1"/>
  <c r="U52" i="20" s="1"/>
  <c r="U53" i="20" s="1"/>
  <c r="U54" i="20" s="1"/>
  <c r="U55" i="20" s="1"/>
  <c r="U56" i="20" s="1"/>
  <c r="U57" i="20" s="1"/>
  <c r="U58" i="20" s="1"/>
  <c r="U59" i="20" s="1"/>
  <c r="U60" i="20" s="1"/>
  <c r="U61" i="20" s="1"/>
  <c r="U62" i="20" s="1"/>
  <c r="U63" i="20" s="1"/>
  <c r="U64" i="20" s="1"/>
  <c r="U65" i="20" s="1"/>
  <c r="U66" i="20" s="1"/>
  <c r="U67" i="20" s="1"/>
  <c r="U68" i="20" s="1"/>
  <c r="U69" i="20" s="1"/>
  <c r="U70" i="20" s="1"/>
  <c r="U71" i="20" s="1"/>
  <c r="U72" i="20" s="1"/>
  <c r="U73" i="20" s="1"/>
  <c r="U74" i="20" s="1"/>
  <c r="U75" i="20" s="1"/>
  <c r="U76" i="20" s="1"/>
  <c r="U77" i="20" s="1"/>
  <c r="U78" i="20" s="1"/>
  <c r="U79" i="20" s="1"/>
  <c r="U80" i="20" s="1"/>
  <c r="U81" i="20" s="1"/>
  <c r="U82" i="20" s="1"/>
  <c r="U83" i="20" s="1"/>
  <c r="U84" i="20" s="1"/>
  <c r="U85" i="20" s="1"/>
  <c r="U86" i="20" s="1"/>
  <c r="U87" i="20" s="1"/>
  <c r="U88" i="20" s="1"/>
  <c r="U89" i="20" s="1"/>
  <c r="U90" i="20" s="1"/>
  <c r="U91" i="20" s="1"/>
  <c r="U92" i="20" s="1"/>
  <c r="U93" i="20" s="1"/>
  <c r="U94" i="20" s="1"/>
  <c r="U95" i="20" s="1"/>
  <c r="U96" i="20" s="1"/>
  <c r="U97" i="20" s="1"/>
  <c r="U98" i="20" s="1"/>
  <c r="U99" i="20" s="1"/>
  <c r="U100" i="20" s="1"/>
  <c r="U101" i="20" s="1"/>
  <c r="U102" i="20" s="1"/>
  <c r="U103" i="20" s="1"/>
  <c r="U104" i="20" s="1"/>
  <c r="U105" i="20" s="1"/>
  <c r="U106" i="20" s="1"/>
  <c r="U107" i="20" s="1"/>
  <c r="U108" i="20" s="1"/>
  <c r="U109" i="20" s="1"/>
  <c r="U110" i="20" s="1"/>
  <c r="U111" i="20" s="1"/>
  <c r="U112" i="20" s="1"/>
  <c r="U113" i="20" s="1"/>
  <c r="U114" i="20" s="1"/>
  <c r="U115" i="20" s="1"/>
  <c r="U116" i="20" s="1"/>
  <c r="U117" i="20" s="1"/>
  <c r="U118" i="20" s="1"/>
  <c r="U119" i="20" s="1"/>
  <c r="U120" i="20" s="1"/>
  <c r="U121" i="20" s="1"/>
  <c r="U122" i="20" s="1"/>
  <c r="U123" i="20" s="1"/>
  <c r="U124" i="20" s="1"/>
  <c r="U125" i="20" s="1"/>
  <c r="U126" i="20" s="1"/>
  <c r="U127" i="20" s="1"/>
  <c r="U128" i="20" s="1"/>
  <c r="U129" i="20" s="1"/>
  <c r="U130" i="20" s="1"/>
  <c r="U131" i="20" s="1"/>
  <c r="U132" i="20" s="1"/>
  <c r="U133" i="20" s="1"/>
  <c r="U134" i="20" s="1"/>
  <c r="U135" i="20" s="1"/>
  <c r="U136" i="20" s="1"/>
  <c r="U137" i="20" s="1"/>
  <c r="U138" i="20" s="1"/>
  <c r="U139" i="20" s="1"/>
  <c r="U140" i="20" s="1"/>
  <c r="U141" i="20" s="1"/>
  <c r="U142" i="20" s="1"/>
  <c r="U143" i="20" s="1"/>
  <c r="U144" i="20" s="1"/>
  <c r="U145" i="20" s="1"/>
  <c r="U146" i="20" s="1"/>
  <c r="U147" i="20" s="1"/>
  <c r="U148" i="20" s="1"/>
  <c r="U149" i="20" s="1"/>
  <c r="U150" i="20" s="1"/>
  <c r="U151" i="20" s="1"/>
  <c r="U152" i="20" s="1"/>
  <c r="U153" i="20" s="1"/>
  <c r="U154" i="20" s="1"/>
  <c r="U155" i="20" s="1"/>
  <c r="U156" i="20" s="1"/>
  <c r="U157" i="20" s="1"/>
  <c r="U158" i="20" s="1"/>
  <c r="U159" i="20" s="1"/>
  <c r="U160" i="20" s="1"/>
  <c r="U161" i="20" s="1"/>
  <c r="U162" i="20" s="1"/>
  <c r="U163" i="20" s="1"/>
  <c r="U164" i="20" s="1"/>
  <c r="U165" i="20" s="1"/>
  <c r="U166" i="20" s="1"/>
  <c r="U167" i="20" s="1"/>
  <c r="U168" i="20" s="1"/>
  <c r="U169" i="20" s="1"/>
  <c r="U170" i="20" s="1"/>
  <c r="U171" i="20" s="1"/>
  <c r="U172" i="20" s="1"/>
  <c r="U173" i="20" s="1"/>
  <c r="U174" i="20" s="1"/>
  <c r="U175" i="20" s="1"/>
  <c r="U176" i="20" s="1"/>
  <c r="U177" i="20" s="1"/>
  <c r="U178" i="20" s="1"/>
  <c r="U179" i="20" s="1"/>
  <c r="U180" i="20" s="1"/>
  <c r="U181" i="20" s="1"/>
  <c r="U182" i="20" s="1"/>
  <c r="U183" i="20" s="1"/>
  <c r="U184" i="20" s="1"/>
  <c r="U185" i="20" s="1"/>
  <c r="U186" i="20" s="1"/>
  <c r="U187" i="20" s="1"/>
  <c r="U188" i="20" s="1"/>
  <c r="U189" i="20" s="1"/>
  <c r="U190" i="20" s="1"/>
  <c r="U191" i="20" s="1"/>
  <c r="U192" i="20" s="1"/>
  <c r="U193" i="20" s="1"/>
  <c r="U194" i="20" s="1"/>
  <c r="U195" i="20" s="1"/>
  <c r="U196" i="20" s="1"/>
  <c r="U197" i="20" s="1"/>
  <c r="U198" i="20" s="1"/>
  <c r="U199" i="20" s="1"/>
  <c r="U200" i="20" s="1"/>
  <c r="U201" i="20" s="1"/>
  <c r="U202" i="20" s="1"/>
  <c r="U203" i="20" s="1"/>
  <c r="U204" i="20" s="1"/>
  <c r="U205" i="20" s="1"/>
  <c r="U206" i="20" s="1"/>
  <c r="U207" i="20" s="1"/>
  <c r="U208" i="20" s="1"/>
  <c r="U209" i="20" s="1"/>
  <c r="U210" i="20" s="1"/>
  <c r="U211" i="20" s="1"/>
  <c r="U212" i="20" s="1"/>
  <c r="U213" i="20" s="1"/>
  <c r="U214" i="20" s="1"/>
  <c r="U215" i="20" s="1"/>
  <c r="U216" i="20" s="1"/>
  <c r="U217" i="20" s="1"/>
  <c r="U218" i="20" s="1"/>
  <c r="U219" i="20" s="1"/>
  <c r="U220" i="20" s="1"/>
  <c r="U221" i="20" s="1"/>
  <c r="U222" i="20" s="1"/>
  <c r="U223" i="20" s="1"/>
  <c r="U224" i="20" s="1"/>
  <c r="U225" i="20" s="1"/>
  <c r="U226" i="20" s="1"/>
  <c r="U227" i="20" s="1"/>
  <c r="U228" i="20" s="1"/>
  <c r="U229" i="20" s="1"/>
  <c r="U230" i="20" s="1"/>
  <c r="U231" i="20" s="1"/>
  <c r="U232" i="20" s="1"/>
  <c r="U233" i="20" s="1"/>
  <c r="U234" i="20" s="1"/>
  <c r="F5" i="20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F54" i="20" s="1"/>
  <c r="F55" i="20" s="1"/>
  <c r="F56" i="20" s="1"/>
  <c r="F57" i="20" s="1"/>
  <c r="F58" i="20" s="1"/>
  <c r="F59" i="20" s="1"/>
  <c r="F60" i="20" s="1"/>
  <c r="F61" i="20" s="1"/>
  <c r="F62" i="20" s="1"/>
  <c r="F63" i="20" s="1"/>
  <c r="F64" i="20" s="1"/>
  <c r="F65" i="20" s="1"/>
  <c r="F66" i="20" s="1"/>
  <c r="F67" i="20" s="1"/>
  <c r="F68" i="20" s="1"/>
  <c r="F69" i="20" s="1"/>
  <c r="F70" i="20" s="1"/>
  <c r="F71" i="20" s="1"/>
  <c r="F72" i="20" s="1"/>
  <c r="F73" i="20" s="1"/>
  <c r="F74" i="20" s="1"/>
  <c r="F75" i="20" s="1"/>
  <c r="F76" i="20" s="1"/>
  <c r="F77" i="20" s="1"/>
  <c r="F78" i="20" s="1"/>
  <c r="F79" i="20" s="1"/>
  <c r="F80" i="20" s="1"/>
  <c r="F81" i="20" s="1"/>
  <c r="F82" i="20" s="1"/>
  <c r="F83" i="20" s="1"/>
  <c r="F84" i="20" s="1"/>
  <c r="F85" i="20" s="1"/>
  <c r="F86" i="20" s="1"/>
  <c r="F87" i="20" s="1"/>
  <c r="F88" i="20" s="1"/>
  <c r="F89" i="20" s="1"/>
  <c r="F90" i="20" s="1"/>
  <c r="F91" i="20" s="1"/>
  <c r="F92" i="20" s="1"/>
  <c r="F93" i="20" s="1"/>
  <c r="F94" i="20" s="1"/>
  <c r="F95" i="20" s="1"/>
  <c r="F96" i="20" s="1"/>
  <c r="F97" i="20" s="1"/>
  <c r="F98" i="20" s="1"/>
  <c r="F99" i="20" s="1"/>
  <c r="F100" i="20" s="1"/>
  <c r="F101" i="20" s="1"/>
  <c r="F102" i="20" s="1"/>
  <c r="F103" i="20" s="1"/>
  <c r="F104" i="20" s="1"/>
  <c r="F105" i="20" s="1"/>
  <c r="F106" i="20" s="1"/>
  <c r="F107" i="20" s="1"/>
  <c r="F108" i="20" s="1"/>
  <c r="F109" i="20" s="1"/>
  <c r="F110" i="20" s="1"/>
  <c r="F111" i="20" s="1"/>
  <c r="F112" i="20" s="1"/>
  <c r="F113" i="20" s="1"/>
  <c r="F114" i="20" s="1"/>
  <c r="F115" i="20" s="1"/>
  <c r="F116" i="20" s="1"/>
  <c r="F117" i="20" s="1"/>
  <c r="F118" i="20" s="1"/>
  <c r="F119" i="20" s="1"/>
  <c r="F120" i="20" s="1"/>
  <c r="F121" i="20" s="1"/>
  <c r="F122" i="20" s="1"/>
  <c r="F123" i="20" s="1"/>
  <c r="F124" i="20" s="1"/>
  <c r="F125" i="20" s="1"/>
  <c r="F126" i="20" s="1"/>
  <c r="F127" i="20" s="1"/>
  <c r="F128" i="20" s="1"/>
  <c r="F129" i="20" s="1"/>
  <c r="F130" i="20" s="1"/>
  <c r="F131" i="20" s="1"/>
  <c r="F132" i="20" s="1"/>
  <c r="F133" i="20" s="1"/>
  <c r="F134" i="20" s="1"/>
  <c r="F135" i="20" s="1"/>
  <c r="F136" i="20" s="1"/>
  <c r="F137" i="20" s="1"/>
  <c r="F138" i="20" s="1"/>
  <c r="F139" i="20" s="1"/>
  <c r="F140" i="20" s="1"/>
  <c r="F141" i="20" s="1"/>
  <c r="F142" i="20" s="1"/>
  <c r="F143" i="20" s="1"/>
  <c r="F144" i="20" s="1"/>
  <c r="F145" i="20" s="1"/>
  <c r="F146" i="20" s="1"/>
  <c r="F147" i="20" s="1"/>
  <c r="F148" i="20" s="1"/>
  <c r="F149" i="20" s="1"/>
  <c r="F150" i="20" s="1"/>
  <c r="F151" i="20" s="1"/>
  <c r="F152" i="20" s="1"/>
  <c r="F153" i="20" s="1"/>
  <c r="F154" i="20" s="1"/>
  <c r="F155" i="20" s="1"/>
  <c r="F156" i="20" s="1"/>
  <c r="F157" i="20" s="1"/>
  <c r="F158" i="20" s="1"/>
  <c r="F159" i="20" s="1"/>
  <c r="F160" i="20" s="1"/>
  <c r="F161" i="20" s="1"/>
  <c r="F162" i="20" s="1"/>
  <c r="F163" i="20" s="1"/>
  <c r="F164" i="20" s="1"/>
  <c r="F165" i="20" s="1"/>
  <c r="F166" i="20" s="1"/>
  <c r="F167" i="20" s="1"/>
  <c r="F168" i="20" s="1"/>
  <c r="F169" i="20" s="1"/>
  <c r="F170" i="20" s="1"/>
  <c r="F171" i="20" s="1"/>
  <c r="F172" i="20" s="1"/>
  <c r="F173" i="20" s="1"/>
  <c r="F174" i="20" s="1"/>
  <c r="F175" i="20" s="1"/>
  <c r="F176" i="20" s="1"/>
  <c r="F177" i="20" s="1"/>
  <c r="F178" i="20" s="1"/>
  <c r="F179" i="20" s="1"/>
  <c r="F180" i="20" s="1"/>
  <c r="F181" i="20" s="1"/>
  <c r="F182" i="20" s="1"/>
  <c r="F183" i="20" s="1"/>
  <c r="F184" i="20" s="1"/>
  <c r="F185" i="20" s="1"/>
  <c r="F186" i="20" s="1"/>
  <c r="F187" i="20" s="1"/>
  <c r="F188" i="20" s="1"/>
  <c r="F189" i="20" s="1"/>
  <c r="F190" i="20" s="1"/>
  <c r="F191" i="20" s="1"/>
  <c r="F192" i="20" s="1"/>
  <c r="F193" i="20" s="1"/>
  <c r="F194" i="20" s="1"/>
  <c r="F195" i="20" s="1"/>
  <c r="F196" i="20" s="1"/>
  <c r="F197" i="20" s="1"/>
  <c r="F198" i="20" s="1"/>
  <c r="F199" i="20" s="1"/>
  <c r="F200" i="20" s="1"/>
  <c r="F201" i="20" s="1"/>
  <c r="F202" i="20" s="1"/>
  <c r="F203" i="20" s="1"/>
  <c r="F204" i="20" s="1"/>
  <c r="F205" i="20" s="1"/>
  <c r="F206" i="20" s="1"/>
  <c r="F207" i="20" s="1"/>
  <c r="F208" i="20" s="1"/>
  <c r="F209" i="20" s="1"/>
  <c r="F210" i="20" s="1"/>
  <c r="F211" i="20" s="1"/>
  <c r="F212" i="20" s="1"/>
  <c r="F213" i="20" s="1"/>
  <c r="F214" i="20" s="1"/>
  <c r="F215" i="20" s="1"/>
  <c r="F216" i="20" s="1"/>
  <c r="F217" i="20" s="1"/>
  <c r="F218" i="20" s="1"/>
  <c r="F219" i="20" s="1"/>
  <c r="F220" i="20" s="1"/>
  <c r="F221" i="20" s="1"/>
  <c r="F222" i="20" s="1"/>
  <c r="F223" i="20" s="1"/>
  <c r="F224" i="20" s="1"/>
  <c r="F225" i="20" s="1"/>
  <c r="F226" i="20" s="1"/>
  <c r="F227" i="20" s="1"/>
  <c r="F228" i="20" s="1"/>
  <c r="F229" i="20" s="1"/>
  <c r="F230" i="20" s="1"/>
  <c r="F231" i="20" s="1"/>
  <c r="F232" i="20" s="1"/>
  <c r="F233" i="20" s="1"/>
  <c r="F234" i="20" s="1"/>
  <c r="AB5" i="20"/>
  <c r="BA5" i="20"/>
  <c r="AU5" i="20"/>
  <c r="AU6" i="20" s="1"/>
  <c r="AU7" i="20" s="1"/>
  <c r="AU8" i="20" s="1"/>
  <c r="AU9" i="20" s="1"/>
  <c r="AU10" i="20" s="1"/>
  <c r="AU11" i="20" s="1"/>
  <c r="AU12" i="20" s="1"/>
  <c r="AU13" i="20" s="1"/>
  <c r="AU14" i="20" s="1"/>
  <c r="AU15" i="20" s="1"/>
  <c r="AU16" i="20" s="1"/>
  <c r="AU17" i="20" s="1"/>
  <c r="AU18" i="20" s="1"/>
  <c r="AU19" i="20" s="1"/>
  <c r="AU20" i="20" s="1"/>
  <c r="AU21" i="20" s="1"/>
  <c r="AU22" i="20" s="1"/>
  <c r="AU23" i="20" s="1"/>
  <c r="AU24" i="20" s="1"/>
  <c r="AU25" i="20" s="1"/>
  <c r="AU26" i="20" s="1"/>
  <c r="AU27" i="20" s="1"/>
  <c r="AU28" i="20" s="1"/>
  <c r="AU29" i="20" s="1"/>
  <c r="AU30" i="20" s="1"/>
  <c r="AU31" i="20" s="1"/>
  <c r="AU32" i="20" s="1"/>
  <c r="AU33" i="20" s="1"/>
  <c r="AU34" i="20" s="1"/>
  <c r="AU35" i="20" s="1"/>
  <c r="AU36" i="20" s="1"/>
  <c r="AU37" i="20" s="1"/>
  <c r="AU38" i="20" s="1"/>
  <c r="AU39" i="20" s="1"/>
  <c r="AU40" i="20" s="1"/>
  <c r="AU41" i="20" s="1"/>
  <c r="AU42" i="20" s="1"/>
  <c r="AU43" i="20" s="1"/>
  <c r="AU44" i="20" s="1"/>
  <c r="AU45" i="20" s="1"/>
  <c r="AU46" i="20" s="1"/>
  <c r="AU47" i="20" s="1"/>
  <c r="AU48" i="20" s="1"/>
  <c r="AU49" i="20" s="1"/>
  <c r="AU50" i="20" s="1"/>
  <c r="AU51" i="20" s="1"/>
  <c r="AU52" i="20" s="1"/>
  <c r="AU53" i="20" s="1"/>
  <c r="AU54" i="20" s="1"/>
  <c r="AU55" i="20" s="1"/>
  <c r="AU56" i="20" s="1"/>
  <c r="AU57" i="20" s="1"/>
  <c r="AU58" i="20" s="1"/>
  <c r="AU59" i="20" s="1"/>
  <c r="AU60" i="20" s="1"/>
  <c r="AU61" i="20" s="1"/>
  <c r="AU62" i="20" s="1"/>
  <c r="AU63" i="20" s="1"/>
  <c r="AU64" i="20" s="1"/>
  <c r="AU65" i="20" s="1"/>
  <c r="AU66" i="20" s="1"/>
  <c r="AU67" i="20" s="1"/>
  <c r="AU68" i="20" s="1"/>
  <c r="AU69" i="20" s="1"/>
  <c r="AU70" i="20" s="1"/>
  <c r="AU71" i="20" s="1"/>
  <c r="AU72" i="20" s="1"/>
  <c r="AU73" i="20" s="1"/>
  <c r="AU74" i="20" s="1"/>
  <c r="AU75" i="20" s="1"/>
  <c r="AU76" i="20" s="1"/>
  <c r="AU77" i="20" s="1"/>
  <c r="AU78" i="20" s="1"/>
  <c r="AU79" i="20" s="1"/>
  <c r="AU80" i="20" s="1"/>
  <c r="AU81" i="20" s="1"/>
  <c r="AU82" i="20" s="1"/>
  <c r="AU83" i="20" s="1"/>
  <c r="AU84" i="20" s="1"/>
  <c r="AU85" i="20" s="1"/>
  <c r="AU86" i="20" s="1"/>
  <c r="AU87" i="20" s="1"/>
  <c r="AU88" i="20" s="1"/>
  <c r="AU89" i="20" s="1"/>
  <c r="AU90" i="20" s="1"/>
  <c r="AU91" i="20" s="1"/>
  <c r="AU92" i="20" s="1"/>
  <c r="AU93" i="20" s="1"/>
  <c r="AU94" i="20" s="1"/>
  <c r="AU95" i="20" s="1"/>
  <c r="AU96" i="20" s="1"/>
  <c r="AU97" i="20" s="1"/>
  <c r="AU98" i="20" s="1"/>
  <c r="AU99" i="20" s="1"/>
  <c r="AU100" i="20" s="1"/>
  <c r="AU101" i="20" s="1"/>
  <c r="AU102" i="20" s="1"/>
  <c r="AU103" i="20" s="1"/>
  <c r="AU104" i="20" s="1"/>
  <c r="AU105" i="20" s="1"/>
  <c r="AU106" i="20" s="1"/>
  <c r="AU107" i="20" s="1"/>
  <c r="AU108" i="20" s="1"/>
  <c r="AU109" i="20" s="1"/>
  <c r="AU110" i="20" s="1"/>
  <c r="AU111" i="20" s="1"/>
  <c r="AU112" i="20" s="1"/>
  <c r="AU113" i="20" s="1"/>
  <c r="AU114" i="20" s="1"/>
  <c r="AU115" i="20" s="1"/>
  <c r="AU116" i="20" s="1"/>
  <c r="AU117" i="20" s="1"/>
  <c r="AU118" i="20" s="1"/>
  <c r="AU119" i="20" s="1"/>
  <c r="AU120" i="20" s="1"/>
  <c r="AU121" i="20" s="1"/>
  <c r="AU122" i="20" s="1"/>
  <c r="AU123" i="20" s="1"/>
  <c r="AU124" i="20" s="1"/>
  <c r="AU125" i="20" s="1"/>
  <c r="AU126" i="20" s="1"/>
  <c r="AU127" i="20" s="1"/>
  <c r="AU128" i="20" s="1"/>
  <c r="AU129" i="20" s="1"/>
  <c r="AU130" i="20" s="1"/>
  <c r="AU131" i="20" s="1"/>
  <c r="AU132" i="20" s="1"/>
  <c r="AU133" i="20" s="1"/>
  <c r="AU134" i="20" s="1"/>
  <c r="AU135" i="20" s="1"/>
  <c r="AU136" i="20" s="1"/>
  <c r="AU137" i="20" s="1"/>
  <c r="AU138" i="20" s="1"/>
  <c r="AU139" i="20" s="1"/>
  <c r="AU140" i="20" s="1"/>
  <c r="AU141" i="20" s="1"/>
  <c r="AU142" i="20" s="1"/>
  <c r="AU143" i="20" s="1"/>
  <c r="AU144" i="20" s="1"/>
  <c r="AU145" i="20" s="1"/>
  <c r="AU146" i="20" s="1"/>
  <c r="AU147" i="20" s="1"/>
  <c r="AU148" i="20" s="1"/>
  <c r="AU149" i="20" s="1"/>
  <c r="AU150" i="20" s="1"/>
  <c r="AU151" i="20" s="1"/>
  <c r="AU152" i="20" s="1"/>
  <c r="AU153" i="20" s="1"/>
  <c r="AU154" i="20" s="1"/>
  <c r="AU155" i="20" s="1"/>
  <c r="AU156" i="20" s="1"/>
  <c r="AU157" i="20" s="1"/>
  <c r="AU158" i="20" s="1"/>
  <c r="AU159" i="20" s="1"/>
  <c r="AU160" i="20" s="1"/>
  <c r="AU161" i="20" s="1"/>
  <c r="AU162" i="20" s="1"/>
  <c r="AU163" i="20" s="1"/>
  <c r="AU164" i="20" s="1"/>
  <c r="AU165" i="20" s="1"/>
  <c r="AU166" i="20" s="1"/>
  <c r="AU167" i="20" s="1"/>
  <c r="AU168" i="20" s="1"/>
  <c r="AU169" i="20" s="1"/>
  <c r="AU170" i="20" s="1"/>
  <c r="AU171" i="20" s="1"/>
  <c r="AU172" i="20" s="1"/>
  <c r="AU173" i="20" s="1"/>
  <c r="AU174" i="20" s="1"/>
  <c r="AU175" i="20" s="1"/>
  <c r="AU176" i="20" s="1"/>
  <c r="AU177" i="20" s="1"/>
  <c r="AU178" i="20" s="1"/>
  <c r="AU179" i="20" s="1"/>
  <c r="AU180" i="20" s="1"/>
  <c r="AU181" i="20" s="1"/>
  <c r="AU182" i="20" s="1"/>
  <c r="AU183" i="20" s="1"/>
  <c r="AU184" i="20" s="1"/>
  <c r="AU185" i="20" s="1"/>
  <c r="AU186" i="20" s="1"/>
  <c r="AU187" i="20" s="1"/>
  <c r="AU188" i="20" s="1"/>
  <c r="AU189" i="20" s="1"/>
  <c r="AU190" i="20" s="1"/>
  <c r="AU191" i="20" s="1"/>
  <c r="AU192" i="20" s="1"/>
  <c r="AU193" i="20" s="1"/>
  <c r="AU194" i="20" s="1"/>
  <c r="AU195" i="20" s="1"/>
  <c r="AU196" i="20" s="1"/>
  <c r="AU197" i="20" s="1"/>
  <c r="AU198" i="20" s="1"/>
  <c r="AU199" i="20" s="1"/>
  <c r="AU200" i="20" s="1"/>
  <c r="AU201" i="20" s="1"/>
  <c r="AU202" i="20" s="1"/>
  <c r="AU203" i="20" s="1"/>
  <c r="AU204" i="20" s="1"/>
  <c r="AU205" i="20" s="1"/>
  <c r="AU206" i="20" s="1"/>
  <c r="AU207" i="20" s="1"/>
  <c r="AU208" i="20" s="1"/>
  <c r="AU209" i="20" s="1"/>
  <c r="AU210" i="20" s="1"/>
  <c r="AU211" i="20" s="1"/>
  <c r="AU212" i="20" s="1"/>
  <c r="AU213" i="20" s="1"/>
  <c r="AU214" i="20" s="1"/>
  <c r="AU215" i="20" s="1"/>
  <c r="AU216" i="20" s="1"/>
  <c r="AU217" i="20" s="1"/>
  <c r="AU218" i="20" s="1"/>
  <c r="AU219" i="20" s="1"/>
  <c r="AU220" i="20" s="1"/>
  <c r="AU221" i="20" s="1"/>
  <c r="AU222" i="20" s="1"/>
  <c r="AU223" i="20" s="1"/>
  <c r="AU224" i="20" s="1"/>
  <c r="AU225" i="20" s="1"/>
  <c r="AU226" i="20" s="1"/>
  <c r="AU227" i="20" s="1"/>
  <c r="AU228" i="20" s="1"/>
  <c r="AU229" i="20" s="1"/>
  <c r="AU230" i="20" s="1"/>
  <c r="AU231" i="20" s="1"/>
  <c r="AU232" i="20" s="1"/>
  <c r="AU233" i="20" s="1"/>
  <c r="AU234" i="20" s="1"/>
  <c r="AQ7" i="3"/>
  <c r="AQ9" i="3"/>
  <c r="P5" i="3"/>
  <c r="P6" i="3" s="1"/>
  <c r="AQ8" i="3"/>
  <c r="AP5" i="3"/>
  <c r="AP6" i="3" s="1"/>
  <c r="AP7" i="3" s="1"/>
  <c r="AP8" i="3" s="1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P35" i="3" s="1"/>
  <c r="AP36" i="3" s="1"/>
  <c r="AP37" i="3" s="1"/>
  <c r="AP38" i="3" s="1"/>
  <c r="AP39" i="3" s="1"/>
  <c r="AP40" i="3" s="1"/>
  <c r="AP41" i="3" s="1"/>
  <c r="AP42" i="3" s="1"/>
  <c r="AP43" i="3" s="1"/>
  <c r="AP44" i="3" s="1"/>
  <c r="AP45" i="3" s="1"/>
  <c r="AP46" i="3" s="1"/>
  <c r="AP47" i="3" s="1"/>
  <c r="AP48" i="3" s="1"/>
  <c r="AP49" i="3" s="1"/>
  <c r="AP50" i="3" s="1"/>
  <c r="AP51" i="3" s="1"/>
  <c r="AP52" i="3" s="1"/>
  <c r="AP53" i="3" s="1"/>
  <c r="AP54" i="3" s="1"/>
  <c r="AP55" i="3" s="1"/>
  <c r="AP56" i="3" s="1"/>
  <c r="AP57" i="3" s="1"/>
  <c r="AP58" i="3" s="1"/>
  <c r="AP59" i="3" s="1"/>
  <c r="AP60" i="3" s="1"/>
  <c r="AP61" i="3" s="1"/>
  <c r="AP62" i="3" s="1"/>
  <c r="AP63" i="3" s="1"/>
  <c r="AP64" i="3" s="1"/>
  <c r="AP65" i="3" s="1"/>
  <c r="AP66" i="3" s="1"/>
  <c r="AP67" i="3" s="1"/>
  <c r="AP68" i="3" s="1"/>
  <c r="AP69" i="3" s="1"/>
  <c r="AP70" i="3" s="1"/>
  <c r="AP71" i="3" s="1"/>
  <c r="AP72" i="3" s="1"/>
  <c r="AP73" i="3" s="1"/>
  <c r="AP74" i="3" s="1"/>
  <c r="AP75" i="3" s="1"/>
  <c r="AP76" i="3" s="1"/>
  <c r="AP77" i="3" s="1"/>
  <c r="AP78" i="3" s="1"/>
  <c r="AP79" i="3" s="1"/>
  <c r="AP80" i="3" s="1"/>
  <c r="AP81" i="3" s="1"/>
  <c r="AP82" i="3" s="1"/>
  <c r="AP83" i="3" s="1"/>
  <c r="AP84" i="3" s="1"/>
  <c r="AP85" i="3" s="1"/>
  <c r="AP86" i="3" s="1"/>
  <c r="AP87" i="3" s="1"/>
  <c r="AP88" i="3" s="1"/>
  <c r="AP89" i="3" s="1"/>
  <c r="AP90" i="3" s="1"/>
  <c r="AP91" i="3" s="1"/>
  <c r="AP92" i="3" s="1"/>
  <c r="AP93" i="3" s="1"/>
  <c r="AP94" i="3" s="1"/>
  <c r="AP95" i="3" s="1"/>
  <c r="AP96" i="3" s="1"/>
  <c r="AP97" i="3" s="1"/>
  <c r="AP98" i="3" s="1"/>
  <c r="AP99" i="3" s="1"/>
  <c r="AP100" i="3" s="1"/>
  <c r="AP101" i="3" s="1"/>
  <c r="AP102" i="3" s="1"/>
  <c r="AP103" i="3" s="1"/>
  <c r="AP104" i="3" s="1"/>
  <c r="AP105" i="3" s="1"/>
  <c r="AP106" i="3" s="1"/>
  <c r="AP107" i="3" s="1"/>
  <c r="AP108" i="3" s="1"/>
  <c r="AP109" i="3" s="1"/>
  <c r="AP110" i="3" s="1"/>
  <c r="AP111" i="3" s="1"/>
  <c r="AP112" i="3" s="1"/>
  <c r="AP113" i="3" s="1"/>
  <c r="AP114" i="3" s="1"/>
  <c r="AP115" i="3" s="1"/>
  <c r="AP116" i="3" s="1"/>
  <c r="AP117" i="3" s="1"/>
  <c r="AP118" i="3" s="1"/>
  <c r="AP119" i="3" s="1"/>
  <c r="AP120" i="3" s="1"/>
  <c r="AP121" i="3" s="1"/>
  <c r="AP122" i="3" s="1"/>
  <c r="AP123" i="3" s="1"/>
  <c r="AP124" i="3" s="1"/>
  <c r="AP125" i="3" s="1"/>
  <c r="AP126" i="3" s="1"/>
  <c r="AP127" i="3" s="1"/>
  <c r="AP128" i="3" s="1"/>
  <c r="AP129" i="3" s="1"/>
  <c r="AP130" i="3" s="1"/>
  <c r="AP131" i="3" s="1"/>
  <c r="AP132" i="3" s="1"/>
  <c r="AP133" i="3" s="1"/>
  <c r="AP134" i="3" s="1"/>
  <c r="AP135" i="3" s="1"/>
  <c r="AP136" i="3" s="1"/>
  <c r="AP137" i="3" s="1"/>
  <c r="AP138" i="3" s="1"/>
  <c r="AP139" i="3" s="1"/>
  <c r="AP140" i="3" s="1"/>
  <c r="AP141" i="3" s="1"/>
  <c r="AP142" i="3" s="1"/>
  <c r="AP143" i="3" s="1"/>
  <c r="AP144" i="3" s="1"/>
  <c r="AP145" i="3" s="1"/>
  <c r="AP146" i="3" s="1"/>
  <c r="AP147" i="3" s="1"/>
  <c r="AP148" i="3" s="1"/>
  <c r="AP149" i="3" s="1"/>
  <c r="AP150" i="3" s="1"/>
  <c r="AP151" i="3" s="1"/>
  <c r="AP152" i="3" s="1"/>
  <c r="AP153" i="3" s="1"/>
  <c r="AP154" i="3" s="1"/>
  <c r="AP155" i="3" s="1"/>
  <c r="AP156" i="3" s="1"/>
  <c r="AP157" i="3" s="1"/>
  <c r="AP158" i="3" s="1"/>
  <c r="AP159" i="3" s="1"/>
  <c r="AP160" i="3" s="1"/>
  <c r="AP161" i="3" s="1"/>
  <c r="AP162" i="3" s="1"/>
  <c r="AP163" i="3" s="1"/>
  <c r="AP164" i="3" s="1"/>
  <c r="AP165" i="3" s="1"/>
  <c r="AP166" i="3" s="1"/>
  <c r="AP167" i="3" s="1"/>
  <c r="AP168" i="3" s="1"/>
  <c r="AP169" i="3" s="1"/>
  <c r="AP170" i="3" s="1"/>
  <c r="AP171" i="3" s="1"/>
  <c r="AP172" i="3" s="1"/>
  <c r="AP173" i="3" s="1"/>
  <c r="AP174" i="3" s="1"/>
  <c r="AP175" i="3" s="1"/>
  <c r="AP176" i="3" s="1"/>
  <c r="AP177" i="3" s="1"/>
  <c r="AP178" i="3" s="1"/>
  <c r="AP179" i="3" s="1"/>
  <c r="AP180" i="3" s="1"/>
  <c r="AP181" i="3" s="1"/>
  <c r="AP182" i="3" s="1"/>
  <c r="AP183" i="3" s="1"/>
  <c r="AP184" i="3" s="1"/>
  <c r="AP185" i="3" s="1"/>
  <c r="AP186" i="3" s="1"/>
  <c r="AP187" i="3" s="1"/>
  <c r="AP188" i="3" s="1"/>
  <c r="AP189" i="3" s="1"/>
  <c r="AP190" i="3" s="1"/>
  <c r="AP191" i="3" s="1"/>
  <c r="AP192" i="3" s="1"/>
  <c r="AP193" i="3" s="1"/>
  <c r="AP194" i="3" s="1"/>
  <c r="AP195" i="3" s="1"/>
  <c r="AP196" i="3" s="1"/>
  <c r="AP197" i="3" s="1"/>
  <c r="AP198" i="3" s="1"/>
  <c r="AP199" i="3" s="1"/>
  <c r="AP200" i="3" s="1"/>
  <c r="AP201" i="3" s="1"/>
  <c r="AP202" i="3" s="1"/>
  <c r="AP203" i="3" s="1"/>
  <c r="AP204" i="3" s="1"/>
  <c r="AP205" i="3" s="1"/>
  <c r="AP206" i="3" s="1"/>
  <c r="AP207" i="3" s="1"/>
  <c r="AP208" i="3" s="1"/>
  <c r="AP209" i="3" s="1"/>
  <c r="AP210" i="3" s="1"/>
  <c r="AP211" i="3" s="1"/>
  <c r="AP212" i="3" s="1"/>
  <c r="AP213" i="3" s="1"/>
  <c r="AP214" i="3" s="1"/>
  <c r="AP215" i="3" s="1"/>
  <c r="AP216" i="3" s="1"/>
  <c r="AP217" i="3" s="1"/>
  <c r="AP218" i="3" s="1"/>
  <c r="AP219" i="3" s="1"/>
  <c r="AP220" i="3" s="1"/>
  <c r="AP221" i="3" s="1"/>
  <c r="AP222" i="3" s="1"/>
  <c r="AP223" i="3" s="1"/>
  <c r="AP224" i="3" s="1"/>
  <c r="AP225" i="3" s="1"/>
  <c r="AP226" i="3" s="1"/>
  <c r="AP227" i="3" s="1"/>
  <c r="AP228" i="3" s="1"/>
  <c r="AP229" i="3" s="1"/>
  <c r="AP230" i="3" s="1"/>
  <c r="AP231" i="3" s="1"/>
  <c r="AP232" i="3" s="1"/>
  <c r="AP233" i="3" s="1"/>
  <c r="AP234" i="3" s="1"/>
  <c r="BA5" i="3"/>
  <c r="BA6" i="3" s="1"/>
  <c r="BA7" i="3" s="1"/>
  <c r="BA8" i="3" s="1"/>
  <c r="BA9" i="3" s="1"/>
  <c r="BA10" i="3" s="1"/>
  <c r="BA11" i="3" s="1"/>
  <c r="BA12" i="3" s="1"/>
  <c r="BA13" i="3" s="1"/>
  <c r="BA14" i="3" s="1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BA35" i="3" s="1"/>
  <c r="BA36" i="3" s="1"/>
  <c r="BA37" i="3" s="1"/>
  <c r="BA38" i="3" s="1"/>
  <c r="BA39" i="3" s="1"/>
  <c r="BA40" i="3" s="1"/>
  <c r="BA41" i="3" s="1"/>
  <c r="BA42" i="3" s="1"/>
  <c r="BA43" i="3" s="1"/>
  <c r="BA44" i="3" s="1"/>
  <c r="BA45" i="3" s="1"/>
  <c r="BA46" i="3" s="1"/>
  <c r="BA47" i="3" s="1"/>
  <c r="BA48" i="3" s="1"/>
  <c r="BA49" i="3" s="1"/>
  <c r="BA50" i="3" s="1"/>
  <c r="BA51" i="3" s="1"/>
  <c r="BA52" i="3" s="1"/>
  <c r="BA53" i="3" s="1"/>
  <c r="BA54" i="3" s="1"/>
  <c r="BA55" i="3" s="1"/>
  <c r="BA56" i="3" s="1"/>
  <c r="BA57" i="3" s="1"/>
  <c r="BA58" i="3" s="1"/>
  <c r="BA59" i="3" s="1"/>
  <c r="BA60" i="3" s="1"/>
  <c r="BA61" i="3" s="1"/>
  <c r="BA62" i="3" s="1"/>
  <c r="BA63" i="3" s="1"/>
  <c r="BA64" i="3" s="1"/>
  <c r="BA65" i="3" s="1"/>
  <c r="BA66" i="3" s="1"/>
  <c r="BA67" i="3" s="1"/>
  <c r="BA68" i="3" s="1"/>
  <c r="BA69" i="3" s="1"/>
  <c r="BA70" i="3" s="1"/>
  <c r="BA71" i="3" s="1"/>
  <c r="BA72" i="3" s="1"/>
  <c r="BA73" i="3" s="1"/>
  <c r="BA74" i="3" s="1"/>
  <c r="BA75" i="3" s="1"/>
  <c r="BA76" i="3" s="1"/>
  <c r="BA77" i="3" s="1"/>
  <c r="BA78" i="3" s="1"/>
  <c r="BA79" i="3" s="1"/>
  <c r="BA80" i="3" s="1"/>
  <c r="BA81" i="3" s="1"/>
  <c r="BA82" i="3" s="1"/>
  <c r="BA83" i="3" s="1"/>
  <c r="BA84" i="3" s="1"/>
  <c r="BA85" i="3" s="1"/>
  <c r="BA86" i="3" s="1"/>
  <c r="BA87" i="3" s="1"/>
  <c r="BA88" i="3" s="1"/>
  <c r="BA89" i="3" s="1"/>
  <c r="BA90" i="3" s="1"/>
  <c r="BA91" i="3" s="1"/>
  <c r="BA92" i="3" s="1"/>
  <c r="BA93" i="3" s="1"/>
  <c r="BA94" i="3" s="1"/>
  <c r="BA95" i="3" s="1"/>
  <c r="BA96" i="3" s="1"/>
  <c r="BA97" i="3" s="1"/>
  <c r="BA98" i="3" s="1"/>
  <c r="BA99" i="3" s="1"/>
  <c r="BA100" i="3" s="1"/>
  <c r="BA101" i="3" s="1"/>
  <c r="BA102" i="3" s="1"/>
  <c r="BA103" i="3" s="1"/>
  <c r="BA104" i="3" s="1"/>
  <c r="BA105" i="3" s="1"/>
  <c r="BA106" i="3" s="1"/>
  <c r="BA107" i="3" s="1"/>
  <c r="BA108" i="3" s="1"/>
  <c r="BA109" i="3" s="1"/>
  <c r="BA110" i="3" s="1"/>
  <c r="BA111" i="3" s="1"/>
  <c r="BA112" i="3" s="1"/>
  <c r="BA113" i="3" s="1"/>
  <c r="BA114" i="3" s="1"/>
  <c r="BA115" i="3" s="1"/>
  <c r="BA116" i="3" s="1"/>
  <c r="BA117" i="3" s="1"/>
  <c r="BA118" i="3" s="1"/>
  <c r="BA119" i="3" s="1"/>
  <c r="BA120" i="3" s="1"/>
  <c r="BA121" i="3" s="1"/>
  <c r="BA122" i="3" s="1"/>
  <c r="BA123" i="3" s="1"/>
  <c r="BA124" i="3" s="1"/>
  <c r="BA125" i="3" s="1"/>
  <c r="BA126" i="3" s="1"/>
  <c r="BA127" i="3" s="1"/>
  <c r="BA128" i="3" s="1"/>
  <c r="BA129" i="3" s="1"/>
  <c r="BA130" i="3" s="1"/>
  <c r="BA131" i="3" s="1"/>
  <c r="BA132" i="3" s="1"/>
  <c r="BA133" i="3" s="1"/>
  <c r="BA134" i="3" s="1"/>
  <c r="BA135" i="3" s="1"/>
  <c r="BA136" i="3" s="1"/>
  <c r="BA137" i="3" s="1"/>
  <c r="BA138" i="3" s="1"/>
  <c r="BA139" i="3" s="1"/>
  <c r="BA140" i="3" s="1"/>
  <c r="BA141" i="3" s="1"/>
  <c r="BA142" i="3" s="1"/>
  <c r="BA143" i="3" s="1"/>
  <c r="BA144" i="3" s="1"/>
  <c r="BA145" i="3" s="1"/>
  <c r="BA146" i="3" s="1"/>
  <c r="BA147" i="3" s="1"/>
  <c r="BA148" i="3" s="1"/>
  <c r="BA149" i="3" s="1"/>
  <c r="BA150" i="3" s="1"/>
  <c r="BA151" i="3" s="1"/>
  <c r="BA152" i="3" s="1"/>
  <c r="BA153" i="3" s="1"/>
  <c r="BA154" i="3" s="1"/>
  <c r="BA155" i="3" s="1"/>
  <c r="BA156" i="3" s="1"/>
  <c r="BA157" i="3" s="1"/>
  <c r="BA158" i="3" s="1"/>
  <c r="BA159" i="3" s="1"/>
  <c r="BA160" i="3" s="1"/>
  <c r="BA161" i="3" s="1"/>
  <c r="BA162" i="3" s="1"/>
  <c r="BA163" i="3" s="1"/>
  <c r="BA164" i="3" s="1"/>
  <c r="BA165" i="3" s="1"/>
  <c r="BA166" i="3" s="1"/>
  <c r="BA167" i="3" s="1"/>
  <c r="BA168" i="3" s="1"/>
  <c r="BA169" i="3" s="1"/>
  <c r="BA170" i="3" s="1"/>
  <c r="BA171" i="3" s="1"/>
  <c r="BA172" i="3" s="1"/>
  <c r="BA173" i="3" s="1"/>
  <c r="BA174" i="3" s="1"/>
  <c r="BA175" i="3" s="1"/>
  <c r="BA176" i="3" s="1"/>
  <c r="BA177" i="3" s="1"/>
  <c r="BA178" i="3" s="1"/>
  <c r="BA179" i="3" s="1"/>
  <c r="BA180" i="3" s="1"/>
  <c r="BA181" i="3" s="1"/>
  <c r="BA182" i="3" s="1"/>
  <c r="BA183" i="3" s="1"/>
  <c r="BA184" i="3" s="1"/>
  <c r="BA185" i="3" s="1"/>
  <c r="BA186" i="3" s="1"/>
  <c r="BA187" i="3" s="1"/>
  <c r="BA188" i="3" s="1"/>
  <c r="BA189" i="3" s="1"/>
  <c r="BA190" i="3" s="1"/>
  <c r="BA191" i="3" s="1"/>
  <c r="BA192" i="3" s="1"/>
  <c r="BA193" i="3" s="1"/>
  <c r="BA194" i="3" s="1"/>
  <c r="BA195" i="3" s="1"/>
  <c r="BA196" i="3" s="1"/>
  <c r="BA197" i="3" s="1"/>
  <c r="BA198" i="3" s="1"/>
  <c r="BA199" i="3" s="1"/>
  <c r="BA200" i="3" s="1"/>
  <c r="BA201" i="3" s="1"/>
  <c r="BA202" i="3" s="1"/>
  <c r="BA203" i="3" s="1"/>
  <c r="BA204" i="3" s="1"/>
  <c r="BA205" i="3" s="1"/>
  <c r="BA206" i="3" s="1"/>
  <c r="BA207" i="3" s="1"/>
  <c r="BA208" i="3" s="1"/>
  <c r="BA209" i="3" s="1"/>
  <c r="BA210" i="3" s="1"/>
  <c r="BA211" i="3" s="1"/>
  <c r="BA212" i="3" s="1"/>
  <c r="BA213" i="3" s="1"/>
  <c r="BA214" i="3" s="1"/>
  <c r="BA215" i="3" s="1"/>
  <c r="BA216" i="3" s="1"/>
  <c r="BA217" i="3" s="1"/>
  <c r="BA218" i="3" s="1"/>
  <c r="BA219" i="3" s="1"/>
  <c r="BA220" i="3" s="1"/>
  <c r="BA221" i="3" s="1"/>
  <c r="BA222" i="3" s="1"/>
  <c r="BA223" i="3" s="1"/>
  <c r="BA224" i="3" s="1"/>
  <c r="BA225" i="3" s="1"/>
  <c r="BA226" i="3" s="1"/>
  <c r="BA227" i="3" s="1"/>
  <c r="BA228" i="3" s="1"/>
  <c r="BA229" i="3" s="1"/>
  <c r="BA230" i="3" s="1"/>
  <c r="BA231" i="3" s="1"/>
  <c r="BA232" i="3" s="1"/>
  <c r="BA233" i="3" s="1"/>
  <c r="BA234" i="3" s="1"/>
  <c r="AU5" i="3"/>
  <c r="AU6" i="3" s="1"/>
  <c r="AU7" i="3" s="1"/>
  <c r="AU8" i="3" s="1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U35" i="3" s="1"/>
  <c r="AU36" i="3" s="1"/>
  <c r="AU37" i="3" s="1"/>
  <c r="AU38" i="3" s="1"/>
  <c r="AU39" i="3" s="1"/>
  <c r="AU40" i="3" s="1"/>
  <c r="AU41" i="3" s="1"/>
  <c r="AU42" i="3" s="1"/>
  <c r="AU43" i="3" s="1"/>
  <c r="AU44" i="3" s="1"/>
  <c r="AU45" i="3" s="1"/>
  <c r="AU46" i="3" s="1"/>
  <c r="AU47" i="3" s="1"/>
  <c r="AU48" i="3" s="1"/>
  <c r="AU49" i="3" s="1"/>
  <c r="AU50" i="3" s="1"/>
  <c r="AU51" i="3" s="1"/>
  <c r="AU52" i="3" s="1"/>
  <c r="AU53" i="3" s="1"/>
  <c r="AU54" i="3" s="1"/>
  <c r="AU55" i="3" s="1"/>
  <c r="AU56" i="3" s="1"/>
  <c r="AU57" i="3" s="1"/>
  <c r="AU58" i="3" s="1"/>
  <c r="AU59" i="3" s="1"/>
  <c r="AU60" i="3" s="1"/>
  <c r="AU61" i="3" s="1"/>
  <c r="AU62" i="3" s="1"/>
  <c r="AU63" i="3" s="1"/>
  <c r="AU64" i="3" s="1"/>
  <c r="AU65" i="3" s="1"/>
  <c r="AU66" i="3" s="1"/>
  <c r="AU67" i="3" s="1"/>
  <c r="AU68" i="3" s="1"/>
  <c r="AU69" i="3" s="1"/>
  <c r="AU70" i="3" s="1"/>
  <c r="AU71" i="3" s="1"/>
  <c r="AU72" i="3" s="1"/>
  <c r="AU73" i="3" s="1"/>
  <c r="AU74" i="3" s="1"/>
  <c r="AU75" i="3" s="1"/>
  <c r="AU76" i="3" s="1"/>
  <c r="AU77" i="3" s="1"/>
  <c r="AU78" i="3" s="1"/>
  <c r="AU79" i="3" s="1"/>
  <c r="AU80" i="3" s="1"/>
  <c r="AU81" i="3" s="1"/>
  <c r="AU82" i="3" s="1"/>
  <c r="AU83" i="3" s="1"/>
  <c r="AU84" i="3" s="1"/>
  <c r="AU85" i="3" s="1"/>
  <c r="AU86" i="3" s="1"/>
  <c r="AU87" i="3" s="1"/>
  <c r="AU88" i="3" s="1"/>
  <c r="AU89" i="3" s="1"/>
  <c r="AU90" i="3" s="1"/>
  <c r="AU91" i="3" s="1"/>
  <c r="AU92" i="3" s="1"/>
  <c r="AU93" i="3" s="1"/>
  <c r="AU94" i="3" s="1"/>
  <c r="AU95" i="3" s="1"/>
  <c r="AU96" i="3" s="1"/>
  <c r="AU97" i="3" s="1"/>
  <c r="AU98" i="3" s="1"/>
  <c r="AU99" i="3" s="1"/>
  <c r="AU100" i="3" s="1"/>
  <c r="AU101" i="3" s="1"/>
  <c r="AU102" i="3" s="1"/>
  <c r="AU103" i="3" s="1"/>
  <c r="AU104" i="3" s="1"/>
  <c r="AU105" i="3" s="1"/>
  <c r="AU106" i="3" s="1"/>
  <c r="AU107" i="3" s="1"/>
  <c r="AU108" i="3" s="1"/>
  <c r="AU109" i="3" s="1"/>
  <c r="AU110" i="3" s="1"/>
  <c r="AU111" i="3" s="1"/>
  <c r="AU112" i="3" s="1"/>
  <c r="AU113" i="3" s="1"/>
  <c r="AU114" i="3" s="1"/>
  <c r="AU115" i="3" s="1"/>
  <c r="AU116" i="3" s="1"/>
  <c r="AU117" i="3" s="1"/>
  <c r="AU118" i="3" s="1"/>
  <c r="AU119" i="3" s="1"/>
  <c r="AU120" i="3" s="1"/>
  <c r="AU121" i="3" s="1"/>
  <c r="AU122" i="3" s="1"/>
  <c r="AU123" i="3" s="1"/>
  <c r="AU124" i="3" s="1"/>
  <c r="AU125" i="3" s="1"/>
  <c r="AU126" i="3" s="1"/>
  <c r="AU127" i="3" s="1"/>
  <c r="AU128" i="3" s="1"/>
  <c r="AU129" i="3" s="1"/>
  <c r="AU130" i="3" s="1"/>
  <c r="AU131" i="3" s="1"/>
  <c r="AU132" i="3" s="1"/>
  <c r="AU133" i="3" s="1"/>
  <c r="AU134" i="3" s="1"/>
  <c r="AU135" i="3" s="1"/>
  <c r="AU136" i="3" s="1"/>
  <c r="AU137" i="3" s="1"/>
  <c r="AU138" i="3" s="1"/>
  <c r="AU139" i="3" s="1"/>
  <c r="AU140" i="3" s="1"/>
  <c r="AU141" i="3" s="1"/>
  <c r="AU142" i="3" s="1"/>
  <c r="AU143" i="3" s="1"/>
  <c r="AU144" i="3" s="1"/>
  <c r="AU145" i="3" s="1"/>
  <c r="AU146" i="3" s="1"/>
  <c r="AU147" i="3" s="1"/>
  <c r="AU148" i="3" s="1"/>
  <c r="AU149" i="3" s="1"/>
  <c r="AU150" i="3" s="1"/>
  <c r="AU151" i="3" s="1"/>
  <c r="AU152" i="3" s="1"/>
  <c r="AU153" i="3" s="1"/>
  <c r="AU154" i="3" s="1"/>
  <c r="AU155" i="3" s="1"/>
  <c r="AU156" i="3" s="1"/>
  <c r="AU157" i="3" s="1"/>
  <c r="AU158" i="3" s="1"/>
  <c r="AU159" i="3" s="1"/>
  <c r="AU160" i="3" s="1"/>
  <c r="AU161" i="3" s="1"/>
  <c r="AU162" i="3" s="1"/>
  <c r="AU163" i="3" s="1"/>
  <c r="AU164" i="3" s="1"/>
  <c r="AU165" i="3" s="1"/>
  <c r="AU166" i="3" s="1"/>
  <c r="AU167" i="3" s="1"/>
  <c r="AU168" i="3" s="1"/>
  <c r="AU169" i="3" s="1"/>
  <c r="AU170" i="3" s="1"/>
  <c r="AU171" i="3" s="1"/>
  <c r="AU172" i="3" s="1"/>
  <c r="AU173" i="3" s="1"/>
  <c r="AU174" i="3" s="1"/>
  <c r="AU175" i="3" s="1"/>
  <c r="AU176" i="3" s="1"/>
  <c r="AU177" i="3" s="1"/>
  <c r="AU178" i="3" s="1"/>
  <c r="AU179" i="3" s="1"/>
  <c r="AU180" i="3" s="1"/>
  <c r="AU181" i="3" s="1"/>
  <c r="AU182" i="3" s="1"/>
  <c r="AU183" i="3" s="1"/>
  <c r="AU184" i="3" s="1"/>
  <c r="AU185" i="3" s="1"/>
  <c r="AU186" i="3" s="1"/>
  <c r="AU187" i="3" s="1"/>
  <c r="AU188" i="3" s="1"/>
  <c r="AU189" i="3" s="1"/>
  <c r="AU190" i="3" s="1"/>
  <c r="AU191" i="3" s="1"/>
  <c r="AU192" i="3" s="1"/>
  <c r="AU193" i="3" s="1"/>
  <c r="AU194" i="3" s="1"/>
  <c r="AU195" i="3" s="1"/>
  <c r="AU196" i="3" s="1"/>
  <c r="AU197" i="3" s="1"/>
  <c r="AU198" i="3" s="1"/>
  <c r="AU199" i="3" s="1"/>
  <c r="AU200" i="3" s="1"/>
  <c r="AU201" i="3" s="1"/>
  <c r="AU202" i="3" s="1"/>
  <c r="AU203" i="3" s="1"/>
  <c r="AU204" i="3" s="1"/>
  <c r="AU205" i="3" s="1"/>
  <c r="AU206" i="3" s="1"/>
  <c r="AU207" i="3" s="1"/>
  <c r="AU208" i="3" s="1"/>
  <c r="AU209" i="3" s="1"/>
  <c r="AU210" i="3" s="1"/>
  <c r="AU211" i="3" s="1"/>
  <c r="AU212" i="3" s="1"/>
  <c r="AU213" i="3" s="1"/>
  <c r="AU214" i="3" s="1"/>
  <c r="AU215" i="3" s="1"/>
  <c r="AU216" i="3" s="1"/>
  <c r="AU217" i="3" s="1"/>
  <c r="AU218" i="3" s="1"/>
  <c r="AU219" i="3" s="1"/>
  <c r="AU220" i="3" s="1"/>
  <c r="AU221" i="3" s="1"/>
  <c r="AU222" i="3" s="1"/>
  <c r="AU223" i="3" s="1"/>
  <c r="AU224" i="3" s="1"/>
  <c r="AU225" i="3" s="1"/>
  <c r="AU226" i="3" s="1"/>
  <c r="AU227" i="3" s="1"/>
  <c r="AU228" i="3" s="1"/>
  <c r="AU229" i="3" s="1"/>
  <c r="AU230" i="3" s="1"/>
  <c r="AU231" i="3" s="1"/>
  <c r="AU232" i="3" s="1"/>
  <c r="AU233" i="3" s="1"/>
  <c r="AU234" i="3" s="1"/>
  <c r="AQ5" i="3"/>
  <c r="AR5" i="3" s="1"/>
  <c r="AR6" i="3" s="1"/>
  <c r="U5" i="3"/>
  <c r="AB5" i="3"/>
  <c r="N5" i="3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R5" i="3"/>
  <c r="R6" i="3" s="1"/>
  <c r="R7" i="3" s="1"/>
  <c r="R8" i="3" s="1"/>
  <c r="R9" i="3" s="1"/>
  <c r="R10" i="3" s="1"/>
  <c r="R11" i="3" s="1"/>
  <c r="R12" i="3" s="1"/>
  <c r="R13" i="3" s="1"/>
  <c r="R14" i="3" s="1"/>
  <c r="R15" i="3" s="1"/>
  <c r="R16" i="3" s="1"/>
  <c r="R17" i="3" s="1"/>
  <c r="R18" i="3" s="1"/>
  <c r="R19" i="3" s="1"/>
  <c r="R20" i="3" s="1"/>
  <c r="R21" i="3" s="1"/>
  <c r="R22" i="3" s="1"/>
  <c r="R23" i="3" s="1"/>
  <c r="R24" i="3" s="1"/>
  <c r="R25" i="3" s="1"/>
  <c r="R26" i="3" s="1"/>
  <c r="R27" i="3" s="1"/>
  <c r="R28" i="3" s="1"/>
  <c r="R29" i="3" s="1"/>
  <c r="R30" i="3" s="1"/>
  <c r="R31" i="3" s="1"/>
  <c r="R32" i="3" s="1"/>
  <c r="R33" i="3" s="1"/>
  <c r="R34" i="3" s="1"/>
  <c r="R35" i="3" s="1"/>
  <c r="R36" i="3" s="1"/>
  <c r="R37" i="3" s="1"/>
  <c r="R38" i="3" s="1"/>
  <c r="R39" i="3" s="1"/>
  <c r="R40" i="3" s="1"/>
  <c r="R41" i="3" s="1"/>
  <c r="R42" i="3" s="1"/>
  <c r="R43" i="3" s="1"/>
  <c r="R44" i="3" s="1"/>
  <c r="R45" i="3" s="1"/>
  <c r="R46" i="3" s="1"/>
  <c r="R47" i="3" s="1"/>
  <c r="R48" i="3" s="1"/>
  <c r="R49" i="3" s="1"/>
  <c r="R50" i="3" s="1"/>
  <c r="R51" i="3" s="1"/>
  <c r="R52" i="3" s="1"/>
  <c r="R53" i="3" s="1"/>
  <c r="R54" i="3" s="1"/>
  <c r="R55" i="3" s="1"/>
  <c r="R56" i="3" s="1"/>
  <c r="R57" i="3" s="1"/>
  <c r="R58" i="3" s="1"/>
  <c r="R59" i="3" s="1"/>
  <c r="R60" i="3" s="1"/>
  <c r="R61" i="3" s="1"/>
  <c r="R62" i="3" s="1"/>
  <c r="R63" i="3" s="1"/>
  <c r="R64" i="3" s="1"/>
  <c r="R65" i="3" s="1"/>
  <c r="R66" i="3" s="1"/>
  <c r="R67" i="3" s="1"/>
  <c r="R68" i="3" s="1"/>
  <c r="R69" i="3" s="1"/>
  <c r="R70" i="3" s="1"/>
  <c r="R71" i="3" s="1"/>
  <c r="R72" i="3" s="1"/>
  <c r="R73" i="3" s="1"/>
  <c r="R74" i="3" s="1"/>
  <c r="R75" i="3" s="1"/>
  <c r="R76" i="3" s="1"/>
  <c r="R77" i="3" s="1"/>
  <c r="R78" i="3" s="1"/>
  <c r="R79" i="3" s="1"/>
  <c r="R80" i="3" s="1"/>
  <c r="R81" i="3" s="1"/>
  <c r="R82" i="3" s="1"/>
  <c r="R83" i="3" s="1"/>
  <c r="R84" i="3" s="1"/>
  <c r="R85" i="3" s="1"/>
  <c r="R86" i="3" s="1"/>
  <c r="R87" i="3" s="1"/>
  <c r="R88" i="3" s="1"/>
  <c r="R89" i="3" s="1"/>
  <c r="R90" i="3" s="1"/>
  <c r="R91" i="3" s="1"/>
  <c r="R92" i="3" s="1"/>
  <c r="R93" i="3" s="1"/>
  <c r="R94" i="3" s="1"/>
  <c r="R95" i="3" s="1"/>
  <c r="R96" i="3" s="1"/>
  <c r="R97" i="3" s="1"/>
  <c r="R98" i="3" s="1"/>
  <c r="R99" i="3" s="1"/>
  <c r="R100" i="3" s="1"/>
  <c r="R101" i="3" s="1"/>
  <c r="R102" i="3" s="1"/>
  <c r="R103" i="3" s="1"/>
  <c r="R104" i="3" s="1"/>
  <c r="R105" i="3" s="1"/>
  <c r="R106" i="3" s="1"/>
  <c r="R107" i="3" s="1"/>
  <c r="R108" i="3" s="1"/>
  <c r="R109" i="3" s="1"/>
  <c r="R110" i="3" s="1"/>
  <c r="R111" i="3" s="1"/>
  <c r="R112" i="3" s="1"/>
  <c r="R113" i="3" s="1"/>
  <c r="R114" i="3" s="1"/>
  <c r="R115" i="3" s="1"/>
  <c r="R116" i="3" s="1"/>
  <c r="R117" i="3" s="1"/>
  <c r="R118" i="3" s="1"/>
  <c r="R119" i="3" s="1"/>
  <c r="R120" i="3" s="1"/>
  <c r="R121" i="3" s="1"/>
  <c r="R122" i="3" s="1"/>
  <c r="R123" i="3" s="1"/>
  <c r="R124" i="3" s="1"/>
  <c r="R125" i="3" s="1"/>
  <c r="R126" i="3" s="1"/>
  <c r="R127" i="3" s="1"/>
  <c r="R128" i="3" s="1"/>
  <c r="R129" i="3" s="1"/>
  <c r="R130" i="3" s="1"/>
  <c r="R131" i="3" s="1"/>
  <c r="R132" i="3" s="1"/>
  <c r="R133" i="3" s="1"/>
  <c r="R134" i="3" s="1"/>
  <c r="R135" i="3" s="1"/>
  <c r="R136" i="3" s="1"/>
  <c r="R137" i="3" s="1"/>
  <c r="R138" i="3" s="1"/>
  <c r="R139" i="3" s="1"/>
  <c r="R140" i="3" s="1"/>
  <c r="R141" i="3" s="1"/>
  <c r="R142" i="3" s="1"/>
  <c r="R143" i="3" s="1"/>
  <c r="R144" i="3" s="1"/>
  <c r="R145" i="3" s="1"/>
  <c r="R146" i="3" s="1"/>
  <c r="R147" i="3" s="1"/>
  <c r="R148" i="3" s="1"/>
  <c r="R149" i="3" s="1"/>
  <c r="R150" i="3" s="1"/>
  <c r="R151" i="3" s="1"/>
  <c r="R152" i="3" s="1"/>
  <c r="R153" i="3" s="1"/>
  <c r="R154" i="3" s="1"/>
  <c r="R155" i="3" s="1"/>
  <c r="R156" i="3" s="1"/>
  <c r="R157" i="3" s="1"/>
  <c r="R158" i="3" s="1"/>
  <c r="R159" i="3" s="1"/>
  <c r="R160" i="3" s="1"/>
  <c r="R161" i="3" s="1"/>
  <c r="R162" i="3" s="1"/>
  <c r="R163" i="3" s="1"/>
  <c r="R164" i="3" s="1"/>
  <c r="R165" i="3" s="1"/>
  <c r="R166" i="3" s="1"/>
  <c r="R167" i="3" s="1"/>
  <c r="R168" i="3" s="1"/>
  <c r="R169" i="3" s="1"/>
  <c r="R170" i="3" s="1"/>
  <c r="R171" i="3" s="1"/>
  <c r="R172" i="3" s="1"/>
  <c r="R173" i="3" s="1"/>
  <c r="R174" i="3" s="1"/>
  <c r="R175" i="3" s="1"/>
  <c r="R176" i="3" s="1"/>
  <c r="R177" i="3" s="1"/>
  <c r="R178" i="3" s="1"/>
  <c r="R179" i="3" s="1"/>
  <c r="R180" i="3" s="1"/>
  <c r="R181" i="3" s="1"/>
  <c r="R182" i="3" s="1"/>
  <c r="R183" i="3" s="1"/>
  <c r="R184" i="3" s="1"/>
  <c r="R185" i="3" s="1"/>
  <c r="R186" i="3" s="1"/>
  <c r="R187" i="3" s="1"/>
  <c r="R188" i="3" s="1"/>
  <c r="R189" i="3" s="1"/>
  <c r="R190" i="3" s="1"/>
  <c r="R191" i="3" s="1"/>
  <c r="R192" i="3" s="1"/>
  <c r="R193" i="3" s="1"/>
  <c r="R194" i="3" s="1"/>
  <c r="R195" i="3" s="1"/>
  <c r="R196" i="3" s="1"/>
  <c r="R197" i="3" s="1"/>
  <c r="R198" i="3" s="1"/>
  <c r="R199" i="3" s="1"/>
  <c r="R200" i="3" s="1"/>
  <c r="R201" i="3" s="1"/>
  <c r="R202" i="3" s="1"/>
  <c r="R203" i="3" s="1"/>
  <c r="R204" i="3" s="1"/>
  <c r="R205" i="3" s="1"/>
  <c r="R206" i="3" s="1"/>
  <c r="R207" i="3" s="1"/>
  <c r="R208" i="3" s="1"/>
  <c r="R209" i="3" s="1"/>
  <c r="R210" i="3" s="1"/>
  <c r="R211" i="3" s="1"/>
  <c r="R212" i="3" s="1"/>
  <c r="R213" i="3" s="1"/>
  <c r="R214" i="3" s="1"/>
  <c r="R215" i="3" s="1"/>
  <c r="R216" i="3" s="1"/>
  <c r="R217" i="3" s="1"/>
  <c r="R218" i="3" s="1"/>
  <c r="R219" i="3" s="1"/>
  <c r="R220" i="3" s="1"/>
  <c r="R221" i="3" s="1"/>
  <c r="R222" i="3" s="1"/>
  <c r="R223" i="3" s="1"/>
  <c r="R224" i="3" s="1"/>
  <c r="R225" i="3" s="1"/>
  <c r="R226" i="3" s="1"/>
  <c r="R227" i="3" s="1"/>
  <c r="R228" i="3" s="1"/>
  <c r="R229" i="3" s="1"/>
  <c r="R230" i="3" s="1"/>
  <c r="R231" i="3" s="1"/>
  <c r="R232" i="3" s="1"/>
  <c r="R233" i="3" s="1"/>
  <c r="R234" i="3" s="1"/>
  <c r="F5" i="3"/>
  <c r="V37" i="12"/>
  <c r="V37" i="13"/>
  <c r="AB37" i="12"/>
  <c r="O37" i="12"/>
  <c r="AB37" i="13"/>
  <c r="O37" i="13"/>
  <c r="AA37" i="12"/>
  <c r="I37" i="12"/>
  <c r="U37" i="13"/>
  <c r="I37" i="13"/>
  <c r="U73" i="14"/>
  <c r="AA37" i="13"/>
  <c r="AA73" i="14"/>
  <c r="U37" i="12"/>
  <c r="V73" i="14"/>
  <c r="AB73" i="14"/>
  <c r="U5" i="17"/>
  <c r="I5" i="17"/>
  <c r="O73" i="14"/>
  <c r="AA5" i="17"/>
  <c r="I73" i="14"/>
  <c r="V5" i="17"/>
  <c r="AB5" i="19"/>
  <c r="O5" i="17"/>
  <c r="I5" i="19"/>
  <c r="AA5" i="19"/>
  <c r="O5" i="19"/>
  <c r="AB5" i="17"/>
  <c r="V5" i="19"/>
  <c r="U5" i="19"/>
  <c r="C16" i="9"/>
  <c r="C34" i="9"/>
  <c r="AW10" i="3"/>
  <c r="AV8" i="3"/>
  <c r="AX8" i="3" s="1"/>
  <c r="V8" i="3"/>
  <c r="AE8" i="3" s="1"/>
  <c r="G9" i="3"/>
  <c r="H7" i="3"/>
  <c r="A8" i="3"/>
  <c r="BI8" i="3" s="1"/>
  <c r="BJ8" i="3" s="1"/>
  <c r="AQ10" i="3"/>
  <c r="F49" i="4"/>
  <c r="G49" i="4" s="1"/>
  <c r="N570" i="4"/>
  <c r="O570" i="4" s="1"/>
  <c r="K149" i="4"/>
  <c r="N149" i="4" s="1"/>
  <c r="O149" i="4" s="1"/>
  <c r="K575" i="4"/>
  <c r="N575" i="4" s="1"/>
  <c r="O575" i="4" s="1"/>
  <c r="K574" i="4"/>
  <c r="N574" i="4" s="1"/>
  <c r="O574" i="4" s="1"/>
  <c r="K144" i="4"/>
  <c r="N144" i="4" s="1"/>
  <c r="O144" i="4" s="1"/>
  <c r="K145" i="4"/>
  <c r="N145" i="4" s="1"/>
  <c r="O145" i="4" s="1"/>
  <c r="K148" i="4"/>
  <c r="N148" i="4" s="1"/>
  <c r="O148" i="4" s="1"/>
  <c r="F569" i="4"/>
  <c r="G569" i="4" s="1"/>
  <c r="F567" i="4"/>
  <c r="G567" i="4" s="1"/>
  <c r="F568" i="4"/>
  <c r="G568" i="4" s="1"/>
  <c r="N75" i="4"/>
  <c r="O75" i="4" s="1"/>
  <c r="B152" i="4"/>
  <c r="K139" i="4"/>
  <c r="N571" i="4"/>
  <c r="O571" i="4" s="1"/>
  <c r="N70" i="4"/>
  <c r="O70" i="4" s="1"/>
  <c r="K71" i="4"/>
  <c r="J140" i="4"/>
  <c r="K140" i="4" s="1"/>
  <c r="L140" i="4" s="1"/>
  <c r="M140" i="4" s="1"/>
  <c r="N140" i="4" s="1"/>
  <c r="N568" i="4"/>
  <c r="O568" i="4" s="1"/>
  <c r="M50" i="4"/>
  <c r="F68" i="4"/>
  <c r="G68" i="4" s="1"/>
  <c r="F50" i="4"/>
  <c r="G50" i="4" s="1"/>
  <c r="E51" i="4"/>
  <c r="F69" i="4"/>
  <c r="G69" i="4" s="1"/>
  <c r="C148" i="4"/>
  <c r="F148" i="4" s="1"/>
  <c r="G148" i="4" s="1"/>
  <c r="B140" i="4"/>
  <c r="C140" i="4" s="1"/>
  <c r="D140" i="4" s="1"/>
  <c r="E140" i="4" s="1"/>
  <c r="F140" i="4" s="1"/>
  <c r="C574" i="4"/>
  <c r="F574" i="4" s="1"/>
  <c r="G574" i="4" s="1"/>
  <c r="C145" i="4"/>
  <c r="F145" i="4" s="1"/>
  <c r="G145" i="4" s="1"/>
  <c r="F571" i="4"/>
  <c r="G571" i="4" s="1"/>
  <c r="F570" i="4"/>
  <c r="G570" i="4" s="1"/>
  <c r="B139" i="4"/>
  <c r="C149" i="4"/>
  <c r="F149" i="4" s="1"/>
  <c r="G149" i="4" s="1"/>
  <c r="C575" i="4"/>
  <c r="F575" i="4" s="1"/>
  <c r="G575" i="4" s="1"/>
  <c r="C144" i="4"/>
  <c r="F144" i="4" s="1"/>
  <c r="G144" i="4" s="1"/>
  <c r="F6" i="3" l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C1" i="31"/>
  <c r="D1" i="31" s="1"/>
  <c r="C10" i="31"/>
  <c r="D10" i="31" s="1"/>
  <c r="C14" i="31"/>
  <c r="D14" i="31" s="1"/>
  <c r="G152" i="4"/>
  <c r="F38" i="9" s="1"/>
  <c r="P7" i="3"/>
  <c r="C68" i="2"/>
  <c r="B1" i="2"/>
  <c r="B3" i="2" s="1"/>
  <c r="C7" i="2" s="1"/>
  <c r="C75" i="2"/>
  <c r="O152" i="4"/>
  <c r="F38" i="30" s="1"/>
  <c r="C41" i="2"/>
  <c r="AH6" i="3"/>
  <c r="BD6" i="3" s="1"/>
  <c r="AN8" i="20"/>
  <c r="F36" i="30"/>
  <c r="F37" i="30"/>
  <c r="AQ8" i="20"/>
  <c r="AR8" i="20" s="1"/>
  <c r="O9" i="20"/>
  <c r="P8" i="20"/>
  <c r="AG7" i="3"/>
  <c r="E5" i="21"/>
  <c r="E37" i="21"/>
  <c r="AZ37" i="21" s="1"/>
  <c r="E5" i="29"/>
  <c r="E5" i="26"/>
  <c r="E6" i="26" s="1"/>
  <c r="E5" i="28"/>
  <c r="E6" i="28" s="1"/>
  <c r="E5" i="25"/>
  <c r="E5" i="24"/>
  <c r="E6" i="24" s="1"/>
  <c r="E73" i="23"/>
  <c r="E5" i="23"/>
  <c r="E5" i="22"/>
  <c r="AZ5" i="22" s="1"/>
  <c r="E37" i="22"/>
  <c r="E73" i="14"/>
  <c r="E74" i="14" s="1"/>
  <c r="E75" i="14" s="1"/>
  <c r="AX75" i="14" s="1"/>
  <c r="BB75" i="14" s="1"/>
  <c r="AB4" i="20"/>
  <c r="AB6" i="20"/>
  <c r="AB7" i="20" s="1"/>
  <c r="AB8" i="20" s="1"/>
  <c r="AB9" i="20" s="1"/>
  <c r="AB10" i="20" s="1"/>
  <c r="AB11" i="20" s="1"/>
  <c r="AB12" i="20" s="1"/>
  <c r="AB13" i="20" s="1"/>
  <c r="AB14" i="20" s="1"/>
  <c r="AB15" i="20" s="1"/>
  <c r="AB16" i="20" s="1"/>
  <c r="AB17" i="20" s="1"/>
  <c r="AB18" i="20" s="1"/>
  <c r="AB19" i="20" s="1"/>
  <c r="AB20" i="20" s="1"/>
  <c r="AB21" i="20" s="1"/>
  <c r="AB22" i="20" s="1"/>
  <c r="AB23" i="20" s="1"/>
  <c r="AB24" i="20" s="1"/>
  <c r="AB25" i="20" s="1"/>
  <c r="AB26" i="20" s="1"/>
  <c r="AB27" i="20" s="1"/>
  <c r="AB28" i="20" s="1"/>
  <c r="AB29" i="20" s="1"/>
  <c r="AB30" i="20" s="1"/>
  <c r="AB31" i="20" s="1"/>
  <c r="AB32" i="20" s="1"/>
  <c r="AB33" i="20" s="1"/>
  <c r="AB34" i="20" s="1"/>
  <c r="AB35" i="20" s="1"/>
  <c r="AB36" i="20" s="1"/>
  <c r="AB37" i="20" s="1"/>
  <c r="AB38" i="20" s="1"/>
  <c r="AB39" i="20" s="1"/>
  <c r="AB40" i="20" s="1"/>
  <c r="AB41" i="20" s="1"/>
  <c r="AB42" i="20" s="1"/>
  <c r="AB43" i="20" s="1"/>
  <c r="AB44" i="20" s="1"/>
  <c r="AB45" i="20" s="1"/>
  <c r="AB46" i="20" s="1"/>
  <c r="AB47" i="20" s="1"/>
  <c r="AB48" i="20" s="1"/>
  <c r="AB49" i="20" s="1"/>
  <c r="AB50" i="20" s="1"/>
  <c r="AB51" i="20" s="1"/>
  <c r="AB52" i="20" s="1"/>
  <c r="AB53" i="20" s="1"/>
  <c r="AB54" i="20" s="1"/>
  <c r="AB55" i="20" s="1"/>
  <c r="AB56" i="20" s="1"/>
  <c r="AB57" i="20" s="1"/>
  <c r="AB58" i="20" s="1"/>
  <c r="AB59" i="20" s="1"/>
  <c r="AB60" i="20" s="1"/>
  <c r="AB61" i="20" s="1"/>
  <c r="AB62" i="20" s="1"/>
  <c r="AB63" i="20" s="1"/>
  <c r="AB64" i="20" s="1"/>
  <c r="AB65" i="20" s="1"/>
  <c r="AB66" i="20" s="1"/>
  <c r="AB67" i="20" s="1"/>
  <c r="AB68" i="20" s="1"/>
  <c r="AB69" i="20" s="1"/>
  <c r="AB70" i="20" s="1"/>
  <c r="AB71" i="20" s="1"/>
  <c r="AB72" i="20" s="1"/>
  <c r="AB73" i="20" s="1"/>
  <c r="AB74" i="20" s="1"/>
  <c r="AB75" i="20" s="1"/>
  <c r="AB76" i="20" s="1"/>
  <c r="AB77" i="20" s="1"/>
  <c r="AB78" i="20" s="1"/>
  <c r="AB79" i="20" s="1"/>
  <c r="AB80" i="20" s="1"/>
  <c r="AB81" i="20" s="1"/>
  <c r="AB82" i="20" s="1"/>
  <c r="AB83" i="20" s="1"/>
  <c r="AB84" i="20" s="1"/>
  <c r="AB85" i="20" s="1"/>
  <c r="AB86" i="20" s="1"/>
  <c r="AB87" i="20" s="1"/>
  <c r="AB88" i="20" s="1"/>
  <c r="AB89" i="20" s="1"/>
  <c r="AB90" i="20" s="1"/>
  <c r="AB91" i="20" s="1"/>
  <c r="AB92" i="20" s="1"/>
  <c r="AB93" i="20" s="1"/>
  <c r="AB94" i="20" s="1"/>
  <c r="AB95" i="20" s="1"/>
  <c r="AB96" i="20" s="1"/>
  <c r="AB97" i="20" s="1"/>
  <c r="AB98" i="20" s="1"/>
  <c r="AB99" i="20" s="1"/>
  <c r="AB100" i="20" s="1"/>
  <c r="AB101" i="20" s="1"/>
  <c r="AB102" i="20" s="1"/>
  <c r="AB103" i="20" s="1"/>
  <c r="AB104" i="20" s="1"/>
  <c r="AB105" i="20" s="1"/>
  <c r="AB106" i="20" s="1"/>
  <c r="AB107" i="20" s="1"/>
  <c r="AB108" i="20" s="1"/>
  <c r="AB109" i="20" s="1"/>
  <c r="AB110" i="20" s="1"/>
  <c r="AB111" i="20" s="1"/>
  <c r="AB112" i="20" s="1"/>
  <c r="AB113" i="20" s="1"/>
  <c r="AB114" i="20" s="1"/>
  <c r="AB115" i="20" s="1"/>
  <c r="AB116" i="20" s="1"/>
  <c r="AB117" i="20" s="1"/>
  <c r="AB118" i="20" s="1"/>
  <c r="AB119" i="20" s="1"/>
  <c r="AB120" i="20" s="1"/>
  <c r="AB121" i="20" s="1"/>
  <c r="AB122" i="20" s="1"/>
  <c r="AB123" i="20" s="1"/>
  <c r="AB124" i="20" s="1"/>
  <c r="AB125" i="20" s="1"/>
  <c r="AB126" i="20" s="1"/>
  <c r="AB127" i="20" s="1"/>
  <c r="AB128" i="20" s="1"/>
  <c r="AB129" i="20" s="1"/>
  <c r="AB130" i="20" s="1"/>
  <c r="AB131" i="20" s="1"/>
  <c r="AB132" i="20" s="1"/>
  <c r="AB133" i="20" s="1"/>
  <c r="AB134" i="20" s="1"/>
  <c r="AB135" i="20" s="1"/>
  <c r="AB136" i="20" s="1"/>
  <c r="AB137" i="20" s="1"/>
  <c r="AB138" i="20" s="1"/>
  <c r="AB139" i="20" s="1"/>
  <c r="AB140" i="20" s="1"/>
  <c r="AB141" i="20" s="1"/>
  <c r="AB142" i="20" s="1"/>
  <c r="AB143" i="20" s="1"/>
  <c r="AB144" i="20" s="1"/>
  <c r="AB145" i="20" s="1"/>
  <c r="AB146" i="20" s="1"/>
  <c r="AB147" i="20" s="1"/>
  <c r="AB148" i="20" s="1"/>
  <c r="AB149" i="20" s="1"/>
  <c r="AB150" i="20" s="1"/>
  <c r="AB151" i="20" s="1"/>
  <c r="AB152" i="20" s="1"/>
  <c r="AB153" i="20" s="1"/>
  <c r="AB154" i="20" s="1"/>
  <c r="AB155" i="20" s="1"/>
  <c r="AB156" i="20" s="1"/>
  <c r="AB157" i="20" s="1"/>
  <c r="AB158" i="20" s="1"/>
  <c r="AB159" i="20" s="1"/>
  <c r="AB160" i="20" s="1"/>
  <c r="AB161" i="20" s="1"/>
  <c r="AB162" i="20" s="1"/>
  <c r="AB163" i="20" s="1"/>
  <c r="AB164" i="20" s="1"/>
  <c r="AB165" i="20" s="1"/>
  <c r="AB166" i="20" s="1"/>
  <c r="AB167" i="20" s="1"/>
  <c r="AB168" i="20" s="1"/>
  <c r="AB169" i="20" s="1"/>
  <c r="AB170" i="20" s="1"/>
  <c r="AB171" i="20" s="1"/>
  <c r="AB172" i="20" s="1"/>
  <c r="AB173" i="20" s="1"/>
  <c r="AB174" i="20" s="1"/>
  <c r="AB175" i="20" s="1"/>
  <c r="AB176" i="20" s="1"/>
  <c r="AB177" i="20" s="1"/>
  <c r="AB178" i="20" s="1"/>
  <c r="AB179" i="20" s="1"/>
  <c r="AB180" i="20" s="1"/>
  <c r="AB181" i="20" s="1"/>
  <c r="AB182" i="20" s="1"/>
  <c r="AB183" i="20" s="1"/>
  <c r="AB184" i="20" s="1"/>
  <c r="AB185" i="20" s="1"/>
  <c r="AB186" i="20" s="1"/>
  <c r="AB187" i="20" s="1"/>
  <c r="AB188" i="20" s="1"/>
  <c r="AB189" i="20" s="1"/>
  <c r="AB190" i="20" s="1"/>
  <c r="AB191" i="20" s="1"/>
  <c r="AB192" i="20" s="1"/>
  <c r="AB193" i="20" s="1"/>
  <c r="AB194" i="20" s="1"/>
  <c r="AB195" i="20" s="1"/>
  <c r="AB196" i="20" s="1"/>
  <c r="AB197" i="20" s="1"/>
  <c r="AB198" i="20" s="1"/>
  <c r="AB199" i="20" s="1"/>
  <c r="AB200" i="20" s="1"/>
  <c r="AB201" i="20" s="1"/>
  <c r="AB202" i="20" s="1"/>
  <c r="AB203" i="20" s="1"/>
  <c r="AB204" i="20" s="1"/>
  <c r="AB205" i="20" s="1"/>
  <c r="AB206" i="20" s="1"/>
  <c r="AB207" i="20" s="1"/>
  <c r="AB208" i="20" s="1"/>
  <c r="AB209" i="20" s="1"/>
  <c r="AB210" i="20" s="1"/>
  <c r="AB211" i="20" s="1"/>
  <c r="AB212" i="20" s="1"/>
  <c r="AB213" i="20" s="1"/>
  <c r="AB214" i="20" s="1"/>
  <c r="AB215" i="20" s="1"/>
  <c r="AB216" i="20" s="1"/>
  <c r="AB217" i="20" s="1"/>
  <c r="AB218" i="20" s="1"/>
  <c r="AB219" i="20" s="1"/>
  <c r="AB220" i="20" s="1"/>
  <c r="AB221" i="20" s="1"/>
  <c r="AB222" i="20" s="1"/>
  <c r="AB223" i="20" s="1"/>
  <c r="AB224" i="20" s="1"/>
  <c r="AB225" i="20" s="1"/>
  <c r="AB226" i="20" s="1"/>
  <c r="AB227" i="20" s="1"/>
  <c r="AB228" i="20" s="1"/>
  <c r="AB229" i="20" s="1"/>
  <c r="AB230" i="20" s="1"/>
  <c r="AB231" i="20" s="1"/>
  <c r="AB232" i="20" s="1"/>
  <c r="AB233" i="20" s="1"/>
  <c r="AB234" i="20" s="1"/>
  <c r="BA4" i="20"/>
  <c r="BA6" i="20"/>
  <c r="BA7" i="20" s="1"/>
  <c r="BA8" i="20" s="1"/>
  <c r="BA9" i="20" s="1"/>
  <c r="BA10" i="20" s="1"/>
  <c r="BA11" i="20" s="1"/>
  <c r="BA12" i="20" s="1"/>
  <c r="BA13" i="20" s="1"/>
  <c r="BA14" i="20" s="1"/>
  <c r="BA15" i="20" s="1"/>
  <c r="BA16" i="20" s="1"/>
  <c r="BA17" i="20" s="1"/>
  <c r="BA18" i="20" s="1"/>
  <c r="BA19" i="20" s="1"/>
  <c r="BA20" i="20" s="1"/>
  <c r="BA21" i="20" s="1"/>
  <c r="BA22" i="20" s="1"/>
  <c r="BA23" i="20" s="1"/>
  <c r="BA24" i="20" s="1"/>
  <c r="BA25" i="20" s="1"/>
  <c r="BA26" i="20" s="1"/>
  <c r="BA27" i="20" s="1"/>
  <c r="BA28" i="20" s="1"/>
  <c r="BA29" i="20" s="1"/>
  <c r="BA30" i="20" s="1"/>
  <c r="BA31" i="20" s="1"/>
  <c r="BA32" i="20" s="1"/>
  <c r="BA33" i="20" s="1"/>
  <c r="BA34" i="20" s="1"/>
  <c r="BA35" i="20" s="1"/>
  <c r="BA36" i="20" s="1"/>
  <c r="BA37" i="20" s="1"/>
  <c r="BA38" i="20" s="1"/>
  <c r="BA39" i="20" s="1"/>
  <c r="BA40" i="20" s="1"/>
  <c r="BA41" i="20" s="1"/>
  <c r="BA42" i="20" s="1"/>
  <c r="BA43" i="20" s="1"/>
  <c r="BA44" i="20" s="1"/>
  <c r="BA45" i="20" s="1"/>
  <c r="BA46" i="20" s="1"/>
  <c r="BA47" i="20" s="1"/>
  <c r="BA48" i="20" s="1"/>
  <c r="BA49" i="20" s="1"/>
  <c r="BA50" i="20" s="1"/>
  <c r="BA51" i="20" s="1"/>
  <c r="BA52" i="20" s="1"/>
  <c r="BA53" i="20" s="1"/>
  <c r="BA54" i="20" s="1"/>
  <c r="BA55" i="20" s="1"/>
  <c r="BA56" i="20" s="1"/>
  <c r="BA57" i="20" s="1"/>
  <c r="BA58" i="20" s="1"/>
  <c r="BA59" i="20" s="1"/>
  <c r="BA60" i="20" s="1"/>
  <c r="BA61" i="20" s="1"/>
  <c r="BA62" i="20" s="1"/>
  <c r="BA63" i="20" s="1"/>
  <c r="BA64" i="20" s="1"/>
  <c r="BA65" i="20" s="1"/>
  <c r="BA66" i="20" s="1"/>
  <c r="BA67" i="20" s="1"/>
  <c r="BA68" i="20" s="1"/>
  <c r="BA69" i="20" s="1"/>
  <c r="BA70" i="20" s="1"/>
  <c r="BA71" i="20" s="1"/>
  <c r="BA72" i="20" s="1"/>
  <c r="BA73" i="20" s="1"/>
  <c r="BA74" i="20" s="1"/>
  <c r="BA75" i="20" s="1"/>
  <c r="BA76" i="20" s="1"/>
  <c r="BA77" i="20" s="1"/>
  <c r="BA78" i="20" s="1"/>
  <c r="BA79" i="20" s="1"/>
  <c r="BA80" i="20" s="1"/>
  <c r="BA81" i="20" s="1"/>
  <c r="BA82" i="20" s="1"/>
  <c r="BA83" i="20" s="1"/>
  <c r="BA84" i="20" s="1"/>
  <c r="BA85" i="20" s="1"/>
  <c r="BA86" i="20" s="1"/>
  <c r="BA87" i="20" s="1"/>
  <c r="BA88" i="20" s="1"/>
  <c r="BA89" i="20" s="1"/>
  <c r="BA90" i="20" s="1"/>
  <c r="BA91" i="20" s="1"/>
  <c r="BA92" i="20" s="1"/>
  <c r="BA93" i="20" s="1"/>
  <c r="BA94" i="20" s="1"/>
  <c r="BA95" i="20" s="1"/>
  <c r="BA96" i="20" s="1"/>
  <c r="BA97" i="20" s="1"/>
  <c r="BA98" i="20" s="1"/>
  <c r="BA99" i="20" s="1"/>
  <c r="BA100" i="20" s="1"/>
  <c r="BA101" i="20" s="1"/>
  <c r="BA102" i="20" s="1"/>
  <c r="BA103" i="20" s="1"/>
  <c r="BA104" i="20" s="1"/>
  <c r="BA105" i="20" s="1"/>
  <c r="BA106" i="20" s="1"/>
  <c r="BA107" i="20" s="1"/>
  <c r="BA108" i="20" s="1"/>
  <c r="BA109" i="20" s="1"/>
  <c r="BA110" i="20" s="1"/>
  <c r="BA111" i="20" s="1"/>
  <c r="BA112" i="20" s="1"/>
  <c r="BA113" i="20" s="1"/>
  <c r="BA114" i="20" s="1"/>
  <c r="BA115" i="20" s="1"/>
  <c r="BA116" i="20" s="1"/>
  <c r="BA117" i="20" s="1"/>
  <c r="BA118" i="20" s="1"/>
  <c r="BA119" i="20" s="1"/>
  <c r="BA120" i="20" s="1"/>
  <c r="BA121" i="20" s="1"/>
  <c r="BA122" i="20" s="1"/>
  <c r="BA123" i="20" s="1"/>
  <c r="BA124" i="20" s="1"/>
  <c r="BA125" i="20" s="1"/>
  <c r="BA126" i="20" s="1"/>
  <c r="BA127" i="20" s="1"/>
  <c r="BA128" i="20" s="1"/>
  <c r="BA129" i="20" s="1"/>
  <c r="BA130" i="20" s="1"/>
  <c r="BA131" i="20" s="1"/>
  <c r="BA132" i="20" s="1"/>
  <c r="BA133" i="20" s="1"/>
  <c r="BA134" i="20" s="1"/>
  <c r="BA135" i="20" s="1"/>
  <c r="BA136" i="20" s="1"/>
  <c r="BA137" i="20" s="1"/>
  <c r="BA138" i="20" s="1"/>
  <c r="BA139" i="20" s="1"/>
  <c r="BA140" i="20" s="1"/>
  <c r="BA141" i="20" s="1"/>
  <c r="BA142" i="20" s="1"/>
  <c r="BA143" i="20" s="1"/>
  <c r="BA144" i="20" s="1"/>
  <c r="BA145" i="20" s="1"/>
  <c r="BA146" i="20" s="1"/>
  <c r="BA147" i="20" s="1"/>
  <c r="BA148" i="20" s="1"/>
  <c r="BA149" i="20" s="1"/>
  <c r="BA150" i="20" s="1"/>
  <c r="BA151" i="20" s="1"/>
  <c r="BA152" i="20" s="1"/>
  <c r="BA153" i="20" s="1"/>
  <c r="BA154" i="20" s="1"/>
  <c r="BA155" i="20" s="1"/>
  <c r="BA156" i="20" s="1"/>
  <c r="BA157" i="20" s="1"/>
  <c r="BA158" i="20" s="1"/>
  <c r="BA159" i="20" s="1"/>
  <c r="BA160" i="20" s="1"/>
  <c r="BA161" i="20" s="1"/>
  <c r="BA162" i="20" s="1"/>
  <c r="BA163" i="20" s="1"/>
  <c r="BA164" i="20" s="1"/>
  <c r="BA165" i="20" s="1"/>
  <c r="BA166" i="20" s="1"/>
  <c r="BA167" i="20" s="1"/>
  <c r="BA168" i="20" s="1"/>
  <c r="BA169" i="20" s="1"/>
  <c r="BA170" i="20" s="1"/>
  <c r="BA171" i="20" s="1"/>
  <c r="BA172" i="20" s="1"/>
  <c r="BA173" i="20" s="1"/>
  <c r="BA174" i="20" s="1"/>
  <c r="BA175" i="20" s="1"/>
  <c r="BA176" i="20" s="1"/>
  <c r="BA177" i="20" s="1"/>
  <c r="BA178" i="20" s="1"/>
  <c r="BA179" i="20" s="1"/>
  <c r="BA180" i="20" s="1"/>
  <c r="BA181" i="20" s="1"/>
  <c r="BA182" i="20" s="1"/>
  <c r="BA183" i="20" s="1"/>
  <c r="BA184" i="20" s="1"/>
  <c r="BA185" i="20" s="1"/>
  <c r="BA186" i="20" s="1"/>
  <c r="BA187" i="20" s="1"/>
  <c r="BA188" i="20" s="1"/>
  <c r="BA189" i="20" s="1"/>
  <c r="BA190" i="20" s="1"/>
  <c r="BA191" i="20" s="1"/>
  <c r="BA192" i="20" s="1"/>
  <c r="BA193" i="20" s="1"/>
  <c r="BA194" i="20" s="1"/>
  <c r="BA195" i="20" s="1"/>
  <c r="BA196" i="20" s="1"/>
  <c r="BA197" i="20" s="1"/>
  <c r="BA198" i="20" s="1"/>
  <c r="BA199" i="20" s="1"/>
  <c r="BA200" i="20" s="1"/>
  <c r="BA201" i="20" s="1"/>
  <c r="BA202" i="20" s="1"/>
  <c r="BA203" i="20" s="1"/>
  <c r="BA204" i="20" s="1"/>
  <c r="BA205" i="20" s="1"/>
  <c r="BA206" i="20" s="1"/>
  <c r="BA207" i="20" s="1"/>
  <c r="BA208" i="20" s="1"/>
  <c r="BA209" i="20" s="1"/>
  <c r="BA210" i="20" s="1"/>
  <c r="BA211" i="20" s="1"/>
  <c r="BA212" i="20" s="1"/>
  <c r="BA213" i="20" s="1"/>
  <c r="BA214" i="20" s="1"/>
  <c r="BA215" i="20" s="1"/>
  <c r="BA216" i="20" s="1"/>
  <c r="BA217" i="20" s="1"/>
  <c r="BA218" i="20" s="1"/>
  <c r="BA219" i="20" s="1"/>
  <c r="BA220" i="20" s="1"/>
  <c r="BA221" i="20" s="1"/>
  <c r="BA222" i="20" s="1"/>
  <c r="BA223" i="20" s="1"/>
  <c r="BA224" i="20" s="1"/>
  <c r="BA225" i="20" s="1"/>
  <c r="BA226" i="20" s="1"/>
  <c r="BA227" i="20" s="1"/>
  <c r="BA228" i="20" s="1"/>
  <c r="BA229" i="20" s="1"/>
  <c r="BA230" i="20" s="1"/>
  <c r="BA231" i="20" s="1"/>
  <c r="BA232" i="20" s="1"/>
  <c r="BA233" i="20" s="1"/>
  <c r="BA234" i="20" s="1"/>
  <c r="D1" i="2"/>
  <c r="D3" i="2" s="1"/>
  <c r="AR7" i="3"/>
  <c r="AR8" i="3" s="1"/>
  <c r="AR9" i="3" s="1"/>
  <c r="AR10" i="3" s="1"/>
  <c r="U6" i="3"/>
  <c r="U7" i="3" s="1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s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U59" i="3" s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U94" i="3" s="1"/>
  <c r="U95" i="3" s="1"/>
  <c r="U96" i="3" s="1"/>
  <c r="U97" i="3" s="1"/>
  <c r="U98" i="3" s="1"/>
  <c r="U99" i="3" s="1"/>
  <c r="U100" i="3" s="1"/>
  <c r="U101" i="3" s="1"/>
  <c r="U102" i="3" s="1"/>
  <c r="U103" i="3" s="1"/>
  <c r="U104" i="3" s="1"/>
  <c r="U105" i="3" s="1"/>
  <c r="U106" i="3" s="1"/>
  <c r="U107" i="3" s="1"/>
  <c r="U108" i="3" s="1"/>
  <c r="U109" i="3" s="1"/>
  <c r="U110" i="3" s="1"/>
  <c r="U111" i="3" s="1"/>
  <c r="U112" i="3" s="1"/>
  <c r="U113" i="3" s="1"/>
  <c r="U114" i="3" s="1"/>
  <c r="U115" i="3" s="1"/>
  <c r="U116" i="3" s="1"/>
  <c r="U117" i="3" s="1"/>
  <c r="U118" i="3" s="1"/>
  <c r="U119" i="3" s="1"/>
  <c r="U120" i="3" s="1"/>
  <c r="U121" i="3" s="1"/>
  <c r="U122" i="3" s="1"/>
  <c r="U123" i="3" s="1"/>
  <c r="U124" i="3" s="1"/>
  <c r="U125" i="3" s="1"/>
  <c r="U126" i="3" s="1"/>
  <c r="U127" i="3" s="1"/>
  <c r="U128" i="3" s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U139" i="3" s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U150" i="3" s="1"/>
  <c r="U151" i="3" s="1"/>
  <c r="U152" i="3" s="1"/>
  <c r="U153" i="3" s="1"/>
  <c r="U154" i="3" s="1"/>
  <c r="U155" i="3" s="1"/>
  <c r="U156" i="3" s="1"/>
  <c r="U157" i="3" s="1"/>
  <c r="U158" i="3" s="1"/>
  <c r="U159" i="3" s="1"/>
  <c r="U160" i="3" s="1"/>
  <c r="U161" i="3" s="1"/>
  <c r="U162" i="3" s="1"/>
  <c r="U163" i="3" s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U179" i="3" s="1"/>
  <c r="U180" i="3" s="1"/>
  <c r="U181" i="3" s="1"/>
  <c r="U182" i="3" s="1"/>
  <c r="U183" i="3" s="1"/>
  <c r="U184" i="3" s="1"/>
  <c r="U185" i="3" s="1"/>
  <c r="U186" i="3" s="1"/>
  <c r="U187" i="3" s="1"/>
  <c r="U188" i="3" s="1"/>
  <c r="U189" i="3" s="1"/>
  <c r="U190" i="3" s="1"/>
  <c r="U191" i="3" s="1"/>
  <c r="U192" i="3" s="1"/>
  <c r="U193" i="3" s="1"/>
  <c r="U194" i="3" s="1"/>
  <c r="U195" i="3" s="1"/>
  <c r="U196" i="3" s="1"/>
  <c r="U197" i="3" s="1"/>
  <c r="U198" i="3" s="1"/>
  <c r="U199" i="3" s="1"/>
  <c r="U200" i="3" s="1"/>
  <c r="U201" i="3" s="1"/>
  <c r="U202" i="3" s="1"/>
  <c r="U203" i="3" s="1"/>
  <c r="U204" i="3" s="1"/>
  <c r="U205" i="3" s="1"/>
  <c r="U206" i="3" s="1"/>
  <c r="U207" i="3" s="1"/>
  <c r="U208" i="3" s="1"/>
  <c r="U209" i="3" s="1"/>
  <c r="U210" i="3" s="1"/>
  <c r="U211" i="3" s="1"/>
  <c r="U212" i="3" s="1"/>
  <c r="U213" i="3" s="1"/>
  <c r="U214" i="3" s="1"/>
  <c r="U215" i="3" s="1"/>
  <c r="U216" i="3" s="1"/>
  <c r="U217" i="3" s="1"/>
  <c r="U218" i="3" s="1"/>
  <c r="U219" i="3" s="1"/>
  <c r="U220" i="3" s="1"/>
  <c r="U221" i="3" s="1"/>
  <c r="U222" i="3" s="1"/>
  <c r="U223" i="3" s="1"/>
  <c r="U224" i="3" s="1"/>
  <c r="U225" i="3" s="1"/>
  <c r="U226" i="3" s="1"/>
  <c r="U227" i="3" s="1"/>
  <c r="U228" i="3" s="1"/>
  <c r="U229" i="3" s="1"/>
  <c r="U230" i="3" s="1"/>
  <c r="U231" i="3" s="1"/>
  <c r="U232" i="3" s="1"/>
  <c r="U233" i="3" s="1"/>
  <c r="U234" i="3" s="1"/>
  <c r="BA4" i="3"/>
  <c r="AB6" i="3"/>
  <c r="AB7" i="3" s="1"/>
  <c r="AB8" i="3" s="1"/>
  <c r="AB4" i="3"/>
  <c r="E5" i="12"/>
  <c r="E5" i="18"/>
  <c r="E5" i="16"/>
  <c r="E6" i="16" s="1"/>
  <c r="E7" i="16" s="1"/>
  <c r="BD7" i="16" s="1"/>
  <c r="E5" i="17"/>
  <c r="E37" i="13"/>
  <c r="AA38" i="12"/>
  <c r="I38" i="12"/>
  <c r="AA38" i="13"/>
  <c r="I38" i="13"/>
  <c r="U38" i="12"/>
  <c r="U38" i="13"/>
  <c r="AB38" i="12"/>
  <c r="V38" i="12"/>
  <c r="V38" i="13"/>
  <c r="O38" i="12"/>
  <c r="O38" i="13"/>
  <c r="AB38" i="13"/>
  <c r="AA74" i="14"/>
  <c r="I74" i="14"/>
  <c r="V74" i="14"/>
  <c r="U74" i="14"/>
  <c r="V6" i="17"/>
  <c r="O6" i="17"/>
  <c r="AB6" i="17"/>
  <c r="I6" i="17"/>
  <c r="AA6" i="17"/>
  <c r="U6" i="19"/>
  <c r="AB74" i="14"/>
  <c r="U6" i="17"/>
  <c r="AA6" i="19"/>
  <c r="O6" i="19"/>
  <c r="I6" i="19"/>
  <c r="V6" i="19"/>
  <c r="O74" i="14"/>
  <c r="AB6" i="19"/>
  <c r="E5" i="13"/>
  <c r="AY5" i="13" s="1"/>
  <c r="BC5" i="13" s="1"/>
  <c r="E5" i="15"/>
  <c r="E6" i="15" s="1"/>
  <c r="C6" i="15" s="1"/>
  <c r="E5" i="19"/>
  <c r="E6" i="19" s="1"/>
  <c r="AZ6" i="19" s="1"/>
  <c r="E37" i="12"/>
  <c r="E5" i="14"/>
  <c r="E6" i="14" s="1"/>
  <c r="AX6" i="14" s="1"/>
  <c r="BB6" i="14" s="1"/>
  <c r="F36" i="9"/>
  <c r="F37" i="9"/>
  <c r="X8" i="3"/>
  <c r="Y8" i="3" s="1"/>
  <c r="AQ11" i="3"/>
  <c r="A9" i="3"/>
  <c r="BI9" i="3" s="1"/>
  <c r="BJ9" i="3" s="1"/>
  <c r="AL8" i="3"/>
  <c r="H8" i="3"/>
  <c r="AM8" i="3"/>
  <c r="G10" i="3"/>
  <c r="AV9" i="3"/>
  <c r="AX9" i="3" s="1"/>
  <c r="V9" i="3"/>
  <c r="X9" i="3" s="1"/>
  <c r="AN11" i="3"/>
  <c r="AN12" i="3" s="1"/>
  <c r="AW11" i="3"/>
  <c r="J141" i="4"/>
  <c r="F579" i="4"/>
  <c r="G579" i="4" s="1"/>
  <c r="N579" i="4"/>
  <c r="O579" i="4" s="1"/>
  <c r="N50" i="4"/>
  <c r="O50" i="4" s="1"/>
  <c r="M51" i="4"/>
  <c r="L139" i="4"/>
  <c r="K141" i="4"/>
  <c r="N71" i="4"/>
  <c r="O71" i="4" s="1"/>
  <c r="K72" i="4"/>
  <c r="N72" i="4" s="1"/>
  <c r="O72" i="4" s="1"/>
  <c r="F51" i="4"/>
  <c r="G51" i="4" s="1"/>
  <c r="E52" i="4"/>
  <c r="F70" i="4"/>
  <c r="G70" i="4" s="1"/>
  <c r="F82" i="4"/>
  <c r="G82" i="4" s="1"/>
  <c r="B141" i="4"/>
  <c r="C139" i="4"/>
  <c r="D7" i="2" l="1"/>
  <c r="D8" i="2" s="1"/>
  <c r="D13" i="2"/>
  <c r="C12" i="2"/>
  <c r="D12" i="2"/>
  <c r="C15" i="2"/>
  <c r="C8" i="2"/>
  <c r="C14" i="2"/>
  <c r="C13" i="2"/>
  <c r="D14" i="2"/>
  <c r="D15" i="2"/>
  <c r="AB9" i="3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B34" i="3" s="1"/>
  <c r="AB35" i="3" s="1"/>
  <c r="AB36" i="3" s="1"/>
  <c r="AB37" i="3" s="1"/>
  <c r="AB38" i="3" s="1"/>
  <c r="AB39" i="3" s="1"/>
  <c r="AB40" i="3" s="1"/>
  <c r="AB41" i="3" s="1"/>
  <c r="AB42" i="3" s="1"/>
  <c r="AB43" i="3" s="1"/>
  <c r="AB44" i="3" s="1"/>
  <c r="AB45" i="3" s="1"/>
  <c r="AB46" i="3" s="1"/>
  <c r="AB47" i="3" s="1"/>
  <c r="AB48" i="3" s="1"/>
  <c r="AB49" i="3" s="1"/>
  <c r="AB50" i="3" s="1"/>
  <c r="AB51" i="3" s="1"/>
  <c r="AB52" i="3" s="1"/>
  <c r="AB53" i="3" s="1"/>
  <c r="AB54" i="3" s="1"/>
  <c r="AB55" i="3" s="1"/>
  <c r="AB56" i="3" s="1"/>
  <c r="AB57" i="3" s="1"/>
  <c r="AB58" i="3" s="1"/>
  <c r="AB59" i="3" s="1"/>
  <c r="AB60" i="3" s="1"/>
  <c r="AB61" i="3" s="1"/>
  <c r="AB62" i="3" s="1"/>
  <c r="AB63" i="3" s="1"/>
  <c r="AB64" i="3" s="1"/>
  <c r="AB65" i="3" s="1"/>
  <c r="AB66" i="3" s="1"/>
  <c r="AB67" i="3" s="1"/>
  <c r="AB68" i="3" s="1"/>
  <c r="AB69" i="3" s="1"/>
  <c r="AB70" i="3" s="1"/>
  <c r="AB71" i="3" s="1"/>
  <c r="AB72" i="3" s="1"/>
  <c r="AB73" i="3" s="1"/>
  <c r="AB74" i="3" s="1"/>
  <c r="AB75" i="3" s="1"/>
  <c r="AB76" i="3" s="1"/>
  <c r="AB77" i="3" s="1"/>
  <c r="AB78" i="3" s="1"/>
  <c r="AB79" i="3" s="1"/>
  <c r="AB80" i="3" s="1"/>
  <c r="AB81" i="3" s="1"/>
  <c r="AB82" i="3" s="1"/>
  <c r="AB83" i="3" s="1"/>
  <c r="AB84" i="3" s="1"/>
  <c r="AB85" i="3" s="1"/>
  <c r="AB86" i="3" s="1"/>
  <c r="AB87" i="3" s="1"/>
  <c r="AB88" i="3" s="1"/>
  <c r="AB89" i="3" s="1"/>
  <c r="AB90" i="3" s="1"/>
  <c r="AB91" i="3" s="1"/>
  <c r="AB92" i="3" s="1"/>
  <c r="AB93" i="3" s="1"/>
  <c r="AB94" i="3" s="1"/>
  <c r="AB95" i="3" s="1"/>
  <c r="AB96" i="3" s="1"/>
  <c r="AB97" i="3" s="1"/>
  <c r="AB98" i="3" s="1"/>
  <c r="AB99" i="3" s="1"/>
  <c r="AB100" i="3" s="1"/>
  <c r="AB101" i="3" s="1"/>
  <c r="AB102" i="3" s="1"/>
  <c r="AB103" i="3" s="1"/>
  <c r="AB104" i="3" s="1"/>
  <c r="AB105" i="3" s="1"/>
  <c r="AB106" i="3" s="1"/>
  <c r="AB107" i="3" s="1"/>
  <c r="AB108" i="3" s="1"/>
  <c r="AB109" i="3" s="1"/>
  <c r="AB110" i="3" s="1"/>
  <c r="AB111" i="3" s="1"/>
  <c r="AB112" i="3" s="1"/>
  <c r="AB113" i="3" s="1"/>
  <c r="AB114" i="3" s="1"/>
  <c r="AB115" i="3" s="1"/>
  <c r="AB116" i="3" s="1"/>
  <c r="AB117" i="3" s="1"/>
  <c r="AB118" i="3" s="1"/>
  <c r="AB119" i="3" s="1"/>
  <c r="AB120" i="3" s="1"/>
  <c r="AB121" i="3" s="1"/>
  <c r="AB122" i="3" s="1"/>
  <c r="AB123" i="3" s="1"/>
  <c r="AB124" i="3" s="1"/>
  <c r="AB125" i="3" s="1"/>
  <c r="AB126" i="3" s="1"/>
  <c r="AB127" i="3" s="1"/>
  <c r="AB128" i="3" s="1"/>
  <c r="AB129" i="3" s="1"/>
  <c r="AB130" i="3" s="1"/>
  <c r="AB131" i="3" s="1"/>
  <c r="AB132" i="3" s="1"/>
  <c r="AB133" i="3" s="1"/>
  <c r="AB134" i="3" s="1"/>
  <c r="AB135" i="3" s="1"/>
  <c r="AB136" i="3" s="1"/>
  <c r="AB137" i="3" s="1"/>
  <c r="AB138" i="3" s="1"/>
  <c r="AB139" i="3" s="1"/>
  <c r="AB140" i="3" s="1"/>
  <c r="AB141" i="3" s="1"/>
  <c r="AB142" i="3" s="1"/>
  <c r="AB143" i="3" s="1"/>
  <c r="AB144" i="3" s="1"/>
  <c r="AB145" i="3" s="1"/>
  <c r="AB146" i="3" s="1"/>
  <c r="AB147" i="3" s="1"/>
  <c r="AB148" i="3" s="1"/>
  <c r="AB149" i="3" s="1"/>
  <c r="AB150" i="3" s="1"/>
  <c r="AB151" i="3" s="1"/>
  <c r="AB152" i="3" s="1"/>
  <c r="AB153" i="3" s="1"/>
  <c r="AB154" i="3" s="1"/>
  <c r="AB155" i="3" s="1"/>
  <c r="AB156" i="3" s="1"/>
  <c r="AB157" i="3" s="1"/>
  <c r="AB158" i="3" s="1"/>
  <c r="AB159" i="3" s="1"/>
  <c r="AB160" i="3" s="1"/>
  <c r="AB161" i="3" s="1"/>
  <c r="AB162" i="3" s="1"/>
  <c r="AB163" i="3" s="1"/>
  <c r="AB164" i="3" s="1"/>
  <c r="AB165" i="3" s="1"/>
  <c r="AB166" i="3" s="1"/>
  <c r="AB167" i="3" s="1"/>
  <c r="AB168" i="3" s="1"/>
  <c r="AB169" i="3" s="1"/>
  <c r="AB170" i="3" s="1"/>
  <c r="AB171" i="3" s="1"/>
  <c r="AB172" i="3" s="1"/>
  <c r="AB173" i="3" s="1"/>
  <c r="AB174" i="3" s="1"/>
  <c r="AB175" i="3" s="1"/>
  <c r="AB176" i="3" s="1"/>
  <c r="AB177" i="3" s="1"/>
  <c r="AB178" i="3" s="1"/>
  <c r="AB179" i="3" s="1"/>
  <c r="AB180" i="3" s="1"/>
  <c r="AB181" i="3" s="1"/>
  <c r="AB182" i="3" s="1"/>
  <c r="AB183" i="3" s="1"/>
  <c r="AB184" i="3" s="1"/>
  <c r="AB185" i="3" s="1"/>
  <c r="AB186" i="3" s="1"/>
  <c r="AB187" i="3" s="1"/>
  <c r="AB188" i="3" s="1"/>
  <c r="AB189" i="3" s="1"/>
  <c r="AB190" i="3" s="1"/>
  <c r="AB191" i="3" s="1"/>
  <c r="AB192" i="3" s="1"/>
  <c r="AB193" i="3" s="1"/>
  <c r="AB194" i="3" s="1"/>
  <c r="AB195" i="3" s="1"/>
  <c r="AB196" i="3" s="1"/>
  <c r="AB197" i="3" s="1"/>
  <c r="AB198" i="3" s="1"/>
  <c r="AB199" i="3" s="1"/>
  <c r="AB200" i="3" s="1"/>
  <c r="AB201" i="3" s="1"/>
  <c r="AB202" i="3" s="1"/>
  <c r="AB203" i="3" s="1"/>
  <c r="AB204" i="3" s="1"/>
  <c r="AB205" i="3" s="1"/>
  <c r="AB206" i="3" s="1"/>
  <c r="AB207" i="3" s="1"/>
  <c r="AB208" i="3" s="1"/>
  <c r="AB209" i="3" s="1"/>
  <c r="AB210" i="3" s="1"/>
  <c r="AB211" i="3" s="1"/>
  <c r="AB212" i="3" s="1"/>
  <c r="AB213" i="3" s="1"/>
  <c r="AB214" i="3" s="1"/>
  <c r="AB215" i="3" s="1"/>
  <c r="AB216" i="3" s="1"/>
  <c r="AB217" i="3" s="1"/>
  <c r="AB218" i="3" s="1"/>
  <c r="AB219" i="3" s="1"/>
  <c r="AB220" i="3" s="1"/>
  <c r="AB221" i="3" s="1"/>
  <c r="AB222" i="3" s="1"/>
  <c r="AB223" i="3" s="1"/>
  <c r="AB224" i="3" s="1"/>
  <c r="AB225" i="3" s="1"/>
  <c r="AB226" i="3" s="1"/>
  <c r="AB227" i="3" s="1"/>
  <c r="AB228" i="3" s="1"/>
  <c r="AB229" i="3" s="1"/>
  <c r="AB230" i="3" s="1"/>
  <c r="AB231" i="3" s="1"/>
  <c r="AB232" i="3" s="1"/>
  <c r="AB233" i="3" s="1"/>
  <c r="AB234" i="3" s="1"/>
  <c r="P8" i="3"/>
  <c r="D68" i="2"/>
  <c r="D75" i="2"/>
  <c r="D41" i="2"/>
  <c r="H37" i="12"/>
  <c r="AH7" i="3"/>
  <c r="BD7" i="3" s="1"/>
  <c r="AN9" i="20"/>
  <c r="P9" i="20"/>
  <c r="AQ9" i="20"/>
  <c r="AR9" i="20" s="1"/>
  <c r="O10" i="20"/>
  <c r="AZ5" i="12"/>
  <c r="BE5" i="12" s="1"/>
  <c r="E38" i="12"/>
  <c r="AG8" i="3"/>
  <c r="AZ5" i="21"/>
  <c r="BE5" i="21" s="1"/>
  <c r="C5" i="21"/>
  <c r="F5" i="21" s="1"/>
  <c r="AX5" i="21"/>
  <c r="AY5" i="21"/>
  <c r="BC5" i="21" s="1"/>
  <c r="BF5" i="21"/>
  <c r="C37" i="21"/>
  <c r="L37" i="21" s="1"/>
  <c r="O37" i="21" s="1"/>
  <c r="BE37" i="21"/>
  <c r="BF37" i="21"/>
  <c r="J37" i="21"/>
  <c r="P37" i="21"/>
  <c r="AX37" i="21"/>
  <c r="AY37" i="21"/>
  <c r="BC37" i="21" s="1"/>
  <c r="E38" i="21"/>
  <c r="E6" i="21"/>
  <c r="AX5" i="29"/>
  <c r="AZ5" i="29"/>
  <c r="C5" i="29"/>
  <c r="X5" i="29" s="1"/>
  <c r="E6" i="29"/>
  <c r="AZ6" i="26"/>
  <c r="C6" i="26"/>
  <c r="AX6" i="26"/>
  <c r="C5" i="26"/>
  <c r="F5" i="26" s="1"/>
  <c r="AX5" i="26"/>
  <c r="AZ5" i="26"/>
  <c r="E7" i="26"/>
  <c r="AX6" i="28"/>
  <c r="C6" i="28"/>
  <c r="AZ6" i="28"/>
  <c r="E7" i="28"/>
  <c r="C5" i="28"/>
  <c r="X5" i="28" s="1"/>
  <c r="AX5" i="28"/>
  <c r="AZ5" i="28"/>
  <c r="E6" i="25"/>
  <c r="BA5" i="25"/>
  <c r="BB5" i="25"/>
  <c r="BC5" i="25"/>
  <c r="AX5" i="25"/>
  <c r="AZ5" i="25"/>
  <c r="BD5" i="25"/>
  <c r="C5" i="25"/>
  <c r="X5" i="25" s="1"/>
  <c r="AF5" i="25" s="1"/>
  <c r="AX6" i="24"/>
  <c r="C6" i="24"/>
  <c r="AZ6" i="24"/>
  <c r="E7" i="24"/>
  <c r="AX5" i="24"/>
  <c r="C5" i="24"/>
  <c r="M5" i="24" s="1"/>
  <c r="S5" i="24" s="1"/>
  <c r="AZ5" i="24"/>
  <c r="AS6" i="15"/>
  <c r="AU6" i="15"/>
  <c r="E74" i="23"/>
  <c r="E75" i="23" s="1"/>
  <c r="J73" i="23"/>
  <c r="P73" i="23"/>
  <c r="AW73" i="23"/>
  <c r="BA73" i="23" s="1"/>
  <c r="AX73" i="23"/>
  <c r="BB73" i="23" s="1"/>
  <c r="E6" i="23"/>
  <c r="BE6" i="23" s="1"/>
  <c r="AW5" i="23"/>
  <c r="BA5" i="23" s="1"/>
  <c r="AX5" i="23"/>
  <c r="BB5" i="23" s="1"/>
  <c r="AY73" i="23"/>
  <c r="BD73" i="23" s="1"/>
  <c r="AY5" i="23"/>
  <c r="BD5" i="23" s="1"/>
  <c r="BE5" i="23"/>
  <c r="C5" i="23"/>
  <c r="F5" i="23" s="1"/>
  <c r="C73" i="23"/>
  <c r="X73" i="23" s="1"/>
  <c r="BE73" i="23"/>
  <c r="P37" i="22"/>
  <c r="J37" i="22"/>
  <c r="AX37" i="22"/>
  <c r="BF37" i="22"/>
  <c r="AY37" i="22"/>
  <c r="BC37" i="22" s="1"/>
  <c r="C37" i="22"/>
  <c r="L37" i="22" s="1"/>
  <c r="O37" i="22" s="1"/>
  <c r="AZ37" i="22"/>
  <c r="BE37" i="22" s="1"/>
  <c r="AY5" i="22"/>
  <c r="BC5" i="22" s="1"/>
  <c r="BE5" i="22"/>
  <c r="BF5" i="22"/>
  <c r="C5" i="22"/>
  <c r="M5" i="22" s="1"/>
  <c r="S5" i="22" s="1"/>
  <c r="AX5" i="22"/>
  <c r="E6" i="22"/>
  <c r="E38" i="22"/>
  <c r="C74" i="14"/>
  <c r="AR74" i="14" s="1"/>
  <c r="E76" i="14"/>
  <c r="BF76" i="14" s="1"/>
  <c r="AY74" i="14"/>
  <c r="BD74" i="14" s="1"/>
  <c r="BE73" i="14"/>
  <c r="AX73" i="14"/>
  <c r="BB73" i="14" s="1"/>
  <c r="AY75" i="14"/>
  <c r="BD75" i="14" s="1"/>
  <c r="BF75" i="14"/>
  <c r="AY73" i="14"/>
  <c r="BD73" i="14" s="1"/>
  <c r="BE74" i="14"/>
  <c r="J73" i="14"/>
  <c r="BE75" i="14"/>
  <c r="AW75" i="14"/>
  <c r="BA75" i="14" s="1"/>
  <c r="AW73" i="14"/>
  <c r="BA73" i="14" s="1"/>
  <c r="C73" i="14"/>
  <c r="P73" i="14"/>
  <c r="C75" i="14"/>
  <c r="AX74" i="14"/>
  <c r="BB74" i="14" s="1"/>
  <c r="AW74" i="14"/>
  <c r="BA74" i="14" s="1"/>
  <c r="E1" i="2"/>
  <c r="E3" i="2" s="1"/>
  <c r="E7" i="2" s="1"/>
  <c r="AR11" i="3"/>
  <c r="AZ5" i="13"/>
  <c r="BE5" i="13" s="1"/>
  <c r="AM9" i="3"/>
  <c r="AL9" i="3"/>
  <c r="BF5" i="12"/>
  <c r="AX5" i="17"/>
  <c r="E38" i="13"/>
  <c r="C6" i="14"/>
  <c r="AS6" i="14" s="1"/>
  <c r="AX5" i="16"/>
  <c r="AX6" i="16"/>
  <c r="E6" i="17"/>
  <c r="E7" i="17" s="1"/>
  <c r="P37" i="13"/>
  <c r="C5" i="13"/>
  <c r="F5" i="13" s="1"/>
  <c r="AZ5" i="18"/>
  <c r="AX6" i="19"/>
  <c r="AX5" i="12"/>
  <c r="C5" i="12"/>
  <c r="C5" i="14"/>
  <c r="F5" i="14" s="1"/>
  <c r="E6" i="12"/>
  <c r="BF37" i="12"/>
  <c r="AX37" i="13"/>
  <c r="AY5" i="12"/>
  <c r="BC5" i="12" s="1"/>
  <c r="C6" i="16"/>
  <c r="BF5" i="13"/>
  <c r="BE6" i="14"/>
  <c r="AX5" i="18"/>
  <c r="E6" i="13"/>
  <c r="AZ5" i="17"/>
  <c r="AX5" i="14"/>
  <c r="BB5" i="14" s="1"/>
  <c r="AY5" i="14"/>
  <c r="BD5" i="14" s="1"/>
  <c r="E6" i="18"/>
  <c r="AX6" i="18" s="1"/>
  <c r="BF37" i="13"/>
  <c r="C5" i="18"/>
  <c r="AU5" i="18" s="1"/>
  <c r="C5" i="19"/>
  <c r="AR5" i="19" s="1"/>
  <c r="C5" i="17"/>
  <c r="F5" i="17" s="1"/>
  <c r="J6" i="17" s="1"/>
  <c r="E7" i="14"/>
  <c r="BE7" i="14" s="1"/>
  <c r="AZ37" i="13"/>
  <c r="BE37" i="13" s="1"/>
  <c r="C37" i="12"/>
  <c r="AY37" i="12"/>
  <c r="BC37" i="12" s="1"/>
  <c r="C5" i="16"/>
  <c r="X5" i="16" s="1"/>
  <c r="AF5" i="16" s="1"/>
  <c r="AZ5" i="16"/>
  <c r="AZ6" i="16"/>
  <c r="C37" i="13"/>
  <c r="J37" i="13"/>
  <c r="C5" i="15"/>
  <c r="I5" i="15" s="1"/>
  <c r="Q5" i="15" s="1"/>
  <c r="BD6" i="16"/>
  <c r="BD5" i="16"/>
  <c r="AY37" i="13"/>
  <c r="BC37" i="13" s="1"/>
  <c r="E7" i="19"/>
  <c r="AX7" i="19" s="1"/>
  <c r="P37" i="12"/>
  <c r="J37" i="12"/>
  <c r="AZ37" i="12"/>
  <c r="BE37" i="12" s="1"/>
  <c r="C6" i="19"/>
  <c r="AR6" i="19" s="1"/>
  <c r="AX37" i="12"/>
  <c r="AX5" i="19"/>
  <c r="AZ5" i="19"/>
  <c r="AW6" i="14"/>
  <c r="BA6" i="14" s="1"/>
  <c r="AX5" i="13"/>
  <c r="AZ6" i="15"/>
  <c r="AB39" i="12"/>
  <c r="O39" i="12"/>
  <c r="AB39" i="13"/>
  <c r="O39" i="13"/>
  <c r="V39" i="12"/>
  <c r="V39" i="13"/>
  <c r="AA39" i="12"/>
  <c r="U39" i="13"/>
  <c r="U39" i="12"/>
  <c r="I39" i="13"/>
  <c r="I39" i="12"/>
  <c r="U75" i="14"/>
  <c r="V75" i="14"/>
  <c r="AA39" i="13"/>
  <c r="O75" i="14"/>
  <c r="AA75" i="14"/>
  <c r="AA7" i="17"/>
  <c r="I7" i="17"/>
  <c r="AB75" i="14"/>
  <c r="AB7" i="17"/>
  <c r="I75" i="14"/>
  <c r="V7" i="17"/>
  <c r="V7" i="19"/>
  <c r="U7" i="17"/>
  <c r="O7" i="19"/>
  <c r="O7" i="17"/>
  <c r="U7" i="19"/>
  <c r="AB7" i="19"/>
  <c r="I7" i="19"/>
  <c r="AA7" i="19"/>
  <c r="AX5" i="15"/>
  <c r="AX6" i="15"/>
  <c r="BE5" i="14"/>
  <c r="AW5" i="14"/>
  <c r="BA5" i="14" s="1"/>
  <c r="AZ5" i="15"/>
  <c r="AY6" i="14"/>
  <c r="BD6" i="14" s="1"/>
  <c r="E7" i="15"/>
  <c r="E8" i="15" s="1"/>
  <c r="C8" i="15" s="1"/>
  <c r="C7" i="16"/>
  <c r="AZ7" i="16"/>
  <c r="AX7" i="16"/>
  <c r="E8" i="16"/>
  <c r="AN13" i="3"/>
  <c r="V10" i="3"/>
  <c r="X10" i="3" s="1"/>
  <c r="G11" i="3"/>
  <c r="AV10" i="3"/>
  <c r="AX10" i="3" s="1"/>
  <c r="A10" i="3"/>
  <c r="BI10" i="3" s="1"/>
  <c r="BJ10" i="3" s="1"/>
  <c r="Y9" i="3"/>
  <c r="BC8" i="3"/>
  <c r="AE9" i="3"/>
  <c r="AW12" i="3"/>
  <c r="H9" i="3"/>
  <c r="AQ12" i="3"/>
  <c r="F580" i="4"/>
  <c r="G580" i="4" s="1"/>
  <c r="F581" i="4"/>
  <c r="G581" i="4" s="1"/>
  <c r="N51" i="4"/>
  <c r="O51" i="4" s="1"/>
  <c r="M52" i="4"/>
  <c r="N581" i="4"/>
  <c r="O581" i="4" s="1"/>
  <c r="N580" i="4"/>
  <c r="O580" i="4" s="1"/>
  <c r="L141" i="4"/>
  <c r="M139" i="4"/>
  <c r="F52" i="4"/>
  <c r="G52" i="4" s="1"/>
  <c r="E53" i="4"/>
  <c r="F71" i="4"/>
  <c r="G71" i="4" s="1"/>
  <c r="F72" i="4"/>
  <c r="G72" i="4" s="1"/>
  <c r="F83" i="4"/>
  <c r="G83" i="4" s="1"/>
  <c r="F84" i="4"/>
  <c r="G84" i="4" s="1"/>
  <c r="C141" i="4"/>
  <c r="D139" i="4"/>
  <c r="E13" i="2" l="1"/>
  <c r="E14" i="2"/>
  <c r="E15" i="2"/>
  <c r="E8" i="2"/>
  <c r="E12" i="2"/>
  <c r="P9" i="3"/>
  <c r="R37" i="22"/>
  <c r="U37" i="22" s="1"/>
  <c r="X37" i="22"/>
  <c r="Z37" i="22" s="1"/>
  <c r="L5" i="17"/>
  <c r="N5" i="17" s="1"/>
  <c r="I5" i="14"/>
  <c r="Q5" i="14" s="1"/>
  <c r="F5" i="12"/>
  <c r="G5" i="12" s="1"/>
  <c r="AR5" i="12" s="1"/>
  <c r="X37" i="13"/>
  <c r="Z37" i="13" s="1"/>
  <c r="F5" i="24"/>
  <c r="G5" i="24" s="1"/>
  <c r="AR5" i="24" s="1"/>
  <c r="X37" i="21"/>
  <c r="AB37" i="21" s="1"/>
  <c r="M5" i="14"/>
  <c r="S5" i="14" s="1"/>
  <c r="L5" i="16"/>
  <c r="L5" i="29"/>
  <c r="O5" i="29" s="1"/>
  <c r="I5" i="18"/>
  <c r="Q5" i="18" s="1"/>
  <c r="AT5" i="18" s="1"/>
  <c r="R5" i="16"/>
  <c r="AD5" i="16" s="1"/>
  <c r="AT5" i="16" s="1"/>
  <c r="F5" i="18"/>
  <c r="G5" i="18" s="1"/>
  <c r="H5" i="18" s="1"/>
  <c r="AL5" i="18" s="1"/>
  <c r="F5" i="29"/>
  <c r="I5" i="29" s="1"/>
  <c r="AR5" i="29" s="1"/>
  <c r="M5" i="15"/>
  <c r="S5" i="15" s="1"/>
  <c r="L5" i="28"/>
  <c r="O5" i="28" s="1"/>
  <c r="F5" i="28"/>
  <c r="I5" i="28" s="1"/>
  <c r="I5" i="13"/>
  <c r="Q5" i="13" s="1"/>
  <c r="I5" i="23"/>
  <c r="Q5" i="23" s="1"/>
  <c r="R5" i="28"/>
  <c r="T5" i="28" s="1"/>
  <c r="F5" i="25"/>
  <c r="H5" i="25" s="1"/>
  <c r="F5" i="16"/>
  <c r="M5" i="23"/>
  <c r="S5" i="23" s="1"/>
  <c r="F5" i="15"/>
  <c r="G5" i="15" s="1"/>
  <c r="AR5" i="15" s="1"/>
  <c r="M5" i="12"/>
  <c r="S5" i="12" s="1"/>
  <c r="X5" i="17"/>
  <c r="AF5" i="17" s="1"/>
  <c r="F73" i="23"/>
  <c r="H73" i="23" s="1"/>
  <c r="M5" i="13"/>
  <c r="S5" i="13" s="1"/>
  <c r="M5" i="18"/>
  <c r="S5" i="18" s="1"/>
  <c r="F5" i="22"/>
  <c r="G5" i="22" s="1"/>
  <c r="H5" i="22" s="1"/>
  <c r="AL5" i="22" s="1"/>
  <c r="AM5" i="22" s="1"/>
  <c r="L5" i="25"/>
  <c r="M5" i="25" s="1"/>
  <c r="X5" i="19"/>
  <c r="AF5" i="19" s="1"/>
  <c r="I5" i="22"/>
  <c r="Q5" i="22" s="1"/>
  <c r="AT5" i="22" s="1"/>
  <c r="R73" i="23"/>
  <c r="T73" i="23" s="1"/>
  <c r="R37" i="21"/>
  <c r="T37" i="21" s="1"/>
  <c r="R5" i="17"/>
  <c r="T5" i="17" s="1"/>
  <c r="L73" i="23"/>
  <c r="O73" i="23" s="1"/>
  <c r="I5" i="26"/>
  <c r="Q5" i="26" s="1"/>
  <c r="AT5" i="26" s="1"/>
  <c r="Q5" i="21"/>
  <c r="R37" i="12"/>
  <c r="AD37" i="12" s="1"/>
  <c r="AT37" i="12" s="1"/>
  <c r="L73" i="14"/>
  <c r="P74" i="14" s="1"/>
  <c r="M5" i="26"/>
  <c r="S5" i="26" s="1"/>
  <c r="M5" i="21"/>
  <c r="S5" i="21" s="1"/>
  <c r="L37" i="12"/>
  <c r="P38" i="12" s="1"/>
  <c r="R5" i="19"/>
  <c r="AD5" i="19" s="1"/>
  <c r="AT5" i="19" s="1"/>
  <c r="R37" i="13"/>
  <c r="T37" i="13" s="1"/>
  <c r="R73" i="14"/>
  <c r="AD73" i="14" s="1"/>
  <c r="AT73" i="14" s="1"/>
  <c r="F73" i="14"/>
  <c r="H73" i="14" s="1"/>
  <c r="I5" i="24"/>
  <c r="Q5" i="24" s="1"/>
  <c r="AT5" i="24" s="1"/>
  <c r="F5" i="19"/>
  <c r="H5" i="19" s="1"/>
  <c r="F37" i="22"/>
  <c r="I37" i="22" s="1"/>
  <c r="AR37" i="22" s="1"/>
  <c r="I5" i="12"/>
  <c r="Q5" i="12" s="1"/>
  <c r="AT5" i="12" s="1"/>
  <c r="L5" i="19"/>
  <c r="N5" i="19" s="1"/>
  <c r="F37" i="13"/>
  <c r="H37" i="13" s="1"/>
  <c r="R5" i="25"/>
  <c r="AD5" i="25" s="1"/>
  <c r="AT5" i="25" s="1"/>
  <c r="R5" i="29"/>
  <c r="T5" i="29" s="1"/>
  <c r="X37" i="12"/>
  <c r="Z37" i="12" s="1"/>
  <c r="F37" i="21"/>
  <c r="J38" i="21" s="1"/>
  <c r="L37" i="13"/>
  <c r="P38" i="13" s="1"/>
  <c r="X73" i="14"/>
  <c r="Z73" i="14" s="1"/>
  <c r="AA37" i="22"/>
  <c r="V37" i="21"/>
  <c r="I73" i="23"/>
  <c r="AR73" i="23" s="1"/>
  <c r="U5" i="29"/>
  <c r="U73" i="23"/>
  <c r="I37" i="21"/>
  <c r="AF73" i="23"/>
  <c r="AA73" i="23"/>
  <c r="V5" i="28"/>
  <c r="Z5" i="29"/>
  <c r="AA5" i="29"/>
  <c r="Z5" i="28"/>
  <c r="AB5" i="28"/>
  <c r="E68" i="2"/>
  <c r="E75" i="2"/>
  <c r="E41" i="2"/>
  <c r="AY6" i="12"/>
  <c r="BC6" i="12" s="1"/>
  <c r="E39" i="12"/>
  <c r="AH8" i="3"/>
  <c r="BD8" i="3" s="1"/>
  <c r="AM10" i="3"/>
  <c r="AL10" i="3"/>
  <c r="AN10" i="20"/>
  <c r="J554" i="4"/>
  <c r="J555" i="4" s="1"/>
  <c r="F18" i="30" s="1"/>
  <c r="BB37" i="22" s="1"/>
  <c r="P10" i="20"/>
  <c r="AQ10" i="20"/>
  <c r="AR10" i="20" s="1"/>
  <c r="O11" i="20"/>
  <c r="BF38" i="12"/>
  <c r="C38" i="12"/>
  <c r="AY38" i="12"/>
  <c r="BC38" i="12" s="1"/>
  <c r="AX38" i="12"/>
  <c r="AZ38" i="12"/>
  <c r="BE38" i="12" s="1"/>
  <c r="AG9" i="3"/>
  <c r="G5" i="21"/>
  <c r="AR5" i="21" s="1"/>
  <c r="AU5" i="21"/>
  <c r="AS5" i="21"/>
  <c r="AT5" i="21"/>
  <c r="N37" i="21"/>
  <c r="M37" i="21"/>
  <c r="P38" i="21"/>
  <c r="AX38" i="21"/>
  <c r="C38" i="21"/>
  <c r="AY38" i="21"/>
  <c r="BC38" i="21" s="1"/>
  <c r="BF38" i="21"/>
  <c r="AZ38" i="21"/>
  <c r="BE38" i="21" s="1"/>
  <c r="E39" i="21"/>
  <c r="BF6" i="21"/>
  <c r="C6" i="21"/>
  <c r="AY6" i="21"/>
  <c r="BC6" i="21" s="1"/>
  <c r="AX6" i="21"/>
  <c r="AZ6" i="21"/>
  <c r="BE6" i="21" s="1"/>
  <c r="E7" i="21"/>
  <c r="AF5" i="29"/>
  <c r="AZ6" i="29"/>
  <c r="C6" i="29"/>
  <c r="AX6" i="29"/>
  <c r="E7" i="29"/>
  <c r="Y5" i="29"/>
  <c r="AC5" i="29" s="1"/>
  <c r="AS6" i="26"/>
  <c r="AU6" i="26"/>
  <c r="AQ6" i="26"/>
  <c r="AS5" i="26"/>
  <c r="G5" i="26"/>
  <c r="AR5" i="26" s="1"/>
  <c r="AU5" i="26"/>
  <c r="AQ5" i="26"/>
  <c r="C7" i="26"/>
  <c r="AX7" i="26"/>
  <c r="AZ7" i="26"/>
  <c r="E8" i="26"/>
  <c r="Y5" i="28"/>
  <c r="AC5" i="28" s="1"/>
  <c r="X6" i="28" s="1"/>
  <c r="AF5" i="28"/>
  <c r="AX7" i="28"/>
  <c r="AZ7" i="28"/>
  <c r="C7" i="28"/>
  <c r="E8" i="28"/>
  <c r="C6" i="23"/>
  <c r="BA6" i="25"/>
  <c r="BB6" i="25"/>
  <c r="BC6" i="25"/>
  <c r="BD6" i="25"/>
  <c r="C6" i="25"/>
  <c r="AX6" i="25"/>
  <c r="AZ6" i="25"/>
  <c r="E7" i="25"/>
  <c r="Z5" i="25"/>
  <c r="J5" i="25"/>
  <c r="P5" i="25"/>
  <c r="AS6" i="24"/>
  <c r="AU6" i="24"/>
  <c r="C7" i="24"/>
  <c r="AX7" i="24"/>
  <c r="AZ7" i="24"/>
  <c r="E8" i="24"/>
  <c r="AS5" i="24"/>
  <c r="AU5" i="24"/>
  <c r="AS8" i="15"/>
  <c r="AU8" i="15"/>
  <c r="AS5" i="15"/>
  <c r="AT5" i="15"/>
  <c r="AU5" i="15"/>
  <c r="C74" i="23"/>
  <c r="G5" i="23"/>
  <c r="AR5" i="23" s="1"/>
  <c r="AW74" i="23"/>
  <c r="BA74" i="23" s="1"/>
  <c r="AX74" i="23"/>
  <c r="BB74" i="23" s="1"/>
  <c r="AY74" i="23"/>
  <c r="BD74" i="23" s="1"/>
  <c r="AQ5" i="23"/>
  <c r="AS5" i="23"/>
  <c r="AT5" i="23"/>
  <c r="AU5" i="23"/>
  <c r="E76" i="23"/>
  <c r="E77" i="23" s="1"/>
  <c r="AW75" i="23"/>
  <c r="BA75" i="23" s="1"/>
  <c r="AX75" i="23"/>
  <c r="BB75" i="23" s="1"/>
  <c r="AY75" i="23"/>
  <c r="BD75" i="23" s="1"/>
  <c r="BE74" i="23"/>
  <c r="Y73" i="23"/>
  <c r="AC73" i="23" s="1"/>
  <c r="Z73" i="23"/>
  <c r="E7" i="23"/>
  <c r="AW6" i="23"/>
  <c r="BA6" i="23" s="1"/>
  <c r="AX6" i="23"/>
  <c r="BB6" i="23" s="1"/>
  <c r="AY6" i="23"/>
  <c r="BD6" i="23" s="1"/>
  <c r="C75" i="23"/>
  <c r="BE75" i="23"/>
  <c r="BF75" i="23"/>
  <c r="M37" i="22"/>
  <c r="AQ5" i="22"/>
  <c r="AS5" i="22"/>
  <c r="AU5" i="22"/>
  <c r="N37" i="22"/>
  <c r="AX6" i="22"/>
  <c r="AY6" i="22"/>
  <c r="BC6" i="22" s="1"/>
  <c r="BF6" i="22"/>
  <c r="C6" i="22"/>
  <c r="E7" i="22"/>
  <c r="AZ6" i="22"/>
  <c r="BE6" i="22" s="1"/>
  <c r="C38" i="22"/>
  <c r="BF38" i="22"/>
  <c r="AX38" i="22"/>
  <c r="P38" i="22"/>
  <c r="AY38" i="22"/>
  <c r="BC38" i="22" s="1"/>
  <c r="AZ38" i="22"/>
  <c r="BE38" i="22" s="1"/>
  <c r="E39" i="22"/>
  <c r="Y5" i="25"/>
  <c r="O5" i="25"/>
  <c r="AR75" i="14"/>
  <c r="BE76" i="14"/>
  <c r="AY76" i="14"/>
  <c r="BD76" i="14" s="1"/>
  <c r="AX76" i="14"/>
  <c r="BB76" i="14" s="1"/>
  <c r="C76" i="14"/>
  <c r="AR73" i="14"/>
  <c r="E77" i="14"/>
  <c r="E78" i="14" s="1"/>
  <c r="AW76" i="14"/>
  <c r="BA76" i="14" s="1"/>
  <c r="G5" i="13"/>
  <c r="H5" i="13" s="1"/>
  <c r="F1" i="2"/>
  <c r="AR12" i="3"/>
  <c r="G5" i="14"/>
  <c r="H5" i="14" s="1"/>
  <c r="AU5" i="13"/>
  <c r="AS5" i="18"/>
  <c r="AS5" i="12"/>
  <c r="AQ5" i="13"/>
  <c r="AZ6" i="17"/>
  <c r="AZ38" i="13"/>
  <c r="BE38" i="13" s="1"/>
  <c r="AX38" i="13"/>
  <c r="AQ6" i="14"/>
  <c r="C38" i="13"/>
  <c r="AR38" i="13" s="1"/>
  <c r="E39" i="13"/>
  <c r="AX39" i="13" s="1"/>
  <c r="BF38" i="13"/>
  <c r="AU6" i="14"/>
  <c r="AY38" i="13"/>
  <c r="BC38" i="13" s="1"/>
  <c r="AU5" i="12"/>
  <c r="C6" i="18"/>
  <c r="AZ6" i="12"/>
  <c r="BE6" i="12" s="1"/>
  <c r="AX6" i="17"/>
  <c r="C6" i="17"/>
  <c r="AX6" i="13"/>
  <c r="AS5" i="13"/>
  <c r="AQ5" i="14"/>
  <c r="E7" i="13"/>
  <c r="E8" i="13" s="1"/>
  <c r="AZ8" i="13" s="1"/>
  <c r="BE8" i="13" s="1"/>
  <c r="H5" i="17"/>
  <c r="AT5" i="13"/>
  <c r="AQ5" i="18"/>
  <c r="AU5" i="14"/>
  <c r="AY6" i="13"/>
  <c r="BC6" i="13" s="1"/>
  <c r="AS5" i="14"/>
  <c r="E7" i="12"/>
  <c r="AX6" i="12"/>
  <c r="C6" i="12"/>
  <c r="BF6" i="12"/>
  <c r="BF7" i="14"/>
  <c r="AT5" i="14"/>
  <c r="AX7" i="14"/>
  <c r="BB7" i="14" s="1"/>
  <c r="BF6" i="13"/>
  <c r="C6" i="13"/>
  <c r="AQ6" i="13" s="1"/>
  <c r="E8" i="14"/>
  <c r="BE8" i="14" s="1"/>
  <c r="J38" i="12"/>
  <c r="AZ6" i="13"/>
  <c r="BE6" i="13" s="1"/>
  <c r="AX8" i="15"/>
  <c r="E7" i="18"/>
  <c r="C7" i="18" s="1"/>
  <c r="E8" i="19"/>
  <c r="C8" i="19" s="1"/>
  <c r="C7" i="15"/>
  <c r="AZ8" i="15"/>
  <c r="AZ6" i="18"/>
  <c r="AW7" i="14"/>
  <c r="BA7" i="14" s="1"/>
  <c r="C7" i="14"/>
  <c r="AU7" i="14" s="1"/>
  <c r="AZ7" i="15"/>
  <c r="AY7" i="14"/>
  <c r="BD7" i="14" s="1"/>
  <c r="E9" i="15"/>
  <c r="E10" i="15" s="1"/>
  <c r="AZ7" i="19"/>
  <c r="AR37" i="13"/>
  <c r="AX7" i="15"/>
  <c r="C7" i="19"/>
  <c r="AR7" i="19" s="1"/>
  <c r="U40" i="12"/>
  <c r="U40" i="13"/>
  <c r="AA40" i="12"/>
  <c r="I40" i="12"/>
  <c r="AA40" i="13"/>
  <c r="I40" i="13"/>
  <c r="AB40" i="12"/>
  <c r="V40" i="13"/>
  <c r="O40" i="13"/>
  <c r="AB40" i="13"/>
  <c r="AA76" i="14"/>
  <c r="I76" i="14"/>
  <c r="V40" i="12"/>
  <c r="U76" i="14"/>
  <c r="O40" i="12"/>
  <c r="O76" i="14"/>
  <c r="AB8" i="17"/>
  <c r="O8" i="17"/>
  <c r="V8" i="17"/>
  <c r="U8" i="17"/>
  <c r="V76" i="14"/>
  <c r="AA8" i="19"/>
  <c r="I8" i="19"/>
  <c r="AA8" i="17"/>
  <c r="AB8" i="19"/>
  <c r="U8" i="19"/>
  <c r="AB76" i="14"/>
  <c r="I8" i="17"/>
  <c r="V8" i="19"/>
  <c r="O8" i="19"/>
  <c r="AZ8" i="16"/>
  <c r="E9" i="16"/>
  <c r="AX8" i="16"/>
  <c r="BD8" i="16"/>
  <c r="C8" i="16"/>
  <c r="C7" i="17"/>
  <c r="AX7" i="17"/>
  <c r="AZ7" i="17"/>
  <c r="E8" i="17"/>
  <c r="Y10" i="3"/>
  <c r="AQ13" i="3"/>
  <c r="BC9" i="3"/>
  <c r="AE10" i="3"/>
  <c r="AW13" i="3"/>
  <c r="A11" i="3"/>
  <c r="BI11" i="3" s="1"/>
  <c r="BJ11" i="3" s="1"/>
  <c r="G12" i="3"/>
  <c r="AV11" i="3"/>
  <c r="AX11" i="3" s="1"/>
  <c r="V11" i="3"/>
  <c r="X11" i="3" s="1"/>
  <c r="H10" i="3"/>
  <c r="B554" i="4"/>
  <c r="B555" i="4" s="1"/>
  <c r="F13" i="9" s="1"/>
  <c r="M141" i="4"/>
  <c r="N139" i="4"/>
  <c r="N141" i="4" s="1"/>
  <c r="M53" i="4"/>
  <c r="N52" i="4"/>
  <c r="O52" i="4" s="1"/>
  <c r="E54" i="4"/>
  <c r="F53" i="4"/>
  <c r="G53" i="4" s="1"/>
  <c r="D141" i="4"/>
  <c r="E139" i="4"/>
  <c r="F3" i="2" l="1"/>
  <c r="P10" i="3"/>
  <c r="N37" i="12"/>
  <c r="AO37" i="12" s="1"/>
  <c r="AD73" i="23"/>
  <c r="AT73" i="23" s="1"/>
  <c r="N37" i="13"/>
  <c r="AP37" i="13" s="1"/>
  <c r="G5" i="29"/>
  <c r="K5" i="29" s="1"/>
  <c r="H5" i="29"/>
  <c r="AD37" i="13"/>
  <c r="AT37" i="13" s="1"/>
  <c r="J6" i="29"/>
  <c r="S37" i="21"/>
  <c r="W37" i="21" s="1"/>
  <c r="R38" i="21" s="1"/>
  <c r="AF37" i="12"/>
  <c r="G37" i="21"/>
  <c r="K37" i="21" s="1"/>
  <c r="F38" i="21" s="1"/>
  <c r="I38" i="21" s="1"/>
  <c r="AF73" i="14"/>
  <c r="G73" i="23"/>
  <c r="K73" i="23" s="1"/>
  <c r="F74" i="23" s="1"/>
  <c r="M73" i="23"/>
  <c r="Q73" i="23" s="1"/>
  <c r="L74" i="23" s="1"/>
  <c r="AF37" i="13"/>
  <c r="AD5" i="28"/>
  <c r="AT5" i="28" s="1"/>
  <c r="AD5" i="29"/>
  <c r="AT5" i="29" s="1"/>
  <c r="Q37" i="22"/>
  <c r="L38" i="22" s="1"/>
  <c r="Q37" i="21"/>
  <c r="AD5" i="17"/>
  <c r="AT5" i="17" s="1"/>
  <c r="AF37" i="22"/>
  <c r="Y37" i="21"/>
  <c r="AC37" i="21" s="1"/>
  <c r="X38" i="21" s="1"/>
  <c r="AF37" i="21"/>
  <c r="AD37" i="22"/>
  <c r="AT37" i="22" s="1"/>
  <c r="S73" i="23"/>
  <c r="W73" i="23" s="1"/>
  <c r="R74" i="23" s="1"/>
  <c r="Y37" i="22"/>
  <c r="AC37" i="22" s="1"/>
  <c r="X38" i="22" s="1"/>
  <c r="AA38" i="22" s="1"/>
  <c r="G37" i="22"/>
  <c r="K37" i="22" s="1"/>
  <c r="F38" i="22" s="1"/>
  <c r="I38" i="22" s="1"/>
  <c r="AR38" i="22" s="1"/>
  <c r="S37" i="22"/>
  <c r="W37" i="22" s="1"/>
  <c r="R38" i="22" s="1"/>
  <c r="AD37" i="21"/>
  <c r="AT37" i="21" s="1"/>
  <c r="J74" i="23"/>
  <c r="AO5" i="17"/>
  <c r="P6" i="17"/>
  <c r="AP5" i="19"/>
  <c r="T37" i="22"/>
  <c r="J6" i="19"/>
  <c r="J38" i="22"/>
  <c r="G5" i="25"/>
  <c r="AL5" i="25" s="1"/>
  <c r="S5" i="28"/>
  <c r="W5" i="28" s="1"/>
  <c r="R6" i="28" s="1"/>
  <c r="T6" i="28" s="1"/>
  <c r="Z37" i="21"/>
  <c r="H37" i="22"/>
  <c r="AO37" i="22" s="1"/>
  <c r="N73" i="23"/>
  <c r="AP73" i="23" s="1"/>
  <c r="P74" i="23"/>
  <c r="J38" i="13"/>
  <c r="N73" i="14"/>
  <c r="AO73" i="14" s="1"/>
  <c r="M5" i="29"/>
  <c r="Q5" i="29" s="1"/>
  <c r="L6" i="29" s="1"/>
  <c r="Z5" i="17"/>
  <c r="N5" i="29"/>
  <c r="T5" i="19"/>
  <c r="P6" i="29"/>
  <c r="M5" i="28"/>
  <c r="Q5" i="28" s="1"/>
  <c r="L6" i="28" s="1"/>
  <c r="O6" i="28" s="1"/>
  <c r="H5" i="28"/>
  <c r="J6" i="28"/>
  <c r="N5" i="28"/>
  <c r="AO5" i="19"/>
  <c r="T73" i="14"/>
  <c r="P6" i="28"/>
  <c r="Z5" i="19"/>
  <c r="J74" i="14"/>
  <c r="N5" i="25"/>
  <c r="AP5" i="25" s="1"/>
  <c r="G5" i="28"/>
  <c r="K5" i="28" s="1"/>
  <c r="H37" i="21"/>
  <c r="AP37" i="21" s="1"/>
  <c r="P6" i="19"/>
  <c r="T5" i="25"/>
  <c r="T37" i="12"/>
  <c r="S5" i="29"/>
  <c r="S5" i="25"/>
  <c r="V6" i="28"/>
  <c r="Z6" i="28"/>
  <c r="AB6" i="28"/>
  <c r="F68" i="2"/>
  <c r="F75" i="2"/>
  <c r="AM11" i="3"/>
  <c r="F41" i="2"/>
  <c r="AZ39" i="12"/>
  <c r="BE39" i="12" s="1"/>
  <c r="C39" i="12"/>
  <c r="AY39" i="12"/>
  <c r="BC39" i="12" s="1"/>
  <c r="E40" i="12"/>
  <c r="AX39" i="12"/>
  <c r="BF39" i="12"/>
  <c r="BG39" i="12"/>
  <c r="AS6" i="12"/>
  <c r="AL11" i="3"/>
  <c r="AH9" i="3"/>
  <c r="AH10" i="3" s="1"/>
  <c r="BD10" i="3" s="1"/>
  <c r="O141" i="4"/>
  <c r="F35" i="30" s="1"/>
  <c r="AQ6" i="24" s="1"/>
  <c r="F13" i="30"/>
  <c r="BB5" i="21" s="1"/>
  <c r="AN11" i="20"/>
  <c r="P11" i="20"/>
  <c r="BB38" i="22"/>
  <c r="AY5" i="25"/>
  <c r="AY6" i="28"/>
  <c r="BB38" i="21"/>
  <c r="AY5" i="28"/>
  <c r="AY5" i="29"/>
  <c r="O12" i="20"/>
  <c r="AQ11" i="20"/>
  <c r="AR11" i="20" s="1"/>
  <c r="BB37" i="21"/>
  <c r="AY7" i="12"/>
  <c r="BC7" i="12" s="1"/>
  <c r="AG10" i="3"/>
  <c r="H5" i="21"/>
  <c r="AL5" i="21" s="1"/>
  <c r="AM5" i="21" s="1"/>
  <c r="BF39" i="21"/>
  <c r="BG39" i="21"/>
  <c r="AX39" i="21"/>
  <c r="BB39" i="21" s="1"/>
  <c r="C39" i="21"/>
  <c r="AY39" i="21"/>
  <c r="BC39" i="21" s="1"/>
  <c r="E40" i="21"/>
  <c r="AZ39" i="21"/>
  <c r="BE39" i="21" s="1"/>
  <c r="AS6" i="21"/>
  <c r="AU6" i="21"/>
  <c r="X6" i="29"/>
  <c r="BF7" i="21"/>
  <c r="BG7" i="21"/>
  <c r="C7" i="21"/>
  <c r="AX7" i="21"/>
  <c r="AY7" i="21"/>
  <c r="BC7" i="21" s="1"/>
  <c r="AZ7" i="21"/>
  <c r="BE7" i="21" s="1"/>
  <c r="E8" i="21"/>
  <c r="AY6" i="29"/>
  <c r="C7" i="29"/>
  <c r="AX7" i="29"/>
  <c r="AZ7" i="29"/>
  <c r="E8" i="29"/>
  <c r="AQ7" i="26"/>
  <c r="AS7" i="26"/>
  <c r="AU7" i="26"/>
  <c r="C8" i="26"/>
  <c r="AX8" i="26"/>
  <c r="AZ8" i="26"/>
  <c r="E9" i="26"/>
  <c r="AY6" i="25"/>
  <c r="Y6" i="28"/>
  <c r="AC6" i="28" s="1"/>
  <c r="X7" i="28" s="1"/>
  <c r="AY7" i="28"/>
  <c r="AZ8" i="28"/>
  <c r="C8" i="28"/>
  <c r="AX8" i="28"/>
  <c r="E9" i="28"/>
  <c r="P6" i="25"/>
  <c r="AS6" i="23"/>
  <c r="AU6" i="23"/>
  <c r="AQ6" i="23"/>
  <c r="BA7" i="25"/>
  <c r="BB7" i="25"/>
  <c r="BC7" i="25"/>
  <c r="C7" i="25"/>
  <c r="AX7" i="25"/>
  <c r="AZ7" i="25"/>
  <c r="BD7" i="25"/>
  <c r="E8" i="25"/>
  <c r="J6" i="25"/>
  <c r="AX8" i="24"/>
  <c r="C8" i="24"/>
  <c r="AZ8" i="24"/>
  <c r="E9" i="24"/>
  <c r="AS7" i="24"/>
  <c r="AU7" i="24"/>
  <c r="AS7" i="15"/>
  <c r="AU7" i="15"/>
  <c r="C76" i="23"/>
  <c r="BE76" i="23"/>
  <c r="BF76" i="23"/>
  <c r="X74" i="23"/>
  <c r="AA74" i="23" s="1"/>
  <c r="AW7" i="23"/>
  <c r="BA7" i="23" s="1"/>
  <c r="AX7" i="23"/>
  <c r="BB7" i="23" s="1"/>
  <c r="AY7" i="23"/>
  <c r="BD7" i="23" s="1"/>
  <c r="E8" i="23"/>
  <c r="C7" i="23"/>
  <c r="BF7" i="23"/>
  <c r="BE7" i="23"/>
  <c r="AX76" i="23"/>
  <c r="BB76" i="23" s="1"/>
  <c r="AW76" i="23"/>
  <c r="BA76" i="23" s="1"/>
  <c r="AY76" i="23"/>
  <c r="BD76" i="23" s="1"/>
  <c r="AW77" i="23"/>
  <c r="BA77" i="23" s="1"/>
  <c r="AX77" i="23"/>
  <c r="BB77" i="23" s="1"/>
  <c r="AY77" i="23"/>
  <c r="BD77" i="23" s="1"/>
  <c r="H5" i="23"/>
  <c r="C77" i="23"/>
  <c r="BE77" i="23"/>
  <c r="BF77" i="23"/>
  <c r="E78" i="23"/>
  <c r="C39" i="22"/>
  <c r="AX39" i="22"/>
  <c r="BB39" i="22" s="1"/>
  <c r="AY39" i="22"/>
  <c r="BC39" i="22" s="1"/>
  <c r="BG39" i="22"/>
  <c r="BF39" i="22"/>
  <c r="E40" i="22"/>
  <c r="AZ39" i="22"/>
  <c r="BE39" i="22" s="1"/>
  <c r="AU6" i="22"/>
  <c r="AQ6" i="22"/>
  <c r="AS6" i="22"/>
  <c r="F6" i="22"/>
  <c r="AX7" i="22"/>
  <c r="AY7" i="22"/>
  <c r="BC7" i="22" s="1"/>
  <c r="BF7" i="22"/>
  <c r="BG7" i="22"/>
  <c r="C7" i="22"/>
  <c r="AZ7" i="22"/>
  <c r="BE7" i="22" s="1"/>
  <c r="E8" i="22"/>
  <c r="AR5" i="22"/>
  <c r="AG5" i="28"/>
  <c r="AF6" i="28" s="1"/>
  <c r="AG5" i="29"/>
  <c r="H5" i="26"/>
  <c r="O6" i="25"/>
  <c r="AR76" i="14"/>
  <c r="H5" i="24"/>
  <c r="AG73" i="23"/>
  <c r="BF77" i="14"/>
  <c r="AW77" i="14"/>
  <c r="BA77" i="14" s="1"/>
  <c r="BE77" i="14"/>
  <c r="AY77" i="14"/>
  <c r="BD77" i="14" s="1"/>
  <c r="AX77" i="14"/>
  <c r="BB77" i="14" s="1"/>
  <c r="C77" i="14"/>
  <c r="AR5" i="13"/>
  <c r="G1" i="2"/>
  <c r="AR13" i="3"/>
  <c r="C8" i="13"/>
  <c r="BG39" i="13"/>
  <c r="AR5" i="14"/>
  <c r="C39" i="13"/>
  <c r="AR39" i="13" s="1"/>
  <c r="E8" i="12"/>
  <c r="H5" i="15"/>
  <c r="AQ6" i="18"/>
  <c r="AR8" i="19"/>
  <c r="AS6" i="18"/>
  <c r="BF39" i="13"/>
  <c r="AY39" i="13"/>
  <c r="BC39" i="13" s="1"/>
  <c r="E40" i="13"/>
  <c r="AX40" i="13" s="1"/>
  <c r="AZ7" i="13"/>
  <c r="BE7" i="13" s="1"/>
  <c r="AZ9" i="15"/>
  <c r="AU6" i="18"/>
  <c r="AZ39" i="13"/>
  <c r="BE39" i="13" s="1"/>
  <c r="BF7" i="12"/>
  <c r="AX8" i="13"/>
  <c r="AY8" i="13"/>
  <c r="BC8" i="13" s="1"/>
  <c r="AY7" i="13"/>
  <c r="BC7" i="13" s="1"/>
  <c r="C7" i="13"/>
  <c r="BG8" i="13"/>
  <c r="AP5" i="17"/>
  <c r="H5" i="12"/>
  <c r="F6" i="12" s="1"/>
  <c r="AQ7" i="14"/>
  <c r="AW8" i="14"/>
  <c r="BA8" i="14" s="1"/>
  <c r="BF8" i="14"/>
  <c r="AX8" i="14"/>
  <c r="BB8" i="14" s="1"/>
  <c r="AX7" i="13"/>
  <c r="E9" i="13"/>
  <c r="BF9" i="13" s="1"/>
  <c r="E9" i="14"/>
  <c r="BF9" i="14" s="1"/>
  <c r="F6" i="18"/>
  <c r="G6" i="18" s="1"/>
  <c r="AY8" i="14"/>
  <c r="BD8" i="14" s="1"/>
  <c r="AR5" i="18"/>
  <c r="C8" i="14"/>
  <c r="AU8" i="14" s="1"/>
  <c r="BF7" i="13"/>
  <c r="BF8" i="13"/>
  <c r="AU6" i="13"/>
  <c r="BG7" i="13"/>
  <c r="AU6" i="12"/>
  <c r="AS6" i="13"/>
  <c r="BG7" i="12"/>
  <c r="AS7" i="14"/>
  <c r="AX7" i="12"/>
  <c r="C7" i="12"/>
  <c r="AZ7" i="12"/>
  <c r="BE7" i="12" s="1"/>
  <c r="E9" i="19"/>
  <c r="E10" i="19" s="1"/>
  <c r="E8" i="18"/>
  <c r="C8" i="18" s="1"/>
  <c r="AZ7" i="18"/>
  <c r="AX9" i="15"/>
  <c r="AX7" i="18"/>
  <c r="AZ8" i="19"/>
  <c r="AX8" i="19"/>
  <c r="C9" i="15"/>
  <c r="V41" i="12"/>
  <c r="V41" i="13"/>
  <c r="AB41" i="12"/>
  <c r="O41" i="12"/>
  <c r="AB41" i="13"/>
  <c r="O41" i="13"/>
  <c r="AA41" i="12"/>
  <c r="I41" i="12"/>
  <c r="U41" i="13"/>
  <c r="I41" i="13"/>
  <c r="U77" i="14"/>
  <c r="O77" i="14"/>
  <c r="AB77" i="14"/>
  <c r="I77" i="14"/>
  <c r="V77" i="14"/>
  <c r="U9" i="17"/>
  <c r="AA41" i="13"/>
  <c r="O9" i="17"/>
  <c r="AA77" i="14"/>
  <c r="AB9" i="17"/>
  <c r="I9" i="17"/>
  <c r="V9" i="17"/>
  <c r="AB9" i="19"/>
  <c r="O9" i="19"/>
  <c r="V9" i="19"/>
  <c r="AA9" i="17"/>
  <c r="U41" i="12"/>
  <c r="U9" i="19"/>
  <c r="I9" i="19"/>
  <c r="AA9" i="19"/>
  <c r="AX9" i="16"/>
  <c r="AZ9" i="16"/>
  <c r="C9" i="16"/>
  <c r="E10" i="16"/>
  <c r="BD9" i="16"/>
  <c r="AL5" i="13"/>
  <c r="F6" i="13"/>
  <c r="AS7" i="18"/>
  <c r="AU7" i="18"/>
  <c r="AQ7" i="18"/>
  <c r="F6" i="14"/>
  <c r="AL5" i="14"/>
  <c r="AX8" i="17"/>
  <c r="AZ8" i="17"/>
  <c r="C8" i="17"/>
  <c r="E9" i="17"/>
  <c r="AM5" i="18"/>
  <c r="AN5" i="18" s="1"/>
  <c r="F18" i="9"/>
  <c r="AZ10" i="15"/>
  <c r="C10" i="15"/>
  <c r="AX10" i="15"/>
  <c r="E11" i="15"/>
  <c r="E79" i="14"/>
  <c r="BE78" i="14"/>
  <c r="AW78" i="14"/>
  <c r="BA78" i="14" s="1"/>
  <c r="AY78" i="14"/>
  <c r="BD78" i="14" s="1"/>
  <c r="BF78" i="14"/>
  <c r="C78" i="14"/>
  <c r="AX78" i="14"/>
  <c r="BB78" i="14" s="1"/>
  <c r="H11" i="3"/>
  <c r="V12" i="3"/>
  <c r="X12" i="3" s="1"/>
  <c r="G13" i="3"/>
  <c r="AV12" i="3"/>
  <c r="AX12" i="3" s="1"/>
  <c r="AQ14" i="3"/>
  <c r="Y11" i="3"/>
  <c r="A12" i="3"/>
  <c r="BI12" i="3" s="1"/>
  <c r="BJ12" i="3" s="1"/>
  <c r="AW14" i="3"/>
  <c r="BC10" i="3"/>
  <c r="AE11" i="3"/>
  <c r="AN14" i="3"/>
  <c r="N53" i="4"/>
  <c r="O53" i="4" s="1"/>
  <c r="M54" i="4"/>
  <c r="F54" i="4"/>
  <c r="G54" i="4" s="1"/>
  <c r="E55" i="4"/>
  <c r="E141" i="4"/>
  <c r="F139" i="4"/>
  <c r="F141" i="4" s="1"/>
  <c r="F12" i="2" l="1"/>
  <c r="F7" i="2"/>
  <c r="F8" i="2" s="1"/>
  <c r="G3" i="2"/>
  <c r="G7" i="2" s="1"/>
  <c r="F13" i="2"/>
  <c r="F15" i="2"/>
  <c r="F14" i="2"/>
  <c r="AF74" i="23"/>
  <c r="AF6" i="29"/>
  <c r="P11" i="3"/>
  <c r="AP37" i="12"/>
  <c r="AO37" i="13"/>
  <c r="AP5" i="29"/>
  <c r="AE37" i="21"/>
  <c r="AD38" i="21" s="1"/>
  <c r="AT38" i="21" s="1"/>
  <c r="AO73" i="23"/>
  <c r="AS37" i="21"/>
  <c r="AG37" i="22"/>
  <c r="AF38" i="22" s="1"/>
  <c r="AL37" i="21"/>
  <c r="AM37" i="21" s="1"/>
  <c r="AN37" i="21" s="1"/>
  <c r="AP73" i="14"/>
  <c r="AL73" i="23"/>
  <c r="AM73" i="23" s="1"/>
  <c r="AN73" i="23" s="1"/>
  <c r="AO37" i="21"/>
  <c r="AE37" i="22"/>
  <c r="AD38" i="22" s="1"/>
  <c r="AT38" i="22" s="1"/>
  <c r="AE5" i="29"/>
  <c r="AS37" i="22"/>
  <c r="AU37" i="21"/>
  <c r="AG37" i="21"/>
  <c r="AF38" i="21" s="1"/>
  <c r="AQ37" i="22"/>
  <c r="L38" i="21"/>
  <c r="M38" i="21" s="1"/>
  <c r="I5" i="25"/>
  <c r="Q5" i="25" s="1"/>
  <c r="L6" i="25" s="1"/>
  <c r="AR5" i="25"/>
  <c r="AP37" i="22"/>
  <c r="AE73" i="23"/>
  <c r="AD74" i="23" s="1"/>
  <c r="AT74" i="23" s="1"/>
  <c r="AU37" i="22"/>
  <c r="AO5" i="25"/>
  <c r="AL37" i="22"/>
  <c r="AM37" i="22" s="1"/>
  <c r="W5" i="29"/>
  <c r="R6" i="29" s="1"/>
  <c r="S6" i="29" s="1"/>
  <c r="K5" i="25"/>
  <c r="F6" i="25" s="1"/>
  <c r="AE5" i="28"/>
  <c r="AD6" i="28" s="1"/>
  <c r="AT6" i="28" s="1"/>
  <c r="S6" i="28"/>
  <c r="W6" i="28" s="1"/>
  <c r="R7" i="28" s="1"/>
  <c r="T7" i="28" s="1"/>
  <c r="AO5" i="28"/>
  <c r="AO5" i="29"/>
  <c r="N6" i="28"/>
  <c r="M6" i="28"/>
  <c r="AL5" i="29"/>
  <c r="AM5" i="29" s="1"/>
  <c r="P7" i="28"/>
  <c r="AL5" i="28"/>
  <c r="AM5" i="28" s="1"/>
  <c r="AP5" i="28"/>
  <c r="M38" i="22"/>
  <c r="O38" i="22"/>
  <c r="T74" i="23"/>
  <c r="U74" i="23"/>
  <c r="V7" i="28"/>
  <c r="Y6" i="29"/>
  <c r="AC6" i="29" s="1"/>
  <c r="X7" i="29" s="1"/>
  <c r="AA6" i="29"/>
  <c r="Z7" i="28"/>
  <c r="AB7" i="28"/>
  <c r="O38" i="21"/>
  <c r="T38" i="21"/>
  <c r="V38" i="21"/>
  <c r="Y38" i="21"/>
  <c r="AC38" i="21" s="1"/>
  <c r="X39" i="21" s="1"/>
  <c r="AB39" i="21" s="1"/>
  <c r="AB38" i="21"/>
  <c r="H74" i="23"/>
  <c r="I74" i="23"/>
  <c r="AR74" i="23" s="1"/>
  <c r="T38" i="22"/>
  <c r="U38" i="22"/>
  <c r="M6" i="29"/>
  <c r="O6" i="29"/>
  <c r="U6" i="29"/>
  <c r="N74" i="23"/>
  <c r="O74" i="23"/>
  <c r="G68" i="2"/>
  <c r="G75" i="2"/>
  <c r="G41" i="2"/>
  <c r="AZ40" i="12"/>
  <c r="BE40" i="12" s="1"/>
  <c r="AX40" i="12"/>
  <c r="BB40" i="12" s="1"/>
  <c r="C40" i="12"/>
  <c r="BG40" i="12"/>
  <c r="AY40" i="12"/>
  <c r="BC40" i="12" s="1"/>
  <c r="BF40" i="12"/>
  <c r="E41" i="12"/>
  <c r="AS7" i="12"/>
  <c r="BD9" i="3"/>
  <c r="AH11" i="3"/>
  <c r="BD11" i="3" s="1"/>
  <c r="AQ37" i="21"/>
  <c r="AQ7" i="24"/>
  <c r="AQ5" i="21"/>
  <c r="AQ6" i="21"/>
  <c r="AQ5" i="24"/>
  <c r="AY7" i="24"/>
  <c r="BB7" i="22"/>
  <c r="BB7" i="21"/>
  <c r="BB6" i="21"/>
  <c r="BB5" i="22"/>
  <c r="AY6" i="24"/>
  <c r="AR77" i="14"/>
  <c r="BB6" i="22"/>
  <c r="AY7" i="26"/>
  <c r="AY6" i="26"/>
  <c r="AY5" i="26"/>
  <c r="AL12" i="3"/>
  <c r="AY5" i="24"/>
  <c r="AM12" i="3"/>
  <c r="P12" i="20"/>
  <c r="AN12" i="20"/>
  <c r="O13" i="20"/>
  <c r="AQ12" i="20"/>
  <c r="AR12" i="20" s="1"/>
  <c r="C8" i="12"/>
  <c r="AG11" i="3"/>
  <c r="F6" i="21"/>
  <c r="G6" i="21" s="1"/>
  <c r="AR6" i="21" s="1"/>
  <c r="S38" i="21"/>
  <c r="W38" i="21" s="1"/>
  <c r="R39" i="21" s="1"/>
  <c r="Z38" i="21"/>
  <c r="AY7" i="29"/>
  <c r="Z6" i="29"/>
  <c r="H38" i="21"/>
  <c r="G38" i="21"/>
  <c r="BF8" i="21"/>
  <c r="BG8" i="21"/>
  <c r="C8" i="21"/>
  <c r="AX8" i="21"/>
  <c r="BB8" i="21" s="1"/>
  <c r="AY8" i="21"/>
  <c r="BC8" i="21" s="1"/>
  <c r="AZ8" i="21"/>
  <c r="BE8" i="21" s="1"/>
  <c r="E9" i="21"/>
  <c r="AX40" i="21"/>
  <c r="BB40" i="21" s="1"/>
  <c r="AY40" i="21"/>
  <c r="BC40" i="21" s="1"/>
  <c r="C40" i="21"/>
  <c r="BG40" i="21"/>
  <c r="BF40" i="21"/>
  <c r="AZ40" i="21"/>
  <c r="BE40" i="21" s="1"/>
  <c r="E41" i="21"/>
  <c r="AS7" i="21"/>
  <c r="AQ7" i="21"/>
  <c r="AU7" i="21"/>
  <c r="J39" i="21"/>
  <c r="P7" i="29"/>
  <c r="N6" i="29"/>
  <c r="AQ5" i="29"/>
  <c r="AU5" i="29"/>
  <c r="AS5" i="29"/>
  <c r="F6" i="29"/>
  <c r="I6" i="29" s="1"/>
  <c r="AR6" i="29" s="1"/>
  <c r="AX8" i="29"/>
  <c r="AZ8" i="29"/>
  <c r="C8" i="29"/>
  <c r="E9" i="29"/>
  <c r="AY8" i="26"/>
  <c r="AQ8" i="26"/>
  <c r="AS8" i="26"/>
  <c r="AU8" i="26"/>
  <c r="AL5" i="26"/>
  <c r="AM5" i="26" s="1"/>
  <c r="F6" i="26"/>
  <c r="C9" i="26"/>
  <c r="AX9" i="26"/>
  <c r="AZ9" i="26"/>
  <c r="E10" i="26"/>
  <c r="AQ5" i="28"/>
  <c r="AU5" i="28"/>
  <c r="AS5" i="28"/>
  <c r="Y7" i="28"/>
  <c r="AC7" i="28" s="1"/>
  <c r="X8" i="28" s="1"/>
  <c r="AY8" i="28"/>
  <c r="F6" i="28"/>
  <c r="I6" i="28" s="1"/>
  <c r="AX9" i="28"/>
  <c r="AZ9" i="28"/>
  <c r="C9" i="28"/>
  <c r="E10" i="28"/>
  <c r="AY7" i="25"/>
  <c r="S38" i="22"/>
  <c r="W38" i="22" s="1"/>
  <c r="R39" i="22" s="1"/>
  <c r="AY8" i="24"/>
  <c r="BA8" i="25"/>
  <c r="BB8" i="25"/>
  <c r="BC8" i="25"/>
  <c r="AX8" i="25"/>
  <c r="AZ8" i="25"/>
  <c r="BD8" i="25"/>
  <c r="C8" i="25"/>
  <c r="E9" i="25"/>
  <c r="E10" i="25" s="1"/>
  <c r="AM5" i="25"/>
  <c r="AN5" i="25" s="1"/>
  <c r="AS8" i="24"/>
  <c r="AQ8" i="24"/>
  <c r="AU8" i="24"/>
  <c r="AZ9" i="24"/>
  <c r="AX9" i="24"/>
  <c r="C9" i="24"/>
  <c r="E10" i="24"/>
  <c r="F6" i="24"/>
  <c r="AL5" i="24"/>
  <c r="AM5" i="24" s="1"/>
  <c r="S74" i="23"/>
  <c r="W74" i="23" s="1"/>
  <c r="R75" i="23" s="1"/>
  <c r="AS9" i="15"/>
  <c r="AU9" i="15"/>
  <c r="AS10" i="15"/>
  <c r="AU10" i="15"/>
  <c r="AL5" i="15"/>
  <c r="AM5" i="15" s="1"/>
  <c r="AN5" i="15" s="1"/>
  <c r="M74" i="23"/>
  <c r="N38" i="22"/>
  <c r="P75" i="23"/>
  <c r="AQ73" i="23"/>
  <c r="AS73" i="23"/>
  <c r="AU73" i="23"/>
  <c r="Z74" i="23"/>
  <c r="Y74" i="23"/>
  <c r="AC74" i="23" s="1"/>
  <c r="X75" i="23" s="1"/>
  <c r="AA75" i="23" s="1"/>
  <c r="J75" i="23"/>
  <c r="G74" i="23"/>
  <c r="AW78" i="23"/>
  <c r="BA78" i="23" s="1"/>
  <c r="AX78" i="23"/>
  <c r="BB78" i="23" s="1"/>
  <c r="AY78" i="23"/>
  <c r="BD78" i="23" s="1"/>
  <c r="AW8" i="23"/>
  <c r="BA8" i="23" s="1"/>
  <c r="AX8" i="23"/>
  <c r="BB8" i="23" s="1"/>
  <c r="AY8" i="23"/>
  <c r="BD8" i="23" s="1"/>
  <c r="E9" i="23"/>
  <c r="C8" i="23"/>
  <c r="BF8" i="23"/>
  <c r="BE8" i="23"/>
  <c r="AQ7" i="23"/>
  <c r="AS7" i="23"/>
  <c r="AU7" i="23"/>
  <c r="AL5" i="23"/>
  <c r="AM5" i="23" s="1"/>
  <c r="P39" i="22"/>
  <c r="F6" i="23"/>
  <c r="C78" i="23"/>
  <c r="BE78" i="23"/>
  <c r="BF78" i="23"/>
  <c r="E79" i="23"/>
  <c r="Z38" i="22"/>
  <c r="H38" i="22"/>
  <c r="Y38" i="22"/>
  <c r="AC38" i="22" s="1"/>
  <c r="X39" i="22" s="1"/>
  <c r="J39" i="22"/>
  <c r="G38" i="22"/>
  <c r="K38" i="22" s="1"/>
  <c r="AU7" i="22"/>
  <c r="AQ7" i="22"/>
  <c r="AS7" i="22"/>
  <c r="AX8" i="22"/>
  <c r="BB8" i="22" s="1"/>
  <c r="AY8" i="22"/>
  <c r="BC8" i="22" s="1"/>
  <c r="BF8" i="22"/>
  <c r="BG8" i="22"/>
  <c r="C8" i="22"/>
  <c r="AZ8" i="22"/>
  <c r="BE8" i="22" s="1"/>
  <c r="E9" i="22"/>
  <c r="G6" i="22"/>
  <c r="AR6" i="22" s="1"/>
  <c r="C40" i="22"/>
  <c r="BF40" i="22"/>
  <c r="BG40" i="22"/>
  <c r="AX40" i="22"/>
  <c r="BB40" i="22" s="1"/>
  <c r="AY40" i="22"/>
  <c r="BC40" i="22" s="1"/>
  <c r="AZ40" i="22"/>
  <c r="BE40" i="22" s="1"/>
  <c r="E41" i="22"/>
  <c r="AN5" i="22"/>
  <c r="AG6" i="28"/>
  <c r="AF7" i="28" s="1"/>
  <c r="O7" i="25"/>
  <c r="AN5" i="21"/>
  <c r="H1" i="2"/>
  <c r="AR14" i="3"/>
  <c r="AU8" i="13"/>
  <c r="AQ8" i="13"/>
  <c r="AS8" i="13"/>
  <c r="AZ40" i="13"/>
  <c r="BE40" i="13" s="1"/>
  <c r="E41" i="13"/>
  <c r="AY41" i="13" s="1"/>
  <c r="BC41" i="13" s="1"/>
  <c r="BF40" i="13"/>
  <c r="BG40" i="13"/>
  <c r="AZ9" i="19"/>
  <c r="BF8" i="12"/>
  <c r="BG8" i="12"/>
  <c r="AZ8" i="12"/>
  <c r="BE8" i="12" s="1"/>
  <c r="C40" i="13"/>
  <c r="AR40" i="13" s="1"/>
  <c r="AY40" i="13"/>
  <c r="BC40" i="13" s="1"/>
  <c r="E9" i="12"/>
  <c r="AY8" i="12"/>
  <c r="BC8" i="12" s="1"/>
  <c r="C9" i="14"/>
  <c r="AS9" i="14" s="1"/>
  <c r="AX8" i="12"/>
  <c r="BB8" i="12" s="1"/>
  <c r="AX9" i="14"/>
  <c r="BB9" i="14" s="1"/>
  <c r="F6" i="15"/>
  <c r="BE9" i="14"/>
  <c r="AY9" i="14"/>
  <c r="BD9" i="14" s="1"/>
  <c r="E10" i="14"/>
  <c r="BF10" i="14" s="1"/>
  <c r="AU7" i="13"/>
  <c r="AS7" i="13"/>
  <c r="AQ7" i="13"/>
  <c r="BG9" i="13"/>
  <c r="AQ8" i="14"/>
  <c r="AX9" i="19"/>
  <c r="G6" i="12"/>
  <c r="AR6" i="12" s="1"/>
  <c r="AL5" i="12"/>
  <c r="AM5" i="12" s="1"/>
  <c r="AN5" i="12" s="1"/>
  <c r="C9" i="13"/>
  <c r="AU9" i="13" s="1"/>
  <c r="AW9" i="14"/>
  <c r="BA9" i="14" s="1"/>
  <c r="AS8" i="14"/>
  <c r="C9" i="19"/>
  <c r="AR9" i="19" s="1"/>
  <c r="AZ9" i="13"/>
  <c r="BE9" i="13" s="1"/>
  <c r="E10" i="13"/>
  <c r="E11" i="13" s="1"/>
  <c r="AY9" i="13"/>
  <c r="BC9" i="13" s="1"/>
  <c r="AX9" i="13"/>
  <c r="BB9" i="13" s="1"/>
  <c r="AZ8" i="18"/>
  <c r="AU7" i="12"/>
  <c r="AX8" i="18"/>
  <c r="E9" i="18"/>
  <c r="AZ9" i="18" s="1"/>
  <c r="AA42" i="12"/>
  <c r="I42" i="12"/>
  <c r="AA42" i="13"/>
  <c r="I42" i="13"/>
  <c r="U42" i="12"/>
  <c r="U42" i="13"/>
  <c r="AB42" i="12"/>
  <c r="V42" i="12"/>
  <c r="V42" i="13"/>
  <c r="O42" i="12"/>
  <c r="O42" i="13"/>
  <c r="AB42" i="13"/>
  <c r="AA78" i="14"/>
  <c r="I78" i="14"/>
  <c r="AR78" i="14" s="1"/>
  <c r="O78" i="14"/>
  <c r="AB78" i="14"/>
  <c r="V10" i="17"/>
  <c r="U78" i="14"/>
  <c r="AA10" i="17"/>
  <c r="U10" i="17"/>
  <c r="O10" i="17"/>
  <c r="U10" i="19"/>
  <c r="I10" i="17"/>
  <c r="V78" i="14"/>
  <c r="AB10" i="17"/>
  <c r="O10" i="19"/>
  <c r="V10" i="19"/>
  <c r="AB10" i="19"/>
  <c r="I10" i="19"/>
  <c r="AA10" i="19"/>
  <c r="AY9" i="15"/>
  <c r="AX10" i="19"/>
  <c r="C10" i="19"/>
  <c r="AZ10" i="19"/>
  <c r="E11" i="19"/>
  <c r="BD10" i="16"/>
  <c r="E11" i="16"/>
  <c r="C10" i="16"/>
  <c r="AZ10" i="16"/>
  <c r="AX10" i="16"/>
  <c r="AM5" i="13"/>
  <c r="AN5" i="13" s="1"/>
  <c r="G6" i="14"/>
  <c r="AR6" i="14" s="1"/>
  <c r="C9" i="17"/>
  <c r="E10" i="17"/>
  <c r="AZ9" i="17"/>
  <c r="AX9" i="17"/>
  <c r="AM5" i="14"/>
  <c r="AN5" i="14" s="1"/>
  <c r="AU8" i="18"/>
  <c r="AQ8" i="18"/>
  <c r="AS8" i="18"/>
  <c r="G6" i="13"/>
  <c r="AR6" i="13" s="1"/>
  <c r="H6" i="18"/>
  <c r="AR6" i="18"/>
  <c r="BB37" i="13"/>
  <c r="BB39" i="12"/>
  <c r="AY5" i="17"/>
  <c r="AY6" i="16"/>
  <c r="AY5" i="19"/>
  <c r="BB37" i="12"/>
  <c r="BB38" i="12"/>
  <c r="AY5" i="16"/>
  <c r="AY6" i="19"/>
  <c r="BB38" i="13"/>
  <c r="AY7" i="16"/>
  <c r="AY6" i="17"/>
  <c r="AY8" i="16"/>
  <c r="AY7" i="17"/>
  <c r="AY7" i="19"/>
  <c r="BB39" i="13"/>
  <c r="AY8" i="19"/>
  <c r="AY8" i="17"/>
  <c r="AY9" i="16"/>
  <c r="BB40" i="13"/>
  <c r="BB6" i="12"/>
  <c r="AY5" i="18"/>
  <c r="BB5" i="12"/>
  <c r="AY5" i="15"/>
  <c r="BB5" i="13"/>
  <c r="AY6" i="15"/>
  <c r="BB6" i="13"/>
  <c r="AY6" i="18"/>
  <c r="BB7" i="12"/>
  <c r="AY7" i="15"/>
  <c r="BB7" i="13"/>
  <c r="AY7" i="18"/>
  <c r="BB8" i="13"/>
  <c r="AY8" i="15"/>
  <c r="AY10" i="15"/>
  <c r="E12" i="15"/>
  <c r="AX11" i="15"/>
  <c r="AZ11" i="15"/>
  <c r="C11" i="15"/>
  <c r="AY79" i="14"/>
  <c r="BD79" i="14" s="1"/>
  <c r="BE79" i="14"/>
  <c r="AX79" i="14"/>
  <c r="BB79" i="14" s="1"/>
  <c r="C79" i="14"/>
  <c r="E80" i="14"/>
  <c r="BF79" i="14"/>
  <c r="AW79" i="14"/>
  <c r="BA79" i="14" s="1"/>
  <c r="BC11" i="3"/>
  <c r="AE12" i="3"/>
  <c r="H12" i="3"/>
  <c r="AQ15" i="3"/>
  <c r="G14" i="3"/>
  <c r="AV13" i="3"/>
  <c r="AX13" i="3" s="1"/>
  <c r="V13" i="3"/>
  <c r="X13" i="3" s="1"/>
  <c r="AN15" i="3"/>
  <c r="AN16" i="3" s="1"/>
  <c r="AW15" i="3"/>
  <c r="A13" i="3"/>
  <c r="BI13" i="3" s="1"/>
  <c r="BJ13" i="3" s="1"/>
  <c r="Y12" i="3"/>
  <c r="G141" i="4"/>
  <c r="F35" i="9" s="1"/>
  <c r="AQ10" i="15" s="1"/>
  <c r="M55" i="4"/>
  <c r="N54" i="4"/>
  <c r="O54" i="4" s="1"/>
  <c r="F55" i="4"/>
  <c r="G55" i="4" s="1"/>
  <c r="E56" i="4"/>
  <c r="G8" i="2" l="1"/>
  <c r="G13" i="2"/>
  <c r="G12" i="2"/>
  <c r="H3" i="2"/>
  <c r="H7" i="2" s="1"/>
  <c r="G14" i="2"/>
  <c r="G15" i="2"/>
  <c r="AD6" i="29"/>
  <c r="AT6" i="29" s="1"/>
  <c r="P12" i="3"/>
  <c r="P39" i="21"/>
  <c r="AG38" i="21"/>
  <c r="AF39" i="21" s="1"/>
  <c r="Q38" i="21"/>
  <c r="L39" i="21" s="1"/>
  <c r="P40" i="21" s="1"/>
  <c r="N38" i="21"/>
  <c r="AP38" i="21" s="1"/>
  <c r="T6" i="29"/>
  <c r="AU5" i="25"/>
  <c r="AQ5" i="25"/>
  <c r="AS5" i="25"/>
  <c r="AE6" i="28"/>
  <c r="AD7" i="28" s="1"/>
  <c r="AT7" i="28" s="1"/>
  <c r="S7" i="28"/>
  <c r="W7" i="28" s="1"/>
  <c r="R8" i="28" s="1"/>
  <c r="T8" i="28" s="1"/>
  <c r="Q6" i="28"/>
  <c r="L7" i="28" s="1"/>
  <c r="O7" i="28" s="1"/>
  <c r="AN5" i="28"/>
  <c r="AN5" i="29"/>
  <c r="AP74" i="23"/>
  <c r="Q38" i="22"/>
  <c r="L39" i="22" s="1"/>
  <c r="P40" i="22" s="1"/>
  <c r="AG6" i="29"/>
  <c r="AF7" i="29" s="1"/>
  <c r="AO74" i="23"/>
  <c r="O39" i="22"/>
  <c r="T75" i="23"/>
  <c r="U75" i="23"/>
  <c r="O39" i="21"/>
  <c r="T39" i="21"/>
  <c r="V39" i="21"/>
  <c r="Q6" i="29"/>
  <c r="L7" i="29" s="1"/>
  <c r="P8" i="29" s="1"/>
  <c r="Q74" i="23"/>
  <c r="L75" i="23" s="1"/>
  <c r="P76" i="23" s="1"/>
  <c r="S39" i="22"/>
  <c r="W39" i="22" s="1"/>
  <c r="R40" i="22" s="1"/>
  <c r="U39" i="22"/>
  <c r="Z7" i="29"/>
  <c r="AA7" i="29"/>
  <c r="Y39" i="22"/>
  <c r="AC39" i="22" s="1"/>
  <c r="X40" i="22" s="1"/>
  <c r="AA39" i="22"/>
  <c r="V8" i="28"/>
  <c r="Z8" i="28"/>
  <c r="AB8" i="28"/>
  <c r="H68" i="2"/>
  <c r="H75" i="2"/>
  <c r="H41" i="2"/>
  <c r="E42" i="12"/>
  <c r="E43" i="12" s="1"/>
  <c r="BG41" i="12"/>
  <c r="AZ41" i="12"/>
  <c r="BE41" i="12" s="1"/>
  <c r="C41" i="12"/>
  <c r="BF41" i="12"/>
  <c r="AY41" i="12"/>
  <c r="BC41" i="12" s="1"/>
  <c r="AX41" i="12"/>
  <c r="BB41" i="12" s="1"/>
  <c r="AH12" i="3"/>
  <c r="BD12" i="3" s="1"/>
  <c r="P13" i="20"/>
  <c r="AR15" i="3"/>
  <c r="AN13" i="20"/>
  <c r="O14" i="20"/>
  <c r="AQ13" i="20"/>
  <c r="AR13" i="20" s="1"/>
  <c r="AQ9" i="15"/>
  <c r="AQ6" i="15"/>
  <c r="AQ8" i="15"/>
  <c r="AQ5" i="15"/>
  <c r="AQ7" i="15"/>
  <c r="AG12" i="3"/>
  <c r="AG13" i="3" s="1"/>
  <c r="BF9" i="12"/>
  <c r="AS8" i="12"/>
  <c r="AU8" i="12"/>
  <c r="AL38" i="21"/>
  <c r="AM38" i="21" s="1"/>
  <c r="S39" i="21"/>
  <c r="W39" i="21" s="1"/>
  <c r="R40" i="21" s="1"/>
  <c r="V40" i="21" s="1"/>
  <c r="K38" i="21"/>
  <c r="AE38" i="21"/>
  <c r="AD39" i="21" s="1"/>
  <c r="AT39" i="21" s="1"/>
  <c r="Z39" i="21"/>
  <c r="H6" i="21"/>
  <c r="Y39" i="21"/>
  <c r="AC39" i="21" s="1"/>
  <c r="X40" i="21" s="1"/>
  <c r="AB40" i="21" s="1"/>
  <c r="BF41" i="21"/>
  <c r="BG41" i="21"/>
  <c r="AY41" i="21"/>
  <c r="BC41" i="21" s="1"/>
  <c r="AX41" i="21"/>
  <c r="BB41" i="21" s="1"/>
  <c r="C41" i="21"/>
  <c r="E42" i="21"/>
  <c r="AZ41" i="21"/>
  <c r="BE41" i="21" s="1"/>
  <c r="AY9" i="21"/>
  <c r="BC9" i="21" s="1"/>
  <c r="C9" i="21"/>
  <c r="BF9" i="21"/>
  <c r="BG9" i="21"/>
  <c r="AX9" i="21"/>
  <c r="BB9" i="21" s="1"/>
  <c r="E10" i="21"/>
  <c r="AZ9" i="21"/>
  <c r="BE9" i="21" s="1"/>
  <c r="AQ8" i="21"/>
  <c r="AU8" i="21"/>
  <c r="AS8" i="21"/>
  <c r="Y7" i="29"/>
  <c r="AC7" i="29" s="1"/>
  <c r="X8" i="29" s="1"/>
  <c r="AY8" i="29"/>
  <c r="J7" i="29"/>
  <c r="H6" i="29"/>
  <c r="AP6" i="29" s="1"/>
  <c r="C9" i="29"/>
  <c r="AZ9" i="29"/>
  <c r="AX9" i="29"/>
  <c r="E10" i="29"/>
  <c r="AY9" i="26"/>
  <c r="W6" i="29"/>
  <c r="R7" i="29" s="1"/>
  <c r="G6" i="29"/>
  <c r="AS9" i="26"/>
  <c r="AU9" i="26"/>
  <c r="AQ9" i="26"/>
  <c r="G6" i="26"/>
  <c r="AR6" i="26" s="1"/>
  <c r="AZ10" i="26"/>
  <c r="C10" i="26"/>
  <c r="AX10" i="26"/>
  <c r="E11" i="26"/>
  <c r="J7" i="28"/>
  <c r="H6" i="28"/>
  <c r="AP6" i="28" s="1"/>
  <c r="G6" i="28"/>
  <c r="Y8" i="28"/>
  <c r="AC8" i="28" s="1"/>
  <c r="X9" i="28" s="1"/>
  <c r="C10" i="28"/>
  <c r="AX10" i="28"/>
  <c r="AZ10" i="28"/>
  <c r="E11" i="28"/>
  <c r="AY9" i="28"/>
  <c r="AY8" i="25"/>
  <c r="C9" i="25"/>
  <c r="AX9" i="25"/>
  <c r="AZ9" i="25"/>
  <c r="BD9" i="25"/>
  <c r="BC10" i="25"/>
  <c r="BA10" i="25"/>
  <c r="BB10" i="25"/>
  <c r="J7" i="25"/>
  <c r="H6" i="25"/>
  <c r="G6" i="25"/>
  <c r="AR6" i="25" s="1"/>
  <c r="BA9" i="25"/>
  <c r="BB9" i="25"/>
  <c r="BC9" i="25"/>
  <c r="AX10" i="25"/>
  <c r="AZ10" i="25"/>
  <c r="BD10" i="25"/>
  <c r="C10" i="25"/>
  <c r="E11" i="25"/>
  <c r="P7" i="25"/>
  <c r="N6" i="25"/>
  <c r="AX10" i="24"/>
  <c r="C10" i="24"/>
  <c r="AZ10" i="24"/>
  <c r="E11" i="24"/>
  <c r="AG74" i="23"/>
  <c r="AF75" i="23" s="1"/>
  <c r="AQ9" i="24"/>
  <c r="AS9" i="24"/>
  <c r="AU9" i="24"/>
  <c r="AY9" i="24"/>
  <c r="AE74" i="23"/>
  <c r="AD75" i="23" s="1"/>
  <c r="AT75" i="23" s="1"/>
  <c r="S75" i="23"/>
  <c r="W75" i="23" s="1"/>
  <c r="R76" i="23" s="1"/>
  <c r="G6" i="24"/>
  <c r="AR6" i="24" s="1"/>
  <c r="AQ11" i="15"/>
  <c r="AS11" i="15"/>
  <c r="AU11" i="15"/>
  <c r="G6" i="15"/>
  <c r="AR6" i="15" s="1"/>
  <c r="AO38" i="22"/>
  <c r="Z75" i="23"/>
  <c r="Y75" i="23"/>
  <c r="AC75" i="23" s="1"/>
  <c r="X76" i="23" s="1"/>
  <c r="AA76" i="23" s="1"/>
  <c r="K74" i="23"/>
  <c r="AL74" i="23"/>
  <c r="AW79" i="23"/>
  <c r="BA79" i="23" s="1"/>
  <c r="AX79" i="23"/>
  <c r="BB79" i="23" s="1"/>
  <c r="AY79" i="23"/>
  <c r="BD79" i="23" s="1"/>
  <c r="G6" i="23"/>
  <c r="AR6" i="23" s="1"/>
  <c r="AW9" i="23"/>
  <c r="BA9" i="23" s="1"/>
  <c r="AX9" i="23"/>
  <c r="BB9" i="23" s="1"/>
  <c r="AY9" i="23"/>
  <c r="BD9" i="23" s="1"/>
  <c r="BF9" i="23"/>
  <c r="E10" i="23"/>
  <c r="C9" i="23"/>
  <c r="BE9" i="23"/>
  <c r="AQ8" i="23"/>
  <c r="AS8" i="23"/>
  <c r="AU8" i="23"/>
  <c r="C79" i="23"/>
  <c r="BE79" i="23"/>
  <c r="BF79" i="23"/>
  <c r="E80" i="23"/>
  <c r="F39" i="22"/>
  <c r="I39" i="22" s="1"/>
  <c r="AR39" i="22" s="1"/>
  <c r="Z39" i="22"/>
  <c r="BF41" i="22"/>
  <c r="AX41" i="22"/>
  <c r="BB41" i="22" s="1"/>
  <c r="C41" i="22"/>
  <c r="AY41" i="22"/>
  <c r="BC41" i="22" s="1"/>
  <c r="BG41" i="22"/>
  <c r="E42" i="22"/>
  <c r="AZ41" i="22"/>
  <c r="BE41" i="22" s="1"/>
  <c r="T39" i="22"/>
  <c r="AS8" i="22"/>
  <c r="AU8" i="22"/>
  <c r="AQ8" i="22"/>
  <c r="H6" i="22"/>
  <c r="BF9" i="22"/>
  <c r="AX9" i="22"/>
  <c r="BB9" i="22" s="1"/>
  <c r="AY9" i="22"/>
  <c r="BC9" i="22" s="1"/>
  <c r="BG9" i="22"/>
  <c r="C9" i="22"/>
  <c r="E10" i="22"/>
  <c r="AZ9" i="22"/>
  <c r="BE9" i="22" s="1"/>
  <c r="AL38" i="22"/>
  <c r="AM38" i="22" s="1"/>
  <c r="AP38" i="22"/>
  <c r="AG7" i="28"/>
  <c r="AF8" i="28" s="1"/>
  <c r="O8" i="25"/>
  <c r="AN5" i="26"/>
  <c r="M6" i="25"/>
  <c r="AN5" i="23"/>
  <c r="AN5" i="24"/>
  <c r="AG38" i="22"/>
  <c r="AF39" i="22" s="1"/>
  <c r="AE38" i="22"/>
  <c r="AD39" i="22" s="1"/>
  <c r="AT39" i="22" s="1"/>
  <c r="AN37" i="22"/>
  <c r="I1" i="2"/>
  <c r="E42" i="13"/>
  <c r="BG42" i="13" s="1"/>
  <c r="BF41" i="13"/>
  <c r="AZ41" i="13"/>
  <c r="BE41" i="13" s="1"/>
  <c r="BG9" i="12"/>
  <c r="C41" i="13"/>
  <c r="AR41" i="13" s="1"/>
  <c r="BG41" i="13"/>
  <c r="AX41" i="13"/>
  <c r="BB41" i="13" s="1"/>
  <c r="AY9" i="19"/>
  <c r="AZ9" i="12"/>
  <c r="BE9" i="12" s="1"/>
  <c r="E10" i="12"/>
  <c r="AY9" i="12"/>
  <c r="BC9" i="12" s="1"/>
  <c r="C9" i="12"/>
  <c r="AX9" i="12"/>
  <c r="BB9" i="12" s="1"/>
  <c r="AX10" i="14"/>
  <c r="BB10" i="14" s="1"/>
  <c r="AU9" i="14"/>
  <c r="BE10" i="14"/>
  <c r="AY10" i="14"/>
  <c r="BD10" i="14" s="1"/>
  <c r="AX9" i="18"/>
  <c r="AY9" i="18" s="1"/>
  <c r="AW10" i="14"/>
  <c r="BA10" i="14" s="1"/>
  <c r="E11" i="14"/>
  <c r="AY11" i="14" s="1"/>
  <c r="BD11" i="14" s="1"/>
  <c r="AQ9" i="14"/>
  <c r="C10" i="14"/>
  <c r="AS10" i="14" s="1"/>
  <c r="AS9" i="13"/>
  <c r="AQ9" i="13"/>
  <c r="E12" i="13"/>
  <c r="AZ12" i="13" s="1"/>
  <c r="BE12" i="13" s="1"/>
  <c r="AY11" i="13"/>
  <c r="BC11" i="13" s="1"/>
  <c r="AX11" i="13"/>
  <c r="BB11" i="13" s="1"/>
  <c r="BG10" i="13"/>
  <c r="C10" i="13"/>
  <c r="AZ10" i="13"/>
  <c r="BE10" i="13" s="1"/>
  <c r="AX10" i="13"/>
  <c r="BB10" i="13" s="1"/>
  <c r="BF10" i="13"/>
  <c r="AY10" i="13"/>
  <c r="BC10" i="13" s="1"/>
  <c r="AY8" i="18"/>
  <c r="C11" i="13"/>
  <c r="AZ11" i="13"/>
  <c r="BE11" i="13" s="1"/>
  <c r="E10" i="18"/>
  <c r="E11" i="18" s="1"/>
  <c r="BF11" i="13"/>
  <c r="C9" i="18"/>
  <c r="BG11" i="13"/>
  <c r="AR10" i="19"/>
  <c r="AB43" i="12"/>
  <c r="O43" i="12"/>
  <c r="AB43" i="13"/>
  <c r="O43" i="13"/>
  <c r="V43" i="12"/>
  <c r="V43" i="13"/>
  <c r="AA43" i="12"/>
  <c r="U43" i="13"/>
  <c r="U43" i="12"/>
  <c r="I43" i="13"/>
  <c r="I43" i="12"/>
  <c r="U79" i="14"/>
  <c r="AB79" i="14"/>
  <c r="I79" i="14"/>
  <c r="AR79" i="14" s="1"/>
  <c r="AA79" i="14"/>
  <c r="AA43" i="13"/>
  <c r="O79" i="14"/>
  <c r="AA11" i="17"/>
  <c r="I11" i="17"/>
  <c r="U11" i="17"/>
  <c r="O11" i="17"/>
  <c r="AB11" i="17"/>
  <c r="V11" i="19"/>
  <c r="V79" i="14"/>
  <c r="V11" i="17"/>
  <c r="AA11" i="19"/>
  <c r="O11" i="19"/>
  <c r="AB11" i="19"/>
  <c r="U11" i="19"/>
  <c r="I11" i="19"/>
  <c r="H6" i="12"/>
  <c r="F7" i="12" s="1"/>
  <c r="G7" i="12" s="1"/>
  <c r="AR7" i="12" s="1"/>
  <c r="AY10" i="19"/>
  <c r="AX11" i="19"/>
  <c r="E12" i="19"/>
  <c r="C11" i="19"/>
  <c r="AZ11" i="19"/>
  <c r="AY9" i="17"/>
  <c r="AY10" i="16"/>
  <c r="H6" i="14"/>
  <c r="F7" i="14" s="1"/>
  <c r="G7" i="14" s="1"/>
  <c r="AR7" i="14" s="1"/>
  <c r="E12" i="16"/>
  <c r="BD11" i="16"/>
  <c r="C11" i="16"/>
  <c r="AZ11" i="16"/>
  <c r="AX11" i="16"/>
  <c r="F7" i="18"/>
  <c r="AL6" i="18"/>
  <c r="H6" i="13"/>
  <c r="AZ10" i="17"/>
  <c r="C10" i="17"/>
  <c r="E11" i="17"/>
  <c r="AX10" i="17"/>
  <c r="AQ5" i="12"/>
  <c r="AQ6" i="12"/>
  <c r="AQ7" i="12"/>
  <c r="AQ8" i="12"/>
  <c r="AY11" i="15"/>
  <c r="AX12" i="15"/>
  <c r="AZ12" i="15"/>
  <c r="C12" i="15"/>
  <c r="E13" i="15"/>
  <c r="AX80" i="14"/>
  <c r="BB80" i="14" s="1"/>
  <c r="C80" i="14"/>
  <c r="BF80" i="14"/>
  <c r="AY80" i="14"/>
  <c r="BD80" i="14" s="1"/>
  <c r="BE80" i="14"/>
  <c r="AW80" i="14"/>
  <c r="BA80" i="14" s="1"/>
  <c r="E81" i="14"/>
  <c r="AQ16" i="3"/>
  <c r="Y13" i="3"/>
  <c r="BC12" i="3"/>
  <c r="AE13" i="3"/>
  <c r="AW16" i="3"/>
  <c r="AM13" i="3"/>
  <c r="AL13" i="3"/>
  <c r="A14" i="3"/>
  <c r="BI14" i="3" s="1"/>
  <c r="BJ14" i="3" s="1"/>
  <c r="V14" i="3"/>
  <c r="X14" i="3" s="1"/>
  <c r="G15" i="3"/>
  <c r="AV14" i="3"/>
  <c r="AX14" i="3" s="1"/>
  <c r="H13" i="3"/>
  <c r="N55" i="4"/>
  <c r="O55" i="4" s="1"/>
  <c r="M56" i="4"/>
  <c r="F56" i="4"/>
  <c r="G56" i="4" s="1"/>
  <c r="E57" i="4"/>
  <c r="H12" i="2" l="1"/>
  <c r="H8" i="2"/>
  <c r="H15" i="2"/>
  <c r="H13" i="2"/>
  <c r="H14" i="2"/>
  <c r="I3" i="2"/>
  <c r="I7" i="2" s="1"/>
  <c r="AE6" i="29"/>
  <c r="AD7" i="29" s="1"/>
  <c r="AT7" i="29" s="1"/>
  <c r="P13" i="3"/>
  <c r="AQ38" i="21"/>
  <c r="M39" i="21"/>
  <c r="N39" i="21"/>
  <c r="AO38" i="21"/>
  <c r="AQ74" i="23"/>
  <c r="M75" i="23"/>
  <c r="S8" i="28"/>
  <c r="W8" i="28" s="1"/>
  <c r="R9" i="28" s="1"/>
  <c r="V9" i="28" s="1"/>
  <c r="P8" i="28"/>
  <c r="N7" i="28"/>
  <c r="AE7" i="28"/>
  <c r="AD8" i="28" s="1"/>
  <c r="AT8" i="28" s="1"/>
  <c r="M7" i="28"/>
  <c r="N7" i="29"/>
  <c r="AQ38" i="22"/>
  <c r="M39" i="22"/>
  <c r="Q39" i="22" s="1"/>
  <c r="L40" i="22" s="1"/>
  <c r="O40" i="22" s="1"/>
  <c r="AS38" i="22"/>
  <c r="N39" i="22"/>
  <c r="AU38" i="22"/>
  <c r="Z40" i="22"/>
  <c r="AA40" i="22"/>
  <c r="S76" i="23"/>
  <c r="W76" i="23" s="1"/>
  <c r="R77" i="23" s="1"/>
  <c r="U77" i="23" s="1"/>
  <c r="U76" i="23"/>
  <c r="M7" i="29"/>
  <c r="O7" i="29"/>
  <c r="Z9" i="28"/>
  <c r="AB9" i="28"/>
  <c r="N75" i="23"/>
  <c r="O75" i="23"/>
  <c r="T7" i="29"/>
  <c r="U7" i="29"/>
  <c r="Z8" i="29"/>
  <c r="AA8" i="29"/>
  <c r="S40" i="22"/>
  <c r="W40" i="22" s="1"/>
  <c r="R41" i="22" s="1"/>
  <c r="U41" i="22" s="1"/>
  <c r="U40" i="22"/>
  <c r="I68" i="2"/>
  <c r="I75" i="2"/>
  <c r="I41" i="2"/>
  <c r="BG42" i="12"/>
  <c r="AY42" i="12"/>
  <c r="BC42" i="12" s="1"/>
  <c r="AZ42" i="12"/>
  <c r="BE42" i="12" s="1"/>
  <c r="C42" i="12"/>
  <c r="BF42" i="12"/>
  <c r="AX42" i="12"/>
  <c r="BB42" i="12" s="1"/>
  <c r="AS9" i="12"/>
  <c r="AN14" i="20"/>
  <c r="AH13" i="3"/>
  <c r="AH14" i="3" s="1"/>
  <c r="P14" i="20"/>
  <c r="O15" i="20"/>
  <c r="AQ14" i="20"/>
  <c r="AR14" i="20" s="1"/>
  <c r="AR16" i="3"/>
  <c r="E44" i="12"/>
  <c r="AX43" i="12"/>
  <c r="BB43" i="12" s="1"/>
  <c r="AY43" i="12"/>
  <c r="BC43" i="12" s="1"/>
  <c r="BG43" i="12"/>
  <c r="AZ43" i="12"/>
  <c r="BE43" i="12" s="1"/>
  <c r="C43" i="12"/>
  <c r="BF43" i="12"/>
  <c r="F39" i="21"/>
  <c r="AY10" i="12"/>
  <c r="BC10" i="12" s="1"/>
  <c r="AN38" i="21"/>
  <c r="AG7" i="29"/>
  <c r="AF8" i="29" s="1"/>
  <c r="AS38" i="21"/>
  <c r="AU38" i="21"/>
  <c r="AS9" i="21"/>
  <c r="AQ9" i="21"/>
  <c r="AU9" i="21"/>
  <c r="Z40" i="21"/>
  <c r="AX42" i="21"/>
  <c r="BB42" i="21" s="1"/>
  <c r="AY42" i="21"/>
  <c r="BC42" i="21" s="1"/>
  <c r="BF42" i="21"/>
  <c r="C42" i="21"/>
  <c r="BG42" i="21"/>
  <c r="AZ42" i="21"/>
  <c r="BE42" i="21" s="1"/>
  <c r="E43" i="21"/>
  <c r="Y40" i="21"/>
  <c r="AC40" i="21" s="1"/>
  <c r="X41" i="21" s="1"/>
  <c r="AB41" i="21" s="1"/>
  <c r="AL6" i="21"/>
  <c r="AM6" i="21" s="1"/>
  <c r="F7" i="21"/>
  <c r="S40" i="21"/>
  <c r="W40" i="21" s="1"/>
  <c r="R41" i="21" s="1"/>
  <c r="V41" i="21" s="1"/>
  <c r="T40" i="21"/>
  <c r="AX10" i="21"/>
  <c r="BB10" i="21" s="1"/>
  <c r="AY10" i="21"/>
  <c r="BC10" i="21" s="1"/>
  <c r="BF10" i="21"/>
  <c r="BG10" i="21"/>
  <c r="C10" i="21"/>
  <c r="AZ10" i="21"/>
  <c r="BE10" i="21" s="1"/>
  <c r="E11" i="21"/>
  <c r="AY9" i="29"/>
  <c r="AX10" i="29"/>
  <c r="AZ10" i="29"/>
  <c r="C10" i="29"/>
  <c r="E11" i="29"/>
  <c r="S7" i="29"/>
  <c r="AL6" i="29"/>
  <c r="AM6" i="29" s="1"/>
  <c r="Y8" i="29"/>
  <c r="AO6" i="29"/>
  <c r="AY10" i="26"/>
  <c r="AS10" i="26"/>
  <c r="AU10" i="26"/>
  <c r="AQ10" i="26"/>
  <c r="AY10" i="28"/>
  <c r="C11" i="26"/>
  <c r="AX11" i="26"/>
  <c r="AZ11" i="26"/>
  <c r="E12" i="26"/>
  <c r="K6" i="28"/>
  <c r="F7" i="28" s="1"/>
  <c r="H6" i="15"/>
  <c r="F7" i="15" s="1"/>
  <c r="G7" i="15" s="1"/>
  <c r="AR7" i="15" s="1"/>
  <c r="AO6" i="28"/>
  <c r="Y9" i="28"/>
  <c r="AL6" i="28"/>
  <c r="AZ11" i="28"/>
  <c r="C11" i="28"/>
  <c r="AX11" i="28"/>
  <c r="E12" i="28"/>
  <c r="AY9" i="25"/>
  <c r="AY10" i="25"/>
  <c r="AP6" i="25"/>
  <c r="AY10" i="24"/>
  <c r="I6" i="25"/>
  <c r="Q6" i="25" s="1"/>
  <c r="L7" i="25" s="1"/>
  <c r="AL6" i="25"/>
  <c r="AM6" i="25" s="1"/>
  <c r="AN6" i="25" s="1"/>
  <c r="K6" i="25"/>
  <c r="F7" i="25" s="1"/>
  <c r="BC11" i="25"/>
  <c r="BB11" i="25"/>
  <c r="BA11" i="25"/>
  <c r="AO6" i="25"/>
  <c r="AZ11" i="25"/>
  <c r="BD11" i="25"/>
  <c r="C11" i="25"/>
  <c r="AX11" i="25"/>
  <c r="E12" i="25"/>
  <c r="AU10" i="24"/>
  <c r="AQ10" i="24"/>
  <c r="AS10" i="24"/>
  <c r="AX11" i="24"/>
  <c r="C11" i="24"/>
  <c r="AZ11" i="24"/>
  <c r="E12" i="24"/>
  <c r="T76" i="23"/>
  <c r="AE75" i="23"/>
  <c r="AD76" i="23" s="1"/>
  <c r="AT76" i="23" s="1"/>
  <c r="AQ12" i="15"/>
  <c r="AS12" i="15"/>
  <c r="AU12" i="15"/>
  <c r="F75" i="23"/>
  <c r="Y76" i="23"/>
  <c r="AC76" i="23" s="1"/>
  <c r="X77" i="23" s="1"/>
  <c r="AA77" i="23" s="1"/>
  <c r="Z76" i="23"/>
  <c r="AS74" i="23"/>
  <c r="AU74" i="23"/>
  <c r="AS9" i="23"/>
  <c r="AU9" i="23"/>
  <c r="AQ9" i="23"/>
  <c r="AW80" i="23"/>
  <c r="BA80" i="23" s="1"/>
  <c r="AX80" i="23"/>
  <c r="BB80" i="23" s="1"/>
  <c r="AY80" i="23"/>
  <c r="BD80" i="23" s="1"/>
  <c r="AW10" i="23"/>
  <c r="BA10" i="23" s="1"/>
  <c r="AX10" i="23"/>
  <c r="BB10" i="23" s="1"/>
  <c r="AY10" i="23"/>
  <c r="BD10" i="23" s="1"/>
  <c r="E11" i="23"/>
  <c r="C10" i="23"/>
  <c r="BE10" i="23"/>
  <c r="BF10" i="23"/>
  <c r="H6" i="23"/>
  <c r="C80" i="23"/>
  <c r="BE80" i="23"/>
  <c r="BF80" i="23"/>
  <c r="E81" i="23"/>
  <c r="AM74" i="23"/>
  <c r="AN74" i="23" s="1"/>
  <c r="Y40" i="22"/>
  <c r="AC40" i="22" s="1"/>
  <c r="X41" i="22" s="1"/>
  <c r="AA41" i="22" s="1"/>
  <c r="H39" i="22"/>
  <c r="G39" i="22"/>
  <c r="K39" i="22" s="1"/>
  <c r="F40" i="22" s="1"/>
  <c r="J40" i="22"/>
  <c r="C42" i="22"/>
  <c r="BF42" i="22"/>
  <c r="BG42" i="22"/>
  <c r="AX42" i="22"/>
  <c r="BB42" i="22" s="1"/>
  <c r="AY42" i="22"/>
  <c r="BC42" i="22" s="1"/>
  <c r="AZ42" i="22"/>
  <c r="BE42" i="22" s="1"/>
  <c r="E43" i="22"/>
  <c r="AL6" i="22"/>
  <c r="AM6" i="22" s="1"/>
  <c r="F7" i="22"/>
  <c r="AQ9" i="22"/>
  <c r="AS9" i="22"/>
  <c r="AU9" i="22"/>
  <c r="BG10" i="22"/>
  <c r="C10" i="22"/>
  <c r="AX10" i="22"/>
  <c r="BB10" i="22" s="1"/>
  <c r="AY10" i="22"/>
  <c r="BC10" i="22" s="1"/>
  <c r="BF10" i="22"/>
  <c r="AZ10" i="22"/>
  <c r="BE10" i="22" s="1"/>
  <c r="E11" i="22"/>
  <c r="T40" i="22"/>
  <c r="AG39" i="22"/>
  <c r="AF40" i="22" s="1"/>
  <c r="AG39" i="21"/>
  <c r="AF40" i="21" s="1"/>
  <c r="AE39" i="21"/>
  <c r="AD40" i="21" s="1"/>
  <c r="AT40" i="21" s="1"/>
  <c r="K6" i="29"/>
  <c r="AG8" i="28"/>
  <c r="AF9" i="28" s="1"/>
  <c r="H6" i="26"/>
  <c r="H6" i="24"/>
  <c r="O9" i="25"/>
  <c r="AG75" i="23"/>
  <c r="AN38" i="22"/>
  <c r="AE39" i="22"/>
  <c r="AD40" i="22" s="1"/>
  <c r="AT40" i="22" s="1"/>
  <c r="J1" i="2"/>
  <c r="E11" i="12"/>
  <c r="AX11" i="12" s="1"/>
  <c r="AZ42" i="13"/>
  <c r="BE42" i="13" s="1"/>
  <c r="E43" i="13"/>
  <c r="E44" i="13" s="1"/>
  <c r="AX42" i="13"/>
  <c r="BB42" i="13" s="1"/>
  <c r="AY42" i="13"/>
  <c r="BC42" i="13" s="1"/>
  <c r="BF42" i="13"/>
  <c r="C42" i="13"/>
  <c r="AR42" i="13" s="1"/>
  <c r="AU9" i="12"/>
  <c r="AQ9" i="12"/>
  <c r="AU10" i="14"/>
  <c r="AL14" i="3"/>
  <c r="AX10" i="12"/>
  <c r="BB10" i="12" s="1"/>
  <c r="AW11" i="14"/>
  <c r="BA11" i="14" s="1"/>
  <c r="C10" i="12"/>
  <c r="AX12" i="13"/>
  <c r="BB12" i="13" s="1"/>
  <c r="BF10" i="12"/>
  <c r="AZ10" i="12"/>
  <c r="BE10" i="12" s="1"/>
  <c r="BG10" i="12"/>
  <c r="C10" i="18"/>
  <c r="AQ10" i="18" s="1"/>
  <c r="E12" i="14"/>
  <c r="E13" i="14" s="1"/>
  <c r="BF11" i="14"/>
  <c r="AQ10" i="14"/>
  <c r="BE11" i="14"/>
  <c r="AX10" i="18"/>
  <c r="AX11" i="14"/>
  <c r="BB11" i="14" s="1"/>
  <c r="C11" i="14"/>
  <c r="BF12" i="13"/>
  <c r="AR11" i="19"/>
  <c r="AY12" i="13"/>
  <c r="BC12" i="13" s="1"/>
  <c r="C12" i="13"/>
  <c r="AS12" i="13" s="1"/>
  <c r="BG12" i="13"/>
  <c r="E13" i="13"/>
  <c r="AZ13" i="13" s="1"/>
  <c r="BE13" i="13" s="1"/>
  <c r="AS9" i="18"/>
  <c r="AZ10" i="18"/>
  <c r="AQ10" i="13"/>
  <c r="AS10" i="13"/>
  <c r="AU10" i="13"/>
  <c r="AS11" i="13"/>
  <c r="AU9" i="18"/>
  <c r="AQ11" i="13"/>
  <c r="AQ9" i="18"/>
  <c r="AU11" i="13"/>
  <c r="U44" i="12"/>
  <c r="U44" i="13"/>
  <c r="AA44" i="12"/>
  <c r="I44" i="12"/>
  <c r="AA44" i="13"/>
  <c r="I44" i="13"/>
  <c r="AB44" i="12"/>
  <c r="V44" i="13"/>
  <c r="O44" i="13"/>
  <c r="AB44" i="13"/>
  <c r="AA80" i="14"/>
  <c r="I80" i="14"/>
  <c r="AR80" i="14" s="1"/>
  <c r="AB80" i="14"/>
  <c r="V44" i="12"/>
  <c r="V80" i="14"/>
  <c r="AB12" i="17"/>
  <c r="O12" i="17"/>
  <c r="U80" i="14"/>
  <c r="I12" i="17"/>
  <c r="O80" i="14"/>
  <c r="AA12" i="17"/>
  <c r="AA12" i="19"/>
  <c r="I12" i="19"/>
  <c r="V12" i="17"/>
  <c r="U12" i="19"/>
  <c r="AB12" i="19"/>
  <c r="O44" i="12"/>
  <c r="U12" i="17"/>
  <c r="O12" i="19"/>
  <c r="V12" i="19"/>
  <c r="AL6" i="12"/>
  <c r="AM6" i="12" s="1"/>
  <c r="AN6" i="12" s="1"/>
  <c r="AY11" i="19"/>
  <c r="AX12" i="19"/>
  <c r="E13" i="19"/>
  <c r="C12" i="19"/>
  <c r="AZ12" i="19"/>
  <c r="AL6" i="14"/>
  <c r="AM6" i="14" s="1"/>
  <c r="AN6" i="14" s="1"/>
  <c r="H7" i="14"/>
  <c r="F8" i="14" s="1"/>
  <c r="G8" i="14" s="1"/>
  <c r="AR8" i="14" s="1"/>
  <c r="H7" i="12"/>
  <c r="AY11" i="16"/>
  <c r="E13" i="16"/>
  <c r="AX12" i="16"/>
  <c r="C12" i="16"/>
  <c r="BD12" i="16"/>
  <c r="AZ12" i="16"/>
  <c r="G7" i="18"/>
  <c r="AR7" i="18" s="1"/>
  <c r="F7" i="13"/>
  <c r="AL6" i="13"/>
  <c r="AM6" i="13" s="1"/>
  <c r="AN6" i="13" s="1"/>
  <c r="E12" i="18"/>
  <c r="AZ11" i="18"/>
  <c r="AX11" i="18"/>
  <c r="C11" i="18"/>
  <c r="AY10" i="17"/>
  <c r="AZ11" i="17"/>
  <c r="AX11" i="17"/>
  <c r="E12" i="17"/>
  <c r="C11" i="17"/>
  <c r="AM6" i="18"/>
  <c r="AN6" i="18" s="1"/>
  <c r="E14" i="15"/>
  <c r="AX13" i="15"/>
  <c r="AZ13" i="15"/>
  <c r="C13" i="15"/>
  <c r="AY12" i="15"/>
  <c r="BF81" i="14"/>
  <c r="AW81" i="14"/>
  <c r="BA81" i="14" s="1"/>
  <c r="E82" i="14"/>
  <c r="AX81" i="14"/>
  <c r="BB81" i="14" s="1"/>
  <c r="C81" i="14"/>
  <c r="AY81" i="14"/>
  <c r="BD81" i="14" s="1"/>
  <c r="BE81" i="14"/>
  <c r="G16" i="3"/>
  <c r="AV15" i="3"/>
  <c r="AX15" i="3" s="1"/>
  <c r="V15" i="3"/>
  <c r="X15" i="3" s="1"/>
  <c r="Y14" i="3"/>
  <c r="AQ17" i="3"/>
  <c r="AM14" i="3"/>
  <c r="AN17" i="3"/>
  <c r="H14" i="3"/>
  <c r="A15" i="3"/>
  <c r="BI15" i="3" s="1"/>
  <c r="BJ15" i="3" s="1"/>
  <c r="AG14" i="3"/>
  <c r="AW17" i="3"/>
  <c r="BC13" i="3"/>
  <c r="AE14" i="3"/>
  <c r="N56" i="4"/>
  <c r="O56" i="4" s="1"/>
  <c r="M57" i="4"/>
  <c r="E58" i="4"/>
  <c r="F57" i="4"/>
  <c r="G57" i="4" s="1"/>
  <c r="I13" i="2" l="1"/>
  <c r="I15" i="2"/>
  <c r="I8" i="2"/>
  <c r="I14" i="2"/>
  <c r="I12" i="2"/>
  <c r="J3" i="2"/>
  <c r="J7" i="2" s="1"/>
  <c r="AE7" i="29"/>
  <c r="AD8" i="29" s="1"/>
  <c r="AT8" i="29" s="1"/>
  <c r="P14" i="3"/>
  <c r="AE8" i="28"/>
  <c r="AD9" i="28" s="1"/>
  <c r="AT9" i="28" s="1"/>
  <c r="AO39" i="22"/>
  <c r="S77" i="23"/>
  <c r="W77" i="23" s="1"/>
  <c r="R78" i="23" s="1"/>
  <c r="U78" i="23" s="1"/>
  <c r="T77" i="23"/>
  <c r="G7" i="28"/>
  <c r="AL7" i="28" s="1"/>
  <c r="AM7" i="28" s="1"/>
  <c r="I7" i="28"/>
  <c r="Q7" i="28" s="1"/>
  <c r="L8" i="28" s="1"/>
  <c r="G40" i="22"/>
  <c r="K40" i="22" s="1"/>
  <c r="F41" i="22" s="1"/>
  <c r="I41" i="22" s="1"/>
  <c r="AR41" i="22" s="1"/>
  <c r="I40" i="22"/>
  <c r="AR40" i="22" s="1"/>
  <c r="J76" i="23"/>
  <c r="I75" i="23"/>
  <c r="J40" i="21"/>
  <c r="I39" i="21"/>
  <c r="Q39" i="21" s="1"/>
  <c r="L40" i="21" s="1"/>
  <c r="J68" i="2"/>
  <c r="J75" i="2"/>
  <c r="J41" i="2"/>
  <c r="AQ10" i="12"/>
  <c r="BD13" i="3"/>
  <c r="P15" i="20"/>
  <c r="AL15" i="3"/>
  <c r="AR12" i="19"/>
  <c r="AR17" i="3"/>
  <c r="AQ15" i="20"/>
  <c r="AR15" i="20" s="1"/>
  <c r="O16" i="20"/>
  <c r="AN15" i="20"/>
  <c r="AY44" i="12"/>
  <c r="BC44" i="12" s="1"/>
  <c r="E45" i="12"/>
  <c r="BG44" i="12"/>
  <c r="AX44" i="12"/>
  <c r="BB44" i="12" s="1"/>
  <c r="C44" i="12"/>
  <c r="AZ44" i="12"/>
  <c r="BE44" i="12" s="1"/>
  <c r="BF44" i="12"/>
  <c r="H39" i="21"/>
  <c r="AO39" i="21" s="1"/>
  <c r="G39" i="21"/>
  <c r="K39" i="21" s="1"/>
  <c r="BF11" i="12"/>
  <c r="AN6" i="21"/>
  <c r="AG8" i="29"/>
  <c r="AF9" i="29" s="1"/>
  <c r="T41" i="21"/>
  <c r="S41" i="21"/>
  <c r="W41" i="21" s="1"/>
  <c r="R42" i="21" s="1"/>
  <c r="V42" i="21" s="1"/>
  <c r="Z41" i="21"/>
  <c r="Y41" i="21"/>
  <c r="AC41" i="21" s="1"/>
  <c r="X42" i="21" s="1"/>
  <c r="AB42" i="21" s="1"/>
  <c r="G7" i="21"/>
  <c r="AR7" i="21" s="1"/>
  <c r="AN6" i="29"/>
  <c r="AX11" i="21"/>
  <c r="BB11" i="21" s="1"/>
  <c r="AY11" i="21"/>
  <c r="BC11" i="21" s="1"/>
  <c r="BG11" i="21"/>
  <c r="C11" i="21"/>
  <c r="BF11" i="21"/>
  <c r="AZ11" i="21"/>
  <c r="BE11" i="21" s="1"/>
  <c r="E12" i="21"/>
  <c r="AU10" i="21"/>
  <c r="AQ10" i="21"/>
  <c r="AS10" i="21"/>
  <c r="BG43" i="21"/>
  <c r="AX43" i="21"/>
  <c r="BB43" i="21" s="1"/>
  <c r="C43" i="21"/>
  <c r="BF43" i="21"/>
  <c r="AY43" i="21"/>
  <c r="BC43" i="21" s="1"/>
  <c r="E44" i="21"/>
  <c r="AZ43" i="21"/>
  <c r="BE43" i="21" s="1"/>
  <c r="AY10" i="29"/>
  <c r="AY11" i="26"/>
  <c r="F7" i="29"/>
  <c r="I7" i="29" s="1"/>
  <c r="AR7" i="29" s="1"/>
  <c r="AQ6" i="29"/>
  <c r="AS6" i="29"/>
  <c r="AU6" i="29"/>
  <c r="C11" i="29"/>
  <c r="AX11" i="29"/>
  <c r="AZ11" i="29"/>
  <c r="E12" i="29"/>
  <c r="W7" i="29"/>
  <c r="R8" i="29" s="1"/>
  <c r="AL6" i="26"/>
  <c r="AQ11" i="26"/>
  <c r="AS11" i="26"/>
  <c r="AU11" i="26"/>
  <c r="F7" i="26"/>
  <c r="C12" i="26"/>
  <c r="AX12" i="26"/>
  <c r="AZ12" i="26"/>
  <c r="E13" i="26"/>
  <c r="H7" i="28"/>
  <c r="AP7" i="28" s="1"/>
  <c r="J8" i="28"/>
  <c r="AU6" i="28"/>
  <c r="AQ6" i="28"/>
  <c r="AS6" i="28"/>
  <c r="AL6" i="15"/>
  <c r="AM6" i="15" s="1"/>
  <c r="AN6" i="15" s="1"/>
  <c r="AM6" i="28"/>
  <c r="AN6" i="28" s="1"/>
  <c r="T9" i="28"/>
  <c r="S9" i="28"/>
  <c r="W9" i="28" s="1"/>
  <c r="R10" i="28" s="1"/>
  <c r="V10" i="28" s="1"/>
  <c r="AY11" i="28"/>
  <c r="C12" i="28"/>
  <c r="AX12" i="28"/>
  <c r="AZ12" i="28"/>
  <c r="E13" i="28"/>
  <c r="AY11" i="24"/>
  <c r="AQ6" i="25"/>
  <c r="AS6" i="25"/>
  <c r="AU6" i="25"/>
  <c r="G7" i="25"/>
  <c r="AR7" i="25" s="1"/>
  <c r="BB12" i="25"/>
  <c r="BC12" i="25"/>
  <c r="BA12" i="25"/>
  <c r="P8" i="25"/>
  <c r="N7" i="25"/>
  <c r="H7" i="25"/>
  <c r="J8" i="25"/>
  <c r="AY11" i="25"/>
  <c r="C12" i="25"/>
  <c r="AX12" i="25"/>
  <c r="AZ12" i="25"/>
  <c r="BD12" i="25"/>
  <c r="E13" i="25"/>
  <c r="AX12" i="24"/>
  <c r="C12" i="24"/>
  <c r="AZ12" i="24"/>
  <c r="E13" i="24"/>
  <c r="F7" i="24"/>
  <c r="AL6" i="24"/>
  <c r="AM6" i="24" s="1"/>
  <c r="AQ11" i="24"/>
  <c r="AS11" i="24"/>
  <c r="AU11" i="24"/>
  <c r="AE76" i="23"/>
  <c r="AD77" i="23" s="1"/>
  <c r="AT77" i="23" s="1"/>
  <c r="H7" i="15"/>
  <c r="AS13" i="15"/>
  <c r="AU13" i="15"/>
  <c r="AQ13" i="15"/>
  <c r="H75" i="23"/>
  <c r="AP75" i="23" s="1"/>
  <c r="G75" i="23"/>
  <c r="K75" i="23" s="1"/>
  <c r="Z77" i="23"/>
  <c r="Y77" i="23"/>
  <c r="AC77" i="23" s="1"/>
  <c r="X78" i="23" s="1"/>
  <c r="AW11" i="23"/>
  <c r="BA11" i="23" s="1"/>
  <c r="AX11" i="23"/>
  <c r="BB11" i="23" s="1"/>
  <c r="AY11" i="23"/>
  <c r="BD11" i="23" s="1"/>
  <c r="E12" i="23"/>
  <c r="C11" i="23"/>
  <c r="BF11" i="23"/>
  <c r="BE11" i="23"/>
  <c r="AL6" i="23"/>
  <c r="AM6" i="23" s="1"/>
  <c r="AN6" i="23" s="1"/>
  <c r="AS10" i="23"/>
  <c r="AU10" i="23"/>
  <c r="AQ10" i="23"/>
  <c r="AW81" i="23"/>
  <c r="BA81" i="23" s="1"/>
  <c r="AX81" i="23"/>
  <c r="BB81" i="23" s="1"/>
  <c r="AY81" i="23"/>
  <c r="BD81" i="23" s="1"/>
  <c r="F7" i="23"/>
  <c r="C81" i="23"/>
  <c r="BE81" i="23"/>
  <c r="BF81" i="23"/>
  <c r="E82" i="23"/>
  <c r="AF76" i="23"/>
  <c r="AG76" i="23" s="1"/>
  <c r="AF77" i="23" s="1"/>
  <c r="H40" i="22"/>
  <c r="AQ39" i="22"/>
  <c r="J41" i="22"/>
  <c r="AU39" i="22"/>
  <c r="AS39" i="22"/>
  <c r="T41" i="22"/>
  <c r="S41" i="22"/>
  <c r="W41" i="22" s="1"/>
  <c r="R42" i="22" s="1"/>
  <c r="U42" i="22" s="1"/>
  <c r="BF43" i="22"/>
  <c r="C43" i="22"/>
  <c r="BG43" i="22"/>
  <c r="AX43" i="22"/>
  <c r="BB43" i="22" s="1"/>
  <c r="AY43" i="22"/>
  <c r="BC43" i="22" s="1"/>
  <c r="E44" i="22"/>
  <c r="AZ43" i="22"/>
  <c r="BE43" i="22" s="1"/>
  <c r="G7" i="22"/>
  <c r="AR7" i="22" s="1"/>
  <c r="AN6" i="22"/>
  <c r="Z41" i="22"/>
  <c r="AQ10" i="22"/>
  <c r="AS10" i="22"/>
  <c r="AU10" i="22"/>
  <c r="M40" i="22"/>
  <c r="N40" i="22"/>
  <c r="P41" i="22"/>
  <c r="BF11" i="22"/>
  <c r="BG11" i="22"/>
  <c r="C11" i="22"/>
  <c r="AX11" i="22"/>
  <c r="BB11" i="22" s="1"/>
  <c r="AY11" i="22"/>
  <c r="BC11" i="22" s="1"/>
  <c r="AZ11" i="22"/>
  <c r="BE11" i="22" s="1"/>
  <c r="E12" i="22"/>
  <c r="Y41" i="22"/>
  <c r="AC41" i="22" s="1"/>
  <c r="X42" i="22" s="1"/>
  <c r="AA42" i="22" s="1"/>
  <c r="AP39" i="22"/>
  <c r="AL39" i="22"/>
  <c r="AM39" i="22" s="1"/>
  <c r="AC8" i="29"/>
  <c r="X9" i="29" s="1"/>
  <c r="AG9" i="28"/>
  <c r="AF10" i="28" s="1"/>
  <c r="AC9" i="28"/>
  <c r="X10" i="28" s="1"/>
  <c r="AB10" i="28" s="1"/>
  <c r="O10" i="25"/>
  <c r="M7" i="25"/>
  <c r="AG40" i="22"/>
  <c r="AF41" i="22" s="1"/>
  <c r="AE40" i="22"/>
  <c r="AD41" i="22" s="1"/>
  <c r="AT41" i="22" s="1"/>
  <c r="K1" i="2"/>
  <c r="C11" i="12"/>
  <c r="BG11" i="12"/>
  <c r="AZ11" i="12"/>
  <c r="BE11" i="12" s="1"/>
  <c r="AY11" i="12"/>
  <c r="BC11" i="12" s="1"/>
  <c r="BB11" i="12"/>
  <c r="E12" i="12"/>
  <c r="AX12" i="12" s="1"/>
  <c r="AZ43" i="13"/>
  <c r="BE43" i="13" s="1"/>
  <c r="AX43" i="13"/>
  <c r="BB43" i="13" s="1"/>
  <c r="AY43" i="13"/>
  <c r="BC43" i="13" s="1"/>
  <c r="C43" i="13"/>
  <c r="AR43" i="13" s="1"/>
  <c r="BF43" i="13"/>
  <c r="BG43" i="13"/>
  <c r="AQ11" i="14"/>
  <c r="AU10" i="18"/>
  <c r="AS10" i="18"/>
  <c r="AW12" i="14"/>
  <c r="BA12" i="14" s="1"/>
  <c r="C12" i="14"/>
  <c r="AU12" i="14" s="1"/>
  <c r="AY12" i="14"/>
  <c r="BD12" i="14" s="1"/>
  <c r="AX12" i="14"/>
  <c r="BB12" i="14" s="1"/>
  <c r="AM15" i="3"/>
  <c r="BE12" i="14"/>
  <c r="AQ12" i="13"/>
  <c r="AU10" i="12"/>
  <c r="BF12" i="14"/>
  <c r="AU12" i="13"/>
  <c r="AS10" i="12"/>
  <c r="AS11" i="14"/>
  <c r="E14" i="13"/>
  <c r="E15" i="13" s="1"/>
  <c r="AU11" i="14"/>
  <c r="BG13" i="13"/>
  <c r="AY10" i="18"/>
  <c r="C13" i="13"/>
  <c r="AY13" i="13"/>
  <c r="BC13" i="13" s="1"/>
  <c r="AX13" i="13"/>
  <c r="BB13" i="13" s="1"/>
  <c r="BF13" i="13"/>
  <c r="V45" i="12"/>
  <c r="V45" i="13"/>
  <c r="AB45" i="12"/>
  <c r="O45" i="12"/>
  <c r="AB45" i="13"/>
  <c r="O45" i="13"/>
  <c r="AA45" i="12"/>
  <c r="I45" i="12"/>
  <c r="U45" i="13"/>
  <c r="I45" i="13"/>
  <c r="U81" i="14"/>
  <c r="AA45" i="13"/>
  <c r="AA81" i="14"/>
  <c r="V81" i="14"/>
  <c r="I81" i="14"/>
  <c r="AR81" i="14" s="1"/>
  <c r="U13" i="17"/>
  <c r="U45" i="12"/>
  <c r="AA13" i="17"/>
  <c r="V13" i="17"/>
  <c r="O81" i="14"/>
  <c r="AB13" i="19"/>
  <c r="O13" i="19"/>
  <c r="AB13" i="17"/>
  <c r="I13" i="19"/>
  <c r="O13" i="17"/>
  <c r="V13" i="19"/>
  <c r="AB81" i="14"/>
  <c r="I13" i="17"/>
  <c r="U13" i="19"/>
  <c r="AA13" i="19"/>
  <c r="AZ13" i="19"/>
  <c r="AX13" i="19"/>
  <c r="C13" i="19"/>
  <c r="E14" i="19"/>
  <c r="AY12" i="19"/>
  <c r="H7" i="18"/>
  <c r="AL7" i="14"/>
  <c r="AM7" i="14" s="1"/>
  <c r="AN7" i="14" s="1"/>
  <c r="H8" i="14"/>
  <c r="AY11" i="18"/>
  <c r="F8" i="12"/>
  <c r="AL7" i="12"/>
  <c r="AY12" i="16"/>
  <c r="BE13" i="14"/>
  <c r="E14" i="14"/>
  <c r="C13" i="14"/>
  <c r="AX13" i="14"/>
  <c r="BB13" i="14" s="1"/>
  <c r="BF13" i="14"/>
  <c r="AW13" i="14"/>
  <c r="BA13" i="14" s="1"/>
  <c r="AY13" i="14"/>
  <c r="BD13" i="14" s="1"/>
  <c r="AX13" i="16"/>
  <c r="AZ13" i="16"/>
  <c r="C13" i="16"/>
  <c r="E14" i="16"/>
  <c r="BD13" i="16"/>
  <c r="E13" i="17"/>
  <c r="C12" i="17"/>
  <c r="AX12" i="17"/>
  <c r="AZ12" i="17"/>
  <c r="AX12" i="18"/>
  <c r="C12" i="18"/>
  <c r="AZ12" i="18"/>
  <c r="E13" i="18"/>
  <c r="G7" i="13"/>
  <c r="AR7" i="13" s="1"/>
  <c r="AZ44" i="13"/>
  <c r="BE44" i="13" s="1"/>
  <c r="E45" i="13"/>
  <c r="AY44" i="13"/>
  <c r="BC44" i="13" s="1"/>
  <c r="BF44" i="13"/>
  <c r="C44" i="13"/>
  <c r="AR44" i="13" s="1"/>
  <c r="BG44" i="13"/>
  <c r="AX44" i="13"/>
  <c r="BB44" i="13" s="1"/>
  <c r="AY11" i="17"/>
  <c r="AS11" i="18"/>
  <c r="AQ11" i="18"/>
  <c r="AU11" i="18"/>
  <c r="AY13" i="15"/>
  <c r="C14" i="15"/>
  <c r="AX14" i="15"/>
  <c r="E15" i="15"/>
  <c r="AZ14" i="15"/>
  <c r="E83" i="14"/>
  <c r="BE82" i="14"/>
  <c r="BF82" i="14"/>
  <c r="AX82" i="14"/>
  <c r="BB82" i="14" s="1"/>
  <c r="C82" i="14"/>
  <c r="AW82" i="14"/>
  <c r="BA82" i="14" s="1"/>
  <c r="AY82" i="14"/>
  <c r="BD82" i="14" s="1"/>
  <c r="AE15" i="3"/>
  <c r="BC14" i="3"/>
  <c r="AG15" i="3"/>
  <c r="H15" i="3"/>
  <c r="Y15" i="3"/>
  <c r="V16" i="3"/>
  <c r="X16" i="3" s="1"/>
  <c r="AV16" i="3"/>
  <c r="AX16" i="3" s="1"/>
  <c r="G17" i="3"/>
  <c r="AQ18" i="3"/>
  <c r="AW18" i="3"/>
  <c r="AN18" i="3"/>
  <c r="AN19" i="3" s="1"/>
  <c r="AH15" i="3"/>
  <c r="BD14" i="3"/>
  <c r="A16" i="3"/>
  <c r="BI16" i="3" s="1"/>
  <c r="BJ16" i="3" s="1"/>
  <c r="N57" i="4"/>
  <c r="O57" i="4" s="1"/>
  <c r="M58" i="4"/>
  <c r="F58" i="4"/>
  <c r="G58" i="4" s="1"/>
  <c r="E59" i="4"/>
  <c r="J13" i="2" l="1"/>
  <c r="J15" i="2"/>
  <c r="J14" i="2"/>
  <c r="J8" i="2"/>
  <c r="K3" i="2"/>
  <c r="K7" i="2" s="1"/>
  <c r="J12" i="2"/>
  <c r="P15" i="3"/>
  <c r="AU39" i="21"/>
  <c r="Q40" i="22"/>
  <c r="AQ40" i="22" s="1"/>
  <c r="Q7" i="29"/>
  <c r="L8" i="29" s="1"/>
  <c r="AR75" i="23"/>
  <c r="Q75" i="23"/>
  <c r="L76" i="23" s="1"/>
  <c r="O8" i="28"/>
  <c r="M8" i="28"/>
  <c r="N8" i="28"/>
  <c r="P9" i="28"/>
  <c r="Z9" i="29"/>
  <c r="AA9" i="29"/>
  <c r="N40" i="21"/>
  <c r="O40" i="21"/>
  <c r="M40" i="21"/>
  <c r="P41" i="21"/>
  <c r="Y78" i="23"/>
  <c r="AC78" i="23" s="1"/>
  <c r="X79" i="23" s="1"/>
  <c r="AA79" i="23" s="1"/>
  <c r="AA78" i="23"/>
  <c r="T8" i="29"/>
  <c r="U8" i="29"/>
  <c r="T78" i="23"/>
  <c r="S78" i="23"/>
  <c r="W78" i="23" s="1"/>
  <c r="R79" i="23" s="1"/>
  <c r="U79" i="23" s="1"/>
  <c r="K68" i="2"/>
  <c r="K75" i="2"/>
  <c r="K41" i="2"/>
  <c r="AR13" i="19"/>
  <c r="AQ11" i="12"/>
  <c r="P16" i="20"/>
  <c r="AR18" i="3"/>
  <c r="AN16" i="20"/>
  <c r="O17" i="20"/>
  <c r="AQ16" i="20"/>
  <c r="AR16" i="20" s="1"/>
  <c r="AY45" i="12"/>
  <c r="BC45" i="12" s="1"/>
  <c r="AX45" i="12"/>
  <c r="BB45" i="12" s="1"/>
  <c r="E46" i="12"/>
  <c r="C45" i="12"/>
  <c r="AZ45" i="12"/>
  <c r="BE45" i="12" s="1"/>
  <c r="BG45" i="12"/>
  <c r="BF45" i="12"/>
  <c r="AQ39" i="21"/>
  <c r="AL39" i="21"/>
  <c r="AM39" i="21" s="1"/>
  <c r="AN39" i="21" s="1"/>
  <c r="AS39" i="21"/>
  <c r="F40" i="21"/>
  <c r="E13" i="12"/>
  <c r="AX13" i="12" s="1"/>
  <c r="H7" i="21"/>
  <c r="F8" i="21" s="1"/>
  <c r="G8" i="21" s="1"/>
  <c r="AR8" i="21" s="1"/>
  <c r="T42" i="21"/>
  <c r="S42" i="21"/>
  <c r="W42" i="21" s="1"/>
  <c r="R43" i="21" s="1"/>
  <c r="V43" i="21" s="1"/>
  <c r="Z42" i="21"/>
  <c r="Y42" i="21"/>
  <c r="AC42" i="21" s="1"/>
  <c r="X43" i="21" s="1"/>
  <c r="AB43" i="21" s="1"/>
  <c r="AS11" i="21"/>
  <c r="AU11" i="21"/>
  <c r="AQ11" i="21"/>
  <c r="AX12" i="21"/>
  <c r="BB12" i="21" s="1"/>
  <c r="AY12" i="21"/>
  <c r="BC12" i="21" s="1"/>
  <c r="BF12" i="21"/>
  <c r="BG12" i="21"/>
  <c r="C12" i="21"/>
  <c r="AZ12" i="21"/>
  <c r="BE12" i="21" s="1"/>
  <c r="E13" i="21"/>
  <c r="AY44" i="21"/>
  <c r="BC44" i="21" s="1"/>
  <c r="C44" i="21"/>
  <c r="BF44" i="21"/>
  <c r="BG44" i="21"/>
  <c r="AX44" i="21"/>
  <c r="BB44" i="21" s="1"/>
  <c r="E45" i="21"/>
  <c r="AZ44" i="21"/>
  <c r="BE44" i="21" s="1"/>
  <c r="AY11" i="29"/>
  <c r="AX12" i="29"/>
  <c r="AZ12" i="29"/>
  <c r="C12" i="29"/>
  <c r="E13" i="29"/>
  <c r="H7" i="29"/>
  <c r="AP7" i="29" s="1"/>
  <c r="J8" i="29"/>
  <c r="Y9" i="29"/>
  <c r="AC9" i="29" s="1"/>
  <c r="X10" i="29" s="1"/>
  <c r="S8" i="29"/>
  <c r="AE8" i="29" s="1"/>
  <c r="AD9" i="29" s="1"/>
  <c r="AT9" i="29" s="1"/>
  <c r="G7" i="29"/>
  <c r="K7" i="29" s="1"/>
  <c r="F8" i="29" s="1"/>
  <c r="I8" i="29" s="1"/>
  <c r="AR8" i="29" s="1"/>
  <c r="AY12" i="26"/>
  <c r="AM6" i="26"/>
  <c r="AN6" i="26" s="1"/>
  <c r="AE9" i="28"/>
  <c r="AD10" i="28" s="1"/>
  <c r="AT10" i="28" s="1"/>
  <c r="AQ12" i="26"/>
  <c r="AS12" i="26"/>
  <c r="AU12" i="26"/>
  <c r="G7" i="26"/>
  <c r="AR7" i="26" s="1"/>
  <c r="C13" i="26"/>
  <c r="AX13" i="26"/>
  <c r="AZ13" i="26"/>
  <c r="E14" i="26"/>
  <c r="AO7" i="28"/>
  <c r="T10" i="28"/>
  <c r="S10" i="28"/>
  <c r="W10" i="28" s="1"/>
  <c r="R11" i="28" s="1"/>
  <c r="V11" i="28" s="1"/>
  <c r="Z10" i="28"/>
  <c r="Y10" i="28"/>
  <c r="AG10" i="28" s="1"/>
  <c r="AF11" i="28" s="1"/>
  <c r="AY12" i="28"/>
  <c r="C13" i="28"/>
  <c r="AX13" i="28"/>
  <c r="AZ13" i="28"/>
  <c r="E14" i="28"/>
  <c r="AY12" i="25"/>
  <c r="AP7" i="25"/>
  <c r="AE77" i="23"/>
  <c r="AD78" i="23" s="1"/>
  <c r="AT78" i="23" s="1"/>
  <c r="AN6" i="24"/>
  <c r="AO7" i="25"/>
  <c r="AL7" i="25"/>
  <c r="BA13" i="25"/>
  <c r="BB13" i="25"/>
  <c r="BC13" i="25"/>
  <c r="AY12" i="24"/>
  <c r="AX13" i="25"/>
  <c r="AZ13" i="25"/>
  <c r="BD13" i="25"/>
  <c r="C13" i="25"/>
  <c r="E14" i="25"/>
  <c r="AQ12" i="24"/>
  <c r="AS12" i="24"/>
  <c r="AU12" i="24"/>
  <c r="AZ13" i="24"/>
  <c r="AX13" i="24"/>
  <c r="C13" i="24"/>
  <c r="E14" i="24"/>
  <c r="F8" i="15"/>
  <c r="G8" i="15" s="1"/>
  <c r="AR8" i="15" s="1"/>
  <c r="AL7" i="15"/>
  <c r="AM7" i="15" s="1"/>
  <c r="G7" i="24"/>
  <c r="AR7" i="24" s="1"/>
  <c r="AQ14" i="15"/>
  <c r="AS14" i="15"/>
  <c r="AU14" i="15"/>
  <c r="AL75" i="23"/>
  <c r="F76" i="23"/>
  <c r="I76" i="23" s="1"/>
  <c r="AR76" i="23" s="1"/>
  <c r="AO75" i="23"/>
  <c r="AG77" i="23"/>
  <c r="AF78" i="23" s="1"/>
  <c r="Z78" i="23"/>
  <c r="G7" i="23"/>
  <c r="AR7" i="23" s="1"/>
  <c r="AW12" i="23"/>
  <c r="BA12" i="23" s="1"/>
  <c r="AX12" i="23"/>
  <c r="BB12" i="23" s="1"/>
  <c r="AY12" i="23"/>
  <c r="BD12" i="23" s="1"/>
  <c r="BF12" i="23"/>
  <c r="BE12" i="23"/>
  <c r="E13" i="23"/>
  <c r="C12" i="23"/>
  <c r="AU11" i="23"/>
  <c r="AQ11" i="23"/>
  <c r="AS11" i="23"/>
  <c r="AW82" i="23"/>
  <c r="BA82" i="23" s="1"/>
  <c r="AX82" i="23"/>
  <c r="BB82" i="23" s="1"/>
  <c r="AY82" i="23"/>
  <c r="BD82" i="23" s="1"/>
  <c r="H7" i="22"/>
  <c r="F8" i="22" s="1"/>
  <c r="G8" i="22" s="1"/>
  <c r="AR8" i="22" s="1"/>
  <c r="C82" i="23"/>
  <c r="BE82" i="23"/>
  <c r="BF82" i="23"/>
  <c r="E83" i="23"/>
  <c r="AO40" i="22"/>
  <c r="Z42" i="22"/>
  <c r="Y42" i="22"/>
  <c r="AC42" i="22" s="1"/>
  <c r="X43" i="22" s="1"/>
  <c r="AA43" i="22" s="1"/>
  <c r="T42" i="22"/>
  <c r="S42" i="22"/>
  <c r="W42" i="22" s="1"/>
  <c r="R43" i="22" s="1"/>
  <c r="U43" i="22" s="1"/>
  <c r="C44" i="22"/>
  <c r="BF44" i="22"/>
  <c r="BG44" i="22"/>
  <c r="AX44" i="22"/>
  <c r="BB44" i="22" s="1"/>
  <c r="AY44" i="22"/>
  <c r="BC44" i="22" s="1"/>
  <c r="AZ44" i="22"/>
  <c r="BE44" i="22" s="1"/>
  <c r="E45" i="22"/>
  <c r="AQ11" i="22"/>
  <c r="AS11" i="22"/>
  <c r="AU11" i="22"/>
  <c r="AY12" i="22"/>
  <c r="BC12" i="22" s="1"/>
  <c r="BF12" i="22"/>
  <c r="BG12" i="22"/>
  <c r="C12" i="22"/>
  <c r="AX12" i="22"/>
  <c r="BB12" i="22" s="1"/>
  <c r="AZ12" i="22"/>
  <c r="BE12" i="22" s="1"/>
  <c r="E13" i="22"/>
  <c r="H41" i="22"/>
  <c r="J42" i="22"/>
  <c r="G41" i="22"/>
  <c r="K41" i="22" s="1"/>
  <c r="F42" i="22" s="1"/>
  <c r="I42" i="22" s="1"/>
  <c r="AR42" i="22" s="1"/>
  <c r="AG41" i="22"/>
  <c r="AF42" i="22" s="1"/>
  <c r="AE40" i="21"/>
  <c r="AD41" i="21" s="1"/>
  <c r="AT41" i="21" s="1"/>
  <c r="AG40" i="21"/>
  <c r="AF41" i="21" s="1"/>
  <c r="AP39" i="21"/>
  <c r="AN7" i="28"/>
  <c r="K7" i="28"/>
  <c r="O11" i="25"/>
  <c r="K7" i="25"/>
  <c r="I7" i="25"/>
  <c r="Q7" i="25" s="1"/>
  <c r="L8" i="25" s="1"/>
  <c r="AE41" i="22"/>
  <c r="AD42" i="22" s="1"/>
  <c r="AT42" i="22" s="1"/>
  <c r="AN39" i="22"/>
  <c r="L1" i="2"/>
  <c r="AS11" i="12"/>
  <c r="AU11" i="12"/>
  <c r="BB12" i="12"/>
  <c r="BF12" i="12"/>
  <c r="AY12" i="12"/>
  <c r="BC12" i="12" s="1"/>
  <c r="AZ12" i="12"/>
  <c r="BE12" i="12" s="1"/>
  <c r="BG12" i="12"/>
  <c r="C12" i="12"/>
  <c r="AZ14" i="13"/>
  <c r="BE14" i="13" s="1"/>
  <c r="AS12" i="14"/>
  <c r="AQ12" i="14"/>
  <c r="AY14" i="13"/>
  <c r="BC14" i="13" s="1"/>
  <c r="C14" i="13"/>
  <c r="AQ14" i="13" s="1"/>
  <c r="AM16" i="3"/>
  <c r="BF14" i="13"/>
  <c r="AX14" i="13"/>
  <c r="BB14" i="13" s="1"/>
  <c r="BG14" i="13"/>
  <c r="AQ13" i="13"/>
  <c r="AS13" i="13"/>
  <c r="AU13" i="13"/>
  <c r="AA46" i="12"/>
  <c r="I46" i="12"/>
  <c r="AA46" i="13"/>
  <c r="I46" i="13"/>
  <c r="U46" i="12"/>
  <c r="U46" i="13"/>
  <c r="AB46" i="12"/>
  <c r="V46" i="12"/>
  <c r="V46" i="13"/>
  <c r="O46" i="12"/>
  <c r="O46" i="13"/>
  <c r="AB46" i="13"/>
  <c r="AA82" i="14"/>
  <c r="I82" i="14"/>
  <c r="AR82" i="14" s="1"/>
  <c r="V82" i="14"/>
  <c r="U82" i="14"/>
  <c r="AB82" i="14"/>
  <c r="V14" i="17"/>
  <c r="O14" i="17"/>
  <c r="O82" i="14"/>
  <c r="AB14" i="17"/>
  <c r="I14" i="17"/>
  <c r="U14" i="19"/>
  <c r="U14" i="17"/>
  <c r="AA14" i="19"/>
  <c r="AA14" i="17"/>
  <c r="AB14" i="19"/>
  <c r="V14" i="19"/>
  <c r="O14" i="19"/>
  <c r="I14" i="19"/>
  <c r="AL7" i="18"/>
  <c r="AM7" i="18" s="1"/>
  <c r="AN7" i="18" s="1"/>
  <c r="F8" i="18"/>
  <c r="G8" i="18" s="1"/>
  <c r="AR8" i="18" s="1"/>
  <c r="AY13" i="19"/>
  <c r="E15" i="19"/>
  <c r="AZ14" i="19"/>
  <c r="C14" i="19"/>
  <c r="AX14" i="19"/>
  <c r="AL8" i="14"/>
  <c r="AM8" i="14" s="1"/>
  <c r="F9" i="14"/>
  <c r="AM7" i="12"/>
  <c r="AN7" i="12" s="1"/>
  <c r="G8" i="12"/>
  <c r="AR8" i="12" s="1"/>
  <c r="BE14" i="14"/>
  <c r="AX14" i="14"/>
  <c r="BB14" i="14" s="1"/>
  <c r="AY14" i="14"/>
  <c r="BD14" i="14" s="1"/>
  <c r="BF14" i="14"/>
  <c r="AW14" i="14"/>
  <c r="BA14" i="14" s="1"/>
  <c r="E15" i="14"/>
  <c r="C14" i="14"/>
  <c r="BD14" i="16"/>
  <c r="C14" i="16"/>
  <c r="AZ14" i="16"/>
  <c r="AX14" i="16"/>
  <c r="E15" i="16"/>
  <c r="AY13" i="16"/>
  <c r="AY12" i="17"/>
  <c r="AS13" i="14"/>
  <c r="AQ13" i="14"/>
  <c r="AU13" i="14"/>
  <c r="AS12" i="18"/>
  <c r="AQ12" i="18"/>
  <c r="AU12" i="18"/>
  <c r="AY12" i="18"/>
  <c r="E14" i="17"/>
  <c r="C13" i="17"/>
  <c r="AX13" i="17"/>
  <c r="AZ13" i="17"/>
  <c r="BG45" i="13"/>
  <c r="BF45" i="13"/>
  <c r="E46" i="13"/>
  <c r="C45" i="13"/>
  <c r="AR45" i="13" s="1"/>
  <c r="AZ45" i="13"/>
  <c r="BE45" i="13" s="1"/>
  <c r="AY45" i="13"/>
  <c r="BC45" i="13" s="1"/>
  <c r="AX45" i="13"/>
  <c r="BB45" i="13" s="1"/>
  <c r="H7" i="13"/>
  <c r="C13" i="18"/>
  <c r="E14" i="18"/>
  <c r="AX13" i="18"/>
  <c r="AZ13" i="18"/>
  <c r="AY14" i="15"/>
  <c r="C15" i="15"/>
  <c r="AX15" i="15"/>
  <c r="E16" i="15"/>
  <c r="AZ15" i="15"/>
  <c r="E16" i="13"/>
  <c r="BF15" i="13"/>
  <c r="C15" i="13"/>
  <c r="AY15" i="13"/>
  <c r="BC15" i="13" s="1"/>
  <c r="AX15" i="13"/>
  <c r="BB15" i="13" s="1"/>
  <c r="BG15" i="13"/>
  <c r="AZ15" i="13"/>
  <c r="BE15" i="13" s="1"/>
  <c r="AY83" i="14"/>
  <c r="BD83" i="14" s="1"/>
  <c r="E84" i="14"/>
  <c r="AW83" i="14"/>
  <c r="BA83" i="14" s="1"/>
  <c r="BF83" i="14"/>
  <c r="AX83" i="14"/>
  <c r="BB83" i="14" s="1"/>
  <c r="BE83" i="14"/>
  <c r="C83" i="14"/>
  <c r="AW19" i="3"/>
  <c r="AQ19" i="3"/>
  <c r="AG16" i="3"/>
  <c r="A17" i="3"/>
  <c r="BI17" i="3" s="1"/>
  <c r="BJ17" i="3" s="1"/>
  <c r="AL16" i="3"/>
  <c r="H16" i="3"/>
  <c r="AH16" i="3"/>
  <c r="BD15" i="3"/>
  <c r="G18" i="3"/>
  <c r="AV17" i="3"/>
  <c r="AX17" i="3" s="1"/>
  <c r="V17" i="3"/>
  <c r="X17" i="3" s="1"/>
  <c r="Y16" i="3"/>
  <c r="BC15" i="3"/>
  <c r="AE16" i="3"/>
  <c r="N58" i="4"/>
  <c r="O58" i="4" s="1"/>
  <c r="M59" i="4"/>
  <c r="E60" i="4"/>
  <c r="F59" i="4"/>
  <c r="G59" i="4" s="1"/>
  <c r="K14" i="2" l="1"/>
  <c r="K13" i="2"/>
  <c r="K8" i="2"/>
  <c r="K15" i="2"/>
  <c r="L3" i="2"/>
  <c r="L7" i="2" s="1"/>
  <c r="K12" i="2"/>
  <c r="P16" i="3"/>
  <c r="Y79" i="23"/>
  <c r="AC79" i="23" s="1"/>
  <c r="X80" i="23" s="1"/>
  <c r="AA80" i="23" s="1"/>
  <c r="Z79" i="23"/>
  <c r="AG78" i="23"/>
  <c r="AF79" i="23" s="1"/>
  <c r="L41" i="22"/>
  <c r="O41" i="22" s="1"/>
  <c r="AS40" i="22"/>
  <c r="AS75" i="23"/>
  <c r="AU40" i="22"/>
  <c r="AU75" i="23"/>
  <c r="Z10" i="29"/>
  <c r="AA10" i="29"/>
  <c r="M76" i="23"/>
  <c r="O76" i="23"/>
  <c r="N76" i="23"/>
  <c r="P77" i="23"/>
  <c r="AQ75" i="23"/>
  <c r="J41" i="21"/>
  <c r="I40" i="21"/>
  <c r="Q40" i="21" s="1"/>
  <c r="L41" i="21" s="1"/>
  <c r="M8" i="29"/>
  <c r="O8" i="29"/>
  <c r="N8" i="29"/>
  <c r="P9" i="29"/>
  <c r="T79" i="23"/>
  <c r="S79" i="23"/>
  <c r="W79" i="23" s="1"/>
  <c r="R80" i="23" s="1"/>
  <c r="U80" i="23" s="1"/>
  <c r="L68" i="2"/>
  <c r="L75" i="2"/>
  <c r="L41" i="2"/>
  <c r="AQ12" i="12"/>
  <c r="AL17" i="3"/>
  <c r="AR19" i="3"/>
  <c r="P17" i="20"/>
  <c r="AR14" i="19"/>
  <c r="AN17" i="20"/>
  <c r="O18" i="20"/>
  <c r="AQ17" i="20"/>
  <c r="AR17" i="20" s="1"/>
  <c r="H40" i="21"/>
  <c r="AO40" i="21" s="1"/>
  <c r="G40" i="21"/>
  <c r="K40" i="21" s="1"/>
  <c r="C46" i="12"/>
  <c r="BG46" i="12"/>
  <c r="E47" i="12"/>
  <c r="AY46" i="12"/>
  <c r="BC46" i="12" s="1"/>
  <c r="AZ46" i="12"/>
  <c r="BE46" i="12" s="1"/>
  <c r="AX46" i="12"/>
  <c r="BB46" i="12" s="1"/>
  <c r="BF46" i="12"/>
  <c r="BB13" i="12"/>
  <c r="C13" i="12"/>
  <c r="BF13" i="12"/>
  <c r="BG13" i="12"/>
  <c r="AY13" i="12"/>
  <c r="BC13" i="12" s="1"/>
  <c r="E14" i="12"/>
  <c r="AX14" i="12" s="1"/>
  <c r="AZ13" i="12"/>
  <c r="BE13" i="12" s="1"/>
  <c r="H8" i="21"/>
  <c r="F9" i="21" s="1"/>
  <c r="G9" i="21" s="1"/>
  <c r="AR9" i="21" s="1"/>
  <c r="AL7" i="21"/>
  <c r="Z43" i="21"/>
  <c r="Y43" i="21"/>
  <c r="AC43" i="21" s="1"/>
  <c r="X44" i="21" s="1"/>
  <c r="AB44" i="21" s="1"/>
  <c r="T43" i="21"/>
  <c r="S43" i="21"/>
  <c r="W43" i="21" s="1"/>
  <c r="R44" i="21" s="1"/>
  <c r="V44" i="21" s="1"/>
  <c r="AQ12" i="21"/>
  <c r="AS12" i="21"/>
  <c r="AU12" i="21"/>
  <c r="AX45" i="21"/>
  <c r="BB45" i="21" s="1"/>
  <c r="AY45" i="21"/>
  <c r="BC45" i="21" s="1"/>
  <c r="C45" i="21"/>
  <c r="BF45" i="21"/>
  <c r="BG45" i="21"/>
  <c r="AZ45" i="21"/>
  <c r="BE45" i="21" s="1"/>
  <c r="E46" i="21"/>
  <c r="AX13" i="21"/>
  <c r="BB13" i="21" s="1"/>
  <c r="AY13" i="21"/>
  <c r="BC13" i="21" s="1"/>
  <c r="BG13" i="21"/>
  <c r="BF13" i="21"/>
  <c r="C13" i="21"/>
  <c r="E14" i="21"/>
  <c r="AZ13" i="21"/>
  <c r="BE13" i="21" s="1"/>
  <c r="AY12" i="29"/>
  <c r="C13" i="29"/>
  <c r="AX13" i="29"/>
  <c r="AZ13" i="29"/>
  <c r="E14" i="29"/>
  <c r="J9" i="29"/>
  <c r="H8" i="29"/>
  <c r="AU7" i="29"/>
  <c r="AS7" i="29"/>
  <c r="AQ7" i="29"/>
  <c r="Y10" i="29"/>
  <c r="AG9" i="29"/>
  <c r="AF10" i="29" s="1"/>
  <c r="W8" i="29"/>
  <c r="R9" i="29" s="1"/>
  <c r="AO7" i="29"/>
  <c r="G8" i="29"/>
  <c r="AL7" i="29"/>
  <c r="AY13" i="26"/>
  <c r="AY13" i="28"/>
  <c r="H7" i="26"/>
  <c r="AS13" i="26"/>
  <c r="AU13" i="26"/>
  <c r="AQ13" i="26"/>
  <c r="AZ14" i="26"/>
  <c r="C14" i="26"/>
  <c r="AX14" i="26"/>
  <c r="E15" i="26"/>
  <c r="AE10" i="28"/>
  <c r="AD11" i="28" s="1"/>
  <c r="AT11" i="28" s="1"/>
  <c r="T11" i="28"/>
  <c r="S11" i="28"/>
  <c r="W11" i="28" s="1"/>
  <c r="R12" i="28" s="1"/>
  <c r="V12" i="28" s="1"/>
  <c r="AQ7" i="28"/>
  <c r="AS7" i="28"/>
  <c r="AU7" i="28"/>
  <c r="C14" i="28"/>
  <c r="AX14" i="28"/>
  <c r="AZ14" i="28"/>
  <c r="E15" i="28"/>
  <c r="F8" i="28"/>
  <c r="I8" i="28" s="1"/>
  <c r="Q8" i="28" s="1"/>
  <c r="L9" i="28" s="1"/>
  <c r="AN7" i="15"/>
  <c r="AE78" i="23"/>
  <c r="AD79" i="23" s="1"/>
  <c r="AT79" i="23" s="1"/>
  <c r="H8" i="15"/>
  <c r="F9" i="15" s="1"/>
  <c r="G9" i="15" s="1"/>
  <c r="AR9" i="15" s="1"/>
  <c r="AQ7" i="25"/>
  <c r="AS7" i="25"/>
  <c r="AU7" i="25"/>
  <c r="BA14" i="25"/>
  <c r="BB14" i="25"/>
  <c r="BC14" i="25"/>
  <c r="N8" i="25"/>
  <c r="P9" i="25"/>
  <c r="AY13" i="25"/>
  <c r="AM7" i="25"/>
  <c r="AN7" i="25" s="1"/>
  <c r="F8" i="25"/>
  <c r="BD14" i="25"/>
  <c r="C14" i="25"/>
  <c r="AX14" i="25"/>
  <c r="AZ14" i="25"/>
  <c r="E15" i="25"/>
  <c r="AQ13" i="24"/>
  <c r="AS13" i="24"/>
  <c r="AU13" i="24"/>
  <c r="AY13" i="24"/>
  <c r="AZ14" i="24"/>
  <c r="AX14" i="24"/>
  <c r="C14" i="24"/>
  <c r="E15" i="24"/>
  <c r="H7" i="24"/>
  <c r="AQ15" i="15"/>
  <c r="AS15" i="15"/>
  <c r="AU15" i="15"/>
  <c r="H76" i="23"/>
  <c r="J77" i="23"/>
  <c r="G76" i="23"/>
  <c r="K76" i="23" s="1"/>
  <c r="AW13" i="23"/>
  <c r="BA13" i="23" s="1"/>
  <c r="AX13" i="23"/>
  <c r="BB13" i="23" s="1"/>
  <c r="AY13" i="23"/>
  <c r="BD13" i="23" s="1"/>
  <c r="E14" i="23"/>
  <c r="C13" i="23"/>
  <c r="BF13" i="23"/>
  <c r="BE13" i="23"/>
  <c r="AU12" i="23"/>
  <c r="AS12" i="23"/>
  <c r="AQ12" i="23"/>
  <c r="AW83" i="23"/>
  <c r="BA83" i="23" s="1"/>
  <c r="AX83" i="23"/>
  <c r="BB83" i="23" s="1"/>
  <c r="AY83" i="23"/>
  <c r="BD83" i="23" s="1"/>
  <c r="H7" i="23"/>
  <c r="AL7" i="22"/>
  <c r="AM7" i="22" s="1"/>
  <c r="C83" i="23"/>
  <c r="BE83" i="23"/>
  <c r="BF83" i="23"/>
  <c r="E84" i="23"/>
  <c r="S43" i="22"/>
  <c r="W43" i="22" s="1"/>
  <c r="R44" i="22" s="1"/>
  <c r="U44" i="22" s="1"/>
  <c r="T43" i="22"/>
  <c r="Z43" i="22"/>
  <c r="Y43" i="22"/>
  <c r="AC43" i="22" s="1"/>
  <c r="X44" i="22" s="1"/>
  <c r="AA44" i="22" s="1"/>
  <c r="H8" i="22"/>
  <c r="BF45" i="22"/>
  <c r="C45" i="22"/>
  <c r="BG45" i="22"/>
  <c r="AX45" i="22"/>
  <c r="BB45" i="22" s="1"/>
  <c r="AY45" i="22"/>
  <c r="BC45" i="22" s="1"/>
  <c r="E46" i="22"/>
  <c r="AZ45" i="22"/>
  <c r="BE45" i="22" s="1"/>
  <c r="BF13" i="22"/>
  <c r="BG13" i="22"/>
  <c r="C13" i="22"/>
  <c r="AX13" i="22"/>
  <c r="BB13" i="22" s="1"/>
  <c r="AY13" i="22"/>
  <c r="BC13" i="22" s="1"/>
  <c r="E14" i="22"/>
  <c r="AZ13" i="22"/>
  <c r="BE13" i="22" s="1"/>
  <c r="AQ12" i="22"/>
  <c r="AS12" i="22"/>
  <c r="AU12" i="22"/>
  <c r="H42" i="22"/>
  <c r="G42" i="22"/>
  <c r="K42" i="22" s="1"/>
  <c r="F43" i="22" s="1"/>
  <c r="I43" i="22" s="1"/>
  <c r="AR43" i="22" s="1"/>
  <c r="J43" i="22"/>
  <c r="AC10" i="28"/>
  <c r="O12" i="25"/>
  <c r="AG42" i="22"/>
  <c r="AF43" i="22" s="1"/>
  <c r="AE42" i="22"/>
  <c r="AD43" i="22" s="1"/>
  <c r="AT43" i="22" s="1"/>
  <c r="M1" i="2"/>
  <c r="AU12" i="12"/>
  <c r="AS12" i="12"/>
  <c r="AU14" i="13"/>
  <c r="AS14" i="13"/>
  <c r="AB47" i="12"/>
  <c r="O47" i="12"/>
  <c r="AB47" i="13"/>
  <c r="O47" i="13"/>
  <c r="V47" i="12"/>
  <c r="V47" i="13"/>
  <c r="AA47" i="12"/>
  <c r="U47" i="13"/>
  <c r="U47" i="12"/>
  <c r="I47" i="13"/>
  <c r="I47" i="12"/>
  <c r="U83" i="14"/>
  <c r="V83" i="14"/>
  <c r="AA47" i="13"/>
  <c r="O83" i="14"/>
  <c r="AA15" i="17"/>
  <c r="I15" i="17"/>
  <c r="I83" i="14"/>
  <c r="AR83" i="14" s="1"/>
  <c r="AB15" i="17"/>
  <c r="V15" i="17"/>
  <c r="O15" i="17"/>
  <c r="V15" i="19"/>
  <c r="AB83" i="14"/>
  <c r="O15" i="19"/>
  <c r="AA15" i="19"/>
  <c r="U15" i="17"/>
  <c r="AB15" i="19"/>
  <c r="I15" i="19"/>
  <c r="AA83" i="14"/>
  <c r="U15" i="19"/>
  <c r="AN8" i="14"/>
  <c r="AY14" i="19"/>
  <c r="AX15" i="19"/>
  <c r="C15" i="19"/>
  <c r="AZ15" i="19"/>
  <c r="E16" i="19"/>
  <c r="G9" i="14"/>
  <c r="AR9" i="14" s="1"/>
  <c r="H8" i="12"/>
  <c r="AX15" i="16"/>
  <c r="AZ15" i="16"/>
  <c r="BD15" i="16"/>
  <c r="C15" i="16"/>
  <c r="E16" i="16"/>
  <c r="AY13" i="17"/>
  <c r="AX15" i="14"/>
  <c r="BB15" i="14" s="1"/>
  <c r="AW15" i="14"/>
  <c r="BA15" i="14" s="1"/>
  <c r="AY15" i="14"/>
  <c r="BD15" i="14" s="1"/>
  <c r="BE15" i="14"/>
  <c r="BF15" i="14"/>
  <c r="C15" i="14"/>
  <c r="E16" i="14"/>
  <c r="AY14" i="16"/>
  <c r="AU14" i="14"/>
  <c r="AS14" i="14"/>
  <c r="AQ14" i="14"/>
  <c r="H8" i="18"/>
  <c r="F9" i="18" s="1"/>
  <c r="AU13" i="18"/>
  <c r="AQ13" i="18"/>
  <c r="AS13" i="18"/>
  <c r="F8" i="13"/>
  <c r="AL7" i="13"/>
  <c r="AM7" i="13" s="1"/>
  <c r="AN7" i="13" s="1"/>
  <c r="AY13" i="18"/>
  <c r="BG46" i="13"/>
  <c r="AX46" i="13"/>
  <c r="BB46" i="13" s="1"/>
  <c r="AZ46" i="13"/>
  <c r="BE46" i="13" s="1"/>
  <c r="E47" i="13"/>
  <c r="AY46" i="13"/>
  <c r="BC46" i="13" s="1"/>
  <c r="BF46" i="13"/>
  <c r="C46" i="13"/>
  <c r="AR46" i="13" s="1"/>
  <c r="C14" i="17"/>
  <c r="AZ14" i="17"/>
  <c r="E15" i="17"/>
  <c r="AX14" i="17"/>
  <c r="AX14" i="18"/>
  <c r="AZ14" i="18"/>
  <c r="E15" i="18"/>
  <c r="C14" i="18"/>
  <c r="AX16" i="15"/>
  <c r="AZ16" i="15"/>
  <c r="C16" i="15"/>
  <c r="E17" i="15"/>
  <c r="AY15" i="15"/>
  <c r="BG16" i="13"/>
  <c r="AX16" i="13"/>
  <c r="BB16" i="13" s="1"/>
  <c r="BF16" i="13"/>
  <c r="AZ16" i="13"/>
  <c r="BE16" i="13" s="1"/>
  <c r="C16" i="13"/>
  <c r="E17" i="13"/>
  <c r="AY16" i="13"/>
  <c r="BC16" i="13" s="1"/>
  <c r="AS15" i="13"/>
  <c r="AU15" i="13"/>
  <c r="AQ15" i="13"/>
  <c r="AX84" i="14"/>
  <c r="BB84" i="14" s="1"/>
  <c r="C84" i="14"/>
  <c r="BF84" i="14"/>
  <c r="E85" i="14"/>
  <c r="AW84" i="14"/>
  <c r="BA84" i="14" s="1"/>
  <c r="AY84" i="14"/>
  <c r="BD84" i="14" s="1"/>
  <c r="BE84" i="14"/>
  <c r="V18" i="3"/>
  <c r="X18" i="3" s="1"/>
  <c r="G19" i="3"/>
  <c r="AV18" i="3"/>
  <c r="AX18" i="3" s="1"/>
  <c r="AQ20" i="3"/>
  <c r="AN20" i="3"/>
  <c r="AN21" i="3" s="1"/>
  <c r="Y17" i="3"/>
  <c r="H17" i="3"/>
  <c r="BC16" i="3"/>
  <c r="AE17" i="3"/>
  <c r="AH17" i="3"/>
  <c r="BD16" i="3"/>
  <c r="AM17" i="3"/>
  <c r="AG17" i="3"/>
  <c r="AW20" i="3"/>
  <c r="A18" i="3"/>
  <c r="BI18" i="3" s="1"/>
  <c r="BJ18" i="3" s="1"/>
  <c r="M60" i="4"/>
  <c r="N59" i="4"/>
  <c r="O59" i="4" s="1"/>
  <c r="F60" i="4"/>
  <c r="G60" i="4" s="1"/>
  <c r="E61" i="4"/>
  <c r="L14" i="2" l="1"/>
  <c r="M3" i="2"/>
  <c r="M7" i="2" s="1"/>
  <c r="L12" i="2"/>
  <c r="L8" i="2"/>
  <c r="L15" i="2"/>
  <c r="L13" i="2"/>
  <c r="P17" i="3"/>
  <c r="Y80" i="23"/>
  <c r="AC80" i="23" s="1"/>
  <c r="X81" i="23" s="1"/>
  <c r="AA81" i="23" s="1"/>
  <c r="Z80" i="23"/>
  <c r="AG79" i="23"/>
  <c r="AF80" i="23" s="1"/>
  <c r="AL8" i="29"/>
  <c r="AM8" i="29" s="1"/>
  <c r="Q8" i="29"/>
  <c r="L9" i="29" s="1"/>
  <c r="N9" i="29" s="1"/>
  <c r="P42" i="22"/>
  <c r="N41" i="22"/>
  <c r="AO41" i="22" s="1"/>
  <c r="M41" i="22"/>
  <c r="Q41" i="22" s="1"/>
  <c r="AQ41" i="22" s="1"/>
  <c r="AP8" i="29"/>
  <c r="M9" i="28"/>
  <c r="O9" i="28"/>
  <c r="N9" i="28"/>
  <c r="P10" i="28"/>
  <c r="O41" i="21"/>
  <c r="P42" i="21"/>
  <c r="M41" i="21"/>
  <c r="N41" i="21"/>
  <c r="Q76" i="23"/>
  <c r="L77" i="23" s="1"/>
  <c r="T80" i="23"/>
  <c r="S80" i="23"/>
  <c r="W80" i="23" s="1"/>
  <c r="R81" i="23" s="1"/>
  <c r="U81" i="23" s="1"/>
  <c r="T9" i="29"/>
  <c r="U9" i="29"/>
  <c r="O9" i="29"/>
  <c r="AQ40" i="21"/>
  <c r="M68" i="2"/>
  <c r="AR15" i="19"/>
  <c r="M75" i="2"/>
  <c r="M41" i="2"/>
  <c r="BG14" i="12"/>
  <c r="AU13" i="12"/>
  <c r="AR20" i="3"/>
  <c r="P18" i="20"/>
  <c r="AN18" i="20"/>
  <c r="AL18" i="3"/>
  <c r="F41" i="21"/>
  <c r="AS40" i="21"/>
  <c r="AU40" i="21"/>
  <c r="AQ18" i="20"/>
  <c r="AR18" i="20" s="1"/>
  <c r="O19" i="20"/>
  <c r="BF47" i="12"/>
  <c r="E48" i="12"/>
  <c r="AZ47" i="12"/>
  <c r="BE47" i="12" s="1"/>
  <c r="AY47" i="12"/>
  <c r="BC47" i="12" s="1"/>
  <c r="BG47" i="12"/>
  <c r="C47" i="12"/>
  <c r="AX47" i="12"/>
  <c r="BB47" i="12" s="1"/>
  <c r="C14" i="12"/>
  <c r="BF14" i="12"/>
  <c r="AY14" i="12"/>
  <c r="BC14" i="12" s="1"/>
  <c r="E15" i="12"/>
  <c r="AX15" i="12" s="1"/>
  <c r="AZ14" i="12"/>
  <c r="BE14" i="12" s="1"/>
  <c r="BB14" i="12"/>
  <c r="AS13" i="12"/>
  <c r="AQ13" i="12"/>
  <c r="H9" i="21"/>
  <c r="F10" i="21" s="1"/>
  <c r="AL8" i="21"/>
  <c r="AM8" i="21" s="1"/>
  <c r="AM7" i="21"/>
  <c r="AN7" i="21" s="1"/>
  <c r="Z44" i="21"/>
  <c r="Y44" i="21"/>
  <c r="AC44" i="21" s="1"/>
  <c r="X45" i="21" s="1"/>
  <c r="AB45" i="21" s="1"/>
  <c r="T44" i="21"/>
  <c r="S44" i="21"/>
  <c r="W44" i="21" s="1"/>
  <c r="R45" i="21" s="1"/>
  <c r="V45" i="21" s="1"/>
  <c r="AQ13" i="21"/>
  <c r="AS13" i="21"/>
  <c r="AU13" i="21"/>
  <c r="BF14" i="21"/>
  <c r="BG14" i="21"/>
  <c r="C14" i="21"/>
  <c r="AX14" i="21"/>
  <c r="BB14" i="21" s="1"/>
  <c r="AY14" i="21"/>
  <c r="BC14" i="21" s="1"/>
  <c r="AZ14" i="21"/>
  <c r="BE14" i="21" s="1"/>
  <c r="E15" i="21"/>
  <c r="C46" i="21"/>
  <c r="BF46" i="21"/>
  <c r="BG46" i="21"/>
  <c r="AX46" i="21"/>
  <c r="BB46" i="21" s="1"/>
  <c r="AY46" i="21"/>
  <c r="BC46" i="21" s="1"/>
  <c r="E47" i="21"/>
  <c r="AZ46" i="21"/>
  <c r="BE46" i="21" s="1"/>
  <c r="AY14" i="28"/>
  <c r="AG10" i="29"/>
  <c r="AF11" i="29" s="1"/>
  <c r="C14" i="29"/>
  <c r="AX14" i="29"/>
  <c r="AZ14" i="29"/>
  <c r="E15" i="29"/>
  <c r="AM7" i="29"/>
  <c r="AN7" i="29" s="1"/>
  <c r="AY13" i="29"/>
  <c r="S9" i="29"/>
  <c r="AE9" i="29" s="1"/>
  <c r="AD10" i="29" s="1"/>
  <c r="AT10" i="29" s="1"/>
  <c r="AO8" i="29"/>
  <c r="AY14" i="26"/>
  <c r="AS14" i="26"/>
  <c r="AU14" i="26"/>
  <c r="AQ14" i="26"/>
  <c r="AL7" i="26"/>
  <c r="F8" i="26"/>
  <c r="C15" i="26"/>
  <c r="AX15" i="26"/>
  <c r="AZ15" i="26"/>
  <c r="E16" i="26"/>
  <c r="AE11" i="28"/>
  <c r="AD12" i="28" s="1"/>
  <c r="AT12" i="28" s="1"/>
  <c r="T12" i="28"/>
  <c r="S12" i="28"/>
  <c r="W12" i="28" s="1"/>
  <c r="R13" i="28" s="1"/>
  <c r="V13" i="28" s="1"/>
  <c r="J9" i="28"/>
  <c r="H8" i="28"/>
  <c r="AP8" i="28" s="1"/>
  <c r="G8" i="28"/>
  <c r="AL8" i="28" s="1"/>
  <c r="AM8" i="28" s="1"/>
  <c r="AX15" i="28"/>
  <c r="C15" i="28"/>
  <c r="AZ15" i="28"/>
  <c r="E16" i="28"/>
  <c r="X11" i="28"/>
  <c r="AB11" i="28" s="1"/>
  <c r="AY14" i="25"/>
  <c r="AL8" i="15"/>
  <c r="BA15" i="25"/>
  <c r="BB15" i="25"/>
  <c r="BC15" i="25"/>
  <c r="G8" i="25"/>
  <c r="AR8" i="25" s="1"/>
  <c r="AY14" i="24"/>
  <c r="C15" i="25"/>
  <c r="AX15" i="25"/>
  <c r="AZ15" i="25"/>
  <c r="BD15" i="25"/>
  <c r="E16" i="25"/>
  <c r="J9" i="25"/>
  <c r="H8" i="25"/>
  <c r="AP8" i="25" s="1"/>
  <c r="AQ14" i="24"/>
  <c r="AU14" i="24"/>
  <c r="AS14" i="24"/>
  <c r="AX15" i="24"/>
  <c r="C15" i="24"/>
  <c r="AZ15" i="24"/>
  <c r="E16" i="24"/>
  <c r="F8" i="24"/>
  <c r="AL7" i="24"/>
  <c r="AM7" i="24" s="1"/>
  <c r="H9" i="15"/>
  <c r="AQ16" i="15"/>
  <c r="AS16" i="15"/>
  <c r="AU16" i="15"/>
  <c r="F77" i="23"/>
  <c r="I77" i="23" s="1"/>
  <c r="AR77" i="23" s="1"/>
  <c r="AO76" i="23"/>
  <c r="AP76" i="23"/>
  <c r="AL76" i="23"/>
  <c r="AM76" i="23" s="1"/>
  <c r="AN76" i="23" s="1"/>
  <c r="F8" i="23"/>
  <c r="AL7" i="23"/>
  <c r="AM7" i="23" s="1"/>
  <c r="AQ13" i="23"/>
  <c r="AS13" i="23"/>
  <c r="AU13" i="23"/>
  <c r="AX14" i="23"/>
  <c r="BB14" i="23" s="1"/>
  <c r="AW14" i="23"/>
  <c r="BA14" i="23" s="1"/>
  <c r="AY14" i="23"/>
  <c r="BD14" i="23" s="1"/>
  <c r="BE14" i="23"/>
  <c r="C14" i="23"/>
  <c r="E15" i="23"/>
  <c r="BF14" i="23"/>
  <c r="AX84" i="23"/>
  <c r="BB84" i="23" s="1"/>
  <c r="AW84" i="23"/>
  <c r="BA84" i="23" s="1"/>
  <c r="AY84" i="23"/>
  <c r="BD84" i="23" s="1"/>
  <c r="AN7" i="22"/>
  <c r="C84" i="23"/>
  <c r="BE84" i="23"/>
  <c r="BF84" i="23"/>
  <c r="E85" i="23"/>
  <c r="AM75" i="23"/>
  <c r="AN75" i="23" s="1"/>
  <c r="T44" i="22"/>
  <c r="S44" i="22"/>
  <c r="W44" i="22" s="1"/>
  <c r="R45" i="22" s="1"/>
  <c r="U45" i="22" s="1"/>
  <c r="Z44" i="22"/>
  <c r="Y44" i="22"/>
  <c r="AC44" i="22" s="1"/>
  <c r="X45" i="22" s="1"/>
  <c r="AA45" i="22" s="1"/>
  <c r="AX14" i="22"/>
  <c r="BB14" i="22" s="1"/>
  <c r="AY14" i="22"/>
  <c r="BC14" i="22" s="1"/>
  <c r="BG14" i="22"/>
  <c r="C14" i="22"/>
  <c r="BF14" i="22"/>
  <c r="E15" i="22"/>
  <c r="AZ14" i="22"/>
  <c r="BE14" i="22" s="1"/>
  <c r="AQ13" i="22"/>
  <c r="AU13" i="22"/>
  <c r="AS13" i="22"/>
  <c r="C46" i="22"/>
  <c r="BF46" i="22"/>
  <c r="BG46" i="22"/>
  <c r="AX46" i="22"/>
  <c r="BB46" i="22" s="1"/>
  <c r="AY46" i="22"/>
  <c r="BC46" i="22" s="1"/>
  <c r="AZ46" i="22"/>
  <c r="BE46" i="22" s="1"/>
  <c r="E47" i="22"/>
  <c r="H43" i="22"/>
  <c r="G43" i="22"/>
  <c r="K43" i="22" s="1"/>
  <c r="J44" i="22"/>
  <c r="F9" i="22"/>
  <c r="AL8" i="22"/>
  <c r="AM8" i="22" s="1"/>
  <c r="AL40" i="22"/>
  <c r="AP40" i="22"/>
  <c r="AL40" i="21"/>
  <c r="AM40" i="21" s="1"/>
  <c r="AP40" i="21"/>
  <c r="AG41" i="21"/>
  <c r="AF42" i="21" s="1"/>
  <c r="AE41" i="21"/>
  <c r="AD42" i="21" s="1"/>
  <c r="AT42" i="21" s="1"/>
  <c r="K8" i="29"/>
  <c r="AC10" i="29"/>
  <c r="X11" i="29" s="1"/>
  <c r="M8" i="25"/>
  <c r="O13" i="25"/>
  <c r="AG43" i="22"/>
  <c r="AF44" i="22" s="1"/>
  <c r="AE79" i="23"/>
  <c r="AD80" i="23" s="1"/>
  <c r="AT80" i="23" s="1"/>
  <c r="AE43" i="22"/>
  <c r="AD44" i="22" s="1"/>
  <c r="AT44" i="22" s="1"/>
  <c r="N1" i="2"/>
  <c r="U48" i="12"/>
  <c r="U48" i="13"/>
  <c r="AA48" i="12"/>
  <c r="I48" i="12"/>
  <c r="AA48" i="13"/>
  <c r="I48" i="13"/>
  <c r="AB48" i="12"/>
  <c r="V48" i="13"/>
  <c r="O48" i="13"/>
  <c r="AB48" i="13"/>
  <c r="AA84" i="14"/>
  <c r="I84" i="14"/>
  <c r="AR84" i="14" s="1"/>
  <c r="U84" i="14"/>
  <c r="O84" i="14"/>
  <c r="V48" i="12"/>
  <c r="V84" i="14"/>
  <c r="AB16" i="17"/>
  <c r="O16" i="17"/>
  <c r="O48" i="12"/>
  <c r="V16" i="17"/>
  <c r="AB84" i="14"/>
  <c r="U16" i="17"/>
  <c r="AA16" i="17"/>
  <c r="AA16" i="19"/>
  <c r="I16" i="19"/>
  <c r="I16" i="17"/>
  <c r="AB16" i="19"/>
  <c r="U16" i="19"/>
  <c r="O16" i="19"/>
  <c r="V16" i="19"/>
  <c r="AY15" i="19"/>
  <c r="H9" i="14"/>
  <c r="AX16" i="19"/>
  <c r="C16" i="19"/>
  <c r="E17" i="19"/>
  <c r="AZ16" i="19"/>
  <c r="AL8" i="18"/>
  <c r="AM8" i="18" s="1"/>
  <c r="AN8" i="18" s="1"/>
  <c r="F9" i="12"/>
  <c r="AL8" i="12"/>
  <c r="AY14" i="17"/>
  <c r="AU15" i="14"/>
  <c r="AS15" i="14"/>
  <c r="AQ15" i="14"/>
  <c r="AY15" i="16"/>
  <c r="G9" i="18"/>
  <c r="AR9" i="18" s="1"/>
  <c r="E17" i="14"/>
  <c r="AY16" i="14"/>
  <c r="BD16" i="14" s="1"/>
  <c r="BE16" i="14"/>
  <c r="BF16" i="14"/>
  <c r="AW16" i="14"/>
  <c r="BA16" i="14" s="1"/>
  <c r="C16" i="14"/>
  <c r="AX16" i="14"/>
  <c r="BB16" i="14" s="1"/>
  <c r="AX16" i="16"/>
  <c r="C16" i="16"/>
  <c r="E17" i="16"/>
  <c r="AZ16" i="16"/>
  <c r="BD16" i="16"/>
  <c r="AX15" i="18"/>
  <c r="AZ15" i="18"/>
  <c r="C15" i="18"/>
  <c r="E16" i="18"/>
  <c r="G8" i="13"/>
  <c r="AR8" i="13" s="1"/>
  <c r="AY14" i="18"/>
  <c r="AZ15" i="17"/>
  <c r="E16" i="17"/>
  <c r="C15" i="17"/>
  <c r="AX15" i="17"/>
  <c r="AY47" i="13"/>
  <c r="BC47" i="13" s="1"/>
  <c r="AX47" i="13"/>
  <c r="BB47" i="13" s="1"/>
  <c r="BG47" i="13"/>
  <c r="BF47" i="13"/>
  <c r="C47" i="13"/>
  <c r="AR47" i="13" s="1"/>
  <c r="AZ47" i="13"/>
  <c r="BE47" i="13" s="1"/>
  <c r="E48" i="13"/>
  <c r="AQ14" i="18"/>
  <c r="AU14" i="18"/>
  <c r="AS14" i="18"/>
  <c r="AX17" i="15"/>
  <c r="AZ17" i="15"/>
  <c r="C17" i="15"/>
  <c r="E18" i="15"/>
  <c r="AY16" i="15"/>
  <c r="AY17" i="13"/>
  <c r="BC17" i="13" s="1"/>
  <c r="E18" i="13"/>
  <c r="BG17" i="13"/>
  <c r="AZ17" i="13"/>
  <c r="BE17" i="13" s="1"/>
  <c r="C17" i="13"/>
  <c r="BF17" i="13"/>
  <c r="AS16" i="13"/>
  <c r="AU16" i="13"/>
  <c r="AQ16" i="13"/>
  <c r="BF85" i="14"/>
  <c r="AW85" i="14"/>
  <c r="BA85" i="14" s="1"/>
  <c r="BE85" i="14"/>
  <c r="AX85" i="14"/>
  <c r="BB85" i="14" s="1"/>
  <c r="E86" i="14"/>
  <c r="AY85" i="14"/>
  <c r="BD85" i="14" s="1"/>
  <c r="C85" i="14"/>
  <c r="H18" i="3"/>
  <c r="AH18" i="3"/>
  <c r="BD17" i="3"/>
  <c r="AN22" i="3"/>
  <c r="G20" i="3"/>
  <c r="AV19" i="3"/>
  <c r="AX19" i="3" s="1"/>
  <c r="V19" i="3"/>
  <c r="X19" i="3" s="1"/>
  <c r="A19" i="3"/>
  <c r="BI19" i="3" s="1"/>
  <c r="BJ19" i="3" s="1"/>
  <c r="AG18" i="3"/>
  <c r="Y18" i="3"/>
  <c r="AW21" i="3"/>
  <c r="AM18" i="3"/>
  <c r="BC17" i="3"/>
  <c r="AE18" i="3"/>
  <c r="AQ21" i="3"/>
  <c r="N60" i="4"/>
  <c r="O60" i="4" s="1"/>
  <c r="M61" i="4"/>
  <c r="E62" i="4"/>
  <c r="F61" i="4"/>
  <c r="G61" i="4" s="1"/>
  <c r="M8" i="2" l="1"/>
  <c r="N3" i="2"/>
  <c r="N7" i="2" s="1"/>
  <c r="M15" i="2"/>
  <c r="M13" i="2"/>
  <c r="M12" i="2"/>
  <c r="M14" i="2"/>
  <c r="P18" i="3"/>
  <c r="AG80" i="23"/>
  <c r="AF81" i="23" s="1"/>
  <c r="Z81" i="23"/>
  <c r="Y81" i="23"/>
  <c r="AC81" i="23" s="1"/>
  <c r="X82" i="23" s="1"/>
  <c r="AA82" i="23" s="1"/>
  <c r="AN8" i="29"/>
  <c r="T81" i="23"/>
  <c r="S81" i="23"/>
  <c r="W81" i="23" s="1"/>
  <c r="R82" i="23" s="1"/>
  <c r="U82" i="23" s="1"/>
  <c r="P10" i="29"/>
  <c r="M9" i="29"/>
  <c r="AQ76" i="23"/>
  <c r="AS76" i="23"/>
  <c r="AU76" i="23"/>
  <c r="AL41" i="22"/>
  <c r="AM41" i="22" s="1"/>
  <c r="L42" i="22"/>
  <c r="O42" i="22" s="1"/>
  <c r="AS41" i="22"/>
  <c r="AU41" i="22"/>
  <c r="O77" i="23"/>
  <c r="M77" i="23"/>
  <c r="N77" i="23"/>
  <c r="P78" i="23"/>
  <c r="Z11" i="29"/>
  <c r="AA11" i="29"/>
  <c r="G41" i="21"/>
  <c r="K41" i="21" s="1"/>
  <c r="F42" i="21" s="1"/>
  <c r="I42" i="21" s="1"/>
  <c r="I41" i="21"/>
  <c r="Q41" i="21" s="1"/>
  <c r="L42" i="21" s="1"/>
  <c r="N68" i="2"/>
  <c r="N75" i="2"/>
  <c r="N41" i="2"/>
  <c r="BG15" i="12"/>
  <c r="AS14" i="12"/>
  <c r="AR21" i="3"/>
  <c r="AQ14" i="12"/>
  <c r="AN19" i="20"/>
  <c r="AY15" i="12"/>
  <c r="BC15" i="12" s="1"/>
  <c r="E16" i="12"/>
  <c r="AX16" i="12" s="1"/>
  <c r="AL19" i="3"/>
  <c r="AZ15" i="12"/>
  <c r="BE15" i="12" s="1"/>
  <c r="H41" i="21"/>
  <c r="AO41" i="21" s="1"/>
  <c r="J42" i="21"/>
  <c r="P19" i="20"/>
  <c r="O20" i="20"/>
  <c r="AQ19" i="20"/>
  <c r="AR19" i="20" s="1"/>
  <c r="AX48" i="12"/>
  <c r="BB48" i="12" s="1"/>
  <c r="AZ48" i="12"/>
  <c r="BE48" i="12" s="1"/>
  <c r="BF48" i="12"/>
  <c r="AY48" i="12"/>
  <c r="BC48" i="12" s="1"/>
  <c r="C48" i="12"/>
  <c r="E49" i="12"/>
  <c r="BG48" i="12"/>
  <c r="BB15" i="12"/>
  <c r="C15" i="12"/>
  <c r="BF15" i="12"/>
  <c r="AU14" i="12"/>
  <c r="G10" i="21"/>
  <c r="AR10" i="21" s="1"/>
  <c r="AL9" i="21"/>
  <c r="AM9" i="21" s="1"/>
  <c r="Z45" i="21"/>
  <c r="Y45" i="21"/>
  <c r="AC45" i="21" s="1"/>
  <c r="X46" i="21" s="1"/>
  <c r="AB46" i="21" s="1"/>
  <c r="T45" i="21"/>
  <c r="S45" i="21"/>
  <c r="W45" i="21" s="1"/>
  <c r="R46" i="21" s="1"/>
  <c r="V46" i="21" s="1"/>
  <c r="AQ14" i="21"/>
  <c r="AS14" i="21"/>
  <c r="AU14" i="21"/>
  <c r="BF15" i="21"/>
  <c r="BG15" i="21"/>
  <c r="C15" i="21"/>
  <c r="AX15" i="21"/>
  <c r="BB15" i="21" s="1"/>
  <c r="AY15" i="21"/>
  <c r="BC15" i="21" s="1"/>
  <c r="E16" i="21"/>
  <c r="AZ15" i="21"/>
  <c r="BE15" i="21" s="1"/>
  <c r="AX47" i="21"/>
  <c r="BB47" i="21" s="1"/>
  <c r="AY47" i="21"/>
  <c r="BC47" i="21" s="1"/>
  <c r="C47" i="21"/>
  <c r="BF47" i="21"/>
  <c r="BG47" i="21"/>
  <c r="AZ47" i="21"/>
  <c r="BE47" i="21" s="1"/>
  <c r="E48" i="21"/>
  <c r="AY15" i="24"/>
  <c r="AY14" i="29"/>
  <c r="F9" i="29"/>
  <c r="I9" i="29" s="1"/>
  <c r="AR9" i="29" s="1"/>
  <c r="AQ8" i="29"/>
  <c r="AS8" i="29"/>
  <c r="AU8" i="29"/>
  <c r="AY15" i="28"/>
  <c r="AZ15" i="29"/>
  <c r="C15" i="29"/>
  <c r="AX15" i="29"/>
  <c r="E16" i="29"/>
  <c r="W9" i="29"/>
  <c r="R10" i="29" s="1"/>
  <c r="Y11" i="29"/>
  <c r="AY15" i="26"/>
  <c r="AQ15" i="26"/>
  <c r="AS15" i="26"/>
  <c r="AU15" i="26"/>
  <c r="AM7" i="26"/>
  <c r="AN7" i="26" s="1"/>
  <c r="G8" i="26"/>
  <c r="AR8" i="26" s="1"/>
  <c r="C16" i="26"/>
  <c r="AX16" i="26"/>
  <c r="AZ16" i="26"/>
  <c r="E17" i="26"/>
  <c r="AE12" i="28"/>
  <c r="AD13" i="28" s="1"/>
  <c r="AT13" i="28" s="1"/>
  <c r="T13" i="28"/>
  <c r="S13" i="28"/>
  <c r="W13" i="28" s="1"/>
  <c r="R14" i="28" s="1"/>
  <c r="V14" i="28" s="1"/>
  <c r="AO8" i="28"/>
  <c r="Z11" i="28"/>
  <c r="Y11" i="28"/>
  <c r="AG11" i="28" s="1"/>
  <c r="AF12" i="28" s="1"/>
  <c r="AX16" i="28"/>
  <c r="AZ16" i="28"/>
  <c r="C16" i="28"/>
  <c r="E17" i="28"/>
  <c r="AM8" i="15"/>
  <c r="AN8" i="15" s="1"/>
  <c r="AO8" i="25"/>
  <c r="K8" i="25"/>
  <c r="AL8" i="25"/>
  <c r="I8" i="25"/>
  <c r="Q8" i="25" s="1"/>
  <c r="L9" i="25" s="1"/>
  <c r="BA16" i="25"/>
  <c r="BB16" i="25"/>
  <c r="BC16" i="25"/>
  <c r="AX16" i="25"/>
  <c r="AZ16" i="25"/>
  <c r="BD16" i="25"/>
  <c r="C16" i="25"/>
  <c r="E17" i="25"/>
  <c r="AY15" i="25"/>
  <c r="AX16" i="24"/>
  <c r="C16" i="24"/>
  <c r="AZ16" i="24"/>
  <c r="E17" i="24"/>
  <c r="AN7" i="24"/>
  <c r="AU15" i="24"/>
  <c r="AQ15" i="24"/>
  <c r="AS15" i="24"/>
  <c r="G8" i="24"/>
  <c r="AR8" i="24" s="1"/>
  <c r="AL9" i="15"/>
  <c r="AM9" i="15" s="1"/>
  <c r="AN9" i="15" s="1"/>
  <c r="F10" i="15"/>
  <c r="G10" i="15" s="1"/>
  <c r="AR10" i="15" s="1"/>
  <c r="AS17" i="15"/>
  <c r="AU17" i="15"/>
  <c r="AQ17" i="15"/>
  <c r="AN7" i="23"/>
  <c r="J78" i="23"/>
  <c r="G77" i="23"/>
  <c r="H77" i="23"/>
  <c r="AW85" i="23"/>
  <c r="BA85" i="23" s="1"/>
  <c r="AX85" i="23"/>
  <c r="BB85" i="23" s="1"/>
  <c r="AY85" i="23"/>
  <c r="BD85" i="23" s="1"/>
  <c r="G8" i="23"/>
  <c r="AR8" i="23" s="1"/>
  <c r="AU14" i="23"/>
  <c r="AQ14" i="23"/>
  <c r="AS14" i="23"/>
  <c r="AW15" i="23"/>
  <c r="BA15" i="23" s="1"/>
  <c r="AX15" i="23"/>
  <c r="BB15" i="23" s="1"/>
  <c r="AY15" i="23"/>
  <c r="BD15" i="23" s="1"/>
  <c r="E16" i="23"/>
  <c r="C15" i="23"/>
  <c r="BE15" i="23"/>
  <c r="BF15" i="23"/>
  <c r="C85" i="23"/>
  <c r="BE85" i="23"/>
  <c r="BF85" i="23"/>
  <c r="E86" i="23"/>
  <c r="F44" i="22"/>
  <c r="I44" i="22" s="1"/>
  <c r="AR44" i="22" s="1"/>
  <c r="T45" i="22"/>
  <c r="S45" i="22"/>
  <c r="W45" i="22" s="1"/>
  <c r="R46" i="22" s="1"/>
  <c r="U46" i="22" s="1"/>
  <c r="Z45" i="22"/>
  <c r="Y45" i="22"/>
  <c r="AC45" i="22" s="1"/>
  <c r="X46" i="22" s="1"/>
  <c r="AA46" i="22" s="1"/>
  <c r="AX15" i="22"/>
  <c r="BB15" i="22" s="1"/>
  <c r="AY15" i="22"/>
  <c r="BC15" i="22" s="1"/>
  <c r="BF15" i="22"/>
  <c r="BG15" i="22"/>
  <c r="C15" i="22"/>
  <c r="AZ15" i="22"/>
  <c r="BE15" i="22" s="1"/>
  <c r="E16" i="22"/>
  <c r="AQ14" i="22"/>
  <c r="AS14" i="22"/>
  <c r="AU14" i="22"/>
  <c r="BF47" i="22"/>
  <c r="C47" i="22"/>
  <c r="AX47" i="22"/>
  <c r="BB47" i="22" s="1"/>
  <c r="AY47" i="22"/>
  <c r="BC47" i="22" s="1"/>
  <c r="BG47" i="22"/>
  <c r="E48" i="22"/>
  <c r="AZ47" i="22"/>
  <c r="BE47" i="22" s="1"/>
  <c r="G9" i="22"/>
  <c r="AR9" i="22" s="1"/>
  <c r="AM40" i="22"/>
  <c r="AN40" i="22" s="1"/>
  <c r="AP41" i="22"/>
  <c r="AN8" i="21"/>
  <c r="AN8" i="28"/>
  <c r="K8" i="28"/>
  <c r="O14" i="25"/>
  <c r="AG44" i="22"/>
  <c r="AF45" i="22" s="1"/>
  <c r="AE44" i="22"/>
  <c r="AD45" i="22" s="1"/>
  <c r="AT45" i="22" s="1"/>
  <c r="AN40" i="21"/>
  <c r="O1" i="2"/>
  <c r="AM19" i="3"/>
  <c r="AR16" i="19"/>
  <c r="V49" i="12"/>
  <c r="V49" i="13"/>
  <c r="AB49" i="12"/>
  <c r="O49" i="12"/>
  <c r="AB49" i="13"/>
  <c r="O49" i="13"/>
  <c r="AA49" i="12"/>
  <c r="I49" i="12"/>
  <c r="U49" i="13"/>
  <c r="I49" i="13"/>
  <c r="U85" i="14"/>
  <c r="U49" i="12"/>
  <c r="O85" i="14"/>
  <c r="AB85" i="14"/>
  <c r="I85" i="14"/>
  <c r="AR85" i="14" s="1"/>
  <c r="U17" i="17"/>
  <c r="V85" i="14"/>
  <c r="O17" i="17"/>
  <c r="AB17" i="17"/>
  <c r="I17" i="17"/>
  <c r="AA85" i="14"/>
  <c r="AB17" i="19"/>
  <c r="O17" i="19"/>
  <c r="AA49" i="13"/>
  <c r="AA17" i="17"/>
  <c r="V17" i="19"/>
  <c r="U17" i="19"/>
  <c r="V17" i="17"/>
  <c r="I17" i="19"/>
  <c r="AA17" i="19"/>
  <c r="AL9" i="14"/>
  <c r="AM9" i="14" s="1"/>
  <c r="F10" i="14"/>
  <c r="G10" i="14" s="1"/>
  <c r="AR10" i="14" s="1"/>
  <c r="E18" i="19"/>
  <c r="AX17" i="19"/>
  <c r="C17" i="19"/>
  <c r="AZ17" i="19"/>
  <c r="AY16" i="19"/>
  <c r="H8" i="13"/>
  <c r="AL8" i="13" s="1"/>
  <c r="AY16" i="16"/>
  <c r="AM8" i="12"/>
  <c r="AN8" i="12" s="1"/>
  <c r="G9" i="12"/>
  <c r="AR9" i="12" s="1"/>
  <c r="BF17" i="14"/>
  <c r="AW17" i="14"/>
  <c r="BA17" i="14" s="1"/>
  <c r="BE17" i="14"/>
  <c r="AX17" i="14"/>
  <c r="BB17" i="14" s="1"/>
  <c r="AY17" i="14"/>
  <c r="BD17" i="14" s="1"/>
  <c r="C17" i="14"/>
  <c r="E18" i="14"/>
  <c r="AZ17" i="16"/>
  <c r="C17" i="16"/>
  <c r="E18" i="16"/>
  <c r="AX17" i="16"/>
  <c r="BD17" i="16"/>
  <c r="AS16" i="14"/>
  <c r="AQ16" i="14"/>
  <c r="AU16" i="14"/>
  <c r="H9" i="18"/>
  <c r="AZ16" i="17"/>
  <c r="E17" i="17"/>
  <c r="AX16" i="17"/>
  <c r="C16" i="17"/>
  <c r="AY15" i="18"/>
  <c r="AY15" i="17"/>
  <c r="AX16" i="18"/>
  <c r="AZ16" i="18"/>
  <c r="E17" i="18"/>
  <c r="C16" i="18"/>
  <c r="BF48" i="13"/>
  <c r="C48" i="13"/>
  <c r="AR48" i="13" s="1"/>
  <c r="BG48" i="13"/>
  <c r="AX48" i="13"/>
  <c r="BB48" i="13" s="1"/>
  <c r="AZ48" i="13"/>
  <c r="BE48" i="13" s="1"/>
  <c r="E49" i="13"/>
  <c r="AY48" i="13"/>
  <c r="BC48" i="13" s="1"/>
  <c r="AS15" i="18"/>
  <c r="AQ15" i="18"/>
  <c r="AU15" i="18"/>
  <c r="AY17" i="15"/>
  <c r="AZ18" i="15"/>
  <c r="E19" i="15"/>
  <c r="C18" i="15"/>
  <c r="AZ18" i="13"/>
  <c r="BE18" i="13" s="1"/>
  <c r="BG18" i="13"/>
  <c r="BF18" i="13"/>
  <c r="AY18" i="13"/>
  <c r="BC18" i="13" s="1"/>
  <c r="C18" i="13"/>
  <c r="E19" i="13"/>
  <c r="AQ17" i="13"/>
  <c r="AS17" i="13"/>
  <c r="AU17" i="13"/>
  <c r="E87" i="14"/>
  <c r="BE86" i="14"/>
  <c r="BF86" i="14"/>
  <c r="AY86" i="14"/>
  <c r="BD86" i="14" s="1"/>
  <c r="C86" i="14"/>
  <c r="AX86" i="14"/>
  <c r="BB86" i="14" s="1"/>
  <c r="AW86" i="14"/>
  <c r="BA86" i="14" s="1"/>
  <c r="Y19" i="3"/>
  <c r="V20" i="3"/>
  <c r="X20" i="3" s="1"/>
  <c r="G21" i="3"/>
  <c r="AV20" i="3"/>
  <c r="AX20" i="3" s="1"/>
  <c r="H19" i="3"/>
  <c r="BC18" i="3"/>
  <c r="AE19" i="3"/>
  <c r="AW22" i="3"/>
  <c r="A20" i="3"/>
  <c r="BI20" i="3" s="1"/>
  <c r="BJ20" i="3" s="1"/>
  <c r="AN23" i="3"/>
  <c r="AG19" i="3"/>
  <c r="AH19" i="3"/>
  <c r="BD18" i="3"/>
  <c r="AQ22" i="3"/>
  <c r="N61" i="4"/>
  <c r="O61" i="4" s="1"/>
  <c r="M62" i="4"/>
  <c r="F62" i="4"/>
  <c r="G62" i="4" s="1"/>
  <c r="E63" i="4"/>
  <c r="N15" i="2" l="1"/>
  <c r="N14" i="2"/>
  <c r="O3" i="2"/>
  <c r="O7" i="2" s="1"/>
  <c r="N13" i="2"/>
  <c r="N8" i="2"/>
  <c r="N12" i="2"/>
  <c r="P19" i="3"/>
  <c r="P20" i="3" s="1"/>
  <c r="P21" i="3" s="1"/>
  <c r="P22" i="3" s="1"/>
  <c r="P23" i="3" s="1"/>
  <c r="Z82" i="23"/>
  <c r="AG81" i="23"/>
  <c r="AF82" i="23" s="1"/>
  <c r="Y82" i="23"/>
  <c r="AC82" i="23" s="1"/>
  <c r="X83" i="23" s="1"/>
  <c r="AA83" i="23" s="1"/>
  <c r="AG11" i="29"/>
  <c r="AF12" i="29" s="1"/>
  <c r="T82" i="23"/>
  <c r="S82" i="23"/>
  <c r="W82" i="23" s="1"/>
  <c r="R83" i="23" s="1"/>
  <c r="U83" i="23" s="1"/>
  <c r="H42" i="21"/>
  <c r="G42" i="21"/>
  <c r="K42" i="21" s="1"/>
  <c r="F43" i="21" s="1"/>
  <c r="I43" i="21" s="1"/>
  <c r="Q9" i="29"/>
  <c r="L10" i="29" s="1"/>
  <c r="N10" i="29" s="1"/>
  <c r="P43" i="22"/>
  <c r="M42" i="22"/>
  <c r="Q42" i="22" s="1"/>
  <c r="AU42" i="22" s="1"/>
  <c r="AS41" i="21"/>
  <c r="N42" i="22"/>
  <c r="AO42" i="22" s="1"/>
  <c r="T10" i="29"/>
  <c r="U10" i="29"/>
  <c r="J43" i="21"/>
  <c r="O42" i="21"/>
  <c r="N42" i="21"/>
  <c r="P43" i="21"/>
  <c r="M42" i="21"/>
  <c r="O10" i="29"/>
  <c r="Q77" i="23"/>
  <c r="L78" i="23" s="1"/>
  <c r="AU41" i="21"/>
  <c r="AQ41" i="21"/>
  <c r="O68" i="2"/>
  <c r="O75" i="2"/>
  <c r="O41" i="2"/>
  <c r="C16" i="12"/>
  <c r="AQ16" i="12" s="1"/>
  <c r="AQ15" i="12"/>
  <c r="AR22" i="3"/>
  <c r="AN20" i="20"/>
  <c r="AY16" i="12"/>
  <c r="BC16" i="12" s="1"/>
  <c r="BB16" i="12"/>
  <c r="BG16" i="12"/>
  <c r="E17" i="12"/>
  <c r="BF16" i="12"/>
  <c r="AZ16" i="12"/>
  <c r="BE16" i="12" s="1"/>
  <c r="P20" i="20"/>
  <c r="O21" i="20"/>
  <c r="AQ20" i="20"/>
  <c r="AR20" i="20" s="1"/>
  <c r="BF49" i="12"/>
  <c r="AZ49" i="12"/>
  <c r="BE49" i="12" s="1"/>
  <c r="C49" i="12"/>
  <c r="AY49" i="12"/>
  <c r="BC49" i="12" s="1"/>
  <c r="E50" i="12"/>
  <c r="BG49" i="12"/>
  <c r="AS15" i="12"/>
  <c r="AU15" i="12"/>
  <c r="H10" i="21"/>
  <c r="Z46" i="21"/>
  <c r="Y46" i="21"/>
  <c r="AC46" i="21" s="1"/>
  <c r="X47" i="21" s="1"/>
  <c r="AB47" i="21" s="1"/>
  <c r="BF16" i="21"/>
  <c r="BG16" i="21"/>
  <c r="C16" i="21"/>
  <c r="AX16" i="21"/>
  <c r="BB16" i="21" s="1"/>
  <c r="AY16" i="21"/>
  <c r="BC16" i="21" s="1"/>
  <c r="E17" i="21"/>
  <c r="AZ16" i="21"/>
  <c r="BE16" i="21" s="1"/>
  <c r="BF48" i="21"/>
  <c r="BG48" i="21"/>
  <c r="AX48" i="21"/>
  <c r="BB48" i="21" s="1"/>
  <c r="AY48" i="21"/>
  <c r="BC48" i="21" s="1"/>
  <c r="C48" i="21"/>
  <c r="AZ48" i="21"/>
  <c r="BE48" i="21" s="1"/>
  <c r="E49" i="21"/>
  <c r="T46" i="21"/>
  <c r="S46" i="21"/>
  <c r="W46" i="21" s="1"/>
  <c r="R47" i="21" s="1"/>
  <c r="V47" i="21" s="1"/>
  <c r="AQ15" i="21"/>
  <c r="AS15" i="21"/>
  <c r="AU15" i="21"/>
  <c r="J10" i="29"/>
  <c r="H9" i="29"/>
  <c r="AP9" i="29" s="1"/>
  <c r="AY15" i="29"/>
  <c r="C16" i="29"/>
  <c r="AX16" i="29"/>
  <c r="AZ16" i="29"/>
  <c r="E17" i="29"/>
  <c r="S10" i="29"/>
  <c r="AE10" i="29" s="1"/>
  <c r="AD11" i="29" s="1"/>
  <c r="AT11" i="29" s="1"/>
  <c r="G9" i="29"/>
  <c r="AY16" i="26"/>
  <c r="H8" i="26"/>
  <c r="AQ16" i="26"/>
  <c r="AS16" i="26"/>
  <c r="AU16" i="26"/>
  <c r="AY16" i="24"/>
  <c r="AY16" i="28"/>
  <c r="C17" i="26"/>
  <c r="AX17" i="26"/>
  <c r="AZ17" i="26"/>
  <c r="E18" i="26"/>
  <c r="AE13" i="28"/>
  <c r="AD14" i="28" s="1"/>
  <c r="AT14" i="28" s="1"/>
  <c r="T14" i="28"/>
  <c r="S14" i="28"/>
  <c r="W14" i="28" s="1"/>
  <c r="R15" i="28" s="1"/>
  <c r="V15" i="28" s="1"/>
  <c r="AU8" i="28"/>
  <c r="AS8" i="28"/>
  <c r="AQ8" i="28"/>
  <c r="AC11" i="28"/>
  <c r="X12" i="28" s="1"/>
  <c r="AB12" i="28" s="1"/>
  <c r="AZ17" i="28"/>
  <c r="C17" i="28"/>
  <c r="AX17" i="28"/>
  <c r="E18" i="28"/>
  <c r="F9" i="28"/>
  <c r="I9" i="28" s="1"/>
  <c r="Q9" i="28" s="1"/>
  <c r="L10" i="28" s="1"/>
  <c r="AY16" i="25"/>
  <c r="F9" i="25"/>
  <c r="AQ8" i="25"/>
  <c r="AS8" i="25"/>
  <c r="AU8" i="25"/>
  <c r="BA17" i="25"/>
  <c r="BB17" i="25"/>
  <c r="BC17" i="25"/>
  <c r="C17" i="25"/>
  <c r="AX17" i="25"/>
  <c r="AZ17" i="25"/>
  <c r="BD17" i="25"/>
  <c r="E18" i="25"/>
  <c r="AM8" i="25"/>
  <c r="AN8" i="25" s="1"/>
  <c r="P10" i="25"/>
  <c r="N9" i="25"/>
  <c r="AS16" i="24"/>
  <c r="AU16" i="24"/>
  <c r="AQ16" i="24"/>
  <c r="AX17" i="24"/>
  <c r="C17" i="24"/>
  <c r="AZ17" i="24"/>
  <c r="E18" i="24"/>
  <c r="H8" i="24"/>
  <c r="AQ18" i="15"/>
  <c r="AS18" i="15"/>
  <c r="AU18" i="15"/>
  <c r="AL77" i="23"/>
  <c r="AM77" i="23" s="1"/>
  <c r="AN77" i="23" s="1"/>
  <c r="K77" i="23"/>
  <c r="AO77" i="23"/>
  <c r="AP77" i="23"/>
  <c r="AQ15" i="23"/>
  <c r="AS15" i="23"/>
  <c r="AU15" i="23"/>
  <c r="AW86" i="23"/>
  <c r="BA86" i="23" s="1"/>
  <c r="AX86" i="23"/>
  <c r="BB86" i="23" s="1"/>
  <c r="AY86" i="23"/>
  <c r="BD86" i="23" s="1"/>
  <c r="AX16" i="23"/>
  <c r="BB16" i="23" s="1"/>
  <c r="AW16" i="23"/>
  <c r="BA16" i="23" s="1"/>
  <c r="AY16" i="23"/>
  <c r="BD16" i="23" s="1"/>
  <c r="E17" i="23"/>
  <c r="C16" i="23"/>
  <c r="BF16" i="23"/>
  <c r="BE16" i="23"/>
  <c r="H8" i="23"/>
  <c r="C86" i="23"/>
  <c r="BE86" i="23"/>
  <c r="BF86" i="23"/>
  <c r="E87" i="23"/>
  <c r="T46" i="22"/>
  <c r="S46" i="22"/>
  <c r="W46" i="22" s="1"/>
  <c r="R47" i="22" s="1"/>
  <c r="U47" i="22" s="1"/>
  <c r="Z46" i="22"/>
  <c r="Y46" i="22"/>
  <c r="AC46" i="22" s="1"/>
  <c r="X47" i="22" s="1"/>
  <c r="AA47" i="22" s="1"/>
  <c r="H44" i="22"/>
  <c r="G44" i="22"/>
  <c r="K44" i="22" s="1"/>
  <c r="J45" i="22"/>
  <c r="C48" i="22"/>
  <c r="BF48" i="22"/>
  <c r="BG48" i="22"/>
  <c r="AX48" i="22"/>
  <c r="BB48" i="22" s="1"/>
  <c r="AY48" i="22"/>
  <c r="BC48" i="22" s="1"/>
  <c r="AZ48" i="22"/>
  <c r="BE48" i="22" s="1"/>
  <c r="E49" i="22"/>
  <c r="AU15" i="22"/>
  <c r="AQ15" i="22"/>
  <c r="AS15" i="22"/>
  <c r="H9" i="22"/>
  <c r="AX16" i="22"/>
  <c r="BB16" i="22" s="1"/>
  <c r="AY16" i="22"/>
  <c r="BC16" i="22" s="1"/>
  <c r="BF16" i="22"/>
  <c r="BG16" i="22"/>
  <c r="C16" i="22"/>
  <c r="E17" i="22"/>
  <c r="AZ16" i="22"/>
  <c r="BE16" i="22" s="1"/>
  <c r="AN8" i="22"/>
  <c r="AG45" i="22"/>
  <c r="AF46" i="22" s="1"/>
  <c r="AP41" i="21"/>
  <c r="AE42" i="21"/>
  <c r="AD43" i="21" s="1"/>
  <c r="AT43" i="21" s="1"/>
  <c r="AG42" i="21"/>
  <c r="AF43" i="21" s="1"/>
  <c r="AL41" i="21"/>
  <c r="AC11" i="29"/>
  <c r="X12" i="29" s="1"/>
  <c r="AN41" i="22"/>
  <c r="M9" i="25"/>
  <c r="O15" i="25"/>
  <c r="AE80" i="23"/>
  <c r="AD81" i="23" s="1"/>
  <c r="AT81" i="23" s="1"/>
  <c r="AE45" i="22"/>
  <c r="AD46" i="22" s="1"/>
  <c r="AT46" i="22" s="1"/>
  <c r="P1" i="2"/>
  <c r="AR17" i="19"/>
  <c r="AY17" i="16"/>
  <c r="AA50" i="12"/>
  <c r="I50" i="12"/>
  <c r="AA50" i="13"/>
  <c r="I50" i="13"/>
  <c r="U50" i="12"/>
  <c r="U50" i="13"/>
  <c r="AB50" i="12"/>
  <c r="V50" i="12"/>
  <c r="V50" i="13"/>
  <c r="O50" i="12"/>
  <c r="O50" i="13"/>
  <c r="AB50" i="13"/>
  <c r="AA86" i="14"/>
  <c r="I86" i="14"/>
  <c r="AR86" i="14" s="1"/>
  <c r="O86" i="14"/>
  <c r="AB86" i="14"/>
  <c r="U86" i="14"/>
  <c r="V18" i="17"/>
  <c r="AA18" i="17"/>
  <c r="U18" i="17"/>
  <c r="U18" i="19"/>
  <c r="AB18" i="17"/>
  <c r="I18" i="17"/>
  <c r="O18" i="19"/>
  <c r="AA18" i="19"/>
  <c r="O18" i="17"/>
  <c r="V18" i="19"/>
  <c r="V86" i="14"/>
  <c r="AB18" i="19"/>
  <c r="I18" i="19"/>
  <c r="AN9" i="14"/>
  <c r="H10" i="14"/>
  <c r="AL10" i="14" s="1"/>
  <c r="AM10" i="14" s="1"/>
  <c r="E19" i="19"/>
  <c r="AZ18" i="19"/>
  <c r="C18" i="19"/>
  <c r="AY17" i="19"/>
  <c r="H9" i="12"/>
  <c r="AL9" i="12" s="1"/>
  <c r="AM9" i="12" s="1"/>
  <c r="F9" i="13"/>
  <c r="G9" i="13" s="1"/>
  <c r="AR9" i="13" s="1"/>
  <c r="AY16" i="17"/>
  <c r="BE18" i="14"/>
  <c r="C18" i="14"/>
  <c r="E19" i="14"/>
  <c r="BF18" i="14"/>
  <c r="AX18" i="14"/>
  <c r="BB18" i="14" s="1"/>
  <c r="AY18" i="14"/>
  <c r="BD18" i="14" s="1"/>
  <c r="AW18" i="14"/>
  <c r="BA18" i="14" s="1"/>
  <c r="AQ17" i="14"/>
  <c r="AU17" i="14"/>
  <c r="AS17" i="14"/>
  <c r="BD18" i="16"/>
  <c r="E19" i="16"/>
  <c r="AZ18" i="16"/>
  <c r="C18" i="16"/>
  <c r="AL9" i="18"/>
  <c r="AM9" i="18" s="1"/>
  <c r="AN9" i="18" s="1"/>
  <c r="F10" i="18"/>
  <c r="AU16" i="18"/>
  <c r="AS16" i="18"/>
  <c r="AQ16" i="18"/>
  <c r="AM8" i="13"/>
  <c r="AN8" i="13" s="1"/>
  <c r="AZ17" i="18"/>
  <c r="C17" i="18"/>
  <c r="E18" i="18"/>
  <c r="AX17" i="18"/>
  <c r="E18" i="17"/>
  <c r="C17" i="17"/>
  <c r="AX17" i="17"/>
  <c r="AZ17" i="17"/>
  <c r="AY49" i="13"/>
  <c r="BC49" i="13" s="1"/>
  <c r="C49" i="13"/>
  <c r="AR49" i="13" s="1"/>
  <c r="BG49" i="13"/>
  <c r="E50" i="13"/>
  <c r="BF49" i="13"/>
  <c r="AZ49" i="13"/>
  <c r="BE49" i="13" s="1"/>
  <c r="AY16" i="18"/>
  <c r="H10" i="15"/>
  <c r="AZ19" i="15"/>
  <c r="C19" i="15"/>
  <c r="E20" i="15"/>
  <c r="E20" i="13"/>
  <c r="BF19" i="13"/>
  <c r="C19" i="13"/>
  <c r="BG19" i="13"/>
  <c r="AZ19" i="13"/>
  <c r="BE19" i="13" s="1"/>
  <c r="AY19" i="13"/>
  <c r="BC19" i="13" s="1"/>
  <c r="AU18" i="13"/>
  <c r="AQ18" i="13"/>
  <c r="AS18" i="13"/>
  <c r="AY87" i="14"/>
  <c r="BD87" i="14" s="1"/>
  <c r="BF87" i="14"/>
  <c r="AX87" i="14"/>
  <c r="BB87" i="14" s="1"/>
  <c r="C87" i="14"/>
  <c r="AW87" i="14"/>
  <c r="BA87" i="14" s="1"/>
  <c r="BE87" i="14"/>
  <c r="E88" i="14"/>
  <c r="AH20" i="3"/>
  <c r="BD19" i="3"/>
  <c r="G22" i="3"/>
  <c r="AV21" i="3"/>
  <c r="AX21" i="3" s="1"/>
  <c r="V21" i="3"/>
  <c r="X21" i="3" s="1"/>
  <c r="AQ23" i="3"/>
  <c r="A21" i="3"/>
  <c r="BI21" i="3" s="1"/>
  <c r="BJ21" i="3" s="1"/>
  <c r="AW23" i="3"/>
  <c r="AG20" i="3"/>
  <c r="H20" i="3"/>
  <c r="Y20" i="3"/>
  <c r="AL20" i="3"/>
  <c r="BC19" i="3"/>
  <c r="AE20" i="3"/>
  <c r="AM20" i="3"/>
  <c r="N62" i="4"/>
  <c r="O62" i="4" s="1"/>
  <c r="M63" i="4"/>
  <c r="E64" i="4"/>
  <c r="F64" i="4" s="1"/>
  <c r="G64" i="4" s="1"/>
  <c r="F63" i="4"/>
  <c r="G63" i="4" s="1"/>
  <c r="O13" i="2" l="1"/>
  <c r="O8" i="2"/>
  <c r="O14" i="2"/>
  <c r="O15" i="2"/>
  <c r="P3" i="2"/>
  <c r="P12" i="2" s="1"/>
  <c r="O12" i="2"/>
  <c r="AG82" i="23"/>
  <c r="AF83" i="23" s="1"/>
  <c r="Y83" i="23"/>
  <c r="AC83" i="23" s="1"/>
  <c r="X84" i="23" s="1"/>
  <c r="AA84" i="23" s="1"/>
  <c r="Z83" i="23"/>
  <c r="AU77" i="23"/>
  <c r="T83" i="23"/>
  <c r="S83" i="23"/>
  <c r="W83" i="23" s="1"/>
  <c r="R84" i="23" s="1"/>
  <c r="U84" i="23" s="1"/>
  <c r="AO42" i="21"/>
  <c r="M10" i="29"/>
  <c r="P11" i="29"/>
  <c r="AQ42" i="22"/>
  <c r="L43" i="22"/>
  <c r="O43" i="22" s="1"/>
  <c r="AS42" i="22"/>
  <c r="Q42" i="21"/>
  <c r="Z12" i="29"/>
  <c r="AA12" i="29"/>
  <c r="O78" i="23"/>
  <c r="P79" i="23"/>
  <c r="M78" i="23"/>
  <c r="N78" i="23"/>
  <c r="O10" i="28"/>
  <c r="M10" i="28"/>
  <c r="N10" i="28"/>
  <c r="P11" i="28"/>
  <c r="P68" i="2"/>
  <c r="P75" i="2"/>
  <c r="P41" i="2"/>
  <c r="AY17" i="12"/>
  <c r="BC17" i="12" s="1"/>
  <c r="AS16" i="12"/>
  <c r="AU16" i="12"/>
  <c r="AR23" i="3"/>
  <c r="P21" i="20"/>
  <c r="AZ17" i="12"/>
  <c r="BE17" i="12" s="1"/>
  <c r="C17" i="12"/>
  <c r="E18" i="12"/>
  <c r="BG17" i="12"/>
  <c r="BF17" i="12"/>
  <c r="B37" i="4"/>
  <c r="B39" i="4" s="1"/>
  <c r="F25" i="9" s="1"/>
  <c r="AN21" i="20"/>
  <c r="O22" i="20"/>
  <c r="AQ21" i="20"/>
  <c r="AR21" i="20" s="1"/>
  <c r="BF50" i="12"/>
  <c r="BG50" i="12"/>
  <c r="C50" i="12"/>
  <c r="AY50" i="12"/>
  <c r="BC50" i="12" s="1"/>
  <c r="AZ50" i="12"/>
  <c r="BE50" i="12" s="1"/>
  <c r="E51" i="12"/>
  <c r="F11" i="21"/>
  <c r="AL10" i="21"/>
  <c r="AM10" i="21" s="1"/>
  <c r="AY16" i="29"/>
  <c r="Y47" i="21"/>
  <c r="AC47" i="21" s="1"/>
  <c r="X48" i="21" s="1"/>
  <c r="AB48" i="21" s="1"/>
  <c r="Z47" i="21"/>
  <c r="S47" i="21"/>
  <c r="W47" i="21" s="1"/>
  <c r="R48" i="21" s="1"/>
  <c r="V48" i="21" s="1"/>
  <c r="T47" i="21"/>
  <c r="AM41" i="21"/>
  <c r="AN41" i="21" s="1"/>
  <c r="AQ16" i="21"/>
  <c r="AU16" i="21"/>
  <c r="AS16" i="21"/>
  <c r="H43" i="21"/>
  <c r="G43" i="21"/>
  <c r="K43" i="21" s="1"/>
  <c r="J44" i="21"/>
  <c r="K9" i="29"/>
  <c r="F10" i="29" s="1"/>
  <c r="AY17" i="21"/>
  <c r="BC17" i="21" s="1"/>
  <c r="BF17" i="21"/>
  <c r="BG17" i="21"/>
  <c r="C17" i="21"/>
  <c r="E18" i="21"/>
  <c r="AZ17" i="21"/>
  <c r="BE17" i="21" s="1"/>
  <c r="AY49" i="21"/>
  <c r="BC49" i="21" s="1"/>
  <c r="C49" i="21"/>
  <c r="BF49" i="21"/>
  <c r="BG49" i="21"/>
  <c r="E50" i="21"/>
  <c r="AZ49" i="21"/>
  <c r="BE49" i="21" s="1"/>
  <c r="AX17" i="29"/>
  <c r="AZ17" i="29"/>
  <c r="C17" i="29"/>
  <c r="E18" i="29"/>
  <c r="Y12" i="29"/>
  <c r="AC12" i="29" s="1"/>
  <c r="X13" i="29" s="1"/>
  <c r="AL9" i="29"/>
  <c r="AM9" i="29" s="1"/>
  <c r="AO9" i="29"/>
  <c r="W10" i="29"/>
  <c r="R11" i="29" s="1"/>
  <c r="AS17" i="26"/>
  <c r="AU17" i="26"/>
  <c r="AQ17" i="26"/>
  <c r="F9" i="26"/>
  <c r="AL8" i="26"/>
  <c r="AM8" i="26" s="1"/>
  <c r="AN8" i="26" s="1"/>
  <c r="AZ18" i="26"/>
  <c r="C18" i="26"/>
  <c r="E19" i="26"/>
  <c r="AY17" i="26"/>
  <c r="AE14" i="28"/>
  <c r="AD15" i="28" s="1"/>
  <c r="AT15" i="28" s="1"/>
  <c r="T15" i="28"/>
  <c r="S15" i="28"/>
  <c r="W15" i="28" s="1"/>
  <c r="R16" i="28" s="1"/>
  <c r="V16" i="28" s="1"/>
  <c r="Z12" i="28"/>
  <c r="Y12" i="28"/>
  <c r="H9" i="28"/>
  <c r="AP9" i="28" s="1"/>
  <c r="J10" i="28"/>
  <c r="G9" i="28"/>
  <c r="AY17" i="28"/>
  <c r="C18" i="28"/>
  <c r="AZ18" i="28"/>
  <c r="E19" i="28"/>
  <c r="AY17" i="25"/>
  <c r="G9" i="25"/>
  <c r="H9" i="25"/>
  <c r="AP9" i="25" s="1"/>
  <c r="J10" i="25"/>
  <c r="BA18" i="25"/>
  <c r="BB18" i="25"/>
  <c r="BC18" i="25"/>
  <c r="AZ18" i="25"/>
  <c r="BD18" i="25"/>
  <c r="C18" i="25"/>
  <c r="E19" i="25"/>
  <c r="AQ17" i="24"/>
  <c r="AS17" i="24"/>
  <c r="AU17" i="24"/>
  <c r="C18" i="24"/>
  <c r="AZ18" i="24"/>
  <c r="E19" i="24"/>
  <c r="F9" i="24"/>
  <c r="AL8" i="24"/>
  <c r="AM8" i="24" s="1"/>
  <c r="AY17" i="24"/>
  <c r="F78" i="23"/>
  <c r="AS77" i="23"/>
  <c r="AQ77" i="23"/>
  <c r="AL10" i="15"/>
  <c r="AM10" i="15" s="1"/>
  <c r="AN10" i="15" s="1"/>
  <c r="AQ19" i="15"/>
  <c r="AS19" i="15"/>
  <c r="AU19" i="15"/>
  <c r="AW17" i="23"/>
  <c r="BA17" i="23" s="1"/>
  <c r="AX17" i="23"/>
  <c r="BB17" i="23" s="1"/>
  <c r="AY17" i="23"/>
  <c r="BD17" i="23" s="1"/>
  <c r="E18" i="23"/>
  <c r="C17" i="23"/>
  <c r="BF17" i="23"/>
  <c r="BE17" i="23"/>
  <c r="AQ16" i="23"/>
  <c r="AS16" i="23"/>
  <c r="AU16" i="23"/>
  <c r="F9" i="23"/>
  <c r="AL8" i="23"/>
  <c r="AW87" i="23"/>
  <c r="BA87" i="23" s="1"/>
  <c r="AX87" i="23"/>
  <c r="BB87" i="23" s="1"/>
  <c r="AY87" i="23"/>
  <c r="BD87" i="23" s="1"/>
  <c r="C87" i="23"/>
  <c r="BE87" i="23"/>
  <c r="BF87" i="23"/>
  <c r="E88" i="23"/>
  <c r="T47" i="22"/>
  <c r="S47" i="22"/>
  <c r="W47" i="22" s="1"/>
  <c r="R48" i="22" s="1"/>
  <c r="U48" i="22" s="1"/>
  <c r="Z47" i="22"/>
  <c r="Y47" i="22"/>
  <c r="AC47" i="22" s="1"/>
  <c r="X48" i="22" s="1"/>
  <c r="AA48" i="22" s="1"/>
  <c r="F45" i="22"/>
  <c r="I45" i="22" s="1"/>
  <c r="AR45" i="22" s="1"/>
  <c r="AS16" i="22"/>
  <c r="AU16" i="22"/>
  <c r="AQ16" i="22"/>
  <c r="C17" i="22"/>
  <c r="BF17" i="22"/>
  <c r="AY17" i="22"/>
  <c r="BC17" i="22" s="1"/>
  <c r="BG17" i="22"/>
  <c r="AZ17" i="22"/>
  <c r="BE17" i="22" s="1"/>
  <c r="E18" i="22"/>
  <c r="F10" i="22"/>
  <c r="AL9" i="22"/>
  <c r="AM9" i="22" s="1"/>
  <c r="C49" i="22"/>
  <c r="AY49" i="22"/>
  <c r="BC49" i="22" s="1"/>
  <c r="BG49" i="22"/>
  <c r="BF49" i="22"/>
  <c r="AZ49" i="22"/>
  <c r="BE49" i="22" s="1"/>
  <c r="E50" i="22"/>
  <c r="O16" i="25"/>
  <c r="AE46" i="22"/>
  <c r="AD47" i="22" s="1"/>
  <c r="AT47" i="22" s="1"/>
  <c r="AM21" i="3"/>
  <c r="AL21" i="3"/>
  <c r="AR18" i="19"/>
  <c r="AB51" i="12"/>
  <c r="O51" i="12"/>
  <c r="AB51" i="13"/>
  <c r="O51" i="13"/>
  <c r="V51" i="12"/>
  <c r="V51" i="13"/>
  <c r="AA51" i="12"/>
  <c r="U51" i="13"/>
  <c r="U51" i="12"/>
  <c r="I51" i="13"/>
  <c r="I51" i="12"/>
  <c r="U87" i="14"/>
  <c r="AB87" i="14"/>
  <c r="I87" i="14"/>
  <c r="AR87" i="14" s="1"/>
  <c r="AA87" i="14"/>
  <c r="AA19" i="17"/>
  <c r="I19" i="17"/>
  <c r="AA51" i="13"/>
  <c r="V87" i="14"/>
  <c r="U19" i="17"/>
  <c r="O87" i="14"/>
  <c r="O19" i="17"/>
  <c r="V19" i="19"/>
  <c r="AB19" i="17"/>
  <c r="AA19" i="19"/>
  <c r="AB19" i="19"/>
  <c r="V19" i="17"/>
  <c r="U19" i="19"/>
  <c r="O19" i="19"/>
  <c r="I19" i="19"/>
  <c r="F11" i="14"/>
  <c r="G11" i="14" s="1"/>
  <c r="AR11" i="14" s="1"/>
  <c r="E20" i="19"/>
  <c r="C19" i="19"/>
  <c r="AZ19" i="19"/>
  <c r="H9" i="13"/>
  <c r="AY17" i="18"/>
  <c r="F10" i="12"/>
  <c r="AN9" i="12"/>
  <c r="AU18" i="14"/>
  <c r="AQ18" i="14"/>
  <c r="AS18" i="14"/>
  <c r="AZ19" i="16"/>
  <c r="C19" i="16"/>
  <c r="BD19" i="16"/>
  <c r="E20" i="16"/>
  <c r="G10" i="18"/>
  <c r="AR10" i="18" s="1"/>
  <c r="AX19" i="14"/>
  <c r="BB19" i="14" s="1"/>
  <c r="AY19" i="14"/>
  <c r="BD19" i="14" s="1"/>
  <c r="BF19" i="14"/>
  <c r="E20" i="14"/>
  <c r="C19" i="14"/>
  <c r="AW19" i="14"/>
  <c r="BA19" i="14" s="1"/>
  <c r="BE19" i="14"/>
  <c r="C18" i="17"/>
  <c r="E19" i="17"/>
  <c r="AZ18" i="17"/>
  <c r="AZ18" i="18"/>
  <c r="E19" i="18"/>
  <c r="C18" i="18"/>
  <c r="AU17" i="18"/>
  <c r="AS17" i="18"/>
  <c r="AQ17" i="18"/>
  <c r="E51" i="13"/>
  <c r="BF50" i="13"/>
  <c r="C50" i="13"/>
  <c r="AR50" i="13" s="1"/>
  <c r="BG50" i="13"/>
  <c r="AY50" i="13"/>
  <c r="BC50" i="13" s="1"/>
  <c r="AZ50" i="13"/>
  <c r="BE50" i="13" s="1"/>
  <c r="AY17" i="17"/>
  <c r="E21" i="15"/>
  <c r="AZ20" i="15"/>
  <c r="C20" i="15"/>
  <c r="F11" i="15"/>
  <c r="AQ19" i="13"/>
  <c r="AU19" i="13"/>
  <c r="AS19" i="13"/>
  <c r="BG20" i="13"/>
  <c r="E21" i="13"/>
  <c r="AY20" i="13"/>
  <c r="BC20" i="13" s="1"/>
  <c r="C20" i="13"/>
  <c r="AZ20" i="13"/>
  <c r="BE20" i="13" s="1"/>
  <c r="BF20" i="13"/>
  <c r="AX88" i="14"/>
  <c r="BB88" i="14" s="1"/>
  <c r="C88" i="14"/>
  <c r="BE88" i="14"/>
  <c r="AY88" i="14"/>
  <c r="BD88" i="14" s="1"/>
  <c r="AW88" i="14"/>
  <c r="BA88" i="14" s="1"/>
  <c r="BF88" i="14"/>
  <c r="E89" i="14"/>
  <c r="BC20" i="3"/>
  <c r="AE21" i="3"/>
  <c r="AW24" i="3"/>
  <c r="AQ24" i="3"/>
  <c r="V22" i="3"/>
  <c r="X22" i="3" s="1"/>
  <c r="G23" i="3"/>
  <c r="AV22" i="3"/>
  <c r="AX22" i="3" s="1"/>
  <c r="Y21" i="3"/>
  <c r="AN24" i="3"/>
  <c r="AN25" i="3" s="1"/>
  <c r="H21" i="3"/>
  <c r="P24" i="3"/>
  <c r="P25" i="3" s="1"/>
  <c r="AG21" i="3"/>
  <c r="A22" i="3"/>
  <c r="BI22" i="3" s="1"/>
  <c r="BJ22" i="3" s="1"/>
  <c r="AH21" i="3"/>
  <c r="BD20" i="3"/>
  <c r="N63" i="4"/>
  <c r="O63" i="4" s="1"/>
  <c r="M64" i="4"/>
  <c r="N64" i="4" s="1"/>
  <c r="O64" i="4" s="1"/>
  <c r="P7" i="2" l="1"/>
  <c r="P8" i="2" s="1"/>
  <c r="P13" i="2"/>
  <c r="P15" i="2"/>
  <c r="P14" i="2"/>
  <c r="Y84" i="23"/>
  <c r="AC84" i="23" s="1"/>
  <c r="X85" i="23" s="1"/>
  <c r="AA85" i="23" s="1"/>
  <c r="AG83" i="23"/>
  <c r="AF84" i="23" s="1"/>
  <c r="Z84" i="23"/>
  <c r="T84" i="23"/>
  <c r="S84" i="23"/>
  <c r="W84" i="23" s="1"/>
  <c r="R85" i="23" s="1"/>
  <c r="U85" i="23" s="1"/>
  <c r="P44" i="22"/>
  <c r="M43" i="22"/>
  <c r="Q43" i="22" s="1"/>
  <c r="L44" i="22" s="1"/>
  <c r="O44" i="22" s="1"/>
  <c r="N43" i="22"/>
  <c r="AO43" i="22" s="1"/>
  <c r="T11" i="29"/>
  <c r="U11" i="29"/>
  <c r="G10" i="29"/>
  <c r="AL10" i="29" s="1"/>
  <c r="AM10" i="29" s="1"/>
  <c r="I10" i="29"/>
  <c r="L43" i="21"/>
  <c r="AQ42" i="21"/>
  <c r="AS42" i="21"/>
  <c r="AU42" i="21"/>
  <c r="G78" i="23"/>
  <c r="K78" i="23" s="1"/>
  <c r="I78" i="23"/>
  <c r="AR78" i="23" s="1"/>
  <c r="Z13" i="29"/>
  <c r="AA13" i="29"/>
  <c r="BF18" i="12"/>
  <c r="AQ17" i="12"/>
  <c r="AN22" i="20"/>
  <c r="AR24" i="3"/>
  <c r="J37" i="4"/>
  <c r="J39" i="4" s="1"/>
  <c r="F25" i="30" s="1"/>
  <c r="AF4" i="20" s="1"/>
  <c r="AF5" i="20" s="1"/>
  <c r="P22" i="20"/>
  <c r="AS17" i="12"/>
  <c r="AU17" i="12"/>
  <c r="C18" i="12"/>
  <c r="AZ18" i="12"/>
  <c r="BE18" i="12" s="1"/>
  <c r="AY18" i="12"/>
  <c r="BC18" i="12" s="1"/>
  <c r="BG18" i="12"/>
  <c r="E19" i="12"/>
  <c r="AM22" i="3"/>
  <c r="AL22" i="3"/>
  <c r="O23" i="20"/>
  <c r="AQ22" i="20"/>
  <c r="AR22" i="20" s="1"/>
  <c r="AY51" i="12"/>
  <c r="BC51" i="12" s="1"/>
  <c r="BG51" i="12"/>
  <c r="C51" i="12"/>
  <c r="BF51" i="12"/>
  <c r="E52" i="12"/>
  <c r="AZ51" i="12"/>
  <c r="BE51" i="12" s="1"/>
  <c r="AY17" i="29"/>
  <c r="J11" i="29"/>
  <c r="H10" i="29"/>
  <c r="AP10" i="29" s="1"/>
  <c r="AN9" i="29"/>
  <c r="AS9" i="29"/>
  <c r="AU9" i="29"/>
  <c r="AQ9" i="29"/>
  <c r="G11" i="21"/>
  <c r="AR11" i="21" s="1"/>
  <c r="Z48" i="21"/>
  <c r="Y48" i="21"/>
  <c r="AC48" i="21" s="1"/>
  <c r="X49" i="21" s="1"/>
  <c r="AB49" i="21" s="1"/>
  <c r="F44" i="21"/>
  <c r="I44" i="21" s="1"/>
  <c r="T48" i="21"/>
  <c r="S48" i="21"/>
  <c r="W48" i="21" s="1"/>
  <c r="R49" i="21" s="1"/>
  <c r="V49" i="21" s="1"/>
  <c r="BF50" i="21"/>
  <c r="BG50" i="21"/>
  <c r="C50" i="21"/>
  <c r="AY50" i="21"/>
  <c r="BC50" i="21" s="1"/>
  <c r="E51" i="21"/>
  <c r="AZ50" i="21"/>
  <c r="BE50" i="21" s="1"/>
  <c r="AS17" i="21"/>
  <c r="AQ17" i="21"/>
  <c r="AU17" i="21"/>
  <c r="AY18" i="21"/>
  <c r="BC18" i="21" s="1"/>
  <c r="BF18" i="21"/>
  <c r="BG18" i="21"/>
  <c r="C18" i="21"/>
  <c r="AZ18" i="21"/>
  <c r="BE18" i="21" s="1"/>
  <c r="E19" i="21"/>
  <c r="C18" i="29"/>
  <c r="AZ18" i="29"/>
  <c r="E19" i="29"/>
  <c r="Y13" i="29"/>
  <c r="AC13" i="29" s="1"/>
  <c r="X14" i="29" s="1"/>
  <c r="S11" i="29"/>
  <c r="AE11" i="29" s="1"/>
  <c r="AD12" i="29" s="1"/>
  <c r="AT12" i="29" s="1"/>
  <c r="AS18" i="26"/>
  <c r="AU18" i="26"/>
  <c r="AQ18" i="26"/>
  <c r="G9" i="26"/>
  <c r="AR9" i="26" s="1"/>
  <c r="C19" i="26"/>
  <c r="AZ19" i="26"/>
  <c r="E20" i="26"/>
  <c r="AE15" i="28"/>
  <c r="AD16" i="28" s="1"/>
  <c r="AT16" i="28" s="1"/>
  <c r="T16" i="28"/>
  <c r="S16" i="28"/>
  <c r="W16" i="28" s="1"/>
  <c r="R17" i="28" s="1"/>
  <c r="V17" i="28" s="1"/>
  <c r="AO9" i="28"/>
  <c r="AC12" i="28"/>
  <c r="X13" i="28" s="1"/>
  <c r="AB13" i="28" s="1"/>
  <c r="AG12" i="28"/>
  <c r="AF13" i="28" s="1"/>
  <c r="AL9" i="28"/>
  <c r="AM9" i="28" s="1"/>
  <c r="C19" i="28"/>
  <c r="AZ19" i="28"/>
  <c r="E20" i="28"/>
  <c r="BA19" i="25"/>
  <c r="BB19" i="25"/>
  <c r="BC19" i="25"/>
  <c r="AR9" i="25"/>
  <c r="I9" i="25"/>
  <c r="Q9" i="25" s="1"/>
  <c r="L10" i="25" s="1"/>
  <c r="N10" i="25" s="1"/>
  <c r="K9" i="25"/>
  <c r="AL9" i="25"/>
  <c r="AO9" i="25"/>
  <c r="AZ19" i="25"/>
  <c r="BD19" i="25"/>
  <c r="C19" i="25"/>
  <c r="E20" i="25"/>
  <c r="C19" i="24"/>
  <c r="AZ19" i="24"/>
  <c r="E20" i="24"/>
  <c r="AQ18" i="24"/>
  <c r="AU18" i="24"/>
  <c r="AS18" i="24"/>
  <c r="AN8" i="24"/>
  <c r="G9" i="24"/>
  <c r="AR9" i="24" s="1"/>
  <c r="H78" i="23"/>
  <c r="AO78" i="23" s="1"/>
  <c r="J79" i="23"/>
  <c r="G11" i="15"/>
  <c r="AR11" i="15" s="1"/>
  <c r="AQ20" i="15"/>
  <c r="AS20" i="15"/>
  <c r="AU20" i="15"/>
  <c r="AQ17" i="23"/>
  <c r="AS17" i="23"/>
  <c r="AU17" i="23"/>
  <c r="AX88" i="23"/>
  <c r="BB88" i="23" s="1"/>
  <c r="AW88" i="23"/>
  <c r="BA88" i="23" s="1"/>
  <c r="AY88" i="23"/>
  <c r="BD88" i="23" s="1"/>
  <c r="G9" i="23"/>
  <c r="AR9" i="23" s="1"/>
  <c r="AM8" i="23"/>
  <c r="AN8" i="23" s="1"/>
  <c r="AW18" i="23"/>
  <c r="BA18" i="23" s="1"/>
  <c r="AX18" i="23"/>
  <c r="BB18" i="23" s="1"/>
  <c r="AY18" i="23"/>
  <c r="BD18" i="23" s="1"/>
  <c r="BE18" i="23"/>
  <c r="C18" i="23"/>
  <c r="E19" i="23"/>
  <c r="BF18" i="23"/>
  <c r="C88" i="23"/>
  <c r="BE88" i="23"/>
  <c r="BF88" i="23"/>
  <c r="E89" i="23"/>
  <c r="Z48" i="22"/>
  <c r="Y48" i="22"/>
  <c r="AC48" i="22" s="1"/>
  <c r="X49" i="22" s="1"/>
  <c r="AA49" i="22" s="1"/>
  <c r="T48" i="22"/>
  <c r="S48" i="22"/>
  <c r="W48" i="22" s="1"/>
  <c r="R49" i="22" s="1"/>
  <c r="U49" i="22" s="1"/>
  <c r="BG18" i="22"/>
  <c r="C18" i="22"/>
  <c r="AY18" i="22"/>
  <c r="BC18" i="22" s="1"/>
  <c r="BF18" i="22"/>
  <c r="AZ18" i="22"/>
  <c r="BE18" i="22" s="1"/>
  <c r="E19" i="22"/>
  <c r="C50" i="22"/>
  <c r="BF50" i="22"/>
  <c r="BG50" i="22"/>
  <c r="AY50" i="22"/>
  <c r="BC50" i="22" s="1"/>
  <c r="E51" i="22"/>
  <c r="AZ50" i="22"/>
  <c r="BE50" i="22" s="1"/>
  <c r="G45" i="22"/>
  <c r="K45" i="22" s="1"/>
  <c r="H45" i="22"/>
  <c r="J46" i="22"/>
  <c r="G10" i="22"/>
  <c r="AR10" i="22" s="1"/>
  <c r="AQ17" i="22"/>
  <c r="AS17" i="22"/>
  <c r="AU17" i="22"/>
  <c r="AG43" i="21"/>
  <c r="AF44" i="21" s="1"/>
  <c r="AP42" i="22"/>
  <c r="AG46" i="22"/>
  <c r="AF47" i="22" s="1"/>
  <c r="AL42" i="22"/>
  <c r="AN9" i="21"/>
  <c r="AE43" i="21"/>
  <c r="AD44" i="21" s="1"/>
  <c r="AT44" i="21" s="1"/>
  <c r="AG12" i="29"/>
  <c r="AF13" i="29" s="1"/>
  <c r="K9" i="28"/>
  <c r="O17" i="25"/>
  <c r="AE81" i="23"/>
  <c r="AD82" i="23" s="1"/>
  <c r="AT82" i="23" s="1"/>
  <c r="AE47" i="22"/>
  <c r="AD48" i="22" s="1"/>
  <c r="AT48" i="22" s="1"/>
  <c r="AC20" i="3"/>
  <c r="AF4" i="3"/>
  <c r="BB5" i="3"/>
  <c r="BB6" i="3" s="1"/>
  <c r="BB7" i="3" s="1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R19" i="19"/>
  <c r="U52" i="12"/>
  <c r="U52" i="13"/>
  <c r="AA52" i="12"/>
  <c r="I52" i="12"/>
  <c r="AA52" i="13"/>
  <c r="I52" i="13"/>
  <c r="AB52" i="12"/>
  <c r="V52" i="13"/>
  <c r="O52" i="13"/>
  <c r="AA88" i="14"/>
  <c r="AB52" i="13"/>
  <c r="AB88" i="14"/>
  <c r="I88" i="14"/>
  <c r="AR88" i="14" s="1"/>
  <c r="O52" i="12"/>
  <c r="V88" i="14"/>
  <c r="O88" i="14"/>
  <c r="AB20" i="17"/>
  <c r="O20" i="17"/>
  <c r="I20" i="17"/>
  <c r="AA20" i="17"/>
  <c r="U20" i="17"/>
  <c r="AA20" i="19"/>
  <c r="I20" i="19"/>
  <c r="V52" i="12"/>
  <c r="U88" i="14"/>
  <c r="U20" i="19"/>
  <c r="AB20" i="19"/>
  <c r="O20" i="19"/>
  <c r="V20" i="17"/>
  <c r="V20" i="19"/>
  <c r="H11" i="14"/>
  <c r="AL11" i="14" s="1"/>
  <c r="AM11" i="14" s="1"/>
  <c r="E21" i="19"/>
  <c r="C20" i="19"/>
  <c r="AZ20" i="19"/>
  <c r="F10" i="13"/>
  <c r="AL9" i="13"/>
  <c r="AM9" i="13" s="1"/>
  <c r="AN9" i="13" s="1"/>
  <c r="H10" i="18"/>
  <c r="F11" i="18" s="1"/>
  <c r="G10" i="12"/>
  <c r="AR10" i="12" s="1"/>
  <c r="AS19" i="14"/>
  <c r="AQ19" i="14"/>
  <c r="AU19" i="14"/>
  <c r="C20" i="16"/>
  <c r="BD20" i="16"/>
  <c r="E21" i="16"/>
  <c r="AZ20" i="16"/>
  <c r="BF20" i="14"/>
  <c r="AW20" i="14"/>
  <c r="BA20" i="14" s="1"/>
  <c r="AY20" i="14"/>
  <c r="BD20" i="14" s="1"/>
  <c r="E21" i="14"/>
  <c r="C20" i="14"/>
  <c r="BE20" i="14"/>
  <c r="AX20" i="14"/>
  <c r="BB20" i="14" s="1"/>
  <c r="C19" i="17"/>
  <c r="E20" i="17"/>
  <c r="AZ19" i="17"/>
  <c r="AU18" i="18"/>
  <c r="AQ18" i="18"/>
  <c r="AS18" i="18"/>
  <c r="BF51" i="13"/>
  <c r="AY51" i="13"/>
  <c r="BC51" i="13" s="1"/>
  <c r="E52" i="13"/>
  <c r="BG51" i="13"/>
  <c r="C51" i="13"/>
  <c r="AR51" i="13" s="1"/>
  <c r="AZ51" i="13"/>
  <c r="BE51" i="13" s="1"/>
  <c r="E20" i="18"/>
  <c r="AZ19" i="18"/>
  <c r="C19" i="18"/>
  <c r="C21" i="15"/>
  <c r="AZ21" i="15"/>
  <c r="E22" i="15"/>
  <c r="AY21" i="13"/>
  <c r="BC21" i="13" s="1"/>
  <c r="BG21" i="13"/>
  <c r="P21" i="13"/>
  <c r="BF21" i="13"/>
  <c r="AZ21" i="13"/>
  <c r="BE21" i="13" s="1"/>
  <c r="C21" i="13"/>
  <c r="AD53" i="13" s="1"/>
  <c r="E22" i="13"/>
  <c r="AX21" i="13"/>
  <c r="BB21" i="13" s="1"/>
  <c r="H21" i="13"/>
  <c r="L21" i="13"/>
  <c r="AS20" i="13"/>
  <c r="AQ20" i="13"/>
  <c r="AU20" i="13"/>
  <c r="BF89" i="14"/>
  <c r="AW89" i="14"/>
  <c r="BA89" i="14" s="1"/>
  <c r="AY89" i="14"/>
  <c r="BD89" i="14" s="1"/>
  <c r="C89" i="14"/>
  <c r="E90" i="14"/>
  <c r="AX89" i="14"/>
  <c r="BB89" i="14" s="1"/>
  <c r="BE89" i="14"/>
  <c r="AN10" i="14"/>
  <c r="A23" i="3"/>
  <c r="BI23" i="3" s="1"/>
  <c r="BJ23" i="3" s="1"/>
  <c r="P26" i="3"/>
  <c r="AN26" i="3"/>
  <c r="H22" i="3"/>
  <c r="AQ25" i="3"/>
  <c r="G24" i="3"/>
  <c r="AV23" i="3"/>
  <c r="AX23" i="3" s="1"/>
  <c r="V23" i="3"/>
  <c r="X23" i="3" s="1"/>
  <c r="BC21" i="3"/>
  <c r="AE22" i="3"/>
  <c r="BD21" i="3"/>
  <c r="AH22" i="3"/>
  <c r="AG22" i="3"/>
  <c r="Y22" i="3"/>
  <c r="AC21" i="3"/>
  <c r="AW25" i="3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Q78" i="23" l="1"/>
  <c r="L79" i="23" s="1"/>
  <c r="N79" i="23" s="1"/>
  <c r="AG84" i="23"/>
  <c r="AF85" i="23" s="1"/>
  <c r="Z85" i="23"/>
  <c r="Y85" i="23"/>
  <c r="AC85" i="23" s="1"/>
  <c r="X86" i="23" s="1"/>
  <c r="AA86" i="23" s="1"/>
  <c r="T85" i="23"/>
  <c r="S85" i="23"/>
  <c r="W85" i="23" s="1"/>
  <c r="R86" i="23" s="1"/>
  <c r="U86" i="23" s="1"/>
  <c r="AL78" i="23"/>
  <c r="AM78" i="23" s="1"/>
  <c r="AU43" i="22"/>
  <c r="AQ43" i="22"/>
  <c r="AS43" i="22"/>
  <c r="K10" i="29"/>
  <c r="AN10" i="29"/>
  <c r="Z14" i="29"/>
  <c r="AA14" i="29"/>
  <c r="AR10" i="29"/>
  <c r="Q10" i="29"/>
  <c r="L11" i="29" s="1"/>
  <c r="O79" i="23"/>
  <c r="O43" i="21"/>
  <c r="P44" i="21"/>
  <c r="M43" i="21"/>
  <c r="N43" i="21"/>
  <c r="AO43" i="21" s="1"/>
  <c r="BF19" i="12"/>
  <c r="AU18" i="12"/>
  <c r="AN23" i="20"/>
  <c r="AR25" i="3"/>
  <c r="P23" i="20"/>
  <c r="AF213" i="20"/>
  <c r="AD213" i="20" s="1"/>
  <c r="AF229" i="20"/>
  <c r="AK229" i="20" s="1"/>
  <c r="BG229" i="20" s="1"/>
  <c r="AF197" i="20"/>
  <c r="AK197" i="20" s="1"/>
  <c r="BG197" i="20" s="1"/>
  <c r="AF181" i="20"/>
  <c r="AD181" i="20" s="1"/>
  <c r="AF165" i="20"/>
  <c r="AK165" i="20" s="1"/>
  <c r="BG165" i="20" s="1"/>
  <c r="AF149" i="20"/>
  <c r="AK149" i="20" s="1"/>
  <c r="BG149" i="20" s="1"/>
  <c r="AF133" i="20"/>
  <c r="AK133" i="20" s="1"/>
  <c r="BG133" i="20" s="1"/>
  <c r="AF117" i="20"/>
  <c r="AK117" i="20" s="1"/>
  <c r="BG117" i="20" s="1"/>
  <c r="AF101" i="20"/>
  <c r="AK101" i="20" s="1"/>
  <c r="BG101" i="20" s="1"/>
  <c r="AF85" i="20"/>
  <c r="AD85" i="20" s="1"/>
  <c r="AF69" i="20"/>
  <c r="AK69" i="20" s="1"/>
  <c r="BG69" i="20" s="1"/>
  <c r="AF53" i="20"/>
  <c r="AD53" i="20" s="1"/>
  <c r="AF37" i="20"/>
  <c r="AD37" i="20" s="1"/>
  <c r="AF21" i="20"/>
  <c r="AK21" i="20" s="1"/>
  <c r="BG21" i="20" s="1"/>
  <c r="AD4" i="20"/>
  <c r="AF230" i="20"/>
  <c r="AK230" i="20" s="1"/>
  <c r="BG230" i="20" s="1"/>
  <c r="AF214" i="20"/>
  <c r="AK214" i="20" s="1"/>
  <c r="BG214" i="20" s="1"/>
  <c r="AF198" i="20"/>
  <c r="AK198" i="20" s="1"/>
  <c r="BG198" i="20" s="1"/>
  <c r="AF182" i="20"/>
  <c r="AK182" i="20" s="1"/>
  <c r="BG182" i="20" s="1"/>
  <c r="AF150" i="20"/>
  <c r="AD150" i="20" s="1"/>
  <c r="AF134" i="20"/>
  <c r="AK134" i="20" s="1"/>
  <c r="BG134" i="20" s="1"/>
  <c r="AF118" i="20"/>
  <c r="AK118" i="20" s="1"/>
  <c r="BG118" i="20" s="1"/>
  <c r="AF102" i="20"/>
  <c r="AK102" i="20" s="1"/>
  <c r="BG102" i="20" s="1"/>
  <c r="AF86" i="20"/>
  <c r="AD86" i="20" s="1"/>
  <c r="AF70" i="20"/>
  <c r="AK70" i="20" s="1"/>
  <c r="BG70" i="20" s="1"/>
  <c r="AF54" i="20"/>
  <c r="AD54" i="20" s="1"/>
  <c r="AF38" i="20"/>
  <c r="AK38" i="20" s="1"/>
  <c r="BG38" i="20" s="1"/>
  <c r="AF22" i="20"/>
  <c r="AK22" i="20" s="1"/>
  <c r="BG22" i="20" s="1"/>
  <c r="AF215" i="20"/>
  <c r="AK215" i="20" s="1"/>
  <c r="BG215" i="20" s="1"/>
  <c r="AF183" i="20"/>
  <c r="AD183" i="20" s="1"/>
  <c r="AF151" i="20"/>
  <c r="AK151" i="20" s="1"/>
  <c r="BG151" i="20" s="1"/>
  <c r="AF119" i="20"/>
  <c r="AD119" i="20" s="1"/>
  <c r="AF71" i="20"/>
  <c r="AD71" i="20" s="1"/>
  <c r="AF7" i="20"/>
  <c r="AK7" i="20" s="1"/>
  <c r="AF232" i="20"/>
  <c r="AK232" i="20" s="1"/>
  <c r="BG232" i="20" s="1"/>
  <c r="AF216" i="20"/>
  <c r="AK216" i="20" s="1"/>
  <c r="BG216" i="20" s="1"/>
  <c r="AF200" i="20"/>
  <c r="AK200" i="20" s="1"/>
  <c r="BG200" i="20" s="1"/>
  <c r="AF184" i="20"/>
  <c r="AK184" i="20" s="1"/>
  <c r="BG184" i="20" s="1"/>
  <c r="AF152" i="20"/>
  <c r="AK152" i="20" s="1"/>
  <c r="BG152" i="20" s="1"/>
  <c r="AF136" i="20"/>
  <c r="AD136" i="20" s="1"/>
  <c r="AF120" i="20"/>
  <c r="AD120" i="20" s="1"/>
  <c r="AF104" i="20"/>
  <c r="AK104" i="20" s="1"/>
  <c r="BG104" i="20" s="1"/>
  <c r="AF88" i="20"/>
  <c r="AK88" i="20" s="1"/>
  <c r="BG88" i="20" s="1"/>
  <c r="AF72" i="20"/>
  <c r="AD72" i="20" s="1"/>
  <c r="AF56" i="20"/>
  <c r="AD56" i="20" s="1"/>
  <c r="AF40" i="20"/>
  <c r="AK40" i="20" s="1"/>
  <c r="BG40" i="20" s="1"/>
  <c r="AF24" i="20"/>
  <c r="AK24" i="20" s="1"/>
  <c r="BG24" i="20" s="1"/>
  <c r="AF8" i="20"/>
  <c r="AK8" i="20" s="1"/>
  <c r="AF137" i="20"/>
  <c r="AD137" i="20" s="1"/>
  <c r="AF218" i="20"/>
  <c r="AD218" i="20" s="1"/>
  <c r="AF202" i="20"/>
  <c r="AD202" i="20" s="1"/>
  <c r="AF186" i="20"/>
  <c r="AD186" i="20" s="1"/>
  <c r="AF170" i="20"/>
  <c r="AK170" i="20" s="1"/>
  <c r="BG170" i="20" s="1"/>
  <c r="AF154" i="20"/>
  <c r="AD154" i="20" s="1"/>
  <c r="AF122" i="20"/>
  <c r="AK122" i="20" s="1"/>
  <c r="BG122" i="20" s="1"/>
  <c r="AF106" i="20"/>
  <c r="AK106" i="20" s="1"/>
  <c r="BG106" i="20" s="1"/>
  <c r="AF90" i="20"/>
  <c r="AD90" i="20" s="1"/>
  <c r="AF74" i="20"/>
  <c r="AD74" i="20" s="1"/>
  <c r="AF58" i="20"/>
  <c r="AK58" i="20" s="1"/>
  <c r="BG58" i="20" s="1"/>
  <c r="AF42" i="20"/>
  <c r="AD42" i="20" s="1"/>
  <c r="AF26" i="20"/>
  <c r="AK26" i="20" s="1"/>
  <c r="BG26" i="20" s="1"/>
  <c r="AF10" i="20"/>
  <c r="AD10" i="20" s="1"/>
  <c r="AF203" i="20"/>
  <c r="AD203" i="20" s="1"/>
  <c r="AF155" i="20"/>
  <c r="AD155" i="20" s="1"/>
  <c r="AF91" i="20"/>
  <c r="AK91" i="20" s="1"/>
  <c r="BG91" i="20" s="1"/>
  <c r="AF220" i="20"/>
  <c r="AD220" i="20" s="1"/>
  <c r="AF188" i="20"/>
  <c r="AD188" i="20" s="1"/>
  <c r="AF172" i="20"/>
  <c r="AD172" i="20" s="1"/>
  <c r="AF140" i="20"/>
  <c r="AK140" i="20" s="1"/>
  <c r="BG140" i="20" s="1"/>
  <c r="AF124" i="20"/>
  <c r="AK124" i="20" s="1"/>
  <c r="BG124" i="20" s="1"/>
  <c r="AF92" i="20"/>
  <c r="AK92" i="20" s="1"/>
  <c r="BG92" i="20" s="1"/>
  <c r="AF60" i="20"/>
  <c r="AK60" i="20" s="1"/>
  <c r="BG60" i="20" s="1"/>
  <c r="AF44" i="20"/>
  <c r="AK44" i="20" s="1"/>
  <c r="BG44" i="20" s="1"/>
  <c r="AF12" i="20"/>
  <c r="AK12" i="20" s="1"/>
  <c r="AF221" i="20"/>
  <c r="AK221" i="20" s="1"/>
  <c r="BG221" i="20" s="1"/>
  <c r="AF173" i="20"/>
  <c r="AD173" i="20" s="1"/>
  <c r="AF125" i="20"/>
  <c r="AK125" i="20" s="1"/>
  <c r="BG125" i="20" s="1"/>
  <c r="AF77" i="20"/>
  <c r="AK77" i="20" s="1"/>
  <c r="BG77" i="20" s="1"/>
  <c r="AF222" i="20"/>
  <c r="AD222" i="20" s="1"/>
  <c r="AF206" i="20"/>
  <c r="AD206" i="20" s="1"/>
  <c r="AF174" i="20"/>
  <c r="AK174" i="20" s="1"/>
  <c r="BG174" i="20" s="1"/>
  <c r="AF158" i="20"/>
  <c r="AD158" i="20" s="1"/>
  <c r="AF142" i="20"/>
  <c r="AD142" i="20" s="1"/>
  <c r="AF126" i="20"/>
  <c r="AK126" i="20" s="1"/>
  <c r="BG126" i="20" s="1"/>
  <c r="AF110" i="20"/>
  <c r="AK110" i="20" s="1"/>
  <c r="BG110" i="20" s="1"/>
  <c r="AF94" i="20"/>
  <c r="AK94" i="20" s="1"/>
  <c r="BG94" i="20" s="1"/>
  <c r="AF78" i="20"/>
  <c r="AK78" i="20" s="1"/>
  <c r="BG78" i="20" s="1"/>
  <c r="AF62" i="20"/>
  <c r="AK62" i="20" s="1"/>
  <c r="BG62" i="20" s="1"/>
  <c r="AF46" i="20"/>
  <c r="AD46" i="20" s="1"/>
  <c r="AF30" i="20"/>
  <c r="AK30" i="20" s="1"/>
  <c r="BG30" i="20" s="1"/>
  <c r="AF14" i="20"/>
  <c r="AD14" i="20" s="1"/>
  <c r="AF223" i="20"/>
  <c r="AK223" i="20" s="1"/>
  <c r="BG223" i="20" s="1"/>
  <c r="AF207" i="20"/>
  <c r="AK207" i="20" s="1"/>
  <c r="BG207" i="20" s="1"/>
  <c r="AF191" i="20"/>
  <c r="AK191" i="20" s="1"/>
  <c r="BG191" i="20" s="1"/>
  <c r="AF175" i="20"/>
  <c r="AK175" i="20" s="1"/>
  <c r="BG175" i="20" s="1"/>
  <c r="AF159" i="20"/>
  <c r="AK159" i="20" s="1"/>
  <c r="BG159" i="20" s="1"/>
  <c r="AF143" i="20"/>
  <c r="AK143" i="20" s="1"/>
  <c r="BG143" i="20" s="1"/>
  <c r="AF127" i="20"/>
  <c r="AK127" i="20" s="1"/>
  <c r="BG127" i="20" s="1"/>
  <c r="AF111" i="20"/>
  <c r="AK111" i="20" s="1"/>
  <c r="BG111" i="20" s="1"/>
  <c r="AF95" i="20"/>
  <c r="AD95" i="20" s="1"/>
  <c r="AF79" i="20"/>
  <c r="AK79" i="20" s="1"/>
  <c r="BG79" i="20" s="1"/>
  <c r="AF63" i="20"/>
  <c r="AD63" i="20" s="1"/>
  <c r="AF47" i="20"/>
  <c r="AK47" i="20" s="1"/>
  <c r="BG47" i="20" s="1"/>
  <c r="AF31" i="20"/>
  <c r="AD31" i="20" s="1"/>
  <c r="AF15" i="20"/>
  <c r="AD15" i="20" s="1"/>
  <c r="AF208" i="20"/>
  <c r="AK208" i="20" s="1"/>
  <c r="BG208" i="20" s="1"/>
  <c r="AF192" i="20"/>
  <c r="AK192" i="20" s="1"/>
  <c r="BG192" i="20" s="1"/>
  <c r="AF160" i="20"/>
  <c r="AK160" i="20" s="1"/>
  <c r="BG160" i="20" s="1"/>
  <c r="AF128" i="20"/>
  <c r="AK128" i="20" s="1"/>
  <c r="BG128" i="20" s="1"/>
  <c r="AF96" i="20"/>
  <c r="AD96" i="20" s="1"/>
  <c r="AF80" i="20"/>
  <c r="AK80" i="20" s="1"/>
  <c r="BG80" i="20" s="1"/>
  <c r="AF48" i="20"/>
  <c r="AD48" i="20" s="1"/>
  <c r="AF32" i="20"/>
  <c r="AK32" i="20" s="1"/>
  <c r="BG32" i="20" s="1"/>
  <c r="AF225" i="20"/>
  <c r="AK225" i="20" s="1"/>
  <c r="BG225" i="20" s="1"/>
  <c r="AF209" i="20"/>
  <c r="AK209" i="20" s="1"/>
  <c r="BG209" i="20" s="1"/>
  <c r="AF177" i="20"/>
  <c r="AD177" i="20" s="1"/>
  <c r="AF161" i="20"/>
  <c r="AK161" i="20" s="1"/>
  <c r="BG161" i="20" s="1"/>
  <c r="AF129" i="20"/>
  <c r="AD129" i="20" s="1"/>
  <c r="AF113" i="20"/>
  <c r="AD113" i="20" s="1"/>
  <c r="AF97" i="20"/>
  <c r="AK97" i="20" s="1"/>
  <c r="BG97" i="20" s="1"/>
  <c r="AF65" i="20"/>
  <c r="AK65" i="20" s="1"/>
  <c r="BG65" i="20" s="1"/>
  <c r="AF49" i="20"/>
  <c r="AK49" i="20" s="1"/>
  <c r="BG49" i="20" s="1"/>
  <c r="AF33" i="20"/>
  <c r="AD33" i="20" s="1"/>
  <c r="AF17" i="20"/>
  <c r="AD17" i="20" s="1"/>
  <c r="K17" i="21" s="1"/>
  <c r="AF226" i="20"/>
  <c r="AK226" i="20" s="1"/>
  <c r="BG226" i="20" s="1"/>
  <c r="AF178" i="20"/>
  <c r="AD178" i="20" s="1"/>
  <c r="AF114" i="20"/>
  <c r="AK114" i="20" s="1"/>
  <c r="BG114" i="20" s="1"/>
  <c r="AF18" i="20"/>
  <c r="AK18" i="20" s="1"/>
  <c r="AF227" i="20"/>
  <c r="AK227" i="20" s="1"/>
  <c r="BG227" i="20" s="1"/>
  <c r="AF211" i="20"/>
  <c r="AK211" i="20" s="1"/>
  <c r="BG211" i="20" s="1"/>
  <c r="AF195" i="20"/>
  <c r="AK195" i="20" s="1"/>
  <c r="BG195" i="20" s="1"/>
  <c r="AF179" i="20"/>
  <c r="AD179" i="20" s="1"/>
  <c r="AF163" i="20"/>
  <c r="AD163" i="20" s="1"/>
  <c r="AF147" i="20"/>
  <c r="AD147" i="20" s="1"/>
  <c r="AF131" i="20"/>
  <c r="AK131" i="20" s="1"/>
  <c r="BG131" i="20" s="1"/>
  <c r="AF115" i="20"/>
  <c r="AD115" i="20" s="1"/>
  <c r="AF99" i="20"/>
  <c r="AD99" i="20" s="1"/>
  <c r="AF83" i="20"/>
  <c r="AD83" i="20" s="1"/>
  <c r="AF67" i="20"/>
  <c r="AK67" i="20" s="1"/>
  <c r="BG67" i="20" s="1"/>
  <c r="AF51" i="20"/>
  <c r="AD51" i="20" s="1"/>
  <c r="AF35" i="20"/>
  <c r="AK35" i="20" s="1"/>
  <c r="BG35" i="20" s="1"/>
  <c r="AF19" i="20"/>
  <c r="AD19" i="20" s="1"/>
  <c r="AF166" i="20"/>
  <c r="AK166" i="20" s="1"/>
  <c r="BG166" i="20" s="1"/>
  <c r="AF6" i="20"/>
  <c r="AK6" i="20" s="1"/>
  <c r="AF231" i="20"/>
  <c r="AK231" i="20" s="1"/>
  <c r="BG231" i="20" s="1"/>
  <c r="AF199" i="20"/>
  <c r="AK199" i="20" s="1"/>
  <c r="BG199" i="20" s="1"/>
  <c r="AF167" i="20"/>
  <c r="AD167" i="20" s="1"/>
  <c r="AF135" i="20"/>
  <c r="AK135" i="20" s="1"/>
  <c r="BG135" i="20" s="1"/>
  <c r="AF103" i="20"/>
  <c r="AD103" i="20" s="1"/>
  <c r="AF87" i="20"/>
  <c r="AD87" i="20" s="1"/>
  <c r="AF55" i="20"/>
  <c r="AK55" i="20" s="1"/>
  <c r="BG55" i="20" s="1"/>
  <c r="AF39" i="20"/>
  <c r="AD39" i="20" s="1"/>
  <c r="AF23" i="20"/>
  <c r="AD23" i="20" s="1"/>
  <c r="AF168" i="20"/>
  <c r="AD168" i="20" s="1"/>
  <c r="AF233" i="20"/>
  <c r="AD233" i="20" s="1"/>
  <c r="AF217" i="20"/>
  <c r="AK217" i="20" s="1"/>
  <c r="BG217" i="20" s="1"/>
  <c r="AF201" i="20"/>
  <c r="AD201" i="20" s="1"/>
  <c r="AF185" i="20"/>
  <c r="AK185" i="20" s="1"/>
  <c r="BG185" i="20" s="1"/>
  <c r="AF169" i="20"/>
  <c r="AD169" i="20" s="1"/>
  <c r="AF153" i="20"/>
  <c r="AD153" i="20" s="1"/>
  <c r="AF121" i="20"/>
  <c r="AK121" i="20" s="1"/>
  <c r="BG121" i="20" s="1"/>
  <c r="AF105" i="20"/>
  <c r="AK105" i="20" s="1"/>
  <c r="BG105" i="20" s="1"/>
  <c r="AF89" i="20"/>
  <c r="AK89" i="20" s="1"/>
  <c r="BG89" i="20" s="1"/>
  <c r="AF73" i="20"/>
  <c r="AK73" i="20" s="1"/>
  <c r="BG73" i="20" s="1"/>
  <c r="AF57" i="20"/>
  <c r="AK57" i="20" s="1"/>
  <c r="BG57" i="20" s="1"/>
  <c r="AF41" i="20"/>
  <c r="AD41" i="20" s="1"/>
  <c r="AF25" i="20"/>
  <c r="AD25" i="20" s="1"/>
  <c r="AF9" i="20"/>
  <c r="AK9" i="20" s="1"/>
  <c r="AF234" i="20"/>
  <c r="AD234" i="20" s="1"/>
  <c r="AF138" i="20"/>
  <c r="AK138" i="20" s="1"/>
  <c r="BG138" i="20" s="1"/>
  <c r="AF219" i="20"/>
  <c r="AK219" i="20" s="1"/>
  <c r="BG219" i="20" s="1"/>
  <c r="AF187" i="20"/>
  <c r="AK187" i="20" s="1"/>
  <c r="BG187" i="20" s="1"/>
  <c r="AF171" i="20"/>
  <c r="AK171" i="20" s="1"/>
  <c r="BG171" i="20" s="1"/>
  <c r="AF139" i="20"/>
  <c r="AD139" i="20" s="1"/>
  <c r="AF123" i="20"/>
  <c r="AD123" i="20" s="1"/>
  <c r="AF107" i="20"/>
  <c r="AK107" i="20" s="1"/>
  <c r="BG107" i="20" s="1"/>
  <c r="AF75" i="20"/>
  <c r="AK75" i="20" s="1"/>
  <c r="BG75" i="20" s="1"/>
  <c r="AF59" i="20"/>
  <c r="AD59" i="20" s="1"/>
  <c r="AF43" i="20"/>
  <c r="AK43" i="20" s="1"/>
  <c r="BG43" i="20" s="1"/>
  <c r="AF27" i="20"/>
  <c r="AD27" i="20" s="1"/>
  <c r="AF11" i="20"/>
  <c r="AK11" i="20" s="1"/>
  <c r="AF204" i="20"/>
  <c r="AK204" i="20" s="1"/>
  <c r="BG204" i="20" s="1"/>
  <c r="AF156" i="20"/>
  <c r="AK156" i="20" s="1"/>
  <c r="BG156" i="20" s="1"/>
  <c r="AF108" i="20"/>
  <c r="AK108" i="20" s="1"/>
  <c r="BG108" i="20" s="1"/>
  <c r="AF76" i="20"/>
  <c r="AK76" i="20" s="1"/>
  <c r="BG76" i="20" s="1"/>
  <c r="AF28" i="20"/>
  <c r="AD28" i="20" s="1"/>
  <c r="AF205" i="20"/>
  <c r="AD205" i="20" s="1"/>
  <c r="AF189" i="20"/>
  <c r="AD189" i="20" s="1"/>
  <c r="AF157" i="20"/>
  <c r="AD157" i="20" s="1"/>
  <c r="AF141" i="20"/>
  <c r="AK141" i="20" s="1"/>
  <c r="BG141" i="20" s="1"/>
  <c r="AF109" i="20"/>
  <c r="AK109" i="20" s="1"/>
  <c r="BG109" i="20" s="1"/>
  <c r="AF93" i="20"/>
  <c r="AK93" i="20" s="1"/>
  <c r="BG93" i="20" s="1"/>
  <c r="AF61" i="20"/>
  <c r="AK61" i="20" s="1"/>
  <c r="BG61" i="20" s="1"/>
  <c r="AF45" i="20"/>
  <c r="AD45" i="20" s="1"/>
  <c r="AF29" i="20"/>
  <c r="AK29" i="20" s="1"/>
  <c r="BG29" i="20" s="1"/>
  <c r="AF13" i="20"/>
  <c r="AK13" i="20" s="1"/>
  <c r="AF190" i="20"/>
  <c r="AD190" i="20" s="1"/>
  <c r="AF224" i="20"/>
  <c r="AD224" i="20" s="1"/>
  <c r="AF176" i="20"/>
  <c r="AD176" i="20" s="1"/>
  <c r="AF144" i="20"/>
  <c r="AD144" i="20" s="1"/>
  <c r="AF112" i="20"/>
  <c r="AD112" i="20" s="1"/>
  <c r="AF64" i="20"/>
  <c r="AK64" i="20" s="1"/>
  <c r="BG64" i="20" s="1"/>
  <c r="AF16" i="20"/>
  <c r="AK16" i="20" s="1"/>
  <c r="AF193" i="20"/>
  <c r="AD193" i="20" s="1"/>
  <c r="AF145" i="20"/>
  <c r="AD145" i="20" s="1"/>
  <c r="AF81" i="20"/>
  <c r="AD81" i="20" s="1"/>
  <c r="AF210" i="20"/>
  <c r="AD210" i="20" s="1"/>
  <c r="AF194" i="20"/>
  <c r="AK194" i="20" s="1"/>
  <c r="BG194" i="20" s="1"/>
  <c r="AF162" i="20"/>
  <c r="AK162" i="20" s="1"/>
  <c r="BG162" i="20" s="1"/>
  <c r="AF146" i="20"/>
  <c r="AD146" i="20" s="1"/>
  <c r="AF130" i="20"/>
  <c r="AK130" i="20" s="1"/>
  <c r="BG130" i="20" s="1"/>
  <c r="AF98" i="20"/>
  <c r="AK98" i="20" s="1"/>
  <c r="BG98" i="20" s="1"/>
  <c r="AF82" i="20"/>
  <c r="AK82" i="20" s="1"/>
  <c r="BG82" i="20" s="1"/>
  <c r="AF66" i="20"/>
  <c r="AK66" i="20" s="1"/>
  <c r="BG66" i="20" s="1"/>
  <c r="AF50" i="20"/>
  <c r="AD50" i="20" s="1"/>
  <c r="AF34" i="20"/>
  <c r="AK34" i="20" s="1"/>
  <c r="BG34" i="20" s="1"/>
  <c r="AF228" i="20"/>
  <c r="AK228" i="20" s="1"/>
  <c r="BG228" i="20" s="1"/>
  <c r="AF212" i="20"/>
  <c r="AK212" i="20" s="1"/>
  <c r="BG212" i="20" s="1"/>
  <c r="AF196" i="20"/>
  <c r="AK196" i="20" s="1"/>
  <c r="BG196" i="20" s="1"/>
  <c r="AF180" i="20"/>
  <c r="AK180" i="20" s="1"/>
  <c r="BG180" i="20" s="1"/>
  <c r="AF164" i="20"/>
  <c r="AD164" i="20" s="1"/>
  <c r="AF148" i="20"/>
  <c r="AK148" i="20" s="1"/>
  <c r="BG148" i="20" s="1"/>
  <c r="AF132" i="20"/>
  <c r="AK132" i="20" s="1"/>
  <c r="BG132" i="20" s="1"/>
  <c r="AF116" i="20"/>
  <c r="AK116" i="20" s="1"/>
  <c r="BG116" i="20" s="1"/>
  <c r="AF100" i="20"/>
  <c r="AD100" i="20" s="1"/>
  <c r="AF84" i="20"/>
  <c r="AD84" i="20" s="1"/>
  <c r="AF68" i="20"/>
  <c r="AK68" i="20" s="1"/>
  <c r="BG68" i="20" s="1"/>
  <c r="AF52" i="20"/>
  <c r="AD52" i="20" s="1"/>
  <c r="AF36" i="20"/>
  <c r="AD36" i="20" s="1"/>
  <c r="AF20" i="20"/>
  <c r="AD20" i="20" s="1"/>
  <c r="AM23" i="3"/>
  <c r="AZ19" i="12"/>
  <c r="BE19" i="12" s="1"/>
  <c r="AY19" i="12"/>
  <c r="BC19" i="12" s="1"/>
  <c r="BG19" i="12"/>
  <c r="C19" i="12"/>
  <c r="E20" i="12"/>
  <c r="AQ18" i="12"/>
  <c r="AS18" i="12"/>
  <c r="AQ23" i="20"/>
  <c r="AR23" i="20" s="1"/>
  <c r="O24" i="20"/>
  <c r="AD5" i="20"/>
  <c r="AK5" i="20"/>
  <c r="E53" i="12"/>
  <c r="AZ52" i="12"/>
  <c r="BE52" i="12" s="1"/>
  <c r="BG52" i="12"/>
  <c r="C52" i="12"/>
  <c r="BF52" i="12"/>
  <c r="AY52" i="12"/>
  <c r="BC52" i="12" s="1"/>
  <c r="AO10" i="29"/>
  <c r="H11" i="21"/>
  <c r="T49" i="21"/>
  <c r="S49" i="21"/>
  <c r="W49" i="21" s="1"/>
  <c r="R50" i="21" s="1"/>
  <c r="V50" i="21" s="1"/>
  <c r="Z49" i="21"/>
  <c r="Y49" i="21"/>
  <c r="AC49" i="21" s="1"/>
  <c r="X50" i="21" s="1"/>
  <c r="AB50" i="21" s="1"/>
  <c r="H44" i="21"/>
  <c r="G44" i="21"/>
  <c r="K44" i="21" s="1"/>
  <c r="J45" i="21"/>
  <c r="AY51" i="21"/>
  <c r="BC51" i="21" s="1"/>
  <c r="C51" i="21"/>
  <c r="BF51" i="21"/>
  <c r="BG51" i="21"/>
  <c r="E52" i="21"/>
  <c r="AZ51" i="21"/>
  <c r="BE51" i="21" s="1"/>
  <c r="AY19" i="21"/>
  <c r="BC19" i="21" s="1"/>
  <c r="BG19" i="21"/>
  <c r="C19" i="21"/>
  <c r="BF19" i="21"/>
  <c r="AZ19" i="21"/>
  <c r="BE19" i="21" s="1"/>
  <c r="E20" i="21"/>
  <c r="AU18" i="21"/>
  <c r="AQ18" i="21"/>
  <c r="AS18" i="21"/>
  <c r="AZ19" i="29"/>
  <c r="C19" i="29"/>
  <c r="E20" i="29"/>
  <c r="W11" i="29"/>
  <c r="R12" i="29" s="1"/>
  <c r="Y14" i="29"/>
  <c r="AC14" i="29" s="1"/>
  <c r="X15" i="29" s="1"/>
  <c r="AG13" i="29"/>
  <c r="AF14" i="29" s="1"/>
  <c r="H9" i="26"/>
  <c r="F10" i="26" s="1"/>
  <c r="G10" i="26" s="1"/>
  <c r="AR10" i="26" s="1"/>
  <c r="AQ19" i="26"/>
  <c r="AU19" i="26"/>
  <c r="AS19" i="26"/>
  <c r="AZ20" i="26"/>
  <c r="C20" i="26"/>
  <c r="E21" i="26"/>
  <c r="M10" i="25"/>
  <c r="T17" i="28"/>
  <c r="S17" i="28"/>
  <c r="AE16" i="28"/>
  <c r="AD17" i="28" s="1"/>
  <c r="AT17" i="28" s="1"/>
  <c r="Z13" i="28"/>
  <c r="Y13" i="28"/>
  <c r="AC13" i="28" s="1"/>
  <c r="X14" i="28" s="1"/>
  <c r="AB14" i="28" s="1"/>
  <c r="AS9" i="28"/>
  <c r="AU9" i="28"/>
  <c r="AQ9" i="28"/>
  <c r="AZ20" i="28"/>
  <c r="C20" i="28"/>
  <c r="E21" i="28"/>
  <c r="F10" i="28"/>
  <c r="I10" i="28" s="1"/>
  <c r="Q10" i="28" s="1"/>
  <c r="L11" i="28" s="1"/>
  <c r="P11" i="25"/>
  <c r="BA20" i="25"/>
  <c r="BB20" i="25"/>
  <c r="BC20" i="25"/>
  <c r="F10" i="25"/>
  <c r="AQ9" i="25"/>
  <c r="AS9" i="25"/>
  <c r="AU9" i="25"/>
  <c r="AM9" i="25"/>
  <c r="AN9" i="25" s="1"/>
  <c r="C20" i="25"/>
  <c r="AZ20" i="25"/>
  <c r="BD20" i="25"/>
  <c r="E21" i="25"/>
  <c r="AQ19" i="24"/>
  <c r="AS19" i="24"/>
  <c r="AU19" i="24"/>
  <c r="AZ20" i="24"/>
  <c r="C20" i="24"/>
  <c r="E21" i="24"/>
  <c r="H9" i="24"/>
  <c r="F79" i="23"/>
  <c r="I79" i="23" s="1"/>
  <c r="AR79" i="23" s="1"/>
  <c r="AP78" i="23"/>
  <c r="AS21" i="15"/>
  <c r="AU21" i="15"/>
  <c r="AQ21" i="15"/>
  <c r="H11" i="15"/>
  <c r="H9" i="23"/>
  <c r="F10" i="23" s="1"/>
  <c r="G10" i="23" s="1"/>
  <c r="AR10" i="23" s="1"/>
  <c r="AW89" i="23"/>
  <c r="BA89" i="23" s="1"/>
  <c r="AX89" i="23"/>
  <c r="BB89" i="23" s="1"/>
  <c r="AY89" i="23"/>
  <c r="BD89" i="23" s="1"/>
  <c r="AQ18" i="23"/>
  <c r="AS18" i="23"/>
  <c r="AU18" i="23"/>
  <c r="AW19" i="23"/>
  <c r="BA19" i="23" s="1"/>
  <c r="AX19" i="23"/>
  <c r="BB19" i="23" s="1"/>
  <c r="AY19" i="23"/>
  <c r="BD19" i="23" s="1"/>
  <c r="E20" i="23"/>
  <c r="C19" i="23"/>
  <c r="BF19" i="23"/>
  <c r="BE19" i="23"/>
  <c r="C89" i="23"/>
  <c r="BE89" i="23"/>
  <c r="BF89" i="23"/>
  <c r="E90" i="23"/>
  <c r="Z49" i="22"/>
  <c r="Y49" i="22"/>
  <c r="AC49" i="22" s="1"/>
  <c r="X50" i="22" s="1"/>
  <c r="AA50" i="22" s="1"/>
  <c r="S49" i="22"/>
  <c r="W49" i="22" s="1"/>
  <c r="R50" i="22" s="1"/>
  <c r="U50" i="22" s="1"/>
  <c r="T49" i="22"/>
  <c r="F46" i="22"/>
  <c r="I46" i="22" s="1"/>
  <c r="AR46" i="22" s="1"/>
  <c r="BF51" i="22"/>
  <c r="BG51" i="22"/>
  <c r="AY51" i="22"/>
  <c r="BC51" i="22" s="1"/>
  <c r="C51" i="22"/>
  <c r="AZ51" i="22"/>
  <c r="BE51" i="22" s="1"/>
  <c r="E52" i="22"/>
  <c r="AQ18" i="22"/>
  <c r="AS18" i="22"/>
  <c r="AU18" i="22"/>
  <c r="N44" i="22"/>
  <c r="AO44" i="22" s="1"/>
  <c r="P45" i="22"/>
  <c r="M44" i="22"/>
  <c r="Q44" i="22" s="1"/>
  <c r="L45" i="22" s="1"/>
  <c r="O45" i="22" s="1"/>
  <c r="BF19" i="22"/>
  <c r="BG19" i="22"/>
  <c r="C19" i="22"/>
  <c r="AY19" i="22"/>
  <c r="BC19" i="22" s="1"/>
  <c r="E20" i="22"/>
  <c r="AZ19" i="22"/>
  <c r="BE19" i="22" s="1"/>
  <c r="AM42" i="22"/>
  <c r="AN42" i="22" s="1"/>
  <c r="H10" i="22"/>
  <c r="AG44" i="21"/>
  <c r="AF45" i="21" s="1"/>
  <c r="AN9" i="22"/>
  <c r="AL42" i="21"/>
  <c r="AP42" i="21"/>
  <c r="AN9" i="28"/>
  <c r="O18" i="25"/>
  <c r="AE48" i="22"/>
  <c r="AD49" i="22" s="1"/>
  <c r="AT49" i="22" s="1"/>
  <c r="BB23" i="3"/>
  <c r="AD4" i="3"/>
  <c r="AF5" i="3"/>
  <c r="AF6" i="3"/>
  <c r="AK6" i="3" s="1"/>
  <c r="AF7" i="3"/>
  <c r="AK7" i="3" s="1"/>
  <c r="AF8" i="3"/>
  <c r="AK8" i="3" s="1"/>
  <c r="AF9" i="3"/>
  <c r="AK9" i="3" s="1"/>
  <c r="AF10" i="3"/>
  <c r="AK10" i="3" s="1"/>
  <c r="AF11" i="3"/>
  <c r="AK11" i="3" s="1"/>
  <c r="AF12" i="3"/>
  <c r="AK12" i="3" s="1"/>
  <c r="AF13" i="3"/>
  <c r="AK13" i="3" s="1"/>
  <c r="AF14" i="3"/>
  <c r="AK14" i="3" s="1"/>
  <c r="AF15" i="3"/>
  <c r="AK15" i="3" s="1"/>
  <c r="AF16" i="3"/>
  <c r="AK16" i="3" s="1"/>
  <c r="AF17" i="3"/>
  <c r="AK17" i="3" s="1"/>
  <c r="AF18" i="3"/>
  <c r="AK18" i="3" s="1"/>
  <c r="AF19" i="3"/>
  <c r="AK19" i="3" s="1"/>
  <c r="AF20" i="3"/>
  <c r="AK20" i="3" s="1"/>
  <c r="AF21" i="3"/>
  <c r="F12" i="14"/>
  <c r="G12" i="14" s="1"/>
  <c r="AR12" i="14" s="1"/>
  <c r="V53" i="12"/>
  <c r="V53" i="13"/>
  <c r="AB53" i="12"/>
  <c r="O53" i="12"/>
  <c r="AB53" i="13"/>
  <c r="O53" i="13"/>
  <c r="AA53" i="12"/>
  <c r="I53" i="12"/>
  <c r="U53" i="13"/>
  <c r="I53" i="13"/>
  <c r="U89" i="14"/>
  <c r="AA89" i="14"/>
  <c r="AA53" i="13"/>
  <c r="I89" i="14"/>
  <c r="AR89" i="14" s="1"/>
  <c r="U53" i="12"/>
  <c r="AB89" i="14"/>
  <c r="V21" i="17"/>
  <c r="AB21" i="17"/>
  <c r="I21" i="17"/>
  <c r="V89" i="14"/>
  <c r="AA21" i="17"/>
  <c r="AB21" i="19"/>
  <c r="O21" i="19"/>
  <c r="O89" i="14"/>
  <c r="U21" i="17"/>
  <c r="AA21" i="19"/>
  <c r="I21" i="19"/>
  <c r="V21" i="19"/>
  <c r="O21" i="17"/>
  <c r="U21" i="19"/>
  <c r="AR20" i="19"/>
  <c r="E22" i="19"/>
  <c r="AZ21" i="19"/>
  <c r="C21" i="19"/>
  <c r="AL10" i="18"/>
  <c r="AM10" i="18" s="1"/>
  <c r="AN10" i="18" s="1"/>
  <c r="G10" i="13"/>
  <c r="AR10" i="13" s="1"/>
  <c r="H10" i="12"/>
  <c r="AS20" i="14"/>
  <c r="AU20" i="14"/>
  <c r="AQ20" i="14"/>
  <c r="AZ21" i="16"/>
  <c r="C21" i="16"/>
  <c r="E22" i="16"/>
  <c r="BD21" i="16"/>
  <c r="AX21" i="14"/>
  <c r="BB21" i="14" s="1"/>
  <c r="BF21" i="14"/>
  <c r="E22" i="14"/>
  <c r="C21" i="14"/>
  <c r="AW21" i="14"/>
  <c r="BA21" i="14" s="1"/>
  <c r="BE21" i="14"/>
  <c r="AY21" i="14"/>
  <c r="BD21" i="14" s="1"/>
  <c r="G11" i="18"/>
  <c r="AR11" i="18" s="1"/>
  <c r="BF52" i="13"/>
  <c r="AZ52" i="13"/>
  <c r="BE52" i="13" s="1"/>
  <c r="AY52" i="13"/>
  <c r="BC52" i="13" s="1"/>
  <c r="E53" i="13"/>
  <c r="BG52" i="13"/>
  <c r="C52" i="13"/>
  <c r="E21" i="18"/>
  <c r="AZ20" i="18"/>
  <c r="C20" i="18"/>
  <c r="E21" i="17"/>
  <c r="AZ20" i="17"/>
  <c r="C20" i="17"/>
  <c r="AU19" i="18"/>
  <c r="AS19" i="18"/>
  <c r="AQ19" i="18"/>
  <c r="T21" i="13"/>
  <c r="S21" i="13"/>
  <c r="AG53" i="13"/>
  <c r="Q21" i="13"/>
  <c r="M21" i="13"/>
  <c r="C22" i="15"/>
  <c r="AZ22" i="15"/>
  <c r="E23" i="15"/>
  <c r="AT21" i="13"/>
  <c r="AU21" i="13"/>
  <c r="AL21" i="13"/>
  <c r="AM21" i="13" s="1"/>
  <c r="AS21" i="13"/>
  <c r="AI21" i="13"/>
  <c r="AJ21" i="13" s="1"/>
  <c r="AR21" i="13"/>
  <c r="AQ21" i="13"/>
  <c r="F21" i="13"/>
  <c r="R21" i="13"/>
  <c r="AZ22" i="13"/>
  <c r="BE22" i="13" s="1"/>
  <c r="E23" i="13"/>
  <c r="AX22" i="13"/>
  <c r="BB22" i="13" s="1"/>
  <c r="H22" i="13"/>
  <c r="L22" i="13"/>
  <c r="BF22" i="13"/>
  <c r="P22" i="13"/>
  <c r="AY22" i="13"/>
  <c r="BC22" i="13" s="1"/>
  <c r="C22" i="13"/>
  <c r="G22" i="13" s="1"/>
  <c r="BG22" i="13"/>
  <c r="AE53" i="13"/>
  <c r="I21" i="13"/>
  <c r="AF53" i="13"/>
  <c r="E91" i="14"/>
  <c r="BE90" i="14"/>
  <c r="AX90" i="14"/>
  <c r="BB90" i="14" s="1"/>
  <c r="BF90" i="14"/>
  <c r="AW90" i="14"/>
  <c r="BA90" i="14" s="1"/>
  <c r="C90" i="14"/>
  <c r="AY90" i="14"/>
  <c r="BD90" i="14" s="1"/>
  <c r="Y23" i="3"/>
  <c r="AC22" i="3"/>
  <c r="AH23" i="3"/>
  <c r="BD22" i="3"/>
  <c r="A24" i="3"/>
  <c r="BI24" i="3" s="1"/>
  <c r="BJ24" i="3" s="1"/>
  <c r="AW26" i="3"/>
  <c r="AN27" i="3"/>
  <c r="AG23" i="3"/>
  <c r="AL23" i="3"/>
  <c r="H23" i="3"/>
  <c r="AF22" i="3"/>
  <c r="AD22" i="3" s="1"/>
  <c r="AE23" i="3"/>
  <c r="BC22" i="3"/>
  <c r="V24" i="3"/>
  <c r="X24" i="3" s="1"/>
  <c r="AV24" i="3"/>
  <c r="AX24" i="3" s="1"/>
  <c r="G25" i="3"/>
  <c r="AQ26" i="3"/>
  <c r="P80" i="23" l="1"/>
  <c r="M79" i="23"/>
  <c r="Q79" i="23" s="1"/>
  <c r="L80" i="23" s="1"/>
  <c r="O80" i="23" s="1"/>
  <c r="AS78" i="23"/>
  <c r="AU78" i="23"/>
  <c r="AQ78" i="23"/>
  <c r="AG85" i="23"/>
  <c r="AF86" i="23" s="1"/>
  <c r="Z86" i="23"/>
  <c r="Y86" i="23"/>
  <c r="AC86" i="23" s="1"/>
  <c r="X87" i="23" s="1"/>
  <c r="AA87" i="23" s="1"/>
  <c r="T86" i="23"/>
  <c r="S86" i="23"/>
  <c r="W86" i="23" s="1"/>
  <c r="R87" i="23" s="1"/>
  <c r="U87" i="23" s="1"/>
  <c r="AQ10" i="29"/>
  <c r="AN78" i="23"/>
  <c r="Q43" i="21"/>
  <c r="AU43" i="21" s="1"/>
  <c r="F11" i="29"/>
  <c r="I11" i="29" s="1"/>
  <c r="AR11" i="29" s="1"/>
  <c r="AU10" i="29"/>
  <c r="O11" i="28"/>
  <c r="P12" i="28"/>
  <c r="M11" i="28"/>
  <c r="N11" i="28"/>
  <c r="O11" i="29"/>
  <c r="M11" i="29"/>
  <c r="N11" i="29"/>
  <c r="P12" i="29"/>
  <c r="T12" i="29"/>
  <c r="U12" i="29"/>
  <c r="Z15" i="29"/>
  <c r="AA15" i="29"/>
  <c r="AS10" i="29"/>
  <c r="AD160" i="20"/>
  <c r="AI160" i="20" s="1"/>
  <c r="BE160" i="20" s="1"/>
  <c r="AK51" i="20"/>
  <c r="BG51" i="20" s="1"/>
  <c r="AK157" i="20"/>
  <c r="BG157" i="20" s="1"/>
  <c r="AD69" i="20"/>
  <c r="AJ69" i="20" s="1"/>
  <c r="BF69" i="20" s="1"/>
  <c r="AD35" i="20"/>
  <c r="AJ35" i="20" s="1"/>
  <c r="BF35" i="20" s="1"/>
  <c r="AK164" i="20"/>
  <c r="BG164" i="20" s="1"/>
  <c r="AD207" i="20"/>
  <c r="AJ207" i="20" s="1"/>
  <c r="BF207" i="20" s="1"/>
  <c r="AD215" i="20"/>
  <c r="AJ215" i="20" s="1"/>
  <c r="BF215" i="20" s="1"/>
  <c r="AK233" i="20"/>
  <c r="BG233" i="20" s="1"/>
  <c r="AD128" i="20"/>
  <c r="AI128" i="20" s="1"/>
  <c r="BE128" i="20" s="1"/>
  <c r="AD26" i="20"/>
  <c r="AJ26" i="20" s="1"/>
  <c r="BF26" i="20" s="1"/>
  <c r="AD125" i="20"/>
  <c r="AI125" i="20" s="1"/>
  <c r="BE125" i="20" s="1"/>
  <c r="AD226" i="20"/>
  <c r="AI226" i="20" s="1"/>
  <c r="BE226" i="20" s="1"/>
  <c r="AD171" i="20"/>
  <c r="AJ171" i="20" s="1"/>
  <c r="BF171" i="20" s="1"/>
  <c r="AD101" i="20"/>
  <c r="AJ101" i="20" s="1"/>
  <c r="BF101" i="20" s="1"/>
  <c r="AK85" i="20"/>
  <c r="BG85" i="20" s="1"/>
  <c r="AK15" i="20"/>
  <c r="BG15" i="20" s="1"/>
  <c r="K53" i="12"/>
  <c r="BF20" i="12"/>
  <c r="AQ19" i="12"/>
  <c r="AK147" i="20"/>
  <c r="BG147" i="20" s="1"/>
  <c r="AD132" i="20"/>
  <c r="AJ132" i="20" s="1"/>
  <c r="BF132" i="20" s="1"/>
  <c r="AK123" i="20"/>
  <c r="BG123" i="20" s="1"/>
  <c r="AR26" i="3"/>
  <c r="AD114" i="20"/>
  <c r="AI114" i="20" s="1"/>
  <c r="BE114" i="20" s="1"/>
  <c r="AK210" i="20"/>
  <c r="BG210" i="20" s="1"/>
  <c r="AD175" i="20"/>
  <c r="AJ175" i="20" s="1"/>
  <c r="BF175" i="20" s="1"/>
  <c r="AK222" i="20"/>
  <c r="BG222" i="20" s="1"/>
  <c r="AD230" i="20"/>
  <c r="AI230" i="20" s="1"/>
  <c r="BE230" i="20" s="1"/>
  <c r="AK48" i="20"/>
  <c r="BG48" i="20" s="1"/>
  <c r="AK155" i="20"/>
  <c r="BG155" i="20" s="1"/>
  <c r="AK119" i="20"/>
  <c r="BG119" i="20" s="1"/>
  <c r="AD8" i="20"/>
  <c r="AI8" i="20" s="1"/>
  <c r="AD30" i="20"/>
  <c r="AJ30" i="20" s="1"/>
  <c r="BF30" i="20" s="1"/>
  <c r="AD138" i="20"/>
  <c r="AJ138" i="20" s="1"/>
  <c r="BF138" i="20" s="1"/>
  <c r="AK205" i="20"/>
  <c r="BG205" i="20" s="1"/>
  <c r="AD16" i="20"/>
  <c r="K16" i="21" s="1"/>
  <c r="AD180" i="20"/>
  <c r="AJ180" i="20" s="1"/>
  <c r="BF180" i="20" s="1"/>
  <c r="AD148" i="20"/>
  <c r="AJ148" i="20" s="1"/>
  <c r="BF148" i="20" s="1"/>
  <c r="AK139" i="20"/>
  <c r="BG139" i="20" s="1"/>
  <c r="AD77" i="20"/>
  <c r="AI77" i="20" s="1"/>
  <c r="BE77" i="20" s="1"/>
  <c r="AK81" i="20"/>
  <c r="BG81" i="20" s="1"/>
  <c r="AK19" i="20"/>
  <c r="BG19" i="20" s="1"/>
  <c r="O19" i="23" s="1"/>
  <c r="AK10" i="20"/>
  <c r="K10" i="22" s="1"/>
  <c r="AK193" i="20"/>
  <c r="BG193" i="20" s="1"/>
  <c r="AD223" i="20"/>
  <c r="AJ223" i="20" s="1"/>
  <c r="BF223" i="20" s="1"/>
  <c r="AD65" i="20"/>
  <c r="AJ65" i="20" s="1"/>
  <c r="BF65" i="20" s="1"/>
  <c r="AK136" i="20"/>
  <c r="BG136" i="20" s="1"/>
  <c r="AD165" i="20"/>
  <c r="AI165" i="20" s="1"/>
  <c r="BE165" i="20" s="1"/>
  <c r="AD204" i="20"/>
  <c r="AJ204" i="20" s="1"/>
  <c r="BF204" i="20" s="1"/>
  <c r="AK120" i="20"/>
  <c r="BG120" i="20" s="1"/>
  <c r="AD76" i="20"/>
  <c r="AJ76" i="20" s="1"/>
  <c r="BF76" i="20" s="1"/>
  <c r="AD229" i="20"/>
  <c r="AI229" i="20" s="1"/>
  <c r="BE229" i="20" s="1"/>
  <c r="AK163" i="20"/>
  <c r="BG163" i="20" s="1"/>
  <c r="AK220" i="20"/>
  <c r="BG220" i="20" s="1"/>
  <c r="AD9" i="20"/>
  <c r="AJ9" i="20" s="1"/>
  <c r="AI9" i="26" s="1"/>
  <c r="AJ9" i="26" s="1"/>
  <c r="AK9" i="26" s="1"/>
  <c r="AD170" i="20"/>
  <c r="AJ170" i="20" s="1"/>
  <c r="BF170" i="20" s="1"/>
  <c r="AD200" i="20"/>
  <c r="AI200" i="20" s="1"/>
  <c r="BE200" i="20" s="1"/>
  <c r="AK190" i="20"/>
  <c r="BG190" i="20" s="1"/>
  <c r="AK154" i="20"/>
  <c r="BG154" i="20" s="1"/>
  <c r="AD118" i="20"/>
  <c r="AJ118" i="20" s="1"/>
  <c r="BF118" i="20" s="1"/>
  <c r="AK186" i="20"/>
  <c r="BG186" i="20" s="1"/>
  <c r="AD197" i="20"/>
  <c r="AI197" i="20" s="1"/>
  <c r="BE197" i="20" s="1"/>
  <c r="AK181" i="20"/>
  <c r="BG181" i="20" s="1"/>
  <c r="AD116" i="20"/>
  <c r="AI116" i="20" s="1"/>
  <c r="BE116" i="20" s="1"/>
  <c r="AD140" i="20"/>
  <c r="AJ140" i="20" s="1"/>
  <c r="BF140" i="20" s="1"/>
  <c r="AD107" i="20"/>
  <c r="AI107" i="20" s="1"/>
  <c r="BE107" i="20" s="1"/>
  <c r="AK103" i="20"/>
  <c r="BG103" i="20" s="1"/>
  <c r="AK52" i="20"/>
  <c r="BG52" i="20" s="1"/>
  <c r="AD194" i="20"/>
  <c r="AI194" i="20" s="1"/>
  <c r="BE194" i="20" s="1"/>
  <c r="AD110" i="20"/>
  <c r="AJ110" i="20" s="1"/>
  <c r="BF110" i="20" s="1"/>
  <c r="AD209" i="20"/>
  <c r="AI209" i="20" s="1"/>
  <c r="BE209" i="20" s="1"/>
  <c r="AK27" i="20"/>
  <c r="BG27" i="20" s="1"/>
  <c r="AD73" i="20"/>
  <c r="AI73" i="20" s="1"/>
  <c r="BE73" i="20" s="1"/>
  <c r="AK87" i="20"/>
  <c r="BG87" i="20" s="1"/>
  <c r="AK36" i="20"/>
  <c r="BG36" i="20" s="1"/>
  <c r="AK177" i="20"/>
  <c r="BG177" i="20" s="1"/>
  <c r="AK206" i="20"/>
  <c r="BG206" i="20" s="1"/>
  <c r="AD11" i="20"/>
  <c r="AD57" i="20"/>
  <c r="AJ57" i="20" s="1"/>
  <c r="BF57" i="20" s="1"/>
  <c r="AD93" i="20"/>
  <c r="AI93" i="20" s="1"/>
  <c r="BE93" i="20" s="1"/>
  <c r="AD161" i="20"/>
  <c r="AJ161" i="20" s="1"/>
  <c r="BF161" i="20" s="1"/>
  <c r="AK172" i="20"/>
  <c r="BG172" i="20" s="1"/>
  <c r="AD98" i="20"/>
  <c r="AJ98" i="20" s="1"/>
  <c r="BF98" i="20" s="1"/>
  <c r="AK188" i="20"/>
  <c r="BG188" i="20" s="1"/>
  <c r="AD159" i="20"/>
  <c r="AI159" i="20" s="1"/>
  <c r="BE159" i="20" s="1"/>
  <c r="AK41" i="20"/>
  <c r="BG41" i="20" s="1"/>
  <c r="AK95" i="20"/>
  <c r="BG95" i="20" s="1"/>
  <c r="AD134" i="20"/>
  <c r="AJ134" i="20" s="1"/>
  <c r="BF134" i="20" s="1"/>
  <c r="AD79" i="20"/>
  <c r="AJ79" i="20" s="1"/>
  <c r="BF79" i="20" s="1"/>
  <c r="AD82" i="20"/>
  <c r="AI82" i="20" s="1"/>
  <c r="BE82" i="20" s="1"/>
  <c r="AD111" i="20"/>
  <c r="AJ111" i="20" s="1"/>
  <c r="BF111" i="20" s="1"/>
  <c r="AK176" i="20"/>
  <c r="BG176" i="20" s="1"/>
  <c r="AK71" i="20"/>
  <c r="BG71" i="20" s="1"/>
  <c r="AK213" i="20"/>
  <c r="BG213" i="20" s="1"/>
  <c r="AD66" i="20"/>
  <c r="AI66" i="20" s="1"/>
  <c r="BE66" i="20" s="1"/>
  <c r="AK63" i="20"/>
  <c r="BG63" i="20" s="1"/>
  <c r="AK224" i="20"/>
  <c r="BG224" i="20" s="1"/>
  <c r="AD231" i="20"/>
  <c r="AJ231" i="20" s="1"/>
  <c r="BF231" i="20" s="1"/>
  <c r="AK158" i="20"/>
  <c r="BG158" i="20" s="1"/>
  <c r="AK137" i="20"/>
  <c r="BG137" i="20" s="1"/>
  <c r="AD232" i="20"/>
  <c r="AI232" i="20" s="1"/>
  <c r="BE232" i="20" s="1"/>
  <c r="AD199" i="20"/>
  <c r="AI199" i="20" s="1"/>
  <c r="BE199" i="20" s="1"/>
  <c r="AD198" i="20"/>
  <c r="AI198" i="20" s="1"/>
  <c r="BE198" i="20" s="1"/>
  <c r="AD174" i="20"/>
  <c r="AJ174" i="20" s="1"/>
  <c r="BF174" i="20" s="1"/>
  <c r="AD143" i="20"/>
  <c r="AI143" i="20" s="1"/>
  <c r="BE143" i="20" s="1"/>
  <c r="AD121" i="20"/>
  <c r="AJ121" i="20" s="1"/>
  <c r="BF121" i="20" s="1"/>
  <c r="AD216" i="20"/>
  <c r="AJ216" i="20" s="1"/>
  <c r="BF216" i="20" s="1"/>
  <c r="AK167" i="20"/>
  <c r="BG167" i="20" s="1"/>
  <c r="AD182" i="20"/>
  <c r="AJ182" i="20" s="1"/>
  <c r="BF182" i="20" s="1"/>
  <c r="AK20" i="20"/>
  <c r="BG20" i="20" s="1"/>
  <c r="AK129" i="20"/>
  <c r="BG129" i="20" s="1"/>
  <c r="AD124" i="20"/>
  <c r="AJ124" i="20" s="1"/>
  <c r="BF124" i="20" s="1"/>
  <c r="AD214" i="20"/>
  <c r="AJ214" i="20" s="1"/>
  <c r="BF214" i="20" s="1"/>
  <c r="AD149" i="20"/>
  <c r="AJ149" i="20" s="1"/>
  <c r="BF149" i="20" s="1"/>
  <c r="AD94" i="20"/>
  <c r="AJ94" i="20" s="1"/>
  <c r="BF94" i="20" s="1"/>
  <c r="AD130" i="20"/>
  <c r="AJ130" i="20" s="1"/>
  <c r="BF130" i="20" s="1"/>
  <c r="AD32" i="20"/>
  <c r="AI32" i="20" s="1"/>
  <c r="BE32" i="20" s="1"/>
  <c r="AD91" i="20"/>
  <c r="AJ91" i="20" s="1"/>
  <c r="BF91" i="20" s="1"/>
  <c r="AK218" i="20"/>
  <c r="BG218" i="20" s="1"/>
  <c r="AD105" i="20"/>
  <c r="AJ105" i="20" s="1"/>
  <c r="BF105" i="20" s="1"/>
  <c r="AK150" i="20"/>
  <c r="BG150" i="20" s="1"/>
  <c r="AD92" i="20"/>
  <c r="AJ92" i="20" s="1"/>
  <c r="BF92" i="20" s="1"/>
  <c r="AD43" i="20"/>
  <c r="AI43" i="20" s="1"/>
  <c r="BE43" i="20" s="1"/>
  <c r="AD227" i="20"/>
  <c r="AJ227" i="20" s="1"/>
  <c r="BF227" i="20" s="1"/>
  <c r="AK100" i="20"/>
  <c r="BG100" i="20" s="1"/>
  <c r="AD126" i="20"/>
  <c r="AJ126" i="20" s="1"/>
  <c r="BF126" i="20" s="1"/>
  <c r="AK202" i="20"/>
  <c r="BG202" i="20" s="1"/>
  <c r="AD89" i="20"/>
  <c r="AJ89" i="20" s="1"/>
  <c r="BF89" i="20" s="1"/>
  <c r="AD184" i="20"/>
  <c r="AI184" i="20" s="1"/>
  <c r="BE184" i="20" s="1"/>
  <c r="AD61" i="20"/>
  <c r="AJ61" i="20" s="1"/>
  <c r="BF61" i="20" s="1"/>
  <c r="AK179" i="20"/>
  <c r="BG179" i="20" s="1"/>
  <c r="AD13" i="20"/>
  <c r="K13" i="21" s="1"/>
  <c r="AD102" i="20"/>
  <c r="AJ102" i="20" s="1"/>
  <c r="BF102" i="20" s="1"/>
  <c r="AK86" i="20"/>
  <c r="BG86" i="20" s="1"/>
  <c r="AD49" i="20"/>
  <c r="AI49" i="20" s="1"/>
  <c r="BE49" i="20" s="1"/>
  <c r="AK144" i="20"/>
  <c r="BG144" i="20" s="1"/>
  <c r="AD122" i="20"/>
  <c r="AI122" i="20" s="1"/>
  <c r="BE122" i="20" s="1"/>
  <c r="AD106" i="20"/>
  <c r="AI106" i="20" s="1"/>
  <c r="BE106" i="20" s="1"/>
  <c r="AD88" i="20"/>
  <c r="AJ88" i="20" s="1"/>
  <c r="BF88" i="20" s="1"/>
  <c r="AD70" i="20"/>
  <c r="AJ70" i="20" s="1"/>
  <c r="BF70" i="20" s="1"/>
  <c r="AD131" i="20"/>
  <c r="AI131" i="20" s="1"/>
  <c r="BE131" i="20" s="1"/>
  <c r="AD44" i="20"/>
  <c r="AI44" i="20" s="1"/>
  <c r="BE44" i="20" s="1"/>
  <c r="AK53" i="20"/>
  <c r="BG53" i="20" s="1"/>
  <c r="AK201" i="20"/>
  <c r="BG201" i="20" s="1"/>
  <c r="AK183" i="20"/>
  <c r="BG183" i="20" s="1"/>
  <c r="AK37" i="20"/>
  <c r="BG37" i="20" s="1"/>
  <c r="AK115" i="20"/>
  <c r="BG115" i="20" s="1"/>
  <c r="AK17" i="20"/>
  <c r="K17" i="22" s="1"/>
  <c r="AK145" i="20"/>
  <c r="BG145" i="20" s="1"/>
  <c r="AK112" i="20"/>
  <c r="BG112" i="20" s="1"/>
  <c r="AK28" i="20"/>
  <c r="BG28" i="20" s="1"/>
  <c r="AD156" i="20"/>
  <c r="AI156" i="20" s="1"/>
  <c r="BE156" i="20" s="1"/>
  <c r="AK90" i="20"/>
  <c r="BG90" i="20" s="1"/>
  <c r="AK54" i="20"/>
  <c r="BG54" i="20" s="1"/>
  <c r="AK173" i="20"/>
  <c r="BG173" i="20" s="1"/>
  <c r="AK31" i="20"/>
  <c r="BG31" i="20" s="1"/>
  <c r="AD191" i="20"/>
  <c r="AJ191" i="20" s="1"/>
  <c r="BF191" i="20" s="1"/>
  <c r="AD185" i="20"/>
  <c r="AI185" i="20" s="1"/>
  <c r="BE185" i="20" s="1"/>
  <c r="AD38" i="20"/>
  <c r="AI38" i="20" s="1"/>
  <c r="BE38" i="20" s="1"/>
  <c r="AD21" i="20"/>
  <c r="AI21" i="20" s="1"/>
  <c r="BE21" i="20" s="1"/>
  <c r="AD228" i="20"/>
  <c r="AI228" i="20" s="1"/>
  <c r="BE228" i="20" s="1"/>
  <c r="AK50" i="20"/>
  <c r="BG50" i="20" s="1"/>
  <c r="AK74" i="20"/>
  <c r="BG74" i="20" s="1"/>
  <c r="AK56" i="20"/>
  <c r="BG56" i="20" s="1"/>
  <c r="AK39" i="20"/>
  <c r="BG39" i="20" s="1"/>
  <c r="AK99" i="20"/>
  <c r="BG99" i="20" s="1"/>
  <c r="AK178" i="20"/>
  <c r="BG178" i="20" s="1"/>
  <c r="AK46" i="20"/>
  <c r="BG46" i="20" s="1"/>
  <c r="AK203" i="20"/>
  <c r="BG203" i="20" s="1"/>
  <c r="AD58" i="20"/>
  <c r="AJ58" i="20" s="1"/>
  <c r="BF58" i="20" s="1"/>
  <c r="AD40" i="20"/>
  <c r="AI40" i="20" s="1"/>
  <c r="BE40" i="20" s="1"/>
  <c r="AK23" i="20"/>
  <c r="BG23" i="20" s="1"/>
  <c r="AD133" i="20"/>
  <c r="AI133" i="20" s="1"/>
  <c r="BE133" i="20" s="1"/>
  <c r="AK84" i="20"/>
  <c r="BG84" i="20" s="1"/>
  <c r="AK83" i="20"/>
  <c r="BG83" i="20" s="1"/>
  <c r="AD34" i="20"/>
  <c r="AI34" i="20" s="1"/>
  <c r="BE34" i="20" s="1"/>
  <c r="AK113" i="20"/>
  <c r="BG113" i="20" s="1"/>
  <c r="AD208" i="20"/>
  <c r="AJ208" i="20" s="1"/>
  <c r="BF208" i="20" s="1"/>
  <c r="AD22" i="20"/>
  <c r="AJ22" i="20" s="1"/>
  <c r="BF22" i="20" s="1"/>
  <c r="AD109" i="20"/>
  <c r="AJ109" i="20" s="1"/>
  <c r="BF109" i="20" s="1"/>
  <c r="AK14" i="20"/>
  <c r="O14" i="22" s="1"/>
  <c r="AD211" i="20"/>
  <c r="AI211" i="20" s="1"/>
  <c r="BE211" i="20" s="1"/>
  <c r="AD162" i="20"/>
  <c r="AJ162" i="20" s="1"/>
  <c r="BF162" i="20" s="1"/>
  <c r="AD80" i="20"/>
  <c r="AI80" i="20" s="1"/>
  <c r="BE80" i="20" s="1"/>
  <c r="AD78" i="20"/>
  <c r="AI78" i="20" s="1"/>
  <c r="BE78" i="20" s="1"/>
  <c r="AK59" i="20"/>
  <c r="BG59" i="20" s="1"/>
  <c r="AD187" i="20"/>
  <c r="AI187" i="20" s="1"/>
  <c r="BE187" i="20" s="1"/>
  <c r="AK42" i="20"/>
  <c r="BG42" i="20" s="1"/>
  <c r="AK25" i="20"/>
  <c r="BG25" i="20" s="1"/>
  <c r="AK153" i="20"/>
  <c r="BG153" i="20" s="1"/>
  <c r="AD24" i="20"/>
  <c r="AJ24" i="20" s="1"/>
  <c r="BF24" i="20" s="1"/>
  <c r="AD152" i="20"/>
  <c r="AJ152" i="20" s="1"/>
  <c r="BF152" i="20" s="1"/>
  <c r="AD7" i="20"/>
  <c r="K7" i="21" s="1"/>
  <c r="AD135" i="20"/>
  <c r="AI135" i="20" s="1"/>
  <c r="BE135" i="20" s="1"/>
  <c r="AD6" i="20"/>
  <c r="AK142" i="20"/>
  <c r="BG142" i="20" s="1"/>
  <c r="AD117" i="20"/>
  <c r="AI117" i="20" s="1"/>
  <c r="BE117" i="20" s="1"/>
  <c r="AD68" i="20"/>
  <c r="AJ68" i="20" s="1"/>
  <c r="BF68" i="20" s="1"/>
  <c r="AD196" i="20"/>
  <c r="AI196" i="20" s="1"/>
  <c r="BE196" i="20" s="1"/>
  <c r="AD67" i="20"/>
  <c r="AJ67" i="20" s="1"/>
  <c r="BF67" i="20" s="1"/>
  <c r="AD195" i="20"/>
  <c r="AJ195" i="20" s="1"/>
  <c r="BF195" i="20" s="1"/>
  <c r="AD18" i="20"/>
  <c r="AK146" i="20"/>
  <c r="BG146" i="20" s="1"/>
  <c r="AK45" i="20"/>
  <c r="BG45" i="20" s="1"/>
  <c r="AD97" i="20"/>
  <c r="AI97" i="20" s="1"/>
  <c r="BE97" i="20" s="1"/>
  <c r="AD225" i="20"/>
  <c r="AI225" i="20" s="1"/>
  <c r="BE225" i="20" s="1"/>
  <c r="AD64" i="20"/>
  <c r="AJ64" i="20" s="1"/>
  <c r="BF64" i="20" s="1"/>
  <c r="AD192" i="20"/>
  <c r="AJ192" i="20" s="1"/>
  <c r="BF192" i="20" s="1"/>
  <c r="AD29" i="20"/>
  <c r="AJ29" i="20" s="1"/>
  <c r="BF29" i="20" s="1"/>
  <c r="AD108" i="20"/>
  <c r="AI108" i="20" s="1"/>
  <c r="BE108" i="20" s="1"/>
  <c r="AD127" i="20"/>
  <c r="AI127" i="20" s="1"/>
  <c r="BE127" i="20" s="1"/>
  <c r="AD62" i="20"/>
  <c r="AJ62" i="20" s="1"/>
  <c r="BF62" i="20" s="1"/>
  <c r="AD104" i="20"/>
  <c r="AI104" i="20" s="1"/>
  <c r="BE104" i="20" s="1"/>
  <c r="AD60" i="20"/>
  <c r="AI60" i="20" s="1"/>
  <c r="BE60" i="20" s="1"/>
  <c r="AK234" i="20"/>
  <c r="BG234" i="20" s="1"/>
  <c r="AD217" i="20"/>
  <c r="AI217" i="20" s="1"/>
  <c r="BE217" i="20" s="1"/>
  <c r="AK33" i="20"/>
  <c r="BG33" i="20" s="1"/>
  <c r="AK72" i="20"/>
  <c r="BG72" i="20" s="1"/>
  <c r="AD55" i="20"/>
  <c r="AI55" i="20" s="1"/>
  <c r="BE55" i="20" s="1"/>
  <c r="AD47" i="20"/>
  <c r="AI47" i="20" s="1"/>
  <c r="BE47" i="20" s="1"/>
  <c r="AD141" i="20"/>
  <c r="AJ141" i="20" s="1"/>
  <c r="BF141" i="20" s="1"/>
  <c r="AD219" i="20"/>
  <c r="AJ219" i="20" s="1"/>
  <c r="BF219" i="20" s="1"/>
  <c r="AD166" i="20"/>
  <c r="AI166" i="20" s="1"/>
  <c r="BE166" i="20" s="1"/>
  <c r="AK96" i="20"/>
  <c r="BG96" i="20" s="1"/>
  <c r="AD12" i="20"/>
  <c r="K12" i="21" s="1"/>
  <c r="AD75" i="20"/>
  <c r="AJ75" i="20" s="1"/>
  <c r="BF75" i="20" s="1"/>
  <c r="AK169" i="20"/>
  <c r="BG169" i="20" s="1"/>
  <c r="AK168" i="20"/>
  <c r="BG168" i="20" s="1"/>
  <c r="AD151" i="20"/>
  <c r="AI151" i="20" s="1"/>
  <c r="BE151" i="20" s="1"/>
  <c r="AD212" i="20"/>
  <c r="AJ212" i="20" s="1"/>
  <c r="BF212" i="20" s="1"/>
  <c r="AK189" i="20"/>
  <c r="BG189" i="20" s="1"/>
  <c r="AD221" i="20"/>
  <c r="AI221" i="20" s="1"/>
  <c r="BE221" i="20" s="1"/>
  <c r="AY20" i="12"/>
  <c r="BC20" i="12" s="1"/>
  <c r="BG20" i="12"/>
  <c r="AU19" i="12"/>
  <c r="AS19" i="12"/>
  <c r="E21" i="12"/>
  <c r="AX21" i="12" s="1"/>
  <c r="AZ20" i="12"/>
  <c r="BE20" i="12" s="1"/>
  <c r="C20" i="12"/>
  <c r="BG12" i="20"/>
  <c r="K12" i="26"/>
  <c r="O12" i="26"/>
  <c r="O12" i="22"/>
  <c r="K12" i="22"/>
  <c r="BG11" i="20"/>
  <c r="O11" i="26"/>
  <c r="K11" i="26"/>
  <c r="K11" i="22"/>
  <c r="O11" i="22"/>
  <c r="AI139" i="20"/>
  <c r="BE139" i="20" s="1"/>
  <c r="AJ139" i="20"/>
  <c r="BF139" i="20" s="1"/>
  <c r="AJ233" i="20"/>
  <c r="BF233" i="20" s="1"/>
  <c r="AI233" i="20"/>
  <c r="BE233" i="20" s="1"/>
  <c r="AI87" i="20"/>
  <c r="BE87" i="20" s="1"/>
  <c r="AJ87" i="20"/>
  <c r="BF87" i="20" s="1"/>
  <c r="AI53" i="20"/>
  <c r="BE53" i="20" s="1"/>
  <c r="AJ53" i="20"/>
  <c r="BF53" i="20" s="1"/>
  <c r="AJ5" i="20"/>
  <c r="AI5" i="20"/>
  <c r="N5" i="21"/>
  <c r="O5" i="24"/>
  <c r="K5" i="24"/>
  <c r="O5" i="21"/>
  <c r="J5" i="24"/>
  <c r="K5" i="21"/>
  <c r="N5" i="24"/>
  <c r="J5" i="21"/>
  <c r="AB5" i="25"/>
  <c r="U5" i="25"/>
  <c r="AA5" i="25"/>
  <c r="V5" i="25"/>
  <c r="AJ210" i="20"/>
  <c r="BF210" i="20" s="1"/>
  <c r="AI210" i="20"/>
  <c r="BE210" i="20" s="1"/>
  <c r="AI33" i="20"/>
  <c r="BE33" i="20" s="1"/>
  <c r="AJ33" i="20"/>
  <c r="BF33" i="20" s="1"/>
  <c r="BG13" i="20"/>
  <c r="O13" i="26"/>
  <c r="K13" i="26"/>
  <c r="O13" i="22"/>
  <c r="K13" i="22"/>
  <c r="AJ71" i="20"/>
  <c r="BF71" i="20" s="1"/>
  <c r="AI71" i="20"/>
  <c r="BE71" i="20" s="1"/>
  <c r="AI181" i="20"/>
  <c r="BE181" i="20" s="1"/>
  <c r="AJ181" i="20"/>
  <c r="BF181" i="20" s="1"/>
  <c r="BG5" i="20"/>
  <c r="O5" i="26"/>
  <c r="K5" i="22"/>
  <c r="N5" i="26"/>
  <c r="K5" i="26"/>
  <c r="J5" i="26"/>
  <c r="N5" i="22"/>
  <c r="J5" i="22"/>
  <c r="O5" i="22"/>
  <c r="AJ157" i="20"/>
  <c r="BF157" i="20" s="1"/>
  <c r="AI157" i="20"/>
  <c r="BE157" i="20" s="1"/>
  <c r="AJ28" i="20"/>
  <c r="BF28" i="20" s="1"/>
  <c r="AI28" i="20"/>
  <c r="BE28" i="20" s="1"/>
  <c r="AJ123" i="20"/>
  <c r="BF123" i="20" s="1"/>
  <c r="AI123" i="20"/>
  <c r="BE123" i="20" s="1"/>
  <c r="AJ234" i="20"/>
  <c r="BF234" i="20" s="1"/>
  <c r="AI234" i="20"/>
  <c r="BE234" i="20" s="1"/>
  <c r="AJ54" i="20"/>
  <c r="BF54" i="20" s="1"/>
  <c r="AI54" i="20"/>
  <c r="BE54" i="20" s="1"/>
  <c r="AJ173" i="20"/>
  <c r="BF173" i="20" s="1"/>
  <c r="AI173" i="20"/>
  <c r="BE173" i="20" s="1"/>
  <c r="AJ31" i="20"/>
  <c r="BF31" i="20" s="1"/>
  <c r="AI31" i="20"/>
  <c r="BE31" i="20" s="1"/>
  <c r="AJ17" i="20"/>
  <c r="BF17" i="20" s="1"/>
  <c r="AI17" i="20"/>
  <c r="BE17" i="20" s="1"/>
  <c r="J17" i="21"/>
  <c r="L17" i="21" s="1"/>
  <c r="AJ145" i="20"/>
  <c r="BF145" i="20" s="1"/>
  <c r="AI145" i="20"/>
  <c r="BE145" i="20" s="1"/>
  <c r="AJ222" i="20"/>
  <c r="BF222" i="20" s="1"/>
  <c r="AI222" i="20"/>
  <c r="BE222" i="20" s="1"/>
  <c r="AJ112" i="20"/>
  <c r="BF112" i="20" s="1"/>
  <c r="AI112" i="20"/>
  <c r="BE112" i="20" s="1"/>
  <c r="AJ190" i="20"/>
  <c r="BF190" i="20" s="1"/>
  <c r="AI190" i="20"/>
  <c r="BE190" i="20" s="1"/>
  <c r="AI46" i="20"/>
  <c r="BE46" i="20" s="1"/>
  <c r="AJ46" i="20"/>
  <c r="BF46" i="20" s="1"/>
  <c r="AD21" i="3"/>
  <c r="O21" i="15" s="1"/>
  <c r="AK21" i="3"/>
  <c r="BG21" i="3" s="1"/>
  <c r="O21" i="14" s="1"/>
  <c r="AJ74" i="20"/>
  <c r="BF74" i="20" s="1"/>
  <c r="AI74" i="20"/>
  <c r="BE74" i="20" s="1"/>
  <c r="AI56" i="20"/>
  <c r="BE56" i="20" s="1"/>
  <c r="AJ56" i="20"/>
  <c r="BF56" i="20" s="1"/>
  <c r="AJ39" i="20"/>
  <c r="BF39" i="20" s="1"/>
  <c r="AI39" i="20"/>
  <c r="BE39" i="20" s="1"/>
  <c r="AJ100" i="20"/>
  <c r="BF100" i="20" s="1"/>
  <c r="AI100" i="20"/>
  <c r="BE100" i="20" s="1"/>
  <c r="AJ50" i="20"/>
  <c r="BF50" i="20" s="1"/>
  <c r="AI50" i="20"/>
  <c r="BE50" i="20" s="1"/>
  <c r="AJ218" i="20"/>
  <c r="BF218" i="20" s="1"/>
  <c r="AI218" i="20"/>
  <c r="BE218" i="20" s="1"/>
  <c r="AJ202" i="20"/>
  <c r="BF202" i="20" s="1"/>
  <c r="AI202" i="20"/>
  <c r="BE202" i="20" s="1"/>
  <c r="AI167" i="20"/>
  <c r="BE167" i="20" s="1"/>
  <c r="AJ167" i="20"/>
  <c r="BF167" i="20" s="1"/>
  <c r="AJ14" i="20"/>
  <c r="BF14" i="20" s="1"/>
  <c r="AI14" i="20"/>
  <c r="BE14" i="20" s="1"/>
  <c r="J14" i="21"/>
  <c r="K14" i="21"/>
  <c r="AJ113" i="20"/>
  <c r="BF113" i="20" s="1"/>
  <c r="AI113" i="20"/>
  <c r="BE113" i="20" s="1"/>
  <c r="AI201" i="20"/>
  <c r="BE201" i="20" s="1"/>
  <c r="AJ201" i="20"/>
  <c r="BF201" i="20" s="1"/>
  <c r="AJ96" i="20"/>
  <c r="BF96" i="20" s="1"/>
  <c r="AI96" i="20"/>
  <c r="BE96" i="20" s="1"/>
  <c r="AJ41" i="20"/>
  <c r="BF41" i="20" s="1"/>
  <c r="AI41" i="20"/>
  <c r="BE41" i="20" s="1"/>
  <c r="AJ150" i="20"/>
  <c r="BF150" i="20" s="1"/>
  <c r="AI150" i="20"/>
  <c r="BE150" i="20" s="1"/>
  <c r="AI84" i="20"/>
  <c r="BE84" i="20" s="1"/>
  <c r="AJ84" i="20"/>
  <c r="BF84" i="20" s="1"/>
  <c r="AJ83" i="20"/>
  <c r="BF83" i="20" s="1"/>
  <c r="AI83" i="20"/>
  <c r="BE83" i="20" s="1"/>
  <c r="AI189" i="20"/>
  <c r="BE189" i="20" s="1"/>
  <c r="AJ189" i="20"/>
  <c r="BF189" i="20" s="1"/>
  <c r="AJ183" i="20"/>
  <c r="BF183" i="20" s="1"/>
  <c r="AI183" i="20"/>
  <c r="BE183" i="20" s="1"/>
  <c r="AN24" i="20"/>
  <c r="AQ24" i="20"/>
  <c r="AR24" i="20" s="1"/>
  <c r="O25" i="20"/>
  <c r="AJ224" i="20"/>
  <c r="BF224" i="20" s="1"/>
  <c r="AI224" i="20"/>
  <c r="BE224" i="20" s="1"/>
  <c r="AJ203" i="20"/>
  <c r="BF203" i="20" s="1"/>
  <c r="AI203" i="20"/>
  <c r="BE203" i="20" s="1"/>
  <c r="AJ186" i="20"/>
  <c r="BF186" i="20" s="1"/>
  <c r="AI186" i="20"/>
  <c r="BE186" i="20" s="1"/>
  <c r="AJ169" i="20"/>
  <c r="BF169" i="20" s="1"/>
  <c r="AI169" i="20"/>
  <c r="BE169" i="20" s="1"/>
  <c r="AJ168" i="20"/>
  <c r="BF168" i="20" s="1"/>
  <c r="AI168" i="20"/>
  <c r="BE168" i="20" s="1"/>
  <c r="AI23" i="20"/>
  <c r="BE23" i="20" s="1"/>
  <c r="AJ23" i="20"/>
  <c r="BF23" i="20" s="1"/>
  <c r="AI220" i="20"/>
  <c r="BE220" i="20" s="1"/>
  <c r="AJ220" i="20"/>
  <c r="BF220" i="20" s="1"/>
  <c r="AI90" i="20"/>
  <c r="BE90" i="20" s="1"/>
  <c r="AJ90" i="20"/>
  <c r="BF90" i="20" s="1"/>
  <c r="AI72" i="20"/>
  <c r="BE72" i="20" s="1"/>
  <c r="AJ72" i="20"/>
  <c r="BF72" i="20" s="1"/>
  <c r="AJ129" i="20"/>
  <c r="BF129" i="20" s="1"/>
  <c r="AI129" i="20"/>
  <c r="BE129" i="20" s="1"/>
  <c r="BG6" i="20"/>
  <c r="O6" i="26"/>
  <c r="K6" i="26"/>
  <c r="O6" i="22"/>
  <c r="K6" i="22"/>
  <c r="AI142" i="20"/>
  <c r="BE142" i="20" s="1"/>
  <c r="AJ142" i="20"/>
  <c r="BF142" i="20" s="1"/>
  <c r="BG18" i="20"/>
  <c r="K18" i="26"/>
  <c r="O18" i="26"/>
  <c r="AI146" i="20"/>
  <c r="BE146" i="20" s="1"/>
  <c r="AJ146" i="20"/>
  <c r="BF146" i="20" s="1"/>
  <c r="AI45" i="20"/>
  <c r="BE45" i="20" s="1"/>
  <c r="AJ45" i="20"/>
  <c r="BF45" i="20" s="1"/>
  <c r="AJ48" i="20"/>
  <c r="BF48" i="20" s="1"/>
  <c r="AI48" i="20"/>
  <c r="BE48" i="20" s="1"/>
  <c r="P24" i="20"/>
  <c r="AJ178" i="20"/>
  <c r="BF178" i="20" s="1"/>
  <c r="AI178" i="20"/>
  <c r="BE178" i="20" s="1"/>
  <c r="AI59" i="20"/>
  <c r="BE59" i="20" s="1"/>
  <c r="AJ59" i="20"/>
  <c r="BF59" i="20" s="1"/>
  <c r="AJ42" i="20"/>
  <c r="BF42" i="20" s="1"/>
  <c r="AI42" i="20"/>
  <c r="BE42" i="20" s="1"/>
  <c r="AI25" i="20"/>
  <c r="BE25" i="20" s="1"/>
  <c r="AJ25" i="20"/>
  <c r="BF25" i="20" s="1"/>
  <c r="AI153" i="20"/>
  <c r="BE153" i="20" s="1"/>
  <c r="AJ153" i="20"/>
  <c r="BF153" i="20" s="1"/>
  <c r="BG7" i="20"/>
  <c r="O7" i="26"/>
  <c r="K7" i="26"/>
  <c r="K7" i="22"/>
  <c r="O7" i="22"/>
  <c r="J7" i="22"/>
  <c r="AJ52" i="20"/>
  <c r="BF52" i="20" s="1"/>
  <c r="AI52" i="20"/>
  <c r="BE52" i="20" s="1"/>
  <c r="AJ51" i="20"/>
  <c r="BF51" i="20" s="1"/>
  <c r="AI51" i="20"/>
  <c r="BE51" i="20" s="1"/>
  <c r="AI205" i="20"/>
  <c r="BE205" i="20" s="1"/>
  <c r="AJ205" i="20"/>
  <c r="BF205" i="20" s="1"/>
  <c r="AI81" i="20"/>
  <c r="BE81" i="20" s="1"/>
  <c r="AJ81" i="20"/>
  <c r="BF81" i="20" s="1"/>
  <c r="AJ176" i="20"/>
  <c r="BF176" i="20" s="1"/>
  <c r="AI176" i="20"/>
  <c r="BE176" i="20" s="1"/>
  <c r="AJ206" i="20"/>
  <c r="BF206" i="20" s="1"/>
  <c r="AI206" i="20"/>
  <c r="BE206" i="20" s="1"/>
  <c r="AJ154" i="20"/>
  <c r="BF154" i="20" s="1"/>
  <c r="AI154" i="20"/>
  <c r="BE154" i="20" s="1"/>
  <c r="BG9" i="20"/>
  <c r="O9" i="26"/>
  <c r="K9" i="26"/>
  <c r="O9" i="22"/>
  <c r="K9" i="22"/>
  <c r="AI136" i="20"/>
  <c r="BE136" i="20" s="1"/>
  <c r="AJ136" i="20"/>
  <c r="BF136" i="20" s="1"/>
  <c r="AJ179" i="20"/>
  <c r="BF179" i="20" s="1"/>
  <c r="AI179" i="20"/>
  <c r="BE179" i="20" s="1"/>
  <c r="AJ193" i="20"/>
  <c r="BF193" i="20" s="1"/>
  <c r="AI193" i="20"/>
  <c r="BE193" i="20" s="1"/>
  <c r="AI137" i="20"/>
  <c r="BE137" i="20" s="1"/>
  <c r="AJ137" i="20"/>
  <c r="BF137" i="20" s="1"/>
  <c r="BG8" i="20"/>
  <c r="K8" i="26"/>
  <c r="O8" i="26"/>
  <c r="O8" i="22"/>
  <c r="K8" i="22"/>
  <c r="AI119" i="20"/>
  <c r="BE119" i="20" s="1"/>
  <c r="AJ119" i="20"/>
  <c r="BF119" i="20" s="1"/>
  <c r="AI15" i="20"/>
  <c r="BE15" i="20" s="1"/>
  <c r="AJ15" i="20"/>
  <c r="BF15" i="20" s="1"/>
  <c r="J15" i="21"/>
  <c r="K15" i="21"/>
  <c r="AJ163" i="20"/>
  <c r="BF163" i="20" s="1"/>
  <c r="AI163" i="20"/>
  <c r="BE163" i="20" s="1"/>
  <c r="AJ188" i="20"/>
  <c r="BF188" i="20" s="1"/>
  <c r="AI188" i="20"/>
  <c r="BE188" i="20" s="1"/>
  <c r="AJ37" i="20"/>
  <c r="BF37" i="20" s="1"/>
  <c r="AI37" i="20"/>
  <c r="BE37" i="20" s="1"/>
  <c r="AI27" i="20"/>
  <c r="BE27" i="20" s="1"/>
  <c r="AJ27" i="20"/>
  <c r="BF27" i="20" s="1"/>
  <c r="AI103" i="20"/>
  <c r="BE103" i="20" s="1"/>
  <c r="AJ103" i="20"/>
  <c r="BF103" i="20" s="1"/>
  <c r="AJ85" i="20"/>
  <c r="BF85" i="20" s="1"/>
  <c r="AI85" i="20"/>
  <c r="BE85" i="20" s="1"/>
  <c r="AI213" i="20"/>
  <c r="BE213" i="20" s="1"/>
  <c r="AJ213" i="20"/>
  <c r="BF213" i="20" s="1"/>
  <c r="AJ36" i="20"/>
  <c r="BF36" i="20" s="1"/>
  <c r="AI36" i="20"/>
  <c r="BE36" i="20" s="1"/>
  <c r="AI164" i="20"/>
  <c r="BE164" i="20" s="1"/>
  <c r="AJ164" i="20"/>
  <c r="BF164" i="20" s="1"/>
  <c r="AI63" i="20"/>
  <c r="BE63" i="20" s="1"/>
  <c r="AJ63" i="20"/>
  <c r="BF63" i="20" s="1"/>
  <c r="AI115" i="20"/>
  <c r="BE115" i="20" s="1"/>
  <c r="AJ115" i="20"/>
  <c r="BF115" i="20" s="1"/>
  <c r="AJ99" i="20"/>
  <c r="BF99" i="20" s="1"/>
  <c r="AI99" i="20"/>
  <c r="BE99" i="20" s="1"/>
  <c r="AJ155" i="20"/>
  <c r="BF155" i="20" s="1"/>
  <c r="AI155" i="20"/>
  <c r="BE155" i="20" s="1"/>
  <c r="AI10" i="20"/>
  <c r="AJ10" i="20"/>
  <c r="J10" i="21"/>
  <c r="K10" i="21"/>
  <c r="AJ158" i="20"/>
  <c r="BF158" i="20" s="1"/>
  <c r="AI158" i="20"/>
  <c r="BE158" i="20" s="1"/>
  <c r="AI120" i="20"/>
  <c r="BE120" i="20" s="1"/>
  <c r="AJ120" i="20"/>
  <c r="BF120" i="20" s="1"/>
  <c r="AJ95" i="20"/>
  <c r="BF95" i="20" s="1"/>
  <c r="AI95" i="20"/>
  <c r="BE95" i="20" s="1"/>
  <c r="AI177" i="20"/>
  <c r="BE177" i="20" s="1"/>
  <c r="AJ177" i="20"/>
  <c r="BF177" i="20" s="1"/>
  <c r="BG16" i="20"/>
  <c r="K16" i="26"/>
  <c r="O16" i="26"/>
  <c r="O16" i="22"/>
  <c r="K16" i="22"/>
  <c r="AJ144" i="20"/>
  <c r="BF144" i="20" s="1"/>
  <c r="AI144" i="20"/>
  <c r="BE144" i="20" s="1"/>
  <c r="AK22" i="3"/>
  <c r="BG22" i="3" s="1"/>
  <c r="AI86" i="20"/>
  <c r="BE86" i="20" s="1"/>
  <c r="AJ86" i="20"/>
  <c r="BF86" i="20" s="1"/>
  <c r="AI20" i="20"/>
  <c r="BE20" i="20" s="1"/>
  <c r="AJ20" i="20"/>
  <c r="BF20" i="20" s="1"/>
  <c r="AJ19" i="20"/>
  <c r="BF19" i="20" s="1"/>
  <c r="AI19" i="20"/>
  <c r="BE19" i="20" s="1"/>
  <c r="AJ147" i="20"/>
  <c r="BF147" i="20" s="1"/>
  <c r="AI147" i="20"/>
  <c r="BE147" i="20" s="1"/>
  <c r="AJ172" i="20"/>
  <c r="BF172" i="20" s="1"/>
  <c r="AI172" i="20"/>
  <c r="BE172" i="20" s="1"/>
  <c r="W53" i="12"/>
  <c r="BG53" i="12"/>
  <c r="AO53" i="12"/>
  <c r="Q53" i="12"/>
  <c r="AC53" i="12"/>
  <c r="BF53" i="12"/>
  <c r="AY53" i="12"/>
  <c r="BC53" i="12" s="1"/>
  <c r="AX53" i="12"/>
  <c r="BB53" i="12" s="1"/>
  <c r="E54" i="12"/>
  <c r="C53" i="12"/>
  <c r="AT53" i="12" s="1"/>
  <c r="AZ53" i="12"/>
  <c r="BE53" i="12" s="1"/>
  <c r="F12" i="21"/>
  <c r="AL11" i="21"/>
  <c r="AM11" i="21" s="1"/>
  <c r="F45" i="21"/>
  <c r="I45" i="21" s="1"/>
  <c r="AS19" i="21"/>
  <c r="AU19" i="21"/>
  <c r="AQ19" i="21"/>
  <c r="T50" i="21"/>
  <c r="S50" i="21"/>
  <c r="W50" i="21" s="1"/>
  <c r="R51" i="21" s="1"/>
  <c r="V51" i="21" s="1"/>
  <c r="AM42" i="21"/>
  <c r="AN42" i="21" s="1"/>
  <c r="Z50" i="21"/>
  <c r="Y50" i="21"/>
  <c r="AC50" i="21" s="1"/>
  <c r="X51" i="21" s="1"/>
  <c r="AB51" i="21" s="1"/>
  <c r="AY52" i="21"/>
  <c r="BC52" i="21" s="1"/>
  <c r="BF52" i="21"/>
  <c r="BG52" i="21"/>
  <c r="C52" i="21"/>
  <c r="AZ52" i="21"/>
  <c r="BE52" i="21" s="1"/>
  <c r="E53" i="21"/>
  <c r="AY20" i="21"/>
  <c r="BC20" i="21" s="1"/>
  <c r="BF20" i="21"/>
  <c r="C20" i="21"/>
  <c r="BG20" i="21"/>
  <c r="E21" i="21"/>
  <c r="AZ20" i="21"/>
  <c r="BE20" i="21" s="1"/>
  <c r="AG14" i="29"/>
  <c r="AF15" i="29" s="1"/>
  <c r="C20" i="29"/>
  <c r="AZ20" i="29"/>
  <c r="E21" i="29"/>
  <c r="Y15" i="29"/>
  <c r="S12" i="29"/>
  <c r="AE12" i="29" s="1"/>
  <c r="AD13" i="29" s="1"/>
  <c r="AT13" i="29" s="1"/>
  <c r="H10" i="26"/>
  <c r="F11" i="26" s="1"/>
  <c r="G11" i="26" s="1"/>
  <c r="AR11" i="26" s="1"/>
  <c r="AL9" i="26"/>
  <c r="AM9" i="26" s="1"/>
  <c r="AN9" i="26" s="1"/>
  <c r="AQ20" i="26"/>
  <c r="AS20" i="26"/>
  <c r="AU20" i="26"/>
  <c r="AZ21" i="26"/>
  <c r="C21" i="26"/>
  <c r="E22" i="26"/>
  <c r="AE17" i="28"/>
  <c r="AD18" i="28" s="1"/>
  <c r="AT18" i="28" s="1"/>
  <c r="AG13" i="28"/>
  <c r="AF14" i="28" s="1"/>
  <c r="W17" i="28"/>
  <c r="R18" i="28" s="1"/>
  <c r="V18" i="28" s="1"/>
  <c r="Z14" i="28"/>
  <c r="Y14" i="28"/>
  <c r="AC14" i="28" s="1"/>
  <c r="X15" i="28" s="1"/>
  <c r="AB15" i="28" s="1"/>
  <c r="H10" i="28"/>
  <c r="AP10" i="28" s="1"/>
  <c r="J11" i="28"/>
  <c r="G10" i="28"/>
  <c r="K10" i="28" s="1"/>
  <c r="C21" i="28"/>
  <c r="AZ21" i="28"/>
  <c r="E22" i="28"/>
  <c r="BA21" i="25"/>
  <c r="BB21" i="25"/>
  <c r="BC21" i="25"/>
  <c r="G10" i="25"/>
  <c r="AL10" i="25" s="1"/>
  <c r="H10" i="25"/>
  <c r="AP10" i="25" s="1"/>
  <c r="J11" i="25"/>
  <c r="V20" i="25"/>
  <c r="AB20" i="25"/>
  <c r="C21" i="25"/>
  <c r="AZ21" i="25"/>
  <c r="BD21" i="25"/>
  <c r="E22" i="25"/>
  <c r="AZ21" i="24"/>
  <c r="C21" i="24"/>
  <c r="E22" i="24"/>
  <c r="F10" i="24"/>
  <c r="AL9" i="24"/>
  <c r="AM9" i="24" s="1"/>
  <c r="AS20" i="24"/>
  <c r="AU20" i="24"/>
  <c r="AQ20" i="24"/>
  <c r="AL9" i="23"/>
  <c r="AM9" i="23" s="1"/>
  <c r="AN9" i="23" s="1"/>
  <c r="J80" i="23"/>
  <c r="G79" i="23"/>
  <c r="H79" i="23"/>
  <c r="K22" i="15"/>
  <c r="O22" i="15"/>
  <c r="AQ22" i="15"/>
  <c r="AS22" i="15"/>
  <c r="AU22" i="15"/>
  <c r="F12" i="15"/>
  <c r="AL11" i="15"/>
  <c r="AM11" i="15" s="1"/>
  <c r="H10" i="23"/>
  <c r="AW20" i="23"/>
  <c r="BA20" i="23" s="1"/>
  <c r="AX20" i="23"/>
  <c r="BB20" i="23" s="1"/>
  <c r="AY20" i="23"/>
  <c r="BD20" i="23" s="1"/>
  <c r="E21" i="23"/>
  <c r="C20" i="23"/>
  <c r="BF20" i="23"/>
  <c r="BE20" i="23"/>
  <c r="AQ19" i="23"/>
  <c r="AS19" i="23"/>
  <c r="AU19" i="23"/>
  <c r="AW90" i="23"/>
  <c r="BA90" i="23" s="1"/>
  <c r="AX90" i="23"/>
  <c r="BB90" i="23" s="1"/>
  <c r="AY90" i="23"/>
  <c r="BD90" i="23" s="1"/>
  <c r="C90" i="23"/>
  <c r="BE90" i="23"/>
  <c r="BF90" i="23"/>
  <c r="E91" i="23"/>
  <c r="T50" i="22"/>
  <c r="S50" i="22"/>
  <c r="W50" i="22" s="1"/>
  <c r="R51" i="22" s="1"/>
  <c r="U51" i="22" s="1"/>
  <c r="Z50" i="22"/>
  <c r="Y50" i="22"/>
  <c r="AC50" i="22" s="1"/>
  <c r="X51" i="22" s="1"/>
  <c r="AA51" i="22" s="1"/>
  <c r="AU44" i="22"/>
  <c r="AQ44" i="22"/>
  <c r="F11" i="22"/>
  <c r="AL10" i="22"/>
  <c r="AM10" i="22" s="1"/>
  <c r="AS44" i="22"/>
  <c r="C52" i="22"/>
  <c r="BF52" i="22"/>
  <c r="BG52" i="22"/>
  <c r="AY52" i="22"/>
  <c r="BC52" i="22" s="1"/>
  <c r="E53" i="22"/>
  <c r="AZ52" i="22"/>
  <c r="BE52" i="22" s="1"/>
  <c r="M45" i="22"/>
  <c r="Q45" i="22" s="1"/>
  <c r="N45" i="22"/>
  <c r="AO45" i="22" s="1"/>
  <c r="P46" i="22"/>
  <c r="H46" i="22"/>
  <c r="G46" i="22"/>
  <c r="K46" i="22" s="1"/>
  <c r="F47" i="22" s="1"/>
  <c r="I47" i="22" s="1"/>
  <c r="AR47" i="22" s="1"/>
  <c r="J47" i="22"/>
  <c r="BF20" i="22"/>
  <c r="BG20" i="22"/>
  <c r="C20" i="22"/>
  <c r="AY20" i="22"/>
  <c r="BC20" i="22" s="1"/>
  <c r="E21" i="22"/>
  <c r="AZ20" i="22"/>
  <c r="BE20" i="22" s="1"/>
  <c r="AQ19" i="22"/>
  <c r="AS19" i="22"/>
  <c r="AU19" i="22"/>
  <c r="AG47" i="22"/>
  <c r="AF48" i="22" s="1"/>
  <c r="AE44" i="21"/>
  <c r="AD45" i="21" s="1"/>
  <c r="AT45" i="21" s="1"/>
  <c r="O19" i="25"/>
  <c r="AE82" i="23"/>
  <c r="AD83" i="23" s="1"/>
  <c r="AT83" i="23" s="1"/>
  <c r="AE49" i="22"/>
  <c r="AD50" i="22" s="1"/>
  <c r="AT50" i="22" s="1"/>
  <c r="BB24" i="3"/>
  <c r="AD18" i="3"/>
  <c r="AK5" i="3"/>
  <c r="AD5" i="3"/>
  <c r="AI5" i="3" s="1"/>
  <c r="AD19" i="3"/>
  <c r="AD20" i="3"/>
  <c r="BG20" i="3"/>
  <c r="AD7" i="3"/>
  <c r="AD8" i="3"/>
  <c r="AD9" i="3"/>
  <c r="AJ22" i="3"/>
  <c r="BF22" i="3" s="1"/>
  <c r="AD10" i="3"/>
  <c r="AD11" i="3"/>
  <c r="AD6" i="3"/>
  <c r="AD12" i="3"/>
  <c r="AD13" i="3"/>
  <c r="AD14" i="3"/>
  <c r="AD15" i="3"/>
  <c r="AD16" i="3"/>
  <c r="AD17" i="3"/>
  <c r="AR21" i="19"/>
  <c r="AA54" i="12"/>
  <c r="I54" i="12"/>
  <c r="AA54" i="13"/>
  <c r="I54" i="13"/>
  <c r="U54" i="12"/>
  <c r="U54" i="13"/>
  <c r="AB54" i="12"/>
  <c r="V54" i="12"/>
  <c r="V54" i="13"/>
  <c r="O54" i="12"/>
  <c r="O54" i="13"/>
  <c r="AA90" i="14"/>
  <c r="I90" i="14"/>
  <c r="AR90" i="14" s="1"/>
  <c r="AB54" i="13"/>
  <c r="V90" i="14"/>
  <c r="O90" i="14"/>
  <c r="U90" i="14"/>
  <c r="AB22" i="17"/>
  <c r="O22" i="17"/>
  <c r="AB90" i="14"/>
  <c r="AA22" i="17"/>
  <c r="V22" i="17"/>
  <c r="I22" i="17"/>
  <c r="U22" i="19"/>
  <c r="AB22" i="19"/>
  <c r="O22" i="19"/>
  <c r="U22" i="17"/>
  <c r="I22" i="19"/>
  <c r="V22" i="19"/>
  <c r="AA22" i="19"/>
  <c r="AL10" i="12"/>
  <c r="AM10" i="12" s="1"/>
  <c r="AN10" i="12" s="1"/>
  <c r="AZ22" i="19"/>
  <c r="C22" i="19"/>
  <c r="E23" i="19"/>
  <c r="F11" i="12"/>
  <c r="H11" i="18"/>
  <c r="F12" i="18" s="1"/>
  <c r="H10" i="13"/>
  <c r="BF22" i="14"/>
  <c r="AX22" i="14"/>
  <c r="BB22" i="14" s="1"/>
  <c r="E23" i="14"/>
  <c r="AY22" i="14"/>
  <c r="BD22" i="14" s="1"/>
  <c r="C22" i="14"/>
  <c r="BE22" i="14"/>
  <c r="AW22" i="14"/>
  <c r="BA22" i="14" s="1"/>
  <c r="BD22" i="16"/>
  <c r="C22" i="16"/>
  <c r="AZ22" i="16"/>
  <c r="E23" i="16"/>
  <c r="AQ21" i="14"/>
  <c r="AU21" i="14"/>
  <c r="AS21" i="14"/>
  <c r="AR21" i="16"/>
  <c r="Q53" i="13"/>
  <c r="K53" i="13"/>
  <c r="AY53" i="13"/>
  <c r="BC53" i="13" s="1"/>
  <c r="AO53" i="13"/>
  <c r="AZ53" i="13"/>
  <c r="BE53" i="13" s="1"/>
  <c r="W53" i="13"/>
  <c r="AX53" i="13"/>
  <c r="BB53" i="13" s="1"/>
  <c r="BG53" i="13"/>
  <c r="E54" i="13"/>
  <c r="C53" i="13"/>
  <c r="AC53" i="13"/>
  <c r="BF53" i="13"/>
  <c r="AZ21" i="17"/>
  <c r="C21" i="17"/>
  <c r="E22" i="17"/>
  <c r="AZ21" i="18"/>
  <c r="E22" i="18"/>
  <c r="C21" i="18"/>
  <c r="AQ20" i="18"/>
  <c r="AS20" i="18"/>
  <c r="O20" i="18"/>
  <c r="K20" i="18"/>
  <c r="AU20" i="18"/>
  <c r="AR52" i="13"/>
  <c r="H12" i="14"/>
  <c r="F13" i="14" s="1"/>
  <c r="G13" i="14" s="1"/>
  <c r="AR13" i="14" s="1"/>
  <c r="AE54" i="13"/>
  <c r="R22" i="13"/>
  <c r="AG54" i="13"/>
  <c r="N22" i="13"/>
  <c r="T22" i="13"/>
  <c r="Q22" i="13"/>
  <c r="O22" i="13"/>
  <c r="I22" i="13"/>
  <c r="C23" i="15"/>
  <c r="AZ23" i="15"/>
  <c r="E24" i="15"/>
  <c r="AN21" i="13"/>
  <c r="J22" i="13"/>
  <c r="S22" i="13"/>
  <c r="K22" i="13"/>
  <c r="AF54" i="13"/>
  <c r="F22" i="13"/>
  <c r="M22" i="13"/>
  <c r="AU22" i="13"/>
  <c r="AQ22" i="13"/>
  <c r="AI22" i="13"/>
  <c r="AJ22" i="13" s="1"/>
  <c r="AR22" i="13"/>
  <c r="AT22" i="13"/>
  <c r="AL22" i="13"/>
  <c r="AM22" i="13" s="1"/>
  <c r="AS22" i="13"/>
  <c r="AD54" i="13"/>
  <c r="E24" i="13"/>
  <c r="BF23" i="13"/>
  <c r="P23" i="13"/>
  <c r="L23" i="13"/>
  <c r="H23" i="13"/>
  <c r="C23" i="13"/>
  <c r="G23" i="13" s="1"/>
  <c r="AY23" i="13"/>
  <c r="BC23" i="13" s="1"/>
  <c r="AX23" i="13"/>
  <c r="BB23" i="13" s="1"/>
  <c r="AZ23" i="13"/>
  <c r="BE23" i="13" s="1"/>
  <c r="BG23" i="13"/>
  <c r="AK21" i="13"/>
  <c r="AY91" i="14"/>
  <c r="BD91" i="14" s="1"/>
  <c r="BF91" i="14"/>
  <c r="E92" i="14"/>
  <c r="AX91" i="14"/>
  <c r="BB91" i="14" s="1"/>
  <c r="AW91" i="14"/>
  <c r="BA91" i="14" s="1"/>
  <c r="C91" i="14"/>
  <c r="BE91" i="14"/>
  <c r="BC23" i="3"/>
  <c r="AE24" i="3"/>
  <c r="AG24" i="3"/>
  <c r="AW27" i="3"/>
  <c r="H24" i="3"/>
  <c r="AF23" i="3"/>
  <c r="AK23" i="3" s="1"/>
  <c r="AH24" i="3"/>
  <c r="BD23" i="3"/>
  <c r="AQ27" i="3"/>
  <c r="AL24" i="3"/>
  <c r="AI22" i="3"/>
  <c r="BE22" i="3" s="1"/>
  <c r="G26" i="3"/>
  <c r="AV25" i="3"/>
  <c r="AX25" i="3" s="1"/>
  <c r="V25" i="3"/>
  <c r="X25" i="3" s="1"/>
  <c r="P27" i="3"/>
  <c r="AM24" i="3"/>
  <c r="A25" i="3"/>
  <c r="BI25" i="3" s="1"/>
  <c r="BJ25" i="3" s="1"/>
  <c r="Y24" i="3"/>
  <c r="AC23" i="3"/>
  <c r="Z87" i="23" l="1"/>
  <c r="Y87" i="23"/>
  <c r="AC87" i="23" s="1"/>
  <c r="X88" i="23" s="1"/>
  <c r="AA88" i="23" s="1"/>
  <c r="AG86" i="23"/>
  <c r="AF87" i="23" s="1"/>
  <c r="S87" i="23"/>
  <c r="W87" i="23" s="1"/>
  <c r="R88" i="23" s="1"/>
  <c r="U88" i="23" s="1"/>
  <c r="T87" i="23"/>
  <c r="G11" i="29"/>
  <c r="AL11" i="29" s="1"/>
  <c r="AM11" i="29" s="1"/>
  <c r="J12" i="29"/>
  <c r="H11" i="29"/>
  <c r="AP11" i="29" s="1"/>
  <c r="AQ43" i="21"/>
  <c r="AS43" i="21"/>
  <c r="P81" i="23"/>
  <c r="N80" i="23"/>
  <c r="M80" i="23"/>
  <c r="L44" i="21"/>
  <c r="M44" i="21" s="1"/>
  <c r="Q11" i="29"/>
  <c r="L12" i="29" s="1"/>
  <c r="AI101" i="20"/>
  <c r="BE101" i="20" s="1"/>
  <c r="AI171" i="20"/>
  <c r="BE171" i="20" s="1"/>
  <c r="AJ226" i="20"/>
  <c r="BF226" i="20" s="1"/>
  <c r="AI26" i="20"/>
  <c r="BE26" i="20" s="1"/>
  <c r="AJ128" i="20"/>
  <c r="BF128" i="20" s="1"/>
  <c r="AI207" i="20"/>
  <c r="BE207" i="20" s="1"/>
  <c r="AJ125" i="20"/>
  <c r="BF125" i="20" s="1"/>
  <c r="AI215" i="20"/>
  <c r="BE215" i="20" s="1"/>
  <c r="AI35" i="20"/>
  <c r="BE35" i="20" s="1"/>
  <c r="AI138" i="20"/>
  <c r="BE138" i="20" s="1"/>
  <c r="AJ160" i="20"/>
  <c r="BF160" i="20" s="1"/>
  <c r="AI69" i="20"/>
  <c r="BE69" i="20" s="1"/>
  <c r="O15" i="26"/>
  <c r="K15" i="26"/>
  <c r="K15" i="22"/>
  <c r="O15" i="22"/>
  <c r="BB25" i="3"/>
  <c r="F53" i="12"/>
  <c r="K54" i="12"/>
  <c r="L21" i="12"/>
  <c r="AJ16" i="20"/>
  <c r="BF16" i="20" s="1"/>
  <c r="O19" i="26"/>
  <c r="AI175" i="20"/>
  <c r="BE175" i="20" s="1"/>
  <c r="AJ230" i="20"/>
  <c r="BF230" i="20" s="1"/>
  <c r="AJ77" i="20"/>
  <c r="BF77" i="20" s="1"/>
  <c r="AI10" i="22"/>
  <c r="AJ10" i="22" s="1"/>
  <c r="AI132" i="20"/>
  <c r="BE132" i="20" s="1"/>
  <c r="AI180" i="20"/>
  <c r="BE180" i="20" s="1"/>
  <c r="AJ73" i="20"/>
  <c r="BF73" i="20" s="1"/>
  <c r="AJ114" i="20"/>
  <c r="BF114" i="20" s="1"/>
  <c r="AJ194" i="20"/>
  <c r="BF194" i="20" s="1"/>
  <c r="AR27" i="3"/>
  <c r="AJ200" i="20"/>
  <c r="BF200" i="20" s="1"/>
  <c r="AI16" i="20"/>
  <c r="BE16" i="20" s="1"/>
  <c r="J16" i="21"/>
  <c r="L16" i="21" s="1"/>
  <c r="AI214" i="20"/>
  <c r="BE214" i="20" s="1"/>
  <c r="AJ165" i="20"/>
  <c r="BF165" i="20" s="1"/>
  <c r="AI30" i="20"/>
  <c r="BE30" i="20" s="1"/>
  <c r="AJ44" i="20"/>
  <c r="BF44" i="20" s="1"/>
  <c r="AJ11" i="20"/>
  <c r="BF11" i="20" s="1"/>
  <c r="AI79" i="23" s="1"/>
  <c r="K8" i="21"/>
  <c r="AJ197" i="20"/>
  <c r="BF197" i="20" s="1"/>
  <c r="AI11" i="20"/>
  <c r="BE11" i="20" s="1"/>
  <c r="J8" i="21"/>
  <c r="AJ8" i="20"/>
  <c r="AI8" i="26" s="1"/>
  <c r="AJ8" i="26" s="1"/>
  <c r="AK8" i="26" s="1"/>
  <c r="AI70" i="20"/>
  <c r="BE70" i="20" s="1"/>
  <c r="K19" i="26"/>
  <c r="K19" i="23"/>
  <c r="AI110" i="20"/>
  <c r="BE110" i="20" s="1"/>
  <c r="AJ199" i="20"/>
  <c r="BF199" i="20" s="1"/>
  <c r="J9" i="21"/>
  <c r="BG10" i="20"/>
  <c r="K10" i="23" s="1"/>
  <c r="O10" i="26"/>
  <c r="K10" i="26"/>
  <c r="AJ209" i="20"/>
  <c r="BF209" i="20" s="1"/>
  <c r="AI170" i="20"/>
  <c r="BE170" i="20" s="1"/>
  <c r="O10" i="22"/>
  <c r="AI148" i="20"/>
  <c r="BE148" i="20" s="1"/>
  <c r="AJ49" i="20"/>
  <c r="BF49" i="20" s="1"/>
  <c r="AI98" i="20"/>
  <c r="BE98" i="20" s="1"/>
  <c r="AI94" i="20"/>
  <c r="BE94" i="20" s="1"/>
  <c r="AI174" i="20"/>
  <c r="BE174" i="20" s="1"/>
  <c r="AI134" i="20"/>
  <c r="BE134" i="20" s="1"/>
  <c r="AJ80" i="20"/>
  <c r="BF80" i="20" s="1"/>
  <c r="AJ143" i="20"/>
  <c r="BF143" i="20" s="1"/>
  <c r="AI195" i="20"/>
  <c r="BE195" i="20" s="1"/>
  <c r="AI105" i="20"/>
  <c r="BE105" i="20" s="1"/>
  <c r="AI92" i="20"/>
  <c r="BE92" i="20" s="1"/>
  <c r="AI223" i="20"/>
  <c r="BE223" i="20" s="1"/>
  <c r="AI79" i="20"/>
  <c r="BE79" i="20" s="1"/>
  <c r="AI121" i="20"/>
  <c r="BE121" i="20" s="1"/>
  <c r="AI76" i="20"/>
  <c r="BE76" i="20" s="1"/>
  <c r="AI126" i="20"/>
  <c r="BE126" i="20" s="1"/>
  <c r="O20" i="26"/>
  <c r="AJ122" i="20"/>
  <c r="BF122" i="20" s="1"/>
  <c r="AJ221" i="20"/>
  <c r="BF221" i="20" s="1"/>
  <c r="AJ106" i="20"/>
  <c r="BF106" i="20" s="1"/>
  <c r="AI118" i="20"/>
  <c r="BE118" i="20" s="1"/>
  <c r="AI58" i="20"/>
  <c r="BE58" i="20" s="1"/>
  <c r="AI227" i="20"/>
  <c r="BE227" i="20" s="1"/>
  <c r="AI88" i="20"/>
  <c r="BE88" i="20" s="1"/>
  <c r="K18" i="21"/>
  <c r="AI216" i="20"/>
  <c r="BE216" i="20" s="1"/>
  <c r="AJ82" i="20"/>
  <c r="BF82" i="20" s="1"/>
  <c r="AI204" i="20"/>
  <c r="BE204" i="20" s="1"/>
  <c r="AI18" i="20"/>
  <c r="BE18" i="20" s="1"/>
  <c r="AI111" i="20"/>
  <c r="BE111" i="20" s="1"/>
  <c r="AJ18" i="20"/>
  <c r="BF18" i="20" s="1"/>
  <c r="AJ187" i="20"/>
  <c r="BF187" i="20" s="1"/>
  <c r="AJ229" i="20"/>
  <c r="BF229" i="20" s="1"/>
  <c r="AJ43" i="20"/>
  <c r="BF43" i="20" s="1"/>
  <c r="AJ40" i="20"/>
  <c r="BF40" i="20" s="1"/>
  <c r="AJ55" i="20"/>
  <c r="BF55" i="20" s="1"/>
  <c r="J11" i="21"/>
  <c r="AI65" i="20"/>
  <c r="BE65" i="20" s="1"/>
  <c r="J18" i="21"/>
  <c r="AJ159" i="20"/>
  <c r="BF159" i="20" s="1"/>
  <c r="AJ32" i="20"/>
  <c r="BF32" i="20" s="1"/>
  <c r="AI91" i="20"/>
  <c r="BE91" i="20" s="1"/>
  <c r="AJ232" i="20"/>
  <c r="BF232" i="20" s="1"/>
  <c r="AI68" i="20"/>
  <c r="BE68" i="20" s="1"/>
  <c r="K6" i="21"/>
  <c r="AI9" i="20"/>
  <c r="AI9" i="24" s="1"/>
  <c r="AJ9" i="24" s="1"/>
  <c r="AJ108" i="20"/>
  <c r="BF108" i="20" s="1"/>
  <c r="AJ198" i="20"/>
  <c r="BF198" i="20" s="1"/>
  <c r="AJ7" i="20"/>
  <c r="AI39" i="22" s="1"/>
  <c r="AJ184" i="20"/>
  <c r="BF184" i="20" s="1"/>
  <c r="AI7" i="20"/>
  <c r="AI7" i="25" s="1"/>
  <c r="AI22" i="20"/>
  <c r="BE22" i="20" s="1"/>
  <c r="AI13" i="20"/>
  <c r="BE13" i="20" s="1"/>
  <c r="AJ47" i="20"/>
  <c r="BF47" i="20" s="1"/>
  <c r="AJ116" i="20"/>
  <c r="BF116" i="20" s="1"/>
  <c r="AJ13" i="20"/>
  <c r="BF13" i="20" s="1"/>
  <c r="AJ66" i="20"/>
  <c r="BF66" i="20" s="1"/>
  <c r="AI161" i="20"/>
  <c r="BE161" i="20" s="1"/>
  <c r="AI192" i="20"/>
  <c r="BE192" i="20" s="1"/>
  <c r="AI89" i="20"/>
  <c r="BE89" i="20" s="1"/>
  <c r="AJ93" i="20"/>
  <c r="BF93" i="20" s="1"/>
  <c r="AI29" i="20"/>
  <c r="BE29" i="20" s="1"/>
  <c r="AI124" i="20"/>
  <c r="BE124" i="20" s="1"/>
  <c r="AJ107" i="20"/>
  <c r="BF107" i="20" s="1"/>
  <c r="AI57" i="20"/>
  <c r="BE57" i="20" s="1"/>
  <c r="AI140" i="20"/>
  <c r="BE140" i="20" s="1"/>
  <c r="J13" i="21"/>
  <c r="L13" i="21" s="1"/>
  <c r="AI62" i="20"/>
  <c r="BE62" i="20" s="1"/>
  <c r="AJ127" i="20"/>
  <c r="BF127" i="20" s="1"/>
  <c r="AI61" i="20"/>
  <c r="BE61" i="20" s="1"/>
  <c r="AI149" i="20"/>
  <c r="BE149" i="20" s="1"/>
  <c r="AI109" i="20"/>
  <c r="BE109" i="20" s="1"/>
  <c r="AI208" i="20"/>
  <c r="BE208" i="20" s="1"/>
  <c r="AI182" i="20"/>
  <c r="BE182" i="20" s="1"/>
  <c r="AI130" i="20"/>
  <c r="BE130" i="20" s="1"/>
  <c r="AI6" i="20"/>
  <c r="AI6" i="25" s="1"/>
  <c r="BG17" i="20"/>
  <c r="O17" i="23" s="1"/>
  <c r="AI231" i="20"/>
  <c r="BE231" i="20" s="1"/>
  <c r="AJ6" i="20"/>
  <c r="AI6" i="22" s="1"/>
  <c r="AJ6" i="22" s="1"/>
  <c r="O17" i="26"/>
  <c r="AJ135" i="20"/>
  <c r="BF135" i="20" s="1"/>
  <c r="AI75" i="20"/>
  <c r="BE75" i="20" s="1"/>
  <c r="K17" i="26"/>
  <c r="O17" i="22"/>
  <c r="J12" i="21"/>
  <c r="L12" i="21" s="1"/>
  <c r="J6" i="21"/>
  <c r="K20" i="26"/>
  <c r="K20" i="23"/>
  <c r="AI152" i="20"/>
  <c r="BE152" i="20" s="1"/>
  <c r="AJ21" i="20"/>
  <c r="BF21" i="20" s="1"/>
  <c r="AJ104" i="20"/>
  <c r="BF104" i="20" s="1"/>
  <c r="AJ97" i="20"/>
  <c r="BF97" i="20" s="1"/>
  <c r="AJ133" i="20"/>
  <c r="BF133" i="20" s="1"/>
  <c r="BG14" i="20"/>
  <c r="O14" i="23" s="1"/>
  <c r="AJ196" i="20"/>
  <c r="BF196" i="20" s="1"/>
  <c r="AJ225" i="20"/>
  <c r="BF225" i="20" s="1"/>
  <c r="K14" i="26"/>
  <c r="AJ185" i="20"/>
  <c r="BF185" i="20" s="1"/>
  <c r="AJ60" i="20"/>
  <c r="BF60" i="20" s="1"/>
  <c r="O14" i="26"/>
  <c r="AI191" i="20"/>
  <c r="BE191" i="20" s="1"/>
  <c r="AJ217" i="20"/>
  <c r="BF217" i="20" s="1"/>
  <c r="AI24" i="20"/>
  <c r="BE24" i="20" s="1"/>
  <c r="AI67" i="20"/>
  <c r="BE67" i="20" s="1"/>
  <c r="AI64" i="20"/>
  <c r="BE64" i="20" s="1"/>
  <c r="K14" i="22"/>
  <c r="AJ78" i="20"/>
  <c r="BF78" i="20" s="1"/>
  <c r="AI12" i="20"/>
  <c r="BE12" i="20" s="1"/>
  <c r="AJ12" i="20"/>
  <c r="BF12" i="20" s="1"/>
  <c r="K21" i="15"/>
  <c r="AJ151" i="20"/>
  <c r="BF151" i="20" s="1"/>
  <c r="AI102" i="20"/>
  <c r="BE102" i="20" s="1"/>
  <c r="AJ38" i="20"/>
  <c r="BF38" i="20" s="1"/>
  <c r="AJ211" i="20"/>
  <c r="BF211" i="20" s="1"/>
  <c r="AI212" i="20"/>
  <c r="BE212" i="20" s="1"/>
  <c r="AJ156" i="20"/>
  <c r="BF156" i="20" s="1"/>
  <c r="AJ228" i="20"/>
  <c r="BF228" i="20" s="1"/>
  <c r="AJ117" i="20"/>
  <c r="BF117" i="20" s="1"/>
  <c r="AI162" i="20"/>
  <c r="BE162" i="20" s="1"/>
  <c r="AI219" i="20"/>
  <c r="BE219" i="20" s="1"/>
  <c r="AJ131" i="20"/>
  <c r="BF131" i="20" s="1"/>
  <c r="J7" i="21"/>
  <c r="L7" i="21" s="1"/>
  <c r="AJ166" i="20"/>
  <c r="BF166" i="20" s="1"/>
  <c r="AJ34" i="20"/>
  <c r="BF34" i="20" s="1"/>
  <c r="AI141" i="20"/>
  <c r="BE141" i="20" s="1"/>
  <c r="AQ20" i="12"/>
  <c r="E22" i="12"/>
  <c r="AX22" i="12" s="1"/>
  <c r="C21" i="12"/>
  <c r="AT21" i="12" s="1"/>
  <c r="BG21" i="12"/>
  <c r="P21" i="12"/>
  <c r="AY21" i="12"/>
  <c r="BC21" i="12" s="1"/>
  <c r="BB21" i="12"/>
  <c r="AZ21" i="12"/>
  <c r="BE21" i="12" s="1"/>
  <c r="BF21" i="12"/>
  <c r="H21" i="12"/>
  <c r="AU20" i="12"/>
  <c r="AS20" i="12"/>
  <c r="R5" i="26"/>
  <c r="L7" i="22"/>
  <c r="I8" i="22" s="1"/>
  <c r="J8" i="22" s="1"/>
  <c r="L8" i="22" s="1"/>
  <c r="I9" i="22" s="1"/>
  <c r="AG5" i="25"/>
  <c r="L14" i="21"/>
  <c r="R5" i="24"/>
  <c r="R5" i="22"/>
  <c r="L5" i="24"/>
  <c r="I6" i="24" s="1"/>
  <c r="K6" i="24" s="1"/>
  <c r="AN25" i="20"/>
  <c r="R5" i="21"/>
  <c r="Q6" i="21" s="1"/>
  <c r="K9" i="23"/>
  <c r="O9" i="23"/>
  <c r="K12" i="23"/>
  <c r="O12" i="23"/>
  <c r="K7" i="23"/>
  <c r="O7" i="23"/>
  <c r="T5" i="26"/>
  <c r="P5" i="26"/>
  <c r="M6" i="26" s="1"/>
  <c r="T5" i="24"/>
  <c r="P5" i="24"/>
  <c r="M6" i="24" s="1"/>
  <c r="O6" i="24" s="1"/>
  <c r="BG23" i="3"/>
  <c r="O6" i="23"/>
  <c r="K6" i="23"/>
  <c r="L5" i="21"/>
  <c r="O15" i="23"/>
  <c r="K15" i="23"/>
  <c r="O13" i="23"/>
  <c r="K13" i="23"/>
  <c r="L5" i="26"/>
  <c r="I6" i="26" s="1"/>
  <c r="BE8" i="20"/>
  <c r="AI40" i="21"/>
  <c r="AI8" i="21"/>
  <c r="AI8" i="28"/>
  <c r="AI8" i="25"/>
  <c r="AJ8" i="25" s="1"/>
  <c r="AK8" i="25" s="1"/>
  <c r="AI8" i="24"/>
  <c r="T5" i="22"/>
  <c r="P5" i="22"/>
  <c r="M6" i="22" s="1"/>
  <c r="O11" i="23"/>
  <c r="K11" i="23"/>
  <c r="L10" i="21"/>
  <c r="K11" i="21" s="1"/>
  <c r="P25" i="20"/>
  <c r="L5" i="22"/>
  <c r="I6" i="22" s="1"/>
  <c r="AC5" i="25"/>
  <c r="X6" i="25" s="1"/>
  <c r="AA6" i="25" s="1"/>
  <c r="W5" i="25"/>
  <c r="R6" i="25" s="1"/>
  <c r="U6" i="25" s="1"/>
  <c r="AE5" i="25"/>
  <c r="L15" i="21"/>
  <c r="K8" i="23"/>
  <c r="O8" i="23"/>
  <c r="AI21" i="3"/>
  <c r="BE21" i="3" s="1"/>
  <c r="AJ21" i="3"/>
  <c r="BF21" i="3" s="1"/>
  <c r="K18" i="23"/>
  <c r="O18" i="23"/>
  <c r="AQ25" i="20"/>
  <c r="AR25" i="20" s="1"/>
  <c r="O26" i="20"/>
  <c r="BF5" i="20"/>
  <c r="AI5" i="22"/>
  <c r="AJ5" i="22" s="1"/>
  <c r="AI37" i="22"/>
  <c r="AJ37" i="22" s="1"/>
  <c r="AI5" i="29"/>
  <c r="AJ5" i="29" s="1"/>
  <c r="AI5" i="26"/>
  <c r="AJ5" i="26" s="1"/>
  <c r="O16" i="23"/>
  <c r="K16" i="23"/>
  <c r="BE5" i="20"/>
  <c r="AI5" i="28"/>
  <c r="AI37" i="21"/>
  <c r="AI5" i="25"/>
  <c r="AJ5" i="25" s="1"/>
  <c r="AI5" i="21"/>
  <c r="AI5" i="24"/>
  <c r="AJ5" i="24" s="1"/>
  <c r="N5" i="23"/>
  <c r="K5" i="23"/>
  <c r="J5" i="23"/>
  <c r="O5" i="23"/>
  <c r="BE10" i="20"/>
  <c r="AI10" i="21"/>
  <c r="AJ10" i="21" s="1"/>
  <c r="AI42" i="21"/>
  <c r="BF9" i="20"/>
  <c r="AI41" i="22"/>
  <c r="AJ41" i="22" s="1"/>
  <c r="AK41" i="22" s="1"/>
  <c r="AW41" i="22" s="1"/>
  <c r="AI9" i="22"/>
  <c r="AI9" i="29"/>
  <c r="P5" i="21"/>
  <c r="M6" i="21" s="1"/>
  <c r="O6" i="21" s="1"/>
  <c r="T5" i="21"/>
  <c r="BF10" i="20"/>
  <c r="AI42" i="22"/>
  <c r="AI10" i="29"/>
  <c r="AJ10" i="29" s="1"/>
  <c r="AK10" i="29" s="1"/>
  <c r="AW10" i="29" s="1"/>
  <c r="W54" i="12"/>
  <c r="AZ54" i="12"/>
  <c r="BE54" i="12" s="1"/>
  <c r="BG54" i="12"/>
  <c r="AX54" i="12"/>
  <c r="BB54" i="12" s="1"/>
  <c r="AC54" i="12"/>
  <c r="AY54" i="12"/>
  <c r="BC54" i="12" s="1"/>
  <c r="Q54" i="12"/>
  <c r="C54" i="12"/>
  <c r="AT54" i="12" s="1"/>
  <c r="E55" i="12"/>
  <c r="BF54" i="12"/>
  <c r="AO54" i="12"/>
  <c r="R53" i="12"/>
  <c r="AP53" i="12"/>
  <c r="AU53" i="12"/>
  <c r="AQ53" i="12"/>
  <c r="AL53" i="12"/>
  <c r="AI53" i="12"/>
  <c r="AS53" i="12"/>
  <c r="L53" i="12"/>
  <c r="P54" i="12" s="1"/>
  <c r="X53" i="12"/>
  <c r="O15" i="15"/>
  <c r="K15" i="15"/>
  <c r="K18" i="15"/>
  <c r="O18" i="15"/>
  <c r="K16" i="15"/>
  <c r="O16" i="15"/>
  <c r="O17" i="15"/>
  <c r="K17" i="15"/>
  <c r="N5" i="15"/>
  <c r="J5" i="15"/>
  <c r="K5" i="15"/>
  <c r="O5" i="15"/>
  <c r="O19" i="15"/>
  <c r="K19" i="15"/>
  <c r="K20" i="15"/>
  <c r="O20" i="15"/>
  <c r="O7" i="15"/>
  <c r="K7" i="15"/>
  <c r="O12" i="15"/>
  <c r="K12" i="15"/>
  <c r="K14" i="15"/>
  <c r="O14" i="15"/>
  <c r="K8" i="15"/>
  <c r="O8" i="15"/>
  <c r="O9" i="15"/>
  <c r="K9" i="15"/>
  <c r="K13" i="15"/>
  <c r="O13" i="15"/>
  <c r="O10" i="15"/>
  <c r="K10" i="15"/>
  <c r="O6" i="15"/>
  <c r="K6" i="15"/>
  <c r="O11" i="15"/>
  <c r="K11" i="15"/>
  <c r="G12" i="21"/>
  <c r="AR12" i="21" s="1"/>
  <c r="Z51" i="21"/>
  <c r="Y51" i="21"/>
  <c r="AC51" i="21" s="1"/>
  <c r="X52" i="21" s="1"/>
  <c r="T51" i="21"/>
  <c r="S51" i="21"/>
  <c r="W51" i="21" s="1"/>
  <c r="R52" i="21" s="1"/>
  <c r="AQ20" i="21"/>
  <c r="AS20" i="21"/>
  <c r="AU20" i="21"/>
  <c r="W53" i="21"/>
  <c r="C53" i="21"/>
  <c r="R53" i="21" s="1"/>
  <c r="AC53" i="21"/>
  <c r="BF53" i="21"/>
  <c r="BG53" i="21"/>
  <c r="K53" i="21"/>
  <c r="Q53" i="21"/>
  <c r="AX53" i="21"/>
  <c r="BB53" i="21" s="1"/>
  <c r="AY53" i="21"/>
  <c r="BC53" i="21" s="1"/>
  <c r="AO53" i="21"/>
  <c r="AZ53" i="21"/>
  <c r="BE53" i="21" s="1"/>
  <c r="E54" i="21"/>
  <c r="H45" i="21"/>
  <c r="J46" i="21"/>
  <c r="G45" i="21"/>
  <c r="K45" i="21" s="1"/>
  <c r="H21" i="21"/>
  <c r="AX21" i="21"/>
  <c r="BB21" i="21" s="1"/>
  <c r="L21" i="21"/>
  <c r="AY21" i="21"/>
  <c r="BC21" i="21" s="1"/>
  <c r="P21" i="21"/>
  <c r="BF21" i="21"/>
  <c r="BG21" i="21"/>
  <c r="C21" i="21"/>
  <c r="F21" i="21" s="1"/>
  <c r="AZ21" i="21"/>
  <c r="BE21" i="21" s="1"/>
  <c r="E22" i="21"/>
  <c r="AG15" i="29"/>
  <c r="AF16" i="29" s="1"/>
  <c r="AZ21" i="29"/>
  <c r="C21" i="29"/>
  <c r="E22" i="29"/>
  <c r="AC15" i="29"/>
  <c r="X16" i="29" s="1"/>
  <c r="W12" i="29"/>
  <c r="R13" i="29" s="1"/>
  <c r="AG14" i="28"/>
  <c r="AF15" i="28" s="1"/>
  <c r="AI10" i="26"/>
  <c r="AJ10" i="26" s="1"/>
  <c r="AK10" i="26" s="1"/>
  <c r="AL10" i="26"/>
  <c r="AM10" i="26" s="1"/>
  <c r="AN10" i="26" s="1"/>
  <c r="H11" i="26"/>
  <c r="AS21" i="26"/>
  <c r="AU21" i="26"/>
  <c r="AQ21" i="26"/>
  <c r="O21" i="26"/>
  <c r="K21" i="26"/>
  <c r="C22" i="26"/>
  <c r="AZ22" i="26"/>
  <c r="E23" i="26"/>
  <c r="F11" i="28"/>
  <c r="I11" i="28" s="1"/>
  <c r="Q11" i="28" s="1"/>
  <c r="L12" i="28" s="1"/>
  <c r="AQ10" i="28"/>
  <c r="AU10" i="28"/>
  <c r="AS10" i="28"/>
  <c r="AO10" i="28"/>
  <c r="T18" i="28"/>
  <c r="S18" i="28"/>
  <c r="AE18" i="28" s="1"/>
  <c r="AD19" i="28" s="1"/>
  <c r="AT19" i="28" s="1"/>
  <c r="AI10" i="28"/>
  <c r="AJ10" i="28" s="1"/>
  <c r="AL10" i="28"/>
  <c r="AM10" i="28" s="1"/>
  <c r="AN10" i="28" s="1"/>
  <c r="Z15" i="28"/>
  <c r="Y15" i="28"/>
  <c r="C22" i="28"/>
  <c r="AZ22" i="28"/>
  <c r="E23" i="28"/>
  <c r="AM10" i="25"/>
  <c r="AN10" i="25" s="1"/>
  <c r="AR10" i="25"/>
  <c r="I10" i="25"/>
  <c r="Q10" i="25" s="1"/>
  <c r="L11" i="25" s="1"/>
  <c r="M11" i="25" s="1"/>
  <c r="K10" i="25"/>
  <c r="AO10" i="25"/>
  <c r="AR21" i="25"/>
  <c r="U21" i="25"/>
  <c r="V21" i="25"/>
  <c r="AA21" i="25"/>
  <c r="AB21" i="25"/>
  <c r="BA22" i="25"/>
  <c r="BB22" i="25"/>
  <c r="BC22" i="25"/>
  <c r="C22" i="25"/>
  <c r="AZ22" i="25"/>
  <c r="BD22" i="25"/>
  <c r="E23" i="25"/>
  <c r="AU21" i="24"/>
  <c r="AQ21" i="24"/>
  <c r="AS21" i="24"/>
  <c r="C22" i="24"/>
  <c r="AZ22" i="24"/>
  <c r="E23" i="24"/>
  <c r="AN9" i="24"/>
  <c r="AL10" i="23"/>
  <c r="AM10" i="23" s="1"/>
  <c r="AN10" i="23" s="1"/>
  <c r="F11" i="23"/>
  <c r="G11" i="23" s="1"/>
  <c r="AR11" i="23" s="1"/>
  <c r="AN11" i="15"/>
  <c r="AL79" i="23"/>
  <c r="AM79" i="23" s="1"/>
  <c r="AN79" i="23" s="1"/>
  <c r="K79" i="23"/>
  <c r="AP79" i="23"/>
  <c r="AO79" i="23"/>
  <c r="G10" i="24"/>
  <c r="AR10" i="24" s="1"/>
  <c r="AQ23" i="15"/>
  <c r="AS23" i="15"/>
  <c r="AU23" i="15"/>
  <c r="G12" i="15"/>
  <c r="AW21" i="23"/>
  <c r="BA21" i="23" s="1"/>
  <c r="AX21" i="23"/>
  <c r="BB21" i="23" s="1"/>
  <c r="AY21" i="23"/>
  <c r="BD21" i="23" s="1"/>
  <c r="E22" i="23"/>
  <c r="BE21" i="23"/>
  <c r="C21" i="23"/>
  <c r="K21" i="23" s="1"/>
  <c r="BF21" i="23"/>
  <c r="AQ20" i="23"/>
  <c r="AS20" i="23"/>
  <c r="AU20" i="23"/>
  <c r="AW91" i="23"/>
  <c r="BA91" i="23" s="1"/>
  <c r="AX91" i="23"/>
  <c r="BB91" i="23" s="1"/>
  <c r="AY91" i="23"/>
  <c r="BD91" i="23" s="1"/>
  <c r="O20" i="23"/>
  <c r="C91" i="23"/>
  <c r="BE91" i="23"/>
  <c r="BF91" i="23"/>
  <c r="E92" i="23"/>
  <c r="Z51" i="22"/>
  <c r="Y51" i="22"/>
  <c r="AC51" i="22" s="1"/>
  <c r="X52" i="22" s="1"/>
  <c r="L46" i="22"/>
  <c r="O46" i="22" s="1"/>
  <c r="AQ45" i="22"/>
  <c r="AU45" i="22"/>
  <c r="AS45" i="22"/>
  <c r="H47" i="22"/>
  <c r="G47" i="22"/>
  <c r="K47" i="22" s="1"/>
  <c r="J48" i="22"/>
  <c r="AO53" i="22"/>
  <c r="BF53" i="22"/>
  <c r="Q53" i="22"/>
  <c r="C53" i="22"/>
  <c r="R53" i="22" s="1"/>
  <c r="K53" i="22"/>
  <c r="AX53" i="22"/>
  <c r="BB53" i="22" s="1"/>
  <c r="AY53" i="22"/>
  <c r="BC53" i="22" s="1"/>
  <c r="W53" i="22"/>
  <c r="BG53" i="22"/>
  <c r="AC53" i="22"/>
  <c r="AZ53" i="22"/>
  <c r="BE53" i="22" s="1"/>
  <c r="E54" i="22"/>
  <c r="T51" i="22"/>
  <c r="S51" i="22"/>
  <c r="W51" i="22" s="1"/>
  <c r="R52" i="22" s="1"/>
  <c r="P21" i="22"/>
  <c r="BF21" i="22"/>
  <c r="BG21" i="22"/>
  <c r="C21" i="22"/>
  <c r="H21" i="22"/>
  <c r="AX21" i="22"/>
  <c r="BB21" i="22" s="1"/>
  <c r="AY21" i="22"/>
  <c r="BC21" i="22" s="1"/>
  <c r="L21" i="22"/>
  <c r="AZ21" i="22"/>
  <c r="BE21" i="22" s="1"/>
  <c r="E22" i="22"/>
  <c r="G11" i="22"/>
  <c r="AR11" i="22" s="1"/>
  <c r="AQ20" i="22"/>
  <c r="AS20" i="22"/>
  <c r="AU20" i="22"/>
  <c r="AG48" i="22"/>
  <c r="AF49" i="22" s="1"/>
  <c r="AL43" i="22"/>
  <c r="AP43" i="22"/>
  <c r="AN10" i="21"/>
  <c r="AG45" i="21"/>
  <c r="AF46" i="21" s="1"/>
  <c r="O20" i="25"/>
  <c r="AE83" i="23"/>
  <c r="AD84" i="23" s="1"/>
  <c r="AT84" i="23" s="1"/>
  <c r="AE50" i="22"/>
  <c r="AD51" i="22" s="1"/>
  <c r="AT51" i="22" s="1"/>
  <c r="K21" i="14"/>
  <c r="BG17" i="3"/>
  <c r="K17" i="13"/>
  <c r="O17" i="13"/>
  <c r="K17" i="18"/>
  <c r="O17" i="18"/>
  <c r="BG10" i="3"/>
  <c r="O10" i="13"/>
  <c r="K10" i="13"/>
  <c r="K10" i="18"/>
  <c r="O10" i="18"/>
  <c r="BG18" i="3"/>
  <c r="O18" i="18"/>
  <c r="K18" i="18"/>
  <c r="BG5" i="3"/>
  <c r="J5" i="18"/>
  <c r="N5" i="13"/>
  <c r="O5" i="18"/>
  <c r="O5" i="13"/>
  <c r="N5" i="18"/>
  <c r="J5" i="13"/>
  <c r="K5" i="18"/>
  <c r="K5" i="13"/>
  <c r="O6" i="12"/>
  <c r="AJ6" i="3"/>
  <c r="AI6" i="3"/>
  <c r="AI6" i="15" s="1"/>
  <c r="AJ6" i="15" s="1"/>
  <c r="AI19" i="3"/>
  <c r="BE19" i="3" s="1"/>
  <c r="AJ19" i="3"/>
  <c r="BF19" i="3" s="1"/>
  <c r="O12" i="12"/>
  <c r="K12" i="12"/>
  <c r="AI12" i="3"/>
  <c r="BE12" i="3" s="1"/>
  <c r="AJ12" i="3"/>
  <c r="BF12" i="3" s="1"/>
  <c r="BG19" i="3"/>
  <c r="K19" i="18"/>
  <c r="O19" i="18"/>
  <c r="BG12" i="3"/>
  <c r="O12" i="13"/>
  <c r="K12" i="13"/>
  <c r="O12" i="18"/>
  <c r="K12" i="18"/>
  <c r="AI20" i="3"/>
  <c r="BE20" i="3" s="1"/>
  <c r="AJ20" i="3"/>
  <c r="BF20" i="3" s="1"/>
  <c r="BG13" i="3"/>
  <c r="K13" i="13"/>
  <c r="O13" i="13"/>
  <c r="O13" i="18"/>
  <c r="K13" i="18"/>
  <c r="K20" i="14"/>
  <c r="O20" i="14"/>
  <c r="O13" i="12"/>
  <c r="K13" i="12"/>
  <c r="AJ13" i="3"/>
  <c r="BF13" i="3" s="1"/>
  <c r="AI13" i="3"/>
  <c r="BE13" i="3" s="1"/>
  <c r="BG7" i="3"/>
  <c r="K7" i="18"/>
  <c r="O7" i="18"/>
  <c r="K7" i="13"/>
  <c r="O7" i="13"/>
  <c r="J7" i="13"/>
  <c r="O14" i="12"/>
  <c r="K14" i="12"/>
  <c r="AI14" i="3"/>
  <c r="BE14" i="3" s="1"/>
  <c r="AJ14" i="3"/>
  <c r="BF14" i="3" s="1"/>
  <c r="K7" i="12"/>
  <c r="O7" i="12"/>
  <c r="AJ7" i="3"/>
  <c r="AI7" i="3"/>
  <c r="AI7" i="15" s="1"/>
  <c r="AI18" i="3"/>
  <c r="BE18" i="3" s="1"/>
  <c r="AJ18" i="3"/>
  <c r="BF18" i="3" s="1"/>
  <c r="BG14" i="3"/>
  <c r="O14" i="13"/>
  <c r="K14" i="13"/>
  <c r="K14" i="18"/>
  <c r="O14" i="18"/>
  <c r="BG8" i="3"/>
  <c r="O8" i="13"/>
  <c r="K8" i="18"/>
  <c r="K8" i="13"/>
  <c r="O8" i="18"/>
  <c r="O11" i="12"/>
  <c r="K11" i="12"/>
  <c r="AI11" i="3"/>
  <c r="AI11" i="15" s="1"/>
  <c r="AJ11" i="3"/>
  <c r="BF11" i="3" s="1"/>
  <c r="O15" i="12"/>
  <c r="K15" i="12"/>
  <c r="AJ15" i="3"/>
  <c r="BF15" i="3" s="1"/>
  <c r="AI15" i="3"/>
  <c r="BE15" i="3" s="1"/>
  <c r="K8" i="12"/>
  <c r="O8" i="12"/>
  <c r="AJ8" i="3"/>
  <c r="AI8" i="3"/>
  <c r="AI8" i="15" s="1"/>
  <c r="BG15" i="3"/>
  <c r="K15" i="13"/>
  <c r="O15" i="13"/>
  <c r="K15" i="18"/>
  <c r="O15" i="18"/>
  <c r="K9" i="12"/>
  <c r="AJ9" i="3"/>
  <c r="AI9" i="3"/>
  <c r="AI9" i="15" s="1"/>
  <c r="BG11" i="3"/>
  <c r="O11" i="13"/>
  <c r="K11" i="13"/>
  <c r="O11" i="18"/>
  <c r="K11" i="18"/>
  <c r="BG16" i="3"/>
  <c r="K16" i="13"/>
  <c r="O16" i="13"/>
  <c r="K16" i="18"/>
  <c r="O16" i="18"/>
  <c r="BG9" i="3"/>
  <c r="O9" i="13"/>
  <c r="K9" i="13"/>
  <c r="K9" i="18"/>
  <c r="O9" i="18"/>
  <c r="O5" i="12"/>
  <c r="J5" i="12"/>
  <c r="N5" i="12"/>
  <c r="K5" i="12"/>
  <c r="AI5" i="15"/>
  <c r="AJ5" i="15" s="1"/>
  <c r="AJ5" i="3"/>
  <c r="O16" i="12"/>
  <c r="K16" i="12"/>
  <c r="AI16" i="3"/>
  <c r="BE16" i="3" s="1"/>
  <c r="AJ16" i="3"/>
  <c r="BF16" i="3" s="1"/>
  <c r="BG6" i="3"/>
  <c r="O6" i="18"/>
  <c r="O6" i="13"/>
  <c r="K6" i="13"/>
  <c r="K6" i="18"/>
  <c r="O17" i="12"/>
  <c r="K17" i="12"/>
  <c r="AI17" i="3"/>
  <c r="BE17" i="3" s="1"/>
  <c r="AJ17" i="3"/>
  <c r="BF17" i="3" s="1"/>
  <c r="K10" i="12"/>
  <c r="AI10" i="3"/>
  <c r="AI10" i="15" s="1"/>
  <c r="AJ10" i="3"/>
  <c r="AD23" i="3"/>
  <c r="AJ23" i="3" s="1"/>
  <c r="AR22" i="19"/>
  <c r="AB55" i="12"/>
  <c r="O55" i="12"/>
  <c r="AB55" i="13"/>
  <c r="O55" i="13"/>
  <c r="V55" i="12"/>
  <c r="V55" i="13"/>
  <c r="AA55" i="12"/>
  <c r="AA91" i="14"/>
  <c r="I91" i="14"/>
  <c r="AR91" i="14" s="1"/>
  <c r="U55" i="13"/>
  <c r="U55" i="12"/>
  <c r="I55" i="13"/>
  <c r="V91" i="14"/>
  <c r="I55" i="12"/>
  <c r="AB91" i="14"/>
  <c r="U91" i="14"/>
  <c r="AA55" i="13"/>
  <c r="O91" i="14"/>
  <c r="V23" i="17"/>
  <c r="AA23" i="17"/>
  <c r="U23" i="17"/>
  <c r="AB23" i="17"/>
  <c r="V23" i="19"/>
  <c r="O23" i="17"/>
  <c r="U23" i="19"/>
  <c r="I23" i="19"/>
  <c r="AA23" i="19"/>
  <c r="I23" i="17"/>
  <c r="AB23" i="19"/>
  <c r="O23" i="19"/>
  <c r="AZ23" i="19"/>
  <c r="E24" i="19"/>
  <c r="C23" i="19"/>
  <c r="AL11" i="18"/>
  <c r="AM11" i="18" s="1"/>
  <c r="AN11" i="18" s="1"/>
  <c r="G12" i="18"/>
  <c r="AR12" i="18" s="1"/>
  <c r="G11" i="12"/>
  <c r="AR11" i="12" s="1"/>
  <c r="F11" i="13"/>
  <c r="AL10" i="13"/>
  <c r="AM10" i="13" s="1"/>
  <c r="AN10" i="13" s="1"/>
  <c r="AZ23" i="16"/>
  <c r="E24" i="16"/>
  <c r="C23" i="16"/>
  <c r="BD23" i="16"/>
  <c r="X53" i="13"/>
  <c r="E24" i="14"/>
  <c r="BE23" i="14"/>
  <c r="BF23" i="14"/>
  <c r="AX23" i="14"/>
  <c r="BB23" i="14" s="1"/>
  <c r="AW23" i="14"/>
  <c r="BA23" i="14" s="1"/>
  <c r="AY23" i="14"/>
  <c r="BD23" i="14" s="1"/>
  <c r="C23" i="14"/>
  <c r="O22" i="14"/>
  <c r="K22" i="14"/>
  <c r="AS22" i="14"/>
  <c r="AU22" i="14"/>
  <c r="AQ22" i="14"/>
  <c r="AR22" i="16"/>
  <c r="E23" i="17"/>
  <c r="C22" i="17"/>
  <c r="AZ22" i="17"/>
  <c r="AX54" i="13"/>
  <c r="BB54" i="13" s="1"/>
  <c r="W54" i="13"/>
  <c r="BF54" i="13"/>
  <c r="AC54" i="13"/>
  <c r="Q54" i="13"/>
  <c r="AO54" i="13"/>
  <c r="K54" i="13"/>
  <c r="C54" i="13"/>
  <c r="Y54" i="13" s="1"/>
  <c r="AY54" i="13"/>
  <c r="BC54" i="13" s="1"/>
  <c r="BG54" i="13"/>
  <c r="AZ54" i="13"/>
  <c r="BE54" i="13" s="1"/>
  <c r="E55" i="13"/>
  <c r="AQ21" i="18"/>
  <c r="AS21" i="18"/>
  <c r="AU21" i="18"/>
  <c r="K21" i="18"/>
  <c r="O21" i="18"/>
  <c r="AL12" i="14"/>
  <c r="AM12" i="14" s="1"/>
  <c r="H13" i="14"/>
  <c r="E23" i="18"/>
  <c r="C22" i="18"/>
  <c r="AZ22" i="18"/>
  <c r="L53" i="13"/>
  <c r="N53" i="13" s="1"/>
  <c r="AU53" i="13"/>
  <c r="AI53" i="13"/>
  <c r="AT53" i="13"/>
  <c r="AL53" i="13"/>
  <c r="AQ53" i="13"/>
  <c r="F53" i="13"/>
  <c r="AS53" i="13"/>
  <c r="R53" i="13"/>
  <c r="AP53" i="13"/>
  <c r="AR53" i="13"/>
  <c r="T23" i="13"/>
  <c r="Q23" i="13"/>
  <c r="AF55" i="13"/>
  <c r="AK22" i="13"/>
  <c r="AW21" i="13"/>
  <c r="BA21" i="13" s="1"/>
  <c r="BD21" i="13" s="1"/>
  <c r="E25" i="15"/>
  <c r="AZ24" i="15"/>
  <c r="C24" i="15"/>
  <c r="AR23" i="13"/>
  <c r="AT23" i="13"/>
  <c r="AL23" i="13"/>
  <c r="AM23" i="13" s="1"/>
  <c r="AS23" i="13"/>
  <c r="AI23" i="13"/>
  <c r="AJ23" i="13" s="1"/>
  <c r="AK23" i="13" s="1"/>
  <c r="AQ23" i="13"/>
  <c r="AU23" i="13"/>
  <c r="AE55" i="13"/>
  <c r="I23" i="13"/>
  <c r="BG24" i="13"/>
  <c r="AX24" i="13"/>
  <c r="BB24" i="13" s="1"/>
  <c r="P24" i="13"/>
  <c r="BF24" i="13"/>
  <c r="AZ24" i="13"/>
  <c r="BE24" i="13" s="1"/>
  <c r="C24" i="13"/>
  <c r="AF56" i="13" s="1"/>
  <c r="E25" i="13"/>
  <c r="L24" i="13"/>
  <c r="AY24" i="13"/>
  <c r="BC24" i="13" s="1"/>
  <c r="H24" i="13"/>
  <c r="R23" i="13"/>
  <c r="AN22" i="13"/>
  <c r="AG55" i="13"/>
  <c r="S23" i="13"/>
  <c r="J23" i="13"/>
  <c r="M23" i="13"/>
  <c r="O23" i="13"/>
  <c r="F23" i="13"/>
  <c r="K23" i="13"/>
  <c r="N23" i="13"/>
  <c r="AD55" i="13"/>
  <c r="AX92" i="14"/>
  <c r="BB92" i="14" s="1"/>
  <c r="C92" i="14"/>
  <c r="E93" i="14"/>
  <c r="AW92" i="14"/>
  <c r="BA92" i="14" s="1"/>
  <c r="BF92" i="14"/>
  <c r="AY92" i="14"/>
  <c r="BD92" i="14" s="1"/>
  <c r="BE92" i="14"/>
  <c r="AN11" i="14"/>
  <c r="AL25" i="3"/>
  <c r="AH25" i="3"/>
  <c r="BD24" i="3"/>
  <c r="AM25" i="3"/>
  <c r="AQ28" i="3"/>
  <c r="AN28" i="3"/>
  <c r="AW28" i="3"/>
  <c r="Y25" i="3"/>
  <c r="AC24" i="3"/>
  <c r="P28" i="3"/>
  <c r="V26" i="3"/>
  <c r="X26" i="3" s="1"/>
  <c r="G27" i="3"/>
  <c r="AV26" i="3"/>
  <c r="AX26" i="3" s="1"/>
  <c r="BC24" i="3"/>
  <c r="AE25" i="3"/>
  <c r="A26" i="3"/>
  <c r="BI26" i="3" s="1"/>
  <c r="BJ26" i="3" s="1"/>
  <c r="H25" i="3"/>
  <c r="AF24" i="3"/>
  <c r="AD24" i="3" s="1"/>
  <c r="AG25" i="3"/>
  <c r="AJ5" i="28" l="1"/>
  <c r="AK5" i="28" s="1"/>
  <c r="AW5" i="28" s="1"/>
  <c r="AJ6" i="25"/>
  <c r="AK6" i="25" s="1"/>
  <c r="AJ5" i="21"/>
  <c r="AK5" i="21" s="1"/>
  <c r="AW5" i="21" s="1"/>
  <c r="BA5" i="21" s="1"/>
  <c r="BD5" i="21" s="1"/>
  <c r="AJ37" i="21"/>
  <c r="AK37" i="21" s="1"/>
  <c r="AW37" i="21" s="1"/>
  <c r="BA37" i="21" s="1"/>
  <c r="BD37" i="21" s="1"/>
  <c r="S6" i="26"/>
  <c r="S6" i="22"/>
  <c r="Q6" i="24"/>
  <c r="AT6" i="24" s="1"/>
  <c r="S6" i="24"/>
  <c r="AB52" i="21"/>
  <c r="V52" i="21"/>
  <c r="U52" i="22"/>
  <c r="S6" i="21"/>
  <c r="AD6" i="25"/>
  <c r="AT6" i="25" s="1"/>
  <c r="Q6" i="26"/>
  <c r="AT6" i="26" s="1"/>
  <c r="AF6" i="25"/>
  <c r="AA52" i="22"/>
  <c r="Q6" i="22"/>
  <c r="AT6" i="22" s="1"/>
  <c r="Z88" i="23"/>
  <c r="Y88" i="23"/>
  <c r="AC88" i="23" s="1"/>
  <c r="X89" i="23" s="1"/>
  <c r="AA89" i="23" s="1"/>
  <c r="T88" i="23"/>
  <c r="S88" i="23"/>
  <c r="W88" i="23" s="1"/>
  <c r="R89" i="23" s="1"/>
  <c r="U89" i="23" s="1"/>
  <c r="AO11" i="29"/>
  <c r="K11" i="29"/>
  <c r="AQ11" i="29" s="1"/>
  <c r="O44" i="21"/>
  <c r="Q44" i="21" s="1"/>
  <c r="P45" i="21"/>
  <c r="N44" i="21"/>
  <c r="AO44" i="21" s="1"/>
  <c r="O52" i="21"/>
  <c r="O52" i="22"/>
  <c r="U53" i="22"/>
  <c r="Z16" i="29"/>
  <c r="AA16" i="29"/>
  <c r="M12" i="28"/>
  <c r="O12" i="28"/>
  <c r="N12" i="28"/>
  <c r="P13" i="28"/>
  <c r="T13" i="29"/>
  <c r="U13" i="29"/>
  <c r="V53" i="21"/>
  <c r="O12" i="29"/>
  <c r="M12" i="29"/>
  <c r="P13" i="29"/>
  <c r="N12" i="29"/>
  <c r="BB26" i="3"/>
  <c r="N6" i="21"/>
  <c r="N6" i="24"/>
  <c r="J6" i="24"/>
  <c r="L6" i="24" s="1"/>
  <c r="I7" i="24" s="1"/>
  <c r="F54" i="12"/>
  <c r="H54" i="12" s="1"/>
  <c r="K55" i="12"/>
  <c r="AY22" i="12"/>
  <c r="BC22" i="12" s="1"/>
  <c r="S54" i="12"/>
  <c r="I21" i="12"/>
  <c r="AR28" i="3"/>
  <c r="AI11" i="21"/>
  <c r="AJ11" i="21" s="1"/>
  <c r="AI43" i="22"/>
  <c r="AJ43" i="22" s="1"/>
  <c r="AK43" i="22" s="1"/>
  <c r="AI11" i="29"/>
  <c r="AJ11" i="29" s="1"/>
  <c r="AK11" i="29" s="1"/>
  <c r="AI78" i="23"/>
  <c r="L8" i="21"/>
  <c r="K9" i="21" s="1"/>
  <c r="L9" i="21" s="1"/>
  <c r="AI43" i="21"/>
  <c r="AJ43" i="21" s="1"/>
  <c r="AI7" i="24"/>
  <c r="AJ7" i="24" s="1"/>
  <c r="AK7" i="24" s="1"/>
  <c r="BF8" i="20"/>
  <c r="AI8" i="23" s="1"/>
  <c r="AJ8" i="23" s="1"/>
  <c r="AI40" i="22"/>
  <c r="AJ40" i="22" s="1"/>
  <c r="AK40" i="22" s="1"/>
  <c r="AW40" i="22" s="1"/>
  <c r="BA40" i="22" s="1"/>
  <c r="BD40" i="22" s="1"/>
  <c r="AI8" i="29"/>
  <c r="AJ8" i="29" s="1"/>
  <c r="AK8" i="29" s="1"/>
  <c r="AW8" i="29" s="1"/>
  <c r="AI8" i="22"/>
  <c r="AJ8" i="22" s="1"/>
  <c r="AK8" i="22" s="1"/>
  <c r="AN26" i="20"/>
  <c r="K17" i="23"/>
  <c r="AI7" i="29"/>
  <c r="AJ7" i="29" s="1"/>
  <c r="AK7" i="29" s="1"/>
  <c r="AW7" i="29" s="1"/>
  <c r="AI7" i="22"/>
  <c r="AJ7" i="22" s="1"/>
  <c r="AK7" i="22" s="1"/>
  <c r="O10" i="23"/>
  <c r="L11" i="21"/>
  <c r="AI9" i="28"/>
  <c r="AJ9" i="28" s="1"/>
  <c r="AK9" i="28" s="1"/>
  <c r="AW9" i="28" s="1"/>
  <c r="AI9" i="25"/>
  <c r="AJ9" i="25" s="1"/>
  <c r="AK9" i="25" s="1"/>
  <c r="L18" i="21"/>
  <c r="BE9" i="20"/>
  <c r="AI9" i="21"/>
  <c r="AJ9" i="21" s="1"/>
  <c r="AK9" i="21" s="1"/>
  <c r="AI41" i="21"/>
  <c r="AJ41" i="21" s="1"/>
  <c r="AK41" i="21" s="1"/>
  <c r="AW41" i="21" s="1"/>
  <c r="L6" i="21"/>
  <c r="AI38" i="22"/>
  <c r="AI6" i="29"/>
  <c r="AK9" i="24"/>
  <c r="BF6" i="20"/>
  <c r="AI6" i="23" s="1"/>
  <c r="AJ6" i="23" s="1"/>
  <c r="AI7" i="21"/>
  <c r="AJ7" i="21" s="1"/>
  <c r="AK7" i="21" s="1"/>
  <c r="AI6" i="26"/>
  <c r="BE6" i="20"/>
  <c r="AI38" i="21"/>
  <c r="AI6" i="21"/>
  <c r="AI6" i="28"/>
  <c r="BE7" i="20"/>
  <c r="AI7" i="26"/>
  <c r="AJ7" i="26" s="1"/>
  <c r="AK7" i="26" s="1"/>
  <c r="AI6" i="24"/>
  <c r="AI7" i="28"/>
  <c r="AJ7" i="28" s="1"/>
  <c r="AK7" i="28" s="1"/>
  <c r="AW7" i="28" s="1"/>
  <c r="AI39" i="21"/>
  <c r="AJ39" i="21" s="1"/>
  <c r="AK39" i="21" s="1"/>
  <c r="AW39" i="21" s="1"/>
  <c r="BF7" i="20"/>
  <c r="AI75" i="23" s="1"/>
  <c r="AJ75" i="23" s="1"/>
  <c r="K14" i="23"/>
  <c r="F21" i="12"/>
  <c r="P22" i="12"/>
  <c r="H22" i="12"/>
  <c r="L22" i="12"/>
  <c r="BG22" i="12"/>
  <c r="C22" i="12"/>
  <c r="AT22" i="12" s="1"/>
  <c r="AZ22" i="12"/>
  <c r="BE22" i="12" s="1"/>
  <c r="BF22" i="12"/>
  <c r="M21" i="12"/>
  <c r="BB22" i="12"/>
  <c r="E23" i="12"/>
  <c r="AX23" i="12" s="1"/>
  <c r="AD53" i="12"/>
  <c r="AU21" i="12"/>
  <c r="S21" i="12"/>
  <c r="AQ21" i="12"/>
  <c r="AI21" i="12"/>
  <c r="AJ21" i="12" s="1"/>
  <c r="AK21" i="12" s="1"/>
  <c r="AF53" i="12"/>
  <c r="R21" i="12"/>
  <c r="AR21" i="12"/>
  <c r="AS21" i="12"/>
  <c r="AE53" i="12"/>
  <c r="Q21" i="12"/>
  <c r="T21" i="12"/>
  <c r="AG53" i="12"/>
  <c r="AL21" i="12"/>
  <c r="AM21" i="12" s="1"/>
  <c r="AN21" i="12" s="1"/>
  <c r="AR23" i="19"/>
  <c r="AI11" i="18"/>
  <c r="AJ11" i="18" s="1"/>
  <c r="AK11" i="18" s="1"/>
  <c r="AT6" i="21"/>
  <c r="AK10" i="21"/>
  <c r="AI10" i="23"/>
  <c r="AJ10" i="23" s="1"/>
  <c r="R5" i="23"/>
  <c r="J9" i="22"/>
  <c r="L9" i="22" s="1"/>
  <c r="I10" i="22" s="1"/>
  <c r="J10" i="22" s="1"/>
  <c r="L10" i="22" s="1"/>
  <c r="I11" i="22" s="1"/>
  <c r="J11" i="22" s="1"/>
  <c r="L11" i="22" s="1"/>
  <c r="I12" i="22" s="1"/>
  <c r="J12" i="22" s="1"/>
  <c r="L12" i="22" s="1"/>
  <c r="I13" i="22" s="1"/>
  <c r="J13" i="22" s="1"/>
  <c r="L13" i="22" s="1"/>
  <c r="I14" i="22" s="1"/>
  <c r="J14" i="22" s="1"/>
  <c r="L14" i="22" s="1"/>
  <c r="I15" i="22" s="1"/>
  <c r="J15" i="22" s="1"/>
  <c r="L15" i="22" s="1"/>
  <c r="I16" i="22" s="1"/>
  <c r="J16" i="22" s="1"/>
  <c r="L16" i="22" s="1"/>
  <c r="I17" i="22" s="1"/>
  <c r="J17" i="22" s="1"/>
  <c r="L17" i="22" s="1"/>
  <c r="AJ9" i="22"/>
  <c r="AK9" i="22" s="1"/>
  <c r="AJ8" i="24"/>
  <c r="AK8" i="24" s="1"/>
  <c r="AJ9" i="29"/>
  <c r="AK9" i="29" s="1"/>
  <c r="AW9" i="29" s="1"/>
  <c r="AQ26" i="20"/>
  <c r="AR26" i="20" s="1"/>
  <c r="O27" i="20"/>
  <c r="P26" i="20"/>
  <c r="AJ8" i="28"/>
  <c r="AK8" i="28" s="1"/>
  <c r="AW8" i="28" s="1"/>
  <c r="AJ39" i="22"/>
  <c r="AK39" i="22" s="1"/>
  <c r="AW39" i="22" s="1"/>
  <c r="BH41" i="22"/>
  <c r="BA41" i="22"/>
  <c r="BD41" i="22" s="1"/>
  <c r="AK5" i="25"/>
  <c r="AW5" i="25" s="1"/>
  <c r="J6" i="22"/>
  <c r="L6" i="22" s="1"/>
  <c r="AJ7" i="25"/>
  <c r="AK7" i="25" s="1"/>
  <c r="AJ42" i="22"/>
  <c r="AK42" i="22" s="1"/>
  <c r="AW42" i="22" s="1"/>
  <c r="AI73" i="23"/>
  <c r="AJ73" i="23" s="1"/>
  <c r="AK73" i="23" s="1"/>
  <c r="AV73" i="23" s="1"/>
  <c r="AZ73" i="23" s="1"/>
  <c r="BC73" i="23" s="1"/>
  <c r="AI5" i="23"/>
  <c r="AK5" i="24"/>
  <c r="AW5" i="24" s="1"/>
  <c r="AK5" i="22"/>
  <c r="AW5" i="22" s="1"/>
  <c r="BA5" i="22" s="1"/>
  <c r="BD5" i="22" s="1"/>
  <c r="AK6" i="22"/>
  <c r="P5" i="23"/>
  <c r="M6" i="23" s="1"/>
  <c r="T5" i="23"/>
  <c r="AK37" i="22"/>
  <c r="AW37" i="22" s="1"/>
  <c r="BA37" i="22" s="1"/>
  <c r="BD37" i="22" s="1"/>
  <c r="AK5" i="29"/>
  <c r="AW5" i="29" s="1"/>
  <c r="AK5" i="26"/>
  <c r="AW5" i="26" s="1"/>
  <c r="L5" i="23"/>
  <c r="I6" i="23" s="1"/>
  <c r="AI77" i="23"/>
  <c r="AI9" i="23"/>
  <c r="AJ9" i="23" s="1"/>
  <c r="J6" i="26"/>
  <c r="L6" i="26" s="1"/>
  <c r="I7" i="26" s="1"/>
  <c r="J7" i="26" s="1"/>
  <c r="L7" i="26" s="1"/>
  <c r="I8" i="26" s="1"/>
  <c r="Z6" i="25"/>
  <c r="Y6" i="25"/>
  <c r="AB6" i="25"/>
  <c r="N6" i="22"/>
  <c r="S6" i="25"/>
  <c r="T6" i="25"/>
  <c r="V6" i="25"/>
  <c r="AJ40" i="21"/>
  <c r="AK40" i="21" s="1"/>
  <c r="AW40" i="21" s="1"/>
  <c r="AK24" i="3"/>
  <c r="BG24" i="3" s="1"/>
  <c r="AJ42" i="21"/>
  <c r="AK42" i="21" s="1"/>
  <c r="AW42" i="21" s="1"/>
  <c r="AJ8" i="21"/>
  <c r="AK8" i="21" s="1"/>
  <c r="N6" i="26"/>
  <c r="N53" i="12"/>
  <c r="R54" i="12"/>
  <c r="T54" i="12" s="1"/>
  <c r="L54" i="12"/>
  <c r="P55" i="12" s="1"/>
  <c r="J54" i="12"/>
  <c r="M54" i="12"/>
  <c r="G54" i="12"/>
  <c r="AL54" i="12"/>
  <c r="AP54" i="12"/>
  <c r="AQ54" i="12"/>
  <c r="AU54" i="12"/>
  <c r="AI54" i="12"/>
  <c r="AS54" i="12"/>
  <c r="W55" i="12"/>
  <c r="AZ55" i="12"/>
  <c r="BE55" i="12" s="1"/>
  <c r="C55" i="12"/>
  <c r="AT55" i="12" s="1"/>
  <c r="Q55" i="12"/>
  <c r="BF55" i="12"/>
  <c r="AX55" i="12"/>
  <c r="BB55" i="12" s="1"/>
  <c r="AC55" i="12"/>
  <c r="E56" i="12"/>
  <c r="AY55" i="12"/>
  <c r="BC55" i="12" s="1"/>
  <c r="BG55" i="12"/>
  <c r="AO55" i="12"/>
  <c r="AM53" i="12"/>
  <c r="AN53" i="12" s="1"/>
  <c r="X54" i="12"/>
  <c r="Z54" i="12" s="1"/>
  <c r="AJ53" i="12"/>
  <c r="AK53" i="12" s="1"/>
  <c r="Y54" i="12"/>
  <c r="K23" i="15"/>
  <c r="O23" i="15"/>
  <c r="H12" i="21"/>
  <c r="F13" i="21" s="1"/>
  <c r="G13" i="21" s="1"/>
  <c r="AR13" i="21" s="1"/>
  <c r="Q21" i="21"/>
  <c r="X53" i="21"/>
  <c r="F46" i="21"/>
  <c r="I46" i="21" s="1"/>
  <c r="AL21" i="21"/>
  <c r="AM21" i="21" s="1"/>
  <c r="AQ21" i="21"/>
  <c r="AR21" i="21"/>
  <c r="AS21" i="21"/>
  <c r="AT21" i="21"/>
  <c r="AU21" i="21"/>
  <c r="AI21" i="21"/>
  <c r="AJ21" i="21" s="1"/>
  <c r="AS53" i="21"/>
  <c r="AT53" i="21"/>
  <c r="AU53" i="21"/>
  <c r="AQ53" i="21"/>
  <c r="S21" i="21"/>
  <c r="M21" i="21"/>
  <c r="F53" i="21"/>
  <c r="BF22" i="21"/>
  <c r="BG22" i="21"/>
  <c r="C22" i="21"/>
  <c r="S22" i="21" s="1"/>
  <c r="H22" i="21"/>
  <c r="L22" i="21"/>
  <c r="P22" i="21"/>
  <c r="AX22" i="21"/>
  <c r="BB22" i="21" s="1"/>
  <c r="AY22" i="21"/>
  <c r="BC22" i="21" s="1"/>
  <c r="E23" i="21"/>
  <c r="AZ22" i="21"/>
  <c r="BE22" i="21" s="1"/>
  <c r="S52" i="21"/>
  <c r="W52" i="21" s="1"/>
  <c r="T53" i="21" s="1"/>
  <c r="T52" i="21"/>
  <c r="AD53" i="21"/>
  <c r="L53" i="21"/>
  <c r="Z52" i="21"/>
  <c r="Y52" i="21"/>
  <c r="AC52" i="21" s="1"/>
  <c r="Y53" i="21" s="1"/>
  <c r="AF53" i="21"/>
  <c r="AO54" i="21"/>
  <c r="Q54" i="21"/>
  <c r="W54" i="21"/>
  <c r="AX54" i="21"/>
  <c r="BB54" i="21" s="1"/>
  <c r="AY54" i="21"/>
  <c r="BC54" i="21" s="1"/>
  <c r="C54" i="21"/>
  <c r="F54" i="21" s="1"/>
  <c r="AC54" i="21"/>
  <c r="BF54" i="21"/>
  <c r="BG54" i="21"/>
  <c r="K54" i="21"/>
  <c r="AZ54" i="21"/>
  <c r="BE54" i="21" s="1"/>
  <c r="E55" i="21"/>
  <c r="AZ22" i="29"/>
  <c r="C22" i="29"/>
  <c r="E23" i="29"/>
  <c r="S13" i="29"/>
  <c r="AE13" i="29" s="1"/>
  <c r="AD14" i="29" s="1"/>
  <c r="AT14" i="29" s="1"/>
  <c r="Y16" i="29"/>
  <c r="AG15" i="28"/>
  <c r="AF16" i="28" s="1"/>
  <c r="AI11" i="26"/>
  <c r="AJ11" i="26" s="1"/>
  <c r="AK11" i="26" s="1"/>
  <c r="AL11" i="26"/>
  <c r="AM11" i="26" s="1"/>
  <c r="AN11" i="26" s="1"/>
  <c r="F12" i="26"/>
  <c r="K22" i="26"/>
  <c r="O22" i="26"/>
  <c r="AS22" i="26"/>
  <c r="AU22" i="26"/>
  <c r="AQ22" i="26"/>
  <c r="C23" i="26"/>
  <c r="AZ23" i="26"/>
  <c r="E24" i="26"/>
  <c r="AK10" i="28"/>
  <c r="AW10" i="28" s="1"/>
  <c r="H11" i="28"/>
  <c r="AP11" i="28" s="1"/>
  <c r="J12" i="28"/>
  <c r="G11" i="28"/>
  <c r="AI11" i="28" s="1"/>
  <c r="W18" i="28"/>
  <c r="R19" i="28" s="1"/>
  <c r="V19" i="28" s="1"/>
  <c r="AZ23" i="28"/>
  <c r="C23" i="28"/>
  <c r="E24" i="28"/>
  <c r="BA23" i="25"/>
  <c r="BB23" i="25"/>
  <c r="BC23" i="25"/>
  <c r="F11" i="25"/>
  <c r="AI10" i="25"/>
  <c r="AJ10" i="25" s="1"/>
  <c r="AK10" i="25" s="1"/>
  <c r="AS10" i="25"/>
  <c r="AU10" i="25"/>
  <c r="AQ10" i="25"/>
  <c r="P12" i="25"/>
  <c r="N11" i="25"/>
  <c r="AR22" i="25"/>
  <c r="U22" i="25"/>
  <c r="AB22" i="25"/>
  <c r="V22" i="25"/>
  <c r="AA22" i="25"/>
  <c r="AZ23" i="25"/>
  <c r="BD23" i="25"/>
  <c r="C23" i="25"/>
  <c r="E24" i="25"/>
  <c r="C23" i="24"/>
  <c r="AZ23" i="24"/>
  <c r="E24" i="24"/>
  <c r="AU22" i="24"/>
  <c r="AQ22" i="24"/>
  <c r="AS22" i="24"/>
  <c r="F80" i="23"/>
  <c r="I80" i="23" s="1"/>
  <c r="AQ79" i="23"/>
  <c r="AS79" i="23"/>
  <c r="AU79" i="23"/>
  <c r="H10" i="24"/>
  <c r="O24" i="15"/>
  <c r="AQ24" i="15"/>
  <c r="AS24" i="15"/>
  <c r="AU24" i="15"/>
  <c r="K24" i="15"/>
  <c r="AR12" i="15"/>
  <c r="H12" i="15"/>
  <c r="O21" i="23"/>
  <c r="AW92" i="23"/>
  <c r="BA92" i="23" s="1"/>
  <c r="AX92" i="23"/>
  <c r="BB92" i="23" s="1"/>
  <c r="AY92" i="23"/>
  <c r="BD92" i="23" s="1"/>
  <c r="AW22" i="23"/>
  <c r="BA22" i="23" s="1"/>
  <c r="AX22" i="23"/>
  <c r="BB22" i="23" s="1"/>
  <c r="AY22" i="23"/>
  <c r="BD22" i="23" s="1"/>
  <c r="BF22" i="23"/>
  <c r="BE22" i="23"/>
  <c r="E23" i="23"/>
  <c r="C22" i="23"/>
  <c r="O22" i="23" s="1"/>
  <c r="H11" i="23"/>
  <c r="AQ21" i="23"/>
  <c r="AS21" i="23"/>
  <c r="AU21" i="23"/>
  <c r="R21" i="21"/>
  <c r="H11" i="22"/>
  <c r="F12" i="22" s="1"/>
  <c r="G12" i="22" s="1"/>
  <c r="AR12" i="22" s="1"/>
  <c r="F21" i="22"/>
  <c r="M21" i="22"/>
  <c r="C92" i="23"/>
  <c r="BE92" i="23"/>
  <c r="BF92" i="23"/>
  <c r="E93" i="23"/>
  <c r="AE53" i="21"/>
  <c r="Q21" i="22"/>
  <c r="AG53" i="21"/>
  <c r="S21" i="22"/>
  <c r="T21" i="21"/>
  <c r="L53" i="22"/>
  <c r="Z52" i="22"/>
  <c r="Y52" i="22"/>
  <c r="AC52" i="22" s="1"/>
  <c r="Y53" i="22" s="1"/>
  <c r="F48" i="22"/>
  <c r="I48" i="22" s="1"/>
  <c r="AR48" i="22" s="1"/>
  <c r="AM43" i="22"/>
  <c r="AN43" i="22" s="1"/>
  <c r="C54" i="22"/>
  <c r="F54" i="22" s="1"/>
  <c r="AC54" i="22"/>
  <c r="BF54" i="22"/>
  <c r="AO54" i="22"/>
  <c r="BG54" i="22"/>
  <c r="K54" i="22"/>
  <c r="AX54" i="22"/>
  <c r="BB54" i="22" s="1"/>
  <c r="Q54" i="22"/>
  <c r="W54" i="22"/>
  <c r="AY54" i="22"/>
  <c r="BC54" i="22" s="1"/>
  <c r="E55" i="22"/>
  <c r="AZ54" i="22"/>
  <c r="BE54" i="22" s="1"/>
  <c r="M46" i="22"/>
  <c r="Q46" i="22" s="1"/>
  <c r="N46" i="22"/>
  <c r="AO46" i="22" s="1"/>
  <c r="P47" i="22"/>
  <c r="AQ53" i="22"/>
  <c r="AR53" i="22"/>
  <c r="AS53" i="22"/>
  <c r="AT53" i="22"/>
  <c r="AU53" i="22"/>
  <c r="AX22" i="22"/>
  <c r="BB22" i="22" s="1"/>
  <c r="L22" i="22"/>
  <c r="AY22" i="22"/>
  <c r="BC22" i="22" s="1"/>
  <c r="P22" i="22"/>
  <c r="BG22" i="22"/>
  <c r="C22" i="22"/>
  <c r="AF54" i="22" s="1"/>
  <c r="BF22" i="22"/>
  <c r="H22" i="22"/>
  <c r="E23" i="22"/>
  <c r="AZ22" i="22"/>
  <c r="BE22" i="22" s="1"/>
  <c r="X53" i="22"/>
  <c r="AU21" i="22"/>
  <c r="AI21" i="22"/>
  <c r="AJ21" i="22" s="1"/>
  <c r="AL21" i="22"/>
  <c r="AM21" i="22" s="1"/>
  <c r="AQ21" i="22"/>
  <c r="AR21" i="22"/>
  <c r="AS21" i="22"/>
  <c r="AT21" i="22"/>
  <c r="T52" i="22"/>
  <c r="S52" i="22"/>
  <c r="W52" i="22" s="1"/>
  <c r="S53" i="22" s="1"/>
  <c r="I21" i="22"/>
  <c r="AD53" i="22"/>
  <c r="F53" i="22"/>
  <c r="AF53" i="22"/>
  <c r="AP53" i="22"/>
  <c r="AI53" i="22"/>
  <c r="AJ53" i="22" s="1"/>
  <c r="AL53" i="22"/>
  <c r="AM53" i="22" s="1"/>
  <c r="AK10" i="22"/>
  <c r="AN10" i="22"/>
  <c r="AL43" i="21"/>
  <c r="AM43" i="21" s="1"/>
  <c r="AE45" i="21"/>
  <c r="AD46" i="21" s="1"/>
  <c r="AT46" i="21" s="1"/>
  <c r="AI53" i="21"/>
  <c r="AJ53" i="21" s="1"/>
  <c r="AL53" i="21"/>
  <c r="AM53" i="21" s="1"/>
  <c r="AP53" i="21"/>
  <c r="AP43" i="21"/>
  <c r="AN11" i="29"/>
  <c r="AC15" i="28"/>
  <c r="X16" i="28" s="1"/>
  <c r="AB16" i="28" s="1"/>
  <c r="I21" i="25"/>
  <c r="O21" i="25"/>
  <c r="AE84" i="23"/>
  <c r="AD85" i="23" s="1"/>
  <c r="AT85" i="23" s="1"/>
  <c r="AG87" i="23"/>
  <c r="AF88" i="23" s="1"/>
  <c r="AE53" i="22"/>
  <c r="AG53" i="22"/>
  <c r="R21" i="22"/>
  <c r="T21" i="22"/>
  <c r="AE51" i="22"/>
  <c r="AD52" i="22" s="1"/>
  <c r="AI13" i="14"/>
  <c r="AJ13" i="14" s="1"/>
  <c r="AI23" i="3"/>
  <c r="BE23" i="3" s="1"/>
  <c r="L5" i="18"/>
  <c r="I6" i="18" s="1"/>
  <c r="J6" i="18" s="1"/>
  <c r="L6" i="18" s="1"/>
  <c r="I7" i="18" s="1"/>
  <c r="L5" i="15"/>
  <c r="I6" i="15" s="1"/>
  <c r="J6" i="15" s="1"/>
  <c r="L7" i="13"/>
  <c r="I8" i="13" s="1"/>
  <c r="L5" i="13"/>
  <c r="I6" i="13" s="1"/>
  <c r="J6" i="13" s="1"/>
  <c r="L6" i="13" s="1"/>
  <c r="R5" i="12"/>
  <c r="R5" i="15"/>
  <c r="O11" i="14"/>
  <c r="K11" i="14"/>
  <c r="O9" i="14"/>
  <c r="K9" i="14"/>
  <c r="AK6" i="15"/>
  <c r="AI6" i="12"/>
  <c r="AJ6" i="12" s="1"/>
  <c r="BE6" i="3"/>
  <c r="J5" i="14"/>
  <c r="O5" i="14"/>
  <c r="N5" i="14"/>
  <c r="K5" i="14"/>
  <c r="O17" i="14"/>
  <c r="K17" i="14"/>
  <c r="O12" i="14"/>
  <c r="K12" i="14"/>
  <c r="O15" i="14"/>
  <c r="K15" i="14"/>
  <c r="O14" i="14"/>
  <c r="K14" i="14"/>
  <c r="T5" i="18"/>
  <c r="P5" i="18"/>
  <c r="M6" i="18" s="1"/>
  <c r="O10" i="14"/>
  <c r="K10" i="14"/>
  <c r="AI9" i="12"/>
  <c r="AJ9" i="15"/>
  <c r="AK9" i="15" s="1"/>
  <c r="BE9" i="3"/>
  <c r="BF5" i="3"/>
  <c r="AI5" i="14" s="1"/>
  <c r="AJ5" i="14" s="1"/>
  <c r="AK5" i="14" s="1"/>
  <c r="AV5" i="14" s="1"/>
  <c r="AZ5" i="14" s="1"/>
  <c r="BC5" i="14" s="1"/>
  <c r="AI5" i="18"/>
  <c r="AJ5" i="18" s="1"/>
  <c r="AK5" i="18" s="1"/>
  <c r="AW5" i="18" s="1"/>
  <c r="AI5" i="13"/>
  <c r="BE11" i="3"/>
  <c r="AJ11" i="15"/>
  <c r="AK11" i="15" s="1"/>
  <c r="AI8" i="12"/>
  <c r="AJ8" i="15"/>
  <c r="AK8" i="15" s="1"/>
  <c r="BE8" i="3"/>
  <c r="L5" i="12"/>
  <c r="I6" i="12" s="1"/>
  <c r="AI11" i="14"/>
  <c r="R5" i="18"/>
  <c r="K6" i="14"/>
  <c r="O6" i="14"/>
  <c r="P5" i="12"/>
  <c r="M6" i="12" s="1"/>
  <c r="T5" i="12"/>
  <c r="R5" i="13"/>
  <c r="BE10" i="3"/>
  <c r="AI10" i="12"/>
  <c r="AJ10" i="15"/>
  <c r="AK10" i="15" s="1"/>
  <c r="AI8" i="13"/>
  <c r="AJ8" i="13" s="1"/>
  <c r="AK8" i="13" s="1"/>
  <c r="AI8" i="18"/>
  <c r="AJ8" i="18" s="1"/>
  <c r="AK8" i="18" s="1"/>
  <c r="BF8" i="3"/>
  <c r="AI8" i="14" s="1"/>
  <c r="AJ8" i="14" s="1"/>
  <c r="AK8" i="14" s="1"/>
  <c r="BF10" i="3"/>
  <c r="AI10" i="14" s="1"/>
  <c r="AJ10" i="14" s="1"/>
  <c r="AK10" i="14" s="1"/>
  <c r="AI10" i="18"/>
  <c r="AJ10" i="18" s="1"/>
  <c r="AK10" i="18" s="1"/>
  <c r="O8" i="14"/>
  <c r="K8" i="14"/>
  <c r="O7" i="14"/>
  <c r="K7" i="14"/>
  <c r="AI12" i="14"/>
  <c r="AJ12" i="14" s="1"/>
  <c r="P5" i="13"/>
  <c r="M6" i="13" s="1"/>
  <c r="T5" i="13"/>
  <c r="K16" i="14"/>
  <c r="O16" i="14"/>
  <c r="O13" i="14"/>
  <c r="K13" i="14"/>
  <c r="K18" i="14"/>
  <c r="O18" i="14"/>
  <c r="BF23" i="3"/>
  <c r="AI5" i="12"/>
  <c r="AJ5" i="12" s="1"/>
  <c r="BE5" i="3"/>
  <c r="AK5" i="15"/>
  <c r="AW5" i="15" s="1"/>
  <c r="AI9" i="13"/>
  <c r="AJ9" i="13" s="1"/>
  <c r="AK9" i="13" s="1"/>
  <c r="AI9" i="18"/>
  <c r="AJ9" i="18" s="1"/>
  <c r="AK9" i="18" s="1"/>
  <c r="BF9" i="3"/>
  <c r="AI9" i="14" s="1"/>
  <c r="AJ9" i="14" s="1"/>
  <c r="AK9" i="14" s="1"/>
  <c r="K19" i="14"/>
  <c r="O19" i="14"/>
  <c r="P5" i="15"/>
  <c r="M6" i="15" s="1"/>
  <c r="N6" i="15" s="1"/>
  <c r="T5" i="15"/>
  <c r="AI7" i="13"/>
  <c r="AJ7" i="13" s="1"/>
  <c r="AK7" i="13" s="1"/>
  <c r="AI7" i="18"/>
  <c r="AJ7" i="18" s="1"/>
  <c r="AK7" i="18" s="1"/>
  <c r="BF7" i="3"/>
  <c r="AI7" i="14" s="1"/>
  <c r="AJ7" i="14" s="1"/>
  <c r="AK7" i="14" s="1"/>
  <c r="AI7" i="12"/>
  <c r="AJ7" i="15"/>
  <c r="AK7" i="15" s="1"/>
  <c r="BE7" i="3"/>
  <c r="AI6" i="13"/>
  <c r="AI6" i="18"/>
  <c r="AJ6" i="18" s="1"/>
  <c r="AK6" i="18" s="1"/>
  <c r="BF6" i="3"/>
  <c r="AI6" i="14" s="1"/>
  <c r="AJ6" i="14" s="1"/>
  <c r="AK6" i="14" s="1"/>
  <c r="AJ24" i="3"/>
  <c r="BF24" i="3" s="1"/>
  <c r="AI10" i="13"/>
  <c r="AJ10" i="13" s="1"/>
  <c r="AK10" i="13" s="1"/>
  <c r="U56" i="12"/>
  <c r="U56" i="13"/>
  <c r="AA56" i="12"/>
  <c r="I56" i="12"/>
  <c r="AA56" i="13"/>
  <c r="I56" i="13"/>
  <c r="AB56" i="12"/>
  <c r="U92" i="14"/>
  <c r="V56" i="13"/>
  <c r="O56" i="13"/>
  <c r="V92" i="14"/>
  <c r="AB56" i="13"/>
  <c r="AB92" i="14"/>
  <c r="V56" i="12"/>
  <c r="O56" i="12"/>
  <c r="AA92" i="14"/>
  <c r="AB24" i="17"/>
  <c r="O24" i="17"/>
  <c r="V24" i="17"/>
  <c r="U24" i="17"/>
  <c r="I92" i="14"/>
  <c r="AR92" i="14" s="1"/>
  <c r="AA24" i="19"/>
  <c r="I24" i="19"/>
  <c r="V24" i="19"/>
  <c r="I24" i="17"/>
  <c r="U24" i="19"/>
  <c r="O92" i="14"/>
  <c r="O24" i="19"/>
  <c r="AA24" i="17"/>
  <c r="AB24" i="19"/>
  <c r="L54" i="13"/>
  <c r="N54" i="13" s="1"/>
  <c r="AZ24" i="19"/>
  <c r="E25" i="19"/>
  <c r="C24" i="19"/>
  <c r="H11" i="12"/>
  <c r="H12" i="18"/>
  <c r="G11" i="13"/>
  <c r="AR11" i="13" s="1"/>
  <c r="R54" i="13"/>
  <c r="T54" i="13" s="1"/>
  <c r="F54" i="13"/>
  <c r="H54" i="13" s="1"/>
  <c r="M54" i="13"/>
  <c r="AU23" i="14"/>
  <c r="AS23" i="14"/>
  <c r="O23" i="14"/>
  <c r="K23" i="14"/>
  <c r="AQ23" i="14"/>
  <c r="BF24" i="14"/>
  <c r="BE24" i="14"/>
  <c r="AW24" i="14"/>
  <c r="BA24" i="14" s="1"/>
  <c r="E25" i="14"/>
  <c r="AY24" i="14"/>
  <c r="BD24" i="14" s="1"/>
  <c r="AX24" i="14"/>
  <c r="BB24" i="14" s="1"/>
  <c r="C24" i="14"/>
  <c r="P54" i="13"/>
  <c r="AR23" i="16"/>
  <c r="AZ24" i="16"/>
  <c r="E25" i="16"/>
  <c r="C24" i="16"/>
  <c r="BD24" i="16"/>
  <c r="AM53" i="13"/>
  <c r="AN53" i="13" s="1"/>
  <c r="AU22" i="18"/>
  <c r="O22" i="18"/>
  <c r="AQ22" i="18"/>
  <c r="AS22" i="18"/>
  <c r="K22" i="18"/>
  <c r="BG55" i="13"/>
  <c r="C55" i="13"/>
  <c r="W55" i="13"/>
  <c r="AZ55" i="13"/>
  <c r="BE55" i="13" s="1"/>
  <c r="AX55" i="13"/>
  <c r="BB55" i="13" s="1"/>
  <c r="Q55" i="13"/>
  <c r="K55" i="13"/>
  <c r="AO55" i="13"/>
  <c r="AY55" i="13"/>
  <c r="BC55" i="13" s="1"/>
  <c r="E56" i="13"/>
  <c r="BF55" i="13"/>
  <c r="AC55" i="13"/>
  <c r="G54" i="13"/>
  <c r="AQ54" i="13"/>
  <c r="AR54" i="13"/>
  <c r="AS54" i="13"/>
  <c r="AL54" i="13"/>
  <c r="S54" i="13"/>
  <c r="AU54" i="13"/>
  <c r="X54" i="13"/>
  <c r="Z54" i="13" s="1"/>
  <c r="AI54" i="13"/>
  <c r="AP54" i="13"/>
  <c r="AT54" i="13"/>
  <c r="J54" i="13"/>
  <c r="AJ53" i="13"/>
  <c r="AK53" i="13" s="1"/>
  <c r="AL13" i="14"/>
  <c r="AM13" i="14" s="1"/>
  <c r="F14" i="14"/>
  <c r="C23" i="17"/>
  <c r="E24" i="17"/>
  <c r="AZ23" i="17"/>
  <c r="E24" i="18"/>
  <c r="C23" i="18"/>
  <c r="AZ23" i="18"/>
  <c r="R24" i="13"/>
  <c r="AW22" i="13"/>
  <c r="BH22" i="13" s="1"/>
  <c r="AG56" i="13"/>
  <c r="N24" i="13"/>
  <c r="T24" i="13"/>
  <c r="AE56" i="13"/>
  <c r="G24" i="13"/>
  <c r="BH21" i="13"/>
  <c r="O24" i="13"/>
  <c r="K24" i="13"/>
  <c r="S24" i="13"/>
  <c r="I24" i="13"/>
  <c r="F24" i="13"/>
  <c r="M24" i="13"/>
  <c r="AZ25" i="15"/>
  <c r="C25" i="15"/>
  <c r="E26" i="15"/>
  <c r="J24" i="13"/>
  <c r="AD56" i="13"/>
  <c r="AN23" i="13"/>
  <c r="AW23" i="13" s="1"/>
  <c r="AS24" i="13"/>
  <c r="AL24" i="13"/>
  <c r="AM24" i="13" s="1"/>
  <c r="AU24" i="13"/>
  <c r="AT24" i="13"/>
  <c r="AR24" i="13"/>
  <c r="AI24" i="13"/>
  <c r="AJ24" i="13" s="1"/>
  <c r="AQ24" i="13"/>
  <c r="Q24" i="13"/>
  <c r="AY25" i="13"/>
  <c r="BC25" i="13" s="1"/>
  <c r="E26" i="13"/>
  <c r="AX25" i="13"/>
  <c r="BB25" i="13" s="1"/>
  <c r="H25" i="13"/>
  <c r="L25" i="13"/>
  <c r="AZ25" i="13"/>
  <c r="BE25" i="13" s="1"/>
  <c r="C25" i="13"/>
  <c r="F25" i="13" s="1"/>
  <c r="BG25" i="13"/>
  <c r="BF25" i="13"/>
  <c r="P25" i="13"/>
  <c r="BF93" i="14"/>
  <c r="AW93" i="14"/>
  <c r="BA93" i="14" s="1"/>
  <c r="BE93" i="14"/>
  <c r="AY93" i="14"/>
  <c r="BD93" i="14" s="1"/>
  <c r="E94" i="14"/>
  <c r="AX93" i="14"/>
  <c r="BB93" i="14" s="1"/>
  <c r="C93" i="14"/>
  <c r="G28" i="3"/>
  <c r="AV27" i="3"/>
  <c r="AX27" i="3" s="1"/>
  <c r="V27" i="3"/>
  <c r="X27" i="3" s="1"/>
  <c r="Y26" i="3"/>
  <c r="AC25" i="3"/>
  <c r="AH26" i="3"/>
  <c r="BD25" i="3"/>
  <c r="H26" i="3"/>
  <c r="AF25" i="3"/>
  <c r="AD25" i="3" s="1"/>
  <c r="BC25" i="3"/>
  <c r="AE26" i="3"/>
  <c r="AW29" i="3"/>
  <c r="AQ29" i="3"/>
  <c r="AL26" i="3"/>
  <c r="P29" i="3"/>
  <c r="P30" i="3" s="1"/>
  <c r="AM26" i="3"/>
  <c r="AG26" i="3"/>
  <c r="A27" i="3"/>
  <c r="BI27" i="3" s="1"/>
  <c r="BJ27" i="3" s="1"/>
  <c r="AI24" i="3"/>
  <c r="BE24" i="3" s="1"/>
  <c r="AN29" i="3"/>
  <c r="AN30" i="3" s="1"/>
  <c r="I18" i="22" l="1"/>
  <c r="J18" i="22" s="1"/>
  <c r="K18" i="22"/>
  <c r="J19" i="21"/>
  <c r="K19" i="21"/>
  <c r="K19" i="22"/>
  <c r="AJ6" i="29"/>
  <c r="AK6" i="29" s="1"/>
  <c r="AW6" i="29" s="1"/>
  <c r="AJ6" i="26"/>
  <c r="AK6" i="26" s="1"/>
  <c r="AW6" i="26" s="1"/>
  <c r="AJ6" i="28"/>
  <c r="AK6" i="28" s="1"/>
  <c r="AW6" i="28" s="1"/>
  <c r="AW6" i="25"/>
  <c r="AJ6" i="24"/>
  <c r="AK6" i="24" s="1"/>
  <c r="AW6" i="24" s="1"/>
  <c r="AJ6" i="13"/>
  <c r="AK6" i="13" s="1"/>
  <c r="AJ5" i="13"/>
  <c r="AK5" i="13" s="1"/>
  <c r="AW5" i="13" s="1"/>
  <c r="BA5" i="13" s="1"/>
  <c r="BD5" i="13" s="1"/>
  <c r="AJ38" i="22"/>
  <c r="AK38" i="22" s="1"/>
  <c r="AW38" i="22" s="1"/>
  <c r="BA38" i="22" s="1"/>
  <c r="BD38" i="22" s="1"/>
  <c r="AJ6" i="21"/>
  <c r="AK6" i="21" s="1"/>
  <c r="AW6" i="21" s="1"/>
  <c r="AJ38" i="21"/>
  <c r="AK38" i="21" s="1"/>
  <c r="AW38" i="21" s="1"/>
  <c r="BA38" i="21" s="1"/>
  <c r="BD38" i="21" s="1"/>
  <c r="R6" i="24"/>
  <c r="Q7" i="24" s="1"/>
  <c r="AT7" i="24" s="1"/>
  <c r="AW7" i="24" s="1"/>
  <c r="S6" i="18"/>
  <c r="Q6" i="12"/>
  <c r="AT6" i="12" s="1"/>
  <c r="T6" i="21"/>
  <c r="S7" i="21" s="1"/>
  <c r="T53" i="22"/>
  <c r="L20" i="21"/>
  <c r="J21" i="21" s="1"/>
  <c r="Q6" i="15"/>
  <c r="AT6" i="15" s="1"/>
  <c r="AW6" i="15" s="1"/>
  <c r="Q6" i="18"/>
  <c r="S53" i="21"/>
  <c r="AE52" i="22"/>
  <c r="AT52" i="22"/>
  <c r="Q6" i="23"/>
  <c r="AT6" i="23" s="1"/>
  <c r="R6" i="22"/>
  <c r="Q7" i="22" s="1"/>
  <c r="AT7" i="22" s="1"/>
  <c r="AW7" i="22" s="1"/>
  <c r="BA7" i="22" s="1"/>
  <c r="BD7" i="22" s="1"/>
  <c r="S6" i="13"/>
  <c r="S6" i="12"/>
  <c r="AW6" i="22"/>
  <c r="BA6" i="22" s="1"/>
  <c r="BD6" i="22" s="1"/>
  <c r="I20" i="22"/>
  <c r="S6" i="15"/>
  <c r="Q6" i="13"/>
  <c r="AT6" i="13" s="1"/>
  <c r="S6" i="23"/>
  <c r="Z89" i="23"/>
  <c r="Y89" i="23"/>
  <c r="AC89" i="23" s="1"/>
  <c r="X90" i="23" s="1"/>
  <c r="AA90" i="23" s="1"/>
  <c r="T89" i="23"/>
  <c r="S89" i="23"/>
  <c r="W89" i="23" s="1"/>
  <c r="R90" i="23" s="1"/>
  <c r="U90" i="23" s="1"/>
  <c r="F12" i="29"/>
  <c r="I12" i="29" s="1"/>
  <c r="AR12" i="29" s="1"/>
  <c r="AS11" i="29"/>
  <c r="AU11" i="29"/>
  <c r="I53" i="21"/>
  <c r="P54" i="22"/>
  <c r="O53" i="22"/>
  <c r="L45" i="21"/>
  <c r="AU44" i="21"/>
  <c r="AS44" i="21"/>
  <c r="AQ44" i="21"/>
  <c r="I53" i="22"/>
  <c r="Z53" i="21"/>
  <c r="AB53" i="21"/>
  <c r="Z53" i="22"/>
  <c r="AA53" i="22"/>
  <c r="AR80" i="23"/>
  <c r="Q80" i="23"/>
  <c r="L81" i="23" s="1"/>
  <c r="H54" i="22"/>
  <c r="I54" i="22"/>
  <c r="H54" i="21"/>
  <c r="I54" i="21"/>
  <c r="P54" i="21"/>
  <c r="O53" i="21"/>
  <c r="AM27" i="3"/>
  <c r="BB27" i="3"/>
  <c r="K7" i="24"/>
  <c r="J7" i="24"/>
  <c r="P6" i="21"/>
  <c r="M7" i="21" s="1"/>
  <c r="R6" i="21"/>
  <c r="Q7" i="21" s="1"/>
  <c r="AT7" i="21" s="1"/>
  <c r="AW7" i="21" s="1"/>
  <c r="BH7" i="21" s="1"/>
  <c r="P6" i="24"/>
  <c r="M7" i="24" s="1"/>
  <c r="T6" i="24"/>
  <c r="S7" i="24" s="1"/>
  <c r="F55" i="12"/>
  <c r="H55" i="12" s="1"/>
  <c r="K56" i="12"/>
  <c r="BB23" i="12"/>
  <c r="F22" i="12"/>
  <c r="AI7" i="23"/>
  <c r="AJ7" i="23" s="1"/>
  <c r="AR29" i="3"/>
  <c r="AI76" i="23"/>
  <c r="AJ76" i="23" s="1"/>
  <c r="AK76" i="23" s="1"/>
  <c r="AV76" i="23" s="1"/>
  <c r="AK43" i="21"/>
  <c r="AN27" i="20"/>
  <c r="BH40" i="22"/>
  <c r="E24" i="12"/>
  <c r="AI74" i="23"/>
  <c r="AJ74" i="23" s="1"/>
  <c r="AK74" i="23" s="1"/>
  <c r="AV74" i="23" s="1"/>
  <c r="H23" i="12"/>
  <c r="BF23" i="12"/>
  <c r="AZ23" i="12"/>
  <c r="BE23" i="12" s="1"/>
  <c r="BG23" i="12"/>
  <c r="C23" i="12"/>
  <c r="AT23" i="12" s="1"/>
  <c r="P23" i="12"/>
  <c r="L23" i="12"/>
  <c r="AY23" i="12"/>
  <c r="BC23" i="12" s="1"/>
  <c r="G22" i="12"/>
  <c r="M22" i="12"/>
  <c r="O22" i="12"/>
  <c r="T22" i="12"/>
  <c r="Q22" i="12"/>
  <c r="AG54" i="12"/>
  <c r="K22" i="12"/>
  <c r="AL22" i="12"/>
  <c r="AM22" i="12" s="1"/>
  <c r="AN22" i="12" s="1"/>
  <c r="AF54" i="12"/>
  <c r="AR22" i="12"/>
  <c r="J22" i="12"/>
  <c r="AI22" i="12"/>
  <c r="AJ22" i="12" s="1"/>
  <c r="AK22" i="12" s="1"/>
  <c r="AE54" i="12"/>
  <c r="AD54" i="12"/>
  <c r="AU22" i="12"/>
  <c r="AQ22" i="12"/>
  <c r="AS22" i="12"/>
  <c r="S22" i="12"/>
  <c r="R22" i="12"/>
  <c r="I22" i="12"/>
  <c r="N22" i="12"/>
  <c r="AK8" i="23"/>
  <c r="AE6" i="25"/>
  <c r="AD7" i="25" s="1"/>
  <c r="AT7" i="25" s="1"/>
  <c r="AW7" i="25" s="1"/>
  <c r="AC6" i="25"/>
  <c r="X7" i="25" s="1"/>
  <c r="P27" i="20"/>
  <c r="AK9" i="23"/>
  <c r="AG6" i="25"/>
  <c r="AF7" i="25" s="1"/>
  <c r="BH39" i="22"/>
  <c r="BA39" i="22"/>
  <c r="BD39" i="22" s="1"/>
  <c r="BH42" i="21"/>
  <c r="BA42" i="21"/>
  <c r="BD42" i="21" s="1"/>
  <c r="BA39" i="21"/>
  <c r="BD39" i="21" s="1"/>
  <c r="BH39" i="21"/>
  <c r="BH42" i="22"/>
  <c r="BA42" i="22"/>
  <c r="BD42" i="22" s="1"/>
  <c r="J6" i="23"/>
  <c r="L6" i="23" s="1"/>
  <c r="I7" i="23" s="1"/>
  <c r="J7" i="23" s="1"/>
  <c r="L7" i="23" s="1"/>
  <c r="I8" i="23" s="1"/>
  <c r="P6" i="22"/>
  <c r="M7" i="22" s="1"/>
  <c r="W6" i="25"/>
  <c r="R7" i="25" s="1"/>
  <c r="U7" i="25" s="1"/>
  <c r="T6" i="26"/>
  <c r="S7" i="26" s="1"/>
  <c r="R6" i="26"/>
  <c r="Q7" i="26" s="1"/>
  <c r="N6" i="23"/>
  <c r="P6" i="26"/>
  <c r="M7" i="26" s="1"/>
  <c r="AJ5" i="23"/>
  <c r="AK5" i="23" s="1"/>
  <c r="AV5" i="23" s="1"/>
  <c r="AZ5" i="23" s="1"/>
  <c r="BC5" i="23" s="1"/>
  <c r="BH40" i="21"/>
  <c r="BA40" i="21"/>
  <c r="BD40" i="21" s="1"/>
  <c r="J8" i="26"/>
  <c r="L8" i="26" s="1"/>
  <c r="I9" i="26" s="1"/>
  <c r="BA41" i="21"/>
  <c r="BD41" i="21" s="1"/>
  <c r="BH41" i="21"/>
  <c r="AQ27" i="20"/>
  <c r="AR27" i="20" s="1"/>
  <c r="O28" i="20"/>
  <c r="AK25" i="3"/>
  <c r="BG25" i="3" s="1"/>
  <c r="T6" i="22"/>
  <c r="S7" i="22" s="1"/>
  <c r="J55" i="12"/>
  <c r="G55" i="12"/>
  <c r="N54" i="12"/>
  <c r="S55" i="12"/>
  <c r="X55" i="12"/>
  <c r="Z55" i="12" s="1"/>
  <c r="R55" i="12"/>
  <c r="T55" i="12" s="1"/>
  <c r="L55" i="12"/>
  <c r="P56" i="12" s="1"/>
  <c r="Y55" i="12"/>
  <c r="M55" i="12"/>
  <c r="AW53" i="12"/>
  <c r="AJ54" i="12"/>
  <c r="AK54" i="12" s="1"/>
  <c r="BG56" i="12"/>
  <c r="BF56" i="12"/>
  <c r="C56" i="12"/>
  <c r="AT56" i="12" s="1"/>
  <c r="E57" i="12"/>
  <c r="AC56" i="12"/>
  <c r="AZ56" i="12"/>
  <c r="BE56" i="12" s="1"/>
  <c r="W56" i="12"/>
  <c r="AO56" i="12"/>
  <c r="Q56" i="12"/>
  <c r="AY56" i="12"/>
  <c r="BC56" i="12" s="1"/>
  <c r="AX56" i="12"/>
  <c r="BB56" i="12" s="1"/>
  <c r="AI55" i="12"/>
  <c r="AL55" i="12"/>
  <c r="AQ55" i="12"/>
  <c r="AP55" i="12"/>
  <c r="AU55" i="12"/>
  <c r="AS55" i="12"/>
  <c r="AM54" i="12"/>
  <c r="AN54" i="12" s="1"/>
  <c r="AG54" i="21"/>
  <c r="AI12" i="21"/>
  <c r="AJ12" i="21" s="1"/>
  <c r="AL12" i="21"/>
  <c r="AM12" i="21" s="1"/>
  <c r="X54" i="21"/>
  <c r="AN21" i="21"/>
  <c r="R54" i="21"/>
  <c r="H13" i="21"/>
  <c r="S54" i="21"/>
  <c r="L54" i="21"/>
  <c r="Y54" i="21"/>
  <c r="G54" i="21"/>
  <c r="O22" i="21"/>
  <c r="N53" i="21"/>
  <c r="AK21" i="21"/>
  <c r="AF54" i="21"/>
  <c r="J54" i="21"/>
  <c r="M54" i="21"/>
  <c r="M22" i="21"/>
  <c r="Q22" i="21"/>
  <c r="G46" i="21"/>
  <c r="K46" i="21" s="1"/>
  <c r="H46" i="21"/>
  <c r="J47" i="21"/>
  <c r="AI22" i="21"/>
  <c r="AJ22" i="21" s="1"/>
  <c r="AL22" i="21"/>
  <c r="AM22" i="21" s="1"/>
  <c r="AT22" i="21"/>
  <c r="AU22" i="21"/>
  <c r="AQ22" i="21"/>
  <c r="AR22" i="21"/>
  <c r="AS22" i="21"/>
  <c r="F22" i="21"/>
  <c r="G22" i="21"/>
  <c r="BF23" i="21"/>
  <c r="BG23" i="21"/>
  <c r="C23" i="21"/>
  <c r="AD55" i="21" s="1"/>
  <c r="H23" i="21"/>
  <c r="AX23" i="21"/>
  <c r="BB23" i="21" s="1"/>
  <c r="L23" i="21"/>
  <c r="AY23" i="21"/>
  <c r="BC23" i="21" s="1"/>
  <c r="P23" i="21"/>
  <c r="AZ23" i="21"/>
  <c r="BE23" i="21" s="1"/>
  <c r="E24" i="21"/>
  <c r="K22" i="21"/>
  <c r="AC55" i="21"/>
  <c r="BF55" i="21"/>
  <c r="AO55" i="21"/>
  <c r="BG55" i="21"/>
  <c r="J55" i="21"/>
  <c r="K55" i="21"/>
  <c r="AX55" i="21"/>
  <c r="BB55" i="21" s="1"/>
  <c r="AY55" i="21"/>
  <c r="BC55" i="21" s="1"/>
  <c r="C55" i="21"/>
  <c r="G55" i="21" s="1"/>
  <c r="Q55" i="21"/>
  <c r="W55" i="21"/>
  <c r="E56" i="21"/>
  <c r="AZ55" i="21"/>
  <c r="BE55" i="21" s="1"/>
  <c r="J22" i="21"/>
  <c r="N22" i="21"/>
  <c r="AQ54" i="21"/>
  <c r="AS54" i="21"/>
  <c r="AT54" i="21"/>
  <c r="AU54" i="21"/>
  <c r="AD54" i="21"/>
  <c r="C23" i="29"/>
  <c r="AZ23" i="29"/>
  <c r="E24" i="29"/>
  <c r="W13" i="29"/>
  <c r="R14" i="29" s="1"/>
  <c r="AC16" i="29"/>
  <c r="X17" i="29" s="1"/>
  <c r="AG16" i="29"/>
  <c r="AF17" i="29" s="1"/>
  <c r="K23" i="26"/>
  <c r="O23" i="26"/>
  <c r="AQ23" i="26"/>
  <c r="AS23" i="26"/>
  <c r="AU23" i="26"/>
  <c r="G12" i="26"/>
  <c r="AR12" i="26" s="1"/>
  <c r="AZ24" i="26"/>
  <c r="C24" i="26"/>
  <c r="E25" i="26"/>
  <c r="K11" i="28"/>
  <c r="AQ11" i="28" s="1"/>
  <c r="AJ11" i="28"/>
  <c r="AK11" i="28" s="1"/>
  <c r="Z16" i="28"/>
  <c r="Y16" i="28"/>
  <c r="AG16" i="28" s="1"/>
  <c r="AF17" i="28" s="1"/>
  <c r="AO11" i="28"/>
  <c r="AL11" i="28"/>
  <c r="AM11" i="28" s="1"/>
  <c r="T19" i="28"/>
  <c r="S19" i="28"/>
  <c r="AE19" i="28" s="1"/>
  <c r="AD20" i="28" s="1"/>
  <c r="AZ24" i="28"/>
  <c r="C24" i="28"/>
  <c r="E25" i="28"/>
  <c r="AB23" i="25"/>
  <c r="AR23" i="25"/>
  <c r="AA23" i="25"/>
  <c r="U23" i="25"/>
  <c r="V23" i="25"/>
  <c r="BA24" i="25"/>
  <c r="BB24" i="25"/>
  <c r="BC24" i="25"/>
  <c r="G11" i="25"/>
  <c r="AL11" i="25" s="1"/>
  <c r="AM11" i="25" s="1"/>
  <c r="AN11" i="25" s="1"/>
  <c r="H11" i="25"/>
  <c r="AP11" i="25" s="1"/>
  <c r="J12" i="25"/>
  <c r="C24" i="25"/>
  <c r="AZ24" i="25"/>
  <c r="BD24" i="25"/>
  <c r="E25" i="25"/>
  <c r="AS23" i="24"/>
  <c r="AU23" i="24"/>
  <c r="AQ23" i="24"/>
  <c r="AZ24" i="24"/>
  <c r="C24" i="24"/>
  <c r="E25" i="24"/>
  <c r="F11" i="24"/>
  <c r="AI10" i="24"/>
  <c r="AJ10" i="24" s="1"/>
  <c r="AL10" i="24"/>
  <c r="AM10" i="24" s="1"/>
  <c r="J81" i="23"/>
  <c r="H80" i="23"/>
  <c r="G80" i="23"/>
  <c r="AI80" i="23" s="1"/>
  <c r="AJ80" i="23" s="1"/>
  <c r="K22" i="23"/>
  <c r="AS25" i="15"/>
  <c r="AU25" i="15"/>
  <c r="K25" i="15"/>
  <c r="AQ25" i="15"/>
  <c r="O25" i="15"/>
  <c r="AL12" i="15"/>
  <c r="AM12" i="15" s="1"/>
  <c r="AN12" i="15" s="1"/>
  <c r="F13" i="15"/>
  <c r="AI12" i="15"/>
  <c r="AJ12" i="15" s="1"/>
  <c r="AK12" i="15" s="1"/>
  <c r="L6" i="15"/>
  <c r="I7" i="15" s="1"/>
  <c r="J7" i="15" s="1"/>
  <c r="AI11" i="22"/>
  <c r="AJ11" i="22" s="1"/>
  <c r="AL11" i="22"/>
  <c r="AM11" i="22" s="1"/>
  <c r="F12" i="23"/>
  <c r="AI11" i="23"/>
  <c r="AL11" i="23"/>
  <c r="AW93" i="23"/>
  <c r="BA93" i="23" s="1"/>
  <c r="AX93" i="23"/>
  <c r="BB93" i="23" s="1"/>
  <c r="AY93" i="23"/>
  <c r="BD93" i="23" s="1"/>
  <c r="AW23" i="23"/>
  <c r="BA23" i="23" s="1"/>
  <c r="AX23" i="23"/>
  <c r="BB23" i="23" s="1"/>
  <c r="AY23" i="23"/>
  <c r="BD23" i="23" s="1"/>
  <c r="E24" i="23"/>
  <c r="BF23" i="23"/>
  <c r="C23" i="23"/>
  <c r="K23" i="23" s="1"/>
  <c r="BE23" i="23"/>
  <c r="AQ22" i="23"/>
  <c r="AS22" i="23"/>
  <c r="AU22" i="23"/>
  <c r="N53" i="22"/>
  <c r="AE54" i="21"/>
  <c r="T22" i="21"/>
  <c r="R22" i="21"/>
  <c r="Q22" i="22"/>
  <c r="J22" i="22"/>
  <c r="S54" i="22"/>
  <c r="R54" i="22"/>
  <c r="AJ78" i="23"/>
  <c r="AK78" i="23" s="1"/>
  <c r="AV78" i="23" s="1"/>
  <c r="AJ77" i="23"/>
  <c r="AK77" i="23" s="1"/>
  <c r="AV77" i="23" s="1"/>
  <c r="AJ79" i="23"/>
  <c r="AK79" i="23" s="1"/>
  <c r="AV79" i="23" s="1"/>
  <c r="C93" i="23"/>
  <c r="BE93" i="23"/>
  <c r="BF93" i="23"/>
  <c r="E94" i="23"/>
  <c r="Y54" i="22"/>
  <c r="L47" i="22"/>
  <c r="O47" i="22" s="1"/>
  <c r="AU46" i="22"/>
  <c r="AS46" i="22"/>
  <c r="AQ46" i="22"/>
  <c r="H48" i="22"/>
  <c r="J49" i="22"/>
  <c r="G48" i="22"/>
  <c r="K48" i="22" s="1"/>
  <c r="F49" i="22" s="1"/>
  <c r="I49" i="22" s="1"/>
  <c r="AR49" i="22" s="1"/>
  <c r="AQ54" i="22"/>
  <c r="AR54" i="22"/>
  <c r="AU54" i="22"/>
  <c r="AS54" i="22"/>
  <c r="AT54" i="22"/>
  <c r="AS22" i="22"/>
  <c r="AI22" i="22"/>
  <c r="AJ22" i="22" s="1"/>
  <c r="AL22" i="22"/>
  <c r="AM22" i="22" s="1"/>
  <c r="AQ22" i="22"/>
  <c r="AR22" i="22"/>
  <c r="AT22" i="22"/>
  <c r="AU22" i="22"/>
  <c r="G54" i="22"/>
  <c r="S22" i="22"/>
  <c r="M54" i="22"/>
  <c r="AO55" i="22"/>
  <c r="BF55" i="22"/>
  <c r="Q55" i="22"/>
  <c r="BG55" i="22"/>
  <c r="K55" i="22"/>
  <c r="AX55" i="22"/>
  <c r="BB55" i="22" s="1"/>
  <c r="C55" i="22"/>
  <c r="S55" i="22" s="1"/>
  <c r="AY55" i="22"/>
  <c r="BC55" i="22" s="1"/>
  <c r="W55" i="22"/>
  <c r="AC55" i="22"/>
  <c r="J55" i="22"/>
  <c r="AZ55" i="22"/>
  <c r="BE55" i="22" s="1"/>
  <c r="E56" i="22"/>
  <c r="F22" i="22"/>
  <c r="G22" i="22"/>
  <c r="J54" i="22"/>
  <c r="M22" i="22"/>
  <c r="K22" i="22"/>
  <c r="I22" i="22"/>
  <c r="H12" i="22"/>
  <c r="AX23" i="22"/>
  <c r="BB23" i="22" s="1"/>
  <c r="L23" i="22"/>
  <c r="AY23" i="22"/>
  <c r="BC23" i="22" s="1"/>
  <c r="P23" i="22"/>
  <c r="H23" i="22"/>
  <c r="BF23" i="22"/>
  <c r="BG23" i="22"/>
  <c r="C23" i="22"/>
  <c r="J23" i="22" s="1"/>
  <c r="AZ23" i="22"/>
  <c r="BE23" i="22" s="1"/>
  <c r="E24" i="22"/>
  <c r="N22" i="22"/>
  <c r="O22" i="22"/>
  <c r="AD54" i="22"/>
  <c r="L54" i="22"/>
  <c r="X54" i="22"/>
  <c r="AG49" i="22"/>
  <c r="AF50" i="22" s="1"/>
  <c r="AL54" i="22"/>
  <c r="AM54" i="22" s="1"/>
  <c r="AI54" i="22"/>
  <c r="AJ54" i="22" s="1"/>
  <c r="AP54" i="22"/>
  <c r="AL44" i="22"/>
  <c r="AM44" i="22" s="1"/>
  <c r="AI54" i="21"/>
  <c r="AJ54" i="21" s="1"/>
  <c r="AL54" i="21"/>
  <c r="AM54" i="21" s="1"/>
  <c r="AP54" i="21"/>
  <c r="AG46" i="21"/>
  <c r="AF47" i="21" s="1"/>
  <c r="AK10" i="23"/>
  <c r="AK75" i="23"/>
  <c r="AV75" i="23" s="1"/>
  <c r="AK6" i="23"/>
  <c r="AW43" i="22"/>
  <c r="O22" i="25"/>
  <c r="I22" i="25"/>
  <c r="AE85" i="23"/>
  <c r="AD86" i="23" s="1"/>
  <c r="AT86" i="23" s="1"/>
  <c r="AN53" i="22"/>
  <c r="AK53" i="22"/>
  <c r="AE54" i="22"/>
  <c r="AG54" i="22"/>
  <c r="R22" i="22"/>
  <c r="T22" i="22"/>
  <c r="AK21" i="22"/>
  <c r="AN21" i="22"/>
  <c r="AK53" i="21"/>
  <c r="AN43" i="21"/>
  <c r="AN53" i="21"/>
  <c r="AJ25" i="3"/>
  <c r="BF25" i="3" s="1"/>
  <c r="AJ8" i="12"/>
  <c r="AJ7" i="12"/>
  <c r="AJ10" i="12"/>
  <c r="AJ9" i="12"/>
  <c r="L5" i="14"/>
  <c r="I6" i="14" s="1"/>
  <c r="J6" i="14" s="1"/>
  <c r="L6" i="14" s="1"/>
  <c r="I7" i="14" s="1"/>
  <c r="J8" i="13"/>
  <c r="L8" i="13" s="1"/>
  <c r="I9" i="13" s="1"/>
  <c r="J9" i="13" s="1"/>
  <c r="L9" i="13" s="1"/>
  <c r="I10" i="13" s="1"/>
  <c r="J7" i="18"/>
  <c r="L7" i="18" s="1"/>
  <c r="I8" i="18" s="1"/>
  <c r="N6" i="12"/>
  <c r="P6" i="12" s="1"/>
  <c r="M7" i="12" s="1"/>
  <c r="C9" i="2"/>
  <c r="C63" i="1" s="1"/>
  <c r="N6" i="13"/>
  <c r="P6" i="13" s="1"/>
  <c r="M7" i="13" s="1"/>
  <c r="P5" i="14"/>
  <c r="M6" i="14" s="1"/>
  <c r="T5" i="14"/>
  <c r="N6" i="18"/>
  <c r="P6" i="18" s="1"/>
  <c r="M7" i="18" s="1"/>
  <c r="R5" i="14"/>
  <c r="K6" i="12"/>
  <c r="J6" i="12"/>
  <c r="AJ11" i="14"/>
  <c r="AK11" i="14" s="1"/>
  <c r="AT6" i="18"/>
  <c r="AW6" i="18" s="1"/>
  <c r="O24" i="14"/>
  <c r="P55" i="13"/>
  <c r="V57" i="12"/>
  <c r="V57" i="13"/>
  <c r="AB57" i="12"/>
  <c r="O57" i="12"/>
  <c r="AB57" i="13"/>
  <c r="O57" i="13"/>
  <c r="AA57" i="12"/>
  <c r="AA93" i="14"/>
  <c r="I93" i="14"/>
  <c r="AR93" i="14" s="1"/>
  <c r="I57" i="12"/>
  <c r="U57" i="13"/>
  <c r="V93" i="14"/>
  <c r="I57" i="13"/>
  <c r="U93" i="14"/>
  <c r="O93" i="14"/>
  <c r="AB93" i="14"/>
  <c r="V25" i="17"/>
  <c r="U25" i="17"/>
  <c r="U57" i="12"/>
  <c r="AA57" i="13"/>
  <c r="O25" i="17"/>
  <c r="AA25" i="17"/>
  <c r="AB25" i="19"/>
  <c r="O25" i="19"/>
  <c r="I25" i="17"/>
  <c r="AA25" i="19"/>
  <c r="I25" i="19"/>
  <c r="AB25" i="17"/>
  <c r="V25" i="19"/>
  <c r="U25" i="19"/>
  <c r="AR24" i="19"/>
  <c r="J55" i="13"/>
  <c r="AZ25" i="19"/>
  <c r="C25" i="19"/>
  <c r="E26" i="19"/>
  <c r="F13" i="18"/>
  <c r="AI12" i="18"/>
  <c r="AJ12" i="18" s="1"/>
  <c r="AK12" i="18" s="1"/>
  <c r="AL12" i="18"/>
  <c r="AM12" i="18" s="1"/>
  <c r="AN12" i="18" s="1"/>
  <c r="H11" i="13"/>
  <c r="F12" i="13" s="1"/>
  <c r="G12" i="13" s="1"/>
  <c r="AR12" i="13" s="1"/>
  <c r="AI11" i="12"/>
  <c r="AL11" i="12"/>
  <c r="F12" i="12"/>
  <c r="AR24" i="16"/>
  <c r="K24" i="14"/>
  <c r="AQ24" i="14"/>
  <c r="AU24" i="14"/>
  <c r="AS24" i="14"/>
  <c r="E26" i="16"/>
  <c r="AZ25" i="16"/>
  <c r="C25" i="16"/>
  <c r="BD25" i="16"/>
  <c r="AX25" i="14"/>
  <c r="BB25" i="14" s="1"/>
  <c r="AY25" i="14"/>
  <c r="BD25" i="14" s="1"/>
  <c r="C25" i="14"/>
  <c r="AW25" i="14"/>
  <c r="BA25" i="14" s="1"/>
  <c r="BF25" i="14"/>
  <c r="E26" i="14"/>
  <c r="BE25" i="14"/>
  <c r="AX56" i="13"/>
  <c r="BB56" i="13" s="1"/>
  <c r="AY56" i="13"/>
  <c r="BC56" i="13" s="1"/>
  <c r="W56" i="13"/>
  <c r="BG56" i="13"/>
  <c r="K56" i="13"/>
  <c r="AO56" i="13"/>
  <c r="AC56" i="13"/>
  <c r="Q56" i="13"/>
  <c r="C56" i="13"/>
  <c r="G56" i="13" s="1"/>
  <c r="BF56" i="13"/>
  <c r="AZ56" i="13"/>
  <c r="BE56" i="13" s="1"/>
  <c r="E57" i="13"/>
  <c r="AW53" i="13"/>
  <c r="AJ54" i="13"/>
  <c r="AK54" i="13" s="1"/>
  <c r="AZ24" i="18"/>
  <c r="C24" i="18"/>
  <c r="E25" i="18"/>
  <c r="E25" i="17"/>
  <c r="AZ24" i="17"/>
  <c r="C24" i="17"/>
  <c r="G14" i="14"/>
  <c r="AR14" i="14" s="1"/>
  <c r="Y55" i="13"/>
  <c r="AP55" i="13"/>
  <c r="AT55" i="13"/>
  <c r="F55" i="13"/>
  <c r="H55" i="13" s="1"/>
  <c r="S55" i="13"/>
  <c r="R55" i="13"/>
  <c r="T55" i="13" s="1"/>
  <c r="AL55" i="13"/>
  <c r="AR55" i="13"/>
  <c r="L55" i="13"/>
  <c r="N55" i="13" s="1"/>
  <c r="X55" i="13"/>
  <c r="Z55" i="13" s="1"/>
  <c r="AU55" i="13"/>
  <c r="AI55" i="13"/>
  <c r="G55" i="13"/>
  <c r="M55" i="13"/>
  <c r="AQ55" i="13"/>
  <c r="AS55" i="13"/>
  <c r="AM54" i="13"/>
  <c r="AN54" i="13" s="1"/>
  <c r="AW21" i="12"/>
  <c r="AS23" i="18"/>
  <c r="K23" i="18"/>
  <c r="O23" i="18"/>
  <c r="AU23" i="18"/>
  <c r="AQ23" i="18"/>
  <c r="BA22" i="13"/>
  <c r="BD22" i="13" s="1"/>
  <c r="E27" i="15"/>
  <c r="C26" i="15"/>
  <c r="AZ26" i="15"/>
  <c r="AE57" i="13"/>
  <c r="BA23" i="13"/>
  <c r="BD23" i="13" s="1"/>
  <c r="BH23" i="13"/>
  <c r="I25" i="13"/>
  <c r="AG57" i="13"/>
  <c r="O25" i="13"/>
  <c r="Q25" i="13"/>
  <c r="AN24" i="13"/>
  <c r="AK24" i="13"/>
  <c r="R25" i="13"/>
  <c r="K25" i="13"/>
  <c r="G25" i="13"/>
  <c r="M25" i="13"/>
  <c r="AT25" i="13"/>
  <c r="AR25" i="13"/>
  <c r="AI25" i="13"/>
  <c r="AJ25" i="13" s="1"/>
  <c r="AK25" i="13" s="1"/>
  <c r="AQ25" i="13"/>
  <c r="AL25" i="13"/>
  <c r="AM25" i="13" s="1"/>
  <c r="AS25" i="13"/>
  <c r="AU25" i="13"/>
  <c r="J25" i="13"/>
  <c r="AF57" i="13"/>
  <c r="N25" i="13"/>
  <c r="AD57" i="13"/>
  <c r="T25" i="13"/>
  <c r="AZ26" i="13"/>
  <c r="BE26" i="13" s="1"/>
  <c r="BG26" i="13"/>
  <c r="P26" i="13"/>
  <c r="BF26" i="13"/>
  <c r="AY26" i="13"/>
  <c r="BC26" i="13" s="1"/>
  <c r="C26" i="13"/>
  <c r="O26" i="13" s="1"/>
  <c r="E27" i="13"/>
  <c r="AX26" i="13"/>
  <c r="BB26" i="13" s="1"/>
  <c r="H26" i="13"/>
  <c r="L26" i="13"/>
  <c r="S25" i="13"/>
  <c r="E95" i="14"/>
  <c r="BE94" i="14"/>
  <c r="AW94" i="14"/>
  <c r="BA94" i="14" s="1"/>
  <c r="BF94" i="14"/>
  <c r="AX94" i="14"/>
  <c r="BB94" i="14" s="1"/>
  <c r="C94" i="14"/>
  <c r="AY94" i="14"/>
  <c r="BD94" i="14" s="1"/>
  <c r="A28" i="3"/>
  <c r="BI28" i="3" s="1"/>
  <c r="BJ28" i="3" s="1"/>
  <c r="AL27" i="3"/>
  <c r="AW30" i="3"/>
  <c r="AH27" i="3"/>
  <c r="BD26" i="3"/>
  <c r="AG27" i="3"/>
  <c r="AI25" i="3"/>
  <c r="BE25" i="3" s="1"/>
  <c r="V28" i="3"/>
  <c r="X28" i="3" s="1"/>
  <c r="G29" i="3"/>
  <c r="AV28" i="3"/>
  <c r="AX28" i="3" s="1"/>
  <c r="AQ30" i="3"/>
  <c r="BC26" i="3"/>
  <c r="AE27" i="3"/>
  <c r="H27" i="3"/>
  <c r="AF26" i="3"/>
  <c r="Y27" i="3"/>
  <c r="AC26" i="3"/>
  <c r="L18" i="22" l="1"/>
  <c r="I19" i="22" s="1"/>
  <c r="J19" i="22" s="1"/>
  <c r="L19" i="22" s="1"/>
  <c r="K20" i="22" s="1"/>
  <c r="L19" i="21"/>
  <c r="C30" i="2"/>
  <c r="AW6" i="13"/>
  <c r="BA6" i="13" s="1"/>
  <c r="BD6" i="13" s="1"/>
  <c r="T6" i="23"/>
  <c r="S7" i="23" s="1"/>
  <c r="K21" i="21"/>
  <c r="R6" i="15"/>
  <c r="Q7" i="15" s="1"/>
  <c r="AT7" i="15" s="1"/>
  <c r="AW7" i="15" s="1"/>
  <c r="AV6" i="23"/>
  <c r="S6" i="14"/>
  <c r="L20" i="22"/>
  <c r="Q6" i="14"/>
  <c r="AT6" i="14" s="1"/>
  <c r="AV6" i="14" s="1"/>
  <c r="C94" i="2"/>
  <c r="Z90" i="23"/>
  <c r="Y90" i="23"/>
  <c r="AC90" i="23" s="1"/>
  <c r="X91" i="23" s="1"/>
  <c r="AA91" i="23" s="1"/>
  <c r="T90" i="23"/>
  <c r="S90" i="23"/>
  <c r="W90" i="23" s="1"/>
  <c r="R91" i="23" s="1"/>
  <c r="U91" i="23" s="1"/>
  <c r="AW11" i="29"/>
  <c r="Q12" i="29"/>
  <c r="L13" i="29" s="1"/>
  <c r="N13" i="29" s="1"/>
  <c r="H12" i="29"/>
  <c r="AP12" i="29" s="1"/>
  <c r="J13" i="29"/>
  <c r="G12" i="29"/>
  <c r="AL12" i="29" s="1"/>
  <c r="AM12" i="29" s="1"/>
  <c r="O45" i="21"/>
  <c r="P46" i="21"/>
  <c r="N45" i="21"/>
  <c r="AO45" i="21" s="1"/>
  <c r="M45" i="21"/>
  <c r="Z54" i="21"/>
  <c r="AB54" i="21"/>
  <c r="P55" i="22"/>
  <c r="O54" i="22"/>
  <c r="T54" i="22"/>
  <c r="U54" i="22"/>
  <c r="T54" i="21"/>
  <c r="V54" i="21"/>
  <c r="T14" i="29"/>
  <c r="U14" i="29"/>
  <c r="Z17" i="29"/>
  <c r="AA17" i="29"/>
  <c r="Z54" i="22"/>
  <c r="AA54" i="22"/>
  <c r="N54" i="21"/>
  <c r="O54" i="21"/>
  <c r="O81" i="23"/>
  <c r="N81" i="23"/>
  <c r="P82" i="23"/>
  <c r="M81" i="23"/>
  <c r="F9" i="2"/>
  <c r="G9" i="2"/>
  <c r="D9" i="2"/>
  <c r="BB28" i="3"/>
  <c r="L7" i="24"/>
  <c r="I8" i="24" s="1"/>
  <c r="J8" i="24" s="1"/>
  <c r="O7" i="24"/>
  <c r="N7" i="24"/>
  <c r="T7" i="24" s="1"/>
  <c r="S8" i="24" s="1"/>
  <c r="O7" i="21"/>
  <c r="N7" i="21"/>
  <c r="T7" i="21" s="1"/>
  <c r="S8" i="21" s="1"/>
  <c r="AB7" i="25"/>
  <c r="AA7" i="25"/>
  <c r="F56" i="12"/>
  <c r="H56" i="12" s="1"/>
  <c r="K57" i="12"/>
  <c r="C24" i="12"/>
  <c r="AT24" i="12" s="1"/>
  <c r="J56" i="12"/>
  <c r="I23" i="12"/>
  <c r="AK7" i="23"/>
  <c r="AR30" i="3"/>
  <c r="P24" i="12"/>
  <c r="AZ24" i="12"/>
  <c r="BE24" i="12" s="1"/>
  <c r="AY24" i="12"/>
  <c r="BC24" i="12" s="1"/>
  <c r="AX24" i="12"/>
  <c r="BB24" i="12" s="1"/>
  <c r="L24" i="12"/>
  <c r="BF24" i="12"/>
  <c r="H24" i="12"/>
  <c r="BG24" i="12"/>
  <c r="E25" i="12"/>
  <c r="BA7" i="21"/>
  <c r="BD7" i="21" s="1"/>
  <c r="AR23" i="12"/>
  <c r="N23" i="12"/>
  <c r="T23" i="12"/>
  <c r="AF55" i="12"/>
  <c r="S23" i="12"/>
  <c r="AG55" i="12"/>
  <c r="M23" i="12"/>
  <c r="J23" i="12"/>
  <c r="AI23" i="12"/>
  <c r="AJ23" i="12" s="1"/>
  <c r="AK23" i="12" s="1"/>
  <c r="Q23" i="12"/>
  <c r="K23" i="12"/>
  <c r="G23" i="12"/>
  <c r="AD55" i="12"/>
  <c r="AL23" i="12"/>
  <c r="AM23" i="12" s="1"/>
  <c r="AN23" i="12" s="1"/>
  <c r="AS23" i="12"/>
  <c r="AE55" i="12"/>
  <c r="AU23" i="12"/>
  <c r="O23" i="12"/>
  <c r="R23" i="12"/>
  <c r="F23" i="12"/>
  <c r="AQ23" i="12"/>
  <c r="BA6" i="21"/>
  <c r="BD6" i="21" s="1"/>
  <c r="Y7" i="25"/>
  <c r="Z7" i="25"/>
  <c r="P6" i="23"/>
  <c r="M7" i="23" s="1"/>
  <c r="N7" i="23" s="1"/>
  <c r="P7" i="23" s="1"/>
  <c r="M8" i="23" s="1"/>
  <c r="N8" i="23" s="1"/>
  <c r="P8" i="23" s="1"/>
  <c r="M9" i="23" s="1"/>
  <c r="N9" i="23" s="1"/>
  <c r="P9" i="23" s="1"/>
  <c r="M10" i="23" s="1"/>
  <c r="N10" i="23" s="1"/>
  <c r="P10" i="23" s="1"/>
  <c r="M11" i="23" s="1"/>
  <c r="N11" i="23" s="1"/>
  <c r="P11" i="23" s="1"/>
  <c r="M12" i="23" s="1"/>
  <c r="N12" i="23" s="1"/>
  <c r="P12" i="23" s="1"/>
  <c r="M13" i="23" s="1"/>
  <c r="N13" i="23" s="1"/>
  <c r="P13" i="23" s="1"/>
  <c r="M14" i="23" s="1"/>
  <c r="N14" i="23" s="1"/>
  <c r="P14" i="23" s="1"/>
  <c r="M15" i="23" s="1"/>
  <c r="N15" i="23" s="1"/>
  <c r="P15" i="23" s="1"/>
  <c r="M16" i="23" s="1"/>
  <c r="N16" i="23" s="1"/>
  <c r="P16" i="23" s="1"/>
  <c r="M17" i="23" s="1"/>
  <c r="P28" i="20"/>
  <c r="R6" i="23"/>
  <c r="Q7" i="23" s="1"/>
  <c r="BH7" i="22"/>
  <c r="AN28" i="20"/>
  <c r="J9" i="26"/>
  <c r="L9" i="26" s="1"/>
  <c r="I10" i="26" s="1"/>
  <c r="J10" i="26" s="1"/>
  <c r="L10" i="26" s="1"/>
  <c r="I11" i="26" s="1"/>
  <c r="Y56" i="12"/>
  <c r="AT7" i="26"/>
  <c r="AW7" i="26" s="1"/>
  <c r="T7" i="25"/>
  <c r="S7" i="25"/>
  <c r="V7" i="25"/>
  <c r="L56" i="12"/>
  <c r="P57" i="12" s="1"/>
  <c r="J8" i="23"/>
  <c r="L8" i="23" s="1"/>
  <c r="I9" i="23" s="1"/>
  <c r="G56" i="12"/>
  <c r="N7" i="22"/>
  <c r="R7" i="22" s="1"/>
  <c r="Q8" i="22" s="1"/>
  <c r="X56" i="12"/>
  <c r="Z56" i="12" s="1"/>
  <c r="R56" i="12"/>
  <c r="T56" i="12" s="1"/>
  <c r="AK26" i="3"/>
  <c r="BG26" i="3" s="1"/>
  <c r="AQ28" i="20"/>
  <c r="AR28" i="20" s="1"/>
  <c r="O29" i="20"/>
  <c r="N7" i="26"/>
  <c r="R7" i="26" s="1"/>
  <c r="Q8" i="26" s="1"/>
  <c r="S56" i="12"/>
  <c r="AN11" i="28"/>
  <c r="N55" i="12"/>
  <c r="AW54" i="12"/>
  <c r="BH53" i="12"/>
  <c r="BA53" i="12"/>
  <c r="BD53" i="12" s="1"/>
  <c r="M56" i="12"/>
  <c r="AS56" i="12"/>
  <c r="AP56" i="12"/>
  <c r="AI56" i="12"/>
  <c r="AQ56" i="12"/>
  <c r="AL56" i="12"/>
  <c r="AU56" i="12"/>
  <c r="AZ57" i="12"/>
  <c r="BE57" i="12" s="1"/>
  <c r="W57" i="12"/>
  <c r="Q57" i="12"/>
  <c r="C57" i="12"/>
  <c r="AT57" i="12" s="1"/>
  <c r="AY57" i="12"/>
  <c r="BC57" i="12" s="1"/>
  <c r="BF57" i="12"/>
  <c r="AX57" i="12"/>
  <c r="BB57" i="12" s="1"/>
  <c r="E58" i="12"/>
  <c r="AO57" i="12"/>
  <c r="AC57" i="12"/>
  <c r="BG57" i="12"/>
  <c r="AJ55" i="12"/>
  <c r="AK55" i="12" s="1"/>
  <c r="AM55" i="12"/>
  <c r="AN55" i="12" s="1"/>
  <c r="P55" i="21"/>
  <c r="AW21" i="21"/>
  <c r="BA21" i="21" s="1"/>
  <c r="BD21" i="21" s="1"/>
  <c r="F14" i="21"/>
  <c r="AL13" i="21"/>
  <c r="AM13" i="21" s="1"/>
  <c r="AI13" i="21"/>
  <c r="AJ13" i="21" s="1"/>
  <c r="X55" i="21"/>
  <c r="F55" i="21"/>
  <c r="M23" i="21"/>
  <c r="J23" i="21"/>
  <c r="K23" i="21"/>
  <c r="AN22" i="21"/>
  <c r="N23" i="21"/>
  <c r="O23" i="21"/>
  <c r="Q23" i="21"/>
  <c r="S23" i="21"/>
  <c r="F47" i="21"/>
  <c r="I47" i="21" s="1"/>
  <c r="AQ55" i="21"/>
  <c r="AU55" i="21"/>
  <c r="AS55" i="21"/>
  <c r="AT55" i="21"/>
  <c r="Q56" i="21"/>
  <c r="AX56" i="21"/>
  <c r="BB56" i="21" s="1"/>
  <c r="AY56" i="21"/>
  <c r="BC56" i="21" s="1"/>
  <c r="W56" i="21"/>
  <c r="C56" i="21"/>
  <c r="L56" i="21" s="1"/>
  <c r="O56" i="21" s="1"/>
  <c r="BG56" i="21"/>
  <c r="K56" i="21"/>
  <c r="AO56" i="21"/>
  <c r="AC56" i="21"/>
  <c r="BF56" i="21"/>
  <c r="E57" i="21"/>
  <c r="AZ56" i="21"/>
  <c r="BE56" i="21" s="1"/>
  <c r="M55" i="21"/>
  <c r="P24" i="21"/>
  <c r="BF24" i="21"/>
  <c r="BG24" i="21"/>
  <c r="C24" i="21"/>
  <c r="O24" i="21" s="1"/>
  <c r="AX24" i="21"/>
  <c r="BB24" i="21" s="1"/>
  <c r="AY24" i="21"/>
  <c r="BC24" i="21" s="1"/>
  <c r="H24" i="21"/>
  <c r="L24" i="21"/>
  <c r="E25" i="21"/>
  <c r="AZ24" i="21"/>
  <c r="BE24" i="21" s="1"/>
  <c r="AI23" i="21"/>
  <c r="AJ23" i="21" s="1"/>
  <c r="AR23" i="21"/>
  <c r="AS23" i="21"/>
  <c r="AL23" i="21"/>
  <c r="AM23" i="21" s="1"/>
  <c r="AQ23" i="21"/>
  <c r="AT23" i="21"/>
  <c r="AU23" i="21"/>
  <c r="L55" i="21"/>
  <c r="AF55" i="21"/>
  <c r="R55" i="21"/>
  <c r="F23" i="21"/>
  <c r="G23" i="21"/>
  <c r="AK22" i="21"/>
  <c r="S55" i="21"/>
  <c r="Y55" i="21"/>
  <c r="AZ24" i="29"/>
  <c r="C24" i="29"/>
  <c r="E25" i="29"/>
  <c r="Y17" i="29"/>
  <c r="AC17" i="29" s="1"/>
  <c r="X18" i="29" s="1"/>
  <c r="S14" i="29"/>
  <c r="AE14" i="29" s="1"/>
  <c r="AD15" i="29" s="1"/>
  <c r="AT15" i="29" s="1"/>
  <c r="H12" i="26"/>
  <c r="AI12" i="26" s="1"/>
  <c r="AJ12" i="26" s="1"/>
  <c r="AK12" i="26" s="1"/>
  <c r="O24" i="26"/>
  <c r="AQ24" i="26"/>
  <c r="AS24" i="26"/>
  <c r="AU24" i="26"/>
  <c r="K24" i="26"/>
  <c r="AZ25" i="26"/>
  <c r="C25" i="26"/>
  <c r="E26" i="26"/>
  <c r="AU11" i="28"/>
  <c r="AS11" i="28"/>
  <c r="F12" i="28"/>
  <c r="AT20" i="28"/>
  <c r="W19" i="28"/>
  <c r="R20" i="28" s="1"/>
  <c r="V20" i="28" s="1"/>
  <c r="AZ25" i="28"/>
  <c r="C25" i="28"/>
  <c r="E26" i="28"/>
  <c r="AR11" i="25"/>
  <c r="I11" i="25"/>
  <c r="Q11" i="25" s="1"/>
  <c r="L12" i="25" s="1"/>
  <c r="N12" i="25" s="1"/>
  <c r="K11" i="25"/>
  <c r="AO11" i="25"/>
  <c r="AA24" i="25"/>
  <c r="AB24" i="25"/>
  <c r="AR24" i="25"/>
  <c r="V24" i="25"/>
  <c r="U24" i="25"/>
  <c r="BA25" i="25"/>
  <c r="BB25" i="25"/>
  <c r="BC25" i="25"/>
  <c r="C25" i="25"/>
  <c r="AZ25" i="25"/>
  <c r="BD25" i="25"/>
  <c r="E26" i="25"/>
  <c r="AZ25" i="24"/>
  <c r="C25" i="24"/>
  <c r="E26" i="24"/>
  <c r="AE55" i="21"/>
  <c r="AG55" i="21"/>
  <c r="AK10" i="24"/>
  <c r="AN10" i="24"/>
  <c r="AQ24" i="24"/>
  <c r="AS24" i="24"/>
  <c r="AU24" i="24"/>
  <c r="AP80" i="23"/>
  <c r="AO80" i="23"/>
  <c r="G11" i="24"/>
  <c r="AR11" i="24" s="1"/>
  <c r="K80" i="23"/>
  <c r="AK80" i="23"/>
  <c r="AL80" i="23"/>
  <c r="AM80" i="23" s="1"/>
  <c r="AN80" i="23" s="1"/>
  <c r="O23" i="23"/>
  <c r="AQ26" i="15"/>
  <c r="AS26" i="15"/>
  <c r="AU26" i="15"/>
  <c r="G13" i="15"/>
  <c r="L7" i="15"/>
  <c r="I8" i="15" s="1"/>
  <c r="J8" i="15" s="1"/>
  <c r="AW24" i="23"/>
  <c r="BA24" i="23" s="1"/>
  <c r="AX24" i="23"/>
  <c r="BB24" i="23" s="1"/>
  <c r="AY24" i="23"/>
  <c r="BD24" i="23" s="1"/>
  <c r="BE24" i="23"/>
  <c r="E25" i="23"/>
  <c r="C24" i="23"/>
  <c r="O24" i="23" s="1"/>
  <c r="BF24" i="23"/>
  <c r="G12" i="23"/>
  <c r="AR12" i="23" s="1"/>
  <c r="AQ23" i="23"/>
  <c r="AS23" i="23"/>
  <c r="AU23" i="23"/>
  <c r="AJ11" i="23"/>
  <c r="AK11" i="23" s="1"/>
  <c r="AM11" i="23"/>
  <c r="AN11" i="23" s="1"/>
  <c r="AW94" i="23"/>
  <c r="BA94" i="23" s="1"/>
  <c r="AX94" i="23"/>
  <c r="BB94" i="23" s="1"/>
  <c r="AY94" i="23"/>
  <c r="BD94" i="23" s="1"/>
  <c r="R23" i="21"/>
  <c r="T23" i="21"/>
  <c r="AZ76" i="23"/>
  <c r="BC76" i="23" s="1"/>
  <c r="BG76" i="23"/>
  <c r="AZ74" i="23"/>
  <c r="BC74" i="23" s="1"/>
  <c r="AZ77" i="23"/>
  <c r="BC77" i="23" s="1"/>
  <c r="BG77" i="23"/>
  <c r="I23" i="22"/>
  <c r="C94" i="23"/>
  <c r="BE94" i="23"/>
  <c r="BF94" i="23"/>
  <c r="E95" i="23"/>
  <c r="AZ79" i="23"/>
  <c r="BC79" i="23" s="1"/>
  <c r="BG79" i="23"/>
  <c r="G23" i="22"/>
  <c r="M23" i="22"/>
  <c r="S23" i="22"/>
  <c r="AZ75" i="23"/>
  <c r="BC75" i="23" s="1"/>
  <c r="BG75" i="23"/>
  <c r="N23" i="22"/>
  <c r="AZ78" i="23"/>
  <c r="BC78" i="23" s="1"/>
  <c r="BG78" i="23"/>
  <c r="O23" i="22"/>
  <c r="AF55" i="22"/>
  <c r="L55" i="22"/>
  <c r="X55" i="22"/>
  <c r="R55" i="22"/>
  <c r="M47" i="22"/>
  <c r="Q47" i="22" s="1"/>
  <c r="L48" i="22" s="1"/>
  <c r="O48" i="22" s="1"/>
  <c r="N47" i="22"/>
  <c r="AO47" i="22" s="1"/>
  <c r="P48" i="22"/>
  <c r="H24" i="22"/>
  <c r="AX24" i="22"/>
  <c r="BB24" i="22" s="1"/>
  <c r="L24" i="22"/>
  <c r="AY24" i="22"/>
  <c r="BC24" i="22" s="1"/>
  <c r="P24" i="22"/>
  <c r="BF24" i="22"/>
  <c r="BG24" i="22"/>
  <c r="C24" i="22"/>
  <c r="J24" i="22" s="1"/>
  <c r="E25" i="22"/>
  <c r="AZ24" i="22"/>
  <c r="BE24" i="22" s="1"/>
  <c r="C56" i="22"/>
  <c r="X56" i="22" s="1"/>
  <c r="AC56" i="22"/>
  <c r="BF56" i="22"/>
  <c r="BG56" i="22"/>
  <c r="K56" i="22"/>
  <c r="AO56" i="22"/>
  <c r="Q56" i="22"/>
  <c r="AX56" i="22"/>
  <c r="BB56" i="22" s="1"/>
  <c r="W56" i="22"/>
  <c r="AY56" i="22"/>
  <c r="BC56" i="22" s="1"/>
  <c r="E57" i="22"/>
  <c r="AZ56" i="22"/>
  <c r="BE56" i="22" s="1"/>
  <c r="G49" i="22"/>
  <c r="K49" i="22" s="1"/>
  <c r="H49" i="22"/>
  <c r="J50" i="22"/>
  <c r="AQ55" i="22"/>
  <c r="AR55" i="22"/>
  <c r="AS55" i="22"/>
  <c r="AT55" i="22"/>
  <c r="AU55" i="22"/>
  <c r="Q23" i="22"/>
  <c r="Y55" i="22"/>
  <c r="F13" i="22"/>
  <c r="AI12" i="22"/>
  <c r="AJ12" i="22" s="1"/>
  <c r="AL12" i="22"/>
  <c r="AM12" i="22" s="1"/>
  <c r="F55" i="22"/>
  <c r="M55" i="22"/>
  <c r="N54" i="22"/>
  <c r="BA43" i="22"/>
  <c r="BD43" i="22" s="1"/>
  <c r="BH43" i="22"/>
  <c r="AT23" i="22"/>
  <c r="AU23" i="22"/>
  <c r="AQ23" i="22"/>
  <c r="AR23" i="22"/>
  <c r="AI23" i="22"/>
  <c r="AJ23" i="22" s="1"/>
  <c r="AL23" i="22"/>
  <c r="AM23" i="22" s="1"/>
  <c r="AS23" i="22"/>
  <c r="K23" i="22"/>
  <c r="AD55" i="22"/>
  <c r="G55" i="22"/>
  <c r="F23" i="22"/>
  <c r="AI45" i="22"/>
  <c r="AJ45" i="22" s="1"/>
  <c r="AP44" i="22"/>
  <c r="AI44" i="22"/>
  <c r="AI55" i="22"/>
  <c r="AJ55" i="22" s="1"/>
  <c r="AL55" i="22"/>
  <c r="AM55" i="22" s="1"/>
  <c r="AP55" i="22"/>
  <c r="AN11" i="21"/>
  <c r="AK11" i="21"/>
  <c r="AE46" i="21"/>
  <c r="AD47" i="21" s="1"/>
  <c r="AT47" i="21" s="1"/>
  <c r="AL44" i="21"/>
  <c r="AM44" i="21" s="1"/>
  <c r="AL55" i="21"/>
  <c r="AM55" i="21" s="1"/>
  <c r="AP55" i="21"/>
  <c r="AI55" i="21"/>
  <c r="AJ55" i="21" s="1"/>
  <c r="AC16" i="28"/>
  <c r="X17" i="28" s="1"/>
  <c r="AB17" i="28" s="1"/>
  <c r="O23" i="25"/>
  <c r="I23" i="25"/>
  <c r="AN44" i="22"/>
  <c r="AW53" i="22"/>
  <c r="AG88" i="23"/>
  <c r="AF89" i="23" s="1"/>
  <c r="T23" i="22"/>
  <c r="R23" i="22"/>
  <c r="AG55" i="22"/>
  <c r="AE55" i="22"/>
  <c r="AK22" i="22"/>
  <c r="AN22" i="22"/>
  <c r="AK54" i="22"/>
  <c r="AW21" i="22"/>
  <c r="AN54" i="22"/>
  <c r="AW43" i="21"/>
  <c r="AW53" i="21"/>
  <c r="AN54" i="21"/>
  <c r="AK54" i="21"/>
  <c r="AK8" i="12"/>
  <c r="AK9" i="12"/>
  <c r="AK7" i="12"/>
  <c r="AK10" i="12"/>
  <c r="AK6" i="12"/>
  <c r="AW6" i="12" s="1"/>
  <c r="R6" i="13"/>
  <c r="Q7" i="13" s="1"/>
  <c r="T6" i="13"/>
  <c r="S7" i="13" s="1"/>
  <c r="T6" i="18"/>
  <c r="S7" i="18" s="1"/>
  <c r="L6" i="12"/>
  <c r="I7" i="12" s="1"/>
  <c r="R6" i="12"/>
  <c r="Q7" i="12" s="1"/>
  <c r="AT7" i="12" s="1"/>
  <c r="T6" i="12"/>
  <c r="S7" i="12" s="1"/>
  <c r="R6" i="18"/>
  <c r="Q7" i="18" s="1"/>
  <c r="AT7" i="18" s="1"/>
  <c r="AW7" i="18" s="1"/>
  <c r="N7" i="12"/>
  <c r="N7" i="18"/>
  <c r="J10" i="13"/>
  <c r="L10" i="13" s="1"/>
  <c r="I11" i="13" s="1"/>
  <c r="J11" i="13" s="1"/>
  <c r="L11" i="13" s="1"/>
  <c r="I12" i="13" s="1"/>
  <c r="J7" i="14"/>
  <c r="L7" i="14" s="1"/>
  <c r="I8" i="14" s="1"/>
  <c r="N7" i="13"/>
  <c r="P7" i="13" s="1"/>
  <c r="M8" i="13" s="1"/>
  <c r="J8" i="18"/>
  <c r="L8" i="18" s="1"/>
  <c r="I9" i="18" s="1"/>
  <c r="N6" i="14"/>
  <c r="P6" i="14" s="1"/>
  <c r="M7" i="14" s="1"/>
  <c r="N7" i="14" s="1"/>
  <c r="P7" i="14" s="1"/>
  <c r="M8" i="14" s="1"/>
  <c r="AK5" i="12"/>
  <c r="AW5" i="12" s="1"/>
  <c r="BA5" i="12" s="1"/>
  <c r="BD5" i="12" s="1"/>
  <c r="P6" i="15"/>
  <c r="M7" i="15" s="1"/>
  <c r="N7" i="15" s="1"/>
  <c r="T6" i="15"/>
  <c r="S7" i="15" s="1"/>
  <c r="AA58" i="12"/>
  <c r="I58" i="12"/>
  <c r="AA58" i="13"/>
  <c r="I58" i="13"/>
  <c r="U58" i="12"/>
  <c r="U58" i="13"/>
  <c r="AB58" i="12"/>
  <c r="U94" i="14"/>
  <c r="V58" i="12"/>
  <c r="V58" i="13"/>
  <c r="V94" i="14"/>
  <c r="O58" i="12"/>
  <c r="O58" i="13"/>
  <c r="O94" i="14"/>
  <c r="AB58" i="13"/>
  <c r="AA94" i="14"/>
  <c r="AB94" i="14"/>
  <c r="AB26" i="17"/>
  <c r="O26" i="17"/>
  <c r="U26" i="17"/>
  <c r="I94" i="14"/>
  <c r="AR94" i="14" s="1"/>
  <c r="I26" i="17"/>
  <c r="U26" i="19"/>
  <c r="AA26" i="17"/>
  <c r="AB26" i="19"/>
  <c r="O26" i="19"/>
  <c r="I26" i="19"/>
  <c r="AA26" i="19"/>
  <c r="V26" i="19"/>
  <c r="V26" i="17"/>
  <c r="AR25" i="19"/>
  <c r="AI11" i="13"/>
  <c r="AJ11" i="13" s="1"/>
  <c r="AK11" i="13" s="1"/>
  <c r="C26" i="19"/>
  <c r="E27" i="19"/>
  <c r="AZ26" i="19"/>
  <c r="AL11" i="13"/>
  <c r="AM11" i="13" s="1"/>
  <c r="AN11" i="13" s="1"/>
  <c r="G12" i="12"/>
  <c r="AR12" i="12" s="1"/>
  <c r="AM11" i="12"/>
  <c r="AN11" i="12" s="1"/>
  <c r="AJ11" i="12"/>
  <c r="H9" i="2" s="1"/>
  <c r="G13" i="18"/>
  <c r="AR13" i="18" s="1"/>
  <c r="H12" i="13"/>
  <c r="Y56" i="13"/>
  <c r="H14" i="14"/>
  <c r="F15" i="14" s="1"/>
  <c r="AS25" i="14"/>
  <c r="AQ25" i="14"/>
  <c r="O25" i="14"/>
  <c r="K25" i="14"/>
  <c r="AU25" i="14"/>
  <c r="AR25" i="16"/>
  <c r="AX26" i="14"/>
  <c r="BB26" i="14" s="1"/>
  <c r="C26" i="14"/>
  <c r="E27" i="14"/>
  <c r="AY26" i="14"/>
  <c r="BD26" i="14" s="1"/>
  <c r="BE26" i="14"/>
  <c r="AW26" i="14"/>
  <c r="BA26" i="14" s="1"/>
  <c r="BF26" i="14"/>
  <c r="AZ26" i="16"/>
  <c r="BD26" i="16"/>
  <c r="E27" i="16"/>
  <c r="C26" i="16"/>
  <c r="AW22" i="12"/>
  <c r="L56" i="13"/>
  <c r="N56" i="13" s="1"/>
  <c r="AR56" i="13"/>
  <c r="AT56" i="13"/>
  <c r="AI56" i="13"/>
  <c r="AU56" i="13"/>
  <c r="AL56" i="13"/>
  <c r="AQ56" i="13"/>
  <c r="AS56" i="13"/>
  <c r="AP56" i="13"/>
  <c r="AZ25" i="17"/>
  <c r="E26" i="17"/>
  <c r="C25" i="17"/>
  <c r="AO57" i="13"/>
  <c r="E58" i="13"/>
  <c r="Q57" i="13"/>
  <c r="AX57" i="13"/>
  <c r="BB57" i="13" s="1"/>
  <c r="AC57" i="13"/>
  <c r="BG57" i="13"/>
  <c r="AY57" i="13"/>
  <c r="BC57" i="13" s="1"/>
  <c r="W57" i="13"/>
  <c r="AZ57" i="13"/>
  <c r="BE57" i="13" s="1"/>
  <c r="K57" i="13"/>
  <c r="BF57" i="13"/>
  <c r="C57" i="13"/>
  <c r="S57" i="13" s="1"/>
  <c r="S56" i="13"/>
  <c r="AZ25" i="18"/>
  <c r="E26" i="18"/>
  <c r="C25" i="18"/>
  <c r="J56" i="13"/>
  <c r="AW54" i="13"/>
  <c r="P56" i="13"/>
  <c r="BH21" i="12"/>
  <c r="BA21" i="12"/>
  <c r="BD21" i="12" s="1"/>
  <c r="AM55" i="13"/>
  <c r="AN55" i="13" s="1"/>
  <c r="BA53" i="13"/>
  <c r="BD53" i="13" s="1"/>
  <c r="BH53" i="13"/>
  <c r="R56" i="13"/>
  <c r="T56" i="13" s="1"/>
  <c r="F56" i="13"/>
  <c r="H56" i="13" s="1"/>
  <c r="AJ55" i="13"/>
  <c r="AK55" i="13" s="1"/>
  <c r="AQ24" i="18"/>
  <c r="O24" i="18"/>
  <c r="AU24" i="18"/>
  <c r="AS24" i="18"/>
  <c r="K24" i="18"/>
  <c r="M56" i="13"/>
  <c r="X56" i="13"/>
  <c r="Z56" i="13" s="1"/>
  <c r="AN25" i="13"/>
  <c r="AW25" i="13" s="1"/>
  <c r="AW24" i="13"/>
  <c r="BH24" i="13" s="1"/>
  <c r="C27" i="15"/>
  <c r="E28" i="15"/>
  <c r="AZ27" i="15"/>
  <c r="AG58" i="13"/>
  <c r="E28" i="13"/>
  <c r="BF27" i="13"/>
  <c r="P27" i="13"/>
  <c r="L27" i="13"/>
  <c r="H27" i="13"/>
  <c r="C27" i="13"/>
  <c r="AF59" i="13" s="1"/>
  <c r="BG27" i="13"/>
  <c r="AZ27" i="13"/>
  <c r="BE27" i="13" s="1"/>
  <c r="AY27" i="13"/>
  <c r="BC27" i="13" s="1"/>
  <c r="AX27" i="13"/>
  <c r="BB27" i="13" s="1"/>
  <c r="J26" i="13"/>
  <c r="G26" i="13"/>
  <c r="T26" i="13"/>
  <c r="M26" i="13"/>
  <c r="S26" i="13"/>
  <c r="Q26" i="13"/>
  <c r="AU26" i="13"/>
  <c r="AQ26" i="13"/>
  <c r="AI26" i="13"/>
  <c r="AJ26" i="13" s="1"/>
  <c r="AK26" i="13" s="1"/>
  <c r="AT26" i="13"/>
  <c r="AL26" i="13"/>
  <c r="AM26" i="13" s="1"/>
  <c r="AS26" i="13"/>
  <c r="AR26" i="13"/>
  <c r="AD58" i="13"/>
  <c r="R26" i="13"/>
  <c r="AF58" i="13"/>
  <c r="I26" i="13"/>
  <c r="AE58" i="13"/>
  <c r="F26" i="13"/>
  <c r="N26" i="13"/>
  <c r="K26" i="13"/>
  <c r="E96" i="14"/>
  <c r="BE95" i="14"/>
  <c r="AX95" i="14"/>
  <c r="BB95" i="14" s="1"/>
  <c r="C95" i="14"/>
  <c r="BF95" i="14"/>
  <c r="AW95" i="14"/>
  <c r="BA95" i="14" s="1"/>
  <c r="AY95" i="14"/>
  <c r="BD95" i="14" s="1"/>
  <c r="AN12" i="14"/>
  <c r="AK12" i="14"/>
  <c r="G30" i="3"/>
  <c r="AV29" i="3"/>
  <c r="AX29" i="3" s="1"/>
  <c r="V29" i="3"/>
  <c r="X29" i="3" s="1"/>
  <c r="AD26" i="3"/>
  <c r="AJ26" i="3" s="1"/>
  <c r="A29" i="3"/>
  <c r="BI29" i="3" s="1"/>
  <c r="BJ29" i="3" s="1"/>
  <c r="AF27" i="3"/>
  <c r="AD27" i="3" s="1"/>
  <c r="H28" i="3"/>
  <c r="AG28" i="3"/>
  <c r="AW31" i="3"/>
  <c r="AQ31" i="3"/>
  <c r="AL28" i="3"/>
  <c r="AN31" i="3"/>
  <c r="Y28" i="3"/>
  <c r="AC27" i="3"/>
  <c r="BC27" i="3"/>
  <c r="AE28" i="3"/>
  <c r="AH28" i="3"/>
  <c r="BD27" i="3"/>
  <c r="P31" i="3"/>
  <c r="AM28" i="3"/>
  <c r="K20" i="21" l="1"/>
  <c r="J20" i="21"/>
  <c r="J20" i="22"/>
  <c r="J21" i="22"/>
  <c r="K21" i="22"/>
  <c r="AZ6" i="23"/>
  <c r="BC6" i="23" s="1"/>
  <c r="Z91" i="23"/>
  <c r="Y91" i="23"/>
  <c r="AC91" i="23" s="1"/>
  <c r="X92" i="23" s="1"/>
  <c r="AA92" i="23" s="1"/>
  <c r="T91" i="23"/>
  <c r="S91" i="23"/>
  <c r="W91" i="23" s="1"/>
  <c r="R92" i="23" s="1"/>
  <c r="U92" i="23" s="1"/>
  <c r="AO12" i="29"/>
  <c r="O13" i="29"/>
  <c r="P14" i="29"/>
  <c r="AN12" i="29"/>
  <c r="M13" i="29"/>
  <c r="AI12" i="29"/>
  <c r="AJ12" i="29" s="1"/>
  <c r="AK12" i="29" s="1"/>
  <c r="K12" i="29"/>
  <c r="AQ12" i="29" s="1"/>
  <c r="Q45" i="21"/>
  <c r="L46" i="21" s="1"/>
  <c r="P47" i="21" s="1"/>
  <c r="H55" i="22"/>
  <c r="I55" i="22"/>
  <c r="G12" i="28"/>
  <c r="AL12" i="28" s="1"/>
  <c r="I12" i="28"/>
  <c r="Q12" i="28" s="1"/>
  <c r="L13" i="28" s="1"/>
  <c r="P56" i="21"/>
  <c r="O55" i="21"/>
  <c r="Z55" i="21"/>
  <c r="AB55" i="21"/>
  <c r="H55" i="21"/>
  <c r="I55" i="21"/>
  <c r="Z56" i="22"/>
  <c r="AA56" i="22"/>
  <c r="P56" i="22"/>
  <c r="O55" i="22"/>
  <c r="T55" i="21"/>
  <c r="V55" i="21"/>
  <c r="Z55" i="22"/>
  <c r="AA55" i="22"/>
  <c r="Z18" i="29"/>
  <c r="AA18" i="29"/>
  <c r="T55" i="22"/>
  <c r="U55" i="22"/>
  <c r="BB29" i="3"/>
  <c r="P7" i="24"/>
  <c r="M8" i="24" s="1"/>
  <c r="O8" i="24" s="1"/>
  <c r="K8" i="24"/>
  <c r="L8" i="24" s="1"/>
  <c r="I9" i="24" s="1"/>
  <c r="R7" i="24"/>
  <c r="Q8" i="24" s="1"/>
  <c r="AT8" i="24" s="1"/>
  <c r="AW8" i="24" s="1"/>
  <c r="P7" i="21"/>
  <c r="M8" i="21" s="1"/>
  <c r="R7" i="21"/>
  <c r="Q8" i="21" s="1"/>
  <c r="F57" i="12"/>
  <c r="H57" i="12" s="1"/>
  <c r="K58" i="12"/>
  <c r="AU24" i="12"/>
  <c r="AD56" i="12"/>
  <c r="AS24" i="12"/>
  <c r="AF56" i="12"/>
  <c r="Q24" i="12"/>
  <c r="K24" i="12"/>
  <c r="O24" i="12"/>
  <c r="R24" i="12"/>
  <c r="AG56" i="12"/>
  <c r="N24" i="12"/>
  <c r="I24" i="12"/>
  <c r="AL24" i="12"/>
  <c r="AM24" i="12" s="1"/>
  <c r="AN24" i="12" s="1"/>
  <c r="G24" i="12"/>
  <c r="AQ24" i="12"/>
  <c r="J24" i="12"/>
  <c r="H25" i="12"/>
  <c r="M24" i="12"/>
  <c r="S24" i="12"/>
  <c r="T24" i="12"/>
  <c r="AI24" i="12"/>
  <c r="AJ24" i="12" s="1"/>
  <c r="AK24" i="12" s="1"/>
  <c r="F24" i="12"/>
  <c r="AE56" i="12"/>
  <c r="AR24" i="12"/>
  <c r="J57" i="12"/>
  <c r="M57" i="12"/>
  <c r="AW7" i="12"/>
  <c r="BH7" i="12" s="1"/>
  <c r="AR31" i="3"/>
  <c r="C25" i="12"/>
  <c r="AT25" i="12" s="1"/>
  <c r="BG25" i="12"/>
  <c r="E26" i="12"/>
  <c r="BF25" i="12"/>
  <c r="L25" i="12"/>
  <c r="AY25" i="12"/>
  <c r="BC25" i="12" s="1"/>
  <c r="AX25" i="12"/>
  <c r="BB25" i="12" s="1"/>
  <c r="AZ25" i="12"/>
  <c r="BE25" i="12" s="1"/>
  <c r="P25" i="12"/>
  <c r="P29" i="20"/>
  <c r="AM29" i="3"/>
  <c r="W7" i="25"/>
  <c r="R8" i="25" s="1"/>
  <c r="T7" i="23"/>
  <c r="S8" i="23" s="1"/>
  <c r="T8" i="23" s="1"/>
  <c r="R7" i="23"/>
  <c r="Q8" i="23" s="1"/>
  <c r="AT8" i="23" s="1"/>
  <c r="AV8" i="23" s="1"/>
  <c r="AT8" i="26"/>
  <c r="AW8" i="26" s="1"/>
  <c r="J11" i="26"/>
  <c r="L11" i="26" s="1"/>
  <c r="I12" i="26" s="1"/>
  <c r="N17" i="23"/>
  <c r="P17" i="23" s="1"/>
  <c r="M18" i="23" s="1"/>
  <c r="AG7" i="25"/>
  <c r="AF8" i="25" s="1"/>
  <c r="AC7" i="25"/>
  <c r="X8" i="25" s="1"/>
  <c r="AA8" i="25" s="1"/>
  <c r="J9" i="23"/>
  <c r="L9" i="23" s="1"/>
  <c r="I10" i="23" s="1"/>
  <c r="J10" i="23" s="1"/>
  <c r="L10" i="23" s="1"/>
  <c r="I11" i="23" s="1"/>
  <c r="N56" i="12"/>
  <c r="P7" i="26"/>
  <c r="M8" i="26" s="1"/>
  <c r="AQ29" i="20"/>
  <c r="AR29" i="20" s="1"/>
  <c r="O30" i="20"/>
  <c r="K26" i="15"/>
  <c r="AK27" i="3"/>
  <c r="BG27" i="3" s="1"/>
  <c r="T7" i="22"/>
  <c r="S8" i="22" s="1"/>
  <c r="O26" i="15"/>
  <c r="AN29" i="20"/>
  <c r="P7" i="22"/>
  <c r="M8" i="22" s="1"/>
  <c r="N8" i="22" s="1"/>
  <c r="P8" i="22" s="1"/>
  <c r="M9" i="22" s="1"/>
  <c r="N9" i="22" s="1"/>
  <c r="P9" i="22" s="1"/>
  <c r="M10" i="22" s="1"/>
  <c r="N10" i="22" s="1"/>
  <c r="P10" i="22" s="1"/>
  <c r="M11" i="22" s="1"/>
  <c r="N11" i="22" s="1"/>
  <c r="P11" i="22" s="1"/>
  <c r="M12" i="22" s="1"/>
  <c r="N12" i="22" s="1"/>
  <c r="P12" i="22" s="1"/>
  <c r="M13" i="22" s="1"/>
  <c r="N13" i="22" s="1"/>
  <c r="P13" i="22" s="1"/>
  <c r="M14" i="22" s="1"/>
  <c r="N14" i="22" s="1"/>
  <c r="P14" i="22" s="1"/>
  <c r="M15" i="22" s="1"/>
  <c r="N15" i="22" s="1"/>
  <c r="P15" i="22" s="1"/>
  <c r="M16" i="22" s="1"/>
  <c r="N16" i="22" s="1"/>
  <c r="P16" i="22" s="1"/>
  <c r="M17" i="22" s="1"/>
  <c r="N17" i="22" s="1"/>
  <c r="P17" i="22" s="1"/>
  <c r="T7" i="26"/>
  <c r="S8" i="26" s="1"/>
  <c r="AT8" i="22"/>
  <c r="AW8" i="22" s="1"/>
  <c r="AE7" i="25"/>
  <c r="AD8" i="25" s="1"/>
  <c r="AT8" i="25" s="1"/>
  <c r="AW8" i="25" s="1"/>
  <c r="AW55" i="12"/>
  <c r="BA55" i="12" s="1"/>
  <c r="BD55" i="12" s="1"/>
  <c r="AM56" i="12"/>
  <c r="AN56" i="12" s="1"/>
  <c r="E59" i="12"/>
  <c r="AY58" i="12"/>
  <c r="BC58" i="12" s="1"/>
  <c r="BG58" i="12"/>
  <c r="AX58" i="12"/>
  <c r="BB58" i="12" s="1"/>
  <c r="BF58" i="12"/>
  <c r="AC58" i="12"/>
  <c r="AO58" i="12"/>
  <c r="AZ58" i="12"/>
  <c r="BE58" i="12" s="1"/>
  <c r="Q58" i="12"/>
  <c r="C58" i="12"/>
  <c r="AT58" i="12" s="1"/>
  <c r="W58" i="12"/>
  <c r="L57" i="12"/>
  <c r="P58" i="12" s="1"/>
  <c r="AJ56" i="12"/>
  <c r="AK56" i="12" s="1"/>
  <c r="G57" i="12"/>
  <c r="AU57" i="12"/>
  <c r="AP57" i="12"/>
  <c r="AL57" i="12"/>
  <c r="AS57" i="12"/>
  <c r="AI57" i="12"/>
  <c r="AQ57" i="12"/>
  <c r="R57" i="12"/>
  <c r="T57" i="12" s="1"/>
  <c r="Y57" i="12"/>
  <c r="BA54" i="12"/>
  <c r="BD54" i="12" s="1"/>
  <c r="BH54" i="12"/>
  <c r="X57" i="12"/>
  <c r="Z57" i="12" s="1"/>
  <c r="S57" i="12"/>
  <c r="J7" i="12"/>
  <c r="L7" i="12" s="1"/>
  <c r="Q24" i="21"/>
  <c r="S24" i="21"/>
  <c r="BH21" i="21"/>
  <c r="G14" i="21"/>
  <c r="AR14" i="21" s="1"/>
  <c r="AW22" i="21"/>
  <c r="BA22" i="21" s="1"/>
  <c r="BD22" i="21" s="1"/>
  <c r="J56" i="21"/>
  <c r="M24" i="21"/>
  <c r="F24" i="21"/>
  <c r="K24" i="21"/>
  <c r="AD56" i="21"/>
  <c r="AN23" i="21"/>
  <c r="AL12" i="26"/>
  <c r="AM12" i="26" s="1"/>
  <c r="AN12" i="26" s="1"/>
  <c r="N24" i="21"/>
  <c r="AK23" i="21"/>
  <c r="BH43" i="21"/>
  <c r="BA43" i="21"/>
  <c r="BD43" i="21" s="1"/>
  <c r="H47" i="21"/>
  <c r="J48" i="21"/>
  <c r="G47" i="21"/>
  <c r="K47" i="21" s="1"/>
  <c r="F48" i="21" s="1"/>
  <c r="I48" i="21" s="1"/>
  <c r="BA53" i="21"/>
  <c r="BD53" i="21" s="1"/>
  <c r="BH53" i="21"/>
  <c r="AC57" i="21"/>
  <c r="BF57" i="21"/>
  <c r="BG57" i="21"/>
  <c r="K57" i="21"/>
  <c r="P57" i="21"/>
  <c r="AO57" i="21"/>
  <c r="Q57" i="21"/>
  <c r="AY57" i="21"/>
  <c r="BC57" i="21" s="1"/>
  <c r="W57" i="21"/>
  <c r="C57" i="21"/>
  <c r="S57" i="21" s="1"/>
  <c r="AX57" i="21"/>
  <c r="BB57" i="21" s="1"/>
  <c r="E58" i="21"/>
  <c r="AZ57" i="21"/>
  <c r="BE57" i="21" s="1"/>
  <c r="F56" i="21"/>
  <c r="X56" i="21"/>
  <c r="N55" i="21"/>
  <c r="AY25" i="21"/>
  <c r="BC25" i="21" s="1"/>
  <c r="P25" i="21"/>
  <c r="BG25" i="21"/>
  <c r="C25" i="21"/>
  <c r="O25" i="21" s="1"/>
  <c r="BF25" i="21"/>
  <c r="H25" i="21"/>
  <c r="L25" i="21"/>
  <c r="AX25" i="21"/>
  <c r="BB25" i="21" s="1"/>
  <c r="E26" i="21"/>
  <c r="AZ25" i="21"/>
  <c r="BE25" i="21" s="1"/>
  <c r="AS56" i="21"/>
  <c r="AT56" i="21"/>
  <c r="AU56" i="21"/>
  <c r="N56" i="21"/>
  <c r="AQ56" i="21"/>
  <c r="AQ24" i="21"/>
  <c r="AI24" i="21"/>
  <c r="AJ24" i="21" s="1"/>
  <c r="AL24" i="21"/>
  <c r="AM24" i="21" s="1"/>
  <c r="AT24" i="21"/>
  <c r="AU24" i="21"/>
  <c r="AS24" i="21"/>
  <c r="AR24" i="21"/>
  <c r="G56" i="21"/>
  <c r="R56" i="21"/>
  <c r="G24" i="21"/>
  <c r="M56" i="21"/>
  <c r="S56" i="21"/>
  <c r="AF56" i="21"/>
  <c r="Y56" i="21"/>
  <c r="J24" i="21"/>
  <c r="C25" i="29"/>
  <c r="AZ25" i="29"/>
  <c r="E26" i="29"/>
  <c r="Y18" i="29"/>
  <c r="AC18" i="29" s="1"/>
  <c r="X19" i="29" s="1"/>
  <c r="W14" i="29"/>
  <c r="R15" i="29" s="1"/>
  <c r="AG17" i="29"/>
  <c r="AF18" i="29" s="1"/>
  <c r="F13" i="26"/>
  <c r="G13" i="26" s="1"/>
  <c r="AS25" i="26"/>
  <c r="AU25" i="26"/>
  <c r="AQ25" i="26"/>
  <c r="O25" i="26"/>
  <c r="K25" i="26"/>
  <c r="AZ26" i="26"/>
  <c r="C26" i="26"/>
  <c r="E27" i="26"/>
  <c r="AW11" i="28"/>
  <c r="J13" i="28"/>
  <c r="H12" i="28"/>
  <c r="AP12" i="28" s="1"/>
  <c r="Z17" i="28"/>
  <c r="Y17" i="28"/>
  <c r="AG17" i="28" s="1"/>
  <c r="AF18" i="28" s="1"/>
  <c r="T20" i="28"/>
  <c r="S20" i="28"/>
  <c r="AE20" i="28" s="1"/>
  <c r="AD21" i="28" s="1"/>
  <c r="C26" i="28"/>
  <c r="AZ26" i="28"/>
  <c r="E27" i="28"/>
  <c r="AE56" i="21"/>
  <c r="R24" i="21"/>
  <c r="V25" i="25"/>
  <c r="AA25" i="25"/>
  <c r="AB25" i="25"/>
  <c r="AR25" i="25"/>
  <c r="U25" i="25"/>
  <c r="BC26" i="25"/>
  <c r="BA26" i="25"/>
  <c r="BB26" i="25"/>
  <c r="M12" i="25"/>
  <c r="P13" i="25"/>
  <c r="AI11" i="25"/>
  <c r="AQ11" i="25"/>
  <c r="AS11" i="25"/>
  <c r="AU11" i="25"/>
  <c r="F12" i="25"/>
  <c r="AZ26" i="25"/>
  <c r="BD26" i="25"/>
  <c r="C26" i="25"/>
  <c r="E27" i="25"/>
  <c r="AQ25" i="24"/>
  <c r="AS25" i="24"/>
  <c r="AU25" i="24"/>
  <c r="C26" i="24"/>
  <c r="AZ26" i="24"/>
  <c r="E27" i="24"/>
  <c r="T24" i="21"/>
  <c r="AG56" i="21"/>
  <c r="H11" i="24"/>
  <c r="F81" i="23"/>
  <c r="I81" i="23" s="1"/>
  <c r="AR81" i="23" s="1"/>
  <c r="AS80" i="23"/>
  <c r="AU80" i="23"/>
  <c r="AQ80" i="23"/>
  <c r="K27" i="15"/>
  <c r="O27" i="15"/>
  <c r="AQ27" i="15"/>
  <c r="AS27" i="15"/>
  <c r="AU27" i="15"/>
  <c r="K24" i="23"/>
  <c r="AR13" i="15"/>
  <c r="H13" i="15"/>
  <c r="L8" i="15"/>
  <c r="I9" i="15" s="1"/>
  <c r="J9" i="15" s="1"/>
  <c r="AW95" i="23"/>
  <c r="BA95" i="23" s="1"/>
  <c r="AX95" i="23"/>
  <c r="BB95" i="23" s="1"/>
  <c r="AY95" i="23"/>
  <c r="BD95" i="23" s="1"/>
  <c r="H12" i="23"/>
  <c r="AT7" i="23"/>
  <c r="AV7" i="23" s="1"/>
  <c r="AW25" i="23"/>
  <c r="BA25" i="23" s="1"/>
  <c r="AX25" i="23"/>
  <c r="BB25" i="23" s="1"/>
  <c r="AY25" i="23"/>
  <c r="BD25" i="23" s="1"/>
  <c r="C25" i="23"/>
  <c r="O25" i="23" s="1"/>
  <c r="BE25" i="23"/>
  <c r="BF25" i="23"/>
  <c r="E26" i="23"/>
  <c r="AQ24" i="23"/>
  <c r="AS24" i="23"/>
  <c r="AU24" i="23"/>
  <c r="C95" i="23"/>
  <c r="BE95" i="23"/>
  <c r="BF95" i="23"/>
  <c r="E96" i="23"/>
  <c r="Y56" i="22"/>
  <c r="N55" i="22"/>
  <c r="L56" i="22"/>
  <c r="R56" i="22"/>
  <c r="S24" i="22"/>
  <c r="G24" i="22"/>
  <c r="F56" i="22"/>
  <c r="S56" i="22"/>
  <c r="M24" i="22"/>
  <c r="G56" i="22"/>
  <c r="N24" i="22"/>
  <c r="M56" i="22"/>
  <c r="O24" i="22"/>
  <c r="Q24" i="22"/>
  <c r="F50" i="22"/>
  <c r="I50" i="22" s="1"/>
  <c r="AR50" i="22" s="1"/>
  <c r="N48" i="22"/>
  <c r="AO48" i="22" s="1"/>
  <c r="P49" i="22"/>
  <c r="M48" i="22"/>
  <c r="Q48" i="22" s="1"/>
  <c r="L49" i="22" s="1"/>
  <c r="O49" i="22" s="1"/>
  <c r="G13" i="22"/>
  <c r="AR13" i="22" s="1"/>
  <c r="AU47" i="22"/>
  <c r="AO57" i="22"/>
  <c r="BF57" i="22"/>
  <c r="Q57" i="22"/>
  <c r="BG57" i="22"/>
  <c r="AX57" i="22"/>
  <c r="BB57" i="22" s="1"/>
  <c r="K57" i="22"/>
  <c r="AY57" i="22"/>
  <c r="BC57" i="22" s="1"/>
  <c r="W57" i="22"/>
  <c r="C57" i="22"/>
  <c r="S57" i="22" s="1"/>
  <c r="AC57" i="22"/>
  <c r="E58" i="22"/>
  <c r="AZ57" i="22"/>
  <c r="BE57" i="22" s="1"/>
  <c r="AQ47" i="22"/>
  <c r="AJ44" i="22"/>
  <c r="AK44" i="22" s="1"/>
  <c r="AW44" i="22" s="1"/>
  <c r="AS47" i="22"/>
  <c r="I24" i="22"/>
  <c r="AR24" i="22"/>
  <c r="AS24" i="22"/>
  <c r="AT24" i="22"/>
  <c r="AU24" i="22"/>
  <c r="AL24" i="22"/>
  <c r="AM24" i="22" s="1"/>
  <c r="AI24" i="22"/>
  <c r="AJ24" i="22" s="1"/>
  <c r="AQ24" i="22"/>
  <c r="K24" i="22"/>
  <c r="J56" i="22"/>
  <c r="F24" i="22"/>
  <c r="BA53" i="22"/>
  <c r="BD53" i="22" s="1"/>
  <c r="BH53" i="22"/>
  <c r="BF25" i="22"/>
  <c r="H25" i="22"/>
  <c r="AX25" i="22"/>
  <c r="BB25" i="22" s="1"/>
  <c r="L25" i="22"/>
  <c r="BG25" i="22"/>
  <c r="AY25" i="22"/>
  <c r="BC25" i="22" s="1"/>
  <c r="C25" i="22"/>
  <c r="N25" i="22" s="1"/>
  <c r="P25" i="22"/>
  <c r="E26" i="22"/>
  <c r="AZ25" i="22"/>
  <c r="BE25" i="22" s="1"/>
  <c r="AD56" i="22"/>
  <c r="BA21" i="22"/>
  <c r="BD21" i="22" s="1"/>
  <c r="BH21" i="22"/>
  <c r="AU56" i="22"/>
  <c r="AQ56" i="22"/>
  <c r="AR56" i="22"/>
  <c r="AS56" i="22"/>
  <c r="AT56" i="22"/>
  <c r="AF56" i="22"/>
  <c r="AK11" i="22"/>
  <c r="AL45" i="22"/>
  <c r="AN11" i="22"/>
  <c r="AP45" i="22"/>
  <c r="AP56" i="22"/>
  <c r="AI56" i="22"/>
  <c r="AJ56" i="22" s="1"/>
  <c r="AL56" i="22"/>
  <c r="AM56" i="22" s="1"/>
  <c r="AG50" i="22"/>
  <c r="AF51" i="22" s="1"/>
  <c r="AI44" i="21"/>
  <c r="AE47" i="21"/>
  <c r="AD48" i="21" s="1"/>
  <c r="AT48" i="21" s="1"/>
  <c r="AK12" i="21"/>
  <c r="AN12" i="21"/>
  <c r="AI56" i="21"/>
  <c r="AJ56" i="21" s="1"/>
  <c r="AL56" i="21"/>
  <c r="AM56" i="21" s="1"/>
  <c r="AP56" i="21"/>
  <c r="AG47" i="21"/>
  <c r="AF48" i="21" s="1"/>
  <c r="AP44" i="21"/>
  <c r="O24" i="25"/>
  <c r="I24" i="25"/>
  <c r="AK45" i="22"/>
  <c r="AE86" i="23"/>
  <c r="AD87" i="23" s="1"/>
  <c r="AT87" i="23" s="1"/>
  <c r="AW54" i="22"/>
  <c r="AK23" i="22"/>
  <c r="AN23" i="22"/>
  <c r="AK55" i="22"/>
  <c r="AN55" i="22"/>
  <c r="AE56" i="22"/>
  <c r="AG56" i="22"/>
  <c r="R24" i="22"/>
  <c r="T24" i="22"/>
  <c r="AW22" i="22"/>
  <c r="AW54" i="21"/>
  <c r="AK55" i="21"/>
  <c r="AN55" i="21"/>
  <c r="D43" i="2"/>
  <c r="AJ27" i="3"/>
  <c r="BF27" i="3" s="1"/>
  <c r="G43" i="2"/>
  <c r="F43" i="2"/>
  <c r="E9" i="2"/>
  <c r="H43" i="2"/>
  <c r="AK11" i="12"/>
  <c r="R7" i="13"/>
  <c r="Q8" i="13" s="1"/>
  <c r="AT8" i="13" s="1"/>
  <c r="AW8" i="13" s="1"/>
  <c r="T7" i="13"/>
  <c r="S8" i="13" s="1"/>
  <c r="AT7" i="13"/>
  <c r="AW7" i="13" s="1"/>
  <c r="BA7" i="13" s="1"/>
  <c r="BD7" i="13" s="1"/>
  <c r="BA6" i="12"/>
  <c r="BD6" i="12" s="1"/>
  <c r="R7" i="12"/>
  <c r="Q8" i="12" s="1"/>
  <c r="AT8" i="12" s="1"/>
  <c r="R7" i="18"/>
  <c r="Q8" i="18" s="1"/>
  <c r="AT8" i="18" s="1"/>
  <c r="AW8" i="18" s="1"/>
  <c r="T7" i="18"/>
  <c r="S8" i="18" s="1"/>
  <c r="J12" i="13"/>
  <c r="L12" i="13" s="1"/>
  <c r="I13" i="13" s="1"/>
  <c r="J8" i="14"/>
  <c r="L8" i="14" s="1"/>
  <c r="I9" i="14" s="1"/>
  <c r="J9" i="14" s="1"/>
  <c r="L9" i="14" s="1"/>
  <c r="I10" i="14" s="1"/>
  <c r="J10" i="14" s="1"/>
  <c r="L10" i="14" s="1"/>
  <c r="I11" i="14" s="1"/>
  <c r="J11" i="14" s="1"/>
  <c r="L11" i="14" s="1"/>
  <c r="I12" i="14" s="1"/>
  <c r="J12" i="14" s="1"/>
  <c r="L12" i="14" s="1"/>
  <c r="I13" i="14" s="1"/>
  <c r="J13" i="14" s="1"/>
  <c r="L13" i="14" s="1"/>
  <c r="I14" i="14" s="1"/>
  <c r="J14" i="14" s="1"/>
  <c r="L14" i="14" s="1"/>
  <c r="I15" i="14" s="1"/>
  <c r="J15" i="14" s="1"/>
  <c r="L15" i="14" s="1"/>
  <c r="I16" i="14" s="1"/>
  <c r="J16" i="14" s="1"/>
  <c r="L16" i="14" s="1"/>
  <c r="I17" i="14" s="1"/>
  <c r="J17" i="14" s="1"/>
  <c r="L17" i="14" s="1"/>
  <c r="I18" i="14" s="1"/>
  <c r="J18" i="14" s="1"/>
  <c r="L18" i="14" s="1"/>
  <c r="I19" i="14" s="1"/>
  <c r="J19" i="14" s="1"/>
  <c r="L19" i="14" s="1"/>
  <c r="I20" i="14" s="1"/>
  <c r="J20" i="14" s="1"/>
  <c r="L20" i="14" s="1"/>
  <c r="I21" i="14" s="1"/>
  <c r="J21" i="14" s="1"/>
  <c r="L21" i="14" s="1"/>
  <c r="I22" i="14" s="1"/>
  <c r="J22" i="14" s="1"/>
  <c r="L22" i="14" s="1"/>
  <c r="I23" i="14" s="1"/>
  <c r="J23" i="14" s="1"/>
  <c r="L23" i="14" s="1"/>
  <c r="I24" i="14" s="1"/>
  <c r="N8" i="13"/>
  <c r="N8" i="14"/>
  <c r="P8" i="14" s="1"/>
  <c r="M9" i="14" s="1"/>
  <c r="J9" i="18"/>
  <c r="L9" i="18" s="1"/>
  <c r="I10" i="18" s="1"/>
  <c r="T7" i="12"/>
  <c r="S8" i="12" s="1"/>
  <c r="P7" i="18"/>
  <c r="M8" i="18" s="1"/>
  <c r="T6" i="14"/>
  <c r="S7" i="14" s="1"/>
  <c r="T7" i="14" s="1"/>
  <c r="S8" i="14" s="1"/>
  <c r="P7" i="12"/>
  <c r="M8" i="12" s="1"/>
  <c r="AZ6" i="14"/>
  <c r="BC6" i="14" s="1"/>
  <c r="P7" i="15"/>
  <c r="M8" i="15" s="1"/>
  <c r="N8" i="15" s="1"/>
  <c r="R6" i="14"/>
  <c r="Q7" i="14" s="1"/>
  <c r="BF26" i="3"/>
  <c r="AR26" i="19"/>
  <c r="AB59" i="12"/>
  <c r="O59" i="12"/>
  <c r="AB59" i="13"/>
  <c r="O59" i="13"/>
  <c r="V59" i="12"/>
  <c r="V59" i="13"/>
  <c r="AA59" i="12"/>
  <c r="AA95" i="14"/>
  <c r="I95" i="14"/>
  <c r="AR95" i="14" s="1"/>
  <c r="U59" i="13"/>
  <c r="U95" i="14"/>
  <c r="U59" i="12"/>
  <c r="I59" i="13"/>
  <c r="O95" i="14"/>
  <c r="I59" i="12"/>
  <c r="V95" i="14"/>
  <c r="AA59" i="13"/>
  <c r="V27" i="17"/>
  <c r="AB95" i="14"/>
  <c r="O27" i="17"/>
  <c r="AB27" i="17"/>
  <c r="I27" i="17"/>
  <c r="U27" i="17"/>
  <c r="V27" i="19"/>
  <c r="U27" i="19"/>
  <c r="I27" i="19"/>
  <c r="AB27" i="19"/>
  <c r="AA27" i="17"/>
  <c r="AA27" i="19"/>
  <c r="O27" i="19"/>
  <c r="AZ27" i="19"/>
  <c r="E28" i="19"/>
  <c r="C27" i="19"/>
  <c r="H13" i="18"/>
  <c r="F14" i="18" s="1"/>
  <c r="G14" i="18" s="1"/>
  <c r="AR14" i="18" s="1"/>
  <c r="P57" i="13"/>
  <c r="H12" i="12"/>
  <c r="AL12" i="13"/>
  <c r="F13" i="13"/>
  <c r="AI12" i="13"/>
  <c r="AJ12" i="13" s="1"/>
  <c r="AK12" i="13" s="1"/>
  <c r="Y57" i="13"/>
  <c r="F57" i="13"/>
  <c r="AL14" i="14"/>
  <c r="AM14" i="14" s="1"/>
  <c r="AI14" i="14"/>
  <c r="AJ14" i="14" s="1"/>
  <c r="AR26" i="16"/>
  <c r="AX27" i="14"/>
  <c r="BB27" i="14" s="1"/>
  <c r="AW27" i="14"/>
  <c r="BA27" i="14" s="1"/>
  <c r="BF27" i="14"/>
  <c r="BE27" i="14"/>
  <c r="C27" i="14"/>
  <c r="AY27" i="14"/>
  <c r="BD27" i="14" s="1"/>
  <c r="E28" i="14"/>
  <c r="O26" i="14"/>
  <c r="AQ26" i="14"/>
  <c r="AU26" i="14"/>
  <c r="K26" i="14"/>
  <c r="AS26" i="14"/>
  <c r="E28" i="16"/>
  <c r="C27" i="16"/>
  <c r="BD27" i="16"/>
  <c r="AZ27" i="16"/>
  <c r="L57" i="13"/>
  <c r="N57" i="13" s="1"/>
  <c r="AP57" i="13"/>
  <c r="G57" i="13"/>
  <c r="AL57" i="13"/>
  <c r="AI57" i="13"/>
  <c r="X57" i="13"/>
  <c r="Z57" i="13" s="1"/>
  <c r="AU57" i="13"/>
  <c r="AT57" i="13"/>
  <c r="AS57" i="13"/>
  <c r="AQ57" i="13"/>
  <c r="AR57" i="13"/>
  <c r="R57" i="13"/>
  <c r="T57" i="13" s="1"/>
  <c r="AZ26" i="18"/>
  <c r="C26" i="18"/>
  <c r="E27" i="18"/>
  <c r="J57" i="13"/>
  <c r="AJ56" i="13"/>
  <c r="AK56" i="13" s="1"/>
  <c r="BH22" i="12"/>
  <c r="BA22" i="12"/>
  <c r="BD22" i="12" s="1"/>
  <c r="BH54" i="13"/>
  <c r="BA54" i="13"/>
  <c r="BD54" i="13" s="1"/>
  <c r="AO58" i="13"/>
  <c r="E59" i="13"/>
  <c r="AY58" i="13"/>
  <c r="BC58" i="13" s="1"/>
  <c r="BG58" i="13"/>
  <c r="BF58" i="13"/>
  <c r="AX58" i="13"/>
  <c r="BB58" i="13" s="1"/>
  <c r="AC58" i="13"/>
  <c r="K58" i="13"/>
  <c r="C58" i="13"/>
  <c r="F58" i="13" s="1"/>
  <c r="Q58" i="13"/>
  <c r="W58" i="13"/>
  <c r="AZ58" i="13"/>
  <c r="BE58" i="13" s="1"/>
  <c r="AW55" i="13"/>
  <c r="AM56" i="13"/>
  <c r="AN56" i="13" s="1"/>
  <c r="AW23" i="12"/>
  <c r="K25" i="18"/>
  <c r="AS25" i="18"/>
  <c r="O25" i="18"/>
  <c r="AU25" i="18"/>
  <c r="AQ25" i="18"/>
  <c r="M57" i="13"/>
  <c r="E27" i="17"/>
  <c r="AZ26" i="17"/>
  <c r="C26" i="17"/>
  <c r="G15" i="14"/>
  <c r="AR15" i="14" s="1"/>
  <c r="BA24" i="13"/>
  <c r="BD24" i="13" s="1"/>
  <c r="AE59" i="13"/>
  <c r="F27" i="13"/>
  <c r="S27" i="13"/>
  <c r="AG59" i="13"/>
  <c r="I27" i="13"/>
  <c r="AZ28" i="15"/>
  <c r="C28" i="15"/>
  <c r="E29" i="15"/>
  <c r="BH25" i="13"/>
  <c r="BA25" i="13"/>
  <c r="BD25" i="13" s="1"/>
  <c r="AR27" i="13"/>
  <c r="AQ27" i="13"/>
  <c r="AU27" i="13"/>
  <c r="AS27" i="13"/>
  <c r="AT27" i="13"/>
  <c r="AL27" i="13"/>
  <c r="AM27" i="13" s="1"/>
  <c r="AI27" i="13"/>
  <c r="AJ27" i="13" s="1"/>
  <c r="T27" i="13"/>
  <c r="R27" i="13"/>
  <c r="N27" i="13"/>
  <c r="Q27" i="13"/>
  <c r="M27" i="13"/>
  <c r="AD59" i="13"/>
  <c r="AN26" i="13"/>
  <c r="AW26" i="13" s="1"/>
  <c r="J27" i="13"/>
  <c r="O27" i="13"/>
  <c r="K27" i="13"/>
  <c r="G27" i="13"/>
  <c r="BG28" i="13"/>
  <c r="AX28" i="13"/>
  <c r="BB28" i="13" s="1"/>
  <c r="E29" i="13"/>
  <c r="AY28" i="13"/>
  <c r="BC28" i="13" s="1"/>
  <c r="H28" i="13"/>
  <c r="L28" i="13"/>
  <c r="BF28" i="13"/>
  <c r="P28" i="13"/>
  <c r="C28" i="13"/>
  <c r="G28" i="13" s="1"/>
  <c r="AZ28" i="13"/>
  <c r="BE28" i="13" s="1"/>
  <c r="AY96" i="14"/>
  <c r="BD96" i="14" s="1"/>
  <c r="BF96" i="14"/>
  <c r="AX96" i="14"/>
  <c r="BB96" i="14" s="1"/>
  <c r="E97" i="14"/>
  <c r="AW96" i="14"/>
  <c r="BA96" i="14" s="1"/>
  <c r="C96" i="14"/>
  <c r="BE96" i="14"/>
  <c r="AH29" i="3"/>
  <c r="BD28" i="3"/>
  <c r="AI27" i="3"/>
  <c r="BE27" i="3" s="1"/>
  <c r="AQ32" i="3"/>
  <c r="Y29" i="3"/>
  <c r="AC28" i="3"/>
  <c r="AG29" i="3"/>
  <c r="P32" i="3"/>
  <c r="P33" i="3" s="1"/>
  <c r="BC28" i="3"/>
  <c r="AE29" i="3"/>
  <c r="AN32" i="3"/>
  <c r="AN33" i="3" s="1"/>
  <c r="AI26" i="3"/>
  <c r="BE26" i="3" s="1"/>
  <c r="AL29" i="3"/>
  <c r="AW32" i="3"/>
  <c r="H29" i="3"/>
  <c r="AF28" i="3"/>
  <c r="AD28" i="3" s="1"/>
  <c r="A30" i="3"/>
  <c r="BI30" i="3" s="1"/>
  <c r="BJ30" i="3" s="1"/>
  <c r="V30" i="3"/>
  <c r="X30" i="3" s="1"/>
  <c r="G31" i="3"/>
  <c r="AV30" i="3"/>
  <c r="AX30" i="3" s="1"/>
  <c r="M18" i="22" l="1"/>
  <c r="N18" i="22" s="1"/>
  <c r="O18" i="22"/>
  <c r="O19" i="22"/>
  <c r="Z92" i="23"/>
  <c r="Y92" i="23"/>
  <c r="AC92" i="23" s="1"/>
  <c r="X93" i="23" s="1"/>
  <c r="AA93" i="23" s="1"/>
  <c r="S92" i="23"/>
  <c r="W92" i="23" s="1"/>
  <c r="R93" i="23" s="1"/>
  <c r="U93" i="23" s="1"/>
  <c r="T92" i="23"/>
  <c r="K12" i="28"/>
  <c r="F13" i="28" s="1"/>
  <c r="I13" i="28" s="1"/>
  <c r="AI12" i="28"/>
  <c r="AJ12" i="28" s="1"/>
  <c r="AK12" i="28" s="1"/>
  <c r="F13" i="29"/>
  <c r="I13" i="29" s="1"/>
  <c r="Q13" i="29" s="1"/>
  <c r="L14" i="29" s="1"/>
  <c r="AU12" i="29"/>
  <c r="AS12" i="29"/>
  <c r="N46" i="21"/>
  <c r="AO46" i="21" s="1"/>
  <c r="O46" i="21"/>
  <c r="M46" i="21"/>
  <c r="AU45" i="21"/>
  <c r="AQ45" i="21"/>
  <c r="AS45" i="21"/>
  <c r="Q81" i="23"/>
  <c r="L82" i="23" s="1"/>
  <c r="H56" i="21"/>
  <c r="I56" i="21"/>
  <c r="O13" i="28"/>
  <c r="M13" i="28"/>
  <c r="N13" i="28"/>
  <c r="P14" i="28"/>
  <c r="H56" i="22"/>
  <c r="I56" i="22"/>
  <c r="T56" i="21"/>
  <c r="V56" i="21"/>
  <c r="Z19" i="29"/>
  <c r="AA19" i="29"/>
  <c r="T15" i="29"/>
  <c r="U15" i="29"/>
  <c r="N56" i="22"/>
  <c r="O56" i="22"/>
  <c r="Z56" i="21"/>
  <c r="AB56" i="21"/>
  <c r="T56" i="22"/>
  <c r="U56" i="22"/>
  <c r="N8" i="24"/>
  <c r="T8" i="24" s="1"/>
  <c r="S9" i="24" s="1"/>
  <c r="BB30" i="3"/>
  <c r="AR32" i="3"/>
  <c r="J9" i="24"/>
  <c r="K9" i="24"/>
  <c r="T8" i="25"/>
  <c r="U8" i="25"/>
  <c r="AT8" i="21"/>
  <c r="O8" i="21"/>
  <c r="N8" i="21"/>
  <c r="T8" i="21" s="1"/>
  <c r="S9" i="21" s="1"/>
  <c r="F58" i="12"/>
  <c r="H58" i="12" s="1"/>
  <c r="K59" i="12"/>
  <c r="P26" i="12"/>
  <c r="I25" i="12"/>
  <c r="AL30" i="3"/>
  <c r="M25" i="12"/>
  <c r="AF57" i="12"/>
  <c r="AS25" i="12"/>
  <c r="AE57" i="12"/>
  <c r="AI25" i="12"/>
  <c r="AJ25" i="12" s="1"/>
  <c r="AK25" i="12" s="1"/>
  <c r="AR25" i="12"/>
  <c r="AU25" i="12"/>
  <c r="F25" i="12"/>
  <c r="AX26" i="12"/>
  <c r="BB26" i="12" s="1"/>
  <c r="T25" i="12"/>
  <c r="S25" i="12"/>
  <c r="R25" i="12"/>
  <c r="E27" i="12"/>
  <c r="AL25" i="12"/>
  <c r="AM25" i="12" s="1"/>
  <c r="AN25" i="12" s="1"/>
  <c r="K25" i="12"/>
  <c r="J25" i="12"/>
  <c r="Q25" i="12"/>
  <c r="BG26" i="12"/>
  <c r="N25" i="12"/>
  <c r="O25" i="12"/>
  <c r="AD57" i="12"/>
  <c r="AQ25" i="12"/>
  <c r="G25" i="12"/>
  <c r="AG57" i="12"/>
  <c r="L26" i="12"/>
  <c r="C26" i="12"/>
  <c r="AT26" i="12" s="1"/>
  <c r="H26" i="12"/>
  <c r="AZ26" i="12"/>
  <c r="BE26" i="12" s="1"/>
  <c r="BF26" i="12"/>
  <c r="AY26" i="12"/>
  <c r="BC26" i="12" s="1"/>
  <c r="P30" i="20"/>
  <c r="V8" i="25"/>
  <c r="S8" i="25"/>
  <c r="T8" i="22"/>
  <c r="S9" i="22" s="1"/>
  <c r="T9" i="22" s="1"/>
  <c r="S10" i="22" s="1"/>
  <c r="T10" i="22" s="1"/>
  <c r="S11" i="22" s="1"/>
  <c r="T11" i="22" s="1"/>
  <c r="S12" i="22" s="1"/>
  <c r="T12" i="22" s="1"/>
  <c r="S13" i="22" s="1"/>
  <c r="T13" i="22" s="1"/>
  <c r="S14" i="22" s="1"/>
  <c r="T14" i="22" s="1"/>
  <c r="S15" i="22" s="1"/>
  <c r="T15" i="22" s="1"/>
  <c r="S16" i="22" s="1"/>
  <c r="T16" i="22" s="1"/>
  <c r="S17" i="22" s="1"/>
  <c r="T17" i="22" s="1"/>
  <c r="S18" i="22" s="1"/>
  <c r="R8" i="23"/>
  <c r="Q9" i="23" s="1"/>
  <c r="AT9" i="23" s="1"/>
  <c r="AV9" i="23" s="1"/>
  <c r="AN30" i="20"/>
  <c r="R8" i="22"/>
  <c r="Q9" i="22" s="1"/>
  <c r="R9" i="22" s="1"/>
  <c r="Q10" i="22" s="1"/>
  <c r="J12" i="26"/>
  <c r="L12" i="26" s="1"/>
  <c r="I13" i="26" s="1"/>
  <c r="N18" i="23"/>
  <c r="P18" i="23" s="1"/>
  <c r="M19" i="23" s="1"/>
  <c r="BA8" i="22"/>
  <c r="BD8" i="22" s="1"/>
  <c r="BH8" i="22"/>
  <c r="BH55" i="12"/>
  <c r="O31" i="20"/>
  <c r="AQ30" i="20"/>
  <c r="AR30" i="20" s="1"/>
  <c r="AK28" i="3"/>
  <c r="BG28" i="3" s="1"/>
  <c r="N8" i="26"/>
  <c r="R8" i="26" s="1"/>
  <c r="Q9" i="26" s="1"/>
  <c r="J11" i="23"/>
  <c r="L11" i="23" s="1"/>
  <c r="I12" i="23" s="1"/>
  <c r="Y8" i="25"/>
  <c r="Z8" i="25"/>
  <c r="AB8" i="25"/>
  <c r="N57" i="12"/>
  <c r="AP58" i="12"/>
  <c r="AI58" i="12"/>
  <c r="AS58" i="12"/>
  <c r="AU58" i="12"/>
  <c r="AQ58" i="12"/>
  <c r="AL58" i="12"/>
  <c r="Y58" i="12"/>
  <c r="AJ57" i="12"/>
  <c r="AK57" i="12" s="1"/>
  <c r="G58" i="12"/>
  <c r="L58" i="12"/>
  <c r="P59" i="12" s="1"/>
  <c r="AM57" i="12"/>
  <c r="AN57" i="12" s="1"/>
  <c r="X58" i="12"/>
  <c r="Z58" i="12" s="1"/>
  <c r="BG59" i="12"/>
  <c r="AO59" i="12"/>
  <c r="W59" i="12"/>
  <c r="Q59" i="12"/>
  <c r="E60" i="12"/>
  <c r="BF59" i="12"/>
  <c r="AZ59" i="12"/>
  <c r="BE59" i="12" s="1"/>
  <c r="AC59" i="12"/>
  <c r="AX59" i="12"/>
  <c r="BB59" i="12" s="1"/>
  <c r="C59" i="12"/>
  <c r="AT59" i="12" s="1"/>
  <c r="AY59" i="12"/>
  <c r="BC59" i="12" s="1"/>
  <c r="R58" i="12"/>
  <c r="T58" i="12" s="1"/>
  <c r="S58" i="12"/>
  <c r="M58" i="12"/>
  <c r="J58" i="12"/>
  <c r="AW56" i="12"/>
  <c r="I8" i="12"/>
  <c r="AW23" i="21"/>
  <c r="BH23" i="21" s="1"/>
  <c r="AN24" i="21"/>
  <c r="Y57" i="21"/>
  <c r="H14" i="21"/>
  <c r="F15" i="21" s="1"/>
  <c r="G15" i="21" s="1"/>
  <c r="AR15" i="21" s="1"/>
  <c r="Q25" i="21"/>
  <c r="X57" i="21"/>
  <c r="S25" i="21"/>
  <c r="F57" i="21"/>
  <c r="J57" i="21"/>
  <c r="L57" i="21"/>
  <c r="BH22" i="21"/>
  <c r="M57" i="21"/>
  <c r="AK24" i="21"/>
  <c r="AF57" i="21"/>
  <c r="AJ44" i="21"/>
  <c r="AK44" i="21" s="1"/>
  <c r="H48" i="21"/>
  <c r="G48" i="21"/>
  <c r="K48" i="21" s="1"/>
  <c r="J49" i="21"/>
  <c r="AX26" i="21"/>
  <c r="BB26" i="21" s="1"/>
  <c r="L26" i="21"/>
  <c r="AY26" i="21"/>
  <c r="BC26" i="21" s="1"/>
  <c r="BF26" i="21"/>
  <c r="P26" i="21"/>
  <c r="H26" i="21"/>
  <c r="C26" i="21"/>
  <c r="K26" i="21" s="1"/>
  <c r="BG26" i="21"/>
  <c r="AZ26" i="21"/>
  <c r="BE26" i="21" s="1"/>
  <c r="E27" i="21"/>
  <c r="AX58" i="21"/>
  <c r="BB58" i="21" s="1"/>
  <c r="AY58" i="21"/>
  <c r="BC58" i="21" s="1"/>
  <c r="W58" i="21"/>
  <c r="AC58" i="21"/>
  <c r="C58" i="21"/>
  <c r="R58" i="21" s="1"/>
  <c r="BF58" i="21"/>
  <c r="AO58" i="21"/>
  <c r="BG58" i="21"/>
  <c r="K58" i="21"/>
  <c r="Q58" i="21"/>
  <c r="E59" i="21"/>
  <c r="AZ58" i="21"/>
  <c r="BE58" i="21" s="1"/>
  <c r="AL25" i="21"/>
  <c r="AM25" i="21" s="1"/>
  <c r="AI25" i="21"/>
  <c r="AJ25" i="21" s="1"/>
  <c r="AR25" i="21"/>
  <c r="AS25" i="21"/>
  <c r="AQ25" i="21"/>
  <c r="AT25" i="21"/>
  <c r="AU25" i="21"/>
  <c r="F25" i="21"/>
  <c r="G25" i="21"/>
  <c r="J25" i="21"/>
  <c r="M25" i="21"/>
  <c r="AT57" i="21"/>
  <c r="AQ57" i="21"/>
  <c r="AS57" i="21"/>
  <c r="AU57" i="21"/>
  <c r="K25" i="21"/>
  <c r="AD57" i="21"/>
  <c r="BA54" i="21"/>
  <c r="BD54" i="21" s="1"/>
  <c r="BH54" i="21"/>
  <c r="N25" i="21"/>
  <c r="R57" i="21"/>
  <c r="G57" i="21"/>
  <c r="AZ26" i="29"/>
  <c r="C26" i="29"/>
  <c r="E27" i="29"/>
  <c r="Y19" i="29"/>
  <c r="S15" i="29"/>
  <c r="AE15" i="29" s="1"/>
  <c r="AD16" i="29" s="1"/>
  <c r="AT16" i="29" s="1"/>
  <c r="AG18" i="29"/>
  <c r="AF19" i="29" s="1"/>
  <c r="O26" i="26"/>
  <c r="K26" i="26"/>
  <c r="AS26" i="26"/>
  <c r="AU26" i="26"/>
  <c r="AQ26" i="26"/>
  <c r="AR13" i="26"/>
  <c r="H13" i="26"/>
  <c r="C27" i="26"/>
  <c r="AZ27" i="26"/>
  <c r="E28" i="26"/>
  <c r="AO12" i="28"/>
  <c r="AT21" i="28"/>
  <c r="W20" i="28"/>
  <c r="R21" i="28" s="1"/>
  <c r="V21" i="28" s="1"/>
  <c r="AM12" i="28"/>
  <c r="AN12" i="28" s="1"/>
  <c r="AZ27" i="28"/>
  <c r="C27" i="28"/>
  <c r="E28" i="28"/>
  <c r="U26" i="25"/>
  <c r="V26" i="25"/>
  <c r="AA26" i="25"/>
  <c r="AB26" i="25"/>
  <c r="AR26" i="25"/>
  <c r="AJ11" i="25"/>
  <c r="AK11" i="25" s="1"/>
  <c r="BC27" i="25"/>
  <c r="BB27" i="25"/>
  <c r="BA27" i="25"/>
  <c r="G12" i="25"/>
  <c r="H12" i="25"/>
  <c r="AP12" i="25" s="1"/>
  <c r="J13" i="25"/>
  <c r="AE57" i="21"/>
  <c r="C27" i="25"/>
  <c r="AZ27" i="25"/>
  <c r="BD27" i="25"/>
  <c r="E28" i="25"/>
  <c r="C27" i="24"/>
  <c r="AZ27" i="24"/>
  <c r="E28" i="24"/>
  <c r="F12" i="24"/>
  <c r="AI11" i="24"/>
  <c r="AJ11" i="24" s="1"/>
  <c r="AL11" i="24"/>
  <c r="AM11" i="24" s="1"/>
  <c r="AQ26" i="24"/>
  <c r="AU26" i="24"/>
  <c r="AS26" i="24"/>
  <c r="R25" i="21"/>
  <c r="AG57" i="21"/>
  <c r="T25" i="21"/>
  <c r="AV80" i="23"/>
  <c r="BG80" i="23" s="1"/>
  <c r="J82" i="23"/>
  <c r="H81" i="23"/>
  <c r="G81" i="23"/>
  <c r="AI81" i="23" s="1"/>
  <c r="O28" i="15"/>
  <c r="AQ28" i="15"/>
  <c r="AS28" i="15"/>
  <c r="AU28" i="15"/>
  <c r="K28" i="15"/>
  <c r="AI13" i="15"/>
  <c r="AJ13" i="15" s="1"/>
  <c r="AK13" i="15" s="1"/>
  <c r="AL13" i="15"/>
  <c r="AM13" i="15" s="1"/>
  <c r="AN13" i="15" s="1"/>
  <c r="F14" i="15"/>
  <c r="L9" i="15"/>
  <c r="I10" i="15" s="1"/>
  <c r="J10" i="15" s="1"/>
  <c r="K25" i="23"/>
  <c r="BG7" i="23"/>
  <c r="AZ7" i="23"/>
  <c r="BC7" i="23" s="1"/>
  <c r="AS25" i="23"/>
  <c r="AU25" i="23"/>
  <c r="AQ25" i="23"/>
  <c r="F13" i="23"/>
  <c r="AL12" i="23"/>
  <c r="AI12" i="23"/>
  <c r="AX96" i="23"/>
  <c r="BB96" i="23" s="1"/>
  <c r="AW96" i="23"/>
  <c r="BA96" i="23" s="1"/>
  <c r="AY96" i="23"/>
  <c r="BD96" i="23" s="1"/>
  <c r="AW26" i="23"/>
  <c r="BA26" i="23" s="1"/>
  <c r="AX26" i="23"/>
  <c r="BB26" i="23" s="1"/>
  <c r="AY26" i="23"/>
  <c r="BD26" i="23" s="1"/>
  <c r="E27" i="23"/>
  <c r="C26" i="23"/>
  <c r="O26" i="23" s="1"/>
  <c r="BF26" i="23"/>
  <c r="BE26" i="23"/>
  <c r="P57" i="22"/>
  <c r="BG8" i="23"/>
  <c r="AZ8" i="23"/>
  <c r="BC8" i="23" s="1"/>
  <c r="S9" i="23"/>
  <c r="T9" i="23" s="1"/>
  <c r="F57" i="22"/>
  <c r="G57" i="22"/>
  <c r="AS48" i="22"/>
  <c r="L57" i="22"/>
  <c r="X57" i="22"/>
  <c r="R57" i="22"/>
  <c r="C96" i="23"/>
  <c r="BE96" i="23"/>
  <c r="BF96" i="23"/>
  <c r="E97" i="23"/>
  <c r="M25" i="22"/>
  <c r="J57" i="22"/>
  <c r="I25" i="22"/>
  <c r="J25" i="22"/>
  <c r="K25" i="22"/>
  <c r="H13" i="22"/>
  <c r="F14" i="22" s="1"/>
  <c r="BA44" i="22"/>
  <c r="BD44" i="22" s="1"/>
  <c r="BH44" i="22"/>
  <c r="BG26" i="22"/>
  <c r="C26" i="22"/>
  <c r="AD58" i="22" s="1"/>
  <c r="H26" i="22"/>
  <c r="AX26" i="22"/>
  <c r="BB26" i="22" s="1"/>
  <c r="L26" i="22"/>
  <c r="AY26" i="22"/>
  <c r="BC26" i="22" s="1"/>
  <c r="P26" i="22"/>
  <c r="BF26" i="22"/>
  <c r="AZ26" i="22"/>
  <c r="BE26" i="22" s="1"/>
  <c r="E27" i="22"/>
  <c r="H50" i="22"/>
  <c r="G50" i="22"/>
  <c r="K50" i="22" s="1"/>
  <c r="J51" i="22"/>
  <c r="M49" i="22"/>
  <c r="Q49" i="22" s="1"/>
  <c r="P50" i="22"/>
  <c r="N49" i="22"/>
  <c r="AO49" i="22" s="1"/>
  <c r="C58" i="22"/>
  <c r="G58" i="22" s="1"/>
  <c r="AC58" i="22"/>
  <c r="AO58" i="22"/>
  <c r="BF58" i="22"/>
  <c r="BG58" i="22"/>
  <c r="K58" i="22"/>
  <c r="AX58" i="22"/>
  <c r="BB58" i="22" s="1"/>
  <c r="Q58" i="22"/>
  <c r="W58" i="22"/>
  <c r="AY58" i="22"/>
  <c r="BC58" i="22" s="1"/>
  <c r="E59" i="22"/>
  <c r="AZ58" i="22"/>
  <c r="BE58" i="22" s="1"/>
  <c r="BA54" i="22"/>
  <c r="BD54" i="22" s="1"/>
  <c r="BH54" i="22"/>
  <c r="AQ25" i="22"/>
  <c r="AR25" i="22"/>
  <c r="AI25" i="22"/>
  <c r="AJ25" i="22" s="1"/>
  <c r="AS25" i="22"/>
  <c r="AT25" i="22"/>
  <c r="AU25" i="22"/>
  <c r="AL25" i="22"/>
  <c r="AM25" i="22" s="1"/>
  <c r="O25" i="22"/>
  <c r="F25" i="22"/>
  <c r="BA22" i="22"/>
  <c r="BD22" i="22" s="1"/>
  <c r="BH22" i="22"/>
  <c r="Q25" i="22"/>
  <c r="AF57" i="22"/>
  <c r="AQ48" i="22"/>
  <c r="AQ57" i="22"/>
  <c r="AR57" i="22"/>
  <c r="AS57" i="22"/>
  <c r="AT57" i="22"/>
  <c r="AU57" i="22"/>
  <c r="AD57" i="22"/>
  <c r="G25" i="22"/>
  <c r="AU48" i="22"/>
  <c r="Y57" i="22"/>
  <c r="AM45" i="22"/>
  <c r="AN45" i="22" s="1"/>
  <c r="S25" i="22"/>
  <c r="M57" i="22"/>
  <c r="AG51" i="22"/>
  <c r="AF52" i="22" s="1"/>
  <c r="AG52" i="22" s="1"/>
  <c r="AI57" i="22"/>
  <c r="AJ57" i="22" s="1"/>
  <c r="AL57" i="22"/>
  <c r="AM57" i="22" s="1"/>
  <c r="AP57" i="22"/>
  <c r="AK12" i="22"/>
  <c r="AP57" i="21"/>
  <c r="AI57" i="21"/>
  <c r="AJ57" i="21" s="1"/>
  <c r="AL57" i="21"/>
  <c r="AM57" i="21" s="1"/>
  <c r="AC17" i="28"/>
  <c r="X18" i="28" s="1"/>
  <c r="AB18" i="28" s="1"/>
  <c r="O25" i="25"/>
  <c r="I25" i="25"/>
  <c r="AG89" i="23"/>
  <c r="AF90" i="23" s="1"/>
  <c r="AW55" i="22"/>
  <c r="AW23" i="22"/>
  <c r="AE57" i="22"/>
  <c r="AG57" i="22"/>
  <c r="R25" i="22"/>
  <c r="T25" i="22"/>
  <c r="AN24" i="22"/>
  <c r="AK24" i="22"/>
  <c r="AK56" i="22"/>
  <c r="AN56" i="22"/>
  <c r="AW55" i="21"/>
  <c r="AK56" i="21"/>
  <c r="AN56" i="21"/>
  <c r="AN44" i="21"/>
  <c r="T8" i="13"/>
  <c r="S9" i="13" s="1"/>
  <c r="AW8" i="12"/>
  <c r="BA8" i="12" s="1"/>
  <c r="BD8" i="12" s="1"/>
  <c r="BA7" i="12"/>
  <c r="BD7" i="12" s="1"/>
  <c r="E43" i="2"/>
  <c r="BH7" i="13"/>
  <c r="T8" i="14"/>
  <c r="S9" i="14" s="1"/>
  <c r="R8" i="13"/>
  <c r="Q9" i="13" s="1"/>
  <c r="AT9" i="13" s="1"/>
  <c r="AW9" i="13" s="1"/>
  <c r="N9" i="14"/>
  <c r="J10" i="18"/>
  <c r="L10" i="18" s="1"/>
  <c r="I11" i="18" s="1"/>
  <c r="P8" i="13"/>
  <c r="M9" i="13" s="1"/>
  <c r="N8" i="12"/>
  <c r="R8" i="12" s="1"/>
  <c r="Q9" i="12" s="1"/>
  <c r="AT9" i="12" s="1"/>
  <c r="N8" i="18"/>
  <c r="P8" i="18" s="1"/>
  <c r="M9" i="18" s="1"/>
  <c r="J13" i="13"/>
  <c r="L13" i="13" s="1"/>
  <c r="I14" i="13" s="1"/>
  <c r="T7" i="15"/>
  <c r="S8" i="15" s="1"/>
  <c r="R7" i="15"/>
  <c r="Q8" i="15" s="1"/>
  <c r="AT8" i="15" s="1"/>
  <c r="AT7" i="14"/>
  <c r="AV7" i="14" s="1"/>
  <c r="R7" i="14"/>
  <c r="Q8" i="14" s="1"/>
  <c r="AJ28" i="3"/>
  <c r="BF28" i="3" s="1"/>
  <c r="BH8" i="13"/>
  <c r="BA8" i="13"/>
  <c r="BD8" i="13" s="1"/>
  <c r="AM30" i="3"/>
  <c r="O27" i="14"/>
  <c r="J24" i="14"/>
  <c r="L24" i="14" s="1"/>
  <c r="I25" i="14" s="1"/>
  <c r="U60" i="12"/>
  <c r="U60" i="13"/>
  <c r="AA60" i="12"/>
  <c r="I60" i="12"/>
  <c r="AA60" i="13"/>
  <c r="I60" i="13"/>
  <c r="AB60" i="12"/>
  <c r="U96" i="14"/>
  <c r="V60" i="13"/>
  <c r="O96" i="14"/>
  <c r="O60" i="13"/>
  <c r="AB96" i="14"/>
  <c r="I96" i="14"/>
  <c r="AR96" i="14" s="1"/>
  <c r="AB60" i="13"/>
  <c r="V96" i="14"/>
  <c r="V60" i="12"/>
  <c r="AB28" i="17"/>
  <c r="O28" i="17"/>
  <c r="I28" i="17"/>
  <c r="O60" i="12"/>
  <c r="AA28" i="17"/>
  <c r="AA28" i="19"/>
  <c r="I28" i="19"/>
  <c r="V28" i="17"/>
  <c r="V28" i="19"/>
  <c r="AA96" i="14"/>
  <c r="U28" i="19"/>
  <c r="O28" i="19"/>
  <c r="U28" i="17"/>
  <c r="AB28" i="19"/>
  <c r="AR27" i="19"/>
  <c r="AL13" i="18"/>
  <c r="AM13" i="18" s="1"/>
  <c r="AN13" i="18" s="1"/>
  <c r="C28" i="19"/>
  <c r="AZ28" i="19"/>
  <c r="E29" i="19"/>
  <c r="AI13" i="18"/>
  <c r="AJ13" i="18" s="1"/>
  <c r="AK13" i="18" s="1"/>
  <c r="H14" i="18"/>
  <c r="F13" i="12"/>
  <c r="AI12" i="12"/>
  <c r="AL12" i="12"/>
  <c r="G13" i="13"/>
  <c r="AR13" i="13" s="1"/>
  <c r="AM12" i="13"/>
  <c r="AN12" i="13" s="1"/>
  <c r="H15" i="14"/>
  <c r="AI15" i="14" s="1"/>
  <c r="AJ15" i="14" s="1"/>
  <c r="H57" i="13"/>
  <c r="J58" i="13"/>
  <c r="H58" i="13"/>
  <c r="J59" i="13"/>
  <c r="AR27" i="16"/>
  <c r="P58" i="13"/>
  <c r="AS27" i="14"/>
  <c r="K27" i="14"/>
  <c r="AQ27" i="14"/>
  <c r="AU27" i="14"/>
  <c r="AW56" i="13"/>
  <c r="BH56" i="13" s="1"/>
  <c r="AZ28" i="16"/>
  <c r="BD28" i="16"/>
  <c r="E29" i="16"/>
  <c r="C28" i="16"/>
  <c r="AW24" i="12"/>
  <c r="BA24" i="12" s="1"/>
  <c r="BD24" i="12" s="1"/>
  <c r="BF28" i="14"/>
  <c r="AW28" i="14"/>
  <c r="BA28" i="14" s="1"/>
  <c r="BE28" i="14"/>
  <c r="C28" i="14"/>
  <c r="AX28" i="14"/>
  <c r="BB28" i="14" s="1"/>
  <c r="E29" i="14"/>
  <c r="AY28" i="14"/>
  <c r="BD28" i="14" s="1"/>
  <c r="BH23" i="12"/>
  <c r="BA23" i="12"/>
  <c r="BD23" i="12" s="1"/>
  <c r="BH55" i="13"/>
  <c r="BA55" i="13"/>
  <c r="BD55" i="13" s="1"/>
  <c r="AZ27" i="17"/>
  <c r="C27" i="17"/>
  <c r="E28" i="17"/>
  <c r="G58" i="13"/>
  <c r="AI58" i="13"/>
  <c r="AP58" i="13"/>
  <c r="AQ58" i="13"/>
  <c r="AL58" i="13"/>
  <c r="Y58" i="13"/>
  <c r="AS58" i="13"/>
  <c r="AR58" i="13"/>
  <c r="AU58" i="13"/>
  <c r="AT58" i="13"/>
  <c r="L58" i="13"/>
  <c r="N58" i="13" s="1"/>
  <c r="BF59" i="13"/>
  <c r="AO59" i="13"/>
  <c r="W59" i="13"/>
  <c r="K59" i="13"/>
  <c r="BG59" i="13"/>
  <c r="AZ59" i="13"/>
  <c r="BE59" i="13" s="1"/>
  <c r="C59" i="13"/>
  <c r="M59" i="13" s="1"/>
  <c r="AX59" i="13"/>
  <c r="BB59" i="13" s="1"/>
  <c r="AY59" i="13"/>
  <c r="BC59" i="13" s="1"/>
  <c r="Q59" i="13"/>
  <c r="AC59" i="13"/>
  <c r="E60" i="13"/>
  <c r="AJ57" i="13"/>
  <c r="AK57" i="13" s="1"/>
  <c r="R58" i="13"/>
  <c r="T58" i="13" s="1"/>
  <c r="C27" i="18"/>
  <c r="AZ27" i="18"/>
  <c r="E28" i="18"/>
  <c r="AQ26" i="18"/>
  <c r="K26" i="18"/>
  <c r="O26" i="18"/>
  <c r="AS26" i="18"/>
  <c r="AU26" i="18"/>
  <c r="M58" i="13"/>
  <c r="X58" i="13"/>
  <c r="Z58" i="13" s="1"/>
  <c r="S58" i="13"/>
  <c r="AM57" i="13"/>
  <c r="AN57" i="13" s="1"/>
  <c r="R28" i="13"/>
  <c r="AN27" i="13"/>
  <c r="I28" i="13"/>
  <c r="AG60" i="13"/>
  <c r="F28" i="13"/>
  <c r="AD60" i="13"/>
  <c r="T28" i="13"/>
  <c r="K28" i="13"/>
  <c r="N28" i="13"/>
  <c r="M28" i="13"/>
  <c r="E30" i="15"/>
  <c r="AZ29" i="15"/>
  <c r="C29" i="15"/>
  <c r="AE60" i="13"/>
  <c r="O28" i="13"/>
  <c r="J28" i="13"/>
  <c r="BA26" i="13"/>
  <c r="BD26" i="13" s="1"/>
  <c r="BH26" i="13"/>
  <c r="AY29" i="13"/>
  <c r="BC29" i="13" s="1"/>
  <c r="BC31" i="13" s="1"/>
  <c r="BG29" i="13"/>
  <c r="P29" i="13"/>
  <c r="BF29" i="13"/>
  <c r="BF31" i="13" s="1"/>
  <c r="AZ29" i="13"/>
  <c r="AZ31" i="13" s="1"/>
  <c r="C29" i="13"/>
  <c r="AD61" i="13" s="1"/>
  <c r="L29" i="13"/>
  <c r="AX29" i="13"/>
  <c r="BB29" i="13" s="1"/>
  <c r="H29" i="13"/>
  <c r="AK27" i="13"/>
  <c r="AS28" i="13"/>
  <c r="AL28" i="13"/>
  <c r="AM28" i="13" s="1"/>
  <c r="AR28" i="13"/>
  <c r="AI28" i="13"/>
  <c r="AJ28" i="13" s="1"/>
  <c r="AQ28" i="13"/>
  <c r="AU28" i="13"/>
  <c r="AT28" i="13"/>
  <c r="S28" i="13"/>
  <c r="Q28" i="13"/>
  <c r="AF60" i="13"/>
  <c r="AX97" i="14"/>
  <c r="BB97" i="14" s="1"/>
  <c r="C97" i="14"/>
  <c r="E98" i="14"/>
  <c r="AW97" i="14"/>
  <c r="BA97" i="14" s="1"/>
  <c r="BE97" i="14"/>
  <c r="AY97" i="14"/>
  <c r="BD97" i="14" s="1"/>
  <c r="BF97" i="14"/>
  <c r="AW33" i="3"/>
  <c r="AG30" i="3"/>
  <c r="G32" i="3"/>
  <c r="AV31" i="3"/>
  <c r="AX31" i="3" s="1"/>
  <c r="V31" i="3"/>
  <c r="X31" i="3" s="1"/>
  <c r="AI28" i="3"/>
  <c r="BE28" i="3" s="1"/>
  <c r="AF29" i="3"/>
  <c r="AK29" i="3" s="1"/>
  <c r="H30" i="3"/>
  <c r="AN34" i="3"/>
  <c r="P34" i="3"/>
  <c r="Y30" i="3"/>
  <c r="AC29" i="3"/>
  <c r="A31" i="3"/>
  <c r="BI31" i="3" s="1"/>
  <c r="BJ31" i="3" s="1"/>
  <c r="BC29" i="3"/>
  <c r="AE30" i="3"/>
  <c r="AQ33" i="3"/>
  <c r="BD29" i="3"/>
  <c r="AH30" i="3"/>
  <c r="T18" i="22" l="1"/>
  <c r="S19" i="22" s="1"/>
  <c r="P18" i="22"/>
  <c r="M19" i="22" s="1"/>
  <c r="N19" i="22" s="1"/>
  <c r="P19" i="22" s="1"/>
  <c r="P20" i="22"/>
  <c r="O21" i="22" s="1"/>
  <c r="T20" i="22"/>
  <c r="Z93" i="23"/>
  <c r="Y93" i="23"/>
  <c r="AC93" i="23" s="1"/>
  <c r="X94" i="23" s="1"/>
  <c r="AA94" i="23" s="1"/>
  <c r="T93" i="23"/>
  <c r="S93" i="23"/>
  <c r="W93" i="23" s="1"/>
  <c r="R94" i="23" s="1"/>
  <c r="U94" i="23" s="1"/>
  <c r="AS12" i="28"/>
  <c r="AQ12" i="28"/>
  <c r="AU12" i="28"/>
  <c r="AR13" i="29"/>
  <c r="AW12" i="29"/>
  <c r="H13" i="29"/>
  <c r="AP13" i="29" s="1"/>
  <c r="J14" i="29"/>
  <c r="G13" i="29"/>
  <c r="AI13" i="29" s="1"/>
  <c r="AJ13" i="29" s="1"/>
  <c r="Q46" i="21"/>
  <c r="AQ46" i="21" s="1"/>
  <c r="H57" i="21"/>
  <c r="I57" i="21"/>
  <c r="Q13" i="28"/>
  <c r="L14" i="28" s="1"/>
  <c r="M14" i="29"/>
  <c r="O14" i="29"/>
  <c r="N14" i="29"/>
  <c r="P15" i="29"/>
  <c r="H57" i="22"/>
  <c r="I57" i="22"/>
  <c r="T57" i="21"/>
  <c r="V57" i="21"/>
  <c r="T58" i="21"/>
  <c r="V58" i="21"/>
  <c r="P58" i="21"/>
  <c r="O57" i="21"/>
  <c r="P58" i="22"/>
  <c r="O57" i="22"/>
  <c r="Z57" i="22"/>
  <c r="AA57" i="22"/>
  <c r="O82" i="23"/>
  <c r="N82" i="23"/>
  <c r="M82" i="23"/>
  <c r="P83" i="23"/>
  <c r="T57" i="22"/>
  <c r="U57" i="22"/>
  <c r="Z57" i="21"/>
  <c r="AB57" i="21"/>
  <c r="AW8" i="21"/>
  <c r="BA8" i="21" s="1"/>
  <c r="BD8" i="21" s="1"/>
  <c r="R8" i="24"/>
  <c r="Q9" i="24" s="1"/>
  <c r="AT9" i="24" s="1"/>
  <c r="AW9" i="24" s="1"/>
  <c r="P8" i="24"/>
  <c r="M9" i="24" s="1"/>
  <c r="BB31" i="3"/>
  <c r="AR33" i="3"/>
  <c r="R8" i="21"/>
  <c r="Q9" i="21" s="1"/>
  <c r="AT9" i="21" s="1"/>
  <c r="AW9" i="21" s="1"/>
  <c r="L9" i="24"/>
  <c r="I10" i="24" s="1"/>
  <c r="K10" i="24" s="1"/>
  <c r="P8" i="21"/>
  <c r="M9" i="21" s="1"/>
  <c r="F59" i="12"/>
  <c r="H59" i="12" s="1"/>
  <c r="K60" i="12"/>
  <c r="BF27" i="12"/>
  <c r="J8" i="12"/>
  <c r="L8" i="12" s="1"/>
  <c r="I9" i="12" s="1"/>
  <c r="G59" i="12"/>
  <c r="I26" i="12"/>
  <c r="C27" i="12"/>
  <c r="AT27" i="12" s="1"/>
  <c r="E28" i="12"/>
  <c r="AY27" i="12"/>
  <c r="BC27" i="12" s="1"/>
  <c r="BG27" i="12"/>
  <c r="N26" i="12"/>
  <c r="S26" i="12"/>
  <c r="AX27" i="12"/>
  <c r="BB27" i="12" s="1"/>
  <c r="AZ27" i="12"/>
  <c r="BE27" i="12" s="1"/>
  <c r="AR26" i="12"/>
  <c r="H27" i="12"/>
  <c r="P27" i="12"/>
  <c r="L27" i="12"/>
  <c r="AU26" i="12"/>
  <c r="J26" i="12"/>
  <c r="M26" i="12"/>
  <c r="Q26" i="12"/>
  <c r="R26" i="12"/>
  <c r="F26" i="12"/>
  <c r="AD58" i="12"/>
  <c r="AI26" i="12"/>
  <c r="AJ26" i="12" s="1"/>
  <c r="AK26" i="12" s="1"/>
  <c r="AL26" i="12"/>
  <c r="AM26" i="12" s="1"/>
  <c r="AN26" i="12" s="1"/>
  <c r="O26" i="12"/>
  <c r="AQ26" i="12"/>
  <c r="AE58" i="12"/>
  <c r="AS26" i="12"/>
  <c r="AF58" i="12"/>
  <c r="K26" i="12"/>
  <c r="T26" i="12"/>
  <c r="G26" i="12"/>
  <c r="AG58" i="12"/>
  <c r="N58" i="12"/>
  <c r="AN31" i="20"/>
  <c r="AE8" i="25"/>
  <c r="AD9" i="25" s="1"/>
  <c r="AT9" i="25" s="1"/>
  <c r="AW9" i="25" s="1"/>
  <c r="W8" i="25"/>
  <c r="R9" i="25" s="1"/>
  <c r="AC8" i="25"/>
  <c r="X9" i="25" s="1"/>
  <c r="R9" i="23"/>
  <c r="Q10" i="23" s="1"/>
  <c r="AT10" i="23" s="1"/>
  <c r="AV10" i="23" s="1"/>
  <c r="P8" i="26"/>
  <c r="M9" i="26" s="1"/>
  <c r="N9" i="26" s="1"/>
  <c r="AT9" i="22"/>
  <c r="AW9" i="22" s="1"/>
  <c r="BH9" i="22" s="1"/>
  <c r="AW57" i="12"/>
  <c r="BH57" i="12" s="1"/>
  <c r="N19" i="23"/>
  <c r="P19" i="23" s="1"/>
  <c r="M20" i="23" s="1"/>
  <c r="J13" i="26"/>
  <c r="L13" i="26" s="1"/>
  <c r="I14" i="26" s="1"/>
  <c r="AG8" i="25"/>
  <c r="AF9" i="25" s="1"/>
  <c r="J12" i="23"/>
  <c r="L12" i="23" s="1"/>
  <c r="I13" i="23" s="1"/>
  <c r="AT9" i="26"/>
  <c r="AW9" i="26" s="1"/>
  <c r="T8" i="26"/>
  <c r="S9" i="26" s="1"/>
  <c r="O32" i="20"/>
  <c r="AQ31" i="20"/>
  <c r="AR31" i="20" s="1"/>
  <c r="AT10" i="22"/>
  <c r="AW10" i="22" s="1"/>
  <c r="R10" i="22"/>
  <c r="Q11" i="22" s="1"/>
  <c r="BG29" i="3"/>
  <c r="P31" i="20"/>
  <c r="L59" i="12"/>
  <c r="P60" i="12" s="1"/>
  <c r="M59" i="12"/>
  <c r="X59" i="12"/>
  <c r="Z59" i="12" s="1"/>
  <c r="R59" i="12"/>
  <c r="T59" i="12" s="1"/>
  <c r="AJ58" i="12"/>
  <c r="AK58" i="12" s="1"/>
  <c r="J59" i="12"/>
  <c r="AM58" i="12"/>
  <c r="AN58" i="12" s="1"/>
  <c r="AY60" i="12"/>
  <c r="BC60" i="12" s="1"/>
  <c r="BG60" i="12"/>
  <c r="AC60" i="12"/>
  <c r="BF60" i="12"/>
  <c r="AO60" i="12"/>
  <c r="Q60" i="12"/>
  <c r="AZ60" i="12"/>
  <c r="E61" i="12"/>
  <c r="C60" i="12"/>
  <c r="AT60" i="12" s="1"/>
  <c r="W60" i="12"/>
  <c r="AX60" i="12"/>
  <c r="BB60" i="12" s="1"/>
  <c r="BA56" i="12"/>
  <c r="BD56" i="12" s="1"/>
  <c r="BH56" i="12"/>
  <c r="AP59" i="12"/>
  <c r="AI59" i="12"/>
  <c r="AU59" i="12"/>
  <c r="AL59" i="12"/>
  <c r="AQ59" i="12"/>
  <c r="AS59" i="12"/>
  <c r="Y59" i="12"/>
  <c r="S59" i="12"/>
  <c r="BA23" i="21"/>
  <c r="BD23" i="21" s="1"/>
  <c r="AN25" i="21"/>
  <c r="AW24" i="21"/>
  <c r="BH24" i="21" s="1"/>
  <c r="AK25" i="21"/>
  <c r="AI14" i="21"/>
  <c r="AJ14" i="21" s="1"/>
  <c r="AL14" i="21"/>
  <c r="AM14" i="21" s="1"/>
  <c r="N57" i="21"/>
  <c r="S58" i="21"/>
  <c r="G58" i="21"/>
  <c r="X58" i="21"/>
  <c r="Y58" i="21"/>
  <c r="L58" i="21"/>
  <c r="M58" i="21"/>
  <c r="H15" i="21"/>
  <c r="J58" i="21"/>
  <c r="G26" i="21"/>
  <c r="J26" i="21"/>
  <c r="AD58" i="21"/>
  <c r="O26" i="21"/>
  <c r="Q26" i="21"/>
  <c r="F26" i="21"/>
  <c r="F49" i="21"/>
  <c r="I49" i="21" s="1"/>
  <c r="BH55" i="21"/>
  <c r="BA55" i="21"/>
  <c r="BD55" i="21" s="1"/>
  <c r="BG59" i="21"/>
  <c r="K59" i="21"/>
  <c r="AO59" i="21"/>
  <c r="AX59" i="21"/>
  <c r="BB59" i="21" s="1"/>
  <c r="Q59" i="21"/>
  <c r="C59" i="21"/>
  <c r="M59" i="21" s="1"/>
  <c r="W59" i="21"/>
  <c r="AC59" i="21"/>
  <c r="AY59" i="21"/>
  <c r="BC59" i="21" s="1"/>
  <c r="BF59" i="21"/>
  <c r="E60" i="21"/>
  <c r="AZ59" i="21"/>
  <c r="BE59" i="21" s="1"/>
  <c r="AU58" i="21"/>
  <c r="AQ58" i="21"/>
  <c r="AS58" i="21"/>
  <c r="AT58" i="21"/>
  <c r="AU26" i="21"/>
  <c r="AI26" i="21"/>
  <c r="AJ26" i="21" s="1"/>
  <c r="AQ26" i="21"/>
  <c r="AL26" i="21"/>
  <c r="AM26" i="21" s="1"/>
  <c r="AR26" i="21"/>
  <c r="AS26" i="21"/>
  <c r="AT26" i="21"/>
  <c r="F58" i="21"/>
  <c r="AF58" i="21"/>
  <c r="M26" i="21"/>
  <c r="S26" i="21"/>
  <c r="AX27" i="21"/>
  <c r="BB27" i="21" s="1"/>
  <c r="L27" i="21"/>
  <c r="P27" i="21"/>
  <c r="AY27" i="21"/>
  <c r="BC27" i="21" s="1"/>
  <c r="BG27" i="21"/>
  <c r="C27" i="21"/>
  <c r="S27" i="21" s="1"/>
  <c r="BF27" i="21"/>
  <c r="H27" i="21"/>
  <c r="E28" i="21"/>
  <c r="AZ27" i="21"/>
  <c r="BE27" i="21" s="1"/>
  <c r="N26" i="21"/>
  <c r="AG19" i="29"/>
  <c r="AF20" i="29" s="1"/>
  <c r="AG58" i="21"/>
  <c r="C27" i="29"/>
  <c r="AZ27" i="29"/>
  <c r="E28" i="29"/>
  <c r="W15" i="29"/>
  <c r="R16" i="29" s="1"/>
  <c r="K27" i="26"/>
  <c r="O27" i="26"/>
  <c r="AQ27" i="26"/>
  <c r="AU27" i="26"/>
  <c r="AS27" i="26"/>
  <c r="F14" i="26"/>
  <c r="AI13" i="26"/>
  <c r="AL13" i="26"/>
  <c r="C28" i="26"/>
  <c r="AZ28" i="26"/>
  <c r="E29" i="26"/>
  <c r="T21" i="28"/>
  <c r="S21" i="28"/>
  <c r="AE21" i="28" s="1"/>
  <c r="AD22" i="28" s="1"/>
  <c r="H13" i="28"/>
  <c r="AP13" i="28" s="1"/>
  <c r="J14" i="28"/>
  <c r="G13" i="28"/>
  <c r="AI13" i="28" s="1"/>
  <c r="Z18" i="28"/>
  <c r="Y18" i="28"/>
  <c r="AG18" i="28" s="1"/>
  <c r="AF19" i="28" s="1"/>
  <c r="T26" i="21"/>
  <c r="AE58" i="21"/>
  <c r="C28" i="28"/>
  <c r="AZ28" i="28"/>
  <c r="E29" i="28"/>
  <c r="R26" i="21"/>
  <c r="AR12" i="25"/>
  <c r="I12" i="25"/>
  <c r="Q12" i="25" s="1"/>
  <c r="L13" i="25" s="1"/>
  <c r="AL12" i="25"/>
  <c r="AM12" i="25" s="1"/>
  <c r="AN12" i="25" s="1"/>
  <c r="AO12" i="25"/>
  <c r="U27" i="25"/>
  <c r="V27" i="25"/>
  <c r="AA27" i="25"/>
  <c r="AB27" i="25"/>
  <c r="AR27" i="25"/>
  <c r="BB28" i="25"/>
  <c r="BC28" i="25"/>
  <c r="BA28" i="25"/>
  <c r="AK11" i="24"/>
  <c r="AN11" i="24"/>
  <c r="K12" i="25"/>
  <c r="AZ28" i="25"/>
  <c r="BD28" i="25"/>
  <c r="C28" i="25"/>
  <c r="E29" i="25"/>
  <c r="AQ27" i="24"/>
  <c r="AS27" i="24"/>
  <c r="AU27" i="24"/>
  <c r="C28" i="24"/>
  <c r="AZ28" i="24"/>
  <c r="E29" i="24"/>
  <c r="AZ80" i="23"/>
  <c r="BC80" i="23" s="1"/>
  <c r="N57" i="22"/>
  <c r="G12" i="24"/>
  <c r="AR12" i="24" s="1"/>
  <c r="AJ81" i="23"/>
  <c r="AK81" i="23" s="1"/>
  <c r="AP81" i="23"/>
  <c r="AO81" i="23"/>
  <c r="AL81" i="23"/>
  <c r="AM81" i="23" s="1"/>
  <c r="AN81" i="23" s="1"/>
  <c r="K81" i="23"/>
  <c r="AS29" i="15"/>
  <c r="AU29" i="15"/>
  <c r="AQ29" i="15"/>
  <c r="G14" i="15"/>
  <c r="L10" i="15"/>
  <c r="I11" i="15" s="1"/>
  <c r="J11" i="15" s="1"/>
  <c r="AW27" i="23"/>
  <c r="BA27" i="23" s="1"/>
  <c r="AX27" i="23"/>
  <c r="BB27" i="23" s="1"/>
  <c r="AY27" i="23"/>
  <c r="BD27" i="23" s="1"/>
  <c r="C27" i="23"/>
  <c r="O27" i="23" s="1"/>
  <c r="BF27" i="23"/>
  <c r="BE27" i="23"/>
  <c r="E28" i="23"/>
  <c r="AS26" i="23"/>
  <c r="AU26" i="23"/>
  <c r="AQ26" i="23"/>
  <c r="AW97" i="23"/>
  <c r="BA97" i="23" s="1"/>
  <c r="AX97" i="23"/>
  <c r="BB97" i="23" s="1"/>
  <c r="AY97" i="23"/>
  <c r="BD97" i="23" s="1"/>
  <c r="G13" i="23"/>
  <c r="AR13" i="23" s="1"/>
  <c r="AM12" i="23"/>
  <c r="AN12" i="23" s="1"/>
  <c r="AJ12" i="23"/>
  <c r="AK12" i="23" s="1"/>
  <c r="K26" i="23"/>
  <c r="AL13" i="22"/>
  <c r="AM13" i="22" s="1"/>
  <c r="J58" i="22"/>
  <c r="M58" i="22"/>
  <c r="L58" i="22"/>
  <c r="AZ9" i="23"/>
  <c r="BC9" i="23" s="1"/>
  <c r="BG9" i="23"/>
  <c r="S10" i="23"/>
  <c r="T10" i="23" s="1"/>
  <c r="C97" i="23"/>
  <c r="BE97" i="23"/>
  <c r="BF97" i="23"/>
  <c r="E98" i="23"/>
  <c r="AI13" i="22"/>
  <c r="AJ13" i="22" s="1"/>
  <c r="X58" i="22"/>
  <c r="G14" i="22"/>
  <c r="AR14" i="22" s="1"/>
  <c r="M26" i="22"/>
  <c r="N26" i="22"/>
  <c r="L50" i="22"/>
  <c r="O50" i="22" s="1"/>
  <c r="AQ49" i="22"/>
  <c r="AU49" i="22"/>
  <c r="AS49" i="22"/>
  <c r="F51" i="22"/>
  <c r="I51" i="22" s="1"/>
  <c r="AR51" i="22" s="1"/>
  <c r="O26" i="22"/>
  <c r="F26" i="22"/>
  <c r="BA55" i="22"/>
  <c r="BD55" i="22" s="1"/>
  <c r="BH55" i="22"/>
  <c r="BA23" i="22"/>
  <c r="BD23" i="22" s="1"/>
  <c r="BH23" i="22"/>
  <c r="AU58" i="22"/>
  <c r="AQ58" i="22"/>
  <c r="AR58" i="22"/>
  <c r="AS58" i="22"/>
  <c r="AT58" i="22"/>
  <c r="G26" i="22"/>
  <c r="Y58" i="22"/>
  <c r="AL26" i="22"/>
  <c r="AM26" i="22" s="1"/>
  <c r="AQ26" i="22"/>
  <c r="AR26" i="22"/>
  <c r="AS26" i="22"/>
  <c r="AT26" i="22"/>
  <c r="AU26" i="22"/>
  <c r="AI26" i="22"/>
  <c r="AJ26" i="22" s="1"/>
  <c r="BF27" i="22"/>
  <c r="BG27" i="22"/>
  <c r="C27" i="22"/>
  <c r="Q27" i="22" s="1"/>
  <c r="H27" i="22"/>
  <c r="AX27" i="22"/>
  <c r="BB27" i="22" s="1"/>
  <c r="L27" i="22"/>
  <c r="P27" i="22"/>
  <c r="AY27" i="22"/>
  <c r="BC27" i="22" s="1"/>
  <c r="AZ27" i="22"/>
  <c r="BE27" i="22" s="1"/>
  <c r="E28" i="22"/>
  <c r="R58" i="22"/>
  <c r="F58" i="22"/>
  <c r="Q26" i="22"/>
  <c r="AF58" i="22"/>
  <c r="I26" i="22"/>
  <c r="AO59" i="22"/>
  <c r="K59" i="22"/>
  <c r="C59" i="22"/>
  <c r="S59" i="22" s="1"/>
  <c r="Q59" i="22"/>
  <c r="BG59" i="22"/>
  <c r="AX59" i="22"/>
  <c r="BB59" i="22" s="1"/>
  <c r="BF59" i="22"/>
  <c r="AY59" i="22"/>
  <c r="BC59" i="22" s="1"/>
  <c r="W59" i="22"/>
  <c r="AC59" i="22"/>
  <c r="E60" i="22"/>
  <c r="AZ59" i="22"/>
  <c r="BE59" i="22" s="1"/>
  <c r="S26" i="22"/>
  <c r="J26" i="22"/>
  <c r="S58" i="22"/>
  <c r="K26" i="22"/>
  <c r="AN12" i="22"/>
  <c r="AI46" i="22"/>
  <c r="AI58" i="22"/>
  <c r="AJ58" i="22" s="1"/>
  <c r="AL58" i="22"/>
  <c r="AM58" i="22" s="1"/>
  <c r="AP58" i="22"/>
  <c r="AI58" i="21"/>
  <c r="AJ58" i="21" s="1"/>
  <c r="AL58" i="21"/>
  <c r="AM58" i="21" s="1"/>
  <c r="AP58" i="21"/>
  <c r="AE48" i="21"/>
  <c r="AD49" i="21" s="1"/>
  <c r="AT49" i="21" s="1"/>
  <c r="AI45" i="21"/>
  <c r="AC19" i="29"/>
  <c r="X20" i="29" s="1"/>
  <c r="AW45" i="22"/>
  <c r="I26" i="25"/>
  <c r="O26" i="25"/>
  <c r="AE87" i="23"/>
  <c r="AD88" i="23" s="1"/>
  <c r="AT88" i="23" s="1"/>
  <c r="AW24" i="22"/>
  <c r="AW56" i="22"/>
  <c r="AN57" i="22"/>
  <c r="AK25" i="22"/>
  <c r="AN25" i="22"/>
  <c r="AE58" i="22"/>
  <c r="T26" i="22"/>
  <c r="AG58" i="22"/>
  <c r="R26" i="22"/>
  <c r="AK57" i="22"/>
  <c r="AW56" i="21"/>
  <c r="AW44" i="21"/>
  <c r="AN57" i="21"/>
  <c r="AK57" i="21"/>
  <c r="BH8" i="12"/>
  <c r="T9" i="14"/>
  <c r="S10" i="14" s="1"/>
  <c r="T8" i="15"/>
  <c r="S9" i="15" s="1"/>
  <c r="P8" i="12"/>
  <c r="M9" i="12" s="1"/>
  <c r="N9" i="12" s="1"/>
  <c r="J11" i="18"/>
  <c r="L11" i="18" s="1"/>
  <c r="I12" i="18" s="1"/>
  <c r="J14" i="13"/>
  <c r="L14" i="13" s="1"/>
  <c r="I15" i="13" s="1"/>
  <c r="O9" i="12"/>
  <c r="P8" i="15"/>
  <c r="M9" i="15" s="1"/>
  <c r="N9" i="15" s="1"/>
  <c r="P9" i="14"/>
  <c r="M10" i="14" s="1"/>
  <c r="N9" i="18"/>
  <c r="P9" i="18" s="1"/>
  <c r="M10" i="18" s="1"/>
  <c r="N10" i="18" s="1"/>
  <c r="P10" i="18" s="1"/>
  <c r="M11" i="18" s="1"/>
  <c r="AW8" i="15"/>
  <c r="R8" i="15"/>
  <c r="Q9" i="15" s="1"/>
  <c r="AT9" i="15" s="1"/>
  <c r="BH9" i="13"/>
  <c r="BA9" i="13"/>
  <c r="BD9" i="13" s="1"/>
  <c r="R8" i="18"/>
  <c r="Q9" i="18" s="1"/>
  <c r="AT9" i="18" s="1"/>
  <c r="AW9" i="18" s="1"/>
  <c r="T8" i="18"/>
  <c r="S9" i="18" s="1"/>
  <c r="T8" i="12"/>
  <c r="S9" i="12" s="1"/>
  <c r="BG7" i="14"/>
  <c r="AZ7" i="14"/>
  <c r="BC7" i="14" s="1"/>
  <c r="N9" i="13"/>
  <c r="P9" i="13" s="1"/>
  <c r="M10" i="13" s="1"/>
  <c r="AT8" i="14"/>
  <c r="AV8" i="14" s="1"/>
  <c r="R8" i="14"/>
  <c r="Q9" i="14" s="1"/>
  <c r="J25" i="14"/>
  <c r="L25" i="14" s="1"/>
  <c r="I26" i="14" s="1"/>
  <c r="AD29" i="3"/>
  <c r="AJ29" i="3" s="1"/>
  <c r="V61" i="12"/>
  <c r="V61" i="13"/>
  <c r="AB61" i="12"/>
  <c r="O61" i="12"/>
  <c r="AB61" i="13"/>
  <c r="O61" i="13"/>
  <c r="AA61" i="12"/>
  <c r="AA97" i="14"/>
  <c r="I97" i="14"/>
  <c r="AR97" i="14" s="1"/>
  <c r="I61" i="12"/>
  <c r="U61" i="13"/>
  <c r="O97" i="14"/>
  <c r="I61" i="13"/>
  <c r="AB97" i="14"/>
  <c r="AA61" i="13"/>
  <c r="V97" i="14"/>
  <c r="U97" i="14"/>
  <c r="V29" i="17"/>
  <c r="AB29" i="17"/>
  <c r="I29" i="17"/>
  <c r="AA29" i="17"/>
  <c r="O29" i="17"/>
  <c r="AB29" i="19"/>
  <c r="O29" i="19"/>
  <c r="AA29" i="19"/>
  <c r="I29" i="19"/>
  <c r="U29" i="17"/>
  <c r="U61" i="12"/>
  <c r="U29" i="19"/>
  <c r="V29" i="19"/>
  <c r="K28" i="14"/>
  <c r="AR28" i="19"/>
  <c r="H13" i="13"/>
  <c r="F14" i="13" s="1"/>
  <c r="G14" i="13" s="1"/>
  <c r="AR14" i="13" s="1"/>
  <c r="F16" i="14"/>
  <c r="G16" i="14" s="1"/>
  <c r="AR16" i="14" s="1"/>
  <c r="E30" i="19"/>
  <c r="AZ29" i="19"/>
  <c r="C29" i="19"/>
  <c r="G13" i="12"/>
  <c r="AR13" i="12" s="1"/>
  <c r="AM12" i="12"/>
  <c r="AN12" i="12" s="1"/>
  <c r="AL14" i="18"/>
  <c r="AM14" i="18" s="1"/>
  <c r="AN14" i="18" s="1"/>
  <c r="F15" i="18"/>
  <c r="AI14" i="18"/>
  <c r="AJ14" i="18" s="1"/>
  <c r="AK14" i="18" s="1"/>
  <c r="AJ12" i="12"/>
  <c r="AL15" i="14"/>
  <c r="AM15" i="14" s="1"/>
  <c r="BH24" i="12"/>
  <c r="P59" i="13"/>
  <c r="AG61" i="13"/>
  <c r="BA56" i="13"/>
  <c r="BD56" i="13" s="1"/>
  <c r="AW57" i="13"/>
  <c r="BA57" i="13" s="1"/>
  <c r="BD57" i="13" s="1"/>
  <c r="R59" i="13"/>
  <c r="T59" i="13" s="1"/>
  <c r="Y59" i="13"/>
  <c r="O28" i="14"/>
  <c r="AS28" i="14"/>
  <c r="AU28" i="14"/>
  <c r="AQ28" i="14"/>
  <c r="G59" i="13"/>
  <c r="AW29" i="14"/>
  <c r="BA29" i="14" s="1"/>
  <c r="C29" i="14"/>
  <c r="BE29" i="14"/>
  <c r="AX29" i="14"/>
  <c r="BB29" i="14" s="1"/>
  <c r="BF29" i="14"/>
  <c r="E30" i="14"/>
  <c r="AY29" i="14"/>
  <c r="BD29" i="14" s="1"/>
  <c r="BD29" i="16"/>
  <c r="E30" i="16"/>
  <c r="C29" i="16"/>
  <c r="AZ29" i="16"/>
  <c r="AW25" i="12"/>
  <c r="BA25" i="12" s="1"/>
  <c r="BD25" i="12" s="1"/>
  <c r="AR28" i="16"/>
  <c r="AX60" i="13"/>
  <c r="BB60" i="13" s="1"/>
  <c r="K60" i="13"/>
  <c r="AC60" i="13"/>
  <c r="W60" i="13"/>
  <c r="C60" i="13"/>
  <c r="F60" i="13" s="1"/>
  <c r="AY60" i="13"/>
  <c r="BC60" i="13" s="1"/>
  <c r="E61" i="13"/>
  <c r="BG60" i="13"/>
  <c r="Q60" i="13"/>
  <c r="AZ60" i="13"/>
  <c r="BE60" i="13" s="1"/>
  <c r="AO60" i="13"/>
  <c r="BF60" i="13"/>
  <c r="AM58" i="13"/>
  <c r="AN58" i="13" s="1"/>
  <c r="AS27" i="18"/>
  <c r="K27" i="18"/>
  <c r="O27" i="18"/>
  <c r="AU27" i="18"/>
  <c r="AQ27" i="18"/>
  <c r="F59" i="13"/>
  <c r="H59" i="13" s="1"/>
  <c r="AQ59" i="13"/>
  <c r="AI59" i="13"/>
  <c r="L59" i="13"/>
  <c r="N59" i="13" s="1"/>
  <c r="X59" i="13"/>
  <c r="Z59" i="13" s="1"/>
  <c r="AL59" i="13"/>
  <c r="AR59" i="13"/>
  <c r="AP59" i="13"/>
  <c r="AU59" i="13"/>
  <c r="AT59" i="13"/>
  <c r="AS59" i="13"/>
  <c r="C28" i="18"/>
  <c r="E29" i="18"/>
  <c r="AZ28" i="18"/>
  <c r="S59" i="13"/>
  <c r="AJ58" i="13"/>
  <c r="AK58" i="13" s="1"/>
  <c r="AZ28" i="17"/>
  <c r="C28" i="17"/>
  <c r="E29" i="17"/>
  <c r="AN28" i="13"/>
  <c r="R29" i="13"/>
  <c r="T29" i="13"/>
  <c r="AW27" i="13"/>
  <c r="BA27" i="13" s="1"/>
  <c r="BD27" i="13" s="1"/>
  <c r="AF61" i="13"/>
  <c r="AE61" i="13"/>
  <c r="Q29" i="13"/>
  <c r="AY31" i="13"/>
  <c r="S29" i="13"/>
  <c r="N29" i="13"/>
  <c r="AZ30" i="15"/>
  <c r="E31" i="15"/>
  <c r="C30" i="15"/>
  <c r="M29" i="13"/>
  <c r="O29" i="13"/>
  <c r="AK28" i="13"/>
  <c r="G29" i="13"/>
  <c r="BE29" i="13"/>
  <c r="BE31" i="13" s="1"/>
  <c r="I29" i="13"/>
  <c r="K29" i="13"/>
  <c r="J29" i="13"/>
  <c r="AT29" i="13"/>
  <c r="AU29" i="13"/>
  <c r="AU31" i="13" s="1"/>
  <c r="AL29" i="13"/>
  <c r="AM29" i="13" s="1"/>
  <c r="AS29" i="13"/>
  <c r="AS31" i="13" s="1"/>
  <c r="AQ29" i="13"/>
  <c r="AQ31" i="13" s="1"/>
  <c r="AR29" i="13"/>
  <c r="AI29" i="13"/>
  <c r="AJ29" i="13" s="1"/>
  <c r="F29" i="13"/>
  <c r="BF98" i="14"/>
  <c r="AW98" i="14"/>
  <c r="BA98" i="14" s="1"/>
  <c r="BE98" i="14"/>
  <c r="AY98" i="14"/>
  <c r="BD98" i="14" s="1"/>
  <c r="C98" i="14"/>
  <c r="AX98" i="14"/>
  <c r="BB98" i="14" s="1"/>
  <c r="E99" i="14"/>
  <c r="AN13" i="14"/>
  <c r="AK13" i="14"/>
  <c r="AM31" i="3"/>
  <c r="AH31" i="3"/>
  <c r="BD30" i="3"/>
  <c r="A32" i="3"/>
  <c r="BI32" i="3" s="1"/>
  <c r="BJ32" i="3" s="1"/>
  <c r="AG31" i="3"/>
  <c r="AE31" i="3"/>
  <c r="BC30" i="3"/>
  <c r="H31" i="3"/>
  <c r="AF30" i="3"/>
  <c r="AD30" i="3" s="1"/>
  <c r="V32" i="3"/>
  <c r="X32" i="3" s="1"/>
  <c r="AV32" i="3"/>
  <c r="AX32" i="3" s="1"/>
  <c r="G33" i="3"/>
  <c r="AQ34" i="3"/>
  <c r="Y31" i="3"/>
  <c r="AC30" i="3"/>
  <c r="AL31" i="3"/>
  <c r="AW34" i="3"/>
  <c r="T19" i="22" l="1"/>
  <c r="S20" i="22" s="1"/>
  <c r="M20" i="22"/>
  <c r="O20" i="22"/>
  <c r="N20" i="22"/>
  <c r="N21" i="22"/>
  <c r="Z94" i="23"/>
  <c r="Y94" i="23"/>
  <c r="AC94" i="23" s="1"/>
  <c r="X95" i="23" s="1"/>
  <c r="AA95" i="23" s="1"/>
  <c r="T94" i="23"/>
  <c r="S94" i="23"/>
  <c r="W94" i="23" s="1"/>
  <c r="R95" i="23" s="1"/>
  <c r="U95" i="23" s="1"/>
  <c r="AW12" i="28"/>
  <c r="AL13" i="29"/>
  <c r="AM13" i="29" s="1"/>
  <c r="AN13" i="29" s="1"/>
  <c r="AK13" i="29"/>
  <c r="K13" i="29"/>
  <c r="F14" i="29" s="1"/>
  <c r="J15" i="29" s="1"/>
  <c r="AO13" i="29"/>
  <c r="L47" i="21"/>
  <c r="M47" i="21" s="1"/>
  <c r="AU46" i="21"/>
  <c r="AS46" i="21"/>
  <c r="M14" i="28"/>
  <c r="O14" i="28"/>
  <c r="N14" i="28"/>
  <c r="P15" i="28"/>
  <c r="Z58" i="21"/>
  <c r="AB58" i="21"/>
  <c r="Z58" i="22"/>
  <c r="AA58" i="22"/>
  <c r="T58" i="22"/>
  <c r="U58" i="22"/>
  <c r="P59" i="22"/>
  <c r="O58" i="22"/>
  <c r="Z20" i="29"/>
  <c r="AA20" i="29"/>
  <c r="H58" i="22"/>
  <c r="I58" i="22"/>
  <c r="N58" i="21"/>
  <c r="O58" i="21"/>
  <c r="T16" i="29"/>
  <c r="U16" i="29"/>
  <c r="I14" i="29"/>
  <c r="AR14" i="29" s="1"/>
  <c r="H58" i="21"/>
  <c r="I58" i="21"/>
  <c r="I9" i="2"/>
  <c r="I43" i="2" s="1"/>
  <c r="BH8" i="21"/>
  <c r="J10" i="24"/>
  <c r="L10" i="24" s="1"/>
  <c r="I11" i="24" s="1"/>
  <c r="O9" i="24"/>
  <c r="N9" i="24"/>
  <c r="T9" i="24" s="1"/>
  <c r="S10" i="24" s="1"/>
  <c r="AR34" i="3"/>
  <c r="BB32" i="3"/>
  <c r="T9" i="25"/>
  <c r="U9" i="25"/>
  <c r="Z9" i="25"/>
  <c r="AA9" i="25"/>
  <c r="BA9" i="21"/>
  <c r="BD9" i="21" s="1"/>
  <c r="BH9" i="21"/>
  <c r="O9" i="21"/>
  <c r="N9" i="21"/>
  <c r="F60" i="12"/>
  <c r="H60" i="12" s="1"/>
  <c r="K61" i="12"/>
  <c r="J9" i="12"/>
  <c r="L9" i="12" s="1"/>
  <c r="I10" i="12" s="1"/>
  <c r="E29" i="12"/>
  <c r="M27" i="12"/>
  <c r="T27" i="12"/>
  <c r="AU27" i="12"/>
  <c r="AD59" i="12"/>
  <c r="K27" i="12"/>
  <c r="AS27" i="12"/>
  <c r="AI27" i="12"/>
  <c r="AJ27" i="12" s="1"/>
  <c r="AK27" i="12" s="1"/>
  <c r="AR27" i="12"/>
  <c r="O27" i="12"/>
  <c r="AL27" i="12"/>
  <c r="AM27" i="12" s="1"/>
  <c r="AN27" i="12" s="1"/>
  <c r="I27" i="12"/>
  <c r="S27" i="12"/>
  <c r="R27" i="12"/>
  <c r="J27" i="12"/>
  <c r="AF59" i="12"/>
  <c r="AG59" i="12"/>
  <c r="Q27" i="12"/>
  <c r="N27" i="12"/>
  <c r="AQ27" i="12"/>
  <c r="AZ28" i="12"/>
  <c r="BE28" i="12" s="1"/>
  <c r="F27" i="12"/>
  <c r="AE59" i="12"/>
  <c r="G27" i="12"/>
  <c r="C28" i="12"/>
  <c r="AT28" i="12" s="1"/>
  <c r="AX28" i="12"/>
  <c r="BB28" i="12" s="1"/>
  <c r="BF28" i="12"/>
  <c r="P28" i="12"/>
  <c r="H28" i="12"/>
  <c r="L28" i="12"/>
  <c r="BG28" i="12"/>
  <c r="AY28" i="12"/>
  <c r="BC28" i="12" s="1"/>
  <c r="AN32" i="20"/>
  <c r="V9" i="25"/>
  <c r="S9" i="25"/>
  <c r="AB9" i="25"/>
  <c r="Y9" i="25"/>
  <c r="R10" i="23"/>
  <c r="Q11" i="23" s="1"/>
  <c r="AT11" i="23" s="1"/>
  <c r="AV11" i="23" s="1"/>
  <c r="AW58" i="12"/>
  <c r="BH58" i="12" s="1"/>
  <c r="P9" i="26"/>
  <c r="M10" i="26" s="1"/>
  <c r="R9" i="26"/>
  <c r="Q10" i="26" s="1"/>
  <c r="T9" i="26"/>
  <c r="S10" i="26" s="1"/>
  <c r="BA9" i="22"/>
  <c r="BD9" i="22" s="1"/>
  <c r="BA57" i="12"/>
  <c r="BD57" i="12" s="1"/>
  <c r="J60" i="12"/>
  <c r="AK30" i="3"/>
  <c r="BG30" i="3" s="1"/>
  <c r="J14" i="26"/>
  <c r="L14" i="26" s="1"/>
  <c r="I15" i="26" s="1"/>
  <c r="J15" i="26" s="1"/>
  <c r="L15" i="26" s="1"/>
  <c r="I16" i="26" s="1"/>
  <c r="J16" i="26" s="1"/>
  <c r="L16" i="26" s="1"/>
  <c r="I17" i="26" s="1"/>
  <c r="N20" i="23"/>
  <c r="P20" i="23" s="1"/>
  <c r="M21" i="23" s="1"/>
  <c r="J13" i="23"/>
  <c r="L13" i="23" s="1"/>
  <c r="I14" i="23" s="1"/>
  <c r="AT11" i="22"/>
  <c r="AW11" i="22" s="1"/>
  <c r="R11" i="22"/>
  <c r="Q12" i="22" s="1"/>
  <c r="AQ32" i="20"/>
  <c r="AR32" i="20" s="1"/>
  <c r="O33" i="20"/>
  <c r="P32" i="20"/>
  <c r="BA10" i="22"/>
  <c r="BD10" i="22" s="1"/>
  <c r="BH10" i="22"/>
  <c r="N59" i="12"/>
  <c r="AJ59" i="12"/>
  <c r="AK59" i="12" s="1"/>
  <c r="AC61" i="12"/>
  <c r="AO61" i="12"/>
  <c r="BF61" i="12"/>
  <c r="BF63" i="12" s="1"/>
  <c r="BG61" i="12"/>
  <c r="W61" i="12"/>
  <c r="AZ61" i="12"/>
  <c r="BE61" i="12" s="1"/>
  <c r="AY61" i="12"/>
  <c r="C61" i="12"/>
  <c r="AT61" i="12" s="1"/>
  <c r="AX61" i="12"/>
  <c r="BB61" i="12" s="1"/>
  <c r="Q61" i="12"/>
  <c r="R60" i="12"/>
  <c r="T60" i="12" s="1"/>
  <c r="AQ60" i="12"/>
  <c r="AL60" i="12"/>
  <c r="AI60" i="12"/>
  <c r="AS60" i="12"/>
  <c r="AU60" i="12"/>
  <c r="AP60" i="12"/>
  <c r="AM59" i="12"/>
  <c r="AN59" i="12" s="1"/>
  <c r="S60" i="12"/>
  <c r="L60" i="12"/>
  <c r="P61" i="12" s="1"/>
  <c r="M60" i="12"/>
  <c r="G60" i="12"/>
  <c r="Y60" i="12"/>
  <c r="X60" i="12"/>
  <c r="Z60" i="12" s="1"/>
  <c r="BE60" i="12"/>
  <c r="K29" i="15"/>
  <c r="O29" i="15"/>
  <c r="AW25" i="21"/>
  <c r="BH25" i="21" s="1"/>
  <c r="BA24" i="21"/>
  <c r="BD24" i="21" s="1"/>
  <c r="M27" i="21"/>
  <c r="P59" i="21"/>
  <c r="X59" i="21"/>
  <c r="F16" i="21"/>
  <c r="AL15" i="21"/>
  <c r="AM15" i="21" s="1"/>
  <c r="AI15" i="21"/>
  <c r="AJ15" i="21" s="1"/>
  <c r="AK26" i="21"/>
  <c r="R59" i="21"/>
  <c r="L59" i="21"/>
  <c r="H49" i="21"/>
  <c r="G49" i="21"/>
  <c r="K49" i="21" s="1"/>
  <c r="F50" i="21" s="1"/>
  <c r="I50" i="21" s="1"/>
  <c r="J50" i="21"/>
  <c r="AJ45" i="21"/>
  <c r="AK45" i="21" s="1"/>
  <c r="N27" i="21"/>
  <c r="O27" i="21"/>
  <c r="AY60" i="21"/>
  <c r="BC60" i="21" s="1"/>
  <c r="W60" i="21"/>
  <c r="K60" i="21"/>
  <c r="C60" i="21"/>
  <c r="M60" i="21" s="1"/>
  <c r="AC60" i="21"/>
  <c r="BG60" i="21"/>
  <c r="BF60" i="21"/>
  <c r="Q60" i="21"/>
  <c r="AO60" i="21"/>
  <c r="AX60" i="21"/>
  <c r="BB60" i="21" s="1"/>
  <c r="AZ60" i="21"/>
  <c r="BE60" i="21" s="1"/>
  <c r="E61" i="21"/>
  <c r="Q27" i="21"/>
  <c r="AU59" i="21"/>
  <c r="AQ59" i="21"/>
  <c r="AS59" i="21"/>
  <c r="AT59" i="21"/>
  <c r="F27" i="21"/>
  <c r="AF59" i="21"/>
  <c r="Y59" i="21"/>
  <c r="AD59" i="21"/>
  <c r="AN26" i="21"/>
  <c r="G27" i="21"/>
  <c r="J27" i="21"/>
  <c r="F59" i="21"/>
  <c r="K27" i="21"/>
  <c r="G59" i="21"/>
  <c r="J59" i="21"/>
  <c r="AS27" i="21"/>
  <c r="AT27" i="21"/>
  <c r="AU27" i="21"/>
  <c r="AL27" i="21"/>
  <c r="AM27" i="21" s="1"/>
  <c r="AQ27" i="21"/>
  <c r="AI27" i="21"/>
  <c r="AJ27" i="21" s="1"/>
  <c r="AR27" i="21"/>
  <c r="H28" i="21"/>
  <c r="AX28" i="21"/>
  <c r="BB28" i="21" s="1"/>
  <c r="L28" i="21"/>
  <c r="AY28" i="21"/>
  <c r="BC28" i="21" s="1"/>
  <c r="BF28" i="21"/>
  <c r="C28" i="21"/>
  <c r="S28" i="21" s="1"/>
  <c r="P28" i="21"/>
  <c r="BG28" i="21"/>
  <c r="E29" i="21"/>
  <c r="AZ28" i="21"/>
  <c r="BE28" i="21" s="1"/>
  <c r="S59" i="21"/>
  <c r="BA56" i="21"/>
  <c r="BD56" i="21" s="1"/>
  <c r="BH56" i="21"/>
  <c r="BA44" i="21"/>
  <c r="BD44" i="21" s="1"/>
  <c r="BH44" i="21"/>
  <c r="K13" i="28"/>
  <c r="F14" i="28" s="1"/>
  <c r="AZ28" i="29"/>
  <c r="C28" i="29"/>
  <c r="E29" i="29"/>
  <c r="S16" i="29"/>
  <c r="AE16" i="29" s="1"/>
  <c r="AD17" i="29" s="1"/>
  <c r="AT17" i="29" s="1"/>
  <c r="Y20" i="29"/>
  <c r="O28" i="26"/>
  <c r="AQ28" i="26"/>
  <c r="AS28" i="26"/>
  <c r="AU28" i="26"/>
  <c r="K28" i="26"/>
  <c r="G14" i="26"/>
  <c r="AR14" i="26" s="1"/>
  <c r="AJ13" i="26"/>
  <c r="AK13" i="26" s="1"/>
  <c r="AM13" i="26"/>
  <c r="AN13" i="26" s="1"/>
  <c r="AZ29" i="26"/>
  <c r="C29" i="26"/>
  <c r="E30" i="26"/>
  <c r="AT22" i="28"/>
  <c r="W21" i="28"/>
  <c r="R22" i="28" s="1"/>
  <c r="V22" i="28" s="1"/>
  <c r="AO13" i="28"/>
  <c r="AL13" i="28"/>
  <c r="C29" i="28"/>
  <c r="AZ29" i="28"/>
  <c r="E30" i="28"/>
  <c r="T27" i="21"/>
  <c r="AE59" i="21"/>
  <c r="AG59" i="21"/>
  <c r="R27" i="21"/>
  <c r="U28" i="25"/>
  <c r="V28" i="25"/>
  <c r="AA28" i="25"/>
  <c r="AB28" i="25"/>
  <c r="AR28" i="25"/>
  <c r="BA29" i="25"/>
  <c r="BB29" i="25"/>
  <c r="BC29" i="25"/>
  <c r="M13" i="25"/>
  <c r="P14" i="25"/>
  <c r="N13" i="25"/>
  <c r="F13" i="25"/>
  <c r="AI12" i="25"/>
  <c r="AJ12" i="25" s="1"/>
  <c r="AK12" i="25" s="1"/>
  <c r="AQ12" i="25"/>
  <c r="AS12" i="25"/>
  <c r="AU12" i="25"/>
  <c r="BD29" i="25"/>
  <c r="C29" i="25"/>
  <c r="AZ29" i="25"/>
  <c r="E30" i="25"/>
  <c r="C29" i="24"/>
  <c r="AZ29" i="24"/>
  <c r="E30" i="24"/>
  <c r="AS28" i="24"/>
  <c r="AU28" i="24"/>
  <c r="AQ28" i="24"/>
  <c r="H12" i="24"/>
  <c r="F82" i="23"/>
  <c r="I82" i="23" s="1"/>
  <c r="AR82" i="23" s="1"/>
  <c r="AU81" i="23"/>
  <c r="AQ81" i="23"/>
  <c r="AS81" i="23"/>
  <c r="K30" i="15"/>
  <c r="O30" i="15"/>
  <c r="AQ30" i="15"/>
  <c r="AS30" i="15"/>
  <c r="AU30" i="15"/>
  <c r="AR14" i="15"/>
  <c r="H14" i="15"/>
  <c r="L11" i="15"/>
  <c r="I12" i="15" s="1"/>
  <c r="J12" i="15" s="1"/>
  <c r="N58" i="22"/>
  <c r="AU27" i="23"/>
  <c r="AQ27" i="23"/>
  <c r="AS27" i="23"/>
  <c r="H13" i="23"/>
  <c r="AW28" i="23"/>
  <c r="BA28" i="23" s="1"/>
  <c r="AX28" i="23"/>
  <c r="BB28" i="23" s="1"/>
  <c r="AY28" i="23"/>
  <c r="BD28" i="23" s="1"/>
  <c r="C28" i="23"/>
  <c r="K28" i="23" s="1"/>
  <c r="BE28" i="23"/>
  <c r="E29" i="23"/>
  <c r="BF28" i="23"/>
  <c r="AW98" i="23"/>
  <c r="BA98" i="23" s="1"/>
  <c r="AX98" i="23"/>
  <c r="BB98" i="23" s="1"/>
  <c r="AY98" i="23"/>
  <c r="BD98" i="23" s="1"/>
  <c r="K27" i="23"/>
  <c r="H14" i="22"/>
  <c r="F15" i="22" s="1"/>
  <c r="G15" i="22" s="1"/>
  <c r="AR15" i="22" s="1"/>
  <c r="AF59" i="22"/>
  <c r="S11" i="23"/>
  <c r="T11" i="23" s="1"/>
  <c r="AZ10" i="23"/>
  <c r="BC10" i="23" s="1"/>
  <c r="BG10" i="23"/>
  <c r="C98" i="23"/>
  <c r="BE98" i="23"/>
  <c r="BF98" i="23"/>
  <c r="E99" i="23"/>
  <c r="J59" i="22"/>
  <c r="N27" i="22"/>
  <c r="O27" i="22"/>
  <c r="M50" i="22"/>
  <c r="Q50" i="22" s="1"/>
  <c r="P51" i="22"/>
  <c r="N50" i="22"/>
  <c r="AO50" i="22" s="1"/>
  <c r="F59" i="22"/>
  <c r="X59" i="22"/>
  <c r="AI27" i="22"/>
  <c r="AJ27" i="22" s="1"/>
  <c r="AL27" i="22"/>
  <c r="AM27" i="22" s="1"/>
  <c r="AQ27" i="22"/>
  <c r="AR27" i="22"/>
  <c r="AT27" i="22"/>
  <c r="AS27" i="22"/>
  <c r="AU27" i="22"/>
  <c r="M27" i="22"/>
  <c r="AJ46" i="22"/>
  <c r="AK46" i="22" s="1"/>
  <c r="G59" i="22"/>
  <c r="AD59" i="22"/>
  <c r="S27" i="22"/>
  <c r="BH24" i="22"/>
  <c r="BA24" i="22"/>
  <c r="BD24" i="22" s="1"/>
  <c r="BA56" i="22"/>
  <c r="BD56" i="22" s="1"/>
  <c r="BH56" i="22"/>
  <c r="BA45" i="22"/>
  <c r="BD45" i="22" s="1"/>
  <c r="BH45" i="22"/>
  <c r="F27" i="22"/>
  <c r="G51" i="22"/>
  <c r="K51" i="22" s="1"/>
  <c r="F52" i="22" s="1"/>
  <c r="H51" i="22"/>
  <c r="J52" i="22"/>
  <c r="C60" i="22"/>
  <c r="X60" i="22" s="1"/>
  <c r="AC60" i="22"/>
  <c r="AO60" i="22"/>
  <c r="BF60" i="22"/>
  <c r="BG60" i="22"/>
  <c r="K60" i="22"/>
  <c r="AX60" i="22"/>
  <c r="BB60" i="22" s="1"/>
  <c r="Q60" i="22"/>
  <c r="W60" i="22"/>
  <c r="AY60" i="22"/>
  <c r="BC60" i="22" s="1"/>
  <c r="E61" i="22"/>
  <c r="AZ60" i="22"/>
  <c r="BE60" i="22" s="1"/>
  <c r="G27" i="22"/>
  <c r="AQ59" i="22"/>
  <c r="AR59" i="22"/>
  <c r="AS59" i="22"/>
  <c r="AT59" i="22"/>
  <c r="AU59" i="22"/>
  <c r="I27" i="22"/>
  <c r="K27" i="22"/>
  <c r="L59" i="22"/>
  <c r="J27" i="22"/>
  <c r="P28" i="22"/>
  <c r="AY28" i="22"/>
  <c r="BC28" i="22" s="1"/>
  <c r="BF28" i="22"/>
  <c r="BG28" i="22"/>
  <c r="C28" i="22"/>
  <c r="K28" i="22" s="1"/>
  <c r="H28" i="22"/>
  <c r="AX28" i="22"/>
  <c r="BB28" i="22" s="1"/>
  <c r="L28" i="22"/>
  <c r="AZ28" i="22"/>
  <c r="BE28" i="22" s="1"/>
  <c r="E29" i="22"/>
  <c r="Y59" i="22"/>
  <c r="R59" i="22"/>
  <c r="M59" i="22"/>
  <c r="AG48" i="21"/>
  <c r="AF49" i="21" s="1"/>
  <c r="AP46" i="22"/>
  <c r="AL46" i="22"/>
  <c r="AL59" i="22"/>
  <c r="AM59" i="22" s="1"/>
  <c r="AI59" i="22"/>
  <c r="AJ59" i="22" s="1"/>
  <c r="AP59" i="22"/>
  <c r="AN13" i="21"/>
  <c r="AK13" i="21"/>
  <c r="AP45" i="21"/>
  <c r="AL45" i="21"/>
  <c r="AI59" i="21"/>
  <c r="AJ59" i="21" s="1"/>
  <c r="AL59" i="21"/>
  <c r="AM59" i="21" s="1"/>
  <c r="AP59" i="21"/>
  <c r="AJ13" i="28"/>
  <c r="AC18" i="28"/>
  <c r="X19" i="28" s="1"/>
  <c r="AB19" i="28" s="1"/>
  <c r="I27" i="25"/>
  <c r="O27" i="25"/>
  <c r="AW25" i="22"/>
  <c r="AG90" i="23"/>
  <c r="AF91" i="23" s="1"/>
  <c r="AW57" i="22"/>
  <c r="AN58" i="22"/>
  <c r="AK26" i="22"/>
  <c r="AK58" i="22"/>
  <c r="AE59" i="22"/>
  <c r="T27" i="22"/>
  <c r="AG59" i="22"/>
  <c r="R27" i="22"/>
  <c r="AN26" i="22"/>
  <c r="AW57" i="21"/>
  <c r="AK58" i="21"/>
  <c r="AN58" i="21"/>
  <c r="AW9" i="12"/>
  <c r="BH9" i="12" s="1"/>
  <c r="P9" i="12"/>
  <c r="M10" i="12" s="1"/>
  <c r="N10" i="12" s="1"/>
  <c r="AK12" i="12"/>
  <c r="T9" i="18"/>
  <c r="S10" i="18" s="1"/>
  <c r="T10" i="18" s="1"/>
  <c r="S11" i="18" s="1"/>
  <c r="T9" i="12"/>
  <c r="S10" i="12" s="1"/>
  <c r="J15" i="13"/>
  <c r="L15" i="13" s="1"/>
  <c r="I16" i="13" s="1"/>
  <c r="AW9" i="15"/>
  <c r="J12" i="18"/>
  <c r="L12" i="18" s="1"/>
  <c r="I13" i="18" s="1"/>
  <c r="T9" i="13"/>
  <c r="S10" i="13" s="1"/>
  <c r="R9" i="13"/>
  <c r="Q10" i="13" s="1"/>
  <c r="N10" i="13"/>
  <c r="P10" i="13" s="1"/>
  <c r="M11" i="13" s="1"/>
  <c r="N11" i="13" s="1"/>
  <c r="P11" i="13" s="1"/>
  <c r="M12" i="13" s="1"/>
  <c r="N12" i="13" s="1"/>
  <c r="P12" i="13" s="1"/>
  <c r="M13" i="13" s="1"/>
  <c r="N13" i="13" s="1"/>
  <c r="P13" i="13" s="1"/>
  <c r="M14" i="13" s="1"/>
  <c r="O10" i="12"/>
  <c r="BG8" i="14"/>
  <c r="AZ8" i="14"/>
  <c r="BC8" i="14" s="1"/>
  <c r="T9" i="15"/>
  <c r="S10" i="15" s="1"/>
  <c r="AT9" i="14"/>
  <c r="AV9" i="14" s="1"/>
  <c r="R9" i="14"/>
  <c r="Q10" i="14" s="1"/>
  <c r="N10" i="14"/>
  <c r="T10" i="14" s="1"/>
  <c r="S11" i="14" s="1"/>
  <c r="N11" i="18"/>
  <c r="P11" i="18" s="1"/>
  <c r="M12" i="18" s="1"/>
  <c r="AJ30" i="3"/>
  <c r="BF30" i="3" s="1"/>
  <c r="R9" i="18"/>
  <c r="Q10" i="18" s="1"/>
  <c r="BF29" i="3"/>
  <c r="R9" i="12"/>
  <c r="Q10" i="12" s="1"/>
  <c r="AT10" i="12" s="1"/>
  <c r="AI29" i="3"/>
  <c r="BE29" i="3" s="1"/>
  <c r="AL32" i="3"/>
  <c r="AR29" i="19"/>
  <c r="J26" i="14"/>
  <c r="L26" i="14" s="1"/>
  <c r="I27" i="14" s="1"/>
  <c r="AL13" i="13"/>
  <c r="AM13" i="13" s="1"/>
  <c r="AN13" i="13" s="1"/>
  <c r="U98" i="14"/>
  <c r="AB98" i="14"/>
  <c r="I98" i="14"/>
  <c r="AR98" i="14" s="1"/>
  <c r="AA98" i="14"/>
  <c r="O98" i="14"/>
  <c r="V98" i="14"/>
  <c r="AB30" i="17"/>
  <c r="O30" i="17"/>
  <c r="AA30" i="17"/>
  <c r="V30" i="17"/>
  <c r="U30" i="19"/>
  <c r="U30" i="17"/>
  <c r="AB30" i="19"/>
  <c r="O30" i="19"/>
  <c r="I30" i="19"/>
  <c r="AA30" i="19"/>
  <c r="I30" i="17"/>
  <c r="V30" i="19"/>
  <c r="AI13" i="13"/>
  <c r="AJ13" i="13" s="1"/>
  <c r="AK13" i="13" s="1"/>
  <c r="H14" i="13"/>
  <c r="AI14" i="13" s="1"/>
  <c r="C30" i="19"/>
  <c r="AZ30" i="19"/>
  <c r="E31" i="19"/>
  <c r="H13" i="12"/>
  <c r="F14" i="12" s="1"/>
  <c r="G14" i="12" s="1"/>
  <c r="BH57" i="13"/>
  <c r="BH25" i="12"/>
  <c r="G15" i="18"/>
  <c r="AR15" i="18" s="1"/>
  <c r="H16" i="14"/>
  <c r="AI16" i="14" s="1"/>
  <c r="AJ16" i="14" s="1"/>
  <c r="AW58" i="13"/>
  <c r="BA58" i="13" s="1"/>
  <c r="BD58" i="13" s="1"/>
  <c r="H60" i="13"/>
  <c r="J61" i="13"/>
  <c r="AR29" i="16"/>
  <c r="BF30" i="14"/>
  <c r="AW30" i="14"/>
  <c r="BA30" i="14" s="1"/>
  <c r="AY30" i="14"/>
  <c r="BD30" i="14" s="1"/>
  <c r="E31" i="14"/>
  <c r="C30" i="14"/>
  <c r="BE30" i="14"/>
  <c r="AX30" i="14"/>
  <c r="BB30" i="14" s="1"/>
  <c r="K29" i="14"/>
  <c r="AQ29" i="14"/>
  <c r="O29" i="14"/>
  <c r="AU29" i="14"/>
  <c r="AS29" i="14"/>
  <c r="BD30" i="16"/>
  <c r="AZ30" i="16"/>
  <c r="C30" i="16"/>
  <c r="E31" i="16"/>
  <c r="X60" i="13"/>
  <c r="Z60" i="13" s="1"/>
  <c r="AI60" i="13"/>
  <c r="AT60" i="13"/>
  <c r="AP60" i="13"/>
  <c r="AL60" i="13"/>
  <c r="AQ60" i="13"/>
  <c r="AU60" i="13"/>
  <c r="AR60" i="13"/>
  <c r="L60" i="13"/>
  <c r="P61" i="13" s="1"/>
  <c r="AS60" i="13"/>
  <c r="E30" i="17"/>
  <c r="C29" i="17"/>
  <c r="AZ29" i="17"/>
  <c r="G60" i="13"/>
  <c r="AU28" i="18"/>
  <c r="AQ28" i="18"/>
  <c r="AS28" i="18"/>
  <c r="O28" i="18"/>
  <c r="K28" i="18"/>
  <c r="AM59" i="13"/>
  <c r="AN59" i="13" s="1"/>
  <c r="P60" i="13"/>
  <c r="J60" i="13"/>
  <c r="S60" i="13"/>
  <c r="R60" i="13"/>
  <c r="T60" i="13" s="1"/>
  <c r="Y60" i="13"/>
  <c r="C29" i="18"/>
  <c r="AZ29" i="18"/>
  <c r="E30" i="18"/>
  <c r="AJ59" i="13"/>
  <c r="AK59" i="13" s="1"/>
  <c r="AW26" i="12"/>
  <c r="M60" i="13"/>
  <c r="AX61" i="13"/>
  <c r="BB61" i="13" s="1"/>
  <c r="AY61" i="13"/>
  <c r="K61" i="13"/>
  <c r="AC61" i="13"/>
  <c r="Q61" i="13"/>
  <c r="BF61" i="13"/>
  <c r="BF63" i="13" s="1"/>
  <c r="W61" i="13"/>
  <c r="AO61" i="13"/>
  <c r="C61" i="13"/>
  <c r="BG61" i="13"/>
  <c r="AZ61" i="13"/>
  <c r="AW28" i="13"/>
  <c r="BA28" i="13" s="1"/>
  <c r="BD28" i="13" s="1"/>
  <c r="BH27" i="13"/>
  <c r="AK29" i="13"/>
  <c r="AZ31" i="15"/>
  <c r="C31" i="15"/>
  <c r="E32" i="15"/>
  <c r="E100" i="14"/>
  <c r="BE99" i="14"/>
  <c r="AW99" i="14"/>
  <c r="BA99" i="14" s="1"/>
  <c r="C99" i="14"/>
  <c r="AX99" i="14"/>
  <c r="BB99" i="14" s="1"/>
  <c r="BF99" i="14"/>
  <c r="AY99" i="14"/>
  <c r="BD99" i="14" s="1"/>
  <c r="AK14" i="14"/>
  <c r="AN29" i="13"/>
  <c r="AQ35" i="3"/>
  <c r="AG32" i="3"/>
  <c r="P35" i="3"/>
  <c r="AI30" i="3"/>
  <c r="BE30" i="3" s="1"/>
  <c r="G34" i="3"/>
  <c r="AV33" i="3"/>
  <c r="AX33" i="3" s="1"/>
  <c r="V33" i="3"/>
  <c r="X33" i="3" s="1"/>
  <c r="H32" i="3"/>
  <c r="AF31" i="3"/>
  <c r="AK31" i="3" s="1"/>
  <c r="AN35" i="3"/>
  <c r="AN36" i="3" s="1"/>
  <c r="AH32" i="3"/>
  <c r="BD31" i="3"/>
  <c r="AW35" i="3"/>
  <c r="Y32" i="3"/>
  <c r="AC31" i="3"/>
  <c r="BC31" i="3"/>
  <c r="AE32" i="3"/>
  <c r="A33" i="3"/>
  <c r="BI33" i="3" s="1"/>
  <c r="BJ33" i="3" s="1"/>
  <c r="AM32" i="3"/>
  <c r="I52" i="22" l="1"/>
  <c r="AR52" i="22" s="1"/>
  <c r="J53" i="22"/>
  <c r="Z95" i="23"/>
  <c r="Y95" i="23"/>
  <c r="AC95" i="23" s="1"/>
  <c r="X96" i="23" s="1"/>
  <c r="AA96" i="23" s="1"/>
  <c r="T95" i="23"/>
  <c r="S95" i="23"/>
  <c r="W95" i="23" s="1"/>
  <c r="R96" i="23" s="1"/>
  <c r="U96" i="23" s="1"/>
  <c r="Q14" i="29"/>
  <c r="L15" i="29" s="1"/>
  <c r="P16" i="29" s="1"/>
  <c r="G14" i="29"/>
  <c r="AL14" i="29" s="1"/>
  <c r="AM14" i="29" s="1"/>
  <c r="AQ13" i="29"/>
  <c r="AS13" i="29"/>
  <c r="H14" i="29"/>
  <c r="AP14" i="29" s="1"/>
  <c r="AU13" i="29"/>
  <c r="AG20" i="29"/>
  <c r="AF21" i="29" s="1"/>
  <c r="O47" i="21"/>
  <c r="Q47" i="21" s="1"/>
  <c r="L48" i="21" s="1"/>
  <c r="M48" i="21" s="1"/>
  <c r="N47" i="21"/>
  <c r="AO47" i="21" s="1"/>
  <c r="P48" i="21"/>
  <c r="H14" i="28"/>
  <c r="AP14" i="28" s="1"/>
  <c r="I14" i="28"/>
  <c r="Q14" i="28" s="1"/>
  <c r="L15" i="28" s="1"/>
  <c r="H59" i="22"/>
  <c r="I59" i="22"/>
  <c r="O15" i="29"/>
  <c r="Z59" i="22"/>
  <c r="AA59" i="22"/>
  <c r="Q82" i="23"/>
  <c r="L83" i="23" s="1"/>
  <c r="T59" i="21"/>
  <c r="V59" i="21"/>
  <c r="H59" i="21"/>
  <c r="I59" i="21"/>
  <c r="N59" i="21"/>
  <c r="O59" i="21"/>
  <c r="Z59" i="21"/>
  <c r="AB59" i="21"/>
  <c r="Z60" i="22"/>
  <c r="AA60" i="22"/>
  <c r="T59" i="22"/>
  <c r="U59" i="22"/>
  <c r="P60" i="22"/>
  <c r="O59" i="22"/>
  <c r="K11" i="24"/>
  <c r="J11" i="24"/>
  <c r="P9" i="24"/>
  <c r="M10" i="24" s="1"/>
  <c r="R9" i="24"/>
  <c r="Q10" i="24" s="1"/>
  <c r="AT10" i="24" s="1"/>
  <c r="AW10" i="24" s="1"/>
  <c r="AR35" i="3"/>
  <c r="BB33" i="3"/>
  <c r="P9" i="21"/>
  <c r="M10" i="21" s="1"/>
  <c r="O10" i="21" s="1"/>
  <c r="T9" i="21"/>
  <c r="S10" i="21" s="1"/>
  <c r="R9" i="21"/>
  <c r="Q10" i="21" s="1"/>
  <c r="F61" i="12"/>
  <c r="H61" i="12" s="1"/>
  <c r="BG29" i="12"/>
  <c r="AY29" i="12"/>
  <c r="AY31" i="12" s="1"/>
  <c r="AX29" i="12"/>
  <c r="BB29" i="12" s="1"/>
  <c r="L29" i="12"/>
  <c r="H29" i="12"/>
  <c r="P29" i="12"/>
  <c r="AZ29" i="12"/>
  <c r="AZ31" i="12" s="1"/>
  <c r="C29" i="12"/>
  <c r="AT29" i="12" s="1"/>
  <c r="J10" i="12"/>
  <c r="L10" i="12" s="1"/>
  <c r="I11" i="12" s="1"/>
  <c r="BF29" i="12"/>
  <c r="BF31" i="12" s="1"/>
  <c r="G61" i="12"/>
  <c r="I28" i="12"/>
  <c r="AE60" i="12"/>
  <c r="N28" i="12"/>
  <c r="F28" i="12"/>
  <c r="AF60" i="12"/>
  <c r="AR28" i="12"/>
  <c r="R28" i="12"/>
  <c r="J28" i="12"/>
  <c r="AL28" i="12"/>
  <c r="AM28" i="12" s="1"/>
  <c r="AN28" i="12" s="1"/>
  <c r="Q28" i="12"/>
  <c r="AG60" i="12"/>
  <c r="S28" i="12"/>
  <c r="AD60" i="12"/>
  <c r="AQ28" i="12"/>
  <c r="AU28" i="12"/>
  <c r="T28" i="12"/>
  <c r="AS28" i="12"/>
  <c r="G28" i="12"/>
  <c r="AI28" i="12"/>
  <c r="AJ28" i="12" s="1"/>
  <c r="AK28" i="12" s="1"/>
  <c r="K28" i="12"/>
  <c r="O28" i="12"/>
  <c r="M28" i="12"/>
  <c r="W9" i="25"/>
  <c r="R10" i="25" s="1"/>
  <c r="AG9" i="25"/>
  <c r="AF10" i="25" s="1"/>
  <c r="AE9" i="25"/>
  <c r="AD10" i="25" s="1"/>
  <c r="AT10" i="25" s="1"/>
  <c r="AW10" i="25" s="1"/>
  <c r="AC9" i="25"/>
  <c r="X10" i="25" s="1"/>
  <c r="R11" i="23"/>
  <c r="Q12" i="23" s="1"/>
  <c r="AT12" i="23" s="1"/>
  <c r="AV12" i="23" s="1"/>
  <c r="BA58" i="12"/>
  <c r="BD58" i="12" s="1"/>
  <c r="AT10" i="26"/>
  <c r="AW10" i="26" s="1"/>
  <c r="N10" i="26"/>
  <c r="T10" i="26" s="1"/>
  <c r="S11" i="26" s="1"/>
  <c r="P33" i="20"/>
  <c r="N21" i="23"/>
  <c r="P21" i="23" s="1"/>
  <c r="M22" i="23" s="1"/>
  <c r="J14" i="23"/>
  <c r="L14" i="23" s="1"/>
  <c r="I15" i="23" s="1"/>
  <c r="AT12" i="22"/>
  <c r="AW12" i="22" s="1"/>
  <c r="R12" i="22"/>
  <c r="Q13" i="22" s="1"/>
  <c r="BA11" i="22"/>
  <c r="BD11" i="22" s="1"/>
  <c r="BH11" i="22"/>
  <c r="AQ33" i="20"/>
  <c r="AR33" i="20" s="1"/>
  <c r="O34" i="20"/>
  <c r="AN33" i="20"/>
  <c r="J17" i="26"/>
  <c r="L17" i="26" s="1"/>
  <c r="I18" i="26" s="1"/>
  <c r="R61" i="12"/>
  <c r="T61" i="12" s="1"/>
  <c r="BE63" i="12"/>
  <c r="AZ63" i="12"/>
  <c r="M61" i="12"/>
  <c r="S61" i="12"/>
  <c r="AW59" i="12"/>
  <c r="BH59" i="12" s="1"/>
  <c r="X61" i="12"/>
  <c r="Z61" i="12" s="1"/>
  <c r="J61" i="12"/>
  <c r="L61" i="12"/>
  <c r="N61" i="12" s="1"/>
  <c r="N60" i="12"/>
  <c r="AM60" i="12"/>
  <c r="AN60" i="12" s="1"/>
  <c r="AJ60" i="12"/>
  <c r="AK60" i="12" s="1"/>
  <c r="BC61" i="12"/>
  <c r="BC63" i="12" s="1"/>
  <c r="AY63" i="12"/>
  <c r="Y61" i="12"/>
  <c r="AP61" i="12"/>
  <c r="AS61" i="12"/>
  <c r="AU61" i="12"/>
  <c r="AL61" i="12"/>
  <c r="AM61" i="12" s="1"/>
  <c r="AI61" i="12"/>
  <c r="AQ61" i="12"/>
  <c r="P60" i="21"/>
  <c r="BA25" i="21"/>
  <c r="BD25" i="21" s="1"/>
  <c r="BG31" i="3"/>
  <c r="G16" i="21"/>
  <c r="AR16" i="21" s="1"/>
  <c r="L60" i="21"/>
  <c r="AW26" i="21"/>
  <c r="BH26" i="21" s="1"/>
  <c r="N28" i="21"/>
  <c r="AK27" i="21"/>
  <c r="J60" i="21"/>
  <c r="F28" i="21"/>
  <c r="AQ60" i="21"/>
  <c r="AS60" i="21"/>
  <c r="AT60" i="21"/>
  <c r="AU60" i="21"/>
  <c r="H50" i="21"/>
  <c r="J51" i="21"/>
  <c r="G50" i="21"/>
  <c r="K50" i="21" s="1"/>
  <c r="F51" i="21" s="1"/>
  <c r="I51" i="21" s="1"/>
  <c r="S60" i="21"/>
  <c r="Y60" i="21"/>
  <c r="AQ28" i="21"/>
  <c r="AR28" i="21"/>
  <c r="AS28" i="21"/>
  <c r="AT28" i="21"/>
  <c r="AU28" i="21"/>
  <c r="AI28" i="21"/>
  <c r="AJ28" i="21" s="1"/>
  <c r="AL28" i="21"/>
  <c r="AM28" i="21" s="1"/>
  <c r="AO61" i="21"/>
  <c r="Q61" i="21"/>
  <c r="W61" i="21"/>
  <c r="AX61" i="21"/>
  <c r="BB61" i="21" s="1"/>
  <c r="AY61" i="21"/>
  <c r="BC61" i="21" s="1"/>
  <c r="AC61" i="21"/>
  <c r="BF61" i="21"/>
  <c r="BF63" i="21" s="1"/>
  <c r="BG61" i="21"/>
  <c r="C61" i="21"/>
  <c r="M61" i="21" s="1"/>
  <c r="K61" i="21"/>
  <c r="AZ61" i="21"/>
  <c r="BE61" i="21" s="1"/>
  <c r="G28" i="21"/>
  <c r="F60" i="21"/>
  <c r="Q28" i="21"/>
  <c r="J28" i="21"/>
  <c r="G60" i="21"/>
  <c r="AF60" i="21"/>
  <c r="AM45" i="21"/>
  <c r="AN45" i="21" s="1"/>
  <c r="H29" i="21"/>
  <c r="AX29" i="21"/>
  <c r="BB29" i="21" s="1"/>
  <c r="L29" i="21"/>
  <c r="AY29" i="21"/>
  <c r="BC29" i="21" s="1"/>
  <c r="BC31" i="21" s="1"/>
  <c r="P29" i="21"/>
  <c r="C29" i="21"/>
  <c r="Q29" i="21" s="1"/>
  <c r="BG29" i="21"/>
  <c r="BF29" i="21"/>
  <c r="BF31" i="21" s="1"/>
  <c r="AZ29" i="21"/>
  <c r="BE29" i="21" s="1"/>
  <c r="K28" i="21"/>
  <c r="AN27" i="21"/>
  <c r="O28" i="21"/>
  <c r="AD60" i="21"/>
  <c r="BH57" i="21"/>
  <c r="BA57" i="21"/>
  <c r="BD57" i="21" s="1"/>
  <c r="M28" i="21"/>
  <c r="R60" i="21"/>
  <c r="X60" i="21"/>
  <c r="J15" i="28"/>
  <c r="G14" i="28"/>
  <c r="AI14" i="28" s="1"/>
  <c r="AS13" i="28"/>
  <c r="AU13" i="28"/>
  <c r="AQ13" i="28"/>
  <c r="W16" i="29"/>
  <c r="R17" i="29" s="1"/>
  <c r="C29" i="29"/>
  <c r="AZ29" i="29"/>
  <c r="E30" i="29"/>
  <c r="AE60" i="21"/>
  <c r="R28" i="21"/>
  <c r="T28" i="21"/>
  <c r="AG60" i="21"/>
  <c r="AS29" i="26"/>
  <c r="AU29" i="26"/>
  <c r="AQ29" i="26"/>
  <c r="K29" i="26"/>
  <c r="O29" i="26"/>
  <c r="H14" i="26"/>
  <c r="AZ30" i="26"/>
  <c r="C30" i="26"/>
  <c r="E31" i="26"/>
  <c r="Z19" i="28"/>
  <c r="Y19" i="28"/>
  <c r="AG19" i="28" s="1"/>
  <c r="AF20" i="28" s="1"/>
  <c r="T22" i="28"/>
  <c r="S22" i="28"/>
  <c r="AE22" i="28" s="1"/>
  <c r="AD23" i="28" s="1"/>
  <c r="C30" i="28"/>
  <c r="AZ30" i="28"/>
  <c r="E31" i="28"/>
  <c r="AM13" i="28"/>
  <c r="AN13" i="28" s="1"/>
  <c r="AV81" i="23"/>
  <c r="BG81" i="23" s="1"/>
  <c r="G13" i="25"/>
  <c r="AL13" i="25" s="1"/>
  <c r="J14" i="25"/>
  <c r="H13" i="25"/>
  <c r="AP13" i="25" s="1"/>
  <c r="BA30" i="25"/>
  <c r="BB30" i="25"/>
  <c r="BC30" i="25"/>
  <c r="U29" i="25"/>
  <c r="V29" i="25"/>
  <c r="AA29" i="25"/>
  <c r="AB29" i="25"/>
  <c r="AR29" i="25"/>
  <c r="AZ30" i="25"/>
  <c r="BD30" i="25"/>
  <c r="C30" i="25"/>
  <c r="E31" i="25"/>
  <c r="F13" i="24"/>
  <c r="AL12" i="24"/>
  <c r="AM12" i="24" s="1"/>
  <c r="AI12" i="24"/>
  <c r="AJ12" i="24" s="1"/>
  <c r="C30" i="24"/>
  <c r="AZ30" i="24"/>
  <c r="E31" i="24"/>
  <c r="AQ29" i="24"/>
  <c r="AS29" i="24"/>
  <c r="AU29" i="24"/>
  <c r="H82" i="23"/>
  <c r="G82" i="23"/>
  <c r="AL82" i="23" s="1"/>
  <c r="AM82" i="23" s="1"/>
  <c r="AN82" i="23" s="1"/>
  <c r="J83" i="23"/>
  <c r="AQ31" i="15"/>
  <c r="AS31" i="15"/>
  <c r="AU31" i="15"/>
  <c r="AL14" i="15"/>
  <c r="AM14" i="15" s="1"/>
  <c r="AN14" i="15" s="1"/>
  <c r="AI14" i="15"/>
  <c r="AJ14" i="15" s="1"/>
  <c r="AK14" i="15" s="1"/>
  <c r="F15" i="15"/>
  <c r="L12" i="15"/>
  <c r="I13" i="15" s="1"/>
  <c r="J13" i="15" s="1"/>
  <c r="O28" i="23"/>
  <c r="AW99" i="23"/>
  <c r="BA99" i="23" s="1"/>
  <c r="AX99" i="23"/>
  <c r="BB99" i="23" s="1"/>
  <c r="AY99" i="23"/>
  <c r="BD99" i="23" s="1"/>
  <c r="AU28" i="23"/>
  <c r="AQ28" i="23"/>
  <c r="AS28" i="23"/>
  <c r="AW29" i="23"/>
  <c r="BA29" i="23" s="1"/>
  <c r="AX29" i="23"/>
  <c r="BB29" i="23" s="1"/>
  <c r="AY29" i="23"/>
  <c r="BD29" i="23" s="1"/>
  <c r="BF29" i="23"/>
  <c r="BE29" i="23"/>
  <c r="E30" i="23"/>
  <c r="C29" i="23"/>
  <c r="O29" i="23" s="1"/>
  <c r="F14" i="23"/>
  <c r="AI13" i="23"/>
  <c r="AL13" i="23"/>
  <c r="AL14" i="22"/>
  <c r="AM14" i="22" s="1"/>
  <c r="H15" i="22"/>
  <c r="F16" i="22" s="1"/>
  <c r="G16" i="22" s="1"/>
  <c r="AR16" i="22" s="1"/>
  <c r="AI14" i="22"/>
  <c r="AJ14" i="22" s="1"/>
  <c r="AD60" i="22"/>
  <c r="S28" i="22"/>
  <c r="J28" i="22"/>
  <c r="O28" i="22"/>
  <c r="C99" i="23"/>
  <c r="BE99" i="23"/>
  <c r="BF99" i="23"/>
  <c r="E100" i="23"/>
  <c r="S12" i="23"/>
  <c r="T12" i="23" s="1"/>
  <c r="S13" i="23" s="1"/>
  <c r="T13" i="23" s="1"/>
  <c r="S14" i="23" s="1"/>
  <c r="T14" i="23" s="1"/>
  <c r="S15" i="23" s="1"/>
  <c r="T15" i="23" s="1"/>
  <c r="S16" i="23" s="1"/>
  <c r="AZ11" i="23"/>
  <c r="BC11" i="23" s="1"/>
  <c r="BG11" i="23"/>
  <c r="Q28" i="22"/>
  <c r="M28" i="22"/>
  <c r="N59" i="22"/>
  <c r="G60" i="22"/>
  <c r="M60" i="22"/>
  <c r="L51" i="22"/>
  <c r="O51" i="22" s="1"/>
  <c r="AQ50" i="22"/>
  <c r="AU50" i="22"/>
  <c r="AS50" i="22"/>
  <c r="AO61" i="22"/>
  <c r="BG61" i="22"/>
  <c r="Q61" i="22"/>
  <c r="BF61" i="22"/>
  <c r="BF63" i="22" s="1"/>
  <c r="C61" i="22"/>
  <c r="S61" i="22" s="1"/>
  <c r="AX61" i="22"/>
  <c r="BB61" i="22" s="1"/>
  <c r="AY61" i="22"/>
  <c r="BC61" i="22" s="1"/>
  <c r="W61" i="22"/>
  <c r="AC61" i="22"/>
  <c r="K61" i="22"/>
  <c r="AZ61" i="22"/>
  <c r="BE61" i="22" s="1"/>
  <c r="H52" i="22"/>
  <c r="G52" i="22"/>
  <c r="K52" i="22" s="1"/>
  <c r="BA57" i="22"/>
  <c r="BD57" i="22" s="1"/>
  <c r="BH57" i="22"/>
  <c r="P29" i="22"/>
  <c r="AX29" i="22"/>
  <c r="BB29" i="22" s="1"/>
  <c r="BF29" i="22"/>
  <c r="BF31" i="22" s="1"/>
  <c r="L29" i="22"/>
  <c r="BG29" i="22"/>
  <c r="C29" i="22"/>
  <c r="O29" i="22" s="1"/>
  <c r="H29" i="22"/>
  <c r="AY29" i="22"/>
  <c r="BC29" i="22" s="1"/>
  <c r="AZ29" i="22"/>
  <c r="BE29" i="22" s="1"/>
  <c r="J60" i="22"/>
  <c r="BA25" i="22"/>
  <c r="BD25" i="22" s="1"/>
  <c r="BH25" i="22"/>
  <c r="AI28" i="22"/>
  <c r="AJ28" i="22" s="1"/>
  <c r="AR28" i="22"/>
  <c r="AL28" i="22"/>
  <c r="AM28" i="22" s="1"/>
  <c r="AQ28" i="22"/>
  <c r="AS28" i="22"/>
  <c r="AT28" i="22"/>
  <c r="AU28" i="22"/>
  <c r="AF60" i="22"/>
  <c r="L60" i="22"/>
  <c r="AQ60" i="22"/>
  <c r="AR60" i="22"/>
  <c r="AU60" i="22"/>
  <c r="AS60" i="22"/>
  <c r="AT60" i="22"/>
  <c r="F28" i="22"/>
  <c r="Y60" i="22"/>
  <c r="N28" i="22"/>
  <c r="AM46" i="22"/>
  <c r="AN46" i="22" s="1"/>
  <c r="G28" i="22"/>
  <c r="R60" i="22"/>
  <c r="F60" i="22"/>
  <c r="I28" i="22"/>
  <c r="S60" i="22"/>
  <c r="AG49" i="21"/>
  <c r="AF50" i="21" s="1"/>
  <c r="AK13" i="22"/>
  <c r="AN13" i="22"/>
  <c r="AI60" i="22"/>
  <c r="AJ60" i="22" s="1"/>
  <c r="AL60" i="22"/>
  <c r="AM60" i="22" s="1"/>
  <c r="AP60" i="22"/>
  <c r="AE49" i="21"/>
  <c r="AD50" i="21" s="1"/>
  <c r="AT50" i="21" s="1"/>
  <c r="AL60" i="21"/>
  <c r="AM60" i="21" s="1"/>
  <c r="AI60" i="21"/>
  <c r="AJ60" i="21" s="1"/>
  <c r="AP60" i="21"/>
  <c r="AC20" i="29"/>
  <c r="X21" i="29" s="1"/>
  <c r="AK13" i="28"/>
  <c r="O28" i="25"/>
  <c r="I28" i="25"/>
  <c r="AW58" i="22"/>
  <c r="AE88" i="23"/>
  <c r="AD89" i="23" s="1"/>
  <c r="AT89" i="23" s="1"/>
  <c r="AN59" i="22"/>
  <c r="AK27" i="22"/>
  <c r="AG60" i="22"/>
  <c r="R28" i="22"/>
  <c r="T28" i="22"/>
  <c r="AE60" i="22"/>
  <c r="AW26" i="22"/>
  <c r="AN27" i="22"/>
  <c r="AK59" i="22"/>
  <c r="AW58" i="21"/>
  <c r="AN59" i="21"/>
  <c r="AK59" i="21"/>
  <c r="BA9" i="12"/>
  <c r="BD9" i="12" s="1"/>
  <c r="T11" i="18"/>
  <c r="S12" i="18" s="1"/>
  <c r="R9" i="15"/>
  <c r="Q10" i="15" s="1"/>
  <c r="AT10" i="15" s="1"/>
  <c r="J16" i="13"/>
  <c r="L16" i="13" s="1"/>
  <c r="I17" i="13" s="1"/>
  <c r="J13" i="18"/>
  <c r="L13" i="18" s="1"/>
  <c r="I14" i="18" s="1"/>
  <c r="R10" i="12"/>
  <c r="Q11" i="12" s="1"/>
  <c r="AT11" i="12" s="1"/>
  <c r="P9" i="15"/>
  <c r="M10" i="15" s="1"/>
  <c r="N10" i="15" s="1"/>
  <c r="AT10" i="18"/>
  <c r="AW10" i="18" s="1"/>
  <c r="R10" i="18"/>
  <c r="Q11" i="18" s="1"/>
  <c r="AZ9" i="14"/>
  <c r="BC9" i="14" s="1"/>
  <c r="BG9" i="14"/>
  <c r="AT10" i="14"/>
  <c r="AV10" i="14" s="1"/>
  <c r="R10" i="14"/>
  <c r="Q11" i="14" s="1"/>
  <c r="P10" i="12"/>
  <c r="M11" i="12" s="1"/>
  <c r="T10" i="12"/>
  <c r="S11" i="12" s="1"/>
  <c r="P10" i="14"/>
  <c r="M11" i="14" s="1"/>
  <c r="N14" i="13"/>
  <c r="P14" i="13" s="1"/>
  <c r="M15" i="13" s="1"/>
  <c r="N12" i="18"/>
  <c r="T10" i="13"/>
  <c r="S11" i="13" s="1"/>
  <c r="T11" i="13" s="1"/>
  <c r="S12" i="13" s="1"/>
  <c r="T12" i="13" s="1"/>
  <c r="S13" i="13" s="1"/>
  <c r="T13" i="13" s="1"/>
  <c r="S14" i="13" s="1"/>
  <c r="AT10" i="13"/>
  <c r="R10" i="13"/>
  <c r="Q11" i="13" s="1"/>
  <c r="AD31" i="3"/>
  <c r="O31" i="15" s="1"/>
  <c r="J27" i="14"/>
  <c r="L27" i="14" s="1"/>
  <c r="I28" i="14" s="1"/>
  <c r="AA99" i="14"/>
  <c r="I99" i="14"/>
  <c r="AR99" i="14" s="1"/>
  <c r="AB99" i="14"/>
  <c r="V99" i="14"/>
  <c r="U99" i="14"/>
  <c r="V31" i="17"/>
  <c r="AA31" i="17"/>
  <c r="U31" i="17"/>
  <c r="I31" i="17"/>
  <c r="V31" i="19"/>
  <c r="O99" i="14"/>
  <c r="U31" i="19"/>
  <c r="I31" i="19"/>
  <c r="O31" i="17"/>
  <c r="O31" i="19"/>
  <c r="AB31" i="17"/>
  <c r="AB31" i="19"/>
  <c r="AA31" i="19"/>
  <c r="AR30" i="19"/>
  <c r="F15" i="13"/>
  <c r="G15" i="13" s="1"/>
  <c r="AR15" i="13" s="1"/>
  <c r="AL14" i="13"/>
  <c r="AM14" i="13" s="1"/>
  <c r="AN14" i="13" s="1"/>
  <c r="H15" i="18"/>
  <c r="F16" i="18" s="1"/>
  <c r="G16" i="18" s="1"/>
  <c r="AR16" i="18" s="1"/>
  <c r="AL13" i="12"/>
  <c r="AM13" i="12" s="1"/>
  <c r="AN13" i="12" s="1"/>
  <c r="AR14" i="12"/>
  <c r="H14" i="12"/>
  <c r="AL14" i="12" s="1"/>
  <c r="AI13" i="12"/>
  <c r="C31" i="19"/>
  <c r="AZ31" i="19"/>
  <c r="E32" i="19"/>
  <c r="F17" i="14"/>
  <c r="G17" i="14" s="1"/>
  <c r="AR17" i="14" s="1"/>
  <c r="AJ14" i="13"/>
  <c r="AK14" i="13" s="1"/>
  <c r="BH58" i="13"/>
  <c r="AL16" i="14"/>
  <c r="AM16" i="14" s="1"/>
  <c r="AR30" i="16"/>
  <c r="E32" i="14"/>
  <c r="AX31" i="14"/>
  <c r="BB31" i="14" s="1"/>
  <c r="AW31" i="14"/>
  <c r="BA31" i="14" s="1"/>
  <c r="BE31" i="14"/>
  <c r="BF31" i="14"/>
  <c r="AY31" i="14"/>
  <c r="BD31" i="14" s="1"/>
  <c r="C31" i="14"/>
  <c r="N60" i="13"/>
  <c r="C31" i="16"/>
  <c r="BD31" i="16"/>
  <c r="AZ31" i="16"/>
  <c r="E32" i="16"/>
  <c r="O30" i="14"/>
  <c r="AS30" i="14"/>
  <c r="K30" i="14"/>
  <c r="AU30" i="14"/>
  <c r="AQ30" i="14"/>
  <c r="AW27" i="12"/>
  <c r="BA26" i="12"/>
  <c r="BD26" i="12" s="1"/>
  <c r="BH26" i="12"/>
  <c r="C30" i="17"/>
  <c r="AZ30" i="17"/>
  <c r="E31" i="17"/>
  <c r="AQ29" i="18"/>
  <c r="AS29" i="18"/>
  <c r="O29" i="18"/>
  <c r="AU29" i="18"/>
  <c r="K29" i="18"/>
  <c r="BC61" i="13"/>
  <c r="BC63" i="13" s="1"/>
  <c r="AY63" i="13"/>
  <c r="AJ60" i="13"/>
  <c r="AK60" i="13" s="1"/>
  <c r="BE61" i="13"/>
  <c r="BE63" i="13" s="1"/>
  <c r="AZ63" i="13"/>
  <c r="AW59" i="13"/>
  <c r="F61" i="13"/>
  <c r="H61" i="13" s="1"/>
  <c r="X61" i="13"/>
  <c r="Z61" i="13" s="1"/>
  <c r="AQ61" i="13"/>
  <c r="AP61" i="13"/>
  <c r="L61" i="13"/>
  <c r="N61" i="13" s="1"/>
  <c r="M61" i="13"/>
  <c r="AL61" i="13"/>
  <c r="AS61" i="13"/>
  <c r="G61" i="13"/>
  <c r="AU61" i="13"/>
  <c r="AT61" i="13"/>
  <c r="S61" i="13"/>
  <c r="R61" i="13"/>
  <c r="T61" i="13" s="1"/>
  <c r="AI61" i="13"/>
  <c r="AJ61" i="13" s="1"/>
  <c r="AR61" i="13"/>
  <c r="AR63" i="13" s="1"/>
  <c r="Y61" i="13"/>
  <c r="E31" i="18"/>
  <c r="AZ30" i="18"/>
  <c r="C30" i="18"/>
  <c r="AM60" i="13"/>
  <c r="AN60" i="13" s="1"/>
  <c r="BH28" i="13"/>
  <c r="E33" i="15"/>
  <c r="AZ32" i="15"/>
  <c r="C32" i="15"/>
  <c r="AY100" i="14"/>
  <c r="BD100" i="14" s="1"/>
  <c r="BE100" i="14"/>
  <c r="AX100" i="14"/>
  <c r="BB100" i="14" s="1"/>
  <c r="C100" i="14"/>
  <c r="BF100" i="14"/>
  <c r="AW100" i="14"/>
  <c r="BA100" i="14" s="1"/>
  <c r="E101" i="14"/>
  <c r="AN14" i="14"/>
  <c r="AW29" i="13"/>
  <c r="BC32" i="3"/>
  <c r="AE33" i="3"/>
  <c r="AW36" i="3"/>
  <c r="AM33" i="3"/>
  <c r="AQ36" i="3"/>
  <c r="A34" i="3"/>
  <c r="BI34" i="3" s="1"/>
  <c r="BJ34" i="3" s="1"/>
  <c r="V34" i="3"/>
  <c r="X34" i="3" s="1"/>
  <c r="G35" i="3"/>
  <c r="AV34" i="3"/>
  <c r="AX34" i="3" s="1"/>
  <c r="P36" i="3"/>
  <c r="P37" i="3" s="1"/>
  <c r="Y33" i="3"/>
  <c r="AC32" i="3"/>
  <c r="AH33" i="3"/>
  <c r="BD32" i="3"/>
  <c r="H33" i="3"/>
  <c r="AF32" i="3"/>
  <c r="AK32" i="3" s="1"/>
  <c r="AG33" i="3"/>
  <c r="AL33" i="3"/>
  <c r="G53" i="22" l="1"/>
  <c r="H53" i="22"/>
  <c r="Z96" i="23"/>
  <c r="Y96" i="23"/>
  <c r="AC96" i="23" s="1"/>
  <c r="X97" i="23" s="1"/>
  <c r="AA97" i="23" s="1"/>
  <c r="T96" i="23"/>
  <c r="S96" i="23"/>
  <c r="W96" i="23" s="1"/>
  <c r="R97" i="23" s="1"/>
  <c r="U97" i="23" s="1"/>
  <c r="M15" i="29"/>
  <c r="N15" i="29"/>
  <c r="AW13" i="29"/>
  <c r="K14" i="29"/>
  <c r="AU14" i="29" s="1"/>
  <c r="AI14" i="29"/>
  <c r="AJ14" i="29" s="1"/>
  <c r="AO14" i="29"/>
  <c r="AN14" i="29"/>
  <c r="AU47" i="21"/>
  <c r="O48" i="21"/>
  <c r="Q48" i="21" s="1"/>
  <c r="N48" i="21"/>
  <c r="AO48" i="21" s="1"/>
  <c r="P49" i="21"/>
  <c r="AQ47" i="21"/>
  <c r="AS47" i="21"/>
  <c r="O15" i="28"/>
  <c r="M15" i="28"/>
  <c r="N15" i="28"/>
  <c r="P16" i="28"/>
  <c r="H60" i="21"/>
  <c r="I60" i="21"/>
  <c r="T17" i="29"/>
  <c r="U17" i="29"/>
  <c r="Z21" i="29"/>
  <c r="AA21" i="29"/>
  <c r="H60" i="22"/>
  <c r="I60" i="22"/>
  <c r="T60" i="22"/>
  <c r="U60" i="22"/>
  <c r="T60" i="21"/>
  <c r="V60" i="21"/>
  <c r="AO14" i="28"/>
  <c r="Z60" i="21"/>
  <c r="AB60" i="21"/>
  <c r="O83" i="23"/>
  <c r="M83" i="23"/>
  <c r="N83" i="23"/>
  <c r="P84" i="23"/>
  <c r="P61" i="21"/>
  <c r="O60" i="21"/>
  <c r="P61" i="22"/>
  <c r="O60" i="22"/>
  <c r="N10" i="24"/>
  <c r="T10" i="24" s="1"/>
  <c r="S11" i="24" s="1"/>
  <c r="O10" i="24"/>
  <c r="L11" i="24"/>
  <c r="I12" i="24" s="1"/>
  <c r="K12" i="24" s="1"/>
  <c r="N10" i="21"/>
  <c r="R10" i="21" s="1"/>
  <c r="Q11" i="21" s="1"/>
  <c r="AR36" i="3"/>
  <c r="BB34" i="3"/>
  <c r="Y10" i="25"/>
  <c r="AA10" i="25"/>
  <c r="AT10" i="21"/>
  <c r="T10" i="25"/>
  <c r="U10" i="25"/>
  <c r="AF61" i="12"/>
  <c r="AQ29" i="12"/>
  <c r="AQ31" i="12" s="1"/>
  <c r="J29" i="12"/>
  <c r="Q29" i="12"/>
  <c r="O29" i="12"/>
  <c r="T29" i="12"/>
  <c r="K29" i="12"/>
  <c r="N29" i="12"/>
  <c r="G29" i="12"/>
  <c r="AR29" i="12"/>
  <c r="AE61" i="12"/>
  <c r="AU29" i="12"/>
  <c r="AU31" i="12" s="1"/>
  <c r="AL29" i="12"/>
  <c r="AM29" i="12" s="1"/>
  <c r="AN29" i="12" s="1"/>
  <c r="BC29" i="12"/>
  <c r="BC31" i="12" s="1"/>
  <c r="J11" i="12"/>
  <c r="L11" i="12" s="1"/>
  <c r="I12" i="12" s="1"/>
  <c r="R29" i="12"/>
  <c r="I29" i="12"/>
  <c r="F29" i="12"/>
  <c r="AD61" i="12"/>
  <c r="AG61" i="12"/>
  <c r="M29" i="12"/>
  <c r="AS29" i="12"/>
  <c r="AS31" i="12" s="1"/>
  <c r="BE29" i="12"/>
  <c r="BE31" i="12" s="1"/>
  <c r="AI29" i="12"/>
  <c r="AJ29" i="12" s="1"/>
  <c r="AK29" i="12" s="1"/>
  <c r="S29" i="12"/>
  <c r="V10" i="25"/>
  <c r="S10" i="25"/>
  <c r="Z10" i="25"/>
  <c r="AB10" i="25"/>
  <c r="R12" i="23"/>
  <c r="Q13" i="23" s="1"/>
  <c r="AT13" i="23" s="1"/>
  <c r="P10" i="26"/>
  <c r="M11" i="26" s="1"/>
  <c r="N11" i="26" s="1"/>
  <c r="P11" i="26" s="1"/>
  <c r="M12" i="26" s="1"/>
  <c r="N12" i="26" s="1"/>
  <c r="P12" i="26" s="1"/>
  <c r="M13" i="26" s="1"/>
  <c r="R10" i="26"/>
  <c r="Q11" i="26" s="1"/>
  <c r="P34" i="20"/>
  <c r="AN61" i="12"/>
  <c r="AN34" i="20"/>
  <c r="J15" i="23"/>
  <c r="L15" i="23" s="1"/>
  <c r="I16" i="23" s="1"/>
  <c r="N22" i="23"/>
  <c r="P22" i="23" s="1"/>
  <c r="M23" i="23" s="1"/>
  <c r="J18" i="26"/>
  <c r="L18" i="26" s="1"/>
  <c r="I19" i="26" s="1"/>
  <c r="AQ34" i="20"/>
  <c r="AR34" i="20" s="1"/>
  <c r="O35" i="20"/>
  <c r="BG32" i="3"/>
  <c r="BA12" i="22"/>
  <c r="BD12" i="22" s="1"/>
  <c r="BH12" i="22"/>
  <c r="AT13" i="22"/>
  <c r="AW13" i="22" s="1"/>
  <c r="R13" i="22"/>
  <c r="Q14" i="22" s="1"/>
  <c r="BA59" i="12"/>
  <c r="BD59" i="12" s="1"/>
  <c r="AW60" i="12"/>
  <c r="AJ61" i="12"/>
  <c r="AK61" i="12" s="1"/>
  <c r="K31" i="15"/>
  <c r="K31" i="14"/>
  <c r="AW27" i="21"/>
  <c r="BH27" i="21" s="1"/>
  <c r="AK28" i="21"/>
  <c r="K29" i="21"/>
  <c r="H16" i="21"/>
  <c r="F17" i="21" s="1"/>
  <c r="G17" i="21" s="1"/>
  <c r="AR17" i="21" s="1"/>
  <c r="AN28" i="21"/>
  <c r="AZ63" i="21"/>
  <c r="AZ31" i="21"/>
  <c r="G29" i="21"/>
  <c r="BA26" i="21"/>
  <c r="BD26" i="21" s="1"/>
  <c r="AD61" i="21"/>
  <c r="N60" i="21"/>
  <c r="S61" i="21"/>
  <c r="R29" i="21"/>
  <c r="T29" i="21"/>
  <c r="AE61" i="21"/>
  <c r="F61" i="21"/>
  <c r="BA58" i="21"/>
  <c r="BD58" i="21" s="1"/>
  <c r="BH58" i="21"/>
  <c r="AL29" i="21"/>
  <c r="AM29" i="21" s="1"/>
  <c r="AQ29" i="21"/>
  <c r="AQ31" i="21" s="1"/>
  <c r="AR29" i="21"/>
  <c r="AS29" i="21"/>
  <c r="AS31" i="21" s="1"/>
  <c r="AT29" i="21"/>
  <c r="AU29" i="21"/>
  <c r="AU31" i="21" s="1"/>
  <c r="AI29" i="21"/>
  <c r="AJ29" i="21" s="1"/>
  <c r="H51" i="21"/>
  <c r="G51" i="21"/>
  <c r="K51" i="21" s="1"/>
  <c r="F52" i="21" s="1"/>
  <c r="J52" i="21"/>
  <c r="G61" i="21"/>
  <c r="N29" i="21"/>
  <c r="L61" i="21"/>
  <c r="O29" i="21"/>
  <c r="S29" i="21"/>
  <c r="F29" i="21"/>
  <c r="AQ61" i="21"/>
  <c r="AS61" i="21"/>
  <c r="AT61" i="21"/>
  <c r="AU61" i="21"/>
  <c r="AF61" i="21"/>
  <c r="J61" i="21"/>
  <c r="M29" i="21"/>
  <c r="X61" i="21"/>
  <c r="R61" i="21"/>
  <c r="Y61" i="21"/>
  <c r="J29" i="21"/>
  <c r="K14" i="28"/>
  <c r="F15" i="28" s="1"/>
  <c r="AL14" i="28"/>
  <c r="AM14" i="28" s="1"/>
  <c r="AN14" i="28" s="1"/>
  <c r="BE31" i="21"/>
  <c r="AY31" i="21"/>
  <c r="AG61" i="21"/>
  <c r="S17" i="29"/>
  <c r="C30" i="29"/>
  <c r="AZ30" i="29"/>
  <c r="E31" i="29"/>
  <c r="Y21" i="29"/>
  <c r="K30" i="26"/>
  <c r="O30" i="26"/>
  <c r="AS30" i="26"/>
  <c r="AU30" i="26"/>
  <c r="AQ30" i="26"/>
  <c r="F15" i="26"/>
  <c r="AI14" i="26"/>
  <c r="AL14" i="26"/>
  <c r="AM14" i="26" s="1"/>
  <c r="AN14" i="26" s="1"/>
  <c r="C31" i="26"/>
  <c r="AZ31" i="26"/>
  <c r="E32" i="26"/>
  <c r="AT23" i="28"/>
  <c r="W22" i="28"/>
  <c r="R23" i="28" s="1"/>
  <c r="V23" i="28" s="1"/>
  <c r="AJ14" i="28"/>
  <c r="AK14" i="28" s="1"/>
  <c r="C31" i="28"/>
  <c r="AZ31" i="28"/>
  <c r="E32" i="28"/>
  <c r="AW13" i="28"/>
  <c r="AZ81" i="23"/>
  <c r="BC81" i="23" s="1"/>
  <c r="BA31" i="25"/>
  <c r="BB31" i="25"/>
  <c r="BC31" i="25"/>
  <c r="AR13" i="25"/>
  <c r="K13" i="25"/>
  <c r="I13" i="25"/>
  <c r="Q13" i="25" s="1"/>
  <c r="L14" i="25" s="1"/>
  <c r="AM13" i="25"/>
  <c r="AN13" i="25" s="1"/>
  <c r="AO13" i="25"/>
  <c r="U30" i="25"/>
  <c r="V30" i="25"/>
  <c r="AA30" i="25"/>
  <c r="AB30" i="25"/>
  <c r="AR30" i="25"/>
  <c r="C31" i="25"/>
  <c r="AZ31" i="25"/>
  <c r="BD31" i="25"/>
  <c r="E32" i="25"/>
  <c r="AZ31" i="24"/>
  <c r="C31" i="24"/>
  <c r="E32" i="24"/>
  <c r="AQ30" i="24"/>
  <c r="AS30" i="24"/>
  <c r="AU30" i="24"/>
  <c r="AK12" i="24"/>
  <c r="AN12" i="24"/>
  <c r="AP82" i="23"/>
  <c r="AO82" i="23"/>
  <c r="G13" i="24"/>
  <c r="AR13" i="24" s="1"/>
  <c r="AI82" i="23"/>
  <c r="AJ82" i="23" s="1"/>
  <c r="AK82" i="23" s="1"/>
  <c r="K82" i="23"/>
  <c r="AQ32" i="15"/>
  <c r="AS32" i="15"/>
  <c r="AU32" i="15"/>
  <c r="G15" i="15"/>
  <c r="AW10" i="15"/>
  <c r="L13" i="15"/>
  <c r="I14" i="15" s="1"/>
  <c r="J14" i="15" s="1"/>
  <c r="K29" i="23"/>
  <c r="AX100" i="23"/>
  <c r="BB100" i="23" s="1"/>
  <c r="AW100" i="23"/>
  <c r="BA100" i="23" s="1"/>
  <c r="AY100" i="23"/>
  <c r="BD100" i="23" s="1"/>
  <c r="AX30" i="23"/>
  <c r="BB30" i="23" s="1"/>
  <c r="AW30" i="23"/>
  <c r="BA30" i="23" s="1"/>
  <c r="AY30" i="23"/>
  <c r="BD30" i="23" s="1"/>
  <c r="E31" i="23"/>
  <c r="C30" i="23"/>
  <c r="O30" i="23" s="1"/>
  <c r="BF30" i="23"/>
  <c r="BE30" i="23"/>
  <c r="AQ29" i="23"/>
  <c r="AS29" i="23"/>
  <c r="AU29" i="23"/>
  <c r="G14" i="23"/>
  <c r="AR14" i="23" s="1"/>
  <c r="AJ13" i="23"/>
  <c r="AK13" i="23" s="1"/>
  <c r="AM13" i="23"/>
  <c r="AN13" i="23" s="1"/>
  <c r="H16" i="22"/>
  <c r="F17" i="22" s="1"/>
  <c r="G17" i="22" s="1"/>
  <c r="AR17" i="22" s="1"/>
  <c r="AI15" i="22"/>
  <c r="AJ15" i="22" s="1"/>
  <c r="AL15" i="22"/>
  <c r="AM15" i="22" s="1"/>
  <c r="AW45" i="21"/>
  <c r="AZ31" i="22"/>
  <c r="M61" i="22"/>
  <c r="L61" i="22"/>
  <c r="AZ12" i="23"/>
  <c r="BC12" i="23" s="1"/>
  <c r="BG12" i="23"/>
  <c r="C100" i="23"/>
  <c r="BE100" i="23"/>
  <c r="BF100" i="23"/>
  <c r="E101" i="23"/>
  <c r="J61" i="22"/>
  <c r="Y61" i="22"/>
  <c r="F61" i="22"/>
  <c r="AZ63" i="22"/>
  <c r="G61" i="22"/>
  <c r="N60" i="22"/>
  <c r="M51" i="22"/>
  <c r="Q51" i="22" s="1"/>
  <c r="L52" i="22" s="1"/>
  <c r="N51" i="22"/>
  <c r="AO51" i="22" s="1"/>
  <c r="P52" i="22"/>
  <c r="K29" i="22"/>
  <c r="G29" i="22"/>
  <c r="BA58" i="22"/>
  <c r="BD58" i="22" s="1"/>
  <c r="BH58" i="22"/>
  <c r="I29" i="22"/>
  <c r="N29" i="22"/>
  <c r="AD61" i="22"/>
  <c r="AU29" i="22"/>
  <c r="AU31" i="22" s="1"/>
  <c r="AI29" i="22"/>
  <c r="AJ29" i="22" s="1"/>
  <c r="AL29" i="22"/>
  <c r="AM29" i="22" s="1"/>
  <c r="AQ29" i="22"/>
  <c r="AQ31" i="22" s="1"/>
  <c r="AR29" i="22"/>
  <c r="AS29" i="22"/>
  <c r="AS31" i="22" s="1"/>
  <c r="AT29" i="22"/>
  <c r="BH26" i="22"/>
  <c r="BA26" i="22"/>
  <c r="BD26" i="22" s="1"/>
  <c r="J29" i="22"/>
  <c r="Q29" i="22"/>
  <c r="M29" i="22"/>
  <c r="R61" i="22"/>
  <c r="AQ61" i="22"/>
  <c r="AR61" i="22"/>
  <c r="AR63" i="22" s="1"/>
  <c r="AS61" i="22"/>
  <c r="AT61" i="22"/>
  <c r="AT63" i="22" s="1"/>
  <c r="AU61" i="22"/>
  <c r="S29" i="22"/>
  <c r="F29" i="22"/>
  <c r="AF61" i="22"/>
  <c r="X61" i="22"/>
  <c r="AP61" i="22"/>
  <c r="AI61" i="22"/>
  <c r="AJ61" i="22" s="1"/>
  <c r="AL61" i="22"/>
  <c r="AM61" i="22" s="1"/>
  <c r="AI47" i="22"/>
  <c r="AG50" i="21"/>
  <c r="AF51" i="21" s="1"/>
  <c r="AI61" i="21"/>
  <c r="AJ61" i="21" s="1"/>
  <c r="AL61" i="21"/>
  <c r="AM61" i="21" s="1"/>
  <c r="AP61" i="21"/>
  <c r="T16" i="23"/>
  <c r="S17" i="23" s="1"/>
  <c r="AW46" i="22"/>
  <c r="AC19" i="28"/>
  <c r="I29" i="25"/>
  <c r="O29" i="25"/>
  <c r="BE31" i="22"/>
  <c r="AG91" i="23"/>
  <c r="AF92" i="23" s="1"/>
  <c r="AW27" i="22"/>
  <c r="AN28" i="22"/>
  <c r="AK60" i="22"/>
  <c r="AN60" i="22"/>
  <c r="AE61" i="22"/>
  <c r="AG61" i="22"/>
  <c r="R29" i="22"/>
  <c r="T29" i="22"/>
  <c r="BC31" i="22"/>
  <c r="AY31" i="22"/>
  <c r="AW59" i="22"/>
  <c r="BC63" i="22"/>
  <c r="AY63" i="22"/>
  <c r="BE63" i="22"/>
  <c r="AK28" i="22"/>
  <c r="AK60" i="21"/>
  <c r="AN60" i="21"/>
  <c r="BC63" i="21"/>
  <c r="AY63" i="21"/>
  <c r="AW59" i="21"/>
  <c r="BE63" i="21"/>
  <c r="AD32" i="3"/>
  <c r="AI32" i="3" s="1"/>
  <c r="BE32" i="3" s="1"/>
  <c r="AW10" i="12"/>
  <c r="BA10" i="12" s="1"/>
  <c r="BD10" i="12" s="1"/>
  <c r="AJ13" i="12"/>
  <c r="T12" i="18"/>
  <c r="S13" i="18" s="1"/>
  <c r="J14" i="18"/>
  <c r="L14" i="18" s="1"/>
  <c r="I15" i="18" s="1"/>
  <c r="N15" i="13"/>
  <c r="P15" i="13" s="1"/>
  <c r="M16" i="13" s="1"/>
  <c r="N16" i="13" s="1"/>
  <c r="P16" i="13" s="1"/>
  <c r="M17" i="13" s="1"/>
  <c r="N17" i="13" s="1"/>
  <c r="P17" i="13" s="1"/>
  <c r="AT11" i="14"/>
  <c r="AV11" i="14" s="1"/>
  <c r="N11" i="14"/>
  <c r="T11" i="14" s="1"/>
  <c r="S12" i="14" s="1"/>
  <c r="BG10" i="14"/>
  <c r="AZ10" i="14"/>
  <c r="BC10" i="14" s="1"/>
  <c r="P12" i="18"/>
  <c r="M13" i="18" s="1"/>
  <c r="N11" i="12"/>
  <c r="P11" i="12" s="1"/>
  <c r="M12" i="12" s="1"/>
  <c r="P10" i="15"/>
  <c r="M11" i="15" s="1"/>
  <c r="N11" i="15" s="1"/>
  <c r="T14" i="13"/>
  <c r="S15" i="13" s="1"/>
  <c r="J17" i="13"/>
  <c r="L17" i="13" s="1"/>
  <c r="AW10" i="13"/>
  <c r="AT11" i="13"/>
  <c r="AW11" i="13" s="1"/>
  <c r="R11" i="13"/>
  <c r="Q12" i="13" s="1"/>
  <c r="AT11" i="18"/>
  <c r="AW11" i="18" s="1"/>
  <c r="R11" i="18"/>
  <c r="Q12" i="18" s="1"/>
  <c r="AJ31" i="3"/>
  <c r="BF31" i="3" s="1"/>
  <c r="AI31" i="3"/>
  <c r="BE31" i="3" s="1"/>
  <c r="J28" i="14"/>
  <c r="L28" i="14" s="1"/>
  <c r="I29" i="14" s="1"/>
  <c r="AR31" i="19"/>
  <c r="U100" i="14"/>
  <c r="AA100" i="14"/>
  <c r="V100" i="14"/>
  <c r="I100" i="14"/>
  <c r="AR100" i="14" s="1"/>
  <c r="O100" i="14"/>
  <c r="AB32" i="17"/>
  <c r="O32" i="17"/>
  <c r="V32" i="17"/>
  <c r="AB100" i="14"/>
  <c r="U32" i="17"/>
  <c r="AA32" i="17"/>
  <c r="AA32" i="19"/>
  <c r="I32" i="19"/>
  <c r="I32" i="17"/>
  <c r="V32" i="19"/>
  <c r="U32" i="19"/>
  <c r="AB32" i="19"/>
  <c r="O32" i="19"/>
  <c r="AI15" i="18"/>
  <c r="AJ15" i="18" s="1"/>
  <c r="AK15" i="18" s="1"/>
  <c r="AL15" i="18"/>
  <c r="AM15" i="18" s="1"/>
  <c r="AN15" i="18" s="1"/>
  <c r="AI14" i="12"/>
  <c r="AM14" i="12"/>
  <c r="AN14" i="12" s="1"/>
  <c r="C32" i="19"/>
  <c r="E33" i="19"/>
  <c r="AZ32" i="19"/>
  <c r="F15" i="12"/>
  <c r="G15" i="12" s="1"/>
  <c r="AR15" i="12" s="1"/>
  <c r="H15" i="13"/>
  <c r="AL15" i="13" s="1"/>
  <c r="AM15" i="13" s="1"/>
  <c r="AN15" i="13" s="1"/>
  <c r="H16" i="18"/>
  <c r="F17" i="18" s="1"/>
  <c r="G17" i="18" s="1"/>
  <c r="AR17" i="18" s="1"/>
  <c r="AK61" i="13"/>
  <c r="BE32" i="14"/>
  <c r="C32" i="14"/>
  <c r="AW32" i="14"/>
  <c r="BA32" i="14" s="1"/>
  <c r="AY32" i="14"/>
  <c r="BD32" i="14" s="1"/>
  <c r="AX32" i="14"/>
  <c r="BB32" i="14" s="1"/>
  <c r="E33" i="14"/>
  <c r="BF32" i="14"/>
  <c r="AW28" i="12"/>
  <c r="BH28" i="12" s="1"/>
  <c r="AR31" i="16"/>
  <c r="AW60" i="13"/>
  <c r="BH60" i="13" s="1"/>
  <c r="C32" i="16"/>
  <c r="E33" i="16"/>
  <c r="BD32" i="16"/>
  <c r="AZ32" i="16"/>
  <c r="O31" i="14"/>
  <c r="AQ31" i="14"/>
  <c r="AU31" i="14"/>
  <c r="AS31" i="14"/>
  <c r="BA59" i="13"/>
  <c r="BD59" i="13" s="1"/>
  <c r="BH59" i="13"/>
  <c r="H17" i="14"/>
  <c r="AZ31" i="18"/>
  <c r="E32" i="18"/>
  <c r="C31" i="18"/>
  <c r="AQ30" i="18"/>
  <c r="O30" i="18"/>
  <c r="K30" i="18"/>
  <c r="AS30" i="18"/>
  <c r="AU30" i="18"/>
  <c r="AM61" i="13"/>
  <c r="AN61" i="13" s="1"/>
  <c r="C31" i="17"/>
  <c r="AZ31" i="17"/>
  <c r="E32" i="17"/>
  <c r="BH27" i="12"/>
  <c r="BA27" i="12"/>
  <c r="BD27" i="12" s="1"/>
  <c r="E34" i="15"/>
  <c r="C33" i="15"/>
  <c r="AZ33" i="15"/>
  <c r="BH29" i="13"/>
  <c r="BA29" i="13"/>
  <c r="AX101" i="14"/>
  <c r="BB101" i="14" s="1"/>
  <c r="C101" i="14"/>
  <c r="E102" i="14"/>
  <c r="BE101" i="14"/>
  <c r="AY101" i="14"/>
  <c r="BD101" i="14" s="1"/>
  <c r="AW101" i="14"/>
  <c r="BA101" i="14" s="1"/>
  <c r="BF101" i="14"/>
  <c r="AH34" i="3"/>
  <c r="BD33" i="3"/>
  <c r="G36" i="3"/>
  <c r="AV35" i="3"/>
  <c r="AX35" i="3" s="1"/>
  <c r="V35" i="3"/>
  <c r="X35" i="3" s="1"/>
  <c r="AW37" i="3"/>
  <c r="A35" i="3"/>
  <c r="BI35" i="3" s="1"/>
  <c r="BJ35" i="3" s="1"/>
  <c r="AM34" i="3"/>
  <c r="AL34" i="3"/>
  <c r="H34" i="3"/>
  <c r="AF33" i="3"/>
  <c r="AK33" i="3" s="1"/>
  <c r="Y34" i="3"/>
  <c r="AC33" i="3"/>
  <c r="AG34" i="3"/>
  <c r="AQ37" i="3"/>
  <c r="AN37" i="3"/>
  <c r="AN38" i="3" s="1"/>
  <c r="BC33" i="3"/>
  <c r="AE34" i="3"/>
  <c r="I18" i="13" l="1"/>
  <c r="J18" i="13" s="1"/>
  <c r="K18" i="13"/>
  <c r="M18" i="13"/>
  <c r="N18" i="13" s="1"/>
  <c r="O18" i="13"/>
  <c r="O19" i="13"/>
  <c r="I52" i="21"/>
  <c r="J53" i="21"/>
  <c r="P53" i="22"/>
  <c r="N52" i="22"/>
  <c r="Z97" i="23"/>
  <c r="Y97" i="23"/>
  <c r="AC97" i="23" s="1"/>
  <c r="X98" i="23" s="1"/>
  <c r="AA98" i="23" s="1"/>
  <c r="T97" i="23"/>
  <c r="S97" i="23"/>
  <c r="W97" i="23" s="1"/>
  <c r="R98" i="23" s="1"/>
  <c r="U98" i="23" s="1"/>
  <c r="AG21" i="29"/>
  <c r="AF22" i="29" s="1"/>
  <c r="F15" i="29"/>
  <c r="I15" i="29" s="1"/>
  <c r="AR15" i="29" s="1"/>
  <c r="AQ14" i="29"/>
  <c r="AS14" i="29"/>
  <c r="AK14" i="29"/>
  <c r="H61" i="22"/>
  <c r="I61" i="22"/>
  <c r="Z61" i="22"/>
  <c r="AA61" i="22"/>
  <c r="N61" i="22"/>
  <c r="O61" i="22"/>
  <c r="Z61" i="21"/>
  <c r="AB61" i="21"/>
  <c r="T61" i="21"/>
  <c r="V61" i="21"/>
  <c r="N61" i="21"/>
  <c r="O61" i="21"/>
  <c r="T61" i="22"/>
  <c r="U61" i="22"/>
  <c r="H61" i="21"/>
  <c r="I61" i="21"/>
  <c r="L49" i="21"/>
  <c r="AQ48" i="21"/>
  <c r="AS48" i="21"/>
  <c r="AU48" i="21"/>
  <c r="H15" i="28"/>
  <c r="AP15" i="28" s="1"/>
  <c r="I15" i="28"/>
  <c r="Q15" i="28" s="1"/>
  <c r="L16" i="28" s="1"/>
  <c r="R10" i="24"/>
  <c r="Q11" i="24" s="1"/>
  <c r="AT11" i="24" s="1"/>
  <c r="AW11" i="24" s="1"/>
  <c r="P10" i="24"/>
  <c r="M11" i="24" s="1"/>
  <c r="O11" i="24" s="1"/>
  <c r="J9" i="2"/>
  <c r="J43" i="2" s="1"/>
  <c r="J12" i="24"/>
  <c r="L12" i="24" s="1"/>
  <c r="I13" i="24" s="1"/>
  <c r="J13" i="24" s="1"/>
  <c r="P10" i="21"/>
  <c r="M11" i="21" s="1"/>
  <c r="T10" i="21"/>
  <c r="S11" i="21" s="1"/>
  <c r="AR37" i="3"/>
  <c r="BB35" i="3"/>
  <c r="AG10" i="25"/>
  <c r="AF11" i="25" s="1"/>
  <c r="AT11" i="21"/>
  <c r="AW10" i="21"/>
  <c r="J12" i="12"/>
  <c r="L12" i="12" s="1"/>
  <c r="I13" i="12" s="1"/>
  <c r="P35" i="20"/>
  <c r="AJ32" i="3"/>
  <c r="BF32" i="3" s="1"/>
  <c r="AL35" i="3"/>
  <c r="AN35" i="20"/>
  <c r="AE10" i="25"/>
  <c r="AD11" i="25" s="1"/>
  <c r="AT11" i="25" s="1"/>
  <c r="AW11" i="25" s="1"/>
  <c r="W10" i="25"/>
  <c r="R11" i="25" s="1"/>
  <c r="AC10" i="25"/>
  <c r="X11" i="25" s="1"/>
  <c r="AW61" i="12"/>
  <c r="BH61" i="12" s="1"/>
  <c r="R13" i="23"/>
  <c r="Q14" i="23" s="1"/>
  <c r="AT14" i="23" s="1"/>
  <c r="T11" i="26"/>
  <c r="S12" i="26" s="1"/>
  <c r="T12" i="26" s="1"/>
  <c r="S13" i="26" s="1"/>
  <c r="R11" i="26"/>
  <c r="Q12" i="26" s="1"/>
  <c r="AT11" i="26"/>
  <c r="AW11" i="26" s="1"/>
  <c r="O32" i="14"/>
  <c r="J16" i="23"/>
  <c r="L16" i="23" s="1"/>
  <c r="I17" i="23" s="1"/>
  <c r="J17" i="23" s="1"/>
  <c r="L17" i="23" s="1"/>
  <c r="I18" i="23" s="1"/>
  <c r="N23" i="23"/>
  <c r="P23" i="23" s="1"/>
  <c r="M24" i="23" s="1"/>
  <c r="AT14" i="22"/>
  <c r="R14" i="22"/>
  <c r="Q15" i="22" s="1"/>
  <c r="N13" i="26"/>
  <c r="P13" i="26" s="1"/>
  <c r="M14" i="26" s="1"/>
  <c r="BG33" i="3"/>
  <c r="AQ35" i="20"/>
  <c r="AR35" i="20" s="1"/>
  <c r="O36" i="20"/>
  <c r="J19" i="26"/>
  <c r="L19" i="26" s="1"/>
  <c r="I20" i="26" s="1"/>
  <c r="BA60" i="12"/>
  <c r="BD60" i="12" s="1"/>
  <c r="BH60" i="12"/>
  <c r="O32" i="15"/>
  <c r="K32" i="15"/>
  <c r="AW28" i="21"/>
  <c r="BA28" i="21" s="1"/>
  <c r="BD28" i="21" s="1"/>
  <c r="BA27" i="21"/>
  <c r="BD27" i="21" s="1"/>
  <c r="AL16" i="21"/>
  <c r="AM16" i="21" s="1"/>
  <c r="AI16" i="21"/>
  <c r="AJ16" i="21" s="1"/>
  <c r="H17" i="21"/>
  <c r="AN29" i="21"/>
  <c r="G52" i="21"/>
  <c r="K52" i="21" s="1"/>
  <c r="H52" i="21"/>
  <c r="BH59" i="21"/>
  <c r="BA59" i="21"/>
  <c r="BD59" i="21" s="1"/>
  <c r="BA45" i="21"/>
  <c r="BD45" i="21" s="1"/>
  <c r="BH45" i="21"/>
  <c r="J16" i="28"/>
  <c r="AU14" i="28"/>
  <c r="G15" i="28"/>
  <c r="AI15" i="28" s="1"/>
  <c r="AJ15" i="28" s="1"/>
  <c r="AQ14" i="28"/>
  <c r="AS14" i="28"/>
  <c r="AE17" i="29"/>
  <c r="AD18" i="29" s="1"/>
  <c r="AT18" i="29" s="1"/>
  <c r="W17" i="29"/>
  <c r="R18" i="29" s="1"/>
  <c r="U18" i="29" s="1"/>
  <c r="AZ31" i="29"/>
  <c r="C31" i="29"/>
  <c r="E32" i="29"/>
  <c r="AJ14" i="26"/>
  <c r="AK14" i="26" s="1"/>
  <c r="K31" i="26"/>
  <c r="O31" i="26"/>
  <c r="AQ31" i="26"/>
  <c r="AU31" i="26"/>
  <c r="AS31" i="26"/>
  <c r="G15" i="26"/>
  <c r="AR15" i="26" s="1"/>
  <c r="AZ32" i="26"/>
  <c r="C32" i="26"/>
  <c r="E33" i="26"/>
  <c r="T23" i="28"/>
  <c r="S23" i="28"/>
  <c r="AE23" i="28" s="1"/>
  <c r="AD24" i="28" s="1"/>
  <c r="X20" i="28"/>
  <c r="AB20" i="28" s="1"/>
  <c r="AZ32" i="28"/>
  <c r="C32" i="28"/>
  <c r="E33" i="28"/>
  <c r="BA32" i="25"/>
  <c r="BB32" i="25"/>
  <c r="BC32" i="25"/>
  <c r="AI13" i="25"/>
  <c r="AQ13" i="25"/>
  <c r="AU13" i="25"/>
  <c r="AS13" i="25"/>
  <c r="F14" i="25"/>
  <c r="M14" i="25"/>
  <c r="N14" i="25"/>
  <c r="P15" i="25"/>
  <c r="U31" i="25"/>
  <c r="V31" i="25"/>
  <c r="AA31" i="25"/>
  <c r="AB31" i="25"/>
  <c r="AR31" i="25"/>
  <c r="AZ32" i="25"/>
  <c r="BD32" i="25"/>
  <c r="C32" i="25"/>
  <c r="E33" i="25"/>
  <c r="AQ31" i="24"/>
  <c r="AS31" i="24"/>
  <c r="AU31" i="24"/>
  <c r="AZ32" i="24"/>
  <c r="C32" i="24"/>
  <c r="E33" i="24"/>
  <c r="L14" i="15"/>
  <c r="I15" i="15" s="1"/>
  <c r="J15" i="15" s="1"/>
  <c r="F83" i="23"/>
  <c r="I83" i="23" s="1"/>
  <c r="AR83" i="23" s="1"/>
  <c r="AU82" i="23"/>
  <c r="AS82" i="23"/>
  <c r="AQ82" i="23"/>
  <c r="H13" i="24"/>
  <c r="AS33" i="15"/>
  <c r="AU33" i="15"/>
  <c r="AQ33" i="15"/>
  <c r="AR15" i="15"/>
  <c r="H15" i="15"/>
  <c r="AV13" i="23"/>
  <c r="BG13" i="23" s="1"/>
  <c r="H14" i="23"/>
  <c r="AW31" i="23"/>
  <c r="BA31" i="23" s="1"/>
  <c r="AX31" i="23"/>
  <c r="BB31" i="23" s="1"/>
  <c r="AY31" i="23"/>
  <c r="BD31" i="23" s="1"/>
  <c r="BE31" i="23"/>
  <c r="E32" i="23"/>
  <c r="C31" i="23"/>
  <c r="K31" i="23" s="1"/>
  <c r="BF31" i="23"/>
  <c r="AQ30" i="23"/>
  <c r="AU30" i="23"/>
  <c r="AS30" i="23"/>
  <c r="AW101" i="23"/>
  <c r="BA101" i="23" s="1"/>
  <c r="AX101" i="23"/>
  <c r="BB101" i="23" s="1"/>
  <c r="AY101" i="23"/>
  <c r="BD101" i="23" s="1"/>
  <c r="K30" i="23"/>
  <c r="AI16" i="22"/>
  <c r="AJ16" i="22" s="1"/>
  <c r="AL16" i="22"/>
  <c r="AM16" i="22" s="1"/>
  <c r="H17" i="22"/>
  <c r="F18" i="22" s="1"/>
  <c r="G18" i="22" s="1"/>
  <c r="AR18" i="22" s="1"/>
  <c r="C101" i="23"/>
  <c r="BE101" i="23"/>
  <c r="BF101" i="23"/>
  <c r="E102" i="23"/>
  <c r="AJ47" i="22"/>
  <c r="AK47" i="22" s="1"/>
  <c r="BA46" i="22"/>
  <c r="BD46" i="22" s="1"/>
  <c r="BH46" i="22"/>
  <c r="M52" i="22"/>
  <c r="Q52" i="22" s="1"/>
  <c r="AS51" i="22"/>
  <c r="AU51" i="22"/>
  <c r="BA13" i="22"/>
  <c r="BD13" i="22" s="1"/>
  <c r="BH13" i="22"/>
  <c r="AQ51" i="22"/>
  <c r="BA59" i="22"/>
  <c r="BD59" i="22" s="1"/>
  <c r="BH59" i="22"/>
  <c r="BA27" i="22"/>
  <c r="BD27" i="22" s="1"/>
  <c r="BH27" i="22"/>
  <c r="AL47" i="22"/>
  <c r="AI46" i="21"/>
  <c r="AL46" i="21"/>
  <c r="AP46" i="21"/>
  <c r="AP47" i="22"/>
  <c r="AN14" i="21"/>
  <c r="AK14" i="21"/>
  <c r="AC21" i="29"/>
  <c r="X22" i="29" s="1"/>
  <c r="I30" i="25"/>
  <c r="O30" i="25"/>
  <c r="AW60" i="21"/>
  <c r="AE89" i="23"/>
  <c r="AD90" i="23" s="1"/>
  <c r="AT90" i="23" s="1"/>
  <c r="AW60" i="22"/>
  <c r="AW28" i="22"/>
  <c r="AK29" i="22"/>
  <c r="AK61" i="21"/>
  <c r="AK29" i="21"/>
  <c r="BH10" i="12"/>
  <c r="AW11" i="12"/>
  <c r="BA11" i="12" s="1"/>
  <c r="BD11" i="12" s="1"/>
  <c r="AK13" i="12"/>
  <c r="AJ14" i="12"/>
  <c r="K9" i="2" s="1"/>
  <c r="N12" i="12"/>
  <c r="P12" i="12" s="1"/>
  <c r="M13" i="12" s="1"/>
  <c r="AT12" i="18"/>
  <c r="AW12" i="18" s="1"/>
  <c r="R12" i="18"/>
  <c r="Q13" i="18" s="1"/>
  <c r="R11" i="12"/>
  <c r="Q12" i="12" s="1"/>
  <c r="AT12" i="12" s="1"/>
  <c r="T15" i="13"/>
  <c r="S16" i="13" s="1"/>
  <c r="T16" i="13" s="1"/>
  <c r="S17" i="13" s="1"/>
  <c r="T17" i="13" s="1"/>
  <c r="S18" i="13" s="1"/>
  <c r="T18" i="13" s="1"/>
  <c r="S19" i="13" s="1"/>
  <c r="AZ11" i="14"/>
  <c r="BC11" i="14" s="1"/>
  <c r="BG11" i="14"/>
  <c r="R11" i="14"/>
  <c r="Q12" i="14" s="1"/>
  <c r="T11" i="12"/>
  <c r="S12" i="12" s="1"/>
  <c r="P11" i="14"/>
  <c r="M12" i="14" s="1"/>
  <c r="T10" i="15"/>
  <c r="S11" i="15" s="1"/>
  <c r="R10" i="15"/>
  <c r="Q11" i="15" s="1"/>
  <c r="AT11" i="15" s="1"/>
  <c r="J15" i="18"/>
  <c r="L15" i="18" s="1"/>
  <c r="I16" i="18" s="1"/>
  <c r="R12" i="13"/>
  <c r="Q13" i="13" s="1"/>
  <c r="AT12" i="13"/>
  <c r="AW12" i="13" s="1"/>
  <c r="N13" i="18"/>
  <c r="T13" i="18" s="1"/>
  <c r="S14" i="18" s="1"/>
  <c r="BA11" i="13"/>
  <c r="BD11" i="13" s="1"/>
  <c r="BH11" i="13"/>
  <c r="BH10" i="13"/>
  <c r="BA10" i="13"/>
  <c r="BD10" i="13" s="1"/>
  <c r="AD33" i="3"/>
  <c r="AJ33" i="3" s="1"/>
  <c r="J29" i="14"/>
  <c r="L29" i="14" s="1"/>
  <c r="I30" i="14" s="1"/>
  <c r="AR32" i="19"/>
  <c r="AW61" i="13"/>
  <c r="BH61" i="13" s="1"/>
  <c r="AA101" i="14"/>
  <c r="I101" i="14"/>
  <c r="AR101" i="14" s="1"/>
  <c r="V101" i="14"/>
  <c r="U101" i="14"/>
  <c r="AB101" i="14"/>
  <c r="V33" i="17"/>
  <c r="O101" i="14"/>
  <c r="U33" i="17"/>
  <c r="O33" i="17"/>
  <c r="AB33" i="19"/>
  <c r="O33" i="19"/>
  <c r="AB33" i="17"/>
  <c r="AA33" i="19"/>
  <c r="I33" i="19"/>
  <c r="I33" i="17"/>
  <c r="V33" i="19"/>
  <c r="AA33" i="17"/>
  <c r="U33" i="19"/>
  <c r="AI16" i="18"/>
  <c r="AJ16" i="18" s="1"/>
  <c r="AK16" i="18" s="1"/>
  <c r="AL16" i="18"/>
  <c r="AM16" i="18" s="1"/>
  <c r="AN16" i="18" s="1"/>
  <c r="AI15" i="13"/>
  <c r="AJ15" i="13" s="1"/>
  <c r="AK15" i="13" s="1"/>
  <c r="F16" i="13"/>
  <c r="G16" i="13" s="1"/>
  <c r="AR16" i="13" s="1"/>
  <c r="H15" i="12"/>
  <c r="AI15" i="12" s="1"/>
  <c r="AZ33" i="19"/>
  <c r="E34" i="19"/>
  <c r="C33" i="19"/>
  <c r="H17" i="18"/>
  <c r="AI17" i="18" s="1"/>
  <c r="BA28" i="12"/>
  <c r="BD28" i="12" s="1"/>
  <c r="BA60" i="13"/>
  <c r="BD60" i="13" s="1"/>
  <c r="AR32" i="16"/>
  <c r="E34" i="14"/>
  <c r="BF33" i="14"/>
  <c r="AY33" i="14"/>
  <c r="BD33" i="14" s="1"/>
  <c r="C33" i="14"/>
  <c r="BE33" i="14"/>
  <c r="AX33" i="14"/>
  <c r="BB33" i="14" s="1"/>
  <c r="AW33" i="14"/>
  <c r="BA33" i="14" s="1"/>
  <c r="K32" i="14"/>
  <c r="AU32" i="14"/>
  <c r="AS32" i="14"/>
  <c r="AQ32" i="14"/>
  <c r="BD33" i="16"/>
  <c r="C33" i="16"/>
  <c r="E34" i="16"/>
  <c r="AZ33" i="16"/>
  <c r="E33" i="17"/>
  <c r="AZ32" i="17"/>
  <c r="C32" i="17"/>
  <c r="AZ32" i="18"/>
  <c r="C32" i="18"/>
  <c r="E33" i="18"/>
  <c r="F18" i="14"/>
  <c r="AL17" i="14"/>
  <c r="AM17" i="14" s="1"/>
  <c r="AI17" i="14"/>
  <c r="AJ17" i="14" s="1"/>
  <c r="AW29" i="12"/>
  <c r="K31" i="18"/>
  <c r="O31" i="18"/>
  <c r="AS31" i="18"/>
  <c r="AU31" i="18"/>
  <c r="AQ31" i="18"/>
  <c r="E35" i="15"/>
  <c r="AZ34" i="15"/>
  <c r="C34" i="15"/>
  <c r="BF102" i="14"/>
  <c r="AW102" i="14"/>
  <c r="BA102" i="14" s="1"/>
  <c r="E103" i="14"/>
  <c r="AX102" i="14"/>
  <c r="BB102" i="14" s="1"/>
  <c r="C102" i="14"/>
  <c r="AY102" i="14"/>
  <c r="BD102" i="14" s="1"/>
  <c r="BE102" i="14"/>
  <c r="AK15" i="14"/>
  <c r="AN15" i="14"/>
  <c r="BD29" i="13"/>
  <c r="AG35" i="3"/>
  <c r="AH35" i="3"/>
  <c r="BD34" i="3"/>
  <c r="Y35" i="3"/>
  <c r="AC34" i="3"/>
  <c r="AM35" i="3"/>
  <c r="BC34" i="3"/>
  <c r="AE35" i="3"/>
  <c r="AQ38" i="3"/>
  <c r="AW38" i="3"/>
  <c r="V36" i="3"/>
  <c r="X36" i="3" s="1"/>
  <c r="G37" i="3"/>
  <c r="AV36" i="3"/>
  <c r="AX36" i="3" s="1"/>
  <c r="P38" i="3"/>
  <c r="H35" i="3"/>
  <c r="AF34" i="3"/>
  <c r="AD34" i="3" s="1"/>
  <c r="A36" i="3"/>
  <c r="BI36" i="3" s="1"/>
  <c r="BJ36" i="3" s="1"/>
  <c r="L18" i="13" l="1"/>
  <c r="I19" i="13" s="1"/>
  <c r="J19" i="13" s="1"/>
  <c r="P18" i="13"/>
  <c r="M19" i="13" s="1"/>
  <c r="N19" i="13" s="1"/>
  <c r="P19" i="13" s="1"/>
  <c r="M20" i="13" s="1"/>
  <c r="K19" i="13"/>
  <c r="M53" i="22"/>
  <c r="AU52" i="22"/>
  <c r="AS52" i="22"/>
  <c r="AQ52" i="22"/>
  <c r="AP52" i="22"/>
  <c r="AO52" i="22"/>
  <c r="G53" i="21"/>
  <c r="H53" i="21"/>
  <c r="AI52" i="22"/>
  <c r="AL52" i="22"/>
  <c r="Y98" i="23"/>
  <c r="AC98" i="23" s="1"/>
  <c r="X99" i="23" s="1"/>
  <c r="AA99" i="23" s="1"/>
  <c r="Z98" i="23"/>
  <c r="T98" i="23"/>
  <c r="S98" i="23"/>
  <c r="W98" i="23" s="1"/>
  <c r="R99" i="23" s="1"/>
  <c r="U99" i="23" s="1"/>
  <c r="N11" i="24"/>
  <c r="T11" i="24" s="1"/>
  <c r="S12" i="24" s="1"/>
  <c r="Q15" i="29"/>
  <c r="L16" i="29" s="1"/>
  <c r="P17" i="29" s="1"/>
  <c r="J16" i="29"/>
  <c r="H15" i="29"/>
  <c r="AP15" i="29" s="1"/>
  <c r="G15" i="29"/>
  <c r="AI15" i="29" s="1"/>
  <c r="AJ15" i="29" s="1"/>
  <c r="AW14" i="29"/>
  <c r="AO15" i="28"/>
  <c r="M16" i="28"/>
  <c r="O16" i="28"/>
  <c r="P17" i="28"/>
  <c r="N16" i="28"/>
  <c r="O49" i="21"/>
  <c r="M49" i="21"/>
  <c r="P50" i="21"/>
  <c r="N49" i="21"/>
  <c r="AO49" i="21" s="1"/>
  <c r="Q83" i="23"/>
  <c r="L84" i="23" s="1"/>
  <c r="O16" i="29"/>
  <c r="Z22" i="29"/>
  <c r="AA22" i="29"/>
  <c r="K13" i="24"/>
  <c r="L13" i="24" s="1"/>
  <c r="I14" i="24" s="1"/>
  <c r="J14" i="24" s="1"/>
  <c r="O11" i="21"/>
  <c r="N11" i="21"/>
  <c r="AR38" i="3"/>
  <c r="BB36" i="3"/>
  <c r="V11" i="25"/>
  <c r="U11" i="25"/>
  <c r="Y11" i="25"/>
  <c r="AA11" i="25"/>
  <c r="AW11" i="21"/>
  <c r="BH10" i="21"/>
  <c r="BA10" i="21"/>
  <c r="BD10" i="21" s="1"/>
  <c r="J13" i="12"/>
  <c r="L13" i="12" s="1"/>
  <c r="I14" i="12" s="1"/>
  <c r="AN36" i="20"/>
  <c r="AM36" i="3"/>
  <c r="S11" i="25"/>
  <c r="T11" i="25"/>
  <c r="AB11" i="25"/>
  <c r="Z11" i="25"/>
  <c r="T13" i="26"/>
  <c r="S14" i="26" s="1"/>
  <c r="BA61" i="12"/>
  <c r="BD61" i="12" s="1"/>
  <c r="R14" i="23"/>
  <c r="Q15" i="23" s="1"/>
  <c r="AT15" i="23" s="1"/>
  <c r="R12" i="26"/>
  <c r="Q13" i="26" s="1"/>
  <c r="AT12" i="26"/>
  <c r="AW12" i="26" s="1"/>
  <c r="AK34" i="3"/>
  <c r="BG34" i="3" s="1"/>
  <c r="N24" i="23"/>
  <c r="P24" i="23" s="1"/>
  <c r="M25" i="23" s="1"/>
  <c r="J20" i="26"/>
  <c r="L20" i="26" s="1"/>
  <c r="I21" i="26" s="1"/>
  <c r="N14" i="26"/>
  <c r="J18" i="23"/>
  <c r="L18" i="23" s="1"/>
  <c r="I19" i="23" s="1"/>
  <c r="P36" i="20"/>
  <c r="AQ36" i="20"/>
  <c r="AR36" i="20" s="1"/>
  <c r="O37" i="20"/>
  <c r="AT15" i="22"/>
  <c r="R15" i="22"/>
  <c r="Q16" i="22" s="1"/>
  <c r="K33" i="15"/>
  <c r="O33" i="15"/>
  <c r="BH28" i="21"/>
  <c r="F18" i="21"/>
  <c r="AL17" i="21"/>
  <c r="AM17" i="21" s="1"/>
  <c r="AI17" i="21"/>
  <c r="AJ17" i="21" s="1"/>
  <c r="BA60" i="21"/>
  <c r="BD60" i="21" s="1"/>
  <c r="BH60" i="21"/>
  <c r="AJ46" i="21"/>
  <c r="AK46" i="21" s="1"/>
  <c r="AM46" i="21"/>
  <c r="AN46" i="21" s="1"/>
  <c r="AW14" i="28"/>
  <c r="AL15" i="28"/>
  <c r="AM15" i="28" s="1"/>
  <c r="AN15" i="28" s="1"/>
  <c r="K15" i="28"/>
  <c r="F16" i="28" s="1"/>
  <c r="AK15" i="28"/>
  <c r="T18" i="29"/>
  <c r="S18" i="29"/>
  <c r="W18" i="29" s="1"/>
  <c r="R19" i="29" s="1"/>
  <c r="U19" i="29" s="1"/>
  <c r="C32" i="29"/>
  <c r="AZ32" i="29"/>
  <c r="E33" i="29"/>
  <c r="Y22" i="29"/>
  <c r="H15" i="26"/>
  <c r="O32" i="26"/>
  <c r="AQ32" i="26"/>
  <c r="AS32" i="26"/>
  <c r="AU32" i="26"/>
  <c r="K32" i="26"/>
  <c r="C33" i="26"/>
  <c r="AZ33" i="26"/>
  <c r="E34" i="26"/>
  <c r="AT24" i="28"/>
  <c r="W23" i="28"/>
  <c r="R24" i="28" s="1"/>
  <c r="V24" i="28" s="1"/>
  <c r="Z20" i="28"/>
  <c r="Y20" i="28"/>
  <c r="C33" i="28"/>
  <c r="AZ33" i="28"/>
  <c r="E34" i="28"/>
  <c r="L15" i="15"/>
  <c r="I16" i="15" s="1"/>
  <c r="J16" i="15" s="1"/>
  <c r="U32" i="25"/>
  <c r="V32" i="25"/>
  <c r="AA32" i="25"/>
  <c r="AB32" i="25"/>
  <c r="AR32" i="25"/>
  <c r="BA33" i="25"/>
  <c r="BB33" i="25"/>
  <c r="BC33" i="25"/>
  <c r="G14" i="25"/>
  <c r="H14" i="25"/>
  <c r="AP14" i="25" s="1"/>
  <c r="J15" i="25"/>
  <c r="AJ13" i="25"/>
  <c r="AK13" i="25" s="1"/>
  <c r="BD33" i="25"/>
  <c r="C33" i="25"/>
  <c r="AZ33" i="25"/>
  <c r="E34" i="25"/>
  <c r="AQ32" i="24"/>
  <c r="AS32" i="24"/>
  <c r="AU32" i="24"/>
  <c r="C33" i="24"/>
  <c r="AZ33" i="24"/>
  <c r="E34" i="24"/>
  <c r="F14" i="24"/>
  <c r="AI13" i="24"/>
  <c r="AJ13" i="24" s="1"/>
  <c r="AL13" i="24"/>
  <c r="AM13" i="24" s="1"/>
  <c r="AV82" i="23"/>
  <c r="AZ82" i="23" s="1"/>
  <c r="BC82" i="23" s="1"/>
  <c r="J84" i="23"/>
  <c r="G83" i="23"/>
  <c r="K83" i="23" s="1"/>
  <c r="F84" i="23" s="1"/>
  <c r="I84" i="23" s="1"/>
  <c r="AR84" i="23" s="1"/>
  <c r="H83" i="23"/>
  <c r="K34" i="15"/>
  <c r="O34" i="15"/>
  <c r="AQ34" i="15"/>
  <c r="AS34" i="15"/>
  <c r="AU34" i="15"/>
  <c r="AI15" i="15"/>
  <c r="AJ15" i="15" s="1"/>
  <c r="AK15" i="15" s="1"/>
  <c r="AL15" i="15"/>
  <c r="AM15" i="15" s="1"/>
  <c r="AN15" i="15" s="1"/>
  <c r="F16" i="15"/>
  <c r="O31" i="23"/>
  <c r="AZ13" i="23"/>
  <c r="BC13" i="23" s="1"/>
  <c r="F15" i="23"/>
  <c r="AI14" i="23"/>
  <c r="AL14" i="23"/>
  <c r="AW32" i="23"/>
  <c r="BA32" i="23" s="1"/>
  <c r="AX32" i="23"/>
  <c r="BB32" i="23" s="1"/>
  <c r="AY32" i="23"/>
  <c r="BD32" i="23" s="1"/>
  <c r="E33" i="23"/>
  <c r="C32" i="23"/>
  <c r="BF32" i="23"/>
  <c r="BE32" i="23"/>
  <c r="AQ31" i="23"/>
  <c r="AS31" i="23"/>
  <c r="AU31" i="23"/>
  <c r="AW102" i="23"/>
  <c r="BA102" i="23" s="1"/>
  <c r="AX102" i="23"/>
  <c r="BB102" i="23" s="1"/>
  <c r="AY102" i="23"/>
  <c r="BD102" i="23" s="1"/>
  <c r="AL17" i="22"/>
  <c r="AM17" i="22" s="1"/>
  <c r="H18" i="22"/>
  <c r="F19" i="22" s="1"/>
  <c r="G19" i="22" s="1"/>
  <c r="AR19" i="22" s="1"/>
  <c r="AI17" i="22"/>
  <c r="AJ17" i="22" s="1"/>
  <c r="C102" i="23"/>
  <c r="BE102" i="23"/>
  <c r="BF102" i="23"/>
  <c r="E103" i="23"/>
  <c r="AM47" i="22"/>
  <c r="AN47" i="22" s="1"/>
  <c r="BA60" i="22"/>
  <c r="BD60" i="22" s="1"/>
  <c r="BH60" i="22"/>
  <c r="BH28" i="22"/>
  <c r="BA28" i="22"/>
  <c r="BD28" i="22" s="1"/>
  <c r="AK14" i="22"/>
  <c r="AN14" i="22"/>
  <c r="AG51" i="21"/>
  <c r="AF52" i="21" s="1"/>
  <c r="AG52" i="21" s="1"/>
  <c r="AK15" i="21"/>
  <c r="AN15" i="21"/>
  <c r="T17" i="23"/>
  <c r="AE50" i="21"/>
  <c r="AD51" i="21" s="1"/>
  <c r="AT51" i="21" s="1"/>
  <c r="O31" i="25"/>
  <c r="I31" i="25"/>
  <c r="AG92" i="23"/>
  <c r="AF93" i="23" s="1"/>
  <c r="AE90" i="23"/>
  <c r="AD91" i="23" s="1"/>
  <c r="AT91" i="23" s="1"/>
  <c r="AK61" i="22"/>
  <c r="AN29" i="22"/>
  <c r="AW29" i="22" s="1"/>
  <c r="AN61" i="22"/>
  <c r="AW29" i="21"/>
  <c r="AN61" i="21"/>
  <c r="AW61" i="21" s="1"/>
  <c r="AJ34" i="3"/>
  <c r="BF34" i="3" s="1"/>
  <c r="BH11" i="12"/>
  <c r="K43" i="2"/>
  <c r="AK14" i="12"/>
  <c r="T11" i="15"/>
  <c r="S12" i="15" s="1"/>
  <c r="T12" i="12"/>
  <c r="S13" i="12" s="1"/>
  <c r="J16" i="18"/>
  <c r="L16" i="18" s="1"/>
  <c r="I17" i="18" s="1"/>
  <c r="BA12" i="13"/>
  <c r="BD12" i="13" s="1"/>
  <c r="BH12" i="13"/>
  <c r="AT12" i="14"/>
  <c r="AV12" i="14" s="1"/>
  <c r="P13" i="18"/>
  <c r="M14" i="18" s="1"/>
  <c r="N14" i="18" s="1"/>
  <c r="P14" i="18" s="1"/>
  <c r="M15" i="18" s="1"/>
  <c r="N15" i="18" s="1"/>
  <c r="P15" i="18" s="1"/>
  <c r="M16" i="18" s="1"/>
  <c r="N16" i="18" s="1"/>
  <c r="P16" i="18" s="1"/>
  <c r="M17" i="18" s="1"/>
  <c r="N17" i="18" s="1"/>
  <c r="P17" i="18" s="1"/>
  <c r="M18" i="18" s="1"/>
  <c r="BF33" i="3"/>
  <c r="P11" i="15"/>
  <c r="M12" i="15" s="1"/>
  <c r="N12" i="15" s="1"/>
  <c r="N12" i="14"/>
  <c r="T12" i="14" s="1"/>
  <c r="S13" i="14" s="1"/>
  <c r="N13" i="12"/>
  <c r="P13" i="12" s="1"/>
  <c r="M14" i="12" s="1"/>
  <c r="AW11" i="15"/>
  <c r="R11" i="15"/>
  <c r="Q12" i="15" s="1"/>
  <c r="AT12" i="15" s="1"/>
  <c r="R13" i="18"/>
  <c r="Q14" i="18" s="1"/>
  <c r="AT13" i="18"/>
  <c r="AW13" i="18" s="1"/>
  <c r="R12" i="12"/>
  <c r="Q13" i="12" s="1"/>
  <c r="AT13" i="12" s="1"/>
  <c r="AT13" i="13"/>
  <c r="AW13" i="13" s="1"/>
  <c r="R13" i="13"/>
  <c r="Q14" i="13" s="1"/>
  <c r="AR33" i="19"/>
  <c r="AI33" i="3"/>
  <c r="BE33" i="3" s="1"/>
  <c r="J30" i="14"/>
  <c r="L30" i="14" s="1"/>
  <c r="I31" i="14" s="1"/>
  <c r="BA61" i="13"/>
  <c r="BD61" i="13" s="1"/>
  <c r="U102" i="14"/>
  <c r="V102" i="14"/>
  <c r="O102" i="14"/>
  <c r="AA102" i="14"/>
  <c r="I102" i="14"/>
  <c r="AR102" i="14" s="1"/>
  <c r="AB102" i="14"/>
  <c r="AB34" i="17"/>
  <c r="O34" i="17"/>
  <c r="U34" i="17"/>
  <c r="AB34" i="19"/>
  <c r="O34" i="19"/>
  <c r="I34" i="17"/>
  <c r="V34" i="17"/>
  <c r="V34" i="19"/>
  <c r="U34" i="19"/>
  <c r="I34" i="19"/>
  <c r="AA34" i="19"/>
  <c r="AA34" i="17"/>
  <c r="H16" i="13"/>
  <c r="AL16" i="13" s="1"/>
  <c r="AM16" i="13" s="1"/>
  <c r="AN16" i="13" s="1"/>
  <c r="AL17" i="18"/>
  <c r="AM17" i="18" s="1"/>
  <c r="AN17" i="18" s="1"/>
  <c r="AL15" i="12"/>
  <c r="AM15" i="12" s="1"/>
  <c r="AN15" i="12" s="1"/>
  <c r="F16" i="12"/>
  <c r="G16" i="12" s="1"/>
  <c r="AR16" i="12" s="1"/>
  <c r="E35" i="19"/>
  <c r="C34" i="19"/>
  <c r="AZ34" i="19"/>
  <c r="F18" i="18"/>
  <c r="G18" i="18" s="1"/>
  <c r="AR18" i="18" s="1"/>
  <c r="AJ15" i="12"/>
  <c r="L9" i="2" s="1"/>
  <c r="C34" i="16"/>
  <c r="AZ34" i="16"/>
  <c r="BD34" i="16"/>
  <c r="E35" i="16"/>
  <c r="AR33" i="16"/>
  <c r="AX34" i="14"/>
  <c r="BB34" i="14" s="1"/>
  <c r="AY34" i="14"/>
  <c r="BD34" i="14" s="1"/>
  <c r="BF34" i="14"/>
  <c r="E35" i="14"/>
  <c r="AW34" i="14"/>
  <c r="BA34" i="14" s="1"/>
  <c r="BE34" i="14"/>
  <c r="C34" i="14"/>
  <c r="K33" i="14"/>
  <c r="AU33" i="14"/>
  <c r="AQ33" i="14"/>
  <c r="AS33" i="14"/>
  <c r="O33" i="14"/>
  <c r="AQ32" i="18"/>
  <c r="O32" i="18"/>
  <c r="K32" i="18"/>
  <c r="AS32" i="18"/>
  <c r="AU32" i="18"/>
  <c r="E34" i="17"/>
  <c r="C33" i="17"/>
  <c r="AZ33" i="17"/>
  <c r="G18" i="14"/>
  <c r="AR18" i="14" s="1"/>
  <c r="BA29" i="12"/>
  <c r="BD29" i="12" s="1"/>
  <c r="BH29" i="12"/>
  <c r="AZ33" i="18"/>
  <c r="E34" i="18"/>
  <c r="C33" i="18"/>
  <c r="AZ35" i="15"/>
  <c r="C35" i="15"/>
  <c r="E36" i="15"/>
  <c r="AJ17" i="18"/>
  <c r="AK17" i="18" s="1"/>
  <c r="E104" i="14"/>
  <c r="BE103" i="14"/>
  <c r="AY103" i="14"/>
  <c r="BD103" i="14" s="1"/>
  <c r="BF103" i="14"/>
  <c r="AW103" i="14"/>
  <c r="BA103" i="14" s="1"/>
  <c r="C103" i="14"/>
  <c r="AX103" i="14"/>
  <c r="BB103" i="14" s="1"/>
  <c r="AK16" i="14"/>
  <c r="G38" i="3"/>
  <c r="AV37" i="3"/>
  <c r="AX37" i="3" s="1"/>
  <c r="V37" i="3"/>
  <c r="X37" i="3" s="1"/>
  <c r="AQ39" i="3"/>
  <c r="AF35" i="3"/>
  <c r="AD35" i="3" s="1"/>
  <c r="H36" i="3"/>
  <c r="AI34" i="3"/>
  <c r="BE34" i="3" s="1"/>
  <c r="AH36" i="3"/>
  <c r="BD35" i="3"/>
  <c r="A37" i="3"/>
  <c r="BI37" i="3" s="1"/>
  <c r="BJ37" i="3" s="1"/>
  <c r="P39" i="3"/>
  <c r="P40" i="3" s="1"/>
  <c r="BC35" i="3"/>
  <c r="AE36" i="3"/>
  <c r="AC35" i="3"/>
  <c r="Y36" i="3"/>
  <c r="AW39" i="3"/>
  <c r="AN39" i="3"/>
  <c r="AN40" i="3" s="1"/>
  <c r="AL36" i="3"/>
  <c r="AG36" i="3"/>
  <c r="N20" i="13" l="1"/>
  <c r="O20" i="13"/>
  <c r="T19" i="13"/>
  <c r="S20" i="13" s="1"/>
  <c r="L19" i="13"/>
  <c r="I20" i="13" s="1"/>
  <c r="P20" i="13"/>
  <c r="N21" i="13" s="1"/>
  <c r="AM52" i="22"/>
  <c r="AN52" i="22" s="1"/>
  <c r="AJ52" i="22"/>
  <c r="AK52" i="22" s="1"/>
  <c r="Y99" i="23"/>
  <c r="AC99" i="23" s="1"/>
  <c r="X100" i="23" s="1"/>
  <c r="AA100" i="23" s="1"/>
  <c r="Z99" i="23"/>
  <c r="T99" i="23"/>
  <c r="S99" i="23"/>
  <c r="W99" i="23" s="1"/>
  <c r="R100" i="23" s="1"/>
  <c r="U100" i="23" s="1"/>
  <c r="R11" i="24"/>
  <c r="Q12" i="24" s="1"/>
  <c r="AT12" i="24" s="1"/>
  <c r="AW12" i="24" s="1"/>
  <c r="P11" i="24"/>
  <c r="M12" i="24" s="1"/>
  <c r="N12" i="24" s="1"/>
  <c r="T12" i="24" s="1"/>
  <c r="S13" i="24" s="1"/>
  <c r="AG22" i="29"/>
  <c r="AF23" i="29" s="1"/>
  <c r="N16" i="29"/>
  <c r="M16" i="29"/>
  <c r="AL15" i="29"/>
  <c r="AM15" i="29" s="1"/>
  <c r="AN15" i="29" s="1"/>
  <c r="AK15" i="29"/>
  <c r="AO15" i="29"/>
  <c r="K15" i="29"/>
  <c r="AU15" i="29" s="1"/>
  <c r="Q49" i="21"/>
  <c r="L50" i="21" s="1"/>
  <c r="N50" i="21" s="1"/>
  <c r="AO50" i="21" s="1"/>
  <c r="G16" i="28"/>
  <c r="K16" i="28" s="1"/>
  <c r="F17" i="28" s="1"/>
  <c r="I17" i="28" s="1"/>
  <c r="I16" i="28"/>
  <c r="Q16" i="28" s="1"/>
  <c r="L17" i="28" s="1"/>
  <c r="O84" i="23"/>
  <c r="N84" i="23"/>
  <c r="P85" i="23"/>
  <c r="M84" i="23"/>
  <c r="K14" i="24"/>
  <c r="L14" i="24" s="1"/>
  <c r="I15" i="24" s="1"/>
  <c r="J15" i="24" s="1"/>
  <c r="P11" i="21"/>
  <c r="M12" i="21" s="1"/>
  <c r="R11" i="21"/>
  <c r="Q12" i="21" s="1"/>
  <c r="T11" i="21"/>
  <c r="S12" i="21" s="1"/>
  <c r="BB37" i="3"/>
  <c r="AR39" i="3"/>
  <c r="AC11" i="25"/>
  <c r="X12" i="25" s="1"/>
  <c r="Y12" i="25" s="1"/>
  <c r="AG11" i="25"/>
  <c r="AF12" i="25" s="1"/>
  <c r="AE11" i="25"/>
  <c r="AD12" i="25" s="1"/>
  <c r="AT12" i="25" s="1"/>
  <c r="AW12" i="25" s="1"/>
  <c r="BA11" i="21"/>
  <c r="BD11" i="21" s="1"/>
  <c r="BH11" i="21"/>
  <c r="J14" i="12"/>
  <c r="L14" i="12" s="1"/>
  <c r="I15" i="12" s="1"/>
  <c r="W11" i="25"/>
  <c r="R12" i="25" s="1"/>
  <c r="T14" i="26"/>
  <c r="S15" i="26" s="1"/>
  <c r="R15" i="23"/>
  <c r="Q16" i="23" s="1"/>
  <c r="AT16" i="23" s="1"/>
  <c r="R13" i="26"/>
  <c r="Q14" i="26" s="1"/>
  <c r="AT14" i="26" s="1"/>
  <c r="AW14" i="26" s="1"/>
  <c r="AT13" i="26"/>
  <c r="AW13" i="26" s="1"/>
  <c r="P37" i="20"/>
  <c r="AK35" i="3"/>
  <c r="BG35" i="3" s="1"/>
  <c r="N25" i="23"/>
  <c r="P25" i="23" s="1"/>
  <c r="M26" i="23" s="1"/>
  <c r="J21" i="26"/>
  <c r="L21" i="26" s="1"/>
  <c r="I22" i="26" s="1"/>
  <c r="J19" i="23"/>
  <c r="L19" i="23" s="1"/>
  <c r="I20" i="23" s="1"/>
  <c r="J20" i="23" s="1"/>
  <c r="L20" i="23" s="1"/>
  <c r="I21" i="23" s="1"/>
  <c r="P14" i="26"/>
  <c r="M15" i="26" s="1"/>
  <c r="AN37" i="20"/>
  <c r="O38" i="20"/>
  <c r="AQ37" i="20"/>
  <c r="AR37" i="20" s="1"/>
  <c r="AT16" i="22"/>
  <c r="R16" i="22"/>
  <c r="Q17" i="22" s="1"/>
  <c r="AS15" i="28"/>
  <c r="G18" i="21"/>
  <c r="AR18" i="21" s="1"/>
  <c r="BH29" i="21"/>
  <c r="BA29" i="21"/>
  <c r="BH61" i="21"/>
  <c r="BA61" i="21"/>
  <c r="H16" i="28"/>
  <c r="AP16" i="28" s="1"/>
  <c r="J17" i="28"/>
  <c r="AU15" i="28"/>
  <c r="AQ15" i="28"/>
  <c r="AE18" i="29"/>
  <c r="AD19" i="29" s="1"/>
  <c r="T19" i="29"/>
  <c r="S19" i="29"/>
  <c r="W19" i="29" s="1"/>
  <c r="R20" i="29" s="1"/>
  <c r="U20" i="29" s="1"/>
  <c r="AZ33" i="29"/>
  <c r="C33" i="29"/>
  <c r="E34" i="29"/>
  <c r="AS33" i="26"/>
  <c r="AU33" i="26"/>
  <c r="AQ33" i="26"/>
  <c r="K33" i="26"/>
  <c r="O33" i="26"/>
  <c r="F16" i="26"/>
  <c r="AI15" i="26"/>
  <c r="AL15" i="26"/>
  <c r="AM15" i="26" s="1"/>
  <c r="AN15" i="26" s="1"/>
  <c r="C34" i="26"/>
  <c r="AZ34" i="26"/>
  <c r="E35" i="26"/>
  <c r="T24" i="28"/>
  <c r="S24" i="28"/>
  <c r="AE24" i="28" s="1"/>
  <c r="AD25" i="28" s="1"/>
  <c r="AZ34" i="28"/>
  <c r="C34" i="28"/>
  <c r="E35" i="28"/>
  <c r="AC20" i="28"/>
  <c r="X21" i="28" s="1"/>
  <c r="AB21" i="28" s="1"/>
  <c r="AG20" i="28"/>
  <c r="AF21" i="28" s="1"/>
  <c r="L16" i="15"/>
  <c r="I17" i="15" s="1"/>
  <c r="J17" i="15" s="1"/>
  <c r="AR33" i="25"/>
  <c r="U33" i="25"/>
  <c r="V33" i="25"/>
  <c r="AA33" i="25"/>
  <c r="AB33" i="25"/>
  <c r="BA34" i="25"/>
  <c r="BB34" i="25"/>
  <c r="BC34" i="25"/>
  <c r="AR14" i="25"/>
  <c r="I14" i="25"/>
  <c r="Q14" i="25" s="1"/>
  <c r="L15" i="25" s="1"/>
  <c r="AK13" i="24"/>
  <c r="AL14" i="25"/>
  <c r="AN13" i="24"/>
  <c r="K14" i="25"/>
  <c r="AO14" i="25"/>
  <c r="C34" i="25"/>
  <c r="AZ34" i="25"/>
  <c r="BD34" i="25"/>
  <c r="E35" i="25"/>
  <c r="C34" i="24"/>
  <c r="AZ34" i="24"/>
  <c r="E35" i="24"/>
  <c r="AU33" i="24"/>
  <c r="AS33" i="24"/>
  <c r="AQ33" i="24"/>
  <c r="BG82" i="23"/>
  <c r="J85" i="23"/>
  <c r="H84" i="23"/>
  <c r="G84" i="23"/>
  <c r="AP83" i="23"/>
  <c r="AO83" i="23"/>
  <c r="AU83" i="23"/>
  <c r="AI83" i="23"/>
  <c r="AJ83" i="23" s="1"/>
  <c r="AK83" i="23" s="1"/>
  <c r="AS83" i="23"/>
  <c r="AQ83" i="23"/>
  <c r="AL83" i="23"/>
  <c r="AM83" i="23" s="1"/>
  <c r="AN83" i="23" s="1"/>
  <c r="G14" i="24"/>
  <c r="AR14" i="24" s="1"/>
  <c r="K35" i="15"/>
  <c r="O35" i="15"/>
  <c r="AQ35" i="15"/>
  <c r="AS35" i="15"/>
  <c r="AU35" i="15"/>
  <c r="G16" i="15"/>
  <c r="AW103" i="23"/>
  <c r="BA103" i="23" s="1"/>
  <c r="AX103" i="23"/>
  <c r="BB103" i="23" s="1"/>
  <c r="AY103" i="23"/>
  <c r="BD103" i="23" s="1"/>
  <c r="AQ32" i="23"/>
  <c r="AS32" i="23"/>
  <c r="AU32" i="23"/>
  <c r="G15" i="23"/>
  <c r="AR15" i="23" s="1"/>
  <c r="AJ14" i="23"/>
  <c r="AK14" i="23" s="1"/>
  <c r="AM14" i="23"/>
  <c r="AN14" i="23" s="1"/>
  <c r="K32" i="23"/>
  <c r="AW33" i="23"/>
  <c r="BA33" i="23" s="1"/>
  <c r="AX33" i="23"/>
  <c r="BB33" i="23" s="1"/>
  <c r="AY33" i="23"/>
  <c r="BD33" i="23" s="1"/>
  <c r="BE33" i="23"/>
  <c r="C33" i="23"/>
  <c r="O33" i="23" s="1"/>
  <c r="E34" i="23"/>
  <c r="BF33" i="23"/>
  <c r="O32" i="23"/>
  <c r="AL18" i="22"/>
  <c r="AM18" i="22" s="1"/>
  <c r="AI18" i="22"/>
  <c r="AJ18" i="22" s="1"/>
  <c r="H19" i="22"/>
  <c r="S18" i="23"/>
  <c r="T18" i="23" s="1"/>
  <c r="C103" i="23"/>
  <c r="BE103" i="23"/>
  <c r="BF103" i="23"/>
  <c r="E104" i="23"/>
  <c r="BA29" i="22"/>
  <c r="BH29" i="22"/>
  <c r="AW46" i="21"/>
  <c r="AW14" i="22"/>
  <c r="AI48" i="22"/>
  <c r="AJ48" i="22" s="1"/>
  <c r="AC22" i="29"/>
  <c r="X23" i="29" s="1"/>
  <c r="AE51" i="21"/>
  <c r="AD52" i="21" s="1"/>
  <c r="AW47" i="22"/>
  <c r="O32" i="25"/>
  <c r="I32" i="25"/>
  <c r="AE91" i="23"/>
  <c r="AD92" i="23" s="1"/>
  <c r="AT92" i="23" s="1"/>
  <c r="AW61" i="22"/>
  <c r="AJ35" i="3"/>
  <c r="BF35" i="3" s="1"/>
  <c r="T13" i="12"/>
  <c r="S14" i="12" s="1"/>
  <c r="L43" i="2"/>
  <c r="T14" i="18"/>
  <c r="S15" i="18" s="1"/>
  <c r="T15" i="18" s="1"/>
  <c r="S16" i="18" s="1"/>
  <c r="T16" i="18" s="1"/>
  <c r="S17" i="18" s="1"/>
  <c r="T17" i="18" s="1"/>
  <c r="S18" i="18" s="1"/>
  <c r="AK15" i="12"/>
  <c r="J17" i="18"/>
  <c r="L17" i="18" s="1"/>
  <c r="I18" i="18" s="1"/>
  <c r="N14" i="12"/>
  <c r="P14" i="12" s="1"/>
  <c r="M15" i="12" s="1"/>
  <c r="R14" i="13"/>
  <c r="Q15" i="13" s="1"/>
  <c r="AT14" i="13"/>
  <c r="AW14" i="13" s="1"/>
  <c r="T12" i="15"/>
  <c r="S13" i="15" s="1"/>
  <c r="P12" i="14"/>
  <c r="M13" i="14" s="1"/>
  <c r="BH13" i="13"/>
  <c r="BA13" i="13"/>
  <c r="BD13" i="13" s="1"/>
  <c r="AI16" i="13"/>
  <c r="AJ16" i="13" s="1"/>
  <c r="AK16" i="13" s="1"/>
  <c r="AW12" i="15"/>
  <c r="R14" i="18"/>
  <c r="Q15" i="18" s="1"/>
  <c r="AT14" i="18"/>
  <c r="AW14" i="18" s="1"/>
  <c r="AZ12" i="14"/>
  <c r="BC12" i="14" s="1"/>
  <c r="BG12" i="14"/>
  <c r="AW12" i="12"/>
  <c r="R12" i="14"/>
  <c r="Q13" i="14" s="1"/>
  <c r="R13" i="12"/>
  <c r="Q14" i="12" s="1"/>
  <c r="AT14" i="12" s="1"/>
  <c r="N18" i="18"/>
  <c r="P18" i="18" s="1"/>
  <c r="M19" i="18" s="1"/>
  <c r="J31" i="14"/>
  <c r="L31" i="14" s="1"/>
  <c r="I32" i="14" s="1"/>
  <c r="AR34" i="19"/>
  <c r="AA103" i="14"/>
  <c r="I103" i="14"/>
  <c r="AR103" i="14" s="1"/>
  <c r="U103" i="14"/>
  <c r="O103" i="14"/>
  <c r="V103" i="14"/>
  <c r="V35" i="17"/>
  <c r="O35" i="17"/>
  <c r="U35" i="19"/>
  <c r="AB35" i="17"/>
  <c r="I35" i="17"/>
  <c r="AB103" i="14"/>
  <c r="O35" i="19"/>
  <c r="AA35" i="17"/>
  <c r="AB35" i="19"/>
  <c r="I35" i="19"/>
  <c r="AA35" i="19"/>
  <c r="U35" i="17"/>
  <c r="V35" i="19"/>
  <c r="F17" i="13"/>
  <c r="G17" i="13" s="1"/>
  <c r="AR17" i="13" s="1"/>
  <c r="H16" i="12"/>
  <c r="F17" i="12" s="1"/>
  <c r="G17" i="12" s="1"/>
  <c r="AR17" i="12" s="1"/>
  <c r="C35" i="19"/>
  <c r="AZ35" i="19"/>
  <c r="E36" i="19"/>
  <c r="AQ34" i="14"/>
  <c r="AS34" i="14"/>
  <c r="AU34" i="14"/>
  <c r="K34" i="14"/>
  <c r="BD35" i="16"/>
  <c r="AZ35" i="16"/>
  <c r="E36" i="16"/>
  <c r="C35" i="16"/>
  <c r="AR34" i="16"/>
  <c r="AX35" i="14"/>
  <c r="BB35" i="14" s="1"/>
  <c r="AW35" i="14"/>
  <c r="BA35" i="14" s="1"/>
  <c r="AY35" i="14"/>
  <c r="BD35" i="14" s="1"/>
  <c r="C35" i="14"/>
  <c r="BF35" i="14"/>
  <c r="E36" i="14"/>
  <c r="BE35" i="14"/>
  <c r="O34" i="14"/>
  <c r="K33" i="18"/>
  <c r="AU33" i="18"/>
  <c r="O33" i="18"/>
  <c r="AS33" i="18"/>
  <c r="AQ33" i="18"/>
  <c r="H18" i="14"/>
  <c r="AZ34" i="18"/>
  <c r="C34" i="18"/>
  <c r="E35" i="18"/>
  <c r="AZ34" i="17"/>
  <c r="C34" i="17"/>
  <c r="E35" i="17"/>
  <c r="C36" i="15"/>
  <c r="AZ36" i="15"/>
  <c r="E37" i="15"/>
  <c r="H18" i="18"/>
  <c r="AY104" i="14"/>
  <c r="BD104" i="14" s="1"/>
  <c r="E105" i="14"/>
  <c r="AW104" i="14"/>
  <c r="BA104" i="14" s="1"/>
  <c r="C104" i="14"/>
  <c r="BE104" i="14"/>
  <c r="AX104" i="14"/>
  <c r="BB104" i="14" s="1"/>
  <c r="BF104" i="14"/>
  <c r="AN16" i="14"/>
  <c r="AI35" i="3"/>
  <c r="BE35" i="3" s="1"/>
  <c r="P41" i="3"/>
  <c r="AH37" i="3"/>
  <c r="BD36" i="3"/>
  <c r="H37" i="3"/>
  <c r="AF36" i="3"/>
  <c r="AK36" i="3" s="1"/>
  <c r="AQ40" i="3"/>
  <c r="V38" i="3"/>
  <c r="X38" i="3" s="1"/>
  <c r="G39" i="3"/>
  <c r="AV38" i="3"/>
  <c r="AX38" i="3" s="1"/>
  <c r="AG37" i="3"/>
  <c r="AW40" i="3"/>
  <c r="BC36" i="3"/>
  <c r="AE37" i="3"/>
  <c r="A38" i="3"/>
  <c r="BI38" i="3" s="1"/>
  <c r="BJ38" i="3" s="1"/>
  <c r="AL37" i="3"/>
  <c r="Y37" i="3"/>
  <c r="AC36" i="3"/>
  <c r="AM37" i="3"/>
  <c r="K20" i="13" l="1"/>
  <c r="T20" i="13" s="1"/>
  <c r="J20" i="13"/>
  <c r="O21" i="13"/>
  <c r="L20" i="13"/>
  <c r="K21" i="13" s="1"/>
  <c r="AW52" i="22"/>
  <c r="AE52" i="21"/>
  <c r="AT52" i="21"/>
  <c r="AT63" i="21" s="1"/>
  <c r="AI19" i="22"/>
  <c r="AJ19" i="22" s="1"/>
  <c r="F20" i="22"/>
  <c r="G20" i="22" s="1"/>
  <c r="AR20" i="22" s="1"/>
  <c r="Z100" i="23"/>
  <c r="Y100" i="23"/>
  <c r="AC100" i="23" s="1"/>
  <c r="X101" i="23" s="1"/>
  <c r="AA101" i="23" s="1"/>
  <c r="T100" i="23"/>
  <c r="S100" i="23"/>
  <c r="W100" i="23" s="1"/>
  <c r="R101" i="23" s="1"/>
  <c r="U101" i="23" s="1"/>
  <c r="O12" i="24"/>
  <c r="P12" i="24" s="1"/>
  <c r="M13" i="24" s="1"/>
  <c r="F16" i="29"/>
  <c r="I16" i="29" s="1"/>
  <c r="AR16" i="29" s="1"/>
  <c r="AS15" i="29"/>
  <c r="AQ15" i="29"/>
  <c r="Q84" i="23"/>
  <c r="L85" i="23" s="1"/>
  <c r="N85" i="23" s="1"/>
  <c r="O50" i="21"/>
  <c r="M50" i="21"/>
  <c r="P51" i="21"/>
  <c r="AQ49" i="21"/>
  <c r="AS49" i="21"/>
  <c r="AU49" i="21"/>
  <c r="AU16" i="28"/>
  <c r="AQ16" i="28"/>
  <c r="AI84" i="23"/>
  <c r="AJ84" i="23" s="1"/>
  <c r="AK84" i="23" s="1"/>
  <c r="AS16" i="28"/>
  <c r="M17" i="28"/>
  <c r="O17" i="28"/>
  <c r="N17" i="28"/>
  <c r="P18" i="28"/>
  <c r="H17" i="28"/>
  <c r="J18" i="28"/>
  <c r="G17" i="28"/>
  <c r="K17" i="28" s="1"/>
  <c r="Z23" i="29"/>
  <c r="AA23" i="29"/>
  <c r="AI16" i="28"/>
  <c r="AJ16" i="28" s="1"/>
  <c r="AK16" i="28" s="1"/>
  <c r="AL16" i="28"/>
  <c r="AM16" i="28" s="1"/>
  <c r="AN16" i="28" s="1"/>
  <c r="N12" i="21"/>
  <c r="R12" i="21" s="1"/>
  <c r="Q13" i="21" s="1"/>
  <c r="AT13" i="21" s="1"/>
  <c r="AW13" i="21" s="1"/>
  <c r="BH13" i="21" s="1"/>
  <c r="O12" i="21"/>
  <c r="K15" i="24"/>
  <c r="L15" i="24" s="1"/>
  <c r="I16" i="24" s="1"/>
  <c r="R12" i="24"/>
  <c r="Q13" i="24" s="1"/>
  <c r="AT13" i="24" s="1"/>
  <c r="AW13" i="24" s="1"/>
  <c r="AA12" i="25"/>
  <c r="AT12" i="21"/>
  <c r="AR40" i="3"/>
  <c r="BB38" i="3"/>
  <c r="AB12" i="25"/>
  <c r="Z12" i="25"/>
  <c r="V12" i="25"/>
  <c r="U12" i="25"/>
  <c r="J15" i="12"/>
  <c r="L15" i="12" s="1"/>
  <c r="I16" i="12" s="1"/>
  <c r="AL38" i="3"/>
  <c r="T12" i="25"/>
  <c r="S12" i="25"/>
  <c r="R16" i="23"/>
  <c r="Q17" i="23" s="1"/>
  <c r="AT17" i="23" s="1"/>
  <c r="R14" i="26"/>
  <c r="Q15" i="26" s="1"/>
  <c r="AT15" i="26" s="1"/>
  <c r="AN38" i="20"/>
  <c r="J22" i="26"/>
  <c r="L22" i="26" s="1"/>
  <c r="I23" i="26" s="1"/>
  <c r="AQ38" i="20"/>
  <c r="AR38" i="20" s="1"/>
  <c r="O39" i="20"/>
  <c r="N26" i="23"/>
  <c r="P26" i="23" s="1"/>
  <c r="M27" i="23" s="1"/>
  <c r="N27" i="23" s="1"/>
  <c r="P27" i="23" s="1"/>
  <c r="M28" i="23" s="1"/>
  <c r="J21" i="23"/>
  <c r="L21" i="23" s="1"/>
  <c r="I22" i="23" s="1"/>
  <c r="AT17" i="22"/>
  <c r="R17" i="22"/>
  <c r="Q18" i="22" s="1"/>
  <c r="P38" i="20"/>
  <c r="N15" i="26"/>
  <c r="P15" i="26" s="1"/>
  <c r="M16" i="26" s="1"/>
  <c r="BG36" i="3"/>
  <c r="H18" i="21"/>
  <c r="F19" i="21" s="1"/>
  <c r="G19" i="21" s="1"/>
  <c r="AR19" i="21" s="1"/>
  <c r="BA46" i="21"/>
  <c r="BD46" i="21" s="1"/>
  <c r="BH46" i="21"/>
  <c r="AO16" i="28"/>
  <c r="AW15" i="28"/>
  <c r="T20" i="29"/>
  <c r="S20" i="29"/>
  <c r="W20" i="29" s="1"/>
  <c r="R21" i="29" s="1"/>
  <c r="U21" i="29" s="1"/>
  <c r="AT19" i="29"/>
  <c r="AE19" i="29"/>
  <c r="AD20" i="29" s="1"/>
  <c r="C34" i="29"/>
  <c r="AZ34" i="29"/>
  <c r="E35" i="29"/>
  <c r="Y23" i="29"/>
  <c r="O34" i="26"/>
  <c r="K34" i="26"/>
  <c r="AS34" i="26"/>
  <c r="AU34" i="26"/>
  <c r="AQ34" i="26"/>
  <c r="G16" i="26"/>
  <c r="AR16" i="26" s="1"/>
  <c r="AJ15" i="26"/>
  <c r="AK15" i="26" s="1"/>
  <c r="C35" i="26"/>
  <c r="AZ35" i="26"/>
  <c r="E36" i="26"/>
  <c r="AT25" i="28"/>
  <c r="W24" i="28"/>
  <c r="R25" i="28" s="1"/>
  <c r="V25" i="28" s="1"/>
  <c r="Z21" i="28"/>
  <c r="Y21" i="28"/>
  <c r="AC21" i="28" s="1"/>
  <c r="X22" i="28" s="1"/>
  <c r="AB22" i="28" s="1"/>
  <c r="C35" i="28"/>
  <c r="AZ35" i="28"/>
  <c r="E36" i="28"/>
  <c r="L17" i="15"/>
  <c r="I18" i="15" s="1"/>
  <c r="J18" i="15" s="1"/>
  <c r="P16" i="25"/>
  <c r="M15" i="25"/>
  <c r="N15" i="25"/>
  <c r="AR34" i="25"/>
  <c r="U34" i="25"/>
  <c r="V34" i="25"/>
  <c r="AA34" i="25"/>
  <c r="AB34" i="25"/>
  <c r="BA35" i="25"/>
  <c r="BB35" i="25"/>
  <c r="BC35" i="25"/>
  <c r="AM14" i="25"/>
  <c r="AN14" i="25" s="1"/>
  <c r="AI14" i="25"/>
  <c r="AQ14" i="25"/>
  <c r="F15" i="25"/>
  <c r="AS14" i="25"/>
  <c r="AU14" i="25"/>
  <c r="AZ35" i="25"/>
  <c r="BD35" i="25"/>
  <c r="C35" i="25"/>
  <c r="E36" i="25"/>
  <c r="AQ34" i="24"/>
  <c r="AS34" i="24"/>
  <c r="AU34" i="24"/>
  <c r="AZ35" i="24"/>
  <c r="C35" i="24"/>
  <c r="E36" i="24"/>
  <c r="H14" i="24"/>
  <c r="AL84" i="23"/>
  <c r="AM84" i="23" s="1"/>
  <c r="AN84" i="23" s="1"/>
  <c r="K84" i="23"/>
  <c r="AV83" i="23"/>
  <c r="AO84" i="23"/>
  <c r="AP84" i="23"/>
  <c r="AQ36" i="15"/>
  <c r="AS36" i="15"/>
  <c r="AU36" i="15"/>
  <c r="AR16" i="15"/>
  <c r="H16" i="15"/>
  <c r="K33" i="23"/>
  <c r="AV14" i="23"/>
  <c r="AX104" i="23"/>
  <c r="BB104" i="23" s="1"/>
  <c r="AW104" i="23"/>
  <c r="BA104" i="23" s="1"/>
  <c r="AY104" i="23"/>
  <c r="BD104" i="23" s="1"/>
  <c r="H15" i="23"/>
  <c r="AQ33" i="23"/>
  <c r="AS33" i="23"/>
  <c r="AU33" i="23"/>
  <c r="AW34" i="23"/>
  <c r="BA34" i="23" s="1"/>
  <c r="AX34" i="23"/>
  <c r="BB34" i="23" s="1"/>
  <c r="AY34" i="23"/>
  <c r="BD34" i="23" s="1"/>
  <c r="E35" i="23"/>
  <c r="C34" i="23"/>
  <c r="K34" i="23" s="1"/>
  <c r="BF34" i="23"/>
  <c r="BE34" i="23"/>
  <c r="AL19" i="22"/>
  <c r="AM19" i="22" s="1"/>
  <c r="S19" i="23"/>
  <c r="T19" i="23" s="1"/>
  <c r="C104" i="23"/>
  <c r="BE104" i="23"/>
  <c r="BF104" i="23"/>
  <c r="E105" i="23"/>
  <c r="BA47" i="22"/>
  <c r="BD47" i="22" s="1"/>
  <c r="BH47" i="22"/>
  <c r="BA61" i="22"/>
  <c r="BH61" i="22"/>
  <c r="BA14" i="22"/>
  <c r="BD14" i="22" s="1"/>
  <c r="BH14" i="22"/>
  <c r="AL48" i="22"/>
  <c r="AI47" i="21"/>
  <c r="AL47" i="21"/>
  <c r="AM47" i="21" s="1"/>
  <c r="AP48" i="22"/>
  <c r="AP47" i="21"/>
  <c r="O33" i="25"/>
  <c r="I33" i="25"/>
  <c r="AK48" i="22"/>
  <c r="AE92" i="23"/>
  <c r="AD93" i="23" s="1"/>
  <c r="AT93" i="23" s="1"/>
  <c r="AG93" i="23"/>
  <c r="AF94" i="23" s="1"/>
  <c r="BD29" i="22"/>
  <c r="BD61" i="21"/>
  <c r="BD29" i="21"/>
  <c r="K35" i="14"/>
  <c r="AW13" i="12"/>
  <c r="BA13" i="12" s="1"/>
  <c r="BD13" i="12" s="1"/>
  <c r="R12" i="15"/>
  <c r="Q13" i="15" s="1"/>
  <c r="AT13" i="15" s="1"/>
  <c r="T14" i="12"/>
  <c r="S15" i="12" s="1"/>
  <c r="N15" i="12"/>
  <c r="N19" i="18"/>
  <c r="P19" i="18" s="1"/>
  <c r="M20" i="18" s="1"/>
  <c r="T18" i="18"/>
  <c r="S19" i="18" s="1"/>
  <c r="R15" i="18"/>
  <c r="Q16" i="18" s="1"/>
  <c r="AT15" i="18"/>
  <c r="AW15" i="18" s="1"/>
  <c r="AT15" i="13"/>
  <c r="AW15" i="13" s="1"/>
  <c r="R15" i="13"/>
  <c r="Q16" i="13" s="1"/>
  <c r="BA14" i="13"/>
  <c r="BD14" i="13" s="1"/>
  <c r="BH14" i="13"/>
  <c r="J18" i="18"/>
  <c r="L18" i="18" s="1"/>
  <c r="I19" i="18" s="1"/>
  <c r="BH12" i="12"/>
  <c r="BA12" i="12"/>
  <c r="BD12" i="12" s="1"/>
  <c r="P12" i="15"/>
  <c r="M13" i="15" s="1"/>
  <c r="N13" i="15" s="1"/>
  <c r="AT13" i="14"/>
  <c r="AV13" i="14" s="1"/>
  <c r="R14" i="12"/>
  <c r="Q15" i="12" s="1"/>
  <c r="AT15" i="12" s="1"/>
  <c r="N13" i="14"/>
  <c r="T13" i="14" s="1"/>
  <c r="S14" i="14" s="1"/>
  <c r="AR35" i="19"/>
  <c r="H17" i="13"/>
  <c r="AL17" i="13" s="1"/>
  <c r="AM17" i="13" s="1"/>
  <c r="AN17" i="13" s="1"/>
  <c r="J32" i="14"/>
  <c r="L32" i="14" s="1"/>
  <c r="I33" i="14" s="1"/>
  <c r="U104" i="14"/>
  <c r="O104" i="14"/>
  <c r="AB104" i="14"/>
  <c r="I104" i="14"/>
  <c r="AR104" i="14" s="1"/>
  <c r="AA104" i="14"/>
  <c r="V104" i="14"/>
  <c r="AB36" i="17"/>
  <c r="O36" i="17"/>
  <c r="I36" i="17"/>
  <c r="V36" i="19"/>
  <c r="AA36" i="17"/>
  <c r="U36" i="17"/>
  <c r="AA36" i="19"/>
  <c r="U36" i="19"/>
  <c r="V36" i="17"/>
  <c r="AB36" i="19"/>
  <c r="O36" i="19"/>
  <c r="I36" i="19"/>
  <c r="AL16" i="12"/>
  <c r="AM16" i="12" s="1"/>
  <c r="AI16" i="12"/>
  <c r="H17" i="12"/>
  <c r="AZ36" i="19"/>
  <c r="C36" i="19"/>
  <c r="E37" i="19"/>
  <c r="AR35" i="16"/>
  <c r="E37" i="14"/>
  <c r="C36" i="14"/>
  <c r="BE36" i="14"/>
  <c r="AX36" i="14"/>
  <c r="BB36" i="14" s="1"/>
  <c r="BF36" i="14"/>
  <c r="AW36" i="14"/>
  <c r="BA36" i="14" s="1"/>
  <c r="AY36" i="14"/>
  <c r="BD36" i="14" s="1"/>
  <c r="E37" i="16"/>
  <c r="BD36" i="16"/>
  <c r="AZ36" i="16"/>
  <c r="C36" i="16"/>
  <c r="O35" i="14"/>
  <c r="AQ35" i="14"/>
  <c r="AS35" i="14"/>
  <c r="AU35" i="14"/>
  <c r="AU34" i="18"/>
  <c r="AS34" i="18"/>
  <c r="K34" i="18"/>
  <c r="O34" i="18"/>
  <c r="AQ34" i="18"/>
  <c r="F19" i="14"/>
  <c r="AL18" i="14"/>
  <c r="AM18" i="14" s="1"/>
  <c r="AI18" i="14"/>
  <c r="AJ18" i="14" s="1"/>
  <c r="C35" i="17"/>
  <c r="E36" i="17"/>
  <c r="AZ35" i="17"/>
  <c r="E36" i="18"/>
  <c r="AZ35" i="18"/>
  <c r="C35" i="18"/>
  <c r="F19" i="18"/>
  <c r="AI18" i="18"/>
  <c r="AL18" i="18"/>
  <c r="C37" i="15"/>
  <c r="E38" i="15"/>
  <c r="AZ37" i="15"/>
  <c r="AX105" i="14"/>
  <c r="BB105" i="14" s="1"/>
  <c r="C105" i="14"/>
  <c r="BF105" i="14"/>
  <c r="BE105" i="14"/>
  <c r="AW105" i="14"/>
  <c r="BA105" i="14" s="1"/>
  <c r="E106" i="14"/>
  <c r="AY105" i="14"/>
  <c r="BD105" i="14" s="1"/>
  <c r="Y38" i="3"/>
  <c r="AC37" i="3"/>
  <c r="AW41" i="3"/>
  <c r="G40" i="3"/>
  <c r="AV39" i="3"/>
  <c r="AX39" i="3" s="1"/>
  <c r="V39" i="3"/>
  <c r="X39" i="3" s="1"/>
  <c r="BC37" i="3"/>
  <c r="AE38" i="3"/>
  <c r="AD36" i="3"/>
  <c r="AJ36" i="3" s="1"/>
  <c r="AF37" i="3"/>
  <c r="AK37" i="3" s="1"/>
  <c r="H38" i="3"/>
  <c r="AM38" i="3"/>
  <c r="AG38" i="3"/>
  <c r="A39" i="3"/>
  <c r="BI39" i="3" s="1"/>
  <c r="BJ39" i="3" s="1"/>
  <c r="AQ41" i="3"/>
  <c r="BD37" i="3"/>
  <c r="AH38" i="3"/>
  <c r="AN41" i="3"/>
  <c r="J21" i="13" l="1"/>
  <c r="H20" i="22"/>
  <c r="G21" i="22" s="1"/>
  <c r="BA52" i="22"/>
  <c r="Y101" i="23"/>
  <c r="AC101" i="23" s="1"/>
  <c r="X102" i="23" s="1"/>
  <c r="AA102" i="23" s="1"/>
  <c r="Z101" i="23"/>
  <c r="S101" i="23"/>
  <c r="W101" i="23" s="1"/>
  <c r="R102" i="23" s="1"/>
  <c r="U102" i="23" s="1"/>
  <c r="T101" i="23"/>
  <c r="Q16" i="29"/>
  <c r="L17" i="29" s="1"/>
  <c r="N17" i="29" s="1"/>
  <c r="AW15" i="29"/>
  <c r="H16" i="29"/>
  <c r="AP16" i="29" s="1"/>
  <c r="J17" i="29"/>
  <c r="G16" i="29"/>
  <c r="AI16" i="29" s="1"/>
  <c r="AJ16" i="29" s="1"/>
  <c r="AK16" i="29" s="1"/>
  <c r="AO17" i="28"/>
  <c r="Q17" i="28"/>
  <c r="L18" i="28" s="1"/>
  <c r="P19" i="28" s="1"/>
  <c r="O85" i="23"/>
  <c r="M85" i="23"/>
  <c r="P86" i="23"/>
  <c r="AG23" i="29"/>
  <c r="AF24" i="29" s="1"/>
  <c r="Q50" i="21"/>
  <c r="AI17" i="28"/>
  <c r="AJ17" i="28" s="1"/>
  <c r="AK17" i="28" s="1"/>
  <c r="O17" i="29"/>
  <c r="AL17" i="28"/>
  <c r="AM17" i="28" s="1"/>
  <c r="AN17" i="28" s="1"/>
  <c r="O18" i="28"/>
  <c r="AP17" i="28"/>
  <c r="J16" i="24"/>
  <c r="K16" i="24"/>
  <c r="P12" i="21"/>
  <c r="M13" i="21" s="1"/>
  <c r="T12" i="21"/>
  <c r="S13" i="21" s="1"/>
  <c r="O13" i="24"/>
  <c r="N13" i="24"/>
  <c r="BA13" i="21"/>
  <c r="BD13" i="21" s="1"/>
  <c r="AG12" i="25"/>
  <c r="AF13" i="25" s="1"/>
  <c r="AW12" i="21"/>
  <c r="AR41" i="3"/>
  <c r="BB39" i="3"/>
  <c r="AC12" i="25"/>
  <c r="X13" i="25" s="1"/>
  <c r="Y13" i="25" s="1"/>
  <c r="W12" i="25"/>
  <c r="R13" i="25" s="1"/>
  <c r="T13" i="25" s="1"/>
  <c r="AM39" i="3"/>
  <c r="J16" i="12"/>
  <c r="L16" i="12" s="1"/>
  <c r="I17" i="12" s="1"/>
  <c r="AL39" i="3"/>
  <c r="AE12" i="25"/>
  <c r="AD13" i="25" s="1"/>
  <c r="AT13" i="25" s="1"/>
  <c r="AW13" i="25" s="1"/>
  <c r="R17" i="23"/>
  <c r="Q18" i="23" s="1"/>
  <c r="AT18" i="23" s="1"/>
  <c r="AW15" i="26"/>
  <c r="AN39" i="20"/>
  <c r="J23" i="26"/>
  <c r="L23" i="26" s="1"/>
  <c r="I24" i="26" s="1"/>
  <c r="N28" i="23"/>
  <c r="P28" i="23" s="1"/>
  <c r="M29" i="23" s="1"/>
  <c r="N29" i="23" s="1"/>
  <c r="P29" i="23" s="1"/>
  <c r="M30" i="23" s="1"/>
  <c r="N30" i="23" s="1"/>
  <c r="P30" i="23" s="1"/>
  <c r="M31" i="23" s="1"/>
  <c r="J22" i="23"/>
  <c r="L22" i="23" s="1"/>
  <c r="I23" i="23" s="1"/>
  <c r="P39" i="20"/>
  <c r="O40" i="20"/>
  <c r="AQ39" i="20"/>
  <c r="AR39" i="20" s="1"/>
  <c r="AT18" i="22"/>
  <c r="R18" i="22"/>
  <c r="Q19" i="22" s="1"/>
  <c r="R15" i="26"/>
  <c r="Q16" i="26" s="1"/>
  <c r="T15" i="26"/>
  <c r="S16" i="26" s="1"/>
  <c r="N16" i="26"/>
  <c r="P16" i="26" s="1"/>
  <c r="M17" i="26" s="1"/>
  <c r="O36" i="15"/>
  <c r="K36" i="15"/>
  <c r="BG37" i="3"/>
  <c r="AI18" i="21"/>
  <c r="AJ18" i="21" s="1"/>
  <c r="AL18" i="21"/>
  <c r="AM18" i="21" s="1"/>
  <c r="H19" i="21"/>
  <c r="F20" i="21" s="1"/>
  <c r="AJ47" i="21"/>
  <c r="AK47" i="21" s="1"/>
  <c r="AT20" i="29"/>
  <c r="AE20" i="29"/>
  <c r="AD21" i="29" s="1"/>
  <c r="T21" i="29"/>
  <c r="S21" i="29"/>
  <c r="W21" i="29" s="1"/>
  <c r="R22" i="29" s="1"/>
  <c r="U22" i="29" s="1"/>
  <c r="AW16" i="28"/>
  <c r="AZ35" i="29"/>
  <c r="C35" i="29"/>
  <c r="E36" i="29"/>
  <c r="H16" i="26"/>
  <c r="K35" i="26"/>
  <c r="O35" i="26"/>
  <c r="AQ35" i="26"/>
  <c r="AS35" i="26"/>
  <c r="AU35" i="26"/>
  <c r="AZ36" i="26"/>
  <c r="C36" i="26"/>
  <c r="E37" i="26"/>
  <c r="Z22" i="28"/>
  <c r="Y22" i="28"/>
  <c r="AC22" i="28" s="1"/>
  <c r="X23" i="28" s="1"/>
  <c r="AB23" i="28" s="1"/>
  <c r="T25" i="28"/>
  <c r="S25" i="28"/>
  <c r="AE25" i="28" s="1"/>
  <c r="AD26" i="28" s="1"/>
  <c r="F18" i="28"/>
  <c r="I18" i="28" s="1"/>
  <c r="AZ36" i="28"/>
  <c r="C36" i="28"/>
  <c r="E37" i="28"/>
  <c r="AG21" i="28"/>
  <c r="AF22" i="28" s="1"/>
  <c r="L18" i="15"/>
  <c r="I19" i="15" s="1"/>
  <c r="J19" i="15" s="1"/>
  <c r="BA36" i="25"/>
  <c r="BB36" i="25"/>
  <c r="BC36" i="25"/>
  <c r="G15" i="25"/>
  <c r="K15" i="25" s="1"/>
  <c r="F16" i="25" s="1"/>
  <c r="J16" i="25"/>
  <c r="H15" i="25"/>
  <c r="AP15" i="25" s="1"/>
  <c r="AR35" i="25"/>
  <c r="U35" i="25"/>
  <c r="V35" i="25"/>
  <c r="AA35" i="25"/>
  <c r="AB35" i="25"/>
  <c r="AJ14" i="25"/>
  <c r="AK14" i="25" s="1"/>
  <c r="C36" i="25"/>
  <c r="AZ36" i="25"/>
  <c r="BD36" i="25"/>
  <c r="E37" i="25"/>
  <c r="AQ35" i="24"/>
  <c r="AS35" i="24"/>
  <c r="AU35" i="24"/>
  <c r="C36" i="24"/>
  <c r="AZ36" i="24"/>
  <c r="E37" i="24"/>
  <c r="F15" i="24"/>
  <c r="AI14" i="24"/>
  <c r="AL14" i="24"/>
  <c r="AU84" i="23"/>
  <c r="F85" i="23"/>
  <c r="I85" i="23" s="1"/>
  <c r="AR85" i="23" s="1"/>
  <c r="AS84" i="23"/>
  <c r="AQ84" i="23"/>
  <c r="BG83" i="23"/>
  <c r="AZ83" i="23"/>
  <c r="BC83" i="23" s="1"/>
  <c r="O34" i="23"/>
  <c r="AS37" i="15"/>
  <c r="AU37" i="15"/>
  <c r="AQ37" i="15"/>
  <c r="F17" i="15"/>
  <c r="AI16" i="15"/>
  <c r="AJ16" i="15" s="1"/>
  <c r="AK16" i="15" s="1"/>
  <c r="AL16" i="15"/>
  <c r="AM16" i="15" s="1"/>
  <c r="AN16" i="15" s="1"/>
  <c r="AW13" i="15"/>
  <c r="AZ14" i="23"/>
  <c r="BC14" i="23" s="1"/>
  <c r="BG14" i="23"/>
  <c r="AW105" i="23"/>
  <c r="BA105" i="23" s="1"/>
  <c r="AX105" i="23"/>
  <c r="BB105" i="23" s="1"/>
  <c r="AY105" i="23"/>
  <c r="BD105" i="23" s="1"/>
  <c r="F16" i="23"/>
  <c r="AI15" i="23"/>
  <c r="AL15" i="23"/>
  <c r="AW35" i="23"/>
  <c r="BA35" i="23" s="1"/>
  <c r="AX35" i="23"/>
  <c r="BB35" i="23" s="1"/>
  <c r="AY35" i="23"/>
  <c r="BD35" i="23" s="1"/>
  <c r="E36" i="23"/>
  <c r="C35" i="23"/>
  <c r="O35" i="23" s="1"/>
  <c r="BF35" i="23"/>
  <c r="BE35" i="23"/>
  <c r="AQ34" i="23"/>
  <c r="AS34" i="23"/>
  <c r="AU34" i="23"/>
  <c r="C105" i="23"/>
  <c r="BE105" i="23"/>
  <c r="BF105" i="23"/>
  <c r="E106" i="23"/>
  <c r="S20" i="23"/>
  <c r="T20" i="23" s="1"/>
  <c r="AM48" i="22"/>
  <c r="AN48" i="22" s="1"/>
  <c r="AN47" i="21"/>
  <c r="AK15" i="22"/>
  <c r="AN15" i="22"/>
  <c r="AN16" i="21"/>
  <c r="AK16" i="21"/>
  <c r="AC23" i="29"/>
  <c r="X24" i="29" s="1"/>
  <c r="O34" i="25"/>
  <c r="I34" i="25"/>
  <c r="AE93" i="23"/>
  <c r="AD94" i="23" s="1"/>
  <c r="AT94" i="23" s="1"/>
  <c r="BD61" i="22"/>
  <c r="AD37" i="3"/>
  <c r="AI37" i="3" s="1"/>
  <c r="BE37" i="3" s="1"/>
  <c r="BH13" i="12"/>
  <c r="R13" i="14"/>
  <c r="Q14" i="14" s="1"/>
  <c r="AT14" i="14" s="1"/>
  <c r="AV14" i="14" s="1"/>
  <c r="AJ16" i="12"/>
  <c r="T15" i="12"/>
  <c r="S16" i="12" s="1"/>
  <c r="P13" i="14"/>
  <c r="M14" i="14" s="1"/>
  <c r="N14" i="14" s="1"/>
  <c r="N20" i="18"/>
  <c r="P15" i="12"/>
  <c r="M16" i="12" s="1"/>
  <c r="AZ13" i="14"/>
  <c r="BC13" i="14" s="1"/>
  <c r="BG13" i="14"/>
  <c r="T19" i="18"/>
  <c r="S20" i="18" s="1"/>
  <c r="R16" i="18"/>
  <c r="Q17" i="18" s="1"/>
  <c r="AT16" i="18"/>
  <c r="AW16" i="18" s="1"/>
  <c r="AW14" i="12"/>
  <c r="BH15" i="13"/>
  <c r="BA15" i="13"/>
  <c r="BD15" i="13" s="1"/>
  <c r="R15" i="12"/>
  <c r="Q16" i="12" s="1"/>
  <c r="AT16" i="12" s="1"/>
  <c r="R16" i="13"/>
  <c r="Q17" i="13" s="1"/>
  <c r="AT16" i="13"/>
  <c r="AW16" i="13" s="1"/>
  <c r="BF36" i="3"/>
  <c r="J19" i="18"/>
  <c r="L19" i="18" s="1"/>
  <c r="I20" i="18" s="1"/>
  <c r="AR36" i="19"/>
  <c r="AI17" i="13"/>
  <c r="AJ17" i="13" s="1"/>
  <c r="AK17" i="13" s="1"/>
  <c r="AI36" i="3"/>
  <c r="BE36" i="3" s="1"/>
  <c r="F18" i="13"/>
  <c r="G18" i="13" s="1"/>
  <c r="AR18" i="13" s="1"/>
  <c r="J33" i="14"/>
  <c r="L33" i="14" s="1"/>
  <c r="I34" i="14" s="1"/>
  <c r="AA105" i="14"/>
  <c r="I105" i="14"/>
  <c r="AR105" i="14" s="1"/>
  <c r="O105" i="14"/>
  <c r="AB105" i="14"/>
  <c r="U105" i="14"/>
  <c r="V37" i="17"/>
  <c r="AB37" i="17"/>
  <c r="I37" i="17"/>
  <c r="AA37" i="19"/>
  <c r="I37" i="19"/>
  <c r="AA37" i="17"/>
  <c r="U37" i="19"/>
  <c r="U37" i="17"/>
  <c r="O37" i="19"/>
  <c r="V37" i="19"/>
  <c r="O37" i="17"/>
  <c r="V105" i="14"/>
  <c r="AB37" i="19"/>
  <c r="AN16" i="12"/>
  <c r="AL17" i="12"/>
  <c r="AM17" i="12" s="1"/>
  <c r="F18" i="12"/>
  <c r="G18" i="12" s="1"/>
  <c r="AR18" i="12" s="1"/>
  <c r="AI17" i="12"/>
  <c r="AZ37" i="19"/>
  <c r="C37" i="19"/>
  <c r="E38" i="19"/>
  <c r="C37" i="16"/>
  <c r="AZ37" i="16"/>
  <c r="E38" i="16"/>
  <c r="BD37" i="16"/>
  <c r="K36" i="14"/>
  <c r="AQ36" i="14"/>
  <c r="O36" i="14"/>
  <c r="AU36" i="14"/>
  <c r="AS36" i="14"/>
  <c r="AR36" i="16"/>
  <c r="AW37" i="14"/>
  <c r="BA37" i="14" s="1"/>
  <c r="AY37" i="14"/>
  <c r="BD37" i="14" s="1"/>
  <c r="C37" i="14"/>
  <c r="AX37" i="14"/>
  <c r="BB37" i="14" s="1"/>
  <c r="E38" i="14"/>
  <c r="BF37" i="14"/>
  <c r="BE37" i="14"/>
  <c r="K35" i="18"/>
  <c r="O35" i="18"/>
  <c r="AS35" i="18"/>
  <c r="AU35" i="18"/>
  <c r="AQ35" i="18"/>
  <c r="AZ36" i="18"/>
  <c r="C36" i="18"/>
  <c r="E37" i="18"/>
  <c r="E37" i="17"/>
  <c r="C36" i="17"/>
  <c r="AZ36" i="17"/>
  <c r="G19" i="14"/>
  <c r="AR19" i="14" s="1"/>
  <c r="AM18" i="18"/>
  <c r="AN18" i="18" s="1"/>
  <c r="AJ18" i="18"/>
  <c r="AK18" i="18" s="1"/>
  <c r="G19" i="18"/>
  <c r="AR19" i="18" s="1"/>
  <c r="E39" i="15"/>
  <c r="C38" i="15"/>
  <c r="AZ38" i="15"/>
  <c r="BF106" i="14"/>
  <c r="AW106" i="14"/>
  <c r="BA106" i="14" s="1"/>
  <c r="AY106" i="14"/>
  <c r="BD106" i="14" s="1"/>
  <c r="C106" i="14"/>
  <c r="E107" i="14"/>
  <c r="AX106" i="14"/>
  <c r="BB106" i="14" s="1"/>
  <c r="BE106" i="14"/>
  <c r="AK17" i="14"/>
  <c r="AN17" i="14"/>
  <c r="AQ42" i="3"/>
  <c r="AC38" i="3"/>
  <c r="Y39" i="3"/>
  <c r="AN42" i="3"/>
  <c r="AN43" i="3" s="1"/>
  <c r="V40" i="3"/>
  <c r="X40" i="3" s="1"/>
  <c r="AV40" i="3"/>
  <c r="AX40" i="3" s="1"/>
  <c r="G41" i="3"/>
  <c r="AH39" i="3"/>
  <c r="BD38" i="3"/>
  <c r="AG39" i="3"/>
  <c r="H39" i="3"/>
  <c r="AF38" i="3"/>
  <c r="AD38" i="3" s="1"/>
  <c r="AE39" i="3"/>
  <c r="BC38" i="3"/>
  <c r="P42" i="3"/>
  <c r="P43" i="3" s="1"/>
  <c r="AW42" i="3"/>
  <c r="A40" i="3"/>
  <c r="BI40" i="3" s="1"/>
  <c r="BJ40" i="3" s="1"/>
  <c r="AI20" i="22" l="1"/>
  <c r="AL20" i="22"/>
  <c r="Y102" i="23"/>
  <c r="AC102" i="23" s="1"/>
  <c r="X103" i="23" s="1"/>
  <c r="AA103" i="23" s="1"/>
  <c r="Z102" i="23"/>
  <c r="T102" i="23"/>
  <c r="S102" i="23"/>
  <c r="W102" i="23" s="1"/>
  <c r="R103" i="23" s="1"/>
  <c r="U103" i="23" s="1"/>
  <c r="AL16" i="29"/>
  <c r="AM16" i="29" s="1"/>
  <c r="M17" i="29"/>
  <c r="P18" i="29"/>
  <c r="K16" i="29"/>
  <c r="F17" i="29" s="1"/>
  <c r="I17" i="29" s="1"/>
  <c r="AO16" i="29"/>
  <c r="AU17" i="28"/>
  <c r="M18" i="28"/>
  <c r="Q18" i="28" s="1"/>
  <c r="L19" i="28" s="1"/>
  <c r="P20" i="28" s="1"/>
  <c r="N18" i="28"/>
  <c r="AQ17" i="28"/>
  <c r="AS17" i="28"/>
  <c r="L51" i="21"/>
  <c r="AS50" i="21"/>
  <c r="AU50" i="21"/>
  <c r="AQ50" i="21"/>
  <c r="Z24" i="29"/>
  <c r="AA24" i="29"/>
  <c r="Q85" i="23"/>
  <c r="L86" i="23" s="1"/>
  <c r="L16" i="24"/>
  <c r="I17" i="24" s="1"/>
  <c r="K17" i="24" s="1"/>
  <c r="N13" i="21"/>
  <c r="R13" i="21" s="1"/>
  <c r="Q14" i="21" s="1"/>
  <c r="AT14" i="21" s="1"/>
  <c r="AW14" i="21" s="1"/>
  <c r="BA14" i="21" s="1"/>
  <c r="BD14" i="21" s="1"/>
  <c r="O13" i="21"/>
  <c r="AM40" i="3"/>
  <c r="AA13" i="25"/>
  <c r="M9" i="2"/>
  <c r="M43" i="2" s="1"/>
  <c r="U13" i="25"/>
  <c r="P13" i="24"/>
  <c r="M14" i="24" s="1"/>
  <c r="N14" i="24" s="1"/>
  <c r="BA12" i="21"/>
  <c r="BD12" i="21" s="1"/>
  <c r="BH12" i="21"/>
  <c r="T13" i="24"/>
  <c r="S14" i="24" s="1"/>
  <c r="R13" i="24"/>
  <c r="Q14" i="24" s="1"/>
  <c r="AR42" i="3"/>
  <c r="BB40" i="3"/>
  <c r="AB13" i="25"/>
  <c r="Z13" i="25"/>
  <c r="S13" i="25"/>
  <c r="V13" i="25"/>
  <c r="AN40" i="20"/>
  <c r="J17" i="12"/>
  <c r="L17" i="12" s="1"/>
  <c r="P40" i="20"/>
  <c r="AL40" i="3"/>
  <c r="T16" i="26"/>
  <c r="S17" i="26" s="1"/>
  <c r="R18" i="23"/>
  <c r="Q19" i="23" s="1"/>
  <c r="AT19" i="23" s="1"/>
  <c r="J24" i="26"/>
  <c r="L24" i="26" s="1"/>
  <c r="I25" i="26" s="1"/>
  <c r="N31" i="23"/>
  <c r="P31" i="23" s="1"/>
  <c r="M32" i="23" s="1"/>
  <c r="N17" i="26"/>
  <c r="P17" i="26" s="1"/>
  <c r="M18" i="26" s="1"/>
  <c r="J23" i="23"/>
  <c r="L23" i="23" s="1"/>
  <c r="I24" i="23" s="1"/>
  <c r="O41" i="20"/>
  <c r="AQ40" i="20"/>
  <c r="AR40" i="20" s="1"/>
  <c r="AT16" i="26"/>
  <c r="R16" i="26"/>
  <c r="Q17" i="26" s="1"/>
  <c r="AK38" i="3"/>
  <c r="BG38" i="3" s="1"/>
  <c r="AT19" i="22"/>
  <c r="R19" i="22"/>
  <c r="Q20" i="22" s="1"/>
  <c r="K37" i="15"/>
  <c r="O37" i="15"/>
  <c r="G20" i="21"/>
  <c r="AR20" i="21" s="1"/>
  <c r="AI19" i="21"/>
  <c r="AJ19" i="21" s="1"/>
  <c r="AL19" i="21"/>
  <c r="AM19" i="21" s="1"/>
  <c r="T22" i="29"/>
  <c r="S22" i="29"/>
  <c r="W22" i="29" s="1"/>
  <c r="R23" i="29" s="1"/>
  <c r="U23" i="29" s="1"/>
  <c r="AT21" i="29"/>
  <c r="AE21" i="29"/>
  <c r="AD22" i="29" s="1"/>
  <c r="C36" i="29"/>
  <c r="AZ36" i="29"/>
  <c r="E37" i="29"/>
  <c r="Y24" i="29"/>
  <c r="F17" i="26"/>
  <c r="AI16" i="26"/>
  <c r="AL16" i="26"/>
  <c r="O36" i="26"/>
  <c r="AQ36" i="26"/>
  <c r="AS36" i="26"/>
  <c r="AU36" i="26"/>
  <c r="K36" i="26"/>
  <c r="AZ37" i="26"/>
  <c r="C37" i="26"/>
  <c r="E38" i="26"/>
  <c r="Z23" i="28"/>
  <c r="Y23" i="28"/>
  <c r="AT26" i="28"/>
  <c r="W25" i="28"/>
  <c r="R26" i="28" s="1"/>
  <c r="V26" i="28" s="1"/>
  <c r="J19" i="28"/>
  <c r="H18" i="28"/>
  <c r="G18" i="28"/>
  <c r="AG22" i="28"/>
  <c r="AF23" i="28" s="1"/>
  <c r="C37" i="28"/>
  <c r="AZ37" i="28"/>
  <c r="E38" i="28"/>
  <c r="L19" i="15"/>
  <c r="I20" i="15" s="1"/>
  <c r="J20" i="15" s="1"/>
  <c r="G16" i="25"/>
  <c r="AR16" i="25" s="1"/>
  <c r="AR15" i="25"/>
  <c r="I15" i="25"/>
  <c r="Q15" i="25" s="1"/>
  <c r="L16" i="25" s="1"/>
  <c r="AR36" i="25"/>
  <c r="U36" i="25"/>
  <c r="V36" i="25"/>
  <c r="AA36" i="25"/>
  <c r="AB36" i="25"/>
  <c r="BA37" i="25"/>
  <c r="BB37" i="25"/>
  <c r="BC37" i="25"/>
  <c r="AL15" i="25"/>
  <c r="AO15" i="25"/>
  <c r="J17" i="25"/>
  <c r="H16" i="25"/>
  <c r="C37" i="25"/>
  <c r="AZ37" i="25"/>
  <c r="BD37" i="25"/>
  <c r="E38" i="25"/>
  <c r="AZ37" i="24"/>
  <c r="C37" i="24"/>
  <c r="E38" i="24"/>
  <c r="AJ14" i="24"/>
  <c r="AK14" i="24" s="1"/>
  <c r="AM14" i="24"/>
  <c r="AN14" i="24" s="1"/>
  <c r="G15" i="24"/>
  <c r="AQ36" i="24"/>
  <c r="AU36" i="24"/>
  <c r="AS36" i="24"/>
  <c r="AV84" i="23"/>
  <c r="AZ84" i="23" s="1"/>
  <c r="BC84" i="23" s="1"/>
  <c r="J86" i="23"/>
  <c r="G85" i="23"/>
  <c r="AL85" i="23" s="1"/>
  <c r="AM85" i="23" s="1"/>
  <c r="AN85" i="23" s="1"/>
  <c r="H85" i="23"/>
  <c r="K38" i="15"/>
  <c r="O38" i="15"/>
  <c r="AQ38" i="15"/>
  <c r="AS38" i="15"/>
  <c r="AU38" i="15"/>
  <c r="G17" i="15"/>
  <c r="AW36" i="23"/>
  <c r="BA36" i="23" s="1"/>
  <c r="AX36" i="23"/>
  <c r="BB36" i="23" s="1"/>
  <c r="AY36" i="23"/>
  <c r="BD36" i="23" s="1"/>
  <c r="BE36" i="23"/>
  <c r="E37" i="23"/>
  <c r="BF36" i="23"/>
  <c r="C36" i="23"/>
  <c r="K36" i="23" s="1"/>
  <c r="AQ35" i="23"/>
  <c r="AS35" i="23"/>
  <c r="AU35" i="23"/>
  <c r="G16" i="23"/>
  <c r="AR16" i="23" s="1"/>
  <c r="AJ15" i="23"/>
  <c r="AK15" i="23" s="1"/>
  <c r="AW106" i="23"/>
  <c r="BA106" i="23" s="1"/>
  <c r="AX106" i="23"/>
  <c r="BB106" i="23" s="1"/>
  <c r="AY106" i="23"/>
  <c r="BD106" i="23" s="1"/>
  <c r="AM15" i="23"/>
  <c r="AN15" i="23" s="1"/>
  <c r="K35" i="23"/>
  <c r="C106" i="23"/>
  <c r="BE106" i="23"/>
  <c r="BF106" i="23"/>
  <c r="E107" i="23"/>
  <c r="S21" i="23"/>
  <c r="T21" i="23" s="1"/>
  <c r="AW47" i="21"/>
  <c r="AW15" i="22"/>
  <c r="AL49" i="22"/>
  <c r="AM49" i="22" s="1"/>
  <c r="I35" i="25"/>
  <c r="AW48" i="22"/>
  <c r="O35" i="25"/>
  <c r="AG94" i="23"/>
  <c r="AF95" i="23" s="1"/>
  <c r="AE94" i="23"/>
  <c r="AD95" i="23" s="1"/>
  <c r="AT95" i="23" s="1"/>
  <c r="AJ37" i="3"/>
  <c r="BF37" i="3" s="1"/>
  <c r="AW15" i="12"/>
  <c r="BA15" i="12" s="1"/>
  <c r="BD15" i="12" s="1"/>
  <c r="T20" i="18"/>
  <c r="S21" i="18" s="1"/>
  <c r="R14" i="14"/>
  <c r="Q15" i="14" s="1"/>
  <c r="AK16" i="12"/>
  <c r="AJ17" i="12"/>
  <c r="J20" i="18"/>
  <c r="L20" i="18" s="1"/>
  <c r="I21" i="18" s="1"/>
  <c r="J21" i="18" s="1"/>
  <c r="L21" i="18" s="1"/>
  <c r="I22" i="18" s="1"/>
  <c r="J22" i="18" s="1"/>
  <c r="L22" i="18" s="1"/>
  <c r="I23" i="18" s="1"/>
  <c r="J23" i="18" s="1"/>
  <c r="L23" i="18" s="1"/>
  <c r="I24" i="18" s="1"/>
  <c r="J24" i="18" s="1"/>
  <c r="L24" i="18" s="1"/>
  <c r="I25" i="18" s="1"/>
  <c r="J25" i="18" s="1"/>
  <c r="L25" i="18" s="1"/>
  <c r="I26" i="18" s="1"/>
  <c r="J26" i="18" s="1"/>
  <c r="L26" i="18" s="1"/>
  <c r="I27" i="18" s="1"/>
  <c r="J27" i="18" s="1"/>
  <c r="L27" i="18" s="1"/>
  <c r="I28" i="18" s="1"/>
  <c r="J28" i="18" s="1"/>
  <c r="L28" i="18" s="1"/>
  <c r="I29" i="18" s="1"/>
  <c r="J29" i="18" s="1"/>
  <c r="L29" i="18" s="1"/>
  <c r="I30" i="18" s="1"/>
  <c r="J30" i="18" s="1"/>
  <c r="L30" i="18" s="1"/>
  <c r="I31" i="18" s="1"/>
  <c r="J31" i="18" s="1"/>
  <c r="L31" i="18" s="1"/>
  <c r="I32" i="18" s="1"/>
  <c r="J32" i="18" s="1"/>
  <c r="L32" i="18" s="1"/>
  <c r="I33" i="18" s="1"/>
  <c r="J33" i="18" s="1"/>
  <c r="L33" i="18" s="1"/>
  <c r="I34" i="18" s="1"/>
  <c r="J34" i="18" s="1"/>
  <c r="L34" i="18" s="1"/>
  <c r="I35" i="18" s="1"/>
  <c r="J35" i="18" s="1"/>
  <c r="L35" i="18" s="1"/>
  <c r="I36" i="18" s="1"/>
  <c r="BA14" i="12"/>
  <c r="BD14" i="12" s="1"/>
  <c r="BH14" i="12"/>
  <c r="P20" i="18"/>
  <c r="M21" i="18" s="1"/>
  <c r="N21" i="18" s="1"/>
  <c r="P21" i="18" s="1"/>
  <c r="M22" i="18" s="1"/>
  <c r="N22" i="18" s="1"/>
  <c r="P22" i="18" s="1"/>
  <c r="M23" i="18" s="1"/>
  <c r="N23" i="18" s="1"/>
  <c r="P23" i="18" s="1"/>
  <c r="M24" i="18" s="1"/>
  <c r="N24" i="18" s="1"/>
  <c r="P24" i="18" s="1"/>
  <c r="M25" i="18" s="1"/>
  <c r="N25" i="18" s="1"/>
  <c r="P25" i="18" s="1"/>
  <c r="M26" i="18" s="1"/>
  <c r="N26" i="18" s="1"/>
  <c r="P26" i="18" s="1"/>
  <c r="M27" i="18" s="1"/>
  <c r="P14" i="14"/>
  <c r="M15" i="14" s="1"/>
  <c r="N15" i="14" s="1"/>
  <c r="P15" i="14" s="1"/>
  <c r="M16" i="14" s="1"/>
  <c r="N16" i="14" s="1"/>
  <c r="P16" i="14" s="1"/>
  <c r="M17" i="14" s="1"/>
  <c r="N17" i="14" s="1"/>
  <c r="P17" i="14" s="1"/>
  <c r="M18" i="14" s="1"/>
  <c r="N18" i="14" s="1"/>
  <c r="P18" i="14" s="1"/>
  <c r="M19" i="14" s="1"/>
  <c r="N19" i="14" s="1"/>
  <c r="P19" i="14" s="1"/>
  <c r="M20" i="14" s="1"/>
  <c r="N20" i="14" s="1"/>
  <c r="P20" i="14" s="1"/>
  <c r="M21" i="14" s="1"/>
  <c r="N21" i="14" s="1"/>
  <c r="P21" i="14" s="1"/>
  <c r="M22" i="14" s="1"/>
  <c r="N22" i="14" s="1"/>
  <c r="P22" i="14" s="1"/>
  <c r="M23" i="14" s="1"/>
  <c r="N23" i="14" s="1"/>
  <c r="P23" i="14" s="1"/>
  <c r="M24" i="14" s="1"/>
  <c r="N24" i="14" s="1"/>
  <c r="P24" i="14" s="1"/>
  <c r="M25" i="14" s="1"/>
  <c r="N25" i="14" s="1"/>
  <c r="P25" i="14" s="1"/>
  <c r="M26" i="14" s="1"/>
  <c r="N26" i="14" s="1"/>
  <c r="P26" i="14" s="1"/>
  <c r="M27" i="14" s="1"/>
  <c r="N27" i="14" s="1"/>
  <c r="P27" i="14" s="1"/>
  <c r="M28" i="14" s="1"/>
  <c r="N28" i="14" s="1"/>
  <c r="P28" i="14" s="1"/>
  <c r="M29" i="14" s="1"/>
  <c r="R13" i="15"/>
  <c r="Q14" i="15" s="1"/>
  <c r="AT14" i="15" s="1"/>
  <c r="T13" i="15"/>
  <c r="S14" i="15" s="1"/>
  <c r="AT17" i="13"/>
  <c r="AW17" i="13" s="1"/>
  <c r="R17" i="13"/>
  <c r="Q18" i="13" s="1"/>
  <c r="P13" i="15"/>
  <c r="M14" i="15" s="1"/>
  <c r="N14" i="15" s="1"/>
  <c r="BA16" i="13"/>
  <c r="BD16" i="13" s="1"/>
  <c r="BH16" i="13"/>
  <c r="N16" i="12"/>
  <c r="T16" i="12" s="1"/>
  <c r="S17" i="12" s="1"/>
  <c r="AJ38" i="3"/>
  <c r="BF38" i="3" s="1"/>
  <c r="AZ14" i="14"/>
  <c r="BC14" i="14" s="1"/>
  <c r="BG14" i="14"/>
  <c r="T14" i="14"/>
  <c r="S15" i="14" s="1"/>
  <c r="R17" i="18"/>
  <c r="Q18" i="18" s="1"/>
  <c r="AT17" i="18"/>
  <c r="AW17" i="18" s="1"/>
  <c r="J34" i="14"/>
  <c r="L34" i="14" s="1"/>
  <c r="I35" i="14" s="1"/>
  <c r="J35" i="14" s="1"/>
  <c r="L35" i="14" s="1"/>
  <c r="I36" i="14" s="1"/>
  <c r="J36" i="14" s="1"/>
  <c r="AR37" i="19"/>
  <c r="U106" i="14"/>
  <c r="AB106" i="14"/>
  <c r="I106" i="14"/>
  <c r="AR106" i="14" s="1"/>
  <c r="AA106" i="14"/>
  <c r="V106" i="14"/>
  <c r="AB38" i="17"/>
  <c r="O38" i="17"/>
  <c r="AA38" i="17"/>
  <c r="AB38" i="19"/>
  <c r="O38" i="19"/>
  <c r="O106" i="14"/>
  <c r="V38" i="17"/>
  <c r="I38" i="17"/>
  <c r="I38" i="19"/>
  <c r="AA38" i="19"/>
  <c r="U38" i="17"/>
  <c r="U38" i="19"/>
  <c r="V38" i="19"/>
  <c r="AN17" i="12"/>
  <c r="H18" i="12"/>
  <c r="AI18" i="12" s="1"/>
  <c r="E39" i="19"/>
  <c r="C38" i="19"/>
  <c r="AZ38" i="19"/>
  <c r="K37" i="14"/>
  <c r="AU37" i="14"/>
  <c r="AS37" i="14"/>
  <c r="O37" i="14"/>
  <c r="AQ37" i="14"/>
  <c r="AZ38" i="16"/>
  <c r="E39" i="16"/>
  <c r="BD38" i="16"/>
  <c r="C38" i="16"/>
  <c r="BE38" i="14"/>
  <c r="AY38" i="14"/>
  <c r="BD38" i="14" s="1"/>
  <c r="AW38" i="14"/>
  <c r="BA38" i="14" s="1"/>
  <c r="BF38" i="14"/>
  <c r="C38" i="14"/>
  <c r="E39" i="14"/>
  <c r="AX38" i="14"/>
  <c r="BB38" i="14" s="1"/>
  <c r="AR37" i="16"/>
  <c r="E38" i="18"/>
  <c r="C37" i="18"/>
  <c r="AZ37" i="18"/>
  <c r="AS36" i="18"/>
  <c r="AU36" i="18"/>
  <c r="O36" i="18"/>
  <c r="K36" i="18"/>
  <c r="AQ36" i="18"/>
  <c r="H19" i="14"/>
  <c r="E38" i="17"/>
  <c r="C37" i="17"/>
  <c r="AZ37" i="17"/>
  <c r="H18" i="13"/>
  <c r="C39" i="15"/>
  <c r="E40" i="15"/>
  <c r="AZ39" i="15"/>
  <c r="H19" i="18"/>
  <c r="E108" i="14"/>
  <c r="BE107" i="14"/>
  <c r="BF107" i="14"/>
  <c r="AY107" i="14"/>
  <c r="BD107" i="14" s="1"/>
  <c r="C107" i="14"/>
  <c r="AW107" i="14"/>
  <c r="BA107" i="14" s="1"/>
  <c r="AX107" i="14"/>
  <c r="BB107" i="14" s="1"/>
  <c r="AN18" i="14"/>
  <c r="AK18" i="14"/>
  <c r="AH40" i="3"/>
  <c r="BD39" i="3"/>
  <c r="A41" i="3"/>
  <c r="BI41" i="3" s="1"/>
  <c r="BJ41" i="3" s="1"/>
  <c r="H40" i="3"/>
  <c r="AF39" i="3"/>
  <c r="AK39" i="3" s="1"/>
  <c r="G42" i="3"/>
  <c r="AV41" i="3"/>
  <c r="AX41" i="3" s="1"/>
  <c r="V41" i="3"/>
  <c r="X41" i="3" s="1"/>
  <c r="AW43" i="3"/>
  <c r="Y40" i="3"/>
  <c r="AC39" i="3"/>
  <c r="AQ43" i="3"/>
  <c r="BC39" i="3"/>
  <c r="AE40" i="3"/>
  <c r="AG40" i="3"/>
  <c r="AI38" i="3"/>
  <c r="BE38" i="3" s="1"/>
  <c r="I18" i="12" l="1"/>
  <c r="J18" i="12" s="1"/>
  <c r="K18" i="12"/>
  <c r="H20" i="21"/>
  <c r="AM20" i="22"/>
  <c r="AN20" i="22" s="1"/>
  <c r="R20" i="22"/>
  <c r="AT20" i="22"/>
  <c r="AT31" i="22" s="1"/>
  <c r="AJ20" i="22"/>
  <c r="AK20" i="22" s="1"/>
  <c r="Z103" i="23"/>
  <c r="Y103" i="23"/>
  <c r="AC103" i="23" s="1"/>
  <c r="X104" i="23" s="1"/>
  <c r="AA104" i="23" s="1"/>
  <c r="T103" i="23"/>
  <c r="S103" i="23"/>
  <c r="W103" i="23" s="1"/>
  <c r="R104" i="23" s="1"/>
  <c r="U104" i="23" s="1"/>
  <c r="J17" i="24"/>
  <c r="L17" i="24" s="1"/>
  <c r="I18" i="24" s="1"/>
  <c r="AN16" i="29"/>
  <c r="AQ16" i="29"/>
  <c r="AS16" i="29"/>
  <c r="AU16" i="29"/>
  <c r="AP18" i="28"/>
  <c r="AW17" i="28"/>
  <c r="AL18" i="28"/>
  <c r="AG24" i="29"/>
  <c r="AF25" i="29" s="1"/>
  <c r="N51" i="21"/>
  <c r="AO51" i="21" s="1"/>
  <c r="P52" i="21"/>
  <c r="M51" i="21"/>
  <c r="O51" i="21"/>
  <c r="M19" i="28"/>
  <c r="O19" i="28"/>
  <c r="N19" i="28"/>
  <c r="O86" i="23"/>
  <c r="P87" i="23"/>
  <c r="N86" i="23"/>
  <c r="M86" i="23"/>
  <c r="AR17" i="29"/>
  <c r="Q17" i="29"/>
  <c r="L18" i="29" s="1"/>
  <c r="T13" i="21"/>
  <c r="S14" i="21" s="1"/>
  <c r="P13" i="21"/>
  <c r="M14" i="21" s="1"/>
  <c r="BH14" i="21"/>
  <c r="O14" i="24"/>
  <c r="P14" i="24" s="1"/>
  <c r="M15" i="24" s="1"/>
  <c r="AC13" i="25"/>
  <c r="X14" i="25" s="1"/>
  <c r="Y14" i="25" s="1"/>
  <c r="R14" i="24"/>
  <c r="Q15" i="24" s="1"/>
  <c r="AT14" i="24"/>
  <c r="AW14" i="24" s="1"/>
  <c r="T14" i="24"/>
  <c r="S15" i="24" s="1"/>
  <c r="AG13" i="25"/>
  <c r="AF14" i="25" s="1"/>
  <c r="BB41" i="3"/>
  <c r="AR43" i="3"/>
  <c r="AE13" i="25"/>
  <c r="AD14" i="25" s="1"/>
  <c r="AT14" i="25" s="1"/>
  <c r="AW14" i="25" s="1"/>
  <c r="W13" i="25"/>
  <c r="R14" i="25" s="1"/>
  <c r="T14" i="25" s="1"/>
  <c r="P41" i="20"/>
  <c r="AR38" i="19"/>
  <c r="R19" i="23"/>
  <c r="Q20" i="23" s="1"/>
  <c r="AT20" i="23" s="1"/>
  <c r="T17" i="26"/>
  <c r="S18" i="26" s="1"/>
  <c r="N32" i="23"/>
  <c r="P32" i="23" s="1"/>
  <c r="M33" i="23" s="1"/>
  <c r="J24" i="23"/>
  <c r="L24" i="23" s="1"/>
  <c r="I25" i="23" s="1"/>
  <c r="J25" i="26"/>
  <c r="L25" i="26" s="1"/>
  <c r="I26" i="26" s="1"/>
  <c r="AQ41" i="20"/>
  <c r="AR41" i="20" s="1"/>
  <c r="O42" i="20"/>
  <c r="AT17" i="26"/>
  <c r="R17" i="26"/>
  <c r="Q18" i="26" s="1"/>
  <c r="AT18" i="26" s="1"/>
  <c r="AN41" i="20"/>
  <c r="N18" i="26"/>
  <c r="BG39" i="3"/>
  <c r="BA47" i="21"/>
  <c r="BD47" i="21" s="1"/>
  <c r="BH47" i="21"/>
  <c r="AT22" i="29"/>
  <c r="AE22" i="29"/>
  <c r="AD23" i="29" s="1"/>
  <c r="T23" i="29"/>
  <c r="S23" i="29"/>
  <c r="W23" i="29" s="1"/>
  <c r="R24" i="29" s="1"/>
  <c r="U24" i="29" s="1"/>
  <c r="J18" i="29"/>
  <c r="H17" i="29"/>
  <c r="AP17" i="29" s="1"/>
  <c r="AZ37" i="29"/>
  <c r="C37" i="29"/>
  <c r="E38" i="29"/>
  <c r="G17" i="29"/>
  <c r="AL17" i="29" s="1"/>
  <c r="G17" i="26"/>
  <c r="AR17" i="26" s="1"/>
  <c r="AS37" i="26"/>
  <c r="AU37" i="26"/>
  <c r="AQ37" i="26"/>
  <c r="K37" i="26"/>
  <c r="O37" i="26"/>
  <c r="AJ16" i="26"/>
  <c r="AK16" i="26" s="1"/>
  <c r="AM16" i="26"/>
  <c r="AN16" i="26" s="1"/>
  <c r="C38" i="26"/>
  <c r="AZ38" i="26"/>
  <c r="E39" i="26"/>
  <c r="T26" i="28"/>
  <c r="S26" i="28"/>
  <c r="AE26" i="28" s="1"/>
  <c r="AD27" i="28" s="1"/>
  <c r="AO18" i="28"/>
  <c r="AI18" i="28"/>
  <c r="AG23" i="28"/>
  <c r="AF24" i="28" s="1"/>
  <c r="AC23" i="28"/>
  <c r="X24" i="28" s="1"/>
  <c r="AB24" i="28" s="1"/>
  <c r="C38" i="28"/>
  <c r="AZ38" i="28"/>
  <c r="E39" i="28"/>
  <c r="L20" i="15"/>
  <c r="I21" i="15" s="1"/>
  <c r="J21" i="15" s="1"/>
  <c r="AU15" i="25"/>
  <c r="AR37" i="25"/>
  <c r="U37" i="25"/>
  <c r="V37" i="25"/>
  <c r="AA37" i="25"/>
  <c r="AB37" i="25"/>
  <c r="BA38" i="25"/>
  <c r="BB38" i="25"/>
  <c r="BC38" i="25"/>
  <c r="AQ15" i="25"/>
  <c r="AS15" i="25"/>
  <c r="N16" i="25"/>
  <c r="AO16" i="25" s="1"/>
  <c r="P17" i="25"/>
  <c r="M16" i="25"/>
  <c r="AL16" i="25" s="1"/>
  <c r="AM16" i="25" s="1"/>
  <c r="AN16" i="25" s="1"/>
  <c r="AM15" i="25"/>
  <c r="AN15" i="25" s="1"/>
  <c r="AI15" i="25"/>
  <c r="AJ15" i="25" s="1"/>
  <c r="AK15" i="25" s="1"/>
  <c r="AZ38" i="25"/>
  <c r="C38" i="25"/>
  <c r="BD38" i="25"/>
  <c r="E39" i="25"/>
  <c r="K16" i="25"/>
  <c r="I16" i="25"/>
  <c r="AQ37" i="24"/>
  <c r="AS37" i="24"/>
  <c r="AU37" i="24"/>
  <c r="AR15" i="24"/>
  <c r="H15" i="24"/>
  <c r="C38" i="24"/>
  <c r="AZ38" i="24"/>
  <c r="E39" i="24"/>
  <c r="BG84" i="23"/>
  <c r="AI85" i="23"/>
  <c r="AJ85" i="23" s="1"/>
  <c r="AK85" i="23" s="1"/>
  <c r="AP85" i="23"/>
  <c r="AO85" i="23"/>
  <c r="K85" i="23"/>
  <c r="AQ39" i="15"/>
  <c r="AS39" i="15"/>
  <c r="AU39" i="15"/>
  <c r="AR17" i="15"/>
  <c r="H17" i="15"/>
  <c r="O36" i="23"/>
  <c r="AV15" i="23"/>
  <c r="AW37" i="23"/>
  <c r="BA37" i="23" s="1"/>
  <c r="AX37" i="23"/>
  <c r="BB37" i="23" s="1"/>
  <c r="AY37" i="23"/>
  <c r="BD37" i="23" s="1"/>
  <c r="BF37" i="23"/>
  <c r="BE37" i="23"/>
  <c r="E38" i="23"/>
  <c r="C37" i="23"/>
  <c r="O37" i="23" s="1"/>
  <c r="H16" i="23"/>
  <c r="AQ36" i="23"/>
  <c r="AS36" i="23"/>
  <c r="AU36" i="23"/>
  <c r="AW107" i="23"/>
  <c r="BA107" i="23" s="1"/>
  <c r="AX107" i="23"/>
  <c r="BB107" i="23" s="1"/>
  <c r="AY107" i="23"/>
  <c r="BD107" i="23" s="1"/>
  <c r="S22" i="23"/>
  <c r="T22" i="23" s="1"/>
  <c r="C107" i="23"/>
  <c r="BE107" i="23"/>
  <c r="BF107" i="23"/>
  <c r="E108" i="23"/>
  <c r="BA15" i="22"/>
  <c r="BD15" i="22" s="1"/>
  <c r="BH15" i="22"/>
  <c r="BA48" i="22"/>
  <c r="BD48" i="22" s="1"/>
  <c r="BH48" i="22"/>
  <c r="AI49" i="22"/>
  <c r="AI48" i="21"/>
  <c r="AL48" i="21"/>
  <c r="AP49" i="22"/>
  <c r="AP48" i="21"/>
  <c r="AC24" i="29"/>
  <c r="X25" i="29" s="1"/>
  <c r="K18" i="28"/>
  <c r="AG95" i="23"/>
  <c r="AF96" i="23" s="1"/>
  <c r="O36" i="25"/>
  <c r="I36" i="25"/>
  <c r="AE95" i="23"/>
  <c r="AD96" i="23" s="1"/>
  <c r="AT96" i="23" s="1"/>
  <c r="R15" i="14"/>
  <c r="Q16" i="14" s="1"/>
  <c r="R16" i="14" s="1"/>
  <c r="Q17" i="14" s="1"/>
  <c r="T15" i="14"/>
  <c r="S16" i="14" s="1"/>
  <c r="T16" i="14" s="1"/>
  <c r="S17" i="14" s="1"/>
  <c r="T17" i="14" s="1"/>
  <c r="S18" i="14" s="1"/>
  <c r="T18" i="14" s="1"/>
  <c r="S19" i="14" s="1"/>
  <c r="T19" i="14" s="1"/>
  <c r="S20" i="14" s="1"/>
  <c r="T20" i="14" s="1"/>
  <c r="S21" i="14" s="1"/>
  <c r="T21" i="14" s="1"/>
  <c r="S22" i="14" s="1"/>
  <c r="T22" i="14" s="1"/>
  <c r="S23" i="14" s="1"/>
  <c r="T23" i="14" s="1"/>
  <c r="S24" i="14" s="1"/>
  <c r="T24" i="14" s="1"/>
  <c r="S25" i="14" s="1"/>
  <c r="T25" i="14" s="1"/>
  <c r="S26" i="14" s="1"/>
  <c r="T26" i="14" s="1"/>
  <c r="S27" i="14" s="1"/>
  <c r="T27" i="14" s="1"/>
  <c r="S28" i="14" s="1"/>
  <c r="T28" i="14" s="1"/>
  <c r="S29" i="14" s="1"/>
  <c r="BH15" i="12"/>
  <c r="AT15" i="14"/>
  <c r="AV15" i="14" s="1"/>
  <c r="BG15" i="14" s="1"/>
  <c r="AK17" i="12"/>
  <c r="AJ18" i="12"/>
  <c r="O9" i="2" s="1"/>
  <c r="AW16" i="12"/>
  <c r="BH16" i="12" s="1"/>
  <c r="N9" i="2"/>
  <c r="BA17" i="13"/>
  <c r="P16" i="12"/>
  <c r="M17" i="12" s="1"/>
  <c r="T14" i="15"/>
  <c r="S15" i="15" s="1"/>
  <c r="N27" i="18"/>
  <c r="P27" i="18" s="1"/>
  <c r="M28" i="18" s="1"/>
  <c r="N29" i="14"/>
  <c r="P29" i="14" s="1"/>
  <c r="M30" i="14" s="1"/>
  <c r="R18" i="18"/>
  <c r="Q19" i="18" s="1"/>
  <c r="AT18" i="18"/>
  <c r="AW18" i="18" s="1"/>
  <c r="AX18" i="18" s="1"/>
  <c r="AY18" i="18" s="1"/>
  <c r="R16" i="12"/>
  <c r="Q17" i="12" s="1"/>
  <c r="AT17" i="12" s="1"/>
  <c r="AW14" i="15"/>
  <c r="T21" i="18"/>
  <c r="S22" i="18" s="1"/>
  <c r="T22" i="18" s="1"/>
  <c r="S23" i="18" s="1"/>
  <c r="T23" i="18" s="1"/>
  <c r="S24" i="18" s="1"/>
  <c r="T24" i="18" s="1"/>
  <c r="S25" i="18" s="1"/>
  <c r="T25" i="18" s="1"/>
  <c r="S26" i="18" s="1"/>
  <c r="T26" i="18" s="1"/>
  <c r="S27" i="18" s="1"/>
  <c r="R18" i="13"/>
  <c r="Q19" i="13" s="1"/>
  <c r="AT18" i="13"/>
  <c r="AD39" i="3"/>
  <c r="O39" i="15" s="1"/>
  <c r="L36" i="14"/>
  <c r="I37" i="14" s="1"/>
  <c r="J37" i="14" s="1"/>
  <c r="AA107" i="14"/>
  <c r="I107" i="14"/>
  <c r="AR107" i="14" s="1"/>
  <c r="AB107" i="14"/>
  <c r="V107" i="14"/>
  <c r="O107" i="14"/>
  <c r="U107" i="14"/>
  <c r="V39" i="17"/>
  <c r="AA39" i="17"/>
  <c r="U39" i="19"/>
  <c r="U39" i="17"/>
  <c r="AB39" i="17"/>
  <c r="AA39" i="19"/>
  <c r="O39" i="17"/>
  <c r="V39" i="19"/>
  <c r="I39" i="19"/>
  <c r="AB39" i="19"/>
  <c r="I39" i="17"/>
  <c r="O39" i="19"/>
  <c r="F19" i="12"/>
  <c r="G19" i="12" s="1"/>
  <c r="AR19" i="12" s="1"/>
  <c r="AL18" i="12"/>
  <c r="AM18" i="12" s="1"/>
  <c r="AZ39" i="19"/>
  <c r="C39" i="19"/>
  <c r="E40" i="19"/>
  <c r="E40" i="16"/>
  <c r="BD39" i="16"/>
  <c r="AZ39" i="16"/>
  <c r="C39" i="16"/>
  <c r="BF39" i="14"/>
  <c r="AX39" i="14"/>
  <c r="BB39" i="14" s="1"/>
  <c r="AW39" i="14"/>
  <c r="BA39" i="14" s="1"/>
  <c r="AY39" i="14"/>
  <c r="BD39" i="14" s="1"/>
  <c r="C39" i="14"/>
  <c r="BE39" i="14"/>
  <c r="E40" i="14"/>
  <c r="AR38" i="16"/>
  <c r="K38" i="14"/>
  <c r="AU38" i="14"/>
  <c r="AS38" i="14"/>
  <c r="O38" i="14"/>
  <c r="AQ38" i="14"/>
  <c r="J36" i="18"/>
  <c r="L36" i="18" s="1"/>
  <c r="I37" i="18" s="1"/>
  <c r="F20" i="14"/>
  <c r="AI19" i="14"/>
  <c r="AJ19" i="14" s="1"/>
  <c r="AL19" i="14"/>
  <c r="AM19" i="14" s="1"/>
  <c r="AQ37" i="18"/>
  <c r="K37" i="18"/>
  <c r="O37" i="18"/>
  <c r="AU37" i="18"/>
  <c r="AS37" i="18"/>
  <c r="E39" i="18"/>
  <c r="AZ38" i="18"/>
  <c r="C38" i="18"/>
  <c r="C38" i="17"/>
  <c r="E39" i="17"/>
  <c r="AZ38" i="17"/>
  <c r="F19" i="13"/>
  <c r="AL18" i="13"/>
  <c r="AI18" i="13"/>
  <c r="E41" i="15"/>
  <c r="C40" i="15"/>
  <c r="AZ40" i="15"/>
  <c r="F20" i="18"/>
  <c r="AI19" i="18"/>
  <c r="AL19" i="18"/>
  <c r="AY108" i="14"/>
  <c r="BD108" i="14" s="1"/>
  <c r="BF108" i="14"/>
  <c r="AX108" i="14"/>
  <c r="BB108" i="14" s="1"/>
  <c r="E109" i="14"/>
  <c r="AW108" i="14"/>
  <c r="BA108" i="14" s="1"/>
  <c r="BE108" i="14"/>
  <c r="C108" i="14"/>
  <c r="AQ44" i="3"/>
  <c r="AN44" i="3"/>
  <c r="AN45" i="3" s="1"/>
  <c r="AH41" i="3"/>
  <c r="BD40" i="3"/>
  <c r="AW44" i="3"/>
  <c r="H41" i="3"/>
  <c r="AF40" i="3"/>
  <c r="AD40" i="3" s="1"/>
  <c r="AL41" i="3"/>
  <c r="P44" i="3"/>
  <c r="P45" i="3" s="1"/>
  <c r="BC40" i="3"/>
  <c r="AE41" i="3"/>
  <c r="A42" i="3"/>
  <c r="BI42" i="3" s="1"/>
  <c r="BJ42" i="3" s="1"/>
  <c r="AM41" i="3"/>
  <c r="AG41" i="3"/>
  <c r="Y41" i="3"/>
  <c r="AC40" i="3"/>
  <c r="V42" i="3"/>
  <c r="X42" i="3" s="1"/>
  <c r="G43" i="3"/>
  <c r="AV42" i="3"/>
  <c r="AX42" i="3" s="1"/>
  <c r="L18" i="12" l="1"/>
  <c r="I19" i="12" s="1"/>
  <c r="J19" i="12" s="1"/>
  <c r="K19" i="12"/>
  <c r="AW20" i="22"/>
  <c r="G21" i="21"/>
  <c r="AI20" i="21"/>
  <c r="AL20" i="21"/>
  <c r="Z104" i="23"/>
  <c r="Y104" i="23"/>
  <c r="AC104" i="23" s="1"/>
  <c r="X105" i="23" s="1"/>
  <c r="AA105" i="23" s="1"/>
  <c r="S104" i="23"/>
  <c r="W104" i="23" s="1"/>
  <c r="R105" i="23" s="1"/>
  <c r="U105" i="23" s="1"/>
  <c r="T104" i="23"/>
  <c r="K18" i="24"/>
  <c r="J18" i="24"/>
  <c r="AW16" i="29"/>
  <c r="Q51" i="21"/>
  <c r="L52" i="21" s="1"/>
  <c r="O18" i="29"/>
  <c r="M18" i="29"/>
  <c r="N18" i="29"/>
  <c r="P19" i="29"/>
  <c r="Z25" i="29"/>
  <c r="AA25" i="29"/>
  <c r="AB14" i="25"/>
  <c r="N15" i="24"/>
  <c r="O15" i="24"/>
  <c r="N14" i="21"/>
  <c r="O14" i="21"/>
  <c r="Z14" i="25"/>
  <c r="AA14" i="25"/>
  <c r="U14" i="25"/>
  <c r="AT15" i="24"/>
  <c r="BB42" i="3"/>
  <c r="AR44" i="3"/>
  <c r="V14" i="25"/>
  <c r="S14" i="25"/>
  <c r="AL42" i="3"/>
  <c r="AR39" i="19"/>
  <c r="R20" i="23"/>
  <c r="Q21" i="23" s="1"/>
  <c r="AT21" i="23" s="1"/>
  <c r="AK40" i="3"/>
  <c r="BG40" i="3" s="1"/>
  <c r="R18" i="26"/>
  <c r="Q19" i="26" s="1"/>
  <c r="AT19" i="26" s="1"/>
  <c r="J26" i="26"/>
  <c r="L26" i="26" s="1"/>
  <c r="I27" i="26" s="1"/>
  <c r="N33" i="23"/>
  <c r="P33" i="23" s="1"/>
  <c r="M34" i="23" s="1"/>
  <c r="J25" i="23"/>
  <c r="L25" i="23" s="1"/>
  <c r="I26" i="23" s="1"/>
  <c r="AN42" i="20"/>
  <c r="P18" i="26"/>
  <c r="M19" i="26" s="1"/>
  <c r="AQ42" i="20"/>
  <c r="AR42" i="20" s="1"/>
  <c r="O43" i="20"/>
  <c r="P42" i="20"/>
  <c r="T18" i="26"/>
  <c r="S19" i="26" s="1"/>
  <c r="AJ39" i="3"/>
  <c r="BF39" i="3" s="1"/>
  <c r="K39" i="15"/>
  <c r="AJ48" i="21"/>
  <c r="AK48" i="21" s="1"/>
  <c r="AM48" i="21"/>
  <c r="AN48" i="21" s="1"/>
  <c r="T24" i="29"/>
  <c r="S24" i="29"/>
  <c r="W24" i="29" s="1"/>
  <c r="R25" i="29" s="1"/>
  <c r="U25" i="29" s="1"/>
  <c r="AT23" i="29"/>
  <c r="AE23" i="29"/>
  <c r="AD24" i="29" s="1"/>
  <c r="AZ38" i="29"/>
  <c r="C38" i="29"/>
  <c r="E39" i="29"/>
  <c r="AM17" i="29"/>
  <c r="AN17" i="29" s="1"/>
  <c r="AO17" i="29"/>
  <c r="AW16" i="26"/>
  <c r="L21" i="15"/>
  <c r="I22" i="15" s="1"/>
  <c r="J22" i="15" s="1"/>
  <c r="AI17" i="29"/>
  <c r="AJ17" i="29" s="1"/>
  <c r="Y25" i="29"/>
  <c r="H17" i="26"/>
  <c r="AL17" i="26" s="1"/>
  <c r="AM17" i="26" s="1"/>
  <c r="AN17" i="26" s="1"/>
  <c r="K38" i="26"/>
  <c r="AS38" i="26"/>
  <c r="AU38" i="26"/>
  <c r="O38" i="26"/>
  <c r="AQ38" i="26"/>
  <c r="C39" i="26"/>
  <c r="AZ39" i="26"/>
  <c r="E40" i="26"/>
  <c r="AT27" i="28"/>
  <c r="W26" i="28"/>
  <c r="R27" i="28" s="1"/>
  <c r="V27" i="28" s="1"/>
  <c r="Z24" i="28"/>
  <c r="Y24" i="28"/>
  <c r="AS18" i="28"/>
  <c r="AQ18" i="28"/>
  <c r="AU18" i="28"/>
  <c r="AJ18" i="28"/>
  <c r="AK18" i="28" s="1"/>
  <c r="AM18" i="28"/>
  <c r="AN18" i="28" s="1"/>
  <c r="F19" i="28"/>
  <c r="I19" i="28" s="1"/>
  <c r="Q19" i="28" s="1"/>
  <c r="L20" i="28" s="1"/>
  <c r="AZ39" i="28"/>
  <c r="C39" i="28"/>
  <c r="E40" i="28"/>
  <c r="AP16" i="25"/>
  <c r="Q16" i="25"/>
  <c r="L17" i="25" s="1"/>
  <c r="M17" i="25" s="1"/>
  <c r="BA39" i="25"/>
  <c r="BB39" i="25"/>
  <c r="BC39" i="25"/>
  <c r="AR38" i="25"/>
  <c r="U38" i="25"/>
  <c r="AB38" i="25"/>
  <c r="V38" i="25"/>
  <c r="AA38" i="25"/>
  <c r="AZ39" i="25"/>
  <c r="BD39" i="25"/>
  <c r="C39" i="25"/>
  <c r="E40" i="25"/>
  <c r="F17" i="25"/>
  <c r="C39" i="24"/>
  <c r="AZ39" i="24"/>
  <c r="E40" i="24"/>
  <c r="F16" i="24"/>
  <c r="AI15" i="24"/>
  <c r="AL15" i="24"/>
  <c r="AU38" i="24"/>
  <c r="AS38" i="24"/>
  <c r="AQ38" i="24"/>
  <c r="AU85" i="23"/>
  <c r="F86" i="23"/>
  <c r="I86" i="23" s="1"/>
  <c r="AR86" i="23" s="1"/>
  <c r="AQ85" i="23"/>
  <c r="AS85" i="23"/>
  <c r="F18" i="15"/>
  <c r="AI17" i="15"/>
  <c r="AJ17" i="15" s="1"/>
  <c r="AK17" i="15" s="1"/>
  <c r="AL17" i="15"/>
  <c r="AM17" i="15" s="1"/>
  <c r="AN17" i="15" s="1"/>
  <c r="O40" i="15"/>
  <c r="AQ40" i="15"/>
  <c r="AS40" i="15"/>
  <c r="AU40" i="15"/>
  <c r="K40" i="15"/>
  <c r="F17" i="23"/>
  <c r="AI16" i="23"/>
  <c r="AL16" i="23"/>
  <c r="AZ15" i="23"/>
  <c r="BC15" i="23" s="1"/>
  <c r="BG15" i="23"/>
  <c r="AQ37" i="23"/>
  <c r="AS37" i="23"/>
  <c r="AU37" i="23"/>
  <c r="K37" i="23"/>
  <c r="AX108" i="23"/>
  <c r="BB108" i="23" s="1"/>
  <c r="AW108" i="23"/>
  <c r="BA108" i="23" s="1"/>
  <c r="AY108" i="23"/>
  <c r="BD108" i="23" s="1"/>
  <c r="AW38" i="23"/>
  <c r="BA38" i="23" s="1"/>
  <c r="AX38" i="23"/>
  <c r="BB38" i="23" s="1"/>
  <c r="AY38" i="23"/>
  <c r="BD38" i="23" s="1"/>
  <c r="E39" i="23"/>
  <c r="C38" i="23"/>
  <c r="O38" i="23" s="1"/>
  <c r="BF38" i="23"/>
  <c r="BE38" i="23"/>
  <c r="S23" i="23"/>
  <c r="T23" i="23" s="1"/>
  <c r="C108" i="23"/>
  <c r="BE108" i="23"/>
  <c r="BF108" i="23"/>
  <c r="E109" i="23"/>
  <c r="AJ49" i="22"/>
  <c r="AK49" i="22" s="1"/>
  <c r="AN16" i="22"/>
  <c r="AL49" i="21"/>
  <c r="AK16" i="22"/>
  <c r="K17" i="29"/>
  <c r="O37" i="25"/>
  <c r="I37" i="25"/>
  <c r="AN49" i="22"/>
  <c r="AG96" i="23"/>
  <c r="AF97" i="23" s="1"/>
  <c r="AE96" i="23"/>
  <c r="AD97" i="23" s="1"/>
  <c r="AT97" i="23" s="1"/>
  <c r="O43" i="2"/>
  <c r="AT16" i="14"/>
  <c r="AV16" i="14" s="1"/>
  <c r="AZ16" i="14" s="1"/>
  <c r="BC16" i="14" s="1"/>
  <c r="AZ15" i="14"/>
  <c r="BC15" i="14" s="1"/>
  <c r="R14" i="15"/>
  <c r="Q15" i="15" s="1"/>
  <c r="AT15" i="15" s="1"/>
  <c r="T27" i="18"/>
  <c r="S28" i="18" s="1"/>
  <c r="T29" i="14"/>
  <c r="S30" i="14" s="1"/>
  <c r="BA16" i="12"/>
  <c r="BD16" i="12" s="1"/>
  <c r="N43" i="2"/>
  <c r="N28" i="18"/>
  <c r="P28" i="18" s="1"/>
  <c r="M29" i="18" s="1"/>
  <c r="N30" i="14"/>
  <c r="AT19" i="18"/>
  <c r="R19" i="18"/>
  <c r="Q20" i="18" s="1"/>
  <c r="AT19" i="13"/>
  <c r="R19" i="13"/>
  <c r="Q20" i="13" s="1"/>
  <c r="N17" i="12"/>
  <c r="T17" i="12" s="1"/>
  <c r="S18" i="12" s="1"/>
  <c r="P14" i="15"/>
  <c r="M15" i="15" s="1"/>
  <c r="N15" i="15" s="1"/>
  <c r="AT17" i="14"/>
  <c r="AV17" i="14" s="1"/>
  <c r="R17" i="14"/>
  <c r="Q18" i="14" s="1"/>
  <c r="AJ40" i="3"/>
  <c r="BF40" i="3" s="1"/>
  <c r="L37" i="14"/>
  <c r="I38" i="14" s="1"/>
  <c r="J38" i="14" s="1"/>
  <c r="AM42" i="3"/>
  <c r="AI39" i="3"/>
  <c r="BE39" i="3" s="1"/>
  <c r="U108" i="14"/>
  <c r="AA108" i="14"/>
  <c r="V108" i="14"/>
  <c r="AB108" i="14"/>
  <c r="I108" i="14"/>
  <c r="AR108" i="14" s="1"/>
  <c r="AB40" i="17"/>
  <c r="O40" i="17"/>
  <c r="O108" i="14"/>
  <c r="V40" i="17"/>
  <c r="V40" i="19"/>
  <c r="U40" i="17"/>
  <c r="O40" i="19"/>
  <c r="AB40" i="19"/>
  <c r="I40" i="19"/>
  <c r="I40" i="17"/>
  <c r="U40" i="19"/>
  <c r="AA40" i="19"/>
  <c r="AA40" i="17"/>
  <c r="E41" i="19"/>
  <c r="AZ40" i="19"/>
  <c r="C40" i="19"/>
  <c r="H19" i="12"/>
  <c r="K39" i="14"/>
  <c r="O39" i="14"/>
  <c r="AU39" i="14"/>
  <c r="AS39" i="14"/>
  <c r="AQ39" i="14"/>
  <c r="AR39" i="16"/>
  <c r="AZ40" i="16"/>
  <c r="C40" i="16"/>
  <c r="E41" i="16"/>
  <c r="BD40" i="16"/>
  <c r="AW40" i="14"/>
  <c r="BA40" i="14" s="1"/>
  <c r="C40" i="14"/>
  <c r="E41" i="14"/>
  <c r="BF40" i="14"/>
  <c r="AY40" i="14"/>
  <c r="BD40" i="14" s="1"/>
  <c r="BE40" i="14"/>
  <c r="AX40" i="14"/>
  <c r="BB40" i="14" s="1"/>
  <c r="AZ39" i="17"/>
  <c r="C39" i="17"/>
  <c r="E40" i="17"/>
  <c r="C39" i="18"/>
  <c r="AZ39" i="18"/>
  <c r="E40" i="18"/>
  <c r="J37" i="18"/>
  <c r="L37" i="18" s="1"/>
  <c r="I38" i="18" s="1"/>
  <c r="AS38" i="18"/>
  <c r="AQ38" i="18"/>
  <c r="O38" i="18"/>
  <c r="K38" i="18"/>
  <c r="AU38" i="18"/>
  <c r="G20" i="14"/>
  <c r="AR20" i="14" s="1"/>
  <c r="AJ18" i="13"/>
  <c r="AK18" i="13" s="1"/>
  <c r="AM18" i="13"/>
  <c r="AN18" i="13" s="1"/>
  <c r="G19" i="13"/>
  <c r="AR19" i="13" s="1"/>
  <c r="AM19" i="18"/>
  <c r="AN19" i="18" s="1"/>
  <c r="E42" i="15"/>
  <c r="C41" i="15"/>
  <c r="AZ41" i="15"/>
  <c r="AJ19" i="18"/>
  <c r="AK19" i="18" s="1"/>
  <c r="G20" i="18"/>
  <c r="AR20" i="18" s="1"/>
  <c r="AX109" i="14"/>
  <c r="BB109" i="14" s="1"/>
  <c r="C109" i="14"/>
  <c r="BE109" i="14"/>
  <c r="AY109" i="14"/>
  <c r="BD109" i="14" s="1"/>
  <c r="E110" i="14"/>
  <c r="AW109" i="14"/>
  <c r="BA109" i="14" s="1"/>
  <c r="BF109" i="14"/>
  <c r="AK19" i="14"/>
  <c r="AN19" i="14"/>
  <c r="AK18" i="12"/>
  <c r="AN18" i="12"/>
  <c r="AI40" i="3"/>
  <c r="BE40" i="3" s="1"/>
  <c r="P46" i="3"/>
  <c r="AW45" i="3"/>
  <c r="Y42" i="3"/>
  <c r="AC41" i="3"/>
  <c r="G44" i="3"/>
  <c r="AV43" i="3"/>
  <c r="AX43" i="3" s="1"/>
  <c r="V43" i="3"/>
  <c r="X43" i="3" s="1"/>
  <c r="AG42" i="3"/>
  <c r="A43" i="3"/>
  <c r="BI43" i="3" s="1"/>
  <c r="BJ43" i="3" s="1"/>
  <c r="BC41" i="3"/>
  <c r="AE42" i="3"/>
  <c r="H42" i="3"/>
  <c r="AF41" i="3"/>
  <c r="AD41" i="3" s="1"/>
  <c r="AH42" i="3"/>
  <c r="BD41" i="3"/>
  <c r="AQ45" i="3"/>
  <c r="L19" i="12" l="1"/>
  <c r="I20" i="12" s="1"/>
  <c r="AG25" i="29"/>
  <c r="AF26" i="29" s="1"/>
  <c r="AJ20" i="21"/>
  <c r="AK20" i="21" s="1"/>
  <c r="F20" i="12"/>
  <c r="G20" i="12" s="1"/>
  <c r="AR20" i="12" s="1"/>
  <c r="AR31" i="12" s="1"/>
  <c r="AM20" i="21"/>
  <c r="AN20" i="21" s="1"/>
  <c r="P53" i="21"/>
  <c r="N52" i="21"/>
  <c r="BA20" i="22"/>
  <c r="AT20" i="13"/>
  <c r="AT31" i="13" s="1"/>
  <c r="R20" i="13"/>
  <c r="Y105" i="23"/>
  <c r="AC105" i="23" s="1"/>
  <c r="X106" i="23" s="1"/>
  <c r="AA106" i="23" s="1"/>
  <c r="Z105" i="23"/>
  <c r="Q86" i="23"/>
  <c r="L87" i="23" s="1"/>
  <c r="P88" i="23" s="1"/>
  <c r="S105" i="23"/>
  <c r="W105" i="23" s="1"/>
  <c r="R106" i="23" s="1"/>
  <c r="U106" i="23" s="1"/>
  <c r="T105" i="23"/>
  <c r="L18" i="24"/>
  <c r="I19" i="24" s="1"/>
  <c r="K19" i="24" s="1"/>
  <c r="M52" i="21"/>
  <c r="AL52" i="21" s="1"/>
  <c r="AU51" i="21"/>
  <c r="AQ51" i="21"/>
  <c r="AS51" i="21"/>
  <c r="O20" i="28"/>
  <c r="P21" i="28"/>
  <c r="M20" i="28"/>
  <c r="N20" i="28"/>
  <c r="O87" i="23"/>
  <c r="AM43" i="3"/>
  <c r="P15" i="24"/>
  <c r="M16" i="24" s="1"/>
  <c r="O16" i="24" s="1"/>
  <c r="T14" i="21"/>
  <c r="S15" i="21" s="1"/>
  <c r="R14" i="21"/>
  <c r="Q15" i="21" s="1"/>
  <c r="R15" i="24"/>
  <c r="Q16" i="24" s="1"/>
  <c r="AT16" i="24" s="1"/>
  <c r="T15" i="24"/>
  <c r="S16" i="24" s="1"/>
  <c r="P14" i="21"/>
  <c r="M15" i="21" s="1"/>
  <c r="N15" i="21" s="1"/>
  <c r="AG14" i="25"/>
  <c r="AF15" i="25" s="1"/>
  <c r="BB43" i="3"/>
  <c r="AR45" i="3"/>
  <c r="AE14" i="25"/>
  <c r="AD15" i="25" s="1"/>
  <c r="AT15" i="25" s="1"/>
  <c r="AW15" i="25" s="1"/>
  <c r="W14" i="25"/>
  <c r="R15" i="25" s="1"/>
  <c r="V15" i="25" s="1"/>
  <c r="AC14" i="25"/>
  <c r="X15" i="25" s="1"/>
  <c r="Y15" i="25" s="1"/>
  <c r="R21" i="23"/>
  <c r="Q22" i="23" s="1"/>
  <c r="AT22" i="23" s="1"/>
  <c r="AK41" i="3"/>
  <c r="BG41" i="3" s="1"/>
  <c r="N34" i="23"/>
  <c r="P34" i="23" s="1"/>
  <c r="M35" i="23" s="1"/>
  <c r="J26" i="23"/>
  <c r="L26" i="23" s="1"/>
  <c r="I27" i="23" s="1"/>
  <c r="P43" i="20"/>
  <c r="AN43" i="20"/>
  <c r="O44" i="20"/>
  <c r="AQ43" i="20"/>
  <c r="AR43" i="20" s="1"/>
  <c r="J27" i="26"/>
  <c r="L27" i="26" s="1"/>
  <c r="I28" i="26" s="1"/>
  <c r="N19" i="26"/>
  <c r="R19" i="26" s="1"/>
  <c r="Q20" i="26" s="1"/>
  <c r="AW48" i="21"/>
  <c r="BA48" i="21" s="1"/>
  <c r="BD48" i="21" s="1"/>
  <c r="AM49" i="21"/>
  <c r="AN49" i="21" s="1"/>
  <c r="L22" i="15"/>
  <c r="I23" i="15" s="1"/>
  <c r="J23" i="15" s="1"/>
  <c r="T25" i="29"/>
  <c r="S25" i="29"/>
  <c r="W25" i="29" s="1"/>
  <c r="R26" i="29" s="1"/>
  <c r="U26" i="29" s="1"/>
  <c r="AT24" i="29"/>
  <c r="AE24" i="29"/>
  <c r="AD25" i="29" s="1"/>
  <c r="AK17" i="29"/>
  <c r="F18" i="29"/>
  <c r="I18" i="29" s="1"/>
  <c r="AR18" i="29" s="1"/>
  <c r="AQ17" i="29"/>
  <c r="AS17" i="29"/>
  <c r="AU17" i="29"/>
  <c r="C39" i="29"/>
  <c r="AZ39" i="29"/>
  <c r="E40" i="29"/>
  <c r="F18" i="26"/>
  <c r="G18" i="26" s="1"/>
  <c r="AR18" i="26" s="1"/>
  <c r="AI17" i="26"/>
  <c r="AJ17" i="26" s="1"/>
  <c r="AK17" i="26" s="1"/>
  <c r="AW17" i="26" s="1"/>
  <c r="K39" i="26"/>
  <c r="O39" i="26"/>
  <c r="AQ39" i="26"/>
  <c r="AS39" i="26"/>
  <c r="AU39" i="26"/>
  <c r="AZ40" i="26"/>
  <c r="C40" i="26"/>
  <c r="E41" i="26"/>
  <c r="T27" i="28"/>
  <c r="S27" i="28"/>
  <c r="AE27" i="28" s="1"/>
  <c r="AD28" i="28" s="1"/>
  <c r="H19" i="28"/>
  <c r="AP19" i="28" s="1"/>
  <c r="J20" i="28"/>
  <c r="G19" i="28"/>
  <c r="AI19" i="28" s="1"/>
  <c r="C40" i="28"/>
  <c r="AZ40" i="28"/>
  <c r="E41" i="28"/>
  <c r="AG24" i="28"/>
  <c r="AF25" i="28" s="1"/>
  <c r="AC24" i="28"/>
  <c r="X25" i="28" s="1"/>
  <c r="AB25" i="28" s="1"/>
  <c r="AU16" i="25"/>
  <c r="AS16" i="25"/>
  <c r="P18" i="25"/>
  <c r="AI16" i="25"/>
  <c r="AJ16" i="25" s="1"/>
  <c r="AK16" i="25" s="1"/>
  <c r="N17" i="25"/>
  <c r="AQ16" i="25"/>
  <c r="AB39" i="25"/>
  <c r="AR39" i="25"/>
  <c r="AA39" i="25"/>
  <c r="U39" i="25"/>
  <c r="V39" i="25"/>
  <c r="BA40" i="25"/>
  <c r="BB40" i="25"/>
  <c r="BC40" i="25"/>
  <c r="G17" i="25"/>
  <c r="AR17" i="25" s="1"/>
  <c r="C40" i="25"/>
  <c r="AZ40" i="25"/>
  <c r="BD40" i="25"/>
  <c r="E41" i="25"/>
  <c r="J18" i="25"/>
  <c r="H17" i="25"/>
  <c r="AS39" i="24"/>
  <c r="AU39" i="24"/>
  <c r="AQ39" i="24"/>
  <c r="C40" i="24"/>
  <c r="AZ40" i="24"/>
  <c r="E41" i="24"/>
  <c r="G16" i="24"/>
  <c r="AJ15" i="24"/>
  <c r="AK15" i="24" s="1"/>
  <c r="AM15" i="24"/>
  <c r="AN15" i="24" s="1"/>
  <c r="AV85" i="23"/>
  <c r="AZ85" i="23" s="1"/>
  <c r="BC85" i="23" s="1"/>
  <c r="G86" i="23"/>
  <c r="K86" i="23" s="1"/>
  <c r="F87" i="23" s="1"/>
  <c r="I87" i="23" s="1"/>
  <c r="AR87" i="23" s="1"/>
  <c r="J87" i="23"/>
  <c r="H86" i="23"/>
  <c r="G18" i="15"/>
  <c r="AR18" i="15" s="1"/>
  <c r="AS41" i="15"/>
  <c r="AU41" i="15"/>
  <c r="K41" i="15"/>
  <c r="AQ41" i="15"/>
  <c r="O41" i="15"/>
  <c r="AW15" i="15"/>
  <c r="K38" i="23"/>
  <c r="AW39" i="23"/>
  <c r="BA39" i="23" s="1"/>
  <c r="AX39" i="23"/>
  <c r="BB39" i="23" s="1"/>
  <c r="AY39" i="23"/>
  <c r="BD39" i="23" s="1"/>
  <c r="BE39" i="23"/>
  <c r="BF39" i="23"/>
  <c r="E40" i="23"/>
  <c r="C39" i="23"/>
  <c r="O39" i="23" s="1"/>
  <c r="AQ38" i="23"/>
  <c r="AS38" i="23"/>
  <c r="AU38" i="23"/>
  <c r="G17" i="23"/>
  <c r="AR17" i="23" s="1"/>
  <c r="AJ16" i="23"/>
  <c r="AK16" i="23" s="1"/>
  <c r="AM16" i="23"/>
  <c r="AN16" i="23" s="1"/>
  <c r="AW109" i="23"/>
  <c r="BA109" i="23" s="1"/>
  <c r="AX109" i="23"/>
  <c r="BB109" i="23" s="1"/>
  <c r="AY109" i="23"/>
  <c r="BD109" i="23" s="1"/>
  <c r="S24" i="23"/>
  <c r="T24" i="23" s="1"/>
  <c r="C109" i="23"/>
  <c r="BE109" i="23"/>
  <c r="BF109" i="23"/>
  <c r="E110" i="23"/>
  <c r="AP49" i="21"/>
  <c r="AW16" i="22"/>
  <c r="AI49" i="21"/>
  <c r="AJ49" i="21" s="1"/>
  <c r="AK17" i="21"/>
  <c r="AN17" i="21"/>
  <c r="AC25" i="29"/>
  <c r="X26" i="29" s="1"/>
  <c r="AW18" i="28"/>
  <c r="AX18" i="28" s="1"/>
  <c r="AY18" i="28" s="1"/>
  <c r="AG97" i="23"/>
  <c r="AF98" i="23" s="1"/>
  <c r="AW49" i="22"/>
  <c r="I38" i="25"/>
  <c r="O38" i="25"/>
  <c r="AE97" i="23"/>
  <c r="AD98" i="23" s="1"/>
  <c r="AT98" i="23" s="1"/>
  <c r="BG16" i="14"/>
  <c r="AW17" i="12"/>
  <c r="T30" i="14"/>
  <c r="S31" i="14" s="1"/>
  <c r="R17" i="12"/>
  <c r="Q18" i="12" s="1"/>
  <c r="AT18" i="12" s="1"/>
  <c r="P17" i="12"/>
  <c r="N29" i="18"/>
  <c r="P29" i="18" s="1"/>
  <c r="M30" i="18" s="1"/>
  <c r="N30" i="18" s="1"/>
  <c r="AT18" i="14"/>
  <c r="AV18" i="14" s="1"/>
  <c r="R18" i="14"/>
  <c r="Q19" i="14" s="1"/>
  <c r="P30" i="14"/>
  <c r="M31" i="14" s="1"/>
  <c r="AT20" i="18"/>
  <c r="R20" i="18"/>
  <c r="Q21" i="18" s="1"/>
  <c r="T28" i="18"/>
  <c r="S29" i="18" s="1"/>
  <c r="BG17" i="14"/>
  <c r="AZ17" i="14"/>
  <c r="BC17" i="14" s="1"/>
  <c r="AJ41" i="3"/>
  <c r="BF41" i="3" s="1"/>
  <c r="L38" i="14"/>
  <c r="I39" i="14" s="1"/>
  <c r="J39" i="14" s="1"/>
  <c r="AA109" i="14"/>
  <c r="I109" i="14"/>
  <c r="AR109" i="14" s="1"/>
  <c r="V109" i="14"/>
  <c r="U109" i="14"/>
  <c r="AB109" i="14"/>
  <c r="O109" i="14"/>
  <c r="V41" i="17"/>
  <c r="U41" i="17"/>
  <c r="AA41" i="19"/>
  <c r="I41" i="19"/>
  <c r="O41" i="17"/>
  <c r="AA41" i="17"/>
  <c r="AB41" i="19"/>
  <c r="I41" i="17"/>
  <c r="V41" i="19"/>
  <c r="U41" i="19"/>
  <c r="O41" i="19"/>
  <c r="AB41" i="17"/>
  <c r="AR40" i="19"/>
  <c r="AL19" i="12"/>
  <c r="AM19" i="12" s="1"/>
  <c r="AI19" i="12"/>
  <c r="C41" i="19"/>
  <c r="E42" i="19"/>
  <c r="AZ41" i="19"/>
  <c r="H19" i="13"/>
  <c r="C41" i="14"/>
  <c r="BE41" i="14"/>
  <c r="BF41" i="14"/>
  <c r="AW41" i="14"/>
  <c r="BA41" i="14" s="1"/>
  <c r="E42" i="14"/>
  <c r="AX41" i="14"/>
  <c r="BB41" i="14" s="1"/>
  <c r="AY41" i="14"/>
  <c r="BD41" i="14" s="1"/>
  <c r="AR40" i="16"/>
  <c r="O40" i="14"/>
  <c r="K40" i="14"/>
  <c r="AQ40" i="14"/>
  <c r="AS40" i="14"/>
  <c r="AU40" i="14"/>
  <c r="BD41" i="16"/>
  <c r="C41" i="16"/>
  <c r="AZ41" i="16"/>
  <c r="E42" i="16"/>
  <c r="J38" i="18"/>
  <c r="L38" i="18" s="1"/>
  <c r="I39" i="18" s="1"/>
  <c r="E41" i="17"/>
  <c r="AZ40" i="17"/>
  <c r="C40" i="17"/>
  <c r="AZ40" i="18"/>
  <c r="C40" i="18"/>
  <c r="E41" i="18"/>
  <c r="H20" i="14"/>
  <c r="K39" i="18"/>
  <c r="AS39" i="18"/>
  <c r="O39" i="18"/>
  <c r="AU39" i="18"/>
  <c r="AQ39" i="18"/>
  <c r="AW18" i="13"/>
  <c r="H20" i="18"/>
  <c r="AW19" i="18"/>
  <c r="AX19" i="18" s="1"/>
  <c r="AY19" i="18" s="1"/>
  <c r="C42" i="15"/>
  <c r="E43" i="15"/>
  <c r="AZ42" i="15"/>
  <c r="BF110" i="14"/>
  <c r="AW110" i="14"/>
  <c r="BA110" i="14" s="1"/>
  <c r="AY110" i="14"/>
  <c r="BD110" i="14" s="1"/>
  <c r="BE110" i="14"/>
  <c r="E111" i="14"/>
  <c r="AX110" i="14"/>
  <c r="BB110" i="14" s="1"/>
  <c r="C110" i="14"/>
  <c r="BC42" i="3"/>
  <c r="AE43" i="3"/>
  <c r="A44" i="3"/>
  <c r="BI44" i="3" s="1"/>
  <c r="BJ44" i="3" s="1"/>
  <c r="Y43" i="3"/>
  <c r="AC42" i="3"/>
  <c r="AH43" i="3"/>
  <c r="BD42" i="3"/>
  <c r="AG43" i="3"/>
  <c r="V44" i="3"/>
  <c r="X44" i="3" s="1"/>
  <c r="G45" i="3"/>
  <c r="AV44" i="3"/>
  <c r="AX44" i="3" s="1"/>
  <c r="AQ46" i="3"/>
  <c r="AN46" i="3"/>
  <c r="H43" i="3"/>
  <c r="AF42" i="3"/>
  <c r="AK42" i="3" s="1"/>
  <c r="AL43" i="3"/>
  <c r="AI41" i="3"/>
  <c r="BE41" i="3" s="1"/>
  <c r="AW46" i="3"/>
  <c r="K20" i="12" l="1"/>
  <c r="J20" i="12"/>
  <c r="M18" i="12"/>
  <c r="O18" i="12"/>
  <c r="L20" i="12"/>
  <c r="K21" i="12" s="1"/>
  <c r="Q52" i="21"/>
  <c r="M53" i="21" s="1"/>
  <c r="AM52" i="21"/>
  <c r="AN52" i="21" s="1"/>
  <c r="AO52" i="21"/>
  <c r="AP52" i="21"/>
  <c r="H20" i="12"/>
  <c r="G21" i="12" s="1"/>
  <c r="F20" i="13"/>
  <c r="G20" i="13" s="1"/>
  <c r="AR20" i="13" s="1"/>
  <c r="AR31" i="13" s="1"/>
  <c r="AI52" i="21"/>
  <c r="Y106" i="23"/>
  <c r="AC106" i="23" s="1"/>
  <c r="X107" i="23" s="1"/>
  <c r="AA107" i="23" s="1"/>
  <c r="Z106" i="23"/>
  <c r="N87" i="23"/>
  <c r="M87" i="23"/>
  <c r="Q87" i="23" s="1"/>
  <c r="L88" i="23" s="1"/>
  <c r="T106" i="23"/>
  <c r="S106" i="23"/>
  <c r="W106" i="23" s="1"/>
  <c r="R107" i="23" s="1"/>
  <c r="U107" i="23" s="1"/>
  <c r="N16" i="24"/>
  <c r="R16" i="24" s="1"/>
  <c r="Q17" i="24" s="1"/>
  <c r="AT17" i="24" s="1"/>
  <c r="J19" i="24"/>
  <c r="L19" i="24" s="1"/>
  <c r="I20" i="24" s="1"/>
  <c r="J20" i="24" s="1"/>
  <c r="T15" i="21"/>
  <c r="S16" i="21" s="1"/>
  <c r="U15" i="25"/>
  <c r="Q18" i="29"/>
  <c r="L19" i="29" s="1"/>
  <c r="N19" i="29" s="1"/>
  <c r="Z26" i="29"/>
  <c r="AA26" i="29"/>
  <c r="AT15" i="21"/>
  <c r="R15" i="21"/>
  <c r="Q16" i="21" s="1"/>
  <c r="O15" i="21"/>
  <c r="P15" i="21" s="1"/>
  <c r="M16" i="21" s="1"/>
  <c r="N16" i="21" s="1"/>
  <c r="AA15" i="25"/>
  <c r="AC15" i="25" s="1"/>
  <c r="X16" i="25" s="1"/>
  <c r="BB44" i="3"/>
  <c r="Z15" i="25"/>
  <c r="S15" i="25"/>
  <c r="T15" i="25"/>
  <c r="AR46" i="3"/>
  <c r="AB15" i="25"/>
  <c r="AM44" i="3"/>
  <c r="R22" i="23"/>
  <c r="Q23" i="23" s="1"/>
  <c r="AT23" i="23" s="1"/>
  <c r="J28" i="26"/>
  <c r="L28" i="26" s="1"/>
  <c r="I29" i="26" s="1"/>
  <c r="N35" i="23"/>
  <c r="P35" i="23" s="1"/>
  <c r="M36" i="23" s="1"/>
  <c r="J27" i="23"/>
  <c r="L27" i="23" s="1"/>
  <c r="I28" i="23" s="1"/>
  <c r="AN44" i="20"/>
  <c r="AQ44" i="20"/>
  <c r="AR44" i="20" s="1"/>
  <c r="O45" i="20"/>
  <c r="P19" i="26"/>
  <c r="M20" i="26" s="1"/>
  <c r="T19" i="26"/>
  <c r="S20" i="26" s="1"/>
  <c r="P44" i="20"/>
  <c r="AT20" i="26"/>
  <c r="BG42" i="3"/>
  <c r="BH48" i="21"/>
  <c r="T26" i="29"/>
  <c r="S26" i="29"/>
  <c r="W26" i="29" s="1"/>
  <c r="R27" i="29" s="1"/>
  <c r="U27" i="29" s="1"/>
  <c r="AT25" i="29"/>
  <c r="AE25" i="29"/>
  <c r="AD26" i="29" s="1"/>
  <c r="L23" i="15"/>
  <c r="I24" i="15" s="1"/>
  <c r="J24" i="15" s="1"/>
  <c r="J19" i="29"/>
  <c r="H18" i="29"/>
  <c r="AP18" i="29" s="1"/>
  <c r="AZ40" i="29"/>
  <c r="C40" i="29"/>
  <c r="E41" i="29"/>
  <c r="G18" i="29"/>
  <c r="AI18" i="29" s="1"/>
  <c r="Y26" i="29"/>
  <c r="H18" i="26"/>
  <c r="AI18" i="26" s="1"/>
  <c r="AJ18" i="26" s="1"/>
  <c r="AK18" i="26" s="1"/>
  <c r="O40" i="26"/>
  <c r="AQ40" i="26"/>
  <c r="AS40" i="26"/>
  <c r="AU40" i="26"/>
  <c r="K40" i="26"/>
  <c r="AZ41" i="26"/>
  <c r="C41" i="26"/>
  <c r="E42" i="26"/>
  <c r="AT28" i="28"/>
  <c r="W27" i="28"/>
  <c r="R28" i="28" s="1"/>
  <c r="V28" i="28" s="1"/>
  <c r="AL19" i="28"/>
  <c r="AM19" i="28" s="1"/>
  <c r="AO19" i="28"/>
  <c r="Z25" i="28"/>
  <c r="Y25" i="28"/>
  <c r="AZ41" i="28"/>
  <c r="C41" i="28"/>
  <c r="E42" i="28"/>
  <c r="AP17" i="25"/>
  <c r="AL17" i="25"/>
  <c r="AA40" i="25"/>
  <c r="AB40" i="25"/>
  <c r="AR40" i="25"/>
  <c r="V40" i="25"/>
  <c r="U40" i="25"/>
  <c r="BA41" i="25"/>
  <c r="BB41" i="25"/>
  <c r="BC41" i="25"/>
  <c r="AW15" i="24"/>
  <c r="AO17" i="25"/>
  <c r="C41" i="25"/>
  <c r="AZ41" i="25"/>
  <c r="BD41" i="25"/>
  <c r="E42" i="25"/>
  <c r="K17" i="25"/>
  <c r="I17" i="25"/>
  <c r="Q17" i="25" s="1"/>
  <c r="L18" i="25" s="1"/>
  <c r="C41" i="24"/>
  <c r="AZ41" i="24"/>
  <c r="E42" i="24"/>
  <c r="AQ40" i="24"/>
  <c r="AS40" i="24"/>
  <c r="AU40" i="24"/>
  <c r="AR16" i="24"/>
  <c r="H16" i="24"/>
  <c r="BG85" i="23"/>
  <c r="H87" i="23"/>
  <c r="G87" i="23"/>
  <c r="K87" i="23" s="1"/>
  <c r="F88" i="23" s="1"/>
  <c r="I88" i="23" s="1"/>
  <c r="AR88" i="23" s="1"/>
  <c r="J88" i="23"/>
  <c r="AU86" i="23"/>
  <c r="AI86" i="23"/>
  <c r="AJ86" i="23" s="1"/>
  <c r="AK86" i="23" s="1"/>
  <c r="AQ86" i="23"/>
  <c r="AL86" i="23"/>
  <c r="AM86" i="23" s="1"/>
  <c r="AN86" i="23" s="1"/>
  <c r="AS86" i="23"/>
  <c r="AP86" i="23"/>
  <c r="AO86" i="23"/>
  <c r="AQ42" i="15"/>
  <c r="AS42" i="15"/>
  <c r="AU42" i="15"/>
  <c r="AV16" i="23"/>
  <c r="AZ16" i="23" s="1"/>
  <c r="BC16" i="23" s="1"/>
  <c r="H18" i="15"/>
  <c r="K39" i="23"/>
  <c r="H17" i="23"/>
  <c r="F18" i="23" s="1"/>
  <c r="G18" i="23" s="1"/>
  <c r="AR18" i="23" s="1"/>
  <c r="AW110" i="23"/>
  <c r="BA110" i="23" s="1"/>
  <c r="AX110" i="23"/>
  <c r="BB110" i="23" s="1"/>
  <c r="AY110" i="23"/>
  <c r="BD110" i="23" s="1"/>
  <c r="AW40" i="23"/>
  <c r="BA40" i="23" s="1"/>
  <c r="AX40" i="23"/>
  <c r="BB40" i="23" s="1"/>
  <c r="AY40" i="23"/>
  <c r="BD40" i="23" s="1"/>
  <c r="E41" i="23"/>
  <c r="C40" i="23"/>
  <c r="O40" i="23" s="1"/>
  <c r="BF40" i="23"/>
  <c r="BE40" i="23"/>
  <c r="AQ39" i="23"/>
  <c r="AS39" i="23"/>
  <c r="AU39" i="23"/>
  <c r="S25" i="23"/>
  <c r="T25" i="23" s="1"/>
  <c r="C110" i="23"/>
  <c r="BE110" i="23"/>
  <c r="BF110" i="23"/>
  <c r="E111" i="23"/>
  <c r="BA49" i="22"/>
  <c r="BH16" i="22"/>
  <c r="BA16" i="22"/>
  <c r="BD16" i="22" s="1"/>
  <c r="AK49" i="21"/>
  <c r="AL50" i="21"/>
  <c r="AK17" i="22"/>
  <c r="AL50" i="22"/>
  <c r="AM50" i="22" s="1"/>
  <c r="AP50" i="22"/>
  <c r="AI50" i="22"/>
  <c r="AJ50" i="22" s="1"/>
  <c r="AW17" i="29"/>
  <c r="K19" i="28"/>
  <c r="O39" i="25"/>
  <c r="I39" i="25"/>
  <c r="AE98" i="23"/>
  <c r="AD99" i="23" s="1"/>
  <c r="AT99" i="23" s="1"/>
  <c r="AW18" i="12"/>
  <c r="BA17" i="12"/>
  <c r="AJ19" i="12"/>
  <c r="P9" i="2" s="1"/>
  <c r="P43" i="2" s="1"/>
  <c r="N18" i="12"/>
  <c r="T18" i="12" s="1"/>
  <c r="S19" i="12" s="1"/>
  <c r="N31" i="14"/>
  <c r="T31" i="14" s="1"/>
  <c r="S32" i="14" s="1"/>
  <c r="R15" i="15"/>
  <c r="Q16" i="15" s="1"/>
  <c r="AT16" i="15" s="1"/>
  <c r="T15" i="15"/>
  <c r="S16" i="15" s="1"/>
  <c r="P15" i="15"/>
  <c r="M16" i="15" s="1"/>
  <c r="N16" i="15" s="1"/>
  <c r="AT19" i="14"/>
  <c r="AV19" i="14" s="1"/>
  <c r="AZ19" i="14" s="1"/>
  <c r="BC19" i="14" s="1"/>
  <c r="R19" i="14"/>
  <c r="Q20" i="14" s="1"/>
  <c r="AT21" i="18"/>
  <c r="R21" i="18"/>
  <c r="Q22" i="18" s="1"/>
  <c r="T29" i="18"/>
  <c r="S30" i="18" s="1"/>
  <c r="T30" i="18" s="1"/>
  <c r="S31" i="18" s="1"/>
  <c r="BG18" i="14"/>
  <c r="AZ18" i="14"/>
  <c r="BC18" i="14" s="1"/>
  <c r="P30" i="18"/>
  <c r="M31" i="18" s="1"/>
  <c r="N31" i="18" s="1"/>
  <c r="L39" i="14"/>
  <c r="I40" i="14" s="1"/>
  <c r="J40" i="14" s="1"/>
  <c r="L40" i="14" s="1"/>
  <c r="I41" i="14" s="1"/>
  <c r="J41" i="14" s="1"/>
  <c r="U110" i="14"/>
  <c r="V110" i="14"/>
  <c r="O110" i="14"/>
  <c r="AA110" i="14"/>
  <c r="AB42" i="17"/>
  <c r="O42" i="17"/>
  <c r="U42" i="17"/>
  <c r="AB42" i="19"/>
  <c r="O42" i="19"/>
  <c r="I42" i="17"/>
  <c r="V42" i="19"/>
  <c r="AB110" i="14"/>
  <c r="AA42" i="17"/>
  <c r="U42" i="19"/>
  <c r="I110" i="14"/>
  <c r="AR110" i="14" s="1"/>
  <c r="V42" i="17"/>
  <c r="AA42" i="19"/>
  <c r="I42" i="19"/>
  <c r="AD42" i="3"/>
  <c r="AJ42" i="3" s="1"/>
  <c r="AR41" i="19"/>
  <c r="C42" i="19"/>
  <c r="E43" i="19"/>
  <c r="AZ42" i="19"/>
  <c r="AL19" i="13"/>
  <c r="AI19" i="13"/>
  <c r="AJ19" i="13" s="1"/>
  <c r="C42" i="16"/>
  <c r="BD42" i="16"/>
  <c r="E43" i="16"/>
  <c r="AZ42" i="16"/>
  <c r="AR41" i="16"/>
  <c r="E43" i="14"/>
  <c r="BF42" i="14"/>
  <c r="BE42" i="14"/>
  <c r="AY42" i="14"/>
  <c r="BD42" i="14" s="1"/>
  <c r="AX42" i="14"/>
  <c r="BB42" i="14" s="1"/>
  <c r="AW42" i="14"/>
  <c r="BA42" i="14" s="1"/>
  <c r="C42" i="14"/>
  <c r="AS41" i="14"/>
  <c r="AQ41" i="14"/>
  <c r="AU41" i="14"/>
  <c r="O41" i="14"/>
  <c r="K41" i="14"/>
  <c r="J39" i="18"/>
  <c r="L39" i="18" s="1"/>
  <c r="I40" i="18" s="1"/>
  <c r="E42" i="17"/>
  <c r="C41" i="17"/>
  <c r="AZ41" i="17"/>
  <c r="F21" i="14"/>
  <c r="AL20" i="14"/>
  <c r="AI20" i="14"/>
  <c r="C41" i="18"/>
  <c r="E42" i="18"/>
  <c r="AZ41" i="18"/>
  <c r="AS40" i="18"/>
  <c r="K40" i="18"/>
  <c r="O40" i="18"/>
  <c r="AQ40" i="18"/>
  <c r="AU40" i="18"/>
  <c r="BA18" i="13"/>
  <c r="AZ43" i="15"/>
  <c r="C43" i="15"/>
  <c r="E44" i="15"/>
  <c r="F21" i="18"/>
  <c r="AL20" i="18"/>
  <c r="AI20" i="18"/>
  <c r="E112" i="14"/>
  <c r="BE111" i="14"/>
  <c r="AX111" i="14"/>
  <c r="BB111" i="14" s="1"/>
  <c r="BF111" i="14"/>
  <c r="AW111" i="14"/>
  <c r="BA111" i="14" s="1"/>
  <c r="C111" i="14"/>
  <c r="AY111" i="14"/>
  <c r="BD111" i="14" s="1"/>
  <c r="AQ47" i="3"/>
  <c r="AH44" i="3"/>
  <c r="BD43" i="3"/>
  <c r="P47" i="3"/>
  <c r="P48" i="3" s="1"/>
  <c r="AL44" i="3"/>
  <c r="AN47" i="3"/>
  <c r="AN48" i="3" s="1"/>
  <c r="AG44" i="3"/>
  <c r="Y44" i="3"/>
  <c r="AC43" i="3"/>
  <c r="BC43" i="3"/>
  <c r="AE44" i="3"/>
  <c r="AW47" i="3"/>
  <c r="AF43" i="3"/>
  <c r="AK43" i="3" s="1"/>
  <c r="H44" i="3"/>
  <c r="G46" i="3"/>
  <c r="AV45" i="3"/>
  <c r="AX45" i="3" s="1"/>
  <c r="V45" i="3"/>
  <c r="X45" i="3" s="1"/>
  <c r="A45" i="3"/>
  <c r="BI45" i="3" s="1"/>
  <c r="BJ45" i="3" s="1"/>
  <c r="J21" i="12" l="1"/>
  <c r="AU52" i="21"/>
  <c r="AQ52" i="21"/>
  <c r="AS52" i="21"/>
  <c r="AJ52" i="21"/>
  <c r="AK52" i="21" s="1"/>
  <c r="AL20" i="12"/>
  <c r="AI20" i="12"/>
  <c r="H20" i="13"/>
  <c r="G21" i="13" s="1"/>
  <c r="K20" i="24"/>
  <c r="L20" i="24" s="1"/>
  <c r="I21" i="24" s="1"/>
  <c r="K21" i="24" s="1"/>
  <c r="Y107" i="23"/>
  <c r="AC107" i="23" s="1"/>
  <c r="X108" i="23" s="1"/>
  <c r="AA108" i="23" s="1"/>
  <c r="Z107" i="23"/>
  <c r="T107" i="23"/>
  <c r="S107" i="23"/>
  <c r="W107" i="23" s="1"/>
  <c r="R108" i="23" s="1"/>
  <c r="U108" i="23" s="1"/>
  <c r="P16" i="24"/>
  <c r="M17" i="24" s="1"/>
  <c r="O17" i="24" s="1"/>
  <c r="T16" i="24"/>
  <c r="S17" i="24" s="1"/>
  <c r="T16" i="21"/>
  <c r="S17" i="21" s="1"/>
  <c r="AG26" i="29"/>
  <c r="AF27" i="29" s="1"/>
  <c r="M19" i="29"/>
  <c r="O19" i="29"/>
  <c r="P20" i="29"/>
  <c r="O88" i="23"/>
  <c r="M88" i="23"/>
  <c r="P89" i="23"/>
  <c r="N88" i="23"/>
  <c r="O16" i="21"/>
  <c r="P16" i="21" s="1"/>
  <c r="M17" i="21" s="1"/>
  <c r="AW15" i="21"/>
  <c r="AT16" i="21"/>
  <c r="R16" i="21"/>
  <c r="Q17" i="21" s="1"/>
  <c r="AG15" i="25"/>
  <c r="AF16" i="25" s="1"/>
  <c r="AE15" i="25"/>
  <c r="AD16" i="25" s="1"/>
  <c r="AT16" i="25" s="1"/>
  <c r="AW16" i="25" s="1"/>
  <c r="BB45" i="3"/>
  <c r="W15" i="25"/>
  <c r="R16" i="25" s="1"/>
  <c r="AR47" i="3"/>
  <c r="Z16" i="25"/>
  <c r="AA16" i="25"/>
  <c r="AB16" i="25"/>
  <c r="Y16" i="25"/>
  <c r="R23" i="23"/>
  <c r="Q24" i="23" s="1"/>
  <c r="AT24" i="23" s="1"/>
  <c r="N36" i="23"/>
  <c r="P36" i="23" s="1"/>
  <c r="M37" i="23" s="1"/>
  <c r="J29" i="26"/>
  <c r="L29" i="26" s="1"/>
  <c r="I30" i="26" s="1"/>
  <c r="AN45" i="20"/>
  <c r="N20" i="26"/>
  <c r="P45" i="20"/>
  <c r="J28" i="23"/>
  <c r="L28" i="23" s="1"/>
  <c r="I29" i="23" s="1"/>
  <c r="O46" i="20"/>
  <c r="AQ45" i="20"/>
  <c r="AR45" i="20" s="1"/>
  <c r="K42" i="15"/>
  <c r="O42" i="15"/>
  <c r="BG43" i="3"/>
  <c r="AM50" i="21"/>
  <c r="AN50" i="21" s="1"/>
  <c r="AT26" i="29"/>
  <c r="AE26" i="29"/>
  <c r="AD27" i="29" s="1"/>
  <c r="T27" i="29"/>
  <c r="S27" i="29"/>
  <c r="W27" i="29" s="1"/>
  <c r="R28" i="29" s="1"/>
  <c r="U28" i="29" s="1"/>
  <c r="L24" i="15"/>
  <c r="I25" i="15" s="1"/>
  <c r="J25" i="15" s="1"/>
  <c r="K18" i="29"/>
  <c r="F19" i="29" s="1"/>
  <c r="C41" i="29"/>
  <c r="AZ41" i="29"/>
  <c r="E42" i="29"/>
  <c r="AJ18" i="29"/>
  <c r="AK18" i="29" s="1"/>
  <c r="AO18" i="29"/>
  <c r="AL18" i="29"/>
  <c r="F19" i="26"/>
  <c r="G19" i="26" s="1"/>
  <c r="AR19" i="26" s="1"/>
  <c r="AL18" i="26"/>
  <c r="AM18" i="26" s="1"/>
  <c r="AN18" i="26" s="1"/>
  <c r="AW18" i="26" s="1"/>
  <c r="AX18" i="26" s="1"/>
  <c r="AY18" i="26" s="1"/>
  <c r="AS41" i="26"/>
  <c r="AU41" i="26"/>
  <c r="AQ41" i="26"/>
  <c r="K41" i="26"/>
  <c r="O41" i="26"/>
  <c r="AZ42" i="26"/>
  <c r="C42" i="26"/>
  <c r="E43" i="26"/>
  <c r="T28" i="28"/>
  <c r="S28" i="28"/>
  <c r="AE28" i="28" s="1"/>
  <c r="AD29" i="28" s="1"/>
  <c r="AS19" i="28"/>
  <c r="AQ19" i="28"/>
  <c r="AU19" i="28"/>
  <c r="AN19" i="28"/>
  <c r="AJ19" i="28"/>
  <c r="AK19" i="28" s="1"/>
  <c r="F20" i="28"/>
  <c r="I20" i="28" s="1"/>
  <c r="Q20" i="28" s="1"/>
  <c r="L21" i="28" s="1"/>
  <c r="AG25" i="28"/>
  <c r="AF26" i="28" s="1"/>
  <c r="AC25" i="28"/>
  <c r="X26" i="28" s="1"/>
  <c r="AB26" i="28" s="1"/>
  <c r="C42" i="28"/>
  <c r="AZ42" i="28"/>
  <c r="E43" i="28"/>
  <c r="V41" i="25"/>
  <c r="AA41" i="25"/>
  <c r="AB41" i="25"/>
  <c r="AR41" i="25"/>
  <c r="U41" i="25"/>
  <c r="BC42" i="25"/>
  <c r="BA42" i="25"/>
  <c r="BB42" i="25"/>
  <c r="AQ17" i="25"/>
  <c r="AS17" i="25"/>
  <c r="AU17" i="25"/>
  <c r="AI17" i="25"/>
  <c r="P19" i="25"/>
  <c r="N18" i="25"/>
  <c r="M18" i="25"/>
  <c r="AM17" i="25"/>
  <c r="AN17" i="25" s="1"/>
  <c r="AZ42" i="25"/>
  <c r="BD42" i="25"/>
  <c r="C42" i="25"/>
  <c r="E43" i="25"/>
  <c r="F18" i="25"/>
  <c r="F17" i="24"/>
  <c r="AI16" i="24"/>
  <c r="AL16" i="24"/>
  <c r="AQ41" i="24"/>
  <c r="AS41" i="24"/>
  <c r="AU41" i="24"/>
  <c r="BG16" i="23"/>
  <c r="AZ42" i="24"/>
  <c r="C42" i="24"/>
  <c r="E43" i="24"/>
  <c r="H88" i="23"/>
  <c r="J89" i="23"/>
  <c r="G88" i="23"/>
  <c r="AI87" i="23"/>
  <c r="AJ87" i="23" s="1"/>
  <c r="AK87" i="23" s="1"/>
  <c r="AP87" i="23"/>
  <c r="AO87" i="23"/>
  <c r="AL87" i="23"/>
  <c r="AM87" i="23" s="1"/>
  <c r="AN87" i="23" s="1"/>
  <c r="AS87" i="23"/>
  <c r="AU87" i="23"/>
  <c r="AQ87" i="23"/>
  <c r="AV86" i="23"/>
  <c r="AI18" i="15"/>
  <c r="AJ18" i="15" s="1"/>
  <c r="AK18" i="15" s="1"/>
  <c r="AL18" i="15"/>
  <c r="AM18" i="15" s="1"/>
  <c r="AN18" i="15" s="1"/>
  <c r="F19" i="15"/>
  <c r="AQ43" i="15"/>
  <c r="AS43" i="15"/>
  <c r="AU43" i="15"/>
  <c r="AL17" i="23"/>
  <c r="AM17" i="23" s="1"/>
  <c r="AN17" i="23" s="1"/>
  <c r="AI17" i="23"/>
  <c r="AJ17" i="23" s="1"/>
  <c r="AK17" i="23" s="1"/>
  <c r="AW41" i="23"/>
  <c r="BA41" i="23" s="1"/>
  <c r="AX41" i="23"/>
  <c r="BB41" i="23" s="1"/>
  <c r="AY41" i="23"/>
  <c r="BD41" i="23" s="1"/>
  <c r="E42" i="23"/>
  <c r="C41" i="23"/>
  <c r="O41" i="23" s="1"/>
  <c r="BF41" i="23"/>
  <c r="BE41" i="23"/>
  <c r="AQ40" i="23"/>
  <c r="AS40" i="23"/>
  <c r="AU40" i="23"/>
  <c r="H18" i="23"/>
  <c r="AW111" i="23"/>
  <c r="BA111" i="23" s="1"/>
  <c r="AX111" i="23"/>
  <c r="BB111" i="23" s="1"/>
  <c r="AY111" i="23"/>
  <c r="BD111" i="23" s="1"/>
  <c r="K40" i="23"/>
  <c r="S26" i="23"/>
  <c r="T26" i="23" s="1"/>
  <c r="S27" i="23" s="1"/>
  <c r="T27" i="23" s="1"/>
  <c r="C111" i="23"/>
  <c r="BE111" i="23"/>
  <c r="BF111" i="23"/>
  <c r="E112" i="23"/>
  <c r="AP50" i="21"/>
  <c r="AW49" i="21"/>
  <c r="AI51" i="22"/>
  <c r="AJ51" i="22" s="1"/>
  <c r="AN17" i="22"/>
  <c r="AW17" i="22" s="1"/>
  <c r="AI50" i="21"/>
  <c r="AC26" i="29"/>
  <c r="X27" i="29" s="1"/>
  <c r="O40" i="25"/>
  <c r="I40" i="25"/>
  <c r="AN50" i="22"/>
  <c r="AK50" i="22"/>
  <c r="AG98" i="23"/>
  <c r="AE99" i="23"/>
  <c r="AD100" i="23" s="1"/>
  <c r="AT100" i="23" s="1"/>
  <c r="BA18" i="12"/>
  <c r="BG19" i="14"/>
  <c r="P18" i="12"/>
  <c r="R18" i="12"/>
  <c r="Q19" i="12" s="1"/>
  <c r="AT19" i="12" s="1"/>
  <c r="P31" i="14"/>
  <c r="M32" i="14" s="1"/>
  <c r="N32" i="14" s="1"/>
  <c r="P32" i="14" s="1"/>
  <c r="M33" i="14" s="1"/>
  <c r="AW16" i="15"/>
  <c r="P16" i="15"/>
  <c r="M17" i="15" s="1"/>
  <c r="N17" i="15" s="1"/>
  <c r="BF42" i="3"/>
  <c r="AT20" i="14"/>
  <c r="R20" i="14"/>
  <c r="Q21" i="14" s="1"/>
  <c r="P31" i="18"/>
  <c r="M32" i="18" s="1"/>
  <c r="N32" i="18" s="1"/>
  <c r="P32" i="18" s="1"/>
  <c r="M33" i="18" s="1"/>
  <c r="N33" i="18" s="1"/>
  <c r="R22" i="18"/>
  <c r="Q23" i="18" s="1"/>
  <c r="AT22" i="18"/>
  <c r="AI42" i="3"/>
  <c r="BE42" i="3" s="1"/>
  <c r="AR42" i="19"/>
  <c r="AA111" i="14"/>
  <c r="I111" i="14"/>
  <c r="AR111" i="14" s="1"/>
  <c r="U111" i="14"/>
  <c r="O111" i="14"/>
  <c r="AB111" i="14"/>
  <c r="V111" i="14"/>
  <c r="V43" i="17"/>
  <c r="O43" i="17"/>
  <c r="U43" i="19"/>
  <c r="AB43" i="17"/>
  <c r="I43" i="17"/>
  <c r="U43" i="17"/>
  <c r="O43" i="19"/>
  <c r="AB43" i="19"/>
  <c r="I43" i="19"/>
  <c r="AA43" i="17"/>
  <c r="AA43" i="19"/>
  <c r="V43" i="19"/>
  <c r="E44" i="19"/>
  <c r="C43" i="19"/>
  <c r="AZ43" i="19"/>
  <c r="AM19" i="13"/>
  <c r="AR42" i="16"/>
  <c r="O42" i="14"/>
  <c r="AU42" i="14"/>
  <c r="AQ42" i="14"/>
  <c r="AS42" i="14"/>
  <c r="K42" i="14"/>
  <c r="L41" i="14"/>
  <c r="I42" i="14" s="1"/>
  <c r="J42" i="14" s="1"/>
  <c r="BE43" i="14"/>
  <c r="BF43" i="14"/>
  <c r="AX43" i="14"/>
  <c r="BB43" i="14" s="1"/>
  <c r="AW43" i="14"/>
  <c r="BA43" i="14" s="1"/>
  <c r="AY43" i="14"/>
  <c r="BD43" i="14" s="1"/>
  <c r="E44" i="14"/>
  <c r="C43" i="14"/>
  <c r="AZ43" i="16"/>
  <c r="BD43" i="16"/>
  <c r="C43" i="16"/>
  <c r="E44" i="16"/>
  <c r="J40" i="18"/>
  <c r="L40" i="18" s="1"/>
  <c r="I41" i="18" s="1"/>
  <c r="AM20" i="14"/>
  <c r="AN20" i="14" s="1"/>
  <c r="E43" i="17"/>
  <c r="AZ42" i="17"/>
  <c r="C42" i="17"/>
  <c r="AU41" i="18"/>
  <c r="K41" i="18"/>
  <c r="O41" i="18"/>
  <c r="AS41" i="18"/>
  <c r="AQ41" i="18"/>
  <c r="C42" i="18"/>
  <c r="AZ42" i="18"/>
  <c r="E43" i="18"/>
  <c r="G21" i="14"/>
  <c r="AR21" i="14" s="1"/>
  <c r="AJ20" i="14"/>
  <c r="AK20" i="14" s="1"/>
  <c r="AK19" i="13"/>
  <c r="AM20" i="18"/>
  <c r="AN20" i="18" s="1"/>
  <c r="E45" i="15"/>
  <c r="C44" i="15"/>
  <c r="AZ44" i="15"/>
  <c r="G21" i="18"/>
  <c r="AR21" i="18" s="1"/>
  <c r="AJ20" i="18"/>
  <c r="AK20" i="18" s="1"/>
  <c r="AY112" i="14"/>
  <c r="BD112" i="14" s="1"/>
  <c r="BF112" i="14"/>
  <c r="E113" i="14"/>
  <c r="AX112" i="14"/>
  <c r="BB112" i="14" s="1"/>
  <c r="BE112" i="14"/>
  <c r="C112" i="14"/>
  <c r="AW112" i="14"/>
  <c r="BA112" i="14" s="1"/>
  <c r="T31" i="18"/>
  <c r="AN19" i="12"/>
  <c r="AK19" i="12"/>
  <c r="BC44" i="3"/>
  <c r="AE45" i="3"/>
  <c r="AG45" i="3"/>
  <c r="AM45" i="3"/>
  <c r="AW48" i="3"/>
  <c r="AD43" i="3"/>
  <c r="O43" i="15" s="1"/>
  <c r="AH45" i="3"/>
  <c r="BD44" i="3"/>
  <c r="V46" i="3"/>
  <c r="X46" i="3" s="1"/>
  <c r="G47" i="3"/>
  <c r="AV46" i="3"/>
  <c r="AX46" i="3" s="1"/>
  <c r="AN49" i="3"/>
  <c r="AQ48" i="3"/>
  <c r="A46" i="3"/>
  <c r="BI46" i="3" s="1"/>
  <c r="BJ46" i="3" s="1"/>
  <c r="H45" i="3"/>
  <c r="AF44" i="3"/>
  <c r="AK44" i="3" s="1"/>
  <c r="Y45" i="3"/>
  <c r="AC44" i="3"/>
  <c r="AL45" i="3"/>
  <c r="M19" i="12" l="1"/>
  <c r="N19" i="12" s="1"/>
  <c r="T19" i="12" s="1"/>
  <c r="S20" i="12" s="1"/>
  <c r="O19" i="12"/>
  <c r="AW52" i="21"/>
  <c r="BA52" i="21" s="1"/>
  <c r="AI20" i="13"/>
  <c r="AL20" i="13"/>
  <c r="AM20" i="12"/>
  <c r="AL31" i="12"/>
  <c r="AJ20" i="12"/>
  <c r="AJ31" i="12" s="1"/>
  <c r="AI31" i="12"/>
  <c r="Z108" i="23"/>
  <c r="Y108" i="23"/>
  <c r="AC108" i="23" s="1"/>
  <c r="X109" i="23" s="1"/>
  <c r="AA109" i="23" s="1"/>
  <c r="T108" i="23"/>
  <c r="S108" i="23"/>
  <c r="W108" i="23" s="1"/>
  <c r="R109" i="23" s="1"/>
  <c r="U109" i="23" s="1"/>
  <c r="N17" i="24"/>
  <c r="P17" i="24" s="1"/>
  <c r="M18" i="24" s="1"/>
  <c r="N18" i="24" s="1"/>
  <c r="J21" i="24"/>
  <c r="L21" i="24" s="1"/>
  <c r="I22" i="24" s="1"/>
  <c r="J22" i="24" s="1"/>
  <c r="AI88" i="23"/>
  <c r="AJ88" i="23" s="1"/>
  <c r="AK88" i="23" s="1"/>
  <c r="Z27" i="29"/>
  <c r="AA27" i="29"/>
  <c r="AE27" i="29" s="1"/>
  <c r="AD28" i="29" s="1"/>
  <c r="Q88" i="23"/>
  <c r="L89" i="23" s="1"/>
  <c r="O21" i="28"/>
  <c r="N21" i="28"/>
  <c r="P22" i="28"/>
  <c r="M21" i="28"/>
  <c r="J20" i="29"/>
  <c r="I19" i="29"/>
  <c r="N17" i="21"/>
  <c r="T17" i="21" s="1"/>
  <c r="S18" i="21" s="1"/>
  <c r="O17" i="21"/>
  <c r="BA15" i="21"/>
  <c r="BD15" i="21" s="1"/>
  <c r="BH15" i="21"/>
  <c r="AW16" i="21"/>
  <c r="AT17" i="21"/>
  <c r="T16" i="25"/>
  <c r="U16" i="25"/>
  <c r="BB46" i="3"/>
  <c r="S16" i="25"/>
  <c r="V16" i="25"/>
  <c r="AG16" i="25" s="1"/>
  <c r="AF17" i="25" s="1"/>
  <c r="AR48" i="3"/>
  <c r="R24" i="23"/>
  <c r="Q25" i="23" s="1"/>
  <c r="AT25" i="23" s="1"/>
  <c r="AJ43" i="3"/>
  <c r="BF43" i="3" s="1"/>
  <c r="K43" i="15"/>
  <c r="J30" i="26"/>
  <c r="L30" i="26" s="1"/>
  <c r="I31" i="26" s="1"/>
  <c r="J29" i="23"/>
  <c r="L29" i="23" s="1"/>
  <c r="I30" i="23" s="1"/>
  <c r="N37" i="23"/>
  <c r="P37" i="23" s="1"/>
  <c r="M38" i="23" s="1"/>
  <c r="N38" i="23" s="1"/>
  <c r="P38" i="23" s="1"/>
  <c r="M39" i="23" s="1"/>
  <c r="N39" i="23" s="1"/>
  <c r="P39" i="23" s="1"/>
  <c r="M40" i="23" s="1"/>
  <c r="N40" i="23" s="1"/>
  <c r="P40" i="23" s="1"/>
  <c r="M41" i="23" s="1"/>
  <c r="N41" i="23" s="1"/>
  <c r="P46" i="20"/>
  <c r="AQ46" i="20"/>
  <c r="AR46" i="20" s="1"/>
  <c r="O47" i="20"/>
  <c r="AN46" i="20"/>
  <c r="T20" i="26"/>
  <c r="S21" i="26" s="1"/>
  <c r="R20" i="26"/>
  <c r="Q21" i="26" s="1"/>
  <c r="P20" i="26"/>
  <c r="M21" i="26" s="1"/>
  <c r="N21" i="26" s="1"/>
  <c r="P21" i="26" s="1"/>
  <c r="M22" i="26" s="1"/>
  <c r="BG44" i="3"/>
  <c r="AJ50" i="21"/>
  <c r="AK50" i="21" s="1"/>
  <c r="BA49" i="21"/>
  <c r="AQ18" i="29"/>
  <c r="H19" i="29"/>
  <c r="AP19" i="29" s="1"/>
  <c r="T28" i="29"/>
  <c r="S28" i="29"/>
  <c r="W28" i="29" s="1"/>
  <c r="R29" i="29" s="1"/>
  <c r="U29" i="29" s="1"/>
  <c r="AT27" i="29"/>
  <c r="L25" i="15"/>
  <c r="I26" i="15" s="1"/>
  <c r="J26" i="15" s="1"/>
  <c r="AU18" i="29"/>
  <c r="AS18" i="29"/>
  <c r="AM18" i="29"/>
  <c r="AN18" i="29" s="1"/>
  <c r="AZ42" i="29"/>
  <c r="C42" i="29"/>
  <c r="E43" i="29"/>
  <c r="Y27" i="29"/>
  <c r="G19" i="29"/>
  <c r="AL19" i="29" s="1"/>
  <c r="AM19" i="29" s="1"/>
  <c r="H19" i="26"/>
  <c r="O42" i="26"/>
  <c r="K42" i="26"/>
  <c r="AS42" i="26"/>
  <c r="AU42" i="26"/>
  <c r="AQ42" i="26"/>
  <c r="C43" i="26"/>
  <c r="AZ43" i="26"/>
  <c r="E44" i="26"/>
  <c r="W28" i="28"/>
  <c r="R29" i="28" s="1"/>
  <c r="V29" i="28" s="1"/>
  <c r="AT29" i="28"/>
  <c r="J21" i="28"/>
  <c r="H20" i="28"/>
  <c r="AP20" i="28" s="1"/>
  <c r="G20" i="28"/>
  <c r="AL20" i="28" s="1"/>
  <c r="Z26" i="28"/>
  <c r="Y26" i="28"/>
  <c r="AZ43" i="28"/>
  <c r="C43" i="28"/>
  <c r="E44" i="28"/>
  <c r="G18" i="25"/>
  <c r="AR18" i="25" s="1"/>
  <c r="U42" i="25"/>
  <c r="V42" i="25"/>
  <c r="AA42" i="25"/>
  <c r="AB42" i="25"/>
  <c r="AR42" i="25"/>
  <c r="BC43" i="25"/>
  <c r="BB43" i="25"/>
  <c r="BA43" i="25"/>
  <c r="C43" i="25"/>
  <c r="AZ43" i="25"/>
  <c r="BD43" i="25"/>
  <c r="E44" i="25"/>
  <c r="H18" i="25"/>
  <c r="AP18" i="25" s="1"/>
  <c r="J19" i="25"/>
  <c r="AJ17" i="25"/>
  <c r="AK17" i="25" s="1"/>
  <c r="G17" i="24"/>
  <c r="AR17" i="24" s="1"/>
  <c r="AJ16" i="24"/>
  <c r="AK16" i="24" s="1"/>
  <c r="AM16" i="24"/>
  <c r="AN16" i="24" s="1"/>
  <c r="AQ42" i="24"/>
  <c r="AS42" i="24"/>
  <c r="AU42" i="24"/>
  <c r="C43" i="24"/>
  <c r="AZ43" i="24"/>
  <c r="E44" i="24"/>
  <c r="K88" i="23"/>
  <c r="AV87" i="23"/>
  <c r="AV17" i="23"/>
  <c r="AZ17" i="23" s="1"/>
  <c r="BC17" i="23" s="1"/>
  <c r="BG86" i="23"/>
  <c r="AZ86" i="23"/>
  <c r="BC86" i="23" s="1"/>
  <c r="AP88" i="23"/>
  <c r="AO88" i="23"/>
  <c r="AL88" i="23"/>
  <c r="AM88" i="23" s="1"/>
  <c r="AN88" i="23" s="1"/>
  <c r="G19" i="15"/>
  <c r="AQ44" i="15"/>
  <c r="AS44" i="15"/>
  <c r="AU44" i="15"/>
  <c r="K41" i="23"/>
  <c r="AX112" i="23"/>
  <c r="BB112" i="23" s="1"/>
  <c r="AW112" i="23"/>
  <c r="BA112" i="23" s="1"/>
  <c r="AY112" i="23"/>
  <c r="BD112" i="23" s="1"/>
  <c r="F19" i="23"/>
  <c r="AL18" i="23"/>
  <c r="AI18" i="23"/>
  <c r="AW42" i="23"/>
  <c r="BA42" i="23" s="1"/>
  <c r="AX42" i="23"/>
  <c r="BB42" i="23" s="1"/>
  <c r="AY42" i="23"/>
  <c r="BD42" i="23" s="1"/>
  <c r="BF42" i="23"/>
  <c r="BE42" i="23"/>
  <c r="E43" i="23"/>
  <c r="C42" i="23"/>
  <c r="O42" i="23" s="1"/>
  <c r="AS41" i="23"/>
  <c r="AU41" i="23"/>
  <c r="AQ41" i="23"/>
  <c r="S28" i="23"/>
  <c r="T28" i="23" s="1"/>
  <c r="S29" i="23" s="1"/>
  <c r="T29" i="23" s="1"/>
  <c r="AF99" i="23"/>
  <c r="AG99" i="23" s="1"/>
  <c r="AF100" i="23" s="1"/>
  <c r="AG100" i="23" s="1"/>
  <c r="AF101" i="23" s="1"/>
  <c r="C112" i="23"/>
  <c r="BE112" i="23"/>
  <c r="BF112" i="23"/>
  <c r="E113" i="23"/>
  <c r="BA17" i="22"/>
  <c r="AQ63" i="22"/>
  <c r="AI63" i="22"/>
  <c r="AK51" i="22"/>
  <c r="AK63" i="22" s="1"/>
  <c r="AO63" i="22"/>
  <c r="AP51" i="22"/>
  <c r="AP63" i="22" s="1"/>
  <c r="AL51" i="22"/>
  <c r="AK18" i="21"/>
  <c r="AR31" i="21"/>
  <c r="AN18" i="21"/>
  <c r="AW19" i="28"/>
  <c r="AX19" i="28" s="1"/>
  <c r="AY19" i="28" s="1"/>
  <c r="AW50" i="22"/>
  <c r="O41" i="25"/>
  <c r="I41" i="25"/>
  <c r="AE100" i="23"/>
  <c r="AD101" i="23" s="1"/>
  <c r="AT101" i="23" s="1"/>
  <c r="R16" i="15"/>
  <c r="Q17" i="15" s="1"/>
  <c r="AT17" i="15" s="1"/>
  <c r="R19" i="12"/>
  <c r="Q20" i="12" s="1"/>
  <c r="AT20" i="12" s="1"/>
  <c r="P17" i="15"/>
  <c r="M18" i="15" s="1"/>
  <c r="N18" i="15" s="1"/>
  <c r="T16" i="15"/>
  <c r="S17" i="15" s="1"/>
  <c r="T32" i="14"/>
  <c r="S33" i="14" s="1"/>
  <c r="AT21" i="14"/>
  <c r="R21" i="14"/>
  <c r="Q22" i="14" s="1"/>
  <c r="N33" i="14"/>
  <c r="P33" i="14" s="1"/>
  <c r="M34" i="14" s="1"/>
  <c r="AT23" i="18"/>
  <c r="R23" i="18"/>
  <c r="Q24" i="18" s="1"/>
  <c r="AR43" i="19"/>
  <c r="AD44" i="3"/>
  <c r="O44" i="15" s="1"/>
  <c r="AI43" i="3"/>
  <c r="BE43" i="3" s="1"/>
  <c r="U112" i="14"/>
  <c r="O112" i="14"/>
  <c r="AB112" i="14"/>
  <c r="I112" i="14"/>
  <c r="AR112" i="14" s="1"/>
  <c r="V112" i="14"/>
  <c r="AA112" i="14"/>
  <c r="AB44" i="17"/>
  <c r="O44" i="17"/>
  <c r="I44" i="17"/>
  <c r="V44" i="19"/>
  <c r="AA44" i="17"/>
  <c r="AA44" i="19"/>
  <c r="V44" i="17"/>
  <c r="U44" i="19"/>
  <c r="I44" i="19"/>
  <c r="U44" i="17"/>
  <c r="O44" i="19"/>
  <c r="AB44" i="19"/>
  <c r="AZ44" i="19"/>
  <c r="C44" i="19"/>
  <c r="E45" i="19"/>
  <c r="L42" i="14"/>
  <c r="I43" i="14" s="1"/>
  <c r="J43" i="14" s="1"/>
  <c r="AN19" i="13"/>
  <c r="H21" i="14"/>
  <c r="AI21" i="14" s="1"/>
  <c r="AJ21" i="14" s="1"/>
  <c r="AK21" i="14" s="1"/>
  <c r="AR43" i="16"/>
  <c r="C44" i="14"/>
  <c r="E45" i="14"/>
  <c r="BF44" i="14"/>
  <c r="AY44" i="14"/>
  <c r="BD44" i="14" s="1"/>
  <c r="AW44" i="14"/>
  <c r="BA44" i="14" s="1"/>
  <c r="AX44" i="14"/>
  <c r="BB44" i="14" s="1"/>
  <c r="BE44" i="14"/>
  <c r="C44" i="16"/>
  <c r="BD44" i="16"/>
  <c r="E45" i="16"/>
  <c r="AZ44" i="16"/>
  <c r="K43" i="14"/>
  <c r="AU43" i="14"/>
  <c r="AQ43" i="14"/>
  <c r="AS43" i="14"/>
  <c r="O43" i="14"/>
  <c r="J41" i="18"/>
  <c r="L41" i="18" s="1"/>
  <c r="I42" i="18" s="1"/>
  <c r="AV20" i="14"/>
  <c r="E44" i="18"/>
  <c r="AZ43" i="18"/>
  <c r="C43" i="18"/>
  <c r="AU42" i="18"/>
  <c r="K42" i="18"/>
  <c r="AS42" i="18"/>
  <c r="O42" i="18"/>
  <c r="AQ42" i="18"/>
  <c r="AZ43" i="17"/>
  <c r="C43" i="17"/>
  <c r="E44" i="17"/>
  <c r="H21" i="18"/>
  <c r="F22" i="18" s="1"/>
  <c r="G22" i="18" s="1"/>
  <c r="AR22" i="18" s="1"/>
  <c r="AW20" i="18"/>
  <c r="AX20" i="18" s="1"/>
  <c r="AY20" i="18" s="1"/>
  <c r="E46" i="15"/>
  <c r="AZ45" i="15"/>
  <c r="C45" i="15"/>
  <c r="AX113" i="14"/>
  <c r="BB113" i="14" s="1"/>
  <c r="C113" i="14"/>
  <c r="E114" i="14"/>
  <c r="AW113" i="14"/>
  <c r="BA113" i="14" s="1"/>
  <c r="BF113" i="14"/>
  <c r="AY113" i="14"/>
  <c r="BD113" i="14" s="1"/>
  <c r="BE113" i="14"/>
  <c r="S32" i="18"/>
  <c r="T32" i="18" s="1"/>
  <c r="S33" i="18" s="1"/>
  <c r="T33" i="18" s="1"/>
  <c r="S34" i="18" s="1"/>
  <c r="Y46" i="3"/>
  <c r="AC45" i="3"/>
  <c r="G48" i="3"/>
  <c r="AV47" i="3"/>
  <c r="AX47" i="3" s="1"/>
  <c r="V47" i="3"/>
  <c r="X47" i="3" s="1"/>
  <c r="AW49" i="3"/>
  <c r="AG46" i="3"/>
  <c r="AL46" i="3"/>
  <c r="AF45" i="3"/>
  <c r="AD45" i="3" s="1"/>
  <c r="H46" i="3"/>
  <c r="AQ49" i="3"/>
  <c r="BD45" i="3"/>
  <c r="AH46" i="3"/>
  <c r="AM46" i="3"/>
  <c r="BC45" i="3"/>
  <c r="AE46" i="3"/>
  <c r="A47" i="3"/>
  <c r="BI47" i="3" s="1"/>
  <c r="BJ47" i="3" s="1"/>
  <c r="P49" i="3"/>
  <c r="P19" i="12" l="1"/>
  <c r="O20" i="12" s="1"/>
  <c r="AK20" i="12"/>
  <c r="AK31" i="12" s="1"/>
  <c r="M20" i="12"/>
  <c r="AN20" i="12"/>
  <c r="AN31" i="12" s="1"/>
  <c r="AM31" i="12"/>
  <c r="AJ20" i="13"/>
  <c r="AI31" i="13"/>
  <c r="AM20" i="13"/>
  <c r="AM31" i="13" s="1"/>
  <c r="AL31" i="13"/>
  <c r="O18" i="24"/>
  <c r="P18" i="24" s="1"/>
  <c r="M19" i="24" s="1"/>
  <c r="O19" i="24" s="1"/>
  <c r="K22" i="24"/>
  <c r="L22" i="24" s="1"/>
  <c r="I23" i="24" s="1"/>
  <c r="Z109" i="23"/>
  <c r="Y109" i="23"/>
  <c r="AC109" i="23" s="1"/>
  <c r="X110" i="23" s="1"/>
  <c r="AA110" i="23" s="1"/>
  <c r="T109" i="23"/>
  <c r="S109" i="23"/>
  <c r="W109" i="23" s="1"/>
  <c r="R110" i="23" s="1"/>
  <c r="U110" i="23" s="1"/>
  <c r="R17" i="24"/>
  <c r="Q18" i="24" s="1"/>
  <c r="AT18" i="24" s="1"/>
  <c r="T17" i="24"/>
  <c r="S18" i="24" s="1"/>
  <c r="T18" i="24" s="1"/>
  <c r="S19" i="24" s="1"/>
  <c r="AR19" i="29"/>
  <c r="Q19" i="29"/>
  <c r="L20" i="29" s="1"/>
  <c r="O89" i="23"/>
  <c r="N89" i="23"/>
  <c r="M89" i="23"/>
  <c r="P90" i="23"/>
  <c r="AG27" i="29"/>
  <c r="AF28" i="29" s="1"/>
  <c r="P17" i="21"/>
  <c r="M18" i="21" s="1"/>
  <c r="BA16" i="21"/>
  <c r="BD16" i="21" s="1"/>
  <c r="BH16" i="21"/>
  <c r="AW17" i="21"/>
  <c r="R17" i="21"/>
  <c r="Q18" i="21" s="1"/>
  <c r="BB47" i="3"/>
  <c r="W16" i="25"/>
  <c r="R17" i="25" s="1"/>
  <c r="AE16" i="25"/>
  <c r="AD17" i="25" s="1"/>
  <c r="AT17" i="25" s="1"/>
  <c r="AW17" i="25" s="1"/>
  <c r="AC16" i="25"/>
  <c r="X17" i="25" s="1"/>
  <c r="Y17" i="25" s="1"/>
  <c r="AR49" i="3"/>
  <c r="P47" i="20"/>
  <c r="AL47" i="3"/>
  <c r="AR44" i="19"/>
  <c r="AM47" i="3"/>
  <c r="R25" i="23"/>
  <c r="Q26" i="23" s="1"/>
  <c r="AT26" i="23" s="1"/>
  <c r="T21" i="26"/>
  <c r="S22" i="26" s="1"/>
  <c r="AN47" i="20"/>
  <c r="AK45" i="3"/>
  <c r="BG45" i="3" s="1"/>
  <c r="J31" i="26"/>
  <c r="L31" i="26" s="1"/>
  <c r="I32" i="26" s="1"/>
  <c r="J30" i="23"/>
  <c r="L30" i="23" s="1"/>
  <c r="I31" i="23" s="1"/>
  <c r="K44" i="15"/>
  <c r="O48" i="20"/>
  <c r="AQ47" i="20"/>
  <c r="AR47" i="20" s="1"/>
  <c r="AT21" i="26"/>
  <c r="R21" i="26"/>
  <c r="Q22" i="26" s="1"/>
  <c r="N22" i="26"/>
  <c r="K19" i="29"/>
  <c r="F20" i="29" s="1"/>
  <c r="I20" i="29" s="1"/>
  <c r="AR20" i="29" s="1"/>
  <c r="L26" i="15"/>
  <c r="I27" i="15" s="1"/>
  <c r="J27" i="15" s="1"/>
  <c r="T29" i="29"/>
  <c r="S29" i="29"/>
  <c r="W29" i="29" s="1"/>
  <c r="R30" i="29" s="1"/>
  <c r="U30" i="29" s="1"/>
  <c r="AW18" i="29"/>
  <c r="AX18" i="29" s="1"/>
  <c r="AY18" i="29" s="1"/>
  <c r="AT28" i="29"/>
  <c r="C43" i="29"/>
  <c r="AZ43" i="29"/>
  <c r="E44" i="29"/>
  <c r="AO19" i="29"/>
  <c r="AI19" i="29"/>
  <c r="AJ19" i="29" s="1"/>
  <c r="K43" i="26"/>
  <c r="O43" i="26"/>
  <c r="AQ43" i="26"/>
  <c r="AS43" i="26"/>
  <c r="AU43" i="26"/>
  <c r="F20" i="26"/>
  <c r="AL19" i="26"/>
  <c r="AI19" i="26"/>
  <c r="AJ19" i="26" s="1"/>
  <c r="AK19" i="26" s="1"/>
  <c r="C44" i="26"/>
  <c r="AZ44" i="26"/>
  <c r="E45" i="26"/>
  <c r="T29" i="28"/>
  <c r="S29" i="28"/>
  <c r="AE29" i="28" s="1"/>
  <c r="AD30" i="28" s="1"/>
  <c r="AO20" i="28"/>
  <c r="AI20" i="28"/>
  <c r="AJ20" i="28" s="1"/>
  <c r="AM20" i="28"/>
  <c r="AN20" i="28" s="1"/>
  <c r="C44" i="28"/>
  <c r="AZ44" i="28"/>
  <c r="E45" i="28"/>
  <c r="AG26" i="28"/>
  <c r="AF27" i="28" s="1"/>
  <c r="AC26" i="28"/>
  <c r="X27" i="28" s="1"/>
  <c r="AB27" i="28" s="1"/>
  <c r="AL18" i="25"/>
  <c r="AW16" i="24"/>
  <c r="U43" i="25"/>
  <c r="V43" i="25"/>
  <c r="AA43" i="25"/>
  <c r="AB43" i="25"/>
  <c r="AR43" i="25"/>
  <c r="BB44" i="25"/>
  <c r="BC44" i="25"/>
  <c r="BA44" i="25"/>
  <c r="AO18" i="25"/>
  <c r="AZ44" i="25"/>
  <c r="BD44" i="25"/>
  <c r="C44" i="25"/>
  <c r="E45" i="25"/>
  <c r="K18" i="25"/>
  <c r="I18" i="25"/>
  <c r="Q18" i="25" s="1"/>
  <c r="L19" i="25" s="1"/>
  <c r="P41" i="23"/>
  <c r="M42" i="23" s="1"/>
  <c r="AQ43" i="24"/>
  <c r="AU43" i="24"/>
  <c r="AS43" i="24"/>
  <c r="C44" i="24"/>
  <c r="AZ44" i="24"/>
  <c r="E45" i="24"/>
  <c r="H17" i="24"/>
  <c r="BG17" i="23"/>
  <c r="F89" i="23"/>
  <c r="I89" i="23" s="1"/>
  <c r="AR89" i="23" s="1"/>
  <c r="AS88" i="23"/>
  <c r="AQ88" i="23"/>
  <c r="AU88" i="23"/>
  <c r="AZ87" i="23"/>
  <c r="BC87" i="23" s="1"/>
  <c r="BG87" i="23"/>
  <c r="AR19" i="15"/>
  <c r="H19" i="15"/>
  <c r="AS45" i="15"/>
  <c r="AU45" i="15"/>
  <c r="K45" i="15"/>
  <c r="AQ45" i="15"/>
  <c r="O45" i="15"/>
  <c r="AW17" i="15"/>
  <c r="K42" i="23"/>
  <c r="AW113" i="23"/>
  <c r="BA113" i="23" s="1"/>
  <c r="AX113" i="23"/>
  <c r="BB113" i="23" s="1"/>
  <c r="AY113" i="23"/>
  <c r="BD113" i="23" s="1"/>
  <c r="G19" i="23"/>
  <c r="AR19" i="23" s="1"/>
  <c r="AW43" i="23"/>
  <c r="BA43" i="23" s="1"/>
  <c r="AX43" i="23"/>
  <c r="BB43" i="23" s="1"/>
  <c r="AY43" i="23"/>
  <c r="BD43" i="23" s="1"/>
  <c r="E44" i="23"/>
  <c r="C43" i="23"/>
  <c r="O43" i="23" s="1"/>
  <c r="BF43" i="23"/>
  <c r="BE43" i="23"/>
  <c r="AM18" i="23"/>
  <c r="AN18" i="23" s="1"/>
  <c r="AS42" i="23"/>
  <c r="AU42" i="23"/>
  <c r="AQ42" i="23"/>
  <c r="AJ18" i="23"/>
  <c r="AK18" i="23" s="1"/>
  <c r="S30" i="23"/>
  <c r="T30" i="23" s="1"/>
  <c r="S31" i="23" s="1"/>
  <c r="T31" i="23" s="1"/>
  <c r="S32" i="23" s="1"/>
  <c r="T32" i="23" s="1"/>
  <c r="S33" i="23" s="1"/>
  <c r="T33" i="23" s="1"/>
  <c r="S34" i="23" s="1"/>
  <c r="T34" i="23" s="1"/>
  <c r="S35" i="23" s="1"/>
  <c r="T35" i="23" s="1"/>
  <c r="S36" i="23" s="1"/>
  <c r="C113" i="23"/>
  <c r="BE113" i="23"/>
  <c r="BF113" i="23"/>
  <c r="E114" i="23"/>
  <c r="BA50" i="22"/>
  <c r="AM51" i="22"/>
  <c r="AM63" i="22" s="1"/>
  <c r="AJ63" i="22"/>
  <c r="AU63" i="22"/>
  <c r="AS63" i="22"/>
  <c r="AL63" i="22"/>
  <c r="AR31" i="22"/>
  <c r="AK18" i="22"/>
  <c r="AW50" i="21"/>
  <c r="AN19" i="29"/>
  <c r="K20" i="28"/>
  <c r="AC27" i="29"/>
  <c r="X28" i="29" s="1"/>
  <c r="O42" i="25"/>
  <c r="I42" i="25"/>
  <c r="AE101" i="23"/>
  <c r="AD102" i="23" s="1"/>
  <c r="AT102" i="23" s="1"/>
  <c r="AG101" i="23"/>
  <c r="AF102" i="23" s="1"/>
  <c r="AT31" i="12"/>
  <c r="AW19" i="12"/>
  <c r="P18" i="15"/>
  <c r="M19" i="15" s="1"/>
  <c r="N19" i="15" s="1"/>
  <c r="N34" i="14"/>
  <c r="P34" i="14" s="1"/>
  <c r="M35" i="14" s="1"/>
  <c r="T17" i="15"/>
  <c r="S18" i="15" s="1"/>
  <c r="AJ44" i="3"/>
  <c r="BF44" i="3" s="1"/>
  <c r="R17" i="15"/>
  <c r="Q18" i="15" s="1"/>
  <c r="AT18" i="15" s="1"/>
  <c r="AJ45" i="3"/>
  <c r="BF45" i="3" s="1"/>
  <c r="R24" i="18"/>
  <c r="Q25" i="18" s="1"/>
  <c r="AT24" i="18"/>
  <c r="AT22" i="14"/>
  <c r="R22" i="14"/>
  <c r="Q23" i="14" s="1"/>
  <c r="AI44" i="3"/>
  <c r="BE44" i="3" s="1"/>
  <c r="AA113" i="14"/>
  <c r="I113" i="14"/>
  <c r="AR113" i="14" s="1"/>
  <c r="O113" i="14"/>
  <c r="AB113" i="14"/>
  <c r="V113" i="14"/>
  <c r="V45" i="17"/>
  <c r="AB45" i="17"/>
  <c r="I45" i="17"/>
  <c r="AA45" i="19"/>
  <c r="I45" i="19"/>
  <c r="U113" i="14"/>
  <c r="AA45" i="17"/>
  <c r="O45" i="17"/>
  <c r="U45" i="19"/>
  <c r="O45" i="19"/>
  <c r="V45" i="19"/>
  <c r="U45" i="17"/>
  <c r="AB45" i="19"/>
  <c r="E46" i="19"/>
  <c r="C45" i="19"/>
  <c r="AZ45" i="19"/>
  <c r="AW19" i="13"/>
  <c r="BA19" i="13" s="1"/>
  <c r="L43" i="14"/>
  <c r="I44" i="14" s="1"/>
  <c r="J44" i="14" s="1"/>
  <c r="F22" i="14"/>
  <c r="G22" i="14" s="1"/>
  <c r="AR22" i="14" s="1"/>
  <c r="AL21" i="14"/>
  <c r="AR44" i="16"/>
  <c r="K44" i="14"/>
  <c r="AS44" i="14"/>
  <c r="AU44" i="14"/>
  <c r="AQ44" i="14"/>
  <c r="O44" i="14"/>
  <c r="BD45" i="16"/>
  <c r="E46" i="16"/>
  <c r="AZ45" i="16"/>
  <c r="C45" i="16"/>
  <c r="AY45" i="14"/>
  <c r="BD45" i="14" s="1"/>
  <c r="E46" i="14"/>
  <c r="C45" i="14"/>
  <c r="BE45" i="14"/>
  <c r="AW45" i="14"/>
  <c r="BA45" i="14" s="1"/>
  <c r="BF45" i="14"/>
  <c r="AX45" i="14"/>
  <c r="BB45" i="14" s="1"/>
  <c r="J42" i="18"/>
  <c r="L42" i="18" s="1"/>
  <c r="I43" i="18" s="1"/>
  <c r="K43" i="18"/>
  <c r="AS43" i="18"/>
  <c r="AQ43" i="18"/>
  <c r="O43" i="18"/>
  <c r="AU43" i="18"/>
  <c r="AZ44" i="18"/>
  <c r="C44" i="18"/>
  <c r="E45" i="18"/>
  <c r="E45" i="17"/>
  <c r="C44" i="17"/>
  <c r="AZ44" i="17"/>
  <c r="AZ20" i="14"/>
  <c r="BC20" i="14" s="1"/>
  <c r="BG20" i="14"/>
  <c r="AI21" i="18"/>
  <c r="AJ21" i="18" s="1"/>
  <c r="AK21" i="18" s="1"/>
  <c r="AL21" i="18"/>
  <c r="AM21" i="18" s="1"/>
  <c r="AN21" i="18" s="1"/>
  <c r="H22" i="18"/>
  <c r="F23" i="18" s="1"/>
  <c r="G23" i="18" s="1"/>
  <c r="AR23" i="18" s="1"/>
  <c r="AZ46" i="15"/>
  <c r="C46" i="15"/>
  <c r="E47" i="15"/>
  <c r="BF114" i="14"/>
  <c r="AW114" i="14"/>
  <c r="BA114" i="14" s="1"/>
  <c r="BE114" i="14"/>
  <c r="AY114" i="14"/>
  <c r="BD114" i="14" s="1"/>
  <c r="E115" i="14"/>
  <c r="AX114" i="14"/>
  <c r="BB114" i="14" s="1"/>
  <c r="C114" i="14"/>
  <c r="P33" i="18"/>
  <c r="M34" i="18" s="1"/>
  <c r="N34" i="18" s="1"/>
  <c r="T33" i="14"/>
  <c r="A48" i="3"/>
  <c r="BI48" i="3" s="1"/>
  <c r="BJ48" i="3" s="1"/>
  <c r="AE47" i="3"/>
  <c r="BC46" i="3"/>
  <c r="AW50" i="3"/>
  <c r="AQ50" i="3"/>
  <c r="V48" i="3"/>
  <c r="X48" i="3" s="1"/>
  <c r="AV48" i="3"/>
  <c r="AX48" i="3" s="1"/>
  <c r="G49" i="3"/>
  <c r="P50" i="3"/>
  <c r="P51" i="3" s="1"/>
  <c r="AG47" i="3"/>
  <c r="AN50" i="3"/>
  <c r="AN51" i="3" s="1"/>
  <c r="AI45" i="3"/>
  <c r="BE45" i="3" s="1"/>
  <c r="AH47" i="3"/>
  <c r="BD46" i="3"/>
  <c r="H47" i="3"/>
  <c r="AF46" i="3"/>
  <c r="AK46" i="3" s="1"/>
  <c r="Y47" i="3"/>
  <c r="AC46" i="3"/>
  <c r="N20" i="12" l="1"/>
  <c r="T20" i="12"/>
  <c r="R20" i="12"/>
  <c r="AK20" i="13"/>
  <c r="AK31" i="13" s="1"/>
  <c r="AJ31" i="13"/>
  <c r="AW20" i="12"/>
  <c r="AW31" i="12" s="1"/>
  <c r="P20" i="12"/>
  <c r="AN20" i="13"/>
  <c r="J23" i="24"/>
  <c r="K23" i="24"/>
  <c r="Z110" i="23"/>
  <c r="Y110" i="23"/>
  <c r="AC110" i="23" s="1"/>
  <c r="X111" i="23" s="1"/>
  <c r="AA111" i="23" s="1"/>
  <c r="S110" i="23"/>
  <c r="W110" i="23" s="1"/>
  <c r="R111" i="23" s="1"/>
  <c r="U111" i="23" s="1"/>
  <c r="T110" i="23"/>
  <c r="R18" i="24"/>
  <c r="Q19" i="24" s="1"/>
  <c r="AT19" i="24" s="1"/>
  <c r="N19" i="24"/>
  <c r="Z28" i="29"/>
  <c r="AA28" i="29"/>
  <c r="AE28" i="29" s="1"/>
  <c r="AD29" i="29" s="1"/>
  <c r="AT29" i="29" s="1"/>
  <c r="M20" i="29"/>
  <c r="O20" i="29"/>
  <c r="P21" i="29"/>
  <c r="N20" i="29"/>
  <c r="Q89" i="23"/>
  <c r="L90" i="23" s="1"/>
  <c r="BA17" i="21"/>
  <c r="AT18" i="21"/>
  <c r="N18" i="21"/>
  <c r="T18" i="21" s="1"/>
  <c r="S19" i="21" s="1"/>
  <c r="O18" i="21"/>
  <c r="AA17" i="25"/>
  <c r="V17" i="25"/>
  <c r="U17" i="25"/>
  <c r="BB48" i="3"/>
  <c r="T17" i="25"/>
  <c r="S17" i="25"/>
  <c r="AB17" i="25"/>
  <c r="Z17" i="25"/>
  <c r="AR50" i="3"/>
  <c r="AM48" i="3"/>
  <c r="AN48" i="20"/>
  <c r="AR45" i="19"/>
  <c r="R26" i="23"/>
  <c r="Q27" i="23" s="1"/>
  <c r="AT27" i="23" s="1"/>
  <c r="T22" i="26"/>
  <c r="S23" i="26" s="1"/>
  <c r="J31" i="23"/>
  <c r="L31" i="23" s="1"/>
  <c r="I32" i="23" s="1"/>
  <c r="J32" i="26"/>
  <c r="L32" i="26" s="1"/>
  <c r="I33" i="26" s="1"/>
  <c r="AT22" i="26"/>
  <c r="R22" i="26"/>
  <c r="Q23" i="26" s="1"/>
  <c r="P48" i="20"/>
  <c r="AQ48" i="20"/>
  <c r="AR48" i="20" s="1"/>
  <c r="O49" i="20"/>
  <c r="P22" i="26"/>
  <c r="M23" i="26" s="1"/>
  <c r="BG46" i="3"/>
  <c r="BA50" i="21"/>
  <c r="AU19" i="29"/>
  <c r="AS19" i="29"/>
  <c r="AQ19" i="29"/>
  <c r="L27" i="15"/>
  <c r="I28" i="15" s="1"/>
  <c r="J28" i="15" s="1"/>
  <c r="AK19" i="29"/>
  <c r="T30" i="29"/>
  <c r="S30" i="29"/>
  <c r="W30" i="29" s="1"/>
  <c r="R31" i="29" s="1"/>
  <c r="U31" i="29" s="1"/>
  <c r="J21" i="29"/>
  <c r="H20" i="29"/>
  <c r="AZ44" i="29"/>
  <c r="C44" i="29"/>
  <c r="E45" i="29"/>
  <c r="G20" i="29"/>
  <c r="Y28" i="29"/>
  <c r="AM19" i="26"/>
  <c r="AN19" i="26" s="1"/>
  <c r="AW19" i="26" s="1"/>
  <c r="AX19" i="26" s="1"/>
  <c r="AY19" i="26" s="1"/>
  <c r="O44" i="26"/>
  <c r="AQ44" i="26"/>
  <c r="AS44" i="26"/>
  <c r="AU44" i="26"/>
  <c r="K44" i="26"/>
  <c r="G20" i="26"/>
  <c r="AR20" i="26" s="1"/>
  <c r="AZ45" i="26"/>
  <c r="C45" i="26"/>
  <c r="E46" i="26"/>
  <c r="W29" i="28"/>
  <c r="R30" i="28" s="1"/>
  <c r="V30" i="28" s="1"/>
  <c r="AT30" i="28"/>
  <c r="AU20" i="28"/>
  <c r="AS20" i="28"/>
  <c r="AQ20" i="28"/>
  <c r="Z27" i="28"/>
  <c r="Y27" i="28"/>
  <c r="F21" i="28"/>
  <c r="I21" i="28" s="1"/>
  <c r="Q21" i="28" s="1"/>
  <c r="L22" i="28" s="1"/>
  <c r="C45" i="28"/>
  <c r="AZ45" i="28"/>
  <c r="E46" i="28"/>
  <c r="N42" i="23"/>
  <c r="P42" i="23" s="1"/>
  <c r="M43" i="23" s="1"/>
  <c r="N43" i="23" s="1"/>
  <c r="P43" i="23" s="1"/>
  <c r="AV88" i="23"/>
  <c r="AZ88" i="23" s="1"/>
  <c r="BC88" i="23" s="1"/>
  <c r="AN51" i="22"/>
  <c r="AW51" i="22" s="1"/>
  <c r="U44" i="25"/>
  <c r="V44" i="25"/>
  <c r="AA44" i="25"/>
  <c r="AB44" i="25"/>
  <c r="AR44" i="25"/>
  <c r="BA45" i="25"/>
  <c r="BB45" i="25"/>
  <c r="BC45" i="25"/>
  <c r="AQ18" i="25"/>
  <c r="AU18" i="25"/>
  <c r="AI18" i="25"/>
  <c r="AS18" i="25"/>
  <c r="F19" i="25"/>
  <c r="P20" i="25"/>
  <c r="N19" i="25"/>
  <c r="M19" i="25"/>
  <c r="AM18" i="25"/>
  <c r="AN18" i="25" s="1"/>
  <c r="BD45" i="25"/>
  <c r="C45" i="25"/>
  <c r="AZ45" i="25"/>
  <c r="E46" i="25"/>
  <c r="C45" i="24"/>
  <c r="AZ45" i="24"/>
  <c r="E46" i="24"/>
  <c r="F18" i="24"/>
  <c r="AL17" i="24"/>
  <c r="AI17" i="24"/>
  <c r="AS44" i="24"/>
  <c r="AU44" i="24"/>
  <c r="AQ44" i="24"/>
  <c r="H89" i="23"/>
  <c r="G89" i="23"/>
  <c r="AI89" i="23" s="1"/>
  <c r="AJ89" i="23" s="1"/>
  <c r="AK89" i="23" s="1"/>
  <c r="J90" i="23"/>
  <c r="AI19" i="15"/>
  <c r="AJ19" i="15" s="1"/>
  <c r="AK19" i="15" s="1"/>
  <c r="AL19" i="15"/>
  <c r="AM19" i="15" s="1"/>
  <c r="AN19" i="15" s="1"/>
  <c r="F20" i="15"/>
  <c r="AQ46" i="15"/>
  <c r="AS46" i="15"/>
  <c r="AU46" i="15"/>
  <c r="K43" i="23"/>
  <c r="AV18" i="23"/>
  <c r="AW44" i="23"/>
  <c r="BA44" i="23" s="1"/>
  <c r="AX44" i="23"/>
  <c r="BB44" i="23" s="1"/>
  <c r="AY44" i="23"/>
  <c r="BD44" i="23" s="1"/>
  <c r="E45" i="23"/>
  <c r="C44" i="23"/>
  <c r="O44" i="23" s="1"/>
  <c r="BF44" i="23"/>
  <c r="BE44" i="23"/>
  <c r="AU43" i="23"/>
  <c r="AQ43" i="23"/>
  <c r="AS43" i="23"/>
  <c r="H19" i="23"/>
  <c r="AW114" i="23"/>
  <c r="BA114" i="23" s="1"/>
  <c r="AX114" i="23"/>
  <c r="BB114" i="23" s="1"/>
  <c r="AY114" i="23"/>
  <c r="BD114" i="23" s="1"/>
  <c r="C114" i="23"/>
  <c r="BE114" i="23"/>
  <c r="BF114" i="23"/>
  <c r="E115" i="23"/>
  <c r="AN18" i="22"/>
  <c r="AW18" i="22" s="1"/>
  <c r="AU63" i="21"/>
  <c r="AL51" i="21"/>
  <c r="AS63" i="21"/>
  <c r="AQ63" i="21"/>
  <c r="AP51" i="21"/>
  <c r="AP63" i="21" s="1"/>
  <c r="AO63" i="21"/>
  <c r="AI51" i="21"/>
  <c r="AJ51" i="21" s="1"/>
  <c r="AK20" i="28"/>
  <c r="O43" i="25"/>
  <c r="I43" i="25"/>
  <c r="AG102" i="23"/>
  <c r="AF103" i="23" s="1"/>
  <c r="AE102" i="23"/>
  <c r="AD103" i="23" s="1"/>
  <c r="AT103" i="23" s="1"/>
  <c r="BA19" i="12"/>
  <c r="T18" i="15"/>
  <c r="S19" i="15" s="1"/>
  <c r="AW18" i="15"/>
  <c r="AX18" i="15" s="1"/>
  <c r="AY18" i="15" s="1"/>
  <c r="R18" i="15"/>
  <c r="Q19" i="15" s="1"/>
  <c r="AT19" i="15" s="1"/>
  <c r="P19" i="15"/>
  <c r="M20" i="15" s="1"/>
  <c r="N20" i="15" s="1"/>
  <c r="N35" i="14"/>
  <c r="P35" i="14" s="1"/>
  <c r="M36" i="14" s="1"/>
  <c r="AT25" i="18"/>
  <c r="R25" i="18"/>
  <c r="Q26" i="18" s="1"/>
  <c r="AT23" i="14"/>
  <c r="R23" i="14"/>
  <c r="Q24" i="14" s="1"/>
  <c r="AD46" i="3"/>
  <c r="AJ46" i="3" s="1"/>
  <c r="U114" i="14"/>
  <c r="AB114" i="14"/>
  <c r="I114" i="14"/>
  <c r="AR114" i="14" s="1"/>
  <c r="AA114" i="14"/>
  <c r="O114" i="14"/>
  <c r="V114" i="14"/>
  <c r="AB46" i="17"/>
  <c r="O46" i="17"/>
  <c r="AA46" i="17"/>
  <c r="AB46" i="19"/>
  <c r="O46" i="19"/>
  <c r="V46" i="17"/>
  <c r="I46" i="19"/>
  <c r="U46" i="17"/>
  <c r="AA46" i="19"/>
  <c r="V46" i="19"/>
  <c r="I46" i="17"/>
  <c r="U46" i="19"/>
  <c r="AZ46" i="19"/>
  <c r="E47" i="19"/>
  <c r="C46" i="19"/>
  <c r="L44" i="14"/>
  <c r="I45" i="14" s="1"/>
  <c r="J45" i="14" s="1"/>
  <c r="AM21" i="14"/>
  <c r="AN21" i="14" s="1"/>
  <c r="AV21" i="14" s="1"/>
  <c r="K45" i="14"/>
  <c r="AS45" i="14"/>
  <c r="O45" i="14"/>
  <c r="AU45" i="14"/>
  <c r="AQ45" i="14"/>
  <c r="AW46" i="14"/>
  <c r="BA46" i="14" s="1"/>
  <c r="C46" i="14"/>
  <c r="BF46" i="14"/>
  <c r="AX46" i="14"/>
  <c r="BB46" i="14" s="1"/>
  <c r="AY46" i="14"/>
  <c r="BD46" i="14" s="1"/>
  <c r="E47" i="14"/>
  <c r="BE46" i="14"/>
  <c r="AR45" i="16"/>
  <c r="H22" i="14"/>
  <c r="F23" i="14" s="1"/>
  <c r="G23" i="14" s="1"/>
  <c r="AR23" i="14" s="1"/>
  <c r="AZ46" i="16"/>
  <c r="E47" i="16"/>
  <c r="C46" i="16"/>
  <c r="BD46" i="16"/>
  <c r="J43" i="18"/>
  <c r="L43" i="18" s="1"/>
  <c r="I44" i="18" s="1"/>
  <c r="AQ44" i="18"/>
  <c r="AU44" i="18"/>
  <c r="O44" i="18"/>
  <c r="K44" i="18"/>
  <c r="AS44" i="18"/>
  <c r="E46" i="17"/>
  <c r="AZ45" i="17"/>
  <c r="C45" i="17"/>
  <c r="C45" i="18"/>
  <c r="AZ45" i="18"/>
  <c r="E46" i="18"/>
  <c r="AI22" i="18"/>
  <c r="AJ22" i="18" s="1"/>
  <c r="AK22" i="18" s="1"/>
  <c r="AL22" i="18"/>
  <c r="AM22" i="18" s="1"/>
  <c r="AN22" i="18" s="1"/>
  <c r="H23" i="18"/>
  <c r="F24" i="18" s="1"/>
  <c r="G24" i="18" s="1"/>
  <c r="AR24" i="18" s="1"/>
  <c r="AW21" i="18"/>
  <c r="AX21" i="18" s="1"/>
  <c r="AY21" i="18" s="1"/>
  <c r="AZ47" i="15"/>
  <c r="E48" i="15"/>
  <c r="C47" i="15"/>
  <c r="AX115" i="14"/>
  <c r="BB115" i="14" s="1"/>
  <c r="BF115" i="14"/>
  <c r="AY115" i="14"/>
  <c r="BD115" i="14" s="1"/>
  <c r="E116" i="14"/>
  <c r="AW115" i="14"/>
  <c r="BA115" i="14" s="1"/>
  <c r="C115" i="14"/>
  <c r="BE115" i="14"/>
  <c r="S34" i="14"/>
  <c r="T34" i="14" s="1"/>
  <c r="S35" i="14" s="1"/>
  <c r="P34" i="18"/>
  <c r="M35" i="18" s="1"/>
  <c r="N35" i="18" s="1"/>
  <c r="T34" i="18"/>
  <c r="S35" i="18" s="1"/>
  <c r="H48" i="3"/>
  <c r="AF47" i="3"/>
  <c r="AD47" i="3" s="1"/>
  <c r="AW51" i="3"/>
  <c r="BC47" i="3"/>
  <c r="AE48" i="3"/>
  <c r="AN52" i="3"/>
  <c r="AL48" i="3"/>
  <c r="Y48" i="3"/>
  <c r="AC47" i="3"/>
  <c r="AH48" i="3"/>
  <c r="BD47" i="3"/>
  <c r="G50" i="3"/>
  <c r="AV49" i="3"/>
  <c r="AX49" i="3" s="1"/>
  <c r="V49" i="3"/>
  <c r="X49" i="3" s="1"/>
  <c r="A49" i="3"/>
  <c r="BI49" i="3" s="1"/>
  <c r="BJ49" i="3" s="1"/>
  <c r="AG48" i="3"/>
  <c r="AQ51" i="3"/>
  <c r="AW20" i="13" l="1"/>
  <c r="AN31" i="13"/>
  <c r="BA20" i="12"/>
  <c r="BA31" i="12" s="1"/>
  <c r="O21" i="12"/>
  <c r="N21" i="12"/>
  <c r="L23" i="24"/>
  <c r="I24" i="24" s="1"/>
  <c r="K24" i="24" s="1"/>
  <c r="Z111" i="23"/>
  <c r="Y111" i="23"/>
  <c r="AC111" i="23" s="1"/>
  <c r="X112" i="23" s="1"/>
  <c r="AA112" i="23" s="1"/>
  <c r="T111" i="23"/>
  <c r="S111" i="23"/>
  <c r="W111" i="23" s="1"/>
  <c r="R112" i="23" s="1"/>
  <c r="U112" i="23" s="1"/>
  <c r="R19" i="24"/>
  <c r="Q20" i="24" s="1"/>
  <c r="AT20" i="24" s="1"/>
  <c r="T19" i="24"/>
  <c r="S20" i="24" s="1"/>
  <c r="P19" i="24"/>
  <c r="M20" i="24" s="1"/>
  <c r="O20" i="24" s="1"/>
  <c r="Q20" i="29"/>
  <c r="L21" i="29" s="1"/>
  <c r="N21" i="29" s="1"/>
  <c r="M22" i="28"/>
  <c r="O22" i="28"/>
  <c r="N22" i="28"/>
  <c r="P23" i="28"/>
  <c r="O90" i="23"/>
  <c r="N90" i="23"/>
  <c r="M90" i="23"/>
  <c r="P91" i="23"/>
  <c r="AP20" i="29"/>
  <c r="AL20" i="29"/>
  <c r="AM20" i="29" s="1"/>
  <c r="AG28" i="29"/>
  <c r="AF29" i="29" s="1"/>
  <c r="R18" i="21"/>
  <c r="Q19" i="21" s="1"/>
  <c r="AW18" i="21"/>
  <c r="P18" i="21"/>
  <c r="M19" i="21" s="1"/>
  <c r="N19" i="21" s="1"/>
  <c r="T19" i="21" s="1"/>
  <c r="S20" i="21" s="1"/>
  <c r="AG17" i="25"/>
  <c r="AF18" i="25" s="1"/>
  <c r="AC17" i="25"/>
  <c r="X18" i="25" s="1"/>
  <c r="AB18" i="25" s="1"/>
  <c r="AE17" i="25"/>
  <c r="AD18" i="25" s="1"/>
  <c r="AT18" i="25" s="1"/>
  <c r="BB49" i="3"/>
  <c r="W17" i="25"/>
  <c r="R18" i="25" s="1"/>
  <c r="AR51" i="3"/>
  <c r="P49" i="20"/>
  <c r="K46" i="14"/>
  <c r="AN49" i="20"/>
  <c r="R27" i="23"/>
  <c r="Q28" i="23" s="1"/>
  <c r="AT28" i="23" s="1"/>
  <c r="J33" i="26"/>
  <c r="L33" i="26" s="1"/>
  <c r="I34" i="26" s="1"/>
  <c r="J32" i="23"/>
  <c r="L32" i="23" s="1"/>
  <c r="I33" i="23" s="1"/>
  <c r="AK47" i="3"/>
  <c r="BG47" i="3" s="1"/>
  <c r="AT23" i="26"/>
  <c r="N23" i="26"/>
  <c r="T23" i="26" s="1"/>
  <c r="S24" i="26" s="1"/>
  <c r="O50" i="20"/>
  <c r="AQ49" i="20"/>
  <c r="AR49" i="20" s="1"/>
  <c r="O46" i="15"/>
  <c r="K46" i="15"/>
  <c r="AM51" i="21"/>
  <c r="AN51" i="21" s="1"/>
  <c r="AN63" i="21" s="1"/>
  <c r="AO20" i="29"/>
  <c r="AI20" i="29"/>
  <c r="AJ20" i="29" s="1"/>
  <c r="AW19" i="29"/>
  <c r="AX19" i="29" s="1"/>
  <c r="AY19" i="29" s="1"/>
  <c r="K20" i="29"/>
  <c r="F21" i="29" s="1"/>
  <c r="L28" i="15"/>
  <c r="I29" i="15" s="1"/>
  <c r="J29" i="15" s="1"/>
  <c r="T31" i="29"/>
  <c r="S31" i="29"/>
  <c r="W31" i="29" s="1"/>
  <c r="R32" i="29" s="1"/>
  <c r="U32" i="29" s="1"/>
  <c r="C45" i="29"/>
  <c r="AZ45" i="29"/>
  <c r="E46" i="29"/>
  <c r="H20" i="26"/>
  <c r="AS45" i="26"/>
  <c r="AU45" i="26"/>
  <c r="AQ45" i="26"/>
  <c r="K45" i="26"/>
  <c r="O45" i="26"/>
  <c r="C46" i="26"/>
  <c r="AZ46" i="26"/>
  <c r="E47" i="26"/>
  <c r="S30" i="28"/>
  <c r="T30" i="28"/>
  <c r="J22" i="28"/>
  <c r="H21" i="28"/>
  <c r="AP21" i="28" s="1"/>
  <c r="G21" i="28"/>
  <c r="AL21" i="28" s="1"/>
  <c r="AG27" i="28"/>
  <c r="AF28" i="28" s="1"/>
  <c r="AC27" i="28"/>
  <c r="C46" i="28"/>
  <c r="AZ46" i="28"/>
  <c r="E47" i="28"/>
  <c r="AN63" i="22"/>
  <c r="BG88" i="23"/>
  <c r="BA46" i="25"/>
  <c r="BB46" i="25"/>
  <c r="BC46" i="25"/>
  <c r="G19" i="25"/>
  <c r="AR19" i="25" s="1"/>
  <c r="U45" i="25"/>
  <c r="V45" i="25"/>
  <c r="AA45" i="25"/>
  <c r="AB45" i="25"/>
  <c r="AR45" i="25"/>
  <c r="AJ18" i="25"/>
  <c r="AK18" i="25" s="1"/>
  <c r="H19" i="25"/>
  <c r="AP19" i="25" s="1"/>
  <c r="J20" i="25"/>
  <c r="AZ46" i="25"/>
  <c r="BD46" i="25"/>
  <c r="C46" i="25"/>
  <c r="E47" i="25"/>
  <c r="AQ45" i="24"/>
  <c r="AS45" i="24"/>
  <c r="AU45" i="24"/>
  <c r="C46" i="24"/>
  <c r="AZ46" i="24"/>
  <c r="E47" i="24"/>
  <c r="G18" i="24"/>
  <c r="AM17" i="24"/>
  <c r="AN17" i="24" s="1"/>
  <c r="AJ17" i="24"/>
  <c r="AK17" i="24" s="1"/>
  <c r="AL89" i="23"/>
  <c r="AM89" i="23" s="1"/>
  <c r="AN89" i="23" s="1"/>
  <c r="K89" i="23"/>
  <c r="AQ89" i="23" s="1"/>
  <c r="AP89" i="23"/>
  <c r="AO89" i="23"/>
  <c r="G20" i="15"/>
  <c r="AR20" i="15" s="1"/>
  <c r="K47" i="15"/>
  <c r="O47" i="15"/>
  <c r="AQ47" i="15"/>
  <c r="AS47" i="15"/>
  <c r="AU47" i="15"/>
  <c r="AW115" i="23"/>
  <c r="BA115" i="23" s="1"/>
  <c r="AX115" i="23"/>
  <c r="BB115" i="23" s="1"/>
  <c r="AY115" i="23"/>
  <c r="BD115" i="23" s="1"/>
  <c r="AW45" i="23"/>
  <c r="BA45" i="23" s="1"/>
  <c r="AX45" i="23"/>
  <c r="BB45" i="23" s="1"/>
  <c r="AY45" i="23"/>
  <c r="BD45" i="23" s="1"/>
  <c r="E46" i="23"/>
  <c r="BE45" i="23"/>
  <c r="C45" i="23"/>
  <c r="BF45" i="23"/>
  <c r="AU44" i="23"/>
  <c r="AS44" i="23"/>
  <c r="AQ44" i="23"/>
  <c r="M44" i="23"/>
  <c r="N44" i="23" s="1"/>
  <c r="P44" i="23" s="1"/>
  <c r="AZ18" i="23"/>
  <c r="BC18" i="23" s="1"/>
  <c r="BG18" i="23"/>
  <c r="F20" i="23"/>
  <c r="AL19" i="23"/>
  <c r="AI19" i="23"/>
  <c r="K44" i="23"/>
  <c r="C115" i="23"/>
  <c r="BE115" i="23"/>
  <c r="BF115" i="23"/>
  <c r="E116" i="23"/>
  <c r="BA18" i="22"/>
  <c r="BA51" i="22"/>
  <c r="BA63" i="22" s="1"/>
  <c r="AL63" i="21"/>
  <c r="AI63" i="21"/>
  <c r="AJ63" i="21"/>
  <c r="AJ31" i="21"/>
  <c r="AI31" i="21"/>
  <c r="AM31" i="21"/>
  <c r="AL31" i="21"/>
  <c r="AW20" i="28"/>
  <c r="AX20" i="28" s="1"/>
  <c r="AY20" i="28" s="1"/>
  <c r="AC28" i="29"/>
  <c r="X29" i="29" s="1"/>
  <c r="O44" i="25"/>
  <c r="I44" i="25"/>
  <c r="AW63" i="22"/>
  <c r="AG103" i="23"/>
  <c r="AF104" i="23" s="1"/>
  <c r="T36" i="23"/>
  <c r="S37" i="23" s="1"/>
  <c r="AE103" i="23"/>
  <c r="AD104" i="23" s="1"/>
  <c r="AT104" i="23" s="1"/>
  <c r="T19" i="15"/>
  <c r="S20" i="15" s="1"/>
  <c r="N36" i="14"/>
  <c r="P36" i="14" s="1"/>
  <c r="M37" i="14" s="1"/>
  <c r="AW19" i="15"/>
  <c r="AX19" i="15" s="1"/>
  <c r="AY19" i="15" s="1"/>
  <c r="R19" i="15"/>
  <c r="Q20" i="15" s="1"/>
  <c r="AT20" i="15" s="1"/>
  <c r="R26" i="18"/>
  <c r="Q27" i="18" s="1"/>
  <c r="AT26" i="18"/>
  <c r="AT24" i="14"/>
  <c r="R24" i="14"/>
  <c r="Q25" i="14" s="1"/>
  <c r="AJ47" i="3"/>
  <c r="BF47" i="3" s="1"/>
  <c r="BF46" i="3"/>
  <c r="AI46" i="3"/>
  <c r="BE46" i="3" s="1"/>
  <c r="AR46" i="19"/>
  <c r="AA115" i="14"/>
  <c r="I115" i="14"/>
  <c r="AR115" i="14" s="1"/>
  <c r="AB115" i="14"/>
  <c r="V115" i="14"/>
  <c r="V47" i="17"/>
  <c r="O115" i="14"/>
  <c r="AA47" i="17"/>
  <c r="U47" i="19"/>
  <c r="U47" i="17"/>
  <c r="U115" i="14"/>
  <c r="I47" i="17"/>
  <c r="AA47" i="19"/>
  <c r="V47" i="19"/>
  <c r="O47" i="17"/>
  <c r="AB47" i="19"/>
  <c r="I47" i="19"/>
  <c r="O47" i="19"/>
  <c r="AB47" i="17"/>
  <c r="C47" i="19"/>
  <c r="AZ47" i="19"/>
  <c r="E48" i="19"/>
  <c r="L45" i="14"/>
  <c r="I46" i="14" s="1"/>
  <c r="J46" i="14" s="1"/>
  <c r="AI22" i="14"/>
  <c r="AJ22" i="14" s="1"/>
  <c r="AK22" i="14" s="1"/>
  <c r="BG21" i="14"/>
  <c r="AZ21" i="14"/>
  <c r="BC21" i="14" s="1"/>
  <c r="H23" i="14"/>
  <c r="F24" i="14" s="1"/>
  <c r="G24" i="14" s="1"/>
  <c r="AR24" i="14" s="1"/>
  <c r="AL22" i="14"/>
  <c r="AM22" i="14" s="1"/>
  <c r="AN22" i="14" s="1"/>
  <c r="AY47" i="14"/>
  <c r="BD47" i="14" s="1"/>
  <c r="C47" i="14"/>
  <c r="AX47" i="14"/>
  <c r="BB47" i="14" s="1"/>
  <c r="E48" i="14"/>
  <c r="BF47" i="14"/>
  <c r="BE47" i="14"/>
  <c r="AW47" i="14"/>
  <c r="BA47" i="14" s="1"/>
  <c r="O46" i="14"/>
  <c r="AS46" i="14"/>
  <c r="AQ46" i="14"/>
  <c r="AU46" i="14"/>
  <c r="AR46" i="16"/>
  <c r="BD47" i="16"/>
  <c r="AZ47" i="16"/>
  <c r="C47" i="16"/>
  <c r="E48" i="16"/>
  <c r="J44" i="18"/>
  <c r="L44" i="18" s="1"/>
  <c r="I45" i="18" s="1"/>
  <c r="C46" i="18"/>
  <c r="E47" i="18"/>
  <c r="AZ46" i="18"/>
  <c r="E47" i="17"/>
  <c r="AZ46" i="17"/>
  <c r="C46" i="17"/>
  <c r="AU45" i="18"/>
  <c r="AQ45" i="18"/>
  <c r="O45" i="18"/>
  <c r="AS45" i="18"/>
  <c r="K45" i="18"/>
  <c r="AL23" i="18"/>
  <c r="AM23" i="18" s="1"/>
  <c r="AN23" i="18" s="1"/>
  <c r="AI23" i="18"/>
  <c r="AJ23" i="18" s="1"/>
  <c r="AK23" i="18" s="1"/>
  <c r="H24" i="18"/>
  <c r="E49" i="15"/>
  <c r="C48" i="15"/>
  <c r="AZ48" i="15"/>
  <c r="AW22" i="18"/>
  <c r="AX22" i="18" s="1"/>
  <c r="AY22" i="18" s="1"/>
  <c r="BF116" i="14"/>
  <c r="AW116" i="14"/>
  <c r="BA116" i="14" s="1"/>
  <c r="E117" i="14"/>
  <c r="AX116" i="14"/>
  <c r="BB116" i="14" s="1"/>
  <c r="C116" i="14"/>
  <c r="AY116" i="14"/>
  <c r="BD116" i="14" s="1"/>
  <c r="BE116" i="14"/>
  <c r="P35" i="18"/>
  <c r="M36" i="18" s="1"/>
  <c r="N36" i="18" s="1"/>
  <c r="T35" i="18"/>
  <c r="S36" i="18" s="1"/>
  <c r="T35" i="14"/>
  <c r="AG49" i="3"/>
  <c r="AH49" i="3"/>
  <c r="BD48" i="3"/>
  <c r="AI47" i="3"/>
  <c r="BE47" i="3" s="1"/>
  <c r="BC48" i="3"/>
  <c r="AE49" i="3"/>
  <c r="AM49" i="3"/>
  <c r="AQ52" i="3"/>
  <c r="A50" i="3"/>
  <c r="BI50" i="3" s="1"/>
  <c r="BJ50" i="3" s="1"/>
  <c r="V50" i="3"/>
  <c r="X50" i="3" s="1"/>
  <c r="G51" i="3"/>
  <c r="AV50" i="3"/>
  <c r="AX50" i="3" s="1"/>
  <c r="Y49" i="3"/>
  <c r="AC48" i="3"/>
  <c r="AL49" i="3"/>
  <c r="P52" i="3"/>
  <c r="P53" i="3" s="1"/>
  <c r="AW52" i="3"/>
  <c r="H49" i="3"/>
  <c r="AF48" i="3"/>
  <c r="AD48" i="3" s="1"/>
  <c r="BA20" i="13" l="1"/>
  <c r="AW31" i="13"/>
  <c r="J24" i="24"/>
  <c r="L24" i="24" s="1"/>
  <c r="I25" i="24" s="1"/>
  <c r="K25" i="24" s="1"/>
  <c r="Z112" i="23"/>
  <c r="Y112" i="23"/>
  <c r="AC112" i="23" s="1"/>
  <c r="X113" i="23" s="1"/>
  <c r="AA113" i="23" s="1"/>
  <c r="T112" i="23"/>
  <c r="S112" i="23"/>
  <c r="W112" i="23" s="1"/>
  <c r="R113" i="23" s="1"/>
  <c r="U113" i="23" s="1"/>
  <c r="N20" i="24"/>
  <c r="P20" i="24" s="1"/>
  <c r="M21" i="24" s="1"/>
  <c r="N21" i="24" s="1"/>
  <c r="R19" i="21"/>
  <c r="Q20" i="21" s="1"/>
  <c r="AN20" i="29"/>
  <c r="O21" i="29"/>
  <c r="M21" i="29"/>
  <c r="P22" i="29"/>
  <c r="J22" i="29"/>
  <c r="I21" i="29"/>
  <c r="AR21" i="29" s="1"/>
  <c r="Z29" i="29"/>
  <c r="AA29" i="29"/>
  <c r="AE29" i="29" s="1"/>
  <c r="AD30" i="29" s="1"/>
  <c r="AT19" i="21"/>
  <c r="BA18" i="21"/>
  <c r="O19" i="21"/>
  <c r="P19" i="21" s="1"/>
  <c r="M20" i="21" s="1"/>
  <c r="AA18" i="25"/>
  <c r="Y18" i="25"/>
  <c r="Z18" i="25"/>
  <c r="AW18" i="25"/>
  <c r="AX18" i="25" s="1"/>
  <c r="AY18" i="25" s="1"/>
  <c r="V18" i="25"/>
  <c r="U18" i="25"/>
  <c r="BB50" i="3"/>
  <c r="T18" i="25"/>
  <c r="S18" i="25"/>
  <c r="AR52" i="3"/>
  <c r="AN50" i="20"/>
  <c r="AM50" i="3"/>
  <c r="P50" i="20"/>
  <c r="AJ48" i="3"/>
  <c r="BF48" i="3" s="1"/>
  <c r="L46" i="14"/>
  <c r="I47" i="14" s="1"/>
  <c r="J47" i="14" s="1"/>
  <c r="AL50" i="3"/>
  <c r="R28" i="23"/>
  <c r="Q29" i="23" s="1"/>
  <c r="AT29" i="23" s="1"/>
  <c r="AK48" i="3"/>
  <c r="BG48" i="3" s="1"/>
  <c r="J33" i="23"/>
  <c r="L33" i="23" s="1"/>
  <c r="I34" i="23" s="1"/>
  <c r="J34" i="23" s="1"/>
  <c r="L34" i="23" s="1"/>
  <c r="I35" i="23" s="1"/>
  <c r="J34" i="26"/>
  <c r="L34" i="26" s="1"/>
  <c r="I35" i="26" s="1"/>
  <c r="R23" i="26"/>
  <c r="Q24" i="26" s="1"/>
  <c r="P23" i="26"/>
  <c r="M24" i="26" s="1"/>
  <c r="O51" i="20"/>
  <c r="AQ50" i="20"/>
  <c r="AR50" i="20" s="1"/>
  <c r="AM63" i="21"/>
  <c r="AQ20" i="29"/>
  <c r="AK20" i="29"/>
  <c r="AU20" i="29"/>
  <c r="AS20" i="29"/>
  <c r="H21" i="29"/>
  <c r="AP21" i="29" s="1"/>
  <c r="L29" i="15"/>
  <c r="I30" i="15" s="1"/>
  <c r="J30" i="15" s="1"/>
  <c r="T32" i="29"/>
  <c r="S32" i="29"/>
  <c r="W32" i="29" s="1"/>
  <c r="R33" i="29" s="1"/>
  <c r="U33" i="29" s="1"/>
  <c r="C46" i="29"/>
  <c r="AZ46" i="29"/>
  <c r="E47" i="29"/>
  <c r="Y29" i="29"/>
  <c r="G21" i="29"/>
  <c r="K46" i="26"/>
  <c r="O46" i="26"/>
  <c r="AS46" i="26"/>
  <c r="AU46" i="26"/>
  <c r="AQ46" i="26"/>
  <c r="F21" i="26"/>
  <c r="AI20" i="26"/>
  <c r="AL20" i="26"/>
  <c r="AM20" i="26" s="1"/>
  <c r="AN20" i="26" s="1"/>
  <c r="C47" i="26"/>
  <c r="AZ47" i="26"/>
  <c r="E48" i="26"/>
  <c r="K21" i="28"/>
  <c r="F22" i="28" s="1"/>
  <c r="W30" i="28"/>
  <c r="R31" i="28" s="1"/>
  <c r="V31" i="28" s="1"/>
  <c r="AE30" i="28"/>
  <c r="AD31" i="28" s="1"/>
  <c r="AT31" i="28" s="1"/>
  <c r="AL19" i="25"/>
  <c r="AI21" i="28"/>
  <c r="AO21" i="28"/>
  <c r="C47" i="28"/>
  <c r="AZ47" i="28"/>
  <c r="E48" i="28"/>
  <c r="X28" i="28"/>
  <c r="AB28" i="28" s="1"/>
  <c r="AO19" i="25"/>
  <c r="K19" i="25"/>
  <c r="BA47" i="25"/>
  <c r="BB47" i="25"/>
  <c r="BC47" i="25"/>
  <c r="U46" i="25"/>
  <c r="V46" i="25"/>
  <c r="AA46" i="25"/>
  <c r="AB46" i="25"/>
  <c r="AR46" i="25"/>
  <c r="C47" i="25"/>
  <c r="AZ47" i="25"/>
  <c r="BD47" i="25"/>
  <c r="E48" i="25"/>
  <c r="I19" i="25"/>
  <c r="Q19" i="25" s="1"/>
  <c r="L20" i="25" s="1"/>
  <c r="AW17" i="24"/>
  <c r="C47" i="24"/>
  <c r="AZ47" i="24"/>
  <c r="E48" i="24"/>
  <c r="AR18" i="24"/>
  <c r="H18" i="24"/>
  <c r="AQ46" i="24"/>
  <c r="AS46" i="24"/>
  <c r="AU46" i="24"/>
  <c r="AS89" i="23"/>
  <c r="F90" i="23"/>
  <c r="AU89" i="23"/>
  <c r="H20" i="15"/>
  <c r="O48" i="15"/>
  <c r="AQ48" i="15"/>
  <c r="AS48" i="15"/>
  <c r="AU48" i="15"/>
  <c r="K48" i="15"/>
  <c r="M45" i="23"/>
  <c r="N45" i="23" s="1"/>
  <c r="AJ19" i="23"/>
  <c r="AK19" i="23" s="1"/>
  <c r="AX116" i="23"/>
  <c r="BB116" i="23" s="1"/>
  <c r="AW116" i="23"/>
  <c r="BA116" i="23" s="1"/>
  <c r="AY116" i="23"/>
  <c r="BD116" i="23" s="1"/>
  <c r="AQ45" i="23"/>
  <c r="AS45" i="23"/>
  <c r="AU45" i="23"/>
  <c r="K45" i="23"/>
  <c r="O45" i="23"/>
  <c r="G20" i="23"/>
  <c r="AR20" i="23" s="1"/>
  <c r="AX46" i="23"/>
  <c r="BB46" i="23" s="1"/>
  <c r="AW46" i="23"/>
  <c r="BA46" i="23" s="1"/>
  <c r="AY46" i="23"/>
  <c r="BD46" i="23" s="1"/>
  <c r="E47" i="23"/>
  <c r="C46" i="23"/>
  <c r="BF46" i="23"/>
  <c r="BE46" i="23"/>
  <c r="AM19" i="23"/>
  <c r="AN19" i="23" s="1"/>
  <c r="C116" i="23"/>
  <c r="BE116" i="23"/>
  <c r="BF116" i="23"/>
  <c r="E117" i="23"/>
  <c r="AJ31" i="22"/>
  <c r="AI31" i="22"/>
  <c r="AM31" i="22"/>
  <c r="AL31" i="22"/>
  <c r="AK51" i="21"/>
  <c r="AK19" i="21"/>
  <c r="AK31" i="21" s="1"/>
  <c r="AN19" i="21"/>
  <c r="AN31" i="21" s="1"/>
  <c r="O45" i="25"/>
  <c r="AG104" i="23"/>
  <c r="AF105" i="23" s="1"/>
  <c r="I45" i="25"/>
  <c r="AE104" i="23"/>
  <c r="AD105" i="23" s="1"/>
  <c r="AT105" i="23" s="1"/>
  <c r="T37" i="23"/>
  <c r="S38" i="23" s="1"/>
  <c r="T20" i="15"/>
  <c r="S21" i="15" s="1"/>
  <c r="P20" i="15"/>
  <c r="M21" i="15" s="1"/>
  <c r="N21" i="15" s="1"/>
  <c r="N37" i="14"/>
  <c r="P37" i="14" s="1"/>
  <c r="M38" i="14" s="1"/>
  <c r="R20" i="15"/>
  <c r="Q21" i="15" s="1"/>
  <c r="AT21" i="15" s="1"/>
  <c r="AT27" i="18"/>
  <c r="R27" i="18"/>
  <c r="Q28" i="18" s="1"/>
  <c r="AT25" i="14"/>
  <c r="R25" i="14"/>
  <c r="Q26" i="14" s="1"/>
  <c r="AI23" i="14"/>
  <c r="AJ23" i="14" s="1"/>
  <c r="AK23" i="14" s="1"/>
  <c r="AR47" i="19"/>
  <c r="U116" i="14"/>
  <c r="AA116" i="14"/>
  <c r="V116" i="14"/>
  <c r="I116" i="14"/>
  <c r="AR116" i="14" s="1"/>
  <c r="AB116" i="14"/>
  <c r="O116" i="14"/>
  <c r="AB48" i="17"/>
  <c r="O48" i="17"/>
  <c r="V48" i="17"/>
  <c r="V48" i="19"/>
  <c r="U48" i="17"/>
  <c r="AA48" i="17"/>
  <c r="O48" i="19"/>
  <c r="I48" i="17"/>
  <c r="AB48" i="19"/>
  <c r="I48" i="19"/>
  <c r="AA48" i="19"/>
  <c r="U48" i="19"/>
  <c r="AL23" i="14"/>
  <c r="AM23" i="14" s="1"/>
  <c r="AN23" i="14" s="1"/>
  <c r="E49" i="19"/>
  <c r="AZ48" i="19"/>
  <c r="C48" i="19"/>
  <c r="AU47" i="14"/>
  <c r="AQ47" i="14"/>
  <c r="AS47" i="14"/>
  <c r="AZ48" i="16"/>
  <c r="BD48" i="16"/>
  <c r="E49" i="16"/>
  <c r="C48" i="16"/>
  <c r="K47" i="14"/>
  <c r="O47" i="14"/>
  <c r="AY48" i="14"/>
  <c r="BD48" i="14" s="1"/>
  <c r="AW48" i="14"/>
  <c r="BA48" i="14" s="1"/>
  <c r="E49" i="14"/>
  <c r="AX48" i="14"/>
  <c r="BB48" i="14" s="1"/>
  <c r="C48" i="14"/>
  <c r="BE48" i="14"/>
  <c r="BF48" i="14"/>
  <c r="AV22" i="14"/>
  <c r="AZ22" i="14" s="1"/>
  <c r="BC22" i="14" s="1"/>
  <c r="AR47" i="16"/>
  <c r="J45" i="18"/>
  <c r="L45" i="18" s="1"/>
  <c r="I46" i="18" s="1"/>
  <c r="E48" i="17"/>
  <c r="AZ47" i="17"/>
  <c r="C47" i="17"/>
  <c r="H24" i="14"/>
  <c r="AQ46" i="18"/>
  <c r="O46" i="18"/>
  <c r="K46" i="18"/>
  <c r="AU46" i="18"/>
  <c r="AS46" i="18"/>
  <c r="AZ47" i="18"/>
  <c r="E48" i="18"/>
  <c r="C47" i="18"/>
  <c r="AW23" i="18"/>
  <c r="AX23" i="18" s="1"/>
  <c r="AY23" i="18" s="1"/>
  <c r="F25" i="18"/>
  <c r="AL24" i="18"/>
  <c r="AI24" i="18"/>
  <c r="C49" i="15"/>
  <c r="AZ49" i="15"/>
  <c r="E50" i="15"/>
  <c r="S36" i="14"/>
  <c r="T36" i="14" s="1"/>
  <c r="S37" i="14" s="1"/>
  <c r="E118" i="14"/>
  <c r="BE117" i="14"/>
  <c r="BF117" i="14"/>
  <c r="AX117" i="14"/>
  <c r="BB117" i="14" s="1"/>
  <c r="C117" i="14"/>
  <c r="AW117" i="14"/>
  <c r="BA117" i="14" s="1"/>
  <c r="AY117" i="14"/>
  <c r="BD117" i="14" s="1"/>
  <c r="T36" i="18"/>
  <c r="S37" i="18" s="1"/>
  <c r="AW53" i="3"/>
  <c r="Y50" i="3"/>
  <c r="AC49" i="3"/>
  <c r="A51" i="3"/>
  <c r="BI51" i="3" s="1"/>
  <c r="BJ51" i="3" s="1"/>
  <c r="AH50" i="3"/>
  <c r="BD49" i="3"/>
  <c r="G52" i="3"/>
  <c r="AV51" i="3"/>
  <c r="AX51" i="3" s="1"/>
  <c r="V51" i="3"/>
  <c r="X51" i="3" s="1"/>
  <c r="BC49" i="3"/>
  <c r="AE50" i="3"/>
  <c r="H50" i="3"/>
  <c r="AF49" i="3"/>
  <c r="AD49" i="3" s="1"/>
  <c r="AI48" i="3"/>
  <c r="BE48" i="3" s="1"/>
  <c r="AQ53" i="3"/>
  <c r="AN53" i="3"/>
  <c r="AN54" i="3" s="1"/>
  <c r="AG50" i="3"/>
  <c r="AT20" i="21" l="1"/>
  <c r="AW20" i="21" s="1"/>
  <c r="BA31" i="13"/>
  <c r="J25" i="24"/>
  <c r="L25" i="24" s="1"/>
  <c r="I26" i="24" s="1"/>
  <c r="AG29" i="29"/>
  <c r="AF30" i="29" s="1"/>
  <c r="O21" i="24"/>
  <c r="P21" i="24" s="1"/>
  <c r="M22" i="24" s="1"/>
  <c r="Z113" i="23"/>
  <c r="Y113" i="23"/>
  <c r="AC113" i="23" s="1"/>
  <c r="X114" i="23" s="1"/>
  <c r="AA114" i="23" s="1"/>
  <c r="S113" i="23"/>
  <c r="W113" i="23" s="1"/>
  <c r="R114" i="23" s="1"/>
  <c r="U114" i="23" s="1"/>
  <c r="T113" i="23"/>
  <c r="T20" i="24"/>
  <c r="S21" i="24" s="1"/>
  <c r="T21" i="24" s="1"/>
  <c r="S22" i="24" s="1"/>
  <c r="R20" i="24"/>
  <c r="Q21" i="24" s="1"/>
  <c r="AT21" i="24" s="1"/>
  <c r="Q21" i="29"/>
  <c r="L22" i="29" s="1"/>
  <c r="P23" i="29" s="1"/>
  <c r="AI21" i="29"/>
  <c r="AJ21" i="29" s="1"/>
  <c r="AK21" i="29" s="1"/>
  <c r="AT30" i="29"/>
  <c r="H22" i="28"/>
  <c r="AP22" i="28" s="1"/>
  <c r="I22" i="28"/>
  <c r="Q22" i="28" s="1"/>
  <c r="L23" i="28" s="1"/>
  <c r="G90" i="23"/>
  <c r="AI90" i="23" s="1"/>
  <c r="AJ90" i="23" s="1"/>
  <c r="AK90" i="23" s="1"/>
  <c r="I90" i="23"/>
  <c r="N20" i="21"/>
  <c r="T20" i="21" s="1"/>
  <c r="O20" i="21"/>
  <c r="AG18" i="25"/>
  <c r="AF19" i="25" s="1"/>
  <c r="AC18" i="25"/>
  <c r="X19" i="25" s="1"/>
  <c r="Y19" i="25" s="1"/>
  <c r="AE18" i="25"/>
  <c r="AD19" i="25" s="1"/>
  <c r="AT19" i="25" s="1"/>
  <c r="BB51" i="3"/>
  <c r="W18" i="25"/>
  <c r="R19" i="25" s="1"/>
  <c r="AR53" i="3"/>
  <c r="P51" i="20"/>
  <c r="R29" i="23"/>
  <c r="Q30" i="23" s="1"/>
  <c r="AT30" i="23" s="1"/>
  <c r="J35" i="26"/>
  <c r="L35" i="26" s="1"/>
  <c r="I36" i="26" s="1"/>
  <c r="J35" i="23"/>
  <c r="L35" i="23" s="1"/>
  <c r="I36" i="23" s="1"/>
  <c r="J36" i="23" s="1"/>
  <c r="L36" i="23" s="1"/>
  <c r="I37" i="23" s="1"/>
  <c r="AK49" i="3"/>
  <c r="BG49" i="3" s="1"/>
  <c r="AT24" i="26"/>
  <c r="N24" i="26"/>
  <c r="T24" i="26" s="1"/>
  <c r="S25" i="26" s="1"/>
  <c r="AN51" i="20"/>
  <c r="AQ51" i="20"/>
  <c r="AR51" i="20" s="1"/>
  <c r="O52" i="20"/>
  <c r="AW20" i="29"/>
  <c r="AX20" i="29" s="1"/>
  <c r="AY20" i="29" s="1"/>
  <c r="K21" i="29"/>
  <c r="L30" i="15"/>
  <c r="I31" i="15" s="1"/>
  <c r="J31" i="15" s="1"/>
  <c r="T33" i="29"/>
  <c r="S33" i="29"/>
  <c r="W33" i="29" s="1"/>
  <c r="R34" i="29" s="1"/>
  <c r="U34" i="29" s="1"/>
  <c r="AZ47" i="29"/>
  <c r="C47" i="29"/>
  <c r="E48" i="29"/>
  <c r="AO21" i="29"/>
  <c r="AL21" i="29"/>
  <c r="K47" i="26"/>
  <c r="O47" i="26"/>
  <c r="AQ47" i="26"/>
  <c r="AS47" i="26"/>
  <c r="AU47" i="26"/>
  <c r="G21" i="26"/>
  <c r="AR21" i="26" s="1"/>
  <c r="AJ20" i="26"/>
  <c r="AK20" i="26" s="1"/>
  <c r="AW20" i="26" s="1"/>
  <c r="AX20" i="26" s="1"/>
  <c r="AY20" i="26" s="1"/>
  <c r="AZ48" i="26"/>
  <c r="C48" i="26"/>
  <c r="E49" i="26"/>
  <c r="J23" i="28"/>
  <c r="AU21" i="28"/>
  <c r="G22" i="28"/>
  <c r="AI22" i="28" s="1"/>
  <c r="AS21" i="28"/>
  <c r="AQ21" i="28"/>
  <c r="S31" i="28"/>
  <c r="AE31" i="28" s="1"/>
  <c r="AD32" i="28" s="1"/>
  <c r="AT32" i="28" s="1"/>
  <c r="T31" i="28"/>
  <c r="Z28" i="28"/>
  <c r="Y28" i="28"/>
  <c r="AG28" i="28" s="1"/>
  <c r="AF29" i="28" s="1"/>
  <c r="AJ21" i="28"/>
  <c r="AK21" i="28" s="1"/>
  <c r="AM21" i="28"/>
  <c r="AN21" i="28" s="1"/>
  <c r="AZ48" i="28"/>
  <c r="C48" i="28"/>
  <c r="E49" i="28"/>
  <c r="U47" i="25"/>
  <c r="V47" i="25"/>
  <c r="AA47" i="25"/>
  <c r="AB47" i="25"/>
  <c r="AR47" i="25"/>
  <c r="BA48" i="25"/>
  <c r="BB48" i="25"/>
  <c r="BC48" i="25"/>
  <c r="F20" i="25"/>
  <c r="AQ19" i="25"/>
  <c r="AS19" i="25"/>
  <c r="AU19" i="25"/>
  <c r="AI19" i="25"/>
  <c r="AJ19" i="25" s="1"/>
  <c r="AM19" i="25"/>
  <c r="AN19" i="25" s="1"/>
  <c r="AZ48" i="25"/>
  <c r="BD48" i="25"/>
  <c r="C48" i="25"/>
  <c r="E49" i="25"/>
  <c r="P21" i="25"/>
  <c r="N20" i="25"/>
  <c r="M20" i="25"/>
  <c r="F19" i="24"/>
  <c r="AI18" i="24"/>
  <c r="AL18" i="24"/>
  <c r="AQ47" i="24"/>
  <c r="AS47" i="24"/>
  <c r="AU47" i="24"/>
  <c r="AZ48" i="24"/>
  <c r="C48" i="24"/>
  <c r="E49" i="24"/>
  <c r="AV89" i="23"/>
  <c r="AZ89" i="23" s="1"/>
  <c r="BC89" i="23" s="1"/>
  <c r="H90" i="23"/>
  <c r="AP90" i="23" s="1"/>
  <c r="J91" i="23"/>
  <c r="F21" i="15"/>
  <c r="AI20" i="15"/>
  <c r="AJ20" i="15" s="1"/>
  <c r="AK20" i="15" s="1"/>
  <c r="AL20" i="15"/>
  <c r="AM20" i="15" s="1"/>
  <c r="AN20" i="15" s="1"/>
  <c r="AS49" i="15"/>
  <c r="AU49" i="15"/>
  <c r="K49" i="15"/>
  <c r="AQ49" i="15"/>
  <c r="O49" i="15"/>
  <c r="P45" i="23"/>
  <c r="M46" i="23" s="1"/>
  <c r="N46" i="23" s="1"/>
  <c r="AV19" i="23"/>
  <c r="BG19" i="23" s="1"/>
  <c r="AQ46" i="23"/>
  <c r="AS46" i="23"/>
  <c r="AU46" i="23"/>
  <c r="AW117" i="23"/>
  <c r="BA117" i="23" s="1"/>
  <c r="AX117" i="23"/>
  <c r="BB117" i="23" s="1"/>
  <c r="AY117" i="23"/>
  <c r="BD117" i="23" s="1"/>
  <c r="H20" i="23"/>
  <c r="K46" i="23"/>
  <c r="O46" i="23"/>
  <c r="AW47" i="23"/>
  <c r="BA47" i="23" s="1"/>
  <c r="AX47" i="23"/>
  <c r="BB47" i="23" s="1"/>
  <c r="AY47" i="23"/>
  <c r="BD47" i="23" s="1"/>
  <c r="E48" i="23"/>
  <c r="C47" i="23"/>
  <c r="BF47" i="23"/>
  <c r="BE47" i="23"/>
  <c r="C117" i="23"/>
  <c r="BE117" i="23"/>
  <c r="BF117" i="23"/>
  <c r="E118" i="23"/>
  <c r="AN19" i="22"/>
  <c r="AN31" i="22" s="1"/>
  <c r="AK19" i="22"/>
  <c r="AW19" i="21"/>
  <c r="AW51" i="21"/>
  <c r="AK63" i="21"/>
  <c r="AC29" i="29"/>
  <c r="X30" i="29" s="1"/>
  <c r="AG105" i="23"/>
  <c r="AF106" i="23" s="1"/>
  <c r="I46" i="25"/>
  <c r="O46" i="25"/>
  <c r="T38" i="23"/>
  <c r="S39" i="23" s="1"/>
  <c r="AE105" i="23"/>
  <c r="AD106" i="23" s="1"/>
  <c r="AT106" i="23" s="1"/>
  <c r="AJ49" i="3"/>
  <c r="BF49" i="3" s="1"/>
  <c r="P21" i="15"/>
  <c r="M22" i="15" s="1"/>
  <c r="N22" i="15" s="1"/>
  <c r="T21" i="15"/>
  <c r="S22" i="15" s="1"/>
  <c r="N38" i="14"/>
  <c r="P38" i="14" s="1"/>
  <c r="M39" i="14" s="1"/>
  <c r="R21" i="15"/>
  <c r="Q22" i="15" s="1"/>
  <c r="AT22" i="15" s="1"/>
  <c r="AT28" i="18"/>
  <c r="R28" i="18"/>
  <c r="Q29" i="18" s="1"/>
  <c r="AT26" i="14"/>
  <c r="R26" i="14"/>
  <c r="Q27" i="14" s="1"/>
  <c r="AM51" i="3"/>
  <c r="AL51" i="3"/>
  <c r="AA117" i="14"/>
  <c r="I117" i="14"/>
  <c r="AR117" i="14" s="1"/>
  <c r="V117" i="14"/>
  <c r="U117" i="14"/>
  <c r="AB117" i="14"/>
  <c r="O117" i="14"/>
  <c r="V49" i="17"/>
  <c r="U49" i="17"/>
  <c r="AA49" i="19"/>
  <c r="I49" i="19"/>
  <c r="O49" i="17"/>
  <c r="AB49" i="19"/>
  <c r="AB49" i="17"/>
  <c r="V49" i="19"/>
  <c r="U49" i="19"/>
  <c r="O49" i="19"/>
  <c r="AA49" i="17"/>
  <c r="I49" i="17"/>
  <c r="AR48" i="19"/>
  <c r="C49" i="19"/>
  <c r="E50" i="19"/>
  <c r="AZ49" i="19"/>
  <c r="L47" i="14"/>
  <c r="I48" i="14" s="1"/>
  <c r="J48" i="14" s="1"/>
  <c r="BG22" i="14"/>
  <c r="BE49" i="14"/>
  <c r="C49" i="14"/>
  <c r="AW49" i="14"/>
  <c r="BA49" i="14" s="1"/>
  <c r="AY49" i="14"/>
  <c r="BD49" i="14" s="1"/>
  <c r="AX49" i="14"/>
  <c r="BB49" i="14" s="1"/>
  <c r="E50" i="14"/>
  <c r="BF49" i="14"/>
  <c r="BD49" i="16"/>
  <c r="AZ49" i="16"/>
  <c r="C49" i="16"/>
  <c r="E50" i="16"/>
  <c r="AS48" i="14"/>
  <c r="K48" i="14"/>
  <c r="O48" i="14"/>
  <c r="AQ48" i="14"/>
  <c r="AU48" i="14"/>
  <c r="AR48" i="16"/>
  <c r="J46" i="18"/>
  <c r="L46" i="18" s="1"/>
  <c r="I47" i="18" s="1"/>
  <c r="J47" i="18" s="1"/>
  <c r="O47" i="18"/>
  <c r="K47" i="18"/>
  <c r="AU47" i="18"/>
  <c r="AS47" i="18"/>
  <c r="AQ47" i="18"/>
  <c r="C48" i="17"/>
  <c r="E49" i="17"/>
  <c r="AZ48" i="17"/>
  <c r="AV23" i="14"/>
  <c r="C48" i="18"/>
  <c r="E49" i="18"/>
  <c r="AZ48" i="18"/>
  <c r="AI24" i="14"/>
  <c r="F25" i="14"/>
  <c r="AL24" i="14"/>
  <c r="AM24" i="18"/>
  <c r="AN24" i="18" s="1"/>
  <c r="AJ24" i="18"/>
  <c r="AK24" i="18" s="1"/>
  <c r="E51" i="15"/>
  <c r="AZ50" i="15"/>
  <c r="C50" i="15"/>
  <c r="G25" i="18"/>
  <c r="AR25" i="18" s="1"/>
  <c r="AY118" i="14"/>
  <c r="BD118" i="14" s="1"/>
  <c r="E119" i="14"/>
  <c r="AW118" i="14"/>
  <c r="BA118" i="14" s="1"/>
  <c r="C118" i="14"/>
  <c r="AX118" i="14"/>
  <c r="BB118" i="14" s="1"/>
  <c r="BF118" i="14"/>
  <c r="BE118" i="14"/>
  <c r="P36" i="18"/>
  <c r="M37" i="18" s="1"/>
  <c r="N37" i="18" s="1"/>
  <c r="T37" i="14"/>
  <c r="S38" i="14" s="1"/>
  <c r="V52" i="3"/>
  <c r="X52" i="3" s="1"/>
  <c r="G53" i="3"/>
  <c r="AV52" i="3"/>
  <c r="AX52" i="3" s="1"/>
  <c r="AH51" i="3"/>
  <c r="BD50" i="3"/>
  <c r="AI49" i="3"/>
  <c r="BE49" i="3" s="1"/>
  <c r="AQ54" i="3"/>
  <c r="Y51" i="3"/>
  <c r="AC50" i="3"/>
  <c r="AG51" i="3"/>
  <c r="H51" i="3"/>
  <c r="AF50" i="3"/>
  <c r="AD50" i="3" s="1"/>
  <c r="P54" i="3"/>
  <c r="P55" i="3" s="1"/>
  <c r="A52" i="3"/>
  <c r="BI52" i="3" s="1"/>
  <c r="BJ52" i="3" s="1"/>
  <c r="AW54" i="3"/>
  <c r="BC50" i="3"/>
  <c r="AE51" i="3"/>
  <c r="P20" i="21" l="1"/>
  <c r="N21" i="21" s="1"/>
  <c r="R20" i="21"/>
  <c r="AT31" i="21"/>
  <c r="BA20" i="21"/>
  <c r="K26" i="24"/>
  <c r="J26" i="24"/>
  <c r="Z114" i="23"/>
  <c r="Y114" i="23"/>
  <c r="AC114" i="23" s="1"/>
  <c r="X115" i="23" s="1"/>
  <c r="AA115" i="23" s="1"/>
  <c r="S114" i="23"/>
  <c r="W114" i="23" s="1"/>
  <c r="R115" i="23" s="1"/>
  <c r="U115" i="23" s="1"/>
  <c r="T114" i="23"/>
  <c r="R21" i="24"/>
  <c r="Q22" i="24" s="1"/>
  <c r="AT22" i="24" s="1"/>
  <c r="K90" i="23"/>
  <c r="AL90" i="23"/>
  <c r="AM90" i="23" s="1"/>
  <c r="AN90" i="23" s="1"/>
  <c r="O22" i="29"/>
  <c r="AQ21" i="29"/>
  <c r="M22" i="29"/>
  <c r="N22" i="29"/>
  <c r="AO22" i="28"/>
  <c r="O23" i="28"/>
  <c r="N23" i="28"/>
  <c r="P24" i="28"/>
  <c r="M23" i="28"/>
  <c r="AR90" i="23"/>
  <c r="Q90" i="23"/>
  <c r="L91" i="23" s="1"/>
  <c r="Z30" i="29"/>
  <c r="AA30" i="29"/>
  <c r="AE30" i="29" s="1"/>
  <c r="AD31" i="29" s="1"/>
  <c r="N22" i="24"/>
  <c r="O22" i="24"/>
  <c r="AB19" i="25"/>
  <c r="Z19" i="25"/>
  <c r="AA19" i="25"/>
  <c r="T19" i="25"/>
  <c r="U19" i="25"/>
  <c r="BB52" i="3"/>
  <c r="V19" i="25"/>
  <c r="S19" i="25"/>
  <c r="AR54" i="3"/>
  <c r="AN52" i="20"/>
  <c r="R30" i="23"/>
  <c r="Q31" i="23" s="1"/>
  <c r="AT31" i="23" s="1"/>
  <c r="J37" i="23"/>
  <c r="L37" i="23" s="1"/>
  <c r="I38" i="23" s="1"/>
  <c r="O53" i="20"/>
  <c r="AQ52" i="20"/>
  <c r="AR52" i="20" s="1"/>
  <c r="J36" i="26"/>
  <c r="L36" i="26" s="1"/>
  <c r="I37" i="26" s="1"/>
  <c r="AK50" i="3"/>
  <c r="BG50" i="3" s="1"/>
  <c r="R24" i="26"/>
  <c r="Q25" i="26" s="1"/>
  <c r="P52" i="20"/>
  <c r="P24" i="26"/>
  <c r="M25" i="26" s="1"/>
  <c r="AW31" i="21"/>
  <c r="BA19" i="21"/>
  <c r="BA51" i="21"/>
  <c r="BA63" i="21" s="1"/>
  <c r="F22" i="29"/>
  <c r="AS21" i="29"/>
  <c r="AU21" i="29"/>
  <c r="T34" i="29"/>
  <c r="S34" i="29"/>
  <c r="W34" i="29" s="1"/>
  <c r="R35" i="29" s="1"/>
  <c r="U35" i="29" s="1"/>
  <c r="AM21" i="29"/>
  <c r="AN21" i="29" s="1"/>
  <c r="C48" i="29"/>
  <c r="AZ48" i="29"/>
  <c r="E49" i="29"/>
  <c r="K22" i="28"/>
  <c r="AU22" i="28" s="1"/>
  <c r="Y30" i="29"/>
  <c r="H21" i="26"/>
  <c r="O48" i="26"/>
  <c r="AQ48" i="26"/>
  <c r="AS48" i="26"/>
  <c r="AU48" i="26"/>
  <c r="K48" i="26"/>
  <c r="C49" i="26"/>
  <c r="AZ49" i="26"/>
  <c r="E50" i="26"/>
  <c r="AC28" i="28"/>
  <c r="X29" i="28" s="1"/>
  <c r="W31" i="28"/>
  <c r="R32" i="28" s="1"/>
  <c r="AL22" i="28"/>
  <c r="AM22" i="28" s="1"/>
  <c r="AN22" i="28" s="1"/>
  <c r="AW21" i="28"/>
  <c r="AX21" i="28" s="1"/>
  <c r="AY21" i="28" s="1"/>
  <c r="AJ22" i="28"/>
  <c r="AK22" i="28" s="1"/>
  <c r="C49" i="28"/>
  <c r="AZ49" i="28"/>
  <c r="E50" i="28"/>
  <c r="BA49" i="25"/>
  <c r="BB49" i="25"/>
  <c r="BC49" i="25"/>
  <c r="G20" i="25"/>
  <c r="J21" i="25"/>
  <c r="H20" i="25"/>
  <c r="AP20" i="25" s="1"/>
  <c r="AK19" i="25"/>
  <c r="AW19" i="25" s="1"/>
  <c r="AX19" i="25" s="1"/>
  <c r="AY19" i="25" s="1"/>
  <c r="U48" i="25"/>
  <c r="V48" i="25"/>
  <c r="AA48" i="25"/>
  <c r="AB48" i="25"/>
  <c r="AR48" i="25"/>
  <c r="BD49" i="25"/>
  <c r="C49" i="25"/>
  <c r="AZ49" i="25"/>
  <c r="E50" i="25"/>
  <c r="G19" i="24"/>
  <c r="AR19" i="24" s="1"/>
  <c r="AJ18" i="24"/>
  <c r="AK18" i="24" s="1"/>
  <c r="AQ48" i="24"/>
  <c r="AS48" i="24"/>
  <c r="AU48" i="24"/>
  <c r="AM18" i="24"/>
  <c r="AN18" i="24" s="1"/>
  <c r="C49" i="24"/>
  <c r="AZ49" i="24"/>
  <c r="E50" i="24"/>
  <c r="BG89" i="23"/>
  <c r="AW20" i="15"/>
  <c r="AX20" i="15" s="1"/>
  <c r="AY20" i="15" s="1"/>
  <c r="AO90" i="23"/>
  <c r="G21" i="15"/>
  <c r="AR21" i="15" s="1"/>
  <c r="K50" i="15"/>
  <c r="O50" i="15"/>
  <c r="AQ50" i="15"/>
  <c r="AS50" i="15"/>
  <c r="AU50" i="15"/>
  <c r="AZ19" i="23"/>
  <c r="BC19" i="23" s="1"/>
  <c r="P46" i="23"/>
  <c r="M47" i="23" s="1"/>
  <c r="N47" i="23" s="1"/>
  <c r="AX48" i="23"/>
  <c r="BB48" i="23" s="1"/>
  <c r="AW48" i="23"/>
  <c r="BA48" i="23" s="1"/>
  <c r="AY48" i="23"/>
  <c r="BD48" i="23" s="1"/>
  <c r="E49" i="23"/>
  <c r="BF48" i="23"/>
  <c r="C48" i="23"/>
  <c r="O48" i="23" s="1"/>
  <c r="BE48" i="23"/>
  <c r="AQ47" i="23"/>
  <c r="AS47" i="23"/>
  <c r="AU47" i="23"/>
  <c r="F21" i="23"/>
  <c r="AI20" i="23"/>
  <c r="AL20" i="23"/>
  <c r="AW118" i="23"/>
  <c r="BA118" i="23" s="1"/>
  <c r="AX118" i="23"/>
  <c r="BB118" i="23" s="1"/>
  <c r="AY118" i="23"/>
  <c r="BD118" i="23" s="1"/>
  <c r="K47" i="23"/>
  <c r="O47" i="23"/>
  <c r="C118" i="23"/>
  <c r="BE118" i="23"/>
  <c r="BF118" i="23"/>
  <c r="E119" i="23"/>
  <c r="AW19" i="22"/>
  <c r="AK31" i="22"/>
  <c r="AW63" i="21"/>
  <c r="O47" i="25"/>
  <c r="I47" i="25"/>
  <c r="T39" i="23"/>
  <c r="S40" i="23" s="1"/>
  <c r="AG106" i="23"/>
  <c r="AF107" i="23" s="1"/>
  <c r="AE106" i="23"/>
  <c r="AD107" i="23" s="1"/>
  <c r="AT107" i="23" s="1"/>
  <c r="T22" i="15"/>
  <c r="S23" i="15" s="1"/>
  <c r="P22" i="15"/>
  <c r="M23" i="15" s="1"/>
  <c r="N23" i="15" s="1"/>
  <c r="N39" i="14"/>
  <c r="P39" i="14" s="1"/>
  <c r="M40" i="14" s="1"/>
  <c r="R22" i="15"/>
  <c r="Q23" i="15" s="1"/>
  <c r="AT23" i="15" s="1"/>
  <c r="AT29" i="18"/>
  <c r="R29" i="18"/>
  <c r="Q30" i="18" s="1"/>
  <c r="AT27" i="14"/>
  <c r="R27" i="14"/>
  <c r="Q28" i="14" s="1"/>
  <c r="AJ50" i="3"/>
  <c r="BF50" i="3" s="1"/>
  <c r="AM52" i="3"/>
  <c r="L31" i="15"/>
  <c r="I32" i="15" s="1"/>
  <c r="J32" i="15" s="1"/>
  <c r="U118" i="14"/>
  <c r="V118" i="14"/>
  <c r="O118" i="14"/>
  <c r="AB118" i="14"/>
  <c r="AA118" i="14"/>
  <c r="AB50" i="17"/>
  <c r="O50" i="17"/>
  <c r="U50" i="17"/>
  <c r="AB50" i="19"/>
  <c r="O50" i="19"/>
  <c r="I50" i="17"/>
  <c r="V50" i="17"/>
  <c r="V50" i="19"/>
  <c r="U50" i="19"/>
  <c r="AA50" i="17"/>
  <c r="I50" i="19"/>
  <c r="I118" i="14"/>
  <c r="AR118" i="14" s="1"/>
  <c r="AA50" i="19"/>
  <c r="AR49" i="19"/>
  <c r="E51" i="19"/>
  <c r="AZ50" i="19"/>
  <c r="C50" i="19"/>
  <c r="L48" i="14"/>
  <c r="I49" i="14" s="1"/>
  <c r="J49" i="14" s="1"/>
  <c r="L47" i="18"/>
  <c r="I48" i="18" s="1"/>
  <c r="J48" i="18" s="1"/>
  <c r="BD50" i="16"/>
  <c r="E51" i="16"/>
  <c r="AZ50" i="16"/>
  <c r="C50" i="16"/>
  <c r="AR49" i="16"/>
  <c r="AX50" i="14"/>
  <c r="BB50" i="14" s="1"/>
  <c r="AW50" i="14"/>
  <c r="BA50" i="14" s="1"/>
  <c r="BF50" i="14"/>
  <c r="E51" i="14"/>
  <c r="C50" i="14"/>
  <c r="AY50" i="14"/>
  <c r="BD50" i="14" s="1"/>
  <c r="BE50" i="14"/>
  <c r="AU49" i="14"/>
  <c r="AQ49" i="14"/>
  <c r="AS49" i="14"/>
  <c r="K49" i="14"/>
  <c r="O49" i="14"/>
  <c r="G25" i="14"/>
  <c r="AR25" i="14" s="1"/>
  <c r="AZ23" i="14"/>
  <c r="BC23" i="14" s="1"/>
  <c r="BG23" i="14"/>
  <c r="E50" i="18"/>
  <c r="AZ49" i="18"/>
  <c r="C49" i="18"/>
  <c r="AJ24" i="14"/>
  <c r="AK24" i="14" s="1"/>
  <c r="AM24" i="14"/>
  <c r="AN24" i="14" s="1"/>
  <c r="AU48" i="18"/>
  <c r="AS48" i="18"/>
  <c r="O48" i="18"/>
  <c r="AQ48" i="18"/>
  <c r="K48" i="18"/>
  <c r="C49" i="17"/>
  <c r="E50" i="17"/>
  <c r="AZ49" i="17"/>
  <c r="H25" i="18"/>
  <c r="E52" i="15"/>
  <c r="C51" i="15"/>
  <c r="AZ51" i="15"/>
  <c r="AW24" i="18"/>
  <c r="AX24" i="18" s="1"/>
  <c r="AY24" i="18" s="1"/>
  <c r="AX119" i="14"/>
  <c r="BB119" i="14" s="1"/>
  <c r="C119" i="14"/>
  <c r="BF119" i="14"/>
  <c r="E120" i="14"/>
  <c r="AY119" i="14"/>
  <c r="BD119" i="14" s="1"/>
  <c r="AW119" i="14"/>
  <c r="BA119" i="14" s="1"/>
  <c r="BE119" i="14"/>
  <c r="T37" i="18"/>
  <c r="S38" i="18" s="1"/>
  <c r="T38" i="14"/>
  <c r="S39" i="14" s="1"/>
  <c r="AG52" i="3"/>
  <c r="AQ55" i="3"/>
  <c r="G54" i="3"/>
  <c r="AV53" i="3"/>
  <c r="AX53" i="3" s="1"/>
  <c r="V53" i="3"/>
  <c r="X53" i="3" s="1"/>
  <c r="AW55" i="3"/>
  <c r="AI50" i="3"/>
  <c r="BE50" i="3" s="1"/>
  <c r="BC51" i="3"/>
  <c r="AE52" i="3"/>
  <c r="A53" i="3"/>
  <c r="BI53" i="3" s="1"/>
  <c r="BJ53" i="3" s="1"/>
  <c r="AF51" i="3"/>
  <c r="AD51" i="3" s="1"/>
  <c r="H52" i="3"/>
  <c r="Y52" i="3"/>
  <c r="AC51" i="3"/>
  <c r="AL52" i="3"/>
  <c r="AH52" i="3"/>
  <c r="BD51" i="3"/>
  <c r="AN55" i="3"/>
  <c r="AN56" i="3" s="1"/>
  <c r="O21" i="21" l="1"/>
  <c r="K20" i="25"/>
  <c r="F21" i="25" s="1"/>
  <c r="J22" i="25" s="1"/>
  <c r="AR20" i="25"/>
  <c r="I20" i="25"/>
  <c r="Q20" i="25" s="1"/>
  <c r="L21" i="25" s="1"/>
  <c r="L26" i="24"/>
  <c r="I27" i="24" s="1"/>
  <c r="K27" i="24" s="1"/>
  <c r="Z115" i="23"/>
  <c r="Y115" i="23"/>
  <c r="AC115" i="23" s="1"/>
  <c r="X116" i="23" s="1"/>
  <c r="AA116" i="23" s="1"/>
  <c r="AG30" i="29"/>
  <c r="AF31" i="29" s="1"/>
  <c r="AS90" i="23"/>
  <c r="T115" i="23"/>
  <c r="S115" i="23"/>
  <c r="W115" i="23" s="1"/>
  <c r="R116" i="23" s="1"/>
  <c r="U116" i="23" s="1"/>
  <c r="AU90" i="23"/>
  <c r="AQ90" i="23"/>
  <c r="F91" i="23"/>
  <c r="I91" i="23" s="1"/>
  <c r="AR91" i="23" s="1"/>
  <c r="J23" i="29"/>
  <c r="I22" i="29"/>
  <c r="O91" i="23"/>
  <c r="P92" i="23"/>
  <c r="N91" i="23"/>
  <c r="M91" i="23"/>
  <c r="AT31" i="29"/>
  <c r="Y29" i="28"/>
  <c r="AG29" i="28" s="1"/>
  <c r="AF30" i="28" s="1"/>
  <c r="AB29" i="28"/>
  <c r="T32" i="28"/>
  <c r="V32" i="28"/>
  <c r="P22" i="24"/>
  <c r="M23" i="24" s="1"/>
  <c r="R22" i="24"/>
  <c r="Q23" i="24" s="1"/>
  <c r="T22" i="24"/>
  <c r="S23" i="24" s="1"/>
  <c r="AG19" i="25"/>
  <c r="AF20" i="25" s="1"/>
  <c r="BB53" i="3"/>
  <c r="AE19" i="25"/>
  <c r="AD20" i="25" s="1"/>
  <c r="AT20" i="25" s="1"/>
  <c r="W19" i="25"/>
  <c r="R20" i="25" s="1"/>
  <c r="AC19" i="25"/>
  <c r="X20" i="25" s="1"/>
  <c r="AR55" i="3"/>
  <c r="AM53" i="3"/>
  <c r="AL53" i="3"/>
  <c r="R31" i="23"/>
  <c r="Q32" i="23" s="1"/>
  <c r="AT32" i="23" s="1"/>
  <c r="AK51" i="3"/>
  <c r="BG51" i="3" s="1"/>
  <c r="J37" i="26"/>
  <c r="L37" i="26" s="1"/>
  <c r="I38" i="26" s="1"/>
  <c r="P53" i="20"/>
  <c r="AQ53" i="20"/>
  <c r="AR53" i="20" s="1"/>
  <c r="O54" i="20"/>
  <c r="AN53" i="20"/>
  <c r="AT25" i="26"/>
  <c r="J38" i="23"/>
  <c r="L38" i="23" s="1"/>
  <c r="I39" i="23" s="1"/>
  <c r="N25" i="26"/>
  <c r="T25" i="26" s="1"/>
  <c r="S26" i="26" s="1"/>
  <c r="BA31" i="21"/>
  <c r="F23" i="28"/>
  <c r="AS22" i="28"/>
  <c r="AQ22" i="28"/>
  <c r="G22" i="29"/>
  <c r="AI22" i="29" s="1"/>
  <c r="AJ22" i="29" s="1"/>
  <c r="H22" i="29"/>
  <c r="AP22" i="29" s="1"/>
  <c r="AW21" i="29"/>
  <c r="AX21" i="29" s="1"/>
  <c r="AY21" i="29" s="1"/>
  <c r="T35" i="29"/>
  <c r="S35" i="29"/>
  <c r="W35" i="29" s="1"/>
  <c r="R36" i="29" s="1"/>
  <c r="U36" i="29" s="1"/>
  <c r="AZ49" i="29"/>
  <c r="C49" i="29"/>
  <c r="E50" i="29"/>
  <c r="AS49" i="26"/>
  <c r="AU49" i="26"/>
  <c r="AQ49" i="26"/>
  <c r="O49" i="26"/>
  <c r="K49" i="26"/>
  <c r="F22" i="26"/>
  <c r="AI21" i="26"/>
  <c r="AJ21" i="26" s="1"/>
  <c r="AK21" i="26" s="1"/>
  <c r="AL21" i="26"/>
  <c r="AM21" i="26" s="1"/>
  <c r="AN21" i="26" s="1"/>
  <c r="Z29" i="28"/>
  <c r="C50" i="26"/>
  <c r="AZ50" i="26"/>
  <c r="E51" i="26"/>
  <c r="S32" i="28"/>
  <c r="C50" i="28"/>
  <c r="AZ50" i="28"/>
  <c r="E51" i="28"/>
  <c r="AL20" i="25"/>
  <c r="AM20" i="25" s="1"/>
  <c r="AN20" i="25" s="1"/>
  <c r="AR49" i="25"/>
  <c r="U49" i="25"/>
  <c r="V49" i="25"/>
  <c r="AA49" i="25"/>
  <c r="AB49" i="25"/>
  <c r="BA50" i="25"/>
  <c r="BB50" i="25"/>
  <c r="BC50" i="25"/>
  <c r="H19" i="24"/>
  <c r="F20" i="24" s="1"/>
  <c r="G20" i="24" s="1"/>
  <c r="AR20" i="24" s="1"/>
  <c r="AO20" i="25"/>
  <c r="AW18" i="24"/>
  <c r="AX18" i="24" s="1"/>
  <c r="AY18" i="24" s="1"/>
  <c r="C50" i="25"/>
  <c r="AZ50" i="25"/>
  <c r="BD50" i="25"/>
  <c r="E51" i="25"/>
  <c r="AU49" i="24"/>
  <c r="AS49" i="24"/>
  <c r="AQ49" i="24"/>
  <c r="C50" i="24"/>
  <c r="AZ50" i="24"/>
  <c r="E51" i="24"/>
  <c r="H21" i="15"/>
  <c r="K51" i="15"/>
  <c r="O51" i="15"/>
  <c r="AQ51" i="15"/>
  <c r="AS51" i="15"/>
  <c r="AU51" i="15"/>
  <c r="P47" i="23"/>
  <c r="M48" i="23" s="1"/>
  <c r="N48" i="23" s="1"/>
  <c r="AW49" i="23"/>
  <c r="BA49" i="23" s="1"/>
  <c r="AX49" i="23"/>
  <c r="BB49" i="23" s="1"/>
  <c r="AY49" i="23"/>
  <c r="BD49" i="23" s="1"/>
  <c r="C49" i="23"/>
  <c r="O49" i="23" s="1"/>
  <c r="BF49" i="23"/>
  <c r="E50" i="23"/>
  <c r="BE49" i="23"/>
  <c r="AQ48" i="23"/>
  <c r="AS48" i="23"/>
  <c r="AU48" i="23"/>
  <c r="AW119" i="23"/>
  <c r="BA119" i="23" s="1"/>
  <c r="AX119" i="23"/>
  <c r="BB119" i="23" s="1"/>
  <c r="AY119" i="23"/>
  <c r="BD119" i="23" s="1"/>
  <c r="G21" i="23"/>
  <c r="AR21" i="23" s="1"/>
  <c r="AJ20" i="23"/>
  <c r="AK20" i="23" s="1"/>
  <c r="AM20" i="23"/>
  <c r="AN20" i="23" s="1"/>
  <c r="K48" i="23"/>
  <c r="C119" i="23"/>
  <c r="BE119" i="23"/>
  <c r="BF119" i="23"/>
  <c r="E120" i="23"/>
  <c r="BA19" i="22"/>
  <c r="BA31" i="22" s="1"/>
  <c r="AW31" i="22"/>
  <c r="AC30" i="29"/>
  <c r="X31" i="29" s="1"/>
  <c r="O48" i="25"/>
  <c r="T40" i="23"/>
  <c r="S41" i="23" s="1"/>
  <c r="I48" i="25"/>
  <c r="AE107" i="23"/>
  <c r="AD108" i="23" s="1"/>
  <c r="AT108" i="23" s="1"/>
  <c r="AG107" i="23"/>
  <c r="AF108" i="23" s="1"/>
  <c r="AJ51" i="3"/>
  <c r="BF51" i="3" s="1"/>
  <c r="N40" i="14"/>
  <c r="P40" i="14" s="1"/>
  <c r="M41" i="14" s="1"/>
  <c r="AT30" i="18"/>
  <c r="R30" i="18"/>
  <c r="Q31" i="18" s="1"/>
  <c r="T23" i="15"/>
  <c r="S24" i="15" s="1"/>
  <c r="AT28" i="14"/>
  <c r="R28" i="14"/>
  <c r="Q29" i="14" s="1"/>
  <c r="AR50" i="19"/>
  <c r="L32" i="15"/>
  <c r="I33" i="15" s="1"/>
  <c r="J33" i="15" s="1"/>
  <c r="AA119" i="14"/>
  <c r="I119" i="14"/>
  <c r="AR119" i="14" s="1"/>
  <c r="U119" i="14"/>
  <c r="O119" i="14"/>
  <c r="V119" i="14"/>
  <c r="V51" i="17"/>
  <c r="O51" i="17"/>
  <c r="U51" i="19"/>
  <c r="AB119" i="14"/>
  <c r="AB51" i="17"/>
  <c r="I51" i="17"/>
  <c r="O51" i="19"/>
  <c r="AA51" i="17"/>
  <c r="AB51" i="19"/>
  <c r="I51" i="19"/>
  <c r="AA51" i="19"/>
  <c r="V51" i="19"/>
  <c r="U51" i="17"/>
  <c r="E52" i="19"/>
  <c r="AZ51" i="19"/>
  <c r="C51" i="19"/>
  <c r="L49" i="14"/>
  <c r="I50" i="14" s="1"/>
  <c r="J50" i="14" s="1"/>
  <c r="L48" i="18"/>
  <c r="I49" i="18" s="1"/>
  <c r="J49" i="18" s="1"/>
  <c r="BD51" i="16"/>
  <c r="AZ51" i="16"/>
  <c r="C51" i="16"/>
  <c r="E52" i="16"/>
  <c r="O50" i="14"/>
  <c r="AU50" i="14"/>
  <c r="K50" i="14"/>
  <c r="AS50" i="14"/>
  <c r="AQ50" i="14"/>
  <c r="AR50" i="16"/>
  <c r="AY51" i="14"/>
  <c r="BD51" i="14" s="1"/>
  <c r="E52" i="14"/>
  <c r="BF51" i="14"/>
  <c r="BE51" i="14"/>
  <c r="AW51" i="14"/>
  <c r="BA51" i="14" s="1"/>
  <c r="AX51" i="14"/>
  <c r="BB51" i="14" s="1"/>
  <c r="C51" i="14"/>
  <c r="K49" i="18"/>
  <c r="AU49" i="18"/>
  <c r="O49" i="18"/>
  <c r="AQ49" i="18"/>
  <c r="AS49" i="18"/>
  <c r="H25" i="14"/>
  <c r="AV24" i="14"/>
  <c r="C50" i="18"/>
  <c r="E51" i="18"/>
  <c r="AZ50" i="18"/>
  <c r="AZ50" i="17"/>
  <c r="C50" i="17"/>
  <c r="E51" i="17"/>
  <c r="E53" i="15"/>
  <c r="C52" i="15"/>
  <c r="AZ52" i="15"/>
  <c r="F26" i="18"/>
  <c r="AI25" i="18"/>
  <c r="AJ25" i="18" s="1"/>
  <c r="AK25" i="18" s="1"/>
  <c r="AL25" i="18"/>
  <c r="BF120" i="14"/>
  <c r="BE120" i="14"/>
  <c r="AX120" i="14"/>
  <c r="BB120" i="14" s="1"/>
  <c r="E121" i="14"/>
  <c r="AY120" i="14"/>
  <c r="BD120" i="14" s="1"/>
  <c r="C120" i="14"/>
  <c r="P37" i="18"/>
  <c r="M38" i="18" s="1"/>
  <c r="N38" i="18" s="1"/>
  <c r="T39" i="14"/>
  <c r="S40" i="14" s="1"/>
  <c r="AH53" i="3"/>
  <c r="BD52" i="3"/>
  <c r="H53" i="3"/>
  <c r="AF52" i="3"/>
  <c r="AD52" i="3" s="1"/>
  <c r="BC52" i="3"/>
  <c r="AE53" i="3"/>
  <c r="AW56" i="3"/>
  <c r="V54" i="3"/>
  <c r="X54" i="3" s="1"/>
  <c r="G55" i="3"/>
  <c r="AV54" i="3"/>
  <c r="AX54" i="3" s="1"/>
  <c r="AG53" i="3"/>
  <c r="AI51" i="3"/>
  <c r="BE51" i="3" s="1"/>
  <c r="Y53" i="3"/>
  <c r="AC52" i="3"/>
  <c r="A54" i="3"/>
  <c r="BI54" i="3" s="1"/>
  <c r="BJ54" i="3" s="1"/>
  <c r="AQ56" i="3"/>
  <c r="P56" i="3"/>
  <c r="Z20" i="25" l="1"/>
  <c r="AA20" i="25"/>
  <c r="AS20" i="25"/>
  <c r="AQ20" i="25"/>
  <c r="AI20" i="25"/>
  <c r="AJ20" i="25" s="1"/>
  <c r="AK20" i="25" s="1"/>
  <c r="G21" i="25"/>
  <c r="K21" i="25" s="1"/>
  <c r="F22" i="25" s="1"/>
  <c r="AU20" i="25"/>
  <c r="H21" i="25"/>
  <c r="S20" i="25"/>
  <c r="U20" i="25"/>
  <c r="J27" i="24"/>
  <c r="L27" i="24" s="1"/>
  <c r="I28" i="24" s="1"/>
  <c r="K28" i="24" s="1"/>
  <c r="Z116" i="23"/>
  <c r="Y116" i="23"/>
  <c r="AC116" i="23" s="1"/>
  <c r="X117" i="23" s="1"/>
  <c r="AA117" i="23" s="1"/>
  <c r="AE32" i="28"/>
  <c r="AD33" i="28" s="1"/>
  <c r="AT33" i="28" s="1"/>
  <c r="T116" i="23"/>
  <c r="S116" i="23"/>
  <c r="W116" i="23" s="1"/>
  <c r="R117" i="23" s="1"/>
  <c r="U117" i="23" s="1"/>
  <c r="O23" i="24"/>
  <c r="N23" i="24"/>
  <c r="T23" i="24" s="1"/>
  <c r="S24" i="24" s="1"/>
  <c r="AV90" i="23"/>
  <c r="AZ90" i="23" s="1"/>
  <c r="BC90" i="23" s="1"/>
  <c r="J92" i="23"/>
  <c r="G91" i="23"/>
  <c r="AL91" i="23" s="1"/>
  <c r="AM91" i="23" s="1"/>
  <c r="AN91" i="23" s="1"/>
  <c r="H91" i="23"/>
  <c r="AO91" i="23" s="1"/>
  <c r="AC29" i="28"/>
  <c r="X30" i="28" s="1"/>
  <c r="AB30" i="28" s="1"/>
  <c r="Z31" i="29"/>
  <c r="AA31" i="29"/>
  <c r="AE31" i="29" s="1"/>
  <c r="AD32" i="29" s="1"/>
  <c r="AR22" i="29"/>
  <c r="Q22" i="29"/>
  <c r="L23" i="29" s="1"/>
  <c r="Q91" i="23"/>
  <c r="L92" i="23" s="1"/>
  <c r="H23" i="28"/>
  <c r="AP23" i="28" s="1"/>
  <c r="I23" i="28"/>
  <c r="Q23" i="28" s="1"/>
  <c r="L24" i="28" s="1"/>
  <c r="AT23" i="24"/>
  <c r="BB54" i="3"/>
  <c r="T20" i="25"/>
  <c r="Y20" i="25"/>
  <c r="AR56" i="3"/>
  <c r="AN54" i="20"/>
  <c r="R32" i="23"/>
  <c r="Q33" i="23" s="1"/>
  <c r="AT33" i="23" s="1"/>
  <c r="R25" i="26"/>
  <c r="Q26" i="26" s="1"/>
  <c r="P25" i="26"/>
  <c r="M26" i="26" s="1"/>
  <c r="N26" i="26" s="1"/>
  <c r="P26" i="26" s="1"/>
  <c r="M27" i="26" s="1"/>
  <c r="N27" i="26" s="1"/>
  <c r="P27" i="26" s="1"/>
  <c r="M28" i="26" s="1"/>
  <c r="N28" i="26" s="1"/>
  <c r="P28" i="26" s="1"/>
  <c r="M29" i="26" s="1"/>
  <c r="N29" i="26" s="1"/>
  <c r="P29" i="26" s="1"/>
  <c r="M30" i="26" s="1"/>
  <c r="N30" i="26" s="1"/>
  <c r="P30" i="26" s="1"/>
  <c r="M31" i="26" s="1"/>
  <c r="J38" i="26"/>
  <c r="L38" i="26" s="1"/>
  <c r="I39" i="26" s="1"/>
  <c r="J39" i="23"/>
  <c r="L39" i="23" s="1"/>
  <c r="I40" i="23" s="1"/>
  <c r="P54" i="20"/>
  <c r="O55" i="20"/>
  <c r="AQ54" i="20"/>
  <c r="AR54" i="20" s="1"/>
  <c r="AK52" i="3"/>
  <c r="BG52" i="3" s="1"/>
  <c r="AW22" i="28"/>
  <c r="AX22" i="28" s="1"/>
  <c r="AY22" i="28" s="1"/>
  <c r="J24" i="28"/>
  <c r="G23" i="28"/>
  <c r="AI23" i="28" s="1"/>
  <c r="AJ23" i="28" s="1"/>
  <c r="AK23" i="28" s="1"/>
  <c r="AK22" i="29"/>
  <c r="K22" i="29"/>
  <c r="AL22" i="29"/>
  <c r="AM22" i="29" s="1"/>
  <c r="AN22" i="29" s="1"/>
  <c r="AO22" i="29"/>
  <c r="T36" i="29"/>
  <c r="S36" i="29"/>
  <c r="W36" i="29" s="1"/>
  <c r="R37" i="29" s="1"/>
  <c r="U37" i="29" s="1"/>
  <c r="C50" i="29"/>
  <c r="AZ50" i="29"/>
  <c r="E51" i="29"/>
  <c r="Y31" i="29"/>
  <c r="G22" i="26"/>
  <c r="AR22" i="26" s="1"/>
  <c r="AW21" i="26"/>
  <c r="AX21" i="26" s="1"/>
  <c r="AY21" i="26" s="1"/>
  <c r="O50" i="26"/>
  <c r="K50" i="26"/>
  <c r="AS50" i="26"/>
  <c r="AU50" i="26"/>
  <c r="AQ50" i="26"/>
  <c r="AZ51" i="26"/>
  <c r="C51" i="26"/>
  <c r="E52" i="26"/>
  <c r="W32" i="28"/>
  <c r="R33" i="28" s="1"/>
  <c r="C51" i="28"/>
  <c r="AZ51" i="28"/>
  <c r="E52" i="28"/>
  <c r="AI19" i="24"/>
  <c r="AJ19" i="24" s="1"/>
  <c r="AK19" i="24" s="1"/>
  <c r="AL19" i="24"/>
  <c r="AM19" i="24" s="1"/>
  <c r="AR50" i="25"/>
  <c r="U50" i="25"/>
  <c r="V50" i="25"/>
  <c r="AA50" i="25"/>
  <c r="AB50" i="25"/>
  <c r="BA51" i="25"/>
  <c r="BB51" i="25"/>
  <c r="BC51" i="25"/>
  <c r="N21" i="25"/>
  <c r="P22" i="25"/>
  <c r="M21" i="25"/>
  <c r="AZ51" i="25"/>
  <c r="BD51" i="25"/>
  <c r="C51" i="25"/>
  <c r="E52" i="25"/>
  <c r="AQ50" i="24"/>
  <c r="AS50" i="24"/>
  <c r="AU50" i="24"/>
  <c r="C51" i="24"/>
  <c r="AZ51" i="24"/>
  <c r="E52" i="24"/>
  <c r="P48" i="23"/>
  <c r="M49" i="23" s="1"/>
  <c r="N49" i="23" s="1"/>
  <c r="H20" i="24"/>
  <c r="F22" i="15"/>
  <c r="AI21" i="15"/>
  <c r="AJ21" i="15" s="1"/>
  <c r="AK21" i="15" s="1"/>
  <c r="AL21" i="15"/>
  <c r="AM21" i="15" s="1"/>
  <c r="AN21" i="15" s="1"/>
  <c r="O52" i="15"/>
  <c r="AQ52" i="15"/>
  <c r="AS52" i="15"/>
  <c r="AU52" i="15"/>
  <c r="K52" i="15"/>
  <c r="AV20" i="23"/>
  <c r="AZ20" i="23" s="1"/>
  <c r="BC20" i="23" s="1"/>
  <c r="K49" i="23"/>
  <c r="AW50" i="23"/>
  <c r="BA50" i="23" s="1"/>
  <c r="AX50" i="23"/>
  <c r="BB50" i="23" s="1"/>
  <c r="AY50" i="23"/>
  <c r="BD50" i="23" s="1"/>
  <c r="C50" i="23"/>
  <c r="BF50" i="23"/>
  <c r="BE50" i="23"/>
  <c r="E51" i="23"/>
  <c r="H21" i="23"/>
  <c r="AQ49" i="23"/>
  <c r="AS49" i="23"/>
  <c r="AU49" i="23"/>
  <c r="AX120" i="23"/>
  <c r="BB120" i="23" s="1"/>
  <c r="AY120" i="23"/>
  <c r="BD120" i="23" s="1"/>
  <c r="C120" i="23"/>
  <c r="BE120" i="23"/>
  <c r="BF120" i="23"/>
  <c r="E121" i="23"/>
  <c r="O49" i="25"/>
  <c r="I49" i="25"/>
  <c r="T41" i="23"/>
  <c r="S42" i="23" s="1"/>
  <c r="AG108" i="23"/>
  <c r="AF109" i="23" s="1"/>
  <c r="AE108" i="23"/>
  <c r="AD109" i="23" s="1"/>
  <c r="AT109" i="23" s="1"/>
  <c r="R23" i="15"/>
  <c r="Q24" i="15" s="1"/>
  <c r="AT24" i="15" s="1"/>
  <c r="AT31" i="18"/>
  <c r="R31" i="18"/>
  <c r="Q32" i="18" s="1"/>
  <c r="P23" i="15"/>
  <c r="M24" i="15" s="1"/>
  <c r="N24" i="15" s="1"/>
  <c r="AT29" i="14"/>
  <c r="R29" i="14"/>
  <c r="Q30" i="14" s="1"/>
  <c r="AJ52" i="3"/>
  <c r="BF52" i="3" s="1"/>
  <c r="N41" i="14"/>
  <c r="P41" i="14" s="1"/>
  <c r="M42" i="14" s="1"/>
  <c r="AR51" i="19"/>
  <c r="L33" i="15"/>
  <c r="I34" i="15" s="1"/>
  <c r="J34" i="15" s="1"/>
  <c r="U120" i="14"/>
  <c r="O120" i="14"/>
  <c r="AB120" i="14"/>
  <c r="I120" i="14"/>
  <c r="AR120" i="14" s="1"/>
  <c r="AA120" i="14"/>
  <c r="AB52" i="17"/>
  <c r="O52" i="17"/>
  <c r="V120" i="14"/>
  <c r="I52" i="17"/>
  <c r="V52" i="19"/>
  <c r="AA52" i="17"/>
  <c r="U52" i="17"/>
  <c r="AA52" i="19"/>
  <c r="U52" i="19"/>
  <c r="AB52" i="19"/>
  <c r="V52" i="17"/>
  <c r="O52" i="19"/>
  <c r="I52" i="19"/>
  <c r="L49" i="18"/>
  <c r="I50" i="18" s="1"/>
  <c r="E53" i="19"/>
  <c r="AZ52" i="19"/>
  <c r="C52" i="19"/>
  <c r="AR51" i="16"/>
  <c r="O51" i="14"/>
  <c r="AU51" i="14"/>
  <c r="AQ51" i="14"/>
  <c r="K51" i="14"/>
  <c r="AS51" i="14"/>
  <c r="AZ52" i="16"/>
  <c r="C52" i="16"/>
  <c r="BD52" i="16"/>
  <c r="E53" i="16"/>
  <c r="L50" i="14"/>
  <c r="I51" i="14" s="1"/>
  <c r="J51" i="14" s="1"/>
  <c r="E53" i="14"/>
  <c r="BE52" i="14"/>
  <c r="AY52" i="14"/>
  <c r="BD52" i="14" s="1"/>
  <c r="C52" i="14"/>
  <c r="BF52" i="14"/>
  <c r="AX52" i="14"/>
  <c r="BB52" i="14" s="1"/>
  <c r="AW52" i="14"/>
  <c r="BA52" i="14" s="1"/>
  <c r="AZ51" i="18"/>
  <c r="E52" i="18"/>
  <c r="C51" i="18"/>
  <c r="AZ24" i="14"/>
  <c r="BC24" i="14" s="1"/>
  <c r="BG24" i="14"/>
  <c r="K50" i="18"/>
  <c r="O50" i="18"/>
  <c r="AQ50" i="18"/>
  <c r="AU50" i="18"/>
  <c r="AS50" i="18"/>
  <c r="AZ51" i="17"/>
  <c r="C51" i="17"/>
  <c r="E52" i="17"/>
  <c r="AL25" i="14"/>
  <c r="F26" i="14"/>
  <c r="AI25" i="14"/>
  <c r="AM25" i="18"/>
  <c r="AN25" i="18" s="1"/>
  <c r="AW25" i="18" s="1"/>
  <c r="AX25" i="18" s="1"/>
  <c r="AY25" i="18" s="1"/>
  <c r="C53" i="15"/>
  <c r="AZ53" i="15"/>
  <c r="E54" i="15"/>
  <c r="G26" i="18"/>
  <c r="AR26" i="18" s="1"/>
  <c r="E122" i="14"/>
  <c r="BE121" i="14"/>
  <c r="BF121" i="14"/>
  <c r="AY121" i="14"/>
  <c r="BD121" i="14" s="1"/>
  <c r="C121" i="14"/>
  <c r="AX121" i="14"/>
  <c r="BB121" i="14" s="1"/>
  <c r="T38" i="18"/>
  <c r="S39" i="18" s="1"/>
  <c r="T40" i="14"/>
  <c r="AQ57" i="3"/>
  <c r="Y54" i="3"/>
  <c r="AC53" i="3"/>
  <c r="AF53" i="3"/>
  <c r="AD53" i="3" s="1"/>
  <c r="H54" i="3"/>
  <c r="A55" i="3"/>
  <c r="BI55" i="3" s="1"/>
  <c r="BJ55" i="3" s="1"/>
  <c r="AM54" i="3"/>
  <c r="AG54" i="3"/>
  <c r="P57" i="3"/>
  <c r="AW57" i="3"/>
  <c r="AL54" i="3"/>
  <c r="BD53" i="3"/>
  <c r="AH54" i="3"/>
  <c r="AI52" i="3"/>
  <c r="BE52" i="3" s="1"/>
  <c r="AN57" i="3"/>
  <c r="AN58" i="3" s="1"/>
  <c r="G56" i="3"/>
  <c r="AV55" i="3"/>
  <c r="AX55" i="3" s="1"/>
  <c r="V55" i="3"/>
  <c r="X55" i="3" s="1"/>
  <c r="BC53" i="3"/>
  <c r="AE54" i="3"/>
  <c r="AL21" i="25" l="1"/>
  <c r="AM21" i="25" s="1"/>
  <c r="AN21" i="25" s="1"/>
  <c r="AE20" i="25"/>
  <c r="AD21" i="25" s="1"/>
  <c r="AT21" i="25" s="1"/>
  <c r="AO21" i="25"/>
  <c r="AW20" i="25"/>
  <c r="AX20" i="25" s="1"/>
  <c r="AY20" i="25" s="1"/>
  <c r="W20" i="25"/>
  <c r="R21" i="25" s="1"/>
  <c r="AG20" i="25"/>
  <c r="AF21" i="25" s="1"/>
  <c r="J28" i="24"/>
  <c r="L28" i="24" s="1"/>
  <c r="I29" i="24" s="1"/>
  <c r="J29" i="24" s="1"/>
  <c r="Z117" i="23"/>
  <c r="Y117" i="23"/>
  <c r="AC117" i="23" s="1"/>
  <c r="X118" i="23" s="1"/>
  <c r="AA118" i="23" s="1"/>
  <c r="T117" i="23"/>
  <c r="S117" i="23"/>
  <c r="W117" i="23" s="1"/>
  <c r="R118" i="23" s="1"/>
  <c r="U118" i="23" s="1"/>
  <c r="P23" i="24"/>
  <c r="M24" i="24" s="1"/>
  <c r="N24" i="24" s="1"/>
  <c r="T24" i="24" s="1"/>
  <c r="S25" i="24" s="1"/>
  <c r="R23" i="24"/>
  <c r="Q24" i="24" s="1"/>
  <c r="AT24" i="24" s="1"/>
  <c r="AO23" i="28"/>
  <c r="BG90" i="23"/>
  <c r="AI91" i="23"/>
  <c r="AJ91" i="23" s="1"/>
  <c r="AK91" i="23" s="1"/>
  <c r="AP91" i="23"/>
  <c r="K91" i="23"/>
  <c r="F92" i="23" s="1"/>
  <c r="I92" i="23" s="1"/>
  <c r="AR92" i="23" s="1"/>
  <c r="AQ22" i="29"/>
  <c r="Z30" i="28"/>
  <c r="Y30" i="28"/>
  <c r="AG30" i="28" s="1"/>
  <c r="AF31" i="28" s="1"/>
  <c r="AG31" i="29"/>
  <c r="AF32" i="29" s="1"/>
  <c r="O23" i="29"/>
  <c r="P24" i="29"/>
  <c r="M23" i="29"/>
  <c r="N23" i="29"/>
  <c r="O92" i="23"/>
  <c r="N92" i="23"/>
  <c r="M92" i="23"/>
  <c r="P93" i="23"/>
  <c r="O24" i="28"/>
  <c r="N24" i="28"/>
  <c r="P25" i="28"/>
  <c r="M24" i="28"/>
  <c r="AT32" i="29"/>
  <c r="S33" i="28"/>
  <c r="W33" i="28" s="1"/>
  <c r="R34" i="28" s="1"/>
  <c r="V33" i="28"/>
  <c r="BB55" i="3"/>
  <c r="AC20" i="25"/>
  <c r="X21" i="25" s="1"/>
  <c r="Y21" i="25" s="1"/>
  <c r="AR57" i="3"/>
  <c r="AR52" i="19"/>
  <c r="R33" i="23"/>
  <c r="Q34" i="23" s="1"/>
  <c r="AT34" i="23" s="1"/>
  <c r="R26" i="26"/>
  <c r="Q27" i="26" s="1"/>
  <c r="R27" i="26" s="1"/>
  <c r="Q28" i="26" s="1"/>
  <c r="T26" i="26"/>
  <c r="S27" i="26" s="1"/>
  <c r="T27" i="26" s="1"/>
  <c r="S28" i="26" s="1"/>
  <c r="T28" i="26" s="1"/>
  <c r="S29" i="26" s="1"/>
  <c r="T29" i="26" s="1"/>
  <c r="S30" i="26" s="1"/>
  <c r="T30" i="26" s="1"/>
  <c r="S31" i="26" s="1"/>
  <c r="AK53" i="3"/>
  <c r="BG53" i="3" s="1"/>
  <c r="AT26" i="26"/>
  <c r="N31" i="26"/>
  <c r="P31" i="26" s="1"/>
  <c r="M32" i="26" s="1"/>
  <c r="J40" i="23"/>
  <c r="L40" i="23" s="1"/>
  <c r="I41" i="23" s="1"/>
  <c r="P55" i="20"/>
  <c r="AN55" i="20"/>
  <c r="AQ55" i="20"/>
  <c r="AR55" i="20" s="1"/>
  <c r="O56" i="20"/>
  <c r="J39" i="26"/>
  <c r="L39" i="26" s="1"/>
  <c r="I40" i="26" s="1"/>
  <c r="AL23" i="28"/>
  <c r="AM23" i="28" s="1"/>
  <c r="AN23" i="28" s="1"/>
  <c r="K23" i="28"/>
  <c r="AU23" i="28" s="1"/>
  <c r="F23" i="29"/>
  <c r="I23" i="29" s="1"/>
  <c r="AR23" i="29" s="1"/>
  <c r="AS22" i="29"/>
  <c r="AU22" i="29"/>
  <c r="T37" i="29"/>
  <c r="S37" i="29"/>
  <c r="W37" i="29" s="1"/>
  <c r="R38" i="29" s="1"/>
  <c r="U38" i="29" s="1"/>
  <c r="AZ51" i="29"/>
  <c r="C51" i="29"/>
  <c r="E52" i="29"/>
  <c r="H22" i="26"/>
  <c r="K51" i="26"/>
  <c r="O51" i="26"/>
  <c r="AQ51" i="26"/>
  <c r="AS51" i="26"/>
  <c r="AU51" i="26"/>
  <c r="AZ52" i="26"/>
  <c r="C52" i="26"/>
  <c r="E53" i="26"/>
  <c r="T33" i="28"/>
  <c r="AZ52" i="28"/>
  <c r="C52" i="28"/>
  <c r="E53" i="28"/>
  <c r="AP21" i="25"/>
  <c r="AN19" i="24"/>
  <c r="AW19" i="24" s="1"/>
  <c r="AX19" i="24" s="1"/>
  <c r="AY19" i="24" s="1"/>
  <c r="G22" i="25"/>
  <c r="K22" i="25" s="1"/>
  <c r="J23" i="25"/>
  <c r="H22" i="25"/>
  <c r="AR51" i="25"/>
  <c r="U51" i="25"/>
  <c r="V51" i="25"/>
  <c r="AA51" i="25"/>
  <c r="AB51" i="25"/>
  <c r="BA52" i="25"/>
  <c r="BB52" i="25"/>
  <c r="BC52" i="25"/>
  <c r="AW21" i="15"/>
  <c r="AX21" i="15" s="1"/>
  <c r="AY21" i="15" s="1"/>
  <c r="Q21" i="25"/>
  <c r="C52" i="25"/>
  <c r="AZ52" i="25"/>
  <c r="BD52" i="25"/>
  <c r="E53" i="25"/>
  <c r="F21" i="24"/>
  <c r="AL20" i="24"/>
  <c r="AM20" i="24" s="1"/>
  <c r="AI20" i="24"/>
  <c r="AJ20" i="24" s="1"/>
  <c r="C52" i="24"/>
  <c r="AZ52" i="24"/>
  <c r="E53" i="24"/>
  <c r="AQ51" i="24"/>
  <c r="AS51" i="24"/>
  <c r="AU51" i="24"/>
  <c r="G22" i="15"/>
  <c r="AR22" i="15" s="1"/>
  <c r="AS53" i="15"/>
  <c r="AU53" i="15"/>
  <c r="K53" i="15"/>
  <c r="AQ53" i="15"/>
  <c r="O53" i="15"/>
  <c r="BG20" i="23"/>
  <c r="P49" i="23"/>
  <c r="M50" i="23" s="1"/>
  <c r="N50" i="23" s="1"/>
  <c r="O50" i="23"/>
  <c r="F22" i="23"/>
  <c r="AI21" i="23"/>
  <c r="AL21" i="23"/>
  <c r="AQ50" i="23"/>
  <c r="AS50" i="23"/>
  <c r="AU50" i="23"/>
  <c r="AW51" i="23"/>
  <c r="BA51" i="23" s="1"/>
  <c r="AX51" i="23"/>
  <c r="BB51" i="23" s="1"/>
  <c r="AY51" i="23"/>
  <c r="BD51" i="23" s="1"/>
  <c r="E52" i="23"/>
  <c r="C51" i="23"/>
  <c r="BF51" i="23"/>
  <c r="BE51" i="23"/>
  <c r="K50" i="23"/>
  <c r="AX121" i="23"/>
  <c r="BB121" i="23" s="1"/>
  <c r="AY121" i="23"/>
  <c r="BD121" i="23" s="1"/>
  <c r="C121" i="23"/>
  <c r="BE121" i="23"/>
  <c r="BF121" i="23"/>
  <c r="E122" i="23"/>
  <c r="AC31" i="29"/>
  <c r="X32" i="29" s="1"/>
  <c r="T42" i="23"/>
  <c r="S43" i="23" s="1"/>
  <c r="O50" i="25"/>
  <c r="I50" i="25"/>
  <c r="AG109" i="23"/>
  <c r="AF110" i="23" s="1"/>
  <c r="AE109" i="23"/>
  <c r="AD110" i="23" s="1"/>
  <c r="AT110" i="23" s="1"/>
  <c r="N42" i="14"/>
  <c r="P42" i="14" s="1"/>
  <c r="M43" i="14" s="1"/>
  <c r="AT30" i="14"/>
  <c r="R30" i="14"/>
  <c r="Q31" i="14" s="1"/>
  <c r="AJ53" i="3"/>
  <c r="BF53" i="3" s="1"/>
  <c r="AT32" i="18"/>
  <c r="R32" i="18"/>
  <c r="Q33" i="18" s="1"/>
  <c r="L34" i="15"/>
  <c r="I35" i="15" s="1"/>
  <c r="J35" i="15" s="1"/>
  <c r="AA121" i="14"/>
  <c r="I121" i="14"/>
  <c r="AR121" i="14" s="1"/>
  <c r="O121" i="14"/>
  <c r="AB121" i="14"/>
  <c r="U121" i="14"/>
  <c r="V121" i="14"/>
  <c r="V53" i="17"/>
  <c r="AB53" i="17"/>
  <c r="I53" i="17"/>
  <c r="AA53" i="19"/>
  <c r="I53" i="19"/>
  <c r="AA53" i="17"/>
  <c r="U53" i="19"/>
  <c r="U53" i="17"/>
  <c r="O53" i="19"/>
  <c r="V53" i="19"/>
  <c r="O53" i="17"/>
  <c r="AB53" i="19"/>
  <c r="E54" i="19"/>
  <c r="AZ53" i="19"/>
  <c r="C53" i="19"/>
  <c r="BD53" i="16"/>
  <c r="C53" i="16"/>
  <c r="E54" i="16"/>
  <c r="AZ53" i="16"/>
  <c r="BE53" i="14"/>
  <c r="AX53" i="14"/>
  <c r="BB53" i="14" s="1"/>
  <c r="BF53" i="14"/>
  <c r="AW53" i="14"/>
  <c r="BA53" i="14" s="1"/>
  <c r="AY53" i="14"/>
  <c r="BD53" i="14" s="1"/>
  <c r="E54" i="14"/>
  <c r="C53" i="14"/>
  <c r="AR52" i="16"/>
  <c r="O52" i="14"/>
  <c r="AS52" i="14"/>
  <c r="AU52" i="14"/>
  <c r="K52" i="14"/>
  <c r="AQ52" i="14"/>
  <c r="L51" i="14"/>
  <c r="I52" i="14" s="1"/>
  <c r="J52" i="14" s="1"/>
  <c r="AQ51" i="18"/>
  <c r="K51" i="18"/>
  <c r="O51" i="18"/>
  <c r="AU51" i="18"/>
  <c r="AS51" i="18"/>
  <c r="AM25" i="14"/>
  <c r="AN25" i="14" s="1"/>
  <c r="AZ52" i="17"/>
  <c r="E53" i="17"/>
  <c r="C52" i="17"/>
  <c r="J50" i="18"/>
  <c r="L50" i="18" s="1"/>
  <c r="I51" i="18" s="1"/>
  <c r="AJ25" i="14"/>
  <c r="AK25" i="14" s="1"/>
  <c r="E53" i="18"/>
  <c r="AZ52" i="18"/>
  <c r="C52" i="18"/>
  <c r="G26" i="14"/>
  <c r="AR26" i="14" s="1"/>
  <c r="H26" i="18"/>
  <c r="E55" i="15"/>
  <c r="AZ54" i="15"/>
  <c r="C54" i="15"/>
  <c r="S41" i="14"/>
  <c r="T41" i="14" s="1"/>
  <c r="S42" i="14" s="1"/>
  <c r="AY122" i="14"/>
  <c r="BD122" i="14" s="1"/>
  <c r="BE122" i="14"/>
  <c r="C122" i="14"/>
  <c r="BF122" i="14"/>
  <c r="AX122" i="14"/>
  <c r="BB122" i="14" s="1"/>
  <c r="E123" i="14"/>
  <c r="P38" i="18"/>
  <c r="M39" i="18" s="1"/>
  <c r="N39" i="18" s="1"/>
  <c r="AN59" i="3"/>
  <c r="AG55" i="3"/>
  <c r="A56" i="3"/>
  <c r="BI56" i="3" s="1"/>
  <c r="BJ56" i="3" s="1"/>
  <c r="AI53" i="3"/>
  <c r="BE53" i="3" s="1"/>
  <c r="AL55" i="3"/>
  <c r="Y55" i="3"/>
  <c r="AC54" i="3"/>
  <c r="AW58" i="3"/>
  <c r="AM55" i="3"/>
  <c r="H55" i="3"/>
  <c r="AF54" i="3"/>
  <c r="AD54" i="3" s="1"/>
  <c r="AQ58" i="3"/>
  <c r="AE55" i="3"/>
  <c r="BC54" i="3"/>
  <c r="V56" i="3"/>
  <c r="X56" i="3" s="1"/>
  <c r="AV56" i="3"/>
  <c r="AX56" i="3" s="1"/>
  <c r="G57" i="3"/>
  <c r="AH55" i="3"/>
  <c r="BD54" i="3"/>
  <c r="P58" i="3"/>
  <c r="P59" i="3" s="1"/>
  <c r="S21" i="25" l="1"/>
  <c r="AE21" i="25" s="1"/>
  <c r="AD22" i="25" s="1"/>
  <c r="AT22" i="25" s="1"/>
  <c r="T21" i="25"/>
  <c r="O24" i="24"/>
  <c r="P24" i="24" s="1"/>
  <c r="M25" i="24" s="1"/>
  <c r="K29" i="24"/>
  <c r="L29" i="24" s="1"/>
  <c r="I30" i="24" s="1"/>
  <c r="K30" i="24" s="1"/>
  <c r="Y118" i="23"/>
  <c r="AC118" i="23" s="1"/>
  <c r="X119" i="23" s="1"/>
  <c r="AA119" i="23" s="1"/>
  <c r="Z118" i="23"/>
  <c r="T118" i="23"/>
  <c r="S118" i="23"/>
  <c r="W118" i="23" s="1"/>
  <c r="R119" i="23" s="1"/>
  <c r="U119" i="23" s="1"/>
  <c r="AL56" i="3"/>
  <c r="R24" i="24"/>
  <c r="Q25" i="24" s="1"/>
  <c r="AT25" i="24" s="1"/>
  <c r="AU91" i="23"/>
  <c r="AQ91" i="23"/>
  <c r="AS91" i="23"/>
  <c r="AC30" i="28"/>
  <c r="X31" i="28" s="1"/>
  <c r="AB31" i="28" s="1"/>
  <c r="S34" i="28"/>
  <c r="W34" i="28" s="1"/>
  <c r="R35" i="28" s="1"/>
  <c r="V34" i="28"/>
  <c r="Q23" i="29"/>
  <c r="L24" i="29" s="1"/>
  <c r="Q92" i="23"/>
  <c r="L93" i="23" s="1"/>
  <c r="Z32" i="29"/>
  <c r="AA32" i="29"/>
  <c r="AE32" i="29" s="1"/>
  <c r="AD33" i="29" s="1"/>
  <c r="AE33" i="28"/>
  <c r="AD34" i="28" s="1"/>
  <c r="AT34" i="28" s="1"/>
  <c r="BB56" i="3"/>
  <c r="Z21" i="25"/>
  <c r="AR58" i="3"/>
  <c r="AC21" i="25"/>
  <c r="X22" i="25" s="1"/>
  <c r="AG21" i="25"/>
  <c r="AF22" i="25" s="1"/>
  <c r="P56" i="20"/>
  <c r="AN56" i="20"/>
  <c r="R34" i="23"/>
  <c r="Q35" i="23" s="1"/>
  <c r="AT35" i="23" s="1"/>
  <c r="AT27" i="26"/>
  <c r="N32" i="26"/>
  <c r="P32" i="26" s="1"/>
  <c r="M33" i="26" s="1"/>
  <c r="N33" i="26" s="1"/>
  <c r="P33" i="26" s="1"/>
  <c r="M34" i="26" s="1"/>
  <c r="J41" i="23"/>
  <c r="L41" i="23" s="1"/>
  <c r="I42" i="23" s="1"/>
  <c r="AQ56" i="20"/>
  <c r="AR56" i="20" s="1"/>
  <c r="O57" i="20"/>
  <c r="T31" i="26"/>
  <c r="S32" i="26" s="1"/>
  <c r="AK54" i="3"/>
  <c r="BG54" i="3" s="1"/>
  <c r="J40" i="26"/>
  <c r="L40" i="26" s="1"/>
  <c r="I41" i="26" s="1"/>
  <c r="AT28" i="26"/>
  <c r="R28" i="26"/>
  <c r="Q29" i="26" s="1"/>
  <c r="AW22" i="29"/>
  <c r="AX22" i="29" s="1"/>
  <c r="AY22" i="29" s="1"/>
  <c r="AS23" i="28"/>
  <c r="AQ23" i="28"/>
  <c r="F24" i="28"/>
  <c r="G23" i="29"/>
  <c r="AI23" i="29" s="1"/>
  <c r="AJ23" i="29" s="1"/>
  <c r="AK23" i="29" s="1"/>
  <c r="H23" i="29"/>
  <c r="AP23" i="29" s="1"/>
  <c r="J24" i="29"/>
  <c r="T38" i="29"/>
  <c r="S38" i="29"/>
  <c r="W38" i="29" s="1"/>
  <c r="R39" i="29" s="1"/>
  <c r="U39" i="29" s="1"/>
  <c r="C52" i="29"/>
  <c r="AZ52" i="29"/>
  <c r="E53" i="29"/>
  <c r="Y32" i="29"/>
  <c r="F23" i="26"/>
  <c r="AI22" i="26"/>
  <c r="AJ22" i="26" s="1"/>
  <c r="AK22" i="26" s="1"/>
  <c r="AL22" i="26"/>
  <c r="O52" i="26"/>
  <c r="AQ52" i="26"/>
  <c r="AS52" i="26"/>
  <c r="AU52" i="26"/>
  <c r="K52" i="26"/>
  <c r="T34" i="28"/>
  <c r="AZ53" i="26"/>
  <c r="C53" i="26"/>
  <c r="E54" i="26"/>
  <c r="C53" i="28"/>
  <c r="AZ53" i="28"/>
  <c r="E54" i="28"/>
  <c r="F23" i="25"/>
  <c r="AR52" i="25"/>
  <c r="U52" i="25"/>
  <c r="V52" i="25"/>
  <c r="AA52" i="25"/>
  <c r="AB52" i="25"/>
  <c r="BA53" i="25"/>
  <c r="BB53" i="25"/>
  <c r="BC53" i="25"/>
  <c r="AU21" i="25"/>
  <c r="AQ21" i="25"/>
  <c r="AI21" i="25"/>
  <c r="AS21" i="25"/>
  <c r="AZ53" i="25"/>
  <c r="BD53" i="25"/>
  <c r="C53" i="25"/>
  <c r="E54" i="25"/>
  <c r="L22" i="25"/>
  <c r="AZ53" i="24"/>
  <c r="C53" i="24"/>
  <c r="E54" i="24"/>
  <c r="AQ52" i="24"/>
  <c r="AS52" i="24"/>
  <c r="AU52" i="24"/>
  <c r="AN20" i="24"/>
  <c r="AK20" i="24"/>
  <c r="G21" i="24"/>
  <c r="AR21" i="24" s="1"/>
  <c r="G92" i="23"/>
  <c r="AI92" i="23" s="1"/>
  <c r="AJ92" i="23" s="1"/>
  <c r="AK92" i="23" s="1"/>
  <c r="H92" i="23"/>
  <c r="J93" i="23"/>
  <c r="H22" i="15"/>
  <c r="K54" i="15"/>
  <c r="O54" i="15"/>
  <c r="AQ54" i="15"/>
  <c r="AS54" i="15"/>
  <c r="AU54" i="15"/>
  <c r="P50" i="23"/>
  <c r="M51" i="23" s="1"/>
  <c r="G22" i="23"/>
  <c r="AR22" i="23" s="1"/>
  <c r="AM21" i="23"/>
  <c r="AN21" i="23" s="1"/>
  <c r="AW52" i="23"/>
  <c r="BA52" i="23" s="1"/>
  <c r="AX52" i="23"/>
  <c r="BB52" i="23" s="1"/>
  <c r="AY52" i="23"/>
  <c r="BD52" i="23" s="1"/>
  <c r="BF52" i="23"/>
  <c r="E53" i="23"/>
  <c r="C52" i="23"/>
  <c r="K52" i="23" s="1"/>
  <c r="BE52" i="23"/>
  <c r="AQ51" i="23"/>
  <c r="AS51" i="23"/>
  <c r="AU51" i="23"/>
  <c r="AX122" i="23"/>
  <c r="BB122" i="23" s="1"/>
  <c r="AY122" i="23"/>
  <c r="BD122" i="23" s="1"/>
  <c r="AJ21" i="23"/>
  <c r="AK21" i="23" s="1"/>
  <c r="K51" i="23"/>
  <c r="O51" i="23"/>
  <c r="C122" i="23"/>
  <c r="BE122" i="23"/>
  <c r="BF122" i="23"/>
  <c r="E123" i="23"/>
  <c r="T43" i="23"/>
  <c r="S44" i="23" s="1"/>
  <c r="O51" i="25"/>
  <c r="I51" i="25"/>
  <c r="AG110" i="23"/>
  <c r="AF111" i="23" s="1"/>
  <c r="AE110" i="23"/>
  <c r="AD111" i="23" s="1"/>
  <c r="AT111" i="23" s="1"/>
  <c r="AJ54" i="3"/>
  <c r="BF54" i="3" s="1"/>
  <c r="T42" i="14"/>
  <c r="S43" i="14" s="1"/>
  <c r="AT33" i="18"/>
  <c r="R33" i="18"/>
  <c r="Q34" i="18" s="1"/>
  <c r="T24" i="15"/>
  <c r="S25" i="15" s="1"/>
  <c r="R24" i="15"/>
  <c r="Q25" i="15" s="1"/>
  <c r="AT25" i="15" s="1"/>
  <c r="P24" i="15"/>
  <c r="M25" i="15" s="1"/>
  <c r="N25" i="15" s="1"/>
  <c r="AT31" i="14"/>
  <c r="R31" i="14"/>
  <c r="Q32" i="14" s="1"/>
  <c r="N43" i="14"/>
  <c r="P43" i="14" s="1"/>
  <c r="M44" i="14" s="1"/>
  <c r="L35" i="15"/>
  <c r="I36" i="15" s="1"/>
  <c r="J36" i="15" s="1"/>
  <c r="U122" i="14"/>
  <c r="AB122" i="14"/>
  <c r="I122" i="14"/>
  <c r="AR122" i="14" s="1"/>
  <c r="AA122" i="14"/>
  <c r="O122" i="14"/>
  <c r="AB54" i="17"/>
  <c r="O54" i="17"/>
  <c r="AA54" i="17"/>
  <c r="AB54" i="19"/>
  <c r="O54" i="19"/>
  <c r="V54" i="17"/>
  <c r="I54" i="17"/>
  <c r="I54" i="19"/>
  <c r="AA54" i="19"/>
  <c r="U54" i="17"/>
  <c r="U54" i="19"/>
  <c r="V122" i="14"/>
  <c r="V54" i="19"/>
  <c r="AR53" i="19"/>
  <c r="E55" i="19"/>
  <c r="C54" i="19"/>
  <c r="AZ54" i="19"/>
  <c r="H26" i="14"/>
  <c r="F27" i="14" s="1"/>
  <c r="G27" i="14" s="1"/>
  <c r="AR27" i="14" s="1"/>
  <c r="L52" i="14"/>
  <c r="I53" i="14" s="1"/>
  <c r="J53" i="14" s="1"/>
  <c r="E55" i="16"/>
  <c r="AZ54" i="16"/>
  <c r="BD54" i="16"/>
  <c r="C54" i="16"/>
  <c r="AV25" i="14"/>
  <c r="BG25" i="14" s="1"/>
  <c r="AS53" i="14"/>
  <c r="AU53" i="14"/>
  <c r="K53" i="14"/>
  <c r="AQ53" i="14"/>
  <c r="E55" i="14"/>
  <c r="BF54" i="14"/>
  <c r="AW54" i="14"/>
  <c r="BA54" i="14" s="1"/>
  <c r="C54" i="14"/>
  <c r="BE54" i="14"/>
  <c r="AX54" i="14"/>
  <c r="BB54" i="14" s="1"/>
  <c r="AY54" i="14"/>
  <c r="BD54" i="14" s="1"/>
  <c r="AR53" i="16"/>
  <c r="AS52" i="18"/>
  <c r="O52" i="18"/>
  <c r="K52" i="18"/>
  <c r="AU52" i="18"/>
  <c r="AQ52" i="18"/>
  <c r="AZ53" i="17"/>
  <c r="C53" i="17"/>
  <c r="E54" i="17"/>
  <c r="E54" i="18"/>
  <c r="AZ53" i="18"/>
  <c r="C53" i="18"/>
  <c r="J51" i="18"/>
  <c r="L51" i="18" s="1"/>
  <c r="I52" i="18" s="1"/>
  <c r="J52" i="18" s="1"/>
  <c r="E56" i="15"/>
  <c r="C55" i="15"/>
  <c r="AZ55" i="15"/>
  <c r="F27" i="18"/>
  <c r="AI26" i="18"/>
  <c r="AJ26" i="18" s="1"/>
  <c r="AK26" i="18" s="1"/>
  <c r="AL26" i="18"/>
  <c r="AX123" i="14"/>
  <c r="BB123" i="14" s="1"/>
  <c r="C123" i="14"/>
  <c r="BE123" i="14"/>
  <c r="AY123" i="14"/>
  <c r="BD123" i="14" s="1"/>
  <c r="E124" i="14"/>
  <c r="BF123" i="14"/>
  <c r="G58" i="3"/>
  <c r="AV57" i="3"/>
  <c r="AX57" i="3" s="1"/>
  <c r="V57" i="3"/>
  <c r="X57" i="3" s="1"/>
  <c r="AN60" i="3"/>
  <c r="BC55" i="3"/>
  <c r="AE56" i="3"/>
  <c r="H56" i="3"/>
  <c r="AF55" i="3"/>
  <c r="AD55" i="3" s="1"/>
  <c r="AI54" i="3"/>
  <c r="BE54" i="3" s="1"/>
  <c r="A57" i="3"/>
  <c r="BI57" i="3" s="1"/>
  <c r="BJ57" i="3" s="1"/>
  <c r="AM56" i="3"/>
  <c r="Y56" i="3"/>
  <c r="AC55" i="3"/>
  <c r="AH56" i="3"/>
  <c r="BD55" i="3"/>
  <c r="AQ59" i="3"/>
  <c r="AW59" i="3"/>
  <c r="AG56" i="3"/>
  <c r="W21" i="25" l="1"/>
  <c r="R22" i="25" s="1"/>
  <c r="Z119" i="23"/>
  <c r="Y119" i="23"/>
  <c r="AC119" i="23" s="1"/>
  <c r="X120" i="23" s="1"/>
  <c r="AA120" i="23" s="1"/>
  <c r="T119" i="23"/>
  <c r="S119" i="23"/>
  <c r="W119" i="23" s="1"/>
  <c r="R120" i="23" s="1"/>
  <c r="U120" i="23" s="1"/>
  <c r="J30" i="24"/>
  <c r="L30" i="24" s="1"/>
  <c r="I31" i="24" s="1"/>
  <c r="K31" i="24" s="1"/>
  <c r="O25" i="24"/>
  <c r="N25" i="24"/>
  <c r="T25" i="24" s="1"/>
  <c r="S26" i="24" s="1"/>
  <c r="AV91" i="23"/>
  <c r="AZ91" i="23" s="1"/>
  <c r="BC91" i="23" s="1"/>
  <c r="Z31" i="28"/>
  <c r="Y31" i="28"/>
  <c r="AG31" i="28" s="1"/>
  <c r="AF32" i="28" s="1"/>
  <c r="AG32" i="29"/>
  <c r="AF33" i="29" s="1"/>
  <c r="S35" i="28"/>
  <c r="W35" i="28" s="1"/>
  <c r="R36" i="28" s="1"/>
  <c r="V35" i="28"/>
  <c r="T35" i="28"/>
  <c r="O24" i="29"/>
  <c r="M24" i="29"/>
  <c r="P25" i="29"/>
  <c r="N24" i="29"/>
  <c r="AE34" i="28"/>
  <c r="AD35" i="28" s="1"/>
  <c r="AT35" i="28" s="1"/>
  <c r="G24" i="28"/>
  <c r="AI24" i="28" s="1"/>
  <c r="AJ24" i="28" s="1"/>
  <c r="AK24" i="28" s="1"/>
  <c r="I24" i="28"/>
  <c r="Q24" i="28" s="1"/>
  <c r="L25" i="28" s="1"/>
  <c r="O93" i="23"/>
  <c r="P94" i="23"/>
  <c r="N93" i="23"/>
  <c r="M93" i="23"/>
  <c r="AT33" i="29"/>
  <c r="BB57" i="3"/>
  <c r="P57" i="20"/>
  <c r="AR59" i="3"/>
  <c r="Y22" i="25"/>
  <c r="AC22" i="25" s="1"/>
  <c r="X23" i="25" s="1"/>
  <c r="Z22" i="25"/>
  <c r="AN57" i="20"/>
  <c r="AR54" i="19"/>
  <c r="AM57" i="3"/>
  <c r="R35" i="23"/>
  <c r="Q36" i="23" s="1"/>
  <c r="AT36" i="23" s="1"/>
  <c r="J42" i="23"/>
  <c r="L42" i="23" s="1"/>
  <c r="I43" i="23" s="1"/>
  <c r="J41" i="26"/>
  <c r="L41" i="26" s="1"/>
  <c r="I42" i="26" s="1"/>
  <c r="AT29" i="26"/>
  <c r="R29" i="26"/>
  <c r="Q30" i="26" s="1"/>
  <c r="N34" i="26"/>
  <c r="P34" i="26" s="1"/>
  <c r="M35" i="26" s="1"/>
  <c r="O58" i="20"/>
  <c r="AQ57" i="20"/>
  <c r="AR57" i="20" s="1"/>
  <c r="T32" i="26"/>
  <c r="S33" i="26" s="1"/>
  <c r="T33" i="26" s="1"/>
  <c r="S34" i="26" s="1"/>
  <c r="AK55" i="3"/>
  <c r="BG55" i="3" s="1"/>
  <c r="AW23" i="28"/>
  <c r="AX23" i="28" s="1"/>
  <c r="AY23" i="28" s="1"/>
  <c r="J25" i="28"/>
  <c r="H24" i="28"/>
  <c r="AP24" i="28" s="1"/>
  <c r="K23" i="29"/>
  <c r="F24" i="29" s="1"/>
  <c r="AO23" i="29"/>
  <c r="AL23" i="29"/>
  <c r="T39" i="29"/>
  <c r="S39" i="29"/>
  <c r="W39" i="29" s="1"/>
  <c r="R40" i="29" s="1"/>
  <c r="U40" i="29" s="1"/>
  <c r="AZ53" i="29"/>
  <c r="C53" i="29"/>
  <c r="E54" i="29"/>
  <c r="G23" i="26"/>
  <c r="AR23" i="26" s="1"/>
  <c r="AM22" i="26"/>
  <c r="AN22" i="26" s="1"/>
  <c r="AW22" i="26" s="1"/>
  <c r="AX22" i="26" s="1"/>
  <c r="AY22" i="26" s="1"/>
  <c r="AS53" i="26"/>
  <c r="AU53" i="26"/>
  <c r="AQ53" i="26"/>
  <c r="K53" i="26"/>
  <c r="O53" i="26"/>
  <c r="C54" i="26"/>
  <c r="AZ54" i="26"/>
  <c r="E55" i="26"/>
  <c r="C54" i="28"/>
  <c r="AZ54" i="28"/>
  <c r="E55" i="28"/>
  <c r="G23" i="25"/>
  <c r="K23" i="25" s="1"/>
  <c r="J24" i="25"/>
  <c r="H23" i="25"/>
  <c r="BA54" i="25"/>
  <c r="BB54" i="25"/>
  <c r="BC54" i="25"/>
  <c r="AR53" i="25"/>
  <c r="U53" i="25"/>
  <c r="V53" i="25"/>
  <c r="AA53" i="25"/>
  <c r="AB53" i="25"/>
  <c r="AW20" i="24"/>
  <c r="AX20" i="24" s="1"/>
  <c r="AY20" i="24" s="1"/>
  <c r="AZ54" i="25"/>
  <c r="C54" i="25"/>
  <c r="BD54" i="25"/>
  <c r="E55" i="25"/>
  <c r="P23" i="25"/>
  <c r="N22" i="25"/>
  <c r="AP22" i="25" s="1"/>
  <c r="M22" i="25"/>
  <c r="Q22" i="25" s="1"/>
  <c r="AJ21" i="25"/>
  <c r="AK21" i="25" s="1"/>
  <c r="AW21" i="25" s="1"/>
  <c r="AX21" i="25" s="1"/>
  <c r="AY21" i="25" s="1"/>
  <c r="AQ53" i="24"/>
  <c r="AS53" i="24"/>
  <c r="AU53" i="24"/>
  <c r="C54" i="24"/>
  <c r="AZ54" i="24"/>
  <c r="E55" i="24"/>
  <c r="K92" i="23"/>
  <c r="AL92" i="23"/>
  <c r="AM92" i="23" s="1"/>
  <c r="AN92" i="23" s="1"/>
  <c r="AO92" i="23"/>
  <c r="AP92" i="23"/>
  <c r="H21" i="24"/>
  <c r="F23" i="15"/>
  <c r="AL22" i="15"/>
  <c r="AM22" i="15" s="1"/>
  <c r="AN22" i="15" s="1"/>
  <c r="AI22" i="15"/>
  <c r="AJ22" i="15" s="1"/>
  <c r="AK22" i="15" s="1"/>
  <c r="K55" i="15"/>
  <c r="O55" i="15"/>
  <c r="AQ55" i="15"/>
  <c r="AS55" i="15"/>
  <c r="AU55" i="15"/>
  <c r="AV21" i="23"/>
  <c r="AZ21" i="23" s="1"/>
  <c r="BC21" i="23" s="1"/>
  <c r="N51" i="23"/>
  <c r="P51" i="23" s="1"/>
  <c r="M52" i="23" s="1"/>
  <c r="N52" i="23" s="1"/>
  <c r="AX123" i="23"/>
  <c r="BB123" i="23" s="1"/>
  <c r="AY123" i="23"/>
  <c r="BD123" i="23" s="1"/>
  <c r="AW53" i="23"/>
  <c r="BA53" i="23" s="1"/>
  <c r="AX53" i="23"/>
  <c r="BB53" i="23" s="1"/>
  <c r="AY53" i="23"/>
  <c r="BD53" i="23" s="1"/>
  <c r="C53" i="23"/>
  <c r="BF53" i="23"/>
  <c r="E54" i="23"/>
  <c r="BE53" i="23"/>
  <c r="AQ52" i="23"/>
  <c r="AS52" i="23"/>
  <c r="AU52" i="23"/>
  <c r="O52" i="23"/>
  <c r="H22" i="23"/>
  <c r="C123" i="23"/>
  <c r="BE123" i="23"/>
  <c r="BF123" i="23"/>
  <c r="E124" i="23"/>
  <c r="T44" i="23"/>
  <c r="S45" i="23" s="1"/>
  <c r="AC32" i="29"/>
  <c r="X33" i="29" s="1"/>
  <c r="O52" i="25"/>
  <c r="I52" i="25"/>
  <c r="AG111" i="23"/>
  <c r="AF112" i="23" s="1"/>
  <c r="AE111" i="23"/>
  <c r="AD112" i="23" s="1"/>
  <c r="AT112" i="23" s="1"/>
  <c r="AJ55" i="3"/>
  <c r="BF55" i="3" s="1"/>
  <c r="N44" i="14"/>
  <c r="P44" i="14" s="1"/>
  <c r="M45" i="14" s="1"/>
  <c r="AT32" i="14"/>
  <c r="R32" i="14"/>
  <c r="Q33" i="14" s="1"/>
  <c r="AT34" i="18"/>
  <c r="R34" i="18"/>
  <c r="Q35" i="18" s="1"/>
  <c r="P25" i="15"/>
  <c r="M26" i="15" s="1"/>
  <c r="N26" i="15" s="1"/>
  <c r="AL57" i="3"/>
  <c r="AA123" i="14"/>
  <c r="I123" i="14"/>
  <c r="AB123" i="14"/>
  <c r="V123" i="14"/>
  <c r="O123" i="14"/>
  <c r="U123" i="14"/>
  <c r="V55" i="17"/>
  <c r="AA55" i="17"/>
  <c r="U55" i="19"/>
  <c r="U55" i="17"/>
  <c r="AB55" i="17"/>
  <c r="AA55" i="19"/>
  <c r="O55" i="17"/>
  <c r="V55" i="19"/>
  <c r="I55" i="19"/>
  <c r="AB55" i="19"/>
  <c r="I55" i="17"/>
  <c r="O55" i="19"/>
  <c r="AI26" i="14"/>
  <c r="AJ26" i="14" s="1"/>
  <c r="E56" i="19"/>
  <c r="C55" i="19"/>
  <c r="AZ55" i="19"/>
  <c r="L52" i="18"/>
  <c r="I53" i="18" s="1"/>
  <c r="J53" i="18" s="1"/>
  <c r="AL26" i="14"/>
  <c r="AM26" i="14" s="1"/>
  <c r="AN26" i="14" s="1"/>
  <c r="AZ25" i="14"/>
  <c r="BC25" i="14" s="1"/>
  <c r="L53" i="14"/>
  <c r="I54" i="14" s="1"/>
  <c r="J54" i="14" s="1"/>
  <c r="BF55" i="14"/>
  <c r="AY55" i="14"/>
  <c r="BD55" i="14" s="1"/>
  <c r="E56" i="14"/>
  <c r="AX55" i="14"/>
  <c r="BB55" i="14" s="1"/>
  <c r="BE55" i="14"/>
  <c r="AW55" i="14"/>
  <c r="BA55" i="14" s="1"/>
  <c r="C55" i="14"/>
  <c r="K54" i="14"/>
  <c r="AS54" i="14"/>
  <c r="AQ54" i="14"/>
  <c r="AU54" i="14"/>
  <c r="H27" i="14"/>
  <c r="F28" i="14" s="1"/>
  <c r="G28" i="14" s="1"/>
  <c r="AR28" i="14" s="1"/>
  <c r="AR54" i="16"/>
  <c r="BD55" i="16"/>
  <c r="C55" i="16"/>
  <c r="E56" i="16"/>
  <c r="AZ55" i="16"/>
  <c r="AQ53" i="18"/>
  <c r="AU53" i="18"/>
  <c r="K53" i="18"/>
  <c r="O53" i="18"/>
  <c r="AS53" i="18"/>
  <c r="E55" i="18"/>
  <c r="AZ54" i="18"/>
  <c r="C54" i="18"/>
  <c r="C54" i="17"/>
  <c r="E55" i="17"/>
  <c r="AZ54" i="17"/>
  <c r="AM26" i="18"/>
  <c r="AN26" i="18" s="1"/>
  <c r="AW26" i="18" s="1"/>
  <c r="AX26" i="18" s="1"/>
  <c r="AY26" i="18" s="1"/>
  <c r="AZ56" i="15"/>
  <c r="C56" i="15"/>
  <c r="E57" i="15"/>
  <c r="G27" i="18"/>
  <c r="AR27" i="18" s="1"/>
  <c r="BF124" i="14"/>
  <c r="AW124" i="14"/>
  <c r="BA124" i="14" s="1"/>
  <c r="W124" i="14"/>
  <c r="K124" i="14"/>
  <c r="AO124" i="14"/>
  <c r="BE124" i="14"/>
  <c r="AX124" i="14"/>
  <c r="BB124" i="14" s="1"/>
  <c r="AC124" i="14"/>
  <c r="Q124" i="14"/>
  <c r="E125" i="14"/>
  <c r="AY124" i="14"/>
  <c r="BD124" i="14" s="1"/>
  <c r="C124" i="14"/>
  <c r="AR123" i="14"/>
  <c r="T39" i="18"/>
  <c r="S40" i="18" s="1"/>
  <c r="P39" i="18"/>
  <c r="M40" i="18" s="1"/>
  <c r="N40" i="18" s="1"/>
  <c r="L36" i="15"/>
  <c r="I37" i="15" s="1"/>
  <c r="J37" i="15" s="1"/>
  <c r="T43" i="14"/>
  <c r="S44" i="14" s="1"/>
  <c r="AW60" i="3"/>
  <c r="AH57" i="3"/>
  <c r="BD56" i="3"/>
  <c r="A58" i="3"/>
  <c r="BI58" i="3" s="1"/>
  <c r="BJ58" i="3" s="1"/>
  <c r="BC56" i="3"/>
  <c r="AE57" i="3"/>
  <c r="AG57" i="3"/>
  <c r="AQ60" i="3"/>
  <c r="AI55" i="3"/>
  <c r="BE55" i="3" s="1"/>
  <c r="Y57" i="3"/>
  <c r="AC56" i="3"/>
  <c r="H57" i="3"/>
  <c r="AF56" i="3"/>
  <c r="AK56" i="3" s="1"/>
  <c r="P60" i="3"/>
  <c r="V58" i="3"/>
  <c r="X58" i="3" s="1"/>
  <c r="G59" i="3"/>
  <c r="AV58" i="3"/>
  <c r="AX58" i="3" s="1"/>
  <c r="T22" i="25" l="1"/>
  <c r="S22" i="25"/>
  <c r="AE22" i="25" s="1"/>
  <c r="AD23" i="25" s="1"/>
  <c r="Z120" i="23"/>
  <c r="Y120" i="23"/>
  <c r="AC120" i="23" s="1"/>
  <c r="X121" i="23" s="1"/>
  <c r="AA121" i="23" s="1"/>
  <c r="T120" i="23"/>
  <c r="S120" i="23"/>
  <c r="W120" i="23" s="1"/>
  <c r="R121" i="23" s="1"/>
  <c r="U121" i="23" s="1"/>
  <c r="R25" i="24"/>
  <c r="Q26" i="24" s="1"/>
  <c r="AT26" i="24" s="1"/>
  <c r="P25" i="24"/>
  <c r="M26" i="24" s="1"/>
  <c r="N26" i="24" s="1"/>
  <c r="J31" i="24"/>
  <c r="L31" i="24" s="1"/>
  <c r="I32" i="24" s="1"/>
  <c r="J32" i="24" s="1"/>
  <c r="AL24" i="28"/>
  <c r="AM24" i="28" s="1"/>
  <c r="AN24" i="28" s="1"/>
  <c r="K24" i="28"/>
  <c r="F25" i="28" s="1"/>
  <c r="I25" i="28" s="1"/>
  <c r="BG91" i="23"/>
  <c r="AC31" i="28"/>
  <c r="X32" i="28" s="1"/>
  <c r="Z32" i="28" s="1"/>
  <c r="V36" i="28"/>
  <c r="S36" i="28"/>
  <c r="W36" i="28" s="1"/>
  <c r="R37" i="28" s="1"/>
  <c r="T36" i="28"/>
  <c r="AE35" i="28"/>
  <c r="AD36" i="28" s="1"/>
  <c r="O25" i="28"/>
  <c r="P26" i="28"/>
  <c r="M25" i="28"/>
  <c r="N25" i="28"/>
  <c r="H24" i="29"/>
  <c r="AP24" i="29" s="1"/>
  <c r="I24" i="29"/>
  <c r="AR24" i="29" s="1"/>
  <c r="Z33" i="29"/>
  <c r="AA33" i="29"/>
  <c r="AE33" i="29" s="1"/>
  <c r="AD34" i="29" s="1"/>
  <c r="BB58" i="3"/>
  <c r="AR60" i="3"/>
  <c r="AG22" i="25"/>
  <c r="AF23" i="25" s="1"/>
  <c r="Y23" i="25"/>
  <c r="AC23" i="25" s="1"/>
  <c r="X24" i="25" s="1"/>
  <c r="Z23" i="25"/>
  <c r="AN58" i="20"/>
  <c r="R36" i="23"/>
  <c r="Q37" i="23" s="1"/>
  <c r="AT37" i="23" s="1"/>
  <c r="T34" i="26"/>
  <c r="S35" i="26" s="1"/>
  <c r="J42" i="26"/>
  <c r="L42" i="26" s="1"/>
  <c r="I43" i="26" s="1"/>
  <c r="N35" i="26"/>
  <c r="J43" i="23"/>
  <c r="L43" i="23" s="1"/>
  <c r="I44" i="23" s="1"/>
  <c r="AQ58" i="20"/>
  <c r="AR58" i="20" s="1"/>
  <c r="O59" i="20"/>
  <c r="AT30" i="26"/>
  <c r="R30" i="26"/>
  <c r="Q31" i="26" s="1"/>
  <c r="P58" i="20"/>
  <c r="BG56" i="3"/>
  <c r="AO24" i="28"/>
  <c r="AU23" i="29"/>
  <c r="G24" i="29"/>
  <c r="AI24" i="29" s="1"/>
  <c r="AJ24" i="29" s="1"/>
  <c r="AK24" i="29" s="1"/>
  <c r="J25" i="29"/>
  <c r="AQ23" i="29"/>
  <c r="AS23" i="29"/>
  <c r="AM23" i="29"/>
  <c r="AN23" i="29" s="1"/>
  <c r="T40" i="29"/>
  <c r="S40" i="29"/>
  <c r="W40" i="29" s="1"/>
  <c r="R41" i="29" s="1"/>
  <c r="U41" i="29" s="1"/>
  <c r="AZ54" i="29"/>
  <c r="C54" i="29"/>
  <c r="E55" i="29"/>
  <c r="Y33" i="29"/>
  <c r="H23" i="26"/>
  <c r="K54" i="26"/>
  <c r="O54" i="26"/>
  <c r="AS54" i="26"/>
  <c r="AU54" i="26"/>
  <c r="AQ54" i="26"/>
  <c r="C55" i="26"/>
  <c r="AZ55" i="26"/>
  <c r="E56" i="26"/>
  <c r="AZ55" i="28"/>
  <c r="C55" i="28"/>
  <c r="E56" i="28"/>
  <c r="AL22" i="25"/>
  <c r="AM22" i="25" s="1"/>
  <c r="AN22" i="25" s="1"/>
  <c r="F24" i="25"/>
  <c r="L23" i="25"/>
  <c r="M23" i="25" s="1"/>
  <c r="AS22" i="25"/>
  <c r="AU22" i="25"/>
  <c r="AI22" i="25"/>
  <c r="AQ22" i="25"/>
  <c r="BA55" i="25"/>
  <c r="BB55" i="25"/>
  <c r="BC55" i="25"/>
  <c r="AO22" i="25"/>
  <c r="AR54" i="25"/>
  <c r="U54" i="25"/>
  <c r="AB54" i="25"/>
  <c r="V54" i="25"/>
  <c r="AA54" i="25"/>
  <c r="AZ55" i="25"/>
  <c r="BD55" i="25"/>
  <c r="C55" i="25"/>
  <c r="E56" i="25"/>
  <c r="C55" i="24"/>
  <c r="AZ55" i="24"/>
  <c r="E56" i="24"/>
  <c r="AU54" i="24"/>
  <c r="AS54" i="24"/>
  <c r="AQ54" i="24"/>
  <c r="F22" i="24"/>
  <c r="AI21" i="24"/>
  <c r="AJ21" i="24" s="1"/>
  <c r="AL21" i="24"/>
  <c r="AM21" i="24" s="1"/>
  <c r="AS92" i="23"/>
  <c r="F93" i="23"/>
  <c r="I93" i="23" s="1"/>
  <c r="AR93" i="23" s="1"/>
  <c r="AU92" i="23"/>
  <c r="AQ92" i="23"/>
  <c r="G23" i="15"/>
  <c r="AR23" i="15" s="1"/>
  <c r="AW22" i="15"/>
  <c r="AX22" i="15" s="1"/>
  <c r="AY22" i="15" s="1"/>
  <c r="AQ56" i="15"/>
  <c r="AS56" i="15"/>
  <c r="AU56" i="15"/>
  <c r="P52" i="23"/>
  <c r="M53" i="23" s="1"/>
  <c r="N53" i="23" s="1"/>
  <c r="BG21" i="23"/>
  <c r="AW54" i="23"/>
  <c r="BA54" i="23" s="1"/>
  <c r="AX54" i="23"/>
  <c r="BB54" i="23" s="1"/>
  <c r="AY54" i="23"/>
  <c r="BD54" i="23" s="1"/>
  <c r="E55" i="23"/>
  <c r="BF54" i="23"/>
  <c r="BE54" i="23"/>
  <c r="C54" i="23"/>
  <c r="AQ53" i="23"/>
  <c r="AS53" i="23"/>
  <c r="AU53" i="23"/>
  <c r="AX124" i="23"/>
  <c r="BB124" i="23" s="1"/>
  <c r="AO124" i="23"/>
  <c r="AW124" i="23"/>
  <c r="BA124" i="23" s="1"/>
  <c r="AY124" i="23"/>
  <c r="BD124" i="23" s="1"/>
  <c r="F23" i="23"/>
  <c r="AI22" i="23"/>
  <c r="AL22" i="23"/>
  <c r="Q124" i="23"/>
  <c r="C124" i="23"/>
  <c r="AC124" i="23"/>
  <c r="BE124" i="23"/>
  <c r="BF124" i="23"/>
  <c r="W124" i="23"/>
  <c r="K124" i="23"/>
  <c r="E125" i="23"/>
  <c r="O53" i="25"/>
  <c r="I53" i="25"/>
  <c r="AG112" i="23"/>
  <c r="AF113" i="23" s="1"/>
  <c r="AE112" i="23"/>
  <c r="AD113" i="23" s="1"/>
  <c r="AT113" i="23" s="1"/>
  <c r="T45" i="23"/>
  <c r="S46" i="23" s="1"/>
  <c r="P26" i="15"/>
  <c r="M27" i="15" s="1"/>
  <c r="N27" i="15" s="1"/>
  <c r="AT35" i="18"/>
  <c r="R35" i="18"/>
  <c r="Q36" i="18" s="1"/>
  <c r="R25" i="15"/>
  <c r="Q26" i="15" s="1"/>
  <c r="AT26" i="15" s="1"/>
  <c r="T25" i="15"/>
  <c r="S26" i="15" s="1"/>
  <c r="AT33" i="14"/>
  <c r="R33" i="14"/>
  <c r="Q34" i="14" s="1"/>
  <c r="N45" i="14"/>
  <c r="P45" i="14" s="1"/>
  <c r="M46" i="14" s="1"/>
  <c r="AR55" i="19"/>
  <c r="U124" i="14"/>
  <c r="AA124" i="14"/>
  <c r="V124" i="14"/>
  <c r="AB124" i="14"/>
  <c r="I124" i="14"/>
  <c r="AB56" i="17"/>
  <c r="O56" i="17"/>
  <c r="V56" i="17"/>
  <c r="V56" i="19"/>
  <c r="U56" i="17"/>
  <c r="O56" i="19"/>
  <c r="O124" i="14"/>
  <c r="AB56" i="19"/>
  <c r="I56" i="19"/>
  <c r="U56" i="19"/>
  <c r="AA56" i="19"/>
  <c r="AA56" i="17"/>
  <c r="I56" i="17"/>
  <c r="AD56" i="3"/>
  <c r="AI56" i="3" s="1"/>
  <c r="BE56" i="3" s="1"/>
  <c r="AK26" i="14"/>
  <c r="AV26" i="14" s="1"/>
  <c r="BG26" i="14" s="1"/>
  <c r="AL27" i="14"/>
  <c r="AM27" i="14" s="1"/>
  <c r="AN27" i="14" s="1"/>
  <c r="AZ56" i="19"/>
  <c r="C56" i="19"/>
  <c r="E57" i="19"/>
  <c r="L53" i="18"/>
  <c r="I54" i="18" s="1"/>
  <c r="L54" i="14"/>
  <c r="K55" i="14" s="1"/>
  <c r="AS55" i="14"/>
  <c r="AU55" i="14"/>
  <c r="AQ55" i="14"/>
  <c r="H28" i="14"/>
  <c r="F29" i="14" s="1"/>
  <c r="G29" i="14" s="1"/>
  <c r="AR29" i="14" s="1"/>
  <c r="AR55" i="16"/>
  <c r="AI27" i="14"/>
  <c r="AJ27" i="14" s="1"/>
  <c r="C56" i="16"/>
  <c r="BD56" i="16"/>
  <c r="AZ56" i="16"/>
  <c r="E57" i="16"/>
  <c r="AX56" i="14"/>
  <c r="BB56" i="14" s="1"/>
  <c r="P56" i="14"/>
  <c r="C56" i="14"/>
  <c r="AG124" i="14" s="1"/>
  <c r="BE56" i="14"/>
  <c r="BF56" i="14"/>
  <c r="E57" i="14"/>
  <c r="AY56" i="14"/>
  <c r="BD56" i="14" s="1"/>
  <c r="AW56" i="14"/>
  <c r="BA56" i="14" s="1"/>
  <c r="H56" i="14"/>
  <c r="L56" i="14"/>
  <c r="AZ55" i="18"/>
  <c r="E56" i="18"/>
  <c r="C55" i="18"/>
  <c r="AQ54" i="18"/>
  <c r="O54" i="18"/>
  <c r="K54" i="18"/>
  <c r="AU54" i="18"/>
  <c r="AS54" i="18"/>
  <c r="AZ55" i="17"/>
  <c r="C55" i="17"/>
  <c r="E56" i="17"/>
  <c r="E58" i="15"/>
  <c r="AZ57" i="15"/>
  <c r="C57" i="15"/>
  <c r="L124" i="14"/>
  <c r="N124" i="14" s="1"/>
  <c r="H27" i="18"/>
  <c r="AR124" i="14"/>
  <c r="AT124" i="14"/>
  <c r="AP124" i="14"/>
  <c r="AU124" i="14"/>
  <c r="AS124" i="14"/>
  <c r="AI124" i="14"/>
  <c r="AJ124" i="14" s="1"/>
  <c r="AQ124" i="14"/>
  <c r="AL124" i="14"/>
  <c r="AM124" i="14" s="1"/>
  <c r="X124" i="14"/>
  <c r="F124" i="14"/>
  <c r="BF125" i="14"/>
  <c r="AW125" i="14"/>
  <c r="BA125" i="14" s="1"/>
  <c r="W125" i="14"/>
  <c r="K125" i="14"/>
  <c r="BE125" i="14"/>
  <c r="AY125" i="14"/>
  <c r="BD125" i="14" s="1"/>
  <c r="AC125" i="14"/>
  <c r="AX125" i="14"/>
  <c r="BB125" i="14" s="1"/>
  <c r="C125" i="14"/>
  <c r="G125" i="14" s="1"/>
  <c r="E126" i="14"/>
  <c r="Q125" i="14"/>
  <c r="AO125" i="14"/>
  <c r="R124" i="14"/>
  <c r="P40" i="18"/>
  <c r="M41" i="18" s="1"/>
  <c r="N41" i="18" s="1"/>
  <c r="T40" i="18"/>
  <c r="S41" i="18" s="1"/>
  <c r="T44" i="14"/>
  <c r="AQ61" i="3"/>
  <c r="BC57" i="3"/>
  <c r="AE58" i="3"/>
  <c r="AN61" i="3"/>
  <c r="AN62" i="3" s="1"/>
  <c r="P61" i="3"/>
  <c r="Y58" i="3"/>
  <c r="AC57" i="3"/>
  <c r="AH58" i="3"/>
  <c r="BD57" i="3"/>
  <c r="AM58" i="3"/>
  <c r="AG58" i="3"/>
  <c r="AW61" i="3"/>
  <c r="G60" i="3"/>
  <c r="AV59" i="3"/>
  <c r="AX59" i="3" s="1"/>
  <c r="V59" i="3"/>
  <c r="X59" i="3" s="1"/>
  <c r="H58" i="3"/>
  <c r="AF57" i="3"/>
  <c r="AK57" i="3" s="1"/>
  <c r="A59" i="3"/>
  <c r="BI59" i="3" s="1"/>
  <c r="BJ59" i="3" s="1"/>
  <c r="AL58" i="3"/>
  <c r="O53" i="23" l="1"/>
  <c r="P53" i="23" s="1"/>
  <c r="M54" i="23" s="1"/>
  <c r="N54" i="23" s="1"/>
  <c r="I55" i="14"/>
  <c r="J55" i="14" s="1"/>
  <c r="L55" i="14" s="1"/>
  <c r="AT23" i="25"/>
  <c r="W22" i="25"/>
  <c r="R23" i="25" s="1"/>
  <c r="O26" i="24"/>
  <c r="P26" i="24" s="1"/>
  <c r="M27" i="24" s="1"/>
  <c r="K32" i="24"/>
  <c r="L32" i="24" s="1"/>
  <c r="I33" i="24" s="1"/>
  <c r="Y121" i="23"/>
  <c r="AC121" i="23" s="1"/>
  <c r="X122" i="23" s="1"/>
  <c r="AA122" i="23" s="1"/>
  <c r="Z121" i="23"/>
  <c r="T121" i="23"/>
  <c r="S121" i="23"/>
  <c r="W121" i="23" s="1"/>
  <c r="R122" i="23" s="1"/>
  <c r="U122" i="23" s="1"/>
  <c r="T26" i="24"/>
  <c r="S27" i="24" s="1"/>
  <c r="R26" i="24"/>
  <c r="Q27" i="24" s="1"/>
  <c r="AT27" i="24" s="1"/>
  <c r="Q24" i="29"/>
  <c r="L25" i="29" s="1"/>
  <c r="N25" i="29" s="1"/>
  <c r="AG33" i="29"/>
  <c r="AF34" i="29" s="1"/>
  <c r="AU24" i="28"/>
  <c r="AS24" i="28"/>
  <c r="AQ24" i="28"/>
  <c r="AO24" i="29"/>
  <c r="Y32" i="28"/>
  <c r="AC32" i="28" s="1"/>
  <c r="X33" i="28" s="1"/>
  <c r="AB33" i="28" s="1"/>
  <c r="AB32" i="28"/>
  <c r="Q25" i="28"/>
  <c r="L26" i="28" s="1"/>
  <c r="P27" i="28" s="1"/>
  <c r="V37" i="28"/>
  <c r="S37" i="28"/>
  <c r="W37" i="28" s="1"/>
  <c r="R38" i="28" s="1"/>
  <c r="T37" i="28"/>
  <c r="AE36" i="28"/>
  <c r="AD37" i="28" s="1"/>
  <c r="AT36" i="28"/>
  <c r="O25" i="29"/>
  <c r="O123" i="23"/>
  <c r="Q93" i="23"/>
  <c r="L94" i="23" s="1"/>
  <c r="AT34" i="29"/>
  <c r="BB59" i="3"/>
  <c r="AR61" i="3"/>
  <c r="Y24" i="25"/>
  <c r="AC24" i="25" s="1"/>
  <c r="X25" i="25" s="1"/>
  <c r="Z24" i="25"/>
  <c r="AG23" i="25"/>
  <c r="AF24" i="25" s="1"/>
  <c r="AL59" i="3"/>
  <c r="AM59" i="3"/>
  <c r="R37" i="23"/>
  <c r="Q38" i="23" s="1"/>
  <c r="AT38" i="23" s="1"/>
  <c r="T35" i="26"/>
  <c r="S36" i="26" s="1"/>
  <c r="J44" i="23"/>
  <c r="L44" i="23" s="1"/>
  <c r="I45" i="23" s="1"/>
  <c r="K56" i="15"/>
  <c r="AN59" i="20"/>
  <c r="AQ59" i="20"/>
  <c r="AR59" i="20" s="1"/>
  <c r="O60" i="20"/>
  <c r="P35" i="26"/>
  <c r="M36" i="26" s="1"/>
  <c r="J43" i="26"/>
  <c r="L43" i="26" s="1"/>
  <c r="I44" i="26" s="1"/>
  <c r="AT31" i="26"/>
  <c r="R31" i="26"/>
  <c r="Q32" i="26" s="1"/>
  <c r="P59" i="20"/>
  <c r="BG57" i="3"/>
  <c r="O56" i="15"/>
  <c r="AL24" i="29"/>
  <c r="AM24" i="29" s="1"/>
  <c r="K24" i="29"/>
  <c r="F25" i="29" s="1"/>
  <c r="I25" i="29" s="1"/>
  <c r="AR25" i="29" s="1"/>
  <c r="AW23" i="29"/>
  <c r="AX23" i="29" s="1"/>
  <c r="AY23" i="29" s="1"/>
  <c r="T41" i="29"/>
  <c r="S41" i="29"/>
  <c r="W41" i="29" s="1"/>
  <c r="R42" i="29" s="1"/>
  <c r="U42" i="29" s="1"/>
  <c r="C55" i="29"/>
  <c r="AZ55" i="29"/>
  <c r="E56" i="29"/>
  <c r="F24" i="26"/>
  <c r="AI23" i="26"/>
  <c r="AJ23" i="26" s="1"/>
  <c r="AK23" i="26" s="1"/>
  <c r="AL23" i="26"/>
  <c r="AM23" i="26" s="1"/>
  <c r="AN23" i="26" s="1"/>
  <c r="K55" i="26"/>
  <c r="O55" i="26"/>
  <c r="AQ55" i="26"/>
  <c r="AS55" i="26"/>
  <c r="AU55" i="26"/>
  <c r="C56" i="26"/>
  <c r="AZ56" i="26"/>
  <c r="E57" i="26"/>
  <c r="H25" i="28"/>
  <c r="AP25" i="28" s="1"/>
  <c r="J26" i="28"/>
  <c r="G25" i="28"/>
  <c r="AL25" i="28" s="1"/>
  <c r="AZ56" i="28"/>
  <c r="C56" i="28"/>
  <c r="E57" i="28"/>
  <c r="N23" i="25"/>
  <c r="AO23" i="25" s="1"/>
  <c r="P24" i="25"/>
  <c r="G24" i="25"/>
  <c r="K24" i="25" s="1"/>
  <c r="J25" i="25"/>
  <c r="H24" i="25"/>
  <c r="AL23" i="25"/>
  <c r="AM23" i="25" s="1"/>
  <c r="AN23" i="25" s="1"/>
  <c r="AB55" i="25"/>
  <c r="AR55" i="25"/>
  <c r="AA55" i="25"/>
  <c r="U55" i="25"/>
  <c r="V55" i="25"/>
  <c r="BA56" i="25"/>
  <c r="BB56" i="25"/>
  <c r="BC56" i="25"/>
  <c r="AJ22" i="25"/>
  <c r="AK22" i="25" s="1"/>
  <c r="AW22" i="25" s="1"/>
  <c r="AX22" i="25" s="1"/>
  <c r="AY22" i="25" s="1"/>
  <c r="C56" i="25"/>
  <c r="AZ56" i="25"/>
  <c r="BD56" i="25"/>
  <c r="E57" i="25"/>
  <c r="Q23" i="25"/>
  <c r="AU23" i="25" s="1"/>
  <c r="AS55" i="24"/>
  <c r="AU55" i="24"/>
  <c r="AQ55" i="24"/>
  <c r="AK21" i="24"/>
  <c r="C56" i="24"/>
  <c r="AZ56" i="24"/>
  <c r="E57" i="24"/>
  <c r="AN21" i="24"/>
  <c r="G22" i="24"/>
  <c r="AR22" i="24" s="1"/>
  <c r="J94" i="23"/>
  <c r="H93" i="23"/>
  <c r="G93" i="23"/>
  <c r="AL93" i="23" s="1"/>
  <c r="AM93" i="23" s="1"/>
  <c r="AN93" i="23" s="1"/>
  <c r="AV92" i="23"/>
  <c r="H23" i="15"/>
  <c r="AS57" i="15"/>
  <c r="AU57" i="15"/>
  <c r="AQ57" i="15"/>
  <c r="P27" i="15"/>
  <c r="M28" i="15" s="1"/>
  <c r="N28" i="15" s="1"/>
  <c r="AW55" i="23"/>
  <c r="BA55" i="23" s="1"/>
  <c r="AX55" i="23"/>
  <c r="BB55" i="23" s="1"/>
  <c r="AY55" i="23"/>
  <c r="BD55" i="23" s="1"/>
  <c r="E56" i="23"/>
  <c r="BF55" i="23"/>
  <c r="C55" i="23"/>
  <c r="BE55" i="23"/>
  <c r="AQ54" i="23"/>
  <c r="AS54" i="23"/>
  <c r="AU54" i="23"/>
  <c r="AO125" i="23"/>
  <c r="AW125" i="23"/>
  <c r="BA125" i="23" s="1"/>
  <c r="AX125" i="23"/>
  <c r="BB125" i="23" s="1"/>
  <c r="AY125" i="23"/>
  <c r="BD125" i="23" s="1"/>
  <c r="G23" i="23"/>
  <c r="AR23" i="23" s="1"/>
  <c r="AJ22" i="23"/>
  <c r="AK22" i="23" s="1"/>
  <c r="AM22" i="23"/>
  <c r="AN22" i="23" s="1"/>
  <c r="AI124" i="23"/>
  <c r="AL124" i="23"/>
  <c r="AP124" i="23"/>
  <c r="AQ124" i="23"/>
  <c r="AR124" i="23"/>
  <c r="AS124" i="23"/>
  <c r="AT124" i="23"/>
  <c r="AU124" i="23"/>
  <c r="O54" i="23"/>
  <c r="X124" i="23"/>
  <c r="C125" i="23"/>
  <c r="G125" i="23" s="1"/>
  <c r="AC125" i="23"/>
  <c r="BE125" i="23"/>
  <c r="Q125" i="23"/>
  <c r="W125" i="23"/>
  <c r="BF125" i="23"/>
  <c r="K125" i="23"/>
  <c r="E126" i="23"/>
  <c r="F124" i="23"/>
  <c r="L124" i="23"/>
  <c r="R124" i="23"/>
  <c r="AC33" i="29"/>
  <c r="X34" i="29" s="1"/>
  <c r="O54" i="25"/>
  <c r="I54" i="25"/>
  <c r="AG113" i="23"/>
  <c r="AF114" i="23" s="1"/>
  <c r="AE113" i="23"/>
  <c r="AD114" i="23" s="1"/>
  <c r="AT114" i="23" s="1"/>
  <c r="N46" i="14"/>
  <c r="P46" i="14" s="1"/>
  <c r="M47" i="14" s="1"/>
  <c r="R26" i="15"/>
  <c r="Q27" i="15" s="1"/>
  <c r="AT27" i="15" s="1"/>
  <c r="T26" i="15"/>
  <c r="S27" i="15" s="1"/>
  <c r="T27" i="15" s="1"/>
  <c r="S28" i="15" s="1"/>
  <c r="AT36" i="18"/>
  <c r="R36" i="18"/>
  <c r="Q37" i="18" s="1"/>
  <c r="AT34" i="14"/>
  <c r="R34" i="14"/>
  <c r="Q35" i="14" s="1"/>
  <c r="AJ56" i="3"/>
  <c r="BF56" i="3" s="1"/>
  <c r="AD57" i="3"/>
  <c r="AI57" i="3" s="1"/>
  <c r="BE57" i="3" s="1"/>
  <c r="AA125" i="14"/>
  <c r="I125" i="14"/>
  <c r="V125" i="14"/>
  <c r="U125" i="14"/>
  <c r="AB125" i="14"/>
  <c r="V57" i="17"/>
  <c r="U57" i="17"/>
  <c r="AA57" i="19"/>
  <c r="I57" i="19"/>
  <c r="O125" i="14"/>
  <c r="O57" i="17"/>
  <c r="AA57" i="17"/>
  <c r="AB57" i="19"/>
  <c r="I57" i="17"/>
  <c r="V57" i="19"/>
  <c r="AB57" i="17"/>
  <c r="U57" i="19"/>
  <c r="O57" i="19"/>
  <c r="AR56" i="19"/>
  <c r="AI28" i="14"/>
  <c r="AJ28" i="14" s="1"/>
  <c r="AK28" i="14" s="1"/>
  <c r="C57" i="19"/>
  <c r="E58" i="19"/>
  <c r="AZ57" i="19"/>
  <c r="AZ26" i="14"/>
  <c r="BC26" i="14" s="1"/>
  <c r="AL28" i="14"/>
  <c r="AM28" i="14" s="1"/>
  <c r="AN28" i="14" s="1"/>
  <c r="H29" i="14"/>
  <c r="AL29" i="14" s="1"/>
  <c r="AM29" i="14" s="1"/>
  <c r="AN29" i="14" s="1"/>
  <c r="AF124" i="14"/>
  <c r="AL56" i="14"/>
  <c r="AM56" i="14" s="1"/>
  <c r="AU56" i="14"/>
  <c r="I56" i="14"/>
  <c r="Q56" i="14"/>
  <c r="AR56" i="14"/>
  <c r="AT56" i="14"/>
  <c r="AD124" i="14"/>
  <c r="AI56" i="14"/>
  <c r="AJ56" i="14" s="1"/>
  <c r="F56" i="14"/>
  <c r="M56" i="14"/>
  <c r="AS56" i="14"/>
  <c r="AQ56" i="14"/>
  <c r="S56" i="14"/>
  <c r="AR56" i="16"/>
  <c r="AE124" i="14"/>
  <c r="AK27" i="14"/>
  <c r="AV27" i="14" s="1"/>
  <c r="E58" i="14"/>
  <c r="C57" i="14"/>
  <c r="I57" i="14" s="1"/>
  <c r="P57" i="14"/>
  <c r="BE57" i="14"/>
  <c r="AY57" i="14"/>
  <c r="BD57" i="14" s="1"/>
  <c r="H57" i="14"/>
  <c r="AW57" i="14"/>
  <c r="BA57" i="14" s="1"/>
  <c r="AX57" i="14"/>
  <c r="BB57" i="14" s="1"/>
  <c r="BF57" i="14"/>
  <c r="L57" i="14"/>
  <c r="BD57" i="16"/>
  <c r="AZ57" i="16"/>
  <c r="E58" i="16"/>
  <c r="C57" i="16"/>
  <c r="R56" i="14"/>
  <c r="T56" i="14"/>
  <c r="J54" i="18"/>
  <c r="L54" i="18" s="1"/>
  <c r="I55" i="18" s="1"/>
  <c r="E57" i="18"/>
  <c r="C56" i="18"/>
  <c r="AZ56" i="18"/>
  <c r="O55" i="18"/>
  <c r="AS55" i="18"/>
  <c r="AQ55" i="18"/>
  <c r="AU55" i="18"/>
  <c r="K55" i="18"/>
  <c r="C56" i="17"/>
  <c r="E57" i="17"/>
  <c r="AZ56" i="17"/>
  <c r="P125" i="14"/>
  <c r="Y125" i="14"/>
  <c r="C58" i="15"/>
  <c r="E59" i="15"/>
  <c r="AZ58" i="15"/>
  <c r="F28" i="18"/>
  <c r="AI27" i="18"/>
  <c r="AJ27" i="18" s="1"/>
  <c r="AK27" i="18" s="1"/>
  <c r="AL27" i="18"/>
  <c r="AM27" i="18" s="1"/>
  <c r="AN27" i="18" s="1"/>
  <c r="AR125" i="14"/>
  <c r="AS125" i="14"/>
  <c r="AL125" i="14"/>
  <c r="AM125" i="14" s="1"/>
  <c r="AQ125" i="14"/>
  <c r="AI125" i="14"/>
  <c r="AJ125" i="14" s="1"/>
  <c r="AU125" i="14"/>
  <c r="AT125" i="14"/>
  <c r="AP125" i="14"/>
  <c r="X125" i="14"/>
  <c r="Z125" i="14" s="1"/>
  <c r="F125" i="14"/>
  <c r="H125" i="14" s="1"/>
  <c r="S125" i="14"/>
  <c r="L125" i="14"/>
  <c r="N125" i="14" s="1"/>
  <c r="J125" i="14"/>
  <c r="E127" i="14"/>
  <c r="BE126" i="14"/>
  <c r="AW126" i="14"/>
  <c r="BA126" i="14" s="1"/>
  <c r="Q126" i="14"/>
  <c r="W126" i="14"/>
  <c r="K126" i="14"/>
  <c r="C126" i="14"/>
  <c r="Y126" i="14" s="1"/>
  <c r="AX126" i="14"/>
  <c r="BB126" i="14" s="1"/>
  <c r="AY126" i="14"/>
  <c r="BD126" i="14" s="1"/>
  <c r="AC126" i="14"/>
  <c r="BF126" i="14"/>
  <c r="AO126" i="14"/>
  <c r="S45" i="14"/>
  <c r="T45" i="14" s="1"/>
  <c r="S46" i="14" s="1"/>
  <c r="M125" i="14"/>
  <c r="R125" i="14"/>
  <c r="T125" i="14" s="1"/>
  <c r="P41" i="18"/>
  <c r="M42" i="18" s="1"/>
  <c r="N42" i="18" s="1"/>
  <c r="T41" i="18"/>
  <c r="S42" i="18" s="1"/>
  <c r="L37" i="15"/>
  <c r="I38" i="15" s="1"/>
  <c r="J38" i="15" s="1"/>
  <c r="AK124" i="14"/>
  <c r="AN124" i="14"/>
  <c r="A60" i="3"/>
  <c r="BI60" i="3" s="1"/>
  <c r="BJ60" i="3" s="1"/>
  <c r="AQ62" i="3"/>
  <c r="V60" i="3"/>
  <c r="X60" i="3" s="1"/>
  <c r="G61" i="3"/>
  <c r="AV60" i="3"/>
  <c r="AX60" i="3" s="1"/>
  <c r="Y59" i="3"/>
  <c r="AC58" i="3"/>
  <c r="BC58" i="3"/>
  <c r="AE59" i="3"/>
  <c r="H59" i="3"/>
  <c r="AF58" i="3"/>
  <c r="AW62" i="3"/>
  <c r="P62" i="3"/>
  <c r="P63" i="3" s="1"/>
  <c r="AG59" i="3"/>
  <c r="AH59" i="3"/>
  <c r="BD58" i="3"/>
  <c r="J56" i="14" l="1"/>
  <c r="K56" i="14"/>
  <c r="S23" i="25"/>
  <c r="AE23" i="25" s="1"/>
  <c r="AD24" i="25" s="1"/>
  <c r="T23" i="25"/>
  <c r="N27" i="24"/>
  <c r="R27" i="24" s="1"/>
  <c r="Q28" i="24" s="1"/>
  <c r="AT28" i="24" s="1"/>
  <c r="O27" i="24"/>
  <c r="AR57" i="19"/>
  <c r="Y122" i="23"/>
  <c r="AC122" i="23" s="1"/>
  <c r="Z122" i="23"/>
  <c r="T122" i="23"/>
  <c r="S122" i="23"/>
  <c r="W122" i="23" s="1"/>
  <c r="M25" i="29"/>
  <c r="Q25" i="29" s="1"/>
  <c r="L26" i="29" s="1"/>
  <c r="N26" i="29" s="1"/>
  <c r="AW24" i="28"/>
  <c r="AX24" i="28" s="1"/>
  <c r="AY24" i="28" s="1"/>
  <c r="P26" i="29"/>
  <c r="AG32" i="28"/>
  <c r="AF33" i="28" s="1"/>
  <c r="Z33" i="28"/>
  <c r="Y33" i="28"/>
  <c r="AC33" i="28" s="1"/>
  <c r="X34" i="28" s="1"/>
  <c r="AB34" i="28" s="1"/>
  <c r="M26" i="28"/>
  <c r="O26" i="28"/>
  <c r="N26" i="28"/>
  <c r="P125" i="23"/>
  <c r="O124" i="23"/>
  <c r="O94" i="23"/>
  <c r="P95" i="23"/>
  <c r="N94" i="23"/>
  <c r="M94" i="23"/>
  <c r="U124" i="23"/>
  <c r="AE37" i="28"/>
  <c r="AD38" i="28" s="1"/>
  <c r="AT37" i="28"/>
  <c r="V38" i="28"/>
  <c r="S38" i="28"/>
  <c r="W38" i="28" s="1"/>
  <c r="R39" i="28" s="1"/>
  <c r="T38" i="28"/>
  <c r="AA124" i="23"/>
  <c r="Z34" i="29"/>
  <c r="AA34" i="29"/>
  <c r="AE34" i="29" s="1"/>
  <c r="AD35" i="29" s="1"/>
  <c r="I124" i="23"/>
  <c r="BB60" i="3"/>
  <c r="AR62" i="3"/>
  <c r="Y25" i="25"/>
  <c r="Z25" i="25"/>
  <c r="AG24" i="25"/>
  <c r="AF25" i="25" s="1"/>
  <c r="K33" i="24"/>
  <c r="J33" i="24"/>
  <c r="AN60" i="20"/>
  <c r="AL60" i="3"/>
  <c r="R38" i="23"/>
  <c r="Q39" i="23" s="1"/>
  <c r="AT39" i="23" s="1"/>
  <c r="P60" i="20"/>
  <c r="J44" i="26"/>
  <c r="L44" i="26" s="1"/>
  <c r="I45" i="26" s="1"/>
  <c r="J45" i="26" s="1"/>
  <c r="L45" i="26" s="1"/>
  <c r="I46" i="26" s="1"/>
  <c r="J46" i="26" s="1"/>
  <c r="L46" i="26" s="1"/>
  <c r="I47" i="26" s="1"/>
  <c r="AK58" i="3"/>
  <c r="BG58" i="3" s="1"/>
  <c r="J45" i="23"/>
  <c r="L45" i="23" s="1"/>
  <c r="I46" i="23" s="1"/>
  <c r="J46" i="23" s="1"/>
  <c r="L46" i="23" s="1"/>
  <c r="I47" i="23" s="1"/>
  <c r="J47" i="23" s="1"/>
  <c r="L47" i="23" s="1"/>
  <c r="I48" i="23" s="1"/>
  <c r="J48" i="23" s="1"/>
  <c r="L48" i="23" s="1"/>
  <c r="I49" i="23" s="1"/>
  <c r="J49" i="23" s="1"/>
  <c r="L49" i="23" s="1"/>
  <c r="I50" i="23" s="1"/>
  <c r="J50" i="23" s="1"/>
  <c r="L50" i="23" s="1"/>
  <c r="I51" i="23" s="1"/>
  <c r="J51" i="23" s="1"/>
  <c r="L51" i="23" s="1"/>
  <c r="I52" i="23" s="1"/>
  <c r="AQ60" i="20"/>
  <c r="AR60" i="20" s="1"/>
  <c r="O61" i="20"/>
  <c r="N36" i="26"/>
  <c r="T36" i="26" s="1"/>
  <c r="S37" i="26" s="1"/>
  <c r="AT32" i="26"/>
  <c r="R32" i="26"/>
  <c r="Q33" i="26" s="1"/>
  <c r="AJ57" i="3"/>
  <c r="BF57" i="3" s="1"/>
  <c r="K57" i="15"/>
  <c r="O57" i="15"/>
  <c r="AQ24" i="29"/>
  <c r="AU24" i="29"/>
  <c r="AN24" i="29"/>
  <c r="AS24" i="29"/>
  <c r="T42" i="29"/>
  <c r="S42" i="29"/>
  <c r="W42" i="29" s="1"/>
  <c r="R43" i="29" s="1"/>
  <c r="U43" i="29" s="1"/>
  <c r="J26" i="29"/>
  <c r="H25" i="29"/>
  <c r="AP25" i="29" s="1"/>
  <c r="AZ56" i="29"/>
  <c r="C56" i="29"/>
  <c r="E57" i="29"/>
  <c r="K25" i="28"/>
  <c r="F26" i="28" s="1"/>
  <c r="Y34" i="29"/>
  <c r="G25" i="29"/>
  <c r="AW23" i="26"/>
  <c r="AX23" i="26" s="1"/>
  <c r="AY23" i="26" s="1"/>
  <c r="G24" i="26"/>
  <c r="AR24" i="26" s="1"/>
  <c r="O56" i="26"/>
  <c r="AQ56" i="26"/>
  <c r="AS56" i="26"/>
  <c r="AU56" i="26"/>
  <c r="K56" i="26"/>
  <c r="AZ57" i="26"/>
  <c r="C57" i="26"/>
  <c r="E58" i="26"/>
  <c r="AI25" i="28"/>
  <c r="AO25" i="28"/>
  <c r="C57" i="28"/>
  <c r="AZ57" i="28"/>
  <c r="E58" i="28"/>
  <c r="AP23" i="25"/>
  <c r="F25" i="25"/>
  <c r="AA56" i="25"/>
  <c r="AB56" i="25"/>
  <c r="AR56" i="25"/>
  <c r="V56" i="25"/>
  <c r="U56" i="25"/>
  <c r="BA57" i="25"/>
  <c r="BB57" i="25"/>
  <c r="BC57" i="25"/>
  <c r="AI23" i="25"/>
  <c r="AS23" i="25"/>
  <c r="AQ23" i="25"/>
  <c r="C57" i="25"/>
  <c r="AZ57" i="25"/>
  <c r="BD57" i="25"/>
  <c r="E58" i="25"/>
  <c r="L24" i="25"/>
  <c r="C57" i="24"/>
  <c r="AZ57" i="24"/>
  <c r="E58" i="24"/>
  <c r="AQ56" i="24"/>
  <c r="AS56" i="24"/>
  <c r="AU56" i="24"/>
  <c r="AW21" i="24"/>
  <c r="AX21" i="24" s="1"/>
  <c r="AY21" i="24" s="1"/>
  <c r="P28" i="15"/>
  <c r="M29" i="15" s="1"/>
  <c r="N29" i="15" s="1"/>
  <c r="AV22" i="23"/>
  <c r="AZ22" i="23" s="1"/>
  <c r="BC22" i="23" s="1"/>
  <c r="H22" i="24"/>
  <c r="AO93" i="23"/>
  <c r="AP93" i="23"/>
  <c r="K93" i="23"/>
  <c r="AI93" i="23"/>
  <c r="AJ93" i="23" s="1"/>
  <c r="AK93" i="23" s="1"/>
  <c r="AZ92" i="23"/>
  <c r="BC92" i="23" s="1"/>
  <c r="BG92" i="23"/>
  <c r="Y125" i="23"/>
  <c r="AQ58" i="15"/>
  <c r="AS58" i="15"/>
  <c r="AU58" i="15"/>
  <c r="F24" i="15"/>
  <c r="AI23" i="15"/>
  <c r="AJ23" i="15" s="1"/>
  <c r="AK23" i="15" s="1"/>
  <c r="AL23" i="15"/>
  <c r="AM23" i="15" s="1"/>
  <c r="AN23" i="15" s="1"/>
  <c r="P54" i="23"/>
  <c r="O55" i="23" s="1"/>
  <c r="N124" i="23"/>
  <c r="AW126" i="23"/>
  <c r="BA126" i="23" s="1"/>
  <c r="AX126" i="23"/>
  <c r="BB126" i="23" s="1"/>
  <c r="AO126" i="23"/>
  <c r="AY126" i="23"/>
  <c r="BD126" i="23" s="1"/>
  <c r="AW56" i="23"/>
  <c r="BA56" i="23" s="1"/>
  <c r="AX56" i="23"/>
  <c r="BB56" i="23" s="1"/>
  <c r="AY56" i="23"/>
  <c r="BD56" i="23" s="1"/>
  <c r="E57" i="23"/>
  <c r="BF56" i="23"/>
  <c r="C56" i="23"/>
  <c r="P56" i="23"/>
  <c r="L56" i="23"/>
  <c r="BE56" i="23"/>
  <c r="H56" i="23"/>
  <c r="H23" i="23"/>
  <c r="AQ55" i="23"/>
  <c r="AS55" i="23"/>
  <c r="AU55" i="23"/>
  <c r="AI125" i="23"/>
  <c r="AL125" i="23"/>
  <c r="AP125" i="23"/>
  <c r="AQ125" i="23"/>
  <c r="AR125" i="23"/>
  <c r="AS125" i="23"/>
  <c r="AT125" i="23"/>
  <c r="AU125" i="23"/>
  <c r="J125" i="23"/>
  <c r="M125" i="23"/>
  <c r="S125" i="23"/>
  <c r="X125" i="23"/>
  <c r="L125" i="23"/>
  <c r="Q126" i="23"/>
  <c r="C126" i="23"/>
  <c r="Y126" i="23" s="1"/>
  <c r="AC126" i="23"/>
  <c r="BE126" i="23"/>
  <c r="K126" i="23"/>
  <c r="W126" i="23"/>
  <c r="BF126" i="23"/>
  <c r="E127" i="23"/>
  <c r="F125" i="23"/>
  <c r="R125" i="23"/>
  <c r="AG114" i="23"/>
  <c r="AF115" i="23" s="1"/>
  <c r="I55" i="25"/>
  <c r="O55" i="25"/>
  <c r="T46" i="23"/>
  <c r="S47" i="23" s="1"/>
  <c r="AE114" i="23"/>
  <c r="AD115" i="23" s="1"/>
  <c r="AT115" i="23" s="1"/>
  <c r="AJ124" i="23"/>
  <c r="AM124" i="23"/>
  <c r="N47" i="14"/>
  <c r="R27" i="15"/>
  <c r="Q28" i="15" s="1"/>
  <c r="AT28" i="15" s="1"/>
  <c r="T28" i="15"/>
  <c r="S29" i="15" s="1"/>
  <c r="AT37" i="18"/>
  <c r="R37" i="18"/>
  <c r="Q38" i="18" s="1"/>
  <c r="AT35" i="14"/>
  <c r="R35" i="14"/>
  <c r="Q36" i="14" s="1"/>
  <c r="T46" i="14"/>
  <c r="S47" i="14" s="1"/>
  <c r="AD58" i="3"/>
  <c r="AI58" i="3" s="1"/>
  <c r="BE58" i="3" s="1"/>
  <c r="AM60" i="3"/>
  <c r="U126" i="14"/>
  <c r="V126" i="14"/>
  <c r="O126" i="14"/>
  <c r="AA126" i="14"/>
  <c r="I126" i="14"/>
  <c r="AB126" i="14"/>
  <c r="AB58" i="17"/>
  <c r="O58" i="17"/>
  <c r="U58" i="17"/>
  <c r="AB58" i="19"/>
  <c r="O58" i="19"/>
  <c r="I58" i="17"/>
  <c r="V58" i="19"/>
  <c r="AA58" i="17"/>
  <c r="U58" i="19"/>
  <c r="V58" i="17"/>
  <c r="AA58" i="19"/>
  <c r="I58" i="19"/>
  <c r="AN56" i="14"/>
  <c r="AI29" i="14"/>
  <c r="AJ29" i="14" s="1"/>
  <c r="AK29" i="14" s="1"/>
  <c r="AV29" i="14" s="1"/>
  <c r="AZ58" i="19"/>
  <c r="E59" i="19"/>
  <c r="C58" i="19"/>
  <c r="J57" i="14"/>
  <c r="G57" i="14"/>
  <c r="AG125" i="14"/>
  <c r="F30" i="14"/>
  <c r="G30" i="14" s="1"/>
  <c r="AR30" i="14" s="1"/>
  <c r="R57" i="14"/>
  <c r="X126" i="14"/>
  <c r="Z126" i="14" s="1"/>
  <c r="AV28" i="14"/>
  <c r="BG28" i="14" s="1"/>
  <c r="N57" i="14"/>
  <c r="F57" i="14"/>
  <c r="T57" i="14"/>
  <c r="AE125" i="14"/>
  <c r="K57" i="14"/>
  <c r="C58" i="14"/>
  <c r="J58" i="14" s="1"/>
  <c r="AY58" i="14"/>
  <c r="BD58" i="14" s="1"/>
  <c r="L58" i="14"/>
  <c r="AW58" i="14"/>
  <c r="BA58" i="14" s="1"/>
  <c r="AX58" i="14"/>
  <c r="BB58" i="14" s="1"/>
  <c r="BE58" i="14"/>
  <c r="H58" i="14"/>
  <c r="BF58" i="14"/>
  <c r="P58" i="14"/>
  <c r="E59" i="14"/>
  <c r="AK56" i="14"/>
  <c r="E59" i="16"/>
  <c r="BD58" i="16"/>
  <c r="AZ58" i="16"/>
  <c r="C58" i="16"/>
  <c r="AR57" i="16"/>
  <c r="Q57" i="14"/>
  <c r="AI57" i="14"/>
  <c r="AJ57" i="14" s="1"/>
  <c r="AR57" i="14"/>
  <c r="AS57" i="14"/>
  <c r="AF125" i="14"/>
  <c r="AU57" i="14"/>
  <c r="AL57" i="14"/>
  <c r="AM57" i="14" s="1"/>
  <c r="AD125" i="14"/>
  <c r="M57" i="14"/>
  <c r="S57" i="14"/>
  <c r="O57" i="14"/>
  <c r="AQ57" i="14"/>
  <c r="AT57" i="14"/>
  <c r="J55" i="18"/>
  <c r="L55" i="18" s="1"/>
  <c r="I56" i="18" s="1"/>
  <c r="AS56" i="18"/>
  <c r="K56" i="18"/>
  <c r="O56" i="18"/>
  <c r="AU56" i="18"/>
  <c r="AQ56" i="18"/>
  <c r="C57" i="18"/>
  <c r="AZ57" i="18"/>
  <c r="E58" i="18"/>
  <c r="AZ27" i="14"/>
  <c r="BC27" i="14" s="1"/>
  <c r="BG27" i="14"/>
  <c r="E58" i="17"/>
  <c r="C57" i="17"/>
  <c r="AZ57" i="17"/>
  <c r="P126" i="14"/>
  <c r="R126" i="14"/>
  <c r="T126" i="14" s="1"/>
  <c r="J126" i="14"/>
  <c r="G28" i="18"/>
  <c r="AR28" i="18" s="1"/>
  <c r="C59" i="15"/>
  <c r="AZ59" i="15"/>
  <c r="E60" i="15"/>
  <c r="AV124" i="14"/>
  <c r="AZ124" i="14" s="1"/>
  <c r="BC124" i="14" s="1"/>
  <c r="AW27" i="18"/>
  <c r="AX27" i="18" s="1"/>
  <c r="AY27" i="18" s="1"/>
  <c r="AU126" i="14"/>
  <c r="AQ126" i="14"/>
  <c r="AL126" i="14"/>
  <c r="AM126" i="14" s="1"/>
  <c r="AP126" i="14"/>
  <c r="AI126" i="14"/>
  <c r="AJ126" i="14" s="1"/>
  <c r="AT126" i="14"/>
  <c r="AS126" i="14"/>
  <c r="AR126" i="14"/>
  <c r="G126" i="14"/>
  <c r="F126" i="14"/>
  <c r="H126" i="14" s="1"/>
  <c r="M126" i="14"/>
  <c r="S126" i="14"/>
  <c r="L126" i="14"/>
  <c r="P127" i="14" s="1"/>
  <c r="AY127" i="14"/>
  <c r="BD127" i="14" s="1"/>
  <c r="AC127" i="14"/>
  <c r="Q127" i="14"/>
  <c r="BE127" i="14"/>
  <c r="AX127" i="14"/>
  <c r="BB127" i="14" s="1"/>
  <c r="W127" i="14"/>
  <c r="C127" i="14"/>
  <c r="Y127" i="14" s="1"/>
  <c r="BF127" i="14"/>
  <c r="AW127" i="14"/>
  <c r="BA127" i="14" s="1"/>
  <c r="AO127" i="14"/>
  <c r="K127" i="14"/>
  <c r="E128" i="14"/>
  <c r="P42" i="18"/>
  <c r="M43" i="18" s="1"/>
  <c r="N43" i="18" s="1"/>
  <c r="AN125" i="14"/>
  <c r="AK125" i="14"/>
  <c r="BC59" i="3"/>
  <c r="AE60" i="3"/>
  <c r="AG60" i="3"/>
  <c r="AF59" i="3"/>
  <c r="AD59" i="3" s="1"/>
  <c r="H60" i="3"/>
  <c r="AQ63" i="3"/>
  <c r="A61" i="3"/>
  <c r="BI61" i="3" s="1"/>
  <c r="BJ61" i="3" s="1"/>
  <c r="G62" i="3"/>
  <c r="AV61" i="3"/>
  <c r="AX61" i="3" s="1"/>
  <c r="V61" i="3"/>
  <c r="X61" i="3" s="1"/>
  <c r="AN63" i="3"/>
  <c r="AH60" i="3"/>
  <c r="BD59" i="3"/>
  <c r="AW63" i="3"/>
  <c r="Y60" i="3"/>
  <c r="AC59" i="3"/>
  <c r="AT24" i="25" l="1"/>
  <c r="W23" i="25"/>
  <c r="R24" i="25" s="1"/>
  <c r="M55" i="23"/>
  <c r="N55" i="23" s="1"/>
  <c r="X123" i="23"/>
  <c r="Y123" i="23" s="1"/>
  <c r="R123" i="23"/>
  <c r="S123" i="23" s="1"/>
  <c r="P27" i="24"/>
  <c r="M28" i="24" s="1"/>
  <c r="O28" i="24" s="1"/>
  <c r="T27" i="24"/>
  <c r="S28" i="24" s="1"/>
  <c r="AI25" i="29"/>
  <c r="AJ25" i="29" s="1"/>
  <c r="AG33" i="28"/>
  <c r="AF34" i="28" s="1"/>
  <c r="O26" i="29"/>
  <c r="M26" i="29"/>
  <c r="P27" i="29"/>
  <c r="AG34" i="29"/>
  <c r="AF35" i="29" s="1"/>
  <c r="V39" i="28"/>
  <c r="S39" i="28"/>
  <c r="W39" i="28" s="1"/>
  <c r="R40" i="28" s="1"/>
  <c r="T39" i="28"/>
  <c r="H125" i="23"/>
  <c r="I125" i="23"/>
  <c r="T125" i="23"/>
  <c r="U125" i="23"/>
  <c r="G26" i="28"/>
  <c r="AL26" i="28" s="1"/>
  <c r="I26" i="28"/>
  <c r="Q26" i="28" s="1"/>
  <c r="L27" i="28" s="1"/>
  <c r="AT35" i="29"/>
  <c r="Z125" i="23"/>
  <c r="AA125" i="23"/>
  <c r="AT38" i="28"/>
  <c r="AE38" i="28"/>
  <c r="AD39" i="28" s="1"/>
  <c r="N125" i="23"/>
  <c r="O125" i="23"/>
  <c r="BB61" i="3"/>
  <c r="AR63" i="3"/>
  <c r="AN61" i="20"/>
  <c r="P61" i="20"/>
  <c r="AG25" i="25"/>
  <c r="AF26" i="25" s="1"/>
  <c r="AC25" i="25"/>
  <c r="X26" i="25" s="1"/>
  <c r="L33" i="24"/>
  <c r="I34" i="24" s="1"/>
  <c r="R39" i="23"/>
  <c r="Q40" i="23" s="1"/>
  <c r="AT40" i="23" s="1"/>
  <c r="AK59" i="3"/>
  <c r="BG59" i="3" s="1"/>
  <c r="P36" i="26"/>
  <c r="M37" i="26" s="1"/>
  <c r="N37" i="26" s="1"/>
  <c r="T37" i="26" s="1"/>
  <c r="S38" i="26" s="1"/>
  <c r="J52" i="23"/>
  <c r="L52" i="23" s="1"/>
  <c r="J47" i="26"/>
  <c r="L47" i="26" s="1"/>
  <c r="I48" i="26" s="1"/>
  <c r="AT33" i="26"/>
  <c r="R33" i="26"/>
  <c r="Q34" i="26" s="1"/>
  <c r="AQ61" i="20"/>
  <c r="AR61" i="20" s="1"/>
  <c r="O62" i="20"/>
  <c r="AJ59" i="3"/>
  <c r="BF59" i="3" s="1"/>
  <c r="O58" i="15"/>
  <c r="AJ58" i="3"/>
  <c r="BF58" i="3" s="1"/>
  <c r="K58" i="15"/>
  <c r="AW24" i="29"/>
  <c r="AX24" i="29" s="1"/>
  <c r="AY24" i="29" s="1"/>
  <c r="H26" i="28"/>
  <c r="AP26" i="28" s="1"/>
  <c r="J27" i="28"/>
  <c r="T43" i="29"/>
  <c r="S43" i="29"/>
  <c r="W43" i="29" s="1"/>
  <c r="R44" i="29" s="1"/>
  <c r="U44" i="29" s="1"/>
  <c r="C57" i="29"/>
  <c r="AZ57" i="29"/>
  <c r="E58" i="29"/>
  <c r="AU25" i="28"/>
  <c r="AS25" i="28"/>
  <c r="AO25" i="29"/>
  <c r="AQ25" i="28"/>
  <c r="AL25" i="29"/>
  <c r="AM25" i="29" s="1"/>
  <c r="H24" i="26"/>
  <c r="AS57" i="26"/>
  <c r="AU57" i="26"/>
  <c r="AQ57" i="26"/>
  <c r="O57" i="26"/>
  <c r="K57" i="26"/>
  <c r="C58" i="26"/>
  <c r="AZ58" i="26"/>
  <c r="E59" i="26"/>
  <c r="Z34" i="28"/>
  <c r="Y34" i="28"/>
  <c r="AZ58" i="28"/>
  <c r="C58" i="28"/>
  <c r="E59" i="28"/>
  <c r="AM25" i="28"/>
  <c r="AN25" i="28" s="1"/>
  <c r="AJ25" i="28"/>
  <c r="AK25" i="28" s="1"/>
  <c r="G25" i="25"/>
  <c r="K25" i="25" s="1"/>
  <c r="H25" i="25"/>
  <c r="J26" i="25"/>
  <c r="V57" i="25"/>
  <c r="AA57" i="25"/>
  <c r="AB57" i="25"/>
  <c r="AR57" i="25"/>
  <c r="U57" i="25"/>
  <c r="BC58" i="25"/>
  <c r="BA58" i="25"/>
  <c r="BB58" i="25"/>
  <c r="AZ58" i="25"/>
  <c r="BD58" i="25"/>
  <c r="C58" i="25"/>
  <c r="E59" i="25"/>
  <c r="P25" i="25"/>
  <c r="N24" i="25"/>
  <c r="AP24" i="25" s="1"/>
  <c r="M24" i="25"/>
  <c r="Q24" i="25" s="1"/>
  <c r="AJ23" i="25"/>
  <c r="AK23" i="25" s="1"/>
  <c r="AW23" i="25" s="1"/>
  <c r="AX23" i="25" s="1"/>
  <c r="AY23" i="25" s="1"/>
  <c r="AQ57" i="24"/>
  <c r="AS57" i="24"/>
  <c r="AU57" i="24"/>
  <c r="F23" i="24"/>
  <c r="AL22" i="24"/>
  <c r="AM22" i="24" s="1"/>
  <c r="AI22" i="24"/>
  <c r="AJ22" i="24" s="1"/>
  <c r="AW23" i="15"/>
  <c r="AX23" i="15" s="1"/>
  <c r="AY23" i="15" s="1"/>
  <c r="AZ58" i="24"/>
  <c r="C58" i="24"/>
  <c r="E59" i="24"/>
  <c r="P29" i="15"/>
  <c r="M30" i="15" s="1"/>
  <c r="N30" i="15" s="1"/>
  <c r="F94" i="23"/>
  <c r="I94" i="23" s="1"/>
  <c r="AR94" i="23" s="1"/>
  <c r="AS93" i="23"/>
  <c r="AU93" i="23"/>
  <c r="AQ93" i="23"/>
  <c r="BG22" i="23"/>
  <c r="G24" i="15"/>
  <c r="AR24" i="15" s="1"/>
  <c r="K59" i="15"/>
  <c r="O59" i="15"/>
  <c r="AQ59" i="15"/>
  <c r="AS59" i="15"/>
  <c r="AU59" i="15"/>
  <c r="AQ56" i="23"/>
  <c r="AR56" i="23"/>
  <c r="AS56" i="23"/>
  <c r="AT56" i="23"/>
  <c r="AU56" i="23"/>
  <c r="AL56" i="23"/>
  <c r="AM56" i="23" s="1"/>
  <c r="AI56" i="23"/>
  <c r="AJ56" i="23" s="1"/>
  <c r="AK56" i="23" s="1"/>
  <c r="I56" i="23"/>
  <c r="AD124" i="23"/>
  <c r="AF124" i="23"/>
  <c r="F56" i="23"/>
  <c r="S56" i="23"/>
  <c r="Q56" i="23"/>
  <c r="AW57" i="23"/>
  <c r="BA57" i="23" s="1"/>
  <c r="AX57" i="23"/>
  <c r="BB57" i="23" s="1"/>
  <c r="AY57" i="23"/>
  <c r="BD57" i="23" s="1"/>
  <c r="E58" i="23"/>
  <c r="BE57" i="23"/>
  <c r="P57" i="23"/>
  <c r="L57" i="23"/>
  <c r="H57" i="23"/>
  <c r="C57" i="23"/>
  <c r="S57" i="23" s="1"/>
  <c r="BF57" i="23"/>
  <c r="AE124" i="23"/>
  <c r="AG124" i="23"/>
  <c r="J126" i="23"/>
  <c r="T56" i="23"/>
  <c r="AW127" i="23"/>
  <c r="BA127" i="23" s="1"/>
  <c r="AX127" i="23"/>
  <c r="BB127" i="23" s="1"/>
  <c r="AO127" i="23"/>
  <c r="AY127" i="23"/>
  <c r="BD127" i="23" s="1"/>
  <c r="M126" i="23"/>
  <c r="M56" i="23"/>
  <c r="P126" i="23"/>
  <c r="R56" i="23"/>
  <c r="S126" i="23"/>
  <c r="F24" i="23"/>
  <c r="AI23" i="23"/>
  <c r="AL23" i="23"/>
  <c r="R126" i="23"/>
  <c r="AQ126" i="23"/>
  <c r="AR126" i="23"/>
  <c r="AS126" i="23"/>
  <c r="AT126" i="23"/>
  <c r="AU126" i="23"/>
  <c r="AI126" i="23"/>
  <c r="AL126" i="23"/>
  <c r="AP126" i="23"/>
  <c r="G126" i="23"/>
  <c r="X126" i="23"/>
  <c r="F126" i="23"/>
  <c r="C127" i="23"/>
  <c r="S127" i="23" s="1"/>
  <c r="AC127" i="23"/>
  <c r="BE127" i="23"/>
  <c r="Q127" i="23"/>
  <c r="K127" i="23"/>
  <c r="BF127" i="23"/>
  <c r="W127" i="23"/>
  <c r="E128" i="23"/>
  <c r="L126" i="23"/>
  <c r="K25" i="29"/>
  <c r="AC34" i="29"/>
  <c r="X35" i="29" s="1"/>
  <c r="O56" i="25"/>
  <c r="I56" i="25"/>
  <c r="AG115" i="23"/>
  <c r="AF116" i="23" s="1"/>
  <c r="AN124" i="23"/>
  <c r="AM125" i="23"/>
  <c r="AJ125" i="23"/>
  <c r="T47" i="23"/>
  <c r="S48" i="23" s="1"/>
  <c r="AE115" i="23"/>
  <c r="AD116" i="23" s="1"/>
  <c r="AT116" i="23" s="1"/>
  <c r="AK124" i="23"/>
  <c r="T47" i="14"/>
  <c r="S48" i="14" s="1"/>
  <c r="P47" i="14"/>
  <c r="M48" i="14" s="1"/>
  <c r="N48" i="14" s="1"/>
  <c r="R28" i="15"/>
  <c r="Q29" i="15" s="1"/>
  <c r="AT29" i="15" s="1"/>
  <c r="T29" i="15"/>
  <c r="S30" i="15" s="1"/>
  <c r="AT38" i="18"/>
  <c r="R38" i="18"/>
  <c r="Q39" i="18" s="1"/>
  <c r="AT36" i="14"/>
  <c r="R36" i="14"/>
  <c r="Q37" i="14" s="1"/>
  <c r="AR58" i="19"/>
  <c r="AA127" i="14"/>
  <c r="AB127" i="14"/>
  <c r="I127" i="14"/>
  <c r="U127" i="14"/>
  <c r="O127" i="14"/>
  <c r="V59" i="17"/>
  <c r="V127" i="14"/>
  <c r="O59" i="17"/>
  <c r="U59" i="19"/>
  <c r="AB59" i="17"/>
  <c r="I59" i="17"/>
  <c r="U59" i="17"/>
  <c r="O59" i="19"/>
  <c r="AB59" i="19"/>
  <c r="I59" i="19"/>
  <c r="AA59" i="19"/>
  <c r="V59" i="19"/>
  <c r="AA59" i="17"/>
  <c r="AV56" i="14"/>
  <c r="BG56" i="14" s="1"/>
  <c r="AZ59" i="19"/>
  <c r="C59" i="19"/>
  <c r="E60" i="19"/>
  <c r="AK57" i="14"/>
  <c r="M58" i="14"/>
  <c r="R58" i="14"/>
  <c r="AZ28" i="14"/>
  <c r="BC28" i="14" s="1"/>
  <c r="S58" i="14"/>
  <c r="O58" i="14"/>
  <c r="T58" i="14"/>
  <c r="AF126" i="14"/>
  <c r="K58" i="14"/>
  <c r="AN57" i="14"/>
  <c r="AE126" i="14"/>
  <c r="N58" i="14"/>
  <c r="F58" i="14"/>
  <c r="I58" i="14"/>
  <c r="AG126" i="14"/>
  <c r="BD59" i="16"/>
  <c r="E60" i="16"/>
  <c r="AZ59" i="16"/>
  <c r="C59" i="16"/>
  <c r="AR58" i="16"/>
  <c r="BE59" i="14"/>
  <c r="AW59" i="14"/>
  <c r="BA59" i="14" s="1"/>
  <c r="L59" i="14"/>
  <c r="AX59" i="14"/>
  <c r="BB59" i="14" s="1"/>
  <c r="AY59" i="14"/>
  <c r="BD59" i="14" s="1"/>
  <c r="H59" i="14"/>
  <c r="C59" i="14"/>
  <c r="AE127" i="14" s="1"/>
  <c r="E60" i="14"/>
  <c r="BF59" i="14"/>
  <c r="P59" i="14"/>
  <c r="AV125" i="14"/>
  <c r="AZ125" i="14" s="1"/>
  <c r="BC125" i="14" s="1"/>
  <c r="G58" i="14"/>
  <c r="AU58" i="14"/>
  <c r="AS58" i="14"/>
  <c r="AI58" i="14"/>
  <c r="AJ58" i="14" s="1"/>
  <c r="AL58" i="14"/>
  <c r="AM58" i="14" s="1"/>
  <c r="AR58" i="14"/>
  <c r="AD126" i="14"/>
  <c r="Q58" i="14"/>
  <c r="AT58" i="14"/>
  <c r="AQ58" i="14"/>
  <c r="AZ29" i="14"/>
  <c r="BC29" i="14" s="1"/>
  <c r="BG29" i="14"/>
  <c r="J56" i="18"/>
  <c r="L56" i="18" s="1"/>
  <c r="I57" i="18" s="1"/>
  <c r="AZ58" i="18"/>
  <c r="C58" i="18"/>
  <c r="E59" i="18"/>
  <c r="C58" i="17"/>
  <c r="E59" i="17"/>
  <c r="AZ58" i="17"/>
  <c r="H30" i="14"/>
  <c r="AQ57" i="18"/>
  <c r="AS57" i="18"/>
  <c r="K57" i="18"/>
  <c r="O57" i="18"/>
  <c r="AU57" i="18"/>
  <c r="BG124" i="14"/>
  <c r="R127" i="14"/>
  <c r="T127" i="14" s="1"/>
  <c r="H28" i="18"/>
  <c r="F29" i="18" s="1"/>
  <c r="G29" i="18" s="1"/>
  <c r="AR29" i="18" s="1"/>
  <c r="F127" i="14"/>
  <c r="H127" i="14" s="1"/>
  <c r="G127" i="14"/>
  <c r="S127" i="14"/>
  <c r="M127" i="14"/>
  <c r="L127" i="14"/>
  <c r="N127" i="14" s="1"/>
  <c r="X127" i="14"/>
  <c r="Z127" i="14" s="1"/>
  <c r="J127" i="14"/>
  <c r="N126" i="14"/>
  <c r="AZ60" i="15"/>
  <c r="E61" i="15"/>
  <c r="C60" i="15"/>
  <c r="AX128" i="14"/>
  <c r="BB128" i="14" s="1"/>
  <c r="AO128" i="14"/>
  <c r="C128" i="14"/>
  <c r="R128" i="14" s="1"/>
  <c r="Q128" i="14"/>
  <c r="K128" i="14"/>
  <c r="E129" i="14"/>
  <c r="AC128" i="14"/>
  <c r="BE128" i="14"/>
  <c r="AY128" i="14"/>
  <c r="BD128" i="14" s="1"/>
  <c r="AW128" i="14"/>
  <c r="BA128" i="14" s="1"/>
  <c r="W128" i="14"/>
  <c r="BF128" i="14"/>
  <c r="AT127" i="14"/>
  <c r="AP127" i="14"/>
  <c r="AR127" i="14"/>
  <c r="AL127" i="14"/>
  <c r="AM127" i="14" s="1"/>
  <c r="AQ127" i="14"/>
  <c r="AI127" i="14"/>
  <c r="AJ127" i="14" s="1"/>
  <c r="AU127" i="14"/>
  <c r="AS127" i="14"/>
  <c r="P43" i="18"/>
  <c r="M44" i="18" s="1"/>
  <c r="N44" i="18" s="1"/>
  <c r="T42" i="18"/>
  <c r="S43" i="18" s="1"/>
  <c r="L38" i="15"/>
  <c r="I39" i="15" s="1"/>
  <c r="J39" i="15" s="1"/>
  <c r="AN126" i="14"/>
  <c r="AK126" i="14"/>
  <c r="AW64" i="3"/>
  <c r="AQ64" i="3"/>
  <c r="P64" i="3"/>
  <c r="AL61" i="3"/>
  <c r="AG61" i="3"/>
  <c r="BC60" i="3"/>
  <c r="AE61" i="3"/>
  <c r="AI59" i="3"/>
  <c r="BE59" i="3" s="1"/>
  <c r="V62" i="3"/>
  <c r="X62" i="3" s="1"/>
  <c r="G63" i="3"/>
  <c r="AV62" i="3"/>
  <c r="AX62" i="3" s="1"/>
  <c r="H61" i="3"/>
  <c r="AF60" i="3"/>
  <c r="AD60" i="3" s="1"/>
  <c r="Y61" i="3"/>
  <c r="AC60" i="3"/>
  <c r="AH61" i="3"/>
  <c r="BD60" i="3"/>
  <c r="AN64" i="3"/>
  <c r="AN65" i="3" s="1"/>
  <c r="A62" i="3"/>
  <c r="BI62" i="3" s="1"/>
  <c r="BJ62" i="3" s="1"/>
  <c r="AM61" i="3"/>
  <c r="I53" i="23" l="1"/>
  <c r="J53" i="23" s="1"/>
  <c r="K53" i="23"/>
  <c r="T24" i="25"/>
  <c r="S24" i="25"/>
  <c r="P55" i="23"/>
  <c r="AA123" i="23"/>
  <c r="AC123" i="23"/>
  <c r="U123" i="23"/>
  <c r="W123" i="23"/>
  <c r="Z123" i="23"/>
  <c r="T123" i="23"/>
  <c r="N28" i="24"/>
  <c r="R28" i="24" s="1"/>
  <c r="Q29" i="24" s="1"/>
  <c r="AT29" i="24" s="1"/>
  <c r="K26" i="28"/>
  <c r="AQ26" i="28" s="1"/>
  <c r="AK25" i="29"/>
  <c r="AI26" i="28"/>
  <c r="AJ26" i="28" s="1"/>
  <c r="AE39" i="28"/>
  <c r="AD40" i="28" s="1"/>
  <c r="AT39" i="28"/>
  <c r="Z35" i="29"/>
  <c r="AA35" i="29"/>
  <c r="AE35" i="29" s="1"/>
  <c r="AD36" i="29" s="1"/>
  <c r="Z126" i="23"/>
  <c r="AA126" i="23"/>
  <c r="H126" i="23"/>
  <c r="I126" i="23"/>
  <c r="M27" i="28"/>
  <c r="O27" i="28"/>
  <c r="N27" i="28"/>
  <c r="P28" i="28"/>
  <c r="T126" i="23"/>
  <c r="U126" i="23"/>
  <c r="N126" i="23"/>
  <c r="O126" i="23"/>
  <c r="V40" i="28"/>
  <c r="S40" i="28"/>
  <c r="W40" i="28" s="1"/>
  <c r="R41" i="28" s="1"/>
  <c r="T40" i="28"/>
  <c r="Q94" i="23"/>
  <c r="L95" i="23" s="1"/>
  <c r="AR64" i="3"/>
  <c r="BB62" i="3"/>
  <c r="Z26" i="25"/>
  <c r="Y26" i="25"/>
  <c r="AG26" i="25" s="1"/>
  <c r="AF27" i="25" s="1"/>
  <c r="K34" i="24"/>
  <c r="J34" i="24"/>
  <c r="R40" i="23"/>
  <c r="Q41" i="23" s="1"/>
  <c r="AT41" i="23" s="1"/>
  <c r="J48" i="26"/>
  <c r="L48" i="26" s="1"/>
  <c r="I49" i="26" s="1"/>
  <c r="AQ62" i="20"/>
  <c r="AR62" i="20" s="1"/>
  <c r="O63" i="20"/>
  <c r="P37" i="26"/>
  <c r="M38" i="26" s="1"/>
  <c r="N38" i="26" s="1"/>
  <c r="P38" i="26" s="1"/>
  <c r="M39" i="26" s="1"/>
  <c r="N39" i="26" s="1"/>
  <c r="P39" i="26" s="1"/>
  <c r="M40" i="26" s="1"/>
  <c r="N40" i="26" s="1"/>
  <c r="AK60" i="3"/>
  <c r="BG60" i="3" s="1"/>
  <c r="P62" i="20"/>
  <c r="AT34" i="26"/>
  <c r="R34" i="26"/>
  <c r="Q35" i="26" s="1"/>
  <c r="AN62" i="20"/>
  <c r="AO26" i="28"/>
  <c r="T44" i="29"/>
  <c r="S44" i="29"/>
  <c r="W44" i="29" s="1"/>
  <c r="R45" i="29" s="1"/>
  <c r="U45" i="29" s="1"/>
  <c r="AZ58" i="29"/>
  <c r="C58" i="29"/>
  <c r="E59" i="29"/>
  <c r="F26" i="29"/>
  <c r="I26" i="29" s="1"/>
  <c r="AQ25" i="29"/>
  <c r="AU25" i="29"/>
  <c r="AS25" i="29"/>
  <c r="Y35" i="29"/>
  <c r="O58" i="26"/>
  <c r="K58" i="26"/>
  <c r="AS58" i="26"/>
  <c r="AU58" i="26"/>
  <c r="AQ58" i="26"/>
  <c r="F25" i="26"/>
  <c r="AI24" i="26"/>
  <c r="AJ24" i="26" s="1"/>
  <c r="AK24" i="26" s="1"/>
  <c r="AL24" i="26"/>
  <c r="R57" i="23"/>
  <c r="C59" i="26"/>
  <c r="AZ59" i="26"/>
  <c r="E60" i="26"/>
  <c r="AW25" i="28"/>
  <c r="AX25" i="28" s="1"/>
  <c r="AY25" i="28" s="1"/>
  <c r="T57" i="23"/>
  <c r="AE125" i="23"/>
  <c r="AG125" i="23"/>
  <c r="C59" i="28"/>
  <c r="AZ59" i="28"/>
  <c r="E60" i="28"/>
  <c r="AM26" i="28"/>
  <c r="AN26" i="28" s="1"/>
  <c r="AG34" i="28"/>
  <c r="AF35" i="28" s="1"/>
  <c r="AC34" i="28"/>
  <c r="X35" i="28" s="1"/>
  <c r="AB35" i="28" s="1"/>
  <c r="F26" i="25"/>
  <c r="U58" i="25"/>
  <c r="V58" i="25"/>
  <c r="AA58" i="25"/>
  <c r="AB58" i="25"/>
  <c r="AR58" i="25"/>
  <c r="BC59" i="25"/>
  <c r="BB59" i="25"/>
  <c r="BA59" i="25"/>
  <c r="AO24" i="25"/>
  <c r="L25" i="25"/>
  <c r="M25" i="25" s="1"/>
  <c r="Q25" i="25" s="1"/>
  <c r="L26" i="25" s="1"/>
  <c r="AS24" i="25"/>
  <c r="AQ24" i="25"/>
  <c r="AI24" i="25"/>
  <c r="AU24" i="25"/>
  <c r="AL24" i="25"/>
  <c r="C59" i="25"/>
  <c r="AZ59" i="25"/>
  <c r="BD59" i="25"/>
  <c r="E60" i="25"/>
  <c r="AV93" i="23"/>
  <c r="AZ93" i="23" s="1"/>
  <c r="BC93" i="23" s="1"/>
  <c r="AN22" i="24"/>
  <c r="AK22" i="24"/>
  <c r="AQ58" i="24"/>
  <c r="AS58" i="24"/>
  <c r="AU58" i="24"/>
  <c r="C59" i="24"/>
  <c r="AZ59" i="24"/>
  <c r="E60" i="24"/>
  <c r="P30" i="15"/>
  <c r="M31" i="15" s="1"/>
  <c r="N31" i="15" s="1"/>
  <c r="AD125" i="23"/>
  <c r="G23" i="24"/>
  <c r="AR23" i="24" s="1"/>
  <c r="J95" i="23"/>
  <c r="H94" i="23"/>
  <c r="G94" i="23"/>
  <c r="AI94" i="23" s="1"/>
  <c r="AJ94" i="23" s="1"/>
  <c r="AK94" i="23" s="1"/>
  <c r="O60" i="15"/>
  <c r="AQ60" i="15"/>
  <c r="AS60" i="15"/>
  <c r="AU60" i="15"/>
  <c r="K60" i="15"/>
  <c r="H24" i="15"/>
  <c r="F57" i="23"/>
  <c r="AN56" i="23"/>
  <c r="AV56" i="23" s="1"/>
  <c r="J127" i="23"/>
  <c r="M127" i="23"/>
  <c r="J57" i="23"/>
  <c r="K57" i="23"/>
  <c r="L127" i="23"/>
  <c r="I57" i="23"/>
  <c r="N57" i="23"/>
  <c r="O57" i="23"/>
  <c r="M57" i="23"/>
  <c r="AF125" i="23"/>
  <c r="G127" i="23"/>
  <c r="AM23" i="23"/>
  <c r="AN23" i="23" s="1"/>
  <c r="AO128" i="23"/>
  <c r="AX128" i="23"/>
  <c r="BB128" i="23" s="1"/>
  <c r="AW128" i="23"/>
  <c r="BA128" i="23" s="1"/>
  <c r="AY128" i="23"/>
  <c r="BD128" i="23" s="1"/>
  <c r="AW58" i="23"/>
  <c r="BA58" i="23" s="1"/>
  <c r="AX58" i="23"/>
  <c r="BB58" i="23" s="1"/>
  <c r="AY58" i="23"/>
  <c r="BD58" i="23" s="1"/>
  <c r="BF58" i="23"/>
  <c r="BE58" i="23"/>
  <c r="L58" i="23"/>
  <c r="E59" i="23"/>
  <c r="H58" i="23"/>
  <c r="P58" i="23"/>
  <c r="C58" i="23"/>
  <c r="T58" i="23" s="1"/>
  <c r="P127" i="23"/>
  <c r="AU127" i="23"/>
  <c r="AS127" i="23"/>
  <c r="AI127" i="23"/>
  <c r="AL127" i="23"/>
  <c r="AP127" i="23"/>
  <c r="AQ127" i="23"/>
  <c r="AR127" i="23"/>
  <c r="AT127" i="23"/>
  <c r="Q57" i="23"/>
  <c r="AR57" i="23"/>
  <c r="AS57" i="23"/>
  <c r="AT57" i="23"/>
  <c r="AU57" i="23"/>
  <c r="AL57" i="23"/>
  <c r="AM57" i="23" s="1"/>
  <c r="AI57" i="23"/>
  <c r="AJ57" i="23" s="1"/>
  <c r="AQ57" i="23"/>
  <c r="G24" i="23"/>
  <c r="AR24" i="23" s="1"/>
  <c r="Y127" i="23"/>
  <c r="AJ23" i="23"/>
  <c r="AK23" i="23" s="1"/>
  <c r="G57" i="23"/>
  <c r="X127" i="23"/>
  <c r="Q128" i="23"/>
  <c r="C128" i="23"/>
  <c r="S128" i="23" s="1"/>
  <c r="AC128" i="23"/>
  <c r="BE128" i="23"/>
  <c r="K128" i="23"/>
  <c r="BF128" i="23"/>
  <c r="W128" i="23"/>
  <c r="E129" i="23"/>
  <c r="R127" i="23"/>
  <c r="F127" i="23"/>
  <c r="AN25" i="29"/>
  <c r="T48" i="23"/>
  <c r="S49" i="23" s="1"/>
  <c r="I57" i="25"/>
  <c r="O57" i="25"/>
  <c r="AV124" i="23"/>
  <c r="AN125" i="23"/>
  <c r="AK125" i="23"/>
  <c r="AJ126" i="23"/>
  <c r="AM126" i="23"/>
  <c r="AE116" i="23"/>
  <c r="AD117" i="23" s="1"/>
  <c r="AT117" i="23" s="1"/>
  <c r="AJ60" i="3"/>
  <c r="BF60" i="3" s="1"/>
  <c r="P48" i="14"/>
  <c r="M49" i="14" s="1"/>
  <c r="T48" i="14"/>
  <c r="S49" i="14" s="1"/>
  <c r="T30" i="15"/>
  <c r="S31" i="15" s="1"/>
  <c r="AT39" i="18"/>
  <c r="R39" i="18"/>
  <c r="Q40" i="18" s="1"/>
  <c r="AT37" i="14"/>
  <c r="R37" i="14"/>
  <c r="Q38" i="14" s="1"/>
  <c r="R29" i="15"/>
  <c r="Q30" i="15" s="1"/>
  <c r="AT30" i="15" s="1"/>
  <c r="AR59" i="19"/>
  <c r="T128" i="14"/>
  <c r="U128" i="14"/>
  <c r="AA128" i="14"/>
  <c r="I128" i="14"/>
  <c r="AB128" i="14"/>
  <c r="V128" i="14"/>
  <c r="O128" i="14"/>
  <c r="AB60" i="17"/>
  <c r="O60" i="17"/>
  <c r="I60" i="17"/>
  <c r="V60" i="19"/>
  <c r="AA60" i="17"/>
  <c r="AA60" i="19"/>
  <c r="V60" i="17"/>
  <c r="U60" i="19"/>
  <c r="I60" i="19"/>
  <c r="AB60" i="19"/>
  <c r="U60" i="17"/>
  <c r="O60" i="19"/>
  <c r="AZ56" i="14"/>
  <c r="BC56" i="14" s="1"/>
  <c r="AN58" i="14"/>
  <c r="C60" i="19"/>
  <c r="E61" i="19"/>
  <c r="AZ60" i="19"/>
  <c r="AV57" i="14"/>
  <c r="AZ57" i="14" s="1"/>
  <c r="BC57" i="14" s="1"/>
  <c r="AK58" i="14"/>
  <c r="F59" i="14"/>
  <c r="AQ59" i="14"/>
  <c r="AT59" i="14"/>
  <c r="AI59" i="14"/>
  <c r="AJ59" i="14" s="1"/>
  <c r="AS59" i="14"/>
  <c r="N59" i="14"/>
  <c r="I59" i="14"/>
  <c r="AR59" i="14"/>
  <c r="J59" i="14"/>
  <c r="M59" i="14"/>
  <c r="K59" i="14"/>
  <c r="O59" i="14"/>
  <c r="AU59" i="14"/>
  <c r="AL59" i="14"/>
  <c r="AM59" i="14" s="1"/>
  <c r="S59" i="14"/>
  <c r="G59" i="14"/>
  <c r="T59" i="14"/>
  <c r="Q59" i="14"/>
  <c r="R59" i="14"/>
  <c r="BG125" i="14"/>
  <c r="AD127" i="14"/>
  <c r="AZ60" i="16"/>
  <c r="C60" i="16"/>
  <c r="E61" i="16"/>
  <c r="BD60" i="16"/>
  <c r="AG127" i="14"/>
  <c r="AF127" i="14"/>
  <c r="AX60" i="14"/>
  <c r="BB60" i="14" s="1"/>
  <c r="H60" i="14"/>
  <c r="BE60" i="14"/>
  <c r="P60" i="14"/>
  <c r="C60" i="14"/>
  <c r="AG128" i="14" s="1"/>
  <c r="AW60" i="14"/>
  <c r="BA60" i="14" s="1"/>
  <c r="BF60" i="14"/>
  <c r="L60" i="14"/>
  <c r="AY60" i="14"/>
  <c r="BD60" i="14" s="1"/>
  <c r="E61" i="14"/>
  <c r="AR59" i="16"/>
  <c r="J57" i="18"/>
  <c r="L57" i="18" s="1"/>
  <c r="I58" i="18" s="1"/>
  <c r="AS58" i="18"/>
  <c r="K58" i="18"/>
  <c r="AU58" i="18"/>
  <c r="O58" i="18"/>
  <c r="AQ58" i="18"/>
  <c r="F31" i="14"/>
  <c r="AI30" i="14"/>
  <c r="AL30" i="14"/>
  <c r="E60" i="18"/>
  <c r="C59" i="18"/>
  <c r="AZ59" i="18"/>
  <c r="AL28" i="18"/>
  <c r="AM28" i="18" s="1"/>
  <c r="AN28" i="18" s="1"/>
  <c r="E60" i="17"/>
  <c r="C59" i="17"/>
  <c r="AZ59" i="17"/>
  <c r="P128" i="14"/>
  <c r="AI28" i="18"/>
  <c r="AJ28" i="18" s="1"/>
  <c r="AK28" i="18" s="1"/>
  <c r="J128" i="14"/>
  <c r="S128" i="14"/>
  <c r="M128" i="14"/>
  <c r="X128" i="14"/>
  <c r="Z128" i="14" s="1"/>
  <c r="Y128" i="14"/>
  <c r="F128" i="14"/>
  <c r="H128" i="14" s="1"/>
  <c r="L128" i="14"/>
  <c r="N128" i="14" s="1"/>
  <c r="G128" i="14"/>
  <c r="C61" i="15"/>
  <c r="AZ61" i="15"/>
  <c r="E62" i="15"/>
  <c r="H29" i="18"/>
  <c r="BF129" i="14"/>
  <c r="AW129" i="14"/>
  <c r="BA129" i="14" s="1"/>
  <c r="W129" i="14"/>
  <c r="K129" i="14"/>
  <c r="E130" i="14"/>
  <c r="AX129" i="14"/>
  <c r="BB129" i="14" s="1"/>
  <c r="C129" i="14"/>
  <c r="L129" i="14" s="1"/>
  <c r="AY129" i="14"/>
  <c r="BD129" i="14" s="1"/>
  <c r="AO129" i="14"/>
  <c r="AC129" i="14"/>
  <c r="Q129" i="14"/>
  <c r="BE129" i="14"/>
  <c r="AS128" i="14"/>
  <c r="AI128" i="14"/>
  <c r="AJ128" i="14" s="1"/>
  <c r="AU128" i="14"/>
  <c r="AP128" i="14"/>
  <c r="AR128" i="14"/>
  <c r="AQ128" i="14"/>
  <c r="AL128" i="14"/>
  <c r="AM128" i="14" s="1"/>
  <c r="AT128" i="14"/>
  <c r="AV126" i="14"/>
  <c r="P44" i="18"/>
  <c r="M45" i="18" s="1"/>
  <c r="N45" i="18" s="1"/>
  <c r="T43" i="18"/>
  <c r="AK127" i="14"/>
  <c r="AN127" i="14"/>
  <c r="AI60" i="3"/>
  <c r="BE60" i="3" s="1"/>
  <c r="G64" i="3"/>
  <c r="AV63" i="3"/>
  <c r="AX63" i="3" s="1"/>
  <c r="V63" i="3"/>
  <c r="X63" i="3" s="1"/>
  <c r="BC61" i="3"/>
  <c r="AE62" i="3"/>
  <c r="AG62" i="3"/>
  <c r="Y62" i="3"/>
  <c r="AC61" i="3"/>
  <c r="AL62" i="3"/>
  <c r="AQ65" i="3"/>
  <c r="AM62" i="3"/>
  <c r="A63" i="3"/>
  <c r="BI63" i="3" s="1"/>
  <c r="BJ63" i="3" s="1"/>
  <c r="BD61" i="3"/>
  <c r="AH62" i="3"/>
  <c r="AF61" i="3"/>
  <c r="AK61" i="3" s="1"/>
  <c r="H62" i="3"/>
  <c r="P65" i="3"/>
  <c r="AW65" i="3"/>
  <c r="L53" i="23" l="1"/>
  <c r="I54" i="23" s="1"/>
  <c r="J54" i="23" s="1"/>
  <c r="K54" i="23"/>
  <c r="W24" i="25"/>
  <c r="R25" i="25" s="1"/>
  <c r="AE24" i="25"/>
  <c r="AD25" i="25" s="1"/>
  <c r="O56" i="23"/>
  <c r="N56" i="23"/>
  <c r="Y124" i="23"/>
  <c r="Z124" i="23"/>
  <c r="S124" i="23"/>
  <c r="T124" i="23"/>
  <c r="P28" i="24"/>
  <c r="M29" i="24" s="1"/>
  <c r="T28" i="24"/>
  <c r="S29" i="24" s="1"/>
  <c r="AU26" i="28"/>
  <c r="AS26" i="28"/>
  <c r="F27" i="28"/>
  <c r="I27" i="28" s="1"/>
  <c r="Q27" i="28" s="1"/>
  <c r="L28" i="28" s="1"/>
  <c r="P29" i="28" s="1"/>
  <c r="AK26" i="28"/>
  <c r="AT40" i="28"/>
  <c r="AE40" i="28"/>
  <c r="AD41" i="28" s="1"/>
  <c r="T127" i="23"/>
  <c r="U127" i="23"/>
  <c r="AT36" i="29"/>
  <c r="O95" i="23"/>
  <c r="N95" i="23"/>
  <c r="P96" i="23"/>
  <c r="M95" i="23"/>
  <c r="V41" i="28"/>
  <c r="S41" i="28"/>
  <c r="W41" i="28" s="1"/>
  <c r="R42" i="28" s="1"/>
  <c r="T41" i="28"/>
  <c r="H127" i="23"/>
  <c r="I127" i="23"/>
  <c r="AR26" i="29"/>
  <c r="Q26" i="29"/>
  <c r="L27" i="29" s="1"/>
  <c r="Z127" i="23"/>
  <c r="AA127" i="23"/>
  <c r="AG35" i="29"/>
  <c r="AF36" i="29" s="1"/>
  <c r="P128" i="23"/>
  <c r="O127" i="23"/>
  <c r="AR65" i="3"/>
  <c r="BB63" i="3"/>
  <c r="AC26" i="25"/>
  <c r="X27" i="25" s="1"/>
  <c r="Y27" i="25" s="1"/>
  <c r="AG27" i="25" s="1"/>
  <c r="AF28" i="25" s="1"/>
  <c r="L34" i="24"/>
  <c r="I35" i="24" s="1"/>
  <c r="AR60" i="19"/>
  <c r="AM63" i="3"/>
  <c r="R41" i="23"/>
  <c r="Q42" i="23" s="1"/>
  <c r="AT42" i="23" s="1"/>
  <c r="AN63" i="20"/>
  <c r="T38" i="26"/>
  <c r="S39" i="26" s="1"/>
  <c r="T39" i="26" s="1"/>
  <c r="S40" i="26" s="1"/>
  <c r="T40" i="26" s="1"/>
  <c r="S41" i="26" s="1"/>
  <c r="AQ63" i="20"/>
  <c r="AR63" i="20" s="1"/>
  <c r="O64" i="20"/>
  <c r="P63" i="20"/>
  <c r="AT35" i="26"/>
  <c r="R35" i="26"/>
  <c r="Q36" i="26" s="1"/>
  <c r="J49" i="26"/>
  <c r="L49" i="26" s="1"/>
  <c r="I50" i="26" s="1"/>
  <c r="BG61" i="3"/>
  <c r="T45" i="29"/>
  <c r="S45" i="29"/>
  <c r="W45" i="29" s="1"/>
  <c r="R46" i="29" s="1"/>
  <c r="U46" i="29" s="1"/>
  <c r="J27" i="29"/>
  <c r="H26" i="29"/>
  <c r="AP26" i="29" s="1"/>
  <c r="C59" i="29"/>
  <c r="AZ59" i="29"/>
  <c r="E60" i="29"/>
  <c r="G26" i="29"/>
  <c r="AI26" i="29" s="1"/>
  <c r="AJ26" i="29" s="1"/>
  <c r="P40" i="26"/>
  <c r="M41" i="26" s="1"/>
  <c r="N41" i="26" s="1"/>
  <c r="G25" i="26"/>
  <c r="AR25" i="26" s="1"/>
  <c r="AM24" i="26"/>
  <c r="AN24" i="26" s="1"/>
  <c r="AW24" i="26" s="1"/>
  <c r="AX24" i="26" s="1"/>
  <c r="AY24" i="26" s="1"/>
  <c r="K59" i="26"/>
  <c r="O59" i="26"/>
  <c r="AQ59" i="26"/>
  <c r="AU59" i="26"/>
  <c r="AS59" i="26"/>
  <c r="C60" i="26"/>
  <c r="AZ60" i="26"/>
  <c r="E61" i="26"/>
  <c r="Z35" i="28"/>
  <c r="Y35" i="28"/>
  <c r="AZ60" i="28"/>
  <c r="C60" i="28"/>
  <c r="E61" i="28"/>
  <c r="N25" i="25"/>
  <c r="P26" i="25"/>
  <c r="AL25" i="25"/>
  <c r="AS25" i="25"/>
  <c r="U59" i="25"/>
  <c r="V59" i="25"/>
  <c r="AA59" i="25"/>
  <c r="AB59" i="25"/>
  <c r="AR59" i="25"/>
  <c r="G26" i="25"/>
  <c r="K26" i="25" s="1"/>
  <c r="H26" i="25"/>
  <c r="J27" i="25"/>
  <c r="AE126" i="23"/>
  <c r="AU25" i="25"/>
  <c r="AI25" i="25"/>
  <c r="AQ25" i="25"/>
  <c r="BB60" i="25"/>
  <c r="BC60" i="25"/>
  <c r="BA60" i="25"/>
  <c r="BG93" i="23"/>
  <c r="P31" i="15"/>
  <c r="M32" i="15" s="1"/>
  <c r="N32" i="15" s="1"/>
  <c r="P27" i="25"/>
  <c r="N26" i="25"/>
  <c r="M26" i="25"/>
  <c r="AM24" i="25"/>
  <c r="AN24" i="25" s="1"/>
  <c r="AZ60" i="25"/>
  <c r="BD60" i="25"/>
  <c r="C60" i="25"/>
  <c r="E61" i="25"/>
  <c r="AJ24" i="25"/>
  <c r="AK24" i="25" s="1"/>
  <c r="AQ59" i="24"/>
  <c r="AU59" i="24"/>
  <c r="AS59" i="24"/>
  <c r="C60" i="24"/>
  <c r="AZ60" i="24"/>
  <c r="E61" i="24"/>
  <c r="AW22" i="24"/>
  <c r="AX22" i="24" s="1"/>
  <c r="AY22" i="24" s="1"/>
  <c r="H23" i="24"/>
  <c r="AO94" i="23"/>
  <c r="AP94" i="23"/>
  <c r="AL94" i="23"/>
  <c r="AM94" i="23" s="1"/>
  <c r="AN94" i="23" s="1"/>
  <c r="K94" i="23"/>
  <c r="AK57" i="23"/>
  <c r="AS61" i="15"/>
  <c r="AU61" i="15"/>
  <c r="AQ61" i="15"/>
  <c r="F25" i="15"/>
  <c r="AI24" i="15"/>
  <c r="AJ24" i="15" s="1"/>
  <c r="AK24" i="15" s="1"/>
  <c r="AL24" i="15"/>
  <c r="AM24" i="15" s="1"/>
  <c r="AN24" i="15" s="1"/>
  <c r="N127" i="23"/>
  <c r="AG126" i="23"/>
  <c r="G128" i="23"/>
  <c r="R58" i="23"/>
  <c r="L128" i="23"/>
  <c r="H24" i="23"/>
  <c r="F25" i="23" s="1"/>
  <c r="G25" i="23" s="1"/>
  <c r="AR25" i="23" s="1"/>
  <c r="AN57" i="23"/>
  <c r="Y128" i="23"/>
  <c r="AV23" i="23"/>
  <c r="AW59" i="23"/>
  <c r="BA59" i="23" s="1"/>
  <c r="AX59" i="23"/>
  <c r="BB59" i="23" s="1"/>
  <c r="AY59" i="23"/>
  <c r="BD59" i="23" s="1"/>
  <c r="H59" i="23"/>
  <c r="C59" i="23"/>
  <c r="O59" i="23" s="1"/>
  <c r="BF59" i="23"/>
  <c r="BE59" i="23"/>
  <c r="P59" i="23"/>
  <c r="L59" i="23"/>
  <c r="E60" i="23"/>
  <c r="AO129" i="23"/>
  <c r="AW129" i="23"/>
  <c r="BA129" i="23" s="1"/>
  <c r="AX129" i="23"/>
  <c r="BB129" i="23" s="1"/>
  <c r="AY129" i="23"/>
  <c r="BD129" i="23" s="1"/>
  <c r="I58" i="23"/>
  <c r="AS58" i="23"/>
  <c r="AT58" i="23"/>
  <c r="AU58" i="23"/>
  <c r="AI58" i="23"/>
  <c r="AJ58" i="23" s="1"/>
  <c r="AQ58" i="23"/>
  <c r="AL58" i="23"/>
  <c r="AM58" i="23" s="1"/>
  <c r="AR58" i="23"/>
  <c r="Q58" i="23"/>
  <c r="AF126" i="23"/>
  <c r="S58" i="23"/>
  <c r="M58" i="23"/>
  <c r="F58" i="23"/>
  <c r="J128" i="23"/>
  <c r="AD126" i="23"/>
  <c r="M128" i="23"/>
  <c r="G58" i="23"/>
  <c r="J58" i="23"/>
  <c r="K58" i="23"/>
  <c r="N58" i="23"/>
  <c r="AI128" i="23"/>
  <c r="AL128" i="23"/>
  <c r="AP128" i="23"/>
  <c r="AQ128" i="23"/>
  <c r="AR128" i="23"/>
  <c r="AS128" i="23"/>
  <c r="AT128" i="23"/>
  <c r="AU128" i="23"/>
  <c r="O58" i="23"/>
  <c r="R128" i="23"/>
  <c r="X128" i="23"/>
  <c r="C129" i="23"/>
  <c r="M129" i="23" s="1"/>
  <c r="AC129" i="23"/>
  <c r="BE129" i="23"/>
  <c r="Q129" i="23"/>
  <c r="W129" i="23"/>
  <c r="BF129" i="23"/>
  <c r="K129" i="23"/>
  <c r="E130" i="23"/>
  <c r="BG124" i="23"/>
  <c r="AZ124" i="23"/>
  <c r="BC124" i="23" s="1"/>
  <c r="AZ56" i="23"/>
  <c r="BC56" i="23" s="1"/>
  <c r="BG56" i="23"/>
  <c r="F128" i="23"/>
  <c r="AW25" i="29"/>
  <c r="AX25" i="29" s="1"/>
  <c r="AY25" i="29" s="1"/>
  <c r="AC35" i="29"/>
  <c r="X36" i="29" s="1"/>
  <c r="I58" i="25"/>
  <c r="O58" i="25"/>
  <c r="AV125" i="23"/>
  <c r="T49" i="23"/>
  <c r="S50" i="23" s="1"/>
  <c r="AK126" i="23"/>
  <c r="AE117" i="23"/>
  <c r="AD118" i="23" s="1"/>
  <c r="AT118" i="23" s="1"/>
  <c r="AN126" i="23"/>
  <c r="AJ127" i="23"/>
  <c r="AM127" i="23"/>
  <c r="AG116" i="23"/>
  <c r="AF117" i="23" s="1"/>
  <c r="T31" i="15"/>
  <c r="S32" i="15" s="1"/>
  <c r="N49" i="14"/>
  <c r="T49" i="14" s="1"/>
  <c r="S50" i="14" s="1"/>
  <c r="AT40" i="18"/>
  <c r="R40" i="18"/>
  <c r="Q41" i="18" s="1"/>
  <c r="AT38" i="14"/>
  <c r="R38" i="14"/>
  <c r="Q39" i="14" s="1"/>
  <c r="R30" i="15"/>
  <c r="Q31" i="15" s="1"/>
  <c r="AT31" i="15" s="1"/>
  <c r="AD61" i="3"/>
  <c r="AJ61" i="3" s="1"/>
  <c r="AA129" i="14"/>
  <c r="I129" i="14"/>
  <c r="U129" i="14"/>
  <c r="O129" i="14"/>
  <c r="V129" i="14"/>
  <c r="AB129" i="14"/>
  <c r="V61" i="17"/>
  <c r="AB61" i="17"/>
  <c r="I61" i="17"/>
  <c r="AA61" i="19"/>
  <c r="I61" i="19"/>
  <c r="AA61" i="17"/>
  <c r="O61" i="17"/>
  <c r="U61" i="19"/>
  <c r="O61" i="19"/>
  <c r="U61" i="17"/>
  <c r="V61" i="19"/>
  <c r="AB61" i="19"/>
  <c r="AV58" i="14"/>
  <c r="AZ58" i="14" s="1"/>
  <c r="BC58" i="14" s="1"/>
  <c r="AE128" i="14"/>
  <c r="E62" i="19"/>
  <c r="AZ61" i="19"/>
  <c r="C61" i="19"/>
  <c r="BG57" i="14"/>
  <c r="T60" i="14"/>
  <c r="R60" i="14"/>
  <c r="AK59" i="14"/>
  <c r="AR60" i="16"/>
  <c r="AN59" i="14"/>
  <c r="BE61" i="14"/>
  <c r="H61" i="14"/>
  <c r="AW61" i="14"/>
  <c r="BA61" i="14" s="1"/>
  <c r="BF61" i="14"/>
  <c r="AX61" i="14"/>
  <c r="BB61" i="14" s="1"/>
  <c r="AY61" i="14"/>
  <c r="BD61" i="14" s="1"/>
  <c r="P61" i="14"/>
  <c r="E62" i="14"/>
  <c r="C61" i="14"/>
  <c r="AD129" i="14" s="1"/>
  <c r="L61" i="14"/>
  <c r="E62" i="16"/>
  <c r="BD61" i="16"/>
  <c r="AZ61" i="16"/>
  <c r="C61" i="16"/>
  <c r="S60" i="14"/>
  <c r="AF128" i="14"/>
  <c r="G60" i="14"/>
  <c r="AQ60" i="14"/>
  <c r="O60" i="14"/>
  <c r="F60" i="14"/>
  <c r="J60" i="14"/>
  <c r="I60" i="14"/>
  <c r="AS60" i="14"/>
  <c r="AR60" i="14"/>
  <c r="K60" i="14"/>
  <c r="M60" i="14"/>
  <c r="N60" i="14"/>
  <c r="AL60" i="14"/>
  <c r="AM60" i="14" s="1"/>
  <c r="AT60" i="14"/>
  <c r="Q60" i="14"/>
  <c r="AU60" i="14"/>
  <c r="AI60" i="14"/>
  <c r="AJ60" i="14" s="1"/>
  <c r="AD128" i="14"/>
  <c r="J58" i="18"/>
  <c r="L58" i="18" s="1"/>
  <c r="I59" i="18" s="1"/>
  <c r="J59" i="18" s="1"/>
  <c r="M129" i="14"/>
  <c r="AW28" i="18"/>
  <c r="AX28" i="18" s="1"/>
  <c r="AY28" i="18" s="1"/>
  <c r="AM30" i="14"/>
  <c r="AN30" i="14" s="1"/>
  <c r="AJ30" i="14"/>
  <c r="AK30" i="14" s="1"/>
  <c r="AQ59" i="18"/>
  <c r="K59" i="18"/>
  <c r="AS59" i="18"/>
  <c r="O59" i="18"/>
  <c r="AU59" i="18"/>
  <c r="G31" i="14"/>
  <c r="AR31" i="14" s="1"/>
  <c r="C60" i="17"/>
  <c r="AZ60" i="17"/>
  <c r="E61" i="17"/>
  <c r="AZ60" i="18"/>
  <c r="C60" i="18"/>
  <c r="E61" i="18"/>
  <c r="P129" i="14"/>
  <c r="J129" i="14"/>
  <c r="F30" i="18"/>
  <c r="AL29" i="18"/>
  <c r="AI29" i="18"/>
  <c r="AJ29" i="18" s="1"/>
  <c r="AK29" i="18" s="1"/>
  <c r="AZ62" i="15"/>
  <c r="C62" i="15"/>
  <c r="E63" i="15"/>
  <c r="AR129" i="14"/>
  <c r="AQ129" i="14"/>
  <c r="N129" i="14"/>
  <c r="AT129" i="14"/>
  <c r="AL129" i="14"/>
  <c r="AM129" i="14" s="1"/>
  <c r="AU129" i="14"/>
  <c r="AS129" i="14"/>
  <c r="AP129" i="14"/>
  <c r="AI129" i="14"/>
  <c r="AJ129" i="14" s="1"/>
  <c r="S129" i="14"/>
  <c r="R129" i="14"/>
  <c r="T129" i="14" s="1"/>
  <c r="E131" i="14"/>
  <c r="BE130" i="14"/>
  <c r="AO130" i="14"/>
  <c r="P130" i="14"/>
  <c r="K130" i="14"/>
  <c r="AY130" i="14"/>
  <c r="BD130" i="14" s="1"/>
  <c r="AC130" i="14"/>
  <c r="C130" i="14"/>
  <c r="R130" i="14" s="1"/>
  <c r="T130" i="14" s="1"/>
  <c r="W130" i="14"/>
  <c r="Q130" i="14"/>
  <c r="AX130" i="14"/>
  <c r="BB130" i="14" s="1"/>
  <c r="BF130" i="14"/>
  <c r="AW130" i="14"/>
  <c r="BA130" i="14" s="1"/>
  <c r="AV127" i="14"/>
  <c r="AZ126" i="14"/>
  <c r="BC126" i="14" s="1"/>
  <c r="BG126" i="14"/>
  <c r="F129" i="14"/>
  <c r="H129" i="14" s="1"/>
  <c r="Y129" i="14"/>
  <c r="X129" i="14"/>
  <c r="Z129" i="14" s="1"/>
  <c r="G129" i="14"/>
  <c r="S44" i="18"/>
  <c r="T44" i="18" s="1"/>
  <c r="S45" i="18" s="1"/>
  <c r="T45" i="18" s="1"/>
  <c r="S46" i="18" s="1"/>
  <c r="P45" i="18"/>
  <c r="M46" i="18" s="1"/>
  <c r="N46" i="18" s="1"/>
  <c r="L39" i="15"/>
  <c r="I40" i="15" s="1"/>
  <c r="J40" i="15" s="1"/>
  <c r="AK128" i="14"/>
  <c r="AN128" i="14"/>
  <c r="H63" i="3"/>
  <c r="AF62" i="3"/>
  <c r="AW66" i="3"/>
  <c r="A64" i="3"/>
  <c r="BI64" i="3" s="1"/>
  <c r="BJ64" i="3" s="1"/>
  <c r="AQ66" i="3"/>
  <c r="Y63" i="3"/>
  <c r="AC62" i="3"/>
  <c r="AH63" i="3"/>
  <c r="BD62" i="3"/>
  <c r="AN66" i="3"/>
  <c r="AN67" i="3" s="1"/>
  <c r="AE63" i="3"/>
  <c r="BC62" i="3"/>
  <c r="V64" i="3"/>
  <c r="X64" i="3" s="1"/>
  <c r="AV64" i="3"/>
  <c r="AX64" i="3" s="1"/>
  <c r="G65" i="3"/>
  <c r="P66" i="3"/>
  <c r="P67" i="3" s="1"/>
  <c r="AL63" i="3"/>
  <c r="AG63" i="3"/>
  <c r="L54" i="23" l="1"/>
  <c r="I55" i="23" s="1"/>
  <c r="AT25" i="25"/>
  <c r="T25" i="25"/>
  <c r="S25" i="25"/>
  <c r="W25" i="25" s="1"/>
  <c r="R26" i="25" s="1"/>
  <c r="O29" i="24"/>
  <c r="N29" i="24"/>
  <c r="R29" i="24" s="1"/>
  <c r="Q30" i="24" s="1"/>
  <c r="AT30" i="24" s="1"/>
  <c r="G27" i="28"/>
  <c r="AI27" i="28" s="1"/>
  <c r="H27" i="28"/>
  <c r="AP27" i="28" s="1"/>
  <c r="J28" i="28"/>
  <c r="AW26" i="28"/>
  <c r="AX26" i="28" s="1"/>
  <c r="AY26" i="28" s="1"/>
  <c r="O28" i="28"/>
  <c r="M28" i="28"/>
  <c r="N28" i="28"/>
  <c r="Z128" i="23"/>
  <c r="AA128" i="23"/>
  <c r="Z36" i="29"/>
  <c r="AA36" i="29"/>
  <c r="AE36" i="29" s="1"/>
  <c r="AD37" i="29" s="1"/>
  <c r="P129" i="23"/>
  <c r="O128" i="23"/>
  <c r="M27" i="29"/>
  <c r="O27" i="29"/>
  <c r="N27" i="29"/>
  <c r="P28" i="29"/>
  <c r="AT41" i="28"/>
  <c r="AE41" i="28"/>
  <c r="AD42" i="28" s="1"/>
  <c r="T128" i="23"/>
  <c r="U128" i="23"/>
  <c r="H128" i="23"/>
  <c r="I128" i="23"/>
  <c r="V42" i="28"/>
  <c r="S42" i="28"/>
  <c r="W42" i="28" s="1"/>
  <c r="R43" i="28" s="1"/>
  <c r="T42" i="28"/>
  <c r="AR66" i="3"/>
  <c r="BB64" i="3"/>
  <c r="AC27" i="25"/>
  <c r="X28" i="25" s="1"/>
  <c r="Y28" i="25" s="1"/>
  <c r="AG28" i="25" s="1"/>
  <c r="AF29" i="25" s="1"/>
  <c r="Z27" i="25"/>
  <c r="K35" i="24"/>
  <c r="J35" i="24"/>
  <c r="AN64" i="20"/>
  <c r="AL64" i="3"/>
  <c r="AR61" i="19"/>
  <c r="R42" i="23"/>
  <c r="Q43" i="23" s="1"/>
  <c r="AT43" i="23" s="1"/>
  <c r="J50" i="26"/>
  <c r="L50" i="26" s="1"/>
  <c r="I51" i="26" s="1"/>
  <c r="AQ64" i="20"/>
  <c r="AR64" i="20" s="1"/>
  <c r="O65" i="20"/>
  <c r="AK62" i="3"/>
  <c r="BG62" i="3" s="1"/>
  <c r="P64" i="20"/>
  <c r="AT36" i="26"/>
  <c r="R36" i="26"/>
  <c r="Q37" i="26" s="1"/>
  <c r="O61" i="15"/>
  <c r="K61" i="15"/>
  <c r="R59" i="23"/>
  <c r="T46" i="29"/>
  <c r="S46" i="29"/>
  <c r="W46" i="29" s="1"/>
  <c r="R47" i="29" s="1"/>
  <c r="U47" i="29" s="1"/>
  <c r="AZ60" i="29"/>
  <c r="C60" i="29"/>
  <c r="E61" i="29"/>
  <c r="AO26" i="29"/>
  <c r="Y36" i="29"/>
  <c r="AL26" i="29"/>
  <c r="AM26" i="29" s="1"/>
  <c r="P41" i="26"/>
  <c r="M42" i="26" s="1"/>
  <c r="N42" i="26" s="1"/>
  <c r="T41" i="26"/>
  <c r="S42" i="26" s="1"/>
  <c r="H25" i="26"/>
  <c r="O60" i="26"/>
  <c r="AQ60" i="26"/>
  <c r="AS60" i="26"/>
  <c r="AU60" i="26"/>
  <c r="K60" i="26"/>
  <c r="AZ61" i="26"/>
  <c r="C61" i="26"/>
  <c r="E62" i="26"/>
  <c r="AZ61" i="28"/>
  <c r="C61" i="28"/>
  <c r="E62" i="28"/>
  <c r="AG35" i="28"/>
  <c r="AF36" i="28" s="1"/>
  <c r="AC35" i="28"/>
  <c r="X36" i="28" s="1"/>
  <c r="AB36" i="28" s="1"/>
  <c r="AO25" i="25"/>
  <c r="AP25" i="25"/>
  <c r="AL26" i="25"/>
  <c r="AM26" i="25" s="1"/>
  <c r="AN26" i="25" s="1"/>
  <c r="AK58" i="23"/>
  <c r="AP26" i="25"/>
  <c r="AW24" i="25"/>
  <c r="AX24" i="25" s="1"/>
  <c r="AY24" i="25" s="1"/>
  <c r="F27" i="25"/>
  <c r="U60" i="25"/>
  <c r="V60" i="25"/>
  <c r="AA60" i="25"/>
  <c r="AB60" i="25"/>
  <c r="AR60" i="25"/>
  <c r="AL24" i="23"/>
  <c r="AM24" i="23" s="1"/>
  <c r="AN24" i="23" s="1"/>
  <c r="Q26" i="25"/>
  <c r="L27" i="25" s="1"/>
  <c r="M27" i="25" s="1"/>
  <c r="Q27" i="25" s="1"/>
  <c r="L28" i="25" s="1"/>
  <c r="BA61" i="25"/>
  <c r="BB61" i="25"/>
  <c r="BC61" i="25"/>
  <c r="AO26" i="25"/>
  <c r="C61" i="25"/>
  <c r="BD61" i="25"/>
  <c r="AZ61" i="25"/>
  <c r="E62" i="25"/>
  <c r="AJ25" i="25"/>
  <c r="AK25" i="25" s="1"/>
  <c r="AM25" i="25"/>
  <c r="AN25" i="25" s="1"/>
  <c r="AV57" i="23"/>
  <c r="AZ57" i="23" s="1"/>
  <c r="BC57" i="23" s="1"/>
  <c r="C61" i="24"/>
  <c r="AZ61" i="24"/>
  <c r="E62" i="24"/>
  <c r="AW24" i="15"/>
  <c r="AX24" i="15" s="1"/>
  <c r="AY24" i="15" s="1"/>
  <c r="F24" i="24"/>
  <c r="AL23" i="24"/>
  <c r="AM23" i="24" s="1"/>
  <c r="AI23" i="24"/>
  <c r="AJ23" i="24" s="1"/>
  <c r="AS60" i="24"/>
  <c r="AU60" i="24"/>
  <c r="AQ60" i="24"/>
  <c r="AG127" i="23"/>
  <c r="AE127" i="23"/>
  <c r="T59" i="23"/>
  <c r="AN58" i="23"/>
  <c r="K59" i="23"/>
  <c r="S59" i="23"/>
  <c r="N59" i="23"/>
  <c r="F95" i="23"/>
  <c r="I95" i="23" s="1"/>
  <c r="AR95" i="23" s="1"/>
  <c r="AU94" i="23"/>
  <c r="AS94" i="23"/>
  <c r="AQ94" i="23"/>
  <c r="N128" i="23"/>
  <c r="AI24" i="23"/>
  <c r="AJ24" i="23" s="1"/>
  <c r="AK24" i="23" s="1"/>
  <c r="AQ62" i="15"/>
  <c r="AS62" i="15"/>
  <c r="AU62" i="15"/>
  <c r="G25" i="15"/>
  <c r="AR25" i="15" s="1"/>
  <c r="J129" i="23"/>
  <c r="F129" i="23"/>
  <c r="AI129" i="23"/>
  <c r="AL129" i="23"/>
  <c r="AP129" i="23"/>
  <c r="AQ129" i="23"/>
  <c r="AR129" i="23"/>
  <c r="AS129" i="23"/>
  <c r="AT129" i="23"/>
  <c r="AU129" i="23"/>
  <c r="S129" i="23"/>
  <c r="AT59" i="23"/>
  <c r="AU59" i="23"/>
  <c r="AI59" i="23"/>
  <c r="AJ59" i="23" s="1"/>
  <c r="AR59" i="23"/>
  <c r="AL59" i="23"/>
  <c r="AM59" i="23" s="1"/>
  <c r="AQ59" i="23"/>
  <c r="AS59" i="23"/>
  <c r="F59" i="23"/>
  <c r="AD127" i="23"/>
  <c r="I59" i="23"/>
  <c r="M59" i="23"/>
  <c r="Y129" i="23"/>
  <c r="AW60" i="23"/>
  <c r="BA60" i="23" s="1"/>
  <c r="AX60" i="23"/>
  <c r="BB60" i="23" s="1"/>
  <c r="AY60" i="23"/>
  <c r="BD60" i="23" s="1"/>
  <c r="C60" i="23"/>
  <c r="O60" i="23" s="1"/>
  <c r="BF60" i="23"/>
  <c r="BE60" i="23"/>
  <c r="P60" i="23"/>
  <c r="E61" i="23"/>
  <c r="L60" i="23"/>
  <c r="H60" i="23"/>
  <c r="AF127" i="23"/>
  <c r="H25" i="23"/>
  <c r="AZ23" i="23"/>
  <c r="BC23" i="23" s="1"/>
  <c r="BG23" i="23"/>
  <c r="AO130" i="23"/>
  <c r="AW130" i="23"/>
  <c r="BA130" i="23" s="1"/>
  <c r="AX130" i="23"/>
  <c r="BB130" i="23" s="1"/>
  <c r="AY130" i="23"/>
  <c r="BD130" i="23" s="1"/>
  <c r="G129" i="23"/>
  <c r="G59" i="23"/>
  <c r="Q59" i="23"/>
  <c r="J59" i="23"/>
  <c r="L129" i="23"/>
  <c r="X129" i="23"/>
  <c r="AZ125" i="23"/>
  <c r="BC125" i="23" s="1"/>
  <c r="BG125" i="23"/>
  <c r="R129" i="23"/>
  <c r="Q130" i="23"/>
  <c r="C130" i="23"/>
  <c r="G130" i="23" s="1"/>
  <c r="AC130" i="23"/>
  <c r="BE130" i="23"/>
  <c r="W130" i="23"/>
  <c r="BF130" i="23"/>
  <c r="K130" i="23"/>
  <c r="E131" i="23"/>
  <c r="AK26" i="29"/>
  <c r="K26" i="29"/>
  <c r="O59" i="25"/>
  <c r="I59" i="25"/>
  <c r="T50" i="23"/>
  <c r="S51" i="23" s="1"/>
  <c r="AV126" i="23"/>
  <c r="AK127" i="23"/>
  <c r="AN127" i="23"/>
  <c r="AM128" i="23"/>
  <c r="AJ128" i="23"/>
  <c r="AE118" i="23"/>
  <c r="AD119" i="23" s="1"/>
  <c r="AT119" i="23" s="1"/>
  <c r="T32" i="15"/>
  <c r="S33" i="15" s="1"/>
  <c r="P49" i="14"/>
  <c r="M50" i="14" s="1"/>
  <c r="N50" i="14" s="1"/>
  <c r="P50" i="14" s="1"/>
  <c r="M51" i="14" s="1"/>
  <c r="N51" i="14" s="1"/>
  <c r="P51" i="14" s="1"/>
  <c r="M52" i="14" s="1"/>
  <c r="P32" i="15"/>
  <c r="M33" i="15" s="1"/>
  <c r="N33" i="15" s="1"/>
  <c r="AT39" i="14"/>
  <c r="R39" i="14"/>
  <c r="Q40" i="14" s="1"/>
  <c r="R31" i="15"/>
  <c r="Q32" i="15" s="1"/>
  <c r="AT32" i="15" s="1"/>
  <c r="BF61" i="3"/>
  <c r="AT41" i="18"/>
  <c r="R41" i="18"/>
  <c r="Q42" i="18" s="1"/>
  <c r="AI61" i="3"/>
  <c r="BE61" i="3" s="1"/>
  <c r="AD62" i="3"/>
  <c r="O62" i="15" s="1"/>
  <c r="U130" i="14"/>
  <c r="AA130" i="14"/>
  <c r="I130" i="14"/>
  <c r="V130" i="14"/>
  <c r="AB130" i="14"/>
  <c r="O130" i="14"/>
  <c r="AB62" i="17"/>
  <c r="O62" i="17"/>
  <c r="AA62" i="17"/>
  <c r="AB62" i="19"/>
  <c r="O62" i="19"/>
  <c r="V62" i="17"/>
  <c r="I62" i="19"/>
  <c r="U62" i="17"/>
  <c r="AA62" i="19"/>
  <c r="V62" i="19"/>
  <c r="U62" i="19"/>
  <c r="I62" i="17"/>
  <c r="BG58" i="14"/>
  <c r="AG129" i="14"/>
  <c r="M61" i="14"/>
  <c r="AV59" i="14"/>
  <c r="AZ59" i="14" s="1"/>
  <c r="BC59" i="14" s="1"/>
  <c r="E63" i="19"/>
  <c r="C62" i="19"/>
  <c r="AZ62" i="19"/>
  <c r="AK60" i="14"/>
  <c r="R61" i="14"/>
  <c r="S130" i="14"/>
  <c r="T61" i="14"/>
  <c r="AV30" i="14"/>
  <c r="BG30" i="14" s="1"/>
  <c r="K61" i="14"/>
  <c r="AE129" i="14"/>
  <c r="C62" i="16"/>
  <c r="AZ62" i="16"/>
  <c r="E63" i="16"/>
  <c r="BD62" i="16"/>
  <c r="AN60" i="14"/>
  <c r="H31" i="14"/>
  <c r="AI31" i="14" s="1"/>
  <c r="AJ31" i="14" s="1"/>
  <c r="AK31" i="14" s="1"/>
  <c r="AF129" i="14"/>
  <c r="AU61" i="14"/>
  <c r="AT61" i="14"/>
  <c r="J61" i="14"/>
  <c r="AQ61" i="14"/>
  <c r="AR61" i="14"/>
  <c r="Q61" i="14"/>
  <c r="F61" i="14"/>
  <c r="N61" i="14"/>
  <c r="AI61" i="14"/>
  <c r="AJ61" i="14" s="1"/>
  <c r="AL61" i="14"/>
  <c r="AM61" i="14" s="1"/>
  <c r="I61" i="14"/>
  <c r="G61" i="14"/>
  <c r="S61" i="14"/>
  <c r="AS61" i="14"/>
  <c r="O61" i="14"/>
  <c r="AR61" i="16"/>
  <c r="L62" i="14"/>
  <c r="BF62" i="14"/>
  <c r="AX62" i="14"/>
  <c r="BB62" i="14" s="1"/>
  <c r="BE62" i="14"/>
  <c r="P62" i="14"/>
  <c r="E63" i="14"/>
  <c r="C62" i="14"/>
  <c r="AE130" i="14" s="1"/>
  <c r="H62" i="14"/>
  <c r="AW62" i="14"/>
  <c r="BA62" i="14" s="1"/>
  <c r="AY62" i="14"/>
  <c r="BD62" i="14" s="1"/>
  <c r="O60" i="18"/>
  <c r="K60" i="18"/>
  <c r="AU60" i="18"/>
  <c r="AQ60" i="18"/>
  <c r="AS60" i="18"/>
  <c r="E62" i="18"/>
  <c r="C61" i="18"/>
  <c r="AZ61" i="18"/>
  <c r="E62" i="17"/>
  <c r="AZ61" i="17"/>
  <c r="C61" i="17"/>
  <c r="L59" i="18"/>
  <c r="I60" i="18" s="1"/>
  <c r="G130" i="14"/>
  <c r="G30" i="18"/>
  <c r="AR30" i="18" s="1"/>
  <c r="E64" i="15"/>
  <c r="AZ63" i="15"/>
  <c r="C63" i="15"/>
  <c r="AM29" i="18"/>
  <c r="AN29" i="18" s="1"/>
  <c r="AW29" i="18" s="1"/>
  <c r="AX29" i="18" s="1"/>
  <c r="AY29" i="18" s="1"/>
  <c r="AZ127" i="14"/>
  <c r="BC127" i="14" s="1"/>
  <c r="BG127" i="14"/>
  <c r="M130" i="14"/>
  <c r="F130" i="14"/>
  <c r="H130" i="14" s="1"/>
  <c r="X130" i="14"/>
  <c r="Z130" i="14" s="1"/>
  <c r="Y130" i="14"/>
  <c r="AU130" i="14"/>
  <c r="AQ130" i="14"/>
  <c r="AL130" i="14"/>
  <c r="AM130" i="14" s="1"/>
  <c r="AT130" i="14"/>
  <c r="AR130" i="14"/>
  <c r="AI130" i="14"/>
  <c r="AJ130" i="14" s="1"/>
  <c r="AS130" i="14"/>
  <c r="AP130" i="14"/>
  <c r="L130" i="14"/>
  <c r="N130" i="14" s="1"/>
  <c r="J130" i="14"/>
  <c r="AY131" i="14"/>
  <c r="BD131" i="14" s="1"/>
  <c r="AC131" i="14"/>
  <c r="Q131" i="14"/>
  <c r="E132" i="14"/>
  <c r="AW131" i="14"/>
  <c r="BA131" i="14" s="1"/>
  <c r="C131" i="14"/>
  <c r="G131" i="14" s="1"/>
  <c r="AO131" i="14"/>
  <c r="W131" i="14"/>
  <c r="AX131" i="14"/>
  <c r="BB131" i="14" s="1"/>
  <c r="BE131" i="14"/>
  <c r="K131" i="14"/>
  <c r="BF131" i="14"/>
  <c r="T46" i="18"/>
  <c r="S47" i="18" s="1"/>
  <c r="P46" i="18"/>
  <c r="M47" i="18" s="1"/>
  <c r="N47" i="18" s="1"/>
  <c r="AV128" i="14"/>
  <c r="AK129" i="14"/>
  <c r="AN129" i="14"/>
  <c r="AN68" i="3"/>
  <c r="Y64" i="3"/>
  <c r="AC63" i="3"/>
  <c r="A65" i="3"/>
  <c r="BI65" i="3" s="1"/>
  <c r="BJ65" i="3" s="1"/>
  <c r="P68" i="3"/>
  <c r="AW67" i="3"/>
  <c r="G66" i="3"/>
  <c r="AV65" i="3"/>
  <c r="AX65" i="3" s="1"/>
  <c r="V65" i="3"/>
  <c r="X65" i="3" s="1"/>
  <c r="AH64" i="3"/>
  <c r="BD63" i="3"/>
  <c r="AQ67" i="3"/>
  <c r="AM64" i="3"/>
  <c r="AG64" i="3"/>
  <c r="BC63" i="3"/>
  <c r="AE64" i="3"/>
  <c r="H64" i="3"/>
  <c r="AF63" i="3"/>
  <c r="AD63" i="3" s="1"/>
  <c r="K55" i="23" l="1"/>
  <c r="J55" i="23"/>
  <c r="L55" i="23"/>
  <c r="J56" i="23" s="1"/>
  <c r="AE25" i="25"/>
  <c r="AD26" i="25" s="1"/>
  <c r="AT26" i="25" s="1"/>
  <c r="S26" i="25"/>
  <c r="W26" i="25" s="1"/>
  <c r="R27" i="25" s="1"/>
  <c r="T26" i="25"/>
  <c r="P29" i="24"/>
  <c r="M30" i="24" s="1"/>
  <c r="N30" i="24" s="1"/>
  <c r="R30" i="24" s="1"/>
  <c r="Q31" i="24" s="1"/>
  <c r="T29" i="24"/>
  <c r="S30" i="24" s="1"/>
  <c r="Q95" i="23"/>
  <c r="L96" i="23" s="1"/>
  <c r="P97" i="23" s="1"/>
  <c r="K27" i="28"/>
  <c r="F28" i="28" s="1"/>
  <c r="H28" i="28" s="1"/>
  <c r="AP28" i="28" s="1"/>
  <c r="AO27" i="28"/>
  <c r="AL27" i="28"/>
  <c r="AM27" i="28" s="1"/>
  <c r="AN27" i="28" s="1"/>
  <c r="AG36" i="29"/>
  <c r="AF37" i="29" s="1"/>
  <c r="I28" i="28"/>
  <c r="Q28" i="28" s="1"/>
  <c r="L29" i="28" s="1"/>
  <c r="AT37" i="29"/>
  <c r="T129" i="23"/>
  <c r="U129" i="23"/>
  <c r="V43" i="28"/>
  <c r="S43" i="28"/>
  <c r="W43" i="28" s="1"/>
  <c r="R44" i="28" s="1"/>
  <c r="T43" i="28"/>
  <c r="H129" i="23"/>
  <c r="I129" i="23"/>
  <c r="O96" i="23"/>
  <c r="P130" i="23"/>
  <c r="O129" i="23"/>
  <c r="AE42" i="28"/>
  <c r="AD43" i="28" s="1"/>
  <c r="AT42" i="28"/>
  <c r="Z129" i="23"/>
  <c r="AA129" i="23"/>
  <c r="AR67" i="3"/>
  <c r="BB65" i="3"/>
  <c r="Z28" i="25"/>
  <c r="L35" i="24"/>
  <c r="I36" i="24" s="1"/>
  <c r="AC28" i="25"/>
  <c r="X29" i="25" s="1"/>
  <c r="AM65" i="3"/>
  <c r="R43" i="23"/>
  <c r="Q44" i="23" s="1"/>
  <c r="AT44" i="23" s="1"/>
  <c r="AK63" i="3"/>
  <c r="BG63" i="3" s="1"/>
  <c r="J51" i="26"/>
  <c r="L51" i="26" s="1"/>
  <c r="I52" i="26" s="1"/>
  <c r="AT37" i="26"/>
  <c r="R37" i="26"/>
  <c r="Q38" i="26" s="1"/>
  <c r="O66" i="20"/>
  <c r="AQ65" i="20"/>
  <c r="AR65" i="20" s="1"/>
  <c r="AN65" i="20"/>
  <c r="P65" i="20"/>
  <c r="K62" i="15"/>
  <c r="BG57" i="23"/>
  <c r="AN26" i="29"/>
  <c r="T47" i="29"/>
  <c r="S47" i="29"/>
  <c r="W47" i="29" s="1"/>
  <c r="R48" i="29" s="1"/>
  <c r="U48" i="29" s="1"/>
  <c r="F27" i="29"/>
  <c r="I27" i="29" s="1"/>
  <c r="AR27" i="29" s="1"/>
  <c r="AS26" i="29"/>
  <c r="AU26" i="29"/>
  <c r="AQ26" i="29"/>
  <c r="C61" i="29"/>
  <c r="AZ61" i="29"/>
  <c r="E62" i="29"/>
  <c r="P42" i="26"/>
  <c r="M43" i="26" s="1"/>
  <c r="N43" i="26" s="1"/>
  <c r="T42" i="26"/>
  <c r="S43" i="26" s="1"/>
  <c r="F26" i="26"/>
  <c r="AL25" i="26"/>
  <c r="AM25" i="26" s="1"/>
  <c r="AN25" i="26" s="1"/>
  <c r="AI25" i="26"/>
  <c r="AJ25" i="26" s="1"/>
  <c r="AK25" i="26" s="1"/>
  <c r="AS61" i="26"/>
  <c r="AU61" i="26"/>
  <c r="AQ61" i="26"/>
  <c r="K61" i="26"/>
  <c r="O61" i="26"/>
  <c r="C62" i="26"/>
  <c r="AZ62" i="26"/>
  <c r="E63" i="26"/>
  <c r="Z36" i="28"/>
  <c r="Y36" i="28"/>
  <c r="C62" i="28"/>
  <c r="AZ62" i="28"/>
  <c r="E63" i="28"/>
  <c r="AJ27" i="28"/>
  <c r="AK27" i="28" s="1"/>
  <c r="AV58" i="23"/>
  <c r="AZ58" i="23" s="1"/>
  <c r="BC58" i="23" s="1"/>
  <c r="AU26" i="25"/>
  <c r="AI26" i="25"/>
  <c r="AJ26" i="25" s="1"/>
  <c r="AK26" i="25" s="1"/>
  <c r="AQ26" i="25"/>
  <c r="AK59" i="23"/>
  <c r="T60" i="23"/>
  <c r="G27" i="25"/>
  <c r="K27" i="25" s="1"/>
  <c r="J28" i="25"/>
  <c r="H27" i="25"/>
  <c r="BA62" i="25"/>
  <c r="BB62" i="25"/>
  <c r="BC62" i="25"/>
  <c r="AS26" i="25"/>
  <c r="AW25" i="25"/>
  <c r="AX25" i="25" s="1"/>
  <c r="AY25" i="25" s="1"/>
  <c r="U61" i="25"/>
  <c r="V61" i="25"/>
  <c r="AA61" i="25"/>
  <c r="AB61" i="25"/>
  <c r="AR61" i="25"/>
  <c r="P28" i="25"/>
  <c r="AN59" i="23"/>
  <c r="N27" i="25"/>
  <c r="AV94" i="23"/>
  <c r="AZ94" i="23" s="1"/>
  <c r="BC94" i="23" s="1"/>
  <c r="N28" i="25"/>
  <c r="P29" i="25"/>
  <c r="M28" i="25"/>
  <c r="Q28" i="25" s="1"/>
  <c r="AZ62" i="25"/>
  <c r="BD62" i="25"/>
  <c r="C62" i="25"/>
  <c r="E63" i="25"/>
  <c r="AK23" i="24"/>
  <c r="AQ61" i="24"/>
  <c r="AS61" i="24"/>
  <c r="AU61" i="24"/>
  <c r="AN23" i="24"/>
  <c r="C62" i="24"/>
  <c r="AZ62" i="24"/>
  <c r="E63" i="24"/>
  <c r="G24" i="24"/>
  <c r="AR24" i="24" s="1"/>
  <c r="G60" i="23"/>
  <c r="AE128" i="23"/>
  <c r="AG128" i="23"/>
  <c r="R60" i="23"/>
  <c r="H95" i="23"/>
  <c r="G95" i="23"/>
  <c r="AI95" i="23" s="1"/>
  <c r="AJ95" i="23" s="1"/>
  <c r="AK95" i="23" s="1"/>
  <c r="J96" i="23"/>
  <c r="H25" i="15"/>
  <c r="K63" i="15"/>
  <c r="O63" i="15"/>
  <c r="AQ63" i="15"/>
  <c r="AS63" i="15"/>
  <c r="AU63" i="15"/>
  <c r="J130" i="23"/>
  <c r="J60" i="23"/>
  <c r="K60" i="23"/>
  <c r="N60" i="23"/>
  <c r="N129" i="23"/>
  <c r="Y130" i="23"/>
  <c r="AV24" i="23"/>
  <c r="F26" i="23"/>
  <c r="AL25" i="23"/>
  <c r="AI25" i="23"/>
  <c r="X130" i="23"/>
  <c r="AQ130" i="23"/>
  <c r="AR130" i="23"/>
  <c r="AS130" i="23"/>
  <c r="AT130" i="23"/>
  <c r="AU130" i="23"/>
  <c r="AI130" i="23"/>
  <c r="AL130" i="23"/>
  <c r="AP130" i="23"/>
  <c r="M130" i="23"/>
  <c r="AU60" i="23"/>
  <c r="AS60" i="23"/>
  <c r="AI60" i="23"/>
  <c r="AJ60" i="23" s="1"/>
  <c r="AL60" i="23"/>
  <c r="AM60" i="23" s="1"/>
  <c r="AQ60" i="23"/>
  <c r="AR60" i="23"/>
  <c r="AT60" i="23"/>
  <c r="F60" i="23"/>
  <c r="AF128" i="23"/>
  <c r="M60" i="23"/>
  <c r="S60" i="23"/>
  <c r="Q60" i="23"/>
  <c r="AD128" i="23"/>
  <c r="I60" i="23"/>
  <c r="S130" i="23"/>
  <c r="AW131" i="23"/>
  <c r="BA131" i="23" s="1"/>
  <c r="AX131" i="23"/>
  <c r="BB131" i="23" s="1"/>
  <c r="AO131" i="23"/>
  <c r="AY131" i="23"/>
  <c r="BD131" i="23" s="1"/>
  <c r="AW61" i="23"/>
  <c r="BA61" i="23" s="1"/>
  <c r="AX61" i="23"/>
  <c r="BB61" i="23" s="1"/>
  <c r="AY61" i="23"/>
  <c r="BD61" i="23" s="1"/>
  <c r="C61" i="23"/>
  <c r="J61" i="23" s="1"/>
  <c r="BF61" i="23"/>
  <c r="P61" i="23"/>
  <c r="L61" i="23"/>
  <c r="E62" i="23"/>
  <c r="H61" i="23"/>
  <c r="BE61" i="23"/>
  <c r="R130" i="23"/>
  <c r="F130" i="23"/>
  <c r="L130" i="23"/>
  <c r="C131" i="23"/>
  <c r="M131" i="23" s="1"/>
  <c r="AC131" i="23"/>
  <c r="BE131" i="23"/>
  <c r="Q131" i="23"/>
  <c r="W131" i="23"/>
  <c r="BF131" i="23"/>
  <c r="K131" i="23"/>
  <c r="E132" i="23"/>
  <c r="AZ126" i="23"/>
  <c r="BC126" i="23" s="1"/>
  <c r="BG126" i="23"/>
  <c r="AC36" i="29"/>
  <c r="X37" i="29" s="1"/>
  <c r="O60" i="25"/>
  <c r="I60" i="25"/>
  <c r="AV127" i="23"/>
  <c r="AN128" i="23"/>
  <c r="AK128" i="23"/>
  <c r="AE119" i="23"/>
  <c r="AD120" i="23" s="1"/>
  <c r="AT120" i="23" s="1"/>
  <c r="AG117" i="23"/>
  <c r="AF118" i="23" s="1"/>
  <c r="T51" i="23"/>
  <c r="S52" i="23" s="1"/>
  <c r="AJ129" i="23"/>
  <c r="AM129" i="23"/>
  <c r="T50" i="14"/>
  <c r="S51" i="14" s="1"/>
  <c r="T51" i="14" s="1"/>
  <c r="S52" i="14" s="1"/>
  <c r="P33" i="15"/>
  <c r="M34" i="15" s="1"/>
  <c r="N34" i="15" s="1"/>
  <c r="T33" i="15"/>
  <c r="S34" i="15" s="1"/>
  <c r="N52" i="14"/>
  <c r="P52" i="14" s="1"/>
  <c r="AT40" i="14"/>
  <c r="R40" i="14"/>
  <c r="Q41" i="14" s="1"/>
  <c r="R32" i="15"/>
  <c r="Q33" i="15" s="1"/>
  <c r="AT33" i="15" s="1"/>
  <c r="AT42" i="18"/>
  <c r="R42" i="18"/>
  <c r="Q43" i="18" s="1"/>
  <c r="AJ63" i="3"/>
  <c r="BF63" i="3" s="1"/>
  <c r="AJ62" i="3"/>
  <c r="BF62" i="3" s="1"/>
  <c r="AI62" i="3"/>
  <c r="BE62" i="3" s="1"/>
  <c r="AR62" i="19"/>
  <c r="L40" i="15"/>
  <c r="I41" i="15" s="1"/>
  <c r="J41" i="15" s="1"/>
  <c r="AA131" i="14"/>
  <c r="I131" i="14"/>
  <c r="U131" i="14"/>
  <c r="AB131" i="14"/>
  <c r="V63" i="17"/>
  <c r="AA63" i="17"/>
  <c r="U63" i="19"/>
  <c r="U63" i="17"/>
  <c r="O131" i="14"/>
  <c r="I63" i="17"/>
  <c r="AA63" i="19"/>
  <c r="V63" i="19"/>
  <c r="AB63" i="19"/>
  <c r="O63" i="17"/>
  <c r="V131" i="14"/>
  <c r="AB63" i="17"/>
  <c r="O63" i="19"/>
  <c r="I63" i="19"/>
  <c r="AK61" i="14"/>
  <c r="BG59" i="14"/>
  <c r="F32" i="14"/>
  <c r="G32" i="14" s="1"/>
  <c r="AR32" i="14" s="1"/>
  <c r="AZ63" i="19"/>
  <c r="E64" i="19"/>
  <c r="C63" i="19"/>
  <c r="AV60" i="14"/>
  <c r="BG60" i="14" s="1"/>
  <c r="T62" i="14"/>
  <c r="AN61" i="14"/>
  <c r="AZ30" i="14"/>
  <c r="BC30" i="14" s="1"/>
  <c r="AL31" i="14"/>
  <c r="AM31" i="14" s="1"/>
  <c r="AN31" i="14" s="1"/>
  <c r="AV31" i="14" s="1"/>
  <c r="I62" i="14"/>
  <c r="AR62" i="16"/>
  <c r="C63" i="16"/>
  <c r="AZ63" i="16"/>
  <c r="BD63" i="16"/>
  <c r="E64" i="16"/>
  <c r="AS62" i="14"/>
  <c r="AT62" i="14"/>
  <c r="AD130" i="14"/>
  <c r="J62" i="14"/>
  <c r="F62" i="14"/>
  <c r="S62" i="14"/>
  <c r="Q62" i="14"/>
  <c r="AL62" i="14"/>
  <c r="AM62" i="14" s="1"/>
  <c r="AI62" i="14"/>
  <c r="AJ62" i="14" s="1"/>
  <c r="AQ62" i="14"/>
  <c r="AR62" i="14"/>
  <c r="G62" i="14"/>
  <c r="AF130" i="14"/>
  <c r="AU62" i="14"/>
  <c r="M62" i="14"/>
  <c r="O62" i="14"/>
  <c r="N62" i="14"/>
  <c r="R62" i="14"/>
  <c r="BF63" i="14"/>
  <c r="C63" i="14"/>
  <c r="J63" i="14" s="1"/>
  <c r="E64" i="14"/>
  <c r="AX63" i="14"/>
  <c r="BB63" i="14" s="1"/>
  <c r="L63" i="14"/>
  <c r="BE63" i="14"/>
  <c r="H63" i="14"/>
  <c r="AY63" i="14"/>
  <c r="BD63" i="14" s="1"/>
  <c r="P63" i="14"/>
  <c r="AW63" i="14"/>
  <c r="BA63" i="14" s="1"/>
  <c r="AG130" i="14"/>
  <c r="K62" i="14"/>
  <c r="AS61" i="18"/>
  <c r="AU61" i="18"/>
  <c r="O61" i="18"/>
  <c r="AQ61" i="18"/>
  <c r="K61" i="18"/>
  <c r="J60" i="18"/>
  <c r="L60" i="18" s="1"/>
  <c r="I61" i="18" s="1"/>
  <c r="C62" i="18"/>
  <c r="E63" i="18"/>
  <c r="AZ62" i="18"/>
  <c r="AZ62" i="17"/>
  <c r="C62" i="17"/>
  <c r="E63" i="17"/>
  <c r="H30" i="18"/>
  <c r="F31" i="18" s="1"/>
  <c r="G31" i="18" s="1"/>
  <c r="AR31" i="18" s="1"/>
  <c r="AZ64" i="15"/>
  <c r="C64" i="15"/>
  <c r="E65" i="15"/>
  <c r="AT131" i="14"/>
  <c r="AP131" i="14"/>
  <c r="AQ131" i="14"/>
  <c r="AI131" i="14"/>
  <c r="AJ131" i="14" s="1"/>
  <c r="AS131" i="14"/>
  <c r="AL131" i="14"/>
  <c r="AM131" i="14" s="1"/>
  <c r="AU131" i="14"/>
  <c r="AR131" i="14"/>
  <c r="M131" i="14"/>
  <c r="P131" i="14"/>
  <c r="Y131" i="14"/>
  <c r="AX132" i="14"/>
  <c r="BB132" i="14" s="1"/>
  <c r="AO132" i="14"/>
  <c r="C132" i="14"/>
  <c r="R132" i="14" s="1"/>
  <c r="BF132" i="14"/>
  <c r="BE132" i="14"/>
  <c r="BE134" i="14" s="1"/>
  <c r="AW132" i="14"/>
  <c r="BA132" i="14" s="1"/>
  <c r="AC132" i="14"/>
  <c r="W132" i="14"/>
  <c r="Q132" i="14"/>
  <c r="AY132" i="14"/>
  <c r="BD132" i="14" s="1"/>
  <c r="BD134" i="14" s="1"/>
  <c r="K132" i="14"/>
  <c r="L131" i="14"/>
  <c r="N131" i="14" s="1"/>
  <c r="AV129" i="14"/>
  <c r="BG128" i="14"/>
  <c r="AZ128" i="14"/>
  <c r="BC128" i="14" s="1"/>
  <c r="F131" i="14"/>
  <c r="H131" i="14" s="1"/>
  <c r="X131" i="14"/>
  <c r="Z131" i="14" s="1"/>
  <c r="S131" i="14"/>
  <c r="J131" i="14"/>
  <c r="R131" i="14"/>
  <c r="T131" i="14" s="1"/>
  <c r="P47" i="18"/>
  <c r="M48" i="18" s="1"/>
  <c r="N48" i="18" s="1"/>
  <c r="T47" i="18"/>
  <c r="S48" i="18" s="1"/>
  <c r="AN130" i="14"/>
  <c r="AK130" i="14"/>
  <c r="AG65" i="3"/>
  <c r="P69" i="3"/>
  <c r="AI63" i="3"/>
  <c r="BE63" i="3" s="1"/>
  <c r="V66" i="3"/>
  <c r="X66" i="3" s="1"/>
  <c r="G67" i="3"/>
  <c r="AV66" i="3"/>
  <c r="AX66" i="3" s="1"/>
  <c r="Y65" i="3"/>
  <c r="AC64" i="3"/>
  <c r="BC64" i="3"/>
  <c r="AE65" i="3"/>
  <c r="AH65" i="3"/>
  <c r="BD64" i="3"/>
  <c r="AW68" i="3"/>
  <c r="A66" i="3"/>
  <c r="BI66" i="3" s="1"/>
  <c r="BJ66" i="3" s="1"/>
  <c r="AN69" i="3"/>
  <c r="H65" i="3"/>
  <c r="AF64" i="3"/>
  <c r="AD64" i="3" s="1"/>
  <c r="AQ68" i="3"/>
  <c r="AL65" i="3"/>
  <c r="M53" i="14" l="1"/>
  <c r="N53" i="14" s="1"/>
  <c r="O53" i="14"/>
  <c r="K56" i="23"/>
  <c r="S27" i="25"/>
  <c r="W27" i="25" s="1"/>
  <c r="R28" i="25" s="1"/>
  <c r="T27" i="25"/>
  <c r="AE26" i="25"/>
  <c r="AD27" i="25" s="1"/>
  <c r="T30" i="24"/>
  <c r="S31" i="24" s="1"/>
  <c r="O30" i="24"/>
  <c r="P30" i="24" s="1"/>
  <c r="M31" i="24" s="1"/>
  <c r="N31" i="24" s="1"/>
  <c r="R31" i="24" s="1"/>
  <c r="Q32" i="24" s="1"/>
  <c r="M96" i="23"/>
  <c r="N96" i="23"/>
  <c r="Q27" i="29"/>
  <c r="L28" i="29" s="1"/>
  <c r="N28" i="29" s="1"/>
  <c r="AU27" i="28"/>
  <c r="AQ27" i="28"/>
  <c r="G28" i="28"/>
  <c r="AL28" i="28" s="1"/>
  <c r="AM28" i="28" s="1"/>
  <c r="AN28" i="28" s="1"/>
  <c r="J29" i="28"/>
  <c r="AS27" i="28"/>
  <c r="AE43" i="28"/>
  <c r="AD44" i="28" s="1"/>
  <c r="AT43" i="28"/>
  <c r="O29" i="28"/>
  <c r="M29" i="28"/>
  <c r="N29" i="28"/>
  <c r="P30" i="28"/>
  <c r="T130" i="23"/>
  <c r="U130" i="23"/>
  <c r="H130" i="23"/>
  <c r="I130" i="23"/>
  <c r="N130" i="23"/>
  <c r="O130" i="23"/>
  <c r="Z37" i="29"/>
  <c r="AA37" i="29"/>
  <c r="AE37" i="29" s="1"/>
  <c r="AD38" i="29" s="1"/>
  <c r="V44" i="28"/>
  <c r="S44" i="28"/>
  <c r="W44" i="28" s="1"/>
  <c r="R45" i="28" s="1"/>
  <c r="T44" i="28"/>
  <c r="O28" i="29"/>
  <c r="Z130" i="23"/>
  <c r="AA130" i="23"/>
  <c r="AR68" i="3"/>
  <c r="AT31" i="24"/>
  <c r="BB66" i="3"/>
  <c r="K36" i="24"/>
  <c r="J36" i="24"/>
  <c r="Z29" i="25"/>
  <c r="Y29" i="25"/>
  <c r="AG29" i="25" s="1"/>
  <c r="AF30" i="25" s="1"/>
  <c r="AR63" i="19"/>
  <c r="AN66" i="20"/>
  <c r="R44" i="23"/>
  <c r="Q45" i="23" s="1"/>
  <c r="AT45" i="23" s="1"/>
  <c r="AT38" i="26"/>
  <c r="R38" i="26"/>
  <c r="Q39" i="26" s="1"/>
  <c r="AQ66" i="20"/>
  <c r="AR66" i="20" s="1"/>
  <c r="O67" i="20"/>
  <c r="J52" i="26"/>
  <c r="L52" i="26" s="1"/>
  <c r="I53" i="26" s="1"/>
  <c r="P66" i="20"/>
  <c r="AK64" i="3"/>
  <c r="BG64" i="3" s="1"/>
  <c r="AO28" i="28"/>
  <c r="T43" i="26"/>
  <c r="S44" i="26" s="1"/>
  <c r="T48" i="29"/>
  <c r="S48" i="29"/>
  <c r="W48" i="29" s="1"/>
  <c r="R49" i="29" s="1"/>
  <c r="U49" i="29" s="1"/>
  <c r="J28" i="29"/>
  <c r="H27" i="29"/>
  <c r="AP27" i="29" s="1"/>
  <c r="C62" i="29"/>
  <c r="AZ62" i="29"/>
  <c r="E63" i="29"/>
  <c r="G27" i="29"/>
  <c r="AL27" i="29" s="1"/>
  <c r="AM27" i="29" s="1"/>
  <c r="Y37" i="29"/>
  <c r="G26" i="26"/>
  <c r="AR26" i="26" s="1"/>
  <c r="AW25" i="26"/>
  <c r="AX25" i="26" s="1"/>
  <c r="AY25" i="26" s="1"/>
  <c r="P43" i="26"/>
  <c r="M44" i="26" s="1"/>
  <c r="K62" i="26"/>
  <c r="O62" i="26"/>
  <c r="AS62" i="26"/>
  <c r="AU62" i="26"/>
  <c r="AQ62" i="26"/>
  <c r="AZ63" i="26"/>
  <c r="C63" i="26"/>
  <c r="E64" i="26"/>
  <c r="AG36" i="28"/>
  <c r="AF37" i="28" s="1"/>
  <c r="AC36" i="28"/>
  <c r="X37" i="28" s="1"/>
  <c r="AB37" i="28" s="1"/>
  <c r="AZ63" i="28"/>
  <c r="C63" i="28"/>
  <c r="E64" i="28"/>
  <c r="AW23" i="24"/>
  <c r="AX23" i="24" s="1"/>
  <c r="AY23" i="24" s="1"/>
  <c r="AW26" i="25"/>
  <c r="AX26" i="25" s="1"/>
  <c r="AY26" i="25" s="1"/>
  <c r="AV59" i="23"/>
  <c r="AZ59" i="23" s="1"/>
  <c r="BC59" i="23" s="1"/>
  <c r="AP27" i="25"/>
  <c r="BG58" i="23"/>
  <c r="AK60" i="23"/>
  <c r="AN60" i="23"/>
  <c r="F28" i="25"/>
  <c r="AS27" i="25"/>
  <c r="AU27" i="25"/>
  <c r="AI27" i="25"/>
  <c r="AJ27" i="25" s="1"/>
  <c r="AQ27" i="25"/>
  <c r="AL27" i="25"/>
  <c r="AM27" i="25" s="1"/>
  <c r="AO27" i="25"/>
  <c r="U62" i="25"/>
  <c r="V62" i="25"/>
  <c r="AA62" i="25"/>
  <c r="AB62" i="25"/>
  <c r="AR62" i="25"/>
  <c r="BA63" i="25"/>
  <c r="BB63" i="25"/>
  <c r="BC63" i="25"/>
  <c r="L29" i="25"/>
  <c r="BG94" i="23"/>
  <c r="C63" i="25"/>
  <c r="AZ63" i="25"/>
  <c r="BD63" i="25"/>
  <c r="E64" i="25"/>
  <c r="AZ63" i="24"/>
  <c r="C63" i="24"/>
  <c r="E64" i="24"/>
  <c r="AQ62" i="24"/>
  <c r="AS62" i="24"/>
  <c r="AU62" i="24"/>
  <c r="H24" i="24"/>
  <c r="AO95" i="23"/>
  <c r="AP95" i="23"/>
  <c r="AL95" i="23"/>
  <c r="AM95" i="23" s="1"/>
  <c r="AN95" i="23" s="1"/>
  <c r="K95" i="23"/>
  <c r="F26" i="15"/>
  <c r="AI25" i="15"/>
  <c r="AJ25" i="15" s="1"/>
  <c r="AK25" i="15" s="1"/>
  <c r="AL25" i="15"/>
  <c r="O64" i="15"/>
  <c r="AQ64" i="15"/>
  <c r="AS64" i="15"/>
  <c r="AU64" i="15"/>
  <c r="K64" i="15"/>
  <c r="P34" i="15"/>
  <c r="M35" i="15" s="1"/>
  <c r="N35" i="15" s="1"/>
  <c r="J131" i="23"/>
  <c r="K61" i="23"/>
  <c r="N61" i="23"/>
  <c r="O61" i="23"/>
  <c r="T61" i="23"/>
  <c r="P131" i="23"/>
  <c r="G61" i="23"/>
  <c r="AX62" i="23"/>
  <c r="BB62" i="23" s="1"/>
  <c r="AW62" i="23"/>
  <c r="BA62" i="23" s="1"/>
  <c r="AY62" i="23"/>
  <c r="BD62" i="23" s="1"/>
  <c r="E63" i="23"/>
  <c r="H62" i="23"/>
  <c r="P62" i="23"/>
  <c r="BF62" i="23"/>
  <c r="BE62" i="23"/>
  <c r="C62" i="23"/>
  <c r="F62" i="23" s="1"/>
  <c r="L62" i="23"/>
  <c r="AU131" i="23"/>
  <c r="AI131" i="23"/>
  <c r="AL131" i="23"/>
  <c r="AP131" i="23"/>
  <c r="AS131" i="23"/>
  <c r="AQ131" i="23"/>
  <c r="AR131" i="23"/>
  <c r="AT131" i="23"/>
  <c r="BG24" i="23"/>
  <c r="AZ24" i="23"/>
  <c r="BC24" i="23" s="1"/>
  <c r="S131" i="23"/>
  <c r="G26" i="23"/>
  <c r="AR26" i="23" s="1"/>
  <c r="AM25" i="23"/>
  <c r="AN25" i="23" s="1"/>
  <c r="AJ25" i="23"/>
  <c r="AK25" i="23" s="1"/>
  <c r="Y131" i="23"/>
  <c r="G131" i="23"/>
  <c r="AF129" i="23"/>
  <c r="AT61" i="23"/>
  <c r="AI61" i="23"/>
  <c r="AJ61" i="23" s="1"/>
  <c r="AL61" i="23"/>
  <c r="AM61" i="23" s="1"/>
  <c r="AQ61" i="23"/>
  <c r="AR61" i="23"/>
  <c r="AS61" i="23"/>
  <c r="AU61" i="23"/>
  <c r="Q61" i="23"/>
  <c r="AD129" i="23"/>
  <c r="S61" i="23"/>
  <c r="M61" i="23"/>
  <c r="I61" i="23"/>
  <c r="F61" i="23"/>
  <c r="AE129" i="23"/>
  <c r="AG129" i="23"/>
  <c r="AO132" i="23"/>
  <c r="AW132" i="23"/>
  <c r="BA132" i="23" s="1"/>
  <c r="AX132" i="23"/>
  <c r="BB132" i="23" s="1"/>
  <c r="AY132" i="23"/>
  <c r="BD132" i="23" s="1"/>
  <c r="R61" i="23"/>
  <c r="R131" i="23"/>
  <c r="X131" i="23"/>
  <c r="F131" i="23"/>
  <c r="L131" i="23"/>
  <c r="Q132" i="23"/>
  <c r="C132" i="23"/>
  <c r="G132" i="23" s="1"/>
  <c r="AC132" i="23"/>
  <c r="BE132" i="23"/>
  <c r="K132" i="23"/>
  <c r="W132" i="23"/>
  <c r="BF132" i="23"/>
  <c r="AZ127" i="23"/>
  <c r="BC127" i="23" s="1"/>
  <c r="BG127" i="23"/>
  <c r="AW26" i="29"/>
  <c r="AX26" i="29" s="1"/>
  <c r="AY26" i="29" s="1"/>
  <c r="O61" i="25"/>
  <c r="I61" i="25"/>
  <c r="T52" i="23"/>
  <c r="S53" i="23" s="1"/>
  <c r="AV128" i="23"/>
  <c r="AM130" i="23"/>
  <c r="AJ130" i="23"/>
  <c r="AE120" i="23"/>
  <c r="AD121" i="23" s="1"/>
  <c r="AT121" i="23" s="1"/>
  <c r="AK129" i="23"/>
  <c r="AN129" i="23"/>
  <c r="AT41" i="14"/>
  <c r="R41" i="14"/>
  <c r="Q42" i="14" s="1"/>
  <c r="R33" i="15"/>
  <c r="Q34" i="15" s="1"/>
  <c r="AT34" i="15" s="1"/>
  <c r="AT43" i="18"/>
  <c r="R43" i="18"/>
  <c r="Q44" i="18" s="1"/>
  <c r="AJ64" i="3"/>
  <c r="BF64" i="3" s="1"/>
  <c r="T34" i="15"/>
  <c r="S35" i="15" s="1"/>
  <c r="AM66" i="3"/>
  <c r="T132" i="14"/>
  <c r="L41" i="15"/>
  <c r="I42" i="15" s="1"/>
  <c r="J42" i="15" s="1"/>
  <c r="U132" i="14"/>
  <c r="AA132" i="14"/>
  <c r="I132" i="14"/>
  <c r="V132" i="14"/>
  <c r="O132" i="14"/>
  <c r="AB132" i="14"/>
  <c r="AB64" i="17"/>
  <c r="O64" i="17"/>
  <c r="V64" i="17"/>
  <c r="V64" i="19"/>
  <c r="U64" i="17"/>
  <c r="AA64" i="17"/>
  <c r="O64" i="19"/>
  <c r="I64" i="17"/>
  <c r="AB64" i="19"/>
  <c r="I64" i="19"/>
  <c r="U64" i="19"/>
  <c r="AA64" i="19"/>
  <c r="AV61" i="14"/>
  <c r="BG61" i="14" s="1"/>
  <c r="AZ60" i="14"/>
  <c r="BC60" i="14" s="1"/>
  <c r="E65" i="19"/>
  <c r="C64" i="19"/>
  <c r="AZ64" i="19"/>
  <c r="AG131" i="14"/>
  <c r="AN62" i="14"/>
  <c r="T63" i="14"/>
  <c r="R63" i="14"/>
  <c r="M63" i="14"/>
  <c r="AE131" i="14"/>
  <c r="N63" i="14"/>
  <c r="AK62" i="14"/>
  <c r="K63" i="14"/>
  <c r="AZ64" i="16"/>
  <c r="BD64" i="16"/>
  <c r="C64" i="16"/>
  <c r="E65" i="16"/>
  <c r="H64" i="14"/>
  <c r="C64" i="14"/>
  <c r="AG132" i="14" s="1"/>
  <c r="BF64" i="14"/>
  <c r="AW64" i="14"/>
  <c r="BA64" i="14" s="1"/>
  <c r="BA66" i="14" s="1"/>
  <c r="AX64" i="14"/>
  <c r="BB64" i="14" s="1"/>
  <c r="BB66" i="14" s="1"/>
  <c r="P64" i="14"/>
  <c r="L64" i="14"/>
  <c r="BE64" i="14"/>
  <c r="BE66" i="14" s="1"/>
  <c r="AY64" i="14"/>
  <c r="BD64" i="14" s="1"/>
  <c r="BD66" i="14" s="1"/>
  <c r="AR63" i="16"/>
  <c r="H32" i="14"/>
  <c r="F33" i="14" s="1"/>
  <c r="G33" i="14" s="1"/>
  <c r="AR33" i="14" s="1"/>
  <c r="AF131" i="14"/>
  <c r="AT63" i="14"/>
  <c r="AQ63" i="14"/>
  <c r="AR63" i="14"/>
  <c r="F63" i="14"/>
  <c r="G63" i="14"/>
  <c r="AI63" i="14"/>
  <c r="AJ63" i="14" s="1"/>
  <c r="AS63" i="14"/>
  <c r="O63" i="14"/>
  <c r="AU63" i="14"/>
  <c r="AL63" i="14"/>
  <c r="AM63" i="14" s="1"/>
  <c r="I63" i="14"/>
  <c r="S63" i="14"/>
  <c r="AD131" i="14"/>
  <c r="Q63" i="14"/>
  <c r="BG31" i="14"/>
  <c r="AZ31" i="14"/>
  <c r="BC31" i="14" s="1"/>
  <c r="J61" i="18"/>
  <c r="L61" i="18" s="1"/>
  <c r="I62" i="18" s="1"/>
  <c r="E64" i="17"/>
  <c r="AZ63" i="17"/>
  <c r="C63" i="17"/>
  <c r="E64" i="18"/>
  <c r="C63" i="18"/>
  <c r="AZ63" i="18"/>
  <c r="AS62" i="18"/>
  <c r="AQ62" i="18"/>
  <c r="AU62" i="18"/>
  <c r="O62" i="18"/>
  <c r="K62" i="18"/>
  <c r="AI30" i="18"/>
  <c r="AJ30" i="18" s="1"/>
  <c r="AK30" i="18" s="1"/>
  <c r="AY134" i="14"/>
  <c r="G132" i="14"/>
  <c r="S132" i="14"/>
  <c r="Y132" i="14"/>
  <c r="AL30" i="18"/>
  <c r="AM30" i="18" s="1"/>
  <c r="AN30" i="18" s="1"/>
  <c r="M132" i="14"/>
  <c r="P132" i="14"/>
  <c r="E66" i="15"/>
  <c r="AZ65" i="15"/>
  <c r="C65" i="15"/>
  <c r="H31" i="18"/>
  <c r="AS132" i="14"/>
  <c r="AI132" i="14"/>
  <c r="AJ132" i="14" s="1"/>
  <c r="AT132" i="14"/>
  <c r="AP132" i="14"/>
  <c r="AR132" i="14"/>
  <c r="AR134" i="14" s="1"/>
  <c r="AL132" i="14"/>
  <c r="AM132" i="14" s="1"/>
  <c r="AU132" i="14"/>
  <c r="AQ132" i="14"/>
  <c r="AV130" i="14"/>
  <c r="J132" i="14"/>
  <c r="X132" i="14"/>
  <c r="Z132" i="14" s="1"/>
  <c r="BG129" i="14"/>
  <c r="AZ129" i="14"/>
  <c r="BC129" i="14" s="1"/>
  <c r="F132" i="14"/>
  <c r="H132" i="14" s="1"/>
  <c r="L132" i="14"/>
  <c r="N132" i="14" s="1"/>
  <c r="T48" i="18"/>
  <c r="S49" i="18" s="1"/>
  <c r="AK131" i="14"/>
  <c r="AN131" i="14"/>
  <c r="BB134" i="14"/>
  <c r="AX134" i="14"/>
  <c r="A67" i="3"/>
  <c r="BI67" i="3" s="1"/>
  <c r="BJ67" i="3" s="1"/>
  <c r="AH66" i="3"/>
  <c r="BD65" i="3"/>
  <c r="G68" i="3"/>
  <c r="AV67" i="3"/>
  <c r="AX67" i="3" s="1"/>
  <c r="V67" i="3"/>
  <c r="X67" i="3" s="1"/>
  <c r="P70" i="3"/>
  <c r="H66" i="3"/>
  <c r="AF65" i="3"/>
  <c r="AD65" i="3" s="1"/>
  <c r="AW69" i="3"/>
  <c r="AI64" i="3"/>
  <c r="BE64" i="3" s="1"/>
  <c r="AG66" i="3"/>
  <c r="AL66" i="3"/>
  <c r="AN70" i="3"/>
  <c r="Y66" i="3"/>
  <c r="AC65" i="3"/>
  <c r="AQ69" i="3"/>
  <c r="BC65" i="3"/>
  <c r="AE66" i="3"/>
  <c r="P53" i="14" l="1"/>
  <c r="M54" i="14" s="1"/>
  <c r="N54" i="14" s="1"/>
  <c r="O54" i="14"/>
  <c r="AT27" i="25"/>
  <c r="AE27" i="25"/>
  <c r="AD28" i="25" s="1"/>
  <c r="S28" i="25"/>
  <c r="W28" i="25" s="1"/>
  <c r="R29" i="25" s="1"/>
  <c r="T28" i="25"/>
  <c r="T31" i="24"/>
  <c r="S32" i="24" s="1"/>
  <c r="O31" i="24"/>
  <c r="P31" i="24" s="1"/>
  <c r="M32" i="24" s="1"/>
  <c r="N32" i="24" s="1"/>
  <c r="M28" i="29"/>
  <c r="P29" i="29"/>
  <c r="AG37" i="29"/>
  <c r="AF38" i="29" s="1"/>
  <c r="AW27" i="28"/>
  <c r="AX27" i="28" s="1"/>
  <c r="AY27" i="28" s="1"/>
  <c r="AI28" i="28"/>
  <c r="AJ28" i="28" s="1"/>
  <c r="K28" i="28"/>
  <c r="F29" i="28" s="1"/>
  <c r="I29" i="28" s="1"/>
  <c r="Q29" i="28" s="1"/>
  <c r="L30" i="28" s="1"/>
  <c r="Z131" i="23"/>
  <c r="AA131" i="23"/>
  <c r="H131" i="23"/>
  <c r="I131" i="23"/>
  <c r="P132" i="23"/>
  <c r="O131" i="23"/>
  <c r="AE44" i="28"/>
  <c r="AD45" i="28" s="1"/>
  <c r="AT44" i="28"/>
  <c r="T131" i="23"/>
  <c r="U131" i="23"/>
  <c r="AT38" i="29"/>
  <c r="V45" i="28"/>
  <c r="S45" i="28"/>
  <c r="W45" i="28" s="1"/>
  <c r="R46" i="28" s="1"/>
  <c r="T45" i="28"/>
  <c r="AR69" i="3"/>
  <c r="AT32" i="24"/>
  <c r="BB67" i="3"/>
  <c r="L36" i="24"/>
  <c r="I37" i="24" s="1"/>
  <c r="AC29" i="25"/>
  <c r="X30" i="25" s="1"/>
  <c r="R45" i="23"/>
  <c r="Q46" i="23" s="1"/>
  <c r="AT46" i="23" s="1"/>
  <c r="J53" i="26"/>
  <c r="L53" i="26" s="1"/>
  <c r="I54" i="26" s="1"/>
  <c r="R39" i="26"/>
  <c r="Q40" i="26" s="1"/>
  <c r="AT39" i="26"/>
  <c r="AQ67" i="20"/>
  <c r="AR67" i="20" s="1"/>
  <c r="O68" i="20"/>
  <c r="AN67" i="20"/>
  <c r="P67" i="20"/>
  <c r="AK65" i="3"/>
  <c r="BG65" i="3" s="1"/>
  <c r="R62" i="23"/>
  <c r="K27" i="29"/>
  <c r="F28" i="29" s="1"/>
  <c r="T49" i="29"/>
  <c r="S49" i="29"/>
  <c r="W49" i="29" s="1"/>
  <c r="R50" i="29" s="1"/>
  <c r="U50" i="29" s="1"/>
  <c r="AE130" i="23"/>
  <c r="AZ63" i="29"/>
  <c r="C63" i="29"/>
  <c r="E64" i="29"/>
  <c r="AO27" i="29"/>
  <c r="AI27" i="29"/>
  <c r="AJ27" i="29" s="1"/>
  <c r="H26" i="26"/>
  <c r="K63" i="26"/>
  <c r="O63" i="26"/>
  <c r="AQ63" i="26"/>
  <c r="AU63" i="26"/>
  <c r="AS63" i="26"/>
  <c r="N44" i="26"/>
  <c r="T44" i="26" s="1"/>
  <c r="S45" i="26" s="1"/>
  <c r="AZ64" i="26"/>
  <c r="C64" i="26"/>
  <c r="E65" i="26"/>
  <c r="Z37" i="28"/>
  <c r="Y37" i="28"/>
  <c r="C64" i="28"/>
  <c r="AZ64" i="28"/>
  <c r="E65" i="28"/>
  <c r="AV60" i="23"/>
  <c r="AZ60" i="23" s="1"/>
  <c r="BC60" i="23" s="1"/>
  <c r="BG59" i="23"/>
  <c r="AN27" i="25"/>
  <c r="U63" i="25"/>
  <c r="V63" i="25"/>
  <c r="AA63" i="25"/>
  <c r="AB63" i="25"/>
  <c r="AR63" i="25"/>
  <c r="G28" i="25"/>
  <c r="K28" i="25" s="1"/>
  <c r="H28" i="25"/>
  <c r="AP28" i="25" s="1"/>
  <c r="J29" i="25"/>
  <c r="BA64" i="25"/>
  <c r="BB64" i="25"/>
  <c r="BC64" i="25"/>
  <c r="AK27" i="25"/>
  <c r="P30" i="25"/>
  <c r="N29" i="25"/>
  <c r="M29" i="25"/>
  <c r="AZ64" i="25"/>
  <c r="BD64" i="25"/>
  <c r="C64" i="25"/>
  <c r="E65" i="25"/>
  <c r="F25" i="24"/>
  <c r="AL24" i="24"/>
  <c r="AI24" i="24"/>
  <c r="AQ63" i="24"/>
  <c r="AS63" i="24"/>
  <c r="AU63" i="24"/>
  <c r="AZ64" i="24"/>
  <c r="C64" i="24"/>
  <c r="E65" i="24"/>
  <c r="AK61" i="23"/>
  <c r="I62" i="23"/>
  <c r="F96" i="23"/>
  <c r="I96" i="23" s="1"/>
  <c r="AQ95" i="23"/>
  <c r="AS95" i="23"/>
  <c r="AU95" i="23"/>
  <c r="G26" i="15"/>
  <c r="AR26" i="15" s="1"/>
  <c r="Q62" i="23"/>
  <c r="AS65" i="15"/>
  <c r="AU65" i="15"/>
  <c r="AQ65" i="15"/>
  <c r="K65" i="15"/>
  <c r="O65" i="15"/>
  <c r="AM25" i="15"/>
  <c r="AN25" i="15" s="1"/>
  <c r="AW25" i="15" s="1"/>
  <c r="AX25" i="15" s="1"/>
  <c r="AY25" i="15" s="1"/>
  <c r="T35" i="15"/>
  <c r="S36" i="15" s="1"/>
  <c r="P35" i="15"/>
  <c r="M36" i="15" s="1"/>
  <c r="N36" i="15" s="1"/>
  <c r="AN61" i="23"/>
  <c r="T62" i="23"/>
  <c r="M62" i="23"/>
  <c r="AG130" i="23"/>
  <c r="G62" i="23"/>
  <c r="S62" i="23"/>
  <c r="J62" i="23"/>
  <c r="K62" i="23"/>
  <c r="N62" i="23"/>
  <c r="O62" i="23"/>
  <c r="AF130" i="23"/>
  <c r="Y132" i="23"/>
  <c r="AV25" i="23"/>
  <c r="N131" i="23"/>
  <c r="AW63" i="23"/>
  <c r="BA63" i="23" s="1"/>
  <c r="AX63" i="23"/>
  <c r="BB63" i="23" s="1"/>
  <c r="AY63" i="23"/>
  <c r="L63" i="23"/>
  <c r="H63" i="23"/>
  <c r="E64" i="23"/>
  <c r="BF63" i="23"/>
  <c r="C63" i="23"/>
  <c r="AD131" i="23" s="1"/>
  <c r="BE63" i="23"/>
  <c r="P63" i="23"/>
  <c r="F132" i="23"/>
  <c r="AI132" i="23"/>
  <c r="AL132" i="23"/>
  <c r="AP132" i="23"/>
  <c r="AQ132" i="23"/>
  <c r="AR132" i="23"/>
  <c r="AS132" i="23"/>
  <c r="AT132" i="23"/>
  <c r="AU132" i="23"/>
  <c r="J132" i="23"/>
  <c r="M132" i="23"/>
  <c r="H26" i="23"/>
  <c r="S132" i="23"/>
  <c r="AD130" i="23"/>
  <c r="AI62" i="23"/>
  <c r="AJ62" i="23" s="1"/>
  <c r="AL62" i="23"/>
  <c r="AM62" i="23" s="1"/>
  <c r="AQ62" i="23"/>
  <c r="AR62" i="23"/>
  <c r="AS62" i="23"/>
  <c r="AU62" i="23"/>
  <c r="AT62" i="23"/>
  <c r="R132" i="23"/>
  <c r="L132" i="23"/>
  <c r="X132" i="23"/>
  <c r="AZ128" i="23"/>
  <c r="BC128" i="23" s="1"/>
  <c r="BG128" i="23"/>
  <c r="AN27" i="29"/>
  <c r="AC37" i="29"/>
  <c r="X38" i="29" s="1"/>
  <c r="AV129" i="23"/>
  <c r="O62" i="25"/>
  <c r="I62" i="25"/>
  <c r="T53" i="23"/>
  <c r="S54" i="23" s="1"/>
  <c r="AN130" i="23"/>
  <c r="AJ131" i="23"/>
  <c r="AM131" i="23"/>
  <c r="BE134" i="23"/>
  <c r="AY134" i="23"/>
  <c r="AE121" i="23"/>
  <c r="AD122" i="23" s="1"/>
  <c r="AT122" i="23" s="1"/>
  <c r="AK130" i="23"/>
  <c r="AG118" i="23"/>
  <c r="AF119" i="23" s="1"/>
  <c r="AT42" i="14"/>
  <c r="R42" i="14"/>
  <c r="Q43" i="14" s="1"/>
  <c r="R34" i="15"/>
  <c r="Q35" i="15" s="1"/>
  <c r="AT35" i="15" s="1"/>
  <c r="AT44" i="18"/>
  <c r="R44" i="18"/>
  <c r="Q45" i="18" s="1"/>
  <c r="AJ65" i="3"/>
  <c r="BF65" i="3" s="1"/>
  <c r="AR64" i="19"/>
  <c r="AL67" i="3"/>
  <c r="L42" i="15"/>
  <c r="I43" i="15" s="1"/>
  <c r="J43" i="15" s="1"/>
  <c r="AZ61" i="14"/>
  <c r="BC61" i="14" s="1"/>
  <c r="V65" i="17"/>
  <c r="U65" i="17"/>
  <c r="AA65" i="19"/>
  <c r="I65" i="19"/>
  <c r="O65" i="17"/>
  <c r="AB65" i="19"/>
  <c r="AB65" i="17"/>
  <c r="V65" i="19"/>
  <c r="I65" i="17"/>
  <c r="O65" i="19"/>
  <c r="U65" i="19"/>
  <c r="AA65" i="17"/>
  <c r="AZ65" i="19"/>
  <c r="E66" i="19"/>
  <c r="C65" i="19"/>
  <c r="AV62" i="14"/>
  <c r="BG62" i="14" s="1"/>
  <c r="AX66" i="14"/>
  <c r="R64" i="14"/>
  <c r="AW66" i="14"/>
  <c r="AY66" i="14"/>
  <c r="H33" i="14"/>
  <c r="AL33" i="14" s="1"/>
  <c r="AM33" i="14" s="1"/>
  <c r="AN33" i="14" s="1"/>
  <c r="Q64" i="14"/>
  <c r="O64" i="14"/>
  <c r="G64" i="14"/>
  <c r="AR64" i="14"/>
  <c r="AT64" i="14"/>
  <c r="N64" i="14"/>
  <c r="K64" i="14"/>
  <c r="AL64" i="14"/>
  <c r="AM64" i="14" s="1"/>
  <c r="AU64" i="14"/>
  <c r="AU66" i="14" s="1"/>
  <c r="S64" i="14"/>
  <c r="F64" i="14"/>
  <c r="J64" i="14"/>
  <c r="AI64" i="14"/>
  <c r="AJ64" i="14" s="1"/>
  <c r="I64" i="14"/>
  <c r="M64" i="14"/>
  <c r="AS64" i="14"/>
  <c r="AS66" i="14" s="1"/>
  <c r="AQ64" i="14"/>
  <c r="AQ66" i="14" s="1"/>
  <c r="AF132" i="14"/>
  <c r="AD132" i="14"/>
  <c r="AR64" i="16"/>
  <c r="T64" i="14"/>
  <c r="AE132" i="14"/>
  <c r="AK63" i="14"/>
  <c r="AN63" i="14"/>
  <c r="AI32" i="14"/>
  <c r="AJ32" i="14" s="1"/>
  <c r="AK32" i="14" s="1"/>
  <c r="AL32" i="14"/>
  <c r="AM32" i="14" s="1"/>
  <c r="AN32" i="14" s="1"/>
  <c r="BD65" i="16"/>
  <c r="C65" i="16"/>
  <c r="E66" i="16"/>
  <c r="AZ65" i="16"/>
  <c r="J62" i="18"/>
  <c r="L62" i="18" s="1"/>
  <c r="I63" i="18" s="1"/>
  <c r="AU63" i="18"/>
  <c r="K63" i="18"/>
  <c r="O63" i="18"/>
  <c r="AS63" i="18"/>
  <c r="AQ63" i="18"/>
  <c r="E65" i="17"/>
  <c r="C64" i="17"/>
  <c r="AZ64" i="17"/>
  <c r="E65" i="18"/>
  <c r="AZ64" i="18"/>
  <c r="C64" i="18"/>
  <c r="AW30" i="18"/>
  <c r="AX30" i="18" s="1"/>
  <c r="AY30" i="18" s="1"/>
  <c r="E67" i="15"/>
  <c r="C66" i="15"/>
  <c r="AZ66" i="15"/>
  <c r="F32" i="18"/>
  <c r="AL31" i="18"/>
  <c r="AM31" i="18" s="1"/>
  <c r="AN31" i="18" s="1"/>
  <c r="AI31" i="18"/>
  <c r="AJ31" i="18" s="1"/>
  <c r="AK31" i="18" s="1"/>
  <c r="AZ130" i="14"/>
  <c r="BC130" i="14" s="1"/>
  <c r="BG130" i="14"/>
  <c r="P48" i="18"/>
  <c r="M49" i="18" s="1"/>
  <c r="N49" i="18" s="1"/>
  <c r="AV131" i="14"/>
  <c r="AK132" i="14"/>
  <c r="T52" i="14"/>
  <c r="S53" i="14" s="1"/>
  <c r="BC66" i="3"/>
  <c r="AE67" i="3"/>
  <c r="AI65" i="3"/>
  <c r="BE65" i="3" s="1"/>
  <c r="AH67" i="3"/>
  <c r="BD66" i="3"/>
  <c r="Y67" i="3"/>
  <c r="AC66" i="3"/>
  <c r="AG67" i="3"/>
  <c r="AM67" i="3"/>
  <c r="H67" i="3"/>
  <c r="AF66" i="3"/>
  <c r="AK66" i="3" s="1"/>
  <c r="AQ70" i="3"/>
  <c r="AW70" i="3"/>
  <c r="V68" i="3"/>
  <c r="X68" i="3" s="1"/>
  <c r="G69" i="3"/>
  <c r="AV68" i="3"/>
  <c r="AX68" i="3" s="1"/>
  <c r="A68" i="3"/>
  <c r="BI68" i="3" s="1"/>
  <c r="BJ68" i="3" s="1"/>
  <c r="P54" i="14" l="1"/>
  <c r="M55" i="14" s="1"/>
  <c r="S29" i="25"/>
  <c r="W29" i="25" s="1"/>
  <c r="R30" i="25" s="1"/>
  <c r="T29" i="25"/>
  <c r="AT28" i="25"/>
  <c r="AE28" i="25"/>
  <c r="AD29" i="25" s="1"/>
  <c r="T32" i="24"/>
  <c r="S33" i="24" s="1"/>
  <c r="O32" i="24"/>
  <c r="P32" i="24" s="1"/>
  <c r="M33" i="24" s="1"/>
  <c r="O33" i="24" s="1"/>
  <c r="R32" i="24"/>
  <c r="Q33" i="24" s="1"/>
  <c r="AT33" i="24" s="1"/>
  <c r="G29" i="28"/>
  <c r="AI29" i="28" s="1"/>
  <c r="AJ29" i="28" s="1"/>
  <c r="AK29" i="28" s="1"/>
  <c r="AQ28" i="28"/>
  <c r="AU28" i="28"/>
  <c r="AK28" i="28"/>
  <c r="H29" i="28"/>
  <c r="AP29" i="28" s="1"/>
  <c r="AS28" i="28"/>
  <c r="J30" i="28"/>
  <c r="N132" i="23"/>
  <c r="O132" i="23"/>
  <c r="AR96" i="23"/>
  <c r="Q96" i="23"/>
  <c r="L97" i="23" s="1"/>
  <c r="Z38" i="29"/>
  <c r="AA38" i="29"/>
  <c r="AE38" i="29" s="1"/>
  <c r="AD39" i="29" s="1"/>
  <c r="Z132" i="23"/>
  <c r="AA132" i="23"/>
  <c r="O30" i="28"/>
  <c r="M30" i="28"/>
  <c r="N30" i="28"/>
  <c r="P31" i="28"/>
  <c r="AT45" i="28"/>
  <c r="AE45" i="28"/>
  <c r="AD46" i="28" s="1"/>
  <c r="H132" i="23"/>
  <c r="I132" i="23"/>
  <c r="J29" i="29"/>
  <c r="I28" i="29"/>
  <c r="T132" i="23"/>
  <c r="U132" i="23"/>
  <c r="V46" i="28"/>
  <c r="T46" i="28"/>
  <c r="S46" i="28"/>
  <c r="W46" i="28" s="1"/>
  <c r="R47" i="28" s="1"/>
  <c r="AR70" i="3"/>
  <c r="BB68" i="3"/>
  <c r="Z30" i="25"/>
  <c r="Y30" i="25"/>
  <c r="AG30" i="25" s="1"/>
  <c r="AF31" i="25" s="1"/>
  <c r="K37" i="24"/>
  <c r="J37" i="24"/>
  <c r="AN68" i="20"/>
  <c r="R46" i="23"/>
  <c r="Q47" i="23" s="1"/>
  <c r="AT47" i="23" s="1"/>
  <c r="J54" i="26"/>
  <c r="L54" i="26" s="1"/>
  <c r="I55" i="26" s="1"/>
  <c r="AQ68" i="20"/>
  <c r="AR68" i="20" s="1"/>
  <c r="O69" i="20"/>
  <c r="AT40" i="26"/>
  <c r="R40" i="26"/>
  <c r="Q41" i="26" s="1"/>
  <c r="P68" i="20"/>
  <c r="BG66" i="3"/>
  <c r="AU27" i="29"/>
  <c r="H28" i="29"/>
  <c r="AP28" i="29" s="1"/>
  <c r="G28" i="29"/>
  <c r="AI28" i="29" s="1"/>
  <c r="AJ28" i="29" s="1"/>
  <c r="AK28" i="29" s="1"/>
  <c r="AQ27" i="29"/>
  <c r="AS27" i="29"/>
  <c r="T50" i="29"/>
  <c r="S50" i="29"/>
  <c r="W50" i="29" s="1"/>
  <c r="R51" i="29" s="1"/>
  <c r="U51" i="29" s="1"/>
  <c r="C64" i="29"/>
  <c r="AZ64" i="29"/>
  <c r="E65" i="29"/>
  <c r="AK27" i="29"/>
  <c r="Y38" i="29"/>
  <c r="T36" i="15"/>
  <c r="S37" i="15" s="1"/>
  <c r="F27" i="26"/>
  <c r="AL26" i="26"/>
  <c r="AM26" i="26" s="1"/>
  <c r="AN26" i="26" s="1"/>
  <c r="AI26" i="26"/>
  <c r="AJ26" i="26" s="1"/>
  <c r="AK26" i="26" s="1"/>
  <c r="O64" i="26"/>
  <c r="AQ64" i="26"/>
  <c r="AS64" i="26"/>
  <c r="AU64" i="26"/>
  <c r="K64" i="26"/>
  <c r="P44" i="26"/>
  <c r="M45" i="26" s="1"/>
  <c r="C65" i="26"/>
  <c r="AZ65" i="26"/>
  <c r="E66" i="26"/>
  <c r="AZ65" i="28"/>
  <c r="C65" i="28"/>
  <c r="E66" i="28"/>
  <c r="AG37" i="28"/>
  <c r="AF38" i="28" s="1"/>
  <c r="AC37" i="28"/>
  <c r="X38" i="28" s="1"/>
  <c r="AB38" i="28" s="1"/>
  <c r="BG60" i="23"/>
  <c r="AL28" i="25"/>
  <c r="AM28" i="25" s="1"/>
  <c r="AN28" i="25" s="1"/>
  <c r="AW27" i="25"/>
  <c r="AX27" i="25" s="1"/>
  <c r="AY27" i="25" s="1"/>
  <c r="F29" i="25"/>
  <c r="AI28" i="25"/>
  <c r="AQ28" i="25"/>
  <c r="AS28" i="25"/>
  <c r="AU28" i="25"/>
  <c r="U64" i="25"/>
  <c r="V64" i="25"/>
  <c r="AA64" i="25"/>
  <c r="AB64" i="25"/>
  <c r="AR64" i="25"/>
  <c r="BA65" i="25"/>
  <c r="BB65" i="25"/>
  <c r="BC65" i="25"/>
  <c r="AO28" i="25"/>
  <c r="BD65" i="25"/>
  <c r="C65" i="25"/>
  <c r="AZ65" i="25"/>
  <c r="E66" i="25"/>
  <c r="Q29" i="25"/>
  <c r="AQ64" i="24"/>
  <c r="AU64" i="24"/>
  <c r="AS64" i="24"/>
  <c r="AM24" i="24"/>
  <c r="AN24" i="24" s="1"/>
  <c r="C65" i="24"/>
  <c r="AZ65" i="24"/>
  <c r="E66" i="24"/>
  <c r="AJ24" i="24"/>
  <c r="AK24" i="24" s="1"/>
  <c r="G25" i="24"/>
  <c r="AR25" i="24" s="1"/>
  <c r="AV61" i="23"/>
  <c r="BG61" i="23" s="1"/>
  <c r="H96" i="23"/>
  <c r="G96" i="23"/>
  <c r="AI96" i="23" s="1"/>
  <c r="AJ96" i="23" s="1"/>
  <c r="AK96" i="23" s="1"/>
  <c r="J97" i="23"/>
  <c r="AV95" i="23"/>
  <c r="H26" i="15"/>
  <c r="AK62" i="23"/>
  <c r="AQ66" i="15"/>
  <c r="AS66" i="15"/>
  <c r="AU66" i="15"/>
  <c r="P36" i="15"/>
  <c r="M37" i="15" s="1"/>
  <c r="N37" i="15" s="1"/>
  <c r="R63" i="23"/>
  <c r="T63" i="23"/>
  <c r="AN62" i="23"/>
  <c r="AZ25" i="23"/>
  <c r="BC25" i="23" s="1"/>
  <c r="BG25" i="23"/>
  <c r="AX64" i="23"/>
  <c r="BB64" i="23" s="1"/>
  <c r="BB66" i="23" s="1"/>
  <c r="AW64" i="23"/>
  <c r="BA64" i="23" s="1"/>
  <c r="BA66" i="23" s="1"/>
  <c r="AY64" i="23"/>
  <c r="BD64" i="23" s="1"/>
  <c r="P64" i="23"/>
  <c r="C64" i="23"/>
  <c r="O64" i="23" s="1"/>
  <c r="L64" i="23"/>
  <c r="BF64" i="23"/>
  <c r="H64" i="23"/>
  <c r="BE64" i="23"/>
  <c r="BE66" i="23" s="1"/>
  <c r="BD63" i="23"/>
  <c r="F63" i="23"/>
  <c r="AI63" i="23"/>
  <c r="AJ63" i="23" s="1"/>
  <c r="AL63" i="23"/>
  <c r="AM63" i="23" s="1"/>
  <c r="AQ63" i="23"/>
  <c r="AR63" i="23"/>
  <c r="AS63" i="23"/>
  <c r="AT63" i="23"/>
  <c r="AU63" i="23"/>
  <c r="Q63" i="23"/>
  <c r="M63" i="23"/>
  <c r="I63" i="23"/>
  <c r="S63" i="23"/>
  <c r="AF131" i="23"/>
  <c r="G63" i="23"/>
  <c r="F27" i="23"/>
  <c r="AI26" i="23"/>
  <c r="AL26" i="23"/>
  <c r="J63" i="23"/>
  <c r="AE131" i="23"/>
  <c r="N63" i="23"/>
  <c r="K63" i="23"/>
  <c r="AG131" i="23"/>
  <c r="O63" i="23"/>
  <c r="AZ129" i="23"/>
  <c r="BC129" i="23" s="1"/>
  <c r="BG129" i="23"/>
  <c r="T54" i="23"/>
  <c r="S55" i="23" s="1"/>
  <c r="T55" i="23" s="1"/>
  <c r="O63" i="25"/>
  <c r="I63" i="25"/>
  <c r="BD134" i="23"/>
  <c r="AV130" i="23"/>
  <c r="AE122" i="23"/>
  <c r="AD123" i="23" s="1"/>
  <c r="BB134" i="23"/>
  <c r="AX134" i="23"/>
  <c r="AM132" i="23"/>
  <c r="AJ132" i="23"/>
  <c r="AK131" i="23"/>
  <c r="AN131" i="23"/>
  <c r="AT43" i="14"/>
  <c r="R43" i="14"/>
  <c r="Q44" i="14" s="1"/>
  <c r="R35" i="15"/>
  <c r="Q36" i="15" s="1"/>
  <c r="AT36" i="15" s="1"/>
  <c r="AT45" i="18"/>
  <c r="R45" i="18"/>
  <c r="Q46" i="18" s="1"/>
  <c r="AD66" i="3"/>
  <c r="AI66" i="3" s="1"/>
  <c r="BE66" i="3" s="1"/>
  <c r="AR65" i="19"/>
  <c r="AB66" i="17"/>
  <c r="O66" i="17"/>
  <c r="U66" i="17"/>
  <c r="AB66" i="19"/>
  <c r="O66" i="19"/>
  <c r="I66" i="17"/>
  <c r="V66" i="17"/>
  <c r="V66" i="19"/>
  <c r="U66" i="19"/>
  <c r="I66" i="19"/>
  <c r="AA66" i="17"/>
  <c r="AA66" i="19"/>
  <c r="L43" i="15"/>
  <c r="I44" i="15" s="1"/>
  <c r="J44" i="15" s="1"/>
  <c r="AZ62" i="14"/>
  <c r="BC62" i="14" s="1"/>
  <c r="E67" i="19"/>
  <c r="C66" i="19"/>
  <c r="AZ66" i="19"/>
  <c r="F34" i="14"/>
  <c r="G34" i="14" s="1"/>
  <c r="AR34" i="14" s="1"/>
  <c r="AI33" i="14"/>
  <c r="AJ33" i="14" s="1"/>
  <c r="AK33" i="14" s="1"/>
  <c r="AV33" i="14" s="1"/>
  <c r="AR65" i="16"/>
  <c r="AZ66" i="16"/>
  <c r="E67" i="16"/>
  <c r="C66" i="16"/>
  <c r="BD66" i="16"/>
  <c r="AN64" i="14"/>
  <c r="AV63" i="14"/>
  <c r="AK64" i="14"/>
  <c r="AV32" i="14"/>
  <c r="J63" i="18"/>
  <c r="L63" i="18" s="1"/>
  <c r="I64" i="18" s="1"/>
  <c r="E66" i="17"/>
  <c r="AZ65" i="17"/>
  <c r="C65" i="17"/>
  <c r="AU64" i="18"/>
  <c r="AS64" i="18"/>
  <c r="O64" i="18"/>
  <c r="AQ64" i="18"/>
  <c r="K64" i="18"/>
  <c r="E66" i="18"/>
  <c r="AZ65" i="18"/>
  <c r="C65" i="18"/>
  <c r="AW31" i="18"/>
  <c r="AX31" i="18" s="1"/>
  <c r="AY31" i="18" s="1"/>
  <c r="G32" i="18"/>
  <c r="AR32" i="18" s="1"/>
  <c r="C67" i="15"/>
  <c r="AZ67" i="15"/>
  <c r="E68" i="15"/>
  <c r="AZ131" i="14"/>
  <c r="BC131" i="14" s="1"/>
  <c r="BG131" i="14"/>
  <c r="T49" i="18"/>
  <c r="S50" i="18" s="1"/>
  <c r="AN132" i="14"/>
  <c r="G70" i="3"/>
  <c r="AV69" i="3"/>
  <c r="AX69" i="3" s="1"/>
  <c r="V69" i="3"/>
  <c r="X69" i="3" s="1"/>
  <c r="A69" i="3"/>
  <c r="BI69" i="3" s="1"/>
  <c r="BJ69" i="3" s="1"/>
  <c r="AQ71" i="3"/>
  <c r="AG68" i="3"/>
  <c r="AF67" i="3"/>
  <c r="AK67" i="3" s="1"/>
  <c r="H68" i="3"/>
  <c r="AH68" i="3"/>
  <c r="BD67" i="3"/>
  <c r="P71" i="3"/>
  <c r="P72" i="3" s="1"/>
  <c r="AW71" i="3"/>
  <c r="AM68" i="3"/>
  <c r="AC67" i="3"/>
  <c r="Y68" i="3"/>
  <c r="AL68" i="3"/>
  <c r="BC67" i="3"/>
  <c r="AE68" i="3"/>
  <c r="AN71" i="3"/>
  <c r="N55" i="14" l="1"/>
  <c r="O55" i="14"/>
  <c r="P55" i="14"/>
  <c r="N56" i="14" s="1"/>
  <c r="S30" i="25"/>
  <c r="W30" i="25" s="1"/>
  <c r="R31" i="25" s="1"/>
  <c r="T30" i="25"/>
  <c r="AE29" i="25"/>
  <c r="AD30" i="25" s="1"/>
  <c r="AT29" i="25"/>
  <c r="AT123" i="23"/>
  <c r="AT134" i="23" s="1"/>
  <c r="AE123" i="23"/>
  <c r="N33" i="24"/>
  <c r="R33" i="24" s="1"/>
  <c r="Q34" i="24" s="1"/>
  <c r="AT34" i="24" s="1"/>
  <c r="AW28" i="28"/>
  <c r="AX28" i="28" s="1"/>
  <c r="AY28" i="28" s="1"/>
  <c r="K29" i="28"/>
  <c r="AQ29" i="28" s="1"/>
  <c r="AL29" i="28"/>
  <c r="AM29" i="28" s="1"/>
  <c r="AN29" i="28" s="1"/>
  <c r="AO29" i="28"/>
  <c r="AG38" i="29"/>
  <c r="AF39" i="29" s="1"/>
  <c r="O97" i="23"/>
  <c r="P98" i="23"/>
  <c r="N97" i="23"/>
  <c r="M97" i="23"/>
  <c r="AT39" i="29"/>
  <c r="V47" i="28"/>
  <c r="S47" i="28"/>
  <c r="W47" i="28" s="1"/>
  <c r="R48" i="28" s="1"/>
  <c r="T47" i="28"/>
  <c r="AR28" i="29"/>
  <c r="Q28" i="29"/>
  <c r="L29" i="29" s="1"/>
  <c r="AE46" i="28"/>
  <c r="AD47" i="28" s="1"/>
  <c r="AT46" i="28"/>
  <c r="AR71" i="3"/>
  <c r="BB69" i="3"/>
  <c r="AM69" i="3"/>
  <c r="L37" i="24"/>
  <c r="I38" i="24" s="1"/>
  <c r="AC30" i="25"/>
  <c r="X31" i="25" s="1"/>
  <c r="R47" i="23"/>
  <c r="Q48" i="23" s="1"/>
  <c r="AT48" i="23" s="1"/>
  <c r="AJ66" i="3"/>
  <c r="BF66" i="3" s="1"/>
  <c r="AQ69" i="20"/>
  <c r="AR69" i="20" s="1"/>
  <c r="O70" i="20"/>
  <c r="R41" i="26"/>
  <c r="Q42" i="26" s="1"/>
  <c r="AT41" i="26"/>
  <c r="AN69" i="20"/>
  <c r="J55" i="26"/>
  <c r="L55" i="26" s="1"/>
  <c r="I56" i="26" s="1"/>
  <c r="P69" i="20"/>
  <c r="K66" i="15"/>
  <c r="O66" i="15"/>
  <c r="BG67" i="3"/>
  <c r="AW27" i="29"/>
  <c r="AX27" i="29" s="1"/>
  <c r="AY27" i="29" s="1"/>
  <c r="AL28" i="29"/>
  <c r="K28" i="29"/>
  <c r="AO28" i="29"/>
  <c r="T51" i="29"/>
  <c r="S51" i="29"/>
  <c r="W51" i="29" s="1"/>
  <c r="R52" i="29" s="1"/>
  <c r="U52" i="29" s="1"/>
  <c r="C65" i="29"/>
  <c r="AZ65" i="29"/>
  <c r="E66" i="29"/>
  <c r="T37" i="15"/>
  <c r="S38" i="15" s="1"/>
  <c r="AW26" i="26"/>
  <c r="AX26" i="26" s="1"/>
  <c r="AY26" i="26" s="1"/>
  <c r="G27" i="26"/>
  <c r="AR27" i="26" s="1"/>
  <c r="AS65" i="26"/>
  <c r="AU65" i="26"/>
  <c r="AQ65" i="26"/>
  <c r="K65" i="26"/>
  <c r="O65" i="26"/>
  <c r="N45" i="26"/>
  <c r="P45" i="26" s="1"/>
  <c r="M46" i="26" s="1"/>
  <c r="C66" i="26"/>
  <c r="AZ66" i="26"/>
  <c r="E67" i="26"/>
  <c r="Z38" i="28"/>
  <c r="Y38" i="28"/>
  <c r="C66" i="28"/>
  <c r="AZ66" i="28"/>
  <c r="E67" i="28"/>
  <c r="AR65" i="25"/>
  <c r="U65" i="25"/>
  <c r="V65" i="25"/>
  <c r="AA65" i="25"/>
  <c r="AB65" i="25"/>
  <c r="G29" i="25"/>
  <c r="K29" i="25" s="1"/>
  <c r="H29" i="25"/>
  <c r="AP29" i="25" s="1"/>
  <c r="J30" i="25"/>
  <c r="BA66" i="25"/>
  <c r="BB66" i="25"/>
  <c r="BC66" i="25"/>
  <c r="AJ28" i="25"/>
  <c r="AK28" i="25" s="1"/>
  <c r="AW28" i="25" s="1"/>
  <c r="AX28" i="25" s="1"/>
  <c r="AY28" i="25" s="1"/>
  <c r="H25" i="24"/>
  <c r="F26" i="24" s="1"/>
  <c r="G26" i="24" s="1"/>
  <c r="AR26" i="24" s="1"/>
  <c r="C66" i="25"/>
  <c r="AZ66" i="25"/>
  <c r="BD66" i="25"/>
  <c r="E67" i="25"/>
  <c r="L30" i="25"/>
  <c r="AW24" i="24"/>
  <c r="AX24" i="24" s="1"/>
  <c r="AY24" i="24" s="1"/>
  <c r="C66" i="24"/>
  <c r="AZ66" i="24"/>
  <c r="E67" i="24"/>
  <c r="AU65" i="24"/>
  <c r="AS65" i="24"/>
  <c r="AQ65" i="24"/>
  <c r="AN63" i="23"/>
  <c r="AZ61" i="23"/>
  <c r="BC61" i="23" s="1"/>
  <c r="AK63" i="23"/>
  <c r="AP96" i="23"/>
  <c r="AO96" i="23"/>
  <c r="K96" i="23"/>
  <c r="BG95" i="23"/>
  <c r="AZ95" i="23"/>
  <c r="BC95" i="23" s="1"/>
  <c r="AL96" i="23"/>
  <c r="AM96" i="23" s="1"/>
  <c r="AN96" i="23" s="1"/>
  <c r="F27" i="15"/>
  <c r="AI26" i="15"/>
  <c r="AJ26" i="15" s="1"/>
  <c r="AK26" i="15" s="1"/>
  <c r="AL26" i="15"/>
  <c r="AM26" i="15" s="1"/>
  <c r="AN26" i="15" s="1"/>
  <c r="AQ67" i="15"/>
  <c r="AS67" i="15"/>
  <c r="AU67" i="15"/>
  <c r="AV62" i="23"/>
  <c r="BG62" i="23" s="1"/>
  <c r="P37" i="15"/>
  <c r="M38" i="15" s="1"/>
  <c r="N38" i="15" s="1"/>
  <c r="S64" i="23"/>
  <c r="R64" i="23"/>
  <c r="BD66" i="23"/>
  <c r="M64" i="23"/>
  <c r="AY66" i="23"/>
  <c r="F64" i="23"/>
  <c r="AF132" i="23"/>
  <c r="AI64" i="23"/>
  <c r="AJ64" i="23" s="1"/>
  <c r="AL64" i="23"/>
  <c r="AM64" i="23" s="1"/>
  <c r="AQ64" i="23"/>
  <c r="AQ66" i="23" s="1"/>
  <c r="AR64" i="23"/>
  <c r="AS64" i="23"/>
  <c r="AS66" i="23" s="1"/>
  <c r="AT64" i="23"/>
  <c r="AU64" i="23"/>
  <c r="AU66" i="23" s="1"/>
  <c r="Q64" i="23"/>
  <c r="I64" i="23"/>
  <c r="AD132" i="23"/>
  <c r="AX66" i="23"/>
  <c r="AW66" i="23"/>
  <c r="G27" i="23"/>
  <c r="AR27" i="23" s="1"/>
  <c r="AM26" i="23"/>
  <c r="AN26" i="23" s="1"/>
  <c r="AE132" i="23"/>
  <c r="AG132" i="23"/>
  <c r="K64" i="23"/>
  <c r="AJ26" i="23"/>
  <c r="AK26" i="23" s="1"/>
  <c r="G64" i="23"/>
  <c r="J64" i="23"/>
  <c r="T64" i="23"/>
  <c r="N64" i="23"/>
  <c r="AZ130" i="23"/>
  <c r="BC130" i="23" s="1"/>
  <c r="BG130" i="23"/>
  <c r="AC38" i="29"/>
  <c r="X39" i="29" s="1"/>
  <c r="AV131" i="23"/>
  <c r="O64" i="25"/>
  <c r="I64" i="25"/>
  <c r="AK132" i="23"/>
  <c r="AG119" i="23"/>
  <c r="AF120" i="23" s="1"/>
  <c r="AN132" i="23"/>
  <c r="AT44" i="14"/>
  <c r="R44" i="14"/>
  <c r="Q45" i="14" s="1"/>
  <c r="R36" i="15"/>
  <c r="Q37" i="15" s="1"/>
  <c r="AT37" i="15" s="1"/>
  <c r="AT46" i="18"/>
  <c r="R46" i="18"/>
  <c r="Q47" i="18" s="1"/>
  <c r="AD67" i="3"/>
  <c r="AI67" i="3" s="1"/>
  <c r="BE67" i="3" s="1"/>
  <c r="V67" i="17"/>
  <c r="O67" i="17"/>
  <c r="U67" i="19"/>
  <c r="AB67" i="17"/>
  <c r="I67" i="17"/>
  <c r="O67" i="19"/>
  <c r="AA67" i="17"/>
  <c r="AB67" i="19"/>
  <c r="I67" i="19"/>
  <c r="AA67" i="19"/>
  <c r="U67" i="17"/>
  <c r="V67" i="19"/>
  <c r="AR66" i="19"/>
  <c r="AZ67" i="19"/>
  <c r="C67" i="19"/>
  <c r="E68" i="19"/>
  <c r="AV64" i="14"/>
  <c r="BG64" i="14" s="1"/>
  <c r="AR66" i="16"/>
  <c r="BG63" i="14"/>
  <c r="AZ63" i="14"/>
  <c r="BC63" i="14" s="1"/>
  <c r="E68" i="16"/>
  <c r="AZ67" i="16"/>
  <c r="BD67" i="16"/>
  <c r="C67" i="16"/>
  <c r="BG33" i="14"/>
  <c r="AZ33" i="14"/>
  <c r="BC33" i="14" s="1"/>
  <c r="H34" i="14"/>
  <c r="AZ66" i="17"/>
  <c r="C66" i="17"/>
  <c r="E67" i="17"/>
  <c r="J64" i="18"/>
  <c r="L64" i="18" s="1"/>
  <c r="I65" i="18" s="1"/>
  <c r="AU65" i="18"/>
  <c r="O65" i="18"/>
  <c r="AS65" i="18"/>
  <c r="K65" i="18"/>
  <c r="AQ65" i="18"/>
  <c r="C66" i="18"/>
  <c r="AZ66" i="18"/>
  <c r="E67" i="18"/>
  <c r="BG32" i="14"/>
  <c r="AZ32" i="14"/>
  <c r="BC32" i="14" s="1"/>
  <c r="H32" i="18"/>
  <c r="F33" i="18" s="1"/>
  <c r="G33" i="18" s="1"/>
  <c r="AR33" i="18" s="1"/>
  <c r="AZ68" i="15"/>
  <c r="C68" i="15"/>
  <c r="E69" i="15"/>
  <c r="P49" i="18"/>
  <c r="M50" i="18" s="1"/>
  <c r="N50" i="18" s="1"/>
  <c r="T53" i="14"/>
  <c r="S54" i="14" s="1"/>
  <c r="AV132" i="14"/>
  <c r="BC68" i="3"/>
  <c r="AE69" i="3"/>
  <c r="A70" i="3"/>
  <c r="BI70" i="3" s="1"/>
  <c r="BJ70" i="3" s="1"/>
  <c r="H69" i="3"/>
  <c r="AF68" i="3"/>
  <c r="AK68" i="3" s="1"/>
  <c r="AQ72" i="3"/>
  <c r="AN72" i="3"/>
  <c r="AL69" i="3"/>
  <c r="AW72" i="3"/>
  <c r="AH69" i="3"/>
  <c r="BD68" i="3"/>
  <c r="Y69" i="3"/>
  <c r="AC68" i="3"/>
  <c r="AG69" i="3"/>
  <c r="V70" i="3"/>
  <c r="X70" i="3" s="1"/>
  <c r="G71" i="3"/>
  <c r="AV70" i="3"/>
  <c r="AX70" i="3" s="1"/>
  <c r="O56" i="14" l="1"/>
  <c r="T31" i="25"/>
  <c r="S31" i="25"/>
  <c r="W31" i="25" s="1"/>
  <c r="R32" i="25" s="1"/>
  <c r="AT30" i="25"/>
  <c r="AE30" i="25"/>
  <c r="AD31" i="25" s="1"/>
  <c r="T33" i="24"/>
  <c r="S34" i="24" s="1"/>
  <c r="P33" i="24"/>
  <c r="M34" i="24" s="1"/>
  <c r="O34" i="24" s="1"/>
  <c r="AS29" i="28"/>
  <c r="F30" i="28"/>
  <c r="I30" i="28" s="1"/>
  <c r="Q30" i="28" s="1"/>
  <c r="L31" i="28" s="1"/>
  <c r="N31" i="28" s="1"/>
  <c r="AU29" i="28"/>
  <c r="AQ28" i="29"/>
  <c r="O31" i="28"/>
  <c r="V48" i="28"/>
  <c r="S48" i="28"/>
  <c r="W48" i="28" s="1"/>
  <c r="R49" i="28" s="1"/>
  <c r="T48" i="28"/>
  <c r="M29" i="29"/>
  <c r="O29" i="29"/>
  <c r="N29" i="29"/>
  <c r="P30" i="29"/>
  <c r="AT47" i="28"/>
  <c r="AE47" i="28"/>
  <c r="AD48" i="28" s="1"/>
  <c r="Z39" i="29"/>
  <c r="AA39" i="29"/>
  <c r="AE39" i="29" s="1"/>
  <c r="AD40" i="29" s="1"/>
  <c r="AR72" i="3"/>
  <c r="BB70" i="3"/>
  <c r="Z31" i="25"/>
  <c r="Y31" i="25"/>
  <c r="AG31" i="25" s="1"/>
  <c r="AF32" i="25" s="1"/>
  <c r="K38" i="24"/>
  <c r="J38" i="24"/>
  <c r="AR67" i="19"/>
  <c r="R48" i="23"/>
  <c r="Q49" i="23" s="1"/>
  <c r="AT49" i="23" s="1"/>
  <c r="P70" i="20"/>
  <c r="AN70" i="20"/>
  <c r="J56" i="26"/>
  <c r="L56" i="26" s="1"/>
  <c r="I57" i="26" s="1"/>
  <c r="O71" i="20"/>
  <c r="AQ70" i="20"/>
  <c r="AR70" i="20" s="1"/>
  <c r="BG68" i="3"/>
  <c r="R42" i="26"/>
  <c r="Q43" i="26" s="1"/>
  <c r="AT42" i="26"/>
  <c r="O67" i="15"/>
  <c r="K67" i="15"/>
  <c r="AJ67" i="3"/>
  <c r="BF67" i="3" s="1"/>
  <c r="AM28" i="29"/>
  <c r="AN28" i="29" s="1"/>
  <c r="F29" i="29"/>
  <c r="AS28" i="29"/>
  <c r="AU28" i="29"/>
  <c r="T38" i="15"/>
  <c r="S39" i="15" s="1"/>
  <c r="T52" i="29"/>
  <c r="S52" i="29"/>
  <c r="W52" i="29" s="1"/>
  <c r="R53" i="29" s="1"/>
  <c r="U53" i="29" s="1"/>
  <c r="AZ66" i="29"/>
  <c r="C66" i="29"/>
  <c r="E67" i="29"/>
  <c r="Y39" i="29"/>
  <c r="T45" i="26"/>
  <c r="S46" i="26" s="1"/>
  <c r="H27" i="26"/>
  <c r="O66" i="26"/>
  <c r="K66" i="26"/>
  <c r="AS66" i="26"/>
  <c r="AU66" i="26"/>
  <c r="AQ66" i="26"/>
  <c r="N46" i="26"/>
  <c r="P46" i="26" s="1"/>
  <c r="M47" i="26" s="1"/>
  <c r="N47" i="26" s="1"/>
  <c r="AZ67" i="26"/>
  <c r="C67" i="26"/>
  <c r="E68" i="26"/>
  <c r="AZ67" i="28"/>
  <c r="C67" i="28"/>
  <c r="E68" i="28"/>
  <c r="AG38" i="28"/>
  <c r="AF39" i="28" s="1"/>
  <c r="AC38" i="28"/>
  <c r="X39" i="28" s="1"/>
  <c r="AB39" i="28" s="1"/>
  <c r="F30" i="25"/>
  <c r="AI29" i="25"/>
  <c r="AJ29" i="25" s="1"/>
  <c r="AQ29" i="25"/>
  <c r="AU29" i="25"/>
  <c r="AS29" i="25"/>
  <c r="BA67" i="25"/>
  <c r="BB67" i="25"/>
  <c r="BC67" i="25"/>
  <c r="AR66" i="25"/>
  <c r="U66" i="25"/>
  <c r="V66" i="25"/>
  <c r="AA66" i="25"/>
  <c r="AB66" i="25"/>
  <c r="AL29" i="25"/>
  <c r="AO29" i="25"/>
  <c r="AZ67" i="25"/>
  <c r="BD67" i="25"/>
  <c r="C67" i="25"/>
  <c r="E68" i="25"/>
  <c r="N30" i="25"/>
  <c r="P31" i="25"/>
  <c r="M30" i="25"/>
  <c r="Q30" i="25" s="1"/>
  <c r="L31" i="25" s="1"/>
  <c r="AL25" i="24"/>
  <c r="AM25" i="24" s="1"/>
  <c r="AN25" i="24" s="1"/>
  <c r="AI25" i="24"/>
  <c r="AJ25" i="24" s="1"/>
  <c r="AK25" i="24" s="1"/>
  <c r="AQ66" i="24"/>
  <c r="AS66" i="24"/>
  <c r="AU66" i="24"/>
  <c r="C67" i="24"/>
  <c r="AZ67" i="24"/>
  <c r="E68" i="24"/>
  <c r="AV63" i="23"/>
  <c r="AZ63" i="23" s="1"/>
  <c r="BC63" i="23" s="1"/>
  <c r="AW26" i="15"/>
  <c r="AX26" i="15" s="1"/>
  <c r="AY26" i="15" s="1"/>
  <c r="AZ62" i="23"/>
  <c r="BC62" i="23" s="1"/>
  <c r="H26" i="24"/>
  <c r="F97" i="23"/>
  <c r="I97" i="23" s="1"/>
  <c r="AR97" i="23" s="1"/>
  <c r="AQ96" i="23"/>
  <c r="AU96" i="23"/>
  <c r="AS96" i="23"/>
  <c r="G27" i="15"/>
  <c r="AR27" i="15" s="1"/>
  <c r="AQ68" i="15"/>
  <c r="AS68" i="15"/>
  <c r="AU68" i="15"/>
  <c r="P38" i="15"/>
  <c r="M39" i="15" s="1"/>
  <c r="N39" i="15" s="1"/>
  <c r="AV26" i="23"/>
  <c r="H27" i="23"/>
  <c r="AZ131" i="23"/>
  <c r="BC131" i="23" s="1"/>
  <c r="BG131" i="23"/>
  <c r="O65" i="25"/>
  <c r="I65" i="25"/>
  <c r="AV132" i="23"/>
  <c r="AN64" i="23"/>
  <c r="AK64" i="23"/>
  <c r="AD68" i="3"/>
  <c r="AI68" i="3" s="1"/>
  <c r="BE68" i="3" s="1"/>
  <c r="R37" i="15"/>
  <c r="Q38" i="15" s="1"/>
  <c r="AT38" i="15" s="1"/>
  <c r="AT47" i="18"/>
  <c r="R47" i="18"/>
  <c r="Q48" i="18" s="1"/>
  <c r="AT45" i="14"/>
  <c r="R45" i="14"/>
  <c r="Q46" i="14" s="1"/>
  <c r="AZ64" i="14"/>
  <c r="BC64" i="14" s="1"/>
  <c r="L44" i="15"/>
  <c r="I45" i="15" s="1"/>
  <c r="J45" i="15" s="1"/>
  <c r="AB68" i="17"/>
  <c r="O68" i="17"/>
  <c r="I68" i="17"/>
  <c r="V68" i="19"/>
  <c r="AA68" i="17"/>
  <c r="U68" i="17"/>
  <c r="AA68" i="19"/>
  <c r="U68" i="19"/>
  <c r="V68" i="17"/>
  <c r="AB68" i="19"/>
  <c r="I68" i="19"/>
  <c r="O68" i="19"/>
  <c r="AZ68" i="19"/>
  <c r="C68" i="19"/>
  <c r="E69" i="19"/>
  <c r="AL32" i="18"/>
  <c r="AM32" i="18" s="1"/>
  <c r="AN32" i="18" s="1"/>
  <c r="AR67" i="16"/>
  <c r="C68" i="16"/>
  <c r="E69" i="16"/>
  <c r="BD68" i="16"/>
  <c r="AZ68" i="16"/>
  <c r="J65" i="18"/>
  <c r="L65" i="18" s="1"/>
  <c r="I66" i="18" s="1"/>
  <c r="AZ67" i="18"/>
  <c r="E68" i="18"/>
  <c r="C67" i="18"/>
  <c r="C67" i="17"/>
  <c r="AZ67" i="17"/>
  <c r="E68" i="17"/>
  <c r="K66" i="18"/>
  <c r="O66" i="18"/>
  <c r="AQ66" i="18"/>
  <c r="AS66" i="18"/>
  <c r="AU66" i="18"/>
  <c r="F35" i="14"/>
  <c r="AL34" i="14"/>
  <c r="AI34" i="14"/>
  <c r="AI32" i="18"/>
  <c r="AJ32" i="18" s="1"/>
  <c r="AK32" i="18" s="1"/>
  <c r="C69" i="15"/>
  <c r="E70" i="15"/>
  <c r="AZ69" i="15"/>
  <c r="H33" i="18"/>
  <c r="BG132" i="14"/>
  <c r="AZ132" i="14"/>
  <c r="T50" i="18"/>
  <c r="S51" i="18" s="1"/>
  <c r="AW73" i="3"/>
  <c r="AQ73" i="3"/>
  <c r="AG70" i="3"/>
  <c r="AL70" i="3"/>
  <c r="A71" i="3"/>
  <c r="BI71" i="3" s="1"/>
  <c r="BJ71" i="3" s="1"/>
  <c r="BD69" i="3"/>
  <c r="AH70" i="3"/>
  <c r="AN73" i="3"/>
  <c r="AF69" i="3"/>
  <c r="AD69" i="3" s="1"/>
  <c r="H70" i="3"/>
  <c r="BC69" i="3"/>
  <c r="AE70" i="3"/>
  <c r="G72" i="3"/>
  <c r="AV71" i="3"/>
  <c r="AX71" i="3" s="1"/>
  <c r="V71" i="3"/>
  <c r="X71" i="3" s="1"/>
  <c r="Y70" i="3"/>
  <c r="AC69" i="3"/>
  <c r="AM70" i="3"/>
  <c r="P73" i="3"/>
  <c r="S32" i="25" l="1"/>
  <c r="W32" i="25" s="1"/>
  <c r="R33" i="25" s="1"/>
  <c r="T32" i="25"/>
  <c r="AT31" i="25"/>
  <c r="AE31" i="25"/>
  <c r="AD32" i="25" s="1"/>
  <c r="N34" i="24"/>
  <c r="P34" i="24" s="1"/>
  <c r="M35" i="24" s="1"/>
  <c r="N35" i="24" s="1"/>
  <c r="AW29" i="28"/>
  <c r="AX29" i="28" s="1"/>
  <c r="AY29" i="28" s="1"/>
  <c r="H30" i="28"/>
  <c r="AP30" i="28" s="1"/>
  <c r="P32" i="28"/>
  <c r="M31" i="28"/>
  <c r="G30" i="28"/>
  <c r="AL30" i="28" s="1"/>
  <c r="J31" i="28"/>
  <c r="AL71" i="3"/>
  <c r="AT40" i="29"/>
  <c r="Q97" i="23"/>
  <c r="L98" i="23" s="1"/>
  <c r="V49" i="28"/>
  <c r="S49" i="28"/>
  <c r="W49" i="28" s="1"/>
  <c r="R50" i="28" s="1"/>
  <c r="T49" i="28"/>
  <c r="AG39" i="29"/>
  <c r="AF40" i="29" s="1"/>
  <c r="H29" i="29"/>
  <c r="AP29" i="29" s="1"/>
  <c r="I29" i="29"/>
  <c r="AR29" i="29" s="1"/>
  <c r="AE48" i="28"/>
  <c r="AD49" i="28" s="1"/>
  <c r="AT48" i="28"/>
  <c r="AR73" i="3"/>
  <c r="BB71" i="3"/>
  <c r="AC31" i="25"/>
  <c r="X32" i="25" s="1"/>
  <c r="L38" i="24"/>
  <c r="I39" i="24" s="1"/>
  <c r="AN71" i="20"/>
  <c r="R49" i="23"/>
  <c r="Q50" i="23" s="1"/>
  <c r="AT50" i="23" s="1"/>
  <c r="J57" i="26"/>
  <c r="L57" i="26" s="1"/>
  <c r="I58" i="26" s="1"/>
  <c r="O72" i="20"/>
  <c r="AQ71" i="20"/>
  <c r="AR71" i="20" s="1"/>
  <c r="AK69" i="3"/>
  <c r="BG69" i="3" s="1"/>
  <c r="AJ69" i="3"/>
  <c r="BF69" i="3" s="1"/>
  <c r="R43" i="26"/>
  <c r="Q44" i="26" s="1"/>
  <c r="AT43" i="26"/>
  <c r="P71" i="20"/>
  <c r="O68" i="15"/>
  <c r="K68" i="15"/>
  <c r="AW28" i="29"/>
  <c r="AX28" i="29" s="1"/>
  <c r="AY28" i="29" s="1"/>
  <c r="J30" i="29"/>
  <c r="G29" i="29"/>
  <c r="K29" i="29" s="1"/>
  <c r="F30" i="29" s="1"/>
  <c r="T39" i="15"/>
  <c r="S40" i="15" s="1"/>
  <c r="T53" i="29"/>
  <c r="S53" i="29"/>
  <c r="W53" i="29" s="1"/>
  <c r="R54" i="29" s="1"/>
  <c r="U54" i="29" s="1"/>
  <c r="AZ67" i="29"/>
  <c r="C67" i="29"/>
  <c r="E68" i="29"/>
  <c r="T46" i="26"/>
  <c r="S47" i="26" s="1"/>
  <c r="T47" i="26" s="1"/>
  <c r="S48" i="26" s="1"/>
  <c r="K67" i="26"/>
  <c r="O67" i="26"/>
  <c r="AQ67" i="26"/>
  <c r="AS67" i="26"/>
  <c r="AU67" i="26"/>
  <c r="F28" i="26"/>
  <c r="AI27" i="26"/>
  <c r="AJ27" i="26" s="1"/>
  <c r="AK27" i="26" s="1"/>
  <c r="AL27" i="26"/>
  <c r="AM27" i="26" s="1"/>
  <c r="AN27" i="26" s="1"/>
  <c r="P47" i="26"/>
  <c r="M48" i="26" s="1"/>
  <c r="N48" i="26" s="1"/>
  <c r="C68" i="26"/>
  <c r="AZ68" i="26"/>
  <c r="E69" i="26"/>
  <c r="Z39" i="28"/>
  <c r="Y39" i="28"/>
  <c r="AG39" i="28" s="1"/>
  <c r="AF40" i="28" s="1"/>
  <c r="AZ68" i="28"/>
  <c r="C68" i="28"/>
  <c r="E69" i="28"/>
  <c r="AV96" i="23"/>
  <c r="AZ96" i="23" s="1"/>
  <c r="BC96" i="23" s="1"/>
  <c r="BA68" i="25"/>
  <c r="BB68" i="25"/>
  <c r="BC68" i="25"/>
  <c r="G30" i="25"/>
  <c r="K30" i="25" s="1"/>
  <c r="J31" i="25"/>
  <c r="H30" i="25"/>
  <c r="AP30" i="25" s="1"/>
  <c r="AK29" i="25"/>
  <c r="AR67" i="25"/>
  <c r="U67" i="25"/>
  <c r="V67" i="25"/>
  <c r="AA67" i="25"/>
  <c r="AB67" i="25"/>
  <c r="AM29" i="25"/>
  <c r="AN29" i="25" s="1"/>
  <c r="N31" i="25"/>
  <c r="P32" i="25"/>
  <c r="M31" i="25"/>
  <c r="Q31" i="25" s="1"/>
  <c r="L32" i="25" s="1"/>
  <c r="BG63" i="23"/>
  <c r="C68" i="25"/>
  <c r="AZ68" i="25"/>
  <c r="BD68" i="25"/>
  <c r="E69" i="25"/>
  <c r="AW25" i="24"/>
  <c r="AX25" i="24" s="1"/>
  <c r="AY25" i="24" s="1"/>
  <c r="AQ67" i="24"/>
  <c r="AS67" i="24"/>
  <c r="AU67" i="24"/>
  <c r="F27" i="24"/>
  <c r="AL26" i="24"/>
  <c r="AM26" i="24" s="1"/>
  <c r="AI26" i="24"/>
  <c r="AJ26" i="24" s="1"/>
  <c r="C68" i="24"/>
  <c r="AZ68" i="24"/>
  <c r="E69" i="24"/>
  <c r="H97" i="23"/>
  <c r="J98" i="23"/>
  <c r="G97" i="23"/>
  <c r="AL97" i="23" s="1"/>
  <c r="AM97" i="23" s="1"/>
  <c r="AN97" i="23" s="1"/>
  <c r="AS69" i="15"/>
  <c r="AU69" i="15"/>
  <c r="K69" i="15"/>
  <c r="AQ69" i="15"/>
  <c r="O69" i="15"/>
  <c r="H27" i="15"/>
  <c r="P39" i="15"/>
  <c r="M40" i="15" s="1"/>
  <c r="N40" i="15" s="1"/>
  <c r="AZ26" i="23"/>
  <c r="BC26" i="23" s="1"/>
  <c r="BG26" i="23"/>
  <c r="F28" i="23"/>
  <c r="AI27" i="23"/>
  <c r="AL27" i="23"/>
  <c r="AZ132" i="23"/>
  <c r="BG132" i="23"/>
  <c r="AC39" i="29"/>
  <c r="X40" i="29" s="1"/>
  <c r="O66" i="25"/>
  <c r="I66" i="25"/>
  <c r="AG120" i="23"/>
  <c r="AF121" i="23" s="1"/>
  <c r="AV64" i="23"/>
  <c r="AJ68" i="3"/>
  <c r="BF68" i="3" s="1"/>
  <c r="AT48" i="18"/>
  <c r="R48" i="18"/>
  <c r="Q49" i="18" s="1"/>
  <c r="AT46" i="14"/>
  <c r="R46" i="14"/>
  <c r="Q47" i="14" s="1"/>
  <c r="R38" i="15"/>
  <c r="Q39" i="15" s="1"/>
  <c r="AT39" i="15" s="1"/>
  <c r="L45" i="15"/>
  <c r="I46" i="15" s="1"/>
  <c r="J46" i="15" s="1"/>
  <c r="V69" i="17"/>
  <c r="AB69" i="17"/>
  <c r="I69" i="17"/>
  <c r="AA69" i="19"/>
  <c r="I69" i="19"/>
  <c r="AA69" i="17"/>
  <c r="U69" i="19"/>
  <c r="U69" i="17"/>
  <c r="O69" i="19"/>
  <c r="O69" i="17"/>
  <c r="AB69" i="19"/>
  <c r="V69" i="19"/>
  <c r="AR68" i="19"/>
  <c r="E70" i="19"/>
  <c r="AZ69" i="19"/>
  <c r="C69" i="19"/>
  <c r="BD69" i="16"/>
  <c r="C69" i="16"/>
  <c r="AZ69" i="16"/>
  <c r="E70" i="16"/>
  <c r="AR68" i="16"/>
  <c r="J66" i="18"/>
  <c r="L66" i="18" s="1"/>
  <c r="I67" i="18" s="1"/>
  <c r="AJ34" i="14"/>
  <c r="AK34" i="14" s="1"/>
  <c r="AM34" i="14"/>
  <c r="AN34" i="14" s="1"/>
  <c r="G35" i="14"/>
  <c r="AR35" i="14" s="1"/>
  <c r="O67" i="18"/>
  <c r="AU67" i="18"/>
  <c r="AQ67" i="18"/>
  <c r="AS67" i="18"/>
  <c r="K67" i="18"/>
  <c r="E69" i="17"/>
  <c r="AZ68" i="17"/>
  <c r="C68" i="17"/>
  <c r="AZ68" i="18"/>
  <c r="E69" i="18"/>
  <c r="C68" i="18"/>
  <c r="AW32" i="18"/>
  <c r="AX32" i="18" s="1"/>
  <c r="AY32" i="18" s="1"/>
  <c r="F34" i="18"/>
  <c r="AI33" i="18"/>
  <c r="AJ33" i="18" s="1"/>
  <c r="AK33" i="18" s="1"/>
  <c r="AL33" i="18"/>
  <c r="C70" i="15"/>
  <c r="E71" i="15"/>
  <c r="AZ70" i="15"/>
  <c r="P50" i="18"/>
  <c r="M51" i="18" s="1"/>
  <c r="N51" i="18" s="1"/>
  <c r="T54" i="14"/>
  <c r="S55" i="14" s="1"/>
  <c r="T55" i="14" s="1"/>
  <c r="BC132" i="14"/>
  <c r="AI69" i="3"/>
  <c r="BE69" i="3" s="1"/>
  <c r="V72" i="3"/>
  <c r="X72" i="3" s="1"/>
  <c r="AV72" i="3"/>
  <c r="AX72" i="3" s="1"/>
  <c r="G73" i="3"/>
  <c r="AQ74" i="3"/>
  <c r="AC70" i="3"/>
  <c r="Y71" i="3"/>
  <c r="AN74" i="3"/>
  <c r="AG71" i="3"/>
  <c r="P74" i="3"/>
  <c r="P75" i="3" s="1"/>
  <c r="AE71" i="3"/>
  <c r="BC70" i="3"/>
  <c r="AH71" i="3"/>
  <c r="BD70" i="3"/>
  <c r="AW74" i="3"/>
  <c r="AM71" i="3"/>
  <c r="H71" i="3"/>
  <c r="AF70" i="3"/>
  <c r="AD70" i="3" s="1"/>
  <c r="A72" i="3"/>
  <c r="BI72" i="3" s="1"/>
  <c r="BJ72" i="3" s="1"/>
  <c r="AE32" i="25" l="1"/>
  <c r="AD33" i="25" s="1"/>
  <c r="AT32" i="25"/>
  <c r="S33" i="25"/>
  <c r="W33" i="25" s="1"/>
  <c r="R34" i="25" s="1"/>
  <c r="T33" i="25"/>
  <c r="O35" i="24"/>
  <c r="P35" i="24" s="1"/>
  <c r="M36" i="24" s="1"/>
  <c r="T34" i="24"/>
  <c r="S35" i="24" s="1"/>
  <c r="T35" i="24" s="1"/>
  <c r="S36" i="24" s="1"/>
  <c r="R34" i="24"/>
  <c r="Q35" i="24" s="1"/>
  <c r="R35" i="24" s="1"/>
  <c r="Q36" i="24" s="1"/>
  <c r="AT36" i="24" s="1"/>
  <c r="Q29" i="29"/>
  <c r="L30" i="29" s="1"/>
  <c r="P31" i="29" s="1"/>
  <c r="AI30" i="28"/>
  <c r="AJ30" i="28" s="1"/>
  <c r="AK30" i="28" s="1"/>
  <c r="K30" i="28"/>
  <c r="F31" i="28" s="1"/>
  <c r="I31" i="28" s="1"/>
  <c r="Q31" i="28" s="1"/>
  <c r="L32" i="28" s="1"/>
  <c r="AO30" i="28"/>
  <c r="AO29" i="29"/>
  <c r="O30" i="29"/>
  <c r="V50" i="28"/>
  <c r="S50" i="28"/>
  <c r="W50" i="28" s="1"/>
  <c r="R51" i="28" s="1"/>
  <c r="T50" i="28"/>
  <c r="J31" i="29"/>
  <c r="I30" i="29"/>
  <c r="AR30" i="29" s="1"/>
  <c r="AT49" i="28"/>
  <c r="AE49" i="28"/>
  <c r="AD50" i="28" s="1"/>
  <c r="Z40" i="29"/>
  <c r="AA40" i="29"/>
  <c r="AE40" i="29" s="1"/>
  <c r="AD41" i="29" s="1"/>
  <c r="O98" i="23"/>
  <c r="N98" i="23"/>
  <c r="P99" i="23"/>
  <c r="M98" i="23"/>
  <c r="AR74" i="3"/>
  <c r="BB72" i="3"/>
  <c r="Z32" i="25"/>
  <c r="Y32" i="25"/>
  <c r="K39" i="24"/>
  <c r="J39" i="24"/>
  <c r="AN72" i="20"/>
  <c r="R50" i="23"/>
  <c r="Q51" i="23" s="1"/>
  <c r="AT51" i="23" s="1"/>
  <c r="P72" i="20"/>
  <c r="O73" i="20"/>
  <c r="AQ72" i="20"/>
  <c r="AR72" i="20" s="1"/>
  <c r="AT44" i="26"/>
  <c r="R44" i="26"/>
  <c r="Q45" i="26" s="1"/>
  <c r="J58" i="26"/>
  <c r="L58" i="26" s="1"/>
  <c r="I59" i="26" s="1"/>
  <c r="AK70" i="3"/>
  <c r="BG70" i="3" s="1"/>
  <c r="AL29" i="29"/>
  <c r="AM29" i="29" s="1"/>
  <c r="AN29" i="29" s="1"/>
  <c r="AI29" i="29"/>
  <c r="AJ29" i="29" s="1"/>
  <c r="AK29" i="29" s="1"/>
  <c r="H30" i="29"/>
  <c r="T40" i="15"/>
  <c r="S41" i="15" s="1"/>
  <c r="T54" i="29"/>
  <c r="S54" i="29"/>
  <c r="W54" i="29" s="1"/>
  <c r="R55" i="29" s="1"/>
  <c r="U55" i="29" s="1"/>
  <c r="C68" i="29"/>
  <c r="AZ68" i="29"/>
  <c r="E69" i="29"/>
  <c r="G30" i="29"/>
  <c r="K30" i="29" s="1"/>
  <c r="Y40" i="29"/>
  <c r="AW27" i="26"/>
  <c r="AX27" i="26" s="1"/>
  <c r="AY27" i="26" s="1"/>
  <c r="O68" i="26"/>
  <c r="AQ68" i="26"/>
  <c r="AS68" i="26"/>
  <c r="AU68" i="26"/>
  <c r="K68" i="26"/>
  <c r="G28" i="26"/>
  <c r="AR28" i="26" s="1"/>
  <c r="AZ69" i="26"/>
  <c r="C69" i="26"/>
  <c r="E70" i="26"/>
  <c r="T48" i="26"/>
  <c r="S49" i="26" s="1"/>
  <c r="P48" i="26"/>
  <c r="C69" i="28"/>
  <c r="AZ69" i="28"/>
  <c r="E70" i="28"/>
  <c r="AC39" i="28"/>
  <c r="X40" i="28" s="1"/>
  <c r="AB40" i="28" s="1"/>
  <c r="AM30" i="28"/>
  <c r="AN30" i="28" s="1"/>
  <c r="BG96" i="23"/>
  <c r="F31" i="25"/>
  <c r="AI30" i="25"/>
  <c r="AJ30" i="25" s="1"/>
  <c r="AU30" i="25"/>
  <c r="AQ30" i="25"/>
  <c r="AS30" i="25"/>
  <c r="AL30" i="25"/>
  <c r="AM30" i="25" s="1"/>
  <c r="AN30" i="25" s="1"/>
  <c r="AR68" i="25"/>
  <c r="U68" i="25"/>
  <c r="V68" i="25"/>
  <c r="AA68" i="25"/>
  <c r="AB68" i="25"/>
  <c r="AO30" i="25"/>
  <c r="BA69" i="25"/>
  <c r="BB69" i="25"/>
  <c r="BC69" i="25"/>
  <c r="AK26" i="24"/>
  <c r="AW29" i="25"/>
  <c r="AX29" i="25" s="1"/>
  <c r="AY29" i="25" s="1"/>
  <c r="AN26" i="24"/>
  <c r="N32" i="25"/>
  <c r="P33" i="25"/>
  <c r="M32" i="25"/>
  <c r="AZ69" i="25"/>
  <c r="BD69" i="25"/>
  <c r="C69" i="25"/>
  <c r="E70" i="25"/>
  <c r="AQ68" i="24"/>
  <c r="AS68" i="24"/>
  <c r="AU68" i="24"/>
  <c r="AZ69" i="24"/>
  <c r="C69" i="24"/>
  <c r="E70" i="24"/>
  <c r="G27" i="24"/>
  <c r="AR27" i="24" s="1"/>
  <c r="AI97" i="23"/>
  <c r="AJ97" i="23" s="1"/>
  <c r="AK97" i="23" s="1"/>
  <c r="AP97" i="23"/>
  <c r="AO97" i="23"/>
  <c r="K97" i="23"/>
  <c r="F28" i="15"/>
  <c r="AI27" i="15"/>
  <c r="AJ27" i="15" s="1"/>
  <c r="AK27" i="15" s="1"/>
  <c r="AL27" i="15"/>
  <c r="AM27" i="15" s="1"/>
  <c r="AN27" i="15" s="1"/>
  <c r="K70" i="15"/>
  <c r="O70" i="15"/>
  <c r="AQ70" i="15"/>
  <c r="AS70" i="15"/>
  <c r="AU70" i="15"/>
  <c r="P40" i="15"/>
  <c r="M41" i="15" s="1"/>
  <c r="N41" i="15" s="1"/>
  <c r="G28" i="23"/>
  <c r="AR28" i="23" s="1"/>
  <c r="AJ27" i="23"/>
  <c r="AK27" i="23" s="1"/>
  <c r="AM27" i="23"/>
  <c r="AN27" i="23" s="1"/>
  <c r="AZ64" i="23"/>
  <c r="BG64" i="23"/>
  <c r="O67" i="25"/>
  <c r="I67" i="25"/>
  <c r="BC132" i="23"/>
  <c r="AT47" i="14"/>
  <c r="R47" i="14"/>
  <c r="Q48" i="14" s="1"/>
  <c r="AT49" i="18"/>
  <c r="R49" i="18"/>
  <c r="Q50" i="18" s="1"/>
  <c r="R39" i="15"/>
  <c r="Q40" i="15" s="1"/>
  <c r="AT40" i="15" s="1"/>
  <c r="AJ70" i="3"/>
  <c r="BF70" i="3" s="1"/>
  <c r="AM72" i="3"/>
  <c r="AR69" i="19"/>
  <c r="L46" i="15"/>
  <c r="I47" i="15" s="1"/>
  <c r="J47" i="15" s="1"/>
  <c r="AB70" i="17"/>
  <c r="O70" i="17"/>
  <c r="AA70" i="17"/>
  <c r="AB70" i="19"/>
  <c r="O70" i="19"/>
  <c r="V70" i="17"/>
  <c r="I70" i="17"/>
  <c r="I70" i="19"/>
  <c r="AA70" i="19"/>
  <c r="U70" i="17"/>
  <c r="V70" i="19"/>
  <c r="U70" i="19"/>
  <c r="AZ70" i="19"/>
  <c r="E71" i="19"/>
  <c r="C70" i="19"/>
  <c r="BD70" i="16"/>
  <c r="E71" i="16"/>
  <c r="AZ70" i="16"/>
  <c r="C70" i="16"/>
  <c r="H35" i="14"/>
  <c r="F36" i="14" s="1"/>
  <c r="G36" i="14" s="1"/>
  <c r="AR36" i="14" s="1"/>
  <c r="AR69" i="16"/>
  <c r="AV34" i="14"/>
  <c r="J67" i="18"/>
  <c r="L67" i="18" s="1"/>
  <c r="I68" i="18" s="1"/>
  <c r="AQ68" i="18"/>
  <c r="O68" i="18"/>
  <c r="K68" i="18"/>
  <c r="AU68" i="18"/>
  <c r="AS68" i="18"/>
  <c r="AZ69" i="18"/>
  <c r="E70" i="18"/>
  <c r="C69" i="18"/>
  <c r="C69" i="17"/>
  <c r="E70" i="17"/>
  <c r="AZ69" i="17"/>
  <c r="G34" i="18"/>
  <c r="AR34" i="18" s="1"/>
  <c r="AZ71" i="15"/>
  <c r="E72" i="15"/>
  <c r="C71" i="15"/>
  <c r="AM33" i="18"/>
  <c r="AN33" i="18" s="1"/>
  <c r="AW33" i="18" s="1"/>
  <c r="AX33" i="18" s="1"/>
  <c r="AY33" i="18" s="1"/>
  <c r="P51" i="18"/>
  <c r="M52" i="18" s="1"/>
  <c r="N52" i="18" s="1"/>
  <c r="T51" i="18"/>
  <c r="S52" i="18" s="1"/>
  <c r="H72" i="3"/>
  <c r="AF71" i="3"/>
  <c r="AK71" i="3" s="1"/>
  <c r="AH72" i="3"/>
  <c r="BD71" i="3"/>
  <c r="Y72" i="3"/>
  <c r="AC71" i="3"/>
  <c r="AQ75" i="3"/>
  <c r="A73" i="3"/>
  <c r="BI73" i="3" s="1"/>
  <c r="BJ73" i="3" s="1"/>
  <c r="AW75" i="3"/>
  <c r="AG72" i="3"/>
  <c r="AI70" i="3"/>
  <c r="BE70" i="3" s="1"/>
  <c r="AL72" i="3"/>
  <c r="BC71" i="3"/>
  <c r="AE72" i="3"/>
  <c r="AN75" i="3"/>
  <c r="AN76" i="3" s="1"/>
  <c r="G74" i="3"/>
  <c r="AV73" i="3"/>
  <c r="AX73" i="3" s="1"/>
  <c r="V73" i="3"/>
  <c r="X73" i="3" s="1"/>
  <c r="T34" i="25" l="1"/>
  <c r="S34" i="25"/>
  <c r="W34" i="25" s="1"/>
  <c r="R35" i="25" s="1"/>
  <c r="AT33" i="25"/>
  <c r="AE33" i="25"/>
  <c r="AD34" i="25" s="1"/>
  <c r="N36" i="24"/>
  <c r="R36" i="24" s="1"/>
  <c r="Q37" i="24" s="1"/>
  <c r="O36" i="24"/>
  <c r="AT35" i="24"/>
  <c r="AU29" i="29"/>
  <c r="AS29" i="29"/>
  <c r="M30" i="29"/>
  <c r="AI30" i="29" s="1"/>
  <c r="N30" i="29"/>
  <c r="AO30" i="29" s="1"/>
  <c r="AG40" i="29"/>
  <c r="AF41" i="29" s="1"/>
  <c r="AQ29" i="29"/>
  <c r="AS30" i="28"/>
  <c r="AQ30" i="28"/>
  <c r="AU30" i="28"/>
  <c r="O32" i="28"/>
  <c r="M32" i="28"/>
  <c r="N32" i="28"/>
  <c r="P33" i="28"/>
  <c r="V51" i="28"/>
  <c r="S51" i="28"/>
  <c r="W51" i="28" s="1"/>
  <c r="R52" i="28" s="1"/>
  <c r="T51" i="28"/>
  <c r="AE50" i="28"/>
  <c r="AD51" i="28" s="1"/>
  <c r="AT50" i="28"/>
  <c r="AT41" i="29"/>
  <c r="AR75" i="3"/>
  <c r="BB73" i="3"/>
  <c r="L39" i="24"/>
  <c r="I40" i="24" s="1"/>
  <c r="AC32" i="25"/>
  <c r="X33" i="25" s="1"/>
  <c r="AG32" i="25"/>
  <c r="AF33" i="25" s="1"/>
  <c r="AN73" i="20"/>
  <c r="R51" i="23"/>
  <c r="Q52" i="23" s="1"/>
  <c r="AT52" i="23" s="1"/>
  <c r="P73" i="20"/>
  <c r="O74" i="20"/>
  <c r="AQ73" i="20"/>
  <c r="AR73" i="20" s="1"/>
  <c r="AT45" i="26"/>
  <c r="R45" i="26"/>
  <c r="Q46" i="26" s="1"/>
  <c r="J59" i="26"/>
  <c r="L59" i="26" s="1"/>
  <c r="I60" i="26" s="1"/>
  <c r="BG71" i="3"/>
  <c r="T41" i="15"/>
  <c r="S42" i="15" s="1"/>
  <c r="T55" i="29"/>
  <c r="S55" i="29"/>
  <c r="W55" i="29" s="1"/>
  <c r="R56" i="29" s="1"/>
  <c r="U56" i="29" s="1"/>
  <c r="AZ69" i="29"/>
  <c r="C69" i="29"/>
  <c r="E70" i="29"/>
  <c r="F31" i="29"/>
  <c r="I31" i="29" s="1"/>
  <c r="AR31" i="29" s="1"/>
  <c r="H28" i="26"/>
  <c r="AS69" i="26"/>
  <c r="AU69" i="26"/>
  <c r="AQ69" i="26"/>
  <c r="K69" i="26"/>
  <c r="O69" i="26"/>
  <c r="M49" i="26"/>
  <c r="N49" i="26" s="1"/>
  <c r="T49" i="26" s="1"/>
  <c r="S50" i="26" s="1"/>
  <c r="C70" i="26"/>
  <c r="AZ70" i="26"/>
  <c r="E71" i="26"/>
  <c r="AW26" i="24"/>
  <c r="AX26" i="24" s="1"/>
  <c r="AY26" i="24" s="1"/>
  <c r="H31" i="28"/>
  <c r="AP31" i="28" s="1"/>
  <c r="J32" i="28"/>
  <c r="G31" i="28"/>
  <c r="AI31" i="28" s="1"/>
  <c r="Z40" i="28"/>
  <c r="Y40" i="28"/>
  <c r="AZ70" i="28"/>
  <c r="C70" i="28"/>
  <c r="E71" i="28"/>
  <c r="G31" i="25"/>
  <c r="K31" i="25" s="1"/>
  <c r="H31" i="25"/>
  <c r="AP31" i="25" s="1"/>
  <c r="J32" i="25"/>
  <c r="AK30" i="25"/>
  <c r="AW30" i="25" s="1"/>
  <c r="AX30" i="25" s="1"/>
  <c r="AY30" i="25" s="1"/>
  <c r="BA70" i="25"/>
  <c r="BB70" i="25"/>
  <c r="BC70" i="25"/>
  <c r="AR69" i="25"/>
  <c r="U69" i="25"/>
  <c r="V69" i="25"/>
  <c r="AA69" i="25"/>
  <c r="AB69" i="25"/>
  <c r="C70" i="25"/>
  <c r="AZ70" i="25"/>
  <c r="BD70" i="25"/>
  <c r="E71" i="25"/>
  <c r="Q32" i="25"/>
  <c r="AQ69" i="24"/>
  <c r="AS69" i="24"/>
  <c r="AU69" i="24"/>
  <c r="C70" i="24"/>
  <c r="AZ70" i="24"/>
  <c r="E71" i="24"/>
  <c r="AW27" i="15"/>
  <c r="AX27" i="15" s="1"/>
  <c r="AY27" i="15" s="1"/>
  <c r="F98" i="23"/>
  <c r="I98" i="23" s="1"/>
  <c r="AR98" i="23" s="1"/>
  <c r="AS97" i="23"/>
  <c r="AU97" i="23"/>
  <c r="AQ97" i="23"/>
  <c r="H27" i="24"/>
  <c r="AQ71" i="15"/>
  <c r="AS71" i="15"/>
  <c r="AU71" i="15"/>
  <c r="G28" i="15"/>
  <c r="AR28" i="15" s="1"/>
  <c r="P41" i="15"/>
  <c r="M42" i="15" s="1"/>
  <c r="N42" i="15" s="1"/>
  <c r="AV27" i="23"/>
  <c r="BG27" i="23" s="1"/>
  <c r="H28" i="23"/>
  <c r="AC40" i="29"/>
  <c r="X41" i="29" s="1"/>
  <c r="O68" i="25"/>
  <c r="I68" i="25"/>
  <c r="AG121" i="23"/>
  <c r="AF122" i="23" s="1"/>
  <c r="BC64" i="23"/>
  <c r="AT50" i="18"/>
  <c r="R50" i="18"/>
  <c r="Q51" i="18" s="1"/>
  <c r="AT48" i="14"/>
  <c r="R48" i="14"/>
  <c r="Q49" i="14" s="1"/>
  <c r="R40" i="15"/>
  <c r="Q41" i="15" s="1"/>
  <c r="AT41" i="15" s="1"/>
  <c r="AD71" i="3"/>
  <c r="O71" i="15" s="1"/>
  <c r="AL73" i="3"/>
  <c r="AR70" i="19"/>
  <c r="V71" i="17"/>
  <c r="AA71" i="17"/>
  <c r="U71" i="19"/>
  <c r="U71" i="17"/>
  <c r="AB71" i="17"/>
  <c r="AA71" i="19"/>
  <c r="O71" i="17"/>
  <c r="V71" i="19"/>
  <c r="I71" i="19"/>
  <c r="O71" i="19"/>
  <c r="I71" i="17"/>
  <c r="AB71" i="19"/>
  <c r="AL35" i="14"/>
  <c r="AM35" i="14" s="1"/>
  <c r="AN35" i="14" s="1"/>
  <c r="C71" i="19"/>
  <c r="E72" i="19"/>
  <c r="AZ71" i="19"/>
  <c r="H36" i="14"/>
  <c r="F37" i="14" s="1"/>
  <c r="G37" i="14" s="1"/>
  <c r="AR37" i="14" s="1"/>
  <c r="AI35" i="14"/>
  <c r="AJ35" i="14" s="1"/>
  <c r="AK35" i="14" s="1"/>
  <c r="AZ71" i="16"/>
  <c r="BD71" i="16"/>
  <c r="E72" i="16"/>
  <c r="C71" i="16"/>
  <c r="AR70" i="16"/>
  <c r="J68" i="18"/>
  <c r="L68" i="18" s="1"/>
  <c r="I69" i="18" s="1"/>
  <c r="O69" i="18"/>
  <c r="AU69" i="18"/>
  <c r="AQ69" i="18"/>
  <c r="AS69" i="18"/>
  <c r="K69" i="18"/>
  <c r="AZ70" i="17"/>
  <c r="E71" i="17"/>
  <c r="C70" i="17"/>
  <c r="BG34" i="14"/>
  <c r="AZ34" i="14"/>
  <c r="BC34" i="14" s="1"/>
  <c r="E71" i="18"/>
  <c r="C70" i="18"/>
  <c r="AZ70" i="18"/>
  <c r="E73" i="15"/>
  <c r="AZ72" i="15"/>
  <c r="C72" i="15"/>
  <c r="H34" i="18"/>
  <c r="T52" i="18"/>
  <c r="S53" i="18" s="1"/>
  <c r="L47" i="15"/>
  <c r="I48" i="15" s="1"/>
  <c r="J48" i="15" s="1"/>
  <c r="V74" i="3"/>
  <c r="X74" i="3" s="1"/>
  <c r="G75" i="3"/>
  <c r="AV74" i="3"/>
  <c r="AX74" i="3" s="1"/>
  <c r="AG73" i="3"/>
  <c r="A74" i="3"/>
  <c r="BI74" i="3" s="1"/>
  <c r="BJ74" i="3" s="1"/>
  <c r="AH73" i="3"/>
  <c r="BD72" i="3"/>
  <c r="Y73" i="3"/>
  <c r="AC72" i="3"/>
  <c r="AW76" i="3"/>
  <c r="AQ76" i="3"/>
  <c r="AM73" i="3"/>
  <c r="P76" i="3"/>
  <c r="H73" i="3"/>
  <c r="AF72" i="3"/>
  <c r="AD72" i="3" s="1"/>
  <c r="BC72" i="3"/>
  <c r="AE73" i="3"/>
  <c r="S35" i="25" l="1"/>
  <c r="W35" i="25" s="1"/>
  <c r="R36" i="25" s="1"/>
  <c r="T35" i="25"/>
  <c r="AT34" i="25"/>
  <c r="AE34" i="25"/>
  <c r="AD35" i="25" s="1"/>
  <c r="T36" i="24"/>
  <c r="S37" i="24" s="1"/>
  <c r="P36" i="24"/>
  <c r="M37" i="24" s="1"/>
  <c r="O37" i="24" s="1"/>
  <c r="AP30" i="29"/>
  <c r="AW29" i="29"/>
  <c r="AX29" i="29" s="1"/>
  <c r="AY29" i="29" s="1"/>
  <c r="Q30" i="29"/>
  <c r="L31" i="29" s="1"/>
  <c r="P32" i="29" s="1"/>
  <c r="AL30" i="29"/>
  <c r="AM30" i="29" s="1"/>
  <c r="AN30" i="29" s="1"/>
  <c r="AW30" i="28"/>
  <c r="AX30" i="28" s="1"/>
  <c r="AY30" i="28" s="1"/>
  <c r="O31" i="29"/>
  <c r="Q98" i="23"/>
  <c r="L99" i="23" s="1"/>
  <c r="V52" i="28"/>
  <c r="S52" i="28"/>
  <c r="W52" i="28" s="1"/>
  <c r="R53" i="28" s="1"/>
  <c r="T52" i="28"/>
  <c r="AE51" i="28"/>
  <c r="AD52" i="28" s="1"/>
  <c r="AT51" i="28"/>
  <c r="Z41" i="29"/>
  <c r="AA41" i="29"/>
  <c r="AE41" i="29" s="1"/>
  <c r="AD42" i="29" s="1"/>
  <c r="AR76" i="3"/>
  <c r="AL74" i="3"/>
  <c r="AT37" i="24"/>
  <c r="BB74" i="3"/>
  <c r="AN74" i="20"/>
  <c r="K40" i="24"/>
  <c r="J40" i="24"/>
  <c r="Z33" i="25"/>
  <c r="Y33" i="25"/>
  <c r="AC33" i="25" s="1"/>
  <c r="X34" i="25" s="1"/>
  <c r="P74" i="20"/>
  <c r="R52" i="23"/>
  <c r="Q53" i="23" s="1"/>
  <c r="AT53" i="23" s="1"/>
  <c r="K71" i="15"/>
  <c r="AK72" i="3"/>
  <c r="BG72" i="3" s="1"/>
  <c r="J60" i="26"/>
  <c r="L60" i="26" s="1"/>
  <c r="I61" i="26" s="1"/>
  <c r="O75" i="20"/>
  <c r="AQ74" i="20"/>
  <c r="AR74" i="20" s="1"/>
  <c r="R46" i="26"/>
  <c r="Q47" i="26" s="1"/>
  <c r="AT46" i="26"/>
  <c r="AJ71" i="3"/>
  <c r="BF71" i="3" s="1"/>
  <c r="AI71" i="3"/>
  <c r="BE71" i="3" s="1"/>
  <c r="T42" i="15"/>
  <c r="S43" i="15" s="1"/>
  <c r="T56" i="29"/>
  <c r="S56" i="29"/>
  <c r="W56" i="29" s="1"/>
  <c r="R57" i="29" s="1"/>
  <c r="U57" i="29" s="1"/>
  <c r="C70" i="29"/>
  <c r="AZ70" i="29"/>
  <c r="E71" i="29"/>
  <c r="AJ30" i="29"/>
  <c r="AK30" i="29" s="1"/>
  <c r="J32" i="29"/>
  <c r="H31" i="29"/>
  <c r="G31" i="29"/>
  <c r="Y41" i="29"/>
  <c r="F29" i="26"/>
  <c r="G29" i="26" s="1"/>
  <c r="AR29" i="26" s="1"/>
  <c r="AL28" i="26"/>
  <c r="AM28" i="26" s="1"/>
  <c r="AN28" i="26" s="1"/>
  <c r="AI28" i="26"/>
  <c r="AJ28" i="26" s="1"/>
  <c r="AK28" i="26" s="1"/>
  <c r="O70" i="26"/>
  <c r="K70" i="26"/>
  <c r="AS70" i="26"/>
  <c r="AU70" i="26"/>
  <c r="AQ70" i="26"/>
  <c r="C71" i="26"/>
  <c r="AZ71" i="26"/>
  <c r="E72" i="26"/>
  <c r="P49" i="26"/>
  <c r="M50" i="26" s="1"/>
  <c r="N50" i="26" s="1"/>
  <c r="AO31" i="28"/>
  <c r="AL31" i="28"/>
  <c r="AM31" i="28" s="1"/>
  <c r="AN31" i="28" s="1"/>
  <c r="C71" i="28"/>
  <c r="AZ71" i="28"/>
  <c r="E72" i="28"/>
  <c r="AG40" i="28"/>
  <c r="AF41" i="28" s="1"/>
  <c r="AC40" i="28"/>
  <c r="X41" i="28" s="1"/>
  <c r="AB41" i="28" s="1"/>
  <c r="AV97" i="23"/>
  <c r="AZ97" i="23" s="1"/>
  <c r="BC97" i="23" s="1"/>
  <c r="AL31" i="25"/>
  <c r="AM31" i="25" s="1"/>
  <c r="AN31" i="25" s="1"/>
  <c r="F32" i="25"/>
  <c r="AQ31" i="25"/>
  <c r="AU31" i="25"/>
  <c r="AI31" i="25"/>
  <c r="AS31" i="25"/>
  <c r="AR70" i="25"/>
  <c r="U70" i="25"/>
  <c r="AB70" i="25"/>
  <c r="V70" i="25"/>
  <c r="AA70" i="25"/>
  <c r="BA71" i="25"/>
  <c r="BB71" i="25"/>
  <c r="BC71" i="25"/>
  <c r="AO31" i="25"/>
  <c r="L33" i="25"/>
  <c r="BD71" i="25"/>
  <c r="AZ71" i="25"/>
  <c r="C71" i="25"/>
  <c r="E72" i="25"/>
  <c r="AU70" i="24"/>
  <c r="AQ70" i="24"/>
  <c r="AS70" i="24"/>
  <c r="F28" i="24"/>
  <c r="AL27" i="24"/>
  <c r="AM27" i="24" s="1"/>
  <c r="AI27" i="24"/>
  <c r="AJ27" i="24" s="1"/>
  <c r="C71" i="24"/>
  <c r="AZ71" i="24"/>
  <c r="E72" i="24"/>
  <c r="H98" i="23"/>
  <c r="G98" i="23"/>
  <c r="K98" i="23" s="1"/>
  <c r="F99" i="23" s="1"/>
  <c r="I99" i="23" s="1"/>
  <c r="AR99" i="23" s="1"/>
  <c r="J99" i="23"/>
  <c r="O72" i="15"/>
  <c r="AQ72" i="15"/>
  <c r="AS72" i="15"/>
  <c r="AU72" i="15"/>
  <c r="K72" i="15"/>
  <c r="H28" i="15"/>
  <c r="P42" i="15"/>
  <c r="M43" i="15" s="1"/>
  <c r="N43" i="15" s="1"/>
  <c r="AZ27" i="23"/>
  <c r="BC27" i="23" s="1"/>
  <c r="F29" i="23"/>
  <c r="AI28" i="23"/>
  <c r="AL28" i="23"/>
  <c r="K31" i="28"/>
  <c r="O69" i="25"/>
  <c r="I69" i="25"/>
  <c r="AT49" i="14"/>
  <c r="R49" i="14"/>
  <c r="Q50" i="14" s="1"/>
  <c r="R41" i="15"/>
  <c r="Q42" i="15" s="1"/>
  <c r="AT42" i="15" s="1"/>
  <c r="AJ72" i="3"/>
  <c r="BF72" i="3" s="1"/>
  <c r="AT51" i="18"/>
  <c r="R51" i="18"/>
  <c r="Q52" i="18" s="1"/>
  <c r="AT52" i="18" s="1"/>
  <c r="AR71" i="19"/>
  <c r="AM74" i="3"/>
  <c r="AB72" i="17"/>
  <c r="O72" i="17"/>
  <c r="V72" i="17"/>
  <c r="V72" i="19"/>
  <c r="U72" i="17"/>
  <c r="O72" i="19"/>
  <c r="AB72" i="19"/>
  <c r="I72" i="19"/>
  <c r="I72" i="17"/>
  <c r="U72" i="19"/>
  <c r="AA72" i="17"/>
  <c r="AA72" i="19"/>
  <c r="H37" i="14"/>
  <c r="F38" i="14" s="1"/>
  <c r="G38" i="14" s="1"/>
  <c r="AR38" i="14" s="1"/>
  <c r="AL36" i="14"/>
  <c r="AM36" i="14" s="1"/>
  <c r="AI36" i="14"/>
  <c r="AJ36" i="14" s="1"/>
  <c r="AV35" i="14"/>
  <c r="AZ35" i="14" s="1"/>
  <c r="BC35" i="14" s="1"/>
  <c r="E73" i="19"/>
  <c r="AZ72" i="19"/>
  <c r="C72" i="19"/>
  <c r="BD72" i="16"/>
  <c r="E73" i="16"/>
  <c r="AZ72" i="16"/>
  <c r="C72" i="16"/>
  <c r="AR71" i="16"/>
  <c r="J69" i="18"/>
  <c r="L69" i="18" s="1"/>
  <c r="I70" i="18" s="1"/>
  <c r="AU70" i="18"/>
  <c r="AS70" i="18"/>
  <c r="AQ70" i="18"/>
  <c r="O70" i="18"/>
  <c r="K70" i="18"/>
  <c r="E72" i="18"/>
  <c r="AZ71" i="18"/>
  <c r="C71" i="18"/>
  <c r="C71" i="17"/>
  <c r="AZ71" i="17"/>
  <c r="E72" i="17"/>
  <c r="E74" i="15"/>
  <c r="C73" i="15"/>
  <c r="AZ73" i="15"/>
  <c r="F35" i="18"/>
  <c r="AL34" i="18"/>
  <c r="AI34" i="18"/>
  <c r="AJ34" i="18" s="1"/>
  <c r="AK34" i="18" s="1"/>
  <c r="P52" i="18"/>
  <c r="M53" i="18" s="1"/>
  <c r="N53" i="18" s="1"/>
  <c r="AG74" i="3"/>
  <c r="AI72" i="3"/>
  <c r="BE72" i="3" s="1"/>
  <c r="H74" i="3"/>
  <c r="AF73" i="3"/>
  <c r="AD73" i="3" s="1"/>
  <c r="AQ77" i="3"/>
  <c r="Y74" i="3"/>
  <c r="AC73" i="3"/>
  <c r="AH74" i="3"/>
  <c r="BD73" i="3"/>
  <c r="A75" i="3"/>
  <c r="BI75" i="3" s="1"/>
  <c r="BJ75" i="3" s="1"/>
  <c r="G76" i="3"/>
  <c r="AV75" i="3"/>
  <c r="AX75" i="3" s="1"/>
  <c r="V75" i="3"/>
  <c r="X75" i="3" s="1"/>
  <c r="BC73" i="3"/>
  <c r="AE74" i="3"/>
  <c r="P77" i="3"/>
  <c r="P78" i="3" s="1"/>
  <c r="AW77" i="3"/>
  <c r="AN77" i="3"/>
  <c r="AN78" i="3" s="1"/>
  <c r="AE35" i="25" l="1"/>
  <c r="AD36" i="25" s="1"/>
  <c r="AT35" i="25"/>
  <c r="T36" i="25"/>
  <c r="S36" i="25"/>
  <c r="W36" i="25" s="1"/>
  <c r="R37" i="25" s="1"/>
  <c r="N37" i="24"/>
  <c r="P37" i="24" s="1"/>
  <c r="M38" i="24" s="1"/>
  <c r="AG41" i="29"/>
  <c r="AF42" i="29" s="1"/>
  <c r="M31" i="29"/>
  <c r="Q31" i="29" s="1"/>
  <c r="L32" i="29" s="1"/>
  <c r="P33" i="29" s="1"/>
  <c r="AU30" i="29"/>
  <c r="N31" i="29"/>
  <c r="AP31" i="29" s="1"/>
  <c r="AQ30" i="29"/>
  <c r="AS30" i="29"/>
  <c r="O99" i="23"/>
  <c r="P100" i="23"/>
  <c r="M99" i="23"/>
  <c r="N99" i="23"/>
  <c r="V53" i="28"/>
  <c r="S53" i="28"/>
  <c r="W53" i="28" s="1"/>
  <c r="R54" i="28" s="1"/>
  <c r="T53" i="28"/>
  <c r="AE52" i="28"/>
  <c r="AD53" i="28" s="1"/>
  <c r="AT52" i="28"/>
  <c r="AT42" i="29"/>
  <c r="AR77" i="3"/>
  <c r="BB75" i="3"/>
  <c r="L40" i="24"/>
  <c r="I41" i="24" s="1"/>
  <c r="Z34" i="25"/>
  <c r="Y34" i="25"/>
  <c r="AC34" i="25" s="1"/>
  <c r="X35" i="25" s="1"/>
  <c r="AG33" i="25"/>
  <c r="AF34" i="25" s="1"/>
  <c r="R53" i="23"/>
  <c r="Q54" i="23" s="1"/>
  <c r="AT54" i="23" s="1"/>
  <c r="AK73" i="3"/>
  <c r="BG73" i="3" s="1"/>
  <c r="J61" i="26"/>
  <c r="L61" i="26" s="1"/>
  <c r="I62" i="26" s="1"/>
  <c r="P75" i="20"/>
  <c r="O76" i="20"/>
  <c r="AQ75" i="20"/>
  <c r="AR75" i="20" s="1"/>
  <c r="R47" i="26"/>
  <c r="Q48" i="26" s="1"/>
  <c r="AT47" i="26"/>
  <c r="AN75" i="20"/>
  <c r="T43" i="15"/>
  <c r="S44" i="15" s="1"/>
  <c r="T57" i="29"/>
  <c r="S57" i="29"/>
  <c r="W57" i="29" s="1"/>
  <c r="R58" i="29" s="1"/>
  <c r="U58" i="29" s="1"/>
  <c r="K31" i="29"/>
  <c r="AZ71" i="29"/>
  <c r="C71" i="29"/>
  <c r="E72" i="29"/>
  <c r="AW28" i="26"/>
  <c r="AX28" i="26" s="1"/>
  <c r="AY28" i="26" s="1"/>
  <c r="H29" i="26"/>
  <c r="AL29" i="26" s="1"/>
  <c r="K71" i="26"/>
  <c r="O71" i="26"/>
  <c r="AQ71" i="26"/>
  <c r="AS71" i="26"/>
  <c r="AU71" i="26"/>
  <c r="AZ72" i="26"/>
  <c r="C72" i="26"/>
  <c r="E73" i="26"/>
  <c r="AQ31" i="28"/>
  <c r="AS31" i="28"/>
  <c r="AU31" i="28"/>
  <c r="Z41" i="28"/>
  <c r="Y41" i="28"/>
  <c r="F32" i="28"/>
  <c r="I32" i="28" s="1"/>
  <c r="Q32" i="28" s="1"/>
  <c r="L33" i="28" s="1"/>
  <c r="AJ31" i="28"/>
  <c r="AK31" i="28" s="1"/>
  <c r="AZ72" i="28"/>
  <c r="C72" i="28"/>
  <c r="E73" i="28"/>
  <c r="BG97" i="23"/>
  <c r="AN27" i="24"/>
  <c r="AK27" i="24"/>
  <c r="G32" i="25"/>
  <c r="K32" i="25" s="1"/>
  <c r="J33" i="25"/>
  <c r="H32" i="25"/>
  <c r="AP32" i="25" s="1"/>
  <c r="AJ31" i="25"/>
  <c r="AK31" i="25" s="1"/>
  <c r="AW31" i="25" s="1"/>
  <c r="AX31" i="25" s="1"/>
  <c r="AY31" i="25" s="1"/>
  <c r="BA72" i="25"/>
  <c r="BB72" i="25"/>
  <c r="BC72" i="25"/>
  <c r="AB71" i="25"/>
  <c r="AR71" i="25"/>
  <c r="AA71" i="25"/>
  <c r="U71" i="25"/>
  <c r="V71" i="25"/>
  <c r="C72" i="25"/>
  <c r="AZ72" i="25"/>
  <c r="BD72" i="25"/>
  <c r="E73" i="25"/>
  <c r="P34" i="25"/>
  <c r="N33" i="25"/>
  <c r="M33" i="25"/>
  <c r="AS71" i="24"/>
  <c r="AU71" i="24"/>
  <c r="AQ71" i="24"/>
  <c r="C72" i="24"/>
  <c r="AZ72" i="24"/>
  <c r="E73" i="24"/>
  <c r="AO98" i="23"/>
  <c r="AP98" i="23"/>
  <c r="H99" i="23"/>
  <c r="J100" i="23"/>
  <c r="G99" i="23"/>
  <c r="K99" i="23" s="1"/>
  <c r="F100" i="23" s="1"/>
  <c r="I100" i="23" s="1"/>
  <c r="AR100" i="23" s="1"/>
  <c r="AS98" i="23"/>
  <c r="G28" i="24"/>
  <c r="AR28" i="24" s="1"/>
  <c r="AQ98" i="23"/>
  <c r="AU98" i="23"/>
  <c r="AI98" i="23"/>
  <c r="AJ98" i="23" s="1"/>
  <c r="AK98" i="23" s="1"/>
  <c r="AL98" i="23"/>
  <c r="AM98" i="23" s="1"/>
  <c r="AN98" i="23" s="1"/>
  <c r="F29" i="15"/>
  <c r="AL28" i="15"/>
  <c r="AM28" i="15" s="1"/>
  <c r="AN28" i="15" s="1"/>
  <c r="AI28" i="15"/>
  <c r="AJ28" i="15" s="1"/>
  <c r="AK28" i="15" s="1"/>
  <c r="AS73" i="15"/>
  <c r="AU73" i="15"/>
  <c r="K73" i="15"/>
  <c r="AQ73" i="15"/>
  <c r="O73" i="15"/>
  <c r="P43" i="15"/>
  <c r="M44" i="15" s="1"/>
  <c r="N44" i="15" s="1"/>
  <c r="G29" i="23"/>
  <c r="AR29" i="23" s="1"/>
  <c r="AJ28" i="23"/>
  <c r="AK28" i="23" s="1"/>
  <c r="AM28" i="23"/>
  <c r="AN28" i="23" s="1"/>
  <c r="AC41" i="29"/>
  <c r="X42" i="29" s="1"/>
  <c r="O70" i="25"/>
  <c r="I70" i="25"/>
  <c r="AG122" i="23"/>
  <c r="AF123" i="23" s="1"/>
  <c r="AG123" i="23" s="1"/>
  <c r="R52" i="18"/>
  <c r="Q53" i="18" s="1"/>
  <c r="AT53" i="18" s="1"/>
  <c r="AT50" i="14"/>
  <c r="R50" i="14"/>
  <c r="Q51" i="14" s="1"/>
  <c r="R42" i="15"/>
  <c r="Q43" i="15" s="1"/>
  <c r="AT43" i="15" s="1"/>
  <c r="AJ73" i="3"/>
  <c r="BF73" i="3" s="1"/>
  <c r="AR72" i="19"/>
  <c r="AN36" i="14"/>
  <c r="L48" i="15"/>
  <c r="I49" i="15" s="1"/>
  <c r="J49" i="15" s="1"/>
  <c r="V73" i="17"/>
  <c r="U73" i="17"/>
  <c r="AA73" i="19"/>
  <c r="I73" i="19"/>
  <c r="O73" i="17"/>
  <c r="AA73" i="17"/>
  <c r="AB73" i="19"/>
  <c r="I73" i="17"/>
  <c r="V73" i="19"/>
  <c r="U73" i="19"/>
  <c r="AB73" i="17"/>
  <c r="O73" i="19"/>
  <c r="H38" i="14"/>
  <c r="AL38" i="14" s="1"/>
  <c r="AM38" i="14" s="1"/>
  <c r="BG35" i="14"/>
  <c r="AL37" i="14"/>
  <c r="AM37" i="14" s="1"/>
  <c r="AI37" i="14"/>
  <c r="AJ37" i="14" s="1"/>
  <c r="AK36" i="14"/>
  <c r="C73" i="19"/>
  <c r="E74" i="19"/>
  <c r="AZ73" i="19"/>
  <c r="AR72" i="16"/>
  <c r="E74" i="16"/>
  <c r="AZ73" i="16"/>
  <c r="C73" i="16"/>
  <c r="BD73" i="16"/>
  <c r="J70" i="18"/>
  <c r="L70" i="18" s="1"/>
  <c r="I71" i="18" s="1"/>
  <c r="AZ72" i="18"/>
  <c r="C72" i="18"/>
  <c r="E73" i="18"/>
  <c r="K71" i="18"/>
  <c r="O71" i="18"/>
  <c r="AS71" i="18"/>
  <c r="AU71" i="18"/>
  <c r="AQ71" i="18"/>
  <c r="C72" i="17"/>
  <c r="E73" i="17"/>
  <c r="AZ72" i="17"/>
  <c r="G35" i="18"/>
  <c r="AR35" i="18" s="1"/>
  <c r="AM34" i="18"/>
  <c r="AN34" i="18" s="1"/>
  <c r="AW34" i="18" s="1"/>
  <c r="AX34" i="18" s="1"/>
  <c r="AY34" i="18" s="1"/>
  <c r="C74" i="15"/>
  <c r="E75" i="15"/>
  <c r="AZ74" i="15"/>
  <c r="T53" i="18"/>
  <c r="S54" i="18" s="1"/>
  <c r="A76" i="3"/>
  <c r="BI76" i="3" s="1"/>
  <c r="BJ76" i="3" s="1"/>
  <c r="AI73" i="3"/>
  <c r="BE73" i="3" s="1"/>
  <c r="AM75" i="3"/>
  <c r="AN79" i="3"/>
  <c r="BC74" i="3"/>
  <c r="AE75" i="3"/>
  <c r="Y75" i="3"/>
  <c r="AC74" i="3"/>
  <c r="H75" i="3"/>
  <c r="AF74" i="3"/>
  <c r="AD74" i="3" s="1"/>
  <c r="AG75" i="3"/>
  <c r="AW78" i="3"/>
  <c r="V76" i="3"/>
  <c r="X76" i="3" s="1"/>
  <c r="G77" i="3"/>
  <c r="AV76" i="3"/>
  <c r="AX76" i="3" s="1"/>
  <c r="AH75" i="3"/>
  <c r="BD74" i="3"/>
  <c r="AQ78" i="3"/>
  <c r="AL75" i="3"/>
  <c r="AT36" i="25" l="1"/>
  <c r="AE36" i="25"/>
  <c r="AD37" i="25" s="1"/>
  <c r="T37" i="25"/>
  <c r="S37" i="25"/>
  <c r="W37" i="25" s="1"/>
  <c r="R38" i="25" s="1"/>
  <c r="R37" i="24"/>
  <c r="Q38" i="24" s="1"/>
  <c r="AT38" i="24" s="1"/>
  <c r="T37" i="24"/>
  <c r="S38" i="24" s="1"/>
  <c r="AW30" i="29"/>
  <c r="AX30" i="29" s="1"/>
  <c r="AY30" i="29" s="1"/>
  <c r="AL31" i="29"/>
  <c r="AM31" i="29" s="1"/>
  <c r="AN31" i="29" s="1"/>
  <c r="AO31" i="29"/>
  <c r="AI31" i="29"/>
  <c r="AJ31" i="29" s="1"/>
  <c r="AK31" i="29" s="1"/>
  <c r="O32" i="29"/>
  <c r="M32" i="29"/>
  <c r="N32" i="29"/>
  <c r="Q99" i="23"/>
  <c r="L100" i="23" s="1"/>
  <c r="N100" i="23" s="1"/>
  <c r="Z42" i="29"/>
  <c r="AA42" i="29"/>
  <c r="AE42" i="29" s="1"/>
  <c r="AD43" i="29" s="1"/>
  <c r="V54" i="28"/>
  <c r="T54" i="28"/>
  <c r="S54" i="28"/>
  <c r="W54" i="28" s="1"/>
  <c r="R55" i="28" s="1"/>
  <c r="AE53" i="28"/>
  <c r="AD54" i="28" s="1"/>
  <c r="AT53" i="28"/>
  <c r="O33" i="28"/>
  <c r="M33" i="28"/>
  <c r="N33" i="28"/>
  <c r="P34" i="28"/>
  <c r="AR78" i="3"/>
  <c r="N38" i="24"/>
  <c r="O38" i="24"/>
  <c r="BB76" i="3"/>
  <c r="Y35" i="25"/>
  <c r="AC35" i="25" s="1"/>
  <c r="X36" i="25" s="1"/>
  <c r="Z35" i="25"/>
  <c r="AG34" i="25"/>
  <c r="AF35" i="25" s="1"/>
  <c r="K41" i="24"/>
  <c r="J41" i="24"/>
  <c r="P76" i="20"/>
  <c r="AL76" i="3"/>
  <c r="R54" i="23"/>
  <c r="Q55" i="23" s="1"/>
  <c r="AK74" i="3"/>
  <c r="BG74" i="3" s="1"/>
  <c r="AT48" i="26"/>
  <c r="R48" i="26"/>
  <c r="Q49" i="26" s="1"/>
  <c r="AN76" i="20"/>
  <c r="O77" i="20"/>
  <c r="AQ76" i="20"/>
  <c r="AR76" i="20" s="1"/>
  <c r="J62" i="26"/>
  <c r="L62" i="26" s="1"/>
  <c r="I63" i="26" s="1"/>
  <c r="T44" i="15"/>
  <c r="S45" i="15" s="1"/>
  <c r="F30" i="26"/>
  <c r="G30" i="26" s="1"/>
  <c r="AR30" i="26" s="1"/>
  <c r="T58" i="29"/>
  <c r="S58" i="29"/>
  <c r="W58" i="29" s="1"/>
  <c r="R59" i="29" s="1"/>
  <c r="U59" i="29" s="1"/>
  <c r="C72" i="29"/>
  <c r="AZ72" i="29"/>
  <c r="E73" i="29"/>
  <c r="F32" i="29"/>
  <c r="AU31" i="29"/>
  <c r="AS31" i="29"/>
  <c r="AQ31" i="29"/>
  <c r="Y42" i="29"/>
  <c r="AI29" i="26"/>
  <c r="AJ29" i="26" s="1"/>
  <c r="AK29" i="26" s="1"/>
  <c r="O72" i="26"/>
  <c r="AQ72" i="26"/>
  <c r="AS72" i="26"/>
  <c r="AU72" i="26"/>
  <c r="K72" i="26"/>
  <c r="AM29" i="26"/>
  <c r="AN29" i="26" s="1"/>
  <c r="AZ73" i="26"/>
  <c r="C73" i="26"/>
  <c r="E74" i="26"/>
  <c r="T50" i="26"/>
  <c r="S51" i="26" s="1"/>
  <c r="P50" i="26"/>
  <c r="M51" i="26" s="1"/>
  <c r="AL32" i="25"/>
  <c r="AM32" i="25" s="1"/>
  <c r="AN32" i="25" s="1"/>
  <c r="J33" i="28"/>
  <c r="H32" i="28"/>
  <c r="AP32" i="28" s="1"/>
  <c r="G32" i="28"/>
  <c r="AL32" i="28" s="1"/>
  <c r="AG41" i="28"/>
  <c r="AF42" i="28" s="1"/>
  <c r="AC41" i="28"/>
  <c r="X42" i="28" s="1"/>
  <c r="AB42" i="28" s="1"/>
  <c r="C73" i="28"/>
  <c r="AZ73" i="28"/>
  <c r="E74" i="28"/>
  <c r="AW27" i="24"/>
  <c r="AX27" i="24" s="1"/>
  <c r="AY27" i="24" s="1"/>
  <c r="F33" i="25"/>
  <c r="AI32" i="25"/>
  <c r="AS32" i="25"/>
  <c r="AU32" i="25"/>
  <c r="AQ32" i="25"/>
  <c r="AO32" i="25"/>
  <c r="AA72" i="25"/>
  <c r="AB72" i="25"/>
  <c r="AR72" i="25"/>
  <c r="V72" i="25"/>
  <c r="U72" i="25"/>
  <c r="BA73" i="25"/>
  <c r="BB73" i="25"/>
  <c r="BC73" i="25"/>
  <c r="Q33" i="25"/>
  <c r="C73" i="25"/>
  <c r="AZ73" i="25"/>
  <c r="BD73" i="25"/>
  <c r="E74" i="25"/>
  <c r="AQ72" i="24"/>
  <c r="AS72" i="24"/>
  <c r="AU72" i="24"/>
  <c r="C73" i="24"/>
  <c r="AZ73" i="24"/>
  <c r="E74" i="24"/>
  <c r="AW28" i="15"/>
  <c r="AX28" i="15" s="1"/>
  <c r="AY28" i="15" s="1"/>
  <c r="AV98" i="23"/>
  <c r="BG98" i="23" s="1"/>
  <c r="AP99" i="23"/>
  <c r="AO99" i="23"/>
  <c r="AI99" i="23"/>
  <c r="AJ99" i="23" s="1"/>
  <c r="AK99" i="23" s="1"/>
  <c r="AL99" i="23"/>
  <c r="AM99" i="23" s="1"/>
  <c r="AN99" i="23" s="1"/>
  <c r="G100" i="23"/>
  <c r="H100" i="23"/>
  <c r="J101" i="23"/>
  <c r="H28" i="24"/>
  <c r="G29" i="15"/>
  <c r="AR29" i="15" s="1"/>
  <c r="K74" i="15"/>
  <c r="O74" i="15"/>
  <c r="AQ74" i="15"/>
  <c r="AS74" i="15"/>
  <c r="AU74" i="15"/>
  <c r="P44" i="15"/>
  <c r="M45" i="15" s="1"/>
  <c r="N45" i="15" s="1"/>
  <c r="AV28" i="23"/>
  <c r="AZ28" i="23" s="1"/>
  <c r="BC28" i="23" s="1"/>
  <c r="H29" i="23"/>
  <c r="AW31" i="28"/>
  <c r="AX31" i="28" s="1"/>
  <c r="AY31" i="28" s="1"/>
  <c r="I71" i="25"/>
  <c r="O71" i="25"/>
  <c r="AJ74" i="3"/>
  <c r="BF74" i="3" s="1"/>
  <c r="R43" i="15"/>
  <c r="Q44" i="15" s="1"/>
  <c r="AT44" i="15" s="1"/>
  <c r="AT51" i="14"/>
  <c r="R51" i="14"/>
  <c r="Q52" i="14" s="1"/>
  <c r="AV36" i="14"/>
  <c r="AZ36" i="14" s="1"/>
  <c r="AM76" i="3"/>
  <c r="L49" i="15"/>
  <c r="I50" i="15" s="1"/>
  <c r="J50" i="15" s="1"/>
  <c r="AR73" i="19"/>
  <c r="AB74" i="17"/>
  <c r="O74" i="17"/>
  <c r="U74" i="17"/>
  <c r="AB74" i="19"/>
  <c r="O74" i="19"/>
  <c r="I74" i="17"/>
  <c r="V74" i="19"/>
  <c r="AA74" i="17"/>
  <c r="U74" i="19"/>
  <c r="I74" i="19"/>
  <c r="V74" i="17"/>
  <c r="AA74" i="19"/>
  <c r="F39" i="14"/>
  <c r="G39" i="14" s="1"/>
  <c r="AR39" i="14" s="1"/>
  <c r="AI38" i="14"/>
  <c r="AJ38" i="14" s="1"/>
  <c r="AZ74" i="19"/>
  <c r="E75" i="19"/>
  <c r="C74" i="19"/>
  <c r="AR73" i="16"/>
  <c r="BD74" i="16"/>
  <c r="AZ74" i="16"/>
  <c r="E75" i="16"/>
  <c r="C74" i="16"/>
  <c r="J71" i="18"/>
  <c r="L71" i="18" s="1"/>
  <c r="I72" i="18" s="1"/>
  <c r="AZ73" i="17"/>
  <c r="E74" i="17"/>
  <c r="C73" i="17"/>
  <c r="E74" i="18"/>
  <c r="AZ73" i="18"/>
  <c r="C73" i="18"/>
  <c r="AU72" i="18"/>
  <c r="K72" i="18"/>
  <c r="AS72" i="18"/>
  <c r="O72" i="18"/>
  <c r="AQ72" i="18"/>
  <c r="H35" i="18"/>
  <c r="AL35" i="18" s="1"/>
  <c r="AM35" i="18" s="1"/>
  <c r="AN35" i="18" s="1"/>
  <c r="E76" i="15"/>
  <c r="AZ75" i="15"/>
  <c r="C75" i="15"/>
  <c r="P53" i="18"/>
  <c r="M54" i="18" s="1"/>
  <c r="N54" i="18" s="1"/>
  <c r="R53" i="18"/>
  <c r="Q54" i="18" s="1"/>
  <c r="AT54" i="18" s="1"/>
  <c r="AH76" i="3"/>
  <c r="BD75" i="3"/>
  <c r="AG76" i="3"/>
  <c r="Y76" i="3"/>
  <c r="AC75" i="3"/>
  <c r="A77" i="3"/>
  <c r="BI77" i="3" s="1"/>
  <c r="BJ77" i="3" s="1"/>
  <c r="AQ79" i="3"/>
  <c r="G78" i="3"/>
  <c r="AV77" i="3"/>
  <c r="AX77" i="3" s="1"/>
  <c r="V77" i="3"/>
  <c r="X77" i="3" s="1"/>
  <c r="AW79" i="3"/>
  <c r="AF75" i="3"/>
  <c r="AD75" i="3" s="1"/>
  <c r="H76" i="3"/>
  <c r="BC75" i="3"/>
  <c r="AE76" i="3"/>
  <c r="AI74" i="3"/>
  <c r="BE74" i="3" s="1"/>
  <c r="P79" i="3"/>
  <c r="P80" i="3" s="1"/>
  <c r="AE37" i="25" l="1"/>
  <c r="AD38" i="25" s="1"/>
  <c r="AT37" i="25"/>
  <c r="T38" i="25"/>
  <c r="S38" i="25"/>
  <c r="W38" i="25" s="1"/>
  <c r="R39" i="25" s="1"/>
  <c r="R55" i="23"/>
  <c r="AT55" i="23"/>
  <c r="AT66" i="23" s="1"/>
  <c r="T38" i="24"/>
  <c r="S39" i="24" s="1"/>
  <c r="O100" i="23"/>
  <c r="AU99" i="23"/>
  <c r="AS99" i="23"/>
  <c r="M100" i="23"/>
  <c r="AI100" i="23" s="1"/>
  <c r="AJ100" i="23" s="1"/>
  <c r="AK100" i="23" s="1"/>
  <c r="AQ99" i="23"/>
  <c r="P101" i="23"/>
  <c r="G32" i="29"/>
  <c r="AI32" i="29" s="1"/>
  <c r="AJ32" i="29" s="1"/>
  <c r="I32" i="29"/>
  <c r="V55" i="28"/>
  <c r="T55" i="28"/>
  <c r="S55" i="28"/>
  <c r="W55" i="28" s="1"/>
  <c r="R56" i="28" s="1"/>
  <c r="AE54" i="28"/>
  <c r="AD55" i="28" s="1"/>
  <c r="AT54" i="28"/>
  <c r="AT43" i="29"/>
  <c r="AG42" i="29"/>
  <c r="AF43" i="29" s="1"/>
  <c r="AR79" i="3"/>
  <c r="P38" i="24"/>
  <c r="M39" i="24" s="1"/>
  <c r="R38" i="24"/>
  <c r="Q39" i="24" s="1"/>
  <c r="BB77" i="3"/>
  <c r="AN77" i="20"/>
  <c r="L41" i="24"/>
  <c r="I42" i="24" s="1"/>
  <c r="AG35" i="25"/>
  <c r="AF36" i="25" s="1"/>
  <c r="Z36" i="25"/>
  <c r="Y36" i="25"/>
  <c r="AC36" i="25" s="1"/>
  <c r="X37" i="25" s="1"/>
  <c r="P77" i="20"/>
  <c r="AK75" i="3"/>
  <c r="BG75" i="3" s="1"/>
  <c r="J63" i="26"/>
  <c r="L63" i="26" s="1"/>
  <c r="I64" i="26" s="1"/>
  <c r="AT49" i="26"/>
  <c r="R49" i="26"/>
  <c r="Q50" i="26" s="1"/>
  <c r="O78" i="20"/>
  <c r="AQ77" i="20"/>
  <c r="AR77" i="20" s="1"/>
  <c r="AW31" i="29"/>
  <c r="AX31" i="29" s="1"/>
  <c r="AY31" i="29" s="1"/>
  <c r="T45" i="15"/>
  <c r="S46" i="15" s="1"/>
  <c r="T59" i="29"/>
  <c r="S59" i="29"/>
  <c r="W59" i="29" s="1"/>
  <c r="R60" i="29" s="1"/>
  <c r="U60" i="29" s="1"/>
  <c r="AZ73" i="29"/>
  <c r="C73" i="29"/>
  <c r="E74" i="29"/>
  <c r="H32" i="29"/>
  <c r="AP32" i="29" s="1"/>
  <c r="J33" i="29"/>
  <c r="AW29" i="26"/>
  <c r="AX29" i="26" s="1"/>
  <c r="AY29" i="26" s="1"/>
  <c r="H30" i="26"/>
  <c r="AS73" i="26"/>
  <c r="AU73" i="26"/>
  <c r="AQ73" i="26"/>
  <c r="K73" i="26"/>
  <c r="O73" i="26"/>
  <c r="N51" i="26"/>
  <c r="C74" i="26"/>
  <c r="AZ74" i="26"/>
  <c r="E75" i="26"/>
  <c r="AO32" i="28"/>
  <c r="AI32" i="28"/>
  <c r="AJ32" i="28" s="1"/>
  <c r="AK32" i="28" s="1"/>
  <c r="Z42" i="28"/>
  <c r="Y42" i="28"/>
  <c r="AG42" i="28" s="1"/>
  <c r="AF43" i="28" s="1"/>
  <c r="AZ74" i="28"/>
  <c r="C74" i="28"/>
  <c r="E75" i="28"/>
  <c r="G33" i="25"/>
  <c r="K33" i="25" s="1"/>
  <c r="H33" i="25"/>
  <c r="AP33" i="25" s="1"/>
  <c r="J34" i="25"/>
  <c r="BC74" i="25"/>
  <c r="BA74" i="25"/>
  <c r="BB74" i="25"/>
  <c r="AJ32" i="25"/>
  <c r="AK32" i="25" s="1"/>
  <c r="AW32" i="25" s="1"/>
  <c r="AX32" i="25" s="1"/>
  <c r="AY32" i="25" s="1"/>
  <c r="V73" i="25"/>
  <c r="AA73" i="25"/>
  <c r="AB73" i="25"/>
  <c r="AR73" i="25"/>
  <c r="U73" i="25"/>
  <c r="C74" i="25"/>
  <c r="AZ74" i="25"/>
  <c r="BD74" i="25"/>
  <c r="E75" i="25"/>
  <c r="L34" i="25"/>
  <c r="AQ73" i="24"/>
  <c r="AS73" i="24"/>
  <c r="AU73" i="24"/>
  <c r="F29" i="24"/>
  <c r="AL28" i="24"/>
  <c r="AM28" i="24" s="1"/>
  <c r="AI28" i="24"/>
  <c r="AJ28" i="24" s="1"/>
  <c r="AZ74" i="24"/>
  <c r="C74" i="24"/>
  <c r="E75" i="24"/>
  <c r="AZ98" i="23"/>
  <c r="BC98" i="23" s="1"/>
  <c r="AP100" i="23"/>
  <c r="AO100" i="23"/>
  <c r="K100" i="23"/>
  <c r="H29" i="15"/>
  <c r="K75" i="15"/>
  <c r="O75" i="15"/>
  <c r="AQ75" i="15"/>
  <c r="AS75" i="15"/>
  <c r="AU75" i="15"/>
  <c r="P45" i="15"/>
  <c r="M46" i="15" s="1"/>
  <c r="N46" i="15" s="1"/>
  <c r="BG28" i="23"/>
  <c r="F30" i="23"/>
  <c r="AI29" i="23"/>
  <c r="AL29" i="23"/>
  <c r="AC42" i="29"/>
  <c r="X43" i="29" s="1"/>
  <c r="K32" i="28"/>
  <c r="I72" i="25"/>
  <c r="O72" i="25"/>
  <c r="AJ75" i="3"/>
  <c r="BF75" i="3" s="1"/>
  <c r="AT52" i="14"/>
  <c r="R52" i="14"/>
  <c r="Q53" i="14" s="1"/>
  <c r="R44" i="15"/>
  <c r="Q45" i="15" s="1"/>
  <c r="AT45" i="15" s="1"/>
  <c r="BG36" i="14"/>
  <c r="AM77" i="3"/>
  <c r="H39" i="14"/>
  <c r="AL39" i="14" s="1"/>
  <c r="AM39" i="14" s="1"/>
  <c r="V75" i="17"/>
  <c r="O75" i="17"/>
  <c r="U75" i="19"/>
  <c r="AB75" i="17"/>
  <c r="I75" i="17"/>
  <c r="U75" i="17"/>
  <c r="O75" i="19"/>
  <c r="AB75" i="19"/>
  <c r="I75" i="19"/>
  <c r="AA75" i="17"/>
  <c r="AA75" i="19"/>
  <c r="V75" i="19"/>
  <c r="AR74" i="19"/>
  <c r="AZ75" i="19"/>
  <c r="E76" i="19"/>
  <c r="C75" i="19"/>
  <c r="AZ75" i="16"/>
  <c r="C75" i="16"/>
  <c r="BD75" i="16"/>
  <c r="E76" i="16"/>
  <c r="AR74" i="16"/>
  <c r="AZ74" i="17"/>
  <c r="C74" i="17"/>
  <c r="E75" i="17"/>
  <c r="O73" i="18"/>
  <c r="AS73" i="18"/>
  <c r="AQ73" i="18"/>
  <c r="AU73" i="18"/>
  <c r="K73" i="18"/>
  <c r="J72" i="18"/>
  <c r="L72" i="18" s="1"/>
  <c r="I73" i="18" s="1"/>
  <c r="E75" i="18"/>
  <c r="C74" i="18"/>
  <c r="AZ74" i="18"/>
  <c r="AI35" i="18"/>
  <c r="AJ35" i="18" s="1"/>
  <c r="AK35" i="18" s="1"/>
  <c r="AW35" i="18" s="1"/>
  <c r="AX35" i="18" s="1"/>
  <c r="AY35" i="18" s="1"/>
  <c r="F36" i="18"/>
  <c r="G36" i="18" s="1"/>
  <c r="AR36" i="18" s="1"/>
  <c r="AZ76" i="15"/>
  <c r="E77" i="15"/>
  <c r="C76" i="15"/>
  <c r="R54" i="18"/>
  <c r="Q55" i="18" s="1"/>
  <c r="AT55" i="18" s="1"/>
  <c r="T54" i="18"/>
  <c r="S55" i="18" s="1"/>
  <c r="L50" i="15"/>
  <c r="I51" i="15" s="1"/>
  <c r="J51" i="15" s="1"/>
  <c r="AN37" i="14"/>
  <c r="BC36" i="14"/>
  <c r="AK37" i="14"/>
  <c r="BC76" i="3"/>
  <c r="AE77" i="3"/>
  <c r="AW80" i="3"/>
  <c r="V78" i="3"/>
  <c r="X78" i="3" s="1"/>
  <c r="G79" i="3"/>
  <c r="AV78" i="3"/>
  <c r="AX78" i="3" s="1"/>
  <c r="A78" i="3"/>
  <c r="BI78" i="3" s="1"/>
  <c r="BJ78" i="3" s="1"/>
  <c r="AG77" i="3"/>
  <c r="AQ80" i="3"/>
  <c r="AN80" i="3"/>
  <c r="H77" i="3"/>
  <c r="AF76" i="3"/>
  <c r="AK76" i="3" s="1"/>
  <c r="AI75" i="3"/>
  <c r="BE75" i="3" s="1"/>
  <c r="AL77" i="3"/>
  <c r="Y77" i="3"/>
  <c r="AC76" i="3"/>
  <c r="AH77" i="3"/>
  <c r="BD76" i="3"/>
  <c r="T39" i="25" l="1"/>
  <c r="S39" i="25"/>
  <c r="W39" i="25" s="1"/>
  <c r="R40" i="25" s="1"/>
  <c r="AE38" i="25"/>
  <c r="AD39" i="25" s="1"/>
  <c r="AT38" i="25"/>
  <c r="AL100" i="23"/>
  <c r="AM100" i="23" s="1"/>
  <c r="AN100" i="23" s="1"/>
  <c r="AV99" i="23"/>
  <c r="AZ99" i="23" s="1"/>
  <c r="BC99" i="23" s="1"/>
  <c r="Q100" i="23"/>
  <c r="L101" i="23" s="1"/>
  <c r="V56" i="28"/>
  <c r="S56" i="28"/>
  <c r="W56" i="28" s="1"/>
  <c r="R57" i="28" s="1"/>
  <c r="T56" i="28"/>
  <c r="AE55" i="28"/>
  <c r="AD56" i="28" s="1"/>
  <c r="AT55" i="28"/>
  <c r="K32" i="29"/>
  <c r="F33" i="29" s="1"/>
  <c r="I33" i="29" s="1"/>
  <c r="AR33" i="29" s="1"/>
  <c r="Z43" i="29"/>
  <c r="AA43" i="29"/>
  <c r="AE43" i="29" s="1"/>
  <c r="AD44" i="29" s="1"/>
  <c r="AR32" i="29"/>
  <c r="Q32" i="29"/>
  <c r="L33" i="29" s="1"/>
  <c r="AL32" i="29"/>
  <c r="AM32" i="29" s="1"/>
  <c r="AN32" i="29" s="1"/>
  <c r="AK32" i="29"/>
  <c r="AR80" i="3"/>
  <c r="AT39" i="24"/>
  <c r="N39" i="24"/>
  <c r="T39" i="24" s="1"/>
  <c r="S40" i="24" s="1"/>
  <c r="O39" i="24"/>
  <c r="AN78" i="20"/>
  <c r="BB78" i="3"/>
  <c r="AG36" i="25"/>
  <c r="AF37" i="25" s="1"/>
  <c r="Z37" i="25"/>
  <c r="Y37" i="25"/>
  <c r="AC37" i="25" s="1"/>
  <c r="X38" i="25" s="1"/>
  <c r="K42" i="24"/>
  <c r="J42" i="24"/>
  <c r="P78" i="20"/>
  <c r="AM78" i="3"/>
  <c r="J64" i="26"/>
  <c r="L64" i="26" s="1"/>
  <c r="I65" i="26" s="1"/>
  <c r="AT50" i="26"/>
  <c r="R50" i="26"/>
  <c r="Q51" i="26" s="1"/>
  <c r="AT51" i="26" s="1"/>
  <c r="O79" i="20"/>
  <c r="AQ78" i="20"/>
  <c r="AR78" i="20" s="1"/>
  <c r="BG76" i="3"/>
  <c r="T46" i="15"/>
  <c r="S47" i="15" s="1"/>
  <c r="T60" i="29"/>
  <c r="S60" i="29"/>
  <c r="W60" i="29" s="1"/>
  <c r="R61" i="29" s="1"/>
  <c r="U61" i="29" s="1"/>
  <c r="C74" i="29"/>
  <c r="AZ74" i="29"/>
  <c r="E75" i="29"/>
  <c r="AO32" i="29"/>
  <c r="Y43" i="29"/>
  <c r="P51" i="26"/>
  <c r="M52" i="26" s="1"/>
  <c r="N52" i="26" s="1"/>
  <c r="P52" i="26" s="1"/>
  <c r="M53" i="26" s="1"/>
  <c r="T51" i="26"/>
  <c r="S52" i="26" s="1"/>
  <c r="F31" i="26"/>
  <c r="AI30" i="26"/>
  <c r="AL30" i="26"/>
  <c r="AM30" i="26" s="1"/>
  <c r="AN30" i="26" s="1"/>
  <c r="O74" i="26"/>
  <c r="K74" i="26"/>
  <c r="AS74" i="26"/>
  <c r="AU74" i="26"/>
  <c r="AQ74" i="26"/>
  <c r="C75" i="26"/>
  <c r="AZ75" i="26"/>
  <c r="E76" i="26"/>
  <c r="AU32" i="28"/>
  <c r="AS32" i="28"/>
  <c r="AQ32" i="28"/>
  <c r="C75" i="28"/>
  <c r="AZ75" i="28"/>
  <c r="E76" i="28"/>
  <c r="AM32" i="28"/>
  <c r="AN32" i="28" s="1"/>
  <c r="F33" i="28"/>
  <c r="I33" i="28" s="1"/>
  <c r="Q33" i="28" s="1"/>
  <c r="L34" i="28" s="1"/>
  <c r="AC42" i="28"/>
  <c r="X43" i="28" s="1"/>
  <c r="AB43" i="28" s="1"/>
  <c r="AL33" i="25"/>
  <c r="AM33" i="25" s="1"/>
  <c r="AN33" i="25" s="1"/>
  <c r="F34" i="25"/>
  <c r="AS33" i="25"/>
  <c r="AU33" i="25"/>
  <c r="AI33" i="25"/>
  <c r="AJ33" i="25" s="1"/>
  <c r="AQ33" i="25"/>
  <c r="AK28" i="24"/>
  <c r="AN28" i="24"/>
  <c r="U74" i="25"/>
  <c r="V74" i="25"/>
  <c r="AA74" i="25"/>
  <c r="AB74" i="25"/>
  <c r="AR74" i="25"/>
  <c r="BC75" i="25"/>
  <c r="BB75" i="25"/>
  <c r="BA75" i="25"/>
  <c r="AO33" i="25"/>
  <c r="C75" i="25"/>
  <c r="AZ75" i="25"/>
  <c r="BD75" i="25"/>
  <c r="E76" i="25"/>
  <c r="P35" i="25"/>
  <c r="N34" i="25"/>
  <c r="M34" i="25"/>
  <c r="Q34" i="25" s="1"/>
  <c r="L35" i="25" s="1"/>
  <c r="AQ74" i="24"/>
  <c r="AS74" i="24"/>
  <c r="AU74" i="24"/>
  <c r="C75" i="24"/>
  <c r="AZ75" i="24"/>
  <c r="E76" i="24"/>
  <c r="G29" i="24"/>
  <c r="AR29" i="24" s="1"/>
  <c r="F101" i="23"/>
  <c r="I101" i="23" s="1"/>
  <c r="AR101" i="23" s="1"/>
  <c r="F30" i="15"/>
  <c r="AI29" i="15"/>
  <c r="AJ29" i="15" s="1"/>
  <c r="AK29" i="15" s="1"/>
  <c r="AL29" i="15"/>
  <c r="AQ76" i="15"/>
  <c r="AS76" i="15"/>
  <c r="AU76" i="15"/>
  <c r="P46" i="15"/>
  <c r="M47" i="15" s="1"/>
  <c r="N47" i="15" s="1"/>
  <c r="G30" i="23"/>
  <c r="AR30" i="23" s="1"/>
  <c r="AJ29" i="23"/>
  <c r="AK29" i="23" s="1"/>
  <c r="AM29" i="23"/>
  <c r="AN29" i="23" s="1"/>
  <c r="O73" i="25"/>
  <c r="I73" i="25"/>
  <c r="AT53" i="14"/>
  <c r="R53" i="14"/>
  <c r="Q54" i="14" s="1"/>
  <c r="R45" i="15"/>
  <c r="Q46" i="15" s="1"/>
  <c r="AT46" i="15" s="1"/>
  <c r="AL78" i="3"/>
  <c r="F40" i="14"/>
  <c r="G40" i="14" s="1"/>
  <c r="AR40" i="14" s="1"/>
  <c r="AI39" i="14"/>
  <c r="AJ39" i="14" s="1"/>
  <c r="AR75" i="19"/>
  <c r="Y73" i="14"/>
  <c r="Y37" i="13"/>
  <c r="M73" i="14"/>
  <c r="Q73" i="14" s="1"/>
  <c r="L74" i="14" s="1"/>
  <c r="G37" i="12"/>
  <c r="K37" i="12" s="1"/>
  <c r="F38" i="12" s="1"/>
  <c r="M37" i="12"/>
  <c r="Q37" i="12" s="1"/>
  <c r="L38" i="12" s="1"/>
  <c r="Y5" i="19"/>
  <c r="M5" i="17"/>
  <c r="Q5" i="17" s="1"/>
  <c r="L6" i="17" s="1"/>
  <c r="G73" i="14"/>
  <c r="M5" i="19"/>
  <c r="Q5" i="19" s="1"/>
  <c r="L6" i="19" s="1"/>
  <c r="S5" i="17"/>
  <c r="G37" i="13"/>
  <c r="G5" i="19"/>
  <c r="S73" i="14"/>
  <c r="S37" i="12"/>
  <c r="Y37" i="12"/>
  <c r="S37" i="13"/>
  <c r="G5" i="17"/>
  <c r="Y5" i="17"/>
  <c r="M37" i="13"/>
  <c r="Q37" i="13" s="1"/>
  <c r="S5" i="19"/>
  <c r="E77" i="19"/>
  <c r="AZ76" i="19"/>
  <c r="C76" i="19"/>
  <c r="AR75" i="16"/>
  <c r="C76" i="16"/>
  <c r="E77" i="16"/>
  <c r="AZ76" i="16"/>
  <c r="BD76" i="16"/>
  <c r="J73" i="18"/>
  <c r="L73" i="18" s="1"/>
  <c r="I74" i="18" s="1"/>
  <c r="AS74" i="18"/>
  <c r="AU74" i="18"/>
  <c r="K74" i="18"/>
  <c r="O74" i="18"/>
  <c r="AQ74" i="18"/>
  <c r="E76" i="18"/>
  <c r="AZ75" i="18"/>
  <c r="C75" i="18"/>
  <c r="E76" i="17"/>
  <c r="AZ75" i="17"/>
  <c r="C75" i="17"/>
  <c r="H36" i="18"/>
  <c r="C77" i="15"/>
  <c r="AZ77" i="15"/>
  <c r="E78" i="15"/>
  <c r="P54" i="18"/>
  <c r="M55" i="18" s="1"/>
  <c r="N55" i="18" s="1"/>
  <c r="AN38" i="14"/>
  <c r="AV37" i="14"/>
  <c r="AD76" i="3"/>
  <c r="AJ76" i="3" s="1"/>
  <c r="Y78" i="3"/>
  <c r="AC77" i="3"/>
  <c r="AF77" i="3"/>
  <c r="AK77" i="3" s="1"/>
  <c r="H78" i="3"/>
  <c r="AQ81" i="3"/>
  <c r="AG78" i="3"/>
  <c r="AW81" i="3"/>
  <c r="AN81" i="3"/>
  <c r="AN82" i="3" s="1"/>
  <c r="P81" i="3"/>
  <c r="P82" i="3" s="1"/>
  <c r="G80" i="3"/>
  <c r="AV79" i="3"/>
  <c r="AX79" i="3" s="1"/>
  <c r="V79" i="3"/>
  <c r="X79" i="3" s="1"/>
  <c r="BC77" i="3"/>
  <c r="AE78" i="3"/>
  <c r="BD77" i="3"/>
  <c r="AH78" i="3"/>
  <c r="A79" i="3"/>
  <c r="BI79" i="3" s="1"/>
  <c r="BJ79" i="3" s="1"/>
  <c r="T40" i="25" l="1"/>
  <c r="S40" i="25"/>
  <c r="W40" i="25" s="1"/>
  <c r="R41" i="25" s="1"/>
  <c r="AT39" i="25"/>
  <c r="AE39" i="25"/>
  <c r="AD40" i="25" s="1"/>
  <c r="AS32" i="29"/>
  <c r="AG43" i="29"/>
  <c r="AF44" i="29" s="1"/>
  <c r="BG99" i="23"/>
  <c r="AS100" i="23"/>
  <c r="M101" i="23"/>
  <c r="O101" i="23"/>
  <c r="N101" i="23"/>
  <c r="P102" i="23"/>
  <c r="AQ100" i="23"/>
  <c r="AU100" i="23"/>
  <c r="J34" i="29"/>
  <c r="H33" i="29"/>
  <c r="AT56" i="28"/>
  <c r="AE56" i="28"/>
  <c r="AD57" i="28" s="1"/>
  <c r="M34" i="28"/>
  <c r="O34" i="28"/>
  <c r="N34" i="28"/>
  <c r="P35" i="28"/>
  <c r="AT44" i="29"/>
  <c r="O33" i="29"/>
  <c r="M33" i="29"/>
  <c r="P34" i="29"/>
  <c r="N33" i="29"/>
  <c r="V57" i="28"/>
  <c r="S57" i="28"/>
  <c r="W57" i="28" s="1"/>
  <c r="R58" i="28" s="1"/>
  <c r="T57" i="28"/>
  <c r="AU32" i="29"/>
  <c r="AQ32" i="29"/>
  <c r="AR81" i="3"/>
  <c r="R39" i="24"/>
  <c r="Q40" i="24" s="1"/>
  <c r="AT40" i="24" s="1"/>
  <c r="P39" i="24"/>
  <c r="M40" i="24" s="1"/>
  <c r="AN79" i="20"/>
  <c r="BB79" i="3"/>
  <c r="L42" i="24"/>
  <c r="I43" i="24" s="1"/>
  <c r="AG37" i="25"/>
  <c r="AF38" i="25" s="1"/>
  <c r="Z38" i="25"/>
  <c r="Y38" i="25"/>
  <c r="AC38" i="25" s="1"/>
  <c r="X39" i="25" s="1"/>
  <c r="P79" i="20"/>
  <c r="R51" i="26"/>
  <c r="Q52" i="26" s="1"/>
  <c r="AT52" i="26" s="1"/>
  <c r="J65" i="26"/>
  <c r="L65" i="26" s="1"/>
  <c r="I66" i="26" s="1"/>
  <c r="O80" i="20"/>
  <c r="AQ79" i="20"/>
  <c r="AR79" i="20" s="1"/>
  <c r="BG77" i="3"/>
  <c r="O76" i="15"/>
  <c r="K76" i="15"/>
  <c r="T47" i="15"/>
  <c r="S48" i="15" s="1"/>
  <c r="AC43" i="29"/>
  <c r="X44" i="29" s="1"/>
  <c r="T61" i="29"/>
  <c r="S61" i="29"/>
  <c r="W61" i="29" s="1"/>
  <c r="R62" i="29" s="1"/>
  <c r="U62" i="29" s="1"/>
  <c r="C75" i="29"/>
  <c r="AZ75" i="29"/>
  <c r="E76" i="29"/>
  <c r="G33" i="29"/>
  <c r="T52" i="26"/>
  <c r="S53" i="26" s="1"/>
  <c r="N53" i="26"/>
  <c r="P53" i="26" s="1"/>
  <c r="M54" i="26" s="1"/>
  <c r="G31" i="26"/>
  <c r="AR31" i="26" s="1"/>
  <c r="K75" i="26"/>
  <c r="O75" i="26"/>
  <c r="AQ75" i="26"/>
  <c r="AS75" i="26"/>
  <c r="AU75" i="26"/>
  <c r="AJ30" i="26"/>
  <c r="AK30" i="26" s="1"/>
  <c r="AW30" i="26" s="1"/>
  <c r="AX30" i="26" s="1"/>
  <c r="AY30" i="26" s="1"/>
  <c r="C76" i="26"/>
  <c r="AZ76" i="26"/>
  <c r="E77" i="26"/>
  <c r="AW28" i="24"/>
  <c r="AX28" i="24" s="1"/>
  <c r="AY28" i="24" s="1"/>
  <c r="H33" i="28"/>
  <c r="AP33" i="28" s="1"/>
  <c r="J34" i="28"/>
  <c r="G33" i="28"/>
  <c r="AI33" i="28" s="1"/>
  <c r="Z43" i="28"/>
  <c r="Y43" i="28"/>
  <c r="AC43" i="28" s="1"/>
  <c r="AZ76" i="28"/>
  <c r="C76" i="28"/>
  <c r="E77" i="28"/>
  <c r="G34" i="25"/>
  <c r="K34" i="25" s="1"/>
  <c r="J35" i="25"/>
  <c r="H34" i="25"/>
  <c r="AP34" i="25" s="1"/>
  <c r="AK33" i="25"/>
  <c r="AW33" i="25" s="1"/>
  <c r="AX33" i="25" s="1"/>
  <c r="AY33" i="25" s="1"/>
  <c r="U75" i="25"/>
  <c r="V75" i="25"/>
  <c r="AA75" i="25"/>
  <c r="AB75" i="25"/>
  <c r="AR75" i="25"/>
  <c r="BB76" i="25"/>
  <c r="BC76" i="25"/>
  <c r="BA76" i="25"/>
  <c r="N35" i="25"/>
  <c r="P36" i="25"/>
  <c r="M35" i="25"/>
  <c r="BD76" i="25"/>
  <c r="C76" i="25"/>
  <c r="AZ76" i="25"/>
  <c r="E77" i="25"/>
  <c r="C76" i="24"/>
  <c r="AZ76" i="24"/>
  <c r="E77" i="24"/>
  <c r="AQ75" i="24"/>
  <c r="AU75" i="24"/>
  <c r="AS75" i="24"/>
  <c r="G101" i="23"/>
  <c r="K101" i="23" s="1"/>
  <c r="H101" i="23"/>
  <c r="J102" i="23"/>
  <c r="H29" i="24"/>
  <c r="G30" i="15"/>
  <c r="AR30" i="15" s="1"/>
  <c r="AS77" i="15"/>
  <c r="AU77" i="15"/>
  <c r="AQ77" i="15"/>
  <c r="AM29" i="15"/>
  <c r="AN29" i="15" s="1"/>
  <c r="AW29" i="15" s="1"/>
  <c r="AX29" i="15" s="1"/>
  <c r="AY29" i="15" s="1"/>
  <c r="P47" i="15"/>
  <c r="M48" i="15" s="1"/>
  <c r="N48" i="15" s="1"/>
  <c r="AV29" i="23"/>
  <c r="AZ29" i="23" s="1"/>
  <c r="BC29" i="23" s="1"/>
  <c r="H30" i="23"/>
  <c r="AW32" i="28"/>
  <c r="AX32" i="28" s="1"/>
  <c r="AY32" i="28" s="1"/>
  <c r="O74" i="25"/>
  <c r="I74" i="25"/>
  <c r="AT54" i="14"/>
  <c r="R54" i="14"/>
  <c r="Q55" i="14" s="1"/>
  <c r="R46" i="15"/>
  <c r="Q47" i="15" s="1"/>
  <c r="AT47" i="15" s="1"/>
  <c r="BF76" i="3"/>
  <c r="AD77" i="3"/>
  <c r="AI77" i="3" s="1"/>
  <c r="BE77" i="3" s="1"/>
  <c r="H40" i="14"/>
  <c r="F41" i="14" s="1"/>
  <c r="G41" i="14" s="1"/>
  <c r="AR41" i="14" s="1"/>
  <c r="W5" i="19"/>
  <c r="R6" i="19" s="1"/>
  <c r="AE5" i="19"/>
  <c r="AL5" i="19"/>
  <c r="AI5" i="19"/>
  <c r="K5" i="19"/>
  <c r="AI37" i="12"/>
  <c r="AJ37" i="12" s="1"/>
  <c r="AL37" i="12"/>
  <c r="AM37" i="12" s="1"/>
  <c r="AN37" i="12" s="1"/>
  <c r="N6" i="17"/>
  <c r="M6" i="17"/>
  <c r="Q6" i="17" s="1"/>
  <c r="L7" i="17" s="1"/>
  <c r="P7" i="17"/>
  <c r="AC5" i="17"/>
  <c r="X6" i="17" s="1"/>
  <c r="AG5" i="17"/>
  <c r="W37" i="12"/>
  <c r="R38" i="12" s="1"/>
  <c r="AE37" i="12"/>
  <c r="W5" i="17"/>
  <c r="R6" i="17" s="1"/>
  <c r="AE5" i="17"/>
  <c r="AC5" i="19"/>
  <c r="X6" i="19" s="1"/>
  <c r="AG5" i="19"/>
  <c r="AC37" i="13"/>
  <c r="X38" i="13" s="1"/>
  <c r="AG37" i="13"/>
  <c r="W37" i="13"/>
  <c r="R38" i="13" s="1"/>
  <c r="AE37" i="13"/>
  <c r="K73" i="14"/>
  <c r="AL73" i="14"/>
  <c r="AM73" i="14" s="1"/>
  <c r="AN73" i="14" s="1"/>
  <c r="AI73" i="14"/>
  <c r="AJ73" i="14" s="1"/>
  <c r="AK73" i="14" s="1"/>
  <c r="AB76" i="17"/>
  <c r="O76" i="17"/>
  <c r="I76" i="17"/>
  <c r="V76" i="19"/>
  <c r="AA76" i="17"/>
  <c r="AA76" i="19"/>
  <c r="V76" i="17"/>
  <c r="U76" i="19"/>
  <c r="I76" i="19"/>
  <c r="AR76" i="19" s="1"/>
  <c r="AB76" i="19"/>
  <c r="U76" i="17"/>
  <c r="O76" i="19"/>
  <c r="L38" i="13"/>
  <c r="AG37" i="12"/>
  <c r="AC37" i="12"/>
  <c r="X38" i="12" s="1"/>
  <c r="K37" i="13"/>
  <c r="AI37" i="13"/>
  <c r="AJ37" i="13" s="1"/>
  <c r="AL37" i="13"/>
  <c r="AM37" i="13" s="1"/>
  <c r="AN37" i="13" s="1"/>
  <c r="N74" i="14"/>
  <c r="M74" i="14"/>
  <c r="Q74" i="14" s="1"/>
  <c r="L75" i="14" s="1"/>
  <c r="P75" i="14"/>
  <c r="V77" i="17"/>
  <c r="AB77" i="17"/>
  <c r="I77" i="17"/>
  <c r="AA77" i="19"/>
  <c r="I77" i="19"/>
  <c r="AA77" i="17"/>
  <c r="O77" i="17"/>
  <c r="U77" i="19"/>
  <c r="O77" i="19"/>
  <c r="V77" i="19"/>
  <c r="U77" i="17"/>
  <c r="AB77" i="19"/>
  <c r="AL5" i="17"/>
  <c r="AM5" i="17" s="1"/>
  <c r="AN5" i="17" s="1"/>
  <c r="K5" i="17"/>
  <c r="AI5" i="17"/>
  <c r="AJ5" i="17" s="1"/>
  <c r="W73" i="14"/>
  <c r="R74" i="14" s="1"/>
  <c r="AE73" i="14"/>
  <c r="M6" i="19"/>
  <c r="Q6" i="19" s="1"/>
  <c r="L7" i="19" s="1"/>
  <c r="P7" i="19"/>
  <c r="N6" i="19"/>
  <c r="N38" i="12"/>
  <c r="M38" i="12"/>
  <c r="Q38" i="12" s="1"/>
  <c r="L39" i="12" s="1"/>
  <c r="P39" i="12"/>
  <c r="AC73" i="14"/>
  <c r="X74" i="14" s="1"/>
  <c r="AG73" i="14"/>
  <c r="C77" i="19"/>
  <c r="AZ77" i="19"/>
  <c r="E78" i="19"/>
  <c r="AR76" i="16"/>
  <c r="E78" i="16"/>
  <c r="C77" i="16"/>
  <c r="AZ77" i="16"/>
  <c r="BD77" i="16"/>
  <c r="J74" i="18"/>
  <c r="L74" i="18" s="1"/>
  <c r="I75" i="18" s="1"/>
  <c r="K75" i="18"/>
  <c r="AU75" i="18"/>
  <c r="O75" i="18"/>
  <c r="AS75" i="18"/>
  <c r="AQ75" i="18"/>
  <c r="C76" i="18"/>
  <c r="AZ76" i="18"/>
  <c r="E77" i="18"/>
  <c r="E77" i="17"/>
  <c r="C76" i="17"/>
  <c r="AZ76" i="17"/>
  <c r="F37" i="18"/>
  <c r="AL36" i="18"/>
  <c r="AM36" i="18" s="1"/>
  <c r="AN36" i="18" s="1"/>
  <c r="AI36" i="18"/>
  <c r="AJ36" i="18" s="1"/>
  <c r="AK36" i="18" s="1"/>
  <c r="C78" i="15"/>
  <c r="E79" i="15"/>
  <c r="AZ78" i="15"/>
  <c r="BG37" i="14"/>
  <c r="AZ37" i="14"/>
  <c r="L51" i="15"/>
  <c r="I52" i="15" s="1"/>
  <c r="J52" i="15" s="1"/>
  <c r="AK38" i="14"/>
  <c r="AV38" i="14" s="1"/>
  <c r="AH79" i="3"/>
  <c r="BD78" i="3"/>
  <c r="Y79" i="3"/>
  <c r="AC78" i="3"/>
  <c r="AG79" i="3"/>
  <c r="H79" i="3"/>
  <c r="AF78" i="3"/>
  <c r="AK78" i="3" s="1"/>
  <c r="AI76" i="3"/>
  <c r="BE76" i="3" s="1"/>
  <c r="A80" i="3"/>
  <c r="BI80" i="3" s="1"/>
  <c r="BJ80" i="3" s="1"/>
  <c r="AL79" i="3"/>
  <c r="AM79" i="3"/>
  <c r="AE79" i="3"/>
  <c r="BC78" i="3"/>
  <c r="V80" i="3"/>
  <c r="X80" i="3" s="1"/>
  <c r="AV80" i="3"/>
  <c r="AX80" i="3" s="1"/>
  <c r="G81" i="3"/>
  <c r="AW82" i="3"/>
  <c r="AQ82" i="3"/>
  <c r="AJ5" i="19" l="1"/>
  <c r="AK5" i="19" s="1"/>
  <c r="AF38" i="13"/>
  <c r="AF6" i="17"/>
  <c r="AD38" i="13"/>
  <c r="AT38" i="13" s="1"/>
  <c r="AD6" i="17"/>
  <c r="AT6" i="17" s="1"/>
  <c r="S41" i="25"/>
  <c r="W41" i="25" s="1"/>
  <c r="R42" i="25" s="1"/>
  <c r="T41" i="25"/>
  <c r="AD6" i="19"/>
  <c r="AT6" i="19" s="1"/>
  <c r="AT40" i="25"/>
  <c r="AE40" i="25"/>
  <c r="AD41" i="25" s="1"/>
  <c r="AF6" i="19"/>
  <c r="AF74" i="14"/>
  <c r="AF38" i="12"/>
  <c r="R55" i="14"/>
  <c r="AT55" i="14"/>
  <c r="AT66" i="14" s="1"/>
  <c r="AD38" i="12"/>
  <c r="AT38" i="12" s="1"/>
  <c r="AD74" i="14"/>
  <c r="AT74" i="14" s="1"/>
  <c r="AI33" i="29"/>
  <c r="AJ33" i="29" s="1"/>
  <c r="AK33" i="29" s="1"/>
  <c r="AV100" i="23"/>
  <c r="BG100" i="23" s="1"/>
  <c r="Q101" i="23"/>
  <c r="L102" i="23" s="1"/>
  <c r="P103" i="23" s="1"/>
  <c r="AW32" i="29"/>
  <c r="AX32" i="29" s="1"/>
  <c r="AY32" i="29" s="1"/>
  <c r="AP33" i="29"/>
  <c r="Q33" i="29"/>
  <c r="L34" i="29" s="1"/>
  <c r="N34" i="29" s="1"/>
  <c r="AE57" i="28"/>
  <c r="AD58" i="28" s="1"/>
  <c r="AT57" i="28"/>
  <c r="Z44" i="29"/>
  <c r="AA44" i="29"/>
  <c r="AE44" i="29" s="1"/>
  <c r="AD45" i="29" s="1"/>
  <c r="V58" i="28"/>
  <c r="S58" i="28"/>
  <c r="W58" i="28" s="1"/>
  <c r="R59" i="28" s="1"/>
  <c r="T58" i="28"/>
  <c r="AR82" i="3"/>
  <c r="N40" i="24"/>
  <c r="O40" i="24"/>
  <c r="BB80" i="3"/>
  <c r="P80" i="20"/>
  <c r="AG38" i="25"/>
  <c r="AF39" i="25" s="1"/>
  <c r="K43" i="24"/>
  <c r="J43" i="24"/>
  <c r="Z39" i="25"/>
  <c r="Y39" i="25"/>
  <c r="AC39" i="25" s="1"/>
  <c r="X40" i="25" s="1"/>
  <c r="J66" i="26"/>
  <c r="L66" i="26" s="1"/>
  <c r="I67" i="26" s="1"/>
  <c r="AN80" i="20"/>
  <c r="AQ80" i="20"/>
  <c r="AR80" i="20" s="1"/>
  <c r="O81" i="20"/>
  <c r="R52" i="26"/>
  <c r="Q53" i="26" s="1"/>
  <c r="AT53" i="26" s="1"/>
  <c r="BG78" i="3"/>
  <c r="K77" i="15"/>
  <c r="O77" i="15"/>
  <c r="T48" i="15"/>
  <c r="S49" i="15" s="1"/>
  <c r="Y44" i="29"/>
  <c r="T62" i="29"/>
  <c r="S62" i="29"/>
  <c r="W62" i="29" s="1"/>
  <c r="R63" i="29" s="1"/>
  <c r="U63" i="29" s="1"/>
  <c r="K33" i="28"/>
  <c r="F34" i="28" s="1"/>
  <c r="C76" i="29"/>
  <c r="AZ76" i="29"/>
  <c r="E77" i="29"/>
  <c r="AO33" i="29"/>
  <c r="AL33" i="29"/>
  <c r="AM33" i="29" s="1"/>
  <c r="AG43" i="28"/>
  <c r="AF44" i="28" s="1"/>
  <c r="H31" i="26"/>
  <c r="T53" i="26"/>
  <c r="S54" i="26" s="1"/>
  <c r="N54" i="26"/>
  <c r="P54" i="26" s="1"/>
  <c r="M55" i="26" s="1"/>
  <c r="O76" i="26"/>
  <c r="AQ76" i="26"/>
  <c r="AS76" i="26"/>
  <c r="AU76" i="26"/>
  <c r="K76" i="26"/>
  <c r="C77" i="26"/>
  <c r="AZ77" i="26"/>
  <c r="E78" i="26"/>
  <c r="AL34" i="25"/>
  <c r="AM34" i="25" s="1"/>
  <c r="AN34" i="25" s="1"/>
  <c r="AL33" i="28"/>
  <c r="AO33" i="28"/>
  <c r="X44" i="28"/>
  <c r="AB44" i="28" s="1"/>
  <c r="AZ77" i="28"/>
  <c r="C77" i="28"/>
  <c r="E78" i="28"/>
  <c r="F35" i="25"/>
  <c r="AS34" i="25"/>
  <c r="AU34" i="25"/>
  <c r="AQ34" i="25"/>
  <c r="AI34" i="25"/>
  <c r="BA77" i="25"/>
  <c r="BB77" i="25"/>
  <c r="BC77" i="25"/>
  <c r="AO34" i="25"/>
  <c r="U76" i="25"/>
  <c r="V76" i="25"/>
  <c r="AA76" i="25"/>
  <c r="AB76" i="25"/>
  <c r="AR76" i="25"/>
  <c r="Q35" i="25"/>
  <c r="C77" i="25"/>
  <c r="AZ77" i="25"/>
  <c r="BD77" i="25"/>
  <c r="E78" i="25"/>
  <c r="F30" i="24"/>
  <c r="AI29" i="24"/>
  <c r="AJ29" i="24" s="1"/>
  <c r="AL29" i="24"/>
  <c r="AM29" i="24" s="1"/>
  <c r="AS76" i="24"/>
  <c r="AU76" i="24"/>
  <c r="AQ76" i="24"/>
  <c r="C77" i="24"/>
  <c r="AZ77" i="24"/>
  <c r="E78" i="24"/>
  <c r="F102" i="23"/>
  <c r="I102" i="23" s="1"/>
  <c r="AR102" i="23" s="1"/>
  <c r="AP101" i="23"/>
  <c r="AO101" i="23"/>
  <c r="AL101" i="23"/>
  <c r="AM101" i="23" s="1"/>
  <c r="AN101" i="23" s="1"/>
  <c r="AI101" i="23"/>
  <c r="AJ101" i="23" s="1"/>
  <c r="AK101" i="23" s="1"/>
  <c r="AQ78" i="15"/>
  <c r="AS78" i="15"/>
  <c r="AU78" i="15"/>
  <c r="H30" i="15"/>
  <c r="P48" i="15"/>
  <c r="M49" i="15" s="1"/>
  <c r="N49" i="15" s="1"/>
  <c r="BG29" i="23"/>
  <c r="F31" i="23"/>
  <c r="AI30" i="23"/>
  <c r="AL30" i="23"/>
  <c r="K33" i="29"/>
  <c r="O75" i="25"/>
  <c r="I75" i="25"/>
  <c r="AJ77" i="3"/>
  <c r="BF77" i="3" s="1"/>
  <c r="R47" i="15"/>
  <c r="Q48" i="15" s="1"/>
  <c r="AT48" i="15" s="1"/>
  <c r="AR77" i="19"/>
  <c r="AL40" i="14"/>
  <c r="AM40" i="14" s="1"/>
  <c r="H41" i="14"/>
  <c r="F42" i="14" s="1"/>
  <c r="G42" i="14" s="1"/>
  <c r="AR42" i="14" s="1"/>
  <c r="AI40" i="14"/>
  <c r="AJ40" i="14" s="1"/>
  <c r="M7" i="19"/>
  <c r="Q7" i="19" s="1"/>
  <c r="L8" i="19" s="1"/>
  <c r="P8" i="19"/>
  <c r="N7" i="19"/>
  <c r="AU5" i="17"/>
  <c r="F6" i="17"/>
  <c r="AS5" i="17"/>
  <c r="AQ5" i="17"/>
  <c r="F38" i="13"/>
  <c r="AU37" i="13"/>
  <c r="AQ37" i="13"/>
  <c r="AU73" i="14"/>
  <c r="AQ73" i="14"/>
  <c r="F74" i="14"/>
  <c r="AS73" i="14"/>
  <c r="M39" i="12"/>
  <c r="Q39" i="12" s="1"/>
  <c r="L40" i="12" s="1"/>
  <c r="N39" i="12"/>
  <c r="P40" i="12"/>
  <c r="Y38" i="12"/>
  <c r="AC38" i="12" s="1"/>
  <c r="X39" i="12" s="1"/>
  <c r="Z38" i="12"/>
  <c r="T6" i="17"/>
  <c r="S6" i="17"/>
  <c r="W6" i="17" s="1"/>
  <c r="R7" i="17" s="1"/>
  <c r="AM5" i="19"/>
  <c r="AN5" i="19" s="1"/>
  <c r="S74" i="14"/>
  <c r="T74" i="14"/>
  <c r="T38" i="13"/>
  <c r="S38" i="13"/>
  <c r="W38" i="13" s="1"/>
  <c r="R39" i="13" s="1"/>
  <c r="N7" i="17"/>
  <c r="M7" i="17"/>
  <c r="Q7" i="17" s="1"/>
  <c r="L8" i="17" s="1"/>
  <c r="P8" i="17"/>
  <c r="AK37" i="12"/>
  <c r="Y74" i="14"/>
  <c r="AC74" i="14" s="1"/>
  <c r="X75" i="14" s="1"/>
  <c r="Z74" i="14"/>
  <c r="N75" i="14"/>
  <c r="M75" i="14"/>
  <c r="Q75" i="14" s="1"/>
  <c r="L76" i="14" s="1"/>
  <c r="P76" i="14"/>
  <c r="AS37" i="13"/>
  <c r="AB78" i="17"/>
  <c r="O78" i="17"/>
  <c r="AA78" i="17"/>
  <c r="AB78" i="19"/>
  <c r="O78" i="19"/>
  <c r="V78" i="17"/>
  <c r="I78" i="19"/>
  <c r="U78" i="17"/>
  <c r="AA78" i="19"/>
  <c r="V78" i="19"/>
  <c r="I78" i="17"/>
  <c r="U78" i="19"/>
  <c r="Y38" i="13"/>
  <c r="Z38" i="13"/>
  <c r="Y6" i="17"/>
  <c r="Z6" i="17"/>
  <c r="AU37" i="12"/>
  <c r="AS37" i="12"/>
  <c r="AQ37" i="12"/>
  <c r="AD78" i="3"/>
  <c r="AI78" i="3" s="1"/>
  <c r="BE78" i="3" s="1"/>
  <c r="AK5" i="17"/>
  <c r="AK37" i="13"/>
  <c r="N38" i="13"/>
  <c r="M38" i="13"/>
  <c r="Q38" i="13" s="1"/>
  <c r="L39" i="13" s="1"/>
  <c r="P39" i="13"/>
  <c r="Z6" i="19"/>
  <c r="Y6" i="19"/>
  <c r="AC6" i="19" s="1"/>
  <c r="X7" i="19" s="1"/>
  <c r="S38" i="12"/>
  <c r="W38" i="12" s="1"/>
  <c r="R39" i="12" s="1"/>
  <c r="T38" i="12"/>
  <c r="AU5" i="19"/>
  <c r="F6" i="19"/>
  <c r="AS5" i="19"/>
  <c r="AQ5" i="19"/>
  <c r="T6" i="19"/>
  <c r="S6" i="19"/>
  <c r="W6" i="19" s="1"/>
  <c r="R7" i="19" s="1"/>
  <c r="E79" i="19"/>
  <c r="C78" i="19"/>
  <c r="AZ78" i="19"/>
  <c r="BD78" i="16"/>
  <c r="E79" i="16"/>
  <c r="C78" i="16"/>
  <c r="AZ78" i="16"/>
  <c r="AR77" i="16"/>
  <c r="J75" i="18"/>
  <c r="L75" i="18" s="1"/>
  <c r="I76" i="18" s="1"/>
  <c r="AZ77" i="18"/>
  <c r="E78" i="18"/>
  <c r="C77" i="18"/>
  <c r="AS76" i="18"/>
  <c r="O76" i="18"/>
  <c r="AQ76" i="18"/>
  <c r="AU76" i="18"/>
  <c r="K76" i="18"/>
  <c r="AZ77" i="17"/>
  <c r="C77" i="17"/>
  <c r="E78" i="17"/>
  <c r="AW36" i="18"/>
  <c r="AX36" i="18" s="1"/>
  <c r="AY36" i="18" s="1"/>
  <c r="E80" i="15"/>
  <c r="AZ79" i="15"/>
  <c r="C79" i="15"/>
  <c r="G37" i="18"/>
  <c r="AR37" i="18" s="1"/>
  <c r="AZ38" i="14"/>
  <c r="BC38" i="14" s="1"/>
  <c r="BG38" i="14"/>
  <c r="T55" i="18"/>
  <c r="S56" i="18" s="1"/>
  <c r="R55" i="18"/>
  <c r="Q56" i="18" s="1"/>
  <c r="AT56" i="18" s="1"/>
  <c r="P55" i="18"/>
  <c r="M56" i="18" s="1"/>
  <c r="N56" i="18" s="1"/>
  <c r="AN39" i="14"/>
  <c r="BC37" i="14"/>
  <c r="AK39" i="14"/>
  <c r="AQ83" i="3"/>
  <c r="BC79" i="3"/>
  <c r="AE80" i="3"/>
  <c r="A81" i="3"/>
  <c r="BI81" i="3" s="1"/>
  <c r="BJ81" i="3" s="1"/>
  <c r="P83" i="3"/>
  <c r="P84" i="3" s="1"/>
  <c r="AW83" i="3"/>
  <c r="AM80" i="3"/>
  <c r="AG80" i="3"/>
  <c r="AL80" i="3"/>
  <c r="AN83" i="3"/>
  <c r="AN84" i="3" s="1"/>
  <c r="AH80" i="3"/>
  <c r="BD79" i="3"/>
  <c r="G82" i="3"/>
  <c r="AV81" i="3"/>
  <c r="AX81" i="3" s="1"/>
  <c r="V81" i="3"/>
  <c r="X81" i="3" s="1"/>
  <c r="H80" i="3"/>
  <c r="AF79" i="3"/>
  <c r="AK79" i="3" s="1"/>
  <c r="Y80" i="3"/>
  <c r="AC79" i="3"/>
  <c r="AE74" i="14" l="1"/>
  <c r="AD75" i="14" s="1"/>
  <c r="AT75" i="14" s="1"/>
  <c r="AG38" i="13"/>
  <c r="AF39" i="13" s="1"/>
  <c r="AG6" i="17"/>
  <c r="AF7" i="17" s="1"/>
  <c r="AT41" i="25"/>
  <c r="AE41" i="25"/>
  <c r="AD42" i="25" s="1"/>
  <c r="S42" i="25"/>
  <c r="W42" i="25" s="1"/>
  <c r="R43" i="25" s="1"/>
  <c r="T42" i="25"/>
  <c r="AG44" i="29"/>
  <c r="AF45" i="29" s="1"/>
  <c r="AZ100" i="23"/>
  <c r="BC100" i="23" s="1"/>
  <c r="AS101" i="23"/>
  <c r="AU101" i="23"/>
  <c r="AQ101" i="23"/>
  <c r="O102" i="23"/>
  <c r="N102" i="23"/>
  <c r="M102" i="23"/>
  <c r="O34" i="29"/>
  <c r="P35" i="29"/>
  <c r="M34" i="29"/>
  <c r="AE58" i="28"/>
  <c r="AD59" i="28" s="1"/>
  <c r="AT58" i="28"/>
  <c r="G34" i="28"/>
  <c r="AI34" i="28" s="1"/>
  <c r="I34" i="28"/>
  <c r="Q34" i="28" s="1"/>
  <c r="L35" i="28" s="1"/>
  <c r="AT45" i="29"/>
  <c r="V59" i="28"/>
  <c r="S59" i="28"/>
  <c r="W59" i="28" s="1"/>
  <c r="R60" i="28" s="1"/>
  <c r="T59" i="28"/>
  <c r="AR83" i="3"/>
  <c r="P40" i="24"/>
  <c r="M41" i="24" s="1"/>
  <c r="N41" i="24" s="1"/>
  <c r="R40" i="24"/>
  <c r="Q41" i="24" s="1"/>
  <c r="T40" i="24"/>
  <c r="S41" i="24" s="1"/>
  <c r="BB81" i="3"/>
  <c r="P81" i="20"/>
  <c r="L43" i="24"/>
  <c r="I44" i="24" s="1"/>
  <c r="Z40" i="25"/>
  <c r="Y40" i="25"/>
  <c r="AG39" i="25"/>
  <c r="AF40" i="25" s="1"/>
  <c r="AR78" i="19"/>
  <c r="AM81" i="3"/>
  <c r="AQ33" i="28"/>
  <c r="AS33" i="28"/>
  <c r="AU33" i="28"/>
  <c r="R53" i="26"/>
  <c r="Q54" i="26" s="1"/>
  <c r="AT54" i="26" s="1"/>
  <c r="AN81" i="20"/>
  <c r="AQ81" i="20"/>
  <c r="AR81" i="20" s="1"/>
  <c r="O82" i="20"/>
  <c r="BG79" i="3"/>
  <c r="J67" i="26"/>
  <c r="L67" i="26" s="1"/>
  <c r="I68" i="26" s="1"/>
  <c r="O78" i="15"/>
  <c r="K78" i="15"/>
  <c r="J35" i="28"/>
  <c r="H34" i="28"/>
  <c r="AP34" i="28" s="1"/>
  <c r="T49" i="15"/>
  <c r="S50" i="15" s="1"/>
  <c r="T54" i="26"/>
  <c r="S55" i="26" s="1"/>
  <c r="AC44" i="29"/>
  <c r="X45" i="29" s="1"/>
  <c r="T63" i="29"/>
  <c r="S63" i="29"/>
  <c r="W63" i="29" s="1"/>
  <c r="R64" i="29" s="1"/>
  <c r="U64" i="29" s="1"/>
  <c r="AN33" i="29"/>
  <c r="F34" i="29"/>
  <c r="I34" i="29" s="1"/>
  <c r="AR34" i="29" s="1"/>
  <c r="AQ33" i="29"/>
  <c r="AS33" i="29"/>
  <c r="AU33" i="29"/>
  <c r="C77" i="29"/>
  <c r="AZ77" i="29"/>
  <c r="E78" i="29"/>
  <c r="N55" i="26"/>
  <c r="AS77" i="26"/>
  <c r="AU77" i="26"/>
  <c r="AQ77" i="26"/>
  <c r="K77" i="26"/>
  <c r="O77" i="26"/>
  <c r="F32" i="26"/>
  <c r="AI31" i="26"/>
  <c r="AJ31" i="26" s="1"/>
  <c r="AK31" i="26" s="1"/>
  <c r="AL31" i="26"/>
  <c r="AZ78" i="26"/>
  <c r="C78" i="26"/>
  <c r="E79" i="26"/>
  <c r="Z44" i="28"/>
  <c r="Y44" i="28"/>
  <c r="AC44" i="28" s="1"/>
  <c r="X45" i="28" s="1"/>
  <c r="AB45" i="28" s="1"/>
  <c r="C78" i="28"/>
  <c r="AZ78" i="28"/>
  <c r="E79" i="28"/>
  <c r="AJ33" i="28"/>
  <c r="AK33" i="28" s="1"/>
  <c r="AM33" i="28"/>
  <c r="AN33" i="28" s="1"/>
  <c r="G35" i="25"/>
  <c r="K35" i="25" s="1"/>
  <c r="J36" i="25"/>
  <c r="H35" i="25"/>
  <c r="AP35" i="25" s="1"/>
  <c r="U77" i="25"/>
  <c r="V77" i="25"/>
  <c r="AA77" i="25"/>
  <c r="AB77" i="25"/>
  <c r="AR77" i="25"/>
  <c r="BA78" i="25"/>
  <c r="BB78" i="25"/>
  <c r="BC78" i="25"/>
  <c r="AJ34" i="25"/>
  <c r="AK34" i="25" s="1"/>
  <c r="AW34" i="25" s="1"/>
  <c r="AX34" i="25" s="1"/>
  <c r="AY34" i="25" s="1"/>
  <c r="AZ78" i="25"/>
  <c r="BD78" i="25"/>
  <c r="C78" i="25"/>
  <c r="E79" i="25"/>
  <c r="L36" i="25"/>
  <c r="AQ77" i="24"/>
  <c r="AS77" i="24"/>
  <c r="AU77" i="24"/>
  <c r="AK29" i="24"/>
  <c r="AN29" i="24"/>
  <c r="C78" i="24"/>
  <c r="AZ78" i="24"/>
  <c r="E79" i="24"/>
  <c r="G102" i="23"/>
  <c r="J103" i="23"/>
  <c r="H102" i="23"/>
  <c r="G30" i="24"/>
  <c r="AR30" i="24" s="1"/>
  <c r="F31" i="15"/>
  <c r="AL30" i="15"/>
  <c r="AM30" i="15" s="1"/>
  <c r="AN30" i="15" s="1"/>
  <c r="AI30" i="15"/>
  <c r="AJ30" i="15" s="1"/>
  <c r="AK30" i="15" s="1"/>
  <c r="AQ79" i="15"/>
  <c r="AS79" i="15"/>
  <c r="AU79" i="15"/>
  <c r="P49" i="15"/>
  <c r="M50" i="15" s="1"/>
  <c r="N50" i="15" s="1"/>
  <c r="G31" i="23"/>
  <c r="AR31" i="23" s="1"/>
  <c r="AJ30" i="23"/>
  <c r="AK30" i="23" s="1"/>
  <c r="AM30" i="23"/>
  <c r="AN30" i="23" s="1"/>
  <c r="I76" i="25"/>
  <c r="O76" i="25"/>
  <c r="R48" i="15"/>
  <c r="Q49" i="15" s="1"/>
  <c r="AT49" i="15" s="1"/>
  <c r="AJ78" i="3"/>
  <c r="BF78" i="3" s="1"/>
  <c r="AW37" i="13"/>
  <c r="BA37" i="13" s="1"/>
  <c r="BD37" i="13" s="1"/>
  <c r="AV73" i="14"/>
  <c r="AZ73" i="14" s="1"/>
  <c r="BC73" i="14" s="1"/>
  <c r="AW5" i="19"/>
  <c r="H42" i="14"/>
  <c r="AL42" i="14" s="1"/>
  <c r="AM42" i="14" s="1"/>
  <c r="AL41" i="14"/>
  <c r="AM41" i="14" s="1"/>
  <c r="W74" i="14"/>
  <c r="R75" i="14" s="1"/>
  <c r="T75" i="14" s="1"/>
  <c r="AG74" i="14"/>
  <c r="AF75" i="14" s="1"/>
  <c r="AC38" i="13"/>
  <c r="X39" i="13" s="1"/>
  <c r="Y39" i="13" s="1"/>
  <c r="AI41" i="14"/>
  <c r="AJ41" i="14" s="1"/>
  <c r="AG38" i="12"/>
  <c r="AF39" i="12" s="1"/>
  <c r="L52" i="15"/>
  <c r="I53" i="15" s="1"/>
  <c r="J53" i="15" s="1"/>
  <c r="AG6" i="19"/>
  <c r="AF7" i="19" s="1"/>
  <c r="Y75" i="14"/>
  <c r="AC75" i="14" s="1"/>
  <c r="X76" i="14" s="1"/>
  <c r="Z75" i="14"/>
  <c r="V79" i="17"/>
  <c r="AA79" i="17"/>
  <c r="U79" i="19"/>
  <c r="U79" i="17"/>
  <c r="I79" i="17"/>
  <c r="AA79" i="19"/>
  <c r="V79" i="19"/>
  <c r="O79" i="17"/>
  <c r="AB79" i="19"/>
  <c r="O79" i="19"/>
  <c r="I79" i="19"/>
  <c r="AB79" i="17"/>
  <c r="T7" i="19"/>
  <c r="S7" i="19"/>
  <c r="W7" i="19" s="1"/>
  <c r="R8" i="19" s="1"/>
  <c r="J7" i="19"/>
  <c r="G6" i="19"/>
  <c r="AI6" i="19" s="1"/>
  <c r="AJ6" i="19" s="1"/>
  <c r="H6" i="19"/>
  <c r="AE38" i="13"/>
  <c r="AD39" i="13" s="1"/>
  <c r="M8" i="19"/>
  <c r="Q8" i="19" s="1"/>
  <c r="L9" i="19" s="1"/>
  <c r="P9" i="19"/>
  <c r="N8" i="19"/>
  <c r="G38" i="12"/>
  <c r="K38" i="12" s="1"/>
  <c r="F39" i="12" s="1"/>
  <c r="H38" i="12"/>
  <c r="J39" i="12"/>
  <c r="S39" i="13"/>
  <c r="W39" i="13" s="1"/>
  <c r="R40" i="13" s="1"/>
  <c r="T39" i="13"/>
  <c r="T39" i="12"/>
  <c r="S39" i="12"/>
  <c r="W39" i="12" s="1"/>
  <c r="R40" i="12" s="1"/>
  <c r="M39" i="13"/>
  <c r="N39" i="13"/>
  <c r="P40" i="13"/>
  <c r="AW37" i="12"/>
  <c r="BA37" i="12" s="1"/>
  <c r="BD37" i="12" s="1"/>
  <c r="AC6" i="17"/>
  <c r="X7" i="17" s="1"/>
  <c r="AE38" i="12"/>
  <c r="AD39" i="12" s="1"/>
  <c r="AT39" i="12" s="1"/>
  <c r="T7" i="17"/>
  <c r="S7" i="17"/>
  <c r="W7" i="17" s="1"/>
  <c r="R8" i="17" s="1"/>
  <c r="P41" i="12"/>
  <c r="N40" i="12"/>
  <c r="M40" i="12"/>
  <c r="Q40" i="12" s="1"/>
  <c r="L41" i="12" s="1"/>
  <c r="G74" i="14"/>
  <c r="K74" i="14" s="1"/>
  <c r="F75" i="14" s="1"/>
  <c r="J75" i="14"/>
  <c r="H74" i="14"/>
  <c r="P77" i="14"/>
  <c r="N76" i="14"/>
  <c r="M76" i="14"/>
  <c r="Q76" i="14" s="1"/>
  <c r="L77" i="14" s="1"/>
  <c r="G6" i="17"/>
  <c r="K6" i="17" s="1"/>
  <c r="H6" i="17"/>
  <c r="J7" i="17"/>
  <c r="Z7" i="19"/>
  <c r="Y7" i="19"/>
  <c r="AC7" i="19" s="1"/>
  <c r="X8" i="19" s="1"/>
  <c r="AE6" i="19"/>
  <c r="AD7" i="19" s="1"/>
  <c r="N8" i="17"/>
  <c r="P9" i="17"/>
  <c r="M8" i="17"/>
  <c r="Q8" i="17" s="1"/>
  <c r="L9" i="17" s="1"/>
  <c r="Y39" i="12"/>
  <c r="AC39" i="12" s="1"/>
  <c r="X40" i="12" s="1"/>
  <c r="Z39" i="12"/>
  <c r="AE6" i="17"/>
  <c r="AD7" i="17" s="1"/>
  <c r="G38" i="13"/>
  <c r="K38" i="13" s="1"/>
  <c r="F39" i="13" s="1"/>
  <c r="J39" i="13"/>
  <c r="H38" i="13"/>
  <c r="AW5" i="17"/>
  <c r="E80" i="19"/>
  <c r="C79" i="19"/>
  <c r="AZ79" i="19"/>
  <c r="BD79" i="16"/>
  <c r="E80" i="16"/>
  <c r="C79" i="16"/>
  <c r="AZ79" i="16"/>
  <c r="AR78" i="16"/>
  <c r="J76" i="18"/>
  <c r="L76" i="18" s="1"/>
  <c r="I77" i="18" s="1"/>
  <c r="C78" i="17"/>
  <c r="AZ78" i="17"/>
  <c r="E79" i="17"/>
  <c r="O77" i="18"/>
  <c r="AU77" i="18"/>
  <c r="AQ77" i="18"/>
  <c r="AS77" i="18"/>
  <c r="K77" i="18"/>
  <c r="AZ78" i="18"/>
  <c r="E79" i="18"/>
  <c r="C78" i="18"/>
  <c r="E81" i="15"/>
  <c r="AZ80" i="15"/>
  <c r="C80" i="15"/>
  <c r="H37" i="18"/>
  <c r="P56" i="18"/>
  <c r="M57" i="18" s="1"/>
  <c r="N57" i="18" s="1"/>
  <c r="AK40" i="14"/>
  <c r="AN40" i="14"/>
  <c r="AV39" i="14"/>
  <c r="AN85" i="3"/>
  <c r="BC80" i="3"/>
  <c r="AE81" i="3"/>
  <c r="H81" i="3"/>
  <c r="AF80" i="3"/>
  <c r="AK80" i="3" s="1"/>
  <c r="AH81" i="3"/>
  <c r="BD80" i="3"/>
  <c r="AL81" i="3"/>
  <c r="AW84" i="3"/>
  <c r="A82" i="3"/>
  <c r="BI82" i="3" s="1"/>
  <c r="BJ82" i="3" s="1"/>
  <c r="AG81" i="3"/>
  <c r="AQ84" i="3"/>
  <c r="Y81" i="3"/>
  <c r="AC80" i="3"/>
  <c r="V82" i="3"/>
  <c r="X82" i="3" s="1"/>
  <c r="G83" i="3"/>
  <c r="AV82" i="3"/>
  <c r="AX82" i="3" s="1"/>
  <c r="AD79" i="3"/>
  <c r="AI79" i="3" s="1"/>
  <c r="BE79" i="3" s="1"/>
  <c r="AG39" i="13" l="1"/>
  <c r="AF40" i="13" s="1"/>
  <c r="AT42" i="25"/>
  <c r="AE42" i="25"/>
  <c r="AD43" i="25" s="1"/>
  <c r="T43" i="25"/>
  <c r="S43" i="25"/>
  <c r="W43" i="25" s="1"/>
  <c r="R44" i="25" s="1"/>
  <c r="Q102" i="23"/>
  <c r="L103" i="23" s="1"/>
  <c r="N103" i="23" s="1"/>
  <c r="T41" i="24"/>
  <c r="S42" i="24" s="1"/>
  <c r="K34" i="28"/>
  <c r="F35" i="28" s="1"/>
  <c r="I35" i="28" s="1"/>
  <c r="AV101" i="23"/>
  <c r="BG101" i="23" s="1"/>
  <c r="AL102" i="23"/>
  <c r="AM102" i="23" s="1"/>
  <c r="AN102" i="23" s="1"/>
  <c r="AT59" i="28"/>
  <c r="AE59" i="28"/>
  <c r="AD60" i="28" s="1"/>
  <c r="M35" i="28"/>
  <c r="O35" i="28"/>
  <c r="N35" i="28"/>
  <c r="P36" i="28"/>
  <c r="O103" i="23"/>
  <c r="Q34" i="29"/>
  <c r="L35" i="29" s="1"/>
  <c r="V60" i="28"/>
  <c r="S60" i="28"/>
  <c r="W60" i="28" s="1"/>
  <c r="R61" i="28" s="1"/>
  <c r="T60" i="28"/>
  <c r="Z45" i="29"/>
  <c r="AA45" i="29"/>
  <c r="AE45" i="29" s="1"/>
  <c r="AD46" i="29" s="1"/>
  <c r="AL34" i="28"/>
  <c r="AM34" i="28" s="1"/>
  <c r="AN34" i="28" s="1"/>
  <c r="AR84" i="3"/>
  <c r="O41" i="24"/>
  <c r="P41" i="24" s="1"/>
  <c r="M42" i="24" s="1"/>
  <c r="N42" i="24" s="1"/>
  <c r="AT41" i="24"/>
  <c r="R41" i="24"/>
  <c r="Q42" i="24" s="1"/>
  <c r="BB82" i="3"/>
  <c r="AG40" i="25"/>
  <c r="AF41" i="25" s="1"/>
  <c r="K44" i="24"/>
  <c r="J44" i="24"/>
  <c r="AC40" i="25"/>
  <c r="X41" i="25" s="1"/>
  <c r="AN82" i="20"/>
  <c r="R54" i="26"/>
  <c r="Q55" i="26" s="1"/>
  <c r="AT55" i="26" s="1"/>
  <c r="J68" i="26"/>
  <c r="L68" i="26" s="1"/>
  <c r="I69" i="26" s="1"/>
  <c r="BG80" i="3"/>
  <c r="AQ82" i="20"/>
  <c r="AR82" i="20" s="1"/>
  <c r="O83" i="20"/>
  <c r="P82" i="20"/>
  <c r="K79" i="15"/>
  <c r="O79" i="15"/>
  <c r="AO34" i="28"/>
  <c r="T50" i="15"/>
  <c r="S51" i="15" s="1"/>
  <c r="Y45" i="29"/>
  <c r="T64" i="29"/>
  <c r="S64" i="29"/>
  <c r="W64" i="29" s="1"/>
  <c r="R65" i="29" s="1"/>
  <c r="U65" i="29" s="1"/>
  <c r="AZ78" i="29"/>
  <c r="C78" i="29"/>
  <c r="E79" i="29"/>
  <c r="J35" i="29"/>
  <c r="H34" i="29"/>
  <c r="AP34" i="29" s="1"/>
  <c r="G34" i="29"/>
  <c r="AL34" i="29" s="1"/>
  <c r="AM34" i="29" s="1"/>
  <c r="P55" i="26"/>
  <c r="M56" i="26" s="1"/>
  <c r="N56" i="26" s="1"/>
  <c r="AM31" i="26"/>
  <c r="AN31" i="26" s="1"/>
  <c r="AW31" i="26" s="1"/>
  <c r="AX31" i="26" s="1"/>
  <c r="AY31" i="26" s="1"/>
  <c r="T55" i="26"/>
  <c r="S56" i="26" s="1"/>
  <c r="K78" i="26"/>
  <c r="O78" i="26"/>
  <c r="AS78" i="26"/>
  <c r="AU78" i="26"/>
  <c r="AQ78" i="26"/>
  <c r="G32" i="26"/>
  <c r="AR32" i="26" s="1"/>
  <c r="AZ79" i="26"/>
  <c r="C79" i="26"/>
  <c r="E80" i="26"/>
  <c r="AG44" i="28"/>
  <c r="AF45" i="28" s="1"/>
  <c r="Z45" i="28"/>
  <c r="Y45" i="28"/>
  <c r="AW33" i="28"/>
  <c r="AX33" i="28" s="1"/>
  <c r="AY33" i="28" s="1"/>
  <c r="AJ34" i="28"/>
  <c r="AK34" i="28" s="1"/>
  <c r="AZ79" i="28"/>
  <c r="C79" i="28"/>
  <c r="E80" i="28"/>
  <c r="AW29" i="24"/>
  <c r="AX29" i="24" s="1"/>
  <c r="AY29" i="24" s="1"/>
  <c r="F36" i="25"/>
  <c r="AQ35" i="25"/>
  <c r="AS35" i="25"/>
  <c r="AU35" i="25"/>
  <c r="AI35" i="25"/>
  <c r="AJ35" i="25" s="1"/>
  <c r="AO35" i="25"/>
  <c r="AL35" i="25"/>
  <c r="U78" i="25"/>
  <c r="V78" i="25"/>
  <c r="AA78" i="25"/>
  <c r="AB78" i="25"/>
  <c r="AR78" i="25"/>
  <c r="BA79" i="25"/>
  <c r="BB79" i="25"/>
  <c r="BC79" i="25"/>
  <c r="P37" i="25"/>
  <c r="N36" i="25"/>
  <c r="M36" i="25"/>
  <c r="C79" i="25"/>
  <c r="AZ79" i="25"/>
  <c r="BD79" i="25"/>
  <c r="E80" i="25"/>
  <c r="C79" i="24"/>
  <c r="AZ79" i="24"/>
  <c r="E80" i="24"/>
  <c r="AQ78" i="24"/>
  <c r="AS78" i="24"/>
  <c r="AU78" i="24"/>
  <c r="AP102" i="23"/>
  <c r="AO102" i="23"/>
  <c r="K102" i="23"/>
  <c r="AI102" i="23"/>
  <c r="AJ102" i="23" s="1"/>
  <c r="AK102" i="23" s="1"/>
  <c r="H30" i="24"/>
  <c r="G31" i="15"/>
  <c r="AR31" i="15" s="1"/>
  <c r="AW30" i="15"/>
  <c r="AX30" i="15" s="1"/>
  <c r="AY30" i="15" s="1"/>
  <c r="AQ80" i="15"/>
  <c r="AS80" i="15"/>
  <c r="AU80" i="15"/>
  <c r="P50" i="15"/>
  <c r="M51" i="15" s="1"/>
  <c r="N51" i="15" s="1"/>
  <c r="AV30" i="23"/>
  <c r="AZ30" i="23" s="1"/>
  <c r="BC30" i="23" s="1"/>
  <c r="H31" i="23"/>
  <c r="AW33" i="29"/>
  <c r="AX33" i="29" s="1"/>
  <c r="AY33" i="29" s="1"/>
  <c r="O77" i="25"/>
  <c r="I77" i="25"/>
  <c r="AJ79" i="3"/>
  <c r="BF79" i="3" s="1"/>
  <c r="R49" i="15"/>
  <c r="Q50" i="15" s="1"/>
  <c r="AT50" i="15" s="1"/>
  <c r="F43" i="14"/>
  <c r="G43" i="14" s="1"/>
  <c r="AR43" i="14" s="1"/>
  <c r="Z39" i="13"/>
  <c r="AI42" i="14"/>
  <c r="AJ42" i="14" s="1"/>
  <c r="AR79" i="19"/>
  <c r="AU74" i="14"/>
  <c r="S75" i="14"/>
  <c r="W75" i="14" s="1"/>
  <c r="R76" i="14" s="1"/>
  <c r="S76" i="14" s="1"/>
  <c r="W76" i="14" s="1"/>
  <c r="R77" i="14" s="1"/>
  <c r="AN41" i="14"/>
  <c r="AK41" i="14"/>
  <c r="AL6" i="17"/>
  <c r="AM6" i="17" s="1"/>
  <c r="AN6" i="17" s="1"/>
  <c r="AL38" i="12"/>
  <c r="AM38" i="12" s="1"/>
  <c r="AN38" i="12" s="1"/>
  <c r="AU38" i="12"/>
  <c r="AI6" i="17"/>
  <c r="AI74" i="14"/>
  <c r="AJ74" i="14" s="1"/>
  <c r="AK74" i="14" s="1"/>
  <c r="K6" i="19"/>
  <c r="AU6" i="19" s="1"/>
  <c r="L53" i="15"/>
  <c r="I54" i="15" s="1"/>
  <c r="J54" i="15" s="1"/>
  <c r="AS38" i="13"/>
  <c r="AQ38" i="12"/>
  <c r="AS38" i="12"/>
  <c r="AL6" i="19"/>
  <c r="AM6" i="19" s="1"/>
  <c r="AN6" i="19" s="1"/>
  <c r="AI38" i="12"/>
  <c r="AS6" i="17"/>
  <c r="AU6" i="17"/>
  <c r="AQ38" i="13"/>
  <c r="AL38" i="13"/>
  <c r="AM38" i="13" s="1"/>
  <c r="AU38" i="13"/>
  <c r="AC39" i="13"/>
  <c r="X40" i="13" s="1"/>
  <c r="Y40" i="13" s="1"/>
  <c r="AS74" i="14"/>
  <c r="AI38" i="13"/>
  <c r="AJ38" i="13" s="1"/>
  <c r="AG75" i="14"/>
  <c r="AF76" i="14" s="1"/>
  <c r="AQ74" i="14"/>
  <c r="Z76" i="14"/>
  <c r="Y76" i="14"/>
  <c r="AC76" i="14" s="1"/>
  <c r="X77" i="14" s="1"/>
  <c r="Y8" i="19"/>
  <c r="AC8" i="19" s="1"/>
  <c r="X9" i="19" s="1"/>
  <c r="Z8" i="19"/>
  <c r="N41" i="12"/>
  <c r="M41" i="12"/>
  <c r="Q41" i="12" s="1"/>
  <c r="L42" i="12" s="1"/>
  <c r="P42" i="12"/>
  <c r="AP38" i="12"/>
  <c r="AO38" i="12"/>
  <c r="AG7" i="19"/>
  <c r="AF8" i="19" s="1"/>
  <c r="AT7" i="17"/>
  <c r="AE7" i="17"/>
  <c r="AD8" i="17" s="1"/>
  <c r="AT7" i="19"/>
  <c r="AE7" i="19"/>
  <c r="AD8" i="19" s="1"/>
  <c r="AQ6" i="17"/>
  <c r="F7" i="17"/>
  <c r="J76" i="14"/>
  <c r="G75" i="14"/>
  <c r="AL75" i="14" s="1"/>
  <c r="AM75" i="14" s="1"/>
  <c r="AN75" i="14" s="1"/>
  <c r="H75" i="14"/>
  <c r="Z7" i="17"/>
  <c r="Y7" i="17"/>
  <c r="AG7" i="17" s="1"/>
  <c r="AF8" i="17" s="1"/>
  <c r="AT39" i="13"/>
  <c r="AE39" i="13"/>
  <c r="AD40" i="13" s="1"/>
  <c r="S8" i="19"/>
  <c r="W8" i="19" s="1"/>
  <c r="R9" i="19" s="1"/>
  <c r="T8" i="19"/>
  <c r="N9" i="17"/>
  <c r="P10" i="17"/>
  <c r="M9" i="17"/>
  <c r="Q9" i="17" s="1"/>
  <c r="L10" i="17" s="1"/>
  <c r="AP6" i="19"/>
  <c r="AO6" i="19"/>
  <c r="Y40" i="12"/>
  <c r="AC40" i="12" s="1"/>
  <c r="X41" i="12" s="1"/>
  <c r="Z40" i="12"/>
  <c r="AO6" i="17"/>
  <c r="AP6" i="17"/>
  <c r="N77" i="14"/>
  <c r="P78" i="14"/>
  <c r="M77" i="14"/>
  <c r="Q77" i="14" s="1"/>
  <c r="L78" i="14" s="1"/>
  <c r="AP74" i="14"/>
  <c r="AO74" i="14"/>
  <c r="T40" i="13"/>
  <c r="S40" i="13"/>
  <c r="W40" i="13" s="1"/>
  <c r="R41" i="13" s="1"/>
  <c r="J40" i="12"/>
  <c r="G39" i="12"/>
  <c r="K39" i="12" s="1"/>
  <c r="F40" i="12" s="1"/>
  <c r="H39" i="12"/>
  <c r="AK6" i="19"/>
  <c r="AP38" i="13"/>
  <c r="AO38" i="13"/>
  <c r="S8" i="17"/>
  <c r="W8" i="17" s="1"/>
  <c r="R9" i="17" s="1"/>
  <c r="T8" i="17"/>
  <c r="AB80" i="17"/>
  <c r="O80" i="17"/>
  <c r="V80" i="17"/>
  <c r="V80" i="19"/>
  <c r="U80" i="17"/>
  <c r="AA80" i="17"/>
  <c r="O80" i="19"/>
  <c r="I80" i="17"/>
  <c r="AB80" i="19"/>
  <c r="I80" i="19"/>
  <c r="U80" i="19"/>
  <c r="AA80" i="19"/>
  <c r="G39" i="13"/>
  <c r="K39" i="13" s="1"/>
  <c r="F40" i="13" s="1"/>
  <c r="J40" i="13"/>
  <c r="H39" i="13"/>
  <c r="AG39" i="12"/>
  <c r="AF40" i="12" s="1"/>
  <c r="AL74" i="14"/>
  <c r="AM74" i="14" s="1"/>
  <c r="AN74" i="14" s="1"/>
  <c r="AE39" i="12"/>
  <c r="AD40" i="12" s="1"/>
  <c r="AT40" i="12" s="1"/>
  <c r="Q39" i="13"/>
  <c r="L40" i="13" s="1"/>
  <c r="S40" i="12"/>
  <c r="W40" i="12" s="1"/>
  <c r="R41" i="12" s="1"/>
  <c r="T40" i="12"/>
  <c r="N9" i="19"/>
  <c r="M9" i="19"/>
  <c r="Q9" i="19" s="1"/>
  <c r="L10" i="19" s="1"/>
  <c r="P10" i="19"/>
  <c r="AZ80" i="19"/>
  <c r="C80" i="19"/>
  <c r="E81" i="19"/>
  <c r="AR79" i="16"/>
  <c r="BD80" i="16"/>
  <c r="AZ80" i="16"/>
  <c r="C80" i="16"/>
  <c r="E81" i="16"/>
  <c r="J77" i="18"/>
  <c r="L77" i="18" s="1"/>
  <c r="I78" i="18" s="1"/>
  <c r="E80" i="18"/>
  <c r="C79" i="18"/>
  <c r="AZ79" i="18"/>
  <c r="AU78" i="18"/>
  <c r="K78" i="18"/>
  <c r="O78" i="18"/>
  <c r="AS78" i="18"/>
  <c r="AQ78" i="18"/>
  <c r="AZ79" i="17"/>
  <c r="C79" i="17"/>
  <c r="E80" i="17"/>
  <c r="F38" i="18"/>
  <c r="AI37" i="18"/>
  <c r="AL37" i="18"/>
  <c r="E82" i="15"/>
  <c r="C81" i="15"/>
  <c r="AZ81" i="15"/>
  <c r="BG39" i="14"/>
  <c r="AZ39" i="14"/>
  <c r="BC39" i="14" s="1"/>
  <c r="P57" i="18"/>
  <c r="M58" i="18" s="1"/>
  <c r="N58" i="18" s="1"/>
  <c r="T56" i="18"/>
  <c r="S57" i="18" s="1"/>
  <c r="R56" i="18"/>
  <c r="Q57" i="18" s="1"/>
  <c r="AT57" i="18" s="1"/>
  <c r="AV40" i="14"/>
  <c r="G84" i="3"/>
  <c r="AV83" i="3"/>
  <c r="AX83" i="3" s="1"/>
  <c r="V83" i="3"/>
  <c r="X83" i="3" s="1"/>
  <c r="BC81" i="3"/>
  <c r="AE82" i="3"/>
  <c r="AN86" i="3"/>
  <c r="AQ85" i="3"/>
  <c r="AD80" i="3"/>
  <c r="AJ80" i="3" s="1"/>
  <c r="AL82" i="3"/>
  <c r="H82" i="3"/>
  <c r="AF81" i="3"/>
  <c r="AG82" i="3"/>
  <c r="A83" i="3"/>
  <c r="BI83" i="3" s="1"/>
  <c r="BJ83" i="3" s="1"/>
  <c r="P85" i="3"/>
  <c r="P86" i="3" s="1"/>
  <c r="Y82" i="3"/>
  <c r="AC81" i="3"/>
  <c r="AW85" i="3"/>
  <c r="AH82" i="3"/>
  <c r="BD81" i="3"/>
  <c r="AM82" i="3"/>
  <c r="AJ38" i="12" l="1"/>
  <c r="AK38" i="12" s="1"/>
  <c r="AW38" i="12" s="1"/>
  <c r="BA38" i="12" s="1"/>
  <c r="BD38" i="12" s="1"/>
  <c r="AJ6" i="17"/>
  <c r="AK6" i="17" s="1"/>
  <c r="AW6" i="17" s="1"/>
  <c r="AT43" i="25"/>
  <c r="AE43" i="25"/>
  <c r="AD44" i="25" s="1"/>
  <c r="T44" i="25"/>
  <c r="S44" i="25"/>
  <c r="W44" i="25" s="1"/>
  <c r="R45" i="25" s="1"/>
  <c r="M103" i="23"/>
  <c r="P104" i="23"/>
  <c r="T42" i="24"/>
  <c r="S43" i="24" s="1"/>
  <c r="AU34" i="28"/>
  <c r="AS34" i="28"/>
  <c r="AQ34" i="28"/>
  <c r="AZ101" i="23"/>
  <c r="BC101" i="23" s="1"/>
  <c r="Q35" i="28"/>
  <c r="L36" i="28" s="1"/>
  <c r="N36" i="28" s="1"/>
  <c r="AT46" i="29"/>
  <c r="AT60" i="28"/>
  <c r="AE60" i="28"/>
  <c r="AD61" i="28" s="1"/>
  <c r="O35" i="29"/>
  <c r="P36" i="29"/>
  <c r="M35" i="29"/>
  <c r="N35" i="29"/>
  <c r="AG45" i="29"/>
  <c r="AF46" i="29" s="1"/>
  <c r="V61" i="28"/>
  <c r="S61" i="28"/>
  <c r="W61" i="28" s="1"/>
  <c r="R62" i="28" s="1"/>
  <c r="T61" i="28"/>
  <c r="AR85" i="3"/>
  <c r="O42" i="24"/>
  <c r="P42" i="24" s="1"/>
  <c r="M43" i="24" s="1"/>
  <c r="N43" i="24" s="1"/>
  <c r="AT42" i="24"/>
  <c r="R42" i="24"/>
  <c r="Q43" i="24" s="1"/>
  <c r="BB83" i="3"/>
  <c r="L44" i="24"/>
  <c r="I45" i="24" s="1"/>
  <c r="Y41" i="25"/>
  <c r="AG41" i="25" s="1"/>
  <c r="AF42" i="25" s="1"/>
  <c r="Z41" i="25"/>
  <c r="AN83" i="20"/>
  <c r="R55" i="26"/>
  <c r="Q56" i="26" s="1"/>
  <c r="AT56" i="26" s="1"/>
  <c r="O80" i="15"/>
  <c r="J69" i="26"/>
  <c r="L69" i="26" s="1"/>
  <c r="I70" i="26" s="1"/>
  <c r="AQ83" i="20"/>
  <c r="AR83" i="20" s="1"/>
  <c r="O84" i="20"/>
  <c r="AK81" i="3"/>
  <c r="BG81" i="3" s="1"/>
  <c r="P83" i="20"/>
  <c r="AI39" i="12"/>
  <c r="AJ39" i="12" s="1"/>
  <c r="AK39" i="12" s="1"/>
  <c r="K80" i="15"/>
  <c r="T51" i="15"/>
  <c r="S52" i="15" s="1"/>
  <c r="AC45" i="29"/>
  <c r="X46" i="29" s="1"/>
  <c r="T65" i="29"/>
  <c r="S65" i="29"/>
  <c r="W65" i="29" s="1"/>
  <c r="R66" i="29" s="1"/>
  <c r="U66" i="29" s="1"/>
  <c r="T56" i="26"/>
  <c r="S57" i="26" s="1"/>
  <c r="C79" i="29"/>
  <c r="AZ79" i="29"/>
  <c r="E80" i="29"/>
  <c r="AI34" i="29"/>
  <c r="AO34" i="29"/>
  <c r="H32" i="26"/>
  <c r="P56" i="26"/>
  <c r="M57" i="26" s="1"/>
  <c r="K79" i="26"/>
  <c r="O79" i="26"/>
  <c r="AQ79" i="26"/>
  <c r="AS79" i="26"/>
  <c r="AU79" i="26"/>
  <c r="AZ80" i="26"/>
  <c r="C80" i="26"/>
  <c r="E81" i="26"/>
  <c r="AG45" i="28"/>
  <c r="AF46" i="28" s="1"/>
  <c r="H35" i="28"/>
  <c r="AP35" i="28" s="1"/>
  <c r="J36" i="28"/>
  <c r="G35" i="28"/>
  <c r="AI35" i="28" s="1"/>
  <c r="C80" i="28"/>
  <c r="AZ80" i="28"/>
  <c r="E81" i="28"/>
  <c r="AC45" i="28"/>
  <c r="X46" i="28" s="1"/>
  <c r="AB46" i="28" s="1"/>
  <c r="AK35" i="25"/>
  <c r="G36" i="25"/>
  <c r="K36" i="25" s="1"/>
  <c r="J37" i="25"/>
  <c r="H36" i="25"/>
  <c r="AP36" i="25" s="1"/>
  <c r="U79" i="25"/>
  <c r="V79" i="25"/>
  <c r="AA79" i="25"/>
  <c r="AB79" i="25"/>
  <c r="AR79" i="25"/>
  <c r="BA80" i="25"/>
  <c r="BB80" i="25"/>
  <c r="BC80" i="25"/>
  <c r="AM35" i="25"/>
  <c r="AN35" i="25" s="1"/>
  <c r="Q36" i="25"/>
  <c r="AZ80" i="25"/>
  <c r="BD80" i="25"/>
  <c r="C80" i="25"/>
  <c r="E81" i="25"/>
  <c r="AQ79" i="24"/>
  <c r="AS79" i="24"/>
  <c r="AU79" i="24"/>
  <c r="F31" i="24"/>
  <c r="AL30" i="24"/>
  <c r="AM30" i="24" s="1"/>
  <c r="AI30" i="24"/>
  <c r="AJ30" i="24" s="1"/>
  <c r="AZ80" i="24"/>
  <c r="C80" i="24"/>
  <c r="E81" i="24"/>
  <c r="F103" i="23"/>
  <c r="I103" i="23" s="1"/>
  <c r="AR103" i="23" s="1"/>
  <c r="AU102" i="23"/>
  <c r="AS102" i="23"/>
  <c r="AQ102" i="23"/>
  <c r="H31" i="15"/>
  <c r="AS81" i="15"/>
  <c r="AU81" i="15"/>
  <c r="AQ81" i="15"/>
  <c r="P51" i="15"/>
  <c r="M52" i="15" s="1"/>
  <c r="N52" i="15" s="1"/>
  <c r="BG30" i="23"/>
  <c r="F32" i="23"/>
  <c r="AI31" i="23"/>
  <c r="AL31" i="23"/>
  <c r="K34" i="29"/>
  <c r="AN34" i="29"/>
  <c r="O78" i="25"/>
  <c r="I78" i="25"/>
  <c r="R50" i="15"/>
  <c r="Q51" i="15" s="1"/>
  <c r="AT51" i="15" s="1"/>
  <c r="BF80" i="3"/>
  <c r="T76" i="14"/>
  <c r="AV41" i="14"/>
  <c r="BG41" i="14" s="1"/>
  <c r="AK38" i="13"/>
  <c r="AV74" i="14"/>
  <c r="AZ74" i="14" s="1"/>
  <c r="BC74" i="14" s="1"/>
  <c r="AM83" i="3"/>
  <c r="AI80" i="3"/>
  <c r="BE80" i="3" s="1"/>
  <c r="AE75" i="14"/>
  <c r="AD76" i="14" s="1"/>
  <c r="AE76" i="14" s="1"/>
  <c r="AD77" i="14" s="1"/>
  <c r="F7" i="19"/>
  <c r="J8" i="19" s="1"/>
  <c r="AR80" i="19"/>
  <c r="Z40" i="13"/>
  <c r="AG40" i="12"/>
  <c r="AF41" i="12" s="1"/>
  <c r="AN38" i="13"/>
  <c r="AG76" i="14"/>
  <c r="AF77" i="14" s="1"/>
  <c r="AS6" i="19"/>
  <c r="AQ6" i="19"/>
  <c r="AG8" i="19"/>
  <c r="AF9" i="19" s="1"/>
  <c r="AL39" i="13"/>
  <c r="AM39" i="13" s="1"/>
  <c r="AN39" i="13" s="1"/>
  <c r="AL39" i="12"/>
  <c r="AM39" i="12" s="1"/>
  <c r="AN39" i="12" s="1"/>
  <c r="L54" i="15"/>
  <c r="I55" i="15" s="1"/>
  <c r="J55" i="15" s="1"/>
  <c r="AC7" i="17"/>
  <c r="X8" i="17" s="1"/>
  <c r="Z8" i="17" s="1"/>
  <c r="AG40" i="13"/>
  <c r="AF41" i="13" s="1"/>
  <c r="AC40" i="13"/>
  <c r="X41" i="13" s="1"/>
  <c r="Y41" i="13" s="1"/>
  <c r="K75" i="14"/>
  <c r="AQ75" i="14" s="1"/>
  <c r="S77" i="14"/>
  <c r="W77" i="14" s="1"/>
  <c r="R78" i="14" s="1"/>
  <c r="T77" i="14"/>
  <c r="S41" i="13"/>
  <c r="W41" i="13" s="1"/>
  <c r="R42" i="13" s="1"/>
  <c r="T41" i="13"/>
  <c r="V81" i="17"/>
  <c r="U81" i="17"/>
  <c r="AA81" i="19"/>
  <c r="I81" i="19"/>
  <c r="O81" i="17"/>
  <c r="AB81" i="19"/>
  <c r="AB81" i="17"/>
  <c r="V81" i="19"/>
  <c r="I81" i="17"/>
  <c r="O81" i="19"/>
  <c r="AA81" i="17"/>
  <c r="U81" i="19"/>
  <c r="S41" i="12"/>
  <c r="W41" i="12" s="1"/>
  <c r="R42" i="12" s="1"/>
  <c r="T41" i="12"/>
  <c r="AQ39" i="13"/>
  <c r="H40" i="13"/>
  <c r="J41" i="13"/>
  <c r="G40" i="13"/>
  <c r="K40" i="13" s="1"/>
  <c r="F41" i="13" s="1"/>
  <c r="AI39" i="13"/>
  <c r="P79" i="14"/>
  <c r="N78" i="14"/>
  <c r="M78" i="14"/>
  <c r="Q78" i="14" s="1"/>
  <c r="L79" i="14" s="1"/>
  <c r="AI75" i="14"/>
  <c r="AJ75" i="14" s="1"/>
  <c r="AK75" i="14" s="1"/>
  <c r="Y9" i="19"/>
  <c r="Z9" i="19"/>
  <c r="M40" i="13"/>
  <c r="Q40" i="13" s="1"/>
  <c r="L41" i="13" s="1"/>
  <c r="N40" i="13"/>
  <c r="P41" i="13"/>
  <c r="AT8" i="17"/>
  <c r="AE8" i="17"/>
  <c r="AD9" i="17" s="1"/>
  <c r="N42" i="12"/>
  <c r="M42" i="12"/>
  <c r="Q42" i="12" s="1"/>
  <c r="L43" i="12" s="1"/>
  <c r="P43" i="12"/>
  <c r="AE40" i="12"/>
  <c r="AD41" i="12" s="1"/>
  <c r="AT41" i="12" s="1"/>
  <c r="AS39" i="13"/>
  <c r="AP39" i="13"/>
  <c r="AO39" i="13"/>
  <c r="AO39" i="12"/>
  <c r="AP39" i="12"/>
  <c r="M10" i="17"/>
  <c r="Q10" i="17" s="1"/>
  <c r="L11" i="17" s="1"/>
  <c r="P11" i="17"/>
  <c r="N10" i="17"/>
  <c r="S9" i="19"/>
  <c r="W9" i="19" s="1"/>
  <c r="R10" i="19" s="1"/>
  <c r="T9" i="19"/>
  <c r="AO75" i="14"/>
  <c r="AP75" i="14"/>
  <c r="P11" i="19"/>
  <c r="M10" i="19"/>
  <c r="Q10" i="19" s="1"/>
  <c r="L11" i="19" s="1"/>
  <c r="N10" i="19"/>
  <c r="T9" i="17"/>
  <c r="S9" i="17"/>
  <c r="W9" i="17" s="1"/>
  <c r="R10" i="17" s="1"/>
  <c r="AU39" i="13"/>
  <c r="Z41" i="12"/>
  <c r="Y41" i="12"/>
  <c r="AC41" i="12" s="1"/>
  <c r="X42" i="12" s="1"/>
  <c r="AT40" i="13"/>
  <c r="AE40" i="13"/>
  <c r="AD41" i="13" s="1"/>
  <c r="J8" i="17"/>
  <c r="H7" i="17"/>
  <c r="G7" i="17"/>
  <c r="K7" i="17" s="1"/>
  <c r="F8" i="17" s="1"/>
  <c r="AT8" i="19"/>
  <c r="AE8" i="19"/>
  <c r="AD9" i="19" s="1"/>
  <c r="Y77" i="14"/>
  <c r="AC77" i="14" s="1"/>
  <c r="X78" i="14" s="1"/>
  <c r="Z77" i="14"/>
  <c r="C81" i="19"/>
  <c r="AZ81" i="19"/>
  <c r="E82" i="19"/>
  <c r="AR80" i="16"/>
  <c r="AZ81" i="16"/>
  <c r="E82" i="16"/>
  <c r="BD81" i="16"/>
  <c r="C81" i="16"/>
  <c r="J78" i="18"/>
  <c r="L78" i="18" s="1"/>
  <c r="I79" i="18" s="1"/>
  <c r="AZ80" i="17"/>
  <c r="C80" i="17"/>
  <c r="E81" i="17"/>
  <c r="C80" i="18"/>
  <c r="E81" i="18"/>
  <c r="AZ80" i="18"/>
  <c r="AU79" i="18"/>
  <c r="O79" i="18"/>
  <c r="AS79" i="18"/>
  <c r="K79" i="18"/>
  <c r="AQ79" i="18"/>
  <c r="H43" i="14"/>
  <c r="F44" i="14" s="1"/>
  <c r="G44" i="14" s="1"/>
  <c r="AR44" i="14" s="1"/>
  <c r="G38" i="18"/>
  <c r="AR38" i="18" s="1"/>
  <c r="AZ82" i="15"/>
  <c r="C82" i="15"/>
  <c r="E83" i="15"/>
  <c r="AM37" i="18"/>
  <c r="AN37" i="18" s="1"/>
  <c r="AJ37" i="18"/>
  <c r="AK37" i="18" s="1"/>
  <c r="AZ40" i="14"/>
  <c r="BC40" i="14" s="1"/>
  <c r="BG40" i="14"/>
  <c r="P58" i="18"/>
  <c r="M59" i="18" s="1"/>
  <c r="N59" i="18" s="1"/>
  <c r="R57" i="18"/>
  <c r="Q58" i="18" s="1"/>
  <c r="AT58" i="18" s="1"/>
  <c r="T57" i="18"/>
  <c r="AW86" i="3"/>
  <c r="AG83" i="3"/>
  <c r="AD81" i="3"/>
  <c r="AI81" i="3" s="1"/>
  <c r="BE81" i="3" s="1"/>
  <c r="H83" i="3"/>
  <c r="AF82" i="3"/>
  <c r="AD82" i="3" s="1"/>
  <c r="AL83" i="3"/>
  <c r="BC82" i="3"/>
  <c r="AE83" i="3"/>
  <c r="AH83" i="3"/>
  <c r="BD82" i="3"/>
  <c r="Y83" i="3"/>
  <c r="AC82" i="3"/>
  <c r="A84" i="3"/>
  <c r="BI84" i="3" s="1"/>
  <c r="BJ84" i="3" s="1"/>
  <c r="AQ86" i="3"/>
  <c r="V84" i="3"/>
  <c r="X84" i="3" s="1"/>
  <c r="G85" i="3"/>
  <c r="AV84" i="3"/>
  <c r="AX84" i="3" s="1"/>
  <c r="T45" i="25" l="1"/>
  <c r="S45" i="25"/>
  <c r="W45" i="25" s="1"/>
  <c r="R46" i="25" s="1"/>
  <c r="AT44" i="25"/>
  <c r="AE44" i="25"/>
  <c r="AD45" i="25" s="1"/>
  <c r="T43" i="24"/>
  <c r="S44" i="24" s="1"/>
  <c r="AW34" i="28"/>
  <c r="AX34" i="28" s="1"/>
  <c r="AY34" i="28" s="1"/>
  <c r="M36" i="28"/>
  <c r="O36" i="28"/>
  <c r="P37" i="28"/>
  <c r="AE61" i="28"/>
  <c r="AD62" i="28" s="1"/>
  <c r="AT61" i="28"/>
  <c r="Q103" i="23"/>
  <c r="L104" i="23" s="1"/>
  <c r="Z46" i="29"/>
  <c r="AA46" i="29"/>
  <c r="AE46" i="29" s="1"/>
  <c r="AD47" i="29" s="1"/>
  <c r="V62" i="28"/>
  <c r="S62" i="28"/>
  <c r="W62" i="28" s="1"/>
  <c r="R63" i="28" s="1"/>
  <c r="T62" i="28"/>
  <c r="AR86" i="3"/>
  <c r="AT43" i="24"/>
  <c r="R43" i="24"/>
  <c r="Q44" i="24" s="1"/>
  <c r="O43" i="24"/>
  <c r="P43" i="24" s="1"/>
  <c r="M44" i="24" s="1"/>
  <c r="N44" i="24" s="1"/>
  <c r="BB84" i="3"/>
  <c r="AC41" i="25"/>
  <c r="X42" i="25" s="1"/>
  <c r="K45" i="24"/>
  <c r="J45" i="24"/>
  <c r="AN84" i="20"/>
  <c r="AR81" i="19"/>
  <c r="R56" i="26"/>
  <c r="Q57" i="26" s="1"/>
  <c r="AT57" i="26" s="1"/>
  <c r="J70" i="26"/>
  <c r="L70" i="26" s="1"/>
  <c r="I71" i="26" s="1"/>
  <c r="J71" i="26" s="1"/>
  <c r="L71" i="26" s="1"/>
  <c r="I72" i="26" s="1"/>
  <c r="J72" i="26" s="1"/>
  <c r="L72" i="26" s="1"/>
  <c r="I73" i="26" s="1"/>
  <c r="J73" i="26" s="1"/>
  <c r="L73" i="26" s="1"/>
  <c r="I74" i="26" s="1"/>
  <c r="J74" i="26" s="1"/>
  <c r="L74" i="26" s="1"/>
  <c r="I75" i="26" s="1"/>
  <c r="J75" i="26" s="1"/>
  <c r="L75" i="26" s="1"/>
  <c r="I76" i="26" s="1"/>
  <c r="AK82" i="3"/>
  <c r="BG82" i="3" s="1"/>
  <c r="O85" i="20"/>
  <c r="AQ84" i="20"/>
  <c r="AR84" i="20" s="1"/>
  <c r="P84" i="20"/>
  <c r="AS39" i="12"/>
  <c r="K81" i="15"/>
  <c r="O81" i="15"/>
  <c r="T52" i="15"/>
  <c r="S53" i="15" s="1"/>
  <c r="Y46" i="29"/>
  <c r="T66" i="29"/>
  <c r="S66" i="29"/>
  <c r="W66" i="29" s="1"/>
  <c r="R67" i="29" s="1"/>
  <c r="U67" i="29" s="1"/>
  <c r="C80" i="29"/>
  <c r="AZ80" i="29"/>
  <c r="E81" i="29"/>
  <c r="AJ34" i="29"/>
  <c r="AK34" i="29" s="1"/>
  <c r="F35" i="29"/>
  <c r="I35" i="29" s="1"/>
  <c r="AR35" i="29" s="1"/>
  <c r="AS34" i="29"/>
  <c r="AU34" i="29"/>
  <c r="AQ34" i="29"/>
  <c r="O80" i="26"/>
  <c r="AQ80" i="26"/>
  <c r="AS80" i="26"/>
  <c r="AU80" i="26"/>
  <c r="K80" i="26"/>
  <c r="N57" i="26"/>
  <c r="F33" i="26"/>
  <c r="AI32" i="26"/>
  <c r="AJ32" i="26" s="1"/>
  <c r="AK32" i="26" s="1"/>
  <c r="AL32" i="26"/>
  <c r="AM32" i="26" s="1"/>
  <c r="AN32" i="26" s="1"/>
  <c r="C81" i="26"/>
  <c r="AZ81" i="26"/>
  <c r="E82" i="26"/>
  <c r="AO35" i="28"/>
  <c r="Z46" i="28"/>
  <c r="Y46" i="28"/>
  <c r="AL35" i="28"/>
  <c r="AM35" i="28" s="1"/>
  <c r="AN35" i="28" s="1"/>
  <c r="AZ81" i="28"/>
  <c r="C81" i="28"/>
  <c r="E82" i="28"/>
  <c r="AL36" i="25"/>
  <c r="AM36" i="25" s="1"/>
  <c r="AN36" i="25" s="1"/>
  <c r="AW35" i="25"/>
  <c r="AX35" i="25" s="1"/>
  <c r="AY35" i="25" s="1"/>
  <c r="F37" i="25"/>
  <c r="AI36" i="25"/>
  <c r="AQ36" i="25"/>
  <c r="AS36" i="25"/>
  <c r="AU36" i="25"/>
  <c r="U80" i="25"/>
  <c r="V80" i="25"/>
  <c r="AA80" i="25"/>
  <c r="AB80" i="25"/>
  <c r="AR80" i="25"/>
  <c r="AN30" i="24"/>
  <c r="AO36" i="25"/>
  <c r="AK30" i="24"/>
  <c r="BA81" i="25"/>
  <c r="BB81" i="25"/>
  <c r="BC81" i="25"/>
  <c r="L37" i="25"/>
  <c r="C81" i="25"/>
  <c r="AZ81" i="25"/>
  <c r="BD81" i="25"/>
  <c r="E82" i="25"/>
  <c r="AQ80" i="24"/>
  <c r="AS80" i="24"/>
  <c r="AU80" i="24"/>
  <c r="C81" i="24"/>
  <c r="AZ81" i="24"/>
  <c r="E82" i="24"/>
  <c r="AV102" i="23"/>
  <c r="AZ102" i="23" s="1"/>
  <c r="BC102" i="23" s="1"/>
  <c r="G31" i="24"/>
  <c r="AR31" i="24" s="1"/>
  <c r="G103" i="23"/>
  <c r="K103" i="23" s="1"/>
  <c r="F104" i="23" s="1"/>
  <c r="I104" i="23" s="1"/>
  <c r="AR104" i="23" s="1"/>
  <c r="J104" i="23"/>
  <c r="H103" i="23"/>
  <c r="F32" i="15"/>
  <c r="AI31" i="15"/>
  <c r="AJ31" i="15" s="1"/>
  <c r="AK31" i="15" s="1"/>
  <c r="AL31" i="15"/>
  <c r="AM31" i="15" s="1"/>
  <c r="AN31" i="15" s="1"/>
  <c r="K82" i="15"/>
  <c r="O82" i="15"/>
  <c r="AQ82" i="15"/>
  <c r="AS82" i="15"/>
  <c r="AU82" i="15"/>
  <c r="P52" i="15"/>
  <c r="M53" i="15" s="1"/>
  <c r="N53" i="15" s="1"/>
  <c r="G32" i="23"/>
  <c r="AR32" i="23" s="1"/>
  <c r="AJ31" i="23"/>
  <c r="AK31" i="23" s="1"/>
  <c r="AM31" i="23"/>
  <c r="AN31" i="23" s="1"/>
  <c r="K35" i="28"/>
  <c r="O79" i="25"/>
  <c r="I79" i="25"/>
  <c r="AJ81" i="3"/>
  <c r="BF81" i="3" s="1"/>
  <c r="R51" i="15"/>
  <c r="Q52" i="15" s="1"/>
  <c r="AT52" i="15" s="1"/>
  <c r="AJ82" i="3"/>
  <c r="BF82" i="3" s="1"/>
  <c r="AQ39" i="12"/>
  <c r="AZ41" i="14"/>
  <c r="BC41" i="14" s="1"/>
  <c r="AT76" i="14"/>
  <c r="AW6" i="19"/>
  <c r="AW38" i="13"/>
  <c r="AM84" i="3"/>
  <c r="G7" i="19"/>
  <c r="AI7" i="19" s="1"/>
  <c r="AJ7" i="19" s="1"/>
  <c r="AK7" i="19" s="1"/>
  <c r="H7" i="19"/>
  <c r="AP7" i="19" s="1"/>
  <c r="Y8" i="17"/>
  <c r="AG8" i="17" s="1"/>
  <c r="AF9" i="17" s="1"/>
  <c r="L55" i="15"/>
  <c r="I56" i="15" s="1"/>
  <c r="J56" i="15" s="1"/>
  <c r="AG9" i="19"/>
  <c r="AF10" i="19" s="1"/>
  <c r="F76" i="14"/>
  <c r="H76" i="14" s="1"/>
  <c r="AU75" i="14"/>
  <c r="AC9" i="19"/>
  <c r="X10" i="19" s="1"/>
  <c r="Z10" i="19" s="1"/>
  <c r="AG41" i="12"/>
  <c r="AF42" i="12" s="1"/>
  <c r="AS75" i="14"/>
  <c r="AG41" i="13"/>
  <c r="AF42" i="13" s="1"/>
  <c r="AC41" i="13"/>
  <c r="X42" i="13" s="1"/>
  <c r="Y42" i="13" s="1"/>
  <c r="AC42" i="13" s="1"/>
  <c r="X43" i="13" s="1"/>
  <c r="Z41" i="13"/>
  <c r="AS40" i="13"/>
  <c r="AU39" i="12"/>
  <c r="AI40" i="13"/>
  <c r="AJ40" i="13" s="1"/>
  <c r="AK40" i="13" s="1"/>
  <c r="AU40" i="13"/>
  <c r="S78" i="14"/>
  <c r="W78" i="14" s="1"/>
  <c r="R79" i="14" s="1"/>
  <c r="T78" i="14"/>
  <c r="AQ7" i="17"/>
  <c r="AU7" i="17"/>
  <c r="AG77" i="14"/>
  <c r="AF78" i="14" s="1"/>
  <c r="AT77" i="14"/>
  <c r="AE77" i="14"/>
  <c r="AD78" i="14" s="1"/>
  <c r="AT9" i="17"/>
  <c r="AE9" i="17"/>
  <c r="AD10" i="17" s="1"/>
  <c r="M41" i="13"/>
  <c r="Q41" i="13" s="1"/>
  <c r="L42" i="13" s="1"/>
  <c r="P42" i="13"/>
  <c r="N41" i="13"/>
  <c r="AJ39" i="13"/>
  <c r="AK39" i="13" s="1"/>
  <c r="AW39" i="13" s="1"/>
  <c r="AL40" i="13"/>
  <c r="S42" i="12"/>
  <c r="W42" i="12" s="1"/>
  <c r="R43" i="12" s="1"/>
  <c r="T42" i="12"/>
  <c r="J9" i="17"/>
  <c r="G8" i="17"/>
  <c r="K8" i="17" s="1"/>
  <c r="F9" i="17" s="1"/>
  <c r="H8" i="17"/>
  <c r="P80" i="14"/>
  <c r="M79" i="14"/>
  <c r="Q79" i="14" s="1"/>
  <c r="L80" i="14" s="1"/>
  <c r="N79" i="14"/>
  <c r="AT9" i="19"/>
  <c r="AE9" i="19"/>
  <c r="AD10" i="19" s="1"/>
  <c r="AT10" i="19" s="1"/>
  <c r="AL7" i="17"/>
  <c r="AM7" i="17" s="1"/>
  <c r="AN7" i="17" s="1"/>
  <c r="AO7" i="17"/>
  <c r="AP7" i="17"/>
  <c r="N11" i="19"/>
  <c r="P12" i="19"/>
  <c r="M11" i="19"/>
  <c r="Q11" i="19" s="1"/>
  <c r="L12" i="19" s="1"/>
  <c r="T10" i="19"/>
  <c r="S10" i="19"/>
  <c r="W10" i="19" s="1"/>
  <c r="R11" i="19" s="1"/>
  <c r="AE41" i="12"/>
  <c r="AD42" i="12" s="1"/>
  <c r="AT42" i="12" s="1"/>
  <c r="N43" i="12"/>
  <c r="M43" i="12"/>
  <c r="Q43" i="12" s="1"/>
  <c r="L44" i="12" s="1"/>
  <c r="P44" i="12"/>
  <c r="AQ40" i="13"/>
  <c r="T42" i="13"/>
  <c r="S42" i="13"/>
  <c r="W42" i="13" s="1"/>
  <c r="R43" i="13" s="1"/>
  <c r="AB82" i="17"/>
  <c r="O82" i="17"/>
  <c r="U82" i="17"/>
  <c r="AB82" i="19"/>
  <c r="O82" i="19"/>
  <c r="I82" i="17"/>
  <c r="V82" i="17"/>
  <c r="V82" i="19"/>
  <c r="U82" i="19"/>
  <c r="AA82" i="17"/>
  <c r="I82" i="19"/>
  <c r="AA82" i="19"/>
  <c r="AS7" i="17"/>
  <c r="AT41" i="13"/>
  <c r="AE41" i="13"/>
  <c r="AD42" i="13" s="1"/>
  <c r="AO40" i="13"/>
  <c r="AP40" i="13"/>
  <c r="Y78" i="14"/>
  <c r="AC78" i="14" s="1"/>
  <c r="X79" i="14" s="1"/>
  <c r="Z78" i="14"/>
  <c r="AI7" i="17"/>
  <c r="AJ7" i="17" s="1"/>
  <c r="AK7" i="17" s="1"/>
  <c r="Z42" i="12"/>
  <c r="Y42" i="12"/>
  <c r="AC42" i="12" s="1"/>
  <c r="X43" i="12" s="1"/>
  <c r="S10" i="17"/>
  <c r="W10" i="17" s="1"/>
  <c r="R11" i="17" s="1"/>
  <c r="T10" i="17"/>
  <c r="P12" i="17"/>
  <c r="N11" i="17"/>
  <c r="M11" i="17"/>
  <c r="Q11" i="17" s="1"/>
  <c r="L12" i="17" s="1"/>
  <c r="H41" i="13"/>
  <c r="G41" i="13"/>
  <c r="K41" i="13" s="1"/>
  <c r="F42" i="13" s="1"/>
  <c r="J42" i="13"/>
  <c r="AZ82" i="19"/>
  <c r="E83" i="19"/>
  <c r="C82" i="19"/>
  <c r="E83" i="16"/>
  <c r="AZ82" i="16"/>
  <c r="BD82" i="16"/>
  <c r="C82" i="16"/>
  <c r="AR81" i="16"/>
  <c r="J79" i="18"/>
  <c r="L79" i="18" s="1"/>
  <c r="I80" i="18" s="1"/>
  <c r="C81" i="18"/>
  <c r="E82" i="18"/>
  <c r="AZ81" i="18"/>
  <c r="AS80" i="18"/>
  <c r="O80" i="18"/>
  <c r="K80" i="18"/>
  <c r="AQ80" i="18"/>
  <c r="AU80" i="18"/>
  <c r="E82" i="17"/>
  <c r="AZ81" i="17"/>
  <c r="C81" i="17"/>
  <c r="AI43" i="14"/>
  <c r="AJ43" i="14" s="1"/>
  <c r="AL43" i="14"/>
  <c r="AM43" i="14" s="1"/>
  <c r="H44" i="14"/>
  <c r="AZ83" i="15"/>
  <c r="C83" i="15"/>
  <c r="E84" i="15"/>
  <c r="H38" i="18"/>
  <c r="AW37" i="18"/>
  <c r="AX37" i="18" s="1"/>
  <c r="AY37" i="18" s="1"/>
  <c r="S58" i="18"/>
  <c r="T58" i="18" s="1"/>
  <c r="S59" i="18" s="1"/>
  <c r="T59" i="18" s="1"/>
  <c r="S60" i="18" s="1"/>
  <c r="P59" i="18"/>
  <c r="M60" i="18" s="1"/>
  <c r="N60" i="18" s="1"/>
  <c r="R58" i="18"/>
  <c r="Q59" i="18" s="1"/>
  <c r="AT59" i="18" s="1"/>
  <c r="AK42" i="14"/>
  <c r="AN42" i="14"/>
  <c r="AI82" i="3"/>
  <c r="BE82" i="3" s="1"/>
  <c r="AG84" i="3"/>
  <c r="AQ87" i="3"/>
  <c r="Y84" i="3"/>
  <c r="AC83" i="3"/>
  <c r="BC83" i="3"/>
  <c r="AE84" i="3"/>
  <c r="AN87" i="3"/>
  <c r="P87" i="3"/>
  <c r="G86" i="3"/>
  <c r="AV85" i="3"/>
  <c r="AX85" i="3" s="1"/>
  <c r="V85" i="3"/>
  <c r="X85" i="3" s="1"/>
  <c r="A85" i="3"/>
  <c r="BI85" i="3" s="1"/>
  <c r="BJ85" i="3" s="1"/>
  <c r="AH84" i="3"/>
  <c r="BD83" i="3"/>
  <c r="AL84" i="3"/>
  <c r="AF83" i="3"/>
  <c r="AD83" i="3" s="1"/>
  <c r="H84" i="3"/>
  <c r="AW87" i="3"/>
  <c r="S46" i="25" l="1"/>
  <c r="W46" i="25" s="1"/>
  <c r="R47" i="25" s="1"/>
  <c r="T46" i="25"/>
  <c r="AT45" i="25"/>
  <c r="AE45" i="25"/>
  <c r="AD46" i="25" s="1"/>
  <c r="T44" i="24"/>
  <c r="S45" i="24" s="1"/>
  <c r="AG46" i="29"/>
  <c r="AF47" i="29" s="1"/>
  <c r="Q35" i="29"/>
  <c r="L36" i="29" s="1"/>
  <c r="P37" i="29" s="1"/>
  <c r="O104" i="23"/>
  <c r="N104" i="23"/>
  <c r="M104" i="23"/>
  <c r="P105" i="23"/>
  <c r="AT47" i="29"/>
  <c r="V63" i="28"/>
  <c r="S63" i="28"/>
  <c r="W63" i="28" s="1"/>
  <c r="R64" i="28" s="1"/>
  <c r="T63" i="28"/>
  <c r="AE62" i="28"/>
  <c r="AD63" i="28" s="1"/>
  <c r="AT62" i="28"/>
  <c r="AR87" i="3"/>
  <c r="O44" i="24"/>
  <c r="P44" i="24" s="1"/>
  <c r="M45" i="24" s="1"/>
  <c r="N45" i="24" s="1"/>
  <c r="AT44" i="24"/>
  <c r="R44" i="24"/>
  <c r="Q45" i="24" s="1"/>
  <c r="AT45" i="24" s="1"/>
  <c r="BB85" i="3"/>
  <c r="L45" i="24"/>
  <c r="I46" i="24" s="1"/>
  <c r="Z42" i="25"/>
  <c r="Y42" i="25"/>
  <c r="AG42" i="25" s="1"/>
  <c r="AF43" i="25" s="1"/>
  <c r="AN85" i="20"/>
  <c r="AL85" i="3"/>
  <c r="AM85" i="3"/>
  <c r="J76" i="26"/>
  <c r="L76" i="26" s="1"/>
  <c r="I77" i="26" s="1"/>
  <c r="AQ85" i="20"/>
  <c r="AR85" i="20" s="1"/>
  <c r="O86" i="20"/>
  <c r="P85" i="20"/>
  <c r="AK83" i="3"/>
  <c r="BG83" i="3" s="1"/>
  <c r="T53" i="15"/>
  <c r="S54" i="15" s="1"/>
  <c r="AC46" i="29"/>
  <c r="X47" i="29" s="1"/>
  <c r="T67" i="29"/>
  <c r="S67" i="29"/>
  <c r="W67" i="29" s="1"/>
  <c r="R68" i="29" s="1"/>
  <c r="U68" i="29" s="1"/>
  <c r="C81" i="29"/>
  <c r="AZ81" i="29"/>
  <c r="E82" i="29"/>
  <c r="H35" i="29"/>
  <c r="AP35" i="29" s="1"/>
  <c r="J36" i="29"/>
  <c r="G35" i="29"/>
  <c r="AI35" i="29" s="1"/>
  <c r="AS81" i="26"/>
  <c r="AU81" i="26"/>
  <c r="AQ81" i="26"/>
  <c r="K81" i="26"/>
  <c r="O81" i="26"/>
  <c r="R57" i="26"/>
  <c r="Q58" i="26" s="1"/>
  <c r="T57" i="26"/>
  <c r="S58" i="26" s="1"/>
  <c r="P57" i="26"/>
  <c r="M58" i="26" s="1"/>
  <c r="G33" i="26"/>
  <c r="AR33" i="26" s="1"/>
  <c r="AW32" i="26"/>
  <c r="AX32" i="26" s="1"/>
  <c r="AY32" i="26" s="1"/>
  <c r="C82" i="26"/>
  <c r="AZ82" i="26"/>
  <c r="E83" i="26"/>
  <c r="AU35" i="28"/>
  <c r="AS35" i="28"/>
  <c r="AQ35" i="28"/>
  <c r="AG46" i="28"/>
  <c r="AF47" i="28" s="1"/>
  <c r="AC46" i="28"/>
  <c r="X47" i="28" s="1"/>
  <c r="AB47" i="28" s="1"/>
  <c r="AJ35" i="28"/>
  <c r="AK35" i="28" s="1"/>
  <c r="C82" i="28"/>
  <c r="AZ82" i="28"/>
  <c r="E83" i="28"/>
  <c r="F36" i="28"/>
  <c r="I36" i="28" s="1"/>
  <c r="Q36" i="28" s="1"/>
  <c r="L37" i="28" s="1"/>
  <c r="AW30" i="24"/>
  <c r="AX30" i="24" s="1"/>
  <c r="AY30" i="24" s="1"/>
  <c r="G37" i="25"/>
  <c r="K37" i="25" s="1"/>
  <c r="H37" i="25"/>
  <c r="J38" i="25"/>
  <c r="AW31" i="15"/>
  <c r="AX31" i="15" s="1"/>
  <c r="AY31" i="15" s="1"/>
  <c r="AR81" i="25"/>
  <c r="U81" i="25"/>
  <c r="V81" i="25"/>
  <c r="AA81" i="25"/>
  <c r="AB81" i="25"/>
  <c r="BA82" i="25"/>
  <c r="BB82" i="25"/>
  <c r="BC82" i="25"/>
  <c r="AZ82" i="25"/>
  <c r="BD82" i="25"/>
  <c r="C82" i="25"/>
  <c r="E83" i="25"/>
  <c r="N37" i="25"/>
  <c r="P38" i="25"/>
  <c r="M37" i="25"/>
  <c r="Q37" i="25" s="1"/>
  <c r="L38" i="25" s="1"/>
  <c r="AJ36" i="25"/>
  <c r="AK36" i="25" s="1"/>
  <c r="AW36" i="25" s="1"/>
  <c r="AX36" i="25" s="1"/>
  <c r="AY36" i="25" s="1"/>
  <c r="C82" i="24"/>
  <c r="AZ82" i="24"/>
  <c r="E83" i="24"/>
  <c r="AU81" i="24"/>
  <c r="AS81" i="24"/>
  <c r="AQ81" i="24"/>
  <c r="BG102" i="23"/>
  <c r="H31" i="24"/>
  <c r="H104" i="23"/>
  <c r="G104" i="23"/>
  <c r="K104" i="23" s="1"/>
  <c r="F105" i="23" s="1"/>
  <c r="I105" i="23" s="1"/>
  <c r="AR105" i="23" s="1"/>
  <c r="J105" i="23"/>
  <c r="AO103" i="23"/>
  <c r="AP103" i="23"/>
  <c r="AI103" i="23"/>
  <c r="AJ103" i="23" s="1"/>
  <c r="AK103" i="23" s="1"/>
  <c r="AS103" i="23"/>
  <c r="AQ103" i="23"/>
  <c r="AU103" i="23"/>
  <c r="AL103" i="23"/>
  <c r="AM103" i="23" s="1"/>
  <c r="AN103" i="23" s="1"/>
  <c r="G32" i="15"/>
  <c r="AR32" i="15" s="1"/>
  <c r="K83" i="15"/>
  <c r="O83" i="15"/>
  <c r="AQ83" i="15"/>
  <c r="AS83" i="15"/>
  <c r="AU83" i="15"/>
  <c r="P53" i="15"/>
  <c r="M54" i="15" s="1"/>
  <c r="N54" i="15" s="1"/>
  <c r="AV31" i="23"/>
  <c r="BG31" i="23" s="1"/>
  <c r="H32" i="23"/>
  <c r="AW34" i="29"/>
  <c r="AX34" i="29" s="1"/>
  <c r="AY34" i="29" s="1"/>
  <c r="O80" i="25"/>
  <c r="I80" i="25"/>
  <c r="R52" i="15"/>
  <c r="Q53" i="15" s="1"/>
  <c r="AT53" i="15" s="1"/>
  <c r="AJ83" i="3"/>
  <c r="BF83" i="3" s="1"/>
  <c r="AW39" i="12"/>
  <c r="BH39" i="12" s="1"/>
  <c r="AC8" i="17"/>
  <c r="X9" i="17" s="1"/>
  <c r="Y9" i="17" s="1"/>
  <c r="AG9" i="17" s="1"/>
  <c r="AF10" i="17" s="1"/>
  <c r="AV75" i="14"/>
  <c r="AZ75" i="14" s="1"/>
  <c r="BC75" i="14" s="1"/>
  <c r="BA38" i="13"/>
  <c r="BD38" i="13" s="1"/>
  <c r="AR82" i="19"/>
  <c r="K7" i="19"/>
  <c r="AU7" i="19" s="1"/>
  <c r="AO7" i="19"/>
  <c r="AL7" i="19"/>
  <c r="AM7" i="19" s="1"/>
  <c r="AN7" i="19" s="1"/>
  <c r="Z42" i="13"/>
  <c r="Y10" i="19"/>
  <c r="AC10" i="19" s="1"/>
  <c r="X11" i="19" s="1"/>
  <c r="Y11" i="19" s="1"/>
  <c r="AC11" i="19" s="1"/>
  <c r="X12" i="19" s="1"/>
  <c r="G76" i="14"/>
  <c r="K76" i="14" s="1"/>
  <c r="F77" i="14" s="1"/>
  <c r="G77" i="14" s="1"/>
  <c r="AI77" i="14" s="1"/>
  <c r="AJ77" i="14" s="1"/>
  <c r="AK77" i="14" s="1"/>
  <c r="J77" i="14"/>
  <c r="AS41" i="13"/>
  <c r="AI8" i="17"/>
  <c r="AJ8" i="17" s="1"/>
  <c r="AK8" i="17" s="1"/>
  <c r="AG42" i="12"/>
  <c r="AF43" i="12" s="1"/>
  <c r="AS8" i="17"/>
  <c r="L56" i="15"/>
  <c r="I57" i="15" s="1"/>
  <c r="J57" i="15" s="1"/>
  <c r="G40" i="12"/>
  <c r="K40" i="12" s="1"/>
  <c r="F41" i="12" s="1"/>
  <c r="J41" i="12"/>
  <c r="H40" i="12"/>
  <c r="AG78" i="14"/>
  <c r="AF79" i="14" s="1"/>
  <c r="Z43" i="13"/>
  <c r="Y43" i="13"/>
  <c r="AC43" i="13" s="1"/>
  <c r="X44" i="13" s="1"/>
  <c r="T11" i="19"/>
  <c r="S11" i="19"/>
  <c r="W11" i="19" s="1"/>
  <c r="R12" i="19" s="1"/>
  <c r="BH39" i="13"/>
  <c r="BA39" i="13"/>
  <c r="BD39" i="13" s="1"/>
  <c r="S43" i="13"/>
  <c r="W43" i="13" s="1"/>
  <c r="R44" i="13" s="1"/>
  <c r="T43" i="13"/>
  <c r="M44" i="12"/>
  <c r="Q44" i="12" s="1"/>
  <c r="L45" i="12" s="1"/>
  <c r="N44" i="12"/>
  <c r="P45" i="12"/>
  <c r="M80" i="14"/>
  <c r="Q80" i="14" s="1"/>
  <c r="L81" i="14" s="1"/>
  <c r="P81" i="14"/>
  <c r="N80" i="14"/>
  <c r="H42" i="13"/>
  <c r="J43" i="13"/>
  <c r="G42" i="13"/>
  <c r="K42" i="13" s="1"/>
  <c r="F43" i="13" s="1"/>
  <c r="AT42" i="13"/>
  <c r="AE42" i="13"/>
  <c r="AD43" i="13" s="1"/>
  <c r="H9" i="17"/>
  <c r="G9" i="17"/>
  <c r="AI9" i="17" s="1"/>
  <c r="AJ9" i="17" s="1"/>
  <c r="AK9" i="17" s="1"/>
  <c r="J10" i="17"/>
  <c r="AT78" i="14"/>
  <c r="AE78" i="14"/>
  <c r="AD79" i="14" s="1"/>
  <c r="AT79" i="14" s="1"/>
  <c r="AP76" i="14"/>
  <c r="AO76" i="14"/>
  <c r="AL41" i="13"/>
  <c r="AO41" i="13"/>
  <c r="AP41" i="13"/>
  <c r="M12" i="17"/>
  <c r="Q12" i="17" s="1"/>
  <c r="L13" i="17" s="1"/>
  <c r="N12" i="17"/>
  <c r="P13" i="17"/>
  <c r="T11" i="17"/>
  <c r="S11" i="17"/>
  <c r="W11" i="17" s="1"/>
  <c r="R12" i="17" s="1"/>
  <c r="Z79" i="14"/>
  <c r="Y79" i="14"/>
  <c r="AC79" i="14" s="1"/>
  <c r="X80" i="14" s="1"/>
  <c r="AL8" i="17"/>
  <c r="AM8" i="17" s="1"/>
  <c r="AN8" i="17" s="1"/>
  <c r="AM40" i="13"/>
  <c r="AN40" i="13" s="1"/>
  <c r="AW40" i="13" s="1"/>
  <c r="BH40" i="13" s="1"/>
  <c r="AG42" i="13"/>
  <c r="AF43" i="13" s="1"/>
  <c r="AE42" i="12"/>
  <c r="AD43" i="12" s="1"/>
  <c r="AT43" i="12" s="1"/>
  <c r="AO8" i="17"/>
  <c r="AP8" i="17"/>
  <c r="N42" i="13"/>
  <c r="M42" i="13"/>
  <c r="Q42" i="13" s="1"/>
  <c r="P43" i="13"/>
  <c r="V83" i="17"/>
  <c r="O83" i="17"/>
  <c r="U83" i="19"/>
  <c r="AB83" i="17"/>
  <c r="I83" i="17"/>
  <c r="O83" i="19"/>
  <c r="AA83" i="17"/>
  <c r="AB83" i="19"/>
  <c r="I83" i="19"/>
  <c r="AA83" i="19"/>
  <c r="U83" i="17"/>
  <c r="V83" i="19"/>
  <c r="AU41" i="13"/>
  <c r="M12" i="19"/>
  <c r="Q12" i="19" s="1"/>
  <c r="L13" i="19" s="1"/>
  <c r="N12" i="19"/>
  <c r="P13" i="19"/>
  <c r="S43" i="12"/>
  <c r="W43" i="12" s="1"/>
  <c r="R44" i="12" s="1"/>
  <c r="T43" i="12"/>
  <c r="S79" i="14"/>
  <c r="T79" i="14"/>
  <c r="AI41" i="13"/>
  <c r="AQ41" i="13"/>
  <c r="Y43" i="12"/>
  <c r="AC43" i="12" s="1"/>
  <c r="X44" i="12" s="1"/>
  <c r="Z43" i="12"/>
  <c r="AE10" i="19"/>
  <c r="AD11" i="19" s="1"/>
  <c r="AT11" i="19" s="1"/>
  <c r="AW7" i="17"/>
  <c r="AU8" i="17"/>
  <c r="AQ8" i="17"/>
  <c r="AT10" i="17"/>
  <c r="AE10" i="17"/>
  <c r="AD11" i="17" s="1"/>
  <c r="E84" i="19"/>
  <c r="C83" i="19"/>
  <c r="AZ83" i="19"/>
  <c r="AR82" i="16"/>
  <c r="E84" i="16"/>
  <c r="BD83" i="16"/>
  <c r="AZ83" i="16"/>
  <c r="C83" i="16"/>
  <c r="J80" i="18"/>
  <c r="L80" i="18" s="1"/>
  <c r="I81" i="18" s="1"/>
  <c r="J81" i="18" s="1"/>
  <c r="AZ82" i="18"/>
  <c r="E83" i="18"/>
  <c r="C82" i="18"/>
  <c r="AZ82" i="17"/>
  <c r="C82" i="17"/>
  <c r="E83" i="17"/>
  <c r="AU81" i="18"/>
  <c r="AQ81" i="18"/>
  <c r="O81" i="18"/>
  <c r="AS81" i="18"/>
  <c r="K81" i="18"/>
  <c r="AV42" i="14"/>
  <c r="AZ42" i="14" s="1"/>
  <c r="BC42" i="14" s="1"/>
  <c r="F45" i="14"/>
  <c r="AI44" i="14"/>
  <c r="AJ44" i="14" s="1"/>
  <c r="AL44" i="14"/>
  <c r="AM44" i="14" s="1"/>
  <c r="F39" i="18"/>
  <c r="AL38" i="18"/>
  <c r="AM38" i="18" s="1"/>
  <c r="AN38" i="18" s="1"/>
  <c r="AI38" i="18"/>
  <c r="E85" i="15"/>
  <c r="C84" i="15"/>
  <c r="AZ84" i="15"/>
  <c r="R59" i="18"/>
  <c r="Q60" i="18" s="1"/>
  <c r="AT60" i="18" s="1"/>
  <c r="T60" i="18"/>
  <c r="S61" i="18" s="1"/>
  <c r="H85" i="3"/>
  <c r="AF84" i="3"/>
  <c r="AH85" i="3"/>
  <c r="BD84" i="3"/>
  <c r="Y85" i="3"/>
  <c r="AC84" i="3"/>
  <c r="V86" i="3"/>
  <c r="X86" i="3" s="1"/>
  <c r="G87" i="3"/>
  <c r="AV86" i="3"/>
  <c r="AX86" i="3" s="1"/>
  <c r="BC84" i="3"/>
  <c r="AE85" i="3"/>
  <c r="AQ88" i="3"/>
  <c r="AW88" i="3"/>
  <c r="A86" i="3"/>
  <c r="BI86" i="3" s="1"/>
  <c r="BJ86" i="3" s="1"/>
  <c r="P88" i="3"/>
  <c r="AN88" i="3"/>
  <c r="AN89" i="3" s="1"/>
  <c r="AI83" i="3"/>
  <c r="BE83" i="3" s="1"/>
  <c r="AG85" i="3"/>
  <c r="AE46" i="25" l="1"/>
  <c r="AD47" i="25" s="1"/>
  <c r="AT46" i="25"/>
  <c r="S47" i="25"/>
  <c r="W47" i="25" s="1"/>
  <c r="R48" i="25" s="1"/>
  <c r="T47" i="25"/>
  <c r="T45" i="24"/>
  <c r="S46" i="24" s="1"/>
  <c r="Q104" i="23"/>
  <c r="L105" i="23" s="1"/>
  <c r="N105" i="23" s="1"/>
  <c r="O36" i="29"/>
  <c r="M36" i="29"/>
  <c r="N36" i="29"/>
  <c r="Z47" i="29"/>
  <c r="AA47" i="29"/>
  <c r="AE47" i="29" s="1"/>
  <c r="AD48" i="29" s="1"/>
  <c r="V64" i="28"/>
  <c r="S64" i="28"/>
  <c r="W64" i="28" s="1"/>
  <c r="R65" i="28" s="1"/>
  <c r="T64" i="28"/>
  <c r="AE63" i="28"/>
  <c r="AD64" i="28" s="1"/>
  <c r="AT63" i="28"/>
  <c r="O37" i="28"/>
  <c r="M37" i="28"/>
  <c r="N37" i="28"/>
  <c r="P38" i="28"/>
  <c r="AR88" i="3"/>
  <c r="O45" i="24"/>
  <c r="P45" i="24" s="1"/>
  <c r="M46" i="24" s="1"/>
  <c r="R45" i="24"/>
  <c r="Q46" i="24" s="1"/>
  <c r="AT46" i="24" s="1"/>
  <c r="BB86" i="3"/>
  <c r="AC42" i="25"/>
  <c r="X43" i="25" s="1"/>
  <c r="K46" i="24"/>
  <c r="J46" i="24"/>
  <c r="J77" i="26"/>
  <c r="L77" i="26" s="1"/>
  <c r="I78" i="26" s="1"/>
  <c r="AQ86" i="20"/>
  <c r="AR86" i="20" s="1"/>
  <c r="O87" i="20"/>
  <c r="P86" i="20"/>
  <c r="AN86" i="20"/>
  <c r="AK84" i="3"/>
  <c r="BG84" i="3" s="1"/>
  <c r="AI40" i="12"/>
  <c r="AJ40" i="12" s="1"/>
  <c r="AK40" i="12" s="1"/>
  <c r="T54" i="15"/>
  <c r="S55" i="15" s="1"/>
  <c r="Y47" i="29"/>
  <c r="AC47" i="29" s="1"/>
  <c r="X48" i="29" s="1"/>
  <c r="T68" i="29"/>
  <c r="S68" i="29"/>
  <c r="W68" i="29" s="1"/>
  <c r="R69" i="29" s="1"/>
  <c r="U69" i="29" s="1"/>
  <c r="AJ35" i="29"/>
  <c r="AK35" i="29" s="1"/>
  <c r="AZ82" i="29"/>
  <c r="C82" i="29"/>
  <c r="E83" i="29"/>
  <c r="AO35" i="29"/>
  <c r="AL35" i="29"/>
  <c r="AM35" i="29" s="1"/>
  <c r="H33" i="26"/>
  <c r="O82" i="26"/>
  <c r="K82" i="26"/>
  <c r="AS82" i="26"/>
  <c r="AU82" i="26"/>
  <c r="AQ82" i="26"/>
  <c r="AT58" i="26"/>
  <c r="N58" i="26"/>
  <c r="R58" i="26" s="1"/>
  <c r="Q59" i="26" s="1"/>
  <c r="AZ83" i="26"/>
  <c r="C83" i="26"/>
  <c r="E84" i="26"/>
  <c r="J37" i="28"/>
  <c r="H36" i="28"/>
  <c r="AP36" i="28" s="1"/>
  <c r="G36" i="28"/>
  <c r="AL36" i="28" s="1"/>
  <c r="Z47" i="28"/>
  <c r="Y47" i="28"/>
  <c r="AZ83" i="28"/>
  <c r="C83" i="28"/>
  <c r="E84" i="28"/>
  <c r="AP37" i="25"/>
  <c r="F38" i="25"/>
  <c r="AQ37" i="25"/>
  <c r="AS37" i="25"/>
  <c r="AU37" i="25"/>
  <c r="AI37" i="25"/>
  <c r="AL37" i="25"/>
  <c r="AM37" i="25" s="1"/>
  <c r="AN37" i="25" s="1"/>
  <c r="AO37" i="25"/>
  <c r="AR82" i="25"/>
  <c r="U82" i="25"/>
  <c r="V82" i="25"/>
  <c r="AA82" i="25"/>
  <c r="AB82" i="25"/>
  <c r="BA83" i="25"/>
  <c r="BB83" i="25"/>
  <c r="BC83" i="25"/>
  <c r="P39" i="25"/>
  <c r="N38" i="25"/>
  <c r="M38" i="25"/>
  <c r="C83" i="25"/>
  <c r="AZ83" i="25"/>
  <c r="BD83" i="25"/>
  <c r="E84" i="25"/>
  <c r="C83" i="24"/>
  <c r="AZ83" i="24"/>
  <c r="E84" i="24"/>
  <c r="F32" i="24"/>
  <c r="AL31" i="24"/>
  <c r="AM31" i="24" s="1"/>
  <c r="AI31" i="24"/>
  <c r="AJ31" i="24" s="1"/>
  <c r="AQ82" i="24"/>
  <c r="AS82" i="24"/>
  <c r="AU82" i="24"/>
  <c r="J106" i="23"/>
  <c r="H105" i="23"/>
  <c r="G105" i="23"/>
  <c r="K105" i="23" s="1"/>
  <c r="F106" i="23" s="1"/>
  <c r="I106" i="23" s="1"/>
  <c r="AR106" i="23" s="1"/>
  <c r="AI104" i="23"/>
  <c r="AJ104" i="23" s="1"/>
  <c r="AK104" i="23" s="1"/>
  <c r="AL104" i="23"/>
  <c r="AM104" i="23" s="1"/>
  <c r="AN104" i="23" s="1"/>
  <c r="AP104" i="23"/>
  <c r="AO104" i="23"/>
  <c r="AV103" i="23"/>
  <c r="H32" i="15"/>
  <c r="AQ84" i="15"/>
  <c r="AS84" i="15"/>
  <c r="AU84" i="15"/>
  <c r="P54" i="15"/>
  <c r="M55" i="15" s="1"/>
  <c r="N55" i="15" s="1"/>
  <c r="AZ31" i="23"/>
  <c r="BC31" i="23" s="1"/>
  <c r="F33" i="23"/>
  <c r="AI32" i="23"/>
  <c r="AL32" i="23"/>
  <c r="K35" i="29"/>
  <c r="AW35" i="28"/>
  <c r="AX35" i="28" s="1"/>
  <c r="AY35" i="28" s="1"/>
  <c r="O81" i="25"/>
  <c r="I81" i="25"/>
  <c r="R53" i="15"/>
  <c r="Q54" i="15" s="1"/>
  <c r="AT54" i="15" s="1"/>
  <c r="BA39" i="12"/>
  <c r="BD39" i="12" s="1"/>
  <c r="AC9" i="17"/>
  <c r="X10" i="17" s="1"/>
  <c r="Y10" i="17" s="1"/>
  <c r="AG10" i="17" s="1"/>
  <c r="AF11" i="17" s="1"/>
  <c r="Z9" i="17"/>
  <c r="BG75" i="14"/>
  <c r="BA40" i="13"/>
  <c r="BD40" i="13" s="1"/>
  <c r="AD84" i="3"/>
  <c r="AI84" i="3" s="1"/>
  <c r="BE84" i="3" s="1"/>
  <c r="AS7" i="19"/>
  <c r="F8" i="19"/>
  <c r="G8" i="19" s="1"/>
  <c r="AI8" i="19" s="1"/>
  <c r="AJ8" i="19" s="1"/>
  <c r="AK8" i="19" s="1"/>
  <c r="AQ7" i="19"/>
  <c r="AG10" i="19"/>
  <c r="AF11" i="19" s="1"/>
  <c r="AG11" i="19" s="1"/>
  <c r="AF12" i="19" s="1"/>
  <c r="Z11" i="19"/>
  <c r="AI76" i="14"/>
  <c r="AJ76" i="14" s="1"/>
  <c r="AK76" i="14" s="1"/>
  <c r="J78" i="14"/>
  <c r="AS76" i="14"/>
  <c r="AU76" i="14"/>
  <c r="AL76" i="14"/>
  <c r="AM76" i="14" s="1"/>
  <c r="AN76" i="14" s="1"/>
  <c r="H77" i="14"/>
  <c r="AO77" i="14" s="1"/>
  <c r="AQ76" i="14"/>
  <c r="AW8" i="17"/>
  <c r="AG79" i="14"/>
  <c r="AF80" i="14" s="1"/>
  <c r="L57" i="15"/>
  <c r="I58" i="15" s="1"/>
  <c r="J58" i="15" s="1"/>
  <c r="AL40" i="12"/>
  <c r="AM40" i="12" s="1"/>
  <c r="AN40" i="12" s="1"/>
  <c r="AL77" i="14"/>
  <c r="AM77" i="14" s="1"/>
  <c r="AN77" i="14" s="1"/>
  <c r="AP40" i="12"/>
  <c r="AO40" i="12"/>
  <c r="AI42" i="13"/>
  <c r="AR83" i="19"/>
  <c r="Y44" i="12"/>
  <c r="AC44" i="12" s="1"/>
  <c r="X45" i="12" s="1"/>
  <c r="Z44" i="12"/>
  <c r="AE79" i="14"/>
  <c r="AD80" i="14" s="1"/>
  <c r="AT80" i="14" s="1"/>
  <c r="AQ42" i="13"/>
  <c r="L43" i="13"/>
  <c r="AL9" i="17"/>
  <c r="AP9" i="17"/>
  <c r="AO9" i="17"/>
  <c r="H43" i="13"/>
  <c r="G43" i="13"/>
  <c r="K43" i="13" s="1"/>
  <c r="F44" i="13" s="1"/>
  <c r="J44" i="13"/>
  <c r="AE11" i="19"/>
  <c r="AD12" i="19" s="1"/>
  <c r="AT12" i="19" s="1"/>
  <c r="Y44" i="13"/>
  <c r="Z44" i="13"/>
  <c r="AT11" i="17"/>
  <c r="AE11" i="17"/>
  <c r="AD12" i="17" s="1"/>
  <c r="AM41" i="13"/>
  <c r="AN41" i="13" s="1"/>
  <c r="K9" i="17"/>
  <c r="AG43" i="12"/>
  <c r="AF44" i="12" s="1"/>
  <c r="AU42" i="13"/>
  <c r="M45" i="12"/>
  <c r="Q45" i="12" s="1"/>
  <c r="L46" i="12" s="1"/>
  <c r="P46" i="12"/>
  <c r="N45" i="12"/>
  <c r="Z12" i="19"/>
  <c r="Y12" i="19"/>
  <c r="AC12" i="19" s="1"/>
  <c r="X13" i="19" s="1"/>
  <c r="AG43" i="13"/>
  <c r="AF44" i="13" s="1"/>
  <c r="AJ41" i="13"/>
  <c r="AK41" i="13" s="1"/>
  <c r="AT43" i="13"/>
  <c r="AE43" i="13"/>
  <c r="AD44" i="13" s="1"/>
  <c r="S44" i="13"/>
  <c r="W44" i="13" s="1"/>
  <c r="R45" i="13" s="1"/>
  <c r="T44" i="13"/>
  <c r="T12" i="19"/>
  <c r="S12" i="19"/>
  <c r="Y80" i="14"/>
  <c r="AC80" i="14" s="1"/>
  <c r="X81" i="14" s="1"/>
  <c r="Z80" i="14"/>
  <c r="AB84" i="17"/>
  <c r="O84" i="17"/>
  <c r="I84" i="17"/>
  <c r="V84" i="19"/>
  <c r="AA84" i="17"/>
  <c r="U84" i="17"/>
  <c r="AA84" i="19"/>
  <c r="U84" i="19"/>
  <c r="AB84" i="19"/>
  <c r="I84" i="19"/>
  <c r="O84" i="19"/>
  <c r="V84" i="17"/>
  <c r="W79" i="14"/>
  <c r="R80" i="14" s="1"/>
  <c r="S44" i="12"/>
  <c r="W44" i="12" s="1"/>
  <c r="R45" i="12" s="1"/>
  <c r="T44" i="12"/>
  <c r="P14" i="19"/>
  <c r="M13" i="19"/>
  <c r="Q13" i="19" s="1"/>
  <c r="L14" i="19" s="1"/>
  <c r="N13" i="19"/>
  <c r="AL42" i="13"/>
  <c r="AE43" i="12"/>
  <c r="AD44" i="12" s="1"/>
  <c r="AT44" i="12" s="1"/>
  <c r="K77" i="14"/>
  <c r="T12" i="17"/>
  <c r="S12" i="17"/>
  <c r="W12" i="17" s="1"/>
  <c r="R13" i="17" s="1"/>
  <c r="M13" i="17"/>
  <c r="Q13" i="17" s="1"/>
  <c r="L14" i="17" s="1"/>
  <c r="N13" i="17"/>
  <c r="P14" i="17"/>
  <c r="AS42" i="13"/>
  <c r="AO42" i="13"/>
  <c r="AP42" i="13"/>
  <c r="N81" i="14"/>
  <c r="P82" i="14"/>
  <c r="M81" i="14"/>
  <c r="Q81" i="14" s="1"/>
  <c r="L82" i="14" s="1"/>
  <c r="E85" i="19"/>
  <c r="AZ84" i="19"/>
  <c r="C84" i="19"/>
  <c r="AR83" i="16"/>
  <c r="C84" i="16"/>
  <c r="E85" i="16"/>
  <c r="BD84" i="16"/>
  <c r="AZ84" i="16"/>
  <c r="L81" i="18"/>
  <c r="I82" i="18" s="1"/>
  <c r="J82" i="18" s="1"/>
  <c r="O82" i="18"/>
  <c r="AU82" i="18"/>
  <c r="AQ82" i="18"/>
  <c r="AS82" i="18"/>
  <c r="K82" i="18"/>
  <c r="C83" i="18"/>
  <c r="E84" i="18"/>
  <c r="AZ83" i="18"/>
  <c r="E84" i="17"/>
  <c r="AZ83" i="17"/>
  <c r="C83" i="17"/>
  <c r="BG42" i="14"/>
  <c r="AJ38" i="18"/>
  <c r="AK38" i="18" s="1"/>
  <c r="AW38" i="18" s="1"/>
  <c r="AX38" i="18" s="1"/>
  <c r="AY38" i="18" s="1"/>
  <c r="G39" i="18"/>
  <c r="AR39" i="18" s="1"/>
  <c r="E86" i="15"/>
  <c r="C85" i="15"/>
  <c r="AZ85" i="15"/>
  <c r="G45" i="14"/>
  <c r="AR45" i="14" s="1"/>
  <c r="R60" i="18"/>
  <c r="Q61" i="18" s="1"/>
  <c r="AT61" i="18" s="1"/>
  <c r="P60" i="18"/>
  <c r="M61" i="18" s="1"/>
  <c r="N61" i="18" s="1"/>
  <c r="A87" i="3"/>
  <c r="BI87" i="3" s="1"/>
  <c r="BJ87" i="3" s="1"/>
  <c r="AW89" i="3"/>
  <c r="BD85" i="3"/>
  <c r="AH86" i="3"/>
  <c r="AL86" i="3"/>
  <c r="AQ89" i="3"/>
  <c r="Y86" i="3"/>
  <c r="AC85" i="3"/>
  <c r="AG86" i="3"/>
  <c r="P89" i="3"/>
  <c r="BC85" i="3"/>
  <c r="AE86" i="3"/>
  <c r="G88" i="3"/>
  <c r="AV87" i="3"/>
  <c r="AX87" i="3" s="1"/>
  <c r="V87" i="3"/>
  <c r="X87" i="3" s="1"/>
  <c r="AM86" i="3"/>
  <c r="AF85" i="3"/>
  <c r="AD85" i="3" s="1"/>
  <c r="H86" i="3"/>
  <c r="S48" i="25" l="1"/>
  <c r="W48" i="25" s="1"/>
  <c r="R49" i="25" s="1"/>
  <c r="T48" i="25"/>
  <c r="AT47" i="25"/>
  <c r="AE47" i="25"/>
  <c r="AD48" i="25" s="1"/>
  <c r="AU104" i="23"/>
  <c r="AQ104" i="23"/>
  <c r="O105" i="23"/>
  <c r="M105" i="23"/>
  <c r="AI105" i="23" s="1"/>
  <c r="AJ105" i="23" s="1"/>
  <c r="AK105" i="23" s="1"/>
  <c r="P106" i="23"/>
  <c r="AS104" i="23"/>
  <c r="Z48" i="29"/>
  <c r="AA48" i="29"/>
  <c r="AE48" i="29" s="1"/>
  <c r="AD49" i="29" s="1"/>
  <c r="AT48" i="29"/>
  <c r="V65" i="28"/>
  <c r="T65" i="28"/>
  <c r="S65" i="28"/>
  <c r="W65" i="28" s="1"/>
  <c r="R66" i="28" s="1"/>
  <c r="AE64" i="28"/>
  <c r="AD65" i="28" s="1"/>
  <c r="AT64" i="28"/>
  <c r="AR89" i="3"/>
  <c r="N46" i="24"/>
  <c r="T46" i="24" s="1"/>
  <c r="S47" i="24" s="1"/>
  <c r="O46" i="24"/>
  <c r="BB87" i="3"/>
  <c r="AJ84" i="3"/>
  <c r="BF84" i="3" s="1"/>
  <c r="L46" i="24"/>
  <c r="I47" i="24" s="1"/>
  <c r="J47" i="24" s="1"/>
  <c r="Z43" i="25"/>
  <c r="Y43" i="25"/>
  <c r="AG43" i="25" s="1"/>
  <c r="AF44" i="25" s="1"/>
  <c r="AK85" i="3"/>
  <c r="BG85" i="3" s="1"/>
  <c r="P87" i="20"/>
  <c r="J78" i="26"/>
  <c r="L78" i="26" s="1"/>
  <c r="I79" i="26" s="1"/>
  <c r="J79" i="26" s="1"/>
  <c r="AN87" i="20"/>
  <c r="AQ87" i="20"/>
  <c r="AR87" i="20" s="1"/>
  <c r="O88" i="20"/>
  <c r="O84" i="15"/>
  <c r="K84" i="15"/>
  <c r="T55" i="15"/>
  <c r="S56" i="15" s="1"/>
  <c r="AG47" i="29"/>
  <c r="AF48" i="29" s="1"/>
  <c r="Y48" i="29"/>
  <c r="AC48" i="29" s="1"/>
  <c r="X49" i="29" s="1"/>
  <c r="T69" i="29"/>
  <c r="S69" i="29"/>
  <c r="W69" i="29" s="1"/>
  <c r="R70" i="29" s="1"/>
  <c r="U70" i="29" s="1"/>
  <c r="AZ83" i="29"/>
  <c r="C83" i="29"/>
  <c r="E84" i="29"/>
  <c r="T58" i="26"/>
  <c r="S59" i="26" s="1"/>
  <c r="F36" i="29"/>
  <c r="I36" i="29" s="1"/>
  <c r="AQ35" i="29"/>
  <c r="AS35" i="29"/>
  <c r="AU35" i="29"/>
  <c r="F34" i="26"/>
  <c r="AI33" i="26"/>
  <c r="AJ33" i="26" s="1"/>
  <c r="AK33" i="26" s="1"/>
  <c r="P58" i="26"/>
  <c r="M59" i="26" s="1"/>
  <c r="N59" i="26" s="1"/>
  <c r="AL33" i="26"/>
  <c r="AM33" i="26" s="1"/>
  <c r="AT59" i="26"/>
  <c r="K83" i="26"/>
  <c r="O83" i="26"/>
  <c r="AQ83" i="26"/>
  <c r="AS83" i="26"/>
  <c r="AU83" i="26"/>
  <c r="AZ84" i="26"/>
  <c r="C84" i="26"/>
  <c r="E85" i="26"/>
  <c r="AO36" i="28"/>
  <c r="AI36" i="28"/>
  <c r="AG47" i="28"/>
  <c r="AF48" i="28" s="1"/>
  <c r="AC47" i="28"/>
  <c r="X48" i="28" s="1"/>
  <c r="AB48" i="28" s="1"/>
  <c r="AZ84" i="28"/>
  <c r="C84" i="28"/>
  <c r="E85" i="28"/>
  <c r="AM36" i="28"/>
  <c r="AN36" i="28" s="1"/>
  <c r="G38" i="25"/>
  <c r="K38" i="25" s="1"/>
  <c r="H38" i="25"/>
  <c r="AP38" i="25" s="1"/>
  <c r="J39" i="25"/>
  <c r="AR83" i="25"/>
  <c r="U83" i="25"/>
  <c r="V83" i="25"/>
  <c r="AA83" i="25"/>
  <c r="AB83" i="25"/>
  <c r="BA84" i="25"/>
  <c r="BB84" i="25"/>
  <c r="BC84" i="25"/>
  <c r="C84" i="25"/>
  <c r="BD84" i="25"/>
  <c r="AZ84" i="25"/>
  <c r="E85" i="25"/>
  <c r="AJ37" i="25"/>
  <c r="AK37" i="25" s="1"/>
  <c r="AW37" i="25" s="1"/>
  <c r="AX37" i="25" s="1"/>
  <c r="AY37" i="25" s="1"/>
  <c r="Q38" i="25"/>
  <c r="AN31" i="24"/>
  <c r="AQ83" i="24"/>
  <c r="AS83" i="24"/>
  <c r="AU83" i="24"/>
  <c r="C84" i="24"/>
  <c r="AZ84" i="24"/>
  <c r="E85" i="24"/>
  <c r="AK31" i="24"/>
  <c r="AO105" i="23"/>
  <c r="AP105" i="23"/>
  <c r="H106" i="23"/>
  <c r="J107" i="23"/>
  <c r="G106" i="23"/>
  <c r="K106" i="23" s="1"/>
  <c r="F107" i="23" s="1"/>
  <c r="I107" i="23" s="1"/>
  <c r="AR107" i="23" s="1"/>
  <c r="G32" i="24"/>
  <c r="AR32" i="24" s="1"/>
  <c r="AZ103" i="23"/>
  <c r="BC103" i="23" s="1"/>
  <c r="BG103" i="23"/>
  <c r="AS85" i="15"/>
  <c r="AU85" i="15"/>
  <c r="AQ85" i="15"/>
  <c r="K85" i="15"/>
  <c r="O85" i="15"/>
  <c r="F33" i="15"/>
  <c r="AL32" i="15"/>
  <c r="AI32" i="15"/>
  <c r="AJ32" i="15" s="1"/>
  <c r="AK32" i="15" s="1"/>
  <c r="P55" i="15"/>
  <c r="M56" i="15" s="1"/>
  <c r="N56" i="15" s="1"/>
  <c r="G33" i="23"/>
  <c r="AR33" i="23" s="1"/>
  <c r="AJ32" i="23"/>
  <c r="AK32" i="23" s="1"/>
  <c r="AM32" i="23"/>
  <c r="AN32" i="23" s="1"/>
  <c r="AN35" i="29"/>
  <c r="K36" i="28"/>
  <c r="O82" i="25"/>
  <c r="I82" i="25"/>
  <c r="AJ85" i="3"/>
  <c r="BF85" i="3" s="1"/>
  <c r="R54" i="15"/>
  <c r="Q55" i="15" s="1"/>
  <c r="AT55" i="15" s="1"/>
  <c r="Z10" i="17"/>
  <c r="AC10" i="17"/>
  <c r="X11" i="17" s="1"/>
  <c r="Z11" i="17" s="1"/>
  <c r="AW41" i="13"/>
  <c r="BA41" i="13" s="1"/>
  <c r="BD41" i="13" s="1"/>
  <c r="AV76" i="14"/>
  <c r="AZ76" i="14" s="1"/>
  <c r="BC76" i="14" s="1"/>
  <c r="AW7" i="19"/>
  <c r="AJ42" i="13"/>
  <c r="AK42" i="13" s="1"/>
  <c r="J9" i="19"/>
  <c r="AM87" i="3"/>
  <c r="H8" i="19"/>
  <c r="AO8" i="19" s="1"/>
  <c r="AR84" i="19"/>
  <c r="AP77" i="14"/>
  <c r="AL8" i="19"/>
  <c r="AM8" i="19" s="1"/>
  <c r="AN8" i="19" s="1"/>
  <c r="AG44" i="12"/>
  <c r="AF45" i="12" s="1"/>
  <c r="L58" i="15"/>
  <c r="I59" i="15" s="1"/>
  <c r="J59" i="15" s="1"/>
  <c r="AG44" i="13"/>
  <c r="AF45" i="13" s="1"/>
  <c r="K8" i="19"/>
  <c r="AS8" i="19" s="1"/>
  <c r="AG12" i="19"/>
  <c r="AF13" i="19" s="1"/>
  <c r="AS40" i="12"/>
  <c r="AU40" i="12"/>
  <c r="AQ40" i="12"/>
  <c r="AE12" i="19"/>
  <c r="AD13" i="19" s="1"/>
  <c r="AT13" i="19" s="1"/>
  <c r="AG80" i="14"/>
  <c r="AF81" i="14" s="1"/>
  <c r="N46" i="12"/>
  <c r="P47" i="12"/>
  <c r="M46" i="12"/>
  <c r="Q46" i="12" s="1"/>
  <c r="L47" i="12" s="1"/>
  <c r="T45" i="12"/>
  <c r="S45" i="12"/>
  <c r="W45" i="12" s="1"/>
  <c r="R46" i="12" s="1"/>
  <c r="M14" i="17"/>
  <c r="Q14" i="17" s="1"/>
  <c r="L15" i="17" s="1"/>
  <c r="P15" i="17"/>
  <c r="N14" i="17"/>
  <c r="AE44" i="12"/>
  <c r="AD45" i="12" s="1"/>
  <c r="AT45" i="12" s="1"/>
  <c r="M14" i="19"/>
  <c r="Q14" i="19" s="1"/>
  <c r="L15" i="19" s="1"/>
  <c r="N14" i="19"/>
  <c r="P15" i="19"/>
  <c r="T80" i="14"/>
  <c r="S80" i="14"/>
  <c r="AE80" i="14" s="1"/>
  <c r="AD81" i="14" s="1"/>
  <c r="AT81" i="14" s="1"/>
  <c r="AT44" i="13"/>
  <c r="AE44" i="13"/>
  <c r="AD45" i="13" s="1"/>
  <c r="T13" i="17"/>
  <c r="S13" i="17"/>
  <c r="W13" i="17" s="1"/>
  <c r="R14" i="17" s="1"/>
  <c r="Y81" i="14"/>
  <c r="AC81" i="14" s="1"/>
  <c r="X82" i="14" s="1"/>
  <c r="Z81" i="14"/>
  <c r="AC44" i="13"/>
  <c r="X45" i="13" s="1"/>
  <c r="P44" i="13"/>
  <c r="N43" i="13"/>
  <c r="AP43" i="13" s="1"/>
  <c r="M43" i="13"/>
  <c r="Q43" i="13" s="1"/>
  <c r="Z45" i="12"/>
  <c r="Y45" i="12"/>
  <c r="AC45" i="12" s="1"/>
  <c r="X46" i="12" s="1"/>
  <c r="V85" i="17"/>
  <c r="AB85" i="17"/>
  <c r="I85" i="17"/>
  <c r="AA85" i="19"/>
  <c r="I85" i="19"/>
  <c r="AA85" i="17"/>
  <c r="U85" i="19"/>
  <c r="U85" i="17"/>
  <c r="O85" i="19"/>
  <c r="O85" i="17"/>
  <c r="AB85" i="19"/>
  <c r="V85" i="19"/>
  <c r="M82" i="14"/>
  <c r="Q82" i="14" s="1"/>
  <c r="L83" i="14" s="1"/>
  <c r="P83" i="14"/>
  <c r="N82" i="14"/>
  <c r="AQ77" i="14"/>
  <c r="F78" i="14"/>
  <c r="AU77" i="14"/>
  <c r="AS77" i="14"/>
  <c r="AM42" i="13"/>
  <c r="AN42" i="13" s="1"/>
  <c r="W12" i="19"/>
  <c r="R13" i="19" s="1"/>
  <c r="T45" i="13"/>
  <c r="S45" i="13"/>
  <c r="W45" i="13" s="1"/>
  <c r="R46" i="13" s="1"/>
  <c r="Y13" i="19"/>
  <c r="AC13" i="19" s="1"/>
  <c r="X14" i="19" s="1"/>
  <c r="Z13" i="19"/>
  <c r="F10" i="17"/>
  <c r="AS9" i="17"/>
  <c r="AU9" i="17"/>
  <c r="AQ9" i="17"/>
  <c r="AT12" i="17"/>
  <c r="AE12" i="17"/>
  <c r="AD13" i="17" s="1"/>
  <c r="H44" i="13"/>
  <c r="G44" i="13"/>
  <c r="K44" i="13" s="1"/>
  <c r="F45" i="13" s="1"/>
  <c r="J45" i="13"/>
  <c r="AM9" i="17"/>
  <c r="AN9" i="17" s="1"/>
  <c r="E86" i="19"/>
  <c r="AZ85" i="19"/>
  <c r="C85" i="19"/>
  <c r="L82" i="18"/>
  <c r="I83" i="18" s="1"/>
  <c r="J83" i="18" s="1"/>
  <c r="AR84" i="16"/>
  <c r="BD85" i="16"/>
  <c r="C85" i="16"/>
  <c r="E86" i="16"/>
  <c r="AZ85" i="16"/>
  <c r="C84" i="18"/>
  <c r="AZ84" i="18"/>
  <c r="E85" i="18"/>
  <c r="C84" i="17"/>
  <c r="E85" i="17"/>
  <c r="AZ84" i="17"/>
  <c r="K83" i="18"/>
  <c r="O83" i="18"/>
  <c r="AS83" i="18"/>
  <c r="AQ83" i="18"/>
  <c r="AU83" i="18"/>
  <c r="H45" i="14"/>
  <c r="F46" i="14" s="1"/>
  <c r="E87" i="15"/>
  <c r="C86" i="15"/>
  <c r="AZ86" i="15"/>
  <c r="H39" i="18"/>
  <c r="T61" i="18"/>
  <c r="S62" i="18" s="1"/>
  <c r="R61" i="18"/>
  <c r="Q62" i="18" s="1"/>
  <c r="AT62" i="18" s="1"/>
  <c r="AK43" i="14"/>
  <c r="AN43" i="14"/>
  <c r="AG87" i="3"/>
  <c r="AQ90" i="3"/>
  <c r="AH87" i="3"/>
  <c r="BD86" i="3"/>
  <c r="A88" i="3"/>
  <c r="BI88" i="3" s="1"/>
  <c r="BJ88" i="3" s="1"/>
  <c r="AE87" i="3"/>
  <c r="BC86" i="3"/>
  <c r="AW90" i="3"/>
  <c r="H87" i="3"/>
  <c r="AF86" i="3"/>
  <c r="AD86" i="3" s="1"/>
  <c r="AI85" i="3"/>
  <c r="BE85" i="3" s="1"/>
  <c r="AL87" i="3"/>
  <c r="V88" i="3"/>
  <c r="X88" i="3" s="1"/>
  <c r="AV88" i="3"/>
  <c r="AX88" i="3" s="1"/>
  <c r="G89" i="3"/>
  <c r="P90" i="3"/>
  <c r="P91" i="3" s="1"/>
  <c r="Y87" i="3"/>
  <c r="AC86" i="3"/>
  <c r="AN90" i="3"/>
  <c r="AT48" i="25" l="1"/>
  <c r="AE48" i="25"/>
  <c r="AD49" i="25" s="1"/>
  <c r="S49" i="25"/>
  <c r="W49" i="25" s="1"/>
  <c r="R50" i="25" s="1"/>
  <c r="T49" i="25"/>
  <c r="AV104" i="23"/>
  <c r="AZ104" i="23" s="1"/>
  <c r="BC104" i="23" s="1"/>
  <c r="AL105" i="23"/>
  <c r="AM105" i="23" s="1"/>
  <c r="AN105" i="23" s="1"/>
  <c r="Q105" i="23"/>
  <c r="L106" i="23" s="1"/>
  <c r="M106" i="23" s="1"/>
  <c r="AT49" i="29"/>
  <c r="AR36" i="29"/>
  <c r="Q36" i="29"/>
  <c r="L37" i="29" s="1"/>
  <c r="Z49" i="29"/>
  <c r="AA49" i="29"/>
  <c r="AE49" i="29" s="1"/>
  <c r="AD50" i="29" s="1"/>
  <c r="V66" i="28"/>
  <c r="T66" i="28"/>
  <c r="S66" i="28"/>
  <c r="W66" i="28" s="1"/>
  <c r="R67" i="28" s="1"/>
  <c r="AE65" i="28"/>
  <c r="AD66" i="28" s="1"/>
  <c r="AT65" i="28"/>
  <c r="AR90" i="3"/>
  <c r="R46" i="24"/>
  <c r="Q47" i="24" s="1"/>
  <c r="AT47" i="24" s="1"/>
  <c r="P46" i="24"/>
  <c r="M47" i="24" s="1"/>
  <c r="N47" i="24" s="1"/>
  <c r="BB88" i="3"/>
  <c r="AC43" i="25"/>
  <c r="X44" i="25" s="1"/>
  <c r="AL88" i="3"/>
  <c r="AN88" i="20"/>
  <c r="AK86" i="3"/>
  <c r="BG86" i="3" s="1"/>
  <c r="L79" i="26"/>
  <c r="I80" i="26" s="1"/>
  <c r="J80" i="26" s="1"/>
  <c r="O89" i="20"/>
  <c r="AQ88" i="20"/>
  <c r="AR88" i="20" s="1"/>
  <c r="P88" i="20"/>
  <c r="AJ86" i="3"/>
  <c r="BF86" i="3" s="1"/>
  <c r="AG48" i="29"/>
  <c r="AF49" i="29" s="1"/>
  <c r="T56" i="15"/>
  <c r="S57" i="15" s="1"/>
  <c r="T70" i="29"/>
  <c r="S70" i="29"/>
  <c r="W70" i="29" s="1"/>
  <c r="R71" i="29" s="1"/>
  <c r="U71" i="29" s="1"/>
  <c r="J37" i="29"/>
  <c r="H36" i="29"/>
  <c r="AP36" i="29" s="1"/>
  <c r="C84" i="29"/>
  <c r="AZ84" i="29"/>
  <c r="E85" i="29"/>
  <c r="Y49" i="29"/>
  <c r="G36" i="29"/>
  <c r="AI36" i="29" s="1"/>
  <c r="AJ36" i="29" s="1"/>
  <c r="P59" i="26"/>
  <c r="M60" i="26" s="1"/>
  <c r="T59" i="26"/>
  <c r="S60" i="26" s="1"/>
  <c r="R59" i="26"/>
  <c r="Q60" i="26" s="1"/>
  <c r="G34" i="26"/>
  <c r="AR34" i="26" s="1"/>
  <c r="AN33" i="26"/>
  <c r="AW33" i="26" s="1"/>
  <c r="AX33" i="26" s="1"/>
  <c r="AY33" i="26" s="1"/>
  <c r="O84" i="26"/>
  <c r="AQ84" i="26"/>
  <c r="AS84" i="26"/>
  <c r="AU84" i="26"/>
  <c r="K84" i="26"/>
  <c r="AZ85" i="26"/>
  <c r="C85" i="26"/>
  <c r="E86" i="26"/>
  <c r="AS36" i="28"/>
  <c r="AQ36" i="28"/>
  <c r="AU36" i="28"/>
  <c r="Z48" i="28"/>
  <c r="Y48" i="28"/>
  <c r="AJ36" i="28"/>
  <c r="AK36" i="28" s="1"/>
  <c r="C85" i="28"/>
  <c r="AZ85" i="28"/>
  <c r="E86" i="28"/>
  <c r="F37" i="28"/>
  <c r="I37" i="28" s="1"/>
  <c r="Q37" i="28" s="1"/>
  <c r="L38" i="28" s="1"/>
  <c r="F39" i="25"/>
  <c r="AQ38" i="25"/>
  <c r="AS38" i="25"/>
  <c r="AI38" i="25"/>
  <c r="AU38" i="25"/>
  <c r="BA85" i="25"/>
  <c r="BB85" i="25"/>
  <c r="BC85" i="25"/>
  <c r="AR84" i="25"/>
  <c r="U84" i="25"/>
  <c r="V84" i="25"/>
  <c r="AA84" i="25"/>
  <c r="AB84" i="25"/>
  <c r="AL38" i="25"/>
  <c r="AO38" i="25"/>
  <c r="L39" i="25"/>
  <c r="AZ85" i="25"/>
  <c r="BD85" i="25"/>
  <c r="C85" i="25"/>
  <c r="E86" i="25"/>
  <c r="AV32" i="23"/>
  <c r="AZ32" i="23" s="1"/>
  <c r="BC32" i="23" s="1"/>
  <c r="AQ84" i="24"/>
  <c r="AS84" i="24"/>
  <c r="AU84" i="24"/>
  <c r="AZ85" i="24"/>
  <c r="C85" i="24"/>
  <c r="E86" i="24"/>
  <c r="AW31" i="24"/>
  <c r="AX31" i="24" s="1"/>
  <c r="AY31" i="24" s="1"/>
  <c r="K47" i="24"/>
  <c r="L47" i="24" s="1"/>
  <c r="J108" i="23"/>
  <c r="G107" i="23"/>
  <c r="K107" i="23" s="1"/>
  <c r="F108" i="23" s="1"/>
  <c r="I108" i="23" s="1"/>
  <c r="AR108" i="23" s="1"/>
  <c r="H107" i="23"/>
  <c r="H32" i="24"/>
  <c r="K86" i="15"/>
  <c r="O86" i="15"/>
  <c r="AQ86" i="15"/>
  <c r="AS86" i="15"/>
  <c r="AU86" i="15"/>
  <c r="G33" i="15"/>
  <c r="AR33" i="15" s="1"/>
  <c r="AM32" i="15"/>
  <c r="AN32" i="15" s="1"/>
  <c r="AW32" i="15" s="1"/>
  <c r="AX32" i="15" s="1"/>
  <c r="AY32" i="15" s="1"/>
  <c r="P56" i="15"/>
  <c r="M57" i="15" s="1"/>
  <c r="N57" i="15" s="1"/>
  <c r="H33" i="23"/>
  <c r="AW35" i="29"/>
  <c r="AX35" i="29" s="1"/>
  <c r="AY35" i="29" s="1"/>
  <c r="I83" i="25"/>
  <c r="O83" i="25"/>
  <c r="R55" i="15"/>
  <c r="Q56" i="15" s="1"/>
  <c r="AT56" i="15" s="1"/>
  <c r="Y11" i="17"/>
  <c r="AG11" i="17" s="1"/>
  <c r="AF12" i="17" s="1"/>
  <c r="BH41" i="13"/>
  <c r="AV77" i="14"/>
  <c r="AZ77" i="14" s="1"/>
  <c r="BC77" i="14" s="1"/>
  <c r="BG76" i="14"/>
  <c r="AW42" i="13"/>
  <c r="AW40" i="12"/>
  <c r="BA40" i="12" s="1"/>
  <c r="BD40" i="12" s="1"/>
  <c r="AP8" i="19"/>
  <c r="AW9" i="17"/>
  <c r="AR85" i="19"/>
  <c r="AO43" i="13"/>
  <c r="AG45" i="12"/>
  <c r="AF46" i="12" s="1"/>
  <c r="L59" i="15"/>
  <c r="I60" i="15" s="1"/>
  <c r="J60" i="15" s="1"/>
  <c r="F9" i="19"/>
  <c r="AU8" i="19"/>
  <c r="AQ8" i="19"/>
  <c r="J42" i="12"/>
  <c r="H41" i="12"/>
  <c r="G41" i="12"/>
  <c r="K41" i="12" s="1"/>
  <c r="F42" i="12" s="1"/>
  <c r="Z82" i="14"/>
  <c r="Y82" i="14"/>
  <c r="AC82" i="14" s="1"/>
  <c r="X83" i="14" s="1"/>
  <c r="W80" i="14"/>
  <c r="R81" i="14" s="1"/>
  <c r="T46" i="13"/>
  <c r="S46" i="13"/>
  <c r="W46" i="13" s="1"/>
  <c r="R47" i="13" s="1"/>
  <c r="L44" i="13"/>
  <c r="AQ43" i="13"/>
  <c r="AS43" i="13"/>
  <c r="AU43" i="13"/>
  <c r="P16" i="19"/>
  <c r="M15" i="19"/>
  <c r="Q15" i="19" s="1"/>
  <c r="L16" i="19" s="1"/>
  <c r="N15" i="19"/>
  <c r="AB86" i="17"/>
  <c r="O86" i="17"/>
  <c r="AA86" i="17"/>
  <c r="AB86" i="19"/>
  <c r="O86" i="19"/>
  <c r="V86" i="17"/>
  <c r="I86" i="17"/>
  <c r="I86" i="19"/>
  <c r="AA86" i="19"/>
  <c r="U86" i="17"/>
  <c r="V86" i="19"/>
  <c r="U86" i="19"/>
  <c r="AG13" i="19"/>
  <c r="AF14" i="19" s="1"/>
  <c r="H78" i="14"/>
  <c r="J79" i="14"/>
  <c r="G78" i="14"/>
  <c r="AL78" i="14" s="1"/>
  <c r="AM78" i="14" s="1"/>
  <c r="AN78" i="14" s="1"/>
  <c r="P84" i="14"/>
  <c r="M83" i="14"/>
  <c r="Q83" i="14" s="1"/>
  <c r="L84" i="14" s="1"/>
  <c r="N83" i="14"/>
  <c r="AL43" i="13"/>
  <c r="AM43" i="13" s="1"/>
  <c r="AN43" i="13" s="1"/>
  <c r="AI43" i="13"/>
  <c r="AJ43" i="13" s="1"/>
  <c r="AK43" i="13" s="1"/>
  <c r="T14" i="17"/>
  <c r="S14" i="17"/>
  <c r="W14" i="17" s="1"/>
  <c r="R15" i="17" s="1"/>
  <c r="AT45" i="13"/>
  <c r="AE45" i="13"/>
  <c r="AD46" i="13" s="1"/>
  <c r="AE45" i="12"/>
  <c r="AD46" i="12" s="1"/>
  <c r="AT46" i="12" s="1"/>
  <c r="P16" i="17"/>
  <c r="N15" i="17"/>
  <c r="M15" i="17"/>
  <c r="Q15" i="17" s="1"/>
  <c r="L16" i="17" s="1"/>
  <c r="H10" i="17"/>
  <c r="J11" i="17"/>
  <c r="G10" i="17"/>
  <c r="AI10" i="17" s="1"/>
  <c r="AJ10" i="17" s="1"/>
  <c r="AK10" i="17" s="1"/>
  <c r="Y45" i="13"/>
  <c r="AG45" i="13" s="1"/>
  <c r="AF46" i="13" s="1"/>
  <c r="Z45" i="13"/>
  <c r="S46" i="12"/>
  <c r="W46" i="12" s="1"/>
  <c r="R47" i="12" s="1"/>
  <c r="T46" i="12"/>
  <c r="J46" i="13"/>
  <c r="H45" i="13"/>
  <c r="G45" i="13"/>
  <c r="K45" i="13" s="1"/>
  <c r="F46" i="13" s="1"/>
  <c r="AT13" i="17"/>
  <c r="AE13" i="17"/>
  <c r="AD14" i="17" s="1"/>
  <c r="Z14" i="19"/>
  <c r="Y14" i="19"/>
  <c r="AC14" i="19" s="1"/>
  <c r="X15" i="19" s="1"/>
  <c r="S13" i="19"/>
  <c r="T13" i="19"/>
  <c r="AG81" i="14"/>
  <c r="AF82" i="14" s="1"/>
  <c r="Z46" i="12"/>
  <c r="Y46" i="12"/>
  <c r="AC46" i="12" s="1"/>
  <c r="X47" i="12" s="1"/>
  <c r="P48" i="12"/>
  <c r="M47" i="12"/>
  <c r="Q47" i="12" s="1"/>
  <c r="L48" i="12" s="1"/>
  <c r="N47" i="12"/>
  <c r="C86" i="19"/>
  <c r="AZ86" i="19"/>
  <c r="E87" i="19"/>
  <c r="L83" i="18"/>
  <c r="I84" i="18" s="1"/>
  <c r="J84" i="18" s="1"/>
  <c r="AR85" i="16"/>
  <c r="C86" i="16"/>
  <c r="E87" i="16"/>
  <c r="BD86" i="16"/>
  <c r="AZ86" i="16"/>
  <c r="C85" i="18"/>
  <c r="E86" i="18"/>
  <c r="AZ85" i="18"/>
  <c r="AU84" i="18"/>
  <c r="AQ84" i="18"/>
  <c r="O84" i="18"/>
  <c r="K84" i="18"/>
  <c r="AS84" i="18"/>
  <c r="AZ85" i="17"/>
  <c r="C85" i="17"/>
  <c r="E86" i="17"/>
  <c r="AL45" i="14"/>
  <c r="AM45" i="14" s="1"/>
  <c r="AI45" i="14"/>
  <c r="AJ45" i="14" s="1"/>
  <c r="G46" i="14"/>
  <c r="AR46" i="14" s="1"/>
  <c r="F40" i="18"/>
  <c r="AI39" i="18"/>
  <c r="AJ39" i="18" s="1"/>
  <c r="AK39" i="18" s="1"/>
  <c r="AL39" i="18"/>
  <c r="AM39" i="18" s="1"/>
  <c r="AN39" i="18" s="1"/>
  <c r="AZ87" i="15"/>
  <c r="E88" i="15"/>
  <c r="C87" i="15"/>
  <c r="AV43" i="14"/>
  <c r="P61" i="18"/>
  <c r="M62" i="18" s="1"/>
  <c r="N62" i="18" s="1"/>
  <c r="P92" i="3"/>
  <c r="H88" i="3"/>
  <c r="AF87" i="3"/>
  <c r="AD87" i="3" s="1"/>
  <c r="AQ91" i="3"/>
  <c r="AN91" i="3"/>
  <c r="AN92" i="3" s="1"/>
  <c r="G90" i="3"/>
  <c r="AV89" i="3"/>
  <c r="AX89" i="3" s="1"/>
  <c r="V89" i="3"/>
  <c r="X89" i="3" s="1"/>
  <c r="AW91" i="3"/>
  <c r="BC87" i="3"/>
  <c r="AE88" i="3"/>
  <c r="AI86" i="3"/>
  <c r="BE86" i="3" s="1"/>
  <c r="AH88" i="3"/>
  <c r="BD87" i="3"/>
  <c r="AG88" i="3"/>
  <c r="Y88" i="3"/>
  <c r="AC87" i="3"/>
  <c r="A89" i="3"/>
  <c r="BI89" i="3" s="1"/>
  <c r="BJ89" i="3" s="1"/>
  <c r="AM88" i="3"/>
  <c r="AE49" i="25" l="1"/>
  <c r="AD50" i="25" s="1"/>
  <c r="AT49" i="25"/>
  <c r="S50" i="25"/>
  <c r="W50" i="25" s="1"/>
  <c r="R51" i="25" s="1"/>
  <c r="T50" i="25"/>
  <c r="BG104" i="23"/>
  <c r="AU105" i="23"/>
  <c r="AS105" i="23"/>
  <c r="AQ105" i="23"/>
  <c r="O106" i="23"/>
  <c r="Q106" i="23" s="1"/>
  <c r="L107" i="23" s="1"/>
  <c r="N107" i="23" s="1"/>
  <c r="P107" i="23"/>
  <c r="N106" i="23"/>
  <c r="AI106" i="23"/>
  <c r="AJ106" i="23" s="1"/>
  <c r="AK106" i="23" s="1"/>
  <c r="AL106" i="23"/>
  <c r="AM106" i="23" s="1"/>
  <c r="AN106" i="23" s="1"/>
  <c r="O37" i="29"/>
  <c r="M37" i="29"/>
  <c r="P38" i="29"/>
  <c r="N37" i="29"/>
  <c r="AT50" i="29"/>
  <c r="V67" i="28"/>
  <c r="S67" i="28"/>
  <c r="W67" i="28" s="1"/>
  <c r="R68" i="28" s="1"/>
  <c r="T67" i="28"/>
  <c r="M38" i="28"/>
  <c r="O38" i="28"/>
  <c r="N38" i="28"/>
  <c r="P39" i="28"/>
  <c r="AE66" i="28"/>
  <c r="AD67" i="28" s="1"/>
  <c r="AT66" i="28"/>
  <c r="AR91" i="3"/>
  <c r="O47" i="24"/>
  <c r="P47" i="24" s="1"/>
  <c r="M48" i="24" s="1"/>
  <c r="N48" i="24" s="1"/>
  <c r="BB89" i="3"/>
  <c r="Z44" i="25"/>
  <c r="Y44" i="25"/>
  <c r="AG44" i="25" s="1"/>
  <c r="AF45" i="25" s="1"/>
  <c r="AN89" i="20"/>
  <c r="AQ89" i="20"/>
  <c r="AR89" i="20" s="1"/>
  <c r="O90" i="20"/>
  <c r="P89" i="20"/>
  <c r="AK87" i="3"/>
  <c r="BG87" i="3" s="1"/>
  <c r="AG49" i="29"/>
  <c r="AF50" i="29" s="1"/>
  <c r="AL41" i="12"/>
  <c r="AM41" i="12" s="1"/>
  <c r="AN41" i="12" s="1"/>
  <c r="AJ87" i="3"/>
  <c r="BF87" i="3" s="1"/>
  <c r="T57" i="15"/>
  <c r="S58" i="15" s="1"/>
  <c r="T71" i="29"/>
  <c r="S71" i="29"/>
  <c r="W71" i="29" s="1"/>
  <c r="R72" i="29" s="1"/>
  <c r="U72" i="29" s="1"/>
  <c r="AZ85" i="29"/>
  <c r="C85" i="29"/>
  <c r="E86" i="29"/>
  <c r="H34" i="26"/>
  <c r="AI34" i="26" s="1"/>
  <c r="AJ34" i="26" s="1"/>
  <c r="AK34" i="26" s="1"/>
  <c r="AO36" i="29"/>
  <c r="AL36" i="29"/>
  <c r="N60" i="26"/>
  <c r="T60" i="26" s="1"/>
  <c r="S61" i="26" s="1"/>
  <c r="AT60" i="26"/>
  <c r="AS85" i="26"/>
  <c r="AU85" i="26"/>
  <c r="AQ85" i="26"/>
  <c r="O85" i="26"/>
  <c r="K85" i="26"/>
  <c r="L80" i="26"/>
  <c r="I81" i="26" s="1"/>
  <c r="C86" i="26"/>
  <c r="AZ86" i="26"/>
  <c r="E87" i="26"/>
  <c r="H37" i="28"/>
  <c r="AP37" i="28" s="1"/>
  <c r="J38" i="28"/>
  <c r="G37" i="28"/>
  <c r="AI37" i="28" s="1"/>
  <c r="AG48" i="28"/>
  <c r="AF49" i="28" s="1"/>
  <c r="AC48" i="28"/>
  <c r="X49" i="28" s="1"/>
  <c r="AB49" i="28" s="1"/>
  <c r="AZ86" i="28"/>
  <c r="C86" i="28"/>
  <c r="E87" i="28"/>
  <c r="BA86" i="25"/>
  <c r="BB86" i="25"/>
  <c r="BC86" i="25"/>
  <c r="AR85" i="25"/>
  <c r="U85" i="25"/>
  <c r="V85" i="25"/>
  <c r="AA85" i="25"/>
  <c r="AB85" i="25"/>
  <c r="AM38" i="25"/>
  <c r="AN38" i="25" s="1"/>
  <c r="G39" i="25"/>
  <c r="K39" i="25" s="1"/>
  <c r="J40" i="25"/>
  <c r="H39" i="25"/>
  <c r="C86" i="25"/>
  <c r="AZ86" i="25"/>
  <c r="BD86" i="25"/>
  <c r="E87" i="25"/>
  <c r="N39" i="25"/>
  <c r="P40" i="25"/>
  <c r="M39" i="25"/>
  <c r="AJ38" i="25"/>
  <c r="AK38" i="25" s="1"/>
  <c r="BG32" i="23"/>
  <c r="C86" i="24"/>
  <c r="AZ86" i="24"/>
  <c r="E87" i="24"/>
  <c r="T47" i="24"/>
  <c r="S48" i="24" s="1"/>
  <c r="R47" i="24"/>
  <c r="Q48" i="24" s="1"/>
  <c r="AQ85" i="24"/>
  <c r="AS85" i="24"/>
  <c r="AU85" i="24"/>
  <c r="F33" i="24"/>
  <c r="AL32" i="24"/>
  <c r="AM32" i="24" s="1"/>
  <c r="AI32" i="24"/>
  <c r="AJ32" i="24" s="1"/>
  <c r="I48" i="24"/>
  <c r="J109" i="23"/>
  <c r="G108" i="23"/>
  <c r="K108" i="23" s="1"/>
  <c r="F109" i="23" s="1"/>
  <c r="I109" i="23" s="1"/>
  <c r="AR109" i="23" s="1"/>
  <c r="H108" i="23"/>
  <c r="H33" i="15"/>
  <c r="K87" i="15"/>
  <c r="O87" i="15"/>
  <c r="AQ87" i="15"/>
  <c r="AS87" i="15"/>
  <c r="AU87" i="15"/>
  <c r="P57" i="15"/>
  <c r="M58" i="15" s="1"/>
  <c r="N58" i="15" s="1"/>
  <c r="F34" i="23"/>
  <c r="AI33" i="23"/>
  <c r="AL33" i="23"/>
  <c r="AW36" i="28"/>
  <c r="AX36" i="28" s="1"/>
  <c r="AY36" i="28" s="1"/>
  <c r="AK36" i="29"/>
  <c r="K36" i="29"/>
  <c r="AC49" i="29"/>
  <c r="X50" i="29" s="1"/>
  <c r="O84" i="25"/>
  <c r="I84" i="25"/>
  <c r="R56" i="15"/>
  <c r="Q57" i="15" s="1"/>
  <c r="AT57" i="15" s="1"/>
  <c r="AC11" i="17"/>
  <c r="X12" i="17" s="1"/>
  <c r="Z12" i="17" s="1"/>
  <c r="BG77" i="14"/>
  <c r="AW8" i="19"/>
  <c r="BA42" i="13"/>
  <c r="BD42" i="13" s="1"/>
  <c r="BH42" i="13"/>
  <c r="AW43" i="13"/>
  <c r="BH43" i="13" s="1"/>
  <c r="BH40" i="12"/>
  <c r="AR86" i="19"/>
  <c r="AL10" i="17"/>
  <c r="AM10" i="17" s="1"/>
  <c r="AN10" i="17" s="1"/>
  <c r="K78" i="14"/>
  <c r="F79" i="14" s="1"/>
  <c r="G79" i="14" s="1"/>
  <c r="AG14" i="19"/>
  <c r="AF15" i="19" s="1"/>
  <c r="AG82" i="14"/>
  <c r="AF83" i="14" s="1"/>
  <c r="AP41" i="12"/>
  <c r="AO41" i="12"/>
  <c r="G9" i="19"/>
  <c r="J10" i="19"/>
  <c r="H9" i="19"/>
  <c r="AG46" i="12"/>
  <c r="AF47" i="12" s="1"/>
  <c r="AI41" i="12"/>
  <c r="AJ41" i="12" s="1"/>
  <c r="AK41" i="12" s="1"/>
  <c r="Z15" i="19"/>
  <c r="Y15" i="19"/>
  <c r="AC15" i="19" s="1"/>
  <c r="X16" i="19" s="1"/>
  <c r="AT46" i="13"/>
  <c r="AE46" i="13"/>
  <c r="AD47" i="13" s="1"/>
  <c r="T47" i="13"/>
  <c r="S47" i="13"/>
  <c r="W47" i="13" s="1"/>
  <c r="R48" i="13" s="1"/>
  <c r="S81" i="14"/>
  <c r="AE81" i="14" s="1"/>
  <c r="AD82" i="14" s="1"/>
  <c r="AT82" i="14" s="1"/>
  <c r="T81" i="14"/>
  <c r="N48" i="12"/>
  <c r="P49" i="12"/>
  <c r="M48" i="12"/>
  <c r="Q48" i="12" s="1"/>
  <c r="L49" i="12" s="1"/>
  <c r="P17" i="17"/>
  <c r="N16" i="17"/>
  <c r="M16" i="17"/>
  <c r="Q16" i="17" s="1"/>
  <c r="L17" i="17" s="1"/>
  <c r="AI78" i="14"/>
  <c r="AJ78" i="14" s="1"/>
  <c r="AK78" i="14" s="1"/>
  <c r="AO78" i="14"/>
  <c r="AP78" i="14"/>
  <c r="M44" i="13"/>
  <c r="AL44" i="13" s="1"/>
  <c r="AM44" i="13" s="1"/>
  <c r="AN44" i="13" s="1"/>
  <c r="P45" i="13"/>
  <c r="N44" i="13"/>
  <c r="Z47" i="12"/>
  <c r="Y47" i="12"/>
  <c r="AC47" i="12" s="1"/>
  <c r="X48" i="12" s="1"/>
  <c r="W13" i="19"/>
  <c r="R14" i="19" s="1"/>
  <c r="AE13" i="19"/>
  <c r="AD14" i="19" s="1"/>
  <c r="AT14" i="17"/>
  <c r="AE14" i="17"/>
  <c r="AD15" i="17" s="1"/>
  <c r="AC45" i="13"/>
  <c r="X46" i="13" s="1"/>
  <c r="K10" i="17"/>
  <c r="AO10" i="17"/>
  <c r="AP10" i="17"/>
  <c r="V87" i="17"/>
  <c r="AA87" i="17"/>
  <c r="U87" i="19"/>
  <c r="U87" i="17"/>
  <c r="AB87" i="17"/>
  <c r="AA87" i="19"/>
  <c r="O87" i="17"/>
  <c r="V87" i="19"/>
  <c r="I87" i="19"/>
  <c r="AB87" i="19"/>
  <c r="I87" i="17"/>
  <c r="O87" i="19"/>
  <c r="G46" i="13"/>
  <c r="K46" i="13" s="1"/>
  <c r="F47" i="13" s="1"/>
  <c r="J47" i="13"/>
  <c r="H46" i="13"/>
  <c r="T47" i="12"/>
  <c r="S47" i="12"/>
  <c r="W47" i="12" s="1"/>
  <c r="R48" i="12" s="1"/>
  <c r="AE46" i="12"/>
  <c r="AD47" i="12" s="1"/>
  <c r="AT47" i="12" s="1"/>
  <c r="S15" i="17"/>
  <c r="W15" i="17" s="1"/>
  <c r="R16" i="17" s="1"/>
  <c r="T15" i="17"/>
  <c r="N84" i="14"/>
  <c r="P85" i="14"/>
  <c r="M84" i="14"/>
  <c r="Q84" i="14" s="1"/>
  <c r="L85" i="14" s="1"/>
  <c r="M16" i="19"/>
  <c r="Q16" i="19" s="1"/>
  <c r="L17" i="19" s="1"/>
  <c r="N16" i="19"/>
  <c r="P17" i="19"/>
  <c r="Z83" i="14"/>
  <c r="Y83" i="14"/>
  <c r="AC83" i="14" s="1"/>
  <c r="X84" i="14" s="1"/>
  <c r="E88" i="19"/>
  <c r="C87" i="19"/>
  <c r="AZ87" i="19"/>
  <c r="AR86" i="16"/>
  <c r="E88" i="16"/>
  <c r="C87" i="16"/>
  <c r="BD87" i="16"/>
  <c r="AZ87" i="16"/>
  <c r="L84" i="18"/>
  <c r="I85" i="18" s="1"/>
  <c r="J85" i="18" s="1"/>
  <c r="AZ86" i="18"/>
  <c r="C86" i="18"/>
  <c r="E87" i="18"/>
  <c r="C86" i="17"/>
  <c r="AZ86" i="17"/>
  <c r="E87" i="17"/>
  <c r="AU85" i="18"/>
  <c r="K85" i="18"/>
  <c r="AQ85" i="18"/>
  <c r="O85" i="18"/>
  <c r="AS85" i="18"/>
  <c r="H46" i="14"/>
  <c r="AW39" i="18"/>
  <c r="AX39" i="18" s="1"/>
  <c r="AY39" i="18" s="1"/>
  <c r="AZ88" i="15"/>
  <c r="C88" i="15"/>
  <c r="E89" i="15"/>
  <c r="G40" i="18"/>
  <c r="AR40" i="18" s="1"/>
  <c r="AZ43" i="14"/>
  <c r="BC43" i="14" s="1"/>
  <c r="BG43" i="14"/>
  <c r="L60" i="15"/>
  <c r="I61" i="15" s="1"/>
  <c r="J61" i="15" s="1"/>
  <c r="AK44" i="14"/>
  <c r="AN44" i="14"/>
  <c r="AN93" i="3"/>
  <c r="AI87" i="3"/>
  <c r="BE87" i="3" s="1"/>
  <c r="BC88" i="3"/>
  <c r="AE89" i="3"/>
  <c r="AM89" i="3"/>
  <c r="Y89" i="3"/>
  <c r="AC88" i="3"/>
  <c r="AH89" i="3"/>
  <c r="BD88" i="3"/>
  <c r="AQ92" i="3"/>
  <c r="H89" i="3"/>
  <c r="AF88" i="3"/>
  <c r="AK88" i="3" s="1"/>
  <c r="A90" i="3"/>
  <c r="BI90" i="3" s="1"/>
  <c r="BJ90" i="3" s="1"/>
  <c r="AG89" i="3"/>
  <c r="AW92" i="3"/>
  <c r="V90" i="3"/>
  <c r="X90" i="3" s="1"/>
  <c r="G91" i="3"/>
  <c r="AV90" i="3"/>
  <c r="AX90" i="3" s="1"/>
  <c r="AL89" i="3"/>
  <c r="S51" i="25" l="1"/>
  <c r="W51" i="25" s="1"/>
  <c r="R52" i="25" s="1"/>
  <c r="T51" i="25"/>
  <c r="AT50" i="25"/>
  <c r="AE50" i="25"/>
  <c r="AD51" i="25" s="1"/>
  <c r="AP107" i="23"/>
  <c r="AO107" i="23"/>
  <c r="AV105" i="23"/>
  <c r="AP106" i="23"/>
  <c r="AO106" i="23"/>
  <c r="AQ106" i="23"/>
  <c r="P108" i="23"/>
  <c r="M107" i="23"/>
  <c r="AI107" i="23" s="1"/>
  <c r="AJ107" i="23" s="1"/>
  <c r="AK107" i="23" s="1"/>
  <c r="O107" i="23"/>
  <c r="AU106" i="23"/>
  <c r="AS106" i="23"/>
  <c r="AE67" i="28"/>
  <c r="AD68" i="28" s="1"/>
  <c r="AT67" i="28"/>
  <c r="V68" i="28"/>
  <c r="S68" i="28"/>
  <c r="W68" i="28" s="1"/>
  <c r="R69" i="28" s="1"/>
  <c r="T68" i="28"/>
  <c r="Z50" i="29"/>
  <c r="AA50" i="29"/>
  <c r="AE50" i="29" s="1"/>
  <c r="AD51" i="29" s="1"/>
  <c r="AR92" i="3"/>
  <c r="O48" i="24"/>
  <c r="P48" i="24" s="1"/>
  <c r="M49" i="24" s="1"/>
  <c r="N49" i="24" s="1"/>
  <c r="BB90" i="3"/>
  <c r="AC44" i="25"/>
  <c r="X45" i="25" s="1"/>
  <c r="K48" i="24"/>
  <c r="R48" i="24" s="1"/>
  <c r="Q49" i="24" s="1"/>
  <c r="J48" i="24"/>
  <c r="AN90" i="20"/>
  <c r="AM90" i="3"/>
  <c r="O91" i="20"/>
  <c r="AQ90" i="20"/>
  <c r="AR90" i="20" s="1"/>
  <c r="P90" i="20"/>
  <c r="BG88" i="3"/>
  <c r="T58" i="15"/>
  <c r="S59" i="15" s="1"/>
  <c r="T72" i="29"/>
  <c r="S72" i="29"/>
  <c r="W72" i="29" s="1"/>
  <c r="R73" i="29" s="1"/>
  <c r="U73" i="29" s="1"/>
  <c r="F37" i="29"/>
  <c r="I37" i="29" s="1"/>
  <c r="AR37" i="29" s="1"/>
  <c r="AS36" i="29"/>
  <c r="AU36" i="29"/>
  <c r="AQ36" i="29"/>
  <c r="AM36" i="29"/>
  <c r="AN36" i="29" s="1"/>
  <c r="C86" i="29"/>
  <c r="AZ86" i="29"/>
  <c r="E87" i="29"/>
  <c r="P60" i="26"/>
  <c r="M61" i="26" s="1"/>
  <c r="N61" i="26" s="1"/>
  <c r="T61" i="26" s="1"/>
  <c r="S62" i="26" s="1"/>
  <c r="R60" i="26"/>
  <c r="Q61" i="26" s="1"/>
  <c r="Y50" i="29"/>
  <c r="F35" i="26"/>
  <c r="G35" i="26" s="1"/>
  <c r="AR35" i="26" s="1"/>
  <c r="AL34" i="26"/>
  <c r="AM34" i="26" s="1"/>
  <c r="AN34" i="26" s="1"/>
  <c r="AW34" i="26" s="1"/>
  <c r="AX34" i="26" s="1"/>
  <c r="AY34" i="26" s="1"/>
  <c r="J81" i="26"/>
  <c r="L81" i="26" s="1"/>
  <c r="I82" i="26" s="1"/>
  <c r="O86" i="26"/>
  <c r="K86" i="26"/>
  <c r="AS86" i="26"/>
  <c r="AU86" i="26"/>
  <c r="AQ86" i="26"/>
  <c r="K37" i="28"/>
  <c r="F38" i="28" s="1"/>
  <c r="C87" i="26"/>
  <c r="AZ87" i="26"/>
  <c r="E88" i="26"/>
  <c r="AO37" i="28"/>
  <c r="AL37" i="28"/>
  <c r="Z49" i="28"/>
  <c r="Y49" i="28"/>
  <c r="C87" i="28"/>
  <c r="AZ87" i="28"/>
  <c r="E88" i="28"/>
  <c r="AP39" i="25"/>
  <c r="F40" i="25"/>
  <c r="BA87" i="25"/>
  <c r="BB87" i="25"/>
  <c r="BC87" i="25"/>
  <c r="AW38" i="25"/>
  <c r="AX38" i="25" s="1"/>
  <c r="AY38" i="25" s="1"/>
  <c r="AL39" i="25"/>
  <c r="AO39" i="25"/>
  <c r="AR86" i="25"/>
  <c r="U86" i="25"/>
  <c r="AB86" i="25"/>
  <c r="V86" i="25"/>
  <c r="AA86" i="25"/>
  <c r="Q39" i="25"/>
  <c r="AU39" i="25" s="1"/>
  <c r="AZ87" i="25"/>
  <c r="BD87" i="25"/>
  <c r="C87" i="25"/>
  <c r="E88" i="25"/>
  <c r="AU86" i="24"/>
  <c r="AQ86" i="24"/>
  <c r="AS86" i="24"/>
  <c r="C87" i="24"/>
  <c r="AZ87" i="24"/>
  <c r="E88" i="24"/>
  <c r="AK32" i="24"/>
  <c r="AT48" i="24"/>
  <c r="AN32" i="24"/>
  <c r="G109" i="23"/>
  <c r="K109" i="23" s="1"/>
  <c r="F110" i="23" s="1"/>
  <c r="I110" i="23" s="1"/>
  <c r="AR110" i="23" s="1"/>
  <c r="J110" i="23"/>
  <c r="H109" i="23"/>
  <c r="G33" i="24"/>
  <c r="AR33" i="24" s="1"/>
  <c r="F34" i="15"/>
  <c r="AI33" i="15"/>
  <c r="AJ33" i="15" s="1"/>
  <c r="AK33" i="15" s="1"/>
  <c r="AL33" i="15"/>
  <c r="AM33" i="15" s="1"/>
  <c r="AN33" i="15" s="1"/>
  <c r="AQ88" i="15"/>
  <c r="AS88" i="15"/>
  <c r="AU88" i="15"/>
  <c r="P58" i="15"/>
  <c r="M59" i="15" s="1"/>
  <c r="N59" i="15" s="1"/>
  <c r="G34" i="23"/>
  <c r="AR34" i="23" s="1"/>
  <c r="AJ33" i="23"/>
  <c r="AK33" i="23" s="1"/>
  <c r="AM33" i="23"/>
  <c r="AN33" i="23" s="1"/>
  <c r="O85" i="25"/>
  <c r="I85" i="25"/>
  <c r="R57" i="15"/>
  <c r="Q58" i="15" s="1"/>
  <c r="AT58" i="15" s="1"/>
  <c r="AD88" i="3"/>
  <c r="AI88" i="3" s="1"/>
  <c r="BE88" i="3" s="1"/>
  <c r="Y12" i="17"/>
  <c r="AG12" i="17" s="1"/>
  <c r="AF13" i="17" s="1"/>
  <c r="BA43" i="13"/>
  <c r="BD43" i="13" s="1"/>
  <c r="AR87" i="19"/>
  <c r="H79" i="14"/>
  <c r="AO79" i="14" s="1"/>
  <c r="AU41" i="12"/>
  <c r="AQ41" i="12"/>
  <c r="AU78" i="14"/>
  <c r="AS41" i="12"/>
  <c r="AG47" i="12"/>
  <c r="AF48" i="12" s="1"/>
  <c r="Q44" i="13"/>
  <c r="L45" i="13" s="1"/>
  <c r="AL79" i="14"/>
  <c r="AM79" i="14" s="1"/>
  <c r="AN79" i="14" s="1"/>
  <c r="K79" i="14"/>
  <c r="F80" i="14" s="1"/>
  <c r="J81" i="14" s="1"/>
  <c r="AI79" i="14"/>
  <c r="AJ79" i="14" s="1"/>
  <c r="AK79" i="14" s="1"/>
  <c r="J80" i="14"/>
  <c r="AS78" i="14"/>
  <c r="AQ78" i="14"/>
  <c r="J43" i="12"/>
  <c r="H42" i="12"/>
  <c r="G42" i="12"/>
  <c r="K42" i="12" s="1"/>
  <c r="F43" i="12" s="1"/>
  <c r="AP9" i="19"/>
  <c r="AO9" i="19"/>
  <c r="AL9" i="19"/>
  <c r="AM9" i="19" s="1"/>
  <c r="AN9" i="19" s="1"/>
  <c r="AI9" i="19"/>
  <c r="AJ9" i="19" s="1"/>
  <c r="AK9" i="19" s="1"/>
  <c r="K9" i="19"/>
  <c r="P86" i="14"/>
  <c r="N85" i="14"/>
  <c r="M85" i="14"/>
  <c r="Q85" i="14" s="1"/>
  <c r="L86" i="14" s="1"/>
  <c r="P50" i="12"/>
  <c r="N49" i="12"/>
  <c r="M49" i="12"/>
  <c r="Q49" i="12" s="1"/>
  <c r="L50" i="12" s="1"/>
  <c r="S16" i="17"/>
  <c r="W16" i="17" s="1"/>
  <c r="R17" i="17" s="1"/>
  <c r="T16" i="17"/>
  <c r="G47" i="13"/>
  <c r="K47" i="13" s="1"/>
  <c r="F48" i="13" s="1"/>
  <c r="H47" i="13"/>
  <c r="J48" i="13"/>
  <c r="Y46" i="13"/>
  <c r="AG46" i="13" s="1"/>
  <c r="AF47" i="13" s="1"/>
  <c r="Z46" i="13"/>
  <c r="AT14" i="19"/>
  <c r="AG83" i="14"/>
  <c r="AF84" i="14" s="1"/>
  <c r="W81" i="14"/>
  <c r="R82" i="14" s="1"/>
  <c r="S14" i="19"/>
  <c r="AE14" i="19" s="1"/>
  <c r="AD15" i="19" s="1"/>
  <c r="AT15" i="19" s="1"/>
  <c r="T14" i="19"/>
  <c r="AG15" i="19"/>
  <c r="AF16" i="19" s="1"/>
  <c r="Y84" i="14"/>
  <c r="AC84" i="14" s="1"/>
  <c r="X85" i="14" s="1"/>
  <c r="Z84" i="14"/>
  <c r="M17" i="19"/>
  <c r="Q17" i="19" s="1"/>
  <c r="L18" i="19" s="1"/>
  <c r="N17" i="19"/>
  <c r="P18" i="19"/>
  <c r="AT15" i="17"/>
  <c r="AE15" i="17"/>
  <c r="AD16" i="17" s="1"/>
  <c r="Z48" i="12"/>
  <c r="Y48" i="12"/>
  <c r="AC48" i="12" s="1"/>
  <c r="X49" i="12" s="1"/>
  <c r="AP44" i="13"/>
  <c r="AO44" i="13"/>
  <c r="AT47" i="13"/>
  <c r="AE47" i="13"/>
  <c r="AD48" i="13" s="1"/>
  <c r="Y16" i="19"/>
  <c r="AC16" i="19" s="1"/>
  <c r="X17" i="19" s="1"/>
  <c r="Z16" i="19"/>
  <c r="AB88" i="17"/>
  <c r="O88" i="17"/>
  <c r="V88" i="17"/>
  <c r="V88" i="19"/>
  <c r="U88" i="17"/>
  <c r="O88" i="19"/>
  <c r="AB88" i="19"/>
  <c r="I88" i="19"/>
  <c r="U88" i="19"/>
  <c r="I88" i="17"/>
  <c r="AA88" i="19"/>
  <c r="AA88" i="17"/>
  <c r="AE47" i="12"/>
  <c r="AD48" i="12" s="1"/>
  <c r="AT48" i="12" s="1"/>
  <c r="T48" i="12"/>
  <c r="S48" i="12"/>
  <c r="W48" i="12" s="1"/>
  <c r="R49" i="12" s="1"/>
  <c r="F11" i="17"/>
  <c r="AS10" i="17"/>
  <c r="AQ10" i="17"/>
  <c r="AU10" i="17"/>
  <c r="AI44" i="13"/>
  <c r="AJ44" i="13" s="1"/>
  <c r="AK44" i="13" s="1"/>
  <c r="N17" i="17"/>
  <c r="M17" i="17"/>
  <c r="Q17" i="17" s="1"/>
  <c r="L18" i="17" s="1"/>
  <c r="P18" i="17"/>
  <c r="T48" i="13"/>
  <c r="S48" i="13"/>
  <c r="W48" i="13" s="1"/>
  <c r="R49" i="13" s="1"/>
  <c r="C88" i="19"/>
  <c r="E89" i="19"/>
  <c r="AZ88" i="19"/>
  <c r="AR87" i="16"/>
  <c r="AZ88" i="16"/>
  <c r="C88" i="16"/>
  <c r="BD88" i="16"/>
  <c r="E89" i="16"/>
  <c r="L85" i="18"/>
  <c r="I86" i="18" s="1"/>
  <c r="J86" i="18" s="1"/>
  <c r="E88" i="17"/>
  <c r="AZ87" i="17"/>
  <c r="C87" i="17"/>
  <c r="C87" i="18"/>
  <c r="E88" i="18"/>
  <c r="AZ87" i="18"/>
  <c r="O86" i="18"/>
  <c r="AU86" i="18"/>
  <c r="AS86" i="18"/>
  <c r="AQ86" i="18"/>
  <c r="K86" i="18"/>
  <c r="F47" i="14"/>
  <c r="AI46" i="14"/>
  <c r="AJ46" i="14" s="1"/>
  <c r="AL46" i="14"/>
  <c r="AM46" i="14" s="1"/>
  <c r="H40" i="18"/>
  <c r="E90" i="15"/>
  <c r="C89" i="15"/>
  <c r="AZ89" i="15"/>
  <c r="AV44" i="14"/>
  <c r="T62" i="18"/>
  <c r="S63" i="18" s="1"/>
  <c r="R62" i="18"/>
  <c r="Q63" i="18" s="1"/>
  <c r="AT63" i="18" s="1"/>
  <c r="P62" i="18"/>
  <c r="M63" i="18" s="1"/>
  <c r="N63" i="18" s="1"/>
  <c r="AN45" i="14"/>
  <c r="AK45" i="14"/>
  <c r="G92" i="3"/>
  <c r="AV91" i="3"/>
  <c r="AX91" i="3" s="1"/>
  <c r="V91" i="3"/>
  <c r="X91" i="3" s="1"/>
  <c r="AG90" i="3"/>
  <c r="H90" i="3"/>
  <c r="AF89" i="3"/>
  <c r="AD89" i="3" s="1"/>
  <c r="AH90" i="3"/>
  <c r="BD89" i="3"/>
  <c r="AL90" i="3"/>
  <c r="AW93" i="3"/>
  <c r="A91" i="3"/>
  <c r="BI91" i="3" s="1"/>
  <c r="BJ91" i="3" s="1"/>
  <c r="AQ93" i="3"/>
  <c r="Y90" i="3"/>
  <c r="AC89" i="3"/>
  <c r="BC89" i="3"/>
  <c r="AE90" i="3"/>
  <c r="P93" i="3"/>
  <c r="AE51" i="25" l="1"/>
  <c r="AD52" i="25" s="1"/>
  <c r="AT51" i="25"/>
  <c r="S52" i="25"/>
  <c r="W52" i="25" s="1"/>
  <c r="R53" i="25" s="1"/>
  <c r="T52" i="25"/>
  <c r="AG50" i="29"/>
  <c r="AF51" i="29" s="1"/>
  <c r="AZ105" i="23"/>
  <c r="BC105" i="23" s="1"/>
  <c r="BG105" i="23"/>
  <c r="AV106" i="23"/>
  <c r="Q107" i="23"/>
  <c r="L108" i="23" s="1"/>
  <c r="P109" i="23" s="1"/>
  <c r="AL107" i="23"/>
  <c r="AM107" i="23" s="1"/>
  <c r="AN107" i="23" s="1"/>
  <c r="V69" i="28"/>
  <c r="T69" i="28"/>
  <c r="S69" i="28"/>
  <c r="W69" i="28" s="1"/>
  <c r="R70" i="28" s="1"/>
  <c r="AE68" i="28"/>
  <c r="AD69" i="28" s="1"/>
  <c r="AT68" i="28"/>
  <c r="Q37" i="29"/>
  <c r="L38" i="29" s="1"/>
  <c r="G38" i="28"/>
  <c r="AI38" i="28" s="1"/>
  <c r="I38" i="28"/>
  <c r="Q38" i="28" s="1"/>
  <c r="L39" i="28" s="1"/>
  <c r="AT51" i="29"/>
  <c r="AR93" i="3"/>
  <c r="O49" i="24"/>
  <c r="P49" i="24" s="1"/>
  <c r="M50" i="24" s="1"/>
  <c r="N50" i="24" s="1"/>
  <c r="BB91" i="3"/>
  <c r="L48" i="24"/>
  <c r="I49" i="24" s="1"/>
  <c r="Z45" i="25"/>
  <c r="Y45" i="25"/>
  <c r="AG45" i="25" s="1"/>
  <c r="AF46" i="25" s="1"/>
  <c r="T48" i="24"/>
  <c r="S49" i="24" s="1"/>
  <c r="AN91" i="20"/>
  <c r="AM91" i="3"/>
  <c r="AJ89" i="3"/>
  <c r="BF89" i="3" s="1"/>
  <c r="O92" i="20"/>
  <c r="AQ91" i="20"/>
  <c r="AR91" i="20" s="1"/>
  <c r="P91" i="20"/>
  <c r="AK89" i="3"/>
  <c r="BG89" i="3" s="1"/>
  <c r="AQ42" i="12"/>
  <c r="O88" i="15"/>
  <c r="K88" i="15"/>
  <c r="T59" i="15"/>
  <c r="S60" i="15" s="1"/>
  <c r="T73" i="29"/>
  <c r="S73" i="29"/>
  <c r="W73" i="29" s="1"/>
  <c r="R74" i="29" s="1"/>
  <c r="U74" i="29" s="1"/>
  <c r="P61" i="26"/>
  <c r="M62" i="26" s="1"/>
  <c r="N62" i="26" s="1"/>
  <c r="AS37" i="28"/>
  <c r="AU37" i="28"/>
  <c r="H37" i="29"/>
  <c r="AP37" i="29" s="1"/>
  <c r="J38" i="29"/>
  <c r="AZ87" i="29"/>
  <c r="C87" i="29"/>
  <c r="E88" i="29"/>
  <c r="R61" i="26"/>
  <c r="Q62" i="26" s="1"/>
  <c r="AT62" i="26" s="1"/>
  <c r="G37" i="29"/>
  <c r="AI37" i="29" s="1"/>
  <c r="AJ37" i="29" s="1"/>
  <c r="AT61" i="26"/>
  <c r="H35" i="26"/>
  <c r="J82" i="26"/>
  <c r="L82" i="26" s="1"/>
  <c r="I83" i="26" s="1"/>
  <c r="J39" i="28"/>
  <c r="H38" i="28"/>
  <c r="AP38" i="28" s="1"/>
  <c r="K87" i="26"/>
  <c r="O87" i="26"/>
  <c r="AQ87" i="26"/>
  <c r="AU87" i="26"/>
  <c r="AS87" i="26"/>
  <c r="AQ37" i="28"/>
  <c r="AZ88" i="26"/>
  <c r="C88" i="26"/>
  <c r="E89" i="26"/>
  <c r="AZ88" i="28"/>
  <c r="C88" i="28"/>
  <c r="E89" i="28"/>
  <c r="AQ39" i="25"/>
  <c r="AG49" i="28"/>
  <c r="AF50" i="28" s="1"/>
  <c r="AC49" i="28"/>
  <c r="X50" i="28" s="1"/>
  <c r="AB50" i="28" s="1"/>
  <c r="AJ37" i="28"/>
  <c r="AK37" i="28" s="1"/>
  <c r="AM37" i="28"/>
  <c r="AN37" i="28" s="1"/>
  <c r="AI39" i="25"/>
  <c r="AW32" i="24"/>
  <c r="AX32" i="24" s="1"/>
  <c r="AY32" i="24" s="1"/>
  <c r="AS39" i="25"/>
  <c r="AB87" i="25"/>
  <c r="AR87" i="25"/>
  <c r="AA87" i="25"/>
  <c r="U87" i="25"/>
  <c r="V87" i="25"/>
  <c r="G40" i="25"/>
  <c r="K40" i="25" s="1"/>
  <c r="H40" i="25"/>
  <c r="J41" i="25"/>
  <c r="BA88" i="25"/>
  <c r="BB88" i="25"/>
  <c r="BC88" i="25"/>
  <c r="AM39" i="25"/>
  <c r="AN39" i="25" s="1"/>
  <c r="C88" i="25"/>
  <c r="AZ88" i="25"/>
  <c r="BD88" i="25"/>
  <c r="E89" i="25"/>
  <c r="L40" i="25"/>
  <c r="C88" i="24"/>
  <c r="AZ88" i="24"/>
  <c r="E89" i="24"/>
  <c r="AT49" i="24"/>
  <c r="AS87" i="24"/>
  <c r="AU87" i="24"/>
  <c r="AQ87" i="24"/>
  <c r="AW33" i="15"/>
  <c r="AX33" i="15" s="1"/>
  <c r="AY33" i="15" s="1"/>
  <c r="H33" i="24"/>
  <c r="H110" i="23"/>
  <c r="G110" i="23"/>
  <c r="K110" i="23" s="1"/>
  <c r="F111" i="23" s="1"/>
  <c r="I111" i="23" s="1"/>
  <c r="AR111" i="23" s="1"/>
  <c r="J111" i="23"/>
  <c r="G34" i="15"/>
  <c r="AR34" i="15" s="1"/>
  <c r="AS89" i="15"/>
  <c r="AU89" i="15"/>
  <c r="K89" i="15"/>
  <c r="AQ89" i="15"/>
  <c r="O89" i="15"/>
  <c r="AV33" i="23"/>
  <c r="H34" i="23"/>
  <c r="AW36" i="29"/>
  <c r="AX36" i="29" s="1"/>
  <c r="AY36" i="29" s="1"/>
  <c r="AC50" i="29"/>
  <c r="X51" i="29" s="1"/>
  <c r="O86" i="25"/>
  <c r="I86" i="25"/>
  <c r="AJ88" i="3"/>
  <c r="BF88" i="3" s="1"/>
  <c r="R58" i="15"/>
  <c r="Q59" i="15" s="1"/>
  <c r="AT59" i="15" s="1"/>
  <c r="P59" i="15"/>
  <c r="M60" i="15" s="1"/>
  <c r="N60" i="15" s="1"/>
  <c r="AC12" i="17"/>
  <c r="X13" i="17" s="1"/>
  <c r="Z13" i="17" s="1"/>
  <c r="AV78" i="14"/>
  <c r="AZ78" i="14" s="1"/>
  <c r="BC78" i="14" s="1"/>
  <c r="AU44" i="13"/>
  <c r="AQ44" i="13"/>
  <c r="AW41" i="12"/>
  <c r="BH41" i="12" s="1"/>
  <c r="AW10" i="17"/>
  <c r="AP79" i="14"/>
  <c r="AR88" i="19"/>
  <c r="H80" i="14"/>
  <c r="AP80" i="14" s="1"/>
  <c r="AS79" i="14"/>
  <c r="AS44" i="13"/>
  <c r="G80" i="14"/>
  <c r="AL80" i="14" s="1"/>
  <c r="AM80" i="14" s="1"/>
  <c r="AN80" i="14" s="1"/>
  <c r="AG48" i="12"/>
  <c r="AF49" i="12" s="1"/>
  <c r="AU79" i="14"/>
  <c r="W14" i="19"/>
  <c r="R15" i="19" s="1"/>
  <c r="T15" i="19" s="1"/>
  <c r="AQ79" i="14"/>
  <c r="AU42" i="12"/>
  <c r="AS42" i="12"/>
  <c r="AL42" i="12"/>
  <c r="AM42" i="12" s="1"/>
  <c r="AN42" i="12" s="1"/>
  <c r="AQ9" i="19"/>
  <c r="AU9" i="19"/>
  <c r="F10" i="19"/>
  <c r="AS9" i="19"/>
  <c r="AI42" i="12"/>
  <c r="AJ42" i="12" s="1"/>
  <c r="AK42" i="12" s="1"/>
  <c r="AO42" i="12"/>
  <c r="AP42" i="12"/>
  <c r="AE48" i="12"/>
  <c r="AD49" i="12" s="1"/>
  <c r="AT49" i="12" s="1"/>
  <c r="V89" i="17"/>
  <c r="U89" i="17"/>
  <c r="AA89" i="19"/>
  <c r="I89" i="19"/>
  <c r="O89" i="17"/>
  <c r="AA89" i="17"/>
  <c r="AB89" i="19"/>
  <c r="I89" i="17"/>
  <c r="V89" i="19"/>
  <c r="AB89" i="17"/>
  <c r="U89" i="19"/>
  <c r="O89" i="19"/>
  <c r="Z17" i="19"/>
  <c r="Y17" i="19"/>
  <c r="AC17" i="19" s="1"/>
  <c r="X18" i="19" s="1"/>
  <c r="N18" i="19"/>
  <c r="P19" i="19"/>
  <c r="M18" i="19"/>
  <c r="Q18" i="19" s="1"/>
  <c r="L19" i="19" s="1"/>
  <c r="AG16" i="19"/>
  <c r="AF17" i="19" s="1"/>
  <c r="G48" i="13"/>
  <c r="K48" i="13" s="1"/>
  <c r="F49" i="13" s="1"/>
  <c r="J49" i="13"/>
  <c r="H48" i="13"/>
  <c r="N45" i="13"/>
  <c r="P46" i="13"/>
  <c r="M45" i="13"/>
  <c r="AI45" i="13" s="1"/>
  <c r="AJ45" i="13" s="1"/>
  <c r="AK45" i="13" s="1"/>
  <c r="AT16" i="17"/>
  <c r="AE16" i="17"/>
  <c r="AD17" i="17" s="1"/>
  <c r="M50" i="12"/>
  <c r="Q50" i="12" s="1"/>
  <c r="L51" i="12" s="1"/>
  <c r="P51" i="12"/>
  <c r="N50" i="12"/>
  <c r="M86" i="14"/>
  <c r="Q86" i="14" s="1"/>
  <c r="L87" i="14" s="1"/>
  <c r="P87" i="14"/>
  <c r="N86" i="14"/>
  <c r="P19" i="17"/>
  <c r="M18" i="17"/>
  <c r="Q18" i="17" s="1"/>
  <c r="L19" i="17" s="1"/>
  <c r="N18" i="17"/>
  <c r="T49" i="12"/>
  <c r="S49" i="12"/>
  <c r="W49" i="12" s="1"/>
  <c r="R50" i="12" s="1"/>
  <c r="AT48" i="13"/>
  <c r="AE48" i="13"/>
  <c r="AD49" i="13" s="1"/>
  <c r="Y85" i="14"/>
  <c r="AC85" i="14" s="1"/>
  <c r="X86" i="14" s="1"/>
  <c r="Z85" i="14"/>
  <c r="S82" i="14"/>
  <c r="AE82" i="14" s="1"/>
  <c r="AD83" i="14" s="1"/>
  <c r="AT83" i="14" s="1"/>
  <c r="T82" i="14"/>
  <c r="T49" i="13"/>
  <c r="S49" i="13"/>
  <c r="W49" i="13" s="1"/>
  <c r="R50" i="13" s="1"/>
  <c r="G11" i="17"/>
  <c r="AI11" i="17" s="1"/>
  <c r="AJ11" i="17" s="1"/>
  <c r="AK11" i="17" s="1"/>
  <c r="J12" i="17"/>
  <c r="H11" i="17"/>
  <c r="Y49" i="12"/>
  <c r="AC49" i="12" s="1"/>
  <c r="X50" i="12" s="1"/>
  <c r="Z49" i="12"/>
  <c r="AG84" i="14"/>
  <c r="AF85" i="14" s="1"/>
  <c r="AC46" i="13"/>
  <c r="X47" i="13" s="1"/>
  <c r="T17" i="17"/>
  <c r="S17" i="17"/>
  <c r="W17" i="17" s="1"/>
  <c r="R18" i="17" s="1"/>
  <c r="AZ89" i="19"/>
  <c r="C89" i="19"/>
  <c r="E90" i="19"/>
  <c r="AN46" i="14"/>
  <c r="L86" i="18"/>
  <c r="I87" i="18" s="1"/>
  <c r="J87" i="18" s="1"/>
  <c r="AK46" i="14"/>
  <c r="C89" i="16"/>
  <c r="AZ89" i="16"/>
  <c r="E90" i="16"/>
  <c r="BD89" i="16"/>
  <c r="AR88" i="16"/>
  <c r="AZ88" i="18"/>
  <c r="E89" i="18"/>
  <c r="C88" i="18"/>
  <c r="AZ88" i="17"/>
  <c r="C88" i="17"/>
  <c r="E89" i="17"/>
  <c r="O87" i="18"/>
  <c r="AS87" i="18"/>
  <c r="AU87" i="18"/>
  <c r="AQ87" i="18"/>
  <c r="K87" i="18"/>
  <c r="G47" i="14"/>
  <c r="AR47" i="14" s="1"/>
  <c r="F41" i="18"/>
  <c r="AL40" i="18"/>
  <c r="AM40" i="18" s="1"/>
  <c r="AN40" i="18" s="1"/>
  <c r="AI40" i="18"/>
  <c r="AZ90" i="15"/>
  <c r="C90" i="15"/>
  <c r="E91" i="15"/>
  <c r="BG44" i="14"/>
  <c r="AZ44" i="14"/>
  <c r="BC44" i="14" s="1"/>
  <c r="P63" i="18"/>
  <c r="M64" i="18" s="1"/>
  <c r="N64" i="18" s="1"/>
  <c r="T63" i="18"/>
  <c r="S64" i="18" s="1"/>
  <c r="R63" i="18"/>
  <c r="Q64" i="18" s="1"/>
  <c r="AT64" i="18" s="1"/>
  <c r="L61" i="15"/>
  <c r="I62" i="15" s="1"/>
  <c r="J62" i="15" s="1"/>
  <c r="AV45" i="14"/>
  <c r="AQ94" i="3"/>
  <c r="AN94" i="3"/>
  <c r="V92" i="3"/>
  <c r="X92" i="3" s="1"/>
  <c r="G93" i="3"/>
  <c r="AV92" i="3"/>
  <c r="AX92" i="3" s="1"/>
  <c r="AW94" i="3"/>
  <c r="H91" i="3"/>
  <c r="AF90" i="3"/>
  <c r="AD90" i="3" s="1"/>
  <c r="P94" i="3"/>
  <c r="AI89" i="3"/>
  <c r="BE89" i="3" s="1"/>
  <c r="AG91" i="3"/>
  <c r="BC90" i="3"/>
  <c r="AE91" i="3"/>
  <c r="Y91" i="3"/>
  <c r="AC90" i="3"/>
  <c r="A92" i="3"/>
  <c r="BI92" i="3" s="1"/>
  <c r="BJ92" i="3" s="1"/>
  <c r="AL91" i="3"/>
  <c r="AH91" i="3"/>
  <c r="BD90" i="3"/>
  <c r="T53" i="25" l="1"/>
  <c r="S53" i="25"/>
  <c r="W53" i="25" s="1"/>
  <c r="R54" i="25" s="1"/>
  <c r="AE52" i="25"/>
  <c r="AD53" i="25" s="1"/>
  <c r="AT52" i="25"/>
  <c r="AZ106" i="23"/>
  <c r="BC106" i="23" s="1"/>
  <c r="BG106" i="23"/>
  <c r="AU107" i="23"/>
  <c r="AS107" i="23"/>
  <c r="N108" i="23"/>
  <c r="AO108" i="23" s="1"/>
  <c r="M108" i="23"/>
  <c r="AL108" i="23" s="1"/>
  <c r="AM108" i="23" s="1"/>
  <c r="O108" i="23"/>
  <c r="AQ107" i="23"/>
  <c r="AL38" i="28"/>
  <c r="AM38" i="28" s="1"/>
  <c r="AN38" i="28" s="1"/>
  <c r="K38" i="28"/>
  <c r="F39" i="28" s="1"/>
  <c r="I39" i="28" s="1"/>
  <c r="AE69" i="28"/>
  <c r="AD70" i="28" s="1"/>
  <c r="AT69" i="28"/>
  <c r="Z51" i="29"/>
  <c r="AA51" i="29"/>
  <c r="AE51" i="29" s="1"/>
  <c r="AD52" i="29" s="1"/>
  <c r="O38" i="29"/>
  <c r="M38" i="29"/>
  <c r="N38" i="29"/>
  <c r="P39" i="29"/>
  <c r="V70" i="28"/>
  <c r="S70" i="28"/>
  <c r="W70" i="28" s="1"/>
  <c r="R71" i="28" s="1"/>
  <c r="T70" i="28"/>
  <c r="M39" i="28"/>
  <c r="O39" i="28"/>
  <c r="N39" i="28"/>
  <c r="P40" i="28"/>
  <c r="AR94" i="3"/>
  <c r="O50" i="24"/>
  <c r="P50" i="24" s="1"/>
  <c r="M51" i="24" s="1"/>
  <c r="N51" i="24" s="1"/>
  <c r="BB92" i="3"/>
  <c r="AC45" i="25"/>
  <c r="X46" i="25" s="1"/>
  <c r="K49" i="24"/>
  <c r="J49" i="24"/>
  <c r="AL92" i="3"/>
  <c r="AN92" i="20"/>
  <c r="AM92" i="3"/>
  <c r="P92" i="20"/>
  <c r="O93" i="20"/>
  <c r="AQ92" i="20"/>
  <c r="AR92" i="20" s="1"/>
  <c r="AK90" i="3"/>
  <c r="BG90" i="3" s="1"/>
  <c r="AJ90" i="3"/>
  <c r="BF90" i="3" s="1"/>
  <c r="T74" i="29"/>
  <c r="S74" i="29"/>
  <c r="W74" i="29" s="1"/>
  <c r="R75" i="29" s="1"/>
  <c r="U75" i="29" s="1"/>
  <c r="K37" i="29"/>
  <c r="F38" i="29" s="1"/>
  <c r="C88" i="29"/>
  <c r="AZ88" i="29"/>
  <c r="E89" i="29"/>
  <c r="AO38" i="28"/>
  <c r="R62" i="26"/>
  <c r="Q63" i="26" s="1"/>
  <c r="AT63" i="26" s="1"/>
  <c r="AO37" i="29"/>
  <c r="AL37" i="29"/>
  <c r="AM37" i="29" s="1"/>
  <c r="T62" i="26"/>
  <c r="S63" i="26" s="1"/>
  <c r="Y51" i="29"/>
  <c r="P62" i="26"/>
  <c r="M63" i="26" s="1"/>
  <c r="N63" i="26" s="1"/>
  <c r="P63" i="26" s="1"/>
  <c r="M64" i="26" s="1"/>
  <c r="N64" i="26" s="1"/>
  <c r="F36" i="26"/>
  <c r="AL35" i="26"/>
  <c r="AM35" i="26" s="1"/>
  <c r="AN35" i="26" s="1"/>
  <c r="AI35" i="26"/>
  <c r="J83" i="26"/>
  <c r="L83" i="26" s="1"/>
  <c r="I84" i="26" s="1"/>
  <c r="O88" i="26"/>
  <c r="AQ88" i="26"/>
  <c r="AS88" i="26"/>
  <c r="AU88" i="26"/>
  <c r="K88" i="26"/>
  <c r="AZ89" i="26"/>
  <c r="C89" i="26"/>
  <c r="E90" i="26"/>
  <c r="AW37" i="28"/>
  <c r="AX37" i="28" s="1"/>
  <c r="AY37" i="28" s="1"/>
  <c r="Z50" i="28"/>
  <c r="Y50" i="28"/>
  <c r="AJ38" i="28"/>
  <c r="AK38" i="28" s="1"/>
  <c r="C89" i="28"/>
  <c r="AZ89" i="28"/>
  <c r="E90" i="28"/>
  <c r="F41" i="25"/>
  <c r="BA89" i="25"/>
  <c r="BB89" i="25"/>
  <c r="BC89" i="25"/>
  <c r="AA88" i="25"/>
  <c r="AB88" i="25"/>
  <c r="AR88" i="25"/>
  <c r="V88" i="25"/>
  <c r="U88" i="25"/>
  <c r="AJ39" i="25"/>
  <c r="AK39" i="25" s="1"/>
  <c r="AW39" i="25" s="1"/>
  <c r="AX39" i="25" s="1"/>
  <c r="AY39" i="25" s="1"/>
  <c r="AZ89" i="25"/>
  <c r="BD89" i="25"/>
  <c r="C89" i="25"/>
  <c r="E90" i="25"/>
  <c r="P41" i="25"/>
  <c r="N40" i="25"/>
  <c r="AO40" i="25" s="1"/>
  <c r="M40" i="25"/>
  <c r="AL40" i="25" s="1"/>
  <c r="F34" i="24"/>
  <c r="AL33" i="24"/>
  <c r="AI33" i="24"/>
  <c r="C89" i="24"/>
  <c r="AZ89" i="24"/>
  <c r="E90" i="24"/>
  <c r="AQ88" i="24"/>
  <c r="AS88" i="24"/>
  <c r="AU88" i="24"/>
  <c r="G111" i="23"/>
  <c r="K111" i="23" s="1"/>
  <c r="F112" i="23" s="1"/>
  <c r="I112" i="23" s="1"/>
  <c r="AR112" i="23" s="1"/>
  <c r="J112" i="23"/>
  <c r="H111" i="23"/>
  <c r="H34" i="15"/>
  <c r="F35" i="15" s="1"/>
  <c r="G35" i="15" s="1"/>
  <c r="AR35" i="15" s="1"/>
  <c r="K90" i="15"/>
  <c r="O90" i="15"/>
  <c r="AQ90" i="15"/>
  <c r="AS90" i="15"/>
  <c r="AU90" i="15"/>
  <c r="AZ33" i="23"/>
  <c r="BC33" i="23" s="1"/>
  <c r="BG33" i="23"/>
  <c r="F35" i="23"/>
  <c r="AI34" i="23"/>
  <c r="AL34" i="23"/>
  <c r="AK37" i="29"/>
  <c r="O87" i="25"/>
  <c r="I87" i="25"/>
  <c r="R59" i="15"/>
  <c r="Q60" i="15" s="1"/>
  <c r="AT60" i="15" s="1"/>
  <c r="T60" i="15"/>
  <c r="S61" i="15" s="1"/>
  <c r="Y13" i="17"/>
  <c r="AG13" i="17" s="1"/>
  <c r="AF14" i="17" s="1"/>
  <c r="BG78" i="14"/>
  <c r="AW9" i="19"/>
  <c r="AV79" i="14"/>
  <c r="BG79" i="14" s="1"/>
  <c r="AW44" i="13"/>
  <c r="BA44" i="13" s="1"/>
  <c r="BD44" i="13" s="1"/>
  <c r="AV46" i="14"/>
  <c r="AZ46" i="14" s="1"/>
  <c r="BC46" i="14" s="1"/>
  <c r="BA41" i="12"/>
  <c r="BD41" i="12" s="1"/>
  <c r="K80" i="14"/>
  <c r="AU80" i="14" s="1"/>
  <c r="AI80" i="14"/>
  <c r="AJ80" i="14" s="1"/>
  <c r="AK80" i="14" s="1"/>
  <c r="AO80" i="14"/>
  <c r="AG85" i="14"/>
  <c r="AF86" i="14" s="1"/>
  <c r="AL11" i="17"/>
  <c r="AM11" i="17" s="1"/>
  <c r="AN11" i="17" s="1"/>
  <c r="S15" i="19"/>
  <c r="J11" i="19"/>
  <c r="H10" i="19"/>
  <c r="G10" i="19"/>
  <c r="AI10" i="19" s="1"/>
  <c r="AJ10" i="19" s="1"/>
  <c r="AK10" i="19" s="1"/>
  <c r="K11" i="17"/>
  <c r="AW42" i="12"/>
  <c r="AG17" i="19"/>
  <c r="AF18" i="19" s="1"/>
  <c r="H43" i="12"/>
  <c r="J44" i="12"/>
  <c r="G43" i="12"/>
  <c r="K43" i="12" s="1"/>
  <c r="F44" i="12" s="1"/>
  <c r="S50" i="13"/>
  <c r="W50" i="13" s="1"/>
  <c r="R51" i="13" s="1"/>
  <c r="T50" i="13"/>
  <c r="G49" i="13"/>
  <c r="K49" i="13" s="1"/>
  <c r="H49" i="13"/>
  <c r="J50" i="13"/>
  <c r="AR89" i="19"/>
  <c r="S18" i="17"/>
  <c r="W18" i="17" s="1"/>
  <c r="R19" i="17" s="1"/>
  <c r="T18" i="17"/>
  <c r="AT49" i="13"/>
  <c r="AE49" i="13"/>
  <c r="AD50" i="13" s="1"/>
  <c r="P20" i="17"/>
  <c r="N19" i="17"/>
  <c r="M19" i="17"/>
  <c r="Q19" i="17" s="1"/>
  <c r="L20" i="17" s="1"/>
  <c r="P88" i="14"/>
  <c r="M87" i="14"/>
  <c r="Q87" i="14" s="1"/>
  <c r="L88" i="14" s="1"/>
  <c r="N87" i="14"/>
  <c r="AT17" i="17"/>
  <c r="AE17" i="17"/>
  <c r="AD18" i="17" s="1"/>
  <c r="Q45" i="13"/>
  <c r="N19" i="19"/>
  <c r="M19" i="19"/>
  <c r="Q19" i="19" s="1"/>
  <c r="L20" i="19" s="1"/>
  <c r="P20" i="19"/>
  <c r="Y18" i="19"/>
  <c r="AC18" i="19" s="1"/>
  <c r="X19" i="19" s="1"/>
  <c r="Z18" i="19"/>
  <c r="AB90" i="17"/>
  <c r="O90" i="17"/>
  <c r="U90" i="17"/>
  <c r="AB90" i="19"/>
  <c r="O90" i="19"/>
  <c r="I90" i="17"/>
  <c r="V90" i="19"/>
  <c r="AA90" i="17"/>
  <c r="U90" i="19"/>
  <c r="I90" i="19"/>
  <c r="V90" i="17"/>
  <c r="AA90" i="19"/>
  <c r="T50" i="12"/>
  <c r="S50" i="12"/>
  <c r="W50" i="12" s="1"/>
  <c r="R51" i="12" s="1"/>
  <c r="AG49" i="12"/>
  <c r="AF50" i="12" s="1"/>
  <c r="AL45" i="13"/>
  <c r="AM45" i="13" s="1"/>
  <c r="AN45" i="13" s="1"/>
  <c r="AE49" i="12"/>
  <c r="AD50" i="12" s="1"/>
  <c r="AT50" i="12" s="1"/>
  <c r="Z47" i="13"/>
  <c r="Y47" i="13"/>
  <c r="AG47" i="13" s="1"/>
  <c r="AF48" i="13" s="1"/>
  <c r="AO11" i="17"/>
  <c r="AP11" i="17"/>
  <c r="Y50" i="12"/>
  <c r="AC50" i="12" s="1"/>
  <c r="X51" i="12" s="1"/>
  <c r="Z50" i="12"/>
  <c r="W82" i="14"/>
  <c r="R83" i="14" s="1"/>
  <c r="Y86" i="14"/>
  <c r="AC86" i="14" s="1"/>
  <c r="X87" i="14" s="1"/>
  <c r="Z86" i="14"/>
  <c r="M51" i="12"/>
  <c r="Q51" i="12" s="1"/>
  <c r="P52" i="12"/>
  <c r="N51" i="12"/>
  <c r="AO45" i="13"/>
  <c r="AP45" i="13"/>
  <c r="AZ90" i="19"/>
  <c r="E91" i="19"/>
  <c r="C90" i="19"/>
  <c r="L87" i="18"/>
  <c r="I88" i="18" s="1"/>
  <c r="J88" i="18" s="1"/>
  <c r="E91" i="16"/>
  <c r="C90" i="16"/>
  <c r="BD90" i="16"/>
  <c r="AZ90" i="16"/>
  <c r="AR89" i="16"/>
  <c r="K88" i="18"/>
  <c r="AQ88" i="18"/>
  <c r="O88" i="18"/>
  <c r="AS88" i="18"/>
  <c r="AU88" i="18"/>
  <c r="AZ89" i="17"/>
  <c r="C89" i="17"/>
  <c r="E90" i="17"/>
  <c r="AZ89" i="18"/>
  <c r="E90" i="18"/>
  <c r="C89" i="18"/>
  <c r="H47" i="14"/>
  <c r="AJ40" i="18"/>
  <c r="AK40" i="18" s="1"/>
  <c r="AW40" i="18" s="1"/>
  <c r="AX40" i="18" s="1"/>
  <c r="AY40" i="18" s="1"/>
  <c r="AZ91" i="15"/>
  <c r="C91" i="15"/>
  <c r="E92" i="15"/>
  <c r="G41" i="18"/>
  <c r="AR41" i="18" s="1"/>
  <c r="AZ45" i="14"/>
  <c r="BC45" i="14" s="1"/>
  <c r="BG45" i="14"/>
  <c r="P64" i="18"/>
  <c r="M65" i="18" s="1"/>
  <c r="N65" i="18" s="1"/>
  <c r="R64" i="18"/>
  <c r="Q65" i="18" s="1"/>
  <c r="AT65" i="18" s="1"/>
  <c r="Y92" i="3"/>
  <c r="AC91" i="3"/>
  <c r="AQ95" i="3"/>
  <c r="A93" i="3"/>
  <c r="BI93" i="3" s="1"/>
  <c r="BJ93" i="3" s="1"/>
  <c r="AG92" i="3"/>
  <c r="AW95" i="3"/>
  <c r="BC91" i="3"/>
  <c r="AE92" i="3"/>
  <c r="AF91" i="3"/>
  <c r="AD91" i="3" s="1"/>
  <c r="H92" i="3"/>
  <c r="AN95" i="3"/>
  <c r="AN96" i="3" s="1"/>
  <c r="AH92" i="3"/>
  <c r="BD91" i="3"/>
  <c r="AI90" i="3"/>
  <c r="BE90" i="3" s="1"/>
  <c r="P95" i="3"/>
  <c r="P96" i="3" s="1"/>
  <c r="G94" i="3"/>
  <c r="AV93" i="3"/>
  <c r="AX93" i="3" s="1"/>
  <c r="V93" i="3"/>
  <c r="X93" i="3" s="1"/>
  <c r="AT53" i="25" l="1"/>
  <c r="AE53" i="25"/>
  <c r="AD54" i="25" s="1"/>
  <c r="L52" i="12"/>
  <c r="M52" i="12" s="1"/>
  <c r="S54" i="25"/>
  <c r="W54" i="25" s="1"/>
  <c r="R55" i="25" s="1"/>
  <c r="T54" i="25"/>
  <c r="AS38" i="28"/>
  <c r="AU38" i="28"/>
  <c r="AV107" i="23"/>
  <c r="BG107" i="23" s="1"/>
  <c r="AQ38" i="28"/>
  <c r="AI108" i="23"/>
  <c r="AJ108" i="23" s="1"/>
  <c r="AK108" i="23" s="1"/>
  <c r="AN108" i="23"/>
  <c r="AP108" i="23"/>
  <c r="Q108" i="23"/>
  <c r="L109" i="23" s="1"/>
  <c r="AG51" i="29"/>
  <c r="AF52" i="29" s="1"/>
  <c r="Q39" i="28"/>
  <c r="L40" i="28" s="1"/>
  <c r="P41" i="28" s="1"/>
  <c r="AE70" i="28"/>
  <c r="AD71" i="28" s="1"/>
  <c r="AT70" i="28"/>
  <c r="AT52" i="29"/>
  <c r="H38" i="29"/>
  <c r="AP38" i="29" s="1"/>
  <c r="I38" i="29"/>
  <c r="AR38" i="29" s="1"/>
  <c r="V71" i="28"/>
  <c r="S71" i="28"/>
  <c r="W71" i="28" s="1"/>
  <c r="R72" i="28" s="1"/>
  <c r="T71" i="28"/>
  <c r="AR95" i="3"/>
  <c r="O51" i="24"/>
  <c r="P51" i="24" s="1"/>
  <c r="M52" i="24" s="1"/>
  <c r="BB93" i="3"/>
  <c r="L49" i="24"/>
  <c r="I50" i="24" s="1"/>
  <c r="R49" i="24"/>
  <c r="Q50" i="24" s="1"/>
  <c r="AT50" i="24" s="1"/>
  <c r="Z46" i="25"/>
  <c r="Y46" i="25"/>
  <c r="AG46" i="25" s="1"/>
  <c r="AF47" i="25" s="1"/>
  <c r="T49" i="24"/>
  <c r="S50" i="24" s="1"/>
  <c r="AN93" i="20"/>
  <c r="P93" i="20"/>
  <c r="AK91" i="3"/>
  <c r="BG91" i="3" s="1"/>
  <c r="O94" i="20"/>
  <c r="AQ93" i="20"/>
  <c r="AR93" i="20" s="1"/>
  <c r="AN37" i="29"/>
  <c r="T63" i="26"/>
  <c r="S64" i="26" s="1"/>
  <c r="T64" i="26" s="1"/>
  <c r="S65" i="26" s="1"/>
  <c r="T75" i="29"/>
  <c r="S75" i="29"/>
  <c r="W75" i="29" s="1"/>
  <c r="R76" i="29" s="1"/>
  <c r="U76" i="29" s="1"/>
  <c r="G38" i="29"/>
  <c r="AI38" i="29" s="1"/>
  <c r="AJ38" i="29" s="1"/>
  <c r="J39" i="29"/>
  <c r="AS37" i="29"/>
  <c r="AQ37" i="29"/>
  <c r="AU37" i="29"/>
  <c r="AZ89" i="29"/>
  <c r="C89" i="29"/>
  <c r="E90" i="29"/>
  <c r="R63" i="26"/>
  <c r="Q64" i="26" s="1"/>
  <c r="AT64" i="26" s="1"/>
  <c r="AJ35" i="26"/>
  <c r="AK35" i="26" s="1"/>
  <c r="AW35" i="26" s="1"/>
  <c r="AX35" i="26" s="1"/>
  <c r="AY35" i="26" s="1"/>
  <c r="G36" i="26"/>
  <c r="AR36" i="26" s="1"/>
  <c r="P64" i="26"/>
  <c r="M65" i="26" s="1"/>
  <c r="AS89" i="26"/>
  <c r="AU89" i="26"/>
  <c r="AQ89" i="26"/>
  <c r="O89" i="26"/>
  <c r="K89" i="26"/>
  <c r="J84" i="26"/>
  <c r="L84" i="26" s="1"/>
  <c r="I85" i="26" s="1"/>
  <c r="C90" i="26"/>
  <c r="AZ90" i="26"/>
  <c r="E91" i="26"/>
  <c r="H39" i="28"/>
  <c r="AP39" i="28" s="1"/>
  <c r="J40" i="28"/>
  <c r="G39" i="28"/>
  <c r="AI39" i="28" s="1"/>
  <c r="AZ90" i="28"/>
  <c r="C90" i="28"/>
  <c r="E91" i="28"/>
  <c r="AG50" i="28"/>
  <c r="AF51" i="28" s="1"/>
  <c r="AC50" i="28"/>
  <c r="X51" i="28" s="1"/>
  <c r="AB51" i="28" s="1"/>
  <c r="AP40" i="25"/>
  <c r="G41" i="25"/>
  <c r="K41" i="25" s="1"/>
  <c r="H41" i="25"/>
  <c r="J42" i="25"/>
  <c r="V89" i="25"/>
  <c r="AA89" i="25"/>
  <c r="AB89" i="25"/>
  <c r="AR89" i="25"/>
  <c r="U89" i="25"/>
  <c r="BC90" i="25"/>
  <c r="BA90" i="25"/>
  <c r="BB90" i="25"/>
  <c r="Q40" i="25"/>
  <c r="C90" i="25"/>
  <c r="AZ90" i="25"/>
  <c r="BD90" i="25"/>
  <c r="E91" i="25"/>
  <c r="G34" i="24"/>
  <c r="AR34" i="24" s="1"/>
  <c r="AM33" i="24"/>
  <c r="AN33" i="24" s="1"/>
  <c r="AJ33" i="24"/>
  <c r="AK33" i="24" s="1"/>
  <c r="AQ89" i="24"/>
  <c r="AS89" i="24"/>
  <c r="AU89" i="24"/>
  <c r="AZ90" i="24"/>
  <c r="C90" i="24"/>
  <c r="E91" i="24"/>
  <c r="G112" i="23"/>
  <c r="K112" i="23" s="1"/>
  <c r="F113" i="23" s="1"/>
  <c r="I113" i="23" s="1"/>
  <c r="AR113" i="23" s="1"/>
  <c r="H112" i="23"/>
  <c r="J113" i="23"/>
  <c r="AL34" i="15"/>
  <c r="AM34" i="15" s="1"/>
  <c r="AN34" i="15" s="1"/>
  <c r="AI34" i="15"/>
  <c r="AJ34" i="15" s="1"/>
  <c r="AK34" i="15" s="1"/>
  <c r="H35" i="15"/>
  <c r="K91" i="15"/>
  <c r="O91" i="15"/>
  <c r="AQ91" i="15"/>
  <c r="AS91" i="15"/>
  <c r="AU91" i="15"/>
  <c r="G35" i="23"/>
  <c r="AR35" i="23" s="1"/>
  <c r="AJ34" i="23"/>
  <c r="AK34" i="23" s="1"/>
  <c r="AM34" i="23"/>
  <c r="AN34" i="23" s="1"/>
  <c r="AC51" i="29"/>
  <c r="X52" i="29" s="1"/>
  <c r="O88" i="25"/>
  <c r="I88" i="25"/>
  <c r="BG46" i="14"/>
  <c r="R60" i="15"/>
  <c r="Q61" i="15" s="1"/>
  <c r="AT61" i="15" s="1"/>
  <c r="P60" i="15"/>
  <c r="M61" i="15" s="1"/>
  <c r="N61" i="15" s="1"/>
  <c r="AJ91" i="3"/>
  <c r="BF91" i="3" s="1"/>
  <c r="AC13" i="17"/>
  <c r="X14" i="17" s="1"/>
  <c r="Y14" i="17" s="1"/>
  <c r="AC14" i="17" s="1"/>
  <c r="X15" i="17" s="1"/>
  <c r="BH44" i="13"/>
  <c r="AZ79" i="14"/>
  <c r="BC79" i="14" s="1"/>
  <c r="AM93" i="3"/>
  <c r="AQ80" i="14"/>
  <c r="AS80" i="14"/>
  <c r="F81" i="14"/>
  <c r="H81" i="14" s="1"/>
  <c r="AS43" i="12"/>
  <c r="L62" i="15"/>
  <c r="I63" i="15" s="1"/>
  <c r="J63" i="15" s="1"/>
  <c r="AI43" i="12"/>
  <c r="AJ43" i="12" s="1"/>
  <c r="AK43" i="12" s="1"/>
  <c r="AC47" i="13"/>
  <c r="X48" i="13" s="1"/>
  <c r="Y48" i="13" s="1"/>
  <c r="AG48" i="13" s="1"/>
  <c r="AF49" i="13" s="1"/>
  <c r="AG50" i="12"/>
  <c r="AF51" i="12" s="1"/>
  <c r="AG18" i="19"/>
  <c r="AF19" i="19" s="1"/>
  <c r="AE15" i="19"/>
  <c r="AD16" i="19" s="1"/>
  <c r="AT16" i="19" s="1"/>
  <c r="W15" i="19"/>
  <c r="R16" i="19" s="1"/>
  <c r="F12" i="17"/>
  <c r="AU11" i="17"/>
  <c r="AQ11" i="17"/>
  <c r="AS11" i="17"/>
  <c r="AQ43" i="12"/>
  <c r="AL43" i="12"/>
  <c r="AM43" i="12" s="1"/>
  <c r="AN43" i="12" s="1"/>
  <c r="K10" i="19"/>
  <c r="AO10" i="19"/>
  <c r="AP10" i="19"/>
  <c r="G44" i="12"/>
  <c r="K44" i="12" s="1"/>
  <c r="F45" i="12" s="1"/>
  <c r="H44" i="12"/>
  <c r="J45" i="12"/>
  <c r="AU43" i="12"/>
  <c r="BH42" i="12"/>
  <c r="BA42" i="12"/>
  <c r="BD42" i="12" s="1"/>
  <c r="AO43" i="12"/>
  <c r="AP43" i="12"/>
  <c r="AL10" i="19"/>
  <c r="AM10" i="19" s="1"/>
  <c r="AN10" i="19" s="1"/>
  <c r="F50" i="13"/>
  <c r="L46" i="13"/>
  <c r="AS45" i="13"/>
  <c r="AU45" i="13"/>
  <c r="AQ45" i="13"/>
  <c r="S51" i="13"/>
  <c r="W51" i="13" s="1"/>
  <c r="R52" i="13" s="1"/>
  <c r="T51" i="13"/>
  <c r="Z87" i="14"/>
  <c r="Y87" i="14"/>
  <c r="AC87" i="14" s="1"/>
  <c r="X88" i="14" s="1"/>
  <c r="AE50" i="12"/>
  <c r="AD51" i="12" s="1"/>
  <c r="AT51" i="12" s="1"/>
  <c r="P21" i="17"/>
  <c r="M20" i="17"/>
  <c r="Q20" i="17" s="1"/>
  <c r="L21" i="17" s="1"/>
  <c r="N20" i="17"/>
  <c r="T19" i="17"/>
  <c r="S19" i="17"/>
  <c r="W19" i="17" s="1"/>
  <c r="R20" i="17" s="1"/>
  <c r="Y51" i="12"/>
  <c r="AC51" i="12" s="1"/>
  <c r="X52" i="12" s="1"/>
  <c r="Z51" i="12"/>
  <c r="Y19" i="19"/>
  <c r="Z19" i="19"/>
  <c r="N20" i="19"/>
  <c r="P21" i="19"/>
  <c r="M20" i="19"/>
  <c r="Q20" i="19" s="1"/>
  <c r="L21" i="19" s="1"/>
  <c r="N88" i="14"/>
  <c r="P89" i="14"/>
  <c r="M88" i="14"/>
  <c r="Q88" i="14" s="1"/>
  <c r="L89" i="14" s="1"/>
  <c r="AG86" i="14"/>
  <c r="AF87" i="14" s="1"/>
  <c r="V91" i="17"/>
  <c r="O91" i="17"/>
  <c r="U91" i="19"/>
  <c r="AB91" i="17"/>
  <c r="I91" i="17"/>
  <c r="U91" i="17"/>
  <c r="O91" i="19"/>
  <c r="AB91" i="19"/>
  <c r="I91" i="19"/>
  <c r="AA91" i="17"/>
  <c r="AA91" i="19"/>
  <c r="V91" i="19"/>
  <c r="AR90" i="19"/>
  <c r="S83" i="14"/>
  <c r="AE83" i="14" s="1"/>
  <c r="AD84" i="14" s="1"/>
  <c r="AT84" i="14" s="1"/>
  <c r="T83" i="14"/>
  <c r="S51" i="12"/>
  <c r="W51" i="12" s="1"/>
  <c r="R52" i="12" s="1"/>
  <c r="T51" i="12"/>
  <c r="AT18" i="17"/>
  <c r="AE18" i="17"/>
  <c r="AD19" i="17" s="1"/>
  <c r="AT50" i="13"/>
  <c r="AE50" i="13"/>
  <c r="AD51" i="13" s="1"/>
  <c r="AZ91" i="19"/>
  <c r="E92" i="19"/>
  <c r="C91" i="19"/>
  <c r="L88" i="18"/>
  <c r="I89" i="18" s="1"/>
  <c r="AR90" i="16"/>
  <c r="C91" i="16"/>
  <c r="AZ91" i="16"/>
  <c r="BD91" i="16"/>
  <c r="E92" i="16"/>
  <c r="O89" i="18"/>
  <c r="AS89" i="18"/>
  <c r="AQ89" i="18"/>
  <c r="AU89" i="18"/>
  <c r="K89" i="18"/>
  <c r="AZ90" i="18"/>
  <c r="E91" i="18"/>
  <c r="C90" i="18"/>
  <c r="C90" i="17"/>
  <c r="E91" i="17"/>
  <c r="AZ90" i="17"/>
  <c r="F48" i="14"/>
  <c r="AI47" i="14"/>
  <c r="AL47" i="14"/>
  <c r="H41" i="18"/>
  <c r="F42" i="18" s="1"/>
  <c r="G42" i="18" s="1"/>
  <c r="AR42" i="18" s="1"/>
  <c r="E93" i="15"/>
  <c r="C92" i="15"/>
  <c r="AZ92" i="15"/>
  <c r="R65" i="18"/>
  <c r="Q66" i="18" s="1"/>
  <c r="AT66" i="18" s="1"/>
  <c r="T64" i="18"/>
  <c r="S65" i="18" s="1"/>
  <c r="V94" i="3"/>
  <c r="X94" i="3" s="1"/>
  <c r="G95" i="3"/>
  <c r="AV94" i="3"/>
  <c r="AX94" i="3" s="1"/>
  <c r="AW96" i="3"/>
  <c r="AH93" i="3"/>
  <c r="BD92" i="3"/>
  <c r="A94" i="3"/>
  <c r="BI94" i="3" s="1"/>
  <c r="BJ94" i="3" s="1"/>
  <c r="AI91" i="3"/>
  <c r="BE91" i="3" s="1"/>
  <c r="BC92" i="3"/>
  <c r="AE93" i="3"/>
  <c r="AG93" i="3"/>
  <c r="AQ96" i="3"/>
  <c r="Y93" i="3"/>
  <c r="AC92" i="3"/>
  <c r="H93" i="3"/>
  <c r="AF92" i="3"/>
  <c r="AK92" i="3" s="1"/>
  <c r="AL93" i="3"/>
  <c r="AT54" i="25" l="1"/>
  <c r="AE54" i="25"/>
  <c r="AD55" i="25" s="1"/>
  <c r="N52" i="12"/>
  <c r="Q52" i="12"/>
  <c r="M53" i="12" s="1"/>
  <c r="P53" i="12"/>
  <c r="T55" i="25"/>
  <c r="S55" i="25"/>
  <c r="W55" i="25" s="1"/>
  <c r="R56" i="25" s="1"/>
  <c r="O52" i="24"/>
  <c r="N52" i="24"/>
  <c r="AW38" i="28"/>
  <c r="AX38" i="28" s="1"/>
  <c r="AY38" i="28" s="1"/>
  <c r="Q38" i="29"/>
  <c r="L39" i="29" s="1"/>
  <c r="P40" i="29" s="1"/>
  <c r="AR91" i="19"/>
  <c r="AZ107" i="23"/>
  <c r="BC107" i="23" s="1"/>
  <c r="AQ108" i="23"/>
  <c r="AU108" i="23"/>
  <c r="AS108" i="23"/>
  <c r="O40" i="28"/>
  <c r="M40" i="28"/>
  <c r="N109" i="23"/>
  <c r="M109" i="23"/>
  <c r="AI109" i="23" s="1"/>
  <c r="AJ109" i="23" s="1"/>
  <c r="AK109" i="23" s="1"/>
  <c r="P110" i="23"/>
  <c r="O109" i="23"/>
  <c r="N40" i="28"/>
  <c r="AO38" i="29"/>
  <c r="V72" i="28"/>
  <c r="S72" i="28"/>
  <c r="W72" i="28" s="1"/>
  <c r="R73" i="28" s="1"/>
  <c r="T72" i="28"/>
  <c r="Z52" i="29"/>
  <c r="AA52" i="29"/>
  <c r="AE52" i="29" s="1"/>
  <c r="AD53" i="29" s="1"/>
  <c r="AE71" i="28"/>
  <c r="AD72" i="28" s="1"/>
  <c r="AT71" i="28"/>
  <c r="O39" i="29"/>
  <c r="AR96" i="3"/>
  <c r="AN94" i="20"/>
  <c r="BB94" i="3"/>
  <c r="P94" i="20"/>
  <c r="AC46" i="25"/>
  <c r="X47" i="25" s="1"/>
  <c r="K50" i="24"/>
  <c r="T50" i="24" s="1"/>
  <c r="S51" i="24" s="1"/>
  <c r="J50" i="24"/>
  <c r="AM94" i="3"/>
  <c r="O95" i="20"/>
  <c r="AQ94" i="20"/>
  <c r="AR94" i="20" s="1"/>
  <c r="BG92" i="3"/>
  <c r="AW37" i="29"/>
  <c r="AX37" i="29" s="1"/>
  <c r="AY37" i="29" s="1"/>
  <c r="T76" i="29"/>
  <c r="S76" i="29"/>
  <c r="W76" i="29" s="1"/>
  <c r="R77" i="29" s="1"/>
  <c r="U77" i="29" s="1"/>
  <c r="K38" i="29"/>
  <c r="F39" i="29" s="1"/>
  <c r="I39" i="29" s="1"/>
  <c r="AR39" i="29" s="1"/>
  <c r="AK38" i="29"/>
  <c r="AL38" i="29"/>
  <c r="C90" i="29"/>
  <c r="AZ90" i="29"/>
  <c r="E91" i="29"/>
  <c r="Y52" i="29"/>
  <c r="R64" i="26"/>
  <c r="Q65" i="26" s="1"/>
  <c r="AT65" i="26" s="1"/>
  <c r="H36" i="26"/>
  <c r="J85" i="26"/>
  <c r="L85" i="26" s="1"/>
  <c r="I86" i="26" s="1"/>
  <c r="N65" i="26"/>
  <c r="K90" i="26"/>
  <c r="AS90" i="26"/>
  <c r="AU90" i="26"/>
  <c r="O90" i="26"/>
  <c r="AQ90" i="26"/>
  <c r="C91" i="26"/>
  <c r="AZ91" i="26"/>
  <c r="E92" i="26"/>
  <c r="Z51" i="28"/>
  <c r="Y51" i="28"/>
  <c r="AG51" i="28" s="1"/>
  <c r="AF52" i="28" s="1"/>
  <c r="AO39" i="28"/>
  <c r="AL39" i="28"/>
  <c r="AM39" i="28" s="1"/>
  <c r="C91" i="28"/>
  <c r="AZ91" i="28"/>
  <c r="E92" i="28"/>
  <c r="F42" i="25"/>
  <c r="U90" i="25"/>
  <c r="V90" i="25"/>
  <c r="AA90" i="25"/>
  <c r="AB90" i="25"/>
  <c r="AR90" i="25"/>
  <c r="BC91" i="25"/>
  <c r="BB91" i="25"/>
  <c r="BA91" i="25"/>
  <c r="AQ40" i="25"/>
  <c r="AS40" i="25"/>
  <c r="AI40" i="25"/>
  <c r="AU40" i="25"/>
  <c r="AM40" i="25"/>
  <c r="AN40" i="25" s="1"/>
  <c r="L41" i="25"/>
  <c r="C91" i="25"/>
  <c r="AZ91" i="25"/>
  <c r="BD91" i="25"/>
  <c r="E92" i="25"/>
  <c r="H34" i="24"/>
  <c r="AW33" i="24"/>
  <c r="AX33" i="24" s="1"/>
  <c r="AY33" i="24" s="1"/>
  <c r="AQ90" i="24"/>
  <c r="AS90" i="24"/>
  <c r="AU90" i="24"/>
  <c r="C91" i="24"/>
  <c r="AZ91" i="24"/>
  <c r="E92" i="24"/>
  <c r="AW34" i="15"/>
  <c r="AX34" i="15" s="1"/>
  <c r="AY34" i="15" s="1"/>
  <c r="G113" i="23"/>
  <c r="K113" i="23" s="1"/>
  <c r="F114" i="23" s="1"/>
  <c r="I114" i="23" s="1"/>
  <c r="AR114" i="23" s="1"/>
  <c r="J114" i="23"/>
  <c r="H113" i="23"/>
  <c r="F36" i="15"/>
  <c r="AI35" i="15"/>
  <c r="AJ35" i="15" s="1"/>
  <c r="AK35" i="15" s="1"/>
  <c r="AL35" i="15"/>
  <c r="AM35" i="15" s="1"/>
  <c r="AN35" i="15" s="1"/>
  <c r="AQ92" i="15"/>
  <c r="AS92" i="15"/>
  <c r="AU92" i="15"/>
  <c r="AV34" i="23"/>
  <c r="BG34" i="23" s="1"/>
  <c r="H35" i="23"/>
  <c r="K39" i="28"/>
  <c r="O89" i="25"/>
  <c r="I89" i="25"/>
  <c r="T61" i="15"/>
  <c r="S62" i="15" s="1"/>
  <c r="Z14" i="17"/>
  <c r="AV80" i="14"/>
  <c r="AZ80" i="14" s="1"/>
  <c r="BC80" i="14" s="1"/>
  <c r="AW45" i="13"/>
  <c r="BA45" i="13" s="1"/>
  <c r="BD45" i="13" s="1"/>
  <c r="G81" i="14"/>
  <c r="AL81" i="14" s="1"/>
  <c r="AM81" i="14" s="1"/>
  <c r="AN81" i="14" s="1"/>
  <c r="AW11" i="17"/>
  <c r="J82" i="14"/>
  <c r="AG19" i="19"/>
  <c r="AF20" i="19" s="1"/>
  <c r="Z15" i="17"/>
  <c r="Y15" i="17"/>
  <c r="AC15" i="17" s="1"/>
  <c r="X16" i="17" s="1"/>
  <c r="Z48" i="13"/>
  <c r="AG14" i="17"/>
  <c r="AF15" i="17" s="1"/>
  <c r="AC19" i="19"/>
  <c r="X20" i="19" s="1"/>
  <c r="Y20" i="19" s="1"/>
  <c r="S16" i="19"/>
  <c r="T16" i="19"/>
  <c r="AW43" i="12"/>
  <c r="L63" i="15"/>
  <c r="I64" i="15" s="1"/>
  <c r="J64" i="15" s="1"/>
  <c r="G12" i="17"/>
  <c r="AL12" i="17" s="1"/>
  <c r="AM12" i="17" s="1"/>
  <c r="AN12" i="17" s="1"/>
  <c r="H12" i="17"/>
  <c r="J13" i="17"/>
  <c r="AI44" i="12"/>
  <c r="AJ44" i="12" s="1"/>
  <c r="AK44" i="12" s="1"/>
  <c r="AL44" i="12"/>
  <c r="AM44" i="12" s="1"/>
  <c r="AN44" i="12" s="1"/>
  <c r="AG87" i="14"/>
  <c r="AF88" i="14" s="1"/>
  <c r="AP44" i="12"/>
  <c r="AO44" i="12"/>
  <c r="AQ10" i="19"/>
  <c r="AS10" i="19"/>
  <c r="AU10" i="19"/>
  <c r="F11" i="19"/>
  <c r="S52" i="13"/>
  <c r="W52" i="13" s="1"/>
  <c r="T52" i="13"/>
  <c r="M46" i="13"/>
  <c r="Q46" i="13" s="1"/>
  <c r="P47" i="13"/>
  <c r="N46" i="13"/>
  <c r="Y52" i="12"/>
  <c r="AC52" i="12" s="1"/>
  <c r="Z52" i="12"/>
  <c r="Y88" i="14"/>
  <c r="AC88" i="14" s="1"/>
  <c r="X89" i="14" s="1"/>
  <c r="Z88" i="14"/>
  <c r="S52" i="12"/>
  <c r="W52" i="12" s="1"/>
  <c r="T52" i="12"/>
  <c r="W83" i="14"/>
  <c r="R84" i="14" s="1"/>
  <c r="P90" i="14"/>
  <c r="M89" i="14"/>
  <c r="Q89" i="14" s="1"/>
  <c r="L90" i="14" s="1"/>
  <c r="N89" i="14"/>
  <c r="AB92" i="17"/>
  <c r="O92" i="17"/>
  <c r="I92" i="17"/>
  <c r="V92" i="19"/>
  <c r="AA92" i="17"/>
  <c r="AA92" i="19"/>
  <c r="V92" i="17"/>
  <c r="U92" i="19"/>
  <c r="I92" i="19"/>
  <c r="AB92" i="19"/>
  <c r="O92" i="19"/>
  <c r="U92" i="17"/>
  <c r="AT19" i="17"/>
  <c r="AE19" i="17"/>
  <c r="AD20" i="17" s="1"/>
  <c r="P22" i="19"/>
  <c r="N21" i="19"/>
  <c r="M21" i="19"/>
  <c r="Q21" i="19" s="1"/>
  <c r="L22" i="19" s="1"/>
  <c r="AD92" i="3"/>
  <c r="AI92" i="3" s="1"/>
  <c r="BE92" i="3" s="1"/>
  <c r="AT51" i="13"/>
  <c r="AE51" i="13"/>
  <c r="AD52" i="13" s="1"/>
  <c r="AP81" i="14"/>
  <c r="AO81" i="14"/>
  <c r="AC48" i="13"/>
  <c r="X49" i="13" s="1"/>
  <c r="AG51" i="12"/>
  <c r="AF52" i="12" s="1"/>
  <c r="T20" i="17"/>
  <c r="S20" i="17"/>
  <c r="W20" i="17" s="1"/>
  <c r="R21" i="17" s="1"/>
  <c r="P22" i="17"/>
  <c r="M21" i="17"/>
  <c r="Q21" i="17" s="1"/>
  <c r="L22" i="17" s="1"/>
  <c r="N21" i="17"/>
  <c r="AE51" i="12"/>
  <c r="AD52" i="12" s="1"/>
  <c r="AT52" i="12" s="1"/>
  <c r="AT63" i="12" s="1"/>
  <c r="G50" i="13"/>
  <c r="K50" i="13" s="1"/>
  <c r="F51" i="13" s="1"/>
  <c r="H50" i="13"/>
  <c r="J51" i="13"/>
  <c r="AZ92" i="19"/>
  <c r="C92" i="19"/>
  <c r="E93" i="19"/>
  <c r="C92" i="16"/>
  <c r="BD92" i="16"/>
  <c r="E93" i="16"/>
  <c r="AZ92" i="16"/>
  <c r="AR91" i="16"/>
  <c r="E92" i="17"/>
  <c r="C91" i="17"/>
  <c r="AZ91" i="17"/>
  <c r="AS90" i="18"/>
  <c r="AQ90" i="18"/>
  <c r="O90" i="18"/>
  <c r="AU90" i="18"/>
  <c r="K90" i="18"/>
  <c r="E92" i="18"/>
  <c r="C91" i="18"/>
  <c r="AZ91" i="18"/>
  <c r="J89" i="18"/>
  <c r="L89" i="18" s="1"/>
  <c r="I90" i="18" s="1"/>
  <c r="AJ47" i="14"/>
  <c r="AK47" i="14" s="1"/>
  <c r="G48" i="14"/>
  <c r="AR48" i="14" s="1"/>
  <c r="AM47" i="14"/>
  <c r="AN47" i="14" s="1"/>
  <c r="AL41" i="18"/>
  <c r="AM41" i="18" s="1"/>
  <c r="AN41" i="18" s="1"/>
  <c r="AI41" i="18"/>
  <c r="AJ41" i="18" s="1"/>
  <c r="AK41" i="18" s="1"/>
  <c r="AZ93" i="15"/>
  <c r="E94" i="15"/>
  <c r="C93" i="15"/>
  <c r="H42" i="18"/>
  <c r="P65" i="18"/>
  <c r="M66" i="18" s="1"/>
  <c r="N66" i="18" s="1"/>
  <c r="T65" i="18"/>
  <c r="S66" i="18" s="1"/>
  <c r="AF93" i="3"/>
  <c r="AD93" i="3" s="1"/>
  <c r="H94" i="3"/>
  <c r="AQ97" i="3"/>
  <c r="AL94" i="3"/>
  <c r="A95" i="3"/>
  <c r="BI95" i="3" s="1"/>
  <c r="BJ95" i="3" s="1"/>
  <c r="BD93" i="3"/>
  <c r="AH94" i="3"/>
  <c r="AW97" i="3"/>
  <c r="Y94" i="3"/>
  <c r="AC93" i="3"/>
  <c r="AG94" i="3"/>
  <c r="AN97" i="3"/>
  <c r="AN98" i="3" s="1"/>
  <c r="P97" i="3"/>
  <c r="P98" i="3" s="1"/>
  <c r="BC93" i="3"/>
  <c r="AE94" i="3"/>
  <c r="G96" i="3"/>
  <c r="AV95" i="3"/>
  <c r="AX95" i="3" s="1"/>
  <c r="V95" i="3"/>
  <c r="X95" i="3" s="1"/>
  <c r="AG52" i="12" l="1"/>
  <c r="AE52" i="12"/>
  <c r="Y53" i="12"/>
  <c r="Z53" i="12"/>
  <c r="S53" i="12"/>
  <c r="T53" i="12"/>
  <c r="S53" i="13"/>
  <c r="T53" i="13"/>
  <c r="AT55" i="25"/>
  <c r="AE55" i="25"/>
  <c r="AD56" i="25" s="1"/>
  <c r="S56" i="25"/>
  <c r="W56" i="25" s="1"/>
  <c r="R57" i="25" s="1"/>
  <c r="T56" i="25"/>
  <c r="AE52" i="13"/>
  <c r="AT52" i="13"/>
  <c r="AT63" i="13" s="1"/>
  <c r="P52" i="24"/>
  <c r="M53" i="24" s="1"/>
  <c r="O53" i="24" s="1"/>
  <c r="M39" i="29"/>
  <c r="Q39" i="29" s="1"/>
  <c r="L40" i="29" s="1"/>
  <c r="N39" i="29"/>
  <c r="AV108" i="23"/>
  <c r="AP109" i="23"/>
  <c r="AO109" i="23"/>
  <c r="Q109" i="23"/>
  <c r="AL109" i="23"/>
  <c r="AM109" i="23" s="1"/>
  <c r="AN109" i="23" s="1"/>
  <c r="AG52" i="29"/>
  <c r="AF53" i="29" s="1"/>
  <c r="AT53" i="29"/>
  <c r="V73" i="28"/>
  <c r="S73" i="28"/>
  <c r="W73" i="28" s="1"/>
  <c r="R74" i="28" s="1"/>
  <c r="T73" i="28"/>
  <c r="AE72" i="28"/>
  <c r="AD73" i="28" s="1"/>
  <c r="AT72" i="28"/>
  <c r="AR97" i="3"/>
  <c r="AN95" i="20"/>
  <c r="BB95" i="3"/>
  <c r="L50" i="24"/>
  <c r="I51" i="24" s="1"/>
  <c r="Z47" i="25"/>
  <c r="Y47" i="25"/>
  <c r="AG47" i="25" s="1"/>
  <c r="AF48" i="25" s="1"/>
  <c r="R50" i="24"/>
  <c r="Q51" i="24" s="1"/>
  <c r="AT51" i="24" s="1"/>
  <c r="AJ93" i="3"/>
  <c r="BF93" i="3" s="1"/>
  <c r="K92" i="15"/>
  <c r="AQ95" i="20"/>
  <c r="AR95" i="20" s="1"/>
  <c r="O96" i="20"/>
  <c r="P95" i="20"/>
  <c r="AK93" i="3"/>
  <c r="BG93" i="3" s="1"/>
  <c r="O92" i="15"/>
  <c r="AU38" i="29"/>
  <c r="AS38" i="29"/>
  <c r="AQ38" i="29"/>
  <c r="T77" i="29"/>
  <c r="S77" i="29"/>
  <c r="W77" i="29" s="1"/>
  <c r="R78" i="29" s="1"/>
  <c r="U78" i="29" s="1"/>
  <c r="AM38" i="29"/>
  <c r="AN38" i="29" s="1"/>
  <c r="H39" i="29"/>
  <c r="J40" i="29"/>
  <c r="C91" i="29"/>
  <c r="AZ91" i="29"/>
  <c r="E92" i="29"/>
  <c r="G39" i="29"/>
  <c r="R65" i="26"/>
  <c r="Q66" i="26" s="1"/>
  <c r="AT66" i="26" s="1"/>
  <c r="F37" i="26"/>
  <c r="AL36" i="26"/>
  <c r="AI36" i="26"/>
  <c r="AJ36" i="26" s="1"/>
  <c r="AK36" i="26" s="1"/>
  <c r="T65" i="26"/>
  <c r="S66" i="26" s="1"/>
  <c r="K91" i="26"/>
  <c r="O91" i="26"/>
  <c r="AQ91" i="26"/>
  <c r="AU91" i="26"/>
  <c r="AS91" i="26"/>
  <c r="P65" i="26"/>
  <c r="M66" i="26" s="1"/>
  <c r="J86" i="26"/>
  <c r="L86" i="26" s="1"/>
  <c r="I87" i="26" s="1"/>
  <c r="C92" i="26"/>
  <c r="AZ92" i="26"/>
  <c r="E93" i="26"/>
  <c r="AN39" i="28"/>
  <c r="AQ39" i="28"/>
  <c r="AS39" i="28"/>
  <c r="AU39" i="28"/>
  <c r="AJ39" i="28"/>
  <c r="AK39" i="28" s="1"/>
  <c r="AC51" i="28"/>
  <c r="X52" i="28" s="1"/>
  <c r="AB52" i="28" s="1"/>
  <c r="F40" i="28"/>
  <c r="I40" i="28" s="1"/>
  <c r="Q40" i="28" s="1"/>
  <c r="L41" i="28" s="1"/>
  <c r="AZ92" i="28"/>
  <c r="C92" i="28"/>
  <c r="E93" i="28"/>
  <c r="G42" i="25"/>
  <c r="K42" i="25" s="1"/>
  <c r="J43" i="25"/>
  <c r="H42" i="25"/>
  <c r="U91" i="25"/>
  <c r="V91" i="25"/>
  <c r="AA91" i="25"/>
  <c r="AB91" i="25"/>
  <c r="AR91" i="25"/>
  <c r="BB92" i="25"/>
  <c r="BC92" i="25"/>
  <c r="BA92" i="25"/>
  <c r="F35" i="24"/>
  <c r="G35" i="24" s="1"/>
  <c r="AR35" i="24" s="1"/>
  <c r="AL34" i="24"/>
  <c r="AZ92" i="25"/>
  <c r="BD92" i="25"/>
  <c r="C92" i="25"/>
  <c r="E93" i="25"/>
  <c r="AI34" i="24"/>
  <c r="AJ34" i="24" s="1"/>
  <c r="AK34" i="24" s="1"/>
  <c r="P42" i="25"/>
  <c r="N41" i="25"/>
  <c r="AP41" i="25" s="1"/>
  <c r="M41" i="25"/>
  <c r="AL41" i="25" s="1"/>
  <c r="AJ40" i="25"/>
  <c r="AK40" i="25" s="1"/>
  <c r="AW40" i="25" s="1"/>
  <c r="AX40" i="25" s="1"/>
  <c r="AY40" i="25" s="1"/>
  <c r="AQ91" i="24"/>
  <c r="AU91" i="24"/>
  <c r="AS91" i="24"/>
  <c r="C92" i="24"/>
  <c r="AZ92" i="24"/>
  <c r="E93" i="24"/>
  <c r="AW35" i="15"/>
  <c r="AX35" i="15" s="1"/>
  <c r="AY35" i="15" s="1"/>
  <c r="G114" i="23"/>
  <c r="K114" i="23" s="1"/>
  <c r="F115" i="23" s="1"/>
  <c r="I115" i="23" s="1"/>
  <c r="AR115" i="23" s="1"/>
  <c r="J115" i="23"/>
  <c r="H114" i="23"/>
  <c r="G36" i="15"/>
  <c r="AR36" i="15" s="1"/>
  <c r="AS93" i="15"/>
  <c r="AU93" i="15"/>
  <c r="K93" i="15"/>
  <c r="AQ93" i="15"/>
  <c r="O93" i="15"/>
  <c r="AZ34" i="23"/>
  <c r="BC34" i="23" s="1"/>
  <c r="F36" i="23"/>
  <c r="AI35" i="23"/>
  <c r="AL35" i="23"/>
  <c r="AC52" i="29"/>
  <c r="X53" i="29" s="1"/>
  <c r="O90" i="25"/>
  <c r="I90" i="25"/>
  <c r="R61" i="15"/>
  <c r="Q62" i="15" s="1"/>
  <c r="AT62" i="15" s="1"/>
  <c r="AJ92" i="3"/>
  <c r="BF92" i="3" s="1"/>
  <c r="P61" i="15"/>
  <c r="M62" i="15" s="1"/>
  <c r="N62" i="15" s="1"/>
  <c r="BG80" i="14"/>
  <c r="BH45" i="13"/>
  <c r="AW10" i="19"/>
  <c r="AR92" i="19"/>
  <c r="K81" i="14"/>
  <c r="AS81" i="14" s="1"/>
  <c r="AI81" i="14"/>
  <c r="AJ81" i="14" s="1"/>
  <c r="AK81" i="14" s="1"/>
  <c r="AG20" i="19"/>
  <c r="AF21" i="19" s="1"/>
  <c r="Z20" i="19"/>
  <c r="Y16" i="17"/>
  <c r="AC16" i="17" s="1"/>
  <c r="X17" i="17" s="1"/>
  <c r="Z16" i="17"/>
  <c r="AG15" i="17"/>
  <c r="AF16" i="17" s="1"/>
  <c r="L64" i="15"/>
  <c r="I65" i="15" s="1"/>
  <c r="J65" i="15" s="1"/>
  <c r="AG88" i="14"/>
  <c r="AF89" i="14" s="1"/>
  <c r="AL46" i="13"/>
  <c r="AM46" i="13" s="1"/>
  <c r="AN46" i="13" s="1"/>
  <c r="K12" i="17"/>
  <c r="AU12" i="17" s="1"/>
  <c r="BA43" i="12"/>
  <c r="BD43" i="12" s="1"/>
  <c r="BH43" i="12"/>
  <c r="AI46" i="13"/>
  <c r="AJ46" i="13" s="1"/>
  <c r="AK46" i="13" s="1"/>
  <c r="AI12" i="17"/>
  <c r="AJ12" i="17" s="1"/>
  <c r="AK12" i="17" s="1"/>
  <c r="AE16" i="19"/>
  <c r="AD17" i="19" s="1"/>
  <c r="AT17" i="19" s="1"/>
  <c r="W16" i="19"/>
  <c r="R17" i="19" s="1"/>
  <c r="L47" i="13"/>
  <c r="M47" i="13" s="1"/>
  <c r="AS46" i="13"/>
  <c r="AS44" i="12"/>
  <c r="AU44" i="12"/>
  <c r="AQ44" i="12"/>
  <c r="AO12" i="17"/>
  <c r="AP12" i="17"/>
  <c r="J12" i="19"/>
  <c r="H11" i="19"/>
  <c r="G11" i="19"/>
  <c r="K11" i="19" s="1"/>
  <c r="AQ11" i="19" s="1"/>
  <c r="T21" i="17"/>
  <c r="S21" i="17"/>
  <c r="W21" i="17" s="1"/>
  <c r="R22" i="17" s="1"/>
  <c r="Z49" i="13"/>
  <c r="Y49" i="13"/>
  <c r="AG49" i="13" s="1"/>
  <c r="AF50" i="13" s="1"/>
  <c r="P91" i="14"/>
  <c r="M90" i="14"/>
  <c r="Q90" i="14" s="1"/>
  <c r="L91" i="14" s="1"/>
  <c r="N90" i="14"/>
  <c r="T84" i="14"/>
  <c r="S84" i="14"/>
  <c r="AE84" i="14" s="1"/>
  <c r="AD85" i="14" s="1"/>
  <c r="AT85" i="14" s="1"/>
  <c r="Y89" i="14"/>
  <c r="AC89" i="14" s="1"/>
  <c r="X90" i="14" s="1"/>
  <c r="Z89" i="14"/>
  <c r="AQ46" i="13"/>
  <c r="AU46" i="13"/>
  <c r="M22" i="17"/>
  <c r="Q22" i="17" s="1"/>
  <c r="L23" i="17" s="1"/>
  <c r="N22" i="17"/>
  <c r="P23" i="17"/>
  <c r="P23" i="19"/>
  <c r="N22" i="19"/>
  <c r="M22" i="19"/>
  <c r="Q22" i="19" s="1"/>
  <c r="L23" i="19" s="1"/>
  <c r="AO46" i="13"/>
  <c r="AP46" i="13"/>
  <c r="V93" i="17"/>
  <c r="AB93" i="17"/>
  <c r="I93" i="17"/>
  <c r="AA93" i="19"/>
  <c r="I93" i="19"/>
  <c r="AA93" i="17"/>
  <c r="O93" i="17"/>
  <c r="U93" i="19"/>
  <c r="O93" i="19"/>
  <c r="U93" i="17"/>
  <c r="V93" i="19"/>
  <c r="AB93" i="19"/>
  <c r="H51" i="13"/>
  <c r="G51" i="13"/>
  <c r="K51" i="13" s="1"/>
  <c r="F52" i="13" s="1"/>
  <c r="J52" i="13"/>
  <c r="AC20" i="19"/>
  <c r="X21" i="19" s="1"/>
  <c r="AT20" i="17"/>
  <c r="AE20" i="17"/>
  <c r="AD21" i="17" s="1"/>
  <c r="AZ93" i="19"/>
  <c r="E94" i="19"/>
  <c r="C93" i="19"/>
  <c r="E94" i="16"/>
  <c r="BD93" i="16"/>
  <c r="AZ93" i="16"/>
  <c r="C93" i="16"/>
  <c r="AR92" i="16"/>
  <c r="J90" i="18"/>
  <c r="L90" i="18" s="1"/>
  <c r="I91" i="18" s="1"/>
  <c r="AZ92" i="18"/>
  <c r="C92" i="18"/>
  <c r="E93" i="18"/>
  <c r="AZ92" i="17"/>
  <c r="E93" i="17"/>
  <c r="C92" i="17"/>
  <c r="AQ91" i="18"/>
  <c r="O91" i="18"/>
  <c r="AS91" i="18"/>
  <c r="K91" i="18"/>
  <c r="AU91" i="18"/>
  <c r="AW41" i="18"/>
  <c r="AX41" i="18" s="1"/>
  <c r="AY41" i="18" s="1"/>
  <c r="AV47" i="14"/>
  <c r="AZ47" i="14" s="1"/>
  <c r="BC47" i="14" s="1"/>
  <c r="H48" i="14"/>
  <c r="AI48" i="14" s="1"/>
  <c r="AJ48" i="14" s="1"/>
  <c r="AZ94" i="15"/>
  <c r="C94" i="15"/>
  <c r="E95" i="15"/>
  <c r="F43" i="18"/>
  <c r="AL42" i="18"/>
  <c r="AM42" i="18" s="1"/>
  <c r="AN42" i="18" s="1"/>
  <c r="AI42" i="18"/>
  <c r="P66" i="18"/>
  <c r="M67" i="18" s="1"/>
  <c r="N67" i="18" s="1"/>
  <c r="R66" i="18"/>
  <c r="Q67" i="18" s="1"/>
  <c r="AT67" i="18" s="1"/>
  <c r="V96" i="3"/>
  <c r="X96" i="3" s="1"/>
  <c r="AV96" i="3"/>
  <c r="AX96" i="3" s="1"/>
  <c r="G97" i="3"/>
  <c r="P99" i="3"/>
  <c r="AN99" i="3"/>
  <c r="Y95" i="3"/>
  <c r="AC94" i="3"/>
  <c r="AH95" i="3"/>
  <c r="BD94" i="3"/>
  <c r="AQ98" i="3"/>
  <c r="AG95" i="3"/>
  <c r="AE95" i="3"/>
  <c r="BC94" i="3"/>
  <c r="AW98" i="3"/>
  <c r="AL95" i="3"/>
  <c r="H95" i="3"/>
  <c r="AF94" i="3"/>
  <c r="AD94" i="3" s="1"/>
  <c r="AI93" i="3"/>
  <c r="BE93" i="3" s="1"/>
  <c r="A96" i="3"/>
  <c r="BI96" i="3" s="1"/>
  <c r="BJ96" i="3" s="1"/>
  <c r="AM95" i="3"/>
  <c r="J53" i="13" l="1"/>
  <c r="AT56" i="25"/>
  <c r="AE56" i="25"/>
  <c r="AD57" i="25" s="1"/>
  <c r="T57" i="25"/>
  <c r="S57" i="25"/>
  <c r="W57" i="25" s="1"/>
  <c r="R58" i="25" s="1"/>
  <c r="N53" i="24"/>
  <c r="P53" i="24" s="1"/>
  <c r="M54" i="24" s="1"/>
  <c r="N54" i="24" s="1"/>
  <c r="AP39" i="29"/>
  <c r="AI39" i="29"/>
  <c r="AJ39" i="29" s="1"/>
  <c r="AK39" i="29" s="1"/>
  <c r="BG108" i="23"/>
  <c r="AZ108" i="23"/>
  <c r="BC108" i="23" s="1"/>
  <c r="L110" i="23"/>
  <c r="AQ109" i="23"/>
  <c r="AU109" i="23"/>
  <c r="AS109" i="23"/>
  <c r="V74" i="28"/>
  <c r="T74" i="28"/>
  <c r="S74" i="28"/>
  <c r="W74" i="28" s="1"/>
  <c r="R75" i="28" s="1"/>
  <c r="AE73" i="28"/>
  <c r="AD74" i="28" s="1"/>
  <c r="AT73" i="28"/>
  <c r="O41" i="28"/>
  <c r="N41" i="28"/>
  <c r="P42" i="28"/>
  <c r="M41" i="28"/>
  <c r="Z53" i="29"/>
  <c r="AA53" i="29"/>
  <c r="AE53" i="29" s="1"/>
  <c r="AD54" i="29" s="1"/>
  <c r="O40" i="29"/>
  <c r="N40" i="29"/>
  <c r="P41" i="29"/>
  <c r="M40" i="29"/>
  <c r="AR98" i="3"/>
  <c r="BB96" i="3"/>
  <c r="AC47" i="25"/>
  <c r="X48" i="25" s="1"/>
  <c r="K51" i="24"/>
  <c r="T51" i="24" s="1"/>
  <c r="S52" i="24" s="1"/>
  <c r="J51" i="24"/>
  <c r="P96" i="20"/>
  <c r="AN96" i="20"/>
  <c r="AQ96" i="20"/>
  <c r="AR96" i="20" s="1"/>
  <c r="O97" i="20"/>
  <c r="AK94" i="3"/>
  <c r="BG94" i="3" s="1"/>
  <c r="AW38" i="29"/>
  <c r="AX38" i="29" s="1"/>
  <c r="AY38" i="29" s="1"/>
  <c r="T78" i="29"/>
  <c r="S78" i="29"/>
  <c r="W78" i="29" s="1"/>
  <c r="R79" i="29" s="1"/>
  <c r="U79" i="29" s="1"/>
  <c r="AZ92" i="29"/>
  <c r="C92" i="29"/>
  <c r="E93" i="29"/>
  <c r="Y53" i="29"/>
  <c r="AO39" i="29"/>
  <c r="AL39" i="29"/>
  <c r="AM39" i="29" s="1"/>
  <c r="G37" i="26"/>
  <c r="AR37" i="26" s="1"/>
  <c r="AM36" i="26"/>
  <c r="AN36" i="26" s="1"/>
  <c r="AW36" i="26" s="1"/>
  <c r="AX36" i="26" s="1"/>
  <c r="AY36" i="26" s="1"/>
  <c r="J87" i="26"/>
  <c r="L87" i="26" s="1"/>
  <c r="I88" i="26" s="1"/>
  <c r="N66" i="26"/>
  <c r="O92" i="26"/>
  <c r="AQ92" i="26"/>
  <c r="AS92" i="26"/>
  <c r="AU92" i="26"/>
  <c r="K92" i="26"/>
  <c r="C93" i="26"/>
  <c r="AZ93" i="26"/>
  <c r="E94" i="26"/>
  <c r="Z52" i="28"/>
  <c r="Y52" i="28"/>
  <c r="J41" i="28"/>
  <c r="H40" i="28"/>
  <c r="AP40" i="28" s="1"/>
  <c r="G40" i="28"/>
  <c r="AI40" i="28" s="1"/>
  <c r="AZ93" i="28"/>
  <c r="C93" i="28"/>
  <c r="E94" i="28"/>
  <c r="F43" i="25"/>
  <c r="U92" i="25"/>
  <c r="V92" i="25"/>
  <c r="AA92" i="25"/>
  <c r="AB92" i="25"/>
  <c r="AR92" i="25"/>
  <c r="BA93" i="25"/>
  <c r="BB93" i="25"/>
  <c r="BC93" i="25"/>
  <c r="AO41" i="25"/>
  <c r="AM34" i="24"/>
  <c r="AN34" i="24" s="1"/>
  <c r="AW34" i="24" s="1"/>
  <c r="AX34" i="24" s="1"/>
  <c r="AY34" i="24" s="1"/>
  <c r="Q41" i="25"/>
  <c r="H35" i="24"/>
  <c r="AL35" i="24" s="1"/>
  <c r="C93" i="25"/>
  <c r="BD93" i="25"/>
  <c r="AZ93" i="25"/>
  <c r="E94" i="25"/>
  <c r="AS92" i="24"/>
  <c r="AU92" i="24"/>
  <c r="AQ92" i="24"/>
  <c r="C93" i="24"/>
  <c r="AZ93" i="24"/>
  <c r="E94" i="24"/>
  <c r="H115" i="23"/>
  <c r="G115" i="23"/>
  <c r="K115" i="23" s="1"/>
  <c r="F116" i="23" s="1"/>
  <c r="I116" i="23" s="1"/>
  <c r="AR116" i="23" s="1"/>
  <c r="J116" i="23"/>
  <c r="H36" i="15"/>
  <c r="K94" i="15"/>
  <c r="O94" i="15"/>
  <c r="AQ94" i="15"/>
  <c r="AS94" i="15"/>
  <c r="AU94" i="15"/>
  <c r="G36" i="23"/>
  <c r="AR36" i="23" s="1"/>
  <c r="AJ35" i="23"/>
  <c r="AK35" i="23" s="1"/>
  <c r="AM35" i="23"/>
  <c r="AN35" i="23" s="1"/>
  <c r="K39" i="29"/>
  <c r="AW39" i="28"/>
  <c r="AX39" i="28" s="1"/>
  <c r="AY39" i="28" s="1"/>
  <c r="I91" i="25"/>
  <c r="O91" i="25"/>
  <c r="AJ94" i="3"/>
  <c r="BF94" i="3" s="1"/>
  <c r="AW46" i="13"/>
  <c r="BA46" i="13" s="1"/>
  <c r="BD46" i="13" s="1"/>
  <c r="AU81" i="14"/>
  <c r="AQ81" i="14"/>
  <c r="F82" i="14"/>
  <c r="J83" i="14" s="1"/>
  <c r="AW44" i="12"/>
  <c r="BH44" i="12" s="1"/>
  <c r="AQ12" i="17"/>
  <c r="Y17" i="17"/>
  <c r="AC17" i="17" s="1"/>
  <c r="X18" i="17" s="1"/>
  <c r="Z17" i="17"/>
  <c r="AG16" i="17"/>
  <c r="AF17" i="17" s="1"/>
  <c r="AG89" i="14"/>
  <c r="AF90" i="14" s="1"/>
  <c r="AR93" i="19"/>
  <c r="AS12" i="17"/>
  <c r="AC49" i="13"/>
  <c r="X50" i="13" s="1"/>
  <c r="Y50" i="13" s="1"/>
  <c r="AG50" i="13" s="1"/>
  <c r="AF51" i="13" s="1"/>
  <c r="F13" i="17"/>
  <c r="J14" i="17" s="1"/>
  <c r="AS11" i="19"/>
  <c r="P48" i="13"/>
  <c r="L65" i="15"/>
  <c r="I66" i="15" s="1"/>
  <c r="J66" i="15" s="1"/>
  <c r="N47" i="13"/>
  <c r="AP47" i="13" s="1"/>
  <c r="Q47" i="13"/>
  <c r="AQ47" i="13" s="1"/>
  <c r="AI47" i="13"/>
  <c r="AJ47" i="13" s="1"/>
  <c r="AK47" i="13" s="1"/>
  <c r="AL11" i="19"/>
  <c r="AM11" i="19" s="1"/>
  <c r="AN11" i="19" s="1"/>
  <c r="S17" i="19"/>
  <c r="AE17" i="19" s="1"/>
  <c r="AD18" i="19" s="1"/>
  <c r="AT18" i="19" s="1"/>
  <c r="T17" i="19"/>
  <c r="AP11" i="19"/>
  <c r="AO11" i="19"/>
  <c r="G45" i="12"/>
  <c r="K45" i="12" s="1"/>
  <c r="F46" i="12" s="1"/>
  <c r="H45" i="12"/>
  <c r="J46" i="12"/>
  <c r="AI11" i="19"/>
  <c r="F12" i="19"/>
  <c r="AU11" i="19"/>
  <c r="AL47" i="13"/>
  <c r="AM47" i="13" s="1"/>
  <c r="AN47" i="13" s="1"/>
  <c r="W84" i="14"/>
  <c r="R85" i="14" s="1"/>
  <c r="P92" i="14"/>
  <c r="M91" i="14"/>
  <c r="Q91" i="14" s="1"/>
  <c r="L92" i="14" s="1"/>
  <c r="N91" i="14"/>
  <c r="S22" i="17"/>
  <c r="W22" i="17" s="1"/>
  <c r="R23" i="17" s="1"/>
  <c r="T22" i="17"/>
  <c r="AB94" i="17"/>
  <c r="O94" i="17"/>
  <c r="AA94" i="17"/>
  <c r="AB94" i="19"/>
  <c r="O94" i="19"/>
  <c r="V94" i="17"/>
  <c r="I94" i="19"/>
  <c r="U94" i="17"/>
  <c r="AA94" i="19"/>
  <c r="V94" i="19"/>
  <c r="U94" i="19"/>
  <c r="I94" i="17"/>
  <c r="AT21" i="17"/>
  <c r="AE21" i="17"/>
  <c r="AD22" i="17" s="1"/>
  <c r="G52" i="13"/>
  <c r="K52" i="13" s="1"/>
  <c r="H52" i="13"/>
  <c r="M23" i="19"/>
  <c r="Q23" i="19" s="1"/>
  <c r="L24" i="19" s="1"/>
  <c r="N23" i="19"/>
  <c r="P24" i="19"/>
  <c r="Y21" i="19"/>
  <c r="AG21" i="19" s="1"/>
  <c r="AF22" i="19" s="1"/>
  <c r="Z21" i="19"/>
  <c r="M23" i="17"/>
  <c r="Q23" i="17" s="1"/>
  <c r="L24" i="17" s="1"/>
  <c r="N23" i="17"/>
  <c r="P24" i="17"/>
  <c r="Z90" i="14"/>
  <c r="Y90" i="14"/>
  <c r="AC90" i="14" s="1"/>
  <c r="X91" i="14" s="1"/>
  <c r="E95" i="19"/>
  <c r="C94" i="19"/>
  <c r="AZ94" i="19"/>
  <c r="AL48" i="14"/>
  <c r="AM48" i="14" s="1"/>
  <c r="AN48" i="14" s="1"/>
  <c r="AR93" i="16"/>
  <c r="BG47" i="14"/>
  <c r="C94" i="16"/>
  <c r="E95" i="16"/>
  <c r="AZ94" i="16"/>
  <c r="BD94" i="16"/>
  <c r="J91" i="18"/>
  <c r="L91" i="18" s="1"/>
  <c r="I92" i="18" s="1"/>
  <c r="AK48" i="14"/>
  <c r="E94" i="17"/>
  <c r="AZ93" i="17"/>
  <c r="C93" i="17"/>
  <c r="AU92" i="18"/>
  <c r="O92" i="18"/>
  <c r="AQ92" i="18"/>
  <c r="K92" i="18"/>
  <c r="AS92" i="18"/>
  <c r="C93" i="18"/>
  <c r="AZ93" i="18"/>
  <c r="E94" i="18"/>
  <c r="F49" i="14"/>
  <c r="G49" i="14" s="1"/>
  <c r="AR49" i="14" s="1"/>
  <c r="AJ42" i="18"/>
  <c r="AK42" i="18" s="1"/>
  <c r="AW42" i="18" s="1"/>
  <c r="AX42" i="18" s="1"/>
  <c r="AY42" i="18" s="1"/>
  <c r="E96" i="15"/>
  <c r="AZ95" i="15"/>
  <c r="C95" i="15"/>
  <c r="G43" i="18"/>
  <c r="AR43" i="18" s="1"/>
  <c r="T66" i="18"/>
  <c r="P67" i="18"/>
  <c r="M68" i="18" s="1"/>
  <c r="N68" i="18" s="1"/>
  <c r="R67" i="18"/>
  <c r="Q68" i="18" s="1"/>
  <c r="AT68" i="18" s="1"/>
  <c r="A97" i="3"/>
  <c r="BI97" i="3" s="1"/>
  <c r="BJ97" i="3" s="1"/>
  <c r="H96" i="3"/>
  <c r="AF95" i="3"/>
  <c r="AD95" i="3" s="1"/>
  <c r="AG96" i="3"/>
  <c r="AL96" i="3"/>
  <c r="AW99" i="3"/>
  <c r="BC95" i="3"/>
  <c r="AE96" i="3"/>
  <c r="AH96" i="3"/>
  <c r="BD95" i="3"/>
  <c r="AM96" i="3"/>
  <c r="AI94" i="3"/>
  <c r="BE94" i="3" s="1"/>
  <c r="G98" i="3"/>
  <c r="AV97" i="3"/>
  <c r="AX97" i="3" s="1"/>
  <c r="V97" i="3"/>
  <c r="X97" i="3" s="1"/>
  <c r="AQ99" i="3"/>
  <c r="Y96" i="3"/>
  <c r="AC95" i="3"/>
  <c r="G53" i="13" l="1"/>
  <c r="H53" i="13"/>
  <c r="AT57" i="25"/>
  <c r="AE57" i="25"/>
  <c r="AD58" i="25" s="1"/>
  <c r="T58" i="25"/>
  <c r="S58" i="25"/>
  <c r="W58" i="25" s="1"/>
  <c r="R59" i="25" s="1"/>
  <c r="O54" i="24"/>
  <c r="P54" i="24" s="1"/>
  <c r="M55" i="24" s="1"/>
  <c r="N55" i="24" s="1"/>
  <c r="AV109" i="23"/>
  <c r="BG109" i="23" s="1"/>
  <c r="P111" i="23"/>
  <c r="N110" i="23"/>
  <c r="M110" i="23"/>
  <c r="AI110" i="23" s="1"/>
  <c r="O110" i="23"/>
  <c r="AG53" i="29"/>
  <c r="AF54" i="29" s="1"/>
  <c r="AT54" i="29"/>
  <c r="V75" i="28"/>
  <c r="S75" i="28"/>
  <c r="W75" i="28" s="1"/>
  <c r="R76" i="28" s="1"/>
  <c r="T75" i="28"/>
  <c r="AT74" i="28"/>
  <c r="AE74" i="28"/>
  <c r="AD75" i="28" s="1"/>
  <c r="AR99" i="3"/>
  <c r="BB97" i="3"/>
  <c r="L51" i="24"/>
  <c r="I52" i="24" s="1"/>
  <c r="Z48" i="25"/>
  <c r="Y48" i="25"/>
  <c r="AG48" i="25" s="1"/>
  <c r="AF49" i="25" s="1"/>
  <c r="R51" i="24"/>
  <c r="Q52" i="24" s="1"/>
  <c r="AT52" i="24" s="1"/>
  <c r="P97" i="20"/>
  <c r="AN97" i="20"/>
  <c r="AQ97" i="20"/>
  <c r="AR97" i="20" s="1"/>
  <c r="O98" i="20"/>
  <c r="AK95" i="3"/>
  <c r="BG95" i="3" s="1"/>
  <c r="T79" i="29"/>
  <c r="S79" i="29"/>
  <c r="W79" i="29" s="1"/>
  <c r="R80" i="29" s="1"/>
  <c r="U80" i="29" s="1"/>
  <c r="AN39" i="29"/>
  <c r="F40" i="29"/>
  <c r="I40" i="29" s="1"/>
  <c r="AR40" i="29" s="1"/>
  <c r="AU39" i="29"/>
  <c r="AQ39" i="29"/>
  <c r="AS39" i="29"/>
  <c r="C93" i="29"/>
  <c r="AZ93" i="29"/>
  <c r="E94" i="29"/>
  <c r="H37" i="26"/>
  <c r="T66" i="26"/>
  <c r="S67" i="26" s="1"/>
  <c r="R66" i="26"/>
  <c r="Q67" i="26" s="1"/>
  <c r="J88" i="26"/>
  <c r="L88" i="26" s="1"/>
  <c r="I89" i="26" s="1"/>
  <c r="P66" i="26"/>
  <c r="M67" i="26" s="1"/>
  <c r="AS93" i="26"/>
  <c r="AU93" i="26"/>
  <c r="AQ93" i="26"/>
  <c r="K93" i="26"/>
  <c r="O93" i="26"/>
  <c r="C94" i="26"/>
  <c r="AZ94" i="26"/>
  <c r="E95" i="26"/>
  <c r="AL40" i="28"/>
  <c r="AO40" i="28"/>
  <c r="AJ40" i="28"/>
  <c r="AK40" i="28" s="1"/>
  <c r="AG52" i="28"/>
  <c r="AF53" i="28" s="1"/>
  <c r="AC52" i="28"/>
  <c r="X53" i="28" s="1"/>
  <c r="AB53" i="28" s="1"/>
  <c r="C94" i="28"/>
  <c r="AZ94" i="28"/>
  <c r="E95" i="28"/>
  <c r="F36" i="24"/>
  <c r="G36" i="24" s="1"/>
  <c r="AR36" i="24" s="1"/>
  <c r="AM35" i="24"/>
  <c r="AN35" i="24" s="1"/>
  <c r="G43" i="25"/>
  <c r="K43" i="25" s="1"/>
  <c r="J44" i="25"/>
  <c r="H43" i="25"/>
  <c r="AI35" i="24"/>
  <c r="U93" i="25"/>
  <c r="V93" i="25"/>
  <c r="AA93" i="25"/>
  <c r="AB93" i="25"/>
  <c r="AR93" i="25"/>
  <c r="BA94" i="25"/>
  <c r="BB94" i="25"/>
  <c r="BC94" i="25"/>
  <c r="AI41" i="25"/>
  <c r="AQ41" i="25"/>
  <c r="AU41" i="25"/>
  <c r="AS41" i="25"/>
  <c r="L42" i="25"/>
  <c r="AM41" i="25"/>
  <c r="AN41" i="25" s="1"/>
  <c r="AZ94" i="25"/>
  <c r="BD94" i="25"/>
  <c r="C94" i="25"/>
  <c r="E95" i="25"/>
  <c r="C94" i="24"/>
  <c r="AZ94" i="24"/>
  <c r="E95" i="24"/>
  <c r="AQ93" i="24"/>
  <c r="AS93" i="24"/>
  <c r="AU93" i="24"/>
  <c r="H116" i="23"/>
  <c r="J117" i="23"/>
  <c r="G116" i="23"/>
  <c r="K116" i="23" s="1"/>
  <c r="F117" i="23" s="1"/>
  <c r="I117" i="23" s="1"/>
  <c r="AR117" i="23" s="1"/>
  <c r="F37" i="15"/>
  <c r="AI36" i="15"/>
  <c r="AJ36" i="15" s="1"/>
  <c r="AK36" i="15" s="1"/>
  <c r="AL36" i="15"/>
  <c r="AM36" i="15" s="1"/>
  <c r="AN36" i="15" s="1"/>
  <c r="K95" i="15"/>
  <c r="O95" i="15"/>
  <c r="AQ95" i="15"/>
  <c r="AS95" i="15"/>
  <c r="AU95" i="15"/>
  <c r="AV35" i="23"/>
  <c r="BG35" i="23" s="1"/>
  <c r="H36" i="23"/>
  <c r="K40" i="28"/>
  <c r="AC53" i="29"/>
  <c r="X54" i="29" s="1"/>
  <c r="I92" i="25"/>
  <c r="O92" i="25"/>
  <c r="T62" i="15"/>
  <c r="S63" i="15" s="1"/>
  <c r="R62" i="15"/>
  <c r="Q63" i="15" s="1"/>
  <c r="AT63" i="15" s="1"/>
  <c r="AJ95" i="3"/>
  <c r="BF95" i="3" s="1"/>
  <c r="P62" i="15"/>
  <c r="M63" i="15" s="1"/>
  <c r="N63" i="15" s="1"/>
  <c r="BH46" i="13"/>
  <c r="AV81" i="14"/>
  <c r="AZ81" i="14" s="1"/>
  <c r="BC81" i="14" s="1"/>
  <c r="H82" i="14"/>
  <c r="AP82" i="14" s="1"/>
  <c r="G82" i="14"/>
  <c r="AL82" i="14" s="1"/>
  <c r="AM82" i="14" s="1"/>
  <c r="AN82" i="14" s="1"/>
  <c r="BA44" i="12"/>
  <c r="BD44" i="12" s="1"/>
  <c r="AW12" i="17"/>
  <c r="Z18" i="17"/>
  <c r="Y18" i="17"/>
  <c r="AC18" i="17" s="1"/>
  <c r="X19" i="17" s="1"/>
  <c r="AG17" i="17"/>
  <c r="AF18" i="17" s="1"/>
  <c r="H13" i="17"/>
  <c r="AO13" i="17" s="1"/>
  <c r="AO47" i="13"/>
  <c r="Z50" i="13"/>
  <c r="G13" i="17"/>
  <c r="AL13" i="17" s="1"/>
  <c r="AM13" i="17" s="1"/>
  <c r="AN13" i="17" s="1"/>
  <c r="AU45" i="12"/>
  <c r="L48" i="13"/>
  <c r="AU47" i="13"/>
  <c r="AC21" i="19"/>
  <c r="X22" i="19" s="1"/>
  <c r="Y22" i="19" s="1"/>
  <c r="AL45" i="12"/>
  <c r="AM45" i="12" s="1"/>
  <c r="AN45" i="12" s="1"/>
  <c r="W17" i="19"/>
  <c r="R18" i="19" s="1"/>
  <c r="AS47" i="13"/>
  <c r="AS45" i="12"/>
  <c r="AJ11" i="19"/>
  <c r="AK11" i="19" s="1"/>
  <c r="AW11" i="19" s="1"/>
  <c r="AO45" i="12"/>
  <c r="AP45" i="12"/>
  <c r="AC50" i="13"/>
  <c r="X51" i="13" s="1"/>
  <c r="Y51" i="13" s="1"/>
  <c r="AG51" i="13" s="1"/>
  <c r="AF52" i="13" s="1"/>
  <c r="AQ45" i="12"/>
  <c r="AI45" i="12"/>
  <c r="AJ45" i="12" s="1"/>
  <c r="AK45" i="12" s="1"/>
  <c r="J13" i="19"/>
  <c r="G12" i="19"/>
  <c r="AL12" i="19" s="1"/>
  <c r="H12" i="19"/>
  <c r="J47" i="12"/>
  <c r="G46" i="12"/>
  <c r="K46" i="12" s="1"/>
  <c r="F47" i="12" s="1"/>
  <c r="H46" i="12"/>
  <c r="M24" i="19"/>
  <c r="Q24" i="19" s="1"/>
  <c r="L25" i="19" s="1"/>
  <c r="P25" i="19"/>
  <c r="N24" i="19"/>
  <c r="T85" i="14"/>
  <c r="S85" i="14"/>
  <c r="AE85" i="14" s="1"/>
  <c r="AD86" i="14" s="1"/>
  <c r="AT86" i="14" s="1"/>
  <c r="V95" i="17"/>
  <c r="AA95" i="17"/>
  <c r="U95" i="19"/>
  <c r="U95" i="17"/>
  <c r="I95" i="17"/>
  <c r="AA95" i="19"/>
  <c r="V95" i="19"/>
  <c r="AB95" i="19"/>
  <c r="O95" i="17"/>
  <c r="AB95" i="17"/>
  <c r="O95" i="19"/>
  <c r="I95" i="19"/>
  <c r="AR94" i="19"/>
  <c r="AG90" i="14"/>
  <c r="AF91" i="14" s="1"/>
  <c r="N92" i="14"/>
  <c r="P93" i="14"/>
  <c r="M92" i="14"/>
  <c r="Q92" i="14" s="1"/>
  <c r="L93" i="14" s="1"/>
  <c r="Z91" i="14"/>
  <c r="Y91" i="14"/>
  <c r="AC91" i="14" s="1"/>
  <c r="X92" i="14" s="1"/>
  <c r="P25" i="17"/>
  <c r="N24" i="17"/>
  <c r="M24" i="17"/>
  <c r="Q24" i="17" s="1"/>
  <c r="L25" i="17" s="1"/>
  <c r="AT22" i="17"/>
  <c r="AE22" i="17"/>
  <c r="AD23" i="17" s="1"/>
  <c r="T23" i="17"/>
  <c r="S23" i="17"/>
  <c r="W23" i="17" s="1"/>
  <c r="R24" i="17" s="1"/>
  <c r="C95" i="19"/>
  <c r="AZ95" i="19"/>
  <c r="E96" i="19"/>
  <c r="AV48" i="14"/>
  <c r="AZ48" i="14" s="1"/>
  <c r="BC48" i="14" s="1"/>
  <c r="AR94" i="16"/>
  <c r="AZ95" i="16"/>
  <c r="E96" i="16"/>
  <c r="BD95" i="16"/>
  <c r="C95" i="16"/>
  <c r="J92" i="18"/>
  <c r="L92" i="18" s="1"/>
  <c r="I93" i="18" s="1"/>
  <c r="AZ94" i="17"/>
  <c r="C94" i="17"/>
  <c r="E95" i="17"/>
  <c r="AU93" i="18"/>
  <c r="AQ93" i="18"/>
  <c r="K93" i="18"/>
  <c r="O93" i="18"/>
  <c r="AS93" i="18"/>
  <c r="E95" i="18"/>
  <c r="AZ94" i="18"/>
  <c r="C94" i="18"/>
  <c r="H49" i="14"/>
  <c r="AI49" i="14" s="1"/>
  <c r="AJ49" i="14" s="1"/>
  <c r="H43" i="18"/>
  <c r="F44" i="18" s="1"/>
  <c r="G44" i="18" s="1"/>
  <c r="AR44" i="18" s="1"/>
  <c r="AZ96" i="15"/>
  <c r="E97" i="15"/>
  <c r="C96" i="15"/>
  <c r="S67" i="18"/>
  <c r="T67" i="18" s="1"/>
  <c r="S68" i="18" s="1"/>
  <c r="P68" i="18"/>
  <c r="M69" i="18" s="1"/>
  <c r="N69" i="18" s="1"/>
  <c r="R68" i="18"/>
  <c r="Q69" i="18" s="1"/>
  <c r="AT69" i="18" s="1"/>
  <c r="L66" i="15"/>
  <c r="I67" i="15" s="1"/>
  <c r="J67" i="15" s="1"/>
  <c r="AQ100" i="3"/>
  <c r="P100" i="3"/>
  <c r="P101" i="3" s="1"/>
  <c r="AW100" i="3"/>
  <c r="BC96" i="3"/>
  <c r="AE97" i="3"/>
  <c r="AL97" i="3"/>
  <c r="AI95" i="3"/>
  <c r="BE95" i="3" s="1"/>
  <c r="AH97" i="3"/>
  <c r="BD96" i="3"/>
  <c r="AN100" i="3"/>
  <c r="AN101" i="3" s="1"/>
  <c r="H97" i="3"/>
  <c r="AF96" i="3"/>
  <c r="AK96" i="3" s="1"/>
  <c r="Y97" i="3"/>
  <c r="AC96" i="3"/>
  <c r="V98" i="3"/>
  <c r="X98" i="3" s="1"/>
  <c r="G99" i="3"/>
  <c r="AV98" i="3"/>
  <c r="AX98" i="3" s="1"/>
  <c r="AM97" i="3"/>
  <c r="AG97" i="3"/>
  <c r="A98" i="3"/>
  <c r="BI98" i="3" s="1"/>
  <c r="BJ98" i="3" s="1"/>
  <c r="AT58" i="25" l="1"/>
  <c r="AE58" i="25"/>
  <c r="AD59" i="25" s="1"/>
  <c r="T59" i="25"/>
  <c r="S59" i="25"/>
  <c r="W59" i="25" s="1"/>
  <c r="R60" i="25" s="1"/>
  <c r="O55" i="24"/>
  <c r="P55" i="24" s="1"/>
  <c r="M56" i="24" s="1"/>
  <c r="AZ109" i="23"/>
  <c r="BC109" i="23" s="1"/>
  <c r="AO110" i="23"/>
  <c r="AP110" i="23"/>
  <c r="Q110" i="23"/>
  <c r="AL110" i="23"/>
  <c r="AM110" i="23" s="1"/>
  <c r="AN110" i="23" s="1"/>
  <c r="V76" i="28"/>
  <c r="S76" i="28"/>
  <c r="W76" i="28" s="1"/>
  <c r="R77" i="28" s="1"/>
  <c r="T76" i="28"/>
  <c r="AT75" i="28"/>
  <c r="AE75" i="28"/>
  <c r="AD76" i="28" s="1"/>
  <c r="Q40" i="29"/>
  <c r="L41" i="29" s="1"/>
  <c r="Z54" i="29"/>
  <c r="AA54" i="29"/>
  <c r="AE54" i="29" s="1"/>
  <c r="AD55" i="29" s="1"/>
  <c r="AR100" i="3"/>
  <c r="BB98" i="3"/>
  <c r="AC48" i="25"/>
  <c r="X49" i="25" s="1"/>
  <c r="K52" i="24"/>
  <c r="R52" i="24" s="1"/>
  <c r="Q53" i="24" s="1"/>
  <c r="AT53" i="24" s="1"/>
  <c r="J52" i="24"/>
  <c r="P98" i="20"/>
  <c r="AN98" i="20"/>
  <c r="O99" i="20"/>
  <c r="AQ98" i="20"/>
  <c r="AR98" i="20" s="1"/>
  <c r="BG96" i="3"/>
  <c r="T80" i="29"/>
  <c r="S80" i="29"/>
  <c r="W80" i="29" s="1"/>
  <c r="R81" i="29" s="1"/>
  <c r="U81" i="29" s="1"/>
  <c r="J41" i="29"/>
  <c r="H40" i="29"/>
  <c r="AP40" i="29" s="1"/>
  <c r="AZ94" i="29"/>
  <c r="C94" i="29"/>
  <c r="E95" i="29"/>
  <c r="Y54" i="29"/>
  <c r="G40" i="29"/>
  <c r="AI40" i="29" s="1"/>
  <c r="AI37" i="26"/>
  <c r="AJ37" i="26" s="1"/>
  <c r="AK37" i="26" s="1"/>
  <c r="F38" i="26"/>
  <c r="AL37" i="26"/>
  <c r="AM37" i="26" s="1"/>
  <c r="AN37" i="26" s="1"/>
  <c r="J89" i="26"/>
  <c r="L89" i="26" s="1"/>
  <c r="I90" i="26" s="1"/>
  <c r="O94" i="26"/>
  <c r="K94" i="26"/>
  <c r="AS94" i="26"/>
  <c r="AU94" i="26"/>
  <c r="AQ94" i="26"/>
  <c r="N67" i="26"/>
  <c r="P67" i="26" s="1"/>
  <c r="M68" i="26" s="1"/>
  <c r="AT67" i="26"/>
  <c r="C95" i="26"/>
  <c r="AZ95" i="26"/>
  <c r="E96" i="26"/>
  <c r="Z53" i="28"/>
  <c r="Y53" i="28"/>
  <c r="AS40" i="28"/>
  <c r="AQ40" i="28"/>
  <c r="AU40" i="28"/>
  <c r="AZ95" i="28"/>
  <c r="C95" i="28"/>
  <c r="E96" i="28"/>
  <c r="F41" i="28"/>
  <c r="I41" i="28" s="1"/>
  <c r="Q41" i="28" s="1"/>
  <c r="L42" i="28" s="1"/>
  <c r="AM40" i="28"/>
  <c r="AN40" i="28" s="1"/>
  <c r="F44" i="25"/>
  <c r="AJ35" i="24"/>
  <c r="AK35" i="24" s="1"/>
  <c r="AW35" i="24" s="1"/>
  <c r="AX35" i="24" s="1"/>
  <c r="AY35" i="24" s="1"/>
  <c r="U94" i="25"/>
  <c r="V94" i="25"/>
  <c r="AA94" i="25"/>
  <c r="AB94" i="25"/>
  <c r="AR94" i="25"/>
  <c r="BA95" i="25"/>
  <c r="BB95" i="25"/>
  <c r="BC95" i="25"/>
  <c r="P43" i="25"/>
  <c r="N42" i="25"/>
  <c r="AP42" i="25" s="1"/>
  <c r="M42" i="25"/>
  <c r="Q42" i="25" s="1"/>
  <c r="L43" i="25" s="1"/>
  <c r="C95" i="25"/>
  <c r="AZ95" i="25"/>
  <c r="BD95" i="25"/>
  <c r="E96" i="25"/>
  <c r="AJ41" i="25"/>
  <c r="AK41" i="25" s="1"/>
  <c r="AW41" i="25" s="1"/>
  <c r="AX41" i="25" s="1"/>
  <c r="AY41" i="25" s="1"/>
  <c r="AQ94" i="24"/>
  <c r="AS94" i="24"/>
  <c r="AU94" i="24"/>
  <c r="AZ95" i="24"/>
  <c r="C95" i="24"/>
  <c r="E96" i="24"/>
  <c r="H36" i="24"/>
  <c r="AW36" i="15"/>
  <c r="AX36" i="15" s="1"/>
  <c r="AY36" i="15" s="1"/>
  <c r="H117" i="23"/>
  <c r="G117" i="23"/>
  <c r="K117" i="23" s="1"/>
  <c r="F118" i="23" s="1"/>
  <c r="I118" i="23" s="1"/>
  <c r="AR118" i="23" s="1"/>
  <c r="J118" i="23"/>
  <c r="G37" i="15"/>
  <c r="AR37" i="15" s="1"/>
  <c r="AQ96" i="15"/>
  <c r="AS96" i="15"/>
  <c r="AU96" i="15"/>
  <c r="AZ35" i="23"/>
  <c r="BC35" i="23" s="1"/>
  <c r="F37" i="23"/>
  <c r="AI36" i="23"/>
  <c r="AL36" i="23"/>
  <c r="AJ110" i="23"/>
  <c r="AK110" i="23" s="1"/>
  <c r="AW39" i="29"/>
  <c r="AX39" i="29" s="1"/>
  <c r="AY39" i="29" s="1"/>
  <c r="I93" i="25"/>
  <c r="O93" i="25"/>
  <c r="AD96" i="3"/>
  <c r="AI96" i="3" s="1"/>
  <c r="BE96" i="3" s="1"/>
  <c r="R63" i="15"/>
  <c r="Q64" i="15" s="1"/>
  <c r="AT64" i="15" s="1"/>
  <c r="BG81" i="14"/>
  <c r="K82" i="14"/>
  <c r="F83" i="14" s="1"/>
  <c r="J84" i="14" s="1"/>
  <c r="AW47" i="13"/>
  <c r="BA47" i="13" s="1"/>
  <c r="BD47" i="13" s="1"/>
  <c r="AO82" i="14"/>
  <c r="AI82" i="14"/>
  <c r="AJ82" i="14" s="1"/>
  <c r="AK82" i="14" s="1"/>
  <c r="AR95" i="19"/>
  <c r="Y19" i="17"/>
  <c r="AC19" i="17" s="1"/>
  <c r="X20" i="17" s="1"/>
  <c r="Z19" i="17"/>
  <c r="AG18" i="17"/>
  <c r="AF19" i="17" s="1"/>
  <c r="AI13" i="17"/>
  <c r="AJ13" i="17" s="1"/>
  <c r="AK13" i="17" s="1"/>
  <c r="AP13" i="17"/>
  <c r="K13" i="17"/>
  <c r="AS13" i="17" s="1"/>
  <c r="W85" i="14"/>
  <c r="R86" i="14" s="1"/>
  <c r="S86" i="14" s="1"/>
  <c r="AE86" i="14" s="1"/>
  <c r="AD87" i="14" s="1"/>
  <c r="AC22" i="19"/>
  <c r="X23" i="19" s="1"/>
  <c r="Z23" i="19" s="1"/>
  <c r="AG22" i="19"/>
  <c r="AF23" i="19" s="1"/>
  <c r="AC51" i="13"/>
  <c r="Z51" i="13"/>
  <c r="Z22" i="19"/>
  <c r="AL46" i="12"/>
  <c r="AM46" i="12" s="1"/>
  <c r="AN46" i="12" s="1"/>
  <c r="AW45" i="12"/>
  <c r="BH45" i="12" s="1"/>
  <c r="K12" i="19"/>
  <c r="F13" i="19" s="1"/>
  <c r="H13" i="19" s="1"/>
  <c r="S18" i="19"/>
  <c r="AE18" i="19" s="1"/>
  <c r="AD19" i="19" s="1"/>
  <c r="AT19" i="19" s="1"/>
  <c r="T18" i="19"/>
  <c r="N48" i="13"/>
  <c r="P49" i="13"/>
  <c r="M48" i="13"/>
  <c r="J48" i="12"/>
  <c r="H47" i="12"/>
  <c r="G47" i="12"/>
  <c r="K47" i="12" s="1"/>
  <c r="F48" i="12" s="1"/>
  <c r="AQ46" i="12"/>
  <c r="AU46" i="12"/>
  <c r="AP12" i="19"/>
  <c r="AO12" i="19"/>
  <c r="AI12" i="19"/>
  <c r="AP46" i="12"/>
  <c r="AO46" i="12"/>
  <c r="AM12" i="19"/>
  <c r="AN12" i="19" s="1"/>
  <c r="AS46" i="12"/>
  <c r="AI46" i="12"/>
  <c r="AJ46" i="12" s="1"/>
  <c r="AK46" i="12" s="1"/>
  <c r="AB96" i="17"/>
  <c r="O96" i="17"/>
  <c r="V96" i="17"/>
  <c r="V96" i="19"/>
  <c r="U96" i="17"/>
  <c r="AA96" i="17"/>
  <c r="O96" i="19"/>
  <c r="I96" i="17"/>
  <c r="AB96" i="19"/>
  <c r="I96" i="19"/>
  <c r="AA96" i="19"/>
  <c r="U96" i="19"/>
  <c r="T24" i="17"/>
  <c r="S24" i="17"/>
  <c r="W24" i="17" s="1"/>
  <c r="R25" i="17" s="1"/>
  <c r="AT23" i="17"/>
  <c r="AE23" i="17"/>
  <c r="AD24" i="17" s="1"/>
  <c r="Y92" i="14"/>
  <c r="AC92" i="14" s="1"/>
  <c r="X93" i="14" s="1"/>
  <c r="Z92" i="14"/>
  <c r="AG91" i="14"/>
  <c r="AF92" i="14" s="1"/>
  <c r="N25" i="17"/>
  <c r="P26" i="17"/>
  <c r="M25" i="17"/>
  <c r="Q25" i="17" s="1"/>
  <c r="L26" i="17" s="1"/>
  <c r="N93" i="14"/>
  <c r="P94" i="14"/>
  <c r="M93" i="14"/>
  <c r="Q93" i="14" s="1"/>
  <c r="L94" i="14" s="1"/>
  <c r="M25" i="19"/>
  <c r="Q25" i="19" s="1"/>
  <c r="L26" i="19" s="1"/>
  <c r="P26" i="19"/>
  <c r="N25" i="19"/>
  <c r="C96" i="19"/>
  <c r="E97" i="19"/>
  <c r="AZ96" i="19"/>
  <c r="BG48" i="14"/>
  <c r="C96" i="16"/>
  <c r="E97" i="16"/>
  <c r="BD96" i="16"/>
  <c r="AZ96" i="16"/>
  <c r="AR95" i="16"/>
  <c r="J93" i="18"/>
  <c r="L93" i="18" s="1"/>
  <c r="I94" i="18" s="1"/>
  <c r="J94" i="18" s="1"/>
  <c r="AS94" i="18"/>
  <c r="AQ94" i="18"/>
  <c r="O94" i="18"/>
  <c r="AU94" i="18"/>
  <c r="K94" i="18"/>
  <c r="E96" i="18"/>
  <c r="C95" i="18"/>
  <c r="AZ95" i="18"/>
  <c r="E96" i="17"/>
  <c r="AZ95" i="17"/>
  <c r="C95" i="17"/>
  <c r="AL43" i="18"/>
  <c r="AM43" i="18" s="1"/>
  <c r="AN43" i="18" s="1"/>
  <c r="AK49" i="14"/>
  <c r="AI43" i="18"/>
  <c r="AJ43" i="18" s="1"/>
  <c r="AK43" i="18" s="1"/>
  <c r="F50" i="14"/>
  <c r="AL49" i="14"/>
  <c r="AZ97" i="15"/>
  <c r="E98" i="15"/>
  <c r="C97" i="15"/>
  <c r="H44" i="18"/>
  <c r="P69" i="18"/>
  <c r="M70" i="18" s="1"/>
  <c r="N70" i="18" s="1"/>
  <c r="R69" i="18"/>
  <c r="Q70" i="18" s="1"/>
  <c r="AT70" i="18" s="1"/>
  <c r="T68" i="18"/>
  <c r="G100" i="3"/>
  <c r="AV99" i="3"/>
  <c r="AX99" i="3" s="1"/>
  <c r="V99" i="3"/>
  <c r="X99" i="3" s="1"/>
  <c r="AH98" i="3"/>
  <c r="BD97" i="3"/>
  <c r="AG98" i="3"/>
  <c r="H98" i="3"/>
  <c r="AF97" i="3"/>
  <c r="BC97" i="3"/>
  <c r="AE98" i="3"/>
  <c r="AM98" i="3"/>
  <c r="AQ101" i="3"/>
  <c r="A99" i="3"/>
  <c r="BI99" i="3" s="1"/>
  <c r="BJ99" i="3" s="1"/>
  <c r="Y98" i="3"/>
  <c r="AC97" i="3"/>
  <c r="AL98" i="3"/>
  <c r="AW101" i="3"/>
  <c r="AT59" i="25" l="1"/>
  <c r="AE59" i="25"/>
  <c r="AD60" i="25" s="1"/>
  <c r="S60" i="25"/>
  <c r="W60" i="25" s="1"/>
  <c r="R61" i="25" s="1"/>
  <c r="T60" i="25"/>
  <c r="X52" i="13"/>
  <c r="Z52" i="13" s="1"/>
  <c r="AG54" i="29"/>
  <c r="AF55" i="29" s="1"/>
  <c r="L111" i="23"/>
  <c r="AQ110" i="23"/>
  <c r="AU110" i="23"/>
  <c r="AS110" i="23"/>
  <c r="AE76" i="28"/>
  <c r="AD77" i="28" s="1"/>
  <c r="AT76" i="28"/>
  <c r="O42" i="28"/>
  <c r="M42" i="28"/>
  <c r="N42" i="28"/>
  <c r="P43" i="28"/>
  <c r="V77" i="28"/>
  <c r="S77" i="28"/>
  <c r="W77" i="28" s="1"/>
  <c r="R78" i="28" s="1"/>
  <c r="T77" i="28"/>
  <c r="O41" i="29"/>
  <c r="M41" i="29"/>
  <c r="N41" i="29"/>
  <c r="P42" i="29"/>
  <c r="AT55" i="29"/>
  <c r="AR101" i="3"/>
  <c r="BB99" i="3"/>
  <c r="Z49" i="25"/>
  <c r="Y49" i="25"/>
  <c r="AG49" i="25" s="1"/>
  <c r="AF50" i="25" s="1"/>
  <c r="O56" i="24"/>
  <c r="N56" i="24"/>
  <c r="T52" i="24"/>
  <c r="S53" i="24" s="1"/>
  <c r="L52" i="24"/>
  <c r="I53" i="24" s="1"/>
  <c r="AN99" i="20"/>
  <c r="P99" i="20"/>
  <c r="AQ99" i="20"/>
  <c r="AR99" i="20" s="1"/>
  <c r="O100" i="20"/>
  <c r="AK97" i="3"/>
  <c r="BG97" i="3" s="1"/>
  <c r="K96" i="15"/>
  <c r="O96" i="15"/>
  <c r="T81" i="29"/>
  <c r="S81" i="29"/>
  <c r="W81" i="29" s="1"/>
  <c r="R82" i="29" s="1"/>
  <c r="U82" i="29" s="1"/>
  <c r="AJ40" i="29"/>
  <c r="AK40" i="29" s="1"/>
  <c r="AZ95" i="29"/>
  <c r="C95" i="29"/>
  <c r="E96" i="29"/>
  <c r="AL40" i="29"/>
  <c r="AM40" i="29" s="1"/>
  <c r="AO40" i="29"/>
  <c r="G38" i="26"/>
  <c r="AR38" i="26" s="1"/>
  <c r="AW37" i="26"/>
  <c r="AX37" i="26" s="1"/>
  <c r="AY37" i="26" s="1"/>
  <c r="N68" i="26"/>
  <c r="P68" i="26" s="1"/>
  <c r="M69" i="26" s="1"/>
  <c r="T67" i="26"/>
  <c r="S68" i="26" s="1"/>
  <c r="R67" i="26"/>
  <c r="Q68" i="26" s="1"/>
  <c r="K95" i="26"/>
  <c r="O95" i="26"/>
  <c r="AQ95" i="26"/>
  <c r="AU95" i="26"/>
  <c r="AS95" i="26"/>
  <c r="J90" i="26"/>
  <c r="L90" i="26" s="1"/>
  <c r="I91" i="26" s="1"/>
  <c r="AZ96" i="26"/>
  <c r="C96" i="26"/>
  <c r="E97" i="26"/>
  <c r="H41" i="28"/>
  <c r="AP41" i="28" s="1"/>
  <c r="J42" i="28"/>
  <c r="G41" i="28"/>
  <c r="AI41" i="28" s="1"/>
  <c r="AG53" i="28"/>
  <c r="AF54" i="28" s="1"/>
  <c r="AC53" i="28"/>
  <c r="X54" i="28" s="1"/>
  <c r="AB54" i="28" s="1"/>
  <c r="C96" i="28"/>
  <c r="AZ96" i="28"/>
  <c r="E97" i="28"/>
  <c r="G44" i="25"/>
  <c r="K44" i="25" s="1"/>
  <c r="H44" i="25"/>
  <c r="J45" i="25"/>
  <c r="AO42" i="25"/>
  <c r="AL42" i="25"/>
  <c r="AI42" i="25"/>
  <c r="AS42" i="25"/>
  <c r="AQ42" i="25"/>
  <c r="U95" i="25"/>
  <c r="V95" i="25"/>
  <c r="AA95" i="25"/>
  <c r="AB95" i="25"/>
  <c r="AR95" i="25"/>
  <c r="AU42" i="25"/>
  <c r="BA96" i="25"/>
  <c r="BB96" i="25"/>
  <c r="BC96" i="25"/>
  <c r="P44" i="25"/>
  <c r="N43" i="25"/>
  <c r="AP43" i="25" s="1"/>
  <c r="M43" i="25"/>
  <c r="AL43" i="25" s="1"/>
  <c r="AZ96" i="25"/>
  <c r="C96" i="25"/>
  <c r="BD96" i="25"/>
  <c r="E97" i="25"/>
  <c r="AQ95" i="24"/>
  <c r="AS95" i="24"/>
  <c r="AU95" i="24"/>
  <c r="AZ96" i="24"/>
  <c r="C96" i="24"/>
  <c r="E97" i="24"/>
  <c r="F37" i="24"/>
  <c r="AI36" i="24"/>
  <c r="AJ36" i="24" s="1"/>
  <c r="AL36" i="24"/>
  <c r="J119" i="23"/>
  <c r="G118" i="23"/>
  <c r="H118" i="23"/>
  <c r="H37" i="15"/>
  <c r="AS97" i="15"/>
  <c r="AU97" i="15"/>
  <c r="AQ97" i="15"/>
  <c r="G37" i="23"/>
  <c r="AR37" i="23" s="1"/>
  <c r="AJ36" i="23"/>
  <c r="AK36" i="23" s="1"/>
  <c r="AM36" i="23"/>
  <c r="AN36" i="23" s="1"/>
  <c r="AW40" i="28"/>
  <c r="AX40" i="28" s="1"/>
  <c r="AY40" i="28" s="1"/>
  <c r="K40" i="29"/>
  <c r="AC54" i="29"/>
  <c r="X55" i="29" s="1"/>
  <c r="O94" i="25"/>
  <c r="I94" i="25"/>
  <c r="AJ96" i="3"/>
  <c r="BF96" i="3" s="1"/>
  <c r="T63" i="15"/>
  <c r="S64" i="15" s="1"/>
  <c r="P63" i="15"/>
  <c r="M64" i="15" s="1"/>
  <c r="N64" i="15" s="1"/>
  <c r="AU82" i="14"/>
  <c r="H83" i="14"/>
  <c r="AO83" i="14" s="1"/>
  <c r="AS82" i="14"/>
  <c r="G83" i="14"/>
  <c r="K83" i="14" s="1"/>
  <c r="F84" i="14" s="1"/>
  <c r="J85" i="14" s="1"/>
  <c r="AQ82" i="14"/>
  <c r="BH47" i="13"/>
  <c r="AQ13" i="17"/>
  <c r="AL99" i="3"/>
  <c r="AG19" i="17"/>
  <c r="AF20" i="17" s="1"/>
  <c r="Z20" i="17"/>
  <c r="Y20" i="17"/>
  <c r="AC20" i="17" s="1"/>
  <c r="X21" i="17" s="1"/>
  <c r="T86" i="14"/>
  <c r="AU13" i="17"/>
  <c r="F14" i="17"/>
  <c r="J15" i="17" s="1"/>
  <c r="G13" i="19"/>
  <c r="AL13" i="19" s="1"/>
  <c r="AM13" i="19" s="1"/>
  <c r="AN13" i="19" s="1"/>
  <c r="AR96" i="19"/>
  <c r="Y23" i="19"/>
  <c r="AQ12" i="19"/>
  <c r="AS12" i="19"/>
  <c r="J14" i="19"/>
  <c r="AU12" i="19"/>
  <c r="AU47" i="12"/>
  <c r="AS47" i="12"/>
  <c r="AQ47" i="12"/>
  <c r="AI47" i="12"/>
  <c r="AJ47" i="12" s="1"/>
  <c r="AK47" i="12" s="1"/>
  <c r="AI48" i="13"/>
  <c r="AJ48" i="13" s="1"/>
  <c r="AK48" i="13" s="1"/>
  <c r="Q48" i="13"/>
  <c r="AL48" i="13"/>
  <c r="AM48" i="13" s="1"/>
  <c r="AN48" i="13" s="1"/>
  <c r="AW46" i="12"/>
  <c r="BH46" i="12" s="1"/>
  <c r="BA45" i="12"/>
  <c r="BD45" i="12" s="1"/>
  <c r="AO48" i="13"/>
  <c r="AP48" i="13"/>
  <c r="W18" i="19"/>
  <c r="R19" i="19" s="1"/>
  <c r="AL47" i="12"/>
  <c r="AM47" i="12" s="1"/>
  <c r="AN47" i="12" s="1"/>
  <c r="AP47" i="12"/>
  <c r="AO47" i="12"/>
  <c r="AJ12" i="19"/>
  <c r="AK12" i="19" s="1"/>
  <c r="AP13" i="19"/>
  <c r="AO13" i="19"/>
  <c r="G48" i="12"/>
  <c r="K48" i="12" s="1"/>
  <c r="F49" i="12" s="1"/>
  <c r="J49" i="12"/>
  <c r="H48" i="12"/>
  <c r="V97" i="17"/>
  <c r="U97" i="17"/>
  <c r="AA97" i="19"/>
  <c r="I97" i="19"/>
  <c r="O97" i="17"/>
  <c r="AB97" i="19"/>
  <c r="AB97" i="17"/>
  <c r="V97" i="19"/>
  <c r="I97" i="17"/>
  <c r="U97" i="19"/>
  <c r="AA97" i="17"/>
  <c r="O97" i="19"/>
  <c r="AD97" i="3"/>
  <c r="K97" i="15" s="1"/>
  <c r="M26" i="17"/>
  <c r="Q26" i="17" s="1"/>
  <c r="L27" i="17" s="1"/>
  <c r="P27" i="17"/>
  <c r="N26" i="17"/>
  <c r="Z93" i="14"/>
  <c r="Y93" i="14"/>
  <c r="AC93" i="14" s="1"/>
  <c r="X94" i="14" s="1"/>
  <c r="W86" i="14"/>
  <c r="R87" i="14" s="1"/>
  <c r="N26" i="19"/>
  <c r="M26" i="19"/>
  <c r="Q26" i="19" s="1"/>
  <c r="L27" i="19" s="1"/>
  <c r="P27" i="19"/>
  <c r="N94" i="14"/>
  <c r="M94" i="14"/>
  <c r="Q94" i="14" s="1"/>
  <c r="L95" i="14" s="1"/>
  <c r="P95" i="14"/>
  <c r="AT24" i="17"/>
  <c r="AE24" i="17"/>
  <c r="AD25" i="17" s="1"/>
  <c r="AG92" i="14"/>
  <c r="AF93" i="14" s="1"/>
  <c r="AT87" i="14"/>
  <c r="T25" i="17"/>
  <c r="S25" i="17"/>
  <c r="W25" i="17" s="1"/>
  <c r="R26" i="17" s="1"/>
  <c r="AZ97" i="19"/>
  <c r="C97" i="19"/>
  <c r="E98" i="19"/>
  <c r="L94" i="18"/>
  <c r="I95" i="18" s="1"/>
  <c r="J95" i="18" s="1"/>
  <c r="AR96" i="16"/>
  <c r="AW43" i="18"/>
  <c r="AX43" i="18" s="1"/>
  <c r="AY43" i="18" s="1"/>
  <c r="C97" i="16"/>
  <c r="E98" i="16"/>
  <c r="BD97" i="16"/>
  <c r="AZ97" i="16"/>
  <c r="O95" i="18"/>
  <c r="AS95" i="18"/>
  <c r="AQ95" i="18"/>
  <c r="AU95" i="18"/>
  <c r="K95" i="18"/>
  <c r="E97" i="18"/>
  <c r="C96" i="18"/>
  <c r="AZ96" i="18"/>
  <c r="E97" i="17"/>
  <c r="AZ96" i="17"/>
  <c r="C96" i="17"/>
  <c r="AM49" i="14"/>
  <c r="AN49" i="14" s="1"/>
  <c r="AV49" i="14" s="1"/>
  <c r="G50" i="14"/>
  <c r="AR50" i="14" s="1"/>
  <c r="E99" i="15"/>
  <c r="C98" i="15"/>
  <c r="AZ98" i="15"/>
  <c r="F45" i="18"/>
  <c r="AL44" i="18"/>
  <c r="AM44" i="18" s="1"/>
  <c r="AN44" i="18" s="1"/>
  <c r="AI44" i="18"/>
  <c r="AJ44" i="18" s="1"/>
  <c r="AK44" i="18" s="1"/>
  <c r="S69" i="18"/>
  <c r="T69" i="18" s="1"/>
  <c r="S70" i="18" s="1"/>
  <c r="T70" i="18" s="1"/>
  <c r="S71" i="18" s="1"/>
  <c r="P70" i="18"/>
  <c r="M71" i="18" s="1"/>
  <c r="N71" i="18" s="1"/>
  <c r="R70" i="18"/>
  <c r="Q71" i="18" s="1"/>
  <c r="AT71" i="18" s="1"/>
  <c r="L67" i="15"/>
  <c r="I68" i="15" s="1"/>
  <c r="J68" i="15" s="1"/>
  <c r="A100" i="3"/>
  <c r="BI100" i="3" s="1"/>
  <c r="BJ100" i="3" s="1"/>
  <c r="AH99" i="3"/>
  <c r="BD98" i="3"/>
  <c r="AQ102" i="3"/>
  <c r="Y99" i="3"/>
  <c r="AC98" i="3"/>
  <c r="AM99" i="3"/>
  <c r="BC98" i="3"/>
  <c r="AE99" i="3"/>
  <c r="H99" i="3"/>
  <c r="AF98" i="3"/>
  <c r="AK98" i="3" s="1"/>
  <c r="P102" i="3"/>
  <c r="AW102" i="3"/>
  <c r="AN102" i="3"/>
  <c r="AG99" i="3"/>
  <c r="AV100" i="3"/>
  <c r="AX100" i="3" s="1"/>
  <c r="G101" i="3"/>
  <c r="V100" i="3"/>
  <c r="X100" i="3" s="1"/>
  <c r="Y52" i="13" l="1"/>
  <c r="AG52" i="13" s="1"/>
  <c r="AE60" i="25"/>
  <c r="AD61" i="25" s="1"/>
  <c r="AT60" i="25"/>
  <c r="T61" i="25"/>
  <c r="S61" i="25"/>
  <c r="W61" i="25" s="1"/>
  <c r="R62" i="25" s="1"/>
  <c r="AV110" i="23"/>
  <c r="BG110" i="23" s="1"/>
  <c r="N111" i="23"/>
  <c r="P112" i="23"/>
  <c r="M111" i="23"/>
  <c r="AL111" i="23" s="1"/>
  <c r="AM111" i="23" s="1"/>
  <c r="AN111" i="23" s="1"/>
  <c r="O111" i="23"/>
  <c r="V78" i="28"/>
  <c r="S78" i="28"/>
  <c r="W78" i="28" s="1"/>
  <c r="R79" i="28" s="1"/>
  <c r="T78" i="28"/>
  <c r="AE77" i="28"/>
  <c r="AD78" i="28" s="1"/>
  <c r="AT77" i="28"/>
  <c r="Z55" i="29"/>
  <c r="AA55" i="29"/>
  <c r="AE55" i="29" s="1"/>
  <c r="AD56" i="29" s="1"/>
  <c r="AR102" i="3"/>
  <c r="BB100" i="3"/>
  <c r="P56" i="24"/>
  <c r="M57" i="24" s="1"/>
  <c r="K53" i="24"/>
  <c r="R53" i="24" s="1"/>
  <c r="Q54" i="24" s="1"/>
  <c r="J53" i="24"/>
  <c r="AC49" i="25"/>
  <c r="X50" i="25" s="1"/>
  <c r="AL100" i="3"/>
  <c r="P100" i="20"/>
  <c r="O101" i="20"/>
  <c r="AQ100" i="20"/>
  <c r="AR100" i="20" s="1"/>
  <c r="AN100" i="20"/>
  <c r="AL48" i="12"/>
  <c r="AM48" i="12" s="1"/>
  <c r="AN48" i="12" s="1"/>
  <c r="O97" i="15"/>
  <c r="BG98" i="3"/>
  <c r="AN40" i="29"/>
  <c r="T82" i="29"/>
  <c r="S82" i="29"/>
  <c r="W82" i="29" s="1"/>
  <c r="R83" i="29" s="1"/>
  <c r="U83" i="29" s="1"/>
  <c r="C96" i="29"/>
  <c r="AZ96" i="29"/>
  <c r="E97" i="29"/>
  <c r="F41" i="29"/>
  <c r="I41" i="29" s="1"/>
  <c r="AR41" i="29" s="1"/>
  <c r="AQ40" i="29"/>
  <c r="AS40" i="29"/>
  <c r="AU40" i="29"/>
  <c r="Y55" i="29"/>
  <c r="H38" i="26"/>
  <c r="F39" i="26" s="1"/>
  <c r="G39" i="26" s="1"/>
  <c r="AR39" i="26" s="1"/>
  <c r="T68" i="26"/>
  <c r="S69" i="26" s="1"/>
  <c r="J91" i="26"/>
  <c r="L91" i="26" s="1"/>
  <c r="I92" i="26" s="1"/>
  <c r="AT68" i="26"/>
  <c r="R68" i="26"/>
  <c r="Q69" i="26" s="1"/>
  <c r="N69" i="26"/>
  <c r="P69" i="26" s="1"/>
  <c r="M70" i="26" s="1"/>
  <c r="O96" i="26"/>
  <c r="AQ96" i="26"/>
  <c r="AS96" i="26"/>
  <c r="AU96" i="26"/>
  <c r="K96" i="26"/>
  <c r="C97" i="26"/>
  <c r="AZ97" i="26"/>
  <c r="E98" i="26"/>
  <c r="AO41" i="28"/>
  <c r="AL41" i="28"/>
  <c r="AM41" i="28" s="1"/>
  <c r="AN41" i="28" s="1"/>
  <c r="Z54" i="28"/>
  <c r="Y54" i="28"/>
  <c r="AG54" i="28" s="1"/>
  <c r="AZ97" i="28"/>
  <c r="C97" i="28"/>
  <c r="E98" i="28"/>
  <c r="F45" i="25"/>
  <c r="U96" i="25"/>
  <c r="V96" i="25"/>
  <c r="AA96" i="25"/>
  <c r="AB96" i="25"/>
  <c r="AR96" i="25"/>
  <c r="BA97" i="25"/>
  <c r="BB97" i="25"/>
  <c r="BC97" i="25"/>
  <c r="AO43" i="25"/>
  <c r="AM43" i="25"/>
  <c r="AN43" i="25" s="1"/>
  <c r="Q43" i="25"/>
  <c r="AZ97" i="25"/>
  <c r="BD97" i="25"/>
  <c r="C97" i="25"/>
  <c r="E98" i="25"/>
  <c r="AJ42" i="25"/>
  <c r="AK42" i="25" s="1"/>
  <c r="AM42" i="25"/>
  <c r="AN42" i="25" s="1"/>
  <c r="AM36" i="24"/>
  <c r="AN36" i="24" s="1"/>
  <c r="AK36" i="24"/>
  <c r="G37" i="24"/>
  <c r="AR37" i="24" s="1"/>
  <c r="AQ96" i="24"/>
  <c r="AS96" i="24"/>
  <c r="AU96" i="24"/>
  <c r="C97" i="24"/>
  <c r="AZ97" i="24"/>
  <c r="E98" i="24"/>
  <c r="K118" i="23"/>
  <c r="F38" i="15"/>
  <c r="AI37" i="15"/>
  <c r="AJ37" i="15" s="1"/>
  <c r="AK37" i="15" s="1"/>
  <c r="AL37" i="15"/>
  <c r="AM37" i="15" s="1"/>
  <c r="AN37" i="15" s="1"/>
  <c r="AQ98" i="15"/>
  <c r="AS98" i="15"/>
  <c r="AU98" i="15"/>
  <c r="AV36" i="23"/>
  <c r="H37" i="23"/>
  <c r="K41" i="28"/>
  <c r="O95" i="25"/>
  <c r="I95" i="25"/>
  <c r="R64" i="15"/>
  <c r="Q65" i="15" s="1"/>
  <c r="AT65" i="15" s="1"/>
  <c r="AJ97" i="3"/>
  <c r="BF97" i="3" s="1"/>
  <c r="AL83" i="14"/>
  <c r="AM83" i="14" s="1"/>
  <c r="AN83" i="14" s="1"/>
  <c r="AI83" i="14"/>
  <c r="AJ83" i="14" s="1"/>
  <c r="AK83" i="14" s="1"/>
  <c r="H84" i="14"/>
  <c r="AO84" i="14" s="1"/>
  <c r="G84" i="14"/>
  <c r="AI84" i="14" s="1"/>
  <c r="AJ84" i="14" s="1"/>
  <c r="AK84" i="14" s="1"/>
  <c r="AP83" i="14"/>
  <c r="AV82" i="14"/>
  <c r="AZ82" i="14" s="1"/>
  <c r="BC82" i="14" s="1"/>
  <c r="AQ83" i="14"/>
  <c r="AU83" i="14"/>
  <c r="AS83" i="14"/>
  <c r="AW12" i="19"/>
  <c r="AW13" i="17"/>
  <c r="AI97" i="3"/>
  <c r="BE97" i="3" s="1"/>
  <c r="Y21" i="17"/>
  <c r="AC21" i="17" s="1"/>
  <c r="X22" i="17" s="1"/>
  <c r="Z21" i="17"/>
  <c r="AG20" i="17"/>
  <c r="AF21" i="17" s="1"/>
  <c r="H14" i="17"/>
  <c r="AP14" i="17" s="1"/>
  <c r="AI13" i="19"/>
  <c r="AJ13" i="19" s="1"/>
  <c r="AK13" i="19" s="1"/>
  <c r="G14" i="17"/>
  <c r="K14" i="17" s="1"/>
  <c r="F15" i="17" s="1"/>
  <c r="J16" i="17" s="1"/>
  <c r="K13" i="19"/>
  <c r="AS13" i="19" s="1"/>
  <c r="AG93" i="14"/>
  <c r="AF94" i="14" s="1"/>
  <c r="AI48" i="12"/>
  <c r="AJ48" i="12" s="1"/>
  <c r="AK48" i="12" s="1"/>
  <c r="AC23" i="19"/>
  <c r="X24" i="19" s="1"/>
  <c r="AG23" i="19"/>
  <c r="AF24" i="19" s="1"/>
  <c r="AW47" i="12"/>
  <c r="BH47" i="12" s="1"/>
  <c r="BA46" i="12"/>
  <c r="BD46" i="12" s="1"/>
  <c r="L49" i="13"/>
  <c r="AU48" i="13"/>
  <c r="AQ48" i="13"/>
  <c r="AS48" i="13"/>
  <c r="T19" i="19"/>
  <c r="S19" i="19"/>
  <c r="AE19" i="19" s="1"/>
  <c r="AD20" i="19" s="1"/>
  <c r="AT20" i="19" s="1"/>
  <c r="AO48" i="12"/>
  <c r="AP48" i="12"/>
  <c r="AD98" i="3"/>
  <c r="AI98" i="3" s="1"/>
  <c r="BE98" i="3" s="1"/>
  <c r="AB98" i="17"/>
  <c r="O98" i="17"/>
  <c r="U98" i="17"/>
  <c r="AB98" i="19"/>
  <c r="O98" i="19"/>
  <c r="I98" i="17"/>
  <c r="V98" i="17"/>
  <c r="V98" i="19"/>
  <c r="U98" i="19"/>
  <c r="I98" i="19"/>
  <c r="AA98" i="17"/>
  <c r="AA98" i="19"/>
  <c r="AR97" i="19"/>
  <c r="T26" i="17"/>
  <c r="S26" i="17"/>
  <c r="W26" i="17" s="1"/>
  <c r="R27" i="17" s="1"/>
  <c r="Z94" i="14"/>
  <c r="Y94" i="14"/>
  <c r="AC94" i="14" s="1"/>
  <c r="X95" i="14" s="1"/>
  <c r="AT25" i="17"/>
  <c r="AE25" i="17"/>
  <c r="AD26" i="17" s="1"/>
  <c r="N27" i="19"/>
  <c r="M27" i="19"/>
  <c r="Q27" i="19" s="1"/>
  <c r="L28" i="19" s="1"/>
  <c r="P28" i="19"/>
  <c r="N27" i="17"/>
  <c r="P28" i="17"/>
  <c r="M27" i="17"/>
  <c r="Q27" i="17" s="1"/>
  <c r="L28" i="17" s="1"/>
  <c r="N95" i="14"/>
  <c r="M95" i="14"/>
  <c r="Q95" i="14" s="1"/>
  <c r="L96" i="14" s="1"/>
  <c r="P96" i="14"/>
  <c r="S87" i="14"/>
  <c r="AE87" i="14" s="1"/>
  <c r="AD88" i="14" s="1"/>
  <c r="AT88" i="14" s="1"/>
  <c r="T87" i="14"/>
  <c r="AZ98" i="19"/>
  <c r="C98" i="19"/>
  <c r="E99" i="19"/>
  <c r="L95" i="18"/>
  <c r="I96" i="18" s="1"/>
  <c r="J96" i="18" s="1"/>
  <c r="AR97" i="16"/>
  <c r="E99" i="16"/>
  <c r="BD98" i="16"/>
  <c r="AZ98" i="16"/>
  <c r="C98" i="16"/>
  <c r="AZ97" i="18"/>
  <c r="C97" i="18"/>
  <c r="E98" i="18"/>
  <c r="AZ97" i="17"/>
  <c r="C97" i="17"/>
  <c r="E98" i="17"/>
  <c r="O96" i="18"/>
  <c r="AU96" i="18"/>
  <c r="AS96" i="18"/>
  <c r="K96" i="18"/>
  <c r="AQ96" i="18"/>
  <c r="AZ49" i="14"/>
  <c r="BC49" i="14" s="1"/>
  <c r="BG49" i="14"/>
  <c r="H50" i="14"/>
  <c r="AW44" i="18"/>
  <c r="AX44" i="18" s="1"/>
  <c r="AY44" i="18" s="1"/>
  <c r="G45" i="18"/>
  <c r="AR45" i="18" s="1"/>
  <c r="C99" i="15"/>
  <c r="E100" i="15"/>
  <c r="AZ99" i="15"/>
  <c r="R71" i="18"/>
  <c r="Q72" i="18" s="1"/>
  <c r="AT72" i="18" s="1"/>
  <c r="AW103" i="3"/>
  <c r="AQ103" i="3"/>
  <c r="P103" i="3"/>
  <c r="P104" i="3" s="1"/>
  <c r="AE100" i="3"/>
  <c r="BC99" i="3"/>
  <c r="Y100" i="3"/>
  <c r="AC99" i="3"/>
  <c r="AH100" i="3"/>
  <c r="BD99" i="3"/>
  <c r="AG100" i="3"/>
  <c r="A101" i="3"/>
  <c r="BI101" i="3" s="1"/>
  <c r="BJ101" i="3" s="1"/>
  <c r="AV101" i="3"/>
  <c r="AX101" i="3" s="1"/>
  <c r="V101" i="3"/>
  <c r="X101" i="3" s="1"/>
  <c r="G102" i="3"/>
  <c r="AN103" i="3"/>
  <c r="AN104" i="3" s="1"/>
  <c r="AF99" i="3"/>
  <c r="AD99" i="3" s="1"/>
  <c r="H100" i="3"/>
  <c r="AM100" i="3"/>
  <c r="AG55" i="29" l="1"/>
  <c r="AF56" i="29" s="1"/>
  <c r="AC52" i="13"/>
  <c r="Z53" i="13" s="1"/>
  <c r="AT61" i="25"/>
  <c r="AE61" i="25"/>
  <c r="AD62" i="25" s="1"/>
  <c r="T62" i="25"/>
  <c r="S62" i="25"/>
  <c r="W62" i="25" s="1"/>
  <c r="R63" i="25" s="1"/>
  <c r="AZ110" i="23"/>
  <c r="BC110" i="23" s="1"/>
  <c r="AI111" i="23"/>
  <c r="AJ111" i="23" s="1"/>
  <c r="AK111" i="23" s="1"/>
  <c r="Q111" i="23"/>
  <c r="AP111" i="23"/>
  <c r="AO111" i="23"/>
  <c r="AE78" i="28"/>
  <c r="AD79" i="28" s="1"/>
  <c r="AT78" i="28"/>
  <c r="AT56" i="29"/>
  <c r="Q41" i="29"/>
  <c r="L42" i="29" s="1"/>
  <c r="V79" i="28"/>
  <c r="S79" i="28"/>
  <c r="W79" i="28" s="1"/>
  <c r="R80" i="28" s="1"/>
  <c r="T79" i="28"/>
  <c r="AR103" i="3"/>
  <c r="BB101" i="3"/>
  <c r="AM101" i="3"/>
  <c r="AR98" i="19"/>
  <c r="T53" i="24"/>
  <c r="S54" i="24" s="1"/>
  <c r="O57" i="24"/>
  <c r="N57" i="24"/>
  <c r="Y50" i="25"/>
  <c r="AG50" i="25" s="1"/>
  <c r="AF51" i="25" s="1"/>
  <c r="Z50" i="25"/>
  <c r="L53" i="24"/>
  <c r="I54" i="24" s="1"/>
  <c r="J54" i="24" s="1"/>
  <c r="AL101" i="3"/>
  <c r="P101" i="20"/>
  <c r="AQ101" i="20"/>
  <c r="AR101" i="20" s="1"/>
  <c r="O102" i="20"/>
  <c r="AK99" i="3"/>
  <c r="BG99" i="3" s="1"/>
  <c r="AN101" i="20"/>
  <c r="K98" i="15"/>
  <c r="O98" i="15"/>
  <c r="T83" i="29"/>
  <c r="S83" i="29"/>
  <c r="W83" i="29" s="1"/>
  <c r="R84" i="29" s="1"/>
  <c r="U84" i="29" s="1"/>
  <c r="H39" i="26"/>
  <c r="AI39" i="26" s="1"/>
  <c r="C97" i="29"/>
  <c r="AZ97" i="29"/>
  <c r="E98" i="29"/>
  <c r="J42" i="29"/>
  <c r="H41" i="29"/>
  <c r="AP41" i="29" s="1"/>
  <c r="AL38" i="26"/>
  <c r="AM38" i="26" s="1"/>
  <c r="AN38" i="26" s="1"/>
  <c r="AI38" i="26"/>
  <c r="AJ38" i="26" s="1"/>
  <c r="AK38" i="26" s="1"/>
  <c r="T69" i="26"/>
  <c r="S70" i="26" s="1"/>
  <c r="G41" i="29"/>
  <c r="AI41" i="29" s="1"/>
  <c r="AJ41" i="29" s="1"/>
  <c r="N70" i="26"/>
  <c r="AS97" i="26"/>
  <c r="AU97" i="26"/>
  <c r="AQ97" i="26"/>
  <c r="K97" i="26"/>
  <c r="O97" i="26"/>
  <c r="AT69" i="26"/>
  <c r="R69" i="26"/>
  <c r="Q70" i="26" s="1"/>
  <c r="J92" i="26"/>
  <c r="L92" i="26" s="1"/>
  <c r="I93" i="26" s="1"/>
  <c r="C98" i="26"/>
  <c r="AZ98" i="26"/>
  <c r="E99" i="26"/>
  <c r="AC54" i="28"/>
  <c r="X55" i="28" s="1"/>
  <c r="AB55" i="28" s="1"/>
  <c r="AS41" i="28"/>
  <c r="AU41" i="28"/>
  <c r="AQ41" i="28"/>
  <c r="AF55" i="28"/>
  <c r="AJ41" i="28"/>
  <c r="AK41" i="28" s="1"/>
  <c r="F42" i="28"/>
  <c r="I42" i="28" s="1"/>
  <c r="Q42" i="28" s="1"/>
  <c r="L43" i="28" s="1"/>
  <c r="C98" i="28"/>
  <c r="AZ98" i="28"/>
  <c r="E99" i="28"/>
  <c r="AW42" i="25"/>
  <c r="AX42" i="25" s="1"/>
  <c r="AY42" i="25" s="1"/>
  <c r="G45" i="25"/>
  <c r="K45" i="25" s="1"/>
  <c r="H45" i="25"/>
  <c r="J46" i="25"/>
  <c r="AR97" i="25"/>
  <c r="U97" i="25"/>
  <c r="V97" i="25"/>
  <c r="AA97" i="25"/>
  <c r="AB97" i="25"/>
  <c r="BA98" i="25"/>
  <c r="BB98" i="25"/>
  <c r="BC98" i="25"/>
  <c r="AI43" i="25"/>
  <c r="AU43" i="25"/>
  <c r="AS43" i="25"/>
  <c r="AQ43" i="25"/>
  <c r="BD98" i="25"/>
  <c r="C98" i="25"/>
  <c r="AZ98" i="25"/>
  <c r="E99" i="25"/>
  <c r="L44" i="25"/>
  <c r="AT54" i="24"/>
  <c r="AU97" i="24"/>
  <c r="AS97" i="24"/>
  <c r="AQ97" i="24"/>
  <c r="AW36" i="24"/>
  <c r="AX36" i="24" s="1"/>
  <c r="AY36" i="24" s="1"/>
  <c r="C98" i="24"/>
  <c r="AZ98" i="24"/>
  <c r="E99" i="24"/>
  <c r="H37" i="24"/>
  <c r="AW37" i="15"/>
  <c r="AX37" i="15" s="1"/>
  <c r="AY37" i="15" s="1"/>
  <c r="F119" i="23"/>
  <c r="I119" i="23" s="1"/>
  <c r="AR119" i="23" s="1"/>
  <c r="G38" i="15"/>
  <c r="AR38" i="15" s="1"/>
  <c r="K99" i="15"/>
  <c r="O99" i="15"/>
  <c r="AQ99" i="15"/>
  <c r="AS99" i="15"/>
  <c r="AU99" i="15"/>
  <c r="BG36" i="23"/>
  <c r="AZ36" i="23"/>
  <c r="BC36" i="23" s="1"/>
  <c r="F38" i="23"/>
  <c r="AI37" i="23"/>
  <c r="AL37" i="23"/>
  <c r="AW40" i="29"/>
  <c r="AX40" i="29" s="1"/>
  <c r="AY40" i="29" s="1"/>
  <c r="AC55" i="29"/>
  <c r="X56" i="29" s="1"/>
  <c r="I96" i="25"/>
  <c r="O96" i="25"/>
  <c r="T64" i="15"/>
  <c r="S65" i="15" s="1"/>
  <c r="AJ98" i="3"/>
  <c r="BF98" i="3" s="1"/>
  <c r="AJ99" i="3"/>
  <c r="BF99" i="3" s="1"/>
  <c r="P64" i="15"/>
  <c r="M65" i="15" s="1"/>
  <c r="N65" i="15" s="1"/>
  <c r="K84" i="14"/>
  <c r="F85" i="14" s="1"/>
  <c r="G85" i="14" s="1"/>
  <c r="AL85" i="14" s="1"/>
  <c r="AM85" i="14" s="1"/>
  <c r="AN85" i="14" s="1"/>
  <c r="AL84" i="14"/>
  <c r="AM84" i="14" s="1"/>
  <c r="AN84" i="14" s="1"/>
  <c r="AP84" i="14"/>
  <c r="BG82" i="14"/>
  <c r="AV83" i="14"/>
  <c r="AZ83" i="14" s="1"/>
  <c r="BC83" i="14" s="1"/>
  <c r="AW48" i="13"/>
  <c r="BH48" i="13" s="1"/>
  <c r="AO14" i="17"/>
  <c r="Z22" i="17"/>
  <c r="Y22" i="17"/>
  <c r="AC22" i="17" s="1"/>
  <c r="X23" i="17" s="1"/>
  <c r="AG21" i="17"/>
  <c r="AF22" i="17" s="1"/>
  <c r="AL14" i="17"/>
  <c r="AM14" i="17" s="1"/>
  <c r="AN14" i="17" s="1"/>
  <c r="AQ14" i="17"/>
  <c r="AU14" i="17"/>
  <c r="AS14" i="17"/>
  <c r="G15" i="17"/>
  <c r="AL15" i="17" s="1"/>
  <c r="AM15" i="17" s="1"/>
  <c r="AN15" i="17" s="1"/>
  <c r="AQ13" i="19"/>
  <c r="H15" i="17"/>
  <c r="AO15" i="17" s="1"/>
  <c r="AU13" i="19"/>
  <c r="AI14" i="17"/>
  <c r="AJ14" i="17" s="1"/>
  <c r="AK14" i="17" s="1"/>
  <c r="F14" i="19"/>
  <c r="G14" i="19" s="1"/>
  <c r="AL14" i="19" s="1"/>
  <c r="AM14" i="19" s="1"/>
  <c r="AN14" i="19" s="1"/>
  <c r="BA47" i="12"/>
  <c r="BD47" i="12" s="1"/>
  <c r="J50" i="12"/>
  <c r="Y24" i="19"/>
  <c r="AC24" i="19" s="1"/>
  <c r="X25" i="19" s="1"/>
  <c r="Z24" i="19"/>
  <c r="G49" i="12"/>
  <c r="K49" i="12" s="1"/>
  <c r="F50" i="12" s="1"/>
  <c r="AQ48" i="12"/>
  <c r="H49" i="12"/>
  <c r="AS48" i="12"/>
  <c r="AU48" i="12"/>
  <c r="W19" i="19"/>
  <c r="R20" i="19" s="1"/>
  <c r="S20" i="19" s="1"/>
  <c r="AE20" i="19" s="1"/>
  <c r="AD21" i="19" s="1"/>
  <c r="AT21" i="19" s="1"/>
  <c r="P50" i="13"/>
  <c r="M49" i="13"/>
  <c r="AI49" i="13" s="1"/>
  <c r="AJ49" i="13" s="1"/>
  <c r="AK49" i="13" s="1"/>
  <c r="N49" i="13"/>
  <c r="AG94" i="14"/>
  <c r="AF95" i="14" s="1"/>
  <c r="W87" i="14"/>
  <c r="R88" i="14" s="1"/>
  <c r="T88" i="14" s="1"/>
  <c r="M28" i="17"/>
  <c r="Q28" i="17" s="1"/>
  <c r="L29" i="17" s="1"/>
  <c r="P29" i="17"/>
  <c r="N28" i="17"/>
  <c r="AT26" i="17"/>
  <c r="AE26" i="17"/>
  <c r="AD27" i="17" s="1"/>
  <c r="V99" i="17"/>
  <c r="O99" i="17"/>
  <c r="U99" i="19"/>
  <c r="AB99" i="17"/>
  <c r="I99" i="17"/>
  <c r="O99" i="19"/>
  <c r="AA99" i="17"/>
  <c r="AB99" i="19"/>
  <c r="I99" i="19"/>
  <c r="AA99" i="19"/>
  <c r="U99" i="17"/>
  <c r="V99" i="19"/>
  <c r="Z95" i="14"/>
  <c r="Y95" i="14"/>
  <c r="AC95" i="14" s="1"/>
  <c r="X96" i="14" s="1"/>
  <c r="S27" i="17"/>
  <c r="W27" i="17" s="1"/>
  <c r="R28" i="17" s="1"/>
  <c r="T27" i="17"/>
  <c r="N96" i="14"/>
  <c r="M96" i="14"/>
  <c r="Q96" i="14" s="1"/>
  <c r="L97" i="14" s="1"/>
  <c r="P97" i="14"/>
  <c r="P29" i="19"/>
  <c r="M28" i="19"/>
  <c r="Q28" i="19" s="1"/>
  <c r="L29" i="19" s="1"/>
  <c r="N28" i="19"/>
  <c r="AZ99" i="19"/>
  <c r="C99" i="19"/>
  <c r="E100" i="19"/>
  <c r="L96" i="18"/>
  <c r="I97" i="18" s="1"/>
  <c r="J97" i="18" s="1"/>
  <c r="BD99" i="16"/>
  <c r="C99" i="16"/>
  <c r="AZ99" i="16"/>
  <c r="E100" i="16"/>
  <c r="AR98" i="16"/>
  <c r="C98" i="17"/>
  <c r="AZ98" i="17"/>
  <c r="E99" i="17"/>
  <c r="C98" i="18"/>
  <c r="E99" i="18"/>
  <c r="AZ98" i="18"/>
  <c r="O97" i="18"/>
  <c r="AS97" i="18"/>
  <c r="AQ97" i="18"/>
  <c r="K97" i="18"/>
  <c r="AU97" i="18"/>
  <c r="F51" i="14"/>
  <c r="AI50" i="14"/>
  <c r="AL50" i="14"/>
  <c r="AZ100" i="15"/>
  <c r="E101" i="15"/>
  <c r="C100" i="15"/>
  <c r="H45" i="18"/>
  <c r="T71" i="18"/>
  <c r="S72" i="18" s="1"/>
  <c r="P71" i="18"/>
  <c r="M72" i="18" s="1"/>
  <c r="N72" i="18" s="1"/>
  <c r="L68" i="15"/>
  <c r="I69" i="15" s="1"/>
  <c r="J69" i="15" s="1"/>
  <c r="AN105" i="3"/>
  <c r="AG101" i="3"/>
  <c r="Y101" i="3"/>
  <c r="AC100" i="3"/>
  <c r="P105" i="3"/>
  <c r="AV102" i="3"/>
  <c r="AX102" i="3" s="1"/>
  <c r="G103" i="3"/>
  <c r="V102" i="3"/>
  <c r="X102" i="3" s="1"/>
  <c r="A102" i="3"/>
  <c r="BI102" i="3" s="1"/>
  <c r="BJ102" i="3" s="1"/>
  <c r="H101" i="3"/>
  <c r="AF100" i="3"/>
  <c r="AD100" i="3" s="1"/>
  <c r="AH101" i="3"/>
  <c r="BD100" i="3"/>
  <c r="AQ104" i="3"/>
  <c r="AI99" i="3"/>
  <c r="BE99" i="3" s="1"/>
  <c r="AE101" i="3"/>
  <c r="BC100" i="3"/>
  <c r="AW104" i="3"/>
  <c r="Y53" i="13" l="1"/>
  <c r="AT62" i="25"/>
  <c r="AE62" i="25"/>
  <c r="AD63" i="25" s="1"/>
  <c r="T63" i="25"/>
  <c r="S63" i="25"/>
  <c r="W63" i="25" s="1"/>
  <c r="R64" i="25" s="1"/>
  <c r="L112" i="23"/>
  <c r="AQ111" i="23"/>
  <c r="AU111" i="23"/>
  <c r="AS111" i="23"/>
  <c r="AE79" i="28"/>
  <c r="AD80" i="28" s="1"/>
  <c r="AT79" i="28"/>
  <c r="O42" i="29"/>
  <c r="N42" i="29"/>
  <c r="M42" i="29"/>
  <c r="P43" i="29"/>
  <c r="V80" i="28"/>
  <c r="S80" i="28"/>
  <c r="W80" i="28" s="1"/>
  <c r="R81" i="28" s="1"/>
  <c r="T80" i="28"/>
  <c r="M43" i="28"/>
  <c r="O43" i="28"/>
  <c r="N43" i="28"/>
  <c r="P44" i="28"/>
  <c r="Z56" i="29"/>
  <c r="AA56" i="29"/>
  <c r="AE56" i="29" s="1"/>
  <c r="AD57" i="29" s="1"/>
  <c r="AR104" i="3"/>
  <c r="BB102" i="3"/>
  <c r="AM102" i="3"/>
  <c r="AC50" i="25"/>
  <c r="X51" i="25" s="1"/>
  <c r="Z51" i="25" s="1"/>
  <c r="P57" i="24"/>
  <c r="M58" i="24" s="1"/>
  <c r="AL102" i="3"/>
  <c r="AO49" i="12"/>
  <c r="AQ102" i="20"/>
  <c r="AR102" i="20" s="1"/>
  <c r="O103" i="20"/>
  <c r="P102" i="20"/>
  <c r="AN102" i="20"/>
  <c r="AK100" i="3"/>
  <c r="BG100" i="3" s="1"/>
  <c r="AL49" i="12"/>
  <c r="AM49" i="12" s="1"/>
  <c r="AN49" i="12" s="1"/>
  <c r="AW38" i="26"/>
  <c r="AX38" i="26" s="1"/>
  <c r="AY38" i="26" s="1"/>
  <c r="T84" i="29"/>
  <c r="S84" i="29"/>
  <c r="W84" i="29" s="1"/>
  <c r="R85" i="29" s="1"/>
  <c r="U85" i="29" s="1"/>
  <c r="F40" i="26"/>
  <c r="G40" i="26" s="1"/>
  <c r="AR40" i="26" s="1"/>
  <c r="AL39" i="26"/>
  <c r="AM39" i="26" s="1"/>
  <c r="AN39" i="26" s="1"/>
  <c r="AZ98" i="29"/>
  <c r="C98" i="29"/>
  <c r="E99" i="29"/>
  <c r="T70" i="26"/>
  <c r="S71" i="26" s="1"/>
  <c r="AO41" i="29"/>
  <c r="AL41" i="29"/>
  <c r="Y56" i="29"/>
  <c r="P70" i="26"/>
  <c r="M71" i="26" s="1"/>
  <c r="N71" i="26" s="1"/>
  <c r="J93" i="26"/>
  <c r="L93" i="26" s="1"/>
  <c r="I94" i="26" s="1"/>
  <c r="AJ39" i="26"/>
  <c r="AK39" i="26" s="1"/>
  <c r="AT70" i="26"/>
  <c r="R70" i="26"/>
  <c r="Q71" i="26" s="1"/>
  <c r="K98" i="26"/>
  <c r="O98" i="26"/>
  <c r="AS98" i="26"/>
  <c r="AU98" i="26"/>
  <c r="AQ98" i="26"/>
  <c r="AZ99" i="26"/>
  <c r="C99" i="26"/>
  <c r="E100" i="26"/>
  <c r="Z55" i="28"/>
  <c r="Y55" i="28"/>
  <c r="AC55" i="28" s="1"/>
  <c r="X56" i="28" s="1"/>
  <c r="AB56" i="28" s="1"/>
  <c r="H42" i="28"/>
  <c r="AP42" i="28" s="1"/>
  <c r="J43" i="28"/>
  <c r="G42" i="28"/>
  <c r="AL42" i="28" s="1"/>
  <c r="AZ99" i="28"/>
  <c r="C99" i="28"/>
  <c r="E100" i="28"/>
  <c r="F46" i="25"/>
  <c r="AR98" i="25"/>
  <c r="U98" i="25"/>
  <c r="V98" i="25"/>
  <c r="AA98" i="25"/>
  <c r="AB98" i="25"/>
  <c r="BA99" i="25"/>
  <c r="BB99" i="25"/>
  <c r="BC99" i="25"/>
  <c r="AJ43" i="25"/>
  <c r="AK43" i="25" s="1"/>
  <c r="AW43" i="25" s="1"/>
  <c r="AX43" i="25" s="1"/>
  <c r="AY43" i="25" s="1"/>
  <c r="BD99" i="25"/>
  <c r="C99" i="25"/>
  <c r="AZ99" i="25"/>
  <c r="E100" i="25"/>
  <c r="N44" i="25"/>
  <c r="AP44" i="25" s="1"/>
  <c r="P45" i="25"/>
  <c r="M44" i="25"/>
  <c r="AL44" i="25" s="1"/>
  <c r="AQ98" i="24"/>
  <c r="AS98" i="24"/>
  <c r="AU98" i="24"/>
  <c r="C99" i="24"/>
  <c r="AZ99" i="24"/>
  <c r="E100" i="24"/>
  <c r="F38" i="24"/>
  <c r="AI37" i="24"/>
  <c r="AL37" i="24"/>
  <c r="K54" i="24"/>
  <c r="L54" i="24" s="1"/>
  <c r="H119" i="23"/>
  <c r="G119" i="23"/>
  <c r="K119" i="23" s="1"/>
  <c r="F120" i="23" s="1"/>
  <c r="I120" i="23" s="1"/>
  <c r="AR120" i="23" s="1"/>
  <c r="J120" i="23"/>
  <c r="H38" i="15"/>
  <c r="O100" i="15"/>
  <c r="AQ100" i="15"/>
  <c r="AS100" i="15"/>
  <c r="AU100" i="15"/>
  <c r="K100" i="15"/>
  <c r="G38" i="23"/>
  <c r="AR38" i="23" s="1"/>
  <c r="AJ37" i="23"/>
  <c r="AK37" i="23" s="1"/>
  <c r="AM37" i="23"/>
  <c r="AN37" i="23" s="1"/>
  <c r="K41" i="29"/>
  <c r="AW41" i="28"/>
  <c r="AX41" i="28" s="1"/>
  <c r="AY41" i="28" s="1"/>
  <c r="O97" i="25"/>
  <c r="I97" i="25"/>
  <c r="AJ100" i="3"/>
  <c r="BF100" i="3" s="1"/>
  <c r="R65" i="15"/>
  <c r="Q66" i="15" s="1"/>
  <c r="AT66" i="15" s="1"/>
  <c r="AI85" i="14"/>
  <c r="AJ85" i="14" s="1"/>
  <c r="AK85" i="14" s="1"/>
  <c r="AQ84" i="14"/>
  <c r="H85" i="14"/>
  <c r="AP85" i="14" s="1"/>
  <c r="AU84" i="14"/>
  <c r="J86" i="14"/>
  <c r="AS84" i="14"/>
  <c r="K85" i="14"/>
  <c r="F86" i="14" s="1"/>
  <c r="G86" i="14" s="1"/>
  <c r="K86" i="14" s="1"/>
  <c r="F87" i="14" s="1"/>
  <c r="BG83" i="14"/>
  <c r="AW13" i="19"/>
  <c r="BA48" i="13"/>
  <c r="BD48" i="13" s="1"/>
  <c r="AW48" i="12"/>
  <c r="BH48" i="12" s="1"/>
  <c r="AW14" i="17"/>
  <c r="AG22" i="17"/>
  <c r="AF23" i="17" s="1"/>
  <c r="K15" i="17"/>
  <c r="AS15" i="17" s="1"/>
  <c r="Y23" i="17"/>
  <c r="AC23" i="17" s="1"/>
  <c r="X24" i="17" s="1"/>
  <c r="Z23" i="17"/>
  <c r="AI15" i="17"/>
  <c r="AJ15" i="17" s="1"/>
  <c r="AK15" i="17" s="1"/>
  <c r="AR99" i="19"/>
  <c r="AP15" i="17"/>
  <c r="J15" i="19"/>
  <c r="H14" i="19"/>
  <c r="AP14" i="19" s="1"/>
  <c r="AI49" i="12"/>
  <c r="AJ49" i="12" s="1"/>
  <c r="AK49" i="12" s="1"/>
  <c r="S88" i="14"/>
  <c r="AE88" i="14" s="1"/>
  <c r="AD89" i="14" s="1"/>
  <c r="AT89" i="14" s="1"/>
  <c r="Y25" i="19"/>
  <c r="AC25" i="19" s="1"/>
  <c r="X26" i="19" s="1"/>
  <c r="Z25" i="19"/>
  <c r="AG24" i="19"/>
  <c r="AF25" i="19" s="1"/>
  <c r="W20" i="19"/>
  <c r="R21" i="19" s="1"/>
  <c r="T21" i="19" s="1"/>
  <c r="AP49" i="12"/>
  <c r="K14" i="19"/>
  <c r="AS14" i="19" s="1"/>
  <c r="T20" i="19"/>
  <c r="AI14" i="19"/>
  <c r="AJ14" i="19" s="1"/>
  <c r="AK14" i="19" s="1"/>
  <c r="Q49" i="13"/>
  <c r="AL49" i="13"/>
  <c r="AM49" i="13" s="1"/>
  <c r="AN49" i="13" s="1"/>
  <c r="AP49" i="13"/>
  <c r="AO49" i="13"/>
  <c r="AB100" i="17"/>
  <c r="O100" i="17"/>
  <c r="I100" i="17"/>
  <c r="V100" i="19"/>
  <c r="AA100" i="17"/>
  <c r="U100" i="17"/>
  <c r="AA100" i="19"/>
  <c r="U100" i="19"/>
  <c r="V100" i="17"/>
  <c r="AB100" i="19"/>
  <c r="I100" i="19"/>
  <c r="O100" i="19"/>
  <c r="M29" i="19"/>
  <c r="Q29" i="19" s="1"/>
  <c r="L30" i="19" s="1"/>
  <c r="N29" i="19"/>
  <c r="P30" i="19"/>
  <c r="N97" i="14"/>
  <c r="M97" i="14"/>
  <c r="Q97" i="14" s="1"/>
  <c r="L98" i="14" s="1"/>
  <c r="P98" i="14"/>
  <c r="Y96" i="14"/>
  <c r="AC96" i="14" s="1"/>
  <c r="X97" i="14" s="1"/>
  <c r="Z96" i="14"/>
  <c r="P30" i="17"/>
  <c r="M29" i="17"/>
  <c r="Q29" i="17" s="1"/>
  <c r="L30" i="17" s="1"/>
  <c r="N29" i="17"/>
  <c r="AT27" i="17"/>
  <c r="AE27" i="17"/>
  <c r="AD28" i="17" s="1"/>
  <c r="T28" i="17"/>
  <c r="S28" i="17"/>
  <c r="W28" i="17" s="1"/>
  <c r="R29" i="17" s="1"/>
  <c r="AG95" i="14"/>
  <c r="AF96" i="14" s="1"/>
  <c r="AZ100" i="19"/>
  <c r="C100" i="19"/>
  <c r="E101" i="19"/>
  <c r="AR99" i="16"/>
  <c r="AZ100" i="16"/>
  <c r="BD100" i="16"/>
  <c r="E101" i="16"/>
  <c r="C100" i="16"/>
  <c r="L97" i="18"/>
  <c r="I98" i="18" s="1"/>
  <c r="J98" i="18" s="1"/>
  <c r="AZ99" i="18"/>
  <c r="C99" i="18"/>
  <c r="E100" i="18"/>
  <c r="K98" i="18"/>
  <c r="AS98" i="18"/>
  <c r="AU98" i="18"/>
  <c r="AQ98" i="18"/>
  <c r="O98" i="18"/>
  <c r="C99" i="17"/>
  <c r="E100" i="17"/>
  <c r="AZ99" i="17"/>
  <c r="AM50" i="14"/>
  <c r="AN50" i="14" s="1"/>
  <c r="AJ50" i="14"/>
  <c r="AK50" i="14" s="1"/>
  <c r="G51" i="14"/>
  <c r="AR51" i="14" s="1"/>
  <c r="F46" i="18"/>
  <c r="AL45" i="18"/>
  <c r="AI45" i="18"/>
  <c r="AJ45" i="18" s="1"/>
  <c r="AK45" i="18" s="1"/>
  <c r="AZ101" i="15"/>
  <c r="E102" i="15"/>
  <c r="C101" i="15"/>
  <c r="P72" i="18"/>
  <c r="M73" i="18" s="1"/>
  <c r="N73" i="18" s="1"/>
  <c r="R72" i="18"/>
  <c r="Q73" i="18" s="1"/>
  <c r="AT73" i="18" s="1"/>
  <c r="T72" i="18"/>
  <c r="S73" i="18" s="1"/>
  <c r="BD101" i="3"/>
  <c r="AH102" i="3"/>
  <c r="G104" i="3"/>
  <c r="AV103" i="3"/>
  <c r="AX103" i="3" s="1"/>
  <c r="V103" i="3"/>
  <c r="X103" i="3" s="1"/>
  <c r="P106" i="3"/>
  <c r="AG102" i="3"/>
  <c r="A103" i="3"/>
  <c r="BI103" i="3" s="1"/>
  <c r="BJ103" i="3" s="1"/>
  <c r="AI100" i="3"/>
  <c r="BE100" i="3" s="1"/>
  <c r="BC101" i="3"/>
  <c r="AE102" i="3"/>
  <c r="AQ105" i="3"/>
  <c r="Y102" i="3"/>
  <c r="AC101" i="3"/>
  <c r="AW105" i="3"/>
  <c r="H102" i="3"/>
  <c r="AF101" i="3"/>
  <c r="AD101" i="3" s="1"/>
  <c r="S64" i="25" l="1"/>
  <c r="W64" i="25" s="1"/>
  <c r="R65" i="25" s="1"/>
  <c r="T64" i="25"/>
  <c r="AT63" i="25"/>
  <c r="AE63" i="25"/>
  <c r="AD64" i="25" s="1"/>
  <c r="AV111" i="23"/>
  <c r="AZ111" i="23" s="1"/>
  <c r="BC111" i="23" s="1"/>
  <c r="N112" i="23"/>
  <c r="M112" i="23"/>
  <c r="AL112" i="23" s="1"/>
  <c r="AM112" i="23" s="1"/>
  <c r="AN112" i="23" s="1"/>
  <c r="P113" i="23"/>
  <c r="O112" i="23"/>
  <c r="AG56" i="29"/>
  <c r="AF57" i="29" s="1"/>
  <c r="AT80" i="28"/>
  <c r="AE80" i="28"/>
  <c r="AD81" i="28" s="1"/>
  <c r="V81" i="28"/>
  <c r="T81" i="28"/>
  <c r="S81" i="28"/>
  <c r="W81" i="28" s="1"/>
  <c r="R82" i="28" s="1"/>
  <c r="V82" i="28" s="1"/>
  <c r="AT57" i="29"/>
  <c r="AR105" i="3"/>
  <c r="BB103" i="3"/>
  <c r="Y51" i="25"/>
  <c r="AG51" i="25" s="1"/>
  <c r="AF52" i="25" s="1"/>
  <c r="O58" i="24"/>
  <c r="N58" i="24"/>
  <c r="AM103" i="3"/>
  <c r="AL103" i="3"/>
  <c r="AN103" i="20"/>
  <c r="P103" i="20"/>
  <c r="O104" i="20"/>
  <c r="AQ103" i="20"/>
  <c r="AR103" i="20" s="1"/>
  <c r="AK101" i="3"/>
  <c r="BG101" i="3" s="1"/>
  <c r="AW39" i="26"/>
  <c r="AX39" i="26" s="1"/>
  <c r="AY39" i="26" s="1"/>
  <c r="T85" i="29"/>
  <c r="S85" i="29"/>
  <c r="W85" i="29" s="1"/>
  <c r="R86" i="29" s="1"/>
  <c r="U86" i="29" s="1"/>
  <c r="F42" i="29"/>
  <c r="I42" i="29" s="1"/>
  <c r="AR42" i="29" s="1"/>
  <c r="AS41" i="29"/>
  <c r="AU41" i="29"/>
  <c r="AQ41" i="29"/>
  <c r="AM41" i="29"/>
  <c r="AN41" i="29" s="1"/>
  <c r="AZ99" i="29"/>
  <c r="C99" i="29"/>
  <c r="E100" i="29"/>
  <c r="P71" i="26"/>
  <c r="M72" i="26" s="1"/>
  <c r="N72" i="26" s="1"/>
  <c r="T71" i="26"/>
  <c r="S72" i="26" s="1"/>
  <c r="J94" i="26"/>
  <c r="L94" i="26" s="1"/>
  <c r="I95" i="26" s="1"/>
  <c r="AT71" i="26"/>
  <c r="R71" i="26"/>
  <c r="Q72" i="26" s="1"/>
  <c r="H40" i="26"/>
  <c r="K99" i="26"/>
  <c r="O99" i="26"/>
  <c r="AQ99" i="26"/>
  <c r="AS99" i="26"/>
  <c r="AU99" i="26"/>
  <c r="C100" i="26"/>
  <c r="AZ100" i="26"/>
  <c r="E101" i="26"/>
  <c r="Z56" i="28"/>
  <c r="Y56" i="28"/>
  <c r="AC56" i="28" s="1"/>
  <c r="X57" i="28" s="1"/>
  <c r="AB57" i="28" s="1"/>
  <c r="AG55" i="28"/>
  <c r="AF56" i="28" s="1"/>
  <c r="AO42" i="28"/>
  <c r="AI42" i="28"/>
  <c r="AJ42" i="28" s="1"/>
  <c r="AK42" i="28" s="1"/>
  <c r="AZ100" i="28"/>
  <c r="C100" i="28"/>
  <c r="E101" i="28"/>
  <c r="G46" i="25"/>
  <c r="K46" i="25" s="1"/>
  <c r="J47" i="25"/>
  <c r="H46" i="25"/>
  <c r="AR99" i="25"/>
  <c r="U99" i="25"/>
  <c r="V99" i="25"/>
  <c r="AA99" i="25"/>
  <c r="AB99" i="25"/>
  <c r="BA100" i="25"/>
  <c r="BB100" i="25"/>
  <c r="BC100" i="25"/>
  <c r="AO44" i="25"/>
  <c r="C100" i="25"/>
  <c r="BD100" i="25"/>
  <c r="AZ100" i="25"/>
  <c r="E101" i="25"/>
  <c r="AM44" i="25"/>
  <c r="AN44" i="25" s="1"/>
  <c r="Q44" i="25"/>
  <c r="AQ99" i="24"/>
  <c r="AS99" i="24"/>
  <c r="AU99" i="24"/>
  <c r="C100" i="24"/>
  <c r="AZ100" i="24"/>
  <c r="E101" i="24"/>
  <c r="G38" i="24"/>
  <c r="AJ37" i="24"/>
  <c r="AK37" i="24" s="1"/>
  <c r="AM37" i="24"/>
  <c r="AN37" i="24" s="1"/>
  <c r="R54" i="24"/>
  <c r="Q55" i="24" s="1"/>
  <c r="T54" i="24"/>
  <c r="S55" i="24" s="1"/>
  <c r="I55" i="24"/>
  <c r="H120" i="23"/>
  <c r="J121" i="23"/>
  <c r="G120" i="23"/>
  <c r="K120" i="23" s="1"/>
  <c r="F39" i="15"/>
  <c r="AI38" i="15"/>
  <c r="AJ38" i="15" s="1"/>
  <c r="AK38" i="15" s="1"/>
  <c r="AL38" i="15"/>
  <c r="AM38" i="15" s="1"/>
  <c r="AN38" i="15" s="1"/>
  <c r="K101" i="15"/>
  <c r="AS101" i="15"/>
  <c r="AU101" i="15"/>
  <c r="AQ101" i="15"/>
  <c r="O101" i="15"/>
  <c r="AV37" i="23"/>
  <c r="AZ37" i="23" s="1"/>
  <c r="BC37" i="23" s="1"/>
  <c r="H38" i="23"/>
  <c r="K42" i="28"/>
  <c r="AK41" i="29"/>
  <c r="AC56" i="29"/>
  <c r="X57" i="29" s="1"/>
  <c r="O98" i="25"/>
  <c r="I98" i="25"/>
  <c r="T65" i="15"/>
  <c r="S66" i="15" s="1"/>
  <c r="P65" i="15"/>
  <c r="M66" i="15" s="1"/>
  <c r="N66" i="15" s="1"/>
  <c r="AJ101" i="3"/>
  <c r="BF101" i="3" s="1"/>
  <c r="AV84" i="14"/>
  <c r="AZ84" i="14" s="1"/>
  <c r="BC84" i="14" s="1"/>
  <c r="AO85" i="14"/>
  <c r="J87" i="14"/>
  <c r="AU85" i="14"/>
  <c r="H86" i="14"/>
  <c r="AP86" i="14" s="1"/>
  <c r="AQ85" i="14"/>
  <c r="AS85" i="14"/>
  <c r="F16" i="17"/>
  <c r="G16" i="17" s="1"/>
  <c r="BA48" i="12"/>
  <c r="BD48" i="12" s="1"/>
  <c r="AQ14" i="19"/>
  <c r="AO14" i="19"/>
  <c r="AQ15" i="17"/>
  <c r="AU15" i="17"/>
  <c r="Y24" i="17"/>
  <c r="AC24" i="17" s="1"/>
  <c r="X25" i="17" s="1"/>
  <c r="Z24" i="17"/>
  <c r="AG23" i="17"/>
  <c r="AF24" i="17" s="1"/>
  <c r="AR100" i="19"/>
  <c r="W88" i="14"/>
  <c r="R89" i="14" s="1"/>
  <c r="S89" i="14" s="1"/>
  <c r="AE89" i="14" s="1"/>
  <c r="AD90" i="14" s="1"/>
  <c r="AT90" i="14" s="1"/>
  <c r="AG25" i="19"/>
  <c r="AF26" i="19" s="1"/>
  <c r="S21" i="19"/>
  <c r="AE21" i="19" s="1"/>
  <c r="AD22" i="19" s="1"/>
  <c r="Y26" i="19"/>
  <c r="AC26" i="19" s="1"/>
  <c r="X27" i="19" s="1"/>
  <c r="Z26" i="19"/>
  <c r="AQ49" i="12"/>
  <c r="AS49" i="12"/>
  <c r="AU49" i="12"/>
  <c r="AU14" i="19"/>
  <c r="L69" i="15"/>
  <c r="I70" i="15" s="1"/>
  <c r="J70" i="15" s="1"/>
  <c r="AQ86" i="14"/>
  <c r="AG96" i="14"/>
  <c r="AF97" i="14" s="1"/>
  <c r="F15" i="19"/>
  <c r="G15" i="19" s="1"/>
  <c r="AQ49" i="13"/>
  <c r="L50" i="13"/>
  <c r="AU49" i="13"/>
  <c r="AS49" i="13"/>
  <c r="P31" i="17"/>
  <c r="N30" i="17"/>
  <c r="M30" i="17"/>
  <c r="Q30" i="17" s="1"/>
  <c r="L31" i="17" s="1"/>
  <c r="AI86" i="14"/>
  <c r="AJ86" i="14" s="1"/>
  <c r="AK86" i="14" s="1"/>
  <c r="V101" i="17"/>
  <c r="AB101" i="17"/>
  <c r="I101" i="17"/>
  <c r="AA101" i="19"/>
  <c r="I101" i="19"/>
  <c r="AA101" i="17"/>
  <c r="U101" i="19"/>
  <c r="U101" i="17"/>
  <c r="O101" i="19"/>
  <c r="AB101" i="19"/>
  <c r="V101" i="19"/>
  <c r="O101" i="17"/>
  <c r="S29" i="17"/>
  <c r="W29" i="17" s="1"/>
  <c r="R30" i="17" s="1"/>
  <c r="T29" i="17"/>
  <c r="G87" i="14"/>
  <c r="K87" i="14" s="1"/>
  <c r="F88" i="14" s="1"/>
  <c r="J88" i="14"/>
  <c r="H87" i="14"/>
  <c r="P31" i="19"/>
  <c r="M30" i="19"/>
  <c r="Q30" i="19" s="1"/>
  <c r="L31" i="19" s="1"/>
  <c r="N30" i="19"/>
  <c r="Z97" i="14"/>
  <c r="Y97" i="14"/>
  <c r="AC97" i="14" s="1"/>
  <c r="X98" i="14" s="1"/>
  <c r="AL86" i="14"/>
  <c r="AM86" i="14" s="1"/>
  <c r="AN86" i="14" s="1"/>
  <c r="AS86" i="14"/>
  <c r="AT28" i="17"/>
  <c r="AE28" i="17"/>
  <c r="AD29" i="17" s="1"/>
  <c r="P99" i="14"/>
  <c r="M98" i="14"/>
  <c r="Q98" i="14" s="1"/>
  <c r="L99" i="14" s="1"/>
  <c r="N98" i="14"/>
  <c r="AU86" i="14"/>
  <c r="E102" i="19"/>
  <c r="C101" i="19"/>
  <c r="AZ101" i="19"/>
  <c r="AR100" i="16"/>
  <c r="C101" i="16"/>
  <c r="AZ101" i="16"/>
  <c r="E102" i="16"/>
  <c r="BD101" i="16"/>
  <c r="L98" i="18"/>
  <c r="I99" i="18" s="1"/>
  <c r="J99" i="18" s="1"/>
  <c r="E101" i="17"/>
  <c r="AZ100" i="17"/>
  <c r="C100" i="17"/>
  <c r="K99" i="18"/>
  <c r="AQ99" i="18"/>
  <c r="O99" i="18"/>
  <c r="AU99" i="18"/>
  <c r="AS99" i="18"/>
  <c r="C100" i="18"/>
  <c r="E101" i="18"/>
  <c r="AZ100" i="18"/>
  <c r="H51" i="14"/>
  <c r="AL51" i="14" s="1"/>
  <c r="AV50" i="14"/>
  <c r="AZ102" i="15"/>
  <c r="E103" i="15"/>
  <c r="C102" i="15"/>
  <c r="G46" i="18"/>
  <c r="AR46" i="18" s="1"/>
  <c r="AM45" i="18"/>
  <c r="AN45" i="18" s="1"/>
  <c r="AW45" i="18" s="1"/>
  <c r="AX45" i="18" s="1"/>
  <c r="AY45" i="18" s="1"/>
  <c r="P73" i="18"/>
  <c r="M74" i="18" s="1"/>
  <c r="N74" i="18" s="1"/>
  <c r="T73" i="18"/>
  <c r="S74" i="18" s="1"/>
  <c r="R73" i="18"/>
  <c r="Q74" i="18" s="1"/>
  <c r="AT74" i="18" s="1"/>
  <c r="A104" i="3"/>
  <c r="BI104" i="3" s="1"/>
  <c r="BJ104" i="3" s="1"/>
  <c r="AW106" i="3"/>
  <c r="AQ106" i="3"/>
  <c r="AN106" i="3"/>
  <c r="AN107" i="3" s="1"/>
  <c r="AH103" i="3"/>
  <c r="BD102" i="3"/>
  <c r="AI101" i="3"/>
  <c r="BE101" i="3" s="1"/>
  <c r="H103" i="3"/>
  <c r="AF102" i="3"/>
  <c r="AD102" i="3" s="1"/>
  <c r="Y103" i="3"/>
  <c r="AC102" i="3"/>
  <c r="AE103" i="3"/>
  <c r="BC102" i="3"/>
  <c r="AG103" i="3"/>
  <c r="AV104" i="3"/>
  <c r="AX104" i="3" s="1"/>
  <c r="G105" i="3"/>
  <c r="V104" i="3"/>
  <c r="X104" i="3" s="1"/>
  <c r="F121" i="23" l="1"/>
  <c r="I121" i="23" s="1"/>
  <c r="AR121" i="23" s="1"/>
  <c r="AW120" i="23"/>
  <c r="BA120" i="23" s="1"/>
  <c r="AT64" i="25"/>
  <c r="AE64" i="25"/>
  <c r="AD65" i="25" s="1"/>
  <c r="S65" i="25"/>
  <c r="W65" i="25" s="1"/>
  <c r="R66" i="25" s="1"/>
  <c r="T65" i="25"/>
  <c r="S82" i="28"/>
  <c r="W82" i="28" s="1"/>
  <c r="R83" i="28" s="1"/>
  <c r="V83" i="28" s="1"/>
  <c r="T82" i="28"/>
  <c r="BG111" i="23"/>
  <c r="AO112" i="23"/>
  <c r="AP112" i="23"/>
  <c r="AI112" i="23"/>
  <c r="AJ112" i="23" s="1"/>
  <c r="AK112" i="23" s="1"/>
  <c r="Q112" i="23"/>
  <c r="Q42" i="29"/>
  <c r="L43" i="29" s="1"/>
  <c r="N43" i="29" s="1"/>
  <c r="AT81" i="28"/>
  <c r="AE81" i="28"/>
  <c r="AD82" i="28" s="1"/>
  <c r="AT82" i="28" s="1"/>
  <c r="Z57" i="29"/>
  <c r="AA57" i="29"/>
  <c r="AE57" i="29" s="1"/>
  <c r="AD58" i="29" s="1"/>
  <c r="AR106" i="3"/>
  <c r="BB104" i="3"/>
  <c r="P58" i="24"/>
  <c r="M59" i="24" s="1"/>
  <c r="N59" i="24" s="1"/>
  <c r="AC51" i="25"/>
  <c r="X52" i="25" s="1"/>
  <c r="Y52" i="25" s="1"/>
  <c r="AG52" i="25" s="1"/>
  <c r="AF53" i="25" s="1"/>
  <c r="K55" i="24"/>
  <c r="T55" i="24" s="1"/>
  <c r="S56" i="24" s="1"/>
  <c r="J55" i="24"/>
  <c r="AN104" i="20"/>
  <c r="P104" i="20"/>
  <c r="AQ104" i="20"/>
  <c r="AR104" i="20" s="1"/>
  <c r="O105" i="20"/>
  <c r="AK102" i="3"/>
  <c r="BG102" i="3" s="1"/>
  <c r="T86" i="29"/>
  <c r="S86" i="29"/>
  <c r="W86" i="29" s="1"/>
  <c r="R87" i="29" s="1"/>
  <c r="U87" i="29" s="1"/>
  <c r="J43" i="29"/>
  <c r="H42" i="29"/>
  <c r="AP42" i="29" s="1"/>
  <c r="AZ100" i="29"/>
  <c r="C100" i="29"/>
  <c r="E101" i="29"/>
  <c r="Y57" i="29"/>
  <c r="G42" i="29"/>
  <c r="AI42" i="29" s="1"/>
  <c r="T72" i="26"/>
  <c r="S73" i="26" s="1"/>
  <c r="J95" i="26"/>
  <c r="L95" i="26" s="1"/>
  <c r="I96" i="26" s="1"/>
  <c r="P72" i="26"/>
  <c r="M73" i="26" s="1"/>
  <c r="O100" i="26"/>
  <c r="AQ100" i="26"/>
  <c r="AS100" i="26"/>
  <c r="AU100" i="26"/>
  <c r="K100" i="26"/>
  <c r="AT72" i="26"/>
  <c r="R72" i="26"/>
  <c r="Q73" i="26" s="1"/>
  <c r="F41" i="26"/>
  <c r="AI40" i="26"/>
  <c r="AJ40" i="26" s="1"/>
  <c r="AK40" i="26" s="1"/>
  <c r="AL40" i="26"/>
  <c r="AM40" i="26" s="1"/>
  <c r="AN40" i="26" s="1"/>
  <c r="AZ101" i="26"/>
  <c r="C101" i="26"/>
  <c r="E102" i="26"/>
  <c r="Z57" i="28"/>
  <c r="Y57" i="28"/>
  <c r="AC57" i="28" s="1"/>
  <c r="X58" i="28" s="1"/>
  <c r="AB58" i="28" s="1"/>
  <c r="AG56" i="28"/>
  <c r="AF57" i="28" s="1"/>
  <c r="AU42" i="28"/>
  <c r="AQ42" i="28"/>
  <c r="AS42" i="28"/>
  <c r="F43" i="28"/>
  <c r="I43" i="28" s="1"/>
  <c r="Q43" i="28" s="1"/>
  <c r="L44" i="28" s="1"/>
  <c r="AM42" i="28"/>
  <c r="AN42" i="28" s="1"/>
  <c r="C101" i="28"/>
  <c r="AZ101" i="28"/>
  <c r="E102" i="28"/>
  <c r="F47" i="25"/>
  <c r="BA101" i="25"/>
  <c r="BB101" i="25"/>
  <c r="BC101" i="25"/>
  <c r="AW37" i="24"/>
  <c r="AX37" i="24" s="1"/>
  <c r="AY37" i="24" s="1"/>
  <c r="AU44" i="25"/>
  <c r="AI44" i="25"/>
  <c r="AQ44" i="25"/>
  <c r="AS44" i="25"/>
  <c r="AR100" i="25"/>
  <c r="U100" i="25"/>
  <c r="V100" i="25"/>
  <c r="AA100" i="25"/>
  <c r="AB100" i="25"/>
  <c r="L45" i="25"/>
  <c r="AZ101" i="25"/>
  <c r="BD101" i="25"/>
  <c r="C101" i="25"/>
  <c r="E102" i="25"/>
  <c r="AR38" i="24"/>
  <c r="H38" i="24"/>
  <c r="AT55" i="24"/>
  <c r="AZ101" i="24"/>
  <c r="C101" i="24"/>
  <c r="E102" i="24"/>
  <c r="AQ100" i="24"/>
  <c r="AS100" i="24"/>
  <c r="AU100" i="24"/>
  <c r="AW38" i="15"/>
  <c r="AX38" i="15" s="1"/>
  <c r="AY38" i="15" s="1"/>
  <c r="K102" i="15"/>
  <c r="O102" i="15"/>
  <c r="AQ102" i="15"/>
  <c r="AS102" i="15"/>
  <c r="AU102" i="15"/>
  <c r="G39" i="15"/>
  <c r="AR39" i="15" s="1"/>
  <c r="BG37" i="23"/>
  <c r="F39" i="23"/>
  <c r="AL38" i="23"/>
  <c r="AI38" i="23"/>
  <c r="AW41" i="29"/>
  <c r="AX41" i="29" s="1"/>
  <c r="AY41" i="29" s="1"/>
  <c r="O99" i="25"/>
  <c r="I99" i="25"/>
  <c r="P66" i="15"/>
  <c r="M67" i="15" s="1"/>
  <c r="N67" i="15" s="1"/>
  <c r="AJ102" i="3"/>
  <c r="BF102" i="3" s="1"/>
  <c r="BG84" i="14"/>
  <c r="AV85" i="14"/>
  <c r="AZ85" i="14" s="1"/>
  <c r="BC85" i="14" s="1"/>
  <c r="J17" i="17"/>
  <c r="AO86" i="14"/>
  <c r="AV86" i="14" s="1"/>
  <c r="BG86" i="14" s="1"/>
  <c r="H16" i="17"/>
  <c r="AO16" i="17" s="1"/>
  <c r="AW49" i="13"/>
  <c r="AW14" i="19"/>
  <c r="W21" i="19"/>
  <c r="R22" i="19" s="1"/>
  <c r="T22" i="19" s="1"/>
  <c r="AW49" i="12"/>
  <c r="BA49" i="12" s="1"/>
  <c r="AW15" i="17"/>
  <c r="T89" i="14"/>
  <c r="AG24" i="17"/>
  <c r="AF25" i="17" s="1"/>
  <c r="Y25" i="17"/>
  <c r="AC25" i="17" s="1"/>
  <c r="X26" i="17" s="1"/>
  <c r="Z25" i="17"/>
  <c r="AR101" i="19"/>
  <c r="AI87" i="14"/>
  <c r="AJ87" i="14" s="1"/>
  <c r="AK87" i="14" s="1"/>
  <c r="H50" i="12"/>
  <c r="G50" i="12"/>
  <c r="K50" i="12" s="1"/>
  <c r="F51" i="12" s="1"/>
  <c r="J51" i="12"/>
  <c r="J16" i="19"/>
  <c r="Y27" i="19"/>
  <c r="AC27" i="19" s="1"/>
  <c r="X28" i="19" s="1"/>
  <c r="Z27" i="19"/>
  <c r="AG26" i="19"/>
  <c r="AF27" i="19" s="1"/>
  <c r="AU87" i="14"/>
  <c r="AL87" i="14"/>
  <c r="AM87" i="14" s="1"/>
  <c r="AN87" i="14" s="1"/>
  <c r="H15" i="19"/>
  <c r="AP15" i="19" s="1"/>
  <c r="AI15" i="19"/>
  <c r="AJ15" i="19" s="1"/>
  <c r="AK15" i="19" s="1"/>
  <c r="AL15" i="19"/>
  <c r="AM15" i="19" s="1"/>
  <c r="AN15" i="19" s="1"/>
  <c r="K15" i="19"/>
  <c r="P51" i="13"/>
  <c r="M50" i="13"/>
  <c r="AI50" i="13" s="1"/>
  <c r="AJ50" i="13" s="1"/>
  <c r="AK50" i="13" s="1"/>
  <c r="N50" i="13"/>
  <c r="L70" i="15"/>
  <c r="I71" i="15" s="1"/>
  <c r="J71" i="15" s="1"/>
  <c r="AT22" i="19"/>
  <c r="W89" i="14"/>
  <c r="R90" i="14" s="1"/>
  <c r="T90" i="14" s="1"/>
  <c r="AI16" i="17"/>
  <c r="AJ16" i="17" s="1"/>
  <c r="AK16" i="17" s="1"/>
  <c r="AL16" i="17"/>
  <c r="AM16" i="17" s="1"/>
  <c r="AN16" i="17" s="1"/>
  <c r="K16" i="17"/>
  <c r="Z98" i="14"/>
  <c r="Y98" i="14"/>
  <c r="AC98" i="14" s="1"/>
  <c r="X99" i="14" s="1"/>
  <c r="N31" i="19"/>
  <c r="P32" i="19"/>
  <c r="M31" i="19"/>
  <c r="Q31" i="19" s="1"/>
  <c r="L32" i="19" s="1"/>
  <c r="AB102" i="17"/>
  <c r="O102" i="17"/>
  <c r="AA102" i="17"/>
  <c r="AB102" i="19"/>
  <c r="O102" i="19"/>
  <c r="V102" i="17"/>
  <c r="I102" i="17"/>
  <c r="I102" i="19"/>
  <c r="AA102" i="19"/>
  <c r="U102" i="17"/>
  <c r="V102" i="19"/>
  <c r="U102" i="19"/>
  <c r="AQ87" i="14"/>
  <c r="AP87" i="14"/>
  <c r="AO87" i="14"/>
  <c r="S30" i="17"/>
  <c r="W30" i="17" s="1"/>
  <c r="R31" i="17" s="1"/>
  <c r="T30" i="17"/>
  <c r="J89" i="14"/>
  <c r="H88" i="14"/>
  <c r="G88" i="14"/>
  <c r="K88" i="14" s="1"/>
  <c r="F89" i="14" s="1"/>
  <c r="AG97" i="14"/>
  <c r="AF98" i="14" s="1"/>
  <c r="N99" i="14"/>
  <c r="P100" i="14"/>
  <c r="M99" i="14"/>
  <c r="Q99" i="14" s="1"/>
  <c r="L100" i="14" s="1"/>
  <c r="AT29" i="17"/>
  <c r="AE29" i="17"/>
  <c r="AD30" i="17" s="1"/>
  <c r="AS87" i="14"/>
  <c r="M31" i="17"/>
  <c r="Q31" i="17" s="1"/>
  <c r="L32" i="17" s="1"/>
  <c r="P32" i="17"/>
  <c r="N31" i="17"/>
  <c r="AZ102" i="19"/>
  <c r="C102" i="19"/>
  <c r="E103" i="19"/>
  <c r="AR101" i="16"/>
  <c r="L99" i="18"/>
  <c r="I100" i="18" s="1"/>
  <c r="J100" i="18" s="1"/>
  <c r="AZ102" i="16"/>
  <c r="C102" i="16"/>
  <c r="E103" i="16"/>
  <c r="BD102" i="16"/>
  <c r="O100" i="18"/>
  <c r="AS100" i="18"/>
  <c r="AU100" i="18"/>
  <c r="AQ100" i="18"/>
  <c r="K100" i="18"/>
  <c r="C101" i="17"/>
  <c r="E102" i="17"/>
  <c r="AZ101" i="17"/>
  <c r="C101" i="18"/>
  <c r="E102" i="18"/>
  <c r="AZ101" i="18"/>
  <c r="F52" i="14"/>
  <c r="AI51" i="14"/>
  <c r="AJ51" i="14" s="1"/>
  <c r="AK51" i="14" s="1"/>
  <c r="AM51" i="14"/>
  <c r="AN51" i="14" s="1"/>
  <c r="AZ50" i="14"/>
  <c r="BC50" i="14" s="1"/>
  <c r="BG50" i="14"/>
  <c r="H46" i="18"/>
  <c r="C103" i="15"/>
  <c r="E104" i="15"/>
  <c r="AZ103" i="15"/>
  <c r="P74" i="18"/>
  <c r="M75" i="18" s="1"/>
  <c r="N75" i="18" s="1"/>
  <c r="AI102" i="3"/>
  <c r="BE102" i="3" s="1"/>
  <c r="BD103" i="3"/>
  <c r="AH104" i="3"/>
  <c r="AW107" i="3"/>
  <c r="A105" i="3"/>
  <c r="BI105" i="3" s="1"/>
  <c r="BJ105" i="3" s="1"/>
  <c r="AG104" i="3"/>
  <c r="Y104" i="3"/>
  <c r="AC103" i="3"/>
  <c r="G106" i="3"/>
  <c r="AV105" i="3"/>
  <c r="AX105" i="3" s="1"/>
  <c r="V105" i="3"/>
  <c r="X105" i="3" s="1"/>
  <c r="AL104" i="3"/>
  <c r="AM104" i="3"/>
  <c r="AE104" i="3"/>
  <c r="BC103" i="3"/>
  <c r="H104" i="3"/>
  <c r="AF103" i="3"/>
  <c r="AQ107" i="3"/>
  <c r="P107" i="3"/>
  <c r="H121" i="23" l="1"/>
  <c r="G121" i="23"/>
  <c r="K121" i="23" s="1"/>
  <c r="F122" i="23" s="1"/>
  <c r="J122" i="23"/>
  <c r="AW121" i="23"/>
  <c r="BA121" i="23" s="1"/>
  <c r="AT65" i="25"/>
  <c r="AE65" i="25"/>
  <c r="AD66" i="25" s="1"/>
  <c r="S66" i="25"/>
  <c r="W66" i="25" s="1"/>
  <c r="R67" i="25" s="1"/>
  <c r="T66" i="25"/>
  <c r="AG57" i="29"/>
  <c r="AF58" i="29" s="1"/>
  <c r="AQ112" i="23"/>
  <c r="L113" i="23"/>
  <c r="AU112" i="23"/>
  <c r="AS112" i="23"/>
  <c r="O43" i="29"/>
  <c r="M43" i="29"/>
  <c r="P44" i="29"/>
  <c r="AE82" i="28"/>
  <c r="AD83" i="28" s="1"/>
  <c r="AT83" i="28" s="1"/>
  <c r="AT58" i="29"/>
  <c r="O44" i="28"/>
  <c r="M44" i="28"/>
  <c r="N44" i="28"/>
  <c r="P45" i="28"/>
  <c r="AR107" i="3"/>
  <c r="BB105" i="3"/>
  <c r="O59" i="24"/>
  <c r="P59" i="24" s="1"/>
  <c r="M60" i="24" s="1"/>
  <c r="L55" i="24"/>
  <c r="I56" i="24" s="1"/>
  <c r="Z52" i="25"/>
  <c r="AC52" i="25"/>
  <c r="X53" i="25" s="1"/>
  <c r="R55" i="24"/>
  <c r="Q56" i="24" s="1"/>
  <c r="AT56" i="24" s="1"/>
  <c r="P105" i="20"/>
  <c r="O106" i="20"/>
  <c r="AQ105" i="20"/>
  <c r="AR105" i="20" s="1"/>
  <c r="AN105" i="20"/>
  <c r="AK103" i="3"/>
  <c r="BG103" i="3" s="1"/>
  <c r="AW40" i="26"/>
  <c r="AX40" i="26" s="1"/>
  <c r="AY40" i="26" s="1"/>
  <c r="T87" i="29"/>
  <c r="S87" i="29"/>
  <c r="W87" i="29" s="1"/>
  <c r="R88" i="29" s="1"/>
  <c r="U88" i="29" s="1"/>
  <c r="AZ101" i="29"/>
  <c r="C101" i="29"/>
  <c r="E102" i="29"/>
  <c r="AJ42" i="29"/>
  <c r="AK42" i="29" s="1"/>
  <c r="AO42" i="29"/>
  <c r="AL42" i="29"/>
  <c r="AM42" i="29" s="1"/>
  <c r="J96" i="26"/>
  <c r="L96" i="26" s="1"/>
  <c r="I97" i="26" s="1"/>
  <c r="AS101" i="26"/>
  <c r="AU101" i="26"/>
  <c r="AQ101" i="26"/>
  <c r="K101" i="26"/>
  <c r="O101" i="26"/>
  <c r="N73" i="26"/>
  <c r="T73" i="26" s="1"/>
  <c r="S74" i="26" s="1"/>
  <c r="AT73" i="26"/>
  <c r="G41" i="26"/>
  <c r="AR41" i="26" s="1"/>
  <c r="C102" i="26"/>
  <c r="AZ102" i="26"/>
  <c r="E103" i="26"/>
  <c r="Z58" i="28"/>
  <c r="Y58" i="28"/>
  <c r="AC58" i="28" s="1"/>
  <c r="X59" i="28" s="1"/>
  <c r="AB59" i="28" s="1"/>
  <c r="T83" i="28"/>
  <c r="S83" i="28"/>
  <c r="AG57" i="28"/>
  <c r="AF58" i="28" s="1"/>
  <c r="H43" i="28"/>
  <c r="AP43" i="28" s="1"/>
  <c r="J44" i="28"/>
  <c r="G43" i="28"/>
  <c r="AL43" i="28" s="1"/>
  <c r="AZ102" i="28"/>
  <c r="C102" i="28"/>
  <c r="E103" i="28"/>
  <c r="G47" i="25"/>
  <c r="K47" i="25" s="1"/>
  <c r="H47" i="25"/>
  <c r="J48" i="25"/>
  <c r="AR101" i="25"/>
  <c r="U101" i="25"/>
  <c r="V101" i="25"/>
  <c r="AA101" i="25"/>
  <c r="AB101" i="25"/>
  <c r="BA102" i="25"/>
  <c r="BB102" i="25"/>
  <c r="BC102" i="25"/>
  <c r="P46" i="25"/>
  <c r="N45" i="25"/>
  <c r="AP45" i="25" s="1"/>
  <c r="M45" i="25"/>
  <c r="AL45" i="25" s="1"/>
  <c r="AJ44" i="25"/>
  <c r="AK44" i="25" s="1"/>
  <c r="AW44" i="25" s="1"/>
  <c r="AX44" i="25" s="1"/>
  <c r="AY44" i="25" s="1"/>
  <c r="C102" i="25"/>
  <c r="BD102" i="25"/>
  <c r="AZ102" i="25"/>
  <c r="E103" i="25"/>
  <c r="F39" i="24"/>
  <c r="AL38" i="24"/>
  <c r="AI38" i="24"/>
  <c r="AQ101" i="24"/>
  <c r="AS101" i="24"/>
  <c r="AU101" i="24"/>
  <c r="C102" i="24"/>
  <c r="AZ102" i="24"/>
  <c r="E103" i="24"/>
  <c r="AQ103" i="15"/>
  <c r="AS103" i="15"/>
  <c r="AU103" i="15"/>
  <c r="H39" i="15"/>
  <c r="G39" i="23"/>
  <c r="AR39" i="23" s="1"/>
  <c r="AJ38" i="23"/>
  <c r="AK38" i="23" s="1"/>
  <c r="AM38" i="23"/>
  <c r="AN38" i="23" s="1"/>
  <c r="AW42" i="28"/>
  <c r="AX42" i="28" s="1"/>
  <c r="AY42" i="28" s="1"/>
  <c r="K42" i="29"/>
  <c r="AC57" i="29"/>
  <c r="X58" i="29" s="1"/>
  <c r="O100" i="25"/>
  <c r="I100" i="25"/>
  <c r="R66" i="15"/>
  <c r="Q67" i="15" s="1"/>
  <c r="AT67" i="15" s="1"/>
  <c r="T66" i="15"/>
  <c r="S67" i="15" s="1"/>
  <c r="P67" i="15"/>
  <c r="M68" i="15" s="1"/>
  <c r="N68" i="15" s="1"/>
  <c r="BG85" i="14"/>
  <c r="AP16" i="17"/>
  <c r="BA49" i="13"/>
  <c r="AZ86" i="14"/>
  <c r="BC86" i="14" s="1"/>
  <c r="AV87" i="14"/>
  <c r="BG87" i="14" s="1"/>
  <c r="S22" i="19"/>
  <c r="W22" i="19" s="1"/>
  <c r="R23" i="19" s="1"/>
  <c r="S23" i="19" s="1"/>
  <c r="W23" i="19" s="1"/>
  <c r="R24" i="19" s="1"/>
  <c r="AG25" i="17"/>
  <c r="AF26" i="17" s="1"/>
  <c r="Y26" i="17"/>
  <c r="AC26" i="17" s="1"/>
  <c r="X27" i="17" s="1"/>
  <c r="Z26" i="17"/>
  <c r="AO15" i="19"/>
  <c r="S90" i="14"/>
  <c r="AE90" i="14" s="1"/>
  <c r="AD91" i="14" s="1"/>
  <c r="AT91" i="14" s="1"/>
  <c r="AQ50" i="12"/>
  <c r="Z28" i="19"/>
  <c r="Y28" i="19"/>
  <c r="AC28" i="19" s="1"/>
  <c r="X29" i="19" s="1"/>
  <c r="G51" i="12"/>
  <c r="K51" i="12" s="1"/>
  <c r="F52" i="12" s="1"/>
  <c r="J52" i="12"/>
  <c r="H51" i="12"/>
  <c r="AS50" i="12"/>
  <c r="AL50" i="13"/>
  <c r="AM50" i="13" s="1"/>
  <c r="AN50" i="13" s="1"/>
  <c r="AU50" i="12"/>
  <c r="AP50" i="12"/>
  <c r="AO50" i="12"/>
  <c r="AG27" i="19"/>
  <c r="AF28" i="19" s="1"/>
  <c r="AI50" i="12"/>
  <c r="AL50" i="12"/>
  <c r="F16" i="19"/>
  <c r="AS15" i="19"/>
  <c r="AQ15" i="19"/>
  <c r="AU15" i="19"/>
  <c r="Q50" i="13"/>
  <c r="AO50" i="13"/>
  <c r="AP50" i="13"/>
  <c r="L71" i="15"/>
  <c r="I72" i="15" s="1"/>
  <c r="J72" i="15" s="1"/>
  <c r="AS88" i="14"/>
  <c r="AI88" i="14"/>
  <c r="AJ88" i="14" s="1"/>
  <c r="AK88" i="14" s="1"/>
  <c r="AG98" i="14"/>
  <c r="AF99" i="14" s="1"/>
  <c r="AU88" i="14"/>
  <c r="AU16" i="17"/>
  <c r="AQ16" i="17"/>
  <c r="AS16" i="17"/>
  <c r="F17" i="17"/>
  <c r="AP88" i="14"/>
  <c r="AO88" i="14"/>
  <c r="S31" i="17"/>
  <c r="W31" i="17" s="1"/>
  <c r="R32" i="17" s="1"/>
  <c r="T31" i="17"/>
  <c r="M100" i="14"/>
  <c r="Q100" i="14" s="1"/>
  <c r="L101" i="14" s="1"/>
  <c r="P101" i="14"/>
  <c r="N100" i="14"/>
  <c r="AR102" i="19"/>
  <c r="AT30" i="17"/>
  <c r="AE30" i="17"/>
  <c r="AD31" i="17" s="1"/>
  <c r="AQ88" i="14"/>
  <c r="AL88" i="14"/>
  <c r="AM88" i="14" s="1"/>
  <c r="AN88" i="14" s="1"/>
  <c r="Z99" i="14"/>
  <c r="Y99" i="14"/>
  <c r="AC99" i="14" s="1"/>
  <c r="X100" i="14" s="1"/>
  <c r="V103" i="17"/>
  <c r="AA103" i="17"/>
  <c r="U103" i="19"/>
  <c r="U103" i="17"/>
  <c r="AB103" i="17"/>
  <c r="AA103" i="19"/>
  <c r="O103" i="17"/>
  <c r="V103" i="19"/>
  <c r="I103" i="19"/>
  <c r="I103" i="17"/>
  <c r="AB103" i="19"/>
  <c r="O103" i="19"/>
  <c r="P33" i="17"/>
  <c r="M32" i="17"/>
  <c r="Q32" i="17" s="1"/>
  <c r="L33" i="17" s="1"/>
  <c r="N32" i="17"/>
  <c r="H89" i="14"/>
  <c r="G89" i="14"/>
  <c r="K89" i="14" s="1"/>
  <c r="F90" i="14" s="1"/>
  <c r="J90" i="14"/>
  <c r="M32" i="19"/>
  <c r="Q32" i="19" s="1"/>
  <c r="L33" i="19" s="1"/>
  <c r="P33" i="19"/>
  <c r="N32" i="19"/>
  <c r="C103" i="19"/>
  <c r="AZ103" i="19"/>
  <c r="E104" i="19"/>
  <c r="L100" i="18"/>
  <c r="I101" i="18" s="1"/>
  <c r="J101" i="18" s="1"/>
  <c r="E104" i="16"/>
  <c r="AZ103" i="16"/>
  <c r="BD103" i="16"/>
  <c r="C103" i="16"/>
  <c r="AR102" i="16"/>
  <c r="C102" i="17"/>
  <c r="E103" i="17"/>
  <c r="AZ102" i="17"/>
  <c r="AQ101" i="18"/>
  <c r="O101" i="18"/>
  <c r="K101" i="18"/>
  <c r="AU101" i="18"/>
  <c r="AS101" i="18"/>
  <c r="E103" i="18"/>
  <c r="AZ102" i="18"/>
  <c r="C102" i="18"/>
  <c r="AV51" i="14"/>
  <c r="BG51" i="14" s="1"/>
  <c r="G52" i="14"/>
  <c r="AR52" i="14" s="1"/>
  <c r="F47" i="18"/>
  <c r="AL46" i="18"/>
  <c r="AI46" i="18"/>
  <c r="AZ104" i="15"/>
  <c r="C104" i="15"/>
  <c r="E105" i="15"/>
  <c r="P75" i="18"/>
  <c r="M76" i="18" s="1"/>
  <c r="N76" i="18" s="1"/>
  <c r="T74" i="18"/>
  <c r="R74" i="18"/>
  <c r="Q75" i="18" s="1"/>
  <c r="AT75" i="18" s="1"/>
  <c r="AQ108" i="3"/>
  <c r="Y105" i="3"/>
  <c r="AC104" i="3"/>
  <c r="AH105" i="3"/>
  <c r="BD104" i="3"/>
  <c r="AE105" i="3"/>
  <c r="BC104" i="3"/>
  <c r="AD103" i="3"/>
  <c r="AJ103" i="3" s="1"/>
  <c r="A106" i="3"/>
  <c r="BI106" i="3" s="1"/>
  <c r="BJ106" i="3" s="1"/>
  <c r="P108" i="3"/>
  <c r="P109" i="3" s="1"/>
  <c r="H105" i="3"/>
  <c r="AF104" i="3"/>
  <c r="AD104" i="3" s="1"/>
  <c r="AM105" i="3"/>
  <c r="AV106" i="3"/>
  <c r="AX106" i="3" s="1"/>
  <c r="G107" i="3"/>
  <c r="V106" i="3"/>
  <c r="X106" i="3" s="1"/>
  <c r="AN108" i="3"/>
  <c r="AN109" i="3" s="1"/>
  <c r="AG105" i="3"/>
  <c r="AL105" i="3"/>
  <c r="AW108" i="3"/>
  <c r="I122" i="23" l="1"/>
  <c r="AR122" i="23" s="1"/>
  <c r="H122" i="23"/>
  <c r="G122" i="23"/>
  <c r="K122" i="23" s="1"/>
  <c r="F123" i="23" s="1"/>
  <c r="J123" i="23"/>
  <c r="AT66" i="25"/>
  <c r="AE66" i="25"/>
  <c r="AD67" i="25" s="1"/>
  <c r="S67" i="25"/>
  <c r="W67" i="25" s="1"/>
  <c r="R68" i="25" s="1"/>
  <c r="T67" i="25"/>
  <c r="J53" i="12"/>
  <c r="I123" i="23"/>
  <c r="AR123" i="23" s="1"/>
  <c r="J124" i="23"/>
  <c r="AE83" i="28"/>
  <c r="AD84" i="28" s="1"/>
  <c r="AT84" i="28" s="1"/>
  <c r="AV112" i="23"/>
  <c r="AZ112" i="23" s="1"/>
  <c r="BC112" i="23" s="1"/>
  <c r="P114" i="23"/>
  <c r="O113" i="23"/>
  <c r="N113" i="23"/>
  <c r="M113" i="23"/>
  <c r="AI113" i="23" s="1"/>
  <c r="AJ113" i="23" s="1"/>
  <c r="AK113" i="23" s="1"/>
  <c r="Z58" i="29"/>
  <c r="AA58" i="29"/>
  <c r="AE58" i="29" s="1"/>
  <c r="AD59" i="29" s="1"/>
  <c r="AR108" i="3"/>
  <c r="BB106" i="3"/>
  <c r="AL106" i="3"/>
  <c r="Y53" i="25"/>
  <c r="AG53" i="25" s="1"/>
  <c r="AF54" i="25" s="1"/>
  <c r="Z53" i="25"/>
  <c r="O60" i="24"/>
  <c r="N60" i="24"/>
  <c r="K56" i="24"/>
  <c r="T56" i="24" s="1"/>
  <c r="S57" i="24" s="1"/>
  <c r="J56" i="24"/>
  <c r="P106" i="20"/>
  <c r="AM106" i="3"/>
  <c r="AN42" i="29"/>
  <c r="AN106" i="20"/>
  <c r="O107" i="20"/>
  <c r="AQ106" i="20"/>
  <c r="AR106" i="20" s="1"/>
  <c r="AK104" i="3"/>
  <c r="BG104" i="3" s="1"/>
  <c r="K103" i="15"/>
  <c r="O103" i="15"/>
  <c r="T88" i="29"/>
  <c r="S88" i="29"/>
  <c r="W88" i="29" s="1"/>
  <c r="R89" i="29" s="1"/>
  <c r="U89" i="29" s="1"/>
  <c r="F43" i="29"/>
  <c r="I43" i="29" s="1"/>
  <c r="AS42" i="29"/>
  <c r="AU42" i="29"/>
  <c r="AQ42" i="29"/>
  <c r="C102" i="29"/>
  <c r="AZ102" i="29"/>
  <c r="E103" i="29"/>
  <c r="Y58" i="29"/>
  <c r="R73" i="26"/>
  <c r="Q74" i="26" s="1"/>
  <c r="AT74" i="26" s="1"/>
  <c r="H41" i="26"/>
  <c r="O102" i="26"/>
  <c r="K102" i="26"/>
  <c r="AS102" i="26"/>
  <c r="AU102" i="26"/>
  <c r="AQ102" i="26"/>
  <c r="J97" i="26"/>
  <c r="L97" i="26" s="1"/>
  <c r="I98" i="26" s="1"/>
  <c r="P73" i="26"/>
  <c r="M74" i="26" s="1"/>
  <c r="C103" i="26"/>
  <c r="AZ103" i="26"/>
  <c r="E104" i="26"/>
  <c r="Z59" i="28"/>
  <c r="Y59" i="28"/>
  <c r="AC59" i="28" s="1"/>
  <c r="X60" i="28" s="1"/>
  <c r="AB60" i="28" s="1"/>
  <c r="AI43" i="28"/>
  <c r="AJ43" i="28" s="1"/>
  <c r="AK43" i="28" s="1"/>
  <c r="W83" i="28"/>
  <c r="R84" i="28" s="1"/>
  <c r="V84" i="28" s="1"/>
  <c r="AG58" i="28"/>
  <c r="AF59" i="28" s="1"/>
  <c r="AO43" i="28"/>
  <c r="K43" i="28"/>
  <c r="AM43" i="28"/>
  <c r="AN43" i="28" s="1"/>
  <c r="C103" i="28"/>
  <c r="AZ103" i="28"/>
  <c r="E104" i="28"/>
  <c r="F48" i="25"/>
  <c r="AO45" i="25"/>
  <c r="AR102" i="25"/>
  <c r="U102" i="25"/>
  <c r="AB102" i="25"/>
  <c r="V102" i="25"/>
  <c r="AA102" i="25"/>
  <c r="BA103" i="25"/>
  <c r="BB103" i="25"/>
  <c r="BC103" i="25"/>
  <c r="AZ103" i="25"/>
  <c r="BD103" i="25"/>
  <c r="C103" i="25"/>
  <c r="E104" i="25"/>
  <c r="AM45" i="25"/>
  <c r="AN45" i="25" s="1"/>
  <c r="Q45" i="25"/>
  <c r="AM38" i="24"/>
  <c r="AN38" i="24" s="1"/>
  <c r="AJ38" i="24"/>
  <c r="AK38" i="24" s="1"/>
  <c r="C103" i="24"/>
  <c r="AZ103" i="24"/>
  <c r="E104" i="24"/>
  <c r="G39" i="24"/>
  <c r="AR39" i="24" s="1"/>
  <c r="AU102" i="24"/>
  <c r="AQ102" i="24"/>
  <c r="AS102" i="24"/>
  <c r="F40" i="15"/>
  <c r="AI39" i="15"/>
  <c r="AJ39" i="15" s="1"/>
  <c r="AK39" i="15" s="1"/>
  <c r="AL39" i="15"/>
  <c r="AM39" i="15" s="1"/>
  <c r="AN39" i="15" s="1"/>
  <c r="O104" i="15"/>
  <c r="AQ104" i="15"/>
  <c r="AS104" i="15"/>
  <c r="AU104" i="15"/>
  <c r="K104" i="15"/>
  <c r="AV38" i="23"/>
  <c r="H39" i="23"/>
  <c r="I101" i="25"/>
  <c r="O101" i="25"/>
  <c r="T67" i="15"/>
  <c r="S68" i="15" s="1"/>
  <c r="R67" i="15"/>
  <c r="Q68" i="15" s="1"/>
  <c r="AT68" i="15" s="1"/>
  <c r="BF103" i="3"/>
  <c r="AJ104" i="3"/>
  <c r="BF104" i="3" s="1"/>
  <c r="AW15" i="19"/>
  <c r="AV88" i="14"/>
  <c r="BG88" i="14" s="1"/>
  <c r="AZ87" i="14"/>
  <c r="BC87" i="14" s="1"/>
  <c r="AE22" i="19"/>
  <c r="AD23" i="19" s="1"/>
  <c r="AT23" i="19" s="1"/>
  <c r="T23" i="19"/>
  <c r="AW16" i="17"/>
  <c r="AG26" i="17"/>
  <c r="AF27" i="17" s="1"/>
  <c r="Y27" i="17"/>
  <c r="AC27" i="17" s="1"/>
  <c r="X28" i="17" s="1"/>
  <c r="Z27" i="17"/>
  <c r="AR103" i="19"/>
  <c r="W90" i="14"/>
  <c r="R91" i="14" s="1"/>
  <c r="S91" i="14" s="1"/>
  <c r="AE91" i="14" s="1"/>
  <c r="AD92" i="14" s="1"/>
  <c r="AQ51" i="12"/>
  <c r="H52" i="12"/>
  <c r="G52" i="12"/>
  <c r="AI52" i="12" s="1"/>
  <c r="AJ52" i="12" s="1"/>
  <c r="AK52" i="12" s="1"/>
  <c r="AG28" i="19"/>
  <c r="AF29" i="19" s="1"/>
  <c r="AU51" i="12"/>
  <c r="AI51" i="12"/>
  <c r="AJ51" i="12" s="1"/>
  <c r="AK51" i="12" s="1"/>
  <c r="AO51" i="12"/>
  <c r="AP51" i="12"/>
  <c r="AM50" i="12"/>
  <c r="Y29" i="19"/>
  <c r="AC29" i="19" s="1"/>
  <c r="X30" i="19" s="1"/>
  <c r="Z29" i="19"/>
  <c r="AJ50" i="12"/>
  <c r="AS51" i="12"/>
  <c r="AL51" i="12"/>
  <c r="AM51" i="12" s="1"/>
  <c r="AN51" i="12" s="1"/>
  <c r="AQ89" i="14"/>
  <c r="L51" i="13"/>
  <c r="AQ50" i="13"/>
  <c r="AU50" i="13"/>
  <c r="AS50" i="13"/>
  <c r="AL89" i="14"/>
  <c r="AM89" i="14" s="1"/>
  <c r="AN89" i="14" s="1"/>
  <c r="AS89" i="14"/>
  <c r="T24" i="19"/>
  <c r="S24" i="19"/>
  <c r="W24" i="19" s="1"/>
  <c r="R25" i="19" s="1"/>
  <c r="H16" i="19"/>
  <c r="G16" i="19"/>
  <c r="J17" i="19"/>
  <c r="AI89" i="14"/>
  <c r="AJ89" i="14" s="1"/>
  <c r="AK89" i="14" s="1"/>
  <c r="J18" i="17"/>
  <c r="H17" i="17"/>
  <c r="G17" i="17"/>
  <c r="AI17" i="17" s="1"/>
  <c r="AJ17" i="17" s="1"/>
  <c r="AK17" i="17" s="1"/>
  <c r="AU89" i="14"/>
  <c r="P34" i="17"/>
  <c r="M33" i="17"/>
  <c r="Q33" i="17" s="1"/>
  <c r="L34" i="17" s="1"/>
  <c r="N33" i="17"/>
  <c r="AT31" i="17"/>
  <c r="AE31" i="17"/>
  <c r="AD32" i="17" s="1"/>
  <c r="AI103" i="3"/>
  <c r="BE103" i="3" s="1"/>
  <c r="AB104" i="17"/>
  <c r="O104" i="17"/>
  <c r="V104" i="17"/>
  <c r="V104" i="19"/>
  <c r="U104" i="17"/>
  <c r="O104" i="19"/>
  <c r="AB104" i="19"/>
  <c r="I104" i="19"/>
  <c r="I104" i="17"/>
  <c r="U104" i="19"/>
  <c r="AA104" i="19"/>
  <c r="AA104" i="17"/>
  <c r="AO89" i="14"/>
  <c r="AP89" i="14"/>
  <c r="S32" i="17"/>
  <c r="W32" i="17" s="1"/>
  <c r="R33" i="17" s="1"/>
  <c r="T32" i="17"/>
  <c r="Z100" i="14"/>
  <c r="Y100" i="14"/>
  <c r="AC100" i="14" s="1"/>
  <c r="X101" i="14" s="1"/>
  <c r="M101" i="14"/>
  <c r="Q101" i="14" s="1"/>
  <c r="L102" i="14" s="1"/>
  <c r="P102" i="14"/>
  <c r="N101" i="14"/>
  <c r="N33" i="19"/>
  <c r="P34" i="19"/>
  <c r="M33" i="19"/>
  <c r="Q33" i="19" s="1"/>
  <c r="L34" i="19" s="1"/>
  <c r="J91" i="14"/>
  <c r="G90" i="14"/>
  <c r="AL90" i="14" s="1"/>
  <c r="AM90" i="14" s="1"/>
  <c r="AN90" i="14" s="1"/>
  <c r="H90" i="14"/>
  <c r="AG99" i="14"/>
  <c r="AF100" i="14" s="1"/>
  <c r="AZ104" i="19"/>
  <c r="E105" i="19"/>
  <c r="C104" i="19"/>
  <c r="L101" i="18"/>
  <c r="I102" i="18" s="1"/>
  <c r="J102" i="18" s="1"/>
  <c r="AR103" i="16"/>
  <c r="C104" i="16"/>
  <c r="E105" i="16"/>
  <c r="BD104" i="16"/>
  <c r="AZ104" i="16"/>
  <c r="AS102" i="18"/>
  <c r="AQ102" i="18"/>
  <c r="AU102" i="18"/>
  <c r="O102" i="18"/>
  <c r="K102" i="18"/>
  <c r="AZ103" i="17"/>
  <c r="C103" i="17"/>
  <c r="E104" i="17"/>
  <c r="AZ103" i="18"/>
  <c r="C103" i="18"/>
  <c r="E104" i="18"/>
  <c r="AZ51" i="14"/>
  <c r="BC51" i="14" s="1"/>
  <c r="H52" i="14"/>
  <c r="AI52" i="14" s="1"/>
  <c r="AM46" i="18"/>
  <c r="AN46" i="18" s="1"/>
  <c r="G47" i="18"/>
  <c r="AR47" i="18" s="1"/>
  <c r="E106" i="15"/>
  <c r="AZ105" i="15"/>
  <c r="C105" i="15"/>
  <c r="AJ46" i="18"/>
  <c r="AK46" i="18" s="1"/>
  <c r="S75" i="18"/>
  <c r="T75" i="18" s="1"/>
  <c r="S76" i="18" s="1"/>
  <c r="P76" i="18"/>
  <c r="M77" i="18" s="1"/>
  <c r="N77" i="18" s="1"/>
  <c r="R75" i="18"/>
  <c r="Q76" i="18" s="1"/>
  <c r="AT76" i="18" s="1"/>
  <c r="L72" i="15"/>
  <c r="I73" i="15" s="1"/>
  <c r="J73" i="15" s="1"/>
  <c r="AN110" i="3"/>
  <c r="A107" i="3"/>
  <c r="BI107" i="3" s="1"/>
  <c r="BJ107" i="3" s="1"/>
  <c r="BD105" i="3"/>
  <c r="AH106" i="3"/>
  <c r="AI104" i="3"/>
  <c r="BE104" i="3" s="1"/>
  <c r="AE106" i="3"/>
  <c r="BC105" i="3"/>
  <c r="Y106" i="3"/>
  <c r="AC105" i="3"/>
  <c r="AW109" i="3"/>
  <c r="G108" i="3"/>
  <c r="AV107" i="3"/>
  <c r="AX107" i="3" s="1"/>
  <c r="V107" i="3"/>
  <c r="X107" i="3" s="1"/>
  <c r="H106" i="3"/>
  <c r="AF105" i="3"/>
  <c r="AG106" i="3"/>
  <c r="P110" i="3"/>
  <c r="AQ109" i="3"/>
  <c r="H123" i="23" l="1"/>
  <c r="G123" i="23"/>
  <c r="AW122" i="23"/>
  <c r="BA122" i="23" s="1"/>
  <c r="AR134" i="23"/>
  <c r="S68" i="25"/>
  <c r="W68" i="25" s="1"/>
  <c r="R69" i="25" s="1"/>
  <c r="T68" i="25"/>
  <c r="AT67" i="25"/>
  <c r="AE67" i="25"/>
  <c r="AD68" i="25" s="1"/>
  <c r="K52" i="12"/>
  <c r="AL52" i="12"/>
  <c r="AM52" i="12" s="1"/>
  <c r="AN52" i="12" s="1"/>
  <c r="AO52" i="12"/>
  <c r="AO63" i="12" s="1"/>
  <c r="AP52" i="12"/>
  <c r="AP63" i="12" s="1"/>
  <c r="K123" i="23"/>
  <c r="BG112" i="23"/>
  <c r="AP113" i="23"/>
  <c r="AO113" i="23"/>
  <c r="AL113" i="23"/>
  <c r="AM113" i="23" s="1"/>
  <c r="AN113" i="23" s="1"/>
  <c r="Q113" i="23"/>
  <c r="AT59" i="29"/>
  <c r="AG58" i="29"/>
  <c r="AF59" i="29" s="1"/>
  <c r="AR43" i="29"/>
  <c r="Q43" i="29"/>
  <c r="L44" i="29" s="1"/>
  <c r="AR109" i="3"/>
  <c r="P107" i="20"/>
  <c r="BB107" i="3"/>
  <c r="L56" i="24"/>
  <c r="I57" i="24" s="1"/>
  <c r="R56" i="24"/>
  <c r="Q57" i="24" s="1"/>
  <c r="AT57" i="24" s="1"/>
  <c r="P60" i="24"/>
  <c r="M61" i="24" s="1"/>
  <c r="AC53" i="25"/>
  <c r="X54" i="25" s="1"/>
  <c r="AN107" i="20"/>
  <c r="AQ107" i="20"/>
  <c r="AR107" i="20" s="1"/>
  <c r="O108" i="20"/>
  <c r="AK105" i="3"/>
  <c r="BG105" i="3" s="1"/>
  <c r="T89" i="29"/>
  <c r="S89" i="29"/>
  <c r="W89" i="29" s="1"/>
  <c r="R90" i="29" s="1"/>
  <c r="U90" i="29" s="1"/>
  <c r="J44" i="29"/>
  <c r="H43" i="29"/>
  <c r="AP43" i="29" s="1"/>
  <c r="AZ103" i="29"/>
  <c r="C103" i="29"/>
  <c r="E104" i="29"/>
  <c r="G43" i="29"/>
  <c r="AL43" i="29" s="1"/>
  <c r="J98" i="26"/>
  <c r="L98" i="26" s="1"/>
  <c r="I99" i="26" s="1"/>
  <c r="F42" i="26"/>
  <c r="AI41" i="26"/>
  <c r="AJ41" i="26" s="1"/>
  <c r="AK41" i="26" s="1"/>
  <c r="AL41" i="26"/>
  <c r="AM41" i="26" s="1"/>
  <c r="AN41" i="26" s="1"/>
  <c r="N74" i="26"/>
  <c r="K103" i="26"/>
  <c r="O103" i="26"/>
  <c r="AQ103" i="26"/>
  <c r="AS103" i="26"/>
  <c r="AU103" i="26"/>
  <c r="C104" i="26"/>
  <c r="AZ104" i="26"/>
  <c r="E105" i="26"/>
  <c r="AG59" i="28"/>
  <c r="AF60" i="28" s="1"/>
  <c r="Z60" i="28"/>
  <c r="Y60" i="28"/>
  <c r="T84" i="28"/>
  <c r="S84" i="28"/>
  <c r="AE84" i="28" s="1"/>
  <c r="AD85" i="28" s="1"/>
  <c r="F44" i="28"/>
  <c r="I44" i="28" s="1"/>
  <c r="Q44" i="28" s="1"/>
  <c r="L45" i="28" s="1"/>
  <c r="AQ43" i="28"/>
  <c r="AS43" i="28"/>
  <c r="AU43" i="28"/>
  <c r="AZ104" i="28"/>
  <c r="C104" i="28"/>
  <c r="E105" i="28"/>
  <c r="BA104" i="25"/>
  <c r="BB104" i="25"/>
  <c r="BC104" i="25"/>
  <c r="G48" i="25"/>
  <c r="K48" i="25" s="1"/>
  <c r="J49" i="25"/>
  <c r="H48" i="25"/>
  <c r="AQ45" i="25"/>
  <c r="AU45" i="25"/>
  <c r="AS45" i="25"/>
  <c r="AI45" i="25"/>
  <c r="H39" i="24"/>
  <c r="F40" i="24" s="1"/>
  <c r="G40" i="24" s="1"/>
  <c r="AR40" i="24" s="1"/>
  <c r="AB103" i="25"/>
  <c r="AR103" i="25"/>
  <c r="AA103" i="25"/>
  <c r="U103" i="25"/>
  <c r="V103" i="25"/>
  <c r="L46" i="25"/>
  <c r="C104" i="25"/>
  <c r="BD104" i="25"/>
  <c r="AZ104" i="25"/>
  <c r="E105" i="25"/>
  <c r="AW38" i="24"/>
  <c r="AX38" i="24" s="1"/>
  <c r="AY38" i="24" s="1"/>
  <c r="C104" i="24"/>
  <c r="AZ104" i="24"/>
  <c r="E105" i="24"/>
  <c r="AS103" i="24"/>
  <c r="AU103" i="24"/>
  <c r="AQ103" i="24"/>
  <c r="AW39" i="15"/>
  <c r="AX39" i="15" s="1"/>
  <c r="AY39" i="15" s="1"/>
  <c r="G40" i="15"/>
  <c r="AR40" i="15" s="1"/>
  <c r="AS105" i="15"/>
  <c r="AU105" i="15"/>
  <c r="AQ105" i="15"/>
  <c r="BG38" i="23"/>
  <c r="AZ38" i="23"/>
  <c r="BC38" i="23" s="1"/>
  <c r="F40" i="23"/>
  <c r="AI39" i="23"/>
  <c r="AL39" i="23"/>
  <c r="AW42" i="29"/>
  <c r="AX42" i="29" s="1"/>
  <c r="AY42" i="29" s="1"/>
  <c r="AC58" i="29"/>
  <c r="X59" i="29" s="1"/>
  <c r="O102" i="25"/>
  <c r="I102" i="25"/>
  <c r="T68" i="15"/>
  <c r="S69" i="15" s="1"/>
  <c r="P68" i="15"/>
  <c r="M69" i="15" s="1"/>
  <c r="N69" i="15" s="1"/>
  <c r="R68" i="15"/>
  <c r="Q69" i="15" s="1"/>
  <c r="AT69" i="15" s="1"/>
  <c r="AZ88" i="14"/>
  <c r="BC88" i="14" s="1"/>
  <c r="AE23" i="19"/>
  <c r="AD24" i="19" s="1"/>
  <c r="AT24" i="19" s="1"/>
  <c r="AW50" i="13"/>
  <c r="AV89" i="14"/>
  <c r="AZ89" i="14" s="1"/>
  <c r="BC89" i="14" s="1"/>
  <c r="AR104" i="19"/>
  <c r="Y28" i="17"/>
  <c r="AC28" i="17" s="1"/>
  <c r="X29" i="17" s="1"/>
  <c r="Z28" i="17"/>
  <c r="AG27" i="17"/>
  <c r="AF28" i="17" s="1"/>
  <c r="T91" i="14"/>
  <c r="AG100" i="14"/>
  <c r="AF101" i="14" s="1"/>
  <c r="AW51" i="12"/>
  <c r="BA51" i="12" s="1"/>
  <c r="AG29" i="19"/>
  <c r="AF30" i="19" s="1"/>
  <c r="Y30" i="19"/>
  <c r="AC30" i="19" s="1"/>
  <c r="X31" i="19" s="1"/>
  <c r="Z30" i="19"/>
  <c r="AI63" i="12"/>
  <c r="AN50" i="12"/>
  <c r="K17" i="17"/>
  <c r="AQ17" i="17" s="1"/>
  <c r="AK50" i="12"/>
  <c r="AJ63" i="12"/>
  <c r="AL17" i="17"/>
  <c r="AM17" i="17" s="1"/>
  <c r="AN17" i="17" s="1"/>
  <c r="AO16" i="19"/>
  <c r="AP16" i="19"/>
  <c r="AI16" i="19"/>
  <c r="AJ16" i="19" s="1"/>
  <c r="AK16" i="19" s="1"/>
  <c r="K16" i="19"/>
  <c r="M51" i="13"/>
  <c r="AL51" i="13" s="1"/>
  <c r="N51" i="13"/>
  <c r="P52" i="13"/>
  <c r="W91" i="14"/>
  <c r="R92" i="14" s="1"/>
  <c r="T92" i="14" s="1"/>
  <c r="S25" i="19"/>
  <c r="W25" i="19" s="1"/>
  <c r="R26" i="19" s="1"/>
  <c r="T25" i="19"/>
  <c r="AL16" i="19"/>
  <c r="AM16" i="19" s="1"/>
  <c r="AN16" i="19" s="1"/>
  <c r="K90" i="14"/>
  <c r="AU90" i="14" s="1"/>
  <c r="AI90" i="14"/>
  <c r="AJ90" i="14" s="1"/>
  <c r="AK90" i="14" s="1"/>
  <c r="AP17" i="17"/>
  <c r="AO17" i="17"/>
  <c r="N34" i="19"/>
  <c r="M34" i="19"/>
  <c r="Q34" i="19" s="1"/>
  <c r="L35" i="19" s="1"/>
  <c r="P35" i="19"/>
  <c r="M102" i="14"/>
  <c r="Q102" i="14" s="1"/>
  <c r="L103" i="14" s="1"/>
  <c r="N102" i="14"/>
  <c r="P103" i="14"/>
  <c r="V105" i="17"/>
  <c r="U105" i="17"/>
  <c r="AA105" i="19"/>
  <c r="I105" i="19"/>
  <c r="O105" i="17"/>
  <c r="AA105" i="17"/>
  <c r="AB105" i="19"/>
  <c r="I105" i="17"/>
  <c r="V105" i="19"/>
  <c r="U105" i="19"/>
  <c r="AB105" i="17"/>
  <c r="O105" i="19"/>
  <c r="AT32" i="17"/>
  <c r="AE32" i="17"/>
  <c r="AD33" i="17" s="1"/>
  <c r="AO90" i="14"/>
  <c r="AP90" i="14"/>
  <c r="M34" i="17"/>
  <c r="Q34" i="17" s="1"/>
  <c r="L35" i="17" s="1"/>
  <c r="P35" i="17"/>
  <c r="N34" i="17"/>
  <c r="Y101" i="14"/>
  <c r="AC101" i="14" s="1"/>
  <c r="X102" i="14" s="1"/>
  <c r="Z101" i="14"/>
  <c r="T33" i="17"/>
  <c r="S33" i="17"/>
  <c r="W33" i="17" s="1"/>
  <c r="R34" i="17" s="1"/>
  <c r="AT92" i="14"/>
  <c r="E106" i="19"/>
  <c r="AZ105" i="19"/>
  <c r="C105" i="19"/>
  <c r="L102" i="18"/>
  <c r="I103" i="18" s="1"/>
  <c r="J103" i="18" s="1"/>
  <c r="F53" i="14"/>
  <c r="G53" i="14" s="1"/>
  <c r="AR53" i="14" s="1"/>
  <c r="AR104" i="16"/>
  <c r="AZ105" i="16"/>
  <c r="BD105" i="16"/>
  <c r="C105" i="16"/>
  <c r="E106" i="16"/>
  <c r="O103" i="18"/>
  <c r="AU103" i="18"/>
  <c r="AS103" i="18"/>
  <c r="AQ103" i="18"/>
  <c r="K103" i="18"/>
  <c r="E105" i="17"/>
  <c r="C104" i="17"/>
  <c r="AZ104" i="17"/>
  <c r="AZ104" i="18"/>
  <c r="E105" i="18"/>
  <c r="C104" i="18"/>
  <c r="AL52" i="14"/>
  <c r="AM52" i="14" s="1"/>
  <c r="AN52" i="14" s="1"/>
  <c r="AJ52" i="14"/>
  <c r="AK52" i="14" s="1"/>
  <c r="AW46" i="18"/>
  <c r="AX46" i="18" s="1"/>
  <c r="AY46" i="18" s="1"/>
  <c r="H47" i="18"/>
  <c r="AZ106" i="15"/>
  <c r="C106" i="15"/>
  <c r="E107" i="15"/>
  <c r="P77" i="18"/>
  <c r="M78" i="18" s="1"/>
  <c r="N78" i="18" s="1"/>
  <c r="R76" i="18"/>
  <c r="Q77" i="18" s="1"/>
  <c r="AT77" i="18" s="1"/>
  <c r="T76" i="18"/>
  <c r="AV108" i="3"/>
  <c r="AX108" i="3" s="1"/>
  <c r="G109" i="3"/>
  <c r="V108" i="3"/>
  <c r="X108" i="3" s="1"/>
  <c r="Y107" i="3"/>
  <c r="AC106" i="3"/>
  <c r="AD105" i="3"/>
  <c r="AJ105" i="3" s="1"/>
  <c r="H107" i="3"/>
  <c r="AF106" i="3"/>
  <c r="AD106" i="3" s="1"/>
  <c r="AG107" i="3"/>
  <c r="AW110" i="3"/>
  <c r="AE107" i="3"/>
  <c r="BC106" i="3"/>
  <c r="A108" i="3"/>
  <c r="BI108" i="3" s="1"/>
  <c r="BJ108" i="3" s="1"/>
  <c r="AQ110" i="3"/>
  <c r="AL107" i="3"/>
  <c r="BD106" i="3"/>
  <c r="AH107" i="3"/>
  <c r="AM107" i="3"/>
  <c r="AL63" i="12" l="1"/>
  <c r="AN63" i="12"/>
  <c r="AM63" i="12"/>
  <c r="S69" i="25"/>
  <c r="W69" i="25" s="1"/>
  <c r="R70" i="25" s="1"/>
  <c r="T69" i="25"/>
  <c r="AE68" i="25"/>
  <c r="AD69" i="25" s="1"/>
  <c r="AT68" i="25"/>
  <c r="G53" i="12"/>
  <c r="H53" i="12"/>
  <c r="AS52" i="12"/>
  <c r="AS63" i="12" s="1"/>
  <c r="AQ52" i="12"/>
  <c r="AU52" i="12"/>
  <c r="AU63" i="12" s="1"/>
  <c r="AW123" i="23"/>
  <c r="BA123" i="23" s="1"/>
  <c r="G124" i="23"/>
  <c r="H124" i="23"/>
  <c r="AL108" i="3"/>
  <c r="AU113" i="23"/>
  <c r="L114" i="23"/>
  <c r="AS113" i="23"/>
  <c r="AQ113" i="23"/>
  <c r="Z59" i="29"/>
  <c r="AA59" i="29"/>
  <c r="AE59" i="29" s="1"/>
  <c r="AD60" i="29" s="1"/>
  <c r="O45" i="28"/>
  <c r="P46" i="28"/>
  <c r="M45" i="28"/>
  <c r="N45" i="28"/>
  <c r="O44" i="29"/>
  <c r="N44" i="29"/>
  <c r="M44" i="29"/>
  <c r="P45" i="29"/>
  <c r="AR110" i="3"/>
  <c r="P108" i="20"/>
  <c r="BB108" i="3"/>
  <c r="Y54" i="25"/>
  <c r="AG54" i="25" s="1"/>
  <c r="AF55" i="25" s="1"/>
  <c r="Z54" i="25"/>
  <c r="K57" i="24"/>
  <c r="R57" i="24" s="1"/>
  <c r="Q58" i="24" s="1"/>
  <c r="AT58" i="24" s="1"/>
  <c r="J57" i="24"/>
  <c r="O61" i="24"/>
  <c r="N61" i="24"/>
  <c r="AK106" i="3"/>
  <c r="BG106" i="3" s="1"/>
  <c r="AJ106" i="3"/>
  <c r="BF106" i="3" s="1"/>
  <c r="AN108" i="20"/>
  <c r="O109" i="20"/>
  <c r="AQ108" i="20"/>
  <c r="AR108" i="20" s="1"/>
  <c r="K105" i="15"/>
  <c r="O105" i="15"/>
  <c r="T90" i="29"/>
  <c r="S90" i="29"/>
  <c r="W90" i="29" s="1"/>
  <c r="R91" i="29" s="1"/>
  <c r="U91" i="29" s="1"/>
  <c r="AZ104" i="29"/>
  <c r="C104" i="29"/>
  <c r="E105" i="29"/>
  <c r="K43" i="29"/>
  <c r="AI43" i="29"/>
  <c r="AM43" i="29"/>
  <c r="AN43" i="29" s="1"/>
  <c r="AW41" i="26"/>
  <c r="AX41" i="26" s="1"/>
  <c r="AY41" i="26" s="1"/>
  <c r="AW43" i="28"/>
  <c r="AX43" i="28" s="1"/>
  <c r="AY43" i="28" s="1"/>
  <c r="Y59" i="29"/>
  <c r="AO43" i="29"/>
  <c r="J99" i="26"/>
  <c r="L99" i="26" s="1"/>
  <c r="I100" i="26" s="1"/>
  <c r="O104" i="26"/>
  <c r="AQ104" i="26"/>
  <c r="AS104" i="26"/>
  <c r="AU104" i="26"/>
  <c r="K104" i="26"/>
  <c r="T74" i="26"/>
  <c r="S75" i="26" s="1"/>
  <c r="R74" i="26"/>
  <c r="Q75" i="26" s="1"/>
  <c r="G42" i="26"/>
  <c r="AR42" i="26" s="1"/>
  <c r="P74" i="26"/>
  <c r="M75" i="26" s="1"/>
  <c r="C105" i="26"/>
  <c r="AZ105" i="26"/>
  <c r="E106" i="26"/>
  <c r="AG60" i="28"/>
  <c r="AF61" i="28" s="1"/>
  <c r="AT85" i="28"/>
  <c r="W84" i="28"/>
  <c r="R85" i="28" s="1"/>
  <c r="V85" i="28" s="1"/>
  <c r="J45" i="28"/>
  <c r="H44" i="28"/>
  <c r="AP44" i="28" s="1"/>
  <c r="G44" i="28"/>
  <c r="K44" i="28" s="1"/>
  <c r="F45" i="28" s="1"/>
  <c r="I45" i="28" s="1"/>
  <c r="C105" i="28"/>
  <c r="AZ105" i="28"/>
  <c r="E106" i="28"/>
  <c r="AC60" i="28"/>
  <c r="X61" i="28" s="1"/>
  <c r="AB61" i="28" s="1"/>
  <c r="AI39" i="24"/>
  <c r="AJ39" i="24" s="1"/>
  <c r="AK39" i="24" s="1"/>
  <c r="AL39" i="24"/>
  <c r="AM39" i="24" s="1"/>
  <c r="AN39" i="24" s="1"/>
  <c r="F49" i="25"/>
  <c r="AA104" i="25"/>
  <c r="AB104" i="25"/>
  <c r="AR104" i="25"/>
  <c r="V104" i="25"/>
  <c r="U104" i="25"/>
  <c r="BA105" i="25"/>
  <c r="BB105" i="25"/>
  <c r="BC105" i="25"/>
  <c r="AZ105" i="25"/>
  <c r="C105" i="25"/>
  <c r="BD105" i="25"/>
  <c r="E106" i="25"/>
  <c r="AJ45" i="25"/>
  <c r="AK45" i="25" s="1"/>
  <c r="AW45" i="25" s="1"/>
  <c r="AX45" i="25" s="1"/>
  <c r="AY45" i="25" s="1"/>
  <c r="N46" i="25"/>
  <c r="AP46" i="25" s="1"/>
  <c r="P47" i="25"/>
  <c r="M46" i="25"/>
  <c r="AL46" i="25" s="1"/>
  <c r="AQ104" i="24"/>
  <c r="AS104" i="24"/>
  <c r="AU104" i="24"/>
  <c r="C105" i="24"/>
  <c r="AZ105" i="24"/>
  <c r="E106" i="24"/>
  <c r="H40" i="24"/>
  <c r="H40" i="15"/>
  <c r="K106" i="15"/>
  <c r="O106" i="15"/>
  <c r="AQ106" i="15"/>
  <c r="AS106" i="15"/>
  <c r="AU106" i="15"/>
  <c r="G40" i="23"/>
  <c r="AR40" i="23" s="1"/>
  <c r="AJ39" i="23"/>
  <c r="AK39" i="23" s="1"/>
  <c r="AM39" i="23"/>
  <c r="AN39" i="23" s="1"/>
  <c r="O103" i="25"/>
  <c r="I103" i="25"/>
  <c r="T69" i="15"/>
  <c r="S70" i="15" s="1"/>
  <c r="P69" i="15"/>
  <c r="M70" i="15" s="1"/>
  <c r="N70" i="15" s="1"/>
  <c r="R69" i="15"/>
  <c r="Q70" i="15" s="1"/>
  <c r="AT70" i="15" s="1"/>
  <c r="BF105" i="3"/>
  <c r="AE24" i="19"/>
  <c r="AD25" i="19" s="1"/>
  <c r="AT25" i="19" s="1"/>
  <c r="BG89" i="14"/>
  <c r="BA50" i="13"/>
  <c r="AI105" i="3"/>
  <c r="BE105" i="3" s="1"/>
  <c r="AG28" i="17"/>
  <c r="AF29" i="17" s="1"/>
  <c r="Z29" i="17"/>
  <c r="Y29" i="17"/>
  <c r="AC29" i="17" s="1"/>
  <c r="X30" i="17" s="1"/>
  <c r="F18" i="17"/>
  <c r="G18" i="17" s="1"/>
  <c r="AI18" i="17" s="1"/>
  <c r="AJ18" i="17" s="1"/>
  <c r="AK18" i="17" s="1"/>
  <c r="AU17" i="17"/>
  <c r="AS17" i="17"/>
  <c r="AR105" i="19"/>
  <c r="AG30" i="19"/>
  <c r="AF31" i="19" s="1"/>
  <c r="AW50" i="12"/>
  <c r="AK63" i="12"/>
  <c r="S92" i="14"/>
  <c r="W92" i="14" s="1"/>
  <c r="R93" i="14" s="1"/>
  <c r="S93" i="14" s="1"/>
  <c r="W93" i="14" s="1"/>
  <c r="R94" i="14" s="1"/>
  <c r="Z31" i="19"/>
  <c r="Y31" i="19"/>
  <c r="AC31" i="19" s="1"/>
  <c r="X32" i="19" s="1"/>
  <c r="AM51" i="13"/>
  <c r="T26" i="19"/>
  <c r="S26" i="19"/>
  <c r="W26" i="19" s="1"/>
  <c r="R27" i="19" s="1"/>
  <c r="AI51" i="13"/>
  <c r="Q51" i="13"/>
  <c r="L52" i="13" s="1"/>
  <c r="F17" i="19"/>
  <c r="AU16" i="19"/>
  <c r="AQ16" i="19"/>
  <c r="AS16" i="19"/>
  <c r="AP51" i="13"/>
  <c r="AO51" i="13"/>
  <c r="AG101" i="14"/>
  <c r="AF102" i="14" s="1"/>
  <c r="F91" i="14"/>
  <c r="AQ90" i="14"/>
  <c r="AS90" i="14"/>
  <c r="AB106" i="17"/>
  <c r="O106" i="17"/>
  <c r="U106" i="17"/>
  <c r="AB106" i="19"/>
  <c r="O106" i="19"/>
  <c r="I106" i="17"/>
  <c r="V106" i="19"/>
  <c r="AA106" i="17"/>
  <c r="U106" i="19"/>
  <c r="V106" i="17"/>
  <c r="AA106" i="19"/>
  <c r="I106" i="19"/>
  <c r="Y102" i="14"/>
  <c r="AC102" i="14" s="1"/>
  <c r="X103" i="14" s="1"/>
  <c r="Z102" i="14"/>
  <c r="P36" i="17"/>
  <c r="N35" i="17"/>
  <c r="M35" i="17"/>
  <c r="Q35" i="17" s="1"/>
  <c r="L36" i="17" s="1"/>
  <c r="P104" i="14"/>
  <c r="M103" i="14"/>
  <c r="Q103" i="14" s="1"/>
  <c r="L104" i="14" s="1"/>
  <c r="N103" i="14"/>
  <c r="N35" i="19"/>
  <c r="P36" i="19"/>
  <c r="M35" i="19"/>
  <c r="Q35" i="19" s="1"/>
  <c r="L36" i="19" s="1"/>
  <c r="T34" i="17"/>
  <c r="S34" i="17"/>
  <c r="W34" i="17" s="1"/>
  <c r="R35" i="17" s="1"/>
  <c r="AT33" i="17"/>
  <c r="AE33" i="17"/>
  <c r="AD34" i="17" s="1"/>
  <c r="C106" i="19"/>
  <c r="E107" i="19"/>
  <c r="AZ106" i="19"/>
  <c r="L103" i="18"/>
  <c r="I104" i="18" s="1"/>
  <c r="J104" i="18" s="1"/>
  <c r="BD106" i="16"/>
  <c r="AZ106" i="16"/>
  <c r="E107" i="16"/>
  <c r="C106" i="16"/>
  <c r="AR105" i="16"/>
  <c r="AV52" i="14"/>
  <c r="AZ52" i="14" s="1"/>
  <c r="BC52" i="14" s="1"/>
  <c r="C105" i="17"/>
  <c r="E106" i="17"/>
  <c r="AZ105" i="17"/>
  <c r="K104" i="18"/>
  <c r="AQ104" i="18"/>
  <c r="AU104" i="18"/>
  <c r="AS104" i="18"/>
  <c r="O104" i="18"/>
  <c r="C105" i="18"/>
  <c r="E106" i="18"/>
  <c r="AZ105" i="18"/>
  <c r="H53" i="14"/>
  <c r="F48" i="18"/>
  <c r="G48" i="18" s="1"/>
  <c r="AR48" i="18" s="1"/>
  <c r="AI47" i="18"/>
  <c r="AJ47" i="18" s="1"/>
  <c r="AK47" i="18" s="1"/>
  <c r="AL47" i="18"/>
  <c r="AM47" i="18" s="1"/>
  <c r="AN47" i="18" s="1"/>
  <c r="C107" i="15"/>
  <c r="AZ107" i="15"/>
  <c r="E108" i="15"/>
  <c r="S77" i="18"/>
  <c r="T77" i="18" s="1"/>
  <c r="S78" i="18" s="1"/>
  <c r="P78" i="18"/>
  <c r="M79" i="18" s="1"/>
  <c r="N79" i="18" s="1"/>
  <c r="R77" i="18"/>
  <c r="Q78" i="18" s="1"/>
  <c r="AT78" i="18" s="1"/>
  <c r="L73" i="15"/>
  <c r="I74" i="15" s="1"/>
  <c r="J74" i="15" s="1"/>
  <c r="AQ111" i="3"/>
  <c r="AN111" i="3"/>
  <c r="AN112" i="3" s="1"/>
  <c r="AM108" i="3"/>
  <c r="A109" i="3"/>
  <c r="BI109" i="3" s="1"/>
  <c r="BJ109" i="3" s="1"/>
  <c r="AE108" i="3"/>
  <c r="BC107" i="3"/>
  <c r="AG108" i="3"/>
  <c r="AV109" i="3"/>
  <c r="AX109" i="3" s="1"/>
  <c r="V109" i="3"/>
  <c r="X109" i="3" s="1"/>
  <c r="G110" i="3"/>
  <c r="BD107" i="3"/>
  <c r="AH108" i="3"/>
  <c r="H108" i="3"/>
  <c r="AF107" i="3"/>
  <c r="AI106" i="3"/>
  <c r="BE106" i="3" s="1"/>
  <c r="AW111" i="3"/>
  <c r="Y108" i="3"/>
  <c r="AC107" i="3"/>
  <c r="P111" i="3"/>
  <c r="P112" i="3" s="1"/>
  <c r="AT69" i="25" l="1"/>
  <c r="AE69" i="25"/>
  <c r="AD70" i="25" s="1"/>
  <c r="N52" i="13"/>
  <c r="P53" i="13"/>
  <c r="S70" i="25"/>
  <c r="W70" i="25" s="1"/>
  <c r="R71" i="25" s="1"/>
  <c r="T70" i="25"/>
  <c r="AW52" i="12"/>
  <c r="AW63" i="12" s="1"/>
  <c r="AQ63" i="12"/>
  <c r="AV113" i="23"/>
  <c r="BG113" i="23" s="1"/>
  <c r="P115" i="23"/>
  <c r="M114" i="23"/>
  <c r="AI114" i="23" s="1"/>
  <c r="AJ114" i="23" s="1"/>
  <c r="AK114" i="23" s="1"/>
  <c r="O114" i="23"/>
  <c r="N114" i="23"/>
  <c r="AT60" i="29"/>
  <c r="Q45" i="28"/>
  <c r="L46" i="28" s="1"/>
  <c r="AG59" i="29"/>
  <c r="AF60" i="29" s="1"/>
  <c r="AR111" i="3"/>
  <c r="BB109" i="3"/>
  <c r="P109" i="20"/>
  <c r="L57" i="24"/>
  <c r="I58" i="24" s="1"/>
  <c r="P61" i="24"/>
  <c r="M62" i="24" s="1"/>
  <c r="N62" i="24" s="1"/>
  <c r="AC54" i="25"/>
  <c r="X55" i="25" s="1"/>
  <c r="T57" i="24"/>
  <c r="S58" i="24" s="1"/>
  <c r="AN109" i="20"/>
  <c r="O110" i="20"/>
  <c r="AQ109" i="20"/>
  <c r="AR109" i="20" s="1"/>
  <c r="AK107" i="3"/>
  <c r="BG107" i="3" s="1"/>
  <c r="T91" i="29"/>
  <c r="S91" i="29"/>
  <c r="W91" i="29" s="1"/>
  <c r="R92" i="29" s="1"/>
  <c r="U92" i="29" s="1"/>
  <c r="AZ105" i="29"/>
  <c r="C105" i="29"/>
  <c r="E106" i="29"/>
  <c r="F44" i="29"/>
  <c r="I44" i="29" s="1"/>
  <c r="AR44" i="29" s="1"/>
  <c r="AQ43" i="29"/>
  <c r="AS43" i="29"/>
  <c r="AU43" i="29"/>
  <c r="AJ43" i="29"/>
  <c r="AK43" i="29" s="1"/>
  <c r="N75" i="26"/>
  <c r="R75" i="26" s="1"/>
  <c r="Q76" i="26" s="1"/>
  <c r="H42" i="26"/>
  <c r="AS105" i="26"/>
  <c r="AU105" i="26"/>
  <c r="AQ105" i="26"/>
  <c r="O105" i="26"/>
  <c r="K105" i="26"/>
  <c r="J100" i="26"/>
  <c r="L100" i="26" s="1"/>
  <c r="I101" i="26" s="1"/>
  <c r="AT75" i="26"/>
  <c r="AZ106" i="26"/>
  <c r="C106" i="26"/>
  <c r="E107" i="26"/>
  <c r="H45" i="28"/>
  <c r="AP45" i="28" s="1"/>
  <c r="J46" i="28"/>
  <c r="G45" i="28"/>
  <c r="AL45" i="28" s="1"/>
  <c r="T85" i="28"/>
  <c r="S85" i="28"/>
  <c r="AE85" i="28" s="1"/>
  <c r="AD86" i="28" s="1"/>
  <c r="AO44" i="28"/>
  <c r="AI44" i="28"/>
  <c r="AJ44" i="28" s="1"/>
  <c r="AK44" i="28" s="1"/>
  <c r="AQ44" i="28"/>
  <c r="AL44" i="28"/>
  <c r="AM44" i="28" s="1"/>
  <c r="AN44" i="28" s="1"/>
  <c r="AU44" i="28"/>
  <c r="AS44" i="28"/>
  <c r="Z61" i="28"/>
  <c r="Y61" i="28"/>
  <c r="AZ106" i="28"/>
  <c r="C106" i="28"/>
  <c r="E107" i="28"/>
  <c r="AW39" i="24"/>
  <c r="AX39" i="24" s="1"/>
  <c r="AY39" i="24" s="1"/>
  <c r="G49" i="25"/>
  <c r="K49" i="25" s="1"/>
  <c r="H49" i="25"/>
  <c r="J50" i="25"/>
  <c r="V105" i="25"/>
  <c r="AA105" i="25"/>
  <c r="AB105" i="25"/>
  <c r="AR105" i="25"/>
  <c r="U105" i="25"/>
  <c r="BC106" i="25"/>
  <c r="BA106" i="25"/>
  <c r="BB106" i="25"/>
  <c r="AO46" i="25"/>
  <c r="AM46" i="25"/>
  <c r="AN46" i="25" s="1"/>
  <c r="Q46" i="25"/>
  <c r="BD106" i="25"/>
  <c r="C106" i="25"/>
  <c r="AZ106" i="25"/>
  <c r="E107" i="25"/>
  <c r="AZ106" i="24"/>
  <c r="C106" i="24"/>
  <c r="E107" i="24"/>
  <c r="AQ105" i="24"/>
  <c r="AS105" i="24"/>
  <c r="AU105" i="24"/>
  <c r="F41" i="24"/>
  <c r="G41" i="24" s="1"/>
  <c r="AR41" i="24" s="1"/>
  <c r="AI40" i="24"/>
  <c r="AJ40" i="24" s="1"/>
  <c r="AL40" i="24"/>
  <c r="AM40" i="24" s="1"/>
  <c r="F41" i="15"/>
  <c r="AI40" i="15"/>
  <c r="AJ40" i="15" s="1"/>
  <c r="AK40" i="15" s="1"/>
  <c r="AL40" i="15"/>
  <c r="AM40" i="15" s="1"/>
  <c r="AN40" i="15" s="1"/>
  <c r="AQ107" i="15"/>
  <c r="AS107" i="15"/>
  <c r="AU107" i="15"/>
  <c r="AV39" i="23"/>
  <c r="BG39" i="23" s="1"/>
  <c r="H40" i="23"/>
  <c r="AC59" i="29"/>
  <c r="X60" i="29" s="1"/>
  <c r="O104" i="25"/>
  <c r="I104" i="25"/>
  <c r="T70" i="15"/>
  <c r="S71" i="15" s="1"/>
  <c r="AE25" i="19"/>
  <c r="AD26" i="19" s="1"/>
  <c r="AT26" i="19" s="1"/>
  <c r="AV90" i="14"/>
  <c r="AZ90" i="14" s="1"/>
  <c r="BC90" i="14" s="1"/>
  <c r="AW16" i="19"/>
  <c r="AW17" i="17"/>
  <c r="AL109" i="3"/>
  <c r="Z30" i="17"/>
  <c r="Y30" i="17"/>
  <c r="AC30" i="17" s="1"/>
  <c r="X31" i="17" s="1"/>
  <c r="AG29" i="17"/>
  <c r="AF30" i="17" s="1"/>
  <c r="H18" i="17"/>
  <c r="AO18" i="17" s="1"/>
  <c r="J19" i="17"/>
  <c r="AN51" i="13"/>
  <c r="AE92" i="14"/>
  <c r="AD93" i="14" s="1"/>
  <c r="AT93" i="14" s="1"/>
  <c r="T93" i="14"/>
  <c r="Z32" i="19"/>
  <c r="Y32" i="19"/>
  <c r="AC32" i="19" s="1"/>
  <c r="X33" i="19" s="1"/>
  <c r="BA50" i="12"/>
  <c r="AG31" i="19"/>
  <c r="AF32" i="19" s="1"/>
  <c r="AG102" i="14"/>
  <c r="AF103" i="14" s="1"/>
  <c r="AJ51" i="13"/>
  <c r="S27" i="19"/>
  <c r="W27" i="19" s="1"/>
  <c r="R28" i="19" s="1"/>
  <c r="T27" i="19"/>
  <c r="M52" i="13"/>
  <c r="AL52" i="13" s="1"/>
  <c r="AQ51" i="13"/>
  <c r="AU51" i="13"/>
  <c r="AS51" i="13"/>
  <c r="J18" i="19"/>
  <c r="G17" i="19"/>
  <c r="AI17" i="19" s="1"/>
  <c r="H17" i="19"/>
  <c r="H91" i="14"/>
  <c r="J92" i="14"/>
  <c r="G91" i="14"/>
  <c r="AI91" i="14" s="1"/>
  <c r="AJ91" i="14" s="1"/>
  <c r="AK91" i="14" s="1"/>
  <c r="AL18" i="17"/>
  <c r="AM18" i="17" s="1"/>
  <c r="AN18" i="17" s="1"/>
  <c r="K18" i="17"/>
  <c r="P37" i="19"/>
  <c r="M36" i="19"/>
  <c r="Q36" i="19" s="1"/>
  <c r="L37" i="19" s="1"/>
  <c r="N36" i="19"/>
  <c r="V107" i="17"/>
  <c r="O107" i="17"/>
  <c r="U107" i="19"/>
  <c r="AB107" i="17"/>
  <c r="I107" i="17"/>
  <c r="U107" i="17"/>
  <c r="O107" i="19"/>
  <c r="AB107" i="19"/>
  <c r="I107" i="19"/>
  <c r="AA107" i="17"/>
  <c r="AA107" i="19"/>
  <c r="V107" i="19"/>
  <c r="AD107" i="3"/>
  <c r="AJ107" i="3" s="1"/>
  <c r="P37" i="17"/>
  <c r="M36" i="17"/>
  <c r="Q36" i="17" s="1"/>
  <c r="L37" i="17" s="1"/>
  <c r="N36" i="17"/>
  <c r="N104" i="14"/>
  <c r="M104" i="14"/>
  <c r="Q104" i="14" s="1"/>
  <c r="L105" i="14" s="1"/>
  <c r="P105" i="14"/>
  <c r="S94" i="14"/>
  <c r="W94" i="14" s="1"/>
  <c r="R95" i="14" s="1"/>
  <c r="T94" i="14"/>
  <c r="AT34" i="17"/>
  <c r="AE34" i="17"/>
  <c r="AD35" i="17" s="1"/>
  <c r="AR106" i="19"/>
  <c r="T35" i="17"/>
  <c r="S35" i="17"/>
  <c r="W35" i="17" s="1"/>
  <c r="R36" i="17" s="1"/>
  <c r="Y103" i="14"/>
  <c r="AC103" i="14" s="1"/>
  <c r="X104" i="14" s="1"/>
  <c r="Z103" i="14"/>
  <c r="E108" i="19"/>
  <c r="C107" i="19"/>
  <c r="AZ107" i="19"/>
  <c r="BG52" i="14"/>
  <c r="L104" i="18"/>
  <c r="I105" i="18" s="1"/>
  <c r="J105" i="18" s="1"/>
  <c r="BD107" i="16"/>
  <c r="C107" i="16"/>
  <c r="E108" i="16"/>
  <c r="AZ107" i="16"/>
  <c r="AR106" i="16"/>
  <c r="AZ106" i="17"/>
  <c r="C106" i="17"/>
  <c r="E107" i="17"/>
  <c r="AZ106" i="18"/>
  <c r="C106" i="18"/>
  <c r="E107" i="18"/>
  <c r="AQ105" i="18"/>
  <c r="K105" i="18"/>
  <c r="AS105" i="18"/>
  <c r="O105" i="18"/>
  <c r="AU105" i="18"/>
  <c r="F54" i="14"/>
  <c r="AL53" i="14"/>
  <c r="AI53" i="14"/>
  <c r="H48" i="18"/>
  <c r="AI48" i="18" s="1"/>
  <c r="AJ48" i="18" s="1"/>
  <c r="AK48" i="18" s="1"/>
  <c r="AW47" i="18"/>
  <c r="AX47" i="18" s="1"/>
  <c r="AY47" i="18" s="1"/>
  <c r="E109" i="15"/>
  <c r="C108" i="15"/>
  <c r="AZ108" i="15"/>
  <c r="P79" i="18"/>
  <c r="M80" i="18" s="1"/>
  <c r="N80" i="18" s="1"/>
  <c r="R78" i="18"/>
  <c r="Q79" i="18" s="1"/>
  <c r="AT79" i="18" s="1"/>
  <c r="T78" i="18"/>
  <c r="Y109" i="3"/>
  <c r="AC108" i="3"/>
  <c r="AV110" i="3"/>
  <c r="AX110" i="3" s="1"/>
  <c r="G111" i="3"/>
  <c r="V110" i="3"/>
  <c r="X110" i="3" s="1"/>
  <c r="AE109" i="3"/>
  <c r="BC108" i="3"/>
  <c r="AG109" i="3"/>
  <c r="AN113" i="3"/>
  <c r="AW112" i="3"/>
  <c r="H109" i="3"/>
  <c r="AF108" i="3"/>
  <c r="AK108" i="3" s="1"/>
  <c r="AH109" i="3"/>
  <c r="BD108" i="3"/>
  <c r="A110" i="3"/>
  <c r="BI110" i="3" s="1"/>
  <c r="BJ110" i="3" s="1"/>
  <c r="AM109" i="3"/>
  <c r="AM110" i="3" s="1"/>
  <c r="AQ112" i="3"/>
  <c r="AM52" i="13" l="1"/>
  <c r="AL63" i="13"/>
  <c r="AO52" i="13"/>
  <c r="AO63" i="13" s="1"/>
  <c r="AP52" i="13"/>
  <c r="AP63" i="13" s="1"/>
  <c r="Q52" i="13"/>
  <c r="AT70" i="25"/>
  <c r="AE70" i="25"/>
  <c r="AD71" i="25" s="1"/>
  <c r="AI52" i="13"/>
  <c r="T71" i="25"/>
  <c r="S71" i="25"/>
  <c r="W71" i="25" s="1"/>
  <c r="R72" i="25" s="1"/>
  <c r="BA52" i="12"/>
  <c r="BA63" i="12" s="1"/>
  <c r="AZ113" i="23"/>
  <c r="BC113" i="23" s="1"/>
  <c r="AP114" i="23"/>
  <c r="AO114" i="23"/>
  <c r="Q114" i="23"/>
  <c r="AL114" i="23"/>
  <c r="AM114" i="23" s="1"/>
  <c r="AN114" i="23" s="1"/>
  <c r="Q44" i="29"/>
  <c r="L45" i="29" s="1"/>
  <c r="P46" i="29" s="1"/>
  <c r="Z60" i="29"/>
  <c r="AA60" i="29"/>
  <c r="AE60" i="29" s="1"/>
  <c r="AD61" i="29" s="1"/>
  <c r="O46" i="28"/>
  <c r="M46" i="28"/>
  <c r="N46" i="28"/>
  <c r="P47" i="28"/>
  <c r="AR112" i="3"/>
  <c r="BB110" i="3"/>
  <c r="P110" i="20"/>
  <c r="K58" i="24"/>
  <c r="R58" i="24" s="1"/>
  <c r="Q59" i="24" s="1"/>
  <c r="J58" i="24"/>
  <c r="Z55" i="25"/>
  <c r="Y55" i="25"/>
  <c r="AG55" i="25" s="1"/>
  <c r="AF56" i="25" s="1"/>
  <c r="AN110" i="20"/>
  <c r="AL110" i="3"/>
  <c r="AQ110" i="20"/>
  <c r="AR110" i="20" s="1"/>
  <c r="O111" i="20"/>
  <c r="BG108" i="3"/>
  <c r="K107" i="15"/>
  <c r="O107" i="15"/>
  <c r="AW43" i="29"/>
  <c r="AX43" i="29" s="1"/>
  <c r="AY43" i="29" s="1"/>
  <c r="T92" i="29"/>
  <c r="S92" i="29"/>
  <c r="W92" i="29" s="1"/>
  <c r="R93" i="29" s="1"/>
  <c r="U93" i="29" s="1"/>
  <c r="H44" i="29"/>
  <c r="AP44" i="29" s="1"/>
  <c r="J45" i="29"/>
  <c r="G44" i="29"/>
  <c r="C106" i="29"/>
  <c r="AZ106" i="29"/>
  <c r="E107" i="29"/>
  <c r="P75" i="26"/>
  <c r="M76" i="26" s="1"/>
  <c r="N76" i="26" s="1"/>
  <c r="Y60" i="29"/>
  <c r="T75" i="26"/>
  <c r="S76" i="26" s="1"/>
  <c r="J101" i="26"/>
  <c r="L101" i="26" s="1"/>
  <c r="I102" i="26" s="1"/>
  <c r="AT76" i="26"/>
  <c r="O106" i="26"/>
  <c r="K106" i="26"/>
  <c r="AS106" i="26"/>
  <c r="AU106" i="26"/>
  <c r="AQ106" i="26"/>
  <c r="F43" i="26"/>
  <c r="AL42" i="26"/>
  <c r="AM42" i="26" s="1"/>
  <c r="AN42" i="26" s="1"/>
  <c r="AI42" i="26"/>
  <c r="AJ42" i="26" s="1"/>
  <c r="AK42" i="26" s="1"/>
  <c r="AW44" i="28"/>
  <c r="AX44" i="28" s="1"/>
  <c r="AY44" i="28" s="1"/>
  <c r="C107" i="26"/>
  <c r="AZ107" i="26"/>
  <c r="E108" i="26"/>
  <c r="AO45" i="28"/>
  <c r="AI45" i="28"/>
  <c r="AJ45" i="28" s="1"/>
  <c r="AT86" i="28"/>
  <c r="W85" i="28"/>
  <c r="R86" i="28" s="1"/>
  <c r="V86" i="28" s="1"/>
  <c r="C107" i="28"/>
  <c r="AZ107" i="28"/>
  <c r="E108" i="28"/>
  <c r="AG61" i="28"/>
  <c r="AF62" i="28" s="1"/>
  <c r="AC61" i="28"/>
  <c r="F50" i="25"/>
  <c r="U106" i="25"/>
  <c r="V106" i="25"/>
  <c r="AA106" i="25"/>
  <c r="AB106" i="25"/>
  <c r="AR106" i="25"/>
  <c r="AU46" i="25"/>
  <c r="AQ46" i="25"/>
  <c r="AI46" i="25"/>
  <c r="AS46" i="25"/>
  <c r="BC107" i="25"/>
  <c r="BB107" i="25"/>
  <c r="BA107" i="25"/>
  <c r="C107" i="25"/>
  <c r="AZ107" i="25"/>
  <c r="BD107" i="25"/>
  <c r="E108" i="25"/>
  <c r="AW40" i="15"/>
  <c r="AX40" i="15" s="1"/>
  <c r="AY40" i="15" s="1"/>
  <c r="L47" i="25"/>
  <c r="AQ106" i="24"/>
  <c r="AS106" i="24"/>
  <c r="AU106" i="24"/>
  <c r="C107" i="24"/>
  <c r="AZ107" i="24"/>
  <c r="E108" i="24"/>
  <c r="AN40" i="24"/>
  <c r="AK40" i="24"/>
  <c r="H41" i="24"/>
  <c r="F42" i="24" s="1"/>
  <c r="O62" i="24"/>
  <c r="P62" i="24" s="1"/>
  <c r="AZ39" i="23"/>
  <c r="BC39" i="23" s="1"/>
  <c r="G41" i="15"/>
  <c r="AR41" i="15" s="1"/>
  <c r="AQ108" i="15"/>
  <c r="AS108" i="15"/>
  <c r="AU108" i="15"/>
  <c r="F41" i="23"/>
  <c r="AI40" i="23"/>
  <c r="AL40" i="23"/>
  <c r="K45" i="28"/>
  <c r="O105" i="25"/>
  <c r="I105" i="25"/>
  <c r="P70" i="15"/>
  <c r="M71" i="15" s="1"/>
  <c r="N71" i="15" s="1"/>
  <c r="R70" i="15"/>
  <c r="Q71" i="15" s="1"/>
  <c r="AT71" i="15" s="1"/>
  <c r="BF107" i="3"/>
  <c r="AE26" i="19"/>
  <c r="AD27" i="19" s="1"/>
  <c r="AT27" i="19" s="1"/>
  <c r="AP18" i="17"/>
  <c r="BG90" i="14"/>
  <c r="AI107" i="3"/>
  <c r="BE107" i="3" s="1"/>
  <c r="AR107" i="19"/>
  <c r="AG30" i="17"/>
  <c r="AF31" i="17" s="1"/>
  <c r="Z31" i="17"/>
  <c r="Y31" i="17"/>
  <c r="AC31" i="17" s="1"/>
  <c r="X32" i="17" s="1"/>
  <c r="AE93" i="14"/>
  <c r="AD94" i="14" s="1"/>
  <c r="AT94" i="14" s="1"/>
  <c r="Z33" i="19"/>
  <c r="Y33" i="19"/>
  <c r="AC33" i="19" s="1"/>
  <c r="X34" i="19" s="1"/>
  <c r="L74" i="15"/>
  <c r="I75" i="15" s="1"/>
  <c r="J75" i="15" s="1"/>
  <c r="AG32" i="19"/>
  <c r="AF33" i="19" s="1"/>
  <c r="AJ17" i="19"/>
  <c r="AK17" i="19" s="1"/>
  <c r="AO17" i="19"/>
  <c r="AP17" i="19"/>
  <c r="AK51" i="13"/>
  <c r="AL17" i="19"/>
  <c r="AM17" i="19" s="1"/>
  <c r="AN17" i="19" s="1"/>
  <c r="K17" i="19"/>
  <c r="T28" i="19"/>
  <c r="S28" i="19"/>
  <c r="W28" i="19" s="1"/>
  <c r="R29" i="19" s="1"/>
  <c r="AL91" i="14"/>
  <c r="AM91" i="14" s="1"/>
  <c r="AN91" i="14" s="1"/>
  <c r="AO91" i="14"/>
  <c r="AP91" i="14"/>
  <c r="AQ18" i="17"/>
  <c r="AS18" i="17"/>
  <c r="F19" i="17"/>
  <c r="AU18" i="17"/>
  <c r="K91" i="14"/>
  <c r="T95" i="14"/>
  <c r="S95" i="14"/>
  <c r="W95" i="14" s="1"/>
  <c r="R96" i="14" s="1"/>
  <c r="AD108" i="3"/>
  <c r="AI108" i="3" s="1"/>
  <c r="BE108" i="3" s="1"/>
  <c r="AT35" i="17"/>
  <c r="AE35" i="17"/>
  <c r="AD36" i="17" s="1"/>
  <c r="M37" i="17"/>
  <c r="Q37" i="17" s="1"/>
  <c r="L38" i="17" s="1"/>
  <c r="N37" i="17"/>
  <c r="P38" i="17"/>
  <c r="AG103" i="14"/>
  <c r="AF104" i="14" s="1"/>
  <c r="P38" i="19"/>
  <c r="N37" i="19"/>
  <c r="M37" i="19"/>
  <c r="Q37" i="19" s="1"/>
  <c r="L38" i="19" s="1"/>
  <c r="Y104" i="14"/>
  <c r="AC104" i="14" s="1"/>
  <c r="X105" i="14" s="1"/>
  <c r="Z104" i="14"/>
  <c r="AB108" i="17"/>
  <c r="O108" i="17"/>
  <c r="I108" i="17"/>
  <c r="V108" i="19"/>
  <c r="AA108" i="17"/>
  <c r="AA108" i="19"/>
  <c r="V108" i="17"/>
  <c r="U108" i="19"/>
  <c r="I108" i="19"/>
  <c r="U108" i="17"/>
  <c r="AB108" i="19"/>
  <c r="O108" i="19"/>
  <c r="T36" i="17"/>
  <c r="S36" i="17"/>
  <c r="W36" i="17" s="1"/>
  <c r="R37" i="17" s="1"/>
  <c r="M105" i="14"/>
  <c r="Q105" i="14" s="1"/>
  <c r="L106" i="14" s="1"/>
  <c r="P106" i="14"/>
  <c r="N105" i="14"/>
  <c r="E109" i="19"/>
  <c r="AZ108" i="19"/>
  <c r="C108" i="19"/>
  <c r="L105" i="18"/>
  <c r="I106" i="18" s="1"/>
  <c r="J106" i="18" s="1"/>
  <c r="AR107" i="16"/>
  <c r="AL48" i="18"/>
  <c r="AM48" i="18" s="1"/>
  <c r="AN48" i="18" s="1"/>
  <c r="AW48" i="18" s="1"/>
  <c r="AX48" i="18" s="1"/>
  <c r="AY48" i="18" s="1"/>
  <c r="BD108" i="16"/>
  <c r="E109" i="16"/>
  <c r="C108" i="16"/>
  <c r="AZ108" i="16"/>
  <c r="E108" i="18"/>
  <c r="C107" i="18"/>
  <c r="AZ107" i="18"/>
  <c r="AQ106" i="18"/>
  <c r="AS106" i="18"/>
  <c r="O106" i="18"/>
  <c r="K106" i="18"/>
  <c r="AU106" i="18"/>
  <c r="E108" i="17"/>
  <c r="AZ107" i="17"/>
  <c r="C107" i="17"/>
  <c r="F49" i="18"/>
  <c r="G49" i="18" s="1"/>
  <c r="AR49" i="18" s="1"/>
  <c r="G54" i="14"/>
  <c r="AR54" i="14" s="1"/>
  <c r="AJ53" i="14"/>
  <c r="AK53" i="14" s="1"/>
  <c r="AM53" i="14"/>
  <c r="C109" i="15"/>
  <c r="E110" i="15"/>
  <c r="AZ109" i="15"/>
  <c r="S79" i="18"/>
  <c r="T79" i="18" s="1"/>
  <c r="S80" i="18" s="1"/>
  <c r="T80" i="18" s="1"/>
  <c r="S81" i="18" s="1"/>
  <c r="R79" i="18"/>
  <c r="Q80" i="18" s="1"/>
  <c r="AT80" i="18" s="1"/>
  <c r="P80" i="18"/>
  <c r="M81" i="18" s="1"/>
  <c r="N81" i="18" s="1"/>
  <c r="H110" i="3"/>
  <c r="AF109" i="3"/>
  <c r="AD109" i="3" s="1"/>
  <c r="G112" i="3"/>
  <c r="AV111" i="3"/>
  <c r="AX111" i="3" s="1"/>
  <c r="V111" i="3"/>
  <c r="X111" i="3" s="1"/>
  <c r="AG110" i="3"/>
  <c r="BD109" i="3"/>
  <c r="AH110" i="3"/>
  <c r="AW113" i="3"/>
  <c r="BC109" i="3"/>
  <c r="AE110" i="3"/>
  <c r="AQ113" i="3"/>
  <c r="A111" i="3"/>
  <c r="BI111" i="3" s="1"/>
  <c r="BJ111" i="3" s="1"/>
  <c r="P113" i="3"/>
  <c r="P114" i="3" s="1"/>
  <c r="Y110" i="3"/>
  <c r="AC109" i="3"/>
  <c r="AN52" i="13" l="1"/>
  <c r="AN63" i="13" s="1"/>
  <c r="AM63" i="13"/>
  <c r="M53" i="13"/>
  <c r="AQ52" i="13"/>
  <c r="AQ63" i="13" s="1"/>
  <c r="AS52" i="13"/>
  <c r="AS63" i="13" s="1"/>
  <c r="AU52" i="13"/>
  <c r="AU63" i="13" s="1"/>
  <c r="AT71" i="25"/>
  <c r="AE71" i="25"/>
  <c r="AD72" i="25" s="1"/>
  <c r="AJ52" i="13"/>
  <c r="AI63" i="13"/>
  <c r="T72" i="25"/>
  <c r="S72" i="25"/>
  <c r="W72" i="25" s="1"/>
  <c r="R73" i="25" s="1"/>
  <c r="L115" i="23"/>
  <c r="AU114" i="23"/>
  <c r="AS114" i="23"/>
  <c r="AQ114" i="23"/>
  <c r="M45" i="29"/>
  <c r="O45" i="29"/>
  <c r="N45" i="29"/>
  <c r="AT61" i="29"/>
  <c r="AG60" i="29"/>
  <c r="AF61" i="29" s="1"/>
  <c r="AR113" i="3"/>
  <c r="BB111" i="3"/>
  <c r="P111" i="20"/>
  <c r="L58" i="24"/>
  <c r="I59" i="24" s="1"/>
  <c r="T58" i="24"/>
  <c r="S59" i="24" s="1"/>
  <c r="AC55" i="25"/>
  <c r="X56" i="25" s="1"/>
  <c r="AJ109" i="3"/>
  <c r="BF109" i="3" s="1"/>
  <c r="AN111" i="20"/>
  <c r="AQ111" i="20"/>
  <c r="AR111" i="20" s="1"/>
  <c r="O112" i="20"/>
  <c r="AK109" i="3"/>
  <c r="BG109" i="3" s="1"/>
  <c r="AJ108" i="3"/>
  <c r="BF108" i="3" s="1"/>
  <c r="O108" i="15"/>
  <c r="K108" i="15"/>
  <c r="T93" i="29"/>
  <c r="S93" i="29"/>
  <c r="W93" i="29" s="1"/>
  <c r="R94" i="29" s="1"/>
  <c r="U94" i="29" s="1"/>
  <c r="AO44" i="29"/>
  <c r="C107" i="29"/>
  <c r="AZ107" i="29"/>
  <c r="E108" i="29"/>
  <c r="K44" i="29"/>
  <c r="AI44" i="29"/>
  <c r="AL44" i="29"/>
  <c r="P76" i="26"/>
  <c r="M77" i="26" s="1"/>
  <c r="N77" i="26" s="1"/>
  <c r="P77" i="26" s="1"/>
  <c r="M78" i="26" s="1"/>
  <c r="T76" i="26"/>
  <c r="S77" i="26" s="1"/>
  <c r="J102" i="26"/>
  <c r="L102" i="26" s="1"/>
  <c r="I103" i="26" s="1"/>
  <c r="G43" i="26"/>
  <c r="AR43" i="26" s="1"/>
  <c r="AW42" i="26"/>
  <c r="AX42" i="26" s="1"/>
  <c r="AY42" i="26" s="1"/>
  <c r="R76" i="26"/>
  <c r="Q77" i="26" s="1"/>
  <c r="K107" i="26"/>
  <c r="O107" i="26"/>
  <c r="AQ107" i="26"/>
  <c r="AS107" i="26"/>
  <c r="AU107" i="26"/>
  <c r="C108" i="26"/>
  <c r="AZ108" i="26"/>
  <c r="E109" i="26"/>
  <c r="T86" i="28"/>
  <c r="S86" i="28"/>
  <c r="AE86" i="28" s="1"/>
  <c r="AD87" i="28" s="1"/>
  <c r="AQ45" i="28"/>
  <c r="AS45" i="28"/>
  <c r="AU45" i="28"/>
  <c r="AK45" i="28"/>
  <c r="F46" i="28"/>
  <c r="I46" i="28" s="1"/>
  <c r="Q46" i="28" s="1"/>
  <c r="L47" i="28" s="1"/>
  <c r="AZ108" i="28"/>
  <c r="C108" i="28"/>
  <c r="E109" i="28"/>
  <c r="X62" i="28"/>
  <c r="AB62" i="28" s="1"/>
  <c r="AM45" i="28"/>
  <c r="AN45" i="28" s="1"/>
  <c r="BB108" i="25"/>
  <c r="BC108" i="25"/>
  <c r="BA108" i="25"/>
  <c r="G50" i="25"/>
  <c r="K50" i="25" s="1"/>
  <c r="J51" i="25"/>
  <c r="H50" i="25"/>
  <c r="AL41" i="24"/>
  <c r="AM41" i="24" s="1"/>
  <c r="U107" i="25"/>
  <c r="V107" i="25"/>
  <c r="AA107" i="25"/>
  <c r="AB107" i="25"/>
  <c r="AR107" i="25"/>
  <c r="AI41" i="24"/>
  <c r="AJ41" i="24" s="1"/>
  <c r="N47" i="25"/>
  <c r="AP47" i="25" s="1"/>
  <c r="P48" i="25"/>
  <c r="M47" i="25"/>
  <c r="AL47" i="25" s="1"/>
  <c r="AJ46" i="25"/>
  <c r="AK46" i="25" s="1"/>
  <c r="AW46" i="25" s="1"/>
  <c r="AX46" i="25" s="1"/>
  <c r="AY46" i="25" s="1"/>
  <c r="AZ108" i="25"/>
  <c r="BD108" i="25"/>
  <c r="C108" i="25"/>
  <c r="E109" i="25"/>
  <c r="AW40" i="24"/>
  <c r="AX40" i="24" s="1"/>
  <c r="AY40" i="24" s="1"/>
  <c r="AT59" i="24"/>
  <c r="C108" i="24"/>
  <c r="AZ108" i="24"/>
  <c r="E109" i="24"/>
  <c r="AQ107" i="24"/>
  <c r="AU107" i="24"/>
  <c r="AS107" i="24"/>
  <c r="M63" i="24"/>
  <c r="G42" i="24"/>
  <c r="AR42" i="24" s="1"/>
  <c r="H41" i="15"/>
  <c r="AS109" i="15"/>
  <c r="AU109" i="15"/>
  <c r="K109" i="15"/>
  <c r="AQ109" i="15"/>
  <c r="O109" i="15"/>
  <c r="P71" i="15"/>
  <c r="M72" i="15" s="1"/>
  <c r="N72" i="15" s="1"/>
  <c r="G41" i="23"/>
  <c r="AR41" i="23" s="1"/>
  <c r="AJ40" i="23"/>
  <c r="AK40" i="23" s="1"/>
  <c r="AM40" i="23"/>
  <c r="AN40" i="23" s="1"/>
  <c r="AC60" i="29"/>
  <c r="X61" i="29" s="1"/>
  <c r="O106" i="25"/>
  <c r="I106" i="25"/>
  <c r="T71" i="15"/>
  <c r="S72" i="15" s="1"/>
  <c r="R71" i="15"/>
  <c r="Q72" i="15" s="1"/>
  <c r="AT72" i="15" s="1"/>
  <c r="AE27" i="19"/>
  <c r="AD28" i="19" s="1"/>
  <c r="AE28" i="19" s="1"/>
  <c r="AD29" i="19" s="1"/>
  <c r="AW51" i="13"/>
  <c r="AW18" i="17"/>
  <c r="AX18" i="17" s="1"/>
  <c r="AY18" i="17" s="1"/>
  <c r="AL111" i="3"/>
  <c r="Y32" i="17"/>
  <c r="AC32" i="17" s="1"/>
  <c r="X33" i="17" s="1"/>
  <c r="Z32" i="17"/>
  <c r="AG31" i="17"/>
  <c r="AF32" i="17" s="1"/>
  <c r="AR108" i="19"/>
  <c r="AE94" i="14"/>
  <c r="AD95" i="14" s="1"/>
  <c r="AE95" i="14" s="1"/>
  <c r="AD96" i="14" s="1"/>
  <c r="AT96" i="14" s="1"/>
  <c r="L75" i="15"/>
  <c r="I76" i="15" s="1"/>
  <c r="J76" i="15" s="1"/>
  <c r="Y34" i="19"/>
  <c r="AC34" i="19" s="1"/>
  <c r="X35" i="19" s="1"/>
  <c r="Z34" i="19"/>
  <c r="AG33" i="19"/>
  <c r="AF34" i="19" s="1"/>
  <c r="AQ17" i="19"/>
  <c r="AS17" i="19"/>
  <c r="F18" i="19"/>
  <c r="AU17" i="19"/>
  <c r="AG104" i="14"/>
  <c r="AF105" i="14" s="1"/>
  <c r="T29" i="19"/>
  <c r="S29" i="19"/>
  <c r="W29" i="19" s="1"/>
  <c r="R30" i="19" s="1"/>
  <c r="F92" i="14"/>
  <c r="AQ91" i="14"/>
  <c r="AS91" i="14"/>
  <c r="AU91" i="14"/>
  <c r="H19" i="17"/>
  <c r="G19" i="17"/>
  <c r="AI19" i="17" s="1"/>
  <c r="AJ19" i="17" s="1"/>
  <c r="AK19" i="17" s="1"/>
  <c r="J20" i="17"/>
  <c r="M106" i="14"/>
  <c r="Q106" i="14" s="1"/>
  <c r="L107" i="14" s="1"/>
  <c r="N106" i="14"/>
  <c r="P107" i="14"/>
  <c r="S37" i="17"/>
  <c r="W37" i="17" s="1"/>
  <c r="R38" i="17" s="1"/>
  <c r="T37" i="17"/>
  <c r="T96" i="14"/>
  <c r="S96" i="14"/>
  <c r="W96" i="14" s="1"/>
  <c r="R97" i="14" s="1"/>
  <c r="P39" i="19"/>
  <c r="N38" i="19"/>
  <c r="M38" i="19"/>
  <c r="Q38" i="19" s="1"/>
  <c r="L39" i="19" s="1"/>
  <c r="AT36" i="17"/>
  <c r="AE36" i="17"/>
  <c r="AD37" i="17" s="1"/>
  <c r="P39" i="17"/>
  <c r="M38" i="17"/>
  <c r="Q38" i="17" s="1"/>
  <c r="L39" i="17" s="1"/>
  <c r="N38" i="17"/>
  <c r="V109" i="17"/>
  <c r="AB109" i="17"/>
  <c r="I109" i="17"/>
  <c r="AA109" i="19"/>
  <c r="I109" i="19"/>
  <c r="AA109" i="17"/>
  <c r="O109" i="17"/>
  <c r="U109" i="19"/>
  <c r="O109" i="19"/>
  <c r="V109" i="19"/>
  <c r="U109" i="17"/>
  <c r="AB109" i="19"/>
  <c r="Y105" i="14"/>
  <c r="Z105" i="14"/>
  <c r="E110" i="19"/>
  <c r="AZ109" i="19"/>
  <c r="C109" i="19"/>
  <c r="L106" i="18"/>
  <c r="I107" i="18" s="1"/>
  <c r="J107" i="18" s="1"/>
  <c r="AZ109" i="16"/>
  <c r="C109" i="16"/>
  <c r="E110" i="16"/>
  <c r="BD109" i="16"/>
  <c r="AR108" i="16"/>
  <c r="C108" i="18"/>
  <c r="E109" i="18"/>
  <c r="AZ108" i="18"/>
  <c r="K107" i="18"/>
  <c r="AQ107" i="18"/>
  <c r="O107" i="18"/>
  <c r="AS107" i="18"/>
  <c r="AU107" i="18"/>
  <c r="C108" i="17"/>
  <c r="AZ108" i="17"/>
  <c r="E109" i="17"/>
  <c r="AN53" i="14"/>
  <c r="AV53" i="14" s="1"/>
  <c r="H54" i="14"/>
  <c r="F55" i="14" s="1"/>
  <c r="E111" i="15"/>
  <c r="AZ110" i="15"/>
  <c r="C110" i="15"/>
  <c r="H49" i="18"/>
  <c r="P81" i="18"/>
  <c r="M82" i="18" s="1"/>
  <c r="N82" i="18" s="1"/>
  <c r="R80" i="18"/>
  <c r="Q81" i="18" s="1"/>
  <c r="AT81" i="18" s="1"/>
  <c r="T81" i="18"/>
  <c r="S82" i="18" s="1"/>
  <c r="P115" i="3"/>
  <c r="AQ114" i="3"/>
  <c r="AE111" i="3"/>
  <c r="BC110" i="3"/>
  <c r="AW114" i="3"/>
  <c r="AG111" i="3"/>
  <c r="AV112" i="3"/>
  <c r="AX112" i="3" s="1"/>
  <c r="G113" i="3"/>
  <c r="V112" i="3"/>
  <c r="X112" i="3" s="1"/>
  <c r="BD110" i="3"/>
  <c r="AH111" i="3"/>
  <c r="AN114" i="3"/>
  <c r="AN115" i="3" s="1"/>
  <c r="AI109" i="3"/>
  <c r="BE109" i="3" s="1"/>
  <c r="A112" i="3"/>
  <c r="BI112" i="3" s="1"/>
  <c r="BJ112" i="3" s="1"/>
  <c r="Y111" i="3"/>
  <c r="AC110" i="3"/>
  <c r="H111" i="3"/>
  <c r="AF110" i="3"/>
  <c r="AD110" i="3" s="1"/>
  <c r="AM111" i="3"/>
  <c r="AT72" i="25" l="1"/>
  <c r="AE72" i="25"/>
  <c r="AD73" i="25" s="1"/>
  <c r="AK52" i="13"/>
  <c r="AJ63" i="13"/>
  <c r="S73" i="25"/>
  <c r="W73" i="25" s="1"/>
  <c r="R74" i="25" s="1"/>
  <c r="T73" i="25"/>
  <c r="P116" i="23"/>
  <c r="N115" i="23"/>
  <c r="O115" i="23"/>
  <c r="M115" i="23"/>
  <c r="AV114" i="23"/>
  <c r="O47" i="28"/>
  <c r="M47" i="28"/>
  <c r="N47" i="28"/>
  <c r="P48" i="28"/>
  <c r="Z61" i="29"/>
  <c r="AA61" i="29"/>
  <c r="AE61" i="29" s="1"/>
  <c r="AD62" i="29" s="1"/>
  <c r="AR114" i="3"/>
  <c r="BB112" i="3"/>
  <c r="P112" i="20"/>
  <c r="Y56" i="25"/>
  <c r="AG56" i="25" s="1"/>
  <c r="AF57" i="25" s="1"/>
  <c r="Z56" i="25"/>
  <c r="K59" i="24"/>
  <c r="T59" i="24" s="1"/>
  <c r="S60" i="24" s="1"/>
  <c r="J59" i="24"/>
  <c r="O63" i="24"/>
  <c r="N63" i="24"/>
  <c r="AN112" i="20"/>
  <c r="AR109" i="19"/>
  <c r="AQ112" i="20"/>
  <c r="AR112" i="20" s="1"/>
  <c r="O113" i="20"/>
  <c r="AK110" i="3"/>
  <c r="BG110" i="3" s="1"/>
  <c r="AJ110" i="3"/>
  <c r="BF110" i="3" s="1"/>
  <c r="T94" i="29"/>
  <c r="S94" i="29"/>
  <c r="W94" i="29" s="1"/>
  <c r="R95" i="29" s="1"/>
  <c r="U95" i="29" s="1"/>
  <c r="AZ108" i="29"/>
  <c r="C108" i="29"/>
  <c r="E109" i="29"/>
  <c r="F45" i="29"/>
  <c r="I45" i="29" s="1"/>
  <c r="AS44" i="29"/>
  <c r="AU44" i="29"/>
  <c r="AQ44" i="29"/>
  <c r="AJ44" i="29"/>
  <c r="AK44" i="29" s="1"/>
  <c r="AM44" i="29"/>
  <c r="AN44" i="29" s="1"/>
  <c r="Y61" i="29"/>
  <c r="T77" i="26"/>
  <c r="S78" i="26" s="1"/>
  <c r="J103" i="26"/>
  <c r="L103" i="26" s="1"/>
  <c r="I104" i="26" s="1"/>
  <c r="N78" i="26"/>
  <c r="H43" i="26"/>
  <c r="O108" i="26"/>
  <c r="AQ108" i="26"/>
  <c r="AS108" i="26"/>
  <c r="AU108" i="26"/>
  <c r="K108" i="26"/>
  <c r="AT77" i="26"/>
  <c r="R77" i="26"/>
  <c r="Q78" i="26" s="1"/>
  <c r="C109" i="26"/>
  <c r="AZ109" i="26"/>
  <c r="E110" i="26"/>
  <c r="AT87" i="28"/>
  <c r="W86" i="28"/>
  <c r="R87" i="28" s="1"/>
  <c r="V87" i="28" s="1"/>
  <c r="J47" i="28"/>
  <c r="H46" i="28"/>
  <c r="AP46" i="28" s="1"/>
  <c r="G46" i="28"/>
  <c r="AL46" i="28" s="1"/>
  <c r="Z62" i="28"/>
  <c r="Y62" i="28"/>
  <c r="AC62" i="28" s="1"/>
  <c r="X63" i="28" s="1"/>
  <c r="AB63" i="28" s="1"/>
  <c r="AZ109" i="28"/>
  <c r="C109" i="28"/>
  <c r="E110" i="28"/>
  <c r="F51" i="25"/>
  <c r="AO47" i="25"/>
  <c r="AK41" i="24"/>
  <c r="AN41" i="24"/>
  <c r="U108" i="25"/>
  <c r="V108" i="25"/>
  <c r="AA108" i="25"/>
  <c r="AB108" i="25"/>
  <c r="AR108" i="25"/>
  <c r="BA109" i="25"/>
  <c r="BB109" i="25"/>
  <c r="BC109" i="25"/>
  <c r="AM47" i="25"/>
  <c r="AN47" i="25" s="1"/>
  <c r="C109" i="25"/>
  <c r="AZ109" i="25"/>
  <c r="BD109" i="25"/>
  <c r="E110" i="25"/>
  <c r="AV40" i="23"/>
  <c r="BG40" i="23" s="1"/>
  <c r="Q47" i="25"/>
  <c r="C109" i="24"/>
  <c r="AZ109" i="24"/>
  <c r="E110" i="24"/>
  <c r="AS108" i="24"/>
  <c r="AU108" i="24"/>
  <c r="AQ108" i="24"/>
  <c r="H42" i="24"/>
  <c r="F42" i="15"/>
  <c r="AI41" i="15"/>
  <c r="AJ41" i="15" s="1"/>
  <c r="AK41" i="15" s="1"/>
  <c r="AL41" i="15"/>
  <c r="AM41" i="15" s="1"/>
  <c r="AN41" i="15" s="1"/>
  <c r="K110" i="15"/>
  <c r="O110" i="15"/>
  <c r="AQ110" i="15"/>
  <c r="AS110" i="15"/>
  <c r="AU110" i="15"/>
  <c r="P72" i="15"/>
  <c r="M73" i="15" s="1"/>
  <c r="N73" i="15" s="1"/>
  <c r="H41" i="23"/>
  <c r="AW45" i="28"/>
  <c r="AX45" i="28" s="1"/>
  <c r="AY45" i="28" s="1"/>
  <c r="I107" i="25"/>
  <c r="O107" i="25"/>
  <c r="T72" i="15"/>
  <c r="S73" i="15" s="1"/>
  <c r="R72" i="15"/>
  <c r="Q73" i="15" s="1"/>
  <c r="AT73" i="15" s="1"/>
  <c r="AT28" i="19"/>
  <c r="AV91" i="14"/>
  <c r="AZ91" i="14" s="1"/>
  <c r="BC91" i="14" s="1"/>
  <c r="AW17" i="19"/>
  <c r="BA51" i="13"/>
  <c r="AG32" i="17"/>
  <c r="AF33" i="17" s="1"/>
  <c r="Z33" i="17"/>
  <c r="Y33" i="17"/>
  <c r="AC33" i="17" s="1"/>
  <c r="X34" i="17" s="1"/>
  <c r="AT95" i="14"/>
  <c r="L76" i="15"/>
  <c r="I77" i="15" s="1"/>
  <c r="J77" i="15" s="1"/>
  <c r="AG34" i="19"/>
  <c r="AF35" i="19" s="1"/>
  <c r="Y35" i="19"/>
  <c r="AC35" i="19" s="1"/>
  <c r="X36" i="19" s="1"/>
  <c r="Z35" i="19"/>
  <c r="AL19" i="17"/>
  <c r="AM19" i="17" s="1"/>
  <c r="AN19" i="17" s="1"/>
  <c r="AG105" i="14"/>
  <c r="AF106" i="14" s="1"/>
  <c r="K19" i="17"/>
  <c r="AS19" i="17" s="1"/>
  <c r="S30" i="19"/>
  <c r="W30" i="19" s="1"/>
  <c r="R31" i="19" s="1"/>
  <c r="T30" i="19"/>
  <c r="J19" i="19"/>
  <c r="H18" i="19"/>
  <c r="G18" i="19"/>
  <c r="AE29" i="19"/>
  <c r="AD30" i="19" s="1"/>
  <c r="AT29" i="19"/>
  <c r="G92" i="14"/>
  <c r="AL92" i="14" s="1"/>
  <c r="AM92" i="14" s="1"/>
  <c r="AN92" i="14" s="1"/>
  <c r="J93" i="14"/>
  <c r="H92" i="14"/>
  <c r="AP19" i="17"/>
  <c r="AO19" i="17"/>
  <c r="AC105" i="14"/>
  <c r="X106" i="14" s="1"/>
  <c r="P40" i="19"/>
  <c r="M39" i="19"/>
  <c r="Q39" i="19" s="1"/>
  <c r="L40" i="19" s="1"/>
  <c r="N39" i="19"/>
  <c r="N107" i="14"/>
  <c r="M107" i="14"/>
  <c r="Q107" i="14" s="1"/>
  <c r="L108" i="14" s="1"/>
  <c r="P108" i="14"/>
  <c r="P40" i="17"/>
  <c r="N39" i="17"/>
  <c r="M39" i="17"/>
  <c r="Q39" i="17" s="1"/>
  <c r="L40" i="17" s="1"/>
  <c r="S97" i="14"/>
  <c r="T97" i="14"/>
  <c r="AT37" i="17"/>
  <c r="AE37" i="17"/>
  <c r="AD38" i="17" s="1"/>
  <c r="T38" i="17"/>
  <c r="S38" i="17"/>
  <c r="W38" i="17" s="1"/>
  <c r="R39" i="17" s="1"/>
  <c r="AB110" i="17"/>
  <c r="O110" i="17"/>
  <c r="AA110" i="17"/>
  <c r="AB110" i="19"/>
  <c r="O110" i="19"/>
  <c r="V110" i="17"/>
  <c r="I110" i="19"/>
  <c r="U110" i="17"/>
  <c r="AA110" i="19"/>
  <c r="V110" i="19"/>
  <c r="I110" i="17"/>
  <c r="U110" i="19"/>
  <c r="AE96" i="14"/>
  <c r="AD97" i="14" s="1"/>
  <c r="AT97" i="14" s="1"/>
  <c r="E111" i="19"/>
  <c r="AZ110" i="19"/>
  <c r="C110" i="19"/>
  <c r="AR109" i="16"/>
  <c r="AZ110" i="16"/>
  <c r="BD110" i="16"/>
  <c r="E111" i="16"/>
  <c r="C110" i="16"/>
  <c r="E110" i="17"/>
  <c r="C109" i="17"/>
  <c r="AZ109" i="17"/>
  <c r="C109" i="18"/>
  <c r="E110" i="18"/>
  <c r="AZ109" i="18"/>
  <c r="L107" i="18"/>
  <c r="I108" i="18" s="1"/>
  <c r="J108" i="18" s="1"/>
  <c r="AU108" i="18"/>
  <c r="K108" i="18"/>
  <c r="AS108" i="18"/>
  <c r="AQ108" i="18"/>
  <c r="O108" i="18"/>
  <c r="G55" i="14"/>
  <c r="AR55" i="14" s="1"/>
  <c r="AR66" i="14" s="1"/>
  <c r="AI54" i="14"/>
  <c r="AL54" i="14"/>
  <c r="AZ53" i="14"/>
  <c r="BG53" i="14"/>
  <c r="C111" i="15"/>
  <c r="AZ111" i="15"/>
  <c r="E112" i="15"/>
  <c r="F50" i="18"/>
  <c r="AL49" i="18"/>
  <c r="AI49" i="18"/>
  <c r="AJ49" i="18" s="1"/>
  <c r="AK49" i="18" s="1"/>
  <c r="P82" i="18"/>
  <c r="M83" i="18" s="1"/>
  <c r="N83" i="18" s="1"/>
  <c r="T82" i="18"/>
  <c r="S83" i="18" s="1"/>
  <c r="R81" i="18"/>
  <c r="Q82" i="18" s="1"/>
  <c r="AT82" i="18" s="1"/>
  <c r="A113" i="3"/>
  <c r="BI113" i="3" s="1"/>
  <c r="BJ113" i="3" s="1"/>
  <c r="AN116" i="3"/>
  <c r="AG112" i="3"/>
  <c r="AM112" i="3"/>
  <c r="AI110" i="3"/>
  <c r="BE110" i="3" s="1"/>
  <c r="AV113" i="3"/>
  <c r="AX113" i="3" s="1"/>
  <c r="V113" i="3"/>
  <c r="X113" i="3" s="1"/>
  <c r="G114" i="3"/>
  <c r="AW115" i="3"/>
  <c r="AE112" i="3"/>
  <c r="BC111" i="3"/>
  <c r="AC111" i="3"/>
  <c r="Y112" i="3"/>
  <c r="BD111" i="3"/>
  <c r="AH112" i="3"/>
  <c r="H112" i="3"/>
  <c r="AF111" i="3"/>
  <c r="AD111" i="3" s="1"/>
  <c r="AL112" i="3"/>
  <c r="AQ115" i="3"/>
  <c r="H55" i="14" l="1"/>
  <c r="G56" i="14" s="1"/>
  <c r="AE73" i="25"/>
  <c r="AD74" i="25" s="1"/>
  <c r="AT73" i="25"/>
  <c r="AW52" i="13"/>
  <c r="AK63" i="13"/>
  <c r="T74" i="25"/>
  <c r="S74" i="25"/>
  <c r="W74" i="25" s="1"/>
  <c r="R75" i="25" s="1"/>
  <c r="Q115" i="23"/>
  <c r="L116" i="23" s="1"/>
  <c r="P117" i="23" s="1"/>
  <c r="AO115" i="23"/>
  <c r="AP115" i="23"/>
  <c r="AG61" i="29"/>
  <c r="AF62" i="29" s="1"/>
  <c r="AI115" i="23"/>
  <c r="AJ115" i="23" s="1"/>
  <c r="AK115" i="23" s="1"/>
  <c r="BG114" i="23"/>
  <c r="AZ114" i="23"/>
  <c r="BC114" i="23" s="1"/>
  <c r="AL115" i="23"/>
  <c r="AM115" i="23" s="1"/>
  <c r="AN115" i="23" s="1"/>
  <c r="AR45" i="29"/>
  <c r="Q45" i="29"/>
  <c r="L46" i="29" s="1"/>
  <c r="AT62" i="29"/>
  <c r="AR115" i="3"/>
  <c r="BB113" i="3"/>
  <c r="P113" i="20"/>
  <c r="P63" i="24"/>
  <c r="M64" i="24" s="1"/>
  <c r="L59" i="24"/>
  <c r="I60" i="24" s="1"/>
  <c r="R59" i="24"/>
  <c r="Q60" i="24" s="1"/>
  <c r="AT60" i="24" s="1"/>
  <c r="AC56" i="25"/>
  <c r="X57" i="25" s="1"/>
  <c r="AL113" i="3"/>
  <c r="AK111" i="3"/>
  <c r="BG111" i="3" s="1"/>
  <c r="AN113" i="20"/>
  <c r="AQ113" i="20"/>
  <c r="AR113" i="20" s="1"/>
  <c r="O114" i="20"/>
  <c r="AJ111" i="3"/>
  <c r="BF111" i="3" s="1"/>
  <c r="T95" i="29"/>
  <c r="S95" i="29"/>
  <c r="W95" i="29" s="1"/>
  <c r="R96" i="29" s="1"/>
  <c r="U96" i="29" s="1"/>
  <c r="AW44" i="29"/>
  <c r="AX44" i="29" s="1"/>
  <c r="AY44" i="29" s="1"/>
  <c r="T78" i="26"/>
  <c r="S79" i="26" s="1"/>
  <c r="C109" i="29"/>
  <c r="AZ109" i="29"/>
  <c r="E110" i="29"/>
  <c r="J46" i="29"/>
  <c r="H45" i="29"/>
  <c r="AP45" i="29" s="1"/>
  <c r="G45" i="29"/>
  <c r="AL45" i="29" s="1"/>
  <c r="P78" i="26"/>
  <c r="M79" i="26" s="1"/>
  <c r="N79" i="26" s="1"/>
  <c r="P79" i="26" s="1"/>
  <c r="M80" i="26" s="1"/>
  <c r="J104" i="26"/>
  <c r="L104" i="26" s="1"/>
  <c r="I105" i="26" s="1"/>
  <c r="AT78" i="26"/>
  <c r="R78" i="26"/>
  <c r="Q79" i="26" s="1"/>
  <c r="AS109" i="26"/>
  <c r="AU109" i="26"/>
  <c r="AQ109" i="26"/>
  <c r="K109" i="26"/>
  <c r="O109" i="26"/>
  <c r="F44" i="26"/>
  <c r="AI43" i="26"/>
  <c r="AJ43" i="26" s="1"/>
  <c r="AK43" i="26" s="1"/>
  <c r="AL43" i="26"/>
  <c r="AM43" i="26" s="1"/>
  <c r="AN43" i="26" s="1"/>
  <c r="T73" i="15"/>
  <c r="S74" i="15" s="1"/>
  <c r="C110" i="26"/>
  <c r="AZ110" i="26"/>
  <c r="E111" i="26"/>
  <c r="AW41" i="15"/>
  <c r="AX41" i="15" s="1"/>
  <c r="AY41" i="15" s="1"/>
  <c r="AG62" i="28"/>
  <c r="AF63" i="28" s="1"/>
  <c r="Z63" i="28"/>
  <c r="Y63" i="28"/>
  <c r="T87" i="28"/>
  <c r="S87" i="28"/>
  <c r="AE87" i="28" s="1"/>
  <c r="AD88" i="28" s="1"/>
  <c r="AO46" i="28"/>
  <c r="AI46" i="28"/>
  <c r="AJ46" i="28" s="1"/>
  <c r="AK46" i="28" s="1"/>
  <c r="C110" i="28"/>
  <c r="AZ110" i="28"/>
  <c r="E111" i="28"/>
  <c r="AW41" i="24"/>
  <c r="AX41" i="24" s="1"/>
  <c r="AY41" i="24" s="1"/>
  <c r="AZ40" i="23"/>
  <c r="BC40" i="23" s="1"/>
  <c r="G51" i="25"/>
  <c r="K51" i="25" s="1"/>
  <c r="H51" i="25"/>
  <c r="J52" i="25"/>
  <c r="U109" i="25"/>
  <c r="V109" i="25"/>
  <c r="AA109" i="25"/>
  <c r="AB109" i="25"/>
  <c r="AR109" i="25"/>
  <c r="BA110" i="25"/>
  <c r="BB110" i="25"/>
  <c r="BC110" i="25"/>
  <c r="AQ47" i="25"/>
  <c r="AI47" i="25"/>
  <c r="AU47" i="25"/>
  <c r="AS47" i="25"/>
  <c r="AZ110" i="25"/>
  <c r="BD110" i="25"/>
  <c r="C110" i="25"/>
  <c r="E111" i="25"/>
  <c r="L48" i="25"/>
  <c r="C110" i="24"/>
  <c r="AZ110" i="24"/>
  <c r="E111" i="24"/>
  <c r="AQ109" i="24"/>
  <c r="AS109" i="24"/>
  <c r="AU109" i="24"/>
  <c r="F43" i="24"/>
  <c r="AI42" i="24"/>
  <c r="AJ42" i="24" s="1"/>
  <c r="AL42" i="24"/>
  <c r="AM42" i="24" s="1"/>
  <c r="G42" i="15"/>
  <c r="AR42" i="15" s="1"/>
  <c r="K111" i="15"/>
  <c r="O111" i="15"/>
  <c r="AQ111" i="15"/>
  <c r="AS111" i="15"/>
  <c r="AU111" i="15"/>
  <c r="P73" i="15"/>
  <c r="M74" i="15" s="1"/>
  <c r="N74" i="15" s="1"/>
  <c r="F42" i="23"/>
  <c r="AL41" i="23"/>
  <c r="AI41" i="23"/>
  <c r="K46" i="28"/>
  <c r="AC61" i="29"/>
  <c r="X62" i="29" s="1"/>
  <c r="O108" i="25"/>
  <c r="I108" i="25"/>
  <c r="R73" i="15"/>
  <c r="Q74" i="15" s="1"/>
  <c r="AT74" i="15" s="1"/>
  <c r="BG91" i="14"/>
  <c r="AG33" i="17"/>
  <c r="AF34" i="17" s="1"/>
  <c r="Y34" i="17"/>
  <c r="AC34" i="17" s="1"/>
  <c r="X35" i="17" s="1"/>
  <c r="Z34" i="17"/>
  <c r="Z36" i="19"/>
  <c r="Y36" i="19"/>
  <c r="AC36" i="19" s="1"/>
  <c r="X37" i="19" s="1"/>
  <c r="AG35" i="19"/>
  <c r="AF36" i="19" s="1"/>
  <c r="AL18" i="19"/>
  <c r="AM18" i="19" s="1"/>
  <c r="AN18" i="19" s="1"/>
  <c r="K18" i="19"/>
  <c r="AI18" i="19"/>
  <c r="AJ18" i="19" s="1"/>
  <c r="AK18" i="19" s="1"/>
  <c r="T31" i="19"/>
  <c r="S31" i="19"/>
  <c r="W31" i="19" s="1"/>
  <c r="R32" i="19" s="1"/>
  <c r="AP18" i="19"/>
  <c r="AO18" i="19"/>
  <c r="F20" i="17"/>
  <c r="AU19" i="17"/>
  <c r="AQ19" i="17"/>
  <c r="K92" i="14"/>
  <c r="AT30" i="19"/>
  <c r="AE30" i="19"/>
  <c r="AD31" i="19" s="1"/>
  <c r="L77" i="15"/>
  <c r="I78" i="15" s="1"/>
  <c r="J78" i="15" s="1"/>
  <c r="AP92" i="14"/>
  <c r="AO92" i="14"/>
  <c r="AI92" i="14"/>
  <c r="AJ92" i="14" s="1"/>
  <c r="AK92" i="14" s="1"/>
  <c r="AT38" i="17"/>
  <c r="AE38" i="17"/>
  <c r="AD39" i="17" s="1"/>
  <c r="V111" i="17"/>
  <c r="AA111" i="17"/>
  <c r="U111" i="19"/>
  <c r="U111" i="17"/>
  <c r="I111" i="17"/>
  <c r="AA111" i="19"/>
  <c r="V111" i="19"/>
  <c r="O111" i="17"/>
  <c r="AB111" i="19"/>
  <c r="I111" i="19"/>
  <c r="O111" i="19"/>
  <c r="AB111" i="17"/>
  <c r="AE97" i="14"/>
  <c r="AD98" i="14" s="1"/>
  <c r="N40" i="19"/>
  <c r="M40" i="19"/>
  <c r="Q40" i="19" s="1"/>
  <c r="L41" i="19" s="1"/>
  <c r="P41" i="19"/>
  <c r="AR110" i="19"/>
  <c r="T39" i="17"/>
  <c r="S39" i="17"/>
  <c r="W39" i="17" s="1"/>
  <c r="R40" i="17" s="1"/>
  <c r="W97" i="14"/>
  <c r="R98" i="14" s="1"/>
  <c r="M40" i="17"/>
  <c r="Q40" i="17" s="1"/>
  <c r="L41" i="17" s="1"/>
  <c r="P41" i="17"/>
  <c r="N40" i="17"/>
  <c r="M108" i="14"/>
  <c r="Q108" i="14" s="1"/>
  <c r="L109" i="14" s="1"/>
  <c r="P109" i="14"/>
  <c r="N108" i="14"/>
  <c r="Z106" i="14"/>
  <c r="Y106" i="14"/>
  <c r="AZ111" i="19"/>
  <c r="C111" i="19"/>
  <c r="E112" i="19"/>
  <c r="C111" i="16"/>
  <c r="E112" i="16"/>
  <c r="BD111" i="16"/>
  <c r="AZ111" i="16"/>
  <c r="AR110" i="16"/>
  <c r="C110" i="18"/>
  <c r="AZ110" i="18"/>
  <c r="E111" i="18"/>
  <c r="O109" i="18"/>
  <c r="AS109" i="18"/>
  <c r="AU109" i="18"/>
  <c r="AQ109" i="18"/>
  <c r="K109" i="18"/>
  <c r="L108" i="18"/>
  <c r="I109" i="18" s="1"/>
  <c r="J109" i="18" s="1"/>
  <c r="AZ110" i="17"/>
  <c r="E111" i="17"/>
  <c r="C110" i="17"/>
  <c r="AM54" i="14"/>
  <c r="BC53" i="14"/>
  <c r="AJ54" i="14"/>
  <c r="G50" i="18"/>
  <c r="AR50" i="18" s="1"/>
  <c r="E113" i="15"/>
  <c r="AZ112" i="15"/>
  <c r="C112" i="15"/>
  <c r="AM49" i="18"/>
  <c r="AN49" i="18" s="1"/>
  <c r="AW49" i="18" s="1"/>
  <c r="AX49" i="18" s="1"/>
  <c r="AY49" i="18" s="1"/>
  <c r="R82" i="18"/>
  <c r="Q83" i="18" s="1"/>
  <c r="AT83" i="18" s="1"/>
  <c r="P83" i="18"/>
  <c r="M84" i="18" s="1"/>
  <c r="N84" i="18" s="1"/>
  <c r="T83" i="18"/>
  <c r="S84" i="18" s="1"/>
  <c r="AV114" i="3"/>
  <c r="AX114" i="3" s="1"/>
  <c r="G115" i="3"/>
  <c r="V114" i="3"/>
  <c r="X114" i="3" s="1"/>
  <c r="AG113" i="3"/>
  <c r="Y113" i="3"/>
  <c r="AC112" i="3"/>
  <c r="AE113" i="3"/>
  <c r="BC112" i="3"/>
  <c r="AM113" i="3"/>
  <c r="AQ116" i="3"/>
  <c r="H113" i="3"/>
  <c r="AF112" i="3"/>
  <c r="AD112" i="3" s="1"/>
  <c r="AI111" i="3"/>
  <c r="BE111" i="3" s="1"/>
  <c r="P116" i="3"/>
  <c r="BD112" i="3"/>
  <c r="AH113" i="3"/>
  <c r="AW116" i="3"/>
  <c r="A114" i="3"/>
  <c r="BI114" i="3" s="1"/>
  <c r="BJ114" i="3" s="1"/>
  <c r="AL55" i="14" l="1"/>
  <c r="AL66" i="14" s="1"/>
  <c r="AI55" i="14"/>
  <c r="AI66" i="14" s="1"/>
  <c r="AT74" i="25"/>
  <c r="AE74" i="25"/>
  <c r="AD75" i="25" s="1"/>
  <c r="BA52" i="13"/>
  <c r="AW63" i="13"/>
  <c r="T75" i="25"/>
  <c r="S75" i="25"/>
  <c r="W75" i="25" s="1"/>
  <c r="R76" i="25" s="1"/>
  <c r="O116" i="23"/>
  <c r="N116" i="23"/>
  <c r="AP116" i="23" s="1"/>
  <c r="M116" i="23"/>
  <c r="AI116" i="23" s="1"/>
  <c r="AJ116" i="23" s="1"/>
  <c r="AK116" i="23" s="1"/>
  <c r="AS115" i="23"/>
  <c r="AQ115" i="23"/>
  <c r="AU115" i="23"/>
  <c r="O46" i="29"/>
  <c r="P47" i="29"/>
  <c r="M46" i="29"/>
  <c r="N46" i="29"/>
  <c r="Z62" i="29"/>
  <c r="AA62" i="29"/>
  <c r="AE62" i="29" s="1"/>
  <c r="AD63" i="29" s="1"/>
  <c r="AR116" i="3"/>
  <c r="BB114" i="3"/>
  <c r="Z57" i="25"/>
  <c r="Y57" i="25"/>
  <c r="AG57" i="25" s="1"/>
  <c r="AF58" i="25" s="1"/>
  <c r="O64" i="24"/>
  <c r="N64" i="24"/>
  <c r="K60" i="24"/>
  <c r="T60" i="24" s="1"/>
  <c r="S61" i="24" s="1"/>
  <c r="J60" i="24"/>
  <c r="AN114" i="20"/>
  <c r="O115" i="20"/>
  <c r="AQ114" i="20"/>
  <c r="AR114" i="20" s="1"/>
  <c r="P114" i="20"/>
  <c r="AK112" i="3"/>
  <c r="BG112" i="3" s="1"/>
  <c r="T96" i="29"/>
  <c r="S96" i="29"/>
  <c r="W96" i="29" s="1"/>
  <c r="R97" i="29" s="1"/>
  <c r="U97" i="29" s="1"/>
  <c r="AO45" i="29"/>
  <c r="AM45" i="29"/>
  <c r="AN45" i="29" s="1"/>
  <c r="AI45" i="29"/>
  <c r="K45" i="29"/>
  <c r="AZ110" i="29"/>
  <c r="C110" i="29"/>
  <c r="E111" i="29"/>
  <c r="Y62" i="29"/>
  <c r="N80" i="26"/>
  <c r="P80" i="26" s="1"/>
  <c r="M81" i="26" s="1"/>
  <c r="J105" i="26"/>
  <c r="L105" i="26" s="1"/>
  <c r="I106" i="26" s="1"/>
  <c r="T79" i="26"/>
  <c r="S80" i="26" s="1"/>
  <c r="AW43" i="26"/>
  <c r="AX43" i="26" s="1"/>
  <c r="AY43" i="26" s="1"/>
  <c r="T74" i="15"/>
  <c r="S75" i="15" s="1"/>
  <c r="K110" i="26"/>
  <c r="O110" i="26"/>
  <c r="AS110" i="26"/>
  <c r="AU110" i="26"/>
  <c r="AQ110" i="26"/>
  <c r="AT79" i="26"/>
  <c r="R79" i="26"/>
  <c r="Q80" i="26" s="1"/>
  <c r="G44" i="26"/>
  <c r="AR44" i="26" s="1"/>
  <c r="AZ111" i="26"/>
  <c r="C111" i="26"/>
  <c r="E112" i="26"/>
  <c r="AG63" i="28"/>
  <c r="AF64" i="28" s="1"/>
  <c r="AU46" i="28"/>
  <c r="AQ46" i="28"/>
  <c r="AS46" i="28"/>
  <c r="AT88" i="28"/>
  <c r="W87" i="28"/>
  <c r="R88" i="28" s="1"/>
  <c r="V88" i="28" s="1"/>
  <c r="AM46" i="28"/>
  <c r="AN46" i="28" s="1"/>
  <c r="F47" i="28"/>
  <c r="I47" i="28" s="1"/>
  <c r="Q47" i="28" s="1"/>
  <c r="L48" i="28" s="1"/>
  <c r="AC63" i="28"/>
  <c r="X64" i="28" s="1"/>
  <c r="AB64" i="28" s="1"/>
  <c r="AZ111" i="28"/>
  <c r="C111" i="28"/>
  <c r="E112" i="28"/>
  <c r="F52" i="25"/>
  <c r="U110" i="25"/>
  <c r="V110" i="25"/>
  <c r="AA110" i="25"/>
  <c r="AB110" i="25"/>
  <c r="AR110" i="25"/>
  <c r="BA111" i="25"/>
  <c r="BB111" i="25"/>
  <c r="BC111" i="25"/>
  <c r="C111" i="25"/>
  <c r="AZ111" i="25"/>
  <c r="BD111" i="25"/>
  <c r="E112" i="25"/>
  <c r="N48" i="25"/>
  <c r="AP48" i="25" s="1"/>
  <c r="P49" i="25"/>
  <c r="M48" i="25"/>
  <c r="AL48" i="25" s="1"/>
  <c r="AJ47" i="25"/>
  <c r="AK47" i="25" s="1"/>
  <c r="AW47" i="25" s="1"/>
  <c r="AX47" i="25" s="1"/>
  <c r="AY47" i="25" s="1"/>
  <c r="AQ110" i="24"/>
  <c r="AS110" i="24"/>
  <c r="AU110" i="24"/>
  <c r="C111" i="24"/>
  <c r="AZ111" i="24"/>
  <c r="E112" i="24"/>
  <c r="AK42" i="24"/>
  <c r="AN42" i="24"/>
  <c r="G43" i="24"/>
  <c r="AR43" i="24" s="1"/>
  <c r="O112" i="15"/>
  <c r="AQ112" i="15"/>
  <c r="AS112" i="15"/>
  <c r="AU112" i="15"/>
  <c r="K112" i="15"/>
  <c r="H42" i="15"/>
  <c r="P74" i="15"/>
  <c r="M75" i="15" s="1"/>
  <c r="N75" i="15" s="1"/>
  <c r="G42" i="23"/>
  <c r="AR42" i="23" s="1"/>
  <c r="AM41" i="23"/>
  <c r="AN41" i="23" s="1"/>
  <c r="AJ41" i="23"/>
  <c r="AK41" i="23" s="1"/>
  <c r="O109" i="25"/>
  <c r="I109" i="25"/>
  <c r="R74" i="15"/>
  <c r="Q75" i="15" s="1"/>
  <c r="AT75" i="15" s="1"/>
  <c r="AJ112" i="3"/>
  <c r="BF112" i="3" s="1"/>
  <c r="AW19" i="17"/>
  <c r="AX19" i="17" s="1"/>
  <c r="AY19" i="17" s="1"/>
  <c r="Y35" i="17"/>
  <c r="AC35" i="17" s="1"/>
  <c r="X36" i="17" s="1"/>
  <c r="Z35" i="17"/>
  <c r="AG34" i="17"/>
  <c r="AF35" i="17" s="1"/>
  <c r="AR111" i="19"/>
  <c r="AG36" i="19"/>
  <c r="AF37" i="19" s="1"/>
  <c r="Z37" i="19"/>
  <c r="Y37" i="19"/>
  <c r="AC37" i="19" s="1"/>
  <c r="X38" i="19" s="1"/>
  <c r="L78" i="15"/>
  <c r="I79" i="15" s="1"/>
  <c r="J79" i="15" s="1"/>
  <c r="F93" i="14"/>
  <c r="AU92" i="14"/>
  <c r="AS92" i="14"/>
  <c r="AQ92" i="14"/>
  <c r="F19" i="19"/>
  <c r="AQ18" i="19"/>
  <c r="AU18" i="19"/>
  <c r="AS18" i="19"/>
  <c r="H20" i="17"/>
  <c r="J21" i="17"/>
  <c r="G20" i="17"/>
  <c r="AT31" i="19"/>
  <c r="AE31" i="19"/>
  <c r="AD32" i="19" s="1"/>
  <c r="T32" i="19"/>
  <c r="S32" i="19"/>
  <c r="W32" i="19" s="1"/>
  <c r="R33" i="19" s="1"/>
  <c r="S98" i="14"/>
  <c r="W98" i="14" s="1"/>
  <c r="R99" i="14" s="1"/>
  <c r="T98" i="14"/>
  <c r="M41" i="19"/>
  <c r="Q41" i="19" s="1"/>
  <c r="L42" i="19" s="1"/>
  <c r="N41" i="19"/>
  <c r="P42" i="19"/>
  <c r="AC106" i="14"/>
  <c r="X107" i="14" s="1"/>
  <c r="AG106" i="14"/>
  <c r="AF107" i="14" s="1"/>
  <c r="M109" i="14"/>
  <c r="Q109" i="14" s="1"/>
  <c r="L110" i="14" s="1"/>
  <c r="P110" i="14"/>
  <c r="N109" i="14"/>
  <c r="P42" i="17"/>
  <c r="M41" i="17"/>
  <c r="Q41" i="17" s="1"/>
  <c r="L42" i="17" s="1"/>
  <c r="N41" i="17"/>
  <c r="AT98" i="14"/>
  <c r="T40" i="17"/>
  <c r="S40" i="17"/>
  <c r="W40" i="17" s="1"/>
  <c r="R41" i="17" s="1"/>
  <c r="AB112" i="17"/>
  <c r="O112" i="17"/>
  <c r="V112" i="17"/>
  <c r="V112" i="19"/>
  <c r="U112" i="17"/>
  <c r="AA112" i="17"/>
  <c r="O112" i="19"/>
  <c r="I112" i="17"/>
  <c r="AB112" i="19"/>
  <c r="I112" i="19"/>
  <c r="AA112" i="19"/>
  <c r="U112" i="19"/>
  <c r="AT39" i="17"/>
  <c r="AE39" i="17"/>
  <c r="AD40" i="17" s="1"/>
  <c r="AZ112" i="19"/>
  <c r="E113" i="19"/>
  <c r="C112" i="19"/>
  <c r="L109" i="18"/>
  <c r="I110" i="18" s="1"/>
  <c r="J110" i="18" s="1"/>
  <c r="BD112" i="16"/>
  <c r="C112" i="16"/>
  <c r="AZ112" i="16"/>
  <c r="E113" i="16"/>
  <c r="AR111" i="16"/>
  <c r="E112" i="17"/>
  <c r="C111" i="17"/>
  <c r="AZ111" i="17"/>
  <c r="AZ111" i="18"/>
  <c r="E112" i="18"/>
  <c r="C111" i="18"/>
  <c r="AN54" i="14"/>
  <c r="AU110" i="18"/>
  <c r="K110" i="18"/>
  <c r="AQ110" i="18"/>
  <c r="AS110" i="18"/>
  <c r="O110" i="18"/>
  <c r="AK54" i="14"/>
  <c r="H50" i="18"/>
  <c r="E114" i="15"/>
  <c r="AZ113" i="15"/>
  <c r="C113" i="15"/>
  <c r="T84" i="18"/>
  <c r="S85" i="18" s="1"/>
  <c r="R83" i="18"/>
  <c r="Q84" i="18" s="1"/>
  <c r="AT84" i="18" s="1"/>
  <c r="AW117" i="3"/>
  <c r="AC113" i="3"/>
  <c r="Y114" i="3"/>
  <c r="A115" i="3"/>
  <c r="BI115" i="3" s="1"/>
  <c r="BJ115" i="3" s="1"/>
  <c r="AQ117" i="3"/>
  <c r="AV115" i="3"/>
  <c r="AX115" i="3" s="1"/>
  <c r="V115" i="3"/>
  <c r="X115" i="3" s="1"/>
  <c r="G116" i="3"/>
  <c r="BD113" i="3"/>
  <c r="AH114" i="3"/>
  <c r="AN117" i="3"/>
  <c r="AN118" i="3" s="1"/>
  <c r="AE114" i="3"/>
  <c r="BC113" i="3"/>
  <c r="P117" i="3"/>
  <c r="P118" i="3" s="1"/>
  <c r="H114" i="3"/>
  <c r="AF113" i="3"/>
  <c r="AD113" i="3" s="1"/>
  <c r="AM114" i="3"/>
  <c r="AI112" i="3"/>
  <c r="BE112" i="3" s="1"/>
  <c r="AG114" i="3"/>
  <c r="AL114" i="3"/>
  <c r="AM55" i="14" l="1"/>
  <c r="AN55" i="14" s="1"/>
  <c r="AN66" i="14" s="1"/>
  <c r="AJ55" i="14"/>
  <c r="AJ66" i="14" s="1"/>
  <c r="AT75" i="25"/>
  <c r="AE75" i="25"/>
  <c r="AD76" i="25" s="1"/>
  <c r="BA63" i="13"/>
  <c r="T76" i="25"/>
  <c r="S76" i="25"/>
  <c r="W76" i="25" s="1"/>
  <c r="R77" i="25" s="1"/>
  <c r="AV115" i="23"/>
  <c r="BG115" i="23" s="1"/>
  <c r="Q116" i="23"/>
  <c r="AL116" i="23"/>
  <c r="AM116" i="23" s="1"/>
  <c r="AN116" i="23" s="1"/>
  <c r="AO116" i="23"/>
  <c r="AG62" i="29"/>
  <c r="AF63" i="29" s="1"/>
  <c r="AT63" i="29"/>
  <c r="O48" i="28"/>
  <c r="N48" i="28"/>
  <c r="P49" i="28"/>
  <c r="M48" i="28"/>
  <c r="AR117" i="3"/>
  <c r="BB115" i="3"/>
  <c r="AR112" i="19"/>
  <c r="P64" i="24"/>
  <c r="M65" i="24" s="1"/>
  <c r="N65" i="24" s="1"/>
  <c r="AC57" i="25"/>
  <c r="X58" i="25" s="1"/>
  <c r="R60" i="24"/>
  <c r="Q61" i="24" s="1"/>
  <c r="AT61" i="24" s="1"/>
  <c r="L60" i="24"/>
  <c r="I61" i="24" s="1"/>
  <c r="AN115" i="20"/>
  <c r="O116" i="20"/>
  <c r="AQ115" i="20"/>
  <c r="AR115" i="20" s="1"/>
  <c r="P115" i="20"/>
  <c r="AK113" i="3"/>
  <c r="BG113" i="3" s="1"/>
  <c r="T75" i="15"/>
  <c r="S76" i="15" s="1"/>
  <c r="T97" i="29"/>
  <c r="S97" i="29"/>
  <c r="W97" i="29" s="1"/>
  <c r="R98" i="29" s="1"/>
  <c r="U98" i="29" s="1"/>
  <c r="AJ45" i="29"/>
  <c r="AK45" i="29" s="1"/>
  <c r="C111" i="29"/>
  <c r="AZ111" i="29"/>
  <c r="E112" i="29"/>
  <c r="F46" i="29"/>
  <c r="I46" i="29" s="1"/>
  <c r="AR46" i="29" s="1"/>
  <c r="AS45" i="29"/>
  <c r="AQ45" i="29"/>
  <c r="AU45" i="29"/>
  <c r="N81" i="26"/>
  <c r="P81" i="26" s="1"/>
  <c r="M82" i="26" s="1"/>
  <c r="J106" i="26"/>
  <c r="L106" i="26" s="1"/>
  <c r="I107" i="26" s="1"/>
  <c r="T80" i="26"/>
  <c r="S81" i="26" s="1"/>
  <c r="AT80" i="26"/>
  <c r="R80" i="26"/>
  <c r="Q81" i="26" s="1"/>
  <c r="H44" i="26"/>
  <c r="K111" i="26"/>
  <c r="O111" i="26"/>
  <c r="AQ111" i="26"/>
  <c r="AS111" i="26"/>
  <c r="AU111" i="26"/>
  <c r="AZ112" i="26"/>
  <c r="C112" i="26"/>
  <c r="E113" i="26"/>
  <c r="T88" i="28"/>
  <c r="S88" i="28"/>
  <c r="AE88" i="28" s="1"/>
  <c r="AD89" i="28" s="1"/>
  <c r="H47" i="28"/>
  <c r="AP47" i="28" s="1"/>
  <c r="J48" i="28"/>
  <c r="G47" i="28"/>
  <c r="AI47" i="28" s="1"/>
  <c r="Z64" i="28"/>
  <c r="Y64" i="28"/>
  <c r="AG64" i="28" s="1"/>
  <c r="AF65" i="28" s="1"/>
  <c r="C112" i="28"/>
  <c r="AZ112" i="28"/>
  <c r="E113" i="28"/>
  <c r="G52" i="25"/>
  <c r="K52" i="25" s="1"/>
  <c r="H52" i="25"/>
  <c r="J53" i="25"/>
  <c r="U111" i="25"/>
  <c r="V111" i="25"/>
  <c r="AA111" i="25"/>
  <c r="AB111" i="25"/>
  <c r="AR111" i="25"/>
  <c r="BA112" i="25"/>
  <c r="BB112" i="25"/>
  <c r="BC112" i="25"/>
  <c r="AO48" i="25"/>
  <c r="AW42" i="24"/>
  <c r="AX42" i="24" s="1"/>
  <c r="AY42" i="24" s="1"/>
  <c r="AM48" i="25"/>
  <c r="AN48" i="25" s="1"/>
  <c r="Q48" i="25"/>
  <c r="AZ112" i="25"/>
  <c r="BD112" i="25"/>
  <c r="C112" i="25"/>
  <c r="E113" i="25"/>
  <c r="AZ112" i="24"/>
  <c r="C112" i="24"/>
  <c r="E113" i="24"/>
  <c r="AQ111" i="24"/>
  <c r="AS111" i="24"/>
  <c r="AU111" i="24"/>
  <c r="H43" i="24"/>
  <c r="AS113" i="15"/>
  <c r="AU113" i="15"/>
  <c r="K113" i="15"/>
  <c r="AQ113" i="15"/>
  <c r="O113" i="15"/>
  <c r="F43" i="15"/>
  <c r="AL42" i="15"/>
  <c r="AM42" i="15" s="1"/>
  <c r="AN42" i="15" s="1"/>
  <c r="AI42" i="15"/>
  <c r="AJ42" i="15" s="1"/>
  <c r="AK42" i="15" s="1"/>
  <c r="P75" i="15"/>
  <c r="M76" i="15" s="1"/>
  <c r="N76" i="15" s="1"/>
  <c r="AV41" i="23"/>
  <c r="H42" i="23"/>
  <c r="AW46" i="28"/>
  <c r="AX46" i="28" s="1"/>
  <c r="AY46" i="28" s="1"/>
  <c r="AC62" i="29"/>
  <c r="X63" i="29" s="1"/>
  <c r="O110" i="25"/>
  <c r="I110" i="25"/>
  <c r="R75" i="15"/>
  <c r="Q76" i="15" s="1"/>
  <c r="AT76" i="15" s="1"/>
  <c r="AJ113" i="3"/>
  <c r="BF113" i="3" s="1"/>
  <c r="AW18" i="19"/>
  <c r="AX18" i="19" s="1"/>
  <c r="AY18" i="19" s="1"/>
  <c r="AV92" i="14"/>
  <c r="BG92" i="14" s="1"/>
  <c r="Y36" i="17"/>
  <c r="AC36" i="17" s="1"/>
  <c r="X37" i="17" s="1"/>
  <c r="Z36" i="17"/>
  <c r="AG35" i="17"/>
  <c r="AF36" i="17" s="1"/>
  <c r="L79" i="15"/>
  <c r="I80" i="15" s="1"/>
  <c r="J80" i="15" s="1"/>
  <c r="Z38" i="19"/>
  <c r="Y38" i="19"/>
  <c r="AC38" i="19" s="1"/>
  <c r="X39" i="19" s="1"/>
  <c r="AG37" i="19"/>
  <c r="AF38" i="19" s="1"/>
  <c r="AT32" i="19"/>
  <c r="AE32" i="19"/>
  <c r="AD33" i="19" s="1"/>
  <c r="T33" i="19"/>
  <c r="S33" i="19"/>
  <c r="W33" i="19" s="1"/>
  <c r="R34" i="19" s="1"/>
  <c r="AL20" i="17"/>
  <c r="AM20" i="17" s="1"/>
  <c r="AN20" i="17" s="1"/>
  <c r="K20" i="17"/>
  <c r="AI20" i="17"/>
  <c r="AJ20" i="17" s="1"/>
  <c r="AK20" i="17" s="1"/>
  <c r="AE98" i="14"/>
  <c r="AD99" i="14" s="1"/>
  <c r="AO20" i="17"/>
  <c r="AP20" i="17"/>
  <c r="G19" i="19"/>
  <c r="H19" i="19"/>
  <c r="J20" i="19"/>
  <c r="J94" i="14"/>
  <c r="H93" i="14"/>
  <c r="G93" i="14"/>
  <c r="K93" i="14" s="1"/>
  <c r="AQ93" i="14" s="1"/>
  <c r="N110" i="14"/>
  <c r="M110" i="14"/>
  <c r="Q110" i="14" s="1"/>
  <c r="L111" i="14" s="1"/>
  <c r="P111" i="14"/>
  <c r="S99" i="14"/>
  <c r="W99" i="14" s="1"/>
  <c r="R100" i="14" s="1"/>
  <c r="T99" i="14"/>
  <c r="M42" i="17"/>
  <c r="Q42" i="17" s="1"/>
  <c r="L43" i="17" s="1"/>
  <c r="P43" i="17"/>
  <c r="N42" i="17"/>
  <c r="M42" i="19"/>
  <c r="Q42" i="19" s="1"/>
  <c r="L43" i="19" s="1"/>
  <c r="N42" i="19"/>
  <c r="P43" i="19"/>
  <c r="AT40" i="17"/>
  <c r="AE40" i="17"/>
  <c r="AD41" i="17" s="1"/>
  <c r="V113" i="17"/>
  <c r="U113" i="17"/>
  <c r="AA113" i="19"/>
  <c r="I113" i="19"/>
  <c r="O113" i="17"/>
  <c r="AB113" i="19"/>
  <c r="AB113" i="17"/>
  <c r="V113" i="19"/>
  <c r="U113" i="19"/>
  <c r="O113" i="19"/>
  <c r="AA113" i="17"/>
  <c r="I113" i="17"/>
  <c r="T41" i="17"/>
  <c r="S41" i="17"/>
  <c r="W41" i="17" s="1"/>
  <c r="R42" i="17" s="1"/>
  <c r="Y107" i="14"/>
  <c r="AC107" i="14" s="1"/>
  <c r="X108" i="14" s="1"/>
  <c r="Z107" i="14"/>
  <c r="AZ113" i="19"/>
  <c r="C113" i="19"/>
  <c r="E114" i="19"/>
  <c r="L110" i="18"/>
  <c r="I111" i="18" s="1"/>
  <c r="J111" i="18" s="1"/>
  <c r="E114" i="16"/>
  <c r="BD113" i="16"/>
  <c r="C113" i="16"/>
  <c r="AZ113" i="16"/>
  <c r="AR112" i="16"/>
  <c r="AZ112" i="18"/>
  <c r="C112" i="18"/>
  <c r="E113" i="18"/>
  <c r="E113" i="17"/>
  <c r="AZ112" i="17"/>
  <c r="C112" i="17"/>
  <c r="O111" i="18"/>
  <c r="AU111" i="18"/>
  <c r="K111" i="18"/>
  <c r="AQ111" i="18"/>
  <c r="AS111" i="18"/>
  <c r="AV54" i="14"/>
  <c r="F51" i="18"/>
  <c r="G51" i="18" s="1"/>
  <c r="AR51" i="18" s="1"/>
  <c r="AI50" i="18"/>
  <c r="AL50" i="18"/>
  <c r="E115" i="15"/>
  <c r="C114" i="15"/>
  <c r="AZ114" i="15"/>
  <c r="R84" i="18"/>
  <c r="Q85" i="18" s="1"/>
  <c r="AT85" i="18" s="1"/>
  <c r="P84" i="18"/>
  <c r="M85" i="18" s="1"/>
  <c r="N85" i="18" s="1"/>
  <c r="AG115" i="3"/>
  <c r="AE115" i="3"/>
  <c r="BC114" i="3"/>
  <c r="AV116" i="3"/>
  <c r="AX116" i="3" s="1"/>
  <c r="V116" i="3"/>
  <c r="X116" i="3" s="1"/>
  <c r="G117" i="3"/>
  <c r="Y115" i="3"/>
  <c r="AC114" i="3"/>
  <c r="H115" i="3"/>
  <c r="AF114" i="3"/>
  <c r="AK114" i="3" s="1"/>
  <c r="AI113" i="3"/>
  <c r="BE113" i="3" s="1"/>
  <c r="AL115" i="3"/>
  <c r="A116" i="3"/>
  <c r="BI116" i="3" s="1"/>
  <c r="BJ116" i="3" s="1"/>
  <c r="AM115" i="3"/>
  <c r="BD114" i="3"/>
  <c r="AH115" i="3"/>
  <c r="AQ118" i="3"/>
  <c r="AW118" i="3"/>
  <c r="AM66" i="14" l="1"/>
  <c r="AK55" i="14"/>
  <c r="AV55" i="14" s="1"/>
  <c r="AV66" i="14" s="1"/>
  <c r="AT76" i="25"/>
  <c r="AE76" i="25"/>
  <c r="AD77" i="25" s="1"/>
  <c r="S77" i="25"/>
  <c r="W77" i="25" s="1"/>
  <c r="R78" i="25" s="1"/>
  <c r="T77" i="25"/>
  <c r="AZ115" i="23"/>
  <c r="BC115" i="23" s="1"/>
  <c r="AS116" i="23"/>
  <c r="AU116" i="23"/>
  <c r="AQ116" i="23"/>
  <c r="L117" i="23"/>
  <c r="Q46" i="29"/>
  <c r="L47" i="29" s="1"/>
  <c r="Z63" i="29"/>
  <c r="AA63" i="29"/>
  <c r="AE63" i="29" s="1"/>
  <c r="AD64" i="29" s="1"/>
  <c r="AR118" i="3"/>
  <c r="BB116" i="3"/>
  <c r="O65" i="24"/>
  <c r="P65" i="24" s="1"/>
  <c r="M66" i="24" s="1"/>
  <c r="Y58" i="25"/>
  <c r="Z58" i="25"/>
  <c r="K61" i="24"/>
  <c r="R61" i="24" s="1"/>
  <c r="Q62" i="24" s="1"/>
  <c r="J61" i="24"/>
  <c r="AN116" i="20"/>
  <c r="AR113" i="19"/>
  <c r="AL116" i="3"/>
  <c r="P116" i="20"/>
  <c r="BG114" i="3"/>
  <c r="AQ116" i="20"/>
  <c r="AR116" i="20" s="1"/>
  <c r="O117" i="20"/>
  <c r="T76" i="15"/>
  <c r="S77" i="15" s="1"/>
  <c r="AW45" i="29"/>
  <c r="AX45" i="29" s="1"/>
  <c r="AY45" i="29" s="1"/>
  <c r="T98" i="29"/>
  <c r="S98" i="29"/>
  <c r="W98" i="29" s="1"/>
  <c r="R99" i="29" s="1"/>
  <c r="U99" i="29" s="1"/>
  <c r="AZ112" i="29"/>
  <c r="C112" i="29"/>
  <c r="E113" i="29"/>
  <c r="H46" i="29"/>
  <c r="AP46" i="29" s="1"/>
  <c r="J47" i="29"/>
  <c r="G46" i="29"/>
  <c r="AL46" i="29" s="1"/>
  <c r="Y63" i="29"/>
  <c r="J107" i="26"/>
  <c r="L107" i="26" s="1"/>
  <c r="I108" i="26" s="1"/>
  <c r="T81" i="26"/>
  <c r="S82" i="26" s="1"/>
  <c r="O112" i="26"/>
  <c r="AQ112" i="26"/>
  <c r="AS112" i="26"/>
  <c r="AU112" i="26"/>
  <c r="K112" i="26"/>
  <c r="N82" i="26"/>
  <c r="P82" i="26" s="1"/>
  <c r="M83" i="26" s="1"/>
  <c r="AT81" i="26"/>
  <c r="R81" i="26"/>
  <c r="Q82" i="26" s="1"/>
  <c r="F45" i="26"/>
  <c r="AI44" i="26"/>
  <c r="AJ44" i="26" s="1"/>
  <c r="AK44" i="26" s="1"/>
  <c r="AL44" i="26"/>
  <c r="C113" i="26"/>
  <c r="AZ113" i="26"/>
  <c r="E114" i="26"/>
  <c r="K47" i="28"/>
  <c r="F48" i="28" s="1"/>
  <c r="AT89" i="28"/>
  <c r="W88" i="28"/>
  <c r="R89" i="28" s="1"/>
  <c r="V89" i="28" s="1"/>
  <c r="AO47" i="28"/>
  <c r="AL47" i="28"/>
  <c r="AZ113" i="28"/>
  <c r="C113" i="28"/>
  <c r="E114" i="28"/>
  <c r="AC64" i="28"/>
  <c r="X65" i="28" s="1"/>
  <c r="AB65" i="28" s="1"/>
  <c r="F53" i="25"/>
  <c r="AI48" i="25"/>
  <c r="AQ48" i="25"/>
  <c r="AU48" i="25"/>
  <c r="AS48" i="25"/>
  <c r="U112" i="25"/>
  <c r="V112" i="25"/>
  <c r="AA112" i="25"/>
  <c r="AB112" i="25"/>
  <c r="AR112" i="25"/>
  <c r="BA113" i="25"/>
  <c r="BB113" i="25"/>
  <c r="BC113" i="25"/>
  <c r="C113" i="25"/>
  <c r="BD113" i="25"/>
  <c r="AZ113" i="25"/>
  <c r="E114" i="25"/>
  <c r="L49" i="25"/>
  <c r="AQ112" i="24"/>
  <c r="AS112" i="24"/>
  <c r="AU112" i="24"/>
  <c r="C113" i="24"/>
  <c r="AZ113" i="24"/>
  <c r="E114" i="24"/>
  <c r="F44" i="24"/>
  <c r="AL43" i="24"/>
  <c r="AM43" i="24" s="1"/>
  <c r="AI43" i="24"/>
  <c r="AJ43" i="24" s="1"/>
  <c r="AW42" i="15"/>
  <c r="AX42" i="15" s="1"/>
  <c r="AY42" i="15" s="1"/>
  <c r="AQ114" i="15"/>
  <c r="AS114" i="15"/>
  <c r="AU114" i="15"/>
  <c r="G43" i="15"/>
  <c r="AR43" i="15" s="1"/>
  <c r="P76" i="15"/>
  <c r="M77" i="15" s="1"/>
  <c r="N77" i="15" s="1"/>
  <c r="AZ41" i="23"/>
  <c r="BC41" i="23" s="1"/>
  <c r="BG41" i="23"/>
  <c r="F43" i="23"/>
  <c r="AL42" i="23"/>
  <c r="AI42" i="23"/>
  <c r="O111" i="25"/>
  <c r="I111" i="25"/>
  <c r="R76" i="15"/>
  <c r="Q77" i="15" s="1"/>
  <c r="AT77" i="15" s="1"/>
  <c r="AZ92" i="14"/>
  <c r="BC92" i="14" s="1"/>
  <c r="AD114" i="3"/>
  <c r="AI114" i="3" s="1"/>
  <c r="BE114" i="3" s="1"/>
  <c r="Z37" i="17"/>
  <c r="Y37" i="17"/>
  <c r="AC37" i="17" s="1"/>
  <c r="X38" i="17" s="1"/>
  <c r="AG36" i="17"/>
  <c r="AF37" i="17" s="1"/>
  <c r="AI93" i="14"/>
  <c r="AJ93" i="14" s="1"/>
  <c r="AK93" i="14" s="1"/>
  <c r="AG38" i="19"/>
  <c r="AF39" i="19" s="1"/>
  <c r="AE99" i="14"/>
  <c r="AD100" i="14" s="1"/>
  <c r="AT100" i="14" s="1"/>
  <c r="AT99" i="14"/>
  <c r="Y39" i="19"/>
  <c r="AC39" i="19" s="1"/>
  <c r="X40" i="19" s="1"/>
  <c r="Z39" i="19"/>
  <c r="AP93" i="14"/>
  <c r="AO93" i="14"/>
  <c r="AI19" i="19"/>
  <c r="AJ19" i="19" s="1"/>
  <c r="AK19" i="19" s="1"/>
  <c r="AL19" i="19"/>
  <c r="AM19" i="19" s="1"/>
  <c r="AN19" i="19" s="1"/>
  <c r="AQ20" i="17"/>
  <c r="F21" i="17"/>
  <c r="AU20" i="17"/>
  <c r="AS20" i="17"/>
  <c r="F94" i="14"/>
  <c r="AU93" i="14"/>
  <c r="AS93" i="14"/>
  <c r="AP19" i="19"/>
  <c r="AO19" i="19"/>
  <c r="T34" i="19"/>
  <c r="S34" i="19"/>
  <c r="W34" i="19" s="1"/>
  <c r="R35" i="19" s="1"/>
  <c r="K19" i="19"/>
  <c r="AT33" i="19"/>
  <c r="AE33" i="19"/>
  <c r="AD34" i="19" s="1"/>
  <c r="L80" i="15"/>
  <c r="I81" i="15" s="1"/>
  <c r="J81" i="15" s="1"/>
  <c r="AL93" i="14"/>
  <c r="AM93" i="14" s="1"/>
  <c r="AN93" i="14" s="1"/>
  <c r="S100" i="14"/>
  <c r="T100" i="14"/>
  <c r="N43" i="17"/>
  <c r="M43" i="17"/>
  <c r="Q43" i="17" s="1"/>
  <c r="L44" i="17" s="1"/>
  <c r="P44" i="17"/>
  <c r="AB114" i="17"/>
  <c r="O114" i="17"/>
  <c r="U114" i="17"/>
  <c r="AB114" i="19"/>
  <c r="O114" i="19"/>
  <c r="I114" i="17"/>
  <c r="V114" i="17"/>
  <c r="V114" i="19"/>
  <c r="U114" i="19"/>
  <c r="AA114" i="17"/>
  <c r="I114" i="19"/>
  <c r="AA114" i="19"/>
  <c r="Z108" i="14"/>
  <c r="Y108" i="14"/>
  <c r="AC108" i="14" s="1"/>
  <c r="X109" i="14" s="1"/>
  <c r="AT41" i="17"/>
  <c r="AE41" i="17"/>
  <c r="AD42" i="17" s="1"/>
  <c r="AG107" i="14"/>
  <c r="AF108" i="14" s="1"/>
  <c r="P112" i="14"/>
  <c r="N111" i="14"/>
  <c r="M111" i="14"/>
  <c r="Q111" i="14" s="1"/>
  <c r="L112" i="14" s="1"/>
  <c r="T42" i="17"/>
  <c r="S42" i="17"/>
  <c r="W42" i="17" s="1"/>
  <c r="R43" i="17" s="1"/>
  <c r="N43" i="19"/>
  <c r="M43" i="19"/>
  <c r="Q43" i="19" s="1"/>
  <c r="L44" i="19" s="1"/>
  <c r="P44" i="19"/>
  <c r="AZ114" i="19"/>
  <c r="C114" i="19"/>
  <c r="E115" i="19"/>
  <c r="AR113" i="16"/>
  <c r="BD114" i="16"/>
  <c r="AZ114" i="16"/>
  <c r="C114" i="16"/>
  <c r="E115" i="16"/>
  <c r="AZ113" i="17"/>
  <c r="C113" i="17"/>
  <c r="E114" i="17"/>
  <c r="K112" i="18"/>
  <c r="O112" i="18"/>
  <c r="AU112" i="18"/>
  <c r="AS112" i="18"/>
  <c r="AQ112" i="18"/>
  <c r="C113" i="18"/>
  <c r="E114" i="18"/>
  <c r="AZ113" i="18"/>
  <c r="L111" i="18"/>
  <c r="I112" i="18" s="1"/>
  <c r="J112" i="18" s="1"/>
  <c r="AZ54" i="14"/>
  <c r="BG54" i="14"/>
  <c r="H51" i="18"/>
  <c r="AL51" i="18" s="1"/>
  <c r="AM51" i="18" s="1"/>
  <c r="AN51" i="18" s="1"/>
  <c r="AM50" i="18"/>
  <c r="AN50" i="18" s="1"/>
  <c r="AJ50" i="18"/>
  <c r="AK50" i="18" s="1"/>
  <c r="E116" i="15"/>
  <c r="AZ115" i="15"/>
  <c r="C115" i="15"/>
  <c r="T85" i="18"/>
  <c r="S86" i="18" s="1"/>
  <c r="AQ119" i="3"/>
  <c r="A117" i="3"/>
  <c r="BI117" i="3" s="1"/>
  <c r="BJ117" i="3" s="1"/>
  <c r="H116" i="3"/>
  <c r="AF115" i="3"/>
  <c r="AK115" i="3" s="1"/>
  <c r="AE116" i="3"/>
  <c r="BC115" i="3"/>
  <c r="BD115" i="3"/>
  <c r="AH116" i="3"/>
  <c r="AW119" i="3"/>
  <c r="AN119" i="3"/>
  <c r="AC115" i="3"/>
  <c r="Y116" i="3"/>
  <c r="AG116" i="3"/>
  <c r="AM116" i="3"/>
  <c r="P119" i="3"/>
  <c r="P120" i="3" s="1"/>
  <c r="AV117" i="3"/>
  <c r="AX117" i="3" s="1"/>
  <c r="V117" i="3"/>
  <c r="X117" i="3" s="1"/>
  <c r="G118" i="3"/>
  <c r="AZ55" i="14" l="1"/>
  <c r="BC55" i="14" s="1"/>
  <c r="AK66" i="14"/>
  <c r="BG55" i="14"/>
  <c r="S78" i="25"/>
  <c r="W78" i="25" s="1"/>
  <c r="R79" i="25" s="1"/>
  <c r="T78" i="25"/>
  <c r="AE77" i="25"/>
  <c r="AD78" i="25" s="1"/>
  <c r="AT77" i="25"/>
  <c r="AV116" i="23"/>
  <c r="AZ116" i="23" s="1"/>
  <c r="BC116" i="23" s="1"/>
  <c r="O117" i="23"/>
  <c r="M117" i="23"/>
  <c r="P118" i="23"/>
  <c r="N117" i="23"/>
  <c r="G48" i="28"/>
  <c r="AI48" i="28" s="1"/>
  <c r="AJ48" i="28" s="1"/>
  <c r="AK48" i="28" s="1"/>
  <c r="I48" i="28"/>
  <c r="Q48" i="28" s="1"/>
  <c r="L49" i="28" s="1"/>
  <c r="M47" i="29"/>
  <c r="O47" i="29"/>
  <c r="P48" i="29"/>
  <c r="N47" i="29"/>
  <c r="AT64" i="29"/>
  <c r="AG63" i="29"/>
  <c r="AF64" i="29" s="1"/>
  <c r="AR119" i="3"/>
  <c r="BB117" i="3"/>
  <c r="AN117" i="20"/>
  <c r="N66" i="24"/>
  <c r="O66" i="24"/>
  <c r="L61" i="24"/>
  <c r="I62" i="24" s="1"/>
  <c r="T61" i="24"/>
  <c r="S62" i="24" s="1"/>
  <c r="AC58" i="25"/>
  <c r="X59" i="25" s="1"/>
  <c r="AG58" i="25"/>
  <c r="AF59" i="25" s="1"/>
  <c r="P117" i="20"/>
  <c r="BG115" i="3"/>
  <c r="O118" i="20"/>
  <c r="AQ117" i="20"/>
  <c r="AR117" i="20" s="1"/>
  <c r="K114" i="15"/>
  <c r="O114" i="15"/>
  <c r="T77" i="15"/>
  <c r="S78" i="15" s="1"/>
  <c r="T99" i="29"/>
  <c r="S99" i="29"/>
  <c r="W99" i="29" s="1"/>
  <c r="R100" i="29" s="1"/>
  <c r="U100" i="29" s="1"/>
  <c r="AM46" i="29"/>
  <c r="AN46" i="29" s="1"/>
  <c r="AI46" i="29"/>
  <c r="K46" i="29"/>
  <c r="C113" i="29"/>
  <c r="AZ113" i="29"/>
  <c r="E114" i="29"/>
  <c r="AO46" i="29"/>
  <c r="T82" i="26"/>
  <c r="S83" i="26" s="1"/>
  <c r="AU47" i="28"/>
  <c r="AS47" i="28"/>
  <c r="N83" i="26"/>
  <c r="G45" i="26"/>
  <c r="AR45" i="26" s="1"/>
  <c r="AM44" i="26"/>
  <c r="AN44" i="26" s="1"/>
  <c r="AW44" i="26" s="1"/>
  <c r="AX44" i="26" s="1"/>
  <c r="AY44" i="26" s="1"/>
  <c r="AS113" i="26"/>
  <c r="AU113" i="26"/>
  <c r="AQ113" i="26"/>
  <c r="O113" i="26"/>
  <c r="K113" i="26"/>
  <c r="AT82" i="26"/>
  <c r="R82" i="26"/>
  <c r="Q83" i="26" s="1"/>
  <c r="J108" i="26"/>
  <c r="L108" i="26" s="1"/>
  <c r="I109" i="26" s="1"/>
  <c r="C114" i="26"/>
  <c r="AZ114" i="26"/>
  <c r="E115" i="26"/>
  <c r="J49" i="28"/>
  <c r="H48" i="28"/>
  <c r="AP48" i="28" s="1"/>
  <c r="AQ47" i="28"/>
  <c r="Z65" i="28"/>
  <c r="Y65" i="28"/>
  <c r="AG65" i="28" s="1"/>
  <c r="AF66" i="28" s="1"/>
  <c r="T89" i="28"/>
  <c r="S89" i="28"/>
  <c r="AE89" i="28" s="1"/>
  <c r="AD90" i="28" s="1"/>
  <c r="C114" i="28"/>
  <c r="AZ114" i="28"/>
  <c r="E115" i="28"/>
  <c r="AJ47" i="28"/>
  <c r="AK47" i="28" s="1"/>
  <c r="AM47" i="28"/>
  <c r="AN47" i="28" s="1"/>
  <c r="G53" i="25"/>
  <c r="K53" i="25" s="1"/>
  <c r="H53" i="25"/>
  <c r="J54" i="25"/>
  <c r="AR113" i="25"/>
  <c r="U113" i="25"/>
  <c r="V113" i="25"/>
  <c r="AA113" i="25"/>
  <c r="AB113" i="25"/>
  <c r="BA114" i="25"/>
  <c r="BB114" i="25"/>
  <c r="BC114" i="25"/>
  <c r="P50" i="25"/>
  <c r="N49" i="25"/>
  <c r="AP49" i="25" s="1"/>
  <c r="M49" i="25"/>
  <c r="AL49" i="25" s="1"/>
  <c r="AJ48" i="25"/>
  <c r="AK48" i="25" s="1"/>
  <c r="AW48" i="25" s="1"/>
  <c r="AX48" i="25" s="1"/>
  <c r="AY48" i="25" s="1"/>
  <c r="AZ114" i="25"/>
  <c r="BD114" i="25"/>
  <c r="C114" i="25"/>
  <c r="E115" i="25"/>
  <c r="AT62" i="24"/>
  <c r="C114" i="24"/>
  <c r="AZ114" i="24"/>
  <c r="E115" i="24"/>
  <c r="AK43" i="24"/>
  <c r="AN43" i="24"/>
  <c r="AU113" i="24"/>
  <c r="AS113" i="24"/>
  <c r="AQ113" i="24"/>
  <c r="G44" i="24"/>
  <c r="AR44" i="24" s="1"/>
  <c r="AQ115" i="15"/>
  <c r="AS115" i="15"/>
  <c r="AU115" i="15"/>
  <c r="H43" i="15"/>
  <c r="P77" i="15"/>
  <c r="M78" i="15" s="1"/>
  <c r="N78" i="15" s="1"/>
  <c r="G43" i="23"/>
  <c r="AR43" i="23" s="1"/>
  <c r="AM42" i="23"/>
  <c r="AN42" i="23" s="1"/>
  <c r="AJ42" i="23"/>
  <c r="AK42" i="23" s="1"/>
  <c r="AC63" i="29"/>
  <c r="X64" i="29" s="1"/>
  <c r="O112" i="25"/>
  <c r="I112" i="25"/>
  <c r="AJ114" i="3"/>
  <c r="BF114" i="3" s="1"/>
  <c r="L112" i="18"/>
  <c r="I113" i="18" s="1"/>
  <c r="J113" i="18" s="1"/>
  <c r="R77" i="15"/>
  <c r="Q78" i="15" s="1"/>
  <c r="AT78" i="15" s="1"/>
  <c r="AV93" i="14"/>
  <c r="AZ93" i="14" s="1"/>
  <c r="BC93" i="14" s="1"/>
  <c r="AR114" i="19"/>
  <c r="AW20" i="17"/>
  <c r="AX20" i="17" s="1"/>
  <c r="AY20" i="17" s="1"/>
  <c r="AM117" i="3"/>
  <c r="AE100" i="14"/>
  <c r="AD101" i="14" s="1"/>
  <c r="AT101" i="14" s="1"/>
  <c r="Z38" i="17"/>
  <c r="Y38" i="17"/>
  <c r="AC38" i="17" s="1"/>
  <c r="X39" i="17" s="1"/>
  <c r="AG37" i="17"/>
  <c r="AF38" i="17" s="1"/>
  <c r="Y40" i="19"/>
  <c r="AC40" i="19" s="1"/>
  <c r="X41" i="19" s="1"/>
  <c r="Z40" i="19"/>
  <c r="AG39" i="19"/>
  <c r="AF40" i="19" s="1"/>
  <c r="AE34" i="19"/>
  <c r="AD35" i="19" s="1"/>
  <c r="AT34" i="19"/>
  <c r="S35" i="19"/>
  <c r="W35" i="19" s="1"/>
  <c r="R36" i="19" s="1"/>
  <c r="T35" i="19"/>
  <c r="AG108" i="14"/>
  <c r="AF109" i="14" s="1"/>
  <c r="F20" i="19"/>
  <c r="AU19" i="19"/>
  <c r="AS19" i="19"/>
  <c r="AQ19" i="19"/>
  <c r="G21" i="17"/>
  <c r="AL21" i="17" s="1"/>
  <c r="AM21" i="17" s="1"/>
  <c r="AN21" i="17" s="1"/>
  <c r="H21" i="17"/>
  <c r="J22" i="17"/>
  <c r="H94" i="14"/>
  <c r="J95" i="14"/>
  <c r="G94" i="14"/>
  <c r="AL94" i="14" s="1"/>
  <c r="AM94" i="14" s="1"/>
  <c r="AN94" i="14" s="1"/>
  <c r="L81" i="15"/>
  <c r="I82" i="15" s="1"/>
  <c r="J82" i="15" s="1"/>
  <c r="W100" i="14"/>
  <c r="R101" i="14" s="1"/>
  <c r="S101" i="14" s="1"/>
  <c r="Z109" i="14"/>
  <c r="Y109" i="14"/>
  <c r="AC109" i="14" s="1"/>
  <c r="X110" i="14" s="1"/>
  <c r="P45" i="19"/>
  <c r="N44" i="19"/>
  <c r="M44" i="19"/>
  <c r="Q44" i="19" s="1"/>
  <c r="L45" i="19" s="1"/>
  <c r="AT42" i="17"/>
  <c r="AE42" i="17"/>
  <c r="AD43" i="17" s="1"/>
  <c r="P45" i="17"/>
  <c r="N44" i="17"/>
  <c r="M44" i="17"/>
  <c r="Q44" i="17" s="1"/>
  <c r="L45" i="17" s="1"/>
  <c r="V115" i="17"/>
  <c r="O115" i="17"/>
  <c r="U115" i="19"/>
  <c r="AB115" i="17"/>
  <c r="I115" i="17"/>
  <c r="O115" i="19"/>
  <c r="AA115" i="17"/>
  <c r="AB115" i="19"/>
  <c r="I115" i="19"/>
  <c r="AA115" i="19"/>
  <c r="V115" i="19"/>
  <c r="U115" i="17"/>
  <c r="S43" i="17"/>
  <c r="W43" i="17" s="1"/>
  <c r="R44" i="17" s="1"/>
  <c r="T43" i="17"/>
  <c r="N112" i="14"/>
  <c r="P113" i="14"/>
  <c r="M112" i="14"/>
  <c r="Q112" i="14" s="1"/>
  <c r="L113" i="14" s="1"/>
  <c r="E116" i="19"/>
  <c r="C115" i="19"/>
  <c r="AZ115" i="19"/>
  <c r="F52" i="18"/>
  <c r="G52" i="18" s="1"/>
  <c r="AR52" i="18" s="1"/>
  <c r="AR114" i="16"/>
  <c r="BD115" i="16"/>
  <c r="AZ115" i="16"/>
  <c r="E116" i="16"/>
  <c r="C115" i="16"/>
  <c r="AZ114" i="17"/>
  <c r="C114" i="17"/>
  <c r="E115" i="17"/>
  <c r="O113" i="18"/>
  <c r="AS113" i="18"/>
  <c r="AQ113" i="18"/>
  <c r="K113" i="18"/>
  <c r="AU113" i="18"/>
  <c r="AZ114" i="18"/>
  <c r="C114" i="18"/>
  <c r="E115" i="18"/>
  <c r="AI51" i="18"/>
  <c r="AJ51" i="18" s="1"/>
  <c r="AK51" i="18" s="1"/>
  <c r="AW51" i="18" s="1"/>
  <c r="AX51" i="18" s="1"/>
  <c r="AY51" i="18" s="1"/>
  <c r="BC54" i="14"/>
  <c r="AW50" i="18"/>
  <c r="AX50" i="18" s="1"/>
  <c r="AY50" i="18" s="1"/>
  <c r="AZ116" i="15"/>
  <c r="C116" i="15"/>
  <c r="E117" i="15"/>
  <c r="R85" i="18"/>
  <c r="Q86" i="18" s="1"/>
  <c r="AT86" i="18" s="1"/>
  <c r="P85" i="18"/>
  <c r="M86" i="18" s="1"/>
  <c r="N86" i="18" s="1"/>
  <c r="AG117" i="3"/>
  <c r="AE117" i="3"/>
  <c r="BC116" i="3"/>
  <c r="P121" i="3"/>
  <c r="Y117" i="3"/>
  <c r="AC116" i="3"/>
  <c r="AW120" i="3"/>
  <c r="A118" i="3"/>
  <c r="BI118" i="3" s="1"/>
  <c r="BJ118" i="3" s="1"/>
  <c r="AV118" i="3"/>
  <c r="AX118" i="3" s="1"/>
  <c r="V118" i="3"/>
  <c r="X118" i="3" s="1"/>
  <c r="G119" i="3"/>
  <c r="H117" i="3"/>
  <c r="AF116" i="3"/>
  <c r="AD116" i="3" s="1"/>
  <c r="AQ120" i="3"/>
  <c r="AD115" i="3"/>
  <c r="AI115" i="3" s="1"/>
  <c r="BE115" i="3" s="1"/>
  <c r="AN120" i="3"/>
  <c r="AN121" i="3" s="1"/>
  <c r="AH117" i="3"/>
  <c r="BD116" i="3"/>
  <c r="AL117" i="3"/>
  <c r="BC66" i="14" l="1"/>
  <c r="BF6" i="14" s="1"/>
  <c r="BG6" i="14" s="1"/>
  <c r="AZ66" i="14"/>
  <c r="AT78" i="25"/>
  <c r="AE78" i="25"/>
  <c r="AD79" i="25" s="1"/>
  <c r="S79" i="25"/>
  <c r="W79" i="25" s="1"/>
  <c r="R80" i="25" s="1"/>
  <c r="T79" i="25"/>
  <c r="BG116" i="23"/>
  <c r="Q117" i="23"/>
  <c r="L118" i="23" s="1"/>
  <c r="O118" i="23" s="1"/>
  <c r="AL117" i="23"/>
  <c r="AM117" i="23" s="1"/>
  <c r="AN117" i="23" s="1"/>
  <c r="AO117" i="23"/>
  <c r="AP117" i="23"/>
  <c r="AI117" i="23"/>
  <c r="AJ117" i="23" s="1"/>
  <c r="AK117" i="23" s="1"/>
  <c r="K48" i="28"/>
  <c r="AU48" i="28" s="1"/>
  <c r="AL48" i="28"/>
  <c r="AM48" i="28" s="1"/>
  <c r="AN48" i="28" s="1"/>
  <c r="Z64" i="29"/>
  <c r="AA64" i="29"/>
  <c r="AE64" i="29" s="1"/>
  <c r="AD65" i="29" s="1"/>
  <c r="O49" i="28"/>
  <c r="M49" i="28"/>
  <c r="P50" i="28"/>
  <c r="N49" i="28"/>
  <c r="AR120" i="3"/>
  <c r="BB118" i="3"/>
  <c r="P66" i="24"/>
  <c r="M67" i="24" s="1"/>
  <c r="O67" i="24" s="1"/>
  <c r="Y59" i="25"/>
  <c r="AC59" i="25" s="1"/>
  <c r="X60" i="25" s="1"/>
  <c r="Z59" i="25"/>
  <c r="K62" i="24"/>
  <c r="T62" i="24" s="1"/>
  <c r="S63" i="24" s="1"/>
  <c r="J62" i="24"/>
  <c r="P118" i="20"/>
  <c r="AN118" i="20"/>
  <c r="AQ118" i="20"/>
  <c r="AR118" i="20" s="1"/>
  <c r="O119" i="20"/>
  <c r="AK116" i="3"/>
  <c r="BG116" i="3" s="1"/>
  <c r="K115" i="15"/>
  <c r="O115" i="15"/>
  <c r="T78" i="15"/>
  <c r="S79" i="15" s="1"/>
  <c r="T100" i="29"/>
  <c r="S100" i="29"/>
  <c r="W100" i="29" s="1"/>
  <c r="R101" i="29" s="1"/>
  <c r="U101" i="29" s="1"/>
  <c r="AJ46" i="29"/>
  <c r="AK46" i="29" s="1"/>
  <c r="F47" i="29"/>
  <c r="I47" i="29" s="1"/>
  <c r="AR47" i="29" s="1"/>
  <c r="AU46" i="29"/>
  <c r="AS46" i="29"/>
  <c r="AQ46" i="29"/>
  <c r="AZ114" i="29"/>
  <c r="C114" i="29"/>
  <c r="E115" i="29"/>
  <c r="Y64" i="29"/>
  <c r="T83" i="26"/>
  <c r="S84" i="26" s="1"/>
  <c r="P83" i="26"/>
  <c r="M84" i="26" s="1"/>
  <c r="N84" i="26" s="1"/>
  <c r="P84" i="26" s="1"/>
  <c r="M85" i="26" s="1"/>
  <c r="J109" i="26"/>
  <c r="L109" i="26" s="1"/>
  <c r="I110" i="26" s="1"/>
  <c r="H45" i="26"/>
  <c r="AT83" i="26"/>
  <c r="R83" i="26"/>
  <c r="Q84" i="26" s="1"/>
  <c r="K114" i="26"/>
  <c r="AS114" i="26"/>
  <c r="AU114" i="26"/>
  <c r="O114" i="26"/>
  <c r="AQ114" i="26"/>
  <c r="C115" i="26"/>
  <c r="AZ115" i="26"/>
  <c r="E116" i="26"/>
  <c r="AO48" i="28"/>
  <c r="AW47" i="28"/>
  <c r="AX47" i="28" s="1"/>
  <c r="AY47" i="28" s="1"/>
  <c r="AT90" i="28"/>
  <c r="W89" i="28"/>
  <c r="R90" i="28" s="1"/>
  <c r="V90" i="28" s="1"/>
  <c r="AC65" i="28"/>
  <c r="X66" i="28" s="1"/>
  <c r="AB66" i="28" s="1"/>
  <c r="AZ115" i="28"/>
  <c r="C115" i="28"/>
  <c r="E116" i="28"/>
  <c r="F54" i="25"/>
  <c r="AW43" i="24"/>
  <c r="AX43" i="24" s="1"/>
  <c r="AY43" i="24" s="1"/>
  <c r="AO49" i="25"/>
  <c r="Q49" i="25"/>
  <c r="AR114" i="25"/>
  <c r="U114" i="25"/>
  <c r="V114" i="25"/>
  <c r="AA114" i="25"/>
  <c r="AB114" i="25"/>
  <c r="BA115" i="25"/>
  <c r="BB115" i="25"/>
  <c r="BC115" i="25"/>
  <c r="BD115" i="25"/>
  <c r="AZ115" i="25"/>
  <c r="C115" i="25"/>
  <c r="E116" i="25"/>
  <c r="AM49" i="25"/>
  <c r="AN49" i="25" s="1"/>
  <c r="AQ114" i="24"/>
  <c r="AS114" i="24"/>
  <c r="AU114" i="24"/>
  <c r="C115" i="24"/>
  <c r="AZ115" i="24"/>
  <c r="E116" i="24"/>
  <c r="H44" i="24"/>
  <c r="F44" i="15"/>
  <c r="AI43" i="15"/>
  <c r="AJ43" i="15" s="1"/>
  <c r="AK43" i="15" s="1"/>
  <c r="AL43" i="15"/>
  <c r="AM43" i="15" s="1"/>
  <c r="AN43" i="15" s="1"/>
  <c r="O116" i="15"/>
  <c r="AQ116" i="15"/>
  <c r="AS116" i="15"/>
  <c r="AU116" i="15"/>
  <c r="K116" i="15"/>
  <c r="P78" i="15"/>
  <c r="M79" i="15" s="1"/>
  <c r="N79" i="15" s="1"/>
  <c r="AV42" i="23"/>
  <c r="H43" i="23"/>
  <c r="O113" i="25"/>
  <c r="I113" i="25"/>
  <c r="AJ115" i="3"/>
  <c r="BF115" i="3" s="1"/>
  <c r="R78" i="15"/>
  <c r="Q79" i="15" s="1"/>
  <c r="AT79" i="15" s="1"/>
  <c r="AJ116" i="3"/>
  <c r="BF116" i="3" s="1"/>
  <c r="AW19" i="19"/>
  <c r="AX19" i="19" s="1"/>
  <c r="AY19" i="19" s="1"/>
  <c r="BG93" i="14"/>
  <c r="AL118" i="3"/>
  <c r="AM118" i="3"/>
  <c r="Z39" i="17"/>
  <c r="Y39" i="17"/>
  <c r="AC39" i="17" s="1"/>
  <c r="X40" i="17" s="1"/>
  <c r="AG38" i="17"/>
  <c r="AF39" i="17" s="1"/>
  <c r="T101" i="14"/>
  <c r="AG40" i="19"/>
  <c r="AF41" i="19" s="1"/>
  <c r="AR115" i="19"/>
  <c r="AI94" i="14"/>
  <c r="AJ94" i="14" s="1"/>
  <c r="AK94" i="14" s="1"/>
  <c r="Z41" i="19"/>
  <c r="Y41" i="19"/>
  <c r="AE101" i="14"/>
  <c r="AD102" i="14" s="1"/>
  <c r="AT102" i="14" s="1"/>
  <c r="W101" i="14"/>
  <c r="R102" i="14" s="1"/>
  <c r="S102" i="14" s="1"/>
  <c r="W102" i="14" s="1"/>
  <c r="R103" i="14" s="1"/>
  <c r="T36" i="19"/>
  <c r="S36" i="19"/>
  <c r="W36" i="19" s="1"/>
  <c r="R37" i="19" s="1"/>
  <c r="K94" i="14"/>
  <c r="AP94" i="14"/>
  <c r="AO94" i="14"/>
  <c r="AT35" i="19"/>
  <c r="AE35" i="19"/>
  <c r="AD36" i="19" s="1"/>
  <c r="K21" i="17"/>
  <c r="AI21" i="17"/>
  <c r="AJ21" i="17" s="1"/>
  <c r="AK21" i="17" s="1"/>
  <c r="G20" i="19"/>
  <c r="K20" i="19" s="1"/>
  <c r="F21" i="19" s="1"/>
  <c r="J21" i="19"/>
  <c r="H20" i="19"/>
  <c r="AO21" i="17"/>
  <c r="AP21" i="17"/>
  <c r="AG109" i="14"/>
  <c r="AF110" i="14" s="1"/>
  <c r="L82" i="15"/>
  <c r="I83" i="15" s="1"/>
  <c r="J83" i="15" s="1"/>
  <c r="AB116" i="17"/>
  <c r="O116" i="17"/>
  <c r="I116" i="17"/>
  <c r="V116" i="19"/>
  <c r="AA116" i="17"/>
  <c r="U116" i="17"/>
  <c r="AA116" i="19"/>
  <c r="U116" i="19"/>
  <c r="AB116" i="19"/>
  <c r="V116" i="17"/>
  <c r="O116" i="19"/>
  <c r="I116" i="19"/>
  <c r="AT43" i="17"/>
  <c r="AE43" i="17"/>
  <c r="AD44" i="17" s="1"/>
  <c r="Y110" i="14"/>
  <c r="AC110" i="14" s="1"/>
  <c r="X111" i="14" s="1"/>
  <c r="Z110" i="14"/>
  <c r="N113" i="14"/>
  <c r="P114" i="14"/>
  <c r="M113" i="14"/>
  <c r="Q113" i="14" s="1"/>
  <c r="L114" i="14" s="1"/>
  <c r="T44" i="17"/>
  <c r="S44" i="17"/>
  <c r="W44" i="17" s="1"/>
  <c r="R45" i="17" s="1"/>
  <c r="N45" i="17"/>
  <c r="M45" i="17"/>
  <c r="Q45" i="17" s="1"/>
  <c r="L46" i="17" s="1"/>
  <c r="P46" i="17"/>
  <c r="P46" i="19"/>
  <c r="N45" i="19"/>
  <c r="M45" i="19"/>
  <c r="Q45" i="19" s="1"/>
  <c r="L46" i="19" s="1"/>
  <c r="L113" i="18"/>
  <c r="I114" i="18" s="1"/>
  <c r="J114" i="18" s="1"/>
  <c r="C116" i="19"/>
  <c r="E117" i="19"/>
  <c r="AZ116" i="19"/>
  <c r="C116" i="16"/>
  <c r="E117" i="16"/>
  <c r="BD116" i="16"/>
  <c r="AZ116" i="16"/>
  <c r="AR115" i="16"/>
  <c r="E116" i="17"/>
  <c r="C115" i="17"/>
  <c r="AZ115" i="17"/>
  <c r="C115" i="18"/>
  <c r="E116" i="18"/>
  <c r="AZ115" i="18"/>
  <c r="AQ114" i="18"/>
  <c r="O114" i="18"/>
  <c r="AU114" i="18"/>
  <c r="K114" i="18"/>
  <c r="AS114" i="18"/>
  <c r="H52" i="18"/>
  <c r="F53" i="18" s="1"/>
  <c r="G53" i="18" s="1"/>
  <c r="AR53" i="18" s="1"/>
  <c r="C117" i="15"/>
  <c r="E118" i="15"/>
  <c r="AZ117" i="15"/>
  <c r="T86" i="18"/>
  <c r="S87" i="18" s="1"/>
  <c r="A119" i="3"/>
  <c r="BI119" i="3" s="1"/>
  <c r="BJ119" i="3" s="1"/>
  <c r="AI116" i="3"/>
  <c r="BE116" i="3" s="1"/>
  <c r="H118" i="3"/>
  <c r="AF117" i="3"/>
  <c r="AK117" i="3" s="1"/>
  <c r="G120" i="3"/>
  <c r="AV119" i="3"/>
  <c r="AX119" i="3" s="1"/>
  <c r="V119" i="3"/>
  <c r="X119" i="3" s="1"/>
  <c r="Y118" i="3"/>
  <c r="AC117" i="3"/>
  <c r="BC117" i="3"/>
  <c r="AE118" i="3"/>
  <c r="AW121" i="3"/>
  <c r="AG118" i="3"/>
  <c r="BD117" i="3"/>
  <c r="AH118" i="3"/>
  <c r="AQ121" i="3"/>
  <c r="BF5" i="14" l="1"/>
  <c r="BG5" i="14" s="1"/>
  <c r="BG66" i="14" s="1"/>
  <c r="S80" i="25"/>
  <c r="W80" i="25" s="1"/>
  <c r="R81" i="25" s="1"/>
  <c r="T80" i="25"/>
  <c r="AT79" i="25"/>
  <c r="AE79" i="25"/>
  <c r="AD80" i="25" s="1"/>
  <c r="F49" i="28"/>
  <c r="I49" i="28" s="1"/>
  <c r="Q49" i="28" s="1"/>
  <c r="L50" i="28" s="1"/>
  <c r="AQ48" i="28"/>
  <c r="AS48" i="28"/>
  <c r="AS117" i="23"/>
  <c r="AQ117" i="23"/>
  <c r="AU117" i="23"/>
  <c r="M118" i="23"/>
  <c r="AL118" i="23" s="1"/>
  <c r="AM118" i="23" s="1"/>
  <c r="AN118" i="23" s="1"/>
  <c r="N118" i="23"/>
  <c r="AP118" i="23" s="1"/>
  <c r="P119" i="23"/>
  <c r="Q47" i="29"/>
  <c r="L48" i="29" s="1"/>
  <c r="AG64" i="29"/>
  <c r="AF65" i="29" s="1"/>
  <c r="AT65" i="29"/>
  <c r="AR121" i="3"/>
  <c r="BB119" i="3"/>
  <c r="N67" i="24"/>
  <c r="P67" i="24" s="1"/>
  <c r="M68" i="24" s="1"/>
  <c r="P119" i="20"/>
  <c r="AG59" i="25"/>
  <c r="AF60" i="25" s="1"/>
  <c r="L62" i="24"/>
  <c r="I63" i="24" s="1"/>
  <c r="R62" i="24"/>
  <c r="Q63" i="24" s="1"/>
  <c r="AT63" i="24" s="1"/>
  <c r="Z60" i="25"/>
  <c r="Y60" i="25"/>
  <c r="AC60" i="25" s="1"/>
  <c r="X61" i="25" s="1"/>
  <c r="AN119" i="20"/>
  <c r="AR116" i="19"/>
  <c r="O120" i="20"/>
  <c r="AQ119" i="20"/>
  <c r="AR119" i="20" s="1"/>
  <c r="BG117" i="3"/>
  <c r="AW46" i="29"/>
  <c r="AX46" i="29" s="1"/>
  <c r="AY46" i="29" s="1"/>
  <c r="T79" i="15"/>
  <c r="S80" i="15" s="1"/>
  <c r="T101" i="29"/>
  <c r="S101" i="29"/>
  <c r="W101" i="29" s="1"/>
  <c r="R102" i="29" s="1"/>
  <c r="U102" i="29" s="1"/>
  <c r="AZ115" i="29"/>
  <c r="C115" i="29"/>
  <c r="E116" i="29"/>
  <c r="J48" i="29"/>
  <c r="H47" i="29"/>
  <c r="AP47" i="29" s="1"/>
  <c r="G47" i="29"/>
  <c r="AI47" i="29" s="1"/>
  <c r="T84" i="26"/>
  <c r="S85" i="26" s="1"/>
  <c r="N85" i="26"/>
  <c r="J110" i="26"/>
  <c r="L110" i="26" s="1"/>
  <c r="I111" i="26" s="1"/>
  <c r="K115" i="26"/>
  <c r="O115" i="26"/>
  <c r="AQ115" i="26"/>
  <c r="AS115" i="26"/>
  <c r="AU115" i="26"/>
  <c r="AT84" i="26"/>
  <c r="R84" i="26"/>
  <c r="Q85" i="26" s="1"/>
  <c r="F46" i="26"/>
  <c r="AL45" i="26"/>
  <c r="AM45" i="26" s="1"/>
  <c r="AN45" i="26" s="1"/>
  <c r="AI45" i="26"/>
  <c r="AJ45" i="26" s="1"/>
  <c r="AK45" i="26" s="1"/>
  <c r="C116" i="26"/>
  <c r="AZ116" i="26"/>
  <c r="E117" i="26"/>
  <c r="T90" i="28"/>
  <c r="S90" i="28"/>
  <c r="AE90" i="28" s="1"/>
  <c r="AD91" i="28" s="1"/>
  <c r="Z66" i="28"/>
  <c r="Y66" i="28"/>
  <c r="AG66" i="28" s="1"/>
  <c r="AF67" i="28" s="1"/>
  <c r="AZ116" i="28"/>
  <c r="C116" i="28"/>
  <c r="E117" i="28"/>
  <c r="G54" i="25"/>
  <c r="K54" i="25" s="1"/>
  <c r="H54" i="25"/>
  <c r="J55" i="25"/>
  <c r="L50" i="25"/>
  <c r="AQ49" i="25"/>
  <c r="AI49" i="25"/>
  <c r="AU49" i="25"/>
  <c r="AS49" i="25"/>
  <c r="AR115" i="25"/>
  <c r="U115" i="25"/>
  <c r="V115" i="25"/>
  <c r="AA115" i="25"/>
  <c r="AB115" i="25"/>
  <c r="BA116" i="25"/>
  <c r="BB116" i="25"/>
  <c r="BC116" i="25"/>
  <c r="C116" i="25"/>
  <c r="AZ116" i="25"/>
  <c r="BD116" i="25"/>
  <c r="E117" i="25"/>
  <c r="AW43" i="15"/>
  <c r="AX43" i="15" s="1"/>
  <c r="AY43" i="15" s="1"/>
  <c r="C116" i="24"/>
  <c r="AZ116" i="24"/>
  <c r="E117" i="24"/>
  <c r="F45" i="24"/>
  <c r="AI44" i="24"/>
  <c r="AJ44" i="24" s="1"/>
  <c r="AL44" i="24"/>
  <c r="AM44" i="24" s="1"/>
  <c r="AQ115" i="24"/>
  <c r="AS115" i="24"/>
  <c r="AU115" i="24"/>
  <c r="G44" i="15"/>
  <c r="AR44" i="15" s="1"/>
  <c r="AS117" i="15"/>
  <c r="AU117" i="15"/>
  <c r="AQ117" i="15"/>
  <c r="P79" i="15"/>
  <c r="M80" i="15" s="1"/>
  <c r="N80" i="15" s="1"/>
  <c r="BG42" i="23"/>
  <c r="AZ42" i="23"/>
  <c r="BC42" i="23" s="1"/>
  <c r="F44" i="23"/>
  <c r="AI43" i="23"/>
  <c r="AJ43" i="23" s="1"/>
  <c r="AK43" i="23" s="1"/>
  <c r="AL43" i="23"/>
  <c r="AM43" i="23" s="1"/>
  <c r="AN43" i="23" s="1"/>
  <c r="AC64" i="29"/>
  <c r="X65" i="29" s="1"/>
  <c r="O114" i="25"/>
  <c r="I114" i="25"/>
  <c r="R79" i="15"/>
  <c r="Q80" i="15" s="1"/>
  <c r="AT80" i="15" s="1"/>
  <c r="AD117" i="3"/>
  <c r="AI117" i="3" s="1"/>
  <c r="BE117" i="3" s="1"/>
  <c r="T102" i="14"/>
  <c r="Z40" i="17"/>
  <c r="Y40" i="17"/>
  <c r="AC40" i="17" s="1"/>
  <c r="X41" i="17" s="1"/>
  <c r="AG39" i="17"/>
  <c r="AF40" i="17" s="1"/>
  <c r="AG41" i="19"/>
  <c r="AF42" i="19" s="1"/>
  <c r="AC41" i="19"/>
  <c r="X42" i="19" s="1"/>
  <c r="AS20" i="19"/>
  <c r="L83" i="15"/>
  <c r="I84" i="15" s="1"/>
  <c r="J84" i="15" s="1"/>
  <c r="G21" i="19"/>
  <c r="AI21" i="19" s="1"/>
  <c r="AJ21" i="19" s="1"/>
  <c r="AK21" i="19" s="1"/>
  <c r="H21" i="19"/>
  <c r="J22" i="19"/>
  <c r="F95" i="14"/>
  <c r="AS94" i="14"/>
  <c r="AU94" i="14"/>
  <c r="AQ94" i="14"/>
  <c r="AI20" i="19"/>
  <c r="AJ20" i="19" s="1"/>
  <c r="AK20" i="19" s="1"/>
  <c r="AQ20" i="19"/>
  <c r="S37" i="19"/>
  <c r="W37" i="19" s="1"/>
  <c r="R38" i="19" s="1"/>
  <c r="T37" i="19"/>
  <c r="AP20" i="19"/>
  <c r="AO20" i="19"/>
  <c r="AE36" i="19"/>
  <c r="AD37" i="19" s="1"/>
  <c r="AT36" i="19"/>
  <c r="AL20" i="19"/>
  <c r="AU20" i="19"/>
  <c r="F22" i="17"/>
  <c r="AU21" i="17"/>
  <c r="AQ21" i="17"/>
  <c r="AS21" i="17"/>
  <c r="S103" i="14"/>
  <c r="W103" i="14" s="1"/>
  <c r="R104" i="14" s="1"/>
  <c r="T103" i="14"/>
  <c r="AE102" i="14"/>
  <c r="AD103" i="14" s="1"/>
  <c r="P115" i="14"/>
  <c r="M114" i="14"/>
  <c r="Q114" i="14" s="1"/>
  <c r="L115" i="14" s="1"/>
  <c r="N114" i="14"/>
  <c r="Z111" i="14"/>
  <c r="Y111" i="14"/>
  <c r="AC111" i="14" s="1"/>
  <c r="X112" i="14" s="1"/>
  <c r="P47" i="19"/>
  <c r="N46" i="19"/>
  <c r="M46" i="19"/>
  <c r="Q46" i="19" s="1"/>
  <c r="L47" i="19" s="1"/>
  <c r="T45" i="17"/>
  <c r="S45" i="17"/>
  <c r="W45" i="17" s="1"/>
  <c r="R46" i="17" s="1"/>
  <c r="V117" i="17"/>
  <c r="AB117" i="17"/>
  <c r="I117" i="17"/>
  <c r="AA117" i="19"/>
  <c r="I117" i="19"/>
  <c r="AA117" i="17"/>
  <c r="U117" i="19"/>
  <c r="U117" i="17"/>
  <c r="O117" i="19"/>
  <c r="V117" i="19"/>
  <c r="O117" i="17"/>
  <c r="AB117" i="19"/>
  <c r="N46" i="17"/>
  <c r="M46" i="17"/>
  <c r="Q46" i="17" s="1"/>
  <c r="L47" i="17" s="1"/>
  <c r="P47" i="17"/>
  <c r="AT44" i="17"/>
  <c r="AE44" i="17"/>
  <c r="AD45" i="17" s="1"/>
  <c r="AG110" i="14"/>
  <c r="AF111" i="14" s="1"/>
  <c r="L114" i="18"/>
  <c r="I115" i="18" s="1"/>
  <c r="J115" i="18" s="1"/>
  <c r="C117" i="19"/>
  <c r="E118" i="19"/>
  <c r="AZ117" i="19"/>
  <c r="AR116" i="16"/>
  <c r="BD117" i="16"/>
  <c r="C117" i="16"/>
  <c r="E118" i="16"/>
  <c r="AZ117" i="16"/>
  <c r="E117" i="18"/>
  <c r="C116" i="18"/>
  <c r="AZ116" i="18"/>
  <c r="E117" i="17"/>
  <c r="C116" i="17"/>
  <c r="AZ116" i="17"/>
  <c r="AU115" i="18"/>
  <c r="AQ115" i="18"/>
  <c r="K115" i="18"/>
  <c r="O115" i="18"/>
  <c r="AS115" i="18"/>
  <c r="AI52" i="18"/>
  <c r="AJ52" i="18" s="1"/>
  <c r="AK52" i="18" s="1"/>
  <c r="AL52" i="18"/>
  <c r="AM52" i="18" s="1"/>
  <c r="AN52" i="18" s="1"/>
  <c r="AZ118" i="15"/>
  <c r="C118" i="15"/>
  <c r="E119" i="15"/>
  <c r="H53" i="18"/>
  <c r="P86" i="18"/>
  <c r="M87" i="18" s="1"/>
  <c r="N87" i="18" s="1"/>
  <c r="R86" i="18"/>
  <c r="Q87" i="18" s="1"/>
  <c r="AT87" i="18" s="1"/>
  <c r="AW122" i="3"/>
  <c r="AV120" i="3"/>
  <c r="AX120" i="3" s="1"/>
  <c r="V120" i="3"/>
  <c r="X120" i="3" s="1"/>
  <c r="G121" i="3"/>
  <c r="AQ122" i="3"/>
  <c r="AG119" i="3"/>
  <c r="A120" i="3"/>
  <c r="BI120" i="3" s="1"/>
  <c r="BJ120" i="3" s="1"/>
  <c r="BD118" i="3"/>
  <c r="AH119" i="3"/>
  <c r="P122" i="3"/>
  <c r="P123" i="3" s="1"/>
  <c r="Y119" i="3"/>
  <c r="AC118" i="3"/>
  <c r="H119" i="3"/>
  <c r="AF118" i="3"/>
  <c r="AK118" i="3" s="1"/>
  <c r="AM119" i="3"/>
  <c r="AE119" i="3"/>
  <c r="BC118" i="3"/>
  <c r="AL119" i="3"/>
  <c r="AN122" i="3"/>
  <c r="AN123" i="3" s="1"/>
  <c r="BF66" i="14" l="1"/>
  <c r="AT80" i="25"/>
  <c r="AE80" i="25"/>
  <c r="AD81" i="25" s="1"/>
  <c r="S81" i="25"/>
  <c r="W81" i="25" s="1"/>
  <c r="R82" i="25" s="1"/>
  <c r="T81" i="25"/>
  <c r="AW48" i="28"/>
  <c r="AX48" i="28" s="1"/>
  <c r="AY48" i="28" s="1"/>
  <c r="H49" i="28"/>
  <c r="AP49" i="28" s="1"/>
  <c r="J50" i="28"/>
  <c r="G49" i="28"/>
  <c r="AI49" i="28" s="1"/>
  <c r="AJ49" i="28" s="1"/>
  <c r="AK49" i="28" s="1"/>
  <c r="AV117" i="23"/>
  <c r="BG117" i="23" s="1"/>
  <c r="AO118" i="23"/>
  <c r="Q118" i="23"/>
  <c r="AU118" i="23" s="1"/>
  <c r="AI118" i="23"/>
  <c r="AJ118" i="23" s="1"/>
  <c r="AK118" i="23" s="1"/>
  <c r="O48" i="29"/>
  <c r="M48" i="29"/>
  <c r="N48" i="29"/>
  <c r="P49" i="29"/>
  <c r="O50" i="28"/>
  <c r="N50" i="28"/>
  <c r="P51" i="28"/>
  <c r="M50" i="28"/>
  <c r="Z65" i="29"/>
  <c r="AA65" i="29"/>
  <c r="AE65" i="29" s="1"/>
  <c r="AD66" i="29" s="1"/>
  <c r="AR122" i="3"/>
  <c r="BB120" i="3"/>
  <c r="AG60" i="25"/>
  <c r="AF61" i="25" s="1"/>
  <c r="Z61" i="25"/>
  <c r="Y61" i="25"/>
  <c r="K63" i="24"/>
  <c r="T63" i="24" s="1"/>
  <c r="S64" i="24" s="1"/>
  <c r="J63" i="24"/>
  <c r="O68" i="24"/>
  <c r="N68" i="24"/>
  <c r="AN120" i="20"/>
  <c r="P120" i="20"/>
  <c r="AQ120" i="20"/>
  <c r="AR120" i="20" s="1"/>
  <c r="O121" i="20"/>
  <c r="BG118" i="3"/>
  <c r="K117" i="15"/>
  <c r="O117" i="15"/>
  <c r="T80" i="15"/>
  <c r="S81" i="15" s="1"/>
  <c r="T102" i="29"/>
  <c r="S102" i="29"/>
  <c r="W102" i="29" s="1"/>
  <c r="R103" i="29" s="1"/>
  <c r="U103" i="29" s="1"/>
  <c r="AO47" i="29"/>
  <c r="AJ47" i="29"/>
  <c r="AK47" i="29" s="1"/>
  <c r="AL47" i="29"/>
  <c r="C116" i="29"/>
  <c r="AZ116" i="29"/>
  <c r="E117" i="29"/>
  <c r="K47" i="29"/>
  <c r="Y65" i="29"/>
  <c r="T85" i="26"/>
  <c r="S86" i="26" s="1"/>
  <c r="AW45" i="26"/>
  <c r="AX45" i="26" s="1"/>
  <c r="AY45" i="26" s="1"/>
  <c r="J111" i="26"/>
  <c r="L111" i="26" s="1"/>
  <c r="I112" i="26" s="1"/>
  <c r="G46" i="26"/>
  <c r="AR46" i="26" s="1"/>
  <c r="AT85" i="26"/>
  <c r="R85" i="26"/>
  <c r="Q86" i="26" s="1"/>
  <c r="P85" i="26"/>
  <c r="M86" i="26" s="1"/>
  <c r="O116" i="26"/>
  <c r="AQ116" i="26"/>
  <c r="AS116" i="26"/>
  <c r="AU116" i="26"/>
  <c r="K116" i="26"/>
  <c r="AZ117" i="26"/>
  <c r="C117" i="26"/>
  <c r="E118" i="26"/>
  <c r="AT91" i="28"/>
  <c r="W90" i="28"/>
  <c r="R91" i="28" s="1"/>
  <c r="V91" i="28" s="1"/>
  <c r="AV43" i="23"/>
  <c r="AZ43" i="23" s="1"/>
  <c r="BC43" i="23" s="1"/>
  <c r="C117" i="28"/>
  <c r="AZ117" i="28"/>
  <c r="E118" i="28"/>
  <c r="AC66" i="28"/>
  <c r="X67" i="28" s="1"/>
  <c r="AB67" i="28" s="1"/>
  <c r="F55" i="25"/>
  <c r="BA117" i="25"/>
  <c r="BB117" i="25"/>
  <c r="BC117" i="25"/>
  <c r="AR116" i="25"/>
  <c r="U116" i="25"/>
  <c r="V116" i="25"/>
  <c r="AA116" i="25"/>
  <c r="AB116" i="25"/>
  <c r="M50" i="25"/>
  <c r="Q50" i="25" s="1"/>
  <c r="AQ50" i="25" s="1"/>
  <c r="N50" i="25"/>
  <c r="AP50" i="25" s="1"/>
  <c r="P51" i="25"/>
  <c r="AJ49" i="25"/>
  <c r="AK49" i="25" s="1"/>
  <c r="AW49" i="25" s="1"/>
  <c r="AX49" i="25" s="1"/>
  <c r="AY49" i="25" s="1"/>
  <c r="AZ117" i="25"/>
  <c r="BD117" i="25"/>
  <c r="C117" i="25"/>
  <c r="E118" i="25"/>
  <c r="AK44" i="24"/>
  <c r="AN44" i="24"/>
  <c r="AZ117" i="24"/>
  <c r="C117" i="24"/>
  <c r="E118" i="24"/>
  <c r="AQ116" i="24"/>
  <c r="AS116" i="24"/>
  <c r="AU116" i="24"/>
  <c r="G45" i="24"/>
  <c r="AR45" i="24" s="1"/>
  <c r="H44" i="15"/>
  <c r="AQ118" i="15"/>
  <c r="AS118" i="15"/>
  <c r="AU118" i="15"/>
  <c r="P80" i="15"/>
  <c r="M81" i="15" s="1"/>
  <c r="N81" i="15" s="1"/>
  <c r="G44" i="23"/>
  <c r="AR44" i="23" s="1"/>
  <c r="O115" i="25"/>
  <c r="I115" i="25"/>
  <c r="AJ117" i="3"/>
  <c r="BF117" i="3" s="1"/>
  <c r="R80" i="15"/>
  <c r="Q81" i="15" s="1"/>
  <c r="AT81" i="15" s="1"/>
  <c r="AV94" i="14"/>
  <c r="BG94" i="14" s="1"/>
  <c r="AW21" i="17"/>
  <c r="AX21" i="17" s="1"/>
  <c r="AY21" i="17" s="1"/>
  <c r="Z41" i="17"/>
  <c r="Y41" i="17"/>
  <c r="AC41" i="17" s="1"/>
  <c r="X42" i="17" s="1"/>
  <c r="AG40" i="17"/>
  <c r="AF41" i="17" s="1"/>
  <c r="AG111" i="14"/>
  <c r="AF112" i="14" s="1"/>
  <c r="Z42" i="19"/>
  <c r="Y42" i="19"/>
  <c r="AG42" i="19" s="1"/>
  <c r="AF43" i="19" s="1"/>
  <c r="AL21" i="19"/>
  <c r="AM21" i="19" s="1"/>
  <c r="AN21" i="19" s="1"/>
  <c r="K21" i="19"/>
  <c r="AS21" i="19" s="1"/>
  <c r="AM20" i="19"/>
  <c r="AN20" i="19" s="1"/>
  <c r="AW20" i="19" s="1"/>
  <c r="AX20" i="19" s="1"/>
  <c r="AY20" i="19" s="1"/>
  <c r="G22" i="17"/>
  <c r="K22" i="17" s="1"/>
  <c r="F23" i="17" s="1"/>
  <c r="H22" i="17"/>
  <c r="J23" i="17"/>
  <c r="AT37" i="19"/>
  <c r="AE37" i="19"/>
  <c r="AD38" i="19" s="1"/>
  <c r="S38" i="19"/>
  <c r="W38" i="19" s="1"/>
  <c r="R39" i="19" s="1"/>
  <c r="T38" i="19"/>
  <c r="AP21" i="19"/>
  <c r="AO21" i="19"/>
  <c r="J96" i="14"/>
  <c r="G95" i="14"/>
  <c r="AL95" i="14" s="1"/>
  <c r="AM95" i="14" s="1"/>
  <c r="AN95" i="14" s="1"/>
  <c r="H95" i="14"/>
  <c r="L84" i="15"/>
  <c r="I85" i="15" s="1"/>
  <c r="J85" i="15" s="1"/>
  <c r="AT103" i="14"/>
  <c r="AE103" i="14"/>
  <c r="AD104" i="14" s="1"/>
  <c r="AT104" i="14" s="1"/>
  <c r="T46" i="17"/>
  <c r="S46" i="17"/>
  <c r="W46" i="17" s="1"/>
  <c r="R47" i="17" s="1"/>
  <c r="AR117" i="19"/>
  <c r="P48" i="17"/>
  <c r="M47" i="17"/>
  <c r="Q47" i="17" s="1"/>
  <c r="L48" i="17" s="1"/>
  <c r="N47" i="17"/>
  <c r="M115" i="14"/>
  <c r="Q115" i="14" s="1"/>
  <c r="L116" i="14" s="1"/>
  <c r="N115" i="14"/>
  <c r="P116" i="14"/>
  <c r="S104" i="14"/>
  <c r="T104" i="14"/>
  <c r="AB118" i="17"/>
  <c r="O118" i="17"/>
  <c r="AA118" i="17"/>
  <c r="AB118" i="19"/>
  <c r="O118" i="19"/>
  <c r="V118" i="17"/>
  <c r="I118" i="17"/>
  <c r="I118" i="19"/>
  <c r="AA118" i="19"/>
  <c r="U118" i="17"/>
  <c r="U118" i="19"/>
  <c r="V118" i="19"/>
  <c r="AT45" i="17"/>
  <c r="AE45" i="17"/>
  <c r="AD46" i="17" s="1"/>
  <c r="N47" i="19"/>
  <c r="P48" i="19"/>
  <c r="M47" i="19"/>
  <c r="Q47" i="19" s="1"/>
  <c r="L48" i="19" s="1"/>
  <c r="Z112" i="14"/>
  <c r="Y112" i="14"/>
  <c r="AC112" i="14" s="1"/>
  <c r="X113" i="14" s="1"/>
  <c r="E119" i="19"/>
  <c r="C118" i="19"/>
  <c r="AZ118" i="19"/>
  <c r="L115" i="18"/>
  <c r="I116" i="18" s="1"/>
  <c r="J116" i="18" s="1"/>
  <c r="AZ118" i="16"/>
  <c r="C118" i="16"/>
  <c r="E119" i="16"/>
  <c r="BD118" i="16"/>
  <c r="AR117" i="16"/>
  <c r="AZ117" i="17"/>
  <c r="C117" i="17"/>
  <c r="E118" i="17"/>
  <c r="AQ116" i="18"/>
  <c r="O116" i="18"/>
  <c r="AS116" i="18"/>
  <c r="K116" i="18"/>
  <c r="AU116" i="18"/>
  <c r="AZ117" i="18"/>
  <c r="C117" i="18"/>
  <c r="E118" i="18"/>
  <c r="AW52" i="18"/>
  <c r="AX52" i="18" s="1"/>
  <c r="AY52" i="18" s="1"/>
  <c r="F54" i="18"/>
  <c r="AI53" i="18"/>
  <c r="AJ53" i="18" s="1"/>
  <c r="AK53" i="18" s="1"/>
  <c r="AL53" i="18"/>
  <c r="AM53" i="18" s="1"/>
  <c r="AN53" i="18" s="1"/>
  <c r="C119" i="15"/>
  <c r="E120" i="15"/>
  <c r="AZ119" i="15"/>
  <c r="P87" i="18"/>
  <c r="M88" i="18" s="1"/>
  <c r="N88" i="18" s="1"/>
  <c r="T87" i="18"/>
  <c r="S88" i="18" s="1"/>
  <c r="AD118" i="3"/>
  <c r="AI118" i="3" s="1"/>
  <c r="BE118" i="3" s="1"/>
  <c r="H120" i="3"/>
  <c r="AF119" i="3"/>
  <c r="AK119" i="3" s="1"/>
  <c r="BD119" i="3"/>
  <c r="AH120" i="3"/>
  <c r="AN124" i="3"/>
  <c r="AE120" i="3"/>
  <c r="BC119" i="3"/>
  <c r="AQ123" i="3"/>
  <c r="AW123" i="3"/>
  <c r="AL120" i="3"/>
  <c r="AM120" i="3"/>
  <c r="AC119" i="3"/>
  <c r="Y120" i="3"/>
  <c r="A121" i="3"/>
  <c r="BI121" i="3" s="1"/>
  <c r="BJ121" i="3" s="1"/>
  <c r="AG120" i="3"/>
  <c r="AV121" i="3"/>
  <c r="AX121" i="3" s="1"/>
  <c r="V121" i="3"/>
  <c r="X121" i="3" s="1"/>
  <c r="G122" i="3"/>
  <c r="T82" i="25" l="1"/>
  <c r="S82" i="25"/>
  <c r="W82" i="25" s="1"/>
  <c r="R83" i="25" s="1"/>
  <c r="AE81" i="25"/>
  <c r="AD82" i="25" s="1"/>
  <c r="AT81" i="25"/>
  <c r="AL49" i="28"/>
  <c r="AM49" i="28" s="1"/>
  <c r="AN49" i="28" s="1"/>
  <c r="AO49" i="28"/>
  <c r="K49" i="28"/>
  <c r="F50" i="28" s="1"/>
  <c r="I50" i="28" s="1"/>
  <c r="Q50" i="28" s="1"/>
  <c r="L51" i="28" s="1"/>
  <c r="AZ117" i="23"/>
  <c r="BC117" i="23" s="1"/>
  <c r="L119" i="23"/>
  <c r="M119" i="23" s="1"/>
  <c r="AG65" i="29"/>
  <c r="AF66" i="29" s="1"/>
  <c r="AQ118" i="23"/>
  <c r="AS118" i="23"/>
  <c r="O119" i="23"/>
  <c r="AT66" i="29"/>
  <c r="AR123" i="3"/>
  <c r="BB121" i="3"/>
  <c r="P68" i="24"/>
  <c r="M69" i="24" s="1"/>
  <c r="L63" i="24"/>
  <c r="I64" i="24" s="1"/>
  <c r="J64" i="24" s="1"/>
  <c r="AG61" i="25"/>
  <c r="AF62" i="25" s="1"/>
  <c r="AC61" i="25"/>
  <c r="X62" i="25" s="1"/>
  <c r="R63" i="24"/>
  <c r="Q64" i="24" s="1"/>
  <c r="AT64" i="24" s="1"/>
  <c r="AN121" i="20"/>
  <c r="P121" i="20"/>
  <c r="AQ121" i="20"/>
  <c r="AR121" i="20" s="1"/>
  <c r="O122" i="20"/>
  <c r="BG119" i="3"/>
  <c r="K118" i="15"/>
  <c r="O118" i="15"/>
  <c r="T81" i="15"/>
  <c r="S82" i="15" s="1"/>
  <c r="T103" i="29"/>
  <c r="S103" i="29"/>
  <c r="W103" i="29" s="1"/>
  <c r="R104" i="29" s="1"/>
  <c r="U104" i="29" s="1"/>
  <c r="AM47" i="29"/>
  <c r="AN47" i="29" s="1"/>
  <c r="AZ117" i="29"/>
  <c r="C117" i="29"/>
  <c r="E118" i="29"/>
  <c r="F48" i="29"/>
  <c r="I48" i="29" s="1"/>
  <c r="AR48" i="29" s="1"/>
  <c r="AS47" i="29"/>
  <c r="AQ47" i="29"/>
  <c r="AU47" i="29"/>
  <c r="J112" i="26"/>
  <c r="L112" i="26" s="1"/>
  <c r="I113" i="26" s="1"/>
  <c r="H46" i="26"/>
  <c r="AT86" i="26"/>
  <c r="N86" i="26"/>
  <c r="T86" i="26" s="1"/>
  <c r="S87" i="26" s="1"/>
  <c r="AS117" i="26"/>
  <c r="AU117" i="26"/>
  <c r="AQ117" i="26"/>
  <c r="O117" i="26"/>
  <c r="K117" i="26"/>
  <c r="C118" i="26"/>
  <c r="AZ118" i="26"/>
  <c r="E119" i="26"/>
  <c r="T91" i="28"/>
  <c r="S91" i="28"/>
  <c r="AE91" i="28" s="1"/>
  <c r="AD92" i="28" s="1"/>
  <c r="Z67" i="28"/>
  <c r="Y67" i="28"/>
  <c r="AG67" i="28" s="1"/>
  <c r="AF68" i="28" s="1"/>
  <c r="BG43" i="23"/>
  <c r="AZ118" i="28"/>
  <c r="C118" i="28"/>
  <c r="E119" i="28"/>
  <c r="L51" i="25"/>
  <c r="M51" i="25" s="1"/>
  <c r="AL51" i="25" s="1"/>
  <c r="AI50" i="25"/>
  <c r="AJ50" i="25" s="1"/>
  <c r="AK50" i="25" s="1"/>
  <c r="AW44" i="24"/>
  <c r="AX44" i="24" s="1"/>
  <c r="AY44" i="24" s="1"/>
  <c r="G55" i="25"/>
  <c r="K55" i="25" s="1"/>
  <c r="J56" i="25"/>
  <c r="H55" i="25"/>
  <c r="AL50" i="25"/>
  <c r="AM50" i="25" s="1"/>
  <c r="AN50" i="25" s="1"/>
  <c r="AU50" i="25"/>
  <c r="AS50" i="25"/>
  <c r="AO50" i="25"/>
  <c r="AR117" i="25"/>
  <c r="U117" i="25"/>
  <c r="V117" i="25"/>
  <c r="AA117" i="25"/>
  <c r="AB117" i="25"/>
  <c r="BA118" i="25"/>
  <c r="BB118" i="25"/>
  <c r="BC118" i="25"/>
  <c r="C118" i="25"/>
  <c r="AZ118" i="25"/>
  <c r="BD118" i="25"/>
  <c r="E119" i="25"/>
  <c r="AQ117" i="24"/>
  <c r="AS117" i="24"/>
  <c r="AU117" i="24"/>
  <c r="C118" i="24"/>
  <c r="AZ118" i="24"/>
  <c r="E119" i="24"/>
  <c r="H45" i="24"/>
  <c r="F45" i="15"/>
  <c r="AI44" i="15"/>
  <c r="AJ44" i="15" s="1"/>
  <c r="AK44" i="15" s="1"/>
  <c r="AL44" i="15"/>
  <c r="AM44" i="15" s="1"/>
  <c r="AN44" i="15" s="1"/>
  <c r="AQ119" i="15"/>
  <c r="AS119" i="15"/>
  <c r="AU119" i="15"/>
  <c r="P81" i="15"/>
  <c r="M82" i="15" s="1"/>
  <c r="N82" i="15" s="1"/>
  <c r="H44" i="23"/>
  <c r="AC65" i="29"/>
  <c r="X66" i="29" s="1"/>
  <c r="O116" i="25"/>
  <c r="I116" i="25"/>
  <c r="AJ118" i="3"/>
  <c r="BF118" i="3" s="1"/>
  <c r="R81" i="15"/>
  <c r="Q82" i="15" s="1"/>
  <c r="AT82" i="15" s="1"/>
  <c r="AZ94" i="14"/>
  <c r="BC94" i="14" s="1"/>
  <c r="AD119" i="3"/>
  <c r="AI119" i="3" s="1"/>
  <c r="BE119" i="3" s="1"/>
  <c r="AG41" i="17"/>
  <c r="AF42" i="17" s="1"/>
  <c r="Z42" i="17"/>
  <c r="Y42" i="17"/>
  <c r="AC42" i="17" s="1"/>
  <c r="X43" i="17" s="1"/>
  <c r="Z43" i="17" s="1"/>
  <c r="AL22" i="17"/>
  <c r="AM22" i="17" s="1"/>
  <c r="AN22" i="17" s="1"/>
  <c r="AS22" i="17"/>
  <c r="AC42" i="19"/>
  <c r="X43" i="19" s="1"/>
  <c r="Z43" i="19" s="1"/>
  <c r="AR118" i="19"/>
  <c r="K95" i="14"/>
  <c r="AU95" i="14" s="1"/>
  <c r="F22" i="19"/>
  <c r="AQ21" i="19"/>
  <c r="AU21" i="19"/>
  <c r="L85" i="15"/>
  <c r="I86" i="15" s="1"/>
  <c r="J86" i="15" s="1"/>
  <c r="AI95" i="14"/>
  <c r="AU22" i="17"/>
  <c r="AP95" i="14"/>
  <c r="AO95" i="14"/>
  <c r="H23" i="17"/>
  <c r="G23" i="17"/>
  <c r="AI23" i="17" s="1"/>
  <c r="AJ23" i="17" s="1"/>
  <c r="AK23" i="17" s="1"/>
  <c r="J24" i="17"/>
  <c r="AQ22" i="17"/>
  <c r="T39" i="19"/>
  <c r="S39" i="19"/>
  <c r="W39" i="19" s="1"/>
  <c r="R40" i="19" s="1"/>
  <c r="AT38" i="19"/>
  <c r="AE38" i="19"/>
  <c r="AD39" i="19" s="1"/>
  <c r="AI22" i="17"/>
  <c r="AJ22" i="17" s="1"/>
  <c r="AK22" i="17" s="1"/>
  <c r="AP22" i="17"/>
  <c r="AO22" i="17"/>
  <c r="AE104" i="14"/>
  <c r="AD105" i="14" s="1"/>
  <c r="AT105" i="14" s="1"/>
  <c r="V119" i="17"/>
  <c r="AA119" i="17"/>
  <c r="U119" i="19"/>
  <c r="U119" i="17"/>
  <c r="AB119" i="17"/>
  <c r="AA119" i="19"/>
  <c r="O119" i="17"/>
  <c r="V119" i="19"/>
  <c r="I119" i="19"/>
  <c r="AB119" i="19"/>
  <c r="I119" i="17"/>
  <c r="O119" i="19"/>
  <c r="N48" i="19"/>
  <c r="M48" i="19"/>
  <c r="Q48" i="19" s="1"/>
  <c r="L49" i="19" s="1"/>
  <c r="P49" i="19"/>
  <c r="W104" i="14"/>
  <c r="R105" i="14" s="1"/>
  <c r="N48" i="17"/>
  <c r="M48" i="17"/>
  <c r="Q48" i="17" s="1"/>
  <c r="L49" i="17" s="1"/>
  <c r="P49" i="17"/>
  <c r="AG112" i="14"/>
  <c r="AF113" i="14" s="1"/>
  <c r="N116" i="14"/>
  <c r="P117" i="14"/>
  <c r="M116" i="14"/>
  <c r="Q116" i="14" s="1"/>
  <c r="L117" i="14" s="1"/>
  <c r="T47" i="17"/>
  <c r="S47" i="17"/>
  <c r="W47" i="17" s="1"/>
  <c r="R48" i="17" s="1"/>
  <c r="Y113" i="14"/>
  <c r="AC113" i="14" s="1"/>
  <c r="X114" i="14" s="1"/>
  <c r="Z113" i="14"/>
  <c r="AT46" i="17"/>
  <c r="AE46" i="17"/>
  <c r="AD47" i="17" s="1"/>
  <c r="E120" i="19"/>
  <c r="C119" i="19"/>
  <c r="AZ119" i="19"/>
  <c r="AR118" i="16"/>
  <c r="C119" i="16"/>
  <c r="AZ119" i="16"/>
  <c r="BD119" i="16"/>
  <c r="E120" i="16"/>
  <c r="L116" i="18"/>
  <c r="I117" i="18" s="1"/>
  <c r="J117" i="18" s="1"/>
  <c r="AZ118" i="18"/>
  <c r="E119" i="18"/>
  <c r="C118" i="18"/>
  <c r="C118" i="17"/>
  <c r="E119" i="17"/>
  <c r="AZ118" i="17"/>
  <c r="AU117" i="18"/>
  <c r="K117" i="18"/>
  <c r="AS117" i="18"/>
  <c r="AQ117" i="18"/>
  <c r="O117" i="18"/>
  <c r="AW53" i="18"/>
  <c r="AX53" i="18" s="1"/>
  <c r="AY53" i="18" s="1"/>
  <c r="AZ120" i="15"/>
  <c r="C120" i="15"/>
  <c r="E121" i="15"/>
  <c r="G54" i="18"/>
  <c r="AR54" i="18" s="1"/>
  <c r="T88" i="18"/>
  <c r="S89" i="18" s="1"/>
  <c r="R87" i="18"/>
  <c r="Q88" i="18" s="1"/>
  <c r="AT88" i="18" s="1"/>
  <c r="Y121" i="3"/>
  <c r="AC120" i="3"/>
  <c r="AE121" i="3"/>
  <c r="BC120" i="3"/>
  <c r="AV122" i="3"/>
  <c r="AX122" i="3" s="1"/>
  <c r="G123" i="3"/>
  <c r="V122" i="3"/>
  <c r="X122" i="3" s="1"/>
  <c r="AG121" i="3"/>
  <c r="AW124" i="3"/>
  <c r="AN125" i="3"/>
  <c r="H121" i="3"/>
  <c r="AF120" i="3"/>
  <c r="AD120" i="3" s="1"/>
  <c r="AM121" i="3"/>
  <c r="AQ124" i="3"/>
  <c r="BD120" i="3"/>
  <c r="AH121" i="3"/>
  <c r="A122" i="3"/>
  <c r="BI122" i="3" s="1"/>
  <c r="BJ122" i="3" s="1"/>
  <c r="AL121" i="3"/>
  <c r="P124" i="3"/>
  <c r="P125" i="3" s="1"/>
  <c r="AT82" i="25" l="1"/>
  <c r="AE82" i="25"/>
  <c r="AD83" i="25" s="1"/>
  <c r="S83" i="25"/>
  <c r="W83" i="25" s="1"/>
  <c r="R84" i="25" s="1"/>
  <c r="T83" i="25"/>
  <c r="AV118" i="23"/>
  <c r="BG118" i="23" s="1"/>
  <c r="AQ49" i="28"/>
  <c r="AS49" i="28"/>
  <c r="AU49" i="28"/>
  <c r="N119" i="23"/>
  <c r="AP119" i="23" s="1"/>
  <c r="P120" i="23"/>
  <c r="AI119" i="23"/>
  <c r="AJ119" i="23" s="1"/>
  <c r="AK119" i="23" s="1"/>
  <c r="AL119" i="23"/>
  <c r="AM119" i="23" s="1"/>
  <c r="AN119" i="23" s="1"/>
  <c r="Q119" i="23"/>
  <c r="AS119" i="23" s="1"/>
  <c r="Q48" i="29"/>
  <c r="L49" i="29" s="1"/>
  <c r="O51" i="28"/>
  <c r="M51" i="28"/>
  <c r="N51" i="28"/>
  <c r="P52" i="28"/>
  <c r="Z66" i="29"/>
  <c r="AA66" i="29"/>
  <c r="AE66" i="29" s="1"/>
  <c r="AD67" i="29" s="1"/>
  <c r="AR124" i="3"/>
  <c r="BB122" i="3"/>
  <c r="K64" i="24"/>
  <c r="T64" i="24" s="1"/>
  <c r="S65" i="24" s="1"/>
  <c r="Z62" i="25"/>
  <c r="Y62" i="25"/>
  <c r="AG62" i="25" s="1"/>
  <c r="AF63" i="25" s="1"/>
  <c r="O69" i="24"/>
  <c r="N69" i="24"/>
  <c r="AR119" i="19"/>
  <c r="P122" i="20"/>
  <c r="AN122" i="20"/>
  <c r="AQ122" i="20"/>
  <c r="AR122" i="20" s="1"/>
  <c r="O123" i="20"/>
  <c r="AK120" i="3"/>
  <c r="BG120" i="3" s="1"/>
  <c r="AJ119" i="3"/>
  <c r="BF119" i="3" s="1"/>
  <c r="AW47" i="29"/>
  <c r="AX47" i="29" s="1"/>
  <c r="AY47" i="29" s="1"/>
  <c r="K119" i="15"/>
  <c r="O119" i="15"/>
  <c r="T82" i="15"/>
  <c r="S83" i="15" s="1"/>
  <c r="T104" i="29"/>
  <c r="S104" i="29"/>
  <c r="W104" i="29" s="1"/>
  <c r="R105" i="29" s="1"/>
  <c r="U105" i="29" s="1"/>
  <c r="H48" i="29"/>
  <c r="AP48" i="29" s="1"/>
  <c r="J49" i="29"/>
  <c r="G48" i="29"/>
  <c r="AI48" i="29" s="1"/>
  <c r="C118" i="29"/>
  <c r="AZ118" i="29"/>
  <c r="E119" i="29"/>
  <c r="Y66" i="29"/>
  <c r="J113" i="26"/>
  <c r="L113" i="26" s="1"/>
  <c r="I114" i="26" s="1"/>
  <c r="K118" i="26"/>
  <c r="O118" i="26"/>
  <c r="AS118" i="26"/>
  <c r="AU118" i="26"/>
  <c r="AQ118" i="26"/>
  <c r="R86" i="26"/>
  <c r="Q87" i="26" s="1"/>
  <c r="P86" i="26"/>
  <c r="M87" i="26" s="1"/>
  <c r="F47" i="26"/>
  <c r="AL46" i="26"/>
  <c r="AM46" i="26" s="1"/>
  <c r="AN46" i="26" s="1"/>
  <c r="AI46" i="26"/>
  <c r="AJ46" i="26" s="1"/>
  <c r="AK46" i="26" s="1"/>
  <c r="C119" i="26"/>
  <c r="AZ119" i="26"/>
  <c r="E120" i="26"/>
  <c r="AT92" i="28"/>
  <c r="W91" i="28"/>
  <c r="R92" i="28" s="1"/>
  <c r="V92" i="28" s="1"/>
  <c r="J51" i="28"/>
  <c r="H50" i="28"/>
  <c r="AP50" i="28" s="1"/>
  <c r="G50" i="28"/>
  <c r="AL50" i="28" s="1"/>
  <c r="C119" i="28"/>
  <c r="AZ119" i="28"/>
  <c r="E120" i="28"/>
  <c r="AC67" i="28"/>
  <c r="X68" i="28" s="1"/>
  <c r="AB68" i="28" s="1"/>
  <c r="N51" i="25"/>
  <c r="AP51" i="25" s="1"/>
  <c r="P52" i="25"/>
  <c r="F56" i="25"/>
  <c r="AW50" i="25"/>
  <c r="AX50" i="25" s="1"/>
  <c r="AY50" i="25" s="1"/>
  <c r="AR118" i="25"/>
  <c r="U118" i="25"/>
  <c r="AB118" i="25"/>
  <c r="AA118" i="25"/>
  <c r="V118" i="25"/>
  <c r="BA119" i="25"/>
  <c r="BB119" i="25"/>
  <c r="BC119" i="25"/>
  <c r="AZ119" i="25"/>
  <c r="BD119" i="25"/>
  <c r="C119" i="25"/>
  <c r="E120" i="25"/>
  <c r="Q51" i="25"/>
  <c r="F46" i="24"/>
  <c r="AL45" i="24"/>
  <c r="AM45" i="24" s="1"/>
  <c r="AI45" i="24"/>
  <c r="AJ45" i="24" s="1"/>
  <c r="C119" i="24"/>
  <c r="AZ119" i="24"/>
  <c r="E120" i="24"/>
  <c r="AW44" i="15"/>
  <c r="AX44" i="15" s="1"/>
  <c r="AY44" i="15" s="1"/>
  <c r="AU118" i="24"/>
  <c r="AS118" i="24"/>
  <c r="AQ118" i="24"/>
  <c r="O120" i="15"/>
  <c r="AQ120" i="15"/>
  <c r="AS120" i="15"/>
  <c r="AU120" i="15"/>
  <c r="K120" i="15"/>
  <c r="G45" i="15"/>
  <c r="AR45" i="15" s="1"/>
  <c r="P82" i="15"/>
  <c r="M83" i="15" s="1"/>
  <c r="N83" i="15" s="1"/>
  <c r="F45" i="23"/>
  <c r="AI44" i="23"/>
  <c r="AJ44" i="23" s="1"/>
  <c r="AK44" i="23" s="1"/>
  <c r="AL44" i="23"/>
  <c r="AM44" i="23" s="1"/>
  <c r="AN44" i="23" s="1"/>
  <c r="O117" i="25"/>
  <c r="I117" i="25"/>
  <c r="R82" i="15"/>
  <c r="Q83" i="15" s="1"/>
  <c r="AT83" i="15" s="1"/>
  <c r="AJ120" i="3"/>
  <c r="BF120" i="3" s="1"/>
  <c r="AQ95" i="14"/>
  <c r="AW21" i="19"/>
  <c r="AX21" i="19" s="1"/>
  <c r="AY21" i="19" s="1"/>
  <c r="AJ95" i="14"/>
  <c r="AK95" i="14" s="1"/>
  <c r="Y43" i="17"/>
  <c r="AC43" i="17" s="1"/>
  <c r="X44" i="17" s="1"/>
  <c r="AG42" i="17"/>
  <c r="AF43" i="17" s="1"/>
  <c r="Y43" i="19"/>
  <c r="AS95" i="14"/>
  <c r="F96" i="14"/>
  <c r="H96" i="14" s="1"/>
  <c r="J23" i="19"/>
  <c r="G22" i="19"/>
  <c r="AL22" i="19" s="1"/>
  <c r="AM22" i="19" s="1"/>
  <c r="AN22" i="19" s="1"/>
  <c r="H22" i="19"/>
  <c r="AE39" i="19"/>
  <c r="AD40" i="19" s="1"/>
  <c r="AT39" i="19"/>
  <c r="AP23" i="17"/>
  <c r="AO23" i="17"/>
  <c r="AW22" i="17"/>
  <c r="AX22" i="17" s="1"/>
  <c r="AY22" i="17" s="1"/>
  <c r="S40" i="19"/>
  <c r="W40" i="19" s="1"/>
  <c r="R41" i="19" s="1"/>
  <c r="T40" i="19"/>
  <c r="K23" i="17"/>
  <c r="AL23" i="17"/>
  <c r="AM23" i="17" s="1"/>
  <c r="AN23" i="17" s="1"/>
  <c r="AG113" i="14"/>
  <c r="AF114" i="14" s="1"/>
  <c r="L86" i="15"/>
  <c r="I87" i="15" s="1"/>
  <c r="J87" i="15" s="1"/>
  <c r="AB120" i="17"/>
  <c r="O120" i="17"/>
  <c r="V120" i="17"/>
  <c r="V120" i="19"/>
  <c r="U120" i="17"/>
  <c r="O120" i="19"/>
  <c r="AB120" i="19"/>
  <c r="I120" i="19"/>
  <c r="U120" i="19"/>
  <c r="I120" i="17"/>
  <c r="AA120" i="19"/>
  <c r="AA120" i="17"/>
  <c r="AT47" i="17"/>
  <c r="AE47" i="17"/>
  <c r="AD48" i="17" s="1"/>
  <c r="Z114" i="14"/>
  <c r="Y114" i="14"/>
  <c r="AC114" i="14" s="1"/>
  <c r="X115" i="14" s="1"/>
  <c r="S105" i="14"/>
  <c r="T105" i="14"/>
  <c r="P118" i="14"/>
  <c r="M117" i="14"/>
  <c r="Q117" i="14" s="1"/>
  <c r="L118" i="14" s="1"/>
  <c r="N117" i="14"/>
  <c r="M49" i="17"/>
  <c r="Q49" i="17" s="1"/>
  <c r="L50" i="17" s="1"/>
  <c r="P50" i="17"/>
  <c r="N49" i="17"/>
  <c r="T48" i="17"/>
  <c r="S48" i="17"/>
  <c r="W48" i="17" s="1"/>
  <c r="R49" i="17" s="1"/>
  <c r="N49" i="19"/>
  <c r="M49" i="19"/>
  <c r="Q49" i="19" s="1"/>
  <c r="L50" i="19" s="1"/>
  <c r="P50" i="19"/>
  <c r="E121" i="19"/>
  <c r="AZ120" i="19"/>
  <c r="C120" i="19"/>
  <c r="L117" i="18"/>
  <c r="I118" i="18" s="1"/>
  <c r="AR119" i="16"/>
  <c r="BD120" i="16"/>
  <c r="C120" i="16"/>
  <c r="AZ120" i="16"/>
  <c r="E121" i="16"/>
  <c r="O118" i="18"/>
  <c r="AU118" i="18"/>
  <c r="K118" i="18"/>
  <c r="AS118" i="18"/>
  <c r="AQ118" i="18"/>
  <c r="C119" i="18"/>
  <c r="AZ119" i="18"/>
  <c r="E120" i="18"/>
  <c r="C119" i="17"/>
  <c r="E120" i="17"/>
  <c r="AZ119" i="17"/>
  <c r="H54" i="18"/>
  <c r="F55" i="18" s="1"/>
  <c r="G55" i="18" s="1"/>
  <c r="AR55" i="18" s="1"/>
  <c r="AZ121" i="15"/>
  <c r="C121" i="15"/>
  <c r="E122" i="15"/>
  <c r="R88" i="18"/>
  <c r="Q89" i="18" s="1"/>
  <c r="AT89" i="18" s="1"/>
  <c r="P88" i="18"/>
  <c r="M89" i="18" s="1"/>
  <c r="N89" i="18" s="1"/>
  <c r="A123" i="3"/>
  <c r="BI123" i="3" s="1"/>
  <c r="BJ123" i="3" s="1"/>
  <c r="H122" i="3"/>
  <c r="AF121" i="3"/>
  <c r="AD121" i="3" s="1"/>
  <c r="AC121" i="3"/>
  <c r="Y122" i="3"/>
  <c r="AN126" i="3"/>
  <c r="AV123" i="3"/>
  <c r="AX123" i="3" s="1"/>
  <c r="V123" i="3"/>
  <c r="X123" i="3" s="1"/>
  <c r="G124" i="3"/>
  <c r="P126" i="3"/>
  <c r="AQ125" i="3"/>
  <c r="AG122" i="3"/>
  <c r="AE122" i="3"/>
  <c r="BC121" i="3"/>
  <c r="AL122" i="3"/>
  <c r="BD121" i="3"/>
  <c r="AH122" i="3"/>
  <c r="AM122" i="3"/>
  <c r="AW125" i="3"/>
  <c r="AI120" i="3"/>
  <c r="BE120" i="3" s="1"/>
  <c r="AT83" i="25" l="1"/>
  <c r="AE83" i="25"/>
  <c r="AD84" i="25" s="1"/>
  <c r="S84" i="25"/>
  <c r="W84" i="25" s="1"/>
  <c r="R85" i="25" s="1"/>
  <c r="T84" i="25"/>
  <c r="AL123" i="3"/>
  <c r="AZ118" i="23"/>
  <c r="BC118" i="23" s="1"/>
  <c r="AW49" i="28"/>
  <c r="AX49" i="28" s="1"/>
  <c r="AY49" i="28" s="1"/>
  <c r="L120" i="23"/>
  <c r="M120" i="23" s="1"/>
  <c r="AI120" i="23" s="1"/>
  <c r="AJ120" i="23" s="1"/>
  <c r="AK120" i="23" s="1"/>
  <c r="AQ119" i="23"/>
  <c r="AU119" i="23"/>
  <c r="AO119" i="23"/>
  <c r="O120" i="23"/>
  <c r="O49" i="29"/>
  <c r="M49" i="29"/>
  <c r="P50" i="29"/>
  <c r="N49" i="29"/>
  <c r="AT67" i="29"/>
  <c r="AG66" i="29"/>
  <c r="AF67" i="29" s="1"/>
  <c r="AR125" i="3"/>
  <c r="BB123" i="3"/>
  <c r="L64" i="24"/>
  <c r="I65" i="24" s="1"/>
  <c r="K65" i="24" s="1"/>
  <c r="R64" i="24"/>
  <c r="Q65" i="24" s="1"/>
  <c r="AT65" i="24" s="1"/>
  <c r="P69" i="24"/>
  <c r="M70" i="24" s="1"/>
  <c r="AC62" i="25"/>
  <c r="X63" i="25" s="1"/>
  <c r="AN123" i="20"/>
  <c r="P123" i="20"/>
  <c r="AQ123" i="20"/>
  <c r="AR123" i="20" s="1"/>
  <c r="O124" i="20"/>
  <c r="AK121" i="3"/>
  <c r="AJ121" i="3"/>
  <c r="BF121" i="3" s="1"/>
  <c r="T83" i="15"/>
  <c r="S84" i="15" s="1"/>
  <c r="T105" i="29"/>
  <c r="S105" i="29"/>
  <c r="W105" i="29" s="1"/>
  <c r="R106" i="29" s="1"/>
  <c r="U106" i="29" s="1"/>
  <c r="AO48" i="29"/>
  <c r="AJ48" i="29"/>
  <c r="AK48" i="29" s="1"/>
  <c r="AL48" i="29"/>
  <c r="K48" i="29"/>
  <c r="AZ119" i="29"/>
  <c r="C119" i="29"/>
  <c r="E120" i="29"/>
  <c r="G47" i="26"/>
  <c r="AR47" i="26" s="1"/>
  <c r="AW46" i="26"/>
  <c r="AX46" i="26" s="1"/>
  <c r="AY46" i="26" s="1"/>
  <c r="K119" i="26"/>
  <c r="O119" i="26"/>
  <c r="AQ119" i="26"/>
  <c r="AS119" i="26"/>
  <c r="AU119" i="26"/>
  <c r="J114" i="26"/>
  <c r="L114" i="26" s="1"/>
  <c r="I115" i="26" s="1"/>
  <c r="AT87" i="26"/>
  <c r="N87" i="26"/>
  <c r="T87" i="26" s="1"/>
  <c r="S88" i="26" s="1"/>
  <c r="C120" i="26"/>
  <c r="AZ120" i="26"/>
  <c r="E121" i="26"/>
  <c r="T92" i="28"/>
  <c r="S92" i="28"/>
  <c r="AE92" i="28" s="1"/>
  <c r="AD93" i="28" s="1"/>
  <c r="AT93" i="28" s="1"/>
  <c r="AO50" i="28"/>
  <c r="AI50" i="28"/>
  <c r="AJ50" i="28" s="1"/>
  <c r="AK50" i="28" s="1"/>
  <c r="Z68" i="28"/>
  <c r="Y68" i="28"/>
  <c r="AG68" i="28" s="1"/>
  <c r="AF69" i="28" s="1"/>
  <c r="AZ120" i="28"/>
  <c r="C120" i="28"/>
  <c r="E121" i="28"/>
  <c r="AO51" i="25"/>
  <c r="G56" i="25"/>
  <c r="K56" i="25" s="1"/>
  <c r="H56" i="25"/>
  <c r="J57" i="25"/>
  <c r="AU51" i="25"/>
  <c r="AS51" i="25"/>
  <c r="AI51" i="25"/>
  <c r="AQ51" i="25"/>
  <c r="AB119" i="25"/>
  <c r="AR119" i="25"/>
  <c r="AA119" i="25"/>
  <c r="U119" i="25"/>
  <c r="V119" i="25"/>
  <c r="BA120" i="25"/>
  <c r="BB120" i="25"/>
  <c r="BC120" i="25"/>
  <c r="C120" i="25"/>
  <c r="AZ120" i="25"/>
  <c r="BD120" i="25"/>
  <c r="E121" i="25"/>
  <c r="AM51" i="25"/>
  <c r="AN51" i="25" s="1"/>
  <c r="L52" i="25"/>
  <c r="AS119" i="24"/>
  <c r="AU119" i="24"/>
  <c r="AQ119" i="24"/>
  <c r="AN45" i="24"/>
  <c r="C120" i="24"/>
  <c r="AZ120" i="24"/>
  <c r="E121" i="24"/>
  <c r="AK45" i="24"/>
  <c r="G46" i="24"/>
  <c r="AR46" i="24" s="1"/>
  <c r="AS121" i="15"/>
  <c r="AU121" i="15"/>
  <c r="K121" i="15"/>
  <c r="AQ121" i="15"/>
  <c r="O121" i="15"/>
  <c r="H45" i="15"/>
  <c r="P83" i="15"/>
  <c r="M84" i="15" s="1"/>
  <c r="N84" i="15" s="1"/>
  <c r="AV44" i="23"/>
  <c r="BG44" i="23" s="1"/>
  <c r="G45" i="23"/>
  <c r="AR45" i="23" s="1"/>
  <c r="K50" i="28"/>
  <c r="AC66" i="29"/>
  <c r="X67" i="29" s="1"/>
  <c r="O118" i="25"/>
  <c r="I118" i="25"/>
  <c r="R83" i="15"/>
  <c r="Q84" i="15" s="1"/>
  <c r="AT84" i="15" s="1"/>
  <c r="AV95" i="14"/>
  <c r="AM123" i="3"/>
  <c r="Y44" i="17"/>
  <c r="AC44" i="17" s="1"/>
  <c r="X45" i="17" s="1"/>
  <c r="Z45" i="17" s="1"/>
  <c r="Z44" i="17"/>
  <c r="AG43" i="17"/>
  <c r="AF44" i="17" s="1"/>
  <c r="AR120" i="19"/>
  <c r="J97" i="14"/>
  <c r="G96" i="14"/>
  <c r="AL96" i="14" s="1"/>
  <c r="AM96" i="14" s="1"/>
  <c r="AN96" i="14" s="1"/>
  <c r="AC43" i="19"/>
  <c r="X44" i="19" s="1"/>
  <c r="AG43" i="19"/>
  <c r="AF44" i="19" s="1"/>
  <c r="L87" i="15"/>
  <c r="I88" i="15" s="1"/>
  <c r="J88" i="15" s="1"/>
  <c r="K22" i="19"/>
  <c r="AI22" i="19"/>
  <c r="AO22" i="19"/>
  <c r="AP22" i="19"/>
  <c r="T41" i="19"/>
  <c r="S41" i="19"/>
  <c r="W41" i="19" s="1"/>
  <c r="R42" i="19" s="1"/>
  <c r="AG114" i="14"/>
  <c r="AF115" i="14" s="1"/>
  <c r="F24" i="17"/>
  <c r="AS23" i="17"/>
  <c r="AQ23" i="17"/>
  <c r="AU23" i="17"/>
  <c r="AT40" i="19"/>
  <c r="AE40" i="19"/>
  <c r="AD41" i="19" s="1"/>
  <c r="AP96" i="14"/>
  <c r="AO96" i="14"/>
  <c r="V121" i="17"/>
  <c r="U121" i="17"/>
  <c r="AA121" i="19"/>
  <c r="I121" i="19"/>
  <c r="O121" i="17"/>
  <c r="AA121" i="17"/>
  <c r="AB121" i="19"/>
  <c r="I121" i="17"/>
  <c r="V121" i="19"/>
  <c r="AB121" i="17"/>
  <c r="U121" i="19"/>
  <c r="O121" i="19"/>
  <c r="Z115" i="14"/>
  <c r="Y115" i="14"/>
  <c r="AC115" i="14" s="1"/>
  <c r="X116" i="14" s="1"/>
  <c r="M50" i="19"/>
  <c r="Q50" i="19" s="1"/>
  <c r="L51" i="19" s="1"/>
  <c r="N50" i="19"/>
  <c r="P51" i="19"/>
  <c r="S49" i="17"/>
  <c r="W49" i="17" s="1"/>
  <c r="R50" i="17" s="1"/>
  <c r="T49" i="17"/>
  <c r="AT48" i="17"/>
  <c r="AE48" i="17"/>
  <c r="AD49" i="17" s="1"/>
  <c r="M118" i="14"/>
  <c r="Q118" i="14" s="1"/>
  <c r="L119" i="14" s="1"/>
  <c r="P119" i="14"/>
  <c r="N118" i="14"/>
  <c r="BG121" i="3"/>
  <c r="P51" i="17"/>
  <c r="M50" i="17"/>
  <c r="Q50" i="17" s="1"/>
  <c r="L51" i="17" s="1"/>
  <c r="N50" i="17"/>
  <c r="W105" i="14"/>
  <c r="R106" i="14" s="1"/>
  <c r="AE105" i="14"/>
  <c r="AD106" i="14" s="1"/>
  <c r="E122" i="19"/>
  <c r="AZ121" i="19"/>
  <c r="C121" i="19"/>
  <c r="AR120" i="16"/>
  <c r="AZ121" i="16"/>
  <c r="C121" i="16"/>
  <c r="E122" i="16"/>
  <c r="BD121" i="16"/>
  <c r="AQ119" i="18"/>
  <c r="K119" i="18"/>
  <c r="AS119" i="18"/>
  <c r="AU119" i="18"/>
  <c r="O119" i="18"/>
  <c r="E121" i="17"/>
  <c r="AZ120" i="17"/>
  <c r="C120" i="17"/>
  <c r="C120" i="18"/>
  <c r="E121" i="18"/>
  <c r="AZ120" i="18"/>
  <c r="J118" i="18"/>
  <c r="L118" i="18" s="1"/>
  <c r="I119" i="18" s="1"/>
  <c r="J119" i="18" s="1"/>
  <c r="AI54" i="18"/>
  <c r="AJ54" i="18" s="1"/>
  <c r="AK54" i="18" s="1"/>
  <c r="AL54" i="18"/>
  <c r="AM54" i="18" s="1"/>
  <c r="AN54" i="18" s="1"/>
  <c r="H55" i="18"/>
  <c r="F56" i="18" s="1"/>
  <c r="G56" i="18" s="1"/>
  <c r="AR56" i="18" s="1"/>
  <c r="AZ122" i="15"/>
  <c r="C122" i="15"/>
  <c r="E123" i="15"/>
  <c r="T89" i="18"/>
  <c r="S90" i="18" s="1"/>
  <c r="H123" i="3"/>
  <c r="AF122" i="3"/>
  <c r="AD122" i="3" s="1"/>
  <c r="AW126" i="3"/>
  <c r="P127" i="3"/>
  <c r="AN127" i="3"/>
  <c r="Y123" i="3"/>
  <c r="AC122" i="3"/>
  <c r="AG123" i="3"/>
  <c r="AV124" i="3"/>
  <c r="AX124" i="3" s="1"/>
  <c r="G125" i="3"/>
  <c r="V124" i="3"/>
  <c r="X124" i="3" s="1"/>
  <c r="AI121" i="3"/>
  <c r="BE121" i="3" s="1"/>
  <c r="A124" i="3"/>
  <c r="BI124" i="3" s="1"/>
  <c r="BJ124" i="3" s="1"/>
  <c r="BD122" i="3"/>
  <c r="AH123" i="3"/>
  <c r="AE123" i="3"/>
  <c r="BC122" i="3"/>
  <c r="AQ126" i="3"/>
  <c r="S85" i="25" l="1"/>
  <c r="W85" i="25" s="1"/>
  <c r="R86" i="25" s="1"/>
  <c r="T85" i="25"/>
  <c r="AT84" i="25"/>
  <c r="AE84" i="25"/>
  <c r="AD85" i="25" s="1"/>
  <c r="AV119" i="23"/>
  <c r="BG119" i="23" s="1"/>
  <c r="Q120" i="23"/>
  <c r="AQ120" i="23" s="1"/>
  <c r="N120" i="23"/>
  <c r="AO120" i="23" s="1"/>
  <c r="P121" i="23"/>
  <c r="AL120" i="23"/>
  <c r="AM120" i="23" s="1"/>
  <c r="AN120" i="23" s="1"/>
  <c r="Z67" i="29"/>
  <c r="AA67" i="29"/>
  <c r="AE67" i="29" s="1"/>
  <c r="AD68" i="29" s="1"/>
  <c r="AR126" i="3"/>
  <c r="BB124" i="3"/>
  <c r="J65" i="24"/>
  <c r="L65" i="24" s="1"/>
  <c r="I66" i="24" s="1"/>
  <c r="R65" i="24"/>
  <c r="Q66" i="24" s="1"/>
  <c r="AT66" i="24" s="1"/>
  <c r="Z63" i="25"/>
  <c r="Y63" i="25"/>
  <c r="AG63" i="25" s="1"/>
  <c r="AF64" i="25" s="1"/>
  <c r="T65" i="24"/>
  <c r="S66" i="24" s="1"/>
  <c r="O70" i="24"/>
  <c r="N70" i="24"/>
  <c r="AN124" i="20"/>
  <c r="P124" i="20"/>
  <c r="O125" i="20"/>
  <c r="AQ124" i="20"/>
  <c r="AR124" i="20" s="1"/>
  <c r="AK122" i="3"/>
  <c r="BG122" i="3" s="1"/>
  <c r="T84" i="15"/>
  <c r="S85" i="15" s="1"/>
  <c r="T106" i="29"/>
  <c r="S106" i="29"/>
  <c r="W106" i="29" s="1"/>
  <c r="R107" i="29" s="1"/>
  <c r="U107" i="29" s="1"/>
  <c r="C120" i="29"/>
  <c r="AZ120" i="29"/>
  <c r="E121" i="29"/>
  <c r="AM48" i="29"/>
  <c r="AN48" i="29" s="1"/>
  <c r="F49" i="29"/>
  <c r="I49" i="29" s="1"/>
  <c r="AR49" i="29" s="1"/>
  <c r="AQ48" i="29"/>
  <c r="AS48" i="29"/>
  <c r="AU48" i="29"/>
  <c r="Y67" i="29"/>
  <c r="R87" i="26"/>
  <c r="Q88" i="26" s="1"/>
  <c r="AT88" i="26" s="1"/>
  <c r="J115" i="26"/>
  <c r="L115" i="26" s="1"/>
  <c r="I116" i="26" s="1"/>
  <c r="P87" i="26"/>
  <c r="M88" i="26" s="1"/>
  <c r="H47" i="26"/>
  <c r="O120" i="26"/>
  <c r="AQ120" i="26"/>
  <c r="AS120" i="26"/>
  <c r="AU120" i="26"/>
  <c r="K120" i="26"/>
  <c r="C121" i="26"/>
  <c r="AZ121" i="26"/>
  <c r="E122" i="26"/>
  <c r="W92" i="28"/>
  <c r="R93" i="28" s="1"/>
  <c r="V93" i="28" s="1"/>
  <c r="AS50" i="28"/>
  <c r="AU50" i="28"/>
  <c r="AQ50" i="28"/>
  <c r="C121" i="28"/>
  <c r="AZ121" i="28"/>
  <c r="E122" i="28"/>
  <c r="AM50" i="28"/>
  <c r="AN50" i="28" s="1"/>
  <c r="F51" i="28"/>
  <c r="I51" i="28" s="1"/>
  <c r="Q51" i="28" s="1"/>
  <c r="L52" i="28" s="1"/>
  <c r="AC68" i="28"/>
  <c r="X69" i="28" s="1"/>
  <c r="AB69" i="28" s="1"/>
  <c r="AW45" i="24"/>
  <c r="AX45" i="24" s="1"/>
  <c r="AY45" i="24" s="1"/>
  <c r="F57" i="25"/>
  <c r="AA120" i="25"/>
  <c r="AB120" i="25"/>
  <c r="AR120" i="25"/>
  <c r="V120" i="25"/>
  <c r="U120" i="25"/>
  <c r="BA121" i="25"/>
  <c r="BB121" i="25"/>
  <c r="BC121" i="25"/>
  <c r="AJ51" i="25"/>
  <c r="AK51" i="25" s="1"/>
  <c r="AW51" i="25" s="1"/>
  <c r="AX51" i="25" s="1"/>
  <c r="AY51" i="25" s="1"/>
  <c r="AZ121" i="25"/>
  <c r="BD121" i="25"/>
  <c r="C121" i="25"/>
  <c r="E122" i="25"/>
  <c r="P53" i="25"/>
  <c r="N52" i="25"/>
  <c r="AP52" i="25" s="1"/>
  <c r="M52" i="25"/>
  <c r="AL52" i="25" s="1"/>
  <c r="AQ120" i="24"/>
  <c r="AS120" i="24"/>
  <c r="AU120" i="24"/>
  <c r="C121" i="24"/>
  <c r="AZ121" i="24"/>
  <c r="E122" i="24"/>
  <c r="H46" i="24"/>
  <c r="K122" i="15"/>
  <c r="O122" i="15"/>
  <c r="AQ122" i="15"/>
  <c r="AS122" i="15"/>
  <c r="AU122" i="15"/>
  <c r="F46" i="15"/>
  <c r="AI45" i="15"/>
  <c r="AJ45" i="15" s="1"/>
  <c r="AK45" i="15" s="1"/>
  <c r="AL45" i="15"/>
  <c r="AM45" i="15" s="1"/>
  <c r="AN45" i="15" s="1"/>
  <c r="P84" i="15"/>
  <c r="M85" i="15" s="1"/>
  <c r="N85" i="15" s="1"/>
  <c r="AZ44" i="23"/>
  <c r="BC44" i="23" s="1"/>
  <c r="H45" i="23"/>
  <c r="O119" i="25"/>
  <c r="I119" i="25"/>
  <c r="R84" i="15"/>
  <c r="Q85" i="15" s="1"/>
  <c r="AT85" i="15" s="1"/>
  <c r="AJ122" i="3"/>
  <c r="BF122" i="3" s="1"/>
  <c r="AZ95" i="14"/>
  <c r="BG95" i="14"/>
  <c r="AR121" i="19"/>
  <c r="AW23" i="17"/>
  <c r="AX23" i="17" s="1"/>
  <c r="AY23" i="17" s="1"/>
  <c r="Y45" i="17"/>
  <c r="AC45" i="17" s="1"/>
  <c r="X46" i="17" s="1"/>
  <c r="AG44" i="17"/>
  <c r="AF45" i="17" s="1"/>
  <c r="AI96" i="14"/>
  <c r="K96" i="14"/>
  <c r="F97" i="14" s="1"/>
  <c r="G97" i="14" s="1"/>
  <c r="K97" i="14" s="1"/>
  <c r="Y44" i="19"/>
  <c r="AC44" i="19" s="1"/>
  <c r="X45" i="19" s="1"/>
  <c r="Z44" i="19"/>
  <c r="AJ22" i="19"/>
  <c r="AK22" i="19" s="1"/>
  <c r="F23" i="19"/>
  <c r="AQ22" i="19"/>
  <c r="AU22" i="19"/>
  <c r="AS22" i="19"/>
  <c r="AT41" i="19"/>
  <c r="AE41" i="19"/>
  <c r="AD42" i="19" s="1"/>
  <c r="J25" i="17"/>
  <c r="G24" i="17"/>
  <c r="K24" i="17" s="1"/>
  <c r="F25" i="17" s="1"/>
  <c r="H24" i="17"/>
  <c r="T42" i="19"/>
  <c r="S42" i="19"/>
  <c r="W42" i="19" s="1"/>
  <c r="R43" i="19" s="1"/>
  <c r="AB122" i="17"/>
  <c r="O122" i="17"/>
  <c r="U122" i="17"/>
  <c r="AB122" i="19"/>
  <c r="O122" i="19"/>
  <c r="I122" i="17"/>
  <c r="V122" i="19"/>
  <c r="AA122" i="17"/>
  <c r="U122" i="19"/>
  <c r="AA122" i="19"/>
  <c r="I122" i="19"/>
  <c r="V122" i="17"/>
  <c r="T106" i="14"/>
  <c r="S106" i="14"/>
  <c r="W106" i="14" s="1"/>
  <c r="R107" i="14" s="1"/>
  <c r="Y116" i="14"/>
  <c r="AC116" i="14" s="1"/>
  <c r="X117" i="14" s="1"/>
  <c r="Z116" i="14"/>
  <c r="AT106" i="14"/>
  <c r="P52" i="17"/>
  <c r="M51" i="17"/>
  <c r="Q51" i="17" s="1"/>
  <c r="L52" i="17" s="1"/>
  <c r="N51" i="17"/>
  <c r="M119" i="14"/>
  <c r="Q119" i="14" s="1"/>
  <c r="L120" i="14" s="1"/>
  <c r="P120" i="14"/>
  <c r="N119" i="14"/>
  <c r="T50" i="17"/>
  <c r="S50" i="17"/>
  <c r="W50" i="17" s="1"/>
  <c r="R51" i="17" s="1"/>
  <c r="AT49" i="17"/>
  <c r="AE49" i="17"/>
  <c r="AD50" i="17" s="1"/>
  <c r="M51" i="19"/>
  <c r="Q51" i="19" s="1"/>
  <c r="L52" i="19" s="1"/>
  <c r="P52" i="19"/>
  <c r="N51" i="19"/>
  <c r="AG115" i="14"/>
  <c r="AF116" i="14" s="1"/>
  <c r="E123" i="19"/>
  <c r="AZ122" i="19"/>
  <c r="C122" i="19"/>
  <c r="AR121" i="16"/>
  <c r="L119" i="18"/>
  <c r="I120" i="18" s="1"/>
  <c r="J120" i="18" s="1"/>
  <c r="AZ122" i="16"/>
  <c r="E123" i="16"/>
  <c r="C122" i="16"/>
  <c r="BD122" i="16"/>
  <c r="C121" i="18"/>
  <c r="E122" i="18"/>
  <c r="AZ121" i="18"/>
  <c r="C121" i="17"/>
  <c r="E122" i="17"/>
  <c r="AZ121" i="17"/>
  <c r="AQ120" i="18"/>
  <c r="AS120" i="18"/>
  <c r="AU120" i="18"/>
  <c r="K120" i="18"/>
  <c r="O120" i="18"/>
  <c r="AL55" i="18"/>
  <c r="AM55" i="18" s="1"/>
  <c r="AN55" i="18" s="1"/>
  <c r="AI55" i="18"/>
  <c r="AJ55" i="18" s="1"/>
  <c r="AK55" i="18" s="1"/>
  <c r="AW54" i="18"/>
  <c r="AX54" i="18" s="1"/>
  <c r="AY54" i="18" s="1"/>
  <c r="H56" i="18"/>
  <c r="AZ123" i="15"/>
  <c r="C123" i="15"/>
  <c r="E124" i="15"/>
  <c r="R89" i="18"/>
  <c r="Q90" i="18" s="1"/>
  <c r="AT90" i="18" s="1"/>
  <c r="P89" i="18"/>
  <c r="M90" i="18" s="1"/>
  <c r="N90" i="18" s="1"/>
  <c r="L88" i="15"/>
  <c r="I89" i="15" s="1"/>
  <c r="J89" i="15" s="1"/>
  <c r="AW127" i="3"/>
  <c r="A125" i="3"/>
  <c r="BI125" i="3" s="1"/>
  <c r="BJ125" i="3" s="1"/>
  <c r="AG124" i="3"/>
  <c r="AE124" i="3"/>
  <c r="BC123" i="3"/>
  <c r="AV125" i="3"/>
  <c r="AX125" i="3" s="1"/>
  <c r="V125" i="3"/>
  <c r="X125" i="3" s="1"/>
  <c r="G126" i="3"/>
  <c r="AM124" i="3"/>
  <c r="AI122" i="3"/>
  <c r="BE122" i="3" s="1"/>
  <c r="AL124" i="3"/>
  <c r="H124" i="3"/>
  <c r="AF123" i="3"/>
  <c r="AK123" i="3" s="1"/>
  <c r="AQ127" i="3"/>
  <c r="BD123" i="3"/>
  <c r="AH124" i="3"/>
  <c r="AC123" i="3"/>
  <c r="Y124" i="3"/>
  <c r="AT85" i="25" l="1"/>
  <c r="AE85" i="25"/>
  <c r="AD86" i="25" s="1"/>
  <c r="T86" i="25"/>
  <c r="S86" i="25"/>
  <c r="W86" i="25" s="1"/>
  <c r="R87" i="25" s="1"/>
  <c r="AG67" i="29"/>
  <c r="AF68" i="29" s="1"/>
  <c r="AZ119" i="23"/>
  <c r="BC119" i="23" s="1"/>
  <c r="AP120" i="23"/>
  <c r="L121" i="23"/>
  <c r="N121" i="23" s="1"/>
  <c r="AS120" i="23"/>
  <c r="AU120" i="23"/>
  <c r="O121" i="23"/>
  <c r="AT68" i="29"/>
  <c r="Q49" i="29"/>
  <c r="L50" i="29" s="1"/>
  <c r="O52" i="28"/>
  <c r="P53" i="28"/>
  <c r="M52" i="28"/>
  <c r="N52" i="28"/>
  <c r="AR127" i="3"/>
  <c r="BB125" i="3"/>
  <c r="P70" i="24"/>
  <c r="M71" i="24" s="1"/>
  <c r="AC63" i="25"/>
  <c r="X64" i="25" s="1"/>
  <c r="K66" i="24"/>
  <c r="R66" i="24" s="1"/>
  <c r="Q67" i="24" s="1"/>
  <c r="AT67" i="24" s="1"/>
  <c r="J66" i="24"/>
  <c r="AM125" i="3"/>
  <c r="P125" i="20"/>
  <c r="O126" i="20"/>
  <c r="AQ125" i="20"/>
  <c r="AR125" i="20" s="1"/>
  <c r="AN125" i="20"/>
  <c r="BG123" i="3"/>
  <c r="T85" i="15"/>
  <c r="S86" i="15" s="1"/>
  <c r="T107" i="29"/>
  <c r="S107" i="29"/>
  <c r="W107" i="29" s="1"/>
  <c r="R108" i="29" s="1"/>
  <c r="U108" i="29" s="1"/>
  <c r="AW48" i="29"/>
  <c r="AX48" i="29" s="1"/>
  <c r="AY48" i="29" s="1"/>
  <c r="J50" i="29"/>
  <c r="H49" i="29"/>
  <c r="AP49" i="29" s="1"/>
  <c r="G49" i="29"/>
  <c r="AI49" i="29" s="1"/>
  <c r="AZ121" i="29"/>
  <c r="C121" i="29"/>
  <c r="E122" i="29"/>
  <c r="J116" i="26"/>
  <c r="L116" i="26" s="1"/>
  <c r="I117" i="26" s="1"/>
  <c r="AS121" i="26"/>
  <c r="AU121" i="26"/>
  <c r="AQ121" i="26"/>
  <c r="K121" i="26"/>
  <c r="O121" i="26"/>
  <c r="N88" i="26"/>
  <c r="F48" i="26"/>
  <c r="AL47" i="26"/>
  <c r="AM47" i="26" s="1"/>
  <c r="AN47" i="26" s="1"/>
  <c r="AI47" i="26"/>
  <c r="AJ47" i="26" s="1"/>
  <c r="AK47" i="26" s="1"/>
  <c r="AZ122" i="26"/>
  <c r="C122" i="26"/>
  <c r="E123" i="26"/>
  <c r="T93" i="28"/>
  <c r="S93" i="28"/>
  <c r="AE93" i="28" s="1"/>
  <c r="AD94" i="28" s="1"/>
  <c r="H51" i="28"/>
  <c r="AP51" i="28" s="1"/>
  <c r="J52" i="28"/>
  <c r="G51" i="28"/>
  <c r="AI51" i="28" s="1"/>
  <c r="Z69" i="28"/>
  <c r="Y69" i="28"/>
  <c r="AC69" i="28" s="1"/>
  <c r="X70" i="28" s="1"/>
  <c r="AB70" i="28" s="1"/>
  <c r="AZ122" i="28"/>
  <c r="C122" i="28"/>
  <c r="E123" i="28"/>
  <c r="G57" i="25"/>
  <c r="K57" i="25" s="1"/>
  <c r="J58" i="25"/>
  <c r="H57" i="25"/>
  <c r="AW45" i="15"/>
  <c r="AX45" i="15" s="1"/>
  <c r="AY45" i="15" s="1"/>
  <c r="V121" i="25"/>
  <c r="AA121" i="25"/>
  <c r="AB121" i="25"/>
  <c r="AR121" i="25"/>
  <c r="U121" i="25"/>
  <c r="BC122" i="25"/>
  <c r="BA122" i="25"/>
  <c r="BB122" i="25"/>
  <c r="AO52" i="25"/>
  <c r="Q52" i="25"/>
  <c r="C122" i="25"/>
  <c r="AZ122" i="25"/>
  <c r="BD122" i="25"/>
  <c r="E123" i="25"/>
  <c r="AZ122" i="24"/>
  <c r="C122" i="24"/>
  <c r="E123" i="24"/>
  <c r="F47" i="24"/>
  <c r="AL46" i="24"/>
  <c r="AM46" i="24" s="1"/>
  <c r="AI46" i="24"/>
  <c r="AJ46" i="24" s="1"/>
  <c r="AQ121" i="24"/>
  <c r="AS121" i="24"/>
  <c r="AU121" i="24"/>
  <c r="AQ123" i="15"/>
  <c r="AS123" i="15"/>
  <c r="AU123" i="15"/>
  <c r="G46" i="15"/>
  <c r="AR46" i="15" s="1"/>
  <c r="P85" i="15"/>
  <c r="M86" i="15" s="1"/>
  <c r="N86" i="15" s="1"/>
  <c r="F46" i="23"/>
  <c r="AI45" i="23"/>
  <c r="AJ45" i="23" s="1"/>
  <c r="AK45" i="23" s="1"/>
  <c r="AL45" i="23"/>
  <c r="AM45" i="23" s="1"/>
  <c r="AN45" i="23" s="1"/>
  <c r="AW50" i="28"/>
  <c r="AX50" i="28" s="1"/>
  <c r="AY50" i="28" s="1"/>
  <c r="AC67" i="29"/>
  <c r="X68" i="29" s="1"/>
  <c r="O120" i="25"/>
  <c r="I120" i="25"/>
  <c r="R85" i="15"/>
  <c r="Q86" i="15" s="1"/>
  <c r="AT86" i="15" s="1"/>
  <c r="AJ96" i="14"/>
  <c r="AK96" i="14" s="1"/>
  <c r="AW22" i="19"/>
  <c r="AX22" i="19" s="1"/>
  <c r="AY22" i="19" s="1"/>
  <c r="BC95" i="14"/>
  <c r="H97" i="14"/>
  <c r="AP97" i="14" s="1"/>
  <c r="AL125" i="3"/>
  <c r="J98" i="14"/>
  <c r="AU96" i="14"/>
  <c r="Y46" i="17"/>
  <c r="AC46" i="17" s="1"/>
  <c r="X47" i="17" s="1"/>
  <c r="Z46" i="17"/>
  <c r="AI97" i="14"/>
  <c r="AJ97" i="14" s="1"/>
  <c r="AK97" i="14" s="1"/>
  <c r="AG45" i="17"/>
  <c r="AF46" i="17" s="1"/>
  <c r="AS96" i="14"/>
  <c r="AL97" i="14"/>
  <c r="AM97" i="14" s="1"/>
  <c r="AN97" i="14" s="1"/>
  <c r="AQ96" i="14"/>
  <c r="Z45" i="19"/>
  <c r="Y45" i="19"/>
  <c r="AC45" i="19" s="1"/>
  <c r="X46" i="19" s="1"/>
  <c r="AG44" i="19"/>
  <c r="AF45" i="19" s="1"/>
  <c r="J24" i="19"/>
  <c r="G23" i="19"/>
  <c r="K23" i="19" s="1"/>
  <c r="F24" i="19" s="1"/>
  <c r="H23" i="19"/>
  <c r="AI24" i="17"/>
  <c r="AJ24" i="17" s="1"/>
  <c r="AK24" i="17" s="1"/>
  <c r="F98" i="14"/>
  <c r="AS97" i="14"/>
  <c r="AQ97" i="14"/>
  <c r="AU97" i="14"/>
  <c r="AU24" i="17"/>
  <c r="S43" i="19"/>
  <c r="W43" i="19" s="1"/>
  <c r="R44" i="19" s="1"/>
  <c r="T43" i="19"/>
  <c r="J26" i="17"/>
  <c r="G25" i="17"/>
  <c r="K25" i="17" s="1"/>
  <c r="F26" i="17" s="1"/>
  <c r="H25" i="17"/>
  <c r="AT42" i="19"/>
  <c r="AE42" i="19"/>
  <c r="AD43" i="19" s="1"/>
  <c r="AS24" i="17"/>
  <c r="AL24" i="17"/>
  <c r="AM24" i="17" s="1"/>
  <c r="AN24" i="17" s="1"/>
  <c r="AO24" i="17"/>
  <c r="AP24" i="17"/>
  <c r="AQ24" i="17"/>
  <c r="AG116" i="14"/>
  <c r="AF117" i="14" s="1"/>
  <c r="P121" i="14"/>
  <c r="M120" i="14"/>
  <c r="Q120" i="14" s="1"/>
  <c r="L121" i="14" s="1"/>
  <c r="N120" i="14"/>
  <c r="AT50" i="17"/>
  <c r="AE50" i="17"/>
  <c r="AD51" i="17" s="1"/>
  <c r="T107" i="14"/>
  <c r="S107" i="14"/>
  <c r="W107" i="14" s="1"/>
  <c r="R108" i="14" s="1"/>
  <c r="V123" i="17"/>
  <c r="O123" i="17"/>
  <c r="U123" i="19"/>
  <c r="AB123" i="17"/>
  <c r="I123" i="17"/>
  <c r="U123" i="17"/>
  <c r="O123" i="19"/>
  <c r="AB123" i="19"/>
  <c r="I123" i="19"/>
  <c r="AA123" i="17"/>
  <c r="AA123" i="19"/>
  <c r="V123" i="19"/>
  <c r="AR122" i="19"/>
  <c r="M52" i="19"/>
  <c r="Q52" i="19" s="1"/>
  <c r="L53" i="19" s="1"/>
  <c r="N52" i="19"/>
  <c r="P53" i="19"/>
  <c r="M52" i="17"/>
  <c r="Q52" i="17" s="1"/>
  <c r="L53" i="17" s="1"/>
  <c r="N52" i="17"/>
  <c r="P53" i="17"/>
  <c r="S51" i="17"/>
  <c r="W51" i="17" s="1"/>
  <c r="R52" i="17" s="1"/>
  <c r="T51" i="17"/>
  <c r="AE106" i="14"/>
  <c r="AD107" i="14" s="1"/>
  <c r="Y117" i="14"/>
  <c r="AC117" i="14" s="1"/>
  <c r="X118" i="14" s="1"/>
  <c r="Z117" i="14"/>
  <c r="E124" i="19"/>
  <c r="C123" i="19"/>
  <c r="AZ123" i="19"/>
  <c r="L120" i="18"/>
  <c r="I121" i="18" s="1"/>
  <c r="J121" i="18" s="1"/>
  <c r="E124" i="16"/>
  <c r="C123" i="16"/>
  <c r="AZ123" i="16"/>
  <c r="BD123" i="16"/>
  <c r="AR122" i="16"/>
  <c r="C122" i="18"/>
  <c r="AZ122" i="18"/>
  <c r="E123" i="18"/>
  <c r="C122" i="17"/>
  <c r="E123" i="17"/>
  <c r="AZ122" i="17"/>
  <c r="AQ121" i="18"/>
  <c r="K121" i="18"/>
  <c r="O121" i="18"/>
  <c r="AS121" i="18"/>
  <c r="AU121" i="18"/>
  <c r="AW55" i="18"/>
  <c r="AX55" i="18" s="1"/>
  <c r="AY55" i="18" s="1"/>
  <c r="F57" i="18"/>
  <c r="AI56" i="18"/>
  <c r="AJ56" i="18" s="1"/>
  <c r="AK56" i="18" s="1"/>
  <c r="AL56" i="18"/>
  <c r="AM56" i="18" s="1"/>
  <c r="AN56" i="18" s="1"/>
  <c r="AZ124" i="15"/>
  <c r="E125" i="15"/>
  <c r="C124" i="15"/>
  <c r="T90" i="18"/>
  <c r="S91" i="18" s="1"/>
  <c r="AH125" i="3"/>
  <c r="BD124" i="3"/>
  <c r="AD123" i="3"/>
  <c r="AI123" i="3" s="1"/>
  <c r="BE123" i="3" s="1"/>
  <c r="H125" i="3"/>
  <c r="AF124" i="3"/>
  <c r="AK124" i="3" s="1"/>
  <c r="AG125" i="3"/>
  <c r="Y125" i="3"/>
  <c r="AC124" i="3"/>
  <c r="AQ128" i="3"/>
  <c r="AV126" i="3"/>
  <c r="AX126" i="3" s="1"/>
  <c r="G127" i="3"/>
  <c r="V126" i="3"/>
  <c r="X126" i="3" s="1"/>
  <c r="AE125" i="3"/>
  <c r="BC124" i="3"/>
  <c r="AW128" i="3"/>
  <c r="P128" i="3"/>
  <c r="P129" i="3" s="1"/>
  <c r="A126" i="3"/>
  <c r="BI126" i="3" s="1"/>
  <c r="BJ126" i="3" s="1"/>
  <c r="AN128" i="3"/>
  <c r="S87" i="25" l="1"/>
  <c r="W87" i="25" s="1"/>
  <c r="R88" i="25" s="1"/>
  <c r="T87" i="25"/>
  <c r="AE86" i="25"/>
  <c r="AD87" i="25" s="1"/>
  <c r="AT86" i="25"/>
  <c r="AV120" i="23"/>
  <c r="AZ120" i="23" s="1"/>
  <c r="BC120" i="23" s="1"/>
  <c r="P122" i="23"/>
  <c r="M121" i="23"/>
  <c r="AI121" i="23" s="1"/>
  <c r="AJ121" i="23" s="1"/>
  <c r="AK121" i="23" s="1"/>
  <c r="AP121" i="23"/>
  <c r="AO121" i="23"/>
  <c r="O50" i="29"/>
  <c r="M50" i="29"/>
  <c r="N50" i="29"/>
  <c r="P51" i="29"/>
  <c r="Z68" i="29"/>
  <c r="AA68" i="29"/>
  <c r="AE68" i="29" s="1"/>
  <c r="AD69" i="29" s="1"/>
  <c r="AR128" i="3"/>
  <c r="BB126" i="3"/>
  <c r="O71" i="24"/>
  <c r="N71" i="24"/>
  <c r="Z64" i="25"/>
  <c r="Y64" i="25"/>
  <c r="AG64" i="25" s="1"/>
  <c r="AF65" i="25" s="1"/>
  <c r="T66" i="24"/>
  <c r="S67" i="24" s="1"/>
  <c r="L66" i="24"/>
  <c r="I67" i="24" s="1"/>
  <c r="AR123" i="19"/>
  <c r="P126" i="20"/>
  <c r="AN126" i="20"/>
  <c r="O127" i="20"/>
  <c r="AQ126" i="20"/>
  <c r="AR126" i="20" s="1"/>
  <c r="K123" i="15"/>
  <c r="BG124" i="3"/>
  <c r="O123" i="15"/>
  <c r="T86" i="15"/>
  <c r="S87" i="15" s="1"/>
  <c r="T108" i="29"/>
  <c r="S108" i="29"/>
  <c r="W108" i="29" s="1"/>
  <c r="R109" i="29" s="1"/>
  <c r="U109" i="29" s="1"/>
  <c r="AJ49" i="29"/>
  <c r="AK49" i="29" s="1"/>
  <c r="AL49" i="29"/>
  <c r="K49" i="29"/>
  <c r="AO49" i="29"/>
  <c r="C122" i="29"/>
  <c r="AZ122" i="29"/>
  <c r="E123" i="29"/>
  <c r="AW47" i="26"/>
  <c r="AX47" i="26" s="1"/>
  <c r="AY47" i="26" s="1"/>
  <c r="Y68" i="29"/>
  <c r="J117" i="26"/>
  <c r="L117" i="26" s="1"/>
  <c r="I118" i="26" s="1"/>
  <c r="G48" i="26"/>
  <c r="AR48" i="26" s="1"/>
  <c r="O122" i="26"/>
  <c r="K122" i="26"/>
  <c r="AS122" i="26"/>
  <c r="AU122" i="26"/>
  <c r="AQ122" i="26"/>
  <c r="R88" i="26"/>
  <c r="Q89" i="26" s="1"/>
  <c r="T88" i="26"/>
  <c r="S89" i="26" s="1"/>
  <c r="P88" i="26"/>
  <c r="M89" i="26" s="1"/>
  <c r="C123" i="26"/>
  <c r="AZ123" i="26"/>
  <c r="E124" i="26"/>
  <c r="AG69" i="28"/>
  <c r="AF70" i="28" s="1"/>
  <c r="AT94" i="28"/>
  <c r="W93" i="28"/>
  <c r="R94" i="28" s="1"/>
  <c r="V94" i="28" s="1"/>
  <c r="Z70" i="28"/>
  <c r="Y70" i="28"/>
  <c r="AO51" i="28"/>
  <c r="AL51" i="28"/>
  <c r="AM51" i="28" s="1"/>
  <c r="C123" i="28"/>
  <c r="AZ123" i="28"/>
  <c r="E124" i="28"/>
  <c r="F58" i="25"/>
  <c r="AS52" i="25"/>
  <c r="AU52" i="25"/>
  <c r="AI52" i="25"/>
  <c r="AQ52" i="25"/>
  <c r="U122" i="25"/>
  <c r="V122" i="25"/>
  <c r="AA122" i="25"/>
  <c r="AB122" i="25"/>
  <c r="AR122" i="25"/>
  <c r="BC123" i="25"/>
  <c r="BB123" i="25"/>
  <c r="BA123" i="25"/>
  <c r="L53" i="25"/>
  <c r="AM52" i="25"/>
  <c r="AN52" i="25" s="1"/>
  <c r="C123" i="25"/>
  <c r="AZ123" i="25"/>
  <c r="BD123" i="25"/>
  <c r="E124" i="25"/>
  <c r="AQ122" i="24"/>
  <c r="AS122" i="24"/>
  <c r="AU122" i="24"/>
  <c r="AN46" i="24"/>
  <c r="C123" i="24"/>
  <c r="AZ123" i="24"/>
  <c r="E124" i="24"/>
  <c r="AK46" i="24"/>
  <c r="G47" i="24"/>
  <c r="AR47" i="24" s="1"/>
  <c r="AQ124" i="15"/>
  <c r="AS124" i="15"/>
  <c r="AU124" i="15"/>
  <c r="H46" i="15"/>
  <c r="P86" i="15"/>
  <c r="M87" i="15" s="1"/>
  <c r="N87" i="15" s="1"/>
  <c r="AV45" i="23"/>
  <c r="BG45" i="23" s="1"/>
  <c r="G46" i="23"/>
  <c r="AR46" i="23" s="1"/>
  <c r="K51" i="28"/>
  <c r="O121" i="25"/>
  <c r="I121" i="25"/>
  <c r="R86" i="15"/>
  <c r="Q87" i="15" s="1"/>
  <c r="AT87" i="15" s="1"/>
  <c r="AJ123" i="3"/>
  <c r="BF123" i="3" s="1"/>
  <c r="AV96" i="14"/>
  <c r="AO97" i="14"/>
  <c r="AV97" i="14" s="1"/>
  <c r="AM126" i="3"/>
  <c r="AL126" i="3"/>
  <c r="Y47" i="17"/>
  <c r="AC47" i="17" s="1"/>
  <c r="X48" i="17" s="1"/>
  <c r="Z47" i="17"/>
  <c r="AG46" i="17"/>
  <c r="AF47" i="17" s="1"/>
  <c r="AG45" i="19"/>
  <c r="AF46" i="19" s="1"/>
  <c r="Y46" i="19"/>
  <c r="AC46" i="19" s="1"/>
  <c r="X47" i="19" s="1"/>
  <c r="Z46" i="19"/>
  <c r="AU25" i="17"/>
  <c r="AQ25" i="17"/>
  <c r="AW24" i="17"/>
  <c r="AX24" i="17" s="1"/>
  <c r="AY24" i="17" s="1"/>
  <c r="J99" i="14"/>
  <c r="H98" i="14"/>
  <c r="G98" i="14"/>
  <c r="K98" i="14" s="1"/>
  <c r="AQ98" i="14" s="1"/>
  <c r="AI23" i="19"/>
  <c r="AJ23" i="19" s="1"/>
  <c r="AK23" i="19" s="1"/>
  <c r="AS23" i="19"/>
  <c r="AQ23" i="19"/>
  <c r="AU23" i="19"/>
  <c r="J25" i="19"/>
  <c r="H24" i="19"/>
  <c r="G24" i="19"/>
  <c r="AL24" i="19" s="1"/>
  <c r="AM24" i="19" s="1"/>
  <c r="AN24" i="19" s="1"/>
  <c r="AP23" i="19"/>
  <c r="AO23" i="19"/>
  <c r="AL23" i="19"/>
  <c r="AM23" i="19" s="1"/>
  <c r="AN23" i="19" s="1"/>
  <c r="AS25" i="17"/>
  <c r="AE43" i="19"/>
  <c r="AD44" i="19" s="1"/>
  <c r="AT43" i="19"/>
  <c r="AI25" i="17"/>
  <c r="AJ25" i="17" s="1"/>
  <c r="AK25" i="17" s="1"/>
  <c r="AL25" i="17"/>
  <c r="AM25" i="17" s="1"/>
  <c r="AN25" i="17" s="1"/>
  <c r="T44" i="19"/>
  <c r="S44" i="19"/>
  <c r="W44" i="19" s="1"/>
  <c r="R45" i="19" s="1"/>
  <c r="AO25" i="17"/>
  <c r="AP25" i="17"/>
  <c r="G26" i="17"/>
  <c r="AI26" i="17" s="1"/>
  <c r="AJ26" i="17" s="1"/>
  <c r="AK26" i="17" s="1"/>
  <c r="J27" i="17"/>
  <c r="H26" i="17"/>
  <c r="T108" i="14"/>
  <c r="S108" i="14"/>
  <c r="W108" i="14" s="1"/>
  <c r="R109" i="14" s="1"/>
  <c r="AD124" i="3"/>
  <c r="K124" i="15" s="1"/>
  <c r="AG117" i="14"/>
  <c r="AF118" i="14" s="1"/>
  <c r="Z118" i="14"/>
  <c r="Y118" i="14"/>
  <c r="AC118" i="14" s="1"/>
  <c r="X119" i="14" s="1"/>
  <c r="M53" i="17"/>
  <c r="Q53" i="17" s="1"/>
  <c r="L54" i="17" s="1"/>
  <c r="N53" i="17"/>
  <c r="P54" i="17"/>
  <c r="AB124" i="17"/>
  <c r="O124" i="17"/>
  <c r="I124" i="17"/>
  <c r="V124" i="19"/>
  <c r="AA124" i="17"/>
  <c r="AA124" i="19"/>
  <c r="V124" i="17"/>
  <c r="U124" i="19"/>
  <c r="I124" i="19"/>
  <c r="O124" i="19"/>
  <c r="U124" i="17"/>
  <c r="AB124" i="19"/>
  <c r="T52" i="17"/>
  <c r="S52" i="17"/>
  <c r="W52" i="17" s="1"/>
  <c r="R53" i="17" s="1"/>
  <c r="N53" i="19"/>
  <c r="M53" i="19"/>
  <c r="Q53" i="19" s="1"/>
  <c r="L54" i="19" s="1"/>
  <c r="P54" i="19"/>
  <c r="AT107" i="14"/>
  <c r="AE107" i="14"/>
  <c r="AD108" i="14" s="1"/>
  <c r="AT51" i="17"/>
  <c r="AE51" i="17"/>
  <c r="AD52" i="17" s="1"/>
  <c r="P122" i="14"/>
  <c r="M121" i="14"/>
  <c r="Q121" i="14" s="1"/>
  <c r="L122" i="14" s="1"/>
  <c r="N121" i="14"/>
  <c r="C124" i="19"/>
  <c r="E125" i="19"/>
  <c r="AZ124" i="19"/>
  <c r="L121" i="18"/>
  <c r="I122" i="18" s="1"/>
  <c r="J122" i="18" s="1"/>
  <c r="AR123" i="16"/>
  <c r="BD124" i="16"/>
  <c r="AZ124" i="16"/>
  <c r="C124" i="16"/>
  <c r="E125" i="16"/>
  <c r="E124" i="18"/>
  <c r="AZ123" i="18"/>
  <c r="C123" i="18"/>
  <c r="AZ123" i="17"/>
  <c r="E124" i="17"/>
  <c r="C123" i="17"/>
  <c r="O122" i="18"/>
  <c r="AS122" i="18"/>
  <c r="AU122" i="18"/>
  <c r="K122" i="18"/>
  <c r="AQ122" i="18"/>
  <c r="AW56" i="18"/>
  <c r="AX56" i="18" s="1"/>
  <c r="AY56" i="18" s="1"/>
  <c r="AZ125" i="15"/>
  <c r="E126" i="15"/>
  <c r="C125" i="15"/>
  <c r="G57" i="18"/>
  <c r="AR57" i="18" s="1"/>
  <c r="P90" i="18"/>
  <c r="M91" i="18" s="1"/>
  <c r="N91" i="18" s="1"/>
  <c r="R90" i="18"/>
  <c r="Q91" i="18" s="1"/>
  <c r="AT91" i="18" s="1"/>
  <c r="L89" i="15"/>
  <c r="I90" i="15" s="1"/>
  <c r="J90" i="15" s="1"/>
  <c r="P130" i="3"/>
  <c r="AW129" i="3"/>
  <c r="G128" i="3"/>
  <c r="AV127" i="3"/>
  <c r="AX127" i="3" s="1"/>
  <c r="V127" i="3"/>
  <c r="X127" i="3" s="1"/>
  <c r="AQ129" i="3"/>
  <c r="AN129" i="3"/>
  <c r="AN130" i="3" s="1"/>
  <c r="A127" i="3"/>
  <c r="BI127" i="3" s="1"/>
  <c r="BJ127" i="3" s="1"/>
  <c r="BC125" i="3"/>
  <c r="AE126" i="3"/>
  <c r="Y126" i="3"/>
  <c r="AC125" i="3"/>
  <c r="AG126" i="3"/>
  <c r="H126" i="3"/>
  <c r="AF125" i="3"/>
  <c r="AK125" i="3" s="1"/>
  <c r="BD125" i="3"/>
  <c r="AH126" i="3"/>
  <c r="AT87" i="25" l="1"/>
  <c r="AE87" i="25"/>
  <c r="AD88" i="25" s="1"/>
  <c r="T88" i="25"/>
  <c r="S88" i="25"/>
  <c r="W88" i="25" s="1"/>
  <c r="R89" i="25" s="1"/>
  <c r="BG120" i="23"/>
  <c r="AL121" i="23"/>
  <c r="AM121" i="23" s="1"/>
  <c r="AN121" i="23" s="1"/>
  <c r="Q121" i="23"/>
  <c r="AU121" i="23" s="1"/>
  <c r="AT69" i="29"/>
  <c r="AG68" i="29"/>
  <c r="AF69" i="29" s="1"/>
  <c r="AR129" i="3"/>
  <c r="BB127" i="3"/>
  <c r="P71" i="24"/>
  <c r="M72" i="24" s="1"/>
  <c r="AC64" i="25"/>
  <c r="X65" i="25" s="1"/>
  <c r="K67" i="24"/>
  <c r="R67" i="24" s="1"/>
  <c r="Q68" i="24" s="1"/>
  <c r="AT68" i="24" s="1"/>
  <c r="J67" i="24"/>
  <c r="AL127" i="3"/>
  <c r="AN127" i="20"/>
  <c r="O128" i="20"/>
  <c r="AQ127" i="20"/>
  <c r="AR127" i="20" s="1"/>
  <c r="P127" i="20"/>
  <c r="O124" i="15"/>
  <c r="BG125" i="3"/>
  <c r="T87" i="15"/>
  <c r="S88" i="15" s="1"/>
  <c r="T109" i="29"/>
  <c r="S109" i="29"/>
  <c r="W109" i="29" s="1"/>
  <c r="R110" i="29" s="1"/>
  <c r="U110" i="29" s="1"/>
  <c r="AM49" i="29"/>
  <c r="AN49" i="29" s="1"/>
  <c r="F50" i="29"/>
  <c r="I50" i="29" s="1"/>
  <c r="AR50" i="29" s="1"/>
  <c r="AU49" i="29"/>
  <c r="AS49" i="29"/>
  <c r="AQ49" i="29"/>
  <c r="C123" i="29"/>
  <c r="AZ123" i="29"/>
  <c r="E124" i="29"/>
  <c r="J118" i="26"/>
  <c r="L118" i="26" s="1"/>
  <c r="I119" i="26" s="1"/>
  <c r="H48" i="26"/>
  <c r="AT89" i="26"/>
  <c r="K123" i="26"/>
  <c r="O123" i="26"/>
  <c r="AQ123" i="26"/>
  <c r="AU123" i="26"/>
  <c r="AS123" i="26"/>
  <c r="N89" i="26"/>
  <c r="P89" i="26" s="1"/>
  <c r="M90" i="26" s="1"/>
  <c r="C124" i="26"/>
  <c r="AZ124" i="26"/>
  <c r="E125" i="26"/>
  <c r="T94" i="28"/>
  <c r="S94" i="28"/>
  <c r="AE94" i="28" s="1"/>
  <c r="AD95" i="28" s="1"/>
  <c r="AT95" i="28" s="1"/>
  <c r="AN51" i="28"/>
  <c r="AQ51" i="28"/>
  <c r="AS51" i="28"/>
  <c r="AU51" i="28"/>
  <c r="C124" i="28"/>
  <c r="AZ124" i="28"/>
  <c r="E125" i="28"/>
  <c r="AG70" i="28"/>
  <c r="AF71" i="28" s="1"/>
  <c r="AC70" i="28"/>
  <c r="X71" i="28" s="1"/>
  <c r="AB71" i="28" s="1"/>
  <c r="AJ51" i="28"/>
  <c r="AK51" i="28" s="1"/>
  <c r="F52" i="28"/>
  <c r="I52" i="28" s="1"/>
  <c r="Q52" i="28" s="1"/>
  <c r="L53" i="28" s="1"/>
  <c r="AW46" i="24"/>
  <c r="AX46" i="24" s="1"/>
  <c r="AY46" i="24" s="1"/>
  <c r="G58" i="25"/>
  <c r="K58" i="25" s="1"/>
  <c r="H58" i="25"/>
  <c r="J59" i="25"/>
  <c r="U123" i="25"/>
  <c r="V123" i="25"/>
  <c r="AA123" i="25"/>
  <c r="AB123" i="25"/>
  <c r="AR123" i="25"/>
  <c r="BB124" i="25"/>
  <c r="BC124" i="25"/>
  <c r="BA124" i="25"/>
  <c r="AJ52" i="25"/>
  <c r="AK52" i="25" s="1"/>
  <c r="AW52" i="25" s="1"/>
  <c r="AX52" i="25" s="1"/>
  <c r="AY52" i="25" s="1"/>
  <c r="P54" i="25"/>
  <c r="N53" i="25"/>
  <c r="AP53" i="25" s="1"/>
  <c r="M53" i="25"/>
  <c r="Q53" i="25" s="1"/>
  <c r="L54" i="25" s="1"/>
  <c r="AZ124" i="25"/>
  <c r="BD124" i="25"/>
  <c r="C124" i="25"/>
  <c r="E125" i="25"/>
  <c r="C124" i="24"/>
  <c r="AZ124" i="24"/>
  <c r="E125" i="24"/>
  <c r="AQ123" i="24"/>
  <c r="AU123" i="24"/>
  <c r="AS123" i="24"/>
  <c r="H47" i="24"/>
  <c r="F47" i="15"/>
  <c r="AI46" i="15"/>
  <c r="AJ46" i="15" s="1"/>
  <c r="AK46" i="15" s="1"/>
  <c r="AL46" i="15"/>
  <c r="AM46" i="15" s="1"/>
  <c r="AN46" i="15" s="1"/>
  <c r="AS125" i="15"/>
  <c r="AU125" i="15"/>
  <c r="AQ125" i="15"/>
  <c r="P87" i="15"/>
  <c r="M88" i="15" s="1"/>
  <c r="N88" i="15" s="1"/>
  <c r="AZ45" i="23"/>
  <c r="BC45" i="23" s="1"/>
  <c r="H46" i="23"/>
  <c r="AC68" i="29"/>
  <c r="X69" i="29" s="1"/>
  <c r="O122" i="25"/>
  <c r="I122" i="25"/>
  <c r="R87" i="15"/>
  <c r="Q88" i="15" s="1"/>
  <c r="AT88" i="15" s="1"/>
  <c r="AJ124" i="3"/>
  <c r="BF124" i="3" s="1"/>
  <c r="BG97" i="14"/>
  <c r="AZ97" i="14"/>
  <c r="BC97" i="14" s="1"/>
  <c r="AW23" i="19"/>
  <c r="AX23" i="19" s="1"/>
  <c r="AY23" i="19" s="1"/>
  <c r="BG96" i="14"/>
  <c r="AZ96" i="14"/>
  <c r="AI124" i="3"/>
  <c r="BE124" i="3" s="1"/>
  <c r="AM127" i="3"/>
  <c r="AG47" i="17"/>
  <c r="AF48" i="17" s="1"/>
  <c r="Y48" i="17"/>
  <c r="Z48" i="17"/>
  <c r="AU98" i="14"/>
  <c r="AR124" i="19"/>
  <c r="F99" i="14"/>
  <c r="G99" i="14" s="1"/>
  <c r="AI99" i="14" s="1"/>
  <c r="AJ99" i="14" s="1"/>
  <c r="AK99" i="14" s="1"/>
  <c r="Y47" i="19"/>
  <c r="AC47" i="19" s="1"/>
  <c r="X48" i="19" s="1"/>
  <c r="Z47" i="19"/>
  <c r="AG46" i="19"/>
  <c r="AF47" i="19" s="1"/>
  <c r="K24" i="19"/>
  <c r="AS24" i="19" s="1"/>
  <c r="K26" i="17"/>
  <c r="AL26" i="17"/>
  <c r="AM26" i="17" s="1"/>
  <c r="AN26" i="17" s="1"/>
  <c r="AS98" i="14"/>
  <c r="AL98" i="14"/>
  <c r="AM98" i="14" s="1"/>
  <c r="AN98" i="14" s="1"/>
  <c r="AI24" i="19"/>
  <c r="AJ24" i="19" s="1"/>
  <c r="AK24" i="19" s="1"/>
  <c r="AP24" i="19"/>
  <c r="AO24" i="19"/>
  <c r="AI98" i="14"/>
  <c r="AP98" i="14"/>
  <c r="AO98" i="14"/>
  <c r="T45" i="19"/>
  <c r="S45" i="19"/>
  <c r="W45" i="19" s="1"/>
  <c r="R46" i="19" s="1"/>
  <c r="AP26" i="17"/>
  <c r="AO26" i="17"/>
  <c r="AE44" i="19"/>
  <c r="AD45" i="19" s="1"/>
  <c r="AT44" i="19"/>
  <c r="AW25" i="17"/>
  <c r="AX25" i="17" s="1"/>
  <c r="AY25" i="17" s="1"/>
  <c r="AG118" i="14"/>
  <c r="AF119" i="14" s="1"/>
  <c r="AT52" i="17"/>
  <c r="AE52" i="17"/>
  <c r="AD53" i="17" s="1"/>
  <c r="AE108" i="14"/>
  <c r="AD109" i="14" s="1"/>
  <c r="AT108" i="14"/>
  <c r="P55" i="17"/>
  <c r="N54" i="17"/>
  <c r="M54" i="17"/>
  <c r="Q54" i="17" s="1"/>
  <c r="L55" i="17" s="1"/>
  <c r="Y119" i="14"/>
  <c r="Z119" i="14"/>
  <c r="T109" i="14"/>
  <c r="S109" i="14"/>
  <c r="W109" i="14" s="1"/>
  <c r="R110" i="14" s="1"/>
  <c r="N122" i="14"/>
  <c r="M122" i="14"/>
  <c r="Q122" i="14" s="1"/>
  <c r="P123" i="14"/>
  <c r="V125" i="17"/>
  <c r="AB125" i="17"/>
  <c r="I125" i="17"/>
  <c r="AA125" i="19"/>
  <c r="I125" i="19"/>
  <c r="AA125" i="17"/>
  <c r="O125" i="17"/>
  <c r="U125" i="19"/>
  <c r="O125" i="19"/>
  <c r="U125" i="17"/>
  <c r="V125" i="19"/>
  <c r="AB125" i="19"/>
  <c r="M54" i="19"/>
  <c r="Q54" i="19" s="1"/>
  <c r="L55" i="19" s="1"/>
  <c r="P55" i="19"/>
  <c r="N54" i="19"/>
  <c r="T53" i="17"/>
  <c r="S53" i="17"/>
  <c r="W53" i="17" s="1"/>
  <c r="R54" i="17" s="1"/>
  <c r="E126" i="19"/>
  <c r="AZ125" i="19"/>
  <c r="C125" i="19"/>
  <c r="L122" i="18"/>
  <c r="I123" i="18" s="1"/>
  <c r="J123" i="18" s="1"/>
  <c r="C125" i="16"/>
  <c r="E126" i="16"/>
  <c r="BD125" i="16"/>
  <c r="AZ125" i="16"/>
  <c r="AR124" i="16"/>
  <c r="AQ123" i="18"/>
  <c r="O123" i="18"/>
  <c r="AS123" i="18"/>
  <c r="K123" i="18"/>
  <c r="AU123" i="18"/>
  <c r="E125" i="17"/>
  <c r="AZ124" i="17"/>
  <c r="C124" i="17"/>
  <c r="E125" i="18"/>
  <c r="AZ124" i="18"/>
  <c r="C124" i="18"/>
  <c r="H57" i="18"/>
  <c r="AI57" i="18" s="1"/>
  <c r="E127" i="15"/>
  <c r="C126" i="15"/>
  <c r="AZ126" i="15"/>
  <c r="T91" i="18"/>
  <c r="S92" i="18" s="1"/>
  <c r="Y127" i="3"/>
  <c r="AC126" i="3"/>
  <c r="P131" i="3"/>
  <c r="H127" i="3"/>
  <c r="AF126" i="3"/>
  <c r="AD126" i="3" s="1"/>
  <c r="AV128" i="3"/>
  <c r="AX128" i="3" s="1"/>
  <c r="G129" i="3"/>
  <c r="V128" i="3"/>
  <c r="X128" i="3" s="1"/>
  <c r="BD126" i="3"/>
  <c r="AH127" i="3"/>
  <c r="AD125" i="3"/>
  <c r="AI125" i="3" s="1"/>
  <c r="BE125" i="3" s="1"/>
  <c r="AE127" i="3"/>
  <c r="BC126" i="3"/>
  <c r="A128" i="3"/>
  <c r="BI128" i="3" s="1"/>
  <c r="BJ128" i="3" s="1"/>
  <c r="AQ130" i="3"/>
  <c r="AG127" i="3"/>
  <c r="AW130" i="3"/>
  <c r="AT88" i="25" l="1"/>
  <c r="AE88" i="25"/>
  <c r="AD89" i="25" s="1"/>
  <c r="S89" i="25"/>
  <c r="W89" i="25" s="1"/>
  <c r="R90" i="25" s="1"/>
  <c r="T89" i="25"/>
  <c r="L123" i="14"/>
  <c r="M123" i="14" s="1"/>
  <c r="Q50" i="29"/>
  <c r="L51" i="29" s="1"/>
  <c r="N51" i="29" s="1"/>
  <c r="L122" i="23"/>
  <c r="P123" i="23" s="1"/>
  <c r="AQ121" i="23"/>
  <c r="AS121" i="23"/>
  <c r="O122" i="23"/>
  <c r="O51" i="29"/>
  <c r="Z69" i="29"/>
  <c r="AA69" i="29"/>
  <c r="AE69" i="29" s="1"/>
  <c r="AD70" i="29" s="1"/>
  <c r="O53" i="28"/>
  <c r="M53" i="28"/>
  <c r="N53" i="28"/>
  <c r="P54" i="28"/>
  <c r="AR130" i="3"/>
  <c r="BB128" i="3"/>
  <c r="L67" i="24"/>
  <c r="I68" i="24" s="1"/>
  <c r="T67" i="24"/>
  <c r="S68" i="24" s="1"/>
  <c r="Z65" i="25"/>
  <c r="Y65" i="25"/>
  <c r="AG65" i="25" s="1"/>
  <c r="AF66" i="25" s="1"/>
  <c r="O72" i="24"/>
  <c r="N72" i="24"/>
  <c r="AN128" i="20"/>
  <c r="AM128" i="3"/>
  <c r="O125" i="15"/>
  <c r="O129" i="20"/>
  <c r="AQ128" i="20"/>
  <c r="AR128" i="20" s="1"/>
  <c r="P128" i="20"/>
  <c r="AK126" i="3"/>
  <c r="BG126" i="3" s="1"/>
  <c r="K125" i="15"/>
  <c r="AW49" i="29"/>
  <c r="AX49" i="29" s="1"/>
  <c r="AY49" i="29" s="1"/>
  <c r="T88" i="15"/>
  <c r="S89" i="15" s="1"/>
  <c r="T110" i="29"/>
  <c r="S110" i="29"/>
  <c r="W110" i="29" s="1"/>
  <c r="R111" i="29" s="1"/>
  <c r="U111" i="29" s="1"/>
  <c r="J51" i="29"/>
  <c r="H50" i="29"/>
  <c r="AP50" i="29" s="1"/>
  <c r="G50" i="29"/>
  <c r="AI50" i="29" s="1"/>
  <c r="AZ124" i="29"/>
  <c r="C124" i="29"/>
  <c r="E125" i="29"/>
  <c r="T89" i="26"/>
  <c r="S90" i="26" s="1"/>
  <c r="Y69" i="29"/>
  <c r="N90" i="26"/>
  <c r="P90" i="26" s="1"/>
  <c r="M91" i="26" s="1"/>
  <c r="J119" i="26"/>
  <c r="L119" i="26" s="1"/>
  <c r="I120" i="26" s="1"/>
  <c r="O124" i="26"/>
  <c r="AQ124" i="26"/>
  <c r="AS124" i="26"/>
  <c r="AU124" i="26"/>
  <c r="K124" i="26"/>
  <c r="R89" i="26"/>
  <c r="Q90" i="26" s="1"/>
  <c r="F49" i="26"/>
  <c r="AI48" i="26"/>
  <c r="AJ48" i="26" s="1"/>
  <c r="AK48" i="26" s="1"/>
  <c r="AL48" i="26"/>
  <c r="AM48" i="26" s="1"/>
  <c r="AN48" i="26" s="1"/>
  <c r="C125" i="26"/>
  <c r="AZ125" i="26"/>
  <c r="E126" i="26"/>
  <c r="AW46" i="15"/>
  <c r="AX46" i="15" s="1"/>
  <c r="AY46" i="15" s="1"/>
  <c r="W94" i="28"/>
  <c r="R95" i="28" s="1"/>
  <c r="V95" i="28" s="1"/>
  <c r="Z71" i="28"/>
  <c r="Y71" i="28"/>
  <c r="AG71" i="28" s="1"/>
  <c r="AF72" i="28" s="1"/>
  <c r="H52" i="28"/>
  <c r="AP52" i="28" s="1"/>
  <c r="J53" i="28"/>
  <c r="G52" i="28"/>
  <c r="AL52" i="28" s="1"/>
  <c r="AZ125" i="28"/>
  <c r="C125" i="28"/>
  <c r="E126" i="28"/>
  <c r="F59" i="25"/>
  <c r="AO53" i="25"/>
  <c r="U124" i="25"/>
  <c r="V124" i="25"/>
  <c r="AA124" i="25"/>
  <c r="AB124" i="25"/>
  <c r="AR124" i="25"/>
  <c r="AL53" i="25"/>
  <c r="AM53" i="25" s="1"/>
  <c r="AN53" i="25" s="1"/>
  <c r="BA125" i="25"/>
  <c r="BB125" i="25"/>
  <c r="BC125" i="25"/>
  <c r="AQ53" i="25"/>
  <c r="AU53" i="25"/>
  <c r="AI53" i="25"/>
  <c r="AJ53" i="25" s="1"/>
  <c r="AK53" i="25" s="1"/>
  <c r="AS53" i="25"/>
  <c r="P55" i="25"/>
  <c r="N54" i="25"/>
  <c r="AP54" i="25" s="1"/>
  <c r="M54" i="25"/>
  <c r="AL54" i="25" s="1"/>
  <c r="C125" i="25"/>
  <c r="AZ125" i="25"/>
  <c r="BD125" i="25"/>
  <c r="E126" i="25"/>
  <c r="F48" i="24"/>
  <c r="AI47" i="24"/>
  <c r="AJ47" i="24" s="1"/>
  <c r="AL47" i="24"/>
  <c r="AM47" i="24" s="1"/>
  <c r="AS124" i="24"/>
  <c r="AU124" i="24"/>
  <c r="AQ124" i="24"/>
  <c r="C125" i="24"/>
  <c r="AZ125" i="24"/>
  <c r="E126" i="24"/>
  <c r="G47" i="15"/>
  <c r="AR47" i="15" s="1"/>
  <c r="K126" i="15"/>
  <c r="O126" i="15"/>
  <c r="AQ126" i="15"/>
  <c r="AS126" i="15"/>
  <c r="AU126" i="15"/>
  <c r="P88" i="15"/>
  <c r="M89" i="15" s="1"/>
  <c r="N89" i="15" s="1"/>
  <c r="F47" i="23"/>
  <c r="AI46" i="23"/>
  <c r="AJ46" i="23" s="1"/>
  <c r="AK46" i="23" s="1"/>
  <c r="AL46" i="23"/>
  <c r="AM46" i="23" s="1"/>
  <c r="AN46" i="23" s="1"/>
  <c r="AW51" i="28"/>
  <c r="AX51" i="28" s="1"/>
  <c r="AY51" i="28" s="1"/>
  <c r="O123" i="25"/>
  <c r="I123" i="25"/>
  <c r="AJ125" i="3"/>
  <c r="BF125" i="3" s="1"/>
  <c r="AJ126" i="3"/>
  <c r="BF126" i="3" s="1"/>
  <c r="R88" i="15"/>
  <c r="Q89" i="15" s="1"/>
  <c r="AT89" i="15" s="1"/>
  <c r="AJ98" i="14"/>
  <c r="AK98" i="14" s="1"/>
  <c r="BC96" i="14"/>
  <c r="AG48" i="17"/>
  <c r="AF49" i="17" s="1"/>
  <c r="AL128" i="3"/>
  <c r="H99" i="14"/>
  <c r="AP99" i="14" s="1"/>
  <c r="AQ24" i="19"/>
  <c r="AC48" i="17"/>
  <c r="X49" i="17" s="1"/>
  <c r="Y49" i="17" s="1"/>
  <c r="AC49" i="17" s="1"/>
  <c r="X50" i="17" s="1"/>
  <c r="Z50" i="17" s="1"/>
  <c r="J100" i="14"/>
  <c r="AG119" i="14"/>
  <c r="AF120" i="14" s="1"/>
  <c r="AG47" i="19"/>
  <c r="AF48" i="19" s="1"/>
  <c r="Z48" i="19"/>
  <c r="Y48" i="19"/>
  <c r="AC48" i="19" s="1"/>
  <c r="X49" i="19" s="1"/>
  <c r="F25" i="19"/>
  <c r="AU24" i="19"/>
  <c r="F27" i="17"/>
  <c r="AQ26" i="17"/>
  <c r="AS26" i="17"/>
  <c r="AU26" i="17"/>
  <c r="T46" i="19"/>
  <c r="S46" i="19"/>
  <c r="W46" i="19" s="1"/>
  <c r="R47" i="19" s="1"/>
  <c r="AE45" i="19"/>
  <c r="AD46" i="19" s="1"/>
  <c r="AT45" i="19"/>
  <c r="K99" i="14"/>
  <c r="AC119" i="14"/>
  <c r="X120" i="14" s="1"/>
  <c r="Z120" i="14" s="1"/>
  <c r="AL99" i="14"/>
  <c r="AM99" i="14" s="1"/>
  <c r="AN99" i="14" s="1"/>
  <c r="AB126" i="17"/>
  <c r="O126" i="17"/>
  <c r="AA126" i="17"/>
  <c r="AB126" i="19"/>
  <c r="O126" i="19"/>
  <c r="V126" i="17"/>
  <c r="I126" i="19"/>
  <c r="U126" i="17"/>
  <c r="AA126" i="19"/>
  <c r="V126" i="19"/>
  <c r="U126" i="19"/>
  <c r="I126" i="17"/>
  <c r="T110" i="14"/>
  <c r="S110" i="14"/>
  <c r="W110" i="14" s="1"/>
  <c r="R111" i="14" s="1"/>
  <c r="AR125" i="19"/>
  <c r="S54" i="17"/>
  <c r="W54" i="17" s="1"/>
  <c r="R55" i="17" s="1"/>
  <c r="T54" i="17"/>
  <c r="P56" i="19"/>
  <c r="M55" i="19"/>
  <c r="Q55" i="19" s="1"/>
  <c r="L56" i="19" s="1"/>
  <c r="N55" i="19"/>
  <c r="N55" i="17"/>
  <c r="M55" i="17"/>
  <c r="Q55" i="17" s="1"/>
  <c r="L56" i="17" s="1"/>
  <c r="P56" i="17"/>
  <c r="AT109" i="14"/>
  <c r="AE109" i="14"/>
  <c r="AD110" i="14" s="1"/>
  <c r="AT53" i="17"/>
  <c r="AE53" i="17"/>
  <c r="AD54" i="17" s="1"/>
  <c r="C126" i="19"/>
  <c r="AZ126" i="19"/>
  <c r="E127" i="19"/>
  <c r="E127" i="16"/>
  <c r="AZ126" i="16"/>
  <c r="C126" i="16"/>
  <c r="BD126" i="16"/>
  <c r="L123" i="18"/>
  <c r="I124" i="18" s="1"/>
  <c r="J124" i="18" s="1"/>
  <c r="AR125" i="16"/>
  <c r="K124" i="18"/>
  <c r="AQ124" i="18"/>
  <c r="AS124" i="18"/>
  <c r="AU124" i="18"/>
  <c r="O124" i="18"/>
  <c r="AZ125" i="17"/>
  <c r="E126" i="17"/>
  <c r="C125" i="17"/>
  <c r="E126" i="18"/>
  <c r="C125" i="18"/>
  <c r="AZ125" i="18"/>
  <c r="F58" i="18"/>
  <c r="G58" i="18" s="1"/>
  <c r="AR58" i="18" s="1"/>
  <c r="AL57" i="18"/>
  <c r="AM57" i="18" s="1"/>
  <c r="AN57" i="18" s="1"/>
  <c r="AZ127" i="15"/>
  <c r="E128" i="15"/>
  <c r="C127" i="15"/>
  <c r="AJ57" i="18"/>
  <c r="AK57" i="18" s="1"/>
  <c r="P91" i="18"/>
  <c r="M92" i="18" s="1"/>
  <c r="N92" i="18" s="1"/>
  <c r="R91" i="18"/>
  <c r="Q92" i="18" s="1"/>
  <c r="AT92" i="18" s="1"/>
  <c r="L90" i="15"/>
  <c r="I91" i="15" s="1"/>
  <c r="J91" i="15" s="1"/>
  <c r="G130" i="3"/>
  <c r="AV129" i="3"/>
  <c r="AX129" i="3" s="1"/>
  <c r="V129" i="3"/>
  <c r="X129" i="3" s="1"/>
  <c r="AW131" i="3"/>
  <c r="AQ131" i="3"/>
  <c r="BD127" i="3"/>
  <c r="AH128" i="3"/>
  <c r="AG128" i="3"/>
  <c r="AN131" i="3"/>
  <c r="AI126" i="3"/>
  <c r="BE126" i="3" s="1"/>
  <c r="A129" i="3"/>
  <c r="BI129" i="3" s="1"/>
  <c r="BJ129" i="3" s="1"/>
  <c r="BC127" i="3"/>
  <c r="AE128" i="3"/>
  <c r="H128" i="3"/>
  <c r="AF127" i="3"/>
  <c r="AD127" i="3" s="1"/>
  <c r="AC127" i="3"/>
  <c r="Y128" i="3"/>
  <c r="S90" i="25" l="1"/>
  <c r="W90" i="25" s="1"/>
  <c r="R91" i="25" s="1"/>
  <c r="T90" i="25"/>
  <c r="AT89" i="25"/>
  <c r="AE89" i="25"/>
  <c r="AD90" i="25" s="1"/>
  <c r="Q123" i="14"/>
  <c r="M124" i="14" s="1"/>
  <c r="P124" i="14"/>
  <c r="N123" i="14"/>
  <c r="M51" i="29"/>
  <c r="P52" i="29"/>
  <c r="AV121" i="23"/>
  <c r="BG121" i="23" s="1"/>
  <c r="N122" i="23"/>
  <c r="AP122" i="23" s="1"/>
  <c r="M122" i="23"/>
  <c r="AL122" i="23" s="1"/>
  <c r="AG69" i="29"/>
  <c r="AF70" i="29" s="1"/>
  <c r="AT70" i="29"/>
  <c r="AR131" i="3"/>
  <c r="BB129" i="3"/>
  <c r="P72" i="24"/>
  <c r="M73" i="24" s="1"/>
  <c r="K68" i="24"/>
  <c r="R68" i="24" s="1"/>
  <c r="Q69" i="24" s="1"/>
  <c r="AT69" i="24" s="1"/>
  <c r="J68" i="24"/>
  <c r="AC65" i="25"/>
  <c r="X66" i="25" s="1"/>
  <c r="AL129" i="3"/>
  <c r="AJ127" i="3"/>
  <c r="BF127" i="3" s="1"/>
  <c r="O130" i="20"/>
  <c r="AQ129" i="20"/>
  <c r="AR129" i="20" s="1"/>
  <c r="P129" i="20"/>
  <c r="AN129" i="20"/>
  <c r="AK127" i="3"/>
  <c r="BG127" i="3" s="1"/>
  <c r="T89" i="15"/>
  <c r="S90" i="15" s="1"/>
  <c r="T111" i="29"/>
  <c r="S111" i="29"/>
  <c r="W111" i="29" s="1"/>
  <c r="R112" i="29" s="1"/>
  <c r="U112" i="29" s="1"/>
  <c r="AL50" i="29"/>
  <c r="AJ50" i="29"/>
  <c r="AK50" i="29" s="1"/>
  <c r="C125" i="29"/>
  <c r="AZ125" i="29"/>
  <c r="E126" i="29"/>
  <c r="K50" i="29"/>
  <c r="AO50" i="29"/>
  <c r="AW48" i="26"/>
  <c r="AX48" i="26" s="1"/>
  <c r="AY48" i="26" s="1"/>
  <c r="N91" i="26"/>
  <c r="P91" i="26" s="1"/>
  <c r="M92" i="26" s="1"/>
  <c r="AS125" i="26"/>
  <c r="AU125" i="26"/>
  <c r="AQ125" i="26"/>
  <c r="K125" i="26"/>
  <c r="O125" i="26"/>
  <c r="T90" i="26"/>
  <c r="S91" i="26" s="1"/>
  <c r="G49" i="26"/>
  <c r="AR49" i="26" s="1"/>
  <c r="AT90" i="26"/>
  <c r="R90" i="26"/>
  <c r="Q91" i="26" s="1"/>
  <c r="J120" i="26"/>
  <c r="L120" i="26" s="1"/>
  <c r="I121" i="26" s="1"/>
  <c r="C126" i="26"/>
  <c r="AZ126" i="26"/>
  <c r="E127" i="26"/>
  <c r="T95" i="28"/>
  <c r="S95" i="28"/>
  <c r="W95" i="28" s="1"/>
  <c r="R96" i="28" s="1"/>
  <c r="V96" i="28" s="1"/>
  <c r="AO52" i="28"/>
  <c r="AI52" i="28"/>
  <c r="AJ52" i="28" s="1"/>
  <c r="AC71" i="28"/>
  <c r="X72" i="28" s="1"/>
  <c r="AB72" i="28" s="1"/>
  <c r="C126" i="28"/>
  <c r="AZ126" i="28"/>
  <c r="E127" i="28"/>
  <c r="AV46" i="23"/>
  <c r="BG46" i="23" s="1"/>
  <c r="G59" i="25"/>
  <c r="K59" i="25" s="1"/>
  <c r="J60" i="25"/>
  <c r="H59" i="25"/>
  <c r="AO54" i="25"/>
  <c r="AW53" i="25"/>
  <c r="AX53" i="25" s="1"/>
  <c r="AY53" i="25" s="1"/>
  <c r="U125" i="25"/>
  <c r="V125" i="25"/>
  <c r="AA125" i="25"/>
  <c r="AB125" i="25"/>
  <c r="AR125" i="25"/>
  <c r="BA126" i="25"/>
  <c r="BB126" i="25"/>
  <c r="BC126" i="25"/>
  <c r="AZ126" i="25"/>
  <c r="BD126" i="25"/>
  <c r="C126" i="25"/>
  <c r="E127" i="25"/>
  <c r="AM54" i="25"/>
  <c r="AN54" i="25" s="1"/>
  <c r="Q54" i="25"/>
  <c r="AQ125" i="24"/>
  <c r="AS125" i="24"/>
  <c r="AU125" i="24"/>
  <c r="C126" i="24"/>
  <c r="AZ126" i="24"/>
  <c r="E127" i="24"/>
  <c r="AK47" i="24"/>
  <c r="AN47" i="24"/>
  <c r="G48" i="24"/>
  <c r="AR48" i="24" s="1"/>
  <c r="K127" i="15"/>
  <c r="O127" i="15"/>
  <c r="AQ127" i="15"/>
  <c r="AS127" i="15"/>
  <c r="AU127" i="15"/>
  <c r="H47" i="15"/>
  <c r="G47" i="23"/>
  <c r="AR47" i="23" s="1"/>
  <c r="K52" i="28"/>
  <c r="AC69" i="29"/>
  <c r="X70" i="29" s="1"/>
  <c r="BA134" i="23"/>
  <c r="O124" i="25"/>
  <c r="I124" i="25"/>
  <c r="P89" i="15"/>
  <c r="M90" i="15" s="1"/>
  <c r="N90" i="15" s="1"/>
  <c r="R89" i="15"/>
  <c r="Q90" i="15" s="1"/>
  <c r="AT90" i="15" s="1"/>
  <c r="AW24" i="19"/>
  <c r="AX24" i="19" s="1"/>
  <c r="AY24" i="19" s="1"/>
  <c r="AV98" i="14"/>
  <c r="AW26" i="17"/>
  <c r="AX26" i="17" s="1"/>
  <c r="AY26" i="17" s="1"/>
  <c r="Z49" i="17"/>
  <c r="AO99" i="14"/>
  <c r="Y50" i="17"/>
  <c r="AC50" i="17" s="1"/>
  <c r="X51" i="17" s="1"/>
  <c r="Z51" i="17" s="1"/>
  <c r="AG49" i="17"/>
  <c r="AF50" i="17" s="1"/>
  <c r="Z49" i="19"/>
  <c r="Y49" i="19"/>
  <c r="AC49" i="19" s="1"/>
  <c r="X50" i="19" s="1"/>
  <c r="AG48" i="19"/>
  <c r="AF49" i="19" s="1"/>
  <c r="AR126" i="19"/>
  <c r="J26" i="19"/>
  <c r="H25" i="19"/>
  <c r="G25" i="19"/>
  <c r="AI25" i="19" s="1"/>
  <c r="H27" i="17"/>
  <c r="G27" i="17"/>
  <c r="AL27" i="17" s="1"/>
  <c r="AM27" i="17" s="1"/>
  <c r="AN27" i="17" s="1"/>
  <c r="J28" i="17"/>
  <c r="T47" i="19"/>
  <c r="S47" i="19"/>
  <c r="W47" i="19" s="1"/>
  <c r="R48" i="19" s="1"/>
  <c r="F100" i="14"/>
  <c r="AQ99" i="14"/>
  <c r="AU99" i="14"/>
  <c r="AS99" i="14"/>
  <c r="Y120" i="14"/>
  <c r="AC120" i="14" s="1"/>
  <c r="X121" i="14" s="1"/>
  <c r="Y121" i="14" s="1"/>
  <c r="AC121" i="14" s="1"/>
  <c r="X122" i="14" s="1"/>
  <c r="AE46" i="19"/>
  <c r="AD47" i="19" s="1"/>
  <c r="AT46" i="19"/>
  <c r="S111" i="14"/>
  <c r="W111" i="14" s="1"/>
  <c r="R112" i="14" s="1"/>
  <c r="T111" i="14"/>
  <c r="S55" i="17"/>
  <c r="W55" i="17" s="1"/>
  <c r="R56" i="17" s="1"/>
  <c r="T55" i="17"/>
  <c r="P57" i="17"/>
  <c r="N56" i="17"/>
  <c r="M56" i="17"/>
  <c r="Q56" i="17" s="1"/>
  <c r="L57" i="17" s="1"/>
  <c r="M56" i="19"/>
  <c r="Q56" i="19" s="1"/>
  <c r="L57" i="19" s="1"/>
  <c r="N56" i="19"/>
  <c r="P57" i="19"/>
  <c r="V127" i="17"/>
  <c r="AA127" i="17"/>
  <c r="U127" i="19"/>
  <c r="U127" i="17"/>
  <c r="I127" i="17"/>
  <c r="AA127" i="19"/>
  <c r="V127" i="19"/>
  <c r="AB127" i="19"/>
  <c r="O127" i="17"/>
  <c r="I127" i="19"/>
  <c r="AB127" i="17"/>
  <c r="O127" i="19"/>
  <c r="AT54" i="17"/>
  <c r="AE54" i="17"/>
  <c r="AD55" i="17" s="1"/>
  <c r="AT110" i="14"/>
  <c r="AE110" i="14"/>
  <c r="AD111" i="14" s="1"/>
  <c r="AZ127" i="19"/>
  <c r="E128" i="19"/>
  <c r="C127" i="19"/>
  <c r="AW57" i="18"/>
  <c r="AX57" i="18" s="1"/>
  <c r="AY57" i="18" s="1"/>
  <c r="L124" i="18"/>
  <c r="I125" i="18" s="1"/>
  <c r="AZ127" i="16"/>
  <c r="E128" i="16"/>
  <c r="BD127" i="16"/>
  <c r="C127" i="16"/>
  <c r="AR126" i="16"/>
  <c r="AZ126" i="17"/>
  <c r="C126" i="17"/>
  <c r="E127" i="17"/>
  <c r="AZ126" i="18"/>
  <c r="E127" i="18"/>
  <c r="C126" i="18"/>
  <c r="AU125" i="18"/>
  <c r="K125" i="18"/>
  <c r="O125" i="18"/>
  <c r="AQ125" i="18"/>
  <c r="AS125" i="18"/>
  <c r="H58" i="18"/>
  <c r="AI58" i="18" s="1"/>
  <c r="AZ128" i="15"/>
  <c r="C128" i="15"/>
  <c r="E129" i="15"/>
  <c r="T92" i="18"/>
  <c r="S93" i="18" s="1"/>
  <c r="R92" i="18"/>
  <c r="Q93" i="18" s="1"/>
  <c r="AT93" i="18" s="1"/>
  <c r="AG129" i="3"/>
  <c r="AQ132" i="3"/>
  <c r="AV130" i="3"/>
  <c r="AX130" i="3" s="1"/>
  <c r="G131" i="3"/>
  <c r="V130" i="3"/>
  <c r="X130" i="3" s="1"/>
  <c r="H129" i="3"/>
  <c r="AF128" i="3"/>
  <c r="AD128" i="3" s="1"/>
  <c r="P132" i="3"/>
  <c r="P133" i="3" s="1"/>
  <c r="Y129" i="3"/>
  <c r="AC128" i="3"/>
  <c r="AE129" i="3"/>
  <c r="BC128" i="3"/>
  <c r="A130" i="3"/>
  <c r="BI130" i="3" s="1"/>
  <c r="BJ130" i="3" s="1"/>
  <c r="AN132" i="3"/>
  <c r="AN133" i="3" s="1"/>
  <c r="BD128" i="3"/>
  <c r="AH129" i="3"/>
  <c r="AI127" i="3"/>
  <c r="BE127" i="3" s="1"/>
  <c r="AM129" i="3"/>
  <c r="AW132" i="3"/>
  <c r="AE90" i="25" l="1"/>
  <c r="AD91" i="25" s="1"/>
  <c r="AT90" i="25"/>
  <c r="S91" i="25"/>
  <c r="W91" i="25" s="1"/>
  <c r="R92" i="25" s="1"/>
  <c r="T91" i="25"/>
  <c r="AZ121" i="23"/>
  <c r="BC121" i="23" s="1"/>
  <c r="AM122" i="23"/>
  <c r="Q122" i="23"/>
  <c r="AO122" i="23"/>
  <c r="AI122" i="23"/>
  <c r="Z70" i="29"/>
  <c r="AA70" i="29"/>
  <c r="AE70" i="29" s="1"/>
  <c r="AD71" i="29" s="1"/>
  <c r="AR132" i="3"/>
  <c r="BB130" i="3"/>
  <c r="L68" i="24"/>
  <c r="I69" i="24" s="1"/>
  <c r="Z66" i="25"/>
  <c r="Y66" i="25"/>
  <c r="AG66" i="25" s="1"/>
  <c r="AF67" i="25" s="1"/>
  <c r="O73" i="24"/>
  <c r="N73" i="24"/>
  <c r="T68" i="24"/>
  <c r="S69" i="24" s="1"/>
  <c r="AQ130" i="20"/>
  <c r="AR130" i="20" s="1"/>
  <c r="O131" i="20"/>
  <c r="P130" i="20"/>
  <c r="AN130" i="20"/>
  <c r="AK128" i="3"/>
  <c r="BG128" i="3" s="1"/>
  <c r="T112" i="29"/>
  <c r="S112" i="29"/>
  <c r="W112" i="29" s="1"/>
  <c r="R113" i="29" s="1"/>
  <c r="U113" i="29" s="1"/>
  <c r="AZ126" i="29"/>
  <c r="C126" i="29"/>
  <c r="E127" i="29"/>
  <c r="AM50" i="29"/>
  <c r="AN50" i="29" s="1"/>
  <c r="F51" i="29"/>
  <c r="I51" i="29" s="1"/>
  <c r="AS50" i="29"/>
  <c r="AU50" i="29"/>
  <c r="AQ50" i="29"/>
  <c r="Y70" i="29"/>
  <c r="H49" i="26"/>
  <c r="N92" i="26"/>
  <c r="P92" i="26" s="1"/>
  <c r="M93" i="26" s="1"/>
  <c r="J121" i="26"/>
  <c r="L121" i="26" s="1"/>
  <c r="I122" i="26" s="1"/>
  <c r="AT91" i="26"/>
  <c r="R91" i="26"/>
  <c r="Q92" i="26" s="1"/>
  <c r="O126" i="26"/>
  <c r="K126" i="26"/>
  <c r="AS126" i="26"/>
  <c r="AU126" i="26"/>
  <c r="AQ126" i="26"/>
  <c r="T91" i="26"/>
  <c r="S92" i="26" s="1"/>
  <c r="AZ127" i="26"/>
  <c r="C127" i="26"/>
  <c r="E128" i="26"/>
  <c r="AK52" i="28"/>
  <c r="T96" i="28"/>
  <c r="S96" i="28"/>
  <c r="W96" i="28" s="1"/>
  <c r="R97" i="28" s="1"/>
  <c r="V97" i="28" s="1"/>
  <c r="AE95" i="28"/>
  <c r="AD96" i="28" s="1"/>
  <c r="AU52" i="28"/>
  <c r="AS52" i="28"/>
  <c r="AQ52" i="28"/>
  <c r="Z72" i="28"/>
  <c r="Y72" i="28"/>
  <c r="AG72" i="28" s="1"/>
  <c r="AF73" i="28" s="1"/>
  <c r="AM52" i="28"/>
  <c r="AN52" i="28" s="1"/>
  <c r="AZ127" i="28"/>
  <c r="C127" i="28"/>
  <c r="E128" i="28"/>
  <c r="F53" i="28"/>
  <c r="I53" i="28" s="1"/>
  <c r="Q53" i="28" s="1"/>
  <c r="L54" i="28" s="1"/>
  <c r="AZ46" i="23"/>
  <c r="BC46" i="23" s="1"/>
  <c r="F60" i="25"/>
  <c r="U126" i="25"/>
  <c r="V126" i="25"/>
  <c r="AA126" i="25"/>
  <c r="AB126" i="25"/>
  <c r="AR126" i="25"/>
  <c r="BA127" i="25"/>
  <c r="BB127" i="25"/>
  <c r="BC127" i="25"/>
  <c r="AI54" i="25"/>
  <c r="AQ54" i="25"/>
  <c r="AS54" i="25"/>
  <c r="AU54" i="25"/>
  <c r="C127" i="25"/>
  <c r="AZ127" i="25"/>
  <c r="BD127" i="25"/>
  <c r="E128" i="25"/>
  <c r="L55" i="25"/>
  <c r="AW47" i="24"/>
  <c r="AX47" i="24" s="1"/>
  <c r="AY47" i="24" s="1"/>
  <c r="AQ126" i="24"/>
  <c r="AS126" i="24"/>
  <c r="AU126" i="24"/>
  <c r="AZ127" i="24"/>
  <c r="C127" i="24"/>
  <c r="E128" i="24"/>
  <c r="H48" i="24"/>
  <c r="O128" i="15"/>
  <c r="AQ128" i="15"/>
  <c r="AS128" i="15"/>
  <c r="AU128" i="15"/>
  <c r="K128" i="15"/>
  <c r="F48" i="15"/>
  <c r="AI47" i="15"/>
  <c r="AJ47" i="15" s="1"/>
  <c r="AK47" i="15" s="1"/>
  <c r="AL47" i="15"/>
  <c r="AM47" i="15" s="1"/>
  <c r="AN47" i="15" s="1"/>
  <c r="H47" i="23"/>
  <c r="AW134" i="23"/>
  <c r="O125" i="25"/>
  <c r="I125" i="25"/>
  <c r="AJ128" i="3"/>
  <c r="BF128" i="3" s="1"/>
  <c r="T90" i="15"/>
  <c r="S91" i="15" s="1"/>
  <c r="AV99" i="14"/>
  <c r="BG99" i="14" s="1"/>
  <c r="BG98" i="14"/>
  <c r="AZ98" i="14"/>
  <c r="Y51" i="17"/>
  <c r="AC51" i="17" s="1"/>
  <c r="X52" i="17" s="1"/>
  <c r="Z52" i="17" s="1"/>
  <c r="AG50" i="17"/>
  <c r="AF51" i="17" s="1"/>
  <c r="AG49" i="19"/>
  <c r="AF50" i="19" s="1"/>
  <c r="Y50" i="19"/>
  <c r="AC50" i="19" s="1"/>
  <c r="X51" i="19" s="1"/>
  <c r="Z50" i="19"/>
  <c r="AP25" i="19"/>
  <c r="AO25" i="19"/>
  <c r="Z121" i="14"/>
  <c r="K25" i="19"/>
  <c r="AL25" i="19"/>
  <c r="AM25" i="19" s="1"/>
  <c r="AN25" i="19" s="1"/>
  <c r="AG120" i="14"/>
  <c r="AF121" i="14" s="1"/>
  <c r="AG121" i="14" s="1"/>
  <c r="AF122" i="14" s="1"/>
  <c r="AJ25" i="19"/>
  <c r="AK25" i="19" s="1"/>
  <c r="AO27" i="17"/>
  <c r="AP27" i="17"/>
  <c r="AI27" i="17"/>
  <c r="AJ27" i="17" s="1"/>
  <c r="AK27" i="17" s="1"/>
  <c r="K27" i="17"/>
  <c r="AE47" i="19"/>
  <c r="AD48" i="19" s="1"/>
  <c r="AT47" i="19"/>
  <c r="G100" i="14"/>
  <c r="AI100" i="14" s="1"/>
  <c r="H100" i="14"/>
  <c r="J101" i="14"/>
  <c r="S48" i="19"/>
  <c r="W48" i="19" s="1"/>
  <c r="R49" i="19" s="1"/>
  <c r="T48" i="19"/>
  <c r="AR127" i="19"/>
  <c r="AT111" i="14"/>
  <c r="AE111" i="14"/>
  <c r="AD112" i="14" s="1"/>
  <c r="AT112" i="14" s="1"/>
  <c r="N57" i="17"/>
  <c r="P58" i="17"/>
  <c r="M57" i="17"/>
  <c r="Q57" i="17" s="1"/>
  <c r="L58" i="17" s="1"/>
  <c r="Y122" i="14"/>
  <c r="AC122" i="14" s="1"/>
  <c r="X123" i="14" s="1"/>
  <c r="Z122" i="14"/>
  <c r="AB128" i="17"/>
  <c r="O128" i="17"/>
  <c r="V128" i="17"/>
  <c r="V128" i="19"/>
  <c r="U128" i="17"/>
  <c r="AA128" i="17"/>
  <c r="O128" i="19"/>
  <c r="I128" i="17"/>
  <c r="AB128" i="19"/>
  <c r="I128" i="19"/>
  <c r="U128" i="19"/>
  <c r="AA128" i="19"/>
  <c r="S112" i="14"/>
  <c r="T112" i="14"/>
  <c r="AT55" i="17"/>
  <c r="AE55" i="17"/>
  <c r="AD56" i="17" s="1"/>
  <c r="M57" i="19"/>
  <c r="Q57" i="19" s="1"/>
  <c r="L58" i="19" s="1"/>
  <c r="N57" i="19"/>
  <c r="P58" i="19"/>
  <c r="S56" i="17"/>
  <c r="W56" i="17" s="1"/>
  <c r="R57" i="17" s="1"/>
  <c r="T56" i="17"/>
  <c r="C128" i="19"/>
  <c r="E129" i="19"/>
  <c r="AZ128" i="19"/>
  <c r="AR127" i="16"/>
  <c r="AZ128" i="16"/>
  <c r="E129" i="16"/>
  <c r="C128" i="16"/>
  <c r="BD128" i="16"/>
  <c r="AZ127" i="17"/>
  <c r="E128" i="17"/>
  <c r="C127" i="17"/>
  <c r="J125" i="18"/>
  <c r="L125" i="18" s="1"/>
  <c r="I126" i="18" s="1"/>
  <c r="AS126" i="18"/>
  <c r="O126" i="18"/>
  <c r="AQ126" i="18"/>
  <c r="K126" i="18"/>
  <c r="AU126" i="18"/>
  <c r="C127" i="18"/>
  <c r="E128" i="18"/>
  <c r="AZ127" i="18"/>
  <c r="AL58" i="18"/>
  <c r="AM58" i="18" s="1"/>
  <c r="AN58" i="18" s="1"/>
  <c r="F59" i="18"/>
  <c r="G59" i="18" s="1"/>
  <c r="AR59" i="18" s="1"/>
  <c r="E130" i="15"/>
  <c r="AZ129" i="15"/>
  <c r="C129" i="15"/>
  <c r="AJ58" i="18"/>
  <c r="AK58" i="18" s="1"/>
  <c r="P92" i="18"/>
  <c r="M93" i="18" s="1"/>
  <c r="N93" i="18" s="1"/>
  <c r="L91" i="15"/>
  <c r="I92" i="15" s="1"/>
  <c r="J92" i="15" s="1"/>
  <c r="AC129" i="3"/>
  <c r="Y130" i="3"/>
  <c r="AN134" i="3"/>
  <c r="AW133" i="3"/>
  <c r="A131" i="3"/>
  <c r="BI131" i="3" s="1"/>
  <c r="BJ131" i="3" s="1"/>
  <c r="BC129" i="3"/>
  <c r="AE130" i="3"/>
  <c r="AL130" i="3"/>
  <c r="G132" i="3"/>
  <c r="AV131" i="3"/>
  <c r="AX131" i="3" s="1"/>
  <c r="V131" i="3"/>
  <c r="X131" i="3" s="1"/>
  <c r="AQ133" i="3"/>
  <c r="AM130" i="3"/>
  <c r="BD129" i="3"/>
  <c r="AH130" i="3"/>
  <c r="AI128" i="3"/>
  <c r="BE128" i="3" s="1"/>
  <c r="H130" i="3"/>
  <c r="AF129" i="3"/>
  <c r="AG130" i="3"/>
  <c r="T92" i="25" l="1"/>
  <c r="S92" i="25"/>
  <c r="W92" i="25" s="1"/>
  <c r="R93" i="25" s="1"/>
  <c r="AE91" i="25"/>
  <c r="AD92" i="25" s="1"/>
  <c r="AT91" i="25"/>
  <c r="L123" i="23"/>
  <c r="M123" i="23" s="1"/>
  <c r="AN122" i="23"/>
  <c r="AQ122" i="23"/>
  <c r="AU122" i="23"/>
  <c r="AS122" i="23"/>
  <c r="AJ122" i="23"/>
  <c r="AK122" i="23" s="1"/>
  <c r="AT71" i="29"/>
  <c r="AG70" i="29"/>
  <c r="AF71" i="29" s="1"/>
  <c r="O54" i="28"/>
  <c r="M54" i="28"/>
  <c r="N54" i="28"/>
  <c r="P55" i="28"/>
  <c r="AR51" i="29"/>
  <c r="Q51" i="29"/>
  <c r="L52" i="29" s="1"/>
  <c r="AR133" i="3"/>
  <c r="BB131" i="3"/>
  <c r="P73" i="24"/>
  <c r="M74" i="24" s="1"/>
  <c r="AC66" i="25"/>
  <c r="X67" i="25" s="1"/>
  <c r="K69" i="24"/>
  <c r="R69" i="24" s="1"/>
  <c r="Q70" i="24" s="1"/>
  <c r="AT70" i="24" s="1"/>
  <c r="J69" i="24"/>
  <c r="AN131" i="20"/>
  <c r="P131" i="20"/>
  <c r="O132" i="20"/>
  <c r="AQ131" i="20"/>
  <c r="AR131" i="20" s="1"/>
  <c r="AK129" i="3"/>
  <c r="BG129" i="3" s="1"/>
  <c r="T113" i="29"/>
  <c r="S113" i="29"/>
  <c r="W113" i="29" s="1"/>
  <c r="R114" i="29" s="1"/>
  <c r="U114" i="29" s="1"/>
  <c r="AW50" i="29"/>
  <c r="AX50" i="29" s="1"/>
  <c r="AY50" i="29" s="1"/>
  <c r="C127" i="29"/>
  <c r="AZ127" i="29"/>
  <c r="E128" i="29"/>
  <c r="H51" i="29"/>
  <c r="AP51" i="29" s="1"/>
  <c r="J52" i="29"/>
  <c r="G51" i="29"/>
  <c r="AI51" i="29" s="1"/>
  <c r="F50" i="26"/>
  <c r="G50" i="26" s="1"/>
  <c r="AR50" i="26" s="1"/>
  <c r="AL49" i="26"/>
  <c r="AM49" i="26" s="1"/>
  <c r="AN49" i="26" s="1"/>
  <c r="AI49" i="26"/>
  <c r="AJ49" i="26" s="1"/>
  <c r="AK49" i="26" s="1"/>
  <c r="J122" i="26"/>
  <c r="L122" i="26" s="1"/>
  <c r="I123" i="26" s="1"/>
  <c r="N93" i="26"/>
  <c r="P93" i="26" s="1"/>
  <c r="M94" i="26" s="1"/>
  <c r="T92" i="26"/>
  <c r="S93" i="26" s="1"/>
  <c r="AT92" i="26"/>
  <c r="R92" i="26"/>
  <c r="Q93" i="26" s="1"/>
  <c r="K127" i="26"/>
  <c r="O127" i="26"/>
  <c r="AQ127" i="26"/>
  <c r="AS127" i="26"/>
  <c r="AU127" i="26"/>
  <c r="AC72" i="28"/>
  <c r="X73" i="28" s="1"/>
  <c r="AZ128" i="26"/>
  <c r="C128" i="26"/>
  <c r="E129" i="26"/>
  <c r="T97" i="28"/>
  <c r="S97" i="28"/>
  <c r="W97" i="28" s="1"/>
  <c r="R98" i="28" s="1"/>
  <c r="V98" i="28" s="1"/>
  <c r="H53" i="28"/>
  <c r="AP53" i="28" s="1"/>
  <c r="J54" i="28"/>
  <c r="G53" i="28"/>
  <c r="AL53" i="28" s="1"/>
  <c r="AT96" i="28"/>
  <c r="AE96" i="28"/>
  <c r="AD97" i="28" s="1"/>
  <c r="C128" i="28"/>
  <c r="AZ128" i="28"/>
  <c r="E129" i="28"/>
  <c r="G60" i="25"/>
  <c r="K60" i="25" s="1"/>
  <c r="J61" i="25"/>
  <c r="H60" i="25"/>
  <c r="U127" i="25"/>
  <c r="V127" i="25"/>
  <c r="AA127" i="25"/>
  <c r="AB127" i="25"/>
  <c r="AR127" i="25"/>
  <c r="BA128" i="25"/>
  <c r="BB128" i="25"/>
  <c r="BC128" i="25"/>
  <c r="AZ128" i="25"/>
  <c r="BD128" i="25"/>
  <c r="C128" i="25"/>
  <c r="E129" i="25"/>
  <c r="N55" i="25"/>
  <c r="AP55" i="25" s="1"/>
  <c r="P56" i="25"/>
  <c r="M55" i="25"/>
  <c r="AL55" i="25" s="1"/>
  <c r="AJ54" i="25"/>
  <c r="AK54" i="25" s="1"/>
  <c r="AW54" i="25" s="1"/>
  <c r="AX54" i="25" s="1"/>
  <c r="AY54" i="25" s="1"/>
  <c r="AQ127" i="24"/>
  <c r="AS127" i="24"/>
  <c r="AU127" i="24"/>
  <c r="AZ128" i="24"/>
  <c r="C128" i="24"/>
  <c r="E129" i="24"/>
  <c r="F49" i="24"/>
  <c r="AI48" i="24"/>
  <c r="AJ48" i="24" s="1"/>
  <c r="AL48" i="24"/>
  <c r="AM48" i="24" s="1"/>
  <c r="AW47" i="15"/>
  <c r="AX47" i="15" s="1"/>
  <c r="AY47" i="15" s="1"/>
  <c r="AS129" i="15"/>
  <c r="AU129" i="15"/>
  <c r="AQ129" i="15"/>
  <c r="G48" i="15"/>
  <c r="AR48" i="15" s="1"/>
  <c r="F48" i="23"/>
  <c r="AI47" i="23"/>
  <c r="AL47" i="23"/>
  <c r="AW52" i="28"/>
  <c r="AX52" i="28" s="1"/>
  <c r="AY52" i="28" s="1"/>
  <c r="AC70" i="29"/>
  <c r="X71" i="29" s="1"/>
  <c r="I126" i="25"/>
  <c r="O126" i="25"/>
  <c r="P90" i="15"/>
  <c r="M91" i="15" s="1"/>
  <c r="N91" i="15" s="1"/>
  <c r="R90" i="15"/>
  <c r="Q91" i="15" s="1"/>
  <c r="AT91" i="15" s="1"/>
  <c r="AZ99" i="14"/>
  <c r="BC99" i="14" s="1"/>
  <c r="AJ100" i="14"/>
  <c r="AK100" i="14" s="1"/>
  <c r="BC98" i="14"/>
  <c r="Y52" i="17"/>
  <c r="AC52" i="17" s="1"/>
  <c r="X53" i="17" s="1"/>
  <c r="AG51" i="17"/>
  <c r="AF52" i="17" s="1"/>
  <c r="AG50" i="19"/>
  <c r="AF51" i="19" s="1"/>
  <c r="Y51" i="19"/>
  <c r="AC51" i="19" s="1"/>
  <c r="X52" i="19" s="1"/>
  <c r="Z51" i="19"/>
  <c r="AE112" i="14"/>
  <c r="AD113" i="14" s="1"/>
  <c r="AT113" i="14" s="1"/>
  <c r="AG122" i="14"/>
  <c r="AF123" i="14" s="1"/>
  <c r="AR128" i="19"/>
  <c r="F26" i="19"/>
  <c r="AU25" i="19"/>
  <c r="AQ25" i="19"/>
  <c r="AS25" i="19"/>
  <c r="AQ27" i="17"/>
  <c r="F28" i="17"/>
  <c r="AS27" i="17"/>
  <c r="AU27" i="17"/>
  <c r="S49" i="19"/>
  <c r="W49" i="19" s="1"/>
  <c r="R50" i="19" s="1"/>
  <c r="T49" i="19"/>
  <c r="AL100" i="14"/>
  <c r="AM100" i="14" s="1"/>
  <c r="AN100" i="14" s="1"/>
  <c r="K100" i="14"/>
  <c r="AP100" i="14"/>
  <c r="AO100" i="14"/>
  <c r="AT48" i="19"/>
  <c r="AE48" i="19"/>
  <c r="AD49" i="19" s="1"/>
  <c r="AT56" i="17"/>
  <c r="AE56" i="17"/>
  <c r="AD57" i="17" s="1"/>
  <c r="T57" i="17"/>
  <c r="S57" i="17"/>
  <c r="W57" i="17" s="1"/>
  <c r="R58" i="17" s="1"/>
  <c r="W112" i="14"/>
  <c r="R113" i="14" s="1"/>
  <c r="Y123" i="14"/>
  <c r="AC123" i="14" s="1"/>
  <c r="Z123" i="14"/>
  <c r="N58" i="17"/>
  <c r="M58" i="17"/>
  <c r="Q58" i="17" s="1"/>
  <c r="L59" i="17" s="1"/>
  <c r="P59" i="17"/>
  <c r="V129" i="17"/>
  <c r="U129" i="17"/>
  <c r="AA129" i="19"/>
  <c r="I129" i="19"/>
  <c r="O129" i="17"/>
  <c r="AB129" i="19"/>
  <c r="AB129" i="17"/>
  <c r="V129" i="19"/>
  <c r="I129" i="17"/>
  <c r="U129" i="19"/>
  <c r="AA129" i="17"/>
  <c r="O129" i="19"/>
  <c r="M58" i="19"/>
  <c r="Q58" i="19" s="1"/>
  <c r="L59" i="19" s="1"/>
  <c r="N58" i="19"/>
  <c r="P59" i="19"/>
  <c r="C129" i="19"/>
  <c r="AZ129" i="19"/>
  <c r="E130" i="19"/>
  <c r="AR128" i="16"/>
  <c r="E130" i="16"/>
  <c r="AZ129" i="16"/>
  <c r="BD129" i="16"/>
  <c r="C129" i="16"/>
  <c r="J126" i="18"/>
  <c r="L126" i="18" s="1"/>
  <c r="I127" i="18" s="1"/>
  <c r="C128" i="18"/>
  <c r="E129" i="18"/>
  <c r="AZ128" i="18"/>
  <c r="AU127" i="18"/>
  <c r="K127" i="18"/>
  <c r="AQ127" i="18"/>
  <c r="AS127" i="18"/>
  <c r="O127" i="18"/>
  <c r="E129" i="17"/>
  <c r="AZ128" i="17"/>
  <c r="C128" i="17"/>
  <c r="AW58" i="18"/>
  <c r="AX58" i="18" s="1"/>
  <c r="AY58" i="18" s="1"/>
  <c r="H59" i="18"/>
  <c r="E131" i="15"/>
  <c r="AZ130" i="15"/>
  <c r="C130" i="15"/>
  <c r="P93" i="18"/>
  <c r="M94" i="18" s="1"/>
  <c r="N94" i="18" s="1"/>
  <c r="AE131" i="3"/>
  <c r="BC130" i="3"/>
  <c r="A132" i="3"/>
  <c r="BI132" i="3" s="1"/>
  <c r="BJ132" i="3" s="1"/>
  <c r="AN135" i="3"/>
  <c r="H131" i="3"/>
  <c r="AF130" i="3"/>
  <c r="AK130" i="3" s="1"/>
  <c r="AM131" i="3"/>
  <c r="AD129" i="3"/>
  <c r="AI129" i="3" s="1"/>
  <c r="BE129" i="3" s="1"/>
  <c r="AQ134" i="3"/>
  <c r="AV132" i="3"/>
  <c r="AX132" i="3" s="1"/>
  <c r="G133" i="3"/>
  <c r="V132" i="3"/>
  <c r="X132" i="3" s="1"/>
  <c r="AW134" i="3"/>
  <c r="AG131" i="3"/>
  <c r="BD130" i="3"/>
  <c r="AH131" i="3"/>
  <c r="AL131" i="3"/>
  <c r="P134" i="3"/>
  <c r="P135" i="3" s="1"/>
  <c r="Y131" i="3"/>
  <c r="AC130" i="3"/>
  <c r="Y124" i="14" l="1"/>
  <c r="Z124" i="14"/>
  <c r="AE92" i="25"/>
  <c r="AD93" i="25" s="1"/>
  <c r="AT92" i="25"/>
  <c r="S93" i="25"/>
  <c r="W93" i="25" s="1"/>
  <c r="R94" i="25" s="1"/>
  <c r="T93" i="25"/>
  <c r="P124" i="23"/>
  <c r="Q123" i="23"/>
  <c r="M124" i="23" s="1"/>
  <c r="N123" i="23"/>
  <c r="AI123" i="23"/>
  <c r="AL123" i="23"/>
  <c r="AG123" i="14"/>
  <c r="AV122" i="23"/>
  <c r="Y73" i="28"/>
  <c r="AG73" i="28" s="1"/>
  <c r="AF74" i="28" s="1"/>
  <c r="AB73" i="28"/>
  <c r="Z71" i="29"/>
  <c r="AA71" i="29"/>
  <c r="AE71" i="29" s="1"/>
  <c r="AD72" i="29" s="1"/>
  <c r="O52" i="29"/>
  <c r="M52" i="29"/>
  <c r="N52" i="29"/>
  <c r="P53" i="29"/>
  <c r="AR134" i="3"/>
  <c r="BB132" i="3"/>
  <c r="Z67" i="25"/>
  <c r="Y67" i="25"/>
  <c r="AG67" i="25" s="1"/>
  <c r="AF68" i="25" s="1"/>
  <c r="L69" i="24"/>
  <c r="I70" i="24" s="1"/>
  <c r="T69" i="24"/>
  <c r="S70" i="24" s="1"/>
  <c r="O74" i="24"/>
  <c r="N74" i="24"/>
  <c r="AL132" i="3"/>
  <c r="AM132" i="3"/>
  <c r="K129" i="15"/>
  <c r="P132" i="20"/>
  <c r="AQ132" i="20"/>
  <c r="AR132" i="20" s="1"/>
  <c r="O133" i="20"/>
  <c r="AN132" i="20"/>
  <c r="BG130" i="3"/>
  <c r="O129" i="15"/>
  <c r="T114" i="29"/>
  <c r="S114" i="29"/>
  <c r="W114" i="29" s="1"/>
  <c r="R115" i="29" s="1"/>
  <c r="U115" i="29" s="1"/>
  <c r="AW49" i="26"/>
  <c r="AX49" i="26" s="1"/>
  <c r="AY49" i="26" s="1"/>
  <c r="K51" i="29"/>
  <c r="AL51" i="29"/>
  <c r="AO51" i="29"/>
  <c r="AJ51" i="29"/>
  <c r="AK51" i="29" s="1"/>
  <c r="AZ128" i="29"/>
  <c r="C128" i="29"/>
  <c r="E129" i="29"/>
  <c r="Y71" i="29"/>
  <c r="H50" i="26"/>
  <c r="AI50" i="26" s="1"/>
  <c r="N94" i="26"/>
  <c r="P94" i="26" s="1"/>
  <c r="M95" i="26" s="1"/>
  <c r="T93" i="26"/>
  <c r="S94" i="26" s="1"/>
  <c r="J123" i="26"/>
  <c r="L123" i="26" s="1"/>
  <c r="I124" i="26" s="1"/>
  <c r="O128" i="26"/>
  <c r="AQ128" i="26"/>
  <c r="AS128" i="26"/>
  <c r="AU128" i="26"/>
  <c r="K128" i="26"/>
  <c r="AT93" i="26"/>
  <c r="R93" i="26"/>
  <c r="Q94" i="26" s="1"/>
  <c r="C129" i="26"/>
  <c r="AZ129" i="26"/>
  <c r="E130" i="26"/>
  <c r="Z73" i="28"/>
  <c r="T98" i="28"/>
  <c r="S98" i="28"/>
  <c r="W98" i="28" s="1"/>
  <c r="R99" i="28" s="1"/>
  <c r="V99" i="28" s="1"/>
  <c r="AT97" i="28"/>
  <c r="AE97" i="28"/>
  <c r="AD98" i="28" s="1"/>
  <c r="AO53" i="28"/>
  <c r="AI53" i="28"/>
  <c r="AJ53" i="28" s="1"/>
  <c r="AK53" i="28" s="1"/>
  <c r="AZ129" i="28"/>
  <c r="C129" i="28"/>
  <c r="E130" i="28"/>
  <c r="F61" i="25"/>
  <c r="U128" i="25"/>
  <c r="V128" i="25"/>
  <c r="AA128" i="25"/>
  <c r="AB128" i="25"/>
  <c r="AR128" i="25"/>
  <c r="BA129" i="25"/>
  <c r="BB129" i="25"/>
  <c r="BC129" i="25"/>
  <c r="AO55" i="25"/>
  <c r="Q55" i="25"/>
  <c r="AM55" i="25"/>
  <c r="AN55" i="25" s="1"/>
  <c r="C129" i="25"/>
  <c r="BD129" i="25"/>
  <c r="AZ129" i="25"/>
  <c r="E130" i="25"/>
  <c r="AQ128" i="24"/>
  <c r="AS128" i="24"/>
  <c r="AU128" i="24"/>
  <c r="AN48" i="24"/>
  <c r="C129" i="24"/>
  <c r="AZ129" i="24"/>
  <c r="E130" i="24"/>
  <c r="AK48" i="24"/>
  <c r="G49" i="24"/>
  <c r="AR49" i="24" s="1"/>
  <c r="AQ130" i="15"/>
  <c r="AS130" i="15"/>
  <c r="AU130" i="15"/>
  <c r="H48" i="15"/>
  <c r="P91" i="15"/>
  <c r="M92" i="15" s="1"/>
  <c r="N92" i="15" s="1"/>
  <c r="G48" i="23"/>
  <c r="AR48" i="23" s="1"/>
  <c r="AJ47" i="23"/>
  <c r="AM47" i="23"/>
  <c r="K53" i="28"/>
  <c r="I127" i="25"/>
  <c r="O127" i="25"/>
  <c r="AJ129" i="3"/>
  <c r="BF129" i="3" s="1"/>
  <c r="T91" i="15"/>
  <c r="S92" i="15" s="1"/>
  <c r="R91" i="15"/>
  <c r="Q92" i="15" s="1"/>
  <c r="AT92" i="15" s="1"/>
  <c r="AW25" i="19"/>
  <c r="AX25" i="19" s="1"/>
  <c r="AY25" i="19" s="1"/>
  <c r="AD130" i="3"/>
  <c r="AI130" i="3" s="1"/>
  <c r="BE130" i="3" s="1"/>
  <c r="AW27" i="17"/>
  <c r="AX27" i="17" s="1"/>
  <c r="AY27" i="17" s="1"/>
  <c r="AG52" i="17"/>
  <c r="AF53" i="17" s="1"/>
  <c r="AR129" i="19"/>
  <c r="Y52" i="19"/>
  <c r="AC52" i="19" s="1"/>
  <c r="X53" i="19" s="1"/>
  <c r="Z52" i="19"/>
  <c r="AG51" i="19"/>
  <c r="AF52" i="19" s="1"/>
  <c r="J27" i="19"/>
  <c r="G26" i="19"/>
  <c r="AL26" i="19" s="1"/>
  <c r="AM26" i="19" s="1"/>
  <c r="AN26" i="19" s="1"/>
  <c r="H26" i="19"/>
  <c r="J29" i="17"/>
  <c r="G28" i="17"/>
  <c r="AL28" i="17" s="1"/>
  <c r="AM28" i="17" s="1"/>
  <c r="AN28" i="17" s="1"/>
  <c r="H28" i="17"/>
  <c r="F101" i="14"/>
  <c r="AS100" i="14"/>
  <c r="AQ100" i="14"/>
  <c r="AU100" i="14"/>
  <c r="S50" i="19"/>
  <c r="W50" i="19" s="1"/>
  <c r="R51" i="19" s="1"/>
  <c r="T50" i="19"/>
  <c r="AE49" i="19"/>
  <c r="AD50" i="19" s="1"/>
  <c r="AT49" i="19"/>
  <c r="AB130" i="17"/>
  <c r="O130" i="17"/>
  <c r="U130" i="17"/>
  <c r="AB130" i="19"/>
  <c r="O130" i="19"/>
  <c r="I130" i="17"/>
  <c r="V130" i="17"/>
  <c r="V130" i="19"/>
  <c r="U130" i="19"/>
  <c r="I130" i="19"/>
  <c r="AA130" i="17"/>
  <c r="AA130" i="19"/>
  <c r="T113" i="14"/>
  <c r="S113" i="14"/>
  <c r="AE113" i="14" s="1"/>
  <c r="AD114" i="14" s="1"/>
  <c r="AT114" i="14" s="1"/>
  <c r="M59" i="19"/>
  <c r="Q59" i="19" s="1"/>
  <c r="L60" i="19" s="1"/>
  <c r="N59" i="19"/>
  <c r="P60" i="19"/>
  <c r="AT57" i="17"/>
  <c r="AE57" i="17"/>
  <c r="AD58" i="17" s="1"/>
  <c r="N59" i="17"/>
  <c r="P60" i="17"/>
  <c r="M59" i="17"/>
  <c r="Q59" i="17" s="1"/>
  <c r="L60" i="17" s="1"/>
  <c r="T58" i="17"/>
  <c r="S58" i="17"/>
  <c r="W58" i="17" s="1"/>
  <c r="R59" i="17" s="1"/>
  <c r="Z53" i="17"/>
  <c r="Y53" i="17"/>
  <c r="E131" i="19"/>
  <c r="C130" i="19"/>
  <c r="AZ130" i="19"/>
  <c r="AR129" i="16"/>
  <c r="BD130" i="16"/>
  <c r="E131" i="16"/>
  <c r="AZ130" i="16"/>
  <c r="C130" i="16"/>
  <c r="J127" i="18"/>
  <c r="L127" i="18" s="1"/>
  <c r="I128" i="18" s="1"/>
  <c r="AZ129" i="18"/>
  <c r="C129" i="18"/>
  <c r="E130" i="18"/>
  <c r="AZ129" i="17"/>
  <c r="E130" i="17"/>
  <c r="C129" i="17"/>
  <c r="AQ128" i="18"/>
  <c r="K128" i="18"/>
  <c r="AS128" i="18"/>
  <c r="O128" i="18"/>
  <c r="AU128" i="18"/>
  <c r="F60" i="18"/>
  <c r="AI59" i="18"/>
  <c r="AJ59" i="18" s="1"/>
  <c r="AK59" i="18" s="1"/>
  <c r="AL59" i="18"/>
  <c r="AM59" i="18" s="1"/>
  <c r="AN59" i="18" s="1"/>
  <c r="C131" i="15"/>
  <c r="E132" i="15"/>
  <c r="AZ131" i="15"/>
  <c r="P94" i="18"/>
  <c r="M95" i="18" s="1"/>
  <c r="N95" i="18" s="1"/>
  <c r="R93" i="18"/>
  <c r="Q94" i="18" s="1"/>
  <c r="AT94" i="18" s="1"/>
  <c r="T93" i="18"/>
  <c r="L92" i="15"/>
  <c r="I93" i="15" s="1"/>
  <c r="J93" i="15" s="1"/>
  <c r="BD131" i="3"/>
  <c r="AH132" i="3"/>
  <c r="AV133" i="3"/>
  <c r="AX133" i="3" s="1"/>
  <c r="V133" i="3"/>
  <c r="X133" i="3" s="1"/>
  <c r="G134" i="3"/>
  <c r="AC131" i="3"/>
  <c r="Y132" i="3"/>
  <c r="AW135" i="3"/>
  <c r="AG132" i="3"/>
  <c r="AQ135" i="3"/>
  <c r="H132" i="3"/>
  <c r="AF131" i="3"/>
  <c r="AD131" i="3" s="1"/>
  <c r="A133" i="3"/>
  <c r="BI133" i="3" s="1"/>
  <c r="BJ133" i="3" s="1"/>
  <c r="AE132" i="3"/>
  <c r="BC131" i="3"/>
  <c r="AT93" i="25" l="1"/>
  <c r="AE93" i="25"/>
  <c r="AD94" i="25" s="1"/>
  <c r="S94" i="25"/>
  <c r="W94" i="25" s="1"/>
  <c r="R95" i="25" s="1"/>
  <c r="T94" i="25"/>
  <c r="AO123" i="23"/>
  <c r="AO134" i="23" s="1"/>
  <c r="AP123" i="23"/>
  <c r="AP134" i="23" s="1"/>
  <c r="AJ123" i="23"/>
  <c r="AJ134" i="23" s="1"/>
  <c r="AI134" i="23"/>
  <c r="AM123" i="23"/>
  <c r="AM134" i="23" s="1"/>
  <c r="AL134" i="23"/>
  <c r="AU123" i="23"/>
  <c r="AU134" i="23" s="1"/>
  <c r="AS123" i="23"/>
  <c r="AS134" i="23" s="1"/>
  <c r="AQ123" i="23"/>
  <c r="AQ134" i="23" s="1"/>
  <c r="AZ122" i="23"/>
  <c r="BG122" i="23"/>
  <c r="AT72" i="29"/>
  <c r="AC73" i="28"/>
  <c r="X74" i="28" s="1"/>
  <c r="AB74" i="28" s="1"/>
  <c r="AG71" i="29"/>
  <c r="AF72" i="29" s="1"/>
  <c r="AR135" i="3"/>
  <c r="BB133" i="3"/>
  <c r="P74" i="24"/>
  <c r="M75" i="24" s="1"/>
  <c r="K70" i="24"/>
  <c r="R70" i="24" s="1"/>
  <c r="Q71" i="24" s="1"/>
  <c r="J70" i="24"/>
  <c r="AC67" i="25"/>
  <c r="X68" i="25" s="1"/>
  <c r="P133" i="20"/>
  <c r="AN133" i="20"/>
  <c r="AQ133" i="20"/>
  <c r="AR133" i="20" s="1"/>
  <c r="O134" i="20"/>
  <c r="AK131" i="3"/>
  <c r="BG131" i="3" s="1"/>
  <c r="O130" i="15"/>
  <c r="K130" i="15"/>
  <c r="T115" i="29"/>
  <c r="S115" i="29"/>
  <c r="W115" i="29" s="1"/>
  <c r="R116" i="29" s="1"/>
  <c r="U116" i="29" s="1"/>
  <c r="AM51" i="29"/>
  <c r="AN51" i="29" s="1"/>
  <c r="C129" i="29"/>
  <c r="AZ129" i="29"/>
  <c r="E130" i="29"/>
  <c r="F52" i="29"/>
  <c r="I52" i="29" s="1"/>
  <c r="AR52" i="29" s="1"/>
  <c r="AS51" i="29"/>
  <c r="AU51" i="29"/>
  <c r="AQ51" i="29"/>
  <c r="F51" i="26"/>
  <c r="G51" i="26" s="1"/>
  <c r="AR51" i="26" s="1"/>
  <c r="AL50" i="26"/>
  <c r="AM50" i="26" s="1"/>
  <c r="AN50" i="26" s="1"/>
  <c r="J124" i="26"/>
  <c r="L124" i="26" s="1"/>
  <c r="I125" i="26" s="1"/>
  <c r="N95" i="26"/>
  <c r="P95" i="26" s="1"/>
  <c r="M96" i="26" s="1"/>
  <c r="AJ50" i="26"/>
  <c r="AK50" i="26" s="1"/>
  <c r="AT94" i="26"/>
  <c r="R94" i="26"/>
  <c r="Q95" i="26" s="1"/>
  <c r="T94" i="26"/>
  <c r="S95" i="26" s="1"/>
  <c r="AS129" i="26"/>
  <c r="AU129" i="26"/>
  <c r="AQ129" i="26"/>
  <c r="K129" i="26"/>
  <c r="O129" i="26"/>
  <c r="C130" i="26"/>
  <c r="AZ130" i="26"/>
  <c r="E131" i="26"/>
  <c r="T99" i="28"/>
  <c r="S99" i="28"/>
  <c r="W99" i="28" s="1"/>
  <c r="R100" i="28" s="1"/>
  <c r="V100" i="28" s="1"/>
  <c r="AQ53" i="28"/>
  <c r="AS53" i="28"/>
  <c r="AU53" i="28"/>
  <c r="AT98" i="28"/>
  <c r="AE98" i="28"/>
  <c r="AD99" i="28" s="1"/>
  <c r="C130" i="28"/>
  <c r="AZ130" i="28"/>
  <c r="E131" i="28"/>
  <c r="AM53" i="28"/>
  <c r="AN53" i="28" s="1"/>
  <c r="F54" i="28"/>
  <c r="I54" i="28" s="1"/>
  <c r="Q54" i="28" s="1"/>
  <c r="L55" i="28" s="1"/>
  <c r="AW48" i="24"/>
  <c r="AX48" i="24" s="1"/>
  <c r="AY48" i="24" s="1"/>
  <c r="G61" i="25"/>
  <c r="K61" i="25" s="1"/>
  <c r="H61" i="25"/>
  <c r="J62" i="25"/>
  <c r="AR129" i="25"/>
  <c r="U129" i="25"/>
  <c r="V129" i="25"/>
  <c r="AA129" i="25"/>
  <c r="AB129" i="25"/>
  <c r="BA130" i="25"/>
  <c r="BB130" i="25"/>
  <c r="BC130" i="25"/>
  <c r="AS55" i="25"/>
  <c r="AQ55" i="25"/>
  <c r="AU55" i="25"/>
  <c r="AI55" i="25"/>
  <c r="L56" i="25"/>
  <c r="AZ130" i="25"/>
  <c r="C130" i="25"/>
  <c r="BD130" i="25"/>
  <c r="E131" i="25"/>
  <c r="C130" i="24"/>
  <c r="AZ130" i="24"/>
  <c r="E131" i="24"/>
  <c r="AU129" i="24"/>
  <c r="AS129" i="24"/>
  <c r="AQ129" i="24"/>
  <c r="T92" i="15"/>
  <c r="S93" i="15" s="1"/>
  <c r="H49" i="24"/>
  <c r="F49" i="15"/>
  <c r="AI48" i="15"/>
  <c r="AJ48" i="15" s="1"/>
  <c r="AK48" i="15" s="1"/>
  <c r="AL48" i="15"/>
  <c r="AM48" i="15" s="1"/>
  <c r="AN48" i="15" s="1"/>
  <c r="K131" i="15"/>
  <c r="O131" i="15"/>
  <c r="AQ131" i="15"/>
  <c r="AS131" i="15"/>
  <c r="AU131" i="15"/>
  <c r="P92" i="15"/>
  <c r="M93" i="15" s="1"/>
  <c r="N93" i="15" s="1"/>
  <c r="H48" i="23"/>
  <c r="AK47" i="23"/>
  <c r="AN47" i="23"/>
  <c r="AC71" i="29"/>
  <c r="X72" i="29" s="1"/>
  <c r="O128" i="25"/>
  <c r="I128" i="25"/>
  <c r="AJ130" i="3"/>
  <c r="BF130" i="3" s="1"/>
  <c r="AJ131" i="3"/>
  <c r="BF131" i="3" s="1"/>
  <c r="R92" i="15"/>
  <c r="Q93" i="15" s="1"/>
  <c r="AT93" i="15" s="1"/>
  <c r="AV100" i="14"/>
  <c r="BG100" i="14" s="1"/>
  <c r="AG53" i="17"/>
  <c r="AF54" i="17" s="1"/>
  <c r="AL133" i="3"/>
  <c r="AR130" i="19"/>
  <c r="AG52" i="19"/>
  <c r="AF53" i="19" s="1"/>
  <c r="Y53" i="19"/>
  <c r="AC53" i="19" s="1"/>
  <c r="X54" i="19" s="1"/>
  <c r="Z53" i="19"/>
  <c r="K28" i="17"/>
  <c r="AS28" i="17" s="1"/>
  <c r="K26" i="19"/>
  <c r="AI26" i="19"/>
  <c r="AJ26" i="19" s="1"/>
  <c r="AK26" i="19" s="1"/>
  <c r="AP26" i="19"/>
  <c r="AO26" i="19"/>
  <c r="AP28" i="17"/>
  <c r="AO28" i="17"/>
  <c r="AI28" i="17"/>
  <c r="AJ28" i="17" s="1"/>
  <c r="AK28" i="17" s="1"/>
  <c r="AT50" i="19"/>
  <c r="AE50" i="19"/>
  <c r="AD51" i="19" s="1"/>
  <c r="T51" i="19"/>
  <c r="S51" i="19"/>
  <c r="W51" i="19" s="1"/>
  <c r="R52" i="19" s="1"/>
  <c r="J102" i="14"/>
  <c r="H101" i="14"/>
  <c r="G101" i="14"/>
  <c r="AI101" i="14" s="1"/>
  <c r="AJ101" i="14" s="1"/>
  <c r="AK101" i="14" s="1"/>
  <c r="AC53" i="17"/>
  <c r="X54" i="17" s="1"/>
  <c r="Y54" i="17" s="1"/>
  <c r="W113" i="14"/>
  <c r="R114" i="14" s="1"/>
  <c r="S114" i="14" s="1"/>
  <c r="AE114" i="14" s="1"/>
  <c r="AD115" i="14" s="1"/>
  <c r="V131" i="17"/>
  <c r="O131" i="17"/>
  <c r="U131" i="19"/>
  <c r="AB131" i="17"/>
  <c r="I131" i="17"/>
  <c r="O131" i="19"/>
  <c r="AA131" i="17"/>
  <c r="AB131" i="19"/>
  <c r="I131" i="19"/>
  <c r="AA131" i="19"/>
  <c r="U131" i="17"/>
  <c r="V131" i="19"/>
  <c r="S59" i="17"/>
  <c r="W59" i="17" s="1"/>
  <c r="R60" i="17" s="1"/>
  <c r="T59" i="17"/>
  <c r="N60" i="19"/>
  <c r="M60" i="19"/>
  <c r="Q60" i="19" s="1"/>
  <c r="L61" i="19" s="1"/>
  <c r="P61" i="19"/>
  <c r="AT58" i="17"/>
  <c r="AE58" i="17"/>
  <c r="AD59" i="17" s="1"/>
  <c r="M60" i="17"/>
  <c r="Q60" i="17" s="1"/>
  <c r="L61" i="17" s="1"/>
  <c r="N60" i="17"/>
  <c r="P61" i="17"/>
  <c r="AZ131" i="19"/>
  <c r="E132" i="19"/>
  <c r="C131" i="19"/>
  <c r="AR130" i="16"/>
  <c r="C131" i="16"/>
  <c r="E132" i="16"/>
  <c r="BD131" i="16"/>
  <c r="AZ131" i="16"/>
  <c r="J128" i="18"/>
  <c r="L128" i="18" s="1"/>
  <c r="I129" i="18" s="1"/>
  <c r="AU129" i="18"/>
  <c r="AQ129" i="18"/>
  <c r="K129" i="18"/>
  <c r="AS129" i="18"/>
  <c r="O129" i="18"/>
  <c r="C130" i="17"/>
  <c r="AZ130" i="17"/>
  <c r="E131" i="17"/>
  <c r="E131" i="18"/>
  <c r="C130" i="18"/>
  <c r="AZ130" i="18"/>
  <c r="AW59" i="18"/>
  <c r="AX59" i="18" s="1"/>
  <c r="AY59" i="18" s="1"/>
  <c r="G60" i="18"/>
  <c r="AR60" i="18" s="1"/>
  <c r="E133" i="15"/>
  <c r="C132" i="15"/>
  <c r="AZ132" i="15"/>
  <c r="S94" i="18"/>
  <c r="T94" i="18" s="1"/>
  <c r="S95" i="18" s="1"/>
  <c r="T95" i="18" s="1"/>
  <c r="S96" i="18" s="1"/>
  <c r="R94" i="18"/>
  <c r="Q95" i="18" s="1"/>
  <c r="AT95" i="18" s="1"/>
  <c r="P95" i="18"/>
  <c r="M96" i="18" s="1"/>
  <c r="N96" i="18" s="1"/>
  <c r="AQ136" i="3"/>
  <c r="AW136" i="3"/>
  <c r="A134" i="3"/>
  <c r="BI134" i="3" s="1"/>
  <c r="BJ134" i="3" s="1"/>
  <c r="P136" i="3"/>
  <c r="P137" i="3" s="1"/>
  <c r="Y133" i="3"/>
  <c r="AC132" i="3"/>
  <c r="AN136" i="3"/>
  <c r="AN137" i="3" s="1"/>
  <c r="AI131" i="3"/>
  <c r="BE131" i="3" s="1"/>
  <c r="AE133" i="3"/>
  <c r="BC132" i="3"/>
  <c r="H133" i="3"/>
  <c r="AF132" i="3"/>
  <c r="AK132" i="3" s="1"/>
  <c r="AG133" i="3"/>
  <c r="AM133" i="3"/>
  <c r="AV134" i="3"/>
  <c r="AX134" i="3" s="1"/>
  <c r="G135" i="3"/>
  <c r="V134" i="3"/>
  <c r="X134" i="3" s="1"/>
  <c r="AH133" i="3"/>
  <c r="BD132" i="3"/>
  <c r="T95" i="25" l="1"/>
  <c r="S95" i="25"/>
  <c r="W95" i="25" s="1"/>
  <c r="R96" i="25" s="1"/>
  <c r="AK123" i="23"/>
  <c r="AN123" i="23"/>
  <c r="AN134" i="23" s="1"/>
  <c r="AT94" i="25"/>
  <c r="AE94" i="25"/>
  <c r="AD95" i="25" s="1"/>
  <c r="BC122" i="23"/>
  <c r="Q52" i="29"/>
  <c r="L53" i="29" s="1"/>
  <c r="O55" i="28"/>
  <c r="M55" i="28"/>
  <c r="N55" i="28"/>
  <c r="P56" i="28"/>
  <c r="Z74" i="28"/>
  <c r="Y74" i="28"/>
  <c r="AC74" i="28" s="1"/>
  <c r="Z72" i="29"/>
  <c r="AA72" i="29"/>
  <c r="AE72" i="29" s="1"/>
  <c r="AD73" i="29" s="1"/>
  <c r="AR136" i="3"/>
  <c r="BB134" i="3"/>
  <c r="L70" i="24"/>
  <c r="I71" i="24" s="1"/>
  <c r="Z68" i="25"/>
  <c r="Y68" i="25"/>
  <c r="AG68" i="25" s="1"/>
  <c r="AF69" i="25" s="1"/>
  <c r="O75" i="24"/>
  <c r="N75" i="24"/>
  <c r="T70" i="24"/>
  <c r="S71" i="24" s="1"/>
  <c r="AN134" i="20"/>
  <c r="AQ134" i="20"/>
  <c r="AR134" i="20" s="1"/>
  <c r="O135" i="20"/>
  <c r="P134" i="20"/>
  <c r="BG132" i="3"/>
  <c r="AW51" i="29"/>
  <c r="AX51" i="29" s="1"/>
  <c r="AY51" i="29" s="1"/>
  <c r="T116" i="29"/>
  <c r="S116" i="29"/>
  <c r="W116" i="29" s="1"/>
  <c r="R117" i="29" s="1"/>
  <c r="U117" i="29" s="1"/>
  <c r="AZ130" i="29"/>
  <c r="C130" i="29"/>
  <c r="E131" i="29"/>
  <c r="J53" i="29"/>
  <c r="H52" i="29"/>
  <c r="AP52" i="29" s="1"/>
  <c r="G52" i="29"/>
  <c r="AI52" i="29" s="1"/>
  <c r="Y72" i="29"/>
  <c r="H51" i="26"/>
  <c r="F52" i="26" s="1"/>
  <c r="AW50" i="26"/>
  <c r="AX50" i="26" s="1"/>
  <c r="AY50" i="26" s="1"/>
  <c r="O130" i="26"/>
  <c r="K130" i="26"/>
  <c r="AS130" i="26"/>
  <c r="AU130" i="26"/>
  <c r="AQ130" i="26"/>
  <c r="J125" i="26"/>
  <c r="L125" i="26" s="1"/>
  <c r="I126" i="26" s="1"/>
  <c r="AT95" i="26"/>
  <c r="R95" i="26"/>
  <c r="Q96" i="26" s="1"/>
  <c r="T95" i="26"/>
  <c r="S96" i="26" s="1"/>
  <c r="N96" i="26"/>
  <c r="P96" i="26" s="1"/>
  <c r="M97" i="26" s="1"/>
  <c r="C131" i="26"/>
  <c r="AZ131" i="26"/>
  <c r="E132" i="26"/>
  <c r="T100" i="28"/>
  <c r="S100" i="28"/>
  <c r="W100" i="28" s="1"/>
  <c r="R101" i="28" s="1"/>
  <c r="V101" i="28" s="1"/>
  <c r="J55" i="28"/>
  <c r="H54" i="28"/>
  <c r="AP54" i="28" s="1"/>
  <c r="G54" i="28"/>
  <c r="AI54" i="28" s="1"/>
  <c r="AT99" i="28"/>
  <c r="AE99" i="28"/>
  <c r="AD100" i="28" s="1"/>
  <c r="AZ131" i="28"/>
  <c r="C131" i="28"/>
  <c r="E132" i="28"/>
  <c r="F62" i="25"/>
  <c r="BA131" i="25"/>
  <c r="BB131" i="25"/>
  <c r="BC131" i="25"/>
  <c r="AR130" i="25"/>
  <c r="U130" i="25"/>
  <c r="V130" i="25"/>
  <c r="AA130" i="25"/>
  <c r="AB130" i="25"/>
  <c r="T93" i="15"/>
  <c r="S94" i="15" s="1"/>
  <c r="P57" i="25"/>
  <c r="N56" i="25"/>
  <c r="AP56" i="25" s="1"/>
  <c r="M56" i="25"/>
  <c r="AL56" i="25" s="1"/>
  <c r="AW48" i="15"/>
  <c r="AX48" i="15" s="1"/>
  <c r="AY48" i="15" s="1"/>
  <c r="AJ55" i="25"/>
  <c r="AK55" i="25" s="1"/>
  <c r="AW55" i="25" s="1"/>
  <c r="AX55" i="25" s="1"/>
  <c r="AY55" i="25" s="1"/>
  <c r="BD131" i="25"/>
  <c r="AZ131" i="25"/>
  <c r="C131" i="25"/>
  <c r="E132" i="25"/>
  <c r="F50" i="24"/>
  <c r="AI49" i="24"/>
  <c r="AJ49" i="24" s="1"/>
  <c r="AL49" i="24"/>
  <c r="AM49" i="24" s="1"/>
  <c r="C131" i="24"/>
  <c r="AZ131" i="24"/>
  <c r="E132" i="24"/>
  <c r="AT71" i="24"/>
  <c r="AQ130" i="24"/>
  <c r="AS130" i="24"/>
  <c r="AU130" i="24"/>
  <c r="G49" i="15"/>
  <c r="AR49" i="15" s="1"/>
  <c r="AQ132" i="15"/>
  <c r="AS132" i="15"/>
  <c r="AU132" i="15"/>
  <c r="P93" i="15"/>
  <c r="M94" i="15" s="1"/>
  <c r="N94" i="15" s="1"/>
  <c r="AV47" i="23"/>
  <c r="F49" i="23"/>
  <c r="AI48" i="23"/>
  <c r="AL48" i="23"/>
  <c r="AW53" i="28"/>
  <c r="AX53" i="28" s="1"/>
  <c r="AY53" i="28" s="1"/>
  <c r="O129" i="25"/>
  <c r="I129" i="25"/>
  <c r="AZ100" i="14"/>
  <c r="BC100" i="14" s="1"/>
  <c r="AG54" i="17"/>
  <c r="AF55" i="17" s="1"/>
  <c r="AR131" i="19"/>
  <c r="AD132" i="3"/>
  <c r="AI132" i="3" s="1"/>
  <c r="BE132" i="3" s="1"/>
  <c r="Y54" i="19"/>
  <c r="AC54" i="19" s="1"/>
  <c r="X55" i="19" s="1"/>
  <c r="Z54" i="19"/>
  <c r="AG53" i="19"/>
  <c r="AF54" i="19" s="1"/>
  <c r="Z54" i="17"/>
  <c r="F27" i="19"/>
  <c r="AQ26" i="19"/>
  <c r="AU26" i="19"/>
  <c r="AS26" i="19"/>
  <c r="F29" i="17"/>
  <c r="AU28" i="17"/>
  <c r="AQ28" i="17"/>
  <c r="T114" i="14"/>
  <c r="AL101" i="14"/>
  <c r="AM101" i="14" s="1"/>
  <c r="AN101" i="14" s="1"/>
  <c r="R93" i="15"/>
  <c r="Q94" i="15" s="1"/>
  <c r="AT94" i="15" s="1"/>
  <c r="T52" i="19"/>
  <c r="S52" i="19"/>
  <c r="W52" i="19" s="1"/>
  <c r="R53" i="19" s="1"/>
  <c r="AC54" i="17"/>
  <c r="X55" i="17" s="1"/>
  <c r="Z55" i="17" s="1"/>
  <c r="AO101" i="14"/>
  <c r="AP101" i="14"/>
  <c r="K101" i="14"/>
  <c r="AE51" i="19"/>
  <c r="AD52" i="19" s="1"/>
  <c r="AT51" i="19"/>
  <c r="AB132" i="17"/>
  <c r="O132" i="17"/>
  <c r="I132" i="17"/>
  <c r="V132" i="19"/>
  <c r="AA132" i="17"/>
  <c r="U132" i="17"/>
  <c r="AA132" i="19"/>
  <c r="U132" i="19"/>
  <c r="V132" i="17"/>
  <c r="AB132" i="19"/>
  <c r="O132" i="19"/>
  <c r="I132" i="19"/>
  <c r="W114" i="14"/>
  <c r="R115" i="14" s="1"/>
  <c r="T60" i="17"/>
  <c r="S60" i="17"/>
  <c r="W60" i="17" s="1"/>
  <c r="R61" i="17" s="1"/>
  <c r="AT115" i="14"/>
  <c r="P62" i="17"/>
  <c r="N61" i="17"/>
  <c r="M61" i="17"/>
  <c r="Q61" i="17" s="1"/>
  <c r="L62" i="17" s="1"/>
  <c r="AT59" i="17"/>
  <c r="AE59" i="17"/>
  <c r="AD60" i="17" s="1"/>
  <c r="N61" i="19"/>
  <c r="M61" i="19"/>
  <c r="Q61" i="19" s="1"/>
  <c r="L62" i="19" s="1"/>
  <c r="P62" i="19"/>
  <c r="AZ132" i="19"/>
  <c r="E133" i="19"/>
  <c r="C132" i="19"/>
  <c r="BD132" i="16"/>
  <c r="AZ132" i="16"/>
  <c r="E133" i="16"/>
  <c r="C132" i="16"/>
  <c r="AR131" i="16"/>
  <c r="J129" i="18"/>
  <c r="L129" i="18" s="1"/>
  <c r="I130" i="18" s="1"/>
  <c r="AS130" i="18"/>
  <c r="AU130" i="18"/>
  <c r="K130" i="18"/>
  <c r="O130" i="18"/>
  <c r="AQ130" i="18"/>
  <c r="AZ131" i="18"/>
  <c r="E132" i="18"/>
  <c r="C131" i="18"/>
  <c r="C131" i="17"/>
  <c r="E132" i="17"/>
  <c r="AZ131" i="17"/>
  <c r="H60" i="18"/>
  <c r="F61" i="18" s="1"/>
  <c r="G61" i="18" s="1"/>
  <c r="AZ133" i="15"/>
  <c r="C133" i="15"/>
  <c r="E134" i="15"/>
  <c r="R95" i="18"/>
  <c r="Q96" i="18" s="1"/>
  <c r="AT96" i="18" s="1"/>
  <c r="P96" i="18"/>
  <c r="M97" i="18" s="1"/>
  <c r="N97" i="18" s="1"/>
  <c r="T96" i="18"/>
  <c r="S97" i="18" s="1"/>
  <c r="L93" i="15"/>
  <c r="I94" i="15" s="1"/>
  <c r="J94" i="15" s="1"/>
  <c r="AW137" i="3"/>
  <c r="G136" i="3"/>
  <c r="AV135" i="3"/>
  <c r="AX135" i="3" s="1"/>
  <c r="V135" i="3"/>
  <c r="X135" i="3" s="1"/>
  <c r="AG134" i="3"/>
  <c r="AN138" i="3"/>
  <c r="A135" i="3"/>
  <c r="BI135" i="3" s="1"/>
  <c r="BJ135" i="3" s="1"/>
  <c r="AL134" i="3"/>
  <c r="BC133" i="3"/>
  <c r="AE134" i="3"/>
  <c r="BD133" i="3"/>
  <c r="AH134" i="3"/>
  <c r="AM134" i="3"/>
  <c r="H134" i="3"/>
  <c r="AF133" i="3"/>
  <c r="AD133" i="3" s="1"/>
  <c r="Y134" i="3"/>
  <c r="AC133" i="3"/>
  <c r="AQ137" i="3"/>
  <c r="AV123" i="23" l="1"/>
  <c r="AK134" i="23"/>
  <c r="AT95" i="25"/>
  <c r="AE95" i="25"/>
  <c r="AD96" i="25" s="1"/>
  <c r="T96" i="25"/>
  <c r="S96" i="25"/>
  <c r="W96" i="25" s="1"/>
  <c r="R97" i="25" s="1"/>
  <c r="AR132" i="19"/>
  <c r="AG74" i="28"/>
  <c r="AF75" i="28" s="1"/>
  <c r="O53" i="29"/>
  <c r="P54" i="29"/>
  <c r="M53" i="29"/>
  <c r="N53" i="29"/>
  <c r="AT73" i="29"/>
  <c r="AG72" i="29"/>
  <c r="AF73" i="29" s="1"/>
  <c r="AR137" i="3"/>
  <c r="BB135" i="3"/>
  <c r="P75" i="24"/>
  <c r="M76" i="24" s="1"/>
  <c r="K71" i="24"/>
  <c r="R71" i="24" s="1"/>
  <c r="Q72" i="24" s="1"/>
  <c r="AT72" i="24" s="1"/>
  <c r="J71" i="24"/>
  <c r="AC68" i="25"/>
  <c r="X69" i="25" s="1"/>
  <c r="AM135" i="3"/>
  <c r="AK133" i="3"/>
  <c r="BG133" i="3" s="1"/>
  <c r="AN135" i="20"/>
  <c r="P135" i="20"/>
  <c r="AQ135" i="20"/>
  <c r="AR135" i="20" s="1"/>
  <c r="O136" i="20"/>
  <c r="AJ132" i="3"/>
  <c r="BF132" i="3" s="1"/>
  <c r="O132" i="15"/>
  <c r="K132" i="15"/>
  <c r="T117" i="29"/>
  <c r="S117" i="29"/>
  <c r="W117" i="29" s="1"/>
  <c r="R118" i="29" s="1"/>
  <c r="U118" i="29" s="1"/>
  <c r="AO52" i="29"/>
  <c r="AJ52" i="29"/>
  <c r="AK52" i="29" s="1"/>
  <c r="K52" i="29"/>
  <c r="AZ131" i="29"/>
  <c r="C131" i="29"/>
  <c r="E132" i="29"/>
  <c r="AL52" i="29"/>
  <c r="AL51" i="26"/>
  <c r="AM51" i="26" s="1"/>
  <c r="AN51" i="26" s="1"/>
  <c r="T96" i="26"/>
  <c r="S97" i="26" s="1"/>
  <c r="G52" i="26"/>
  <c r="AR52" i="26" s="1"/>
  <c r="AI51" i="26"/>
  <c r="J126" i="26"/>
  <c r="L126" i="26" s="1"/>
  <c r="I127" i="26" s="1"/>
  <c r="K131" i="26"/>
  <c r="O131" i="26"/>
  <c r="AQ131" i="26"/>
  <c r="AU131" i="26"/>
  <c r="AS131" i="26"/>
  <c r="AT96" i="26"/>
  <c r="R96" i="26"/>
  <c r="Q97" i="26" s="1"/>
  <c r="N97" i="26"/>
  <c r="P97" i="26" s="1"/>
  <c r="M98" i="26" s="1"/>
  <c r="C132" i="26"/>
  <c r="AZ132" i="26"/>
  <c r="E133" i="26"/>
  <c r="T101" i="28"/>
  <c r="S101" i="28"/>
  <c r="W101" i="28" s="1"/>
  <c r="R102" i="28" s="1"/>
  <c r="V102" i="28" s="1"/>
  <c r="AO54" i="28"/>
  <c r="AL54" i="28"/>
  <c r="AT100" i="28"/>
  <c r="AE100" i="28"/>
  <c r="AD101" i="28" s="1"/>
  <c r="X75" i="28"/>
  <c r="AB75" i="28" s="1"/>
  <c r="AJ54" i="28"/>
  <c r="AK54" i="28" s="1"/>
  <c r="AZ132" i="28"/>
  <c r="C132" i="28"/>
  <c r="E133" i="28"/>
  <c r="G62" i="25"/>
  <c r="K62" i="25" s="1"/>
  <c r="J63" i="25"/>
  <c r="H62" i="25"/>
  <c r="AO56" i="25"/>
  <c r="AR131" i="25"/>
  <c r="U131" i="25"/>
  <c r="V131" i="25"/>
  <c r="AA131" i="25"/>
  <c r="AB131" i="25"/>
  <c r="BA132" i="25"/>
  <c r="BB132" i="25"/>
  <c r="BC132" i="25"/>
  <c r="AN49" i="24"/>
  <c r="C132" i="25"/>
  <c r="AZ132" i="25"/>
  <c r="BD132" i="25"/>
  <c r="E133" i="25"/>
  <c r="AM56" i="25"/>
  <c r="AN56" i="25" s="1"/>
  <c r="Q56" i="25"/>
  <c r="AQ131" i="24"/>
  <c r="AS131" i="24"/>
  <c r="AU131" i="24"/>
  <c r="C132" i="24"/>
  <c r="AZ132" i="24"/>
  <c r="E133" i="24"/>
  <c r="AK49" i="24"/>
  <c r="G50" i="24"/>
  <c r="AR50" i="24" s="1"/>
  <c r="AS133" i="15"/>
  <c r="AU133" i="15"/>
  <c r="K133" i="15"/>
  <c r="O133" i="15"/>
  <c r="AQ133" i="15"/>
  <c r="H49" i="15"/>
  <c r="P94" i="15"/>
  <c r="M95" i="15" s="1"/>
  <c r="N95" i="15" s="1"/>
  <c r="BG47" i="23"/>
  <c r="AZ47" i="23"/>
  <c r="BC47" i="23" s="1"/>
  <c r="G49" i="23"/>
  <c r="AR49" i="23" s="1"/>
  <c r="AJ48" i="23"/>
  <c r="AM48" i="23"/>
  <c r="K54" i="28"/>
  <c r="AC72" i="29"/>
  <c r="X73" i="29" s="1"/>
  <c r="O130" i="25"/>
  <c r="I130" i="25"/>
  <c r="AJ133" i="3"/>
  <c r="BF133" i="3" s="1"/>
  <c r="AW26" i="19"/>
  <c r="AX26" i="19" s="1"/>
  <c r="AY26" i="19" s="1"/>
  <c r="AW28" i="17"/>
  <c r="AX28" i="17" s="1"/>
  <c r="AY28" i="17" s="1"/>
  <c r="AG54" i="19"/>
  <c r="AF55" i="19" s="1"/>
  <c r="Z55" i="19"/>
  <c r="Y55" i="19"/>
  <c r="Y55" i="17"/>
  <c r="AC55" i="17" s="1"/>
  <c r="X56" i="17" s="1"/>
  <c r="Z56" i="17" s="1"/>
  <c r="G29" i="17"/>
  <c r="AI29" i="17" s="1"/>
  <c r="AJ29" i="17" s="1"/>
  <c r="AK29" i="17" s="1"/>
  <c r="J30" i="17"/>
  <c r="H29" i="17"/>
  <c r="G27" i="19"/>
  <c r="AL27" i="19" s="1"/>
  <c r="AM27" i="19" s="1"/>
  <c r="AN27" i="19" s="1"/>
  <c r="H27" i="19"/>
  <c r="J28" i="19"/>
  <c r="F102" i="14"/>
  <c r="AU101" i="14"/>
  <c r="AS101" i="14"/>
  <c r="AQ101" i="14"/>
  <c r="T53" i="19"/>
  <c r="S53" i="19"/>
  <c r="W53" i="19" s="1"/>
  <c r="R54" i="19" s="1"/>
  <c r="AE52" i="19"/>
  <c r="AD53" i="19" s="1"/>
  <c r="AT52" i="19"/>
  <c r="P63" i="17"/>
  <c r="M62" i="17"/>
  <c r="Q62" i="17" s="1"/>
  <c r="L63" i="17" s="1"/>
  <c r="N62" i="17"/>
  <c r="T61" i="17"/>
  <c r="S61" i="17"/>
  <c r="W61" i="17" s="1"/>
  <c r="R62" i="17" s="1"/>
  <c r="T115" i="14"/>
  <c r="S115" i="14"/>
  <c r="V133" i="17"/>
  <c r="AB133" i="17"/>
  <c r="I133" i="17"/>
  <c r="AA133" i="19"/>
  <c r="I133" i="19"/>
  <c r="AA133" i="17"/>
  <c r="U133" i="19"/>
  <c r="U133" i="17"/>
  <c r="O133" i="19"/>
  <c r="V133" i="19"/>
  <c r="O133" i="17"/>
  <c r="AB133" i="19"/>
  <c r="AT60" i="17"/>
  <c r="AE60" i="17"/>
  <c r="AD61" i="17" s="1"/>
  <c r="P63" i="19"/>
  <c r="M62" i="19"/>
  <c r="Q62" i="19" s="1"/>
  <c r="L63" i="19" s="1"/>
  <c r="N62" i="19"/>
  <c r="E134" i="19"/>
  <c r="C133" i="19"/>
  <c r="AZ133" i="19"/>
  <c r="C133" i="16"/>
  <c r="E134" i="16"/>
  <c r="AZ133" i="16"/>
  <c r="BD133" i="16"/>
  <c r="AR132" i="16"/>
  <c r="J130" i="18"/>
  <c r="L130" i="18" s="1"/>
  <c r="I131" i="18" s="1"/>
  <c r="AZ132" i="18"/>
  <c r="E133" i="18"/>
  <c r="C132" i="18"/>
  <c r="AQ131" i="18"/>
  <c r="O131" i="18"/>
  <c r="AS131" i="18"/>
  <c r="AU131" i="18"/>
  <c r="K131" i="18"/>
  <c r="AZ132" i="17"/>
  <c r="C132" i="17"/>
  <c r="E133" i="17"/>
  <c r="AR61" i="18"/>
  <c r="H61" i="18"/>
  <c r="AI61" i="18" s="1"/>
  <c r="AJ61" i="18" s="1"/>
  <c r="AK61" i="18" s="1"/>
  <c r="AI60" i="18"/>
  <c r="AJ60" i="18" s="1"/>
  <c r="AK60" i="18" s="1"/>
  <c r="AL60" i="18"/>
  <c r="AM60" i="18" s="1"/>
  <c r="AN60" i="18" s="1"/>
  <c r="E135" i="15"/>
  <c r="C134" i="15"/>
  <c r="AZ134" i="15"/>
  <c r="T97" i="18"/>
  <c r="S98" i="18" s="1"/>
  <c r="R96" i="18"/>
  <c r="Q97" i="18" s="1"/>
  <c r="AT97" i="18" s="1"/>
  <c r="P97" i="18"/>
  <c r="M98" i="18" s="1"/>
  <c r="N98" i="18" s="1"/>
  <c r="AI133" i="3"/>
  <c r="BE133" i="3" s="1"/>
  <c r="AG135" i="3"/>
  <c r="Y135" i="3"/>
  <c r="AC134" i="3"/>
  <c r="AH135" i="3"/>
  <c r="BD134" i="3"/>
  <c r="AE135" i="3"/>
  <c r="BC134" i="3"/>
  <c r="A136" i="3"/>
  <c r="BI136" i="3" s="1"/>
  <c r="BJ136" i="3" s="1"/>
  <c r="AN139" i="3"/>
  <c r="AW138" i="3"/>
  <c r="AQ138" i="3"/>
  <c r="H135" i="3"/>
  <c r="AF134" i="3"/>
  <c r="AD134" i="3" s="1"/>
  <c r="AL135" i="3"/>
  <c r="AV136" i="3"/>
  <c r="AX136" i="3" s="1"/>
  <c r="G137" i="3"/>
  <c r="V136" i="3"/>
  <c r="X136" i="3" s="1"/>
  <c r="P138" i="3"/>
  <c r="P139" i="3" s="1"/>
  <c r="AT96" i="25" l="1"/>
  <c r="AE96" i="25"/>
  <c r="AD97" i="25" s="1"/>
  <c r="S97" i="25"/>
  <c r="W97" i="25" s="1"/>
  <c r="R98" i="25" s="1"/>
  <c r="T97" i="25"/>
  <c r="BG123" i="23"/>
  <c r="AZ123" i="23"/>
  <c r="AV134" i="23"/>
  <c r="Z73" i="29"/>
  <c r="AA73" i="29"/>
  <c r="AE73" i="29" s="1"/>
  <c r="AD74" i="29" s="1"/>
  <c r="AR138" i="3"/>
  <c r="BB136" i="3"/>
  <c r="AL136" i="3"/>
  <c r="L71" i="24"/>
  <c r="I72" i="24" s="1"/>
  <c r="O76" i="24"/>
  <c r="N76" i="24"/>
  <c r="Y69" i="25"/>
  <c r="AG69" i="25" s="1"/>
  <c r="AF70" i="25" s="1"/>
  <c r="Z69" i="25"/>
  <c r="T71" i="24"/>
  <c r="S72" i="24" s="1"/>
  <c r="AN136" i="20"/>
  <c r="AM136" i="3"/>
  <c r="P136" i="20"/>
  <c r="AQ136" i="20"/>
  <c r="AR136" i="20" s="1"/>
  <c r="O137" i="20"/>
  <c r="AK134" i="3"/>
  <c r="BG134" i="3" s="1"/>
  <c r="T118" i="29"/>
  <c r="S118" i="29"/>
  <c r="W118" i="29" s="1"/>
  <c r="R119" i="29" s="1"/>
  <c r="U119" i="29" s="1"/>
  <c r="C132" i="29"/>
  <c r="AZ132" i="29"/>
  <c r="E133" i="29"/>
  <c r="AM52" i="29"/>
  <c r="AN52" i="29" s="1"/>
  <c r="F53" i="29"/>
  <c r="I53" i="29" s="1"/>
  <c r="AR53" i="29" s="1"/>
  <c r="AU52" i="29"/>
  <c r="AS52" i="29"/>
  <c r="AQ52" i="29"/>
  <c r="T97" i="26"/>
  <c r="S98" i="26" s="1"/>
  <c r="Y73" i="29"/>
  <c r="H52" i="26"/>
  <c r="AW49" i="24"/>
  <c r="AX49" i="24" s="1"/>
  <c r="AY49" i="24" s="1"/>
  <c r="AJ51" i="26"/>
  <c r="AK51" i="26" s="1"/>
  <c r="AW51" i="26" s="1"/>
  <c r="AX51" i="26" s="1"/>
  <c r="AY51" i="26" s="1"/>
  <c r="N98" i="26"/>
  <c r="P98" i="26" s="1"/>
  <c r="M99" i="26" s="1"/>
  <c r="J127" i="26"/>
  <c r="L127" i="26" s="1"/>
  <c r="I128" i="26" s="1"/>
  <c r="AT97" i="26"/>
  <c r="R97" i="26"/>
  <c r="Q98" i="26" s="1"/>
  <c r="O132" i="26"/>
  <c r="AQ132" i="26"/>
  <c r="AS132" i="26"/>
  <c r="AU132" i="26"/>
  <c r="K132" i="26"/>
  <c r="AZ133" i="26"/>
  <c r="C133" i="26"/>
  <c r="E134" i="26"/>
  <c r="T102" i="28"/>
  <c r="S102" i="28"/>
  <c r="W102" i="28" s="1"/>
  <c r="R103" i="28" s="1"/>
  <c r="V103" i="28" s="1"/>
  <c r="AQ54" i="28"/>
  <c r="AS54" i="28"/>
  <c r="AU54" i="28"/>
  <c r="Z75" i="28"/>
  <c r="Y75" i="28"/>
  <c r="AC75" i="28" s="1"/>
  <c r="X76" i="28" s="1"/>
  <c r="AB76" i="28" s="1"/>
  <c r="AT101" i="28"/>
  <c r="AE101" i="28"/>
  <c r="AD102" i="28" s="1"/>
  <c r="F55" i="28"/>
  <c r="I55" i="28" s="1"/>
  <c r="Q55" i="28" s="1"/>
  <c r="L56" i="28" s="1"/>
  <c r="AM54" i="28"/>
  <c r="AN54" i="28" s="1"/>
  <c r="C133" i="28"/>
  <c r="AZ133" i="28"/>
  <c r="E134" i="28"/>
  <c r="F63" i="25"/>
  <c r="BA133" i="25"/>
  <c r="BB133" i="25"/>
  <c r="BC133" i="25"/>
  <c r="AQ56" i="25"/>
  <c r="AU56" i="25"/>
  <c r="AS56" i="25"/>
  <c r="AI56" i="25"/>
  <c r="AR132" i="25"/>
  <c r="U132" i="25"/>
  <c r="V132" i="25"/>
  <c r="AA132" i="25"/>
  <c r="AB132" i="25"/>
  <c r="L57" i="25"/>
  <c r="AZ133" i="25"/>
  <c r="BD133" i="25"/>
  <c r="C133" i="25"/>
  <c r="E134" i="25"/>
  <c r="AQ132" i="24"/>
  <c r="AS132" i="24"/>
  <c r="AU132" i="24"/>
  <c r="AZ133" i="24"/>
  <c r="C133" i="24"/>
  <c r="E134" i="24"/>
  <c r="H50" i="24"/>
  <c r="K134" i="15"/>
  <c r="O134" i="15"/>
  <c r="AQ134" i="15"/>
  <c r="AS134" i="15"/>
  <c r="AU134" i="15"/>
  <c r="F50" i="15"/>
  <c r="AI49" i="15"/>
  <c r="AJ49" i="15" s="1"/>
  <c r="AK49" i="15" s="1"/>
  <c r="AL49" i="15"/>
  <c r="AM49" i="15" s="1"/>
  <c r="AN49" i="15" s="1"/>
  <c r="P95" i="15"/>
  <c r="M96" i="15" s="1"/>
  <c r="N96" i="15" s="1"/>
  <c r="H49" i="23"/>
  <c r="AK48" i="23"/>
  <c r="AN48" i="23"/>
  <c r="O131" i="25"/>
  <c r="I131" i="25"/>
  <c r="AJ134" i="3"/>
  <c r="BF134" i="3" s="1"/>
  <c r="AV101" i="14"/>
  <c r="AI27" i="19"/>
  <c r="AJ27" i="19" s="1"/>
  <c r="AK27" i="19" s="1"/>
  <c r="Y56" i="17"/>
  <c r="AC56" i="17" s="1"/>
  <c r="X57" i="17" s="1"/>
  <c r="Z57" i="17" s="1"/>
  <c r="AG55" i="19"/>
  <c r="AF56" i="19" s="1"/>
  <c r="AC55" i="19"/>
  <c r="X56" i="19" s="1"/>
  <c r="AG55" i="17"/>
  <c r="AF56" i="17" s="1"/>
  <c r="K27" i="19"/>
  <c r="AQ27" i="19" s="1"/>
  <c r="AP27" i="19"/>
  <c r="AO27" i="19"/>
  <c r="AO29" i="17"/>
  <c r="AP29" i="17"/>
  <c r="K29" i="17"/>
  <c r="AL29" i="17"/>
  <c r="AM29" i="17" s="1"/>
  <c r="AN29" i="17" s="1"/>
  <c r="AT53" i="19"/>
  <c r="AE53" i="19"/>
  <c r="AD54" i="19" s="1"/>
  <c r="T54" i="19"/>
  <c r="S54" i="19"/>
  <c r="W54" i="19" s="1"/>
  <c r="R55" i="19" s="1"/>
  <c r="H102" i="14"/>
  <c r="J103" i="14"/>
  <c r="G102" i="14"/>
  <c r="K102" i="14" s="1"/>
  <c r="F103" i="14" s="1"/>
  <c r="M63" i="17"/>
  <c r="Q63" i="17" s="1"/>
  <c r="L64" i="17" s="1"/>
  <c r="P64" i="17"/>
  <c r="N63" i="17"/>
  <c r="V134" i="17"/>
  <c r="O134" i="17"/>
  <c r="AB134" i="17"/>
  <c r="AB134" i="19"/>
  <c r="O134" i="19"/>
  <c r="AA134" i="17"/>
  <c r="I134" i="17"/>
  <c r="I134" i="19"/>
  <c r="AA134" i="19"/>
  <c r="U134" i="17"/>
  <c r="U134" i="19"/>
  <c r="V134" i="19"/>
  <c r="AT61" i="17"/>
  <c r="AE61" i="17"/>
  <c r="AD62" i="17" s="1"/>
  <c r="T62" i="17"/>
  <c r="S62" i="17"/>
  <c r="W62" i="17" s="1"/>
  <c r="R63" i="17" s="1"/>
  <c r="AR133" i="19"/>
  <c r="N63" i="19"/>
  <c r="M63" i="19"/>
  <c r="Q63" i="19" s="1"/>
  <c r="L64" i="19" s="1"/>
  <c r="P64" i="19"/>
  <c r="W115" i="14"/>
  <c r="R116" i="14" s="1"/>
  <c r="AE115" i="14"/>
  <c r="AD116" i="14" s="1"/>
  <c r="E135" i="19"/>
  <c r="AZ134" i="19"/>
  <c r="C134" i="19"/>
  <c r="AZ134" i="16"/>
  <c r="BD134" i="16"/>
  <c r="E135" i="16"/>
  <c r="C134" i="16"/>
  <c r="AR133" i="16"/>
  <c r="J131" i="18"/>
  <c r="L131" i="18" s="1"/>
  <c r="I132" i="18" s="1"/>
  <c r="J132" i="18" s="1"/>
  <c r="C133" i="17"/>
  <c r="AZ133" i="17"/>
  <c r="E134" i="17"/>
  <c r="AS132" i="18"/>
  <c r="K132" i="18"/>
  <c r="O132" i="18"/>
  <c r="AQ132" i="18"/>
  <c r="AU132" i="18"/>
  <c r="AZ133" i="18"/>
  <c r="E134" i="18"/>
  <c r="C133" i="18"/>
  <c r="AW60" i="18"/>
  <c r="AX60" i="18" s="1"/>
  <c r="AY60" i="18" s="1"/>
  <c r="F62" i="18"/>
  <c r="G62" i="18" s="1"/>
  <c r="AR62" i="18" s="1"/>
  <c r="AL61" i="18"/>
  <c r="AM61" i="18" s="1"/>
  <c r="AN61" i="18" s="1"/>
  <c r="AW61" i="18" s="1"/>
  <c r="AX61" i="18" s="1"/>
  <c r="AY61" i="18" s="1"/>
  <c r="AZ135" i="15"/>
  <c r="C135" i="15"/>
  <c r="E136" i="15"/>
  <c r="P98" i="18"/>
  <c r="M99" i="18" s="1"/>
  <c r="N99" i="18" s="1"/>
  <c r="R97" i="18"/>
  <c r="Q98" i="18" s="1"/>
  <c r="AT98" i="18" s="1"/>
  <c r="R94" i="15"/>
  <c r="Q95" i="15" s="1"/>
  <c r="AT95" i="15" s="1"/>
  <c r="T94" i="15"/>
  <c r="S95" i="15" s="1"/>
  <c r="L94" i="15"/>
  <c r="I95" i="15" s="1"/>
  <c r="J95" i="15" s="1"/>
  <c r="G138" i="3"/>
  <c r="AV137" i="3"/>
  <c r="AX137" i="3" s="1"/>
  <c r="V137" i="3"/>
  <c r="X137" i="3" s="1"/>
  <c r="H136" i="3"/>
  <c r="AF135" i="3"/>
  <c r="AD135" i="3" s="1"/>
  <c r="BD135" i="3"/>
  <c r="AH136" i="3"/>
  <c r="AI134" i="3"/>
  <c r="BE134" i="3" s="1"/>
  <c r="P140" i="3"/>
  <c r="AQ139" i="3"/>
  <c r="A137" i="3"/>
  <c r="BI137" i="3" s="1"/>
  <c r="BJ137" i="3" s="1"/>
  <c r="AE136" i="3"/>
  <c r="BC135" i="3"/>
  <c r="Y136" i="3"/>
  <c r="AC135" i="3"/>
  <c r="AG136" i="3"/>
  <c r="AW139" i="3"/>
  <c r="Q53" i="29" l="1"/>
  <c r="L54" i="29" s="1"/>
  <c r="N54" i="29" s="1"/>
  <c r="AE97" i="25"/>
  <c r="AD98" i="25" s="1"/>
  <c r="AT97" i="25"/>
  <c r="S98" i="25"/>
  <c r="W98" i="25" s="1"/>
  <c r="R99" i="25" s="1"/>
  <c r="T98" i="25"/>
  <c r="BC123" i="23"/>
  <c r="BC134" i="23" s="1"/>
  <c r="AZ134" i="23"/>
  <c r="AG73" i="29"/>
  <c r="AF74" i="29" s="1"/>
  <c r="AT74" i="29"/>
  <c r="O56" i="28"/>
  <c r="M56" i="28"/>
  <c r="N56" i="28"/>
  <c r="P57" i="28"/>
  <c r="O54" i="29"/>
  <c r="AR139" i="3"/>
  <c r="BB137" i="3"/>
  <c r="P76" i="24"/>
  <c r="M77" i="24" s="1"/>
  <c r="AC69" i="25"/>
  <c r="X70" i="25" s="1"/>
  <c r="K72" i="24"/>
  <c r="R72" i="24" s="1"/>
  <c r="Q73" i="24" s="1"/>
  <c r="J72" i="24"/>
  <c r="AR134" i="19"/>
  <c r="AQ137" i="20"/>
  <c r="AR137" i="20" s="1"/>
  <c r="O138" i="20"/>
  <c r="P137" i="20"/>
  <c r="AK135" i="3"/>
  <c r="BG135" i="3" s="1"/>
  <c r="AN137" i="20"/>
  <c r="AJ135" i="3"/>
  <c r="BF135" i="3" s="1"/>
  <c r="AW52" i="29"/>
  <c r="AX52" i="29" s="1"/>
  <c r="AY52" i="29" s="1"/>
  <c r="T119" i="29"/>
  <c r="S119" i="29"/>
  <c r="W119" i="29" s="1"/>
  <c r="R120" i="29" s="1"/>
  <c r="U120" i="29" s="1"/>
  <c r="AZ133" i="29"/>
  <c r="C133" i="29"/>
  <c r="E134" i="29"/>
  <c r="H53" i="29"/>
  <c r="AP53" i="29" s="1"/>
  <c r="J54" i="29"/>
  <c r="G53" i="29"/>
  <c r="AL53" i="29" s="1"/>
  <c r="F53" i="26"/>
  <c r="AL52" i="26"/>
  <c r="AM52" i="26" s="1"/>
  <c r="AN52" i="26" s="1"/>
  <c r="AI52" i="26"/>
  <c r="T98" i="26"/>
  <c r="S99" i="26" s="1"/>
  <c r="N99" i="26"/>
  <c r="AT98" i="26"/>
  <c r="R98" i="26"/>
  <c r="Q99" i="26" s="1"/>
  <c r="J128" i="26"/>
  <c r="L128" i="26" s="1"/>
  <c r="I129" i="26" s="1"/>
  <c r="AS133" i="26"/>
  <c r="AU133" i="26"/>
  <c r="AQ133" i="26"/>
  <c r="K133" i="26"/>
  <c r="O133" i="26"/>
  <c r="C134" i="26"/>
  <c r="AZ134" i="26"/>
  <c r="E135" i="26"/>
  <c r="AG75" i="28"/>
  <c r="AF76" i="28" s="1"/>
  <c r="T103" i="28"/>
  <c r="S103" i="28"/>
  <c r="W103" i="28" s="1"/>
  <c r="R104" i="28" s="1"/>
  <c r="V104" i="28" s="1"/>
  <c r="H55" i="28"/>
  <c r="AP55" i="28" s="1"/>
  <c r="J56" i="28"/>
  <c r="G55" i="28"/>
  <c r="AI55" i="28" s="1"/>
  <c r="Z76" i="28"/>
  <c r="Y76" i="28"/>
  <c r="AC76" i="28" s="1"/>
  <c r="X77" i="28" s="1"/>
  <c r="AB77" i="28" s="1"/>
  <c r="AT102" i="28"/>
  <c r="AE102" i="28"/>
  <c r="AD103" i="28" s="1"/>
  <c r="AZ134" i="28"/>
  <c r="C134" i="28"/>
  <c r="E135" i="28"/>
  <c r="G63" i="25"/>
  <c r="K63" i="25" s="1"/>
  <c r="H63" i="25"/>
  <c r="J64" i="25"/>
  <c r="BA134" i="25"/>
  <c r="BB134" i="25"/>
  <c r="BC134" i="25"/>
  <c r="AR133" i="25"/>
  <c r="U133" i="25"/>
  <c r="V133" i="25"/>
  <c r="AB133" i="25"/>
  <c r="AA133" i="25"/>
  <c r="P58" i="25"/>
  <c r="N57" i="25"/>
  <c r="AP57" i="25" s="1"/>
  <c r="M57" i="25"/>
  <c r="AL57" i="25" s="1"/>
  <c r="AJ56" i="25"/>
  <c r="AK56" i="25" s="1"/>
  <c r="AW56" i="25" s="1"/>
  <c r="AX56" i="25" s="1"/>
  <c r="AY56" i="25" s="1"/>
  <c r="C134" i="25"/>
  <c r="AZ134" i="25"/>
  <c r="BD134" i="25"/>
  <c r="E135" i="25"/>
  <c r="C134" i="24"/>
  <c r="AZ134" i="24"/>
  <c r="E135" i="24"/>
  <c r="F51" i="24"/>
  <c r="AI50" i="24"/>
  <c r="AJ50" i="24" s="1"/>
  <c r="AL50" i="24"/>
  <c r="AM50" i="24" s="1"/>
  <c r="AQ133" i="24"/>
  <c r="AS133" i="24"/>
  <c r="AU133" i="24"/>
  <c r="AW49" i="15"/>
  <c r="AX49" i="15" s="1"/>
  <c r="AY49" i="15" s="1"/>
  <c r="K135" i="15"/>
  <c r="O135" i="15"/>
  <c r="AQ135" i="15"/>
  <c r="AS135" i="15"/>
  <c r="AU135" i="15"/>
  <c r="G50" i="15"/>
  <c r="AR50" i="15" s="1"/>
  <c r="P96" i="15"/>
  <c r="M97" i="15" s="1"/>
  <c r="N97" i="15" s="1"/>
  <c r="AV48" i="23"/>
  <c r="F50" i="23"/>
  <c r="AI49" i="23"/>
  <c r="AL49" i="23"/>
  <c r="AW54" i="28"/>
  <c r="AX54" i="28" s="1"/>
  <c r="AY54" i="28" s="1"/>
  <c r="AC73" i="29"/>
  <c r="X74" i="29" s="1"/>
  <c r="O132" i="25"/>
  <c r="I132" i="25"/>
  <c r="Y57" i="17"/>
  <c r="AC57" i="17" s="1"/>
  <c r="X58" i="17" s="1"/>
  <c r="Z58" i="17" s="1"/>
  <c r="BG101" i="14"/>
  <c r="AZ101" i="14"/>
  <c r="Z56" i="19"/>
  <c r="Y56" i="19"/>
  <c r="AC56" i="19" s="1"/>
  <c r="X57" i="19" s="1"/>
  <c r="AG56" i="17"/>
  <c r="AF57" i="17" s="1"/>
  <c r="AU27" i="19"/>
  <c r="F28" i="19"/>
  <c r="AS27" i="19"/>
  <c r="F30" i="17"/>
  <c r="AU29" i="17"/>
  <c r="AQ29" i="17"/>
  <c r="AS29" i="17"/>
  <c r="AI102" i="14"/>
  <c r="AJ102" i="14" s="1"/>
  <c r="AK102" i="14" s="1"/>
  <c r="AS102" i="14"/>
  <c r="AU102" i="14"/>
  <c r="H103" i="14"/>
  <c r="G103" i="14"/>
  <c r="AI103" i="14" s="1"/>
  <c r="AJ103" i="14" s="1"/>
  <c r="AK103" i="14" s="1"/>
  <c r="J104" i="14"/>
  <c r="AO102" i="14"/>
  <c r="AP102" i="14"/>
  <c r="AL102" i="14"/>
  <c r="AM102" i="14" s="1"/>
  <c r="AN102" i="14" s="1"/>
  <c r="AQ102" i="14"/>
  <c r="T55" i="19"/>
  <c r="S55" i="19"/>
  <c r="W55" i="19" s="1"/>
  <c r="R56" i="19" s="1"/>
  <c r="AT54" i="19"/>
  <c r="AE54" i="19"/>
  <c r="AD55" i="19" s="1"/>
  <c r="AT62" i="17"/>
  <c r="AE62" i="17"/>
  <c r="AD63" i="17" s="1"/>
  <c r="S63" i="17"/>
  <c r="W63" i="17" s="1"/>
  <c r="R64" i="17" s="1"/>
  <c r="T63" i="17"/>
  <c r="AB135" i="17"/>
  <c r="O135" i="17"/>
  <c r="I135" i="17"/>
  <c r="U135" i="19"/>
  <c r="AA135" i="17"/>
  <c r="AA135" i="19"/>
  <c r="V135" i="17"/>
  <c r="V135" i="19"/>
  <c r="I135" i="19"/>
  <c r="AB135" i="19"/>
  <c r="U135" i="17"/>
  <c r="O135" i="19"/>
  <c r="T95" i="15"/>
  <c r="S96" i="15" s="1"/>
  <c r="AT116" i="14"/>
  <c r="M64" i="17"/>
  <c r="Q64" i="17" s="1"/>
  <c r="L65" i="17" s="1"/>
  <c r="N64" i="17"/>
  <c r="P65" i="17"/>
  <c r="S116" i="14"/>
  <c r="W116" i="14" s="1"/>
  <c r="R117" i="14" s="1"/>
  <c r="T116" i="14"/>
  <c r="M64" i="19"/>
  <c r="Q64" i="19" s="1"/>
  <c r="L65" i="19" s="1"/>
  <c r="P65" i="19"/>
  <c r="N64" i="19"/>
  <c r="AZ135" i="19"/>
  <c r="C135" i="19"/>
  <c r="E136" i="19"/>
  <c r="L132" i="18"/>
  <c r="I133" i="18" s="1"/>
  <c r="J133" i="18" s="1"/>
  <c r="AR134" i="16"/>
  <c r="C135" i="16"/>
  <c r="E136" i="16"/>
  <c r="AZ135" i="16"/>
  <c r="BD135" i="16"/>
  <c r="AS133" i="18"/>
  <c r="AQ133" i="18"/>
  <c r="O133" i="18"/>
  <c r="AU133" i="18"/>
  <c r="K133" i="18"/>
  <c r="E135" i="17"/>
  <c r="C134" i="17"/>
  <c r="AZ134" i="17"/>
  <c r="E135" i="18"/>
  <c r="C134" i="18"/>
  <c r="AZ134" i="18"/>
  <c r="H62" i="18"/>
  <c r="AI62" i="18" s="1"/>
  <c r="C136" i="15"/>
  <c r="E137" i="15"/>
  <c r="AZ136" i="15"/>
  <c r="P99" i="18"/>
  <c r="M100" i="18" s="1"/>
  <c r="N100" i="18" s="1"/>
  <c r="R98" i="18"/>
  <c r="Q99" i="18" s="1"/>
  <c r="AT99" i="18" s="1"/>
  <c r="T98" i="18"/>
  <c r="A138" i="3"/>
  <c r="BI138" i="3" s="1"/>
  <c r="BJ138" i="3" s="1"/>
  <c r="H137" i="3"/>
  <c r="AF136" i="3"/>
  <c r="AD136" i="3" s="1"/>
  <c r="AG137" i="3"/>
  <c r="AH137" i="3"/>
  <c r="BD136" i="3"/>
  <c r="AW140" i="3"/>
  <c r="AI135" i="3"/>
  <c r="BE135" i="3" s="1"/>
  <c r="AE137" i="3"/>
  <c r="BC136" i="3"/>
  <c r="AQ140" i="3"/>
  <c r="AM137" i="3"/>
  <c r="Y137" i="3"/>
  <c r="AC136" i="3"/>
  <c r="AL137" i="3"/>
  <c r="AN140" i="3"/>
  <c r="AN141" i="3" s="1"/>
  <c r="AV138" i="3"/>
  <c r="AX138" i="3" s="1"/>
  <c r="G139" i="3"/>
  <c r="V138" i="3"/>
  <c r="X138" i="3" s="1"/>
  <c r="P55" i="29" l="1"/>
  <c r="M54" i="29"/>
  <c r="T99" i="25"/>
  <c r="S99" i="25"/>
  <c r="W99" i="25" s="1"/>
  <c r="R100" i="25" s="1"/>
  <c r="BF73" i="23"/>
  <c r="BF74" i="23"/>
  <c r="BG74" i="23" s="1"/>
  <c r="AT98" i="25"/>
  <c r="AE98" i="25"/>
  <c r="AD99" i="25" s="1"/>
  <c r="Z74" i="29"/>
  <c r="AA74" i="29"/>
  <c r="AE74" i="29" s="1"/>
  <c r="AD75" i="29" s="1"/>
  <c r="AR140" i="3"/>
  <c r="BB138" i="3"/>
  <c r="L72" i="24"/>
  <c r="I73" i="24" s="1"/>
  <c r="Z70" i="25"/>
  <c r="Y70" i="25"/>
  <c r="AG70" i="25" s="1"/>
  <c r="AF71" i="25" s="1"/>
  <c r="O77" i="24"/>
  <c r="N77" i="24"/>
  <c r="T72" i="24"/>
  <c r="S73" i="24" s="1"/>
  <c r="AR135" i="19"/>
  <c r="AJ136" i="3"/>
  <c r="BF136" i="3" s="1"/>
  <c r="AQ138" i="20"/>
  <c r="AR138" i="20" s="1"/>
  <c r="O139" i="20"/>
  <c r="P138" i="20"/>
  <c r="AN138" i="20"/>
  <c r="AK136" i="3"/>
  <c r="BG136" i="3" s="1"/>
  <c r="AI53" i="29"/>
  <c r="AJ53" i="29" s="1"/>
  <c r="AK53" i="29" s="1"/>
  <c r="K53" i="29"/>
  <c r="F54" i="29" s="1"/>
  <c r="T120" i="29"/>
  <c r="S120" i="29"/>
  <c r="W120" i="29" s="1"/>
  <c r="R121" i="29" s="1"/>
  <c r="U121" i="29" s="1"/>
  <c r="C134" i="29"/>
  <c r="AZ134" i="29"/>
  <c r="E135" i="29"/>
  <c r="AO53" i="29"/>
  <c r="AM53" i="29"/>
  <c r="AN53" i="29" s="1"/>
  <c r="Y74" i="29"/>
  <c r="G53" i="26"/>
  <c r="AR53" i="26" s="1"/>
  <c r="AJ52" i="26"/>
  <c r="AK52" i="26" s="1"/>
  <c r="AW52" i="26" s="1"/>
  <c r="AX52" i="26" s="1"/>
  <c r="AY52" i="26" s="1"/>
  <c r="T99" i="26"/>
  <c r="S100" i="26" s="1"/>
  <c r="J129" i="26"/>
  <c r="L129" i="26" s="1"/>
  <c r="I130" i="26" s="1"/>
  <c r="P99" i="26"/>
  <c r="M100" i="26" s="1"/>
  <c r="O134" i="26"/>
  <c r="K134" i="26"/>
  <c r="AS134" i="26"/>
  <c r="AU134" i="26"/>
  <c r="AQ134" i="26"/>
  <c r="AT99" i="26"/>
  <c r="R99" i="26"/>
  <c r="Q100" i="26" s="1"/>
  <c r="C135" i="26"/>
  <c r="AZ135" i="26"/>
  <c r="E136" i="26"/>
  <c r="AG76" i="28"/>
  <c r="AF77" i="28" s="1"/>
  <c r="T104" i="28"/>
  <c r="S104" i="28"/>
  <c r="W104" i="28" s="1"/>
  <c r="R105" i="28" s="1"/>
  <c r="V105" i="28" s="1"/>
  <c r="AT103" i="28"/>
  <c r="AE103" i="28"/>
  <c r="AD104" i="28" s="1"/>
  <c r="AO55" i="28"/>
  <c r="AL55" i="28"/>
  <c r="AM55" i="28" s="1"/>
  <c r="Z77" i="28"/>
  <c r="Y77" i="28"/>
  <c r="AC77" i="28" s="1"/>
  <c r="X78" i="28" s="1"/>
  <c r="AB78" i="28" s="1"/>
  <c r="C135" i="28"/>
  <c r="AZ135" i="28"/>
  <c r="E136" i="28"/>
  <c r="F64" i="25"/>
  <c r="AO57" i="25"/>
  <c r="AR134" i="25"/>
  <c r="U134" i="25"/>
  <c r="AB134" i="25"/>
  <c r="V134" i="25"/>
  <c r="AA134" i="25"/>
  <c r="BA135" i="25"/>
  <c r="BB135" i="25"/>
  <c r="BC135" i="25"/>
  <c r="AK50" i="24"/>
  <c r="AN50" i="24"/>
  <c r="AZ135" i="25"/>
  <c r="BD135" i="25"/>
  <c r="C135" i="25"/>
  <c r="E136" i="25"/>
  <c r="AM57" i="25"/>
  <c r="AN57" i="25" s="1"/>
  <c r="Q57" i="25"/>
  <c r="C135" i="24"/>
  <c r="AZ135" i="24"/>
  <c r="E136" i="24"/>
  <c r="AT73" i="24"/>
  <c r="AU134" i="24"/>
  <c r="AQ134" i="24"/>
  <c r="AS134" i="24"/>
  <c r="G51" i="24"/>
  <c r="AR51" i="24" s="1"/>
  <c r="O136" i="15"/>
  <c r="AQ136" i="15"/>
  <c r="AS136" i="15"/>
  <c r="AU136" i="15"/>
  <c r="K136" i="15"/>
  <c r="H50" i="15"/>
  <c r="P97" i="15"/>
  <c r="M98" i="15" s="1"/>
  <c r="N98" i="15" s="1"/>
  <c r="AZ48" i="23"/>
  <c r="BC48" i="23" s="1"/>
  <c r="BG48" i="23"/>
  <c r="G50" i="23"/>
  <c r="AR50" i="23" s="1"/>
  <c r="AJ49" i="23"/>
  <c r="AM49" i="23"/>
  <c r="K55" i="28"/>
  <c r="O133" i="25"/>
  <c r="I133" i="25"/>
  <c r="Y58" i="17"/>
  <c r="AC58" i="17" s="1"/>
  <c r="X59" i="17" s="1"/>
  <c r="Y59" i="17" s="1"/>
  <c r="AC59" i="17" s="1"/>
  <c r="X60" i="17" s="1"/>
  <c r="AG57" i="17"/>
  <c r="AF58" i="17" s="1"/>
  <c r="AW27" i="19"/>
  <c r="AX27" i="19" s="1"/>
  <c r="AY27" i="19" s="1"/>
  <c r="AV102" i="14"/>
  <c r="AZ102" i="14" s="1"/>
  <c r="BC102" i="14" s="1"/>
  <c r="BC101" i="14"/>
  <c r="AW29" i="17"/>
  <c r="AX29" i="17" s="1"/>
  <c r="AY29" i="17" s="1"/>
  <c r="AM138" i="3"/>
  <c r="AG56" i="19"/>
  <c r="AF57" i="19" s="1"/>
  <c r="Z57" i="19"/>
  <c r="Y57" i="19"/>
  <c r="AC57" i="19" s="1"/>
  <c r="X58" i="19" s="1"/>
  <c r="J29" i="19"/>
  <c r="G28" i="19"/>
  <c r="H28" i="19"/>
  <c r="R95" i="15"/>
  <c r="Q96" i="15" s="1"/>
  <c r="AT96" i="15" s="1"/>
  <c r="H30" i="17"/>
  <c r="G30" i="17"/>
  <c r="AI30" i="17" s="1"/>
  <c r="AJ30" i="17" s="1"/>
  <c r="AK30" i="17" s="1"/>
  <c r="J31" i="17"/>
  <c r="AL103" i="14"/>
  <c r="AM103" i="14" s="1"/>
  <c r="AN103" i="14" s="1"/>
  <c r="K103" i="14"/>
  <c r="AQ103" i="14" s="1"/>
  <c r="AT55" i="19"/>
  <c r="AE55" i="19"/>
  <c r="AD56" i="19" s="1"/>
  <c r="AE116" i="14"/>
  <c r="AD117" i="14" s="1"/>
  <c r="AT117" i="14" s="1"/>
  <c r="T56" i="19"/>
  <c r="S56" i="19"/>
  <c r="W56" i="19" s="1"/>
  <c r="R57" i="19" s="1"/>
  <c r="AO103" i="14"/>
  <c r="AP103" i="14"/>
  <c r="L95" i="15"/>
  <c r="I96" i="15" s="1"/>
  <c r="V136" i="17"/>
  <c r="AB136" i="17"/>
  <c r="I136" i="17"/>
  <c r="O136" i="17"/>
  <c r="V136" i="19"/>
  <c r="U136" i="17"/>
  <c r="O136" i="19"/>
  <c r="AB136" i="19"/>
  <c r="I136" i="19"/>
  <c r="AA136" i="17"/>
  <c r="U136" i="19"/>
  <c r="AA136" i="19"/>
  <c r="P66" i="19"/>
  <c r="N65" i="19"/>
  <c r="M65" i="19"/>
  <c r="Q65" i="19" s="1"/>
  <c r="L66" i="19" s="1"/>
  <c r="N65" i="17"/>
  <c r="M65" i="17"/>
  <c r="Q65" i="17" s="1"/>
  <c r="L66" i="17" s="1"/>
  <c r="P66" i="17"/>
  <c r="S64" i="17"/>
  <c r="W64" i="17" s="1"/>
  <c r="R65" i="17" s="1"/>
  <c r="T64" i="17"/>
  <c r="T117" i="14"/>
  <c r="S117" i="14"/>
  <c r="W117" i="14" s="1"/>
  <c r="R118" i="14" s="1"/>
  <c r="AT63" i="17"/>
  <c r="AE63" i="17"/>
  <c r="AD64" i="17" s="1"/>
  <c r="E137" i="19"/>
  <c r="C136" i="19"/>
  <c r="AZ136" i="19"/>
  <c r="L133" i="18"/>
  <c r="I134" i="18" s="1"/>
  <c r="J134" i="18" s="1"/>
  <c r="AR135" i="16"/>
  <c r="AZ136" i="16"/>
  <c r="C136" i="16"/>
  <c r="BD136" i="16"/>
  <c r="E137" i="16"/>
  <c r="AZ135" i="18"/>
  <c r="C135" i="18"/>
  <c r="E136" i="18"/>
  <c r="AZ135" i="17"/>
  <c r="C135" i="17"/>
  <c r="E136" i="17"/>
  <c r="AS134" i="18"/>
  <c r="AQ134" i="18"/>
  <c r="AU134" i="18"/>
  <c r="O134" i="18"/>
  <c r="K134" i="18"/>
  <c r="AL62" i="18"/>
  <c r="AM62" i="18" s="1"/>
  <c r="AN62" i="18" s="1"/>
  <c r="F63" i="18"/>
  <c r="G63" i="18" s="1"/>
  <c r="AR63" i="18" s="1"/>
  <c r="AJ62" i="18"/>
  <c r="AK62" i="18" s="1"/>
  <c r="AZ137" i="15"/>
  <c r="C137" i="15"/>
  <c r="E138" i="15"/>
  <c r="S99" i="18"/>
  <c r="T99" i="18" s="1"/>
  <c r="S100" i="18" s="1"/>
  <c r="T100" i="18" s="1"/>
  <c r="S101" i="18" s="1"/>
  <c r="P100" i="18"/>
  <c r="M101" i="18" s="1"/>
  <c r="N101" i="18" s="1"/>
  <c r="R99" i="18"/>
  <c r="Q100" i="18" s="1"/>
  <c r="AT100" i="18" s="1"/>
  <c r="H138" i="3"/>
  <c r="AF137" i="3"/>
  <c r="AK137" i="3" s="1"/>
  <c r="AN142" i="3"/>
  <c r="AE138" i="3"/>
  <c r="BC137" i="3"/>
  <c r="AW141" i="3"/>
  <c r="AG138" i="3"/>
  <c r="AL138" i="3"/>
  <c r="AI136" i="3"/>
  <c r="BE136" i="3" s="1"/>
  <c r="AQ141" i="3"/>
  <c r="P141" i="3"/>
  <c r="G140" i="3"/>
  <c r="AV139" i="3"/>
  <c r="AX139" i="3" s="1"/>
  <c r="V139" i="3"/>
  <c r="X139" i="3" s="1"/>
  <c r="Y138" i="3"/>
  <c r="AC137" i="3"/>
  <c r="BD137" i="3"/>
  <c r="AH138" i="3"/>
  <c r="A139" i="3"/>
  <c r="BI139" i="3" s="1"/>
  <c r="BJ139" i="3" s="1"/>
  <c r="BG73" i="23" l="1"/>
  <c r="BG134" i="23" s="1"/>
  <c r="BF134" i="23"/>
  <c r="S100" i="25"/>
  <c r="W100" i="25" s="1"/>
  <c r="R101" i="25" s="1"/>
  <c r="T100" i="25"/>
  <c r="AE99" i="25"/>
  <c r="AD100" i="25" s="1"/>
  <c r="AT99" i="25"/>
  <c r="AT75" i="29"/>
  <c r="AG74" i="29"/>
  <c r="AF75" i="29" s="1"/>
  <c r="G54" i="29"/>
  <c r="K54" i="29" s="1"/>
  <c r="F55" i="29" s="1"/>
  <c r="I55" i="29" s="1"/>
  <c r="AR55" i="29" s="1"/>
  <c r="I54" i="29"/>
  <c r="AR141" i="3"/>
  <c r="BB139" i="3"/>
  <c r="P77" i="24"/>
  <c r="M78" i="24" s="1"/>
  <c r="K73" i="24"/>
  <c r="R73" i="24" s="1"/>
  <c r="Q74" i="24" s="1"/>
  <c r="J73" i="24"/>
  <c r="AC70" i="25"/>
  <c r="X71" i="25" s="1"/>
  <c r="AN139" i="20"/>
  <c r="O140" i="20"/>
  <c r="AQ139" i="20"/>
  <c r="AR139" i="20" s="1"/>
  <c r="P139" i="20"/>
  <c r="BG137" i="3"/>
  <c r="AQ53" i="29"/>
  <c r="T121" i="29"/>
  <c r="S121" i="29"/>
  <c r="W121" i="29" s="1"/>
  <c r="R122" i="29" s="1"/>
  <c r="U122" i="29" s="1"/>
  <c r="AU53" i="29"/>
  <c r="J55" i="29"/>
  <c r="AS53" i="29"/>
  <c r="H54" i="29"/>
  <c r="AP54" i="29" s="1"/>
  <c r="AZ135" i="29"/>
  <c r="C135" i="29"/>
  <c r="E136" i="29"/>
  <c r="H53" i="26"/>
  <c r="F54" i="26" s="1"/>
  <c r="G54" i="26" s="1"/>
  <c r="AR54" i="26" s="1"/>
  <c r="N100" i="26"/>
  <c r="T100" i="26" s="1"/>
  <c r="S101" i="26" s="1"/>
  <c r="AT100" i="26"/>
  <c r="J130" i="26"/>
  <c r="L130" i="26" s="1"/>
  <c r="I131" i="26" s="1"/>
  <c r="K135" i="26"/>
  <c r="O135" i="26"/>
  <c r="AQ135" i="26"/>
  <c r="AS135" i="26"/>
  <c r="AU135" i="26"/>
  <c r="C136" i="26"/>
  <c r="AZ136" i="26"/>
  <c r="E137" i="26"/>
  <c r="AG77" i="28"/>
  <c r="AF78" i="28" s="1"/>
  <c r="T105" i="28"/>
  <c r="S105" i="28"/>
  <c r="W105" i="28" s="1"/>
  <c r="R106" i="28" s="1"/>
  <c r="V106" i="28" s="1"/>
  <c r="AT104" i="28"/>
  <c r="AE104" i="28"/>
  <c r="AD105" i="28" s="1"/>
  <c r="AQ55" i="28"/>
  <c r="AS55" i="28"/>
  <c r="AU55" i="28"/>
  <c r="Z78" i="28"/>
  <c r="Y78" i="28"/>
  <c r="AC78" i="28" s="1"/>
  <c r="X79" i="28" s="1"/>
  <c r="AB79" i="28" s="1"/>
  <c r="AN55" i="28"/>
  <c r="F56" i="28"/>
  <c r="I56" i="28" s="1"/>
  <c r="Q56" i="28" s="1"/>
  <c r="L57" i="28" s="1"/>
  <c r="AJ55" i="28"/>
  <c r="AK55" i="28" s="1"/>
  <c r="AZ136" i="28"/>
  <c r="C136" i="28"/>
  <c r="E137" i="28"/>
  <c r="AW50" i="24"/>
  <c r="AX50" i="24" s="1"/>
  <c r="AY50" i="24" s="1"/>
  <c r="G64" i="25"/>
  <c r="K64" i="25" s="1"/>
  <c r="H64" i="25"/>
  <c r="J65" i="25"/>
  <c r="AI57" i="25"/>
  <c r="AQ57" i="25"/>
  <c r="AS57" i="25"/>
  <c r="AU57" i="25"/>
  <c r="AB135" i="25"/>
  <c r="AR135" i="25"/>
  <c r="AA135" i="25"/>
  <c r="U135" i="25"/>
  <c r="V135" i="25"/>
  <c r="BA136" i="25"/>
  <c r="BB136" i="25"/>
  <c r="BC136" i="25"/>
  <c r="L58" i="25"/>
  <c r="C136" i="25"/>
  <c r="AZ136" i="25"/>
  <c r="BD136" i="25"/>
  <c r="E137" i="25"/>
  <c r="AS135" i="24"/>
  <c r="AU135" i="24"/>
  <c r="AQ135" i="24"/>
  <c r="C136" i="24"/>
  <c r="AZ136" i="24"/>
  <c r="E137" i="24"/>
  <c r="H51" i="24"/>
  <c r="T96" i="15"/>
  <c r="S97" i="15" s="1"/>
  <c r="T97" i="15" s="1"/>
  <c r="S98" i="15" s="1"/>
  <c r="J96" i="15"/>
  <c r="L96" i="15" s="1"/>
  <c r="I97" i="15" s="1"/>
  <c r="J97" i="15" s="1"/>
  <c r="AS137" i="15"/>
  <c r="AU137" i="15"/>
  <c r="AQ137" i="15"/>
  <c r="F51" i="15"/>
  <c r="AI50" i="15"/>
  <c r="AJ50" i="15" s="1"/>
  <c r="AK50" i="15" s="1"/>
  <c r="AL50" i="15"/>
  <c r="AM50" i="15" s="1"/>
  <c r="AN50" i="15" s="1"/>
  <c r="P98" i="15"/>
  <c r="M99" i="15" s="1"/>
  <c r="N99" i="15" s="1"/>
  <c r="H50" i="23"/>
  <c r="AK49" i="23"/>
  <c r="AN49" i="23"/>
  <c r="AC74" i="29"/>
  <c r="X75" i="29" s="1"/>
  <c r="O134" i="25"/>
  <c r="I134" i="25"/>
  <c r="AG58" i="17"/>
  <c r="AF59" i="17" s="1"/>
  <c r="AG59" i="17" s="1"/>
  <c r="AF60" i="17" s="1"/>
  <c r="Z59" i="17"/>
  <c r="BG102" i="14"/>
  <c r="AR136" i="19"/>
  <c r="AG57" i="19"/>
  <c r="AF58" i="19" s="1"/>
  <c r="AU103" i="14"/>
  <c r="Y58" i="19"/>
  <c r="AC58" i="19" s="1"/>
  <c r="X59" i="19" s="1"/>
  <c r="Z58" i="19"/>
  <c r="K28" i="19"/>
  <c r="AI28" i="19"/>
  <c r="AJ28" i="19" s="1"/>
  <c r="AK28" i="19" s="1"/>
  <c r="AL28" i="19"/>
  <c r="AM28" i="19" s="1"/>
  <c r="AN28" i="19" s="1"/>
  <c r="AO28" i="19"/>
  <c r="AP28" i="19"/>
  <c r="R96" i="15"/>
  <c r="Q97" i="15" s="1"/>
  <c r="AT97" i="15" s="1"/>
  <c r="AP30" i="17"/>
  <c r="AO30" i="17"/>
  <c r="K30" i="17"/>
  <c r="AL30" i="17"/>
  <c r="AM30" i="17" s="1"/>
  <c r="AN30" i="17" s="1"/>
  <c r="F104" i="14"/>
  <c r="AS103" i="14"/>
  <c r="S57" i="19"/>
  <c r="W57" i="19" s="1"/>
  <c r="R58" i="19" s="1"/>
  <c r="T57" i="19"/>
  <c r="AT56" i="19"/>
  <c r="AE56" i="19"/>
  <c r="AD57" i="19" s="1"/>
  <c r="AE117" i="14"/>
  <c r="AD118" i="14" s="1"/>
  <c r="AT118" i="14" s="1"/>
  <c r="T65" i="17"/>
  <c r="S65" i="17"/>
  <c r="W65" i="17" s="1"/>
  <c r="R66" i="17" s="1"/>
  <c r="Z60" i="17"/>
  <c r="Y60" i="17"/>
  <c r="AC60" i="17" s="1"/>
  <c r="X61" i="17" s="1"/>
  <c r="M66" i="17"/>
  <c r="Q66" i="17" s="1"/>
  <c r="L67" i="17" s="1"/>
  <c r="N66" i="17"/>
  <c r="P67" i="17"/>
  <c r="AT64" i="17"/>
  <c r="AE64" i="17"/>
  <c r="AD65" i="17" s="1"/>
  <c r="N66" i="19"/>
  <c r="P67" i="19"/>
  <c r="M66" i="19"/>
  <c r="Q66" i="19" s="1"/>
  <c r="L67" i="19" s="1"/>
  <c r="AB137" i="17"/>
  <c r="O137" i="17"/>
  <c r="AA137" i="17"/>
  <c r="U137" i="17"/>
  <c r="AA137" i="19"/>
  <c r="I137" i="19"/>
  <c r="I137" i="17"/>
  <c r="AB137" i="19"/>
  <c r="V137" i="19"/>
  <c r="U137" i="19"/>
  <c r="O137" i="19"/>
  <c r="V137" i="17"/>
  <c r="S118" i="14"/>
  <c r="W118" i="14" s="1"/>
  <c r="R119" i="14" s="1"/>
  <c r="T118" i="14"/>
  <c r="E138" i="19"/>
  <c r="AZ137" i="19"/>
  <c r="C137" i="19"/>
  <c r="L134" i="18"/>
  <c r="I135" i="18" s="1"/>
  <c r="J135" i="18" s="1"/>
  <c r="E138" i="16"/>
  <c r="C137" i="16"/>
  <c r="BD137" i="16"/>
  <c r="AZ137" i="16"/>
  <c r="AR136" i="16"/>
  <c r="E137" i="17"/>
  <c r="AZ136" i="17"/>
  <c r="C136" i="17"/>
  <c r="K135" i="18"/>
  <c r="O135" i="18"/>
  <c r="AQ135" i="18"/>
  <c r="AU135" i="18"/>
  <c r="AS135" i="18"/>
  <c r="E137" i="18"/>
  <c r="C136" i="18"/>
  <c r="AZ136" i="18"/>
  <c r="H63" i="18"/>
  <c r="F64" i="18" s="1"/>
  <c r="G64" i="18" s="1"/>
  <c r="AR64" i="18" s="1"/>
  <c r="AW62" i="18"/>
  <c r="AX62" i="18" s="1"/>
  <c r="AY62" i="18" s="1"/>
  <c r="C138" i="15"/>
  <c r="E139" i="15"/>
  <c r="AZ138" i="15"/>
  <c r="P101" i="18"/>
  <c r="M102" i="18" s="1"/>
  <c r="N102" i="18" s="1"/>
  <c r="R100" i="18"/>
  <c r="Q101" i="18" s="1"/>
  <c r="AT101" i="18" s="1"/>
  <c r="T101" i="18"/>
  <c r="S102" i="18" s="1"/>
  <c r="BD138" i="3"/>
  <c r="AH139" i="3"/>
  <c r="AL139" i="3"/>
  <c r="AW142" i="3"/>
  <c r="AQ142" i="3"/>
  <c r="AD137" i="3"/>
  <c r="AJ137" i="3" s="1"/>
  <c r="H139" i="3"/>
  <c r="AF138" i="3"/>
  <c r="AD138" i="3" s="1"/>
  <c r="AV140" i="3"/>
  <c r="AX140" i="3" s="1"/>
  <c r="G141" i="3"/>
  <c r="V140" i="3"/>
  <c r="X140" i="3" s="1"/>
  <c r="AG139" i="3"/>
  <c r="AE139" i="3"/>
  <c r="BC138" i="3"/>
  <c r="AM139" i="3"/>
  <c r="A140" i="3"/>
  <c r="BI140" i="3" s="1"/>
  <c r="BJ140" i="3" s="1"/>
  <c r="Y139" i="3"/>
  <c r="AC138" i="3"/>
  <c r="P142" i="3"/>
  <c r="T101" i="25" l="1"/>
  <c r="S101" i="25"/>
  <c r="W101" i="25" s="1"/>
  <c r="R102" i="25" s="1"/>
  <c r="AT100" i="25"/>
  <c r="AE100" i="25"/>
  <c r="AD101" i="25" s="1"/>
  <c r="AR54" i="29"/>
  <c r="Q54" i="29"/>
  <c r="L55" i="29" s="1"/>
  <c r="H55" i="29"/>
  <c r="J56" i="29"/>
  <c r="O57" i="28"/>
  <c r="M57" i="28"/>
  <c r="N57" i="28"/>
  <c r="P58" i="28"/>
  <c r="AI54" i="29"/>
  <c r="AJ54" i="29" s="1"/>
  <c r="AK54" i="29" s="1"/>
  <c r="AL54" i="29"/>
  <c r="AM54" i="29" s="1"/>
  <c r="AN54" i="29" s="1"/>
  <c r="G55" i="29"/>
  <c r="K55" i="29" s="1"/>
  <c r="Z75" i="29"/>
  <c r="AA75" i="29"/>
  <c r="AE75" i="29" s="1"/>
  <c r="AD76" i="29" s="1"/>
  <c r="AR142" i="3"/>
  <c r="BB140" i="3"/>
  <c r="L73" i="24"/>
  <c r="I74" i="24" s="1"/>
  <c r="Y71" i="25"/>
  <c r="AG71" i="25" s="1"/>
  <c r="AF72" i="25" s="1"/>
  <c r="Z71" i="25"/>
  <c r="T73" i="24"/>
  <c r="S74" i="24" s="1"/>
  <c r="O78" i="24"/>
  <c r="N78" i="24"/>
  <c r="AN140" i="20"/>
  <c r="P140" i="20"/>
  <c r="O141" i="20"/>
  <c r="AQ140" i="20"/>
  <c r="AR140" i="20" s="1"/>
  <c r="AK138" i="3"/>
  <c r="BG138" i="3" s="1"/>
  <c r="K137" i="15"/>
  <c r="O137" i="15"/>
  <c r="AO54" i="29"/>
  <c r="AW53" i="29"/>
  <c r="AX53" i="29" s="1"/>
  <c r="AY53" i="29" s="1"/>
  <c r="T122" i="29"/>
  <c r="S122" i="29"/>
  <c r="W122" i="29" s="1"/>
  <c r="R123" i="29" s="1"/>
  <c r="U123" i="29" s="1"/>
  <c r="AL53" i="26"/>
  <c r="AM53" i="26" s="1"/>
  <c r="AN53" i="26" s="1"/>
  <c r="AI53" i="26"/>
  <c r="AJ53" i="26" s="1"/>
  <c r="AK53" i="26" s="1"/>
  <c r="H54" i="26"/>
  <c r="AL54" i="26" s="1"/>
  <c r="C136" i="29"/>
  <c r="AZ136" i="29"/>
  <c r="E137" i="29"/>
  <c r="Y75" i="29"/>
  <c r="P100" i="26"/>
  <c r="M101" i="26" s="1"/>
  <c r="N101" i="26" s="1"/>
  <c r="R100" i="26"/>
  <c r="Q101" i="26" s="1"/>
  <c r="AT101" i="26" s="1"/>
  <c r="J131" i="26"/>
  <c r="L131" i="26" s="1"/>
  <c r="I132" i="26" s="1"/>
  <c r="O136" i="26"/>
  <c r="AQ136" i="26"/>
  <c r="AS136" i="26"/>
  <c r="AU136" i="26"/>
  <c r="K136" i="26"/>
  <c r="AG78" i="28"/>
  <c r="AF79" i="28" s="1"/>
  <c r="C137" i="26"/>
  <c r="AZ137" i="26"/>
  <c r="E138" i="26"/>
  <c r="T106" i="28"/>
  <c r="S106" i="28"/>
  <c r="W106" i="28" s="1"/>
  <c r="R107" i="28" s="1"/>
  <c r="V107" i="28" s="1"/>
  <c r="Z79" i="28"/>
  <c r="Y79" i="28"/>
  <c r="AT105" i="28"/>
  <c r="AE105" i="28"/>
  <c r="AD106" i="28" s="1"/>
  <c r="J57" i="28"/>
  <c r="H56" i="28"/>
  <c r="AP56" i="28" s="1"/>
  <c r="G56" i="28"/>
  <c r="AI56" i="28" s="1"/>
  <c r="AJ56" i="28" s="1"/>
  <c r="AK56" i="28" s="1"/>
  <c r="C137" i="28"/>
  <c r="AZ137" i="28"/>
  <c r="E138" i="28"/>
  <c r="F65" i="25"/>
  <c r="AA136" i="25"/>
  <c r="AB136" i="25"/>
  <c r="AR136" i="25"/>
  <c r="V136" i="25"/>
  <c r="U136" i="25"/>
  <c r="BA137" i="25"/>
  <c r="BB137" i="25"/>
  <c r="BC137" i="25"/>
  <c r="AJ57" i="25"/>
  <c r="AK57" i="25" s="1"/>
  <c r="AW57" i="25" s="1"/>
  <c r="AX57" i="25" s="1"/>
  <c r="AY57" i="25" s="1"/>
  <c r="P59" i="25"/>
  <c r="N58" i="25"/>
  <c r="AP58" i="25" s="1"/>
  <c r="M58" i="25"/>
  <c r="Q58" i="25" s="1"/>
  <c r="L59" i="25" s="1"/>
  <c r="AZ137" i="25"/>
  <c r="BD137" i="25"/>
  <c r="C137" i="25"/>
  <c r="E138" i="25"/>
  <c r="AW50" i="15"/>
  <c r="AX50" i="15" s="1"/>
  <c r="AY50" i="15" s="1"/>
  <c r="C137" i="24"/>
  <c r="AZ137" i="24"/>
  <c r="E138" i="24"/>
  <c r="AQ136" i="24"/>
  <c r="AS136" i="24"/>
  <c r="AU136" i="24"/>
  <c r="F52" i="24"/>
  <c r="AL51" i="24"/>
  <c r="AM51" i="24" s="1"/>
  <c r="AI51" i="24"/>
  <c r="AJ51" i="24" s="1"/>
  <c r="AT74" i="24"/>
  <c r="K138" i="15"/>
  <c r="O138" i="15"/>
  <c r="AQ138" i="15"/>
  <c r="AS138" i="15"/>
  <c r="AU138" i="15"/>
  <c r="G51" i="15"/>
  <c r="AR51" i="15" s="1"/>
  <c r="P99" i="15"/>
  <c r="M100" i="15" s="1"/>
  <c r="N100" i="15" s="1"/>
  <c r="F51" i="23"/>
  <c r="AI50" i="23"/>
  <c r="AL50" i="23"/>
  <c r="AV49" i="23"/>
  <c r="AW55" i="28"/>
  <c r="AX55" i="28" s="1"/>
  <c r="AY55" i="28" s="1"/>
  <c r="O135" i="25"/>
  <c r="I135" i="25"/>
  <c r="BF137" i="3"/>
  <c r="AJ138" i="3"/>
  <c r="BF138" i="3" s="1"/>
  <c r="AV103" i="14"/>
  <c r="BG103" i="14" s="1"/>
  <c r="Z59" i="19"/>
  <c r="Y59" i="19"/>
  <c r="AC59" i="19" s="1"/>
  <c r="X60" i="19" s="1"/>
  <c r="AG58" i="19"/>
  <c r="AF59" i="19" s="1"/>
  <c r="AR137" i="19"/>
  <c r="F29" i="19"/>
  <c r="AQ28" i="19"/>
  <c r="AU28" i="19"/>
  <c r="AS28" i="19"/>
  <c r="F31" i="17"/>
  <c r="AU30" i="17"/>
  <c r="AQ30" i="17"/>
  <c r="AS30" i="17"/>
  <c r="AG60" i="17"/>
  <c r="AF61" i="17" s="1"/>
  <c r="J105" i="14"/>
  <c r="G104" i="14"/>
  <c r="H104" i="14"/>
  <c r="AT57" i="19"/>
  <c r="AE57" i="19"/>
  <c r="AD58" i="19" s="1"/>
  <c r="S58" i="19"/>
  <c r="W58" i="19" s="1"/>
  <c r="R59" i="19" s="1"/>
  <c r="T58" i="19"/>
  <c r="AI137" i="3"/>
  <c r="BE137" i="3" s="1"/>
  <c r="L97" i="15"/>
  <c r="I98" i="15" s="1"/>
  <c r="J98" i="15" s="1"/>
  <c r="N67" i="17"/>
  <c r="M67" i="17"/>
  <c r="Q67" i="17" s="1"/>
  <c r="L68" i="17" s="1"/>
  <c r="P68" i="17"/>
  <c r="AE118" i="14"/>
  <c r="AD119" i="14" s="1"/>
  <c r="T66" i="17"/>
  <c r="S66" i="17"/>
  <c r="W66" i="17" s="1"/>
  <c r="R67" i="17" s="1"/>
  <c r="V138" i="17"/>
  <c r="AA138" i="17"/>
  <c r="U138" i="17"/>
  <c r="AB138" i="19"/>
  <c r="O138" i="19"/>
  <c r="O138" i="17"/>
  <c r="AB138" i="17"/>
  <c r="V138" i="19"/>
  <c r="I138" i="17"/>
  <c r="U138" i="19"/>
  <c r="I138" i="19"/>
  <c r="AA138" i="19"/>
  <c r="AT65" i="17"/>
  <c r="AE65" i="17"/>
  <c r="AD66" i="17" s="1"/>
  <c r="T119" i="14"/>
  <c r="S119" i="14"/>
  <c r="W119" i="14" s="1"/>
  <c r="R120" i="14" s="1"/>
  <c r="N67" i="19"/>
  <c r="P68" i="19"/>
  <c r="M67" i="19"/>
  <c r="Q67" i="19" s="1"/>
  <c r="L68" i="19" s="1"/>
  <c r="Y61" i="17"/>
  <c r="AC61" i="17" s="1"/>
  <c r="X62" i="17" s="1"/>
  <c r="Z61" i="17"/>
  <c r="E139" i="19"/>
  <c r="AZ138" i="19"/>
  <c r="C138" i="19"/>
  <c r="AL63" i="18"/>
  <c r="AM63" i="18" s="1"/>
  <c r="AN63" i="18" s="1"/>
  <c r="L135" i="18"/>
  <c r="I136" i="18" s="1"/>
  <c r="J136" i="18" s="1"/>
  <c r="AR137" i="16"/>
  <c r="C138" i="16"/>
  <c r="AZ138" i="16"/>
  <c r="BD138" i="16"/>
  <c r="E139" i="16"/>
  <c r="AZ137" i="18"/>
  <c r="C137" i="18"/>
  <c r="E138" i="18"/>
  <c r="E138" i="17"/>
  <c r="AZ137" i="17"/>
  <c r="C137" i="17"/>
  <c r="AU136" i="18"/>
  <c r="O136" i="18"/>
  <c r="K136" i="18"/>
  <c r="AS136" i="18"/>
  <c r="AQ136" i="18"/>
  <c r="AI63" i="18"/>
  <c r="AJ63" i="18" s="1"/>
  <c r="AK63" i="18" s="1"/>
  <c r="H64" i="18"/>
  <c r="AI64" i="18" s="1"/>
  <c r="E140" i="15"/>
  <c r="C139" i="15"/>
  <c r="AZ139" i="15"/>
  <c r="T102" i="18"/>
  <c r="S103" i="18" s="1"/>
  <c r="R101" i="18"/>
  <c r="Q102" i="18" s="1"/>
  <c r="AT102" i="18" s="1"/>
  <c r="P102" i="18"/>
  <c r="M103" i="18" s="1"/>
  <c r="N103" i="18" s="1"/>
  <c r="R97" i="15"/>
  <c r="Q98" i="15" s="1"/>
  <c r="AT98" i="15" s="1"/>
  <c r="A141" i="3"/>
  <c r="BI141" i="3" s="1"/>
  <c r="BJ141" i="3" s="1"/>
  <c r="AQ143" i="3"/>
  <c r="AL140" i="3"/>
  <c r="P143" i="3"/>
  <c r="P144" i="3" s="1"/>
  <c r="AE140" i="3"/>
  <c r="BC139" i="3"/>
  <c r="AV141" i="3"/>
  <c r="AX141" i="3" s="1"/>
  <c r="V141" i="3"/>
  <c r="X141" i="3" s="1"/>
  <c r="G142" i="3"/>
  <c r="H140" i="3"/>
  <c r="AF139" i="3"/>
  <c r="AK139" i="3" s="1"/>
  <c r="AN143" i="3"/>
  <c r="AN144" i="3" s="1"/>
  <c r="BD139" i="3"/>
  <c r="AH140" i="3"/>
  <c r="AI138" i="3"/>
  <c r="BE138" i="3" s="1"/>
  <c r="AM140" i="3"/>
  <c r="Y140" i="3"/>
  <c r="AC139" i="3"/>
  <c r="AG140" i="3"/>
  <c r="AW143" i="3"/>
  <c r="AG75" i="29" l="1"/>
  <c r="AF76" i="29" s="1"/>
  <c r="AE101" i="25"/>
  <c r="AD102" i="25" s="1"/>
  <c r="AT101" i="25"/>
  <c r="S102" i="25"/>
  <c r="W102" i="25" s="1"/>
  <c r="R103" i="25" s="1"/>
  <c r="T102" i="25"/>
  <c r="M55" i="29"/>
  <c r="AI55" i="29" s="1"/>
  <c r="AJ55" i="29" s="1"/>
  <c r="AK55" i="29" s="1"/>
  <c r="O55" i="29"/>
  <c r="P56" i="29"/>
  <c r="N55" i="29"/>
  <c r="AO55" i="29" s="1"/>
  <c r="AQ54" i="29"/>
  <c r="AT76" i="29"/>
  <c r="AU54" i="29"/>
  <c r="AS54" i="29"/>
  <c r="AR143" i="3"/>
  <c r="BB141" i="3"/>
  <c r="AC71" i="25"/>
  <c r="X72" i="25" s="1"/>
  <c r="Z72" i="25" s="1"/>
  <c r="P78" i="24"/>
  <c r="M79" i="24" s="1"/>
  <c r="K74" i="24"/>
  <c r="J74" i="24"/>
  <c r="AN141" i="20"/>
  <c r="P141" i="20"/>
  <c r="O142" i="20"/>
  <c r="AQ141" i="20"/>
  <c r="AR141" i="20" s="1"/>
  <c r="BG139" i="3"/>
  <c r="F55" i="26"/>
  <c r="G55" i="26" s="1"/>
  <c r="AR55" i="26" s="1"/>
  <c r="AI54" i="26"/>
  <c r="AJ54" i="26" s="1"/>
  <c r="AK54" i="26" s="1"/>
  <c r="T123" i="29"/>
  <c r="S123" i="29"/>
  <c r="W123" i="29" s="1"/>
  <c r="R124" i="29" s="1"/>
  <c r="U124" i="29" s="1"/>
  <c r="K56" i="28"/>
  <c r="F57" i="28" s="1"/>
  <c r="AW53" i="26"/>
  <c r="AX53" i="26" s="1"/>
  <c r="AY53" i="26" s="1"/>
  <c r="F56" i="29"/>
  <c r="I56" i="29" s="1"/>
  <c r="AR56" i="29" s="1"/>
  <c r="AZ137" i="29"/>
  <c r="C137" i="29"/>
  <c r="E138" i="29"/>
  <c r="AG79" i="28"/>
  <c r="AF80" i="28" s="1"/>
  <c r="R101" i="26"/>
  <c r="Q102" i="26" s="1"/>
  <c r="AT102" i="26" s="1"/>
  <c r="J132" i="26"/>
  <c r="L132" i="26" s="1"/>
  <c r="I133" i="26" s="1"/>
  <c r="T101" i="26"/>
  <c r="S102" i="26" s="1"/>
  <c r="P101" i="26"/>
  <c r="M102" i="26" s="1"/>
  <c r="AS137" i="26"/>
  <c r="AU137" i="26"/>
  <c r="AQ137" i="26"/>
  <c r="K137" i="26"/>
  <c r="O137" i="26"/>
  <c r="AM54" i="26"/>
  <c r="AN54" i="26" s="1"/>
  <c r="AZ138" i="26"/>
  <c r="C138" i="26"/>
  <c r="E139" i="26"/>
  <c r="AL56" i="28"/>
  <c r="AM56" i="28" s="1"/>
  <c r="AN56" i="28" s="1"/>
  <c r="T107" i="28"/>
  <c r="S107" i="28"/>
  <c r="W107" i="28" s="1"/>
  <c r="R108" i="28" s="1"/>
  <c r="V108" i="28" s="1"/>
  <c r="AT106" i="28"/>
  <c r="AE106" i="28"/>
  <c r="AD107" i="28" s="1"/>
  <c r="AC79" i="28"/>
  <c r="X80" i="28" s="1"/>
  <c r="AB80" i="28" s="1"/>
  <c r="AO56" i="28"/>
  <c r="AZ138" i="28"/>
  <c r="C138" i="28"/>
  <c r="E139" i="28"/>
  <c r="G65" i="25"/>
  <c r="K65" i="25" s="1"/>
  <c r="H65" i="25"/>
  <c r="J66" i="25"/>
  <c r="AL58" i="25"/>
  <c r="AU58" i="25"/>
  <c r="AS58" i="25"/>
  <c r="AQ58" i="25"/>
  <c r="AO58" i="25"/>
  <c r="AI58" i="25"/>
  <c r="V137" i="25"/>
  <c r="AA137" i="25"/>
  <c r="AB137" i="25"/>
  <c r="AR137" i="25"/>
  <c r="U137" i="25"/>
  <c r="BC138" i="25"/>
  <c r="BA138" i="25"/>
  <c r="BB138" i="25"/>
  <c r="AK51" i="24"/>
  <c r="AN51" i="24"/>
  <c r="P60" i="25"/>
  <c r="N59" i="25"/>
  <c r="AP59" i="25" s="1"/>
  <c r="M59" i="25"/>
  <c r="Q59" i="25" s="1"/>
  <c r="L60" i="25" s="1"/>
  <c r="AZ138" i="25"/>
  <c r="C138" i="25"/>
  <c r="BD138" i="25"/>
  <c r="E139" i="25"/>
  <c r="AQ137" i="24"/>
  <c r="AS137" i="24"/>
  <c r="AU137" i="24"/>
  <c r="AZ138" i="24"/>
  <c r="C138" i="24"/>
  <c r="E139" i="24"/>
  <c r="G52" i="24"/>
  <c r="AR52" i="24" s="1"/>
  <c r="AQ139" i="15"/>
  <c r="AS139" i="15"/>
  <c r="AU139" i="15"/>
  <c r="H51" i="15"/>
  <c r="P100" i="15"/>
  <c r="M101" i="15" s="1"/>
  <c r="N101" i="15" s="1"/>
  <c r="G51" i="23"/>
  <c r="AR51" i="23" s="1"/>
  <c r="AM50" i="23"/>
  <c r="AZ49" i="23"/>
  <c r="BC49" i="23" s="1"/>
  <c r="BG49" i="23"/>
  <c r="AJ50" i="23"/>
  <c r="AC75" i="29"/>
  <c r="X76" i="29" s="1"/>
  <c r="O136" i="25"/>
  <c r="I136" i="25"/>
  <c r="AZ103" i="14"/>
  <c r="BC103" i="14" s="1"/>
  <c r="AW28" i="19"/>
  <c r="AX28" i="19" s="1"/>
  <c r="AY28" i="19" s="1"/>
  <c r="AW30" i="17"/>
  <c r="AX30" i="17" s="1"/>
  <c r="AY30" i="17" s="1"/>
  <c r="AM141" i="3"/>
  <c r="AR138" i="19"/>
  <c r="AG59" i="19"/>
  <c r="AF60" i="19" s="1"/>
  <c r="Z60" i="19"/>
  <c r="Y60" i="19"/>
  <c r="AC60" i="19" s="1"/>
  <c r="X61" i="19" s="1"/>
  <c r="J30" i="19"/>
  <c r="G29" i="19"/>
  <c r="K29" i="19" s="1"/>
  <c r="F30" i="19" s="1"/>
  <c r="H29" i="19"/>
  <c r="H31" i="17"/>
  <c r="J32" i="17"/>
  <c r="G31" i="17"/>
  <c r="AL31" i="17" s="1"/>
  <c r="AM31" i="17" s="1"/>
  <c r="AN31" i="17" s="1"/>
  <c r="AO104" i="14"/>
  <c r="AP104" i="14"/>
  <c r="AI104" i="14"/>
  <c r="AJ104" i="14" s="1"/>
  <c r="AK104" i="14" s="1"/>
  <c r="K104" i="14"/>
  <c r="AL104" i="14"/>
  <c r="AM104" i="14" s="1"/>
  <c r="AN104" i="14" s="1"/>
  <c r="T59" i="19"/>
  <c r="S59" i="19"/>
  <c r="W59" i="19" s="1"/>
  <c r="R60" i="19" s="1"/>
  <c r="AT58" i="19"/>
  <c r="AE58" i="19"/>
  <c r="AD59" i="19" s="1"/>
  <c r="AB139" i="17"/>
  <c r="O139" i="17"/>
  <c r="V139" i="17"/>
  <c r="AA139" i="17"/>
  <c r="U139" i="19"/>
  <c r="U139" i="17"/>
  <c r="O139" i="19"/>
  <c r="AB139" i="19"/>
  <c r="I139" i="19"/>
  <c r="I139" i="17"/>
  <c r="AA139" i="19"/>
  <c r="V139" i="19"/>
  <c r="Y62" i="17"/>
  <c r="AC62" i="17" s="1"/>
  <c r="X63" i="17" s="1"/>
  <c r="Z62" i="17"/>
  <c r="T120" i="14"/>
  <c r="S120" i="14"/>
  <c r="W120" i="14" s="1"/>
  <c r="R121" i="14" s="1"/>
  <c r="AG61" i="17"/>
  <c r="AF62" i="17" s="1"/>
  <c r="AD139" i="3"/>
  <c r="AI139" i="3" s="1"/>
  <c r="BE139" i="3" s="1"/>
  <c r="M68" i="19"/>
  <c r="Q68" i="19" s="1"/>
  <c r="L69" i="19" s="1"/>
  <c r="P69" i="19"/>
  <c r="N68" i="19"/>
  <c r="AT66" i="17"/>
  <c r="AE66" i="17"/>
  <c r="AD67" i="17" s="1"/>
  <c r="T67" i="17"/>
  <c r="S67" i="17"/>
  <c r="W67" i="17" s="1"/>
  <c r="R68" i="17" s="1"/>
  <c r="N68" i="17"/>
  <c r="M68" i="17"/>
  <c r="Q68" i="17" s="1"/>
  <c r="L69" i="17" s="1"/>
  <c r="P69" i="17"/>
  <c r="AE119" i="14"/>
  <c r="AD120" i="14" s="1"/>
  <c r="AT119" i="14"/>
  <c r="T98" i="15"/>
  <c r="S99" i="15" s="1"/>
  <c r="E140" i="19"/>
  <c r="AZ139" i="19"/>
  <c r="C139" i="19"/>
  <c r="AW63" i="18"/>
  <c r="AX63" i="18" s="1"/>
  <c r="AY63" i="18" s="1"/>
  <c r="E140" i="16"/>
  <c r="BD139" i="16"/>
  <c r="C139" i="16"/>
  <c r="AZ139" i="16"/>
  <c r="AR138" i="16"/>
  <c r="L136" i="18"/>
  <c r="I137" i="18" s="1"/>
  <c r="J137" i="18" s="1"/>
  <c r="O137" i="18"/>
  <c r="K137" i="18"/>
  <c r="AQ137" i="18"/>
  <c r="AU137" i="18"/>
  <c r="AS137" i="18"/>
  <c r="AZ138" i="17"/>
  <c r="C138" i="17"/>
  <c r="E139" i="17"/>
  <c r="AZ138" i="18"/>
  <c r="E139" i="18"/>
  <c r="C138" i="18"/>
  <c r="F65" i="18"/>
  <c r="AL64" i="18"/>
  <c r="AM64" i="18" s="1"/>
  <c r="AN64" i="18" s="1"/>
  <c r="AJ64" i="18"/>
  <c r="AK64" i="18" s="1"/>
  <c r="C140" i="15"/>
  <c r="AZ140" i="15"/>
  <c r="E141" i="15"/>
  <c r="R102" i="18"/>
  <c r="Q103" i="18" s="1"/>
  <c r="AT103" i="18" s="1"/>
  <c r="P103" i="18"/>
  <c r="M104" i="18" s="1"/>
  <c r="N104" i="18" s="1"/>
  <c r="AV142" i="3"/>
  <c r="AX142" i="3" s="1"/>
  <c r="G143" i="3"/>
  <c r="V142" i="3"/>
  <c r="X142" i="3" s="1"/>
  <c r="AG141" i="3"/>
  <c r="AN145" i="3"/>
  <c r="AE141" i="3"/>
  <c r="BC140" i="3"/>
  <c r="P145" i="3"/>
  <c r="AQ144" i="3"/>
  <c r="AW144" i="3"/>
  <c r="Y141" i="3"/>
  <c r="AC140" i="3"/>
  <c r="AH141" i="3"/>
  <c r="BD140" i="3"/>
  <c r="H141" i="3"/>
  <c r="AF140" i="3"/>
  <c r="AK140" i="3" s="1"/>
  <c r="AL141" i="3"/>
  <c r="A142" i="3"/>
  <c r="BI142" i="3" s="1"/>
  <c r="BJ142" i="3" s="1"/>
  <c r="T103" i="25" l="1"/>
  <c r="S103" i="25"/>
  <c r="W103" i="25" s="1"/>
  <c r="R104" i="25" s="1"/>
  <c r="AE102" i="25"/>
  <c r="AD103" i="25" s="1"/>
  <c r="AT102" i="25"/>
  <c r="AP55" i="29"/>
  <c r="AL55" i="29"/>
  <c r="AM55" i="29" s="1"/>
  <c r="AW54" i="29"/>
  <c r="AX54" i="29" s="1"/>
  <c r="AY54" i="29" s="1"/>
  <c r="G57" i="28"/>
  <c r="AI57" i="28" s="1"/>
  <c r="AJ57" i="28" s="1"/>
  <c r="AK57" i="28" s="1"/>
  <c r="I57" i="28"/>
  <c r="Q57" i="28" s="1"/>
  <c r="L58" i="28" s="1"/>
  <c r="Q55" i="29"/>
  <c r="Z76" i="29"/>
  <c r="AA76" i="29"/>
  <c r="AE76" i="29" s="1"/>
  <c r="AD77" i="29" s="1"/>
  <c r="AN142" i="20"/>
  <c r="AR144" i="3"/>
  <c r="P142" i="20"/>
  <c r="BB142" i="3"/>
  <c r="L74" i="24"/>
  <c r="I75" i="24" s="1"/>
  <c r="R74" i="24"/>
  <c r="Q75" i="24" s="1"/>
  <c r="AT75" i="24" s="1"/>
  <c r="T74" i="24"/>
  <c r="S75" i="24" s="1"/>
  <c r="Y72" i="25"/>
  <c r="AG72" i="25" s="1"/>
  <c r="AF73" i="25" s="1"/>
  <c r="O79" i="24"/>
  <c r="N79" i="24"/>
  <c r="O143" i="20"/>
  <c r="AQ142" i="20"/>
  <c r="AR142" i="20" s="1"/>
  <c r="BG140" i="3"/>
  <c r="K139" i="15"/>
  <c r="O139" i="15"/>
  <c r="AU56" i="28"/>
  <c r="AS56" i="28"/>
  <c r="H57" i="28"/>
  <c r="AP57" i="28" s="1"/>
  <c r="J58" i="28"/>
  <c r="T124" i="29"/>
  <c r="S124" i="29"/>
  <c r="W124" i="29" s="1"/>
  <c r="R125" i="29" s="1"/>
  <c r="U125" i="29" s="1"/>
  <c r="AW51" i="24"/>
  <c r="AX51" i="24" s="1"/>
  <c r="AY51" i="24" s="1"/>
  <c r="AQ56" i="28"/>
  <c r="C138" i="29"/>
  <c r="AZ138" i="29"/>
  <c r="E139" i="29"/>
  <c r="J57" i="29"/>
  <c r="H56" i="29"/>
  <c r="G56" i="29"/>
  <c r="Y76" i="29"/>
  <c r="H55" i="26"/>
  <c r="F56" i="26" s="1"/>
  <c r="G56" i="26" s="1"/>
  <c r="AR56" i="26" s="1"/>
  <c r="AW54" i="26"/>
  <c r="AX54" i="26" s="1"/>
  <c r="AY54" i="26" s="1"/>
  <c r="J133" i="26"/>
  <c r="L133" i="26" s="1"/>
  <c r="I134" i="26" s="1"/>
  <c r="N102" i="26"/>
  <c r="R102" i="26" s="1"/>
  <c r="Q103" i="26" s="1"/>
  <c r="O138" i="26"/>
  <c r="K138" i="26"/>
  <c r="AS138" i="26"/>
  <c r="AU138" i="26"/>
  <c r="AQ138" i="26"/>
  <c r="C139" i="26"/>
  <c r="AZ139" i="26"/>
  <c r="E140" i="26"/>
  <c r="T108" i="28"/>
  <c r="S108" i="28"/>
  <c r="W108" i="28" s="1"/>
  <c r="R109" i="28" s="1"/>
  <c r="V109" i="28" s="1"/>
  <c r="AT107" i="28"/>
  <c r="AE107" i="28"/>
  <c r="AD108" i="28" s="1"/>
  <c r="Z80" i="28"/>
  <c r="Y80" i="28"/>
  <c r="AC80" i="28" s="1"/>
  <c r="X81" i="28" s="1"/>
  <c r="AB81" i="28" s="1"/>
  <c r="C139" i="28"/>
  <c r="AZ139" i="28"/>
  <c r="E140" i="28"/>
  <c r="AL59" i="25"/>
  <c r="AM59" i="25" s="1"/>
  <c r="AN59" i="25" s="1"/>
  <c r="AU59" i="25"/>
  <c r="AS59" i="25"/>
  <c r="AI59" i="25"/>
  <c r="AQ59" i="25"/>
  <c r="F66" i="25"/>
  <c r="U138" i="25"/>
  <c r="V138" i="25"/>
  <c r="AA138" i="25"/>
  <c r="AB138" i="25"/>
  <c r="AR138" i="25"/>
  <c r="BC139" i="25"/>
  <c r="BB139" i="25"/>
  <c r="BA139" i="25"/>
  <c r="AO59" i="25"/>
  <c r="N60" i="25"/>
  <c r="AP60" i="25" s="1"/>
  <c r="P61" i="25"/>
  <c r="M60" i="25"/>
  <c r="Q60" i="25" s="1"/>
  <c r="L61" i="25" s="1"/>
  <c r="AJ58" i="25"/>
  <c r="AK58" i="25" s="1"/>
  <c r="C139" i="25"/>
  <c r="AZ139" i="25"/>
  <c r="BD139" i="25"/>
  <c r="E140" i="25"/>
  <c r="AM58" i="25"/>
  <c r="AN58" i="25" s="1"/>
  <c r="AQ138" i="24"/>
  <c r="AS138" i="24"/>
  <c r="AU138" i="24"/>
  <c r="C139" i="24"/>
  <c r="AZ139" i="24"/>
  <c r="E140" i="24"/>
  <c r="H52" i="24"/>
  <c r="AQ140" i="15"/>
  <c r="AS140" i="15"/>
  <c r="AU140" i="15"/>
  <c r="F52" i="15"/>
  <c r="AI51" i="15"/>
  <c r="AJ51" i="15" s="1"/>
  <c r="AK51" i="15" s="1"/>
  <c r="AL51" i="15"/>
  <c r="AM51" i="15" s="1"/>
  <c r="AN51" i="15" s="1"/>
  <c r="P101" i="15"/>
  <c r="M102" i="15" s="1"/>
  <c r="N102" i="15" s="1"/>
  <c r="H51" i="23"/>
  <c r="AN50" i="23"/>
  <c r="AK50" i="23"/>
  <c r="O137" i="25"/>
  <c r="I137" i="25"/>
  <c r="AJ139" i="3"/>
  <c r="BF139" i="3" s="1"/>
  <c r="AG62" i="17"/>
  <c r="AF63" i="17" s="1"/>
  <c r="AL142" i="3"/>
  <c r="Z61" i="19"/>
  <c r="Y61" i="19"/>
  <c r="AC61" i="19" s="1"/>
  <c r="X62" i="19" s="1"/>
  <c r="AG60" i="19"/>
  <c r="AF61" i="19" s="1"/>
  <c r="L98" i="15"/>
  <c r="I99" i="15" s="1"/>
  <c r="J99" i="15" s="1"/>
  <c r="AI29" i="19"/>
  <c r="AJ29" i="19" s="1"/>
  <c r="AK29" i="19" s="1"/>
  <c r="AU29" i="19"/>
  <c r="AL29" i="19"/>
  <c r="AM29" i="19" s="1"/>
  <c r="AN29" i="19" s="1"/>
  <c r="AS29" i="19"/>
  <c r="H30" i="19"/>
  <c r="J31" i="19"/>
  <c r="G30" i="19"/>
  <c r="AL30" i="19" s="1"/>
  <c r="AM30" i="19" s="1"/>
  <c r="AN30" i="19" s="1"/>
  <c r="AO29" i="19"/>
  <c r="AP29" i="19"/>
  <c r="AR139" i="19"/>
  <c r="AQ29" i="19"/>
  <c r="K31" i="17"/>
  <c r="AI31" i="17"/>
  <c r="AJ31" i="17" s="1"/>
  <c r="AK31" i="17" s="1"/>
  <c r="AP31" i="17"/>
  <c r="AO31" i="17"/>
  <c r="F105" i="14"/>
  <c r="AQ104" i="14"/>
  <c r="AS104" i="14"/>
  <c r="AU104" i="14"/>
  <c r="R98" i="15"/>
  <c r="Q99" i="15" s="1"/>
  <c r="AT99" i="15" s="1"/>
  <c r="AT59" i="19"/>
  <c r="AE59" i="19"/>
  <c r="AD60" i="19" s="1"/>
  <c r="S60" i="19"/>
  <c r="W60" i="19" s="1"/>
  <c r="R61" i="19" s="1"/>
  <c r="T60" i="19"/>
  <c r="S121" i="14"/>
  <c r="W121" i="14" s="1"/>
  <c r="R122" i="14" s="1"/>
  <c r="T121" i="14"/>
  <c r="V140" i="17"/>
  <c r="U140" i="17"/>
  <c r="AB140" i="17"/>
  <c r="V140" i="19"/>
  <c r="AA140" i="17"/>
  <c r="AA140" i="19"/>
  <c r="O140" i="17"/>
  <c r="U140" i="19"/>
  <c r="I140" i="19"/>
  <c r="AB140" i="19"/>
  <c r="I140" i="17"/>
  <c r="O140" i="19"/>
  <c r="AT67" i="17"/>
  <c r="AE67" i="17"/>
  <c r="AD68" i="17" s="1"/>
  <c r="AT120" i="14"/>
  <c r="AE120" i="14"/>
  <c r="AD121" i="14" s="1"/>
  <c r="T68" i="17"/>
  <c r="S68" i="17"/>
  <c r="W68" i="17" s="1"/>
  <c r="R69" i="17" s="1"/>
  <c r="P70" i="19"/>
  <c r="N69" i="19"/>
  <c r="M69" i="19"/>
  <c r="Q69" i="19" s="1"/>
  <c r="L70" i="19" s="1"/>
  <c r="T99" i="15"/>
  <c r="S100" i="15" s="1"/>
  <c r="M69" i="17"/>
  <c r="Q69" i="17" s="1"/>
  <c r="L70" i="17" s="1"/>
  <c r="P70" i="17"/>
  <c r="N69" i="17"/>
  <c r="Z63" i="17"/>
  <c r="Y63" i="17"/>
  <c r="AC63" i="17" s="1"/>
  <c r="X64" i="17" s="1"/>
  <c r="E141" i="19"/>
  <c r="C140" i="19"/>
  <c r="AZ140" i="19"/>
  <c r="L137" i="18"/>
  <c r="I138" i="18" s="1"/>
  <c r="J138" i="18" s="1"/>
  <c r="BD140" i="16"/>
  <c r="AZ140" i="16"/>
  <c r="C140" i="16"/>
  <c r="E141" i="16"/>
  <c r="AR139" i="16"/>
  <c r="AQ138" i="18"/>
  <c r="O138" i="18"/>
  <c r="K138" i="18"/>
  <c r="AS138" i="18"/>
  <c r="AU138" i="18"/>
  <c r="E140" i="18"/>
  <c r="AZ139" i="18"/>
  <c r="C139" i="18"/>
  <c r="C139" i="17"/>
  <c r="E140" i="17"/>
  <c r="AZ139" i="17"/>
  <c r="AW64" i="18"/>
  <c r="AX64" i="18" s="1"/>
  <c r="AY64" i="18" s="1"/>
  <c r="G65" i="18"/>
  <c r="AR65" i="18" s="1"/>
  <c r="C141" i="15"/>
  <c r="E142" i="15"/>
  <c r="AZ141" i="15"/>
  <c r="P104" i="18"/>
  <c r="M105" i="18" s="1"/>
  <c r="N105" i="18" s="1"/>
  <c r="T103" i="18"/>
  <c r="S104" i="18" s="1"/>
  <c r="R103" i="18"/>
  <c r="Q104" i="18" s="1"/>
  <c r="AT104" i="18" s="1"/>
  <c r="BD141" i="3"/>
  <c r="AH142" i="3"/>
  <c r="AW145" i="3"/>
  <c r="AN146" i="3"/>
  <c r="AD140" i="3"/>
  <c r="K140" i="15" s="1"/>
  <c r="G144" i="3"/>
  <c r="AV143" i="3"/>
  <c r="AX143" i="3" s="1"/>
  <c r="V143" i="3"/>
  <c r="X143" i="3" s="1"/>
  <c r="A143" i="3"/>
  <c r="BI143" i="3" s="1"/>
  <c r="BJ143" i="3" s="1"/>
  <c r="H142" i="3"/>
  <c r="AF141" i="3"/>
  <c r="Y142" i="3"/>
  <c r="AC141" i="3"/>
  <c r="AG142" i="3"/>
  <c r="AQ145" i="3"/>
  <c r="BC141" i="3"/>
  <c r="AE142" i="3"/>
  <c r="AM142" i="3"/>
  <c r="AE103" i="25" l="1"/>
  <c r="AD104" i="25" s="1"/>
  <c r="AT103" i="25"/>
  <c r="T104" i="25"/>
  <c r="S104" i="25"/>
  <c r="W104" i="25" s="1"/>
  <c r="R105" i="25" s="1"/>
  <c r="AM143" i="3"/>
  <c r="AN55" i="29"/>
  <c r="AG76" i="29"/>
  <c r="AF77" i="29" s="1"/>
  <c r="K57" i="28"/>
  <c r="AU57" i="28" s="1"/>
  <c r="AL57" i="28"/>
  <c r="AM57" i="28" s="1"/>
  <c r="AN57" i="28" s="1"/>
  <c r="L56" i="29"/>
  <c r="AS55" i="29"/>
  <c r="AU55" i="29"/>
  <c r="AQ55" i="29"/>
  <c r="AT77" i="29"/>
  <c r="O58" i="28"/>
  <c r="P59" i="28"/>
  <c r="M58" i="28"/>
  <c r="N58" i="28"/>
  <c r="AR145" i="3"/>
  <c r="P143" i="20"/>
  <c r="BB143" i="3"/>
  <c r="P79" i="24"/>
  <c r="M80" i="24" s="1"/>
  <c r="AC72" i="25"/>
  <c r="X73" i="25" s="1"/>
  <c r="Z73" i="25" s="1"/>
  <c r="K75" i="24"/>
  <c r="R75" i="24" s="1"/>
  <c r="Q76" i="24" s="1"/>
  <c r="J75" i="24"/>
  <c r="O144" i="20"/>
  <c r="AQ143" i="20"/>
  <c r="AR143" i="20" s="1"/>
  <c r="AN143" i="20"/>
  <c r="AK141" i="3"/>
  <c r="BG141" i="3" s="1"/>
  <c r="O140" i="15"/>
  <c r="AJ140" i="3"/>
  <c r="BF140" i="3" s="1"/>
  <c r="AW56" i="28"/>
  <c r="AX56" i="28" s="1"/>
  <c r="AY56" i="28" s="1"/>
  <c r="AO57" i="28"/>
  <c r="T125" i="29"/>
  <c r="S125" i="29"/>
  <c r="W125" i="29" s="1"/>
  <c r="R126" i="29" s="1"/>
  <c r="U126" i="29" s="1"/>
  <c r="C139" i="29"/>
  <c r="AZ139" i="29"/>
  <c r="E140" i="29"/>
  <c r="AL55" i="26"/>
  <c r="AM55" i="26" s="1"/>
  <c r="AN55" i="26" s="1"/>
  <c r="AI55" i="26"/>
  <c r="AJ55" i="26" s="1"/>
  <c r="AK55" i="26" s="1"/>
  <c r="P102" i="26"/>
  <c r="M103" i="26" s="1"/>
  <c r="N103" i="26" s="1"/>
  <c r="R103" i="26" s="1"/>
  <c r="Q104" i="26" s="1"/>
  <c r="J134" i="26"/>
  <c r="L134" i="26" s="1"/>
  <c r="I135" i="26" s="1"/>
  <c r="AT103" i="26"/>
  <c r="H56" i="26"/>
  <c r="K139" i="26"/>
  <c r="O139" i="26"/>
  <c r="AQ139" i="26"/>
  <c r="AS139" i="26"/>
  <c r="AU139" i="26"/>
  <c r="T102" i="26"/>
  <c r="S103" i="26" s="1"/>
  <c r="C140" i="26"/>
  <c r="AZ140" i="26"/>
  <c r="E141" i="26"/>
  <c r="AG80" i="28"/>
  <c r="AF81" i="28" s="1"/>
  <c r="T109" i="28"/>
  <c r="S109" i="28"/>
  <c r="W109" i="28" s="1"/>
  <c r="R110" i="28" s="1"/>
  <c r="V110" i="28" s="1"/>
  <c r="AT108" i="28"/>
  <c r="AE108" i="28"/>
  <c r="AD109" i="28" s="1"/>
  <c r="Z81" i="28"/>
  <c r="Y81" i="28"/>
  <c r="AZ140" i="28"/>
  <c r="C140" i="28"/>
  <c r="E141" i="28"/>
  <c r="AL60" i="25"/>
  <c r="AM60" i="25" s="1"/>
  <c r="AN60" i="25" s="1"/>
  <c r="AI60" i="25"/>
  <c r="AQ60" i="25"/>
  <c r="AS60" i="25"/>
  <c r="AU60" i="25"/>
  <c r="U139" i="25"/>
  <c r="V139" i="25"/>
  <c r="AA139" i="25"/>
  <c r="AB139" i="25"/>
  <c r="AR139" i="25"/>
  <c r="BB140" i="25"/>
  <c r="BC140" i="25"/>
  <c r="BA140" i="25"/>
  <c r="G66" i="25"/>
  <c r="K66" i="25" s="1"/>
  <c r="F67" i="25" s="1"/>
  <c r="J67" i="25"/>
  <c r="H66" i="25"/>
  <c r="AO60" i="25"/>
  <c r="AJ59" i="25"/>
  <c r="AK59" i="25" s="1"/>
  <c r="AW59" i="25" s="1"/>
  <c r="AX59" i="25" s="1"/>
  <c r="AY59" i="25" s="1"/>
  <c r="AZ140" i="25"/>
  <c r="BD140" i="25"/>
  <c r="C140" i="25"/>
  <c r="E141" i="25"/>
  <c r="AW58" i="25"/>
  <c r="AX58" i="25" s="1"/>
  <c r="AY58" i="25" s="1"/>
  <c r="P62" i="25"/>
  <c r="N61" i="25"/>
  <c r="AP61" i="25" s="1"/>
  <c r="M61" i="25"/>
  <c r="Q61" i="25" s="1"/>
  <c r="L62" i="25" s="1"/>
  <c r="AW51" i="15"/>
  <c r="AX51" i="15" s="1"/>
  <c r="AY51" i="15" s="1"/>
  <c r="F53" i="24"/>
  <c r="AI52" i="24"/>
  <c r="AJ52" i="24" s="1"/>
  <c r="AL52" i="24"/>
  <c r="AM52" i="24" s="1"/>
  <c r="AQ139" i="24"/>
  <c r="AU139" i="24"/>
  <c r="AS139" i="24"/>
  <c r="C140" i="24"/>
  <c r="AZ140" i="24"/>
  <c r="E141" i="24"/>
  <c r="G52" i="15"/>
  <c r="AR52" i="15" s="1"/>
  <c r="AS141" i="15"/>
  <c r="AU141" i="15"/>
  <c r="AQ141" i="15"/>
  <c r="P102" i="15"/>
  <c r="M103" i="15" s="1"/>
  <c r="N103" i="15" s="1"/>
  <c r="F52" i="23"/>
  <c r="AL51" i="23"/>
  <c r="AI51" i="23"/>
  <c r="AV50" i="23"/>
  <c r="K56" i="29"/>
  <c r="AC76" i="29"/>
  <c r="X77" i="29" s="1"/>
  <c r="O138" i="25"/>
  <c r="I138" i="25"/>
  <c r="AD141" i="3"/>
  <c r="AI141" i="3" s="1"/>
  <c r="BE141" i="3" s="1"/>
  <c r="AV104" i="14"/>
  <c r="AZ104" i="14" s="1"/>
  <c r="BC104" i="14" s="1"/>
  <c r="AW29" i="19"/>
  <c r="AX29" i="19" s="1"/>
  <c r="AY29" i="19" s="1"/>
  <c r="AG61" i="19"/>
  <c r="AF62" i="19" s="1"/>
  <c r="Y62" i="19"/>
  <c r="AC62" i="19" s="1"/>
  <c r="X63" i="19" s="1"/>
  <c r="Z62" i="19"/>
  <c r="K30" i="19"/>
  <c r="AI30" i="19"/>
  <c r="AJ30" i="19" s="1"/>
  <c r="AK30" i="19" s="1"/>
  <c r="AR140" i="19"/>
  <c r="AP30" i="19"/>
  <c r="AO30" i="19"/>
  <c r="F32" i="17"/>
  <c r="AU31" i="17"/>
  <c r="AQ31" i="17"/>
  <c r="AS31" i="17"/>
  <c r="J106" i="14"/>
  <c r="H105" i="14"/>
  <c r="G105" i="14"/>
  <c r="AL105" i="14" s="1"/>
  <c r="AM105" i="14" s="1"/>
  <c r="AN105" i="14" s="1"/>
  <c r="T61" i="19"/>
  <c r="S61" i="19"/>
  <c r="W61" i="19" s="1"/>
  <c r="R62" i="19" s="1"/>
  <c r="AT60" i="19"/>
  <c r="AE60" i="19"/>
  <c r="AD61" i="19" s="1"/>
  <c r="AG63" i="17"/>
  <c r="AF64" i="17" s="1"/>
  <c r="R99" i="15"/>
  <c r="Q100" i="15" s="1"/>
  <c r="AT100" i="15" s="1"/>
  <c r="L99" i="15"/>
  <c r="I100" i="15" s="1"/>
  <c r="J100" i="15" s="1"/>
  <c r="Z64" i="17"/>
  <c r="Y64" i="17"/>
  <c r="AC64" i="17" s="1"/>
  <c r="X65" i="17" s="1"/>
  <c r="M70" i="17"/>
  <c r="Q70" i="17" s="1"/>
  <c r="L71" i="17" s="1"/>
  <c r="P71" i="17"/>
  <c r="N70" i="17"/>
  <c r="P71" i="19"/>
  <c r="M70" i="19"/>
  <c r="Q70" i="19" s="1"/>
  <c r="L71" i="19" s="1"/>
  <c r="N70" i="19"/>
  <c r="T69" i="17"/>
  <c r="S69" i="17"/>
  <c r="W69" i="17" s="1"/>
  <c r="R70" i="17" s="1"/>
  <c r="AE121" i="14"/>
  <c r="AD122" i="14" s="1"/>
  <c r="AT121" i="14"/>
  <c r="T122" i="14"/>
  <c r="S122" i="14"/>
  <c r="W122" i="14" s="1"/>
  <c r="R123" i="14" s="1"/>
  <c r="AB141" i="17"/>
  <c r="O141" i="17"/>
  <c r="U141" i="17"/>
  <c r="AA141" i="19"/>
  <c r="I141" i="19"/>
  <c r="AA141" i="17"/>
  <c r="I141" i="17"/>
  <c r="U141" i="19"/>
  <c r="O141" i="19"/>
  <c r="V141" i="17"/>
  <c r="V141" i="19"/>
  <c r="AB141" i="19"/>
  <c r="AT68" i="17"/>
  <c r="AE68" i="17"/>
  <c r="AD69" i="17" s="1"/>
  <c r="AZ141" i="19"/>
  <c r="C141" i="19"/>
  <c r="E142" i="19"/>
  <c r="L138" i="18"/>
  <c r="I139" i="18" s="1"/>
  <c r="J139" i="18" s="1"/>
  <c r="BD141" i="16"/>
  <c r="AZ141" i="16"/>
  <c r="E142" i="16"/>
  <c r="C141" i="16"/>
  <c r="AR140" i="16"/>
  <c r="C140" i="17"/>
  <c r="E141" i="17"/>
  <c r="AZ140" i="17"/>
  <c r="C140" i="18"/>
  <c r="E141" i="18"/>
  <c r="AZ140" i="18"/>
  <c r="K139" i="18"/>
  <c r="AQ139" i="18"/>
  <c r="O139" i="18"/>
  <c r="AU139" i="18"/>
  <c r="AS139" i="18"/>
  <c r="H65" i="18"/>
  <c r="AI65" i="18" s="1"/>
  <c r="AJ65" i="18" s="1"/>
  <c r="AK65" i="18" s="1"/>
  <c r="AZ142" i="15"/>
  <c r="E143" i="15"/>
  <c r="C142" i="15"/>
  <c r="P105" i="18"/>
  <c r="M106" i="18" s="1"/>
  <c r="N106" i="18" s="1"/>
  <c r="R104" i="18"/>
  <c r="Q105" i="18" s="1"/>
  <c r="AT105" i="18" s="1"/>
  <c r="T104" i="18"/>
  <c r="AV144" i="3"/>
  <c r="AX144" i="3" s="1"/>
  <c r="G145" i="3"/>
  <c r="V144" i="3"/>
  <c r="X144" i="3" s="1"/>
  <c r="AW146" i="3"/>
  <c r="Y143" i="3"/>
  <c r="AC142" i="3"/>
  <c r="A144" i="3"/>
  <c r="BI144" i="3" s="1"/>
  <c r="BJ144" i="3" s="1"/>
  <c r="BD142" i="3"/>
  <c r="AH143" i="3"/>
  <c r="AQ146" i="3"/>
  <c r="AI140" i="3"/>
  <c r="BE140" i="3" s="1"/>
  <c r="P146" i="3"/>
  <c r="AE143" i="3"/>
  <c r="BC142" i="3"/>
  <c r="AG143" i="3"/>
  <c r="H143" i="3"/>
  <c r="AF142" i="3"/>
  <c r="AL143" i="3"/>
  <c r="S105" i="25" l="1"/>
  <c r="W105" i="25" s="1"/>
  <c r="R106" i="25" s="1"/>
  <c r="T105" i="25"/>
  <c r="AT104" i="25"/>
  <c r="AE104" i="25"/>
  <c r="AD105" i="25" s="1"/>
  <c r="F58" i="28"/>
  <c r="I58" i="28" s="1"/>
  <c r="Q58" i="28" s="1"/>
  <c r="L59" i="28" s="1"/>
  <c r="AQ57" i="28"/>
  <c r="AS57" i="28"/>
  <c r="M56" i="29"/>
  <c r="AI56" i="29" s="1"/>
  <c r="AJ56" i="29" s="1"/>
  <c r="AK56" i="29" s="1"/>
  <c r="O56" i="29"/>
  <c r="N56" i="29"/>
  <c r="P57" i="29"/>
  <c r="AW55" i="29"/>
  <c r="AX55" i="29" s="1"/>
  <c r="AY55" i="29" s="1"/>
  <c r="Z77" i="29"/>
  <c r="AA77" i="29"/>
  <c r="AE77" i="29" s="1"/>
  <c r="AD78" i="29" s="1"/>
  <c r="AR146" i="3"/>
  <c r="P144" i="20"/>
  <c r="BB144" i="3"/>
  <c r="L75" i="24"/>
  <c r="I76" i="24" s="1"/>
  <c r="T75" i="24"/>
  <c r="S76" i="24" s="1"/>
  <c r="Y73" i="25"/>
  <c r="AG73" i="25" s="1"/>
  <c r="AF74" i="25" s="1"/>
  <c r="O80" i="24"/>
  <c r="N80" i="24"/>
  <c r="AN144" i="20"/>
  <c r="O145" i="20"/>
  <c r="AQ144" i="20"/>
  <c r="AR144" i="20" s="1"/>
  <c r="AK142" i="3"/>
  <c r="BG142" i="3" s="1"/>
  <c r="K141" i="15"/>
  <c r="O141" i="15"/>
  <c r="T126" i="29"/>
  <c r="S126" i="29"/>
  <c r="W126" i="29" s="1"/>
  <c r="R127" i="29" s="1"/>
  <c r="U127" i="29" s="1"/>
  <c r="F57" i="29"/>
  <c r="I57" i="29" s="1"/>
  <c r="AR57" i="29" s="1"/>
  <c r="AZ140" i="29"/>
  <c r="C140" i="29"/>
  <c r="E141" i="29"/>
  <c r="AW55" i="26"/>
  <c r="AX55" i="26" s="1"/>
  <c r="AY55" i="26" s="1"/>
  <c r="Y77" i="29"/>
  <c r="AC77" i="29" s="1"/>
  <c r="X78" i="29" s="1"/>
  <c r="P103" i="26"/>
  <c r="M104" i="26" s="1"/>
  <c r="N104" i="26" s="1"/>
  <c r="R104" i="26" s="1"/>
  <c r="Q105" i="26" s="1"/>
  <c r="T103" i="26"/>
  <c r="S104" i="26" s="1"/>
  <c r="AT104" i="26"/>
  <c r="O140" i="26"/>
  <c r="AQ140" i="26"/>
  <c r="AS140" i="26"/>
  <c r="AU140" i="26"/>
  <c r="K140" i="26"/>
  <c r="J135" i="26"/>
  <c r="L135" i="26" s="1"/>
  <c r="I136" i="26" s="1"/>
  <c r="F57" i="26"/>
  <c r="AI56" i="26"/>
  <c r="AL56" i="26"/>
  <c r="C141" i="26"/>
  <c r="AZ141" i="26"/>
  <c r="E142" i="26"/>
  <c r="AG81" i="28"/>
  <c r="AF82" i="28" s="1"/>
  <c r="T110" i="28"/>
  <c r="S110" i="28"/>
  <c r="W110" i="28" s="1"/>
  <c r="R111" i="28" s="1"/>
  <c r="V111" i="28" s="1"/>
  <c r="AT109" i="28"/>
  <c r="AE109" i="28"/>
  <c r="AD110" i="28" s="1"/>
  <c r="AC81" i="28"/>
  <c r="X82" i="28" s="1"/>
  <c r="AB82" i="28" s="1"/>
  <c r="AZ141" i="28"/>
  <c r="C141" i="28"/>
  <c r="E142" i="28"/>
  <c r="AQ61" i="25"/>
  <c r="G67" i="25"/>
  <c r="K67" i="25" s="1"/>
  <c r="H67" i="25"/>
  <c r="J68" i="25"/>
  <c r="AL61" i="25"/>
  <c r="AM61" i="25" s="1"/>
  <c r="AN61" i="25" s="1"/>
  <c r="AU61" i="25"/>
  <c r="AS61" i="25"/>
  <c r="AI61" i="25"/>
  <c r="U140" i="25"/>
  <c r="V140" i="25"/>
  <c r="AA140" i="25"/>
  <c r="AB140" i="25"/>
  <c r="AR140" i="25"/>
  <c r="BA141" i="25"/>
  <c r="BB141" i="25"/>
  <c r="BC141" i="25"/>
  <c r="AO61" i="25"/>
  <c r="AJ60" i="25"/>
  <c r="AK60" i="25" s="1"/>
  <c r="AW60" i="25" s="1"/>
  <c r="AX60" i="25" s="1"/>
  <c r="AY60" i="25" s="1"/>
  <c r="N62" i="25"/>
  <c r="AP62" i="25" s="1"/>
  <c r="P63" i="25"/>
  <c r="M62" i="25"/>
  <c r="AL62" i="25" s="1"/>
  <c r="C141" i="25"/>
  <c r="AZ141" i="25"/>
  <c r="BD141" i="25"/>
  <c r="E142" i="25"/>
  <c r="AS140" i="24"/>
  <c r="AU140" i="24"/>
  <c r="AQ140" i="24"/>
  <c r="AT76" i="24"/>
  <c r="C141" i="24"/>
  <c r="AZ141" i="24"/>
  <c r="E142" i="24"/>
  <c r="AK52" i="24"/>
  <c r="AN52" i="24"/>
  <c r="G53" i="24"/>
  <c r="AR53" i="24" s="1"/>
  <c r="H52" i="15"/>
  <c r="AQ142" i="15"/>
  <c r="AS142" i="15"/>
  <c r="AU142" i="15"/>
  <c r="P103" i="15"/>
  <c r="M104" i="15" s="1"/>
  <c r="N104" i="15" s="1"/>
  <c r="G52" i="23"/>
  <c r="AR52" i="23" s="1"/>
  <c r="AJ51" i="23"/>
  <c r="AK51" i="23" s="1"/>
  <c r="AZ50" i="23"/>
  <c r="BC50" i="23" s="1"/>
  <c r="BG50" i="23"/>
  <c r="AM51" i="23"/>
  <c r="AN51" i="23" s="1"/>
  <c r="O139" i="25"/>
  <c r="I139" i="25"/>
  <c r="AJ141" i="3"/>
  <c r="BF141" i="3" s="1"/>
  <c r="BG104" i="14"/>
  <c r="AW31" i="17"/>
  <c r="AX31" i="17" s="1"/>
  <c r="AY31" i="17" s="1"/>
  <c r="AL144" i="3"/>
  <c r="AM144" i="3"/>
  <c r="AD142" i="3"/>
  <c r="AI142" i="3" s="1"/>
  <c r="BE142" i="3" s="1"/>
  <c r="AR141" i="19"/>
  <c r="AU30" i="19"/>
  <c r="F31" i="19"/>
  <c r="AS30" i="19"/>
  <c r="AG62" i="19"/>
  <c r="AF63" i="19" s="1"/>
  <c r="AQ30" i="19"/>
  <c r="Y63" i="19"/>
  <c r="AC63" i="19" s="1"/>
  <c r="X64" i="19" s="1"/>
  <c r="Z63" i="19"/>
  <c r="AG64" i="17"/>
  <c r="AF65" i="17" s="1"/>
  <c r="G32" i="17"/>
  <c r="AL32" i="17" s="1"/>
  <c r="AM32" i="17" s="1"/>
  <c r="AN32" i="17" s="1"/>
  <c r="H32" i="17"/>
  <c r="J33" i="17"/>
  <c r="AI105" i="14"/>
  <c r="AJ105" i="14" s="1"/>
  <c r="AK105" i="14" s="1"/>
  <c r="K105" i="14"/>
  <c r="AP105" i="14"/>
  <c r="AO105" i="14"/>
  <c r="AT61" i="19"/>
  <c r="AE61" i="19"/>
  <c r="AD62" i="19" s="1"/>
  <c r="T62" i="19"/>
  <c r="S62" i="19"/>
  <c r="W62" i="19" s="1"/>
  <c r="R63" i="19" s="1"/>
  <c r="AE122" i="14"/>
  <c r="AD123" i="14" s="1"/>
  <c r="AT122" i="14"/>
  <c r="Z65" i="17"/>
  <c r="Y65" i="17"/>
  <c r="AC65" i="17" s="1"/>
  <c r="X66" i="17" s="1"/>
  <c r="AT69" i="17"/>
  <c r="AE69" i="17"/>
  <c r="AD70" i="17" s="1"/>
  <c r="P72" i="19"/>
  <c r="N71" i="19"/>
  <c r="M71" i="19"/>
  <c r="Q71" i="19" s="1"/>
  <c r="L72" i="19" s="1"/>
  <c r="S123" i="14"/>
  <c r="W123" i="14" s="1"/>
  <c r="T123" i="14"/>
  <c r="S70" i="17"/>
  <c r="W70" i="17" s="1"/>
  <c r="R71" i="17" s="1"/>
  <c r="T70" i="17"/>
  <c r="V142" i="17"/>
  <c r="O142" i="17"/>
  <c r="I142" i="17"/>
  <c r="AB142" i="19"/>
  <c r="O142" i="19"/>
  <c r="AB142" i="17"/>
  <c r="I142" i="19"/>
  <c r="AA142" i="17"/>
  <c r="AA142" i="19"/>
  <c r="V142" i="19"/>
  <c r="U142" i="19"/>
  <c r="U142" i="17"/>
  <c r="N71" i="17"/>
  <c r="M71" i="17"/>
  <c r="Q71" i="17" s="1"/>
  <c r="L72" i="17" s="1"/>
  <c r="P72" i="17"/>
  <c r="C142" i="19"/>
  <c r="AZ142" i="19"/>
  <c r="E143" i="19"/>
  <c r="AR141" i="16"/>
  <c r="BD142" i="16"/>
  <c r="C142" i="16"/>
  <c r="E143" i="16"/>
  <c r="AZ142" i="16"/>
  <c r="L139" i="18"/>
  <c r="I140" i="18" s="1"/>
  <c r="AL65" i="18"/>
  <c r="AM65" i="18" s="1"/>
  <c r="AN65" i="18" s="1"/>
  <c r="AW65" i="18" s="1"/>
  <c r="AX65" i="18" s="1"/>
  <c r="AY65" i="18" s="1"/>
  <c r="AZ141" i="18"/>
  <c r="E142" i="18"/>
  <c r="C141" i="18"/>
  <c r="AQ140" i="18"/>
  <c r="O140" i="18"/>
  <c r="AS140" i="18"/>
  <c r="AU140" i="18"/>
  <c r="K140" i="18"/>
  <c r="C141" i="17"/>
  <c r="E142" i="17"/>
  <c r="AZ141" i="17"/>
  <c r="F66" i="18"/>
  <c r="G66" i="18" s="1"/>
  <c r="C143" i="15"/>
  <c r="E144" i="15"/>
  <c r="AZ143" i="15"/>
  <c r="S105" i="18"/>
  <c r="T105" i="18" s="1"/>
  <c r="S106" i="18" s="1"/>
  <c r="T106" i="18" s="1"/>
  <c r="S107" i="18" s="1"/>
  <c r="P106" i="18"/>
  <c r="M107" i="18" s="1"/>
  <c r="N107" i="18" s="1"/>
  <c r="R105" i="18"/>
  <c r="Q106" i="18" s="1"/>
  <c r="AT106" i="18" s="1"/>
  <c r="AE144" i="3"/>
  <c r="BC143" i="3"/>
  <c r="AQ147" i="3"/>
  <c r="A145" i="3"/>
  <c r="BI145" i="3" s="1"/>
  <c r="BJ145" i="3" s="1"/>
  <c r="AG144" i="3"/>
  <c r="P147" i="3"/>
  <c r="P148" i="3" s="1"/>
  <c r="BD143" i="3"/>
  <c r="AH144" i="3"/>
  <c r="AW147" i="3"/>
  <c r="AV145" i="3"/>
  <c r="AX145" i="3" s="1"/>
  <c r="V145" i="3"/>
  <c r="X145" i="3" s="1"/>
  <c r="G146" i="3"/>
  <c r="H144" i="3"/>
  <c r="AF143" i="3"/>
  <c r="AN147" i="3"/>
  <c r="AN148" i="3" s="1"/>
  <c r="AC143" i="3"/>
  <c r="Y144" i="3"/>
  <c r="S124" i="14" l="1"/>
  <c r="T124" i="14"/>
  <c r="AT105" i="25"/>
  <c r="AE105" i="25"/>
  <c r="AD106" i="25" s="1"/>
  <c r="T106" i="25"/>
  <c r="S106" i="25"/>
  <c r="W106" i="25" s="1"/>
  <c r="R107" i="25" s="1"/>
  <c r="AT123" i="14"/>
  <c r="AT134" i="14" s="1"/>
  <c r="AE123" i="14"/>
  <c r="AW57" i="28"/>
  <c r="AX57" i="28" s="1"/>
  <c r="AY57" i="28" s="1"/>
  <c r="J59" i="28"/>
  <c r="H58" i="28"/>
  <c r="AP58" i="28" s="1"/>
  <c r="G58" i="28"/>
  <c r="AL58" i="28" s="1"/>
  <c r="AM58" i="28" s="1"/>
  <c r="AN58" i="28" s="1"/>
  <c r="Q56" i="29"/>
  <c r="AQ56" i="29" s="1"/>
  <c r="O59" i="28"/>
  <c r="N59" i="28"/>
  <c r="P60" i="28"/>
  <c r="M59" i="28"/>
  <c r="AL56" i="29"/>
  <c r="AO56" i="29"/>
  <c r="AP56" i="29"/>
  <c r="AT78" i="29"/>
  <c r="Z78" i="29"/>
  <c r="AA78" i="29"/>
  <c r="AE78" i="29" s="1"/>
  <c r="AD79" i="29" s="1"/>
  <c r="AR147" i="3"/>
  <c r="BB145" i="3"/>
  <c r="P80" i="24"/>
  <c r="M81" i="24" s="1"/>
  <c r="AC73" i="25"/>
  <c r="X74" i="25" s="1"/>
  <c r="Z74" i="25" s="1"/>
  <c r="K76" i="24"/>
  <c r="T76" i="24" s="1"/>
  <c r="S77" i="24" s="1"/>
  <c r="J76" i="24"/>
  <c r="P145" i="20"/>
  <c r="O146" i="20"/>
  <c r="AQ145" i="20"/>
  <c r="AR145" i="20" s="1"/>
  <c r="AN145" i="20"/>
  <c r="AK143" i="3"/>
  <c r="BG143" i="3" s="1"/>
  <c r="O142" i="15"/>
  <c r="AJ142" i="3"/>
  <c r="BF142" i="3" s="1"/>
  <c r="K142" i="15"/>
  <c r="AG77" i="29"/>
  <c r="AF78" i="29" s="1"/>
  <c r="T127" i="29"/>
  <c r="S127" i="29"/>
  <c r="W127" i="29" s="1"/>
  <c r="R128" i="29" s="1"/>
  <c r="U128" i="29" s="1"/>
  <c r="J58" i="29"/>
  <c r="H57" i="29"/>
  <c r="C141" i="29"/>
  <c r="AZ141" i="29"/>
  <c r="E142" i="29"/>
  <c r="Y78" i="29"/>
  <c r="AC78" i="29" s="1"/>
  <c r="X79" i="29" s="1"/>
  <c r="G57" i="29"/>
  <c r="T104" i="26"/>
  <c r="S105" i="26" s="1"/>
  <c r="P104" i="26"/>
  <c r="M105" i="26" s="1"/>
  <c r="N105" i="26" s="1"/>
  <c r="R105" i="26" s="1"/>
  <c r="Q106" i="26" s="1"/>
  <c r="J136" i="26"/>
  <c r="L136" i="26" s="1"/>
  <c r="I137" i="26" s="1"/>
  <c r="AJ56" i="26"/>
  <c r="AK56" i="26" s="1"/>
  <c r="AS141" i="26"/>
  <c r="AU141" i="26"/>
  <c r="AQ141" i="26"/>
  <c r="K141" i="26"/>
  <c r="O141" i="26"/>
  <c r="G57" i="26"/>
  <c r="AR57" i="26" s="1"/>
  <c r="AM56" i="26"/>
  <c r="AN56" i="26" s="1"/>
  <c r="AT105" i="26"/>
  <c r="C142" i="26"/>
  <c r="AZ142" i="26"/>
  <c r="E143" i="26"/>
  <c r="T111" i="28"/>
  <c r="S111" i="28"/>
  <c r="W111" i="28" s="1"/>
  <c r="R112" i="28" s="1"/>
  <c r="V112" i="28" s="1"/>
  <c r="Z82" i="28"/>
  <c r="Y82" i="28"/>
  <c r="AC82" i="28" s="1"/>
  <c r="AT110" i="28"/>
  <c r="AE110" i="28"/>
  <c r="AD111" i="28" s="1"/>
  <c r="C142" i="28"/>
  <c r="AZ142" i="28"/>
  <c r="E143" i="28"/>
  <c r="AW52" i="24"/>
  <c r="AX52" i="24" s="1"/>
  <c r="AY52" i="24" s="1"/>
  <c r="F68" i="25"/>
  <c r="U141" i="25"/>
  <c r="V141" i="25"/>
  <c r="AA141" i="25"/>
  <c r="AB141" i="25"/>
  <c r="AR141" i="25"/>
  <c r="BA142" i="25"/>
  <c r="BB142" i="25"/>
  <c r="BC142" i="25"/>
  <c r="AO62" i="25"/>
  <c r="Q62" i="25"/>
  <c r="AJ61" i="25"/>
  <c r="AK61" i="25" s="1"/>
  <c r="AW61" i="25" s="1"/>
  <c r="AX61" i="25" s="1"/>
  <c r="AY61" i="25" s="1"/>
  <c r="AZ142" i="25"/>
  <c r="BD142" i="25"/>
  <c r="C142" i="25"/>
  <c r="E143" i="25"/>
  <c r="AQ141" i="24"/>
  <c r="AS141" i="24"/>
  <c r="AU141" i="24"/>
  <c r="C142" i="24"/>
  <c r="AZ142" i="24"/>
  <c r="E143" i="24"/>
  <c r="H53" i="24"/>
  <c r="F53" i="15"/>
  <c r="AI52" i="15"/>
  <c r="AJ52" i="15" s="1"/>
  <c r="AK52" i="15" s="1"/>
  <c r="AL52" i="15"/>
  <c r="AM52" i="15" s="1"/>
  <c r="AN52" i="15" s="1"/>
  <c r="AQ143" i="15"/>
  <c r="AS143" i="15"/>
  <c r="AU143" i="15"/>
  <c r="P104" i="15"/>
  <c r="M105" i="15" s="1"/>
  <c r="N105" i="15" s="1"/>
  <c r="AV51" i="23"/>
  <c r="H52" i="23"/>
  <c r="O140" i="25"/>
  <c r="I140" i="25"/>
  <c r="AW30" i="19"/>
  <c r="AX30" i="19" s="1"/>
  <c r="AY30" i="19" s="1"/>
  <c r="AR142" i="19"/>
  <c r="AG63" i="19"/>
  <c r="AF64" i="19" s="1"/>
  <c r="Y64" i="19"/>
  <c r="AC64" i="19" s="1"/>
  <c r="X65" i="19" s="1"/>
  <c r="Z64" i="19"/>
  <c r="J32" i="19"/>
  <c r="G31" i="19"/>
  <c r="H31" i="19"/>
  <c r="AP32" i="17"/>
  <c r="AO32" i="17"/>
  <c r="K32" i="17"/>
  <c r="AI32" i="17"/>
  <c r="AJ32" i="17" s="1"/>
  <c r="AK32" i="17" s="1"/>
  <c r="AG65" i="17"/>
  <c r="AF66" i="17" s="1"/>
  <c r="AU105" i="14"/>
  <c r="AQ105" i="14"/>
  <c r="F106" i="14"/>
  <c r="AS105" i="14"/>
  <c r="AT62" i="19"/>
  <c r="AE62" i="19"/>
  <c r="AD63" i="19" s="1"/>
  <c r="T63" i="19"/>
  <c r="S63" i="19"/>
  <c r="W63" i="19" s="1"/>
  <c r="R64" i="19" s="1"/>
  <c r="L100" i="15"/>
  <c r="I101" i="15" s="1"/>
  <c r="J101" i="15" s="1"/>
  <c r="AT70" i="17"/>
  <c r="AE70" i="17"/>
  <c r="AD71" i="17" s="1"/>
  <c r="T100" i="15"/>
  <c r="S101" i="15" s="1"/>
  <c r="R100" i="15"/>
  <c r="Q101" i="15" s="1"/>
  <c r="AT101" i="15" s="1"/>
  <c r="P73" i="17"/>
  <c r="M72" i="17"/>
  <c r="Q72" i="17" s="1"/>
  <c r="L73" i="17" s="1"/>
  <c r="N72" i="17"/>
  <c r="S71" i="17"/>
  <c r="W71" i="17" s="1"/>
  <c r="R72" i="17" s="1"/>
  <c r="T71" i="17"/>
  <c r="Z66" i="17"/>
  <c r="Y66" i="17"/>
  <c r="AC66" i="17" s="1"/>
  <c r="X67" i="17" s="1"/>
  <c r="AB143" i="17"/>
  <c r="O143" i="17"/>
  <c r="I143" i="17"/>
  <c r="U143" i="17"/>
  <c r="U143" i="19"/>
  <c r="V143" i="17"/>
  <c r="AA143" i="19"/>
  <c r="V143" i="19"/>
  <c r="AB143" i="19"/>
  <c r="AA143" i="17"/>
  <c r="O143" i="19"/>
  <c r="I143" i="19"/>
  <c r="P73" i="19"/>
  <c r="N72" i="19"/>
  <c r="M72" i="19"/>
  <c r="Q72" i="19" s="1"/>
  <c r="L73" i="19" s="1"/>
  <c r="E144" i="19"/>
  <c r="AZ143" i="19"/>
  <c r="C143" i="19"/>
  <c r="AR142" i="16"/>
  <c r="BD143" i="16"/>
  <c r="E144" i="16"/>
  <c r="AZ143" i="16"/>
  <c r="C143" i="16"/>
  <c r="C142" i="18"/>
  <c r="E143" i="18"/>
  <c r="AZ142" i="18"/>
  <c r="AZ142" i="17"/>
  <c r="E143" i="17"/>
  <c r="C142" i="17"/>
  <c r="K141" i="18"/>
  <c r="AQ141" i="18"/>
  <c r="AU141" i="18"/>
  <c r="O141" i="18"/>
  <c r="AS141" i="18"/>
  <c r="J140" i="18"/>
  <c r="L140" i="18" s="1"/>
  <c r="I141" i="18" s="1"/>
  <c r="AR66" i="18"/>
  <c r="H66" i="18"/>
  <c r="AL66" i="18" s="1"/>
  <c r="AM66" i="18" s="1"/>
  <c r="AN66" i="18" s="1"/>
  <c r="AZ144" i="15"/>
  <c r="C144" i="15"/>
  <c r="E145" i="15"/>
  <c r="P107" i="18"/>
  <c r="M108" i="18" s="1"/>
  <c r="N108" i="18" s="1"/>
  <c r="T107" i="18"/>
  <c r="S108" i="18" s="1"/>
  <c r="R106" i="18"/>
  <c r="Q107" i="18" s="1"/>
  <c r="AT107" i="18" s="1"/>
  <c r="AQ148" i="3"/>
  <c r="AE145" i="3"/>
  <c r="BC144" i="3"/>
  <c r="AD143" i="3"/>
  <c r="AI143" i="3" s="1"/>
  <c r="BE143" i="3" s="1"/>
  <c r="AM145" i="3"/>
  <c r="Y145" i="3"/>
  <c r="AC144" i="3"/>
  <c r="H145" i="3"/>
  <c r="AF144" i="3"/>
  <c r="AK144" i="3" s="1"/>
  <c r="BD144" i="3"/>
  <c r="AH145" i="3"/>
  <c r="AG145" i="3"/>
  <c r="AV146" i="3"/>
  <c r="AX146" i="3" s="1"/>
  <c r="G147" i="3"/>
  <c r="V146" i="3"/>
  <c r="X146" i="3" s="1"/>
  <c r="AW148" i="3"/>
  <c r="AL145" i="3"/>
  <c r="A146" i="3"/>
  <c r="BI146" i="3" s="1"/>
  <c r="BJ146" i="3" s="1"/>
  <c r="AT106" i="25" l="1"/>
  <c r="AE106" i="25"/>
  <c r="AD107" i="25" s="1"/>
  <c r="S107" i="25"/>
  <c r="W107" i="25" s="1"/>
  <c r="R108" i="25" s="1"/>
  <c r="T107" i="25"/>
  <c r="AI58" i="28"/>
  <c r="AJ58" i="28" s="1"/>
  <c r="AK58" i="28" s="1"/>
  <c r="AU56" i="29"/>
  <c r="L57" i="29"/>
  <c r="P58" i="29" s="1"/>
  <c r="AS56" i="29"/>
  <c r="K58" i="28"/>
  <c r="AU58" i="28" s="1"/>
  <c r="AO58" i="28"/>
  <c r="AM56" i="29"/>
  <c r="AN56" i="29" s="1"/>
  <c r="AT79" i="29"/>
  <c r="Z79" i="29"/>
  <c r="AA79" i="29"/>
  <c r="AE79" i="29" s="1"/>
  <c r="AD80" i="29" s="1"/>
  <c r="AR148" i="3"/>
  <c r="BB146" i="3"/>
  <c r="R76" i="24"/>
  <c r="Q77" i="24" s="1"/>
  <c r="AT77" i="24" s="1"/>
  <c r="L76" i="24"/>
  <c r="I77" i="24" s="1"/>
  <c r="Y74" i="25"/>
  <c r="AG74" i="25" s="1"/>
  <c r="AF75" i="25" s="1"/>
  <c r="O81" i="24"/>
  <c r="N81" i="24"/>
  <c r="AW56" i="26"/>
  <c r="AX56" i="26" s="1"/>
  <c r="AY56" i="26" s="1"/>
  <c r="AN146" i="20"/>
  <c r="P146" i="20"/>
  <c r="O147" i="20"/>
  <c r="AQ146" i="20"/>
  <c r="AR146" i="20" s="1"/>
  <c r="BG144" i="3"/>
  <c r="AJ143" i="3"/>
  <c r="BF143" i="3" s="1"/>
  <c r="K143" i="15"/>
  <c r="O143" i="15"/>
  <c r="T128" i="29"/>
  <c r="S128" i="29"/>
  <c r="W128" i="29" s="1"/>
  <c r="R129" i="29" s="1"/>
  <c r="U129" i="29" s="1"/>
  <c r="AZ142" i="29"/>
  <c r="C142" i="29"/>
  <c r="E143" i="29"/>
  <c r="Y79" i="29"/>
  <c r="AC79" i="29" s="1"/>
  <c r="X80" i="29" s="1"/>
  <c r="AG78" i="29"/>
  <c r="AF79" i="29" s="1"/>
  <c r="AT106" i="26"/>
  <c r="J137" i="26"/>
  <c r="L137" i="26" s="1"/>
  <c r="I138" i="26" s="1"/>
  <c r="P105" i="26"/>
  <c r="M106" i="26" s="1"/>
  <c r="T105" i="26"/>
  <c r="S106" i="26" s="1"/>
  <c r="H57" i="26"/>
  <c r="K142" i="26"/>
  <c r="O142" i="26"/>
  <c r="AS142" i="26"/>
  <c r="AU142" i="26"/>
  <c r="AQ142" i="26"/>
  <c r="C143" i="26"/>
  <c r="AZ143" i="26"/>
  <c r="E144" i="26"/>
  <c r="AG82" i="28"/>
  <c r="AF83" i="28" s="1"/>
  <c r="T112" i="28"/>
  <c r="S112" i="28"/>
  <c r="W112" i="28" s="1"/>
  <c r="R113" i="28" s="1"/>
  <c r="V113" i="28" s="1"/>
  <c r="AT111" i="28"/>
  <c r="AE111" i="28"/>
  <c r="AD112" i="28" s="1"/>
  <c r="AZ143" i="28"/>
  <c r="C143" i="28"/>
  <c r="E144" i="28"/>
  <c r="X83" i="28"/>
  <c r="AB83" i="28" s="1"/>
  <c r="AW52" i="15"/>
  <c r="AX52" i="15" s="1"/>
  <c r="AY52" i="15" s="1"/>
  <c r="G68" i="25"/>
  <c r="K68" i="25" s="1"/>
  <c r="J69" i="25"/>
  <c r="H68" i="25"/>
  <c r="U142" i="25"/>
  <c r="V142" i="25"/>
  <c r="AA142" i="25"/>
  <c r="AB142" i="25"/>
  <c r="AR142" i="25"/>
  <c r="BA143" i="25"/>
  <c r="BB143" i="25"/>
  <c r="BC143" i="25"/>
  <c r="AU62" i="25"/>
  <c r="AI62" i="25"/>
  <c r="AS62" i="25"/>
  <c r="AQ62" i="25"/>
  <c r="C143" i="25"/>
  <c r="AZ143" i="25"/>
  <c r="BD143" i="25"/>
  <c r="E144" i="25"/>
  <c r="AM62" i="25"/>
  <c r="AN62" i="25" s="1"/>
  <c r="L63" i="25"/>
  <c r="C143" i="24"/>
  <c r="AZ143" i="24"/>
  <c r="E144" i="24"/>
  <c r="F54" i="24"/>
  <c r="AI53" i="24"/>
  <c r="AJ53" i="24" s="1"/>
  <c r="AL53" i="24"/>
  <c r="AM53" i="24" s="1"/>
  <c r="AQ142" i="24"/>
  <c r="AS142" i="24"/>
  <c r="AU142" i="24"/>
  <c r="G53" i="15"/>
  <c r="AR53" i="15" s="1"/>
  <c r="AQ144" i="15"/>
  <c r="AS144" i="15"/>
  <c r="AU144" i="15"/>
  <c r="P105" i="15"/>
  <c r="M106" i="15" s="1"/>
  <c r="N106" i="15" s="1"/>
  <c r="AZ51" i="23"/>
  <c r="BC51" i="23" s="1"/>
  <c r="BG51" i="23"/>
  <c r="F53" i="23"/>
  <c r="AL52" i="23"/>
  <c r="AI52" i="23"/>
  <c r="K57" i="29"/>
  <c r="O141" i="25"/>
  <c r="I141" i="25"/>
  <c r="AD144" i="3"/>
  <c r="AI144" i="3" s="1"/>
  <c r="BE144" i="3" s="1"/>
  <c r="AV105" i="14"/>
  <c r="BG105" i="14" s="1"/>
  <c r="AR143" i="19"/>
  <c r="AO31" i="19"/>
  <c r="AP31" i="19"/>
  <c r="Z65" i="19"/>
  <c r="Y65" i="19"/>
  <c r="AC65" i="19" s="1"/>
  <c r="X66" i="19" s="1"/>
  <c r="K31" i="19"/>
  <c r="AI31" i="19"/>
  <c r="AJ31" i="19" s="1"/>
  <c r="AK31" i="19" s="1"/>
  <c r="AL31" i="19"/>
  <c r="AM31" i="19" s="1"/>
  <c r="AN31" i="19" s="1"/>
  <c r="AG64" i="19"/>
  <c r="AF65" i="19" s="1"/>
  <c r="T101" i="15"/>
  <c r="S102" i="15" s="1"/>
  <c r="F33" i="17"/>
  <c r="AQ32" i="17"/>
  <c r="AS32" i="17"/>
  <c r="AU32" i="17"/>
  <c r="L101" i="15"/>
  <c r="I102" i="15" s="1"/>
  <c r="J102" i="15" s="1"/>
  <c r="G106" i="14"/>
  <c r="K106" i="14" s="1"/>
  <c r="H106" i="14"/>
  <c r="J107" i="14"/>
  <c r="T64" i="19"/>
  <c r="S64" i="19"/>
  <c r="W64" i="19" s="1"/>
  <c r="R65" i="19" s="1"/>
  <c r="AE63" i="19"/>
  <c r="AD64" i="19" s="1"/>
  <c r="AT63" i="19"/>
  <c r="R101" i="15"/>
  <c r="Q102" i="15" s="1"/>
  <c r="AT102" i="15" s="1"/>
  <c r="N73" i="19"/>
  <c r="M73" i="19"/>
  <c r="Q73" i="19" s="1"/>
  <c r="L74" i="19" s="1"/>
  <c r="P74" i="19"/>
  <c r="AG66" i="17"/>
  <c r="AF67" i="17" s="1"/>
  <c r="N73" i="17"/>
  <c r="P74" i="17"/>
  <c r="M73" i="17"/>
  <c r="Q73" i="17" s="1"/>
  <c r="L74" i="17" s="1"/>
  <c r="S72" i="17"/>
  <c r="W72" i="17" s="1"/>
  <c r="R73" i="17" s="1"/>
  <c r="T72" i="17"/>
  <c r="V144" i="17"/>
  <c r="AB144" i="17"/>
  <c r="I144" i="17"/>
  <c r="U144" i="17"/>
  <c r="V144" i="19"/>
  <c r="O144" i="17"/>
  <c r="O144" i="19"/>
  <c r="AB144" i="19"/>
  <c r="I144" i="19"/>
  <c r="U144" i="19"/>
  <c r="AA144" i="17"/>
  <c r="AA144" i="19"/>
  <c r="Y67" i="17"/>
  <c r="AC67" i="17" s="1"/>
  <c r="X68" i="17" s="1"/>
  <c r="Z67" i="17"/>
  <c r="AT71" i="17"/>
  <c r="AE71" i="17"/>
  <c r="AD72" i="17" s="1"/>
  <c r="AZ144" i="19"/>
  <c r="E145" i="19"/>
  <c r="C144" i="19"/>
  <c r="AR143" i="16"/>
  <c r="BD144" i="16"/>
  <c r="C144" i="16"/>
  <c r="AZ144" i="16"/>
  <c r="E145" i="16"/>
  <c r="J141" i="18"/>
  <c r="L141" i="18" s="1"/>
  <c r="I142" i="18" s="1"/>
  <c r="AZ143" i="18"/>
  <c r="C143" i="18"/>
  <c r="E144" i="18"/>
  <c r="AZ143" i="17"/>
  <c r="E144" i="17"/>
  <c r="C143" i="17"/>
  <c r="AS142" i="18"/>
  <c r="AU142" i="18"/>
  <c r="O142" i="18"/>
  <c r="AQ142" i="18"/>
  <c r="K142" i="18"/>
  <c r="AI66" i="18"/>
  <c r="AJ66" i="18" s="1"/>
  <c r="AK66" i="18" s="1"/>
  <c r="AW66" i="18" s="1"/>
  <c r="AX66" i="18" s="1"/>
  <c r="AY66" i="18" s="1"/>
  <c r="F67" i="18"/>
  <c r="G67" i="18" s="1"/>
  <c r="AR67" i="18" s="1"/>
  <c r="AZ145" i="15"/>
  <c r="E146" i="15"/>
  <c r="C145" i="15"/>
  <c r="P108" i="18"/>
  <c r="M109" i="18" s="1"/>
  <c r="N109" i="18" s="1"/>
  <c r="R107" i="18"/>
  <c r="Q108" i="18" s="1"/>
  <c r="AT108" i="18" s="1"/>
  <c r="T108" i="18"/>
  <c r="S109" i="18" s="1"/>
  <c r="BD145" i="3"/>
  <c r="AH146" i="3"/>
  <c r="AQ149" i="3"/>
  <c r="A147" i="3"/>
  <c r="BI147" i="3" s="1"/>
  <c r="BJ147" i="3" s="1"/>
  <c r="AW149" i="3"/>
  <c r="AC145" i="3"/>
  <c r="Y146" i="3"/>
  <c r="AM146" i="3"/>
  <c r="AE146" i="3"/>
  <c r="BC145" i="3"/>
  <c r="P149" i="3"/>
  <c r="AL146" i="3"/>
  <c r="AV147" i="3"/>
  <c r="AX147" i="3" s="1"/>
  <c r="V147" i="3"/>
  <c r="X147" i="3" s="1"/>
  <c r="G148" i="3"/>
  <c r="AG146" i="3"/>
  <c r="H146" i="3"/>
  <c r="AF145" i="3"/>
  <c r="AD145" i="3" s="1"/>
  <c r="AN149" i="3"/>
  <c r="AN150" i="3" s="1"/>
  <c r="AE107" i="25" l="1"/>
  <c r="AD108" i="25" s="1"/>
  <c r="AT107" i="25"/>
  <c r="T108" i="25"/>
  <c r="S108" i="25"/>
  <c r="W108" i="25" s="1"/>
  <c r="R109" i="25" s="1"/>
  <c r="F59" i="28"/>
  <c r="I59" i="28" s="1"/>
  <c r="Q59" i="28" s="1"/>
  <c r="L60" i="28" s="1"/>
  <c r="O60" i="28" s="1"/>
  <c r="AW56" i="29"/>
  <c r="AX56" i="29" s="1"/>
  <c r="AY56" i="29" s="1"/>
  <c r="O57" i="29"/>
  <c r="AQ58" i="28"/>
  <c r="M57" i="29"/>
  <c r="AI57" i="29" s="1"/>
  <c r="AJ57" i="29" s="1"/>
  <c r="AK57" i="29" s="1"/>
  <c r="AS58" i="28"/>
  <c r="N57" i="29"/>
  <c r="AT80" i="29"/>
  <c r="Z80" i="29"/>
  <c r="AA80" i="29"/>
  <c r="AE80" i="29" s="1"/>
  <c r="AD81" i="29" s="1"/>
  <c r="AR149" i="3"/>
  <c r="BB147" i="3"/>
  <c r="AC74" i="25"/>
  <c r="X75" i="25" s="1"/>
  <c r="Z75" i="25" s="1"/>
  <c r="P81" i="24"/>
  <c r="M82" i="24" s="1"/>
  <c r="K77" i="24"/>
  <c r="R77" i="24" s="1"/>
  <c r="Q78" i="24" s="1"/>
  <c r="AT78" i="24" s="1"/>
  <c r="J77" i="24"/>
  <c r="P147" i="20"/>
  <c r="AK145" i="3"/>
  <c r="BG145" i="3" s="1"/>
  <c r="AN147" i="20"/>
  <c r="AQ147" i="20"/>
  <c r="AR147" i="20" s="1"/>
  <c r="O148" i="20"/>
  <c r="K144" i="15"/>
  <c r="O144" i="15"/>
  <c r="AG79" i="29"/>
  <c r="AF80" i="29" s="1"/>
  <c r="T129" i="29"/>
  <c r="S129" i="29"/>
  <c r="W129" i="29" s="1"/>
  <c r="R130" i="29" s="1"/>
  <c r="U130" i="29" s="1"/>
  <c r="C143" i="29"/>
  <c r="AZ143" i="29"/>
  <c r="E144" i="29"/>
  <c r="F58" i="29"/>
  <c r="I58" i="29" s="1"/>
  <c r="AR58" i="29" s="1"/>
  <c r="Y80" i="29"/>
  <c r="J138" i="26"/>
  <c r="L138" i="26" s="1"/>
  <c r="I139" i="26" s="1"/>
  <c r="K143" i="26"/>
  <c r="O143" i="26"/>
  <c r="AQ143" i="26"/>
  <c r="AS143" i="26"/>
  <c r="AU143" i="26"/>
  <c r="F58" i="26"/>
  <c r="AI57" i="26"/>
  <c r="AJ57" i="26" s="1"/>
  <c r="AK57" i="26" s="1"/>
  <c r="AL57" i="26"/>
  <c r="N106" i="26"/>
  <c r="R106" i="26" s="1"/>
  <c r="Q107" i="26" s="1"/>
  <c r="AZ144" i="26"/>
  <c r="C144" i="26"/>
  <c r="E145" i="26"/>
  <c r="T113" i="28"/>
  <c r="S113" i="28"/>
  <c r="W113" i="28" s="1"/>
  <c r="R114" i="28" s="1"/>
  <c r="V114" i="28" s="1"/>
  <c r="AT112" i="28"/>
  <c r="AE112" i="28"/>
  <c r="AD113" i="28" s="1"/>
  <c r="Z83" i="28"/>
  <c r="Y83" i="28"/>
  <c r="AC83" i="28" s="1"/>
  <c r="C144" i="28"/>
  <c r="AZ144" i="28"/>
  <c r="E145" i="28"/>
  <c r="F69" i="25"/>
  <c r="BA144" i="25"/>
  <c r="BB144" i="25"/>
  <c r="BC144" i="25"/>
  <c r="U143" i="25"/>
  <c r="V143" i="25"/>
  <c r="AA143" i="25"/>
  <c r="AB143" i="25"/>
  <c r="AR143" i="25"/>
  <c r="P64" i="25"/>
  <c r="N63" i="25"/>
  <c r="AP63" i="25" s="1"/>
  <c r="M63" i="25"/>
  <c r="AL63" i="25" s="1"/>
  <c r="AJ62" i="25"/>
  <c r="AK62" i="25" s="1"/>
  <c r="AW62" i="25" s="1"/>
  <c r="AX62" i="25" s="1"/>
  <c r="AY62" i="25" s="1"/>
  <c r="AZ144" i="25"/>
  <c r="BD144" i="25"/>
  <c r="C144" i="25"/>
  <c r="E145" i="25"/>
  <c r="AQ143" i="24"/>
  <c r="AS143" i="24"/>
  <c r="AU143" i="24"/>
  <c r="AN53" i="24"/>
  <c r="AZ144" i="24"/>
  <c r="C144" i="24"/>
  <c r="E145" i="24"/>
  <c r="AK53" i="24"/>
  <c r="G54" i="24"/>
  <c r="AR54" i="24" s="1"/>
  <c r="H53" i="15"/>
  <c r="AS145" i="15"/>
  <c r="AU145" i="15"/>
  <c r="K145" i="15"/>
  <c r="O145" i="15"/>
  <c r="AQ145" i="15"/>
  <c r="P106" i="15"/>
  <c r="M107" i="15" s="1"/>
  <c r="N107" i="15" s="1"/>
  <c r="G53" i="23"/>
  <c r="AR53" i="23" s="1"/>
  <c r="AM52" i="23"/>
  <c r="AN52" i="23" s="1"/>
  <c r="AJ52" i="23"/>
  <c r="AK52" i="23" s="1"/>
  <c r="I142" i="25"/>
  <c r="O142" i="25"/>
  <c r="AJ144" i="3"/>
  <c r="BF144" i="3" s="1"/>
  <c r="AJ145" i="3"/>
  <c r="BF145" i="3" s="1"/>
  <c r="AG65" i="19"/>
  <c r="AF66" i="19" s="1"/>
  <c r="AZ105" i="14"/>
  <c r="BC105" i="14" s="1"/>
  <c r="AW32" i="17"/>
  <c r="AX32" i="17" s="1"/>
  <c r="AY32" i="17" s="1"/>
  <c r="T102" i="15"/>
  <c r="S103" i="15" s="1"/>
  <c r="Y66" i="19"/>
  <c r="AC66" i="19" s="1"/>
  <c r="X67" i="19" s="1"/>
  <c r="Z66" i="19"/>
  <c r="F32" i="19"/>
  <c r="AQ31" i="19"/>
  <c r="AU31" i="19"/>
  <c r="AS31" i="19"/>
  <c r="G33" i="17"/>
  <c r="AI33" i="17" s="1"/>
  <c r="AJ33" i="17" s="1"/>
  <c r="AK33" i="17" s="1"/>
  <c r="J34" i="17"/>
  <c r="H33" i="17"/>
  <c r="F107" i="14"/>
  <c r="AQ106" i="14"/>
  <c r="AS106" i="14"/>
  <c r="AU106" i="14"/>
  <c r="R102" i="15"/>
  <c r="Q103" i="15" s="1"/>
  <c r="AT103" i="15" s="1"/>
  <c r="AI106" i="14"/>
  <c r="AJ106" i="14" s="1"/>
  <c r="AK106" i="14" s="1"/>
  <c r="AL106" i="14"/>
  <c r="AM106" i="14" s="1"/>
  <c r="AN106" i="14" s="1"/>
  <c r="AO106" i="14"/>
  <c r="AP106" i="14"/>
  <c r="AT64" i="19"/>
  <c r="AE64" i="19"/>
  <c r="AD65" i="19" s="1"/>
  <c r="S65" i="19"/>
  <c r="W65" i="19" s="1"/>
  <c r="R66" i="19" s="1"/>
  <c r="T65" i="19"/>
  <c r="AG67" i="17"/>
  <c r="AF68" i="17" s="1"/>
  <c r="AB145" i="17"/>
  <c r="O145" i="17"/>
  <c r="AA145" i="17"/>
  <c r="V145" i="17"/>
  <c r="AA145" i="19"/>
  <c r="I145" i="19"/>
  <c r="U145" i="17"/>
  <c r="AB145" i="19"/>
  <c r="I145" i="17"/>
  <c r="V145" i="19"/>
  <c r="O145" i="19"/>
  <c r="U145" i="19"/>
  <c r="Z68" i="17"/>
  <c r="Y68" i="17"/>
  <c r="AC68" i="17" s="1"/>
  <c r="X69" i="17" s="1"/>
  <c r="AR144" i="19"/>
  <c r="N74" i="17"/>
  <c r="M74" i="17"/>
  <c r="Q74" i="17" s="1"/>
  <c r="L75" i="17" s="1"/>
  <c r="P75" i="17"/>
  <c r="AT72" i="17"/>
  <c r="AE72" i="17"/>
  <c r="AD73" i="17" s="1"/>
  <c r="M74" i="19"/>
  <c r="Q74" i="19" s="1"/>
  <c r="L75" i="19" s="1"/>
  <c r="N74" i="19"/>
  <c r="P75" i="19"/>
  <c r="S73" i="17"/>
  <c r="W73" i="17" s="1"/>
  <c r="R74" i="17" s="1"/>
  <c r="T73" i="17"/>
  <c r="AZ145" i="19"/>
  <c r="E146" i="19"/>
  <c r="C145" i="19"/>
  <c r="AZ145" i="16"/>
  <c r="BD145" i="16"/>
  <c r="C145" i="16"/>
  <c r="E146" i="16"/>
  <c r="AR144" i="16"/>
  <c r="J142" i="18"/>
  <c r="L142" i="18" s="1"/>
  <c r="I143" i="18" s="1"/>
  <c r="E145" i="17"/>
  <c r="AZ144" i="17"/>
  <c r="C144" i="17"/>
  <c r="AQ143" i="18"/>
  <c r="O143" i="18"/>
  <c r="K143" i="18"/>
  <c r="AU143" i="18"/>
  <c r="AS143" i="18"/>
  <c r="H67" i="18"/>
  <c r="F68" i="18" s="1"/>
  <c r="G68" i="18" s="1"/>
  <c r="AR68" i="18" s="1"/>
  <c r="E145" i="18"/>
  <c r="AZ144" i="18"/>
  <c r="C144" i="18"/>
  <c r="AZ146" i="15"/>
  <c r="E147" i="15"/>
  <c r="C146" i="15"/>
  <c r="T109" i="18"/>
  <c r="S110" i="18" s="1"/>
  <c r="P109" i="18"/>
  <c r="M110" i="18" s="1"/>
  <c r="N110" i="18" s="1"/>
  <c r="R108" i="18"/>
  <c r="Q109" i="18" s="1"/>
  <c r="AT109" i="18" s="1"/>
  <c r="L102" i="15"/>
  <c r="I103" i="15" s="1"/>
  <c r="J103" i="15" s="1"/>
  <c r="H147" i="3"/>
  <c r="AF146" i="3"/>
  <c r="AK146" i="3" s="1"/>
  <c r="Y147" i="3"/>
  <c r="AC146" i="3"/>
  <c r="AE147" i="3"/>
  <c r="BC146" i="3"/>
  <c r="AI145" i="3"/>
  <c r="BE145" i="3" s="1"/>
  <c r="A148" i="3"/>
  <c r="BI148" i="3" s="1"/>
  <c r="BJ148" i="3" s="1"/>
  <c r="AG147" i="3"/>
  <c r="AL147" i="3"/>
  <c r="AQ150" i="3"/>
  <c r="BD146" i="3"/>
  <c r="AH147" i="3"/>
  <c r="AV148" i="3"/>
  <c r="AX148" i="3" s="1"/>
  <c r="V148" i="3"/>
  <c r="X148" i="3" s="1"/>
  <c r="G149" i="3"/>
  <c r="P150" i="3"/>
  <c r="AM147" i="3"/>
  <c r="AW150" i="3"/>
  <c r="AT108" i="25" l="1"/>
  <c r="AE108" i="25"/>
  <c r="AD109" i="25" s="1"/>
  <c r="T109" i="25"/>
  <c r="S109" i="25"/>
  <c r="W109" i="25" s="1"/>
  <c r="R110" i="25" s="1"/>
  <c r="AW58" i="28"/>
  <c r="AX58" i="28" s="1"/>
  <c r="AY58" i="28" s="1"/>
  <c r="Q57" i="29"/>
  <c r="L58" i="29" s="1"/>
  <c r="N58" i="29" s="1"/>
  <c r="N60" i="28"/>
  <c r="H59" i="28"/>
  <c r="AP59" i="28" s="1"/>
  <c r="AO57" i="29"/>
  <c r="AP57" i="29"/>
  <c r="M60" i="28"/>
  <c r="P61" i="28"/>
  <c r="O58" i="29"/>
  <c r="G59" i="28"/>
  <c r="AI59" i="28" s="1"/>
  <c r="AJ59" i="28" s="1"/>
  <c r="AK59" i="28" s="1"/>
  <c r="J60" i="28"/>
  <c r="AL57" i="29"/>
  <c r="AM57" i="29" s="1"/>
  <c r="AT81" i="29"/>
  <c r="AN148" i="20"/>
  <c r="AR150" i="3"/>
  <c r="BB148" i="3"/>
  <c r="Y75" i="25"/>
  <c r="AG75" i="25" s="1"/>
  <c r="AF76" i="25" s="1"/>
  <c r="O82" i="24"/>
  <c r="N82" i="24"/>
  <c r="L77" i="24"/>
  <c r="I78" i="24" s="1"/>
  <c r="T77" i="24"/>
  <c r="S78" i="24" s="1"/>
  <c r="P148" i="20"/>
  <c r="AQ148" i="20"/>
  <c r="AR148" i="20" s="1"/>
  <c r="O149" i="20"/>
  <c r="BG146" i="3"/>
  <c r="AG80" i="29"/>
  <c r="AF81" i="29" s="1"/>
  <c r="T130" i="29"/>
  <c r="S130" i="29"/>
  <c r="W130" i="29" s="1"/>
  <c r="R131" i="29" s="1"/>
  <c r="U131" i="29" s="1"/>
  <c r="AZ144" i="29"/>
  <c r="C144" i="29"/>
  <c r="E145" i="29"/>
  <c r="J59" i="29"/>
  <c r="H58" i="29"/>
  <c r="G58" i="29"/>
  <c r="P106" i="26"/>
  <c r="M107" i="26" s="1"/>
  <c r="N107" i="26" s="1"/>
  <c r="R107" i="26" s="1"/>
  <c r="Q108" i="26" s="1"/>
  <c r="J139" i="26"/>
  <c r="L139" i="26" s="1"/>
  <c r="I140" i="26" s="1"/>
  <c r="T106" i="26"/>
  <c r="S107" i="26" s="1"/>
  <c r="O144" i="26"/>
  <c r="AQ144" i="26"/>
  <c r="AS144" i="26"/>
  <c r="AU144" i="26"/>
  <c r="K144" i="26"/>
  <c r="AT107" i="26"/>
  <c r="AM57" i="26"/>
  <c r="AN57" i="26" s="1"/>
  <c r="AW57" i="26" s="1"/>
  <c r="AX57" i="26" s="1"/>
  <c r="AY57" i="26" s="1"/>
  <c r="G58" i="26"/>
  <c r="AR58" i="26" s="1"/>
  <c r="C145" i="26"/>
  <c r="AZ145" i="26"/>
  <c r="E146" i="26"/>
  <c r="AG83" i="28"/>
  <c r="AF84" i="28" s="1"/>
  <c r="T114" i="28"/>
  <c r="S114" i="28"/>
  <c r="W114" i="28" s="1"/>
  <c r="R115" i="28" s="1"/>
  <c r="V115" i="28" s="1"/>
  <c r="AT113" i="28"/>
  <c r="AE113" i="28"/>
  <c r="AD114" i="28" s="1"/>
  <c r="X84" i="28"/>
  <c r="AB84" i="28" s="1"/>
  <c r="AZ145" i="28"/>
  <c r="C145" i="28"/>
  <c r="E146" i="28"/>
  <c r="AO63" i="25"/>
  <c r="G69" i="25"/>
  <c r="K69" i="25" s="1"/>
  <c r="H69" i="25"/>
  <c r="J70" i="25"/>
  <c r="U144" i="25"/>
  <c r="V144" i="25"/>
  <c r="AA144" i="25"/>
  <c r="AB144" i="25"/>
  <c r="AR144" i="25"/>
  <c r="BA145" i="25"/>
  <c r="BB145" i="25"/>
  <c r="BC145" i="25"/>
  <c r="AW53" i="24"/>
  <c r="AX53" i="24" s="1"/>
  <c r="AY53" i="24" s="1"/>
  <c r="Q63" i="25"/>
  <c r="C145" i="25"/>
  <c r="AZ145" i="25"/>
  <c r="BD145" i="25"/>
  <c r="E146" i="25"/>
  <c r="AQ144" i="24"/>
  <c r="AS144" i="24"/>
  <c r="AU144" i="24"/>
  <c r="C145" i="24"/>
  <c r="AZ145" i="24"/>
  <c r="E146" i="24"/>
  <c r="H54" i="24"/>
  <c r="H53" i="23"/>
  <c r="F54" i="23" s="1"/>
  <c r="G54" i="23" s="1"/>
  <c r="AR54" i="23" s="1"/>
  <c r="F54" i="15"/>
  <c r="AI53" i="15"/>
  <c r="AJ53" i="15" s="1"/>
  <c r="AK53" i="15" s="1"/>
  <c r="AL53" i="15"/>
  <c r="AM53" i="15" s="1"/>
  <c r="AN53" i="15" s="1"/>
  <c r="AQ146" i="15"/>
  <c r="AS146" i="15"/>
  <c r="AU146" i="15"/>
  <c r="P107" i="15"/>
  <c r="M108" i="15" s="1"/>
  <c r="N108" i="15" s="1"/>
  <c r="AV52" i="23"/>
  <c r="AZ52" i="23" s="1"/>
  <c r="BC52" i="23" s="1"/>
  <c r="AC80" i="29"/>
  <c r="X81" i="29" s="1"/>
  <c r="I143" i="25"/>
  <c r="O143" i="25"/>
  <c r="AW31" i="19"/>
  <c r="AX31" i="19" s="1"/>
  <c r="AY31" i="19" s="1"/>
  <c r="AV106" i="14"/>
  <c r="BG106" i="14" s="1"/>
  <c r="G32" i="19"/>
  <c r="AL32" i="19" s="1"/>
  <c r="AM32" i="19" s="1"/>
  <c r="AN32" i="19" s="1"/>
  <c r="J33" i="19"/>
  <c r="H32" i="19"/>
  <c r="Y67" i="19"/>
  <c r="AC67" i="19" s="1"/>
  <c r="X68" i="19" s="1"/>
  <c r="Z67" i="19"/>
  <c r="AG66" i="19"/>
  <c r="AF67" i="19" s="1"/>
  <c r="AG68" i="17"/>
  <c r="AF69" i="17" s="1"/>
  <c r="AL33" i="17"/>
  <c r="AM33" i="17" s="1"/>
  <c r="AN33" i="17" s="1"/>
  <c r="AP33" i="17"/>
  <c r="AO33" i="17"/>
  <c r="K33" i="17"/>
  <c r="H107" i="14"/>
  <c r="J108" i="14"/>
  <c r="G107" i="14"/>
  <c r="AL107" i="14" s="1"/>
  <c r="AM107" i="14" s="1"/>
  <c r="AN107" i="14" s="1"/>
  <c r="T66" i="19"/>
  <c r="S66" i="19"/>
  <c r="W66" i="19" s="1"/>
  <c r="R67" i="19" s="1"/>
  <c r="AT65" i="19"/>
  <c r="AE65" i="19"/>
  <c r="AD66" i="19" s="1"/>
  <c r="M75" i="17"/>
  <c r="Q75" i="17" s="1"/>
  <c r="L76" i="17" s="1"/>
  <c r="P76" i="17"/>
  <c r="N75" i="17"/>
  <c r="N75" i="19"/>
  <c r="P76" i="19"/>
  <c r="M75" i="19"/>
  <c r="Q75" i="19" s="1"/>
  <c r="L76" i="19" s="1"/>
  <c r="AD146" i="3"/>
  <c r="O146" i="15" s="1"/>
  <c r="AR145" i="19"/>
  <c r="T74" i="17"/>
  <c r="S74" i="17"/>
  <c r="W74" i="17" s="1"/>
  <c r="R75" i="17" s="1"/>
  <c r="V146" i="17"/>
  <c r="AA146" i="17"/>
  <c r="AB146" i="17"/>
  <c r="AB146" i="19"/>
  <c r="O146" i="19"/>
  <c r="U146" i="17"/>
  <c r="I146" i="17"/>
  <c r="V146" i="19"/>
  <c r="U146" i="19"/>
  <c r="O146" i="17"/>
  <c r="I146" i="19"/>
  <c r="AA146" i="19"/>
  <c r="AT73" i="17"/>
  <c r="AE73" i="17"/>
  <c r="AD74" i="17" s="1"/>
  <c r="Y69" i="17"/>
  <c r="AC69" i="17" s="1"/>
  <c r="X70" i="17" s="1"/>
  <c r="Z69" i="17"/>
  <c r="E147" i="19"/>
  <c r="C146" i="19"/>
  <c r="AZ146" i="19"/>
  <c r="AZ146" i="16"/>
  <c r="C146" i="16"/>
  <c r="BD146" i="16"/>
  <c r="E147" i="16"/>
  <c r="AR145" i="16"/>
  <c r="J143" i="18"/>
  <c r="L143" i="18" s="1"/>
  <c r="I144" i="18" s="1"/>
  <c r="AL67" i="18"/>
  <c r="AM67" i="18" s="1"/>
  <c r="AN67" i="18" s="1"/>
  <c r="AI67" i="18"/>
  <c r="AJ67" i="18" s="1"/>
  <c r="AK67" i="18" s="1"/>
  <c r="C145" i="18"/>
  <c r="E146" i="18"/>
  <c r="AZ145" i="18"/>
  <c r="AZ145" i="17"/>
  <c r="C145" i="17"/>
  <c r="E146" i="17"/>
  <c r="AS144" i="18"/>
  <c r="O144" i="18"/>
  <c r="K144" i="18"/>
  <c r="AQ144" i="18"/>
  <c r="AU144" i="18"/>
  <c r="C147" i="15"/>
  <c r="E148" i="15"/>
  <c r="AZ147" i="15"/>
  <c r="H68" i="18"/>
  <c r="P110" i="18"/>
  <c r="M111" i="18" s="1"/>
  <c r="N111" i="18" s="1"/>
  <c r="T110" i="18"/>
  <c r="S111" i="18" s="1"/>
  <c r="R109" i="18"/>
  <c r="Q110" i="18" s="1"/>
  <c r="AT110" i="18" s="1"/>
  <c r="AG148" i="3"/>
  <c r="AE148" i="3"/>
  <c r="BC147" i="3"/>
  <c r="H148" i="3"/>
  <c r="AF147" i="3"/>
  <c r="AK147" i="3" s="1"/>
  <c r="AM148" i="3"/>
  <c r="AQ151" i="3"/>
  <c r="AN151" i="3"/>
  <c r="AN152" i="3" s="1"/>
  <c r="P151" i="3"/>
  <c r="P152" i="3" s="1"/>
  <c r="BD147" i="3"/>
  <c r="AH148" i="3"/>
  <c r="AL148" i="3"/>
  <c r="A149" i="3"/>
  <c r="BI149" i="3" s="1"/>
  <c r="BJ149" i="3" s="1"/>
  <c r="AC147" i="3"/>
  <c r="Y148" i="3"/>
  <c r="AW151" i="3"/>
  <c r="AV149" i="3"/>
  <c r="AX149" i="3" s="1"/>
  <c r="V149" i="3"/>
  <c r="X149" i="3" s="1"/>
  <c r="G150" i="3"/>
  <c r="S110" i="25" l="1"/>
  <c r="W110" i="25" s="1"/>
  <c r="R111" i="25" s="1"/>
  <c r="T110" i="25"/>
  <c r="AT109" i="25"/>
  <c r="AE109" i="25"/>
  <c r="AD110" i="25" s="1"/>
  <c r="AN57" i="29"/>
  <c r="AP58" i="29"/>
  <c r="M58" i="29"/>
  <c r="Q58" i="29" s="1"/>
  <c r="L59" i="29" s="1"/>
  <c r="P60" i="29" s="1"/>
  <c r="P59" i="29"/>
  <c r="AU57" i="29"/>
  <c r="AQ57" i="29"/>
  <c r="AS57" i="29"/>
  <c r="K59" i="28"/>
  <c r="F60" i="28" s="1"/>
  <c r="I60" i="28" s="1"/>
  <c r="Q60" i="28" s="1"/>
  <c r="L61" i="28" s="1"/>
  <c r="AO59" i="28"/>
  <c r="AL59" i="28"/>
  <c r="AM59" i="28" s="1"/>
  <c r="AN59" i="28" s="1"/>
  <c r="O59" i="29"/>
  <c r="Z81" i="29"/>
  <c r="AA81" i="29"/>
  <c r="AE81" i="29" s="1"/>
  <c r="AD82" i="29" s="1"/>
  <c r="AN149" i="20"/>
  <c r="AR151" i="3"/>
  <c r="BB149" i="3"/>
  <c r="AC75" i="25"/>
  <c r="X76" i="25" s="1"/>
  <c r="Z76" i="25" s="1"/>
  <c r="P82" i="24"/>
  <c r="M83" i="24" s="1"/>
  <c r="K78" i="24"/>
  <c r="T78" i="24" s="1"/>
  <c r="S79" i="24" s="1"/>
  <c r="J78" i="24"/>
  <c r="P149" i="20"/>
  <c r="K146" i="15"/>
  <c r="O150" i="20"/>
  <c r="AQ149" i="20"/>
  <c r="AR149" i="20" s="1"/>
  <c r="BG147" i="3"/>
  <c r="AJ146" i="3"/>
  <c r="BF146" i="3" s="1"/>
  <c r="T131" i="29"/>
  <c r="S131" i="29"/>
  <c r="W131" i="29" s="1"/>
  <c r="R132" i="29" s="1"/>
  <c r="U132" i="29" s="1"/>
  <c r="C145" i="29"/>
  <c r="AZ145" i="29"/>
  <c r="E146" i="29"/>
  <c r="AO58" i="29"/>
  <c r="Y81" i="29"/>
  <c r="P107" i="26"/>
  <c r="M108" i="26" s="1"/>
  <c r="N108" i="26" s="1"/>
  <c r="R108" i="26" s="1"/>
  <c r="Q109" i="26" s="1"/>
  <c r="T107" i="26"/>
  <c r="S108" i="26" s="1"/>
  <c r="J140" i="26"/>
  <c r="L140" i="26" s="1"/>
  <c r="I141" i="26" s="1"/>
  <c r="H58" i="26"/>
  <c r="AT108" i="26"/>
  <c r="AS145" i="26"/>
  <c r="AU145" i="26"/>
  <c r="AQ145" i="26"/>
  <c r="K145" i="26"/>
  <c r="O145" i="26"/>
  <c r="C146" i="26"/>
  <c r="AZ146" i="26"/>
  <c r="E147" i="26"/>
  <c r="T115" i="28"/>
  <c r="S115" i="28"/>
  <c r="W115" i="28" s="1"/>
  <c r="R116" i="28" s="1"/>
  <c r="V116" i="28" s="1"/>
  <c r="AT114" i="28"/>
  <c r="AE114" i="28"/>
  <c r="AD115" i="28" s="1"/>
  <c r="Z84" i="28"/>
  <c r="Y84" i="28"/>
  <c r="AC84" i="28" s="1"/>
  <c r="X85" i="28" s="1"/>
  <c r="AB85" i="28" s="1"/>
  <c r="C146" i="28"/>
  <c r="AZ146" i="28"/>
  <c r="E147" i="28"/>
  <c r="F70" i="25"/>
  <c r="AS63" i="25"/>
  <c r="AQ63" i="25"/>
  <c r="AI63" i="25"/>
  <c r="AU63" i="25"/>
  <c r="AR145" i="25"/>
  <c r="U145" i="25"/>
  <c r="V145" i="25"/>
  <c r="AA145" i="25"/>
  <c r="AB145" i="25"/>
  <c r="BA146" i="25"/>
  <c r="BB146" i="25"/>
  <c r="BC146" i="25"/>
  <c r="AM63" i="25"/>
  <c r="AN63" i="25" s="1"/>
  <c r="L64" i="25"/>
  <c r="AZ146" i="25"/>
  <c r="C146" i="25"/>
  <c r="BD146" i="25"/>
  <c r="E147" i="25"/>
  <c r="C146" i="24"/>
  <c r="AZ146" i="24"/>
  <c r="E147" i="24"/>
  <c r="AL53" i="23"/>
  <c r="AM53" i="23" s="1"/>
  <c r="AN53" i="23" s="1"/>
  <c r="AI53" i="23"/>
  <c r="AJ53" i="23" s="1"/>
  <c r="AK53" i="23" s="1"/>
  <c r="F55" i="24"/>
  <c r="AI54" i="24"/>
  <c r="AJ54" i="24" s="1"/>
  <c r="AL54" i="24"/>
  <c r="AM54" i="24" s="1"/>
  <c r="AU145" i="24"/>
  <c r="AS145" i="24"/>
  <c r="AQ145" i="24"/>
  <c r="AW53" i="15"/>
  <c r="AX53" i="15" s="1"/>
  <c r="AY53" i="15" s="1"/>
  <c r="G54" i="15"/>
  <c r="AR54" i="15" s="1"/>
  <c r="AQ147" i="15"/>
  <c r="AS147" i="15"/>
  <c r="AU147" i="15"/>
  <c r="P108" i="15"/>
  <c r="M109" i="15" s="1"/>
  <c r="N109" i="15" s="1"/>
  <c r="BG52" i="23"/>
  <c r="H54" i="23"/>
  <c r="F55" i="23" s="1"/>
  <c r="K58" i="29"/>
  <c r="O144" i="25"/>
  <c r="I144" i="25"/>
  <c r="AZ106" i="14"/>
  <c r="BC106" i="14" s="1"/>
  <c r="AI146" i="3"/>
  <c r="BE146" i="3" s="1"/>
  <c r="AG67" i="19"/>
  <c r="AF68" i="19" s="1"/>
  <c r="AI32" i="19"/>
  <c r="AJ32" i="19" s="1"/>
  <c r="AK32" i="19" s="1"/>
  <c r="AR146" i="19"/>
  <c r="AO32" i="19"/>
  <c r="AP32" i="19"/>
  <c r="K32" i="19"/>
  <c r="Y68" i="19"/>
  <c r="AC68" i="19" s="1"/>
  <c r="X69" i="19" s="1"/>
  <c r="Z68" i="19"/>
  <c r="K107" i="14"/>
  <c r="AU107" i="14" s="1"/>
  <c r="F34" i="17"/>
  <c r="AS33" i="17"/>
  <c r="AU33" i="17"/>
  <c r="AQ33" i="17"/>
  <c r="AI107" i="14"/>
  <c r="AJ107" i="14" s="1"/>
  <c r="AK107" i="14" s="1"/>
  <c r="AP107" i="14"/>
  <c r="AO107" i="14"/>
  <c r="AE66" i="19"/>
  <c r="AD67" i="19" s="1"/>
  <c r="AT66" i="19"/>
  <c r="S67" i="19"/>
  <c r="W67" i="19" s="1"/>
  <c r="R68" i="19" s="1"/>
  <c r="T67" i="19"/>
  <c r="N76" i="17"/>
  <c r="M76" i="17"/>
  <c r="Q76" i="17" s="1"/>
  <c r="L77" i="17" s="1"/>
  <c r="P77" i="17"/>
  <c r="M76" i="19"/>
  <c r="Q76" i="19" s="1"/>
  <c r="L77" i="19" s="1"/>
  <c r="P77" i="19"/>
  <c r="N76" i="19"/>
  <c r="AB147" i="17"/>
  <c r="O147" i="17"/>
  <c r="V147" i="17"/>
  <c r="U147" i="19"/>
  <c r="AA147" i="17"/>
  <c r="O147" i="19"/>
  <c r="U147" i="17"/>
  <c r="AB147" i="19"/>
  <c r="I147" i="19"/>
  <c r="AA147" i="19"/>
  <c r="V147" i="19"/>
  <c r="I147" i="17"/>
  <c r="Y70" i="17"/>
  <c r="AC70" i="17" s="1"/>
  <c r="X71" i="17" s="1"/>
  <c r="Z70" i="17"/>
  <c r="AT74" i="17"/>
  <c r="AE74" i="17"/>
  <c r="AD75" i="17" s="1"/>
  <c r="AG69" i="17"/>
  <c r="AF70" i="17" s="1"/>
  <c r="S75" i="17"/>
  <c r="W75" i="17" s="1"/>
  <c r="R76" i="17" s="1"/>
  <c r="T75" i="17"/>
  <c r="E148" i="19"/>
  <c r="AZ147" i="19"/>
  <c r="C147" i="19"/>
  <c r="AW67" i="18"/>
  <c r="AX67" i="18" s="1"/>
  <c r="AY67" i="18" s="1"/>
  <c r="BD147" i="16"/>
  <c r="AZ147" i="16"/>
  <c r="C147" i="16"/>
  <c r="E148" i="16"/>
  <c r="AR146" i="16"/>
  <c r="J144" i="18"/>
  <c r="L144" i="18" s="1"/>
  <c r="I145" i="18" s="1"/>
  <c r="AZ146" i="17"/>
  <c r="E147" i="17"/>
  <c r="C146" i="17"/>
  <c r="E147" i="18"/>
  <c r="C146" i="18"/>
  <c r="AZ146" i="18"/>
  <c r="K145" i="18"/>
  <c r="AQ145" i="18"/>
  <c r="AS145" i="18"/>
  <c r="AU145" i="18"/>
  <c r="O145" i="18"/>
  <c r="E149" i="15"/>
  <c r="C148" i="15"/>
  <c r="AZ148" i="15"/>
  <c r="F69" i="18"/>
  <c r="AI68" i="18"/>
  <c r="AJ68" i="18" s="1"/>
  <c r="AK68" i="18" s="1"/>
  <c r="AL68" i="18"/>
  <c r="R110" i="18"/>
  <c r="Q111" i="18" s="1"/>
  <c r="AT111" i="18" s="1"/>
  <c r="T111" i="18"/>
  <c r="S112" i="18" s="1"/>
  <c r="R103" i="15"/>
  <c r="Q104" i="15" s="1"/>
  <c r="AT104" i="15" s="1"/>
  <c r="T103" i="15"/>
  <c r="S104" i="15" s="1"/>
  <c r="L103" i="15"/>
  <c r="I104" i="15" s="1"/>
  <c r="J104" i="15" s="1"/>
  <c r="AN153" i="3"/>
  <c r="AE149" i="3"/>
  <c r="BC148" i="3"/>
  <c r="AV150" i="3"/>
  <c r="AX150" i="3" s="1"/>
  <c r="V150" i="3"/>
  <c r="X150" i="3" s="1"/>
  <c r="G151" i="3"/>
  <c r="AW152" i="3"/>
  <c r="A150" i="3"/>
  <c r="BI150" i="3" s="1"/>
  <c r="BJ150" i="3" s="1"/>
  <c r="P153" i="3"/>
  <c r="AQ152" i="3"/>
  <c r="H149" i="3"/>
  <c r="AF148" i="3"/>
  <c r="AD148" i="3" s="1"/>
  <c r="AD147" i="3"/>
  <c r="AJ147" i="3" s="1"/>
  <c r="Y149" i="3"/>
  <c r="AC148" i="3"/>
  <c r="AL149" i="3"/>
  <c r="AG149" i="3"/>
  <c r="AH149" i="3"/>
  <c r="BD148" i="3"/>
  <c r="AM149" i="3"/>
  <c r="AT110" i="25" l="1"/>
  <c r="AE110" i="25"/>
  <c r="AD111" i="25" s="1"/>
  <c r="S111" i="25"/>
  <c r="W111" i="25" s="1"/>
  <c r="R112" i="25" s="1"/>
  <c r="T111" i="25"/>
  <c r="AW57" i="29"/>
  <c r="AX57" i="29" s="1"/>
  <c r="AY57" i="29" s="1"/>
  <c r="AL58" i="29"/>
  <c r="AM58" i="29" s="1"/>
  <c r="AI58" i="29"/>
  <c r="AJ58" i="29" s="1"/>
  <c r="AK58" i="29" s="1"/>
  <c r="M59" i="29"/>
  <c r="N59" i="29"/>
  <c r="AQ59" i="28"/>
  <c r="AS59" i="28"/>
  <c r="AU59" i="28"/>
  <c r="AG81" i="29"/>
  <c r="AF82" i="29" s="1"/>
  <c r="AT82" i="29"/>
  <c r="O61" i="28"/>
  <c r="M61" i="28"/>
  <c r="N61" i="28"/>
  <c r="P62" i="28"/>
  <c r="AN150" i="20"/>
  <c r="AR152" i="3"/>
  <c r="BB150" i="3"/>
  <c r="AL150" i="3"/>
  <c r="R78" i="24"/>
  <c r="Q79" i="24" s="1"/>
  <c r="AT79" i="24" s="1"/>
  <c r="Y76" i="25"/>
  <c r="AG76" i="25" s="1"/>
  <c r="AF77" i="25" s="1"/>
  <c r="L78" i="24"/>
  <c r="I79" i="24" s="1"/>
  <c r="O83" i="24"/>
  <c r="N83" i="24"/>
  <c r="AM150" i="3"/>
  <c r="P150" i="20"/>
  <c r="O151" i="20"/>
  <c r="AQ150" i="20"/>
  <c r="AR150" i="20" s="1"/>
  <c r="AK148" i="3"/>
  <c r="BG148" i="3" s="1"/>
  <c r="O147" i="15"/>
  <c r="K147" i="15"/>
  <c r="T108" i="26"/>
  <c r="S109" i="26" s="1"/>
  <c r="T132" i="29"/>
  <c r="S132" i="29"/>
  <c r="W132" i="29" s="1"/>
  <c r="R133" i="29" s="1"/>
  <c r="U133" i="29" s="1"/>
  <c r="F59" i="29"/>
  <c r="I59" i="29" s="1"/>
  <c r="AU58" i="29"/>
  <c r="AQ58" i="29"/>
  <c r="AS58" i="29"/>
  <c r="AZ146" i="29"/>
  <c r="C146" i="29"/>
  <c r="E147" i="29"/>
  <c r="AT109" i="26"/>
  <c r="J141" i="26"/>
  <c r="L141" i="26" s="1"/>
  <c r="I142" i="26" s="1"/>
  <c r="P108" i="26"/>
  <c r="M109" i="26" s="1"/>
  <c r="O146" i="26"/>
  <c r="K146" i="26"/>
  <c r="AS146" i="26"/>
  <c r="AU146" i="26"/>
  <c r="AQ146" i="26"/>
  <c r="F59" i="26"/>
  <c r="AI58" i="26"/>
  <c r="AL58" i="26"/>
  <c r="C147" i="26"/>
  <c r="AZ147" i="26"/>
  <c r="E148" i="26"/>
  <c r="AG84" i="28"/>
  <c r="AF85" i="28" s="1"/>
  <c r="Z85" i="28"/>
  <c r="Y85" i="28"/>
  <c r="AC85" i="28" s="1"/>
  <c r="X86" i="28" s="1"/>
  <c r="AB86" i="28" s="1"/>
  <c r="T116" i="28"/>
  <c r="S116" i="28"/>
  <c r="W116" i="28" s="1"/>
  <c r="R117" i="28" s="1"/>
  <c r="V117" i="28" s="1"/>
  <c r="J61" i="28"/>
  <c r="H60" i="28"/>
  <c r="AP60" i="28" s="1"/>
  <c r="G60" i="28"/>
  <c r="AL60" i="28" s="1"/>
  <c r="AT115" i="28"/>
  <c r="AE115" i="28"/>
  <c r="AD116" i="28" s="1"/>
  <c r="AZ147" i="28"/>
  <c r="C147" i="28"/>
  <c r="E148" i="28"/>
  <c r="G70" i="25"/>
  <c r="K70" i="25" s="1"/>
  <c r="J71" i="25"/>
  <c r="H70" i="25"/>
  <c r="AR146" i="25"/>
  <c r="U146" i="25"/>
  <c r="V146" i="25"/>
  <c r="AA146" i="25"/>
  <c r="AB146" i="25"/>
  <c r="BA147" i="25"/>
  <c r="BB147" i="25"/>
  <c r="BC147" i="25"/>
  <c r="N64" i="25"/>
  <c r="AP64" i="25" s="1"/>
  <c r="P65" i="25"/>
  <c r="M64" i="25"/>
  <c r="AL64" i="25" s="1"/>
  <c r="AJ63" i="25"/>
  <c r="AK63" i="25" s="1"/>
  <c r="AW63" i="25" s="1"/>
  <c r="AX63" i="25" s="1"/>
  <c r="AY63" i="25" s="1"/>
  <c r="BD147" i="25"/>
  <c r="AZ147" i="25"/>
  <c r="C147" i="25"/>
  <c r="E148" i="25"/>
  <c r="AN54" i="24"/>
  <c r="AQ146" i="24"/>
  <c r="AS146" i="24"/>
  <c r="AU146" i="24"/>
  <c r="C147" i="24"/>
  <c r="AZ147" i="24"/>
  <c r="E148" i="24"/>
  <c r="AK54" i="24"/>
  <c r="G55" i="24"/>
  <c r="AR55" i="24" s="1"/>
  <c r="H54" i="15"/>
  <c r="O148" i="15"/>
  <c r="AQ148" i="15"/>
  <c r="AS148" i="15"/>
  <c r="AU148" i="15"/>
  <c r="K148" i="15"/>
  <c r="P109" i="15"/>
  <c r="M110" i="15" s="1"/>
  <c r="N110" i="15" s="1"/>
  <c r="AV53" i="23"/>
  <c r="AZ53" i="23" s="1"/>
  <c r="BC53" i="23" s="1"/>
  <c r="G55" i="23"/>
  <c r="AR55" i="23" s="1"/>
  <c r="AR66" i="23" s="1"/>
  <c r="AI54" i="23"/>
  <c r="AL54" i="23"/>
  <c r="AC81" i="29"/>
  <c r="X82" i="29" s="1"/>
  <c r="I145" i="25"/>
  <c r="O145" i="25"/>
  <c r="AJ148" i="3"/>
  <c r="BF148" i="3" s="1"/>
  <c r="BF147" i="3"/>
  <c r="AW33" i="17"/>
  <c r="AX33" i="17" s="1"/>
  <c r="AY33" i="17" s="1"/>
  <c r="F33" i="19"/>
  <c r="AQ32" i="19"/>
  <c r="AU32" i="19"/>
  <c r="AS32" i="19"/>
  <c r="Z69" i="19"/>
  <c r="Y69" i="19"/>
  <c r="AC69" i="19" s="1"/>
  <c r="X70" i="19" s="1"/>
  <c r="AG68" i="19"/>
  <c r="AF69" i="19" s="1"/>
  <c r="AQ107" i="14"/>
  <c r="AS107" i="14"/>
  <c r="F108" i="14"/>
  <c r="H108" i="14" s="1"/>
  <c r="AR147" i="19"/>
  <c r="H34" i="17"/>
  <c r="G34" i="17"/>
  <c r="AI34" i="17" s="1"/>
  <c r="AJ34" i="17" s="1"/>
  <c r="AK34" i="17" s="1"/>
  <c r="J35" i="17"/>
  <c r="T68" i="19"/>
  <c r="S68" i="19"/>
  <c r="W68" i="19" s="1"/>
  <c r="R69" i="19" s="1"/>
  <c r="AT67" i="19"/>
  <c r="AE67" i="19"/>
  <c r="AD68" i="19" s="1"/>
  <c r="Z71" i="17"/>
  <c r="Y71" i="17"/>
  <c r="T104" i="15"/>
  <c r="S105" i="15" s="1"/>
  <c r="N77" i="19"/>
  <c r="M77" i="19"/>
  <c r="Q77" i="19" s="1"/>
  <c r="L78" i="19" s="1"/>
  <c r="P78" i="19"/>
  <c r="AT75" i="17"/>
  <c r="AE75" i="17"/>
  <c r="AD76" i="17" s="1"/>
  <c r="S76" i="17"/>
  <c r="W76" i="17" s="1"/>
  <c r="R77" i="17" s="1"/>
  <c r="T76" i="17"/>
  <c r="N77" i="17"/>
  <c r="P78" i="17"/>
  <c r="M77" i="17"/>
  <c r="Q77" i="17" s="1"/>
  <c r="L78" i="17" s="1"/>
  <c r="V148" i="17"/>
  <c r="U148" i="17"/>
  <c r="I148" i="17"/>
  <c r="V148" i="19"/>
  <c r="AB148" i="17"/>
  <c r="O148" i="17"/>
  <c r="AA148" i="19"/>
  <c r="U148" i="19"/>
  <c r="AB148" i="19"/>
  <c r="AA148" i="17"/>
  <c r="I148" i="19"/>
  <c r="O148" i="19"/>
  <c r="AI147" i="3"/>
  <c r="BE147" i="3" s="1"/>
  <c r="AG70" i="17"/>
  <c r="AF71" i="17" s="1"/>
  <c r="E149" i="19"/>
  <c r="C148" i="19"/>
  <c r="AZ148" i="19"/>
  <c r="AZ148" i="16"/>
  <c r="BD148" i="16"/>
  <c r="E149" i="16"/>
  <c r="C148" i="16"/>
  <c r="AR147" i="16"/>
  <c r="J145" i="18"/>
  <c r="L145" i="18" s="1"/>
  <c r="I146" i="18" s="1"/>
  <c r="AU146" i="18"/>
  <c r="K146" i="18"/>
  <c r="AQ146" i="18"/>
  <c r="AS146" i="18"/>
  <c r="O146" i="18"/>
  <c r="C147" i="17"/>
  <c r="AZ147" i="17"/>
  <c r="E148" i="17"/>
  <c r="AZ147" i="18"/>
  <c r="C147" i="18"/>
  <c r="E148" i="18"/>
  <c r="AM68" i="18"/>
  <c r="AN68" i="18" s="1"/>
  <c r="AW68" i="18" s="1"/>
  <c r="AX68" i="18" s="1"/>
  <c r="AY68" i="18" s="1"/>
  <c r="G69" i="18"/>
  <c r="AR69" i="18" s="1"/>
  <c r="C149" i="15"/>
  <c r="E150" i="15"/>
  <c r="AZ149" i="15"/>
  <c r="P111" i="18"/>
  <c r="M112" i="18" s="1"/>
  <c r="N112" i="18" s="1"/>
  <c r="R111" i="18"/>
  <c r="Q112" i="18" s="1"/>
  <c r="AT112" i="18" s="1"/>
  <c r="AN154" i="3"/>
  <c r="AI148" i="3"/>
  <c r="BE148" i="3" s="1"/>
  <c r="H150" i="3"/>
  <c r="AF149" i="3"/>
  <c r="AK149" i="3" s="1"/>
  <c r="A151" i="3"/>
  <c r="BI151" i="3" s="1"/>
  <c r="BJ151" i="3" s="1"/>
  <c r="G152" i="3"/>
  <c r="AV151" i="3"/>
  <c r="AX151" i="3" s="1"/>
  <c r="V151" i="3"/>
  <c r="X151" i="3" s="1"/>
  <c r="AG150" i="3"/>
  <c r="Y150" i="3"/>
  <c r="AC149" i="3"/>
  <c r="BD149" i="3"/>
  <c r="AH150" i="3"/>
  <c r="AQ153" i="3"/>
  <c r="AW153" i="3"/>
  <c r="BC149" i="3"/>
  <c r="AE150" i="3"/>
  <c r="H55" i="23" l="1"/>
  <c r="S112" i="25"/>
  <c r="W112" i="25" s="1"/>
  <c r="R113" i="25" s="1"/>
  <c r="T112" i="25"/>
  <c r="AT111" i="25"/>
  <c r="AE111" i="25"/>
  <c r="AD112" i="25" s="1"/>
  <c r="AN58" i="29"/>
  <c r="AW58" i="29" s="1"/>
  <c r="AX58" i="29" s="1"/>
  <c r="AY58" i="29" s="1"/>
  <c r="AW59" i="28"/>
  <c r="AX59" i="28" s="1"/>
  <c r="AY59" i="28" s="1"/>
  <c r="Z82" i="29"/>
  <c r="AA82" i="29"/>
  <c r="AE82" i="29" s="1"/>
  <c r="AD83" i="29" s="1"/>
  <c r="AR59" i="29"/>
  <c r="Q59" i="29"/>
  <c r="L60" i="29" s="1"/>
  <c r="AN151" i="20"/>
  <c r="AR153" i="3"/>
  <c r="BB151" i="3"/>
  <c r="P83" i="24"/>
  <c r="M84" i="24" s="1"/>
  <c r="N84" i="24" s="1"/>
  <c r="AC76" i="25"/>
  <c r="X77" i="25" s="1"/>
  <c r="Z77" i="25" s="1"/>
  <c r="K79" i="24"/>
  <c r="T79" i="24" s="1"/>
  <c r="S80" i="24" s="1"/>
  <c r="J79" i="24"/>
  <c r="P151" i="20"/>
  <c r="O152" i="20"/>
  <c r="AQ151" i="20"/>
  <c r="AR151" i="20" s="1"/>
  <c r="BG149" i="3"/>
  <c r="T133" i="29"/>
  <c r="S133" i="29"/>
  <c r="W133" i="29" s="1"/>
  <c r="R134" i="29" s="1"/>
  <c r="U134" i="29" s="1"/>
  <c r="J60" i="29"/>
  <c r="H59" i="29"/>
  <c r="AP59" i="29" s="1"/>
  <c r="AZ147" i="29"/>
  <c r="C147" i="29"/>
  <c r="E148" i="29"/>
  <c r="G59" i="29"/>
  <c r="AI59" i="29" s="1"/>
  <c r="AJ59" i="29" s="1"/>
  <c r="Y82" i="29"/>
  <c r="AC82" i="29" s="1"/>
  <c r="X83" i="29" s="1"/>
  <c r="J142" i="26"/>
  <c r="L142" i="26" s="1"/>
  <c r="I143" i="26" s="1"/>
  <c r="G59" i="26"/>
  <c r="AR59" i="26" s="1"/>
  <c r="N109" i="26"/>
  <c r="R109" i="26" s="1"/>
  <c r="Q110" i="26" s="1"/>
  <c r="AJ58" i="26"/>
  <c r="AK58" i="26" s="1"/>
  <c r="K147" i="26"/>
  <c r="O147" i="26"/>
  <c r="AQ147" i="26"/>
  <c r="AS147" i="26"/>
  <c r="AU147" i="26"/>
  <c r="AM58" i="26"/>
  <c r="AN58" i="26" s="1"/>
  <c r="C148" i="26"/>
  <c r="AZ148" i="26"/>
  <c r="E149" i="26"/>
  <c r="AI60" i="28"/>
  <c r="T117" i="28"/>
  <c r="S117" i="28"/>
  <c r="W117" i="28" s="1"/>
  <c r="R118" i="28" s="1"/>
  <c r="V118" i="28" s="1"/>
  <c r="Z86" i="28"/>
  <c r="Y86" i="28"/>
  <c r="AC86" i="28" s="1"/>
  <c r="X87" i="28" s="1"/>
  <c r="AB87" i="28" s="1"/>
  <c r="AT116" i="28"/>
  <c r="AE116" i="28"/>
  <c r="AD117" i="28" s="1"/>
  <c r="AO60" i="28"/>
  <c r="AZ148" i="28"/>
  <c r="C148" i="28"/>
  <c r="E149" i="28"/>
  <c r="AM60" i="28"/>
  <c r="AN60" i="28" s="1"/>
  <c r="AG85" i="28"/>
  <c r="AF86" i="28" s="1"/>
  <c r="F71" i="25"/>
  <c r="AO64" i="25"/>
  <c r="AR147" i="25"/>
  <c r="U147" i="25"/>
  <c r="V147" i="25"/>
  <c r="AA147" i="25"/>
  <c r="AB147" i="25"/>
  <c r="BA148" i="25"/>
  <c r="BB148" i="25"/>
  <c r="BC148" i="25"/>
  <c r="Q64" i="25"/>
  <c r="C148" i="25"/>
  <c r="AZ148" i="25"/>
  <c r="BD148" i="25"/>
  <c r="E149" i="25"/>
  <c r="AQ147" i="24"/>
  <c r="AS147" i="24"/>
  <c r="AU147" i="24"/>
  <c r="AW54" i="24"/>
  <c r="AX54" i="24" s="1"/>
  <c r="AY54" i="24" s="1"/>
  <c r="C148" i="24"/>
  <c r="AZ148" i="24"/>
  <c r="E149" i="24"/>
  <c r="H55" i="24"/>
  <c r="BG53" i="23"/>
  <c r="F55" i="15"/>
  <c r="AL54" i="15"/>
  <c r="AM54" i="15" s="1"/>
  <c r="AN54" i="15" s="1"/>
  <c r="AI54" i="15"/>
  <c r="AJ54" i="15" s="1"/>
  <c r="AK54" i="15" s="1"/>
  <c r="AS149" i="15"/>
  <c r="AU149" i="15"/>
  <c r="AQ149" i="15"/>
  <c r="P110" i="15"/>
  <c r="M111" i="15" s="1"/>
  <c r="N111" i="15" s="1"/>
  <c r="AJ54" i="23"/>
  <c r="AM54" i="23"/>
  <c r="K60" i="28"/>
  <c r="O146" i="25"/>
  <c r="I146" i="25"/>
  <c r="AW32" i="19"/>
  <c r="AX32" i="19" s="1"/>
  <c r="AY32" i="19" s="1"/>
  <c r="AV107" i="14"/>
  <c r="AZ107" i="14" s="1"/>
  <c r="BC107" i="14" s="1"/>
  <c r="AL151" i="3"/>
  <c r="AG69" i="19"/>
  <c r="AF70" i="19" s="1"/>
  <c r="AR148" i="19"/>
  <c r="J109" i="14"/>
  <c r="Z70" i="19"/>
  <c r="Y70" i="19"/>
  <c r="AC70" i="19" s="1"/>
  <c r="X71" i="19" s="1"/>
  <c r="J34" i="19"/>
  <c r="G33" i="19"/>
  <c r="AI33" i="19" s="1"/>
  <c r="AJ33" i="19" s="1"/>
  <c r="AK33" i="19" s="1"/>
  <c r="H33" i="19"/>
  <c r="G108" i="14"/>
  <c r="AI108" i="14" s="1"/>
  <c r="AJ108" i="14" s="1"/>
  <c r="AK108" i="14" s="1"/>
  <c r="K34" i="17"/>
  <c r="AL34" i="17"/>
  <c r="AM34" i="17" s="1"/>
  <c r="AN34" i="17" s="1"/>
  <c r="AP34" i="17"/>
  <c r="AO34" i="17"/>
  <c r="AO108" i="14"/>
  <c r="AP108" i="14"/>
  <c r="AT68" i="19"/>
  <c r="AE68" i="19"/>
  <c r="AD69" i="19" s="1"/>
  <c r="S69" i="19"/>
  <c r="W69" i="19" s="1"/>
  <c r="R70" i="19" s="1"/>
  <c r="T69" i="19"/>
  <c r="AG71" i="17"/>
  <c r="AF72" i="17" s="1"/>
  <c r="P79" i="19"/>
  <c r="M78" i="19"/>
  <c r="Q78" i="19" s="1"/>
  <c r="L79" i="19" s="1"/>
  <c r="N78" i="19"/>
  <c r="AC71" i="17"/>
  <c r="X72" i="17" s="1"/>
  <c r="AB149" i="17"/>
  <c r="O149" i="17"/>
  <c r="U149" i="17"/>
  <c r="I149" i="17"/>
  <c r="AA149" i="19"/>
  <c r="I149" i="19"/>
  <c r="U149" i="19"/>
  <c r="AA149" i="17"/>
  <c r="O149" i="19"/>
  <c r="V149" i="17"/>
  <c r="AB149" i="19"/>
  <c r="V149" i="19"/>
  <c r="AD149" i="3"/>
  <c r="AI149" i="3" s="1"/>
  <c r="BE149" i="3" s="1"/>
  <c r="AT76" i="17"/>
  <c r="AE76" i="17"/>
  <c r="AD77" i="17" s="1"/>
  <c r="M78" i="17"/>
  <c r="Q78" i="17" s="1"/>
  <c r="L79" i="17" s="1"/>
  <c r="P79" i="17"/>
  <c r="N78" i="17"/>
  <c r="S77" i="17"/>
  <c r="W77" i="17" s="1"/>
  <c r="R78" i="17" s="1"/>
  <c r="T77" i="17"/>
  <c r="AZ149" i="19"/>
  <c r="C149" i="19"/>
  <c r="AR149" i="19" s="1"/>
  <c r="E150" i="19"/>
  <c r="AR148" i="16"/>
  <c r="E150" i="16"/>
  <c r="BD149" i="16"/>
  <c r="AZ149" i="16"/>
  <c r="C149" i="16"/>
  <c r="J146" i="18"/>
  <c r="L146" i="18" s="1"/>
  <c r="I147" i="18" s="1"/>
  <c r="J147" i="18" s="1"/>
  <c r="C148" i="18"/>
  <c r="AZ148" i="18"/>
  <c r="E149" i="18"/>
  <c r="K147" i="18"/>
  <c r="O147" i="18"/>
  <c r="AU147" i="18"/>
  <c r="AQ147" i="18"/>
  <c r="AS147" i="18"/>
  <c r="AZ148" i="17"/>
  <c r="E149" i="17"/>
  <c r="C148" i="17"/>
  <c r="C150" i="15"/>
  <c r="AZ150" i="15"/>
  <c r="E151" i="15"/>
  <c r="H69" i="18"/>
  <c r="R112" i="18"/>
  <c r="Q113" i="18" s="1"/>
  <c r="AT113" i="18" s="1"/>
  <c r="T112" i="18"/>
  <c r="S113" i="18" s="1"/>
  <c r="L104" i="15"/>
  <c r="I105" i="15" s="1"/>
  <c r="J105" i="15" s="1"/>
  <c r="R104" i="15"/>
  <c r="Q105" i="15" s="1"/>
  <c r="AT105" i="15" s="1"/>
  <c r="BD150" i="3"/>
  <c r="AH151" i="3"/>
  <c r="AV152" i="3"/>
  <c r="AX152" i="3" s="1"/>
  <c r="V152" i="3"/>
  <c r="X152" i="3" s="1"/>
  <c r="G153" i="3"/>
  <c r="H151" i="3"/>
  <c r="AF150" i="3"/>
  <c r="AD150" i="3" s="1"/>
  <c r="AW154" i="3"/>
  <c r="AG151" i="3"/>
  <c r="AN155" i="3"/>
  <c r="AE151" i="3"/>
  <c r="BC150" i="3"/>
  <c r="A152" i="3"/>
  <c r="BI152" i="3" s="1"/>
  <c r="BJ152" i="3" s="1"/>
  <c r="AQ154" i="3"/>
  <c r="Y151" i="3"/>
  <c r="AC150" i="3"/>
  <c r="AM151" i="3"/>
  <c r="P154" i="3"/>
  <c r="P155" i="3" s="1"/>
  <c r="AT112" i="25" l="1"/>
  <c r="AE112" i="25"/>
  <c r="AD113" i="25" s="1"/>
  <c r="G56" i="23"/>
  <c r="AI55" i="23"/>
  <c r="AL55" i="23"/>
  <c r="T113" i="25"/>
  <c r="S113" i="25"/>
  <c r="W113" i="25" s="1"/>
  <c r="R114" i="25" s="1"/>
  <c r="AT83" i="29"/>
  <c r="M60" i="29"/>
  <c r="O60" i="29"/>
  <c r="P61" i="29"/>
  <c r="N60" i="29"/>
  <c r="Z83" i="29"/>
  <c r="AA83" i="29"/>
  <c r="AE83" i="29" s="1"/>
  <c r="AD84" i="29" s="1"/>
  <c r="AN152" i="20"/>
  <c r="AR154" i="3"/>
  <c r="BB152" i="3"/>
  <c r="Y77" i="25"/>
  <c r="AG77" i="25" s="1"/>
  <c r="AF78" i="25" s="1"/>
  <c r="L79" i="24"/>
  <c r="I80" i="24" s="1"/>
  <c r="R79" i="24"/>
  <c r="Q80" i="24" s="1"/>
  <c r="AT80" i="24" s="1"/>
  <c r="P152" i="20"/>
  <c r="AJ149" i="3"/>
  <c r="BF149" i="3" s="1"/>
  <c r="K149" i="15"/>
  <c r="O153" i="20"/>
  <c r="AQ152" i="20"/>
  <c r="AR152" i="20" s="1"/>
  <c r="AK150" i="3"/>
  <c r="BG150" i="3" s="1"/>
  <c r="AJ150" i="3"/>
  <c r="BF150" i="3" s="1"/>
  <c r="O149" i="15"/>
  <c r="K59" i="29"/>
  <c r="F60" i="29" s="1"/>
  <c r="T134" i="29"/>
  <c r="S134" i="29"/>
  <c r="W134" i="29" s="1"/>
  <c r="R135" i="29" s="1"/>
  <c r="U135" i="29" s="1"/>
  <c r="C148" i="29"/>
  <c r="AZ148" i="29"/>
  <c r="E149" i="29"/>
  <c r="AG82" i="29"/>
  <c r="AF83" i="29" s="1"/>
  <c r="Y83" i="29"/>
  <c r="AO59" i="29"/>
  <c r="AL59" i="29"/>
  <c r="AW58" i="26"/>
  <c r="AX58" i="26" s="1"/>
  <c r="AY58" i="26" s="1"/>
  <c r="J143" i="26"/>
  <c r="L143" i="26" s="1"/>
  <c r="I144" i="26" s="1"/>
  <c r="H59" i="26"/>
  <c r="T109" i="26"/>
  <c r="S110" i="26" s="1"/>
  <c r="AT110" i="26"/>
  <c r="P109" i="26"/>
  <c r="M110" i="26" s="1"/>
  <c r="O148" i="26"/>
  <c r="AQ148" i="26"/>
  <c r="AS148" i="26"/>
  <c r="AU148" i="26"/>
  <c r="K148" i="26"/>
  <c r="AZ149" i="26"/>
  <c r="C149" i="26"/>
  <c r="E150" i="26"/>
  <c r="T118" i="28"/>
  <c r="S118" i="28"/>
  <c r="W118" i="28" s="1"/>
  <c r="R119" i="28" s="1"/>
  <c r="V119" i="28" s="1"/>
  <c r="Z87" i="28"/>
  <c r="Y87" i="28"/>
  <c r="AC87" i="28" s="1"/>
  <c r="X88" i="28" s="1"/>
  <c r="AB88" i="28" s="1"/>
  <c r="AT117" i="28"/>
  <c r="AE117" i="28"/>
  <c r="AD118" i="28" s="1"/>
  <c r="AS60" i="28"/>
  <c r="AU60" i="28"/>
  <c r="AQ60" i="28"/>
  <c r="AJ60" i="28"/>
  <c r="AK60" i="28" s="1"/>
  <c r="F61" i="28"/>
  <c r="I61" i="28" s="1"/>
  <c r="Q61" i="28" s="1"/>
  <c r="L62" i="28" s="1"/>
  <c r="AG86" i="28"/>
  <c r="AF87" i="28" s="1"/>
  <c r="C149" i="28"/>
  <c r="AZ149" i="28"/>
  <c r="E150" i="28"/>
  <c r="G71" i="25"/>
  <c r="K71" i="25" s="1"/>
  <c r="J72" i="25"/>
  <c r="H71" i="25"/>
  <c r="AI64" i="25"/>
  <c r="AU64" i="25"/>
  <c r="AQ64" i="25"/>
  <c r="AS64" i="25"/>
  <c r="AR148" i="25"/>
  <c r="U148" i="25"/>
  <c r="V148" i="25"/>
  <c r="AA148" i="25"/>
  <c r="AB148" i="25"/>
  <c r="BA149" i="25"/>
  <c r="BB149" i="25"/>
  <c r="BC149" i="25"/>
  <c r="AZ149" i="25"/>
  <c r="BD149" i="25"/>
  <c r="C149" i="25"/>
  <c r="E150" i="25"/>
  <c r="L65" i="25"/>
  <c r="AM64" i="25"/>
  <c r="AN64" i="25" s="1"/>
  <c r="AQ148" i="24"/>
  <c r="AS148" i="24"/>
  <c r="AU148" i="24"/>
  <c r="AZ149" i="24"/>
  <c r="C149" i="24"/>
  <c r="E150" i="24"/>
  <c r="F56" i="24"/>
  <c r="AI55" i="24"/>
  <c r="AJ55" i="24" s="1"/>
  <c r="AL55" i="24"/>
  <c r="AM55" i="24" s="1"/>
  <c r="O84" i="24"/>
  <c r="P84" i="24" s="1"/>
  <c r="G55" i="15"/>
  <c r="AR55" i="15" s="1"/>
  <c r="AW54" i="15"/>
  <c r="AX54" i="15" s="1"/>
  <c r="AY54" i="15" s="1"/>
  <c r="K150" i="15"/>
  <c r="O150" i="15"/>
  <c r="AQ150" i="15"/>
  <c r="AS150" i="15"/>
  <c r="AU150" i="15"/>
  <c r="P111" i="15"/>
  <c r="M112" i="15" s="1"/>
  <c r="N112" i="15" s="1"/>
  <c r="AK54" i="23"/>
  <c r="AN54" i="23"/>
  <c r="AK59" i="29"/>
  <c r="O147" i="25"/>
  <c r="I147" i="25"/>
  <c r="BG107" i="14"/>
  <c r="AL152" i="3"/>
  <c r="AL33" i="19"/>
  <c r="AM33" i="19" s="1"/>
  <c r="AN33" i="19" s="1"/>
  <c r="K108" i="14"/>
  <c r="F109" i="14" s="1"/>
  <c r="K33" i="19"/>
  <c r="Y71" i="19"/>
  <c r="AC71" i="19" s="1"/>
  <c r="X72" i="19" s="1"/>
  <c r="Z71" i="19"/>
  <c r="AP33" i="19"/>
  <c r="AO33" i="19"/>
  <c r="AG70" i="19"/>
  <c r="AF71" i="19" s="1"/>
  <c r="AL108" i="14"/>
  <c r="AM108" i="14" s="1"/>
  <c r="AN108" i="14" s="1"/>
  <c r="AU34" i="17"/>
  <c r="F35" i="17"/>
  <c r="AQ34" i="17"/>
  <c r="AS34" i="17"/>
  <c r="S70" i="19"/>
  <c r="W70" i="19" s="1"/>
  <c r="R71" i="19" s="1"/>
  <c r="T70" i="19"/>
  <c r="AT69" i="19"/>
  <c r="AE69" i="19"/>
  <c r="AD70" i="19" s="1"/>
  <c r="S78" i="17"/>
  <c r="W78" i="17" s="1"/>
  <c r="R79" i="17" s="1"/>
  <c r="T78" i="17"/>
  <c r="M79" i="17"/>
  <c r="Q79" i="17" s="1"/>
  <c r="L80" i="17" s="1"/>
  <c r="P80" i="17"/>
  <c r="N79" i="17"/>
  <c r="P80" i="19"/>
  <c r="M79" i="19"/>
  <c r="Q79" i="19" s="1"/>
  <c r="L80" i="19" s="1"/>
  <c r="N79" i="19"/>
  <c r="V150" i="17"/>
  <c r="O150" i="17"/>
  <c r="U150" i="17"/>
  <c r="AB150" i="19"/>
  <c r="O150" i="19"/>
  <c r="I150" i="17"/>
  <c r="AA150" i="17"/>
  <c r="I150" i="19"/>
  <c r="AA150" i="19"/>
  <c r="AB150" i="17"/>
  <c r="V150" i="19"/>
  <c r="U150" i="19"/>
  <c r="R105" i="15"/>
  <c r="Q106" i="15" s="1"/>
  <c r="AT106" i="15" s="1"/>
  <c r="AT77" i="17"/>
  <c r="AE77" i="17"/>
  <c r="AD78" i="17" s="1"/>
  <c r="Y72" i="17"/>
  <c r="AG72" i="17" s="1"/>
  <c r="AF73" i="17" s="1"/>
  <c r="Z72" i="17"/>
  <c r="AZ150" i="19"/>
  <c r="E151" i="19"/>
  <c r="C150" i="19"/>
  <c r="AR149" i="16"/>
  <c r="AZ150" i="16"/>
  <c r="E151" i="16"/>
  <c r="C150" i="16"/>
  <c r="BD150" i="16"/>
  <c r="C149" i="18"/>
  <c r="E150" i="18"/>
  <c r="AZ149" i="18"/>
  <c r="L147" i="18"/>
  <c r="I148" i="18" s="1"/>
  <c r="AZ149" i="17"/>
  <c r="E150" i="17"/>
  <c r="C149" i="17"/>
  <c r="AQ148" i="18"/>
  <c r="O148" i="18"/>
  <c r="AU148" i="18"/>
  <c r="K148" i="18"/>
  <c r="AS148" i="18"/>
  <c r="F70" i="18"/>
  <c r="AL69" i="18"/>
  <c r="AI69" i="18"/>
  <c r="AJ69" i="18" s="1"/>
  <c r="AK69" i="18" s="1"/>
  <c r="AZ151" i="15"/>
  <c r="C151" i="15"/>
  <c r="E152" i="15"/>
  <c r="P112" i="18"/>
  <c r="M113" i="18" s="1"/>
  <c r="N113" i="18" s="1"/>
  <c r="AI150" i="3"/>
  <c r="BE150" i="3" s="1"/>
  <c r="AN156" i="3"/>
  <c r="AG152" i="3"/>
  <c r="G154" i="3"/>
  <c r="V153" i="3"/>
  <c r="X153" i="3" s="1"/>
  <c r="AV153" i="3"/>
  <c r="AX153" i="3" s="1"/>
  <c r="AC151" i="3"/>
  <c r="Y152" i="3"/>
  <c r="A153" i="3"/>
  <c r="BI153" i="3" s="1"/>
  <c r="BJ153" i="3" s="1"/>
  <c r="P156" i="3"/>
  <c r="AW155" i="3"/>
  <c r="AM152" i="3"/>
  <c r="AQ155" i="3"/>
  <c r="AE152" i="3"/>
  <c r="BC151" i="3"/>
  <c r="H152" i="3"/>
  <c r="AF151" i="3"/>
  <c r="AD151" i="3" s="1"/>
  <c r="BD151" i="3"/>
  <c r="AH152" i="3"/>
  <c r="AT113" i="25" l="1"/>
  <c r="AE113" i="25"/>
  <c r="AD114" i="25" s="1"/>
  <c r="AJ55" i="23"/>
  <c r="AJ66" i="23" s="1"/>
  <c r="AI66" i="23"/>
  <c r="AM55" i="23"/>
  <c r="AM66" i="23" s="1"/>
  <c r="AL66" i="23"/>
  <c r="S114" i="25"/>
  <c r="W114" i="25" s="1"/>
  <c r="R115" i="25" s="1"/>
  <c r="T114" i="25"/>
  <c r="AT84" i="29"/>
  <c r="O62" i="28"/>
  <c r="M62" i="28"/>
  <c r="N62" i="28"/>
  <c r="P63" i="28"/>
  <c r="G60" i="29"/>
  <c r="AL60" i="29" s="1"/>
  <c r="AM60" i="29" s="1"/>
  <c r="I60" i="29"/>
  <c r="AR60" i="29" s="1"/>
  <c r="AN153" i="20"/>
  <c r="AR155" i="3"/>
  <c r="BB153" i="3"/>
  <c r="P153" i="20"/>
  <c r="AC77" i="25"/>
  <c r="X78" i="25" s="1"/>
  <c r="Y78" i="25" s="1"/>
  <c r="AG78" i="25" s="1"/>
  <c r="AF79" i="25" s="1"/>
  <c r="K80" i="24"/>
  <c r="R80" i="24" s="1"/>
  <c r="Q81" i="24" s="1"/>
  <c r="AT81" i="24" s="1"/>
  <c r="J80" i="24"/>
  <c r="AK151" i="3"/>
  <c r="BG151" i="3" s="1"/>
  <c r="O154" i="20"/>
  <c r="AQ153" i="20"/>
  <c r="AR153" i="20" s="1"/>
  <c r="AG83" i="29"/>
  <c r="AF84" i="29" s="1"/>
  <c r="AU59" i="29"/>
  <c r="H60" i="29"/>
  <c r="AP60" i="29" s="1"/>
  <c r="J61" i="29"/>
  <c r="AS59" i="29"/>
  <c r="AQ59" i="29"/>
  <c r="T135" i="29"/>
  <c r="S135" i="29"/>
  <c r="W135" i="29" s="1"/>
  <c r="R136" i="29" s="1"/>
  <c r="U136" i="29" s="1"/>
  <c r="AM59" i="29"/>
  <c r="AN59" i="29" s="1"/>
  <c r="AZ149" i="29"/>
  <c r="C149" i="29"/>
  <c r="E150" i="29"/>
  <c r="AS149" i="26"/>
  <c r="AU149" i="26"/>
  <c r="AQ149" i="26"/>
  <c r="K149" i="26"/>
  <c r="O149" i="26"/>
  <c r="N110" i="26"/>
  <c r="R110" i="26" s="1"/>
  <c r="Q111" i="26" s="1"/>
  <c r="J144" i="26"/>
  <c r="L144" i="26" s="1"/>
  <c r="I145" i="26" s="1"/>
  <c r="F60" i="26"/>
  <c r="AL59" i="26"/>
  <c r="AI59" i="26"/>
  <c r="C150" i="26"/>
  <c r="AZ150" i="26"/>
  <c r="E151" i="26"/>
  <c r="T119" i="28"/>
  <c r="S119" i="28"/>
  <c r="W119" i="28" s="1"/>
  <c r="R120" i="28" s="1"/>
  <c r="V120" i="28" s="1"/>
  <c r="Z88" i="28"/>
  <c r="Y88" i="28"/>
  <c r="AT118" i="28"/>
  <c r="AE118" i="28"/>
  <c r="AD119" i="28" s="1"/>
  <c r="H61" i="28"/>
  <c r="AP61" i="28" s="1"/>
  <c r="J62" i="28"/>
  <c r="G61" i="28"/>
  <c r="AI61" i="28" s="1"/>
  <c r="AZ150" i="28"/>
  <c r="C150" i="28"/>
  <c r="E151" i="28"/>
  <c r="AG87" i="28"/>
  <c r="AF88" i="28" s="1"/>
  <c r="F72" i="25"/>
  <c r="AR149" i="25"/>
  <c r="U149" i="25"/>
  <c r="V149" i="25"/>
  <c r="AA149" i="25"/>
  <c r="AB149" i="25"/>
  <c r="BA150" i="25"/>
  <c r="BB150" i="25"/>
  <c r="BC150" i="25"/>
  <c r="P66" i="25"/>
  <c r="N65" i="25"/>
  <c r="AP65" i="25" s="1"/>
  <c r="M65" i="25"/>
  <c r="AL65" i="25" s="1"/>
  <c r="AJ64" i="25"/>
  <c r="AK64" i="25" s="1"/>
  <c r="AW64" i="25" s="1"/>
  <c r="AX64" i="25" s="1"/>
  <c r="AY64" i="25" s="1"/>
  <c r="C150" i="25"/>
  <c r="AZ150" i="25"/>
  <c r="BD150" i="25"/>
  <c r="E151" i="25"/>
  <c r="M85" i="24"/>
  <c r="AQ149" i="24"/>
  <c r="AS149" i="24"/>
  <c r="AU149" i="24"/>
  <c r="C150" i="24"/>
  <c r="AZ150" i="24"/>
  <c r="E151" i="24"/>
  <c r="AN55" i="24"/>
  <c r="AK55" i="24"/>
  <c r="G56" i="24"/>
  <c r="AR56" i="24" s="1"/>
  <c r="H55" i="15"/>
  <c r="K151" i="15"/>
  <c r="O151" i="15"/>
  <c r="AQ151" i="15"/>
  <c r="AS151" i="15"/>
  <c r="AU151" i="15"/>
  <c r="P112" i="15"/>
  <c r="M113" i="15" s="1"/>
  <c r="N113" i="15" s="1"/>
  <c r="AV54" i="23"/>
  <c r="AW60" i="28"/>
  <c r="AX60" i="28" s="1"/>
  <c r="AY60" i="28" s="1"/>
  <c r="AC83" i="29"/>
  <c r="X84" i="29" s="1"/>
  <c r="O148" i="25"/>
  <c r="I148" i="25"/>
  <c r="AJ151" i="3"/>
  <c r="BF151" i="3" s="1"/>
  <c r="AG71" i="19"/>
  <c r="AF72" i="19" s="1"/>
  <c r="AW34" i="17"/>
  <c r="AX34" i="17" s="1"/>
  <c r="AY34" i="17" s="1"/>
  <c r="AU108" i="14"/>
  <c r="AQ108" i="14"/>
  <c r="AS108" i="14"/>
  <c r="Z72" i="19"/>
  <c r="Y72" i="19"/>
  <c r="AC72" i="19" s="1"/>
  <c r="X73" i="19" s="1"/>
  <c r="F34" i="19"/>
  <c r="AS33" i="19"/>
  <c r="AQ33" i="19"/>
  <c r="AU33" i="19"/>
  <c r="T105" i="15"/>
  <c r="S106" i="15" s="1"/>
  <c r="AR150" i="19"/>
  <c r="G35" i="17"/>
  <c r="K35" i="17" s="1"/>
  <c r="F36" i="17" s="1"/>
  <c r="J36" i="17"/>
  <c r="H35" i="17"/>
  <c r="G109" i="14"/>
  <c r="AI109" i="14" s="1"/>
  <c r="AJ109" i="14" s="1"/>
  <c r="AK109" i="14" s="1"/>
  <c r="H109" i="14"/>
  <c r="J110" i="14"/>
  <c r="S71" i="19"/>
  <c r="W71" i="19" s="1"/>
  <c r="R72" i="19" s="1"/>
  <c r="T71" i="19"/>
  <c r="AE70" i="19"/>
  <c r="AD71" i="19" s="1"/>
  <c r="AT70" i="19"/>
  <c r="AC72" i="17"/>
  <c r="X73" i="17" s="1"/>
  <c r="Y73" i="17" s="1"/>
  <c r="AG73" i="17" s="1"/>
  <c r="AF74" i="17" s="1"/>
  <c r="AB151" i="17"/>
  <c r="O151" i="17"/>
  <c r="I151" i="17"/>
  <c r="V151" i="17"/>
  <c r="U151" i="19"/>
  <c r="U151" i="17"/>
  <c r="AA151" i="19"/>
  <c r="V151" i="19"/>
  <c r="I151" i="19"/>
  <c r="O151" i="19"/>
  <c r="AB151" i="19"/>
  <c r="AA151" i="17"/>
  <c r="S79" i="17"/>
  <c r="W79" i="17" s="1"/>
  <c r="R80" i="17" s="1"/>
  <c r="T79" i="17"/>
  <c r="AT78" i="17"/>
  <c r="AE78" i="17"/>
  <c r="AD79" i="17" s="1"/>
  <c r="P81" i="19"/>
  <c r="N80" i="19"/>
  <c r="M80" i="19"/>
  <c r="Q80" i="19" s="1"/>
  <c r="L81" i="19" s="1"/>
  <c r="M80" i="17"/>
  <c r="Q80" i="17" s="1"/>
  <c r="L81" i="17" s="1"/>
  <c r="N80" i="17"/>
  <c r="P81" i="17"/>
  <c r="C151" i="19"/>
  <c r="AZ151" i="19"/>
  <c r="E152" i="19"/>
  <c r="AZ151" i="16"/>
  <c r="C151" i="16"/>
  <c r="BD151" i="16"/>
  <c r="E152" i="16"/>
  <c r="AR150" i="16"/>
  <c r="AZ150" i="17"/>
  <c r="C150" i="17"/>
  <c r="E151" i="17"/>
  <c r="E151" i="18"/>
  <c r="AZ150" i="18"/>
  <c r="C150" i="18"/>
  <c r="O149" i="18"/>
  <c r="K149" i="18"/>
  <c r="AQ149" i="18"/>
  <c r="AU149" i="18"/>
  <c r="AS149" i="18"/>
  <c r="J148" i="18"/>
  <c r="L148" i="18" s="1"/>
  <c r="I149" i="18" s="1"/>
  <c r="AM69" i="18"/>
  <c r="AN69" i="18" s="1"/>
  <c r="AW69" i="18" s="1"/>
  <c r="AX69" i="18" s="1"/>
  <c r="AY69" i="18" s="1"/>
  <c r="C152" i="15"/>
  <c r="E153" i="15"/>
  <c r="AZ152" i="15"/>
  <c r="G70" i="18"/>
  <c r="AR70" i="18" s="1"/>
  <c r="L105" i="15"/>
  <c r="I106" i="15" s="1"/>
  <c r="J106" i="15" s="1"/>
  <c r="AE153" i="3"/>
  <c r="BC152" i="3"/>
  <c r="A154" i="3"/>
  <c r="BI154" i="3" s="1"/>
  <c r="BJ154" i="3" s="1"/>
  <c r="AG153" i="3"/>
  <c r="H153" i="3"/>
  <c r="AF152" i="3"/>
  <c r="AW156" i="3"/>
  <c r="P157" i="3"/>
  <c r="Y153" i="3"/>
  <c r="AC152" i="3"/>
  <c r="AV154" i="3"/>
  <c r="AX154" i="3" s="1"/>
  <c r="G155" i="3"/>
  <c r="V154" i="3"/>
  <c r="X154" i="3" s="1"/>
  <c r="BD152" i="3"/>
  <c r="AH153" i="3"/>
  <c r="AQ156" i="3"/>
  <c r="AI151" i="3"/>
  <c r="BE151" i="3" s="1"/>
  <c r="AL153" i="3"/>
  <c r="AM153" i="3"/>
  <c r="AK55" i="23" l="1"/>
  <c r="AT114" i="25"/>
  <c r="AE114" i="25"/>
  <c r="AD115" i="25" s="1"/>
  <c r="AN55" i="23"/>
  <c r="AN66" i="23" s="1"/>
  <c r="S115" i="25"/>
  <c r="W115" i="25" s="1"/>
  <c r="R116" i="25" s="1"/>
  <c r="T115" i="25"/>
  <c r="Q60" i="29"/>
  <c r="L61" i="29" s="1"/>
  <c r="M61" i="29" s="1"/>
  <c r="AN60" i="29"/>
  <c r="K60" i="29"/>
  <c r="AI60" i="29"/>
  <c r="AJ60" i="29" s="1"/>
  <c r="AK60" i="29" s="1"/>
  <c r="O61" i="29"/>
  <c r="Z84" i="29"/>
  <c r="AA84" i="29"/>
  <c r="AE84" i="29" s="1"/>
  <c r="AD85" i="29" s="1"/>
  <c r="AR156" i="3"/>
  <c r="BB154" i="3"/>
  <c r="P154" i="20"/>
  <c r="AC78" i="25"/>
  <c r="X79" i="25" s="1"/>
  <c r="Z79" i="25" s="1"/>
  <c r="Z78" i="25"/>
  <c r="L80" i="24"/>
  <c r="I81" i="24" s="1"/>
  <c r="J81" i="24" s="1"/>
  <c r="T80" i="24"/>
  <c r="S81" i="24" s="1"/>
  <c r="O85" i="24"/>
  <c r="N85" i="24"/>
  <c r="AR151" i="19"/>
  <c r="AL154" i="3"/>
  <c r="AM154" i="3"/>
  <c r="AK152" i="3"/>
  <c r="BG152" i="3" s="1"/>
  <c r="O155" i="20"/>
  <c r="AQ154" i="20"/>
  <c r="AR154" i="20" s="1"/>
  <c r="AN154" i="20"/>
  <c r="AO60" i="29"/>
  <c r="AW59" i="29"/>
  <c r="AX59" i="29" s="1"/>
  <c r="AY59" i="29" s="1"/>
  <c r="T136" i="29"/>
  <c r="S136" i="29"/>
  <c r="W136" i="29" s="1"/>
  <c r="R137" i="29" s="1"/>
  <c r="U137" i="29" s="1"/>
  <c r="C150" i="29"/>
  <c r="AZ150" i="29"/>
  <c r="E151" i="29"/>
  <c r="Y84" i="29"/>
  <c r="J145" i="26"/>
  <c r="L145" i="26" s="1"/>
  <c r="I146" i="26" s="1"/>
  <c r="K150" i="26"/>
  <c r="O150" i="26"/>
  <c r="AS150" i="26"/>
  <c r="AU150" i="26"/>
  <c r="AQ150" i="26"/>
  <c r="AJ59" i="26"/>
  <c r="AK59" i="26" s="1"/>
  <c r="AG88" i="28"/>
  <c r="AF89" i="28" s="1"/>
  <c r="AT111" i="26"/>
  <c r="G60" i="26"/>
  <c r="AR60" i="26" s="1"/>
  <c r="P110" i="26"/>
  <c r="M111" i="26" s="1"/>
  <c r="AM59" i="26"/>
  <c r="AN59" i="26" s="1"/>
  <c r="T110" i="26"/>
  <c r="S111" i="26" s="1"/>
  <c r="C151" i="26"/>
  <c r="AZ151" i="26"/>
  <c r="E152" i="26"/>
  <c r="T120" i="28"/>
  <c r="S120" i="28"/>
  <c r="W120" i="28" s="1"/>
  <c r="R121" i="28" s="1"/>
  <c r="V121" i="28" s="1"/>
  <c r="AT119" i="28"/>
  <c r="AE119" i="28"/>
  <c r="AD120" i="28" s="1"/>
  <c r="AO61" i="28"/>
  <c r="AL61" i="28"/>
  <c r="AM61" i="28" s="1"/>
  <c r="AC88" i="28"/>
  <c r="X89" i="28" s="1"/>
  <c r="AB89" i="28" s="1"/>
  <c r="C151" i="28"/>
  <c r="AZ151" i="28"/>
  <c r="E152" i="28"/>
  <c r="G72" i="25"/>
  <c r="K72" i="25" s="1"/>
  <c r="H72" i="25"/>
  <c r="J73" i="25"/>
  <c r="AW55" i="24"/>
  <c r="AX55" i="24" s="1"/>
  <c r="AY55" i="24" s="1"/>
  <c r="AO65" i="25"/>
  <c r="AR150" i="25"/>
  <c r="U150" i="25"/>
  <c r="AB150" i="25"/>
  <c r="V150" i="25"/>
  <c r="AA150" i="25"/>
  <c r="BA151" i="25"/>
  <c r="BB151" i="25"/>
  <c r="BC151" i="25"/>
  <c r="AZ151" i="25"/>
  <c r="BD151" i="25"/>
  <c r="C151" i="25"/>
  <c r="E152" i="25"/>
  <c r="Q65" i="25"/>
  <c r="AU150" i="24"/>
  <c r="AQ150" i="24"/>
  <c r="AS150" i="24"/>
  <c r="C151" i="24"/>
  <c r="AZ151" i="24"/>
  <c r="E152" i="24"/>
  <c r="H56" i="24"/>
  <c r="F56" i="15"/>
  <c r="AI55" i="15"/>
  <c r="AJ55" i="15" s="1"/>
  <c r="AK55" i="15" s="1"/>
  <c r="AL55" i="15"/>
  <c r="AM55" i="15" s="1"/>
  <c r="AN55" i="15" s="1"/>
  <c r="AQ152" i="15"/>
  <c r="AS152" i="15"/>
  <c r="AU152" i="15"/>
  <c r="P113" i="15"/>
  <c r="M114" i="15" s="1"/>
  <c r="N114" i="15" s="1"/>
  <c r="BG54" i="23"/>
  <c r="AZ54" i="23"/>
  <c r="K61" i="28"/>
  <c r="O149" i="25"/>
  <c r="I149" i="25"/>
  <c r="AV108" i="14"/>
  <c r="BG108" i="14" s="1"/>
  <c r="AW33" i="19"/>
  <c r="AX33" i="19" s="1"/>
  <c r="AY33" i="19" s="1"/>
  <c r="AD152" i="3"/>
  <c r="AI152" i="3" s="1"/>
  <c r="BE152" i="3" s="1"/>
  <c r="J35" i="19"/>
  <c r="H34" i="19"/>
  <c r="G34" i="19"/>
  <c r="AL34" i="19" s="1"/>
  <c r="AM34" i="19" s="1"/>
  <c r="AN34" i="19" s="1"/>
  <c r="K109" i="14"/>
  <c r="AU109" i="14" s="1"/>
  <c r="AQ35" i="17"/>
  <c r="Y73" i="19"/>
  <c r="Z73" i="19"/>
  <c r="AG72" i="19"/>
  <c r="AF73" i="19" s="1"/>
  <c r="AI35" i="17"/>
  <c r="AJ35" i="17" s="1"/>
  <c r="AK35" i="17" s="1"/>
  <c r="AL109" i="14"/>
  <c r="AM109" i="14" s="1"/>
  <c r="AN109" i="14" s="1"/>
  <c r="AL35" i="17"/>
  <c r="AM35" i="17" s="1"/>
  <c r="AN35" i="17" s="1"/>
  <c r="AP35" i="17"/>
  <c r="AO35" i="17"/>
  <c r="AU35" i="17"/>
  <c r="AS35" i="17"/>
  <c r="H36" i="17"/>
  <c r="J37" i="17"/>
  <c r="G36" i="17"/>
  <c r="AI36" i="17" s="1"/>
  <c r="AJ36" i="17" s="1"/>
  <c r="AK36" i="17" s="1"/>
  <c r="Z73" i="17"/>
  <c r="AO109" i="14"/>
  <c r="AP109" i="14"/>
  <c r="AT71" i="19"/>
  <c r="AE71" i="19"/>
  <c r="AD72" i="19" s="1"/>
  <c r="S72" i="19"/>
  <c r="W72" i="19" s="1"/>
  <c r="R73" i="19" s="1"/>
  <c r="T72" i="19"/>
  <c r="AT79" i="17"/>
  <c r="AE79" i="17"/>
  <c r="AD80" i="17" s="1"/>
  <c r="T80" i="17"/>
  <c r="S80" i="17"/>
  <c r="W80" i="17" s="1"/>
  <c r="R81" i="17" s="1"/>
  <c r="P82" i="19"/>
  <c r="N81" i="19"/>
  <c r="M81" i="19"/>
  <c r="Q81" i="19" s="1"/>
  <c r="L82" i="19" s="1"/>
  <c r="V152" i="17"/>
  <c r="AB152" i="17"/>
  <c r="I152" i="17"/>
  <c r="AA152" i="17"/>
  <c r="V152" i="19"/>
  <c r="U152" i="17"/>
  <c r="O152" i="19"/>
  <c r="O152" i="17"/>
  <c r="AB152" i="19"/>
  <c r="I152" i="19"/>
  <c r="U152" i="19"/>
  <c r="AA152" i="19"/>
  <c r="M81" i="17"/>
  <c r="Q81" i="17" s="1"/>
  <c r="L82" i="17" s="1"/>
  <c r="P82" i="17"/>
  <c r="N81" i="17"/>
  <c r="AC73" i="17"/>
  <c r="X74" i="17" s="1"/>
  <c r="C152" i="19"/>
  <c r="AZ152" i="19"/>
  <c r="E153" i="19"/>
  <c r="AR151" i="16"/>
  <c r="E153" i="16"/>
  <c r="C152" i="16"/>
  <c r="BD152" i="16"/>
  <c r="AZ152" i="16"/>
  <c r="K150" i="18"/>
  <c r="O150" i="18"/>
  <c r="AQ150" i="18"/>
  <c r="AS150" i="18"/>
  <c r="AU150" i="18"/>
  <c r="J149" i="18"/>
  <c r="L149" i="18" s="1"/>
  <c r="I150" i="18" s="1"/>
  <c r="AZ151" i="18"/>
  <c r="C151" i="18"/>
  <c r="E152" i="18"/>
  <c r="AZ151" i="17"/>
  <c r="C151" i="17"/>
  <c r="E152" i="17"/>
  <c r="H70" i="18"/>
  <c r="AI70" i="18" s="1"/>
  <c r="AJ70" i="18" s="1"/>
  <c r="AK70" i="18" s="1"/>
  <c r="AZ153" i="15"/>
  <c r="C153" i="15"/>
  <c r="E154" i="15"/>
  <c r="R113" i="18"/>
  <c r="Q114" i="18" s="1"/>
  <c r="AT114" i="18" s="1"/>
  <c r="T113" i="18"/>
  <c r="S114" i="18" s="1"/>
  <c r="P113" i="18"/>
  <c r="M114" i="18" s="1"/>
  <c r="N114" i="18" s="1"/>
  <c r="BD153" i="3"/>
  <c r="AH154" i="3"/>
  <c r="AV155" i="3"/>
  <c r="AX155" i="3" s="1"/>
  <c r="V155" i="3"/>
  <c r="X155" i="3" s="1"/>
  <c r="G156" i="3"/>
  <c r="H154" i="3"/>
  <c r="AF153" i="3"/>
  <c r="AD153" i="3" s="1"/>
  <c r="AW157" i="3"/>
  <c r="AG154" i="3"/>
  <c r="AQ157" i="3"/>
  <c r="AN157" i="3"/>
  <c r="AC153" i="3"/>
  <c r="Y154" i="3"/>
  <c r="A155" i="3"/>
  <c r="BI155" i="3" s="1"/>
  <c r="BJ155" i="3" s="1"/>
  <c r="BC153" i="3"/>
  <c r="AE154" i="3"/>
  <c r="AT115" i="25" l="1"/>
  <c r="AE115" i="25"/>
  <c r="AD116" i="25" s="1"/>
  <c r="S116" i="25"/>
  <c r="W116" i="25" s="1"/>
  <c r="R117" i="25" s="1"/>
  <c r="T116" i="25"/>
  <c r="AV55" i="23"/>
  <c r="AK66" i="23"/>
  <c r="AS60" i="29"/>
  <c r="P62" i="29"/>
  <c r="N61" i="29"/>
  <c r="AG84" i="29"/>
  <c r="AF85" i="29" s="1"/>
  <c r="F61" i="29"/>
  <c r="I61" i="29" s="1"/>
  <c r="AR61" i="29" s="1"/>
  <c r="AU60" i="29"/>
  <c r="AQ60" i="29"/>
  <c r="AT85" i="29"/>
  <c r="AR157" i="3"/>
  <c r="BB155" i="3"/>
  <c r="P155" i="20"/>
  <c r="Y79" i="25"/>
  <c r="AC79" i="25" s="1"/>
  <c r="X80" i="25" s="1"/>
  <c r="P85" i="24"/>
  <c r="M86" i="24" s="1"/>
  <c r="AN155" i="20"/>
  <c r="AK153" i="3"/>
  <c r="BG153" i="3" s="1"/>
  <c r="O156" i="20"/>
  <c r="AQ155" i="20"/>
  <c r="AR155" i="20" s="1"/>
  <c r="AJ152" i="3"/>
  <c r="BF152" i="3" s="1"/>
  <c r="O152" i="15"/>
  <c r="K152" i="15"/>
  <c r="T137" i="29"/>
  <c r="S137" i="29"/>
  <c r="W137" i="29" s="1"/>
  <c r="R138" i="29" s="1"/>
  <c r="U138" i="29" s="1"/>
  <c r="AZ151" i="29"/>
  <c r="C151" i="29"/>
  <c r="E152" i="29"/>
  <c r="AW59" i="26"/>
  <c r="AX59" i="26" s="1"/>
  <c r="AY59" i="26" s="1"/>
  <c r="J146" i="26"/>
  <c r="L146" i="26" s="1"/>
  <c r="I147" i="26" s="1"/>
  <c r="H60" i="26"/>
  <c r="N111" i="26"/>
  <c r="R111" i="26" s="1"/>
  <c r="Q112" i="26" s="1"/>
  <c r="K151" i="26"/>
  <c r="O151" i="26"/>
  <c r="AQ151" i="26"/>
  <c r="AS151" i="26"/>
  <c r="AU151" i="26"/>
  <c r="C152" i="26"/>
  <c r="AZ152" i="26"/>
  <c r="E153" i="26"/>
  <c r="T121" i="28"/>
  <c r="S121" i="28"/>
  <c r="W121" i="28" s="1"/>
  <c r="R122" i="28" s="1"/>
  <c r="V122" i="28" s="1"/>
  <c r="AT120" i="28"/>
  <c r="AE120" i="28"/>
  <c r="AD121" i="28" s="1"/>
  <c r="AQ61" i="28"/>
  <c r="AS61" i="28"/>
  <c r="AU61" i="28"/>
  <c r="AN61" i="28"/>
  <c r="Z89" i="28"/>
  <c r="Y89" i="28"/>
  <c r="AG89" i="28" s="1"/>
  <c r="AF90" i="28" s="1"/>
  <c r="AZ152" i="28"/>
  <c r="C152" i="28"/>
  <c r="E153" i="28"/>
  <c r="F62" i="28"/>
  <c r="I62" i="28" s="1"/>
  <c r="Q62" i="28" s="1"/>
  <c r="L63" i="28" s="1"/>
  <c r="AJ61" i="28"/>
  <c r="AK61" i="28" s="1"/>
  <c r="AW55" i="15"/>
  <c r="AX55" i="15" s="1"/>
  <c r="AY55" i="15" s="1"/>
  <c r="F73" i="25"/>
  <c r="BA152" i="25"/>
  <c r="BB152" i="25"/>
  <c r="BC152" i="25"/>
  <c r="AU65" i="25"/>
  <c r="AS65" i="25"/>
  <c r="AQ65" i="25"/>
  <c r="AI65" i="25"/>
  <c r="AB151" i="25"/>
  <c r="AR151" i="25"/>
  <c r="AA151" i="25"/>
  <c r="U151" i="25"/>
  <c r="V151" i="25"/>
  <c r="AM65" i="25"/>
  <c r="AN65" i="25" s="1"/>
  <c r="L66" i="25"/>
  <c r="C152" i="25"/>
  <c r="AZ152" i="25"/>
  <c r="BD152" i="25"/>
  <c r="E153" i="25"/>
  <c r="C152" i="24"/>
  <c r="AZ152" i="24"/>
  <c r="E153" i="24"/>
  <c r="K81" i="24"/>
  <c r="L81" i="24" s="1"/>
  <c r="I82" i="24" s="1"/>
  <c r="J82" i="24" s="1"/>
  <c r="F57" i="24"/>
  <c r="AL56" i="24"/>
  <c r="AM56" i="24" s="1"/>
  <c r="AI56" i="24"/>
  <c r="AJ56" i="24" s="1"/>
  <c r="AS151" i="24"/>
  <c r="AU151" i="24"/>
  <c r="AQ151" i="24"/>
  <c r="G56" i="15"/>
  <c r="AR56" i="15" s="1"/>
  <c r="AS153" i="15"/>
  <c r="AU153" i="15"/>
  <c r="K153" i="15"/>
  <c r="O153" i="15"/>
  <c r="AQ153" i="15"/>
  <c r="P114" i="15"/>
  <c r="M115" i="15" s="1"/>
  <c r="N115" i="15" s="1"/>
  <c r="BC54" i="23"/>
  <c r="AC84" i="29"/>
  <c r="X85" i="29" s="1"/>
  <c r="O150" i="25"/>
  <c r="I150" i="25"/>
  <c r="AJ153" i="3"/>
  <c r="BF153" i="3" s="1"/>
  <c r="AZ108" i="14"/>
  <c r="BC108" i="14" s="1"/>
  <c r="AQ109" i="14"/>
  <c r="AS109" i="14"/>
  <c r="AR152" i="19"/>
  <c r="AG73" i="19"/>
  <c r="AF74" i="19" s="1"/>
  <c r="F110" i="14"/>
  <c r="G110" i="14" s="1"/>
  <c r="AL110" i="14" s="1"/>
  <c r="AM110" i="14" s="1"/>
  <c r="AN110" i="14" s="1"/>
  <c r="K34" i="19"/>
  <c r="AL36" i="17"/>
  <c r="AM36" i="17" s="1"/>
  <c r="AN36" i="17" s="1"/>
  <c r="AO34" i="19"/>
  <c r="AP34" i="19"/>
  <c r="AC73" i="19"/>
  <c r="X74" i="19" s="1"/>
  <c r="AI34" i="19"/>
  <c r="AJ34" i="19" s="1"/>
  <c r="AK34" i="19" s="1"/>
  <c r="K36" i="17"/>
  <c r="AQ36" i="17" s="1"/>
  <c r="AW35" i="17"/>
  <c r="AX35" i="17" s="1"/>
  <c r="AY35" i="17" s="1"/>
  <c r="AO36" i="17"/>
  <c r="AP36" i="17"/>
  <c r="L106" i="15"/>
  <c r="I107" i="15" s="1"/>
  <c r="J107" i="15" s="1"/>
  <c r="AT72" i="19"/>
  <c r="AE72" i="19"/>
  <c r="AD73" i="19" s="1"/>
  <c r="S73" i="19"/>
  <c r="W73" i="19" s="1"/>
  <c r="R74" i="19" s="1"/>
  <c r="T73" i="19"/>
  <c r="Y74" i="17"/>
  <c r="AG74" i="17" s="1"/>
  <c r="AF75" i="17" s="1"/>
  <c r="Z74" i="17"/>
  <c r="T81" i="17"/>
  <c r="S81" i="17"/>
  <c r="W81" i="17" s="1"/>
  <c r="R82" i="17" s="1"/>
  <c r="AB153" i="17"/>
  <c r="O153" i="17"/>
  <c r="AA153" i="17"/>
  <c r="AA153" i="19"/>
  <c r="I153" i="19"/>
  <c r="V153" i="17"/>
  <c r="I153" i="17"/>
  <c r="AB153" i="19"/>
  <c r="V153" i="19"/>
  <c r="U153" i="19"/>
  <c r="U153" i="17"/>
  <c r="O153" i="19"/>
  <c r="M82" i="19"/>
  <c r="Q82" i="19" s="1"/>
  <c r="L83" i="19" s="1"/>
  <c r="P83" i="19"/>
  <c r="N82" i="19"/>
  <c r="M82" i="17"/>
  <c r="Q82" i="17" s="1"/>
  <c r="L83" i="17" s="1"/>
  <c r="P83" i="17"/>
  <c r="N82" i="17"/>
  <c r="AT80" i="17"/>
  <c r="AE80" i="17"/>
  <c r="AD81" i="17" s="1"/>
  <c r="E154" i="19"/>
  <c r="C153" i="19"/>
  <c r="AZ153" i="19"/>
  <c r="AZ153" i="16"/>
  <c r="C153" i="16"/>
  <c r="BD153" i="16"/>
  <c r="E154" i="16"/>
  <c r="AR152" i="16"/>
  <c r="E153" i="17"/>
  <c r="C152" i="17"/>
  <c r="AZ152" i="17"/>
  <c r="AU151" i="18"/>
  <c r="K151" i="18"/>
  <c r="AQ151" i="18"/>
  <c r="O151" i="18"/>
  <c r="AS151" i="18"/>
  <c r="J150" i="18"/>
  <c r="L150" i="18" s="1"/>
  <c r="I151" i="18" s="1"/>
  <c r="E153" i="18"/>
  <c r="C152" i="18"/>
  <c r="AZ152" i="18"/>
  <c r="F71" i="18"/>
  <c r="G71" i="18" s="1"/>
  <c r="AR71" i="18" s="1"/>
  <c r="AL70" i="18"/>
  <c r="AM70" i="18" s="1"/>
  <c r="AN70" i="18" s="1"/>
  <c r="AW70" i="18" s="1"/>
  <c r="AX70" i="18" s="1"/>
  <c r="AY70" i="18" s="1"/>
  <c r="C154" i="15"/>
  <c r="E155" i="15"/>
  <c r="AZ154" i="15"/>
  <c r="T114" i="18"/>
  <c r="S115" i="18" s="1"/>
  <c r="T106" i="15"/>
  <c r="R106" i="15"/>
  <c r="Q107" i="15" s="1"/>
  <c r="AT107" i="15" s="1"/>
  <c r="AI153" i="3"/>
  <c r="BE153" i="3" s="1"/>
  <c r="AQ158" i="3"/>
  <c r="AG155" i="3"/>
  <c r="AM155" i="3"/>
  <c r="H155" i="3"/>
  <c r="AF154" i="3"/>
  <c r="AD154" i="3" s="1"/>
  <c r="AE155" i="3"/>
  <c r="BC154" i="3"/>
  <c r="A156" i="3"/>
  <c r="BI156" i="3" s="1"/>
  <c r="BJ156" i="3" s="1"/>
  <c r="AL155" i="3"/>
  <c r="AW158" i="3"/>
  <c r="P158" i="3"/>
  <c r="BD154" i="3"/>
  <c r="AH155" i="3"/>
  <c r="Y155" i="3"/>
  <c r="AC154" i="3"/>
  <c r="AN158" i="3"/>
  <c r="AN159" i="3" s="1"/>
  <c r="AV156" i="3"/>
  <c r="AX156" i="3" s="1"/>
  <c r="G157" i="3"/>
  <c r="V156" i="3"/>
  <c r="X156" i="3" s="1"/>
  <c r="S117" i="25" l="1"/>
  <c r="W117" i="25" s="1"/>
  <c r="R118" i="25" s="1"/>
  <c r="T117" i="25"/>
  <c r="BG55" i="23"/>
  <c r="AZ55" i="23"/>
  <c r="AV66" i="23"/>
  <c r="AT116" i="25"/>
  <c r="AE116" i="25"/>
  <c r="AD117" i="25" s="1"/>
  <c r="Q61" i="29"/>
  <c r="L62" i="29" s="1"/>
  <c r="M62" i="29" s="1"/>
  <c r="AW60" i="29"/>
  <c r="AX60" i="29" s="1"/>
  <c r="AY60" i="29" s="1"/>
  <c r="J62" i="29"/>
  <c r="H61" i="29"/>
  <c r="AP61" i="29" s="1"/>
  <c r="G61" i="29"/>
  <c r="AL61" i="29" s="1"/>
  <c r="AM61" i="29" s="1"/>
  <c r="Z85" i="29"/>
  <c r="AA85" i="29"/>
  <c r="AE85" i="29" s="1"/>
  <c r="AD86" i="29" s="1"/>
  <c r="O62" i="29"/>
  <c r="O63" i="28"/>
  <c r="P64" i="28"/>
  <c r="M63" i="28"/>
  <c r="N63" i="28"/>
  <c r="AR158" i="3"/>
  <c r="BB156" i="3"/>
  <c r="P156" i="20"/>
  <c r="AG79" i="25"/>
  <c r="AF80" i="25" s="1"/>
  <c r="O86" i="24"/>
  <c r="N86" i="24"/>
  <c r="Y80" i="25"/>
  <c r="AC80" i="25" s="1"/>
  <c r="X81" i="25" s="1"/>
  <c r="Z80" i="25"/>
  <c r="AL156" i="3"/>
  <c r="AM156" i="3"/>
  <c r="AK154" i="3"/>
  <c r="BG154" i="3" s="1"/>
  <c r="AQ156" i="20"/>
  <c r="AR156" i="20" s="1"/>
  <c r="O157" i="20"/>
  <c r="AN156" i="20"/>
  <c r="AJ154" i="3"/>
  <c r="BF154" i="3" s="1"/>
  <c r="T138" i="29"/>
  <c r="S138" i="29"/>
  <c r="W138" i="29" s="1"/>
  <c r="R139" i="29" s="1"/>
  <c r="U139" i="29" s="1"/>
  <c r="C152" i="29"/>
  <c r="AZ152" i="29"/>
  <c r="E153" i="29"/>
  <c r="Y85" i="29"/>
  <c r="T111" i="26"/>
  <c r="S112" i="26" s="1"/>
  <c r="AT112" i="26"/>
  <c r="P111" i="26"/>
  <c r="M112" i="26" s="1"/>
  <c r="O152" i="26"/>
  <c r="AQ152" i="26"/>
  <c r="AS152" i="26"/>
  <c r="AU152" i="26"/>
  <c r="K152" i="26"/>
  <c r="F61" i="26"/>
  <c r="AL60" i="26"/>
  <c r="AI60" i="26"/>
  <c r="J147" i="26"/>
  <c r="L147" i="26" s="1"/>
  <c r="I148" i="26" s="1"/>
  <c r="AC89" i="28"/>
  <c r="X90" i="28" s="1"/>
  <c r="C153" i="26"/>
  <c r="AZ153" i="26"/>
  <c r="E154" i="26"/>
  <c r="T122" i="28"/>
  <c r="S122" i="28"/>
  <c r="W122" i="28" s="1"/>
  <c r="R123" i="28" s="1"/>
  <c r="V123" i="28" s="1"/>
  <c r="H62" i="28"/>
  <c r="AP62" i="28" s="1"/>
  <c r="J63" i="28"/>
  <c r="G62" i="28"/>
  <c r="AL62" i="28" s="1"/>
  <c r="AT121" i="28"/>
  <c r="AE121" i="28"/>
  <c r="AD122" i="28" s="1"/>
  <c r="C153" i="28"/>
  <c r="AZ153" i="28"/>
  <c r="E154" i="28"/>
  <c r="G73" i="25"/>
  <c r="K73" i="25" s="1"/>
  <c r="H73" i="25"/>
  <c r="J74" i="25"/>
  <c r="AA152" i="25"/>
  <c r="AB152" i="25"/>
  <c r="AR152" i="25"/>
  <c r="V152" i="25"/>
  <c r="U152" i="25"/>
  <c r="BA153" i="25"/>
  <c r="BB153" i="25"/>
  <c r="BC153" i="25"/>
  <c r="AZ153" i="25"/>
  <c r="BD153" i="25"/>
  <c r="C153" i="25"/>
  <c r="E154" i="25"/>
  <c r="P67" i="25"/>
  <c r="N66" i="25"/>
  <c r="AP66" i="25" s="1"/>
  <c r="M66" i="25"/>
  <c r="AL66" i="25" s="1"/>
  <c r="AJ65" i="25"/>
  <c r="AK65" i="25" s="1"/>
  <c r="AW65" i="25" s="1"/>
  <c r="AX65" i="25" s="1"/>
  <c r="AY65" i="25" s="1"/>
  <c r="AK56" i="24"/>
  <c r="AN56" i="24"/>
  <c r="K82" i="24"/>
  <c r="L82" i="24" s="1"/>
  <c r="AQ152" i="24"/>
  <c r="AS152" i="24"/>
  <c r="AU152" i="24"/>
  <c r="C153" i="24"/>
  <c r="AZ153" i="24"/>
  <c r="E154" i="24"/>
  <c r="T81" i="24"/>
  <c r="S82" i="24" s="1"/>
  <c r="R81" i="24"/>
  <c r="Q82" i="24" s="1"/>
  <c r="G57" i="24"/>
  <c r="AR57" i="24" s="1"/>
  <c r="H56" i="15"/>
  <c r="K154" i="15"/>
  <c r="O154" i="15"/>
  <c r="AQ154" i="15"/>
  <c r="AS154" i="15"/>
  <c r="AU154" i="15"/>
  <c r="P115" i="15"/>
  <c r="M116" i="15" s="1"/>
  <c r="N116" i="15" s="1"/>
  <c r="AW61" i="28"/>
  <c r="AX61" i="28" s="1"/>
  <c r="AY61" i="28" s="1"/>
  <c r="I151" i="25"/>
  <c r="O151" i="25"/>
  <c r="AV109" i="14"/>
  <c r="BG109" i="14" s="1"/>
  <c r="AR153" i="19"/>
  <c r="J111" i="14"/>
  <c r="AS36" i="17"/>
  <c r="F37" i="17"/>
  <c r="G37" i="17" s="1"/>
  <c r="K37" i="17" s="1"/>
  <c r="AQ37" i="17" s="1"/>
  <c r="H110" i="14"/>
  <c r="AO110" i="14" s="1"/>
  <c r="AU36" i="17"/>
  <c r="F35" i="19"/>
  <c r="AU34" i="19"/>
  <c r="AQ34" i="19"/>
  <c r="AS34" i="19"/>
  <c r="Y74" i="19"/>
  <c r="Z74" i="19"/>
  <c r="K110" i="14"/>
  <c r="AU110" i="14" s="1"/>
  <c r="L107" i="15"/>
  <c r="I108" i="15" s="1"/>
  <c r="J108" i="15" s="1"/>
  <c r="AI110" i="14"/>
  <c r="AJ110" i="14" s="1"/>
  <c r="AK110" i="14" s="1"/>
  <c r="T74" i="19"/>
  <c r="S74" i="19"/>
  <c r="W74" i="19" s="1"/>
  <c r="R75" i="19" s="1"/>
  <c r="AE73" i="19"/>
  <c r="AD74" i="19" s="1"/>
  <c r="AT73" i="19"/>
  <c r="AC74" i="17"/>
  <c r="X75" i="17" s="1"/>
  <c r="Y75" i="17" s="1"/>
  <c r="AC75" i="17" s="1"/>
  <c r="X76" i="17" s="1"/>
  <c r="M83" i="17"/>
  <c r="Q83" i="17" s="1"/>
  <c r="L84" i="17" s="1"/>
  <c r="P84" i="17"/>
  <c r="N83" i="17"/>
  <c r="T82" i="17"/>
  <c r="S82" i="17"/>
  <c r="W82" i="17" s="1"/>
  <c r="R83" i="17" s="1"/>
  <c r="V154" i="17"/>
  <c r="AA154" i="17"/>
  <c r="I154" i="17"/>
  <c r="AB154" i="19"/>
  <c r="O154" i="19"/>
  <c r="AB154" i="17"/>
  <c r="V154" i="19"/>
  <c r="U154" i="17"/>
  <c r="U154" i="19"/>
  <c r="I154" i="19"/>
  <c r="O154" i="17"/>
  <c r="AA154" i="19"/>
  <c r="AT81" i="17"/>
  <c r="AE81" i="17"/>
  <c r="AD82" i="17" s="1"/>
  <c r="P84" i="19"/>
  <c r="M83" i="19"/>
  <c r="Q83" i="19" s="1"/>
  <c r="L84" i="19" s="1"/>
  <c r="N83" i="19"/>
  <c r="E155" i="19"/>
  <c r="C154" i="19"/>
  <c r="AZ154" i="19"/>
  <c r="AR153" i="16"/>
  <c r="AZ154" i="16"/>
  <c r="E155" i="16"/>
  <c r="C154" i="16"/>
  <c r="BD154" i="16"/>
  <c r="J151" i="18"/>
  <c r="L151" i="18" s="1"/>
  <c r="I152" i="18" s="1"/>
  <c r="J152" i="18" s="1"/>
  <c r="C153" i="18"/>
  <c r="E154" i="18"/>
  <c r="AZ153" i="18"/>
  <c r="O152" i="18"/>
  <c r="K152" i="18"/>
  <c r="AS152" i="18"/>
  <c r="AQ152" i="18"/>
  <c r="AU152" i="18"/>
  <c r="C153" i="17"/>
  <c r="AZ153" i="17"/>
  <c r="E154" i="17"/>
  <c r="H71" i="18"/>
  <c r="AL71" i="18" s="1"/>
  <c r="E156" i="15"/>
  <c r="AZ155" i="15"/>
  <c r="C155" i="15"/>
  <c r="S107" i="15"/>
  <c r="T107" i="15" s="1"/>
  <c r="S108" i="15" s="1"/>
  <c r="P114" i="18"/>
  <c r="M115" i="18" s="1"/>
  <c r="N115" i="18" s="1"/>
  <c r="R114" i="18"/>
  <c r="Q115" i="18" s="1"/>
  <c r="AT115" i="18" s="1"/>
  <c r="R107" i="15"/>
  <c r="Q108" i="15" s="1"/>
  <c r="AT108" i="15" s="1"/>
  <c r="BD155" i="3"/>
  <c r="AH156" i="3"/>
  <c r="AW159" i="3"/>
  <c r="H156" i="3"/>
  <c r="AF155" i="3"/>
  <c r="AD155" i="3" s="1"/>
  <c r="AQ159" i="3"/>
  <c r="AI154" i="3"/>
  <c r="BE154" i="3" s="1"/>
  <c r="P159" i="3"/>
  <c r="P160" i="3" s="1"/>
  <c r="A157" i="3"/>
  <c r="BI157" i="3" s="1"/>
  <c r="BJ157" i="3" s="1"/>
  <c r="AE156" i="3"/>
  <c r="BC155" i="3"/>
  <c r="AV157" i="3"/>
  <c r="AX157" i="3" s="1"/>
  <c r="V157" i="3"/>
  <c r="X157" i="3" s="1"/>
  <c r="G158" i="3"/>
  <c r="Y156" i="3"/>
  <c r="AC155" i="3"/>
  <c r="AG156" i="3"/>
  <c r="BC55" i="23" l="1"/>
  <c r="BC66" i="23" s="1"/>
  <c r="AZ66" i="23"/>
  <c r="AT117" i="25"/>
  <c r="AE117" i="25"/>
  <c r="AD118" i="25" s="1"/>
  <c r="S118" i="25"/>
  <c r="W118" i="25" s="1"/>
  <c r="R119" i="25" s="1"/>
  <c r="T118" i="25"/>
  <c r="N62" i="29"/>
  <c r="P63" i="29"/>
  <c r="AO61" i="29"/>
  <c r="AI61" i="29"/>
  <c r="AJ61" i="29" s="1"/>
  <c r="AK61" i="29" s="1"/>
  <c r="K61" i="29"/>
  <c r="F62" i="29" s="1"/>
  <c r="I62" i="29" s="1"/>
  <c r="AR62" i="29" s="1"/>
  <c r="AN61" i="29"/>
  <c r="AT86" i="29"/>
  <c r="Z90" i="28"/>
  <c r="AB90" i="28"/>
  <c r="AG85" i="29"/>
  <c r="AF86" i="29" s="1"/>
  <c r="AR159" i="3"/>
  <c r="BB157" i="3"/>
  <c r="P157" i="20"/>
  <c r="P86" i="24"/>
  <c r="M87" i="24" s="1"/>
  <c r="AG80" i="25"/>
  <c r="AF81" i="25" s="1"/>
  <c r="Y81" i="25"/>
  <c r="AC81" i="25" s="1"/>
  <c r="X82" i="25" s="1"/>
  <c r="Z81" i="25"/>
  <c r="AN157" i="20"/>
  <c r="O158" i="20"/>
  <c r="AQ157" i="20"/>
  <c r="AR157" i="20" s="1"/>
  <c r="AJ155" i="3"/>
  <c r="BF155" i="3" s="1"/>
  <c r="AK155" i="3"/>
  <c r="BG155" i="3" s="1"/>
  <c r="T139" i="29"/>
  <c r="S139" i="29"/>
  <c r="W139" i="29" s="1"/>
  <c r="R140" i="29" s="1"/>
  <c r="U140" i="29" s="1"/>
  <c r="AZ153" i="29"/>
  <c r="C153" i="29"/>
  <c r="E154" i="29"/>
  <c r="Y90" i="28"/>
  <c r="AG90" i="28" s="1"/>
  <c r="AF91" i="28" s="1"/>
  <c r="J148" i="26"/>
  <c r="L148" i="26" s="1"/>
  <c r="I149" i="26" s="1"/>
  <c r="AM60" i="26"/>
  <c r="AN60" i="26" s="1"/>
  <c r="G61" i="26"/>
  <c r="AR61" i="26" s="1"/>
  <c r="N112" i="26"/>
  <c r="AS153" i="26"/>
  <c r="AU153" i="26"/>
  <c r="AQ153" i="26"/>
  <c r="O153" i="26"/>
  <c r="K153" i="26"/>
  <c r="AJ60" i="26"/>
  <c r="AK60" i="26" s="1"/>
  <c r="AZ154" i="26"/>
  <c r="C154" i="26"/>
  <c r="E155" i="26"/>
  <c r="T123" i="28"/>
  <c r="S123" i="28"/>
  <c r="W123" i="28" s="1"/>
  <c r="R124" i="28" s="1"/>
  <c r="V124" i="28" s="1"/>
  <c r="AO62" i="28"/>
  <c r="AT122" i="28"/>
  <c r="AE122" i="28"/>
  <c r="AD123" i="28" s="1"/>
  <c r="AI62" i="28"/>
  <c r="AJ62" i="28" s="1"/>
  <c r="AK62" i="28" s="1"/>
  <c r="C154" i="28"/>
  <c r="AZ154" i="28"/>
  <c r="E155" i="28"/>
  <c r="Q66" i="25"/>
  <c r="L67" i="25" s="1"/>
  <c r="M67" i="25" s="1"/>
  <c r="AL67" i="25" s="1"/>
  <c r="F74" i="25"/>
  <c r="V153" i="25"/>
  <c r="AA153" i="25"/>
  <c r="AB153" i="25"/>
  <c r="AR153" i="25"/>
  <c r="U153" i="25"/>
  <c r="AO66" i="25"/>
  <c r="BC154" i="25"/>
  <c r="BA154" i="25"/>
  <c r="BB154" i="25"/>
  <c r="T82" i="24"/>
  <c r="S83" i="24" s="1"/>
  <c r="AM66" i="25"/>
  <c r="AN66" i="25" s="1"/>
  <c r="C154" i="25"/>
  <c r="BD154" i="25"/>
  <c r="AZ154" i="25"/>
  <c r="E155" i="25"/>
  <c r="AW56" i="24"/>
  <c r="AX56" i="24" s="1"/>
  <c r="AY56" i="24" s="1"/>
  <c r="AT82" i="24"/>
  <c r="R82" i="24"/>
  <c r="Q83" i="24" s="1"/>
  <c r="I83" i="24"/>
  <c r="AQ153" i="24"/>
  <c r="AS153" i="24"/>
  <c r="AU153" i="24"/>
  <c r="AZ154" i="24"/>
  <c r="C154" i="24"/>
  <c r="E155" i="24"/>
  <c r="H57" i="24"/>
  <c r="F57" i="15"/>
  <c r="AI56" i="15"/>
  <c r="AJ56" i="15" s="1"/>
  <c r="AK56" i="15" s="1"/>
  <c r="AL56" i="15"/>
  <c r="AM56" i="15" s="1"/>
  <c r="AN56" i="15" s="1"/>
  <c r="K155" i="15"/>
  <c r="O155" i="15"/>
  <c r="AQ155" i="15"/>
  <c r="AS155" i="15"/>
  <c r="AU155" i="15"/>
  <c r="P116" i="15"/>
  <c r="M117" i="15" s="1"/>
  <c r="N117" i="15" s="1"/>
  <c r="AC85" i="29"/>
  <c r="X86" i="29" s="1"/>
  <c r="K62" i="28"/>
  <c r="O152" i="25"/>
  <c r="I152" i="25"/>
  <c r="AZ109" i="14"/>
  <c r="BC109" i="14" s="1"/>
  <c r="AW36" i="17"/>
  <c r="AX36" i="17" s="1"/>
  <c r="AY36" i="17" s="1"/>
  <c r="AW34" i="19"/>
  <c r="AX34" i="19" s="1"/>
  <c r="AY34" i="19" s="1"/>
  <c r="H37" i="17"/>
  <c r="AP37" i="17" s="1"/>
  <c r="AM157" i="3"/>
  <c r="J38" i="17"/>
  <c r="AP110" i="14"/>
  <c r="Z75" i="17"/>
  <c r="AS110" i="14"/>
  <c r="AQ110" i="14"/>
  <c r="F111" i="14"/>
  <c r="J112" i="14" s="1"/>
  <c r="AC74" i="19"/>
  <c r="X75" i="19" s="1"/>
  <c r="AG74" i="19"/>
  <c r="AF75" i="19" s="1"/>
  <c r="J36" i="19"/>
  <c r="H35" i="19"/>
  <c r="G35" i="19"/>
  <c r="AI35" i="19" s="1"/>
  <c r="AJ35" i="19" s="1"/>
  <c r="AK35" i="19" s="1"/>
  <c r="L108" i="15"/>
  <c r="I109" i="15" s="1"/>
  <c r="J109" i="15" s="1"/>
  <c r="AR154" i="19"/>
  <c r="AL37" i="17"/>
  <c r="AM37" i="17" s="1"/>
  <c r="AN37" i="17" s="1"/>
  <c r="AI37" i="17"/>
  <c r="AJ37" i="17" s="1"/>
  <c r="AK37" i="17" s="1"/>
  <c r="AS37" i="17"/>
  <c r="F38" i="17"/>
  <c r="AU37" i="17"/>
  <c r="AT74" i="19"/>
  <c r="AE74" i="19"/>
  <c r="AD75" i="19" s="1"/>
  <c r="T75" i="19"/>
  <c r="S75" i="19"/>
  <c r="W75" i="19" s="1"/>
  <c r="R76" i="19" s="1"/>
  <c r="AG75" i="17"/>
  <c r="AF76" i="17" s="1"/>
  <c r="Z76" i="17"/>
  <c r="Y76" i="17"/>
  <c r="AC76" i="17" s="1"/>
  <c r="X77" i="17" s="1"/>
  <c r="AT82" i="17"/>
  <c r="AE82" i="17"/>
  <c r="AD83" i="17" s="1"/>
  <c r="N84" i="17"/>
  <c r="P85" i="17"/>
  <c r="M84" i="17"/>
  <c r="Q84" i="17" s="1"/>
  <c r="L85" i="17" s="1"/>
  <c r="AB155" i="17"/>
  <c r="O155" i="17"/>
  <c r="V155" i="17"/>
  <c r="I155" i="17"/>
  <c r="U155" i="19"/>
  <c r="U155" i="17"/>
  <c r="O155" i="19"/>
  <c r="AB155" i="19"/>
  <c r="I155" i="19"/>
  <c r="AA155" i="17"/>
  <c r="V155" i="19"/>
  <c r="AA155" i="19"/>
  <c r="T108" i="15"/>
  <c r="S109" i="15" s="1"/>
  <c r="M84" i="19"/>
  <c r="Q84" i="19" s="1"/>
  <c r="L85" i="19" s="1"/>
  <c r="P85" i="19"/>
  <c r="N84" i="19"/>
  <c r="T83" i="17"/>
  <c r="S83" i="17"/>
  <c r="W83" i="17" s="1"/>
  <c r="R84" i="17" s="1"/>
  <c r="C155" i="19"/>
  <c r="E156" i="19"/>
  <c r="AZ155" i="19"/>
  <c r="F72" i="18"/>
  <c r="G72" i="18" s="1"/>
  <c r="AR72" i="18" s="1"/>
  <c r="L152" i="18"/>
  <c r="I153" i="18" s="1"/>
  <c r="J153" i="18" s="1"/>
  <c r="AR154" i="16"/>
  <c r="AZ155" i="16"/>
  <c r="BD155" i="16"/>
  <c r="C155" i="16"/>
  <c r="E156" i="16"/>
  <c r="AU153" i="18"/>
  <c r="AS153" i="18"/>
  <c r="K153" i="18"/>
  <c r="AQ153" i="18"/>
  <c r="O153" i="18"/>
  <c r="AI71" i="18"/>
  <c r="AJ71" i="18" s="1"/>
  <c r="AK71" i="18" s="1"/>
  <c r="E155" i="18"/>
  <c r="AZ154" i="18"/>
  <c r="C154" i="18"/>
  <c r="AZ154" i="17"/>
  <c r="C154" i="17"/>
  <c r="E155" i="17"/>
  <c r="C156" i="15"/>
  <c r="E157" i="15"/>
  <c r="AZ156" i="15"/>
  <c r="AM71" i="18"/>
  <c r="AN71" i="18" s="1"/>
  <c r="P115" i="18"/>
  <c r="M116" i="18" s="1"/>
  <c r="N116" i="18" s="1"/>
  <c r="T115" i="18"/>
  <c r="S116" i="18" s="1"/>
  <c r="R108" i="15"/>
  <c r="Q109" i="15" s="1"/>
  <c r="AT109" i="15" s="1"/>
  <c r="Y157" i="3"/>
  <c r="AC156" i="3"/>
  <c r="A158" i="3"/>
  <c r="BI158" i="3" s="1"/>
  <c r="BJ158" i="3" s="1"/>
  <c r="AW160" i="3"/>
  <c r="AV158" i="3"/>
  <c r="AX158" i="3" s="1"/>
  <c r="V158" i="3"/>
  <c r="X158" i="3" s="1"/>
  <c r="G159" i="3"/>
  <c r="P161" i="3"/>
  <c r="AQ160" i="3"/>
  <c r="AH157" i="3"/>
  <c r="BD156" i="3"/>
  <c r="AE157" i="3"/>
  <c r="BC156" i="3"/>
  <c r="AL157" i="3"/>
  <c r="H157" i="3"/>
  <c r="AF156" i="3"/>
  <c r="AK156" i="3" s="1"/>
  <c r="AG157" i="3"/>
  <c r="AI155" i="3"/>
  <c r="BE155" i="3" s="1"/>
  <c r="AN160" i="3"/>
  <c r="AN161" i="3" s="1"/>
  <c r="AT118" i="25" l="1"/>
  <c r="AE118" i="25"/>
  <c r="AD119" i="25" s="1"/>
  <c r="S119" i="25"/>
  <c r="W119" i="25" s="1"/>
  <c r="R120" i="25" s="1"/>
  <c r="T119" i="25"/>
  <c r="BF5" i="23"/>
  <c r="BF6" i="23"/>
  <c r="BG6" i="23" s="1"/>
  <c r="Q62" i="29"/>
  <c r="L63" i="29" s="1"/>
  <c r="N63" i="29" s="1"/>
  <c r="AQ61" i="29"/>
  <c r="AU61" i="29"/>
  <c r="AS61" i="29"/>
  <c r="Z86" i="29"/>
  <c r="AA86" i="29"/>
  <c r="AE86" i="29" s="1"/>
  <c r="AD87" i="29" s="1"/>
  <c r="O63" i="29"/>
  <c r="AR160" i="3"/>
  <c r="BB158" i="3"/>
  <c r="P158" i="20"/>
  <c r="AG81" i="25"/>
  <c r="AF82" i="25" s="1"/>
  <c r="K83" i="24"/>
  <c r="R83" i="24" s="1"/>
  <c r="Q84" i="24" s="1"/>
  <c r="J83" i="24"/>
  <c r="O87" i="24"/>
  <c r="N87" i="24"/>
  <c r="Y82" i="25"/>
  <c r="AC82" i="25" s="1"/>
  <c r="X83" i="25" s="1"/>
  <c r="Z82" i="25"/>
  <c r="AL158" i="3"/>
  <c r="AN158" i="20"/>
  <c r="AQ158" i="20"/>
  <c r="AR158" i="20" s="1"/>
  <c r="O159" i="20"/>
  <c r="BG156" i="3"/>
  <c r="T140" i="29"/>
  <c r="S140" i="29"/>
  <c r="W140" i="29" s="1"/>
  <c r="R141" i="29" s="1"/>
  <c r="U141" i="29" s="1"/>
  <c r="AC90" i="28"/>
  <c r="X91" i="28" s="1"/>
  <c r="C154" i="29"/>
  <c r="AZ154" i="29"/>
  <c r="E155" i="29"/>
  <c r="H62" i="29"/>
  <c r="AP62" i="29" s="1"/>
  <c r="J63" i="29"/>
  <c r="G62" i="29"/>
  <c r="AI62" i="29" s="1"/>
  <c r="AJ62" i="29" s="1"/>
  <c r="Y86" i="29"/>
  <c r="J149" i="26"/>
  <c r="L149" i="26" s="1"/>
  <c r="I150" i="26" s="1"/>
  <c r="AW60" i="26"/>
  <c r="AX60" i="26" s="1"/>
  <c r="AY60" i="26" s="1"/>
  <c r="H61" i="26"/>
  <c r="T112" i="26"/>
  <c r="S113" i="26" s="1"/>
  <c r="R112" i="26"/>
  <c r="Q113" i="26" s="1"/>
  <c r="O154" i="26"/>
  <c r="K154" i="26"/>
  <c r="AS154" i="26"/>
  <c r="AU154" i="26"/>
  <c r="AQ154" i="26"/>
  <c r="P112" i="26"/>
  <c r="M113" i="26" s="1"/>
  <c r="C155" i="26"/>
  <c r="AZ155" i="26"/>
  <c r="E156" i="26"/>
  <c r="AQ62" i="28"/>
  <c r="AS62" i="28"/>
  <c r="AU62" i="28"/>
  <c r="AT123" i="28"/>
  <c r="AE123" i="28"/>
  <c r="AD124" i="28" s="1"/>
  <c r="T124" i="28"/>
  <c r="S124" i="28"/>
  <c r="W124" i="28" s="1"/>
  <c r="R125" i="28" s="1"/>
  <c r="V125" i="28" s="1"/>
  <c r="F63" i="28"/>
  <c r="I63" i="28" s="1"/>
  <c r="Q63" i="28" s="1"/>
  <c r="L64" i="28" s="1"/>
  <c r="C155" i="28"/>
  <c r="AZ155" i="28"/>
  <c r="E156" i="28"/>
  <c r="AM62" i="28"/>
  <c r="AN62" i="28" s="1"/>
  <c r="N67" i="25"/>
  <c r="AP67" i="25" s="1"/>
  <c r="P68" i="25"/>
  <c r="AQ66" i="25"/>
  <c r="AS66" i="25"/>
  <c r="AU66" i="25"/>
  <c r="AI66" i="25"/>
  <c r="AJ66" i="25" s="1"/>
  <c r="AK66" i="25" s="1"/>
  <c r="BC155" i="25"/>
  <c r="BB155" i="25"/>
  <c r="BA155" i="25"/>
  <c r="G74" i="25"/>
  <c r="K74" i="25" s="1"/>
  <c r="H74" i="25"/>
  <c r="J75" i="25"/>
  <c r="U154" i="25"/>
  <c r="V154" i="25"/>
  <c r="AA154" i="25"/>
  <c r="AB154" i="25"/>
  <c r="AR154" i="25"/>
  <c r="AM67" i="25"/>
  <c r="AN67" i="25" s="1"/>
  <c r="AW56" i="15"/>
  <c r="AX56" i="15" s="1"/>
  <c r="AY56" i="15" s="1"/>
  <c r="C155" i="25"/>
  <c r="AZ155" i="25"/>
  <c r="BD155" i="25"/>
  <c r="E156" i="25"/>
  <c r="AT83" i="24"/>
  <c r="C155" i="24"/>
  <c r="AZ155" i="24"/>
  <c r="E156" i="24"/>
  <c r="AQ154" i="24"/>
  <c r="AS154" i="24"/>
  <c r="AU154" i="24"/>
  <c r="F58" i="24"/>
  <c r="AI57" i="24"/>
  <c r="AJ57" i="24" s="1"/>
  <c r="AL57" i="24"/>
  <c r="AM57" i="24" s="1"/>
  <c r="G57" i="15"/>
  <c r="AR57" i="15" s="1"/>
  <c r="AQ156" i="15"/>
  <c r="AS156" i="15"/>
  <c r="AU156" i="15"/>
  <c r="P117" i="15"/>
  <c r="M118" i="15" s="1"/>
  <c r="N118" i="15" s="1"/>
  <c r="Q67" i="25"/>
  <c r="O153" i="25"/>
  <c r="I153" i="25"/>
  <c r="AO37" i="17"/>
  <c r="AW37" i="17" s="1"/>
  <c r="AX37" i="17" s="1"/>
  <c r="AY37" i="17" s="1"/>
  <c r="AV110" i="14"/>
  <c r="BG110" i="14" s="1"/>
  <c r="G111" i="14"/>
  <c r="K111" i="14" s="1"/>
  <c r="F112" i="14" s="1"/>
  <c r="J113" i="14" s="1"/>
  <c r="AD156" i="3"/>
  <c r="AI156" i="3" s="1"/>
  <c r="BE156" i="3" s="1"/>
  <c r="H111" i="14"/>
  <c r="AP111" i="14" s="1"/>
  <c r="AL35" i="19"/>
  <c r="AM35" i="19" s="1"/>
  <c r="AN35" i="19" s="1"/>
  <c r="AP35" i="19"/>
  <c r="AO35" i="19"/>
  <c r="Y75" i="19"/>
  <c r="AC75" i="19" s="1"/>
  <c r="X76" i="19" s="1"/>
  <c r="Z75" i="19"/>
  <c r="K35" i="19"/>
  <c r="AR155" i="19"/>
  <c r="J39" i="17"/>
  <c r="H38" i="17"/>
  <c r="G38" i="17"/>
  <c r="AL38" i="17" s="1"/>
  <c r="AM38" i="17" s="1"/>
  <c r="AN38" i="17" s="1"/>
  <c r="AG76" i="17"/>
  <c r="AF77" i="17" s="1"/>
  <c r="T76" i="19"/>
  <c r="S76" i="19"/>
  <c r="W76" i="19" s="1"/>
  <c r="R77" i="19" s="1"/>
  <c r="AT75" i="19"/>
  <c r="AE75" i="19"/>
  <c r="AD76" i="19" s="1"/>
  <c r="T109" i="15"/>
  <c r="S110" i="15" s="1"/>
  <c r="V156" i="17"/>
  <c r="U156" i="17"/>
  <c r="O156" i="17"/>
  <c r="V156" i="19"/>
  <c r="I156" i="17"/>
  <c r="AA156" i="19"/>
  <c r="AB156" i="17"/>
  <c r="U156" i="19"/>
  <c r="I156" i="19"/>
  <c r="AB156" i="19"/>
  <c r="AA156" i="17"/>
  <c r="O156" i="19"/>
  <c r="L109" i="15"/>
  <c r="I110" i="15" s="1"/>
  <c r="J110" i="15" s="1"/>
  <c r="T84" i="17"/>
  <c r="S84" i="17"/>
  <c r="W84" i="17" s="1"/>
  <c r="R85" i="17" s="1"/>
  <c r="M85" i="19"/>
  <c r="Q85" i="19" s="1"/>
  <c r="L86" i="19" s="1"/>
  <c r="P86" i="19"/>
  <c r="N85" i="19"/>
  <c r="Y77" i="17"/>
  <c r="AC77" i="17" s="1"/>
  <c r="X78" i="17" s="1"/>
  <c r="Z77" i="17"/>
  <c r="AT83" i="17"/>
  <c r="AE83" i="17"/>
  <c r="AD84" i="17" s="1"/>
  <c r="M85" i="17"/>
  <c r="Q85" i="17" s="1"/>
  <c r="L86" i="17" s="1"/>
  <c r="P86" i="17"/>
  <c r="N85" i="17"/>
  <c r="AZ156" i="19"/>
  <c r="C156" i="19"/>
  <c r="E157" i="19"/>
  <c r="E157" i="16"/>
  <c r="BD156" i="16"/>
  <c r="AZ156" i="16"/>
  <c r="C156" i="16"/>
  <c r="AR155" i="16"/>
  <c r="L153" i="18"/>
  <c r="I154" i="18" s="1"/>
  <c r="J154" i="18" s="1"/>
  <c r="E156" i="17"/>
  <c r="AZ155" i="17"/>
  <c r="C155" i="17"/>
  <c r="K154" i="18"/>
  <c r="AS154" i="18"/>
  <c r="O154" i="18"/>
  <c r="AU154" i="18"/>
  <c r="AQ154" i="18"/>
  <c r="E156" i="18"/>
  <c r="AZ155" i="18"/>
  <c r="C155" i="18"/>
  <c r="H72" i="18"/>
  <c r="AW71" i="18"/>
  <c r="AX71" i="18" s="1"/>
  <c r="AY71" i="18" s="1"/>
  <c r="C157" i="15"/>
  <c r="E158" i="15"/>
  <c r="AZ157" i="15"/>
  <c r="P116" i="18"/>
  <c r="M117" i="18" s="1"/>
  <c r="N117" i="18" s="1"/>
  <c r="T116" i="18"/>
  <c r="S117" i="18" s="1"/>
  <c r="R115" i="18"/>
  <c r="Q116" i="18" s="1"/>
  <c r="AT116" i="18" s="1"/>
  <c r="R109" i="15"/>
  <c r="Q110" i="15" s="1"/>
  <c r="AT110" i="15" s="1"/>
  <c r="AG158" i="3"/>
  <c r="BD157" i="3"/>
  <c r="AH158" i="3"/>
  <c r="G160" i="3"/>
  <c r="AV159" i="3"/>
  <c r="AX159" i="3" s="1"/>
  <c r="V159" i="3"/>
  <c r="X159" i="3" s="1"/>
  <c r="AW161" i="3"/>
  <c r="AM158" i="3"/>
  <c r="Y158" i="3"/>
  <c r="AC157" i="3"/>
  <c r="H158" i="3"/>
  <c r="AF157" i="3"/>
  <c r="BC157" i="3"/>
  <c r="AE158" i="3"/>
  <c r="AQ161" i="3"/>
  <c r="A159" i="3"/>
  <c r="BI159" i="3" s="1"/>
  <c r="BJ159" i="3" s="1"/>
  <c r="AT119" i="25" l="1"/>
  <c r="AE119" i="25"/>
  <c r="AD120" i="25" s="1"/>
  <c r="T120" i="25"/>
  <c r="S120" i="25"/>
  <c r="W120" i="25" s="1"/>
  <c r="R121" i="25" s="1"/>
  <c r="BF66" i="23"/>
  <c r="BG5" i="23"/>
  <c r="BG66" i="23" s="1"/>
  <c r="P64" i="29"/>
  <c r="M63" i="29"/>
  <c r="AW61" i="29"/>
  <c r="AX61" i="29" s="1"/>
  <c r="AY61" i="29" s="1"/>
  <c r="AG86" i="29"/>
  <c r="AF87" i="29" s="1"/>
  <c r="O64" i="28"/>
  <c r="M64" i="28"/>
  <c r="N64" i="28"/>
  <c r="P65" i="28"/>
  <c r="AT87" i="29"/>
  <c r="Y91" i="28"/>
  <c r="AG91" i="28" s="1"/>
  <c r="AF92" i="28" s="1"/>
  <c r="AB91" i="28"/>
  <c r="AR161" i="3"/>
  <c r="BB159" i="3"/>
  <c r="P159" i="20"/>
  <c r="AG82" i="25"/>
  <c r="AF83" i="25" s="1"/>
  <c r="P87" i="24"/>
  <c r="M88" i="24" s="1"/>
  <c r="L83" i="24"/>
  <c r="I84" i="24" s="1"/>
  <c r="Y83" i="25"/>
  <c r="Z83" i="25"/>
  <c r="T83" i="24"/>
  <c r="S84" i="24" s="1"/>
  <c r="AJ156" i="3"/>
  <c r="BF156" i="3" s="1"/>
  <c r="AR156" i="19"/>
  <c r="AM159" i="3"/>
  <c r="AN159" i="20"/>
  <c r="AQ159" i="20"/>
  <c r="AR159" i="20" s="1"/>
  <c r="O160" i="20"/>
  <c r="AK157" i="3"/>
  <c r="BG157" i="3" s="1"/>
  <c r="O156" i="15"/>
  <c r="K156" i="15"/>
  <c r="K62" i="29"/>
  <c r="F63" i="29" s="1"/>
  <c r="AC86" i="29"/>
  <c r="X87" i="29" s="1"/>
  <c r="Z91" i="28"/>
  <c r="T141" i="29"/>
  <c r="S141" i="29"/>
  <c r="W141" i="29" s="1"/>
  <c r="R142" i="29" s="1"/>
  <c r="U142" i="29" s="1"/>
  <c r="C155" i="29"/>
  <c r="AZ155" i="29"/>
  <c r="E156" i="29"/>
  <c r="AO62" i="29"/>
  <c r="AL62" i="29"/>
  <c r="J150" i="26"/>
  <c r="L150" i="26" s="1"/>
  <c r="I151" i="26" s="1"/>
  <c r="N113" i="26"/>
  <c r="R113" i="26" s="1"/>
  <c r="Q114" i="26" s="1"/>
  <c r="AT113" i="26"/>
  <c r="K155" i="26"/>
  <c r="O155" i="26"/>
  <c r="AQ155" i="26"/>
  <c r="AS155" i="26"/>
  <c r="AU155" i="26"/>
  <c r="F62" i="26"/>
  <c r="AI61" i="26"/>
  <c r="AJ61" i="26" s="1"/>
  <c r="AK61" i="26" s="1"/>
  <c r="AL61" i="26"/>
  <c r="AM61" i="26" s="1"/>
  <c r="AN61" i="26" s="1"/>
  <c r="C156" i="26"/>
  <c r="AZ156" i="26"/>
  <c r="E157" i="26"/>
  <c r="T125" i="28"/>
  <c r="S125" i="28"/>
  <c r="W125" i="28" s="1"/>
  <c r="R126" i="28" s="1"/>
  <c r="V126" i="28" s="1"/>
  <c r="AT124" i="28"/>
  <c r="AE124" i="28"/>
  <c r="AD125" i="28" s="1"/>
  <c r="H63" i="28"/>
  <c r="AP63" i="28" s="1"/>
  <c r="J64" i="28"/>
  <c r="G63" i="28"/>
  <c r="AL63" i="28" s="1"/>
  <c r="C156" i="28"/>
  <c r="AZ156" i="28"/>
  <c r="E157" i="28"/>
  <c r="AW66" i="25"/>
  <c r="AX66" i="25" s="1"/>
  <c r="AY66" i="25" s="1"/>
  <c r="AO67" i="25"/>
  <c r="F75" i="25"/>
  <c r="U155" i="25"/>
  <c r="V155" i="25"/>
  <c r="AA155" i="25"/>
  <c r="AB155" i="25"/>
  <c r="AR155" i="25"/>
  <c r="AQ67" i="25"/>
  <c r="AI67" i="25"/>
  <c r="AU67" i="25"/>
  <c r="AS67" i="25"/>
  <c r="BB156" i="25"/>
  <c r="BC156" i="25"/>
  <c r="BA156" i="25"/>
  <c r="AZ156" i="25"/>
  <c r="BD156" i="25"/>
  <c r="C156" i="25"/>
  <c r="E157" i="25"/>
  <c r="L68" i="25"/>
  <c r="AT84" i="24"/>
  <c r="C156" i="24"/>
  <c r="AZ156" i="24"/>
  <c r="E157" i="24"/>
  <c r="AK57" i="24"/>
  <c r="AN57" i="24"/>
  <c r="AQ155" i="24"/>
  <c r="AU155" i="24"/>
  <c r="AS155" i="24"/>
  <c r="G58" i="24"/>
  <c r="AR58" i="24" s="1"/>
  <c r="H57" i="15"/>
  <c r="AS157" i="15"/>
  <c r="AU157" i="15"/>
  <c r="AQ157" i="15"/>
  <c r="P118" i="15"/>
  <c r="M119" i="15" s="1"/>
  <c r="N119" i="15" s="1"/>
  <c r="AK62" i="29"/>
  <c r="AW62" i="28"/>
  <c r="AX62" i="28" s="1"/>
  <c r="AY62" i="28" s="1"/>
  <c r="O154" i="25"/>
  <c r="I154" i="25"/>
  <c r="AZ110" i="14"/>
  <c r="BC110" i="14" s="1"/>
  <c r="AQ111" i="14"/>
  <c r="AS111" i="14"/>
  <c r="G112" i="14"/>
  <c r="AL112" i="14" s="1"/>
  <c r="AM112" i="14" s="1"/>
  <c r="AN112" i="14" s="1"/>
  <c r="AI111" i="14"/>
  <c r="AJ111" i="14" s="1"/>
  <c r="AK111" i="14" s="1"/>
  <c r="AL111" i="14"/>
  <c r="AM111" i="14" s="1"/>
  <c r="AN111" i="14" s="1"/>
  <c r="AU111" i="14"/>
  <c r="H112" i="14"/>
  <c r="AO112" i="14" s="1"/>
  <c r="AO111" i="14"/>
  <c r="AD157" i="3"/>
  <c r="K157" i="15" s="1"/>
  <c r="AG75" i="19"/>
  <c r="AF76" i="19" s="1"/>
  <c r="Z76" i="19"/>
  <c r="Y76" i="19"/>
  <c r="AC76" i="19" s="1"/>
  <c r="X77" i="19" s="1"/>
  <c r="F36" i="19"/>
  <c r="AQ35" i="19"/>
  <c r="AU35" i="19"/>
  <c r="AS35" i="19"/>
  <c r="K38" i="17"/>
  <c r="F39" i="17" s="1"/>
  <c r="J40" i="17" s="1"/>
  <c r="AI38" i="17"/>
  <c r="AJ38" i="17" s="1"/>
  <c r="AK38" i="17" s="1"/>
  <c r="AO38" i="17"/>
  <c r="AP38" i="17"/>
  <c r="AT76" i="19"/>
  <c r="AE76" i="19"/>
  <c r="AD77" i="19" s="1"/>
  <c r="T77" i="19"/>
  <c r="S77" i="19"/>
  <c r="W77" i="19" s="1"/>
  <c r="R78" i="19" s="1"/>
  <c r="AG77" i="17"/>
  <c r="AF78" i="17" s="1"/>
  <c r="Z78" i="17"/>
  <c r="Y78" i="17"/>
  <c r="AB157" i="17"/>
  <c r="O157" i="17"/>
  <c r="U157" i="17"/>
  <c r="V157" i="17"/>
  <c r="AA157" i="19"/>
  <c r="I157" i="19"/>
  <c r="I157" i="17"/>
  <c r="AA157" i="17"/>
  <c r="U157" i="19"/>
  <c r="O157" i="19"/>
  <c r="V157" i="19"/>
  <c r="AB157" i="19"/>
  <c r="S85" i="17"/>
  <c r="W85" i="17" s="1"/>
  <c r="R86" i="17" s="1"/>
  <c r="T85" i="17"/>
  <c r="AT84" i="17"/>
  <c r="AE84" i="17"/>
  <c r="AD85" i="17" s="1"/>
  <c r="M86" i="17"/>
  <c r="Q86" i="17" s="1"/>
  <c r="L87" i="17" s="1"/>
  <c r="N86" i="17"/>
  <c r="P87" i="17"/>
  <c r="N86" i="19"/>
  <c r="P87" i="19"/>
  <c r="M86" i="19"/>
  <c r="Q86" i="19" s="1"/>
  <c r="L87" i="19" s="1"/>
  <c r="R110" i="15"/>
  <c r="Q111" i="15" s="1"/>
  <c r="AT111" i="15" s="1"/>
  <c r="AZ157" i="19"/>
  <c r="C157" i="19"/>
  <c r="E158" i="19"/>
  <c r="L154" i="18"/>
  <c r="I155" i="18" s="1"/>
  <c r="J155" i="18" s="1"/>
  <c r="AR156" i="16"/>
  <c r="AZ157" i="16"/>
  <c r="BD157" i="16"/>
  <c r="C157" i="16"/>
  <c r="E158" i="16"/>
  <c r="E157" i="18"/>
  <c r="AZ156" i="18"/>
  <c r="C156" i="18"/>
  <c r="K155" i="18"/>
  <c r="AQ155" i="18"/>
  <c r="AS155" i="18"/>
  <c r="O155" i="18"/>
  <c r="AU155" i="18"/>
  <c r="E157" i="17"/>
  <c r="AZ156" i="17"/>
  <c r="C156" i="17"/>
  <c r="F73" i="18"/>
  <c r="AL72" i="18"/>
  <c r="AM72" i="18" s="1"/>
  <c r="AN72" i="18" s="1"/>
  <c r="AI72" i="18"/>
  <c r="AJ72" i="18" s="1"/>
  <c r="AK72" i="18" s="1"/>
  <c r="E159" i="15"/>
  <c r="C158" i="15"/>
  <c r="AZ158" i="15"/>
  <c r="P117" i="18"/>
  <c r="M118" i="18" s="1"/>
  <c r="N118" i="18" s="1"/>
  <c r="R116" i="18"/>
  <c r="Q117" i="18" s="1"/>
  <c r="AT117" i="18" s="1"/>
  <c r="Y159" i="3"/>
  <c r="AC158" i="3"/>
  <c r="AQ162" i="3"/>
  <c r="AV160" i="3"/>
  <c r="AX160" i="3" s="1"/>
  <c r="G161" i="3"/>
  <c r="V160" i="3"/>
  <c r="X160" i="3" s="1"/>
  <c r="AG159" i="3"/>
  <c r="H159" i="3"/>
  <c r="AF158" i="3"/>
  <c r="AK158" i="3" s="1"/>
  <c r="AN162" i="3"/>
  <c r="AW162" i="3"/>
  <c r="AH159" i="3"/>
  <c r="BD158" i="3"/>
  <c r="P162" i="3"/>
  <c r="A160" i="3"/>
  <c r="BI160" i="3" s="1"/>
  <c r="BJ160" i="3" s="1"/>
  <c r="AE159" i="3"/>
  <c r="BC158" i="3"/>
  <c r="AL159" i="3"/>
  <c r="T121" i="25" l="1"/>
  <c r="S121" i="25"/>
  <c r="W121" i="25" s="1"/>
  <c r="R122" i="25" s="1"/>
  <c r="AT120" i="25"/>
  <c r="AE120" i="25"/>
  <c r="AD121" i="25" s="1"/>
  <c r="Z87" i="29"/>
  <c r="AA87" i="29"/>
  <c r="AE87" i="29" s="1"/>
  <c r="AD88" i="29" s="1"/>
  <c r="H63" i="29"/>
  <c r="AP63" i="29" s="1"/>
  <c r="I63" i="29"/>
  <c r="AC91" i="28"/>
  <c r="X92" i="28" s="1"/>
  <c r="AB92" i="28" s="1"/>
  <c r="AR162" i="3"/>
  <c r="BB160" i="3"/>
  <c r="P160" i="20"/>
  <c r="AG83" i="25"/>
  <c r="AF84" i="25" s="1"/>
  <c r="AC83" i="25"/>
  <c r="X84" i="25" s="1"/>
  <c r="Y84" i="25" s="1"/>
  <c r="O88" i="24"/>
  <c r="N88" i="24"/>
  <c r="K84" i="24"/>
  <c r="T84" i="24" s="1"/>
  <c r="S85" i="24" s="1"/>
  <c r="J84" i="24"/>
  <c r="AM160" i="3"/>
  <c r="AL160" i="3"/>
  <c r="AN160" i="20"/>
  <c r="AQ160" i="20"/>
  <c r="AR160" i="20" s="1"/>
  <c r="O161" i="20"/>
  <c r="BG158" i="3"/>
  <c r="AJ157" i="3"/>
  <c r="BF157" i="3" s="1"/>
  <c r="AI157" i="3"/>
  <c r="BE157" i="3" s="1"/>
  <c r="O157" i="15"/>
  <c r="AW61" i="26"/>
  <c r="AX61" i="26" s="1"/>
  <c r="AY61" i="26" s="1"/>
  <c r="Y87" i="29"/>
  <c r="G63" i="29"/>
  <c r="AI63" i="29" s="1"/>
  <c r="AJ63" i="29" s="1"/>
  <c r="T142" i="29"/>
  <c r="S142" i="29"/>
  <c r="W142" i="29" s="1"/>
  <c r="R143" i="29" s="1"/>
  <c r="U143" i="29" s="1"/>
  <c r="AU62" i="29"/>
  <c r="AS62" i="29"/>
  <c r="AQ62" i="29"/>
  <c r="J64" i="29"/>
  <c r="AZ156" i="29"/>
  <c r="C156" i="29"/>
  <c r="E157" i="29"/>
  <c r="AM62" i="29"/>
  <c r="AN62" i="29" s="1"/>
  <c r="AT114" i="26"/>
  <c r="T113" i="26"/>
  <c r="S114" i="26" s="1"/>
  <c r="P113" i="26"/>
  <c r="M114" i="26" s="1"/>
  <c r="J151" i="26"/>
  <c r="L151" i="26" s="1"/>
  <c r="I152" i="26" s="1"/>
  <c r="G62" i="26"/>
  <c r="AR62" i="26" s="1"/>
  <c r="O156" i="26"/>
  <c r="AQ156" i="26"/>
  <c r="AS156" i="26"/>
  <c r="AU156" i="26"/>
  <c r="K156" i="26"/>
  <c r="C157" i="26"/>
  <c r="AZ157" i="26"/>
  <c r="E158" i="26"/>
  <c r="T126" i="28"/>
  <c r="S126" i="28"/>
  <c r="W126" i="28" s="1"/>
  <c r="R127" i="28" s="1"/>
  <c r="V127" i="28" s="1"/>
  <c r="AT125" i="28"/>
  <c r="AE125" i="28"/>
  <c r="AD126" i="28" s="1"/>
  <c r="AO63" i="28"/>
  <c r="AI63" i="28"/>
  <c r="AJ63" i="28" s="1"/>
  <c r="AK63" i="28" s="1"/>
  <c r="AZ157" i="28"/>
  <c r="C157" i="28"/>
  <c r="E158" i="28"/>
  <c r="U156" i="25"/>
  <c r="V156" i="25"/>
  <c r="AA156" i="25"/>
  <c r="AB156" i="25"/>
  <c r="AR156" i="25"/>
  <c r="G75" i="25"/>
  <c r="K75" i="25" s="1"/>
  <c r="J76" i="25"/>
  <c r="H75" i="25"/>
  <c r="BA157" i="25"/>
  <c r="BB157" i="25"/>
  <c r="BC157" i="25"/>
  <c r="AW57" i="24"/>
  <c r="AX57" i="24" s="1"/>
  <c r="AY57" i="24" s="1"/>
  <c r="C157" i="25"/>
  <c r="AZ157" i="25"/>
  <c r="BD157" i="25"/>
  <c r="E158" i="25"/>
  <c r="P69" i="25"/>
  <c r="N68" i="25"/>
  <c r="AP68" i="25" s="1"/>
  <c r="AJ67" i="25"/>
  <c r="AK67" i="25" s="1"/>
  <c r="AW67" i="25" s="1"/>
  <c r="AX67" i="25" s="1"/>
  <c r="AY67" i="25" s="1"/>
  <c r="C157" i="24"/>
  <c r="AZ157" i="24"/>
  <c r="E158" i="24"/>
  <c r="AS156" i="24"/>
  <c r="AU156" i="24"/>
  <c r="AQ156" i="24"/>
  <c r="H58" i="24"/>
  <c r="F58" i="15"/>
  <c r="AL57" i="15"/>
  <c r="AM57" i="15" s="1"/>
  <c r="AN57" i="15" s="1"/>
  <c r="AI57" i="15"/>
  <c r="AJ57" i="15" s="1"/>
  <c r="AK57" i="15" s="1"/>
  <c r="AQ158" i="15"/>
  <c r="AS158" i="15"/>
  <c r="AU158" i="15"/>
  <c r="P119" i="15"/>
  <c r="M120" i="15" s="1"/>
  <c r="N120" i="15" s="1"/>
  <c r="K63" i="28"/>
  <c r="M68" i="25"/>
  <c r="Q68" i="25" s="1"/>
  <c r="L69" i="25" s="1"/>
  <c r="O155" i="25"/>
  <c r="I155" i="25"/>
  <c r="AW35" i="19"/>
  <c r="AX35" i="19" s="1"/>
  <c r="AY35" i="19" s="1"/>
  <c r="AV111" i="14"/>
  <c r="AZ111" i="14" s="1"/>
  <c r="BC111" i="14" s="1"/>
  <c r="K112" i="14"/>
  <c r="AU112" i="14" s="1"/>
  <c r="AI112" i="14"/>
  <c r="AJ112" i="14" s="1"/>
  <c r="AK112" i="14" s="1"/>
  <c r="AR157" i="19"/>
  <c r="AP112" i="14"/>
  <c r="AG76" i="19"/>
  <c r="AF77" i="19" s="1"/>
  <c r="AU38" i="17"/>
  <c r="AS38" i="17"/>
  <c r="AQ38" i="17"/>
  <c r="G39" i="17"/>
  <c r="K39" i="17" s="1"/>
  <c r="AQ39" i="17" s="1"/>
  <c r="H36" i="19"/>
  <c r="G36" i="19"/>
  <c r="AL36" i="19" s="1"/>
  <c r="AM36" i="19" s="1"/>
  <c r="AN36" i="19" s="1"/>
  <c r="J37" i="19"/>
  <c r="Z77" i="19"/>
  <c r="Y77" i="19"/>
  <c r="AC77" i="19" s="1"/>
  <c r="X78" i="19" s="1"/>
  <c r="H39" i="17"/>
  <c r="AO39" i="17" s="1"/>
  <c r="T110" i="15"/>
  <c r="S111" i="15" s="1"/>
  <c r="S78" i="19"/>
  <c r="W78" i="19" s="1"/>
  <c r="R79" i="19" s="1"/>
  <c r="T78" i="19"/>
  <c r="AT77" i="19"/>
  <c r="AE77" i="19"/>
  <c r="AD78" i="19" s="1"/>
  <c r="L110" i="15"/>
  <c r="I111" i="15" s="1"/>
  <c r="J111" i="15" s="1"/>
  <c r="AG78" i="17"/>
  <c r="AF79" i="17" s="1"/>
  <c r="P88" i="17"/>
  <c r="M87" i="17"/>
  <c r="Q87" i="17" s="1"/>
  <c r="L88" i="17" s="1"/>
  <c r="N87" i="17"/>
  <c r="V158" i="17"/>
  <c r="O158" i="17"/>
  <c r="AA158" i="17"/>
  <c r="AB158" i="19"/>
  <c r="O158" i="19"/>
  <c r="U158" i="17"/>
  <c r="I158" i="19"/>
  <c r="AA158" i="19"/>
  <c r="V158" i="19"/>
  <c r="I158" i="17"/>
  <c r="AB158" i="17"/>
  <c r="U158" i="19"/>
  <c r="AC78" i="17"/>
  <c r="X79" i="17" s="1"/>
  <c r="T86" i="17"/>
  <c r="S86" i="17"/>
  <c r="W86" i="17" s="1"/>
  <c r="R87" i="17" s="1"/>
  <c r="N87" i="19"/>
  <c r="M87" i="19"/>
  <c r="Q87" i="19" s="1"/>
  <c r="L88" i="19" s="1"/>
  <c r="P88" i="19"/>
  <c r="AT85" i="17"/>
  <c r="AE85" i="17"/>
  <c r="AD86" i="17" s="1"/>
  <c r="C158" i="19"/>
  <c r="AZ158" i="19"/>
  <c r="E159" i="19"/>
  <c r="L155" i="18"/>
  <c r="I156" i="18" s="1"/>
  <c r="J156" i="18" s="1"/>
  <c r="AZ158" i="16"/>
  <c r="E159" i="16"/>
  <c r="C158" i="16"/>
  <c r="BD158" i="16"/>
  <c r="AR157" i="16"/>
  <c r="AQ156" i="18"/>
  <c r="AU156" i="18"/>
  <c r="AS156" i="18"/>
  <c r="O156" i="18"/>
  <c r="K156" i="18"/>
  <c r="C157" i="17"/>
  <c r="AZ157" i="17"/>
  <c r="E158" i="17"/>
  <c r="E158" i="18"/>
  <c r="AZ157" i="18"/>
  <c r="C157" i="18"/>
  <c r="AW72" i="18"/>
  <c r="AX72" i="18" s="1"/>
  <c r="AY72" i="18" s="1"/>
  <c r="G73" i="18"/>
  <c r="AR73" i="18" s="1"/>
  <c r="C159" i="15"/>
  <c r="E160" i="15"/>
  <c r="AZ159" i="15"/>
  <c r="P118" i="18"/>
  <c r="M119" i="18" s="1"/>
  <c r="N119" i="18" s="1"/>
  <c r="T117" i="18"/>
  <c r="R117" i="18"/>
  <c r="Q118" i="18" s="1"/>
  <c r="AT118" i="18" s="1"/>
  <c r="A161" i="3"/>
  <c r="BI161" i="3" s="1"/>
  <c r="BJ161" i="3" s="1"/>
  <c r="BD159" i="3"/>
  <c r="AH160" i="3"/>
  <c r="G162" i="3"/>
  <c r="AV161" i="3"/>
  <c r="AX161" i="3" s="1"/>
  <c r="V161" i="3"/>
  <c r="X161" i="3" s="1"/>
  <c r="AQ163" i="3"/>
  <c r="AW163" i="3"/>
  <c r="H160" i="3"/>
  <c r="AF159" i="3"/>
  <c r="AD159" i="3" s="1"/>
  <c r="AD158" i="3"/>
  <c r="K158" i="15" s="1"/>
  <c r="P163" i="3"/>
  <c r="AG160" i="3"/>
  <c r="Y160" i="3"/>
  <c r="AC159" i="3"/>
  <c r="BC159" i="3"/>
  <c r="AE160" i="3"/>
  <c r="AN163" i="3"/>
  <c r="AE121" i="25" l="1"/>
  <c r="AD122" i="25" s="1"/>
  <c r="AT121" i="25"/>
  <c r="T122" i="25"/>
  <c r="S122" i="25"/>
  <c r="W122" i="25" s="1"/>
  <c r="R123" i="25" s="1"/>
  <c r="Y92" i="28"/>
  <c r="AG92" i="28" s="1"/>
  <c r="AF93" i="28" s="1"/>
  <c r="AR63" i="29"/>
  <c r="Q63" i="29"/>
  <c r="L64" i="29" s="1"/>
  <c r="AT88" i="29"/>
  <c r="AG87" i="29"/>
  <c r="AF88" i="29" s="1"/>
  <c r="Z92" i="28"/>
  <c r="AO63" i="29"/>
  <c r="AR163" i="3"/>
  <c r="BB161" i="3"/>
  <c r="L84" i="24"/>
  <c r="I85" i="24" s="1"/>
  <c r="AG84" i="25"/>
  <c r="AF85" i="25" s="1"/>
  <c r="Z84" i="25"/>
  <c r="P88" i="24"/>
  <c r="M89" i="24" s="1"/>
  <c r="N89" i="24" s="1"/>
  <c r="R84" i="24"/>
  <c r="Q85" i="24" s="1"/>
  <c r="AT85" i="24" s="1"/>
  <c r="AC84" i="25"/>
  <c r="X85" i="25" s="1"/>
  <c r="AN161" i="20"/>
  <c r="P161" i="20"/>
  <c r="AQ161" i="20"/>
  <c r="AR161" i="20" s="1"/>
  <c r="O162" i="20"/>
  <c r="AK159" i="3"/>
  <c r="BG159" i="3" s="1"/>
  <c r="AJ158" i="3"/>
  <c r="BF158" i="3" s="1"/>
  <c r="O158" i="15"/>
  <c r="AC87" i="29"/>
  <c r="X88" i="29" s="1"/>
  <c r="AW62" i="29"/>
  <c r="AX62" i="29" s="1"/>
  <c r="AY62" i="29" s="1"/>
  <c r="AK63" i="29"/>
  <c r="AL63" i="29"/>
  <c r="T143" i="29"/>
  <c r="S143" i="29"/>
  <c r="W143" i="29" s="1"/>
  <c r="R144" i="29" s="1"/>
  <c r="U144" i="29" s="1"/>
  <c r="K63" i="29"/>
  <c r="C157" i="29"/>
  <c r="AZ157" i="29"/>
  <c r="E158" i="29"/>
  <c r="J152" i="26"/>
  <c r="L152" i="26" s="1"/>
  <c r="I153" i="26" s="1"/>
  <c r="N114" i="26"/>
  <c r="R114" i="26" s="1"/>
  <c r="Q115" i="26" s="1"/>
  <c r="AS157" i="26"/>
  <c r="AU157" i="26"/>
  <c r="AQ157" i="26"/>
  <c r="K157" i="26"/>
  <c r="O157" i="26"/>
  <c r="H62" i="26"/>
  <c r="C158" i="26"/>
  <c r="AZ158" i="26"/>
  <c r="E159" i="26"/>
  <c r="T127" i="28"/>
  <c r="S127" i="28"/>
  <c r="W127" i="28" s="1"/>
  <c r="R128" i="28" s="1"/>
  <c r="V128" i="28" s="1"/>
  <c r="AQ63" i="28"/>
  <c r="AS63" i="28"/>
  <c r="AU63" i="28"/>
  <c r="AT126" i="28"/>
  <c r="AE126" i="28"/>
  <c r="AD127" i="28" s="1"/>
  <c r="F64" i="28"/>
  <c r="I64" i="28" s="1"/>
  <c r="Q64" i="28" s="1"/>
  <c r="L65" i="28" s="1"/>
  <c r="AM63" i="28"/>
  <c r="AN63" i="28" s="1"/>
  <c r="C158" i="28"/>
  <c r="AZ158" i="28"/>
  <c r="E159" i="28"/>
  <c r="F76" i="25"/>
  <c r="U157" i="25"/>
  <c r="V157" i="25"/>
  <c r="AA157" i="25"/>
  <c r="AB157" i="25"/>
  <c r="AR157" i="25"/>
  <c r="BA158" i="25"/>
  <c r="BB158" i="25"/>
  <c r="BC158" i="25"/>
  <c r="AO68" i="25"/>
  <c r="AL68" i="25"/>
  <c r="AQ68" i="25"/>
  <c r="AI68" i="25"/>
  <c r="AS68" i="25"/>
  <c r="AU68" i="25"/>
  <c r="N69" i="25"/>
  <c r="AP69" i="25" s="1"/>
  <c r="P70" i="25"/>
  <c r="AZ158" i="25"/>
  <c r="BD158" i="25"/>
  <c r="C158" i="25"/>
  <c r="E159" i="25"/>
  <c r="C158" i="24"/>
  <c r="AZ158" i="24"/>
  <c r="E159" i="24"/>
  <c r="F59" i="24"/>
  <c r="AI58" i="24"/>
  <c r="AJ58" i="24" s="1"/>
  <c r="AL58" i="24"/>
  <c r="AM58" i="24" s="1"/>
  <c r="AQ157" i="24"/>
  <c r="AS157" i="24"/>
  <c r="AU157" i="24"/>
  <c r="G58" i="15"/>
  <c r="AR58" i="15" s="1"/>
  <c r="AW57" i="15"/>
  <c r="AX57" i="15" s="1"/>
  <c r="AY57" i="15" s="1"/>
  <c r="K159" i="15"/>
  <c r="O159" i="15"/>
  <c r="AQ159" i="15"/>
  <c r="AS159" i="15"/>
  <c r="AU159" i="15"/>
  <c r="P120" i="15"/>
  <c r="M121" i="15" s="1"/>
  <c r="N121" i="15" s="1"/>
  <c r="M69" i="25"/>
  <c r="Q69" i="25" s="1"/>
  <c r="L70" i="25" s="1"/>
  <c r="O156" i="25"/>
  <c r="I156" i="25"/>
  <c r="AJ159" i="3"/>
  <c r="BF159" i="3" s="1"/>
  <c r="BG111" i="14"/>
  <c r="AS112" i="14"/>
  <c r="F113" i="14"/>
  <c r="H113" i="14" s="1"/>
  <c r="AQ112" i="14"/>
  <c r="AW38" i="17"/>
  <c r="AX38" i="17" s="1"/>
  <c r="AY38" i="17" s="1"/>
  <c r="AU39" i="17"/>
  <c r="F40" i="17"/>
  <c r="J41" i="17" s="1"/>
  <c r="AS39" i="17"/>
  <c r="AI39" i="17"/>
  <c r="AJ39" i="17" s="1"/>
  <c r="AK39" i="17" s="1"/>
  <c r="AL39" i="17"/>
  <c r="AM39" i="17" s="1"/>
  <c r="AN39" i="17" s="1"/>
  <c r="AP39" i="17"/>
  <c r="AG77" i="19"/>
  <c r="AF78" i="19" s="1"/>
  <c r="AI36" i="19"/>
  <c r="AJ36" i="19" s="1"/>
  <c r="AK36" i="19" s="1"/>
  <c r="Z78" i="19"/>
  <c r="Y78" i="19"/>
  <c r="AC78" i="19" s="1"/>
  <c r="X79" i="19" s="1"/>
  <c r="K36" i="19"/>
  <c r="AP36" i="19"/>
  <c r="AO36" i="19"/>
  <c r="S79" i="19"/>
  <c r="W79" i="19" s="1"/>
  <c r="R80" i="19" s="1"/>
  <c r="T79" i="19"/>
  <c r="L111" i="15"/>
  <c r="I112" i="15" s="1"/>
  <c r="J112" i="15" s="1"/>
  <c r="AT78" i="19"/>
  <c r="AE78" i="19"/>
  <c r="AD79" i="19" s="1"/>
  <c r="AB159" i="17"/>
  <c r="O159" i="17"/>
  <c r="I159" i="17"/>
  <c r="AA159" i="17"/>
  <c r="U159" i="19"/>
  <c r="V159" i="17"/>
  <c r="AA159" i="19"/>
  <c r="U159" i="17"/>
  <c r="V159" i="19"/>
  <c r="AB159" i="19"/>
  <c r="I159" i="19"/>
  <c r="O159" i="19"/>
  <c r="AT86" i="17"/>
  <c r="AE86" i="17"/>
  <c r="AD87" i="17" s="1"/>
  <c r="T111" i="15"/>
  <c r="S112" i="15" s="1"/>
  <c r="M88" i="19"/>
  <c r="Q88" i="19" s="1"/>
  <c r="L89" i="19" s="1"/>
  <c r="P89" i="19"/>
  <c r="N88" i="19"/>
  <c r="P89" i="17"/>
  <c r="M88" i="17"/>
  <c r="Q88" i="17" s="1"/>
  <c r="L89" i="17" s="1"/>
  <c r="N88" i="17"/>
  <c r="AI158" i="3"/>
  <c r="BE158" i="3" s="1"/>
  <c r="R111" i="15"/>
  <c r="Q112" i="15" s="1"/>
  <c r="AT112" i="15" s="1"/>
  <c r="AR158" i="19"/>
  <c r="S87" i="17"/>
  <c r="W87" i="17" s="1"/>
  <c r="R88" i="17" s="1"/>
  <c r="T87" i="17"/>
  <c r="Y79" i="17"/>
  <c r="AG79" i="17" s="1"/>
  <c r="AF80" i="17" s="1"/>
  <c r="Z79" i="17"/>
  <c r="E160" i="19"/>
  <c r="AZ159" i="19"/>
  <c r="C159" i="19"/>
  <c r="L156" i="18"/>
  <c r="I157" i="18" s="1"/>
  <c r="AZ159" i="16"/>
  <c r="C159" i="16"/>
  <c r="BD159" i="16"/>
  <c r="E160" i="16"/>
  <c r="AR158" i="16"/>
  <c r="E159" i="17"/>
  <c r="AZ158" i="17"/>
  <c r="C158" i="17"/>
  <c r="C158" i="18"/>
  <c r="AZ158" i="18"/>
  <c r="E159" i="18"/>
  <c r="AQ157" i="18"/>
  <c r="K157" i="18"/>
  <c r="O157" i="18"/>
  <c r="AS157" i="18"/>
  <c r="AU157" i="18"/>
  <c r="H73" i="18"/>
  <c r="AL73" i="18" s="1"/>
  <c r="AM73" i="18" s="1"/>
  <c r="AN73" i="18" s="1"/>
  <c r="E161" i="15"/>
  <c r="C160" i="15"/>
  <c r="AZ160" i="15"/>
  <c r="S118" i="18"/>
  <c r="T118" i="18" s="1"/>
  <c r="S119" i="18" s="1"/>
  <c r="T119" i="18" s="1"/>
  <c r="S120" i="18" s="1"/>
  <c r="R118" i="18"/>
  <c r="Q119" i="18" s="1"/>
  <c r="AT119" i="18" s="1"/>
  <c r="H161" i="3"/>
  <c r="AF160" i="3"/>
  <c r="AD160" i="3" s="1"/>
  <c r="AQ164" i="3"/>
  <c r="AH161" i="3"/>
  <c r="BD160" i="3"/>
  <c r="AN164" i="3"/>
  <c r="AN165" i="3" s="1"/>
  <c r="AI159" i="3"/>
  <c r="BE159" i="3" s="1"/>
  <c r="AG161" i="3"/>
  <c r="Y161" i="3"/>
  <c r="AC160" i="3"/>
  <c r="P164" i="3"/>
  <c r="P165" i="3" s="1"/>
  <c r="AW164" i="3"/>
  <c r="AE161" i="3"/>
  <c r="BC160" i="3"/>
  <c r="AM161" i="3"/>
  <c r="AL161" i="3"/>
  <c r="AV162" i="3"/>
  <c r="AX162" i="3" s="1"/>
  <c r="G163" i="3"/>
  <c r="V162" i="3"/>
  <c r="X162" i="3" s="1"/>
  <c r="A162" i="3"/>
  <c r="BI162" i="3" s="1"/>
  <c r="BJ162" i="3" s="1"/>
  <c r="S123" i="25" l="1"/>
  <c r="W123" i="25" s="1"/>
  <c r="R124" i="25" s="1"/>
  <c r="T123" i="25"/>
  <c r="AT122" i="25"/>
  <c r="AE122" i="25"/>
  <c r="AD123" i="25" s="1"/>
  <c r="AC92" i="28"/>
  <c r="X93" i="28" s="1"/>
  <c r="AB93" i="28" s="1"/>
  <c r="AU63" i="29"/>
  <c r="O64" i="29"/>
  <c r="M64" i="29"/>
  <c r="P65" i="29"/>
  <c r="N64" i="29"/>
  <c r="Z88" i="29"/>
  <c r="AA88" i="29"/>
  <c r="AE88" i="29" s="1"/>
  <c r="AD89" i="29" s="1"/>
  <c r="O65" i="28"/>
  <c r="N65" i="28"/>
  <c r="M65" i="28"/>
  <c r="P66" i="28"/>
  <c r="AR164" i="3"/>
  <c r="BB162" i="3"/>
  <c r="P162" i="20"/>
  <c r="O89" i="24"/>
  <c r="P89" i="24" s="1"/>
  <c r="M90" i="24" s="1"/>
  <c r="Z85" i="25"/>
  <c r="Y85" i="25"/>
  <c r="AG85" i="25" s="1"/>
  <c r="AF86" i="25" s="1"/>
  <c r="K85" i="24"/>
  <c r="T85" i="24" s="1"/>
  <c r="S86" i="24" s="1"/>
  <c r="J85" i="24"/>
  <c r="AK160" i="3"/>
  <c r="BG160" i="3" s="1"/>
  <c r="AN162" i="20"/>
  <c r="AQ162" i="20"/>
  <c r="AR162" i="20" s="1"/>
  <c r="O163" i="20"/>
  <c r="AJ160" i="3"/>
  <c r="BF160" i="3" s="1"/>
  <c r="Y88" i="29"/>
  <c r="T144" i="29"/>
  <c r="S144" i="29"/>
  <c r="W144" i="29" s="1"/>
  <c r="R145" i="29" s="1"/>
  <c r="U145" i="29" s="1"/>
  <c r="AM63" i="29"/>
  <c r="AN63" i="29" s="1"/>
  <c r="F64" i="29"/>
  <c r="AQ63" i="29"/>
  <c r="AS63" i="29"/>
  <c r="AZ158" i="29"/>
  <c r="C158" i="29"/>
  <c r="E159" i="29"/>
  <c r="T114" i="26"/>
  <c r="S115" i="26" s="1"/>
  <c r="J153" i="26"/>
  <c r="L153" i="26" s="1"/>
  <c r="I154" i="26" s="1"/>
  <c r="P114" i="26"/>
  <c r="M115" i="26" s="1"/>
  <c r="K158" i="26"/>
  <c r="O158" i="26"/>
  <c r="AS158" i="26"/>
  <c r="AU158" i="26"/>
  <c r="AQ158" i="26"/>
  <c r="F63" i="26"/>
  <c r="AL62" i="26"/>
  <c r="AI62" i="26"/>
  <c r="AT115" i="26"/>
  <c r="AZ159" i="26"/>
  <c r="C159" i="26"/>
  <c r="E160" i="26"/>
  <c r="T128" i="28"/>
  <c r="S128" i="28"/>
  <c r="W128" i="28" s="1"/>
  <c r="R129" i="28" s="1"/>
  <c r="V129" i="28" s="1"/>
  <c r="J65" i="28"/>
  <c r="H64" i="28"/>
  <c r="AP64" i="28" s="1"/>
  <c r="G64" i="28"/>
  <c r="AL64" i="28" s="1"/>
  <c r="AT127" i="28"/>
  <c r="AE127" i="28"/>
  <c r="AD128" i="28" s="1"/>
  <c r="AZ159" i="28"/>
  <c r="C159" i="28"/>
  <c r="E160" i="28"/>
  <c r="G76" i="25"/>
  <c r="K76" i="25" s="1"/>
  <c r="J77" i="25"/>
  <c r="H76" i="25"/>
  <c r="BA159" i="25"/>
  <c r="BB159" i="25"/>
  <c r="BC159" i="25"/>
  <c r="AO69" i="25"/>
  <c r="AI69" i="25"/>
  <c r="AU69" i="25"/>
  <c r="AS69" i="25"/>
  <c r="AL69" i="25"/>
  <c r="AQ69" i="25"/>
  <c r="U158" i="25"/>
  <c r="V158" i="25"/>
  <c r="AA158" i="25"/>
  <c r="AB158" i="25"/>
  <c r="AR158" i="25"/>
  <c r="C159" i="25"/>
  <c r="AZ159" i="25"/>
  <c r="BD159" i="25"/>
  <c r="E160" i="25"/>
  <c r="AJ68" i="25"/>
  <c r="AK68" i="25" s="1"/>
  <c r="AN58" i="24"/>
  <c r="AM68" i="25"/>
  <c r="AN68" i="25" s="1"/>
  <c r="AK58" i="24"/>
  <c r="P71" i="25"/>
  <c r="N70" i="25"/>
  <c r="AP70" i="25" s="1"/>
  <c r="AQ158" i="24"/>
  <c r="AS158" i="24"/>
  <c r="AU158" i="24"/>
  <c r="AZ159" i="24"/>
  <c r="C159" i="24"/>
  <c r="E160" i="24"/>
  <c r="G59" i="24"/>
  <c r="AR59" i="24" s="1"/>
  <c r="H58" i="15"/>
  <c r="O160" i="15"/>
  <c r="AQ160" i="15"/>
  <c r="AS160" i="15"/>
  <c r="AU160" i="15"/>
  <c r="K160" i="15"/>
  <c r="P121" i="15"/>
  <c r="M122" i="15" s="1"/>
  <c r="N122" i="15" s="1"/>
  <c r="AW63" i="28"/>
  <c r="AX63" i="28" s="1"/>
  <c r="AY63" i="28" s="1"/>
  <c r="M70" i="25"/>
  <c r="Q70" i="25" s="1"/>
  <c r="L71" i="25" s="1"/>
  <c r="O157" i="25"/>
  <c r="I157" i="25"/>
  <c r="AV112" i="14"/>
  <c r="BG112" i="14" s="1"/>
  <c r="J114" i="14"/>
  <c r="G113" i="14"/>
  <c r="AL113" i="14" s="1"/>
  <c r="AM113" i="14" s="1"/>
  <c r="AN113" i="14" s="1"/>
  <c r="H40" i="17"/>
  <c r="AO40" i="17" s="1"/>
  <c r="G40" i="17"/>
  <c r="K40" i="17" s="1"/>
  <c r="AQ40" i="17" s="1"/>
  <c r="AW39" i="17"/>
  <c r="AX39" i="17" s="1"/>
  <c r="AY39" i="17" s="1"/>
  <c r="AG78" i="19"/>
  <c r="AF79" i="19" s="1"/>
  <c r="AR159" i="19"/>
  <c r="F37" i="19"/>
  <c r="AQ36" i="19"/>
  <c r="AU36" i="19"/>
  <c r="AS36" i="19"/>
  <c r="Y79" i="19"/>
  <c r="AC79" i="19" s="1"/>
  <c r="X80" i="19" s="1"/>
  <c r="Z79" i="19"/>
  <c r="R112" i="15"/>
  <c r="Q113" i="15" s="1"/>
  <c r="AT113" i="15" s="1"/>
  <c r="T112" i="15"/>
  <c r="S113" i="15" s="1"/>
  <c r="AP113" i="14"/>
  <c r="AO113" i="14"/>
  <c r="L112" i="15"/>
  <c r="I113" i="15" s="1"/>
  <c r="J113" i="15" s="1"/>
  <c r="AT79" i="19"/>
  <c r="AE79" i="19"/>
  <c r="AD80" i="19" s="1"/>
  <c r="T80" i="19"/>
  <c r="S80" i="19"/>
  <c r="W80" i="19" s="1"/>
  <c r="R81" i="19" s="1"/>
  <c r="S88" i="17"/>
  <c r="W88" i="17" s="1"/>
  <c r="R89" i="17" s="1"/>
  <c r="T88" i="17"/>
  <c r="AC79" i="17"/>
  <c r="X80" i="17" s="1"/>
  <c r="P90" i="17"/>
  <c r="N89" i="17"/>
  <c r="M89" i="17"/>
  <c r="Q89" i="17" s="1"/>
  <c r="L90" i="17" s="1"/>
  <c r="P90" i="19"/>
  <c r="M89" i="19"/>
  <c r="Q89" i="19" s="1"/>
  <c r="L90" i="19" s="1"/>
  <c r="N89" i="19"/>
  <c r="V160" i="17"/>
  <c r="AB160" i="17"/>
  <c r="I160" i="17"/>
  <c r="V160" i="19"/>
  <c r="AA160" i="17"/>
  <c r="U160" i="19"/>
  <c r="O160" i="17"/>
  <c r="O160" i="19"/>
  <c r="I160" i="19"/>
  <c r="U160" i="17"/>
  <c r="AB160" i="19"/>
  <c r="AA160" i="19"/>
  <c r="AT87" i="17"/>
  <c r="AE87" i="17"/>
  <c r="AD88" i="17" s="1"/>
  <c r="C160" i="19"/>
  <c r="AZ160" i="19"/>
  <c r="E161" i="19"/>
  <c r="AR159" i="16"/>
  <c r="AZ160" i="16"/>
  <c r="C160" i="16"/>
  <c r="E161" i="16"/>
  <c r="BD160" i="16"/>
  <c r="AS158" i="18"/>
  <c r="AU158" i="18"/>
  <c r="K158" i="18"/>
  <c r="AQ158" i="18"/>
  <c r="O158" i="18"/>
  <c r="J157" i="18"/>
  <c r="L157" i="18" s="1"/>
  <c r="I158" i="18" s="1"/>
  <c r="E160" i="18"/>
  <c r="C159" i="18"/>
  <c r="AZ159" i="18"/>
  <c r="AZ159" i="17"/>
  <c r="E160" i="17"/>
  <c r="C159" i="17"/>
  <c r="AI73" i="18"/>
  <c r="AJ73" i="18" s="1"/>
  <c r="AK73" i="18" s="1"/>
  <c r="AW73" i="18" s="1"/>
  <c r="AX73" i="18" s="1"/>
  <c r="AY73" i="18" s="1"/>
  <c r="F74" i="18"/>
  <c r="C161" i="15"/>
  <c r="E162" i="15"/>
  <c r="AZ161" i="15"/>
  <c r="P119" i="18"/>
  <c r="M120" i="18" s="1"/>
  <c r="N120" i="18" s="1"/>
  <c r="R119" i="18"/>
  <c r="Q120" i="18" s="1"/>
  <c r="AT120" i="18" s="1"/>
  <c r="AM162" i="3"/>
  <c r="AW165" i="3"/>
  <c r="Y162" i="3"/>
  <c r="AC161" i="3"/>
  <c r="BD161" i="3"/>
  <c r="AH162" i="3"/>
  <c r="H162" i="3"/>
  <c r="AF161" i="3"/>
  <c r="G164" i="3"/>
  <c r="AV163" i="3"/>
  <c r="AX163" i="3" s="1"/>
  <c r="V163" i="3"/>
  <c r="X163" i="3" s="1"/>
  <c r="A163" i="3"/>
  <c r="BI163" i="3" s="1"/>
  <c r="BJ163" i="3" s="1"/>
  <c r="AG162" i="3"/>
  <c r="AQ165" i="3"/>
  <c r="AL162" i="3"/>
  <c r="BC161" i="3"/>
  <c r="AE162" i="3"/>
  <c r="AI160" i="3"/>
  <c r="BE160" i="3" s="1"/>
  <c r="AE123" i="25" l="1"/>
  <c r="AD124" i="25" s="1"/>
  <c r="AT123" i="25"/>
  <c r="S124" i="25"/>
  <c r="W124" i="25" s="1"/>
  <c r="R125" i="25" s="1"/>
  <c r="T124" i="25"/>
  <c r="Z93" i="28"/>
  <c r="Y93" i="28"/>
  <c r="AG93" i="28" s="1"/>
  <c r="AF94" i="28" s="1"/>
  <c r="AT89" i="29"/>
  <c r="J65" i="29"/>
  <c r="I64" i="29"/>
  <c r="AR64" i="29" s="1"/>
  <c r="AR165" i="3"/>
  <c r="BB163" i="3"/>
  <c r="R85" i="24"/>
  <c r="Q86" i="24" s="1"/>
  <c r="AT86" i="24" s="1"/>
  <c r="L85" i="24"/>
  <c r="I86" i="24" s="1"/>
  <c r="O90" i="24"/>
  <c r="N90" i="24"/>
  <c r="AC85" i="25"/>
  <c r="X86" i="25" s="1"/>
  <c r="AN163" i="20"/>
  <c r="AM163" i="3"/>
  <c r="AL163" i="3"/>
  <c r="P163" i="20"/>
  <c r="AQ163" i="20"/>
  <c r="AR163" i="20" s="1"/>
  <c r="O164" i="20"/>
  <c r="AK161" i="3"/>
  <c r="BG161" i="3" s="1"/>
  <c r="AW63" i="29"/>
  <c r="AX63" i="29" s="1"/>
  <c r="AY63" i="29" s="1"/>
  <c r="G64" i="29"/>
  <c r="AI64" i="29" s="1"/>
  <c r="AJ64" i="29" s="1"/>
  <c r="AK64" i="29" s="1"/>
  <c r="AC88" i="29"/>
  <c r="X89" i="29" s="1"/>
  <c r="AA89" i="29" s="1"/>
  <c r="AE89" i="29" s="1"/>
  <c r="AD90" i="29" s="1"/>
  <c r="AG88" i="29"/>
  <c r="AF89" i="29" s="1"/>
  <c r="T145" i="29"/>
  <c r="S145" i="29"/>
  <c r="W145" i="29" s="1"/>
  <c r="R146" i="29" s="1"/>
  <c r="U146" i="29" s="1"/>
  <c r="H64" i="29"/>
  <c r="AP64" i="29" s="1"/>
  <c r="C159" i="29"/>
  <c r="AZ159" i="29"/>
  <c r="E160" i="29"/>
  <c r="J154" i="26"/>
  <c r="L154" i="26" s="1"/>
  <c r="I155" i="26" s="1"/>
  <c r="AM62" i="26"/>
  <c r="AN62" i="26" s="1"/>
  <c r="N115" i="26"/>
  <c r="G63" i="26"/>
  <c r="AR63" i="26" s="1"/>
  <c r="AJ62" i="26"/>
  <c r="AK62" i="26" s="1"/>
  <c r="K159" i="26"/>
  <c r="O159" i="26"/>
  <c r="AQ159" i="26"/>
  <c r="AS159" i="26"/>
  <c r="AU159" i="26"/>
  <c r="AZ160" i="26"/>
  <c r="C160" i="26"/>
  <c r="E161" i="26"/>
  <c r="T129" i="28"/>
  <c r="S129" i="28"/>
  <c r="W129" i="28" s="1"/>
  <c r="R130" i="28" s="1"/>
  <c r="V130" i="28" s="1"/>
  <c r="AO64" i="28"/>
  <c r="AI64" i="28"/>
  <c r="AJ64" i="28" s="1"/>
  <c r="AT128" i="28"/>
  <c r="AE128" i="28"/>
  <c r="AD129" i="28" s="1"/>
  <c r="C160" i="28"/>
  <c r="AZ160" i="28"/>
  <c r="E161" i="28"/>
  <c r="AW68" i="25"/>
  <c r="AX68" i="25" s="1"/>
  <c r="AY68" i="25" s="1"/>
  <c r="F77" i="25"/>
  <c r="AO70" i="25"/>
  <c r="AL70" i="25"/>
  <c r="AU70" i="25"/>
  <c r="AS70" i="25"/>
  <c r="AI70" i="25"/>
  <c r="U159" i="25"/>
  <c r="V159" i="25"/>
  <c r="AA159" i="25"/>
  <c r="AB159" i="25"/>
  <c r="AR159" i="25"/>
  <c r="AQ70" i="25"/>
  <c r="BA160" i="25"/>
  <c r="BB160" i="25"/>
  <c r="BC160" i="25"/>
  <c r="AW58" i="24"/>
  <c r="AX58" i="24" s="1"/>
  <c r="AY58" i="24" s="1"/>
  <c r="AZ160" i="25"/>
  <c r="BD160" i="25"/>
  <c r="C160" i="25"/>
  <c r="E161" i="25"/>
  <c r="N71" i="25"/>
  <c r="AP71" i="25" s="1"/>
  <c r="P72" i="25"/>
  <c r="AJ69" i="25"/>
  <c r="AK69" i="25" s="1"/>
  <c r="AM69" i="25"/>
  <c r="AN69" i="25" s="1"/>
  <c r="AQ159" i="24"/>
  <c r="AS159" i="24"/>
  <c r="AU159" i="24"/>
  <c r="AZ160" i="24"/>
  <c r="C160" i="24"/>
  <c r="E161" i="24"/>
  <c r="H59" i="24"/>
  <c r="F59" i="15"/>
  <c r="AI58" i="15"/>
  <c r="AJ58" i="15" s="1"/>
  <c r="AK58" i="15" s="1"/>
  <c r="AL58" i="15"/>
  <c r="AM58" i="15" s="1"/>
  <c r="AN58" i="15" s="1"/>
  <c r="AS161" i="15"/>
  <c r="AU161" i="15"/>
  <c r="AQ161" i="15"/>
  <c r="P122" i="15"/>
  <c r="M123" i="15" s="1"/>
  <c r="N123" i="15" s="1"/>
  <c r="K64" i="28"/>
  <c r="M71" i="25"/>
  <c r="Q71" i="25" s="1"/>
  <c r="L72" i="25" s="1"/>
  <c r="O158" i="25"/>
  <c r="I158" i="25"/>
  <c r="AW36" i="19"/>
  <c r="AX36" i="19" s="1"/>
  <c r="AY36" i="19" s="1"/>
  <c r="AZ112" i="14"/>
  <c r="BC112" i="14" s="1"/>
  <c r="K113" i="14"/>
  <c r="AS113" i="14" s="1"/>
  <c r="AI113" i="14"/>
  <c r="AJ113" i="14" s="1"/>
  <c r="AK113" i="14" s="1"/>
  <c r="AP40" i="17"/>
  <c r="AS40" i="17"/>
  <c r="AI40" i="17"/>
  <c r="AJ40" i="17" s="1"/>
  <c r="AK40" i="17" s="1"/>
  <c r="AU40" i="17"/>
  <c r="AL40" i="17"/>
  <c r="AM40" i="17" s="1"/>
  <c r="AN40" i="17" s="1"/>
  <c r="F41" i="17"/>
  <c r="H41" i="17" s="1"/>
  <c r="Z80" i="19"/>
  <c r="Y80" i="19"/>
  <c r="AC80" i="19" s="1"/>
  <c r="X81" i="19" s="1"/>
  <c r="J38" i="19"/>
  <c r="H37" i="19"/>
  <c r="G37" i="19"/>
  <c r="AL37" i="19" s="1"/>
  <c r="AM37" i="19" s="1"/>
  <c r="AN37" i="19" s="1"/>
  <c r="AG79" i="19"/>
  <c r="AF80" i="19" s="1"/>
  <c r="AR160" i="19"/>
  <c r="L113" i="15"/>
  <c r="I114" i="15" s="1"/>
  <c r="J114" i="15" s="1"/>
  <c r="AT80" i="19"/>
  <c r="AE80" i="19"/>
  <c r="AD81" i="19" s="1"/>
  <c r="S81" i="19"/>
  <c r="W81" i="19" s="1"/>
  <c r="R82" i="19" s="1"/>
  <c r="T81" i="19"/>
  <c r="T113" i="15"/>
  <c r="S114" i="15" s="1"/>
  <c r="R113" i="15"/>
  <c r="Q114" i="15" s="1"/>
  <c r="AT114" i="15" s="1"/>
  <c r="AB161" i="17"/>
  <c r="O161" i="17"/>
  <c r="AA161" i="17"/>
  <c r="I161" i="17"/>
  <c r="AA161" i="19"/>
  <c r="I161" i="19"/>
  <c r="V161" i="19"/>
  <c r="O161" i="19"/>
  <c r="V161" i="17"/>
  <c r="AB161" i="19"/>
  <c r="U161" i="19"/>
  <c r="U161" i="17"/>
  <c r="AD161" i="3"/>
  <c r="AI161" i="3" s="1"/>
  <c r="BE161" i="3" s="1"/>
  <c r="M90" i="19"/>
  <c r="Q90" i="19" s="1"/>
  <c r="L91" i="19" s="1"/>
  <c r="N90" i="19"/>
  <c r="P91" i="19"/>
  <c r="T89" i="17"/>
  <c r="S89" i="17"/>
  <c r="W89" i="17" s="1"/>
  <c r="R90" i="17" s="1"/>
  <c r="AT88" i="17"/>
  <c r="AE88" i="17"/>
  <c r="AD89" i="17" s="1"/>
  <c r="N90" i="17"/>
  <c r="P91" i="17"/>
  <c r="M90" i="17"/>
  <c r="Q90" i="17" s="1"/>
  <c r="L91" i="17" s="1"/>
  <c r="Y80" i="17"/>
  <c r="Z80" i="17"/>
  <c r="E162" i="19"/>
  <c r="C161" i="19"/>
  <c r="AZ161" i="19"/>
  <c r="AR160" i="16"/>
  <c r="C161" i="16"/>
  <c r="AZ161" i="16"/>
  <c r="E162" i="16"/>
  <c r="BD161" i="16"/>
  <c r="J158" i="18"/>
  <c r="L158" i="18" s="1"/>
  <c r="I159" i="18" s="1"/>
  <c r="J159" i="18" s="1"/>
  <c r="AQ159" i="18"/>
  <c r="O159" i="18"/>
  <c r="AS159" i="18"/>
  <c r="AU159" i="18"/>
  <c r="K159" i="18"/>
  <c r="E161" i="17"/>
  <c r="C160" i="17"/>
  <c r="AZ160" i="17"/>
  <c r="E161" i="18"/>
  <c r="AZ160" i="18"/>
  <c r="C160" i="18"/>
  <c r="G74" i="18"/>
  <c r="AR74" i="18" s="1"/>
  <c r="AZ162" i="15"/>
  <c r="C162" i="15"/>
  <c r="E163" i="15"/>
  <c r="R120" i="18"/>
  <c r="Q121" i="18" s="1"/>
  <c r="AT121" i="18" s="1"/>
  <c r="P120" i="18"/>
  <c r="M121" i="18" s="1"/>
  <c r="N121" i="18" s="1"/>
  <c r="T120" i="18"/>
  <c r="S121" i="18" s="1"/>
  <c r="AE163" i="3"/>
  <c r="BC162" i="3"/>
  <c r="AQ166" i="3"/>
  <c r="BD162" i="3"/>
  <c r="AH163" i="3"/>
  <c r="A164" i="3"/>
  <c r="BI164" i="3" s="1"/>
  <c r="BJ164" i="3" s="1"/>
  <c r="AV164" i="3"/>
  <c r="AX164" i="3" s="1"/>
  <c r="G165" i="3"/>
  <c r="V164" i="3"/>
  <c r="X164" i="3" s="1"/>
  <c r="AW166" i="3"/>
  <c r="AG163" i="3"/>
  <c r="AN166" i="3"/>
  <c r="AN167" i="3" s="1"/>
  <c r="P166" i="3"/>
  <c r="P167" i="3" s="1"/>
  <c r="AF162" i="3"/>
  <c r="AK162" i="3" s="1"/>
  <c r="H163" i="3"/>
  <c r="Y163" i="3"/>
  <c r="AC162" i="3"/>
  <c r="T125" i="25" l="1"/>
  <c r="S125" i="25"/>
  <c r="W125" i="25" s="1"/>
  <c r="R126" i="25" s="1"/>
  <c r="AT124" i="25"/>
  <c r="AE124" i="25"/>
  <c r="AD125" i="25" s="1"/>
  <c r="AC93" i="28"/>
  <c r="X94" i="28" s="1"/>
  <c r="AB94" i="28" s="1"/>
  <c r="Q64" i="29"/>
  <c r="L65" i="29" s="1"/>
  <c r="O65" i="29" s="1"/>
  <c r="AT90" i="29"/>
  <c r="AR166" i="3"/>
  <c r="BB164" i="3"/>
  <c r="P90" i="24"/>
  <c r="M91" i="24" s="1"/>
  <c r="K86" i="24"/>
  <c r="T86" i="24" s="1"/>
  <c r="S87" i="24" s="1"/>
  <c r="J86" i="24"/>
  <c r="Y86" i="25"/>
  <c r="AG86" i="25" s="1"/>
  <c r="AF87" i="25" s="1"/>
  <c r="Z86" i="25"/>
  <c r="AN164" i="20"/>
  <c r="P164" i="20"/>
  <c r="O165" i="20"/>
  <c r="AQ164" i="20"/>
  <c r="AR164" i="20" s="1"/>
  <c r="BG162" i="3"/>
  <c r="AJ161" i="3"/>
  <c r="BF161" i="3" s="1"/>
  <c r="O161" i="15"/>
  <c r="K161" i="15"/>
  <c r="K64" i="29"/>
  <c r="AL64" i="29"/>
  <c r="AM64" i="29" s="1"/>
  <c r="AW62" i="26"/>
  <c r="AX62" i="26" s="1"/>
  <c r="AY62" i="26" s="1"/>
  <c r="Z89" i="29"/>
  <c r="Y89" i="29"/>
  <c r="AC89" i="29" s="1"/>
  <c r="X90" i="29" s="1"/>
  <c r="AO64" i="29"/>
  <c r="T146" i="29"/>
  <c r="S146" i="29"/>
  <c r="W146" i="29" s="1"/>
  <c r="R147" i="29" s="1"/>
  <c r="U147" i="29" s="1"/>
  <c r="AZ160" i="29"/>
  <c r="C160" i="29"/>
  <c r="E161" i="29"/>
  <c r="J155" i="26"/>
  <c r="L155" i="26" s="1"/>
  <c r="I156" i="26" s="1"/>
  <c r="T115" i="26"/>
  <c r="S116" i="26" s="1"/>
  <c r="R115" i="26"/>
  <c r="Q116" i="26" s="1"/>
  <c r="P115" i="26"/>
  <c r="M116" i="26" s="1"/>
  <c r="H63" i="26"/>
  <c r="O160" i="26"/>
  <c r="AQ160" i="26"/>
  <c r="AS160" i="26"/>
  <c r="AU160" i="26"/>
  <c r="K160" i="26"/>
  <c r="C161" i="26"/>
  <c r="AZ161" i="26"/>
  <c r="E162" i="26"/>
  <c r="T130" i="28"/>
  <c r="S130" i="28"/>
  <c r="W130" i="28" s="1"/>
  <c r="R131" i="28" s="1"/>
  <c r="V131" i="28" s="1"/>
  <c r="AT129" i="28"/>
  <c r="AE129" i="28"/>
  <c r="AD130" i="28" s="1"/>
  <c r="AS64" i="28"/>
  <c r="AU64" i="28"/>
  <c r="AQ64" i="28"/>
  <c r="AK64" i="28"/>
  <c r="AM64" i="28"/>
  <c r="AN64" i="28" s="1"/>
  <c r="F65" i="28"/>
  <c r="I65" i="28" s="1"/>
  <c r="Q65" i="28" s="1"/>
  <c r="L66" i="28" s="1"/>
  <c r="AZ161" i="28"/>
  <c r="C161" i="28"/>
  <c r="E162" i="28"/>
  <c r="AW58" i="15"/>
  <c r="AX58" i="15" s="1"/>
  <c r="AY58" i="15" s="1"/>
  <c r="G77" i="25"/>
  <c r="K77" i="25" s="1"/>
  <c r="H77" i="25"/>
  <c r="J78" i="25"/>
  <c r="AL71" i="25"/>
  <c r="AI71" i="25"/>
  <c r="U160" i="25"/>
  <c r="V160" i="25"/>
  <c r="AA160" i="25"/>
  <c r="AB160" i="25"/>
  <c r="AR160" i="25"/>
  <c r="AS71" i="25"/>
  <c r="AW69" i="25"/>
  <c r="AX69" i="25" s="1"/>
  <c r="AY69" i="25" s="1"/>
  <c r="AU71" i="25"/>
  <c r="BA161" i="25"/>
  <c r="BB161" i="25"/>
  <c r="BC161" i="25"/>
  <c r="AQ71" i="25"/>
  <c r="AO71" i="25"/>
  <c r="AM70" i="25"/>
  <c r="AN70" i="25" s="1"/>
  <c r="N72" i="25"/>
  <c r="AP72" i="25" s="1"/>
  <c r="P73" i="25"/>
  <c r="AJ70" i="25"/>
  <c r="AK70" i="25" s="1"/>
  <c r="C161" i="25"/>
  <c r="AZ161" i="25"/>
  <c r="BD161" i="25"/>
  <c r="E162" i="25"/>
  <c r="AQ160" i="24"/>
  <c r="AS160" i="24"/>
  <c r="AU160" i="24"/>
  <c r="F60" i="24"/>
  <c r="AL59" i="24"/>
  <c r="AM59" i="24" s="1"/>
  <c r="AI59" i="24"/>
  <c r="AJ59" i="24" s="1"/>
  <c r="C161" i="24"/>
  <c r="AZ161" i="24"/>
  <c r="E162" i="24"/>
  <c r="G59" i="15"/>
  <c r="AR59" i="15" s="1"/>
  <c r="AQ162" i="15"/>
  <c r="AS162" i="15"/>
  <c r="AU162" i="15"/>
  <c r="P123" i="15"/>
  <c r="M124" i="15" s="1"/>
  <c r="N124" i="15" s="1"/>
  <c r="M72" i="25"/>
  <c r="Q72" i="25" s="1"/>
  <c r="L73" i="25" s="1"/>
  <c r="O159" i="25"/>
  <c r="I159" i="25"/>
  <c r="AU113" i="14"/>
  <c r="AQ113" i="14"/>
  <c r="F114" i="14"/>
  <c r="G114" i="14" s="1"/>
  <c r="K114" i="14" s="1"/>
  <c r="F115" i="14" s="1"/>
  <c r="AW40" i="17"/>
  <c r="AX40" i="17" s="1"/>
  <c r="AY40" i="17" s="1"/>
  <c r="J42" i="17"/>
  <c r="G41" i="17"/>
  <c r="AI41" i="17" s="1"/>
  <c r="AJ41" i="17" s="1"/>
  <c r="AK41" i="17" s="1"/>
  <c r="AM164" i="3"/>
  <c r="AD162" i="3"/>
  <c r="AI162" i="3" s="1"/>
  <c r="BE162" i="3" s="1"/>
  <c r="AI37" i="19"/>
  <c r="AJ37" i="19" s="1"/>
  <c r="AK37" i="19" s="1"/>
  <c r="AG80" i="19"/>
  <c r="AF81" i="19" s="1"/>
  <c r="K37" i="19"/>
  <c r="AU37" i="19" s="1"/>
  <c r="AP37" i="19"/>
  <c r="AO37" i="19"/>
  <c r="Z81" i="19"/>
  <c r="Y81" i="19"/>
  <c r="AC81" i="19" s="1"/>
  <c r="X82" i="19" s="1"/>
  <c r="AO41" i="17"/>
  <c r="AP41" i="17"/>
  <c r="T114" i="15"/>
  <c r="S115" i="15" s="1"/>
  <c r="T82" i="19"/>
  <c r="S82" i="19"/>
  <c r="W82" i="19" s="1"/>
  <c r="R83" i="19" s="1"/>
  <c r="AE81" i="19"/>
  <c r="AD82" i="19" s="1"/>
  <c r="AT81" i="19"/>
  <c r="V162" i="17"/>
  <c r="AA162" i="17"/>
  <c r="O162" i="17"/>
  <c r="AB162" i="19"/>
  <c r="O162" i="19"/>
  <c r="I162" i="17"/>
  <c r="AA162" i="19"/>
  <c r="I162" i="19"/>
  <c r="U162" i="17"/>
  <c r="U162" i="19"/>
  <c r="V162" i="19"/>
  <c r="AB162" i="17"/>
  <c r="R114" i="15"/>
  <c r="Q115" i="15" s="1"/>
  <c r="AT115" i="15" s="1"/>
  <c r="L114" i="15"/>
  <c r="I115" i="15" s="1"/>
  <c r="J115" i="15" s="1"/>
  <c r="M91" i="17"/>
  <c r="Q91" i="17" s="1"/>
  <c r="L92" i="17" s="1"/>
  <c r="P92" i="17"/>
  <c r="N91" i="17"/>
  <c r="AT89" i="17"/>
  <c r="AE89" i="17"/>
  <c r="AD90" i="17" s="1"/>
  <c r="AC80" i="17"/>
  <c r="X81" i="17" s="1"/>
  <c r="AG80" i="17"/>
  <c r="AF81" i="17" s="1"/>
  <c r="N91" i="19"/>
  <c r="M91" i="19"/>
  <c r="Q91" i="19" s="1"/>
  <c r="L92" i="19" s="1"/>
  <c r="P92" i="19"/>
  <c r="AR161" i="19"/>
  <c r="T90" i="17"/>
  <c r="S90" i="17"/>
  <c r="W90" i="17" s="1"/>
  <c r="R91" i="17" s="1"/>
  <c r="E163" i="19"/>
  <c r="C162" i="19"/>
  <c r="AZ162" i="19"/>
  <c r="AR161" i="16"/>
  <c r="C162" i="16"/>
  <c r="E163" i="16"/>
  <c r="AZ162" i="16"/>
  <c r="BD162" i="16"/>
  <c r="L159" i="18"/>
  <c r="I160" i="18" s="1"/>
  <c r="J160" i="18" s="1"/>
  <c r="E162" i="17"/>
  <c r="AZ161" i="17"/>
  <c r="C161" i="17"/>
  <c r="AZ161" i="18"/>
  <c r="C161" i="18"/>
  <c r="E162" i="18"/>
  <c r="AQ160" i="18"/>
  <c r="O160" i="18"/>
  <c r="AS160" i="18"/>
  <c r="K160" i="18"/>
  <c r="AU160" i="18"/>
  <c r="H74" i="18"/>
  <c r="AI74" i="18" s="1"/>
  <c r="AJ74" i="18" s="1"/>
  <c r="AK74" i="18" s="1"/>
  <c r="C163" i="15"/>
  <c r="E164" i="15"/>
  <c r="AZ163" i="15"/>
  <c r="P121" i="18"/>
  <c r="M122" i="18" s="1"/>
  <c r="N122" i="18" s="1"/>
  <c r="R121" i="18"/>
  <c r="Q122" i="18" s="1"/>
  <c r="AT122" i="18" s="1"/>
  <c r="H164" i="3"/>
  <c r="AF163" i="3"/>
  <c r="AD163" i="3" s="1"/>
  <c r="AG164" i="3"/>
  <c r="AV165" i="3"/>
  <c r="AX165" i="3" s="1"/>
  <c r="V165" i="3"/>
  <c r="X165" i="3" s="1"/>
  <c r="G166" i="3"/>
  <c r="BD163" i="3"/>
  <c r="AH164" i="3"/>
  <c r="AE164" i="3"/>
  <c r="BC163" i="3"/>
  <c r="AC163" i="3"/>
  <c r="Y164" i="3"/>
  <c r="AL164" i="3"/>
  <c r="AN168" i="3"/>
  <c r="AW167" i="3"/>
  <c r="A165" i="3"/>
  <c r="BI165" i="3" s="1"/>
  <c r="BJ165" i="3" s="1"/>
  <c r="AQ167" i="3"/>
  <c r="T126" i="25" l="1"/>
  <c r="S126" i="25"/>
  <c r="W126" i="25" s="1"/>
  <c r="R127" i="25" s="1"/>
  <c r="AT125" i="25"/>
  <c r="AE125" i="25"/>
  <c r="AD126" i="25" s="1"/>
  <c r="Z94" i="28"/>
  <c r="Y94" i="28"/>
  <c r="AG94" i="28" s="1"/>
  <c r="AF95" i="28" s="1"/>
  <c r="M65" i="29"/>
  <c r="P66" i="29"/>
  <c r="N65" i="29"/>
  <c r="AU64" i="29"/>
  <c r="O66" i="28"/>
  <c r="M66" i="28"/>
  <c r="P67" i="28"/>
  <c r="N66" i="28"/>
  <c r="Z90" i="29"/>
  <c r="AA90" i="29"/>
  <c r="AE90" i="29" s="1"/>
  <c r="AD91" i="29" s="1"/>
  <c r="AR167" i="3"/>
  <c r="BB165" i="3"/>
  <c r="L86" i="24"/>
  <c r="I87" i="24" s="1"/>
  <c r="R86" i="24"/>
  <c r="Q87" i="24" s="1"/>
  <c r="AT87" i="24" s="1"/>
  <c r="AC86" i="25"/>
  <c r="X87" i="25" s="1"/>
  <c r="O91" i="24"/>
  <c r="N91" i="24"/>
  <c r="AN165" i="20"/>
  <c r="AL165" i="3"/>
  <c r="P165" i="20"/>
  <c r="O166" i="20"/>
  <c r="AQ165" i="20"/>
  <c r="AR165" i="20" s="1"/>
  <c r="AK163" i="3"/>
  <c r="BG163" i="3" s="1"/>
  <c r="K162" i="15"/>
  <c r="O162" i="15"/>
  <c r="AJ162" i="3"/>
  <c r="BF162" i="3" s="1"/>
  <c r="F65" i="29"/>
  <c r="AN64" i="29"/>
  <c r="AS64" i="29"/>
  <c r="AQ64" i="29"/>
  <c r="Y90" i="29"/>
  <c r="AG89" i="29"/>
  <c r="AF90" i="29" s="1"/>
  <c r="T147" i="29"/>
  <c r="S147" i="29"/>
  <c r="W147" i="29" s="1"/>
  <c r="R148" i="29" s="1"/>
  <c r="U148" i="29" s="1"/>
  <c r="C161" i="29"/>
  <c r="AZ161" i="29"/>
  <c r="E162" i="29"/>
  <c r="AT116" i="26"/>
  <c r="N116" i="26"/>
  <c r="T116" i="26" s="1"/>
  <c r="S117" i="26" s="1"/>
  <c r="AS161" i="26"/>
  <c r="AU161" i="26"/>
  <c r="AQ161" i="26"/>
  <c r="K161" i="26"/>
  <c r="O161" i="26"/>
  <c r="F64" i="26"/>
  <c r="AI63" i="26"/>
  <c r="AL63" i="26"/>
  <c r="J156" i="26"/>
  <c r="L156" i="26" s="1"/>
  <c r="I157" i="26" s="1"/>
  <c r="C162" i="26"/>
  <c r="AZ162" i="26"/>
  <c r="E163" i="26"/>
  <c r="T131" i="28"/>
  <c r="S131" i="28"/>
  <c r="W131" i="28" s="1"/>
  <c r="R132" i="28" s="1"/>
  <c r="V132" i="28" s="1"/>
  <c r="AT130" i="28"/>
  <c r="AE130" i="28"/>
  <c r="AD131" i="28" s="1"/>
  <c r="H65" i="28"/>
  <c r="AP65" i="28" s="1"/>
  <c r="J66" i="28"/>
  <c r="G65" i="28"/>
  <c r="AI65" i="28" s="1"/>
  <c r="C162" i="28"/>
  <c r="AZ162" i="28"/>
  <c r="E163" i="28"/>
  <c r="AW70" i="25"/>
  <c r="AX70" i="25" s="1"/>
  <c r="AY70" i="25" s="1"/>
  <c r="F78" i="25"/>
  <c r="AL72" i="25"/>
  <c r="AS72" i="25"/>
  <c r="AI72" i="25"/>
  <c r="AU72" i="25"/>
  <c r="AR161" i="25"/>
  <c r="U161" i="25"/>
  <c r="V161" i="25"/>
  <c r="AA161" i="25"/>
  <c r="AB161" i="25"/>
  <c r="AQ72" i="25"/>
  <c r="BA162" i="25"/>
  <c r="BB162" i="25"/>
  <c r="BC162" i="25"/>
  <c r="AO72" i="25"/>
  <c r="AZ162" i="25"/>
  <c r="BD162" i="25"/>
  <c r="C162" i="25"/>
  <c r="E163" i="25"/>
  <c r="AJ71" i="25"/>
  <c r="AK71" i="25" s="1"/>
  <c r="AM71" i="25"/>
  <c r="AN71" i="25" s="1"/>
  <c r="N73" i="25"/>
  <c r="AP73" i="25" s="1"/>
  <c r="P74" i="25"/>
  <c r="AU161" i="24"/>
  <c r="AS161" i="24"/>
  <c r="AQ161" i="24"/>
  <c r="C162" i="24"/>
  <c r="AZ162" i="24"/>
  <c r="E163" i="24"/>
  <c r="AK59" i="24"/>
  <c r="AN59" i="24"/>
  <c r="G60" i="24"/>
  <c r="AR60" i="24" s="1"/>
  <c r="H59" i="15"/>
  <c r="K163" i="15"/>
  <c r="O163" i="15"/>
  <c r="AQ163" i="15"/>
  <c r="AS163" i="15"/>
  <c r="AU163" i="15"/>
  <c r="P124" i="15"/>
  <c r="M125" i="15" s="1"/>
  <c r="N125" i="15" s="1"/>
  <c r="AW64" i="28"/>
  <c r="AX64" i="28" s="1"/>
  <c r="AY64" i="28" s="1"/>
  <c r="M73" i="25"/>
  <c r="Q73" i="25" s="1"/>
  <c r="L74" i="25" s="1"/>
  <c r="O160" i="25"/>
  <c r="I160" i="25"/>
  <c r="AJ163" i="3"/>
  <c r="BF163" i="3" s="1"/>
  <c r="J115" i="14"/>
  <c r="H114" i="14"/>
  <c r="AP114" i="14" s="1"/>
  <c r="AV113" i="14"/>
  <c r="BG113" i="14" s="1"/>
  <c r="K41" i="17"/>
  <c r="AQ41" i="17" s="1"/>
  <c r="AL41" i="17"/>
  <c r="AM41" i="17" s="1"/>
  <c r="AN41" i="17" s="1"/>
  <c r="F38" i="19"/>
  <c r="AS37" i="19"/>
  <c r="AQ37" i="19"/>
  <c r="AG81" i="19"/>
  <c r="AF82" i="19" s="1"/>
  <c r="Y82" i="19"/>
  <c r="AC82" i="19" s="1"/>
  <c r="X83" i="19" s="1"/>
  <c r="Z82" i="19"/>
  <c r="AR162" i="19"/>
  <c r="AS114" i="14"/>
  <c r="AQ114" i="14"/>
  <c r="J116" i="14"/>
  <c r="H115" i="14"/>
  <c r="G115" i="14"/>
  <c r="AL115" i="14" s="1"/>
  <c r="AM115" i="14" s="1"/>
  <c r="AN115" i="14" s="1"/>
  <c r="L160" i="18"/>
  <c r="I161" i="18" s="1"/>
  <c r="J161" i="18" s="1"/>
  <c r="AI114" i="14"/>
  <c r="AJ114" i="14" s="1"/>
  <c r="AK114" i="14" s="1"/>
  <c r="AL114" i="14"/>
  <c r="AM114" i="14" s="1"/>
  <c r="AN114" i="14" s="1"/>
  <c r="AU114" i="14"/>
  <c r="T83" i="19"/>
  <c r="S83" i="19"/>
  <c r="W83" i="19" s="1"/>
  <c r="R84" i="19" s="1"/>
  <c r="AE82" i="19"/>
  <c r="AD83" i="19" s="1"/>
  <c r="AT82" i="19"/>
  <c r="M92" i="17"/>
  <c r="Q92" i="17" s="1"/>
  <c r="L93" i="17" s="1"/>
  <c r="P93" i="17"/>
  <c r="N92" i="17"/>
  <c r="AT90" i="17"/>
  <c r="AE90" i="17"/>
  <c r="AD91" i="17" s="1"/>
  <c r="M92" i="19"/>
  <c r="Q92" i="19" s="1"/>
  <c r="L93" i="19" s="1"/>
  <c r="N92" i="19"/>
  <c r="P93" i="19"/>
  <c r="Y81" i="17"/>
  <c r="AC81" i="17" s="1"/>
  <c r="X82" i="17" s="1"/>
  <c r="Z81" i="17"/>
  <c r="T115" i="15"/>
  <c r="S116" i="15" s="1"/>
  <c r="AB163" i="17"/>
  <c r="O163" i="17"/>
  <c r="V163" i="17"/>
  <c r="U163" i="17"/>
  <c r="U163" i="19"/>
  <c r="I163" i="17"/>
  <c r="AB163" i="19"/>
  <c r="O163" i="19"/>
  <c r="V163" i="19"/>
  <c r="I163" i="19"/>
  <c r="AA163" i="17"/>
  <c r="AA163" i="19"/>
  <c r="S91" i="17"/>
  <c r="W91" i="17" s="1"/>
  <c r="R92" i="17" s="1"/>
  <c r="T91" i="17"/>
  <c r="AZ163" i="19"/>
  <c r="C163" i="19"/>
  <c r="E164" i="19"/>
  <c r="E164" i="16"/>
  <c r="C163" i="16"/>
  <c r="BD163" i="16"/>
  <c r="AZ163" i="16"/>
  <c r="AR162" i="16"/>
  <c r="AL74" i="18"/>
  <c r="AM74" i="18" s="1"/>
  <c r="AN74" i="18" s="1"/>
  <c r="AW74" i="18" s="1"/>
  <c r="AX74" i="18" s="1"/>
  <c r="AY74" i="18" s="1"/>
  <c r="AS161" i="18"/>
  <c r="AU161" i="18"/>
  <c r="AQ161" i="18"/>
  <c r="O161" i="18"/>
  <c r="K161" i="18"/>
  <c r="AZ162" i="17"/>
  <c r="E163" i="17"/>
  <c r="C162" i="17"/>
  <c r="C162" i="18"/>
  <c r="AZ162" i="18"/>
  <c r="E163" i="18"/>
  <c r="F75" i="18"/>
  <c r="G75" i="18" s="1"/>
  <c r="E165" i="15"/>
  <c r="AZ164" i="15"/>
  <c r="C164" i="15"/>
  <c r="P122" i="18"/>
  <c r="M123" i="18" s="1"/>
  <c r="N123" i="18" s="1"/>
  <c r="T121" i="18"/>
  <c r="S122" i="18" s="1"/>
  <c r="AV166" i="3"/>
  <c r="AX166" i="3" s="1"/>
  <c r="G167" i="3"/>
  <c r="V166" i="3"/>
  <c r="X166" i="3" s="1"/>
  <c r="AG165" i="3"/>
  <c r="A166" i="3"/>
  <c r="BI166" i="3" s="1"/>
  <c r="BJ166" i="3" s="1"/>
  <c r="AM165" i="3"/>
  <c r="AQ168" i="3"/>
  <c r="Y165" i="3"/>
  <c r="AC164" i="3"/>
  <c r="AE165" i="3"/>
  <c r="BC164" i="3"/>
  <c r="AH165" i="3"/>
  <c r="BD164" i="3"/>
  <c r="AW168" i="3"/>
  <c r="AI163" i="3"/>
  <c r="BE163" i="3" s="1"/>
  <c r="P168" i="3"/>
  <c r="P169" i="3" s="1"/>
  <c r="H165" i="3"/>
  <c r="AF164" i="3"/>
  <c r="AD164" i="3" s="1"/>
  <c r="T127" i="25" l="1"/>
  <c r="S127" i="25"/>
  <c r="W127" i="25" s="1"/>
  <c r="R128" i="25" s="1"/>
  <c r="AT126" i="25"/>
  <c r="AE126" i="25"/>
  <c r="AD127" i="25" s="1"/>
  <c r="AC94" i="28"/>
  <c r="X95" i="28" s="1"/>
  <c r="AB95" i="28" s="1"/>
  <c r="AT91" i="29"/>
  <c r="J66" i="29"/>
  <c r="I65" i="29"/>
  <c r="AR168" i="3"/>
  <c r="BB166" i="3"/>
  <c r="P91" i="24"/>
  <c r="M92" i="24" s="1"/>
  <c r="K87" i="24"/>
  <c r="R87" i="24" s="1"/>
  <c r="Q88" i="24" s="1"/>
  <c r="J87" i="24"/>
  <c r="Y87" i="25"/>
  <c r="AG87" i="25" s="1"/>
  <c r="AF88" i="25" s="1"/>
  <c r="Z87" i="25"/>
  <c r="AN166" i="20"/>
  <c r="P166" i="20"/>
  <c r="AL166" i="3"/>
  <c r="AQ166" i="20"/>
  <c r="AR166" i="20" s="1"/>
  <c r="O167" i="20"/>
  <c r="AJ164" i="3"/>
  <c r="BF164" i="3" s="1"/>
  <c r="AK164" i="3"/>
  <c r="BG164" i="3" s="1"/>
  <c r="AW64" i="29"/>
  <c r="AX64" i="29" s="1"/>
  <c r="AY64" i="29" s="1"/>
  <c r="G65" i="29"/>
  <c r="AI65" i="29" s="1"/>
  <c r="AJ65" i="29" s="1"/>
  <c r="H65" i="29"/>
  <c r="AP65" i="29" s="1"/>
  <c r="AG90" i="29"/>
  <c r="AF91" i="29" s="1"/>
  <c r="AC90" i="29"/>
  <c r="X91" i="29" s="1"/>
  <c r="T148" i="29"/>
  <c r="S148" i="29"/>
  <c r="W148" i="29" s="1"/>
  <c r="R149" i="29" s="1"/>
  <c r="U149" i="29" s="1"/>
  <c r="AZ162" i="29"/>
  <c r="C162" i="29"/>
  <c r="E163" i="29"/>
  <c r="R116" i="26"/>
  <c r="Q117" i="26" s="1"/>
  <c r="AT117" i="26" s="1"/>
  <c r="P116" i="26"/>
  <c r="M117" i="26" s="1"/>
  <c r="N117" i="26" s="1"/>
  <c r="T117" i="26" s="1"/>
  <c r="S118" i="26" s="1"/>
  <c r="J157" i="26"/>
  <c r="L157" i="26" s="1"/>
  <c r="I158" i="26" s="1"/>
  <c r="AM63" i="26"/>
  <c r="AN63" i="26" s="1"/>
  <c r="G64" i="26"/>
  <c r="AR64" i="26" s="1"/>
  <c r="AJ63" i="26"/>
  <c r="AK63" i="26" s="1"/>
  <c r="K162" i="26"/>
  <c r="O162" i="26"/>
  <c r="AS162" i="26"/>
  <c r="AU162" i="26"/>
  <c r="AQ162" i="26"/>
  <c r="AW59" i="24"/>
  <c r="AX59" i="24" s="1"/>
  <c r="AY59" i="24" s="1"/>
  <c r="C163" i="26"/>
  <c r="AZ163" i="26"/>
  <c r="E164" i="26"/>
  <c r="AW71" i="25"/>
  <c r="AX71" i="25" s="1"/>
  <c r="AY71" i="25" s="1"/>
  <c r="T132" i="28"/>
  <c r="S132" i="28"/>
  <c r="W132" i="28" s="1"/>
  <c r="R133" i="28" s="1"/>
  <c r="V133" i="28" s="1"/>
  <c r="AT131" i="28"/>
  <c r="AE131" i="28"/>
  <c r="AD132" i="28" s="1"/>
  <c r="AO65" i="28"/>
  <c r="AL65" i="28"/>
  <c r="AJ65" i="28"/>
  <c r="AK65" i="28" s="1"/>
  <c r="C163" i="28"/>
  <c r="AZ163" i="28"/>
  <c r="E164" i="28"/>
  <c r="AI73" i="25"/>
  <c r="G78" i="25"/>
  <c r="K78" i="25" s="1"/>
  <c r="J79" i="25"/>
  <c r="H78" i="25"/>
  <c r="AO73" i="25"/>
  <c r="AU73" i="25"/>
  <c r="AS73" i="25"/>
  <c r="AL73" i="25"/>
  <c r="AR162" i="25"/>
  <c r="U162" i="25"/>
  <c r="V162" i="25"/>
  <c r="AA162" i="25"/>
  <c r="AB162" i="25"/>
  <c r="BA163" i="25"/>
  <c r="BB163" i="25"/>
  <c r="BC163" i="25"/>
  <c r="AQ73" i="25"/>
  <c r="N74" i="25"/>
  <c r="AP74" i="25" s="1"/>
  <c r="P75" i="25"/>
  <c r="AM72" i="25"/>
  <c r="AN72" i="25" s="1"/>
  <c r="AJ72" i="25"/>
  <c r="AK72" i="25" s="1"/>
  <c r="BD163" i="25"/>
  <c r="C163" i="25"/>
  <c r="AZ163" i="25"/>
  <c r="E164" i="25"/>
  <c r="C163" i="24"/>
  <c r="AZ163" i="24"/>
  <c r="E164" i="24"/>
  <c r="AQ162" i="24"/>
  <c r="AS162" i="24"/>
  <c r="AU162" i="24"/>
  <c r="H60" i="24"/>
  <c r="F60" i="15"/>
  <c r="AI59" i="15"/>
  <c r="AJ59" i="15" s="1"/>
  <c r="AK59" i="15" s="1"/>
  <c r="AL59" i="15"/>
  <c r="AM59" i="15" s="1"/>
  <c r="AN59" i="15" s="1"/>
  <c r="O164" i="15"/>
  <c r="AQ164" i="15"/>
  <c r="AS164" i="15"/>
  <c r="AU164" i="15"/>
  <c r="K164" i="15"/>
  <c r="P125" i="15"/>
  <c r="M126" i="15" s="1"/>
  <c r="N126" i="15" s="1"/>
  <c r="K65" i="28"/>
  <c r="M74" i="25"/>
  <c r="AL74" i="25" s="1"/>
  <c r="O161" i="25"/>
  <c r="I161" i="25"/>
  <c r="F42" i="17"/>
  <c r="G42" i="17" s="1"/>
  <c r="K42" i="17" s="1"/>
  <c r="F43" i="17" s="1"/>
  <c r="AZ113" i="14"/>
  <c r="BC113" i="14" s="1"/>
  <c r="AO114" i="14"/>
  <c r="AV114" i="14" s="1"/>
  <c r="BG114" i="14" s="1"/>
  <c r="AW37" i="19"/>
  <c r="AX37" i="19" s="1"/>
  <c r="AY37" i="19" s="1"/>
  <c r="AU41" i="17"/>
  <c r="AS41" i="17"/>
  <c r="AM166" i="3"/>
  <c r="G38" i="19"/>
  <c r="AL38" i="19" s="1"/>
  <c r="AM38" i="19" s="1"/>
  <c r="AN38" i="19" s="1"/>
  <c r="H38" i="19"/>
  <c r="J39" i="19"/>
  <c r="AG82" i="19"/>
  <c r="AF83" i="19" s="1"/>
  <c r="Z83" i="19"/>
  <c r="Y83" i="19"/>
  <c r="AC83" i="19" s="1"/>
  <c r="X84" i="19" s="1"/>
  <c r="K115" i="14"/>
  <c r="AO115" i="14"/>
  <c r="AP115" i="14"/>
  <c r="AI115" i="14"/>
  <c r="AJ115" i="14" s="1"/>
  <c r="AK115" i="14" s="1"/>
  <c r="L115" i="15"/>
  <c r="I116" i="15" s="1"/>
  <c r="AT83" i="19"/>
  <c r="AE83" i="19"/>
  <c r="AD84" i="19" s="1"/>
  <c r="S84" i="19"/>
  <c r="W84" i="19" s="1"/>
  <c r="R85" i="19" s="1"/>
  <c r="T84" i="19"/>
  <c r="R115" i="15"/>
  <c r="Q116" i="15" s="1"/>
  <c r="AT116" i="15" s="1"/>
  <c r="T92" i="17"/>
  <c r="S92" i="17"/>
  <c r="W92" i="17" s="1"/>
  <c r="R93" i="17" s="1"/>
  <c r="N93" i="19"/>
  <c r="P94" i="19"/>
  <c r="M93" i="19"/>
  <c r="Q93" i="19" s="1"/>
  <c r="L94" i="19" s="1"/>
  <c r="M93" i="17"/>
  <c r="Q93" i="17" s="1"/>
  <c r="L94" i="17" s="1"/>
  <c r="P94" i="17"/>
  <c r="N93" i="17"/>
  <c r="V164" i="17"/>
  <c r="U164" i="17"/>
  <c r="AA164" i="17"/>
  <c r="V164" i="19"/>
  <c r="O164" i="17"/>
  <c r="U164" i="19"/>
  <c r="AB164" i="17"/>
  <c r="O164" i="19"/>
  <c r="I164" i="17"/>
  <c r="I164" i="19"/>
  <c r="AA164" i="19"/>
  <c r="AB164" i="19"/>
  <c r="L161" i="18"/>
  <c r="I162" i="18" s="1"/>
  <c r="J162" i="18" s="1"/>
  <c r="AG81" i="17"/>
  <c r="AF82" i="17" s="1"/>
  <c r="Y82" i="17"/>
  <c r="AC82" i="17" s="1"/>
  <c r="X83" i="17" s="1"/>
  <c r="Z82" i="17"/>
  <c r="AT91" i="17"/>
  <c r="AE91" i="17"/>
  <c r="AD92" i="17" s="1"/>
  <c r="AR163" i="19"/>
  <c r="E165" i="19"/>
  <c r="AZ164" i="19"/>
  <c r="C164" i="19"/>
  <c r="AR163" i="16"/>
  <c r="BD164" i="16"/>
  <c r="E165" i="16"/>
  <c r="AZ164" i="16"/>
  <c r="C164" i="16"/>
  <c r="E164" i="18"/>
  <c r="AZ163" i="18"/>
  <c r="C163" i="18"/>
  <c r="E164" i="17"/>
  <c r="AZ163" i="17"/>
  <c r="C163" i="17"/>
  <c r="K162" i="18"/>
  <c r="AS162" i="18"/>
  <c r="AQ162" i="18"/>
  <c r="O162" i="18"/>
  <c r="AU162" i="18"/>
  <c r="AR75" i="18"/>
  <c r="H75" i="18"/>
  <c r="AI75" i="18" s="1"/>
  <c r="AJ75" i="18" s="1"/>
  <c r="AK75" i="18" s="1"/>
  <c r="E166" i="15"/>
  <c r="AZ165" i="15"/>
  <c r="C165" i="15"/>
  <c r="P123" i="18"/>
  <c r="M124" i="18" s="1"/>
  <c r="N124" i="18" s="1"/>
  <c r="T122" i="18"/>
  <c r="R122" i="18"/>
  <c r="Q123" i="18" s="1"/>
  <c r="AT123" i="18" s="1"/>
  <c r="P170" i="3"/>
  <c r="AW169" i="3"/>
  <c r="BC165" i="3"/>
  <c r="AE166" i="3"/>
  <c r="AQ169" i="3"/>
  <c r="A167" i="3"/>
  <c r="BI167" i="3" s="1"/>
  <c r="BJ167" i="3" s="1"/>
  <c r="AG166" i="3"/>
  <c r="AN169" i="3"/>
  <c r="AN170" i="3" s="1"/>
  <c r="BD165" i="3"/>
  <c r="AH166" i="3"/>
  <c r="AI164" i="3"/>
  <c r="BE164" i="3" s="1"/>
  <c r="H166" i="3"/>
  <c r="AF165" i="3"/>
  <c r="Y166" i="3"/>
  <c r="AC165" i="3"/>
  <c r="G168" i="3"/>
  <c r="AV167" i="3"/>
  <c r="AX167" i="3" s="1"/>
  <c r="V167" i="3"/>
  <c r="X167" i="3" s="1"/>
  <c r="S128" i="25" l="1"/>
  <c r="W128" i="25" s="1"/>
  <c r="R129" i="25" s="1"/>
  <c r="T128" i="25"/>
  <c r="AT127" i="25"/>
  <c r="AE127" i="25"/>
  <c r="AD128" i="25" s="1"/>
  <c r="Z95" i="28"/>
  <c r="Y95" i="28"/>
  <c r="AG95" i="28" s="1"/>
  <c r="AF96" i="28" s="1"/>
  <c r="AR65" i="29"/>
  <c r="Q65" i="29"/>
  <c r="L66" i="29" s="1"/>
  <c r="Z91" i="29"/>
  <c r="AA91" i="29"/>
  <c r="AE91" i="29" s="1"/>
  <c r="AD92" i="29" s="1"/>
  <c r="AR169" i="3"/>
  <c r="BB167" i="3"/>
  <c r="L87" i="24"/>
  <c r="I88" i="24" s="1"/>
  <c r="AC87" i="25"/>
  <c r="X88" i="25" s="1"/>
  <c r="O92" i="24"/>
  <c r="N92" i="24"/>
  <c r="T87" i="24"/>
  <c r="S88" i="24" s="1"/>
  <c r="AN167" i="20"/>
  <c r="P167" i="20"/>
  <c r="O168" i="20"/>
  <c r="AQ167" i="20"/>
  <c r="AR167" i="20" s="1"/>
  <c r="AK165" i="3"/>
  <c r="BG165" i="3" s="1"/>
  <c r="AK65" i="29"/>
  <c r="K65" i="29"/>
  <c r="AL65" i="29"/>
  <c r="AO65" i="29"/>
  <c r="Y91" i="29"/>
  <c r="T149" i="29"/>
  <c r="S149" i="29"/>
  <c r="W149" i="29" s="1"/>
  <c r="R150" i="29" s="1"/>
  <c r="U150" i="29" s="1"/>
  <c r="AZ163" i="29"/>
  <c r="C163" i="29"/>
  <c r="E164" i="29"/>
  <c r="P117" i="26"/>
  <c r="M118" i="26" s="1"/>
  <c r="N118" i="26" s="1"/>
  <c r="R117" i="26"/>
  <c r="Q118" i="26" s="1"/>
  <c r="AT118" i="26" s="1"/>
  <c r="AW63" i="26"/>
  <c r="AX63" i="26" s="1"/>
  <c r="AY63" i="26" s="1"/>
  <c r="K163" i="26"/>
  <c r="O163" i="26"/>
  <c r="AQ163" i="26"/>
  <c r="AS163" i="26"/>
  <c r="AU163" i="26"/>
  <c r="H64" i="26"/>
  <c r="J158" i="26"/>
  <c r="L158" i="26" s="1"/>
  <c r="I159" i="26" s="1"/>
  <c r="C164" i="26"/>
  <c r="AZ164" i="26"/>
  <c r="E165" i="26"/>
  <c r="T133" i="28"/>
  <c r="S133" i="28"/>
  <c r="W133" i="28" s="1"/>
  <c r="R134" i="28" s="1"/>
  <c r="V134" i="28" s="1"/>
  <c r="AT132" i="28"/>
  <c r="AE132" i="28"/>
  <c r="AD133" i="28" s="1"/>
  <c r="AS65" i="28"/>
  <c r="AU65" i="28"/>
  <c r="AQ65" i="28"/>
  <c r="F66" i="28"/>
  <c r="I66" i="28" s="1"/>
  <c r="Q66" i="28" s="1"/>
  <c r="L67" i="28" s="1"/>
  <c r="AM65" i="28"/>
  <c r="AN65" i="28" s="1"/>
  <c r="AZ164" i="28"/>
  <c r="C164" i="28"/>
  <c r="E165" i="28"/>
  <c r="AW59" i="15"/>
  <c r="AX59" i="15" s="1"/>
  <c r="AY59" i="15" s="1"/>
  <c r="F79" i="25"/>
  <c r="BA164" i="25"/>
  <c r="BB164" i="25"/>
  <c r="BC164" i="25"/>
  <c r="AO74" i="25"/>
  <c r="AW72" i="25"/>
  <c r="AX72" i="25" s="1"/>
  <c r="AY72" i="25" s="1"/>
  <c r="AR163" i="25"/>
  <c r="U163" i="25"/>
  <c r="V163" i="25"/>
  <c r="AA163" i="25"/>
  <c r="AB163" i="25"/>
  <c r="C164" i="25"/>
  <c r="AZ164" i="25"/>
  <c r="BD164" i="25"/>
  <c r="E165" i="25"/>
  <c r="AM74" i="25"/>
  <c r="AN74" i="25" s="1"/>
  <c r="AJ73" i="25"/>
  <c r="AK73" i="25" s="1"/>
  <c r="AM73" i="25"/>
  <c r="AN73" i="25" s="1"/>
  <c r="AQ163" i="24"/>
  <c r="AS163" i="24"/>
  <c r="AU163" i="24"/>
  <c r="AT88" i="24"/>
  <c r="F61" i="24"/>
  <c r="AI60" i="24"/>
  <c r="AJ60" i="24" s="1"/>
  <c r="AL60" i="24"/>
  <c r="AM60" i="24" s="1"/>
  <c r="C164" i="24"/>
  <c r="AZ164" i="24"/>
  <c r="E165" i="24"/>
  <c r="G60" i="15"/>
  <c r="AR60" i="15" s="1"/>
  <c r="AS165" i="15"/>
  <c r="AU165" i="15"/>
  <c r="AQ165" i="15"/>
  <c r="T116" i="15"/>
  <c r="S117" i="15" s="1"/>
  <c r="J116" i="15"/>
  <c r="L116" i="15" s="1"/>
  <c r="I117" i="15" s="1"/>
  <c r="J117" i="15" s="1"/>
  <c r="P126" i="15"/>
  <c r="M127" i="15" s="1"/>
  <c r="N127" i="15" s="1"/>
  <c r="Q74" i="25"/>
  <c r="O162" i="25"/>
  <c r="I162" i="25"/>
  <c r="H42" i="17"/>
  <c r="AO42" i="17" s="1"/>
  <c r="J43" i="17"/>
  <c r="AZ114" i="14"/>
  <c r="BC114" i="14" s="1"/>
  <c r="AW41" i="17"/>
  <c r="AX41" i="17" s="1"/>
  <c r="AY41" i="17" s="1"/>
  <c r="AM167" i="3"/>
  <c r="AD165" i="3"/>
  <c r="AI165" i="3" s="1"/>
  <c r="BE165" i="3" s="1"/>
  <c r="AI38" i="19"/>
  <c r="AJ38" i="19" s="1"/>
  <c r="AK38" i="19" s="1"/>
  <c r="K38" i="19"/>
  <c r="AO38" i="19"/>
  <c r="AP38" i="19"/>
  <c r="AG83" i="19"/>
  <c r="AF84" i="19" s="1"/>
  <c r="Z84" i="19"/>
  <c r="Y84" i="19"/>
  <c r="AC84" i="19" s="1"/>
  <c r="X85" i="19" s="1"/>
  <c r="AQ42" i="17"/>
  <c r="AI42" i="17"/>
  <c r="AJ42" i="17" s="1"/>
  <c r="AK42" i="17" s="1"/>
  <c r="AR164" i="19"/>
  <c r="AS42" i="17"/>
  <c r="AU42" i="17"/>
  <c r="H43" i="17"/>
  <c r="J44" i="17"/>
  <c r="G43" i="17"/>
  <c r="K43" i="17" s="1"/>
  <c r="F44" i="17" s="1"/>
  <c r="AL42" i="17"/>
  <c r="AM42" i="17" s="1"/>
  <c r="AN42" i="17" s="1"/>
  <c r="F116" i="14"/>
  <c r="AU115" i="14"/>
  <c r="AS115" i="14"/>
  <c r="AQ115" i="14"/>
  <c r="AE84" i="19"/>
  <c r="AD85" i="19" s="1"/>
  <c r="AT84" i="19"/>
  <c r="R116" i="15"/>
  <c r="Q117" i="15" s="1"/>
  <c r="AT117" i="15" s="1"/>
  <c r="S85" i="19"/>
  <c r="W85" i="19" s="1"/>
  <c r="R86" i="19" s="1"/>
  <c r="T85" i="19"/>
  <c r="M94" i="17"/>
  <c r="Q94" i="17" s="1"/>
  <c r="L95" i="17" s="1"/>
  <c r="N94" i="17"/>
  <c r="P95" i="17"/>
  <c r="T93" i="17"/>
  <c r="S93" i="17"/>
  <c r="W93" i="17" s="1"/>
  <c r="R94" i="17" s="1"/>
  <c r="Z83" i="17"/>
  <c r="Y83" i="17"/>
  <c r="AC83" i="17" s="1"/>
  <c r="X84" i="17" s="1"/>
  <c r="AG82" i="17"/>
  <c r="AF83" i="17" s="1"/>
  <c r="P95" i="19"/>
  <c r="N94" i="19"/>
  <c r="M94" i="19"/>
  <c r="Q94" i="19" s="1"/>
  <c r="L95" i="19" s="1"/>
  <c r="AB165" i="17"/>
  <c r="O165" i="17"/>
  <c r="U165" i="17"/>
  <c r="AA165" i="17"/>
  <c r="AA165" i="19"/>
  <c r="I165" i="19"/>
  <c r="V165" i="17"/>
  <c r="V165" i="19"/>
  <c r="O165" i="19"/>
  <c r="I165" i="17"/>
  <c r="AB165" i="19"/>
  <c r="U165" i="19"/>
  <c r="AT92" i="17"/>
  <c r="AE92" i="17"/>
  <c r="AD93" i="17" s="1"/>
  <c r="F76" i="18"/>
  <c r="G76" i="18" s="1"/>
  <c r="AR76" i="18" s="1"/>
  <c r="C165" i="19"/>
  <c r="E166" i="19"/>
  <c r="AZ165" i="19"/>
  <c r="AL75" i="18"/>
  <c r="AM75" i="18" s="1"/>
  <c r="AN75" i="18" s="1"/>
  <c r="AW75" i="18" s="1"/>
  <c r="AX75" i="18" s="1"/>
  <c r="AY75" i="18" s="1"/>
  <c r="E166" i="16"/>
  <c r="BD165" i="16"/>
  <c r="AZ165" i="16"/>
  <c r="C165" i="16"/>
  <c r="L162" i="18"/>
  <c r="I163" i="18" s="1"/>
  <c r="J163" i="18" s="1"/>
  <c r="AR164" i="16"/>
  <c r="AQ163" i="18"/>
  <c r="K163" i="18"/>
  <c r="O163" i="18"/>
  <c r="AU163" i="18"/>
  <c r="AS163" i="18"/>
  <c r="AZ164" i="18"/>
  <c r="E165" i="18"/>
  <c r="C164" i="18"/>
  <c r="C164" i="17"/>
  <c r="E165" i="17"/>
  <c r="AZ164" i="17"/>
  <c r="C166" i="15"/>
  <c r="E167" i="15"/>
  <c r="AZ166" i="15"/>
  <c r="S123" i="18"/>
  <c r="T123" i="18" s="1"/>
  <c r="S124" i="18" s="1"/>
  <c r="T124" i="18" s="1"/>
  <c r="S125" i="18" s="1"/>
  <c r="P124" i="18"/>
  <c r="M125" i="18" s="1"/>
  <c r="N125" i="18" s="1"/>
  <c r="R123" i="18"/>
  <c r="Q124" i="18" s="1"/>
  <c r="AT124" i="18" s="1"/>
  <c r="G169" i="3"/>
  <c r="V168" i="3"/>
  <c r="X168" i="3" s="1"/>
  <c r="AV168" i="3"/>
  <c r="AX168" i="3" s="1"/>
  <c r="H167" i="3"/>
  <c r="AF166" i="3"/>
  <c r="AK166" i="3" s="1"/>
  <c r="A168" i="3"/>
  <c r="BI168" i="3" s="1"/>
  <c r="BJ168" i="3" s="1"/>
  <c r="AE167" i="3"/>
  <c r="BC166" i="3"/>
  <c r="AW170" i="3"/>
  <c r="Y167" i="3"/>
  <c r="AC166" i="3"/>
  <c r="AH167" i="3"/>
  <c r="BD166" i="3"/>
  <c r="AG167" i="3"/>
  <c r="AQ170" i="3"/>
  <c r="AL167" i="3"/>
  <c r="S129" i="25" l="1"/>
  <c r="W129" i="25" s="1"/>
  <c r="R130" i="25" s="1"/>
  <c r="T129" i="25"/>
  <c r="AT128" i="25"/>
  <c r="AE128" i="25"/>
  <c r="AD129" i="25" s="1"/>
  <c r="AC95" i="28"/>
  <c r="X96" i="28" s="1"/>
  <c r="AB96" i="28" s="1"/>
  <c r="O66" i="29"/>
  <c r="P67" i="29"/>
  <c r="N66" i="29"/>
  <c r="M66" i="29"/>
  <c r="AU65" i="29"/>
  <c r="AG91" i="29"/>
  <c r="AF92" i="29" s="1"/>
  <c r="AT92" i="29"/>
  <c r="O67" i="28"/>
  <c r="N67" i="28"/>
  <c r="P68" i="28"/>
  <c r="M67" i="28"/>
  <c r="AR170" i="3"/>
  <c r="BB168" i="3"/>
  <c r="P92" i="24"/>
  <c r="M93" i="24" s="1"/>
  <c r="O93" i="24" s="1"/>
  <c r="Y88" i="25"/>
  <c r="Z88" i="25"/>
  <c r="K88" i="24"/>
  <c r="T88" i="24" s="1"/>
  <c r="S89" i="24" s="1"/>
  <c r="J88" i="24"/>
  <c r="AN168" i="20"/>
  <c r="AL168" i="3"/>
  <c r="AM168" i="3"/>
  <c r="AQ168" i="20"/>
  <c r="AR168" i="20" s="1"/>
  <c r="O169" i="20"/>
  <c r="P168" i="20"/>
  <c r="BG166" i="3"/>
  <c r="AJ165" i="3"/>
  <c r="BF165" i="3" s="1"/>
  <c r="K165" i="15"/>
  <c r="O165" i="15"/>
  <c r="F66" i="29"/>
  <c r="AQ65" i="29"/>
  <c r="AS65" i="29"/>
  <c r="AM65" i="29"/>
  <c r="AN65" i="29" s="1"/>
  <c r="AC91" i="29"/>
  <c r="X92" i="29" s="1"/>
  <c r="T150" i="29"/>
  <c r="S150" i="29"/>
  <c r="W150" i="29" s="1"/>
  <c r="R151" i="29" s="1"/>
  <c r="U151" i="29" s="1"/>
  <c r="C164" i="29"/>
  <c r="AZ164" i="29"/>
  <c r="E165" i="29"/>
  <c r="P118" i="26"/>
  <c r="M119" i="26" s="1"/>
  <c r="N119" i="26" s="1"/>
  <c r="P119" i="26" s="1"/>
  <c r="M120" i="26" s="1"/>
  <c r="R118" i="26"/>
  <c r="Q119" i="26" s="1"/>
  <c r="AT119" i="26" s="1"/>
  <c r="T118" i="26"/>
  <c r="S119" i="26" s="1"/>
  <c r="O164" i="26"/>
  <c r="AQ164" i="26"/>
  <c r="AS164" i="26"/>
  <c r="AU164" i="26"/>
  <c r="K164" i="26"/>
  <c r="F65" i="26"/>
  <c r="AI64" i="26"/>
  <c r="AL64" i="26"/>
  <c r="J159" i="26"/>
  <c r="L159" i="26" s="1"/>
  <c r="I160" i="26" s="1"/>
  <c r="AZ165" i="26"/>
  <c r="C165" i="26"/>
  <c r="E166" i="26"/>
  <c r="T134" i="28"/>
  <c r="S134" i="28"/>
  <c r="W134" i="28" s="1"/>
  <c r="R135" i="28" s="1"/>
  <c r="V135" i="28" s="1"/>
  <c r="H66" i="28"/>
  <c r="AP66" i="28" s="1"/>
  <c r="J67" i="28"/>
  <c r="G66" i="28"/>
  <c r="AL66" i="28" s="1"/>
  <c r="AT133" i="28"/>
  <c r="AE133" i="28"/>
  <c r="AD134" i="28" s="1"/>
  <c r="C165" i="28"/>
  <c r="AZ165" i="28"/>
  <c r="E166" i="28"/>
  <c r="AW73" i="25"/>
  <c r="AX73" i="25" s="1"/>
  <c r="AY73" i="25" s="1"/>
  <c r="G79" i="25"/>
  <c r="K79" i="25" s="1"/>
  <c r="H79" i="25"/>
  <c r="J80" i="25"/>
  <c r="AU74" i="25"/>
  <c r="AI74" i="25"/>
  <c r="AQ74" i="25"/>
  <c r="AS74" i="25"/>
  <c r="AR164" i="25"/>
  <c r="U164" i="25"/>
  <c r="V164" i="25"/>
  <c r="AA164" i="25"/>
  <c r="AB164" i="25"/>
  <c r="BA165" i="25"/>
  <c r="BB165" i="25"/>
  <c r="BC165" i="25"/>
  <c r="L75" i="25"/>
  <c r="AZ165" i="25"/>
  <c r="BD165" i="25"/>
  <c r="C165" i="25"/>
  <c r="E166" i="25"/>
  <c r="AQ164" i="24"/>
  <c r="AS164" i="24"/>
  <c r="AU164" i="24"/>
  <c r="AZ165" i="24"/>
  <c r="C165" i="24"/>
  <c r="E166" i="24"/>
  <c r="AK60" i="24"/>
  <c r="AN60" i="24"/>
  <c r="G61" i="24"/>
  <c r="AR61" i="24" s="1"/>
  <c r="H60" i="15"/>
  <c r="AQ166" i="15"/>
  <c r="AS166" i="15"/>
  <c r="AU166" i="15"/>
  <c r="P127" i="15"/>
  <c r="M128" i="15" s="1"/>
  <c r="N128" i="15" s="1"/>
  <c r="AW65" i="28"/>
  <c r="AX65" i="28" s="1"/>
  <c r="AY65" i="28" s="1"/>
  <c r="O163" i="25"/>
  <c r="I163" i="25"/>
  <c r="AP42" i="17"/>
  <c r="AW42" i="17" s="1"/>
  <c r="AX42" i="17" s="1"/>
  <c r="AY42" i="17" s="1"/>
  <c r="AV115" i="14"/>
  <c r="AZ115" i="14" s="1"/>
  <c r="BC115" i="14" s="1"/>
  <c r="R117" i="15"/>
  <c r="Q118" i="15" s="1"/>
  <c r="AT118" i="15" s="1"/>
  <c r="F39" i="19"/>
  <c r="AQ38" i="19"/>
  <c r="AS38" i="19"/>
  <c r="AU38" i="19"/>
  <c r="Y85" i="19"/>
  <c r="AC85" i="19" s="1"/>
  <c r="X86" i="19" s="1"/>
  <c r="Z85" i="19"/>
  <c r="AS43" i="17"/>
  <c r="AG84" i="19"/>
  <c r="AF85" i="19" s="1"/>
  <c r="AL43" i="17"/>
  <c r="AM43" i="17" s="1"/>
  <c r="AN43" i="17" s="1"/>
  <c r="AQ43" i="17"/>
  <c r="AI43" i="17"/>
  <c r="AJ43" i="17" s="1"/>
  <c r="AK43" i="17" s="1"/>
  <c r="AU43" i="17"/>
  <c r="AP43" i="17"/>
  <c r="AO43" i="17"/>
  <c r="J45" i="17"/>
  <c r="H44" i="17"/>
  <c r="G44" i="17"/>
  <c r="AI44" i="17" s="1"/>
  <c r="AJ44" i="17" s="1"/>
  <c r="AK44" i="17" s="1"/>
  <c r="H76" i="18"/>
  <c r="F77" i="18" s="1"/>
  <c r="G77" i="18" s="1"/>
  <c r="AR77" i="18" s="1"/>
  <c r="H116" i="14"/>
  <c r="G116" i="14"/>
  <c r="AL116" i="14" s="1"/>
  <c r="AM116" i="14" s="1"/>
  <c r="AN116" i="14" s="1"/>
  <c r="J117" i="14"/>
  <c r="S86" i="19"/>
  <c r="W86" i="19" s="1"/>
  <c r="R87" i="19" s="1"/>
  <c r="T86" i="19"/>
  <c r="AT85" i="19"/>
  <c r="AE85" i="19"/>
  <c r="AD86" i="19" s="1"/>
  <c r="T117" i="15"/>
  <c r="S118" i="15" s="1"/>
  <c r="AD166" i="3"/>
  <c r="AJ166" i="3" s="1"/>
  <c r="AR165" i="19"/>
  <c r="Z84" i="17"/>
  <c r="Y84" i="17"/>
  <c r="AC84" i="17" s="1"/>
  <c r="X85" i="17" s="1"/>
  <c r="S94" i="17"/>
  <c r="W94" i="17" s="1"/>
  <c r="R95" i="17" s="1"/>
  <c r="T94" i="17"/>
  <c r="M95" i="17"/>
  <c r="Q95" i="17" s="1"/>
  <c r="L96" i="17" s="1"/>
  <c r="N95" i="17"/>
  <c r="P96" i="17"/>
  <c r="U166" i="17"/>
  <c r="AA166" i="17"/>
  <c r="O166" i="17"/>
  <c r="AB166" i="19"/>
  <c r="O166" i="19"/>
  <c r="AB166" i="17"/>
  <c r="AA166" i="19"/>
  <c r="I166" i="19"/>
  <c r="U166" i="19"/>
  <c r="V166" i="17"/>
  <c r="V166" i="19"/>
  <c r="I166" i="17"/>
  <c r="AT93" i="17"/>
  <c r="AE93" i="17"/>
  <c r="AD94" i="17" s="1"/>
  <c r="M95" i="19"/>
  <c r="Q95" i="19" s="1"/>
  <c r="L96" i="19" s="1"/>
  <c r="N95" i="19"/>
  <c r="P96" i="19"/>
  <c r="AG83" i="17"/>
  <c r="AF84" i="17" s="1"/>
  <c r="C166" i="19"/>
  <c r="AZ166" i="19"/>
  <c r="E167" i="19"/>
  <c r="L163" i="18"/>
  <c r="I164" i="18" s="1"/>
  <c r="J164" i="18" s="1"/>
  <c r="AR165" i="16"/>
  <c r="AZ166" i="16"/>
  <c r="C166" i="16"/>
  <c r="BD166" i="16"/>
  <c r="E167" i="16"/>
  <c r="C165" i="17"/>
  <c r="E166" i="17"/>
  <c r="AZ165" i="17"/>
  <c r="E166" i="18"/>
  <c r="C165" i="18"/>
  <c r="AZ165" i="18"/>
  <c r="O164" i="18"/>
  <c r="AU164" i="18"/>
  <c r="AS164" i="18"/>
  <c r="AQ164" i="18"/>
  <c r="K164" i="18"/>
  <c r="E168" i="15"/>
  <c r="C167" i="15"/>
  <c r="AZ167" i="15"/>
  <c r="P125" i="18"/>
  <c r="M126" i="18" s="1"/>
  <c r="N126" i="18" s="1"/>
  <c r="R124" i="18"/>
  <c r="Q125" i="18" s="1"/>
  <c r="AT125" i="18" s="1"/>
  <c r="L117" i="15"/>
  <c r="I118" i="15" s="1"/>
  <c r="J118" i="15" s="1"/>
  <c r="AQ171" i="3"/>
  <c r="BD167" i="3"/>
  <c r="AH168" i="3"/>
  <c r="BC167" i="3"/>
  <c r="AE168" i="3"/>
  <c r="H168" i="3"/>
  <c r="AF167" i="3"/>
  <c r="AK167" i="3" s="1"/>
  <c r="P171" i="3"/>
  <c r="P172" i="3" s="1"/>
  <c r="AW171" i="3"/>
  <c r="A169" i="3"/>
  <c r="BI169" i="3" s="1"/>
  <c r="BJ169" i="3" s="1"/>
  <c r="AG168" i="3"/>
  <c r="Y168" i="3"/>
  <c r="AC167" i="3"/>
  <c r="AN171" i="3"/>
  <c r="AN172" i="3" s="1"/>
  <c r="AV169" i="3"/>
  <c r="AX169" i="3" s="1"/>
  <c r="G170" i="3"/>
  <c r="V169" i="3"/>
  <c r="X169" i="3" s="1"/>
  <c r="AT129" i="25" l="1"/>
  <c r="AE129" i="25"/>
  <c r="AD130" i="25" s="1"/>
  <c r="S130" i="25"/>
  <c r="W130" i="25" s="1"/>
  <c r="R131" i="25" s="1"/>
  <c r="T130" i="25"/>
  <c r="Z96" i="28"/>
  <c r="Y96" i="28"/>
  <c r="AG96" i="28" s="1"/>
  <c r="AF97" i="28" s="1"/>
  <c r="J67" i="29"/>
  <c r="I66" i="29"/>
  <c r="AR66" i="29" s="1"/>
  <c r="Z92" i="29"/>
  <c r="AA92" i="29"/>
  <c r="AE92" i="29" s="1"/>
  <c r="AD93" i="29" s="1"/>
  <c r="AR171" i="3"/>
  <c r="BB169" i="3"/>
  <c r="N93" i="24"/>
  <c r="P93" i="24" s="1"/>
  <c r="M94" i="24" s="1"/>
  <c r="R88" i="24"/>
  <c r="Q89" i="24" s="1"/>
  <c r="AT89" i="24" s="1"/>
  <c r="L88" i="24"/>
  <c r="I89" i="24" s="1"/>
  <c r="AC88" i="25"/>
  <c r="X89" i="25" s="1"/>
  <c r="AG88" i="25"/>
  <c r="AF89" i="25" s="1"/>
  <c r="P169" i="20"/>
  <c r="O170" i="20"/>
  <c r="AQ169" i="20"/>
  <c r="AR169" i="20" s="1"/>
  <c r="AN169" i="20"/>
  <c r="K166" i="15"/>
  <c r="BG167" i="3"/>
  <c r="O166" i="15"/>
  <c r="AW65" i="29"/>
  <c r="AX65" i="29" s="1"/>
  <c r="AY65" i="29" s="1"/>
  <c r="G66" i="29"/>
  <c r="AL66" i="29" s="1"/>
  <c r="AM66" i="29" s="1"/>
  <c r="AN66" i="29" s="1"/>
  <c r="H66" i="29"/>
  <c r="AP66" i="29" s="1"/>
  <c r="Y92" i="29"/>
  <c r="T151" i="29"/>
  <c r="S151" i="29"/>
  <c r="W151" i="29" s="1"/>
  <c r="R152" i="29" s="1"/>
  <c r="U152" i="29" s="1"/>
  <c r="AZ165" i="29"/>
  <c r="C165" i="29"/>
  <c r="E166" i="29"/>
  <c r="N120" i="26"/>
  <c r="P120" i="26" s="1"/>
  <c r="M121" i="26" s="1"/>
  <c r="J160" i="26"/>
  <c r="L160" i="26" s="1"/>
  <c r="I161" i="26" s="1"/>
  <c r="G65" i="26"/>
  <c r="AR65" i="26" s="1"/>
  <c r="AJ64" i="26"/>
  <c r="AK64" i="26" s="1"/>
  <c r="R119" i="26"/>
  <c r="Q120" i="26" s="1"/>
  <c r="T119" i="26"/>
  <c r="S120" i="26" s="1"/>
  <c r="AS165" i="26"/>
  <c r="AU165" i="26"/>
  <c r="AQ165" i="26"/>
  <c r="K165" i="26"/>
  <c r="O165" i="26"/>
  <c r="AM64" i="26"/>
  <c r="AN64" i="26" s="1"/>
  <c r="C166" i="26"/>
  <c r="AZ166" i="26"/>
  <c r="E167" i="26"/>
  <c r="T135" i="28"/>
  <c r="S135" i="28"/>
  <c r="W135" i="28" s="1"/>
  <c r="R136" i="28" s="1"/>
  <c r="V136" i="28" s="1"/>
  <c r="AO66" i="28"/>
  <c r="AI66" i="28"/>
  <c r="AJ66" i="28" s="1"/>
  <c r="AT134" i="28"/>
  <c r="AE134" i="28"/>
  <c r="AD135" i="28" s="1"/>
  <c r="AZ166" i="28"/>
  <c r="C166" i="28"/>
  <c r="E167" i="28"/>
  <c r="F80" i="25"/>
  <c r="AR165" i="25"/>
  <c r="U165" i="25"/>
  <c r="V165" i="25"/>
  <c r="AA165" i="25"/>
  <c r="AB165" i="25"/>
  <c r="BA166" i="25"/>
  <c r="BB166" i="25"/>
  <c r="BC166" i="25"/>
  <c r="N75" i="25"/>
  <c r="AP75" i="25" s="1"/>
  <c r="P76" i="25"/>
  <c r="C166" i="25"/>
  <c r="AZ166" i="25"/>
  <c r="BD166" i="25"/>
  <c r="E167" i="25"/>
  <c r="AJ74" i="25"/>
  <c r="AK74" i="25" s="1"/>
  <c r="AW74" i="25" s="1"/>
  <c r="AX74" i="25" s="1"/>
  <c r="AY74" i="25" s="1"/>
  <c r="AW60" i="24"/>
  <c r="AX60" i="24" s="1"/>
  <c r="AY60" i="24" s="1"/>
  <c r="AQ165" i="24"/>
  <c r="AS165" i="24"/>
  <c r="AU165" i="24"/>
  <c r="C166" i="24"/>
  <c r="AZ166" i="24"/>
  <c r="E167" i="24"/>
  <c r="H61" i="24"/>
  <c r="F61" i="15"/>
  <c r="AI60" i="15"/>
  <c r="AJ60" i="15" s="1"/>
  <c r="AK60" i="15" s="1"/>
  <c r="AL60" i="15"/>
  <c r="AM60" i="15" s="1"/>
  <c r="AN60" i="15" s="1"/>
  <c r="AQ167" i="15"/>
  <c r="AS167" i="15"/>
  <c r="AU167" i="15"/>
  <c r="P128" i="15"/>
  <c r="M129" i="15" s="1"/>
  <c r="N129" i="15" s="1"/>
  <c r="K66" i="28"/>
  <c r="M75" i="25"/>
  <c r="Q75" i="25" s="1"/>
  <c r="L76" i="25" s="1"/>
  <c r="O164" i="25"/>
  <c r="I164" i="25"/>
  <c r="BF166" i="3"/>
  <c r="BG115" i="14"/>
  <c r="AW38" i="19"/>
  <c r="AX38" i="19" s="1"/>
  <c r="AY38" i="19" s="1"/>
  <c r="AM169" i="3"/>
  <c r="AL169" i="3"/>
  <c r="AI166" i="3"/>
  <c r="BE166" i="3" s="1"/>
  <c r="AG85" i="19"/>
  <c r="AF86" i="19" s="1"/>
  <c r="AL44" i="17"/>
  <c r="AM44" i="17" s="1"/>
  <c r="AN44" i="17" s="1"/>
  <c r="K44" i="17"/>
  <c r="F45" i="17" s="1"/>
  <c r="G45" i="17" s="1"/>
  <c r="K45" i="17" s="1"/>
  <c r="F46" i="17" s="1"/>
  <c r="H39" i="19"/>
  <c r="G39" i="19"/>
  <c r="K39" i="19" s="1"/>
  <c r="J40" i="19"/>
  <c r="Y86" i="19"/>
  <c r="Z86" i="19"/>
  <c r="AL76" i="18"/>
  <c r="AM76" i="18" s="1"/>
  <c r="AN76" i="18" s="1"/>
  <c r="AR166" i="19"/>
  <c r="AP44" i="17"/>
  <c r="AO44" i="17"/>
  <c r="AW43" i="17"/>
  <c r="AX43" i="17" s="1"/>
  <c r="AY43" i="17" s="1"/>
  <c r="AI76" i="18"/>
  <c r="AJ76" i="18" s="1"/>
  <c r="AK76" i="18" s="1"/>
  <c r="AI116" i="14"/>
  <c r="AJ116" i="14" s="1"/>
  <c r="AK116" i="14" s="1"/>
  <c r="K116" i="14"/>
  <c r="AO116" i="14"/>
  <c r="AP116" i="14"/>
  <c r="S87" i="19"/>
  <c r="W87" i="19" s="1"/>
  <c r="R88" i="19" s="1"/>
  <c r="T87" i="19"/>
  <c r="AT86" i="19"/>
  <c r="AE86" i="19"/>
  <c r="AD87" i="19" s="1"/>
  <c r="M96" i="17"/>
  <c r="Q96" i="17" s="1"/>
  <c r="L97" i="17" s="1"/>
  <c r="P97" i="17"/>
  <c r="N96" i="17"/>
  <c r="N96" i="19"/>
  <c r="P97" i="19"/>
  <c r="M96" i="19"/>
  <c r="Q96" i="19" s="1"/>
  <c r="L97" i="19" s="1"/>
  <c r="S95" i="17"/>
  <c r="W95" i="17" s="1"/>
  <c r="R96" i="17" s="1"/>
  <c r="T95" i="17"/>
  <c r="Y85" i="17"/>
  <c r="AC85" i="17" s="1"/>
  <c r="X86" i="17" s="1"/>
  <c r="Z85" i="17"/>
  <c r="AD167" i="3"/>
  <c r="AI167" i="3" s="1"/>
  <c r="BE167" i="3" s="1"/>
  <c r="AA167" i="17"/>
  <c r="I167" i="17"/>
  <c r="V167" i="17"/>
  <c r="U167" i="17"/>
  <c r="O167" i="17"/>
  <c r="U167" i="19"/>
  <c r="AB167" i="19"/>
  <c r="O167" i="19"/>
  <c r="AB167" i="17"/>
  <c r="V167" i="19"/>
  <c r="I167" i="19"/>
  <c r="AA167" i="19"/>
  <c r="AG84" i="17"/>
  <c r="AF85" i="17" s="1"/>
  <c r="AT94" i="17"/>
  <c r="AE94" i="17"/>
  <c r="AD95" i="17" s="1"/>
  <c r="L164" i="18"/>
  <c r="I165" i="18" s="1"/>
  <c r="J165" i="18" s="1"/>
  <c r="AZ167" i="19"/>
  <c r="C167" i="19"/>
  <c r="E168" i="19"/>
  <c r="BD167" i="16"/>
  <c r="AZ167" i="16"/>
  <c r="E168" i="16"/>
  <c r="C167" i="16"/>
  <c r="AR166" i="16"/>
  <c r="C166" i="18"/>
  <c r="E167" i="18"/>
  <c r="AZ166" i="18"/>
  <c r="AQ165" i="18"/>
  <c r="K165" i="18"/>
  <c r="O165" i="18"/>
  <c r="AS165" i="18"/>
  <c r="AU165" i="18"/>
  <c r="C166" i="17"/>
  <c r="E167" i="17"/>
  <c r="AZ166" i="17"/>
  <c r="H77" i="18"/>
  <c r="AI77" i="18" s="1"/>
  <c r="E169" i="15"/>
  <c r="AZ168" i="15"/>
  <c r="C168" i="15"/>
  <c r="P126" i="18"/>
  <c r="M127" i="18" s="1"/>
  <c r="N127" i="18" s="1"/>
  <c r="T125" i="18"/>
  <c r="R125" i="18"/>
  <c r="Q126" i="18" s="1"/>
  <c r="AT126" i="18" s="1"/>
  <c r="AW172" i="3"/>
  <c r="H169" i="3"/>
  <c r="AF168" i="3"/>
  <c r="BD168" i="3"/>
  <c r="AH169" i="3"/>
  <c r="A170" i="3"/>
  <c r="BI170" i="3" s="1"/>
  <c r="BJ170" i="3" s="1"/>
  <c r="P173" i="3"/>
  <c r="AE169" i="3"/>
  <c r="BC168" i="3"/>
  <c r="AV170" i="3"/>
  <c r="AX170" i="3" s="1"/>
  <c r="V170" i="3"/>
  <c r="X170" i="3" s="1"/>
  <c r="G171" i="3"/>
  <c r="Y169" i="3"/>
  <c r="AC168" i="3"/>
  <c r="AG169" i="3"/>
  <c r="AQ172" i="3"/>
  <c r="T131" i="25" l="1"/>
  <c r="S131" i="25"/>
  <c r="W131" i="25" s="1"/>
  <c r="R132" i="25" s="1"/>
  <c r="AE130" i="25"/>
  <c r="AD131" i="25" s="1"/>
  <c r="AT130" i="25"/>
  <c r="AC96" i="28"/>
  <c r="X97" i="28" s="1"/>
  <c r="AB97" i="28" s="1"/>
  <c r="AT93" i="29"/>
  <c r="Q66" i="29"/>
  <c r="L67" i="29" s="1"/>
  <c r="AG92" i="29"/>
  <c r="AF93" i="29" s="1"/>
  <c r="AR172" i="3"/>
  <c r="BB170" i="3"/>
  <c r="N94" i="24"/>
  <c r="O94" i="24"/>
  <c r="Y89" i="25"/>
  <c r="AC89" i="25" s="1"/>
  <c r="X90" i="25" s="1"/>
  <c r="Z89" i="25"/>
  <c r="K89" i="24"/>
  <c r="R89" i="24" s="1"/>
  <c r="Q90" i="24" s="1"/>
  <c r="J89" i="24"/>
  <c r="P170" i="20"/>
  <c r="AN170" i="20"/>
  <c r="AK168" i="3"/>
  <c r="BG168" i="3" s="1"/>
  <c r="K167" i="15"/>
  <c r="O171" i="20"/>
  <c r="AQ170" i="20"/>
  <c r="AR170" i="20" s="1"/>
  <c r="O167" i="15"/>
  <c r="AJ167" i="3"/>
  <c r="BF167" i="3" s="1"/>
  <c r="AO66" i="29"/>
  <c r="AI66" i="29"/>
  <c r="AJ66" i="29" s="1"/>
  <c r="AK66" i="29" s="1"/>
  <c r="K66" i="29"/>
  <c r="F67" i="29" s="1"/>
  <c r="I67" i="29" s="1"/>
  <c r="AR67" i="29" s="1"/>
  <c r="AC92" i="29"/>
  <c r="X93" i="29" s="1"/>
  <c r="T152" i="29"/>
  <c r="S152" i="29"/>
  <c r="W152" i="29" s="1"/>
  <c r="R153" i="29" s="1"/>
  <c r="U153" i="29" s="1"/>
  <c r="C166" i="29"/>
  <c r="AZ166" i="29"/>
  <c r="E167" i="29"/>
  <c r="AW64" i="26"/>
  <c r="AX64" i="26" s="1"/>
  <c r="AY64" i="26" s="1"/>
  <c r="J161" i="26"/>
  <c r="L161" i="26" s="1"/>
  <c r="I162" i="26" s="1"/>
  <c r="N121" i="26"/>
  <c r="P121" i="26" s="1"/>
  <c r="M122" i="26" s="1"/>
  <c r="H65" i="26"/>
  <c r="O166" i="26"/>
  <c r="K166" i="26"/>
  <c r="AS166" i="26"/>
  <c r="AU166" i="26"/>
  <c r="AQ166" i="26"/>
  <c r="AT120" i="26"/>
  <c r="R120" i="26"/>
  <c r="Q121" i="26" s="1"/>
  <c r="T120" i="26"/>
  <c r="S121" i="26" s="1"/>
  <c r="C167" i="26"/>
  <c r="AZ167" i="26"/>
  <c r="E168" i="26"/>
  <c r="T136" i="28"/>
  <c r="S136" i="28"/>
  <c r="W136" i="28" s="1"/>
  <c r="R137" i="28" s="1"/>
  <c r="V137" i="28" s="1"/>
  <c r="AT135" i="28"/>
  <c r="AE135" i="28"/>
  <c r="AD136" i="28" s="1"/>
  <c r="AK66" i="28"/>
  <c r="AQ66" i="28"/>
  <c r="AS66" i="28"/>
  <c r="AU66" i="28"/>
  <c r="C167" i="28"/>
  <c r="AZ167" i="28"/>
  <c r="E168" i="28"/>
  <c r="F67" i="28"/>
  <c r="I67" i="28" s="1"/>
  <c r="Q67" i="28" s="1"/>
  <c r="L68" i="28" s="1"/>
  <c r="AM66" i="28"/>
  <c r="AN66" i="28" s="1"/>
  <c r="G80" i="25"/>
  <c r="K80" i="25" s="1"/>
  <c r="J81" i="25"/>
  <c r="H80" i="25"/>
  <c r="AO75" i="25"/>
  <c r="AR166" i="25"/>
  <c r="U166" i="25"/>
  <c r="AB166" i="25"/>
  <c r="V166" i="25"/>
  <c r="AA166" i="25"/>
  <c r="BA167" i="25"/>
  <c r="BB167" i="25"/>
  <c r="BC167" i="25"/>
  <c r="AS75" i="25"/>
  <c r="AI75" i="25"/>
  <c r="AQ75" i="25"/>
  <c r="AU75" i="25"/>
  <c r="AL75" i="25"/>
  <c r="AW60" i="15"/>
  <c r="AX60" i="15" s="1"/>
  <c r="AY60" i="15" s="1"/>
  <c r="AZ167" i="25"/>
  <c r="BD167" i="25"/>
  <c r="C167" i="25"/>
  <c r="E168" i="25"/>
  <c r="P77" i="25"/>
  <c r="N76" i="25"/>
  <c r="AP76" i="25" s="1"/>
  <c r="F62" i="24"/>
  <c r="AL61" i="24"/>
  <c r="AM61" i="24" s="1"/>
  <c r="AI61" i="24"/>
  <c r="AJ61" i="24" s="1"/>
  <c r="AU166" i="24"/>
  <c r="AQ166" i="24"/>
  <c r="AS166" i="24"/>
  <c r="C167" i="24"/>
  <c r="AZ167" i="24"/>
  <c r="E168" i="24"/>
  <c r="G61" i="15"/>
  <c r="AR61" i="15" s="1"/>
  <c r="AQ168" i="15"/>
  <c r="AS168" i="15"/>
  <c r="AU168" i="15"/>
  <c r="P129" i="15"/>
  <c r="M130" i="15" s="1"/>
  <c r="N130" i="15" s="1"/>
  <c r="M76" i="25"/>
  <c r="AL76" i="25" s="1"/>
  <c r="O165" i="25"/>
  <c r="I165" i="25"/>
  <c r="AW76" i="18"/>
  <c r="AX76" i="18" s="1"/>
  <c r="AY76" i="18" s="1"/>
  <c r="AD168" i="3"/>
  <c r="AI168" i="3" s="1"/>
  <c r="BE168" i="3" s="1"/>
  <c r="AS44" i="17"/>
  <c r="J46" i="17"/>
  <c r="H45" i="17"/>
  <c r="AO45" i="17" s="1"/>
  <c r="AQ44" i="17"/>
  <c r="AU44" i="17"/>
  <c r="AG86" i="19"/>
  <c r="AF87" i="19" s="1"/>
  <c r="F40" i="19"/>
  <c r="J41" i="19" s="1"/>
  <c r="AS39" i="19"/>
  <c r="AQ39" i="19"/>
  <c r="AC86" i="19"/>
  <c r="X87" i="19" s="1"/>
  <c r="Z87" i="19" s="1"/>
  <c r="AI39" i="19"/>
  <c r="AJ39" i="19" s="1"/>
  <c r="AK39" i="19" s="1"/>
  <c r="AL39" i="19"/>
  <c r="AM39" i="19" s="1"/>
  <c r="AN39" i="19" s="1"/>
  <c r="AR167" i="19"/>
  <c r="AO39" i="19"/>
  <c r="AP39" i="19"/>
  <c r="AU39" i="19"/>
  <c r="AS45" i="17"/>
  <c r="AU45" i="17"/>
  <c r="AL45" i="17"/>
  <c r="AM45" i="17" s="1"/>
  <c r="AN45" i="17" s="1"/>
  <c r="AQ45" i="17"/>
  <c r="H46" i="17"/>
  <c r="J47" i="17"/>
  <c r="G46" i="17"/>
  <c r="AI45" i="17"/>
  <c r="AJ45" i="17" s="1"/>
  <c r="AK45" i="17" s="1"/>
  <c r="F117" i="14"/>
  <c r="AQ116" i="14"/>
  <c r="AS116" i="14"/>
  <c r="AU116" i="14"/>
  <c r="L118" i="15"/>
  <c r="I119" i="15" s="1"/>
  <c r="J119" i="15" s="1"/>
  <c r="S88" i="19"/>
  <c r="W88" i="19" s="1"/>
  <c r="R89" i="19" s="1"/>
  <c r="T88" i="19"/>
  <c r="AT87" i="19"/>
  <c r="AE87" i="19"/>
  <c r="AD88" i="19" s="1"/>
  <c r="AG85" i="17"/>
  <c r="AF86" i="17" s="1"/>
  <c r="S96" i="17"/>
  <c r="W96" i="17" s="1"/>
  <c r="R97" i="17" s="1"/>
  <c r="T96" i="17"/>
  <c r="AT95" i="17"/>
  <c r="AE95" i="17"/>
  <c r="AD96" i="17" s="1"/>
  <c r="U168" i="17"/>
  <c r="V168" i="17"/>
  <c r="AA168" i="17"/>
  <c r="AB168" i="17"/>
  <c r="V168" i="19"/>
  <c r="O168" i="17"/>
  <c r="U168" i="19"/>
  <c r="O168" i="19"/>
  <c r="I168" i="19"/>
  <c r="I168" i="17"/>
  <c r="AB168" i="19"/>
  <c r="AA168" i="19"/>
  <c r="M97" i="19"/>
  <c r="Q97" i="19" s="1"/>
  <c r="L98" i="19" s="1"/>
  <c r="N97" i="19"/>
  <c r="P98" i="19"/>
  <c r="Z86" i="17"/>
  <c r="Y86" i="17"/>
  <c r="AC86" i="17" s="1"/>
  <c r="X87" i="17" s="1"/>
  <c r="P98" i="17"/>
  <c r="N97" i="17"/>
  <c r="M97" i="17"/>
  <c r="Q97" i="17" s="1"/>
  <c r="L98" i="17" s="1"/>
  <c r="L165" i="18"/>
  <c r="I166" i="18" s="1"/>
  <c r="J166" i="18" s="1"/>
  <c r="C168" i="19"/>
  <c r="AZ168" i="19"/>
  <c r="E169" i="19"/>
  <c r="E169" i="16"/>
  <c r="C168" i="16"/>
  <c r="BD168" i="16"/>
  <c r="AZ168" i="16"/>
  <c r="AR167" i="16"/>
  <c r="O166" i="18"/>
  <c r="AQ166" i="18"/>
  <c r="AS166" i="18"/>
  <c r="AU166" i="18"/>
  <c r="K166" i="18"/>
  <c r="C167" i="17"/>
  <c r="E168" i="17"/>
  <c r="AZ167" i="17"/>
  <c r="C167" i="18"/>
  <c r="AZ167" i="18"/>
  <c r="E168" i="18"/>
  <c r="F78" i="18"/>
  <c r="G78" i="18" s="1"/>
  <c r="AR78" i="18" s="1"/>
  <c r="AL77" i="18"/>
  <c r="AM77" i="18" s="1"/>
  <c r="AN77" i="18" s="1"/>
  <c r="E170" i="15"/>
  <c r="AZ169" i="15"/>
  <c r="C169" i="15"/>
  <c r="AJ77" i="18"/>
  <c r="AK77" i="18" s="1"/>
  <c r="S126" i="18"/>
  <c r="T126" i="18" s="1"/>
  <c r="S127" i="18" s="1"/>
  <c r="P127" i="18"/>
  <c r="M128" i="18" s="1"/>
  <c r="N128" i="18" s="1"/>
  <c r="R126" i="18"/>
  <c r="Q127" i="18" s="1"/>
  <c r="AT127" i="18" s="1"/>
  <c r="T118" i="15"/>
  <c r="R118" i="15"/>
  <c r="Q119" i="15" s="1"/>
  <c r="AT119" i="15" s="1"/>
  <c r="AV171" i="3"/>
  <c r="AX171" i="3" s="1"/>
  <c r="G172" i="3"/>
  <c r="V171" i="3"/>
  <c r="X171" i="3" s="1"/>
  <c r="P174" i="3"/>
  <c r="AH170" i="3"/>
  <c r="BD169" i="3"/>
  <c r="AG170" i="3"/>
  <c r="AE170" i="3"/>
  <c r="BC169" i="3"/>
  <c r="AW173" i="3"/>
  <c r="A171" i="3"/>
  <c r="BI171" i="3" s="1"/>
  <c r="BJ171" i="3" s="1"/>
  <c r="AL170" i="3"/>
  <c r="AQ173" i="3"/>
  <c r="Y170" i="3"/>
  <c r="AC169" i="3"/>
  <c r="AN173" i="3"/>
  <c r="AN174" i="3" s="1"/>
  <c r="H170" i="3"/>
  <c r="AF169" i="3"/>
  <c r="AD169" i="3" s="1"/>
  <c r="AM170" i="3"/>
  <c r="AE131" i="25" l="1"/>
  <c r="AD132" i="25" s="1"/>
  <c r="AT131" i="25"/>
  <c r="S132" i="25"/>
  <c r="W132" i="25" s="1"/>
  <c r="R133" i="25" s="1"/>
  <c r="T132" i="25"/>
  <c r="Z97" i="28"/>
  <c r="Y97" i="28"/>
  <c r="AG97" i="28" s="1"/>
  <c r="AF98" i="28" s="1"/>
  <c r="O68" i="28"/>
  <c r="M68" i="28"/>
  <c r="P69" i="28"/>
  <c r="N68" i="28"/>
  <c r="M67" i="29"/>
  <c r="O67" i="29"/>
  <c r="P68" i="29"/>
  <c r="N67" i="29"/>
  <c r="Z93" i="29"/>
  <c r="AA93" i="29"/>
  <c r="AE93" i="29" s="1"/>
  <c r="AD94" i="29" s="1"/>
  <c r="AR173" i="3"/>
  <c r="BB171" i="3"/>
  <c r="P171" i="20"/>
  <c r="AN171" i="20"/>
  <c r="AJ169" i="3"/>
  <c r="BF169" i="3" s="1"/>
  <c r="P94" i="24"/>
  <c r="M95" i="24" s="1"/>
  <c r="O95" i="24" s="1"/>
  <c r="L89" i="24"/>
  <c r="I90" i="24" s="1"/>
  <c r="T89" i="24"/>
  <c r="S90" i="24" s="1"/>
  <c r="Y90" i="25"/>
  <c r="AC90" i="25" s="1"/>
  <c r="X91" i="25" s="1"/>
  <c r="Z90" i="25"/>
  <c r="AG89" i="25"/>
  <c r="AF90" i="25" s="1"/>
  <c r="O168" i="15"/>
  <c r="O172" i="20"/>
  <c r="AQ171" i="20"/>
  <c r="AR171" i="20" s="1"/>
  <c r="AK169" i="3"/>
  <c r="BG169" i="3" s="1"/>
  <c r="K168" i="15"/>
  <c r="AJ168" i="3"/>
  <c r="BF168" i="3" s="1"/>
  <c r="AQ66" i="29"/>
  <c r="AS66" i="29"/>
  <c r="AU66" i="29"/>
  <c r="Y93" i="29"/>
  <c r="T153" i="29"/>
  <c r="S153" i="29"/>
  <c r="W153" i="29" s="1"/>
  <c r="R154" i="29" s="1"/>
  <c r="U154" i="29" s="1"/>
  <c r="AZ167" i="29"/>
  <c r="C167" i="29"/>
  <c r="E168" i="29"/>
  <c r="H67" i="29"/>
  <c r="J68" i="29"/>
  <c r="G67" i="29"/>
  <c r="K67" i="29" s="1"/>
  <c r="F68" i="29" s="1"/>
  <c r="I68" i="29" s="1"/>
  <c r="AR68" i="29" s="1"/>
  <c r="J162" i="26"/>
  <c r="L162" i="26" s="1"/>
  <c r="I163" i="26" s="1"/>
  <c r="N122" i="26"/>
  <c r="P122" i="26" s="1"/>
  <c r="M123" i="26" s="1"/>
  <c r="F66" i="26"/>
  <c r="AI65" i="26"/>
  <c r="AJ65" i="26" s="1"/>
  <c r="AK65" i="26" s="1"/>
  <c r="AL65" i="26"/>
  <c r="AM65" i="26" s="1"/>
  <c r="AN65" i="26" s="1"/>
  <c r="T121" i="26"/>
  <c r="S122" i="26" s="1"/>
  <c r="AT121" i="26"/>
  <c r="R121" i="26"/>
  <c r="Q122" i="26" s="1"/>
  <c r="K167" i="26"/>
  <c r="O167" i="26"/>
  <c r="AQ167" i="26"/>
  <c r="AS167" i="26"/>
  <c r="AU167" i="26"/>
  <c r="C168" i="26"/>
  <c r="AZ168" i="26"/>
  <c r="E169" i="26"/>
  <c r="T137" i="28"/>
  <c r="S137" i="28"/>
  <c r="W137" i="28" s="1"/>
  <c r="R138" i="28" s="1"/>
  <c r="V138" i="28" s="1"/>
  <c r="H67" i="28"/>
  <c r="AP67" i="28" s="1"/>
  <c r="J68" i="28"/>
  <c r="G67" i="28"/>
  <c r="AI67" i="28" s="1"/>
  <c r="AT136" i="28"/>
  <c r="AE136" i="28"/>
  <c r="AD137" i="28" s="1"/>
  <c r="AZ168" i="28"/>
  <c r="C168" i="28"/>
  <c r="E169" i="28"/>
  <c r="F81" i="25"/>
  <c r="AO76" i="25"/>
  <c r="AB167" i="25"/>
  <c r="AR167" i="25"/>
  <c r="AA167" i="25"/>
  <c r="U167" i="25"/>
  <c r="V167" i="25"/>
  <c r="BA168" i="25"/>
  <c r="BB168" i="25"/>
  <c r="BC168" i="25"/>
  <c r="AM76" i="25"/>
  <c r="AN76" i="25" s="1"/>
  <c r="AM75" i="25"/>
  <c r="AN75" i="25" s="1"/>
  <c r="AJ75" i="25"/>
  <c r="AK75" i="25" s="1"/>
  <c r="C168" i="25"/>
  <c r="AZ168" i="25"/>
  <c r="BD168" i="25"/>
  <c r="E169" i="25"/>
  <c r="AT90" i="24"/>
  <c r="AS167" i="24"/>
  <c r="AU167" i="24"/>
  <c r="AQ167" i="24"/>
  <c r="C168" i="24"/>
  <c r="AZ168" i="24"/>
  <c r="E169" i="24"/>
  <c r="AK61" i="24"/>
  <c r="AN61" i="24"/>
  <c r="G62" i="24"/>
  <c r="AR62" i="24" s="1"/>
  <c r="H61" i="15"/>
  <c r="AS169" i="15"/>
  <c r="K169" i="15"/>
  <c r="AU169" i="15"/>
  <c r="O169" i="15"/>
  <c r="AQ169" i="15"/>
  <c r="P130" i="15"/>
  <c r="M131" i="15" s="1"/>
  <c r="N131" i="15" s="1"/>
  <c r="AW66" i="28"/>
  <c r="AX66" i="28" s="1"/>
  <c r="AY66" i="28" s="1"/>
  <c r="O166" i="25"/>
  <c r="Q76" i="25"/>
  <c r="I166" i="25"/>
  <c r="AW39" i="19"/>
  <c r="AX39" i="19" s="1"/>
  <c r="AY39" i="19" s="1"/>
  <c r="AV116" i="14"/>
  <c r="BG116" i="14" s="1"/>
  <c r="AW44" i="17"/>
  <c r="AX44" i="17" s="1"/>
  <c r="AY44" i="17" s="1"/>
  <c r="AP45" i="17"/>
  <c r="AW45" i="17" s="1"/>
  <c r="AX45" i="17" s="1"/>
  <c r="AY45" i="17" s="1"/>
  <c r="Y87" i="19"/>
  <c r="AC87" i="19" s="1"/>
  <c r="X88" i="19" s="1"/>
  <c r="Z88" i="19" s="1"/>
  <c r="H40" i="19"/>
  <c r="AP40" i="19" s="1"/>
  <c r="G40" i="19"/>
  <c r="AL40" i="19" s="1"/>
  <c r="AM40" i="19" s="1"/>
  <c r="AN40" i="19" s="1"/>
  <c r="L119" i="15"/>
  <c r="I120" i="15" s="1"/>
  <c r="J120" i="15" s="1"/>
  <c r="AR168" i="19"/>
  <c r="AP46" i="17"/>
  <c r="AO46" i="17"/>
  <c r="AI46" i="17"/>
  <c r="AJ46" i="17" s="1"/>
  <c r="AK46" i="17" s="1"/>
  <c r="AL46" i="17"/>
  <c r="AM46" i="17" s="1"/>
  <c r="AN46" i="17" s="1"/>
  <c r="K46" i="17"/>
  <c r="H117" i="14"/>
  <c r="J118" i="14"/>
  <c r="G117" i="14"/>
  <c r="AI117" i="14" s="1"/>
  <c r="AJ117" i="14" s="1"/>
  <c r="AK117" i="14" s="1"/>
  <c r="S89" i="19"/>
  <c r="W89" i="19" s="1"/>
  <c r="R90" i="19" s="1"/>
  <c r="T89" i="19"/>
  <c r="AT88" i="19"/>
  <c r="AE88" i="19"/>
  <c r="AD89" i="19" s="1"/>
  <c r="N98" i="17"/>
  <c r="P99" i="17"/>
  <c r="M98" i="17"/>
  <c r="Q98" i="17" s="1"/>
  <c r="L99" i="17" s="1"/>
  <c r="Y87" i="17"/>
  <c r="AC87" i="17" s="1"/>
  <c r="X88" i="17" s="1"/>
  <c r="Z87" i="17"/>
  <c r="N98" i="19"/>
  <c r="M98" i="19"/>
  <c r="Q98" i="19" s="1"/>
  <c r="L99" i="19" s="1"/>
  <c r="P99" i="19"/>
  <c r="AA169" i="17"/>
  <c r="I169" i="17"/>
  <c r="U169" i="17"/>
  <c r="AB169" i="17"/>
  <c r="AA169" i="19"/>
  <c r="I169" i="19"/>
  <c r="V169" i="19"/>
  <c r="O169" i="19"/>
  <c r="V169" i="17"/>
  <c r="U169" i="19"/>
  <c r="O169" i="17"/>
  <c r="AB169" i="19"/>
  <c r="AG86" i="17"/>
  <c r="AF87" i="17" s="1"/>
  <c r="T97" i="17"/>
  <c r="S97" i="17"/>
  <c r="W97" i="17" s="1"/>
  <c r="R98" i="17" s="1"/>
  <c r="AT96" i="17"/>
  <c r="AE96" i="17"/>
  <c r="AD97" i="17" s="1"/>
  <c r="AZ169" i="19"/>
  <c r="E170" i="19"/>
  <c r="C169" i="19"/>
  <c r="L166" i="18"/>
  <c r="I167" i="18" s="1"/>
  <c r="J167" i="18" s="1"/>
  <c r="AZ169" i="16"/>
  <c r="C169" i="16"/>
  <c r="BD169" i="16"/>
  <c r="E170" i="16"/>
  <c r="AR168" i="16"/>
  <c r="E169" i="18"/>
  <c r="C168" i="18"/>
  <c r="AZ168" i="18"/>
  <c r="E169" i="17"/>
  <c r="AZ168" i="17"/>
  <c r="C168" i="17"/>
  <c r="AS167" i="18"/>
  <c r="AQ167" i="18"/>
  <c r="AU167" i="18"/>
  <c r="O167" i="18"/>
  <c r="K167" i="18"/>
  <c r="H78" i="18"/>
  <c r="F79" i="18" s="1"/>
  <c r="G79" i="18" s="1"/>
  <c r="AR79" i="18" s="1"/>
  <c r="AW77" i="18"/>
  <c r="AX77" i="18" s="1"/>
  <c r="AY77" i="18" s="1"/>
  <c r="E171" i="15"/>
  <c r="C170" i="15"/>
  <c r="AZ170" i="15"/>
  <c r="S119" i="15"/>
  <c r="T119" i="15" s="1"/>
  <c r="S120" i="15" s="1"/>
  <c r="P128" i="18"/>
  <c r="M129" i="18" s="1"/>
  <c r="N129" i="18" s="1"/>
  <c r="T127" i="18"/>
  <c r="S128" i="18" s="1"/>
  <c r="R127" i="18"/>
  <c r="Q128" i="18" s="1"/>
  <c r="AT128" i="18" s="1"/>
  <c r="R119" i="15"/>
  <c r="Q120" i="15" s="1"/>
  <c r="AT120" i="15" s="1"/>
  <c r="H171" i="3"/>
  <c r="AF170" i="3"/>
  <c r="AD170" i="3" s="1"/>
  <c r="AW174" i="3"/>
  <c r="AG171" i="3"/>
  <c r="AQ174" i="3"/>
  <c r="AM171" i="3"/>
  <c r="AI169" i="3"/>
  <c r="BE169" i="3" s="1"/>
  <c r="AL171" i="3"/>
  <c r="BC170" i="3"/>
  <c r="AE171" i="3"/>
  <c r="G173" i="3"/>
  <c r="AV172" i="3"/>
  <c r="AX172" i="3" s="1"/>
  <c r="V172" i="3"/>
  <c r="X172" i="3" s="1"/>
  <c r="Y171" i="3"/>
  <c r="AC170" i="3"/>
  <c r="A172" i="3"/>
  <c r="BI172" i="3" s="1"/>
  <c r="BJ172" i="3" s="1"/>
  <c r="BD170" i="3"/>
  <c r="AH171" i="3"/>
  <c r="BB172" i="3" l="1"/>
  <c r="T133" i="25"/>
  <c r="S133" i="25"/>
  <c r="W133" i="25" s="1"/>
  <c r="R134" i="25" s="1"/>
  <c r="AE132" i="25"/>
  <c r="AD133" i="25" s="1"/>
  <c r="AT132" i="25"/>
  <c r="Q67" i="29"/>
  <c r="L68" i="29" s="1"/>
  <c r="N68" i="29" s="1"/>
  <c r="AC97" i="28"/>
  <c r="X98" i="28" s="1"/>
  <c r="AB98" i="28" s="1"/>
  <c r="AG93" i="29"/>
  <c r="AF94" i="29" s="1"/>
  <c r="AP67" i="29"/>
  <c r="O68" i="29"/>
  <c r="AT94" i="29"/>
  <c r="AR174" i="3"/>
  <c r="P172" i="20"/>
  <c r="N95" i="24"/>
  <c r="P95" i="24" s="1"/>
  <c r="M96" i="24" s="1"/>
  <c r="O96" i="24" s="1"/>
  <c r="AN172" i="20"/>
  <c r="Y91" i="25"/>
  <c r="Z91" i="25"/>
  <c r="AG90" i="25"/>
  <c r="AF91" i="25" s="1"/>
  <c r="K90" i="24"/>
  <c r="R90" i="24" s="1"/>
  <c r="Q91" i="24" s="1"/>
  <c r="AT91" i="24" s="1"/>
  <c r="J90" i="24"/>
  <c r="AQ172" i="20"/>
  <c r="AR172" i="20" s="1"/>
  <c r="O173" i="20"/>
  <c r="AK170" i="3"/>
  <c r="BG170" i="3" s="1"/>
  <c r="AW66" i="29"/>
  <c r="AX66" i="29" s="1"/>
  <c r="AY66" i="29" s="1"/>
  <c r="AC93" i="29"/>
  <c r="X94" i="29" s="1"/>
  <c r="T154" i="29"/>
  <c r="S154" i="29"/>
  <c r="W154" i="29" s="1"/>
  <c r="R155" i="29" s="1"/>
  <c r="U155" i="29" s="1"/>
  <c r="C168" i="29"/>
  <c r="AZ168" i="29"/>
  <c r="E169" i="29"/>
  <c r="H68" i="29"/>
  <c r="J69" i="29"/>
  <c r="AO67" i="29"/>
  <c r="G68" i="29"/>
  <c r="AL67" i="29"/>
  <c r="AI67" i="29"/>
  <c r="J163" i="26"/>
  <c r="L163" i="26" s="1"/>
  <c r="I164" i="26" s="1"/>
  <c r="N123" i="26"/>
  <c r="P123" i="26" s="1"/>
  <c r="M124" i="26" s="1"/>
  <c r="G66" i="26"/>
  <c r="AR66" i="26" s="1"/>
  <c r="O168" i="26"/>
  <c r="AQ168" i="26"/>
  <c r="AS168" i="26"/>
  <c r="AU168" i="26"/>
  <c r="K168" i="26"/>
  <c r="AW65" i="26"/>
  <c r="AX65" i="26" s="1"/>
  <c r="AY65" i="26" s="1"/>
  <c r="T122" i="26"/>
  <c r="S123" i="26" s="1"/>
  <c r="AT122" i="26"/>
  <c r="R122" i="26"/>
  <c r="Q123" i="26" s="1"/>
  <c r="C169" i="26"/>
  <c r="AZ169" i="26"/>
  <c r="E170" i="26"/>
  <c r="T138" i="28"/>
  <c r="S138" i="28"/>
  <c r="W138" i="28" s="1"/>
  <c r="R139" i="28" s="1"/>
  <c r="V139" i="28" s="1"/>
  <c r="AO67" i="28"/>
  <c r="AL67" i="28"/>
  <c r="AM67" i="28" s="1"/>
  <c r="AN67" i="28" s="1"/>
  <c r="AT137" i="28"/>
  <c r="AE137" i="28"/>
  <c r="AD138" i="28" s="1"/>
  <c r="C169" i="28"/>
  <c r="AZ169" i="28"/>
  <c r="E170" i="28"/>
  <c r="G81" i="25"/>
  <c r="K81" i="25" s="1"/>
  <c r="J82" i="25"/>
  <c r="H81" i="25"/>
  <c r="AS76" i="25"/>
  <c r="AU76" i="25"/>
  <c r="AI76" i="25"/>
  <c r="AQ76" i="25"/>
  <c r="AA168" i="25"/>
  <c r="AB168" i="25"/>
  <c r="AR168" i="25"/>
  <c r="V168" i="25"/>
  <c r="U168" i="25"/>
  <c r="BA169" i="25"/>
  <c r="BB169" i="25"/>
  <c r="BC169" i="25"/>
  <c r="AW75" i="25"/>
  <c r="AX75" i="25" s="1"/>
  <c r="AY75" i="25" s="1"/>
  <c r="AZ169" i="25"/>
  <c r="BD169" i="25"/>
  <c r="C169" i="25"/>
  <c r="E170" i="25"/>
  <c r="AW61" i="24"/>
  <c r="AX61" i="24" s="1"/>
  <c r="AY61" i="24" s="1"/>
  <c r="L77" i="25"/>
  <c r="C169" i="24"/>
  <c r="AZ169" i="24"/>
  <c r="E170" i="24"/>
  <c r="AQ168" i="24"/>
  <c r="AS168" i="24"/>
  <c r="AU168" i="24"/>
  <c r="H62" i="24"/>
  <c r="F62" i="15"/>
  <c r="AI61" i="15"/>
  <c r="AJ61" i="15" s="1"/>
  <c r="AK61" i="15" s="1"/>
  <c r="AL61" i="15"/>
  <c r="AM61" i="15" s="1"/>
  <c r="AN61" i="15" s="1"/>
  <c r="K170" i="15"/>
  <c r="O170" i="15"/>
  <c r="AQ170" i="15"/>
  <c r="AS170" i="15"/>
  <c r="AU170" i="15"/>
  <c r="P131" i="15"/>
  <c r="M132" i="15" s="1"/>
  <c r="N132" i="15" s="1"/>
  <c r="K67" i="28"/>
  <c r="O167" i="25"/>
  <c r="I167" i="25"/>
  <c r="AJ170" i="3"/>
  <c r="BF170" i="3" s="1"/>
  <c r="AZ116" i="14"/>
  <c r="BC116" i="14" s="1"/>
  <c r="AG87" i="19"/>
  <c r="AF88" i="19" s="1"/>
  <c r="Y88" i="19"/>
  <c r="AC88" i="19" s="1"/>
  <c r="X89" i="19" s="1"/>
  <c r="Z89" i="19" s="1"/>
  <c r="AO40" i="19"/>
  <c r="AI40" i="19"/>
  <c r="AJ40" i="19" s="1"/>
  <c r="AK40" i="19" s="1"/>
  <c r="K40" i="19"/>
  <c r="AS40" i="19" s="1"/>
  <c r="AG87" i="17"/>
  <c r="AF88" i="17" s="1"/>
  <c r="AR169" i="19"/>
  <c r="AS46" i="17"/>
  <c r="AU46" i="17"/>
  <c r="AQ46" i="17"/>
  <c r="F47" i="17"/>
  <c r="L120" i="15"/>
  <c r="I121" i="15" s="1"/>
  <c r="J121" i="15" s="1"/>
  <c r="AL117" i="14"/>
  <c r="AM117" i="14" s="1"/>
  <c r="AN117" i="14" s="1"/>
  <c r="K117" i="14"/>
  <c r="AP117" i="14"/>
  <c r="AO117" i="14"/>
  <c r="T120" i="15"/>
  <c r="S121" i="15" s="1"/>
  <c r="S90" i="19"/>
  <c r="W90" i="19" s="1"/>
  <c r="R91" i="19" s="1"/>
  <c r="T90" i="19"/>
  <c r="AT89" i="19"/>
  <c r="AE89" i="19"/>
  <c r="AD90" i="19" s="1"/>
  <c r="T98" i="17"/>
  <c r="S98" i="17"/>
  <c r="W98" i="17" s="1"/>
  <c r="R99" i="17" s="1"/>
  <c r="Y88" i="17"/>
  <c r="AC88" i="17" s="1"/>
  <c r="X89" i="17" s="1"/>
  <c r="Z88" i="17"/>
  <c r="M99" i="17"/>
  <c r="Q99" i="17" s="1"/>
  <c r="L100" i="17" s="1"/>
  <c r="N99" i="17"/>
  <c r="P100" i="17"/>
  <c r="AT97" i="17"/>
  <c r="AE97" i="17"/>
  <c r="AD98" i="17" s="1"/>
  <c r="P100" i="19"/>
  <c r="N99" i="19"/>
  <c r="M99" i="19"/>
  <c r="Q99" i="19" s="1"/>
  <c r="L100" i="19" s="1"/>
  <c r="U170" i="17"/>
  <c r="O170" i="17"/>
  <c r="AB170" i="17"/>
  <c r="V170" i="17"/>
  <c r="AB170" i="19"/>
  <c r="O170" i="19"/>
  <c r="I170" i="17"/>
  <c r="AA170" i="19"/>
  <c r="I170" i="19"/>
  <c r="AA170" i="17"/>
  <c r="U170" i="19"/>
  <c r="V170" i="19"/>
  <c r="AZ170" i="19"/>
  <c r="E171" i="19"/>
  <c r="C170" i="19"/>
  <c r="L167" i="18"/>
  <c r="I168" i="18" s="1"/>
  <c r="H79" i="18"/>
  <c r="F80" i="18" s="1"/>
  <c r="G80" i="18" s="1"/>
  <c r="AR80" i="18" s="1"/>
  <c r="AL78" i="18"/>
  <c r="AM78" i="18" s="1"/>
  <c r="AN78" i="18" s="1"/>
  <c r="AR169" i="16"/>
  <c r="AI78" i="18"/>
  <c r="AJ78" i="18" s="1"/>
  <c r="AK78" i="18" s="1"/>
  <c r="AZ170" i="16"/>
  <c r="C170" i="16"/>
  <c r="BD170" i="16"/>
  <c r="E171" i="16"/>
  <c r="AZ169" i="18"/>
  <c r="C169" i="18"/>
  <c r="E170" i="18"/>
  <c r="E170" i="17"/>
  <c r="C169" i="17"/>
  <c r="AZ169" i="17"/>
  <c r="K168" i="18"/>
  <c r="AU168" i="18"/>
  <c r="O168" i="18"/>
  <c r="AQ168" i="18"/>
  <c r="AS168" i="18"/>
  <c r="E172" i="15"/>
  <c r="AZ171" i="15"/>
  <c r="C171" i="15"/>
  <c r="P129" i="18"/>
  <c r="M130" i="18" s="1"/>
  <c r="N130" i="18" s="1"/>
  <c r="R128" i="18"/>
  <c r="Q129" i="18" s="1"/>
  <c r="AT129" i="18" s="1"/>
  <c r="T128" i="18"/>
  <c r="S129" i="18" s="1"/>
  <c r="R120" i="15"/>
  <c r="Q121" i="15" s="1"/>
  <c r="AT121" i="15" s="1"/>
  <c r="AE172" i="3"/>
  <c r="BC171" i="3"/>
  <c r="AQ175" i="3"/>
  <c r="AG172" i="3"/>
  <c r="A173" i="3"/>
  <c r="BI173" i="3" s="1"/>
  <c r="BJ173" i="3" s="1"/>
  <c r="AM172" i="3"/>
  <c r="AN175" i="3"/>
  <c r="AN176" i="3" s="1"/>
  <c r="AH172" i="3"/>
  <c r="BD171" i="3"/>
  <c r="AI170" i="3"/>
  <c r="BE170" i="3" s="1"/>
  <c r="AV173" i="3"/>
  <c r="AX173" i="3" s="1"/>
  <c r="G174" i="3"/>
  <c r="V173" i="3"/>
  <c r="X173" i="3" s="1"/>
  <c r="AL172" i="3"/>
  <c r="P175" i="3"/>
  <c r="P176" i="3" s="1"/>
  <c r="AW175" i="3"/>
  <c r="Y172" i="3"/>
  <c r="AC171" i="3"/>
  <c r="H172" i="3"/>
  <c r="AF171" i="3"/>
  <c r="AK171" i="3" s="1"/>
  <c r="BB173" i="3" l="1"/>
  <c r="T134" i="25"/>
  <c r="S134" i="25"/>
  <c r="W134" i="25" s="1"/>
  <c r="R135" i="25" s="1"/>
  <c r="AT133" i="25"/>
  <c r="AE133" i="25"/>
  <c r="AD134" i="25" s="1"/>
  <c r="P69" i="29"/>
  <c r="AS67" i="29"/>
  <c r="M68" i="29"/>
  <c r="AL68" i="29" s="1"/>
  <c r="AM68" i="29" s="1"/>
  <c r="AQ67" i="29"/>
  <c r="AU67" i="29"/>
  <c r="Z98" i="28"/>
  <c r="Y98" i="28"/>
  <c r="AG98" i="28" s="1"/>
  <c r="AF99" i="28" s="1"/>
  <c r="Z94" i="29"/>
  <c r="AA94" i="29"/>
  <c r="AE94" i="29" s="1"/>
  <c r="AD95" i="29" s="1"/>
  <c r="AP68" i="29"/>
  <c r="AR175" i="3"/>
  <c r="P173" i="20"/>
  <c r="N96" i="24"/>
  <c r="P96" i="24" s="1"/>
  <c r="M97" i="24" s="1"/>
  <c r="T90" i="24"/>
  <c r="S91" i="24" s="1"/>
  <c r="AG91" i="25"/>
  <c r="AF92" i="25" s="1"/>
  <c r="L90" i="24"/>
  <c r="I91" i="24" s="1"/>
  <c r="AC91" i="25"/>
  <c r="X92" i="25" s="1"/>
  <c r="AL173" i="3"/>
  <c r="AN173" i="20"/>
  <c r="AQ173" i="20"/>
  <c r="AR173" i="20" s="1"/>
  <c r="O174" i="20"/>
  <c r="BG171" i="3"/>
  <c r="Y94" i="29"/>
  <c r="T155" i="29"/>
  <c r="S155" i="29"/>
  <c r="W155" i="29" s="1"/>
  <c r="R156" i="29" s="1"/>
  <c r="U156" i="29" s="1"/>
  <c r="AZ169" i="29"/>
  <c r="C169" i="29"/>
  <c r="E170" i="29"/>
  <c r="AM67" i="29"/>
  <c r="AN67" i="29" s="1"/>
  <c r="AJ67" i="29"/>
  <c r="AK67" i="29" s="1"/>
  <c r="K68" i="29"/>
  <c r="AO68" i="29"/>
  <c r="N124" i="26"/>
  <c r="P124" i="26" s="1"/>
  <c r="M125" i="26" s="1"/>
  <c r="J164" i="26"/>
  <c r="L164" i="26" s="1"/>
  <c r="I165" i="26" s="1"/>
  <c r="AT123" i="26"/>
  <c r="R123" i="26"/>
  <c r="Q124" i="26" s="1"/>
  <c r="T123" i="26"/>
  <c r="S124" i="26" s="1"/>
  <c r="H66" i="26"/>
  <c r="AS169" i="26"/>
  <c r="AU169" i="26"/>
  <c r="AQ169" i="26"/>
  <c r="K169" i="26"/>
  <c r="O169" i="26"/>
  <c r="AZ170" i="26"/>
  <c r="C170" i="26"/>
  <c r="E171" i="26"/>
  <c r="T139" i="28"/>
  <c r="S139" i="28"/>
  <c r="W139" i="28" s="1"/>
  <c r="R140" i="28" s="1"/>
  <c r="V140" i="28" s="1"/>
  <c r="AU67" i="28"/>
  <c r="AS67" i="28"/>
  <c r="AQ67" i="28"/>
  <c r="AT138" i="28"/>
  <c r="AE138" i="28"/>
  <c r="AD139" i="28" s="1"/>
  <c r="AJ67" i="28"/>
  <c r="AK67" i="28" s="1"/>
  <c r="C170" i="28"/>
  <c r="AZ170" i="28"/>
  <c r="E171" i="28"/>
  <c r="F68" i="28"/>
  <c r="I68" i="28" s="1"/>
  <c r="Q68" i="28" s="1"/>
  <c r="L69" i="28" s="1"/>
  <c r="F82" i="25"/>
  <c r="V169" i="25"/>
  <c r="AA169" i="25"/>
  <c r="AB169" i="25"/>
  <c r="AR169" i="25"/>
  <c r="U169" i="25"/>
  <c r="BC170" i="25"/>
  <c r="BA170" i="25"/>
  <c r="BB170" i="25"/>
  <c r="P78" i="25"/>
  <c r="N77" i="25"/>
  <c r="AP77" i="25" s="1"/>
  <c r="AJ76" i="25"/>
  <c r="AK76" i="25" s="1"/>
  <c r="AW76" i="25" s="1"/>
  <c r="AX76" i="25" s="1"/>
  <c r="AY76" i="25" s="1"/>
  <c r="C170" i="25"/>
  <c r="AZ170" i="25"/>
  <c r="BD170" i="25"/>
  <c r="E171" i="25"/>
  <c r="AZ170" i="24"/>
  <c r="C170" i="24"/>
  <c r="E171" i="24"/>
  <c r="AQ169" i="24"/>
  <c r="AS169" i="24"/>
  <c r="AU169" i="24"/>
  <c r="F63" i="24"/>
  <c r="AI62" i="24"/>
  <c r="AJ62" i="24" s="1"/>
  <c r="AL62" i="24"/>
  <c r="AM62" i="24" s="1"/>
  <c r="AW61" i="15"/>
  <c r="AX61" i="15" s="1"/>
  <c r="AY61" i="15" s="1"/>
  <c r="G62" i="15"/>
  <c r="AR62" i="15" s="1"/>
  <c r="AQ171" i="15"/>
  <c r="AS171" i="15"/>
  <c r="AU171" i="15"/>
  <c r="P132" i="15"/>
  <c r="M133" i="15" s="1"/>
  <c r="N133" i="15" s="1"/>
  <c r="M77" i="25"/>
  <c r="Q77" i="25" s="1"/>
  <c r="L78" i="25" s="1"/>
  <c r="O168" i="25"/>
  <c r="I168" i="25"/>
  <c r="AW46" i="17"/>
  <c r="AX46" i="17" s="1"/>
  <c r="AY46" i="17" s="1"/>
  <c r="AG88" i="19"/>
  <c r="AF89" i="19" s="1"/>
  <c r="Y89" i="19"/>
  <c r="AC89" i="19" s="1"/>
  <c r="X90" i="19" s="1"/>
  <c r="Y90" i="19" s="1"/>
  <c r="AC90" i="19" s="1"/>
  <c r="X91" i="19" s="1"/>
  <c r="F41" i="19"/>
  <c r="AU40" i="19"/>
  <c r="AQ40" i="19"/>
  <c r="AR170" i="19"/>
  <c r="T121" i="15"/>
  <c r="S122" i="15" s="1"/>
  <c r="H47" i="17"/>
  <c r="G47" i="17"/>
  <c r="AI47" i="17" s="1"/>
  <c r="AJ47" i="17" s="1"/>
  <c r="AK47" i="17" s="1"/>
  <c r="J48" i="17"/>
  <c r="F118" i="14"/>
  <c r="AU117" i="14"/>
  <c r="AS117" i="14"/>
  <c r="AQ117" i="14"/>
  <c r="AE90" i="19"/>
  <c r="AD91" i="19" s="1"/>
  <c r="AT90" i="19"/>
  <c r="T91" i="19"/>
  <c r="S91" i="19"/>
  <c r="W91" i="19" s="1"/>
  <c r="R92" i="19" s="1"/>
  <c r="M100" i="17"/>
  <c r="Q100" i="17" s="1"/>
  <c r="L101" i="17" s="1"/>
  <c r="P101" i="17"/>
  <c r="N100" i="17"/>
  <c r="Y89" i="17"/>
  <c r="AC89" i="17" s="1"/>
  <c r="X90" i="17" s="1"/>
  <c r="Z89" i="17"/>
  <c r="AT98" i="17"/>
  <c r="AE98" i="17"/>
  <c r="AD99" i="17" s="1"/>
  <c r="S99" i="17"/>
  <c r="W99" i="17" s="1"/>
  <c r="R100" i="17" s="1"/>
  <c r="T99" i="17"/>
  <c r="AA171" i="17"/>
  <c r="I171" i="17"/>
  <c r="O171" i="17"/>
  <c r="AB171" i="17"/>
  <c r="U171" i="19"/>
  <c r="V171" i="17"/>
  <c r="AB171" i="19"/>
  <c r="O171" i="19"/>
  <c r="V171" i="19"/>
  <c r="I171" i="19"/>
  <c r="U171" i="17"/>
  <c r="AA171" i="19"/>
  <c r="AG88" i="17"/>
  <c r="AF89" i="17" s="1"/>
  <c r="N100" i="19"/>
  <c r="P101" i="19"/>
  <c r="M100" i="19"/>
  <c r="Q100" i="19" s="1"/>
  <c r="L101" i="19" s="1"/>
  <c r="AZ171" i="19"/>
  <c r="E172" i="19"/>
  <c r="C171" i="19"/>
  <c r="AI79" i="18"/>
  <c r="AJ79" i="18" s="1"/>
  <c r="AK79" i="18" s="1"/>
  <c r="AL79" i="18"/>
  <c r="AM79" i="18" s="1"/>
  <c r="AN79" i="18" s="1"/>
  <c r="H80" i="18"/>
  <c r="F81" i="18" s="1"/>
  <c r="G81" i="18" s="1"/>
  <c r="AR81" i="18" s="1"/>
  <c r="AW78" i="18"/>
  <c r="AX78" i="18" s="1"/>
  <c r="AY78" i="18" s="1"/>
  <c r="C171" i="16"/>
  <c r="BD171" i="16"/>
  <c r="E172" i="16"/>
  <c r="AZ171" i="16"/>
  <c r="AR170" i="16"/>
  <c r="E171" i="17"/>
  <c r="AZ170" i="17"/>
  <c r="C170" i="17"/>
  <c r="O169" i="18"/>
  <c r="AU169" i="18"/>
  <c r="K169" i="18"/>
  <c r="AS169" i="18"/>
  <c r="AQ169" i="18"/>
  <c r="E171" i="18"/>
  <c r="C170" i="18"/>
  <c r="AZ170" i="18"/>
  <c r="J168" i="18"/>
  <c r="L168" i="18" s="1"/>
  <c r="I169" i="18" s="1"/>
  <c r="AZ172" i="15"/>
  <c r="E173" i="15"/>
  <c r="C172" i="15"/>
  <c r="P130" i="18"/>
  <c r="M131" i="18" s="1"/>
  <c r="N131" i="18" s="1"/>
  <c r="R129" i="18"/>
  <c r="Q130" i="18" s="1"/>
  <c r="AT130" i="18" s="1"/>
  <c r="T129" i="18"/>
  <c r="L121" i="15"/>
  <c r="I122" i="15" s="1"/>
  <c r="J122" i="15" s="1"/>
  <c r="R121" i="15"/>
  <c r="Q122" i="15" s="1"/>
  <c r="AT122" i="15" s="1"/>
  <c r="P177" i="3"/>
  <c r="BD172" i="3"/>
  <c r="AH173" i="3"/>
  <c r="AE173" i="3"/>
  <c r="BC172" i="3"/>
  <c r="Y173" i="3"/>
  <c r="AC172" i="3"/>
  <c r="AN177" i="3"/>
  <c r="AQ176" i="3"/>
  <c r="H173" i="3"/>
  <c r="AF172" i="3"/>
  <c r="AD172" i="3" s="1"/>
  <c r="AW176" i="3"/>
  <c r="AM173" i="3"/>
  <c r="AD171" i="3"/>
  <c r="AJ171" i="3" s="1"/>
  <c r="AV174" i="3"/>
  <c r="AX174" i="3" s="1"/>
  <c r="V174" i="3"/>
  <c r="X174" i="3" s="1"/>
  <c r="G175" i="3"/>
  <c r="A174" i="3"/>
  <c r="BI174" i="3" s="1"/>
  <c r="BJ174" i="3" s="1"/>
  <c r="AG173" i="3"/>
  <c r="BB174" i="3" l="1"/>
  <c r="S135" i="25"/>
  <c r="W135" i="25" s="1"/>
  <c r="R136" i="25" s="1"/>
  <c r="T135" i="25"/>
  <c r="AE134" i="25"/>
  <c r="AD135" i="25" s="1"/>
  <c r="AT134" i="25"/>
  <c r="AI68" i="29"/>
  <c r="AJ68" i="29" s="1"/>
  <c r="Q68" i="29"/>
  <c r="L69" i="29" s="1"/>
  <c r="N69" i="29" s="1"/>
  <c r="AC98" i="28"/>
  <c r="X99" i="28" s="1"/>
  <c r="AB99" i="28" s="1"/>
  <c r="AG94" i="29"/>
  <c r="AF95" i="29" s="1"/>
  <c r="O69" i="29"/>
  <c r="O69" i="28"/>
  <c r="N69" i="28"/>
  <c r="M69" i="28"/>
  <c r="P70" i="28"/>
  <c r="AT95" i="29"/>
  <c r="AR176" i="3"/>
  <c r="P174" i="20"/>
  <c r="O97" i="24"/>
  <c r="N97" i="24"/>
  <c r="K91" i="24"/>
  <c r="T91" i="24" s="1"/>
  <c r="S92" i="24" s="1"/>
  <c r="J91" i="24"/>
  <c r="Z92" i="25"/>
  <c r="Y92" i="25"/>
  <c r="AG92" i="25" s="1"/>
  <c r="AF93" i="25" s="1"/>
  <c r="AN174" i="20"/>
  <c r="AK172" i="3"/>
  <c r="BG172" i="3" s="1"/>
  <c r="AQ174" i="20"/>
  <c r="AR174" i="20" s="1"/>
  <c r="O175" i="20"/>
  <c r="O171" i="15"/>
  <c r="K171" i="15"/>
  <c r="AC94" i="29"/>
  <c r="X95" i="29" s="1"/>
  <c r="T156" i="29"/>
  <c r="S156" i="29"/>
  <c r="W156" i="29" s="1"/>
  <c r="R157" i="29" s="1"/>
  <c r="U157" i="29" s="1"/>
  <c r="C170" i="29"/>
  <c r="AZ170" i="29"/>
  <c r="E171" i="29"/>
  <c r="AW67" i="29"/>
  <c r="AX67" i="29" s="1"/>
  <c r="AY67" i="29" s="1"/>
  <c r="F69" i="29"/>
  <c r="I69" i="29" s="1"/>
  <c r="N125" i="26"/>
  <c r="P125" i="26" s="1"/>
  <c r="M126" i="26" s="1"/>
  <c r="J165" i="26"/>
  <c r="L165" i="26" s="1"/>
  <c r="I166" i="26" s="1"/>
  <c r="AT124" i="26"/>
  <c r="R124" i="26"/>
  <c r="Q125" i="26" s="1"/>
  <c r="T124" i="26"/>
  <c r="S125" i="26" s="1"/>
  <c r="F67" i="26"/>
  <c r="AL66" i="26"/>
  <c r="AM66" i="26" s="1"/>
  <c r="AN66" i="26" s="1"/>
  <c r="AI66" i="26"/>
  <c r="AJ66" i="26" s="1"/>
  <c r="AK66" i="26" s="1"/>
  <c r="O170" i="26"/>
  <c r="K170" i="26"/>
  <c r="AS170" i="26"/>
  <c r="AU170" i="26"/>
  <c r="AQ170" i="26"/>
  <c r="C171" i="26"/>
  <c r="AZ171" i="26"/>
  <c r="E172" i="26"/>
  <c r="T140" i="28"/>
  <c r="S140" i="28"/>
  <c r="W140" i="28" s="1"/>
  <c r="R141" i="28" s="1"/>
  <c r="V141" i="28" s="1"/>
  <c r="AT139" i="28"/>
  <c r="AE139" i="28"/>
  <c r="AD140" i="28" s="1"/>
  <c r="J69" i="28"/>
  <c r="H68" i="28"/>
  <c r="AP68" i="28" s="1"/>
  <c r="G68" i="28"/>
  <c r="AL68" i="28" s="1"/>
  <c r="C171" i="28"/>
  <c r="AZ171" i="28"/>
  <c r="E172" i="28"/>
  <c r="G82" i="25"/>
  <c r="K82" i="25" s="1"/>
  <c r="J83" i="25"/>
  <c r="H82" i="25"/>
  <c r="AO77" i="25"/>
  <c r="U170" i="25"/>
  <c r="V170" i="25"/>
  <c r="AA170" i="25"/>
  <c r="AB170" i="25"/>
  <c r="AR170" i="25"/>
  <c r="AL77" i="25"/>
  <c r="BC171" i="25"/>
  <c r="BB171" i="25"/>
  <c r="BA171" i="25"/>
  <c r="AS77" i="25"/>
  <c r="AU77" i="25"/>
  <c r="AQ77" i="25"/>
  <c r="AI77" i="25"/>
  <c r="N78" i="25"/>
  <c r="AP78" i="25" s="1"/>
  <c r="P79" i="25"/>
  <c r="C171" i="25"/>
  <c r="AZ171" i="25"/>
  <c r="BD171" i="25"/>
  <c r="E172" i="25"/>
  <c r="AQ170" i="24"/>
  <c r="AS170" i="24"/>
  <c r="AU170" i="24"/>
  <c r="C171" i="24"/>
  <c r="AZ171" i="24"/>
  <c r="E172" i="24"/>
  <c r="AK62" i="24"/>
  <c r="AN62" i="24"/>
  <c r="G63" i="24"/>
  <c r="AR63" i="24" s="1"/>
  <c r="H62" i="15"/>
  <c r="O172" i="15"/>
  <c r="AQ172" i="15"/>
  <c r="AS172" i="15"/>
  <c r="AU172" i="15"/>
  <c r="K172" i="15"/>
  <c r="P133" i="15"/>
  <c r="M134" i="15" s="1"/>
  <c r="N134" i="15" s="1"/>
  <c r="AN68" i="29"/>
  <c r="AW67" i="28"/>
  <c r="AX67" i="28" s="1"/>
  <c r="AY67" i="28" s="1"/>
  <c r="M78" i="25"/>
  <c r="Q78" i="25" s="1"/>
  <c r="L79" i="25" s="1"/>
  <c r="I169" i="25"/>
  <c r="O169" i="25"/>
  <c r="BF171" i="3"/>
  <c r="AJ172" i="3"/>
  <c r="BF172" i="3" s="1"/>
  <c r="AV117" i="14"/>
  <c r="AZ117" i="14" s="1"/>
  <c r="BC117" i="14" s="1"/>
  <c r="AW40" i="19"/>
  <c r="AX40" i="19" s="1"/>
  <c r="AY40" i="19" s="1"/>
  <c r="AR171" i="19"/>
  <c r="AG89" i="19"/>
  <c r="AF90" i="19" s="1"/>
  <c r="AG90" i="19" s="1"/>
  <c r="AF91" i="19" s="1"/>
  <c r="Z90" i="19"/>
  <c r="AM174" i="3"/>
  <c r="AL174" i="3"/>
  <c r="J42" i="19"/>
  <c r="G41" i="19"/>
  <c r="H41" i="19"/>
  <c r="Y91" i="19"/>
  <c r="AC91" i="19" s="1"/>
  <c r="X92" i="19" s="1"/>
  <c r="Z91" i="19"/>
  <c r="AG89" i="17"/>
  <c r="AF90" i="17" s="1"/>
  <c r="AP47" i="17"/>
  <c r="AO47" i="17"/>
  <c r="AL47" i="17"/>
  <c r="AM47" i="17" s="1"/>
  <c r="AN47" i="17" s="1"/>
  <c r="K47" i="17"/>
  <c r="G118" i="14"/>
  <c r="AL118" i="14" s="1"/>
  <c r="AM118" i="14" s="1"/>
  <c r="AN118" i="14" s="1"/>
  <c r="J119" i="14"/>
  <c r="H118" i="14"/>
  <c r="S92" i="19"/>
  <c r="W92" i="19" s="1"/>
  <c r="R93" i="19" s="1"/>
  <c r="T92" i="19"/>
  <c r="AT91" i="19"/>
  <c r="AE91" i="19"/>
  <c r="AD92" i="19" s="1"/>
  <c r="R122" i="15"/>
  <c r="Q123" i="15" s="1"/>
  <c r="AT123" i="15" s="1"/>
  <c r="AT99" i="17"/>
  <c r="AE99" i="17"/>
  <c r="AD100" i="17" s="1"/>
  <c r="N101" i="19"/>
  <c r="M101" i="19"/>
  <c r="Q101" i="19" s="1"/>
  <c r="L102" i="19" s="1"/>
  <c r="P102" i="19"/>
  <c r="S100" i="17"/>
  <c r="W100" i="17" s="1"/>
  <c r="R101" i="17" s="1"/>
  <c r="T100" i="17"/>
  <c r="Z90" i="17"/>
  <c r="Y90" i="17"/>
  <c r="AC90" i="17" s="1"/>
  <c r="X91" i="17" s="1"/>
  <c r="M101" i="17"/>
  <c r="Q101" i="17" s="1"/>
  <c r="L102" i="17" s="1"/>
  <c r="P102" i="17"/>
  <c r="N101" i="17"/>
  <c r="U172" i="17"/>
  <c r="AB172" i="17"/>
  <c r="I172" i="17"/>
  <c r="O172" i="17"/>
  <c r="V172" i="19"/>
  <c r="U172" i="19"/>
  <c r="O172" i="19"/>
  <c r="AA172" i="17"/>
  <c r="I172" i="19"/>
  <c r="AA172" i="19"/>
  <c r="AB172" i="19"/>
  <c r="V172" i="17"/>
  <c r="E173" i="19"/>
  <c r="AZ172" i="19"/>
  <c r="C172" i="19"/>
  <c r="AW79" i="18"/>
  <c r="AX79" i="18" s="1"/>
  <c r="AY79" i="18" s="1"/>
  <c r="AL80" i="18"/>
  <c r="AM80" i="18" s="1"/>
  <c r="AN80" i="18" s="1"/>
  <c r="H81" i="18"/>
  <c r="F82" i="18" s="1"/>
  <c r="AI80" i="18"/>
  <c r="AJ80" i="18" s="1"/>
  <c r="AK80" i="18" s="1"/>
  <c r="C172" i="16"/>
  <c r="E173" i="16"/>
  <c r="BD172" i="16"/>
  <c r="AZ172" i="16"/>
  <c r="AR171" i="16"/>
  <c r="J169" i="18"/>
  <c r="L169" i="18" s="1"/>
  <c r="I170" i="18" s="1"/>
  <c r="C171" i="18"/>
  <c r="E172" i="18"/>
  <c r="AZ171" i="18"/>
  <c r="AZ171" i="17"/>
  <c r="E172" i="17"/>
  <c r="C171" i="17"/>
  <c r="AQ170" i="18"/>
  <c r="AS170" i="18"/>
  <c r="AU170" i="18"/>
  <c r="K170" i="18"/>
  <c r="O170" i="18"/>
  <c r="AZ173" i="15"/>
  <c r="E174" i="15"/>
  <c r="C173" i="15"/>
  <c r="S130" i="18"/>
  <c r="T130" i="18" s="1"/>
  <c r="S131" i="18" s="1"/>
  <c r="T131" i="18" s="1"/>
  <c r="S132" i="18" s="1"/>
  <c r="R130" i="18"/>
  <c r="Q131" i="18" s="1"/>
  <c r="AT131" i="18" s="1"/>
  <c r="P131" i="18"/>
  <c r="M132" i="18" s="1"/>
  <c r="N132" i="18" s="1"/>
  <c r="A175" i="3"/>
  <c r="BI175" i="3" s="1"/>
  <c r="BJ175" i="3" s="1"/>
  <c r="AN178" i="3"/>
  <c r="AV175" i="3"/>
  <c r="AX175" i="3" s="1"/>
  <c r="G176" i="3"/>
  <c r="V175" i="3"/>
  <c r="X175" i="3" s="1"/>
  <c r="H174" i="3"/>
  <c r="AF173" i="3"/>
  <c r="AK173" i="3" s="1"/>
  <c r="AI171" i="3"/>
  <c r="BE171" i="3" s="1"/>
  <c r="AG174" i="3"/>
  <c r="AQ177" i="3"/>
  <c r="AI172" i="3"/>
  <c r="BE172" i="3" s="1"/>
  <c r="AE174" i="3"/>
  <c r="BC173" i="3"/>
  <c r="AH174" i="3"/>
  <c r="BD173" i="3"/>
  <c r="AW177" i="3"/>
  <c r="Y174" i="3"/>
  <c r="AC173" i="3"/>
  <c r="BB175" i="3" l="1"/>
  <c r="AE135" i="25"/>
  <c r="AD136" i="25" s="1"/>
  <c r="AT135" i="25"/>
  <c r="T136" i="25"/>
  <c r="S136" i="25"/>
  <c r="W136" i="25" s="1"/>
  <c r="R137" i="25" s="1"/>
  <c r="AU68" i="29"/>
  <c r="P70" i="29"/>
  <c r="AQ68" i="29"/>
  <c r="AK68" i="29"/>
  <c r="AS68" i="29"/>
  <c r="M69" i="29"/>
  <c r="Q69" i="29" s="1"/>
  <c r="L70" i="29" s="1"/>
  <c r="Z99" i="28"/>
  <c r="Y99" i="28"/>
  <c r="AG99" i="28" s="1"/>
  <c r="AF100" i="28" s="1"/>
  <c r="AR69" i="29"/>
  <c r="Z95" i="29"/>
  <c r="AA95" i="29"/>
  <c r="AE95" i="29" s="1"/>
  <c r="AD96" i="29" s="1"/>
  <c r="AR177" i="3"/>
  <c r="P175" i="20"/>
  <c r="P97" i="24"/>
  <c r="M98" i="24" s="1"/>
  <c r="N98" i="24" s="1"/>
  <c r="L91" i="24"/>
  <c r="I92" i="24" s="1"/>
  <c r="R91" i="24"/>
  <c r="Q92" i="24" s="1"/>
  <c r="AT92" i="24" s="1"/>
  <c r="AC92" i="25"/>
  <c r="X93" i="25" s="1"/>
  <c r="AN175" i="20"/>
  <c r="AM175" i="3"/>
  <c r="AL175" i="3"/>
  <c r="AQ175" i="20"/>
  <c r="AR175" i="20" s="1"/>
  <c r="O176" i="20"/>
  <c r="BG173" i="3"/>
  <c r="Y95" i="29"/>
  <c r="T157" i="29"/>
  <c r="S157" i="29"/>
  <c r="W157" i="29" s="1"/>
  <c r="R158" i="29" s="1"/>
  <c r="U158" i="29" s="1"/>
  <c r="J70" i="29"/>
  <c r="H69" i="29"/>
  <c r="AP69" i="29" s="1"/>
  <c r="G69" i="29"/>
  <c r="C171" i="29"/>
  <c r="AZ171" i="29"/>
  <c r="E172" i="29"/>
  <c r="AW66" i="26"/>
  <c r="AX66" i="26" s="1"/>
  <c r="AY66" i="26" s="1"/>
  <c r="T125" i="26"/>
  <c r="S126" i="26" s="1"/>
  <c r="J166" i="26"/>
  <c r="L166" i="26" s="1"/>
  <c r="I167" i="26" s="1"/>
  <c r="N126" i="26"/>
  <c r="G67" i="26"/>
  <c r="AR67" i="26" s="1"/>
  <c r="K171" i="26"/>
  <c r="O171" i="26"/>
  <c r="AQ171" i="26"/>
  <c r="AS171" i="26"/>
  <c r="AU171" i="26"/>
  <c r="AT125" i="26"/>
  <c r="R125" i="26"/>
  <c r="Q126" i="26" s="1"/>
  <c r="C172" i="26"/>
  <c r="AZ172" i="26"/>
  <c r="E173" i="26"/>
  <c r="AI68" i="28"/>
  <c r="AJ68" i="28" s="1"/>
  <c r="T141" i="28"/>
  <c r="S141" i="28"/>
  <c r="W141" i="28" s="1"/>
  <c r="R142" i="28" s="1"/>
  <c r="V142" i="28" s="1"/>
  <c r="AT140" i="28"/>
  <c r="AE140" i="28"/>
  <c r="AD141" i="28" s="1"/>
  <c r="AO68" i="28"/>
  <c r="C172" i="28"/>
  <c r="AZ172" i="28"/>
  <c r="E173" i="28"/>
  <c r="F83" i="25"/>
  <c r="BB172" i="25"/>
  <c r="BC172" i="25"/>
  <c r="BA172" i="25"/>
  <c r="AU78" i="25"/>
  <c r="AS78" i="25"/>
  <c r="AQ78" i="25"/>
  <c r="AI78" i="25"/>
  <c r="AL78" i="25"/>
  <c r="U171" i="25"/>
  <c r="V171" i="25"/>
  <c r="AA171" i="25"/>
  <c r="AB171" i="25"/>
  <c r="AR171" i="25"/>
  <c r="AO78" i="25"/>
  <c r="AM77" i="25"/>
  <c r="AN77" i="25" s="1"/>
  <c r="AZ172" i="25"/>
  <c r="BD172" i="25"/>
  <c r="C172" i="25"/>
  <c r="E173" i="25"/>
  <c r="AJ77" i="25"/>
  <c r="AK77" i="25" s="1"/>
  <c r="P80" i="25"/>
  <c r="N79" i="25"/>
  <c r="AP79" i="25" s="1"/>
  <c r="AW62" i="24"/>
  <c r="AX62" i="24" s="1"/>
  <c r="AY62" i="24" s="1"/>
  <c r="AQ171" i="24"/>
  <c r="AU171" i="24"/>
  <c r="AS171" i="24"/>
  <c r="C172" i="24"/>
  <c r="AZ172" i="24"/>
  <c r="E173" i="24"/>
  <c r="H63" i="24"/>
  <c r="F63" i="15"/>
  <c r="AL62" i="15"/>
  <c r="AM62" i="15" s="1"/>
  <c r="AN62" i="15" s="1"/>
  <c r="AI62" i="15"/>
  <c r="AJ62" i="15" s="1"/>
  <c r="AK62" i="15" s="1"/>
  <c r="AS173" i="15"/>
  <c r="AU173" i="15"/>
  <c r="AQ173" i="15"/>
  <c r="P134" i="15"/>
  <c r="M135" i="15" s="1"/>
  <c r="N135" i="15" s="1"/>
  <c r="K68" i="28"/>
  <c r="M79" i="25"/>
  <c r="Q79" i="25" s="1"/>
  <c r="L80" i="25" s="1"/>
  <c r="O170" i="25"/>
  <c r="I170" i="25"/>
  <c r="BG117" i="14"/>
  <c r="AD173" i="3"/>
  <c r="AI173" i="3" s="1"/>
  <c r="BE173" i="3" s="1"/>
  <c r="AO41" i="19"/>
  <c r="AP41" i="19"/>
  <c r="AI41" i="19"/>
  <c r="AJ41" i="19" s="1"/>
  <c r="AK41" i="19" s="1"/>
  <c r="K41" i="19"/>
  <c r="AL41" i="19"/>
  <c r="AM41" i="19" s="1"/>
  <c r="AN41" i="19" s="1"/>
  <c r="AR172" i="19"/>
  <c r="AG91" i="19"/>
  <c r="AF92" i="19" s="1"/>
  <c r="Z92" i="19"/>
  <c r="Y92" i="19"/>
  <c r="AC92" i="19" s="1"/>
  <c r="X93" i="19" s="1"/>
  <c r="AS47" i="17"/>
  <c r="F48" i="17"/>
  <c r="AU47" i="17"/>
  <c r="AQ47" i="17"/>
  <c r="T122" i="15"/>
  <c r="S123" i="15" s="1"/>
  <c r="AI118" i="14"/>
  <c r="AJ118" i="14" s="1"/>
  <c r="AK118" i="14" s="1"/>
  <c r="K118" i="14"/>
  <c r="AO118" i="14"/>
  <c r="AP118" i="14"/>
  <c r="T93" i="19"/>
  <c r="S93" i="19"/>
  <c r="W93" i="19" s="1"/>
  <c r="R94" i="19" s="1"/>
  <c r="AT92" i="19"/>
  <c r="AE92" i="19"/>
  <c r="AD93" i="19" s="1"/>
  <c r="AA173" i="17"/>
  <c r="I173" i="17"/>
  <c r="AB173" i="17"/>
  <c r="U173" i="17"/>
  <c r="V173" i="17"/>
  <c r="AA173" i="19"/>
  <c r="I173" i="19"/>
  <c r="O173" i="17"/>
  <c r="V173" i="19"/>
  <c r="O173" i="19"/>
  <c r="AB173" i="19"/>
  <c r="U173" i="19"/>
  <c r="P103" i="17"/>
  <c r="M102" i="17"/>
  <c r="Q102" i="17" s="1"/>
  <c r="L103" i="17" s="1"/>
  <c r="N102" i="17"/>
  <c r="N102" i="19"/>
  <c r="P103" i="19"/>
  <c r="M102" i="19"/>
  <c r="Q102" i="19" s="1"/>
  <c r="L103" i="19" s="1"/>
  <c r="AG90" i="17"/>
  <c r="AF91" i="17" s="1"/>
  <c r="Y91" i="17"/>
  <c r="AC91" i="17" s="1"/>
  <c r="X92" i="17" s="1"/>
  <c r="Z91" i="17"/>
  <c r="S101" i="17"/>
  <c r="W101" i="17" s="1"/>
  <c r="R102" i="17" s="1"/>
  <c r="T101" i="17"/>
  <c r="AT100" i="17"/>
  <c r="AE100" i="17"/>
  <c r="AD101" i="17" s="1"/>
  <c r="AI81" i="18"/>
  <c r="AJ81" i="18" s="1"/>
  <c r="AK81" i="18" s="1"/>
  <c r="AL81" i="18"/>
  <c r="AM81" i="18" s="1"/>
  <c r="AN81" i="18" s="1"/>
  <c r="AZ173" i="19"/>
  <c r="E174" i="19"/>
  <c r="C173" i="19"/>
  <c r="AW80" i="18"/>
  <c r="AX80" i="18" s="1"/>
  <c r="AY80" i="18" s="1"/>
  <c r="AR172" i="16"/>
  <c r="C173" i="16"/>
  <c r="E174" i="16"/>
  <c r="AZ173" i="16"/>
  <c r="BD173" i="16"/>
  <c r="J170" i="18"/>
  <c r="L170" i="18" s="1"/>
  <c r="I171" i="18" s="1"/>
  <c r="AZ172" i="18"/>
  <c r="E173" i="18"/>
  <c r="C172" i="18"/>
  <c r="E173" i="17"/>
  <c r="AZ172" i="17"/>
  <c r="C172" i="17"/>
  <c r="AQ171" i="18"/>
  <c r="K171" i="18"/>
  <c r="AS171" i="18"/>
  <c r="AU171" i="18"/>
  <c r="O171" i="18"/>
  <c r="G82" i="18"/>
  <c r="AR82" i="18" s="1"/>
  <c r="E175" i="15"/>
  <c r="AZ174" i="15"/>
  <c r="C174" i="15"/>
  <c r="P132" i="18"/>
  <c r="M133" i="18" s="1"/>
  <c r="N133" i="18" s="1"/>
  <c r="T132" i="18"/>
  <c r="S133" i="18" s="1"/>
  <c r="R131" i="18"/>
  <c r="Q132" i="18" s="1"/>
  <c r="AT132" i="18" s="1"/>
  <c r="L122" i="15"/>
  <c r="I123" i="15" s="1"/>
  <c r="J123" i="15" s="1"/>
  <c r="BD174" i="3"/>
  <c r="AH175" i="3"/>
  <c r="AV176" i="3"/>
  <c r="AX176" i="3" s="1"/>
  <c r="V176" i="3"/>
  <c r="X176" i="3" s="1"/>
  <c r="G177" i="3"/>
  <c r="Y175" i="3"/>
  <c r="AC174" i="3"/>
  <c r="AG175" i="3"/>
  <c r="H175" i="3"/>
  <c r="AF174" i="3"/>
  <c r="AK174" i="3" s="1"/>
  <c r="AN179" i="3"/>
  <c r="A176" i="3"/>
  <c r="BI176" i="3" s="1"/>
  <c r="BJ176" i="3" s="1"/>
  <c r="AW178" i="3"/>
  <c r="AE175" i="3"/>
  <c r="BC174" i="3"/>
  <c r="AQ178" i="3"/>
  <c r="P178" i="3"/>
  <c r="P179" i="3" s="1"/>
  <c r="BB176" i="3" l="1"/>
  <c r="AT136" i="25"/>
  <c r="AE136" i="25"/>
  <c r="AD137" i="25" s="1"/>
  <c r="S137" i="25"/>
  <c r="W137" i="25" s="1"/>
  <c r="R138" i="25" s="1"/>
  <c r="T137" i="25"/>
  <c r="AL69" i="29"/>
  <c r="AM69" i="29" s="1"/>
  <c r="AN69" i="29" s="1"/>
  <c r="AW68" i="29"/>
  <c r="AX68" i="29" s="1"/>
  <c r="AY68" i="29" s="1"/>
  <c r="AC99" i="28"/>
  <c r="X100" i="28" s="1"/>
  <c r="AB100" i="28" s="1"/>
  <c r="AT96" i="29"/>
  <c r="AG95" i="29"/>
  <c r="AF96" i="29" s="1"/>
  <c r="O70" i="29"/>
  <c r="N70" i="29"/>
  <c r="P71" i="29"/>
  <c r="M70" i="29"/>
  <c r="AR178" i="3"/>
  <c r="O98" i="24"/>
  <c r="P98" i="24" s="1"/>
  <c r="M99" i="24" s="1"/>
  <c r="O99" i="24" s="1"/>
  <c r="P176" i="20"/>
  <c r="K92" i="24"/>
  <c r="R92" i="24" s="1"/>
  <c r="Q93" i="24" s="1"/>
  <c r="J92" i="24"/>
  <c r="Y93" i="25"/>
  <c r="AG93" i="25" s="1"/>
  <c r="AF94" i="25" s="1"/>
  <c r="Z93" i="25"/>
  <c r="AN176" i="20"/>
  <c r="AL176" i="3"/>
  <c r="AM176" i="3"/>
  <c r="BG174" i="3"/>
  <c r="AQ176" i="20"/>
  <c r="AR176" i="20" s="1"/>
  <c r="O177" i="20"/>
  <c r="AJ173" i="3"/>
  <c r="BF173" i="3" s="1"/>
  <c r="K173" i="15"/>
  <c r="O173" i="15"/>
  <c r="AC95" i="29"/>
  <c r="X96" i="29" s="1"/>
  <c r="T158" i="29"/>
  <c r="S158" i="29"/>
  <c r="W158" i="29" s="1"/>
  <c r="R159" i="29" s="1"/>
  <c r="U159" i="29" s="1"/>
  <c r="AI69" i="29"/>
  <c r="K69" i="29"/>
  <c r="AO69" i="29"/>
  <c r="AZ172" i="29"/>
  <c r="C172" i="29"/>
  <c r="E173" i="29"/>
  <c r="T126" i="26"/>
  <c r="S127" i="26" s="1"/>
  <c r="J167" i="26"/>
  <c r="L167" i="26" s="1"/>
  <c r="I168" i="26" s="1"/>
  <c r="P126" i="26"/>
  <c r="M127" i="26" s="1"/>
  <c r="AT126" i="26"/>
  <c r="R126" i="26"/>
  <c r="Q127" i="26" s="1"/>
  <c r="H67" i="26"/>
  <c r="O172" i="26"/>
  <c r="AQ172" i="26"/>
  <c r="AS172" i="26"/>
  <c r="AU172" i="26"/>
  <c r="K172" i="26"/>
  <c r="C173" i="26"/>
  <c r="AZ173" i="26"/>
  <c r="E174" i="26"/>
  <c r="AK68" i="28"/>
  <c r="T142" i="28"/>
  <c r="S142" i="28"/>
  <c r="W142" i="28" s="1"/>
  <c r="R143" i="28" s="1"/>
  <c r="V143" i="28" s="1"/>
  <c r="AT141" i="28"/>
  <c r="AE141" i="28"/>
  <c r="AD142" i="28" s="1"/>
  <c r="AQ68" i="28"/>
  <c r="AS68" i="28"/>
  <c r="AU68" i="28"/>
  <c r="AM68" i="28"/>
  <c r="AN68" i="28" s="1"/>
  <c r="F69" i="28"/>
  <c r="I69" i="28" s="1"/>
  <c r="Q69" i="28" s="1"/>
  <c r="L70" i="28" s="1"/>
  <c r="AZ173" i="28"/>
  <c r="C173" i="28"/>
  <c r="E174" i="28"/>
  <c r="AL79" i="25"/>
  <c r="AU79" i="25"/>
  <c r="G83" i="25"/>
  <c r="K83" i="25" s="1"/>
  <c r="H83" i="25"/>
  <c r="J84" i="25"/>
  <c r="AO79" i="25"/>
  <c r="AQ79" i="25"/>
  <c r="AS79" i="25"/>
  <c r="U172" i="25"/>
  <c r="V172" i="25"/>
  <c r="AA172" i="25"/>
  <c r="AB172" i="25"/>
  <c r="AR172" i="25"/>
  <c r="AI79" i="25"/>
  <c r="BA173" i="25"/>
  <c r="BB173" i="25"/>
  <c r="BC173" i="25"/>
  <c r="AW77" i="25"/>
  <c r="AX77" i="25" s="1"/>
  <c r="AY77" i="25" s="1"/>
  <c r="N80" i="25"/>
  <c r="AP80" i="25" s="1"/>
  <c r="P81" i="25"/>
  <c r="AM78" i="25"/>
  <c r="AN78" i="25" s="1"/>
  <c r="AJ78" i="25"/>
  <c r="AK78" i="25" s="1"/>
  <c r="C173" i="25"/>
  <c r="AZ173" i="25"/>
  <c r="BD173" i="25"/>
  <c r="E174" i="25"/>
  <c r="C173" i="24"/>
  <c r="AZ173" i="24"/>
  <c r="E174" i="24"/>
  <c r="AS172" i="24"/>
  <c r="AU172" i="24"/>
  <c r="AQ172" i="24"/>
  <c r="F64" i="24"/>
  <c r="AI63" i="24"/>
  <c r="AJ63" i="24" s="1"/>
  <c r="AL63" i="24"/>
  <c r="AM63" i="24" s="1"/>
  <c r="AW62" i="15"/>
  <c r="AX62" i="15" s="1"/>
  <c r="AY62" i="15" s="1"/>
  <c r="G63" i="15"/>
  <c r="AR63" i="15" s="1"/>
  <c r="AQ174" i="15"/>
  <c r="AS174" i="15"/>
  <c r="AU174" i="15"/>
  <c r="P135" i="15"/>
  <c r="M136" i="15" s="1"/>
  <c r="N136" i="15" s="1"/>
  <c r="M80" i="25"/>
  <c r="AL80" i="25" s="1"/>
  <c r="I171" i="25"/>
  <c r="O171" i="25"/>
  <c r="AW47" i="17"/>
  <c r="AX47" i="17" s="1"/>
  <c r="AY47" i="17" s="1"/>
  <c r="AS41" i="19"/>
  <c r="AQ41" i="19"/>
  <c r="F42" i="19"/>
  <c r="AU41" i="19"/>
  <c r="AR173" i="19"/>
  <c r="Z93" i="19"/>
  <c r="Y93" i="19"/>
  <c r="AC93" i="19" s="1"/>
  <c r="X94" i="19" s="1"/>
  <c r="AG92" i="19"/>
  <c r="AF93" i="19" s="1"/>
  <c r="G48" i="17"/>
  <c r="AL48" i="17" s="1"/>
  <c r="AM48" i="17" s="1"/>
  <c r="AN48" i="17" s="1"/>
  <c r="J49" i="17"/>
  <c r="H48" i="17"/>
  <c r="F119" i="14"/>
  <c r="AU118" i="14"/>
  <c r="AS118" i="14"/>
  <c r="AQ118" i="14"/>
  <c r="AE93" i="19"/>
  <c r="AD94" i="19" s="1"/>
  <c r="AT93" i="19"/>
  <c r="T94" i="19"/>
  <c r="S94" i="19"/>
  <c r="W94" i="19" s="1"/>
  <c r="R95" i="19" s="1"/>
  <c r="N103" i="19"/>
  <c r="M103" i="19"/>
  <c r="Q103" i="19" s="1"/>
  <c r="L104" i="19" s="1"/>
  <c r="P104" i="19"/>
  <c r="U174" i="17"/>
  <c r="AA174" i="17"/>
  <c r="V174" i="17"/>
  <c r="AB174" i="19"/>
  <c r="O174" i="19"/>
  <c r="AB174" i="17"/>
  <c r="AA174" i="19"/>
  <c r="I174" i="19"/>
  <c r="I174" i="17"/>
  <c r="U174" i="19"/>
  <c r="O174" i="17"/>
  <c r="V174" i="19"/>
  <c r="AD174" i="3"/>
  <c r="AI174" i="3" s="1"/>
  <c r="BE174" i="3" s="1"/>
  <c r="AG91" i="17"/>
  <c r="AF92" i="17" s="1"/>
  <c r="S102" i="17"/>
  <c r="W102" i="17" s="1"/>
  <c r="R103" i="17" s="1"/>
  <c r="T102" i="17"/>
  <c r="M103" i="17"/>
  <c r="Q103" i="17" s="1"/>
  <c r="L104" i="17" s="1"/>
  <c r="P104" i="17"/>
  <c r="N103" i="17"/>
  <c r="AT101" i="17"/>
  <c r="AE101" i="17"/>
  <c r="AD102" i="17" s="1"/>
  <c r="Z92" i="17"/>
  <c r="Y92" i="17"/>
  <c r="AC92" i="17" s="1"/>
  <c r="X93" i="17" s="1"/>
  <c r="AW81" i="18"/>
  <c r="AX81" i="18" s="1"/>
  <c r="AY81" i="18" s="1"/>
  <c r="AZ174" i="19"/>
  <c r="C174" i="19"/>
  <c r="E175" i="19"/>
  <c r="BD174" i="16"/>
  <c r="AZ174" i="16"/>
  <c r="C174" i="16"/>
  <c r="E175" i="16"/>
  <c r="AR173" i="16"/>
  <c r="J171" i="18"/>
  <c r="L171" i="18" s="1"/>
  <c r="I172" i="18" s="1"/>
  <c r="C173" i="18"/>
  <c r="AZ173" i="18"/>
  <c r="E174" i="18"/>
  <c r="AU172" i="18"/>
  <c r="O172" i="18"/>
  <c r="AQ172" i="18"/>
  <c r="AS172" i="18"/>
  <c r="K172" i="18"/>
  <c r="C173" i="17"/>
  <c r="AZ173" i="17"/>
  <c r="E174" i="17"/>
  <c r="H82" i="18"/>
  <c r="AZ175" i="15"/>
  <c r="E176" i="15"/>
  <c r="C175" i="15"/>
  <c r="P133" i="18"/>
  <c r="M134" i="18" s="1"/>
  <c r="N134" i="18" s="1"/>
  <c r="R132" i="18"/>
  <c r="Q133" i="18" s="1"/>
  <c r="AT133" i="18" s="1"/>
  <c r="T133" i="18"/>
  <c r="S134" i="18" s="1"/>
  <c r="BD175" i="3"/>
  <c r="AH176" i="3"/>
  <c r="AW179" i="3"/>
  <c r="AN180" i="3"/>
  <c r="AG176" i="3"/>
  <c r="AV177" i="3"/>
  <c r="AX177" i="3" s="1"/>
  <c r="V177" i="3"/>
  <c r="X177" i="3" s="1"/>
  <c r="G178" i="3"/>
  <c r="AE176" i="3"/>
  <c r="BC175" i="3"/>
  <c r="AQ179" i="3"/>
  <c r="A177" i="3"/>
  <c r="BI177" i="3" s="1"/>
  <c r="BJ177" i="3" s="1"/>
  <c r="H176" i="3"/>
  <c r="AF175" i="3"/>
  <c r="AD175" i="3" s="1"/>
  <c r="Y176" i="3"/>
  <c r="AC175" i="3"/>
  <c r="BB177" i="3" l="1"/>
  <c r="AT137" i="25"/>
  <c r="AE137" i="25"/>
  <c r="AD138" i="25" s="1"/>
  <c r="T138" i="25"/>
  <c r="S138" i="25"/>
  <c r="W138" i="25" s="1"/>
  <c r="R139" i="25" s="1"/>
  <c r="Z100" i="28"/>
  <c r="Y100" i="28"/>
  <c r="AG100" i="28" s="1"/>
  <c r="AF101" i="28" s="1"/>
  <c r="O70" i="28"/>
  <c r="M70" i="28"/>
  <c r="N70" i="28"/>
  <c r="P71" i="28"/>
  <c r="Z96" i="29"/>
  <c r="AA96" i="29"/>
  <c r="AE96" i="29" s="1"/>
  <c r="AD97" i="29" s="1"/>
  <c r="AR179" i="3"/>
  <c r="AN177" i="20"/>
  <c r="P177" i="20"/>
  <c r="N99" i="24"/>
  <c r="P99" i="24" s="1"/>
  <c r="M100" i="24" s="1"/>
  <c r="N100" i="24" s="1"/>
  <c r="L92" i="24"/>
  <c r="I93" i="24" s="1"/>
  <c r="T92" i="24"/>
  <c r="S93" i="24" s="1"/>
  <c r="AC93" i="25"/>
  <c r="X94" i="25" s="1"/>
  <c r="K174" i="15"/>
  <c r="AQ177" i="20"/>
  <c r="AR177" i="20" s="1"/>
  <c r="O178" i="20"/>
  <c r="AK175" i="3"/>
  <c r="BG175" i="3" s="1"/>
  <c r="O174" i="15"/>
  <c r="AJ174" i="3"/>
  <c r="BF174" i="3" s="1"/>
  <c r="Y96" i="29"/>
  <c r="T159" i="29"/>
  <c r="S159" i="29"/>
  <c r="W159" i="29" s="1"/>
  <c r="R160" i="29" s="1"/>
  <c r="U160" i="29" s="1"/>
  <c r="F70" i="29"/>
  <c r="I70" i="29" s="1"/>
  <c r="AR70" i="29" s="1"/>
  <c r="AS69" i="29"/>
  <c r="AU69" i="29"/>
  <c r="AQ69" i="29"/>
  <c r="C173" i="29"/>
  <c r="AZ173" i="29"/>
  <c r="E174" i="29"/>
  <c r="AJ69" i="29"/>
  <c r="AK69" i="29" s="1"/>
  <c r="J168" i="26"/>
  <c r="L168" i="26" s="1"/>
  <c r="I169" i="26" s="1"/>
  <c r="N127" i="26"/>
  <c r="T127" i="26" s="1"/>
  <c r="S128" i="26" s="1"/>
  <c r="F68" i="26"/>
  <c r="AI67" i="26"/>
  <c r="AL67" i="26"/>
  <c r="AM67" i="26" s="1"/>
  <c r="AN67" i="26" s="1"/>
  <c r="AT127" i="26"/>
  <c r="AS173" i="26"/>
  <c r="AU173" i="26"/>
  <c r="AQ173" i="26"/>
  <c r="K173" i="26"/>
  <c r="O173" i="26"/>
  <c r="C174" i="26"/>
  <c r="AZ174" i="26"/>
  <c r="E175" i="26"/>
  <c r="T143" i="28"/>
  <c r="S143" i="28"/>
  <c r="W143" i="28" s="1"/>
  <c r="R144" i="28" s="1"/>
  <c r="V144" i="28" s="1"/>
  <c r="AT142" i="28"/>
  <c r="AE142" i="28"/>
  <c r="AD143" i="28" s="1"/>
  <c r="H69" i="28"/>
  <c r="AP69" i="28" s="1"/>
  <c r="J70" i="28"/>
  <c r="G69" i="28"/>
  <c r="AL69" i="28" s="1"/>
  <c r="C174" i="28"/>
  <c r="AZ174" i="28"/>
  <c r="E175" i="28"/>
  <c r="AW78" i="25"/>
  <c r="AX78" i="25" s="1"/>
  <c r="AY78" i="25" s="1"/>
  <c r="F84" i="25"/>
  <c r="U173" i="25"/>
  <c r="V173" i="25"/>
  <c r="AA173" i="25"/>
  <c r="AB173" i="25"/>
  <c r="AR173" i="25"/>
  <c r="BA174" i="25"/>
  <c r="BB174" i="25"/>
  <c r="BC174" i="25"/>
  <c r="AO80" i="25"/>
  <c r="AM80" i="25"/>
  <c r="AN80" i="25" s="1"/>
  <c r="AJ79" i="25"/>
  <c r="AK79" i="25" s="1"/>
  <c r="AZ174" i="25"/>
  <c r="BD174" i="25"/>
  <c r="C174" i="25"/>
  <c r="E175" i="25"/>
  <c r="AM79" i="25"/>
  <c r="AN79" i="25" s="1"/>
  <c r="AT93" i="24"/>
  <c r="AQ173" i="24"/>
  <c r="AS173" i="24"/>
  <c r="AU173" i="24"/>
  <c r="C174" i="24"/>
  <c r="AZ174" i="24"/>
  <c r="E175" i="24"/>
  <c r="AK63" i="24"/>
  <c r="AN63" i="24"/>
  <c r="G64" i="24"/>
  <c r="AR64" i="24" s="1"/>
  <c r="H63" i="15"/>
  <c r="K175" i="15"/>
  <c r="O175" i="15"/>
  <c r="AQ175" i="15"/>
  <c r="AS175" i="15"/>
  <c r="AU175" i="15"/>
  <c r="P136" i="15"/>
  <c r="M137" i="15" s="1"/>
  <c r="N137" i="15" s="1"/>
  <c r="AW68" i="28"/>
  <c r="AX68" i="28" s="1"/>
  <c r="AY68" i="28" s="1"/>
  <c r="Q80" i="25"/>
  <c r="O172" i="25"/>
  <c r="I172" i="25"/>
  <c r="AJ175" i="3"/>
  <c r="BF175" i="3" s="1"/>
  <c r="AW41" i="19"/>
  <c r="AX41" i="19" s="1"/>
  <c r="AY41" i="19" s="1"/>
  <c r="AV118" i="14"/>
  <c r="BG118" i="14" s="1"/>
  <c r="J43" i="19"/>
  <c r="G42" i="19"/>
  <c r="AL42" i="19" s="1"/>
  <c r="AM42" i="19" s="1"/>
  <c r="AN42" i="19" s="1"/>
  <c r="H42" i="19"/>
  <c r="Y94" i="19"/>
  <c r="Z94" i="19"/>
  <c r="AG93" i="19"/>
  <c r="AF94" i="19" s="1"/>
  <c r="AI48" i="17"/>
  <c r="AJ48" i="17" s="1"/>
  <c r="AK48" i="17" s="1"/>
  <c r="K48" i="17"/>
  <c r="AP48" i="17"/>
  <c r="AO48" i="17"/>
  <c r="J120" i="14"/>
  <c r="G119" i="14"/>
  <c r="AL119" i="14" s="1"/>
  <c r="AM119" i="14" s="1"/>
  <c r="AN119" i="14" s="1"/>
  <c r="H119" i="14"/>
  <c r="AT94" i="19"/>
  <c r="AE94" i="19"/>
  <c r="AD95" i="19" s="1"/>
  <c r="T95" i="19"/>
  <c r="S95" i="19"/>
  <c r="W95" i="19" s="1"/>
  <c r="R96" i="19" s="1"/>
  <c r="AG92" i="17"/>
  <c r="AF93" i="17" s="1"/>
  <c r="AA175" i="17"/>
  <c r="I175" i="17"/>
  <c r="V175" i="17"/>
  <c r="AB175" i="17"/>
  <c r="O175" i="17"/>
  <c r="U175" i="19"/>
  <c r="AB175" i="19"/>
  <c r="O175" i="19"/>
  <c r="V175" i="19"/>
  <c r="I175" i="19"/>
  <c r="AA175" i="19"/>
  <c r="U175" i="17"/>
  <c r="AT102" i="17"/>
  <c r="AE102" i="17"/>
  <c r="AD103" i="17" s="1"/>
  <c r="Z93" i="17"/>
  <c r="Y93" i="17"/>
  <c r="AC93" i="17" s="1"/>
  <c r="X94" i="17" s="1"/>
  <c r="P105" i="19"/>
  <c r="N104" i="19"/>
  <c r="M104" i="19"/>
  <c r="Q104" i="19" s="1"/>
  <c r="L105" i="19" s="1"/>
  <c r="AR174" i="19"/>
  <c r="M104" i="17"/>
  <c r="Q104" i="17" s="1"/>
  <c r="L105" i="17" s="1"/>
  <c r="N104" i="17"/>
  <c r="P105" i="17"/>
  <c r="T103" i="17"/>
  <c r="S103" i="17"/>
  <c r="W103" i="17" s="1"/>
  <c r="R104" i="17" s="1"/>
  <c r="C175" i="19"/>
  <c r="E176" i="19"/>
  <c r="AZ175" i="19"/>
  <c r="E176" i="16"/>
  <c r="AZ175" i="16"/>
  <c r="C175" i="16"/>
  <c r="BD175" i="16"/>
  <c r="AR174" i="16"/>
  <c r="AU173" i="18"/>
  <c r="O173" i="18"/>
  <c r="AQ173" i="18"/>
  <c r="K173" i="18"/>
  <c r="AS173" i="18"/>
  <c r="AZ174" i="17"/>
  <c r="E175" i="17"/>
  <c r="C174" i="17"/>
  <c r="C174" i="18"/>
  <c r="AZ174" i="18"/>
  <c r="E175" i="18"/>
  <c r="J172" i="18"/>
  <c r="L172" i="18" s="1"/>
  <c r="I173" i="18" s="1"/>
  <c r="F83" i="18"/>
  <c r="AL82" i="18"/>
  <c r="AI82" i="18"/>
  <c r="AJ82" i="18" s="1"/>
  <c r="AK82" i="18" s="1"/>
  <c r="AZ176" i="15"/>
  <c r="C176" i="15"/>
  <c r="E177" i="15"/>
  <c r="P134" i="18"/>
  <c r="M135" i="18" s="1"/>
  <c r="N135" i="18" s="1"/>
  <c r="T134" i="18"/>
  <c r="S135" i="18" s="1"/>
  <c r="R133" i="18"/>
  <c r="Q134" i="18" s="1"/>
  <c r="AT134" i="18" s="1"/>
  <c r="T123" i="15"/>
  <c r="S124" i="15" s="1"/>
  <c r="R123" i="15"/>
  <c r="Q124" i="15" s="1"/>
  <c r="AT124" i="15" s="1"/>
  <c r="L123" i="15"/>
  <c r="I124" i="15" s="1"/>
  <c r="J124" i="15" s="1"/>
  <c r="H177" i="3"/>
  <c r="AF176" i="3"/>
  <c r="AD176" i="3" s="1"/>
  <c r="AQ180" i="3"/>
  <c r="AE177" i="3"/>
  <c r="BC176" i="3"/>
  <c r="BD176" i="3"/>
  <c r="AH177" i="3"/>
  <c r="AI175" i="3"/>
  <c r="BE175" i="3" s="1"/>
  <c r="A178" i="3"/>
  <c r="BI178" i="3" s="1"/>
  <c r="BJ178" i="3" s="1"/>
  <c r="AL177" i="3"/>
  <c r="AW180" i="3"/>
  <c r="Y177" i="3"/>
  <c r="AC176" i="3"/>
  <c r="AV178" i="3"/>
  <c r="AX178" i="3" s="1"/>
  <c r="V178" i="3"/>
  <c r="X178" i="3" s="1"/>
  <c r="G179" i="3"/>
  <c r="AG177" i="3"/>
  <c r="P180" i="3"/>
  <c r="AM177" i="3"/>
  <c r="BB178" i="3" l="1"/>
  <c r="AT138" i="25"/>
  <c r="AE138" i="25"/>
  <c r="AD139" i="25" s="1"/>
  <c r="S139" i="25"/>
  <c r="W139" i="25" s="1"/>
  <c r="R140" i="25" s="1"/>
  <c r="T139" i="25"/>
  <c r="AC100" i="28"/>
  <c r="X101" i="28" s="1"/>
  <c r="AB101" i="28" s="1"/>
  <c r="AG96" i="29"/>
  <c r="AF97" i="29" s="1"/>
  <c r="Q70" i="29"/>
  <c r="L71" i="29" s="1"/>
  <c r="AT97" i="29"/>
  <c r="AR180" i="3"/>
  <c r="O100" i="24"/>
  <c r="P100" i="24" s="1"/>
  <c r="M101" i="24" s="1"/>
  <c r="AN178" i="20"/>
  <c r="K93" i="24"/>
  <c r="R93" i="24" s="1"/>
  <c r="Q94" i="24" s="1"/>
  <c r="AT94" i="24" s="1"/>
  <c r="J93" i="24"/>
  <c r="Y94" i="25"/>
  <c r="AG94" i="25" s="1"/>
  <c r="AF95" i="25" s="1"/>
  <c r="Z94" i="25"/>
  <c r="AR175" i="19"/>
  <c r="P178" i="20"/>
  <c r="AM178" i="3"/>
  <c r="AQ178" i="20"/>
  <c r="AR178" i="20" s="1"/>
  <c r="O179" i="20"/>
  <c r="AK176" i="3"/>
  <c r="BG176" i="3" s="1"/>
  <c r="AJ176" i="3"/>
  <c r="BF176" i="3" s="1"/>
  <c r="AC96" i="29"/>
  <c r="X97" i="29" s="1"/>
  <c r="AW69" i="29"/>
  <c r="AX69" i="29" s="1"/>
  <c r="AY69" i="29" s="1"/>
  <c r="T160" i="29"/>
  <c r="S160" i="29"/>
  <c r="W160" i="29" s="1"/>
  <c r="R161" i="29" s="1"/>
  <c r="U161" i="29" s="1"/>
  <c r="J71" i="29"/>
  <c r="H70" i="29"/>
  <c r="AP70" i="29" s="1"/>
  <c r="G70" i="29"/>
  <c r="AL70" i="29" s="1"/>
  <c r="AZ174" i="29"/>
  <c r="C174" i="29"/>
  <c r="E175" i="29"/>
  <c r="P127" i="26"/>
  <c r="M128" i="26" s="1"/>
  <c r="N128" i="26" s="1"/>
  <c r="T128" i="26" s="1"/>
  <c r="S129" i="26" s="1"/>
  <c r="J169" i="26"/>
  <c r="L169" i="26" s="1"/>
  <c r="I170" i="26" s="1"/>
  <c r="G68" i="26"/>
  <c r="AR68" i="26" s="1"/>
  <c r="AJ67" i="26"/>
  <c r="AK67" i="26" s="1"/>
  <c r="AW67" i="26" s="1"/>
  <c r="AX67" i="26" s="1"/>
  <c r="AY67" i="26" s="1"/>
  <c r="R127" i="26"/>
  <c r="Q128" i="26" s="1"/>
  <c r="K174" i="26"/>
  <c r="O174" i="26"/>
  <c r="AS174" i="26"/>
  <c r="AU174" i="26"/>
  <c r="AQ174" i="26"/>
  <c r="C175" i="26"/>
  <c r="AZ175" i="26"/>
  <c r="E176" i="26"/>
  <c r="AI69" i="28"/>
  <c r="AJ69" i="28" s="1"/>
  <c r="AK69" i="28" s="1"/>
  <c r="T144" i="28"/>
  <c r="S144" i="28"/>
  <c r="W144" i="28" s="1"/>
  <c r="R145" i="28" s="1"/>
  <c r="V145" i="28" s="1"/>
  <c r="AT143" i="28"/>
  <c r="AE143" i="28"/>
  <c r="AD144" i="28" s="1"/>
  <c r="AO69" i="28"/>
  <c r="AZ175" i="28"/>
  <c r="C175" i="28"/>
  <c r="E176" i="28"/>
  <c r="G84" i="25"/>
  <c r="K84" i="25" s="1"/>
  <c r="F85" i="25" s="1"/>
  <c r="J85" i="25"/>
  <c r="H84" i="25"/>
  <c r="BA175" i="25"/>
  <c r="BB175" i="25"/>
  <c r="BC175" i="25"/>
  <c r="AW63" i="24"/>
  <c r="AX63" i="24" s="1"/>
  <c r="AY63" i="24" s="1"/>
  <c r="AW79" i="25"/>
  <c r="AX79" i="25" s="1"/>
  <c r="AY79" i="25" s="1"/>
  <c r="AU80" i="25"/>
  <c r="AI80" i="25"/>
  <c r="AJ80" i="25" s="1"/>
  <c r="AQ80" i="25"/>
  <c r="AS80" i="25"/>
  <c r="U174" i="25"/>
  <c r="V174" i="25"/>
  <c r="AA174" i="25"/>
  <c r="AB174" i="25"/>
  <c r="AR174" i="25"/>
  <c r="L81" i="25"/>
  <c r="C175" i="25"/>
  <c r="AZ175" i="25"/>
  <c r="BD175" i="25"/>
  <c r="E176" i="25"/>
  <c r="AZ175" i="24"/>
  <c r="C175" i="24"/>
  <c r="E176" i="24"/>
  <c r="AQ174" i="24"/>
  <c r="AS174" i="24"/>
  <c r="AU174" i="24"/>
  <c r="H64" i="24"/>
  <c r="F64" i="15"/>
  <c r="AI63" i="15"/>
  <c r="AJ63" i="15" s="1"/>
  <c r="AK63" i="15" s="1"/>
  <c r="AL63" i="15"/>
  <c r="AM63" i="15" s="1"/>
  <c r="AN63" i="15" s="1"/>
  <c r="O176" i="15"/>
  <c r="AQ176" i="15"/>
  <c r="AS176" i="15"/>
  <c r="AU176" i="15"/>
  <c r="K176" i="15"/>
  <c r="P137" i="15"/>
  <c r="M138" i="15" s="1"/>
  <c r="N138" i="15" s="1"/>
  <c r="K69" i="28"/>
  <c r="O173" i="25"/>
  <c r="I173" i="25"/>
  <c r="AZ118" i="14"/>
  <c r="BC118" i="14" s="1"/>
  <c r="AO42" i="19"/>
  <c r="AP42" i="19"/>
  <c r="AI42" i="19"/>
  <c r="AJ42" i="19" s="1"/>
  <c r="AK42" i="19" s="1"/>
  <c r="K42" i="19"/>
  <c r="AG94" i="19"/>
  <c r="AF95" i="19" s="1"/>
  <c r="AC94" i="19"/>
  <c r="X95" i="19" s="1"/>
  <c r="K119" i="14"/>
  <c r="F120" i="14" s="1"/>
  <c r="G120" i="14" s="1"/>
  <c r="K120" i="14" s="1"/>
  <c r="AI119" i="14"/>
  <c r="AJ119" i="14" s="1"/>
  <c r="AK119" i="14" s="1"/>
  <c r="F49" i="17"/>
  <c r="AQ48" i="17"/>
  <c r="AS48" i="17"/>
  <c r="AU48" i="17"/>
  <c r="AP119" i="14"/>
  <c r="AO119" i="14"/>
  <c r="S96" i="19"/>
  <c r="W96" i="19" s="1"/>
  <c r="R97" i="19" s="1"/>
  <c r="T96" i="19"/>
  <c r="AE95" i="19"/>
  <c r="AD96" i="19" s="1"/>
  <c r="AT95" i="19"/>
  <c r="N105" i="19"/>
  <c r="M105" i="19"/>
  <c r="Q105" i="19" s="1"/>
  <c r="L106" i="19" s="1"/>
  <c r="P106" i="19"/>
  <c r="U176" i="17"/>
  <c r="V176" i="17"/>
  <c r="AB176" i="17"/>
  <c r="AA176" i="17"/>
  <c r="V176" i="19"/>
  <c r="O176" i="17"/>
  <c r="U176" i="19"/>
  <c r="O176" i="19"/>
  <c r="I176" i="17"/>
  <c r="I176" i="19"/>
  <c r="AA176" i="19"/>
  <c r="AB176" i="19"/>
  <c r="S104" i="17"/>
  <c r="W104" i="17" s="1"/>
  <c r="R105" i="17" s="1"/>
  <c r="T104" i="17"/>
  <c r="P106" i="17"/>
  <c r="M105" i="17"/>
  <c r="Q105" i="17" s="1"/>
  <c r="L106" i="17" s="1"/>
  <c r="N105" i="17"/>
  <c r="Y94" i="17"/>
  <c r="AC94" i="17" s="1"/>
  <c r="X95" i="17" s="1"/>
  <c r="Z94" i="17"/>
  <c r="AG93" i="17"/>
  <c r="AF94" i="17" s="1"/>
  <c r="AT103" i="17"/>
  <c r="AE103" i="17"/>
  <c r="AD104" i="17" s="1"/>
  <c r="E177" i="19"/>
  <c r="AZ176" i="19"/>
  <c r="C176" i="19"/>
  <c r="AR175" i="16"/>
  <c r="AZ176" i="16"/>
  <c r="C176" i="16"/>
  <c r="BD176" i="16"/>
  <c r="E177" i="16"/>
  <c r="J173" i="18"/>
  <c r="L173" i="18" s="1"/>
  <c r="I174" i="18" s="1"/>
  <c r="AQ174" i="18"/>
  <c r="AS174" i="18"/>
  <c r="K174" i="18"/>
  <c r="AU174" i="18"/>
  <c r="O174" i="18"/>
  <c r="E176" i="17"/>
  <c r="C175" i="17"/>
  <c r="AZ175" i="17"/>
  <c r="C175" i="18"/>
  <c r="AZ175" i="18"/>
  <c r="E176" i="18"/>
  <c r="AM82" i="18"/>
  <c r="AN82" i="18" s="1"/>
  <c r="AW82" i="18" s="1"/>
  <c r="AX82" i="18" s="1"/>
  <c r="AY82" i="18" s="1"/>
  <c r="G83" i="18"/>
  <c r="AR83" i="18" s="1"/>
  <c r="C177" i="15"/>
  <c r="AZ177" i="15"/>
  <c r="E178" i="15"/>
  <c r="P135" i="18"/>
  <c r="M136" i="18" s="1"/>
  <c r="N136" i="18" s="1"/>
  <c r="R134" i="18"/>
  <c r="Q135" i="18" s="1"/>
  <c r="AT135" i="18" s="1"/>
  <c r="AG178" i="3"/>
  <c r="Y178" i="3"/>
  <c r="AC177" i="3"/>
  <c r="AH178" i="3"/>
  <c r="BD177" i="3"/>
  <c r="AE178" i="3"/>
  <c r="BC177" i="3"/>
  <c r="H178" i="3"/>
  <c r="AF177" i="3"/>
  <c r="AD177" i="3" s="1"/>
  <c r="AV179" i="3"/>
  <c r="AX179" i="3" s="1"/>
  <c r="V179" i="3"/>
  <c r="X179" i="3" s="1"/>
  <c r="G180" i="3"/>
  <c r="A179" i="3"/>
  <c r="BI179" i="3" s="1"/>
  <c r="BJ179" i="3" s="1"/>
  <c r="AQ181" i="3"/>
  <c r="P181" i="3"/>
  <c r="P182" i="3" s="1"/>
  <c r="AW181" i="3"/>
  <c r="AN181" i="3"/>
  <c r="AN182" i="3" s="1"/>
  <c r="AI176" i="3"/>
  <c r="BE176" i="3" s="1"/>
  <c r="AL178" i="3"/>
  <c r="F121" i="14" l="1"/>
  <c r="G121" i="14" s="1"/>
  <c r="AL121" i="14" s="1"/>
  <c r="AM121" i="14" s="1"/>
  <c r="AN121" i="14" s="1"/>
  <c r="AW120" i="14"/>
  <c r="BA120" i="14" s="1"/>
  <c r="BB179" i="3"/>
  <c r="AE139" i="25"/>
  <c r="AD140" i="25" s="1"/>
  <c r="AT139" i="25"/>
  <c r="S140" i="25"/>
  <c r="W140" i="25" s="1"/>
  <c r="R141" i="25" s="1"/>
  <c r="T140" i="25"/>
  <c r="Z101" i="28"/>
  <c r="Y101" i="28"/>
  <c r="AG101" i="28" s="1"/>
  <c r="AF102" i="28" s="1"/>
  <c r="O71" i="29"/>
  <c r="P72" i="29"/>
  <c r="N71" i="29"/>
  <c r="M71" i="29"/>
  <c r="Z97" i="29"/>
  <c r="AA97" i="29"/>
  <c r="AE97" i="29" s="1"/>
  <c r="AD98" i="29" s="1"/>
  <c r="AR181" i="3"/>
  <c r="O101" i="24"/>
  <c r="N101" i="24"/>
  <c r="T93" i="24"/>
  <c r="S94" i="24" s="1"/>
  <c r="AC94" i="25"/>
  <c r="X95" i="25" s="1"/>
  <c r="L93" i="24"/>
  <c r="I94" i="24" s="1"/>
  <c r="AM179" i="3"/>
  <c r="P179" i="20"/>
  <c r="AL179" i="3"/>
  <c r="AR176" i="19"/>
  <c r="O180" i="20"/>
  <c r="AQ179" i="20"/>
  <c r="AR179" i="20" s="1"/>
  <c r="AN179" i="20"/>
  <c r="AK177" i="3"/>
  <c r="BG177" i="3" s="1"/>
  <c r="AJ177" i="3"/>
  <c r="BF177" i="3" s="1"/>
  <c r="AW63" i="15"/>
  <c r="AX63" i="15" s="1"/>
  <c r="AY63" i="15" s="1"/>
  <c r="Y97" i="29"/>
  <c r="T161" i="29"/>
  <c r="S161" i="29"/>
  <c r="W161" i="29" s="1"/>
  <c r="R162" i="29" s="1"/>
  <c r="U162" i="29" s="1"/>
  <c r="C175" i="29"/>
  <c r="AZ175" i="29"/>
  <c r="E176" i="29"/>
  <c r="AO70" i="29"/>
  <c r="AM70" i="29"/>
  <c r="AN70" i="29" s="1"/>
  <c r="AI70" i="29"/>
  <c r="K70" i="29"/>
  <c r="P128" i="26"/>
  <c r="M129" i="26" s="1"/>
  <c r="N129" i="26" s="1"/>
  <c r="T129" i="26" s="1"/>
  <c r="S130" i="26" s="1"/>
  <c r="J170" i="26"/>
  <c r="L170" i="26" s="1"/>
  <c r="I171" i="26" s="1"/>
  <c r="H68" i="26"/>
  <c r="K175" i="26"/>
  <c r="O175" i="26"/>
  <c r="AQ175" i="26"/>
  <c r="AS175" i="26"/>
  <c r="AU175" i="26"/>
  <c r="AT128" i="26"/>
  <c r="R128" i="26"/>
  <c r="Q129" i="26" s="1"/>
  <c r="AZ176" i="26"/>
  <c r="C176" i="26"/>
  <c r="E177" i="26"/>
  <c r="T145" i="28"/>
  <c r="S145" i="28"/>
  <c r="W145" i="28" s="1"/>
  <c r="R146" i="28" s="1"/>
  <c r="V146" i="28" s="1"/>
  <c r="AT144" i="28"/>
  <c r="AE144" i="28"/>
  <c r="AD145" i="28" s="1"/>
  <c r="AT145" i="28" s="1"/>
  <c r="AS69" i="28"/>
  <c r="AU69" i="28"/>
  <c r="AQ69" i="28"/>
  <c r="F70" i="28"/>
  <c r="I70" i="28" s="1"/>
  <c r="Q70" i="28" s="1"/>
  <c r="L71" i="28" s="1"/>
  <c r="AM69" i="28"/>
  <c r="AN69" i="28" s="1"/>
  <c r="C176" i="28"/>
  <c r="AZ176" i="28"/>
  <c r="E177" i="28"/>
  <c r="G85" i="25"/>
  <c r="K85" i="25" s="1"/>
  <c r="J86" i="25"/>
  <c r="H85" i="25"/>
  <c r="U175" i="25"/>
  <c r="V175" i="25"/>
  <c r="AA175" i="25"/>
  <c r="AB175" i="25"/>
  <c r="AR175" i="25"/>
  <c r="BA176" i="25"/>
  <c r="BB176" i="25"/>
  <c r="BC176" i="25"/>
  <c r="N81" i="25"/>
  <c r="AP81" i="25" s="1"/>
  <c r="P82" i="25"/>
  <c r="AZ176" i="25"/>
  <c r="BD176" i="25"/>
  <c r="C176" i="25"/>
  <c r="E177" i="25"/>
  <c r="AQ175" i="24"/>
  <c r="AS175" i="24"/>
  <c r="AU175" i="24"/>
  <c r="F65" i="24"/>
  <c r="AI64" i="24"/>
  <c r="AJ64" i="24" s="1"/>
  <c r="AL64" i="24"/>
  <c r="AM64" i="24" s="1"/>
  <c r="AZ176" i="24"/>
  <c r="C176" i="24"/>
  <c r="E177" i="24"/>
  <c r="G64" i="15"/>
  <c r="AR64" i="15" s="1"/>
  <c r="AS177" i="15"/>
  <c r="AU177" i="15"/>
  <c r="K177" i="15"/>
  <c r="O177" i="15"/>
  <c r="AQ177" i="15"/>
  <c r="P138" i="15"/>
  <c r="M139" i="15" s="1"/>
  <c r="N139" i="15" s="1"/>
  <c r="M81" i="25"/>
  <c r="Q81" i="25" s="1"/>
  <c r="L82" i="25" s="1"/>
  <c r="AK80" i="25"/>
  <c r="AW80" i="25" s="1"/>
  <c r="AX80" i="25" s="1"/>
  <c r="AY80" i="25" s="1"/>
  <c r="I174" i="25"/>
  <c r="O174" i="25"/>
  <c r="AW48" i="17"/>
  <c r="AX48" i="17" s="1"/>
  <c r="AY48" i="17" s="1"/>
  <c r="AU42" i="19"/>
  <c r="AQ42" i="19"/>
  <c r="AS42" i="19"/>
  <c r="F43" i="19"/>
  <c r="AU119" i="14"/>
  <c r="J121" i="14"/>
  <c r="Z95" i="19"/>
  <c r="Y95" i="19"/>
  <c r="AG95" i="19" s="1"/>
  <c r="AF96" i="19" s="1"/>
  <c r="H120" i="14"/>
  <c r="AP120" i="14" s="1"/>
  <c r="AQ119" i="14"/>
  <c r="AS119" i="14"/>
  <c r="L124" i="15"/>
  <c r="I125" i="15" s="1"/>
  <c r="J125" i="15" s="1"/>
  <c r="J50" i="17"/>
  <c r="H49" i="17"/>
  <c r="G49" i="17"/>
  <c r="K49" i="17" s="1"/>
  <c r="F50" i="17" s="1"/>
  <c r="AS120" i="14"/>
  <c r="AQ120" i="14"/>
  <c r="AU120" i="14"/>
  <c r="AI120" i="14"/>
  <c r="AJ120" i="14" s="1"/>
  <c r="AK120" i="14" s="1"/>
  <c r="AL120" i="14"/>
  <c r="AE96" i="19"/>
  <c r="AD97" i="19" s="1"/>
  <c r="AT96" i="19"/>
  <c r="T97" i="19"/>
  <c r="S97" i="19"/>
  <c r="W97" i="19" s="1"/>
  <c r="R98" i="19" s="1"/>
  <c r="AG94" i="17"/>
  <c r="AF95" i="17" s="1"/>
  <c r="N106" i="17"/>
  <c r="P107" i="17"/>
  <c r="M106" i="17"/>
  <c r="Q106" i="17" s="1"/>
  <c r="L107" i="17" s="1"/>
  <c r="P107" i="19"/>
  <c r="N106" i="19"/>
  <c r="M106" i="19"/>
  <c r="Q106" i="19" s="1"/>
  <c r="L107" i="19" s="1"/>
  <c r="AA177" i="17"/>
  <c r="I177" i="17"/>
  <c r="U177" i="17"/>
  <c r="AA177" i="19"/>
  <c r="I177" i="19"/>
  <c r="AB177" i="17"/>
  <c r="V177" i="19"/>
  <c r="O177" i="17"/>
  <c r="O177" i="19"/>
  <c r="V177" i="17"/>
  <c r="U177" i="19"/>
  <c r="AB177" i="19"/>
  <c r="AT104" i="17"/>
  <c r="AE104" i="17"/>
  <c r="AD105" i="17" s="1"/>
  <c r="Z95" i="17"/>
  <c r="Y95" i="17"/>
  <c r="AC95" i="17" s="1"/>
  <c r="X96" i="17" s="1"/>
  <c r="S105" i="17"/>
  <c r="W105" i="17" s="1"/>
  <c r="R106" i="17" s="1"/>
  <c r="T105" i="17"/>
  <c r="E178" i="19"/>
  <c r="C177" i="19"/>
  <c r="AZ177" i="19"/>
  <c r="BD177" i="16"/>
  <c r="E178" i="16"/>
  <c r="C177" i="16"/>
  <c r="AZ177" i="16"/>
  <c r="AR176" i="16"/>
  <c r="J174" i="18"/>
  <c r="L174" i="18" s="1"/>
  <c r="I175" i="18" s="1"/>
  <c r="AS175" i="18"/>
  <c r="AQ175" i="18"/>
  <c r="AU175" i="18"/>
  <c r="K175" i="18"/>
  <c r="O175" i="18"/>
  <c r="E177" i="18"/>
  <c r="C176" i="18"/>
  <c r="AZ176" i="18"/>
  <c r="AZ176" i="17"/>
  <c r="C176" i="17"/>
  <c r="E177" i="17"/>
  <c r="H83" i="18"/>
  <c r="F84" i="18" s="1"/>
  <c r="G84" i="18" s="1"/>
  <c r="AR84" i="18" s="1"/>
  <c r="C178" i="15"/>
  <c r="AZ178" i="15"/>
  <c r="E179" i="15"/>
  <c r="P136" i="18"/>
  <c r="M137" i="18" s="1"/>
  <c r="N137" i="18" s="1"/>
  <c r="R135" i="18"/>
  <c r="Q136" i="18" s="1"/>
  <c r="AT136" i="18" s="1"/>
  <c r="T135" i="18"/>
  <c r="S136" i="18" s="1"/>
  <c r="T124" i="15"/>
  <c r="S125" i="15" s="1"/>
  <c r="R124" i="15"/>
  <c r="Q125" i="15" s="1"/>
  <c r="AT125" i="15" s="1"/>
  <c r="A180" i="3"/>
  <c r="BI180" i="3" s="1"/>
  <c r="BJ180" i="3" s="1"/>
  <c r="H179" i="3"/>
  <c r="AF178" i="3"/>
  <c r="AK178" i="3" s="1"/>
  <c r="BD178" i="3"/>
  <c r="AH179" i="3"/>
  <c r="AI177" i="3"/>
  <c r="BE177" i="3" s="1"/>
  <c r="AW182" i="3"/>
  <c r="G181" i="3"/>
  <c r="AV180" i="3"/>
  <c r="AX180" i="3" s="1"/>
  <c r="V180" i="3"/>
  <c r="X180" i="3" s="1"/>
  <c r="Y179" i="3"/>
  <c r="AC178" i="3"/>
  <c r="AQ182" i="3"/>
  <c r="BC178" i="3"/>
  <c r="AE179" i="3"/>
  <c r="AG179" i="3"/>
  <c r="H121" i="14" l="1"/>
  <c r="AO121" i="14" s="1"/>
  <c r="J122" i="14"/>
  <c r="BB180" i="3"/>
  <c r="T141" i="25"/>
  <c r="S141" i="25"/>
  <c r="W141" i="25" s="1"/>
  <c r="R142" i="25" s="1"/>
  <c r="AT140" i="25"/>
  <c r="AE140" i="25"/>
  <c r="AD141" i="25" s="1"/>
  <c r="AC101" i="28"/>
  <c r="X102" i="28" s="1"/>
  <c r="AB102" i="28" s="1"/>
  <c r="AG97" i="29"/>
  <c r="AF98" i="29" s="1"/>
  <c r="AT98" i="29"/>
  <c r="O71" i="28"/>
  <c r="N71" i="28"/>
  <c r="M71" i="28"/>
  <c r="P72" i="28"/>
  <c r="AR182" i="3"/>
  <c r="P101" i="24"/>
  <c r="M102" i="24" s="1"/>
  <c r="Y95" i="25"/>
  <c r="AG95" i="25" s="1"/>
  <c r="AF96" i="25" s="1"/>
  <c r="Z95" i="25"/>
  <c r="K94" i="24"/>
  <c r="T94" i="24" s="1"/>
  <c r="S95" i="24" s="1"/>
  <c r="J94" i="24"/>
  <c r="P180" i="20"/>
  <c r="AM180" i="3"/>
  <c r="AD178" i="3"/>
  <c r="AJ178" i="3" s="1"/>
  <c r="BF178" i="3" s="1"/>
  <c r="AQ180" i="20"/>
  <c r="AR180" i="20" s="1"/>
  <c r="O181" i="20"/>
  <c r="AN180" i="20"/>
  <c r="BG178" i="3"/>
  <c r="AC97" i="29"/>
  <c r="X98" i="29" s="1"/>
  <c r="T162" i="29"/>
  <c r="S162" i="29"/>
  <c r="W162" i="29" s="1"/>
  <c r="R163" i="29" s="1"/>
  <c r="U163" i="29" s="1"/>
  <c r="AJ70" i="29"/>
  <c r="AK70" i="29" s="1"/>
  <c r="F71" i="29"/>
  <c r="I71" i="29" s="1"/>
  <c r="AR71" i="29" s="1"/>
  <c r="AU70" i="29"/>
  <c r="AQ70" i="29"/>
  <c r="AS70" i="29"/>
  <c r="AZ176" i="29"/>
  <c r="C176" i="29"/>
  <c r="E177" i="29"/>
  <c r="P129" i="26"/>
  <c r="M130" i="26" s="1"/>
  <c r="N130" i="26" s="1"/>
  <c r="P130" i="26" s="1"/>
  <c r="M131" i="26" s="1"/>
  <c r="J171" i="26"/>
  <c r="L171" i="26" s="1"/>
  <c r="I172" i="26" s="1"/>
  <c r="AT129" i="26"/>
  <c r="R129" i="26"/>
  <c r="Q130" i="26" s="1"/>
  <c r="O176" i="26"/>
  <c r="AQ176" i="26"/>
  <c r="AS176" i="26"/>
  <c r="AU176" i="26"/>
  <c r="K176" i="26"/>
  <c r="F69" i="26"/>
  <c r="AI68" i="26"/>
  <c r="AJ68" i="26" s="1"/>
  <c r="AK68" i="26" s="1"/>
  <c r="AL68" i="26"/>
  <c r="AM68" i="26" s="1"/>
  <c r="AN68" i="26" s="1"/>
  <c r="C177" i="26"/>
  <c r="AZ177" i="26"/>
  <c r="E178" i="26"/>
  <c r="T146" i="28"/>
  <c r="S146" i="28"/>
  <c r="W146" i="28" s="1"/>
  <c r="R147" i="28" s="1"/>
  <c r="V147" i="28" s="1"/>
  <c r="AE145" i="28"/>
  <c r="AD146" i="28" s="1"/>
  <c r="J71" i="28"/>
  <c r="H70" i="28"/>
  <c r="AP70" i="28" s="1"/>
  <c r="G70" i="28"/>
  <c r="AI70" i="28" s="1"/>
  <c r="AZ177" i="28"/>
  <c r="C177" i="28"/>
  <c r="E178" i="28"/>
  <c r="AN64" i="24"/>
  <c r="F86" i="25"/>
  <c r="AO81" i="25"/>
  <c r="AL81" i="25"/>
  <c r="AQ81" i="25"/>
  <c r="AS81" i="25"/>
  <c r="U176" i="25"/>
  <c r="V176" i="25"/>
  <c r="AA176" i="25"/>
  <c r="AB176" i="25"/>
  <c r="AR176" i="25"/>
  <c r="AU81" i="25"/>
  <c r="AI81" i="25"/>
  <c r="BA177" i="25"/>
  <c r="BB177" i="25"/>
  <c r="BC177" i="25"/>
  <c r="N82" i="25"/>
  <c r="AP82" i="25" s="1"/>
  <c r="P83" i="25"/>
  <c r="C177" i="25"/>
  <c r="BD177" i="25"/>
  <c r="AZ177" i="25"/>
  <c r="E178" i="25"/>
  <c r="AK64" i="24"/>
  <c r="C177" i="24"/>
  <c r="AZ177" i="24"/>
  <c r="E178" i="24"/>
  <c r="AQ176" i="24"/>
  <c r="AU176" i="24"/>
  <c r="AS176" i="24"/>
  <c r="G65" i="24"/>
  <c r="AR65" i="24" s="1"/>
  <c r="H64" i="15"/>
  <c r="AQ178" i="15"/>
  <c r="AS178" i="15"/>
  <c r="AU178" i="15"/>
  <c r="P139" i="15"/>
  <c r="M140" i="15" s="1"/>
  <c r="N140" i="15" s="1"/>
  <c r="AW69" i="28"/>
  <c r="AX69" i="28" s="1"/>
  <c r="AY69" i="28" s="1"/>
  <c r="M82" i="25"/>
  <c r="O175" i="25"/>
  <c r="I175" i="25"/>
  <c r="AV119" i="14"/>
  <c r="AZ119" i="14" s="1"/>
  <c r="BC119" i="14" s="1"/>
  <c r="AW42" i="19"/>
  <c r="AX42" i="19" s="1"/>
  <c r="AY42" i="19" s="1"/>
  <c r="AO120" i="14"/>
  <c r="AL180" i="3"/>
  <c r="G43" i="19"/>
  <c r="H43" i="19"/>
  <c r="J44" i="19"/>
  <c r="AC95" i="19"/>
  <c r="X96" i="19" s="1"/>
  <c r="Y96" i="19" s="1"/>
  <c r="AU49" i="17"/>
  <c r="AL49" i="17"/>
  <c r="AM49" i="17" s="1"/>
  <c r="AN49" i="17" s="1"/>
  <c r="AS49" i="17"/>
  <c r="AQ49" i="17"/>
  <c r="J51" i="17"/>
  <c r="G50" i="17"/>
  <c r="AL50" i="17" s="1"/>
  <c r="AM50" i="17" s="1"/>
  <c r="AN50" i="17" s="1"/>
  <c r="H50" i="17"/>
  <c r="AO49" i="17"/>
  <c r="AP49" i="17"/>
  <c r="AR177" i="19"/>
  <c r="AI49" i="17"/>
  <c r="AJ49" i="17" s="1"/>
  <c r="AK49" i="17" s="1"/>
  <c r="AI121" i="14"/>
  <c r="AJ121" i="14" s="1"/>
  <c r="AK121" i="14" s="1"/>
  <c r="K121" i="14"/>
  <c r="AW121" i="14" s="1"/>
  <c r="BA121" i="14" s="1"/>
  <c r="AM120" i="14"/>
  <c r="AN120" i="14" s="1"/>
  <c r="AP121" i="14"/>
  <c r="S98" i="19"/>
  <c r="W98" i="19" s="1"/>
  <c r="R99" i="19" s="1"/>
  <c r="T98" i="19"/>
  <c r="AG95" i="17"/>
  <c r="AF96" i="17" s="1"/>
  <c r="L125" i="15"/>
  <c r="I126" i="15" s="1"/>
  <c r="J126" i="15" s="1"/>
  <c r="AT97" i="19"/>
  <c r="AE97" i="19"/>
  <c r="AD98" i="19" s="1"/>
  <c r="M107" i="17"/>
  <c r="Q107" i="17" s="1"/>
  <c r="L108" i="17" s="1"/>
  <c r="N107" i="17"/>
  <c r="P108" i="17"/>
  <c r="U178" i="17"/>
  <c r="O178" i="17"/>
  <c r="I178" i="17"/>
  <c r="V178" i="17"/>
  <c r="AB178" i="19"/>
  <c r="O178" i="19"/>
  <c r="AA178" i="19"/>
  <c r="I178" i="19"/>
  <c r="U178" i="19"/>
  <c r="AB178" i="17"/>
  <c r="V178" i="19"/>
  <c r="AA178" i="17"/>
  <c r="Y96" i="17"/>
  <c r="AC96" i="17" s="1"/>
  <c r="X97" i="17" s="1"/>
  <c r="Z96" i="17"/>
  <c r="AT105" i="17"/>
  <c r="AE105" i="17"/>
  <c r="AD106" i="17" s="1"/>
  <c r="T106" i="17"/>
  <c r="S106" i="17"/>
  <c r="W106" i="17" s="1"/>
  <c r="R107" i="17" s="1"/>
  <c r="M107" i="19"/>
  <c r="Q107" i="19" s="1"/>
  <c r="L108" i="19" s="1"/>
  <c r="P108" i="19"/>
  <c r="N107" i="19"/>
  <c r="AZ178" i="19"/>
  <c r="E179" i="19"/>
  <c r="C178" i="19"/>
  <c r="C178" i="16"/>
  <c r="E179" i="16"/>
  <c r="BD178" i="16"/>
  <c r="AZ178" i="16"/>
  <c r="AR177" i="16"/>
  <c r="J175" i="18"/>
  <c r="L175" i="18" s="1"/>
  <c r="I176" i="18" s="1"/>
  <c r="AU176" i="18"/>
  <c r="O176" i="18"/>
  <c r="AS176" i="18"/>
  <c r="AQ176" i="18"/>
  <c r="K176" i="18"/>
  <c r="AZ177" i="17"/>
  <c r="E178" i="17"/>
  <c r="C177" i="17"/>
  <c r="C177" i="18"/>
  <c r="AZ177" i="18"/>
  <c r="E178" i="18"/>
  <c r="AI83" i="18"/>
  <c r="AJ83" i="18" s="1"/>
  <c r="AK83" i="18" s="1"/>
  <c r="AL83" i="18"/>
  <c r="AM83" i="18" s="1"/>
  <c r="AN83" i="18" s="1"/>
  <c r="H84" i="18"/>
  <c r="F85" i="18" s="1"/>
  <c r="G85" i="18" s="1"/>
  <c r="AR85" i="18" s="1"/>
  <c r="C179" i="15"/>
  <c r="AZ179" i="15"/>
  <c r="E180" i="15"/>
  <c r="P137" i="18"/>
  <c r="M138" i="18" s="1"/>
  <c r="N138" i="18" s="1"/>
  <c r="T136" i="18"/>
  <c r="R136" i="18"/>
  <c r="Q137" i="18" s="1"/>
  <c r="AT137" i="18" s="1"/>
  <c r="R125" i="15"/>
  <c r="Q126" i="15" s="1"/>
  <c r="AT126" i="15" s="1"/>
  <c r="T125" i="15"/>
  <c r="S126" i="15" s="1"/>
  <c r="AQ183" i="3"/>
  <c r="AE180" i="3"/>
  <c r="BC179" i="3"/>
  <c r="AV181" i="3"/>
  <c r="AX181" i="3" s="1"/>
  <c r="V181" i="3"/>
  <c r="X181" i="3" s="1"/>
  <c r="G182" i="3"/>
  <c r="AN183" i="3"/>
  <c r="A181" i="3"/>
  <c r="BI181" i="3" s="1"/>
  <c r="BJ181" i="3" s="1"/>
  <c r="Y180" i="3"/>
  <c r="AC179" i="3"/>
  <c r="P183" i="3"/>
  <c r="P184" i="3" s="1"/>
  <c r="AG180" i="3"/>
  <c r="AW183" i="3"/>
  <c r="BD179" i="3"/>
  <c r="AH180" i="3"/>
  <c r="H180" i="3"/>
  <c r="AF179" i="3"/>
  <c r="AK179" i="3" s="1"/>
  <c r="BB181" i="3" l="1"/>
  <c r="Q71" i="29"/>
  <c r="L72" i="29" s="1"/>
  <c r="M72" i="29" s="1"/>
  <c r="AT141" i="25"/>
  <c r="AE141" i="25"/>
  <c r="AD142" i="25" s="1"/>
  <c r="T142" i="25"/>
  <c r="S142" i="25"/>
  <c r="W142" i="25" s="1"/>
  <c r="R143" i="25" s="1"/>
  <c r="Z102" i="28"/>
  <c r="Y102" i="28"/>
  <c r="AG102" i="28" s="1"/>
  <c r="AF103" i="28" s="1"/>
  <c r="O72" i="29"/>
  <c r="Z98" i="29"/>
  <c r="AA98" i="29"/>
  <c r="AE98" i="29" s="1"/>
  <c r="AD99" i="29" s="1"/>
  <c r="AR183" i="3"/>
  <c r="L94" i="24"/>
  <c r="I95" i="24" s="1"/>
  <c r="R94" i="24"/>
  <c r="Q95" i="24" s="1"/>
  <c r="AT95" i="24" s="1"/>
  <c r="O102" i="24"/>
  <c r="N102" i="24"/>
  <c r="AC95" i="25"/>
  <c r="X96" i="25" s="1"/>
  <c r="AR178" i="19"/>
  <c r="P181" i="20"/>
  <c r="AI178" i="3"/>
  <c r="BE178" i="3" s="1"/>
  <c r="K178" i="15"/>
  <c r="O178" i="15"/>
  <c r="AL181" i="3"/>
  <c r="AN181" i="20"/>
  <c r="AQ181" i="20"/>
  <c r="AR181" i="20" s="1"/>
  <c r="O182" i="20"/>
  <c r="BG179" i="3"/>
  <c r="AW68" i="26"/>
  <c r="AX68" i="26" s="1"/>
  <c r="AY68" i="26" s="1"/>
  <c r="Y98" i="29"/>
  <c r="AW70" i="29"/>
  <c r="AX70" i="29" s="1"/>
  <c r="AY70" i="29" s="1"/>
  <c r="T163" i="29"/>
  <c r="S163" i="29"/>
  <c r="W163" i="29" s="1"/>
  <c r="R164" i="29" s="1"/>
  <c r="U164" i="29" s="1"/>
  <c r="C177" i="29"/>
  <c r="AZ177" i="29"/>
  <c r="E178" i="29"/>
  <c r="J72" i="29"/>
  <c r="H71" i="29"/>
  <c r="AP71" i="29" s="1"/>
  <c r="G71" i="29"/>
  <c r="AI71" i="29" s="1"/>
  <c r="N131" i="26"/>
  <c r="P131" i="26" s="1"/>
  <c r="M132" i="26" s="1"/>
  <c r="J172" i="26"/>
  <c r="L172" i="26" s="1"/>
  <c r="I173" i="26" s="1"/>
  <c r="T130" i="26"/>
  <c r="S131" i="26" s="1"/>
  <c r="G69" i="26"/>
  <c r="AR69" i="26" s="1"/>
  <c r="AS177" i="26"/>
  <c r="AU177" i="26"/>
  <c r="AQ177" i="26"/>
  <c r="K177" i="26"/>
  <c r="O177" i="26"/>
  <c r="AT130" i="26"/>
  <c r="R130" i="26"/>
  <c r="Q131" i="26" s="1"/>
  <c r="C178" i="26"/>
  <c r="AZ178" i="26"/>
  <c r="E179" i="26"/>
  <c r="T147" i="28"/>
  <c r="S147" i="28"/>
  <c r="W147" i="28" s="1"/>
  <c r="R148" i="28" s="1"/>
  <c r="V148" i="28" s="1"/>
  <c r="AT146" i="28"/>
  <c r="AE146" i="28"/>
  <c r="AD147" i="28" s="1"/>
  <c r="AT147" i="28" s="1"/>
  <c r="AO70" i="28"/>
  <c r="AL70" i="28"/>
  <c r="AW64" i="24"/>
  <c r="AX64" i="24" s="1"/>
  <c r="AY64" i="24" s="1"/>
  <c r="AJ70" i="28"/>
  <c r="AK70" i="28" s="1"/>
  <c r="C178" i="28"/>
  <c r="AZ178" i="28"/>
  <c r="E179" i="28"/>
  <c r="BA178" i="25"/>
  <c r="BB178" i="25"/>
  <c r="BC178" i="25"/>
  <c r="G86" i="25"/>
  <c r="K86" i="25" s="1"/>
  <c r="J87" i="25"/>
  <c r="H86" i="25"/>
  <c r="AL82" i="25"/>
  <c r="AM82" i="25" s="1"/>
  <c r="AN82" i="25" s="1"/>
  <c r="AO82" i="25"/>
  <c r="AR177" i="25"/>
  <c r="U177" i="25"/>
  <c r="V177" i="25"/>
  <c r="AA177" i="25"/>
  <c r="AB177" i="25"/>
  <c r="AM81" i="25"/>
  <c r="AN81" i="25" s="1"/>
  <c r="AJ81" i="25"/>
  <c r="AK81" i="25" s="1"/>
  <c r="AZ178" i="25"/>
  <c r="BD178" i="25"/>
  <c r="C178" i="25"/>
  <c r="E179" i="25"/>
  <c r="C178" i="24"/>
  <c r="AZ178" i="24"/>
  <c r="E179" i="24"/>
  <c r="AU177" i="24"/>
  <c r="AS177" i="24"/>
  <c r="AQ177" i="24"/>
  <c r="H65" i="24"/>
  <c r="F65" i="15"/>
  <c r="AL64" i="15"/>
  <c r="AM64" i="15" s="1"/>
  <c r="AN64" i="15" s="1"/>
  <c r="AI64" i="15"/>
  <c r="AJ64" i="15" s="1"/>
  <c r="AK64" i="15" s="1"/>
  <c r="AQ179" i="15"/>
  <c r="AS179" i="15"/>
  <c r="AU179" i="15"/>
  <c r="P140" i="15"/>
  <c r="M141" i="15" s="1"/>
  <c r="N141" i="15" s="1"/>
  <c r="K70" i="28"/>
  <c r="Q82" i="25"/>
  <c r="O176" i="25"/>
  <c r="I176" i="25"/>
  <c r="BG119" i="14"/>
  <c r="AV120" i="14"/>
  <c r="BG120" i="14" s="1"/>
  <c r="AD179" i="3"/>
  <c r="AJ179" i="3" s="1"/>
  <c r="BF179" i="3" s="1"/>
  <c r="AM181" i="3"/>
  <c r="AP43" i="19"/>
  <c r="AO43" i="19"/>
  <c r="K43" i="19"/>
  <c r="AI43" i="19"/>
  <c r="AJ43" i="19" s="1"/>
  <c r="AK43" i="19" s="1"/>
  <c r="AL43" i="19"/>
  <c r="AM43" i="19" s="1"/>
  <c r="AN43" i="19" s="1"/>
  <c r="AC96" i="19"/>
  <c r="X97" i="19" s="1"/>
  <c r="Z97" i="19" s="1"/>
  <c r="AG96" i="19"/>
  <c r="AF97" i="19" s="1"/>
  <c r="Z96" i="19"/>
  <c r="AW49" i="17"/>
  <c r="AX49" i="17" s="1"/>
  <c r="AY49" i="17" s="1"/>
  <c r="AI50" i="17"/>
  <c r="AJ50" i="17" s="1"/>
  <c r="AK50" i="17" s="1"/>
  <c r="K50" i="17"/>
  <c r="AO50" i="17"/>
  <c r="AP50" i="17"/>
  <c r="L126" i="15"/>
  <c r="I127" i="15" s="1"/>
  <c r="J127" i="15" s="1"/>
  <c r="F122" i="14"/>
  <c r="AU121" i="14"/>
  <c r="AS121" i="14"/>
  <c r="AQ121" i="14"/>
  <c r="AT98" i="19"/>
  <c r="AE98" i="19"/>
  <c r="AD99" i="19" s="1"/>
  <c r="T99" i="19"/>
  <c r="S99" i="19"/>
  <c r="W99" i="19" s="1"/>
  <c r="R100" i="19" s="1"/>
  <c r="AT106" i="17"/>
  <c r="AE106" i="17"/>
  <c r="AD107" i="17" s="1"/>
  <c r="P109" i="17"/>
  <c r="M108" i="17"/>
  <c r="Q108" i="17" s="1"/>
  <c r="L109" i="17" s="1"/>
  <c r="N108" i="17"/>
  <c r="AA179" i="17"/>
  <c r="I179" i="17"/>
  <c r="O179" i="17"/>
  <c r="U179" i="17"/>
  <c r="AB179" i="17"/>
  <c r="U179" i="19"/>
  <c r="V179" i="17"/>
  <c r="AB179" i="19"/>
  <c r="O179" i="19"/>
  <c r="V179" i="19"/>
  <c r="I179" i="19"/>
  <c r="AA179" i="19"/>
  <c r="P109" i="19"/>
  <c r="N108" i="19"/>
  <c r="M108" i="19"/>
  <c r="Q108" i="19" s="1"/>
  <c r="L109" i="19" s="1"/>
  <c r="Y97" i="17"/>
  <c r="AC97" i="17" s="1"/>
  <c r="X98" i="17" s="1"/>
  <c r="Z97" i="17"/>
  <c r="T107" i="17"/>
  <c r="S107" i="17"/>
  <c r="W107" i="17" s="1"/>
  <c r="R108" i="17" s="1"/>
  <c r="AG96" i="17"/>
  <c r="AF97" i="17" s="1"/>
  <c r="E180" i="19"/>
  <c r="AZ179" i="19"/>
  <c r="C179" i="19"/>
  <c r="C179" i="16"/>
  <c r="BD179" i="16"/>
  <c r="AZ179" i="16"/>
  <c r="E180" i="16"/>
  <c r="AR178" i="16"/>
  <c r="J176" i="18"/>
  <c r="L176" i="18" s="1"/>
  <c r="I177" i="18" s="1"/>
  <c r="J177" i="18" s="1"/>
  <c r="AU177" i="18"/>
  <c r="K177" i="18"/>
  <c r="AQ177" i="18"/>
  <c r="O177" i="18"/>
  <c r="AS177" i="18"/>
  <c r="C178" i="17"/>
  <c r="AZ178" i="17"/>
  <c r="E179" i="17"/>
  <c r="C178" i="18"/>
  <c r="E179" i="18"/>
  <c r="AZ178" i="18"/>
  <c r="AW83" i="18"/>
  <c r="AX83" i="18" s="1"/>
  <c r="AY83" i="18" s="1"/>
  <c r="AL84" i="18"/>
  <c r="AM84" i="18" s="1"/>
  <c r="AN84" i="18" s="1"/>
  <c r="H85" i="18"/>
  <c r="F86" i="18" s="1"/>
  <c r="AI84" i="18"/>
  <c r="AJ84" i="18" s="1"/>
  <c r="AK84" i="18" s="1"/>
  <c r="AZ180" i="15"/>
  <c r="C180" i="15"/>
  <c r="E181" i="15"/>
  <c r="S137" i="18"/>
  <c r="T137" i="18" s="1"/>
  <c r="S138" i="18" s="1"/>
  <c r="P138" i="18"/>
  <c r="M139" i="18" s="1"/>
  <c r="N139" i="18" s="1"/>
  <c r="R137" i="18"/>
  <c r="Q138" i="18" s="1"/>
  <c r="AT138" i="18" s="1"/>
  <c r="R126" i="15"/>
  <c r="Q127" i="15" s="1"/>
  <c r="AT127" i="15" s="1"/>
  <c r="T126" i="15"/>
  <c r="BD180" i="3"/>
  <c r="AH181" i="3"/>
  <c r="AG181" i="3"/>
  <c r="AC180" i="3"/>
  <c r="Y181" i="3"/>
  <c r="AE181" i="3"/>
  <c r="BC180" i="3"/>
  <c r="A182" i="3"/>
  <c r="BI182" i="3" s="1"/>
  <c r="BJ182" i="3" s="1"/>
  <c r="AV182" i="3"/>
  <c r="AX182" i="3" s="1"/>
  <c r="V182" i="3"/>
  <c r="X182" i="3" s="1"/>
  <c r="G183" i="3"/>
  <c r="AW184" i="3"/>
  <c r="P185" i="3"/>
  <c r="AQ184" i="3"/>
  <c r="H181" i="3"/>
  <c r="AF180" i="3"/>
  <c r="AK180" i="3" s="1"/>
  <c r="AN184" i="3"/>
  <c r="AN185" i="3" s="1"/>
  <c r="BB182" i="3" l="1"/>
  <c r="P73" i="29"/>
  <c r="N72" i="29"/>
  <c r="S143" i="25"/>
  <c r="W143" i="25" s="1"/>
  <c r="R144" i="25" s="1"/>
  <c r="T143" i="25"/>
  <c r="AT142" i="25"/>
  <c r="AE142" i="25"/>
  <c r="AD143" i="25" s="1"/>
  <c r="AC102" i="28"/>
  <c r="X103" i="28" s="1"/>
  <c r="AB103" i="28" s="1"/>
  <c r="AG98" i="29"/>
  <c r="AF99" i="29" s="1"/>
  <c r="AT99" i="29"/>
  <c r="AR184" i="3"/>
  <c r="P102" i="24"/>
  <c r="M103" i="24" s="1"/>
  <c r="N103" i="24" s="1"/>
  <c r="Z96" i="25"/>
  <c r="Y96" i="25"/>
  <c r="AG96" i="25" s="1"/>
  <c r="AF97" i="25" s="1"/>
  <c r="K95" i="24"/>
  <c r="R95" i="24" s="1"/>
  <c r="Q96" i="24" s="1"/>
  <c r="AT96" i="24" s="1"/>
  <c r="J95" i="24"/>
  <c r="AR179" i="19"/>
  <c r="P182" i="20"/>
  <c r="K179" i="15"/>
  <c r="O183" i="20"/>
  <c r="AQ182" i="20"/>
  <c r="AR182" i="20" s="1"/>
  <c r="AN182" i="20"/>
  <c r="BG180" i="3"/>
  <c r="AI179" i="3"/>
  <c r="BE179" i="3" s="1"/>
  <c r="O179" i="15"/>
  <c r="AC98" i="29"/>
  <c r="X99" i="29" s="1"/>
  <c r="T164" i="29"/>
  <c r="S164" i="29"/>
  <c r="W164" i="29" s="1"/>
  <c r="R165" i="29" s="1"/>
  <c r="U165" i="29" s="1"/>
  <c r="AZ178" i="29"/>
  <c r="C178" i="29"/>
  <c r="E179" i="29"/>
  <c r="AO71" i="29"/>
  <c r="AJ71" i="29"/>
  <c r="AK71" i="29" s="1"/>
  <c r="AL71" i="29"/>
  <c r="K71" i="29"/>
  <c r="J173" i="26"/>
  <c r="L173" i="26" s="1"/>
  <c r="I174" i="26" s="1"/>
  <c r="N132" i="26"/>
  <c r="P132" i="26" s="1"/>
  <c r="M133" i="26" s="1"/>
  <c r="T131" i="26"/>
  <c r="S132" i="26" s="1"/>
  <c r="H69" i="26"/>
  <c r="AT131" i="26"/>
  <c r="R131" i="26"/>
  <c r="Q132" i="26" s="1"/>
  <c r="K178" i="26"/>
  <c r="O178" i="26"/>
  <c r="AS178" i="26"/>
  <c r="AU178" i="26"/>
  <c r="AQ178" i="26"/>
  <c r="C179" i="26"/>
  <c r="AZ179" i="26"/>
  <c r="E180" i="26"/>
  <c r="T148" i="28"/>
  <c r="S148" i="28"/>
  <c r="W148" i="28" s="1"/>
  <c r="R149" i="28" s="1"/>
  <c r="V149" i="28" s="1"/>
  <c r="AE147" i="28"/>
  <c r="AD148" i="28" s="1"/>
  <c r="AU70" i="28"/>
  <c r="AQ70" i="28"/>
  <c r="AS70" i="28"/>
  <c r="C179" i="28"/>
  <c r="AZ179" i="28"/>
  <c r="E180" i="28"/>
  <c r="AM70" i="28"/>
  <c r="AN70" i="28" s="1"/>
  <c r="F71" i="28"/>
  <c r="I71" i="28" s="1"/>
  <c r="Q71" i="28" s="1"/>
  <c r="L72" i="28" s="1"/>
  <c r="AW81" i="25"/>
  <c r="AX81" i="25" s="1"/>
  <c r="AY81" i="25" s="1"/>
  <c r="F87" i="25"/>
  <c r="AI82" i="25"/>
  <c r="AU82" i="25"/>
  <c r="AS82" i="25"/>
  <c r="AQ82" i="25"/>
  <c r="AR178" i="25"/>
  <c r="U178" i="25"/>
  <c r="V178" i="25"/>
  <c r="AA178" i="25"/>
  <c r="AB178" i="25"/>
  <c r="BA179" i="25"/>
  <c r="BB179" i="25"/>
  <c r="BC179" i="25"/>
  <c r="L83" i="25"/>
  <c r="BD179" i="25"/>
  <c r="C179" i="25"/>
  <c r="AZ179" i="25"/>
  <c r="E180" i="25"/>
  <c r="AQ178" i="24"/>
  <c r="AS178" i="24"/>
  <c r="AU178" i="24"/>
  <c r="F66" i="24"/>
  <c r="AI65" i="24"/>
  <c r="AJ65" i="24" s="1"/>
  <c r="AL65" i="24"/>
  <c r="AM65" i="24" s="1"/>
  <c r="C179" i="24"/>
  <c r="AZ179" i="24"/>
  <c r="E180" i="24"/>
  <c r="G65" i="15"/>
  <c r="AR65" i="15" s="1"/>
  <c r="AW64" i="15"/>
  <c r="AX64" i="15" s="1"/>
  <c r="AY64" i="15" s="1"/>
  <c r="AQ180" i="15"/>
  <c r="AS180" i="15"/>
  <c r="AU180" i="15"/>
  <c r="P141" i="15"/>
  <c r="M142" i="15" s="1"/>
  <c r="N142" i="15" s="1"/>
  <c r="I177" i="25"/>
  <c r="O177" i="25"/>
  <c r="AZ120" i="14"/>
  <c r="BC120" i="14" s="1"/>
  <c r="AV121" i="14"/>
  <c r="AZ121" i="14" s="1"/>
  <c r="BC121" i="14" s="1"/>
  <c r="F44" i="19"/>
  <c r="AU43" i="19"/>
  <c r="AQ43" i="19"/>
  <c r="AS43" i="19"/>
  <c r="Y97" i="19"/>
  <c r="AC97" i="19" s="1"/>
  <c r="X98" i="19" s="1"/>
  <c r="Y98" i="19" s="1"/>
  <c r="AC98" i="19" s="1"/>
  <c r="X99" i="19" s="1"/>
  <c r="F51" i="17"/>
  <c r="AS50" i="17"/>
  <c r="AQ50" i="17"/>
  <c r="AU50" i="17"/>
  <c r="G122" i="14"/>
  <c r="AL122" i="14" s="1"/>
  <c r="H122" i="14"/>
  <c r="J123" i="14"/>
  <c r="L127" i="15"/>
  <c r="I128" i="15" s="1"/>
  <c r="J128" i="15" s="1"/>
  <c r="AT99" i="19"/>
  <c r="AE99" i="19"/>
  <c r="AD100" i="19" s="1"/>
  <c r="T100" i="19"/>
  <c r="S100" i="19"/>
  <c r="W100" i="19" s="1"/>
  <c r="R101" i="19" s="1"/>
  <c r="AG97" i="17"/>
  <c r="AF98" i="17" s="1"/>
  <c r="U180" i="17"/>
  <c r="AB180" i="17"/>
  <c r="I180" i="17"/>
  <c r="V180" i="17"/>
  <c r="V180" i="19"/>
  <c r="U180" i="19"/>
  <c r="O180" i="17"/>
  <c r="O180" i="19"/>
  <c r="I180" i="19"/>
  <c r="AA180" i="19"/>
  <c r="AA180" i="17"/>
  <c r="AB180" i="19"/>
  <c r="AT107" i="17"/>
  <c r="AE107" i="17"/>
  <c r="AD108" i="17" s="1"/>
  <c r="Y98" i="17"/>
  <c r="AC98" i="17" s="1"/>
  <c r="X99" i="17" s="1"/>
  <c r="Z98" i="17"/>
  <c r="AD180" i="3"/>
  <c r="AI180" i="3" s="1"/>
  <c r="BE180" i="3" s="1"/>
  <c r="T108" i="17"/>
  <c r="S108" i="17"/>
  <c r="W108" i="17" s="1"/>
  <c r="R109" i="17" s="1"/>
  <c r="M109" i="19"/>
  <c r="Q109" i="19" s="1"/>
  <c r="L110" i="19" s="1"/>
  <c r="N109" i="19"/>
  <c r="P110" i="19"/>
  <c r="P110" i="17"/>
  <c r="M109" i="17"/>
  <c r="Q109" i="17" s="1"/>
  <c r="L110" i="17" s="1"/>
  <c r="N109" i="17"/>
  <c r="C180" i="19"/>
  <c r="AZ180" i="19"/>
  <c r="E181" i="19"/>
  <c r="L177" i="18"/>
  <c r="I178" i="18" s="1"/>
  <c r="J178" i="18" s="1"/>
  <c r="BD180" i="16"/>
  <c r="AZ180" i="16"/>
  <c r="E181" i="16"/>
  <c r="C180" i="16"/>
  <c r="AR179" i="16"/>
  <c r="AZ179" i="17"/>
  <c r="C179" i="17"/>
  <c r="E180" i="17"/>
  <c r="C179" i="18"/>
  <c r="AZ179" i="18"/>
  <c r="E180" i="18"/>
  <c r="AQ178" i="18"/>
  <c r="AS178" i="18"/>
  <c r="O178" i="18"/>
  <c r="AU178" i="18"/>
  <c r="K178" i="18"/>
  <c r="G86" i="18"/>
  <c r="AR86" i="18" s="1"/>
  <c r="AL85" i="18"/>
  <c r="AM85" i="18" s="1"/>
  <c r="AN85" i="18" s="1"/>
  <c r="AI85" i="18"/>
  <c r="AJ85" i="18" s="1"/>
  <c r="AK85" i="18" s="1"/>
  <c r="C181" i="15"/>
  <c r="E182" i="15"/>
  <c r="AZ181" i="15"/>
  <c r="AW84" i="18"/>
  <c r="AX84" i="18" s="1"/>
  <c r="AY84" i="18" s="1"/>
  <c r="S127" i="15"/>
  <c r="T127" i="15" s="1"/>
  <c r="S128" i="15" s="1"/>
  <c r="P139" i="18"/>
  <c r="M140" i="18" s="1"/>
  <c r="N140" i="18" s="1"/>
  <c r="T138" i="18"/>
  <c r="S139" i="18" s="1"/>
  <c r="R138" i="18"/>
  <c r="Q139" i="18" s="1"/>
  <c r="AT139" i="18" s="1"/>
  <c r="R127" i="15"/>
  <c r="Q128" i="15" s="1"/>
  <c r="AT128" i="15" s="1"/>
  <c r="AE182" i="3"/>
  <c r="BC181" i="3"/>
  <c r="AL182" i="3"/>
  <c r="AM182" i="3"/>
  <c r="AG182" i="3"/>
  <c r="H182" i="3"/>
  <c r="AF181" i="3"/>
  <c r="AW185" i="3"/>
  <c r="Y182" i="3"/>
  <c r="AC181" i="3"/>
  <c r="BD181" i="3"/>
  <c r="AH182" i="3"/>
  <c r="AQ185" i="3"/>
  <c r="AV183" i="3"/>
  <c r="AX183" i="3" s="1"/>
  <c r="G184" i="3"/>
  <c r="V183" i="3"/>
  <c r="X183" i="3" s="1"/>
  <c r="A183" i="3"/>
  <c r="BI183" i="3" s="1"/>
  <c r="BJ183" i="3" s="1"/>
  <c r="BB183" i="3" l="1"/>
  <c r="S144" i="25"/>
  <c r="W144" i="25" s="1"/>
  <c r="R145" i="25" s="1"/>
  <c r="T144" i="25"/>
  <c r="AE143" i="25"/>
  <c r="AD144" i="25" s="1"/>
  <c r="AT143" i="25"/>
  <c r="Z103" i="28"/>
  <c r="Y103" i="28"/>
  <c r="AC103" i="28" s="1"/>
  <c r="X104" i="28" s="1"/>
  <c r="AB104" i="28" s="1"/>
  <c r="Z99" i="29"/>
  <c r="AA99" i="29"/>
  <c r="AE99" i="29" s="1"/>
  <c r="AD100" i="29" s="1"/>
  <c r="O72" i="28"/>
  <c r="M72" i="28"/>
  <c r="N72" i="28"/>
  <c r="P73" i="28"/>
  <c r="AR185" i="3"/>
  <c r="T95" i="24"/>
  <c r="S96" i="24" s="1"/>
  <c r="O103" i="24"/>
  <c r="P103" i="24" s="1"/>
  <c r="M104" i="24" s="1"/>
  <c r="L95" i="24"/>
  <c r="I96" i="24" s="1"/>
  <c r="AC96" i="25"/>
  <c r="X97" i="25" s="1"/>
  <c r="AM183" i="3"/>
  <c r="O184" i="20"/>
  <c r="AQ183" i="20"/>
  <c r="AR183" i="20" s="1"/>
  <c r="P183" i="20"/>
  <c r="AN183" i="20"/>
  <c r="AK181" i="3"/>
  <c r="BG181" i="3" s="1"/>
  <c r="AJ180" i="3"/>
  <c r="BF180" i="3" s="1"/>
  <c r="O180" i="15"/>
  <c r="K180" i="15"/>
  <c r="Y99" i="29"/>
  <c r="T165" i="29"/>
  <c r="S165" i="29"/>
  <c r="W165" i="29" s="1"/>
  <c r="R166" i="29" s="1"/>
  <c r="U166" i="29" s="1"/>
  <c r="AM71" i="29"/>
  <c r="AN71" i="29" s="1"/>
  <c r="F72" i="29"/>
  <c r="I72" i="29" s="1"/>
  <c r="AS71" i="29"/>
  <c r="AU71" i="29"/>
  <c r="AQ71" i="29"/>
  <c r="AZ179" i="29"/>
  <c r="C179" i="29"/>
  <c r="E180" i="29"/>
  <c r="J174" i="26"/>
  <c r="L174" i="26" s="1"/>
  <c r="I175" i="26" s="1"/>
  <c r="N133" i="26"/>
  <c r="P133" i="26" s="1"/>
  <c r="M134" i="26" s="1"/>
  <c r="K179" i="26"/>
  <c r="O179" i="26"/>
  <c r="AQ179" i="26"/>
  <c r="AS179" i="26"/>
  <c r="AU179" i="26"/>
  <c r="T132" i="26"/>
  <c r="S133" i="26" s="1"/>
  <c r="AT132" i="26"/>
  <c r="R132" i="26"/>
  <c r="Q133" i="26" s="1"/>
  <c r="F70" i="26"/>
  <c r="AL69" i="26"/>
  <c r="AM69" i="26" s="1"/>
  <c r="AN69" i="26" s="1"/>
  <c r="AI69" i="26"/>
  <c r="AJ69" i="26" s="1"/>
  <c r="AK69" i="26" s="1"/>
  <c r="C180" i="26"/>
  <c r="AZ180" i="26"/>
  <c r="E181" i="26"/>
  <c r="T149" i="28"/>
  <c r="S149" i="28"/>
  <c r="W149" i="28" s="1"/>
  <c r="R150" i="28" s="1"/>
  <c r="V150" i="28" s="1"/>
  <c r="H71" i="28"/>
  <c r="AP71" i="28" s="1"/>
  <c r="J72" i="28"/>
  <c r="G71" i="28"/>
  <c r="AI71" i="28" s="1"/>
  <c r="AT148" i="28"/>
  <c r="AE148" i="28"/>
  <c r="AD149" i="28" s="1"/>
  <c r="AZ180" i="28"/>
  <c r="C180" i="28"/>
  <c r="E181" i="28"/>
  <c r="G87" i="25"/>
  <c r="K87" i="25" s="1"/>
  <c r="J88" i="25"/>
  <c r="H87" i="25"/>
  <c r="BA180" i="25"/>
  <c r="BB180" i="25"/>
  <c r="BC180" i="25"/>
  <c r="AR179" i="25"/>
  <c r="U179" i="25"/>
  <c r="V179" i="25"/>
  <c r="AA179" i="25"/>
  <c r="AB179" i="25"/>
  <c r="C180" i="25"/>
  <c r="AZ180" i="25"/>
  <c r="BD180" i="25"/>
  <c r="E181" i="25"/>
  <c r="N83" i="25"/>
  <c r="AP83" i="25" s="1"/>
  <c r="P84" i="25"/>
  <c r="AJ82" i="25"/>
  <c r="AK82" i="25" s="1"/>
  <c r="AW82" i="25" s="1"/>
  <c r="AX82" i="25" s="1"/>
  <c r="AY82" i="25" s="1"/>
  <c r="AQ179" i="24"/>
  <c r="AS179" i="24"/>
  <c r="AU179" i="24"/>
  <c r="C180" i="24"/>
  <c r="AZ180" i="24"/>
  <c r="E181" i="24"/>
  <c r="AK65" i="24"/>
  <c r="AN65" i="24"/>
  <c r="G66" i="24"/>
  <c r="AR66" i="24" s="1"/>
  <c r="H65" i="15"/>
  <c r="AS181" i="15"/>
  <c r="AU181" i="15"/>
  <c r="AQ181" i="15"/>
  <c r="P142" i="15"/>
  <c r="M143" i="15" s="1"/>
  <c r="N143" i="15" s="1"/>
  <c r="AW70" i="28"/>
  <c r="AX70" i="28" s="1"/>
  <c r="AY70" i="28" s="1"/>
  <c r="M83" i="25"/>
  <c r="Q83" i="25" s="1"/>
  <c r="L84" i="25" s="1"/>
  <c r="I178" i="25"/>
  <c r="O178" i="25"/>
  <c r="AW43" i="19"/>
  <c r="AX43" i="19" s="1"/>
  <c r="AY43" i="19" s="1"/>
  <c r="BG121" i="14"/>
  <c r="AW50" i="17"/>
  <c r="AX50" i="17" s="1"/>
  <c r="AY50" i="17" s="1"/>
  <c r="L178" i="18"/>
  <c r="I179" i="18" s="1"/>
  <c r="J179" i="18" s="1"/>
  <c r="AG97" i="19"/>
  <c r="AF98" i="19" s="1"/>
  <c r="AG98" i="19" s="1"/>
  <c r="AF99" i="19" s="1"/>
  <c r="J45" i="19"/>
  <c r="H44" i="19"/>
  <c r="G44" i="19"/>
  <c r="Z98" i="19"/>
  <c r="AR180" i="19"/>
  <c r="Z99" i="19"/>
  <c r="Y99" i="19"/>
  <c r="AC99" i="19" s="1"/>
  <c r="X100" i="19" s="1"/>
  <c r="G51" i="17"/>
  <c r="K51" i="17" s="1"/>
  <c r="F52" i="17" s="1"/>
  <c r="J52" i="17"/>
  <c r="H51" i="17"/>
  <c r="AO122" i="14"/>
  <c r="AP122" i="14"/>
  <c r="K122" i="14"/>
  <c r="F123" i="14" s="1"/>
  <c r="AI122" i="14"/>
  <c r="AG98" i="17"/>
  <c r="AF99" i="17" s="1"/>
  <c r="AM122" i="14"/>
  <c r="L128" i="15"/>
  <c r="I129" i="15" s="1"/>
  <c r="J129" i="15" s="1"/>
  <c r="T101" i="19"/>
  <c r="S101" i="19"/>
  <c r="W101" i="19" s="1"/>
  <c r="R102" i="19" s="1"/>
  <c r="AT100" i="19"/>
  <c r="AE100" i="19"/>
  <c r="AD101" i="19" s="1"/>
  <c r="P111" i="17"/>
  <c r="N110" i="17"/>
  <c r="M110" i="17"/>
  <c r="Q110" i="17" s="1"/>
  <c r="L111" i="17" s="1"/>
  <c r="Y99" i="17"/>
  <c r="AC99" i="17" s="1"/>
  <c r="X100" i="17" s="1"/>
  <c r="Z99" i="17"/>
  <c r="AT108" i="17"/>
  <c r="AE108" i="17"/>
  <c r="AD109" i="17" s="1"/>
  <c r="N110" i="19"/>
  <c r="P111" i="19"/>
  <c r="M110" i="19"/>
  <c r="Q110" i="19" s="1"/>
  <c r="L111" i="19" s="1"/>
  <c r="AA181" i="17"/>
  <c r="I181" i="17"/>
  <c r="AB181" i="17"/>
  <c r="V181" i="17"/>
  <c r="U181" i="17"/>
  <c r="AA181" i="19"/>
  <c r="I181" i="19"/>
  <c r="O181" i="17"/>
  <c r="V181" i="19"/>
  <c r="O181" i="19"/>
  <c r="AB181" i="19"/>
  <c r="U181" i="19"/>
  <c r="S109" i="17"/>
  <c r="W109" i="17" s="1"/>
  <c r="R110" i="17" s="1"/>
  <c r="T109" i="17"/>
  <c r="E182" i="19"/>
  <c r="C181" i="19"/>
  <c r="AZ181" i="19"/>
  <c r="AR180" i="16"/>
  <c r="E182" i="16"/>
  <c r="AZ181" i="16"/>
  <c r="C181" i="16"/>
  <c r="BD181" i="16"/>
  <c r="E181" i="17"/>
  <c r="C180" i="17"/>
  <c r="AZ180" i="17"/>
  <c r="AU179" i="18"/>
  <c r="O179" i="18"/>
  <c r="AQ179" i="18"/>
  <c r="K179" i="18"/>
  <c r="AS179" i="18"/>
  <c r="C180" i="18"/>
  <c r="AZ180" i="18"/>
  <c r="E181" i="18"/>
  <c r="AW85" i="18"/>
  <c r="AX85" i="18" s="1"/>
  <c r="AY85" i="18" s="1"/>
  <c r="H86" i="18"/>
  <c r="AZ182" i="15"/>
  <c r="E183" i="15"/>
  <c r="C182" i="15"/>
  <c r="P140" i="18"/>
  <c r="M141" i="18" s="1"/>
  <c r="N141" i="18" s="1"/>
  <c r="T139" i="18"/>
  <c r="R139" i="18"/>
  <c r="Q140" i="18" s="1"/>
  <c r="AT140" i="18" s="1"/>
  <c r="R128" i="15"/>
  <c r="Q129" i="15" s="1"/>
  <c r="AT129" i="15" s="1"/>
  <c r="T128" i="15"/>
  <c r="A184" i="3"/>
  <c r="BI184" i="3" s="1"/>
  <c r="BJ184" i="3" s="1"/>
  <c r="AD181" i="3"/>
  <c r="AI181" i="3" s="1"/>
  <c r="BE181" i="3" s="1"/>
  <c r="H183" i="3"/>
  <c r="AF182" i="3"/>
  <c r="AE183" i="3"/>
  <c r="BC182" i="3"/>
  <c r="AQ186" i="3"/>
  <c r="AC182" i="3"/>
  <c r="Y183" i="3"/>
  <c r="AN186" i="3"/>
  <c r="AN187" i="3" s="1"/>
  <c r="AL183" i="3"/>
  <c r="AV184" i="3"/>
  <c r="AX184" i="3" s="1"/>
  <c r="V184" i="3"/>
  <c r="X184" i="3" s="1"/>
  <c r="G185" i="3"/>
  <c r="BD182" i="3"/>
  <c r="AH183" i="3"/>
  <c r="AW186" i="3"/>
  <c r="AG183" i="3"/>
  <c r="P186" i="3"/>
  <c r="P187" i="3" s="1"/>
  <c r="BB184" i="3" l="1"/>
  <c r="S145" i="25"/>
  <c r="W145" i="25" s="1"/>
  <c r="R146" i="25" s="1"/>
  <c r="T145" i="25"/>
  <c r="AT144" i="25"/>
  <c r="AE144" i="25"/>
  <c r="AD145" i="25" s="1"/>
  <c r="J124" i="14"/>
  <c r="Z104" i="28"/>
  <c r="Y104" i="28"/>
  <c r="AC104" i="28" s="1"/>
  <c r="X105" i="28" s="1"/>
  <c r="AB105" i="28" s="1"/>
  <c r="AG103" i="28"/>
  <c r="AF104" i="28" s="1"/>
  <c r="AT100" i="29"/>
  <c r="AG99" i="29"/>
  <c r="AF100" i="29" s="1"/>
  <c r="AR72" i="29"/>
  <c r="Q72" i="29"/>
  <c r="L73" i="29" s="1"/>
  <c r="AR186" i="3"/>
  <c r="O104" i="24"/>
  <c r="N104" i="24"/>
  <c r="Y97" i="25"/>
  <c r="Z97" i="25"/>
  <c r="K96" i="24"/>
  <c r="R96" i="24" s="1"/>
  <c r="Q97" i="24" s="1"/>
  <c r="J96" i="24"/>
  <c r="O185" i="20"/>
  <c r="AQ184" i="20"/>
  <c r="AR184" i="20" s="1"/>
  <c r="AK182" i="3"/>
  <c r="BG182" i="3" s="1"/>
  <c r="P184" i="20"/>
  <c r="AN184" i="20"/>
  <c r="AJ181" i="3"/>
  <c r="BF181" i="3" s="1"/>
  <c r="K181" i="15"/>
  <c r="O181" i="15"/>
  <c r="AC99" i="29"/>
  <c r="X100" i="29" s="1"/>
  <c r="AW71" i="29"/>
  <c r="AX71" i="29" s="1"/>
  <c r="AY71" i="29" s="1"/>
  <c r="T166" i="29"/>
  <c r="S166" i="29"/>
  <c r="W166" i="29" s="1"/>
  <c r="R167" i="29" s="1"/>
  <c r="U167" i="29" s="1"/>
  <c r="J73" i="29"/>
  <c r="H72" i="29"/>
  <c r="AP72" i="29" s="1"/>
  <c r="G72" i="29"/>
  <c r="AL72" i="29" s="1"/>
  <c r="C180" i="29"/>
  <c r="AZ180" i="29"/>
  <c r="E181" i="29"/>
  <c r="AW69" i="26"/>
  <c r="AX69" i="26" s="1"/>
  <c r="AY69" i="26" s="1"/>
  <c r="T133" i="26"/>
  <c r="S134" i="26" s="1"/>
  <c r="N134" i="26"/>
  <c r="P134" i="26" s="1"/>
  <c r="M135" i="26" s="1"/>
  <c r="J175" i="26"/>
  <c r="L175" i="26" s="1"/>
  <c r="I176" i="26" s="1"/>
  <c r="O180" i="26"/>
  <c r="AQ180" i="26"/>
  <c r="AS180" i="26"/>
  <c r="AU180" i="26"/>
  <c r="K180" i="26"/>
  <c r="G70" i="26"/>
  <c r="AR70" i="26" s="1"/>
  <c r="AT133" i="26"/>
  <c r="R133" i="26"/>
  <c r="Q134" i="26" s="1"/>
  <c r="AZ181" i="26"/>
  <c r="C181" i="26"/>
  <c r="E182" i="26"/>
  <c r="T150" i="28"/>
  <c r="S150" i="28"/>
  <c r="W150" i="28" s="1"/>
  <c r="R151" i="28" s="1"/>
  <c r="V151" i="28" s="1"/>
  <c r="AT149" i="28"/>
  <c r="AE149" i="28"/>
  <c r="AD150" i="28" s="1"/>
  <c r="AO71" i="28"/>
  <c r="AL71" i="28"/>
  <c r="AJ71" i="28"/>
  <c r="AK71" i="28" s="1"/>
  <c r="C181" i="28"/>
  <c r="AZ181" i="28"/>
  <c r="E182" i="28"/>
  <c r="AU83" i="25"/>
  <c r="AI83" i="25"/>
  <c r="F88" i="25"/>
  <c r="AL83" i="25"/>
  <c r="AR180" i="25"/>
  <c r="U180" i="25"/>
  <c r="V180" i="25"/>
  <c r="AA180" i="25"/>
  <c r="AB180" i="25"/>
  <c r="AW65" i="24"/>
  <c r="AX65" i="24" s="1"/>
  <c r="AY65" i="24" s="1"/>
  <c r="AO83" i="25"/>
  <c r="AS83" i="25"/>
  <c r="AQ83" i="25"/>
  <c r="BA181" i="25"/>
  <c r="BB181" i="25"/>
  <c r="BC181" i="25"/>
  <c r="AZ181" i="25"/>
  <c r="BD181" i="25"/>
  <c r="C181" i="25"/>
  <c r="E182" i="25"/>
  <c r="P85" i="25"/>
  <c r="N84" i="25"/>
  <c r="AP84" i="25" s="1"/>
  <c r="AZ181" i="24"/>
  <c r="C181" i="24"/>
  <c r="E182" i="24"/>
  <c r="AQ180" i="24"/>
  <c r="AS180" i="24"/>
  <c r="AU180" i="24"/>
  <c r="H66" i="24"/>
  <c r="F66" i="15"/>
  <c r="AI65" i="15"/>
  <c r="AJ65" i="15" s="1"/>
  <c r="AK65" i="15" s="1"/>
  <c r="AL65" i="15"/>
  <c r="AM65" i="15" s="1"/>
  <c r="AN65" i="15" s="1"/>
  <c r="AQ182" i="15"/>
  <c r="AS182" i="15"/>
  <c r="AU182" i="15"/>
  <c r="P143" i="15"/>
  <c r="M144" i="15" s="1"/>
  <c r="N144" i="15" s="1"/>
  <c r="K71" i="28"/>
  <c r="M84" i="25"/>
  <c r="AL84" i="25" s="1"/>
  <c r="O179" i="25"/>
  <c r="I179" i="25"/>
  <c r="AM184" i="3"/>
  <c r="AP44" i="19"/>
  <c r="AO44" i="19"/>
  <c r="K44" i="19"/>
  <c r="AL44" i="19"/>
  <c r="AM44" i="19" s="1"/>
  <c r="AN44" i="19" s="1"/>
  <c r="AI44" i="19"/>
  <c r="AJ44" i="19" s="1"/>
  <c r="AK44" i="19" s="1"/>
  <c r="Z100" i="19"/>
  <c r="Y100" i="19"/>
  <c r="AC100" i="19" s="1"/>
  <c r="X101" i="19" s="1"/>
  <c r="AG99" i="19"/>
  <c r="AF100" i="19" s="1"/>
  <c r="AN122" i="14"/>
  <c r="AI51" i="17"/>
  <c r="AJ51" i="17" s="1"/>
  <c r="AK51" i="17" s="1"/>
  <c r="AQ51" i="17"/>
  <c r="AO51" i="17"/>
  <c r="AP51" i="17"/>
  <c r="G52" i="17"/>
  <c r="AL52" i="17" s="1"/>
  <c r="AM52" i="17" s="1"/>
  <c r="AN52" i="17" s="1"/>
  <c r="H52" i="17"/>
  <c r="J53" i="17"/>
  <c r="AR181" i="19"/>
  <c r="AU51" i="17"/>
  <c r="AS51" i="17"/>
  <c r="AL51" i="17"/>
  <c r="AM51" i="17" s="1"/>
  <c r="AN51" i="17" s="1"/>
  <c r="AW122" i="14"/>
  <c r="G123" i="14"/>
  <c r="AI123" i="14" s="1"/>
  <c r="H123" i="14"/>
  <c r="AQ122" i="14"/>
  <c r="AU122" i="14"/>
  <c r="AS122" i="14"/>
  <c r="AJ122" i="14"/>
  <c r="AT101" i="19"/>
  <c r="AE101" i="19"/>
  <c r="AD102" i="19" s="1"/>
  <c r="AG99" i="17"/>
  <c r="AF100" i="17" s="1"/>
  <c r="L129" i="15"/>
  <c r="I130" i="15" s="1"/>
  <c r="J130" i="15" s="1"/>
  <c r="T102" i="19"/>
  <c r="S102" i="19"/>
  <c r="W102" i="19" s="1"/>
  <c r="R103" i="19" s="1"/>
  <c r="U182" i="17"/>
  <c r="AA182" i="17"/>
  <c r="AB182" i="17"/>
  <c r="AB182" i="19"/>
  <c r="O182" i="19"/>
  <c r="V182" i="17"/>
  <c r="AA182" i="19"/>
  <c r="I182" i="19"/>
  <c r="U182" i="19"/>
  <c r="O182" i="17"/>
  <c r="I182" i="17"/>
  <c r="V182" i="19"/>
  <c r="AT109" i="17"/>
  <c r="AE109" i="17"/>
  <c r="AD110" i="17" s="1"/>
  <c r="T110" i="17"/>
  <c r="S110" i="17"/>
  <c r="W110" i="17" s="1"/>
  <c r="R111" i="17" s="1"/>
  <c r="Y100" i="17"/>
  <c r="AC100" i="17" s="1"/>
  <c r="X101" i="17" s="1"/>
  <c r="Z100" i="17"/>
  <c r="M111" i="17"/>
  <c r="Q111" i="17" s="1"/>
  <c r="L112" i="17" s="1"/>
  <c r="P112" i="17"/>
  <c r="N111" i="17"/>
  <c r="N111" i="19"/>
  <c r="M111" i="19"/>
  <c r="Q111" i="19" s="1"/>
  <c r="L112" i="19" s="1"/>
  <c r="P112" i="19"/>
  <c r="E183" i="19"/>
  <c r="C182" i="19"/>
  <c r="AZ182" i="19"/>
  <c r="AR181" i="16"/>
  <c r="BD182" i="16"/>
  <c r="E183" i="16"/>
  <c r="AZ182" i="16"/>
  <c r="C182" i="16"/>
  <c r="AZ181" i="18"/>
  <c r="C181" i="18"/>
  <c r="E182" i="18"/>
  <c r="AZ181" i="17"/>
  <c r="C181" i="17"/>
  <c r="E182" i="17"/>
  <c r="AQ180" i="18"/>
  <c r="AU180" i="18"/>
  <c r="K180" i="18"/>
  <c r="AS180" i="18"/>
  <c r="O180" i="18"/>
  <c r="L179" i="18"/>
  <c r="I180" i="18" s="1"/>
  <c r="J180" i="18" s="1"/>
  <c r="F87" i="18"/>
  <c r="AI86" i="18"/>
  <c r="AJ86" i="18" s="1"/>
  <c r="AK86" i="18" s="1"/>
  <c r="AL86" i="18"/>
  <c r="AM86" i="18" s="1"/>
  <c r="AN86" i="18" s="1"/>
  <c r="E184" i="15"/>
  <c r="AZ183" i="15"/>
  <c r="C183" i="15"/>
  <c r="S129" i="15"/>
  <c r="T129" i="15" s="1"/>
  <c r="S130" i="15" s="1"/>
  <c r="S140" i="18"/>
  <c r="T140" i="18" s="1"/>
  <c r="S141" i="18" s="1"/>
  <c r="T141" i="18" s="1"/>
  <c r="S142" i="18" s="1"/>
  <c r="P141" i="18"/>
  <c r="M142" i="18" s="1"/>
  <c r="N142" i="18" s="1"/>
  <c r="R140" i="18"/>
  <c r="Q141" i="18" s="1"/>
  <c r="AT141" i="18" s="1"/>
  <c r="R129" i="15"/>
  <c r="Q130" i="15" s="1"/>
  <c r="AT130" i="15" s="1"/>
  <c r="AV185" i="3"/>
  <c r="AX185" i="3" s="1"/>
  <c r="V185" i="3"/>
  <c r="X185" i="3" s="1"/>
  <c r="G186" i="3"/>
  <c r="AW187" i="3"/>
  <c r="Y184" i="3"/>
  <c r="AC183" i="3"/>
  <c r="AD182" i="3"/>
  <c r="AI182" i="3" s="1"/>
  <c r="BE182" i="3" s="1"/>
  <c r="BD183" i="3"/>
  <c r="AH184" i="3"/>
  <c r="AE184" i="3"/>
  <c r="BC183" i="3"/>
  <c r="H184" i="3"/>
  <c r="AF183" i="3"/>
  <c r="AG184" i="3"/>
  <c r="AL184" i="3"/>
  <c r="AQ187" i="3"/>
  <c r="A185" i="3"/>
  <c r="BI185" i="3" s="1"/>
  <c r="BJ185" i="3" s="1"/>
  <c r="BB185" i="3" l="1"/>
  <c r="AJ123" i="14"/>
  <c r="AJ134" i="14" s="1"/>
  <c r="AI134" i="14"/>
  <c r="AT145" i="25"/>
  <c r="AE145" i="25"/>
  <c r="AD146" i="25" s="1"/>
  <c r="T146" i="25"/>
  <c r="S146" i="25"/>
  <c r="W146" i="25" s="1"/>
  <c r="R147" i="25" s="1"/>
  <c r="K123" i="14"/>
  <c r="AO123" i="14"/>
  <c r="AO134" i="14" s="1"/>
  <c r="AP123" i="14"/>
  <c r="AP134" i="14" s="1"/>
  <c r="AL123" i="14"/>
  <c r="AG104" i="28"/>
  <c r="AF105" i="28" s="1"/>
  <c r="O73" i="29"/>
  <c r="M73" i="29"/>
  <c r="P74" i="29"/>
  <c r="N73" i="29"/>
  <c r="Z100" i="29"/>
  <c r="AA100" i="29"/>
  <c r="AE100" i="29" s="1"/>
  <c r="AD101" i="29" s="1"/>
  <c r="AR187" i="3"/>
  <c r="AL185" i="3"/>
  <c r="T96" i="24"/>
  <c r="S97" i="24" s="1"/>
  <c r="L96" i="24"/>
  <c r="I97" i="24" s="1"/>
  <c r="P104" i="24"/>
  <c r="M105" i="24" s="1"/>
  <c r="AC97" i="25"/>
  <c r="X98" i="25" s="1"/>
  <c r="AG97" i="25"/>
  <c r="AF98" i="25" s="1"/>
  <c r="P185" i="20"/>
  <c r="O186" i="20"/>
  <c r="AQ185" i="20"/>
  <c r="AR185" i="20" s="1"/>
  <c r="AN185" i="20"/>
  <c r="AK183" i="3"/>
  <c r="BG183" i="3" s="1"/>
  <c r="AJ182" i="3"/>
  <c r="BF182" i="3" s="1"/>
  <c r="K182" i="15"/>
  <c r="O182" i="15"/>
  <c r="Y100" i="29"/>
  <c r="T167" i="29"/>
  <c r="S167" i="29"/>
  <c r="W167" i="29" s="1"/>
  <c r="R168" i="29" s="1"/>
  <c r="U168" i="29" s="1"/>
  <c r="AO72" i="29"/>
  <c r="AZ181" i="29"/>
  <c r="C181" i="29"/>
  <c r="E182" i="29"/>
  <c r="K72" i="29"/>
  <c r="AM72" i="29"/>
  <c r="AN72" i="29" s="1"/>
  <c r="AI72" i="29"/>
  <c r="N135" i="26"/>
  <c r="P135" i="26" s="1"/>
  <c r="M136" i="26" s="1"/>
  <c r="J176" i="26"/>
  <c r="L176" i="26" s="1"/>
  <c r="I177" i="26" s="1"/>
  <c r="H70" i="26"/>
  <c r="T134" i="26"/>
  <c r="S135" i="26" s="1"/>
  <c r="AT134" i="26"/>
  <c r="R134" i="26"/>
  <c r="Q135" i="26" s="1"/>
  <c r="AS181" i="26"/>
  <c r="AU181" i="26"/>
  <c r="AQ181" i="26"/>
  <c r="K181" i="26"/>
  <c r="O181" i="26"/>
  <c r="C182" i="26"/>
  <c r="AZ182" i="26"/>
  <c r="E183" i="26"/>
  <c r="T151" i="28"/>
  <c r="S151" i="28"/>
  <c r="W151" i="28" s="1"/>
  <c r="R152" i="28" s="1"/>
  <c r="V152" i="28" s="1"/>
  <c r="AT150" i="28"/>
  <c r="AE150" i="28"/>
  <c r="AD151" i="28" s="1"/>
  <c r="Z105" i="28"/>
  <c r="Y105" i="28"/>
  <c r="AS71" i="28"/>
  <c r="AQ71" i="28"/>
  <c r="AU71" i="28"/>
  <c r="F72" i="28"/>
  <c r="I72" i="28" s="1"/>
  <c r="Q72" i="28" s="1"/>
  <c r="L73" i="28" s="1"/>
  <c r="AM71" i="28"/>
  <c r="AN71" i="28" s="1"/>
  <c r="AZ182" i="28"/>
  <c r="C182" i="28"/>
  <c r="E183" i="28"/>
  <c r="G88" i="25"/>
  <c r="K88" i="25" s="1"/>
  <c r="J89" i="25"/>
  <c r="H88" i="25"/>
  <c r="AR181" i="25"/>
  <c r="U181" i="25"/>
  <c r="V181" i="25"/>
  <c r="AA181" i="25"/>
  <c r="AB181" i="25"/>
  <c r="BA182" i="25"/>
  <c r="BB182" i="25"/>
  <c r="BC182" i="25"/>
  <c r="AO84" i="25"/>
  <c r="AW65" i="15"/>
  <c r="AX65" i="15" s="1"/>
  <c r="AY65" i="15" s="1"/>
  <c r="C182" i="25"/>
  <c r="AZ182" i="25"/>
  <c r="BD182" i="25"/>
  <c r="E183" i="25"/>
  <c r="AM84" i="25"/>
  <c r="AN84" i="25" s="1"/>
  <c r="AM83" i="25"/>
  <c r="AN83" i="25" s="1"/>
  <c r="AJ83" i="25"/>
  <c r="AK83" i="25" s="1"/>
  <c r="AQ181" i="24"/>
  <c r="AS181" i="24"/>
  <c r="AU181" i="24"/>
  <c r="F67" i="24"/>
  <c r="AL66" i="24"/>
  <c r="AM66" i="24" s="1"/>
  <c r="AI66" i="24"/>
  <c r="AJ66" i="24" s="1"/>
  <c r="C182" i="24"/>
  <c r="AZ182" i="24"/>
  <c r="E183" i="24"/>
  <c r="AT97" i="24"/>
  <c r="G66" i="15"/>
  <c r="AR66" i="15" s="1"/>
  <c r="AQ183" i="15"/>
  <c r="AS183" i="15"/>
  <c r="AU183" i="15"/>
  <c r="P144" i="15"/>
  <c r="M145" i="15" s="1"/>
  <c r="N145" i="15" s="1"/>
  <c r="Q84" i="25"/>
  <c r="O180" i="25"/>
  <c r="I180" i="25"/>
  <c r="AK122" i="14"/>
  <c r="F45" i="19"/>
  <c r="AQ44" i="19"/>
  <c r="AU44" i="19"/>
  <c r="AS44" i="19"/>
  <c r="AG100" i="19"/>
  <c r="AF101" i="19" s="1"/>
  <c r="Y101" i="19"/>
  <c r="AC101" i="19" s="1"/>
  <c r="X102" i="19" s="1"/>
  <c r="Z101" i="19"/>
  <c r="AW51" i="17"/>
  <c r="AX51" i="17" s="1"/>
  <c r="AY51" i="17" s="1"/>
  <c r="AI52" i="17"/>
  <c r="AJ52" i="17" s="1"/>
  <c r="AK52" i="17" s="1"/>
  <c r="K52" i="17"/>
  <c r="AP52" i="17"/>
  <c r="AO52" i="17"/>
  <c r="AR182" i="19"/>
  <c r="BA122" i="14"/>
  <c r="AG100" i="17"/>
  <c r="AF101" i="17" s="1"/>
  <c r="S103" i="19"/>
  <c r="W103" i="19" s="1"/>
  <c r="R104" i="19" s="1"/>
  <c r="T103" i="19"/>
  <c r="AT102" i="19"/>
  <c r="AE102" i="19"/>
  <c r="AD103" i="19" s="1"/>
  <c r="T130" i="15"/>
  <c r="S131" i="15" s="1"/>
  <c r="AD183" i="3"/>
  <c r="AI183" i="3" s="1"/>
  <c r="BE183" i="3" s="1"/>
  <c r="AA183" i="17"/>
  <c r="I183" i="17"/>
  <c r="V183" i="17"/>
  <c r="O183" i="17"/>
  <c r="U183" i="19"/>
  <c r="AB183" i="19"/>
  <c r="O183" i="19"/>
  <c r="U183" i="17"/>
  <c r="V183" i="19"/>
  <c r="I183" i="19"/>
  <c r="AB183" i="17"/>
  <c r="AA183" i="19"/>
  <c r="P113" i="17"/>
  <c r="N112" i="17"/>
  <c r="M112" i="17"/>
  <c r="Q112" i="17" s="1"/>
  <c r="L113" i="17" s="1"/>
  <c r="Y101" i="17"/>
  <c r="AC101" i="17" s="1"/>
  <c r="X102" i="17" s="1"/>
  <c r="Z101" i="17"/>
  <c r="AT110" i="17"/>
  <c r="AE110" i="17"/>
  <c r="AD111" i="17" s="1"/>
  <c r="T111" i="17"/>
  <c r="S111" i="17"/>
  <c r="W111" i="17" s="1"/>
  <c r="R112" i="17" s="1"/>
  <c r="M112" i="19"/>
  <c r="Q112" i="19" s="1"/>
  <c r="L113" i="19" s="1"/>
  <c r="N112" i="19"/>
  <c r="P113" i="19"/>
  <c r="C183" i="19"/>
  <c r="AZ183" i="19"/>
  <c r="E184" i="19"/>
  <c r="AR182" i="16"/>
  <c r="BD183" i="16"/>
  <c r="E184" i="16"/>
  <c r="C183" i="16"/>
  <c r="AZ183" i="16"/>
  <c r="E183" i="18"/>
  <c r="C182" i="18"/>
  <c r="AZ182" i="18"/>
  <c r="AZ182" i="17"/>
  <c r="E183" i="17"/>
  <c r="C182" i="17"/>
  <c r="AS181" i="18"/>
  <c r="AQ181" i="18"/>
  <c r="AU181" i="18"/>
  <c r="O181" i="18"/>
  <c r="K181" i="18"/>
  <c r="L180" i="18"/>
  <c r="I181" i="18" s="1"/>
  <c r="J181" i="18" s="1"/>
  <c r="AW86" i="18"/>
  <c r="AX86" i="18" s="1"/>
  <c r="AY86" i="18" s="1"/>
  <c r="G87" i="18"/>
  <c r="AR87" i="18" s="1"/>
  <c r="AZ184" i="15"/>
  <c r="E185" i="15"/>
  <c r="C184" i="15"/>
  <c r="P142" i="18"/>
  <c r="M143" i="18" s="1"/>
  <c r="N143" i="18" s="1"/>
  <c r="T142" i="18"/>
  <c r="S143" i="18" s="1"/>
  <c r="R141" i="18"/>
  <c r="Q142" i="18" s="1"/>
  <c r="AT142" i="18" s="1"/>
  <c r="L130" i="15"/>
  <c r="I131" i="15" s="1"/>
  <c r="J131" i="15" s="1"/>
  <c r="R130" i="15"/>
  <c r="Q131" i="15" s="1"/>
  <c r="AT131" i="15" s="1"/>
  <c r="AQ188" i="3"/>
  <c r="H185" i="3"/>
  <c r="AF184" i="3"/>
  <c r="AD184" i="3" s="1"/>
  <c r="AW188" i="3"/>
  <c r="AN188" i="3"/>
  <c r="AN189" i="3" s="1"/>
  <c r="A186" i="3"/>
  <c r="BI186" i="3" s="1"/>
  <c r="BJ186" i="3" s="1"/>
  <c r="P188" i="3"/>
  <c r="P189" i="3" s="1"/>
  <c r="AV186" i="3"/>
  <c r="AX186" i="3" s="1"/>
  <c r="V186" i="3"/>
  <c r="X186" i="3" s="1"/>
  <c r="G187" i="3"/>
  <c r="BD184" i="3"/>
  <c r="AH185" i="3"/>
  <c r="AC184" i="3"/>
  <c r="Y185" i="3"/>
  <c r="AG185" i="3"/>
  <c r="AE185" i="3"/>
  <c r="BC184" i="3"/>
  <c r="AM185" i="3"/>
  <c r="BB186" i="3" l="1"/>
  <c r="AK123" i="14"/>
  <c r="AE146" i="25"/>
  <c r="AD147" i="25" s="1"/>
  <c r="AT146" i="25"/>
  <c r="S147" i="25"/>
  <c r="W147" i="25" s="1"/>
  <c r="R148" i="25" s="1"/>
  <c r="T147" i="25"/>
  <c r="AW123" i="14"/>
  <c r="G124" i="14"/>
  <c r="H124" i="14"/>
  <c r="AS123" i="14"/>
  <c r="AS134" i="14" s="1"/>
  <c r="AQ123" i="14"/>
  <c r="AQ134" i="14" s="1"/>
  <c r="AU123" i="14"/>
  <c r="AU134" i="14" s="1"/>
  <c r="AM123" i="14"/>
  <c r="AM134" i="14" s="1"/>
  <c r="AL134" i="14"/>
  <c r="AG105" i="28"/>
  <c r="AF106" i="28" s="1"/>
  <c r="AG100" i="29"/>
  <c r="AF101" i="29" s="1"/>
  <c r="AT101" i="29"/>
  <c r="O73" i="28"/>
  <c r="M73" i="28"/>
  <c r="N73" i="28"/>
  <c r="P74" i="28"/>
  <c r="AR188" i="3"/>
  <c r="K97" i="24"/>
  <c r="R97" i="24" s="1"/>
  <c r="Q98" i="24" s="1"/>
  <c r="J97" i="24"/>
  <c r="O105" i="24"/>
  <c r="N105" i="24"/>
  <c r="Z98" i="25"/>
  <c r="Y98" i="25"/>
  <c r="AC98" i="25" s="1"/>
  <c r="X99" i="25" s="1"/>
  <c r="AR183" i="19"/>
  <c r="P186" i="20"/>
  <c r="AK184" i="3"/>
  <c r="BG184" i="3" s="1"/>
  <c r="O187" i="20"/>
  <c r="AQ186" i="20"/>
  <c r="AR186" i="20" s="1"/>
  <c r="AN186" i="20"/>
  <c r="AJ183" i="3"/>
  <c r="BF183" i="3" s="1"/>
  <c r="K183" i="15"/>
  <c r="O183" i="15"/>
  <c r="AJ184" i="3"/>
  <c r="BF184" i="3" s="1"/>
  <c r="AC100" i="29"/>
  <c r="X101" i="29" s="1"/>
  <c r="T168" i="29"/>
  <c r="S168" i="29"/>
  <c r="W168" i="29" s="1"/>
  <c r="R169" i="29" s="1"/>
  <c r="U169" i="29" s="1"/>
  <c r="C182" i="29"/>
  <c r="AZ182" i="29"/>
  <c r="E183" i="29"/>
  <c r="F73" i="29"/>
  <c r="I73" i="29" s="1"/>
  <c r="AR73" i="29" s="1"/>
  <c r="AQ72" i="29"/>
  <c r="AS72" i="29"/>
  <c r="AU72" i="29"/>
  <c r="AJ72" i="29"/>
  <c r="AK72" i="29" s="1"/>
  <c r="N136" i="26"/>
  <c r="P136" i="26" s="1"/>
  <c r="M137" i="26" s="1"/>
  <c r="J177" i="26"/>
  <c r="L177" i="26" s="1"/>
  <c r="I178" i="26" s="1"/>
  <c r="O182" i="26"/>
  <c r="K182" i="26"/>
  <c r="AS182" i="26"/>
  <c r="AU182" i="26"/>
  <c r="AQ182" i="26"/>
  <c r="F71" i="26"/>
  <c r="AI70" i="26"/>
  <c r="AL70" i="26"/>
  <c r="AM70" i="26" s="1"/>
  <c r="AN70" i="26" s="1"/>
  <c r="AT135" i="26"/>
  <c r="R135" i="26"/>
  <c r="Q136" i="26" s="1"/>
  <c r="T135" i="26"/>
  <c r="S136" i="26" s="1"/>
  <c r="C183" i="26"/>
  <c r="AZ183" i="26"/>
  <c r="E184" i="26"/>
  <c r="T152" i="28"/>
  <c r="S152" i="28"/>
  <c r="W152" i="28" s="1"/>
  <c r="R153" i="28" s="1"/>
  <c r="V153" i="28" s="1"/>
  <c r="AT151" i="28"/>
  <c r="AE151" i="28"/>
  <c r="AD152" i="28" s="1"/>
  <c r="H72" i="28"/>
  <c r="AP72" i="28" s="1"/>
  <c r="J73" i="28"/>
  <c r="G72" i="28"/>
  <c r="AI72" i="28" s="1"/>
  <c r="C183" i="28"/>
  <c r="AZ183" i="28"/>
  <c r="E184" i="28"/>
  <c r="AC105" i="28"/>
  <c r="X106" i="28" s="1"/>
  <c r="AB106" i="28" s="1"/>
  <c r="F89" i="25"/>
  <c r="AR182" i="25"/>
  <c r="U182" i="25"/>
  <c r="AB182" i="25"/>
  <c r="V182" i="25"/>
  <c r="AA182" i="25"/>
  <c r="BA183" i="25"/>
  <c r="BB183" i="25"/>
  <c r="BC183" i="25"/>
  <c r="AU84" i="25"/>
  <c r="AQ84" i="25"/>
  <c r="AS84" i="25"/>
  <c r="AI84" i="25"/>
  <c r="AW83" i="25"/>
  <c r="AX83" i="25" s="1"/>
  <c r="AY83" i="25" s="1"/>
  <c r="L85" i="25"/>
  <c r="AZ183" i="25"/>
  <c r="BD183" i="25"/>
  <c r="C183" i="25"/>
  <c r="E184" i="25"/>
  <c r="AK66" i="24"/>
  <c r="C183" i="24"/>
  <c r="AZ183" i="24"/>
  <c r="E184" i="24"/>
  <c r="AN66" i="24"/>
  <c r="AU182" i="24"/>
  <c r="AQ182" i="24"/>
  <c r="AS182" i="24"/>
  <c r="G67" i="24"/>
  <c r="AR67" i="24" s="1"/>
  <c r="H66" i="15"/>
  <c r="O184" i="15"/>
  <c r="AQ184" i="15"/>
  <c r="AS184" i="15"/>
  <c r="AU184" i="15"/>
  <c r="K184" i="15"/>
  <c r="P145" i="15"/>
  <c r="M146" i="15" s="1"/>
  <c r="N146" i="15" s="1"/>
  <c r="AW71" i="28"/>
  <c r="AX71" i="28" s="1"/>
  <c r="AY71" i="28" s="1"/>
  <c r="O181" i="25"/>
  <c r="I181" i="25"/>
  <c r="AW44" i="19"/>
  <c r="AX44" i="19" s="1"/>
  <c r="AY44" i="19" s="1"/>
  <c r="AV122" i="14"/>
  <c r="H45" i="19"/>
  <c r="J46" i="19"/>
  <c r="G45" i="19"/>
  <c r="Z102" i="19"/>
  <c r="Y102" i="19"/>
  <c r="AC102" i="19" s="1"/>
  <c r="X103" i="19" s="1"/>
  <c r="AG101" i="19"/>
  <c r="AF102" i="19" s="1"/>
  <c r="F53" i="17"/>
  <c r="AS52" i="17"/>
  <c r="AU52" i="17"/>
  <c r="AQ52" i="17"/>
  <c r="S104" i="19"/>
  <c r="W104" i="19" s="1"/>
  <c r="R105" i="19" s="1"/>
  <c r="T104" i="19"/>
  <c r="AT103" i="19"/>
  <c r="AE103" i="19"/>
  <c r="AD104" i="19" s="1"/>
  <c r="Y102" i="17"/>
  <c r="AC102" i="17" s="1"/>
  <c r="X103" i="17" s="1"/>
  <c r="Z102" i="17"/>
  <c r="P114" i="19"/>
  <c r="N113" i="19"/>
  <c r="M113" i="19"/>
  <c r="Q113" i="19" s="1"/>
  <c r="L114" i="19" s="1"/>
  <c r="T131" i="15"/>
  <c r="S132" i="15" s="1"/>
  <c r="U184" i="17"/>
  <c r="V184" i="17"/>
  <c r="I184" i="17"/>
  <c r="AA184" i="17"/>
  <c r="V184" i="19"/>
  <c r="O184" i="17"/>
  <c r="U184" i="19"/>
  <c r="O184" i="19"/>
  <c r="I184" i="19"/>
  <c r="AA184" i="19"/>
  <c r="AB184" i="19"/>
  <c r="AB184" i="17"/>
  <c r="N113" i="17"/>
  <c r="M113" i="17"/>
  <c r="Q113" i="17" s="1"/>
  <c r="L114" i="17" s="1"/>
  <c r="P114" i="17"/>
  <c r="AT111" i="17"/>
  <c r="AE111" i="17"/>
  <c r="AD112" i="17" s="1"/>
  <c r="AG101" i="17"/>
  <c r="AF102" i="17" s="1"/>
  <c r="T112" i="17"/>
  <c r="S112" i="17"/>
  <c r="W112" i="17" s="1"/>
  <c r="R113" i="17" s="1"/>
  <c r="C184" i="19"/>
  <c r="AZ184" i="19"/>
  <c r="E185" i="19"/>
  <c r="BD184" i="16"/>
  <c r="AZ184" i="16"/>
  <c r="E185" i="16"/>
  <c r="C184" i="16"/>
  <c r="AR183" i="16"/>
  <c r="L181" i="18"/>
  <c r="I182" i="18" s="1"/>
  <c r="AZ183" i="18"/>
  <c r="E184" i="18"/>
  <c r="C183" i="18"/>
  <c r="C183" i="17"/>
  <c r="AZ183" i="17"/>
  <c r="E184" i="17"/>
  <c r="AQ182" i="18"/>
  <c r="O182" i="18"/>
  <c r="AS182" i="18"/>
  <c r="AU182" i="18"/>
  <c r="K182" i="18"/>
  <c r="H87" i="18"/>
  <c r="AI87" i="18" s="1"/>
  <c r="AJ87" i="18" s="1"/>
  <c r="AK87" i="18" s="1"/>
  <c r="C185" i="15"/>
  <c r="AZ185" i="15"/>
  <c r="E186" i="15"/>
  <c r="T143" i="18"/>
  <c r="S144" i="18" s="1"/>
  <c r="R142" i="18"/>
  <c r="Q143" i="18" s="1"/>
  <c r="AT143" i="18" s="1"/>
  <c r="AV187" i="3"/>
  <c r="AX187" i="3" s="1"/>
  <c r="V187" i="3"/>
  <c r="X187" i="3" s="1"/>
  <c r="G188" i="3"/>
  <c r="A187" i="3"/>
  <c r="BI187" i="3" s="1"/>
  <c r="BJ187" i="3" s="1"/>
  <c r="AW189" i="3"/>
  <c r="AE186" i="3"/>
  <c r="BC185" i="3"/>
  <c r="Y186" i="3"/>
  <c r="AC185" i="3"/>
  <c r="AM186" i="3"/>
  <c r="AI184" i="3"/>
  <c r="BE184" i="3" s="1"/>
  <c r="AL186" i="3"/>
  <c r="AN190" i="3"/>
  <c r="H186" i="3"/>
  <c r="AF185" i="3"/>
  <c r="AD185" i="3" s="1"/>
  <c r="AG186" i="3"/>
  <c r="AH186" i="3"/>
  <c r="BD185" i="3"/>
  <c r="AQ189" i="3"/>
  <c r="BB187" i="3" l="1"/>
  <c r="AT147" i="25"/>
  <c r="AE147" i="25"/>
  <c r="AD148" i="25" s="1"/>
  <c r="S148" i="25"/>
  <c r="W148" i="25" s="1"/>
  <c r="R149" i="25" s="1"/>
  <c r="T148" i="25"/>
  <c r="BA123" i="14"/>
  <c r="BA134" i="14" s="1"/>
  <c r="AW134" i="14"/>
  <c r="AN123" i="14"/>
  <c r="AN134" i="14" s="1"/>
  <c r="AK134" i="14"/>
  <c r="Q73" i="29"/>
  <c r="L74" i="29" s="1"/>
  <c r="M74" i="29" s="1"/>
  <c r="Z101" i="29"/>
  <c r="AA101" i="29"/>
  <c r="AE101" i="29" s="1"/>
  <c r="AD102" i="29" s="1"/>
  <c r="AR189" i="3"/>
  <c r="AG98" i="25"/>
  <c r="AF99" i="25" s="1"/>
  <c r="L97" i="24"/>
  <c r="I98" i="24" s="1"/>
  <c r="P105" i="24"/>
  <c r="M106" i="24" s="1"/>
  <c r="N106" i="24" s="1"/>
  <c r="Y99" i="25"/>
  <c r="AC99" i="25" s="1"/>
  <c r="X100" i="25" s="1"/>
  <c r="Z99" i="25"/>
  <c r="T97" i="24"/>
  <c r="S98" i="24" s="1"/>
  <c r="AN187" i="20"/>
  <c r="O188" i="20"/>
  <c r="AQ187" i="20"/>
  <c r="AR187" i="20" s="1"/>
  <c r="P187" i="20"/>
  <c r="AK185" i="3"/>
  <c r="BG185" i="3" s="1"/>
  <c r="Y101" i="29"/>
  <c r="AW72" i="29"/>
  <c r="AX72" i="29" s="1"/>
  <c r="AY72" i="29" s="1"/>
  <c r="T169" i="29"/>
  <c r="S169" i="29"/>
  <c r="W169" i="29" s="1"/>
  <c r="R170" i="29" s="1"/>
  <c r="U170" i="29" s="1"/>
  <c r="H73" i="29"/>
  <c r="AP73" i="29" s="1"/>
  <c r="J74" i="29"/>
  <c r="G73" i="29"/>
  <c r="AI73" i="29" s="1"/>
  <c r="AZ183" i="29"/>
  <c r="C183" i="29"/>
  <c r="E184" i="29"/>
  <c r="N137" i="26"/>
  <c r="P137" i="26" s="1"/>
  <c r="M138" i="26" s="1"/>
  <c r="G71" i="26"/>
  <c r="AR71" i="26" s="1"/>
  <c r="AT136" i="26"/>
  <c r="R136" i="26"/>
  <c r="Q137" i="26" s="1"/>
  <c r="J178" i="26"/>
  <c r="L178" i="26" s="1"/>
  <c r="I179" i="26" s="1"/>
  <c r="T136" i="26"/>
  <c r="S137" i="26" s="1"/>
  <c r="K183" i="26"/>
  <c r="O183" i="26"/>
  <c r="AQ183" i="26"/>
  <c r="AS183" i="26"/>
  <c r="AU183" i="26"/>
  <c r="AJ70" i="26"/>
  <c r="AK70" i="26" s="1"/>
  <c r="AW70" i="26" s="1"/>
  <c r="AX70" i="26" s="1"/>
  <c r="AY70" i="26" s="1"/>
  <c r="C184" i="26"/>
  <c r="AZ184" i="26"/>
  <c r="E185" i="26"/>
  <c r="T153" i="28"/>
  <c r="S153" i="28"/>
  <c r="W153" i="28" s="1"/>
  <c r="R154" i="28" s="1"/>
  <c r="V154" i="28" s="1"/>
  <c r="AT152" i="28"/>
  <c r="AE152" i="28"/>
  <c r="AD153" i="28" s="1"/>
  <c r="AO72" i="28"/>
  <c r="Z106" i="28"/>
  <c r="Y106" i="28"/>
  <c r="AG106" i="28" s="1"/>
  <c r="AF107" i="28" s="1"/>
  <c r="AL72" i="28"/>
  <c r="AJ72" i="28"/>
  <c r="AK72" i="28" s="1"/>
  <c r="AZ184" i="28"/>
  <c r="C184" i="28"/>
  <c r="E185" i="28"/>
  <c r="G89" i="25"/>
  <c r="K89" i="25" s="1"/>
  <c r="H89" i="25"/>
  <c r="J90" i="25"/>
  <c r="AB183" i="25"/>
  <c r="AR183" i="25"/>
  <c r="AA183" i="25"/>
  <c r="U183" i="25"/>
  <c r="V183" i="25"/>
  <c r="BA184" i="25"/>
  <c r="BB184" i="25"/>
  <c r="BC184" i="25"/>
  <c r="AW66" i="24"/>
  <c r="AX66" i="24" s="1"/>
  <c r="AY66" i="24" s="1"/>
  <c r="N85" i="25"/>
  <c r="AP85" i="25" s="1"/>
  <c r="P86" i="25"/>
  <c r="AJ84" i="25"/>
  <c r="AK84" i="25" s="1"/>
  <c r="AW84" i="25" s="1"/>
  <c r="AX84" i="25" s="1"/>
  <c r="AY84" i="25" s="1"/>
  <c r="C184" i="25"/>
  <c r="AZ184" i="25"/>
  <c r="BD184" i="25"/>
  <c r="E185" i="25"/>
  <c r="AS183" i="24"/>
  <c r="AU183" i="24"/>
  <c r="AQ183" i="24"/>
  <c r="AT98" i="24"/>
  <c r="C184" i="24"/>
  <c r="AZ184" i="24"/>
  <c r="E185" i="24"/>
  <c r="H67" i="24"/>
  <c r="F67" i="15"/>
  <c r="AI66" i="15"/>
  <c r="AJ66" i="15" s="1"/>
  <c r="AK66" i="15" s="1"/>
  <c r="AL66" i="15"/>
  <c r="AM66" i="15" s="1"/>
  <c r="AN66" i="15" s="1"/>
  <c r="AS185" i="15"/>
  <c r="AU185" i="15"/>
  <c r="K185" i="15"/>
  <c r="O185" i="15"/>
  <c r="AQ185" i="15"/>
  <c r="P146" i="15"/>
  <c r="M147" i="15" s="1"/>
  <c r="N147" i="15" s="1"/>
  <c r="K72" i="28"/>
  <c r="O182" i="25"/>
  <c r="M85" i="25"/>
  <c r="AL85" i="25" s="1"/>
  <c r="I182" i="25"/>
  <c r="AJ185" i="3"/>
  <c r="BF185" i="3" s="1"/>
  <c r="BG122" i="14"/>
  <c r="AZ122" i="14"/>
  <c r="AW52" i="17"/>
  <c r="AX52" i="17" s="1"/>
  <c r="AY52" i="17" s="1"/>
  <c r="AL45" i="19"/>
  <c r="AM45" i="19" s="1"/>
  <c r="AN45" i="19" s="1"/>
  <c r="AI45" i="19"/>
  <c r="AJ45" i="19" s="1"/>
  <c r="AK45" i="19" s="1"/>
  <c r="K45" i="19"/>
  <c r="AP45" i="19"/>
  <c r="AO45" i="19"/>
  <c r="AG102" i="19"/>
  <c r="AF103" i="19" s="1"/>
  <c r="Y103" i="19"/>
  <c r="AC103" i="19" s="1"/>
  <c r="X104" i="19" s="1"/>
  <c r="Z103" i="19"/>
  <c r="AR184" i="19"/>
  <c r="G53" i="17"/>
  <c r="AI53" i="17" s="1"/>
  <c r="AJ53" i="17" s="1"/>
  <c r="AK53" i="17" s="1"/>
  <c r="J54" i="17"/>
  <c r="H53" i="17"/>
  <c r="T105" i="19"/>
  <c r="S105" i="19"/>
  <c r="W105" i="19" s="1"/>
  <c r="R106" i="19" s="1"/>
  <c r="AE104" i="19"/>
  <c r="AD105" i="19" s="1"/>
  <c r="AT104" i="19"/>
  <c r="AG102" i="17"/>
  <c r="AF103" i="17" s="1"/>
  <c r="Y103" i="17"/>
  <c r="AC103" i="17" s="1"/>
  <c r="X104" i="17" s="1"/>
  <c r="Z103" i="17"/>
  <c r="AA185" i="17"/>
  <c r="I185" i="17"/>
  <c r="U185" i="17"/>
  <c r="O185" i="17"/>
  <c r="AA185" i="19"/>
  <c r="I185" i="19"/>
  <c r="AB185" i="17"/>
  <c r="V185" i="19"/>
  <c r="O185" i="19"/>
  <c r="V185" i="17"/>
  <c r="U185" i="19"/>
  <c r="AB185" i="19"/>
  <c r="T113" i="17"/>
  <c r="S113" i="17"/>
  <c r="W113" i="17" s="1"/>
  <c r="R114" i="17" s="1"/>
  <c r="P115" i="17"/>
  <c r="N114" i="17"/>
  <c r="M114" i="17"/>
  <c r="Q114" i="17" s="1"/>
  <c r="L115" i="17" s="1"/>
  <c r="N114" i="19"/>
  <c r="P115" i="19"/>
  <c r="M114" i="19"/>
  <c r="Q114" i="19" s="1"/>
  <c r="L115" i="19" s="1"/>
  <c r="AT112" i="17"/>
  <c r="AE112" i="17"/>
  <c r="AD113" i="17" s="1"/>
  <c r="AZ185" i="19"/>
  <c r="E186" i="19"/>
  <c r="C185" i="19"/>
  <c r="E186" i="16"/>
  <c r="AZ185" i="16"/>
  <c r="C185" i="16"/>
  <c r="BD185" i="16"/>
  <c r="AR184" i="16"/>
  <c r="E185" i="17"/>
  <c r="C184" i="17"/>
  <c r="AZ184" i="17"/>
  <c r="O183" i="18"/>
  <c r="AU183" i="18"/>
  <c r="K183" i="18"/>
  <c r="AS183" i="18"/>
  <c r="AQ183" i="18"/>
  <c r="AZ184" i="18"/>
  <c r="E185" i="18"/>
  <c r="C184" i="18"/>
  <c r="J182" i="18"/>
  <c r="L182" i="18" s="1"/>
  <c r="I183" i="18" s="1"/>
  <c r="F88" i="18"/>
  <c r="G88" i="18" s="1"/>
  <c r="AR88" i="18" s="1"/>
  <c r="AL87" i="18"/>
  <c r="AM87" i="18" s="1"/>
  <c r="AN87" i="18" s="1"/>
  <c r="AW87" i="18" s="1"/>
  <c r="AX87" i="18" s="1"/>
  <c r="AY87" i="18" s="1"/>
  <c r="AZ186" i="15"/>
  <c r="E187" i="15"/>
  <c r="C186" i="15"/>
  <c r="P143" i="18"/>
  <c r="M144" i="18" s="1"/>
  <c r="N144" i="18" s="1"/>
  <c r="R143" i="18"/>
  <c r="Q144" i="18" s="1"/>
  <c r="AT144" i="18" s="1"/>
  <c r="R131" i="15"/>
  <c r="Q132" i="15" s="1"/>
  <c r="AT132" i="15" s="1"/>
  <c r="L131" i="15"/>
  <c r="I132" i="15" s="1"/>
  <c r="J132" i="15" s="1"/>
  <c r="Y187" i="3"/>
  <c r="AC186" i="3"/>
  <c r="G189" i="3"/>
  <c r="AV188" i="3"/>
  <c r="AX188" i="3" s="1"/>
  <c r="V188" i="3"/>
  <c r="X188" i="3" s="1"/>
  <c r="BD186" i="3"/>
  <c r="AH187" i="3"/>
  <c r="H187" i="3"/>
  <c r="AF186" i="3"/>
  <c r="AK186" i="3" s="1"/>
  <c r="AW190" i="3"/>
  <c r="AG187" i="3"/>
  <c r="AM187" i="3"/>
  <c r="A188" i="3"/>
  <c r="BI188" i="3" s="1"/>
  <c r="BJ188" i="3" s="1"/>
  <c r="AQ190" i="3"/>
  <c r="P190" i="3"/>
  <c r="AL187" i="3"/>
  <c r="AI185" i="3"/>
  <c r="BE185" i="3" s="1"/>
  <c r="BC186" i="3"/>
  <c r="AE187" i="3"/>
  <c r="BB188" i="3" l="1"/>
  <c r="AV123" i="14"/>
  <c r="AV134" i="14" s="1"/>
  <c r="AT148" i="25"/>
  <c r="AE148" i="25"/>
  <c r="AD149" i="25" s="1"/>
  <c r="T149" i="25"/>
  <c r="S149" i="25"/>
  <c r="W149" i="25" s="1"/>
  <c r="R150" i="25" s="1"/>
  <c r="O74" i="29"/>
  <c r="P75" i="29"/>
  <c r="N74" i="29"/>
  <c r="AT102" i="29"/>
  <c r="AG101" i="29"/>
  <c r="AF102" i="29" s="1"/>
  <c r="AR190" i="3"/>
  <c r="AL188" i="3"/>
  <c r="AG99" i="25"/>
  <c r="AF100" i="25" s="1"/>
  <c r="O106" i="24"/>
  <c r="P106" i="24" s="1"/>
  <c r="M107" i="24" s="1"/>
  <c r="O107" i="24" s="1"/>
  <c r="K98" i="24"/>
  <c r="T98" i="24" s="1"/>
  <c r="S99" i="24" s="1"/>
  <c r="J98" i="24"/>
  <c r="Y100" i="25"/>
  <c r="AC100" i="25" s="1"/>
  <c r="X101" i="25" s="1"/>
  <c r="Z100" i="25"/>
  <c r="AQ188" i="20"/>
  <c r="AR188" i="20" s="1"/>
  <c r="O189" i="20"/>
  <c r="AN188" i="20"/>
  <c r="AD186" i="3"/>
  <c r="O186" i="15" s="1"/>
  <c r="P188" i="20"/>
  <c r="BG186" i="3"/>
  <c r="AC101" i="29"/>
  <c r="X102" i="29" s="1"/>
  <c r="T170" i="29"/>
  <c r="S170" i="29"/>
  <c r="W170" i="29" s="1"/>
  <c r="R171" i="29" s="1"/>
  <c r="U171" i="29" s="1"/>
  <c r="C184" i="29"/>
  <c r="AZ184" i="29"/>
  <c r="E185" i="29"/>
  <c r="AO73" i="29"/>
  <c r="AJ73" i="29"/>
  <c r="AK73" i="29" s="1"/>
  <c r="K73" i="29"/>
  <c r="AL73" i="29"/>
  <c r="H71" i="26"/>
  <c r="F72" i="26" s="1"/>
  <c r="G72" i="26" s="1"/>
  <c r="AR72" i="26" s="1"/>
  <c r="J179" i="26"/>
  <c r="L179" i="26" s="1"/>
  <c r="I180" i="26" s="1"/>
  <c r="N138" i="26"/>
  <c r="P138" i="26" s="1"/>
  <c r="M139" i="26" s="1"/>
  <c r="AT137" i="26"/>
  <c r="R137" i="26"/>
  <c r="Q138" i="26" s="1"/>
  <c r="T137" i="26"/>
  <c r="S138" i="26" s="1"/>
  <c r="O184" i="26"/>
  <c r="AQ184" i="26"/>
  <c r="AS184" i="26"/>
  <c r="AU184" i="26"/>
  <c r="K184" i="26"/>
  <c r="C185" i="26"/>
  <c r="AZ185" i="26"/>
  <c r="E186" i="26"/>
  <c r="T154" i="28"/>
  <c r="S154" i="28"/>
  <c r="W154" i="28" s="1"/>
  <c r="R155" i="28" s="1"/>
  <c r="V155" i="28" s="1"/>
  <c r="AS72" i="28"/>
  <c r="AU72" i="28"/>
  <c r="AQ72" i="28"/>
  <c r="AT153" i="28"/>
  <c r="AE153" i="28"/>
  <c r="AD154" i="28" s="1"/>
  <c r="AC106" i="28"/>
  <c r="F73" i="28"/>
  <c r="I73" i="28" s="1"/>
  <c r="Q73" i="28" s="1"/>
  <c r="L74" i="28" s="1"/>
  <c r="AM72" i="28"/>
  <c r="AN72" i="28" s="1"/>
  <c r="C185" i="28"/>
  <c r="AZ185" i="28"/>
  <c r="E186" i="28"/>
  <c r="F90" i="25"/>
  <c r="AO85" i="25"/>
  <c r="AA184" i="25"/>
  <c r="AB184" i="25"/>
  <c r="AR184" i="25"/>
  <c r="V184" i="25"/>
  <c r="U184" i="25"/>
  <c r="BA185" i="25"/>
  <c r="BB185" i="25"/>
  <c r="BC185" i="25"/>
  <c r="AZ185" i="25"/>
  <c r="BD185" i="25"/>
  <c r="C185" i="25"/>
  <c r="E186" i="25"/>
  <c r="AM85" i="25"/>
  <c r="AN85" i="25" s="1"/>
  <c r="AQ184" i="24"/>
  <c r="AS184" i="24"/>
  <c r="AU184" i="24"/>
  <c r="C185" i="24"/>
  <c r="AZ185" i="24"/>
  <c r="E186" i="24"/>
  <c r="F68" i="24"/>
  <c r="AL67" i="24"/>
  <c r="AM67" i="24" s="1"/>
  <c r="AI67" i="24"/>
  <c r="AJ67" i="24" s="1"/>
  <c r="AW66" i="15"/>
  <c r="AX66" i="15" s="1"/>
  <c r="AY66" i="15" s="1"/>
  <c r="G67" i="15"/>
  <c r="AR67" i="15" s="1"/>
  <c r="AQ186" i="15"/>
  <c r="AS186" i="15"/>
  <c r="AU186" i="15"/>
  <c r="P147" i="15"/>
  <c r="M148" i="15" s="1"/>
  <c r="N148" i="15" s="1"/>
  <c r="Q85" i="25"/>
  <c r="O183" i="25"/>
  <c r="I183" i="25"/>
  <c r="BC122" i="14"/>
  <c r="AM188" i="3"/>
  <c r="F46" i="19"/>
  <c r="AU45" i="19"/>
  <c r="AS45" i="19"/>
  <c r="AQ45" i="19"/>
  <c r="AG103" i="19"/>
  <c r="AF104" i="19" s="1"/>
  <c r="Z104" i="19"/>
  <c r="Y104" i="19"/>
  <c r="AC104" i="19" s="1"/>
  <c r="X105" i="19" s="1"/>
  <c r="K53" i="17"/>
  <c r="F54" i="17" s="1"/>
  <c r="J55" i="17" s="1"/>
  <c r="AR185" i="19"/>
  <c r="AP53" i="17"/>
  <c r="AO53" i="17"/>
  <c r="AL53" i="17"/>
  <c r="AM53" i="17" s="1"/>
  <c r="AN53" i="17" s="1"/>
  <c r="AG103" i="17"/>
  <c r="AF104" i="17" s="1"/>
  <c r="S106" i="19"/>
  <c r="W106" i="19" s="1"/>
  <c r="R107" i="19" s="1"/>
  <c r="T106" i="19"/>
  <c r="AE105" i="19"/>
  <c r="AD106" i="19" s="1"/>
  <c r="AT105" i="19"/>
  <c r="U186" i="17"/>
  <c r="O186" i="17"/>
  <c r="V186" i="17"/>
  <c r="I186" i="17"/>
  <c r="AB186" i="19"/>
  <c r="O186" i="19"/>
  <c r="AA186" i="19"/>
  <c r="I186" i="19"/>
  <c r="AA186" i="17"/>
  <c r="U186" i="19"/>
  <c r="V186" i="19"/>
  <c r="AB186" i="17"/>
  <c r="N115" i="17"/>
  <c r="P116" i="17"/>
  <c r="M115" i="17"/>
  <c r="Q115" i="17" s="1"/>
  <c r="L116" i="17" s="1"/>
  <c r="Y104" i="17"/>
  <c r="AC104" i="17" s="1"/>
  <c r="X105" i="17" s="1"/>
  <c r="Z104" i="17"/>
  <c r="T132" i="15"/>
  <c r="S133" i="15" s="1"/>
  <c r="AT113" i="17"/>
  <c r="AE113" i="17"/>
  <c r="AD114" i="17" s="1"/>
  <c r="P116" i="19"/>
  <c r="M115" i="19"/>
  <c r="Q115" i="19" s="1"/>
  <c r="L116" i="19" s="1"/>
  <c r="N115" i="19"/>
  <c r="T114" i="17"/>
  <c r="S114" i="17"/>
  <c r="W114" i="17" s="1"/>
  <c r="R115" i="17" s="1"/>
  <c r="E187" i="19"/>
  <c r="C186" i="19"/>
  <c r="AZ186" i="19"/>
  <c r="H88" i="18"/>
  <c r="AL88" i="18" s="1"/>
  <c r="AM88" i="18" s="1"/>
  <c r="AN88" i="18" s="1"/>
  <c r="AR185" i="16"/>
  <c r="BD186" i="16"/>
  <c r="C186" i="16"/>
  <c r="AZ186" i="16"/>
  <c r="E187" i="16"/>
  <c r="J183" i="18"/>
  <c r="L183" i="18" s="1"/>
  <c r="I184" i="18" s="1"/>
  <c r="C185" i="18"/>
  <c r="AZ185" i="18"/>
  <c r="E186" i="18"/>
  <c r="AQ184" i="18"/>
  <c r="AS184" i="18"/>
  <c r="K184" i="18"/>
  <c r="AU184" i="18"/>
  <c r="O184" i="18"/>
  <c r="E186" i="17"/>
  <c r="AZ185" i="17"/>
  <c r="C185" i="17"/>
  <c r="AZ187" i="15"/>
  <c r="E188" i="15"/>
  <c r="C187" i="15"/>
  <c r="T144" i="18"/>
  <c r="S145" i="18" s="1"/>
  <c r="AE188" i="3"/>
  <c r="BC187" i="3"/>
  <c r="AQ191" i="3"/>
  <c r="BD187" i="3"/>
  <c r="AH188" i="3"/>
  <c r="AN191" i="3"/>
  <c r="AW191" i="3"/>
  <c r="AV189" i="3"/>
  <c r="AX189" i="3" s="1"/>
  <c r="V189" i="3"/>
  <c r="X189" i="3" s="1"/>
  <c r="G190" i="3"/>
  <c r="P191" i="3"/>
  <c r="A189" i="3"/>
  <c r="BI189" i="3" s="1"/>
  <c r="BJ189" i="3" s="1"/>
  <c r="AG188" i="3"/>
  <c r="H188" i="3"/>
  <c r="AF187" i="3"/>
  <c r="AD187" i="3" s="1"/>
  <c r="Y188" i="3"/>
  <c r="AC187" i="3"/>
  <c r="BB189" i="3" l="1"/>
  <c r="BG123" i="14"/>
  <c r="AZ123" i="14"/>
  <c r="AT149" i="25"/>
  <c r="AE149" i="25"/>
  <c r="AD150" i="25" s="1"/>
  <c r="S150" i="25"/>
  <c r="W150" i="25" s="1"/>
  <c r="R151" i="25" s="1"/>
  <c r="T150" i="25"/>
  <c r="Z102" i="29"/>
  <c r="AA102" i="29"/>
  <c r="AE102" i="29" s="1"/>
  <c r="AD103" i="29" s="1"/>
  <c r="O74" i="28"/>
  <c r="M74" i="28"/>
  <c r="P75" i="28"/>
  <c r="N74" i="28"/>
  <c r="AI186" i="3"/>
  <c r="BE186" i="3" s="1"/>
  <c r="AJ186" i="3"/>
  <c r="BF186" i="3" s="1"/>
  <c r="K186" i="15"/>
  <c r="AR191" i="3"/>
  <c r="N107" i="24"/>
  <c r="P107" i="24" s="1"/>
  <c r="M108" i="24" s="1"/>
  <c r="N108" i="24" s="1"/>
  <c r="AG100" i="25"/>
  <c r="AF101" i="25" s="1"/>
  <c r="R98" i="24"/>
  <c r="Q99" i="24" s="1"/>
  <c r="AT99" i="24" s="1"/>
  <c r="L98" i="24"/>
  <c r="I99" i="24" s="1"/>
  <c r="Z101" i="25"/>
  <c r="Y101" i="25"/>
  <c r="AC101" i="25" s="1"/>
  <c r="X102" i="25" s="1"/>
  <c r="AR186" i="19"/>
  <c r="AQ189" i="20"/>
  <c r="AR189" i="20" s="1"/>
  <c r="O190" i="20"/>
  <c r="AN189" i="20"/>
  <c r="P189" i="20"/>
  <c r="AK187" i="3"/>
  <c r="BG187" i="3" s="1"/>
  <c r="Y102" i="29"/>
  <c r="T171" i="29"/>
  <c r="S171" i="29"/>
  <c r="W171" i="29" s="1"/>
  <c r="R172" i="29" s="1"/>
  <c r="U172" i="29" s="1"/>
  <c r="F74" i="29"/>
  <c r="I74" i="29" s="1"/>
  <c r="AS73" i="29"/>
  <c r="AU73" i="29"/>
  <c r="AQ73" i="29"/>
  <c r="AM73" i="29"/>
  <c r="AN73" i="29" s="1"/>
  <c r="AZ185" i="29"/>
  <c r="C185" i="29"/>
  <c r="E186" i="29"/>
  <c r="AL71" i="26"/>
  <c r="AM71" i="26" s="1"/>
  <c r="AN71" i="26" s="1"/>
  <c r="AI71" i="26"/>
  <c r="AJ71" i="26" s="1"/>
  <c r="AK71" i="26" s="1"/>
  <c r="J180" i="26"/>
  <c r="L180" i="26" s="1"/>
  <c r="I181" i="26" s="1"/>
  <c r="N139" i="26"/>
  <c r="P139" i="26" s="1"/>
  <c r="M140" i="26" s="1"/>
  <c r="AT138" i="26"/>
  <c r="R138" i="26"/>
  <c r="Q139" i="26" s="1"/>
  <c r="T138" i="26"/>
  <c r="S139" i="26" s="1"/>
  <c r="AS185" i="26"/>
  <c r="AU185" i="26"/>
  <c r="AQ185" i="26"/>
  <c r="O185" i="26"/>
  <c r="K185" i="26"/>
  <c r="H72" i="26"/>
  <c r="AZ186" i="26"/>
  <c r="C186" i="26"/>
  <c r="E187" i="26"/>
  <c r="T155" i="28"/>
  <c r="S155" i="28"/>
  <c r="W155" i="28" s="1"/>
  <c r="R156" i="28" s="1"/>
  <c r="V156" i="28" s="1"/>
  <c r="H73" i="28"/>
  <c r="AP73" i="28" s="1"/>
  <c r="J74" i="28"/>
  <c r="G73" i="28"/>
  <c r="AI73" i="28" s="1"/>
  <c r="AT154" i="28"/>
  <c r="AE154" i="28"/>
  <c r="AD155" i="28" s="1"/>
  <c r="X107" i="28"/>
  <c r="AB107" i="28" s="1"/>
  <c r="C186" i="28"/>
  <c r="AZ186" i="28"/>
  <c r="E187" i="28"/>
  <c r="BC186" i="25"/>
  <c r="BA186" i="25"/>
  <c r="BB186" i="25"/>
  <c r="G90" i="25"/>
  <c r="K90" i="25" s="1"/>
  <c r="F91" i="25" s="1"/>
  <c r="H90" i="25"/>
  <c r="J91" i="25"/>
  <c r="AS85" i="25"/>
  <c r="AU85" i="25"/>
  <c r="AI85" i="25"/>
  <c r="AQ85" i="25"/>
  <c r="V185" i="25"/>
  <c r="AA185" i="25"/>
  <c r="AB185" i="25"/>
  <c r="AR185" i="25"/>
  <c r="U185" i="25"/>
  <c r="L86" i="25"/>
  <c r="AN67" i="24"/>
  <c r="C186" i="25"/>
  <c r="AZ186" i="25"/>
  <c r="BD186" i="25"/>
  <c r="E187" i="25"/>
  <c r="AQ185" i="24"/>
  <c r="AS185" i="24"/>
  <c r="AU185" i="24"/>
  <c r="AZ186" i="24"/>
  <c r="C186" i="24"/>
  <c r="E187" i="24"/>
  <c r="AK67" i="24"/>
  <c r="G68" i="24"/>
  <c r="AR68" i="24" s="1"/>
  <c r="H67" i="15"/>
  <c r="K187" i="15"/>
  <c r="O187" i="15"/>
  <c r="AQ187" i="15"/>
  <c r="AS187" i="15"/>
  <c r="AU187" i="15"/>
  <c r="P148" i="15"/>
  <c r="M149" i="15" s="1"/>
  <c r="N149" i="15" s="1"/>
  <c r="AW72" i="28"/>
  <c r="AX72" i="28" s="1"/>
  <c r="AY72" i="28" s="1"/>
  <c r="O184" i="25"/>
  <c r="I184" i="25"/>
  <c r="AJ187" i="3"/>
  <c r="BF187" i="3" s="1"/>
  <c r="AW45" i="19"/>
  <c r="AX45" i="19" s="1"/>
  <c r="AY45" i="19" s="1"/>
  <c r="AM189" i="3"/>
  <c r="J47" i="19"/>
  <c r="G46" i="19"/>
  <c r="AI46" i="19" s="1"/>
  <c r="AJ46" i="19" s="1"/>
  <c r="AK46" i="19" s="1"/>
  <c r="H46" i="19"/>
  <c r="G54" i="17"/>
  <c r="AI54" i="17" s="1"/>
  <c r="AJ54" i="17" s="1"/>
  <c r="AK54" i="17" s="1"/>
  <c r="AS53" i="17"/>
  <c r="H54" i="17"/>
  <c r="AO54" i="17" s="1"/>
  <c r="AU53" i="17"/>
  <c r="Z105" i="19"/>
  <c r="Y105" i="19"/>
  <c r="AC105" i="19" s="1"/>
  <c r="X106" i="19" s="1"/>
  <c r="AG104" i="19"/>
  <c r="AF105" i="19" s="1"/>
  <c r="AQ53" i="17"/>
  <c r="AE106" i="19"/>
  <c r="AD107" i="19" s="1"/>
  <c r="AT106" i="19"/>
  <c r="T107" i="19"/>
  <c r="S107" i="19"/>
  <c r="W107" i="19" s="1"/>
  <c r="R108" i="19" s="1"/>
  <c r="AA187" i="17"/>
  <c r="I187" i="17"/>
  <c r="O187" i="17"/>
  <c r="V187" i="17"/>
  <c r="AB187" i="17"/>
  <c r="U187" i="19"/>
  <c r="U187" i="17"/>
  <c r="AB187" i="19"/>
  <c r="O187" i="19"/>
  <c r="V187" i="19"/>
  <c r="I187" i="19"/>
  <c r="AA187" i="19"/>
  <c r="AG104" i="17"/>
  <c r="AF105" i="17" s="1"/>
  <c r="P117" i="17"/>
  <c r="M116" i="17"/>
  <c r="Q116" i="17" s="1"/>
  <c r="L117" i="17" s="1"/>
  <c r="N116" i="17"/>
  <c r="Z105" i="17"/>
  <c r="Y105" i="17"/>
  <c r="AC105" i="17" s="1"/>
  <c r="X106" i="17" s="1"/>
  <c r="T115" i="17"/>
  <c r="S115" i="17"/>
  <c r="W115" i="17" s="1"/>
  <c r="R116" i="17" s="1"/>
  <c r="N116" i="19"/>
  <c r="P117" i="19"/>
  <c r="M116" i="19"/>
  <c r="Q116" i="19" s="1"/>
  <c r="L117" i="19" s="1"/>
  <c r="AT114" i="17"/>
  <c r="AE114" i="17"/>
  <c r="AD115" i="17" s="1"/>
  <c r="F89" i="18"/>
  <c r="G89" i="18" s="1"/>
  <c r="AR89" i="18" s="1"/>
  <c r="C187" i="19"/>
  <c r="E188" i="19"/>
  <c r="AZ187" i="19"/>
  <c r="AI88" i="18"/>
  <c r="AJ88" i="18" s="1"/>
  <c r="AK88" i="18" s="1"/>
  <c r="AW88" i="18" s="1"/>
  <c r="AX88" i="18" s="1"/>
  <c r="AY88" i="18" s="1"/>
  <c r="C187" i="16"/>
  <c r="E188" i="16"/>
  <c r="AZ187" i="16"/>
  <c r="BD187" i="16"/>
  <c r="AR186" i="16"/>
  <c r="J184" i="18"/>
  <c r="L184" i="18" s="1"/>
  <c r="I185" i="18" s="1"/>
  <c r="C186" i="18"/>
  <c r="E187" i="18"/>
  <c r="AZ186" i="18"/>
  <c r="C186" i="17"/>
  <c r="AZ186" i="17"/>
  <c r="E187" i="17"/>
  <c r="AU185" i="18"/>
  <c r="O185" i="18"/>
  <c r="AQ185" i="18"/>
  <c r="AS185" i="18"/>
  <c r="K185" i="18"/>
  <c r="AZ188" i="15"/>
  <c r="C188" i="15"/>
  <c r="E189" i="15"/>
  <c r="R144" i="18"/>
  <c r="Q145" i="18" s="1"/>
  <c r="AT145" i="18" s="1"/>
  <c r="P144" i="18"/>
  <c r="M145" i="18" s="1"/>
  <c r="N145" i="18" s="1"/>
  <c r="L132" i="15"/>
  <c r="I133" i="15" s="1"/>
  <c r="J133" i="15" s="1"/>
  <c r="R132" i="15"/>
  <c r="Q133" i="15" s="1"/>
  <c r="AT133" i="15" s="1"/>
  <c r="BD188" i="3"/>
  <c r="AH189" i="3"/>
  <c r="AQ192" i="3"/>
  <c r="H189" i="3"/>
  <c r="AF188" i="3"/>
  <c r="AD188" i="3" s="1"/>
  <c r="P192" i="3"/>
  <c r="AW192" i="3"/>
  <c r="AI187" i="3"/>
  <c r="BE187" i="3" s="1"/>
  <c r="AG189" i="3"/>
  <c r="G191" i="3"/>
  <c r="AV190" i="3"/>
  <c r="AX190" i="3" s="1"/>
  <c r="V190" i="3"/>
  <c r="X190" i="3" s="1"/>
  <c r="Y189" i="3"/>
  <c r="AC188" i="3"/>
  <c r="A190" i="3"/>
  <c r="BI190" i="3" s="1"/>
  <c r="BJ190" i="3" s="1"/>
  <c r="AN192" i="3"/>
  <c r="AN193" i="3" s="1"/>
  <c r="AL189" i="3"/>
  <c r="BC188" i="3"/>
  <c r="AE189" i="3"/>
  <c r="BB190" i="3" l="1"/>
  <c r="BC123" i="14"/>
  <c r="BC134" i="14" s="1"/>
  <c r="AZ134" i="14"/>
  <c r="T151" i="25"/>
  <c r="S151" i="25"/>
  <c r="W151" i="25" s="1"/>
  <c r="R152" i="25" s="1"/>
  <c r="AT150" i="25"/>
  <c r="AE150" i="25"/>
  <c r="AD151" i="25" s="1"/>
  <c r="AT103" i="29"/>
  <c r="AG102" i="29"/>
  <c r="AF103" i="29" s="1"/>
  <c r="AR74" i="29"/>
  <c r="Q74" i="29"/>
  <c r="L75" i="29" s="1"/>
  <c r="AR192" i="3"/>
  <c r="AG101" i="25"/>
  <c r="AF102" i="25" s="1"/>
  <c r="O108" i="24"/>
  <c r="P108" i="24" s="1"/>
  <c r="M109" i="24" s="1"/>
  <c r="N109" i="24" s="1"/>
  <c r="Z102" i="25"/>
  <c r="Y102" i="25"/>
  <c r="AC102" i="25" s="1"/>
  <c r="X103" i="25" s="1"/>
  <c r="K99" i="24"/>
  <c r="R99" i="24" s="1"/>
  <c r="Q100" i="24" s="1"/>
  <c r="AT100" i="24" s="1"/>
  <c r="J99" i="24"/>
  <c r="AR187" i="19"/>
  <c r="AJ188" i="3"/>
  <c r="BF188" i="3" s="1"/>
  <c r="AN190" i="20"/>
  <c r="P190" i="20"/>
  <c r="AQ190" i="20"/>
  <c r="AR190" i="20" s="1"/>
  <c r="O191" i="20"/>
  <c r="AK188" i="3"/>
  <c r="BG188" i="3" s="1"/>
  <c r="AC102" i="29"/>
  <c r="X103" i="29" s="1"/>
  <c r="AW73" i="29"/>
  <c r="AX73" i="29" s="1"/>
  <c r="AY73" i="29" s="1"/>
  <c r="T172" i="29"/>
  <c r="S172" i="29"/>
  <c r="W172" i="29" s="1"/>
  <c r="R173" i="29" s="1"/>
  <c r="U173" i="29" s="1"/>
  <c r="H74" i="29"/>
  <c r="AP74" i="29" s="1"/>
  <c r="J75" i="29"/>
  <c r="G74" i="29"/>
  <c r="AI74" i="29" s="1"/>
  <c r="C186" i="29"/>
  <c r="AZ186" i="29"/>
  <c r="E187" i="29"/>
  <c r="AW71" i="26"/>
  <c r="AX71" i="26" s="1"/>
  <c r="AY71" i="26" s="1"/>
  <c r="J181" i="26"/>
  <c r="L181" i="26" s="1"/>
  <c r="I182" i="26" s="1"/>
  <c r="F73" i="26"/>
  <c r="AI72" i="26"/>
  <c r="AL72" i="26"/>
  <c r="N140" i="26"/>
  <c r="P140" i="26" s="1"/>
  <c r="M141" i="26" s="1"/>
  <c r="O186" i="26"/>
  <c r="K186" i="26"/>
  <c r="AS186" i="26"/>
  <c r="AU186" i="26"/>
  <c r="AQ186" i="26"/>
  <c r="AT139" i="26"/>
  <c r="R139" i="26"/>
  <c r="Q140" i="26" s="1"/>
  <c r="T139" i="26"/>
  <c r="S140" i="26" s="1"/>
  <c r="C187" i="26"/>
  <c r="AZ187" i="26"/>
  <c r="E188" i="26"/>
  <c r="T156" i="28"/>
  <c r="S156" i="28"/>
  <c r="W156" i="28" s="1"/>
  <c r="R157" i="28" s="1"/>
  <c r="V157" i="28" s="1"/>
  <c r="AO73" i="28"/>
  <c r="AL73" i="28"/>
  <c r="AT155" i="28"/>
  <c r="AE155" i="28"/>
  <c r="AD156" i="28" s="1"/>
  <c r="Z107" i="28"/>
  <c r="Y107" i="28"/>
  <c r="AC107" i="28" s="1"/>
  <c r="C187" i="28"/>
  <c r="AZ187" i="28"/>
  <c r="E188" i="28"/>
  <c r="AJ73" i="28"/>
  <c r="AK73" i="28" s="1"/>
  <c r="G91" i="25"/>
  <c r="K91" i="25" s="1"/>
  <c r="J92" i="25"/>
  <c r="H91" i="25"/>
  <c r="AW67" i="24"/>
  <c r="AX67" i="24" s="1"/>
  <c r="AY67" i="24" s="1"/>
  <c r="U186" i="25"/>
  <c r="V186" i="25"/>
  <c r="AA186" i="25"/>
  <c r="AB186" i="25"/>
  <c r="AR186" i="25"/>
  <c r="BC187" i="25"/>
  <c r="BB187" i="25"/>
  <c r="BA187" i="25"/>
  <c r="AJ85" i="25"/>
  <c r="AK85" i="25" s="1"/>
  <c r="AW85" i="25" s="1"/>
  <c r="AX85" i="25" s="1"/>
  <c r="AY85" i="25" s="1"/>
  <c r="P87" i="25"/>
  <c r="N86" i="25"/>
  <c r="AP86" i="25" s="1"/>
  <c r="C187" i="25"/>
  <c r="AZ187" i="25"/>
  <c r="BD187" i="25"/>
  <c r="E188" i="25"/>
  <c r="C187" i="24"/>
  <c r="AZ187" i="24"/>
  <c r="E188" i="24"/>
  <c r="AQ186" i="24"/>
  <c r="AS186" i="24"/>
  <c r="AU186" i="24"/>
  <c r="H68" i="24"/>
  <c r="F68" i="15"/>
  <c r="AI67" i="15"/>
  <c r="AJ67" i="15" s="1"/>
  <c r="AK67" i="15" s="1"/>
  <c r="AL67" i="15"/>
  <c r="AM67" i="15" s="1"/>
  <c r="AN67" i="15" s="1"/>
  <c r="O188" i="15"/>
  <c r="AQ188" i="15"/>
  <c r="AS188" i="15"/>
  <c r="AU188" i="15"/>
  <c r="K188" i="15"/>
  <c r="P149" i="15"/>
  <c r="M150" i="15" s="1"/>
  <c r="N150" i="15" s="1"/>
  <c r="K73" i="28"/>
  <c r="M86" i="25"/>
  <c r="Q86" i="25" s="1"/>
  <c r="L87" i="25" s="1"/>
  <c r="O185" i="25"/>
  <c r="I185" i="25"/>
  <c r="AW53" i="17"/>
  <c r="AX53" i="17" s="1"/>
  <c r="AY53" i="17" s="1"/>
  <c r="AL54" i="17"/>
  <c r="AM54" i="17" s="1"/>
  <c r="AN54" i="17" s="1"/>
  <c r="AL190" i="3"/>
  <c r="AP46" i="19"/>
  <c r="AO46" i="19"/>
  <c r="K46" i="19"/>
  <c r="AL46" i="19"/>
  <c r="AM46" i="19" s="1"/>
  <c r="AN46" i="19" s="1"/>
  <c r="K54" i="17"/>
  <c r="F55" i="17" s="1"/>
  <c r="G55" i="17" s="1"/>
  <c r="AI55" i="17" s="1"/>
  <c r="AJ55" i="17" s="1"/>
  <c r="AK55" i="17" s="1"/>
  <c r="AG105" i="19"/>
  <c r="AF106" i="19" s="1"/>
  <c r="AP54" i="17"/>
  <c r="Y106" i="19"/>
  <c r="AC106" i="19" s="1"/>
  <c r="X107" i="19" s="1"/>
  <c r="Z106" i="19"/>
  <c r="AT107" i="19"/>
  <c r="AE107" i="19"/>
  <c r="AD108" i="19" s="1"/>
  <c r="T108" i="19"/>
  <c r="S108" i="19"/>
  <c r="W108" i="19" s="1"/>
  <c r="R109" i="19" s="1"/>
  <c r="P118" i="19"/>
  <c r="M117" i="19"/>
  <c r="Q117" i="19" s="1"/>
  <c r="L118" i="19" s="1"/>
  <c r="N117" i="19"/>
  <c r="T116" i="17"/>
  <c r="S116" i="17"/>
  <c r="W116" i="17" s="1"/>
  <c r="R117" i="17" s="1"/>
  <c r="AG105" i="17"/>
  <c r="AF106" i="17" s="1"/>
  <c r="AT115" i="17"/>
  <c r="AE115" i="17"/>
  <c r="AD116" i="17" s="1"/>
  <c r="N117" i="17"/>
  <c r="P118" i="17"/>
  <c r="M117" i="17"/>
  <c r="Q117" i="17" s="1"/>
  <c r="L118" i="17" s="1"/>
  <c r="U188" i="17"/>
  <c r="AB188" i="17"/>
  <c r="I188" i="17"/>
  <c r="AA188" i="17"/>
  <c r="V188" i="19"/>
  <c r="U188" i="19"/>
  <c r="O188" i="19"/>
  <c r="V188" i="17"/>
  <c r="I188" i="19"/>
  <c r="AA188" i="19"/>
  <c r="AB188" i="19"/>
  <c r="O188" i="17"/>
  <c r="R133" i="15"/>
  <c r="Q134" i="15" s="1"/>
  <c r="AT134" i="15" s="1"/>
  <c r="Z106" i="17"/>
  <c r="Y106" i="17"/>
  <c r="AC106" i="17" s="1"/>
  <c r="X107" i="17" s="1"/>
  <c r="H89" i="18"/>
  <c r="F90" i="18" s="1"/>
  <c r="C188" i="19"/>
  <c r="E189" i="19"/>
  <c r="AZ188" i="19"/>
  <c r="C188" i="16"/>
  <c r="AZ188" i="16"/>
  <c r="E189" i="16"/>
  <c r="BD188" i="16"/>
  <c r="AR187" i="16"/>
  <c r="J185" i="18"/>
  <c r="L185" i="18" s="1"/>
  <c r="I186" i="18" s="1"/>
  <c r="C187" i="18"/>
  <c r="AZ187" i="18"/>
  <c r="E188" i="18"/>
  <c r="AZ187" i="17"/>
  <c r="C187" i="17"/>
  <c r="E188" i="17"/>
  <c r="AU186" i="18"/>
  <c r="K186" i="18"/>
  <c r="AS186" i="18"/>
  <c r="AQ186" i="18"/>
  <c r="O186" i="18"/>
  <c r="C189" i="15"/>
  <c r="AZ189" i="15"/>
  <c r="E190" i="15"/>
  <c r="T145" i="18"/>
  <c r="S146" i="18" s="1"/>
  <c r="AI188" i="3"/>
  <c r="BE188" i="3" s="1"/>
  <c r="H190" i="3"/>
  <c r="AF189" i="3"/>
  <c r="AK189" i="3" s="1"/>
  <c r="AE190" i="3"/>
  <c r="BC189" i="3"/>
  <c r="AN194" i="3"/>
  <c r="Y190" i="3"/>
  <c r="AC189" i="3"/>
  <c r="AG190" i="3"/>
  <c r="AW193" i="3"/>
  <c r="AQ193" i="3"/>
  <c r="AV191" i="3"/>
  <c r="AX191" i="3" s="1"/>
  <c r="G192" i="3"/>
  <c r="V191" i="3"/>
  <c r="X191" i="3" s="1"/>
  <c r="P193" i="3"/>
  <c r="P194" i="3" s="1"/>
  <c r="A191" i="3"/>
  <c r="BI191" i="3" s="1"/>
  <c r="BJ191" i="3" s="1"/>
  <c r="AM190" i="3"/>
  <c r="BD189" i="3"/>
  <c r="AH190" i="3"/>
  <c r="BB191" i="3" l="1"/>
  <c r="BF74" i="14"/>
  <c r="BG74" i="14" s="1"/>
  <c r="BF73" i="14"/>
  <c r="BG73" i="14" s="1"/>
  <c r="S152" i="25"/>
  <c r="W152" i="25" s="1"/>
  <c r="R153" i="25" s="1"/>
  <c r="T152" i="25"/>
  <c r="AT151" i="25"/>
  <c r="AE151" i="25"/>
  <c r="AD152" i="25" s="1"/>
  <c r="O75" i="29"/>
  <c r="N75" i="29"/>
  <c r="M75" i="29"/>
  <c r="P76" i="29"/>
  <c r="Z103" i="29"/>
  <c r="AA103" i="29"/>
  <c r="AE103" i="29" s="1"/>
  <c r="AD104" i="29" s="1"/>
  <c r="AR193" i="3"/>
  <c r="AM191" i="3"/>
  <c r="O109" i="24"/>
  <c r="P109" i="24" s="1"/>
  <c r="M110" i="24" s="1"/>
  <c r="N110" i="24" s="1"/>
  <c r="AG102" i="25"/>
  <c r="AF103" i="25" s="1"/>
  <c r="L99" i="24"/>
  <c r="I100" i="24" s="1"/>
  <c r="T99" i="24"/>
  <c r="S100" i="24" s="1"/>
  <c r="Y103" i="25"/>
  <c r="AC103" i="25" s="1"/>
  <c r="X104" i="25" s="1"/>
  <c r="Z103" i="25"/>
  <c r="AN191" i="20"/>
  <c r="P191" i="20"/>
  <c r="AQ191" i="20"/>
  <c r="AR191" i="20" s="1"/>
  <c r="O192" i="20"/>
  <c r="BG189" i="3"/>
  <c r="Y103" i="29"/>
  <c r="T173" i="29"/>
  <c r="S173" i="29"/>
  <c r="W173" i="29" s="1"/>
  <c r="R174" i="29" s="1"/>
  <c r="U174" i="29" s="1"/>
  <c r="AO74" i="29"/>
  <c r="K74" i="29"/>
  <c r="C187" i="29"/>
  <c r="AZ187" i="29"/>
  <c r="E188" i="29"/>
  <c r="AJ74" i="29"/>
  <c r="AK74" i="29" s="1"/>
  <c r="AL74" i="29"/>
  <c r="T140" i="26"/>
  <c r="S141" i="26" s="1"/>
  <c r="J182" i="26"/>
  <c r="L182" i="26" s="1"/>
  <c r="I183" i="26" s="1"/>
  <c r="N141" i="26"/>
  <c r="P141" i="26" s="1"/>
  <c r="M142" i="26" s="1"/>
  <c r="AJ72" i="26"/>
  <c r="AK72" i="26" s="1"/>
  <c r="G73" i="26"/>
  <c r="AR73" i="26" s="1"/>
  <c r="AT140" i="26"/>
  <c r="R140" i="26"/>
  <c r="Q141" i="26" s="1"/>
  <c r="AM72" i="26"/>
  <c r="AN72" i="26" s="1"/>
  <c r="K187" i="26"/>
  <c r="O187" i="26"/>
  <c r="AQ187" i="26"/>
  <c r="AS187" i="26"/>
  <c r="AU187" i="26"/>
  <c r="C188" i="26"/>
  <c r="AZ188" i="26"/>
  <c r="E189" i="26"/>
  <c r="AG107" i="28"/>
  <c r="AF108" i="28" s="1"/>
  <c r="T157" i="28"/>
  <c r="S157" i="28"/>
  <c r="W157" i="28" s="1"/>
  <c r="R158" i="28" s="1"/>
  <c r="V158" i="28" s="1"/>
  <c r="AT156" i="28"/>
  <c r="AE156" i="28"/>
  <c r="AD157" i="28" s="1"/>
  <c r="AS73" i="28"/>
  <c r="AQ73" i="28"/>
  <c r="AU73" i="28"/>
  <c r="AM73" i="28"/>
  <c r="AN73" i="28" s="1"/>
  <c r="F74" i="28"/>
  <c r="I74" i="28" s="1"/>
  <c r="Q74" i="28" s="1"/>
  <c r="L75" i="28" s="1"/>
  <c r="X108" i="28"/>
  <c r="AB108" i="28" s="1"/>
  <c r="C188" i="28"/>
  <c r="AZ188" i="28"/>
  <c r="E189" i="28"/>
  <c r="AW67" i="15"/>
  <c r="AX67" i="15" s="1"/>
  <c r="AY67" i="15" s="1"/>
  <c r="F92" i="25"/>
  <c r="AL86" i="25"/>
  <c r="AI86" i="25"/>
  <c r="U187" i="25"/>
  <c r="V187" i="25"/>
  <c r="AA187" i="25"/>
  <c r="AB187" i="25"/>
  <c r="AR187" i="25"/>
  <c r="AU86" i="25"/>
  <c r="BB188" i="25"/>
  <c r="BC188" i="25"/>
  <c r="BA188" i="25"/>
  <c r="AQ86" i="25"/>
  <c r="AS86" i="25"/>
  <c r="AO86" i="25"/>
  <c r="N87" i="25"/>
  <c r="AP87" i="25" s="1"/>
  <c r="P88" i="25"/>
  <c r="AZ188" i="25"/>
  <c r="BD188" i="25"/>
  <c r="C188" i="25"/>
  <c r="E189" i="25"/>
  <c r="AQ187" i="24"/>
  <c r="AU187" i="24"/>
  <c r="AS187" i="24"/>
  <c r="F69" i="24"/>
  <c r="AI68" i="24"/>
  <c r="AJ68" i="24" s="1"/>
  <c r="AL68" i="24"/>
  <c r="AM68" i="24" s="1"/>
  <c r="C188" i="24"/>
  <c r="AZ188" i="24"/>
  <c r="E189" i="24"/>
  <c r="G68" i="15"/>
  <c r="AR68" i="15" s="1"/>
  <c r="AS189" i="15"/>
  <c r="AU189" i="15"/>
  <c r="AQ189" i="15"/>
  <c r="P150" i="15"/>
  <c r="M151" i="15" s="1"/>
  <c r="N151" i="15" s="1"/>
  <c r="M87" i="25"/>
  <c r="Q87" i="25" s="1"/>
  <c r="L88" i="25" s="1"/>
  <c r="I186" i="25"/>
  <c r="O186" i="25"/>
  <c r="H55" i="17"/>
  <c r="AO55" i="17" s="1"/>
  <c r="AU54" i="17"/>
  <c r="AL55" i="17"/>
  <c r="AM55" i="17" s="1"/>
  <c r="AN55" i="17" s="1"/>
  <c r="J56" i="17"/>
  <c r="AD189" i="3"/>
  <c r="O189" i="15" s="1"/>
  <c r="AS54" i="17"/>
  <c r="AQ54" i="17"/>
  <c r="AS46" i="19"/>
  <c r="F47" i="19"/>
  <c r="AU46" i="19"/>
  <c r="AQ46" i="19"/>
  <c r="K55" i="17"/>
  <c r="AS55" i="17" s="1"/>
  <c r="AR188" i="19"/>
  <c r="AG106" i="19"/>
  <c r="AF107" i="19" s="1"/>
  <c r="Z107" i="19"/>
  <c r="Y107" i="19"/>
  <c r="AC107" i="19" s="1"/>
  <c r="X108" i="19" s="1"/>
  <c r="T133" i="15"/>
  <c r="S134" i="15" s="1"/>
  <c r="L133" i="15"/>
  <c r="I134" i="15" s="1"/>
  <c r="J134" i="15" s="1"/>
  <c r="S109" i="19"/>
  <c r="W109" i="19" s="1"/>
  <c r="R110" i="19" s="1"/>
  <c r="T109" i="19"/>
  <c r="AE108" i="19"/>
  <c r="AD109" i="19" s="1"/>
  <c r="AT108" i="19"/>
  <c r="AT116" i="17"/>
  <c r="AE116" i="17"/>
  <c r="AD117" i="17" s="1"/>
  <c r="AA189" i="17"/>
  <c r="I189" i="17"/>
  <c r="AB189" i="17"/>
  <c r="U189" i="17"/>
  <c r="AA189" i="19"/>
  <c r="I189" i="19"/>
  <c r="O189" i="17"/>
  <c r="V189" i="19"/>
  <c r="V189" i="17"/>
  <c r="O189" i="19"/>
  <c r="AB189" i="19"/>
  <c r="U189" i="19"/>
  <c r="AG106" i="17"/>
  <c r="AF107" i="17" s="1"/>
  <c r="S117" i="17"/>
  <c r="W117" i="17" s="1"/>
  <c r="R118" i="17" s="1"/>
  <c r="T117" i="17"/>
  <c r="Z107" i="17"/>
  <c r="Y107" i="17"/>
  <c r="AC107" i="17" s="1"/>
  <c r="X108" i="17" s="1"/>
  <c r="P119" i="17"/>
  <c r="M118" i="17"/>
  <c r="Q118" i="17" s="1"/>
  <c r="L119" i="17" s="1"/>
  <c r="N118" i="17"/>
  <c r="N118" i="19"/>
  <c r="P119" i="19"/>
  <c r="M118" i="19"/>
  <c r="Q118" i="19" s="1"/>
  <c r="L119" i="19" s="1"/>
  <c r="AI89" i="18"/>
  <c r="AJ89" i="18" s="1"/>
  <c r="AK89" i="18" s="1"/>
  <c r="AL89" i="18"/>
  <c r="AM89" i="18" s="1"/>
  <c r="AN89" i="18" s="1"/>
  <c r="AZ189" i="19"/>
  <c r="C189" i="19"/>
  <c r="E190" i="19"/>
  <c r="AZ189" i="16"/>
  <c r="C189" i="16"/>
  <c r="BD189" i="16"/>
  <c r="E190" i="16"/>
  <c r="AR188" i="16"/>
  <c r="J186" i="18"/>
  <c r="L186" i="18" s="1"/>
  <c r="I187" i="18" s="1"/>
  <c r="E189" i="17"/>
  <c r="AZ188" i="17"/>
  <c r="C188" i="17"/>
  <c r="AQ187" i="18"/>
  <c r="K187" i="18"/>
  <c r="AS187" i="18"/>
  <c r="AU187" i="18"/>
  <c r="O187" i="18"/>
  <c r="C188" i="18"/>
  <c r="AZ188" i="18"/>
  <c r="E189" i="18"/>
  <c r="C190" i="15"/>
  <c r="E191" i="15"/>
  <c r="AZ190" i="15"/>
  <c r="G90" i="18"/>
  <c r="AR90" i="18" s="1"/>
  <c r="P145" i="18"/>
  <c r="M146" i="18" s="1"/>
  <c r="N146" i="18" s="1"/>
  <c r="R145" i="18"/>
  <c r="Q146" i="18" s="1"/>
  <c r="AT146" i="18" s="1"/>
  <c r="H191" i="3"/>
  <c r="AF190" i="3"/>
  <c r="AD190" i="3" s="1"/>
  <c r="A192" i="3"/>
  <c r="BI192" i="3" s="1"/>
  <c r="BJ192" i="3" s="1"/>
  <c r="G193" i="3"/>
  <c r="AV192" i="3"/>
  <c r="AX192" i="3" s="1"/>
  <c r="V192" i="3"/>
  <c r="X192" i="3" s="1"/>
  <c r="AW194" i="3"/>
  <c r="Y191" i="3"/>
  <c r="AC190" i="3"/>
  <c r="BC190" i="3"/>
  <c r="AE191" i="3"/>
  <c r="BD190" i="3"/>
  <c r="AH191" i="3"/>
  <c r="AG191" i="3"/>
  <c r="AN195" i="3"/>
  <c r="P195" i="3"/>
  <c r="AQ194" i="3"/>
  <c r="AL191" i="3"/>
  <c r="BB192" i="3" l="1"/>
  <c r="BG134" i="14"/>
  <c r="BF134" i="14"/>
  <c r="AT152" i="25"/>
  <c r="AE152" i="25"/>
  <c r="AD153" i="25" s="1"/>
  <c r="T153" i="25"/>
  <c r="S153" i="25"/>
  <c r="W153" i="25" s="1"/>
  <c r="R154" i="25" s="1"/>
  <c r="AG103" i="29"/>
  <c r="AF104" i="29" s="1"/>
  <c r="AT104" i="29"/>
  <c r="O75" i="28"/>
  <c r="M75" i="28"/>
  <c r="P76" i="28"/>
  <c r="N75" i="28"/>
  <c r="AR194" i="3"/>
  <c r="AG103" i="25"/>
  <c r="AF104" i="25" s="1"/>
  <c r="O110" i="24"/>
  <c r="P110" i="24" s="1"/>
  <c r="M111" i="24" s="1"/>
  <c r="O111" i="24" s="1"/>
  <c r="Y104" i="25"/>
  <c r="AC104" i="25" s="1"/>
  <c r="X105" i="25" s="1"/>
  <c r="Z104" i="25"/>
  <c r="K100" i="24"/>
  <c r="T100" i="24" s="1"/>
  <c r="S101" i="24" s="1"/>
  <c r="J100" i="24"/>
  <c r="AN192" i="20"/>
  <c r="P192" i="20"/>
  <c r="AQ192" i="20"/>
  <c r="AR192" i="20" s="1"/>
  <c r="O193" i="20"/>
  <c r="AI189" i="3"/>
  <c r="BE189" i="3" s="1"/>
  <c r="AK190" i="3"/>
  <c r="BG190" i="3" s="1"/>
  <c r="AJ189" i="3"/>
  <c r="BF189" i="3" s="1"/>
  <c r="K189" i="15"/>
  <c r="AJ190" i="3"/>
  <c r="BF190" i="3" s="1"/>
  <c r="AC103" i="29"/>
  <c r="X104" i="29" s="1"/>
  <c r="T174" i="29"/>
  <c r="S174" i="29"/>
  <c r="W174" i="29" s="1"/>
  <c r="R175" i="29" s="1"/>
  <c r="U175" i="29" s="1"/>
  <c r="AM74" i="29"/>
  <c r="AN74" i="29" s="1"/>
  <c r="F75" i="29"/>
  <c r="I75" i="29" s="1"/>
  <c r="AR75" i="29" s="1"/>
  <c r="AU74" i="29"/>
  <c r="AS74" i="29"/>
  <c r="AQ74" i="29"/>
  <c r="AZ188" i="29"/>
  <c r="C188" i="29"/>
  <c r="E189" i="29"/>
  <c r="AW72" i="26"/>
  <c r="AX72" i="26" s="1"/>
  <c r="AY72" i="26" s="1"/>
  <c r="T141" i="26"/>
  <c r="S142" i="26" s="1"/>
  <c r="J183" i="26"/>
  <c r="L183" i="26" s="1"/>
  <c r="I184" i="26" s="1"/>
  <c r="H73" i="26"/>
  <c r="N142" i="26"/>
  <c r="P142" i="26" s="1"/>
  <c r="M143" i="26" s="1"/>
  <c r="O188" i="26"/>
  <c r="AQ188" i="26"/>
  <c r="AS188" i="26"/>
  <c r="AU188" i="26"/>
  <c r="K188" i="26"/>
  <c r="AT141" i="26"/>
  <c r="R141" i="26"/>
  <c r="Q142" i="26" s="1"/>
  <c r="C189" i="26"/>
  <c r="AZ189" i="26"/>
  <c r="E190" i="26"/>
  <c r="T158" i="28"/>
  <c r="S158" i="28"/>
  <c r="W158" i="28" s="1"/>
  <c r="R159" i="28" s="1"/>
  <c r="V159" i="28" s="1"/>
  <c r="AT157" i="28"/>
  <c r="AE157" i="28"/>
  <c r="AD158" i="28" s="1"/>
  <c r="J75" i="28"/>
  <c r="H74" i="28"/>
  <c r="AP74" i="28" s="1"/>
  <c r="G74" i="28"/>
  <c r="AL74" i="28" s="1"/>
  <c r="Z108" i="28"/>
  <c r="Y108" i="28"/>
  <c r="AG108" i="28" s="1"/>
  <c r="AF109" i="28" s="1"/>
  <c r="AZ189" i="28"/>
  <c r="C189" i="28"/>
  <c r="E190" i="28"/>
  <c r="G92" i="25"/>
  <c r="K92" i="25" s="1"/>
  <c r="H92" i="25"/>
  <c r="J93" i="25"/>
  <c r="AO87" i="25"/>
  <c r="U188" i="25"/>
  <c r="V188" i="25"/>
  <c r="AA188" i="25"/>
  <c r="AB188" i="25"/>
  <c r="AR188" i="25"/>
  <c r="BA189" i="25"/>
  <c r="BB189" i="25"/>
  <c r="BC189" i="25"/>
  <c r="AL87" i="25"/>
  <c r="AI87" i="25"/>
  <c r="AQ87" i="25"/>
  <c r="AU87" i="25"/>
  <c r="AS87" i="25"/>
  <c r="AM86" i="25"/>
  <c r="AN86" i="25" s="1"/>
  <c r="C189" i="25"/>
  <c r="AZ189" i="25"/>
  <c r="BD189" i="25"/>
  <c r="E190" i="25"/>
  <c r="AJ86" i="25"/>
  <c r="AK86" i="25" s="1"/>
  <c r="P89" i="25"/>
  <c r="N88" i="25"/>
  <c r="AP88" i="25" s="1"/>
  <c r="AS188" i="24"/>
  <c r="AU188" i="24"/>
  <c r="AQ188" i="24"/>
  <c r="C189" i="24"/>
  <c r="AZ189" i="24"/>
  <c r="E190" i="24"/>
  <c r="AN68" i="24"/>
  <c r="AK68" i="24"/>
  <c r="G69" i="24"/>
  <c r="AR69" i="24" s="1"/>
  <c r="H68" i="15"/>
  <c r="K190" i="15"/>
  <c r="O190" i="15"/>
  <c r="AQ190" i="15"/>
  <c r="AS190" i="15"/>
  <c r="AU190" i="15"/>
  <c r="P151" i="15"/>
  <c r="M152" i="15" s="1"/>
  <c r="N152" i="15" s="1"/>
  <c r="AW73" i="28"/>
  <c r="AX73" i="28" s="1"/>
  <c r="AY73" i="28" s="1"/>
  <c r="M88" i="25"/>
  <c r="Q88" i="25" s="1"/>
  <c r="L89" i="25" s="1"/>
  <c r="I187" i="25"/>
  <c r="O187" i="25"/>
  <c r="AW46" i="19"/>
  <c r="AX46" i="19" s="1"/>
  <c r="AY46" i="19" s="1"/>
  <c r="AW54" i="17"/>
  <c r="AX54" i="17" s="1"/>
  <c r="AY54" i="17" s="1"/>
  <c r="AP55" i="17"/>
  <c r="AU55" i="17"/>
  <c r="J48" i="19"/>
  <c r="G47" i="19"/>
  <c r="K47" i="19" s="1"/>
  <c r="F48" i="19" s="1"/>
  <c r="H47" i="19"/>
  <c r="AG107" i="19"/>
  <c r="AF108" i="19" s="1"/>
  <c r="F56" i="17"/>
  <c r="AQ55" i="17"/>
  <c r="AR189" i="19"/>
  <c r="Z108" i="19"/>
  <c r="Y108" i="19"/>
  <c r="AC108" i="19" s="1"/>
  <c r="X109" i="19" s="1"/>
  <c r="L134" i="15"/>
  <c r="I135" i="15" s="1"/>
  <c r="J135" i="15" s="1"/>
  <c r="T134" i="15"/>
  <c r="S135" i="15" s="1"/>
  <c r="AT109" i="19"/>
  <c r="AE109" i="19"/>
  <c r="AD110" i="19" s="1"/>
  <c r="S110" i="19"/>
  <c r="W110" i="19" s="1"/>
  <c r="R111" i="19" s="1"/>
  <c r="T110" i="19"/>
  <c r="AG107" i="17"/>
  <c r="AF108" i="17" s="1"/>
  <c r="U190" i="17"/>
  <c r="AA190" i="17"/>
  <c r="I190" i="17"/>
  <c r="AB190" i="17"/>
  <c r="AB190" i="19"/>
  <c r="O190" i="19"/>
  <c r="V190" i="17"/>
  <c r="AA190" i="19"/>
  <c r="I190" i="19"/>
  <c r="U190" i="19"/>
  <c r="O190" i="17"/>
  <c r="V190" i="19"/>
  <c r="Y108" i="17"/>
  <c r="AC108" i="17" s="1"/>
  <c r="X109" i="17" s="1"/>
  <c r="Z108" i="17"/>
  <c r="AT117" i="17"/>
  <c r="AE117" i="17"/>
  <c r="AD118" i="17" s="1"/>
  <c r="P120" i="19"/>
  <c r="M119" i="19"/>
  <c r="Q119" i="19" s="1"/>
  <c r="L120" i="19" s="1"/>
  <c r="N119" i="19"/>
  <c r="M119" i="17"/>
  <c r="Q119" i="17" s="1"/>
  <c r="L120" i="17" s="1"/>
  <c r="P120" i="17"/>
  <c r="N119" i="17"/>
  <c r="S118" i="17"/>
  <c r="W118" i="17" s="1"/>
  <c r="R119" i="17" s="1"/>
  <c r="T118" i="17"/>
  <c r="AW89" i="18"/>
  <c r="AX89" i="18" s="1"/>
  <c r="AY89" i="18" s="1"/>
  <c r="AZ190" i="19"/>
  <c r="C190" i="19"/>
  <c r="E191" i="19"/>
  <c r="AR189" i="16"/>
  <c r="E191" i="16"/>
  <c r="C190" i="16"/>
  <c r="BD190" i="16"/>
  <c r="AZ190" i="16"/>
  <c r="E190" i="17"/>
  <c r="C189" i="17"/>
  <c r="AZ189" i="17"/>
  <c r="K188" i="18"/>
  <c r="AQ188" i="18"/>
  <c r="AU188" i="18"/>
  <c r="O188" i="18"/>
  <c r="AS188" i="18"/>
  <c r="J187" i="18"/>
  <c r="L187" i="18" s="1"/>
  <c r="I188" i="18" s="1"/>
  <c r="AZ189" i="18"/>
  <c r="E190" i="18"/>
  <c r="C189" i="18"/>
  <c r="H90" i="18"/>
  <c r="E192" i="15"/>
  <c r="AZ191" i="15"/>
  <c r="C191" i="15"/>
  <c r="T146" i="18"/>
  <c r="S147" i="18" s="1"/>
  <c r="R134" i="15"/>
  <c r="Q135" i="15" s="1"/>
  <c r="AT135" i="15" s="1"/>
  <c r="AG192" i="3"/>
  <c r="BD191" i="3"/>
  <c r="AH192" i="3"/>
  <c r="AW195" i="3"/>
  <c r="H192" i="3"/>
  <c r="AF191" i="3"/>
  <c r="AK191" i="3" s="1"/>
  <c r="AI190" i="3"/>
  <c r="BE190" i="3" s="1"/>
  <c r="A193" i="3"/>
  <c r="BI193" i="3" s="1"/>
  <c r="BJ193" i="3" s="1"/>
  <c r="AL192" i="3"/>
  <c r="AN196" i="3"/>
  <c r="AE192" i="3"/>
  <c r="BC191" i="3"/>
  <c r="Y192" i="3"/>
  <c r="AC191" i="3"/>
  <c r="AQ195" i="3"/>
  <c r="AV193" i="3"/>
  <c r="AX193" i="3" s="1"/>
  <c r="G194" i="3"/>
  <c r="V193" i="3"/>
  <c r="X193" i="3" s="1"/>
  <c r="AM192" i="3"/>
  <c r="BB193" i="3" l="1"/>
  <c r="T154" i="25"/>
  <c r="S154" i="25"/>
  <c r="W154" i="25" s="1"/>
  <c r="R155" i="25" s="1"/>
  <c r="AT153" i="25"/>
  <c r="AE153" i="25"/>
  <c r="AD154" i="25" s="1"/>
  <c r="Q75" i="29"/>
  <c r="L76" i="29" s="1"/>
  <c r="P77" i="29" s="1"/>
  <c r="Z104" i="29"/>
  <c r="AA104" i="29"/>
  <c r="AE104" i="29" s="1"/>
  <c r="AD105" i="29" s="1"/>
  <c r="O76" i="29"/>
  <c r="AR195" i="3"/>
  <c r="N111" i="24"/>
  <c r="P111" i="24" s="1"/>
  <c r="M112" i="24" s="1"/>
  <c r="N112" i="24" s="1"/>
  <c r="L100" i="24"/>
  <c r="I101" i="24" s="1"/>
  <c r="AG104" i="25"/>
  <c r="AF105" i="25" s="1"/>
  <c r="R100" i="24"/>
  <c r="Q101" i="24" s="1"/>
  <c r="AT101" i="24" s="1"/>
  <c r="Y105" i="25"/>
  <c r="AC105" i="25" s="1"/>
  <c r="X106" i="25" s="1"/>
  <c r="Z105" i="25"/>
  <c r="P193" i="20"/>
  <c r="O194" i="20"/>
  <c r="AQ193" i="20"/>
  <c r="AR193" i="20" s="1"/>
  <c r="AN193" i="20"/>
  <c r="BG191" i="3"/>
  <c r="Y104" i="29"/>
  <c r="AW74" i="29"/>
  <c r="AX74" i="29" s="1"/>
  <c r="AY74" i="29" s="1"/>
  <c r="T175" i="29"/>
  <c r="S175" i="29"/>
  <c r="W175" i="29" s="1"/>
  <c r="R176" i="29" s="1"/>
  <c r="U176" i="29" s="1"/>
  <c r="T142" i="26"/>
  <c r="S143" i="26" s="1"/>
  <c r="H75" i="29"/>
  <c r="AP75" i="29" s="1"/>
  <c r="J76" i="29"/>
  <c r="G75" i="29"/>
  <c r="AI75" i="29" s="1"/>
  <c r="C189" i="29"/>
  <c r="AZ189" i="29"/>
  <c r="E190" i="29"/>
  <c r="N143" i="26"/>
  <c r="P143" i="26" s="1"/>
  <c r="M144" i="26" s="1"/>
  <c r="J184" i="26"/>
  <c r="L184" i="26" s="1"/>
  <c r="I185" i="26" s="1"/>
  <c r="AT142" i="26"/>
  <c r="R142" i="26"/>
  <c r="Q143" i="26" s="1"/>
  <c r="AS189" i="26"/>
  <c r="AU189" i="26"/>
  <c r="AQ189" i="26"/>
  <c r="K189" i="26"/>
  <c r="O189" i="26"/>
  <c r="F74" i="26"/>
  <c r="AI73" i="26"/>
  <c r="AL73" i="26"/>
  <c r="C190" i="26"/>
  <c r="AZ190" i="26"/>
  <c r="E191" i="26"/>
  <c r="K74" i="28"/>
  <c r="AQ74" i="28" s="1"/>
  <c r="AI74" i="28"/>
  <c r="T159" i="28"/>
  <c r="S159" i="28"/>
  <c r="W159" i="28" s="1"/>
  <c r="R160" i="28" s="1"/>
  <c r="V160" i="28" s="1"/>
  <c r="AC108" i="28"/>
  <c r="X109" i="28" s="1"/>
  <c r="AB109" i="28" s="1"/>
  <c r="AT158" i="28"/>
  <c r="AE158" i="28"/>
  <c r="AD159" i="28" s="1"/>
  <c r="AO74" i="28"/>
  <c r="C190" i="28"/>
  <c r="AZ190" i="28"/>
  <c r="E191" i="28"/>
  <c r="F93" i="25"/>
  <c r="AO88" i="25"/>
  <c r="U189" i="25"/>
  <c r="V189" i="25"/>
  <c r="AA189" i="25"/>
  <c r="AB189" i="25"/>
  <c r="AR189" i="25"/>
  <c r="AL88" i="25"/>
  <c r="BA190" i="25"/>
  <c r="BB190" i="25"/>
  <c r="BC190" i="25"/>
  <c r="AU88" i="25"/>
  <c r="AS88" i="25"/>
  <c r="AQ88" i="25"/>
  <c r="AW86" i="25"/>
  <c r="AX86" i="25" s="1"/>
  <c r="AY86" i="25" s="1"/>
  <c r="AI88" i="25"/>
  <c r="AW68" i="24"/>
  <c r="AX68" i="24" s="1"/>
  <c r="AY68" i="24" s="1"/>
  <c r="N89" i="25"/>
  <c r="AP89" i="25" s="1"/>
  <c r="P90" i="25"/>
  <c r="AJ87" i="25"/>
  <c r="AK87" i="25" s="1"/>
  <c r="AM87" i="25"/>
  <c r="AN87" i="25" s="1"/>
  <c r="AZ190" i="25"/>
  <c r="BD190" i="25"/>
  <c r="C190" i="25"/>
  <c r="E191" i="25"/>
  <c r="C190" i="24"/>
  <c r="AZ190" i="24"/>
  <c r="E191" i="24"/>
  <c r="AQ189" i="24"/>
  <c r="AS189" i="24"/>
  <c r="AU189" i="24"/>
  <c r="H69" i="24"/>
  <c r="F69" i="15"/>
  <c r="AI68" i="15"/>
  <c r="AJ68" i="15" s="1"/>
  <c r="AK68" i="15" s="1"/>
  <c r="AL68" i="15"/>
  <c r="AM68" i="15" s="1"/>
  <c r="AN68" i="15" s="1"/>
  <c r="AQ191" i="15"/>
  <c r="AS191" i="15"/>
  <c r="AU191" i="15"/>
  <c r="P152" i="15"/>
  <c r="M153" i="15" s="1"/>
  <c r="N153" i="15" s="1"/>
  <c r="M89" i="25"/>
  <c r="Q89" i="25" s="1"/>
  <c r="L90" i="25" s="1"/>
  <c r="O188" i="25"/>
  <c r="I188" i="25"/>
  <c r="AW55" i="17"/>
  <c r="AX55" i="17" s="1"/>
  <c r="AY55" i="17" s="1"/>
  <c r="AL193" i="3"/>
  <c r="AM193" i="3"/>
  <c r="AL47" i="19"/>
  <c r="AM47" i="19" s="1"/>
  <c r="AN47" i="19" s="1"/>
  <c r="AS47" i="19"/>
  <c r="AI47" i="19"/>
  <c r="AJ47" i="19" s="1"/>
  <c r="AK47" i="19" s="1"/>
  <c r="AU47" i="19"/>
  <c r="AO47" i="19"/>
  <c r="AP47" i="19"/>
  <c r="J49" i="19"/>
  <c r="H48" i="19"/>
  <c r="G48" i="19"/>
  <c r="AQ47" i="19"/>
  <c r="G56" i="17"/>
  <c r="K56" i="17" s="1"/>
  <c r="F57" i="17" s="1"/>
  <c r="J57" i="17"/>
  <c r="H56" i="17"/>
  <c r="AR190" i="19"/>
  <c r="AG108" i="19"/>
  <c r="AF109" i="19" s="1"/>
  <c r="Y109" i="19"/>
  <c r="AC109" i="19" s="1"/>
  <c r="X110" i="19" s="1"/>
  <c r="Z109" i="19"/>
  <c r="AE110" i="19"/>
  <c r="AD111" i="19" s="1"/>
  <c r="AT110" i="19"/>
  <c r="T111" i="19"/>
  <c r="S111" i="19"/>
  <c r="W111" i="19" s="1"/>
  <c r="R112" i="19" s="1"/>
  <c r="L135" i="15"/>
  <c r="I136" i="15" s="1"/>
  <c r="J136" i="15" s="1"/>
  <c r="T119" i="17"/>
  <c r="S119" i="17"/>
  <c r="W119" i="17" s="1"/>
  <c r="R120" i="17" s="1"/>
  <c r="AT118" i="17"/>
  <c r="AE118" i="17"/>
  <c r="AD119" i="17" s="1"/>
  <c r="AG108" i="17"/>
  <c r="AF109" i="17" s="1"/>
  <c r="AA191" i="17"/>
  <c r="I191" i="17"/>
  <c r="V191" i="17"/>
  <c r="O191" i="17"/>
  <c r="U191" i="19"/>
  <c r="AB191" i="19"/>
  <c r="O191" i="19"/>
  <c r="V191" i="19"/>
  <c r="AB191" i="17"/>
  <c r="I191" i="19"/>
  <c r="AA191" i="19"/>
  <c r="U191" i="17"/>
  <c r="M120" i="17"/>
  <c r="Q120" i="17" s="1"/>
  <c r="L121" i="17" s="1"/>
  <c r="N120" i="17"/>
  <c r="P121" i="17"/>
  <c r="Z109" i="17"/>
  <c r="Y109" i="17"/>
  <c r="AC109" i="17" s="1"/>
  <c r="X110" i="17" s="1"/>
  <c r="N120" i="19"/>
  <c r="P121" i="19"/>
  <c r="M120" i="19"/>
  <c r="Q120" i="19" s="1"/>
  <c r="L121" i="19" s="1"/>
  <c r="C191" i="19"/>
  <c r="AZ191" i="19"/>
  <c r="E192" i="19"/>
  <c r="AR190" i="16"/>
  <c r="AZ191" i="16"/>
  <c r="E192" i="16"/>
  <c r="C191" i="16"/>
  <c r="BD191" i="16"/>
  <c r="J188" i="18"/>
  <c r="L188" i="18" s="1"/>
  <c r="I189" i="18" s="1"/>
  <c r="J189" i="18" s="1"/>
  <c r="AQ189" i="18"/>
  <c r="AS189" i="18"/>
  <c r="O189" i="18"/>
  <c r="AU189" i="18"/>
  <c r="K189" i="18"/>
  <c r="AZ190" i="18"/>
  <c r="E191" i="18"/>
  <c r="C190" i="18"/>
  <c r="E191" i="17"/>
  <c r="AZ190" i="17"/>
  <c r="C190" i="17"/>
  <c r="F91" i="18"/>
  <c r="AI90" i="18"/>
  <c r="AJ90" i="18" s="1"/>
  <c r="AK90" i="18" s="1"/>
  <c r="AL90" i="18"/>
  <c r="C192" i="15"/>
  <c r="AZ192" i="15"/>
  <c r="E193" i="15"/>
  <c r="R146" i="18"/>
  <c r="Q147" i="18" s="1"/>
  <c r="AT147" i="18" s="1"/>
  <c r="P146" i="18"/>
  <c r="M147" i="18" s="1"/>
  <c r="N147" i="18" s="1"/>
  <c r="R135" i="15"/>
  <c r="Q136" i="15" s="1"/>
  <c r="AT136" i="15" s="1"/>
  <c r="T135" i="15"/>
  <c r="S136" i="15" s="1"/>
  <c r="AV194" i="3"/>
  <c r="AX194" i="3" s="1"/>
  <c r="V194" i="3"/>
  <c r="X194" i="3" s="1"/>
  <c r="G195" i="3"/>
  <c r="AE193" i="3"/>
  <c r="BC192" i="3"/>
  <c r="BD192" i="3"/>
  <c r="AH193" i="3"/>
  <c r="Y193" i="3"/>
  <c r="AC192" i="3"/>
  <c r="H193" i="3"/>
  <c r="AF192" i="3"/>
  <c r="AD192" i="3" s="1"/>
  <c r="AD191" i="3"/>
  <c r="O191" i="15" s="1"/>
  <c r="AQ196" i="3"/>
  <c r="A194" i="3"/>
  <c r="BI194" i="3" s="1"/>
  <c r="BJ194" i="3" s="1"/>
  <c r="P196" i="3"/>
  <c r="AW196" i="3"/>
  <c r="AG193" i="3"/>
  <c r="BB194" i="3" l="1"/>
  <c r="AE154" i="25"/>
  <c r="AD155" i="25" s="1"/>
  <c r="AT154" i="25"/>
  <c r="S155" i="25"/>
  <c r="W155" i="25" s="1"/>
  <c r="R156" i="25" s="1"/>
  <c r="T155" i="25"/>
  <c r="N76" i="29"/>
  <c r="M76" i="29"/>
  <c r="AG104" i="29"/>
  <c r="AF105" i="29" s="1"/>
  <c r="AT105" i="29"/>
  <c r="AR196" i="3"/>
  <c r="AL194" i="3"/>
  <c r="O112" i="24"/>
  <c r="P112" i="24" s="1"/>
  <c r="M113" i="24" s="1"/>
  <c r="O113" i="24" s="1"/>
  <c r="AG105" i="25"/>
  <c r="AF106" i="25" s="1"/>
  <c r="Y106" i="25"/>
  <c r="AC106" i="25" s="1"/>
  <c r="X107" i="25" s="1"/>
  <c r="Z106" i="25"/>
  <c r="K101" i="24"/>
  <c r="T101" i="24" s="1"/>
  <c r="S102" i="24" s="1"/>
  <c r="J101" i="24"/>
  <c r="AM194" i="3"/>
  <c r="AJ192" i="3"/>
  <c r="BF192" i="3" s="1"/>
  <c r="AN194" i="20"/>
  <c r="AK192" i="3"/>
  <c r="BG192" i="3" s="1"/>
  <c r="P194" i="20"/>
  <c r="O195" i="20"/>
  <c r="AQ194" i="20"/>
  <c r="AR194" i="20" s="1"/>
  <c r="AJ191" i="3"/>
  <c r="BF191" i="3" s="1"/>
  <c r="K191" i="15"/>
  <c r="AC104" i="29"/>
  <c r="X105" i="29" s="1"/>
  <c r="T176" i="29"/>
  <c r="S176" i="29"/>
  <c r="W176" i="29" s="1"/>
  <c r="R177" i="29" s="1"/>
  <c r="U177" i="29" s="1"/>
  <c r="AO75" i="29"/>
  <c r="AJ75" i="29"/>
  <c r="AK75" i="29" s="1"/>
  <c r="AL75" i="29"/>
  <c r="AZ190" i="29"/>
  <c r="C190" i="29"/>
  <c r="E191" i="29"/>
  <c r="K75" i="29"/>
  <c r="N144" i="26"/>
  <c r="P144" i="26" s="1"/>
  <c r="M145" i="26" s="1"/>
  <c r="J185" i="26"/>
  <c r="L185" i="26" s="1"/>
  <c r="I186" i="26" s="1"/>
  <c r="G74" i="26"/>
  <c r="AR74" i="26" s="1"/>
  <c r="AJ73" i="26"/>
  <c r="AK73" i="26" s="1"/>
  <c r="T143" i="26"/>
  <c r="S144" i="26" s="1"/>
  <c r="AT143" i="26"/>
  <c r="R143" i="26"/>
  <c r="Q144" i="26" s="1"/>
  <c r="AM73" i="26"/>
  <c r="AN73" i="26" s="1"/>
  <c r="O190" i="26"/>
  <c r="K190" i="26"/>
  <c r="AS190" i="26"/>
  <c r="AU190" i="26"/>
  <c r="AQ190" i="26"/>
  <c r="C191" i="26"/>
  <c r="AZ191" i="26"/>
  <c r="E192" i="26"/>
  <c r="AU74" i="28"/>
  <c r="AS74" i="28"/>
  <c r="F75" i="28"/>
  <c r="T160" i="28"/>
  <c r="S160" i="28"/>
  <c r="W160" i="28" s="1"/>
  <c r="R161" i="28" s="1"/>
  <c r="V161" i="28" s="1"/>
  <c r="AT159" i="28"/>
  <c r="AE159" i="28"/>
  <c r="AD160" i="28" s="1"/>
  <c r="Z109" i="28"/>
  <c r="Y109" i="28"/>
  <c r="AZ191" i="28"/>
  <c r="C191" i="28"/>
  <c r="E192" i="28"/>
  <c r="AJ74" i="28"/>
  <c r="AK74" i="28" s="1"/>
  <c r="AM74" i="28"/>
  <c r="AN74" i="28" s="1"/>
  <c r="AW87" i="25"/>
  <c r="AX87" i="25" s="1"/>
  <c r="AY87" i="25" s="1"/>
  <c r="U190" i="25"/>
  <c r="V190" i="25"/>
  <c r="AA190" i="25"/>
  <c r="AB190" i="25"/>
  <c r="AR190" i="25"/>
  <c r="G93" i="25"/>
  <c r="K93" i="25" s="1"/>
  <c r="H93" i="25"/>
  <c r="J94" i="25"/>
  <c r="BA191" i="25"/>
  <c r="BB191" i="25"/>
  <c r="BC191" i="25"/>
  <c r="AL89" i="25"/>
  <c r="AO89" i="25"/>
  <c r="AI89" i="25"/>
  <c r="AU89" i="25"/>
  <c r="AS89" i="25"/>
  <c r="AQ89" i="25"/>
  <c r="AW68" i="15"/>
  <c r="AX68" i="15" s="1"/>
  <c r="AY68" i="15" s="1"/>
  <c r="C191" i="25"/>
  <c r="AZ191" i="25"/>
  <c r="BD191" i="25"/>
  <c r="E192" i="25"/>
  <c r="AM88" i="25"/>
  <c r="AN88" i="25" s="1"/>
  <c r="AJ88" i="25"/>
  <c r="AK88" i="25" s="1"/>
  <c r="P91" i="25"/>
  <c r="N90" i="25"/>
  <c r="AP90" i="25" s="1"/>
  <c r="AQ190" i="24"/>
  <c r="AS190" i="24"/>
  <c r="AU190" i="24"/>
  <c r="C191" i="24"/>
  <c r="AZ191" i="24"/>
  <c r="E192" i="24"/>
  <c r="F70" i="24"/>
  <c r="AI69" i="24"/>
  <c r="AJ69" i="24" s="1"/>
  <c r="AL69" i="24"/>
  <c r="AM69" i="24" s="1"/>
  <c r="G69" i="15"/>
  <c r="AR69" i="15" s="1"/>
  <c r="O192" i="15"/>
  <c r="AQ192" i="15"/>
  <c r="AS192" i="15"/>
  <c r="AU192" i="15"/>
  <c r="K192" i="15"/>
  <c r="P153" i="15"/>
  <c r="M154" i="15" s="1"/>
  <c r="N154" i="15" s="1"/>
  <c r="M90" i="25"/>
  <c r="Q90" i="25" s="1"/>
  <c r="L91" i="25" s="1"/>
  <c r="O189" i="25"/>
  <c r="I189" i="25"/>
  <c r="AW47" i="19"/>
  <c r="AX47" i="19" s="1"/>
  <c r="AY47" i="19" s="1"/>
  <c r="AS56" i="17"/>
  <c r="AI56" i="17"/>
  <c r="AJ56" i="17" s="1"/>
  <c r="AK56" i="17" s="1"/>
  <c r="AP48" i="19"/>
  <c r="AO48" i="19"/>
  <c r="AL56" i="17"/>
  <c r="AM56" i="17" s="1"/>
  <c r="AN56" i="17" s="1"/>
  <c r="AL48" i="19"/>
  <c r="AM48" i="19" s="1"/>
  <c r="AN48" i="19" s="1"/>
  <c r="K48" i="19"/>
  <c r="AU56" i="17"/>
  <c r="AI48" i="19"/>
  <c r="AJ48" i="19" s="1"/>
  <c r="AK48" i="19" s="1"/>
  <c r="AP56" i="17"/>
  <c r="AO56" i="17"/>
  <c r="AQ56" i="17"/>
  <c r="G57" i="17"/>
  <c r="AL57" i="17" s="1"/>
  <c r="AM57" i="17" s="1"/>
  <c r="AN57" i="17" s="1"/>
  <c r="J58" i="17"/>
  <c r="H57" i="17"/>
  <c r="Y110" i="19"/>
  <c r="AC110" i="19" s="1"/>
  <c r="X111" i="19" s="1"/>
  <c r="Z110" i="19"/>
  <c r="AG109" i="19"/>
  <c r="AF110" i="19" s="1"/>
  <c r="AR191" i="19"/>
  <c r="L136" i="15"/>
  <c r="I137" i="15" s="1"/>
  <c r="J137" i="15" s="1"/>
  <c r="T112" i="19"/>
  <c r="S112" i="19"/>
  <c r="W112" i="19" s="1"/>
  <c r="R113" i="19" s="1"/>
  <c r="AT111" i="19"/>
  <c r="AE111" i="19"/>
  <c r="AD112" i="19" s="1"/>
  <c r="U192" i="17"/>
  <c r="V192" i="17"/>
  <c r="O192" i="17"/>
  <c r="AA192" i="17"/>
  <c r="V192" i="19"/>
  <c r="I192" i="17"/>
  <c r="U192" i="19"/>
  <c r="AB192" i="17"/>
  <c r="O192" i="19"/>
  <c r="I192" i="19"/>
  <c r="AA192" i="19"/>
  <c r="AB192" i="19"/>
  <c r="AT119" i="17"/>
  <c r="AE119" i="17"/>
  <c r="AD120" i="17" s="1"/>
  <c r="M121" i="17"/>
  <c r="Q121" i="17" s="1"/>
  <c r="L122" i="17" s="1"/>
  <c r="P122" i="17"/>
  <c r="N121" i="17"/>
  <c r="M121" i="19"/>
  <c r="Q121" i="19" s="1"/>
  <c r="L122" i="19" s="1"/>
  <c r="N121" i="19"/>
  <c r="P122" i="19"/>
  <c r="Y110" i="17"/>
  <c r="Z110" i="17"/>
  <c r="AG109" i="17"/>
  <c r="AF110" i="17" s="1"/>
  <c r="T120" i="17"/>
  <c r="S120" i="17"/>
  <c r="W120" i="17" s="1"/>
  <c r="R121" i="17" s="1"/>
  <c r="AI191" i="3"/>
  <c r="BE191" i="3" s="1"/>
  <c r="AZ192" i="19"/>
  <c r="C192" i="19"/>
  <c r="E193" i="19"/>
  <c r="L189" i="18"/>
  <c r="I190" i="18" s="1"/>
  <c r="J190" i="18" s="1"/>
  <c r="AR191" i="16"/>
  <c r="E193" i="16"/>
  <c r="C192" i="16"/>
  <c r="BD192" i="16"/>
  <c r="AZ192" i="16"/>
  <c r="K190" i="18"/>
  <c r="AU190" i="18"/>
  <c r="O190" i="18"/>
  <c r="AS190" i="18"/>
  <c r="AQ190" i="18"/>
  <c r="C191" i="17"/>
  <c r="E192" i="17"/>
  <c r="AZ191" i="17"/>
  <c r="E192" i="18"/>
  <c r="C191" i="18"/>
  <c r="AZ191" i="18"/>
  <c r="AM90" i="18"/>
  <c r="AN90" i="18" s="1"/>
  <c r="AW90" i="18" s="1"/>
  <c r="AX90" i="18" s="1"/>
  <c r="AY90" i="18" s="1"/>
  <c r="AZ193" i="15"/>
  <c r="C193" i="15"/>
  <c r="E194" i="15"/>
  <c r="G91" i="18"/>
  <c r="AR91" i="18" s="1"/>
  <c r="P147" i="18"/>
  <c r="M148" i="18" s="1"/>
  <c r="N148" i="18" s="1"/>
  <c r="T147" i="18"/>
  <c r="S148" i="18" s="1"/>
  <c r="R147" i="18"/>
  <c r="Q148" i="18" s="1"/>
  <c r="AT148" i="18" s="1"/>
  <c r="T136" i="15"/>
  <c r="R136" i="15"/>
  <c r="Q137" i="15" s="1"/>
  <c r="AT137" i="15" s="1"/>
  <c r="AW197" i="3"/>
  <c r="AQ197" i="3"/>
  <c r="H194" i="3"/>
  <c r="AF193" i="3"/>
  <c r="AK193" i="3" s="1"/>
  <c r="AI192" i="3"/>
  <c r="BE192" i="3" s="1"/>
  <c r="P197" i="3"/>
  <c r="Y194" i="3"/>
  <c r="AC193" i="3"/>
  <c r="AG194" i="3"/>
  <c r="AV195" i="3"/>
  <c r="AX195" i="3" s="1"/>
  <c r="G196" i="3"/>
  <c r="V195" i="3"/>
  <c r="X195" i="3" s="1"/>
  <c r="A195" i="3"/>
  <c r="BI195" i="3" s="1"/>
  <c r="BJ195" i="3" s="1"/>
  <c r="AN197" i="3"/>
  <c r="AH194" i="3"/>
  <c r="BD193" i="3"/>
  <c r="AE194" i="3"/>
  <c r="BC193" i="3"/>
  <c r="BB195" i="3" l="1"/>
  <c r="T156" i="25"/>
  <c r="S156" i="25"/>
  <c r="W156" i="25" s="1"/>
  <c r="R157" i="25" s="1"/>
  <c r="AT155" i="25"/>
  <c r="AE155" i="25"/>
  <c r="AD156" i="25" s="1"/>
  <c r="Z105" i="29"/>
  <c r="AA105" i="29"/>
  <c r="AE105" i="29" s="1"/>
  <c r="AD106" i="29" s="1"/>
  <c r="G75" i="28"/>
  <c r="AL75" i="28" s="1"/>
  <c r="AM75" i="28" s="1"/>
  <c r="AN75" i="28" s="1"/>
  <c r="I75" i="28"/>
  <c r="Q75" i="28" s="1"/>
  <c r="L76" i="28" s="1"/>
  <c r="AR197" i="3"/>
  <c r="N113" i="24"/>
  <c r="P113" i="24" s="1"/>
  <c r="M114" i="24" s="1"/>
  <c r="N114" i="24" s="1"/>
  <c r="R101" i="24"/>
  <c r="Q102" i="24" s="1"/>
  <c r="AT102" i="24" s="1"/>
  <c r="AG106" i="25"/>
  <c r="AF107" i="25" s="1"/>
  <c r="AN195" i="20"/>
  <c r="L101" i="24"/>
  <c r="I102" i="24" s="1"/>
  <c r="Y107" i="25"/>
  <c r="AC107" i="25" s="1"/>
  <c r="X108" i="25" s="1"/>
  <c r="Z107" i="25"/>
  <c r="AM195" i="3"/>
  <c r="P195" i="20"/>
  <c r="AQ195" i="20"/>
  <c r="AR195" i="20" s="1"/>
  <c r="O196" i="20"/>
  <c r="BG193" i="3"/>
  <c r="AW73" i="26"/>
  <c r="AX73" i="26" s="1"/>
  <c r="AY73" i="26" s="1"/>
  <c r="Y105" i="29"/>
  <c r="T177" i="29"/>
  <c r="S177" i="29"/>
  <c r="W177" i="29" s="1"/>
  <c r="R178" i="29" s="1"/>
  <c r="U178" i="29" s="1"/>
  <c r="AM75" i="29"/>
  <c r="AN75" i="29" s="1"/>
  <c r="C191" i="29"/>
  <c r="AZ191" i="29"/>
  <c r="E192" i="29"/>
  <c r="F76" i="29"/>
  <c r="I76" i="29" s="1"/>
  <c r="AS75" i="29"/>
  <c r="AU75" i="29"/>
  <c r="AQ75" i="29"/>
  <c r="N145" i="26"/>
  <c r="P145" i="26" s="1"/>
  <c r="M146" i="26" s="1"/>
  <c r="J186" i="26"/>
  <c r="L186" i="26" s="1"/>
  <c r="I187" i="26" s="1"/>
  <c r="H74" i="26"/>
  <c r="T144" i="26"/>
  <c r="S145" i="26" s="1"/>
  <c r="AT144" i="26"/>
  <c r="R144" i="26"/>
  <c r="Q145" i="26" s="1"/>
  <c r="K191" i="26"/>
  <c r="O191" i="26"/>
  <c r="AQ191" i="26"/>
  <c r="AS191" i="26"/>
  <c r="AU191" i="26"/>
  <c r="AZ192" i="26"/>
  <c r="C192" i="26"/>
  <c r="E193" i="26"/>
  <c r="H75" i="28"/>
  <c r="AP75" i="28" s="1"/>
  <c r="J76" i="28"/>
  <c r="T161" i="28"/>
  <c r="S161" i="28"/>
  <c r="W161" i="28" s="1"/>
  <c r="R162" i="28" s="1"/>
  <c r="V162" i="28" s="1"/>
  <c r="AT160" i="28"/>
  <c r="AE160" i="28"/>
  <c r="AD161" i="28" s="1"/>
  <c r="AW74" i="28"/>
  <c r="AX74" i="28" s="1"/>
  <c r="AY74" i="28" s="1"/>
  <c r="AG109" i="28"/>
  <c r="AF110" i="28" s="1"/>
  <c r="AC109" i="28"/>
  <c r="X110" i="28" s="1"/>
  <c r="AB110" i="28" s="1"/>
  <c r="C192" i="28"/>
  <c r="AZ192" i="28"/>
  <c r="E193" i="28"/>
  <c r="F94" i="25"/>
  <c r="AO90" i="25"/>
  <c r="U191" i="25"/>
  <c r="V191" i="25"/>
  <c r="AA191" i="25"/>
  <c r="AB191" i="25"/>
  <c r="AR191" i="25"/>
  <c r="BA192" i="25"/>
  <c r="BB192" i="25"/>
  <c r="BC192" i="25"/>
  <c r="AL90" i="25"/>
  <c r="AI90" i="25"/>
  <c r="AS90" i="25"/>
  <c r="AU90" i="25"/>
  <c r="AW88" i="25"/>
  <c r="AX88" i="25" s="1"/>
  <c r="AY88" i="25" s="1"/>
  <c r="AQ90" i="25"/>
  <c r="AJ89" i="25"/>
  <c r="AK89" i="25" s="1"/>
  <c r="AM89" i="25"/>
  <c r="AN89" i="25" s="1"/>
  <c r="P92" i="25"/>
  <c r="N91" i="25"/>
  <c r="AP91" i="25" s="1"/>
  <c r="AZ192" i="25"/>
  <c r="BD192" i="25"/>
  <c r="C192" i="25"/>
  <c r="E193" i="25"/>
  <c r="AZ192" i="24"/>
  <c r="C192" i="24"/>
  <c r="E193" i="24"/>
  <c r="AN69" i="24"/>
  <c r="AQ191" i="24"/>
  <c r="AS191" i="24"/>
  <c r="AU191" i="24"/>
  <c r="AK69" i="24"/>
  <c r="G70" i="24"/>
  <c r="AR70" i="24" s="1"/>
  <c r="AS193" i="15"/>
  <c r="AU193" i="15"/>
  <c r="AQ193" i="15"/>
  <c r="H69" i="15"/>
  <c r="P154" i="15"/>
  <c r="M155" i="15" s="1"/>
  <c r="N155" i="15" s="1"/>
  <c r="M91" i="25"/>
  <c r="Q91" i="25" s="1"/>
  <c r="L92" i="25" s="1"/>
  <c r="O190" i="25"/>
  <c r="I190" i="25"/>
  <c r="AD193" i="3"/>
  <c r="AI193" i="3" s="1"/>
  <c r="BE193" i="3" s="1"/>
  <c r="AL195" i="3"/>
  <c r="AG110" i="19"/>
  <c r="AF111" i="19" s="1"/>
  <c r="AW56" i="17"/>
  <c r="AX56" i="17" s="1"/>
  <c r="AY56" i="17" s="1"/>
  <c r="AI57" i="17"/>
  <c r="AJ57" i="17" s="1"/>
  <c r="AK57" i="17" s="1"/>
  <c r="K57" i="17"/>
  <c r="AU57" i="17" s="1"/>
  <c r="F49" i="19"/>
  <c r="AU48" i="19"/>
  <c r="AS48" i="19"/>
  <c r="AQ48" i="19"/>
  <c r="AO57" i="17"/>
  <c r="AP57" i="17"/>
  <c r="AR192" i="19"/>
  <c r="Z111" i="19"/>
  <c r="Y111" i="19"/>
  <c r="AC111" i="19" s="1"/>
  <c r="X112" i="19" s="1"/>
  <c r="L137" i="15"/>
  <c r="I138" i="15" s="1"/>
  <c r="J138" i="15" s="1"/>
  <c r="AT112" i="19"/>
  <c r="AE112" i="19"/>
  <c r="AD113" i="19" s="1"/>
  <c r="S113" i="19"/>
  <c r="W113" i="19" s="1"/>
  <c r="R114" i="19" s="1"/>
  <c r="T113" i="19"/>
  <c r="L190" i="18"/>
  <c r="I191" i="18" s="1"/>
  <c r="J191" i="18" s="1"/>
  <c r="AA193" i="17"/>
  <c r="I193" i="17"/>
  <c r="U193" i="17"/>
  <c r="V193" i="17"/>
  <c r="AA193" i="19"/>
  <c r="I193" i="19"/>
  <c r="AB193" i="17"/>
  <c r="V193" i="19"/>
  <c r="O193" i="19"/>
  <c r="O193" i="17"/>
  <c r="U193" i="19"/>
  <c r="AB193" i="19"/>
  <c r="AG110" i="17"/>
  <c r="AF111" i="17" s="1"/>
  <c r="AC110" i="17"/>
  <c r="X111" i="17" s="1"/>
  <c r="P123" i="17"/>
  <c r="M122" i="17"/>
  <c r="Q122" i="17" s="1"/>
  <c r="L123" i="17" s="1"/>
  <c r="N122" i="17"/>
  <c r="T121" i="17"/>
  <c r="S121" i="17"/>
  <c r="W121" i="17" s="1"/>
  <c r="R122" i="17" s="1"/>
  <c r="N122" i="19"/>
  <c r="M122" i="19"/>
  <c r="Q122" i="19" s="1"/>
  <c r="L123" i="19" s="1"/>
  <c r="P123" i="19"/>
  <c r="AT120" i="17"/>
  <c r="AE120" i="17"/>
  <c r="AD121" i="17" s="1"/>
  <c r="E194" i="19"/>
  <c r="AZ193" i="19"/>
  <c r="C193" i="19"/>
  <c r="AR192" i="16"/>
  <c r="C193" i="16"/>
  <c r="E194" i="16"/>
  <c r="AZ193" i="16"/>
  <c r="BD193" i="16"/>
  <c r="C192" i="17"/>
  <c r="E193" i="17"/>
  <c r="AZ192" i="17"/>
  <c r="C192" i="18"/>
  <c r="E193" i="18"/>
  <c r="AZ192" i="18"/>
  <c r="AQ191" i="18"/>
  <c r="AS191" i="18"/>
  <c r="O191" i="18"/>
  <c r="AU191" i="18"/>
  <c r="K191" i="18"/>
  <c r="H91" i="18"/>
  <c r="F92" i="18" s="1"/>
  <c r="G92" i="18" s="1"/>
  <c r="AR92" i="18" s="1"/>
  <c r="C194" i="15"/>
  <c r="AZ194" i="15"/>
  <c r="E195" i="15"/>
  <c r="S137" i="15"/>
  <c r="T137" i="15" s="1"/>
  <c r="S138" i="15" s="1"/>
  <c r="P148" i="18"/>
  <c r="M149" i="18" s="1"/>
  <c r="N149" i="18" s="1"/>
  <c r="R148" i="18"/>
  <c r="Q149" i="18" s="1"/>
  <c r="AT149" i="18" s="1"/>
  <c r="T148" i="18"/>
  <c r="S149" i="18" s="1"/>
  <c r="R137" i="15"/>
  <c r="Q138" i="15" s="1"/>
  <c r="AT138" i="15" s="1"/>
  <c r="BC194" i="3"/>
  <c r="AE195" i="3"/>
  <c r="A196" i="3"/>
  <c r="BI196" i="3" s="1"/>
  <c r="BJ196" i="3" s="1"/>
  <c r="Y195" i="3"/>
  <c r="AC194" i="3"/>
  <c r="AQ198" i="3"/>
  <c r="BD194" i="3"/>
  <c r="AH195" i="3"/>
  <c r="AG195" i="3"/>
  <c r="P198" i="3"/>
  <c r="P199" i="3" s="1"/>
  <c r="H195" i="3"/>
  <c r="AF194" i="3"/>
  <c r="AW198" i="3"/>
  <c r="AN198" i="3"/>
  <c r="G197" i="3"/>
  <c r="AV196" i="3"/>
  <c r="AX196" i="3" s="1"/>
  <c r="V196" i="3"/>
  <c r="X196" i="3" s="1"/>
  <c r="BB196" i="3" l="1"/>
  <c r="T157" i="25"/>
  <c r="S157" i="25"/>
  <c r="W157" i="25" s="1"/>
  <c r="R158" i="25" s="1"/>
  <c r="AT156" i="25"/>
  <c r="AE156" i="25"/>
  <c r="AD157" i="25" s="1"/>
  <c r="AJ193" i="3"/>
  <c r="BF193" i="3" s="1"/>
  <c r="AG105" i="29"/>
  <c r="AF106" i="29" s="1"/>
  <c r="AT106" i="29"/>
  <c r="AR76" i="29"/>
  <c r="Q76" i="29"/>
  <c r="L77" i="29" s="1"/>
  <c r="O76" i="28"/>
  <c r="M76" i="28"/>
  <c r="N76" i="28"/>
  <c r="P77" i="28"/>
  <c r="K75" i="28"/>
  <c r="AQ75" i="28" s="1"/>
  <c r="AI75" i="28"/>
  <c r="AJ75" i="28" s="1"/>
  <c r="AR198" i="3"/>
  <c r="AN196" i="20"/>
  <c r="AG107" i="25"/>
  <c r="AF108" i="25" s="1"/>
  <c r="O114" i="24"/>
  <c r="P114" i="24" s="1"/>
  <c r="M115" i="24" s="1"/>
  <c r="O115" i="24" s="1"/>
  <c r="Y108" i="25"/>
  <c r="AC108" i="25" s="1"/>
  <c r="X109" i="25" s="1"/>
  <c r="Z108" i="25"/>
  <c r="K102" i="24"/>
  <c r="T102" i="24" s="1"/>
  <c r="S103" i="24" s="1"/>
  <c r="J102" i="24"/>
  <c r="AK194" i="3"/>
  <c r="BG194" i="3" s="1"/>
  <c r="P196" i="20"/>
  <c r="O197" i="20"/>
  <c r="AQ196" i="20"/>
  <c r="AR196" i="20" s="1"/>
  <c r="K193" i="15"/>
  <c r="O193" i="15"/>
  <c r="AC105" i="29"/>
  <c r="X106" i="29" s="1"/>
  <c r="T178" i="29"/>
  <c r="S178" i="29"/>
  <c r="W178" i="29" s="1"/>
  <c r="R179" i="29" s="1"/>
  <c r="U179" i="29" s="1"/>
  <c r="AW75" i="29"/>
  <c r="AX75" i="29" s="1"/>
  <c r="AY75" i="29" s="1"/>
  <c r="AZ192" i="29"/>
  <c r="C192" i="29"/>
  <c r="E193" i="29"/>
  <c r="J77" i="29"/>
  <c r="H76" i="29"/>
  <c r="AP76" i="29" s="1"/>
  <c r="G76" i="29"/>
  <c r="AI76" i="29" s="1"/>
  <c r="J187" i="26"/>
  <c r="L187" i="26" s="1"/>
  <c r="I188" i="26" s="1"/>
  <c r="N146" i="26"/>
  <c r="P146" i="26" s="1"/>
  <c r="M147" i="26" s="1"/>
  <c r="F75" i="26"/>
  <c r="AL74" i="26"/>
  <c r="AI74" i="26"/>
  <c r="O192" i="26"/>
  <c r="AQ192" i="26"/>
  <c r="AS192" i="26"/>
  <c r="AU192" i="26"/>
  <c r="K192" i="26"/>
  <c r="AT145" i="26"/>
  <c r="R145" i="26"/>
  <c r="Q146" i="26" s="1"/>
  <c r="T145" i="26"/>
  <c r="S146" i="26" s="1"/>
  <c r="C193" i="26"/>
  <c r="AZ193" i="26"/>
  <c r="E194" i="26"/>
  <c r="AO75" i="28"/>
  <c r="T162" i="28"/>
  <c r="S162" i="28"/>
  <c r="W162" i="28" s="1"/>
  <c r="R163" i="28" s="1"/>
  <c r="V163" i="28" s="1"/>
  <c r="AT161" i="28"/>
  <c r="AE161" i="28"/>
  <c r="AD162" i="28" s="1"/>
  <c r="Z110" i="28"/>
  <c r="Y110" i="28"/>
  <c r="AC110" i="28" s="1"/>
  <c r="X111" i="28" s="1"/>
  <c r="AB111" i="28" s="1"/>
  <c r="AZ193" i="28"/>
  <c r="C193" i="28"/>
  <c r="E194" i="28"/>
  <c r="AW89" i="25"/>
  <c r="AX89" i="25" s="1"/>
  <c r="AY89" i="25" s="1"/>
  <c r="G94" i="25"/>
  <c r="K94" i="25" s="1"/>
  <c r="J95" i="25"/>
  <c r="H94" i="25"/>
  <c r="BA193" i="25"/>
  <c r="BB193" i="25"/>
  <c r="BC193" i="25"/>
  <c r="AL91" i="25"/>
  <c r="AI91" i="25"/>
  <c r="AU91" i="25"/>
  <c r="AS91" i="25"/>
  <c r="AO91" i="25"/>
  <c r="AQ91" i="25"/>
  <c r="U192" i="25"/>
  <c r="V192" i="25"/>
  <c r="AA192" i="25"/>
  <c r="AB192" i="25"/>
  <c r="AR192" i="25"/>
  <c r="AM90" i="25"/>
  <c r="AN90" i="25" s="1"/>
  <c r="AJ90" i="25"/>
  <c r="AK90" i="25" s="1"/>
  <c r="C193" i="25"/>
  <c r="BD193" i="25"/>
  <c r="AZ193" i="25"/>
  <c r="E194" i="25"/>
  <c r="AW69" i="24"/>
  <c r="AX69" i="24" s="1"/>
  <c r="AY69" i="24" s="1"/>
  <c r="P93" i="25"/>
  <c r="N92" i="25"/>
  <c r="AP92" i="25" s="1"/>
  <c r="AQ192" i="24"/>
  <c r="AU192" i="24"/>
  <c r="AS192" i="24"/>
  <c r="C193" i="24"/>
  <c r="AZ193" i="24"/>
  <c r="E194" i="24"/>
  <c r="H70" i="24"/>
  <c r="AQ194" i="15"/>
  <c r="AS194" i="15"/>
  <c r="AU194" i="15"/>
  <c r="F70" i="15"/>
  <c r="AI69" i="15"/>
  <c r="AJ69" i="15" s="1"/>
  <c r="AK69" i="15" s="1"/>
  <c r="AL69" i="15"/>
  <c r="AM69" i="15" s="1"/>
  <c r="AN69" i="15" s="1"/>
  <c r="P155" i="15"/>
  <c r="M156" i="15" s="1"/>
  <c r="N156" i="15" s="1"/>
  <c r="M92" i="25"/>
  <c r="AL92" i="25" s="1"/>
  <c r="I191" i="25"/>
  <c r="O191" i="25"/>
  <c r="AW48" i="19"/>
  <c r="AX48" i="19" s="1"/>
  <c r="AY48" i="19" s="1"/>
  <c r="AD194" i="3"/>
  <c r="AI194" i="3" s="1"/>
  <c r="BE194" i="3" s="1"/>
  <c r="AS57" i="17"/>
  <c r="AQ57" i="17"/>
  <c r="F58" i="17"/>
  <c r="J59" i="17" s="1"/>
  <c r="J50" i="19"/>
  <c r="G49" i="19"/>
  <c r="K49" i="19" s="1"/>
  <c r="AS49" i="19" s="1"/>
  <c r="H49" i="19"/>
  <c r="Y112" i="19"/>
  <c r="AC112" i="19" s="1"/>
  <c r="X113" i="19" s="1"/>
  <c r="Z112" i="19"/>
  <c r="AG111" i="19"/>
  <c r="AF112" i="19" s="1"/>
  <c r="AE113" i="19"/>
  <c r="AD114" i="19" s="1"/>
  <c r="AT113" i="19"/>
  <c r="T114" i="19"/>
  <c r="S114" i="19"/>
  <c r="W114" i="19" s="1"/>
  <c r="R115" i="19" s="1"/>
  <c r="U194" i="17"/>
  <c r="O194" i="17"/>
  <c r="AA194" i="17"/>
  <c r="I194" i="17"/>
  <c r="AB194" i="19"/>
  <c r="O194" i="19"/>
  <c r="AA194" i="19"/>
  <c r="I194" i="19"/>
  <c r="U194" i="19"/>
  <c r="AB194" i="17"/>
  <c r="V194" i="19"/>
  <c r="V194" i="17"/>
  <c r="AR193" i="19"/>
  <c r="N123" i="19"/>
  <c r="M123" i="19"/>
  <c r="Q123" i="19" s="1"/>
  <c r="L124" i="19" s="1"/>
  <c r="P124" i="19"/>
  <c r="S122" i="17"/>
  <c r="W122" i="17" s="1"/>
  <c r="R123" i="17" s="1"/>
  <c r="T122" i="17"/>
  <c r="Y111" i="17"/>
  <c r="AG111" i="17" s="1"/>
  <c r="AF112" i="17" s="1"/>
  <c r="Z111" i="17"/>
  <c r="M123" i="17"/>
  <c r="Q123" i="17" s="1"/>
  <c r="L124" i="17" s="1"/>
  <c r="P124" i="17"/>
  <c r="N123" i="17"/>
  <c r="AT121" i="17"/>
  <c r="AE121" i="17"/>
  <c r="AD122" i="17" s="1"/>
  <c r="T138" i="15"/>
  <c r="S139" i="15" s="1"/>
  <c r="E195" i="19"/>
  <c r="AZ194" i="19"/>
  <c r="C194" i="19"/>
  <c r="AR193" i="16"/>
  <c r="BD194" i="16"/>
  <c r="E195" i="16"/>
  <c r="C194" i="16"/>
  <c r="AZ194" i="16"/>
  <c r="L191" i="18"/>
  <c r="I192" i="18" s="1"/>
  <c r="J192" i="18" s="1"/>
  <c r="AZ193" i="17"/>
  <c r="E194" i="17"/>
  <c r="C193" i="17"/>
  <c r="C193" i="18"/>
  <c r="AZ193" i="18"/>
  <c r="E194" i="18"/>
  <c r="AU192" i="18"/>
  <c r="O192" i="18"/>
  <c r="AQ192" i="18"/>
  <c r="AS192" i="18"/>
  <c r="K192" i="18"/>
  <c r="AL91" i="18"/>
  <c r="AM91" i="18" s="1"/>
  <c r="AN91" i="18" s="1"/>
  <c r="AI91" i="18"/>
  <c r="AJ91" i="18" s="1"/>
  <c r="AK91" i="18" s="1"/>
  <c r="C195" i="15"/>
  <c r="E196" i="15"/>
  <c r="AZ195" i="15"/>
  <c r="H92" i="18"/>
  <c r="R149" i="18"/>
  <c r="Q150" i="18" s="1"/>
  <c r="AT150" i="18" s="1"/>
  <c r="P149" i="18"/>
  <c r="M150" i="18" s="1"/>
  <c r="N150" i="18" s="1"/>
  <c r="T149" i="18"/>
  <c r="S150" i="18" s="1"/>
  <c r="L138" i="15"/>
  <c r="I139" i="15" s="1"/>
  <c r="J139" i="15" s="1"/>
  <c r="R138" i="15"/>
  <c r="Q139" i="15" s="1"/>
  <c r="AT139" i="15" s="1"/>
  <c r="P200" i="3"/>
  <c r="AQ199" i="3"/>
  <c r="A197" i="3"/>
  <c r="BI197" i="3" s="1"/>
  <c r="BJ197" i="3" s="1"/>
  <c r="AW199" i="3"/>
  <c r="AL196" i="3"/>
  <c r="AV197" i="3"/>
  <c r="AX197" i="3" s="1"/>
  <c r="G198" i="3"/>
  <c r="V197" i="3"/>
  <c r="X197" i="3" s="1"/>
  <c r="AG196" i="3"/>
  <c r="AM196" i="3"/>
  <c r="Y196" i="3"/>
  <c r="AC195" i="3"/>
  <c r="AE196" i="3"/>
  <c r="BC195" i="3"/>
  <c r="AN199" i="3"/>
  <c r="AN200" i="3" s="1"/>
  <c r="H196" i="3"/>
  <c r="AF195" i="3"/>
  <c r="AK195" i="3" s="1"/>
  <c r="AH196" i="3"/>
  <c r="BD195" i="3"/>
  <c r="BB197" i="3" l="1"/>
  <c r="T158" i="25"/>
  <c r="S158" i="25"/>
  <c r="W158" i="25" s="1"/>
  <c r="R159" i="25" s="1"/>
  <c r="AT157" i="25"/>
  <c r="AE157" i="25"/>
  <c r="AD158" i="25" s="1"/>
  <c r="AK75" i="28"/>
  <c r="F76" i="28"/>
  <c r="I76" i="28" s="1"/>
  <c r="Q76" i="28" s="1"/>
  <c r="L77" i="28" s="1"/>
  <c r="AU75" i="28"/>
  <c r="AS75" i="28"/>
  <c r="O77" i="29"/>
  <c r="M77" i="29"/>
  <c r="N77" i="29"/>
  <c r="P78" i="29"/>
  <c r="Z106" i="29"/>
  <c r="AA106" i="29"/>
  <c r="AE106" i="29" s="1"/>
  <c r="AD107" i="29" s="1"/>
  <c r="AR199" i="3"/>
  <c r="N115" i="24"/>
  <c r="P115" i="24" s="1"/>
  <c r="M116" i="24" s="1"/>
  <c r="AG108" i="25"/>
  <c r="AF109" i="25" s="1"/>
  <c r="AN197" i="20"/>
  <c r="L102" i="24"/>
  <c r="I103" i="24" s="1"/>
  <c r="R102" i="24"/>
  <c r="Q103" i="24" s="1"/>
  <c r="AT103" i="24" s="1"/>
  <c r="Z109" i="25"/>
  <c r="Y109" i="25"/>
  <c r="AC109" i="25" s="1"/>
  <c r="X110" i="25" s="1"/>
  <c r="AR194" i="19"/>
  <c r="AJ194" i="3"/>
  <c r="BF194" i="3" s="1"/>
  <c r="P197" i="20"/>
  <c r="O198" i="20"/>
  <c r="AQ197" i="20"/>
  <c r="AR197" i="20" s="1"/>
  <c r="BG195" i="3"/>
  <c r="K194" i="15"/>
  <c r="O194" i="15"/>
  <c r="Y106" i="29"/>
  <c r="T179" i="29"/>
  <c r="S179" i="29"/>
  <c r="W179" i="29" s="1"/>
  <c r="R180" i="29" s="1"/>
  <c r="U180" i="29" s="1"/>
  <c r="AJ76" i="29"/>
  <c r="AK76" i="29" s="1"/>
  <c r="K76" i="29"/>
  <c r="AL76" i="29"/>
  <c r="C193" i="29"/>
  <c r="AZ193" i="29"/>
  <c r="E194" i="29"/>
  <c r="AO76" i="29"/>
  <c r="J188" i="26"/>
  <c r="L188" i="26" s="1"/>
  <c r="I189" i="26" s="1"/>
  <c r="N147" i="26"/>
  <c r="P147" i="26" s="1"/>
  <c r="M148" i="26" s="1"/>
  <c r="AT146" i="26"/>
  <c r="R146" i="26"/>
  <c r="Q147" i="26" s="1"/>
  <c r="G75" i="26"/>
  <c r="AR75" i="26" s="1"/>
  <c r="AM74" i="26"/>
  <c r="AN74" i="26" s="1"/>
  <c r="T146" i="26"/>
  <c r="S147" i="26" s="1"/>
  <c r="AJ74" i="26"/>
  <c r="AK74" i="26" s="1"/>
  <c r="AS193" i="26"/>
  <c r="AU193" i="26"/>
  <c r="AQ193" i="26"/>
  <c r="K193" i="26"/>
  <c r="O193" i="26"/>
  <c r="C194" i="26"/>
  <c r="AZ194" i="26"/>
  <c r="E195" i="26"/>
  <c r="AG110" i="28"/>
  <c r="AF111" i="28" s="1"/>
  <c r="T163" i="28"/>
  <c r="S163" i="28"/>
  <c r="W163" i="28" s="1"/>
  <c r="R164" i="28" s="1"/>
  <c r="V164" i="28" s="1"/>
  <c r="Z111" i="28"/>
  <c r="Y111" i="28"/>
  <c r="AT162" i="28"/>
  <c r="AE162" i="28"/>
  <c r="AD163" i="28" s="1"/>
  <c r="C194" i="28"/>
  <c r="AZ194" i="28"/>
  <c r="E195" i="28"/>
  <c r="AW90" i="25"/>
  <c r="AX90" i="25" s="1"/>
  <c r="AY90" i="25" s="1"/>
  <c r="F95" i="25"/>
  <c r="AO92" i="25"/>
  <c r="AR193" i="25"/>
  <c r="U193" i="25"/>
  <c r="V193" i="25"/>
  <c r="AA193" i="25"/>
  <c r="AB193" i="25"/>
  <c r="BA194" i="25"/>
  <c r="BB194" i="25"/>
  <c r="BC194" i="25"/>
  <c r="AZ194" i="25"/>
  <c r="BD194" i="25"/>
  <c r="C194" i="25"/>
  <c r="E195" i="25"/>
  <c r="AM92" i="25"/>
  <c r="AN92" i="25" s="1"/>
  <c r="AJ91" i="25"/>
  <c r="AK91" i="25" s="1"/>
  <c r="AM91" i="25"/>
  <c r="AN91" i="25" s="1"/>
  <c r="F71" i="24"/>
  <c r="AI70" i="24"/>
  <c r="AJ70" i="24" s="1"/>
  <c r="AL70" i="24"/>
  <c r="AM70" i="24" s="1"/>
  <c r="C194" i="24"/>
  <c r="AZ194" i="24"/>
  <c r="E195" i="24"/>
  <c r="AU193" i="24"/>
  <c r="AS193" i="24"/>
  <c r="AQ193" i="24"/>
  <c r="AW69" i="15"/>
  <c r="AX69" i="15" s="1"/>
  <c r="AY69" i="15" s="1"/>
  <c r="G70" i="15"/>
  <c r="AR70" i="15" s="1"/>
  <c r="AQ195" i="15"/>
  <c r="AS195" i="15"/>
  <c r="AU195" i="15"/>
  <c r="P156" i="15"/>
  <c r="M157" i="15" s="1"/>
  <c r="N157" i="15" s="1"/>
  <c r="Q92" i="25"/>
  <c r="O192" i="25"/>
  <c r="I192" i="25"/>
  <c r="AW57" i="17"/>
  <c r="AX57" i="17" s="1"/>
  <c r="AY57" i="17" s="1"/>
  <c r="G58" i="17"/>
  <c r="AL58" i="17" s="1"/>
  <c r="AM58" i="17" s="1"/>
  <c r="AN58" i="17" s="1"/>
  <c r="AM197" i="3"/>
  <c r="H58" i="17"/>
  <c r="AO58" i="17" s="1"/>
  <c r="AL197" i="3"/>
  <c r="F50" i="19"/>
  <c r="H50" i="19" s="1"/>
  <c r="AQ49" i="19"/>
  <c r="AP49" i="19"/>
  <c r="AO49" i="19"/>
  <c r="AU49" i="19"/>
  <c r="AI49" i="19"/>
  <c r="AJ49" i="19" s="1"/>
  <c r="AK49" i="19" s="1"/>
  <c r="AL49" i="19"/>
  <c r="AM49" i="19" s="1"/>
  <c r="AN49" i="19" s="1"/>
  <c r="AG112" i="19"/>
  <c r="AF113" i="19" s="1"/>
  <c r="Z113" i="19"/>
  <c r="Y113" i="19"/>
  <c r="AC113" i="19" s="1"/>
  <c r="X114" i="19" s="1"/>
  <c r="AC111" i="17"/>
  <c r="X112" i="17" s="1"/>
  <c r="Z112" i="17" s="1"/>
  <c r="AE114" i="19"/>
  <c r="AD115" i="19" s="1"/>
  <c r="AT114" i="19"/>
  <c r="T115" i="19"/>
  <c r="S115" i="19"/>
  <c r="W115" i="19" s="1"/>
  <c r="R116" i="19" s="1"/>
  <c r="AA195" i="17"/>
  <c r="I195" i="17"/>
  <c r="O195" i="17"/>
  <c r="AB195" i="17"/>
  <c r="V195" i="17"/>
  <c r="U195" i="19"/>
  <c r="U195" i="17"/>
  <c r="AB195" i="19"/>
  <c r="O195" i="19"/>
  <c r="V195" i="19"/>
  <c r="I195" i="19"/>
  <c r="AA195" i="19"/>
  <c r="T123" i="17"/>
  <c r="S123" i="17"/>
  <c r="W123" i="17" s="1"/>
  <c r="R124" i="17" s="1"/>
  <c r="P125" i="19"/>
  <c r="M124" i="19"/>
  <c r="Q124" i="19" s="1"/>
  <c r="L125" i="19" s="1"/>
  <c r="N124" i="19"/>
  <c r="AD195" i="3"/>
  <c r="AI195" i="3" s="1"/>
  <c r="BE195" i="3" s="1"/>
  <c r="R139" i="15"/>
  <c r="Q140" i="15" s="1"/>
  <c r="AT140" i="15" s="1"/>
  <c r="AT122" i="17"/>
  <c r="AE122" i="17"/>
  <c r="AD123" i="17" s="1"/>
  <c r="N124" i="17"/>
  <c r="M124" i="17"/>
  <c r="Q124" i="17" s="1"/>
  <c r="L125" i="17" s="1"/>
  <c r="P125" i="17"/>
  <c r="AZ195" i="19"/>
  <c r="C195" i="19"/>
  <c r="E196" i="19"/>
  <c r="L192" i="18"/>
  <c r="I193" i="18" s="1"/>
  <c r="J193" i="18" s="1"/>
  <c r="AR194" i="16"/>
  <c r="AZ195" i="16"/>
  <c r="BD195" i="16"/>
  <c r="C195" i="16"/>
  <c r="E196" i="16"/>
  <c r="E195" i="18"/>
  <c r="C194" i="18"/>
  <c r="AZ194" i="18"/>
  <c r="C194" i="17"/>
  <c r="AZ194" i="17"/>
  <c r="E195" i="17"/>
  <c r="AS193" i="18"/>
  <c r="AQ193" i="18"/>
  <c r="AU193" i="18"/>
  <c r="O193" i="18"/>
  <c r="K193" i="18"/>
  <c r="AW91" i="18"/>
  <c r="AX91" i="18" s="1"/>
  <c r="AY91" i="18" s="1"/>
  <c r="F93" i="18"/>
  <c r="AL92" i="18"/>
  <c r="AM92" i="18" s="1"/>
  <c r="AN92" i="18" s="1"/>
  <c r="AI92" i="18"/>
  <c r="AJ92" i="18" s="1"/>
  <c r="AK92" i="18" s="1"/>
  <c r="E197" i="15"/>
  <c r="AZ196" i="15"/>
  <c r="C196" i="15"/>
  <c r="P150" i="18"/>
  <c r="M151" i="18" s="1"/>
  <c r="N151" i="18" s="1"/>
  <c r="R150" i="18"/>
  <c r="Q151" i="18" s="1"/>
  <c r="AT151" i="18" s="1"/>
  <c r="T150" i="18"/>
  <c r="S151" i="18" s="1"/>
  <c r="H197" i="3"/>
  <c r="AF196" i="3"/>
  <c r="AK196" i="3" s="1"/>
  <c r="AE197" i="3"/>
  <c r="BC196" i="3"/>
  <c r="G199" i="3"/>
  <c r="AV198" i="3"/>
  <c r="AX198" i="3" s="1"/>
  <c r="V198" i="3"/>
  <c r="X198" i="3" s="1"/>
  <c r="A198" i="3"/>
  <c r="BI198" i="3" s="1"/>
  <c r="BJ198" i="3" s="1"/>
  <c r="P201" i="3"/>
  <c r="AN201" i="3"/>
  <c r="AW200" i="3"/>
  <c r="BD196" i="3"/>
  <c r="AH197" i="3"/>
  <c r="Y197" i="3"/>
  <c r="AC196" i="3"/>
  <c r="AG197" i="3"/>
  <c r="AQ200" i="3"/>
  <c r="BB198" i="3" l="1"/>
  <c r="S159" i="25"/>
  <c r="W159" i="25" s="1"/>
  <c r="R160" i="25" s="1"/>
  <c r="T159" i="25"/>
  <c r="AT158" i="25"/>
  <c r="AE158" i="25"/>
  <c r="AD159" i="25" s="1"/>
  <c r="G76" i="28"/>
  <c r="K76" i="28" s="1"/>
  <c r="AQ76" i="28" s="1"/>
  <c r="AW75" i="28"/>
  <c r="AX75" i="28" s="1"/>
  <c r="AY75" i="28" s="1"/>
  <c r="H76" i="28"/>
  <c r="AP76" i="28" s="1"/>
  <c r="J77" i="28"/>
  <c r="AG106" i="29"/>
  <c r="AF107" i="29" s="1"/>
  <c r="O77" i="28"/>
  <c r="P78" i="28"/>
  <c r="M77" i="28"/>
  <c r="N77" i="28"/>
  <c r="AT107" i="29"/>
  <c r="AR200" i="3"/>
  <c r="O116" i="24"/>
  <c r="N116" i="24"/>
  <c r="AG109" i="25"/>
  <c r="AF110" i="25" s="1"/>
  <c r="Y110" i="25"/>
  <c r="Z110" i="25"/>
  <c r="K103" i="24"/>
  <c r="R103" i="24" s="1"/>
  <c r="Q104" i="24" s="1"/>
  <c r="J103" i="24"/>
  <c r="AL198" i="3"/>
  <c r="AM198" i="3"/>
  <c r="P198" i="20"/>
  <c r="O199" i="20"/>
  <c r="AQ198" i="20"/>
  <c r="AR198" i="20" s="1"/>
  <c r="AN198" i="20"/>
  <c r="AJ195" i="3"/>
  <c r="BF195" i="3" s="1"/>
  <c r="K195" i="15"/>
  <c r="O195" i="15"/>
  <c r="BG196" i="3"/>
  <c r="AC106" i="29"/>
  <c r="X107" i="29" s="1"/>
  <c r="T180" i="29"/>
  <c r="S180" i="29"/>
  <c r="W180" i="29" s="1"/>
  <c r="R181" i="29" s="1"/>
  <c r="U181" i="29" s="1"/>
  <c r="F77" i="29"/>
  <c r="I77" i="29" s="1"/>
  <c r="AR77" i="29" s="1"/>
  <c r="AU76" i="29"/>
  <c r="AQ76" i="29"/>
  <c r="AS76" i="29"/>
  <c r="AM76" i="29"/>
  <c r="AN76" i="29" s="1"/>
  <c r="AZ194" i="29"/>
  <c r="C194" i="29"/>
  <c r="E195" i="29"/>
  <c r="AW74" i="26"/>
  <c r="AX74" i="26" s="1"/>
  <c r="AY74" i="26" s="1"/>
  <c r="J189" i="26"/>
  <c r="L189" i="26" s="1"/>
  <c r="I190" i="26" s="1"/>
  <c r="N148" i="26"/>
  <c r="P148" i="26" s="1"/>
  <c r="M149" i="26" s="1"/>
  <c r="AT147" i="26"/>
  <c r="R147" i="26"/>
  <c r="Q148" i="26" s="1"/>
  <c r="AG111" i="28"/>
  <c r="AF112" i="28" s="1"/>
  <c r="H75" i="26"/>
  <c r="O194" i="26"/>
  <c r="K194" i="26"/>
  <c r="AS194" i="26"/>
  <c r="AU194" i="26"/>
  <c r="AQ194" i="26"/>
  <c r="T147" i="26"/>
  <c r="S148" i="26" s="1"/>
  <c r="C195" i="26"/>
  <c r="AZ195" i="26"/>
  <c r="E196" i="26"/>
  <c r="T164" i="28"/>
  <c r="S164" i="28"/>
  <c r="W164" i="28" s="1"/>
  <c r="R165" i="28" s="1"/>
  <c r="V165" i="28" s="1"/>
  <c r="AC111" i="28"/>
  <c r="X112" i="28" s="1"/>
  <c r="AB112" i="28" s="1"/>
  <c r="AT163" i="28"/>
  <c r="AE163" i="28"/>
  <c r="AD164" i="28" s="1"/>
  <c r="C195" i="28"/>
  <c r="AZ195" i="28"/>
  <c r="E196" i="28"/>
  <c r="G95" i="25"/>
  <c r="K95" i="25" s="1"/>
  <c r="H95" i="25"/>
  <c r="J96" i="25"/>
  <c r="AW91" i="25"/>
  <c r="AX91" i="25" s="1"/>
  <c r="AY91" i="25" s="1"/>
  <c r="AR194" i="25"/>
  <c r="U194" i="25"/>
  <c r="V194" i="25"/>
  <c r="AA194" i="25"/>
  <c r="AB194" i="25"/>
  <c r="AS92" i="25"/>
  <c r="AU92" i="25"/>
  <c r="AI92" i="25"/>
  <c r="AQ92" i="25"/>
  <c r="BA195" i="25"/>
  <c r="BB195" i="25"/>
  <c r="BC195" i="25"/>
  <c r="L93" i="25"/>
  <c r="BD195" i="25"/>
  <c r="C195" i="25"/>
  <c r="AZ195" i="25"/>
  <c r="E196" i="25"/>
  <c r="AQ194" i="24"/>
  <c r="AS194" i="24"/>
  <c r="AU194" i="24"/>
  <c r="AN70" i="24"/>
  <c r="C195" i="24"/>
  <c r="AZ195" i="24"/>
  <c r="E196" i="24"/>
  <c r="AK70" i="24"/>
  <c r="G71" i="24"/>
  <c r="AR71" i="24" s="1"/>
  <c r="H70" i="15"/>
  <c r="AQ196" i="15"/>
  <c r="AS196" i="15"/>
  <c r="AU196" i="15"/>
  <c r="P157" i="15"/>
  <c r="M158" i="15" s="1"/>
  <c r="N158" i="15" s="1"/>
  <c r="O193" i="25"/>
  <c r="I193" i="25"/>
  <c r="AW49" i="19"/>
  <c r="AX49" i="19" s="1"/>
  <c r="AY49" i="19" s="1"/>
  <c r="K58" i="17"/>
  <c r="AS58" i="17" s="1"/>
  <c r="AI58" i="17"/>
  <c r="AJ58" i="17" s="1"/>
  <c r="AK58" i="17" s="1"/>
  <c r="J51" i="19"/>
  <c r="AP58" i="17"/>
  <c r="G50" i="19"/>
  <c r="AL50" i="19" s="1"/>
  <c r="AM50" i="19" s="1"/>
  <c r="AN50" i="19" s="1"/>
  <c r="AD196" i="3"/>
  <c r="AI196" i="3" s="1"/>
  <c r="BE196" i="3" s="1"/>
  <c r="AP50" i="19"/>
  <c r="AO50" i="19"/>
  <c r="AG113" i="19"/>
  <c r="AF114" i="19" s="1"/>
  <c r="Z114" i="19"/>
  <c r="Y114" i="19"/>
  <c r="AC114" i="19" s="1"/>
  <c r="X115" i="19" s="1"/>
  <c r="Y112" i="17"/>
  <c r="AG112" i="17" s="1"/>
  <c r="AF113" i="17" s="1"/>
  <c r="AR195" i="19"/>
  <c r="T139" i="15"/>
  <c r="S140" i="15" s="1"/>
  <c r="AE115" i="19"/>
  <c r="AD116" i="19" s="1"/>
  <c r="AT115" i="19"/>
  <c r="T116" i="19"/>
  <c r="S116" i="19"/>
  <c r="W116" i="19" s="1"/>
  <c r="R117" i="19" s="1"/>
  <c r="U196" i="17"/>
  <c r="AB196" i="17"/>
  <c r="I196" i="17"/>
  <c r="V196" i="19"/>
  <c r="AA196" i="17"/>
  <c r="U196" i="19"/>
  <c r="O196" i="17"/>
  <c r="O196" i="19"/>
  <c r="I196" i="19"/>
  <c r="V196" i="17"/>
  <c r="AA196" i="19"/>
  <c r="AB196" i="19"/>
  <c r="AT123" i="17"/>
  <c r="AE123" i="17"/>
  <c r="AD124" i="17" s="1"/>
  <c r="S124" i="17"/>
  <c r="W124" i="17" s="1"/>
  <c r="R125" i="17" s="1"/>
  <c r="T124" i="17"/>
  <c r="M125" i="17"/>
  <c r="Q125" i="17" s="1"/>
  <c r="L126" i="17" s="1"/>
  <c r="P126" i="17"/>
  <c r="N125" i="17"/>
  <c r="M125" i="19"/>
  <c r="Q125" i="19" s="1"/>
  <c r="L126" i="19" s="1"/>
  <c r="N125" i="19"/>
  <c r="P126" i="19"/>
  <c r="AZ196" i="19"/>
  <c r="E197" i="19"/>
  <c r="C196" i="19"/>
  <c r="L193" i="18"/>
  <c r="I194" i="18" s="1"/>
  <c r="J194" i="18" s="1"/>
  <c r="E197" i="16"/>
  <c r="C196" i="16"/>
  <c r="BD196" i="16"/>
  <c r="AZ196" i="16"/>
  <c r="AR195" i="16"/>
  <c r="E196" i="17"/>
  <c r="AZ195" i="17"/>
  <c r="C195" i="17"/>
  <c r="AS194" i="18"/>
  <c r="AU194" i="18"/>
  <c r="K194" i="18"/>
  <c r="AQ194" i="18"/>
  <c r="O194" i="18"/>
  <c r="C195" i="18"/>
  <c r="AZ195" i="18"/>
  <c r="E196" i="18"/>
  <c r="AW92" i="18"/>
  <c r="AX92" i="18" s="1"/>
  <c r="AY92" i="18" s="1"/>
  <c r="G93" i="18"/>
  <c r="AR93" i="18" s="1"/>
  <c r="AZ197" i="15"/>
  <c r="C197" i="15"/>
  <c r="E198" i="15"/>
  <c r="T151" i="18"/>
  <c r="S152" i="18" s="1"/>
  <c r="L139" i="15"/>
  <c r="I140" i="15" s="1"/>
  <c r="J140" i="15" s="1"/>
  <c r="AH198" i="3"/>
  <c r="BD197" i="3"/>
  <c r="A199" i="3"/>
  <c r="BI199" i="3" s="1"/>
  <c r="BJ199" i="3" s="1"/>
  <c r="AV199" i="3"/>
  <c r="AX199" i="3" s="1"/>
  <c r="BB199" i="3" s="1"/>
  <c r="G200" i="3"/>
  <c r="V199" i="3"/>
  <c r="X199" i="3" s="1"/>
  <c r="AE198" i="3"/>
  <c r="BC197" i="3"/>
  <c r="AG198" i="3"/>
  <c r="AW201" i="3"/>
  <c r="H198" i="3"/>
  <c r="AF197" i="3"/>
  <c r="AK197" i="3" s="1"/>
  <c r="AQ201" i="3"/>
  <c r="Y198" i="3"/>
  <c r="AC197" i="3"/>
  <c r="AT159" i="25" l="1"/>
  <c r="AE159" i="25"/>
  <c r="AD160" i="25" s="1"/>
  <c r="T160" i="25"/>
  <c r="S160" i="25"/>
  <c r="W160" i="25" s="1"/>
  <c r="R161" i="25" s="1"/>
  <c r="AS76" i="28"/>
  <c r="AI76" i="28"/>
  <c r="AJ76" i="28" s="1"/>
  <c r="AK76" i="28" s="1"/>
  <c r="AL76" i="28"/>
  <c r="AM76" i="28" s="1"/>
  <c r="AN76" i="28" s="1"/>
  <c r="AO76" i="28"/>
  <c r="F77" i="28"/>
  <c r="I77" i="28" s="1"/>
  <c r="Q77" i="28" s="1"/>
  <c r="L78" i="28" s="1"/>
  <c r="M78" i="28" s="1"/>
  <c r="AU76" i="28"/>
  <c r="Q77" i="29"/>
  <c r="L78" i="29" s="1"/>
  <c r="Z107" i="29"/>
  <c r="AA107" i="29"/>
  <c r="AE107" i="29" s="1"/>
  <c r="AD108" i="29" s="1"/>
  <c r="AR201" i="3"/>
  <c r="P116" i="24"/>
  <c r="M117" i="24" s="1"/>
  <c r="N117" i="24" s="1"/>
  <c r="AG110" i="25"/>
  <c r="AF111" i="25" s="1"/>
  <c r="L103" i="24"/>
  <c r="I104" i="24" s="1"/>
  <c r="AC110" i="25"/>
  <c r="X111" i="25" s="1"/>
  <c r="T103" i="24"/>
  <c r="S104" i="24" s="1"/>
  <c r="AL199" i="3"/>
  <c r="BG197" i="3"/>
  <c r="AN199" i="20"/>
  <c r="P199" i="20"/>
  <c r="O200" i="20"/>
  <c r="AQ199" i="20"/>
  <c r="AR199" i="20" s="1"/>
  <c r="AJ196" i="3"/>
  <c r="BF196" i="3" s="1"/>
  <c r="K196" i="15"/>
  <c r="O196" i="15"/>
  <c r="Y107" i="29"/>
  <c r="AW76" i="29"/>
  <c r="AX76" i="29" s="1"/>
  <c r="AY76" i="29" s="1"/>
  <c r="T181" i="29"/>
  <c r="S181" i="29"/>
  <c r="W181" i="29" s="1"/>
  <c r="R182" i="29" s="1"/>
  <c r="U182" i="29" s="1"/>
  <c r="H77" i="29"/>
  <c r="AP77" i="29" s="1"/>
  <c r="J78" i="29"/>
  <c r="G77" i="29"/>
  <c r="AL77" i="29" s="1"/>
  <c r="AZ195" i="29"/>
  <c r="C195" i="29"/>
  <c r="E196" i="29"/>
  <c r="N149" i="26"/>
  <c r="P149" i="26" s="1"/>
  <c r="M150" i="26" s="1"/>
  <c r="J190" i="26"/>
  <c r="L190" i="26" s="1"/>
  <c r="I191" i="26" s="1"/>
  <c r="T148" i="26"/>
  <c r="S149" i="26" s="1"/>
  <c r="AT148" i="26"/>
  <c r="R148" i="26"/>
  <c r="Q149" i="26" s="1"/>
  <c r="F76" i="26"/>
  <c r="AL75" i="26"/>
  <c r="AI75" i="26"/>
  <c r="AJ75" i="26" s="1"/>
  <c r="K195" i="26"/>
  <c r="O195" i="26"/>
  <c r="AQ195" i="26"/>
  <c r="AS195" i="26"/>
  <c r="AU195" i="26"/>
  <c r="C196" i="26"/>
  <c r="AZ196" i="26"/>
  <c r="E197" i="26"/>
  <c r="T165" i="28"/>
  <c r="S165" i="28"/>
  <c r="W165" i="28" s="1"/>
  <c r="R166" i="28" s="1"/>
  <c r="V166" i="28" s="1"/>
  <c r="Z112" i="28"/>
  <c r="Y112" i="28"/>
  <c r="AG112" i="28" s="1"/>
  <c r="AF113" i="28" s="1"/>
  <c r="AT164" i="28"/>
  <c r="AE164" i="28"/>
  <c r="AD165" i="28" s="1"/>
  <c r="AZ196" i="28"/>
  <c r="C196" i="28"/>
  <c r="E197" i="28"/>
  <c r="F96" i="25"/>
  <c r="AR195" i="25"/>
  <c r="U195" i="25"/>
  <c r="V195" i="25"/>
  <c r="AA195" i="25"/>
  <c r="AB195" i="25"/>
  <c r="BA196" i="25"/>
  <c r="BB196" i="25"/>
  <c r="BC196" i="25"/>
  <c r="AJ92" i="25"/>
  <c r="AK92" i="25" s="1"/>
  <c r="AW92" i="25" s="1"/>
  <c r="AX92" i="25" s="1"/>
  <c r="AY92" i="25" s="1"/>
  <c r="P94" i="25"/>
  <c r="N93" i="25"/>
  <c r="AP93" i="25" s="1"/>
  <c r="AW70" i="24"/>
  <c r="AX70" i="24" s="1"/>
  <c r="AY70" i="24" s="1"/>
  <c r="C196" i="25"/>
  <c r="AZ196" i="25"/>
  <c r="BD196" i="25"/>
  <c r="E197" i="25"/>
  <c r="AQ195" i="24"/>
  <c r="AS195" i="24"/>
  <c r="AU195" i="24"/>
  <c r="C196" i="24"/>
  <c r="AZ196" i="24"/>
  <c r="E197" i="24"/>
  <c r="AT104" i="24"/>
  <c r="H71" i="24"/>
  <c r="F71" i="15"/>
  <c r="AI70" i="15"/>
  <c r="AJ70" i="15" s="1"/>
  <c r="AK70" i="15" s="1"/>
  <c r="AL70" i="15"/>
  <c r="AM70" i="15" s="1"/>
  <c r="AN70" i="15" s="1"/>
  <c r="AS197" i="15"/>
  <c r="AU197" i="15"/>
  <c r="AQ197" i="15"/>
  <c r="P158" i="15"/>
  <c r="M159" i="15" s="1"/>
  <c r="N159" i="15" s="1"/>
  <c r="M93" i="25"/>
  <c r="AL93" i="25" s="1"/>
  <c r="O194" i="25"/>
  <c r="I194" i="25"/>
  <c r="AQ58" i="17"/>
  <c r="AU58" i="17"/>
  <c r="F59" i="17"/>
  <c r="H59" i="17" s="1"/>
  <c r="K50" i="19"/>
  <c r="AU50" i="19" s="1"/>
  <c r="AI50" i="19"/>
  <c r="AJ50" i="19" s="1"/>
  <c r="AK50" i="19" s="1"/>
  <c r="AM199" i="3"/>
  <c r="Z115" i="19"/>
  <c r="Y115" i="19"/>
  <c r="AC115" i="19" s="1"/>
  <c r="X116" i="19" s="1"/>
  <c r="AG114" i="19"/>
  <c r="AF115" i="19" s="1"/>
  <c r="AC112" i="17"/>
  <c r="X113" i="17" s="1"/>
  <c r="Z113" i="17" s="1"/>
  <c r="T117" i="19"/>
  <c r="S117" i="19"/>
  <c r="W117" i="19" s="1"/>
  <c r="R118" i="19" s="1"/>
  <c r="AT116" i="19"/>
  <c r="AE116" i="19"/>
  <c r="AD117" i="19" s="1"/>
  <c r="M126" i="17"/>
  <c r="Q126" i="17" s="1"/>
  <c r="L127" i="17" s="1"/>
  <c r="P127" i="17"/>
  <c r="N126" i="17"/>
  <c r="AA197" i="17"/>
  <c r="I197" i="17"/>
  <c r="AB197" i="17"/>
  <c r="O197" i="17"/>
  <c r="U197" i="17"/>
  <c r="AA197" i="19"/>
  <c r="I197" i="19"/>
  <c r="V197" i="19"/>
  <c r="O197" i="19"/>
  <c r="AB197" i="19"/>
  <c r="U197" i="19"/>
  <c r="V197" i="17"/>
  <c r="AR196" i="19"/>
  <c r="N126" i="19"/>
  <c r="M126" i="19"/>
  <c r="Q126" i="19" s="1"/>
  <c r="L127" i="19" s="1"/>
  <c r="P127" i="19"/>
  <c r="T125" i="17"/>
  <c r="S125" i="17"/>
  <c r="W125" i="17" s="1"/>
  <c r="R126" i="17" s="1"/>
  <c r="AT124" i="17"/>
  <c r="AE124" i="17"/>
  <c r="AD125" i="17" s="1"/>
  <c r="AZ197" i="19"/>
  <c r="E198" i="19"/>
  <c r="C197" i="19"/>
  <c r="L194" i="18"/>
  <c r="I195" i="18" s="1"/>
  <c r="J195" i="18" s="1"/>
  <c r="AR196" i="16"/>
  <c r="BD197" i="16"/>
  <c r="E198" i="16"/>
  <c r="C197" i="16"/>
  <c r="AZ197" i="16"/>
  <c r="C196" i="18"/>
  <c r="E197" i="18"/>
  <c r="AZ196" i="18"/>
  <c r="AU195" i="18"/>
  <c r="O195" i="18"/>
  <c r="AQ195" i="18"/>
  <c r="AS195" i="18"/>
  <c r="K195" i="18"/>
  <c r="C196" i="17"/>
  <c r="AZ196" i="17"/>
  <c r="E197" i="17"/>
  <c r="H93" i="18"/>
  <c r="F94" i="18" s="1"/>
  <c r="G94" i="18" s="1"/>
  <c r="AR94" i="18" s="1"/>
  <c r="AZ198" i="15"/>
  <c r="E199" i="15"/>
  <c r="C198" i="15"/>
  <c r="R151" i="18"/>
  <c r="Q152" i="18" s="1"/>
  <c r="AT152" i="18" s="1"/>
  <c r="P151" i="18"/>
  <c r="M152" i="18" s="1"/>
  <c r="N152" i="18" s="1"/>
  <c r="AQ202" i="3"/>
  <c r="AG199" i="3"/>
  <c r="AE199" i="3"/>
  <c r="BC198" i="3"/>
  <c r="A200" i="3"/>
  <c r="BI200" i="3" s="1"/>
  <c r="BJ200" i="3" s="1"/>
  <c r="AW202" i="3"/>
  <c r="Y199" i="3"/>
  <c r="AC198" i="3"/>
  <c r="H199" i="3"/>
  <c r="AF198" i="3"/>
  <c r="AK198" i="3" s="1"/>
  <c r="AN202" i="3"/>
  <c r="AN203" i="3" s="1"/>
  <c r="G201" i="3"/>
  <c r="AV200" i="3"/>
  <c r="AX200" i="3" s="1"/>
  <c r="BB200" i="3" s="1"/>
  <c r="V200" i="3"/>
  <c r="X200" i="3" s="1"/>
  <c r="P202" i="3"/>
  <c r="P203" i="3" s="1"/>
  <c r="AD197" i="3"/>
  <c r="AI197" i="3" s="1"/>
  <c r="BE197" i="3" s="1"/>
  <c r="BD198" i="3"/>
  <c r="AH199" i="3"/>
  <c r="AT160" i="25" l="1"/>
  <c r="AE160" i="25"/>
  <c r="AD161" i="25" s="1"/>
  <c r="T161" i="25"/>
  <c r="S161" i="25"/>
  <c r="W161" i="25" s="1"/>
  <c r="R162" i="25" s="1"/>
  <c r="AW76" i="28"/>
  <c r="AX76" i="28" s="1"/>
  <c r="AY76" i="28" s="1"/>
  <c r="H77" i="28"/>
  <c r="AP77" i="28" s="1"/>
  <c r="J78" i="28"/>
  <c r="G77" i="28"/>
  <c r="K77" i="28" s="1"/>
  <c r="AU77" i="28" s="1"/>
  <c r="O78" i="28"/>
  <c r="P79" i="28"/>
  <c r="N78" i="28"/>
  <c r="AG107" i="29"/>
  <c r="AF108" i="29" s="1"/>
  <c r="O78" i="29"/>
  <c r="M78" i="29"/>
  <c r="N78" i="29"/>
  <c r="P79" i="29"/>
  <c r="AT108" i="29"/>
  <c r="AR202" i="3"/>
  <c r="O117" i="24"/>
  <c r="P117" i="24" s="1"/>
  <c r="M118" i="24" s="1"/>
  <c r="AN200" i="20"/>
  <c r="Z111" i="25"/>
  <c r="Y111" i="25"/>
  <c r="AG111" i="25" s="1"/>
  <c r="AF112" i="25" s="1"/>
  <c r="K104" i="24"/>
  <c r="T104" i="24" s="1"/>
  <c r="S105" i="24" s="1"/>
  <c r="J104" i="24"/>
  <c r="P200" i="20"/>
  <c r="O201" i="20"/>
  <c r="AQ200" i="20"/>
  <c r="AR200" i="20" s="1"/>
  <c r="BG198" i="3"/>
  <c r="AJ197" i="3"/>
  <c r="BF197" i="3" s="1"/>
  <c r="O197" i="15"/>
  <c r="K197" i="15"/>
  <c r="AC107" i="29"/>
  <c r="X108" i="29" s="1"/>
  <c r="T182" i="29"/>
  <c r="S182" i="29"/>
  <c r="W182" i="29" s="1"/>
  <c r="R183" i="29" s="1"/>
  <c r="U183" i="29" s="1"/>
  <c r="AO77" i="29"/>
  <c r="AM77" i="29"/>
  <c r="AN77" i="29" s="1"/>
  <c r="K77" i="29"/>
  <c r="AI77" i="29"/>
  <c r="C196" i="29"/>
  <c r="AZ196" i="29"/>
  <c r="E197" i="29"/>
  <c r="J191" i="26"/>
  <c r="L191" i="26" s="1"/>
  <c r="I192" i="26" s="1"/>
  <c r="N150" i="26"/>
  <c r="P150" i="26" s="1"/>
  <c r="M151" i="26" s="1"/>
  <c r="T149" i="26"/>
  <c r="S150" i="26" s="1"/>
  <c r="AT149" i="26"/>
  <c r="R149" i="26"/>
  <c r="Q150" i="26" s="1"/>
  <c r="O196" i="26"/>
  <c r="AQ196" i="26"/>
  <c r="AS196" i="26"/>
  <c r="AU196" i="26"/>
  <c r="K196" i="26"/>
  <c r="G76" i="26"/>
  <c r="AR76" i="26" s="1"/>
  <c r="AM75" i="26"/>
  <c r="AN75" i="26" s="1"/>
  <c r="AK75" i="26"/>
  <c r="AZ197" i="26"/>
  <c r="C197" i="26"/>
  <c r="E198" i="26"/>
  <c r="T166" i="28"/>
  <c r="S166" i="28"/>
  <c r="W166" i="28" s="1"/>
  <c r="R167" i="28" s="1"/>
  <c r="V167" i="28" s="1"/>
  <c r="AC112" i="28"/>
  <c r="X113" i="28" s="1"/>
  <c r="AB113" i="28" s="1"/>
  <c r="AT165" i="28"/>
  <c r="AE165" i="28"/>
  <c r="AD166" i="28" s="1"/>
  <c r="AT166" i="28" s="1"/>
  <c r="C197" i="28"/>
  <c r="AZ197" i="28"/>
  <c r="E198" i="28"/>
  <c r="G96" i="25"/>
  <c r="K96" i="25" s="1"/>
  <c r="J97" i="25"/>
  <c r="H96" i="25"/>
  <c r="AO93" i="25"/>
  <c r="AR196" i="25"/>
  <c r="U196" i="25"/>
  <c r="AB196" i="25"/>
  <c r="V196" i="25"/>
  <c r="AA196" i="25"/>
  <c r="BA197" i="25"/>
  <c r="BB197" i="25"/>
  <c r="BC197" i="25"/>
  <c r="AM93" i="25"/>
  <c r="AN93" i="25" s="1"/>
  <c r="AZ197" i="25"/>
  <c r="BD197" i="25"/>
  <c r="C197" i="25"/>
  <c r="E198" i="25"/>
  <c r="AZ197" i="24"/>
  <c r="C197" i="24"/>
  <c r="E198" i="24"/>
  <c r="F72" i="24"/>
  <c r="AI71" i="24"/>
  <c r="AJ71" i="24" s="1"/>
  <c r="AL71" i="24"/>
  <c r="AM71" i="24" s="1"/>
  <c r="AQ196" i="24"/>
  <c r="AS196" i="24"/>
  <c r="AU196" i="24"/>
  <c r="AW70" i="15"/>
  <c r="AX70" i="15" s="1"/>
  <c r="AY70" i="15" s="1"/>
  <c r="G71" i="15"/>
  <c r="AR71" i="15" s="1"/>
  <c r="AQ198" i="15"/>
  <c r="AS198" i="15"/>
  <c r="AU198" i="15"/>
  <c r="P159" i="15"/>
  <c r="M160" i="15" s="1"/>
  <c r="N160" i="15" s="1"/>
  <c r="Q93" i="25"/>
  <c r="O195" i="25"/>
  <c r="I195" i="25"/>
  <c r="J60" i="17"/>
  <c r="AW58" i="17"/>
  <c r="AX58" i="17" s="1"/>
  <c r="AY58" i="17" s="1"/>
  <c r="G59" i="17"/>
  <c r="AI59" i="17" s="1"/>
  <c r="AJ59" i="17" s="1"/>
  <c r="AK59" i="17" s="1"/>
  <c r="AS50" i="19"/>
  <c r="F51" i="19"/>
  <c r="H51" i="19" s="1"/>
  <c r="AQ50" i="19"/>
  <c r="AP59" i="17"/>
  <c r="AO59" i="17"/>
  <c r="AG115" i="19"/>
  <c r="AF116" i="19" s="1"/>
  <c r="AR197" i="19"/>
  <c r="Z116" i="19"/>
  <c r="Y116" i="19"/>
  <c r="AC116" i="19" s="1"/>
  <c r="X117" i="19" s="1"/>
  <c r="Y113" i="17"/>
  <c r="AG113" i="17" s="1"/>
  <c r="AF114" i="17" s="1"/>
  <c r="T118" i="19"/>
  <c r="S118" i="19"/>
  <c r="W118" i="19" s="1"/>
  <c r="R119" i="19" s="1"/>
  <c r="AE117" i="19"/>
  <c r="AD118" i="19" s="1"/>
  <c r="AT117" i="19"/>
  <c r="AI93" i="18"/>
  <c r="AJ93" i="18" s="1"/>
  <c r="AK93" i="18" s="1"/>
  <c r="U198" i="17"/>
  <c r="AA198" i="17"/>
  <c r="O198" i="17"/>
  <c r="AB198" i="17"/>
  <c r="AB198" i="19"/>
  <c r="O198" i="19"/>
  <c r="V198" i="17"/>
  <c r="AA198" i="19"/>
  <c r="I198" i="19"/>
  <c r="U198" i="19"/>
  <c r="I198" i="17"/>
  <c r="V198" i="19"/>
  <c r="AD198" i="3"/>
  <c r="O198" i="15" s="1"/>
  <c r="AT125" i="17"/>
  <c r="AE125" i="17"/>
  <c r="AD126" i="17" s="1"/>
  <c r="M127" i="17"/>
  <c r="Q127" i="17" s="1"/>
  <c r="L128" i="17" s="1"/>
  <c r="N127" i="17"/>
  <c r="P128" i="17"/>
  <c r="T126" i="17"/>
  <c r="S126" i="17"/>
  <c r="W126" i="17" s="1"/>
  <c r="R127" i="17" s="1"/>
  <c r="M127" i="19"/>
  <c r="Q127" i="19" s="1"/>
  <c r="L128" i="19" s="1"/>
  <c r="P128" i="19"/>
  <c r="N127" i="19"/>
  <c r="C198" i="19"/>
  <c r="AZ198" i="19"/>
  <c r="E199" i="19"/>
  <c r="AR197" i="16"/>
  <c r="E199" i="16"/>
  <c r="AZ198" i="16"/>
  <c r="C198" i="16"/>
  <c r="BD198" i="16"/>
  <c r="L195" i="18"/>
  <c r="I196" i="18" s="1"/>
  <c r="J196" i="18" s="1"/>
  <c r="AQ196" i="18"/>
  <c r="AS196" i="18"/>
  <c r="AU196" i="18"/>
  <c r="O196" i="18"/>
  <c r="K196" i="18"/>
  <c r="E198" i="17"/>
  <c r="AZ197" i="17"/>
  <c r="C197" i="17"/>
  <c r="E198" i="18"/>
  <c r="AZ197" i="18"/>
  <c r="C197" i="18"/>
  <c r="AL93" i="18"/>
  <c r="AM93" i="18" s="1"/>
  <c r="AN93" i="18" s="1"/>
  <c r="H94" i="18"/>
  <c r="F95" i="18" s="1"/>
  <c r="G95" i="18" s="1"/>
  <c r="AR95" i="18" s="1"/>
  <c r="C199" i="15"/>
  <c r="E200" i="15"/>
  <c r="AZ199" i="15"/>
  <c r="T152" i="18"/>
  <c r="S153" i="18" s="1"/>
  <c r="T140" i="15"/>
  <c r="S141" i="15" s="1"/>
  <c r="R140" i="15"/>
  <c r="Q141" i="15" s="1"/>
  <c r="AT141" i="15" s="1"/>
  <c r="L140" i="15"/>
  <c r="I141" i="15" s="1"/>
  <c r="J141" i="15" s="1"/>
  <c r="Y200" i="3"/>
  <c r="AC199" i="3"/>
  <c r="A201" i="3"/>
  <c r="BI201" i="3" s="1"/>
  <c r="BJ201" i="3" s="1"/>
  <c r="AQ203" i="3"/>
  <c r="BD199" i="3"/>
  <c r="AH200" i="3"/>
  <c r="AL200" i="3"/>
  <c r="AG200" i="3"/>
  <c r="H200" i="3"/>
  <c r="AF199" i="3"/>
  <c r="AD199" i="3" s="1"/>
  <c r="AE200" i="3"/>
  <c r="BC199" i="3"/>
  <c r="AM200" i="3"/>
  <c r="AV201" i="3"/>
  <c r="AX201" i="3" s="1"/>
  <c r="BB201" i="3" s="1"/>
  <c r="G202" i="3"/>
  <c r="V201" i="3"/>
  <c r="X201" i="3" s="1"/>
  <c r="AW203" i="3"/>
  <c r="AT161" i="25" l="1"/>
  <c r="AE161" i="25"/>
  <c r="AD162" i="25" s="1"/>
  <c r="T162" i="25"/>
  <c r="S162" i="25"/>
  <c r="W162" i="25" s="1"/>
  <c r="R163" i="25" s="1"/>
  <c r="F78" i="28"/>
  <c r="I78" i="28" s="1"/>
  <c r="Q78" i="28" s="1"/>
  <c r="L79" i="28" s="1"/>
  <c r="O79" i="28" s="1"/>
  <c r="AI77" i="28"/>
  <c r="AJ77" i="28" s="1"/>
  <c r="AK77" i="28" s="1"/>
  <c r="AL77" i="28"/>
  <c r="AM77" i="28" s="1"/>
  <c r="AN77" i="28" s="1"/>
  <c r="AQ77" i="28"/>
  <c r="AS77" i="28"/>
  <c r="AO77" i="28"/>
  <c r="Z108" i="29"/>
  <c r="AA108" i="29"/>
  <c r="AE108" i="29" s="1"/>
  <c r="AD109" i="29" s="1"/>
  <c r="AR203" i="3"/>
  <c r="AM201" i="3"/>
  <c r="L104" i="24"/>
  <c r="I105" i="24" s="1"/>
  <c r="R104" i="24"/>
  <c r="Q105" i="24" s="1"/>
  <c r="AT105" i="24" s="1"/>
  <c r="AC111" i="25"/>
  <c r="X112" i="25" s="1"/>
  <c r="O118" i="24"/>
  <c r="N118" i="24"/>
  <c r="P201" i="20"/>
  <c r="AR198" i="19"/>
  <c r="O202" i="20"/>
  <c r="AQ201" i="20"/>
  <c r="AR201" i="20" s="1"/>
  <c r="AN201" i="20"/>
  <c r="AK199" i="3"/>
  <c r="BG199" i="3" s="1"/>
  <c r="AJ198" i="3"/>
  <c r="BF198" i="3" s="1"/>
  <c r="K198" i="15"/>
  <c r="AJ199" i="3"/>
  <c r="BF199" i="3" s="1"/>
  <c r="Y108" i="29"/>
  <c r="T183" i="29"/>
  <c r="S183" i="29"/>
  <c r="W183" i="29" s="1"/>
  <c r="R184" i="29" s="1"/>
  <c r="U184" i="29" s="1"/>
  <c r="AZ197" i="29"/>
  <c r="C197" i="29"/>
  <c r="E198" i="29"/>
  <c r="F78" i="29"/>
  <c r="I78" i="29" s="1"/>
  <c r="AR78" i="29" s="1"/>
  <c r="AS77" i="29"/>
  <c r="AQ77" i="29"/>
  <c r="AU77" i="29"/>
  <c r="AJ77" i="29"/>
  <c r="AK77" i="29" s="1"/>
  <c r="N151" i="26"/>
  <c r="P151" i="26" s="1"/>
  <c r="M152" i="26" s="1"/>
  <c r="T150" i="26"/>
  <c r="S151" i="26" s="1"/>
  <c r="AT150" i="26"/>
  <c r="R150" i="26"/>
  <c r="Q151" i="26" s="1"/>
  <c r="H76" i="26"/>
  <c r="AW75" i="26"/>
  <c r="AX75" i="26" s="1"/>
  <c r="AY75" i="26" s="1"/>
  <c r="J192" i="26"/>
  <c r="L192" i="26" s="1"/>
  <c r="I193" i="26" s="1"/>
  <c r="AS197" i="26"/>
  <c r="AU197" i="26"/>
  <c r="AQ197" i="26"/>
  <c r="K197" i="26"/>
  <c r="O197" i="26"/>
  <c r="C198" i="26"/>
  <c r="AZ198" i="26"/>
  <c r="E199" i="26"/>
  <c r="T167" i="28"/>
  <c r="S167" i="28"/>
  <c r="W167" i="28" s="1"/>
  <c r="AE166" i="28"/>
  <c r="AD167" i="28" s="1"/>
  <c r="Z113" i="28"/>
  <c r="Y113" i="28"/>
  <c r="AG113" i="28" s="1"/>
  <c r="AF114" i="28" s="1"/>
  <c r="AZ198" i="28"/>
  <c r="C198" i="28"/>
  <c r="E199" i="28"/>
  <c r="F97" i="25"/>
  <c r="AR197" i="25"/>
  <c r="U197" i="25"/>
  <c r="AA197" i="25"/>
  <c r="V197" i="25"/>
  <c r="AB197" i="25"/>
  <c r="BA198" i="25"/>
  <c r="BB198" i="25"/>
  <c r="BC198" i="25"/>
  <c r="AQ93" i="25"/>
  <c r="AS93" i="25"/>
  <c r="AU93" i="25"/>
  <c r="AI93" i="25"/>
  <c r="C198" i="25"/>
  <c r="AZ198" i="25"/>
  <c r="BD198" i="25"/>
  <c r="E199" i="25"/>
  <c r="L94" i="25"/>
  <c r="AQ197" i="24"/>
  <c r="AS197" i="24"/>
  <c r="AU197" i="24"/>
  <c r="C198" i="24"/>
  <c r="AZ198" i="24"/>
  <c r="E199" i="24"/>
  <c r="AK71" i="24"/>
  <c r="AN71" i="24"/>
  <c r="G72" i="24"/>
  <c r="AR72" i="24" s="1"/>
  <c r="H71" i="15"/>
  <c r="K199" i="15"/>
  <c r="O199" i="15"/>
  <c r="AQ199" i="15"/>
  <c r="AS199" i="15"/>
  <c r="AU199" i="15"/>
  <c r="P160" i="15"/>
  <c r="M161" i="15" s="1"/>
  <c r="N161" i="15" s="1"/>
  <c r="O196" i="25"/>
  <c r="I196" i="25"/>
  <c r="AI198" i="3"/>
  <c r="BE198" i="3" s="1"/>
  <c r="AW50" i="19"/>
  <c r="AX50" i="19" s="1"/>
  <c r="AY50" i="19" s="1"/>
  <c r="K59" i="17"/>
  <c r="F60" i="17" s="1"/>
  <c r="AL59" i="17"/>
  <c r="AM59" i="17" s="1"/>
  <c r="AN59" i="17" s="1"/>
  <c r="J52" i="19"/>
  <c r="G51" i="19"/>
  <c r="K51" i="19" s="1"/>
  <c r="F52" i="19" s="1"/>
  <c r="H52" i="19" s="1"/>
  <c r="AC113" i="17"/>
  <c r="X114" i="17" s="1"/>
  <c r="Z114" i="17" s="1"/>
  <c r="AP51" i="19"/>
  <c r="AO51" i="19"/>
  <c r="Y117" i="19"/>
  <c r="AC117" i="19" s="1"/>
  <c r="X118" i="19" s="1"/>
  <c r="Z117" i="19"/>
  <c r="AG116" i="19"/>
  <c r="AF117" i="19" s="1"/>
  <c r="S119" i="19"/>
  <c r="W119" i="19" s="1"/>
  <c r="R120" i="19" s="1"/>
  <c r="T119" i="19"/>
  <c r="AE118" i="19"/>
  <c r="AD119" i="19" s="1"/>
  <c r="AT118" i="19"/>
  <c r="T127" i="17"/>
  <c r="S127" i="17"/>
  <c r="W127" i="17" s="1"/>
  <c r="R128" i="17" s="1"/>
  <c r="N128" i="17"/>
  <c r="M128" i="17"/>
  <c r="Q128" i="17" s="1"/>
  <c r="L129" i="17" s="1"/>
  <c r="P129" i="17"/>
  <c r="AA199" i="17"/>
  <c r="I199" i="17"/>
  <c r="V199" i="17"/>
  <c r="U199" i="17"/>
  <c r="U199" i="19"/>
  <c r="AB199" i="19"/>
  <c r="O199" i="19"/>
  <c r="O199" i="17"/>
  <c r="V199" i="19"/>
  <c r="I199" i="19"/>
  <c r="AA199" i="19"/>
  <c r="AB199" i="17"/>
  <c r="N128" i="19"/>
  <c r="P129" i="19"/>
  <c r="M128" i="19"/>
  <c r="Q128" i="19" s="1"/>
  <c r="L129" i="19" s="1"/>
  <c r="R141" i="15"/>
  <c r="Q142" i="15" s="1"/>
  <c r="AT142" i="15" s="1"/>
  <c r="AT126" i="17"/>
  <c r="AE126" i="17"/>
  <c r="AD127" i="17" s="1"/>
  <c r="C199" i="19"/>
  <c r="AZ199" i="19"/>
  <c r="E200" i="19"/>
  <c r="L196" i="18"/>
  <c r="I197" i="18" s="1"/>
  <c r="J197" i="18" s="1"/>
  <c r="AR198" i="16"/>
  <c r="AZ199" i="16"/>
  <c r="BD199" i="16"/>
  <c r="C199" i="16"/>
  <c r="E200" i="16"/>
  <c r="K197" i="18"/>
  <c r="AU197" i="18"/>
  <c r="O197" i="18"/>
  <c r="AS197" i="18"/>
  <c r="AQ197" i="18"/>
  <c r="AZ198" i="18"/>
  <c r="E199" i="18"/>
  <c r="C198" i="18"/>
  <c r="AZ198" i="17"/>
  <c r="E199" i="17"/>
  <c r="C198" i="17"/>
  <c r="AL94" i="18"/>
  <c r="AM94" i="18" s="1"/>
  <c r="AN94" i="18" s="1"/>
  <c r="AW93" i="18"/>
  <c r="AX93" i="18" s="1"/>
  <c r="AY93" i="18" s="1"/>
  <c r="AI94" i="18"/>
  <c r="AJ94" i="18" s="1"/>
  <c r="AK94" i="18" s="1"/>
  <c r="H95" i="18"/>
  <c r="F96" i="18" s="1"/>
  <c r="G96" i="18" s="1"/>
  <c r="AR96" i="18" s="1"/>
  <c r="E201" i="15"/>
  <c r="C200" i="15"/>
  <c r="AZ200" i="15"/>
  <c r="R152" i="18"/>
  <c r="Q153" i="18" s="1"/>
  <c r="AT153" i="18" s="1"/>
  <c r="P152" i="18"/>
  <c r="M153" i="18" s="1"/>
  <c r="N153" i="18" s="1"/>
  <c r="AG201" i="3"/>
  <c r="AQ204" i="3"/>
  <c r="P204" i="3"/>
  <c r="AW204" i="3"/>
  <c r="AL201" i="3"/>
  <c r="AI199" i="3"/>
  <c r="BE199" i="3" s="1"/>
  <c r="AV202" i="3"/>
  <c r="AX202" i="3" s="1"/>
  <c r="BB202" i="3" s="1"/>
  <c r="G203" i="3"/>
  <c r="V202" i="3"/>
  <c r="X202" i="3" s="1"/>
  <c r="H201" i="3"/>
  <c r="AF200" i="3"/>
  <c r="AD200" i="3" s="1"/>
  <c r="BD200" i="3"/>
  <c r="AH201" i="3"/>
  <c r="A202" i="3"/>
  <c r="BI202" i="3" s="1"/>
  <c r="BJ202" i="3" s="1"/>
  <c r="Y201" i="3"/>
  <c r="AC200" i="3"/>
  <c r="AE201" i="3"/>
  <c r="BC200" i="3"/>
  <c r="AN204" i="3"/>
  <c r="AT162" i="25" l="1"/>
  <c r="AE162" i="25"/>
  <c r="AD163" i="25" s="1"/>
  <c r="S163" i="25"/>
  <c r="W163" i="25" s="1"/>
  <c r="R164" i="25" s="1"/>
  <c r="T163" i="25"/>
  <c r="AW77" i="28"/>
  <c r="AX77" i="28" s="1"/>
  <c r="AY77" i="28" s="1"/>
  <c r="H78" i="28"/>
  <c r="AP78" i="28" s="1"/>
  <c r="J79" i="28"/>
  <c r="G78" i="28"/>
  <c r="K78" i="28" s="1"/>
  <c r="AU78" i="28" s="1"/>
  <c r="N79" i="28"/>
  <c r="P80" i="28"/>
  <c r="M79" i="28"/>
  <c r="AT109" i="29"/>
  <c r="Q78" i="29"/>
  <c r="L79" i="29" s="1"/>
  <c r="AG108" i="29"/>
  <c r="AF109" i="29" s="1"/>
  <c r="AR204" i="3"/>
  <c r="P118" i="24"/>
  <c r="M119" i="24" s="1"/>
  <c r="Z112" i="25"/>
  <c r="Y112" i="25"/>
  <c r="K105" i="24"/>
  <c r="T105" i="24" s="1"/>
  <c r="S106" i="24" s="1"/>
  <c r="J105" i="24"/>
  <c r="P202" i="20"/>
  <c r="AN202" i="20"/>
  <c r="O203" i="20"/>
  <c r="AQ202" i="20"/>
  <c r="AR202" i="20" s="1"/>
  <c r="AK200" i="3"/>
  <c r="BG200" i="3" s="1"/>
  <c r="AJ200" i="3"/>
  <c r="BF200" i="3" s="1"/>
  <c r="AC108" i="29"/>
  <c r="X109" i="29" s="1"/>
  <c r="AA109" i="29" s="1"/>
  <c r="AE109" i="29" s="1"/>
  <c r="AD110" i="29" s="1"/>
  <c r="AW77" i="29"/>
  <c r="AX77" i="29" s="1"/>
  <c r="AY77" i="29" s="1"/>
  <c r="T184" i="29"/>
  <c r="S184" i="29"/>
  <c r="W184" i="29" s="1"/>
  <c r="R185" i="29" s="1"/>
  <c r="U185" i="29" s="1"/>
  <c r="C198" i="29"/>
  <c r="AZ198" i="29"/>
  <c r="E199" i="29"/>
  <c r="H78" i="29"/>
  <c r="AP78" i="29" s="1"/>
  <c r="J79" i="29"/>
  <c r="G78" i="29"/>
  <c r="AI78" i="29" s="1"/>
  <c r="T151" i="26"/>
  <c r="S152" i="26" s="1"/>
  <c r="J193" i="26"/>
  <c r="L193" i="26" s="1"/>
  <c r="I194" i="26" s="1"/>
  <c r="AT151" i="26"/>
  <c r="R151" i="26"/>
  <c r="Q152" i="26" s="1"/>
  <c r="F77" i="26"/>
  <c r="AL76" i="26"/>
  <c r="AM76" i="26" s="1"/>
  <c r="AN76" i="26" s="1"/>
  <c r="AI76" i="26"/>
  <c r="AJ76" i="26" s="1"/>
  <c r="AK76" i="26" s="1"/>
  <c r="O198" i="26"/>
  <c r="K198" i="26"/>
  <c r="AS198" i="26"/>
  <c r="AU198" i="26"/>
  <c r="AQ198" i="26"/>
  <c r="N152" i="26"/>
  <c r="P152" i="26" s="1"/>
  <c r="M153" i="26" s="1"/>
  <c r="C199" i="26"/>
  <c r="AZ199" i="26"/>
  <c r="E200" i="26"/>
  <c r="AT167" i="28"/>
  <c r="AE167" i="28"/>
  <c r="AD168" i="28" s="1"/>
  <c r="AT168" i="28" s="1"/>
  <c r="AC113" i="28"/>
  <c r="X114" i="28" s="1"/>
  <c r="AB114" i="28" s="1"/>
  <c r="C199" i="28"/>
  <c r="AZ199" i="28"/>
  <c r="E200" i="28"/>
  <c r="R168" i="28"/>
  <c r="V168" i="28" s="1"/>
  <c r="AW71" i="24"/>
  <c r="AX71" i="24" s="1"/>
  <c r="AY71" i="24" s="1"/>
  <c r="AR198" i="25"/>
  <c r="U198" i="25"/>
  <c r="AB198" i="25"/>
  <c r="V198" i="25"/>
  <c r="AA198" i="25"/>
  <c r="G97" i="25"/>
  <c r="K97" i="25" s="1"/>
  <c r="H97" i="25"/>
  <c r="J98" i="25"/>
  <c r="BA199" i="25"/>
  <c r="BB199" i="25"/>
  <c r="BC199" i="25"/>
  <c r="AJ93" i="25"/>
  <c r="AK93" i="25" s="1"/>
  <c r="AW93" i="25" s="1"/>
  <c r="AX93" i="25" s="1"/>
  <c r="AY93" i="25" s="1"/>
  <c r="AZ199" i="25"/>
  <c r="BD199" i="25"/>
  <c r="C199" i="25"/>
  <c r="E200" i="25"/>
  <c r="N94" i="25"/>
  <c r="AP94" i="25" s="1"/>
  <c r="P95" i="25"/>
  <c r="C199" i="24"/>
  <c r="AZ199" i="24"/>
  <c r="E200" i="24"/>
  <c r="AU198" i="24"/>
  <c r="AQ198" i="24"/>
  <c r="AS198" i="24"/>
  <c r="H72" i="24"/>
  <c r="F72" i="15"/>
  <c r="AI71" i="15"/>
  <c r="AJ71" i="15" s="1"/>
  <c r="AK71" i="15" s="1"/>
  <c r="AL71" i="15"/>
  <c r="AM71" i="15" s="1"/>
  <c r="AN71" i="15" s="1"/>
  <c r="O200" i="15"/>
  <c r="AQ200" i="15"/>
  <c r="AS200" i="15"/>
  <c r="AU200" i="15"/>
  <c r="K200" i="15"/>
  <c r="P161" i="15"/>
  <c r="M162" i="15" s="1"/>
  <c r="N162" i="15" s="1"/>
  <c r="M94" i="25"/>
  <c r="Q94" i="25" s="1"/>
  <c r="L95" i="25" s="1"/>
  <c r="O197" i="25"/>
  <c r="I197" i="25"/>
  <c r="AQ59" i="17"/>
  <c r="AU59" i="17"/>
  <c r="AS59" i="17"/>
  <c r="AL51" i="19"/>
  <c r="AM51" i="19" s="1"/>
  <c r="AN51" i="19" s="1"/>
  <c r="AU51" i="19"/>
  <c r="AI51" i="19"/>
  <c r="AJ51" i="19" s="1"/>
  <c r="AK51" i="19" s="1"/>
  <c r="G52" i="19"/>
  <c r="AL52" i="19" s="1"/>
  <c r="AM52" i="19" s="1"/>
  <c r="AN52" i="19" s="1"/>
  <c r="AQ51" i="19"/>
  <c r="J53" i="19"/>
  <c r="AS51" i="19"/>
  <c r="AM202" i="3"/>
  <c r="AG117" i="19"/>
  <c r="AF118" i="19" s="1"/>
  <c r="Y114" i="17"/>
  <c r="AG114" i="17" s="1"/>
  <c r="AF115" i="17" s="1"/>
  <c r="H60" i="17"/>
  <c r="G60" i="17"/>
  <c r="AI60" i="17" s="1"/>
  <c r="AJ60" i="17" s="1"/>
  <c r="AK60" i="17" s="1"/>
  <c r="J61" i="17"/>
  <c r="AP52" i="19"/>
  <c r="AO52" i="19"/>
  <c r="Z118" i="19"/>
  <c r="Y118" i="19"/>
  <c r="AC118" i="19" s="1"/>
  <c r="X119" i="19" s="1"/>
  <c r="AR199" i="19"/>
  <c r="AT119" i="19"/>
  <c r="AE119" i="19"/>
  <c r="AD120" i="19" s="1"/>
  <c r="S120" i="19"/>
  <c r="W120" i="19" s="1"/>
  <c r="R121" i="19" s="1"/>
  <c r="T120" i="19"/>
  <c r="U200" i="17"/>
  <c r="V200" i="17"/>
  <c r="AA200" i="17"/>
  <c r="O200" i="17"/>
  <c r="V200" i="19"/>
  <c r="I200" i="17"/>
  <c r="U200" i="19"/>
  <c r="O200" i="19"/>
  <c r="I200" i="19"/>
  <c r="AA200" i="19"/>
  <c r="AB200" i="17"/>
  <c r="AB200" i="19"/>
  <c r="AT127" i="17"/>
  <c r="AE127" i="17"/>
  <c r="AD128" i="17" s="1"/>
  <c r="T128" i="17"/>
  <c r="S128" i="17"/>
  <c r="W128" i="17" s="1"/>
  <c r="R129" i="17" s="1"/>
  <c r="N129" i="19"/>
  <c r="M129" i="19"/>
  <c r="Q129" i="19" s="1"/>
  <c r="L130" i="19" s="1"/>
  <c r="P130" i="19"/>
  <c r="M129" i="17"/>
  <c r="Q129" i="17" s="1"/>
  <c r="L130" i="17" s="1"/>
  <c r="P130" i="17"/>
  <c r="N129" i="17"/>
  <c r="C200" i="19"/>
  <c r="E201" i="19"/>
  <c r="AZ200" i="19"/>
  <c r="L197" i="18"/>
  <c r="I198" i="18" s="1"/>
  <c r="J198" i="18" s="1"/>
  <c r="AR199" i="16"/>
  <c r="AZ200" i="16"/>
  <c r="BD200" i="16"/>
  <c r="C200" i="16"/>
  <c r="E201" i="16"/>
  <c r="E200" i="18"/>
  <c r="AZ199" i="18"/>
  <c r="C199" i="18"/>
  <c r="C199" i="17"/>
  <c r="AZ199" i="17"/>
  <c r="E200" i="17"/>
  <c r="O198" i="18"/>
  <c r="AQ198" i="18"/>
  <c r="AU198" i="18"/>
  <c r="K198" i="18"/>
  <c r="AS198" i="18"/>
  <c r="AW94" i="18"/>
  <c r="AX94" i="18" s="1"/>
  <c r="AY94" i="18" s="1"/>
  <c r="AI95" i="18"/>
  <c r="AJ95" i="18" s="1"/>
  <c r="AK95" i="18" s="1"/>
  <c r="AL95" i="18"/>
  <c r="AM95" i="18" s="1"/>
  <c r="AN95" i="18" s="1"/>
  <c r="C201" i="15"/>
  <c r="AZ201" i="15"/>
  <c r="E202" i="15"/>
  <c r="H96" i="18"/>
  <c r="T153" i="18"/>
  <c r="S154" i="18" s="1"/>
  <c r="L141" i="15"/>
  <c r="I142" i="15" s="1"/>
  <c r="J142" i="15" s="1"/>
  <c r="T141" i="15"/>
  <c r="S142" i="15" s="1"/>
  <c r="AI200" i="3"/>
  <c r="BE200" i="3" s="1"/>
  <c r="AH202" i="3"/>
  <c r="BD201" i="3"/>
  <c r="AQ205" i="3"/>
  <c r="AN205" i="3"/>
  <c r="AN206" i="3" s="1"/>
  <c r="Y202" i="3"/>
  <c r="AC201" i="3"/>
  <c r="P205" i="3"/>
  <c r="P206" i="3" s="1"/>
  <c r="G204" i="3"/>
  <c r="AV203" i="3"/>
  <c r="AX203" i="3" s="1"/>
  <c r="BB203" i="3" s="1"/>
  <c r="V203" i="3"/>
  <c r="X203" i="3" s="1"/>
  <c r="AL202" i="3"/>
  <c r="AG202" i="3"/>
  <c r="AE202" i="3"/>
  <c r="BC201" i="3"/>
  <c r="A203" i="3"/>
  <c r="BI203" i="3" s="1"/>
  <c r="BJ203" i="3" s="1"/>
  <c r="H202" i="3"/>
  <c r="AF201" i="3"/>
  <c r="AD201" i="3" s="1"/>
  <c r="AW205" i="3"/>
  <c r="AT163" i="25" l="1"/>
  <c r="AE163" i="25"/>
  <c r="AD164" i="25" s="1"/>
  <c r="T164" i="25"/>
  <c r="S164" i="25"/>
  <c r="W164" i="25" s="1"/>
  <c r="R165" i="25" s="1"/>
  <c r="F79" i="28"/>
  <c r="I79" i="28" s="1"/>
  <c r="Q79" i="28" s="1"/>
  <c r="L80" i="28" s="1"/>
  <c r="N80" i="28" s="1"/>
  <c r="AQ78" i="28"/>
  <c r="AS78" i="28"/>
  <c r="AI78" i="28"/>
  <c r="AJ78" i="28" s="1"/>
  <c r="AK78" i="28" s="1"/>
  <c r="AL78" i="28"/>
  <c r="AM78" i="28" s="1"/>
  <c r="AN78" i="28" s="1"/>
  <c r="AO78" i="28"/>
  <c r="O80" i="28"/>
  <c r="AT110" i="29"/>
  <c r="O79" i="29"/>
  <c r="N79" i="29"/>
  <c r="P80" i="29"/>
  <c r="M79" i="29"/>
  <c r="AR205" i="3"/>
  <c r="L105" i="24"/>
  <c r="I106" i="24" s="1"/>
  <c r="R105" i="24"/>
  <c r="Q106" i="24" s="1"/>
  <c r="AT106" i="24" s="1"/>
  <c r="AC112" i="25"/>
  <c r="X113" i="25" s="1"/>
  <c r="AG112" i="25"/>
  <c r="AF113" i="25" s="1"/>
  <c r="O119" i="24"/>
  <c r="N119" i="24"/>
  <c r="O204" i="20"/>
  <c r="AQ203" i="20"/>
  <c r="AR203" i="20" s="1"/>
  <c r="P203" i="20"/>
  <c r="AN203" i="20"/>
  <c r="AK201" i="3"/>
  <c r="BG201" i="3" s="1"/>
  <c r="Z109" i="29"/>
  <c r="Y109" i="29"/>
  <c r="AG109" i="29" s="1"/>
  <c r="AF110" i="29" s="1"/>
  <c r="T185" i="29"/>
  <c r="S185" i="29"/>
  <c r="W185" i="29" s="1"/>
  <c r="R186" i="29" s="1"/>
  <c r="U186" i="29" s="1"/>
  <c r="AO78" i="29"/>
  <c r="AJ78" i="29"/>
  <c r="AK78" i="29" s="1"/>
  <c r="AL78" i="29"/>
  <c r="K78" i="29"/>
  <c r="AZ199" i="29"/>
  <c r="C199" i="29"/>
  <c r="E200" i="29"/>
  <c r="T152" i="26"/>
  <c r="S153" i="26" s="1"/>
  <c r="AW76" i="26"/>
  <c r="AX76" i="26" s="1"/>
  <c r="AY76" i="26" s="1"/>
  <c r="N153" i="26"/>
  <c r="P153" i="26" s="1"/>
  <c r="M154" i="26" s="1"/>
  <c r="G77" i="26"/>
  <c r="AR77" i="26" s="1"/>
  <c r="AT152" i="26"/>
  <c r="R152" i="26"/>
  <c r="Q153" i="26" s="1"/>
  <c r="K199" i="26"/>
  <c r="O199" i="26"/>
  <c r="AQ199" i="26"/>
  <c r="AS199" i="26"/>
  <c r="AU199" i="26"/>
  <c r="J194" i="26"/>
  <c r="L194" i="26" s="1"/>
  <c r="I195" i="26" s="1"/>
  <c r="C200" i="26"/>
  <c r="AZ200" i="26"/>
  <c r="E201" i="26"/>
  <c r="T168" i="28"/>
  <c r="S168" i="28"/>
  <c r="AE168" i="28" s="1"/>
  <c r="AD169" i="28" s="1"/>
  <c r="AT169" i="28" s="1"/>
  <c r="Z114" i="28"/>
  <c r="Y114" i="28"/>
  <c r="AG114" i="28" s="1"/>
  <c r="AF115" i="28" s="1"/>
  <c r="AZ200" i="28"/>
  <c r="C200" i="28"/>
  <c r="E201" i="28"/>
  <c r="AQ94" i="25"/>
  <c r="F98" i="25"/>
  <c r="AS94" i="25"/>
  <c r="AI94" i="25"/>
  <c r="AU94" i="25"/>
  <c r="AB199" i="25"/>
  <c r="AR199" i="25"/>
  <c r="U199" i="25"/>
  <c r="AA199" i="25"/>
  <c r="V199" i="25"/>
  <c r="BC200" i="25"/>
  <c r="BA200" i="25"/>
  <c r="BB200" i="25"/>
  <c r="AO94" i="25"/>
  <c r="AL94" i="25"/>
  <c r="P96" i="25"/>
  <c r="N95" i="25"/>
  <c r="AP95" i="25" s="1"/>
  <c r="C200" i="25"/>
  <c r="AZ200" i="25"/>
  <c r="BD200" i="25"/>
  <c r="E201" i="25"/>
  <c r="AS199" i="24"/>
  <c r="AU199" i="24"/>
  <c r="AQ199" i="24"/>
  <c r="F73" i="24"/>
  <c r="AI72" i="24"/>
  <c r="AJ72" i="24" s="1"/>
  <c r="AL72" i="24"/>
  <c r="AM72" i="24" s="1"/>
  <c r="C200" i="24"/>
  <c r="AZ200" i="24"/>
  <c r="E201" i="24"/>
  <c r="G72" i="15"/>
  <c r="AR72" i="15" s="1"/>
  <c r="AW71" i="15"/>
  <c r="AX71" i="15" s="1"/>
  <c r="AY71" i="15" s="1"/>
  <c r="AS201" i="15"/>
  <c r="AU201" i="15"/>
  <c r="K201" i="15"/>
  <c r="O201" i="15"/>
  <c r="AQ201" i="15"/>
  <c r="P162" i="15"/>
  <c r="M163" i="15" s="1"/>
  <c r="N163" i="15" s="1"/>
  <c r="M95" i="25"/>
  <c r="Q95" i="25" s="1"/>
  <c r="L96" i="25" s="1"/>
  <c r="O198" i="25"/>
  <c r="I198" i="25"/>
  <c r="AJ201" i="3"/>
  <c r="BF201" i="3" s="1"/>
  <c r="AW51" i="19"/>
  <c r="AX51" i="19" s="1"/>
  <c r="AY51" i="19" s="1"/>
  <c r="AW59" i="17"/>
  <c r="AX59" i="17" s="1"/>
  <c r="AY59" i="17" s="1"/>
  <c r="AI52" i="19"/>
  <c r="AJ52" i="19" s="1"/>
  <c r="AK52" i="19" s="1"/>
  <c r="K52" i="19"/>
  <c r="AS52" i="19" s="1"/>
  <c r="AM203" i="3"/>
  <c r="AL203" i="3"/>
  <c r="AG118" i="19"/>
  <c r="AF119" i="19" s="1"/>
  <c r="AC114" i="17"/>
  <c r="X115" i="17" s="1"/>
  <c r="Y115" i="17" s="1"/>
  <c r="AG115" i="17" s="1"/>
  <c r="AF116" i="17" s="1"/>
  <c r="AL60" i="17"/>
  <c r="AM60" i="17" s="1"/>
  <c r="AN60" i="17" s="1"/>
  <c r="AP60" i="17"/>
  <c r="AO60" i="17"/>
  <c r="K60" i="17"/>
  <c r="Z119" i="19"/>
  <c r="Y119" i="19"/>
  <c r="AC119" i="19" s="1"/>
  <c r="X120" i="19" s="1"/>
  <c r="AR200" i="19"/>
  <c r="T121" i="19"/>
  <c r="S121" i="19"/>
  <c r="W121" i="19" s="1"/>
  <c r="R122" i="19" s="1"/>
  <c r="AE120" i="19"/>
  <c r="AD121" i="19" s="1"/>
  <c r="AT120" i="19"/>
  <c r="R142" i="15"/>
  <c r="Q143" i="15" s="1"/>
  <c r="AT143" i="15" s="1"/>
  <c r="P131" i="17"/>
  <c r="M130" i="17"/>
  <c r="Q130" i="17" s="1"/>
  <c r="L131" i="17" s="1"/>
  <c r="N130" i="17"/>
  <c r="T129" i="17"/>
  <c r="S129" i="17"/>
  <c r="W129" i="17" s="1"/>
  <c r="R130" i="17" s="1"/>
  <c r="AA201" i="17"/>
  <c r="I201" i="17"/>
  <c r="U201" i="17"/>
  <c r="AB201" i="17"/>
  <c r="AA201" i="19"/>
  <c r="I201" i="19"/>
  <c r="V201" i="17"/>
  <c r="V201" i="19"/>
  <c r="O201" i="19"/>
  <c r="O201" i="17"/>
  <c r="U201" i="19"/>
  <c r="AB201" i="19"/>
  <c r="M130" i="19"/>
  <c r="Q130" i="19" s="1"/>
  <c r="L131" i="19" s="1"/>
  <c r="P131" i="19"/>
  <c r="N130" i="19"/>
  <c r="AT128" i="17"/>
  <c r="AE128" i="17"/>
  <c r="AD129" i="17" s="1"/>
  <c r="C201" i="19"/>
  <c r="AZ201" i="19"/>
  <c r="E202" i="19"/>
  <c r="AR200" i="16"/>
  <c r="E202" i="16"/>
  <c r="AZ201" i="16"/>
  <c r="C201" i="16"/>
  <c r="BD201" i="16"/>
  <c r="L198" i="18"/>
  <c r="I199" i="18" s="1"/>
  <c r="J199" i="18" s="1"/>
  <c r="K199" i="18"/>
  <c r="AU199" i="18"/>
  <c r="AS199" i="18"/>
  <c r="AQ199" i="18"/>
  <c r="O199" i="18"/>
  <c r="AZ200" i="17"/>
  <c r="E201" i="17"/>
  <c r="C200" i="17"/>
  <c r="E201" i="18"/>
  <c r="C200" i="18"/>
  <c r="AZ200" i="18"/>
  <c r="AW95" i="18"/>
  <c r="AX95" i="18" s="1"/>
  <c r="AY95" i="18" s="1"/>
  <c r="F97" i="18"/>
  <c r="AL96" i="18"/>
  <c r="AI96" i="18"/>
  <c r="AJ96" i="18" s="1"/>
  <c r="AK96" i="18" s="1"/>
  <c r="E203" i="15"/>
  <c r="AZ202" i="15"/>
  <c r="C202" i="15"/>
  <c r="P153" i="18"/>
  <c r="M154" i="18" s="1"/>
  <c r="N154" i="18" s="1"/>
  <c r="R153" i="18"/>
  <c r="Q154" i="18" s="1"/>
  <c r="AT154" i="18" s="1"/>
  <c r="AG203" i="3"/>
  <c r="AN207" i="3"/>
  <c r="H203" i="3"/>
  <c r="AF202" i="3"/>
  <c r="AK202" i="3" s="1"/>
  <c r="V204" i="3"/>
  <c r="X204" i="3" s="1"/>
  <c r="G205" i="3"/>
  <c r="AV204" i="3"/>
  <c r="AX204" i="3" s="1"/>
  <c r="BB204" i="3" s="1"/>
  <c r="P207" i="3"/>
  <c r="AH203" i="3"/>
  <c r="BD202" i="3"/>
  <c r="AW206" i="3"/>
  <c r="A204" i="3"/>
  <c r="BI204" i="3" s="1"/>
  <c r="BJ204" i="3" s="1"/>
  <c r="BC202" i="3"/>
  <c r="AE203" i="3"/>
  <c r="AI201" i="3"/>
  <c r="BE201" i="3" s="1"/>
  <c r="AQ206" i="3"/>
  <c r="Y203" i="3"/>
  <c r="AC202" i="3"/>
  <c r="AT164" i="25" l="1"/>
  <c r="AE164" i="25"/>
  <c r="AD165" i="25" s="1"/>
  <c r="T165" i="25"/>
  <c r="S165" i="25"/>
  <c r="W165" i="25" s="1"/>
  <c r="R166" i="25" s="1"/>
  <c r="AR201" i="19"/>
  <c r="AW78" i="28"/>
  <c r="AX78" i="28" s="1"/>
  <c r="AY78" i="28" s="1"/>
  <c r="H79" i="28"/>
  <c r="AP79" i="28" s="1"/>
  <c r="J80" i="28"/>
  <c r="G79" i="28"/>
  <c r="K79" i="28" s="1"/>
  <c r="F80" i="28" s="1"/>
  <c r="P81" i="28"/>
  <c r="M80" i="28"/>
  <c r="AR206" i="3"/>
  <c r="P119" i="24"/>
  <c r="M120" i="24" s="1"/>
  <c r="Z113" i="25"/>
  <c r="Y113" i="25"/>
  <c r="AC113" i="25" s="1"/>
  <c r="X114" i="25" s="1"/>
  <c r="K106" i="24"/>
  <c r="T106" i="24" s="1"/>
  <c r="S107" i="24" s="1"/>
  <c r="J106" i="24"/>
  <c r="AM204" i="3"/>
  <c r="O205" i="20"/>
  <c r="AQ204" i="20"/>
  <c r="AR204" i="20" s="1"/>
  <c r="P204" i="20"/>
  <c r="AN204" i="20"/>
  <c r="BG202" i="3"/>
  <c r="AC109" i="29"/>
  <c r="X110" i="29" s="1"/>
  <c r="T186" i="29"/>
  <c r="S186" i="29"/>
  <c r="W186" i="29" s="1"/>
  <c r="R187" i="29" s="1"/>
  <c r="U187" i="29" s="1"/>
  <c r="F79" i="29"/>
  <c r="I79" i="29" s="1"/>
  <c r="AR79" i="29" s="1"/>
  <c r="AQ78" i="29"/>
  <c r="AU78" i="29"/>
  <c r="AS78" i="29"/>
  <c r="C200" i="29"/>
  <c r="AZ200" i="29"/>
  <c r="E201" i="29"/>
  <c r="AM78" i="29"/>
  <c r="AN78" i="29" s="1"/>
  <c r="T153" i="26"/>
  <c r="S154" i="26" s="1"/>
  <c r="N154" i="26"/>
  <c r="H77" i="26"/>
  <c r="J195" i="26"/>
  <c r="L195" i="26" s="1"/>
  <c r="I196" i="26" s="1"/>
  <c r="O200" i="26"/>
  <c r="AQ200" i="26"/>
  <c r="AS200" i="26"/>
  <c r="AU200" i="26"/>
  <c r="K200" i="26"/>
  <c r="AT153" i="26"/>
  <c r="R153" i="26"/>
  <c r="Q154" i="26" s="1"/>
  <c r="C201" i="26"/>
  <c r="AZ201" i="26"/>
  <c r="E202" i="26"/>
  <c r="W168" i="28"/>
  <c r="R169" i="28" s="1"/>
  <c r="V169" i="28" s="1"/>
  <c r="AC114" i="28"/>
  <c r="X115" i="28" s="1"/>
  <c r="AB115" i="28" s="1"/>
  <c r="C201" i="28"/>
  <c r="AZ201" i="28"/>
  <c r="E202" i="28"/>
  <c r="G98" i="25"/>
  <c r="K98" i="25" s="1"/>
  <c r="H98" i="25"/>
  <c r="J99" i="25"/>
  <c r="AU95" i="25"/>
  <c r="AA200" i="25"/>
  <c r="AB200" i="25"/>
  <c r="AR200" i="25"/>
  <c r="V200" i="25"/>
  <c r="U200" i="25"/>
  <c r="BA201" i="25"/>
  <c r="BB201" i="25"/>
  <c r="BC201" i="25"/>
  <c r="AL95" i="25"/>
  <c r="AQ95" i="25"/>
  <c r="AS95" i="25"/>
  <c r="AO95" i="25"/>
  <c r="AI95" i="25"/>
  <c r="AZ201" i="25"/>
  <c r="BD201" i="25"/>
  <c r="C201" i="25"/>
  <c r="E202" i="25"/>
  <c r="N96" i="25"/>
  <c r="AP96" i="25" s="1"/>
  <c r="P97" i="25"/>
  <c r="AJ94" i="25"/>
  <c r="AK94" i="25" s="1"/>
  <c r="AM94" i="25"/>
  <c r="AN94" i="25" s="1"/>
  <c r="C201" i="24"/>
  <c r="AZ201" i="24"/>
  <c r="E202" i="24"/>
  <c r="AQ200" i="24"/>
  <c r="AS200" i="24"/>
  <c r="AU200" i="24"/>
  <c r="AK72" i="24"/>
  <c r="AN72" i="24"/>
  <c r="G73" i="24"/>
  <c r="AR73" i="24" s="1"/>
  <c r="H72" i="15"/>
  <c r="AQ202" i="15"/>
  <c r="AS202" i="15"/>
  <c r="AU202" i="15"/>
  <c r="P163" i="15"/>
  <c r="M164" i="15" s="1"/>
  <c r="N164" i="15" s="1"/>
  <c r="M96" i="25"/>
  <c r="Q96" i="25" s="1"/>
  <c r="L97" i="25" s="1"/>
  <c r="O199" i="25"/>
  <c r="I199" i="25"/>
  <c r="AQ52" i="19"/>
  <c r="F53" i="19"/>
  <c r="G53" i="19" s="1"/>
  <c r="AU52" i="19"/>
  <c r="AC115" i="17"/>
  <c r="X116" i="17" s="1"/>
  <c r="Z116" i="17" s="1"/>
  <c r="Z115" i="17"/>
  <c r="AU60" i="17"/>
  <c r="F61" i="17"/>
  <c r="AQ60" i="17"/>
  <c r="AS60" i="17"/>
  <c r="AG119" i="19"/>
  <c r="AF120" i="19" s="1"/>
  <c r="Z120" i="19"/>
  <c r="Y120" i="19"/>
  <c r="AC120" i="19" s="1"/>
  <c r="X121" i="19" s="1"/>
  <c r="AE121" i="19"/>
  <c r="AD122" i="19" s="1"/>
  <c r="AT121" i="19"/>
  <c r="S122" i="19"/>
  <c r="W122" i="19" s="1"/>
  <c r="R123" i="19" s="1"/>
  <c r="T122" i="19"/>
  <c r="L142" i="15"/>
  <c r="I143" i="15" s="1"/>
  <c r="J143" i="15" s="1"/>
  <c r="AT129" i="17"/>
  <c r="AE129" i="17"/>
  <c r="AD130" i="17" s="1"/>
  <c r="N131" i="19"/>
  <c r="P132" i="19"/>
  <c r="M131" i="19"/>
  <c r="Q131" i="19" s="1"/>
  <c r="L132" i="19" s="1"/>
  <c r="S130" i="17"/>
  <c r="W130" i="17" s="1"/>
  <c r="R131" i="17" s="1"/>
  <c r="T130" i="17"/>
  <c r="N131" i="17"/>
  <c r="M131" i="17"/>
  <c r="Q131" i="17" s="1"/>
  <c r="L132" i="17" s="1"/>
  <c r="P132" i="17"/>
  <c r="U202" i="17"/>
  <c r="O202" i="17"/>
  <c r="AB202" i="17"/>
  <c r="I202" i="17"/>
  <c r="AB202" i="19"/>
  <c r="O202" i="19"/>
  <c r="AA202" i="19"/>
  <c r="I202" i="19"/>
  <c r="V202" i="17"/>
  <c r="U202" i="19"/>
  <c r="AA202" i="17"/>
  <c r="V202" i="19"/>
  <c r="AZ202" i="19"/>
  <c r="E203" i="19"/>
  <c r="C202" i="19"/>
  <c r="AZ202" i="16"/>
  <c r="C202" i="16"/>
  <c r="BD202" i="16"/>
  <c r="E203" i="16"/>
  <c r="L199" i="18"/>
  <c r="I200" i="18" s="1"/>
  <c r="J200" i="18" s="1"/>
  <c r="AR201" i="16"/>
  <c r="C201" i="18"/>
  <c r="E202" i="18"/>
  <c r="AZ201" i="18"/>
  <c r="AZ201" i="17"/>
  <c r="E202" i="17"/>
  <c r="C201" i="17"/>
  <c r="AQ200" i="18"/>
  <c r="AS200" i="18"/>
  <c r="AU200" i="18"/>
  <c r="O200" i="18"/>
  <c r="K200" i="18"/>
  <c r="AM96" i="18"/>
  <c r="AN96" i="18" s="1"/>
  <c r="AW96" i="18" s="1"/>
  <c r="AX96" i="18" s="1"/>
  <c r="AY96" i="18" s="1"/>
  <c r="AZ203" i="15"/>
  <c r="E204" i="15"/>
  <c r="C203" i="15"/>
  <c r="G97" i="18"/>
  <c r="AR97" i="18" s="1"/>
  <c r="P154" i="18"/>
  <c r="M155" i="18" s="1"/>
  <c r="N155" i="18" s="1"/>
  <c r="T154" i="18"/>
  <c r="S155" i="18" s="1"/>
  <c r="R154" i="18"/>
  <c r="Q155" i="18" s="1"/>
  <c r="AT155" i="18" s="1"/>
  <c r="T142" i="15"/>
  <c r="S143" i="15" s="1"/>
  <c r="BC203" i="3"/>
  <c r="AE204" i="3"/>
  <c r="AW207" i="3"/>
  <c r="Y204" i="3"/>
  <c r="AC203" i="3"/>
  <c r="AL204" i="3"/>
  <c r="A205" i="3"/>
  <c r="BI205" i="3" s="1"/>
  <c r="BJ205" i="3" s="1"/>
  <c r="AD202" i="3"/>
  <c r="AJ202" i="3" s="1"/>
  <c r="AQ207" i="3"/>
  <c r="AH204" i="3"/>
  <c r="BD203" i="3"/>
  <c r="G206" i="3"/>
  <c r="V205" i="3"/>
  <c r="X205" i="3" s="1"/>
  <c r="AV205" i="3"/>
  <c r="AX205" i="3" s="1"/>
  <c r="BB205" i="3" s="1"/>
  <c r="H204" i="3"/>
  <c r="AF203" i="3"/>
  <c r="AK203" i="3" s="1"/>
  <c r="AG204" i="3"/>
  <c r="T166" i="25" l="1"/>
  <c r="S166" i="25"/>
  <c r="W166" i="25" s="1"/>
  <c r="R167" i="25" s="1"/>
  <c r="AE165" i="25"/>
  <c r="AD166" i="25" s="1"/>
  <c r="AT165" i="25"/>
  <c r="AO79" i="28"/>
  <c r="AQ79" i="28"/>
  <c r="AI79" i="28"/>
  <c r="AJ79" i="28" s="1"/>
  <c r="AK79" i="28" s="1"/>
  <c r="AL79" i="28"/>
  <c r="AM79" i="28" s="1"/>
  <c r="AN79" i="28" s="1"/>
  <c r="AS79" i="28"/>
  <c r="AU79" i="28"/>
  <c r="Q79" i="29"/>
  <c r="L80" i="29" s="1"/>
  <c r="N80" i="29" s="1"/>
  <c r="O80" i="29"/>
  <c r="G80" i="28"/>
  <c r="AL80" i="28" s="1"/>
  <c r="AM80" i="28" s="1"/>
  <c r="AN80" i="28" s="1"/>
  <c r="I80" i="28"/>
  <c r="Q80" i="28" s="1"/>
  <c r="L81" i="28" s="1"/>
  <c r="Z110" i="29"/>
  <c r="AA110" i="29"/>
  <c r="AE110" i="29" s="1"/>
  <c r="AD111" i="29" s="1"/>
  <c r="AR207" i="3"/>
  <c r="L106" i="24"/>
  <c r="I107" i="24" s="1"/>
  <c r="Z114" i="25"/>
  <c r="Y114" i="25"/>
  <c r="AC114" i="25" s="1"/>
  <c r="X115" i="25" s="1"/>
  <c r="AG113" i="25"/>
  <c r="AF114" i="25" s="1"/>
  <c r="R106" i="24"/>
  <c r="Q107" i="24" s="1"/>
  <c r="AT107" i="24" s="1"/>
  <c r="O120" i="24"/>
  <c r="N120" i="24"/>
  <c r="O206" i="20"/>
  <c r="AQ205" i="20"/>
  <c r="AR205" i="20" s="1"/>
  <c r="P205" i="20"/>
  <c r="AN205" i="20"/>
  <c r="AW78" i="29"/>
  <c r="AX78" i="29" s="1"/>
  <c r="AY78" i="29" s="1"/>
  <c r="O202" i="15"/>
  <c r="BG203" i="3"/>
  <c r="K202" i="15"/>
  <c r="Y110" i="29"/>
  <c r="T187" i="29"/>
  <c r="S187" i="29"/>
  <c r="W187" i="29" s="1"/>
  <c r="R188" i="29" s="1"/>
  <c r="U188" i="29" s="1"/>
  <c r="H79" i="29"/>
  <c r="AP79" i="29" s="1"/>
  <c r="J80" i="29"/>
  <c r="G79" i="29"/>
  <c r="AI79" i="29" s="1"/>
  <c r="AZ201" i="29"/>
  <c r="C201" i="29"/>
  <c r="E202" i="29"/>
  <c r="T154" i="26"/>
  <c r="S155" i="26" s="1"/>
  <c r="P154" i="26"/>
  <c r="M155" i="26" s="1"/>
  <c r="N155" i="26" s="1"/>
  <c r="P155" i="26" s="1"/>
  <c r="M156" i="26" s="1"/>
  <c r="J196" i="26"/>
  <c r="L196" i="26" s="1"/>
  <c r="I197" i="26" s="1"/>
  <c r="AS201" i="26"/>
  <c r="AU201" i="26"/>
  <c r="AQ201" i="26"/>
  <c r="K201" i="26"/>
  <c r="O201" i="26"/>
  <c r="AT154" i="26"/>
  <c r="R154" i="26"/>
  <c r="Q155" i="26" s="1"/>
  <c r="F78" i="26"/>
  <c r="AI77" i="26"/>
  <c r="AL77" i="26"/>
  <c r="AZ202" i="26"/>
  <c r="C202" i="26"/>
  <c r="E203" i="26"/>
  <c r="J81" i="28"/>
  <c r="H80" i="28"/>
  <c r="AP80" i="28" s="1"/>
  <c r="Z115" i="28"/>
  <c r="Y115" i="28"/>
  <c r="AG115" i="28" s="1"/>
  <c r="AF116" i="28" s="1"/>
  <c r="T169" i="28"/>
  <c r="S169" i="28"/>
  <c r="AE169" i="28" s="1"/>
  <c r="AD170" i="28" s="1"/>
  <c r="AT170" i="28" s="1"/>
  <c r="AW72" i="24"/>
  <c r="AX72" i="24" s="1"/>
  <c r="AY72" i="24" s="1"/>
  <c r="C202" i="28"/>
  <c r="AZ202" i="28"/>
  <c r="E203" i="28"/>
  <c r="AW94" i="25"/>
  <c r="AX94" i="25" s="1"/>
  <c r="AY94" i="25" s="1"/>
  <c r="F99" i="25"/>
  <c r="AU96" i="25"/>
  <c r="V201" i="25"/>
  <c r="AA201" i="25"/>
  <c r="AB201" i="25"/>
  <c r="AR201" i="25"/>
  <c r="U201" i="25"/>
  <c r="BA202" i="25"/>
  <c r="BC202" i="25"/>
  <c r="BB202" i="25"/>
  <c r="AL96" i="25"/>
  <c r="AS96" i="25"/>
  <c r="AO96" i="25"/>
  <c r="AQ96" i="25"/>
  <c r="AI96" i="25"/>
  <c r="AM95" i="25"/>
  <c r="AN95" i="25" s="1"/>
  <c r="AJ95" i="25"/>
  <c r="AK95" i="25" s="1"/>
  <c r="P98" i="25"/>
  <c r="N97" i="25"/>
  <c r="AP97" i="25" s="1"/>
  <c r="C202" i="25"/>
  <c r="AZ202" i="25"/>
  <c r="BD202" i="25"/>
  <c r="E203" i="25"/>
  <c r="AQ201" i="24"/>
  <c r="AS201" i="24"/>
  <c r="AU201" i="24"/>
  <c r="AZ202" i="24"/>
  <c r="C202" i="24"/>
  <c r="E203" i="24"/>
  <c r="H73" i="24"/>
  <c r="F73" i="15"/>
  <c r="AL72" i="15"/>
  <c r="AM72" i="15" s="1"/>
  <c r="AN72" i="15" s="1"/>
  <c r="AI72" i="15"/>
  <c r="AJ72" i="15" s="1"/>
  <c r="AK72" i="15" s="1"/>
  <c r="AQ203" i="15"/>
  <c r="AS203" i="15"/>
  <c r="AU203" i="15"/>
  <c r="P164" i="15"/>
  <c r="M165" i="15" s="1"/>
  <c r="N165" i="15" s="1"/>
  <c r="M97" i="25"/>
  <c r="AL97" i="25" s="1"/>
  <c r="I200" i="25"/>
  <c r="O200" i="25"/>
  <c r="AW52" i="19"/>
  <c r="AX52" i="19" s="1"/>
  <c r="AY52" i="19" s="1"/>
  <c r="J54" i="19"/>
  <c r="AW60" i="17"/>
  <c r="AX60" i="17" s="1"/>
  <c r="AY60" i="17" s="1"/>
  <c r="H53" i="19"/>
  <c r="AP53" i="19" s="1"/>
  <c r="AM205" i="3"/>
  <c r="AD203" i="3"/>
  <c r="AI203" i="3" s="1"/>
  <c r="BE203" i="3" s="1"/>
  <c r="Y116" i="17"/>
  <c r="K53" i="19"/>
  <c r="AL53" i="19"/>
  <c r="AM53" i="19" s="1"/>
  <c r="AN53" i="19" s="1"/>
  <c r="AI53" i="19"/>
  <c r="AJ53" i="19" s="1"/>
  <c r="AK53" i="19" s="1"/>
  <c r="G61" i="17"/>
  <c r="AI61" i="17" s="1"/>
  <c r="AJ61" i="17" s="1"/>
  <c r="AK61" i="17" s="1"/>
  <c r="J62" i="17"/>
  <c r="H61" i="17"/>
  <c r="Z121" i="19"/>
  <c r="Y121" i="19"/>
  <c r="AC121" i="19" s="1"/>
  <c r="X122" i="19" s="1"/>
  <c r="AG120" i="19"/>
  <c r="AF121" i="19" s="1"/>
  <c r="L143" i="15"/>
  <c r="I144" i="15" s="1"/>
  <c r="J144" i="15" s="1"/>
  <c r="AT122" i="19"/>
  <c r="AE122" i="19"/>
  <c r="AD123" i="19" s="1"/>
  <c r="T123" i="19"/>
  <c r="S123" i="19"/>
  <c r="W123" i="19" s="1"/>
  <c r="R124" i="19" s="1"/>
  <c r="BF202" i="3"/>
  <c r="AI202" i="3"/>
  <c r="BE202" i="3" s="1"/>
  <c r="AR202" i="19"/>
  <c r="P133" i="17"/>
  <c r="N132" i="17"/>
  <c r="M132" i="17"/>
  <c r="Q132" i="17" s="1"/>
  <c r="L133" i="17" s="1"/>
  <c r="AT130" i="17"/>
  <c r="AE130" i="17"/>
  <c r="AD131" i="17" s="1"/>
  <c r="AA203" i="17"/>
  <c r="I203" i="17"/>
  <c r="O203" i="17"/>
  <c r="V203" i="17"/>
  <c r="U203" i="19"/>
  <c r="U203" i="17"/>
  <c r="AB203" i="19"/>
  <c r="O203" i="19"/>
  <c r="V203" i="19"/>
  <c r="I203" i="19"/>
  <c r="AA203" i="19"/>
  <c r="AB203" i="17"/>
  <c r="S131" i="17"/>
  <c r="W131" i="17" s="1"/>
  <c r="R132" i="17" s="1"/>
  <c r="T131" i="17"/>
  <c r="M132" i="19"/>
  <c r="Q132" i="19" s="1"/>
  <c r="L133" i="19" s="1"/>
  <c r="P133" i="19"/>
  <c r="N132" i="19"/>
  <c r="E204" i="19"/>
  <c r="C203" i="19"/>
  <c r="AZ203" i="19"/>
  <c r="L200" i="18"/>
  <c r="I201" i="18" s="1"/>
  <c r="J201" i="18" s="1"/>
  <c r="BD203" i="16"/>
  <c r="AZ203" i="16"/>
  <c r="C203" i="16"/>
  <c r="E204" i="16"/>
  <c r="AR202" i="16"/>
  <c r="C202" i="17"/>
  <c r="E203" i="17"/>
  <c r="AZ202" i="17"/>
  <c r="O201" i="18"/>
  <c r="AS201" i="18"/>
  <c r="AU201" i="18"/>
  <c r="K201" i="18"/>
  <c r="AQ201" i="18"/>
  <c r="E203" i="18"/>
  <c r="AZ202" i="18"/>
  <c r="C202" i="18"/>
  <c r="C204" i="15"/>
  <c r="E205" i="15"/>
  <c r="AZ204" i="15"/>
  <c r="H97" i="18"/>
  <c r="R155" i="18"/>
  <c r="Q156" i="18" s="1"/>
  <c r="AT156" i="18" s="1"/>
  <c r="P155" i="18"/>
  <c r="M156" i="18" s="1"/>
  <c r="N156" i="18" s="1"/>
  <c r="T155" i="18"/>
  <c r="S156" i="18" s="1"/>
  <c r="R143" i="15"/>
  <c r="Q144" i="15" s="1"/>
  <c r="AT144" i="15" s="1"/>
  <c r="T143" i="15"/>
  <c r="H205" i="3"/>
  <c r="AF204" i="3"/>
  <c r="Y205" i="3"/>
  <c r="AC204" i="3"/>
  <c r="AG205" i="3"/>
  <c r="AH205" i="3"/>
  <c r="BD204" i="3"/>
  <c r="AQ208" i="3"/>
  <c r="A206" i="3"/>
  <c r="BI206" i="3" s="1"/>
  <c r="BJ206" i="3" s="1"/>
  <c r="AN208" i="3"/>
  <c r="AL205" i="3"/>
  <c r="P208" i="3"/>
  <c r="P209" i="3" s="1"/>
  <c r="AE205" i="3"/>
  <c r="BC204" i="3"/>
  <c r="V206" i="3"/>
  <c r="X206" i="3" s="1"/>
  <c r="AV206" i="3"/>
  <c r="AX206" i="3" s="1"/>
  <c r="BB206" i="3" s="1"/>
  <c r="G207" i="3"/>
  <c r="AW208" i="3"/>
  <c r="S167" i="25" l="1"/>
  <c r="W167" i="25" s="1"/>
  <c r="R168" i="25" s="1"/>
  <c r="T167" i="25"/>
  <c r="AE166" i="25"/>
  <c r="AD167" i="25" s="1"/>
  <c r="AT166" i="25"/>
  <c r="AW79" i="28"/>
  <c r="AX79" i="28" s="1"/>
  <c r="AY79" i="28" s="1"/>
  <c r="K80" i="28"/>
  <c r="F81" i="28" s="1"/>
  <c r="I81" i="28" s="1"/>
  <c r="M80" i="29"/>
  <c r="P81" i="29"/>
  <c r="AG110" i="29"/>
  <c r="AF111" i="29" s="1"/>
  <c r="AI80" i="28"/>
  <c r="AJ80" i="28" s="1"/>
  <c r="AK80" i="28" s="1"/>
  <c r="O81" i="28"/>
  <c r="M81" i="28"/>
  <c r="N81" i="28"/>
  <c r="P82" i="28"/>
  <c r="AT111" i="29"/>
  <c r="AR208" i="3"/>
  <c r="P120" i="24"/>
  <c r="M121" i="24" s="1"/>
  <c r="AG114" i="25"/>
  <c r="AF115" i="25" s="1"/>
  <c r="Z115" i="25"/>
  <c r="Y115" i="25"/>
  <c r="AC115" i="25" s="1"/>
  <c r="X116" i="25" s="1"/>
  <c r="K107" i="24"/>
  <c r="T107" i="24" s="1"/>
  <c r="S108" i="24" s="1"/>
  <c r="J107" i="24"/>
  <c r="K203" i="15"/>
  <c r="O203" i="15"/>
  <c r="AQ206" i="20"/>
  <c r="AR206" i="20" s="1"/>
  <c r="O207" i="20"/>
  <c r="P206" i="20"/>
  <c r="AJ203" i="3"/>
  <c r="BF203" i="3" s="1"/>
  <c r="AN206" i="20"/>
  <c r="AK204" i="3"/>
  <c r="BG204" i="3" s="1"/>
  <c r="AC110" i="29"/>
  <c r="X111" i="29" s="1"/>
  <c r="T188" i="29"/>
  <c r="S188" i="29"/>
  <c r="W188" i="29" s="1"/>
  <c r="R189" i="29" s="1"/>
  <c r="U189" i="29" s="1"/>
  <c r="AO79" i="29"/>
  <c r="C202" i="29"/>
  <c r="AZ202" i="29"/>
  <c r="E203" i="29"/>
  <c r="AL79" i="29"/>
  <c r="AJ79" i="29"/>
  <c r="AK79" i="29" s="1"/>
  <c r="K79" i="29"/>
  <c r="T155" i="26"/>
  <c r="S156" i="26" s="1"/>
  <c r="J197" i="26"/>
  <c r="L197" i="26" s="1"/>
  <c r="I198" i="26" s="1"/>
  <c r="N156" i="26"/>
  <c r="AJ77" i="26"/>
  <c r="AK77" i="26" s="1"/>
  <c r="AM77" i="26"/>
  <c r="AN77" i="26" s="1"/>
  <c r="O202" i="26"/>
  <c r="K202" i="26"/>
  <c r="AS202" i="26"/>
  <c r="AU202" i="26"/>
  <c r="AQ202" i="26"/>
  <c r="G78" i="26"/>
  <c r="AR78" i="26" s="1"/>
  <c r="AT155" i="26"/>
  <c r="R155" i="26"/>
  <c r="Q156" i="26" s="1"/>
  <c r="C203" i="26"/>
  <c r="AZ203" i="26"/>
  <c r="E204" i="26"/>
  <c r="AO80" i="28"/>
  <c r="AC115" i="28"/>
  <c r="X116" i="28" s="1"/>
  <c r="AB116" i="28" s="1"/>
  <c r="W169" i="28"/>
  <c r="R170" i="28" s="1"/>
  <c r="V170" i="28" s="1"/>
  <c r="C203" i="28"/>
  <c r="AZ203" i="28"/>
  <c r="E204" i="28"/>
  <c r="AW95" i="25"/>
  <c r="AX95" i="25" s="1"/>
  <c r="AY95" i="25" s="1"/>
  <c r="G99" i="25"/>
  <c r="K99" i="25" s="1"/>
  <c r="H99" i="25"/>
  <c r="J100" i="25"/>
  <c r="AO97" i="25"/>
  <c r="U202" i="25"/>
  <c r="V202" i="25"/>
  <c r="AA202" i="25"/>
  <c r="AB202" i="25"/>
  <c r="AR202" i="25"/>
  <c r="BC203" i="25"/>
  <c r="BB203" i="25"/>
  <c r="BA203" i="25"/>
  <c r="AM97" i="25"/>
  <c r="AN97" i="25" s="1"/>
  <c r="AJ96" i="25"/>
  <c r="AK96" i="25" s="1"/>
  <c r="AM96" i="25"/>
  <c r="AN96" i="25" s="1"/>
  <c r="C203" i="25"/>
  <c r="AZ203" i="25"/>
  <c r="BD203" i="25"/>
  <c r="E204" i="25"/>
  <c r="AQ202" i="24"/>
  <c r="AS202" i="24"/>
  <c r="AU202" i="24"/>
  <c r="C203" i="24"/>
  <c r="AZ203" i="24"/>
  <c r="E204" i="24"/>
  <c r="F74" i="24"/>
  <c r="AL73" i="24"/>
  <c r="AM73" i="24" s="1"/>
  <c r="AI73" i="24"/>
  <c r="AJ73" i="24" s="1"/>
  <c r="G73" i="15"/>
  <c r="AR73" i="15" s="1"/>
  <c r="AW72" i="15"/>
  <c r="AX72" i="15" s="1"/>
  <c r="AY72" i="15" s="1"/>
  <c r="AQ204" i="15"/>
  <c r="AS204" i="15"/>
  <c r="AU204" i="15"/>
  <c r="P165" i="15"/>
  <c r="M166" i="15" s="1"/>
  <c r="N166" i="15" s="1"/>
  <c r="Q97" i="25"/>
  <c r="O201" i="25"/>
  <c r="I201" i="25"/>
  <c r="AO53" i="19"/>
  <c r="AD204" i="3"/>
  <c r="AI204" i="3" s="1"/>
  <c r="BE204" i="3" s="1"/>
  <c r="AL61" i="17"/>
  <c r="AM61" i="17" s="1"/>
  <c r="AN61" i="17" s="1"/>
  <c r="AQ53" i="19"/>
  <c r="AS53" i="19"/>
  <c r="AU53" i="19"/>
  <c r="F54" i="19"/>
  <c r="AG116" i="17"/>
  <c r="AF117" i="17" s="1"/>
  <c r="AC116" i="17"/>
  <c r="X117" i="17" s="1"/>
  <c r="K61" i="17"/>
  <c r="F62" i="17" s="1"/>
  <c r="G62" i="17" s="1"/>
  <c r="AI62" i="17" s="1"/>
  <c r="AJ62" i="17" s="1"/>
  <c r="AK62" i="17" s="1"/>
  <c r="AG121" i="19"/>
  <c r="AF122" i="19" s="1"/>
  <c r="AP61" i="17"/>
  <c r="AO61" i="17"/>
  <c r="AR203" i="19"/>
  <c r="Z122" i="19"/>
  <c r="Y122" i="19"/>
  <c r="AC122" i="19" s="1"/>
  <c r="X123" i="19" s="1"/>
  <c r="T124" i="19"/>
  <c r="S124" i="19"/>
  <c r="W124" i="19" s="1"/>
  <c r="R125" i="19" s="1"/>
  <c r="AT123" i="19"/>
  <c r="AE123" i="19"/>
  <c r="AD124" i="19" s="1"/>
  <c r="L144" i="15"/>
  <c r="I145" i="15" s="1"/>
  <c r="J145" i="15" s="1"/>
  <c r="S132" i="17"/>
  <c r="W132" i="17" s="1"/>
  <c r="R133" i="17" s="1"/>
  <c r="T132" i="17"/>
  <c r="N133" i="19"/>
  <c r="M133" i="19"/>
  <c r="Q133" i="19" s="1"/>
  <c r="L134" i="19" s="1"/>
  <c r="P134" i="19"/>
  <c r="AT131" i="17"/>
  <c r="AE131" i="17"/>
  <c r="AD132" i="17" s="1"/>
  <c r="M133" i="17"/>
  <c r="Q133" i="17" s="1"/>
  <c r="L134" i="17" s="1"/>
  <c r="N133" i="17"/>
  <c r="P134" i="17"/>
  <c r="U204" i="17"/>
  <c r="AB204" i="17"/>
  <c r="I204" i="17"/>
  <c r="O204" i="17"/>
  <c r="V204" i="19"/>
  <c r="AA204" i="17"/>
  <c r="U204" i="19"/>
  <c r="O204" i="19"/>
  <c r="V204" i="17"/>
  <c r="I204" i="19"/>
  <c r="AA204" i="19"/>
  <c r="AB204" i="19"/>
  <c r="E205" i="19"/>
  <c r="AZ204" i="19"/>
  <c r="C204" i="19"/>
  <c r="L201" i="18"/>
  <c r="I202" i="18" s="1"/>
  <c r="C204" i="16"/>
  <c r="E205" i="16"/>
  <c r="AZ204" i="16"/>
  <c r="BD204" i="16"/>
  <c r="AR203" i="16"/>
  <c r="C203" i="18"/>
  <c r="AZ203" i="18"/>
  <c r="E204" i="18"/>
  <c r="C203" i="17"/>
  <c r="E204" i="17"/>
  <c r="AZ203" i="17"/>
  <c r="AS202" i="18"/>
  <c r="O202" i="18"/>
  <c r="AQ202" i="18"/>
  <c r="AU202" i="18"/>
  <c r="K202" i="18"/>
  <c r="F98" i="18"/>
  <c r="AI97" i="18"/>
  <c r="AL97" i="18"/>
  <c r="AM97" i="18" s="1"/>
  <c r="AN97" i="18" s="1"/>
  <c r="E206" i="15"/>
  <c r="C205" i="15"/>
  <c r="AZ205" i="15"/>
  <c r="S144" i="15"/>
  <c r="T144" i="15" s="1"/>
  <c r="S145" i="15" s="1"/>
  <c r="P156" i="18"/>
  <c r="M157" i="18" s="1"/>
  <c r="N157" i="18" s="1"/>
  <c r="T156" i="18"/>
  <c r="S157" i="18" s="1"/>
  <c r="R144" i="15"/>
  <c r="Q145" i="15" s="1"/>
  <c r="AT145" i="15" s="1"/>
  <c r="P210" i="3"/>
  <c r="A207" i="3"/>
  <c r="BI207" i="3" s="1"/>
  <c r="BJ207" i="3" s="1"/>
  <c r="AL206" i="3"/>
  <c r="BD205" i="3"/>
  <c r="AH206" i="3"/>
  <c r="G208" i="3"/>
  <c r="AV207" i="3"/>
  <c r="AX207" i="3" s="1"/>
  <c r="BB207" i="3" s="1"/>
  <c r="V207" i="3"/>
  <c r="X207" i="3" s="1"/>
  <c r="BC205" i="3"/>
  <c r="AE206" i="3"/>
  <c r="AM206" i="3"/>
  <c r="AQ209" i="3"/>
  <c r="AC205" i="3"/>
  <c r="Y206" i="3"/>
  <c r="AW209" i="3"/>
  <c r="AN209" i="3"/>
  <c r="AN210" i="3" s="1"/>
  <c r="AG206" i="3"/>
  <c r="H206" i="3"/>
  <c r="AF205" i="3"/>
  <c r="AK205" i="3" s="1"/>
  <c r="AE167" i="25" l="1"/>
  <c r="AD168" i="25" s="1"/>
  <c r="AT167" i="25"/>
  <c r="T168" i="25"/>
  <c r="S168" i="25"/>
  <c r="W168" i="25" s="1"/>
  <c r="R169" i="25" s="1"/>
  <c r="AS80" i="28"/>
  <c r="AU80" i="28"/>
  <c r="AQ80" i="28"/>
  <c r="Q81" i="28"/>
  <c r="L82" i="28" s="1"/>
  <c r="N82" i="28" s="1"/>
  <c r="Z111" i="29"/>
  <c r="AA111" i="29"/>
  <c r="AE111" i="29" s="1"/>
  <c r="AD112" i="29" s="1"/>
  <c r="AR209" i="3"/>
  <c r="L107" i="24"/>
  <c r="I108" i="24" s="1"/>
  <c r="R107" i="24"/>
  <c r="Q108" i="24" s="1"/>
  <c r="AT108" i="24" s="1"/>
  <c r="O121" i="24"/>
  <c r="N121" i="24"/>
  <c r="AG115" i="25"/>
  <c r="AF116" i="25" s="1"/>
  <c r="Y116" i="25"/>
  <c r="AC116" i="25" s="1"/>
  <c r="X117" i="25" s="1"/>
  <c r="Z116" i="25"/>
  <c r="AN207" i="20"/>
  <c r="AQ207" i="20"/>
  <c r="AR207" i="20" s="1"/>
  <c r="O208" i="20"/>
  <c r="P207" i="20"/>
  <c r="BG205" i="3"/>
  <c r="AJ204" i="3"/>
  <c r="BF204" i="3" s="1"/>
  <c r="K204" i="15"/>
  <c r="O204" i="15"/>
  <c r="Y111" i="29"/>
  <c r="T189" i="29"/>
  <c r="S189" i="29"/>
  <c r="W189" i="29" s="1"/>
  <c r="R190" i="29" s="1"/>
  <c r="U190" i="29" s="1"/>
  <c r="C203" i="29"/>
  <c r="AZ203" i="29"/>
  <c r="E204" i="29"/>
  <c r="AM79" i="29"/>
  <c r="AN79" i="29" s="1"/>
  <c r="F80" i="29"/>
  <c r="I80" i="29" s="1"/>
  <c r="AS79" i="29"/>
  <c r="AQ79" i="29"/>
  <c r="AU79" i="29"/>
  <c r="T156" i="26"/>
  <c r="S157" i="26" s="1"/>
  <c r="J198" i="26"/>
  <c r="L198" i="26" s="1"/>
  <c r="I199" i="26" s="1"/>
  <c r="P156" i="26"/>
  <c r="M157" i="26" s="1"/>
  <c r="AW77" i="26"/>
  <c r="AX77" i="26" s="1"/>
  <c r="AY77" i="26" s="1"/>
  <c r="K203" i="26"/>
  <c r="O203" i="26"/>
  <c r="AQ203" i="26"/>
  <c r="AS203" i="26"/>
  <c r="AU203" i="26"/>
  <c r="H78" i="26"/>
  <c r="AT156" i="26"/>
  <c r="R156" i="26"/>
  <c r="Q157" i="26" s="1"/>
  <c r="C204" i="26"/>
  <c r="AZ204" i="26"/>
  <c r="E205" i="26"/>
  <c r="H81" i="28"/>
  <c r="AP81" i="28" s="1"/>
  <c r="J82" i="28"/>
  <c r="G81" i="28"/>
  <c r="AI81" i="28" s="1"/>
  <c r="Z116" i="28"/>
  <c r="Y116" i="28"/>
  <c r="AG116" i="28" s="1"/>
  <c r="AF117" i="28" s="1"/>
  <c r="T170" i="28"/>
  <c r="S170" i="28"/>
  <c r="AE170" i="28" s="1"/>
  <c r="AD171" i="28" s="1"/>
  <c r="AT171" i="28" s="1"/>
  <c r="C204" i="28"/>
  <c r="AZ204" i="28"/>
  <c r="E205" i="28"/>
  <c r="F100" i="25"/>
  <c r="AW96" i="25"/>
  <c r="AX96" i="25" s="1"/>
  <c r="AY96" i="25" s="1"/>
  <c r="AU97" i="25"/>
  <c r="AI97" i="25"/>
  <c r="AQ97" i="25"/>
  <c r="AS97" i="25"/>
  <c r="AK73" i="24"/>
  <c r="U203" i="25"/>
  <c r="V203" i="25"/>
  <c r="AA203" i="25"/>
  <c r="AB203" i="25"/>
  <c r="AR203" i="25"/>
  <c r="BB204" i="25"/>
  <c r="BC204" i="25"/>
  <c r="BA204" i="25"/>
  <c r="AZ204" i="25"/>
  <c r="BD204" i="25"/>
  <c r="C204" i="25"/>
  <c r="E205" i="25"/>
  <c r="L98" i="25"/>
  <c r="AN73" i="24"/>
  <c r="AQ203" i="24"/>
  <c r="AU203" i="24"/>
  <c r="AS203" i="24"/>
  <c r="C204" i="24"/>
  <c r="AZ204" i="24"/>
  <c r="E205" i="24"/>
  <c r="G74" i="24"/>
  <c r="AR74" i="24" s="1"/>
  <c r="H73" i="15"/>
  <c r="AS205" i="15"/>
  <c r="AU205" i="15"/>
  <c r="AQ205" i="15"/>
  <c r="P166" i="15"/>
  <c r="M167" i="15" s="1"/>
  <c r="N167" i="15" s="1"/>
  <c r="O202" i="25"/>
  <c r="I202" i="25"/>
  <c r="AW53" i="19"/>
  <c r="AX53" i="19" s="1"/>
  <c r="AY53" i="19" s="1"/>
  <c r="AD205" i="3"/>
  <c r="AI205" i="3" s="1"/>
  <c r="BE205" i="3" s="1"/>
  <c r="J63" i="17"/>
  <c r="AS61" i="17"/>
  <c r="AM207" i="3"/>
  <c r="AU61" i="17"/>
  <c r="H62" i="17"/>
  <c r="AO62" i="17" s="1"/>
  <c r="AQ61" i="17"/>
  <c r="Z117" i="17"/>
  <c r="Y117" i="17"/>
  <c r="AG117" i="17" s="1"/>
  <c r="AF118" i="17" s="1"/>
  <c r="H54" i="19"/>
  <c r="G54" i="19"/>
  <c r="AL54" i="19" s="1"/>
  <c r="AM54" i="19" s="1"/>
  <c r="AN54" i="19" s="1"/>
  <c r="J55" i="19"/>
  <c r="AL62" i="17"/>
  <c r="AM62" i="17" s="1"/>
  <c r="AN62" i="17" s="1"/>
  <c r="K62" i="17"/>
  <c r="Y123" i="19"/>
  <c r="AC123" i="19" s="1"/>
  <c r="X124" i="19" s="1"/>
  <c r="Z123" i="19"/>
  <c r="AG122" i="19"/>
  <c r="AF123" i="19" s="1"/>
  <c r="T145" i="15"/>
  <c r="S146" i="15" s="1"/>
  <c r="L145" i="15"/>
  <c r="I146" i="15" s="1"/>
  <c r="J146" i="15" s="1"/>
  <c r="T125" i="19"/>
  <c r="S125" i="19"/>
  <c r="W125" i="19" s="1"/>
  <c r="R126" i="19" s="1"/>
  <c r="AE124" i="19"/>
  <c r="AD125" i="19" s="1"/>
  <c r="AT124" i="19"/>
  <c r="AA205" i="17"/>
  <c r="I205" i="17"/>
  <c r="AB205" i="17"/>
  <c r="U205" i="17"/>
  <c r="O205" i="17"/>
  <c r="AA205" i="19"/>
  <c r="I205" i="19"/>
  <c r="V205" i="19"/>
  <c r="V205" i="17"/>
  <c r="O205" i="19"/>
  <c r="AB205" i="19"/>
  <c r="U205" i="19"/>
  <c r="AR204" i="19"/>
  <c r="N134" i="17"/>
  <c r="M134" i="17"/>
  <c r="Q134" i="17" s="1"/>
  <c r="L135" i="17" s="1"/>
  <c r="P135" i="17"/>
  <c r="AT132" i="17"/>
  <c r="AE132" i="17"/>
  <c r="AD133" i="17" s="1"/>
  <c r="S133" i="17"/>
  <c r="W133" i="17" s="1"/>
  <c r="R134" i="17" s="1"/>
  <c r="T133" i="17"/>
  <c r="P135" i="19"/>
  <c r="M134" i="19"/>
  <c r="Q134" i="19" s="1"/>
  <c r="L135" i="19" s="1"/>
  <c r="N134" i="19"/>
  <c r="C205" i="19"/>
  <c r="E206" i="19"/>
  <c r="AZ205" i="19"/>
  <c r="AR204" i="16"/>
  <c r="C205" i="16"/>
  <c r="AZ205" i="16"/>
  <c r="E206" i="16"/>
  <c r="BD205" i="16"/>
  <c r="AZ204" i="17"/>
  <c r="C204" i="17"/>
  <c r="E205" i="17"/>
  <c r="J202" i="18"/>
  <c r="L202" i="18" s="1"/>
  <c r="I203" i="18" s="1"/>
  <c r="E205" i="18"/>
  <c r="C204" i="18"/>
  <c r="AZ204" i="18"/>
  <c r="O203" i="18"/>
  <c r="AS203" i="18"/>
  <c r="AQ203" i="18"/>
  <c r="AU203" i="18"/>
  <c r="K203" i="18"/>
  <c r="G98" i="18"/>
  <c r="AR98" i="18" s="1"/>
  <c r="AJ97" i="18"/>
  <c r="AK97" i="18" s="1"/>
  <c r="AW97" i="18" s="1"/>
  <c r="AX97" i="18" s="1"/>
  <c r="AY97" i="18" s="1"/>
  <c r="C206" i="15"/>
  <c r="AZ206" i="15"/>
  <c r="E207" i="15"/>
  <c r="P157" i="18"/>
  <c r="M158" i="18" s="1"/>
  <c r="N158" i="18" s="1"/>
  <c r="R156" i="18"/>
  <c r="Q157" i="18" s="1"/>
  <c r="AT157" i="18" s="1"/>
  <c r="T157" i="18"/>
  <c r="S158" i="18" s="1"/>
  <c r="R145" i="15"/>
  <c r="Q146" i="15" s="1"/>
  <c r="AT146" i="15" s="1"/>
  <c r="AG207" i="3"/>
  <c r="Y207" i="3"/>
  <c r="AC206" i="3"/>
  <c r="AH207" i="3"/>
  <c r="BD206" i="3"/>
  <c r="H207" i="3"/>
  <c r="AF206" i="3"/>
  <c r="AD206" i="3" s="1"/>
  <c r="AW210" i="3"/>
  <c r="AQ210" i="3"/>
  <c r="BC206" i="3"/>
  <c r="AE207" i="3"/>
  <c r="V208" i="3"/>
  <c r="X208" i="3" s="1"/>
  <c r="AV208" i="3"/>
  <c r="AX208" i="3" s="1"/>
  <c r="BB208" i="3" s="1"/>
  <c r="G209" i="3"/>
  <c r="AL207" i="3"/>
  <c r="A208" i="3"/>
  <c r="BI208" i="3" s="1"/>
  <c r="BJ208" i="3" s="1"/>
  <c r="AT168" i="25" l="1"/>
  <c r="AE168" i="25"/>
  <c r="AD169" i="25" s="1"/>
  <c r="S169" i="25"/>
  <c r="W169" i="25" s="1"/>
  <c r="R170" i="25" s="1"/>
  <c r="T169" i="25"/>
  <c r="AW80" i="28"/>
  <c r="AX80" i="28" s="1"/>
  <c r="AY80" i="28" s="1"/>
  <c r="O82" i="28"/>
  <c r="M82" i="28"/>
  <c r="P83" i="28"/>
  <c r="AR80" i="29"/>
  <c r="Q80" i="29"/>
  <c r="L81" i="29" s="1"/>
  <c r="AT112" i="29"/>
  <c r="AG111" i="29"/>
  <c r="AF112" i="29" s="1"/>
  <c r="AR210" i="3"/>
  <c r="P121" i="24"/>
  <c r="M122" i="24" s="1"/>
  <c r="Z117" i="25"/>
  <c r="Y117" i="25"/>
  <c r="K108" i="24"/>
  <c r="T108" i="24" s="1"/>
  <c r="S109" i="24" s="1"/>
  <c r="J108" i="24"/>
  <c r="AG116" i="25"/>
  <c r="AF117" i="25" s="1"/>
  <c r="P208" i="20"/>
  <c r="AK206" i="3"/>
  <c r="BG206" i="3" s="1"/>
  <c r="AN208" i="20"/>
  <c r="O209" i="20"/>
  <c r="AQ208" i="20"/>
  <c r="AR208" i="20" s="1"/>
  <c r="K205" i="15"/>
  <c r="O205" i="15"/>
  <c r="AJ205" i="3"/>
  <c r="BF205" i="3" s="1"/>
  <c r="AC111" i="29"/>
  <c r="X112" i="29" s="1"/>
  <c r="AW79" i="29"/>
  <c r="AX79" i="29" s="1"/>
  <c r="AY79" i="29" s="1"/>
  <c r="T190" i="29"/>
  <c r="S190" i="29"/>
  <c r="W190" i="29" s="1"/>
  <c r="R191" i="29" s="1"/>
  <c r="U191" i="29" s="1"/>
  <c r="H80" i="29"/>
  <c r="AP80" i="29" s="1"/>
  <c r="J81" i="29"/>
  <c r="G80" i="29"/>
  <c r="K80" i="29" s="1"/>
  <c r="F81" i="29" s="1"/>
  <c r="I81" i="29" s="1"/>
  <c r="AR81" i="29" s="1"/>
  <c r="AZ204" i="29"/>
  <c r="C204" i="29"/>
  <c r="E205" i="29"/>
  <c r="AT157" i="26"/>
  <c r="N157" i="26"/>
  <c r="T157" i="26" s="1"/>
  <c r="S158" i="26" s="1"/>
  <c r="F79" i="26"/>
  <c r="AL78" i="26"/>
  <c r="AM78" i="26" s="1"/>
  <c r="AN78" i="26" s="1"/>
  <c r="AI78" i="26"/>
  <c r="AJ78" i="26" s="1"/>
  <c r="AK78" i="26" s="1"/>
  <c r="O204" i="26"/>
  <c r="AQ204" i="26"/>
  <c r="AS204" i="26"/>
  <c r="AU204" i="26"/>
  <c r="K204" i="26"/>
  <c r="J199" i="26"/>
  <c r="L199" i="26" s="1"/>
  <c r="I200" i="26" s="1"/>
  <c r="C205" i="26"/>
  <c r="AZ205" i="26"/>
  <c r="E206" i="26"/>
  <c r="AO81" i="28"/>
  <c r="AC116" i="28"/>
  <c r="X117" i="28" s="1"/>
  <c r="AB117" i="28" s="1"/>
  <c r="AL81" i="28"/>
  <c r="AM81" i="28" s="1"/>
  <c r="W170" i="28"/>
  <c r="R171" i="28" s="1"/>
  <c r="V171" i="28" s="1"/>
  <c r="AZ205" i="28"/>
  <c r="C205" i="28"/>
  <c r="E206" i="28"/>
  <c r="U204" i="25"/>
  <c r="V204" i="25"/>
  <c r="AA204" i="25"/>
  <c r="AB204" i="25"/>
  <c r="AR204" i="25"/>
  <c r="G100" i="25"/>
  <c r="K100" i="25" s="1"/>
  <c r="J101" i="25"/>
  <c r="H100" i="25"/>
  <c r="BA205" i="25"/>
  <c r="BB205" i="25"/>
  <c r="BC205" i="25"/>
  <c r="AW73" i="24"/>
  <c r="AX73" i="24" s="1"/>
  <c r="AY73" i="24" s="1"/>
  <c r="AJ97" i="25"/>
  <c r="AK97" i="25" s="1"/>
  <c r="AW97" i="25" s="1"/>
  <c r="AX97" i="25" s="1"/>
  <c r="AY97" i="25" s="1"/>
  <c r="C205" i="25"/>
  <c r="AZ205" i="25"/>
  <c r="BD205" i="25"/>
  <c r="E206" i="25"/>
  <c r="N98" i="25"/>
  <c r="AP98" i="25" s="1"/>
  <c r="P99" i="25"/>
  <c r="AS204" i="24"/>
  <c r="AU204" i="24"/>
  <c r="AQ204" i="24"/>
  <c r="C205" i="24"/>
  <c r="AZ205" i="24"/>
  <c r="E206" i="24"/>
  <c r="H74" i="24"/>
  <c r="F74" i="15"/>
  <c r="AI73" i="15"/>
  <c r="AJ73" i="15" s="1"/>
  <c r="AK73" i="15" s="1"/>
  <c r="AL73" i="15"/>
  <c r="AM73" i="15" s="1"/>
  <c r="AN73" i="15" s="1"/>
  <c r="K206" i="15"/>
  <c r="O206" i="15"/>
  <c r="AQ206" i="15"/>
  <c r="AS206" i="15"/>
  <c r="AU206" i="15"/>
  <c r="P167" i="15"/>
  <c r="M168" i="15" s="1"/>
  <c r="N168" i="15" s="1"/>
  <c r="K81" i="28"/>
  <c r="M98" i="25"/>
  <c r="AL98" i="25" s="1"/>
  <c r="O203" i="25"/>
  <c r="I203" i="25"/>
  <c r="AJ206" i="3"/>
  <c r="BF206" i="3" s="1"/>
  <c r="AW61" i="17"/>
  <c r="AX61" i="17" s="1"/>
  <c r="AY61" i="17" s="1"/>
  <c r="AP62" i="17"/>
  <c r="AL208" i="3"/>
  <c r="AM208" i="3"/>
  <c r="AI54" i="19"/>
  <c r="AJ54" i="19" s="1"/>
  <c r="AK54" i="19" s="1"/>
  <c r="AO54" i="19"/>
  <c r="AP54" i="19"/>
  <c r="K54" i="19"/>
  <c r="AC117" i="17"/>
  <c r="X118" i="17" s="1"/>
  <c r="AU62" i="17"/>
  <c r="AS62" i="17"/>
  <c r="AQ62" i="17"/>
  <c r="F63" i="17"/>
  <c r="AR205" i="19"/>
  <c r="AG123" i="19"/>
  <c r="AF124" i="19" s="1"/>
  <c r="Z124" i="19"/>
  <c r="Y124" i="19"/>
  <c r="T146" i="15"/>
  <c r="S147" i="15" s="1"/>
  <c r="S126" i="19"/>
  <c r="W126" i="19" s="1"/>
  <c r="R127" i="19" s="1"/>
  <c r="T126" i="19"/>
  <c r="AT125" i="19"/>
  <c r="AE125" i="19"/>
  <c r="AD126" i="19" s="1"/>
  <c r="U206" i="17"/>
  <c r="AA206" i="17"/>
  <c r="V206" i="17"/>
  <c r="AB206" i="17"/>
  <c r="AB206" i="19"/>
  <c r="O206" i="19"/>
  <c r="O206" i="17"/>
  <c r="AA206" i="19"/>
  <c r="I206" i="19"/>
  <c r="U206" i="19"/>
  <c r="I206" i="17"/>
  <c r="V206" i="19"/>
  <c r="N135" i="19"/>
  <c r="P136" i="19"/>
  <c r="M135" i="19"/>
  <c r="Q135" i="19" s="1"/>
  <c r="L136" i="19" s="1"/>
  <c r="AT133" i="17"/>
  <c r="AE133" i="17"/>
  <c r="AD134" i="17" s="1"/>
  <c r="N135" i="17"/>
  <c r="M135" i="17"/>
  <c r="Q135" i="17" s="1"/>
  <c r="L136" i="17" s="1"/>
  <c r="P136" i="17"/>
  <c r="T134" i="17"/>
  <c r="S134" i="17"/>
  <c r="W134" i="17" s="1"/>
  <c r="R135" i="17" s="1"/>
  <c r="C206" i="19"/>
  <c r="AZ206" i="19"/>
  <c r="E207" i="19"/>
  <c r="AR205" i="16"/>
  <c r="E207" i="16"/>
  <c r="AZ206" i="16"/>
  <c r="BD206" i="16"/>
  <c r="C206" i="16"/>
  <c r="J203" i="18"/>
  <c r="L203" i="18" s="1"/>
  <c r="I204" i="18" s="1"/>
  <c r="AQ204" i="18"/>
  <c r="O204" i="18"/>
  <c r="K204" i="18"/>
  <c r="AS204" i="18"/>
  <c r="AU204" i="18"/>
  <c r="C205" i="17"/>
  <c r="AZ205" i="17"/>
  <c r="E206" i="17"/>
  <c r="C205" i="18"/>
  <c r="E206" i="18"/>
  <c r="AZ205" i="18"/>
  <c r="H98" i="18"/>
  <c r="AZ207" i="15"/>
  <c r="E208" i="15"/>
  <c r="C207" i="15"/>
  <c r="P158" i="18"/>
  <c r="M159" i="18" s="1"/>
  <c r="N159" i="18" s="1"/>
  <c r="T158" i="18"/>
  <c r="S159" i="18" s="1"/>
  <c r="R157" i="18"/>
  <c r="Q158" i="18" s="1"/>
  <c r="AT158" i="18" s="1"/>
  <c r="L146" i="15"/>
  <c r="I147" i="15" s="1"/>
  <c r="J147" i="15" s="1"/>
  <c r="R146" i="15"/>
  <c r="Q147" i="15" s="1"/>
  <c r="AT147" i="15" s="1"/>
  <c r="BC207" i="3"/>
  <c r="AE208" i="3"/>
  <c r="AQ211" i="3"/>
  <c r="H208" i="3"/>
  <c r="AF207" i="3"/>
  <c r="AD207" i="3" s="1"/>
  <c r="AN211" i="3"/>
  <c r="AN212" i="3" s="1"/>
  <c r="P211" i="3"/>
  <c r="P212" i="3" s="1"/>
  <c r="G210" i="3"/>
  <c r="AV209" i="3"/>
  <c r="AX209" i="3" s="1"/>
  <c r="BB209" i="3" s="1"/>
  <c r="V209" i="3"/>
  <c r="X209" i="3" s="1"/>
  <c r="AW211" i="3"/>
  <c r="BD207" i="3"/>
  <c r="AH208" i="3"/>
  <c r="AI206" i="3"/>
  <c r="BE206" i="3" s="1"/>
  <c r="AG208" i="3"/>
  <c r="A209" i="3"/>
  <c r="BI209" i="3" s="1"/>
  <c r="BJ209" i="3" s="1"/>
  <c r="Y208" i="3"/>
  <c r="AC207" i="3"/>
  <c r="AT169" i="25" l="1"/>
  <c r="AE169" i="25"/>
  <c r="AD170" i="25" s="1"/>
  <c r="T170" i="25"/>
  <c r="S170" i="25"/>
  <c r="W170" i="25" s="1"/>
  <c r="R171" i="25" s="1"/>
  <c r="O81" i="29"/>
  <c r="M81" i="29"/>
  <c r="N81" i="29"/>
  <c r="P82" i="29"/>
  <c r="Z112" i="29"/>
  <c r="AA112" i="29"/>
  <c r="AE112" i="29" s="1"/>
  <c r="AD113" i="29" s="1"/>
  <c r="AR211" i="3"/>
  <c r="L108" i="24"/>
  <c r="I109" i="24" s="1"/>
  <c r="AG117" i="25"/>
  <c r="AF118" i="25" s="1"/>
  <c r="R108" i="24"/>
  <c r="Q109" i="24" s="1"/>
  <c r="AT109" i="24" s="1"/>
  <c r="O122" i="24"/>
  <c r="N122" i="24"/>
  <c r="AC117" i="25"/>
  <c r="X118" i="25" s="1"/>
  <c r="P209" i="20"/>
  <c r="AJ207" i="3"/>
  <c r="BF207" i="3" s="1"/>
  <c r="AN209" i="20"/>
  <c r="AQ209" i="20"/>
  <c r="AR209" i="20" s="1"/>
  <c r="O210" i="20"/>
  <c r="AK207" i="3"/>
  <c r="BG207" i="3" s="1"/>
  <c r="Y112" i="29"/>
  <c r="T191" i="29"/>
  <c r="S191" i="29"/>
  <c r="W191" i="29" s="1"/>
  <c r="R192" i="29" s="1"/>
  <c r="U192" i="29" s="1"/>
  <c r="AI80" i="29"/>
  <c r="AJ80" i="29" s="1"/>
  <c r="AK80" i="29" s="1"/>
  <c r="AL80" i="29"/>
  <c r="AM80" i="29" s="1"/>
  <c r="AN80" i="29" s="1"/>
  <c r="C205" i="29"/>
  <c r="AZ205" i="29"/>
  <c r="E206" i="29"/>
  <c r="J82" i="29"/>
  <c r="H81" i="29"/>
  <c r="G81" i="29"/>
  <c r="K81" i="29" s="1"/>
  <c r="F82" i="29" s="1"/>
  <c r="I82" i="29" s="1"/>
  <c r="AR82" i="29" s="1"/>
  <c r="R157" i="26"/>
  <c r="Q158" i="26" s="1"/>
  <c r="AT158" i="26" s="1"/>
  <c r="AO80" i="29"/>
  <c r="AU80" i="29"/>
  <c r="AS80" i="29"/>
  <c r="AQ80" i="29"/>
  <c r="P157" i="26"/>
  <c r="M158" i="26" s="1"/>
  <c r="N158" i="26" s="1"/>
  <c r="J200" i="26"/>
  <c r="L200" i="26" s="1"/>
  <c r="I201" i="26" s="1"/>
  <c r="G79" i="26"/>
  <c r="AR79" i="26" s="1"/>
  <c r="AW78" i="26"/>
  <c r="AX78" i="26" s="1"/>
  <c r="AY78" i="26" s="1"/>
  <c r="AS205" i="26"/>
  <c r="AU205" i="26"/>
  <c r="AQ205" i="26"/>
  <c r="K205" i="26"/>
  <c r="O205" i="26"/>
  <c r="C206" i="26"/>
  <c r="AZ206" i="26"/>
  <c r="E207" i="26"/>
  <c r="Z117" i="28"/>
  <c r="Y117" i="28"/>
  <c r="AG117" i="28" s="1"/>
  <c r="AF118" i="28" s="1"/>
  <c r="T171" i="28"/>
  <c r="S171" i="28"/>
  <c r="AE171" i="28" s="1"/>
  <c r="AD172" i="28" s="1"/>
  <c r="AT172" i="28" s="1"/>
  <c r="AN81" i="28"/>
  <c r="AQ81" i="28"/>
  <c r="AS81" i="28"/>
  <c r="AU81" i="28"/>
  <c r="F82" i="28"/>
  <c r="I82" i="28" s="1"/>
  <c r="Q82" i="28" s="1"/>
  <c r="L83" i="28" s="1"/>
  <c r="C206" i="28"/>
  <c r="AZ206" i="28"/>
  <c r="E207" i="28"/>
  <c r="AJ81" i="28"/>
  <c r="AK81" i="28" s="1"/>
  <c r="F101" i="25"/>
  <c r="U205" i="25"/>
  <c r="V205" i="25"/>
  <c r="AA205" i="25"/>
  <c r="AB205" i="25"/>
  <c r="AR205" i="25"/>
  <c r="BA206" i="25"/>
  <c r="BB206" i="25"/>
  <c r="BC206" i="25"/>
  <c r="AO98" i="25"/>
  <c r="AZ206" i="25"/>
  <c r="BD206" i="25"/>
  <c r="C206" i="25"/>
  <c r="E207" i="25"/>
  <c r="AM98" i="25"/>
  <c r="AN98" i="25" s="1"/>
  <c r="AQ205" i="24"/>
  <c r="AS205" i="24"/>
  <c r="AU205" i="24"/>
  <c r="C206" i="24"/>
  <c r="AZ206" i="24"/>
  <c r="E207" i="24"/>
  <c r="F75" i="24"/>
  <c r="AI74" i="24"/>
  <c r="AJ74" i="24" s="1"/>
  <c r="AL74" i="24"/>
  <c r="AM74" i="24" s="1"/>
  <c r="G74" i="15"/>
  <c r="AR74" i="15" s="1"/>
  <c r="AW73" i="15"/>
  <c r="AX73" i="15" s="1"/>
  <c r="AY73" i="15" s="1"/>
  <c r="K207" i="15"/>
  <c r="O207" i="15"/>
  <c r="AQ207" i="15"/>
  <c r="AS207" i="15"/>
  <c r="AU207" i="15"/>
  <c r="P168" i="15"/>
  <c r="M169" i="15" s="1"/>
  <c r="N169" i="15" s="1"/>
  <c r="Q98" i="25"/>
  <c r="I204" i="25"/>
  <c r="O204" i="25"/>
  <c r="AW62" i="17"/>
  <c r="AX62" i="17" s="1"/>
  <c r="AY62" i="17" s="1"/>
  <c r="AM209" i="3"/>
  <c r="AL209" i="3"/>
  <c r="Z118" i="17"/>
  <c r="Y118" i="17"/>
  <c r="F55" i="19"/>
  <c r="AQ54" i="19"/>
  <c r="AS54" i="19"/>
  <c r="AU54" i="19"/>
  <c r="J64" i="17"/>
  <c r="H63" i="17"/>
  <c r="G63" i="17"/>
  <c r="AG124" i="19"/>
  <c r="AF125" i="19" s="1"/>
  <c r="AC124" i="19"/>
  <c r="X125" i="19" s="1"/>
  <c r="AR206" i="19"/>
  <c r="S127" i="19"/>
  <c r="W127" i="19" s="1"/>
  <c r="R128" i="19" s="1"/>
  <c r="T127" i="19"/>
  <c r="AT126" i="19"/>
  <c r="AE126" i="19"/>
  <c r="AD127" i="19" s="1"/>
  <c r="S135" i="17"/>
  <c r="W135" i="17" s="1"/>
  <c r="R136" i="17" s="1"/>
  <c r="T135" i="17"/>
  <c r="P137" i="17"/>
  <c r="N136" i="17"/>
  <c r="M136" i="17"/>
  <c r="Q136" i="17" s="1"/>
  <c r="L137" i="17" s="1"/>
  <c r="AA207" i="17"/>
  <c r="I207" i="17"/>
  <c r="V207" i="17"/>
  <c r="AB207" i="17"/>
  <c r="U207" i="19"/>
  <c r="AB207" i="19"/>
  <c r="O207" i="19"/>
  <c r="V207" i="19"/>
  <c r="U207" i="17"/>
  <c r="I207" i="19"/>
  <c r="AA207" i="19"/>
  <c r="O207" i="17"/>
  <c r="P137" i="19"/>
  <c r="N136" i="19"/>
  <c r="M136" i="19"/>
  <c r="Q136" i="19" s="1"/>
  <c r="L137" i="19" s="1"/>
  <c r="T147" i="15"/>
  <c r="S148" i="15" s="1"/>
  <c r="AT134" i="17"/>
  <c r="AE134" i="17"/>
  <c r="AD135" i="17" s="1"/>
  <c r="AZ207" i="19"/>
  <c r="C207" i="19"/>
  <c r="E208" i="19"/>
  <c r="AR206" i="16"/>
  <c r="E208" i="16"/>
  <c r="AZ207" i="16"/>
  <c r="C207" i="16"/>
  <c r="BD207" i="16"/>
  <c r="J204" i="18"/>
  <c r="L204" i="18" s="1"/>
  <c r="I205" i="18" s="1"/>
  <c r="C206" i="18"/>
  <c r="E207" i="18"/>
  <c r="AZ206" i="18"/>
  <c r="O205" i="18"/>
  <c r="AS205" i="18"/>
  <c r="AQ205" i="18"/>
  <c r="AU205" i="18"/>
  <c r="K205" i="18"/>
  <c r="C206" i="17"/>
  <c r="AZ206" i="17"/>
  <c r="E207" i="17"/>
  <c r="C208" i="15"/>
  <c r="E209" i="15"/>
  <c r="AZ208" i="15"/>
  <c r="F99" i="18"/>
  <c r="AL98" i="18"/>
  <c r="AI98" i="18"/>
  <c r="AJ98" i="18" s="1"/>
  <c r="AK98" i="18" s="1"/>
  <c r="P159" i="18"/>
  <c r="M160" i="18" s="1"/>
  <c r="N160" i="18" s="1"/>
  <c r="T159" i="18"/>
  <c r="S160" i="18" s="1"/>
  <c r="R158" i="18"/>
  <c r="Q159" i="18" s="1"/>
  <c r="AT159" i="18" s="1"/>
  <c r="A210" i="3"/>
  <c r="BI210" i="3" s="1"/>
  <c r="BJ210" i="3" s="1"/>
  <c r="AN213" i="3"/>
  <c r="AW212" i="3"/>
  <c r="V210" i="3"/>
  <c r="X210" i="3" s="1"/>
  <c r="AV210" i="3"/>
  <c r="AX210" i="3" s="1"/>
  <c r="BB210" i="3" s="1"/>
  <c r="G211" i="3"/>
  <c r="AI207" i="3"/>
  <c r="BE207" i="3" s="1"/>
  <c r="AG209" i="3"/>
  <c r="H209" i="3"/>
  <c r="AF208" i="3"/>
  <c r="AK208" i="3" s="1"/>
  <c r="AE209" i="3"/>
  <c r="BC208" i="3"/>
  <c r="AC208" i="3"/>
  <c r="Y209" i="3"/>
  <c r="AH209" i="3"/>
  <c r="BD208" i="3"/>
  <c r="AQ212" i="3"/>
  <c r="AE170" i="25" l="1"/>
  <c r="AD171" i="25" s="1"/>
  <c r="AT170" i="25"/>
  <c r="T171" i="25"/>
  <c r="S171" i="25"/>
  <c r="W171" i="25" s="1"/>
  <c r="R172" i="25" s="1"/>
  <c r="AP81" i="29"/>
  <c r="Q81" i="29"/>
  <c r="L82" i="29" s="1"/>
  <c r="N82" i="29" s="1"/>
  <c r="AG112" i="29"/>
  <c r="AF113" i="29" s="1"/>
  <c r="O83" i="28"/>
  <c r="M83" i="28"/>
  <c r="P84" i="28"/>
  <c r="N83" i="28"/>
  <c r="AT113" i="29"/>
  <c r="AR212" i="3"/>
  <c r="P122" i="24"/>
  <c r="M123" i="24" s="1"/>
  <c r="Z118" i="25"/>
  <c r="Y118" i="25"/>
  <c r="AG118" i="25" s="1"/>
  <c r="AF119" i="25" s="1"/>
  <c r="K109" i="24"/>
  <c r="T109" i="24" s="1"/>
  <c r="S110" i="24" s="1"/>
  <c r="J109" i="24"/>
  <c r="AM210" i="3"/>
  <c r="AN210" i="20"/>
  <c r="O211" i="20"/>
  <c r="AQ210" i="20"/>
  <c r="AR210" i="20" s="1"/>
  <c r="P210" i="20"/>
  <c r="BG208" i="3"/>
  <c r="AC112" i="29"/>
  <c r="X113" i="29" s="1"/>
  <c r="T192" i="29"/>
  <c r="S192" i="29"/>
  <c r="W192" i="29" s="1"/>
  <c r="R193" i="29" s="1"/>
  <c r="U193" i="29" s="1"/>
  <c r="H82" i="29"/>
  <c r="J83" i="29"/>
  <c r="G82" i="29"/>
  <c r="AL81" i="29"/>
  <c r="AI81" i="29"/>
  <c r="AW80" i="29"/>
  <c r="AX80" i="29" s="1"/>
  <c r="AY80" i="29" s="1"/>
  <c r="AZ206" i="29"/>
  <c r="C206" i="29"/>
  <c r="E207" i="29"/>
  <c r="AO81" i="29"/>
  <c r="T158" i="26"/>
  <c r="S159" i="26" s="1"/>
  <c r="R158" i="26"/>
  <c r="Q159" i="26" s="1"/>
  <c r="AT159" i="26" s="1"/>
  <c r="P158" i="26"/>
  <c r="M159" i="26" s="1"/>
  <c r="J201" i="26"/>
  <c r="L201" i="26" s="1"/>
  <c r="I202" i="26" s="1"/>
  <c r="H79" i="26"/>
  <c r="O206" i="26"/>
  <c r="K206" i="26"/>
  <c r="AS206" i="26"/>
  <c r="AU206" i="26"/>
  <c r="AQ206" i="26"/>
  <c r="C207" i="26"/>
  <c r="AZ207" i="26"/>
  <c r="E208" i="26"/>
  <c r="W171" i="28"/>
  <c r="R172" i="28" s="1"/>
  <c r="AC117" i="28"/>
  <c r="X118" i="28" s="1"/>
  <c r="AB118" i="28" s="1"/>
  <c r="H82" i="28"/>
  <c r="AP82" i="28" s="1"/>
  <c r="J83" i="28"/>
  <c r="G82" i="28"/>
  <c r="AL82" i="28" s="1"/>
  <c r="AZ207" i="28"/>
  <c r="C207" i="28"/>
  <c r="E208" i="28"/>
  <c r="BA207" i="25"/>
  <c r="BB207" i="25"/>
  <c r="BC207" i="25"/>
  <c r="G101" i="25"/>
  <c r="K101" i="25" s="1"/>
  <c r="H101" i="25"/>
  <c r="J102" i="25"/>
  <c r="AI98" i="25"/>
  <c r="AQ98" i="25"/>
  <c r="AS98" i="25"/>
  <c r="AU98" i="25"/>
  <c r="U206" i="25"/>
  <c r="V206" i="25"/>
  <c r="AA206" i="25"/>
  <c r="AB206" i="25"/>
  <c r="AR206" i="25"/>
  <c r="C207" i="25"/>
  <c r="AZ207" i="25"/>
  <c r="BD207" i="25"/>
  <c r="E208" i="25"/>
  <c r="L99" i="25"/>
  <c r="C207" i="24"/>
  <c r="AZ207" i="24"/>
  <c r="E208" i="24"/>
  <c r="AK74" i="24"/>
  <c r="AN74" i="24"/>
  <c r="AQ206" i="24"/>
  <c r="AS206" i="24"/>
  <c r="AU206" i="24"/>
  <c r="G75" i="24"/>
  <c r="AR75" i="24" s="1"/>
  <c r="H74" i="15"/>
  <c r="AQ208" i="15"/>
  <c r="AS208" i="15"/>
  <c r="AU208" i="15"/>
  <c r="P169" i="15"/>
  <c r="M170" i="15" s="1"/>
  <c r="N170" i="15" s="1"/>
  <c r="AW81" i="28"/>
  <c r="AX81" i="28" s="1"/>
  <c r="AY81" i="28" s="1"/>
  <c r="I205" i="25"/>
  <c r="O205" i="25"/>
  <c r="AW54" i="19"/>
  <c r="AX54" i="19" s="1"/>
  <c r="AY54" i="19" s="1"/>
  <c r="AR207" i="19"/>
  <c r="AD208" i="3"/>
  <c r="AI208" i="3" s="1"/>
  <c r="BE208" i="3" s="1"/>
  <c r="AG118" i="17"/>
  <c r="AF119" i="17" s="1"/>
  <c r="AC118" i="17"/>
  <c r="X119" i="17" s="1"/>
  <c r="G55" i="19"/>
  <c r="AL55" i="19" s="1"/>
  <c r="AM55" i="19" s="1"/>
  <c r="AN55" i="19" s="1"/>
  <c r="H55" i="19"/>
  <c r="J56" i="19"/>
  <c r="K63" i="17"/>
  <c r="AI63" i="17"/>
  <c r="AJ63" i="17" s="1"/>
  <c r="AK63" i="17" s="1"/>
  <c r="AL63" i="17"/>
  <c r="AM63" i="17" s="1"/>
  <c r="AN63" i="17" s="1"/>
  <c r="AO63" i="17"/>
  <c r="AP63" i="17"/>
  <c r="Z125" i="19"/>
  <c r="Y125" i="19"/>
  <c r="AG125" i="19" s="1"/>
  <c r="AF126" i="19" s="1"/>
  <c r="AT127" i="19"/>
  <c r="AE127" i="19"/>
  <c r="AD128" i="19" s="1"/>
  <c r="S128" i="19"/>
  <c r="W128" i="19" s="1"/>
  <c r="R129" i="19" s="1"/>
  <c r="T128" i="19"/>
  <c r="U208" i="17"/>
  <c r="V208" i="17"/>
  <c r="AB208" i="17"/>
  <c r="O208" i="17"/>
  <c r="V208" i="19"/>
  <c r="I208" i="17"/>
  <c r="U208" i="19"/>
  <c r="AA208" i="17"/>
  <c r="O208" i="19"/>
  <c r="I208" i="19"/>
  <c r="AA208" i="19"/>
  <c r="AB208" i="19"/>
  <c r="N137" i="19"/>
  <c r="P138" i="19"/>
  <c r="M137" i="19"/>
  <c r="Q137" i="19" s="1"/>
  <c r="L138" i="19" s="1"/>
  <c r="P138" i="17"/>
  <c r="N137" i="17"/>
  <c r="M137" i="17"/>
  <c r="Q137" i="17" s="1"/>
  <c r="L138" i="17" s="1"/>
  <c r="AT135" i="17"/>
  <c r="AE135" i="17"/>
  <c r="AD136" i="17" s="1"/>
  <c r="T136" i="17"/>
  <c r="S136" i="17"/>
  <c r="W136" i="17" s="1"/>
  <c r="R137" i="17" s="1"/>
  <c r="AZ208" i="19"/>
  <c r="C208" i="19"/>
  <c r="E209" i="19"/>
  <c r="BD208" i="16"/>
  <c r="E209" i="16"/>
  <c r="C208" i="16"/>
  <c r="AZ208" i="16"/>
  <c r="AR207" i="16"/>
  <c r="J205" i="18"/>
  <c r="L205" i="18" s="1"/>
  <c r="I206" i="18" s="1"/>
  <c r="E208" i="18"/>
  <c r="AZ207" i="18"/>
  <c r="C207" i="18"/>
  <c r="K206" i="18"/>
  <c r="AU206" i="18"/>
  <c r="AS206" i="18"/>
  <c r="AQ206" i="18"/>
  <c r="O206" i="18"/>
  <c r="C207" i="17"/>
  <c r="E208" i="17"/>
  <c r="AZ207" i="17"/>
  <c r="AM98" i="18"/>
  <c r="AN98" i="18" s="1"/>
  <c r="AW98" i="18" s="1"/>
  <c r="AX98" i="18" s="1"/>
  <c r="AY98" i="18" s="1"/>
  <c r="G99" i="18"/>
  <c r="AR99" i="18" s="1"/>
  <c r="AZ209" i="15"/>
  <c r="C209" i="15"/>
  <c r="E210" i="15"/>
  <c r="P160" i="18"/>
  <c r="M161" i="18" s="1"/>
  <c r="N161" i="18" s="1"/>
  <c r="T160" i="18"/>
  <c r="S161" i="18" s="1"/>
  <c r="R159" i="18"/>
  <c r="Q160" i="18" s="1"/>
  <c r="AT160" i="18" s="1"/>
  <c r="L147" i="15"/>
  <c r="I148" i="15" s="1"/>
  <c r="J148" i="15" s="1"/>
  <c r="R147" i="15"/>
  <c r="Q148" i="15" s="1"/>
  <c r="AT148" i="15" s="1"/>
  <c r="H210" i="3"/>
  <c r="AF209" i="3"/>
  <c r="AN214" i="3"/>
  <c r="AQ213" i="3"/>
  <c r="AH210" i="3"/>
  <c r="BD209" i="3"/>
  <c r="Y210" i="3"/>
  <c r="AC209" i="3"/>
  <c r="BC209" i="3"/>
  <c r="AE210" i="3"/>
  <c r="AW213" i="3"/>
  <c r="A211" i="3"/>
  <c r="BI211" i="3" s="1"/>
  <c r="BJ211" i="3" s="1"/>
  <c r="P213" i="3"/>
  <c r="P214" i="3" s="1"/>
  <c r="AG210" i="3"/>
  <c r="G212" i="3"/>
  <c r="AV211" i="3"/>
  <c r="AX211" i="3" s="1"/>
  <c r="BB211" i="3" s="1"/>
  <c r="V211" i="3"/>
  <c r="X211" i="3" s="1"/>
  <c r="AL210" i="3"/>
  <c r="AE171" i="25" l="1"/>
  <c r="AD172" i="25" s="1"/>
  <c r="AT171" i="25"/>
  <c r="S172" i="25"/>
  <c r="W172" i="25" s="1"/>
  <c r="R173" i="25" s="1"/>
  <c r="T172" i="25"/>
  <c r="O82" i="29"/>
  <c r="M82" i="29"/>
  <c r="AL82" i="29" s="1"/>
  <c r="AM82" i="29" s="1"/>
  <c r="AN82" i="29" s="1"/>
  <c r="P83" i="29"/>
  <c r="AS81" i="29"/>
  <c r="AQ81" i="29"/>
  <c r="AU81" i="29"/>
  <c r="AP82" i="29"/>
  <c r="Z113" i="29"/>
  <c r="AA113" i="29"/>
  <c r="AE113" i="29" s="1"/>
  <c r="AD114" i="29" s="1"/>
  <c r="S172" i="28"/>
  <c r="W172" i="28" s="1"/>
  <c r="R173" i="28" s="1"/>
  <c r="V173" i="28" s="1"/>
  <c r="V172" i="28"/>
  <c r="AR213" i="3"/>
  <c r="R109" i="24"/>
  <c r="Q110" i="24" s="1"/>
  <c r="AT110" i="24" s="1"/>
  <c r="L109" i="24"/>
  <c r="I110" i="24" s="1"/>
  <c r="AC118" i="25"/>
  <c r="X119" i="25" s="1"/>
  <c r="O123" i="24"/>
  <c r="N123" i="24"/>
  <c r="AN211" i="20"/>
  <c r="AL211" i="3"/>
  <c r="AQ211" i="20"/>
  <c r="AR211" i="20" s="1"/>
  <c r="O212" i="20"/>
  <c r="P211" i="20"/>
  <c r="AK209" i="3"/>
  <c r="BG209" i="3" s="1"/>
  <c r="AJ208" i="3"/>
  <c r="BF208" i="3" s="1"/>
  <c r="O208" i="15"/>
  <c r="K208" i="15"/>
  <c r="Y113" i="29"/>
  <c r="T193" i="29"/>
  <c r="S193" i="29"/>
  <c r="W193" i="29" s="1"/>
  <c r="R194" i="29" s="1"/>
  <c r="U194" i="29" s="1"/>
  <c r="AJ81" i="29"/>
  <c r="AK81" i="29" s="1"/>
  <c r="C207" i="29"/>
  <c r="AZ207" i="29"/>
  <c r="E208" i="29"/>
  <c r="AO82" i="29"/>
  <c r="K82" i="29"/>
  <c r="AM81" i="29"/>
  <c r="AN81" i="29" s="1"/>
  <c r="N159" i="26"/>
  <c r="P159" i="26" s="1"/>
  <c r="M160" i="26" s="1"/>
  <c r="J202" i="26"/>
  <c r="L202" i="26" s="1"/>
  <c r="I203" i="26" s="1"/>
  <c r="K207" i="26"/>
  <c r="O207" i="26"/>
  <c r="AQ207" i="26"/>
  <c r="AS207" i="26"/>
  <c r="AU207" i="26"/>
  <c r="F80" i="26"/>
  <c r="AL79" i="26"/>
  <c r="AI79" i="26"/>
  <c r="AZ208" i="26"/>
  <c r="C208" i="26"/>
  <c r="E209" i="26"/>
  <c r="T172" i="28"/>
  <c r="Z118" i="28"/>
  <c r="Y118" i="28"/>
  <c r="AG118" i="28" s="1"/>
  <c r="AF119" i="28" s="1"/>
  <c r="AO82" i="28"/>
  <c r="AI82" i="28"/>
  <c r="AM82" i="28"/>
  <c r="AN82" i="28" s="1"/>
  <c r="C208" i="28"/>
  <c r="AZ208" i="28"/>
  <c r="E209" i="28"/>
  <c r="F102" i="25"/>
  <c r="U207" i="25"/>
  <c r="V207" i="25"/>
  <c r="AA207" i="25"/>
  <c r="AB207" i="25"/>
  <c r="AR207" i="25"/>
  <c r="BA208" i="25"/>
  <c r="BB208" i="25"/>
  <c r="BC208" i="25"/>
  <c r="AJ98" i="25"/>
  <c r="AK98" i="25" s="1"/>
  <c r="AW98" i="25" s="1"/>
  <c r="AX98" i="25" s="1"/>
  <c r="AY98" i="25" s="1"/>
  <c r="AZ208" i="25"/>
  <c r="BD208" i="25"/>
  <c r="C208" i="25"/>
  <c r="E209" i="25"/>
  <c r="P100" i="25"/>
  <c r="N99" i="25"/>
  <c r="AP99" i="25" s="1"/>
  <c r="AW74" i="24"/>
  <c r="AX74" i="24" s="1"/>
  <c r="AY74" i="24" s="1"/>
  <c r="AQ207" i="24"/>
  <c r="AS207" i="24"/>
  <c r="AU207" i="24"/>
  <c r="AZ208" i="24"/>
  <c r="C208" i="24"/>
  <c r="E209" i="24"/>
  <c r="H75" i="24"/>
  <c r="F75" i="15"/>
  <c r="AI74" i="15"/>
  <c r="AJ74" i="15" s="1"/>
  <c r="AK74" i="15" s="1"/>
  <c r="AL74" i="15"/>
  <c r="AM74" i="15" s="1"/>
  <c r="AN74" i="15" s="1"/>
  <c r="AS209" i="15"/>
  <c r="AU209" i="15"/>
  <c r="AQ209" i="15"/>
  <c r="P170" i="15"/>
  <c r="M171" i="15" s="1"/>
  <c r="N171" i="15" s="1"/>
  <c r="K82" i="28"/>
  <c r="M99" i="25"/>
  <c r="Q99" i="25" s="1"/>
  <c r="L100" i="25" s="1"/>
  <c r="O206" i="25"/>
  <c r="I206" i="25"/>
  <c r="K55" i="19"/>
  <c r="AO55" i="19"/>
  <c r="AP55" i="19"/>
  <c r="Y119" i="17"/>
  <c r="AG119" i="17" s="1"/>
  <c r="AF120" i="17" s="1"/>
  <c r="Z119" i="17"/>
  <c r="AI55" i="19"/>
  <c r="AJ55" i="19" s="1"/>
  <c r="AK55" i="19" s="1"/>
  <c r="F64" i="17"/>
  <c r="AQ63" i="17"/>
  <c r="AU63" i="17"/>
  <c r="AS63" i="17"/>
  <c r="AC125" i="19"/>
  <c r="X126" i="19" s="1"/>
  <c r="Z126" i="19" s="1"/>
  <c r="AR208" i="19"/>
  <c r="T129" i="19"/>
  <c r="S129" i="19"/>
  <c r="W129" i="19" s="1"/>
  <c r="R130" i="19" s="1"/>
  <c r="AT128" i="19"/>
  <c r="AE128" i="19"/>
  <c r="AD129" i="19" s="1"/>
  <c r="T148" i="15"/>
  <c r="S149" i="15" s="1"/>
  <c r="S137" i="17"/>
  <c r="W137" i="17" s="1"/>
  <c r="R138" i="17" s="1"/>
  <c r="T137" i="17"/>
  <c r="M138" i="17"/>
  <c r="Q138" i="17" s="1"/>
  <c r="L139" i="17" s="1"/>
  <c r="P139" i="17"/>
  <c r="N138" i="17"/>
  <c r="AA209" i="17"/>
  <c r="I209" i="17"/>
  <c r="U209" i="17"/>
  <c r="AB209" i="17"/>
  <c r="AA209" i="19"/>
  <c r="I209" i="19"/>
  <c r="V209" i="17"/>
  <c r="V209" i="19"/>
  <c r="O209" i="19"/>
  <c r="O209" i="17"/>
  <c r="U209" i="19"/>
  <c r="AB209" i="19"/>
  <c r="AT136" i="17"/>
  <c r="AE136" i="17"/>
  <c r="AD137" i="17" s="1"/>
  <c r="M138" i="19"/>
  <c r="Q138" i="19" s="1"/>
  <c r="L139" i="19" s="1"/>
  <c r="N138" i="19"/>
  <c r="P139" i="19"/>
  <c r="AZ209" i="19"/>
  <c r="E210" i="19"/>
  <c r="C209" i="19"/>
  <c r="AZ209" i="16"/>
  <c r="C209" i="16"/>
  <c r="BD209" i="16"/>
  <c r="E210" i="16"/>
  <c r="AR208" i="16"/>
  <c r="J206" i="18"/>
  <c r="L206" i="18" s="1"/>
  <c r="I207" i="18" s="1"/>
  <c r="J207" i="18" s="1"/>
  <c r="C208" i="17"/>
  <c r="AZ208" i="17"/>
  <c r="E209" i="17"/>
  <c r="AU207" i="18"/>
  <c r="AS207" i="18"/>
  <c r="AQ207" i="18"/>
  <c r="O207" i="18"/>
  <c r="K207" i="18"/>
  <c r="C208" i="18"/>
  <c r="E209" i="18"/>
  <c r="AZ208" i="18"/>
  <c r="H99" i="18"/>
  <c r="F100" i="18" s="1"/>
  <c r="G100" i="18" s="1"/>
  <c r="AR100" i="18" s="1"/>
  <c r="C210" i="15"/>
  <c r="E211" i="15"/>
  <c r="AZ210" i="15"/>
  <c r="R160" i="18"/>
  <c r="Q161" i="18" s="1"/>
  <c r="AT161" i="18" s="1"/>
  <c r="P161" i="18"/>
  <c r="M162" i="18" s="1"/>
  <c r="N162" i="18" s="1"/>
  <c r="T161" i="18"/>
  <c r="S162" i="18" s="1"/>
  <c r="BC210" i="3"/>
  <c r="AE211" i="3"/>
  <c r="V212" i="3"/>
  <c r="X212" i="3" s="1"/>
  <c r="G213" i="3"/>
  <c r="AV212" i="3"/>
  <c r="AX212" i="3" s="1"/>
  <c r="BB212" i="3" s="1"/>
  <c r="AW214" i="3"/>
  <c r="AH211" i="3"/>
  <c r="BD210" i="3"/>
  <c r="AN215" i="3"/>
  <c r="AG211" i="3"/>
  <c r="P215" i="3"/>
  <c r="AQ214" i="3"/>
  <c r="AD209" i="3"/>
  <c r="AI209" i="3" s="1"/>
  <c r="BE209" i="3" s="1"/>
  <c r="A212" i="3"/>
  <c r="BI212" i="3" s="1"/>
  <c r="BJ212" i="3" s="1"/>
  <c r="Y211" i="3"/>
  <c r="AC210" i="3"/>
  <c r="AM211" i="3"/>
  <c r="H211" i="3"/>
  <c r="AF210" i="3"/>
  <c r="AD210" i="3" s="1"/>
  <c r="T173" i="25" l="1"/>
  <c r="S173" i="25"/>
  <c r="W173" i="25" s="1"/>
  <c r="R174" i="25" s="1"/>
  <c r="AE172" i="25"/>
  <c r="AD173" i="25" s="1"/>
  <c r="AT172" i="25"/>
  <c r="Q82" i="29"/>
  <c r="L83" i="29" s="1"/>
  <c r="AI82" i="29"/>
  <c r="AJ82" i="29" s="1"/>
  <c r="AK82" i="29" s="1"/>
  <c r="AE172" i="28"/>
  <c r="AD173" i="28" s="1"/>
  <c r="AT173" i="28" s="1"/>
  <c r="AT114" i="29"/>
  <c r="AG113" i="29"/>
  <c r="AF114" i="29" s="1"/>
  <c r="AR214" i="3"/>
  <c r="AL212" i="3"/>
  <c r="P123" i="24"/>
  <c r="M124" i="24" s="1"/>
  <c r="Z119" i="25"/>
  <c r="Y119" i="25"/>
  <c r="AG119" i="25" s="1"/>
  <c r="AF120" i="25" s="1"/>
  <c r="K110" i="24"/>
  <c r="T110" i="24" s="1"/>
  <c r="S111" i="24" s="1"/>
  <c r="J110" i="24"/>
  <c r="AN212" i="20"/>
  <c r="AK210" i="3"/>
  <c r="BG210" i="3" s="1"/>
  <c r="P212" i="20"/>
  <c r="O213" i="20"/>
  <c r="AQ212" i="20"/>
  <c r="AR212" i="20" s="1"/>
  <c r="O209" i="15"/>
  <c r="K209" i="15"/>
  <c r="AJ209" i="3"/>
  <c r="BF209" i="3" s="1"/>
  <c r="AC113" i="29"/>
  <c r="X114" i="29" s="1"/>
  <c r="AW81" i="29"/>
  <c r="AX81" i="29" s="1"/>
  <c r="AY81" i="29" s="1"/>
  <c r="T194" i="29"/>
  <c r="S194" i="29"/>
  <c r="W194" i="29" s="1"/>
  <c r="R195" i="29" s="1"/>
  <c r="U195" i="29" s="1"/>
  <c r="AZ208" i="29"/>
  <c r="C208" i="29"/>
  <c r="E209" i="29"/>
  <c r="F83" i="29"/>
  <c r="I83" i="29" s="1"/>
  <c r="AR83" i="29" s="1"/>
  <c r="N160" i="26"/>
  <c r="T159" i="26"/>
  <c r="S160" i="26" s="1"/>
  <c r="R159" i="26"/>
  <c r="Q160" i="26" s="1"/>
  <c r="AT160" i="26" s="1"/>
  <c r="J203" i="26"/>
  <c r="L203" i="26" s="1"/>
  <c r="I204" i="26" s="1"/>
  <c r="AJ79" i="26"/>
  <c r="AK79" i="26" s="1"/>
  <c r="G80" i="26"/>
  <c r="AR80" i="26" s="1"/>
  <c r="O208" i="26"/>
  <c r="AQ208" i="26"/>
  <c r="AS208" i="26"/>
  <c r="AU208" i="26"/>
  <c r="K208" i="26"/>
  <c r="AM79" i="26"/>
  <c r="AN79" i="26" s="1"/>
  <c r="C209" i="26"/>
  <c r="AZ209" i="26"/>
  <c r="E210" i="26"/>
  <c r="AC118" i="28"/>
  <c r="X119" i="28" s="1"/>
  <c r="AB119" i="28" s="1"/>
  <c r="T173" i="28"/>
  <c r="S173" i="28"/>
  <c r="AQ82" i="28"/>
  <c r="AS82" i="28"/>
  <c r="AU82" i="28"/>
  <c r="AZ209" i="28"/>
  <c r="C209" i="28"/>
  <c r="E210" i="28"/>
  <c r="F83" i="28"/>
  <c r="I83" i="28" s="1"/>
  <c r="Q83" i="28" s="1"/>
  <c r="L84" i="28" s="1"/>
  <c r="AJ82" i="28"/>
  <c r="AK82" i="28" s="1"/>
  <c r="G102" i="25"/>
  <c r="K102" i="25" s="1"/>
  <c r="H102" i="25"/>
  <c r="J103" i="25"/>
  <c r="U208" i="25"/>
  <c r="V208" i="25"/>
  <c r="AA208" i="25"/>
  <c r="AB208" i="25"/>
  <c r="AR208" i="25"/>
  <c r="BA209" i="25"/>
  <c r="BB209" i="25"/>
  <c r="BC209" i="25"/>
  <c r="AO99" i="25"/>
  <c r="AL99" i="25"/>
  <c r="AI99" i="25"/>
  <c r="AU99" i="25"/>
  <c r="AS99" i="25"/>
  <c r="AQ99" i="25"/>
  <c r="P101" i="25"/>
  <c r="N100" i="25"/>
  <c r="AP100" i="25" s="1"/>
  <c r="C209" i="25"/>
  <c r="BD209" i="25"/>
  <c r="AZ209" i="25"/>
  <c r="E210" i="25"/>
  <c r="AQ208" i="24"/>
  <c r="AS208" i="24"/>
  <c r="AU208" i="24"/>
  <c r="F76" i="24"/>
  <c r="AI75" i="24"/>
  <c r="AJ75" i="24" s="1"/>
  <c r="AL75" i="24"/>
  <c r="AM75" i="24" s="1"/>
  <c r="C209" i="24"/>
  <c r="AZ209" i="24"/>
  <c r="E210" i="24"/>
  <c r="G75" i="15"/>
  <c r="AR75" i="15" s="1"/>
  <c r="K210" i="15"/>
  <c r="O210" i="15"/>
  <c r="AQ210" i="15"/>
  <c r="AS210" i="15"/>
  <c r="AU210" i="15"/>
  <c r="AW74" i="15"/>
  <c r="AX74" i="15" s="1"/>
  <c r="AY74" i="15" s="1"/>
  <c r="P171" i="15"/>
  <c r="M172" i="15" s="1"/>
  <c r="N172" i="15" s="1"/>
  <c r="M100" i="25"/>
  <c r="AL100" i="25" s="1"/>
  <c r="O207" i="25"/>
  <c r="I207" i="25"/>
  <c r="AJ210" i="3"/>
  <c r="BF210" i="3" s="1"/>
  <c r="AW63" i="17"/>
  <c r="AX63" i="17" s="1"/>
  <c r="AY63" i="17" s="1"/>
  <c r="AC119" i="17"/>
  <c r="X120" i="17" s="1"/>
  <c r="Y120" i="17" s="1"/>
  <c r="F56" i="19"/>
  <c r="AU55" i="19"/>
  <c r="AQ55" i="19"/>
  <c r="AS55" i="19"/>
  <c r="Y126" i="19"/>
  <c r="AG126" i="19" s="1"/>
  <c r="AF127" i="19" s="1"/>
  <c r="G64" i="17"/>
  <c r="K64" i="17" s="1"/>
  <c r="F65" i="17" s="1"/>
  <c r="H64" i="17"/>
  <c r="J65" i="17"/>
  <c r="T130" i="19"/>
  <c r="S130" i="19"/>
  <c r="W130" i="19" s="1"/>
  <c r="R131" i="19" s="1"/>
  <c r="AE129" i="19"/>
  <c r="AD130" i="19" s="1"/>
  <c r="AT129" i="19"/>
  <c r="N139" i="19"/>
  <c r="M139" i="19"/>
  <c r="Q139" i="19" s="1"/>
  <c r="L140" i="19" s="1"/>
  <c r="P140" i="19"/>
  <c r="P140" i="17"/>
  <c r="M139" i="17"/>
  <c r="Q139" i="17" s="1"/>
  <c r="L140" i="17" s="1"/>
  <c r="N139" i="17"/>
  <c r="AR209" i="19"/>
  <c r="U210" i="17"/>
  <c r="O210" i="17"/>
  <c r="I210" i="17"/>
  <c r="AB210" i="19"/>
  <c r="O210" i="19"/>
  <c r="AB210" i="17"/>
  <c r="AA210" i="19"/>
  <c r="I210" i="19"/>
  <c r="U210" i="19"/>
  <c r="AA210" i="17"/>
  <c r="V210" i="19"/>
  <c r="V210" i="17"/>
  <c r="AT137" i="17"/>
  <c r="AE137" i="17"/>
  <c r="AD138" i="17" s="1"/>
  <c r="S138" i="17"/>
  <c r="W138" i="17" s="1"/>
  <c r="R139" i="17" s="1"/>
  <c r="T138" i="17"/>
  <c r="C210" i="19"/>
  <c r="AZ210" i="19"/>
  <c r="E211" i="19"/>
  <c r="L207" i="18"/>
  <c r="I208" i="18" s="1"/>
  <c r="J208" i="18" s="1"/>
  <c r="C210" i="16"/>
  <c r="E211" i="16"/>
  <c r="BD210" i="16"/>
  <c r="AZ210" i="16"/>
  <c r="AR209" i="16"/>
  <c r="E210" i="18"/>
  <c r="AZ209" i="18"/>
  <c r="C209" i="18"/>
  <c r="AU208" i="18"/>
  <c r="O208" i="18"/>
  <c r="AS208" i="18"/>
  <c r="K208" i="18"/>
  <c r="AQ208" i="18"/>
  <c r="AZ209" i="17"/>
  <c r="C209" i="17"/>
  <c r="E210" i="17"/>
  <c r="AL99" i="18"/>
  <c r="AM99" i="18" s="1"/>
  <c r="AN99" i="18" s="1"/>
  <c r="H100" i="18"/>
  <c r="F101" i="18" s="1"/>
  <c r="G101" i="18" s="1"/>
  <c r="AR101" i="18" s="1"/>
  <c r="AI99" i="18"/>
  <c r="AJ99" i="18" s="1"/>
  <c r="AK99" i="18" s="1"/>
  <c r="E212" i="15"/>
  <c r="AZ211" i="15"/>
  <c r="C211" i="15"/>
  <c r="P162" i="18"/>
  <c r="M163" i="18" s="1"/>
  <c r="N163" i="18" s="1"/>
  <c r="R161" i="18"/>
  <c r="Q162" i="18" s="1"/>
  <c r="AT162" i="18" s="1"/>
  <c r="L148" i="15"/>
  <c r="I149" i="15" s="1"/>
  <c r="J149" i="15" s="1"/>
  <c r="R148" i="15"/>
  <c r="Q149" i="15" s="1"/>
  <c r="AT149" i="15" s="1"/>
  <c r="AI210" i="3"/>
  <c r="BE210" i="3" s="1"/>
  <c r="AC211" i="3"/>
  <c r="Y212" i="3"/>
  <c r="P216" i="3"/>
  <c r="AW215" i="3"/>
  <c r="H212" i="3"/>
  <c r="AF211" i="3"/>
  <c r="AD211" i="3" s="1"/>
  <c r="A213" i="3"/>
  <c r="BI213" i="3" s="1"/>
  <c r="BJ213" i="3" s="1"/>
  <c r="AQ215" i="3"/>
  <c r="AG212" i="3"/>
  <c r="AM212" i="3"/>
  <c r="AH212" i="3"/>
  <c r="BD211" i="3"/>
  <c r="G214" i="3"/>
  <c r="AV213" i="3"/>
  <c r="AX213" i="3" s="1"/>
  <c r="BB213" i="3" s="1"/>
  <c r="V213" i="3"/>
  <c r="X213" i="3" s="1"/>
  <c r="BC211" i="3"/>
  <c r="AE212" i="3"/>
  <c r="T174" i="25" l="1"/>
  <c r="S174" i="25"/>
  <c r="W174" i="25" s="1"/>
  <c r="R175" i="25" s="1"/>
  <c r="AT173" i="25"/>
  <c r="AE173" i="25"/>
  <c r="AD174" i="25" s="1"/>
  <c r="AQ82" i="29"/>
  <c r="AS82" i="29"/>
  <c r="AU82" i="29"/>
  <c r="P84" i="29"/>
  <c r="N83" i="29"/>
  <c r="M83" i="29"/>
  <c r="O83" i="29"/>
  <c r="AE173" i="28"/>
  <c r="AD174" i="28" s="1"/>
  <c r="AT174" i="28" s="1"/>
  <c r="O84" i="28"/>
  <c r="M84" i="28"/>
  <c r="N84" i="28"/>
  <c r="P85" i="28"/>
  <c r="Z114" i="29"/>
  <c r="AA114" i="29"/>
  <c r="AE114" i="29" s="1"/>
  <c r="AD115" i="29" s="1"/>
  <c r="AR215" i="3"/>
  <c r="L110" i="24"/>
  <c r="I111" i="24" s="1"/>
  <c r="R110" i="24"/>
  <c r="Q111" i="24" s="1"/>
  <c r="AT111" i="24" s="1"/>
  <c r="AC119" i="25"/>
  <c r="X120" i="25" s="1"/>
  <c r="O124" i="24"/>
  <c r="N124" i="24"/>
  <c r="AN213" i="20"/>
  <c r="P213" i="20"/>
  <c r="O214" i="20"/>
  <c r="AQ213" i="20"/>
  <c r="AR213" i="20" s="1"/>
  <c r="AK211" i="3"/>
  <c r="BG211" i="3" s="1"/>
  <c r="Y114" i="29"/>
  <c r="R160" i="26"/>
  <c r="Q161" i="26" s="1"/>
  <c r="AT161" i="26" s="1"/>
  <c r="T195" i="29"/>
  <c r="S195" i="29"/>
  <c r="W195" i="29" s="1"/>
  <c r="R196" i="29" s="1"/>
  <c r="U196" i="29" s="1"/>
  <c r="C209" i="29"/>
  <c r="AZ209" i="29"/>
  <c r="E210" i="29"/>
  <c r="J84" i="29"/>
  <c r="H83" i="29"/>
  <c r="G83" i="29"/>
  <c r="T160" i="26"/>
  <c r="S161" i="26" s="1"/>
  <c r="P160" i="26"/>
  <c r="M161" i="26" s="1"/>
  <c r="N161" i="26" s="1"/>
  <c r="P161" i="26" s="1"/>
  <c r="M162" i="26" s="1"/>
  <c r="AW79" i="26"/>
  <c r="AX79" i="26" s="1"/>
  <c r="AY79" i="26" s="1"/>
  <c r="J204" i="26"/>
  <c r="L204" i="26" s="1"/>
  <c r="I205" i="26" s="1"/>
  <c r="H80" i="26"/>
  <c r="AS209" i="26"/>
  <c r="AU209" i="26"/>
  <c r="AQ209" i="26"/>
  <c r="K209" i="26"/>
  <c r="O209" i="26"/>
  <c r="C210" i="26"/>
  <c r="AZ210" i="26"/>
  <c r="E211" i="26"/>
  <c r="W173" i="28"/>
  <c r="R174" i="28" s="1"/>
  <c r="V174" i="28" s="1"/>
  <c r="Z119" i="28"/>
  <c r="Y119" i="28"/>
  <c r="AG119" i="28" s="1"/>
  <c r="AF120" i="28" s="1"/>
  <c r="H83" i="28"/>
  <c r="AP83" i="28" s="1"/>
  <c r="J84" i="28"/>
  <c r="G83" i="28"/>
  <c r="AL83" i="28" s="1"/>
  <c r="C210" i="28"/>
  <c r="AZ210" i="28"/>
  <c r="E211" i="28"/>
  <c r="F103" i="25"/>
  <c r="AO100" i="25"/>
  <c r="AR209" i="25"/>
  <c r="U209" i="25"/>
  <c r="V209" i="25"/>
  <c r="AA209" i="25"/>
  <c r="AB209" i="25"/>
  <c r="BA210" i="25"/>
  <c r="BB210" i="25"/>
  <c r="BC210" i="25"/>
  <c r="AZ210" i="25"/>
  <c r="BD210" i="25"/>
  <c r="C210" i="25"/>
  <c r="E211" i="25"/>
  <c r="AK75" i="24"/>
  <c r="AN75" i="24"/>
  <c r="AJ99" i="25"/>
  <c r="AK99" i="25" s="1"/>
  <c r="AM100" i="25"/>
  <c r="AN100" i="25" s="1"/>
  <c r="AM99" i="25"/>
  <c r="AN99" i="25" s="1"/>
  <c r="AU209" i="24"/>
  <c r="AS209" i="24"/>
  <c r="AQ209" i="24"/>
  <c r="C210" i="24"/>
  <c r="AZ210" i="24"/>
  <c r="E211" i="24"/>
  <c r="G76" i="24"/>
  <c r="AR76" i="24" s="1"/>
  <c r="K211" i="15"/>
  <c r="O211" i="15"/>
  <c r="AQ211" i="15"/>
  <c r="AS211" i="15"/>
  <c r="AU211" i="15"/>
  <c r="H75" i="15"/>
  <c r="P172" i="15"/>
  <c r="M173" i="15" s="1"/>
  <c r="N173" i="15" s="1"/>
  <c r="AW82" i="28"/>
  <c r="AX82" i="28" s="1"/>
  <c r="AY82" i="28" s="1"/>
  <c r="Q100" i="25"/>
  <c r="O208" i="25"/>
  <c r="I208" i="25"/>
  <c r="AJ211" i="3"/>
  <c r="BF211" i="3" s="1"/>
  <c r="AW55" i="19"/>
  <c r="AX55" i="19" s="1"/>
  <c r="AY55" i="19" s="1"/>
  <c r="AR210" i="19"/>
  <c r="AC126" i="19"/>
  <c r="X127" i="19" s="1"/>
  <c r="Y127" i="19" s="1"/>
  <c r="AG127" i="19" s="1"/>
  <c r="AF128" i="19" s="1"/>
  <c r="AL213" i="3"/>
  <c r="AS64" i="17"/>
  <c r="Z120" i="17"/>
  <c r="AG120" i="17"/>
  <c r="AF121" i="17" s="1"/>
  <c r="AC120" i="17"/>
  <c r="X121" i="17" s="1"/>
  <c r="Z121" i="17" s="1"/>
  <c r="AI64" i="17"/>
  <c r="AJ64" i="17" s="1"/>
  <c r="AK64" i="17" s="1"/>
  <c r="H56" i="19"/>
  <c r="G56" i="19"/>
  <c r="AL56" i="19" s="1"/>
  <c r="AM56" i="19" s="1"/>
  <c r="AN56" i="19" s="1"/>
  <c r="J57" i="19"/>
  <c r="AQ64" i="17"/>
  <c r="AL64" i="17"/>
  <c r="AM64" i="17" s="1"/>
  <c r="AN64" i="17" s="1"/>
  <c r="AU64" i="17"/>
  <c r="AP64" i="17"/>
  <c r="AO64" i="17"/>
  <c r="J66" i="17"/>
  <c r="H65" i="17"/>
  <c r="G65" i="17"/>
  <c r="K65" i="17" s="1"/>
  <c r="F66" i="17" s="1"/>
  <c r="T131" i="19"/>
  <c r="S131" i="19"/>
  <c r="W131" i="19" s="1"/>
  <c r="R132" i="19" s="1"/>
  <c r="AT130" i="19"/>
  <c r="AE130" i="19"/>
  <c r="AD131" i="19" s="1"/>
  <c r="T149" i="15"/>
  <c r="S150" i="15" s="1"/>
  <c r="AA211" i="17"/>
  <c r="I211" i="17"/>
  <c r="O211" i="17"/>
  <c r="U211" i="17"/>
  <c r="V211" i="17"/>
  <c r="U211" i="19"/>
  <c r="AB211" i="19"/>
  <c r="O211" i="19"/>
  <c r="AB211" i="17"/>
  <c r="V211" i="19"/>
  <c r="I211" i="19"/>
  <c r="AA211" i="19"/>
  <c r="T139" i="17"/>
  <c r="S139" i="17"/>
  <c r="W139" i="17" s="1"/>
  <c r="R140" i="17" s="1"/>
  <c r="P141" i="17"/>
  <c r="N140" i="17"/>
  <c r="M140" i="17"/>
  <c r="Q140" i="17" s="1"/>
  <c r="L141" i="17" s="1"/>
  <c r="AT138" i="17"/>
  <c r="AE138" i="17"/>
  <c r="AD139" i="17" s="1"/>
  <c r="N140" i="19"/>
  <c r="M140" i="19"/>
  <c r="Q140" i="19" s="1"/>
  <c r="L141" i="19" s="1"/>
  <c r="P141" i="19"/>
  <c r="E212" i="19"/>
  <c r="C211" i="19"/>
  <c r="AZ211" i="19"/>
  <c r="BD211" i="16"/>
  <c r="AZ211" i="16"/>
  <c r="E212" i="16"/>
  <c r="C211" i="16"/>
  <c r="AR210" i="16"/>
  <c r="L208" i="18"/>
  <c r="I209" i="18" s="1"/>
  <c r="AU209" i="18"/>
  <c r="O209" i="18"/>
  <c r="AS209" i="18"/>
  <c r="AQ209" i="18"/>
  <c r="K209" i="18"/>
  <c r="C210" i="18"/>
  <c r="E211" i="18"/>
  <c r="AZ210" i="18"/>
  <c r="AZ210" i="17"/>
  <c r="E211" i="17"/>
  <c r="C210" i="17"/>
  <c r="AI100" i="18"/>
  <c r="AJ100" i="18" s="1"/>
  <c r="AK100" i="18" s="1"/>
  <c r="AL100" i="18"/>
  <c r="AM100" i="18" s="1"/>
  <c r="AN100" i="18" s="1"/>
  <c r="AW99" i="18"/>
  <c r="AX99" i="18" s="1"/>
  <c r="AY99" i="18" s="1"/>
  <c r="H101" i="18"/>
  <c r="F102" i="18" s="1"/>
  <c r="G102" i="18" s="1"/>
  <c r="AR102" i="18" s="1"/>
  <c r="AZ212" i="15"/>
  <c r="E213" i="15"/>
  <c r="C212" i="15"/>
  <c r="P163" i="18"/>
  <c r="M164" i="18" s="1"/>
  <c r="N164" i="18" s="1"/>
  <c r="T162" i="18"/>
  <c r="R162" i="18"/>
  <c r="Q163" i="18" s="1"/>
  <c r="AT163" i="18" s="1"/>
  <c r="AE213" i="3"/>
  <c r="BC212" i="3"/>
  <c r="H213" i="3"/>
  <c r="AF212" i="3"/>
  <c r="AD212" i="3" s="1"/>
  <c r="P217" i="3"/>
  <c r="V214" i="3"/>
  <c r="X214" i="3" s="1"/>
  <c r="AV214" i="3"/>
  <c r="AX214" i="3" s="1"/>
  <c r="BB214" i="3" s="1"/>
  <c r="G215" i="3"/>
  <c r="AG213" i="3"/>
  <c r="AW216" i="3"/>
  <c r="Y213" i="3"/>
  <c r="AC212" i="3"/>
  <c r="A214" i="3"/>
  <c r="BI214" i="3" s="1"/>
  <c r="BJ214" i="3" s="1"/>
  <c r="AI211" i="3"/>
  <c r="BE211" i="3" s="1"/>
  <c r="AH213" i="3"/>
  <c r="BD212" i="3"/>
  <c r="AM213" i="3"/>
  <c r="AQ216" i="3"/>
  <c r="AN216" i="3"/>
  <c r="AN217" i="3" s="1"/>
  <c r="AG114" i="29" l="1"/>
  <c r="AF115" i="29" s="1"/>
  <c r="S175" i="25"/>
  <c r="W175" i="25" s="1"/>
  <c r="R176" i="25" s="1"/>
  <c r="T175" i="25"/>
  <c r="AE174" i="25"/>
  <c r="AD175" i="25" s="1"/>
  <c r="AT174" i="25"/>
  <c r="Q83" i="29"/>
  <c r="L84" i="29" s="1"/>
  <c r="N84" i="29" s="1"/>
  <c r="AW82" i="29"/>
  <c r="AX82" i="29" s="1"/>
  <c r="AY82" i="29" s="1"/>
  <c r="AP83" i="29"/>
  <c r="AI83" i="29"/>
  <c r="AJ83" i="29" s="1"/>
  <c r="AK83" i="29" s="1"/>
  <c r="O84" i="29"/>
  <c r="AT115" i="29"/>
  <c r="AR216" i="3"/>
  <c r="P124" i="24"/>
  <c r="M125" i="24" s="1"/>
  <c r="Z120" i="25"/>
  <c r="Y120" i="25"/>
  <c r="K111" i="24"/>
  <c r="R111" i="24" s="1"/>
  <c r="Q112" i="24" s="1"/>
  <c r="J111" i="24"/>
  <c r="AN214" i="20"/>
  <c r="AL214" i="3"/>
  <c r="AM214" i="3"/>
  <c r="AJ212" i="3"/>
  <c r="BF212" i="3" s="1"/>
  <c r="O215" i="20"/>
  <c r="AQ214" i="20"/>
  <c r="AR214" i="20" s="1"/>
  <c r="P214" i="20"/>
  <c r="AK212" i="3"/>
  <c r="BG212" i="3" s="1"/>
  <c r="AC114" i="29"/>
  <c r="X115" i="29" s="1"/>
  <c r="K83" i="28"/>
  <c r="F84" i="28" s="1"/>
  <c r="T196" i="29"/>
  <c r="S196" i="29"/>
  <c r="W196" i="29" s="1"/>
  <c r="R197" i="29" s="1"/>
  <c r="U197" i="29" s="1"/>
  <c r="AZ210" i="29"/>
  <c r="C210" i="29"/>
  <c r="E211" i="29"/>
  <c r="AO83" i="29"/>
  <c r="AL83" i="29"/>
  <c r="K83" i="29"/>
  <c r="R161" i="26"/>
  <c r="Q162" i="26" s="1"/>
  <c r="AT162" i="26" s="1"/>
  <c r="T161" i="26"/>
  <c r="S162" i="26" s="1"/>
  <c r="N162" i="26"/>
  <c r="P162" i="26" s="1"/>
  <c r="M163" i="26" s="1"/>
  <c r="N163" i="26" s="1"/>
  <c r="P163" i="26" s="1"/>
  <c r="M164" i="26" s="1"/>
  <c r="J205" i="26"/>
  <c r="L205" i="26" s="1"/>
  <c r="I206" i="26" s="1"/>
  <c r="K210" i="26"/>
  <c r="O210" i="26"/>
  <c r="AS210" i="26"/>
  <c r="AU210" i="26"/>
  <c r="AQ210" i="26"/>
  <c r="F81" i="26"/>
  <c r="AL80" i="26"/>
  <c r="AI80" i="26"/>
  <c r="C211" i="26"/>
  <c r="AZ211" i="26"/>
  <c r="E212" i="26"/>
  <c r="AW99" i="25"/>
  <c r="AX99" i="25" s="1"/>
  <c r="AY99" i="25" s="1"/>
  <c r="AI83" i="28"/>
  <c r="AJ83" i="28" s="1"/>
  <c r="AM83" i="28"/>
  <c r="AN83" i="28" s="1"/>
  <c r="T174" i="28"/>
  <c r="S174" i="28"/>
  <c r="AE174" i="28" s="1"/>
  <c r="AD175" i="28" s="1"/>
  <c r="AC119" i="28"/>
  <c r="X120" i="28" s="1"/>
  <c r="AB120" i="28" s="1"/>
  <c r="AO83" i="28"/>
  <c r="C211" i="28"/>
  <c r="AZ211" i="28"/>
  <c r="E212" i="28"/>
  <c r="AW75" i="24"/>
  <c r="AX75" i="24" s="1"/>
  <c r="AY75" i="24" s="1"/>
  <c r="G103" i="25"/>
  <c r="K103" i="25" s="1"/>
  <c r="H103" i="25"/>
  <c r="J104" i="25"/>
  <c r="AR210" i="25"/>
  <c r="U210" i="25"/>
  <c r="V210" i="25"/>
  <c r="AA210" i="25"/>
  <c r="AB210" i="25"/>
  <c r="AQ100" i="25"/>
  <c r="AS100" i="25"/>
  <c r="AU100" i="25"/>
  <c r="AI100" i="25"/>
  <c r="BA211" i="25"/>
  <c r="BB211" i="25"/>
  <c r="BC211" i="25"/>
  <c r="BD211" i="25"/>
  <c r="C211" i="25"/>
  <c r="AZ211" i="25"/>
  <c r="E212" i="25"/>
  <c r="L101" i="25"/>
  <c r="AQ210" i="24"/>
  <c r="AS210" i="24"/>
  <c r="AU210" i="24"/>
  <c r="C211" i="24"/>
  <c r="AZ211" i="24"/>
  <c r="E212" i="24"/>
  <c r="H76" i="24"/>
  <c r="F76" i="15"/>
  <c r="AI75" i="15"/>
  <c r="AJ75" i="15" s="1"/>
  <c r="AK75" i="15" s="1"/>
  <c r="AL75" i="15"/>
  <c r="AM75" i="15" s="1"/>
  <c r="AN75" i="15" s="1"/>
  <c r="O212" i="15"/>
  <c r="AQ212" i="15"/>
  <c r="AS212" i="15"/>
  <c r="AU212" i="15"/>
  <c r="K212" i="15"/>
  <c r="P173" i="15"/>
  <c r="M174" i="15" s="1"/>
  <c r="N174" i="15" s="1"/>
  <c r="O209" i="25"/>
  <c r="I209" i="25"/>
  <c r="Z127" i="19"/>
  <c r="Y121" i="17"/>
  <c r="AC121" i="17" s="1"/>
  <c r="X122" i="17" s="1"/>
  <c r="AQ65" i="17"/>
  <c r="AW64" i="17"/>
  <c r="AX64" i="17" s="1"/>
  <c r="AY64" i="17" s="1"/>
  <c r="K56" i="19"/>
  <c r="AP56" i="19"/>
  <c r="AO56" i="19"/>
  <c r="AI56" i="19"/>
  <c r="AJ56" i="19" s="1"/>
  <c r="AK56" i="19" s="1"/>
  <c r="AI65" i="17"/>
  <c r="AJ65" i="17" s="1"/>
  <c r="AK65" i="17" s="1"/>
  <c r="AU65" i="17"/>
  <c r="AL65" i="17"/>
  <c r="AM65" i="17" s="1"/>
  <c r="AN65" i="17" s="1"/>
  <c r="H66" i="17"/>
  <c r="J67" i="17"/>
  <c r="G66" i="17"/>
  <c r="AL66" i="17" s="1"/>
  <c r="AM66" i="17" s="1"/>
  <c r="AN66" i="17" s="1"/>
  <c r="AS65" i="17"/>
  <c r="AO65" i="17"/>
  <c r="AP65" i="17"/>
  <c r="AR211" i="19"/>
  <c r="AC127" i="19"/>
  <c r="X128" i="19" s="1"/>
  <c r="Y128" i="19" s="1"/>
  <c r="AG128" i="19" s="1"/>
  <c r="AF129" i="19" s="1"/>
  <c r="L149" i="15"/>
  <c r="I150" i="15" s="1"/>
  <c r="J150" i="15" s="1"/>
  <c r="AE131" i="19"/>
  <c r="AD132" i="19" s="1"/>
  <c r="AT131" i="19"/>
  <c r="T132" i="19"/>
  <c r="S132" i="19"/>
  <c r="W132" i="19" s="1"/>
  <c r="R133" i="19" s="1"/>
  <c r="R149" i="15"/>
  <c r="Q150" i="15" s="1"/>
  <c r="AT150" i="15" s="1"/>
  <c r="T150" i="15"/>
  <c r="S151" i="15" s="1"/>
  <c r="N141" i="17"/>
  <c r="P142" i="17"/>
  <c r="M141" i="17"/>
  <c r="Q141" i="17" s="1"/>
  <c r="L142" i="17" s="1"/>
  <c r="N141" i="19"/>
  <c r="M141" i="19"/>
  <c r="Q141" i="19" s="1"/>
  <c r="L142" i="19" s="1"/>
  <c r="P142" i="19"/>
  <c r="U212" i="17"/>
  <c r="AB212" i="17"/>
  <c r="I212" i="17"/>
  <c r="V212" i="17"/>
  <c r="V212" i="19"/>
  <c r="AA212" i="17"/>
  <c r="U212" i="19"/>
  <c r="O212" i="19"/>
  <c r="I212" i="19"/>
  <c r="AA212" i="19"/>
  <c r="O212" i="17"/>
  <c r="AB212" i="19"/>
  <c r="AT139" i="17"/>
  <c r="AE139" i="17"/>
  <c r="AD140" i="17" s="1"/>
  <c r="T140" i="17"/>
  <c r="S140" i="17"/>
  <c r="W140" i="17" s="1"/>
  <c r="R141" i="17" s="1"/>
  <c r="E213" i="19"/>
  <c r="C212" i="19"/>
  <c r="AZ212" i="19"/>
  <c r="AR211" i="16"/>
  <c r="AW100" i="18"/>
  <c r="AX100" i="18" s="1"/>
  <c r="AY100" i="18" s="1"/>
  <c r="E213" i="16"/>
  <c r="BD212" i="16"/>
  <c r="C212" i="16"/>
  <c r="AZ212" i="16"/>
  <c r="AZ211" i="17"/>
  <c r="E212" i="17"/>
  <c r="C211" i="17"/>
  <c r="E212" i="18"/>
  <c r="AZ211" i="18"/>
  <c r="C211" i="18"/>
  <c r="K210" i="18"/>
  <c r="AQ210" i="18"/>
  <c r="AS210" i="18"/>
  <c r="AU210" i="18"/>
  <c r="O210" i="18"/>
  <c r="J209" i="18"/>
  <c r="L209" i="18" s="1"/>
  <c r="I210" i="18" s="1"/>
  <c r="J210" i="18" s="1"/>
  <c r="AI101" i="18"/>
  <c r="AJ101" i="18" s="1"/>
  <c r="AK101" i="18" s="1"/>
  <c r="H102" i="18"/>
  <c r="AL101" i="18"/>
  <c r="AM101" i="18" s="1"/>
  <c r="AN101" i="18" s="1"/>
  <c r="AZ213" i="15"/>
  <c r="E214" i="15"/>
  <c r="C213" i="15"/>
  <c r="S163" i="18"/>
  <c r="T163" i="18" s="1"/>
  <c r="S164" i="18" s="1"/>
  <c r="T164" i="18" s="1"/>
  <c r="S165" i="18" s="1"/>
  <c r="P164" i="18"/>
  <c r="M165" i="18" s="1"/>
  <c r="N165" i="18" s="1"/>
  <c r="R163" i="18"/>
  <c r="Q164" i="18" s="1"/>
  <c r="AT164" i="18" s="1"/>
  <c r="AI212" i="3"/>
  <c r="BE212" i="3" s="1"/>
  <c r="AG214" i="3"/>
  <c r="Y214" i="3"/>
  <c r="AC213" i="3"/>
  <c r="G216" i="3"/>
  <c r="AV215" i="3"/>
  <c r="AX215" i="3" s="1"/>
  <c r="BB215" i="3" s="1"/>
  <c r="V215" i="3"/>
  <c r="X215" i="3" s="1"/>
  <c r="AN218" i="3"/>
  <c r="A215" i="3"/>
  <c r="BI215" i="3" s="1"/>
  <c r="BJ215" i="3" s="1"/>
  <c r="BC213" i="3"/>
  <c r="AE214" i="3"/>
  <c r="AQ217" i="3"/>
  <c r="BD213" i="3"/>
  <c r="AH214" i="3"/>
  <c r="AW217" i="3"/>
  <c r="H214" i="3"/>
  <c r="AF213" i="3"/>
  <c r="AD213" i="3" s="1"/>
  <c r="AE175" i="25" l="1"/>
  <c r="AD176" i="25" s="1"/>
  <c r="AT175" i="25"/>
  <c r="T176" i="25"/>
  <c r="S176" i="25"/>
  <c r="W176" i="25" s="1"/>
  <c r="R177" i="25" s="1"/>
  <c r="P85" i="29"/>
  <c r="M84" i="29"/>
  <c r="Z115" i="29"/>
  <c r="AA115" i="29"/>
  <c r="AE115" i="29" s="1"/>
  <c r="AD116" i="29" s="1"/>
  <c r="G84" i="28"/>
  <c r="AL84" i="28" s="1"/>
  <c r="I84" i="28"/>
  <c r="Q84" i="28" s="1"/>
  <c r="L85" i="28" s="1"/>
  <c r="AR217" i="3"/>
  <c r="L111" i="24"/>
  <c r="I112" i="24" s="1"/>
  <c r="T111" i="24"/>
  <c r="S112" i="24" s="1"/>
  <c r="AC120" i="25"/>
  <c r="X121" i="25" s="1"/>
  <c r="AG120" i="25"/>
  <c r="AF121" i="25" s="1"/>
  <c r="O125" i="24"/>
  <c r="N125" i="24"/>
  <c r="AN215" i="20"/>
  <c r="O216" i="20"/>
  <c r="AQ215" i="20"/>
  <c r="AR215" i="20" s="1"/>
  <c r="P215" i="20"/>
  <c r="AK213" i="3"/>
  <c r="BG213" i="3" s="1"/>
  <c r="Y115" i="29"/>
  <c r="AU83" i="28"/>
  <c r="AS83" i="28"/>
  <c r="AQ83" i="28"/>
  <c r="J85" i="28"/>
  <c r="H84" i="28"/>
  <c r="AP84" i="28" s="1"/>
  <c r="T197" i="29"/>
  <c r="S197" i="29"/>
  <c r="W197" i="29" s="1"/>
  <c r="R198" i="29" s="1"/>
  <c r="U198" i="29" s="1"/>
  <c r="AM83" i="29"/>
  <c r="AN83" i="29" s="1"/>
  <c r="F84" i="29"/>
  <c r="I84" i="29" s="1"/>
  <c r="AR84" i="29" s="1"/>
  <c r="AS83" i="29"/>
  <c r="AQ83" i="29"/>
  <c r="AU83" i="29"/>
  <c r="AZ211" i="29"/>
  <c r="C211" i="29"/>
  <c r="E212" i="29"/>
  <c r="T162" i="26"/>
  <c r="S163" i="26" s="1"/>
  <c r="T163" i="26" s="1"/>
  <c r="S164" i="26" s="1"/>
  <c r="R162" i="26"/>
  <c r="Q163" i="26" s="1"/>
  <c r="R163" i="26" s="1"/>
  <c r="Q164" i="26" s="1"/>
  <c r="J206" i="26"/>
  <c r="L206" i="26" s="1"/>
  <c r="I207" i="26" s="1"/>
  <c r="N164" i="26"/>
  <c r="P164" i="26" s="1"/>
  <c r="M165" i="26" s="1"/>
  <c r="AJ80" i="26"/>
  <c r="AK80" i="26" s="1"/>
  <c r="AM80" i="26"/>
  <c r="AN80" i="26" s="1"/>
  <c r="G81" i="26"/>
  <c r="AR81" i="26" s="1"/>
  <c r="K211" i="26"/>
  <c r="O211" i="26"/>
  <c r="AQ211" i="26"/>
  <c r="AU211" i="26"/>
  <c r="AS211" i="26"/>
  <c r="C212" i="26"/>
  <c r="AZ212" i="26"/>
  <c r="E213" i="26"/>
  <c r="AK83" i="28"/>
  <c r="AT175" i="28"/>
  <c r="W174" i="28"/>
  <c r="R175" i="28" s="1"/>
  <c r="V175" i="28" s="1"/>
  <c r="Z120" i="28"/>
  <c r="Y120" i="28"/>
  <c r="AG120" i="28" s="1"/>
  <c r="AF121" i="28" s="1"/>
  <c r="AZ212" i="28"/>
  <c r="C212" i="28"/>
  <c r="E213" i="28"/>
  <c r="F104" i="25"/>
  <c r="BA212" i="25"/>
  <c r="BB212" i="25"/>
  <c r="BC212" i="25"/>
  <c r="AR211" i="25"/>
  <c r="U211" i="25"/>
  <c r="V211" i="25"/>
  <c r="AA211" i="25"/>
  <c r="AB211" i="25"/>
  <c r="AJ100" i="25"/>
  <c r="AK100" i="25" s="1"/>
  <c r="AW100" i="25" s="1"/>
  <c r="AX100" i="25" s="1"/>
  <c r="AY100" i="25" s="1"/>
  <c r="C212" i="25"/>
  <c r="AZ212" i="25"/>
  <c r="BD212" i="25"/>
  <c r="E213" i="25"/>
  <c r="N101" i="25"/>
  <c r="AP101" i="25" s="1"/>
  <c r="P102" i="25"/>
  <c r="AT112" i="24"/>
  <c r="C212" i="24"/>
  <c r="AZ212" i="24"/>
  <c r="E213" i="24"/>
  <c r="F77" i="24"/>
  <c r="AI76" i="24"/>
  <c r="AJ76" i="24" s="1"/>
  <c r="AL76" i="24"/>
  <c r="AM76" i="24" s="1"/>
  <c r="AQ211" i="24"/>
  <c r="AS211" i="24"/>
  <c r="AU211" i="24"/>
  <c r="AW75" i="15"/>
  <c r="AX75" i="15" s="1"/>
  <c r="AY75" i="15" s="1"/>
  <c r="G76" i="15"/>
  <c r="AR76" i="15" s="1"/>
  <c r="AS213" i="15"/>
  <c r="AU213" i="15"/>
  <c r="O213" i="15"/>
  <c r="AQ213" i="15"/>
  <c r="K213" i="15"/>
  <c r="P174" i="15"/>
  <c r="M175" i="15" s="1"/>
  <c r="N175" i="15" s="1"/>
  <c r="M101" i="25"/>
  <c r="AL101" i="25" s="1"/>
  <c r="O210" i="25"/>
  <c r="I210" i="25"/>
  <c r="AJ213" i="3"/>
  <c r="BF213" i="3" s="1"/>
  <c r="AG121" i="17"/>
  <c r="AF122" i="17" s="1"/>
  <c r="AI66" i="17"/>
  <c r="AJ66" i="17" s="1"/>
  <c r="AK66" i="17" s="1"/>
  <c r="F57" i="19"/>
  <c r="AS56" i="19"/>
  <c r="AQ56" i="19"/>
  <c r="AU56" i="19"/>
  <c r="K66" i="17"/>
  <c r="AW65" i="17"/>
  <c r="AX65" i="17" s="1"/>
  <c r="AY65" i="17" s="1"/>
  <c r="Y122" i="17"/>
  <c r="AC122" i="17" s="1"/>
  <c r="X123" i="17" s="1"/>
  <c r="Z122" i="17"/>
  <c r="AO66" i="17"/>
  <c r="AP66" i="17"/>
  <c r="Z128" i="19"/>
  <c r="AC128" i="19"/>
  <c r="X129" i="19" s="1"/>
  <c r="AR212" i="19"/>
  <c r="AE132" i="19"/>
  <c r="AD133" i="19" s="1"/>
  <c r="AT132" i="19"/>
  <c r="S133" i="19"/>
  <c r="W133" i="19" s="1"/>
  <c r="R134" i="19" s="1"/>
  <c r="T133" i="19"/>
  <c r="AT140" i="17"/>
  <c r="AE140" i="17"/>
  <c r="AD141" i="17" s="1"/>
  <c r="AA213" i="17"/>
  <c r="I213" i="17"/>
  <c r="AB213" i="17"/>
  <c r="V213" i="17"/>
  <c r="AB213" i="19"/>
  <c r="O213" i="19"/>
  <c r="O213" i="17"/>
  <c r="I213" i="19"/>
  <c r="AA213" i="19"/>
  <c r="U213" i="19"/>
  <c r="U213" i="17"/>
  <c r="V213" i="19"/>
  <c r="N142" i="19"/>
  <c r="P143" i="19"/>
  <c r="M142" i="19"/>
  <c r="Q142" i="19" s="1"/>
  <c r="L143" i="19" s="1"/>
  <c r="T141" i="17"/>
  <c r="S141" i="17"/>
  <c r="W141" i="17" s="1"/>
  <c r="R142" i="17" s="1"/>
  <c r="P143" i="17"/>
  <c r="M142" i="17"/>
  <c r="Q142" i="17" s="1"/>
  <c r="L143" i="17" s="1"/>
  <c r="N142" i="17"/>
  <c r="L210" i="18"/>
  <c r="I211" i="18" s="1"/>
  <c r="J211" i="18" s="1"/>
  <c r="E214" i="19"/>
  <c r="C213" i="19"/>
  <c r="AZ213" i="19"/>
  <c r="C213" i="16"/>
  <c r="E214" i="16"/>
  <c r="AZ213" i="16"/>
  <c r="BD213" i="16"/>
  <c r="AR212" i="16"/>
  <c r="C212" i="18"/>
  <c r="AZ212" i="18"/>
  <c r="E213" i="18"/>
  <c r="AU211" i="18"/>
  <c r="O211" i="18"/>
  <c r="K211" i="18"/>
  <c r="AS211" i="18"/>
  <c r="AQ211" i="18"/>
  <c r="C212" i="17"/>
  <c r="E213" i="17"/>
  <c r="AZ212" i="17"/>
  <c r="AW101" i="18"/>
  <c r="AX101" i="18" s="1"/>
  <c r="AY101" i="18" s="1"/>
  <c r="F103" i="18"/>
  <c r="G103" i="18" s="1"/>
  <c r="AR103" i="18" s="1"/>
  <c r="AL102" i="18"/>
  <c r="AM102" i="18" s="1"/>
  <c r="AN102" i="18" s="1"/>
  <c r="AI102" i="18"/>
  <c r="AZ214" i="15"/>
  <c r="E215" i="15"/>
  <c r="C214" i="15"/>
  <c r="P165" i="18"/>
  <c r="M166" i="18" s="1"/>
  <c r="N166" i="18" s="1"/>
  <c r="T165" i="18"/>
  <c r="S166" i="18" s="1"/>
  <c r="R164" i="18"/>
  <c r="Q165" i="18" s="1"/>
  <c r="AT165" i="18" s="1"/>
  <c r="R150" i="15"/>
  <c r="Q151" i="15" s="1"/>
  <c r="AT151" i="15" s="1"/>
  <c r="L150" i="15"/>
  <c r="I151" i="15" s="1"/>
  <c r="J151" i="15" s="1"/>
  <c r="AW218" i="3"/>
  <c r="Y215" i="3"/>
  <c r="AC214" i="3"/>
  <c r="AG215" i="3"/>
  <c r="AH215" i="3"/>
  <c r="BD214" i="3"/>
  <c r="A216" i="3"/>
  <c r="BI216" i="3" s="1"/>
  <c r="BJ216" i="3" s="1"/>
  <c r="AM215" i="3"/>
  <c r="AE215" i="3"/>
  <c r="BC214" i="3"/>
  <c r="AN219" i="3"/>
  <c r="V216" i="3"/>
  <c r="X216" i="3" s="1"/>
  <c r="AV216" i="3"/>
  <c r="AX216" i="3" s="1"/>
  <c r="BB216" i="3" s="1"/>
  <c r="G217" i="3"/>
  <c r="H215" i="3"/>
  <c r="AF214" i="3"/>
  <c r="AD214" i="3" s="1"/>
  <c r="AQ218" i="3"/>
  <c r="P218" i="3"/>
  <c r="P219" i="3" s="1"/>
  <c r="AI213" i="3"/>
  <c r="BE213" i="3" s="1"/>
  <c r="AL215" i="3"/>
  <c r="S177" i="25" l="1"/>
  <c r="W177" i="25" s="1"/>
  <c r="R178" i="25" s="1"/>
  <c r="T177" i="25"/>
  <c r="AT176" i="25"/>
  <c r="AE176" i="25"/>
  <c r="AD177" i="25" s="1"/>
  <c r="AR213" i="19"/>
  <c r="AG115" i="29"/>
  <c r="AF116" i="29" s="1"/>
  <c r="Q84" i="29"/>
  <c r="L85" i="29" s="1"/>
  <c r="AT116" i="29"/>
  <c r="O85" i="28"/>
  <c r="M85" i="28"/>
  <c r="P86" i="28"/>
  <c r="N85" i="28"/>
  <c r="AI84" i="28"/>
  <c r="AR218" i="3"/>
  <c r="P125" i="24"/>
  <c r="M126" i="24" s="1"/>
  <c r="Y121" i="25"/>
  <c r="AC121" i="25" s="1"/>
  <c r="X122" i="25" s="1"/>
  <c r="Z121" i="25"/>
  <c r="K112" i="24"/>
  <c r="R112" i="24" s="1"/>
  <c r="Q113" i="24" s="1"/>
  <c r="AT113" i="24" s="1"/>
  <c r="J112" i="24"/>
  <c r="AN216" i="20"/>
  <c r="P216" i="20"/>
  <c r="AK214" i="3"/>
  <c r="BG214" i="3" s="1"/>
  <c r="O217" i="20"/>
  <c r="AQ216" i="20"/>
  <c r="AR216" i="20" s="1"/>
  <c r="AC115" i="29"/>
  <c r="X116" i="29" s="1"/>
  <c r="AA116" i="29" s="1"/>
  <c r="AE116" i="29" s="1"/>
  <c r="AD117" i="29" s="1"/>
  <c r="AW83" i="28"/>
  <c r="AX83" i="28" s="1"/>
  <c r="AY83" i="28" s="1"/>
  <c r="AW83" i="29"/>
  <c r="AX83" i="29" s="1"/>
  <c r="AY83" i="29" s="1"/>
  <c r="AO84" i="28"/>
  <c r="T198" i="29"/>
  <c r="S198" i="29"/>
  <c r="W198" i="29" s="1"/>
  <c r="R199" i="29" s="1"/>
  <c r="U199" i="29" s="1"/>
  <c r="AW80" i="26"/>
  <c r="AX80" i="26" s="1"/>
  <c r="AY80" i="26" s="1"/>
  <c r="C212" i="29"/>
  <c r="AZ212" i="29"/>
  <c r="E213" i="29"/>
  <c r="H84" i="29"/>
  <c r="AP84" i="29" s="1"/>
  <c r="J85" i="29"/>
  <c r="G84" i="29"/>
  <c r="AL84" i="29" s="1"/>
  <c r="H81" i="26"/>
  <c r="F82" i="26" s="1"/>
  <c r="G82" i="26" s="1"/>
  <c r="AR82" i="26" s="1"/>
  <c r="AT163" i="26"/>
  <c r="N165" i="26"/>
  <c r="P165" i="26" s="1"/>
  <c r="M166" i="26" s="1"/>
  <c r="T164" i="26"/>
  <c r="S165" i="26" s="1"/>
  <c r="AT164" i="26"/>
  <c r="R164" i="26"/>
  <c r="Q165" i="26" s="1"/>
  <c r="O212" i="26"/>
  <c r="AQ212" i="26"/>
  <c r="AS212" i="26"/>
  <c r="AU212" i="26"/>
  <c r="K212" i="26"/>
  <c r="J207" i="26"/>
  <c r="L207" i="26" s="1"/>
  <c r="I208" i="26" s="1"/>
  <c r="AZ213" i="26"/>
  <c r="C213" i="26"/>
  <c r="E214" i="26"/>
  <c r="AK76" i="24"/>
  <c r="T175" i="28"/>
  <c r="S175" i="28"/>
  <c r="AE175" i="28" s="1"/>
  <c r="AD176" i="28" s="1"/>
  <c r="AC120" i="28"/>
  <c r="X121" i="28" s="1"/>
  <c r="AB121" i="28" s="1"/>
  <c r="AM84" i="28"/>
  <c r="AN84" i="28" s="1"/>
  <c r="C213" i="28"/>
  <c r="AZ213" i="28"/>
  <c r="E214" i="28"/>
  <c r="G104" i="25"/>
  <c r="K104" i="25" s="1"/>
  <c r="H104" i="25"/>
  <c r="J105" i="25"/>
  <c r="AR212" i="25"/>
  <c r="AB212" i="25"/>
  <c r="U212" i="25"/>
  <c r="V212" i="25"/>
  <c r="AA212" i="25"/>
  <c r="BA213" i="25"/>
  <c r="BB213" i="25"/>
  <c r="BC213" i="25"/>
  <c r="AO101" i="25"/>
  <c r="AM101" i="25"/>
  <c r="AN101" i="25" s="1"/>
  <c r="AZ213" i="25"/>
  <c r="BD213" i="25"/>
  <c r="C213" i="25"/>
  <c r="E214" i="25"/>
  <c r="AQ212" i="24"/>
  <c r="AS212" i="24"/>
  <c r="AU212" i="24"/>
  <c r="AZ213" i="24"/>
  <c r="C213" i="24"/>
  <c r="E214" i="24"/>
  <c r="AN76" i="24"/>
  <c r="G77" i="24"/>
  <c r="AR77" i="24" s="1"/>
  <c r="H76" i="15"/>
  <c r="K214" i="15"/>
  <c r="O214" i="15"/>
  <c r="AQ214" i="15"/>
  <c r="AS214" i="15"/>
  <c r="AU214" i="15"/>
  <c r="P175" i="15"/>
  <c r="M176" i="15" s="1"/>
  <c r="N176" i="15" s="1"/>
  <c r="K84" i="28"/>
  <c r="Q101" i="25"/>
  <c r="O211" i="25"/>
  <c r="I211" i="25"/>
  <c r="AJ214" i="3"/>
  <c r="BF214" i="3" s="1"/>
  <c r="AW56" i="19"/>
  <c r="AX56" i="19" s="1"/>
  <c r="AY56" i="19" s="1"/>
  <c r="Z123" i="17"/>
  <c r="Y123" i="17"/>
  <c r="AC123" i="17" s="1"/>
  <c r="X124" i="17" s="1"/>
  <c r="AG122" i="17"/>
  <c r="AF123" i="17" s="1"/>
  <c r="F67" i="17"/>
  <c r="AS66" i="17"/>
  <c r="AU66" i="17"/>
  <c r="AQ66" i="17"/>
  <c r="H57" i="19"/>
  <c r="G57" i="19"/>
  <c r="AI57" i="19" s="1"/>
  <c r="AJ57" i="19" s="1"/>
  <c r="AK57" i="19" s="1"/>
  <c r="J58" i="19"/>
  <c r="Z129" i="19"/>
  <c r="Y129" i="19"/>
  <c r="S134" i="19"/>
  <c r="W134" i="19" s="1"/>
  <c r="R135" i="19" s="1"/>
  <c r="T134" i="19"/>
  <c r="AE133" i="19"/>
  <c r="AD134" i="19" s="1"/>
  <c r="AT133" i="19"/>
  <c r="T151" i="15"/>
  <c r="S152" i="15" s="1"/>
  <c r="U214" i="17"/>
  <c r="AA214" i="17"/>
  <c r="AB214" i="17"/>
  <c r="U214" i="19"/>
  <c r="V214" i="17"/>
  <c r="AA214" i="19"/>
  <c r="O214" i="17"/>
  <c r="V214" i="19"/>
  <c r="O214" i="19"/>
  <c r="I214" i="17"/>
  <c r="I214" i="19"/>
  <c r="AB214" i="19"/>
  <c r="P144" i="17"/>
  <c r="N143" i="17"/>
  <c r="M143" i="17"/>
  <c r="Q143" i="17" s="1"/>
  <c r="L144" i="17" s="1"/>
  <c r="T142" i="17"/>
  <c r="S142" i="17"/>
  <c r="W142" i="17" s="1"/>
  <c r="R143" i="17" s="1"/>
  <c r="M143" i="19"/>
  <c r="Q143" i="19" s="1"/>
  <c r="L144" i="19" s="1"/>
  <c r="P144" i="19"/>
  <c r="N143" i="19"/>
  <c r="AT141" i="17"/>
  <c r="AE141" i="17"/>
  <c r="AD142" i="17" s="1"/>
  <c r="AZ214" i="19"/>
  <c r="E215" i="19"/>
  <c r="C214" i="19"/>
  <c r="L211" i="18"/>
  <c r="I212" i="18" s="1"/>
  <c r="J212" i="18" s="1"/>
  <c r="E215" i="16"/>
  <c r="BD214" i="16"/>
  <c r="AZ214" i="16"/>
  <c r="C214" i="16"/>
  <c r="AR213" i="16"/>
  <c r="C213" i="18"/>
  <c r="AZ213" i="18"/>
  <c r="E214" i="18"/>
  <c r="AQ212" i="18"/>
  <c r="AS212" i="18"/>
  <c r="K212" i="18"/>
  <c r="O212" i="18"/>
  <c r="AU212" i="18"/>
  <c r="AZ213" i="17"/>
  <c r="E214" i="17"/>
  <c r="C213" i="17"/>
  <c r="H103" i="18"/>
  <c r="AI103" i="18" s="1"/>
  <c r="AJ102" i="18"/>
  <c r="AK102" i="18" s="1"/>
  <c r="AW102" i="18" s="1"/>
  <c r="AX102" i="18" s="1"/>
  <c r="AY102" i="18" s="1"/>
  <c r="C215" i="15"/>
  <c r="E216" i="15"/>
  <c r="AZ215" i="15"/>
  <c r="P166" i="18"/>
  <c r="M167" i="18" s="1"/>
  <c r="N167" i="18" s="1"/>
  <c r="T166" i="18"/>
  <c r="S167" i="18" s="1"/>
  <c r="R165" i="18"/>
  <c r="Q166" i="18" s="1"/>
  <c r="AT166" i="18" s="1"/>
  <c r="AI214" i="3"/>
  <c r="BE214" i="3" s="1"/>
  <c r="H216" i="3"/>
  <c r="AF215" i="3"/>
  <c r="AD215" i="3" s="1"/>
  <c r="AN220" i="3"/>
  <c r="AM216" i="3"/>
  <c r="BD215" i="3"/>
  <c r="AH216" i="3"/>
  <c r="Y216" i="3"/>
  <c r="AC215" i="3"/>
  <c r="AL216" i="3"/>
  <c r="AQ219" i="3"/>
  <c r="G218" i="3"/>
  <c r="AV217" i="3"/>
  <c r="AX217" i="3" s="1"/>
  <c r="BB217" i="3" s="1"/>
  <c r="V217" i="3"/>
  <c r="X217" i="3" s="1"/>
  <c r="A217" i="3"/>
  <c r="BI217" i="3" s="1"/>
  <c r="BJ217" i="3" s="1"/>
  <c r="AG216" i="3"/>
  <c r="AW219" i="3"/>
  <c r="BC215" i="3"/>
  <c r="AE216" i="3"/>
  <c r="AT177" i="25" l="1"/>
  <c r="AE177" i="25"/>
  <c r="AD178" i="25" s="1"/>
  <c r="S178" i="25"/>
  <c r="W178" i="25" s="1"/>
  <c r="R179" i="25" s="1"/>
  <c r="T178" i="25"/>
  <c r="O85" i="29"/>
  <c r="P86" i="29"/>
  <c r="M85" i="29"/>
  <c r="N85" i="29"/>
  <c r="AT117" i="29"/>
  <c r="AR219" i="3"/>
  <c r="L112" i="24"/>
  <c r="I113" i="24" s="1"/>
  <c r="Z122" i="25"/>
  <c r="Y122" i="25"/>
  <c r="AC122" i="25" s="1"/>
  <c r="X123" i="25" s="1"/>
  <c r="AG121" i="25"/>
  <c r="AF122" i="25" s="1"/>
  <c r="T112" i="24"/>
  <c r="S113" i="24" s="1"/>
  <c r="O126" i="24"/>
  <c r="N126" i="24"/>
  <c r="AN217" i="20"/>
  <c r="P217" i="20"/>
  <c r="AK215" i="3"/>
  <c r="BG215" i="3" s="1"/>
  <c r="O218" i="20"/>
  <c r="AQ217" i="20"/>
  <c r="AR217" i="20" s="1"/>
  <c r="Z116" i="29"/>
  <c r="Y116" i="29"/>
  <c r="AG116" i="29" s="1"/>
  <c r="AF117" i="29" s="1"/>
  <c r="T199" i="29"/>
  <c r="S199" i="29"/>
  <c r="W199" i="29" s="1"/>
  <c r="R200" i="29" s="1"/>
  <c r="U200" i="29" s="1"/>
  <c r="AM84" i="29"/>
  <c r="AN84" i="29" s="1"/>
  <c r="K84" i="29"/>
  <c r="AO84" i="29"/>
  <c r="AI84" i="29"/>
  <c r="AZ213" i="29"/>
  <c r="C213" i="29"/>
  <c r="E214" i="29"/>
  <c r="AI81" i="26"/>
  <c r="AJ81" i="26" s="1"/>
  <c r="AK81" i="26" s="1"/>
  <c r="AL81" i="26"/>
  <c r="AM81" i="26" s="1"/>
  <c r="AN81" i="26" s="1"/>
  <c r="N166" i="26"/>
  <c r="P166" i="26" s="1"/>
  <c r="M167" i="26" s="1"/>
  <c r="J208" i="26"/>
  <c r="L208" i="26" s="1"/>
  <c r="I209" i="26" s="1"/>
  <c r="AT165" i="26"/>
  <c r="R165" i="26"/>
  <c r="Q166" i="26" s="1"/>
  <c r="H82" i="26"/>
  <c r="T165" i="26"/>
  <c r="S166" i="26" s="1"/>
  <c r="AS213" i="26"/>
  <c r="AU213" i="26"/>
  <c r="AQ213" i="26"/>
  <c r="K213" i="26"/>
  <c r="O213" i="26"/>
  <c r="C214" i="26"/>
  <c r="AZ214" i="26"/>
  <c r="E215" i="26"/>
  <c r="AW76" i="24"/>
  <c r="AX76" i="24" s="1"/>
  <c r="AY76" i="24" s="1"/>
  <c r="AT176" i="28"/>
  <c r="W175" i="28"/>
  <c r="R176" i="28" s="1"/>
  <c r="V176" i="28" s="1"/>
  <c r="AQ84" i="28"/>
  <c r="AU84" i="28"/>
  <c r="AS84" i="28"/>
  <c r="Z121" i="28"/>
  <c r="Y121" i="28"/>
  <c r="AG121" i="28" s="1"/>
  <c r="AF122" i="28" s="1"/>
  <c r="F85" i="28"/>
  <c r="I85" i="28" s="1"/>
  <c r="Q85" i="28" s="1"/>
  <c r="L86" i="28" s="1"/>
  <c r="AJ84" i="28"/>
  <c r="AK84" i="28" s="1"/>
  <c r="AZ214" i="28"/>
  <c r="C214" i="28"/>
  <c r="E215" i="28"/>
  <c r="F105" i="25"/>
  <c r="AR213" i="25"/>
  <c r="AA213" i="25"/>
  <c r="U213" i="25"/>
  <c r="V213" i="25"/>
  <c r="AB213" i="25"/>
  <c r="BA214" i="25"/>
  <c r="BB214" i="25"/>
  <c r="BC214" i="25"/>
  <c r="AQ101" i="25"/>
  <c r="AS101" i="25"/>
  <c r="AU101" i="25"/>
  <c r="AI101" i="25"/>
  <c r="L102" i="25"/>
  <c r="C214" i="25"/>
  <c r="AZ214" i="25"/>
  <c r="BD214" i="25"/>
  <c r="E215" i="25"/>
  <c r="C214" i="24"/>
  <c r="AZ214" i="24"/>
  <c r="E215" i="24"/>
  <c r="AQ213" i="24"/>
  <c r="AS213" i="24"/>
  <c r="AU213" i="24"/>
  <c r="H77" i="24"/>
  <c r="K215" i="15"/>
  <c r="O215" i="15"/>
  <c r="AQ215" i="15"/>
  <c r="AS215" i="15"/>
  <c r="AU215" i="15"/>
  <c r="F77" i="15"/>
  <c r="AL76" i="15"/>
  <c r="AM76" i="15" s="1"/>
  <c r="AN76" i="15" s="1"/>
  <c r="AI76" i="15"/>
  <c r="AJ76" i="15" s="1"/>
  <c r="AK76" i="15" s="1"/>
  <c r="P176" i="15"/>
  <c r="M177" i="15" s="1"/>
  <c r="N177" i="15" s="1"/>
  <c r="O212" i="25"/>
  <c r="I212" i="25"/>
  <c r="AJ215" i="3"/>
  <c r="BF215" i="3" s="1"/>
  <c r="AR214" i="19"/>
  <c r="AW66" i="17"/>
  <c r="AX66" i="17" s="1"/>
  <c r="AY66" i="17" s="1"/>
  <c r="AG123" i="17"/>
  <c r="AF124" i="17" s="1"/>
  <c r="K57" i="19"/>
  <c r="F58" i="19" s="1"/>
  <c r="H58" i="19" s="1"/>
  <c r="AL57" i="19"/>
  <c r="AM57" i="19" s="1"/>
  <c r="AN57" i="19" s="1"/>
  <c r="AO57" i="19"/>
  <c r="AP57" i="19"/>
  <c r="H67" i="17"/>
  <c r="G67" i="17"/>
  <c r="J68" i="17"/>
  <c r="Y124" i="17"/>
  <c r="AC124" i="17" s="1"/>
  <c r="X125" i="17" s="1"/>
  <c r="Z124" i="17"/>
  <c r="AC129" i="19"/>
  <c r="X130" i="19" s="1"/>
  <c r="AG129" i="19"/>
  <c r="AF130" i="19" s="1"/>
  <c r="R151" i="15"/>
  <c r="Q152" i="15" s="1"/>
  <c r="AT152" i="15" s="1"/>
  <c r="F104" i="18"/>
  <c r="G104" i="18" s="1"/>
  <c r="AR104" i="18" s="1"/>
  <c r="AE134" i="19"/>
  <c r="AD135" i="19" s="1"/>
  <c r="AT134" i="19"/>
  <c r="T135" i="19"/>
  <c r="S135" i="19"/>
  <c r="W135" i="19" s="1"/>
  <c r="R136" i="19" s="1"/>
  <c r="AA215" i="17"/>
  <c r="I215" i="17"/>
  <c r="V215" i="17"/>
  <c r="V215" i="19"/>
  <c r="O215" i="19"/>
  <c r="AB215" i="17"/>
  <c r="AB215" i="19"/>
  <c r="I215" i="19"/>
  <c r="O215" i="17"/>
  <c r="AA215" i="19"/>
  <c r="U215" i="19"/>
  <c r="U215" i="17"/>
  <c r="N144" i="19"/>
  <c r="P145" i="19"/>
  <c r="M144" i="19"/>
  <c r="Q144" i="19" s="1"/>
  <c r="L145" i="19" s="1"/>
  <c r="N144" i="17"/>
  <c r="P145" i="17"/>
  <c r="M144" i="17"/>
  <c r="Q144" i="17" s="1"/>
  <c r="L145" i="17" s="1"/>
  <c r="AT142" i="17"/>
  <c r="AE142" i="17"/>
  <c r="AD143" i="17" s="1"/>
  <c r="S143" i="17"/>
  <c r="W143" i="17" s="1"/>
  <c r="R144" i="17" s="1"/>
  <c r="T143" i="17"/>
  <c r="L212" i="18"/>
  <c r="I213" i="18" s="1"/>
  <c r="J213" i="18" s="1"/>
  <c r="E216" i="19"/>
  <c r="C215" i="19"/>
  <c r="AZ215" i="19"/>
  <c r="AR214" i="16"/>
  <c r="AZ215" i="16"/>
  <c r="C215" i="16"/>
  <c r="E216" i="16"/>
  <c r="BD215" i="16"/>
  <c r="AZ214" i="17"/>
  <c r="C214" i="17"/>
  <c r="E215" i="17"/>
  <c r="O213" i="18"/>
  <c r="AS213" i="18"/>
  <c r="AQ213" i="18"/>
  <c r="AU213" i="18"/>
  <c r="K213" i="18"/>
  <c r="C214" i="18"/>
  <c r="E215" i="18"/>
  <c r="AZ214" i="18"/>
  <c r="AL103" i="18"/>
  <c r="AM103" i="18" s="1"/>
  <c r="AN103" i="18" s="1"/>
  <c r="E217" i="15"/>
  <c r="C216" i="15"/>
  <c r="AZ216" i="15"/>
  <c r="AJ103" i="18"/>
  <c r="AK103" i="18" s="1"/>
  <c r="P167" i="18"/>
  <c r="M168" i="18" s="1"/>
  <c r="N168" i="18" s="1"/>
  <c r="T167" i="18"/>
  <c r="S168" i="18" s="1"/>
  <c r="R166" i="18"/>
  <c r="Q167" i="18" s="1"/>
  <c r="AT167" i="18" s="1"/>
  <c r="L151" i="15"/>
  <c r="I152" i="15" s="1"/>
  <c r="J152" i="15" s="1"/>
  <c r="AE217" i="3"/>
  <c r="BC216" i="3"/>
  <c r="A218" i="3"/>
  <c r="BI218" i="3" s="1"/>
  <c r="BJ218" i="3" s="1"/>
  <c r="AC216" i="3"/>
  <c r="Y217" i="3"/>
  <c r="AN221" i="3"/>
  <c r="AG217" i="3"/>
  <c r="AQ220" i="3"/>
  <c r="AH217" i="3"/>
  <c r="BD216" i="3"/>
  <c r="AL217" i="3"/>
  <c r="H217" i="3"/>
  <c r="AF216" i="3"/>
  <c r="AK216" i="3" s="1"/>
  <c r="AW220" i="3"/>
  <c r="V218" i="3"/>
  <c r="X218" i="3" s="1"/>
  <c r="AV218" i="3"/>
  <c r="AX218" i="3" s="1"/>
  <c r="BB218" i="3" s="1"/>
  <c r="G219" i="3"/>
  <c r="AI215" i="3"/>
  <c r="BE215" i="3" s="1"/>
  <c r="AM217" i="3"/>
  <c r="P220" i="3"/>
  <c r="P221" i="3" s="1"/>
  <c r="AE178" i="25" l="1"/>
  <c r="AD179" i="25" s="1"/>
  <c r="AT178" i="25"/>
  <c r="T179" i="25"/>
  <c r="S179" i="25"/>
  <c r="W179" i="25" s="1"/>
  <c r="R180" i="25" s="1"/>
  <c r="O86" i="28"/>
  <c r="M86" i="28"/>
  <c r="P87" i="28"/>
  <c r="N86" i="28"/>
  <c r="AR220" i="3"/>
  <c r="P126" i="24"/>
  <c r="M127" i="24" s="1"/>
  <c r="AG122" i="25"/>
  <c r="AF123" i="25" s="1"/>
  <c r="Z123" i="25"/>
  <c r="Y123" i="25"/>
  <c r="AC123" i="25" s="1"/>
  <c r="X124" i="25" s="1"/>
  <c r="K113" i="24"/>
  <c r="T113" i="24" s="1"/>
  <c r="S114" i="24" s="1"/>
  <c r="J113" i="24"/>
  <c r="AR215" i="19"/>
  <c r="AN218" i="20"/>
  <c r="O219" i="20"/>
  <c r="AQ218" i="20"/>
  <c r="AR218" i="20" s="1"/>
  <c r="P218" i="20"/>
  <c r="BG216" i="3"/>
  <c r="AC116" i="29"/>
  <c r="X117" i="29" s="1"/>
  <c r="AA117" i="29" s="1"/>
  <c r="AE117" i="29" s="1"/>
  <c r="AD118" i="29" s="1"/>
  <c r="T200" i="29"/>
  <c r="S200" i="29"/>
  <c r="W200" i="29" s="1"/>
  <c r="R201" i="29" s="1"/>
  <c r="U201" i="29" s="1"/>
  <c r="F85" i="29"/>
  <c r="I85" i="29" s="1"/>
  <c r="AR85" i="29" s="1"/>
  <c r="AU84" i="29"/>
  <c r="AQ84" i="29"/>
  <c r="AS84" i="29"/>
  <c r="C214" i="29"/>
  <c r="AZ214" i="29"/>
  <c r="E215" i="29"/>
  <c r="AJ84" i="29"/>
  <c r="AK84" i="29" s="1"/>
  <c r="AW81" i="26"/>
  <c r="AX81" i="26" s="1"/>
  <c r="AY81" i="26" s="1"/>
  <c r="J209" i="26"/>
  <c r="L209" i="26" s="1"/>
  <c r="I210" i="26" s="1"/>
  <c r="AT166" i="26"/>
  <c r="R166" i="26"/>
  <c r="Q167" i="26" s="1"/>
  <c r="O214" i="26"/>
  <c r="K214" i="26"/>
  <c r="AS214" i="26"/>
  <c r="AU214" i="26"/>
  <c r="AQ214" i="26"/>
  <c r="F83" i="26"/>
  <c r="AI82" i="26"/>
  <c r="AJ82" i="26" s="1"/>
  <c r="AL82" i="26"/>
  <c r="N167" i="26"/>
  <c r="P167" i="26" s="1"/>
  <c r="M168" i="26" s="1"/>
  <c r="T166" i="26"/>
  <c r="S167" i="26" s="1"/>
  <c r="C215" i="26"/>
  <c r="AZ215" i="26"/>
  <c r="E216" i="26"/>
  <c r="T176" i="28"/>
  <c r="S176" i="28"/>
  <c r="AE176" i="28" s="1"/>
  <c r="AD177" i="28" s="1"/>
  <c r="H85" i="28"/>
  <c r="AP85" i="28" s="1"/>
  <c r="J86" i="28"/>
  <c r="G85" i="28"/>
  <c r="AI85" i="28" s="1"/>
  <c r="AC121" i="28"/>
  <c r="X122" i="28" s="1"/>
  <c r="AB122" i="28" s="1"/>
  <c r="C215" i="28"/>
  <c r="AZ215" i="28"/>
  <c r="E216" i="28"/>
  <c r="BA215" i="25"/>
  <c r="BB215" i="25"/>
  <c r="BC215" i="25"/>
  <c r="G105" i="25"/>
  <c r="K105" i="25" s="1"/>
  <c r="J106" i="25"/>
  <c r="H105" i="25"/>
  <c r="AR214" i="25"/>
  <c r="U214" i="25"/>
  <c r="AB214" i="25"/>
  <c r="V214" i="25"/>
  <c r="AA214" i="25"/>
  <c r="AZ215" i="25"/>
  <c r="BD215" i="25"/>
  <c r="C215" i="25"/>
  <c r="E216" i="25"/>
  <c r="AJ101" i="25"/>
  <c r="AK101" i="25" s="1"/>
  <c r="AW101" i="25" s="1"/>
  <c r="AX101" i="25" s="1"/>
  <c r="AY101" i="25" s="1"/>
  <c r="P103" i="25"/>
  <c r="N102" i="25"/>
  <c r="AP102" i="25" s="1"/>
  <c r="AU214" i="24"/>
  <c r="AQ214" i="24"/>
  <c r="AS214" i="24"/>
  <c r="F78" i="24"/>
  <c r="AL77" i="24"/>
  <c r="AM77" i="24" s="1"/>
  <c r="AI77" i="24"/>
  <c r="AJ77" i="24" s="1"/>
  <c r="C215" i="24"/>
  <c r="AZ215" i="24"/>
  <c r="E216" i="24"/>
  <c r="AW76" i="15"/>
  <c r="AX76" i="15" s="1"/>
  <c r="AY76" i="15" s="1"/>
  <c r="AQ216" i="15"/>
  <c r="AS216" i="15"/>
  <c r="AU216" i="15"/>
  <c r="G77" i="15"/>
  <c r="AR77" i="15" s="1"/>
  <c r="P177" i="15"/>
  <c r="M178" i="15" s="1"/>
  <c r="N178" i="15" s="1"/>
  <c r="AW84" i="28"/>
  <c r="AX84" i="28" s="1"/>
  <c r="AY84" i="28" s="1"/>
  <c r="M102" i="25"/>
  <c r="AL102" i="25" s="1"/>
  <c r="O213" i="25"/>
  <c r="I213" i="25"/>
  <c r="L213" i="18"/>
  <c r="I214" i="18" s="1"/>
  <c r="J214" i="18" s="1"/>
  <c r="J59" i="19"/>
  <c r="AQ57" i="19"/>
  <c r="G58" i="19"/>
  <c r="AL58" i="19" s="1"/>
  <c r="AM58" i="19" s="1"/>
  <c r="AN58" i="19" s="1"/>
  <c r="AS57" i="19"/>
  <c r="AU57" i="19"/>
  <c r="AG124" i="17"/>
  <c r="AF125" i="17" s="1"/>
  <c r="AP58" i="19"/>
  <c r="AO58" i="19"/>
  <c r="AO67" i="17"/>
  <c r="AP67" i="17"/>
  <c r="Z125" i="17"/>
  <c r="Y125" i="17"/>
  <c r="AC125" i="17" s="1"/>
  <c r="X126" i="17" s="1"/>
  <c r="AI67" i="17"/>
  <c r="AJ67" i="17" s="1"/>
  <c r="AK67" i="17" s="1"/>
  <c r="K67" i="17"/>
  <c r="AL67" i="17"/>
  <c r="AM67" i="17" s="1"/>
  <c r="AN67" i="17" s="1"/>
  <c r="Y130" i="19"/>
  <c r="AC130" i="19" s="1"/>
  <c r="X131" i="19" s="1"/>
  <c r="Z130" i="19"/>
  <c r="AT135" i="19"/>
  <c r="AE135" i="19"/>
  <c r="AD136" i="19" s="1"/>
  <c r="T136" i="19"/>
  <c r="S136" i="19"/>
  <c r="W136" i="19" s="1"/>
  <c r="R137" i="19" s="1"/>
  <c r="U216" i="17"/>
  <c r="V216" i="17"/>
  <c r="I216" i="17"/>
  <c r="AA216" i="19"/>
  <c r="I216" i="19"/>
  <c r="O216" i="17"/>
  <c r="AB216" i="19"/>
  <c r="V216" i="19"/>
  <c r="AB216" i="17"/>
  <c r="U216" i="19"/>
  <c r="O216" i="19"/>
  <c r="AA216" i="17"/>
  <c r="AT143" i="17"/>
  <c r="AE143" i="17"/>
  <c r="AD144" i="17" s="1"/>
  <c r="M145" i="17"/>
  <c r="Q145" i="17" s="1"/>
  <c r="L146" i="17" s="1"/>
  <c r="P146" i="17"/>
  <c r="N145" i="17"/>
  <c r="T144" i="17"/>
  <c r="S144" i="17"/>
  <c r="W144" i="17" s="1"/>
  <c r="R145" i="17" s="1"/>
  <c r="M145" i="19"/>
  <c r="Q145" i="19" s="1"/>
  <c r="L146" i="19" s="1"/>
  <c r="P146" i="19"/>
  <c r="N145" i="19"/>
  <c r="E217" i="19"/>
  <c r="AZ216" i="19"/>
  <c r="C216" i="19"/>
  <c r="AZ216" i="16"/>
  <c r="BD216" i="16"/>
  <c r="E217" i="16"/>
  <c r="C216" i="16"/>
  <c r="AR215" i="16"/>
  <c r="AZ215" i="18"/>
  <c r="C215" i="18"/>
  <c r="E216" i="18"/>
  <c r="AZ215" i="17"/>
  <c r="E216" i="17"/>
  <c r="C215" i="17"/>
  <c r="AQ214" i="18"/>
  <c r="AS214" i="18"/>
  <c r="AU214" i="18"/>
  <c r="K214" i="18"/>
  <c r="O214" i="18"/>
  <c r="C217" i="15"/>
  <c r="AZ217" i="15"/>
  <c r="E218" i="15"/>
  <c r="H104" i="18"/>
  <c r="F105" i="18" s="1"/>
  <c r="G105" i="18" s="1"/>
  <c r="AR105" i="18" s="1"/>
  <c r="AW103" i="18"/>
  <c r="AX103" i="18" s="1"/>
  <c r="AY103" i="18" s="1"/>
  <c r="R167" i="18"/>
  <c r="Q168" i="18" s="1"/>
  <c r="AT168" i="18" s="1"/>
  <c r="P168" i="18"/>
  <c r="M169" i="18" s="1"/>
  <c r="N169" i="18" s="1"/>
  <c r="T168" i="18"/>
  <c r="S169" i="18" s="1"/>
  <c r="AW221" i="3"/>
  <c r="AL218" i="3"/>
  <c r="A219" i="3"/>
  <c r="BI219" i="3" s="1"/>
  <c r="BJ219" i="3" s="1"/>
  <c r="AG218" i="3"/>
  <c r="Y218" i="3"/>
  <c r="AC217" i="3"/>
  <c r="P222" i="3"/>
  <c r="G220" i="3"/>
  <c r="AV219" i="3"/>
  <c r="AX219" i="3" s="1"/>
  <c r="BB219" i="3" s="1"/>
  <c r="V219" i="3"/>
  <c r="X219" i="3" s="1"/>
  <c r="AH218" i="3"/>
  <c r="BD217" i="3"/>
  <c r="AD216" i="3"/>
  <c r="AI216" i="3" s="1"/>
  <c r="BE216" i="3" s="1"/>
  <c r="AM218" i="3"/>
  <c r="H218" i="3"/>
  <c r="AF217" i="3"/>
  <c r="AK217" i="3" s="1"/>
  <c r="AQ221" i="3"/>
  <c r="BC217" i="3"/>
  <c r="AE218" i="3"/>
  <c r="AT179" i="25" l="1"/>
  <c r="AE179" i="25"/>
  <c r="AD180" i="25" s="1"/>
  <c r="T180" i="25"/>
  <c r="S180" i="25"/>
  <c r="W180" i="25" s="1"/>
  <c r="R181" i="25" s="1"/>
  <c r="Q85" i="29"/>
  <c r="L86" i="29" s="1"/>
  <c r="P87" i="29" s="1"/>
  <c r="AT118" i="29"/>
  <c r="AR221" i="3"/>
  <c r="AG123" i="25"/>
  <c r="AF124" i="25" s="1"/>
  <c r="L113" i="24"/>
  <c r="I114" i="24" s="1"/>
  <c r="Y124" i="25"/>
  <c r="AC124" i="25" s="1"/>
  <c r="X125" i="25" s="1"/>
  <c r="Z124" i="25"/>
  <c r="O127" i="24"/>
  <c r="N127" i="24"/>
  <c r="R113" i="24"/>
  <c r="Q114" i="24" s="1"/>
  <c r="AT114" i="24" s="1"/>
  <c r="P219" i="20"/>
  <c r="AN219" i="20"/>
  <c r="O220" i="20"/>
  <c r="AQ219" i="20"/>
  <c r="AR219" i="20" s="1"/>
  <c r="BG217" i="3"/>
  <c r="AW84" i="29"/>
  <c r="AX84" i="29" s="1"/>
  <c r="AY84" i="29" s="1"/>
  <c r="AJ216" i="3"/>
  <c r="BF216" i="3" s="1"/>
  <c r="O216" i="15"/>
  <c r="K216" i="15"/>
  <c r="Z117" i="29"/>
  <c r="Y117" i="29"/>
  <c r="AG117" i="29" s="1"/>
  <c r="AF118" i="29" s="1"/>
  <c r="T201" i="29"/>
  <c r="S201" i="29"/>
  <c r="W201" i="29" s="1"/>
  <c r="R202" i="29" s="1"/>
  <c r="U202" i="29" s="1"/>
  <c r="AZ215" i="29"/>
  <c r="C215" i="29"/>
  <c r="E216" i="29"/>
  <c r="J86" i="29"/>
  <c r="H85" i="29"/>
  <c r="AP85" i="29" s="1"/>
  <c r="G85" i="29"/>
  <c r="AL85" i="29" s="1"/>
  <c r="T167" i="26"/>
  <c r="S168" i="26" s="1"/>
  <c r="J210" i="26"/>
  <c r="L210" i="26" s="1"/>
  <c r="I211" i="26" s="1"/>
  <c r="N168" i="26"/>
  <c r="G83" i="26"/>
  <c r="AR83" i="26" s="1"/>
  <c r="AM82" i="26"/>
  <c r="AN82" i="26" s="1"/>
  <c r="AT167" i="26"/>
  <c r="R167" i="26"/>
  <c r="Q168" i="26" s="1"/>
  <c r="K215" i="26"/>
  <c r="O215" i="26"/>
  <c r="AQ215" i="26"/>
  <c r="AS215" i="26"/>
  <c r="AU215" i="26"/>
  <c r="AK82" i="26"/>
  <c r="C216" i="26"/>
  <c r="AZ216" i="26"/>
  <c r="E217" i="26"/>
  <c r="K85" i="28"/>
  <c r="F86" i="28" s="1"/>
  <c r="AJ85" i="28"/>
  <c r="AK85" i="28" s="1"/>
  <c r="AT177" i="28"/>
  <c r="W176" i="28"/>
  <c r="R177" i="28" s="1"/>
  <c r="V177" i="28" s="1"/>
  <c r="AO85" i="28"/>
  <c r="AL85" i="28"/>
  <c r="AM85" i="28" s="1"/>
  <c r="Z122" i="28"/>
  <c r="Y122" i="28"/>
  <c r="AG122" i="28" s="1"/>
  <c r="AF123" i="28" s="1"/>
  <c r="AZ216" i="28"/>
  <c r="C216" i="28"/>
  <c r="E217" i="28"/>
  <c r="F106" i="25"/>
  <c r="AB215" i="25"/>
  <c r="AR215" i="25"/>
  <c r="U215" i="25"/>
  <c r="AA215" i="25"/>
  <c r="V215" i="25"/>
  <c r="BA216" i="25"/>
  <c r="BB216" i="25"/>
  <c r="BC216" i="25"/>
  <c r="AK77" i="24"/>
  <c r="AO102" i="25"/>
  <c r="C216" i="25"/>
  <c r="AZ216" i="25"/>
  <c r="BD216" i="25"/>
  <c r="E217" i="25"/>
  <c r="AM102" i="25"/>
  <c r="AN102" i="25" s="1"/>
  <c r="AS215" i="24"/>
  <c r="AU215" i="24"/>
  <c r="AQ215" i="24"/>
  <c r="C216" i="24"/>
  <c r="AZ216" i="24"/>
  <c r="E217" i="24"/>
  <c r="AN77" i="24"/>
  <c r="G78" i="24"/>
  <c r="AR78" i="24" s="1"/>
  <c r="AS217" i="15"/>
  <c r="AU217" i="15"/>
  <c r="AQ217" i="15"/>
  <c r="H77" i="15"/>
  <c r="P178" i="15"/>
  <c r="M179" i="15" s="1"/>
  <c r="N179" i="15" s="1"/>
  <c r="Q102" i="25"/>
  <c r="O214" i="25"/>
  <c r="I214" i="25"/>
  <c r="AW57" i="19"/>
  <c r="AX57" i="19" s="1"/>
  <c r="AY57" i="19" s="1"/>
  <c r="AD217" i="3"/>
  <c r="AI217" i="3" s="1"/>
  <c r="BE217" i="3" s="1"/>
  <c r="K58" i="19"/>
  <c r="AS58" i="19" s="1"/>
  <c r="AI58" i="19"/>
  <c r="AJ58" i="19" s="1"/>
  <c r="AK58" i="19" s="1"/>
  <c r="AL219" i="3"/>
  <c r="AG125" i="17"/>
  <c r="AF126" i="17" s="1"/>
  <c r="AQ67" i="17"/>
  <c r="AS67" i="17"/>
  <c r="AU67" i="17"/>
  <c r="F68" i="17"/>
  <c r="Z126" i="17"/>
  <c r="Y126" i="17"/>
  <c r="AC126" i="17" s="1"/>
  <c r="X127" i="17" s="1"/>
  <c r="AG130" i="19"/>
  <c r="AF131" i="19" s="1"/>
  <c r="Z131" i="19"/>
  <c r="Y131" i="19"/>
  <c r="AC131" i="19" s="1"/>
  <c r="X132" i="19" s="1"/>
  <c r="AT136" i="19"/>
  <c r="AE136" i="19"/>
  <c r="AD137" i="19" s="1"/>
  <c r="S137" i="19"/>
  <c r="W137" i="19" s="1"/>
  <c r="R138" i="19" s="1"/>
  <c r="T137" i="19"/>
  <c r="AA217" i="17"/>
  <c r="I217" i="17"/>
  <c r="U217" i="17"/>
  <c r="O217" i="17"/>
  <c r="AB217" i="19"/>
  <c r="O217" i="19"/>
  <c r="AB217" i="17"/>
  <c r="V217" i="19"/>
  <c r="V217" i="17"/>
  <c r="U217" i="19"/>
  <c r="AA217" i="19"/>
  <c r="I217" i="19"/>
  <c r="AR216" i="19"/>
  <c r="N146" i="17"/>
  <c r="P147" i="17"/>
  <c r="M146" i="17"/>
  <c r="Q146" i="17" s="1"/>
  <c r="L147" i="17" s="1"/>
  <c r="M146" i="19"/>
  <c r="Q146" i="19" s="1"/>
  <c r="L147" i="19" s="1"/>
  <c r="P147" i="19"/>
  <c r="N146" i="19"/>
  <c r="S145" i="17"/>
  <c r="W145" i="17" s="1"/>
  <c r="R146" i="17" s="1"/>
  <c r="T145" i="17"/>
  <c r="AT144" i="17"/>
  <c r="AE144" i="17"/>
  <c r="AD145" i="17" s="1"/>
  <c r="C217" i="19"/>
  <c r="E218" i="19"/>
  <c r="AZ217" i="19"/>
  <c r="L214" i="18"/>
  <c r="I215" i="18" s="1"/>
  <c r="J215" i="18" s="1"/>
  <c r="AR216" i="16"/>
  <c r="C217" i="16"/>
  <c r="BD217" i="16"/>
  <c r="AZ217" i="16"/>
  <c r="E218" i="16"/>
  <c r="E217" i="18"/>
  <c r="AZ216" i="18"/>
  <c r="C216" i="18"/>
  <c r="O215" i="18"/>
  <c r="AU215" i="18"/>
  <c r="AS215" i="18"/>
  <c r="AQ215" i="18"/>
  <c r="K215" i="18"/>
  <c r="E217" i="17"/>
  <c r="C216" i="17"/>
  <c r="AZ216" i="17"/>
  <c r="AI104" i="18"/>
  <c r="AJ104" i="18" s="1"/>
  <c r="AK104" i="18" s="1"/>
  <c r="AL104" i="18"/>
  <c r="AM104" i="18" s="1"/>
  <c r="AN104" i="18" s="1"/>
  <c r="E219" i="15"/>
  <c r="C218" i="15"/>
  <c r="AZ218" i="15"/>
  <c r="H105" i="18"/>
  <c r="T169" i="18"/>
  <c r="S170" i="18" s="1"/>
  <c r="R168" i="18"/>
  <c r="Q169" i="18" s="1"/>
  <c r="AT169" i="18" s="1"/>
  <c r="T152" i="15"/>
  <c r="S153" i="15" s="1"/>
  <c r="R152" i="15"/>
  <c r="Q153" i="15" s="1"/>
  <c r="AT153" i="15" s="1"/>
  <c r="L152" i="15"/>
  <c r="I153" i="15" s="1"/>
  <c r="J153" i="15" s="1"/>
  <c r="AH219" i="3"/>
  <c r="BD218" i="3"/>
  <c r="P223" i="3"/>
  <c r="BC218" i="3"/>
  <c r="AE219" i="3"/>
  <c r="A220" i="3"/>
  <c r="BI220" i="3" s="1"/>
  <c r="BJ220" i="3" s="1"/>
  <c r="H219" i="3"/>
  <c r="AF218" i="3"/>
  <c r="AK218" i="3" s="1"/>
  <c r="Y219" i="3"/>
  <c r="AC218" i="3"/>
  <c r="AW222" i="3"/>
  <c r="AQ222" i="3"/>
  <c r="AM219" i="3"/>
  <c r="G221" i="3"/>
  <c r="AV220" i="3"/>
  <c r="AX220" i="3" s="1"/>
  <c r="BB220" i="3" s="1"/>
  <c r="V220" i="3"/>
  <c r="X220" i="3" s="1"/>
  <c r="AG219" i="3"/>
  <c r="AN222" i="3"/>
  <c r="AM220" i="3" l="1"/>
  <c r="S181" i="25"/>
  <c r="W181" i="25" s="1"/>
  <c r="R182" i="25" s="1"/>
  <c r="T181" i="25"/>
  <c r="AT180" i="25"/>
  <c r="AE180" i="25"/>
  <c r="AD181" i="25" s="1"/>
  <c r="O86" i="29"/>
  <c r="M86" i="29"/>
  <c r="N86" i="29"/>
  <c r="G86" i="28"/>
  <c r="AI86" i="28" s="1"/>
  <c r="I86" i="28"/>
  <c r="Q86" i="28" s="1"/>
  <c r="L87" i="28" s="1"/>
  <c r="AR222" i="3"/>
  <c r="P127" i="24"/>
  <c r="M128" i="24" s="1"/>
  <c r="AG124" i="25"/>
  <c r="AF125" i="25" s="1"/>
  <c r="Z125" i="25"/>
  <c r="Y125" i="25"/>
  <c r="AC125" i="25" s="1"/>
  <c r="X126" i="25" s="1"/>
  <c r="K114" i="24"/>
  <c r="T114" i="24" s="1"/>
  <c r="S115" i="24" s="1"/>
  <c r="J114" i="24"/>
  <c r="P220" i="20"/>
  <c r="AN220" i="20"/>
  <c r="AJ217" i="3"/>
  <c r="BF217" i="3" s="1"/>
  <c r="AR217" i="19"/>
  <c r="O217" i="15"/>
  <c r="AQ220" i="20"/>
  <c r="AR220" i="20" s="1"/>
  <c r="O221" i="20"/>
  <c r="K217" i="15"/>
  <c r="BG218" i="3"/>
  <c r="AC117" i="29"/>
  <c r="X118" i="29" s="1"/>
  <c r="AA118" i="29" s="1"/>
  <c r="AE118" i="29" s="1"/>
  <c r="AD119" i="29" s="1"/>
  <c r="T202" i="29"/>
  <c r="S202" i="29"/>
  <c r="W202" i="29" s="1"/>
  <c r="R203" i="29" s="1"/>
  <c r="U203" i="29" s="1"/>
  <c r="AM85" i="29"/>
  <c r="AN85" i="29" s="1"/>
  <c r="AI85" i="29"/>
  <c r="K85" i="29"/>
  <c r="C216" i="29"/>
  <c r="AZ216" i="29"/>
  <c r="E217" i="29"/>
  <c r="AO85" i="29"/>
  <c r="T168" i="26"/>
  <c r="S169" i="26" s="1"/>
  <c r="AW82" i="26"/>
  <c r="AX82" i="26" s="1"/>
  <c r="AY82" i="26" s="1"/>
  <c r="J211" i="26"/>
  <c r="L211" i="26" s="1"/>
  <c r="I212" i="26" s="1"/>
  <c r="P168" i="26"/>
  <c r="M169" i="26" s="1"/>
  <c r="H83" i="26"/>
  <c r="AT168" i="26"/>
  <c r="R168" i="26"/>
  <c r="Q169" i="26" s="1"/>
  <c r="O216" i="26"/>
  <c r="AQ216" i="26"/>
  <c r="AS216" i="26"/>
  <c r="AU216" i="26"/>
  <c r="K216" i="26"/>
  <c r="C217" i="26"/>
  <c r="AZ217" i="26"/>
  <c r="E218" i="26"/>
  <c r="H86" i="28"/>
  <c r="AP86" i="28" s="1"/>
  <c r="J87" i="28"/>
  <c r="AS85" i="28"/>
  <c r="AQ85" i="28"/>
  <c r="AU85" i="28"/>
  <c r="T177" i="28"/>
  <c r="S177" i="28"/>
  <c r="AE177" i="28" s="1"/>
  <c r="AD178" i="28" s="1"/>
  <c r="AT178" i="28" s="1"/>
  <c r="AC122" i="28"/>
  <c r="X123" i="28" s="1"/>
  <c r="AB123" i="28" s="1"/>
  <c r="AN85" i="28"/>
  <c r="C217" i="28"/>
  <c r="AZ217" i="28"/>
  <c r="E218" i="28"/>
  <c r="AW77" i="24"/>
  <c r="AX77" i="24" s="1"/>
  <c r="AY77" i="24" s="1"/>
  <c r="G106" i="25"/>
  <c r="K106" i="25" s="1"/>
  <c r="J107" i="25"/>
  <c r="H106" i="25"/>
  <c r="AA216" i="25"/>
  <c r="AB216" i="25"/>
  <c r="AR216" i="25"/>
  <c r="V216" i="25"/>
  <c r="U216" i="25"/>
  <c r="BB217" i="25"/>
  <c r="BA217" i="25"/>
  <c r="BC217" i="25"/>
  <c r="AU102" i="25"/>
  <c r="AI102" i="25"/>
  <c r="AQ102" i="25"/>
  <c r="AS102" i="25"/>
  <c r="L103" i="25"/>
  <c r="AZ217" i="25"/>
  <c r="BD217" i="25"/>
  <c r="C217" i="25"/>
  <c r="E218" i="25"/>
  <c r="C217" i="24"/>
  <c r="AZ217" i="24"/>
  <c r="E218" i="24"/>
  <c r="AQ216" i="24"/>
  <c r="AS216" i="24"/>
  <c r="AU216" i="24"/>
  <c r="H78" i="24"/>
  <c r="F78" i="15"/>
  <c r="AI77" i="15"/>
  <c r="AJ77" i="15" s="1"/>
  <c r="AK77" i="15" s="1"/>
  <c r="AL77" i="15"/>
  <c r="AM77" i="15" s="1"/>
  <c r="AN77" i="15" s="1"/>
  <c r="AQ218" i="15"/>
  <c r="AS218" i="15"/>
  <c r="AU218" i="15"/>
  <c r="P179" i="15"/>
  <c r="M180" i="15" s="1"/>
  <c r="N180" i="15" s="1"/>
  <c r="O215" i="25"/>
  <c r="I215" i="25"/>
  <c r="AD218" i="3"/>
  <c r="K218" i="15" s="1"/>
  <c r="AW67" i="17"/>
  <c r="AX67" i="17" s="1"/>
  <c r="AY67" i="17" s="1"/>
  <c r="F59" i="19"/>
  <c r="AU58" i="19"/>
  <c r="AQ58" i="19"/>
  <c r="Y127" i="17"/>
  <c r="AC127" i="17" s="1"/>
  <c r="X128" i="17" s="1"/>
  <c r="Z127" i="17"/>
  <c r="G68" i="17"/>
  <c r="H68" i="17"/>
  <c r="J69" i="17"/>
  <c r="AG126" i="17"/>
  <c r="AF127" i="17" s="1"/>
  <c r="Y132" i="19"/>
  <c r="AC132" i="19" s="1"/>
  <c r="X133" i="19" s="1"/>
  <c r="Z132" i="19"/>
  <c r="AG131" i="19"/>
  <c r="AF132" i="19" s="1"/>
  <c r="AE137" i="19"/>
  <c r="AD138" i="19" s="1"/>
  <c r="AT137" i="19"/>
  <c r="T138" i="19"/>
  <c r="S138" i="19"/>
  <c r="W138" i="19" s="1"/>
  <c r="R139" i="19" s="1"/>
  <c r="L215" i="18"/>
  <c r="I216" i="18" s="1"/>
  <c r="J216" i="18" s="1"/>
  <c r="U218" i="17"/>
  <c r="O218" i="17"/>
  <c r="V218" i="17"/>
  <c r="U218" i="19"/>
  <c r="O218" i="19"/>
  <c r="AB218" i="17"/>
  <c r="AB218" i="19"/>
  <c r="I218" i="19"/>
  <c r="I218" i="17"/>
  <c r="V218" i="19"/>
  <c r="AA218" i="17"/>
  <c r="AA218" i="19"/>
  <c r="T146" i="17"/>
  <c r="S146" i="17"/>
  <c r="W146" i="17" s="1"/>
  <c r="R147" i="17" s="1"/>
  <c r="M147" i="17"/>
  <c r="Q147" i="17" s="1"/>
  <c r="L148" i="17" s="1"/>
  <c r="N147" i="17"/>
  <c r="P148" i="17"/>
  <c r="R153" i="15"/>
  <c r="Q154" i="15" s="1"/>
  <c r="AT154" i="15" s="1"/>
  <c r="M147" i="19"/>
  <c r="Q147" i="19" s="1"/>
  <c r="L148" i="19" s="1"/>
  <c r="P148" i="19"/>
  <c r="N147" i="19"/>
  <c r="AT145" i="17"/>
  <c r="AE145" i="17"/>
  <c r="AD146" i="17" s="1"/>
  <c r="C218" i="19"/>
  <c r="E219" i="19"/>
  <c r="AZ218" i="19"/>
  <c r="C218" i="16"/>
  <c r="BD218" i="16"/>
  <c r="AZ218" i="16"/>
  <c r="E219" i="16"/>
  <c r="AR217" i="16"/>
  <c r="K216" i="18"/>
  <c r="AQ216" i="18"/>
  <c r="AU216" i="18"/>
  <c r="AS216" i="18"/>
  <c r="O216" i="18"/>
  <c r="C217" i="17"/>
  <c r="E218" i="17"/>
  <c r="AZ217" i="17"/>
  <c r="E218" i="18"/>
  <c r="AZ217" i="18"/>
  <c r="C217" i="18"/>
  <c r="E220" i="15"/>
  <c r="C219" i="15"/>
  <c r="AZ219" i="15"/>
  <c r="F106" i="18"/>
  <c r="AL105" i="18"/>
  <c r="AI105" i="18"/>
  <c r="AW104" i="18"/>
  <c r="AX104" i="18" s="1"/>
  <c r="AY104" i="18" s="1"/>
  <c r="R169" i="18"/>
  <c r="Q170" i="18" s="1"/>
  <c r="AT170" i="18" s="1"/>
  <c r="P169" i="18"/>
  <c r="M170" i="18" s="1"/>
  <c r="N170" i="18" s="1"/>
  <c r="BC219" i="3"/>
  <c r="AE220" i="3"/>
  <c r="P224" i="3"/>
  <c r="AQ223" i="3"/>
  <c r="Y220" i="3"/>
  <c r="AC219" i="3"/>
  <c r="A221" i="3"/>
  <c r="BI221" i="3" s="1"/>
  <c r="BJ221" i="3" s="1"/>
  <c r="AN223" i="3"/>
  <c r="AN224" i="3" s="1"/>
  <c r="AH220" i="3"/>
  <c r="BD219" i="3"/>
  <c r="AG220" i="3"/>
  <c r="V221" i="3"/>
  <c r="X221" i="3" s="1"/>
  <c r="AV221" i="3"/>
  <c r="AX221" i="3" s="1"/>
  <c r="BB221" i="3" s="1"/>
  <c r="G222" i="3"/>
  <c r="AW223" i="3"/>
  <c r="H220" i="3"/>
  <c r="AF219" i="3"/>
  <c r="AD219" i="3" s="1"/>
  <c r="AL220" i="3"/>
  <c r="AT181" i="25" l="1"/>
  <c r="AE181" i="25"/>
  <c r="AD182" i="25" s="1"/>
  <c r="T182" i="25"/>
  <c r="S182" i="25"/>
  <c r="W182" i="25" s="1"/>
  <c r="R183" i="25" s="1"/>
  <c r="O87" i="28"/>
  <c r="M87" i="28"/>
  <c r="P88" i="28"/>
  <c r="N87" i="28"/>
  <c r="AT119" i="29"/>
  <c r="AL86" i="28"/>
  <c r="AR223" i="3"/>
  <c r="AN221" i="20"/>
  <c r="R114" i="24"/>
  <c r="Q115" i="24" s="1"/>
  <c r="AT115" i="24" s="1"/>
  <c r="L114" i="24"/>
  <c r="I115" i="24" s="1"/>
  <c r="AG125" i="25"/>
  <c r="AF126" i="25" s="1"/>
  <c r="Z126" i="25"/>
  <c r="Y126" i="25"/>
  <c r="AC126" i="25" s="1"/>
  <c r="X127" i="25" s="1"/>
  <c r="O128" i="24"/>
  <c r="N128" i="24"/>
  <c r="AJ218" i="3"/>
  <c r="BF218" i="3" s="1"/>
  <c r="AR218" i="19"/>
  <c r="P221" i="20"/>
  <c r="AQ221" i="20"/>
  <c r="AR221" i="20" s="1"/>
  <c r="O222" i="20"/>
  <c r="AK219" i="3"/>
  <c r="BG219" i="3" s="1"/>
  <c r="O218" i="15"/>
  <c r="AI218" i="3"/>
  <c r="BE218" i="3" s="1"/>
  <c r="Z118" i="29"/>
  <c r="Y118" i="29"/>
  <c r="AG118" i="29" s="1"/>
  <c r="AF119" i="29" s="1"/>
  <c r="T203" i="29"/>
  <c r="S203" i="29"/>
  <c r="W203" i="29" s="1"/>
  <c r="R204" i="29" s="1"/>
  <c r="U204" i="29" s="1"/>
  <c r="F86" i="29"/>
  <c r="I86" i="29" s="1"/>
  <c r="AU85" i="29"/>
  <c r="AQ85" i="29"/>
  <c r="AS85" i="29"/>
  <c r="AZ217" i="29"/>
  <c r="C217" i="29"/>
  <c r="E218" i="29"/>
  <c r="AJ85" i="29"/>
  <c r="AK85" i="29" s="1"/>
  <c r="AS217" i="26"/>
  <c r="AU217" i="26"/>
  <c r="AQ217" i="26"/>
  <c r="O217" i="26"/>
  <c r="K217" i="26"/>
  <c r="F84" i="26"/>
  <c r="AI83" i="26"/>
  <c r="AL83" i="26"/>
  <c r="J212" i="26"/>
  <c r="L212" i="26" s="1"/>
  <c r="I213" i="26" s="1"/>
  <c r="AT169" i="26"/>
  <c r="N169" i="26"/>
  <c r="T169" i="26" s="1"/>
  <c r="S170" i="26" s="1"/>
  <c r="AZ218" i="26"/>
  <c r="C218" i="26"/>
  <c r="E219" i="26"/>
  <c r="AW85" i="28"/>
  <c r="AX85" i="28" s="1"/>
  <c r="AY85" i="28" s="1"/>
  <c r="AO86" i="28"/>
  <c r="W177" i="28"/>
  <c r="R178" i="28" s="1"/>
  <c r="V178" i="28" s="1"/>
  <c r="Z123" i="28"/>
  <c r="Y123" i="28"/>
  <c r="AG123" i="28" s="1"/>
  <c r="AF124" i="28" s="1"/>
  <c r="AJ86" i="28"/>
  <c r="AK86" i="28" s="1"/>
  <c r="C218" i="28"/>
  <c r="AZ218" i="28"/>
  <c r="E219" i="28"/>
  <c r="F107" i="25"/>
  <c r="V217" i="25"/>
  <c r="AA217" i="25"/>
  <c r="AB217" i="25"/>
  <c r="AR217" i="25"/>
  <c r="U217" i="25"/>
  <c r="BA218" i="25"/>
  <c r="BC218" i="25"/>
  <c r="BB218" i="25"/>
  <c r="AW77" i="15"/>
  <c r="AX77" i="15" s="1"/>
  <c r="AY77" i="15" s="1"/>
  <c r="N103" i="25"/>
  <c r="AP103" i="25" s="1"/>
  <c r="P104" i="25"/>
  <c r="C218" i="25"/>
  <c r="AZ218" i="25"/>
  <c r="BD218" i="25"/>
  <c r="E219" i="25"/>
  <c r="AJ102" i="25"/>
  <c r="AK102" i="25" s="1"/>
  <c r="AW102" i="25" s="1"/>
  <c r="AX102" i="25" s="1"/>
  <c r="AY102" i="25" s="1"/>
  <c r="AQ217" i="24"/>
  <c r="AS217" i="24"/>
  <c r="AU217" i="24"/>
  <c r="F79" i="24"/>
  <c r="AI78" i="24"/>
  <c r="AJ78" i="24" s="1"/>
  <c r="AL78" i="24"/>
  <c r="AM78" i="24" s="1"/>
  <c r="AZ218" i="24"/>
  <c r="C218" i="24"/>
  <c r="E219" i="24"/>
  <c r="K219" i="15"/>
  <c r="O219" i="15"/>
  <c r="AQ219" i="15"/>
  <c r="AS219" i="15"/>
  <c r="AU219" i="15"/>
  <c r="G78" i="15"/>
  <c r="AR78" i="15" s="1"/>
  <c r="P180" i="15"/>
  <c r="M181" i="15" s="1"/>
  <c r="N181" i="15" s="1"/>
  <c r="K86" i="28"/>
  <c r="O216" i="25"/>
  <c r="M103" i="25"/>
  <c r="Q103" i="25" s="1"/>
  <c r="L104" i="25" s="1"/>
  <c r="I216" i="25"/>
  <c r="AJ219" i="3"/>
  <c r="BF219" i="3" s="1"/>
  <c r="AW58" i="19"/>
  <c r="AX58" i="19" s="1"/>
  <c r="AY58" i="19" s="1"/>
  <c r="G59" i="19"/>
  <c r="AI59" i="19" s="1"/>
  <c r="AJ59" i="19" s="1"/>
  <c r="AK59" i="19" s="1"/>
  <c r="H59" i="19"/>
  <c r="J60" i="19"/>
  <c r="AG127" i="17"/>
  <c r="AF128" i="17" s="1"/>
  <c r="AI68" i="17"/>
  <c r="AJ68" i="17" s="1"/>
  <c r="AK68" i="17" s="1"/>
  <c r="K68" i="17"/>
  <c r="AL68" i="17"/>
  <c r="AM68" i="17" s="1"/>
  <c r="AN68" i="17" s="1"/>
  <c r="Z128" i="17"/>
  <c r="Y128" i="17"/>
  <c r="AC128" i="17" s="1"/>
  <c r="X129" i="17" s="1"/>
  <c r="AP68" i="17"/>
  <c r="AO68" i="17"/>
  <c r="AG132" i="19"/>
  <c r="AF133" i="19" s="1"/>
  <c r="Z133" i="19"/>
  <c r="Y133" i="19"/>
  <c r="AC133" i="19" s="1"/>
  <c r="X134" i="19" s="1"/>
  <c r="T153" i="15"/>
  <c r="S154" i="15" s="1"/>
  <c r="S139" i="19"/>
  <c r="W139" i="19" s="1"/>
  <c r="R140" i="19" s="1"/>
  <c r="T139" i="19"/>
  <c r="AT138" i="19"/>
  <c r="AE138" i="19"/>
  <c r="AD139" i="19" s="1"/>
  <c r="AA219" i="17"/>
  <c r="I219" i="17"/>
  <c r="O219" i="17"/>
  <c r="V219" i="17"/>
  <c r="V219" i="19"/>
  <c r="U219" i="17"/>
  <c r="AA219" i="19"/>
  <c r="U219" i="19"/>
  <c r="O219" i="19"/>
  <c r="I219" i="19"/>
  <c r="AB219" i="17"/>
  <c r="AB219" i="19"/>
  <c r="L153" i="15"/>
  <c r="I154" i="15" s="1"/>
  <c r="J154" i="15" s="1"/>
  <c r="AT146" i="17"/>
  <c r="AE146" i="17"/>
  <c r="AD147" i="17" s="1"/>
  <c r="S147" i="17"/>
  <c r="W147" i="17" s="1"/>
  <c r="R148" i="17" s="1"/>
  <c r="T147" i="17"/>
  <c r="N148" i="19"/>
  <c r="P149" i="19"/>
  <c r="M148" i="19"/>
  <c r="Q148" i="19" s="1"/>
  <c r="L149" i="19" s="1"/>
  <c r="P149" i="17"/>
  <c r="M148" i="17"/>
  <c r="Q148" i="17" s="1"/>
  <c r="L149" i="17" s="1"/>
  <c r="N148" i="17"/>
  <c r="E220" i="19"/>
  <c r="C219" i="19"/>
  <c r="AZ219" i="19"/>
  <c r="E220" i="16"/>
  <c r="BD219" i="16"/>
  <c r="AZ219" i="16"/>
  <c r="C219" i="16"/>
  <c r="L216" i="18"/>
  <c r="I217" i="18" s="1"/>
  <c r="J217" i="18" s="1"/>
  <c r="AR218" i="16"/>
  <c r="O217" i="18"/>
  <c r="AS217" i="18"/>
  <c r="AQ217" i="18"/>
  <c r="AU217" i="18"/>
  <c r="K217" i="18"/>
  <c r="C218" i="17"/>
  <c r="AZ218" i="17"/>
  <c r="E219" i="17"/>
  <c r="E219" i="18"/>
  <c r="C218" i="18"/>
  <c r="AZ218" i="18"/>
  <c r="AM105" i="18"/>
  <c r="AN105" i="18" s="1"/>
  <c r="AJ105" i="18"/>
  <c r="AK105" i="18" s="1"/>
  <c r="G106" i="18"/>
  <c r="AR106" i="18" s="1"/>
  <c r="AZ220" i="15"/>
  <c r="C220" i="15"/>
  <c r="E221" i="15"/>
  <c r="T170" i="18"/>
  <c r="S171" i="18" s="1"/>
  <c r="R170" i="18"/>
  <c r="Q171" i="18" s="1"/>
  <c r="AT171" i="18" s="1"/>
  <c r="H221" i="3"/>
  <c r="AF220" i="3"/>
  <c r="AD220" i="3" s="1"/>
  <c r="A222" i="3"/>
  <c r="BI222" i="3" s="1"/>
  <c r="BJ222" i="3" s="1"/>
  <c r="AW224" i="3"/>
  <c r="BD220" i="3"/>
  <c r="AH221" i="3"/>
  <c r="AI219" i="3"/>
  <c r="BE219" i="3" s="1"/>
  <c r="AL221" i="3"/>
  <c r="AG221" i="3"/>
  <c r="AN225" i="3"/>
  <c r="Y221" i="3"/>
  <c r="AC220" i="3"/>
  <c r="G223" i="3"/>
  <c r="AV222" i="3"/>
  <c r="AX222" i="3" s="1"/>
  <c r="BB222" i="3" s="1"/>
  <c r="V222" i="3"/>
  <c r="X222" i="3" s="1"/>
  <c r="AQ224" i="3"/>
  <c r="BC220" i="3"/>
  <c r="AE221" i="3"/>
  <c r="AM221" i="3"/>
  <c r="AL222" i="3" l="1"/>
  <c r="T183" i="25"/>
  <c r="S183" i="25"/>
  <c r="W183" i="25" s="1"/>
  <c r="R184" i="25" s="1"/>
  <c r="AT182" i="25"/>
  <c r="AE182" i="25"/>
  <c r="AD183" i="25" s="1"/>
  <c r="AR86" i="29"/>
  <c r="Q86" i="29"/>
  <c r="L87" i="29" s="1"/>
  <c r="AR224" i="3"/>
  <c r="AN222" i="20"/>
  <c r="AM222" i="3"/>
  <c r="AG126" i="25"/>
  <c r="AF127" i="25" s="1"/>
  <c r="P128" i="24"/>
  <c r="M129" i="24" s="1"/>
  <c r="Z127" i="25"/>
  <c r="Y127" i="25"/>
  <c r="AC127" i="25" s="1"/>
  <c r="X128" i="25" s="1"/>
  <c r="K115" i="24"/>
  <c r="T115" i="24" s="1"/>
  <c r="S116" i="24" s="1"/>
  <c r="J115" i="24"/>
  <c r="AQ222" i="20"/>
  <c r="AR222" i="20" s="1"/>
  <c r="O223" i="20"/>
  <c r="P222" i="20"/>
  <c r="AK220" i="3"/>
  <c r="BG220" i="3" s="1"/>
  <c r="AC118" i="29"/>
  <c r="X119" i="29" s="1"/>
  <c r="AA119" i="29" s="1"/>
  <c r="AE119" i="29" s="1"/>
  <c r="AD120" i="29" s="1"/>
  <c r="T204" i="29"/>
  <c r="S204" i="29"/>
  <c r="W204" i="29" s="1"/>
  <c r="R205" i="29" s="1"/>
  <c r="U205" i="29" s="1"/>
  <c r="AW85" i="29"/>
  <c r="AX85" i="29" s="1"/>
  <c r="AY85" i="29" s="1"/>
  <c r="C218" i="29"/>
  <c r="AZ218" i="29"/>
  <c r="E219" i="29"/>
  <c r="J87" i="29"/>
  <c r="H86" i="29"/>
  <c r="AP86" i="29" s="1"/>
  <c r="G86" i="29"/>
  <c r="K86" i="29" s="1"/>
  <c r="R169" i="26"/>
  <c r="Q170" i="26" s="1"/>
  <c r="AT170" i="26" s="1"/>
  <c r="J213" i="26"/>
  <c r="L213" i="26" s="1"/>
  <c r="I214" i="26" s="1"/>
  <c r="P169" i="26"/>
  <c r="M170" i="26" s="1"/>
  <c r="O218" i="26"/>
  <c r="K218" i="26"/>
  <c r="AS218" i="26"/>
  <c r="AU218" i="26"/>
  <c r="AQ218" i="26"/>
  <c r="G84" i="26"/>
  <c r="AR84" i="26" s="1"/>
  <c r="AJ83" i="26"/>
  <c r="AK83" i="26" s="1"/>
  <c r="AM83" i="26"/>
  <c r="AN83" i="26" s="1"/>
  <c r="C219" i="26"/>
  <c r="AZ219" i="26"/>
  <c r="E220" i="26"/>
  <c r="AC123" i="28"/>
  <c r="X124" i="28" s="1"/>
  <c r="AB124" i="28" s="1"/>
  <c r="T178" i="28"/>
  <c r="S178" i="28"/>
  <c r="W178" i="28" s="1"/>
  <c r="R179" i="28" s="1"/>
  <c r="V179" i="28" s="1"/>
  <c r="AQ86" i="28"/>
  <c r="AS86" i="28"/>
  <c r="AU86" i="28"/>
  <c r="AM86" i="28"/>
  <c r="AN86" i="28" s="1"/>
  <c r="F87" i="28"/>
  <c r="I87" i="28" s="1"/>
  <c r="Q87" i="28" s="1"/>
  <c r="L88" i="28" s="1"/>
  <c r="C219" i="28"/>
  <c r="AZ219" i="28"/>
  <c r="E220" i="28"/>
  <c r="G107" i="25"/>
  <c r="K107" i="25" s="1"/>
  <c r="J108" i="25"/>
  <c r="H107" i="25"/>
  <c r="AO103" i="25"/>
  <c r="AL103" i="25"/>
  <c r="AU103" i="25"/>
  <c r="AS103" i="25"/>
  <c r="U218" i="25"/>
  <c r="V218" i="25"/>
  <c r="AA218" i="25"/>
  <c r="AB218" i="25"/>
  <c r="AR218" i="25"/>
  <c r="AQ103" i="25"/>
  <c r="BC219" i="25"/>
  <c r="BB219" i="25"/>
  <c r="BA219" i="25"/>
  <c r="AI103" i="25"/>
  <c r="AK78" i="24"/>
  <c r="AN78" i="24"/>
  <c r="P105" i="25"/>
  <c r="N104" i="25"/>
  <c r="AP104" i="25" s="1"/>
  <c r="C219" i="25"/>
  <c r="AZ219" i="25"/>
  <c r="BD219" i="25"/>
  <c r="E220" i="25"/>
  <c r="AQ218" i="24"/>
  <c r="AS218" i="24"/>
  <c r="AU218" i="24"/>
  <c r="C219" i="24"/>
  <c r="AZ219" i="24"/>
  <c r="E220" i="24"/>
  <c r="G79" i="24"/>
  <c r="AR79" i="24" s="1"/>
  <c r="O220" i="15"/>
  <c r="AQ220" i="15"/>
  <c r="AS220" i="15"/>
  <c r="AU220" i="15"/>
  <c r="K220" i="15"/>
  <c r="H78" i="15"/>
  <c r="P181" i="15"/>
  <c r="M182" i="15" s="1"/>
  <c r="N182" i="15" s="1"/>
  <c r="M104" i="25"/>
  <c r="Q104" i="25" s="1"/>
  <c r="L105" i="25" s="1"/>
  <c r="O217" i="25"/>
  <c r="I217" i="25"/>
  <c r="AJ220" i="3"/>
  <c r="BF220" i="3" s="1"/>
  <c r="AL59" i="19"/>
  <c r="AM59" i="19" s="1"/>
  <c r="AN59" i="19" s="1"/>
  <c r="AP59" i="19"/>
  <c r="AO59" i="19"/>
  <c r="K59" i="19"/>
  <c r="AG128" i="17"/>
  <c r="AF129" i="17" s="1"/>
  <c r="AU68" i="17"/>
  <c r="AQ68" i="17"/>
  <c r="F69" i="17"/>
  <c r="AS68" i="17"/>
  <c r="Z129" i="17"/>
  <c r="Y129" i="17"/>
  <c r="AC129" i="17" s="1"/>
  <c r="X130" i="17" s="1"/>
  <c r="Y134" i="19"/>
  <c r="AC134" i="19" s="1"/>
  <c r="X135" i="19" s="1"/>
  <c r="Z134" i="19"/>
  <c r="AG133" i="19"/>
  <c r="AF134" i="19" s="1"/>
  <c r="AR219" i="19"/>
  <c r="AE139" i="19"/>
  <c r="AD140" i="19" s="1"/>
  <c r="AT139" i="19"/>
  <c r="S140" i="19"/>
  <c r="W140" i="19" s="1"/>
  <c r="R141" i="19" s="1"/>
  <c r="T140" i="19"/>
  <c r="N149" i="19"/>
  <c r="P150" i="19"/>
  <c r="M149" i="19"/>
  <c r="Q149" i="19" s="1"/>
  <c r="L150" i="19" s="1"/>
  <c r="S148" i="17"/>
  <c r="W148" i="17" s="1"/>
  <c r="R149" i="17" s="1"/>
  <c r="T148" i="17"/>
  <c r="U220" i="17"/>
  <c r="AB220" i="17"/>
  <c r="I220" i="17"/>
  <c r="AA220" i="17"/>
  <c r="AA220" i="19"/>
  <c r="I220" i="19"/>
  <c r="U220" i="19"/>
  <c r="V220" i="17"/>
  <c r="O220" i="19"/>
  <c r="AB220" i="19"/>
  <c r="O220" i="17"/>
  <c r="V220" i="19"/>
  <c r="N149" i="17"/>
  <c r="M149" i="17"/>
  <c r="Q149" i="17" s="1"/>
  <c r="L150" i="17" s="1"/>
  <c r="P150" i="17"/>
  <c r="AT147" i="17"/>
  <c r="AE147" i="17"/>
  <c r="AD148" i="17" s="1"/>
  <c r="T154" i="15"/>
  <c r="S155" i="15" s="1"/>
  <c r="E221" i="19"/>
  <c r="C220" i="19"/>
  <c r="AZ220" i="19"/>
  <c r="L217" i="18"/>
  <c r="I218" i="18" s="1"/>
  <c r="J218" i="18" s="1"/>
  <c r="AR219" i="16"/>
  <c r="AZ220" i="16"/>
  <c r="E221" i="16"/>
  <c r="BD220" i="16"/>
  <c r="C220" i="16"/>
  <c r="E220" i="17"/>
  <c r="AZ219" i="17"/>
  <c r="C219" i="17"/>
  <c r="AS218" i="18"/>
  <c r="AU218" i="18"/>
  <c r="O218" i="18"/>
  <c r="K218" i="18"/>
  <c r="AQ218" i="18"/>
  <c r="AZ219" i="18"/>
  <c r="E220" i="18"/>
  <c r="C219" i="18"/>
  <c r="AW105" i="18"/>
  <c r="AX105" i="18" s="1"/>
  <c r="AY105" i="18" s="1"/>
  <c r="AZ221" i="15"/>
  <c r="E222" i="15"/>
  <c r="C221" i="15"/>
  <c r="H106" i="18"/>
  <c r="P170" i="18"/>
  <c r="M171" i="18" s="1"/>
  <c r="N171" i="18" s="1"/>
  <c r="AE222" i="3"/>
  <c r="BC221" i="3"/>
  <c r="Y222" i="3"/>
  <c r="AC221" i="3"/>
  <c r="A223" i="3"/>
  <c r="BI223" i="3" s="1"/>
  <c r="BJ223" i="3" s="1"/>
  <c r="V223" i="3"/>
  <c r="X223" i="3" s="1"/>
  <c r="AV223" i="3"/>
  <c r="AX223" i="3" s="1"/>
  <c r="BB223" i="3" s="1"/>
  <c r="G224" i="3"/>
  <c r="AW225" i="3"/>
  <c r="AQ225" i="3"/>
  <c r="P225" i="3"/>
  <c r="P226" i="3" s="1"/>
  <c r="AG222" i="3"/>
  <c r="H222" i="3"/>
  <c r="AF221" i="3"/>
  <c r="AD221" i="3" s="1"/>
  <c r="AI220" i="3"/>
  <c r="BE220" i="3" s="1"/>
  <c r="AH222" i="3"/>
  <c r="BD221" i="3"/>
  <c r="AT183" i="25" l="1"/>
  <c r="AE183" i="25"/>
  <c r="AD184" i="25" s="1"/>
  <c r="S184" i="25"/>
  <c r="W184" i="25" s="1"/>
  <c r="R185" i="25" s="1"/>
  <c r="T184" i="25"/>
  <c r="O88" i="28"/>
  <c r="N88" i="28"/>
  <c r="P89" i="28"/>
  <c r="M88" i="28"/>
  <c r="AT120" i="29"/>
  <c r="O87" i="29"/>
  <c r="M87" i="29"/>
  <c r="P88" i="29"/>
  <c r="N87" i="29"/>
  <c r="AR225" i="3"/>
  <c r="AN223" i="20"/>
  <c r="AG127" i="25"/>
  <c r="AF128" i="25" s="1"/>
  <c r="L115" i="24"/>
  <c r="I116" i="24" s="1"/>
  <c r="Z128" i="25"/>
  <c r="Y128" i="25"/>
  <c r="AC128" i="25" s="1"/>
  <c r="X129" i="25" s="1"/>
  <c r="O129" i="24"/>
  <c r="N129" i="24"/>
  <c r="R115" i="24"/>
  <c r="Q116" i="24" s="1"/>
  <c r="AT116" i="24" s="1"/>
  <c r="AR220" i="19"/>
  <c r="P223" i="20"/>
  <c r="AK221" i="3"/>
  <c r="BG221" i="3" s="1"/>
  <c r="O224" i="20"/>
  <c r="AQ223" i="20"/>
  <c r="AR223" i="20" s="1"/>
  <c r="AJ221" i="3"/>
  <c r="BF221" i="3" s="1"/>
  <c r="Z119" i="29"/>
  <c r="Y119" i="29"/>
  <c r="AG119" i="29" s="1"/>
  <c r="AF120" i="29" s="1"/>
  <c r="T205" i="29"/>
  <c r="S205" i="29"/>
  <c r="W205" i="29" s="1"/>
  <c r="R206" i="29" s="1"/>
  <c r="U206" i="29" s="1"/>
  <c r="F87" i="29"/>
  <c r="I87" i="29" s="1"/>
  <c r="AR87" i="29" s="1"/>
  <c r="AS86" i="29"/>
  <c r="AU86" i="29"/>
  <c r="AQ86" i="29"/>
  <c r="AI86" i="29"/>
  <c r="AL86" i="29"/>
  <c r="AO86" i="29"/>
  <c r="C219" i="29"/>
  <c r="AZ219" i="29"/>
  <c r="E220" i="29"/>
  <c r="AW83" i="26"/>
  <c r="AX83" i="26" s="1"/>
  <c r="AY83" i="26" s="1"/>
  <c r="J214" i="26"/>
  <c r="L214" i="26" s="1"/>
  <c r="I215" i="26" s="1"/>
  <c r="H84" i="26"/>
  <c r="N170" i="26"/>
  <c r="P170" i="26" s="1"/>
  <c r="M171" i="26" s="1"/>
  <c r="K219" i="26"/>
  <c r="O219" i="26"/>
  <c r="AQ219" i="26"/>
  <c r="AS219" i="26"/>
  <c r="AU219" i="26"/>
  <c r="C220" i="26"/>
  <c r="AZ220" i="26"/>
  <c r="E221" i="26"/>
  <c r="T179" i="28"/>
  <c r="S179" i="28"/>
  <c r="W179" i="28" s="1"/>
  <c r="R180" i="28" s="1"/>
  <c r="V180" i="28" s="1"/>
  <c r="Z124" i="28"/>
  <c r="Y124" i="28"/>
  <c r="AG124" i="28" s="1"/>
  <c r="AF125" i="28" s="1"/>
  <c r="AE178" i="28"/>
  <c r="AD179" i="28" s="1"/>
  <c r="AT179" i="28" s="1"/>
  <c r="H87" i="28"/>
  <c r="AP87" i="28" s="1"/>
  <c r="J88" i="28"/>
  <c r="G87" i="28"/>
  <c r="AI87" i="28" s="1"/>
  <c r="C220" i="28"/>
  <c r="AZ220" i="28"/>
  <c r="E221" i="28"/>
  <c r="AW78" i="24"/>
  <c r="AX78" i="24" s="1"/>
  <c r="AY78" i="24" s="1"/>
  <c r="F108" i="25"/>
  <c r="U219" i="25"/>
  <c r="V219" i="25"/>
  <c r="AA219" i="25"/>
  <c r="AB219" i="25"/>
  <c r="AR219" i="25"/>
  <c r="AL104" i="25"/>
  <c r="BB220" i="25"/>
  <c r="BC220" i="25"/>
  <c r="BA220" i="25"/>
  <c r="AQ104" i="25"/>
  <c r="AI104" i="25"/>
  <c r="AU104" i="25"/>
  <c r="AS104" i="25"/>
  <c r="AO104" i="25"/>
  <c r="N105" i="25"/>
  <c r="AP105" i="25" s="1"/>
  <c r="P106" i="25"/>
  <c r="AM103" i="25"/>
  <c r="AN103" i="25" s="1"/>
  <c r="AJ103" i="25"/>
  <c r="AK103" i="25" s="1"/>
  <c r="AZ220" i="25"/>
  <c r="BD220" i="25"/>
  <c r="C220" i="25"/>
  <c r="E221" i="25"/>
  <c r="AQ219" i="24"/>
  <c r="AU219" i="24"/>
  <c r="AS219" i="24"/>
  <c r="C220" i="24"/>
  <c r="AZ220" i="24"/>
  <c r="E221" i="24"/>
  <c r="H79" i="24"/>
  <c r="AS221" i="15"/>
  <c r="K221" i="15"/>
  <c r="AU221" i="15"/>
  <c r="O221" i="15"/>
  <c r="AQ221" i="15"/>
  <c r="F79" i="15"/>
  <c r="AL78" i="15"/>
  <c r="AM78" i="15" s="1"/>
  <c r="AN78" i="15" s="1"/>
  <c r="AI78" i="15"/>
  <c r="AJ78" i="15" s="1"/>
  <c r="AK78" i="15" s="1"/>
  <c r="P182" i="15"/>
  <c r="M183" i="15" s="1"/>
  <c r="N183" i="15" s="1"/>
  <c r="AW86" i="28"/>
  <c r="AX86" i="28" s="1"/>
  <c r="AY86" i="28" s="1"/>
  <c r="M105" i="25"/>
  <c r="AL105" i="25" s="1"/>
  <c r="O218" i="25"/>
  <c r="I218" i="25"/>
  <c r="AW68" i="17"/>
  <c r="AX68" i="17" s="1"/>
  <c r="AY68" i="17" s="1"/>
  <c r="AU59" i="19"/>
  <c r="F60" i="19"/>
  <c r="AQ59" i="19"/>
  <c r="AS59" i="19"/>
  <c r="AM223" i="3"/>
  <c r="AL223" i="3"/>
  <c r="AG129" i="17"/>
  <c r="AF130" i="17" s="1"/>
  <c r="Y130" i="17"/>
  <c r="AC130" i="17" s="1"/>
  <c r="X131" i="17" s="1"/>
  <c r="Z130" i="17"/>
  <c r="G69" i="17"/>
  <c r="H69" i="17"/>
  <c r="J70" i="17"/>
  <c r="AG134" i="19"/>
  <c r="AF135" i="19" s="1"/>
  <c r="Y135" i="19"/>
  <c r="AC135" i="19" s="1"/>
  <c r="X136" i="19" s="1"/>
  <c r="Z135" i="19"/>
  <c r="AE140" i="19"/>
  <c r="AD141" i="19" s="1"/>
  <c r="AT140" i="19"/>
  <c r="T141" i="19"/>
  <c r="S141" i="19"/>
  <c r="W141" i="19" s="1"/>
  <c r="R142" i="19" s="1"/>
  <c r="R154" i="15"/>
  <c r="Q155" i="15" s="1"/>
  <c r="AT155" i="15" s="1"/>
  <c r="AT148" i="17"/>
  <c r="AE148" i="17"/>
  <c r="AD149" i="17" s="1"/>
  <c r="S149" i="17"/>
  <c r="W149" i="17" s="1"/>
  <c r="R150" i="17" s="1"/>
  <c r="T149" i="17"/>
  <c r="M150" i="17"/>
  <c r="Q150" i="17" s="1"/>
  <c r="L151" i="17" s="1"/>
  <c r="N150" i="17"/>
  <c r="P151" i="17"/>
  <c r="M150" i="19"/>
  <c r="Q150" i="19" s="1"/>
  <c r="L151" i="19" s="1"/>
  <c r="N150" i="19"/>
  <c r="P151" i="19"/>
  <c r="AA221" i="17"/>
  <c r="I221" i="17"/>
  <c r="AB221" i="17"/>
  <c r="AB221" i="19"/>
  <c r="O221" i="19"/>
  <c r="O221" i="17"/>
  <c r="I221" i="19"/>
  <c r="AA221" i="19"/>
  <c r="U221" i="17"/>
  <c r="V221" i="19"/>
  <c r="V221" i="17"/>
  <c r="U221" i="19"/>
  <c r="L154" i="15"/>
  <c r="I155" i="15" s="1"/>
  <c r="J155" i="15" s="1"/>
  <c r="AZ221" i="19"/>
  <c r="E222" i="19"/>
  <c r="C221" i="19"/>
  <c r="L218" i="18"/>
  <c r="I219" i="18" s="1"/>
  <c r="J219" i="18" s="1"/>
  <c r="AR220" i="16"/>
  <c r="AZ221" i="16"/>
  <c r="C221" i="16"/>
  <c r="BD221" i="16"/>
  <c r="E222" i="16"/>
  <c r="E221" i="18"/>
  <c r="AZ220" i="18"/>
  <c r="C220" i="18"/>
  <c r="AU219" i="18"/>
  <c r="O219" i="18"/>
  <c r="K219" i="18"/>
  <c r="AS219" i="18"/>
  <c r="AQ219" i="18"/>
  <c r="AZ220" i="17"/>
  <c r="C220" i="17"/>
  <c r="E221" i="17"/>
  <c r="C222" i="15"/>
  <c r="AX222" i="15"/>
  <c r="AZ222" i="15"/>
  <c r="E223" i="15"/>
  <c r="F107" i="18"/>
  <c r="AI106" i="18"/>
  <c r="AL106" i="18"/>
  <c r="G225" i="3"/>
  <c r="V224" i="3"/>
  <c r="X224" i="3" s="1"/>
  <c r="AV224" i="3"/>
  <c r="AX224" i="3" s="1"/>
  <c r="BB224" i="3" s="1"/>
  <c r="A224" i="3"/>
  <c r="BI224" i="3" s="1"/>
  <c r="BJ224" i="3" s="1"/>
  <c r="AH223" i="3"/>
  <c r="BD222" i="3"/>
  <c r="P227" i="3"/>
  <c r="AW226" i="3"/>
  <c r="H223" i="3"/>
  <c r="AF222" i="3"/>
  <c r="AK222" i="3" s="1"/>
  <c r="AQ226" i="3"/>
  <c r="AI221" i="3"/>
  <c r="BE221" i="3" s="1"/>
  <c r="BC222" i="3"/>
  <c r="AE223" i="3"/>
  <c r="AG223" i="3"/>
  <c r="AN226" i="3"/>
  <c r="AN227" i="3" s="1"/>
  <c r="Y223" i="3"/>
  <c r="AC222" i="3"/>
  <c r="AT184" i="25" l="1"/>
  <c r="AE184" i="25"/>
  <c r="AD185" i="25" s="1"/>
  <c r="S185" i="25"/>
  <c r="W185" i="25" s="1"/>
  <c r="R186" i="25" s="1"/>
  <c r="T185" i="25"/>
  <c r="Q87" i="29"/>
  <c r="L88" i="29" s="1"/>
  <c r="AR226" i="3"/>
  <c r="AN224" i="20"/>
  <c r="AG128" i="25"/>
  <c r="AF129" i="25" s="1"/>
  <c r="P129" i="24"/>
  <c r="M130" i="24" s="1"/>
  <c r="Z129" i="25"/>
  <c r="Y129" i="25"/>
  <c r="AC129" i="25" s="1"/>
  <c r="X130" i="25" s="1"/>
  <c r="K116" i="24"/>
  <c r="R116" i="24" s="1"/>
  <c r="Q117" i="24" s="1"/>
  <c r="AT117" i="24" s="1"/>
  <c r="J116" i="24"/>
  <c r="P224" i="20"/>
  <c r="AQ224" i="20"/>
  <c r="AR224" i="20" s="1"/>
  <c r="O225" i="20"/>
  <c r="BG222" i="3"/>
  <c r="AC119" i="29"/>
  <c r="X120" i="29" s="1"/>
  <c r="AA120" i="29" s="1"/>
  <c r="AE120" i="29" s="1"/>
  <c r="AD121" i="29" s="1"/>
  <c r="T206" i="29"/>
  <c r="S206" i="29"/>
  <c r="W206" i="29" s="1"/>
  <c r="R207" i="29" s="1"/>
  <c r="U207" i="29" s="1"/>
  <c r="AM86" i="29"/>
  <c r="AN86" i="29" s="1"/>
  <c r="AZ220" i="29"/>
  <c r="C220" i="29"/>
  <c r="E221" i="29"/>
  <c r="AJ86" i="29"/>
  <c r="AK86" i="29" s="1"/>
  <c r="J88" i="29"/>
  <c r="H87" i="29"/>
  <c r="AP87" i="29" s="1"/>
  <c r="G87" i="29"/>
  <c r="AL87" i="29" s="1"/>
  <c r="N171" i="26"/>
  <c r="P171" i="26" s="1"/>
  <c r="M172" i="26" s="1"/>
  <c r="N172" i="26" s="1"/>
  <c r="F85" i="26"/>
  <c r="AL84" i="26"/>
  <c r="AI84" i="26"/>
  <c r="J215" i="26"/>
  <c r="L215" i="26" s="1"/>
  <c r="I216" i="26" s="1"/>
  <c r="O220" i="26"/>
  <c r="AQ220" i="26"/>
  <c r="AS220" i="26"/>
  <c r="AU220" i="26"/>
  <c r="K220" i="26"/>
  <c r="R170" i="26"/>
  <c r="Q171" i="26" s="1"/>
  <c r="T170" i="26"/>
  <c r="S171" i="26" s="1"/>
  <c r="C221" i="26"/>
  <c r="AZ221" i="26"/>
  <c r="E222" i="26"/>
  <c r="K87" i="28"/>
  <c r="F88" i="28" s="1"/>
  <c r="AL87" i="28"/>
  <c r="AM87" i="28" s="1"/>
  <c r="AN87" i="28" s="1"/>
  <c r="T180" i="28"/>
  <c r="S180" i="28"/>
  <c r="W180" i="28" s="1"/>
  <c r="R181" i="28" s="1"/>
  <c r="V181" i="28" s="1"/>
  <c r="AE179" i="28"/>
  <c r="AD180" i="28" s="1"/>
  <c r="AC124" i="28"/>
  <c r="X125" i="28" s="1"/>
  <c r="AB125" i="28" s="1"/>
  <c r="AO87" i="28"/>
  <c r="AJ87" i="28"/>
  <c r="AK87" i="28" s="1"/>
  <c r="AZ221" i="28"/>
  <c r="C221" i="28"/>
  <c r="E222" i="28"/>
  <c r="AW103" i="25"/>
  <c r="AX103" i="25" s="1"/>
  <c r="AY103" i="25" s="1"/>
  <c r="G108" i="25"/>
  <c r="K108" i="25" s="1"/>
  <c r="J109" i="25"/>
  <c r="H108" i="25"/>
  <c r="AO105" i="25"/>
  <c r="U220" i="25"/>
  <c r="V220" i="25"/>
  <c r="AA220" i="25"/>
  <c r="AB220" i="25"/>
  <c r="AR220" i="25"/>
  <c r="BA221" i="25"/>
  <c r="BB221" i="25"/>
  <c r="BC221" i="25"/>
  <c r="AM104" i="25"/>
  <c r="AN104" i="25" s="1"/>
  <c r="AM105" i="25"/>
  <c r="AN105" i="25" s="1"/>
  <c r="C221" i="25"/>
  <c r="AZ221" i="25"/>
  <c r="BD221" i="25"/>
  <c r="E222" i="25"/>
  <c r="AJ104" i="25"/>
  <c r="AK104" i="25" s="1"/>
  <c r="AS220" i="24"/>
  <c r="AU220" i="24"/>
  <c r="AQ220" i="24"/>
  <c r="C221" i="24"/>
  <c r="AZ221" i="24"/>
  <c r="E222" i="24"/>
  <c r="F80" i="24"/>
  <c r="AI79" i="24"/>
  <c r="AJ79" i="24" s="1"/>
  <c r="AL79" i="24"/>
  <c r="AM79" i="24" s="1"/>
  <c r="AW78" i="15"/>
  <c r="AX78" i="15" s="1"/>
  <c r="AY78" i="15" s="1"/>
  <c r="AQ222" i="15"/>
  <c r="AS222" i="15"/>
  <c r="AU222" i="15"/>
  <c r="G79" i="15"/>
  <c r="AR79" i="15" s="1"/>
  <c r="P183" i="15"/>
  <c r="M184" i="15" s="1"/>
  <c r="N184" i="15" s="1"/>
  <c r="Q105" i="25"/>
  <c r="O219" i="25"/>
  <c r="I219" i="25"/>
  <c r="AW59" i="19"/>
  <c r="AX59" i="19" s="1"/>
  <c r="AY59" i="19" s="1"/>
  <c r="J61" i="19"/>
  <c r="H60" i="19"/>
  <c r="G60" i="19"/>
  <c r="K60" i="19" s="1"/>
  <c r="F61" i="19" s="1"/>
  <c r="AO69" i="17"/>
  <c r="AP69" i="17"/>
  <c r="AG130" i="17"/>
  <c r="AF131" i="17" s="1"/>
  <c r="AI69" i="17"/>
  <c r="AJ69" i="17" s="1"/>
  <c r="AK69" i="17" s="1"/>
  <c r="AL69" i="17"/>
  <c r="AM69" i="17" s="1"/>
  <c r="AN69" i="17" s="1"/>
  <c r="K69" i="17"/>
  <c r="Y131" i="17"/>
  <c r="AC131" i="17" s="1"/>
  <c r="X132" i="17" s="1"/>
  <c r="Z131" i="17"/>
  <c r="Y136" i="19"/>
  <c r="AC136" i="19" s="1"/>
  <c r="X137" i="19" s="1"/>
  <c r="Z136" i="19"/>
  <c r="AG135" i="19"/>
  <c r="AF136" i="19" s="1"/>
  <c r="T142" i="19"/>
  <c r="S142" i="19"/>
  <c r="W142" i="19" s="1"/>
  <c r="R143" i="19" s="1"/>
  <c r="AT141" i="19"/>
  <c r="AE141" i="19"/>
  <c r="AD142" i="19" s="1"/>
  <c r="M151" i="19"/>
  <c r="Q151" i="19" s="1"/>
  <c r="L152" i="19" s="1"/>
  <c r="P152" i="19"/>
  <c r="N151" i="19"/>
  <c r="U222" i="17"/>
  <c r="AA222" i="17"/>
  <c r="I222" i="17"/>
  <c r="U222" i="19"/>
  <c r="V222" i="17"/>
  <c r="AA222" i="19"/>
  <c r="O222" i="17"/>
  <c r="V222" i="19"/>
  <c r="AB222" i="19"/>
  <c r="I222" i="19"/>
  <c r="O222" i="19"/>
  <c r="AB222" i="17"/>
  <c r="P152" i="17"/>
  <c r="N151" i="17"/>
  <c r="M151" i="17"/>
  <c r="Q151" i="17" s="1"/>
  <c r="L152" i="17" s="1"/>
  <c r="T150" i="17"/>
  <c r="S150" i="17"/>
  <c r="W150" i="17" s="1"/>
  <c r="R151" i="17" s="1"/>
  <c r="AD222" i="3"/>
  <c r="O222" i="15" s="1"/>
  <c r="AR221" i="19"/>
  <c r="AT149" i="17"/>
  <c r="AE149" i="17"/>
  <c r="AD150" i="17" s="1"/>
  <c r="E223" i="19"/>
  <c r="C222" i="19"/>
  <c r="AX222" i="19"/>
  <c r="AZ222" i="19"/>
  <c r="AR221" i="16"/>
  <c r="L219" i="18"/>
  <c r="I220" i="18" s="1"/>
  <c r="J220" i="18" s="1"/>
  <c r="E223" i="16"/>
  <c r="AZ222" i="16"/>
  <c r="C222" i="16"/>
  <c r="BD222" i="16"/>
  <c r="AX222" i="16"/>
  <c r="E222" i="17"/>
  <c r="C221" i="17"/>
  <c r="AZ221" i="17"/>
  <c r="K220" i="18"/>
  <c r="AS220" i="18"/>
  <c r="AQ220" i="18"/>
  <c r="AU220" i="18"/>
  <c r="O220" i="18"/>
  <c r="AZ221" i="18"/>
  <c r="C221" i="18"/>
  <c r="E222" i="18"/>
  <c r="AY222" i="15"/>
  <c r="AJ106" i="18"/>
  <c r="AK106" i="18" s="1"/>
  <c r="AM106" i="18"/>
  <c r="AN106" i="18" s="1"/>
  <c r="G107" i="18"/>
  <c r="AR107" i="18" s="1"/>
  <c r="AZ223" i="15"/>
  <c r="E224" i="15"/>
  <c r="AX223" i="15"/>
  <c r="C223" i="15"/>
  <c r="T171" i="18"/>
  <c r="S172" i="18" s="1"/>
  <c r="R171" i="18"/>
  <c r="Q172" i="18" s="1"/>
  <c r="AT172" i="18" s="1"/>
  <c r="P171" i="18"/>
  <c r="M172" i="18" s="1"/>
  <c r="N172" i="18" s="1"/>
  <c r="AG224" i="3"/>
  <c r="AW227" i="3"/>
  <c r="AH224" i="3"/>
  <c r="BD223" i="3"/>
  <c r="BC223" i="3"/>
  <c r="AE224" i="3"/>
  <c r="H224" i="3"/>
  <c r="AF223" i="3"/>
  <c r="AK223" i="3" s="1"/>
  <c r="A225" i="3"/>
  <c r="BI225" i="3" s="1"/>
  <c r="BJ225" i="3" s="1"/>
  <c r="V225" i="3"/>
  <c r="X225" i="3" s="1"/>
  <c r="G226" i="3"/>
  <c r="AV225" i="3"/>
  <c r="AX225" i="3" s="1"/>
  <c r="BB225" i="3" s="1"/>
  <c r="Y224" i="3"/>
  <c r="AC223" i="3"/>
  <c r="AQ227" i="3"/>
  <c r="AL224" i="3"/>
  <c r="AM224" i="3"/>
  <c r="AM225" i="3" l="1"/>
  <c r="AT185" i="25"/>
  <c r="AE185" i="25"/>
  <c r="AD186" i="25" s="1"/>
  <c r="T186" i="25"/>
  <c r="S186" i="25"/>
  <c r="W186" i="25" s="1"/>
  <c r="R187" i="25" s="1"/>
  <c r="AT121" i="29"/>
  <c r="G88" i="28"/>
  <c r="AI88" i="28" s="1"/>
  <c r="I88" i="28"/>
  <c r="Q88" i="28" s="1"/>
  <c r="L89" i="28" s="1"/>
  <c r="M88" i="29"/>
  <c r="O88" i="29"/>
  <c r="P89" i="29"/>
  <c r="N88" i="29"/>
  <c r="AR227" i="3"/>
  <c r="AN225" i="20"/>
  <c r="AG129" i="25"/>
  <c r="AF130" i="25" s="1"/>
  <c r="L116" i="24"/>
  <c r="I117" i="24" s="1"/>
  <c r="Z130" i="25"/>
  <c r="Y130" i="25"/>
  <c r="AC130" i="25" s="1"/>
  <c r="X131" i="25" s="1"/>
  <c r="T116" i="24"/>
  <c r="S117" i="24" s="1"/>
  <c r="O130" i="24"/>
  <c r="N130" i="24"/>
  <c r="P225" i="20"/>
  <c r="AQ225" i="20"/>
  <c r="AR225" i="20" s="1"/>
  <c r="O226" i="20"/>
  <c r="BG223" i="3"/>
  <c r="AJ222" i="3"/>
  <c r="BF222" i="3" s="1"/>
  <c r="K222" i="15"/>
  <c r="Z120" i="29"/>
  <c r="Y120" i="29"/>
  <c r="AG120" i="29" s="1"/>
  <c r="AF121" i="29" s="1"/>
  <c r="K87" i="29"/>
  <c r="F88" i="29" s="1"/>
  <c r="T207" i="29"/>
  <c r="S207" i="29"/>
  <c r="W207" i="29" s="1"/>
  <c r="R208" i="29" s="1"/>
  <c r="U208" i="29" s="1"/>
  <c r="AI87" i="29"/>
  <c r="AJ87" i="29" s="1"/>
  <c r="AK87" i="29" s="1"/>
  <c r="AW86" i="29"/>
  <c r="AX86" i="29" s="1"/>
  <c r="AY86" i="29" s="1"/>
  <c r="AM87" i="29"/>
  <c r="AN87" i="29" s="1"/>
  <c r="C221" i="29"/>
  <c r="AZ221" i="29"/>
  <c r="E222" i="29"/>
  <c r="AO87" i="29"/>
  <c r="T171" i="26"/>
  <c r="S172" i="26" s="1"/>
  <c r="T172" i="26" s="1"/>
  <c r="S173" i="26" s="1"/>
  <c r="J216" i="26"/>
  <c r="L216" i="26" s="1"/>
  <c r="I217" i="26" s="1"/>
  <c r="AM84" i="26"/>
  <c r="AN84" i="26" s="1"/>
  <c r="AS221" i="26"/>
  <c r="AU221" i="26"/>
  <c r="AQ221" i="26"/>
  <c r="K221" i="26"/>
  <c r="O221" i="26"/>
  <c r="AT171" i="26"/>
  <c r="R171" i="26"/>
  <c r="Q172" i="26" s="1"/>
  <c r="AT172" i="26" s="1"/>
  <c r="AJ84" i="26"/>
  <c r="AK84" i="26" s="1"/>
  <c r="AS87" i="28"/>
  <c r="AQ87" i="28"/>
  <c r="G85" i="26"/>
  <c r="AR85" i="26" s="1"/>
  <c r="AX222" i="26"/>
  <c r="C222" i="26"/>
  <c r="AZ222" i="26"/>
  <c r="E223" i="26"/>
  <c r="P172" i="26"/>
  <c r="M173" i="26" s="1"/>
  <c r="H88" i="28"/>
  <c r="AP88" i="28" s="1"/>
  <c r="J89" i="28"/>
  <c r="AU87" i="28"/>
  <c r="T181" i="28"/>
  <c r="S181" i="28"/>
  <c r="W181" i="28" s="1"/>
  <c r="R182" i="28" s="1"/>
  <c r="V182" i="28" s="1"/>
  <c r="Z125" i="28"/>
  <c r="Y125" i="28"/>
  <c r="AG125" i="28" s="1"/>
  <c r="AF126" i="28" s="1"/>
  <c r="AT180" i="28"/>
  <c r="AE180" i="28"/>
  <c r="AD181" i="28" s="1"/>
  <c r="C222" i="28"/>
  <c r="AX222" i="28"/>
  <c r="AZ222" i="28"/>
  <c r="E223" i="28"/>
  <c r="AW104" i="25"/>
  <c r="AX104" i="25" s="1"/>
  <c r="AY104" i="25" s="1"/>
  <c r="AN79" i="24"/>
  <c r="F109" i="25"/>
  <c r="BA222" i="25"/>
  <c r="BB222" i="25"/>
  <c r="BC222" i="25"/>
  <c r="U221" i="25"/>
  <c r="V221" i="25"/>
  <c r="AA221" i="25"/>
  <c r="AB221" i="25"/>
  <c r="AR221" i="25"/>
  <c r="AS105" i="25"/>
  <c r="AI105" i="25"/>
  <c r="AQ105" i="25"/>
  <c r="AU105" i="25"/>
  <c r="L106" i="25"/>
  <c r="AX222" i="25"/>
  <c r="AZ222" i="25"/>
  <c r="BD222" i="25"/>
  <c r="C222" i="25"/>
  <c r="E223" i="25"/>
  <c r="AX222" i="24"/>
  <c r="C222" i="24"/>
  <c r="AZ222" i="24"/>
  <c r="E223" i="24"/>
  <c r="AQ221" i="24"/>
  <c r="AS221" i="24"/>
  <c r="AU221" i="24"/>
  <c r="AK79" i="24"/>
  <c r="G80" i="24"/>
  <c r="AR80" i="24" s="1"/>
  <c r="AQ223" i="15"/>
  <c r="AS223" i="15"/>
  <c r="AU223" i="15"/>
  <c r="H79" i="15"/>
  <c r="P184" i="15"/>
  <c r="M185" i="15" s="1"/>
  <c r="N185" i="15" s="1"/>
  <c r="I220" i="25"/>
  <c r="O220" i="25"/>
  <c r="H61" i="19"/>
  <c r="G61" i="19"/>
  <c r="K61" i="19" s="1"/>
  <c r="F62" i="19" s="1"/>
  <c r="J62" i="19"/>
  <c r="AU60" i="19"/>
  <c r="AQ60" i="19"/>
  <c r="AL60" i="19"/>
  <c r="AM60" i="19" s="1"/>
  <c r="AN60" i="19" s="1"/>
  <c r="AO60" i="19"/>
  <c r="AP60" i="19"/>
  <c r="AS60" i="19"/>
  <c r="AI60" i="19"/>
  <c r="AJ60" i="19" s="1"/>
  <c r="AK60" i="19" s="1"/>
  <c r="AL225" i="3"/>
  <c r="AD223" i="3"/>
  <c r="AJ223" i="3" s="1"/>
  <c r="AG131" i="17"/>
  <c r="AF132" i="17" s="1"/>
  <c r="AQ69" i="17"/>
  <c r="AS69" i="17"/>
  <c r="AU69" i="17"/>
  <c r="F70" i="17"/>
  <c r="Z132" i="17"/>
  <c r="Y132" i="17"/>
  <c r="AC132" i="17" s="1"/>
  <c r="X133" i="17" s="1"/>
  <c r="AG136" i="19"/>
  <c r="AF137" i="19" s="1"/>
  <c r="Y137" i="19"/>
  <c r="AC137" i="19" s="1"/>
  <c r="X138" i="19" s="1"/>
  <c r="Z137" i="19"/>
  <c r="AR222" i="19"/>
  <c r="L155" i="15"/>
  <c r="I156" i="15" s="1"/>
  <c r="J156" i="15" s="1"/>
  <c r="AT142" i="19"/>
  <c r="AE142" i="19"/>
  <c r="AD143" i="19" s="1"/>
  <c r="T143" i="19"/>
  <c r="S143" i="19"/>
  <c r="W143" i="19" s="1"/>
  <c r="R144" i="19" s="1"/>
  <c r="AA223" i="17"/>
  <c r="I223" i="17"/>
  <c r="V223" i="17"/>
  <c r="O223" i="17"/>
  <c r="V223" i="19"/>
  <c r="O223" i="19"/>
  <c r="AB223" i="17"/>
  <c r="AB223" i="19"/>
  <c r="I223" i="19"/>
  <c r="U223" i="17"/>
  <c r="AA223" i="19"/>
  <c r="U223" i="19"/>
  <c r="AI222" i="3"/>
  <c r="BE222" i="3" s="1"/>
  <c r="AT150" i="17"/>
  <c r="AE150" i="17"/>
  <c r="AD151" i="17" s="1"/>
  <c r="S151" i="17"/>
  <c r="W151" i="17" s="1"/>
  <c r="R152" i="17" s="1"/>
  <c r="T151" i="17"/>
  <c r="N152" i="17"/>
  <c r="M152" i="17"/>
  <c r="Q152" i="17" s="1"/>
  <c r="L153" i="17" s="1"/>
  <c r="P153" i="17"/>
  <c r="P153" i="19"/>
  <c r="M152" i="19"/>
  <c r="Q152" i="19" s="1"/>
  <c r="L153" i="19" s="1"/>
  <c r="N152" i="19"/>
  <c r="T155" i="15"/>
  <c r="S156" i="15" s="1"/>
  <c r="R155" i="15"/>
  <c r="Q156" i="15" s="1"/>
  <c r="AT156" i="15" s="1"/>
  <c r="AY222" i="19"/>
  <c r="AZ223" i="19"/>
  <c r="E224" i="19"/>
  <c r="AX223" i="19"/>
  <c r="C223" i="19"/>
  <c r="L220" i="18"/>
  <c r="I221" i="18" s="1"/>
  <c r="J221" i="18" s="1"/>
  <c r="AY222" i="16"/>
  <c r="AR222" i="16"/>
  <c r="AZ223" i="16"/>
  <c r="C223" i="16"/>
  <c r="AX223" i="16"/>
  <c r="E224" i="16"/>
  <c r="BD223" i="16"/>
  <c r="AS221" i="18"/>
  <c r="AU221" i="18"/>
  <c r="AQ221" i="18"/>
  <c r="O221" i="18"/>
  <c r="K221" i="18"/>
  <c r="C222" i="18"/>
  <c r="AZ222" i="18"/>
  <c r="AX222" i="18"/>
  <c r="E223" i="18"/>
  <c r="AZ222" i="17"/>
  <c r="C222" i="17"/>
  <c r="E223" i="17"/>
  <c r="AX222" i="17"/>
  <c r="AY223" i="15"/>
  <c r="H107" i="18"/>
  <c r="AL107" i="18" s="1"/>
  <c r="AX224" i="15"/>
  <c r="E225" i="15"/>
  <c r="AZ224" i="15"/>
  <c r="C224" i="15"/>
  <c r="AW106" i="18"/>
  <c r="AX106" i="18" s="1"/>
  <c r="AY106" i="18" s="1"/>
  <c r="P172" i="18"/>
  <c r="M173" i="18" s="1"/>
  <c r="N173" i="18" s="1"/>
  <c r="R172" i="18"/>
  <c r="Q173" i="18" s="1"/>
  <c r="AT173" i="18" s="1"/>
  <c r="AQ228" i="3"/>
  <c r="A226" i="3"/>
  <c r="BI226" i="3" s="1"/>
  <c r="BJ226" i="3" s="1"/>
  <c r="AW228" i="3"/>
  <c r="AN228" i="3"/>
  <c r="AN229" i="3" s="1"/>
  <c r="G227" i="3"/>
  <c r="AV226" i="3"/>
  <c r="AX226" i="3" s="1"/>
  <c r="BB226" i="3" s="1"/>
  <c r="V226" i="3"/>
  <c r="X226" i="3" s="1"/>
  <c r="P228" i="3"/>
  <c r="P229" i="3" s="1"/>
  <c r="BC224" i="3"/>
  <c r="AE225" i="3"/>
  <c r="AH225" i="3"/>
  <c r="BD224" i="3"/>
  <c r="AG225" i="3"/>
  <c r="Y225" i="3"/>
  <c r="AC224" i="3"/>
  <c r="H225" i="3"/>
  <c r="AF224" i="3"/>
  <c r="S187" i="25" l="1"/>
  <c r="W187" i="25" s="1"/>
  <c r="R188" i="25" s="1"/>
  <c r="T187" i="25"/>
  <c r="AT186" i="25"/>
  <c r="AE186" i="25"/>
  <c r="AD187" i="25" s="1"/>
  <c r="K88" i="28"/>
  <c r="F89" i="28" s="1"/>
  <c r="I89" i="28" s="1"/>
  <c r="O89" i="28"/>
  <c r="M89" i="28"/>
  <c r="P90" i="28"/>
  <c r="N89" i="28"/>
  <c r="AL88" i="28"/>
  <c r="AM88" i="28" s="1"/>
  <c r="AN88" i="28" s="1"/>
  <c r="J89" i="29"/>
  <c r="I88" i="29"/>
  <c r="AR88" i="29" s="1"/>
  <c r="AR228" i="3"/>
  <c r="AN226" i="20"/>
  <c r="P130" i="24"/>
  <c r="M131" i="24" s="1"/>
  <c r="AG130" i="25"/>
  <c r="AF131" i="25" s="1"/>
  <c r="Z131" i="25"/>
  <c r="Y131" i="25"/>
  <c r="AC131" i="25" s="1"/>
  <c r="X132" i="25" s="1"/>
  <c r="K117" i="24"/>
  <c r="R117" i="24" s="1"/>
  <c r="Q118" i="24" s="1"/>
  <c r="J117" i="24"/>
  <c r="AM226" i="3"/>
  <c r="AQ226" i="20"/>
  <c r="AR226" i="20" s="1"/>
  <c r="O227" i="20"/>
  <c r="AK224" i="3"/>
  <c r="BG224" i="3" s="1"/>
  <c r="P226" i="20"/>
  <c r="K223" i="15"/>
  <c r="O223" i="15"/>
  <c r="AC120" i="29"/>
  <c r="X121" i="29" s="1"/>
  <c r="AA121" i="29" s="1"/>
  <c r="AE121" i="29" s="1"/>
  <c r="AD122" i="29" s="1"/>
  <c r="H88" i="29"/>
  <c r="AP88" i="29" s="1"/>
  <c r="AS87" i="29"/>
  <c r="AU87" i="29"/>
  <c r="AQ87" i="29"/>
  <c r="G88" i="29"/>
  <c r="K88" i="29" s="1"/>
  <c r="F89" i="29" s="1"/>
  <c r="T208" i="29"/>
  <c r="S208" i="29"/>
  <c r="W208" i="29" s="1"/>
  <c r="R209" i="29" s="1"/>
  <c r="U209" i="29" s="1"/>
  <c r="AX222" i="29"/>
  <c r="AZ222" i="29"/>
  <c r="C222" i="29"/>
  <c r="E223" i="29"/>
  <c r="AW84" i="26"/>
  <c r="AX84" i="26" s="1"/>
  <c r="AY84" i="26" s="1"/>
  <c r="R172" i="26"/>
  <c r="Q173" i="26" s="1"/>
  <c r="AT173" i="26" s="1"/>
  <c r="J217" i="26"/>
  <c r="L217" i="26" s="1"/>
  <c r="I218" i="26" s="1"/>
  <c r="N173" i="26"/>
  <c r="T173" i="26" s="1"/>
  <c r="S174" i="26" s="1"/>
  <c r="AW87" i="28"/>
  <c r="AX87" i="28" s="1"/>
  <c r="AY87" i="28" s="1"/>
  <c r="H85" i="26"/>
  <c r="AY222" i="26"/>
  <c r="O222" i="26"/>
  <c r="K222" i="26"/>
  <c r="AS222" i="26"/>
  <c r="AU222" i="26"/>
  <c r="AQ222" i="26"/>
  <c r="C223" i="26"/>
  <c r="AX223" i="26"/>
  <c r="AZ223" i="26"/>
  <c r="E224" i="26"/>
  <c r="AO88" i="28"/>
  <c r="AY222" i="28"/>
  <c r="T182" i="28"/>
  <c r="S182" i="28"/>
  <c r="W182" i="28" s="1"/>
  <c r="R183" i="28" s="1"/>
  <c r="V183" i="28" s="1"/>
  <c r="AC125" i="28"/>
  <c r="X126" i="28" s="1"/>
  <c r="AB126" i="28" s="1"/>
  <c r="AT181" i="28"/>
  <c r="AE181" i="28"/>
  <c r="AD182" i="28" s="1"/>
  <c r="AX223" i="28"/>
  <c r="AZ223" i="28"/>
  <c r="C223" i="28"/>
  <c r="E224" i="28"/>
  <c r="AJ88" i="28"/>
  <c r="AK88" i="28" s="1"/>
  <c r="AY222" i="25"/>
  <c r="AW79" i="24"/>
  <c r="AX79" i="24" s="1"/>
  <c r="AY79" i="24" s="1"/>
  <c r="G109" i="25"/>
  <c r="K109" i="25" s="1"/>
  <c r="J110" i="25"/>
  <c r="H109" i="25"/>
  <c r="U222" i="25"/>
  <c r="V222" i="25"/>
  <c r="AA222" i="25"/>
  <c r="AB222" i="25"/>
  <c r="AR222" i="25"/>
  <c r="BA223" i="25"/>
  <c r="BB223" i="25"/>
  <c r="BC223" i="25"/>
  <c r="P107" i="25"/>
  <c r="N106" i="25"/>
  <c r="AP106" i="25" s="1"/>
  <c r="C223" i="25"/>
  <c r="AX223" i="25"/>
  <c r="AZ223" i="25"/>
  <c r="BD223" i="25"/>
  <c r="E224" i="25"/>
  <c r="AJ105" i="25"/>
  <c r="AK105" i="25" s="1"/>
  <c r="AW105" i="25" s="1"/>
  <c r="AX105" i="25" s="1"/>
  <c r="AY105" i="25" s="1"/>
  <c r="AY222" i="24"/>
  <c r="C223" i="24"/>
  <c r="AX223" i="24"/>
  <c r="AZ223" i="24"/>
  <c r="E224" i="24"/>
  <c r="AQ222" i="24"/>
  <c r="AS222" i="24"/>
  <c r="AU222" i="24"/>
  <c r="H80" i="24"/>
  <c r="AQ224" i="15"/>
  <c r="AS224" i="15"/>
  <c r="AU224" i="15"/>
  <c r="F80" i="15"/>
  <c r="AI79" i="15"/>
  <c r="AJ79" i="15" s="1"/>
  <c r="AK79" i="15" s="1"/>
  <c r="AL79" i="15"/>
  <c r="AM79" i="15" s="1"/>
  <c r="AN79" i="15" s="1"/>
  <c r="P185" i="15"/>
  <c r="M186" i="15" s="1"/>
  <c r="N186" i="15" s="1"/>
  <c r="M106" i="25"/>
  <c r="Q106" i="25" s="1"/>
  <c r="L107" i="25" s="1"/>
  <c r="O221" i="25"/>
  <c r="I221" i="25"/>
  <c r="BF223" i="3"/>
  <c r="AW60" i="19"/>
  <c r="AX60" i="19" s="1"/>
  <c r="AY60" i="19" s="1"/>
  <c r="AI223" i="3"/>
  <c r="BE223" i="3" s="1"/>
  <c r="AW69" i="17"/>
  <c r="AX69" i="17" s="1"/>
  <c r="AY69" i="17" s="1"/>
  <c r="AS61" i="19"/>
  <c r="AI61" i="19"/>
  <c r="AJ61" i="19" s="1"/>
  <c r="AK61" i="19" s="1"/>
  <c r="AQ61" i="19"/>
  <c r="AU61" i="19"/>
  <c r="AL61" i="19"/>
  <c r="AM61" i="19" s="1"/>
  <c r="AN61" i="19" s="1"/>
  <c r="J63" i="19"/>
  <c r="G62" i="19"/>
  <c r="AL62" i="19" s="1"/>
  <c r="AM62" i="19" s="1"/>
  <c r="AN62" i="19" s="1"/>
  <c r="H62" i="19"/>
  <c r="AP61" i="19"/>
  <c r="AO61" i="19"/>
  <c r="Z133" i="17"/>
  <c r="Y133" i="17"/>
  <c r="AC133" i="17" s="1"/>
  <c r="X134" i="17" s="1"/>
  <c r="J71" i="17"/>
  <c r="H70" i="17"/>
  <c r="G70" i="17"/>
  <c r="AG132" i="17"/>
  <c r="AF133" i="17" s="1"/>
  <c r="Y138" i="19"/>
  <c r="AC138" i="19" s="1"/>
  <c r="X139" i="19" s="1"/>
  <c r="Z138" i="19"/>
  <c r="AG137" i="19"/>
  <c r="AF138" i="19" s="1"/>
  <c r="AR223" i="19"/>
  <c r="AY223" i="16"/>
  <c r="T144" i="19"/>
  <c r="S144" i="19"/>
  <c r="W144" i="19" s="1"/>
  <c r="R145" i="19" s="1"/>
  <c r="AT143" i="19"/>
  <c r="AE143" i="19"/>
  <c r="AD144" i="19" s="1"/>
  <c r="L156" i="15"/>
  <c r="I157" i="15" s="1"/>
  <c r="J157" i="15" s="1"/>
  <c r="T156" i="15"/>
  <c r="S157" i="15" s="1"/>
  <c r="R156" i="15"/>
  <c r="Q157" i="15" s="1"/>
  <c r="AT157" i="15" s="1"/>
  <c r="N153" i="19"/>
  <c r="M153" i="19"/>
  <c r="Q153" i="19" s="1"/>
  <c r="L154" i="19" s="1"/>
  <c r="P154" i="19"/>
  <c r="AT151" i="17"/>
  <c r="AE151" i="17"/>
  <c r="AD152" i="17" s="1"/>
  <c r="U224" i="17"/>
  <c r="V224" i="17"/>
  <c r="O224" i="17"/>
  <c r="AA224" i="19"/>
  <c r="I224" i="19"/>
  <c r="I224" i="17"/>
  <c r="AB224" i="19"/>
  <c r="V224" i="19"/>
  <c r="AA224" i="17"/>
  <c r="O224" i="19"/>
  <c r="AB224" i="17"/>
  <c r="U224" i="19"/>
  <c r="N153" i="17"/>
  <c r="M153" i="17"/>
  <c r="Q153" i="17" s="1"/>
  <c r="L154" i="17" s="1"/>
  <c r="P154" i="17"/>
  <c r="T152" i="17"/>
  <c r="S152" i="17"/>
  <c r="W152" i="17" s="1"/>
  <c r="R153" i="17" s="1"/>
  <c r="AZ224" i="19"/>
  <c r="E225" i="19"/>
  <c r="C224" i="19"/>
  <c r="AX224" i="19"/>
  <c r="AY223" i="19"/>
  <c r="L221" i="18"/>
  <c r="I222" i="18" s="1"/>
  <c r="C224" i="16"/>
  <c r="AX224" i="16"/>
  <c r="E225" i="16"/>
  <c r="AZ224" i="16"/>
  <c r="BD224" i="16"/>
  <c r="AY222" i="18"/>
  <c r="AR223" i="16"/>
  <c r="AY222" i="17"/>
  <c r="C223" i="18"/>
  <c r="E224" i="18"/>
  <c r="AX223" i="18"/>
  <c r="AZ223" i="18"/>
  <c r="C223" i="17"/>
  <c r="AX223" i="17"/>
  <c r="E224" i="17"/>
  <c r="AZ223" i="17"/>
  <c r="O222" i="18"/>
  <c r="AQ222" i="18"/>
  <c r="K222" i="18"/>
  <c r="AU222" i="18"/>
  <c r="AS222" i="18"/>
  <c r="F108" i="18"/>
  <c r="G108" i="18" s="1"/>
  <c r="AR108" i="18" s="1"/>
  <c r="AI107" i="18"/>
  <c r="AJ107" i="18" s="1"/>
  <c r="AK107" i="18" s="1"/>
  <c r="E226" i="15"/>
  <c r="C225" i="15"/>
  <c r="AZ225" i="15"/>
  <c r="AX225" i="15"/>
  <c r="AM107" i="18"/>
  <c r="AN107" i="18" s="1"/>
  <c r="AY224" i="15"/>
  <c r="R173" i="18"/>
  <c r="Q174" i="18" s="1"/>
  <c r="AT174" i="18" s="1"/>
  <c r="T172" i="18"/>
  <c r="S173" i="18" s="1"/>
  <c r="Y226" i="3"/>
  <c r="AC225" i="3"/>
  <c r="AH226" i="3"/>
  <c r="BD225" i="3"/>
  <c r="AG226" i="3"/>
  <c r="BC225" i="3"/>
  <c r="AE226" i="3"/>
  <c r="A227" i="3"/>
  <c r="BI227" i="3" s="1"/>
  <c r="BJ227" i="3" s="1"/>
  <c r="AD224" i="3"/>
  <c r="AI224" i="3" s="1"/>
  <c r="BE224" i="3" s="1"/>
  <c r="H226" i="3"/>
  <c r="AF225" i="3"/>
  <c r="AD225" i="3" s="1"/>
  <c r="AL226" i="3"/>
  <c r="V227" i="3"/>
  <c r="X227" i="3" s="1"/>
  <c r="G228" i="3"/>
  <c r="AV227" i="3"/>
  <c r="AX227" i="3" s="1"/>
  <c r="BB227" i="3" s="1"/>
  <c r="AW229" i="3"/>
  <c r="AQ229" i="3"/>
  <c r="AL227" i="3" l="1"/>
  <c r="Q88" i="29"/>
  <c r="L89" i="29" s="1"/>
  <c r="P90" i="29" s="1"/>
  <c r="AE187" i="25"/>
  <c r="AD188" i="25" s="1"/>
  <c r="AT187" i="25"/>
  <c r="S188" i="25"/>
  <c r="W188" i="25" s="1"/>
  <c r="R189" i="25" s="1"/>
  <c r="T188" i="25"/>
  <c r="AU88" i="28"/>
  <c r="AS88" i="28"/>
  <c r="AQ88" i="28"/>
  <c r="Q89" i="28"/>
  <c r="L90" i="28" s="1"/>
  <c r="N90" i="28" s="1"/>
  <c r="O89" i="29"/>
  <c r="J90" i="29"/>
  <c r="I89" i="29"/>
  <c r="AR89" i="29" s="1"/>
  <c r="AT122" i="29"/>
  <c r="AR229" i="3"/>
  <c r="AN227" i="20"/>
  <c r="AG131" i="25"/>
  <c r="AF132" i="25" s="1"/>
  <c r="L117" i="24"/>
  <c r="I118" i="24" s="1"/>
  <c r="T117" i="24"/>
  <c r="S118" i="24" s="1"/>
  <c r="Y132" i="25"/>
  <c r="AC132" i="25" s="1"/>
  <c r="X133" i="25" s="1"/>
  <c r="Z132" i="25"/>
  <c r="O131" i="24"/>
  <c r="N131" i="24"/>
  <c r="AQ227" i="20"/>
  <c r="AR227" i="20" s="1"/>
  <c r="O228" i="20"/>
  <c r="P227" i="20"/>
  <c r="AK225" i="3"/>
  <c r="BG225" i="3" s="1"/>
  <c r="O224" i="15"/>
  <c r="K224" i="15"/>
  <c r="AJ224" i="3"/>
  <c r="BF224" i="3" s="1"/>
  <c r="Z121" i="29"/>
  <c r="Y121" i="29"/>
  <c r="AG121" i="29" s="1"/>
  <c r="AF122" i="29" s="1"/>
  <c r="AW87" i="29"/>
  <c r="AX87" i="29" s="1"/>
  <c r="AY87" i="29" s="1"/>
  <c r="AO88" i="29"/>
  <c r="AL88" i="29"/>
  <c r="AM88" i="29" s="1"/>
  <c r="AN88" i="29" s="1"/>
  <c r="AI88" i="29"/>
  <c r="AJ88" i="29" s="1"/>
  <c r="AK88" i="29" s="1"/>
  <c r="G89" i="29"/>
  <c r="AY222" i="29"/>
  <c r="H89" i="29"/>
  <c r="T209" i="29"/>
  <c r="S209" i="29"/>
  <c r="W209" i="29" s="1"/>
  <c r="R210" i="29" s="1"/>
  <c r="U210" i="29" s="1"/>
  <c r="C223" i="29"/>
  <c r="AZ223" i="29"/>
  <c r="AX223" i="29"/>
  <c r="E224" i="29"/>
  <c r="J218" i="26"/>
  <c r="L218" i="26" s="1"/>
  <c r="I219" i="26" s="1"/>
  <c r="P173" i="26"/>
  <c r="M174" i="26" s="1"/>
  <c r="K223" i="26"/>
  <c r="O223" i="26"/>
  <c r="AQ223" i="26"/>
  <c r="AS223" i="26"/>
  <c r="AU223" i="26"/>
  <c r="R173" i="26"/>
  <c r="Q174" i="26" s="1"/>
  <c r="AT174" i="26" s="1"/>
  <c r="F86" i="26"/>
  <c r="AI85" i="26"/>
  <c r="AL85" i="26"/>
  <c r="AY223" i="26"/>
  <c r="AZ224" i="26"/>
  <c r="AX224" i="26"/>
  <c r="C224" i="26"/>
  <c r="E225" i="26"/>
  <c r="AY223" i="24"/>
  <c r="T183" i="28"/>
  <c r="S183" i="28"/>
  <c r="W183" i="28" s="1"/>
  <c r="R184" i="28" s="1"/>
  <c r="V184" i="28" s="1"/>
  <c r="Z126" i="28"/>
  <c r="Y126" i="28"/>
  <c r="AG126" i="28" s="1"/>
  <c r="AF127" i="28" s="1"/>
  <c r="AT182" i="28"/>
  <c r="AE182" i="28"/>
  <c r="AD183" i="28" s="1"/>
  <c r="H89" i="28"/>
  <c r="AP89" i="28" s="1"/>
  <c r="J90" i="28"/>
  <c r="G89" i="28"/>
  <c r="AL89" i="28" s="1"/>
  <c r="AY223" i="28"/>
  <c r="C224" i="28"/>
  <c r="AX224" i="28"/>
  <c r="AZ224" i="28"/>
  <c r="E225" i="28"/>
  <c r="AY223" i="25"/>
  <c r="AW79" i="15"/>
  <c r="AX79" i="15" s="1"/>
  <c r="AY79" i="15" s="1"/>
  <c r="F110" i="25"/>
  <c r="AO106" i="25"/>
  <c r="U223" i="25"/>
  <c r="V223" i="25"/>
  <c r="AA223" i="25"/>
  <c r="AB223" i="25"/>
  <c r="AR223" i="25"/>
  <c r="BA224" i="25"/>
  <c r="BB224" i="25"/>
  <c r="BC224" i="25"/>
  <c r="AL106" i="25"/>
  <c r="AI106" i="25"/>
  <c r="AU106" i="25"/>
  <c r="AS106" i="25"/>
  <c r="AQ106" i="25"/>
  <c r="AX224" i="25"/>
  <c r="AZ224" i="25"/>
  <c r="BD224" i="25"/>
  <c r="C224" i="25"/>
  <c r="E225" i="25"/>
  <c r="P108" i="25"/>
  <c r="N107" i="25"/>
  <c r="AP107" i="25" s="1"/>
  <c r="AQ223" i="24"/>
  <c r="AS223" i="24"/>
  <c r="AU223" i="24"/>
  <c r="F81" i="24"/>
  <c r="AL80" i="24"/>
  <c r="AM80" i="24" s="1"/>
  <c r="AI80" i="24"/>
  <c r="AJ80" i="24" s="1"/>
  <c r="AZ224" i="24"/>
  <c r="AX224" i="24"/>
  <c r="C224" i="24"/>
  <c r="E225" i="24"/>
  <c r="AT118" i="24"/>
  <c r="AS225" i="15"/>
  <c r="AU225" i="15"/>
  <c r="K225" i="15"/>
  <c r="O225" i="15"/>
  <c r="AQ225" i="15"/>
  <c r="G80" i="15"/>
  <c r="AR80" i="15" s="1"/>
  <c r="P186" i="15"/>
  <c r="M187" i="15" s="1"/>
  <c r="N187" i="15" s="1"/>
  <c r="M107" i="25"/>
  <c r="AL107" i="25" s="1"/>
  <c r="I222" i="25"/>
  <c r="O222" i="25"/>
  <c r="AJ225" i="3"/>
  <c r="BF225" i="3" s="1"/>
  <c r="AG133" i="17"/>
  <c r="AF134" i="17" s="1"/>
  <c r="AW61" i="19"/>
  <c r="AX61" i="19" s="1"/>
  <c r="AY61" i="19" s="1"/>
  <c r="AI62" i="19"/>
  <c r="AJ62" i="19" s="1"/>
  <c r="AK62" i="19" s="1"/>
  <c r="K62" i="19"/>
  <c r="AQ62" i="19" s="1"/>
  <c r="AP62" i="19"/>
  <c r="AO62" i="19"/>
  <c r="AM227" i="3"/>
  <c r="AO70" i="17"/>
  <c r="AP70" i="17"/>
  <c r="Y134" i="17"/>
  <c r="AC134" i="17" s="1"/>
  <c r="X135" i="17" s="1"/>
  <c r="Z134" i="17"/>
  <c r="AL70" i="17"/>
  <c r="AM70" i="17" s="1"/>
  <c r="AN70" i="17" s="1"/>
  <c r="K70" i="17"/>
  <c r="AI70" i="17"/>
  <c r="AJ70" i="17" s="1"/>
  <c r="AK70" i="17" s="1"/>
  <c r="AG138" i="19"/>
  <c r="AF139" i="19" s="1"/>
  <c r="Z139" i="19"/>
  <c r="Y139" i="19"/>
  <c r="L157" i="15"/>
  <c r="I158" i="15" s="1"/>
  <c r="J158" i="15" s="1"/>
  <c r="T145" i="19"/>
  <c r="S145" i="19"/>
  <c r="W145" i="19" s="1"/>
  <c r="R146" i="19" s="1"/>
  <c r="AE144" i="19"/>
  <c r="AD145" i="19" s="1"/>
  <c r="AT144" i="19"/>
  <c r="T157" i="15"/>
  <c r="S158" i="15" s="1"/>
  <c r="AA225" i="17"/>
  <c r="I225" i="17"/>
  <c r="U225" i="17"/>
  <c r="V225" i="17"/>
  <c r="AB225" i="19"/>
  <c r="O225" i="19"/>
  <c r="AB225" i="17"/>
  <c r="V225" i="19"/>
  <c r="O225" i="17"/>
  <c r="U225" i="19"/>
  <c r="AA225" i="19"/>
  <c r="I225" i="19"/>
  <c r="M154" i="19"/>
  <c r="Q154" i="19" s="1"/>
  <c r="L155" i="19" s="1"/>
  <c r="N154" i="19"/>
  <c r="P155" i="19"/>
  <c r="AT152" i="17"/>
  <c r="AE152" i="17"/>
  <c r="AD153" i="17" s="1"/>
  <c r="AR224" i="19"/>
  <c r="T153" i="17"/>
  <c r="S153" i="17"/>
  <c r="W153" i="17" s="1"/>
  <c r="R154" i="17" s="1"/>
  <c r="M154" i="17"/>
  <c r="Q154" i="17" s="1"/>
  <c r="L155" i="17" s="1"/>
  <c r="P155" i="17"/>
  <c r="N154" i="17"/>
  <c r="R157" i="15"/>
  <c r="Q158" i="15" s="1"/>
  <c r="AT158" i="15" s="1"/>
  <c r="AY224" i="19"/>
  <c r="E226" i="19"/>
  <c r="C225" i="19"/>
  <c r="AZ225" i="19"/>
  <c r="AX225" i="19"/>
  <c r="AR224" i="16"/>
  <c r="AZ225" i="16"/>
  <c r="C225" i="16"/>
  <c r="AX225" i="16"/>
  <c r="E226" i="16"/>
  <c r="BD225" i="16"/>
  <c r="AY223" i="18"/>
  <c r="AY224" i="16"/>
  <c r="AY223" i="17"/>
  <c r="AW107" i="18"/>
  <c r="AX107" i="18" s="1"/>
  <c r="AY107" i="18" s="1"/>
  <c r="C224" i="17"/>
  <c r="AZ224" i="17"/>
  <c r="E225" i="17"/>
  <c r="AX224" i="17"/>
  <c r="AU223" i="18"/>
  <c r="K223" i="18"/>
  <c r="AS223" i="18"/>
  <c r="O223" i="18"/>
  <c r="AQ223" i="18"/>
  <c r="J222" i="18"/>
  <c r="L222" i="18" s="1"/>
  <c r="I223" i="18" s="1"/>
  <c r="AX224" i="18"/>
  <c r="C224" i="18"/>
  <c r="AZ224" i="18"/>
  <c r="E225" i="18"/>
  <c r="H108" i="18"/>
  <c r="F109" i="18" s="1"/>
  <c r="AY225" i="15"/>
  <c r="C226" i="15"/>
  <c r="E227" i="15"/>
  <c r="AX226" i="15"/>
  <c r="AZ226" i="15"/>
  <c r="T173" i="18"/>
  <c r="S174" i="18" s="1"/>
  <c r="P173" i="18"/>
  <c r="M174" i="18" s="1"/>
  <c r="N174" i="18" s="1"/>
  <c r="AW230" i="3"/>
  <c r="H227" i="3"/>
  <c r="AF226" i="3"/>
  <c r="Y227" i="3"/>
  <c r="AC226" i="3"/>
  <c r="BC226" i="3"/>
  <c r="AE227" i="3"/>
  <c r="AG227" i="3"/>
  <c r="AQ230" i="3"/>
  <c r="AV228" i="3"/>
  <c r="AX228" i="3" s="1"/>
  <c r="BB228" i="3" s="1"/>
  <c r="V228" i="3"/>
  <c r="X228" i="3" s="1"/>
  <c r="G229" i="3"/>
  <c r="A228" i="3"/>
  <c r="BI228" i="3" s="1"/>
  <c r="BJ228" i="3" s="1"/>
  <c r="AN230" i="3"/>
  <c r="AH227" i="3"/>
  <c r="BD226" i="3"/>
  <c r="P230" i="3"/>
  <c r="P231" i="3" s="1"/>
  <c r="AI225" i="3"/>
  <c r="BE225" i="3" s="1"/>
  <c r="AU88" i="29" l="1"/>
  <c r="AS88" i="29"/>
  <c r="M89" i="29"/>
  <c r="AL89" i="29" s="1"/>
  <c r="AM89" i="29" s="1"/>
  <c r="AN89" i="29" s="1"/>
  <c r="AQ88" i="29"/>
  <c r="N89" i="29"/>
  <c r="AP89" i="29" s="1"/>
  <c r="AE188" i="25"/>
  <c r="AD189" i="25" s="1"/>
  <c r="AT188" i="25"/>
  <c r="T189" i="25"/>
  <c r="S189" i="25"/>
  <c r="W189" i="25" s="1"/>
  <c r="R190" i="25" s="1"/>
  <c r="AW88" i="28"/>
  <c r="AX88" i="28" s="1"/>
  <c r="AY88" i="28" s="1"/>
  <c r="O90" i="28"/>
  <c r="M90" i="28"/>
  <c r="P91" i="28"/>
  <c r="AR230" i="3"/>
  <c r="AN228" i="20"/>
  <c r="AM228" i="3"/>
  <c r="P131" i="24"/>
  <c r="M132" i="24" s="1"/>
  <c r="Z133" i="25"/>
  <c r="Y133" i="25"/>
  <c r="AG132" i="25"/>
  <c r="AF133" i="25" s="1"/>
  <c r="K118" i="24"/>
  <c r="R118" i="24" s="1"/>
  <c r="Q119" i="24" s="1"/>
  <c r="AT119" i="24" s="1"/>
  <c r="J118" i="24"/>
  <c r="P228" i="20"/>
  <c r="AK226" i="3"/>
  <c r="BG226" i="3" s="1"/>
  <c r="O229" i="20"/>
  <c r="AQ228" i="20"/>
  <c r="AR228" i="20" s="1"/>
  <c r="AC121" i="29"/>
  <c r="X122" i="29" s="1"/>
  <c r="AA122" i="29" s="1"/>
  <c r="AE122" i="29" s="1"/>
  <c r="AD123" i="29" s="1"/>
  <c r="K89" i="29"/>
  <c r="AY223" i="29"/>
  <c r="T210" i="29"/>
  <c r="S210" i="29"/>
  <c r="W210" i="29" s="1"/>
  <c r="R211" i="29" s="1"/>
  <c r="U211" i="29" s="1"/>
  <c r="AX224" i="29"/>
  <c r="AZ224" i="29"/>
  <c r="C224" i="29"/>
  <c r="E225" i="29"/>
  <c r="J219" i="26"/>
  <c r="L219" i="26" s="1"/>
  <c r="I220" i="26" s="1"/>
  <c r="AM85" i="26"/>
  <c r="AN85" i="26" s="1"/>
  <c r="N174" i="26"/>
  <c r="T174" i="26" s="1"/>
  <c r="S175" i="26" s="1"/>
  <c r="AY224" i="26"/>
  <c r="O224" i="26"/>
  <c r="AQ224" i="26"/>
  <c r="AS224" i="26"/>
  <c r="AU224" i="26"/>
  <c r="K224" i="26"/>
  <c r="AJ85" i="26"/>
  <c r="AK85" i="26" s="1"/>
  <c r="G86" i="26"/>
  <c r="AR86" i="26" s="1"/>
  <c r="AX225" i="26"/>
  <c r="C225" i="26"/>
  <c r="AZ225" i="26"/>
  <c r="E226" i="26"/>
  <c r="T184" i="28"/>
  <c r="S184" i="28"/>
  <c r="W184" i="28" s="1"/>
  <c r="R185" i="28" s="1"/>
  <c r="V185" i="28" s="1"/>
  <c r="AO89" i="28"/>
  <c r="AC126" i="28"/>
  <c r="X127" i="28" s="1"/>
  <c r="AB127" i="28" s="1"/>
  <c r="AT183" i="28"/>
  <c r="AE183" i="28"/>
  <c r="AD184" i="28" s="1"/>
  <c r="AI89" i="28"/>
  <c r="AY224" i="28"/>
  <c r="AZ225" i="28"/>
  <c r="C225" i="28"/>
  <c r="AX225" i="28"/>
  <c r="E226" i="28"/>
  <c r="AM89" i="28"/>
  <c r="AN89" i="28" s="1"/>
  <c r="AY224" i="25"/>
  <c r="G110" i="25"/>
  <c r="K110" i="25" s="1"/>
  <c r="J111" i="25"/>
  <c r="H110" i="25"/>
  <c r="AK80" i="24"/>
  <c r="U224" i="25"/>
  <c r="V224" i="25"/>
  <c r="AA224" i="25"/>
  <c r="AB224" i="25"/>
  <c r="AR224" i="25"/>
  <c r="BA225" i="25"/>
  <c r="BB225" i="25"/>
  <c r="BC225" i="25"/>
  <c r="AY224" i="24"/>
  <c r="AO107" i="25"/>
  <c r="AN80" i="24"/>
  <c r="C225" i="25"/>
  <c r="AX225" i="25"/>
  <c r="BD225" i="25"/>
  <c r="AZ225" i="25"/>
  <c r="E226" i="25"/>
  <c r="AM107" i="25"/>
  <c r="AN107" i="25" s="1"/>
  <c r="AJ106" i="25"/>
  <c r="AK106" i="25" s="1"/>
  <c r="AM106" i="25"/>
  <c r="AN106" i="25" s="1"/>
  <c r="AQ224" i="24"/>
  <c r="AU224" i="24"/>
  <c r="AS224" i="24"/>
  <c r="AX225" i="24"/>
  <c r="C225" i="24"/>
  <c r="AZ225" i="24"/>
  <c r="E226" i="24"/>
  <c r="G81" i="24"/>
  <c r="AR81" i="24" s="1"/>
  <c r="AQ226" i="15"/>
  <c r="AS226" i="15"/>
  <c r="AU226" i="15"/>
  <c r="H80" i="15"/>
  <c r="P187" i="15"/>
  <c r="M188" i="15" s="1"/>
  <c r="N188" i="15" s="1"/>
  <c r="K89" i="28"/>
  <c r="Q107" i="25"/>
  <c r="O223" i="25"/>
  <c r="I223" i="25"/>
  <c r="F63" i="19"/>
  <c r="J64" i="19" s="1"/>
  <c r="AS62" i="19"/>
  <c r="AU62" i="19"/>
  <c r="AL228" i="3"/>
  <c r="AG134" i="17"/>
  <c r="AF135" i="17" s="1"/>
  <c r="AU70" i="17"/>
  <c r="AQ70" i="17"/>
  <c r="AS70" i="17"/>
  <c r="F71" i="17"/>
  <c r="Y135" i="17"/>
  <c r="AC135" i="17" s="1"/>
  <c r="X136" i="17" s="1"/>
  <c r="Z135" i="17"/>
  <c r="AG139" i="19"/>
  <c r="AF140" i="19" s="1"/>
  <c r="AC139" i="19"/>
  <c r="X140" i="19" s="1"/>
  <c r="L158" i="15"/>
  <c r="I159" i="15" s="1"/>
  <c r="J159" i="15" s="1"/>
  <c r="T158" i="15"/>
  <c r="S159" i="15" s="1"/>
  <c r="AT145" i="19"/>
  <c r="AE145" i="19"/>
  <c r="AD146" i="19" s="1"/>
  <c r="T146" i="19"/>
  <c r="S146" i="19"/>
  <c r="W146" i="19" s="1"/>
  <c r="R147" i="19" s="1"/>
  <c r="AD226" i="3"/>
  <c r="AI226" i="3" s="1"/>
  <c r="BE226" i="3" s="1"/>
  <c r="AT153" i="17"/>
  <c r="AE153" i="17"/>
  <c r="AD154" i="17" s="1"/>
  <c r="N155" i="19"/>
  <c r="P156" i="19"/>
  <c r="M155" i="19"/>
  <c r="Q155" i="19" s="1"/>
  <c r="L156" i="19" s="1"/>
  <c r="AR225" i="19"/>
  <c r="S154" i="17"/>
  <c r="W154" i="17" s="1"/>
  <c r="R155" i="17" s="1"/>
  <c r="T154" i="17"/>
  <c r="R158" i="15"/>
  <c r="Q159" i="15" s="1"/>
  <c r="AT159" i="15" s="1"/>
  <c r="P156" i="17"/>
  <c r="M155" i="17"/>
  <c r="Q155" i="17" s="1"/>
  <c r="L156" i="17" s="1"/>
  <c r="N155" i="17"/>
  <c r="U226" i="17"/>
  <c r="O226" i="17"/>
  <c r="AA226" i="17"/>
  <c r="U226" i="19"/>
  <c r="O226" i="19"/>
  <c r="AB226" i="17"/>
  <c r="AB226" i="19"/>
  <c r="I226" i="19"/>
  <c r="V226" i="17"/>
  <c r="AA226" i="19"/>
  <c r="V226" i="19"/>
  <c r="I226" i="17"/>
  <c r="AZ226" i="19"/>
  <c r="E227" i="19"/>
  <c r="AX226" i="19"/>
  <c r="C226" i="19"/>
  <c r="AY225" i="19"/>
  <c r="AI108" i="18"/>
  <c r="AJ108" i="18" s="1"/>
  <c r="AK108" i="18" s="1"/>
  <c r="AZ226" i="16"/>
  <c r="E227" i="16"/>
  <c r="AX226" i="16"/>
  <c r="BD226" i="16"/>
  <c r="C226" i="16"/>
  <c r="AY225" i="16"/>
  <c r="AR225" i="16"/>
  <c r="J223" i="18"/>
  <c r="L223" i="18" s="1"/>
  <c r="I224" i="18" s="1"/>
  <c r="E226" i="18"/>
  <c r="C225" i="18"/>
  <c r="AX225" i="18"/>
  <c r="AZ225" i="18"/>
  <c r="E226" i="17"/>
  <c r="C225" i="17"/>
  <c r="AX225" i="17"/>
  <c r="AZ225" i="17"/>
  <c r="AS224" i="18"/>
  <c r="AQ224" i="18"/>
  <c r="K224" i="18"/>
  <c r="O224" i="18"/>
  <c r="AU224" i="18"/>
  <c r="AY224" i="18"/>
  <c r="AY224" i="17"/>
  <c r="AL108" i="18"/>
  <c r="AM108" i="18" s="1"/>
  <c r="AN108" i="18" s="1"/>
  <c r="AY226" i="15"/>
  <c r="G109" i="18"/>
  <c r="AR109" i="18" s="1"/>
  <c r="C227" i="15"/>
  <c r="AZ227" i="15"/>
  <c r="AX227" i="15"/>
  <c r="E228" i="15"/>
  <c r="T174" i="18"/>
  <c r="S175" i="18" s="1"/>
  <c r="P174" i="18"/>
  <c r="M175" i="18" s="1"/>
  <c r="N175" i="18" s="1"/>
  <c r="R174" i="18"/>
  <c r="Q175" i="18" s="1"/>
  <c r="AT175" i="18" s="1"/>
  <c r="Y228" i="3"/>
  <c r="AC227" i="3"/>
  <c r="H228" i="3"/>
  <c r="AF227" i="3"/>
  <c r="AK227" i="3" s="1"/>
  <c r="AH228" i="3"/>
  <c r="BD227" i="3"/>
  <c r="AV229" i="3"/>
  <c r="AX229" i="3" s="1"/>
  <c r="BB229" i="3" s="1"/>
  <c r="G230" i="3"/>
  <c r="V229" i="3"/>
  <c r="X229" i="3" s="1"/>
  <c r="AQ231" i="3"/>
  <c r="AE228" i="3"/>
  <c r="BC227" i="3"/>
  <c r="AN231" i="3"/>
  <c r="AG228" i="3"/>
  <c r="A229" i="3"/>
  <c r="BI229" i="3" s="1"/>
  <c r="BJ229" i="3" s="1"/>
  <c r="AW231" i="3"/>
  <c r="AW88" i="29" l="1"/>
  <c r="AX88" i="29" s="1"/>
  <c r="AY88" i="29" s="1"/>
  <c r="AI89" i="29"/>
  <c r="AJ89" i="29" s="1"/>
  <c r="AK89" i="29" s="1"/>
  <c r="AO89" i="29"/>
  <c r="Q89" i="29"/>
  <c r="L90" i="29" s="1"/>
  <c r="P91" i="29" s="1"/>
  <c r="AE189" i="25"/>
  <c r="AD190" i="25" s="1"/>
  <c r="AT189" i="25"/>
  <c r="S190" i="25"/>
  <c r="W190" i="25" s="1"/>
  <c r="R191" i="25" s="1"/>
  <c r="T190" i="25"/>
  <c r="O90" i="29"/>
  <c r="AT123" i="29"/>
  <c r="AR231" i="3"/>
  <c r="AN229" i="20"/>
  <c r="L118" i="24"/>
  <c r="I119" i="24" s="1"/>
  <c r="AG133" i="25"/>
  <c r="AF134" i="25" s="1"/>
  <c r="T118" i="24"/>
  <c r="S119" i="24" s="1"/>
  <c r="AC133" i="25"/>
  <c r="X134" i="25" s="1"/>
  <c r="O132" i="24"/>
  <c r="N132" i="24"/>
  <c r="P229" i="20"/>
  <c r="AM229" i="3"/>
  <c r="O230" i="20"/>
  <c r="AQ229" i="20"/>
  <c r="AR229" i="20" s="1"/>
  <c r="BG227" i="3"/>
  <c r="AJ226" i="3"/>
  <c r="BF226" i="3" s="1"/>
  <c r="K226" i="15"/>
  <c r="O226" i="15"/>
  <c r="Z122" i="29"/>
  <c r="Y122" i="29"/>
  <c r="F90" i="29"/>
  <c r="AY224" i="29"/>
  <c r="T211" i="29"/>
  <c r="S211" i="29"/>
  <c r="W211" i="29" s="1"/>
  <c r="R212" i="29" s="1"/>
  <c r="U212" i="29" s="1"/>
  <c r="C225" i="29"/>
  <c r="AX225" i="29"/>
  <c r="AZ225" i="29"/>
  <c r="E226" i="29"/>
  <c r="R174" i="26"/>
  <c r="Q175" i="26" s="1"/>
  <c r="AT175" i="26" s="1"/>
  <c r="AY225" i="26"/>
  <c r="P174" i="26"/>
  <c r="M175" i="26" s="1"/>
  <c r="AW85" i="26"/>
  <c r="AX85" i="26" s="1"/>
  <c r="AY85" i="26" s="1"/>
  <c r="J220" i="26"/>
  <c r="L220" i="26" s="1"/>
  <c r="I221" i="26" s="1"/>
  <c r="H86" i="26"/>
  <c r="AS225" i="26"/>
  <c r="AU225" i="26"/>
  <c r="AQ225" i="26"/>
  <c r="K225" i="26"/>
  <c r="O225" i="26"/>
  <c r="AX226" i="26"/>
  <c r="C226" i="26"/>
  <c r="AZ226" i="26"/>
  <c r="E227" i="26"/>
  <c r="T185" i="28"/>
  <c r="S185" i="28"/>
  <c r="W185" i="28" s="1"/>
  <c r="R186" i="28" s="1"/>
  <c r="V186" i="28" s="1"/>
  <c r="Z127" i="28"/>
  <c r="Y127" i="28"/>
  <c r="AG127" i="28" s="1"/>
  <c r="AF128" i="28" s="1"/>
  <c r="AT184" i="28"/>
  <c r="AE184" i="28"/>
  <c r="AD185" i="28" s="1"/>
  <c r="AW80" i="24"/>
  <c r="AX80" i="24" s="1"/>
  <c r="AY80" i="24" s="1"/>
  <c r="AQ89" i="28"/>
  <c r="AS89" i="28"/>
  <c r="AU89" i="28"/>
  <c r="AY225" i="28"/>
  <c r="C226" i="28"/>
  <c r="AX226" i="28"/>
  <c r="AZ226" i="28"/>
  <c r="E227" i="28"/>
  <c r="AJ89" i="28"/>
  <c r="AK89" i="28" s="1"/>
  <c r="F90" i="28"/>
  <c r="I90" i="28" s="1"/>
  <c r="Q90" i="28" s="1"/>
  <c r="L91" i="28" s="1"/>
  <c r="F111" i="25"/>
  <c r="AR225" i="25"/>
  <c r="U225" i="25"/>
  <c r="V225" i="25"/>
  <c r="AA225" i="25"/>
  <c r="AB225" i="25"/>
  <c r="BA226" i="25"/>
  <c r="BB226" i="25"/>
  <c r="BC226" i="25"/>
  <c r="AY225" i="24"/>
  <c r="AI107" i="25"/>
  <c r="AQ107" i="25"/>
  <c r="AS107" i="25"/>
  <c r="AU107" i="25"/>
  <c r="AW106" i="25"/>
  <c r="AX106" i="25" s="1"/>
  <c r="AY106" i="25" s="1"/>
  <c r="L108" i="25"/>
  <c r="AX226" i="25"/>
  <c r="AZ226" i="25"/>
  <c r="BD226" i="25"/>
  <c r="C226" i="25"/>
  <c r="E227" i="25"/>
  <c r="AY225" i="25"/>
  <c r="AX226" i="24"/>
  <c r="C226" i="24"/>
  <c r="AZ226" i="24"/>
  <c r="E227" i="24"/>
  <c r="AU225" i="24"/>
  <c r="AS225" i="24"/>
  <c r="AQ225" i="24"/>
  <c r="H81" i="24"/>
  <c r="AQ227" i="15"/>
  <c r="AS227" i="15"/>
  <c r="AU227" i="15"/>
  <c r="F81" i="15"/>
  <c r="AI80" i="15"/>
  <c r="AJ80" i="15" s="1"/>
  <c r="AK80" i="15" s="1"/>
  <c r="AL80" i="15"/>
  <c r="AM80" i="15" s="1"/>
  <c r="AN80" i="15" s="1"/>
  <c r="P188" i="15"/>
  <c r="M189" i="15" s="1"/>
  <c r="N189" i="15" s="1"/>
  <c r="O224" i="25"/>
  <c r="I224" i="25"/>
  <c r="H63" i="19"/>
  <c r="AP63" i="19" s="1"/>
  <c r="G63" i="19"/>
  <c r="AL63" i="19" s="1"/>
  <c r="AM63" i="19" s="1"/>
  <c r="AN63" i="19" s="1"/>
  <c r="AW62" i="19"/>
  <c r="AX62" i="19" s="1"/>
  <c r="AY62" i="19" s="1"/>
  <c r="AW70" i="17"/>
  <c r="AX70" i="17" s="1"/>
  <c r="AY70" i="17" s="1"/>
  <c r="AD227" i="3"/>
  <c r="AI227" i="3" s="1"/>
  <c r="BE227" i="3" s="1"/>
  <c r="G71" i="17"/>
  <c r="H71" i="17"/>
  <c r="J72" i="17"/>
  <c r="Y136" i="17"/>
  <c r="AC136" i="17" s="1"/>
  <c r="X137" i="17" s="1"/>
  <c r="Z136" i="17"/>
  <c r="AG135" i="17"/>
  <c r="AF136" i="17" s="1"/>
  <c r="Z140" i="19"/>
  <c r="Y140" i="19"/>
  <c r="AG140" i="19" s="1"/>
  <c r="AF141" i="19" s="1"/>
  <c r="T159" i="15"/>
  <c r="S160" i="15" s="1"/>
  <c r="L159" i="15"/>
  <c r="I160" i="15" s="1"/>
  <c r="J160" i="15" s="1"/>
  <c r="AT146" i="19"/>
  <c r="AE146" i="19"/>
  <c r="AD147" i="19" s="1"/>
  <c r="T147" i="19"/>
  <c r="S147" i="19"/>
  <c r="W147" i="19" s="1"/>
  <c r="R148" i="19" s="1"/>
  <c r="AA227" i="17"/>
  <c r="I227" i="17"/>
  <c r="O227" i="17"/>
  <c r="AB227" i="17"/>
  <c r="V227" i="19"/>
  <c r="U227" i="17"/>
  <c r="AA227" i="19"/>
  <c r="U227" i="19"/>
  <c r="V227" i="17"/>
  <c r="AB227" i="19"/>
  <c r="O227" i="19"/>
  <c r="I227" i="19"/>
  <c r="AY226" i="19"/>
  <c r="S155" i="17"/>
  <c r="W155" i="17" s="1"/>
  <c r="R156" i="17" s="1"/>
  <c r="T155" i="17"/>
  <c r="AT154" i="17"/>
  <c r="AE154" i="17"/>
  <c r="AD155" i="17" s="1"/>
  <c r="M156" i="17"/>
  <c r="Q156" i="17" s="1"/>
  <c r="L157" i="17" s="1"/>
  <c r="P157" i="17"/>
  <c r="N156" i="17"/>
  <c r="AR226" i="19"/>
  <c r="R159" i="15"/>
  <c r="Q160" i="15" s="1"/>
  <c r="AT160" i="15" s="1"/>
  <c r="M156" i="19"/>
  <c r="Q156" i="19" s="1"/>
  <c r="L157" i="19" s="1"/>
  <c r="N156" i="19"/>
  <c r="P157" i="19"/>
  <c r="E228" i="19"/>
  <c r="AZ227" i="19"/>
  <c r="C227" i="19"/>
  <c r="AX227" i="19"/>
  <c r="AW108" i="18"/>
  <c r="AX108" i="18" s="1"/>
  <c r="AY108" i="18" s="1"/>
  <c r="AR226" i="16"/>
  <c r="E228" i="16"/>
  <c r="C227" i="16"/>
  <c r="AX227" i="16"/>
  <c r="AZ227" i="16"/>
  <c r="BD227" i="16"/>
  <c r="AY226" i="16"/>
  <c r="J224" i="18"/>
  <c r="L224" i="18" s="1"/>
  <c r="I225" i="18" s="1"/>
  <c r="J225" i="18" s="1"/>
  <c r="AX226" i="17"/>
  <c r="AZ226" i="17"/>
  <c r="C226" i="17"/>
  <c r="E227" i="17"/>
  <c r="C226" i="18"/>
  <c r="AZ226" i="18"/>
  <c r="E227" i="18"/>
  <c r="AX226" i="18"/>
  <c r="AY225" i="17"/>
  <c r="AY225" i="18"/>
  <c r="K225" i="18"/>
  <c r="AU225" i="18"/>
  <c r="AQ225" i="18"/>
  <c r="O225" i="18"/>
  <c r="AS225" i="18"/>
  <c r="AY227" i="15"/>
  <c r="H109" i="18"/>
  <c r="F110" i="18" s="1"/>
  <c r="G110" i="18" s="1"/>
  <c r="AR110" i="18" s="1"/>
  <c r="AZ228" i="15"/>
  <c r="AX228" i="15"/>
  <c r="C228" i="15"/>
  <c r="E229" i="15"/>
  <c r="P175" i="18"/>
  <c r="M176" i="18" s="1"/>
  <c r="N176" i="18" s="1"/>
  <c r="T175" i="18"/>
  <c r="S176" i="18" s="1"/>
  <c r="R175" i="18"/>
  <c r="Q176" i="18" s="1"/>
  <c r="AT176" i="18" s="1"/>
  <c r="AG229" i="3"/>
  <c r="AQ232" i="3"/>
  <c r="H229" i="3"/>
  <c r="AF228" i="3"/>
  <c r="AK228" i="3" s="1"/>
  <c r="A230" i="3"/>
  <c r="BI230" i="3" s="1"/>
  <c r="BJ230" i="3" s="1"/>
  <c r="AN232" i="3"/>
  <c r="AN233" i="3" s="1"/>
  <c r="BD228" i="3"/>
  <c r="AH229" i="3"/>
  <c r="AW232" i="3"/>
  <c r="AL229" i="3"/>
  <c r="BC228" i="3"/>
  <c r="AE229" i="3"/>
  <c r="G231" i="3"/>
  <c r="V230" i="3"/>
  <c r="X230" i="3" s="1"/>
  <c r="AV230" i="3"/>
  <c r="AX230" i="3" s="1"/>
  <c r="BB230" i="3" s="1"/>
  <c r="Y229" i="3"/>
  <c r="AC228" i="3"/>
  <c r="P232" i="3"/>
  <c r="P233" i="3" s="1"/>
  <c r="M90" i="29" l="1"/>
  <c r="N90" i="29"/>
  <c r="AQ89" i="29"/>
  <c r="AU89" i="29"/>
  <c r="AS89" i="29"/>
  <c r="AE190" i="25"/>
  <c r="AD191" i="25" s="1"/>
  <c r="AT190" i="25"/>
  <c r="T191" i="25"/>
  <c r="S191" i="25"/>
  <c r="W191" i="25" s="1"/>
  <c r="R192" i="25" s="1"/>
  <c r="G90" i="29"/>
  <c r="I90" i="29"/>
  <c r="O91" i="28"/>
  <c r="M91" i="28"/>
  <c r="P92" i="28"/>
  <c r="N91" i="28"/>
  <c r="AR232" i="3"/>
  <c r="AN230" i="20"/>
  <c r="P132" i="24"/>
  <c r="M133" i="24" s="1"/>
  <c r="Z134" i="25"/>
  <c r="Y134" i="25"/>
  <c r="AG134" i="25" s="1"/>
  <c r="AF135" i="25" s="1"/>
  <c r="K119" i="24"/>
  <c r="R119" i="24" s="1"/>
  <c r="Q120" i="24" s="1"/>
  <c r="AT120" i="24" s="1"/>
  <c r="J119" i="24"/>
  <c r="O227" i="15"/>
  <c r="O231" i="20"/>
  <c r="AQ230" i="20"/>
  <c r="AR230" i="20" s="1"/>
  <c r="P230" i="20"/>
  <c r="BG228" i="3"/>
  <c r="AJ227" i="3"/>
  <c r="BF227" i="3" s="1"/>
  <c r="K227" i="15"/>
  <c r="AC122" i="29"/>
  <c r="X123" i="29" s="1"/>
  <c r="AA123" i="29" s="1"/>
  <c r="AE123" i="29" s="1"/>
  <c r="AD124" i="29" s="1"/>
  <c r="AG122" i="29"/>
  <c r="AF123" i="29" s="1"/>
  <c r="AY225" i="29"/>
  <c r="H90" i="29"/>
  <c r="J91" i="29"/>
  <c r="AY226" i="26"/>
  <c r="T212" i="29"/>
  <c r="S212" i="29"/>
  <c r="W212" i="29" s="1"/>
  <c r="R213" i="29" s="1"/>
  <c r="U213" i="29" s="1"/>
  <c r="AX226" i="29"/>
  <c r="AZ226" i="29"/>
  <c r="C226" i="29"/>
  <c r="E227" i="29"/>
  <c r="J221" i="26"/>
  <c r="L221" i="26" s="1"/>
  <c r="I222" i="26" s="1"/>
  <c r="N175" i="26"/>
  <c r="P175" i="26" s="1"/>
  <c r="M176" i="26" s="1"/>
  <c r="F87" i="26"/>
  <c r="AL86" i="26"/>
  <c r="AI86" i="26"/>
  <c r="O226" i="26"/>
  <c r="K226" i="26"/>
  <c r="AS226" i="26"/>
  <c r="AU226" i="26"/>
  <c r="AQ226" i="26"/>
  <c r="AX227" i="26"/>
  <c r="C227" i="26"/>
  <c r="AZ227" i="26"/>
  <c r="E228" i="26"/>
  <c r="AY226" i="28"/>
  <c r="T186" i="28"/>
  <c r="S186" i="28"/>
  <c r="W186" i="28" s="1"/>
  <c r="R187" i="28" s="1"/>
  <c r="V187" i="28" s="1"/>
  <c r="J91" i="28"/>
  <c r="H90" i="28"/>
  <c r="AP90" i="28" s="1"/>
  <c r="G90" i="28"/>
  <c r="AI90" i="28" s="1"/>
  <c r="AC127" i="28"/>
  <c r="X128" i="28" s="1"/>
  <c r="AB128" i="28" s="1"/>
  <c r="AT185" i="28"/>
  <c r="AE185" i="28"/>
  <c r="AD186" i="28" s="1"/>
  <c r="C227" i="28"/>
  <c r="AX227" i="28"/>
  <c r="AZ227" i="28"/>
  <c r="E228" i="28"/>
  <c r="AY226" i="25"/>
  <c r="G111" i="25"/>
  <c r="K111" i="25" s="1"/>
  <c r="H111" i="25"/>
  <c r="J112" i="25"/>
  <c r="AR226" i="25"/>
  <c r="U226" i="25"/>
  <c r="V226" i="25"/>
  <c r="AA226" i="25"/>
  <c r="AB226" i="25"/>
  <c r="BA227" i="25"/>
  <c r="BB227" i="25"/>
  <c r="BC227" i="25"/>
  <c r="AY226" i="24"/>
  <c r="P109" i="25"/>
  <c r="N108" i="25"/>
  <c r="AP108" i="25" s="1"/>
  <c r="BD227" i="25"/>
  <c r="C227" i="25"/>
  <c r="AZ227" i="25"/>
  <c r="AX227" i="25"/>
  <c r="E228" i="25"/>
  <c r="AJ107" i="25"/>
  <c r="AK107" i="25" s="1"/>
  <c r="AW107" i="25" s="1"/>
  <c r="AX107" i="25" s="1"/>
  <c r="AY107" i="25" s="1"/>
  <c r="AQ226" i="24"/>
  <c r="AS226" i="24"/>
  <c r="AU226" i="24"/>
  <c r="F82" i="24"/>
  <c r="AI81" i="24"/>
  <c r="AJ81" i="24" s="1"/>
  <c r="AL81" i="24"/>
  <c r="AM81" i="24" s="1"/>
  <c r="AX227" i="24"/>
  <c r="C227" i="24"/>
  <c r="AZ227" i="24"/>
  <c r="E228" i="24"/>
  <c r="AQ228" i="15"/>
  <c r="AS228" i="15"/>
  <c r="AU228" i="15"/>
  <c r="G81" i="15"/>
  <c r="AR81" i="15" s="1"/>
  <c r="AW80" i="15"/>
  <c r="AX80" i="15" s="1"/>
  <c r="AY80" i="15" s="1"/>
  <c r="P189" i="15"/>
  <c r="M190" i="15" s="1"/>
  <c r="N190" i="15" s="1"/>
  <c r="AW89" i="28"/>
  <c r="AX89" i="28" s="1"/>
  <c r="AY89" i="28" s="1"/>
  <c r="M108" i="25"/>
  <c r="Q108" i="25" s="1"/>
  <c r="L109" i="25" s="1"/>
  <c r="O225" i="25"/>
  <c r="I225" i="25"/>
  <c r="AO63" i="19"/>
  <c r="K63" i="19"/>
  <c r="AS63" i="19" s="1"/>
  <c r="AI63" i="19"/>
  <c r="AJ63" i="19" s="1"/>
  <c r="AK63" i="19" s="1"/>
  <c r="AG136" i="17"/>
  <c r="AF137" i="17" s="1"/>
  <c r="AO71" i="17"/>
  <c r="AP71" i="17"/>
  <c r="Y137" i="17"/>
  <c r="AC137" i="17" s="1"/>
  <c r="X138" i="17" s="1"/>
  <c r="Z137" i="17"/>
  <c r="K71" i="17"/>
  <c r="AL71" i="17"/>
  <c r="AM71" i="17" s="1"/>
  <c r="AN71" i="17" s="1"/>
  <c r="AI71" i="17"/>
  <c r="AJ71" i="17" s="1"/>
  <c r="AK71" i="17" s="1"/>
  <c r="AC140" i="19"/>
  <c r="X141" i="19" s="1"/>
  <c r="L160" i="15"/>
  <c r="I161" i="15" s="1"/>
  <c r="J161" i="15" s="1"/>
  <c r="T160" i="15"/>
  <c r="S161" i="15" s="1"/>
  <c r="AT147" i="19"/>
  <c r="AE147" i="19"/>
  <c r="AD148" i="19" s="1"/>
  <c r="S148" i="19"/>
  <c r="W148" i="19" s="1"/>
  <c r="R149" i="19" s="1"/>
  <c r="T148" i="19"/>
  <c r="R160" i="15"/>
  <c r="Q161" i="15" s="1"/>
  <c r="AT161" i="15" s="1"/>
  <c r="N157" i="17"/>
  <c r="P158" i="17"/>
  <c r="M157" i="17"/>
  <c r="Q157" i="17" s="1"/>
  <c r="L158" i="17" s="1"/>
  <c r="N157" i="19"/>
  <c r="M157" i="19"/>
  <c r="Q157" i="19" s="1"/>
  <c r="L158" i="19" s="1"/>
  <c r="P158" i="19"/>
  <c r="AR227" i="19"/>
  <c r="AT155" i="17"/>
  <c r="AE155" i="17"/>
  <c r="AD156" i="17" s="1"/>
  <c r="T156" i="17"/>
  <c r="S156" i="17"/>
  <c r="W156" i="17" s="1"/>
  <c r="R157" i="17" s="1"/>
  <c r="U228" i="17"/>
  <c r="AB228" i="17"/>
  <c r="I228" i="17"/>
  <c r="AA228" i="19"/>
  <c r="I228" i="19"/>
  <c r="AA228" i="17"/>
  <c r="U228" i="19"/>
  <c r="V228" i="17"/>
  <c r="O228" i="19"/>
  <c r="O228" i="17"/>
  <c r="AB228" i="19"/>
  <c r="V228" i="19"/>
  <c r="AZ228" i="19"/>
  <c r="E229" i="19"/>
  <c r="AX228" i="19"/>
  <c r="C228" i="19"/>
  <c r="AY227" i="19"/>
  <c r="C228" i="16"/>
  <c r="BD228" i="16"/>
  <c r="AX228" i="16"/>
  <c r="AZ228" i="16"/>
  <c r="E229" i="16"/>
  <c r="AY226" i="17"/>
  <c r="AY226" i="18"/>
  <c r="AY227" i="16"/>
  <c r="L225" i="18"/>
  <c r="I226" i="18" s="1"/>
  <c r="J226" i="18" s="1"/>
  <c r="AR227" i="16"/>
  <c r="AX227" i="17"/>
  <c r="C227" i="17"/>
  <c r="E228" i="17"/>
  <c r="AZ227" i="17"/>
  <c r="AS226" i="18"/>
  <c r="AU226" i="18"/>
  <c r="K226" i="18"/>
  <c r="AQ226" i="18"/>
  <c r="O226" i="18"/>
  <c r="AX227" i="18"/>
  <c r="AZ227" i="18"/>
  <c r="C227" i="18"/>
  <c r="E228" i="18"/>
  <c r="AL109" i="18"/>
  <c r="AM109" i="18" s="1"/>
  <c r="AN109" i="18" s="1"/>
  <c r="AI109" i="18"/>
  <c r="AJ109" i="18" s="1"/>
  <c r="AK109" i="18" s="1"/>
  <c r="H110" i="18"/>
  <c r="AY228" i="15"/>
  <c r="E230" i="15"/>
  <c r="C229" i="15"/>
  <c r="AX229" i="15"/>
  <c r="AZ229" i="15"/>
  <c r="R176" i="18"/>
  <c r="Q177" i="18" s="1"/>
  <c r="AT177" i="18" s="1"/>
  <c r="Y230" i="3"/>
  <c r="AC229" i="3"/>
  <c r="AE230" i="3"/>
  <c r="BC229" i="3"/>
  <c r="AW233" i="3"/>
  <c r="AW234" i="3"/>
  <c r="AD228" i="3"/>
  <c r="AJ228" i="3" s="1"/>
  <c r="H230" i="3"/>
  <c r="AF229" i="3"/>
  <c r="AD229" i="3" s="1"/>
  <c r="AG230" i="3"/>
  <c r="P234" i="3"/>
  <c r="AM230" i="3"/>
  <c r="AV231" i="3"/>
  <c r="AX231" i="3" s="1"/>
  <c r="BB231" i="3" s="1"/>
  <c r="G232" i="3"/>
  <c r="V231" i="3"/>
  <c r="X231" i="3" s="1"/>
  <c r="AL230" i="3"/>
  <c r="AH230" i="3"/>
  <c r="BD229" i="3"/>
  <c r="A231" i="3"/>
  <c r="BI231" i="3" s="1"/>
  <c r="BJ231" i="3" s="1"/>
  <c r="AQ234" i="3"/>
  <c r="AQ233" i="3"/>
  <c r="AW89" i="29" l="1"/>
  <c r="AX89" i="29" s="1"/>
  <c r="AY89" i="29" s="1"/>
  <c r="AP90" i="29"/>
  <c r="AI90" i="29"/>
  <c r="AJ90" i="29" s="1"/>
  <c r="AK90" i="29" s="1"/>
  <c r="AT191" i="25"/>
  <c r="AE191" i="25"/>
  <c r="AD192" i="25" s="1"/>
  <c r="T192" i="25"/>
  <c r="S192" i="25"/>
  <c r="W192" i="25" s="1"/>
  <c r="R193" i="25" s="1"/>
  <c r="AT124" i="29"/>
  <c r="AR90" i="29"/>
  <c r="Q90" i="29"/>
  <c r="L91" i="29" s="1"/>
  <c r="K90" i="29"/>
  <c r="F91" i="29" s="1"/>
  <c r="AL90" i="29"/>
  <c r="AM90" i="29" s="1"/>
  <c r="AN90" i="29" s="1"/>
  <c r="AR233" i="3"/>
  <c r="AR234" i="3" s="1"/>
  <c r="AN231" i="20"/>
  <c r="L119" i="24"/>
  <c r="I120" i="24" s="1"/>
  <c r="T119" i="24"/>
  <c r="S120" i="24" s="1"/>
  <c r="AC134" i="25"/>
  <c r="X135" i="25" s="1"/>
  <c r="O133" i="24"/>
  <c r="N133" i="24"/>
  <c r="AQ231" i="20"/>
  <c r="AR231" i="20" s="1"/>
  <c r="O232" i="20"/>
  <c r="P231" i="20"/>
  <c r="AK229" i="3"/>
  <c r="BG229" i="3" s="1"/>
  <c r="K228" i="15"/>
  <c r="O228" i="15"/>
  <c r="Z123" i="29"/>
  <c r="Y123" i="29"/>
  <c r="AG123" i="29" s="1"/>
  <c r="AF124" i="29" s="1"/>
  <c r="AO90" i="29"/>
  <c r="T213" i="29"/>
  <c r="S213" i="29"/>
  <c r="W213" i="29" s="1"/>
  <c r="R214" i="29" s="1"/>
  <c r="U214" i="29" s="1"/>
  <c r="AY227" i="28"/>
  <c r="AY226" i="29"/>
  <c r="AZ227" i="29"/>
  <c r="C227" i="29"/>
  <c r="AX227" i="29"/>
  <c r="E228" i="29"/>
  <c r="AJ86" i="26"/>
  <c r="AK86" i="26" s="1"/>
  <c r="N176" i="26"/>
  <c r="P176" i="26" s="1"/>
  <c r="M177" i="26" s="1"/>
  <c r="R175" i="26"/>
  <c r="Q176" i="26" s="1"/>
  <c r="T175" i="26"/>
  <c r="S176" i="26" s="1"/>
  <c r="G87" i="26"/>
  <c r="AR87" i="26" s="1"/>
  <c r="AY227" i="26"/>
  <c r="J222" i="26"/>
  <c r="L222" i="26" s="1"/>
  <c r="I223" i="26" s="1"/>
  <c r="K227" i="26"/>
  <c r="O227" i="26"/>
  <c r="AQ227" i="26"/>
  <c r="AS227" i="26"/>
  <c r="AU227" i="26"/>
  <c r="AM86" i="26"/>
  <c r="AN86" i="26" s="1"/>
  <c r="AX228" i="26"/>
  <c r="C228" i="26"/>
  <c r="AZ228" i="26"/>
  <c r="E229" i="26"/>
  <c r="AY227" i="24"/>
  <c r="T187" i="28"/>
  <c r="S187" i="28"/>
  <c r="W187" i="28" s="1"/>
  <c r="R188" i="28" s="1"/>
  <c r="V188" i="28" s="1"/>
  <c r="AT186" i="28"/>
  <c r="AE186" i="28"/>
  <c r="AD187" i="28" s="1"/>
  <c r="AO90" i="28"/>
  <c r="AL90" i="28"/>
  <c r="Z128" i="28"/>
  <c r="Y128" i="28"/>
  <c r="AC128" i="28" s="1"/>
  <c r="X129" i="28" s="1"/>
  <c r="AB129" i="28" s="1"/>
  <c r="AX228" i="28"/>
  <c r="AZ228" i="28"/>
  <c r="C228" i="28"/>
  <c r="E229" i="28"/>
  <c r="AK81" i="24"/>
  <c r="AN81" i="24"/>
  <c r="F112" i="25"/>
  <c r="BA228" i="25"/>
  <c r="BB228" i="25"/>
  <c r="BC228" i="25"/>
  <c r="AO108" i="25"/>
  <c r="AL108" i="25"/>
  <c r="AR227" i="25"/>
  <c r="U227" i="25"/>
  <c r="V227" i="25"/>
  <c r="AA227" i="25"/>
  <c r="AB227" i="25"/>
  <c r="AU108" i="25"/>
  <c r="AQ108" i="25"/>
  <c r="AS108" i="25"/>
  <c r="AY227" i="25"/>
  <c r="AI108" i="25"/>
  <c r="P110" i="25"/>
  <c r="N109" i="25"/>
  <c r="AP109" i="25" s="1"/>
  <c r="C228" i="25"/>
  <c r="AX228" i="25"/>
  <c r="AZ228" i="25"/>
  <c r="BD228" i="25"/>
  <c r="E229" i="25"/>
  <c r="AQ227" i="24"/>
  <c r="AS227" i="24"/>
  <c r="AU227" i="24"/>
  <c r="AX228" i="24"/>
  <c r="C228" i="24"/>
  <c r="AZ228" i="24"/>
  <c r="E229" i="24"/>
  <c r="G82" i="24"/>
  <c r="AR82" i="24" s="1"/>
  <c r="AS229" i="15"/>
  <c r="AU229" i="15"/>
  <c r="O229" i="15"/>
  <c r="AQ229" i="15"/>
  <c r="K229" i="15"/>
  <c r="H81" i="15"/>
  <c r="P190" i="15"/>
  <c r="M191" i="15" s="1"/>
  <c r="N191" i="15" s="1"/>
  <c r="K90" i="28"/>
  <c r="M109" i="25"/>
  <c r="AL109" i="25" s="1"/>
  <c r="O226" i="25"/>
  <c r="I226" i="25"/>
  <c r="BF228" i="3"/>
  <c r="AJ229" i="3"/>
  <c r="BF229" i="3" s="1"/>
  <c r="F64" i="19"/>
  <c r="J65" i="19" s="1"/>
  <c r="AQ63" i="19"/>
  <c r="AU63" i="19"/>
  <c r="Z138" i="17"/>
  <c r="Y138" i="17"/>
  <c r="AC138" i="17" s="1"/>
  <c r="X139" i="17" s="1"/>
  <c r="F72" i="17"/>
  <c r="AS71" i="17"/>
  <c r="AU71" i="17"/>
  <c r="AQ71" i="17"/>
  <c r="AG137" i="17"/>
  <c r="AF138" i="17" s="1"/>
  <c r="Z141" i="19"/>
  <c r="Y141" i="19"/>
  <c r="L226" i="18"/>
  <c r="I227" i="18" s="1"/>
  <c r="J227" i="18" s="1"/>
  <c r="T161" i="15"/>
  <c r="S162" i="15" s="1"/>
  <c r="AR228" i="19"/>
  <c r="L161" i="15"/>
  <c r="I162" i="15" s="1"/>
  <c r="J162" i="15" s="1"/>
  <c r="AT148" i="19"/>
  <c r="AE148" i="19"/>
  <c r="AD149" i="19" s="1"/>
  <c r="S149" i="19"/>
  <c r="W149" i="19" s="1"/>
  <c r="R150" i="19" s="1"/>
  <c r="T149" i="19"/>
  <c r="AI228" i="3"/>
  <c r="BE228" i="3" s="1"/>
  <c r="N158" i="17"/>
  <c r="M158" i="17"/>
  <c r="Q158" i="17" s="1"/>
  <c r="L159" i="17" s="1"/>
  <c r="P159" i="17"/>
  <c r="AA229" i="17"/>
  <c r="I229" i="17"/>
  <c r="AB229" i="17"/>
  <c r="O229" i="17"/>
  <c r="AB229" i="19"/>
  <c r="O229" i="19"/>
  <c r="I229" i="19"/>
  <c r="AA229" i="19"/>
  <c r="U229" i="19"/>
  <c r="V229" i="17"/>
  <c r="V229" i="19"/>
  <c r="U229" i="17"/>
  <c r="AT156" i="17"/>
  <c r="AE156" i="17"/>
  <c r="AD157" i="17" s="1"/>
  <c r="P159" i="19"/>
  <c r="N158" i="19"/>
  <c r="M158" i="19"/>
  <c r="Q158" i="19" s="1"/>
  <c r="L159" i="19" s="1"/>
  <c r="T157" i="17"/>
  <c r="S157" i="17"/>
  <c r="W157" i="17" s="1"/>
  <c r="R158" i="17" s="1"/>
  <c r="R161" i="15"/>
  <c r="Q162" i="15" s="1"/>
  <c r="AT162" i="15" s="1"/>
  <c r="AY228" i="19"/>
  <c r="E230" i="19"/>
  <c r="AX229" i="19"/>
  <c r="AZ229" i="19"/>
  <c r="C229" i="19"/>
  <c r="AY227" i="17"/>
  <c r="AR228" i="16"/>
  <c r="BD229" i="16"/>
  <c r="E230" i="16"/>
  <c r="AZ229" i="16"/>
  <c r="C229" i="16"/>
  <c r="AX229" i="16"/>
  <c r="AY227" i="18"/>
  <c r="AY228" i="16"/>
  <c r="E229" i="17"/>
  <c r="AZ228" i="17"/>
  <c r="AX228" i="17"/>
  <c r="C228" i="17"/>
  <c r="E229" i="18"/>
  <c r="AZ228" i="18"/>
  <c r="AX228" i="18"/>
  <c r="C228" i="18"/>
  <c r="AS227" i="18"/>
  <c r="AU227" i="18"/>
  <c r="AQ227" i="18"/>
  <c r="O227" i="18"/>
  <c r="K227" i="18"/>
  <c r="AW109" i="18"/>
  <c r="AX109" i="18" s="1"/>
  <c r="AY109" i="18" s="1"/>
  <c r="AX230" i="15"/>
  <c r="AZ230" i="15"/>
  <c r="C230" i="15"/>
  <c r="E231" i="15"/>
  <c r="F111" i="18"/>
  <c r="AI110" i="18"/>
  <c r="AL110" i="18"/>
  <c r="AM110" i="18" s="1"/>
  <c r="AN110" i="18" s="1"/>
  <c r="AY229" i="15"/>
  <c r="P176" i="18"/>
  <c r="M177" i="18" s="1"/>
  <c r="N177" i="18" s="1"/>
  <c r="T176" i="18"/>
  <c r="S177" i="18" s="1"/>
  <c r="G233" i="3"/>
  <c r="V232" i="3"/>
  <c r="X232" i="3" s="1"/>
  <c r="AV232" i="3"/>
  <c r="AX232" i="3" s="1"/>
  <c r="BB232" i="3" s="1"/>
  <c r="AM231" i="3"/>
  <c r="H231" i="3"/>
  <c r="AF230" i="3"/>
  <c r="AK230" i="3" s="1"/>
  <c r="AE231" i="3"/>
  <c r="BC230" i="3"/>
  <c r="BD230" i="3"/>
  <c r="AH231" i="3"/>
  <c r="AN234" i="3"/>
  <c r="AI229" i="3"/>
  <c r="BE229" i="3" s="1"/>
  <c r="A232" i="3"/>
  <c r="BI232" i="3" s="1"/>
  <c r="BJ232" i="3" s="1"/>
  <c r="AL231" i="3"/>
  <c r="AG231" i="3"/>
  <c r="Y231" i="3"/>
  <c r="AC230" i="3"/>
  <c r="AT192" i="25" l="1"/>
  <c r="AE192" i="25"/>
  <c r="AD193" i="25" s="1"/>
  <c r="S193" i="25"/>
  <c r="W193" i="25" s="1"/>
  <c r="R194" i="25" s="1"/>
  <c r="T193" i="25"/>
  <c r="M91" i="29"/>
  <c r="O91" i="29"/>
  <c r="N91" i="29"/>
  <c r="P92" i="29"/>
  <c r="J92" i="29"/>
  <c r="I91" i="29"/>
  <c r="AR91" i="29" s="1"/>
  <c r="H91" i="29"/>
  <c r="G91" i="29"/>
  <c r="AQ90" i="29"/>
  <c r="AS90" i="29"/>
  <c r="AU90" i="29"/>
  <c r="AN232" i="20"/>
  <c r="P133" i="24"/>
  <c r="M134" i="24" s="1"/>
  <c r="Z135" i="25"/>
  <c r="Y135" i="25"/>
  <c r="AG135" i="25" s="1"/>
  <c r="AF136" i="25" s="1"/>
  <c r="K120" i="24"/>
  <c r="R120" i="24" s="1"/>
  <c r="Q121" i="24" s="1"/>
  <c r="J120" i="24"/>
  <c r="BG230" i="3"/>
  <c r="P232" i="20"/>
  <c r="O233" i="20"/>
  <c r="AQ232" i="20"/>
  <c r="AR232" i="20" s="1"/>
  <c r="AC123" i="29"/>
  <c r="X124" i="29" s="1"/>
  <c r="AA124" i="29" s="1"/>
  <c r="AE124" i="29" s="1"/>
  <c r="AD125" i="29" s="1"/>
  <c r="T214" i="29"/>
  <c r="S214" i="29"/>
  <c r="W214" i="29" s="1"/>
  <c r="R215" i="29" s="1"/>
  <c r="U215" i="29" s="1"/>
  <c r="AY227" i="29"/>
  <c r="C228" i="29"/>
  <c r="AX228" i="29"/>
  <c r="AZ228" i="29"/>
  <c r="E229" i="29"/>
  <c r="T176" i="26"/>
  <c r="S177" i="26" s="1"/>
  <c r="J223" i="26"/>
  <c r="L223" i="26" s="1"/>
  <c r="I224" i="26" s="1"/>
  <c r="O228" i="26"/>
  <c r="AQ228" i="26"/>
  <c r="AS228" i="26"/>
  <c r="AU228" i="26"/>
  <c r="K228" i="26"/>
  <c r="N177" i="26"/>
  <c r="P177" i="26" s="1"/>
  <c r="M178" i="26" s="1"/>
  <c r="AT176" i="26"/>
  <c r="R176" i="26"/>
  <c r="Q177" i="26" s="1"/>
  <c r="AW86" i="26"/>
  <c r="AX86" i="26" s="1"/>
  <c r="AY86" i="26" s="1"/>
  <c r="H87" i="26"/>
  <c r="AZ229" i="26"/>
  <c r="C229" i="26"/>
  <c r="AX229" i="26"/>
  <c r="E230" i="26"/>
  <c r="AY228" i="26"/>
  <c r="T188" i="28"/>
  <c r="S188" i="28"/>
  <c r="W188" i="28" s="1"/>
  <c r="R189" i="28" s="1"/>
  <c r="V189" i="28" s="1"/>
  <c r="Z129" i="28"/>
  <c r="Y129" i="28"/>
  <c r="AC129" i="28" s="1"/>
  <c r="X130" i="28" s="1"/>
  <c r="AB130" i="28" s="1"/>
  <c r="AT187" i="28"/>
  <c r="AE187" i="28"/>
  <c r="AD188" i="28" s="1"/>
  <c r="AG128" i="28"/>
  <c r="AF129" i="28" s="1"/>
  <c r="AQ90" i="28"/>
  <c r="AS90" i="28"/>
  <c r="AU90" i="28"/>
  <c r="AY228" i="25"/>
  <c r="AY228" i="28"/>
  <c r="F91" i="28"/>
  <c r="I91" i="28" s="1"/>
  <c r="Q91" i="28" s="1"/>
  <c r="L92" i="28" s="1"/>
  <c r="C229" i="28"/>
  <c r="AX229" i="28"/>
  <c r="AZ229" i="28"/>
  <c r="E230" i="28"/>
  <c r="AM90" i="28"/>
  <c r="AN90" i="28" s="1"/>
  <c r="AJ90" i="28"/>
  <c r="AK90" i="28" s="1"/>
  <c r="AW81" i="24"/>
  <c r="AX81" i="24" s="1"/>
  <c r="AY81" i="24" s="1"/>
  <c r="G112" i="25"/>
  <c r="K112" i="25" s="1"/>
  <c r="J113" i="25"/>
  <c r="H112" i="25"/>
  <c r="AO109" i="25"/>
  <c r="AR228" i="25"/>
  <c r="U228" i="25"/>
  <c r="V228" i="25"/>
  <c r="AA228" i="25"/>
  <c r="AB228" i="25"/>
  <c r="BA229" i="25"/>
  <c r="BB229" i="25"/>
  <c r="BC229" i="25"/>
  <c r="AZ229" i="25"/>
  <c r="BD229" i="25"/>
  <c r="C229" i="25"/>
  <c r="AX229" i="25"/>
  <c r="E230" i="25"/>
  <c r="AM108" i="25"/>
  <c r="AN108" i="25" s="1"/>
  <c r="AM109" i="25"/>
  <c r="AN109" i="25" s="1"/>
  <c r="AJ108" i="25"/>
  <c r="AK108" i="25" s="1"/>
  <c r="AQ228" i="24"/>
  <c r="AS228" i="24"/>
  <c r="AU228" i="24"/>
  <c r="AZ229" i="24"/>
  <c r="C229" i="24"/>
  <c r="AX229" i="24"/>
  <c r="E230" i="24"/>
  <c r="AY228" i="24"/>
  <c r="H82" i="24"/>
  <c r="F82" i="15"/>
  <c r="AI81" i="15"/>
  <c r="AJ81" i="15" s="1"/>
  <c r="AK81" i="15" s="1"/>
  <c r="AL81" i="15"/>
  <c r="AM81" i="15" s="1"/>
  <c r="AN81" i="15" s="1"/>
  <c r="AQ230" i="15"/>
  <c r="AS230" i="15"/>
  <c r="AU230" i="15"/>
  <c r="P191" i="15"/>
  <c r="M192" i="15" s="1"/>
  <c r="N192" i="15" s="1"/>
  <c r="Q109" i="25"/>
  <c r="O227" i="25"/>
  <c r="I227" i="25"/>
  <c r="AD230" i="3"/>
  <c r="AI230" i="3" s="1"/>
  <c r="BE230" i="3" s="1"/>
  <c r="H64" i="19"/>
  <c r="AP64" i="19" s="1"/>
  <c r="G64" i="19"/>
  <c r="AL64" i="19" s="1"/>
  <c r="AM64" i="19" s="1"/>
  <c r="AN64" i="19" s="1"/>
  <c r="AW63" i="19"/>
  <c r="AX63" i="19" s="1"/>
  <c r="AY63" i="19" s="1"/>
  <c r="AW71" i="17"/>
  <c r="AX71" i="17" s="1"/>
  <c r="AY71" i="17" s="1"/>
  <c r="AG138" i="17"/>
  <c r="AF139" i="17" s="1"/>
  <c r="AM232" i="3"/>
  <c r="H72" i="17"/>
  <c r="J73" i="17"/>
  <c r="G72" i="17"/>
  <c r="AI72" i="17" s="1"/>
  <c r="AJ72" i="17" s="1"/>
  <c r="AK72" i="17" s="1"/>
  <c r="Y139" i="17"/>
  <c r="AC139" i="17" s="1"/>
  <c r="X140" i="17" s="1"/>
  <c r="Z139" i="17"/>
  <c r="T162" i="15"/>
  <c r="S163" i="15" s="1"/>
  <c r="AC141" i="19"/>
  <c r="X142" i="19" s="1"/>
  <c r="AG141" i="19"/>
  <c r="AF142" i="19" s="1"/>
  <c r="L162" i="15"/>
  <c r="I163" i="15" s="1"/>
  <c r="J163" i="15" s="1"/>
  <c r="S150" i="19"/>
  <c r="W150" i="19" s="1"/>
  <c r="R151" i="19" s="1"/>
  <c r="T150" i="19"/>
  <c r="AT149" i="19"/>
  <c r="AE149" i="19"/>
  <c r="AD150" i="19" s="1"/>
  <c r="AY229" i="16"/>
  <c r="U230" i="17"/>
  <c r="AB230" i="17"/>
  <c r="AA230" i="17"/>
  <c r="O230" i="17"/>
  <c r="U230" i="19"/>
  <c r="V230" i="17"/>
  <c r="AA230" i="19"/>
  <c r="I230" i="17"/>
  <c r="V230" i="19"/>
  <c r="O230" i="19"/>
  <c r="I230" i="19"/>
  <c r="AB230" i="19"/>
  <c r="N159" i="19"/>
  <c r="M159" i="19"/>
  <c r="Q159" i="19" s="1"/>
  <c r="L160" i="19" s="1"/>
  <c r="P160" i="19"/>
  <c r="R162" i="15"/>
  <c r="Q163" i="15" s="1"/>
  <c r="AT163" i="15" s="1"/>
  <c r="P160" i="17"/>
  <c r="M159" i="17"/>
  <c r="Q159" i="17" s="1"/>
  <c r="L160" i="17" s="1"/>
  <c r="N159" i="17"/>
  <c r="AR229" i="19"/>
  <c r="S158" i="17"/>
  <c r="W158" i="17" s="1"/>
  <c r="R159" i="17" s="1"/>
  <c r="T158" i="17"/>
  <c r="AT157" i="17"/>
  <c r="AE157" i="17"/>
  <c r="AD158" i="17" s="1"/>
  <c r="AY229" i="19"/>
  <c r="AZ230" i="19"/>
  <c r="E231" i="19"/>
  <c r="AX230" i="19"/>
  <c r="C230" i="19"/>
  <c r="L227" i="18"/>
  <c r="I228" i="18" s="1"/>
  <c r="J228" i="18" s="1"/>
  <c r="AR229" i="16"/>
  <c r="AY228" i="18"/>
  <c r="AY228" i="17"/>
  <c r="AZ230" i="16"/>
  <c r="E231" i="16"/>
  <c r="C230" i="16"/>
  <c r="AX230" i="16"/>
  <c r="BD230" i="16"/>
  <c r="AQ228" i="18"/>
  <c r="K228" i="18"/>
  <c r="AS228" i="18"/>
  <c r="O228" i="18"/>
  <c r="AU228" i="18"/>
  <c r="AZ229" i="18"/>
  <c r="C229" i="18"/>
  <c r="E230" i="18"/>
  <c r="AX229" i="18"/>
  <c r="AX229" i="17"/>
  <c r="C229" i="17"/>
  <c r="E230" i="17"/>
  <c r="AZ229" i="17"/>
  <c r="AY230" i="15"/>
  <c r="AZ231" i="15"/>
  <c r="E232" i="15"/>
  <c r="C231" i="15"/>
  <c r="AX231" i="15"/>
  <c r="AJ110" i="18"/>
  <c r="AK110" i="18" s="1"/>
  <c r="AW110" i="18" s="1"/>
  <c r="AX110" i="18" s="1"/>
  <c r="AY110" i="18" s="1"/>
  <c r="G111" i="18"/>
  <c r="AR111" i="18" s="1"/>
  <c r="P177" i="18"/>
  <c r="M178" i="18" s="1"/>
  <c r="N178" i="18" s="1"/>
  <c r="R177" i="18"/>
  <c r="Q178" i="18" s="1"/>
  <c r="AT178" i="18" s="1"/>
  <c r="Y232" i="3"/>
  <c r="AC231" i="3"/>
  <c r="A233" i="3"/>
  <c r="BI233" i="3" s="1"/>
  <c r="BJ233" i="3" s="1"/>
  <c r="BD231" i="3"/>
  <c r="AH232" i="3"/>
  <c r="AE232" i="3"/>
  <c r="BC231" i="3"/>
  <c r="AG232" i="3"/>
  <c r="AL232" i="3"/>
  <c r="H232" i="3"/>
  <c r="AF231" i="3"/>
  <c r="AD231" i="3" s="1"/>
  <c r="AV233" i="3"/>
  <c r="AX233" i="3" s="1"/>
  <c r="BB233" i="3" s="1"/>
  <c r="G234" i="3"/>
  <c r="V233" i="3"/>
  <c r="X233" i="3" s="1"/>
  <c r="AT193" i="25" l="1"/>
  <c r="AE193" i="25"/>
  <c r="AD194" i="25" s="1"/>
  <c r="S194" i="25"/>
  <c r="W194" i="25" s="1"/>
  <c r="R195" i="25" s="1"/>
  <c r="T194" i="25"/>
  <c r="AW90" i="29"/>
  <c r="AX90" i="29" s="1"/>
  <c r="AY90" i="29" s="1"/>
  <c r="Q91" i="29"/>
  <c r="L92" i="29" s="1"/>
  <c r="M92" i="29" s="1"/>
  <c r="O92" i="29"/>
  <c r="AP91" i="29"/>
  <c r="AI91" i="29"/>
  <c r="AJ91" i="29" s="1"/>
  <c r="AK91" i="29" s="1"/>
  <c r="O92" i="28"/>
  <c r="M92" i="28"/>
  <c r="P93" i="28"/>
  <c r="N92" i="28"/>
  <c r="AT125" i="29"/>
  <c r="AO91" i="29"/>
  <c r="AL91" i="29"/>
  <c r="AM91" i="29" s="1"/>
  <c r="AN91" i="29" s="1"/>
  <c r="K91" i="29"/>
  <c r="AN233" i="20"/>
  <c r="T120" i="24"/>
  <c r="S121" i="24" s="1"/>
  <c r="L120" i="24"/>
  <c r="I121" i="24" s="1"/>
  <c r="AC135" i="25"/>
  <c r="X136" i="25" s="1"/>
  <c r="O134" i="24"/>
  <c r="N134" i="24"/>
  <c r="P233" i="20"/>
  <c r="O230" i="15"/>
  <c r="K230" i="15"/>
  <c r="O234" i="20"/>
  <c r="AQ234" i="20" s="1"/>
  <c r="AQ233" i="20"/>
  <c r="AR233" i="20" s="1"/>
  <c r="AK231" i="3"/>
  <c r="BG231" i="3" s="1"/>
  <c r="AY228" i="29"/>
  <c r="Z124" i="29"/>
  <c r="Y124" i="29"/>
  <c r="AG124" i="29" s="1"/>
  <c r="AF125" i="29" s="1"/>
  <c r="T215" i="29"/>
  <c r="S215" i="29"/>
  <c r="W215" i="29" s="1"/>
  <c r="R216" i="29" s="1"/>
  <c r="U216" i="29" s="1"/>
  <c r="AX229" i="29"/>
  <c r="AZ229" i="29"/>
  <c r="C229" i="29"/>
  <c r="E230" i="29"/>
  <c r="T177" i="26"/>
  <c r="S178" i="26" s="1"/>
  <c r="AY229" i="26"/>
  <c r="N178" i="26"/>
  <c r="J224" i="26"/>
  <c r="L224" i="26" s="1"/>
  <c r="I225" i="26" s="1"/>
  <c r="F88" i="26"/>
  <c r="AI87" i="26"/>
  <c r="AL87" i="26"/>
  <c r="AS229" i="26"/>
  <c r="AU229" i="26"/>
  <c r="AQ229" i="26"/>
  <c r="K229" i="26"/>
  <c r="O229" i="26"/>
  <c r="AT177" i="26"/>
  <c r="R177" i="26"/>
  <c r="Q178" i="26" s="1"/>
  <c r="AX230" i="26"/>
  <c r="C230" i="26"/>
  <c r="AZ230" i="26"/>
  <c r="E231" i="26"/>
  <c r="AG129" i="28"/>
  <c r="AF130" i="28" s="1"/>
  <c r="T189" i="28"/>
  <c r="S189" i="28"/>
  <c r="W189" i="28" s="1"/>
  <c r="R190" i="28" s="1"/>
  <c r="V190" i="28" s="1"/>
  <c r="Z130" i="28"/>
  <c r="Y130" i="28"/>
  <c r="AT188" i="28"/>
  <c r="AE188" i="28"/>
  <c r="AD189" i="28" s="1"/>
  <c r="H91" i="28"/>
  <c r="AP91" i="28" s="1"/>
  <c r="J92" i="28"/>
  <c r="G91" i="28"/>
  <c r="AI91" i="28" s="1"/>
  <c r="AY229" i="28"/>
  <c r="AX230" i="28"/>
  <c r="AZ230" i="28"/>
  <c r="C230" i="28"/>
  <c r="E231" i="28"/>
  <c r="AW81" i="15"/>
  <c r="AX81" i="15" s="1"/>
  <c r="AY81" i="15" s="1"/>
  <c r="F113" i="25"/>
  <c r="BA230" i="25"/>
  <c r="BB230" i="25"/>
  <c r="BC230" i="25"/>
  <c r="AW108" i="25"/>
  <c r="AX108" i="25" s="1"/>
  <c r="AY108" i="25" s="1"/>
  <c r="AU109" i="25"/>
  <c r="AI109" i="25"/>
  <c r="AQ109" i="25"/>
  <c r="AS109" i="25"/>
  <c r="AR229" i="25"/>
  <c r="AA229" i="25"/>
  <c r="U229" i="25"/>
  <c r="V229" i="25"/>
  <c r="AB229" i="25"/>
  <c r="L110" i="25"/>
  <c r="AY229" i="25"/>
  <c r="C230" i="25"/>
  <c r="AX230" i="25"/>
  <c r="AZ230" i="25"/>
  <c r="BD230" i="25"/>
  <c r="E231" i="25"/>
  <c r="AX230" i="24"/>
  <c r="C230" i="24"/>
  <c r="AZ230" i="24"/>
  <c r="E231" i="24"/>
  <c r="AT121" i="24"/>
  <c r="F83" i="24"/>
  <c r="AL82" i="24"/>
  <c r="AM82" i="24" s="1"/>
  <c r="AI82" i="24"/>
  <c r="AJ82" i="24" s="1"/>
  <c r="AQ229" i="24"/>
  <c r="AS229" i="24"/>
  <c r="AU229" i="24"/>
  <c r="AY229" i="24"/>
  <c r="G82" i="15"/>
  <c r="AR82" i="15" s="1"/>
  <c r="K231" i="15"/>
  <c r="O231" i="15"/>
  <c r="AQ231" i="15"/>
  <c r="AS231" i="15"/>
  <c r="AU231" i="15"/>
  <c r="P192" i="15"/>
  <c r="M193" i="15" s="1"/>
  <c r="N193" i="15" s="1"/>
  <c r="AW90" i="28"/>
  <c r="AX90" i="28" s="1"/>
  <c r="AY90" i="28" s="1"/>
  <c r="O228" i="25"/>
  <c r="I228" i="25"/>
  <c r="AJ230" i="3"/>
  <c r="BF230" i="3" s="1"/>
  <c r="AJ231" i="3"/>
  <c r="BF231" i="3" s="1"/>
  <c r="AO64" i="19"/>
  <c r="AI64" i="19"/>
  <c r="AJ64" i="19" s="1"/>
  <c r="AK64" i="19" s="1"/>
  <c r="K64" i="19"/>
  <c r="F65" i="19" s="1"/>
  <c r="AL72" i="17"/>
  <c r="AM72" i="17" s="1"/>
  <c r="AN72" i="17" s="1"/>
  <c r="Y140" i="17"/>
  <c r="AC140" i="17" s="1"/>
  <c r="X141" i="17" s="1"/>
  <c r="Z140" i="17"/>
  <c r="AG139" i="17"/>
  <c r="AF140" i="17" s="1"/>
  <c r="K72" i="17"/>
  <c r="AP72" i="17"/>
  <c r="AO72" i="17"/>
  <c r="T163" i="15"/>
  <c r="S164" i="15" s="1"/>
  <c r="Z142" i="19"/>
  <c r="Y142" i="19"/>
  <c r="AC142" i="19" s="1"/>
  <c r="X143" i="19" s="1"/>
  <c r="T151" i="19"/>
  <c r="S151" i="19"/>
  <c r="W151" i="19" s="1"/>
  <c r="R152" i="19" s="1"/>
  <c r="AT150" i="19"/>
  <c r="AE150" i="19"/>
  <c r="AD151" i="19" s="1"/>
  <c r="L163" i="15"/>
  <c r="I164" i="15" s="1"/>
  <c r="J164" i="15" s="1"/>
  <c r="M160" i="19"/>
  <c r="Q160" i="19" s="1"/>
  <c r="L161" i="19" s="1"/>
  <c r="N160" i="19"/>
  <c r="P161" i="19"/>
  <c r="AR230" i="19"/>
  <c r="R163" i="15"/>
  <c r="Q164" i="15" s="1"/>
  <c r="AT164" i="15" s="1"/>
  <c r="AA231" i="17"/>
  <c r="I231" i="17"/>
  <c r="AB231" i="17"/>
  <c r="V231" i="17"/>
  <c r="V231" i="19"/>
  <c r="O231" i="19"/>
  <c r="AB231" i="19"/>
  <c r="I231" i="19"/>
  <c r="O231" i="17"/>
  <c r="AA231" i="19"/>
  <c r="U231" i="19"/>
  <c r="U231" i="17"/>
  <c r="S159" i="17"/>
  <c r="W159" i="17" s="1"/>
  <c r="R160" i="17" s="1"/>
  <c r="T159" i="17"/>
  <c r="P161" i="17"/>
  <c r="N160" i="17"/>
  <c r="M160" i="17"/>
  <c r="Q160" i="17" s="1"/>
  <c r="L161" i="17" s="1"/>
  <c r="AT158" i="17"/>
  <c r="AE158" i="17"/>
  <c r="AD159" i="17" s="1"/>
  <c r="AY230" i="19"/>
  <c r="L228" i="18"/>
  <c r="I229" i="18" s="1"/>
  <c r="J229" i="18" s="1"/>
  <c r="AZ231" i="19"/>
  <c r="E232" i="19"/>
  <c r="AX231" i="19"/>
  <c r="C231" i="19"/>
  <c r="AZ231" i="16"/>
  <c r="AX231" i="16"/>
  <c r="BD231" i="16"/>
  <c r="E232" i="16"/>
  <c r="C231" i="16"/>
  <c r="AY230" i="16"/>
  <c r="AY229" i="17"/>
  <c r="AR230" i="16"/>
  <c r="AX230" i="17"/>
  <c r="E231" i="17"/>
  <c r="AZ230" i="17"/>
  <c r="C230" i="17"/>
  <c r="C230" i="18"/>
  <c r="E231" i="18"/>
  <c r="AX230" i="18"/>
  <c r="AZ230" i="18"/>
  <c r="O229" i="18"/>
  <c r="K229" i="18"/>
  <c r="AQ229" i="18"/>
  <c r="AU229" i="18"/>
  <c r="AS229" i="18"/>
  <c r="AY229" i="18"/>
  <c r="H111" i="18"/>
  <c r="F112" i="18" s="1"/>
  <c r="G112" i="18" s="1"/>
  <c r="AR112" i="18" s="1"/>
  <c r="AY231" i="15"/>
  <c r="AX232" i="15"/>
  <c r="E233" i="15"/>
  <c r="C232" i="15"/>
  <c r="AZ232" i="15"/>
  <c r="P178" i="18"/>
  <c r="M179" i="18" s="1"/>
  <c r="N179" i="18" s="1"/>
  <c r="R178" i="18"/>
  <c r="Q179" i="18" s="1"/>
  <c r="AT179" i="18" s="1"/>
  <c r="T177" i="18"/>
  <c r="A234" i="3"/>
  <c r="BB230" i="16" s="1"/>
  <c r="Y233" i="3"/>
  <c r="AC232" i="3"/>
  <c r="H233" i="3"/>
  <c r="AF232" i="3"/>
  <c r="AD232" i="3" s="1"/>
  <c r="BC232" i="3"/>
  <c r="AE233" i="3"/>
  <c r="V234" i="3"/>
  <c r="X234" i="3" s="1"/>
  <c r="AV234" i="3"/>
  <c r="AX234" i="3" s="1"/>
  <c r="BB234" i="3" s="1"/>
  <c r="AL233" i="3"/>
  <c r="AG233" i="3"/>
  <c r="BD232" i="3"/>
  <c r="AH233" i="3"/>
  <c r="AM233" i="3"/>
  <c r="AI231" i="3"/>
  <c r="BE231" i="3" s="1"/>
  <c r="AT194" i="25" l="1"/>
  <c r="AE194" i="25"/>
  <c r="AD195" i="25" s="1"/>
  <c r="S195" i="25"/>
  <c r="W195" i="25" s="1"/>
  <c r="R196" i="25" s="1"/>
  <c r="T195" i="25"/>
  <c r="AM234" i="3"/>
  <c r="AU91" i="29"/>
  <c r="F92" i="29"/>
  <c r="J93" i="29" s="1"/>
  <c r="P93" i="29"/>
  <c r="N92" i="29"/>
  <c r="AQ91" i="29"/>
  <c r="AS91" i="29"/>
  <c r="I92" i="29"/>
  <c r="AR92" i="29" s="1"/>
  <c r="P134" i="24"/>
  <c r="M135" i="24" s="1"/>
  <c r="Z136" i="25"/>
  <c r="Y136" i="25"/>
  <c r="AG136" i="25" s="1"/>
  <c r="AF137" i="25" s="1"/>
  <c r="K121" i="24"/>
  <c r="T121" i="24" s="1"/>
  <c r="S122" i="24" s="1"/>
  <c r="J121" i="24"/>
  <c r="AL234" i="3"/>
  <c r="BB227" i="16"/>
  <c r="BI234" i="3"/>
  <c r="BJ234" i="3" s="1"/>
  <c r="AK232" i="3"/>
  <c r="BG232" i="3" s="1"/>
  <c r="AN234" i="20"/>
  <c r="AR234" i="20"/>
  <c r="P234" i="20"/>
  <c r="AC124" i="29"/>
  <c r="X125" i="29" s="1"/>
  <c r="AA125" i="29" s="1"/>
  <c r="AE125" i="29" s="1"/>
  <c r="AD126" i="29" s="1"/>
  <c r="T216" i="29"/>
  <c r="S216" i="29"/>
  <c r="W216" i="29" s="1"/>
  <c r="R217" i="29" s="1"/>
  <c r="U217" i="29" s="1"/>
  <c r="AY229" i="29"/>
  <c r="AY230" i="25"/>
  <c r="C230" i="29"/>
  <c r="AZ230" i="29"/>
  <c r="AX230" i="29"/>
  <c r="E231" i="29"/>
  <c r="T178" i="26"/>
  <c r="S179" i="26" s="1"/>
  <c r="P178" i="26"/>
  <c r="M179" i="26" s="1"/>
  <c r="N179" i="26" s="1"/>
  <c r="AY230" i="26"/>
  <c r="G88" i="26"/>
  <c r="AR88" i="26" s="1"/>
  <c r="AM87" i="26"/>
  <c r="AN87" i="26" s="1"/>
  <c r="K230" i="26"/>
  <c r="O230" i="26"/>
  <c r="AS230" i="26"/>
  <c r="AU230" i="26"/>
  <c r="AQ230" i="26"/>
  <c r="J225" i="26"/>
  <c r="L225" i="26" s="1"/>
  <c r="I226" i="26" s="1"/>
  <c r="AJ87" i="26"/>
  <c r="AK87" i="26" s="1"/>
  <c r="AT178" i="26"/>
  <c r="R178" i="26"/>
  <c r="Q179" i="26" s="1"/>
  <c r="AX231" i="26"/>
  <c r="C231" i="26"/>
  <c r="AZ231" i="26"/>
  <c r="E232" i="26"/>
  <c r="AG130" i="28"/>
  <c r="AF131" i="28" s="1"/>
  <c r="T190" i="28"/>
  <c r="S190" i="28"/>
  <c r="W190" i="28" s="1"/>
  <c r="R191" i="28" s="1"/>
  <c r="V191" i="28" s="1"/>
  <c r="AC130" i="28"/>
  <c r="X131" i="28" s="1"/>
  <c r="AB131" i="28" s="1"/>
  <c r="AT189" i="28"/>
  <c r="AE189" i="28"/>
  <c r="AD190" i="28" s="1"/>
  <c r="AO91" i="28"/>
  <c r="AL91" i="28"/>
  <c r="C231" i="28"/>
  <c r="AX231" i="28"/>
  <c r="AZ231" i="28"/>
  <c r="E232" i="28"/>
  <c r="AY230" i="28"/>
  <c r="AN82" i="24"/>
  <c r="G113" i="25"/>
  <c r="K113" i="25" s="1"/>
  <c r="H113" i="25"/>
  <c r="J114" i="25"/>
  <c r="AR230" i="25"/>
  <c r="V230" i="25"/>
  <c r="U230" i="25"/>
  <c r="AB230" i="25"/>
  <c r="AA230" i="25"/>
  <c r="BA231" i="25"/>
  <c r="BB231" i="25"/>
  <c r="BC231" i="25"/>
  <c r="AJ109" i="25"/>
  <c r="AK109" i="25" s="1"/>
  <c r="AW109" i="25" s="1"/>
  <c r="AX109" i="25" s="1"/>
  <c r="AY109" i="25" s="1"/>
  <c r="N110" i="25"/>
  <c r="AP110" i="25" s="1"/>
  <c r="P111" i="25"/>
  <c r="AX231" i="25"/>
  <c r="AZ231" i="25"/>
  <c r="BD231" i="25"/>
  <c r="C231" i="25"/>
  <c r="E232" i="25"/>
  <c r="AY230" i="24"/>
  <c r="AU230" i="24"/>
  <c r="AS230" i="24"/>
  <c r="AQ230" i="24"/>
  <c r="AX231" i="24"/>
  <c r="C231" i="24"/>
  <c r="AZ231" i="24"/>
  <c r="E232" i="24"/>
  <c r="AK82" i="24"/>
  <c r="H82" i="15"/>
  <c r="G83" i="24"/>
  <c r="AR83" i="24" s="1"/>
  <c r="O232" i="15"/>
  <c r="AQ232" i="15"/>
  <c r="AS232" i="15"/>
  <c r="AU232" i="15"/>
  <c r="K232" i="15"/>
  <c r="P193" i="15"/>
  <c r="M194" i="15" s="1"/>
  <c r="N194" i="15" s="1"/>
  <c r="K91" i="28"/>
  <c r="M110" i="25"/>
  <c r="AL110" i="25" s="1"/>
  <c r="O229" i="25"/>
  <c r="I229" i="25"/>
  <c r="AJ232" i="3"/>
  <c r="BF232" i="3" s="1"/>
  <c r="AQ64" i="19"/>
  <c r="AS64" i="19"/>
  <c r="AU64" i="19"/>
  <c r="BB229" i="16"/>
  <c r="BA227" i="16"/>
  <c r="BB231" i="16"/>
  <c r="BB224" i="16"/>
  <c r="BB225" i="16"/>
  <c r="BB226" i="16"/>
  <c r="BA229" i="16"/>
  <c r="BA230" i="16"/>
  <c r="J66" i="19"/>
  <c r="H65" i="19"/>
  <c r="G65" i="19"/>
  <c r="AI65" i="19" s="1"/>
  <c r="AJ65" i="19" s="1"/>
  <c r="AK65" i="19" s="1"/>
  <c r="T164" i="15"/>
  <c r="S165" i="15" s="1"/>
  <c r="AG140" i="17"/>
  <c r="AF141" i="17" s="1"/>
  <c r="Y141" i="17"/>
  <c r="AC141" i="17" s="1"/>
  <c r="X142" i="17" s="1"/>
  <c r="Z141" i="17"/>
  <c r="F73" i="17"/>
  <c r="AU72" i="17"/>
  <c r="AQ72" i="17"/>
  <c r="AS72" i="17"/>
  <c r="Z143" i="19"/>
  <c r="Y143" i="19"/>
  <c r="AC143" i="19" s="1"/>
  <c r="X144" i="19" s="1"/>
  <c r="AG142" i="19"/>
  <c r="AF143" i="19" s="1"/>
  <c r="AR231" i="19"/>
  <c r="L164" i="15"/>
  <c r="I165" i="15" s="1"/>
  <c r="J165" i="15" s="1"/>
  <c r="AT151" i="19"/>
  <c r="AE151" i="19"/>
  <c r="AD152" i="19" s="1"/>
  <c r="T152" i="19"/>
  <c r="S152" i="19"/>
  <c r="W152" i="19" s="1"/>
  <c r="R153" i="19" s="1"/>
  <c r="U232" i="17"/>
  <c r="AA232" i="17"/>
  <c r="V232" i="17"/>
  <c r="I232" i="17"/>
  <c r="AA232" i="19"/>
  <c r="I232" i="19"/>
  <c r="AB232" i="17"/>
  <c r="AB232" i="19"/>
  <c r="O232" i="17"/>
  <c r="V232" i="19"/>
  <c r="U232" i="19"/>
  <c r="O232" i="19"/>
  <c r="R164" i="15"/>
  <c r="Q165" i="15" s="1"/>
  <c r="AT165" i="15" s="1"/>
  <c r="BA231" i="16"/>
  <c r="AT159" i="17"/>
  <c r="AE159" i="17"/>
  <c r="AD160" i="17" s="1"/>
  <c r="BC226" i="16"/>
  <c r="T160" i="17"/>
  <c r="S160" i="17"/>
  <c r="W160" i="17" s="1"/>
  <c r="R161" i="17" s="1"/>
  <c r="M161" i="19"/>
  <c r="Q161" i="19" s="1"/>
  <c r="L162" i="19" s="1"/>
  <c r="N161" i="19"/>
  <c r="P162" i="19"/>
  <c r="BC228" i="16"/>
  <c r="BB228" i="16"/>
  <c r="BC229" i="16"/>
  <c r="BC231" i="16"/>
  <c r="BC227" i="16"/>
  <c r="N161" i="17"/>
  <c r="M161" i="17"/>
  <c r="Q161" i="17" s="1"/>
  <c r="L162" i="17" s="1"/>
  <c r="P162" i="17"/>
  <c r="BC230" i="16"/>
  <c r="BA228" i="16"/>
  <c r="AY231" i="19"/>
  <c r="C232" i="19"/>
  <c r="E233" i="19"/>
  <c r="AX232" i="19"/>
  <c r="AZ232" i="19"/>
  <c r="L229" i="18"/>
  <c r="I230" i="18" s="1"/>
  <c r="J230" i="18" s="1"/>
  <c r="BB232" i="16"/>
  <c r="BD232" i="16"/>
  <c r="BC232" i="16"/>
  <c r="E233" i="16"/>
  <c r="AZ232" i="16"/>
  <c r="AX232" i="16"/>
  <c r="C232" i="16"/>
  <c r="BA232" i="16"/>
  <c r="AR231" i="16"/>
  <c r="AY230" i="17"/>
  <c r="AY231" i="16"/>
  <c r="AY230" i="18"/>
  <c r="E232" i="18"/>
  <c r="C231" i="18"/>
  <c r="AX231" i="18"/>
  <c r="AZ231" i="18"/>
  <c r="AX231" i="17"/>
  <c r="AZ231" i="17"/>
  <c r="C231" i="17"/>
  <c r="E232" i="17"/>
  <c r="O230" i="18"/>
  <c r="AQ230" i="18"/>
  <c r="K230" i="18"/>
  <c r="AU230" i="18"/>
  <c r="AS230" i="18"/>
  <c r="AY232" i="15"/>
  <c r="AI111" i="18"/>
  <c r="AJ111" i="18" s="1"/>
  <c r="AK111" i="18" s="1"/>
  <c r="AL111" i="18"/>
  <c r="AM111" i="18" s="1"/>
  <c r="AN111" i="18" s="1"/>
  <c r="H112" i="18"/>
  <c r="AX233" i="15"/>
  <c r="AZ233" i="15"/>
  <c r="C233" i="15"/>
  <c r="E234" i="15"/>
  <c r="S178" i="18"/>
  <c r="T178" i="18" s="1"/>
  <c r="S179" i="18" s="1"/>
  <c r="P179" i="18"/>
  <c r="M180" i="18" s="1"/>
  <c r="N180" i="18" s="1"/>
  <c r="AG234" i="3"/>
  <c r="AI232" i="3"/>
  <c r="BE232" i="3" s="1"/>
  <c r="BD233" i="3"/>
  <c r="AH234" i="3"/>
  <c r="BD234" i="3" s="1"/>
  <c r="Y234" i="3"/>
  <c r="AC234" i="3" s="1"/>
  <c r="AC233" i="3"/>
  <c r="AE234" i="3"/>
  <c r="BC233" i="3"/>
  <c r="H234" i="3"/>
  <c r="AF234" i="3" s="1"/>
  <c r="AF233" i="3"/>
  <c r="AD233" i="3" s="1"/>
  <c r="AT195" i="25" l="1"/>
  <c r="AE195" i="25"/>
  <c r="AD196" i="25" s="1"/>
  <c r="T196" i="25"/>
  <c r="S196" i="25"/>
  <c r="W196" i="25" s="1"/>
  <c r="R197" i="25" s="1"/>
  <c r="AW91" i="29"/>
  <c r="AX91" i="29" s="1"/>
  <c r="AY91" i="29" s="1"/>
  <c r="H92" i="29"/>
  <c r="AO92" i="29" s="1"/>
  <c r="G92" i="29"/>
  <c r="AL92" i="29" s="1"/>
  <c r="AM92" i="29" s="1"/>
  <c r="AN92" i="29" s="1"/>
  <c r="Q92" i="29"/>
  <c r="L93" i="29" s="1"/>
  <c r="AT126" i="29"/>
  <c r="AK234" i="3"/>
  <c r="BG234" i="3" s="1"/>
  <c r="L121" i="24"/>
  <c r="I122" i="24" s="1"/>
  <c r="R121" i="24"/>
  <c r="Q122" i="24" s="1"/>
  <c r="AT122" i="24" s="1"/>
  <c r="AC136" i="25"/>
  <c r="X137" i="25" s="1"/>
  <c r="O135" i="24"/>
  <c r="N135" i="24"/>
  <c r="AR232" i="19"/>
  <c r="AK233" i="3"/>
  <c r="BG233" i="3" s="1"/>
  <c r="AJ233" i="3"/>
  <c r="BF233" i="3" s="1"/>
  <c r="Z125" i="29"/>
  <c r="Y125" i="29"/>
  <c r="AG125" i="29" s="1"/>
  <c r="AF126" i="29" s="1"/>
  <c r="T217" i="29"/>
  <c r="S217" i="29"/>
  <c r="W217" i="29" s="1"/>
  <c r="R218" i="29" s="1"/>
  <c r="U218" i="29" s="1"/>
  <c r="AX231" i="29"/>
  <c r="AZ231" i="29"/>
  <c r="C231" i="29"/>
  <c r="E232" i="29"/>
  <c r="AY230" i="29"/>
  <c r="AY231" i="28"/>
  <c r="P179" i="26"/>
  <c r="M180" i="26" s="1"/>
  <c r="N180" i="26" s="1"/>
  <c r="T179" i="26"/>
  <c r="S180" i="26" s="1"/>
  <c r="AW87" i="26"/>
  <c r="AX87" i="26" s="1"/>
  <c r="AY87" i="26" s="1"/>
  <c r="H88" i="26"/>
  <c r="J226" i="26"/>
  <c r="L226" i="26" s="1"/>
  <c r="I227" i="26" s="1"/>
  <c r="AT179" i="26"/>
  <c r="R179" i="26"/>
  <c r="Q180" i="26" s="1"/>
  <c r="K231" i="26"/>
  <c r="O231" i="26"/>
  <c r="AQ231" i="26"/>
  <c r="AS231" i="26"/>
  <c r="AU231" i="26"/>
  <c r="AY231" i="26"/>
  <c r="AX232" i="26"/>
  <c r="C232" i="26"/>
  <c r="AZ232" i="26"/>
  <c r="E233" i="26"/>
  <c r="T191" i="28"/>
  <c r="S191" i="28"/>
  <c r="W191" i="28" s="1"/>
  <c r="R192" i="28" s="1"/>
  <c r="V192" i="28" s="1"/>
  <c r="AT190" i="28"/>
  <c r="AE190" i="28"/>
  <c r="AD191" i="28" s="1"/>
  <c r="AQ91" i="28"/>
  <c r="AS91" i="28"/>
  <c r="AU91" i="28"/>
  <c r="Z131" i="28"/>
  <c r="Y131" i="28"/>
  <c r="AC131" i="28" s="1"/>
  <c r="X132" i="28" s="1"/>
  <c r="AB132" i="28" s="1"/>
  <c r="F92" i="28"/>
  <c r="I92" i="28" s="1"/>
  <c r="Q92" i="28" s="1"/>
  <c r="L93" i="28" s="1"/>
  <c r="AZ232" i="28"/>
  <c r="C232" i="28"/>
  <c r="AX232" i="28"/>
  <c r="E233" i="28"/>
  <c r="AM91" i="28"/>
  <c r="AN91" i="28" s="1"/>
  <c r="AJ91" i="28"/>
  <c r="AK91" i="28" s="1"/>
  <c r="AW82" i="24"/>
  <c r="AX82" i="24" s="1"/>
  <c r="AY82" i="24" s="1"/>
  <c r="F114" i="25"/>
  <c r="AO110" i="25"/>
  <c r="AB231" i="25"/>
  <c r="AR231" i="25"/>
  <c r="AA231" i="25"/>
  <c r="U231" i="25"/>
  <c r="V231" i="25"/>
  <c r="BA232" i="25"/>
  <c r="BB232" i="25"/>
  <c r="BC232" i="25"/>
  <c r="C232" i="25"/>
  <c r="AX232" i="25"/>
  <c r="AZ232" i="25"/>
  <c r="BD232" i="25"/>
  <c r="E233" i="25"/>
  <c r="AM110" i="25"/>
  <c r="AN110" i="25" s="1"/>
  <c r="AY231" i="25"/>
  <c r="AS231" i="24"/>
  <c r="AU231" i="24"/>
  <c r="AQ231" i="24"/>
  <c r="AX232" i="24"/>
  <c r="C232" i="24"/>
  <c r="AZ232" i="24"/>
  <c r="E233" i="24"/>
  <c r="AY231" i="24"/>
  <c r="F83" i="15"/>
  <c r="G83" i="15" s="1"/>
  <c r="AR83" i="15" s="1"/>
  <c r="AI82" i="15"/>
  <c r="AJ82" i="15" s="1"/>
  <c r="AK82" i="15" s="1"/>
  <c r="AL82" i="15"/>
  <c r="AM82" i="15" s="1"/>
  <c r="AN82" i="15" s="1"/>
  <c r="H83" i="24"/>
  <c r="AS233" i="15"/>
  <c r="AU233" i="15"/>
  <c r="K233" i="15"/>
  <c r="O233" i="15"/>
  <c r="AQ233" i="15"/>
  <c r="P194" i="15"/>
  <c r="M195" i="15" s="1"/>
  <c r="N195" i="15" s="1"/>
  <c r="Q110" i="25"/>
  <c r="O230" i="25"/>
  <c r="I230" i="25"/>
  <c r="AW64" i="19"/>
  <c r="AX64" i="19" s="1"/>
  <c r="AY64" i="19" s="1"/>
  <c r="AW72" i="17"/>
  <c r="AX72" i="17" s="1"/>
  <c r="AY72" i="17" s="1"/>
  <c r="T165" i="15"/>
  <c r="S166" i="15" s="1"/>
  <c r="AL65" i="19"/>
  <c r="AM65" i="19" s="1"/>
  <c r="AN65" i="19" s="1"/>
  <c r="K65" i="19"/>
  <c r="AP65" i="19"/>
  <c r="AO65" i="19"/>
  <c r="Z142" i="17"/>
  <c r="Y142" i="17"/>
  <c r="AC142" i="17" s="1"/>
  <c r="X143" i="17" s="1"/>
  <c r="G73" i="17"/>
  <c r="K73" i="17" s="1"/>
  <c r="F74" i="17" s="1"/>
  <c r="J74" i="17"/>
  <c r="H73" i="17"/>
  <c r="AG141" i="17"/>
  <c r="AF142" i="17" s="1"/>
  <c r="AG143" i="19"/>
  <c r="AF144" i="19" s="1"/>
  <c r="V231" i="16"/>
  <c r="Z144" i="19"/>
  <c r="Y144" i="19"/>
  <c r="AC144" i="19" s="1"/>
  <c r="X145" i="19" s="1"/>
  <c r="L165" i="15"/>
  <c r="I166" i="15" s="1"/>
  <c r="J166" i="15" s="1"/>
  <c r="U231" i="16"/>
  <c r="AE152" i="19"/>
  <c r="AD153" i="19" s="1"/>
  <c r="AT152" i="19"/>
  <c r="S153" i="19"/>
  <c r="W153" i="19" s="1"/>
  <c r="R154" i="19" s="1"/>
  <c r="T153" i="19"/>
  <c r="U234" i="17"/>
  <c r="V234" i="17"/>
  <c r="O234" i="17"/>
  <c r="U234" i="19"/>
  <c r="AB234" i="17"/>
  <c r="O234" i="19"/>
  <c r="AA234" i="17"/>
  <c r="AB234" i="19"/>
  <c r="I234" i="19"/>
  <c r="V234" i="19"/>
  <c r="I234" i="17"/>
  <c r="AA234" i="19"/>
  <c r="BB7" i="16"/>
  <c r="BC6" i="16"/>
  <c r="BC7" i="16"/>
  <c r="BA6" i="16"/>
  <c r="BB5" i="16"/>
  <c r="BA5" i="16"/>
  <c r="G5" i="16" s="1"/>
  <c r="BA7" i="16"/>
  <c r="BB6" i="16"/>
  <c r="BC5" i="16"/>
  <c r="BA8" i="16"/>
  <c r="BC9" i="16"/>
  <c r="BC8" i="16"/>
  <c r="BB8" i="16"/>
  <c r="BB10" i="16"/>
  <c r="BA9" i="16"/>
  <c r="BB9" i="16"/>
  <c r="BA10" i="16"/>
  <c r="BB11" i="16"/>
  <c r="BA11" i="16"/>
  <c r="BC10" i="16"/>
  <c r="BC11" i="16"/>
  <c r="BB12" i="16"/>
  <c r="BA12" i="16"/>
  <c r="BC12" i="16"/>
  <c r="BC13" i="16"/>
  <c r="BB14" i="16"/>
  <c r="BB13" i="16"/>
  <c r="BC14" i="16"/>
  <c r="BC17" i="16"/>
  <c r="BA15" i="16"/>
  <c r="BA14" i="16"/>
  <c r="BA16" i="16"/>
  <c r="BB16" i="16"/>
  <c r="BC16" i="16"/>
  <c r="BB15" i="16"/>
  <c r="BA13" i="16"/>
  <c r="BC15" i="16"/>
  <c r="BA19" i="16"/>
  <c r="BB18" i="16"/>
  <c r="BB19" i="16"/>
  <c r="BA18" i="16"/>
  <c r="BA17" i="16"/>
  <c r="BB17" i="16"/>
  <c r="BC18" i="16"/>
  <c r="BC19" i="16"/>
  <c r="BC20" i="16"/>
  <c r="BB22" i="16"/>
  <c r="BB20" i="16"/>
  <c r="BA21" i="16"/>
  <c r="BB21" i="16"/>
  <c r="BC21" i="16"/>
  <c r="BA20" i="16"/>
  <c r="BA23" i="16"/>
  <c r="BC22" i="16"/>
  <c r="BA22" i="16"/>
  <c r="BB23" i="16"/>
  <c r="BC23" i="16"/>
  <c r="BA26" i="16"/>
  <c r="BC25" i="16"/>
  <c r="BC24" i="16"/>
  <c r="BB24" i="16"/>
  <c r="BA25" i="16"/>
  <c r="BB25" i="16"/>
  <c r="BA24" i="16"/>
  <c r="BC27" i="16"/>
  <c r="BC26" i="16"/>
  <c r="BB27" i="16"/>
  <c r="BB26" i="16"/>
  <c r="BC28" i="16"/>
  <c r="BA27" i="16"/>
  <c r="BB29" i="16"/>
  <c r="BB28" i="16"/>
  <c r="BC29" i="16"/>
  <c r="BB30" i="16"/>
  <c r="BA30" i="16"/>
  <c r="BA28" i="16"/>
  <c r="BA29" i="16"/>
  <c r="BA32" i="16"/>
  <c r="BC30" i="16"/>
  <c r="BC32" i="16"/>
  <c r="BB32" i="16"/>
  <c r="BC31" i="16"/>
  <c r="BA31" i="16"/>
  <c r="BB31" i="16"/>
  <c r="BC34" i="16"/>
  <c r="BC33" i="16"/>
  <c r="BB33" i="16"/>
  <c r="BB34" i="16"/>
  <c r="BA33" i="16"/>
  <c r="BA35" i="16"/>
  <c r="BB35" i="16"/>
  <c r="BA34" i="16"/>
  <c r="BC35" i="16"/>
  <c r="BC36" i="16"/>
  <c r="BB36" i="16"/>
  <c r="BC37" i="16"/>
  <c r="BA37" i="16"/>
  <c r="BA36" i="16"/>
  <c r="BC38" i="16"/>
  <c r="BA39" i="16"/>
  <c r="BB37" i="16"/>
  <c r="BB38" i="16"/>
  <c r="BA38" i="16"/>
  <c r="BC39" i="16"/>
  <c r="BB39" i="16"/>
  <c r="BC40" i="16"/>
  <c r="BB40" i="16"/>
  <c r="BB41" i="16"/>
  <c r="BA41" i="16"/>
  <c r="BA40" i="16"/>
  <c r="BC41" i="16"/>
  <c r="BA42" i="16"/>
  <c r="BB42" i="16"/>
  <c r="BC42" i="16"/>
  <c r="BC44" i="16"/>
  <c r="BA45" i="16"/>
  <c r="BB43" i="16"/>
  <c r="BB45" i="16"/>
  <c r="BC43" i="16"/>
  <c r="BA43" i="16"/>
  <c r="BC45" i="16"/>
  <c r="BA46" i="16"/>
  <c r="BA44" i="16"/>
  <c r="BA47" i="16"/>
  <c r="BB44" i="16"/>
  <c r="BC46" i="16"/>
  <c r="BB46" i="16"/>
  <c r="BB47" i="16"/>
  <c r="BB48" i="16"/>
  <c r="BC48" i="16"/>
  <c r="BC47" i="16"/>
  <c r="BA48" i="16"/>
  <c r="BA49" i="16"/>
  <c r="BC49" i="16"/>
  <c r="BC50" i="16"/>
  <c r="BB49" i="16"/>
  <c r="BA50" i="16"/>
  <c r="BB51" i="16"/>
  <c r="BC51" i="16"/>
  <c r="BC52" i="16"/>
  <c r="BA51" i="16"/>
  <c r="BB50" i="16"/>
  <c r="BA53" i="16"/>
  <c r="BC55" i="16"/>
  <c r="BB53" i="16"/>
  <c r="BC54" i="16"/>
  <c r="BA52" i="16"/>
  <c r="BB52" i="16"/>
  <c r="BC53" i="16"/>
  <c r="BA55" i="16"/>
  <c r="BB55" i="16"/>
  <c r="BA56" i="16"/>
  <c r="BB54" i="16"/>
  <c r="BA54" i="16"/>
  <c r="BB56" i="16"/>
  <c r="BB57" i="16"/>
  <c r="BC56" i="16"/>
  <c r="BC58" i="16"/>
  <c r="BC57" i="16"/>
  <c r="BA58" i="16"/>
  <c r="BA57" i="16"/>
  <c r="BB58" i="16"/>
  <c r="BA60" i="16"/>
  <c r="BB59" i="16"/>
  <c r="BA59" i="16"/>
  <c r="BA61" i="16"/>
  <c r="BB60" i="16"/>
  <c r="BC59" i="16"/>
  <c r="BC61" i="16"/>
  <c r="BC60" i="16"/>
  <c r="BB61" i="16"/>
  <c r="BC64" i="16"/>
  <c r="BC62" i="16"/>
  <c r="BA64" i="16"/>
  <c r="BC63" i="16"/>
  <c r="BB64" i="16"/>
  <c r="BA62" i="16"/>
  <c r="BC65" i="16"/>
  <c r="BB62" i="16"/>
  <c r="BB63" i="16"/>
  <c r="BA63" i="16"/>
  <c r="BC66" i="16"/>
  <c r="BB65" i="16"/>
  <c r="BB66" i="16"/>
  <c r="BA66" i="16"/>
  <c r="BA65" i="16"/>
  <c r="BA67" i="16"/>
  <c r="BB67" i="16"/>
  <c r="BB68" i="16"/>
  <c r="BC68" i="16"/>
  <c r="BA68" i="16"/>
  <c r="BC67" i="16"/>
  <c r="BA69" i="16"/>
  <c r="BC71" i="16"/>
  <c r="BA70" i="16"/>
  <c r="BC69" i="16"/>
  <c r="BB70" i="16"/>
  <c r="BC70" i="16"/>
  <c r="BB69" i="16"/>
  <c r="BB71" i="16"/>
  <c r="BA71" i="16"/>
  <c r="BB72" i="16"/>
  <c r="BC72" i="16"/>
  <c r="BA72" i="16"/>
  <c r="BA73" i="16"/>
  <c r="BC73" i="16"/>
  <c r="BC74" i="16"/>
  <c r="BB74" i="16"/>
  <c r="BB73" i="16"/>
  <c r="BC75" i="16"/>
  <c r="BA74" i="16"/>
  <c r="BC78" i="16"/>
  <c r="BB75" i="16"/>
  <c r="BA76" i="16"/>
  <c r="BB76" i="16"/>
  <c r="BB78" i="16"/>
  <c r="BA75" i="16"/>
  <c r="BA77" i="16"/>
  <c r="BB77" i="16"/>
  <c r="BC76" i="16"/>
  <c r="BA78" i="16"/>
  <c r="BC77" i="16"/>
  <c r="BA79" i="16"/>
  <c r="BB79" i="16"/>
  <c r="BB80" i="16"/>
  <c r="BC79" i="16"/>
  <c r="BC82" i="16"/>
  <c r="BB81" i="16"/>
  <c r="BC80" i="16"/>
  <c r="BC81" i="16"/>
  <c r="BA80" i="16"/>
  <c r="BA82" i="16"/>
  <c r="BA81" i="16"/>
  <c r="BB84" i="16"/>
  <c r="BA83" i="16"/>
  <c r="BB82" i="16"/>
  <c r="BC83" i="16"/>
  <c r="BB85" i="16"/>
  <c r="BA84" i="16"/>
  <c r="BB83" i="16"/>
  <c r="BB86" i="16"/>
  <c r="BC85" i="16"/>
  <c r="BC86" i="16"/>
  <c r="BC84" i="16"/>
  <c r="BA85" i="16"/>
  <c r="BC87" i="16"/>
  <c r="BA86" i="16"/>
  <c r="BB88" i="16"/>
  <c r="BA89" i="16"/>
  <c r="BB87" i="16"/>
  <c r="BA87" i="16"/>
  <c r="BA88" i="16"/>
  <c r="BB89" i="16"/>
  <c r="BC88" i="16"/>
  <c r="BA90" i="16"/>
  <c r="BC90" i="16"/>
  <c r="BC89" i="16"/>
  <c r="BA91" i="16"/>
  <c r="BB92" i="16"/>
  <c r="BA92" i="16"/>
  <c r="BB90" i="16"/>
  <c r="BB91" i="16"/>
  <c r="BC92" i="16"/>
  <c r="BC91" i="16"/>
  <c r="BB93" i="16"/>
  <c r="BC93" i="16"/>
  <c r="BA94" i="16"/>
  <c r="BB94" i="16"/>
  <c r="BA93" i="16"/>
  <c r="BC94" i="16"/>
  <c r="BB95" i="16"/>
  <c r="BC96" i="16"/>
  <c r="BC95" i="16"/>
  <c r="BB96" i="16"/>
  <c r="BA95" i="16"/>
  <c r="BA96" i="16"/>
  <c r="BB97" i="16"/>
  <c r="BB98" i="16"/>
  <c r="BB99" i="16"/>
  <c r="BC97" i="16"/>
  <c r="BA97" i="16"/>
  <c r="BC98" i="16"/>
  <c r="BA98" i="16"/>
  <c r="BB102" i="16"/>
  <c r="BC99" i="16"/>
  <c r="BB101" i="16"/>
  <c r="BB100" i="16"/>
  <c r="BC101" i="16"/>
  <c r="BA99" i="16"/>
  <c r="BA100" i="16"/>
  <c r="BC103" i="16"/>
  <c r="BA101" i="16"/>
  <c r="BB104" i="16"/>
  <c r="BC100" i="16"/>
  <c r="BA103" i="16"/>
  <c r="BA104" i="16"/>
  <c r="BA102" i="16"/>
  <c r="BA105" i="16"/>
  <c r="BC104" i="16"/>
  <c r="BB103" i="16"/>
  <c r="BC102" i="16"/>
  <c r="BC105" i="16"/>
  <c r="BA106" i="16"/>
  <c r="BB106" i="16"/>
  <c r="BC106" i="16"/>
  <c r="BC107" i="16"/>
  <c r="BB108" i="16"/>
  <c r="BB105" i="16"/>
  <c r="BB107" i="16"/>
  <c r="BA107" i="16"/>
  <c r="BC109" i="16"/>
  <c r="BB110" i="16"/>
  <c r="BA109" i="16"/>
  <c r="BA108" i="16"/>
  <c r="BC110" i="16"/>
  <c r="BC108" i="16"/>
  <c r="BB109" i="16"/>
  <c r="BB113" i="16"/>
  <c r="BA110" i="16"/>
  <c r="BC111" i="16"/>
  <c r="BB111" i="16"/>
  <c r="BC112" i="16"/>
  <c r="BA111" i="16"/>
  <c r="BA112" i="16"/>
  <c r="BC113" i="16"/>
  <c r="BB114" i="16"/>
  <c r="BC114" i="16"/>
  <c r="BB112" i="16"/>
  <c r="BC115" i="16"/>
  <c r="BA114" i="16"/>
  <c r="BA113" i="16"/>
  <c r="BA117" i="16"/>
  <c r="BB115" i="16"/>
  <c r="BA116" i="16"/>
  <c r="BC116" i="16"/>
  <c r="BA115" i="16"/>
  <c r="BB116" i="16"/>
  <c r="BC117" i="16"/>
  <c r="BB118" i="16"/>
  <c r="BC119" i="16"/>
  <c r="BA118" i="16"/>
  <c r="BB117" i="16"/>
  <c r="BA119" i="16"/>
  <c r="BC120" i="16"/>
  <c r="BB120" i="16"/>
  <c r="BB119" i="16"/>
  <c r="BC118" i="16"/>
  <c r="BB122" i="16"/>
  <c r="BA121" i="16"/>
  <c r="BB121" i="16"/>
  <c r="BC123" i="16"/>
  <c r="BA122" i="16"/>
  <c r="BA120" i="16"/>
  <c r="BC121" i="16"/>
  <c r="BC124" i="16"/>
  <c r="BB124" i="16"/>
  <c r="BC122" i="16"/>
  <c r="BB125" i="16"/>
  <c r="BA123" i="16"/>
  <c r="BA125" i="16"/>
  <c r="BB123" i="16"/>
  <c r="BB126" i="16"/>
  <c r="BA126" i="16"/>
  <c r="BC125" i="16"/>
  <c r="BC126" i="16"/>
  <c r="BB127" i="16"/>
  <c r="BA124" i="16"/>
  <c r="BC127" i="16"/>
  <c r="BA128" i="16"/>
  <c r="BB128" i="16"/>
  <c r="BA129" i="16"/>
  <c r="BC129" i="16"/>
  <c r="BC128" i="16"/>
  <c r="BB129" i="16"/>
  <c r="BA127" i="16"/>
  <c r="BA131" i="16"/>
  <c r="BB130" i="16"/>
  <c r="BA130" i="16"/>
  <c r="BC130" i="16"/>
  <c r="BB131" i="16"/>
  <c r="BC132" i="16"/>
  <c r="BC131" i="16"/>
  <c r="BA133" i="16"/>
  <c r="BB133" i="16"/>
  <c r="BB132" i="16"/>
  <c r="BA132" i="16"/>
  <c r="BA135" i="16"/>
  <c r="BC134" i="16"/>
  <c r="BA134" i="16"/>
  <c r="BB134" i="16"/>
  <c r="BC133" i="16"/>
  <c r="BC135" i="16"/>
  <c r="BB136" i="16"/>
  <c r="BC136" i="16"/>
  <c r="BB135" i="16"/>
  <c r="BC137" i="16"/>
  <c r="BA136" i="16"/>
  <c r="BB137" i="16"/>
  <c r="BC138" i="16"/>
  <c r="BB138" i="16"/>
  <c r="BA138" i="16"/>
  <c r="BA137" i="16"/>
  <c r="BB139" i="16"/>
  <c r="BC139" i="16"/>
  <c r="BC141" i="16"/>
  <c r="BA139" i="16"/>
  <c r="BC140" i="16"/>
  <c r="BA140" i="16"/>
  <c r="BB140" i="16"/>
  <c r="BC142" i="16"/>
  <c r="BA142" i="16"/>
  <c r="BB142" i="16"/>
  <c r="BC144" i="16"/>
  <c r="BB141" i="16"/>
  <c r="BA141" i="16"/>
  <c r="BB143" i="16"/>
  <c r="BC143" i="16"/>
  <c r="BA144" i="16"/>
  <c r="BA143" i="16"/>
  <c r="BB145" i="16"/>
  <c r="BA145" i="16"/>
  <c r="BB144" i="16"/>
  <c r="BB146" i="16"/>
  <c r="BC145" i="16"/>
  <c r="BC146" i="16"/>
  <c r="BA146" i="16"/>
  <c r="BA147" i="16"/>
  <c r="BC147" i="16"/>
  <c r="BB147" i="16"/>
  <c r="BA148" i="16"/>
  <c r="BC149" i="16"/>
  <c r="BA149" i="16"/>
  <c r="BC148" i="16"/>
  <c r="BB148" i="16"/>
  <c r="BB149" i="16"/>
  <c r="BB150" i="16"/>
  <c r="BA150" i="16"/>
  <c r="BA152" i="16"/>
  <c r="BB152" i="16"/>
  <c r="BC151" i="16"/>
  <c r="BB151" i="16"/>
  <c r="BC150" i="16"/>
  <c r="BC153" i="16"/>
  <c r="BB153" i="16"/>
  <c r="BC152" i="16"/>
  <c r="BA151" i="16"/>
  <c r="BA153" i="16"/>
  <c r="BB155" i="16"/>
  <c r="BA155" i="16"/>
  <c r="BC155" i="16"/>
  <c r="BC154" i="16"/>
  <c r="BB154" i="16"/>
  <c r="BA154" i="16"/>
  <c r="BA156" i="16"/>
  <c r="BC156" i="16"/>
  <c r="BB158" i="16"/>
  <c r="BA158" i="16"/>
  <c r="BA157" i="16"/>
  <c r="BB157" i="16"/>
  <c r="BC157" i="16"/>
  <c r="BB156" i="16"/>
  <c r="BC159" i="16"/>
  <c r="BC158" i="16"/>
  <c r="BB160" i="16"/>
  <c r="BA159" i="16"/>
  <c r="BA160" i="16"/>
  <c r="BC163" i="16"/>
  <c r="BA161" i="16"/>
  <c r="BC160" i="16"/>
  <c r="BB159" i="16"/>
  <c r="BB162" i="16"/>
  <c r="BC162" i="16"/>
  <c r="BB161" i="16"/>
  <c r="BB163" i="16"/>
  <c r="BA162" i="16"/>
  <c r="BC161" i="16"/>
  <c r="BB165" i="16"/>
  <c r="BA163" i="16"/>
  <c r="BB164" i="16"/>
  <c r="BA164" i="16"/>
  <c r="BB166" i="16"/>
  <c r="BC164" i="16"/>
  <c r="BA165" i="16"/>
  <c r="BA167" i="16"/>
  <c r="BB167" i="16"/>
  <c r="BC167" i="16"/>
  <c r="BA166" i="16"/>
  <c r="BC168" i="16"/>
  <c r="BA168" i="16"/>
  <c r="BB168" i="16"/>
  <c r="BC165" i="16"/>
  <c r="BC169" i="16"/>
  <c r="BC166" i="16"/>
  <c r="BB170" i="16"/>
  <c r="BA170" i="16"/>
  <c r="BB169" i="16"/>
  <c r="BA169" i="16"/>
  <c r="BC170" i="16"/>
  <c r="BB172" i="16"/>
  <c r="BC171" i="16"/>
  <c r="BB171" i="16"/>
  <c r="BB173" i="16"/>
  <c r="BA172" i="16"/>
  <c r="BA173" i="16"/>
  <c r="BA171" i="16"/>
  <c r="BC173" i="16"/>
  <c r="BC174" i="16"/>
  <c r="BB174" i="16"/>
  <c r="BC175" i="16"/>
  <c r="BA175" i="16"/>
  <c r="BA174" i="16"/>
  <c r="BC172" i="16"/>
  <c r="BB175" i="16"/>
  <c r="BC176" i="16"/>
  <c r="BA176" i="16"/>
  <c r="BB176" i="16"/>
  <c r="BA177" i="16"/>
  <c r="BB177" i="16"/>
  <c r="BC177" i="16"/>
  <c r="BB180" i="16"/>
  <c r="BB178" i="16"/>
  <c r="BC179" i="16"/>
  <c r="BA179" i="16"/>
  <c r="BB179" i="16"/>
  <c r="BC178" i="16"/>
  <c r="BB181" i="16"/>
  <c r="BA178" i="16"/>
  <c r="BC181" i="16"/>
  <c r="BC180" i="16"/>
  <c r="BC182" i="16"/>
  <c r="BC183" i="16"/>
  <c r="BA181" i="16"/>
  <c r="BA182" i="16"/>
  <c r="BA180" i="16"/>
  <c r="BB182" i="16"/>
  <c r="BC184" i="16"/>
  <c r="BA183" i="16"/>
  <c r="BB183" i="16"/>
  <c r="BA185" i="16"/>
  <c r="BC185" i="16"/>
  <c r="BA186" i="16"/>
  <c r="BB185" i="16"/>
  <c r="BA187" i="16"/>
  <c r="BB184" i="16"/>
  <c r="BB186" i="16"/>
  <c r="BB187" i="16"/>
  <c r="BC186" i="16"/>
  <c r="BA184" i="16"/>
  <c r="BB188" i="16"/>
  <c r="BC188" i="16"/>
  <c r="BA188" i="16"/>
  <c r="BC189" i="16"/>
  <c r="BA189" i="16"/>
  <c r="BB191" i="16"/>
  <c r="BC191" i="16"/>
  <c r="BB189" i="16"/>
  <c r="BA190" i="16"/>
  <c r="BC187" i="16"/>
  <c r="BB190" i="16"/>
  <c r="BA191" i="16"/>
  <c r="BC190" i="16"/>
  <c r="BA194" i="16"/>
  <c r="BB192" i="16"/>
  <c r="BA195" i="16"/>
  <c r="BA193" i="16"/>
  <c r="BA192" i="16"/>
  <c r="BB193" i="16"/>
  <c r="BC193" i="16"/>
  <c r="BB194" i="16"/>
  <c r="BC194" i="16"/>
  <c r="BC192" i="16"/>
  <c r="BC195" i="16"/>
  <c r="BA196" i="16"/>
  <c r="BB195" i="16"/>
  <c r="BB197" i="16"/>
  <c r="BA197" i="16"/>
  <c r="BB196" i="16"/>
  <c r="BC196" i="16"/>
  <c r="BB199" i="16"/>
  <c r="BC198" i="16"/>
  <c r="BC197" i="16"/>
  <c r="BC199" i="16"/>
  <c r="BB200" i="16"/>
  <c r="BA198" i="16"/>
  <c r="BA199" i="16"/>
  <c r="BB198" i="16"/>
  <c r="BC200" i="16"/>
  <c r="BB202" i="16"/>
  <c r="BC201" i="16"/>
  <c r="BA200" i="16"/>
  <c r="BA201" i="16"/>
  <c r="BB201" i="16"/>
  <c r="BA202" i="16"/>
  <c r="BC204" i="16"/>
  <c r="BC202" i="16"/>
  <c r="BC203" i="16"/>
  <c r="BA203" i="16"/>
  <c r="BB205" i="16"/>
  <c r="BB203" i="16"/>
  <c r="BC207" i="16"/>
  <c r="BA204" i="16"/>
  <c r="BC205" i="16"/>
  <c r="BB206" i="16"/>
  <c r="BA205" i="16"/>
  <c r="BB204" i="16"/>
  <c r="BC206" i="16"/>
  <c r="BA208" i="16"/>
  <c r="BB207" i="16"/>
  <c r="BA207" i="16"/>
  <c r="BA206" i="16"/>
  <c r="BB208" i="16"/>
  <c r="BC208" i="16"/>
  <c r="BC211" i="16"/>
  <c r="BA209" i="16"/>
  <c r="BB209" i="16"/>
  <c r="BC210" i="16"/>
  <c r="BB210" i="16"/>
  <c r="BA210" i="16"/>
  <c r="BC209" i="16"/>
  <c r="BB212" i="16"/>
  <c r="BB211" i="16"/>
  <c r="BA211" i="16"/>
  <c r="BA212" i="16"/>
  <c r="BA213" i="16"/>
  <c r="BC212" i="16"/>
  <c r="BA214" i="16"/>
  <c r="BB214" i="16"/>
  <c r="BC213" i="16"/>
  <c r="BC214" i="16"/>
  <c r="BA215" i="16"/>
  <c r="BC215" i="16"/>
  <c r="BB215" i="16"/>
  <c r="BC217" i="16"/>
  <c r="BB216" i="16"/>
  <c r="BB213" i="16"/>
  <c r="BB217" i="16"/>
  <c r="BA216" i="16"/>
  <c r="BA217" i="16"/>
  <c r="BC216" i="16"/>
  <c r="BB218" i="16"/>
  <c r="BB219" i="16"/>
  <c r="BC218" i="16"/>
  <c r="BA218" i="16"/>
  <c r="BC219" i="16"/>
  <c r="BA219" i="16"/>
  <c r="BB220" i="16"/>
  <c r="BC221" i="16"/>
  <c r="BA220" i="16"/>
  <c r="BA221" i="16"/>
  <c r="BC220" i="16"/>
  <c r="BC222" i="16"/>
  <c r="BB221" i="16"/>
  <c r="BA222" i="16"/>
  <c r="BC223" i="16"/>
  <c r="BB222" i="16"/>
  <c r="BA224" i="16"/>
  <c r="BC225" i="16"/>
  <c r="BA223" i="16"/>
  <c r="BB223" i="16"/>
  <c r="BA225" i="16"/>
  <c r="BC224" i="16"/>
  <c r="BA226" i="16"/>
  <c r="AB226" i="16" s="1"/>
  <c r="AA233" i="17"/>
  <c r="I233" i="17"/>
  <c r="V233" i="17"/>
  <c r="U233" i="17"/>
  <c r="AB233" i="17"/>
  <c r="AB233" i="19"/>
  <c r="O233" i="19"/>
  <c r="V233" i="19"/>
  <c r="U233" i="19"/>
  <c r="I233" i="19"/>
  <c r="AA233" i="19"/>
  <c r="O233" i="17"/>
  <c r="O231" i="16"/>
  <c r="O227" i="16"/>
  <c r="V227" i="16"/>
  <c r="U227" i="16"/>
  <c r="AA227" i="16"/>
  <c r="I227" i="16"/>
  <c r="AB227" i="16"/>
  <c r="AT160" i="17"/>
  <c r="AE160" i="17"/>
  <c r="AD161" i="17" s="1"/>
  <c r="AA231" i="16"/>
  <c r="AB231" i="16"/>
  <c r="U228" i="16"/>
  <c r="AB228" i="16"/>
  <c r="V228" i="16"/>
  <c r="O228" i="16"/>
  <c r="I228" i="16"/>
  <c r="AA228" i="16"/>
  <c r="P163" i="19"/>
  <c r="N162" i="19"/>
  <c r="M162" i="19"/>
  <c r="Q162" i="19" s="1"/>
  <c r="L163" i="19" s="1"/>
  <c r="AD234" i="3"/>
  <c r="AJ234" i="3" s="1"/>
  <c r="I231" i="16"/>
  <c r="O229" i="16"/>
  <c r="U229" i="16"/>
  <c r="I229" i="16"/>
  <c r="V229" i="16"/>
  <c r="AA229" i="16"/>
  <c r="AB229" i="16"/>
  <c r="S161" i="17"/>
  <c r="W161" i="17" s="1"/>
  <c r="R162" i="17" s="1"/>
  <c r="T161" i="17"/>
  <c r="R165" i="15"/>
  <c r="Q166" i="15" s="1"/>
  <c r="AT166" i="15" s="1"/>
  <c r="U230" i="16"/>
  <c r="AB230" i="16"/>
  <c r="AA230" i="16"/>
  <c r="V230" i="16"/>
  <c r="I230" i="16"/>
  <c r="O230" i="16"/>
  <c r="M162" i="17"/>
  <c r="Q162" i="17" s="1"/>
  <c r="L163" i="17" s="1"/>
  <c r="P163" i="17"/>
  <c r="N162" i="17"/>
  <c r="AY232" i="19"/>
  <c r="AZ233" i="19"/>
  <c r="AX233" i="19"/>
  <c r="C233" i="19"/>
  <c r="E234" i="19"/>
  <c r="AY232" i="16"/>
  <c r="I232" i="16"/>
  <c r="O232" i="16"/>
  <c r="BD233" i="16"/>
  <c r="E234" i="16"/>
  <c r="BA233" i="16"/>
  <c r="BC233" i="16"/>
  <c r="AZ233" i="16"/>
  <c r="AX233" i="16"/>
  <c r="BB233" i="16"/>
  <c r="C233" i="16"/>
  <c r="V232" i="16"/>
  <c r="AA232" i="16"/>
  <c r="AB232" i="16"/>
  <c r="AR232" i="16"/>
  <c r="U232" i="16"/>
  <c r="AY231" i="18"/>
  <c r="AY231" i="17"/>
  <c r="C232" i="17"/>
  <c r="AZ232" i="17"/>
  <c r="E233" i="17"/>
  <c r="AX232" i="17"/>
  <c r="L230" i="18"/>
  <c r="I231" i="18" s="1"/>
  <c r="O231" i="18"/>
  <c r="AQ231" i="18"/>
  <c r="K231" i="18"/>
  <c r="AU231" i="18"/>
  <c r="AS231" i="18"/>
  <c r="AX232" i="18"/>
  <c r="E233" i="18"/>
  <c r="C232" i="18"/>
  <c r="AZ232" i="18"/>
  <c r="AW111" i="18"/>
  <c r="AX111" i="18" s="1"/>
  <c r="AY111" i="18" s="1"/>
  <c r="AY233" i="15"/>
  <c r="F113" i="18"/>
  <c r="AI112" i="18"/>
  <c r="AL112" i="18"/>
  <c r="AM112" i="18" s="1"/>
  <c r="AN112" i="18" s="1"/>
  <c r="AX234" i="15"/>
  <c r="AZ234" i="15"/>
  <c r="C234" i="15"/>
  <c r="P180" i="18"/>
  <c r="M181" i="18" s="1"/>
  <c r="N181" i="18" s="1"/>
  <c r="R179" i="18"/>
  <c r="Q180" i="18" s="1"/>
  <c r="AT180" i="18" s="1"/>
  <c r="T179" i="18"/>
  <c r="BC234" i="3"/>
  <c r="AI233" i="3"/>
  <c r="BE233" i="3" s="1"/>
  <c r="AT196" i="25" l="1"/>
  <c r="AE196" i="25"/>
  <c r="AD197" i="25" s="1"/>
  <c r="S197" i="25"/>
  <c r="W197" i="25" s="1"/>
  <c r="R198" i="25" s="1"/>
  <c r="T197" i="25"/>
  <c r="K5" i="16"/>
  <c r="F6" i="16" s="1"/>
  <c r="G6" i="16" s="1"/>
  <c r="AR5" i="16"/>
  <c r="AB8" i="16"/>
  <c r="V9" i="16"/>
  <c r="AB9" i="16"/>
  <c r="V14" i="16"/>
  <c r="AB14" i="16"/>
  <c r="V19" i="16"/>
  <c r="AB19" i="16"/>
  <c r="V17" i="16"/>
  <c r="AB17" i="16"/>
  <c r="AB18" i="16"/>
  <c r="V18" i="16"/>
  <c r="AB6" i="16"/>
  <c r="V6" i="16"/>
  <c r="V16" i="16"/>
  <c r="V7" i="16"/>
  <c r="AB7" i="16"/>
  <c r="AB10" i="16"/>
  <c r="V10" i="16"/>
  <c r="V15" i="16"/>
  <c r="AB15" i="16"/>
  <c r="AB11" i="16"/>
  <c r="V12" i="16"/>
  <c r="AB12" i="16"/>
  <c r="V5" i="16"/>
  <c r="U5" i="16"/>
  <c r="AA5" i="16"/>
  <c r="AB5" i="16"/>
  <c r="AB13" i="16"/>
  <c r="AP92" i="29"/>
  <c r="K92" i="29"/>
  <c r="AU92" i="29" s="1"/>
  <c r="AI92" i="29"/>
  <c r="AJ92" i="29" s="1"/>
  <c r="AK92" i="29" s="1"/>
  <c r="O93" i="28"/>
  <c r="N93" i="28"/>
  <c r="M93" i="28"/>
  <c r="P94" i="28"/>
  <c r="O93" i="29"/>
  <c r="M93" i="29"/>
  <c r="N93" i="29"/>
  <c r="P94" i="29"/>
  <c r="P135" i="24"/>
  <c r="M136" i="24" s="1"/>
  <c r="Z137" i="25"/>
  <c r="Y137" i="25"/>
  <c r="AG137" i="25" s="1"/>
  <c r="AF138" i="25" s="1"/>
  <c r="K122" i="24"/>
  <c r="R122" i="24" s="1"/>
  <c r="Q123" i="24" s="1"/>
  <c r="J122" i="24"/>
  <c r="AY231" i="29"/>
  <c r="AC125" i="29"/>
  <c r="X126" i="29" s="1"/>
  <c r="AA126" i="29" s="1"/>
  <c r="AE126" i="29" s="1"/>
  <c r="AD127" i="29" s="1"/>
  <c r="T218" i="29"/>
  <c r="S218" i="29"/>
  <c r="W218" i="29" s="1"/>
  <c r="R219" i="29" s="1"/>
  <c r="U219" i="29" s="1"/>
  <c r="C232" i="29"/>
  <c r="AX232" i="29"/>
  <c r="AZ232" i="29"/>
  <c r="E233" i="29"/>
  <c r="T180" i="26"/>
  <c r="S181" i="26" s="1"/>
  <c r="P180" i="26"/>
  <c r="M181" i="26" s="1"/>
  <c r="N181" i="26" s="1"/>
  <c r="P181" i="26" s="1"/>
  <c r="M182" i="26" s="1"/>
  <c r="F89" i="26"/>
  <c r="AL88" i="26"/>
  <c r="AI88" i="26"/>
  <c r="J227" i="26"/>
  <c r="L227" i="26" s="1"/>
  <c r="I228" i="26" s="1"/>
  <c r="AT180" i="26"/>
  <c r="R180" i="26"/>
  <c r="Q181" i="26" s="1"/>
  <c r="O232" i="26"/>
  <c r="AQ232" i="26"/>
  <c r="AS232" i="26"/>
  <c r="AU232" i="26"/>
  <c r="K232" i="26"/>
  <c r="AX233" i="26"/>
  <c r="C233" i="26"/>
  <c r="AZ233" i="26"/>
  <c r="E234" i="26"/>
  <c r="AY232" i="26"/>
  <c r="AY232" i="28"/>
  <c r="T192" i="28"/>
  <c r="S192" i="28"/>
  <c r="W192" i="28" s="1"/>
  <c r="R193" i="28" s="1"/>
  <c r="V193" i="28" s="1"/>
  <c r="Z132" i="28"/>
  <c r="Y132" i="28"/>
  <c r="AC132" i="28" s="1"/>
  <c r="X133" i="28" s="1"/>
  <c r="AB133" i="28" s="1"/>
  <c r="AT191" i="28"/>
  <c r="AE191" i="28"/>
  <c r="AD192" i="28" s="1"/>
  <c r="AG131" i="28"/>
  <c r="AF132" i="28" s="1"/>
  <c r="H92" i="28"/>
  <c r="AP92" i="28" s="1"/>
  <c r="J93" i="28"/>
  <c r="G92" i="28"/>
  <c r="AI92" i="28" s="1"/>
  <c r="C233" i="28"/>
  <c r="AX233" i="28"/>
  <c r="AZ233" i="28"/>
  <c r="E234" i="28"/>
  <c r="AW82" i="15"/>
  <c r="AX82" i="15" s="1"/>
  <c r="AY82" i="15" s="1"/>
  <c r="G114" i="25"/>
  <c r="K114" i="25" s="1"/>
  <c r="J115" i="25"/>
  <c r="H114" i="25"/>
  <c r="AA232" i="25"/>
  <c r="AB232" i="25"/>
  <c r="AR232" i="25"/>
  <c r="V232" i="25"/>
  <c r="U232" i="25"/>
  <c r="BA233" i="25"/>
  <c r="BB233" i="25"/>
  <c r="BC233" i="25"/>
  <c r="AI110" i="25"/>
  <c r="AQ110" i="25"/>
  <c r="AU110" i="25"/>
  <c r="AS110" i="25"/>
  <c r="AX233" i="25"/>
  <c r="AZ233" i="25"/>
  <c r="BD233" i="25"/>
  <c r="C233" i="25"/>
  <c r="E234" i="25"/>
  <c r="AY232" i="24"/>
  <c r="AY232" i="25"/>
  <c r="L111" i="25"/>
  <c r="AQ232" i="24"/>
  <c r="AS232" i="24"/>
  <c r="AU232" i="24"/>
  <c r="AX233" i="24"/>
  <c r="C233" i="24"/>
  <c r="AZ233" i="24"/>
  <c r="E234" i="24"/>
  <c r="F84" i="24"/>
  <c r="AL83" i="24"/>
  <c r="AM83" i="24" s="1"/>
  <c r="AI83" i="24"/>
  <c r="AJ83" i="24" s="1"/>
  <c r="H83" i="15"/>
  <c r="AL83" i="15" s="1"/>
  <c r="AM83" i="15" s="1"/>
  <c r="AN83" i="15" s="1"/>
  <c r="K234" i="15"/>
  <c r="O234" i="15"/>
  <c r="AQ234" i="15"/>
  <c r="AS234" i="15"/>
  <c r="AU234" i="15"/>
  <c r="P195" i="15"/>
  <c r="M196" i="15" s="1"/>
  <c r="N196" i="15" s="1"/>
  <c r="AW91" i="28"/>
  <c r="AX91" i="28" s="1"/>
  <c r="AY91" i="28" s="1"/>
  <c r="O231" i="25"/>
  <c r="I231" i="25"/>
  <c r="BF234" i="3"/>
  <c r="T166" i="15"/>
  <c r="S167" i="15" s="1"/>
  <c r="AR233" i="19"/>
  <c r="AG142" i="17"/>
  <c r="AF143" i="17" s="1"/>
  <c r="F66" i="19"/>
  <c r="AU65" i="19"/>
  <c r="AS65" i="19"/>
  <c r="AQ65" i="19"/>
  <c r="J75" i="17"/>
  <c r="G74" i="17"/>
  <c r="AL74" i="17" s="1"/>
  <c r="AM74" i="17" s="1"/>
  <c r="AN74" i="17" s="1"/>
  <c r="H74" i="17"/>
  <c r="AI73" i="17"/>
  <c r="AJ73" i="17" s="1"/>
  <c r="AK73" i="17" s="1"/>
  <c r="AL73" i="17"/>
  <c r="AM73" i="17" s="1"/>
  <c r="AN73" i="17" s="1"/>
  <c r="AS73" i="17"/>
  <c r="Y143" i="17"/>
  <c r="AC143" i="17" s="1"/>
  <c r="X144" i="17" s="1"/>
  <c r="Z143" i="17"/>
  <c r="AU73" i="17"/>
  <c r="AQ73" i="17"/>
  <c r="AO73" i="17"/>
  <c r="AP73" i="17"/>
  <c r="Z145" i="19"/>
  <c r="Y145" i="19"/>
  <c r="AC145" i="19" s="1"/>
  <c r="X146" i="19" s="1"/>
  <c r="AG144" i="19"/>
  <c r="AF145" i="19" s="1"/>
  <c r="O19" i="16"/>
  <c r="O15" i="16"/>
  <c r="AA226" i="16"/>
  <c r="O226" i="16"/>
  <c r="I226" i="16"/>
  <c r="O8" i="16"/>
  <c r="AT153" i="19"/>
  <c r="AE153" i="19"/>
  <c r="AD154" i="19" s="1"/>
  <c r="V226" i="16"/>
  <c r="S154" i="19"/>
  <c r="W154" i="19" s="1"/>
  <c r="R155" i="19" s="1"/>
  <c r="T154" i="19"/>
  <c r="L166" i="15"/>
  <c r="I167" i="15" s="1"/>
  <c r="J167" i="15" s="1"/>
  <c r="O18" i="16"/>
  <c r="O10" i="16"/>
  <c r="U226" i="16"/>
  <c r="O9" i="16"/>
  <c r="O7" i="16"/>
  <c r="O215" i="16"/>
  <c r="I215" i="16"/>
  <c r="U215" i="16"/>
  <c r="AB215" i="16"/>
  <c r="V215" i="16"/>
  <c r="AA215" i="16"/>
  <c r="V200" i="16"/>
  <c r="U200" i="16"/>
  <c r="AA200" i="16"/>
  <c r="I200" i="16"/>
  <c r="AB200" i="16"/>
  <c r="O200" i="16"/>
  <c r="I192" i="16"/>
  <c r="U192" i="16"/>
  <c r="O192" i="16"/>
  <c r="V192" i="16"/>
  <c r="AA192" i="16"/>
  <c r="AB192" i="16"/>
  <c r="AA191" i="16"/>
  <c r="U191" i="16"/>
  <c r="V191" i="16"/>
  <c r="O191" i="16"/>
  <c r="AB191" i="16"/>
  <c r="I191" i="16"/>
  <c r="O163" i="16"/>
  <c r="AB163" i="16"/>
  <c r="V163" i="16"/>
  <c r="AA163" i="16"/>
  <c r="I163" i="16"/>
  <c r="U163" i="16"/>
  <c r="I156" i="16"/>
  <c r="O156" i="16"/>
  <c r="V156" i="16"/>
  <c r="AB156" i="16"/>
  <c r="AA156" i="16"/>
  <c r="U156" i="16"/>
  <c r="O153" i="16"/>
  <c r="U153" i="16"/>
  <c r="V153" i="16"/>
  <c r="AA153" i="16"/>
  <c r="I153" i="16"/>
  <c r="AB153" i="16"/>
  <c r="AB138" i="16"/>
  <c r="I138" i="16"/>
  <c r="AA138" i="16"/>
  <c r="U138" i="16"/>
  <c r="V138" i="16"/>
  <c r="O138" i="16"/>
  <c r="O124" i="16"/>
  <c r="V124" i="16"/>
  <c r="I124" i="16"/>
  <c r="U124" i="16"/>
  <c r="AB124" i="16"/>
  <c r="AA124" i="16"/>
  <c r="V114" i="16"/>
  <c r="I114" i="16"/>
  <c r="AA114" i="16"/>
  <c r="AB114" i="16"/>
  <c r="O114" i="16"/>
  <c r="U114" i="16"/>
  <c r="AA109" i="16"/>
  <c r="U109" i="16"/>
  <c r="AB109" i="16"/>
  <c r="V109" i="16"/>
  <c r="I109" i="16"/>
  <c r="O109" i="16"/>
  <c r="AA104" i="16"/>
  <c r="AB104" i="16"/>
  <c r="U104" i="16"/>
  <c r="I104" i="16"/>
  <c r="V104" i="16"/>
  <c r="O104" i="16"/>
  <c r="AB82" i="16"/>
  <c r="O82" i="16"/>
  <c r="U82" i="16"/>
  <c r="AA82" i="16"/>
  <c r="V82" i="16"/>
  <c r="I82" i="16"/>
  <c r="U74" i="16"/>
  <c r="O74" i="16"/>
  <c r="V74" i="16"/>
  <c r="I74" i="16"/>
  <c r="AB74" i="16"/>
  <c r="AA74" i="16"/>
  <c r="V51" i="16"/>
  <c r="AB51" i="16"/>
  <c r="O51" i="16"/>
  <c r="AA51" i="16"/>
  <c r="I51" i="16"/>
  <c r="U51" i="16"/>
  <c r="AB41" i="16"/>
  <c r="AA41" i="16"/>
  <c r="O41" i="16"/>
  <c r="I41" i="16"/>
  <c r="U41" i="16"/>
  <c r="V41" i="16"/>
  <c r="I30" i="16"/>
  <c r="AB30" i="16"/>
  <c r="U30" i="16"/>
  <c r="V30" i="16"/>
  <c r="AA30" i="16"/>
  <c r="O30" i="16"/>
  <c r="AI234" i="3"/>
  <c r="BE234" i="3" s="1"/>
  <c r="N163" i="19"/>
  <c r="M163" i="19"/>
  <c r="Q163" i="19" s="1"/>
  <c r="L164" i="19" s="1"/>
  <c r="P164" i="19"/>
  <c r="I219" i="16"/>
  <c r="AA219" i="16"/>
  <c r="O219" i="16"/>
  <c r="AB219" i="16"/>
  <c r="U219" i="16"/>
  <c r="V219" i="16"/>
  <c r="V213" i="16"/>
  <c r="U213" i="16"/>
  <c r="AB213" i="16"/>
  <c r="AA213" i="16"/>
  <c r="I213" i="16"/>
  <c r="O213" i="16"/>
  <c r="I210" i="16"/>
  <c r="U210" i="16"/>
  <c r="O210" i="16"/>
  <c r="V210" i="16"/>
  <c r="AB210" i="16"/>
  <c r="AA210" i="16"/>
  <c r="AB208" i="16"/>
  <c r="U208" i="16"/>
  <c r="V208" i="16"/>
  <c r="AA208" i="16"/>
  <c r="O208" i="16"/>
  <c r="I208" i="16"/>
  <c r="U207" i="16"/>
  <c r="I207" i="16"/>
  <c r="AB207" i="16"/>
  <c r="AA207" i="16"/>
  <c r="O207" i="16"/>
  <c r="V207" i="16"/>
  <c r="I203" i="16"/>
  <c r="U203" i="16"/>
  <c r="AB203" i="16"/>
  <c r="O203" i="16"/>
  <c r="AA203" i="16"/>
  <c r="V203" i="16"/>
  <c r="U198" i="16"/>
  <c r="AA198" i="16"/>
  <c r="O198" i="16"/>
  <c r="I198" i="16"/>
  <c r="AB198" i="16"/>
  <c r="V198" i="16"/>
  <c r="O195" i="16"/>
  <c r="AB195" i="16"/>
  <c r="I195" i="16"/>
  <c r="V195" i="16"/>
  <c r="AA195" i="16"/>
  <c r="U195" i="16"/>
  <c r="O193" i="16"/>
  <c r="U193" i="16"/>
  <c r="AB193" i="16"/>
  <c r="AA193" i="16"/>
  <c r="V193" i="16"/>
  <c r="I193" i="16"/>
  <c r="AA189" i="16"/>
  <c r="U189" i="16"/>
  <c r="V189" i="16"/>
  <c r="O189" i="16"/>
  <c r="I189" i="16"/>
  <c r="AB189" i="16"/>
  <c r="AB185" i="16"/>
  <c r="AA185" i="16"/>
  <c r="I185" i="16"/>
  <c r="V185" i="16"/>
  <c r="O185" i="16"/>
  <c r="U185" i="16"/>
  <c r="V184" i="16"/>
  <c r="O184" i="16"/>
  <c r="I184" i="16"/>
  <c r="U184" i="16"/>
  <c r="AA184" i="16"/>
  <c r="AB184" i="16"/>
  <c r="V181" i="16"/>
  <c r="O181" i="16"/>
  <c r="AB181" i="16"/>
  <c r="I181" i="16"/>
  <c r="U181" i="16"/>
  <c r="AA181" i="16"/>
  <c r="AA172" i="16"/>
  <c r="U172" i="16"/>
  <c r="V172" i="16"/>
  <c r="I172" i="16"/>
  <c r="AB172" i="16"/>
  <c r="O172" i="16"/>
  <c r="U171" i="16"/>
  <c r="I171" i="16"/>
  <c r="V171" i="16"/>
  <c r="O171" i="16"/>
  <c r="AA171" i="16"/>
  <c r="AB171" i="16"/>
  <c r="U169" i="16"/>
  <c r="I169" i="16"/>
  <c r="O169" i="16"/>
  <c r="AA169" i="16"/>
  <c r="V169" i="16"/>
  <c r="AB169" i="16"/>
  <c r="I168" i="16"/>
  <c r="U168" i="16"/>
  <c r="O168" i="16"/>
  <c r="AB168" i="16"/>
  <c r="AA168" i="16"/>
  <c r="V168" i="16"/>
  <c r="I161" i="16"/>
  <c r="AB161" i="16"/>
  <c r="O161" i="16"/>
  <c r="U161" i="16"/>
  <c r="AA161" i="16"/>
  <c r="V161" i="16"/>
  <c r="I162" i="16"/>
  <c r="O162" i="16"/>
  <c r="AA162" i="16"/>
  <c r="AB162" i="16"/>
  <c r="V162" i="16"/>
  <c r="U162" i="16"/>
  <c r="V157" i="16"/>
  <c r="AB157" i="16"/>
  <c r="AA157" i="16"/>
  <c r="U157" i="16"/>
  <c r="O157" i="16"/>
  <c r="I157" i="16"/>
  <c r="AB151" i="16"/>
  <c r="U151" i="16"/>
  <c r="AA151" i="16"/>
  <c r="O151" i="16"/>
  <c r="V151" i="16"/>
  <c r="I151" i="16"/>
  <c r="I147" i="16"/>
  <c r="U147" i="16"/>
  <c r="V147" i="16"/>
  <c r="AA147" i="16"/>
  <c r="O147" i="16"/>
  <c r="AB147" i="16"/>
  <c r="AB145" i="16"/>
  <c r="AA145" i="16"/>
  <c r="I145" i="16"/>
  <c r="O145" i="16"/>
  <c r="U145" i="16"/>
  <c r="V145" i="16"/>
  <c r="V139" i="16"/>
  <c r="U139" i="16"/>
  <c r="O139" i="16"/>
  <c r="I139" i="16"/>
  <c r="AB139" i="16"/>
  <c r="AA139" i="16"/>
  <c r="AA137" i="16"/>
  <c r="O137" i="16"/>
  <c r="U137" i="16"/>
  <c r="AB137" i="16"/>
  <c r="I137" i="16"/>
  <c r="V137" i="16"/>
  <c r="AA135" i="16"/>
  <c r="V135" i="16"/>
  <c r="AB135" i="16"/>
  <c r="I135" i="16"/>
  <c r="U135" i="16"/>
  <c r="O135" i="16"/>
  <c r="I134" i="16"/>
  <c r="O134" i="16"/>
  <c r="AB134" i="16"/>
  <c r="U134" i="16"/>
  <c r="V134" i="16"/>
  <c r="AA134" i="16"/>
  <c r="AA129" i="16"/>
  <c r="U129" i="16"/>
  <c r="I129" i="16"/>
  <c r="V129" i="16"/>
  <c r="O129" i="16"/>
  <c r="AB129" i="16"/>
  <c r="AB127" i="16"/>
  <c r="O127" i="16"/>
  <c r="U127" i="16"/>
  <c r="I127" i="16"/>
  <c r="AA127" i="16"/>
  <c r="V127" i="16"/>
  <c r="I125" i="16"/>
  <c r="AB125" i="16"/>
  <c r="U125" i="16"/>
  <c r="V125" i="16"/>
  <c r="O125" i="16"/>
  <c r="AA125" i="16"/>
  <c r="O120" i="16"/>
  <c r="AA120" i="16"/>
  <c r="V120" i="16"/>
  <c r="AB120" i="16"/>
  <c r="I120" i="16"/>
  <c r="U120" i="16"/>
  <c r="U119" i="16"/>
  <c r="V119" i="16"/>
  <c r="AA119" i="16"/>
  <c r="I119" i="16"/>
  <c r="O119" i="16"/>
  <c r="AB119" i="16"/>
  <c r="U111" i="16"/>
  <c r="AB111" i="16"/>
  <c r="V111" i="16"/>
  <c r="I111" i="16"/>
  <c r="O111" i="16"/>
  <c r="AA111" i="16"/>
  <c r="I108" i="16"/>
  <c r="AB108" i="16"/>
  <c r="O108" i="16"/>
  <c r="V108" i="16"/>
  <c r="AA108" i="16"/>
  <c r="U108" i="16"/>
  <c r="I101" i="16"/>
  <c r="O101" i="16"/>
  <c r="V101" i="16"/>
  <c r="AA101" i="16"/>
  <c r="AB101" i="16"/>
  <c r="U101" i="16"/>
  <c r="O97" i="16"/>
  <c r="AB97" i="16"/>
  <c r="I97" i="16"/>
  <c r="U97" i="16"/>
  <c r="V97" i="16"/>
  <c r="AA97" i="16"/>
  <c r="I96" i="16"/>
  <c r="AB96" i="16"/>
  <c r="U96" i="16"/>
  <c r="O96" i="16"/>
  <c r="V96" i="16"/>
  <c r="AA96" i="16"/>
  <c r="I91" i="16"/>
  <c r="AB91" i="16"/>
  <c r="O91" i="16"/>
  <c r="U91" i="16"/>
  <c r="V91" i="16"/>
  <c r="AA91" i="16"/>
  <c r="O90" i="16"/>
  <c r="I90" i="16"/>
  <c r="AA90" i="16"/>
  <c r="AB90" i="16"/>
  <c r="V90" i="16"/>
  <c r="U90" i="16"/>
  <c r="V84" i="16"/>
  <c r="AA84" i="16"/>
  <c r="AB84" i="16"/>
  <c r="O84" i="16"/>
  <c r="I84" i="16"/>
  <c r="U84" i="16"/>
  <c r="O76" i="16"/>
  <c r="U76" i="16"/>
  <c r="I76" i="16"/>
  <c r="V76" i="16"/>
  <c r="AA76" i="16"/>
  <c r="AB76" i="16"/>
  <c r="I78" i="16"/>
  <c r="AB78" i="16"/>
  <c r="AA78" i="16"/>
  <c r="O78" i="16"/>
  <c r="U78" i="16"/>
  <c r="V78" i="16"/>
  <c r="AB69" i="16"/>
  <c r="V69" i="16"/>
  <c r="AA69" i="16"/>
  <c r="I69" i="16"/>
  <c r="U69" i="16"/>
  <c r="O69" i="16"/>
  <c r="AB67" i="16"/>
  <c r="U67" i="16"/>
  <c r="I67" i="16"/>
  <c r="V67" i="16"/>
  <c r="O67" i="16"/>
  <c r="AA67" i="16"/>
  <c r="AB64" i="16"/>
  <c r="U64" i="16"/>
  <c r="V64" i="16"/>
  <c r="I64" i="16"/>
  <c r="O64" i="16"/>
  <c r="AA64" i="16"/>
  <c r="I59" i="16"/>
  <c r="O59" i="16"/>
  <c r="U59" i="16"/>
  <c r="V59" i="16"/>
  <c r="AA59" i="16"/>
  <c r="AB59" i="16"/>
  <c r="O55" i="16"/>
  <c r="AB55" i="16"/>
  <c r="U55" i="16"/>
  <c r="AA55" i="16"/>
  <c r="V55" i="16"/>
  <c r="I55" i="16"/>
  <c r="I52" i="16"/>
  <c r="V52" i="16"/>
  <c r="O52" i="16"/>
  <c r="U52" i="16"/>
  <c r="AA52" i="16"/>
  <c r="AB52" i="16"/>
  <c r="AA39" i="16"/>
  <c r="I39" i="16"/>
  <c r="AB39" i="16"/>
  <c r="U39" i="16"/>
  <c r="O39" i="16"/>
  <c r="V39" i="16"/>
  <c r="O37" i="16"/>
  <c r="I37" i="16"/>
  <c r="V37" i="16"/>
  <c r="AA37" i="16"/>
  <c r="AB37" i="16"/>
  <c r="U37" i="16"/>
  <c r="AA32" i="16"/>
  <c r="V32" i="16"/>
  <c r="I32" i="16"/>
  <c r="U32" i="16"/>
  <c r="O32" i="16"/>
  <c r="AB32" i="16"/>
  <c r="O24" i="16"/>
  <c r="I24" i="16"/>
  <c r="V24" i="16"/>
  <c r="U24" i="16"/>
  <c r="AB24" i="16"/>
  <c r="AA24" i="16"/>
  <c r="O14" i="16"/>
  <c r="O12" i="16"/>
  <c r="P6" i="16"/>
  <c r="J6" i="16"/>
  <c r="T162" i="17"/>
  <c r="S162" i="17"/>
  <c r="W162" i="17" s="1"/>
  <c r="R163" i="17" s="1"/>
  <c r="AB222" i="16"/>
  <c r="I222" i="16"/>
  <c r="AA222" i="16"/>
  <c r="V222" i="16"/>
  <c r="O222" i="16"/>
  <c r="U222" i="16"/>
  <c r="I216" i="16"/>
  <c r="AB216" i="16"/>
  <c r="AA216" i="16"/>
  <c r="V216" i="16"/>
  <c r="O216" i="16"/>
  <c r="U216" i="16"/>
  <c r="O209" i="16"/>
  <c r="I209" i="16"/>
  <c r="AB209" i="16"/>
  <c r="AA209" i="16"/>
  <c r="V209" i="16"/>
  <c r="U209" i="16"/>
  <c r="O202" i="16"/>
  <c r="V202" i="16"/>
  <c r="I202" i="16"/>
  <c r="AA202" i="16"/>
  <c r="U202" i="16"/>
  <c r="AB202" i="16"/>
  <c r="AA186" i="16"/>
  <c r="AB186" i="16"/>
  <c r="O186" i="16"/>
  <c r="I186" i="16"/>
  <c r="V186" i="16"/>
  <c r="U186" i="16"/>
  <c r="O177" i="16"/>
  <c r="AA177" i="16"/>
  <c r="V177" i="16"/>
  <c r="U177" i="16"/>
  <c r="I177" i="16"/>
  <c r="AB177" i="16"/>
  <c r="I123" i="16"/>
  <c r="V123" i="16"/>
  <c r="AB123" i="16"/>
  <c r="O123" i="16"/>
  <c r="AA123" i="16"/>
  <c r="U123" i="16"/>
  <c r="AB116" i="16"/>
  <c r="V116" i="16"/>
  <c r="O116" i="16"/>
  <c r="U116" i="16"/>
  <c r="I116" i="16"/>
  <c r="AA116" i="16"/>
  <c r="AA110" i="16"/>
  <c r="AB110" i="16"/>
  <c r="V110" i="16"/>
  <c r="U110" i="16"/>
  <c r="I110" i="16"/>
  <c r="O110" i="16"/>
  <c r="O72" i="16"/>
  <c r="V72" i="16"/>
  <c r="I72" i="16"/>
  <c r="AA72" i="16"/>
  <c r="U72" i="16"/>
  <c r="AB72" i="16"/>
  <c r="AA57" i="16"/>
  <c r="O57" i="16"/>
  <c r="AB57" i="16"/>
  <c r="I57" i="16"/>
  <c r="U57" i="16"/>
  <c r="V57" i="16"/>
  <c r="O47" i="16"/>
  <c r="V47" i="16"/>
  <c r="I47" i="16"/>
  <c r="AA47" i="16"/>
  <c r="U47" i="16"/>
  <c r="AB47" i="16"/>
  <c r="U44" i="16"/>
  <c r="I44" i="16"/>
  <c r="AB44" i="16"/>
  <c r="AA44" i="16"/>
  <c r="O44" i="16"/>
  <c r="V44" i="16"/>
  <c r="I21" i="16"/>
  <c r="AA21" i="16"/>
  <c r="V21" i="16"/>
  <c r="O21" i="16"/>
  <c r="U21" i="16"/>
  <c r="AB21" i="16"/>
  <c r="R166" i="15"/>
  <c r="Q167" i="15" s="1"/>
  <c r="AT167" i="15" s="1"/>
  <c r="AT161" i="17"/>
  <c r="AE161" i="17"/>
  <c r="AD162" i="17" s="1"/>
  <c r="AA223" i="16"/>
  <c r="V223" i="16"/>
  <c r="O223" i="16"/>
  <c r="U223" i="16"/>
  <c r="AB223" i="16"/>
  <c r="I223" i="16"/>
  <c r="O220" i="16"/>
  <c r="AA220" i="16"/>
  <c r="AB220" i="16"/>
  <c r="I220" i="16"/>
  <c r="V220" i="16"/>
  <c r="U220" i="16"/>
  <c r="I218" i="16"/>
  <c r="AA218" i="16"/>
  <c r="O218" i="16"/>
  <c r="V218" i="16"/>
  <c r="AB218" i="16"/>
  <c r="U218" i="16"/>
  <c r="U206" i="16"/>
  <c r="AB206" i="16"/>
  <c r="I206" i="16"/>
  <c r="AA206" i="16"/>
  <c r="O206" i="16"/>
  <c r="V206" i="16"/>
  <c r="O205" i="16"/>
  <c r="V205" i="16"/>
  <c r="AA205" i="16"/>
  <c r="AB205" i="16"/>
  <c r="I205" i="16"/>
  <c r="U205" i="16"/>
  <c r="O204" i="16"/>
  <c r="U204" i="16"/>
  <c r="I204" i="16"/>
  <c r="AA204" i="16"/>
  <c r="V204" i="16"/>
  <c r="AB204" i="16"/>
  <c r="V199" i="16"/>
  <c r="O199" i="16"/>
  <c r="I199" i="16"/>
  <c r="AA199" i="16"/>
  <c r="AB199" i="16"/>
  <c r="U199" i="16"/>
  <c r="AB196" i="16"/>
  <c r="U196" i="16"/>
  <c r="AA196" i="16"/>
  <c r="I196" i="16"/>
  <c r="O196" i="16"/>
  <c r="V196" i="16"/>
  <c r="U194" i="16"/>
  <c r="O194" i="16"/>
  <c r="AA194" i="16"/>
  <c r="I194" i="16"/>
  <c r="V194" i="16"/>
  <c r="AB194" i="16"/>
  <c r="I187" i="16"/>
  <c r="AA187" i="16"/>
  <c r="O187" i="16"/>
  <c r="V187" i="16"/>
  <c r="U187" i="16"/>
  <c r="AB187" i="16"/>
  <c r="AB188" i="16"/>
  <c r="O188" i="16"/>
  <c r="V188" i="16"/>
  <c r="AA188" i="16"/>
  <c r="U188" i="16"/>
  <c r="I188" i="16"/>
  <c r="AB182" i="16"/>
  <c r="I182" i="16"/>
  <c r="AA182" i="16"/>
  <c r="V182" i="16"/>
  <c r="U182" i="16"/>
  <c r="O182" i="16"/>
  <c r="O179" i="16"/>
  <c r="AA179" i="16"/>
  <c r="AB179" i="16"/>
  <c r="V179" i="16"/>
  <c r="U179" i="16"/>
  <c r="I179" i="16"/>
  <c r="U176" i="16"/>
  <c r="O176" i="16"/>
  <c r="AA176" i="16"/>
  <c r="AB176" i="16"/>
  <c r="V176" i="16"/>
  <c r="I176" i="16"/>
  <c r="I173" i="16"/>
  <c r="O173" i="16"/>
  <c r="V173" i="16"/>
  <c r="AA173" i="16"/>
  <c r="U173" i="16"/>
  <c r="AB173" i="16"/>
  <c r="AA170" i="16"/>
  <c r="AB170" i="16"/>
  <c r="U170" i="16"/>
  <c r="O170" i="16"/>
  <c r="V170" i="16"/>
  <c r="I170" i="16"/>
  <c r="I167" i="16"/>
  <c r="U167" i="16"/>
  <c r="V167" i="16"/>
  <c r="O167" i="16"/>
  <c r="AB167" i="16"/>
  <c r="AA167" i="16"/>
  <c r="O164" i="16"/>
  <c r="AB164" i="16"/>
  <c r="V164" i="16"/>
  <c r="U164" i="16"/>
  <c r="I164" i="16"/>
  <c r="AA164" i="16"/>
  <c r="O159" i="16"/>
  <c r="I159" i="16"/>
  <c r="AB159" i="16"/>
  <c r="V159" i="16"/>
  <c r="AA159" i="16"/>
  <c r="U159" i="16"/>
  <c r="O155" i="16"/>
  <c r="V155" i="16"/>
  <c r="I155" i="16"/>
  <c r="AA155" i="16"/>
  <c r="U155" i="16"/>
  <c r="AB155" i="16"/>
  <c r="O150" i="16"/>
  <c r="AA150" i="16"/>
  <c r="I150" i="16"/>
  <c r="AB150" i="16"/>
  <c r="U150" i="16"/>
  <c r="V150" i="16"/>
  <c r="U142" i="16"/>
  <c r="V142" i="16"/>
  <c r="O142" i="16"/>
  <c r="I142" i="16"/>
  <c r="AB142" i="16"/>
  <c r="AA142" i="16"/>
  <c r="I136" i="16"/>
  <c r="AA136" i="16"/>
  <c r="V136" i="16"/>
  <c r="U136" i="16"/>
  <c r="AB136" i="16"/>
  <c r="O136" i="16"/>
  <c r="V131" i="16"/>
  <c r="I131" i="16"/>
  <c r="AA131" i="16"/>
  <c r="AB131" i="16"/>
  <c r="O131" i="16"/>
  <c r="U131" i="16"/>
  <c r="U121" i="16"/>
  <c r="O121" i="16"/>
  <c r="V121" i="16"/>
  <c r="I121" i="16"/>
  <c r="AB121" i="16"/>
  <c r="AA121" i="16"/>
  <c r="V117" i="16"/>
  <c r="AA117" i="16"/>
  <c r="I117" i="16"/>
  <c r="O117" i="16"/>
  <c r="AB117" i="16"/>
  <c r="U117" i="16"/>
  <c r="O112" i="16"/>
  <c r="U112" i="16"/>
  <c r="V112" i="16"/>
  <c r="AB112" i="16"/>
  <c r="I112" i="16"/>
  <c r="AA112" i="16"/>
  <c r="O107" i="16"/>
  <c r="U107" i="16"/>
  <c r="AA107" i="16"/>
  <c r="I107" i="16"/>
  <c r="V107" i="16"/>
  <c r="AB107" i="16"/>
  <c r="V105" i="16"/>
  <c r="O105" i="16"/>
  <c r="AA105" i="16"/>
  <c r="AB105" i="16"/>
  <c r="I105" i="16"/>
  <c r="U105" i="16"/>
  <c r="AA100" i="16"/>
  <c r="I100" i="16"/>
  <c r="AB100" i="16"/>
  <c r="O100" i="16"/>
  <c r="V100" i="16"/>
  <c r="U100" i="16"/>
  <c r="AB98" i="16"/>
  <c r="U98" i="16"/>
  <c r="I98" i="16"/>
  <c r="O98" i="16"/>
  <c r="AA98" i="16"/>
  <c r="V98" i="16"/>
  <c r="I94" i="16"/>
  <c r="AB94" i="16"/>
  <c r="AA94" i="16"/>
  <c r="O94" i="16"/>
  <c r="U94" i="16"/>
  <c r="V94" i="16"/>
  <c r="U93" i="16"/>
  <c r="AA93" i="16"/>
  <c r="I93" i="16"/>
  <c r="V93" i="16"/>
  <c r="AB93" i="16"/>
  <c r="O93" i="16"/>
  <c r="O88" i="16"/>
  <c r="AA88" i="16"/>
  <c r="V88" i="16"/>
  <c r="U88" i="16"/>
  <c r="AB88" i="16"/>
  <c r="I88" i="16"/>
  <c r="AA87" i="16"/>
  <c r="V87" i="16"/>
  <c r="O87" i="16"/>
  <c r="I87" i="16"/>
  <c r="U87" i="16"/>
  <c r="AB87" i="16"/>
  <c r="O85" i="16"/>
  <c r="AA85" i="16"/>
  <c r="AB85" i="16"/>
  <c r="I85" i="16"/>
  <c r="U85" i="16"/>
  <c r="V85" i="16"/>
  <c r="I81" i="16"/>
  <c r="V81" i="16"/>
  <c r="AA81" i="16"/>
  <c r="O81" i="16"/>
  <c r="U81" i="16"/>
  <c r="AB81" i="16"/>
  <c r="O79" i="16"/>
  <c r="AB79" i="16"/>
  <c r="U79" i="16"/>
  <c r="I79" i="16"/>
  <c r="V79" i="16"/>
  <c r="AA79" i="16"/>
  <c r="AB77" i="16"/>
  <c r="O77" i="16"/>
  <c r="I77" i="16"/>
  <c r="U77" i="16"/>
  <c r="V77" i="16"/>
  <c r="AA77" i="16"/>
  <c r="U75" i="16"/>
  <c r="V75" i="16"/>
  <c r="O75" i="16"/>
  <c r="AA75" i="16"/>
  <c r="AB75" i="16"/>
  <c r="I75" i="16"/>
  <c r="O73" i="16"/>
  <c r="AA73" i="16"/>
  <c r="V73" i="16"/>
  <c r="I73" i="16"/>
  <c r="AB73" i="16"/>
  <c r="U73" i="16"/>
  <c r="AA70" i="16"/>
  <c r="AB70" i="16"/>
  <c r="O70" i="16"/>
  <c r="V70" i="16"/>
  <c r="U70" i="16"/>
  <c r="I70" i="16"/>
  <c r="O71" i="16"/>
  <c r="AA71" i="16"/>
  <c r="V71" i="16"/>
  <c r="U71" i="16"/>
  <c r="I71" i="16"/>
  <c r="AB71" i="16"/>
  <c r="O68" i="16"/>
  <c r="I68" i="16"/>
  <c r="V68" i="16"/>
  <c r="AB68" i="16"/>
  <c r="U68" i="16"/>
  <c r="AA68" i="16"/>
  <c r="O66" i="16"/>
  <c r="AB66" i="16"/>
  <c r="AA66" i="16"/>
  <c r="V66" i="16"/>
  <c r="I66" i="16"/>
  <c r="U66" i="16"/>
  <c r="V65" i="16"/>
  <c r="I65" i="16"/>
  <c r="U65" i="16"/>
  <c r="O65" i="16"/>
  <c r="AB65" i="16"/>
  <c r="AA65" i="16"/>
  <c r="AA60" i="16"/>
  <c r="I60" i="16"/>
  <c r="U60" i="16"/>
  <c r="V60" i="16"/>
  <c r="O60" i="16"/>
  <c r="AB60" i="16"/>
  <c r="V58" i="16"/>
  <c r="I58" i="16"/>
  <c r="AA58" i="16"/>
  <c r="U58" i="16"/>
  <c r="AB58" i="16"/>
  <c r="O58" i="16"/>
  <c r="U54" i="16"/>
  <c r="I54" i="16"/>
  <c r="AA54" i="16"/>
  <c r="V54" i="16"/>
  <c r="AB54" i="16"/>
  <c r="O54" i="16"/>
  <c r="O49" i="16"/>
  <c r="U49" i="16"/>
  <c r="AB49" i="16"/>
  <c r="V49" i="16"/>
  <c r="AA49" i="16"/>
  <c r="I49" i="16"/>
  <c r="AA48" i="16"/>
  <c r="U48" i="16"/>
  <c r="I48" i="16"/>
  <c r="AB48" i="16"/>
  <c r="V48" i="16"/>
  <c r="O48" i="16"/>
  <c r="AB46" i="16"/>
  <c r="O46" i="16"/>
  <c r="V46" i="16"/>
  <c r="U46" i="16"/>
  <c r="AA46" i="16"/>
  <c r="I46" i="16"/>
  <c r="I42" i="16"/>
  <c r="AA42" i="16"/>
  <c r="V42" i="16"/>
  <c r="U42" i="16"/>
  <c r="O42" i="16"/>
  <c r="AB42" i="16"/>
  <c r="U40" i="16"/>
  <c r="AB40" i="16"/>
  <c r="I40" i="16"/>
  <c r="AA40" i="16"/>
  <c r="O40" i="16"/>
  <c r="V40" i="16"/>
  <c r="U36" i="16"/>
  <c r="AA36" i="16"/>
  <c r="V36" i="16"/>
  <c r="O36" i="16"/>
  <c r="AB36" i="16"/>
  <c r="I36" i="16"/>
  <c r="V33" i="16"/>
  <c r="AA33" i="16"/>
  <c r="O33" i="16"/>
  <c r="U33" i="16"/>
  <c r="AB33" i="16"/>
  <c r="I33" i="16"/>
  <c r="I31" i="16"/>
  <c r="AB31" i="16"/>
  <c r="AA31" i="16"/>
  <c r="V31" i="16"/>
  <c r="O31" i="16"/>
  <c r="U31" i="16"/>
  <c r="U26" i="16"/>
  <c r="V26" i="16"/>
  <c r="I26" i="16"/>
  <c r="O26" i="16"/>
  <c r="AB26" i="16"/>
  <c r="AA26" i="16"/>
  <c r="AA22" i="16"/>
  <c r="V22" i="16"/>
  <c r="AB22" i="16"/>
  <c r="I22" i="16"/>
  <c r="U22" i="16"/>
  <c r="O22" i="16"/>
  <c r="AB20" i="16"/>
  <c r="V20" i="16"/>
  <c r="O20" i="16"/>
  <c r="O16" i="16"/>
  <c r="N5" i="16"/>
  <c r="H5" i="16"/>
  <c r="J5" i="16"/>
  <c r="Z5" i="16"/>
  <c r="S5" i="16"/>
  <c r="P5" i="16"/>
  <c r="M5" i="16"/>
  <c r="AL5" i="16" s="1"/>
  <c r="AM5" i="16" s="1"/>
  <c r="AN5" i="16" s="1"/>
  <c r="Y5" i="16"/>
  <c r="O6" i="16"/>
  <c r="U221" i="16"/>
  <c r="O221" i="16"/>
  <c r="AA221" i="16"/>
  <c r="I221" i="16"/>
  <c r="AB221" i="16"/>
  <c r="V221" i="16"/>
  <c r="I183" i="16"/>
  <c r="V183" i="16"/>
  <c r="AA183" i="16"/>
  <c r="O183" i="16"/>
  <c r="U183" i="16"/>
  <c r="AB183" i="16"/>
  <c r="AA174" i="16"/>
  <c r="O174" i="16"/>
  <c r="I174" i="16"/>
  <c r="U174" i="16"/>
  <c r="V174" i="16"/>
  <c r="AB174" i="16"/>
  <c r="U165" i="16"/>
  <c r="AA165" i="16"/>
  <c r="I165" i="16"/>
  <c r="O165" i="16"/>
  <c r="V165" i="16"/>
  <c r="AB165" i="16"/>
  <c r="I158" i="16"/>
  <c r="AB158" i="16"/>
  <c r="U158" i="16"/>
  <c r="AA158" i="16"/>
  <c r="O158" i="16"/>
  <c r="V158" i="16"/>
  <c r="AA154" i="16"/>
  <c r="O154" i="16"/>
  <c r="V154" i="16"/>
  <c r="I154" i="16"/>
  <c r="AB154" i="16"/>
  <c r="U154" i="16"/>
  <c r="I149" i="16"/>
  <c r="AB149" i="16"/>
  <c r="O149" i="16"/>
  <c r="AA149" i="16"/>
  <c r="V149" i="16"/>
  <c r="U149" i="16"/>
  <c r="U140" i="16"/>
  <c r="O140" i="16"/>
  <c r="AA140" i="16"/>
  <c r="I140" i="16"/>
  <c r="V140" i="16"/>
  <c r="AB140" i="16"/>
  <c r="O133" i="16"/>
  <c r="AB133" i="16"/>
  <c r="V133" i="16"/>
  <c r="AA133" i="16"/>
  <c r="I133" i="16"/>
  <c r="U133" i="16"/>
  <c r="I130" i="16"/>
  <c r="U130" i="16"/>
  <c r="V130" i="16"/>
  <c r="AB130" i="16"/>
  <c r="AA130" i="16"/>
  <c r="O130" i="16"/>
  <c r="I118" i="16"/>
  <c r="O118" i="16"/>
  <c r="U118" i="16"/>
  <c r="AA118" i="16"/>
  <c r="AB118" i="16"/>
  <c r="V118" i="16"/>
  <c r="AB103" i="16"/>
  <c r="U103" i="16"/>
  <c r="V103" i="16"/>
  <c r="O103" i="16"/>
  <c r="I103" i="16"/>
  <c r="AA103" i="16"/>
  <c r="AA92" i="16"/>
  <c r="U92" i="16"/>
  <c r="I92" i="16"/>
  <c r="O92" i="16"/>
  <c r="AB92" i="16"/>
  <c r="V92" i="16"/>
  <c r="AA86" i="16"/>
  <c r="U86" i="16"/>
  <c r="V86" i="16"/>
  <c r="I86" i="16"/>
  <c r="O86" i="16"/>
  <c r="AB86" i="16"/>
  <c r="V63" i="16"/>
  <c r="I63" i="16"/>
  <c r="U63" i="16"/>
  <c r="O63" i="16"/>
  <c r="AA63" i="16"/>
  <c r="AB63" i="16"/>
  <c r="U50" i="16"/>
  <c r="O50" i="16"/>
  <c r="AB50" i="16"/>
  <c r="V50" i="16"/>
  <c r="AA50" i="16"/>
  <c r="I50" i="16"/>
  <c r="AA43" i="16"/>
  <c r="U43" i="16"/>
  <c r="AB43" i="16"/>
  <c r="I43" i="16"/>
  <c r="O43" i="16"/>
  <c r="V43" i="16"/>
  <c r="I38" i="16"/>
  <c r="V38" i="16"/>
  <c r="AA38" i="16"/>
  <c r="U38" i="16"/>
  <c r="O38" i="16"/>
  <c r="AB38" i="16"/>
  <c r="U25" i="16"/>
  <c r="AB25" i="16"/>
  <c r="V25" i="16"/>
  <c r="O25" i="16"/>
  <c r="I25" i="16"/>
  <c r="AA25" i="16"/>
  <c r="M163" i="17"/>
  <c r="Q163" i="17" s="1"/>
  <c r="L164" i="17" s="1"/>
  <c r="N163" i="17"/>
  <c r="P164" i="17"/>
  <c r="AB224" i="16"/>
  <c r="U224" i="16"/>
  <c r="V224" i="16"/>
  <c r="AA224" i="16"/>
  <c r="O224" i="16"/>
  <c r="I224" i="16"/>
  <c r="O225" i="16"/>
  <c r="V225" i="16"/>
  <c r="I225" i="16"/>
  <c r="U225" i="16"/>
  <c r="AA225" i="16"/>
  <c r="AB225" i="16"/>
  <c r="O217" i="16"/>
  <c r="U217" i="16"/>
  <c r="I217" i="16"/>
  <c r="AB217" i="16"/>
  <c r="AA217" i="16"/>
  <c r="V217" i="16"/>
  <c r="O214" i="16"/>
  <c r="AB214" i="16"/>
  <c r="I214" i="16"/>
  <c r="U214" i="16"/>
  <c r="V214" i="16"/>
  <c r="AA214" i="16"/>
  <c r="AB212" i="16"/>
  <c r="V212" i="16"/>
  <c r="O212" i="16"/>
  <c r="I212" i="16"/>
  <c r="U212" i="16"/>
  <c r="AA212" i="16"/>
  <c r="O211" i="16"/>
  <c r="AB211" i="16"/>
  <c r="U211" i="16"/>
  <c r="AA211" i="16"/>
  <c r="I211" i="16"/>
  <c r="V211" i="16"/>
  <c r="V201" i="16"/>
  <c r="I201" i="16"/>
  <c r="AB201" i="16"/>
  <c r="U201" i="16"/>
  <c r="AA201" i="16"/>
  <c r="O201" i="16"/>
  <c r="AB197" i="16"/>
  <c r="V197" i="16"/>
  <c r="O197" i="16"/>
  <c r="U197" i="16"/>
  <c r="I197" i="16"/>
  <c r="AA197" i="16"/>
  <c r="O190" i="16"/>
  <c r="AB190" i="16"/>
  <c r="V190" i="16"/>
  <c r="AA190" i="16"/>
  <c r="I190" i="16"/>
  <c r="U190" i="16"/>
  <c r="AA180" i="16"/>
  <c r="I180" i="16"/>
  <c r="O180" i="16"/>
  <c r="V180" i="16"/>
  <c r="U180" i="16"/>
  <c r="AB180" i="16"/>
  <c r="I178" i="16"/>
  <c r="AB178" i="16"/>
  <c r="V178" i="16"/>
  <c r="AA178" i="16"/>
  <c r="O178" i="16"/>
  <c r="U178" i="16"/>
  <c r="AB175" i="16"/>
  <c r="V175" i="16"/>
  <c r="O175" i="16"/>
  <c r="AA175" i="16"/>
  <c r="I175" i="16"/>
  <c r="U175" i="16"/>
  <c r="V166" i="16"/>
  <c r="U166" i="16"/>
  <c r="I166" i="16"/>
  <c r="O166" i="16"/>
  <c r="AA166" i="16"/>
  <c r="AB166" i="16"/>
  <c r="AB160" i="16"/>
  <c r="O160" i="16"/>
  <c r="V160" i="16"/>
  <c r="I160" i="16"/>
  <c r="U160" i="16"/>
  <c r="AA160" i="16"/>
  <c r="I152" i="16"/>
  <c r="U152" i="16"/>
  <c r="V152" i="16"/>
  <c r="AB152" i="16"/>
  <c r="AA152" i="16"/>
  <c r="O152" i="16"/>
  <c r="AB148" i="16"/>
  <c r="V148" i="16"/>
  <c r="I148" i="16"/>
  <c r="AA148" i="16"/>
  <c r="U148" i="16"/>
  <c r="O148" i="16"/>
  <c r="O146" i="16"/>
  <c r="V146" i="16"/>
  <c r="U146" i="16"/>
  <c r="I146" i="16"/>
  <c r="AA146" i="16"/>
  <c r="AB146" i="16"/>
  <c r="I143" i="16"/>
  <c r="U143" i="16"/>
  <c r="AB143" i="16"/>
  <c r="V143" i="16"/>
  <c r="O143" i="16"/>
  <c r="AA143" i="16"/>
  <c r="I144" i="16"/>
  <c r="V144" i="16"/>
  <c r="AA144" i="16"/>
  <c r="AB144" i="16"/>
  <c r="U144" i="16"/>
  <c r="O144" i="16"/>
  <c r="O141" i="16"/>
  <c r="V141" i="16"/>
  <c r="U141" i="16"/>
  <c r="AA141" i="16"/>
  <c r="AB141" i="16"/>
  <c r="I141" i="16"/>
  <c r="AB132" i="16"/>
  <c r="V132" i="16"/>
  <c r="U132" i="16"/>
  <c r="AA132" i="16"/>
  <c r="O132" i="16"/>
  <c r="I132" i="16"/>
  <c r="O128" i="16"/>
  <c r="AA128" i="16"/>
  <c r="I128" i="16"/>
  <c r="U128" i="16"/>
  <c r="V128" i="16"/>
  <c r="AB128" i="16"/>
  <c r="AA126" i="16"/>
  <c r="O126" i="16"/>
  <c r="AB126" i="16"/>
  <c r="I126" i="16"/>
  <c r="V126" i="16"/>
  <c r="U126" i="16"/>
  <c r="O122" i="16"/>
  <c r="V122" i="16"/>
  <c r="AB122" i="16"/>
  <c r="U122" i="16"/>
  <c r="I122" i="16"/>
  <c r="AA122" i="16"/>
  <c r="AA115" i="16"/>
  <c r="AB115" i="16"/>
  <c r="V115" i="16"/>
  <c r="O115" i="16"/>
  <c r="U115" i="16"/>
  <c r="I115" i="16"/>
  <c r="V113" i="16"/>
  <c r="AB113" i="16"/>
  <c r="U113" i="16"/>
  <c r="O113" i="16"/>
  <c r="AA113" i="16"/>
  <c r="I113" i="16"/>
  <c r="O106" i="16"/>
  <c r="AB106" i="16"/>
  <c r="AA106" i="16"/>
  <c r="V106" i="16"/>
  <c r="U106" i="16"/>
  <c r="I106" i="16"/>
  <c r="V102" i="16"/>
  <c r="AB102" i="16"/>
  <c r="I102" i="16"/>
  <c r="U102" i="16"/>
  <c r="AA102" i="16"/>
  <c r="O102" i="16"/>
  <c r="O99" i="16"/>
  <c r="AB99" i="16"/>
  <c r="AA99" i="16"/>
  <c r="V99" i="16"/>
  <c r="I99" i="16"/>
  <c r="U99" i="16"/>
  <c r="AB95" i="16"/>
  <c r="AA95" i="16"/>
  <c r="I95" i="16"/>
  <c r="V95" i="16"/>
  <c r="O95" i="16"/>
  <c r="U95" i="16"/>
  <c r="AB89" i="16"/>
  <c r="I89" i="16"/>
  <c r="O89" i="16"/>
  <c r="AA89" i="16"/>
  <c r="V89" i="16"/>
  <c r="U89" i="16"/>
  <c r="I83" i="16"/>
  <c r="V83" i="16"/>
  <c r="AB83" i="16"/>
  <c r="U83" i="16"/>
  <c r="O83" i="16"/>
  <c r="AA83" i="16"/>
  <c r="O80" i="16"/>
  <c r="V80" i="16"/>
  <c r="AA80" i="16"/>
  <c r="U80" i="16"/>
  <c r="AB80" i="16"/>
  <c r="I80" i="16"/>
  <c r="V62" i="16"/>
  <c r="I62" i="16"/>
  <c r="AA62" i="16"/>
  <c r="AB62" i="16"/>
  <c r="U62" i="16"/>
  <c r="O62" i="16"/>
  <c r="O61" i="16"/>
  <c r="U61" i="16"/>
  <c r="AB61" i="16"/>
  <c r="I61" i="16"/>
  <c r="V61" i="16"/>
  <c r="AA61" i="16"/>
  <c r="AB56" i="16"/>
  <c r="AA56" i="16"/>
  <c r="O56" i="16"/>
  <c r="V56" i="16"/>
  <c r="U56" i="16"/>
  <c r="I56" i="16"/>
  <c r="AA53" i="16"/>
  <c r="AB53" i="16"/>
  <c r="I53" i="16"/>
  <c r="V53" i="16"/>
  <c r="O53" i="16"/>
  <c r="U53" i="16"/>
  <c r="O45" i="16"/>
  <c r="V45" i="16"/>
  <c r="U45" i="16"/>
  <c r="AB45" i="16"/>
  <c r="AA45" i="16"/>
  <c r="I45" i="16"/>
  <c r="O35" i="16"/>
  <c r="AA35" i="16"/>
  <c r="V35" i="16"/>
  <c r="AB35" i="16"/>
  <c r="U35" i="16"/>
  <c r="I35" i="16"/>
  <c r="I34" i="16"/>
  <c r="AA34" i="16"/>
  <c r="AB34" i="16"/>
  <c r="O34" i="16"/>
  <c r="V34" i="16"/>
  <c r="U34" i="16"/>
  <c r="V29" i="16"/>
  <c r="AA29" i="16"/>
  <c r="AB29" i="16"/>
  <c r="I29" i="16"/>
  <c r="U29" i="16"/>
  <c r="O29" i="16"/>
  <c r="O28" i="16"/>
  <c r="I28" i="16"/>
  <c r="U28" i="16"/>
  <c r="AB28" i="16"/>
  <c r="V28" i="16"/>
  <c r="AA28" i="16"/>
  <c r="U27" i="16"/>
  <c r="O27" i="16"/>
  <c r="AB27" i="16"/>
  <c r="I27" i="16"/>
  <c r="V27" i="16"/>
  <c r="AA27" i="16"/>
  <c r="AA23" i="16"/>
  <c r="I23" i="16"/>
  <c r="O23" i="16"/>
  <c r="U23" i="16"/>
  <c r="V23" i="16"/>
  <c r="AB23" i="16"/>
  <c r="O17" i="16"/>
  <c r="O13" i="16"/>
  <c r="O11" i="16"/>
  <c r="T5" i="16"/>
  <c r="O5" i="16"/>
  <c r="AZ234" i="19"/>
  <c r="C234" i="19"/>
  <c r="AR234" i="19" s="1"/>
  <c r="AX234" i="19"/>
  <c r="AY233" i="19"/>
  <c r="AY233" i="16"/>
  <c r="O233" i="16"/>
  <c r="AY232" i="18"/>
  <c r="AY232" i="17"/>
  <c r="BD234" i="16"/>
  <c r="AX234" i="16"/>
  <c r="AZ234" i="16"/>
  <c r="BB234" i="16"/>
  <c r="BA234" i="16"/>
  <c r="BC234" i="16"/>
  <c r="C234" i="16"/>
  <c r="AA233" i="16"/>
  <c r="AR233" i="16"/>
  <c r="V233" i="16"/>
  <c r="U233" i="16"/>
  <c r="AB233" i="16"/>
  <c r="I233" i="16"/>
  <c r="J231" i="18"/>
  <c r="L231" i="18" s="1"/>
  <c r="I232" i="18" s="1"/>
  <c r="AX233" i="17"/>
  <c r="C233" i="17"/>
  <c r="AZ233" i="17"/>
  <c r="E234" i="17"/>
  <c r="AZ233" i="18"/>
  <c r="AX233" i="18"/>
  <c r="E234" i="18"/>
  <c r="C233" i="18"/>
  <c r="AU232" i="18"/>
  <c r="O232" i="18"/>
  <c r="AQ232" i="18"/>
  <c r="K232" i="18"/>
  <c r="AS232" i="18"/>
  <c r="AY234" i="15"/>
  <c r="AJ112" i="18"/>
  <c r="AK112" i="18" s="1"/>
  <c r="AW112" i="18" s="1"/>
  <c r="AX112" i="18" s="1"/>
  <c r="AY112" i="18" s="1"/>
  <c r="G113" i="18"/>
  <c r="AR113" i="18" s="1"/>
  <c r="S180" i="18"/>
  <c r="T180" i="18" s="1"/>
  <c r="S181" i="18" s="1"/>
  <c r="T181" i="18" s="1"/>
  <c r="S182" i="18" s="1"/>
  <c r="P181" i="18"/>
  <c r="M182" i="18" s="1"/>
  <c r="N182" i="18" s="1"/>
  <c r="R180" i="18"/>
  <c r="Q181" i="18" s="1"/>
  <c r="AT181" i="18" s="1"/>
  <c r="AT197" i="25" l="1"/>
  <c r="AE197" i="25"/>
  <c r="AD198" i="25" s="1"/>
  <c r="S198" i="25"/>
  <c r="W198" i="25" s="1"/>
  <c r="R199" i="25" s="1"/>
  <c r="T198" i="25"/>
  <c r="J7" i="16"/>
  <c r="H6" i="16"/>
  <c r="I6" i="16" s="1"/>
  <c r="K6" i="16"/>
  <c r="F7" i="16" s="1"/>
  <c r="G7" i="16" s="1"/>
  <c r="AR6" i="16"/>
  <c r="AS92" i="29"/>
  <c r="AQ92" i="29"/>
  <c r="F93" i="29"/>
  <c r="G93" i="29" s="1"/>
  <c r="AI93" i="29" s="1"/>
  <c r="AJ93" i="29" s="1"/>
  <c r="AK93" i="29" s="1"/>
  <c r="AT127" i="29"/>
  <c r="I93" i="29"/>
  <c r="AR93" i="29" s="1"/>
  <c r="L122" i="24"/>
  <c r="I123" i="24" s="1"/>
  <c r="T122" i="24"/>
  <c r="S123" i="24" s="1"/>
  <c r="AC137" i="25"/>
  <c r="X138" i="25" s="1"/>
  <c r="O136" i="24"/>
  <c r="N136" i="24"/>
  <c r="Z126" i="29"/>
  <c r="Y126" i="29"/>
  <c r="AG126" i="29" s="1"/>
  <c r="AF127" i="29" s="1"/>
  <c r="AY232" i="29"/>
  <c r="T219" i="29"/>
  <c r="S219" i="29"/>
  <c r="W219" i="29" s="1"/>
  <c r="R220" i="29" s="1"/>
  <c r="U220" i="29" s="1"/>
  <c r="AX233" i="29"/>
  <c r="AZ233" i="29"/>
  <c r="C233" i="29"/>
  <c r="E234" i="29"/>
  <c r="AY233" i="26"/>
  <c r="J228" i="26"/>
  <c r="L228" i="26" s="1"/>
  <c r="I229" i="26" s="1"/>
  <c r="N182" i="26"/>
  <c r="P182" i="26" s="1"/>
  <c r="M183" i="26" s="1"/>
  <c r="T181" i="26"/>
  <c r="S182" i="26" s="1"/>
  <c r="G89" i="26"/>
  <c r="AR89" i="26" s="1"/>
  <c r="AM88" i="26"/>
  <c r="AN88" i="26" s="1"/>
  <c r="AJ88" i="26"/>
  <c r="AK88" i="26" s="1"/>
  <c r="AT181" i="26"/>
  <c r="R181" i="26"/>
  <c r="Q182" i="26" s="1"/>
  <c r="AS233" i="26"/>
  <c r="AU233" i="26"/>
  <c r="AQ233" i="26"/>
  <c r="K233" i="26"/>
  <c r="O233" i="26"/>
  <c r="AZ234" i="26"/>
  <c r="C234" i="26"/>
  <c r="AX234" i="26"/>
  <c r="AG132" i="28"/>
  <c r="AF133" i="28" s="1"/>
  <c r="T193" i="28"/>
  <c r="S193" i="28"/>
  <c r="W193" i="28" s="1"/>
  <c r="R194" i="28" s="1"/>
  <c r="V194" i="28" s="1"/>
  <c r="Z133" i="28"/>
  <c r="Y133" i="28"/>
  <c r="AT192" i="28"/>
  <c r="AE192" i="28"/>
  <c r="AD193" i="28" s="1"/>
  <c r="AO92" i="28"/>
  <c r="AL92" i="28"/>
  <c r="AY233" i="28"/>
  <c r="AY233" i="25"/>
  <c r="AJ92" i="28"/>
  <c r="AK92" i="28" s="1"/>
  <c r="C234" i="28"/>
  <c r="AX234" i="28"/>
  <c r="AZ234" i="28"/>
  <c r="F115" i="25"/>
  <c r="V233" i="25"/>
  <c r="AA233" i="25"/>
  <c r="AB233" i="25"/>
  <c r="AR233" i="25"/>
  <c r="U233" i="25"/>
  <c r="BC234" i="25"/>
  <c r="BA234" i="25"/>
  <c r="BB234" i="25"/>
  <c r="AJ110" i="25"/>
  <c r="AK110" i="25" s="1"/>
  <c r="AW110" i="25" s="1"/>
  <c r="AX110" i="25" s="1"/>
  <c r="AY110" i="25" s="1"/>
  <c r="C234" i="25"/>
  <c r="AX234" i="25"/>
  <c r="AZ234" i="25"/>
  <c r="BD234" i="25"/>
  <c r="P112" i="25"/>
  <c r="N111" i="25"/>
  <c r="AP111" i="25" s="1"/>
  <c r="AT123" i="24"/>
  <c r="AZ234" i="24"/>
  <c r="C234" i="24"/>
  <c r="AX234" i="24"/>
  <c r="AK83" i="24"/>
  <c r="AN83" i="24"/>
  <c r="AY233" i="24"/>
  <c r="AQ233" i="24"/>
  <c r="AS233" i="24"/>
  <c r="AU233" i="24"/>
  <c r="F84" i="15"/>
  <c r="G84" i="15" s="1"/>
  <c r="AR84" i="15" s="1"/>
  <c r="AI83" i="15"/>
  <c r="AJ83" i="15" s="1"/>
  <c r="AK83" i="15" s="1"/>
  <c r="AW83" i="15" s="1"/>
  <c r="AX83" i="15" s="1"/>
  <c r="AY83" i="15" s="1"/>
  <c r="G84" i="24"/>
  <c r="AR84" i="24" s="1"/>
  <c r="P196" i="15"/>
  <c r="M197" i="15" s="1"/>
  <c r="N197" i="15" s="1"/>
  <c r="K92" i="28"/>
  <c r="M111" i="25"/>
  <c r="AL111" i="25" s="1"/>
  <c r="O232" i="25"/>
  <c r="I232" i="25"/>
  <c r="AW65" i="19"/>
  <c r="AX65" i="19" s="1"/>
  <c r="AY65" i="19" s="1"/>
  <c r="T167" i="15"/>
  <c r="S168" i="15" s="1"/>
  <c r="H66" i="19"/>
  <c r="J67" i="19"/>
  <c r="G66" i="19"/>
  <c r="AL66" i="19" s="1"/>
  <c r="AM66" i="19" s="1"/>
  <c r="AN66" i="19" s="1"/>
  <c r="AG143" i="17"/>
  <c r="AF144" i="17" s="1"/>
  <c r="AG145" i="19"/>
  <c r="AF146" i="19" s="1"/>
  <c r="Z144" i="17"/>
  <c r="Y144" i="17"/>
  <c r="AC144" i="17" s="1"/>
  <c r="X145" i="17" s="1"/>
  <c r="K74" i="17"/>
  <c r="AP74" i="17"/>
  <c r="AO74" i="17"/>
  <c r="AW73" i="17"/>
  <c r="AX73" i="17" s="1"/>
  <c r="AY73" i="17" s="1"/>
  <c r="AI74" i="17"/>
  <c r="AJ74" i="17" s="1"/>
  <c r="AK74" i="17" s="1"/>
  <c r="Z146" i="19"/>
  <c r="Y146" i="19"/>
  <c r="AC146" i="19" s="1"/>
  <c r="X147" i="19" s="1"/>
  <c r="T155" i="19"/>
  <c r="S155" i="19"/>
  <c r="W155" i="19" s="1"/>
  <c r="R156" i="19" s="1"/>
  <c r="AT154" i="19"/>
  <c r="AE154" i="19"/>
  <c r="AD155" i="19" s="1"/>
  <c r="P165" i="17"/>
  <c r="N164" i="17"/>
  <c r="M164" i="17"/>
  <c r="Q164" i="17" s="1"/>
  <c r="L165" i="17" s="1"/>
  <c r="R167" i="15"/>
  <c r="Q168" i="15" s="1"/>
  <c r="AT168" i="15" s="1"/>
  <c r="S163" i="17"/>
  <c r="W163" i="17" s="1"/>
  <c r="R164" i="17" s="1"/>
  <c r="T163" i="17"/>
  <c r="AT162" i="17"/>
  <c r="AE162" i="17"/>
  <c r="AD163" i="17" s="1"/>
  <c r="W5" i="16"/>
  <c r="R6" i="16" s="1"/>
  <c r="AE5" i="16"/>
  <c r="N164" i="19"/>
  <c r="M164" i="19"/>
  <c r="Q164" i="19" s="1"/>
  <c r="L165" i="19" s="1"/>
  <c r="P165" i="19"/>
  <c r="AO5" i="16"/>
  <c r="AP5" i="16"/>
  <c r="I5" i="16"/>
  <c r="Q5" i="16" s="1"/>
  <c r="AC5" i="16"/>
  <c r="X6" i="16" s="1"/>
  <c r="AG5" i="16"/>
  <c r="L167" i="15"/>
  <c r="I168" i="15" s="1"/>
  <c r="J168" i="15" s="1"/>
  <c r="AY234" i="19"/>
  <c r="O234" i="16"/>
  <c r="AY233" i="17"/>
  <c r="AY234" i="16"/>
  <c r="I234" i="16"/>
  <c r="V234" i="16"/>
  <c r="AA234" i="16"/>
  <c r="U234" i="16"/>
  <c r="AB234" i="16"/>
  <c r="AR234" i="16"/>
  <c r="J232" i="18"/>
  <c r="L232" i="18" s="1"/>
  <c r="I233" i="18" s="1"/>
  <c r="AU233" i="18"/>
  <c r="AS233" i="18"/>
  <c r="AQ233" i="18"/>
  <c r="K233" i="18"/>
  <c r="O233" i="18"/>
  <c r="AX234" i="17"/>
  <c r="AZ234" i="17"/>
  <c r="C234" i="17"/>
  <c r="AX234" i="18"/>
  <c r="C234" i="18"/>
  <c r="AZ234" i="18"/>
  <c r="AY233" i="18"/>
  <c r="H113" i="18"/>
  <c r="F114" i="18" s="1"/>
  <c r="G114" i="18" s="1"/>
  <c r="AR114" i="18" s="1"/>
  <c r="P182" i="18"/>
  <c r="M183" i="18" s="1"/>
  <c r="N183" i="18" s="1"/>
  <c r="R181" i="18"/>
  <c r="Q182" i="18" s="1"/>
  <c r="AT182" i="18" s="1"/>
  <c r="AE198" i="25" l="1"/>
  <c r="AD199" i="25" s="1"/>
  <c r="AT198" i="25"/>
  <c r="T199" i="25"/>
  <c r="S199" i="25"/>
  <c r="W199" i="25" s="1"/>
  <c r="R200" i="25" s="1"/>
  <c r="AF6" i="16"/>
  <c r="AD6" i="16"/>
  <c r="AT6" i="16" s="1"/>
  <c r="K7" i="16"/>
  <c r="F8" i="16" s="1"/>
  <c r="AR7" i="16"/>
  <c r="J8" i="16"/>
  <c r="H7" i="16"/>
  <c r="I7" i="16" s="1"/>
  <c r="J94" i="29"/>
  <c r="AW92" i="29"/>
  <c r="AX92" i="29" s="1"/>
  <c r="AY92" i="29" s="1"/>
  <c r="H93" i="29"/>
  <c r="AP93" i="29" s="1"/>
  <c r="Q93" i="29"/>
  <c r="L94" i="29" s="1"/>
  <c r="AL93" i="29"/>
  <c r="AM93" i="29" s="1"/>
  <c r="AN93" i="29" s="1"/>
  <c r="K93" i="29"/>
  <c r="P136" i="24"/>
  <c r="M137" i="24" s="1"/>
  <c r="Z138" i="25"/>
  <c r="Y138" i="25"/>
  <c r="AG138" i="25" s="1"/>
  <c r="AF139" i="25" s="1"/>
  <c r="K123" i="24"/>
  <c r="T123" i="24" s="1"/>
  <c r="S124" i="24" s="1"/>
  <c r="J123" i="24"/>
  <c r="AC126" i="29"/>
  <c r="X127" i="29" s="1"/>
  <c r="AA127" i="29" s="1"/>
  <c r="AE127" i="29" s="1"/>
  <c r="AD128" i="29" s="1"/>
  <c r="AY233" i="29"/>
  <c r="T220" i="29"/>
  <c r="S220" i="29"/>
  <c r="W220" i="29" s="1"/>
  <c r="R221" i="29" s="1"/>
  <c r="U221" i="29" s="1"/>
  <c r="C234" i="29"/>
  <c r="AX234" i="29"/>
  <c r="AZ234" i="29"/>
  <c r="AW88" i="26"/>
  <c r="AX88" i="26" s="1"/>
  <c r="AY88" i="26" s="1"/>
  <c r="N183" i="26"/>
  <c r="P183" i="26" s="1"/>
  <c r="M184" i="26" s="1"/>
  <c r="T182" i="26"/>
  <c r="S183" i="26" s="1"/>
  <c r="H89" i="26"/>
  <c r="J229" i="26"/>
  <c r="L229" i="26" s="1"/>
  <c r="I230" i="26" s="1"/>
  <c r="O234" i="26"/>
  <c r="K234" i="26"/>
  <c r="AS234" i="26"/>
  <c r="AU234" i="26"/>
  <c r="AQ234" i="26"/>
  <c r="AT182" i="26"/>
  <c r="R182" i="26"/>
  <c r="Q183" i="26" s="1"/>
  <c r="AY234" i="26"/>
  <c r="AY234" i="28"/>
  <c r="AG133" i="28"/>
  <c r="AF134" i="28" s="1"/>
  <c r="T194" i="28"/>
  <c r="S194" i="28"/>
  <c r="W194" i="28" s="1"/>
  <c r="R195" i="28" s="1"/>
  <c r="V195" i="28" s="1"/>
  <c r="AQ92" i="28"/>
  <c r="AS92" i="28"/>
  <c r="AU92" i="28"/>
  <c r="AC133" i="28"/>
  <c r="X134" i="28" s="1"/>
  <c r="AB134" i="28" s="1"/>
  <c r="AT193" i="28"/>
  <c r="AE193" i="28"/>
  <c r="AD194" i="28" s="1"/>
  <c r="AM92" i="28"/>
  <c r="AN92" i="28" s="1"/>
  <c r="F93" i="28"/>
  <c r="I93" i="28" s="1"/>
  <c r="Q93" i="28" s="1"/>
  <c r="L94" i="28" s="1"/>
  <c r="AY234" i="25"/>
  <c r="G115" i="25"/>
  <c r="K115" i="25" s="1"/>
  <c r="H115" i="25"/>
  <c r="J116" i="25"/>
  <c r="U234" i="25"/>
  <c r="V234" i="25"/>
  <c r="AA234" i="25"/>
  <c r="AB234" i="25"/>
  <c r="AR234" i="25"/>
  <c r="AO111" i="25"/>
  <c r="AW83" i="24"/>
  <c r="AX83" i="24" s="1"/>
  <c r="AY83" i="24" s="1"/>
  <c r="AM111" i="25"/>
  <c r="AN111" i="25" s="1"/>
  <c r="AQ234" i="24"/>
  <c r="AS234" i="24"/>
  <c r="AU234" i="24"/>
  <c r="AY234" i="24"/>
  <c r="H84" i="24"/>
  <c r="H84" i="15"/>
  <c r="P197" i="15"/>
  <c r="M198" i="15" s="1"/>
  <c r="N198" i="15" s="1"/>
  <c r="Q111" i="25"/>
  <c r="O233" i="25"/>
  <c r="I233" i="25"/>
  <c r="K66" i="19"/>
  <c r="AI66" i="19"/>
  <c r="AJ66" i="19" s="1"/>
  <c r="AK66" i="19" s="1"/>
  <c r="AP66" i="19"/>
  <c r="AO66" i="19"/>
  <c r="AG144" i="17"/>
  <c r="AF145" i="17" s="1"/>
  <c r="F75" i="17"/>
  <c r="AQ74" i="17"/>
  <c r="AS74" i="17"/>
  <c r="AU74" i="17"/>
  <c r="Z145" i="17"/>
  <c r="Y145" i="17"/>
  <c r="AC145" i="17" s="1"/>
  <c r="X146" i="17" s="1"/>
  <c r="Z147" i="19"/>
  <c r="Y147" i="19"/>
  <c r="AC147" i="19" s="1"/>
  <c r="X148" i="19" s="1"/>
  <c r="AG146" i="19"/>
  <c r="AF147" i="19" s="1"/>
  <c r="AE155" i="19"/>
  <c r="AD156" i="19" s="1"/>
  <c r="AT155" i="19"/>
  <c r="T156" i="19"/>
  <c r="S156" i="19"/>
  <c r="W156" i="19" s="1"/>
  <c r="R157" i="19" s="1"/>
  <c r="P166" i="19"/>
  <c r="N165" i="19"/>
  <c r="M165" i="19"/>
  <c r="Q165" i="19" s="1"/>
  <c r="L166" i="19" s="1"/>
  <c r="T168" i="15"/>
  <c r="S169" i="15" s="1"/>
  <c r="AT163" i="17"/>
  <c r="AE163" i="17"/>
  <c r="AD164" i="17" s="1"/>
  <c r="Z6" i="16"/>
  <c r="AA6" i="16"/>
  <c r="Y6" i="16"/>
  <c r="L6" i="16"/>
  <c r="AU5" i="16"/>
  <c r="AI5" i="16"/>
  <c r="AJ5" i="16" s="1"/>
  <c r="AS5" i="16"/>
  <c r="AQ5" i="16"/>
  <c r="U6" i="16"/>
  <c r="T6" i="16"/>
  <c r="S6" i="16"/>
  <c r="T164" i="17"/>
  <c r="S164" i="17"/>
  <c r="W164" i="17" s="1"/>
  <c r="R165" i="17" s="1"/>
  <c r="P166" i="17"/>
  <c r="M165" i="17"/>
  <c r="Q165" i="17" s="1"/>
  <c r="L166" i="17" s="1"/>
  <c r="N165" i="17"/>
  <c r="AY234" i="18"/>
  <c r="J233" i="18"/>
  <c r="L233" i="18" s="1"/>
  <c r="I234" i="18" s="1"/>
  <c r="AY234" i="17"/>
  <c r="K234" i="18"/>
  <c r="O234" i="18"/>
  <c r="AS234" i="18"/>
  <c r="AQ234" i="18"/>
  <c r="AU234" i="18"/>
  <c r="AI113" i="18"/>
  <c r="AJ113" i="18" s="1"/>
  <c r="AK113" i="18" s="1"/>
  <c r="AL113" i="18"/>
  <c r="AM113" i="18" s="1"/>
  <c r="AN113" i="18" s="1"/>
  <c r="H114" i="18"/>
  <c r="P183" i="18"/>
  <c r="M184" i="18" s="1"/>
  <c r="N184" i="18" s="1"/>
  <c r="R182" i="18"/>
  <c r="Q183" i="18" s="1"/>
  <c r="AT183" i="18" s="1"/>
  <c r="T182" i="18"/>
  <c r="S183" i="18" s="1"/>
  <c r="AK5" i="16" l="1"/>
  <c r="AW5" i="16" s="1"/>
  <c r="AT199" i="25"/>
  <c r="AE199" i="25"/>
  <c r="AD200" i="25" s="1"/>
  <c r="S200" i="25"/>
  <c r="W200" i="25" s="1"/>
  <c r="R201" i="25" s="1"/>
  <c r="T200" i="25"/>
  <c r="J9" i="16"/>
  <c r="H8" i="16"/>
  <c r="G8" i="16"/>
  <c r="AO93" i="29"/>
  <c r="AU93" i="29"/>
  <c r="M94" i="29"/>
  <c r="O94" i="29"/>
  <c r="P95" i="29"/>
  <c r="N94" i="29"/>
  <c r="O94" i="28"/>
  <c r="P95" i="28"/>
  <c r="M94" i="28"/>
  <c r="N94" i="28"/>
  <c r="F94" i="29"/>
  <c r="I94" i="29" s="1"/>
  <c r="AR94" i="29" s="1"/>
  <c r="AQ93" i="29"/>
  <c r="AS93" i="29"/>
  <c r="AT128" i="29"/>
  <c r="R123" i="24"/>
  <c r="Q124" i="24" s="1"/>
  <c r="AT124" i="24" s="1"/>
  <c r="L123" i="24"/>
  <c r="I124" i="24" s="1"/>
  <c r="AC138" i="25"/>
  <c r="X139" i="25" s="1"/>
  <c r="O137" i="24"/>
  <c r="N137" i="24"/>
  <c r="Z127" i="29"/>
  <c r="Y127" i="29"/>
  <c r="AG127" i="29" s="1"/>
  <c r="AF128" i="29" s="1"/>
  <c r="AY234" i="29"/>
  <c r="T221" i="29"/>
  <c r="S221" i="29"/>
  <c r="W221" i="29" s="1"/>
  <c r="R222" i="29" s="1"/>
  <c r="U222" i="29" s="1"/>
  <c r="T183" i="26"/>
  <c r="S184" i="26" s="1"/>
  <c r="J230" i="26"/>
  <c r="L230" i="26" s="1"/>
  <c r="I231" i="26" s="1"/>
  <c r="F90" i="26"/>
  <c r="AL89" i="26"/>
  <c r="AI89" i="26"/>
  <c r="N184" i="26"/>
  <c r="P184" i="26" s="1"/>
  <c r="M185" i="26" s="1"/>
  <c r="AT183" i="26"/>
  <c r="R183" i="26"/>
  <c r="Q184" i="26" s="1"/>
  <c r="T195" i="28"/>
  <c r="S195" i="28"/>
  <c r="W195" i="28" s="1"/>
  <c r="R196" i="28" s="1"/>
  <c r="V196" i="28" s="1"/>
  <c r="Z134" i="28"/>
  <c r="Y134" i="28"/>
  <c r="AG134" i="28" s="1"/>
  <c r="AF135" i="28" s="1"/>
  <c r="AT194" i="28"/>
  <c r="AE194" i="28"/>
  <c r="AD195" i="28" s="1"/>
  <c r="H93" i="28"/>
  <c r="AP93" i="28" s="1"/>
  <c r="J94" i="28"/>
  <c r="G93" i="28"/>
  <c r="AI93" i="28" s="1"/>
  <c r="F116" i="25"/>
  <c r="AI111" i="25"/>
  <c r="AS111" i="25"/>
  <c r="AQ111" i="25"/>
  <c r="AU111" i="25"/>
  <c r="L112" i="25"/>
  <c r="F85" i="24"/>
  <c r="AL84" i="24"/>
  <c r="AM84" i="24" s="1"/>
  <c r="AI84" i="24"/>
  <c r="AJ84" i="24" s="1"/>
  <c r="F85" i="15"/>
  <c r="AI84" i="15"/>
  <c r="AJ84" i="15" s="1"/>
  <c r="AK84" i="15" s="1"/>
  <c r="AL84" i="15"/>
  <c r="AM84" i="15" s="1"/>
  <c r="AN84" i="15" s="1"/>
  <c r="P198" i="15"/>
  <c r="M199" i="15" s="1"/>
  <c r="N199" i="15" s="1"/>
  <c r="AW92" i="28"/>
  <c r="AX92" i="28" s="1"/>
  <c r="AY92" i="28" s="1"/>
  <c r="I234" i="25"/>
  <c r="O234" i="25"/>
  <c r="AW74" i="17"/>
  <c r="AX74" i="17" s="1"/>
  <c r="AY74" i="17" s="1"/>
  <c r="F67" i="19"/>
  <c r="AQ66" i="19"/>
  <c r="AS66" i="19"/>
  <c r="AU66" i="19"/>
  <c r="G75" i="17"/>
  <c r="K75" i="17" s="1"/>
  <c r="F76" i="17" s="1"/>
  <c r="J76" i="17"/>
  <c r="H75" i="17"/>
  <c r="Z146" i="17"/>
  <c r="Y146" i="17"/>
  <c r="AC146" i="17" s="1"/>
  <c r="X147" i="17" s="1"/>
  <c r="AG145" i="17"/>
  <c r="AF146" i="17" s="1"/>
  <c r="AG147" i="19"/>
  <c r="AF148" i="19" s="1"/>
  <c r="Y148" i="19"/>
  <c r="AC148" i="19" s="1"/>
  <c r="X149" i="19" s="1"/>
  <c r="Z148" i="19"/>
  <c r="W6" i="16"/>
  <c r="R7" i="16" s="1"/>
  <c r="S7" i="16" s="1"/>
  <c r="AC6" i="16"/>
  <c r="X7" i="16" s="1"/>
  <c r="AA7" i="16" s="1"/>
  <c r="AE156" i="19"/>
  <c r="AD157" i="19" s="1"/>
  <c r="AT156" i="19"/>
  <c r="T157" i="19"/>
  <c r="S157" i="19"/>
  <c r="W157" i="19" s="1"/>
  <c r="R158" i="19" s="1"/>
  <c r="AG6" i="16"/>
  <c r="AF7" i="16" s="1"/>
  <c r="R168" i="15"/>
  <c r="Q169" i="15" s="1"/>
  <c r="AT169" i="15" s="1"/>
  <c r="L168" i="15"/>
  <c r="I169" i="15" s="1"/>
  <c r="J169" i="15" s="1"/>
  <c r="AE6" i="16"/>
  <c r="AD7" i="16" s="1"/>
  <c r="N166" i="17"/>
  <c r="M166" i="17"/>
  <c r="Q166" i="17" s="1"/>
  <c r="L167" i="17" s="1"/>
  <c r="P167" i="17"/>
  <c r="M6" i="16"/>
  <c r="Q6" i="16" s="1"/>
  <c r="L7" i="16" s="1"/>
  <c r="N6" i="16"/>
  <c r="P7" i="16"/>
  <c r="T165" i="17"/>
  <c r="S165" i="17"/>
  <c r="W165" i="17" s="1"/>
  <c r="R166" i="17" s="1"/>
  <c r="AT164" i="17"/>
  <c r="AE164" i="17"/>
  <c r="AD165" i="17" s="1"/>
  <c r="M166" i="19"/>
  <c r="Q166" i="19" s="1"/>
  <c r="L167" i="19" s="1"/>
  <c r="P167" i="19"/>
  <c r="N166" i="19"/>
  <c r="J234" i="18"/>
  <c r="L234" i="18" s="1"/>
  <c r="AW113" i="18"/>
  <c r="AX113" i="18" s="1"/>
  <c r="AY113" i="18" s="1"/>
  <c r="F115" i="18"/>
  <c r="AL114" i="18"/>
  <c r="AI114" i="18"/>
  <c r="AJ114" i="18" s="1"/>
  <c r="AK114" i="18" s="1"/>
  <c r="P184" i="18"/>
  <c r="M185" i="18" s="1"/>
  <c r="N185" i="18" s="1"/>
  <c r="T183" i="18"/>
  <c r="R183" i="18"/>
  <c r="Q184" i="18" s="1"/>
  <c r="AT184" i="18" s="1"/>
  <c r="AT200" i="25" l="1"/>
  <c r="AE200" i="25"/>
  <c r="AD201" i="25" s="1"/>
  <c r="S201" i="25"/>
  <c r="W201" i="25" s="1"/>
  <c r="R202" i="25" s="1"/>
  <c r="T201" i="25"/>
  <c r="K8" i="16"/>
  <c r="F9" i="16" s="1"/>
  <c r="AR8" i="16"/>
  <c r="I8" i="16"/>
  <c r="AW93" i="29"/>
  <c r="AX93" i="29" s="1"/>
  <c r="AY93" i="29" s="1"/>
  <c r="H94" i="29"/>
  <c r="AO94" i="29" s="1"/>
  <c r="Q94" i="29"/>
  <c r="L95" i="29" s="1"/>
  <c r="N95" i="29" s="1"/>
  <c r="J95" i="29"/>
  <c r="G94" i="29"/>
  <c r="AL94" i="29" s="1"/>
  <c r="AM94" i="29" s="1"/>
  <c r="AN94" i="29" s="1"/>
  <c r="P137" i="24"/>
  <c r="M138" i="24" s="1"/>
  <c r="Y139" i="25"/>
  <c r="AG139" i="25" s="1"/>
  <c r="AF140" i="25" s="1"/>
  <c r="Z139" i="25"/>
  <c r="K124" i="24"/>
  <c r="R124" i="24" s="1"/>
  <c r="Q125" i="24" s="1"/>
  <c r="J124" i="24"/>
  <c r="AC127" i="29"/>
  <c r="X128" i="29" s="1"/>
  <c r="AA128" i="29" s="1"/>
  <c r="AE128" i="29" s="1"/>
  <c r="AD129" i="29" s="1"/>
  <c r="T222" i="29"/>
  <c r="S222" i="29"/>
  <c r="W222" i="29" s="1"/>
  <c r="R223" i="29" s="1"/>
  <c r="U223" i="29" s="1"/>
  <c r="N185" i="26"/>
  <c r="P185" i="26" s="1"/>
  <c r="M186" i="26" s="1"/>
  <c r="J231" i="26"/>
  <c r="L231" i="26" s="1"/>
  <c r="I232" i="26" s="1"/>
  <c r="T184" i="26"/>
  <c r="S185" i="26" s="1"/>
  <c r="G90" i="26"/>
  <c r="AR90" i="26" s="1"/>
  <c r="AT184" i="26"/>
  <c r="R184" i="26"/>
  <c r="Q185" i="26" s="1"/>
  <c r="AM89" i="26"/>
  <c r="AN89" i="26" s="1"/>
  <c r="AJ89" i="26"/>
  <c r="AK89" i="26" s="1"/>
  <c r="AC134" i="28"/>
  <c r="X135" i="28" s="1"/>
  <c r="T196" i="28"/>
  <c r="S196" i="28"/>
  <c r="W196" i="28" s="1"/>
  <c r="R197" i="28" s="1"/>
  <c r="V197" i="28" s="1"/>
  <c r="AL93" i="28"/>
  <c r="AT195" i="28"/>
  <c r="AE195" i="28"/>
  <c r="AD196" i="28" s="1"/>
  <c r="AO93" i="28"/>
  <c r="AJ93" i="28"/>
  <c r="AK93" i="28" s="1"/>
  <c r="AW84" i="15"/>
  <c r="AX84" i="15" s="1"/>
  <c r="AY84" i="15" s="1"/>
  <c r="G116" i="25"/>
  <c r="K116" i="25" s="1"/>
  <c r="J117" i="25"/>
  <c r="H116" i="25"/>
  <c r="AJ111" i="25"/>
  <c r="AK111" i="25" s="1"/>
  <c r="AW111" i="25" s="1"/>
  <c r="AX111" i="25" s="1"/>
  <c r="AY111" i="25" s="1"/>
  <c r="N112" i="25"/>
  <c r="AP112" i="25" s="1"/>
  <c r="P113" i="25"/>
  <c r="AK84" i="24"/>
  <c r="AN84" i="24"/>
  <c r="G85" i="24"/>
  <c r="AR85" i="24" s="1"/>
  <c r="G85" i="15"/>
  <c r="AR85" i="15" s="1"/>
  <c r="P199" i="15"/>
  <c r="M200" i="15" s="1"/>
  <c r="N200" i="15" s="1"/>
  <c r="K93" i="28"/>
  <c r="M112" i="25"/>
  <c r="AL112" i="25" s="1"/>
  <c r="AW66" i="19"/>
  <c r="AX66" i="19" s="1"/>
  <c r="AY66" i="19" s="1"/>
  <c r="J68" i="19"/>
  <c r="G67" i="19"/>
  <c r="AL67" i="19" s="1"/>
  <c r="AM67" i="19" s="1"/>
  <c r="AN67" i="19" s="1"/>
  <c r="H67" i="19"/>
  <c r="AL75" i="17"/>
  <c r="AM75" i="17" s="1"/>
  <c r="AN75" i="17" s="1"/>
  <c r="AU75" i="17"/>
  <c r="AS75" i="17"/>
  <c r="AG146" i="17"/>
  <c r="AF147" i="17" s="1"/>
  <c r="AQ75" i="17"/>
  <c r="AO75" i="17"/>
  <c r="AP75" i="17"/>
  <c r="AI75" i="17"/>
  <c r="AJ75" i="17" s="1"/>
  <c r="AK75" i="17" s="1"/>
  <c r="Z147" i="17"/>
  <c r="Y147" i="17"/>
  <c r="AC147" i="17" s="1"/>
  <c r="X148" i="17" s="1"/>
  <c r="H76" i="17"/>
  <c r="J77" i="17"/>
  <c r="G76" i="17"/>
  <c r="AL76" i="17" s="1"/>
  <c r="AM76" i="17" s="1"/>
  <c r="AN76" i="17" s="1"/>
  <c r="AG148" i="19"/>
  <c r="AF149" i="19" s="1"/>
  <c r="Z149" i="19"/>
  <c r="Y149" i="19"/>
  <c r="AC149" i="19" s="1"/>
  <c r="X150" i="19" s="1"/>
  <c r="U7" i="16"/>
  <c r="T7" i="16"/>
  <c r="Z7" i="16"/>
  <c r="R169" i="15"/>
  <c r="Q170" i="15" s="1"/>
  <c r="AT170" i="15" s="1"/>
  <c r="AU6" i="16"/>
  <c r="AL6" i="16"/>
  <c r="AM6" i="16" s="1"/>
  <c r="AN6" i="16" s="1"/>
  <c r="Y7" i="16"/>
  <c r="AC7" i="16" s="1"/>
  <c r="X8" i="16" s="1"/>
  <c r="Z8" i="16" s="1"/>
  <c r="AQ6" i="16"/>
  <c r="AS6" i="16"/>
  <c r="T158" i="19"/>
  <c r="S158" i="19"/>
  <c r="W158" i="19" s="1"/>
  <c r="R159" i="19" s="1"/>
  <c r="AE157" i="19"/>
  <c r="AD158" i="19" s="1"/>
  <c r="AT157" i="19"/>
  <c r="W7" i="16"/>
  <c r="R8" i="16" s="1"/>
  <c r="T8" i="16" s="1"/>
  <c r="L169" i="15"/>
  <c r="I170" i="15" s="1"/>
  <c r="J170" i="15" s="1"/>
  <c r="V8" i="16"/>
  <c r="N167" i="17"/>
  <c r="P168" i="17"/>
  <c r="M167" i="17"/>
  <c r="Q167" i="17" s="1"/>
  <c r="L168" i="17" s="1"/>
  <c r="N167" i="19"/>
  <c r="P168" i="19"/>
  <c r="M167" i="19"/>
  <c r="Q167" i="19" s="1"/>
  <c r="L168" i="19" s="1"/>
  <c r="AT165" i="17"/>
  <c r="AE165" i="17"/>
  <c r="AD166" i="17" s="1"/>
  <c r="T169" i="15"/>
  <c r="S170" i="15" s="1"/>
  <c r="AI6" i="16"/>
  <c r="AO6" i="16"/>
  <c r="AP6" i="16"/>
  <c r="T166" i="17"/>
  <c r="S166" i="17"/>
  <c r="W166" i="17" s="1"/>
  <c r="R167" i="17" s="1"/>
  <c r="P8" i="16"/>
  <c r="N7" i="16"/>
  <c r="M7" i="16"/>
  <c r="Q7" i="16" s="1"/>
  <c r="AT7" i="16"/>
  <c r="AE7" i="16"/>
  <c r="AD8" i="16" s="1"/>
  <c r="AT8" i="16" s="1"/>
  <c r="AM114" i="18"/>
  <c r="AN114" i="18" s="1"/>
  <c r="AW114" i="18" s="1"/>
  <c r="AX114" i="18" s="1"/>
  <c r="AY114" i="18" s="1"/>
  <c r="G115" i="18"/>
  <c r="AR115" i="18" s="1"/>
  <c r="S184" i="18"/>
  <c r="T184" i="18" s="1"/>
  <c r="S185" i="18" s="1"/>
  <c r="T185" i="18" s="1"/>
  <c r="S186" i="18" s="1"/>
  <c r="P185" i="18"/>
  <c r="M186" i="18" s="1"/>
  <c r="N186" i="18" s="1"/>
  <c r="R184" i="18"/>
  <c r="Q185" i="18" s="1"/>
  <c r="AT185" i="18" s="1"/>
  <c r="AJ6" i="16" l="1"/>
  <c r="AK6" i="16" s="1"/>
  <c r="AW6" i="16" s="1"/>
  <c r="AT201" i="25"/>
  <c r="AE201" i="25"/>
  <c r="AD202" i="25" s="1"/>
  <c r="S202" i="25"/>
  <c r="W202" i="25" s="1"/>
  <c r="R203" i="25" s="1"/>
  <c r="T202" i="25"/>
  <c r="J10" i="16"/>
  <c r="H9" i="16"/>
  <c r="G9" i="16"/>
  <c r="AP94" i="29"/>
  <c r="M95" i="29"/>
  <c r="O95" i="29"/>
  <c r="AI94" i="29"/>
  <c r="AJ94" i="29" s="1"/>
  <c r="AK94" i="29" s="1"/>
  <c r="P96" i="29"/>
  <c r="K94" i="29"/>
  <c r="AU94" i="29" s="1"/>
  <c r="Y135" i="28"/>
  <c r="AG135" i="28" s="1"/>
  <c r="AF136" i="28" s="1"/>
  <c r="AB135" i="28"/>
  <c r="AT129" i="29"/>
  <c r="L124" i="24"/>
  <c r="I125" i="24" s="1"/>
  <c r="T124" i="24"/>
  <c r="S125" i="24" s="1"/>
  <c r="AC139" i="25"/>
  <c r="X140" i="25" s="1"/>
  <c r="O138" i="24"/>
  <c r="N138" i="24"/>
  <c r="Z128" i="29"/>
  <c r="Y128" i="29"/>
  <c r="T223" i="29"/>
  <c r="S223" i="29"/>
  <c r="W223" i="29" s="1"/>
  <c r="R224" i="29" s="1"/>
  <c r="U224" i="29" s="1"/>
  <c r="AW89" i="26"/>
  <c r="AX89" i="26" s="1"/>
  <c r="AY89" i="26" s="1"/>
  <c r="N186" i="26"/>
  <c r="P186" i="26" s="1"/>
  <c r="M187" i="26" s="1"/>
  <c r="J232" i="26"/>
  <c r="L232" i="26" s="1"/>
  <c r="I233" i="26" s="1"/>
  <c r="T185" i="26"/>
  <c r="S186" i="26" s="1"/>
  <c r="H90" i="26"/>
  <c r="AT185" i="26"/>
  <c r="R185" i="26"/>
  <c r="Q186" i="26" s="1"/>
  <c r="Z135" i="28"/>
  <c r="T197" i="28"/>
  <c r="S197" i="28"/>
  <c r="W197" i="28" s="1"/>
  <c r="R198" i="28" s="1"/>
  <c r="V198" i="28" s="1"/>
  <c r="AT196" i="28"/>
  <c r="AE196" i="28"/>
  <c r="AD197" i="28" s="1"/>
  <c r="AQ93" i="28"/>
  <c r="AS93" i="28"/>
  <c r="AU93" i="28"/>
  <c r="F94" i="28"/>
  <c r="I94" i="28" s="1"/>
  <c r="Q94" i="28" s="1"/>
  <c r="L95" i="28" s="1"/>
  <c r="AM93" i="28"/>
  <c r="AN93" i="28" s="1"/>
  <c r="F117" i="25"/>
  <c r="AO112" i="25"/>
  <c r="AW84" i="24"/>
  <c r="AX84" i="24" s="1"/>
  <c r="AY84" i="24" s="1"/>
  <c r="AM112" i="25"/>
  <c r="AN112" i="25" s="1"/>
  <c r="AT125" i="24"/>
  <c r="H85" i="24"/>
  <c r="H85" i="15"/>
  <c r="P200" i="15"/>
  <c r="M201" i="15" s="1"/>
  <c r="N201" i="15" s="1"/>
  <c r="Q112" i="25"/>
  <c r="K67" i="19"/>
  <c r="AQ67" i="19" s="1"/>
  <c r="AP67" i="19"/>
  <c r="AO67" i="19"/>
  <c r="AI67" i="19"/>
  <c r="AJ67" i="19" s="1"/>
  <c r="AK67" i="19" s="1"/>
  <c r="AW75" i="17"/>
  <c r="AX75" i="17" s="1"/>
  <c r="AY75" i="17" s="1"/>
  <c r="K76" i="17"/>
  <c r="F77" i="17" s="1"/>
  <c r="H77" i="17" s="1"/>
  <c r="AI76" i="17"/>
  <c r="AJ76" i="17" s="1"/>
  <c r="AK76" i="17" s="1"/>
  <c r="AO76" i="17"/>
  <c r="AP76" i="17"/>
  <c r="AG147" i="17"/>
  <c r="AF148" i="17" s="1"/>
  <c r="Z148" i="17"/>
  <c r="Y148" i="17"/>
  <c r="AC148" i="17" s="1"/>
  <c r="X149" i="17" s="1"/>
  <c r="Z150" i="19"/>
  <c r="Y150" i="19"/>
  <c r="AC150" i="19" s="1"/>
  <c r="X151" i="19" s="1"/>
  <c r="AG149" i="19"/>
  <c r="AF150" i="19" s="1"/>
  <c r="U8" i="16"/>
  <c r="AA8" i="16"/>
  <c r="S8" i="16"/>
  <c r="R170" i="15"/>
  <c r="Q171" i="15" s="1"/>
  <c r="AT171" i="15" s="1"/>
  <c r="Y8" i="16"/>
  <c r="AG7" i="16"/>
  <c r="AF8" i="16" s="1"/>
  <c r="AE158" i="19"/>
  <c r="AD159" i="19" s="1"/>
  <c r="AT158" i="19"/>
  <c r="T159" i="19"/>
  <c r="S159" i="19"/>
  <c r="W159" i="19" s="1"/>
  <c r="R160" i="19" s="1"/>
  <c r="AS7" i="16"/>
  <c r="AI7" i="16"/>
  <c r="AJ7" i="16" s="1"/>
  <c r="AK7" i="16" s="1"/>
  <c r="AL7" i="16"/>
  <c r="AM7" i="16" s="1"/>
  <c r="AN7" i="16" s="1"/>
  <c r="L170" i="15"/>
  <c r="I171" i="15" s="1"/>
  <c r="J171" i="15" s="1"/>
  <c r="AO7" i="16"/>
  <c r="AP7" i="16"/>
  <c r="N168" i="19"/>
  <c r="P169" i="19"/>
  <c r="M168" i="19"/>
  <c r="Q168" i="19" s="1"/>
  <c r="L169" i="19" s="1"/>
  <c r="AQ7" i="16"/>
  <c r="L8" i="16"/>
  <c r="AT166" i="17"/>
  <c r="AE166" i="17"/>
  <c r="AD167" i="17" s="1"/>
  <c r="T167" i="17"/>
  <c r="S167" i="17"/>
  <c r="W167" i="17" s="1"/>
  <c r="R168" i="17" s="1"/>
  <c r="AU7" i="16"/>
  <c r="T170" i="15"/>
  <c r="S171" i="15" s="1"/>
  <c r="P169" i="17"/>
  <c r="M168" i="17"/>
  <c r="Q168" i="17" s="1"/>
  <c r="L169" i="17" s="1"/>
  <c r="N168" i="17"/>
  <c r="H115" i="18"/>
  <c r="P186" i="18"/>
  <c r="M187" i="18" s="1"/>
  <c r="N187" i="18" s="1"/>
  <c r="R185" i="18"/>
  <c r="Q186" i="18" s="1"/>
  <c r="AT186" i="18" s="1"/>
  <c r="T186" i="18"/>
  <c r="S187" i="18" s="1"/>
  <c r="AT202" i="25" l="1"/>
  <c r="AE202" i="25"/>
  <c r="AD203" i="25" s="1"/>
  <c r="T203" i="25"/>
  <c r="S203" i="25"/>
  <c r="W203" i="25" s="1"/>
  <c r="R204" i="25" s="1"/>
  <c r="K9" i="16"/>
  <c r="F10" i="16" s="1"/>
  <c r="AR9" i="16"/>
  <c r="I9" i="16"/>
  <c r="F95" i="29"/>
  <c r="I95" i="29" s="1"/>
  <c r="AR95" i="29" s="1"/>
  <c r="AS94" i="29"/>
  <c r="AQ94" i="29"/>
  <c r="AC135" i="28"/>
  <c r="X136" i="28" s="1"/>
  <c r="AB136" i="28" s="1"/>
  <c r="O95" i="28"/>
  <c r="P96" i="28"/>
  <c r="M95" i="28"/>
  <c r="N95" i="28"/>
  <c r="P138" i="24"/>
  <c r="M139" i="24" s="1"/>
  <c r="Y140" i="25"/>
  <c r="AG140" i="25" s="1"/>
  <c r="AF141" i="25" s="1"/>
  <c r="Z140" i="25"/>
  <c r="K125" i="24"/>
  <c r="R125" i="24" s="1"/>
  <c r="Q126" i="24" s="1"/>
  <c r="AT126" i="24" s="1"/>
  <c r="J125" i="24"/>
  <c r="AC128" i="29"/>
  <c r="X129" i="29" s="1"/>
  <c r="AA129" i="29" s="1"/>
  <c r="AE129" i="29" s="1"/>
  <c r="AD130" i="29" s="1"/>
  <c r="AG128" i="29"/>
  <c r="AF129" i="29" s="1"/>
  <c r="T224" i="29"/>
  <c r="S224" i="29"/>
  <c r="W224" i="29" s="1"/>
  <c r="R225" i="29" s="1"/>
  <c r="U225" i="29" s="1"/>
  <c r="N187" i="26"/>
  <c r="P187" i="26" s="1"/>
  <c r="M188" i="26" s="1"/>
  <c r="J233" i="26"/>
  <c r="L233" i="26" s="1"/>
  <c r="I234" i="26" s="1"/>
  <c r="T186" i="26"/>
  <c r="S187" i="26" s="1"/>
  <c r="AT186" i="26"/>
  <c r="R186" i="26"/>
  <c r="Q187" i="26" s="1"/>
  <c r="F91" i="26"/>
  <c r="AI90" i="26"/>
  <c r="AL90" i="26"/>
  <c r="T198" i="28"/>
  <c r="S198" i="28"/>
  <c r="W198" i="28" s="1"/>
  <c r="R199" i="28" s="1"/>
  <c r="V199" i="28" s="1"/>
  <c r="AT197" i="28"/>
  <c r="AE197" i="28"/>
  <c r="AD198" i="28" s="1"/>
  <c r="AT198" i="28" s="1"/>
  <c r="J95" i="28"/>
  <c r="H94" i="28"/>
  <c r="AP94" i="28" s="1"/>
  <c r="G94" i="28"/>
  <c r="AL94" i="28" s="1"/>
  <c r="G117" i="25"/>
  <c r="K117" i="25" s="1"/>
  <c r="H117" i="25"/>
  <c r="J118" i="25"/>
  <c r="AS112" i="25"/>
  <c r="AU112" i="25"/>
  <c r="AI112" i="25"/>
  <c r="AQ112" i="25"/>
  <c r="L113" i="25"/>
  <c r="F86" i="24"/>
  <c r="AL85" i="24"/>
  <c r="AM85" i="24" s="1"/>
  <c r="AI85" i="24"/>
  <c r="AJ85" i="24" s="1"/>
  <c r="F86" i="15"/>
  <c r="AI85" i="15"/>
  <c r="AJ85" i="15" s="1"/>
  <c r="AK85" i="15" s="1"/>
  <c r="AL85" i="15"/>
  <c r="AM85" i="15" s="1"/>
  <c r="AN85" i="15" s="1"/>
  <c r="P201" i="15"/>
  <c r="M202" i="15" s="1"/>
  <c r="N202" i="15" s="1"/>
  <c r="AW93" i="28"/>
  <c r="AX93" i="28" s="1"/>
  <c r="AY93" i="28" s="1"/>
  <c r="AS67" i="19"/>
  <c r="F68" i="19"/>
  <c r="AU67" i="19"/>
  <c r="AQ76" i="17"/>
  <c r="AS76" i="17"/>
  <c r="G77" i="17"/>
  <c r="AL77" i="17" s="1"/>
  <c r="AM77" i="17" s="1"/>
  <c r="AN77" i="17" s="1"/>
  <c r="J78" i="17"/>
  <c r="AU76" i="17"/>
  <c r="AG150" i="19"/>
  <c r="AF151" i="19" s="1"/>
  <c r="AG148" i="17"/>
  <c r="AF149" i="17" s="1"/>
  <c r="AP77" i="17"/>
  <c r="AO77" i="17"/>
  <c r="Y149" i="17"/>
  <c r="AC149" i="17" s="1"/>
  <c r="X150" i="17" s="1"/>
  <c r="Z149" i="17"/>
  <c r="W8" i="16"/>
  <c r="R9" i="16" s="1"/>
  <c r="S9" i="16" s="1"/>
  <c r="Z151" i="19"/>
  <c r="Y151" i="19"/>
  <c r="AC151" i="19" s="1"/>
  <c r="X152" i="19" s="1"/>
  <c r="AE8" i="16"/>
  <c r="AD9" i="16" s="1"/>
  <c r="AT9" i="16" s="1"/>
  <c r="R171" i="15"/>
  <c r="Q172" i="15" s="1"/>
  <c r="AT172" i="15" s="1"/>
  <c r="AC8" i="16"/>
  <c r="X9" i="16" s="1"/>
  <c r="Z9" i="16" s="1"/>
  <c r="AG8" i="16"/>
  <c r="AF9" i="16" s="1"/>
  <c r="T171" i="15"/>
  <c r="S172" i="15" s="1"/>
  <c r="AT159" i="19"/>
  <c r="AE159" i="19"/>
  <c r="AD160" i="19" s="1"/>
  <c r="L171" i="15"/>
  <c r="I172" i="15" s="1"/>
  <c r="J172" i="15" s="1"/>
  <c r="S160" i="19"/>
  <c r="W160" i="19" s="1"/>
  <c r="R161" i="19" s="1"/>
  <c r="T160" i="19"/>
  <c r="AW7" i="16"/>
  <c r="P170" i="17"/>
  <c r="N169" i="17"/>
  <c r="M169" i="17"/>
  <c r="Q169" i="17" s="1"/>
  <c r="L170" i="17" s="1"/>
  <c r="P9" i="16"/>
  <c r="M8" i="16"/>
  <c r="AL8" i="16" s="1"/>
  <c r="AM8" i="16" s="1"/>
  <c r="AN8" i="16" s="1"/>
  <c r="N8" i="16"/>
  <c r="AT167" i="17"/>
  <c r="AE167" i="17"/>
  <c r="AD168" i="17" s="1"/>
  <c r="M169" i="19"/>
  <c r="Q169" i="19" s="1"/>
  <c r="L170" i="19" s="1"/>
  <c r="P170" i="19"/>
  <c r="N169" i="19"/>
  <c r="T168" i="17"/>
  <c r="S168" i="17"/>
  <c r="W168" i="17" s="1"/>
  <c r="R169" i="17" s="1"/>
  <c r="AL115" i="18"/>
  <c r="AM115" i="18" s="1"/>
  <c r="AN115" i="18" s="1"/>
  <c r="F116" i="18"/>
  <c r="AI115" i="18"/>
  <c r="R186" i="18"/>
  <c r="Q187" i="18" s="1"/>
  <c r="AT187" i="18" s="1"/>
  <c r="T187" i="18"/>
  <c r="S188" i="18" s="1"/>
  <c r="AT203" i="25" l="1"/>
  <c r="AE203" i="25"/>
  <c r="AD204" i="25" s="1"/>
  <c r="S204" i="25"/>
  <c r="W204" i="25" s="1"/>
  <c r="R205" i="25" s="1"/>
  <c r="T204" i="25"/>
  <c r="J11" i="16"/>
  <c r="H10" i="16"/>
  <c r="G10" i="16"/>
  <c r="Q95" i="29"/>
  <c r="L96" i="29" s="1"/>
  <c r="N96" i="29" s="1"/>
  <c r="H95" i="29"/>
  <c r="AP95" i="29" s="1"/>
  <c r="J96" i="29"/>
  <c r="G95" i="29"/>
  <c r="AI95" i="29" s="1"/>
  <c r="AJ95" i="29" s="1"/>
  <c r="AK95" i="29" s="1"/>
  <c r="O96" i="29"/>
  <c r="AW94" i="29"/>
  <c r="AX94" i="29" s="1"/>
  <c r="AY94" i="29" s="1"/>
  <c r="AT130" i="29"/>
  <c r="Z136" i="28"/>
  <c r="Y136" i="28"/>
  <c r="AG136" i="28" s="1"/>
  <c r="AF137" i="28" s="1"/>
  <c r="L125" i="24"/>
  <c r="I126" i="24" s="1"/>
  <c r="AC140" i="25"/>
  <c r="X141" i="25" s="1"/>
  <c r="O139" i="24"/>
  <c r="N139" i="24"/>
  <c r="T125" i="24"/>
  <c r="S126" i="24" s="1"/>
  <c r="Y129" i="29"/>
  <c r="AG129" i="29" s="1"/>
  <c r="AF130" i="29" s="1"/>
  <c r="Z129" i="29"/>
  <c r="T225" i="29"/>
  <c r="S225" i="29"/>
  <c r="W225" i="29" s="1"/>
  <c r="R226" i="29" s="1"/>
  <c r="U226" i="29" s="1"/>
  <c r="J234" i="26"/>
  <c r="L234" i="26" s="1"/>
  <c r="N188" i="26"/>
  <c r="P188" i="26" s="1"/>
  <c r="M189" i="26" s="1"/>
  <c r="AT187" i="26"/>
  <c r="R187" i="26"/>
  <c r="Q188" i="26" s="1"/>
  <c r="G91" i="26"/>
  <c r="AR91" i="26" s="1"/>
  <c r="AJ90" i="26"/>
  <c r="AK90" i="26" s="1"/>
  <c r="AM90" i="26"/>
  <c r="AN90" i="26" s="1"/>
  <c r="T187" i="26"/>
  <c r="S188" i="26" s="1"/>
  <c r="AI94" i="28"/>
  <c r="T199" i="28"/>
  <c r="S199" i="28"/>
  <c r="W199" i="28" s="1"/>
  <c r="R200" i="28" s="1"/>
  <c r="V200" i="28" s="1"/>
  <c r="AE198" i="28"/>
  <c r="AD199" i="28" s="1"/>
  <c r="AT199" i="28" s="1"/>
  <c r="AO94" i="28"/>
  <c r="F118" i="25"/>
  <c r="AJ112" i="25"/>
  <c r="AK112" i="25" s="1"/>
  <c r="AW112" i="25" s="1"/>
  <c r="AX112" i="25" s="1"/>
  <c r="AY112" i="25" s="1"/>
  <c r="N113" i="25"/>
  <c r="AP113" i="25" s="1"/>
  <c r="P114" i="25"/>
  <c r="AK85" i="24"/>
  <c r="AN85" i="24"/>
  <c r="AW85" i="15"/>
  <c r="AX85" i="15" s="1"/>
  <c r="AY85" i="15" s="1"/>
  <c r="G86" i="24"/>
  <c r="AR86" i="24" s="1"/>
  <c r="G86" i="15"/>
  <c r="AR86" i="15" s="1"/>
  <c r="P202" i="15"/>
  <c r="M203" i="15" s="1"/>
  <c r="N203" i="15" s="1"/>
  <c r="K94" i="28"/>
  <c r="M113" i="25"/>
  <c r="AL113" i="25" s="1"/>
  <c r="AW67" i="19"/>
  <c r="AX67" i="19" s="1"/>
  <c r="AY67" i="19" s="1"/>
  <c r="AW76" i="17"/>
  <c r="AX76" i="17" s="1"/>
  <c r="AY76" i="17" s="1"/>
  <c r="G68" i="19"/>
  <c r="K68" i="19" s="1"/>
  <c r="H68" i="19"/>
  <c r="J69" i="19"/>
  <c r="K77" i="17"/>
  <c r="AS77" i="17" s="1"/>
  <c r="AI77" i="17"/>
  <c r="AJ77" i="17" s="1"/>
  <c r="AK77" i="17" s="1"/>
  <c r="Z150" i="17"/>
  <c r="Y150" i="17"/>
  <c r="AC150" i="17" s="1"/>
  <c r="X151" i="17" s="1"/>
  <c r="AG149" i="17"/>
  <c r="AF150" i="17" s="1"/>
  <c r="AA9" i="16"/>
  <c r="W9" i="16" s="1"/>
  <c r="R10" i="16" s="1"/>
  <c r="U10" i="16" s="1"/>
  <c r="Y9" i="16"/>
  <c r="T9" i="16"/>
  <c r="U9" i="16"/>
  <c r="AG151" i="19"/>
  <c r="AF152" i="19" s="1"/>
  <c r="Y152" i="19"/>
  <c r="AC152" i="19" s="1"/>
  <c r="X153" i="19" s="1"/>
  <c r="Z152" i="19"/>
  <c r="T172" i="15"/>
  <c r="S173" i="15" s="1"/>
  <c r="R172" i="15"/>
  <c r="Q173" i="15" s="1"/>
  <c r="AT173" i="15" s="1"/>
  <c r="L172" i="15"/>
  <c r="I173" i="15" s="1"/>
  <c r="J173" i="15" s="1"/>
  <c r="AE160" i="19"/>
  <c r="AD161" i="19" s="1"/>
  <c r="AT160" i="19"/>
  <c r="S161" i="19"/>
  <c r="W161" i="19" s="1"/>
  <c r="R162" i="19" s="1"/>
  <c r="T161" i="19"/>
  <c r="Q8" i="16"/>
  <c r="AS8" i="16" s="1"/>
  <c r="AT168" i="17"/>
  <c r="AE168" i="17"/>
  <c r="AD169" i="17" s="1"/>
  <c r="P171" i="19"/>
  <c r="M170" i="19"/>
  <c r="Q170" i="19" s="1"/>
  <c r="L171" i="19" s="1"/>
  <c r="N170" i="19"/>
  <c r="P171" i="17"/>
  <c r="N170" i="17"/>
  <c r="M170" i="17"/>
  <c r="Q170" i="17" s="1"/>
  <c r="L171" i="17" s="1"/>
  <c r="S169" i="17"/>
  <c r="W169" i="17" s="1"/>
  <c r="R170" i="17" s="1"/>
  <c r="T169" i="17"/>
  <c r="AO8" i="16"/>
  <c r="AP8" i="16"/>
  <c r="G116" i="18"/>
  <c r="AR116" i="18" s="1"/>
  <c r="AJ115" i="18"/>
  <c r="AK115" i="18" s="1"/>
  <c r="AW115" i="18" s="1"/>
  <c r="AX115" i="18" s="1"/>
  <c r="AY115" i="18" s="1"/>
  <c r="P187" i="18"/>
  <c r="M188" i="18" s="1"/>
  <c r="N188" i="18" s="1"/>
  <c r="R187" i="18"/>
  <c r="Q188" i="18" s="1"/>
  <c r="AT188" i="18" s="1"/>
  <c r="AT204" i="25" l="1"/>
  <c r="AE204" i="25"/>
  <c r="AD205" i="25" s="1"/>
  <c r="S205" i="25"/>
  <c r="W205" i="25" s="1"/>
  <c r="R206" i="25" s="1"/>
  <c r="T205" i="25"/>
  <c r="K10" i="16"/>
  <c r="F11" i="16" s="1"/>
  <c r="AR10" i="16"/>
  <c r="I10" i="16"/>
  <c r="M96" i="29"/>
  <c r="P97" i="29"/>
  <c r="AO95" i="29"/>
  <c r="AL95" i="29"/>
  <c r="AM95" i="29" s="1"/>
  <c r="AN95" i="29" s="1"/>
  <c r="K95" i="29"/>
  <c r="AS95" i="29" s="1"/>
  <c r="AC136" i="28"/>
  <c r="X137" i="28" s="1"/>
  <c r="AB137" i="28" s="1"/>
  <c r="P139" i="24"/>
  <c r="M140" i="24" s="1"/>
  <c r="Y141" i="25"/>
  <c r="AG141" i="25" s="1"/>
  <c r="AF142" i="25" s="1"/>
  <c r="Z141" i="25"/>
  <c r="K126" i="24"/>
  <c r="J126" i="24"/>
  <c r="AC129" i="29"/>
  <c r="X130" i="29" s="1"/>
  <c r="AA130" i="29" s="1"/>
  <c r="AE130" i="29" s="1"/>
  <c r="AD131" i="29" s="1"/>
  <c r="T226" i="29"/>
  <c r="S226" i="29"/>
  <c r="W226" i="29" s="1"/>
  <c r="R227" i="29" s="1"/>
  <c r="U227" i="29" s="1"/>
  <c r="AW90" i="26"/>
  <c r="AX90" i="26" s="1"/>
  <c r="AY90" i="26" s="1"/>
  <c r="N189" i="26"/>
  <c r="P189" i="26" s="1"/>
  <c r="M190" i="26" s="1"/>
  <c r="AT188" i="26"/>
  <c r="R188" i="26"/>
  <c r="Q189" i="26" s="1"/>
  <c r="H91" i="26"/>
  <c r="T188" i="26"/>
  <c r="S189" i="26" s="1"/>
  <c r="T200" i="28"/>
  <c r="S200" i="28"/>
  <c r="W200" i="28" s="1"/>
  <c r="R201" i="28" s="1"/>
  <c r="V201" i="28" s="1"/>
  <c r="AQ94" i="28"/>
  <c r="AS94" i="28"/>
  <c r="AU94" i="28"/>
  <c r="AE199" i="28"/>
  <c r="AD200" i="28" s="1"/>
  <c r="AT200" i="28" s="1"/>
  <c r="F95" i="28"/>
  <c r="I95" i="28" s="1"/>
  <c r="Q95" i="28" s="1"/>
  <c r="L96" i="28" s="1"/>
  <c r="AM94" i="28"/>
  <c r="AN94" i="28" s="1"/>
  <c r="AJ94" i="28"/>
  <c r="AK94" i="28" s="1"/>
  <c r="G118" i="25"/>
  <c r="K118" i="25" s="1"/>
  <c r="H118" i="25"/>
  <c r="J119" i="25"/>
  <c r="AO113" i="25"/>
  <c r="AM113" i="25"/>
  <c r="AN113" i="25" s="1"/>
  <c r="AW85" i="24"/>
  <c r="AX85" i="24" s="1"/>
  <c r="AY85" i="24" s="1"/>
  <c r="H86" i="24"/>
  <c r="H86" i="15"/>
  <c r="P203" i="15"/>
  <c r="M204" i="15" s="1"/>
  <c r="N204" i="15" s="1"/>
  <c r="Q113" i="25"/>
  <c r="AQ77" i="17"/>
  <c r="AU77" i="17"/>
  <c r="AE9" i="16"/>
  <c r="AD10" i="16" s="1"/>
  <c r="AT10" i="16" s="1"/>
  <c r="F78" i="17"/>
  <c r="H78" i="17" s="1"/>
  <c r="AQ68" i="19"/>
  <c r="AU68" i="19"/>
  <c r="AS68" i="19"/>
  <c r="F69" i="19"/>
  <c r="AP68" i="19"/>
  <c r="AO68" i="19"/>
  <c r="AI68" i="19"/>
  <c r="AJ68" i="19" s="1"/>
  <c r="AK68" i="19" s="1"/>
  <c r="AL68" i="19"/>
  <c r="AM68" i="19" s="1"/>
  <c r="AN68" i="19" s="1"/>
  <c r="AG150" i="17"/>
  <c r="AF151" i="17" s="1"/>
  <c r="AQ8" i="16"/>
  <c r="S10" i="16"/>
  <c r="T10" i="16"/>
  <c r="Z151" i="17"/>
  <c r="Y151" i="17"/>
  <c r="AC151" i="17" s="1"/>
  <c r="X152" i="17" s="1"/>
  <c r="AG9" i="16"/>
  <c r="AF10" i="16" s="1"/>
  <c r="AC9" i="16"/>
  <c r="X10" i="16" s="1"/>
  <c r="Z10" i="16" s="1"/>
  <c r="AG152" i="19"/>
  <c r="AF153" i="19" s="1"/>
  <c r="Z153" i="19"/>
  <c r="Y153" i="19"/>
  <c r="AC153" i="19" s="1"/>
  <c r="X154" i="19" s="1"/>
  <c r="T173" i="15"/>
  <c r="S174" i="15" s="1"/>
  <c r="AU8" i="16"/>
  <c r="AE161" i="19"/>
  <c r="AD162" i="19" s="1"/>
  <c r="AT161" i="19"/>
  <c r="T162" i="19"/>
  <c r="S162" i="19"/>
  <c r="W162" i="19" s="1"/>
  <c r="R163" i="19" s="1"/>
  <c r="R173" i="15"/>
  <c r="Q174" i="15" s="1"/>
  <c r="AT174" i="15" s="1"/>
  <c r="L9" i="16"/>
  <c r="AI8" i="16"/>
  <c r="AJ8" i="16" s="1"/>
  <c r="AK8" i="16" s="1"/>
  <c r="L173" i="15"/>
  <c r="I174" i="15" s="1"/>
  <c r="J174" i="15" s="1"/>
  <c r="M171" i="17"/>
  <c r="Q171" i="17" s="1"/>
  <c r="L172" i="17" s="1"/>
  <c r="P172" i="17"/>
  <c r="N171" i="17"/>
  <c r="T170" i="17"/>
  <c r="S170" i="17"/>
  <c r="W170" i="17" s="1"/>
  <c r="R171" i="17" s="1"/>
  <c r="N171" i="19"/>
  <c r="M171" i="19"/>
  <c r="Q171" i="19" s="1"/>
  <c r="L172" i="19" s="1"/>
  <c r="P172" i="19"/>
  <c r="V11" i="16"/>
  <c r="AT169" i="17"/>
  <c r="AE169" i="17"/>
  <c r="AD170" i="17" s="1"/>
  <c r="H116" i="18"/>
  <c r="T188" i="18"/>
  <c r="S189" i="18" s="1"/>
  <c r="AT205" i="25" l="1"/>
  <c r="AE205" i="25"/>
  <c r="AD206" i="25" s="1"/>
  <c r="S206" i="25"/>
  <c r="W206" i="25" s="1"/>
  <c r="R207" i="25" s="1"/>
  <c r="T206" i="25"/>
  <c r="H11" i="16"/>
  <c r="J12" i="16"/>
  <c r="G11" i="16"/>
  <c r="F96" i="29"/>
  <c r="I96" i="29" s="1"/>
  <c r="Q96" i="29" s="1"/>
  <c r="L97" i="29" s="1"/>
  <c r="AQ95" i="29"/>
  <c r="AU95" i="29"/>
  <c r="Z137" i="28"/>
  <c r="Y137" i="28"/>
  <c r="AG137" i="28" s="1"/>
  <c r="AF138" i="28" s="1"/>
  <c r="O96" i="28"/>
  <c r="P97" i="28"/>
  <c r="M96" i="28"/>
  <c r="N96" i="28"/>
  <c r="AT131" i="29"/>
  <c r="L126" i="24"/>
  <c r="I127" i="24" s="1"/>
  <c r="T126" i="24"/>
  <c r="S127" i="24" s="1"/>
  <c r="AC141" i="25"/>
  <c r="X142" i="25" s="1"/>
  <c r="Y142" i="25" s="1"/>
  <c r="AG142" i="25" s="1"/>
  <c r="AF143" i="25" s="1"/>
  <c r="R126" i="24"/>
  <c r="Q127" i="24" s="1"/>
  <c r="AT127" i="24" s="1"/>
  <c r="O140" i="24"/>
  <c r="N140" i="24"/>
  <c r="Y130" i="29"/>
  <c r="AG130" i="29" s="1"/>
  <c r="AF131" i="29" s="1"/>
  <c r="Z130" i="29"/>
  <c r="T227" i="29"/>
  <c r="S227" i="29"/>
  <c r="W227" i="29" s="1"/>
  <c r="R228" i="29" s="1"/>
  <c r="U228" i="29" s="1"/>
  <c r="N190" i="26"/>
  <c r="P190" i="26" s="1"/>
  <c r="M191" i="26" s="1"/>
  <c r="AT189" i="26"/>
  <c r="R189" i="26"/>
  <c r="Q190" i="26" s="1"/>
  <c r="F92" i="26"/>
  <c r="AL91" i="26"/>
  <c r="AI91" i="26"/>
  <c r="T189" i="26"/>
  <c r="S190" i="26" s="1"/>
  <c r="AE200" i="28"/>
  <c r="AD201" i="28" s="1"/>
  <c r="AT201" i="28" s="1"/>
  <c r="T201" i="28"/>
  <c r="S201" i="28"/>
  <c r="W201" i="28" s="1"/>
  <c r="R202" i="28" s="1"/>
  <c r="V202" i="28" s="1"/>
  <c r="H95" i="28"/>
  <c r="AP95" i="28" s="1"/>
  <c r="J96" i="28"/>
  <c r="G95" i="28"/>
  <c r="AL95" i="28" s="1"/>
  <c r="F119" i="25"/>
  <c r="AU113" i="25"/>
  <c r="AQ113" i="25"/>
  <c r="AI113" i="25"/>
  <c r="AS113" i="25"/>
  <c r="L114" i="25"/>
  <c r="F87" i="24"/>
  <c r="AL86" i="24"/>
  <c r="AM86" i="24" s="1"/>
  <c r="AI86" i="24"/>
  <c r="AJ86" i="24" s="1"/>
  <c r="F87" i="15"/>
  <c r="AI86" i="15"/>
  <c r="AJ86" i="15" s="1"/>
  <c r="AK86" i="15" s="1"/>
  <c r="AL86" i="15"/>
  <c r="AM86" i="15" s="1"/>
  <c r="AN86" i="15" s="1"/>
  <c r="P204" i="15"/>
  <c r="M205" i="15" s="1"/>
  <c r="N205" i="15" s="1"/>
  <c r="AW94" i="28"/>
  <c r="AX94" i="28" s="1"/>
  <c r="AY94" i="28" s="1"/>
  <c r="AW68" i="19"/>
  <c r="AX68" i="19" s="1"/>
  <c r="AY68" i="19" s="1"/>
  <c r="J79" i="17"/>
  <c r="AW77" i="17"/>
  <c r="AX77" i="17" s="1"/>
  <c r="AY77" i="17" s="1"/>
  <c r="G78" i="17"/>
  <c r="K78" i="17" s="1"/>
  <c r="F79" i="17" s="1"/>
  <c r="H79" i="17" s="1"/>
  <c r="AW8" i="16"/>
  <c r="J70" i="19"/>
  <c r="G69" i="19"/>
  <c r="K69" i="19" s="1"/>
  <c r="F70" i="19" s="1"/>
  <c r="H69" i="19"/>
  <c r="T174" i="15"/>
  <c r="S175" i="15" s="1"/>
  <c r="Y152" i="17"/>
  <c r="AC152" i="17" s="1"/>
  <c r="X153" i="17" s="1"/>
  <c r="Z152" i="17"/>
  <c r="AP78" i="17"/>
  <c r="AO78" i="17"/>
  <c r="AG151" i="17"/>
  <c r="AF152" i="17" s="1"/>
  <c r="AG153" i="19"/>
  <c r="AF154" i="19" s="1"/>
  <c r="AA10" i="16"/>
  <c r="Y10" i="16"/>
  <c r="Y154" i="19"/>
  <c r="AC154" i="19" s="1"/>
  <c r="X155" i="19" s="1"/>
  <c r="Z154" i="19"/>
  <c r="AT162" i="19"/>
  <c r="AE162" i="19"/>
  <c r="AD163" i="19" s="1"/>
  <c r="L174" i="15"/>
  <c r="I175" i="15" s="1"/>
  <c r="J175" i="15" s="1"/>
  <c r="T163" i="19"/>
  <c r="S163" i="19"/>
  <c r="W163" i="19" s="1"/>
  <c r="R164" i="19" s="1"/>
  <c r="N9" i="16"/>
  <c r="M9" i="16"/>
  <c r="P10" i="16"/>
  <c r="AT170" i="17"/>
  <c r="AE170" i="17"/>
  <c r="AD171" i="17" s="1"/>
  <c r="R174" i="15"/>
  <c r="Q175" i="15" s="1"/>
  <c r="AT175" i="15" s="1"/>
  <c r="P173" i="17"/>
  <c r="N172" i="17"/>
  <c r="M172" i="17"/>
  <c r="Q172" i="17" s="1"/>
  <c r="L173" i="17" s="1"/>
  <c r="S171" i="17"/>
  <c r="W171" i="17" s="1"/>
  <c r="R172" i="17" s="1"/>
  <c r="T171" i="17"/>
  <c r="M172" i="19"/>
  <c r="Q172" i="19" s="1"/>
  <c r="L173" i="19" s="1"/>
  <c r="P173" i="19"/>
  <c r="N172" i="19"/>
  <c r="F117" i="18"/>
  <c r="AL116" i="18"/>
  <c r="AM116" i="18" s="1"/>
  <c r="AN116" i="18" s="1"/>
  <c r="AI116" i="18"/>
  <c r="AJ116" i="18" s="1"/>
  <c r="AK116" i="18" s="1"/>
  <c r="P188" i="18"/>
  <c r="M189" i="18" s="1"/>
  <c r="N189" i="18" s="1"/>
  <c r="R188" i="18"/>
  <c r="Q189" i="18" s="1"/>
  <c r="AT189" i="18" s="1"/>
  <c r="AE206" i="25" l="1"/>
  <c r="AD207" i="25" s="1"/>
  <c r="AT206" i="25"/>
  <c r="T207" i="25"/>
  <c r="S207" i="25"/>
  <c r="W207" i="25" s="1"/>
  <c r="R208" i="25" s="1"/>
  <c r="K11" i="16"/>
  <c r="F12" i="16" s="1"/>
  <c r="AR11" i="16"/>
  <c r="I11" i="16"/>
  <c r="AR96" i="29"/>
  <c r="AW95" i="29"/>
  <c r="AX95" i="29" s="1"/>
  <c r="AY95" i="29" s="1"/>
  <c r="H96" i="29"/>
  <c r="AP96" i="29" s="1"/>
  <c r="J97" i="29"/>
  <c r="G96" i="29"/>
  <c r="AL96" i="29" s="1"/>
  <c r="AM96" i="29" s="1"/>
  <c r="AN96" i="29" s="1"/>
  <c r="AC137" i="28"/>
  <c r="X138" i="28" s="1"/>
  <c r="AB138" i="28" s="1"/>
  <c r="O97" i="29"/>
  <c r="M97" i="29"/>
  <c r="N97" i="29"/>
  <c r="P98" i="29"/>
  <c r="Z142" i="25"/>
  <c r="P140" i="24"/>
  <c r="M141" i="24" s="1"/>
  <c r="AC142" i="25"/>
  <c r="X143" i="25" s="1"/>
  <c r="K127" i="24"/>
  <c r="T127" i="24" s="1"/>
  <c r="S128" i="24" s="1"/>
  <c r="J127" i="24"/>
  <c r="AC130" i="29"/>
  <c r="X131" i="29" s="1"/>
  <c r="AA131" i="29" s="1"/>
  <c r="AE131" i="29" s="1"/>
  <c r="AD132" i="29" s="1"/>
  <c r="T228" i="29"/>
  <c r="S228" i="29"/>
  <c r="W228" i="29" s="1"/>
  <c r="R229" i="29" s="1"/>
  <c r="U229" i="29" s="1"/>
  <c r="AT190" i="26"/>
  <c r="R190" i="26"/>
  <c r="Q191" i="26" s="1"/>
  <c r="N191" i="26"/>
  <c r="P191" i="26" s="1"/>
  <c r="M192" i="26" s="1"/>
  <c r="AM91" i="26"/>
  <c r="AN91" i="26" s="1"/>
  <c r="AJ91" i="26"/>
  <c r="AK91" i="26" s="1"/>
  <c r="T190" i="26"/>
  <c r="S191" i="26" s="1"/>
  <c r="G92" i="26"/>
  <c r="AR92" i="26" s="1"/>
  <c r="AE201" i="28"/>
  <c r="AD202" i="28" s="1"/>
  <c r="AT202" i="28" s="1"/>
  <c r="T202" i="28"/>
  <c r="S202" i="28"/>
  <c r="W202" i="28" s="1"/>
  <c r="R203" i="28" s="1"/>
  <c r="V203" i="28" s="1"/>
  <c r="AO95" i="28"/>
  <c r="AI95" i="28"/>
  <c r="G119" i="25"/>
  <c r="K119" i="25" s="1"/>
  <c r="H119" i="25"/>
  <c r="J120" i="25"/>
  <c r="AJ113" i="25"/>
  <c r="AK113" i="25" s="1"/>
  <c r="AW113" i="25" s="1"/>
  <c r="AX113" i="25" s="1"/>
  <c r="AY113" i="25" s="1"/>
  <c r="N114" i="25"/>
  <c r="AP114" i="25" s="1"/>
  <c r="P115" i="25"/>
  <c r="AK86" i="24"/>
  <c r="AN86" i="24"/>
  <c r="AW86" i="15"/>
  <c r="AX86" i="15" s="1"/>
  <c r="AY86" i="15" s="1"/>
  <c r="G87" i="24"/>
  <c r="AR87" i="24" s="1"/>
  <c r="G87" i="15"/>
  <c r="AR87" i="15" s="1"/>
  <c r="P205" i="15"/>
  <c r="M206" i="15" s="1"/>
  <c r="N206" i="15" s="1"/>
  <c r="K95" i="28"/>
  <c r="M114" i="25"/>
  <c r="AL114" i="25" s="1"/>
  <c r="AQ78" i="17"/>
  <c r="AI78" i="17"/>
  <c r="AJ78" i="17" s="1"/>
  <c r="AK78" i="17" s="1"/>
  <c r="J80" i="17"/>
  <c r="G79" i="17"/>
  <c r="K79" i="17" s="1"/>
  <c r="F80" i="17" s="1"/>
  <c r="J81" i="17" s="1"/>
  <c r="AL78" i="17"/>
  <c r="AM78" i="17" s="1"/>
  <c r="AN78" i="17" s="1"/>
  <c r="AU78" i="17"/>
  <c r="AS78" i="17"/>
  <c r="AL69" i="19"/>
  <c r="AM69" i="19" s="1"/>
  <c r="AN69" i="19" s="1"/>
  <c r="J71" i="19"/>
  <c r="G70" i="19"/>
  <c r="AL70" i="19" s="1"/>
  <c r="AM70" i="19" s="1"/>
  <c r="AN70" i="19" s="1"/>
  <c r="H70" i="19"/>
  <c r="AU69" i="19"/>
  <c r="AQ69" i="19"/>
  <c r="T175" i="15"/>
  <c r="S176" i="15" s="1"/>
  <c r="AI69" i="19"/>
  <c r="AJ69" i="19" s="1"/>
  <c r="AK69" i="19" s="1"/>
  <c r="AS69" i="19"/>
  <c r="AO69" i="19"/>
  <c r="AP69" i="19"/>
  <c r="AG152" i="17"/>
  <c r="AF153" i="17" s="1"/>
  <c r="AG154" i="19"/>
  <c r="AF155" i="19" s="1"/>
  <c r="AG10" i="16"/>
  <c r="AF11" i="16" s="1"/>
  <c r="W10" i="16"/>
  <c r="R11" i="16" s="1"/>
  <c r="T11" i="16" s="1"/>
  <c r="Y153" i="17"/>
  <c r="Z153" i="17"/>
  <c r="AP79" i="17"/>
  <c r="AO79" i="17"/>
  <c r="AC10" i="16"/>
  <c r="X11" i="16" s="1"/>
  <c r="AA11" i="16" s="1"/>
  <c r="AE10" i="16"/>
  <c r="AD11" i="16" s="1"/>
  <c r="AT11" i="16" s="1"/>
  <c r="Z155" i="19"/>
  <c r="Y155" i="19"/>
  <c r="AC155" i="19" s="1"/>
  <c r="X156" i="19" s="1"/>
  <c r="L175" i="15"/>
  <c r="I176" i="15" s="1"/>
  <c r="J176" i="15" s="1"/>
  <c r="AE163" i="19"/>
  <c r="AD164" i="19" s="1"/>
  <c r="AT163" i="19"/>
  <c r="S164" i="19"/>
  <c r="W164" i="19" s="1"/>
  <c r="R165" i="19" s="1"/>
  <c r="T164" i="19"/>
  <c r="AP9" i="16"/>
  <c r="AO9" i="16"/>
  <c r="AL9" i="16"/>
  <c r="Q9" i="16"/>
  <c r="N173" i="17"/>
  <c r="P174" i="17"/>
  <c r="M173" i="17"/>
  <c r="Q173" i="17" s="1"/>
  <c r="L174" i="17" s="1"/>
  <c r="P174" i="19"/>
  <c r="M173" i="19"/>
  <c r="Q173" i="19" s="1"/>
  <c r="L174" i="19" s="1"/>
  <c r="N173" i="19"/>
  <c r="S172" i="17"/>
  <c r="W172" i="17" s="1"/>
  <c r="R173" i="17" s="1"/>
  <c r="T172" i="17"/>
  <c r="R175" i="15"/>
  <c r="Q176" i="15" s="1"/>
  <c r="AT176" i="15" s="1"/>
  <c r="AT171" i="17"/>
  <c r="AE171" i="17"/>
  <c r="AD172" i="17" s="1"/>
  <c r="AW116" i="18"/>
  <c r="AX116" i="18" s="1"/>
  <c r="AY116" i="18" s="1"/>
  <c r="G117" i="18"/>
  <c r="AR117" i="18" s="1"/>
  <c r="T189" i="18"/>
  <c r="S190" i="18" s="1"/>
  <c r="AT207" i="25" l="1"/>
  <c r="AE207" i="25"/>
  <c r="AD208" i="25" s="1"/>
  <c r="T208" i="25"/>
  <c r="S208" i="25"/>
  <c r="W208" i="25" s="1"/>
  <c r="R209" i="25" s="1"/>
  <c r="J13" i="16"/>
  <c r="H12" i="16"/>
  <c r="G12" i="16"/>
  <c r="AO96" i="29"/>
  <c r="K96" i="29"/>
  <c r="AU96" i="29" s="1"/>
  <c r="AI96" i="29"/>
  <c r="AJ96" i="29" s="1"/>
  <c r="AK96" i="29" s="1"/>
  <c r="Z138" i="28"/>
  <c r="Y138" i="28"/>
  <c r="AG138" i="28" s="1"/>
  <c r="AF139" i="28" s="1"/>
  <c r="AT132" i="29"/>
  <c r="L127" i="24"/>
  <c r="I128" i="24" s="1"/>
  <c r="O141" i="24"/>
  <c r="N141" i="24"/>
  <c r="R127" i="24"/>
  <c r="Q128" i="24" s="1"/>
  <c r="AT128" i="24" s="1"/>
  <c r="Z143" i="25"/>
  <c r="Y143" i="25"/>
  <c r="AG143" i="25" s="1"/>
  <c r="AF144" i="25" s="1"/>
  <c r="Y131" i="29"/>
  <c r="AG131" i="29" s="1"/>
  <c r="AF132" i="29" s="1"/>
  <c r="Z131" i="29"/>
  <c r="T229" i="29"/>
  <c r="S229" i="29"/>
  <c r="W229" i="29" s="1"/>
  <c r="R230" i="29" s="1"/>
  <c r="U230" i="29" s="1"/>
  <c r="AW91" i="26"/>
  <c r="AX91" i="26" s="1"/>
  <c r="AY91" i="26" s="1"/>
  <c r="N192" i="26"/>
  <c r="P192" i="26" s="1"/>
  <c r="M193" i="26" s="1"/>
  <c r="AT191" i="26"/>
  <c r="R191" i="26"/>
  <c r="Q192" i="26" s="1"/>
  <c r="T191" i="26"/>
  <c r="S192" i="26" s="1"/>
  <c r="H92" i="26"/>
  <c r="T203" i="28"/>
  <c r="S203" i="28"/>
  <c r="W203" i="28" s="1"/>
  <c r="R204" i="28" s="1"/>
  <c r="V204" i="28" s="1"/>
  <c r="AQ95" i="28"/>
  <c r="AS95" i="28"/>
  <c r="AU95" i="28"/>
  <c r="AE202" i="28"/>
  <c r="AD203" i="28" s="1"/>
  <c r="AT203" i="28" s="1"/>
  <c r="AM95" i="28"/>
  <c r="AN95" i="28" s="1"/>
  <c r="F96" i="28"/>
  <c r="I96" i="28" s="1"/>
  <c r="Q96" i="28" s="1"/>
  <c r="L97" i="28" s="1"/>
  <c r="AJ95" i="28"/>
  <c r="AK95" i="28" s="1"/>
  <c r="AW86" i="24"/>
  <c r="AX86" i="24" s="1"/>
  <c r="AY86" i="24" s="1"/>
  <c r="F120" i="25"/>
  <c r="AO114" i="25"/>
  <c r="AM114" i="25"/>
  <c r="AN114" i="25" s="1"/>
  <c r="H87" i="24"/>
  <c r="H87" i="15"/>
  <c r="P206" i="15"/>
  <c r="M207" i="15" s="1"/>
  <c r="N207" i="15" s="1"/>
  <c r="Q114" i="25"/>
  <c r="AW69" i="19"/>
  <c r="AX69" i="19" s="1"/>
  <c r="AY69" i="19" s="1"/>
  <c r="AW78" i="17"/>
  <c r="AX78" i="17" s="1"/>
  <c r="AY78" i="17" s="1"/>
  <c r="AI79" i="17"/>
  <c r="AJ79" i="17" s="1"/>
  <c r="AK79" i="17" s="1"/>
  <c r="AQ79" i="17"/>
  <c r="AU79" i="17"/>
  <c r="AS79" i="17"/>
  <c r="AL79" i="17"/>
  <c r="AM79" i="17" s="1"/>
  <c r="AN79" i="17" s="1"/>
  <c r="T176" i="15"/>
  <c r="S177" i="15" s="1"/>
  <c r="K70" i="19"/>
  <c r="AQ70" i="19" s="1"/>
  <c r="S11" i="16"/>
  <c r="AE11" i="16" s="1"/>
  <c r="AD12" i="16" s="1"/>
  <c r="AT12" i="16" s="1"/>
  <c r="AP70" i="19"/>
  <c r="AO70" i="19"/>
  <c r="AI70" i="19"/>
  <c r="AJ70" i="19" s="1"/>
  <c r="AK70" i="19" s="1"/>
  <c r="Y11" i="16"/>
  <c r="AC11" i="16" s="1"/>
  <c r="X12" i="16" s="1"/>
  <c r="Z12" i="16" s="1"/>
  <c r="U11" i="16"/>
  <c r="AG153" i="17"/>
  <c r="AF154" i="17" s="1"/>
  <c r="G80" i="17"/>
  <c r="AI80" i="17" s="1"/>
  <c r="AJ80" i="17" s="1"/>
  <c r="AK80" i="17" s="1"/>
  <c r="H80" i="17"/>
  <c r="AP80" i="17" s="1"/>
  <c r="AC153" i="17"/>
  <c r="X154" i="17" s="1"/>
  <c r="Z11" i="16"/>
  <c r="AG155" i="19"/>
  <c r="AF156" i="19" s="1"/>
  <c r="Z156" i="19"/>
  <c r="Y156" i="19"/>
  <c r="AC156" i="19" s="1"/>
  <c r="X157" i="19" s="1"/>
  <c r="L176" i="15"/>
  <c r="I177" i="15" s="1"/>
  <c r="J177" i="15" s="1"/>
  <c r="T165" i="19"/>
  <c r="S165" i="19"/>
  <c r="W165" i="19" s="1"/>
  <c r="R166" i="19" s="1"/>
  <c r="AT164" i="19"/>
  <c r="AE164" i="19"/>
  <c r="AD165" i="19" s="1"/>
  <c r="AU9" i="16"/>
  <c r="AQ9" i="16"/>
  <c r="AI9" i="16"/>
  <c r="AJ9" i="16" s="1"/>
  <c r="AK9" i="16" s="1"/>
  <c r="L10" i="16"/>
  <c r="AS9" i="16"/>
  <c r="AM9" i="16"/>
  <c r="AN9" i="16" s="1"/>
  <c r="M174" i="19"/>
  <c r="Q174" i="19" s="1"/>
  <c r="L175" i="19" s="1"/>
  <c r="P175" i="19"/>
  <c r="N174" i="19"/>
  <c r="R176" i="15"/>
  <c r="Q177" i="15" s="1"/>
  <c r="AT177" i="15" s="1"/>
  <c r="AT172" i="17"/>
  <c r="AE172" i="17"/>
  <c r="AD173" i="17" s="1"/>
  <c r="V13" i="16"/>
  <c r="N174" i="17"/>
  <c r="P175" i="17"/>
  <c r="M174" i="17"/>
  <c r="Q174" i="17" s="1"/>
  <c r="L175" i="17" s="1"/>
  <c r="T173" i="17"/>
  <c r="S173" i="17"/>
  <c r="W173" i="17" s="1"/>
  <c r="R174" i="17" s="1"/>
  <c r="H117" i="18"/>
  <c r="F118" i="18" s="1"/>
  <c r="G118" i="18" s="1"/>
  <c r="AR118" i="18" s="1"/>
  <c r="P189" i="18"/>
  <c r="M190" i="18" s="1"/>
  <c r="N190" i="18" s="1"/>
  <c r="R189" i="18"/>
  <c r="Q190" i="18" s="1"/>
  <c r="AT190" i="18" s="1"/>
  <c r="AT208" i="25" l="1"/>
  <c r="AE208" i="25"/>
  <c r="AD209" i="25" s="1"/>
  <c r="S209" i="25"/>
  <c r="W209" i="25" s="1"/>
  <c r="R210" i="25" s="1"/>
  <c r="T209" i="25"/>
  <c r="K12" i="16"/>
  <c r="F13" i="16" s="1"/>
  <c r="AR12" i="16"/>
  <c r="I12" i="16"/>
  <c r="F97" i="29"/>
  <c r="I97" i="29" s="1"/>
  <c r="AR97" i="29" s="1"/>
  <c r="AQ96" i="29"/>
  <c r="AS96" i="29"/>
  <c r="AC138" i="28"/>
  <c r="X139" i="28" s="1"/>
  <c r="AB139" i="28" s="1"/>
  <c r="O97" i="28"/>
  <c r="N97" i="28"/>
  <c r="M97" i="28"/>
  <c r="P98" i="28"/>
  <c r="P141" i="24"/>
  <c r="M142" i="24" s="1"/>
  <c r="AC143" i="25"/>
  <c r="X144" i="25" s="1"/>
  <c r="K128" i="24"/>
  <c r="T128" i="24" s="1"/>
  <c r="S129" i="24" s="1"/>
  <c r="J128" i="24"/>
  <c r="AC131" i="29"/>
  <c r="X132" i="29" s="1"/>
  <c r="AA132" i="29" s="1"/>
  <c r="AE132" i="29" s="1"/>
  <c r="AD133" i="29" s="1"/>
  <c r="T230" i="29"/>
  <c r="S230" i="29"/>
  <c r="W230" i="29" s="1"/>
  <c r="R231" i="29" s="1"/>
  <c r="U231" i="29" s="1"/>
  <c r="T192" i="26"/>
  <c r="S193" i="26" s="1"/>
  <c r="AT192" i="26"/>
  <c r="R192" i="26"/>
  <c r="Q193" i="26" s="1"/>
  <c r="N193" i="26"/>
  <c r="P193" i="26" s="1"/>
  <c r="M194" i="26" s="1"/>
  <c r="F93" i="26"/>
  <c r="AI92" i="26"/>
  <c r="AL92" i="26"/>
  <c r="T204" i="28"/>
  <c r="S204" i="28"/>
  <c r="W204" i="28" s="1"/>
  <c r="R205" i="28" s="1"/>
  <c r="V205" i="28" s="1"/>
  <c r="J97" i="28"/>
  <c r="H96" i="28"/>
  <c r="AP96" i="28" s="1"/>
  <c r="G96" i="28"/>
  <c r="AL96" i="28" s="1"/>
  <c r="AE203" i="28"/>
  <c r="AD204" i="28" s="1"/>
  <c r="AT204" i="28" s="1"/>
  <c r="G120" i="25"/>
  <c r="K120" i="25" s="1"/>
  <c r="H120" i="25"/>
  <c r="J121" i="25"/>
  <c r="AI114" i="25"/>
  <c r="AQ114" i="25"/>
  <c r="AS114" i="25"/>
  <c r="AU114" i="25"/>
  <c r="L115" i="25"/>
  <c r="F88" i="24"/>
  <c r="AL87" i="24"/>
  <c r="AM87" i="24" s="1"/>
  <c r="AI87" i="24"/>
  <c r="AJ87" i="24" s="1"/>
  <c r="F88" i="15"/>
  <c r="AI87" i="15"/>
  <c r="AJ87" i="15" s="1"/>
  <c r="AK87" i="15" s="1"/>
  <c r="AL87" i="15"/>
  <c r="AM87" i="15" s="1"/>
  <c r="AN87" i="15" s="1"/>
  <c r="P207" i="15"/>
  <c r="M208" i="15" s="1"/>
  <c r="N208" i="15" s="1"/>
  <c r="AW95" i="28"/>
  <c r="AX95" i="28" s="1"/>
  <c r="AY95" i="28" s="1"/>
  <c r="AS70" i="19"/>
  <c r="AW79" i="17"/>
  <c r="AX79" i="17" s="1"/>
  <c r="AY79" i="17" s="1"/>
  <c r="W11" i="16"/>
  <c r="R12" i="16" s="1"/>
  <c r="S12" i="16" s="1"/>
  <c r="T177" i="15"/>
  <c r="S178" i="15" s="1"/>
  <c r="F71" i="19"/>
  <c r="AU70" i="19"/>
  <c r="AG11" i="16"/>
  <c r="AF12" i="16" s="1"/>
  <c r="K80" i="17"/>
  <c r="AU80" i="17" s="1"/>
  <c r="AL80" i="17"/>
  <c r="AM80" i="17" s="1"/>
  <c r="AN80" i="17" s="1"/>
  <c r="AO80" i="17"/>
  <c r="AA12" i="16"/>
  <c r="Y154" i="17"/>
  <c r="AG154" i="17" s="1"/>
  <c r="AF155" i="17" s="1"/>
  <c r="Z154" i="17"/>
  <c r="Y12" i="16"/>
  <c r="Y157" i="19"/>
  <c r="AC157" i="19" s="1"/>
  <c r="X158" i="19" s="1"/>
  <c r="Z157" i="19"/>
  <c r="AG156" i="19"/>
  <c r="AF157" i="19" s="1"/>
  <c r="L177" i="15"/>
  <c r="I178" i="15" s="1"/>
  <c r="J178" i="15" s="1"/>
  <c r="AT165" i="19"/>
  <c r="AE165" i="19"/>
  <c r="AD166" i="19" s="1"/>
  <c r="S166" i="19"/>
  <c r="W166" i="19" s="1"/>
  <c r="R167" i="19" s="1"/>
  <c r="T166" i="19"/>
  <c r="AW9" i="16"/>
  <c r="N10" i="16"/>
  <c r="P11" i="16"/>
  <c r="M10" i="16"/>
  <c r="AL10" i="16" s="1"/>
  <c r="AM10" i="16" s="1"/>
  <c r="AN10" i="16" s="1"/>
  <c r="AT173" i="17"/>
  <c r="AE173" i="17"/>
  <c r="AD174" i="17" s="1"/>
  <c r="T174" i="17"/>
  <c r="S174" i="17"/>
  <c r="W174" i="17" s="1"/>
  <c r="R175" i="17" s="1"/>
  <c r="M175" i="17"/>
  <c r="Q175" i="17" s="1"/>
  <c r="L176" i="17" s="1"/>
  <c r="P176" i="17"/>
  <c r="N175" i="17"/>
  <c r="R177" i="15"/>
  <c r="Q178" i="15" s="1"/>
  <c r="AT178" i="15" s="1"/>
  <c r="P176" i="19"/>
  <c r="M175" i="19"/>
  <c r="Q175" i="19" s="1"/>
  <c r="L176" i="19" s="1"/>
  <c r="N175" i="19"/>
  <c r="AI117" i="18"/>
  <c r="AJ117" i="18" s="1"/>
  <c r="AK117" i="18" s="1"/>
  <c r="AL117" i="18"/>
  <c r="AM117" i="18" s="1"/>
  <c r="AN117" i="18" s="1"/>
  <c r="H118" i="18"/>
  <c r="P190" i="18"/>
  <c r="M191" i="18" s="1"/>
  <c r="N191" i="18" s="1"/>
  <c r="T190" i="18"/>
  <c r="S191" i="18" s="1"/>
  <c r="AT209" i="25" l="1"/>
  <c r="AE209" i="25"/>
  <c r="AD210" i="25" s="1"/>
  <c r="T210" i="25"/>
  <c r="S210" i="25"/>
  <c r="W210" i="25" s="1"/>
  <c r="R211" i="25" s="1"/>
  <c r="H13" i="16"/>
  <c r="J14" i="16"/>
  <c r="G13" i="16"/>
  <c r="Q97" i="29"/>
  <c r="L98" i="29" s="1"/>
  <c r="P99" i="29" s="1"/>
  <c r="J98" i="29"/>
  <c r="H97" i="29"/>
  <c r="AP97" i="29" s="1"/>
  <c r="G97" i="29"/>
  <c r="AI97" i="29" s="1"/>
  <c r="AJ97" i="29" s="1"/>
  <c r="AK97" i="29" s="1"/>
  <c r="AW96" i="29"/>
  <c r="AX96" i="29" s="1"/>
  <c r="AY96" i="29" s="1"/>
  <c r="Y139" i="28"/>
  <c r="AG139" i="28" s="1"/>
  <c r="AF140" i="28" s="1"/>
  <c r="Z139" i="28"/>
  <c r="O98" i="29"/>
  <c r="AT133" i="29"/>
  <c r="R128" i="24"/>
  <c r="Q129" i="24" s="1"/>
  <c r="AT129" i="24" s="1"/>
  <c r="Z144" i="25"/>
  <c r="Y144" i="25"/>
  <c r="L128" i="24"/>
  <c r="I129" i="24" s="1"/>
  <c r="O142" i="24"/>
  <c r="N142" i="24"/>
  <c r="Y132" i="29"/>
  <c r="AG132" i="29" s="1"/>
  <c r="AF133" i="29" s="1"/>
  <c r="Z132" i="29"/>
  <c r="T231" i="29"/>
  <c r="S231" i="29"/>
  <c r="W231" i="29" s="1"/>
  <c r="R232" i="29" s="1"/>
  <c r="U232" i="29" s="1"/>
  <c r="T193" i="26"/>
  <c r="S194" i="26" s="1"/>
  <c r="N194" i="26"/>
  <c r="AJ92" i="26"/>
  <c r="AK92" i="26" s="1"/>
  <c r="AM92" i="26"/>
  <c r="AN92" i="26" s="1"/>
  <c r="G93" i="26"/>
  <c r="AR93" i="26" s="1"/>
  <c r="AT193" i="26"/>
  <c r="R193" i="26"/>
  <c r="Q194" i="26" s="1"/>
  <c r="T205" i="28"/>
  <c r="S205" i="28"/>
  <c r="W205" i="28" s="1"/>
  <c r="R206" i="28" s="1"/>
  <c r="V206" i="28" s="1"/>
  <c r="AO96" i="28"/>
  <c r="AI96" i="28"/>
  <c r="AJ96" i="28" s="1"/>
  <c r="AE204" i="28"/>
  <c r="AD205" i="28" s="1"/>
  <c r="AT205" i="28" s="1"/>
  <c r="F121" i="25"/>
  <c r="N115" i="25"/>
  <c r="AP115" i="25" s="1"/>
  <c r="P116" i="25"/>
  <c r="AJ114" i="25"/>
  <c r="AK114" i="25" s="1"/>
  <c r="AW114" i="25" s="1"/>
  <c r="AX114" i="25" s="1"/>
  <c r="AY114" i="25" s="1"/>
  <c r="AK87" i="24"/>
  <c r="AN87" i="24"/>
  <c r="AW87" i="15"/>
  <c r="AX87" i="15" s="1"/>
  <c r="AY87" i="15" s="1"/>
  <c r="G88" i="24"/>
  <c r="AR88" i="24" s="1"/>
  <c r="G88" i="15"/>
  <c r="AR88" i="15" s="1"/>
  <c r="P208" i="15"/>
  <c r="M209" i="15" s="1"/>
  <c r="N209" i="15" s="1"/>
  <c r="K96" i="28"/>
  <c r="M115" i="25"/>
  <c r="Q115" i="25" s="1"/>
  <c r="L116" i="25" s="1"/>
  <c r="AW70" i="19"/>
  <c r="AX70" i="19" s="1"/>
  <c r="AY70" i="19" s="1"/>
  <c r="U12" i="16"/>
  <c r="T12" i="16"/>
  <c r="T178" i="15"/>
  <c r="S179" i="15" s="1"/>
  <c r="AQ80" i="17"/>
  <c r="AS80" i="17"/>
  <c r="J72" i="19"/>
  <c r="H71" i="19"/>
  <c r="G71" i="19"/>
  <c r="K71" i="19" s="1"/>
  <c r="F81" i="17"/>
  <c r="H81" i="17" s="1"/>
  <c r="AG12" i="16"/>
  <c r="AF13" i="16" s="1"/>
  <c r="AE12" i="16"/>
  <c r="AD13" i="16" s="1"/>
  <c r="AT13" i="16" s="1"/>
  <c r="AC12" i="16"/>
  <c r="X13" i="16" s="1"/>
  <c r="AA13" i="16" s="1"/>
  <c r="AC154" i="17"/>
  <c r="X155" i="17" s="1"/>
  <c r="Z155" i="17" s="1"/>
  <c r="AG157" i="19"/>
  <c r="AF158" i="19" s="1"/>
  <c r="Z158" i="19"/>
  <c r="Y158" i="19"/>
  <c r="AC158" i="19" s="1"/>
  <c r="X159" i="19" s="1"/>
  <c r="W12" i="16"/>
  <c r="R13" i="16" s="1"/>
  <c r="U13" i="16" s="1"/>
  <c r="S167" i="19"/>
  <c r="W167" i="19" s="1"/>
  <c r="R168" i="19" s="1"/>
  <c r="T167" i="19"/>
  <c r="Q10" i="16"/>
  <c r="AI10" i="16" s="1"/>
  <c r="AJ10" i="16" s="1"/>
  <c r="AK10" i="16" s="1"/>
  <c r="AT166" i="19"/>
  <c r="AE166" i="19"/>
  <c r="AD167" i="19" s="1"/>
  <c r="AO10" i="16"/>
  <c r="AP10" i="16"/>
  <c r="S175" i="17"/>
  <c r="W175" i="17" s="1"/>
  <c r="R176" i="17" s="1"/>
  <c r="T175" i="17"/>
  <c r="R178" i="15"/>
  <c r="Q179" i="15" s="1"/>
  <c r="AT179" i="15" s="1"/>
  <c r="M176" i="17"/>
  <c r="Q176" i="17" s="1"/>
  <c r="L177" i="17" s="1"/>
  <c r="P177" i="17"/>
  <c r="N176" i="17"/>
  <c r="AT174" i="17"/>
  <c r="AE174" i="17"/>
  <c r="AD175" i="17" s="1"/>
  <c r="P177" i="19"/>
  <c r="M176" i="19"/>
  <c r="Q176" i="19" s="1"/>
  <c r="L177" i="19" s="1"/>
  <c r="N176" i="19"/>
  <c r="L178" i="15"/>
  <c r="I179" i="15" s="1"/>
  <c r="J179" i="15" s="1"/>
  <c r="AW117" i="18"/>
  <c r="AX117" i="18" s="1"/>
  <c r="AY117" i="18" s="1"/>
  <c r="F119" i="18"/>
  <c r="AI118" i="18"/>
  <c r="AJ118" i="18" s="1"/>
  <c r="AK118" i="18" s="1"/>
  <c r="AL118" i="18"/>
  <c r="AM118" i="18" s="1"/>
  <c r="AN118" i="18" s="1"/>
  <c r="P191" i="18"/>
  <c r="M192" i="18" s="1"/>
  <c r="N192" i="18" s="1"/>
  <c r="R190" i="18"/>
  <c r="Q191" i="18" s="1"/>
  <c r="AT191" i="18" s="1"/>
  <c r="T191" i="18"/>
  <c r="S192" i="18" s="1"/>
  <c r="AT210" i="25" l="1"/>
  <c r="AE210" i="25"/>
  <c r="AD211" i="25" s="1"/>
  <c r="S211" i="25"/>
  <c r="W211" i="25" s="1"/>
  <c r="R212" i="25" s="1"/>
  <c r="T211" i="25"/>
  <c r="K13" i="16"/>
  <c r="F14" i="16" s="1"/>
  <c r="AR13" i="16"/>
  <c r="I13" i="16"/>
  <c r="M98" i="29"/>
  <c r="N98" i="29"/>
  <c r="AO97" i="29"/>
  <c r="AL97" i="29"/>
  <c r="AM97" i="29" s="1"/>
  <c r="AN97" i="29" s="1"/>
  <c r="K97" i="29"/>
  <c r="AQ97" i="29" s="1"/>
  <c r="AC139" i="28"/>
  <c r="X140" i="28" s="1"/>
  <c r="AB140" i="28" s="1"/>
  <c r="P142" i="24"/>
  <c r="M143" i="24" s="1"/>
  <c r="K129" i="24"/>
  <c r="T129" i="24" s="1"/>
  <c r="S130" i="24" s="1"/>
  <c r="J129" i="24"/>
  <c r="AC144" i="25"/>
  <c r="X145" i="25" s="1"/>
  <c r="AG144" i="25"/>
  <c r="AF145" i="25" s="1"/>
  <c r="AC132" i="29"/>
  <c r="X133" i="29" s="1"/>
  <c r="AA133" i="29" s="1"/>
  <c r="AE133" i="29" s="1"/>
  <c r="AD134" i="29" s="1"/>
  <c r="T232" i="29"/>
  <c r="S232" i="29"/>
  <c r="W232" i="29" s="1"/>
  <c r="R233" i="29" s="1"/>
  <c r="U233" i="29" s="1"/>
  <c r="T194" i="26"/>
  <c r="S195" i="26" s="1"/>
  <c r="H93" i="26"/>
  <c r="AW92" i="26"/>
  <c r="AX92" i="26" s="1"/>
  <c r="AY92" i="26" s="1"/>
  <c r="P194" i="26"/>
  <c r="M195" i="26" s="1"/>
  <c r="AT194" i="26"/>
  <c r="R194" i="26"/>
  <c r="Q195" i="26" s="1"/>
  <c r="T206" i="28"/>
  <c r="S206" i="28"/>
  <c r="W206" i="28" s="1"/>
  <c r="R207" i="28" s="1"/>
  <c r="V207" i="28" s="1"/>
  <c r="AQ96" i="28"/>
  <c r="AS96" i="28"/>
  <c r="AU96" i="28"/>
  <c r="AK96" i="28"/>
  <c r="AM96" i="28"/>
  <c r="AN96" i="28" s="1"/>
  <c r="AE205" i="28"/>
  <c r="AD206" i="28" s="1"/>
  <c r="AT206" i="28" s="1"/>
  <c r="F97" i="28"/>
  <c r="I97" i="28" s="1"/>
  <c r="Q97" i="28" s="1"/>
  <c r="L98" i="28" s="1"/>
  <c r="AO115" i="25"/>
  <c r="G121" i="25"/>
  <c r="K121" i="25" s="1"/>
  <c r="J122" i="25"/>
  <c r="H121" i="25"/>
  <c r="AL115" i="25"/>
  <c r="AQ115" i="25"/>
  <c r="AU115" i="25"/>
  <c r="AI115" i="25"/>
  <c r="AS115" i="25"/>
  <c r="AW87" i="24"/>
  <c r="AX87" i="24" s="1"/>
  <c r="AY87" i="24" s="1"/>
  <c r="P117" i="25"/>
  <c r="N116" i="25"/>
  <c r="AP116" i="25" s="1"/>
  <c r="H88" i="24"/>
  <c r="H88" i="15"/>
  <c r="P209" i="15"/>
  <c r="M210" i="15" s="1"/>
  <c r="N210" i="15" s="1"/>
  <c r="M116" i="25"/>
  <c r="Q116" i="25" s="1"/>
  <c r="L117" i="25" s="1"/>
  <c r="AW80" i="17"/>
  <c r="AX80" i="17" s="1"/>
  <c r="AY80" i="17" s="1"/>
  <c r="AI71" i="19"/>
  <c r="AJ71" i="19" s="1"/>
  <c r="AK71" i="19" s="1"/>
  <c r="AL71" i="19"/>
  <c r="AM71" i="19" s="1"/>
  <c r="AN71" i="19" s="1"/>
  <c r="AQ71" i="19"/>
  <c r="AU71" i="19"/>
  <c r="AS71" i="19"/>
  <c r="F72" i="19"/>
  <c r="AO71" i="19"/>
  <c r="AP71" i="19"/>
  <c r="J82" i="17"/>
  <c r="G81" i="17"/>
  <c r="K81" i="17" s="1"/>
  <c r="F82" i="17" s="1"/>
  <c r="Z13" i="16"/>
  <c r="Y13" i="16"/>
  <c r="AG13" i="16" s="1"/>
  <c r="AF14" i="16" s="1"/>
  <c r="Y155" i="17"/>
  <c r="AG155" i="17" s="1"/>
  <c r="AF156" i="17" s="1"/>
  <c r="AO81" i="17"/>
  <c r="AP81" i="17"/>
  <c r="Y159" i="19"/>
  <c r="AC159" i="19" s="1"/>
  <c r="X160" i="19" s="1"/>
  <c r="Z159" i="19"/>
  <c r="AG158" i="19"/>
  <c r="AF159" i="19" s="1"/>
  <c r="T13" i="16"/>
  <c r="S13" i="16"/>
  <c r="AE13" i="16" s="1"/>
  <c r="AD14" i="16" s="1"/>
  <c r="AT14" i="16" s="1"/>
  <c r="AS10" i="16"/>
  <c r="AU10" i="16"/>
  <c r="AQ10" i="16"/>
  <c r="L11" i="16"/>
  <c r="N11" i="16" s="1"/>
  <c r="S168" i="19"/>
  <c r="W168" i="19" s="1"/>
  <c r="R169" i="19" s="1"/>
  <c r="T168" i="19"/>
  <c r="AE167" i="19"/>
  <c r="AD168" i="19" s="1"/>
  <c r="AT167" i="19"/>
  <c r="AB16" i="16"/>
  <c r="P178" i="17"/>
  <c r="M177" i="17"/>
  <c r="Q177" i="17" s="1"/>
  <c r="L178" i="17" s="1"/>
  <c r="N177" i="17"/>
  <c r="T176" i="17"/>
  <c r="S176" i="17"/>
  <c r="W176" i="17" s="1"/>
  <c r="R177" i="17" s="1"/>
  <c r="M177" i="19"/>
  <c r="Q177" i="19" s="1"/>
  <c r="L178" i="19" s="1"/>
  <c r="P178" i="19"/>
  <c r="N177" i="19"/>
  <c r="T179" i="15"/>
  <c r="S180" i="15" s="1"/>
  <c r="AT175" i="17"/>
  <c r="AE175" i="17"/>
  <c r="AD176" i="17" s="1"/>
  <c r="AW118" i="18"/>
  <c r="AX118" i="18" s="1"/>
  <c r="AY118" i="18" s="1"/>
  <c r="G119" i="18"/>
  <c r="AR119" i="18" s="1"/>
  <c r="R191" i="18"/>
  <c r="Q192" i="18" s="1"/>
  <c r="AT192" i="18" s="1"/>
  <c r="T192" i="18"/>
  <c r="S193" i="18" s="1"/>
  <c r="AT211" i="25" l="1"/>
  <c r="AE211" i="25"/>
  <c r="AD212" i="25" s="1"/>
  <c r="S212" i="25"/>
  <c r="W212" i="25" s="1"/>
  <c r="R213" i="25" s="1"/>
  <c r="T212" i="25"/>
  <c r="H14" i="16"/>
  <c r="J15" i="16"/>
  <c r="G14" i="16"/>
  <c r="F98" i="29"/>
  <c r="I98" i="29" s="1"/>
  <c r="Q98" i="29" s="1"/>
  <c r="L99" i="29" s="1"/>
  <c r="AU97" i="29"/>
  <c r="AS97" i="29"/>
  <c r="Z140" i="28"/>
  <c r="Y140" i="28"/>
  <c r="AG140" i="28" s="1"/>
  <c r="AF141" i="28" s="1"/>
  <c r="O98" i="28"/>
  <c r="M98" i="28"/>
  <c r="N98" i="28"/>
  <c r="P99" i="28"/>
  <c r="AT134" i="29"/>
  <c r="L129" i="24"/>
  <c r="I130" i="24" s="1"/>
  <c r="R129" i="24"/>
  <c r="Q130" i="24" s="1"/>
  <c r="AT130" i="24" s="1"/>
  <c r="O143" i="24"/>
  <c r="N143" i="24"/>
  <c r="Y145" i="25"/>
  <c r="AC145" i="25" s="1"/>
  <c r="X146" i="25" s="1"/>
  <c r="Z145" i="25"/>
  <c r="Y133" i="29"/>
  <c r="AG133" i="29" s="1"/>
  <c r="AF134" i="29" s="1"/>
  <c r="Z133" i="29"/>
  <c r="T233" i="29"/>
  <c r="S233" i="29"/>
  <c r="W233" i="29" s="1"/>
  <c r="R234" i="29" s="1"/>
  <c r="U234" i="29" s="1"/>
  <c r="F94" i="26"/>
  <c r="G94" i="26" s="1"/>
  <c r="AR94" i="26" s="1"/>
  <c r="AI93" i="26"/>
  <c r="AJ93" i="26" s="1"/>
  <c r="AK93" i="26" s="1"/>
  <c r="AL93" i="26"/>
  <c r="N195" i="26"/>
  <c r="T195" i="26" s="1"/>
  <c r="S196" i="26" s="1"/>
  <c r="AT195" i="26"/>
  <c r="T207" i="28"/>
  <c r="S207" i="28"/>
  <c r="W207" i="28" s="1"/>
  <c r="R208" i="28" s="1"/>
  <c r="V208" i="28" s="1"/>
  <c r="H97" i="28"/>
  <c r="AP97" i="28" s="1"/>
  <c r="J98" i="28"/>
  <c r="G97" i="28"/>
  <c r="AI97" i="28" s="1"/>
  <c r="AE206" i="28"/>
  <c r="AD207" i="28" s="1"/>
  <c r="AT207" i="28" s="1"/>
  <c r="AS116" i="25"/>
  <c r="F122" i="25"/>
  <c r="AI116" i="25"/>
  <c r="AL116" i="25"/>
  <c r="AU116" i="25"/>
  <c r="AQ116" i="25"/>
  <c r="AO116" i="25"/>
  <c r="N117" i="25"/>
  <c r="AP117" i="25" s="1"/>
  <c r="P118" i="25"/>
  <c r="AJ115" i="25"/>
  <c r="AK115" i="25" s="1"/>
  <c r="AM115" i="25"/>
  <c r="AN115" i="25" s="1"/>
  <c r="F89" i="24"/>
  <c r="AL88" i="24"/>
  <c r="AM88" i="24" s="1"/>
  <c r="AI88" i="24"/>
  <c r="AJ88" i="24" s="1"/>
  <c r="F89" i="15"/>
  <c r="AL88" i="15"/>
  <c r="AM88" i="15" s="1"/>
  <c r="AN88" i="15" s="1"/>
  <c r="AI88" i="15"/>
  <c r="AJ88" i="15" s="1"/>
  <c r="AK88" i="15" s="1"/>
  <c r="P210" i="15"/>
  <c r="M211" i="15" s="1"/>
  <c r="N211" i="15" s="1"/>
  <c r="AW96" i="28"/>
  <c r="AX96" i="28" s="1"/>
  <c r="AY96" i="28" s="1"/>
  <c r="M117" i="25"/>
  <c r="Q117" i="25" s="1"/>
  <c r="L118" i="25" s="1"/>
  <c r="AW71" i="19"/>
  <c r="AX71" i="19" s="1"/>
  <c r="AY71" i="19" s="1"/>
  <c r="AW10" i="16"/>
  <c r="AQ81" i="17"/>
  <c r="G72" i="19"/>
  <c r="AL72" i="19" s="1"/>
  <c r="AM72" i="19" s="1"/>
  <c r="AN72" i="19" s="1"/>
  <c r="J73" i="19"/>
  <c r="H72" i="19"/>
  <c r="AI81" i="17"/>
  <c r="AJ81" i="17" s="1"/>
  <c r="AK81" i="17" s="1"/>
  <c r="AU81" i="17"/>
  <c r="AL81" i="17"/>
  <c r="AM81" i="17" s="1"/>
  <c r="AN81" i="17" s="1"/>
  <c r="AS81" i="17"/>
  <c r="AC155" i="17"/>
  <c r="X156" i="17" s="1"/>
  <c r="Z156" i="17" s="1"/>
  <c r="AC13" i="16"/>
  <c r="X14" i="16" s="1"/>
  <c r="Z14" i="16" s="1"/>
  <c r="G82" i="17"/>
  <c r="AL82" i="17" s="1"/>
  <c r="AM82" i="17" s="1"/>
  <c r="AN82" i="17" s="1"/>
  <c r="J83" i="17"/>
  <c r="H82" i="17"/>
  <c r="Y160" i="19"/>
  <c r="AC160" i="19" s="1"/>
  <c r="X161" i="19" s="1"/>
  <c r="Z160" i="19"/>
  <c r="AG159" i="19"/>
  <c r="AF160" i="19" s="1"/>
  <c r="W13" i="16"/>
  <c r="R14" i="16" s="1"/>
  <c r="S14" i="16" s="1"/>
  <c r="P12" i="16"/>
  <c r="M11" i="16"/>
  <c r="AL11" i="16" s="1"/>
  <c r="AM11" i="16" s="1"/>
  <c r="AN11" i="16" s="1"/>
  <c r="L179" i="15"/>
  <c r="I180" i="15" s="1"/>
  <c r="J180" i="15" s="1"/>
  <c r="AT168" i="19"/>
  <c r="AE168" i="19"/>
  <c r="AD169" i="19" s="1"/>
  <c r="S169" i="19"/>
  <c r="W169" i="19" s="1"/>
  <c r="R170" i="19" s="1"/>
  <c r="T169" i="19"/>
  <c r="AO11" i="16"/>
  <c r="AP11" i="16"/>
  <c r="AT176" i="17"/>
  <c r="AE176" i="17"/>
  <c r="AD177" i="17" s="1"/>
  <c r="R179" i="15"/>
  <c r="Q180" i="15" s="1"/>
  <c r="AT180" i="15" s="1"/>
  <c r="M178" i="19"/>
  <c r="Q178" i="19" s="1"/>
  <c r="L179" i="19" s="1"/>
  <c r="P179" i="19"/>
  <c r="N178" i="19"/>
  <c r="N178" i="17"/>
  <c r="M178" i="17"/>
  <c r="Q178" i="17" s="1"/>
  <c r="L179" i="17" s="1"/>
  <c r="P179" i="17"/>
  <c r="T180" i="15"/>
  <c r="S181" i="15" s="1"/>
  <c r="T177" i="17"/>
  <c r="S177" i="17"/>
  <c r="W177" i="17" s="1"/>
  <c r="R178" i="17" s="1"/>
  <c r="H119" i="18"/>
  <c r="R192" i="18"/>
  <c r="Q193" i="18" s="1"/>
  <c r="AT193" i="18" s="1"/>
  <c r="P192" i="18"/>
  <c r="M193" i="18" s="1"/>
  <c r="N193" i="18" s="1"/>
  <c r="AT212" i="25" l="1"/>
  <c r="AE212" i="25"/>
  <c r="AD213" i="25" s="1"/>
  <c r="T213" i="25"/>
  <c r="S213" i="25"/>
  <c r="W213" i="25" s="1"/>
  <c r="R214" i="25" s="1"/>
  <c r="K14" i="16"/>
  <c r="F15" i="16" s="1"/>
  <c r="AR14" i="16"/>
  <c r="I14" i="16"/>
  <c r="AR98" i="29"/>
  <c r="H98" i="29"/>
  <c r="AP98" i="29" s="1"/>
  <c r="J99" i="29"/>
  <c r="G98" i="29"/>
  <c r="K98" i="29" s="1"/>
  <c r="F99" i="29" s="1"/>
  <c r="I99" i="29" s="1"/>
  <c r="AR99" i="29" s="1"/>
  <c r="AW97" i="29"/>
  <c r="AX97" i="29" s="1"/>
  <c r="AY97" i="29" s="1"/>
  <c r="AC140" i="28"/>
  <c r="X141" i="28" s="1"/>
  <c r="AB141" i="28" s="1"/>
  <c r="M99" i="29"/>
  <c r="O99" i="29"/>
  <c r="N99" i="29"/>
  <c r="P100" i="29"/>
  <c r="P143" i="24"/>
  <c r="M144" i="24" s="1"/>
  <c r="AG145" i="25"/>
  <c r="AF146" i="25" s="1"/>
  <c r="Y146" i="25"/>
  <c r="AC146" i="25" s="1"/>
  <c r="X147" i="25" s="1"/>
  <c r="Z146" i="25"/>
  <c r="K130" i="24"/>
  <c r="R130" i="24" s="1"/>
  <c r="Q131" i="24" s="1"/>
  <c r="AT131" i="24" s="1"/>
  <c r="J130" i="24"/>
  <c r="AC133" i="29"/>
  <c r="X134" i="29" s="1"/>
  <c r="AA134" i="29" s="1"/>
  <c r="AE134" i="29" s="1"/>
  <c r="AD135" i="29" s="1"/>
  <c r="T234" i="29"/>
  <c r="S234" i="29"/>
  <c r="W234" i="29" s="1"/>
  <c r="AM93" i="26"/>
  <c r="AN93" i="26" s="1"/>
  <c r="AW93" i="26" s="1"/>
  <c r="AX93" i="26" s="1"/>
  <c r="AY93" i="26" s="1"/>
  <c r="H94" i="26"/>
  <c r="AI94" i="26" s="1"/>
  <c r="R195" i="26"/>
  <c r="Q196" i="26" s="1"/>
  <c r="P195" i="26"/>
  <c r="M196" i="26" s="1"/>
  <c r="T208" i="28"/>
  <c r="S208" i="28"/>
  <c r="W208" i="28" s="1"/>
  <c r="R209" i="28" s="1"/>
  <c r="V209" i="28" s="1"/>
  <c r="AO97" i="28"/>
  <c r="AL97" i="28"/>
  <c r="AE207" i="28"/>
  <c r="AD208" i="28" s="1"/>
  <c r="AT208" i="28" s="1"/>
  <c r="G122" i="25"/>
  <c r="K122" i="25" s="1"/>
  <c r="J123" i="25"/>
  <c r="H122" i="25"/>
  <c r="AO117" i="25"/>
  <c r="AL117" i="25"/>
  <c r="AU117" i="25"/>
  <c r="AW115" i="25"/>
  <c r="AX115" i="25" s="1"/>
  <c r="AY115" i="25" s="1"/>
  <c r="AS117" i="25"/>
  <c r="AQ117" i="25"/>
  <c r="AI117" i="25"/>
  <c r="AJ116" i="25"/>
  <c r="AK116" i="25" s="1"/>
  <c r="AM116" i="25"/>
  <c r="AN116" i="25" s="1"/>
  <c r="P119" i="25"/>
  <c r="N118" i="25"/>
  <c r="AP118" i="25" s="1"/>
  <c r="AN88" i="24"/>
  <c r="AK88" i="24"/>
  <c r="G89" i="24"/>
  <c r="AR89" i="24" s="1"/>
  <c r="G89" i="15"/>
  <c r="AR89" i="15" s="1"/>
  <c r="AW88" i="15"/>
  <c r="AX88" i="15" s="1"/>
  <c r="AY88" i="15" s="1"/>
  <c r="P211" i="15"/>
  <c r="M212" i="15" s="1"/>
  <c r="N212" i="15" s="1"/>
  <c r="K97" i="28"/>
  <c r="M118" i="25"/>
  <c r="AL118" i="25" s="1"/>
  <c r="Y156" i="17"/>
  <c r="AG156" i="17" s="1"/>
  <c r="AF157" i="17" s="1"/>
  <c r="K72" i="19"/>
  <c r="AS72" i="19" s="1"/>
  <c r="AW81" i="17"/>
  <c r="AX81" i="17" s="1"/>
  <c r="AY81" i="17" s="1"/>
  <c r="Y14" i="16"/>
  <c r="AA14" i="16"/>
  <c r="AE14" i="16" s="1"/>
  <c r="AD15" i="16" s="1"/>
  <c r="AT15" i="16" s="1"/>
  <c r="AO72" i="19"/>
  <c r="AP72" i="19"/>
  <c r="AI72" i="19"/>
  <c r="AJ72" i="19" s="1"/>
  <c r="AK72" i="19" s="1"/>
  <c r="U14" i="16"/>
  <c r="AI82" i="17"/>
  <c r="AJ82" i="17" s="1"/>
  <c r="AK82" i="17" s="1"/>
  <c r="K82" i="17"/>
  <c r="F83" i="17" s="1"/>
  <c r="J84" i="17" s="1"/>
  <c r="T14" i="16"/>
  <c r="AO82" i="17"/>
  <c r="AP82" i="17"/>
  <c r="Q11" i="16"/>
  <c r="AQ11" i="16" s="1"/>
  <c r="AG160" i="19"/>
  <c r="AF161" i="19" s="1"/>
  <c r="Z161" i="19"/>
  <c r="Y161" i="19"/>
  <c r="AC161" i="19" s="1"/>
  <c r="X162" i="19" s="1"/>
  <c r="L180" i="15"/>
  <c r="I181" i="15" s="1"/>
  <c r="AT169" i="19"/>
  <c r="AE169" i="19"/>
  <c r="AD170" i="19" s="1"/>
  <c r="T170" i="19"/>
  <c r="S170" i="19"/>
  <c r="W170" i="19" s="1"/>
  <c r="R171" i="19" s="1"/>
  <c r="R180" i="15"/>
  <c r="Q181" i="15" s="1"/>
  <c r="AT181" i="15" s="1"/>
  <c r="S178" i="17"/>
  <c r="W178" i="17" s="1"/>
  <c r="R179" i="17" s="1"/>
  <c r="T178" i="17"/>
  <c r="N179" i="17"/>
  <c r="M179" i="17"/>
  <c r="Q179" i="17" s="1"/>
  <c r="L180" i="17" s="1"/>
  <c r="P180" i="17"/>
  <c r="AT177" i="17"/>
  <c r="AE177" i="17"/>
  <c r="AD178" i="17" s="1"/>
  <c r="M179" i="19"/>
  <c r="Q179" i="19" s="1"/>
  <c r="L180" i="19" s="1"/>
  <c r="P180" i="19"/>
  <c r="N179" i="19"/>
  <c r="F120" i="18"/>
  <c r="AI119" i="18"/>
  <c r="AL119" i="18"/>
  <c r="AM119" i="18" s="1"/>
  <c r="AN119" i="18" s="1"/>
  <c r="P193" i="18"/>
  <c r="M194" i="18" s="1"/>
  <c r="N194" i="18" s="1"/>
  <c r="T193" i="18"/>
  <c r="S194" i="18" s="1"/>
  <c r="AE213" i="25" l="1"/>
  <c r="AD214" i="25" s="1"/>
  <c r="AT213" i="25"/>
  <c r="T214" i="25"/>
  <c r="S214" i="25"/>
  <c r="W214" i="25" s="1"/>
  <c r="R215" i="25" s="1"/>
  <c r="H15" i="16"/>
  <c r="J16" i="16"/>
  <c r="G15" i="16"/>
  <c r="AQ98" i="29"/>
  <c r="AU98" i="29"/>
  <c r="AS98" i="29"/>
  <c r="AI98" i="29"/>
  <c r="AJ98" i="29" s="1"/>
  <c r="AK98" i="29" s="1"/>
  <c r="AL98" i="29"/>
  <c r="AM98" i="29" s="1"/>
  <c r="AN98" i="29" s="1"/>
  <c r="H99" i="29"/>
  <c r="AO99" i="29" s="1"/>
  <c r="J100" i="29"/>
  <c r="G99" i="29"/>
  <c r="K99" i="29" s="1"/>
  <c r="F100" i="29" s="1"/>
  <c r="I100" i="29" s="1"/>
  <c r="AR100" i="29" s="1"/>
  <c r="AO98" i="29"/>
  <c r="Y141" i="28"/>
  <c r="AG141" i="28" s="1"/>
  <c r="AF142" i="28" s="1"/>
  <c r="Z141" i="28"/>
  <c r="Q99" i="29"/>
  <c r="L100" i="29" s="1"/>
  <c r="N100" i="29" s="1"/>
  <c r="AT135" i="29"/>
  <c r="T130" i="24"/>
  <c r="S131" i="24" s="1"/>
  <c r="L130" i="24"/>
  <c r="I131" i="24" s="1"/>
  <c r="AG146" i="25"/>
  <c r="AF147" i="25" s="1"/>
  <c r="O144" i="24"/>
  <c r="N144" i="24"/>
  <c r="Y147" i="25"/>
  <c r="AC147" i="25" s="1"/>
  <c r="X148" i="25" s="1"/>
  <c r="Z147" i="25"/>
  <c r="Y134" i="29"/>
  <c r="AG134" i="29" s="1"/>
  <c r="AF135" i="29" s="1"/>
  <c r="Z134" i="29"/>
  <c r="F95" i="26"/>
  <c r="G95" i="26" s="1"/>
  <c r="AR95" i="26" s="1"/>
  <c r="AL94" i="26"/>
  <c r="AM94" i="26" s="1"/>
  <c r="AN94" i="26" s="1"/>
  <c r="N196" i="26"/>
  <c r="T196" i="26" s="1"/>
  <c r="S197" i="26" s="1"/>
  <c r="AT196" i="26"/>
  <c r="AJ94" i="26"/>
  <c r="AK94" i="26" s="1"/>
  <c r="T209" i="28"/>
  <c r="S209" i="28"/>
  <c r="W209" i="28" s="1"/>
  <c r="R210" i="28" s="1"/>
  <c r="V210" i="28" s="1"/>
  <c r="AQ97" i="28"/>
  <c r="AS97" i="28"/>
  <c r="AU97" i="28"/>
  <c r="AE208" i="28"/>
  <c r="AD209" i="28" s="1"/>
  <c r="AT209" i="28" s="1"/>
  <c r="F98" i="28"/>
  <c r="I98" i="28" s="1"/>
  <c r="Q98" i="28" s="1"/>
  <c r="L99" i="28" s="1"/>
  <c r="AJ97" i="28"/>
  <c r="AK97" i="28" s="1"/>
  <c r="AM97" i="28"/>
  <c r="AN97" i="28" s="1"/>
  <c r="AW88" i="24"/>
  <c r="AX88" i="24" s="1"/>
  <c r="AY88" i="24" s="1"/>
  <c r="F123" i="25"/>
  <c r="AO118" i="25"/>
  <c r="AW116" i="25"/>
  <c r="AX116" i="25" s="1"/>
  <c r="AY116" i="25" s="1"/>
  <c r="AM117" i="25"/>
  <c r="AN117" i="25" s="1"/>
  <c r="AJ117" i="25"/>
  <c r="AK117" i="25" s="1"/>
  <c r="AM118" i="25"/>
  <c r="AN118" i="25" s="1"/>
  <c r="H89" i="24"/>
  <c r="H89" i="15"/>
  <c r="T181" i="15"/>
  <c r="S182" i="15" s="1"/>
  <c r="J181" i="15"/>
  <c r="L181" i="15" s="1"/>
  <c r="I182" i="15" s="1"/>
  <c r="P212" i="15"/>
  <c r="M213" i="15" s="1"/>
  <c r="N213" i="15" s="1"/>
  <c r="Q118" i="25"/>
  <c r="AQ72" i="19"/>
  <c r="W14" i="16"/>
  <c r="R15" i="16" s="1"/>
  <c r="S15" i="16" s="1"/>
  <c r="F73" i="19"/>
  <c r="J74" i="19" s="1"/>
  <c r="AU72" i="19"/>
  <c r="AC156" i="17"/>
  <c r="X157" i="17" s="1"/>
  <c r="Y157" i="17" s="1"/>
  <c r="AG157" i="17" s="1"/>
  <c r="AF158" i="17" s="1"/>
  <c r="G83" i="17"/>
  <c r="AI83" i="17" s="1"/>
  <c r="AJ83" i="17" s="1"/>
  <c r="AK83" i="17" s="1"/>
  <c r="H83" i="17"/>
  <c r="AP83" i="17" s="1"/>
  <c r="AC14" i="16"/>
  <c r="X15" i="16" s="1"/>
  <c r="AA15" i="16" s="1"/>
  <c r="AG14" i="16"/>
  <c r="AF15" i="16" s="1"/>
  <c r="AS11" i="16"/>
  <c r="AU82" i="17"/>
  <c r="AI11" i="16"/>
  <c r="AJ11" i="16" s="1"/>
  <c r="AK11" i="16" s="1"/>
  <c r="L12" i="16"/>
  <c r="M12" i="16" s="1"/>
  <c r="AL12" i="16" s="1"/>
  <c r="AM12" i="16" s="1"/>
  <c r="AN12" i="16" s="1"/>
  <c r="AS82" i="17"/>
  <c r="AQ82" i="17"/>
  <c r="AU11" i="16"/>
  <c r="Z162" i="19"/>
  <c r="Y162" i="19"/>
  <c r="AC162" i="19" s="1"/>
  <c r="X163" i="19" s="1"/>
  <c r="AG161" i="19"/>
  <c r="AF162" i="19" s="1"/>
  <c r="T171" i="19"/>
  <c r="S171" i="19"/>
  <c r="W171" i="19" s="1"/>
  <c r="R172" i="19" s="1"/>
  <c r="AT170" i="19"/>
  <c r="AE170" i="19"/>
  <c r="AD171" i="19" s="1"/>
  <c r="N180" i="19"/>
  <c r="P181" i="19"/>
  <c r="M180" i="19"/>
  <c r="Q180" i="19" s="1"/>
  <c r="L181" i="19" s="1"/>
  <c r="AT178" i="17"/>
  <c r="AE178" i="17"/>
  <c r="AD179" i="17" s="1"/>
  <c r="S179" i="17"/>
  <c r="W179" i="17" s="1"/>
  <c r="R180" i="17" s="1"/>
  <c r="T179" i="17"/>
  <c r="P181" i="17"/>
  <c r="N180" i="17"/>
  <c r="M180" i="17"/>
  <c r="Q180" i="17" s="1"/>
  <c r="L181" i="17" s="1"/>
  <c r="R181" i="15"/>
  <c r="Q182" i="15" s="1"/>
  <c r="AT182" i="15" s="1"/>
  <c r="AJ119" i="18"/>
  <c r="AK119" i="18" s="1"/>
  <c r="AW119" i="18" s="1"/>
  <c r="AX119" i="18" s="1"/>
  <c r="AY119" i="18" s="1"/>
  <c r="G120" i="18"/>
  <c r="AR120" i="18" s="1"/>
  <c r="P194" i="18"/>
  <c r="M195" i="18" s="1"/>
  <c r="N195" i="18" s="1"/>
  <c r="T194" i="18"/>
  <c r="S195" i="18" s="1"/>
  <c r="R193" i="18"/>
  <c r="Q194" i="18" s="1"/>
  <c r="AT194" i="18" s="1"/>
  <c r="AT214" i="25" l="1"/>
  <c r="AE214" i="25"/>
  <c r="AD215" i="25" s="1"/>
  <c r="S215" i="25"/>
  <c r="W215" i="25" s="1"/>
  <c r="R216" i="25" s="1"/>
  <c r="T215" i="25"/>
  <c r="K15" i="16"/>
  <c r="F16" i="16" s="1"/>
  <c r="AR15" i="16"/>
  <c r="I15" i="16"/>
  <c r="H100" i="29"/>
  <c r="AP100" i="29" s="1"/>
  <c r="J101" i="29"/>
  <c r="AL99" i="29"/>
  <c r="AM99" i="29" s="1"/>
  <c r="AN99" i="29" s="1"/>
  <c r="AI99" i="29"/>
  <c r="AJ99" i="29" s="1"/>
  <c r="AK99" i="29" s="1"/>
  <c r="G100" i="29"/>
  <c r="K100" i="29" s="1"/>
  <c r="AP99" i="29"/>
  <c r="M100" i="29"/>
  <c r="AC141" i="28"/>
  <c r="X142" i="28" s="1"/>
  <c r="AB142" i="28" s="1"/>
  <c r="O100" i="29"/>
  <c r="P101" i="29"/>
  <c r="AQ99" i="29"/>
  <c r="AU99" i="29"/>
  <c r="AS99" i="29"/>
  <c r="O99" i="28"/>
  <c r="M99" i="28"/>
  <c r="P100" i="28"/>
  <c r="N99" i="28"/>
  <c r="P144" i="24"/>
  <c r="M145" i="24" s="1"/>
  <c r="N145" i="24" s="1"/>
  <c r="AG147" i="25"/>
  <c r="AF148" i="25" s="1"/>
  <c r="Y148" i="25"/>
  <c r="AC148" i="25" s="1"/>
  <c r="X149" i="25" s="1"/>
  <c r="Z148" i="25"/>
  <c r="K131" i="24"/>
  <c r="R131" i="24" s="1"/>
  <c r="Q132" i="24" s="1"/>
  <c r="J131" i="24"/>
  <c r="AC134" i="29"/>
  <c r="X135" i="29" s="1"/>
  <c r="AA135" i="29" s="1"/>
  <c r="AE135" i="29" s="1"/>
  <c r="AD136" i="29" s="1"/>
  <c r="AW98" i="29"/>
  <c r="AX98" i="29" s="1"/>
  <c r="AY98" i="29" s="1"/>
  <c r="AW94" i="26"/>
  <c r="AX94" i="26" s="1"/>
  <c r="AY94" i="26" s="1"/>
  <c r="R196" i="26"/>
  <c r="Q197" i="26" s="1"/>
  <c r="P196" i="26"/>
  <c r="M197" i="26" s="1"/>
  <c r="H95" i="26"/>
  <c r="T210" i="28"/>
  <c r="S210" i="28"/>
  <c r="W210" i="28" s="1"/>
  <c r="R211" i="28" s="1"/>
  <c r="V211" i="28" s="1"/>
  <c r="J99" i="28"/>
  <c r="H98" i="28"/>
  <c r="AP98" i="28" s="1"/>
  <c r="G98" i="28"/>
  <c r="AL98" i="28" s="1"/>
  <c r="AE209" i="28"/>
  <c r="AD210" i="28" s="1"/>
  <c r="AT210" i="28" s="1"/>
  <c r="AW117" i="25"/>
  <c r="AX117" i="25" s="1"/>
  <c r="AY117" i="25" s="1"/>
  <c r="G123" i="25"/>
  <c r="K123" i="25" s="1"/>
  <c r="J124" i="25"/>
  <c r="H123" i="25"/>
  <c r="AI118" i="25"/>
  <c r="AQ118" i="25"/>
  <c r="AS118" i="25"/>
  <c r="AU118" i="25"/>
  <c r="L119" i="25"/>
  <c r="F90" i="24"/>
  <c r="AI89" i="24"/>
  <c r="AJ89" i="24" s="1"/>
  <c r="AL89" i="24"/>
  <c r="AM89" i="24" s="1"/>
  <c r="F90" i="15"/>
  <c r="AI89" i="15"/>
  <c r="AJ89" i="15" s="1"/>
  <c r="AK89" i="15" s="1"/>
  <c r="AL89" i="15"/>
  <c r="AM89" i="15" s="1"/>
  <c r="AN89" i="15" s="1"/>
  <c r="T182" i="15"/>
  <c r="S183" i="15" s="1"/>
  <c r="J182" i="15"/>
  <c r="L182" i="15" s="1"/>
  <c r="I183" i="15" s="1"/>
  <c r="J183" i="15" s="1"/>
  <c r="P213" i="15"/>
  <c r="M214" i="15" s="1"/>
  <c r="N214" i="15" s="1"/>
  <c r="AW97" i="28"/>
  <c r="AX97" i="28" s="1"/>
  <c r="AY97" i="28" s="1"/>
  <c r="H73" i="19"/>
  <c r="AP73" i="19" s="1"/>
  <c r="AW72" i="19"/>
  <c r="AX72" i="19" s="1"/>
  <c r="AY72" i="19" s="1"/>
  <c r="G73" i="19"/>
  <c r="AL73" i="19" s="1"/>
  <c r="AM73" i="19" s="1"/>
  <c r="AN73" i="19" s="1"/>
  <c r="W15" i="16"/>
  <c r="R16" i="16" s="1"/>
  <c r="U16" i="16" s="1"/>
  <c r="U15" i="16"/>
  <c r="T15" i="16"/>
  <c r="K83" i="17"/>
  <c r="F84" i="17" s="1"/>
  <c r="G84" i="17" s="1"/>
  <c r="AI84" i="17" s="1"/>
  <c r="AJ84" i="17" s="1"/>
  <c r="AK84" i="17" s="1"/>
  <c r="AL83" i="17"/>
  <c r="AM83" i="17" s="1"/>
  <c r="AN83" i="17" s="1"/>
  <c r="AW82" i="17"/>
  <c r="AX82" i="17" s="1"/>
  <c r="AY82" i="17" s="1"/>
  <c r="AW11" i="16"/>
  <c r="Z157" i="17"/>
  <c r="AO83" i="17"/>
  <c r="AE15" i="16"/>
  <c r="AD16" i="16" s="1"/>
  <c r="AT16" i="16" s="1"/>
  <c r="Y15" i="16"/>
  <c r="AC15" i="16" s="1"/>
  <c r="X16" i="16" s="1"/>
  <c r="AA16" i="16" s="1"/>
  <c r="Z15" i="16"/>
  <c r="P13" i="16"/>
  <c r="N12" i="16"/>
  <c r="AP12" i="16" s="1"/>
  <c r="AC157" i="17"/>
  <c r="X158" i="17" s="1"/>
  <c r="AG162" i="19"/>
  <c r="AF163" i="19" s="1"/>
  <c r="Y163" i="19"/>
  <c r="AC163" i="19" s="1"/>
  <c r="X164" i="19" s="1"/>
  <c r="Z163" i="19"/>
  <c r="AE171" i="19"/>
  <c r="AD172" i="19" s="1"/>
  <c r="AT171" i="19"/>
  <c r="S172" i="19"/>
  <c r="W172" i="19" s="1"/>
  <c r="R173" i="19" s="1"/>
  <c r="T172" i="19"/>
  <c r="Q12" i="16"/>
  <c r="M181" i="17"/>
  <c r="Q181" i="17" s="1"/>
  <c r="L182" i="17" s="1"/>
  <c r="P182" i="17"/>
  <c r="N181" i="17"/>
  <c r="P182" i="19"/>
  <c r="N181" i="19"/>
  <c r="M181" i="19"/>
  <c r="Q181" i="19" s="1"/>
  <c r="L182" i="19" s="1"/>
  <c r="R182" i="15"/>
  <c r="Q183" i="15" s="1"/>
  <c r="AT183" i="15" s="1"/>
  <c r="T180" i="17"/>
  <c r="S180" i="17"/>
  <c r="W180" i="17" s="1"/>
  <c r="R181" i="17" s="1"/>
  <c r="AT179" i="17"/>
  <c r="AE179" i="17"/>
  <c r="AD180" i="17" s="1"/>
  <c r="H120" i="18"/>
  <c r="F121" i="18" s="1"/>
  <c r="G121" i="18" s="1"/>
  <c r="AR121" i="18" s="1"/>
  <c r="P195" i="18"/>
  <c r="M196" i="18" s="1"/>
  <c r="N196" i="18" s="1"/>
  <c r="T195" i="18"/>
  <c r="S196" i="18" s="1"/>
  <c r="R194" i="18"/>
  <c r="Q195" i="18" s="1"/>
  <c r="AT195" i="18" s="1"/>
  <c r="AT215" i="25" l="1"/>
  <c r="AE215" i="25"/>
  <c r="AD216" i="25" s="1"/>
  <c r="T216" i="25"/>
  <c r="S216" i="25"/>
  <c r="W216" i="25" s="1"/>
  <c r="R217" i="25" s="1"/>
  <c r="J17" i="16"/>
  <c r="H16" i="16"/>
  <c r="G16" i="16"/>
  <c r="AO100" i="29"/>
  <c r="AL100" i="29"/>
  <c r="AM100" i="29" s="1"/>
  <c r="AN100" i="29" s="1"/>
  <c r="Q100" i="29"/>
  <c r="L101" i="29" s="1"/>
  <c r="M101" i="29" s="1"/>
  <c r="AI100" i="29"/>
  <c r="AJ100" i="29" s="1"/>
  <c r="AK100" i="29" s="1"/>
  <c r="Z142" i="28"/>
  <c r="Y142" i="28"/>
  <c r="AG142" i="28" s="1"/>
  <c r="AF143" i="28" s="1"/>
  <c r="O101" i="29"/>
  <c r="AW99" i="29"/>
  <c r="AX99" i="29" s="1"/>
  <c r="AY99" i="29" s="1"/>
  <c r="AT136" i="29"/>
  <c r="AG148" i="25"/>
  <c r="AF149" i="25" s="1"/>
  <c r="L131" i="24"/>
  <c r="I132" i="24" s="1"/>
  <c r="O145" i="24"/>
  <c r="P145" i="24" s="1"/>
  <c r="M146" i="24" s="1"/>
  <c r="T131" i="24"/>
  <c r="S132" i="24" s="1"/>
  <c r="Z149" i="25"/>
  <c r="Y149" i="25"/>
  <c r="Z135" i="29"/>
  <c r="Y135" i="29"/>
  <c r="AG135" i="29" s="1"/>
  <c r="AF136" i="29" s="1"/>
  <c r="F101" i="29"/>
  <c r="I101" i="29" s="1"/>
  <c r="AR101" i="29" s="1"/>
  <c r="F96" i="26"/>
  <c r="AI95" i="26"/>
  <c r="AL95" i="26"/>
  <c r="AT197" i="26"/>
  <c r="N197" i="26"/>
  <c r="T197" i="26" s="1"/>
  <c r="S198" i="26" s="1"/>
  <c r="T211" i="28"/>
  <c r="S211" i="28"/>
  <c r="W211" i="28" s="1"/>
  <c r="R212" i="28" s="1"/>
  <c r="V212" i="28" s="1"/>
  <c r="AO98" i="28"/>
  <c r="AI98" i="28"/>
  <c r="AJ98" i="28" s="1"/>
  <c r="AK98" i="28" s="1"/>
  <c r="AE210" i="28"/>
  <c r="AD211" i="28" s="1"/>
  <c r="AT211" i="28" s="1"/>
  <c r="AW89" i="15"/>
  <c r="AX89" i="15" s="1"/>
  <c r="AY89" i="15" s="1"/>
  <c r="F124" i="25"/>
  <c r="N119" i="25"/>
  <c r="AP119" i="25" s="1"/>
  <c r="P120" i="25"/>
  <c r="AJ118" i="25"/>
  <c r="AK118" i="25" s="1"/>
  <c r="AW118" i="25" s="1"/>
  <c r="AX118" i="25" s="1"/>
  <c r="AY118" i="25" s="1"/>
  <c r="AT132" i="24"/>
  <c r="AN89" i="24"/>
  <c r="AK89" i="24"/>
  <c r="G90" i="24"/>
  <c r="AR90" i="24" s="1"/>
  <c r="G90" i="15"/>
  <c r="AR90" i="15" s="1"/>
  <c r="P214" i="15"/>
  <c r="M215" i="15" s="1"/>
  <c r="N215" i="15" s="1"/>
  <c r="K98" i="28"/>
  <c r="M119" i="25"/>
  <c r="AL119" i="25" s="1"/>
  <c r="AO73" i="19"/>
  <c r="J85" i="17"/>
  <c r="AI73" i="19"/>
  <c r="AJ73" i="19" s="1"/>
  <c r="AK73" i="19" s="1"/>
  <c r="S16" i="16"/>
  <c r="AE16" i="16" s="1"/>
  <c r="AD17" i="16" s="1"/>
  <c r="AT17" i="16" s="1"/>
  <c r="T16" i="16"/>
  <c r="K73" i="19"/>
  <c r="AQ73" i="19" s="1"/>
  <c r="AL84" i="17"/>
  <c r="AM84" i="17" s="1"/>
  <c r="AN84" i="17" s="1"/>
  <c r="H84" i="17"/>
  <c r="AO84" i="17" s="1"/>
  <c r="K84" i="17"/>
  <c r="F85" i="17" s="1"/>
  <c r="AU83" i="17"/>
  <c r="AS83" i="17"/>
  <c r="AQ83" i="17"/>
  <c r="Y16" i="16"/>
  <c r="AC16" i="16" s="1"/>
  <c r="X17" i="16" s="1"/>
  <c r="AA17" i="16" s="1"/>
  <c r="AG15" i="16"/>
  <c r="AF16" i="16" s="1"/>
  <c r="Z16" i="16"/>
  <c r="AO12" i="16"/>
  <c r="Y158" i="17"/>
  <c r="AG158" i="17" s="1"/>
  <c r="AF159" i="17" s="1"/>
  <c r="Z158" i="17"/>
  <c r="Y164" i="19"/>
  <c r="AC164" i="19" s="1"/>
  <c r="X165" i="19" s="1"/>
  <c r="Z164" i="19"/>
  <c r="AG163" i="19"/>
  <c r="AF164" i="19" s="1"/>
  <c r="L183" i="15"/>
  <c r="I184" i="15" s="1"/>
  <c r="J184" i="15" s="1"/>
  <c r="T173" i="19"/>
  <c r="S173" i="19"/>
  <c r="W173" i="19" s="1"/>
  <c r="R174" i="19" s="1"/>
  <c r="AT172" i="19"/>
  <c r="AE172" i="19"/>
  <c r="AD173" i="19" s="1"/>
  <c r="L13" i="16"/>
  <c r="AU12" i="16"/>
  <c r="AQ12" i="16"/>
  <c r="AS12" i="16"/>
  <c r="AI12" i="16"/>
  <c r="AJ12" i="16" s="1"/>
  <c r="AK12" i="16" s="1"/>
  <c r="P183" i="17"/>
  <c r="N182" i="17"/>
  <c r="M182" i="17"/>
  <c r="Q182" i="17" s="1"/>
  <c r="L183" i="17" s="1"/>
  <c r="S181" i="17"/>
  <c r="W181" i="17" s="1"/>
  <c r="R182" i="17" s="1"/>
  <c r="T181" i="17"/>
  <c r="T183" i="15"/>
  <c r="S184" i="15" s="1"/>
  <c r="AT180" i="17"/>
  <c r="AE180" i="17"/>
  <c r="AD181" i="17" s="1"/>
  <c r="N182" i="19"/>
  <c r="P183" i="19"/>
  <c r="M182" i="19"/>
  <c r="Q182" i="19" s="1"/>
  <c r="L183" i="19" s="1"/>
  <c r="R183" i="15"/>
  <c r="Q184" i="15" s="1"/>
  <c r="AT184" i="15" s="1"/>
  <c r="AL120" i="18"/>
  <c r="AM120" i="18" s="1"/>
  <c r="AN120" i="18" s="1"/>
  <c r="AI120" i="18"/>
  <c r="AJ120" i="18" s="1"/>
  <c r="AK120" i="18" s="1"/>
  <c r="H121" i="18"/>
  <c r="P196" i="18"/>
  <c r="M197" i="18" s="1"/>
  <c r="N197" i="18" s="1"/>
  <c r="T196" i="18"/>
  <c r="S197" i="18" s="1"/>
  <c r="R195" i="18"/>
  <c r="Q196" i="18" s="1"/>
  <c r="AT196" i="18" s="1"/>
  <c r="AT216" i="25" l="1"/>
  <c r="AE216" i="25"/>
  <c r="AD217" i="25" s="1"/>
  <c r="S217" i="25"/>
  <c r="W217" i="25" s="1"/>
  <c r="R218" i="25" s="1"/>
  <c r="T217" i="25"/>
  <c r="K16" i="16"/>
  <c r="F17" i="16" s="1"/>
  <c r="AR16" i="16"/>
  <c r="I16" i="16"/>
  <c r="N101" i="29"/>
  <c r="P102" i="29"/>
  <c r="AS100" i="29"/>
  <c r="AU100" i="29"/>
  <c r="AQ100" i="29"/>
  <c r="Q101" i="29"/>
  <c r="L102" i="29" s="1"/>
  <c r="P103" i="29" s="1"/>
  <c r="AC142" i="28"/>
  <c r="X143" i="28" s="1"/>
  <c r="AB143" i="28" s="1"/>
  <c r="O102" i="29"/>
  <c r="AG149" i="25"/>
  <c r="AF150" i="25" s="1"/>
  <c r="AC149" i="25"/>
  <c r="X150" i="25" s="1"/>
  <c r="Y150" i="25" s="1"/>
  <c r="O146" i="24"/>
  <c r="N146" i="24"/>
  <c r="K132" i="24"/>
  <c r="T132" i="24" s="1"/>
  <c r="S133" i="24" s="1"/>
  <c r="J132" i="24"/>
  <c r="AC135" i="29"/>
  <c r="X136" i="29" s="1"/>
  <c r="AA136" i="29" s="1"/>
  <c r="AE136" i="29" s="1"/>
  <c r="AD137" i="29" s="1"/>
  <c r="H101" i="29"/>
  <c r="J102" i="29"/>
  <c r="G101" i="29"/>
  <c r="K101" i="29" s="1"/>
  <c r="F102" i="29" s="1"/>
  <c r="R197" i="26"/>
  <c r="Q198" i="26" s="1"/>
  <c r="P197" i="26"/>
  <c r="M198" i="26" s="1"/>
  <c r="G96" i="26"/>
  <c r="AR96" i="26" s="1"/>
  <c r="AM95" i="26"/>
  <c r="AN95" i="26" s="1"/>
  <c r="AJ95" i="26"/>
  <c r="AK95" i="26" s="1"/>
  <c r="T212" i="28"/>
  <c r="S212" i="28"/>
  <c r="W212" i="28" s="1"/>
  <c r="R213" i="28" s="1"/>
  <c r="V213" i="28" s="1"/>
  <c r="AQ98" i="28"/>
  <c r="AS98" i="28"/>
  <c r="AU98" i="28"/>
  <c r="AM98" i="28"/>
  <c r="AN98" i="28" s="1"/>
  <c r="AE211" i="28"/>
  <c r="AD212" i="28" s="1"/>
  <c r="AT212" i="28" s="1"/>
  <c r="F99" i="28"/>
  <c r="I99" i="28" s="1"/>
  <c r="Q99" i="28" s="1"/>
  <c r="L100" i="28" s="1"/>
  <c r="G124" i="25"/>
  <c r="K124" i="25" s="1"/>
  <c r="H124" i="25"/>
  <c r="J125" i="25"/>
  <c r="AO119" i="25"/>
  <c r="AW89" i="24"/>
  <c r="AX89" i="24" s="1"/>
  <c r="AY89" i="24" s="1"/>
  <c r="AM119" i="25"/>
  <c r="AN119" i="25" s="1"/>
  <c r="H90" i="24"/>
  <c r="H90" i="15"/>
  <c r="P215" i="15"/>
  <c r="M216" i="15" s="1"/>
  <c r="N216" i="15" s="1"/>
  <c r="Q119" i="25"/>
  <c r="W16" i="16"/>
  <c r="R17" i="16" s="1"/>
  <c r="T17" i="16" s="1"/>
  <c r="F74" i="19"/>
  <c r="H74" i="19" s="1"/>
  <c r="AP74" i="19" s="1"/>
  <c r="AS73" i="19"/>
  <c r="AU73" i="19"/>
  <c r="AU84" i="17"/>
  <c r="AQ84" i="17"/>
  <c r="AS84" i="17"/>
  <c r="AP84" i="17"/>
  <c r="AW83" i="17"/>
  <c r="AX83" i="17" s="1"/>
  <c r="AY83" i="17" s="1"/>
  <c r="AG16" i="16"/>
  <c r="AF17" i="16" s="1"/>
  <c r="AW12" i="16"/>
  <c r="Z17" i="16"/>
  <c r="Y17" i="16"/>
  <c r="AC17" i="16" s="1"/>
  <c r="X18" i="16" s="1"/>
  <c r="AA18" i="16" s="1"/>
  <c r="AC158" i="17"/>
  <c r="X159" i="17" s="1"/>
  <c r="H85" i="17"/>
  <c r="G85" i="17"/>
  <c r="J86" i="17"/>
  <c r="Z165" i="19"/>
  <c r="Y165" i="19"/>
  <c r="AC165" i="19" s="1"/>
  <c r="X166" i="19" s="1"/>
  <c r="AG164" i="19"/>
  <c r="AF165" i="19" s="1"/>
  <c r="L184" i="15"/>
  <c r="I185" i="15" s="1"/>
  <c r="J185" i="15" s="1"/>
  <c r="S174" i="19"/>
  <c r="W174" i="19" s="1"/>
  <c r="R175" i="19" s="1"/>
  <c r="T174" i="19"/>
  <c r="AT173" i="19"/>
  <c r="AE173" i="19"/>
  <c r="AD174" i="19" s="1"/>
  <c r="T184" i="15"/>
  <c r="S185" i="15" s="1"/>
  <c r="M13" i="16"/>
  <c r="AL13" i="16" s="1"/>
  <c r="AM13" i="16" s="1"/>
  <c r="AN13" i="16" s="1"/>
  <c r="P14" i="16"/>
  <c r="N13" i="16"/>
  <c r="R184" i="15"/>
  <c r="Q185" i="15" s="1"/>
  <c r="AT185" i="15" s="1"/>
  <c r="AT181" i="17"/>
  <c r="AE181" i="17"/>
  <c r="AD182" i="17" s="1"/>
  <c r="T182" i="17"/>
  <c r="S182" i="17"/>
  <c r="W182" i="17" s="1"/>
  <c r="R183" i="17" s="1"/>
  <c r="M183" i="19"/>
  <c r="Q183" i="19" s="1"/>
  <c r="L184" i="19" s="1"/>
  <c r="N183" i="19"/>
  <c r="P184" i="19"/>
  <c r="N183" i="17"/>
  <c r="P184" i="17"/>
  <c r="M183" i="17"/>
  <c r="Q183" i="17" s="1"/>
  <c r="L184" i="17" s="1"/>
  <c r="AW120" i="18"/>
  <c r="AX120" i="18" s="1"/>
  <c r="AY120" i="18" s="1"/>
  <c r="F122" i="18"/>
  <c r="AI121" i="18"/>
  <c r="AL121" i="18"/>
  <c r="AM121" i="18" s="1"/>
  <c r="AN121" i="18" s="1"/>
  <c r="P197" i="18"/>
  <c r="M198" i="18" s="1"/>
  <c r="N198" i="18" s="1"/>
  <c r="T197" i="18"/>
  <c r="S198" i="18" s="1"/>
  <c r="R196" i="18"/>
  <c r="Q197" i="18" s="1"/>
  <c r="AT197" i="18" s="1"/>
  <c r="AT217" i="25" l="1"/>
  <c r="AE217" i="25"/>
  <c r="AD218" i="25" s="1"/>
  <c r="S218" i="25"/>
  <c r="W218" i="25" s="1"/>
  <c r="R219" i="25" s="1"/>
  <c r="T218" i="25"/>
  <c r="H17" i="16"/>
  <c r="J18" i="16"/>
  <c r="G17" i="16"/>
  <c r="Y143" i="28"/>
  <c r="AG143" i="28" s="1"/>
  <c r="AF144" i="28" s="1"/>
  <c r="AW100" i="29"/>
  <c r="AX100" i="29" s="1"/>
  <c r="AY100" i="29" s="1"/>
  <c r="N102" i="29"/>
  <c r="M102" i="29"/>
  <c r="Z143" i="28"/>
  <c r="O100" i="28"/>
  <c r="M100" i="28"/>
  <c r="N100" i="28"/>
  <c r="P101" i="28"/>
  <c r="H102" i="29"/>
  <c r="I102" i="29"/>
  <c r="AR102" i="29" s="1"/>
  <c r="AT137" i="29"/>
  <c r="AG150" i="25"/>
  <c r="AF151" i="25" s="1"/>
  <c r="Z150" i="25"/>
  <c r="L132" i="24"/>
  <c r="I133" i="24" s="1"/>
  <c r="P146" i="24"/>
  <c r="M147" i="24" s="1"/>
  <c r="N147" i="24" s="1"/>
  <c r="AC150" i="25"/>
  <c r="X151" i="25" s="1"/>
  <c r="R132" i="24"/>
  <c r="Q133" i="24" s="1"/>
  <c r="AT133" i="24" s="1"/>
  <c r="Z136" i="29"/>
  <c r="Y136" i="29"/>
  <c r="AG136" i="29" s="1"/>
  <c r="AF137" i="29" s="1"/>
  <c r="AL101" i="29"/>
  <c r="AM101" i="29" s="1"/>
  <c r="AN101" i="29" s="1"/>
  <c r="G102" i="29"/>
  <c r="K102" i="29" s="1"/>
  <c r="F103" i="29" s="1"/>
  <c r="AQ101" i="29"/>
  <c r="AU101" i="29"/>
  <c r="AS101" i="29"/>
  <c r="AP101" i="29"/>
  <c r="AO101" i="29"/>
  <c r="AI101" i="29"/>
  <c r="AJ101" i="29" s="1"/>
  <c r="AK101" i="29" s="1"/>
  <c r="J103" i="29"/>
  <c r="AW95" i="26"/>
  <c r="AX95" i="26" s="1"/>
  <c r="AY95" i="26" s="1"/>
  <c r="H96" i="26"/>
  <c r="AT198" i="26"/>
  <c r="N198" i="26"/>
  <c r="T198" i="26" s="1"/>
  <c r="S199" i="26" s="1"/>
  <c r="T213" i="28"/>
  <c r="S213" i="28"/>
  <c r="W213" i="28" s="1"/>
  <c r="R214" i="28" s="1"/>
  <c r="V214" i="28" s="1"/>
  <c r="H99" i="28"/>
  <c r="AP99" i="28" s="1"/>
  <c r="J100" i="28"/>
  <c r="G99" i="28"/>
  <c r="AL99" i="28" s="1"/>
  <c r="AE212" i="28"/>
  <c r="AD213" i="28" s="1"/>
  <c r="AT213" i="28" s="1"/>
  <c r="F125" i="25"/>
  <c r="AI119" i="25"/>
  <c r="AQ119" i="25"/>
  <c r="AS119" i="25"/>
  <c r="AU119" i="25"/>
  <c r="L120" i="25"/>
  <c r="F91" i="24"/>
  <c r="AI90" i="24"/>
  <c r="AJ90" i="24" s="1"/>
  <c r="AL90" i="24"/>
  <c r="AM90" i="24" s="1"/>
  <c r="F91" i="15"/>
  <c r="AL90" i="15"/>
  <c r="AM90" i="15" s="1"/>
  <c r="AN90" i="15" s="1"/>
  <c r="AI90" i="15"/>
  <c r="AJ90" i="15" s="1"/>
  <c r="AK90" i="15" s="1"/>
  <c r="P216" i="15"/>
  <c r="M217" i="15" s="1"/>
  <c r="N217" i="15" s="1"/>
  <c r="AW98" i="28"/>
  <c r="AX98" i="28" s="1"/>
  <c r="AY98" i="28" s="1"/>
  <c r="S17" i="16"/>
  <c r="AE17" i="16" s="1"/>
  <c r="AD18" i="16" s="1"/>
  <c r="AT18" i="16" s="1"/>
  <c r="U17" i="16"/>
  <c r="AO74" i="19"/>
  <c r="G74" i="19"/>
  <c r="AL74" i="19" s="1"/>
  <c r="AM74" i="19" s="1"/>
  <c r="AN74" i="19" s="1"/>
  <c r="J75" i="19"/>
  <c r="AW73" i="19"/>
  <c r="AX73" i="19" s="1"/>
  <c r="AY73" i="19" s="1"/>
  <c r="AW84" i="17"/>
  <c r="AX84" i="17" s="1"/>
  <c r="AY84" i="17" s="1"/>
  <c r="Y18" i="16"/>
  <c r="AC18" i="16" s="1"/>
  <c r="X19" i="16" s="1"/>
  <c r="Z18" i="16"/>
  <c r="AG17" i="16"/>
  <c r="AF18" i="16" s="1"/>
  <c r="Z159" i="17"/>
  <c r="Y159" i="17"/>
  <c r="AG159" i="17" s="1"/>
  <c r="AF160" i="17" s="1"/>
  <c r="AI85" i="17"/>
  <c r="AJ85" i="17" s="1"/>
  <c r="AK85" i="17" s="1"/>
  <c r="AL85" i="17"/>
  <c r="AM85" i="17" s="1"/>
  <c r="AN85" i="17" s="1"/>
  <c r="AP85" i="17"/>
  <c r="AO85" i="17"/>
  <c r="K85" i="17"/>
  <c r="AG165" i="19"/>
  <c r="AF166" i="19" s="1"/>
  <c r="Z166" i="19"/>
  <c r="Y166" i="19"/>
  <c r="AC166" i="19" s="1"/>
  <c r="X167" i="19" s="1"/>
  <c r="T185" i="15"/>
  <c r="S186" i="15" s="1"/>
  <c r="AE174" i="19"/>
  <c r="AD175" i="19" s="1"/>
  <c r="AT174" i="19"/>
  <c r="S175" i="19"/>
  <c r="W175" i="19" s="1"/>
  <c r="R176" i="19" s="1"/>
  <c r="T175" i="19"/>
  <c r="L185" i="15"/>
  <c r="I186" i="15" s="1"/>
  <c r="J186" i="15" s="1"/>
  <c r="Q13" i="16"/>
  <c r="AP13" i="16"/>
  <c r="AO13" i="16"/>
  <c r="S183" i="17"/>
  <c r="W183" i="17" s="1"/>
  <c r="R184" i="17" s="1"/>
  <c r="T183" i="17"/>
  <c r="N184" i="19"/>
  <c r="M184" i="19"/>
  <c r="Q184" i="19" s="1"/>
  <c r="L185" i="19" s="1"/>
  <c r="P185" i="19"/>
  <c r="AT182" i="17"/>
  <c r="AE182" i="17"/>
  <c r="AD183" i="17" s="1"/>
  <c r="R185" i="15"/>
  <c r="Q186" i="15" s="1"/>
  <c r="AT186" i="15" s="1"/>
  <c r="P185" i="17"/>
  <c r="M184" i="17"/>
  <c r="Q184" i="17" s="1"/>
  <c r="L185" i="17" s="1"/>
  <c r="N184" i="17"/>
  <c r="AJ121" i="18"/>
  <c r="AK121" i="18" s="1"/>
  <c r="AW121" i="18" s="1"/>
  <c r="AX121" i="18" s="1"/>
  <c r="AY121" i="18" s="1"/>
  <c r="G122" i="18"/>
  <c r="AR122" i="18" s="1"/>
  <c r="P198" i="18"/>
  <c r="M199" i="18" s="1"/>
  <c r="N199" i="18" s="1"/>
  <c r="R197" i="18"/>
  <c r="Q198" i="18" s="1"/>
  <c r="AT198" i="18" s="1"/>
  <c r="AT218" i="25" l="1"/>
  <c r="AE218" i="25"/>
  <c r="AD219" i="25" s="1"/>
  <c r="T219" i="25"/>
  <c r="S219" i="25"/>
  <c r="W219" i="25" s="1"/>
  <c r="R220" i="25" s="1"/>
  <c r="AR17" i="16"/>
  <c r="I17" i="16"/>
  <c r="K17" i="16"/>
  <c r="F18" i="16" s="1"/>
  <c r="AC143" i="28"/>
  <c r="X144" i="28" s="1"/>
  <c r="AB144" i="28" s="1"/>
  <c r="AO102" i="29"/>
  <c r="AP102" i="29"/>
  <c r="Q102" i="29"/>
  <c r="L103" i="29" s="1"/>
  <c r="N103" i="29" s="1"/>
  <c r="J104" i="29"/>
  <c r="I103" i="29"/>
  <c r="AR103" i="29" s="1"/>
  <c r="O147" i="24"/>
  <c r="P147" i="24" s="1"/>
  <c r="M148" i="24" s="1"/>
  <c r="Z151" i="25"/>
  <c r="Y151" i="25"/>
  <c r="AG151" i="25" s="1"/>
  <c r="AF152" i="25" s="1"/>
  <c r="K133" i="24"/>
  <c r="T133" i="24" s="1"/>
  <c r="S134" i="24" s="1"/>
  <c r="J133" i="24"/>
  <c r="AC136" i="29"/>
  <c r="X137" i="29" s="1"/>
  <c r="AA137" i="29" s="1"/>
  <c r="AE137" i="29" s="1"/>
  <c r="AD138" i="29" s="1"/>
  <c r="AW101" i="29"/>
  <c r="AX101" i="29" s="1"/>
  <c r="AY101" i="29" s="1"/>
  <c r="AI102" i="29"/>
  <c r="H103" i="29"/>
  <c r="AL102" i="29"/>
  <c r="G103" i="29"/>
  <c r="R198" i="26"/>
  <c r="Q199" i="26" s="1"/>
  <c r="P198" i="26"/>
  <c r="M199" i="26" s="1"/>
  <c r="F97" i="26"/>
  <c r="AI96" i="26"/>
  <c r="AL96" i="26"/>
  <c r="K99" i="28"/>
  <c r="F100" i="28" s="1"/>
  <c r="T214" i="28"/>
  <c r="S214" i="28"/>
  <c r="W214" i="28" s="1"/>
  <c r="R215" i="28" s="1"/>
  <c r="V215" i="28" s="1"/>
  <c r="AO99" i="28"/>
  <c r="AI99" i="28"/>
  <c r="AE213" i="28"/>
  <c r="AD214" i="28" s="1"/>
  <c r="AT214" i="28" s="1"/>
  <c r="G125" i="25"/>
  <c r="K125" i="25" s="1"/>
  <c r="J126" i="25"/>
  <c r="H125" i="25"/>
  <c r="AJ119" i="25"/>
  <c r="AK119" i="25" s="1"/>
  <c r="AW119" i="25" s="1"/>
  <c r="AX119" i="25" s="1"/>
  <c r="AY119" i="25" s="1"/>
  <c r="P121" i="25"/>
  <c r="N120" i="25"/>
  <c r="AP120" i="25" s="1"/>
  <c r="AK90" i="24"/>
  <c r="AN90" i="24"/>
  <c r="G91" i="24"/>
  <c r="AR91" i="24" s="1"/>
  <c r="G91" i="15"/>
  <c r="AR91" i="15" s="1"/>
  <c r="AW90" i="15"/>
  <c r="AX90" i="15" s="1"/>
  <c r="AY90" i="15" s="1"/>
  <c r="P217" i="15"/>
  <c r="M218" i="15" s="1"/>
  <c r="N218" i="15" s="1"/>
  <c r="M120" i="25"/>
  <c r="Q120" i="25" s="1"/>
  <c r="L121" i="25" s="1"/>
  <c r="W17" i="16"/>
  <c r="R18" i="16" s="1"/>
  <c r="S18" i="16" s="1"/>
  <c r="W18" i="16" s="1"/>
  <c r="R19" i="16" s="1"/>
  <c r="U19" i="16" s="1"/>
  <c r="AI74" i="19"/>
  <c r="AJ74" i="19" s="1"/>
  <c r="AK74" i="19" s="1"/>
  <c r="K74" i="19"/>
  <c r="AS74" i="19" s="1"/>
  <c r="AG18" i="16"/>
  <c r="AF19" i="16" s="1"/>
  <c r="AC159" i="17"/>
  <c r="X160" i="17" s="1"/>
  <c r="T186" i="15"/>
  <c r="S187" i="15" s="1"/>
  <c r="AS85" i="17"/>
  <c r="AU85" i="17"/>
  <c r="F86" i="17"/>
  <c r="AQ85" i="17"/>
  <c r="Z19" i="16"/>
  <c r="AA19" i="16"/>
  <c r="Y19" i="16"/>
  <c r="Z167" i="19"/>
  <c r="Y167" i="19"/>
  <c r="AC167" i="19" s="1"/>
  <c r="X168" i="19" s="1"/>
  <c r="AG166" i="19"/>
  <c r="AF167" i="19" s="1"/>
  <c r="S176" i="19"/>
  <c r="W176" i="19" s="1"/>
  <c r="R177" i="19" s="1"/>
  <c r="T176" i="19"/>
  <c r="AT175" i="19"/>
  <c r="AE175" i="19"/>
  <c r="AD176" i="19" s="1"/>
  <c r="L186" i="15"/>
  <c r="I187" i="15" s="1"/>
  <c r="J187" i="15" s="1"/>
  <c r="L14" i="16"/>
  <c r="AQ13" i="16"/>
  <c r="AU13" i="16"/>
  <c r="AI13" i="16"/>
  <c r="AJ13" i="16" s="1"/>
  <c r="AK13" i="16" s="1"/>
  <c r="AS13" i="16"/>
  <c r="R186" i="15"/>
  <c r="Q187" i="15" s="1"/>
  <c r="AT187" i="15" s="1"/>
  <c r="T184" i="17"/>
  <c r="S184" i="17"/>
  <c r="W184" i="17" s="1"/>
  <c r="R185" i="17" s="1"/>
  <c r="M185" i="17"/>
  <c r="Q185" i="17" s="1"/>
  <c r="L186" i="17" s="1"/>
  <c r="N185" i="17"/>
  <c r="P186" i="17"/>
  <c r="AT183" i="17"/>
  <c r="AE183" i="17"/>
  <c r="AD184" i="17" s="1"/>
  <c r="M185" i="19"/>
  <c r="Q185" i="19" s="1"/>
  <c r="L186" i="19" s="1"/>
  <c r="N185" i="19"/>
  <c r="P186" i="19"/>
  <c r="H122" i="18"/>
  <c r="P199" i="18"/>
  <c r="M200" i="18" s="1"/>
  <c r="N200" i="18" s="1"/>
  <c r="R198" i="18"/>
  <c r="Q199" i="18" s="1"/>
  <c r="AT199" i="18" s="1"/>
  <c r="T198" i="18"/>
  <c r="AT219" i="25" l="1"/>
  <c r="AE219" i="25"/>
  <c r="AD220" i="25" s="1"/>
  <c r="S220" i="25"/>
  <c r="W220" i="25" s="1"/>
  <c r="R221" i="25" s="1"/>
  <c r="T220" i="25"/>
  <c r="H18" i="16"/>
  <c r="J19" i="16"/>
  <c r="G18" i="16"/>
  <c r="Y144" i="28"/>
  <c r="AG144" i="28" s="1"/>
  <c r="AF145" i="28" s="1"/>
  <c r="Z144" i="28"/>
  <c r="M103" i="29"/>
  <c r="AI103" i="29" s="1"/>
  <c r="AJ103" i="29" s="1"/>
  <c r="AK103" i="29" s="1"/>
  <c r="P104" i="29"/>
  <c r="AQ102" i="29"/>
  <c r="AU102" i="29"/>
  <c r="AS102" i="29"/>
  <c r="O103" i="29"/>
  <c r="AT138" i="29"/>
  <c r="AP103" i="29"/>
  <c r="G100" i="28"/>
  <c r="K100" i="28" s="1"/>
  <c r="I100" i="28"/>
  <c r="Q100" i="28" s="1"/>
  <c r="L101" i="28" s="1"/>
  <c r="L133" i="24"/>
  <c r="I134" i="24" s="1"/>
  <c r="AC151" i="25"/>
  <c r="X152" i="25" s="1"/>
  <c r="R133" i="24"/>
  <c r="Q134" i="24" s="1"/>
  <c r="AT134" i="24" s="1"/>
  <c r="O148" i="24"/>
  <c r="N148" i="24"/>
  <c r="Z137" i="29"/>
  <c r="Y137" i="29"/>
  <c r="AG137" i="29" s="1"/>
  <c r="AF138" i="29" s="1"/>
  <c r="AM102" i="29"/>
  <c r="AN102" i="29" s="1"/>
  <c r="AJ102" i="29"/>
  <c r="AK102" i="29" s="1"/>
  <c r="K103" i="29"/>
  <c r="AO103" i="29"/>
  <c r="AM96" i="26"/>
  <c r="AN96" i="26" s="1"/>
  <c r="N199" i="26"/>
  <c r="T199" i="26" s="1"/>
  <c r="S200" i="26" s="1"/>
  <c r="AT199" i="26"/>
  <c r="AJ96" i="26"/>
  <c r="AK96" i="26" s="1"/>
  <c r="G97" i="26"/>
  <c r="AR97" i="26" s="1"/>
  <c r="J101" i="28"/>
  <c r="H100" i="28"/>
  <c r="AP100" i="28" s="1"/>
  <c r="AU99" i="28"/>
  <c r="AS99" i="28"/>
  <c r="AQ99" i="28"/>
  <c r="T215" i="28"/>
  <c r="S215" i="28"/>
  <c r="W215" i="28" s="1"/>
  <c r="R216" i="28" s="1"/>
  <c r="V216" i="28" s="1"/>
  <c r="AE214" i="28"/>
  <c r="AD215" i="28" s="1"/>
  <c r="AT215" i="28" s="1"/>
  <c r="AM99" i="28"/>
  <c r="AN99" i="28" s="1"/>
  <c r="AJ99" i="28"/>
  <c r="AK99" i="28" s="1"/>
  <c r="AW90" i="24"/>
  <c r="AX90" i="24" s="1"/>
  <c r="AY90" i="24" s="1"/>
  <c r="F126" i="25"/>
  <c r="AO120" i="25"/>
  <c r="AL120" i="25"/>
  <c r="AU120" i="25"/>
  <c r="AS120" i="25"/>
  <c r="AQ120" i="25"/>
  <c r="AI120" i="25"/>
  <c r="N121" i="25"/>
  <c r="AP121" i="25" s="1"/>
  <c r="P122" i="25"/>
  <c r="H91" i="24"/>
  <c r="H91" i="15"/>
  <c r="P218" i="15"/>
  <c r="M219" i="15" s="1"/>
  <c r="N219" i="15" s="1"/>
  <c r="M121" i="25"/>
  <c r="Q121" i="25" s="1"/>
  <c r="L122" i="25" s="1"/>
  <c r="T19" i="16"/>
  <c r="U18" i="16"/>
  <c r="S19" i="16"/>
  <c r="W19" i="16" s="1"/>
  <c r="R20" i="16" s="1"/>
  <c r="AE18" i="16"/>
  <c r="AD19" i="16" s="1"/>
  <c r="AT19" i="16" s="1"/>
  <c r="T18" i="16"/>
  <c r="F75" i="19"/>
  <c r="H75" i="19" s="1"/>
  <c r="AO75" i="19" s="1"/>
  <c r="AQ74" i="19"/>
  <c r="AU74" i="19"/>
  <c r="AW85" i="17"/>
  <c r="AX85" i="17" s="1"/>
  <c r="AY85" i="17" s="1"/>
  <c r="AW13" i="16"/>
  <c r="AG167" i="19"/>
  <c r="AF168" i="19" s="1"/>
  <c r="Z160" i="17"/>
  <c r="Y160" i="17"/>
  <c r="AC19" i="16"/>
  <c r="X20" i="16" s="1"/>
  <c r="J87" i="17"/>
  <c r="G86" i="17"/>
  <c r="K86" i="17" s="1"/>
  <c r="F87" i="17" s="1"/>
  <c r="H86" i="17"/>
  <c r="T187" i="15"/>
  <c r="S188" i="15" s="1"/>
  <c r="AG19" i="16"/>
  <c r="AF20" i="16" s="1"/>
  <c r="Y168" i="19"/>
  <c r="AC168" i="19" s="1"/>
  <c r="X169" i="19" s="1"/>
  <c r="Z168" i="19"/>
  <c r="L187" i="15"/>
  <c r="I188" i="15" s="1"/>
  <c r="J188" i="15" s="1"/>
  <c r="AT176" i="19"/>
  <c r="AE176" i="19"/>
  <c r="AD177" i="19" s="1"/>
  <c r="T177" i="19"/>
  <c r="S177" i="19"/>
  <c r="W177" i="19" s="1"/>
  <c r="R178" i="19" s="1"/>
  <c r="P15" i="16"/>
  <c r="M14" i="16"/>
  <c r="AL14" i="16" s="1"/>
  <c r="AM14" i="16" s="1"/>
  <c r="AN14" i="16" s="1"/>
  <c r="N14" i="16"/>
  <c r="P187" i="19"/>
  <c r="M186" i="19"/>
  <c r="Q186" i="19" s="1"/>
  <c r="L187" i="19" s="1"/>
  <c r="N186" i="19"/>
  <c r="AT184" i="17"/>
  <c r="AE184" i="17"/>
  <c r="AD185" i="17" s="1"/>
  <c r="N186" i="17"/>
  <c r="P187" i="17"/>
  <c r="M186" i="17"/>
  <c r="Q186" i="17" s="1"/>
  <c r="L187" i="17" s="1"/>
  <c r="T185" i="17"/>
  <c r="S185" i="17"/>
  <c r="W185" i="17" s="1"/>
  <c r="R186" i="17" s="1"/>
  <c r="R187" i="15"/>
  <c r="Q188" i="15" s="1"/>
  <c r="AT188" i="15" s="1"/>
  <c r="F123" i="18"/>
  <c r="AI122" i="18"/>
  <c r="AJ122" i="18" s="1"/>
  <c r="AK122" i="18" s="1"/>
  <c r="AL122" i="18"/>
  <c r="AM122" i="18" s="1"/>
  <c r="AN122" i="18" s="1"/>
  <c r="S199" i="18"/>
  <c r="T199" i="18" s="1"/>
  <c r="S200" i="18" s="1"/>
  <c r="T200" i="18" s="1"/>
  <c r="S201" i="18" s="1"/>
  <c r="R199" i="18"/>
  <c r="Q200" i="18" s="1"/>
  <c r="AT200" i="18" s="1"/>
  <c r="AT220" i="25" l="1"/>
  <c r="AE220" i="25"/>
  <c r="AD221" i="25" s="1"/>
  <c r="S221" i="25"/>
  <c r="W221" i="25" s="1"/>
  <c r="R222" i="25" s="1"/>
  <c r="T221" i="25"/>
  <c r="S20" i="16"/>
  <c r="U20" i="16"/>
  <c r="Z20" i="16"/>
  <c r="AA20" i="16"/>
  <c r="AR18" i="16"/>
  <c r="I18" i="16"/>
  <c r="K18" i="16"/>
  <c r="F19" i="16" s="1"/>
  <c r="AI100" i="28"/>
  <c r="AJ100" i="28" s="1"/>
  <c r="AL100" i="28"/>
  <c r="AM100" i="28" s="1"/>
  <c r="AN100" i="28" s="1"/>
  <c r="AC144" i="28"/>
  <c r="X145" i="28" s="1"/>
  <c r="AB145" i="28" s="1"/>
  <c r="Q103" i="29"/>
  <c r="L104" i="29" s="1"/>
  <c r="P105" i="29" s="1"/>
  <c r="AL103" i="29"/>
  <c r="AM103" i="29" s="1"/>
  <c r="O101" i="28"/>
  <c r="N101" i="28"/>
  <c r="M101" i="28"/>
  <c r="P102" i="28"/>
  <c r="P148" i="24"/>
  <c r="M149" i="24" s="1"/>
  <c r="Y152" i="25"/>
  <c r="AG152" i="25" s="1"/>
  <c r="AF153" i="25" s="1"/>
  <c r="Z152" i="25"/>
  <c r="K134" i="24"/>
  <c r="J134" i="24"/>
  <c r="AC137" i="29"/>
  <c r="X138" i="29" s="1"/>
  <c r="AA138" i="29" s="1"/>
  <c r="AE138" i="29" s="1"/>
  <c r="AD139" i="29" s="1"/>
  <c r="AW102" i="29"/>
  <c r="AX102" i="29" s="1"/>
  <c r="AY102" i="29" s="1"/>
  <c r="F104" i="29"/>
  <c r="P199" i="26"/>
  <c r="M200" i="26" s="1"/>
  <c r="N200" i="26" s="1"/>
  <c r="R199" i="26"/>
  <c r="Q200" i="26" s="1"/>
  <c r="AW96" i="26"/>
  <c r="AX96" i="26" s="1"/>
  <c r="AY96" i="26" s="1"/>
  <c r="H97" i="26"/>
  <c r="AO100" i="28"/>
  <c r="T216" i="28"/>
  <c r="S216" i="28"/>
  <c r="W216" i="28" s="1"/>
  <c r="R217" i="28" s="1"/>
  <c r="V217" i="28" s="1"/>
  <c r="AS100" i="28"/>
  <c r="AU100" i="28"/>
  <c r="AQ100" i="28"/>
  <c r="AW99" i="28"/>
  <c r="AX99" i="28" s="1"/>
  <c r="AY99" i="28" s="1"/>
  <c r="AE215" i="28"/>
  <c r="AD216" i="28" s="1"/>
  <c r="AT216" i="28" s="1"/>
  <c r="F101" i="28"/>
  <c r="I101" i="28" s="1"/>
  <c r="AL121" i="25"/>
  <c r="AU121" i="25"/>
  <c r="G126" i="25"/>
  <c r="K126" i="25" s="1"/>
  <c r="H126" i="25"/>
  <c r="J127" i="25"/>
  <c r="AO121" i="25"/>
  <c r="AS121" i="25"/>
  <c r="AQ121" i="25"/>
  <c r="AI121" i="25"/>
  <c r="P123" i="25"/>
  <c r="N122" i="25"/>
  <c r="AP122" i="25" s="1"/>
  <c r="AM120" i="25"/>
  <c r="AN120" i="25" s="1"/>
  <c r="AJ120" i="25"/>
  <c r="AK120" i="25" s="1"/>
  <c r="F92" i="24"/>
  <c r="AI91" i="24"/>
  <c r="AJ91" i="24" s="1"/>
  <c r="AL91" i="24"/>
  <c r="AM91" i="24" s="1"/>
  <c r="F92" i="15"/>
  <c r="AL91" i="15"/>
  <c r="AM91" i="15" s="1"/>
  <c r="AN91" i="15" s="1"/>
  <c r="AI91" i="15"/>
  <c r="AJ91" i="15" s="1"/>
  <c r="AK91" i="15" s="1"/>
  <c r="P219" i="15"/>
  <c r="M220" i="15" s="1"/>
  <c r="N220" i="15" s="1"/>
  <c r="M122" i="25"/>
  <c r="Q122" i="25" s="1"/>
  <c r="L123" i="25" s="1"/>
  <c r="AE19" i="16"/>
  <c r="AD20" i="16" s="1"/>
  <c r="AT20" i="16" s="1"/>
  <c r="J76" i="19"/>
  <c r="AP75" i="19"/>
  <c r="G75" i="19"/>
  <c r="AI75" i="19" s="1"/>
  <c r="AJ75" i="19" s="1"/>
  <c r="AK75" i="19" s="1"/>
  <c r="AW74" i="19"/>
  <c r="AX74" i="19" s="1"/>
  <c r="AY74" i="19" s="1"/>
  <c r="Y20" i="16"/>
  <c r="AG160" i="17"/>
  <c r="AF161" i="17" s="1"/>
  <c r="AC160" i="17"/>
  <c r="X161" i="17" s="1"/>
  <c r="AU86" i="17"/>
  <c r="AS86" i="17"/>
  <c r="AI86" i="17"/>
  <c r="AJ86" i="17" s="1"/>
  <c r="AK86" i="17" s="1"/>
  <c r="AL86" i="17"/>
  <c r="AM86" i="17" s="1"/>
  <c r="AN86" i="17" s="1"/>
  <c r="AO86" i="17"/>
  <c r="AP86" i="17"/>
  <c r="AQ86" i="17"/>
  <c r="J88" i="17"/>
  <c r="G87" i="17"/>
  <c r="AL87" i="17" s="1"/>
  <c r="AM87" i="17" s="1"/>
  <c r="AN87" i="17" s="1"/>
  <c r="H87" i="17"/>
  <c r="AG168" i="19"/>
  <c r="AF169" i="19" s="1"/>
  <c r="Y169" i="19"/>
  <c r="AC169" i="19" s="1"/>
  <c r="X170" i="19" s="1"/>
  <c r="Z169" i="19"/>
  <c r="T20" i="16"/>
  <c r="Q14" i="16"/>
  <c r="L15" i="16" s="1"/>
  <c r="P16" i="16" s="1"/>
  <c r="L188" i="15"/>
  <c r="I189" i="15" s="1"/>
  <c r="J189" i="15" s="1"/>
  <c r="S178" i="19"/>
  <c r="W178" i="19" s="1"/>
  <c r="R179" i="19" s="1"/>
  <c r="T178" i="19"/>
  <c r="AE177" i="19"/>
  <c r="AD178" i="19" s="1"/>
  <c r="AT177" i="19"/>
  <c r="AO14" i="16"/>
  <c r="AP14" i="16"/>
  <c r="S186" i="17"/>
  <c r="W186" i="17" s="1"/>
  <c r="R187" i="17" s="1"/>
  <c r="T186" i="17"/>
  <c r="N187" i="17"/>
  <c r="P188" i="17"/>
  <c r="M187" i="17"/>
  <c r="Q187" i="17" s="1"/>
  <c r="L188" i="17" s="1"/>
  <c r="T188" i="15"/>
  <c r="S189" i="15" s="1"/>
  <c r="AT185" i="17"/>
  <c r="AE185" i="17"/>
  <c r="AD186" i="17" s="1"/>
  <c r="M187" i="19"/>
  <c r="Q187" i="19" s="1"/>
  <c r="L188" i="19" s="1"/>
  <c r="P188" i="19"/>
  <c r="N187" i="19"/>
  <c r="R188" i="15"/>
  <c r="Q189" i="15" s="1"/>
  <c r="AT189" i="15" s="1"/>
  <c r="AW122" i="18"/>
  <c r="AX122" i="18" s="1"/>
  <c r="AY122" i="18" s="1"/>
  <c r="G123" i="18"/>
  <c r="AR123" i="18" s="1"/>
  <c r="R200" i="18"/>
  <c r="Q201" i="18" s="1"/>
  <c r="AT201" i="18" s="1"/>
  <c r="P200" i="18"/>
  <c r="M201" i="18" s="1"/>
  <c r="N201" i="18" s="1"/>
  <c r="AC20" i="16" l="1"/>
  <c r="X21" i="16" s="1"/>
  <c r="Y21" i="16" s="1"/>
  <c r="AC21" i="16" s="1"/>
  <c r="X22" i="16" s="1"/>
  <c r="Z22" i="16" s="1"/>
  <c r="W20" i="16"/>
  <c r="R21" i="16" s="1"/>
  <c r="S21" i="16" s="1"/>
  <c r="W21" i="16" s="1"/>
  <c r="R22" i="16" s="1"/>
  <c r="T22" i="16" s="1"/>
  <c r="AT221" i="25"/>
  <c r="AE221" i="25"/>
  <c r="AD222" i="25" s="1"/>
  <c r="S222" i="25"/>
  <c r="W222" i="25" s="1"/>
  <c r="R223" i="25" s="1"/>
  <c r="T222" i="25"/>
  <c r="H19" i="16"/>
  <c r="J20" i="16"/>
  <c r="G19" i="16"/>
  <c r="AK100" i="28"/>
  <c r="AW100" i="28" s="1"/>
  <c r="AX100" i="28" s="1"/>
  <c r="AY100" i="28" s="1"/>
  <c r="AU103" i="29"/>
  <c r="M104" i="29"/>
  <c r="O104" i="29"/>
  <c r="AN103" i="29"/>
  <c r="N104" i="29"/>
  <c r="AS103" i="29"/>
  <c r="AQ103" i="29"/>
  <c r="Q101" i="28"/>
  <c r="L102" i="28" s="1"/>
  <c r="G104" i="29"/>
  <c r="I104" i="29"/>
  <c r="AT139" i="29"/>
  <c r="L134" i="24"/>
  <c r="I135" i="24" s="1"/>
  <c r="T134" i="24"/>
  <c r="S135" i="24" s="1"/>
  <c r="R134" i="24"/>
  <c r="Q135" i="24" s="1"/>
  <c r="AT135" i="24" s="1"/>
  <c r="AC152" i="25"/>
  <c r="X153" i="25" s="1"/>
  <c r="Y153" i="25" s="1"/>
  <c r="AG153" i="25" s="1"/>
  <c r="AF154" i="25" s="1"/>
  <c r="O149" i="24"/>
  <c r="N149" i="24"/>
  <c r="Z138" i="29"/>
  <c r="Y138" i="29"/>
  <c r="AG138" i="29" s="1"/>
  <c r="AF139" i="29" s="1"/>
  <c r="J105" i="29"/>
  <c r="H104" i="29"/>
  <c r="P200" i="26"/>
  <c r="M201" i="26" s="1"/>
  <c r="T200" i="26"/>
  <c r="S201" i="26" s="1"/>
  <c r="AT200" i="26"/>
  <c r="R200" i="26"/>
  <c r="Q201" i="26" s="1"/>
  <c r="F98" i="26"/>
  <c r="AL97" i="26"/>
  <c r="AI97" i="26"/>
  <c r="T217" i="28"/>
  <c r="S217" i="28"/>
  <c r="W217" i="28" s="1"/>
  <c r="R218" i="28" s="1"/>
  <c r="V218" i="28" s="1"/>
  <c r="Z145" i="28"/>
  <c r="Y145" i="28"/>
  <c r="AG145" i="28" s="1"/>
  <c r="AF146" i="28" s="1"/>
  <c r="H101" i="28"/>
  <c r="AP101" i="28" s="1"/>
  <c r="J102" i="28"/>
  <c r="G101" i="28"/>
  <c r="AL101" i="28" s="1"/>
  <c r="AE216" i="28"/>
  <c r="AD217" i="28" s="1"/>
  <c r="AT217" i="28" s="1"/>
  <c r="AW120" i="25"/>
  <c r="AX120" i="25" s="1"/>
  <c r="AY120" i="25" s="1"/>
  <c r="AI122" i="25"/>
  <c r="AU122" i="25"/>
  <c r="F127" i="25"/>
  <c r="AQ122" i="25"/>
  <c r="AO122" i="25"/>
  <c r="AL122" i="25"/>
  <c r="AS122" i="25"/>
  <c r="AJ121" i="25"/>
  <c r="AK121" i="25" s="1"/>
  <c r="AM121" i="25"/>
  <c r="AN121" i="25" s="1"/>
  <c r="P124" i="25"/>
  <c r="N123" i="25"/>
  <c r="AP123" i="25" s="1"/>
  <c r="AK91" i="24"/>
  <c r="AN91" i="24"/>
  <c r="G92" i="24"/>
  <c r="AR92" i="24" s="1"/>
  <c r="G92" i="15"/>
  <c r="AR92" i="15" s="1"/>
  <c r="AW91" i="15"/>
  <c r="AX91" i="15" s="1"/>
  <c r="AY91" i="15" s="1"/>
  <c r="P220" i="15"/>
  <c r="M221" i="15" s="1"/>
  <c r="N221" i="15" s="1"/>
  <c r="M123" i="25"/>
  <c r="AL123" i="25" s="1"/>
  <c r="AE20" i="16"/>
  <c r="AD21" i="16" s="1"/>
  <c r="K75" i="19"/>
  <c r="AU75" i="19" s="1"/>
  <c r="AL75" i="19"/>
  <c r="AM75" i="19" s="1"/>
  <c r="AN75" i="19" s="1"/>
  <c r="AG20" i="16"/>
  <c r="AF21" i="16" s="1"/>
  <c r="AI87" i="17"/>
  <c r="AJ87" i="17" s="1"/>
  <c r="AK87" i="17" s="1"/>
  <c r="Z161" i="17"/>
  <c r="Y161" i="17"/>
  <c r="AG161" i="17" s="1"/>
  <c r="AF162" i="17" s="1"/>
  <c r="AW86" i="17"/>
  <c r="AX86" i="17" s="1"/>
  <c r="AY86" i="17" s="1"/>
  <c r="K87" i="17"/>
  <c r="AQ87" i="17" s="1"/>
  <c r="AO87" i="17"/>
  <c r="AP87" i="17"/>
  <c r="AI14" i="16"/>
  <c r="AJ14" i="16" s="1"/>
  <c r="AK14" i="16" s="1"/>
  <c r="AS14" i="16"/>
  <c r="M15" i="16"/>
  <c r="AL15" i="16" s="1"/>
  <c r="AM15" i="16" s="1"/>
  <c r="AN15" i="16" s="1"/>
  <c r="AQ14" i="16"/>
  <c r="AG169" i="19"/>
  <c r="AF170" i="19" s="1"/>
  <c r="Y170" i="19"/>
  <c r="AC170" i="19" s="1"/>
  <c r="X171" i="19" s="1"/>
  <c r="Z170" i="19"/>
  <c r="AU14" i="16"/>
  <c r="N15" i="16"/>
  <c r="AO15" i="16" s="1"/>
  <c r="T189" i="15"/>
  <c r="S190" i="15" s="1"/>
  <c r="L189" i="15"/>
  <c r="I190" i="15" s="1"/>
  <c r="J190" i="15" s="1"/>
  <c r="T179" i="19"/>
  <c r="S179" i="19"/>
  <c r="W179" i="19" s="1"/>
  <c r="R180" i="19" s="1"/>
  <c r="AT178" i="19"/>
  <c r="AE178" i="19"/>
  <c r="AD179" i="19" s="1"/>
  <c r="P189" i="17"/>
  <c r="N188" i="17"/>
  <c r="M188" i="17"/>
  <c r="Q188" i="17" s="1"/>
  <c r="L189" i="17" s="1"/>
  <c r="T187" i="17"/>
  <c r="S187" i="17"/>
  <c r="W187" i="17" s="1"/>
  <c r="R188" i="17" s="1"/>
  <c r="N188" i="19"/>
  <c r="M188" i="19"/>
  <c r="Q188" i="19" s="1"/>
  <c r="L189" i="19" s="1"/>
  <c r="P189" i="19"/>
  <c r="AT186" i="17"/>
  <c r="AE186" i="17"/>
  <c r="AD187" i="17" s="1"/>
  <c r="R189" i="15"/>
  <c r="Q190" i="15" s="1"/>
  <c r="AT190" i="15" s="1"/>
  <c r="H123" i="18"/>
  <c r="T201" i="18"/>
  <c r="S202" i="18" s="1"/>
  <c r="R201" i="18"/>
  <c r="Q202" i="18" s="1"/>
  <c r="AT202" i="18" s="1"/>
  <c r="S22" i="16" l="1"/>
  <c r="W22" i="16" s="1"/>
  <c r="R23" i="16" s="1"/>
  <c r="T23" i="16" s="1"/>
  <c r="Y22" i="16"/>
  <c r="AC22" i="16" s="1"/>
  <c r="X23" i="16" s="1"/>
  <c r="Y23" i="16" s="1"/>
  <c r="AC23" i="16" s="1"/>
  <c r="X24" i="16" s="1"/>
  <c r="AG21" i="16"/>
  <c r="AF22" i="16" s="1"/>
  <c r="AE21" i="16"/>
  <c r="AD22" i="16" s="1"/>
  <c r="AT22" i="16" s="1"/>
  <c r="Z21" i="16"/>
  <c r="T21" i="16"/>
  <c r="AT222" i="25"/>
  <c r="AE222" i="25"/>
  <c r="AD223" i="25" s="1"/>
  <c r="S223" i="25"/>
  <c r="W223" i="25" s="1"/>
  <c r="R224" i="25" s="1"/>
  <c r="T223" i="25"/>
  <c r="AR19" i="16"/>
  <c r="I19" i="16"/>
  <c r="K19" i="16"/>
  <c r="F20" i="16" s="1"/>
  <c r="AW103" i="29"/>
  <c r="AX103" i="29" s="1"/>
  <c r="AY103" i="29" s="1"/>
  <c r="AI104" i="29"/>
  <c r="AJ104" i="29" s="1"/>
  <c r="AP104" i="29"/>
  <c r="O102" i="28"/>
  <c r="M102" i="28"/>
  <c r="N102" i="28"/>
  <c r="P103" i="28"/>
  <c r="AR104" i="29"/>
  <c r="Q104" i="29"/>
  <c r="L105" i="29" s="1"/>
  <c r="AL104" i="29"/>
  <c r="AM104" i="29" s="1"/>
  <c r="AN104" i="29" s="1"/>
  <c r="K104" i="29"/>
  <c r="F105" i="29" s="1"/>
  <c r="I105" i="29" s="1"/>
  <c r="AR105" i="29" s="1"/>
  <c r="Z153" i="25"/>
  <c r="P149" i="24"/>
  <c r="M150" i="24" s="1"/>
  <c r="K135" i="24"/>
  <c r="T135" i="24" s="1"/>
  <c r="S136" i="24" s="1"/>
  <c r="J135" i="24"/>
  <c r="AC153" i="25"/>
  <c r="X154" i="25" s="1"/>
  <c r="AC138" i="29"/>
  <c r="X139" i="29" s="1"/>
  <c r="AA139" i="29" s="1"/>
  <c r="AE139" i="29" s="1"/>
  <c r="AD140" i="29" s="1"/>
  <c r="AO104" i="29"/>
  <c r="AW121" i="25"/>
  <c r="AX121" i="25" s="1"/>
  <c r="AY121" i="25" s="1"/>
  <c r="N201" i="26"/>
  <c r="R201" i="26" s="1"/>
  <c r="Q202" i="26" s="1"/>
  <c r="G98" i="26"/>
  <c r="AR98" i="26" s="1"/>
  <c r="AJ97" i="26"/>
  <c r="AK97" i="26" s="1"/>
  <c r="AT201" i="26"/>
  <c r="AM97" i="26"/>
  <c r="AN97" i="26" s="1"/>
  <c r="T218" i="28"/>
  <c r="S218" i="28"/>
  <c r="W218" i="28" s="1"/>
  <c r="R219" i="28" s="1"/>
  <c r="V219" i="28" s="1"/>
  <c r="AO101" i="28"/>
  <c r="AI101" i="28"/>
  <c r="AC145" i="28"/>
  <c r="X146" i="28" s="1"/>
  <c r="AB146" i="28" s="1"/>
  <c r="AE217" i="28"/>
  <c r="AD218" i="28" s="1"/>
  <c r="AT218" i="28" s="1"/>
  <c r="AM101" i="28"/>
  <c r="AN101" i="28" s="1"/>
  <c r="AW91" i="24"/>
  <c r="AX91" i="24" s="1"/>
  <c r="AY91" i="24" s="1"/>
  <c r="G127" i="25"/>
  <c r="K127" i="25" s="1"/>
  <c r="J128" i="25"/>
  <c r="H127" i="25"/>
  <c r="AO123" i="25"/>
  <c r="AJ122" i="25"/>
  <c r="AK122" i="25" s="1"/>
  <c r="AM122" i="25"/>
  <c r="AN122" i="25" s="1"/>
  <c r="AM123" i="25"/>
  <c r="AN123" i="25" s="1"/>
  <c r="H92" i="24"/>
  <c r="H92" i="15"/>
  <c r="P221" i="15"/>
  <c r="M222" i="15" s="1"/>
  <c r="N222" i="15" s="1"/>
  <c r="K101" i="28"/>
  <c r="Q123" i="25"/>
  <c r="AT21" i="16"/>
  <c r="AS75" i="19"/>
  <c r="AQ75" i="19"/>
  <c r="F76" i="19"/>
  <c r="H76" i="19" s="1"/>
  <c r="AO76" i="19" s="1"/>
  <c r="AW14" i="16"/>
  <c r="AS87" i="17"/>
  <c r="F88" i="17"/>
  <c r="G88" i="17" s="1"/>
  <c r="K88" i="17" s="1"/>
  <c r="AU87" i="17"/>
  <c r="AC161" i="17"/>
  <c r="X162" i="17" s="1"/>
  <c r="AP15" i="16"/>
  <c r="Q15" i="16"/>
  <c r="L16" i="16" s="1"/>
  <c r="M16" i="16" s="1"/>
  <c r="AL16" i="16" s="1"/>
  <c r="AM16" i="16" s="1"/>
  <c r="AN16" i="16" s="1"/>
  <c r="AG170" i="19"/>
  <c r="AF171" i="19" s="1"/>
  <c r="Z171" i="19"/>
  <c r="Y171" i="19"/>
  <c r="AC171" i="19" s="1"/>
  <c r="X172" i="19" s="1"/>
  <c r="T190" i="15"/>
  <c r="S191" i="15" s="1"/>
  <c r="T180" i="19"/>
  <c r="S180" i="19"/>
  <c r="W180" i="19" s="1"/>
  <c r="R181" i="19" s="1"/>
  <c r="AE179" i="19"/>
  <c r="AD180" i="19" s="1"/>
  <c r="AT179" i="19"/>
  <c r="L190" i="15"/>
  <c r="I191" i="15" s="1"/>
  <c r="J191" i="15" s="1"/>
  <c r="P190" i="17"/>
  <c r="M189" i="17"/>
  <c r="Q189" i="17" s="1"/>
  <c r="L190" i="17" s="1"/>
  <c r="N189" i="17"/>
  <c r="R190" i="15"/>
  <c r="Q191" i="15" s="1"/>
  <c r="AT191" i="15" s="1"/>
  <c r="AT187" i="17"/>
  <c r="AE187" i="17"/>
  <c r="AD188" i="17" s="1"/>
  <c r="S188" i="17"/>
  <c r="W188" i="17" s="1"/>
  <c r="R189" i="17" s="1"/>
  <c r="T188" i="17"/>
  <c r="M189" i="19"/>
  <c r="Q189" i="19" s="1"/>
  <c r="L190" i="19" s="1"/>
  <c r="P190" i="19"/>
  <c r="N189" i="19"/>
  <c r="F124" i="18"/>
  <c r="AI123" i="18"/>
  <c r="AJ123" i="18" s="1"/>
  <c r="AK123" i="18" s="1"/>
  <c r="AL123" i="18"/>
  <c r="AM123" i="18" s="1"/>
  <c r="AN123" i="18" s="1"/>
  <c r="P201" i="18"/>
  <c r="M202" i="18" s="1"/>
  <c r="N202" i="18" s="1"/>
  <c r="AG22" i="16" l="1"/>
  <c r="AF23" i="16" s="1"/>
  <c r="AG23" i="16" s="1"/>
  <c r="AF24" i="16" s="1"/>
  <c r="S23" i="16"/>
  <c r="W23" i="16" s="1"/>
  <c r="R24" i="16" s="1"/>
  <c r="T24" i="16" s="1"/>
  <c r="Z23" i="16"/>
  <c r="AE22" i="16"/>
  <c r="AD23" i="16" s="1"/>
  <c r="AT23" i="16" s="1"/>
  <c r="AT223" i="25"/>
  <c r="AE223" i="25"/>
  <c r="AD224" i="25" s="1"/>
  <c r="S224" i="25"/>
  <c r="W224" i="25" s="1"/>
  <c r="R225" i="25" s="1"/>
  <c r="T224" i="25"/>
  <c r="G20" i="16"/>
  <c r="J21" i="16"/>
  <c r="H20" i="16"/>
  <c r="AU104" i="29"/>
  <c r="AS104" i="29"/>
  <c r="AK104" i="29"/>
  <c r="AT140" i="29"/>
  <c r="O105" i="29"/>
  <c r="M105" i="29"/>
  <c r="P106" i="29"/>
  <c r="N105" i="29"/>
  <c r="AQ104" i="29"/>
  <c r="L135" i="24"/>
  <c r="I136" i="24" s="1"/>
  <c r="Y154" i="25"/>
  <c r="AG154" i="25" s="1"/>
  <c r="AF155" i="25" s="1"/>
  <c r="Z154" i="25"/>
  <c r="R135" i="24"/>
  <c r="Q136" i="24" s="1"/>
  <c r="AT136" i="24" s="1"/>
  <c r="O150" i="24"/>
  <c r="N150" i="24"/>
  <c r="Z139" i="29"/>
  <c r="Y139" i="29"/>
  <c r="AG139" i="29" s="1"/>
  <c r="AF140" i="29" s="1"/>
  <c r="H105" i="29"/>
  <c r="J106" i="29"/>
  <c r="AW97" i="26"/>
  <c r="AX97" i="26" s="1"/>
  <c r="AY97" i="26" s="1"/>
  <c r="G105" i="29"/>
  <c r="P201" i="26"/>
  <c r="M202" i="26" s="1"/>
  <c r="N202" i="26" s="1"/>
  <c r="P202" i="26" s="1"/>
  <c r="M203" i="26" s="1"/>
  <c r="N203" i="26" s="1"/>
  <c r="P203" i="26" s="1"/>
  <c r="M204" i="26" s="1"/>
  <c r="T201" i="26"/>
  <c r="S202" i="26" s="1"/>
  <c r="H98" i="26"/>
  <c r="AT202" i="26"/>
  <c r="Z146" i="28"/>
  <c r="Y146" i="28"/>
  <c r="T219" i="28"/>
  <c r="S219" i="28"/>
  <c r="W219" i="28" s="1"/>
  <c r="R220" i="28" s="1"/>
  <c r="V220" i="28" s="1"/>
  <c r="AQ101" i="28"/>
  <c r="AS101" i="28"/>
  <c r="AU101" i="28"/>
  <c r="AJ101" i="28"/>
  <c r="AK101" i="28" s="1"/>
  <c r="AE218" i="28"/>
  <c r="AD219" i="28" s="1"/>
  <c r="AT219" i="28" s="1"/>
  <c r="F102" i="28"/>
  <c r="I102" i="28" s="1"/>
  <c r="Q102" i="28" s="1"/>
  <c r="L103" i="28" s="1"/>
  <c r="AW122" i="25"/>
  <c r="AX122" i="25" s="1"/>
  <c r="AY122" i="25" s="1"/>
  <c r="F128" i="25"/>
  <c r="AI123" i="25"/>
  <c r="AQ123" i="25"/>
  <c r="AS123" i="25"/>
  <c r="AU123" i="25"/>
  <c r="L124" i="25"/>
  <c r="F93" i="24"/>
  <c r="AI92" i="24"/>
  <c r="AJ92" i="24" s="1"/>
  <c r="AL92" i="24"/>
  <c r="AM92" i="24" s="1"/>
  <c r="F93" i="15"/>
  <c r="AL92" i="15"/>
  <c r="AM92" i="15" s="1"/>
  <c r="AN92" i="15" s="1"/>
  <c r="AI92" i="15"/>
  <c r="AJ92" i="15" s="1"/>
  <c r="AK92" i="15" s="1"/>
  <c r="P222" i="15"/>
  <c r="M223" i="15" s="1"/>
  <c r="N223" i="15" s="1"/>
  <c r="AW75" i="19"/>
  <c r="AX75" i="19" s="1"/>
  <c r="AY75" i="19" s="1"/>
  <c r="J77" i="19"/>
  <c r="AP76" i="19"/>
  <c r="G76" i="19"/>
  <c r="K76" i="19" s="1"/>
  <c r="AS76" i="19" s="1"/>
  <c r="AW87" i="17"/>
  <c r="AX87" i="17" s="1"/>
  <c r="AY87" i="17" s="1"/>
  <c r="AS15" i="16"/>
  <c r="J89" i="17"/>
  <c r="H88" i="17"/>
  <c r="AO88" i="17" s="1"/>
  <c r="Y162" i="17"/>
  <c r="Z162" i="17"/>
  <c r="F89" i="17"/>
  <c r="AU88" i="17"/>
  <c r="AS88" i="17"/>
  <c r="AI88" i="17"/>
  <c r="AJ88" i="17" s="1"/>
  <c r="AK88" i="17" s="1"/>
  <c r="AQ15" i="16"/>
  <c r="N16" i="16"/>
  <c r="AL88" i="17"/>
  <c r="AM88" i="17" s="1"/>
  <c r="AN88" i="17" s="1"/>
  <c r="Q16" i="16"/>
  <c r="AU16" i="16" s="1"/>
  <c r="AU15" i="16"/>
  <c r="T191" i="15"/>
  <c r="S192" i="15" s="1"/>
  <c r="P17" i="16"/>
  <c r="AI15" i="16"/>
  <c r="AJ15" i="16" s="1"/>
  <c r="AK15" i="16" s="1"/>
  <c r="AQ88" i="17"/>
  <c r="AG171" i="19"/>
  <c r="AF172" i="19" s="1"/>
  <c r="Z24" i="16"/>
  <c r="Y24" i="16"/>
  <c r="AC24" i="16" s="1"/>
  <c r="X25" i="16" s="1"/>
  <c r="Z172" i="19"/>
  <c r="Y172" i="19"/>
  <c r="AE180" i="19"/>
  <c r="AD181" i="19" s="1"/>
  <c r="AT180" i="19"/>
  <c r="S181" i="19"/>
  <c r="W181" i="19" s="1"/>
  <c r="R182" i="19" s="1"/>
  <c r="T181" i="19"/>
  <c r="L191" i="15"/>
  <c r="I192" i="15" s="1"/>
  <c r="J192" i="15" s="1"/>
  <c r="P191" i="19"/>
  <c r="N190" i="19"/>
  <c r="M190" i="19"/>
  <c r="Q190" i="19" s="1"/>
  <c r="L191" i="19" s="1"/>
  <c r="T189" i="17"/>
  <c r="S189" i="17"/>
  <c r="W189" i="17" s="1"/>
  <c r="R190" i="17" s="1"/>
  <c r="R191" i="15"/>
  <c r="Q192" i="15" s="1"/>
  <c r="AT192" i="15" s="1"/>
  <c r="AT188" i="17"/>
  <c r="AE188" i="17"/>
  <c r="AD189" i="17" s="1"/>
  <c r="N190" i="17"/>
  <c r="P191" i="17"/>
  <c r="M190" i="17"/>
  <c r="Q190" i="17" s="1"/>
  <c r="L191" i="17" s="1"/>
  <c r="AW123" i="18"/>
  <c r="AX123" i="18" s="1"/>
  <c r="AY123" i="18" s="1"/>
  <c r="G124" i="18"/>
  <c r="AR124" i="18" s="1"/>
  <c r="P202" i="18"/>
  <c r="M203" i="18" s="1"/>
  <c r="N203" i="18" s="1"/>
  <c r="S24" i="16" l="1"/>
  <c r="W24" i="16" s="1"/>
  <c r="R25" i="16" s="1"/>
  <c r="S25" i="16" s="1"/>
  <c r="W25" i="16" s="1"/>
  <c r="R26" i="16" s="1"/>
  <c r="AE23" i="16"/>
  <c r="AD24" i="16" s="1"/>
  <c r="AT224" i="25"/>
  <c r="AE224" i="25"/>
  <c r="AD225" i="25" s="1"/>
  <c r="T225" i="25"/>
  <c r="S225" i="25"/>
  <c r="W225" i="25" s="1"/>
  <c r="R226" i="25" s="1"/>
  <c r="K20" i="16"/>
  <c r="F21" i="16" s="1"/>
  <c r="J22" i="16" s="1"/>
  <c r="AR20" i="16"/>
  <c r="I20" i="16"/>
  <c r="Q105" i="29"/>
  <c r="L106" i="29" s="1"/>
  <c r="N106" i="29" s="1"/>
  <c r="AP105" i="29"/>
  <c r="AW104" i="29"/>
  <c r="AX104" i="29" s="1"/>
  <c r="AY104" i="29" s="1"/>
  <c r="O103" i="28"/>
  <c r="N103" i="28"/>
  <c r="P104" i="28"/>
  <c r="M103" i="28"/>
  <c r="O106" i="29"/>
  <c r="AI105" i="29"/>
  <c r="AJ105" i="29" s="1"/>
  <c r="AK105" i="29" s="1"/>
  <c r="AC154" i="25"/>
  <c r="X155" i="25" s="1"/>
  <c r="Y155" i="25" s="1"/>
  <c r="AG155" i="25" s="1"/>
  <c r="AF156" i="25" s="1"/>
  <c r="P150" i="24"/>
  <c r="M151" i="24" s="1"/>
  <c r="K136" i="24"/>
  <c r="J136" i="24"/>
  <c r="AC139" i="29"/>
  <c r="X140" i="29" s="1"/>
  <c r="AA140" i="29" s="1"/>
  <c r="AE140" i="29" s="1"/>
  <c r="AD141" i="29" s="1"/>
  <c r="AL105" i="29"/>
  <c r="AM105" i="29" s="1"/>
  <c r="AO105" i="29"/>
  <c r="T202" i="26"/>
  <c r="S203" i="26" s="1"/>
  <c r="T203" i="26" s="1"/>
  <c r="S204" i="26" s="1"/>
  <c r="R202" i="26"/>
  <c r="Q203" i="26" s="1"/>
  <c r="R203" i="26" s="1"/>
  <c r="Q204" i="26" s="1"/>
  <c r="N204" i="26"/>
  <c r="P204" i="26" s="1"/>
  <c r="M205" i="26" s="1"/>
  <c r="F99" i="26"/>
  <c r="AI98" i="26"/>
  <c r="AL98" i="26"/>
  <c r="T220" i="28"/>
  <c r="S220" i="28"/>
  <c r="W220" i="28" s="1"/>
  <c r="R221" i="28" s="1"/>
  <c r="V221" i="28" s="1"/>
  <c r="J103" i="28"/>
  <c r="H102" i="28"/>
  <c r="AP102" i="28" s="1"/>
  <c r="G102" i="28"/>
  <c r="AL102" i="28" s="1"/>
  <c r="AC146" i="28"/>
  <c r="X147" i="28" s="1"/>
  <c r="AB147" i="28" s="1"/>
  <c r="AG146" i="28"/>
  <c r="AF147" i="28" s="1"/>
  <c r="AE219" i="28"/>
  <c r="AD220" i="28" s="1"/>
  <c r="AT220" i="28" s="1"/>
  <c r="G128" i="25"/>
  <c r="K128" i="25" s="1"/>
  <c r="J129" i="25"/>
  <c r="H128" i="25"/>
  <c r="P125" i="25"/>
  <c r="N124" i="25"/>
  <c r="AP124" i="25" s="1"/>
  <c r="AJ123" i="25"/>
  <c r="AK123" i="25" s="1"/>
  <c r="AW123" i="25" s="1"/>
  <c r="AX123" i="25" s="1"/>
  <c r="AY123" i="25" s="1"/>
  <c r="AK92" i="24"/>
  <c r="AN92" i="24"/>
  <c r="G93" i="24"/>
  <c r="AR93" i="24" s="1"/>
  <c r="G93" i="15"/>
  <c r="AR93" i="15" s="1"/>
  <c r="AW92" i="15"/>
  <c r="AX92" i="15" s="1"/>
  <c r="AY92" i="15" s="1"/>
  <c r="P223" i="15"/>
  <c r="M224" i="15" s="1"/>
  <c r="N224" i="15" s="1"/>
  <c r="K105" i="29"/>
  <c r="AW101" i="28"/>
  <c r="AX101" i="28" s="1"/>
  <c r="AY101" i="28" s="1"/>
  <c r="M124" i="25"/>
  <c r="AL124" i="25" s="1"/>
  <c r="F77" i="19"/>
  <c r="G77" i="19" s="1"/>
  <c r="K77" i="19" s="1"/>
  <c r="F78" i="19" s="1"/>
  <c r="G78" i="19" s="1"/>
  <c r="AQ76" i="19"/>
  <c r="AL76" i="19"/>
  <c r="AM76" i="19" s="1"/>
  <c r="AN76" i="19" s="1"/>
  <c r="AI76" i="19"/>
  <c r="AJ76" i="19" s="1"/>
  <c r="AK76" i="19" s="1"/>
  <c r="AU76" i="19"/>
  <c r="AW15" i="16"/>
  <c r="T192" i="15"/>
  <c r="S193" i="15" s="1"/>
  <c r="AP88" i="17"/>
  <c r="AW88" i="17" s="1"/>
  <c r="AX88" i="17" s="1"/>
  <c r="AY88" i="17" s="1"/>
  <c r="AI16" i="16"/>
  <c r="AJ16" i="16" s="1"/>
  <c r="AK16" i="16" s="1"/>
  <c r="AG162" i="17"/>
  <c r="AF163" i="17" s="1"/>
  <c r="AC162" i="17"/>
  <c r="X163" i="17" s="1"/>
  <c r="AG24" i="16"/>
  <c r="AF25" i="16" s="1"/>
  <c r="AO16" i="16"/>
  <c r="AP16" i="16"/>
  <c r="AS16" i="16"/>
  <c r="L17" i="16"/>
  <c r="M17" i="16" s="1"/>
  <c r="Q17" i="16" s="1"/>
  <c r="L18" i="16" s="1"/>
  <c r="AQ16" i="16"/>
  <c r="G89" i="17"/>
  <c r="AL89" i="17" s="1"/>
  <c r="AM89" i="17" s="1"/>
  <c r="AN89" i="17" s="1"/>
  <c r="H89" i="17"/>
  <c r="J90" i="17"/>
  <c r="AG172" i="19"/>
  <c r="AF173" i="19" s="1"/>
  <c r="Z25" i="16"/>
  <c r="Y25" i="16"/>
  <c r="AC172" i="19"/>
  <c r="X173" i="19" s="1"/>
  <c r="T182" i="19"/>
  <c r="S182" i="19"/>
  <c r="W182" i="19" s="1"/>
  <c r="R183" i="19" s="1"/>
  <c r="AT181" i="19"/>
  <c r="AE181" i="19"/>
  <c r="AD182" i="19" s="1"/>
  <c r="L192" i="15"/>
  <c r="I193" i="15" s="1"/>
  <c r="J193" i="15" s="1"/>
  <c r="AT189" i="17"/>
  <c r="AE189" i="17"/>
  <c r="AD190" i="17" s="1"/>
  <c r="P192" i="17"/>
  <c r="N191" i="17"/>
  <c r="M191" i="17"/>
  <c r="Q191" i="17" s="1"/>
  <c r="L192" i="17" s="1"/>
  <c r="T190" i="17"/>
  <c r="S190" i="17"/>
  <c r="W190" i="17" s="1"/>
  <c r="R191" i="17" s="1"/>
  <c r="R192" i="15"/>
  <c r="Q193" i="15" s="1"/>
  <c r="AT193" i="15" s="1"/>
  <c r="N191" i="19"/>
  <c r="P192" i="19"/>
  <c r="M191" i="19"/>
  <c r="Q191" i="19" s="1"/>
  <c r="L192" i="19" s="1"/>
  <c r="H124" i="18"/>
  <c r="T202" i="18"/>
  <c r="R202" i="18"/>
  <c r="Q203" i="18" s="1"/>
  <c r="AT203" i="18" s="1"/>
  <c r="P203" i="18"/>
  <c r="M204" i="18" s="1"/>
  <c r="N204" i="18" s="1"/>
  <c r="T25" i="16" l="1"/>
  <c r="AE24" i="16"/>
  <c r="AD25" i="16" s="1"/>
  <c r="AE25" i="16" s="1"/>
  <c r="AD26" i="16" s="1"/>
  <c r="AT24" i="16"/>
  <c r="AT225" i="25"/>
  <c r="AE225" i="25"/>
  <c r="AD226" i="25" s="1"/>
  <c r="S226" i="25"/>
  <c r="W226" i="25" s="1"/>
  <c r="R227" i="25" s="1"/>
  <c r="T226" i="25"/>
  <c r="H21" i="16"/>
  <c r="G21" i="16"/>
  <c r="K21" i="16" s="1"/>
  <c r="F22" i="16" s="1"/>
  <c r="G22" i="16" s="1"/>
  <c r="K22" i="16" s="1"/>
  <c r="F23" i="16" s="1"/>
  <c r="P107" i="29"/>
  <c r="M106" i="29"/>
  <c r="AT141" i="29"/>
  <c r="L136" i="24"/>
  <c r="I137" i="24" s="1"/>
  <c r="Z155" i="25"/>
  <c r="O151" i="24"/>
  <c r="N151" i="24"/>
  <c r="R136" i="24"/>
  <c r="Q137" i="24" s="1"/>
  <c r="AT137" i="24" s="1"/>
  <c r="T136" i="24"/>
  <c r="S137" i="24" s="1"/>
  <c r="AC155" i="25"/>
  <c r="X156" i="25" s="1"/>
  <c r="Z140" i="29"/>
  <c r="Y140" i="29"/>
  <c r="AG140" i="29" s="1"/>
  <c r="AF141" i="29" s="1"/>
  <c r="AN105" i="29"/>
  <c r="F106" i="29"/>
  <c r="I106" i="29" s="1"/>
  <c r="AR106" i="29" s="1"/>
  <c r="AS105" i="29"/>
  <c r="AQ105" i="29"/>
  <c r="AU105" i="29"/>
  <c r="AT203" i="26"/>
  <c r="N205" i="26"/>
  <c r="P205" i="26" s="1"/>
  <c r="M206" i="26" s="1"/>
  <c r="AT204" i="26"/>
  <c r="R204" i="26"/>
  <c r="Q205" i="26" s="1"/>
  <c r="G99" i="26"/>
  <c r="AR99" i="26" s="1"/>
  <c r="AM98" i="26"/>
  <c r="AN98" i="26" s="1"/>
  <c r="AJ98" i="26"/>
  <c r="AK98" i="26" s="1"/>
  <c r="T204" i="26"/>
  <c r="S205" i="26" s="1"/>
  <c r="AW92" i="24"/>
  <c r="AX92" i="24" s="1"/>
  <c r="AY92" i="24" s="1"/>
  <c r="T221" i="28"/>
  <c r="S221" i="28"/>
  <c r="W221" i="28" s="1"/>
  <c r="R222" i="28" s="1"/>
  <c r="V222" i="28" s="1"/>
  <c r="AO102" i="28"/>
  <c r="AI102" i="28"/>
  <c r="AJ102" i="28" s="1"/>
  <c r="Z147" i="28"/>
  <c r="Y147" i="28"/>
  <c r="AC147" i="28" s="1"/>
  <c r="X148" i="28" s="1"/>
  <c r="AB148" i="28" s="1"/>
  <c r="AE220" i="28"/>
  <c r="AD221" i="28" s="1"/>
  <c r="AT221" i="28" s="1"/>
  <c r="F129" i="25"/>
  <c r="AO124" i="25"/>
  <c r="AM124" i="25"/>
  <c r="AN124" i="25" s="1"/>
  <c r="H93" i="24"/>
  <c r="H93" i="15"/>
  <c r="P224" i="15"/>
  <c r="M225" i="15" s="1"/>
  <c r="N225" i="15" s="1"/>
  <c r="K102" i="28"/>
  <c r="Q124" i="25"/>
  <c r="AI77" i="19"/>
  <c r="AJ77" i="19" s="1"/>
  <c r="AK77" i="19" s="1"/>
  <c r="H78" i="19"/>
  <c r="AL77" i="19"/>
  <c r="AM77" i="19" s="1"/>
  <c r="AN77" i="19" s="1"/>
  <c r="AU77" i="19"/>
  <c r="J78" i="19"/>
  <c r="J79" i="19"/>
  <c r="AQ77" i="19"/>
  <c r="AS77" i="19"/>
  <c r="H77" i="19"/>
  <c r="AP77" i="19" s="1"/>
  <c r="AW76" i="19"/>
  <c r="AX76" i="19" s="1"/>
  <c r="AY76" i="19" s="1"/>
  <c r="T193" i="15"/>
  <c r="S194" i="15" s="1"/>
  <c r="AW16" i="16"/>
  <c r="AI78" i="19"/>
  <c r="AJ78" i="19" s="1"/>
  <c r="AK78" i="19" s="1"/>
  <c r="AL78" i="19"/>
  <c r="AM78" i="19" s="1"/>
  <c r="AN78" i="19" s="1"/>
  <c r="K78" i="19"/>
  <c r="Z163" i="17"/>
  <c r="Y163" i="17"/>
  <c r="AG163" i="17" s="1"/>
  <c r="AF164" i="17" s="1"/>
  <c r="P18" i="16"/>
  <c r="AO89" i="17"/>
  <c r="AP89" i="17"/>
  <c r="N17" i="16"/>
  <c r="AO17" i="16" s="1"/>
  <c r="AI89" i="17"/>
  <c r="AJ89" i="17" s="1"/>
  <c r="AK89" i="17" s="1"/>
  <c r="K89" i="17"/>
  <c r="AC25" i="16"/>
  <c r="X26" i="16" s="1"/>
  <c r="AG25" i="16"/>
  <c r="AF26" i="16" s="1"/>
  <c r="Y173" i="19"/>
  <c r="AG173" i="19" s="1"/>
  <c r="AF174" i="19" s="1"/>
  <c r="Z173" i="19"/>
  <c r="AS17" i="16"/>
  <c r="AQ17" i="16"/>
  <c r="AL17" i="16"/>
  <c r="AM17" i="16" s="1"/>
  <c r="AN17" i="16" s="1"/>
  <c r="AI17" i="16"/>
  <c r="AJ17" i="16" s="1"/>
  <c r="AK17" i="16" s="1"/>
  <c r="AT182" i="19"/>
  <c r="AE182" i="19"/>
  <c r="AD183" i="19" s="1"/>
  <c r="T183" i="19"/>
  <c r="S183" i="19"/>
  <c r="W183" i="19" s="1"/>
  <c r="R184" i="19" s="1"/>
  <c r="L193" i="15"/>
  <c r="I194" i="15" s="1"/>
  <c r="J194" i="15" s="1"/>
  <c r="AU17" i="16"/>
  <c r="S26" i="16"/>
  <c r="W26" i="16" s="1"/>
  <c r="R27" i="16" s="1"/>
  <c r="T26" i="16"/>
  <c r="N18" i="16"/>
  <c r="P19" i="16"/>
  <c r="M18" i="16"/>
  <c r="AL18" i="16" s="1"/>
  <c r="M192" i="19"/>
  <c r="Q192" i="19" s="1"/>
  <c r="L193" i="19" s="1"/>
  <c r="N192" i="19"/>
  <c r="P193" i="19"/>
  <c r="R193" i="15"/>
  <c r="Q194" i="15" s="1"/>
  <c r="AT194" i="15" s="1"/>
  <c r="T191" i="17"/>
  <c r="S191" i="17"/>
  <c r="W191" i="17" s="1"/>
  <c r="R192" i="17" s="1"/>
  <c r="M192" i="17"/>
  <c r="Q192" i="17" s="1"/>
  <c r="L193" i="17" s="1"/>
  <c r="N192" i="17"/>
  <c r="P193" i="17"/>
  <c r="AT190" i="17"/>
  <c r="AE190" i="17"/>
  <c r="AD191" i="17" s="1"/>
  <c r="F125" i="18"/>
  <c r="AI124" i="18"/>
  <c r="AJ124" i="18" s="1"/>
  <c r="AK124" i="18" s="1"/>
  <c r="AL124" i="18"/>
  <c r="AM124" i="18" s="1"/>
  <c r="AN124" i="18" s="1"/>
  <c r="S203" i="18"/>
  <c r="T203" i="18" s="1"/>
  <c r="S204" i="18" s="1"/>
  <c r="T204" i="18" s="1"/>
  <c r="S205" i="18" s="1"/>
  <c r="P204" i="18"/>
  <c r="M205" i="18" s="1"/>
  <c r="N205" i="18" s="1"/>
  <c r="R203" i="18"/>
  <c r="Q204" i="18" s="1"/>
  <c r="AT204" i="18" s="1"/>
  <c r="AT25" i="16" l="1"/>
  <c r="AT226" i="25"/>
  <c r="AE226" i="25"/>
  <c r="AD227" i="25" s="1"/>
  <c r="T227" i="25"/>
  <c r="S227" i="25"/>
  <c r="W227" i="25" s="1"/>
  <c r="R228" i="25" s="1"/>
  <c r="J23" i="16"/>
  <c r="H22" i="16"/>
  <c r="J24" i="16"/>
  <c r="H23" i="16"/>
  <c r="G23" i="16"/>
  <c r="K23" i="16" s="1"/>
  <c r="F24" i="16" s="1"/>
  <c r="Q106" i="29"/>
  <c r="L107" i="29" s="1"/>
  <c r="M107" i="29" s="1"/>
  <c r="P151" i="24"/>
  <c r="M152" i="24" s="1"/>
  <c r="Z156" i="25"/>
  <c r="Y156" i="25"/>
  <c r="AG156" i="25" s="1"/>
  <c r="AF157" i="25" s="1"/>
  <c r="K137" i="24"/>
  <c r="T137" i="24" s="1"/>
  <c r="S138" i="24" s="1"/>
  <c r="J137" i="24"/>
  <c r="AC140" i="29"/>
  <c r="X141" i="29" s="1"/>
  <c r="AA141" i="29" s="1"/>
  <c r="AE141" i="29" s="1"/>
  <c r="AD142" i="29" s="1"/>
  <c r="J107" i="29"/>
  <c r="H106" i="29"/>
  <c r="AP106" i="29" s="1"/>
  <c r="G106" i="29"/>
  <c r="AI106" i="29" s="1"/>
  <c r="AW98" i="26"/>
  <c r="AX98" i="26" s="1"/>
  <c r="AY98" i="26" s="1"/>
  <c r="N206" i="26"/>
  <c r="P206" i="26" s="1"/>
  <c r="M207" i="26" s="1"/>
  <c r="H99" i="26"/>
  <c r="AT205" i="26"/>
  <c r="R205" i="26"/>
  <c r="Q206" i="26" s="1"/>
  <c r="T205" i="26"/>
  <c r="S206" i="26" s="1"/>
  <c r="Z148" i="28"/>
  <c r="Y148" i="28"/>
  <c r="AC148" i="28" s="1"/>
  <c r="X149" i="28" s="1"/>
  <c r="AB149" i="28" s="1"/>
  <c r="T222" i="28"/>
  <c r="S222" i="28"/>
  <c r="W222" i="28" s="1"/>
  <c r="R223" i="28" s="1"/>
  <c r="V223" i="28" s="1"/>
  <c r="AK102" i="28"/>
  <c r="AS102" i="28"/>
  <c r="AU102" i="28"/>
  <c r="AQ102" i="28"/>
  <c r="AE221" i="28"/>
  <c r="AD222" i="28" s="1"/>
  <c r="AT222" i="28" s="1"/>
  <c r="AG147" i="28"/>
  <c r="AF148" i="28" s="1"/>
  <c r="AM102" i="28"/>
  <c r="AN102" i="28" s="1"/>
  <c r="F103" i="28"/>
  <c r="I103" i="28" s="1"/>
  <c r="Q103" i="28" s="1"/>
  <c r="L104" i="28" s="1"/>
  <c r="AI124" i="25"/>
  <c r="AQ124" i="25"/>
  <c r="AS124" i="25"/>
  <c r="AU124" i="25"/>
  <c r="G129" i="25"/>
  <c r="K129" i="25" s="1"/>
  <c r="H129" i="25"/>
  <c r="J130" i="25"/>
  <c r="L125" i="25"/>
  <c r="F94" i="24"/>
  <c r="AL93" i="24"/>
  <c r="AM93" i="24" s="1"/>
  <c r="AI93" i="24"/>
  <c r="AJ93" i="24" s="1"/>
  <c r="F94" i="15"/>
  <c r="AI93" i="15"/>
  <c r="AJ93" i="15" s="1"/>
  <c r="AK93" i="15" s="1"/>
  <c r="AL93" i="15"/>
  <c r="AM93" i="15" s="1"/>
  <c r="AN93" i="15" s="1"/>
  <c r="P225" i="15"/>
  <c r="M226" i="15" s="1"/>
  <c r="N226" i="15" s="1"/>
  <c r="AW105" i="29"/>
  <c r="AX105" i="29" s="1"/>
  <c r="AY105" i="29" s="1"/>
  <c r="AO78" i="19"/>
  <c r="AP78" i="19"/>
  <c r="AO77" i="19"/>
  <c r="AW77" i="19" s="1"/>
  <c r="AX77" i="19" s="1"/>
  <c r="AY77" i="19" s="1"/>
  <c r="T194" i="15"/>
  <c r="S195" i="15" s="1"/>
  <c r="AQ78" i="19"/>
  <c r="F79" i="19"/>
  <c r="AU78" i="19"/>
  <c r="AS78" i="19"/>
  <c r="AC163" i="17"/>
  <c r="X164" i="17" s="1"/>
  <c r="AP17" i="16"/>
  <c r="AW17" i="16" s="1"/>
  <c r="AQ89" i="17"/>
  <c r="AS89" i="17"/>
  <c r="F90" i="17"/>
  <c r="AU89" i="17"/>
  <c r="Z26" i="16"/>
  <c r="Y26" i="16"/>
  <c r="AC26" i="16" s="1"/>
  <c r="X27" i="16" s="1"/>
  <c r="AC173" i="19"/>
  <c r="X174" i="19" s="1"/>
  <c r="AE183" i="19"/>
  <c r="AD184" i="19" s="1"/>
  <c r="AT183" i="19"/>
  <c r="T184" i="19"/>
  <c r="S184" i="19"/>
  <c r="W184" i="19" s="1"/>
  <c r="R185" i="19" s="1"/>
  <c r="L194" i="15"/>
  <c r="I195" i="15" s="1"/>
  <c r="J195" i="15" s="1"/>
  <c r="AM18" i="16"/>
  <c r="AN18" i="16" s="1"/>
  <c r="Q18" i="16"/>
  <c r="AP18" i="16"/>
  <c r="AO18" i="16"/>
  <c r="AT26" i="16"/>
  <c r="AE26" i="16"/>
  <c r="AD27" i="16" s="1"/>
  <c r="S27" i="16"/>
  <c r="W27" i="16" s="1"/>
  <c r="R28" i="16" s="1"/>
  <c r="T27" i="16"/>
  <c r="AT191" i="17"/>
  <c r="AE191" i="17"/>
  <c r="AD192" i="17" s="1"/>
  <c r="T192" i="17"/>
  <c r="S192" i="17"/>
  <c r="W192" i="17" s="1"/>
  <c r="R193" i="17" s="1"/>
  <c r="R194" i="15"/>
  <c r="Q195" i="15" s="1"/>
  <c r="AT195" i="15" s="1"/>
  <c r="M193" i="19"/>
  <c r="Q193" i="19" s="1"/>
  <c r="L194" i="19" s="1"/>
  <c r="P194" i="19"/>
  <c r="N193" i="19"/>
  <c r="M193" i="17"/>
  <c r="Q193" i="17" s="1"/>
  <c r="L194" i="17" s="1"/>
  <c r="N193" i="17"/>
  <c r="P194" i="17"/>
  <c r="G125" i="18"/>
  <c r="AR125" i="18" s="1"/>
  <c r="AW124" i="18"/>
  <c r="AX124" i="18" s="1"/>
  <c r="AY124" i="18" s="1"/>
  <c r="P205" i="18"/>
  <c r="M206" i="18" s="1"/>
  <c r="N206" i="18" s="1"/>
  <c r="T205" i="18"/>
  <c r="S206" i="18" s="1"/>
  <c r="R204" i="18"/>
  <c r="Q205" i="18" s="1"/>
  <c r="AT205" i="18" s="1"/>
  <c r="AT227" i="25" l="1"/>
  <c r="AE227" i="25"/>
  <c r="AD228" i="25" s="1"/>
  <c r="T228" i="25"/>
  <c r="S228" i="25"/>
  <c r="W228" i="25" s="1"/>
  <c r="R229" i="25" s="1"/>
  <c r="J25" i="16"/>
  <c r="H24" i="16"/>
  <c r="G24" i="16"/>
  <c r="K24" i="16" s="1"/>
  <c r="F25" i="16" s="1"/>
  <c r="O107" i="29"/>
  <c r="N107" i="29"/>
  <c r="P108" i="29"/>
  <c r="O104" i="28"/>
  <c r="N104" i="28"/>
  <c r="P105" i="28"/>
  <c r="M104" i="28"/>
  <c r="AT142" i="29"/>
  <c r="L137" i="24"/>
  <c r="I138" i="24" s="1"/>
  <c r="AC156" i="25"/>
  <c r="X157" i="25" s="1"/>
  <c r="R137" i="24"/>
  <c r="Q138" i="24" s="1"/>
  <c r="AT138" i="24" s="1"/>
  <c r="O152" i="24"/>
  <c r="N152" i="24"/>
  <c r="Y141" i="29"/>
  <c r="AG141" i="29" s="1"/>
  <c r="AF142" i="29" s="1"/>
  <c r="Z141" i="29"/>
  <c r="AL106" i="29"/>
  <c r="AM106" i="29" s="1"/>
  <c r="AJ106" i="29"/>
  <c r="AK106" i="29" s="1"/>
  <c r="AO106" i="29"/>
  <c r="N207" i="26"/>
  <c r="P207" i="26" s="1"/>
  <c r="M208" i="26" s="1"/>
  <c r="T206" i="26"/>
  <c r="S207" i="26" s="1"/>
  <c r="F100" i="26"/>
  <c r="AI99" i="26"/>
  <c r="AL99" i="26"/>
  <c r="AT206" i="26"/>
  <c r="R206" i="26"/>
  <c r="Q207" i="26" s="1"/>
  <c r="Z149" i="28"/>
  <c r="Y149" i="28"/>
  <c r="AC149" i="28" s="1"/>
  <c r="X150" i="28" s="1"/>
  <c r="AB150" i="28" s="1"/>
  <c r="T223" i="28"/>
  <c r="S223" i="28"/>
  <c r="W223" i="28" s="1"/>
  <c r="R224" i="28" s="1"/>
  <c r="V224" i="28" s="1"/>
  <c r="AG148" i="28"/>
  <c r="AF149" i="28" s="1"/>
  <c r="H103" i="28"/>
  <c r="AP103" i="28" s="1"/>
  <c r="J104" i="28"/>
  <c r="G103" i="28"/>
  <c r="AI103" i="28" s="1"/>
  <c r="AE222" i="28"/>
  <c r="AD223" i="28" s="1"/>
  <c r="AT223" i="28" s="1"/>
  <c r="F130" i="25"/>
  <c r="AJ124" i="25"/>
  <c r="AK124" i="25" s="1"/>
  <c r="AW124" i="25" s="1"/>
  <c r="AX124" i="25" s="1"/>
  <c r="AY124" i="25" s="1"/>
  <c r="P126" i="25"/>
  <c r="N125" i="25"/>
  <c r="AP125" i="25" s="1"/>
  <c r="M125" i="25"/>
  <c r="Q125" i="25" s="1"/>
  <c r="L126" i="25" s="1"/>
  <c r="AK93" i="24"/>
  <c r="AN93" i="24"/>
  <c r="AW93" i="15"/>
  <c r="AX93" i="15" s="1"/>
  <c r="AY93" i="15" s="1"/>
  <c r="G94" i="24"/>
  <c r="AR94" i="24" s="1"/>
  <c r="G94" i="15"/>
  <c r="AR94" i="15" s="1"/>
  <c r="P226" i="15"/>
  <c r="M227" i="15" s="1"/>
  <c r="N227" i="15" s="1"/>
  <c r="K106" i="29"/>
  <c r="AW102" i="28"/>
  <c r="AX102" i="28" s="1"/>
  <c r="AY102" i="28" s="1"/>
  <c r="AW78" i="19"/>
  <c r="AX78" i="19" s="1"/>
  <c r="AY78" i="19" s="1"/>
  <c r="AW89" i="17"/>
  <c r="AX89" i="17" s="1"/>
  <c r="AY89" i="17" s="1"/>
  <c r="T195" i="15"/>
  <c r="S196" i="15" s="1"/>
  <c r="H79" i="19"/>
  <c r="G79" i="19"/>
  <c r="AI79" i="19" s="1"/>
  <c r="AJ79" i="19" s="1"/>
  <c r="AK79" i="19" s="1"/>
  <c r="J80" i="19"/>
  <c r="Z164" i="17"/>
  <c r="Y164" i="17"/>
  <c r="AG164" i="17" s="1"/>
  <c r="AF165" i="17" s="1"/>
  <c r="H90" i="17"/>
  <c r="G90" i="17"/>
  <c r="AL90" i="17" s="1"/>
  <c r="AM90" i="17" s="1"/>
  <c r="AN90" i="17" s="1"/>
  <c r="J91" i="17"/>
  <c r="Z27" i="16"/>
  <c r="Y27" i="16"/>
  <c r="AC27" i="16" s="1"/>
  <c r="X28" i="16" s="1"/>
  <c r="AG26" i="16"/>
  <c r="AF27" i="16" s="1"/>
  <c r="Y174" i="19"/>
  <c r="Z174" i="19"/>
  <c r="L195" i="15"/>
  <c r="I196" i="15" s="1"/>
  <c r="J196" i="15" s="1"/>
  <c r="AT184" i="19"/>
  <c r="AE184" i="19"/>
  <c r="AD185" i="19" s="1"/>
  <c r="S185" i="19"/>
  <c r="W185" i="19" s="1"/>
  <c r="R186" i="19" s="1"/>
  <c r="T185" i="19"/>
  <c r="T28" i="16"/>
  <c r="S28" i="16"/>
  <c r="W28" i="16" s="1"/>
  <c r="R29" i="16" s="1"/>
  <c r="L19" i="16"/>
  <c r="AS18" i="16"/>
  <c r="AU18" i="16"/>
  <c r="AQ18" i="16"/>
  <c r="AI18" i="16"/>
  <c r="AE27" i="16"/>
  <c r="AD28" i="16" s="1"/>
  <c r="AT27" i="16"/>
  <c r="N194" i="17"/>
  <c r="M194" i="17"/>
  <c r="Q194" i="17" s="1"/>
  <c r="L195" i="17" s="1"/>
  <c r="P195" i="17"/>
  <c r="S193" i="17"/>
  <c r="W193" i="17" s="1"/>
  <c r="R194" i="17" s="1"/>
  <c r="T193" i="17"/>
  <c r="R195" i="15"/>
  <c r="Q196" i="15" s="1"/>
  <c r="AT196" i="15" s="1"/>
  <c r="P195" i="19"/>
  <c r="N194" i="19"/>
  <c r="M194" i="19"/>
  <c r="Q194" i="19" s="1"/>
  <c r="L195" i="19" s="1"/>
  <c r="AT192" i="17"/>
  <c r="AE192" i="17"/>
  <c r="AD193" i="17" s="1"/>
  <c r="H125" i="18"/>
  <c r="P206" i="18"/>
  <c r="M207" i="18" s="1"/>
  <c r="N207" i="18" s="1"/>
  <c r="T206" i="18"/>
  <c r="S207" i="18" s="1"/>
  <c r="R205" i="18"/>
  <c r="Q206" i="18" s="1"/>
  <c r="AT206" i="18" s="1"/>
  <c r="AT228" i="25" l="1"/>
  <c r="AE228" i="25"/>
  <c r="AD229" i="25" s="1"/>
  <c r="S229" i="25"/>
  <c r="W229" i="25" s="1"/>
  <c r="R230" i="25" s="1"/>
  <c r="T229" i="25"/>
  <c r="H25" i="16"/>
  <c r="G25" i="16"/>
  <c r="K25" i="16" s="1"/>
  <c r="F26" i="16" s="1"/>
  <c r="J26" i="16"/>
  <c r="P152" i="24"/>
  <c r="M153" i="24" s="1"/>
  <c r="Y157" i="25"/>
  <c r="AG157" i="25" s="1"/>
  <c r="AF158" i="25" s="1"/>
  <c r="Z157" i="25"/>
  <c r="K138" i="24"/>
  <c r="R138" i="24" s="1"/>
  <c r="Q139" i="24" s="1"/>
  <c r="J138" i="24"/>
  <c r="AC141" i="29"/>
  <c r="X142" i="29" s="1"/>
  <c r="AA142" i="29" s="1"/>
  <c r="AE142" i="29" s="1"/>
  <c r="AD143" i="29" s="1"/>
  <c r="AN106" i="29"/>
  <c r="F107" i="29"/>
  <c r="I107" i="29" s="1"/>
  <c r="AU106" i="29"/>
  <c r="AS106" i="29"/>
  <c r="AQ106" i="29"/>
  <c r="T207" i="26"/>
  <c r="S208" i="26" s="1"/>
  <c r="N208" i="26"/>
  <c r="G100" i="26"/>
  <c r="AR100" i="26" s="1"/>
  <c r="AJ99" i="26"/>
  <c r="AK99" i="26" s="1"/>
  <c r="AT207" i="26"/>
  <c r="R207" i="26"/>
  <c r="Q208" i="26" s="1"/>
  <c r="AM99" i="26"/>
  <c r="AN99" i="26" s="1"/>
  <c r="T224" i="28"/>
  <c r="S224" i="28"/>
  <c r="W224" i="28" s="1"/>
  <c r="R225" i="28" s="1"/>
  <c r="V225" i="28" s="1"/>
  <c r="Z150" i="28"/>
  <c r="Y150" i="28"/>
  <c r="AC150" i="28" s="1"/>
  <c r="X151" i="28" s="1"/>
  <c r="AB151" i="28" s="1"/>
  <c r="AO103" i="28"/>
  <c r="AL103" i="28"/>
  <c r="AJ103" i="28"/>
  <c r="AK103" i="28" s="1"/>
  <c r="AE223" i="28"/>
  <c r="AD224" i="28" s="1"/>
  <c r="AT224" i="28" s="1"/>
  <c r="AG149" i="28"/>
  <c r="AF150" i="28" s="1"/>
  <c r="G130" i="25"/>
  <c r="K130" i="25" s="1"/>
  <c r="J131" i="25"/>
  <c r="H130" i="25"/>
  <c r="AO125" i="25"/>
  <c r="AQ125" i="25"/>
  <c r="AU125" i="25"/>
  <c r="M126" i="25"/>
  <c r="Q126" i="25" s="1"/>
  <c r="L127" i="25" s="1"/>
  <c r="AL125" i="25"/>
  <c r="AI125" i="25"/>
  <c r="AJ125" i="25" s="1"/>
  <c r="AK125" i="25" s="1"/>
  <c r="AS125" i="25"/>
  <c r="N126" i="25"/>
  <c r="AP126" i="25" s="1"/>
  <c r="P127" i="25"/>
  <c r="AW93" i="24"/>
  <c r="AX93" i="24" s="1"/>
  <c r="AY93" i="24" s="1"/>
  <c r="H94" i="24"/>
  <c r="H94" i="15"/>
  <c r="P227" i="15"/>
  <c r="M228" i="15" s="1"/>
  <c r="N228" i="15" s="1"/>
  <c r="K103" i="28"/>
  <c r="T196" i="15"/>
  <c r="S197" i="15" s="1"/>
  <c r="K79" i="19"/>
  <c r="AL79" i="19"/>
  <c r="AM79" i="19" s="1"/>
  <c r="AN79" i="19" s="1"/>
  <c r="AP79" i="19"/>
  <c r="AO79" i="19"/>
  <c r="AC164" i="17"/>
  <c r="X165" i="17" s="1"/>
  <c r="AO90" i="17"/>
  <c r="AP90" i="17"/>
  <c r="AI90" i="17"/>
  <c r="AJ90" i="17" s="1"/>
  <c r="AK90" i="17" s="1"/>
  <c r="K90" i="17"/>
  <c r="AG27" i="16"/>
  <c r="AF28" i="16" s="1"/>
  <c r="Y28" i="16"/>
  <c r="AC28" i="16" s="1"/>
  <c r="X29" i="16" s="1"/>
  <c r="Z28" i="16"/>
  <c r="AC174" i="19"/>
  <c r="X175" i="19" s="1"/>
  <c r="AG174" i="19"/>
  <c r="AF175" i="19" s="1"/>
  <c r="AE185" i="19"/>
  <c r="AD186" i="19" s="1"/>
  <c r="AT185" i="19"/>
  <c r="L196" i="15"/>
  <c r="I197" i="15" s="1"/>
  <c r="J197" i="15" s="1"/>
  <c r="T186" i="19"/>
  <c r="S186" i="19"/>
  <c r="W186" i="19" s="1"/>
  <c r="R187" i="19" s="1"/>
  <c r="P20" i="16"/>
  <c r="M19" i="16"/>
  <c r="AL19" i="16" s="1"/>
  <c r="N19" i="16"/>
  <c r="AE28" i="16"/>
  <c r="AD29" i="16" s="1"/>
  <c r="AT28" i="16"/>
  <c r="AJ18" i="16"/>
  <c r="AK18" i="16" s="1"/>
  <c r="AW18" i="16" s="1"/>
  <c r="AX18" i="16" s="1"/>
  <c r="AY18" i="16" s="1"/>
  <c r="T29" i="16"/>
  <c r="S29" i="16"/>
  <c r="W29" i="16" s="1"/>
  <c r="R30" i="16" s="1"/>
  <c r="M195" i="19"/>
  <c r="Q195" i="19" s="1"/>
  <c r="L196" i="19" s="1"/>
  <c r="N195" i="19"/>
  <c r="P196" i="19"/>
  <c r="T194" i="17"/>
  <c r="S194" i="17"/>
  <c r="W194" i="17" s="1"/>
  <c r="R195" i="17" s="1"/>
  <c r="AT193" i="17"/>
  <c r="AE193" i="17"/>
  <c r="AD194" i="17" s="1"/>
  <c r="R196" i="15"/>
  <c r="Q197" i="15" s="1"/>
  <c r="AT197" i="15" s="1"/>
  <c r="N195" i="17"/>
  <c r="P196" i="17"/>
  <c r="M195" i="17"/>
  <c r="Q195" i="17" s="1"/>
  <c r="L196" i="17" s="1"/>
  <c r="F126" i="18"/>
  <c r="AI125" i="18"/>
  <c r="AJ125" i="18" s="1"/>
  <c r="AK125" i="18" s="1"/>
  <c r="AL125" i="18"/>
  <c r="AM125" i="18" s="1"/>
  <c r="AN125" i="18" s="1"/>
  <c r="P207" i="18"/>
  <c r="M208" i="18" s="1"/>
  <c r="N208" i="18" s="1"/>
  <c r="T207" i="18"/>
  <c r="S208" i="18" s="1"/>
  <c r="R206" i="18"/>
  <c r="Q207" i="18" s="1"/>
  <c r="AT207" i="18" s="1"/>
  <c r="AT229" i="25" l="1"/>
  <c r="AE229" i="25"/>
  <c r="AD230" i="25" s="1"/>
  <c r="T230" i="25"/>
  <c r="S230" i="25"/>
  <c r="W230" i="25" s="1"/>
  <c r="R231" i="25" s="1"/>
  <c r="G26" i="16"/>
  <c r="K26" i="16" s="1"/>
  <c r="F27" i="16" s="1"/>
  <c r="J27" i="16"/>
  <c r="H26" i="16"/>
  <c r="AT143" i="29"/>
  <c r="AR107" i="29"/>
  <c r="Q107" i="29"/>
  <c r="L108" i="29" s="1"/>
  <c r="AC157" i="25"/>
  <c r="X158" i="25" s="1"/>
  <c r="Y158" i="25" s="1"/>
  <c r="AG158" i="25" s="1"/>
  <c r="AF159" i="25" s="1"/>
  <c r="L138" i="24"/>
  <c r="I139" i="24" s="1"/>
  <c r="O153" i="24"/>
  <c r="N153" i="24"/>
  <c r="T138" i="24"/>
  <c r="S139" i="24" s="1"/>
  <c r="Z142" i="29"/>
  <c r="Y142" i="29"/>
  <c r="AW99" i="26"/>
  <c r="AX99" i="26" s="1"/>
  <c r="AY99" i="26" s="1"/>
  <c r="H107" i="29"/>
  <c r="AP107" i="29" s="1"/>
  <c r="J108" i="29"/>
  <c r="T208" i="26"/>
  <c r="S209" i="26" s="1"/>
  <c r="G107" i="29"/>
  <c r="AI107" i="29" s="1"/>
  <c r="P208" i="26"/>
  <c r="M209" i="26" s="1"/>
  <c r="AT208" i="26"/>
  <c r="R208" i="26"/>
  <c r="Q209" i="26" s="1"/>
  <c r="H100" i="26"/>
  <c r="T225" i="28"/>
  <c r="S225" i="28"/>
  <c r="W225" i="28" s="1"/>
  <c r="R226" i="28" s="1"/>
  <c r="V226" i="28" s="1"/>
  <c r="Z151" i="28"/>
  <c r="Y151" i="28"/>
  <c r="AC151" i="28" s="1"/>
  <c r="X152" i="28" s="1"/>
  <c r="AB152" i="28" s="1"/>
  <c r="AQ103" i="28"/>
  <c r="AU103" i="28"/>
  <c r="AS103" i="28"/>
  <c r="AG150" i="28"/>
  <c r="AF151" i="28" s="1"/>
  <c r="F104" i="28"/>
  <c r="I104" i="28" s="1"/>
  <c r="Q104" i="28" s="1"/>
  <c r="L105" i="28" s="1"/>
  <c r="AE224" i="28"/>
  <c r="AD225" i="28" s="1"/>
  <c r="AT225" i="28" s="1"/>
  <c r="AM103" i="28"/>
  <c r="AN103" i="28" s="1"/>
  <c r="AM125" i="25"/>
  <c r="AN125" i="25" s="1"/>
  <c r="AW125" i="25" s="1"/>
  <c r="AX125" i="25" s="1"/>
  <c r="AY125" i="25" s="1"/>
  <c r="F131" i="25"/>
  <c r="M127" i="25"/>
  <c r="Q127" i="25" s="1"/>
  <c r="AU127" i="25" s="1"/>
  <c r="P128" i="25"/>
  <c r="AQ126" i="25"/>
  <c r="N127" i="25"/>
  <c r="AP127" i="25" s="1"/>
  <c r="AL126" i="25"/>
  <c r="AM126" i="25" s="1"/>
  <c r="AO126" i="25"/>
  <c r="AU126" i="25"/>
  <c r="AI126" i="25"/>
  <c r="AJ126" i="25" s="1"/>
  <c r="AK126" i="25" s="1"/>
  <c r="AS126" i="25"/>
  <c r="AT139" i="24"/>
  <c r="F95" i="24"/>
  <c r="AI94" i="24"/>
  <c r="AJ94" i="24" s="1"/>
  <c r="AL94" i="24"/>
  <c r="AM94" i="24" s="1"/>
  <c r="F95" i="15"/>
  <c r="AL94" i="15"/>
  <c r="AM94" i="15" s="1"/>
  <c r="AN94" i="15" s="1"/>
  <c r="AI94" i="15"/>
  <c r="AJ94" i="15" s="1"/>
  <c r="AK94" i="15" s="1"/>
  <c r="P228" i="15"/>
  <c r="M229" i="15" s="1"/>
  <c r="N229" i="15" s="1"/>
  <c r="AW106" i="29"/>
  <c r="AX106" i="29" s="1"/>
  <c r="AY106" i="29" s="1"/>
  <c r="AU79" i="19"/>
  <c r="AQ79" i="19"/>
  <c r="F80" i="19"/>
  <c r="AS79" i="19"/>
  <c r="Z165" i="17"/>
  <c r="Y165" i="17"/>
  <c r="AG165" i="17" s="1"/>
  <c r="AF166" i="17" s="1"/>
  <c r="AS90" i="17"/>
  <c r="AQ90" i="17"/>
  <c r="F91" i="17"/>
  <c r="AU90" i="17"/>
  <c r="Y29" i="16"/>
  <c r="AC29" i="16" s="1"/>
  <c r="X30" i="16" s="1"/>
  <c r="Z29" i="16"/>
  <c r="AG28" i="16"/>
  <c r="AF29" i="16" s="1"/>
  <c r="Z175" i="19"/>
  <c r="Y175" i="19"/>
  <c r="AC175" i="19" s="1"/>
  <c r="X176" i="19" s="1"/>
  <c r="Q19" i="16"/>
  <c r="L20" i="16" s="1"/>
  <c r="P21" i="16" s="1"/>
  <c r="T187" i="19"/>
  <c r="S187" i="19"/>
  <c r="W187" i="19" s="1"/>
  <c r="R188" i="19" s="1"/>
  <c r="AE186" i="19"/>
  <c r="AD187" i="19" s="1"/>
  <c r="AT186" i="19"/>
  <c r="L197" i="15"/>
  <c r="I198" i="15" s="1"/>
  <c r="J198" i="15" s="1"/>
  <c r="AO19" i="16"/>
  <c r="AP19" i="16"/>
  <c r="T197" i="15"/>
  <c r="S198" i="15" s="1"/>
  <c r="T30" i="16"/>
  <c r="S30" i="16"/>
  <c r="W30" i="16" s="1"/>
  <c r="R31" i="16" s="1"/>
  <c r="AM19" i="16"/>
  <c r="AN19" i="16" s="1"/>
  <c r="AT29" i="16"/>
  <c r="AE29" i="16"/>
  <c r="AD30" i="16" s="1"/>
  <c r="P197" i="17"/>
  <c r="N196" i="17"/>
  <c r="M196" i="17"/>
  <c r="Q196" i="17" s="1"/>
  <c r="L197" i="17" s="1"/>
  <c r="R197" i="15"/>
  <c r="Q198" i="15" s="1"/>
  <c r="AT198" i="15" s="1"/>
  <c r="AT194" i="17"/>
  <c r="AE194" i="17"/>
  <c r="AD195" i="17" s="1"/>
  <c r="S195" i="17"/>
  <c r="W195" i="17" s="1"/>
  <c r="R196" i="17" s="1"/>
  <c r="T195" i="17"/>
  <c r="P197" i="19"/>
  <c r="N196" i="19"/>
  <c r="M196" i="19"/>
  <c r="Q196" i="19" s="1"/>
  <c r="L197" i="19" s="1"/>
  <c r="AW125" i="18"/>
  <c r="AX125" i="18" s="1"/>
  <c r="AY125" i="18" s="1"/>
  <c r="G126" i="18"/>
  <c r="AR126" i="18" s="1"/>
  <c r="P208" i="18"/>
  <c r="M209" i="18" s="1"/>
  <c r="N209" i="18" s="1"/>
  <c r="T208" i="18"/>
  <c r="S209" i="18" s="1"/>
  <c r="R207" i="18"/>
  <c r="Q208" i="18" s="1"/>
  <c r="AT208" i="18" s="1"/>
  <c r="AT230" i="25" l="1"/>
  <c r="AE230" i="25"/>
  <c r="AD231" i="25" s="1"/>
  <c r="S231" i="25"/>
  <c r="W231" i="25" s="1"/>
  <c r="R232" i="25" s="1"/>
  <c r="T231" i="25"/>
  <c r="H27" i="16"/>
  <c r="J28" i="16"/>
  <c r="G27" i="16"/>
  <c r="K27" i="16" s="1"/>
  <c r="F28" i="16" s="1"/>
  <c r="O108" i="29"/>
  <c r="P109" i="29"/>
  <c r="N108" i="29"/>
  <c r="M108" i="29"/>
  <c r="O105" i="28"/>
  <c r="N105" i="28"/>
  <c r="M105" i="28"/>
  <c r="P106" i="28"/>
  <c r="P153" i="24"/>
  <c r="M154" i="24" s="1"/>
  <c r="N154" i="24" s="1"/>
  <c r="Z158" i="25"/>
  <c r="AC158" i="25"/>
  <c r="X159" i="25" s="1"/>
  <c r="K139" i="24"/>
  <c r="R139" i="24" s="1"/>
  <c r="Q140" i="24" s="1"/>
  <c r="AT140" i="24" s="1"/>
  <c r="J139" i="24"/>
  <c r="AC142" i="29"/>
  <c r="X143" i="29" s="1"/>
  <c r="AA143" i="29" s="1"/>
  <c r="AE143" i="29" s="1"/>
  <c r="AD144" i="29" s="1"/>
  <c r="AG142" i="29"/>
  <c r="AF143" i="29" s="1"/>
  <c r="AJ107" i="29"/>
  <c r="AK107" i="29" s="1"/>
  <c r="AO107" i="29"/>
  <c r="AL107" i="29"/>
  <c r="AT209" i="26"/>
  <c r="F101" i="26"/>
  <c r="AL100" i="26"/>
  <c r="AM100" i="26" s="1"/>
  <c r="AN100" i="26" s="1"/>
  <c r="AI100" i="26"/>
  <c r="AJ100" i="26" s="1"/>
  <c r="AK100" i="26" s="1"/>
  <c r="N209" i="26"/>
  <c r="T209" i="26" s="1"/>
  <c r="S210" i="26" s="1"/>
  <c r="T226" i="28"/>
  <c r="S226" i="28"/>
  <c r="W226" i="28" s="1"/>
  <c r="Z152" i="28"/>
  <c r="Y152" i="28"/>
  <c r="AC152" i="28" s="1"/>
  <c r="X153" i="28" s="1"/>
  <c r="AB153" i="28" s="1"/>
  <c r="J105" i="28"/>
  <c r="H104" i="28"/>
  <c r="AP104" i="28" s="1"/>
  <c r="G104" i="28"/>
  <c r="AL104" i="28" s="1"/>
  <c r="AE225" i="28"/>
  <c r="AD226" i="28" s="1"/>
  <c r="AT226" i="28" s="1"/>
  <c r="AG151" i="28"/>
  <c r="AF152" i="28" s="1"/>
  <c r="AL127" i="25"/>
  <c r="AM127" i="25" s="1"/>
  <c r="G131" i="25"/>
  <c r="H131" i="25"/>
  <c r="J132" i="25"/>
  <c r="AQ127" i="25"/>
  <c r="AS127" i="25"/>
  <c r="AI127" i="25"/>
  <c r="AN126" i="25"/>
  <c r="AW126" i="25" s="1"/>
  <c r="AX126" i="25" s="1"/>
  <c r="AY126" i="25" s="1"/>
  <c r="AO127" i="25"/>
  <c r="L128" i="25"/>
  <c r="AK94" i="24"/>
  <c r="AN94" i="24"/>
  <c r="G95" i="24"/>
  <c r="AR95" i="24" s="1"/>
  <c r="G95" i="15"/>
  <c r="AR95" i="15" s="1"/>
  <c r="AW94" i="15"/>
  <c r="AX94" i="15" s="1"/>
  <c r="AY94" i="15" s="1"/>
  <c r="P229" i="15"/>
  <c r="M230" i="15" s="1"/>
  <c r="N230" i="15" s="1"/>
  <c r="K107" i="29"/>
  <c r="AW103" i="28"/>
  <c r="AX103" i="28" s="1"/>
  <c r="AY103" i="28" s="1"/>
  <c r="AW79" i="19"/>
  <c r="AX79" i="19" s="1"/>
  <c r="AY79" i="19" s="1"/>
  <c r="AW90" i="17"/>
  <c r="AX90" i="17" s="1"/>
  <c r="AY90" i="17" s="1"/>
  <c r="AG29" i="16"/>
  <c r="AF30" i="16" s="1"/>
  <c r="J81" i="19"/>
  <c r="H80" i="19"/>
  <c r="G80" i="19"/>
  <c r="AI80" i="19" s="1"/>
  <c r="AJ80" i="19" s="1"/>
  <c r="AK80" i="19" s="1"/>
  <c r="AC165" i="17"/>
  <c r="X166" i="17" s="1"/>
  <c r="Y166" i="17" s="1"/>
  <c r="AG166" i="17" s="1"/>
  <c r="AF167" i="17" s="1"/>
  <c r="N20" i="16"/>
  <c r="AP20" i="16" s="1"/>
  <c r="M20" i="16"/>
  <c r="Q20" i="16" s="1"/>
  <c r="L21" i="16" s="1"/>
  <c r="N21" i="16" s="1"/>
  <c r="G91" i="17"/>
  <c r="AI91" i="17" s="1"/>
  <c r="AJ91" i="17" s="1"/>
  <c r="AK91" i="17" s="1"/>
  <c r="H91" i="17"/>
  <c r="J92" i="17"/>
  <c r="AU19" i="16"/>
  <c r="Z30" i="16"/>
  <c r="Y30" i="16"/>
  <c r="AC30" i="16" s="1"/>
  <c r="X31" i="16" s="1"/>
  <c r="AI19" i="16"/>
  <c r="AJ19" i="16" s="1"/>
  <c r="AK19" i="16" s="1"/>
  <c r="AS19" i="16"/>
  <c r="AG175" i="19"/>
  <c r="AF176" i="19" s="1"/>
  <c r="Z176" i="19"/>
  <c r="Y176" i="19"/>
  <c r="AC176" i="19" s="1"/>
  <c r="X177" i="19" s="1"/>
  <c r="AQ19" i="16"/>
  <c r="L198" i="15"/>
  <c r="I199" i="15" s="1"/>
  <c r="J199" i="15" s="1"/>
  <c r="T198" i="15"/>
  <c r="S199" i="15" s="1"/>
  <c r="S188" i="19"/>
  <c r="W188" i="19" s="1"/>
  <c r="R189" i="19" s="1"/>
  <c r="T188" i="19"/>
  <c r="AT187" i="19"/>
  <c r="AE187" i="19"/>
  <c r="AD188" i="19" s="1"/>
  <c r="T31" i="16"/>
  <c r="S31" i="16"/>
  <c r="W31" i="16" s="1"/>
  <c r="R32" i="16" s="1"/>
  <c r="AT30" i="16"/>
  <c r="AE30" i="16"/>
  <c r="AD31" i="16" s="1"/>
  <c r="N197" i="19"/>
  <c r="M197" i="19"/>
  <c r="Q197" i="19" s="1"/>
  <c r="L198" i="19" s="1"/>
  <c r="P198" i="19"/>
  <c r="S196" i="17"/>
  <c r="W196" i="17" s="1"/>
  <c r="R197" i="17" s="1"/>
  <c r="T196" i="17"/>
  <c r="AT195" i="17"/>
  <c r="AE195" i="17"/>
  <c r="AD196" i="17" s="1"/>
  <c r="R198" i="15"/>
  <c r="Q199" i="15" s="1"/>
  <c r="AT199" i="15" s="1"/>
  <c r="N197" i="17"/>
  <c r="P198" i="17"/>
  <c r="M197" i="17"/>
  <c r="Q197" i="17" s="1"/>
  <c r="L198" i="17" s="1"/>
  <c r="H126" i="18"/>
  <c r="P209" i="18"/>
  <c r="M210" i="18" s="1"/>
  <c r="N210" i="18" s="1"/>
  <c r="R208" i="18"/>
  <c r="Q209" i="18" s="1"/>
  <c r="AT209" i="18" s="1"/>
  <c r="AT231" i="25" l="1"/>
  <c r="AE231" i="25"/>
  <c r="AD232" i="25" s="1"/>
  <c r="S232" i="25"/>
  <c r="W232" i="25" s="1"/>
  <c r="R233" i="25" s="1"/>
  <c r="T232" i="25"/>
  <c r="H28" i="16"/>
  <c r="G28" i="16"/>
  <c r="K28" i="16" s="1"/>
  <c r="F29" i="16" s="1"/>
  <c r="J29" i="16"/>
  <c r="AT144" i="29"/>
  <c r="L139" i="24"/>
  <c r="I140" i="24" s="1"/>
  <c r="T139" i="24"/>
  <c r="S140" i="24" s="1"/>
  <c r="Y159" i="25"/>
  <c r="AG159" i="25" s="1"/>
  <c r="AF160" i="25" s="1"/>
  <c r="Z159" i="25"/>
  <c r="R209" i="26"/>
  <c r="Q210" i="26" s="1"/>
  <c r="AT210" i="26" s="1"/>
  <c r="Z143" i="29"/>
  <c r="Y143" i="29"/>
  <c r="AG143" i="29" s="1"/>
  <c r="AF144" i="29" s="1"/>
  <c r="AM107" i="29"/>
  <c r="AN107" i="29" s="1"/>
  <c r="F108" i="29"/>
  <c r="I108" i="29" s="1"/>
  <c r="AR108" i="29" s="1"/>
  <c r="AU107" i="29"/>
  <c r="AS107" i="29"/>
  <c r="AQ107" i="29"/>
  <c r="AW100" i="26"/>
  <c r="AX100" i="26" s="1"/>
  <c r="AY100" i="26" s="1"/>
  <c r="P209" i="26"/>
  <c r="M210" i="26" s="1"/>
  <c r="G101" i="26"/>
  <c r="AR101" i="26" s="1"/>
  <c r="AW94" i="24"/>
  <c r="AX94" i="24" s="1"/>
  <c r="AY94" i="24" s="1"/>
  <c r="Z153" i="28"/>
  <c r="Y153" i="28"/>
  <c r="AC153" i="28" s="1"/>
  <c r="X154" i="28" s="1"/>
  <c r="AB154" i="28" s="1"/>
  <c r="AO104" i="28"/>
  <c r="AI104" i="28"/>
  <c r="K104" i="28"/>
  <c r="AG152" i="28"/>
  <c r="AF153" i="28" s="1"/>
  <c r="AE226" i="28"/>
  <c r="AD227" i="28" s="1"/>
  <c r="AT227" i="28" s="1"/>
  <c r="R227" i="28"/>
  <c r="V227" i="28" s="1"/>
  <c r="AN127" i="25"/>
  <c r="K131" i="25"/>
  <c r="AJ127" i="25"/>
  <c r="AK127" i="25" s="1"/>
  <c r="N128" i="25"/>
  <c r="AP128" i="25" s="1"/>
  <c r="P129" i="25"/>
  <c r="O154" i="24"/>
  <c r="P154" i="24" s="1"/>
  <c r="H95" i="24"/>
  <c r="H95" i="15"/>
  <c r="P230" i="15"/>
  <c r="M231" i="15" s="1"/>
  <c r="N231" i="15" s="1"/>
  <c r="M128" i="25"/>
  <c r="AL128" i="25" s="1"/>
  <c r="AW19" i="16"/>
  <c r="AX19" i="16" s="1"/>
  <c r="AY19" i="16" s="1"/>
  <c r="K80" i="19"/>
  <c r="AO80" i="19"/>
  <c r="AP80" i="19"/>
  <c r="AL80" i="19"/>
  <c r="AM80" i="19" s="1"/>
  <c r="AN80" i="19" s="1"/>
  <c r="Z166" i="17"/>
  <c r="AO20" i="16"/>
  <c r="AC166" i="17"/>
  <c r="X167" i="17" s="1"/>
  <c r="Y167" i="17" s="1"/>
  <c r="AG167" i="17" s="1"/>
  <c r="AF168" i="17" s="1"/>
  <c r="AU20" i="16"/>
  <c r="AQ20" i="16"/>
  <c r="P22" i="16"/>
  <c r="AL20" i="16"/>
  <c r="AM20" i="16" s="1"/>
  <c r="AN20" i="16" s="1"/>
  <c r="M21" i="16"/>
  <c r="Q21" i="16" s="1"/>
  <c r="L22" i="16" s="1"/>
  <c r="P23" i="16" s="1"/>
  <c r="AS20" i="16"/>
  <c r="AI20" i="16"/>
  <c r="AJ20" i="16" s="1"/>
  <c r="AK20" i="16" s="1"/>
  <c r="K91" i="17"/>
  <c r="AS91" i="17" s="1"/>
  <c r="AP91" i="17"/>
  <c r="AO91" i="17"/>
  <c r="AL91" i="17"/>
  <c r="AM91" i="17" s="1"/>
  <c r="AN91" i="17" s="1"/>
  <c r="AG176" i="19"/>
  <c r="AF177" i="19" s="1"/>
  <c r="Y31" i="16"/>
  <c r="AC31" i="16" s="1"/>
  <c r="X32" i="16" s="1"/>
  <c r="Z31" i="16"/>
  <c r="AG30" i="16"/>
  <c r="AF31" i="16" s="1"/>
  <c r="Y177" i="19"/>
  <c r="AC177" i="19" s="1"/>
  <c r="X178" i="19" s="1"/>
  <c r="Z177" i="19"/>
  <c r="T199" i="15"/>
  <c r="S200" i="15" s="1"/>
  <c r="L199" i="15"/>
  <c r="I200" i="15" s="1"/>
  <c r="J200" i="15" s="1"/>
  <c r="AE188" i="19"/>
  <c r="AD189" i="19" s="1"/>
  <c r="AT188" i="19"/>
  <c r="T189" i="19"/>
  <c r="S189" i="19"/>
  <c r="W189" i="19" s="1"/>
  <c r="R190" i="19" s="1"/>
  <c r="T32" i="16"/>
  <c r="S32" i="16"/>
  <c r="W32" i="16" s="1"/>
  <c r="R33" i="16" s="1"/>
  <c r="AP21" i="16"/>
  <c r="AO21" i="16"/>
  <c r="AT31" i="16"/>
  <c r="AE31" i="16"/>
  <c r="AD32" i="16" s="1"/>
  <c r="P199" i="17"/>
  <c r="M198" i="17"/>
  <c r="Q198" i="17" s="1"/>
  <c r="L199" i="17" s="1"/>
  <c r="N198" i="17"/>
  <c r="R199" i="15"/>
  <c r="Q200" i="15" s="1"/>
  <c r="AT200" i="15" s="1"/>
  <c r="N198" i="19"/>
  <c r="M198" i="19"/>
  <c r="Q198" i="19" s="1"/>
  <c r="L199" i="19" s="1"/>
  <c r="P199" i="19"/>
  <c r="AT196" i="17"/>
  <c r="AE196" i="17"/>
  <c r="AD197" i="17" s="1"/>
  <c r="S197" i="17"/>
  <c r="W197" i="17" s="1"/>
  <c r="R198" i="17" s="1"/>
  <c r="T197" i="17"/>
  <c r="F127" i="18"/>
  <c r="AI126" i="18"/>
  <c r="AJ126" i="18" s="1"/>
  <c r="AK126" i="18" s="1"/>
  <c r="AL126" i="18"/>
  <c r="AM126" i="18" s="1"/>
  <c r="AN126" i="18" s="1"/>
  <c r="P210" i="18"/>
  <c r="M211" i="18" s="1"/>
  <c r="N211" i="18" s="1"/>
  <c r="R209" i="18"/>
  <c r="Q210" i="18" s="1"/>
  <c r="AT210" i="18" s="1"/>
  <c r="T209" i="18"/>
  <c r="S210" i="18" s="1"/>
  <c r="Q108" i="29" l="1"/>
  <c r="L109" i="29" s="1"/>
  <c r="N109" i="29" s="1"/>
  <c r="AE232" i="25"/>
  <c r="AD233" i="25" s="1"/>
  <c r="AT232" i="25"/>
  <c r="T233" i="25"/>
  <c r="S233" i="25"/>
  <c r="W233" i="25" s="1"/>
  <c r="R234" i="25" s="1"/>
  <c r="G29" i="16"/>
  <c r="K29" i="16" s="1"/>
  <c r="F30" i="16" s="1"/>
  <c r="H29" i="16"/>
  <c r="J30" i="16"/>
  <c r="O109" i="29"/>
  <c r="AC159" i="25"/>
  <c r="X160" i="25" s="1"/>
  <c r="K140" i="24"/>
  <c r="T140" i="24" s="1"/>
  <c r="S141" i="24" s="1"/>
  <c r="J140" i="24"/>
  <c r="AC143" i="29"/>
  <c r="X144" i="29" s="1"/>
  <c r="AA144" i="29" s="1"/>
  <c r="AE144" i="29" s="1"/>
  <c r="AD145" i="29" s="1"/>
  <c r="J109" i="29"/>
  <c r="H108" i="29"/>
  <c r="AP108" i="29" s="1"/>
  <c r="G108" i="29"/>
  <c r="AI108" i="29" s="1"/>
  <c r="H101" i="26"/>
  <c r="N210" i="26"/>
  <c r="P210" i="26" s="1"/>
  <c r="M211" i="26" s="1"/>
  <c r="Z154" i="28"/>
  <c r="Y154" i="28"/>
  <c r="AC154" i="28" s="1"/>
  <c r="X155" i="28" s="1"/>
  <c r="AB155" i="28" s="1"/>
  <c r="F105" i="28"/>
  <c r="I105" i="28" s="1"/>
  <c r="Q105" i="28" s="1"/>
  <c r="L106" i="28" s="1"/>
  <c r="AQ104" i="28"/>
  <c r="AU104" i="28"/>
  <c r="AS104" i="28"/>
  <c r="T227" i="28"/>
  <c r="S227" i="28"/>
  <c r="W227" i="28" s="1"/>
  <c r="AG153" i="28"/>
  <c r="AF154" i="28" s="1"/>
  <c r="AM104" i="28"/>
  <c r="AN104" i="28" s="1"/>
  <c r="AJ104" i="28"/>
  <c r="AK104" i="28" s="1"/>
  <c r="AW127" i="25"/>
  <c r="AX127" i="25" s="1"/>
  <c r="AY127" i="25" s="1"/>
  <c r="F132" i="25"/>
  <c r="AO128" i="25"/>
  <c r="AM128" i="25"/>
  <c r="AN128" i="25" s="1"/>
  <c r="F96" i="24"/>
  <c r="AI95" i="24"/>
  <c r="AJ95" i="24" s="1"/>
  <c r="AL95" i="24"/>
  <c r="AM95" i="24" s="1"/>
  <c r="M155" i="24"/>
  <c r="F96" i="15"/>
  <c r="AI95" i="15"/>
  <c r="AJ95" i="15" s="1"/>
  <c r="AK95" i="15" s="1"/>
  <c r="AL95" i="15"/>
  <c r="AM95" i="15" s="1"/>
  <c r="AN95" i="15" s="1"/>
  <c r="P231" i="15"/>
  <c r="M232" i="15" s="1"/>
  <c r="N232" i="15" s="1"/>
  <c r="AW107" i="29"/>
  <c r="AX107" i="29" s="1"/>
  <c r="AY107" i="29" s="1"/>
  <c r="Q128" i="25"/>
  <c r="F81" i="19"/>
  <c r="AQ80" i="19"/>
  <c r="AS80" i="19"/>
  <c r="AU80" i="19"/>
  <c r="Z167" i="17"/>
  <c r="AW20" i="16"/>
  <c r="AX20" i="16" s="1"/>
  <c r="AY20" i="16" s="1"/>
  <c r="AS21" i="16"/>
  <c r="AQ21" i="16"/>
  <c r="M22" i="16"/>
  <c r="Q22" i="16" s="1"/>
  <c r="L23" i="16" s="1"/>
  <c r="N23" i="16" s="1"/>
  <c r="AC167" i="17"/>
  <c r="X168" i="17" s="1"/>
  <c r="N22" i="16"/>
  <c r="AO22" i="16" s="1"/>
  <c r="AI21" i="16"/>
  <c r="AJ21" i="16" s="1"/>
  <c r="AK21" i="16" s="1"/>
  <c r="AU21" i="16"/>
  <c r="AL21" i="16"/>
  <c r="AM21" i="16" s="1"/>
  <c r="AN21" i="16" s="1"/>
  <c r="AQ91" i="17"/>
  <c r="AU91" i="17"/>
  <c r="F92" i="17"/>
  <c r="G92" i="17" s="1"/>
  <c r="AG31" i="16"/>
  <c r="AF32" i="16" s="1"/>
  <c r="Z32" i="16"/>
  <c r="Y32" i="16"/>
  <c r="AC32" i="16" s="1"/>
  <c r="X33" i="16" s="1"/>
  <c r="Z178" i="19"/>
  <c r="Y178" i="19"/>
  <c r="AC178" i="19" s="1"/>
  <c r="X179" i="19" s="1"/>
  <c r="AG177" i="19"/>
  <c r="AF178" i="19" s="1"/>
  <c r="L200" i="15"/>
  <c r="I201" i="15" s="1"/>
  <c r="J201" i="15" s="1"/>
  <c r="AT189" i="19"/>
  <c r="AE189" i="19"/>
  <c r="AD190" i="19" s="1"/>
  <c r="S190" i="19"/>
  <c r="W190" i="19" s="1"/>
  <c r="R191" i="19" s="1"/>
  <c r="T190" i="19"/>
  <c r="AE32" i="16"/>
  <c r="AD33" i="16" s="1"/>
  <c r="AT32" i="16"/>
  <c r="S33" i="16"/>
  <c r="W33" i="16" s="1"/>
  <c r="R34" i="16" s="1"/>
  <c r="T33" i="16"/>
  <c r="T200" i="15"/>
  <c r="S201" i="15" s="1"/>
  <c r="T198" i="17"/>
  <c r="S198" i="17"/>
  <c r="W198" i="17" s="1"/>
  <c r="R199" i="17" s="1"/>
  <c r="R200" i="15"/>
  <c r="Q201" i="15" s="1"/>
  <c r="AT201" i="15" s="1"/>
  <c r="AT197" i="17"/>
  <c r="AE197" i="17"/>
  <c r="AD198" i="17" s="1"/>
  <c r="P200" i="17"/>
  <c r="N199" i="17"/>
  <c r="M199" i="17"/>
  <c r="Q199" i="17" s="1"/>
  <c r="L200" i="17" s="1"/>
  <c r="N199" i="19"/>
  <c r="P200" i="19"/>
  <c r="M199" i="19"/>
  <c r="Q199" i="19" s="1"/>
  <c r="L200" i="19" s="1"/>
  <c r="AW126" i="18"/>
  <c r="AX126" i="18" s="1"/>
  <c r="AY126" i="18" s="1"/>
  <c r="G127" i="18"/>
  <c r="AR127" i="18" s="1"/>
  <c r="P211" i="18"/>
  <c r="M212" i="18" s="1"/>
  <c r="N212" i="18" s="1"/>
  <c r="T210" i="18"/>
  <c r="S211" i="18" s="1"/>
  <c r="R210" i="18"/>
  <c r="Q211" i="18" s="1"/>
  <c r="AT211" i="18" s="1"/>
  <c r="P110" i="29" l="1"/>
  <c r="M109" i="29"/>
  <c r="AT233" i="25"/>
  <c r="AE233" i="25"/>
  <c r="AD234" i="25" s="1"/>
  <c r="T234" i="25"/>
  <c r="S234" i="25"/>
  <c r="W234" i="25" s="1"/>
  <c r="J31" i="16"/>
  <c r="G30" i="16"/>
  <c r="K30" i="16" s="1"/>
  <c r="F31" i="16" s="1"/>
  <c r="H30" i="16"/>
  <c r="O106" i="28"/>
  <c r="M106" i="28"/>
  <c r="N106" i="28"/>
  <c r="P107" i="28"/>
  <c r="AT145" i="29"/>
  <c r="Z160" i="25"/>
  <c r="Y160" i="25"/>
  <c r="L140" i="24"/>
  <c r="I141" i="24" s="1"/>
  <c r="O155" i="24"/>
  <c r="N155" i="24"/>
  <c r="R140" i="24"/>
  <c r="Q141" i="24" s="1"/>
  <c r="AT141" i="24" s="1"/>
  <c r="Z144" i="29"/>
  <c r="Y144" i="29"/>
  <c r="AG144" i="29" s="1"/>
  <c r="AF145" i="29" s="1"/>
  <c r="AL108" i="29"/>
  <c r="AM108" i="29" s="1"/>
  <c r="AJ108" i="29"/>
  <c r="AK108" i="29" s="1"/>
  <c r="AO108" i="29"/>
  <c r="N211" i="26"/>
  <c r="P211" i="26" s="1"/>
  <c r="M212" i="26" s="1"/>
  <c r="F102" i="26"/>
  <c r="AI101" i="26"/>
  <c r="AL101" i="26"/>
  <c r="R210" i="26"/>
  <c r="Q211" i="26" s="1"/>
  <c r="T210" i="26"/>
  <c r="S211" i="26" s="1"/>
  <c r="AW104" i="28"/>
  <c r="AX104" i="28" s="1"/>
  <c r="AY104" i="28" s="1"/>
  <c r="Z155" i="28"/>
  <c r="Y155" i="28"/>
  <c r="AC155" i="28" s="1"/>
  <c r="X156" i="28" s="1"/>
  <c r="AB156" i="28" s="1"/>
  <c r="H105" i="28"/>
  <c r="AP105" i="28" s="1"/>
  <c r="J106" i="28"/>
  <c r="G105" i="28"/>
  <c r="K105" i="28" s="1"/>
  <c r="F106" i="28" s="1"/>
  <c r="I106" i="28" s="1"/>
  <c r="AE227" i="28"/>
  <c r="AD228" i="28" s="1"/>
  <c r="AT228" i="28" s="1"/>
  <c r="AG154" i="28"/>
  <c r="AF155" i="28" s="1"/>
  <c r="R228" i="28"/>
  <c r="V228" i="28" s="1"/>
  <c r="G132" i="25"/>
  <c r="K132" i="25" s="1"/>
  <c r="J133" i="25"/>
  <c r="H132" i="25"/>
  <c r="AI128" i="25"/>
  <c r="AQ128" i="25"/>
  <c r="AS128" i="25"/>
  <c r="AU128" i="25"/>
  <c r="AW95" i="15"/>
  <c r="AX95" i="15" s="1"/>
  <c r="AY95" i="15" s="1"/>
  <c r="L129" i="25"/>
  <c r="AK95" i="24"/>
  <c r="AN95" i="24"/>
  <c r="G96" i="24"/>
  <c r="AR96" i="24" s="1"/>
  <c r="G96" i="15"/>
  <c r="AR96" i="15" s="1"/>
  <c r="P232" i="15"/>
  <c r="M233" i="15" s="1"/>
  <c r="N233" i="15" s="1"/>
  <c r="K108" i="29"/>
  <c r="AW80" i="19"/>
  <c r="AX80" i="19" s="1"/>
  <c r="AY80" i="19" s="1"/>
  <c r="AS22" i="16"/>
  <c r="AW91" i="17"/>
  <c r="AX91" i="17" s="1"/>
  <c r="AY91" i="17" s="1"/>
  <c r="G81" i="19"/>
  <c r="K81" i="19" s="1"/>
  <c r="H81" i="19"/>
  <c r="J82" i="19"/>
  <c r="M23" i="16"/>
  <c r="Q23" i="16" s="1"/>
  <c r="L24" i="16" s="1"/>
  <c r="P25" i="16" s="1"/>
  <c r="AW21" i="16"/>
  <c r="AX21" i="16" s="1"/>
  <c r="AY21" i="16" s="1"/>
  <c r="AP22" i="16"/>
  <c r="AU22" i="16"/>
  <c r="P24" i="16"/>
  <c r="AQ22" i="16"/>
  <c r="AL22" i="16"/>
  <c r="AM22" i="16" s="1"/>
  <c r="AN22" i="16" s="1"/>
  <c r="AI22" i="16"/>
  <c r="AJ22" i="16" s="1"/>
  <c r="AK22" i="16" s="1"/>
  <c r="Z168" i="17"/>
  <c r="Y168" i="17"/>
  <c r="AL92" i="17"/>
  <c r="AM92" i="17" s="1"/>
  <c r="AN92" i="17" s="1"/>
  <c r="AI92" i="17"/>
  <c r="AJ92" i="17" s="1"/>
  <c r="AK92" i="17" s="1"/>
  <c r="K92" i="17"/>
  <c r="AS92" i="17" s="1"/>
  <c r="H92" i="17"/>
  <c r="AO92" i="17" s="1"/>
  <c r="J93" i="17"/>
  <c r="Y33" i="16"/>
  <c r="AC33" i="16" s="1"/>
  <c r="X34" i="16" s="1"/>
  <c r="Z33" i="16"/>
  <c r="AG178" i="19"/>
  <c r="AF179" i="19" s="1"/>
  <c r="AG32" i="16"/>
  <c r="AF33" i="16" s="1"/>
  <c r="Z179" i="19"/>
  <c r="Y179" i="19"/>
  <c r="AC179" i="19" s="1"/>
  <c r="X180" i="19" s="1"/>
  <c r="L201" i="15"/>
  <c r="I202" i="15" s="1"/>
  <c r="J202" i="15" s="1"/>
  <c r="S191" i="19"/>
  <c r="W191" i="19" s="1"/>
  <c r="R192" i="19" s="1"/>
  <c r="T191" i="19"/>
  <c r="AE190" i="19"/>
  <c r="AD191" i="19" s="1"/>
  <c r="AT190" i="19"/>
  <c r="AO23" i="16"/>
  <c r="AP23" i="16"/>
  <c r="T34" i="16"/>
  <c r="S34" i="16"/>
  <c r="W34" i="16" s="1"/>
  <c r="R35" i="16" s="1"/>
  <c r="AT33" i="16"/>
  <c r="AE33" i="16"/>
  <c r="AD34" i="16" s="1"/>
  <c r="M200" i="19"/>
  <c r="Q200" i="19" s="1"/>
  <c r="L201" i="19" s="1"/>
  <c r="N200" i="19"/>
  <c r="P201" i="19"/>
  <c r="R201" i="15"/>
  <c r="Q202" i="15" s="1"/>
  <c r="AT202" i="15" s="1"/>
  <c r="AT198" i="17"/>
  <c r="AE198" i="17"/>
  <c r="AD199" i="17" s="1"/>
  <c r="T201" i="15"/>
  <c r="S202" i="15" s="1"/>
  <c r="P201" i="17"/>
  <c r="N200" i="17"/>
  <c r="M200" i="17"/>
  <c r="Q200" i="17" s="1"/>
  <c r="L201" i="17" s="1"/>
  <c r="T199" i="17"/>
  <c r="S199" i="17"/>
  <c r="W199" i="17" s="1"/>
  <c r="R200" i="17" s="1"/>
  <c r="H127" i="18"/>
  <c r="P212" i="18"/>
  <c r="M213" i="18" s="1"/>
  <c r="N213" i="18" s="1"/>
  <c r="T211" i="18"/>
  <c r="R211" i="18"/>
  <c r="Q212" i="18" s="1"/>
  <c r="AT212" i="18" s="1"/>
  <c r="AT234" i="25" l="1"/>
  <c r="AE234" i="25"/>
  <c r="H31" i="16"/>
  <c r="J32" i="16"/>
  <c r="G31" i="16"/>
  <c r="K31" i="16" s="1"/>
  <c r="F32" i="16" s="1"/>
  <c r="Q106" i="28"/>
  <c r="L107" i="28" s="1"/>
  <c r="P108" i="28" s="1"/>
  <c r="O107" i="28"/>
  <c r="P155" i="24"/>
  <c r="M156" i="24" s="1"/>
  <c r="K141" i="24"/>
  <c r="R141" i="24" s="1"/>
  <c r="Q142" i="24" s="1"/>
  <c r="AT142" i="24" s="1"/>
  <c r="J141" i="24"/>
  <c r="AC160" i="25"/>
  <c r="X161" i="25" s="1"/>
  <c r="AG160" i="25"/>
  <c r="AF161" i="25" s="1"/>
  <c r="AC144" i="29"/>
  <c r="X145" i="29" s="1"/>
  <c r="AA145" i="29" s="1"/>
  <c r="AE145" i="29" s="1"/>
  <c r="AD146" i="29" s="1"/>
  <c r="F109" i="29"/>
  <c r="I109" i="29" s="1"/>
  <c r="AS108" i="29"/>
  <c r="AQ108" i="29"/>
  <c r="AU108" i="29"/>
  <c r="AN108" i="29"/>
  <c r="N212" i="26"/>
  <c r="P212" i="26" s="1"/>
  <c r="M213" i="26" s="1"/>
  <c r="G102" i="26"/>
  <c r="AR102" i="26" s="1"/>
  <c r="AJ101" i="26"/>
  <c r="AK101" i="26" s="1"/>
  <c r="T211" i="26"/>
  <c r="S212" i="26" s="1"/>
  <c r="AT211" i="26"/>
  <c r="R211" i="26"/>
  <c r="Q212" i="26" s="1"/>
  <c r="AM101" i="26"/>
  <c r="AN101" i="26" s="1"/>
  <c r="J107" i="28"/>
  <c r="H106" i="28"/>
  <c r="AP106" i="28" s="1"/>
  <c r="G106" i="28"/>
  <c r="AI106" i="28" s="1"/>
  <c r="Z156" i="28"/>
  <c r="Y156" i="28"/>
  <c r="AC156" i="28" s="1"/>
  <c r="X157" i="28" s="1"/>
  <c r="AB157" i="28" s="1"/>
  <c r="AO105" i="28"/>
  <c r="AL105" i="28"/>
  <c r="AM105" i="28" s="1"/>
  <c r="AN105" i="28" s="1"/>
  <c r="AS105" i="28"/>
  <c r="AQ105" i="28"/>
  <c r="AI105" i="28"/>
  <c r="AJ105" i="28" s="1"/>
  <c r="AK105" i="28" s="1"/>
  <c r="AU105" i="28"/>
  <c r="AG155" i="28"/>
  <c r="AF156" i="28" s="1"/>
  <c r="T228" i="28"/>
  <c r="S228" i="28"/>
  <c r="W228" i="28" s="1"/>
  <c r="R229" i="28" s="1"/>
  <c r="V229" i="28" s="1"/>
  <c r="F133" i="25"/>
  <c r="AW95" i="24"/>
  <c r="AX95" i="24" s="1"/>
  <c r="AY95" i="24" s="1"/>
  <c r="P130" i="25"/>
  <c r="N129" i="25"/>
  <c r="AP129" i="25" s="1"/>
  <c r="AJ128" i="25"/>
  <c r="AK128" i="25" s="1"/>
  <c r="AW128" i="25" s="1"/>
  <c r="AX128" i="25" s="1"/>
  <c r="AY128" i="25" s="1"/>
  <c r="H96" i="24"/>
  <c r="H96" i="15"/>
  <c r="P233" i="15"/>
  <c r="M234" i="15" s="1"/>
  <c r="N234" i="15" s="1"/>
  <c r="M129" i="25"/>
  <c r="Q129" i="25" s="1"/>
  <c r="L130" i="25" s="1"/>
  <c r="AS23" i="16"/>
  <c r="N24" i="16"/>
  <c r="AO24" i="16" s="1"/>
  <c r="AQ23" i="16"/>
  <c r="M24" i="16"/>
  <c r="Q24" i="16" s="1"/>
  <c r="L25" i="16" s="1"/>
  <c r="P26" i="16" s="1"/>
  <c r="AI23" i="16"/>
  <c r="AJ23" i="16" s="1"/>
  <c r="AK23" i="16" s="1"/>
  <c r="AL23" i="16"/>
  <c r="AM23" i="16" s="1"/>
  <c r="AN23" i="16" s="1"/>
  <c r="AI81" i="19"/>
  <c r="AJ81" i="19" s="1"/>
  <c r="AK81" i="19" s="1"/>
  <c r="F82" i="19"/>
  <c r="AQ81" i="19"/>
  <c r="AS81" i="19"/>
  <c r="AU81" i="19"/>
  <c r="AL81" i="19"/>
  <c r="AM81" i="19" s="1"/>
  <c r="AN81" i="19" s="1"/>
  <c r="AO81" i="19"/>
  <c r="AP81" i="19"/>
  <c r="AU23" i="16"/>
  <c r="AW22" i="16"/>
  <c r="AX22" i="16" s="1"/>
  <c r="AY22" i="16" s="1"/>
  <c r="F93" i="17"/>
  <c r="G93" i="17" s="1"/>
  <c r="AI93" i="17" s="1"/>
  <c r="AJ93" i="17" s="1"/>
  <c r="AK93" i="17" s="1"/>
  <c r="AG168" i="17"/>
  <c r="AF169" i="17" s="1"/>
  <c r="AC168" i="17"/>
  <c r="X169" i="17" s="1"/>
  <c r="AP92" i="17"/>
  <c r="AQ92" i="17"/>
  <c r="AU92" i="17"/>
  <c r="AG33" i="16"/>
  <c r="AF34" i="16" s="1"/>
  <c r="Z34" i="16"/>
  <c r="Y34" i="16"/>
  <c r="AC34" i="16" s="1"/>
  <c r="X35" i="16" s="1"/>
  <c r="Y180" i="19"/>
  <c r="AC180" i="19" s="1"/>
  <c r="X181" i="19" s="1"/>
  <c r="Z180" i="19"/>
  <c r="AG179" i="19"/>
  <c r="AF180" i="19" s="1"/>
  <c r="L202" i="15"/>
  <c r="I203" i="15" s="1"/>
  <c r="J203" i="15" s="1"/>
  <c r="T202" i="15"/>
  <c r="S203" i="15" s="1"/>
  <c r="AT191" i="19"/>
  <c r="AE191" i="19"/>
  <c r="AD192" i="19" s="1"/>
  <c r="S192" i="19"/>
  <c r="W192" i="19" s="1"/>
  <c r="R193" i="19" s="1"/>
  <c r="T192" i="19"/>
  <c r="T35" i="16"/>
  <c r="S35" i="16"/>
  <c r="W35" i="16" s="1"/>
  <c r="R36" i="16" s="1"/>
  <c r="AT34" i="16"/>
  <c r="AE34" i="16"/>
  <c r="AD35" i="16" s="1"/>
  <c r="N201" i="17"/>
  <c r="P202" i="17"/>
  <c r="M201" i="17"/>
  <c r="Q201" i="17" s="1"/>
  <c r="L202" i="17" s="1"/>
  <c r="N201" i="19"/>
  <c r="P202" i="19"/>
  <c r="M201" i="19"/>
  <c r="Q201" i="19" s="1"/>
  <c r="L202" i="19" s="1"/>
  <c r="AT199" i="17"/>
  <c r="AE199" i="17"/>
  <c r="AD200" i="17" s="1"/>
  <c r="R202" i="15"/>
  <c r="Q203" i="15" s="1"/>
  <c r="AT203" i="15" s="1"/>
  <c r="T200" i="17"/>
  <c r="S200" i="17"/>
  <c r="W200" i="17" s="1"/>
  <c r="R201" i="17" s="1"/>
  <c r="F128" i="18"/>
  <c r="AI127" i="18"/>
  <c r="AJ127" i="18" s="1"/>
  <c r="AK127" i="18" s="1"/>
  <c r="AL127" i="18"/>
  <c r="AM127" i="18" s="1"/>
  <c r="AN127" i="18" s="1"/>
  <c r="S212" i="18"/>
  <c r="T212" i="18" s="1"/>
  <c r="S213" i="18" s="1"/>
  <c r="T213" i="18" s="1"/>
  <c r="S214" i="18" s="1"/>
  <c r="R212" i="18"/>
  <c r="Q213" i="18" s="1"/>
  <c r="AT213" i="18" s="1"/>
  <c r="J33" i="16" l="1"/>
  <c r="G32" i="16"/>
  <c r="K32" i="16" s="1"/>
  <c r="F33" i="16" s="1"/>
  <c r="H32" i="16"/>
  <c r="N107" i="28"/>
  <c r="M107" i="28"/>
  <c r="AT146" i="29"/>
  <c r="AR109" i="29"/>
  <c r="Q109" i="29"/>
  <c r="L110" i="29" s="1"/>
  <c r="L141" i="24"/>
  <c r="I142" i="24" s="1"/>
  <c r="O156" i="24"/>
  <c r="N156" i="24"/>
  <c r="T141" i="24"/>
  <c r="S142" i="24" s="1"/>
  <c r="Z161" i="25"/>
  <c r="Y161" i="25"/>
  <c r="AC161" i="25" s="1"/>
  <c r="X162" i="25" s="1"/>
  <c r="AW101" i="26"/>
  <c r="AX101" i="26" s="1"/>
  <c r="AY101" i="26" s="1"/>
  <c r="Z145" i="29"/>
  <c r="Y145" i="29"/>
  <c r="AG145" i="29" s="1"/>
  <c r="AF146" i="29" s="1"/>
  <c r="H109" i="29"/>
  <c r="AP109" i="29" s="1"/>
  <c r="J110" i="29"/>
  <c r="G109" i="29"/>
  <c r="AI109" i="29" s="1"/>
  <c r="H102" i="26"/>
  <c r="N213" i="26"/>
  <c r="P213" i="26" s="1"/>
  <c r="M214" i="26" s="1"/>
  <c r="T212" i="26"/>
  <c r="S213" i="26" s="1"/>
  <c r="AT212" i="26"/>
  <c r="R212" i="26"/>
  <c r="Q213" i="26" s="1"/>
  <c r="AW105" i="28"/>
  <c r="AX105" i="28" s="1"/>
  <c r="AY105" i="28" s="1"/>
  <c r="AG156" i="28"/>
  <c r="AF157" i="28" s="1"/>
  <c r="T229" i="28"/>
  <c r="S229" i="28"/>
  <c r="AE228" i="28"/>
  <c r="AD229" i="28" s="1"/>
  <c r="AT229" i="28" s="1"/>
  <c r="AL106" i="28"/>
  <c r="Z157" i="28"/>
  <c r="Y157" i="28"/>
  <c r="AC157" i="28" s="1"/>
  <c r="X158" i="28" s="1"/>
  <c r="AB158" i="28" s="1"/>
  <c r="AO106" i="28"/>
  <c r="AJ106" i="28"/>
  <c r="AK106" i="28" s="1"/>
  <c r="G133" i="25"/>
  <c r="K133" i="25" s="1"/>
  <c r="J134" i="25"/>
  <c r="H133" i="25"/>
  <c r="AL129" i="25"/>
  <c r="AS129" i="25"/>
  <c r="AQ129" i="25"/>
  <c r="AI129" i="25"/>
  <c r="AU129" i="25"/>
  <c r="AO129" i="25"/>
  <c r="N130" i="25"/>
  <c r="AP130" i="25" s="1"/>
  <c r="P131" i="25"/>
  <c r="F97" i="24"/>
  <c r="AI96" i="24"/>
  <c r="AJ96" i="24" s="1"/>
  <c r="AL96" i="24"/>
  <c r="AM96" i="24" s="1"/>
  <c r="F97" i="15"/>
  <c r="AL96" i="15"/>
  <c r="AM96" i="15" s="1"/>
  <c r="AN96" i="15" s="1"/>
  <c r="AI96" i="15"/>
  <c r="AJ96" i="15" s="1"/>
  <c r="AK96" i="15" s="1"/>
  <c r="P234" i="15"/>
  <c r="AW108" i="29"/>
  <c r="AX108" i="29" s="1"/>
  <c r="AY108" i="29" s="1"/>
  <c r="K106" i="28"/>
  <c r="M130" i="25"/>
  <c r="Q130" i="25" s="1"/>
  <c r="L131" i="25" s="1"/>
  <c r="AW81" i="19"/>
  <c r="AX81" i="19" s="1"/>
  <c r="AY81" i="19" s="1"/>
  <c r="AP24" i="16"/>
  <c r="AL24" i="16"/>
  <c r="AM24" i="16" s="1"/>
  <c r="AN24" i="16" s="1"/>
  <c r="AW92" i="17"/>
  <c r="AX92" i="17" s="1"/>
  <c r="AY92" i="17" s="1"/>
  <c r="AW23" i="16"/>
  <c r="AX23" i="16" s="1"/>
  <c r="AY23" i="16" s="1"/>
  <c r="M25" i="16"/>
  <c r="Q25" i="16" s="1"/>
  <c r="L26" i="16" s="1"/>
  <c r="P27" i="16" s="1"/>
  <c r="AQ24" i="16"/>
  <c r="AI24" i="16"/>
  <c r="AJ24" i="16" s="1"/>
  <c r="AK24" i="16" s="1"/>
  <c r="N25" i="16"/>
  <c r="AO25" i="16" s="1"/>
  <c r="AU24" i="16"/>
  <c r="AS24" i="16"/>
  <c r="G82" i="19"/>
  <c r="K82" i="19" s="1"/>
  <c r="J83" i="19"/>
  <c r="H82" i="19"/>
  <c r="J94" i="17"/>
  <c r="H93" i="17"/>
  <c r="AP93" i="17" s="1"/>
  <c r="Z169" i="17"/>
  <c r="Y169" i="17"/>
  <c r="AG169" i="17" s="1"/>
  <c r="AF170" i="17" s="1"/>
  <c r="AL93" i="17"/>
  <c r="AM93" i="17" s="1"/>
  <c r="AN93" i="17" s="1"/>
  <c r="K93" i="17"/>
  <c r="Z35" i="16"/>
  <c r="Y35" i="16"/>
  <c r="AC35" i="16" s="1"/>
  <c r="X36" i="16" s="1"/>
  <c r="AG180" i="19"/>
  <c r="AF181" i="19" s="1"/>
  <c r="AG34" i="16"/>
  <c r="AF35" i="16" s="1"/>
  <c r="Y181" i="19"/>
  <c r="AC181" i="19" s="1"/>
  <c r="X182" i="19" s="1"/>
  <c r="Z181" i="19"/>
  <c r="T203" i="15"/>
  <c r="S204" i="15" s="1"/>
  <c r="AE192" i="19"/>
  <c r="AD193" i="19" s="1"/>
  <c r="AT192" i="19"/>
  <c r="T193" i="19"/>
  <c r="S193" i="19"/>
  <c r="W193" i="19" s="1"/>
  <c r="R194" i="19" s="1"/>
  <c r="AE35" i="16"/>
  <c r="AD36" i="16" s="1"/>
  <c r="AT35" i="16"/>
  <c r="T36" i="16"/>
  <c r="S36" i="16"/>
  <c r="W36" i="16" s="1"/>
  <c r="R37" i="16" s="1"/>
  <c r="L203" i="15"/>
  <c r="I204" i="15" s="1"/>
  <c r="J204" i="15" s="1"/>
  <c r="S201" i="17"/>
  <c r="W201" i="17" s="1"/>
  <c r="R202" i="17" s="1"/>
  <c r="T201" i="17"/>
  <c r="M202" i="17"/>
  <c r="Q202" i="17" s="1"/>
  <c r="L203" i="17" s="1"/>
  <c r="N202" i="17"/>
  <c r="P203" i="17"/>
  <c r="R203" i="15"/>
  <c r="Q204" i="15" s="1"/>
  <c r="AT204" i="15" s="1"/>
  <c r="N202" i="19"/>
  <c r="M202" i="19"/>
  <c r="Q202" i="19" s="1"/>
  <c r="L203" i="19" s="1"/>
  <c r="P203" i="19"/>
  <c r="AT200" i="17"/>
  <c r="AE200" i="17"/>
  <c r="AD201" i="17" s="1"/>
  <c r="AW127" i="18"/>
  <c r="AX127" i="18" s="1"/>
  <c r="AY127" i="18" s="1"/>
  <c r="G128" i="18"/>
  <c r="AR128" i="18" s="1"/>
  <c r="P213" i="18"/>
  <c r="M214" i="18" s="1"/>
  <c r="N214" i="18" s="1"/>
  <c r="R213" i="18"/>
  <c r="Q214" i="18" s="1"/>
  <c r="AT214" i="18" s="1"/>
  <c r="H33" i="16" l="1"/>
  <c r="J34" i="16"/>
  <c r="G33" i="16"/>
  <c r="K33" i="16" s="1"/>
  <c r="F34" i="16" s="1"/>
  <c r="M110" i="29"/>
  <c r="O110" i="29"/>
  <c r="P111" i="29"/>
  <c r="N110" i="29"/>
  <c r="AG161" i="25"/>
  <c r="AF162" i="25" s="1"/>
  <c r="P156" i="24"/>
  <c r="M157" i="24" s="1"/>
  <c r="N157" i="24" s="1"/>
  <c r="Z162" i="25"/>
  <c r="Y162" i="25"/>
  <c r="AC162" i="25" s="1"/>
  <c r="X163" i="25" s="1"/>
  <c r="K142" i="24"/>
  <c r="T142" i="24" s="1"/>
  <c r="S143" i="24" s="1"/>
  <c r="J142" i="24"/>
  <c r="AC145" i="29"/>
  <c r="X146" i="29" s="1"/>
  <c r="AA146" i="29" s="1"/>
  <c r="AE146" i="29" s="1"/>
  <c r="AD147" i="29" s="1"/>
  <c r="AL109" i="29"/>
  <c r="AM109" i="29" s="1"/>
  <c r="AJ109" i="29"/>
  <c r="AK109" i="29" s="1"/>
  <c r="AO109" i="29"/>
  <c r="F103" i="26"/>
  <c r="G103" i="26" s="1"/>
  <c r="AR103" i="26" s="1"/>
  <c r="AI102" i="26"/>
  <c r="AJ102" i="26" s="1"/>
  <c r="AK102" i="26" s="1"/>
  <c r="AL102" i="26"/>
  <c r="AM102" i="26" s="1"/>
  <c r="AN102" i="26" s="1"/>
  <c r="N214" i="26"/>
  <c r="P214" i="26" s="1"/>
  <c r="M215" i="26" s="1"/>
  <c r="N215" i="26" s="1"/>
  <c r="T213" i="26"/>
  <c r="S214" i="26" s="1"/>
  <c r="AT213" i="26"/>
  <c r="R213" i="26"/>
  <c r="Q214" i="26" s="1"/>
  <c r="Z158" i="28"/>
  <c r="Y158" i="28"/>
  <c r="AQ106" i="28"/>
  <c r="AS106" i="28"/>
  <c r="AU106" i="28"/>
  <c r="AG157" i="28"/>
  <c r="AF158" i="28" s="1"/>
  <c r="F107" i="28"/>
  <c r="I107" i="28" s="1"/>
  <c r="Q107" i="28" s="1"/>
  <c r="L108" i="28" s="1"/>
  <c r="W229" i="28"/>
  <c r="AE229" i="28"/>
  <c r="AD230" i="28" s="1"/>
  <c r="AT230" i="28" s="1"/>
  <c r="AM106" i="28"/>
  <c r="AN106" i="28" s="1"/>
  <c r="F134" i="25"/>
  <c r="AO130" i="25"/>
  <c r="AL130" i="25"/>
  <c r="AQ130" i="25"/>
  <c r="AS130" i="25"/>
  <c r="AU130" i="25"/>
  <c r="AI130" i="25"/>
  <c r="N131" i="25"/>
  <c r="AP131" i="25" s="1"/>
  <c r="P132" i="25"/>
  <c r="AJ129" i="25"/>
  <c r="AK129" i="25" s="1"/>
  <c r="AM129" i="25"/>
  <c r="AN129" i="25" s="1"/>
  <c r="AN96" i="24"/>
  <c r="AK96" i="24"/>
  <c r="G97" i="24"/>
  <c r="AR97" i="24" s="1"/>
  <c r="G97" i="15"/>
  <c r="AR97" i="15" s="1"/>
  <c r="AW96" i="15"/>
  <c r="AX96" i="15" s="1"/>
  <c r="AY96" i="15" s="1"/>
  <c r="K109" i="29"/>
  <c r="M131" i="25"/>
  <c r="AL131" i="25" s="1"/>
  <c r="AP25" i="16"/>
  <c r="AW24" i="16"/>
  <c r="AX24" i="16" s="1"/>
  <c r="AY24" i="16" s="1"/>
  <c r="M26" i="16"/>
  <c r="Q26" i="16" s="1"/>
  <c r="L27" i="16" s="1"/>
  <c r="M27" i="16" s="1"/>
  <c r="Q27" i="16" s="1"/>
  <c r="L28" i="16" s="1"/>
  <c r="AI25" i="16"/>
  <c r="AJ25" i="16" s="1"/>
  <c r="AK25" i="16" s="1"/>
  <c r="N26" i="16"/>
  <c r="AP26" i="16" s="1"/>
  <c r="AL25" i="16"/>
  <c r="AM25" i="16" s="1"/>
  <c r="AN25" i="16" s="1"/>
  <c r="AS25" i="16"/>
  <c r="AQ25" i="16"/>
  <c r="AU25" i="16"/>
  <c r="AL82" i="19"/>
  <c r="AM82" i="19" s="1"/>
  <c r="AN82" i="19" s="1"/>
  <c r="F83" i="19"/>
  <c r="AU82" i="19"/>
  <c r="AQ82" i="19"/>
  <c r="AS82" i="19"/>
  <c r="AO93" i="17"/>
  <c r="AI82" i="19"/>
  <c r="AJ82" i="19" s="1"/>
  <c r="AK82" i="19" s="1"/>
  <c r="AP82" i="19"/>
  <c r="AO82" i="19"/>
  <c r="AC169" i="17"/>
  <c r="X170" i="17" s="1"/>
  <c r="AU93" i="17"/>
  <c r="AQ93" i="17"/>
  <c r="AS93" i="17"/>
  <c r="F94" i="17"/>
  <c r="T204" i="15"/>
  <c r="S205" i="15" s="1"/>
  <c r="AG181" i="19"/>
  <c r="AF182" i="19" s="1"/>
  <c r="AG35" i="16"/>
  <c r="AF36" i="16" s="1"/>
  <c r="Y36" i="16"/>
  <c r="AC36" i="16" s="1"/>
  <c r="X37" i="16" s="1"/>
  <c r="Z36" i="16"/>
  <c r="Y182" i="19"/>
  <c r="AC182" i="19" s="1"/>
  <c r="X183" i="19" s="1"/>
  <c r="Z182" i="19"/>
  <c r="L204" i="15"/>
  <c r="I205" i="15" s="1"/>
  <c r="J205" i="15" s="1"/>
  <c r="AE193" i="19"/>
  <c r="AD194" i="19" s="1"/>
  <c r="AT193" i="19"/>
  <c r="S194" i="19"/>
  <c r="W194" i="19" s="1"/>
  <c r="R195" i="19" s="1"/>
  <c r="T194" i="19"/>
  <c r="T37" i="16"/>
  <c r="S37" i="16"/>
  <c r="W37" i="16" s="1"/>
  <c r="R38" i="16" s="1"/>
  <c r="AT36" i="16"/>
  <c r="AE36" i="16"/>
  <c r="AD37" i="16" s="1"/>
  <c r="M203" i="19"/>
  <c r="Q203" i="19" s="1"/>
  <c r="L204" i="19" s="1"/>
  <c r="P204" i="19"/>
  <c r="N203" i="19"/>
  <c r="M203" i="17"/>
  <c r="Q203" i="17" s="1"/>
  <c r="L204" i="17" s="1"/>
  <c r="P204" i="17"/>
  <c r="N203" i="17"/>
  <c r="R204" i="15"/>
  <c r="Q205" i="15" s="1"/>
  <c r="AT205" i="15" s="1"/>
  <c r="AT201" i="17"/>
  <c r="AE201" i="17"/>
  <c r="AD202" i="17" s="1"/>
  <c r="T202" i="17"/>
  <c r="S202" i="17"/>
  <c r="W202" i="17" s="1"/>
  <c r="R203" i="17" s="1"/>
  <c r="H128" i="18"/>
  <c r="T214" i="18"/>
  <c r="S215" i="18" s="1"/>
  <c r="G34" i="16" l="1"/>
  <c r="K34" i="16" s="1"/>
  <c r="F35" i="16" s="1"/>
  <c r="H34" i="16"/>
  <c r="J35" i="16"/>
  <c r="AT147" i="29"/>
  <c r="O108" i="28"/>
  <c r="M108" i="28"/>
  <c r="N108" i="28"/>
  <c r="P109" i="28"/>
  <c r="L142" i="24"/>
  <c r="I143" i="24" s="1"/>
  <c r="AG162" i="25"/>
  <c r="AF163" i="25" s="1"/>
  <c r="Y163" i="25"/>
  <c r="AC163" i="25" s="1"/>
  <c r="X164" i="25" s="1"/>
  <c r="Z163" i="25"/>
  <c r="R142" i="24"/>
  <c r="Q143" i="24" s="1"/>
  <c r="AT143" i="24" s="1"/>
  <c r="Z146" i="29"/>
  <c r="Y146" i="29"/>
  <c r="AG146" i="29" s="1"/>
  <c r="AF147" i="29" s="1"/>
  <c r="AW102" i="26"/>
  <c r="AX102" i="26" s="1"/>
  <c r="AY102" i="26" s="1"/>
  <c r="F110" i="29"/>
  <c r="I110" i="29" s="1"/>
  <c r="AR110" i="29" s="1"/>
  <c r="AQ109" i="29"/>
  <c r="AS109" i="29"/>
  <c r="AU109" i="29"/>
  <c r="AN109" i="29"/>
  <c r="H103" i="26"/>
  <c r="AL103" i="26" s="1"/>
  <c r="T214" i="26"/>
  <c r="S215" i="26" s="1"/>
  <c r="T215" i="26" s="1"/>
  <c r="S216" i="26" s="1"/>
  <c r="AT214" i="26"/>
  <c r="R214" i="26"/>
  <c r="Q215" i="26" s="1"/>
  <c r="AT215" i="26" s="1"/>
  <c r="AG158" i="28"/>
  <c r="AF159" i="28" s="1"/>
  <c r="H107" i="28"/>
  <c r="AP107" i="28" s="1"/>
  <c r="J108" i="28"/>
  <c r="G107" i="28"/>
  <c r="AI107" i="28" s="1"/>
  <c r="R230" i="28"/>
  <c r="V230" i="28" s="1"/>
  <c r="AC158" i="28"/>
  <c r="X159" i="28" s="1"/>
  <c r="AB159" i="28" s="1"/>
  <c r="AW129" i="25"/>
  <c r="AX129" i="25" s="1"/>
  <c r="AY129" i="25" s="1"/>
  <c r="G134" i="25"/>
  <c r="K134" i="25" s="1"/>
  <c r="H134" i="25"/>
  <c r="J135" i="25"/>
  <c r="AO131" i="25"/>
  <c r="AW96" i="24"/>
  <c r="AX96" i="24" s="1"/>
  <c r="AY96" i="24" s="1"/>
  <c r="AM131" i="25"/>
  <c r="AN131" i="25" s="1"/>
  <c r="AJ130" i="25"/>
  <c r="AK130" i="25" s="1"/>
  <c r="AM130" i="25"/>
  <c r="AN130" i="25" s="1"/>
  <c r="O157" i="24"/>
  <c r="P157" i="24" s="1"/>
  <c r="H97" i="24"/>
  <c r="H97" i="15"/>
  <c r="AW106" i="28"/>
  <c r="AX106" i="28" s="1"/>
  <c r="AY106" i="28" s="1"/>
  <c r="Q131" i="25"/>
  <c r="P215" i="26"/>
  <c r="M216" i="26" s="1"/>
  <c r="N216" i="26" s="1"/>
  <c r="AL26" i="16"/>
  <c r="AM26" i="16" s="1"/>
  <c r="AN26" i="16" s="1"/>
  <c r="AS26" i="16"/>
  <c r="N27" i="16"/>
  <c r="AO27" i="16" s="1"/>
  <c r="P28" i="16"/>
  <c r="AQ26" i="16"/>
  <c r="AW82" i="19"/>
  <c r="AX82" i="19" s="1"/>
  <c r="AY82" i="19" s="1"/>
  <c r="AU26" i="16"/>
  <c r="AI26" i="16"/>
  <c r="AJ26" i="16" s="1"/>
  <c r="AK26" i="16" s="1"/>
  <c r="AW93" i="17"/>
  <c r="AX93" i="17" s="1"/>
  <c r="AY93" i="17" s="1"/>
  <c r="AW25" i="16"/>
  <c r="AX25" i="16" s="1"/>
  <c r="AY25" i="16" s="1"/>
  <c r="AO26" i="16"/>
  <c r="G83" i="19"/>
  <c r="AL83" i="19" s="1"/>
  <c r="AM83" i="19" s="1"/>
  <c r="AN83" i="19" s="1"/>
  <c r="H83" i="19"/>
  <c r="J84" i="19"/>
  <c r="Z170" i="17"/>
  <c r="Y170" i="17"/>
  <c r="AG170" i="17" s="1"/>
  <c r="AF171" i="17" s="1"/>
  <c r="T205" i="15"/>
  <c r="S206" i="15" s="1"/>
  <c r="J95" i="17"/>
  <c r="G94" i="17"/>
  <c r="AI94" i="17" s="1"/>
  <c r="AJ94" i="17" s="1"/>
  <c r="AK94" i="17" s="1"/>
  <c r="H94" i="17"/>
  <c r="AG36" i="16"/>
  <c r="AF37" i="16" s="1"/>
  <c r="AG182" i="19"/>
  <c r="AF183" i="19" s="1"/>
  <c r="Z37" i="16"/>
  <c r="Y37" i="16"/>
  <c r="AC37" i="16" s="1"/>
  <c r="X38" i="16" s="1"/>
  <c r="Z183" i="19"/>
  <c r="Y183" i="19"/>
  <c r="AC183" i="19" s="1"/>
  <c r="X184" i="19" s="1"/>
  <c r="AU27" i="16"/>
  <c r="AS27" i="16"/>
  <c r="AQ27" i="16"/>
  <c r="S195" i="19"/>
  <c r="W195" i="19" s="1"/>
  <c r="R196" i="19" s="1"/>
  <c r="T195" i="19"/>
  <c r="AE194" i="19"/>
  <c r="AD195" i="19" s="1"/>
  <c r="AT194" i="19"/>
  <c r="P29" i="16"/>
  <c r="M28" i="16"/>
  <c r="Q28" i="16" s="1"/>
  <c r="L29" i="16" s="1"/>
  <c r="N28" i="16"/>
  <c r="AL27" i="16"/>
  <c r="T38" i="16"/>
  <c r="S38" i="16"/>
  <c r="W38" i="16" s="1"/>
  <c r="R39" i="16" s="1"/>
  <c r="L205" i="15"/>
  <c r="I206" i="15" s="1"/>
  <c r="J206" i="15" s="1"/>
  <c r="AI27" i="16"/>
  <c r="AJ27" i="16" s="1"/>
  <c r="AK27" i="16" s="1"/>
  <c r="AE37" i="16"/>
  <c r="AD38" i="16" s="1"/>
  <c r="AT37" i="16"/>
  <c r="S203" i="17"/>
  <c r="W203" i="17" s="1"/>
  <c r="R204" i="17" s="1"/>
  <c r="T203" i="17"/>
  <c r="R205" i="15"/>
  <c r="Q206" i="15" s="1"/>
  <c r="AT206" i="15" s="1"/>
  <c r="AT202" i="17"/>
  <c r="AE202" i="17"/>
  <c r="AD203" i="17" s="1"/>
  <c r="P205" i="19"/>
  <c r="N204" i="19"/>
  <c r="M204" i="19"/>
  <c r="Q204" i="19" s="1"/>
  <c r="L205" i="19" s="1"/>
  <c r="P205" i="17"/>
  <c r="M204" i="17"/>
  <c r="Q204" i="17" s="1"/>
  <c r="L205" i="17" s="1"/>
  <c r="N204" i="17"/>
  <c r="F129" i="18"/>
  <c r="AL128" i="18"/>
  <c r="AM128" i="18" s="1"/>
  <c r="AN128" i="18" s="1"/>
  <c r="AI128" i="18"/>
  <c r="R214" i="18"/>
  <c r="Q215" i="18" s="1"/>
  <c r="AT215" i="18" s="1"/>
  <c r="P214" i="18"/>
  <c r="M215" i="18" s="1"/>
  <c r="N215" i="18" s="1"/>
  <c r="G35" i="16" l="1"/>
  <c r="K35" i="16" s="1"/>
  <c r="F36" i="16" s="1"/>
  <c r="J36" i="16"/>
  <c r="H35" i="16"/>
  <c r="Q110" i="29"/>
  <c r="L111" i="29" s="1"/>
  <c r="Y164" i="25"/>
  <c r="Z164" i="25"/>
  <c r="AG163" i="25"/>
  <c r="AF164" i="25" s="1"/>
  <c r="K143" i="24"/>
  <c r="R143" i="24" s="1"/>
  <c r="Q144" i="24" s="1"/>
  <c r="J143" i="24"/>
  <c r="AC146" i="29"/>
  <c r="X147" i="29" s="1"/>
  <c r="AA147" i="29" s="1"/>
  <c r="AE147" i="29" s="1"/>
  <c r="AD148" i="29" s="1"/>
  <c r="J111" i="29"/>
  <c r="H110" i="29"/>
  <c r="AP110" i="29" s="1"/>
  <c r="G110" i="29"/>
  <c r="K110" i="29" s="1"/>
  <c r="F111" i="29" s="1"/>
  <c r="I111" i="29" s="1"/>
  <c r="AR111" i="29" s="1"/>
  <c r="F104" i="26"/>
  <c r="G104" i="26" s="1"/>
  <c r="AR104" i="26" s="1"/>
  <c r="AI103" i="26"/>
  <c r="AJ103" i="26" s="1"/>
  <c r="AK103" i="26" s="1"/>
  <c r="AM103" i="26"/>
  <c r="AN103" i="26" s="1"/>
  <c r="R215" i="26"/>
  <c r="Q216" i="26" s="1"/>
  <c r="AT216" i="26" s="1"/>
  <c r="AO107" i="28"/>
  <c r="AL107" i="28"/>
  <c r="T230" i="28"/>
  <c r="S230" i="28"/>
  <c r="W230" i="28" s="1"/>
  <c r="Z159" i="28"/>
  <c r="Y159" i="28"/>
  <c r="AG159" i="28" s="1"/>
  <c r="AF160" i="28" s="1"/>
  <c r="AJ107" i="28"/>
  <c r="AK107" i="28" s="1"/>
  <c r="F135" i="25"/>
  <c r="AW130" i="25"/>
  <c r="AX130" i="25" s="1"/>
  <c r="AY130" i="25" s="1"/>
  <c r="AU131" i="25"/>
  <c r="AI131" i="25"/>
  <c r="AQ131" i="25"/>
  <c r="AS131" i="25"/>
  <c r="L132" i="25"/>
  <c r="F98" i="24"/>
  <c r="AI97" i="24"/>
  <c r="AJ97" i="24" s="1"/>
  <c r="AL97" i="24"/>
  <c r="AM97" i="24" s="1"/>
  <c r="M158" i="24"/>
  <c r="F98" i="15"/>
  <c r="AI97" i="15"/>
  <c r="AJ97" i="15" s="1"/>
  <c r="AK97" i="15" s="1"/>
  <c r="AL97" i="15"/>
  <c r="AM97" i="15" s="1"/>
  <c r="AN97" i="15" s="1"/>
  <c r="AW109" i="29"/>
  <c r="AX109" i="29" s="1"/>
  <c r="AY109" i="29" s="1"/>
  <c r="K107" i="28"/>
  <c r="T216" i="26"/>
  <c r="S217" i="26" s="1"/>
  <c r="AP27" i="16"/>
  <c r="AW26" i="16"/>
  <c r="AX26" i="16" s="1"/>
  <c r="AY26" i="16" s="1"/>
  <c r="T206" i="15"/>
  <c r="S207" i="15" s="1"/>
  <c r="AI83" i="19"/>
  <c r="AJ83" i="19" s="1"/>
  <c r="AK83" i="19" s="1"/>
  <c r="K83" i="19"/>
  <c r="AP83" i="19"/>
  <c r="AO83" i="19"/>
  <c r="AC170" i="17"/>
  <c r="X171" i="17" s="1"/>
  <c r="K94" i="17"/>
  <c r="AQ94" i="17" s="1"/>
  <c r="AL94" i="17"/>
  <c r="AM94" i="17" s="1"/>
  <c r="AN94" i="17" s="1"/>
  <c r="AG37" i="16"/>
  <c r="AF38" i="16" s="1"/>
  <c r="AO94" i="17"/>
  <c r="AP94" i="17"/>
  <c r="AG183" i="19"/>
  <c r="AF184" i="19" s="1"/>
  <c r="Y38" i="16"/>
  <c r="AC38" i="16" s="1"/>
  <c r="X39" i="16" s="1"/>
  <c r="Z38" i="16"/>
  <c r="Y184" i="19"/>
  <c r="AC184" i="19" s="1"/>
  <c r="X185" i="19" s="1"/>
  <c r="Z184" i="19"/>
  <c r="L206" i="15"/>
  <c r="I207" i="15" s="1"/>
  <c r="J207" i="15" s="1"/>
  <c r="AI28" i="16"/>
  <c r="AJ28" i="16" s="1"/>
  <c r="AK28" i="16" s="1"/>
  <c r="S196" i="19"/>
  <c r="W196" i="19" s="1"/>
  <c r="R197" i="19" s="1"/>
  <c r="T196" i="19"/>
  <c r="AQ28" i="16"/>
  <c r="AU28" i="16"/>
  <c r="AL28" i="16"/>
  <c r="AM28" i="16" s="1"/>
  <c r="AN28" i="16" s="1"/>
  <c r="AS28" i="16"/>
  <c r="AT195" i="19"/>
  <c r="AE195" i="19"/>
  <c r="AD196" i="19" s="1"/>
  <c r="AT38" i="16"/>
  <c r="AE38" i="16"/>
  <c r="AD39" i="16" s="1"/>
  <c r="AP28" i="16"/>
  <c r="AO28" i="16"/>
  <c r="N29" i="16"/>
  <c r="P30" i="16"/>
  <c r="M29" i="16"/>
  <c r="Q29" i="16" s="1"/>
  <c r="L30" i="16" s="1"/>
  <c r="T39" i="16"/>
  <c r="S39" i="16"/>
  <c r="W39" i="16" s="1"/>
  <c r="R40" i="16" s="1"/>
  <c r="AM27" i="16"/>
  <c r="AN27" i="16" s="1"/>
  <c r="N205" i="17"/>
  <c r="P206" i="17"/>
  <c r="M205" i="17"/>
  <c r="Q205" i="17" s="1"/>
  <c r="L206" i="17" s="1"/>
  <c r="N205" i="19"/>
  <c r="P206" i="19"/>
  <c r="M205" i="19"/>
  <c r="Q205" i="19" s="1"/>
  <c r="L206" i="19" s="1"/>
  <c r="AT203" i="17"/>
  <c r="AE203" i="17"/>
  <c r="AD204" i="17" s="1"/>
  <c r="R206" i="15"/>
  <c r="Q207" i="15" s="1"/>
  <c r="AT207" i="15" s="1"/>
  <c r="T204" i="17"/>
  <c r="S204" i="17"/>
  <c r="W204" i="17" s="1"/>
  <c r="R205" i="17" s="1"/>
  <c r="AJ128" i="18"/>
  <c r="AK128" i="18" s="1"/>
  <c r="AW128" i="18" s="1"/>
  <c r="AX128" i="18" s="1"/>
  <c r="AY128" i="18" s="1"/>
  <c r="G129" i="18"/>
  <c r="AR129" i="18" s="1"/>
  <c r="T215" i="18"/>
  <c r="S216" i="18" s="1"/>
  <c r="R215" i="18"/>
  <c r="Q216" i="18" s="1"/>
  <c r="AT216" i="18" s="1"/>
  <c r="G36" i="16" l="1"/>
  <c r="K36" i="16" s="1"/>
  <c r="F37" i="16" s="1"/>
  <c r="J37" i="16"/>
  <c r="H36" i="16"/>
  <c r="M111" i="29"/>
  <c r="O111" i="29"/>
  <c r="N111" i="29"/>
  <c r="P112" i="29"/>
  <c r="AT148" i="29"/>
  <c r="L143" i="24"/>
  <c r="I144" i="24" s="1"/>
  <c r="T143" i="24"/>
  <c r="S144" i="24" s="1"/>
  <c r="AG164" i="25"/>
  <c r="AF165" i="25" s="1"/>
  <c r="AC164" i="25"/>
  <c r="X165" i="25" s="1"/>
  <c r="O158" i="24"/>
  <c r="N158" i="24"/>
  <c r="Z147" i="29"/>
  <c r="Y147" i="29"/>
  <c r="AW103" i="26"/>
  <c r="AX103" i="26" s="1"/>
  <c r="AY103" i="26" s="1"/>
  <c r="AU110" i="29"/>
  <c r="AQ110" i="29"/>
  <c r="AS110" i="29"/>
  <c r="AI110" i="29"/>
  <c r="AJ110" i="29" s="1"/>
  <c r="AL110" i="29"/>
  <c r="AM110" i="29" s="1"/>
  <c r="J112" i="29"/>
  <c r="H111" i="29"/>
  <c r="AO110" i="29"/>
  <c r="H104" i="26"/>
  <c r="AU107" i="28"/>
  <c r="AQ107" i="28"/>
  <c r="AS107" i="28"/>
  <c r="AE230" i="28"/>
  <c r="AD231" i="28" s="1"/>
  <c r="AT231" i="28" s="1"/>
  <c r="AM107" i="28"/>
  <c r="AN107" i="28" s="1"/>
  <c r="F108" i="28"/>
  <c r="I108" i="28" s="1"/>
  <c r="Q108" i="28" s="1"/>
  <c r="L109" i="28" s="1"/>
  <c r="AC159" i="28"/>
  <c r="X160" i="28" s="1"/>
  <c r="AB160" i="28" s="1"/>
  <c r="R231" i="28"/>
  <c r="V231" i="28" s="1"/>
  <c r="AW97" i="15"/>
  <c r="AX97" i="15" s="1"/>
  <c r="AY97" i="15" s="1"/>
  <c r="G135" i="25"/>
  <c r="K135" i="25" s="1"/>
  <c r="H135" i="25"/>
  <c r="J136" i="25"/>
  <c r="P133" i="25"/>
  <c r="N132" i="25"/>
  <c r="AP132" i="25" s="1"/>
  <c r="AJ131" i="25"/>
  <c r="AK131" i="25" s="1"/>
  <c r="AW131" i="25" s="1"/>
  <c r="AX131" i="25" s="1"/>
  <c r="AY131" i="25" s="1"/>
  <c r="AT144" i="24"/>
  <c r="AN97" i="24"/>
  <c r="AK97" i="24"/>
  <c r="G98" i="24"/>
  <c r="AR98" i="24" s="1"/>
  <c r="G98" i="15"/>
  <c r="AR98" i="15" s="1"/>
  <c r="M132" i="25"/>
  <c r="AL132" i="25" s="1"/>
  <c r="R216" i="26"/>
  <c r="Q217" i="26" s="1"/>
  <c r="AT217" i="26" s="1"/>
  <c r="P216" i="26"/>
  <c r="M217" i="26" s="1"/>
  <c r="N217" i="26" s="1"/>
  <c r="T207" i="15"/>
  <c r="S208" i="15" s="1"/>
  <c r="AW27" i="16"/>
  <c r="AX27" i="16" s="1"/>
  <c r="AY27" i="16" s="1"/>
  <c r="AU83" i="19"/>
  <c r="F84" i="19"/>
  <c r="AQ83" i="19"/>
  <c r="AS83" i="19"/>
  <c r="F95" i="17"/>
  <c r="J96" i="17" s="1"/>
  <c r="AU94" i="17"/>
  <c r="AS94" i="17"/>
  <c r="Y171" i="17"/>
  <c r="Z171" i="17"/>
  <c r="AG38" i="16"/>
  <c r="AF39" i="16" s="1"/>
  <c r="Z39" i="16"/>
  <c r="Y39" i="16"/>
  <c r="AC39" i="16" s="1"/>
  <c r="X40" i="16" s="1"/>
  <c r="Y185" i="19"/>
  <c r="AC185" i="19" s="1"/>
  <c r="X186" i="19" s="1"/>
  <c r="Z185" i="19"/>
  <c r="AG184" i="19"/>
  <c r="AF185" i="19" s="1"/>
  <c r="AW28" i="16"/>
  <c r="AX28" i="16" s="1"/>
  <c r="AY28" i="16" s="1"/>
  <c r="L207" i="15"/>
  <c r="I208" i="15" s="1"/>
  <c r="J208" i="15" s="1"/>
  <c r="AI29" i="16"/>
  <c r="AJ29" i="16" s="1"/>
  <c r="AK29" i="16" s="1"/>
  <c r="AT196" i="19"/>
  <c r="AE196" i="19"/>
  <c r="AD197" i="19" s="1"/>
  <c r="AU29" i="16"/>
  <c r="S197" i="19"/>
  <c r="W197" i="19" s="1"/>
  <c r="R198" i="19" s="1"/>
  <c r="T197" i="19"/>
  <c r="AL29" i="16"/>
  <c r="AM29" i="16" s="1"/>
  <c r="AN29" i="16" s="1"/>
  <c r="N30" i="16"/>
  <c r="M30" i="16"/>
  <c r="Q30" i="16" s="1"/>
  <c r="L31" i="16" s="1"/>
  <c r="P31" i="16"/>
  <c r="AQ29" i="16"/>
  <c r="AT39" i="16"/>
  <c r="AE39" i="16"/>
  <c r="AD40" i="16" s="1"/>
  <c r="S40" i="16"/>
  <c r="W40" i="16" s="1"/>
  <c r="R41" i="16" s="1"/>
  <c r="T40" i="16"/>
  <c r="AS29" i="16"/>
  <c r="AO29" i="16"/>
  <c r="AP29" i="16"/>
  <c r="M206" i="19"/>
  <c r="Q206" i="19" s="1"/>
  <c r="L207" i="19" s="1"/>
  <c r="N206" i="19"/>
  <c r="P207" i="19"/>
  <c r="T205" i="17"/>
  <c r="S205" i="17"/>
  <c r="W205" i="17" s="1"/>
  <c r="R206" i="17" s="1"/>
  <c r="R207" i="15"/>
  <c r="Q208" i="15" s="1"/>
  <c r="AT208" i="15" s="1"/>
  <c r="AT204" i="17"/>
  <c r="AE204" i="17"/>
  <c r="AD205" i="17" s="1"/>
  <c r="N206" i="17"/>
  <c r="P207" i="17"/>
  <c r="M206" i="17"/>
  <c r="Q206" i="17" s="1"/>
  <c r="L207" i="17" s="1"/>
  <c r="H129" i="18"/>
  <c r="F130" i="18" s="1"/>
  <c r="G130" i="18" s="1"/>
  <c r="AR130" i="18" s="1"/>
  <c r="P215" i="18"/>
  <c r="M216" i="18" s="1"/>
  <c r="N216" i="18" s="1"/>
  <c r="H37" i="16" l="1"/>
  <c r="G37" i="16"/>
  <c r="K37" i="16" s="1"/>
  <c r="F38" i="16" s="1"/>
  <c r="J38" i="16"/>
  <c r="Q111" i="29"/>
  <c r="L112" i="29" s="1"/>
  <c r="M112" i="29" s="1"/>
  <c r="O112" i="29"/>
  <c r="AP111" i="29"/>
  <c r="O109" i="28"/>
  <c r="P110" i="28"/>
  <c r="M109" i="28"/>
  <c r="N109" i="28"/>
  <c r="P158" i="24"/>
  <c r="M159" i="24" s="1"/>
  <c r="Z165" i="25"/>
  <c r="Y165" i="25"/>
  <c r="AG165" i="25" s="1"/>
  <c r="AF166" i="25" s="1"/>
  <c r="K144" i="24"/>
  <c r="T144" i="24" s="1"/>
  <c r="S145" i="24" s="1"/>
  <c r="J144" i="24"/>
  <c r="AC147" i="29"/>
  <c r="X148" i="29" s="1"/>
  <c r="AA148" i="29" s="1"/>
  <c r="AE148" i="29" s="1"/>
  <c r="AD149" i="29" s="1"/>
  <c r="AG147" i="29"/>
  <c r="AF148" i="29" s="1"/>
  <c r="AK110" i="29"/>
  <c r="G111" i="29"/>
  <c r="AI111" i="29" s="1"/>
  <c r="F105" i="26"/>
  <c r="AL104" i="26"/>
  <c r="AI104" i="26"/>
  <c r="J109" i="28"/>
  <c r="H108" i="28"/>
  <c r="AP108" i="28" s="1"/>
  <c r="G108" i="28"/>
  <c r="AI108" i="28" s="1"/>
  <c r="Z160" i="28"/>
  <c r="Y160" i="28"/>
  <c r="AG160" i="28" s="1"/>
  <c r="AF161" i="28" s="1"/>
  <c r="T231" i="28"/>
  <c r="S231" i="28"/>
  <c r="W231" i="28" s="1"/>
  <c r="F136" i="25"/>
  <c r="AO132" i="25"/>
  <c r="AW97" i="24"/>
  <c r="AX97" i="24" s="1"/>
  <c r="AY97" i="24" s="1"/>
  <c r="AM132" i="25"/>
  <c r="AN132" i="25" s="1"/>
  <c r="H98" i="24"/>
  <c r="H98" i="15"/>
  <c r="AW107" i="28"/>
  <c r="AX107" i="28" s="1"/>
  <c r="AY107" i="28" s="1"/>
  <c r="AN110" i="29"/>
  <c r="Q132" i="25"/>
  <c r="P217" i="26"/>
  <c r="M218" i="26" s="1"/>
  <c r="N218" i="26" s="1"/>
  <c r="T208" i="15"/>
  <c r="S209" i="15" s="1"/>
  <c r="AW83" i="19"/>
  <c r="AX83" i="19" s="1"/>
  <c r="AY83" i="19" s="1"/>
  <c r="AW94" i="17"/>
  <c r="AX94" i="17" s="1"/>
  <c r="AY94" i="17" s="1"/>
  <c r="G95" i="17"/>
  <c r="AL95" i="17" s="1"/>
  <c r="AM95" i="17" s="1"/>
  <c r="AN95" i="17" s="1"/>
  <c r="J85" i="19"/>
  <c r="G84" i="19"/>
  <c r="AL84" i="19" s="1"/>
  <c r="AM84" i="19" s="1"/>
  <c r="AN84" i="19" s="1"/>
  <c r="H84" i="19"/>
  <c r="H95" i="17"/>
  <c r="AP95" i="17" s="1"/>
  <c r="AC171" i="17"/>
  <c r="X172" i="17" s="1"/>
  <c r="AG171" i="17"/>
  <c r="AF172" i="17" s="1"/>
  <c r="AG39" i="16"/>
  <c r="AF40" i="16" s="1"/>
  <c r="Y40" i="16"/>
  <c r="AC40" i="16" s="1"/>
  <c r="X41" i="16" s="1"/>
  <c r="Z40" i="16"/>
  <c r="AG185" i="19"/>
  <c r="AF186" i="19" s="1"/>
  <c r="Z186" i="19"/>
  <c r="Y186" i="19"/>
  <c r="AC186" i="19" s="1"/>
  <c r="X187" i="19" s="1"/>
  <c r="AU30" i="16"/>
  <c r="AI30" i="16"/>
  <c r="AJ30" i="16" s="1"/>
  <c r="AK30" i="16" s="1"/>
  <c r="AL30" i="16"/>
  <c r="AW29" i="16"/>
  <c r="AX29" i="16" s="1"/>
  <c r="AY29" i="16" s="1"/>
  <c r="AS30" i="16"/>
  <c r="T198" i="19"/>
  <c r="S198" i="19"/>
  <c r="W198" i="19" s="1"/>
  <c r="R199" i="19" s="1"/>
  <c r="AI129" i="18"/>
  <c r="AJ129" i="18" s="1"/>
  <c r="AK129" i="18" s="1"/>
  <c r="AE197" i="19"/>
  <c r="AD198" i="19" s="1"/>
  <c r="AT197" i="19"/>
  <c r="AE40" i="16"/>
  <c r="AD41" i="16" s="1"/>
  <c r="AT40" i="16"/>
  <c r="N31" i="16"/>
  <c r="M31" i="16"/>
  <c r="Q31" i="16" s="1"/>
  <c r="L32" i="16" s="1"/>
  <c r="P32" i="16"/>
  <c r="T41" i="16"/>
  <c r="S41" i="16"/>
  <c r="W41" i="16" s="1"/>
  <c r="R42" i="16" s="1"/>
  <c r="AQ30" i="16"/>
  <c r="AP30" i="16"/>
  <c r="AO30" i="16"/>
  <c r="P208" i="19"/>
  <c r="M207" i="19"/>
  <c r="Q207" i="19" s="1"/>
  <c r="L208" i="19" s="1"/>
  <c r="N207" i="19"/>
  <c r="M207" i="17"/>
  <c r="Q207" i="17" s="1"/>
  <c r="L208" i="17" s="1"/>
  <c r="P208" i="17"/>
  <c r="N207" i="17"/>
  <c r="S206" i="17"/>
  <c r="W206" i="17" s="1"/>
  <c r="R207" i="17" s="1"/>
  <c r="T206" i="17"/>
  <c r="R208" i="15"/>
  <c r="Q209" i="15" s="1"/>
  <c r="AT209" i="15" s="1"/>
  <c r="AT205" i="17"/>
  <c r="AE205" i="17"/>
  <c r="AD206" i="17" s="1"/>
  <c r="L208" i="15"/>
  <c r="I209" i="15" s="1"/>
  <c r="J209" i="15" s="1"/>
  <c r="AL129" i="18"/>
  <c r="AM129" i="18" s="1"/>
  <c r="AN129" i="18" s="1"/>
  <c r="H130" i="18"/>
  <c r="AL130" i="18" s="1"/>
  <c r="AM130" i="18" s="1"/>
  <c r="AN130" i="18" s="1"/>
  <c r="H38" i="16" l="1"/>
  <c r="J39" i="16"/>
  <c r="G38" i="16"/>
  <c r="K38" i="16" s="1"/>
  <c r="F39" i="16" s="1"/>
  <c r="P113" i="29"/>
  <c r="N112" i="29"/>
  <c r="AT149" i="29"/>
  <c r="L144" i="24"/>
  <c r="I145" i="24" s="1"/>
  <c r="AC165" i="25"/>
  <c r="X166" i="25" s="1"/>
  <c r="R144" i="24"/>
  <c r="Q145" i="24" s="1"/>
  <c r="AT145" i="24" s="1"/>
  <c r="O159" i="24"/>
  <c r="N159" i="24"/>
  <c r="Z148" i="29"/>
  <c r="Y148" i="29"/>
  <c r="AC148" i="29" s="1"/>
  <c r="X149" i="29" s="1"/>
  <c r="AA149" i="29" s="1"/>
  <c r="AE149" i="29" s="1"/>
  <c r="AD150" i="29" s="1"/>
  <c r="AW110" i="29"/>
  <c r="AX110" i="29" s="1"/>
  <c r="AY110" i="29" s="1"/>
  <c r="AL111" i="29"/>
  <c r="AJ111" i="29"/>
  <c r="AK111" i="29" s="1"/>
  <c r="K111" i="29"/>
  <c r="AO111" i="29"/>
  <c r="AJ104" i="26"/>
  <c r="AK104" i="26" s="1"/>
  <c r="G105" i="26"/>
  <c r="AR105" i="26" s="1"/>
  <c r="AM104" i="26"/>
  <c r="AN104" i="26" s="1"/>
  <c r="AL108" i="28"/>
  <c r="AE231" i="28"/>
  <c r="AD232" i="28" s="1"/>
  <c r="AT232" i="28" s="1"/>
  <c r="AO108" i="28"/>
  <c r="AC160" i="28"/>
  <c r="R232" i="28"/>
  <c r="V232" i="28" s="1"/>
  <c r="AJ108" i="28"/>
  <c r="AK108" i="28" s="1"/>
  <c r="G136" i="25"/>
  <c r="K136" i="25" s="1"/>
  <c r="J137" i="25"/>
  <c r="H136" i="25"/>
  <c r="AU132" i="25"/>
  <c r="AS132" i="25"/>
  <c r="AQ132" i="25"/>
  <c r="AI132" i="25"/>
  <c r="L133" i="25"/>
  <c r="F99" i="24"/>
  <c r="AI98" i="24"/>
  <c r="AJ98" i="24" s="1"/>
  <c r="AL98" i="24"/>
  <c r="AM98" i="24" s="1"/>
  <c r="F99" i="15"/>
  <c r="AL98" i="15"/>
  <c r="AM98" i="15" s="1"/>
  <c r="AN98" i="15" s="1"/>
  <c r="AI98" i="15"/>
  <c r="AJ98" i="15" s="1"/>
  <c r="AK98" i="15" s="1"/>
  <c r="K108" i="28"/>
  <c r="P218" i="26"/>
  <c r="M219" i="26" s="1"/>
  <c r="N219" i="26" s="1"/>
  <c r="R217" i="26"/>
  <c r="Q218" i="26" s="1"/>
  <c r="AT218" i="26" s="1"/>
  <c r="T217" i="26"/>
  <c r="S218" i="26" s="1"/>
  <c r="AO95" i="17"/>
  <c r="K95" i="17"/>
  <c r="AQ95" i="17" s="1"/>
  <c r="AI84" i="19"/>
  <c r="AJ84" i="19" s="1"/>
  <c r="AK84" i="19" s="1"/>
  <c r="K84" i="19"/>
  <c r="F85" i="19" s="1"/>
  <c r="AO84" i="19"/>
  <c r="AP84" i="19"/>
  <c r="AI95" i="17"/>
  <c r="AJ95" i="17" s="1"/>
  <c r="AK95" i="17" s="1"/>
  <c r="Z172" i="17"/>
  <c r="Y172" i="17"/>
  <c r="AC172" i="17" s="1"/>
  <c r="X173" i="17" s="1"/>
  <c r="AW129" i="18"/>
  <c r="AX129" i="18" s="1"/>
  <c r="AY129" i="18" s="1"/>
  <c r="AG40" i="16"/>
  <c r="AF41" i="16" s="1"/>
  <c r="Y41" i="16"/>
  <c r="AC41" i="16" s="1"/>
  <c r="X42" i="16" s="1"/>
  <c r="Z41" i="16"/>
  <c r="Y187" i="19"/>
  <c r="AC187" i="19" s="1"/>
  <c r="X188" i="19" s="1"/>
  <c r="Z187" i="19"/>
  <c r="AG186" i="19"/>
  <c r="AF187" i="19" s="1"/>
  <c r="AM30" i="16"/>
  <c r="AN30" i="16" s="1"/>
  <c r="AW30" i="16" s="1"/>
  <c r="AX30" i="16" s="1"/>
  <c r="AY30" i="16" s="1"/>
  <c r="AQ31" i="16"/>
  <c r="AL31" i="16"/>
  <c r="AM31" i="16" s="1"/>
  <c r="AN31" i="16" s="1"/>
  <c r="AI31" i="16"/>
  <c r="AJ31" i="16" s="1"/>
  <c r="AK31" i="16" s="1"/>
  <c r="T199" i="19"/>
  <c r="S199" i="19"/>
  <c r="W199" i="19" s="1"/>
  <c r="R200" i="19" s="1"/>
  <c r="AU31" i="16"/>
  <c r="AE198" i="19"/>
  <c r="AD199" i="19" s="1"/>
  <c r="AT198" i="19"/>
  <c r="S42" i="16"/>
  <c r="W42" i="16" s="1"/>
  <c r="R43" i="16" s="1"/>
  <c r="T42" i="16"/>
  <c r="AS31" i="16"/>
  <c r="AE41" i="16"/>
  <c r="AD42" i="16" s="1"/>
  <c r="AT41" i="16"/>
  <c r="N32" i="16"/>
  <c r="M32" i="16"/>
  <c r="Q32" i="16" s="1"/>
  <c r="L33" i="16" s="1"/>
  <c r="P33" i="16"/>
  <c r="AO31" i="16"/>
  <c r="AP31" i="16"/>
  <c r="P209" i="17"/>
  <c r="N208" i="17"/>
  <c r="M208" i="17"/>
  <c r="Q208" i="17" s="1"/>
  <c r="L209" i="17" s="1"/>
  <c r="N208" i="19"/>
  <c r="M208" i="19"/>
  <c r="Q208" i="19" s="1"/>
  <c r="L209" i="19" s="1"/>
  <c r="P209" i="19"/>
  <c r="T209" i="15"/>
  <c r="S210" i="15" s="1"/>
  <c r="AT206" i="17"/>
  <c r="AE206" i="17"/>
  <c r="AD207" i="17" s="1"/>
  <c r="S207" i="17"/>
  <c r="W207" i="17" s="1"/>
  <c r="R208" i="17" s="1"/>
  <c r="T207" i="17"/>
  <c r="F131" i="18"/>
  <c r="G131" i="18" s="1"/>
  <c r="AR131" i="18" s="1"/>
  <c r="AI130" i="18"/>
  <c r="AJ130" i="18" s="1"/>
  <c r="AK130" i="18" s="1"/>
  <c r="AW130" i="18" s="1"/>
  <c r="AX130" i="18" s="1"/>
  <c r="AY130" i="18" s="1"/>
  <c r="T216" i="18"/>
  <c r="S217" i="18" s="1"/>
  <c r="R216" i="18"/>
  <c r="Q217" i="18" s="1"/>
  <c r="AT217" i="18" s="1"/>
  <c r="P216" i="18"/>
  <c r="M217" i="18" s="1"/>
  <c r="N217" i="18" s="1"/>
  <c r="G39" i="16" l="1"/>
  <c r="K39" i="16" s="1"/>
  <c r="F40" i="16" s="1"/>
  <c r="J40" i="16"/>
  <c r="H39" i="16"/>
  <c r="AT150" i="29"/>
  <c r="P159" i="24"/>
  <c r="M160" i="24" s="1"/>
  <c r="Y166" i="25"/>
  <c r="AG166" i="25" s="1"/>
  <c r="AF167" i="25" s="1"/>
  <c r="Z166" i="25"/>
  <c r="K145" i="24"/>
  <c r="T145" i="24" s="1"/>
  <c r="S146" i="24" s="1"/>
  <c r="J145" i="24"/>
  <c r="Z149" i="29"/>
  <c r="Y149" i="29"/>
  <c r="AC149" i="29" s="1"/>
  <c r="X150" i="29" s="1"/>
  <c r="AA150" i="29" s="1"/>
  <c r="AE150" i="29" s="1"/>
  <c r="AD151" i="29" s="1"/>
  <c r="AG148" i="29"/>
  <c r="AF149" i="29" s="1"/>
  <c r="F112" i="29"/>
  <c r="I112" i="29" s="1"/>
  <c r="AQ111" i="29"/>
  <c r="AS111" i="29"/>
  <c r="AU111" i="29"/>
  <c r="AM111" i="29"/>
  <c r="AN111" i="29" s="1"/>
  <c r="AW104" i="26"/>
  <c r="AX104" i="26" s="1"/>
  <c r="AY104" i="26" s="1"/>
  <c r="H105" i="26"/>
  <c r="T232" i="28"/>
  <c r="S232" i="28"/>
  <c r="W232" i="28" s="1"/>
  <c r="R233" i="28" s="1"/>
  <c r="V233" i="28" s="1"/>
  <c r="AS108" i="28"/>
  <c r="AU108" i="28"/>
  <c r="AQ108" i="28"/>
  <c r="X161" i="28"/>
  <c r="AB161" i="28" s="1"/>
  <c r="F109" i="28"/>
  <c r="I109" i="28" s="1"/>
  <c r="Q109" i="28" s="1"/>
  <c r="L110" i="28" s="1"/>
  <c r="AM108" i="28"/>
  <c r="AN108" i="28" s="1"/>
  <c r="F137" i="25"/>
  <c r="N133" i="25"/>
  <c r="AP133" i="25" s="1"/>
  <c r="P134" i="25"/>
  <c r="AJ132" i="25"/>
  <c r="AK132" i="25" s="1"/>
  <c r="AW132" i="25" s="1"/>
  <c r="AX132" i="25" s="1"/>
  <c r="AY132" i="25" s="1"/>
  <c r="AN98" i="24"/>
  <c r="AK98" i="24"/>
  <c r="G99" i="24"/>
  <c r="AR99" i="24" s="1"/>
  <c r="G99" i="15"/>
  <c r="AR99" i="15" s="1"/>
  <c r="AW98" i="15"/>
  <c r="AX98" i="15" s="1"/>
  <c r="AY98" i="15" s="1"/>
  <c r="M133" i="25"/>
  <c r="AL133" i="25" s="1"/>
  <c r="P219" i="26"/>
  <c r="M220" i="26" s="1"/>
  <c r="N220" i="26" s="1"/>
  <c r="R218" i="26"/>
  <c r="Q219" i="26" s="1"/>
  <c r="AT219" i="26" s="1"/>
  <c r="T218" i="26"/>
  <c r="S219" i="26" s="1"/>
  <c r="AS95" i="17"/>
  <c r="F96" i="17"/>
  <c r="G96" i="17" s="1"/>
  <c r="AU95" i="17"/>
  <c r="AQ84" i="19"/>
  <c r="AU84" i="19"/>
  <c r="AS84" i="19"/>
  <c r="H85" i="19"/>
  <c r="G85" i="19"/>
  <c r="J86" i="19"/>
  <c r="AG172" i="17"/>
  <c r="AF173" i="17" s="1"/>
  <c r="Y173" i="17"/>
  <c r="AC173" i="17" s="1"/>
  <c r="X174" i="17" s="1"/>
  <c r="Z173" i="17"/>
  <c r="AG41" i="16"/>
  <c r="AF42" i="16" s="1"/>
  <c r="Z42" i="16"/>
  <c r="Y42" i="16"/>
  <c r="AC42" i="16" s="1"/>
  <c r="X43" i="16" s="1"/>
  <c r="AG187" i="19"/>
  <c r="AF188" i="19" s="1"/>
  <c r="Z188" i="19"/>
  <c r="Y188" i="19"/>
  <c r="AC188" i="19" s="1"/>
  <c r="X189" i="19" s="1"/>
  <c r="AW31" i="16"/>
  <c r="AX31" i="16" s="1"/>
  <c r="AY31" i="16" s="1"/>
  <c r="AI32" i="16"/>
  <c r="AJ32" i="16" s="1"/>
  <c r="AK32" i="16" s="1"/>
  <c r="AT199" i="19"/>
  <c r="AE199" i="19"/>
  <c r="AD200" i="19" s="1"/>
  <c r="AU32" i="16"/>
  <c r="T200" i="19"/>
  <c r="S200" i="19"/>
  <c r="W200" i="19" s="1"/>
  <c r="R201" i="19" s="1"/>
  <c r="L209" i="15"/>
  <c r="I210" i="15" s="1"/>
  <c r="J210" i="15" s="1"/>
  <c r="AL32" i="16"/>
  <c r="AM32" i="16" s="1"/>
  <c r="AN32" i="16" s="1"/>
  <c r="AS32" i="16"/>
  <c r="S43" i="16"/>
  <c r="W43" i="16" s="1"/>
  <c r="R44" i="16" s="1"/>
  <c r="T43" i="16"/>
  <c r="R209" i="15"/>
  <c r="Q210" i="15" s="1"/>
  <c r="AT210" i="15" s="1"/>
  <c r="AQ32" i="16"/>
  <c r="AE42" i="16"/>
  <c r="AD43" i="16" s="1"/>
  <c r="AT42" i="16"/>
  <c r="AO32" i="16"/>
  <c r="AP32" i="16"/>
  <c r="N33" i="16"/>
  <c r="P34" i="16"/>
  <c r="M33" i="16"/>
  <c r="Q33" i="16" s="1"/>
  <c r="L34" i="16" s="1"/>
  <c r="T210" i="15"/>
  <c r="S211" i="15" s="1"/>
  <c r="S208" i="17"/>
  <c r="W208" i="17" s="1"/>
  <c r="R209" i="17" s="1"/>
  <c r="T208" i="17"/>
  <c r="AT207" i="17"/>
  <c r="AE207" i="17"/>
  <c r="AD208" i="17" s="1"/>
  <c r="M209" i="19"/>
  <c r="Q209" i="19" s="1"/>
  <c r="L210" i="19" s="1"/>
  <c r="N209" i="19"/>
  <c r="P210" i="19"/>
  <c r="M209" i="17"/>
  <c r="Q209" i="17" s="1"/>
  <c r="L210" i="17" s="1"/>
  <c r="N209" i="17"/>
  <c r="P210" i="17"/>
  <c r="H131" i="18"/>
  <c r="AL131" i="18" s="1"/>
  <c r="AM131" i="18" s="1"/>
  <c r="AN131" i="18" s="1"/>
  <c r="P217" i="18"/>
  <c r="M218" i="18" s="1"/>
  <c r="N218" i="18" s="1"/>
  <c r="R217" i="18"/>
  <c r="Q218" i="18" s="1"/>
  <c r="AT218" i="18" s="1"/>
  <c r="H40" i="16" l="1"/>
  <c r="G40" i="16"/>
  <c r="K40" i="16" s="1"/>
  <c r="F41" i="16" s="1"/>
  <c r="J41" i="16"/>
  <c r="AT151" i="29"/>
  <c r="O110" i="28"/>
  <c r="M110" i="28"/>
  <c r="N110" i="28"/>
  <c r="P111" i="28"/>
  <c r="AR112" i="29"/>
  <c r="Q112" i="29"/>
  <c r="L113" i="29" s="1"/>
  <c r="AC166" i="25"/>
  <c r="X167" i="25" s="1"/>
  <c r="Z167" i="25" s="1"/>
  <c r="R145" i="24"/>
  <c r="Q146" i="24" s="1"/>
  <c r="AT146" i="24" s="1"/>
  <c r="O160" i="24"/>
  <c r="N160" i="24"/>
  <c r="L145" i="24"/>
  <c r="I146" i="24" s="1"/>
  <c r="Z150" i="29"/>
  <c r="Y150" i="29"/>
  <c r="AG149" i="29"/>
  <c r="AF150" i="29" s="1"/>
  <c r="AW111" i="29"/>
  <c r="AX111" i="29" s="1"/>
  <c r="AY111" i="29" s="1"/>
  <c r="H112" i="29"/>
  <c r="J113" i="29"/>
  <c r="G112" i="29"/>
  <c r="AL112" i="29" s="1"/>
  <c r="AM112" i="29" s="1"/>
  <c r="F106" i="26"/>
  <c r="AL105" i="26"/>
  <c r="AI105" i="26"/>
  <c r="AJ105" i="26" s="1"/>
  <c r="AK105" i="26" s="1"/>
  <c r="AE232" i="28"/>
  <c r="AD233" i="28" s="1"/>
  <c r="AT233" i="28" s="1"/>
  <c r="T233" i="28"/>
  <c r="S233" i="28"/>
  <c r="Z161" i="28"/>
  <c r="Y161" i="28"/>
  <c r="AG161" i="28" s="1"/>
  <c r="AF162" i="28" s="1"/>
  <c r="H109" i="28"/>
  <c r="AP109" i="28" s="1"/>
  <c r="J110" i="28"/>
  <c r="G109" i="28"/>
  <c r="AI109" i="28" s="1"/>
  <c r="G137" i="25"/>
  <c r="K137" i="25" s="1"/>
  <c r="J138" i="25"/>
  <c r="H137" i="25"/>
  <c r="AW98" i="24"/>
  <c r="AX98" i="24" s="1"/>
  <c r="AY98" i="24" s="1"/>
  <c r="AO133" i="25"/>
  <c r="AM133" i="25"/>
  <c r="AN133" i="25" s="1"/>
  <c r="H99" i="24"/>
  <c r="H99" i="15"/>
  <c r="AW108" i="28"/>
  <c r="AX108" i="28" s="1"/>
  <c r="AY108" i="28" s="1"/>
  <c r="Q133" i="25"/>
  <c r="P220" i="26"/>
  <c r="M221" i="26" s="1"/>
  <c r="N221" i="26" s="1"/>
  <c r="R219" i="26"/>
  <c r="Q220" i="26" s="1"/>
  <c r="AT220" i="26" s="1"/>
  <c r="T219" i="26"/>
  <c r="S220" i="26" s="1"/>
  <c r="J97" i="17"/>
  <c r="AW84" i="19"/>
  <c r="AX84" i="19" s="1"/>
  <c r="AY84" i="19" s="1"/>
  <c r="AW95" i="17"/>
  <c r="AX95" i="17" s="1"/>
  <c r="AY95" i="17" s="1"/>
  <c r="AI96" i="17"/>
  <c r="AJ96" i="17" s="1"/>
  <c r="AK96" i="17" s="1"/>
  <c r="K96" i="17"/>
  <c r="AS96" i="17" s="1"/>
  <c r="H96" i="17"/>
  <c r="AO96" i="17" s="1"/>
  <c r="AL96" i="17"/>
  <c r="AM96" i="17" s="1"/>
  <c r="AN96" i="17" s="1"/>
  <c r="K85" i="19"/>
  <c r="AI85" i="19"/>
  <c r="AJ85" i="19" s="1"/>
  <c r="AK85" i="19" s="1"/>
  <c r="AL85" i="19"/>
  <c r="AM85" i="19" s="1"/>
  <c r="AN85" i="19" s="1"/>
  <c r="AO85" i="19"/>
  <c r="AP85" i="19"/>
  <c r="Y174" i="17"/>
  <c r="AC174" i="17" s="1"/>
  <c r="X175" i="17" s="1"/>
  <c r="Z174" i="17"/>
  <c r="AG173" i="17"/>
  <c r="AF174" i="17" s="1"/>
  <c r="AG188" i="19"/>
  <c r="AF189" i="19" s="1"/>
  <c r="AG42" i="16"/>
  <c r="AF43" i="16" s="1"/>
  <c r="Z43" i="16"/>
  <c r="Y43" i="16"/>
  <c r="AC43" i="16" s="1"/>
  <c r="X44" i="16" s="1"/>
  <c r="Y189" i="19"/>
  <c r="AC189" i="19" s="1"/>
  <c r="X190" i="19" s="1"/>
  <c r="Z189" i="19"/>
  <c r="F132" i="18"/>
  <c r="G132" i="18" s="1"/>
  <c r="AR132" i="18" s="1"/>
  <c r="R210" i="15"/>
  <c r="Q211" i="15" s="1"/>
  <c r="AT211" i="15" s="1"/>
  <c r="AW32" i="16"/>
  <c r="AX32" i="16" s="1"/>
  <c r="AY32" i="16" s="1"/>
  <c r="S201" i="19"/>
  <c r="W201" i="19" s="1"/>
  <c r="R202" i="19" s="1"/>
  <c r="T201" i="19"/>
  <c r="L210" i="15"/>
  <c r="I211" i="15" s="1"/>
  <c r="AE200" i="19"/>
  <c r="AD201" i="19" s="1"/>
  <c r="AT200" i="19"/>
  <c r="P35" i="16"/>
  <c r="M34" i="16"/>
  <c r="Q34" i="16" s="1"/>
  <c r="L35" i="16" s="1"/>
  <c r="N34" i="16"/>
  <c r="AU33" i="16"/>
  <c r="AL33" i="16"/>
  <c r="AP33" i="16"/>
  <c r="AO33" i="16"/>
  <c r="AS33" i="16"/>
  <c r="AQ33" i="16"/>
  <c r="AT43" i="16"/>
  <c r="AE43" i="16"/>
  <c r="AD44" i="16" s="1"/>
  <c r="S44" i="16"/>
  <c r="W44" i="16" s="1"/>
  <c r="R45" i="16" s="1"/>
  <c r="T44" i="16"/>
  <c r="AI33" i="16"/>
  <c r="AT208" i="17"/>
  <c r="AE208" i="17"/>
  <c r="AD209" i="17" s="1"/>
  <c r="T209" i="17"/>
  <c r="S209" i="17"/>
  <c r="W209" i="17" s="1"/>
  <c r="R210" i="17" s="1"/>
  <c r="P211" i="17"/>
  <c r="N210" i="17"/>
  <c r="M210" i="17"/>
  <c r="Q210" i="17" s="1"/>
  <c r="L211" i="17" s="1"/>
  <c r="N210" i="19"/>
  <c r="M210" i="19"/>
  <c r="Q210" i="19" s="1"/>
  <c r="L211" i="19" s="1"/>
  <c r="P211" i="19"/>
  <c r="AI131" i="18"/>
  <c r="AJ131" i="18" s="1"/>
  <c r="AK131" i="18" s="1"/>
  <c r="AW131" i="18" s="1"/>
  <c r="AX131" i="18" s="1"/>
  <c r="AY131" i="18" s="1"/>
  <c r="R218" i="18"/>
  <c r="Q219" i="18" s="1"/>
  <c r="AT219" i="18" s="1"/>
  <c r="T217" i="18"/>
  <c r="S218" i="18" s="1"/>
  <c r="H41" i="16" l="1"/>
  <c r="J42" i="16"/>
  <c r="G41" i="16"/>
  <c r="K41" i="16" s="1"/>
  <c r="F42" i="16" s="1"/>
  <c r="M113" i="29"/>
  <c r="O113" i="29"/>
  <c r="P114" i="29"/>
  <c r="N113" i="29"/>
  <c r="Y167" i="25"/>
  <c r="AG167" i="25" s="1"/>
  <c r="AF168" i="25" s="1"/>
  <c r="P160" i="24"/>
  <c r="M161" i="24" s="1"/>
  <c r="N161" i="24" s="1"/>
  <c r="K146" i="24"/>
  <c r="R146" i="24" s="1"/>
  <c r="Q147" i="24" s="1"/>
  <c r="AT147" i="24" s="1"/>
  <c r="J146" i="24"/>
  <c r="AG150" i="29"/>
  <c r="AF151" i="29" s="1"/>
  <c r="AC150" i="29"/>
  <c r="X151" i="29" s="1"/>
  <c r="AA151" i="29" s="1"/>
  <c r="AE151" i="29" s="1"/>
  <c r="AD152" i="29" s="1"/>
  <c r="AN112" i="29"/>
  <c r="AO112" i="29"/>
  <c r="AP112" i="29"/>
  <c r="AI112" i="29"/>
  <c r="K112" i="29"/>
  <c r="G106" i="26"/>
  <c r="AR106" i="26" s="1"/>
  <c r="AM105" i="26"/>
  <c r="AN105" i="26" s="1"/>
  <c r="AW105" i="26" s="1"/>
  <c r="AX105" i="26" s="1"/>
  <c r="AY105" i="26" s="1"/>
  <c r="AO109" i="28"/>
  <c r="AL109" i="28"/>
  <c r="AC161" i="28"/>
  <c r="X162" i="28" s="1"/>
  <c r="AB162" i="28" s="1"/>
  <c r="W233" i="28"/>
  <c r="R234" i="28" s="1"/>
  <c r="V234" i="28" s="1"/>
  <c r="AE233" i="28"/>
  <c r="AD234" i="28" s="1"/>
  <c r="AT234" i="28" s="1"/>
  <c r="AJ109" i="28"/>
  <c r="AK109" i="28" s="1"/>
  <c r="F138" i="25"/>
  <c r="AQ133" i="25"/>
  <c r="AS133" i="25"/>
  <c r="AU133" i="25"/>
  <c r="AI133" i="25"/>
  <c r="L134" i="25"/>
  <c r="F100" i="24"/>
  <c r="AI99" i="24"/>
  <c r="AJ99" i="24" s="1"/>
  <c r="AL99" i="24"/>
  <c r="AM99" i="24" s="1"/>
  <c r="F100" i="15"/>
  <c r="AI99" i="15"/>
  <c r="AJ99" i="15" s="1"/>
  <c r="AK99" i="15" s="1"/>
  <c r="AL99" i="15"/>
  <c r="AM99" i="15" s="1"/>
  <c r="AN99" i="15" s="1"/>
  <c r="T211" i="15"/>
  <c r="S212" i="15" s="1"/>
  <c r="T212" i="15" s="1"/>
  <c r="S213" i="15" s="1"/>
  <c r="J211" i="15"/>
  <c r="L211" i="15" s="1"/>
  <c r="I212" i="15" s="1"/>
  <c r="J212" i="15" s="1"/>
  <c r="K109" i="28"/>
  <c r="P221" i="26"/>
  <c r="M222" i="26" s="1"/>
  <c r="N222" i="26" s="1"/>
  <c r="R220" i="26"/>
  <c r="Q221" i="26" s="1"/>
  <c r="AT221" i="26" s="1"/>
  <c r="T220" i="26"/>
  <c r="S221" i="26" s="1"/>
  <c r="AU96" i="17"/>
  <c r="AP96" i="17"/>
  <c r="F97" i="17"/>
  <c r="H97" i="17" s="1"/>
  <c r="AQ96" i="17"/>
  <c r="AS85" i="19"/>
  <c r="AQ85" i="19"/>
  <c r="F86" i="19"/>
  <c r="AU85" i="19"/>
  <c r="AG174" i="17"/>
  <c r="AF175" i="17" s="1"/>
  <c r="Z175" i="17"/>
  <c r="Y175" i="17"/>
  <c r="H132" i="18"/>
  <c r="F133" i="18" s="1"/>
  <c r="G133" i="18" s="1"/>
  <c r="AR133" i="18" s="1"/>
  <c r="Z44" i="16"/>
  <c r="Y44" i="16"/>
  <c r="AC44" i="16" s="1"/>
  <c r="X45" i="16" s="1"/>
  <c r="AG43" i="16"/>
  <c r="AF44" i="16" s="1"/>
  <c r="Z190" i="19"/>
  <c r="Y190" i="19"/>
  <c r="AC190" i="19" s="1"/>
  <c r="X191" i="19" s="1"/>
  <c r="AG189" i="19"/>
  <c r="AF190" i="19" s="1"/>
  <c r="AQ34" i="16"/>
  <c r="AI34" i="16"/>
  <c r="AJ34" i="16" s="1"/>
  <c r="AK34" i="16" s="1"/>
  <c r="AU34" i="16"/>
  <c r="AL34" i="16"/>
  <c r="AM34" i="16" s="1"/>
  <c r="AN34" i="16" s="1"/>
  <c r="AT201" i="19"/>
  <c r="AE201" i="19"/>
  <c r="AD202" i="19" s="1"/>
  <c r="T202" i="19"/>
  <c r="S202" i="19"/>
  <c r="W202" i="19" s="1"/>
  <c r="R203" i="19" s="1"/>
  <c r="AJ33" i="16"/>
  <c r="AK33" i="16" s="1"/>
  <c r="AT44" i="16"/>
  <c r="AE44" i="16"/>
  <c r="AD45" i="16" s="1"/>
  <c r="AM33" i="16"/>
  <c r="AN33" i="16" s="1"/>
  <c r="AP34" i="16"/>
  <c r="AO34" i="16"/>
  <c r="T45" i="16"/>
  <c r="S45" i="16"/>
  <c r="W45" i="16" s="1"/>
  <c r="R46" i="16" s="1"/>
  <c r="N35" i="16"/>
  <c r="M35" i="16"/>
  <c r="Q35" i="16" s="1"/>
  <c r="L36" i="16" s="1"/>
  <c r="P36" i="16"/>
  <c r="AS34" i="16"/>
  <c r="R211" i="15"/>
  <c r="Q212" i="15" s="1"/>
  <c r="AT212" i="15" s="1"/>
  <c r="M211" i="19"/>
  <c r="Q211" i="19" s="1"/>
  <c r="L212" i="19" s="1"/>
  <c r="P212" i="19"/>
  <c r="N211" i="19"/>
  <c r="M211" i="17"/>
  <c r="Q211" i="17" s="1"/>
  <c r="L212" i="17" s="1"/>
  <c r="P212" i="17"/>
  <c r="N211" i="17"/>
  <c r="T210" i="17"/>
  <c r="S210" i="17"/>
  <c r="W210" i="17" s="1"/>
  <c r="R211" i="17" s="1"/>
  <c r="AT209" i="17"/>
  <c r="AE209" i="17"/>
  <c r="AD210" i="17" s="1"/>
  <c r="T218" i="18"/>
  <c r="S219" i="18" s="1"/>
  <c r="P218" i="18"/>
  <c r="M219" i="18" s="1"/>
  <c r="N219" i="18" s="1"/>
  <c r="J43" i="16" l="1"/>
  <c r="H42" i="16"/>
  <c r="G42" i="16"/>
  <c r="K42" i="16" s="1"/>
  <c r="F43" i="16" s="1"/>
  <c r="AT152" i="29"/>
  <c r="O161" i="24"/>
  <c r="P161" i="24" s="1"/>
  <c r="M162" i="24" s="1"/>
  <c r="L146" i="24"/>
  <c r="I147" i="24" s="1"/>
  <c r="AC167" i="25"/>
  <c r="X168" i="25" s="1"/>
  <c r="Y168" i="25" s="1"/>
  <c r="AG168" i="25" s="1"/>
  <c r="AF169" i="25" s="1"/>
  <c r="T146" i="24"/>
  <c r="S147" i="24" s="1"/>
  <c r="Z151" i="29"/>
  <c r="Y151" i="29"/>
  <c r="AG151" i="29" s="1"/>
  <c r="AF152" i="29" s="1"/>
  <c r="AJ112" i="29"/>
  <c r="AK112" i="29" s="1"/>
  <c r="F113" i="29"/>
  <c r="I113" i="29" s="1"/>
  <c r="AR113" i="29" s="1"/>
  <c r="AU112" i="29"/>
  <c r="AQ112" i="29"/>
  <c r="AS112" i="29"/>
  <c r="H106" i="26"/>
  <c r="Z162" i="28"/>
  <c r="Y162" i="28"/>
  <c r="AC162" i="28" s="1"/>
  <c r="T234" i="28"/>
  <c r="S234" i="28"/>
  <c r="W234" i="28" s="1"/>
  <c r="AU109" i="28"/>
  <c r="AQ109" i="28"/>
  <c r="AS109" i="28"/>
  <c r="AM109" i="28"/>
  <c r="AN109" i="28" s="1"/>
  <c r="F110" i="28"/>
  <c r="I110" i="28" s="1"/>
  <c r="Q110" i="28" s="1"/>
  <c r="L111" i="28" s="1"/>
  <c r="G138" i="25"/>
  <c r="K138" i="25" s="1"/>
  <c r="H138" i="25"/>
  <c r="J139" i="25"/>
  <c r="AW99" i="15"/>
  <c r="AX99" i="15" s="1"/>
  <c r="AY99" i="15" s="1"/>
  <c r="P135" i="25"/>
  <c r="N134" i="25"/>
  <c r="AP134" i="25" s="1"/>
  <c r="AJ133" i="25"/>
  <c r="AK133" i="25" s="1"/>
  <c r="AW133" i="25" s="1"/>
  <c r="AX133" i="25" s="1"/>
  <c r="AY133" i="25" s="1"/>
  <c r="AK99" i="24"/>
  <c r="AN99" i="24"/>
  <c r="G100" i="24"/>
  <c r="AR100" i="24" s="1"/>
  <c r="G100" i="15"/>
  <c r="AR100" i="15" s="1"/>
  <c r="M134" i="25"/>
  <c r="AL134" i="25" s="1"/>
  <c r="P222" i="26"/>
  <c r="M223" i="26" s="1"/>
  <c r="N223" i="26" s="1"/>
  <c r="R221" i="26"/>
  <c r="Q222" i="26" s="1"/>
  <c r="AT222" i="26" s="1"/>
  <c r="T221" i="26"/>
  <c r="S222" i="26" s="1"/>
  <c r="AW85" i="19"/>
  <c r="AX85" i="19" s="1"/>
  <c r="AY85" i="19" s="1"/>
  <c r="AW96" i="17"/>
  <c r="AX96" i="17" s="1"/>
  <c r="AY96" i="17" s="1"/>
  <c r="J98" i="17"/>
  <c r="G97" i="17"/>
  <c r="AL97" i="17" s="1"/>
  <c r="AM97" i="17" s="1"/>
  <c r="AN97" i="17" s="1"/>
  <c r="AG175" i="17"/>
  <c r="AF176" i="17" s="1"/>
  <c r="AC175" i="17"/>
  <c r="X176" i="17" s="1"/>
  <c r="Y176" i="17" s="1"/>
  <c r="J87" i="19"/>
  <c r="G86" i="19"/>
  <c r="K86" i="19" s="1"/>
  <c r="F87" i="19" s="1"/>
  <c r="H86" i="19"/>
  <c r="H133" i="18"/>
  <c r="AL133" i="18" s="1"/>
  <c r="AM133" i="18" s="1"/>
  <c r="AN133" i="18" s="1"/>
  <c r="AI132" i="18"/>
  <c r="AJ132" i="18" s="1"/>
  <c r="AK132" i="18" s="1"/>
  <c r="AL132" i="18"/>
  <c r="AM132" i="18" s="1"/>
  <c r="AN132" i="18" s="1"/>
  <c r="AG190" i="19"/>
  <c r="AF191" i="19" s="1"/>
  <c r="AP97" i="17"/>
  <c r="AO97" i="17"/>
  <c r="AG44" i="16"/>
  <c r="AF45" i="16" s="1"/>
  <c r="Y45" i="16"/>
  <c r="AC45" i="16" s="1"/>
  <c r="X46" i="16" s="1"/>
  <c r="Z45" i="16"/>
  <c r="Y191" i="19"/>
  <c r="AC191" i="19" s="1"/>
  <c r="X192" i="19" s="1"/>
  <c r="Z191" i="19"/>
  <c r="AS35" i="16"/>
  <c r="AU35" i="16"/>
  <c r="AL35" i="16"/>
  <c r="AM35" i="16" s="1"/>
  <c r="AN35" i="16" s="1"/>
  <c r="AW34" i="16"/>
  <c r="AX34" i="16" s="1"/>
  <c r="AY34" i="16" s="1"/>
  <c r="AI35" i="16"/>
  <c r="AJ35" i="16" s="1"/>
  <c r="AK35" i="16" s="1"/>
  <c r="S203" i="19"/>
  <c r="W203" i="19" s="1"/>
  <c r="R204" i="19" s="1"/>
  <c r="T203" i="19"/>
  <c r="AW33" i="16"/>
  <c r="AX33" i="16" s="1"/>
  <c r="AY33" i="16" s="1"/>
  <c r="AT202" i="19"/>
  <c r="AE202" i="19"/>
  <c r="AD203" i="19" s="1"/>
  <c r="AQ35" i="16"/>
  <c r="AO35" i="16"/>
  <c r="AP35" i="16"/>
  <c r="T46" i="16"/>
  <c r="S46" i="16"/>
  <c r="W46" i="16" s="1"/>
  <c r="R47" i="16" s="1"/>
  <c r="L212" i="15"/>
  <c r="I213" i="15" s="1"/>
  <c r="N36" i="16"/>
  <c r="M36" i="16"/>
  <c r="Q36" i="16" s="1"/>
  <c r="L37" i="16" s="1"/>
  <c r="P37" i="16"/>
  <c r="AE45" i="16"/>
  <c r="AD46" i="16" s="1"/>
  <c r="AT45" i="16"/>
  <c r="R212" i="15"/>
  <c r="Q213" i="15" s="1"/>
  <c r="AT213" i="15" s="1"/>
  <c r="N212" i="19"/>
  <c r="M212" i="19"/>
  <c r="Q212" i="19" s="1"/>
  <c r="L213" i="19" s="1"/>
  <c r="P213" i="19"/>
  <c r="S211" i="17"/>
  <c r="W211" i="17" s="1"/>
  <c r="R212" i="17" s="1"/>
  <c r="T211" i="17"/>
  <c r="M212" i="17"/>
  <c r="Q212" i="17" s="1"/>
  <c r="L213" i="17" s="1"/>
  <c r="N212" i="17"/>
  <c r="P213" i="17"/>
  <c r="AT210" i="17"/>
  <c r="AE210" i="17"/>
  <c r="AD211" i="17" s="1"/>
  <c r="R219" i="18"/>
  <c r="Q220" i="18" s="1"/>
  <c r="AT220" i="18" s="1"/>
  <c r="T219" i="18"/>
  <c r="S220" i="18" s="1"/>
  <c r="Q113" i="29" l="1"/>
  <c r="L114" i="29" s="1"/>
  <c r="P115" i="29" s="1"/>
  <c r="H43" i="16"/>
  <c r="G43" i="16"/>
  <c r="K43" i="16" s="1"/>
  <c r="F44" i="16" s="1"/>
  <c r="J44" i="16"/>
  <c r="O114" i="29"/>
  <c r="O111" i="28"/>
  <c r="M111" i="28"/>
  <c r="P112" i="28"/>
  <c r="N111" i="28"/>
  <c r="Z168" i="25"/>
  <c r="K147" i="24"/>
  <c r="T147" i="24" s="1"/>
  <c r="S148" i="24" s="1"/>
  <c r="J147" i="24"/>
  <c r="O162" i="24"/>
  <c r="N162" i="24"/>
  <c r="AC168" i="25"/>
  <c r="X169" i="25" s="1"/>
  <c r="AW112" i="29"/>
  <c r="AX112" i="29" s="1"/>
  <c r="AY112" i="29" s="1"/>
  <c r="AC151" i="29"/>
  <c r="X152" i="29" s="1"/>
  <c r="AA152" i="29" s="1"/>
  <c r="AE152" i="29" s="1"/>
  <c r="AD153" i="29" s="1"/>
  <c r="AW99" i="24"/>
  <c r="AX99" i="24" s="1"/>
  <c r="AY99" i="24" s="1"/>
  <c r="J114" i="29"/>
  <c r="H113" i="29"/>
  <c r="G113" i="29"/>
  <c r="K113" i="29" s="1"/>
  <c r="F114" i="29" s="1"/>
  <c r="I114" i="29" s="1"/>
  <c r="AR114" i="29" s="1"/>
  <c r="F107" i="26"/>
  <c r="AL106" i="26"/>
  <c r="AI106" i="26"/>
  <c r="AG162" i="28"/>
  <c r="AF163" i="28" s="1"/>
  <c r="AE234" i="28"/>
  <c r="J111" i="28"/>
  <c r="H110" i="28"/>
  <c r="AP110" i="28" s="1"/>
  <c r="G110" i="28"/>
  <c r="AI110" i="28" s="1"/>
  <c r="X163" i="28"/>
  <c r="AB163" i="28" s="1"/>
  <c r="F139" i="25"/>
  <c r="AO134" i="25"/>
  <c r="AM134" i="25"/>
  <c r="AN134" i="25" s="1"/>
  <c r="H100" i="24"/>
  <c r="H100" i="15"/>
  <c r="T213" i="15"/>
  <c r="S214" i="15" s="1"/>
  <c r="T214" i="15" s="1"/>
  <c r="S215" i="15" s="1"/>
  <c r="J213" i="15"/>
  <c r="L213" i="15" s="1"/>
  <c r="I214" i="15" s="1"/>
  <c r="J214" i="15" s="1"/>
  <c r="Q134" i="25"/>
  <c r="AW109" i="28"/>
  <c r="AX109" i="28" s="1"/>
  <c r="AY109" i="28" s="1"/>
  <c r="P223" i="26"/>
  <c r="M224" i="26" s="1"/>
  <c r="N224" i="26" s="1"/>
  <c r="T222" i="26"/>
  <c r="S223" i="26" s="1"/>
  <c r="R222" i="26"/>
  <c r="Q223" i="26" s="1"/>
  <c r="AT223" i="26" s="1"/>
  <c r="AW132" i="18"/>
  <c r="AX132" i="18" s="1"/>
  <c r="AY132" i="18" s="1"/>
  <c r="K97" i="17"/>
  <c r="F98" i="17" s="1"/>
  <c r="J99" i="17" s="1"/>
  <c r="AI97" i="17"/>
  <c r="AJ97" i="17" s="1"/>
  <c r="AK97" i="17" s="1"/>
  <c r="AG176" i="17"/>
  <c r="AF177" i="17" s="1"/>
  <c r="Z176" i="17"/>
  <c r="AS86" i="19"/>
  <c r="AI133" i="18"/>
  <c r="AJ133" i="18" s="1"/>
  <c r="AK133" i="18" s="1"/>
  <c r="AW133" i="18" s="1"/>
  <c r="AX133" i="18" s="1"/>
  <c r="AY133" i="18" s="1"/>
  <c r="F134" i="18"/>
  <c r="G134" i="18" s="1"/>
  <c r="AR134" i="18" s="1"/>
  <c r="AQ86" i="19"/>
  <c r="AO86" i="19"/>
  <c r="AP86" i="19"/>
  <c r="AU86" i="19"/>
  <c r="H87" i="19"/>
  <c r="G87" i="19"/>
  <c r="AL87" i="19" s="1"/>
  <c r="AM87" i="19" s="1"/>
  <c r="AN87" i="19" s="1"/>
  <c r="J88" i="19"/>
  <c r="AL86" i="19"/>
  <c r="AM86" i="19" s="1"/>
  <c r="AN86" i="19" s="1"/>
  <c r="AI86" i="19"/>
  <c r="AJ86" i="19" s="1"/>
  <c r="AK86" i="19" s="1"/>
  <c r="AC176" i="17"/>
  <c r="X177" i="17" s="1"/>
  <c r="Z46" i="16"/>
  <c r="Y46" i="16"/>
  <c r="AC46" i="16" s="1"/>
  <c r="X47" i="16" s="1"/>
  <c r="AG45" i="16"/>
  <c r="AF46" i="16" s="1"/>
  <c r="Z192" i="19"/>
  <c r="Y192" i="19"/>
  <c r="AC192" i="19" s="1"/>
  <c r="X193" i="19" s="1"/>
  <c r="AG191" i="19"/>
  <c r="AF192" i="19" s="1"/>
  <c r="AL36" i="16"/>
  <c r="AM36" i="16" s="1"/>
  <c r="AN36" i="16" s="1"/>
  <c r="AI36" i="16"/>
  <c r="AJ36" i="16" s="1"/>
  <c r="AK36" i="16" s="1"/>
  <c r="AW35" i="16"/>
  <c r="AX35" i="16" s="1"/>
  <c r="AY35" i="16" s="1"/>
  <c r="AU36" i="16"/>
  <c r="AQ36" i="16"/>
  <c r="AT203" i="19"/>
  <c r="AE203" i="19"/>
  <c r="AD204" i="19" s="1"/>
  <c r="S204" i="19"/>
  <c r="W204" i="19" s="1"/>
  <c r="R205" i="19" s="1"/>
  <c r="T204" i="19"/>
  <c r="M37" i="16"/>
  <c r="Q37" i="16" s="1"/>
  <c r="L38" i="16" s="1"/>
  <c r="N37" i="16"/>
  <c r="P38" i="16"/>
  <c r="AT46" i="16"/>
  <c r="AE46" i="16"/>
  <c r="AD47" i="16" s="1"/>
  <c r="AS36" i="16"/>
  <c r="T47" i="16"/>
  <c r="S47" i="16"/>
  <c r="W47" i="16" s="1"/>
  <c r="R48" i="16" s="1"/>
  <c r="AO36" i="16"/>
  <c r="AP36" i="16"/>
  <c r="AT211" i="17"/>
  <c r="AE211" i="17"/>
  <c r="AD212" i="17" s="1"/>
  <c r="M213" i="17"/>
  <c r="Q213" i="17" s="1"/>
  <c r="L214" i="17" s="1"/>
  <c r="N213" i="17"/>
  <c r="P214" i="17"/>
  <c r="T212" i="17"/>
  <c r="S212" i="17"/>
  <c r="W212" i="17" s="1"/>
  <c r="R213" i="17" s="1"/>
  <c r="P214" i="19"/>
  <c r="M213" i="19"/>
  <c r="Q213" i="19" s="1"/>
  <c r="L214" i="19" s="1"/>
  <c r="N213" i="19"/>
  <c r="R213" i="15"/>
  <c r="Q214" i="15" s="1"/>
  <c r="AT214" i="15" s="1"/>
  <c r="P219" i="18"/>
  <c r="M220" i="18" s="1"/>
  <c r="N220" i="18" s="1"/>
  <c r="M114" i="29" l="1"/>
  <c r="Q114" i="29" s="1"/>
  <c r="L115" i="29" s="1"/>
  <c r="N115" i="29" s="1"/>
  <c r="N114" i="29"/>
  <c r="G44" i="16"/>
  <c r="K44" i="16" s="1"/>
  <c r="F45" i="16" s="1"/>
  <c r="H44" i="16"/>
  <c r="J45" i="16"/>
  <c r="AT153" i="29"/>
  <c r="L147" i="24"/>
  <c r="I148" i="24" s="1"/>
  <c r="P162" i="24"/>
  <c r="M163" i="24" s="1"/>
  <c r="Z169" i="25"/>
  <c r="Y169" i="25"/>
  <c r="AG169" i="25" s="1"/>
  <c r="AF170" i="25" s="1"/>
  <c r="R147" i="24"/>
  <c r="Q148" i="24" s="1"/>
  <c r="AT148" i="24" s="1"/>
  <c r="AU113" i="29"/>
  <c r="AS113" i="29"/>
  <c r="Z152" i="29"/>
  <c r="Y152" i="29"/>
  <c r="AG152" i="29" s="1"/>
  <c r="AF153" i="29" s="1"/>
  <c r="AQ113" i="29"/>
  <c r="AO113" i="29"/>
  <c r="AP113" i="29"/>
  <c r="AL113" i="29"/>
  <c r="H114" i="29"/>
  <c r="J115" i="29"/>
  <c r="AI113" i="29"/>
  <c r="G114" i="29"/>
  <c r="K114" i="29" s="1"/>
  <c r="F115" i="29" s="1"/>
  <c r="I115" i="29" s="1"/>
  <c r="AR115" i="29" s="1"/>
  <c r="AM106" i="26"/>
  <c r="AN106" i="26" s="1"/>
  <c r="G107" i="26"/>
  <c r="AR107" i="26" s="1"/>
  <c r="AJ106" i="26"/>
  <c r="AK106" i="26" s="1"/>
  <c r="AL110" i="28"/>
  <c r="Z163" i="28"/>
  <c r="Y163" i="28"/>
  <c r="AC163" i="28" s="1"/>
  <c r="AO110" i="28"/>
  <c r="AJ110" i="28"/>
  <c r="AK110" i="28" s="1"/>
  <c r="G139" i="25"/>
  <c r="K139" i="25" s="1"/>
  <c r="J140" i="25"/>
  <c r="H139" i="25"/>
  <c r="AI134" i="25"/>
  <c r="AQ134" i="25"/>
  <c r="AU134" i="25"/>
  <c r="AS134" i="25"/>
  <c r="L135" i="25"/>
  <c r="M135" i="25" s="1"/>
  <c r="Q135" i="25" s="1"/>
  <c r="L136" i="25" s="1"/>
  <c r="F101" i="24"/>
  <c r="AI100" i="24"/>
  <c r="AJ100" i="24" s="1"/>
  <c r="AL100" i="24"/>
  <c r="AM100" i="24" s="1"/>
  <c r="F101" i="15"/>
  <c r="AL100" i="15"/>
  <c r="AM100" i="15" s="1"/>
  <c r="AN100" i="15" s="1"/>
  <c r="AI100" i="15"/>
  <c r="AJ100" i="15" s="1"/>
  <c r="AK100" i="15" s="1"/>
  <c r="K110" i="28"/>
  <c r="P224" i="26"/>
  <c r="M225" i="26" s="1"/>
  <c r="N225" i="26" s="1"/>
  <c r="R223" i="26"/>
  <c r="Q224" i="26" s="1"/>
  <c r="AT224" i="26" s="1"/>
  <c r="T223" i="26"/>
  <c r="S224" i="26" s="1"/>
  <c r="H98" i="17"/>
  <c r="AO98" i="17" s="1"/>
  <c r="AQ97" i="17"/>
  <c r="AW86" i="19"/>
  <c r="AX86" i="19" s="1"/>
  <c r="AY86" i="19" s="1"/>
  <c r="AU97" i="17"/>
  <c r="G98" i="17"/>
  <c r="AL98" i="17" s="1"/>
  <c r="AM98" i="17" s="1"/>
  <c r="AN98" i="17" s="1"/>
  <c r="AS97" i="17"/>
  <c r="K87" i="19"/>
  <c r="F88" i="19" s="1"/>
  <c r="J89" i="19" s="1"/>
  <c r="AO87" i="19"/>
  <c r="AP87" i="19"/>
  <c r="AI87" i="19"/>
  <c r="AJ87" i="19" s="1"/>
  <c r="AK87" i="19" s="1"/>
  <c r="Y177" i="17"/>
  <c r="AG177" i="17" s="1"/>
  <c r="AF178" i="17" s="1"/>
  <c r="Z177" i="17"/>
  <c r="AG192" i="19"/>
  <c r="AF193" i="19" s="1"/>
  <c r="Z47" i="16"/>
  <c r="Y47" i="16"/>
  <c r="AC47" i="16" s="1"/>
  <c r="X48" i="16" s="1"/>
  <c r="AG46" i="16"/>
  <c r="AF47" i="16" s="1"/>
  <c r="Z193" i="19"/>
  <c r="Y193" i="19"/>
  <c r="AC193" i="19" s="1"/>
  <c r="X194" i="19" s="1"/>
  <c r="AW36" i="16"/>
  <c r="AX36" i="16" s="1"/>
  <c r="AY36" i="16" s="1"/>
  <c r="S205" i="19"/>
  <c r="W205" i="19" s="1"/>
  <c r="R206" i="19" s="1"/>
  <c r="T205" i="19"/>
  <c r="AT204" i="19"/>
  <c r="AE204" i="19"/>
  <c r="AD205" i="19" s="1"/>
  <c r="AS37" i="16"/>
  <c r="T48" i="16"/>
  <c r="S48" i="16"/>
  <c r="W48" i="16" s="1"/>
  <c r="R49" i="16" s="1"/>
  <c r="AT47" i="16"/>
  <c r="AE47" i="16"/>
  <c r="AD48" i="16" s="1"/>
  <c r="AL37" i="16"/>
  <c r="AM37" i="16" s="1"/>
  <c r="AN37" i="16" s="1"/>
  <c r="AQ37" i="16"/>
  <c r="P39" i="16"/>
  <c r="N38" i="16"/>
  <c r="M38" i="16"/>
  <c r="Q38" i="16" s="1"/>
  <c r="L39" i="16" s="1"/>
  <c r="AU37" i="16"/>
  <c r="AI37" i="16"/>
  <c r="AJ37" i="16" s="1"/>
  <c r="AK37" i="16" s="1"/>
  <c r="AO37" i="16"/>
  <c r="AP37" i="16"/>
  <c r="L214" i="15"/>
  <c r="I215" i="15" s="1"/>
  <c r="J215" i="15" s="1"/>
  <c r="S213" i="17"/>
  <c r="W213" i="17" s="1"/>
  <c r="R214" i="17" s="1"/>
  <c r="T213" i="17"/>
  <c r="R214" i="15"/>
  <c r="Q215" i="15" s="1"/>
  <c r="AT215" i="15" s="1"/>
  <c r="AT212" i="17"/>
  <c r="AE212" i="17"/>
  <c r="AD213" i="17" s="1"/>
  <c r="M214" i="17"/>
  <c r="Q214" i="17" s="1"/>
  <c r="L215" i="17" s="1"/>
  <c r="N214" i="17"/>
  <c r="P215" i="17"/>
  <c r="P215" i="19"/>
  <c r="N214" i="19"/>
  <c r="M214" i="19"/>
  <c r="Q214" i="19" s="1"/>
  <c r="L215" i="19" s="1"/>
  <c r="H134" i="18"/>
  <c r="AP114" i="29" l="1"/>
  <c r="J46" i="16"/>
  <c r="H45" i="16"/>
  <c r="G45" i="16"/>
  <c r="K45" i="16" s="1"/>
  <c r="F46" i="16" s="1"/>
  <c r="M115" i="29"/>
  <c r="O115" i="29"/>
  <c r="P116" i="29"/>
  <c r="O163" i="24"/>
  <c r="N163" i="24"/>
  <c r="AC169" i="25"/>
  <c r="X170" i="25" s="1"/>
  <c r="K148" i="24"/>
  <c r="T148" i="24" s="1"/>
  <c r="S149" i="24" s="1"/>
  <c r="J148" i="24"/>
  <c r="AC152" i="29"/>
  <c r="X153" i="29" s="1"/>
  <c r="AA153" i="29" s="1"/>
  <c r="AE153" i="29" s="1"/>
  <c r="AD154" i="29" s="1"/>
  <c r="J116" i="29"/>
  <c r="H115" i="29"/>
  <c r="AP115" i="29" s="1"/>
  <c r="AM113" i="29"/>
  <c r="AN113" i="29" s="1"/>
  <c r="AQ114" i="29"/>
  <c r="AU114" i="29"/>
  <c r="AS114" i="29"/>
  <c r="AJ113" i="29"/>
  <c r="AK113" i="29" s="1"/>
  <c r="AO114" i="29"/>
  <c r="AI114" i="29"/>
  <c r="AL114" i="29"/>
  <c r="H107" i="26"/>
  <c r="AW106" i="26"/>
  <c r="AX106" i="26" s="1"/>
  <c r="AY106" i="26" s="1"/>
  <c r="AG163" i="28"/>
  <c r="AF164" i="28" s="1"/>
  <c r="AQ110" i="28"/>
  <c r="AS110" i="28"/>
  <c r="AU110" i="28"/>
  <c r="F111" i="28"/>
  <c r="I111" i="28" s="1"/>
  <c r="Q111" i="28" s="1"/>
  <c r="L112" i="28" s="1"/>
  <c r="X164" i="28"/>
  <c r="AB164" i="28" s="1"/>
  <c r="AM110" i="28"/>
  <c r="AN110" i="28" s="1"/>
  <c r="F140" i="25"/>
  <c r="AL135" i="25"/>
  <c r="AU135" i="25"/>
  <c r="AQ135" i="25"/>
  <c r="AS135" i="25"/>
  <c r="AI135" i="25"/>
  <c r="N135" i="25"/>
  <c r="AP135" i="25" s="1"/>
  <c r="P136" i="25"/>
  <c r="AJ134" i="25"/>
  <c r="AK134" i="25" s="1"/>
  <c r="AW134" i="25" s="1"/>
  <c r="AX134" i="25" s="1"/>
  <c r="AY134" i="25" s="1"/>
  <c r="P137" i="25"/>
  <c r="N136" i="25"/>
  <c r="AK100" i="24"/>
  <c r="AN100" i="24"/>
  <c r="G101" i="24"/>
  <c r="AR101" i="24" s="1"/>
  <c r="G101" i="15"/>
  <c r="AR101" i="15" s="1"/>
  <c r="AW100" i="15"/>
  <c r="AX100" i="15" s="1"/>
  <c r="AY100" i="15" s="1"/>
  <c r="M136" i="25"/>
  <c r="AL136" i="25" s="1"/>
  <c r="P225" i="26"/>
  <c r="M226" i="26" s="1"/>
  <c r="N226" i="26" s="1"/>
  <c r="R224" i="26"/>
  <c r="Q225" i="26" s="1"/>
  <c r="AT225" i="26" s="1"/>
  <c r="T224" i="26"/>
  <c r="S225" i="26" s="1"/>
  <c r="AP98" i="17"/>
  <c r="AW97" i="17"/>
  <c r="AX97" i="17" s="1"/>
  <c r="AY97" i="17" s="1"/>
  <c r="AI98" i="17"/>
  <c r="AJ98" i="17" s="1"/>
  <c r="AK98" i="17" s="1"/>
  <c r="G88" i="19"/>
  <c r="AL88" i="19" s="1"/>
  <c r="AM88" i="19" s="1"/>
  <c r="AN88" i="19" s="1"/>
  <c r="K98" i="17"/>
  <c r="AU98" i="17" s="1"/>
  <c r="AS87" i="19"/>
  <c r="H88" i="19"/>
  <c r="AU87" i="19"/>
  <c r="AQ87" i="19"/>
  <c r="AC177" i="17"/>
  <c r="X178" i="17" s="1"/>
  <c r="Z48" i="16"/>
  <c r="Y48" i="16"/>
  <c r="AC48" i="16" s="1"/>
  <c r="X49" i="16" s="1"/>
  <c r="AG47" i="16"/>
  <c r="AF48" i="16" s="1"/>
  <c r="Y194" i="19"/>
  <c r="AC194" i="19" s="1"/>
  <c r="X195" i="19" s="1"/>
  <c r="Z194" i="19"/>
  <c r="AG193" i="19"/>
  <c r="AF194" i="19" s="1"/>
  <c r="AU38" i="16"/>
  <c r="AE205" i="19"/>
  <c r="AD206" i="19" s="1"/>
  <c r="AT205" i="19"/>
  <c r="AS38" i="16"/>
  <c r="AI38" i="16"/>
  <c r="AJ38" i="16" s="1"/>
  <c r="AK38" i="16" s="1"/>
  <c r="AL38" i="16"/>
  <c r="AM38" i="16" s="1"/>
  <c r="AN38" i="16" s="1"/>
  <c r="AQ38" i="16"/>
  <c r="T206" i="19"/>
  <c r="S206" i="19"/>
  <c r="W206" i="19" s="1"/>
  <c r="R207" i="19" s="1"/>
  <c r="AW37" i="16"/>
  <c r="AX37" i="16" s="1"/>
  <c r="AY37" i="16" s="1"/>
  <c r="AP38" i="16"/>
  <c r="AO38" i="16"/>
  <c r="AT48" i="16"/>
  <c r="AE48" i="16"/>
  <c r="AD49" i="16" s="1"/>
  <c r="P40" i="16"/>
  <c r="M39" i="16"/>
  <c r="Q39" i="16" s="1"/>
  <c r="L40" i="16" s="1"/>
  <c r="N39" i="16"/>
  <c r="S49" i="16"/>
  <c r="W49" i="16" s="1"/>
  <c r="R50" i="16" s="1"/>
  <c r="T49" i="16"/>
  <c r="T214" i="17"/>
  <c r="S214" i="17"/>
  <c r="W214" i="17" s="1"/>
  <c r="R215" i="17" s="1"/>
  <c r="M215" i="17"/>
  <c r="Q215" i="17" s="1"/>
  <c r="L216" i="17" s="1"/>
  <c r="N215" i="17"/>
  <c r="P216" i="17"/>
  <c r="N215" i="19"/>
  <c r="P216" i="19"/>
  <c r="M215" i="19"/>
  <c r="Q215" i="19" s="1"/>
  <c r="L216" i="19" s="1"/>
  <c r="AT213" i="17"/>
  <c r="AE213" i="17"/>
  <c r="AD214" i="17" s="1"/>
  <c r="T215" i="15"/>
  <c r="S216" i="15" s="1"/>
  <c r="AI134" i="18"/>
  <c r="AJ134" i="18" s="1"/>
  <c r="AK134" i="18" s="1"/>
  <c r="AL134" i="18"/>
  <c r="AM134" i="18" s="1"/>
  <c r="AN134" i="18" s="1"/>
  <c r="F135" i="18"/>
  <c r="T220" i="18"/>
  <c r="S221" i="18" s="1"/>
  <c r="R220" i="18"/>
  <c r="Q221" i="18" s="1"/>
  <c r="AT221" i="18" s="1"/>
  <c r="P220" i="18"/>
  <c r="M221" i="18" s="1"/>
  <c r="N221" i="18" s="1"/>
  <c r="H46" i="16" l="1"/>
  <c r="G46" i="16"/>
  <c r="K46" i="16" s="1"/>
  <c r="F47" i="16" s="1"/>
  <c r="J47" i="16"/>
  <c r="Q115" i="29"/>
  <c r="L116" i="29" s="1"/>
  <c r="AT154" i="29"/>
  <c r="O112" i="28"/>
  <c r="P113" i="28"/>
  <c r="M112" i="28"/>
  <c r="N112" i="28"/>
  <c r="P163" i="24"/>
  <c r="M164" i="24" s="1"/>
  <c r="O164" i="24" s="1"/>
  <c r="L148" i="24"/>
  <c r="I149" i="24" s="1"/>
  <c r="Z170" i="25"/>
  <c r="Y170" i="25"/>
  <c r="AG170" i="25" s="1"/>
  <c r="AF171" i="25" s="1"/>
  <c r="R148" i="24"/>
  <c r="Q149" i="24" s="1"/>
  <c r="AT149" i="24" s="1"/>
  <c r="Z153" i="29"/>
  <c r="Y153" i="29"/>
  <c r="AG153" i="29" s="1"/>
  <c r="AF154" i="29" s="1"/>
  <c r="AW113" i="29"/>
  <c r="AX113" i="29" s="1"/>
  <c r="AY113" i="29" s="1"/>
  <c r="AJ114" i="29"/>
  <c r="AK114" i="29" s="1"/>
  <c r="AM114" i="29"/>
  <c r="AN114" i="29" s="1"/>
  <c r="G115" i="29"/>
  <c r="K115" i="29" s="1"/>
  <c r="F108" i="26"/>
  <c r="AL107" i="26"/>
  <c r="AM107" i="26" s="1"/>
  <c r="AN107" i="26" s="1"/>
  <c r="AI107" i="26"/>
  <c r="H111" i="28"/>
  <c r="AP111" i="28" s="1"/>
  <c r="J112" i="28"/>
  <c r="G111" i="28"/>
  <c r="AL111" i="28" s="1"/>
  <c r="Z164" i="28"/>
  <c r="Y164" i="28"/>
  <c r="AC164" i="28" s="1"/>
  <c r="X165" i="28" s="1"/>
  <c r="AB165" i="28" s="1"/>
  <c r="AP136" i="25"/>
  <c r="G140" i="25"/>
  <c r="K140" i="25" s="1"/>
  <c r="J141" i="25"/>
  <c r="H140" i="25"/>
  <c r="AW100" i="24"/>
  <c r="AX100" i="24" s="1"/>
  <c r="AY100" i="24" s="1"/>
  <c r="AO135" i="25"/>
  <c r="AO136" i="25"/>
  <c r="AM135" i="25"/>
  <c r="AN135" i="25" s="1"/>
  <c r="AJ135" i="25"/>
  <c r="AK135" i="25" s="1"/>
  <c r="AM136" i="25"/>
  <c r="AN136" i="25" s="1"/>
  <c r="H101" i="24"/>
  <c r="H101" i="15"/>
  <c r="AW110" i="28"/>
  <c r="AX110" i="28" s="1"/>
  <c r="AY110" i="28" s="1"/>
  <c r="Q136" i="25"/>
  <c r="P226" i="26"/>
  <c r="M227" i="26" s="1"/>
  <c r="N227" i="26" s="1"/>
  <c r="R225" i="26"/>
  <c r="Q226" i="26" s="1"/>
  <c r="AT226" i="26" s="1"/>
  <c r="T225" i="26"/>
  <c r="S226" i="26" s="1"/>
  <c r="AW87" i="19"/>
  <c r="AX87" i="19" s="1"/>
  <c r="AY87" i="19" s="1"/>
  <c r="AI88" i="19"/>
  <c r="AJ88" i="19" s="1"/>
  <c r="AK88" i="19" s="1"/>
  <c r="AS98" i="17"/>
  <c r="AQ98" i="17"/>
  <c r="K88" i="19"/>
  <c r="F89" i="19" s="1"/>
  <c r="J90" i="19" s="1"/>
  <c r="F99" i="17"/>
  <c r="H99" i="17" s="1"/>
  <c r="AP99" i="17" s="1"/>
  <c r="AO88" i="19"/>
  <c r="AP88" i="19"/>
  <c r="Z178" i="17"/>
  <c r="Y178" i="17"/>
  <c r="Y49" i="16"/>
  <c r="Z49" i="16"/>
  <c r="AG48" i="16"/>
  <c r="AF49" i="16" s="1"/>
  <c r="AG194" i="19"/>
  <c r="AF195" i="19" s="1"/>
  <c r="Z195" i="19"/>
  <c r="Y195" i="19"/>
  <c r="AC195" i="19" s="1"/>
  <c r="X196" i="19" s="1"/>
  <c r="AW38" i="16"/>
  <c r="AX38" i="16" s="1"/>
  <c r="AY38" i="16" s="1"/>
  <c r="AU39" i="16"/>
  <c r="AL39" i="16"/>
  <c r="AM39" i="16" s="1"/>
  <c r="AN39" i="16" s="1"/>
  <c r="AQ39" i="16"/>
  <c r="AI39" i="16"/>
  <c r="AJ39" i="16" s="1"/>
  <c r="AK39" i="16" s="1"/>
  <c r="AE206" i="19"/>
  <c r="AD207" i="19" s="1"/>
  <c r="AT206" i="19"/>
  <c r="AS39" i="16"/>
  <c r="T207" i="19"/>
  <c r="S207" i="19"/>
  <c r="W207" i="19" s="1"/>
  <c r="R208" i="19" s="1"/>
  <c r="S50" i="16"/>
  <c r="W50" i="16" s="1"/>
  <c r="R51" i="16" s="1"/>
  <c r="T50" i="16"/>
  <c r="L215" i="15"/>
  <c r="I216" i="15" s="1"/>
  <c r="J216" i="15" s="1"/>
  <c r="AO39" i="16"/>
  <c r="AP39" i="16"/>
  <c r="M40" i="16"/>
  <c r="Q40" i="16" s="1"/>
  <c r="L41" i="16" s="1"/>
  <c r="P41" i="16"/>
  <c r="N40" i="16"/>
  <c r="AT49" i="16"/>
  <c r="AE49" i="16"/>
  <c r="AD50" i="16" s="1"/>
  <c r="T216" i="15"/>
  <c r="S217" i="15" s="1"/>
  <c r="P217" i="17"/>
  <c r="N216" i="17"/>
  <c r="M216" i="17"/>
  <c r="Q216" i="17" s="1"/>
  <c r="L217" i="17" s="1"/>
  <c r="R215" i="15"/>
  <c r="Q216" i="15" s="1"/>
  <c r="AT216" i="15" s="1"/>
  <c r="AT214" i="17"/>
  <c r="AE214" i="17"/>
  <c r="AD215" i="17" s="1"/>
  <c r="M216" i="19"/>
  <c r="Q216" i="19" s="1"/>
  <c r="L217" i="19" s="1"/>
  <c r="P217" i="19"/>
  <c r="N216" i="19"/>
  <c r="S215" i="17"/>
  <c r="W215" i="17" s="1"/>
  <c r="R216" i="17" s="1"/>
  <c r="T215" i="17"/>
  <c r="G135" i="18"/>
  <c r="AR135" i="18" s="1"/>
  <c r="AW134" i="18"/>
  <c r="AX134" i="18" s="1"/>
  <c r="AY134" i="18" s="1"/>
  <c r="P221" i="18"/>
  <c r="M222" i="18" s="1"/>
  <c r="N222" i="18" s="1"/>
  <c r="T221" i="18"/>
  <c r="S222" i="18" s="1"/>
  <c r="R221" i="18"/>
  <c r="Q222" i="18" s="1"/>
  <c r="AT222" i="18" s="1"/>
  <c r="H47" i="16" l="1"/>
  <c r="J48" i="16"/>
  <c r="G47" i="16"/>
  <c r="K47" i="16" s="1"/>
  <c r="F48" i="16" s="1"/>
  <c r="P117" i="29"/>
  <c r="N116" i="29"/>
  <c r="M116" i="29"/>
  <c r="O116" i="29"/>
  <c r="N164" i="24"/>
  <c r="P164" i="24" s="1"/>
  <c r="M165" i="24" s="1"/>
  <c r="K149" i="24"/>
  <c r="R149" i="24" s="1"/>
  <c r="Q150" i="24" s="1"/>
  <c r="AT150" i="24" s="1"/>
  <c r="J149" i="24"/>
  <c r="AC170" i="25"/>
  <c r="X171" i="25" s="1"/>
  <c r="AC153" i="29"/>
  <c r="X154" i="29" s="1"/>
  <c r="AA154" i="29" s="1"/>
  <c r="AE154" i="29" s="1"/>
  <c r="AD155" i="29" s="1"/>
  <c r="AW114" i="29"/>
  <c r="AX114" i="29" s="1"/>
  <c r="AY114" i="29" s="1"/>
  <c r="F116" i="29"/>
  <c r="I116" i="29" s="1"/>
  <c r="AQ115" i="29"/>
  <c r="AU115" i="29"/>
  <c r="AS115" i="29"/>
  <c r="AL115" i="29"/>
  <c r="AI115" i="29"/>
  <c r="AO115" i="29"/>
  <c r="G108" i="26"/>
  <c r="AR108" i="26" s="1"/>
  <c r="AJ107" i="26"/>
  <c r="AK107" i="26" s="1"/>
  <c r="AW107" i="26" s="1"/>
  <c r="AX107" i="26" s="1"/>
  <c r="AY107" i="26" s="1"/>
  <c r="Z165" i="28"/>
  <c r="Y165" i="28"/>
  <c r="AO111" i="28"/>
  <c r="AI111" i="28"/>
  <c r="AJ111" i="28" s="1"/>
  <c r="AG164" i="28"/>
  <c r="AF165" i="28" s="1"/>
  <c r="F141" i="25"/>
  <c r="AI136" i="25"/>
  <c r="AU136" i="25"/>
  <c r="AQ136" i="25"/>
  <c r="AS136" i="25"/>
  <c r="AW135" i="25"/>
  <c r="AX135" i="25" s="1"/>
  <c r="AY135" i="25" s="1"/>
  <c r="L137" i="25"/>
  <c r="F102" i="24"/>
  <c r="AI101" i="24"/>
  <c r="AJ101" i="24" s="1"/>
  <c r="AL101" i="24"/>
  <c r="AM101" i="24" s="1"/>
  <c r="F102" i="15"/>
  <c r="AL101" i="15"/>
  <c r="AM101" i="15" s="1"/>
  <c r="AN101" i="15" s="1"/>
  <c r="AI101" i="15"/>
  <c r="AJ101" i="15" s="1"/>
  <c r="AK101" i="15" s="1"/>
  <c r="K111" i="28"/>
  <c r="T226" i="26"/>
  <c r="S227" i="26" s="1"/>
  <c r="R226" i="26"/>
  <c r="Q227" i="26" s="1"/>
  <c r="AT227" i="26" s="1"/>
  <c r="AW98" i="17"/>
  <c r="AX98" i="17" s="1"/>
  <c r="AY98" i="17" s="1"/>
  <c r="AQ88" i="19"/>
  <c r="H89" i="19"/>
  <c r="AO89" i="19" s="1"/>
  <c r="AS88" i="19"/>
  <c r="G89" i="19"/>
  <c r="K89" i="19" s="1"/>
  <c r="AQ89" i="19" s="1"/>
  <c r="AO99" i="17"/>
  <c r="AU88" i="19"/>
  <c r="J100" i="17"/>
  <c r="G99" i="17"/>
  <c r="AI99" i="17" s="1"/>
  <c r="AJ99" i="17" s="1"/>
  <c r="AK99" i="17" s="1"/>
  <c r="AG49" i="16"/>
  <c r="AF50" i="16" s="1"/>
  <c r="AC49" i="16"/>
  <c r="X50" i="16" s="1"/>
  <c r="Y50" i="16" s="1"/>
  <c r="AC178" i="17"/>
  <c r="X179" i="17" s="1"/>
  <c r="AG178" i="17"/>
  <c r="AF179" i="17" s="1"/>
  <c r="AG195" i="19"/>
  <c r="AF196" i="19" s="1"/>
  <c r="Y196" i="19"/>
  <c r="AC196" i="19" s="1"/>
  <c r="X197" i="19" s="1"/>
  <c r="Z196" i="19"/>
  <c r="AW39" i="16"/>
  <c r="AX39" i="16" s="1"/>
  <c r="AY39" i="16" s="1"/>
  <c r="S208" i="19"/>
  <c r="W208" i="19" s="1"/>
  <c r="R209" i="19" s="1"/>
  <c r="T208" i="19"/>
  <c r="AT207" i="19"/>
  <c r="AE207" i="19"/>
  <c r="AD208" i="19" s="1"/>
  <c r="AT50" i="16"/>
  <c r="AE50" i="16"/>
  <c r="AD51" i="16" s="1"/>
  <c r="AS40" i="16"/>
  <c r="AL40" i="16"/>
  <c r="AM40" i="16" s="1"/>
  <c r="AN40" i="16" s="1"/>
  <c r="M41" i="16"/>
  <c r="Q41" i="16" s="1"/>
  <c r="L42" i="16" s="1"/>
  <c r="N41" i="16"/>
  <c r="P42" i="16"/>
  <c r="L216" i="15"/>
  <c r="I217" i="15" s="1"/>
  <c r="J217" i="15" s="1"/>
  <c r="AU40" i="16"/>
  <c r="AO40" i="16"/>
  <c r="AP40" i="16"/>
  <c r="AQ40" i="16"/>
  <c r="AI40" i="16"/>
  <c r="AJ40" i="16" s="1"/>
  <c r="AK40" i="16" s="1"/>
  <c r="S51" i="16"/>
  <c r="W51" i="16" s="1"/>
  <c r="R52" i="16" s="1"/>
  <c r="T51" i="16"/>
  <c r="T217" i="15"/>
  <c r="S218" i="15" s="1"/>
  <c r="T216" i="17"/>
  <c r="S216" i="17"/>
  <c r="W216" i="17" s="1"/>
  <c r="R217" i="17" s="1"/>
  <c r="AT215" i="17"/>
  <c r="AE215" i="17"/>
  <c r="AD216" i="17" s="1"/>
  <c r="R216" i="15"/>
  <c r="Q217" i="15" s="1"/>
  <c r="AT217" i="15" s="1"/>
  <c r="P218" i="17"/>
  <c r="M217" i="17"/>
  <c r="Q217" i="17" s="1"/>
  <c r="L218" i="17" s="1"/>
  <c r="N217" i="17"/>
  <c r="M217" i="19"/>
  <c r="Q217" i="19" s="1"/>
  <c r="L218" i="19" s="1"/>
  <c r="P218" i="19"/>
  <c r="N217" i="19"/>
  <c r="H135" i="18"/>
  <c r="AI135" i="18" s="1"/>
  <c r="AJ135" i="18" s="1"/>
  <c r="AK135" i="18" s="1"/>
  <c r="P222" i="18"/>
  <c r="M223" i="18" s="1"/>
  <c r="N223" i="18" s="1"/>
  <c r="T222" i="18"/>
  <c r="S223" i="18" s="1"/>
  <c r="R222" i="18"/>
  <c r="Q223" i="18" s="1"/>
  <c r="AT223" i="18" s="1"/>
  <c r="G48" i="16" l="1"/>
  <c r="K48" i="16" s="1"/>
  <c r="F49" i="16" s="1"/>
  <c r="J49" i="16"/>
  <c r="H48" i="16"/>
  <c r="AT155" i="29"/>
  <c r="AR116" i="29"/>
  <c r="Q116" i="29"/>
  <c r="L117" i="29" s="1"/>
  <c r="L149" i="24"/>
  <c r="I150" i="24" s="1"/>
  <c r="Z171" i="25"/>
  <c r="Y171" i="25"/>
  <c r="AG171" i="25" s="1"/>
  <c r="AF172" i="25" s="1"/>
  <c r="O165" i="24"/>
  <c r="N165" i="24"/>
  <c r="T149" i="24"/>
  <c r="S150" i="24" s="1"/>
  <c r="Z154" i="29"/>
  <c r="Y154" i="29"/>
  <c r="AG154" i="29" s="1"/>
  <c r="AF155" i="29" s="1"/>
  <c r="H116" i="29"/>
  <c r="AP116" i="29" s="1"/>
  <c r="J117" i="29"/>
  <c r="AM115" i="29"/>
  <c r="AN115" i="29" s="1"/>
  <c r="AJ115" i="29"/>
  <c r="AK115" i="29" s="1"/>
  <c r="G116" i="29"/>
  <c r="K116" i="29" s="1"/>
  <c r="F117" i="29" s="1"/>
  <c r="I117" i="29" s="1"/>
  <c r="AR117" i="29" s="1"/>
  <c r="H108" i="26"/>
  <c r="AK111" i="28"/>
  <c r="AQ111" i="28"/>
  <c r="AS111" i="28"/>
  <c r="AU111" i="28"/>
  <c r="AC165" i="28"/>
  <c r="AG165" i="28"/>
  <c r="F112" i="28"/>
  <c r="I112" i="28" s="1"/>
  <c r="Q112" i="28" s="1"/>
  <c r="L113" i="28" s="1"/>
  <c r="AM111" i="28"/>
  <c r="AN111" i="28" s="1"/>
  <c r="G141" i="25"/>
  <c r="K141" i="25" s="1"/>
  <c r="J142" i="25"/>
  <c r="H141" i="25"/>
  <c r="N137" i="25"/>
  <c r="AP137" i="25" s="1"/>
  <c r="P138" i="25"/>
  <c r="AJ136" i="25"/>
  <c r="AK136" i="25" s="1"/>
  <c r="AW136" i="25" s="1"/>
  <c r="AX136" i="25" s="1"/>
  <c r="AY136" i="25" s="1"/>
  <c r="AK101" i="24"/>
  <c r="AN101" i="24"/>
  <c r="G102" i="24"/>
  <c r="AR102" i="24" s="1"/>
  <c r="G102" i="15"/>
  <c r="AR102" i="15" s="1"/>
  <c r="AW101" i="15"/>
  <c r="AX101" i="15" s="1"/>
  <c r="AY101" i="15" s="1"/>
  <c r="M137" i="25"/>
  <c r="Q137" i="25" s="1"/>
  <c r="L138" i="25" s="1"/>
  <c r="T227" i="26"/>
  <c r="S228" i="26" s="1"/>
  <c r="P227" i="26"/>
  <c r="M228" i="26" s="1"/>
  <c r="N228" i="26" s="1"/>
  <c r="R227" i="26"/>
  <c r="Q228" i="26" s="1"/>
  <c r="AT228" i="26" s="1"/>
  <c r="AW88" i="19"/>
  <c r="AX88" i="19" s="1"/>
  <c r="AY88" i="19" s="1"/>
  <c r="AL89" i="19"/>
  <c r="AM89" i="19" s="1"/>
  <c r="AN89" i="19" s="1"/>
  <c r="F90" i="19"/>
  <c r="J91" i="19" s="1"/>
  <c r="AS89" i="19"/>
  <c r="AU89" i="19"/>
  <c r="AP89" i="19"/>
  <c r="K99" i="17"/>
  <c r="AU99" i="17" s="1"/>
  <c r="AI89" i="19"/>
  <c r="AJ89" i="19" s="1"/>
  <c r="AK89" i="19" s="1"/>
  <c r="AL99" i="17"/>
  <c r="AM99" i="17" s="1"/>
  <c r="AN99" i="17" s="1"/>
  <c r="Z50" i="16"/>
  <c r="AG50" i="16"/>
  <c r="AF51" i="16" s="1"/>
  <c r="Y179" i="17"/>
  <c r="AC179" i="17" s="1"/>
  <c r="X180" i="17" s="1"/>
  <c r="Z179" i="17"/>
  <c r="AC50" i="16"/>
  <c r="X51" i="16" s="1"/>
  <c r="Z51" i="16" s="1"/>
  <c r="Y197" i="19"/>
  <c r="AC197" i="19" s="1"/>
  <c r="X198" i="19" s="1"/>
  <c r="Z197" i="19"/>
  <c r="AG196" i="19"/>
  <c r="AF197" i="19" s="1"/>
  <c r="AI41" i="16"/>
  <c r="AJ41" i="16" s="1"/>
  <c r="AK41" i="16" s="1"/>
  <c r="L217" i="15"/>
  <c r="I218" i="15" s="1"/>
  <c r="AS41" i="16"/>
  <c r="AQ41" i="16"/>
  <c r="AL41" i="16"/>
  <c r="AM41" i="16" s="1"/>
  <c r="AN41" i="16" s="1"/>
  <c r="AU41" i="16"/>
  <c r="S209" i="19"/>
  <c r="W209" i="19" s="1"/>
  <c r="R210" i="19" s="1"/>
  <c r="T209" i="19"/>
  <c r="AT208" i="19"/>
  <c r="AE208" i="19"/>
  <c r="AD209" i="19" s="1"/>
  <c r="P43" i="16"/>
  <c r="M42" i="16"/>
  <c r="Q42" i="16" s="1"/>
  <c r="L43" i="16" s="1"/>
  <c r="N42" i="16"/>
  <c r="AW40" i="16"/>
  <c r="AX40" i="16" s="1"/>
  <c r="AY40" i="16" s="1"/>
  <c r="AP41" i="16"/>
  <c r="AO41" i="16"/>
  <c r="AE51" i="16"/>
  <c r="AD52" i="16" s="1"/>
  <c r="AT51" i="16"/>
  <c r="S52" i="16"/>
  <c r="W52" i="16" s="1"/>
  <c r="R53" i="16" s="1"/>
  <c r="T52" i="16"/>
  <c r="P219" i="17"/>
  <c r="M218" i="17"/>
  <c r="Q218" i="17" s="1"/>
  <c r="L219" i="17" s="1"/>
  <c r="N218" i="17"/>
  <c r="M218" i="19"/>
  <c r="Q218" i="19" s="1"/>
  <c r="L219" i="19" s="1"/>
  <c r="P219" i="19"/>
  <c r="N218" i="19"/>
  <c r="R217" i="15"/>
  <c r="Q218" i="15" s="1"/>
  <c r="AT218" i="15" s="1"/>
  <c r="T217" i="17"/>
  <c r="S217" i="17"/>
  <c r="W217" i="17" s="1"/>
  <c r="R218" i="17" s="1"/>
  <c r="AT216" i="17"/>
  <c r="AE216" i="17"/>
  <c r="AD217" i="17" s="1"/>
  <c r="F136" i="18"/>
  <c r="AL135" i="18"/>
  <c r="AM135" i="18" s="1"/>
  <c r="AN135" i="18" s="1"/>
  <c r="AW135" i="18" s="1"/>
  <c r="AX135" i="18" s="1"/>
  <c r="AY135" i="18" s="1"/>
  <c r="T223" i="18"/>
  <c r="S224" i="18" s="1"/>
  <c r="H49" i="16" l="1"/>
  <c r="G49" i="16"/>
  <c r="K49" i="16" s="1"/>
  <c r="F50" i="16" s="1"/>
  <c r="J50" i="16"/>
  <c r="M117" i="29"/>
  <c r="O117" i="29"/>
  <c r="N117" i="29"/>
  <c r="P118" i="29"/>
  <c r="O113" i="28"/>
  <c r="M113" i="28"/>
  <c r="P114" i="28"/>
  <c r="N113" i="28"/>
  <c r="P165" i="24"/>
  <c r="M166" i="24" s="1"/>
  <c r="AC171" i="25"/>
  <c r="X172" i="25" s="1"/>
  <c r="Y172" i="25" s="1"/>
  <c r="AG172" i="25" s="1"/>
  <c r="AF173" i="25" s="1"/>
  <c r="K150" i="24"/>
  <c r="R150" i="24" s="1"/>
  <c r="Q151" i="24" s="1"/>
  <c r="J150" i="24"/>
  <c r="AC154" i="29"/>
  <c r="X155" i="29" s="1"/>
  <c r="AA155" i="29" s="1"/>
  <c r="AE155" i="29" s="1"/>
  <c r="AD156" i="29" s="1"/>
  <c r="AW115" i="29"/>
  <c r="AX115" i="29" s="1"/>
  <c r="AY115" i="29" s="1"/>
  <c r="AQ116" i="29"/>
  <c r="AL116" i="29"/>
  <c r="AU116" i="29"/>
  <c r="AS116" i="29"/>
  <c r="J118" i="29"/>
  <c r="H117" i="29"/>
  <c r="AI116" i="29"/>
  <c r="AO116" i="29"/>
  <c r="F109" i="26"/>
  <c r="G109" i="26" s="1"/>
  <c r="AR109" i="26" s="1"/>
  <c r="AL108" i="26"/>
  <c r="AI108" i="26"/>
  <c r="AJ108" i="26" s="1"/>
  <c r="AK108" i="26" s="1"/>
  <c r="J113" i="28"/>
  <c r="H112" i="28"/>
  <c r="AP112" i="28" s="1"/>
  <c r="G112" i="28"/>
  <c r="AL112" i="28" s="1"/>
  <c r="X166" i="28"/>
  <c r="AB166" i="28" s="1"/>
  <c r="AF166" i="28"/>
  <c r="F142" i="25"/>
  <c r="AL137" i="25"/>
  <c r="AO137" i="25"/>
  <c r="AI137" i="25"/>
  <c r="AQ137" i="25"/>
  <c r="AS137" i="25"/>
  <c r="AU137" i="25"/>
  <c r="AW101" i="24"/>
  <c r="AX101" i="24" s="1"/>
  <c r="AY101" i="24" s="1"/>
  <c r="P139" i="25"/>
  <c r="N138" i="25"/>
  <c r="AP138" i="25" s="1"/>
  <c r="H102" i="24"/>
  <c r="H102" i="15"/>
  <c r="T218" i="15"/>
  <c r="S219" i="15" s="1"/>
  <c r="J218" i="15"/>
  <c r="L218" i="15" s="1"/>
  <c r="I219" i="15" s="1"/>
  <c r="J219" i="15" s="1"/>
  <c r="AW111" i="28"/>
  <c r="AX111" i="28" s="1"/>
  <c r="AY111" i="28" s="1"/>
  <c r="T228" i="26"/>
  <c r="S229" i="26" s="1"/>
  <c r="AW89" i="19"/>
  <c r="AX89" i="19" s="1"/>
  <c r="AY89" i="19" s="1"/>
  <c r="AQ99" i="17"/>
  <c r="H90" i="19"/>
  <c r="AP90" i="19" s="1"/>
  <c r="F100" i="17"/>
  <c r="J101" i="17" s="1"/>
  <c r="G90" i="19"/>
  <c r="AI90" i="19" s="1"/>
  <c r="AJ90" i="19" s="1"/>
  <c r="AK90" i="19" s="1"/>
  <c r="AS99" i="17"/>
  <c r="AG179" i="17"/>
  <c r="AF180" i="17" s="1"/>
  <c r="Z180" i="17"/>
  <c r="Y180" i="17"/>
  <c r="AC180" i="17" s="1"/>
  <c r="X181" i="17" s="1"/>
  <c r="Y51" i="16"/>
  <c r="AG51" i="16" s="1"/>
  <c r="AF52" i="16" s="1"/>
  <c r="AG197" i="19"/>
  <c r="AF198" i="19" s="1"/>
  <c r="AW41" i="16"/>
  <c r="AX41" i="16" s="1"/>
  <c r="AY41" i="16" s="1"/>
  <c r="Z198" i="19"/>
  <c r="Y198" i="19"/>
  <c r="AQ42" i="16"/>
  <c r="AL42" i="16"/>
  <c r="AM42" i="16" s="1"/>
  <c r="AN42" i="16" s="1"/>
  <c r="AS42" i="16"/>
  <c r="AU42" i="16"/>
  <c r="AI42" i="16"/>
  <c r="AJ42" i="16" s="1"/>
  <c r="AK42" i="16" s="1"/>
  <c r="AE209" i="19"/>
  <c r="AD210" i="19" s="1"/>
  <c r="AT209" i="19"/>
  <c r="S210" i="19"/>
  <c r="W210" i="19" s="1"/>
  <c r="R211" i="19" s="1"/>
  <c r="T210" i="19"/>
  <c r="T53" i="16"/>
  <c r="S53" i="16"/>
  <c r="W53" i="16" s="1"/>
  <c r="R54" i="16" s="1"/>
  <c r="M43" i="16"/>
  <c r="Q43" i="16" s="1"/>
  <c r="L44" i="16" s="1"/>
  <c r="P44" i="16"/>
  <c r="N43" i="16"/>
  <c r="AE52" i="16"/>
  <c r="AD53" i="16" s="1"/>
  <c r="AT52" i="16"/>
  <c r="AO42" i="16"/>
  <c r="AP42" i="16"/>
  <c r="AT217" i="17"/>
  <c r="AE217" i="17"/>
  <c r="AD218" i="17" s="1"/>
  <c r="R218" i="15"/>
  <c r="Q219" i="15" s="1"/>
  <c r="AT219" i="15" s="1"/>
  <c r="N219" i="17"/>
  <c r="P220" i="17"/>
  <c r="M219" i="17"/>
  <c r="Q219" i="17" s="1"/>
  <c r="L220" i="17" s="1"/>
  <c r="M219" i="19"/>
  <c r="Q219" i="19" s="1"/>
  <c r="L220" i="19" s="1"/>
  <c r="N219" i="19"/>
  <c r="P220" i="19"/>
  <c r="T218" i="17"/>
  <c r="S218" i="17"/>
  <c r="W218" i="17" s="1"/>
  <c r="R219" i="17" s="1"/>
  <c r="G136" i="18"/>
  <c r="AR136" i="18" s="1"/>
  <c r="P223" i="18"/>
  <c r="M224" i="18" s="1"/>
  <c r="N224" i="18" s="1"/>
  <c r="R223" i="18"/>
  <c r="Q224" i="18" s="1"/>
  <c r="AT224" i="18" s="1"/>
  <c r="J51" i="16" l="1"/>
  <c r="G50" i="16"/>
  <c r="K50" i="16" s="1"/>
  <c r="F51" i="16" s="1"/>
  <c r="H50" i="16"/>
  <c r="AP117" i="29"/>
  <c r="Q117" i="29"/>
  <c r="L118" i="29" s="1"/>
  <c r="M118" i="29" s="1"/>
  <c r="AT156" i="29"/>
  <c r="Z172" i="25"/>
  <c r="L150" i="24"/>
  <c r="I151" i="24" s="1"/>
  <c r="T150" i="24"/>
  <c r="S151" i="24" s="1"/>
  <c r="AC172" i="25"/>
  <c r="X173" i="25" s="1"/>
  <c r="O166" i="24"/>
  <c r="N166" i="24"/>
  <c r="Y155" i="29"/>
  <c r="Z155" i="29"/>
  <c r="AM116" i="29"/>
  <c r="AN116" i="29" s="1"/>
  <c r="AJ116" i="29"/>
  <c r="AK116" i="29" s="1"/>
  <c r="G117" i="29"/>
  <c r="AL117" i="29" s="1"/>
  <c r="H109" i="26"/>
  <c r="AL109" i="26" s="1"/>
  <c r="AM108" i="26"/>
  <c r="AN108" i="26" s="1"/>
  <c r="AW108" i="26" s="1"/>
  <c r="AX108" i="26" s="1"/>
  <c r="AY108" i="26" s="1"/>
  <c r="AO112" i="28"/>
  <c r="AI112" i="28"/>
  <c r="AJ112" i="28" s="1"/>
  <c r="AK112" i="28" s="1"/>
  <c r="Z166" i="28"/>
  <c r="Y166" i="28"/>
  <c r="AC166" i="28" s="1"/>
  <c r="X167" i="28" s="1"/>
  <c r="AB167" i="28" s="1"/>
  <c r="G142" i="25"/>
  <c r="K142" i="25" s="1"/>
  <c r="H142" i="25"/>
  <c r="J143" i="25"/>
  <c r="AO138" i="25"/>
  <c r="AJ137" i="25"/>
  <c r="AK137" i="25" s="1"/>
  <c r="AM137" i="25"/>
  <c r="AN137" i="25" s="1"/>
  <c r="F103" i="24"/>
  <c r="G103" i="24" s="1"/>
  <c r="AR103" i="24" s="1"/>
  <c r="AI102" i="24"/>
  <c r="AJ102" i="24" s="1"/>
  <c r="AL102" i="24"/>
  <c r="AM102" i="24" s="1"/>
  <c r="AT151" i="24"/>
  <c r="F103" i="15"/>
  <c r="AI102" i="15"/>
  <c r="AJ102" i="15" s="1"/>
  <c r="AK102" i="15" s="1"/>
  <c r="AL102" i="15"/>
  <c r="AM102" i="15" s="1"/>
  <c r="AN102" i="15" s="1"/>
  <c r="K112" i="28"/>
  <c r="M138" i="25"/>
  <c r="AL138" i="25" s="1"/>
  <c r="R228" i="26"/>
  <c r="Q229" i="26" s="1"/>
  <c r="AT229" i="26" s="1"/>
  <c r="P228" i="26"/>
  <c r="M229" i="26" s="1"/>
  <c r="N229" i="26" s="1"/>
  <c r="AW99" i="17"/>
  <c r="AX99" i="17" s="1"/>
  <c r="AY99" i="17" s="1"/>
  <c r="AO90" i="19"/>
  <c r="G100" i="17"/>
  <c r="AL100" i="17" s="1"/>
  <c r="AM100" i="17" s="1"/>
  <c r="AN100" i="17" s="1"/>
  <c r="H100" i="17"/>
  <c r="AP100" i="17" s="1"/>
  <c r="AL90" i="19"/>
  <c r="AM90" i="19" s="1"/>
  <c r="AN90" i="19" s="1"/>
  <c r="K90" i="19"/>
  <c r="F91" i="19" s="1"/>
  <c r="H91" i="19" s="1"/>
  <c r="AP91" i="19" s="1"/>
  <c r="AG180" i="17"/>
  <c r="AF181" i="17" s="1"/>
  <c r="AG198" i="19"/>
  <c r="AF199" i="19" s="1"/>
  <c r="Y181" i="17"/>
  <c r="AC181" i="17" s="1"/>
  <c r="X182" i="17" s="1"/>
  <c r="Z181" i="17"/>
  <c r="AC51" i="16"/>
  <c r="X52" i="16" s="1"/>
  <c r="Y52" i="16" s="1"/>
  <c r="AG52" i="16" s="1"/>
  <c r="AF53" i="16" s="1"/>
  <c r="AC198" i="19"/>
  <c r="X199" i="19" s="1"/>
  <c r="Y199" i="19" s="1"/>
  <c r="AI43" i="16"/>
  <c r="AJ43" i="16" s="1"/>
  <c r="AK43" i="16" s="1"/>
  <c r="AW42" i="16"/>
  <c r="AX42" i="16" s="1"/>
  <c r="AY42" i="16" s="1"/>
  <c r="L219" i="15"/>
  <c r="I220" i="15" s="1"/>
  <c r="J220" i="15" s="1"/>
  <c r="AL43" i="16"/>
  <c r="AM43" i="16" s="1"/>
  <c r="AN43" i="16" s="1"/>
  <c r="AQ43" i="16"/>
  <c r="T211" i="19"/>
  <c r="S211" i="19"/>
  <c r="W211" i="19" s="1"/>
  <c r="R212" i="19" s="1"/>
  <c r="AT210" i="19"/>
  <c r="AE210" i="19"/>
  <c r="AD211" i="19" s="1"/>
  <c r="AS43" i="16"/>
  <c r="AT53" i="16"/>
  <c r="AE53" i="16"/>
  <c r="AD54" i="16" s="1"/>
  <c r="P45" i="16"/>
  <c r="N44" i="16"/>
  <c r="M44" i="16"/>
  <c r="Q44" i="16" s="1"/>
  <c r="L45" i="16" s="1"/>
  <c r="AP43" i="16"/>
  <c r="AO43" i="16"/>
  <c r="S54" i="16"/>
  <c r="W54" i="16" s="1"/>
  <c r="R55" i="16" s="1"/>
  <c r="T54" i="16"/>
  <c r="T219" i="15"/>
  <c r="S220" i="15" s="1"/>
  <c r="AU43" i="16"/>
  <c r="P221" i="19"/>
  <c r="N220" i="19"/>
  <c r="M220" i="19"/>
  <c r="Q220" i="19" s="1"/>
  <c r="L221" i="19" s="1"/>
  <c r="AT218" i="17"/>
  <c r="AE218" i="17"/>
  <c r="AD219" i="17" s="1"/>
  <c r="R219" i="15"/>
  <c r="Q220" i="15" s="1"/>
  <c r="AT220" i="15" s="1"/>
  <c r="S219" i="17"/>
  <c r="W219" i="17" s="1"/>
  <c r="R220" i="17" s="1"/>
  <c r="T219" i="17"/>
  <c r="N220" i="17"/>
  <c r="P221" i="17"/>
  <c r="M220" i="17"/>
  <c r="Q220" i="17" s="1"/>
  <c r="L221" i="17" s="1"/>
  <c r="H136" i="18"/>
  <c r="AI136" i="18" s="1"/>
  <c r="AJ136" i="18" s="1"/>
  <c r="AK136" i="18" s="1"/>
  <c r="T224" i="18"/>
  <c r="S225" i="18" s="1"/>
  <c r="G51" i="16" l="1"/>
  <c r="K51" i="16" s="1"/>
  <c r="F52" i="16" s="1"/>
  <c r="H51" i="16"/>
  <c r="J52" i="16"/>
  <c r="O118" i="29"/>
  <c r="N118" i="29"/>
  <c r="P119" i="29"/>
  <c r="P166" i="24"/>
  <c r="M167" i="24" s="1"/>
  <c r="K151" i="24"/>
  <c r="R151" i="24" s="1"/>
  <c r="Q152" i="24" s="1"/>
  <c r="AT152" i="24" s="1"/>
  <c r="J151" i="24"/>
  <c r="Z173" i="25"/>
  <c r="Y173" i="25"/>
  <c r="AG173" i="25" s="1"/>
  <c r="AF174" i="25" s="1"/>
  <c r="AC155" i="29"/>
  <c r="X156" i="29" s="1"/>
  <c r="AA156" i="29" s="1"/>
  <c r="AE156" i="29" s="1"/>
  <c r="AD157" i="29" s="1"/>
  <c r="AG155" i="29"/>
  <c r="AF156" i="29" s="1"/>
  <c r="AW116" i="29"/>
  <c r="AX116" i="29" s="1"/>
  <c r="AY116" i="29" s="1"/>
  <c r="K117" i="29"/>
  <c r="AM117" i="29"/>
  <c r="AN117" i="29" s="1"/>
  <c r="AO117" i="29"/>
  <c r="AI117" i="29"/>
  <c r="F110" i="26"/>
  <c r="G110" i="26" s="1"/>
  <c r="AR110" i="26" s="1"/>
  <c r="AI109" i="26"/>
  <c r="AJ109" i="26" s="1"/>
  <c r="AK109" i="26" s="1"/>
  <c r="AM109" i="26"/>
  <c r="AN109" i="26" s="1"/>
  <c r="Z167" i="28"/>
  <c r="Y167" i="28"/>
  <c r="AC167" i="28" s="1"/>
  <c r="X168" i="28" s="1"/>
  <c r="AB168" i="28" s="1"/>
  <c r="AU112" i="28"/>
  <c r="AQ112" i="28"/>
  <c r="AS112" i="28"/>
  <c r="AG166" i="28"/>
  <c r="AF167" i="28" s="1"/>
  <c r="AM112" i="28"/>
  <c r="AN112" i="28" s="1"/>
  <c r="F113" i="28"/>
  <c r="I113" i="28" s="1"/>
  <c r="Q113" i="28" s="1"/>
  <c r="L114" i="28" s="1"/>
  <c r="AW102" i="15"/>
  <c r="AX102" i="15" s="1"/>
  <c r="AY102" i="15" s="1"/>
  <c r="F143" i="25"/>
  <c r="AW137" i="25"/>
  <c r="AX137" i="25" s="1"/>
  <c r="AY137" i="25" s="1"/>
  <c r="AM138" i="25"/>
  <c r="AN138" i="25" s="1"/>
  <c r="AK102" i="24"/>
  <c r="AN102" i="24"/>
  <c r="H103" i="24"/>
  <c r="AI103" i="24" s="1"/>
  <c r="AJ103" i="24" s="1"/>
  <c r="G103" i="15"/>
  <c r="AR103" i="15" s="1"/>
  <c r="Q138" i="25"/>
  <c r="P229" i="26"/>
  <c r="M230" i="26" s="1"/>
  <c r="N230" i="26" s="1"/>
  <c r="G91" i="19"/>
  <c r="AL91" i="19" s="1"/>
  <c r="AM91" i="19" s="1"/>
  <c r="AN91" i="19" s="1"/>
  <c r="AU90" i="19"/>
  <c r="J92" i="19"/>
  <c r="AO100" i="17"/>
  <c r="AI100" i="17"/>
  <c r="AJ100" i="17" s="1"/>
  <c r="AK100" i="17" s="1"/>
  <c r="K100" i="17"/>
  <c r="AQ100" i="17" s="1"/>
  <c r="AQ90" i="19"/>
  <c r="AO91" i="19"/>
  <c r="AS90" i="19"/>
  <c r="AG199" i="19"/>
  <c r="AF200" i="19" s="1"/>
  <c r="AC52" i="16"/>
  <c r="X53" i="16" s="1"/>
  <c r="Z53" i="16" s="1"/>
  <c r="Y182" i="17"/>
  <c r="AC182" i="17" s="1"/>
  <c r="X183" i="17" s="1"/>
  <c r="Z182" i="17"/>
  <c r="AG181" i="17"/>
  <c r="AF182" i="17" s="1"/>
  <c r="Z52" i="16"/>
  <c r="Z199" i="19"/>
  <c r="AC199" i="19"/>
  <c r="X200" i="19" s="1"/>
  <c r="L220" i="15"/>
  <c r="I221" i="15" s="1"/>
  <c r="J221" i="15" s="1"/>
  <c r="S212" i="19"/>
  <c r="W212" i="19" s="1"/>
  <c r="R213" i="19" s="1"/>
  <c r="T212" i="19"/>
  <c r="T220" i="15"/>
  <c r="S221" i="15" s="1"/>
  <c r="AW43" i="16"/>
  <c r="AX43" i="16" s="1"/>
  <c r="AY43" i="16" s="1"/>
  <c r="AS44" i="16"/>
  <c r="AT211" i="19"/>
  <c r="AE211" i="19"/>
  <c r="AD212" i="19" s="1"/>
  <c r="AQ44" i="16"/>
  <c r="AL44" i="16"/>
  <c r="AM44" i="16" s="1"/>
  <c r="AN44" i="16" s="1"/>
  <c r="AO44" i="16"/>
  <c r="AP44" i="16"/>
  <c r="AI44" i="16"/>
  <c r="AJ44" i="16" s="1"/>
  <c r="AK44" i="16" s="1"/>
  <c r="AU44" i="16"/>
  <c r="AE54" i="16"/>
  <c r="AD55" i="16" s="1"/>
  <c r="AT54" i="16"/>
  <c r="T55" i="16"/>
  <c r="S55" i="16"/>
  <c r="W55" i="16" s="1"/>
  <c r="R56" i="16" s="1"/>
  <c r="P46" i="16"/>
  <c r="N45" i="16"/>
  <c r="M45" i="16"/>
  <c r="Q45" i="16" s="1"/>
  <c r="L46" i="16" s="1"/>
  <c r="N221" i="17"/>
  <c r="P222" i="17"/>
  <c r="M221" i="17"/>
  <c r="Q221" i="17" s="1"/>
  <c r="L222" i="17" s="1"/>
  <c r="M221" i="19"/>
  <c r="Q221" i="19" s="1"/>
  <c r="L222" i="19" s="1"/>
  <c r="N221" i="19"/>
  <c r="P222" i="19"/>
  <c r="S220" i="17"/>
  <c r="W220" i="17" s="1"/>
  <c r="R221" i="17" s="1"/>
  <c r="T220" i="17"/>
  <c r="AT219" i="17"/>
  <c r="AE219" i="17"/>
  <c r="AD220" i="17" s="1"/>
  <c r="R220" i="15"/>
  <c r="Q221" i="15" s="1"/>
  <c r="AT221" i="15" s="1"/>
  <c r="F137" i="18"/>
  <c r="G137" i="18" s="1"/>
  <c r="AR137" i="18" s="1"/>
  <c r="AL136" i="18"/>
  <c r="AM136" i="18" s="1"/>
  <c r="AN136" i="18" s="1"/>
  <c r="AW136" i="18" s="1"/>
  <c r="AX136" i="18" s="1"/>
  <c r="AY136" i="18" s="1"/>
  <c r="R224" i="18"/>
  <c r="Q225" i="18" s="1"/>
  <c r="AT225" i="18" s="1"/>
  <c r="P224" i="18"/>
  <c r="M225" i="18" s="1"/>
  <c r="N225" i="18" s="1"/>
  <c r="J53" i="16" l="1"/>
  <c r="G52" i="16"/>
  <c r="K52" i="16" s="1"/>
  <c r="F53" i="16" s="1"/>
  <c r="H52" i="16"/>
  <c r="AT157" i="29"/>
  <c r="O114" i="28"/>
  <c r="M114" i="28"/>
  <c r="N114" i="28"/>
  <c r="P115" i="28"/>
  <c r="L151" i="24"/>
  <c r="I152" i="24" s="1"/>
  <c r="AC173" i="25"/>
  <c r="X174" i="25" s="1"/>
  <c r="T151" i="24"/>
  <c r="S152" i="24" s="1"/>
  <c r="O167" i="24"/>
  <c r="N167" i="24"/>
  <c r="Y156" i="29"/>
  <c r="AC156" i="29" s="1"/>
  <c r="X157" i="29" s="1"/>
  <c r="AA157" i="29" s="1"/>
  <c r="AE157" i="29" s="1"/>
  <c r="AD158" i="29" s="1"/>
  <c r="Z156" i="29"/>
  <c r="F118" i="29"/>
  <c r="I118" i="29" s="1"/>
  <c r="AS117" i="29"/>
  <c r="AQ117" i="29"/>
  <c r="AU117" i="29"/>
  <c r="AJ117" i="29"/>
  <c r="AK117" i="29" s="1"/>
  <c r="AW109" i="26"/>
  <c r="AX109" i="26" s="1"/>
  <c r="AY109" i="26" s="1"/>
  <c r="H110" i="26"/>
  <c r="Z168" i="28"/>
  <c r="Y168" i="28"/>
  <c r="AC168" i="28" s="1"/>
  <c r="X169" i="28" s="1"/>
  <c r="AB169" i="28" s="1"/>
  <c r="AG167" i="28"/>
  <c r="AF168" i="28" s="1"/>
  <c r="H113" i="28"/>
  <c r="AP113" i="28" s="1"/>
  <c r="J114" i="28"/>
  <c r="G113" i="28"/>
  <c r="AI113" i="28" s="1"/>
  <c r="G143" i="25"/>
  <c r="K143" i="25" s="1"/>
  <c r="H143" i="25"/>
  <c r="J144" i="25"/>
  <c r="AI138" i="25"/>
  <c r="AQ138" i="25"/>
  <c r="AU138" i="25"/>
  <c r="AS138" i="25"/>
  <c r="AW102" i="24"/>
  <c r="AX102" i="24" s="1"/>
  <c r="AY102" i="24" s="1"/>
  <c r="AL103" i="24"/>
  <c r="AM103" i="24" s="1"/>
  <c r="L139" i="25"/>
  <c r="F104" i="24"/>
  <c r="AK103" i="24"/>
  <c r="H103" i="15"/>
  <c r="AW112" i="28"/>
  <c r="AX112" i="28" s="1"/>
  <c r="AY112" i="28" s="1"/>
  <c r="P230" i="26"/>
  <c r="M231" i="26" s="1"/>
  <c r="N231" i="26" s="1"/>
  <c r="T229" i="26"/>
  <c r="S230" i="26" s="1"/>
  <c r="R229" i="26"/>
  <c r="Q230" i="26" s="1"/>
  <c r="AT230" i="26" s="1"/>
  <c r="AW90" i="19"/>
  <c r="AX90" i="19" s="1"/>
  <c r="AY90" i="19" s="1"/>
  <c r="K91" i="19"/>
  <c r="AQ91" i="19" s="1"/>
  <c r="AI91" i="19"/>
  <c r="AJ91" i="19" s="1"/>
  <c r="AK91" i="19" s="1"/>
  <c r="F101" i="17"/>
  <c r="G101" i="17" s="1"/>
  <c r="K101" i="17" s="1"/>
  <c r="F102" i="17" s="1"/>
  <c r="H102" i="17" s="1"/>
  <c r="AU100" i="17"/>
  <c r="AS100" i="17"/>
  <c r="Y53" i="16"/>
  <c r="AC53" i="16" s="1"/>
  <c r="X54" i="16" s="1"/>
  <c r="Y54" i="16" s="1"/>
  <c r="AC54" i="16" s="1"/>
  <c r="X55" i="16" s="1"/>
  <c r="Y55" i="16" s="1"/>
  <c r="AC55" i="16" s="1"/>
  <c r="X56" i="16" s="1"/>
  <c r="AG182" i="17"/>
  <c r="AF183" i="17" s="1"/>
  <c r="Z183" i="17"/>
  <c r="Y183" i="17"/>
  <c r="AC183" i="17" s="1"/>
  <c r="X184" i="17" s="1"/>
  <c r="Y200" i="19"/>
  <c r="Z200" i="19"/>
  <c r="AT212" i="19"/>
  <c r="AE212" i="19"/>
  <c r="AD213" i="19" s="1"/>
  <c r="T221" i="15"/>
  <c r="S222" i="15" s="1"/>
  <c r="AW44" i="16"/>
  <c r="AX44" i="16" s="1"/>
  <c r="AY44" i="16" s="1"/>
  <c r="T213" i="19"/>
  <c r="S213" i="19"/>
  <c r="W213" i="19" s="1"/>
  <c r="R214" i="19" s="1"/>
  <c r="AS45" i="16"/>
  <c r="AQ45" i="16"/>
  <c r="N46" i="16"/>
  <c r="P47" i="16"/>
  <c r="M46" i="16"/>
  <c r="Q46" i="16" s="1"/>
  <c r="L47" i="16" s="1"/>
  <c r="AL45" i="16"/>
  <c r="AM45" i="16" s="1"/>
  <c r="AN45" i="16" s="1"/>
  <c r="AI45" i="16"/>
  <c r="AJ45" i="16" s="1"/>
  <c r="AK45" i="16" s="1"/>
  <c r="T56" i="16"/>
  <c r="S56" i="16"/>
  <c r="W56" i="16" s="1"/>
  <c r="R57" i="16" s="1"/>
  <c r="AE55" i="16"/>
  <c r="AD56" i="16" s="1"/>
  <c r="AT55" i="16"/>
  <c r="L221" i="15"/>
  <c r="I222" i="15" s="1"/>
  <c r="J222" i="15" s="1"/>
  <c r="AU45" i="16"/>
  <c r="AP45" i="16"/>
  <c r="AO45" i="16"/>
  <c r="R221" i="15"/>
  <c r="Q222" i="15" s="1"/>
  <c r="AT222" i="15" s="1"/>
  <c r="AT220" i="17"/>
  <c r="AE220" i="17"/>
  <c r="AD221" i="17" s="1"/>
  <c r="M222" i="17"/>
  <c r="Q222" i="17" s="1"/>
  <c r="L223" i="17" s="1"/>
  <c r="N222" i="17"/>
  <c r="P223" i="17"/>
  <c r="T221" i="17"/>
  <c r="S221" i="17"/>
  <c r="W221" i="17" s="1"/>
  <c r="R222" i="17" s="1"/>
  <c r="P223" i="19"/>
  <c r="N222" i="19"/>
  <c r="M222" i="19"/>
  <c r="Q222" i="19" s="1"/>
  <c r="L223" i="19" s="1"/>
  <c r="H137" i="18"/>
  <c r="AI137" i="18" s="1"/>
  <c r="AJ137" i="18" s="1"/>
  <c r="AK137" i="18" s="1"/>
  <c r="P225" i="18"/>
  <c r="M226" i="18" s="1"/>
  <c r="N226" i="18" s="1"/>
  <c r="T225" i="18"/>
  <c r="S226" i="18" s="1"/>
  <c r="R225" i="18"/>
  <c r="Q226" i="18" s="1"/>
  <c r="AT226" i="18" s="1"/>
  <c r="J54" i="16" l="1"/>
  <c r="G53" i="16"/>
  <c r="K53" i="16" s="1"/>
  <c r="F54" i="16" s="1"/>
  <c r="H53" i="16"/>
  <c r="AT158" i="29"/>
  <c r="AR118" i="29"/>
  <c r="Q118" i="29"/>
  <c r="L119" i="29" s="1"/>
  <c r="P167" i="24"/>
  <c r="M168" i="24" s="1"/>
  <c r="Z174" i="25"/>
  <c r="Y174" i="25"/>
  <c r="AG174" i="25" s="1"/>
  <c r="AF175" i="25" s="1"/>
  <c r="K152" i="24"/>
  <c r="R152" i="24" s="1"/>
  <c r="Q153" i="24" s="1"/>
  <c r="AT153" i="24" s="1"/>
  <c r="J152" i="24"/>
  <c r="Y157" i="29"/>
  <c r="AC157" i="29" s="1"/>
  <c r="X158" i="29" s="1"/>
  <c r="AA158" i="29" s="1"/>
  <c r="AE158" i="29" s="1"/>
  <c r="AD159" i="29" s="1"/>
  <c r="Z157" i="29"/>
  <c r="AG156" i="29"/>
  <c r="AF157" i="29" s="1"/>
  <c r="J119" i="29"/>
  <c r="H118" i="29"/>
  <c r="AP118" i="29" s="1"/>
  <c r="G118" i="29"/>
  <c r="AI118" i="29" s="1"/>
  <c r="AW117" i="29"/>
  <c r="AX117" i="29" s="1"/>
  <c r="AY117" i="29" s="1"/>
  <c r="F111" i="26"/>
  <c r="AL110" i="26"/>
  <c r="AI110" i="26"/>
  <c r="AG168" i="28"/>
  <c r="AF169" i="28" s="1"/>
  <c r="K113" i="28"/>
  <c r="F114" i="28" s="1"/>
  <c r="Z169" i="28"/>
  <c r="Y169" i="28"/>
  <c r="AC169" i="28" s="1"/>
  <c r="X170" i="28" s="1"/>
  <c r="AB170" i="28" s="1"/>
  <c r="AL113" i="28"/>
  <c r="AO113" i="28"/>
  <c r="F144" i="25"/>
  <c r="AN103" i="24"/>
  <c r="AW103" i="24" s="1"/>
  <c r="AX103" i="24" s="1"/>
  <c r="AY103" i="24" s="1"/>
  <c r="AJ138" i="25"/>
  <c r="AK138" i="25" s="1"/>
  <c r="AW138" i="25" s="1"/>
  <c r="AX138" i="25" s="1"/>
  <c r="AY138" i="25" s="1"/>
  <c r="P140" i="25"/>
  <c r="N139" i="25"/>
  <c r="AP139" i="25" s="1"/>
  <c r="G104" i="24"/>
  <c r="AR104" i="24" s="1"/>
  <c r="F104" i="15"/>
  <c r="G104" i="15" s="1"/>
  <c r="AR104" i="15" s="1"/>
  <c r="AL103" i="15"/>
  <c r="AM103" i="15" s="1"/>
  <c r="AN103" i="15" s="1"/>
  <c r="AI103" i="15"/>
  <c r="AJ103" i="15" s="1"/>
  <c r="AK103" i="15" s="1"/>
  <c r="M139" i="25"/>
  <c r="Q139" i="25" s="1"/>
  <c r="L140" i="25" s="1"/>
  <c r="P231" i="26"/>
  <c r="M232" i="26" s="1"/>
  <c r="N232" i="26" s="1"/>
  <c r="R230" i="26"/>
  <c r="Q231" i="26" s="1"/>
  <c r="AT231" i="26" s="1"/>
  <c r="T230" i="26"/>
  <c r="S231" i="26" s="1"/>
  <c r="AL101" i="17"/>
  <c r="AM101" i="17" s="1"/>
  <c r="AN101" i="17" s="1"/>
  <c r="F92" i="19"/>
  <c r="H92" i="19" s="1"/>
  <c r="AP92" i="19" s="1"/>
  <c r="AS91" i="19"/>
  <c r="AU91" i="19"/>
  <c r="AS101" i="17"/>
  <c r="AU101" i="17"/>
  <c r="J102" i="17"/>
  <c r="AO102" i="17" s="1"/>
  <c r="J103" i="17"/>
  <c r="AW100" i="17"/>
  <c r="AX100" i="17" s="1"/>
  <c r="AY100" i="17" s="1"/>
  <c r="AI101" i="17"/>
  <c r="AJ101" i="17" s="1"/>
  <c r="AK101" i="17" s="1"/>
  <c r="G102" i="17"/>
  <c r="K102" i="17" s="1"/>
  <c r="F103" i="17" s="1"/>
  <c r="H103" i="17" s="1"/>
  <c r="AQ101" i="17"/>
  <c r="H101" i="17"/>
  <c r="Z54" i="16"/>
  <c r="Z55" i="16"/>
  <c r="AG53" i="16"/>
  <c r="AF54" i="16" s="1"/>
  <c r="AG54" i="16" s="1"/>
  <c r="AF55" i="16" s="1"/>
  <c r="AG55" i="16" s="1"/>
  <c r="AF56" i="16" s="1"/>
  <c r="Y184" i="17"/>
  <c r="AC184" i="17" s="1"/>
  <c r="X185" i="17" s="1"/>
  <c r="Z184" i="17"/>
  <c r="AG183" i="17"/>
  <c r="AF184" i="17" s="1"/>
  <c r="AC200" i="19"/>
  <c r="X201" i="19" s="1"/>
  <c r="AG200" i="19"/>
  <c r="AF201" i="19" s="1"/>
  <c r="AS46" i="16"/>
  <c r="Y56" i="16"/>
  <c r="AC56" i="16" s="1"/>
  <c r="X57" i="16" s="1"/>
  <c r="Z56" i="16"/>
  <c r="T222" i="15"/>
  <c r="S223" i="15" s="1"/>
  <c r="AU46" i="16"/>
  <c r="AE213" i="19"/>
  <c r="AD214" i="19" s="1"/>
  <c r="AT213" i="19"/>
  <c r="AI46" i="16"/>
  <c r="AJ46" i="16" s="1"/>
  <c r="AK46" i="16" s="1"/>
  <c r="T214" i="19"/>
  <c r="S214" i="19"/>
  <c r="W214" i="19" s="1"/>
  <c r="R215" i="19" s="1"/>
  <c r="L222" i="15"/>
  <c r="I223" i="15" s="1"/>
  <c r="J223" i="15" s="1"/>
  <c r="AL46" i="16"/>
  <c r="AM46" i="16" s="1"/>
  <c r="AN46" i="16" s="1"/>
  <c r="AQ46" i="16"/>
  <c r="AP46" i="16"/>
  <c r="AO46" i="16"/>
  <c r="AT56" i="16"/>
  <c r="AE56" i="16"/>
  <c r="AD57" i="16" s="1"/>
  <c r="S57" i="16"/>
  <c r="W57" i="16" s="1"/>
  <c r="R58" i="16" s="1"/>
  <c r="T57" i="16"/>
  <c r="M47" i="16"/>
  <c r="Q47" i="16" s="1"/>
  <c r="L48" i="16" s="1"/>
  <c r="N47" i="16"/>
  <c r="P48" i="16"/>
  <c r="AW45" i="16"/>
  <c r="AX45" i="16" s="1"/>
  <c r="AY45" i="16" s="1"/>
  <c r="N223" i="19"/>
  <c r="P224" i="19"/>
  <c r="M223" i="19"/>
  <c r="Q223" i="19" s="1"/>
  <c r="L224" i="19" s="1"/>
  <c r="T222" i="17"/>
  <c r="S222" i="17"/>
  <c r="W222" i="17" s="1"/>
  <c r="R223" i="17" s="1"/>
  <c r="M223" i="17"/>
  <c r="Q223" i="17" s="1"/>
  <c r="L224" i="17" s="1"/>
  <c r="N223" i="17"/>
  <c r="P224" i="17"/>
  <c r="AT221" i="17"/>
  <c r="AE221" i="17"/>
  <c r="AD222" i="17" s="1"/>
  <c r="R222" i="15"/>
  <c r="Q223" i="15" s="1"/>
  <c r="AT223" i="15" s="1"/>
  <c r="AL137" i="18"/>
  <c r="AM137" i="18" s="1"/>
  <c r="AN137" i="18" s="1"/>
  <c r="AW137" i="18" s="1"/>
  <c r="AX137" i="18" s="1"/>
  <c r="AY137" i="18" s="1"/>
  <c r="F138" i="18"/>
  <c r="G138" i="18" s="1"/>
  <c r="AR138" i="18" s="1"/>
  <c r="T226" i="18"/>
  <c r="S227" i="18" s="1"/>
  <c r="J55" i="16" l="1"/>
  <c r="H54" i="16"/>
  <c r="G54" i="16"/>
  <c r="K54" i="16" s="1"/>
  <c r="F55" i="16" s="1"/>
  <c r="AT159" i="29"/>
  <c r="O119" i="29"/>
  <c r="M119" i="29"/>
  <c r="P120" i="29"/>
  <c r="N119" i="29"/>
  <c r="G114" i="28"/>
  <c r="AI114" i="28" s="1"/>
  <c r="I114" i="28"/>
  <c r="Q114" i="28" s="1"/>
  <c r="L115" i="28" s="1"/>
  <c r="L152" i="24"/>
  <c r="I153" i="24" s="1"/>
  <c r="AC174" i="25"/>
  <c r="X175" i="25" s="1"/>
  <c r="T152" i="24"/>
  <c r="S153" i="24" s="1"/>
  <c r="O168" i="24"/>
  <c r="N168" i="24"/>
  <c r="AG157" i="29"/>
  <c r="AF158" i="29" s="1"/>
  <c r="Y158" i="29"/>
  <c r="AC158" i="29" s="1"/>
  <c r="X159" i="29" s="1"/>
  <c r="AA159" i="29" s="1"/>
  <c r="AE159" i="29" s="1"/>
  <c r="AD160" i="29" s="1"/>
  <c r="Z158" i="29"/>
  <c r="AJ118" i="29"/>
  <c r="AK118" i="29" s="1"/>
  <c r="AO118" i="29"/>
  <c r="K118" i="29"/>
  <c r="AL118" i="29"/>
  <c r="G111" i="26"/>
  <c r="AR111" i="26" s="1"/>
  <c r="AM110" i="26"/>
  <c r="AN110" i="26" s="1"/>
  <c r="AJ110" i="26"/>
  <c r="AK110" i="26" s="1"/>
  <c r="AS113" i="28"/>
  <c r="AQ113" i="28"/>
  <c r="AU113" i="28"/>
  <c r="J115" i="28"/>
  <c r="H114" i="28"/>
  <c r="AP114" i="28" s="1"/>
  <c r="Z170" i="28"/>
  <c r="Y170" i="28"/>
  <c r="AC170" i="28" s="1"/>
  <c r="X171" i="28" s="1"/>
  <c r="AB171" i="28" s="1"/>
  <c r="AG169" i="28"/>
  <c r="AF170" i="28" s="1"/>
  <c r="AM113" i="28"/>
  <c r="AN113" i="28" s="1"/>
  <c r="AJ113" i="28"/>
  <c r="AK113" i="28" s="1"/>
  <c r="G144" i="25"/>
  <c r="K144" i="25" s="1"/>
  <c r="J145" i="25"/>
  <c r="H144" i="25"/>
  <c r="AO139" i="25"/>
  <c r="AI139" i="25"/>
  <c r="AL139" i="25"/>
  <c r="AS139" i="25"/>
  <c r="AQ139" i="25"/>
  <c r="AU139" i="25"/>
  <c r="N140" i="25"/>
  <c r="AP140" i="25" s="1"/>
  <c r="P141" i="25"/>
  <c r="H104" i="24"/>
  <c r="H104" i="15"/>
  <c r="AI104" i="15" s="1"/>
  <c r="AJ104" i="15" s="1"/>
  <c r="AK104" i="15" s="1"/>
  <c r="AW103" i="15"/>
  <c r="AX103" i="15" s="1"/>
  <c r="AY103" i="15" s="1"/>
  <c r="M140" i="25"/>
  <c r="Q140" i="25" s="1"/>
  <c r="L141" i="25" s="1"/>
  <c r="P232" i="26"/>
  <c r="M233" i="26" s="1"/>
  <c r="N233" i="26" s="1"/>
  <c r="R231" i="26"/>
  <c r="Q232" i="26" s="1"/>
  <c r="AT232" i="26" s="1"/>
  <c r="T231" i="26"/>
  <c r="S232" i="26" s="1"/>
  <c r="AO92" i="19"/>
  <c r="AW91" i="19"/>
  <c r="AX91" i="19" s="1"/>
  <c r="AY91" i="19" s="1"/>
  <c r="AP102" i="17"/>
  <c r="G92" i="19"/>
  <c r="AI92" i="19" s="1"/>
  <c r="AJ92" i="19" s="1"/>
  <c r="AK92" i="19" s="1"/>
  <c r="J93" i="19"/>
  <c r="J104" i="17"/>
  <c r="AS102" i="17"/>
  <c r="G103" i="17"/>
  <c r="AI103" i="17" s="1"/>
  <c r="AJ103" i="17" s="1"/>
  <c r="AK103" i="17" s="1"/>
  <c r="AL102" i="17"/>
  <c r="AM102" i="17" s="1"/>
  <c r="AN102" i="17" s="1"/>
  <c r="AI102" i="17"/>
  <c r="AJ102" i="17" s="1"/>
  <c r="AK102" i="17" s="1"/>
  <c r="AQ102" i="17"/>
  <c r="AU102" i="17"/>
  <c r="AP101" i="17"/>
  <c r="AO101" i="17"/>
  <c r="AG184" i="17"/>
  <c r="AF185" i="17" s="1"/>
  <c r="Y185" i="17"/>
  <c r="AC185" i="17" s="1"/>
  <c r="X186" i="17" s="1"/>
  <c r="Z185" i="17"/>
  <c r="AO103" i="17"/>
  <c r="AP103" i="17"/>
  <c r="Z201" i="19"/>
  <c r="Y201" i="19"/>
  <c r="AC201" i="19" s="1"/>
  <c r="X202" i="19" s="1"/>
  <c r="AG56" i="16"/>
  <c r="AF57" i="16" s="1"/>
  <c r="Z57" i="16"/>
  <c r="Y57" i="16"/>
  <c r="AC57" i="16" s="1"/>
  <c r="X58" i="16" s="1"/>
  <c r="AQ47" i="16"/>
  <c r="T223" i="15"/>
  <c r="S224" i="15" s="1"/>
  <c r="AU47" i="16"/>
  <c r="AW46" i="16"/>
  <c r="AX46" i="16" s="1"/>
  <c r="AY46" i="16" s="1"/>
  <c r="T215" i="19"/>
  <c r="S215" i="19"/>
  <c r="W215" i="19" s="1"/>
  <c r="R216" i="19" s="1"/>
  <c r="AT214" i="19"/>
  <c r="AE214" i="19"/>
  <c r="AD215" i="19" s="1"/>
  <c r="AI47" i="16"/>
  <c r="AL47" i="16"/>
  <c r="AM47" i="16" s="1"/>
  <c r="AN47" i="16" s="1"/>
  <c r="S58" i="16"/>
  <c r="W58" i="16" s="1"/>
  <c r="R59" i="16" s="1"/>
  <c r="T58" i="16"/>
  <c r="AT57" i="16"/>
  <c r="AE57" i="16"/>
  <c r="AD58" i="16" s="1"/>
  <c r="L223" i="15"/>
  <c r="I224" i="15" s="1"/>
  <c r="J224" i="15" s="1"/>
  <c r="AS47" i="16"/>
  <c r="AO47" i="16"/>
  <c r="AP47" i="16"/>
  <c r="M48" i="16"/>
  <c r="Q48" i="16" s="1"/>
  <c r="L49" i="16" s="1"/>
  <c r="P49" i="16"/>
  <c r="N48" i="16"/>
  <c r="R223" i="15"/>
  <c r="Q224" i="15" s="1"/>
  <c r="AT224" i="15" s="1"/>
  <c r="AT222" i="17"/>
  <c r="AE222" i="17"/>
  <c r="AD223" i="17" s="1"/>
  <c r="P225" i="17"/>
  <c r="N224" i="17"/>
  <c r="M224" i="17"/>
  <c r="Q224" i="17" s="1"/>
  <c r="L225" i="17" s="1"/>
  <c r="S223" i="17"/>
  <c r="W223" i="17" s="1"/>
  <c r="R224" i="17" s="1"/>
  <c r="T223" i="17"/>
  <c r="P225" i="19"/>
  <c r="N224" i="19"/>
  <c r="M224" i="19"/>
  <c r="Q224" i="19" s="1"/>
  <c r="L225" i="19" s="1"/>
  <c r="H138" i="18"/>
  <c r="AI138" i="18" s="1"/>
  <c r="AJ138" i="18" s="1"/>
  <c r="AK138" i="18" s="1"/>
  <c r="R226" i="18"/>
  <c r="Q227" i="18" s="1"/>
  <c r="AT227" i="18" s="1"/>
  <c r="P226" i="18"/>
  <c r="M227" i="18" s="1"/>
  <c r="N227" i="18" s="1"/>
  <c r="H55" i="16" l="1"/>
  <c r="G55" i="16"/>
  <c r="K55" i="16" s="1"/>
  <c r="F56" i="16" s="1"/>
  <c r="J56" i="16"/>
  <c r="AT160" i="29"/>
  <c r="O115" i="28"/>
  <c r="P116" i="28"/>
  <c r="M115" i="28"/>
  <c r="N115" i="28"/>
  <c r="K114" i="28"/>
  <c r="F115" i="28" s="1"/>
  <c r="AL114" i="28"/>
  <c r="AM114" i="28" s="1"/>
  <c r="AN114" i="28" s="1"/>
  <c r="P168" i="24"/>
  <c r="M169" i="24" s="1"/>
  <c r="Y175" i="25"/>
  <c r="AG175" i="25" s="1"/>
  <c r="AF176" i="25" s="1"/>
  <c r="Z175" i="25"/>
  <c r="K153" i="24"/>
  <c r="R153" i="24" s="1"/>
  <c r="Q154" i="24" s="1"/>
  <c r="AT154" i="24" s="1"/>
  <c r="J153" i="24"/>
  <c r="AG158" i="29"/>
  <c r="AF159" i="29" s="1"/>
  <c r="Y159" i="29"/>
  <c r="AC159" i="29" s="1"/>
  <c r="X160" i="29" s="1"/>
  <c r="AA160" i="29" s="1"/>
  <c r="AE160" i="29" s="1"/>
  <c r="AD161" i="29" s="1"/>
  <c r="Z159" i="29"/>
  <c r="F119" i="29"/>
  <c r="I119" i="29" s="1"/>
  <c r="AR119" i="29" s="1"/>
  <c r="AU118" i="29"/>
  <c r="AQ118" i="29"/>
  <c r="AS118" i="29"/>
  <c r="AM118" i="29"/>
  <c r="AN118" i="29" s="1"/>
  <c r="AW110" i="26"/>
  <c r="AX110" i="26" s="1"/>
  <c r="AY110" i="26" s="1"/>
  <c r="H111" i="26"/>
  <c r="AW113" i="28"/>
  <c r="AX113" i="28" s="1"/>
  <c r="AY113" i="28" s="1"/>
  <c r="AO114" i="28"/>
  <c r="AG170" i="28"/>
  <c r="AF171" i="28" s="1"/>
  <c r="Z171" i="28"/>
  <c r="Y171" i="28"/>
  <c r="AC171" i="28" s="1"/>
  <c r="X172" i="28" s="1"/>
  <c r="AB172" i="28" s="1"/>
  <c r="AJ114" i="28"/>
  <c r="AK114" i="28" s="1"/>
  <c r="AL140" i="25"/>
  <c r="AS140" i="25"/>
  <c r="F145" i="25"/>
  <c r="AQ140" i="25"/>
  <c r="AU140" i="25"/>
  <c r="AO140" i="25"/>
  <c r="AI140" i="25"/>
  <c r="P142" i="25"/>
  <c r="N141" i="25"/>
  <c r="AP141" i="25" s="1"/>
  <c r="AJ139" i="25"/>
  <c r="AK139" i="25" s="1"/>
  <c r="AM139" i="25"/>
  <c r="AN139" i="25" s="1"/>
  <c r="F105" i="24"/>
  <c r="G105" i="24" s="1"/>
  <c r="AR105" i="24" s="1"/>
  <c r="AI104" i="24"/>
  <c r="AL104" i="24"/>
  <c r="F105" i="15"/>
  <c r="G105" i="15" s="1"/>
  <c r="AR105" i="15" s="1"/>
  <c r="AL104" i="15"/>
  <c r="AM104" i="15" s="1"/>
  <c r="AN104" i="15" s="1"/>
  <c r="AW104" i="15" s="1"/>
  <c r="AX104" i="15" s="1"/>
  <c r="AY104" i="15" s="1"/>
  <c r="M141" i="25"/>
  <c r="AL141" i="25" s="1"/>
  <c r="T232" i="26"/>
  <c r="S233" i="26" s="1"/>
  <c r="P233" i="26"/>
  <c r="M234" i="26" s="1"/>
  <c r="N234" i="26" s="1"/>
  <c r="R232" i="26"/>
  <c r="Q233" i="26" s="1"/>
  <c r="AT233" i="26" s="1"/>
  <c r="AL92" i="19"/>
  <c r="AM92" i="19" s="1"/>
  <c r="AN92" i="19" s="1"/>
  <c r="K92" i="19"/>
  <c r="AU92" i="19" s="1"/>
  <c r="AW102" i="17"/>
  <c r="AX102" i="17" s="1"/>
  <c r="AY102" i="17" s="1"/>
  <c r="AL103" i="17"/>
  <c r="AM103" i="17" s="1"/>
  <c r="AN103" i="17" s="1"/>
  <c r="AW101" i="17"/>
  <c r="AX101" i="17" s="1"/>
  <c r="AY101" i="17" s="1"/>
  <c r="K103" i="17"/>
  <c r="AS103" i="17" s="1"/>
  <c r="AG185" i="17"/>
  <c r="AF186" i="17" s="1"/>
  <c r="Z186" i="17"/>
  <c r="Y186" i="17"/>
  <c r="Y202" i="19"/>
  <c r="AC202" i="19" s="1"/>
  <c r="X203" i="19" s="1"/>
  <c r="Z202" i="19"/>
  <c r="AG201" i="19"/>
  <c r="AF202" i="19" s="1"/>
  <c r="AG57" i="16"/>
  <c r="AF58" i="16" s="1"/>
  <c r="T224" i="15"/>
  <c r="S225" i="15" s="1"/>
  <c r="Z58" i="16"/>
  <c r="Y58" i="16"/>
  <c r="AC58" i="16" s="1"/>
  <c r="X59" i="16" s="1"/>
  <c r="AI48" i="16"/>
  <c r="AJ48" i="16" s="1"/>
  <c r="AK48" i="16" s="1"/>
  <c r="AL48" i="16"/>
  <c r="AM48" i="16" s="1"/>
  <c r="AN48" i="16" s="1"/>
  <c r="T216" i="19"/>
  <c r="S216" i="19"/>
  <c r="W216" i="19" s="1"/>
  <c r="R217" i="19" s="1"/>
  <c r="AQ48" i="16"/>
  <c r="AS48" i="16"/>
  <c r="L224" i="15"/>
  <c r="I225" i="15" s="1"/>
  <c r="J225" i="15" s="1"/>
  <c r="AE215" i="19"/>
  <c r="AD216" i="19" s="1"/>
  <c r="AT215" i="19"/>
  <c r="P50" i="16"/>
  <c r="N49" i="16"/>
  <c r="M49" i="16"/>
  <c r="Q49" i="16" s="1"/>
  <c r="L50" i="16" s="1"/>
  <c r="AE58" i="16"/>
  <c r="AD59" i="16" s="1"/>
  <c r="AT58" i="16"/>
  <c r="AJ47" i="16"/>
  <c r="AK47" i="16" s="1"/>
  <c r="AW47" i="16" s="1"/>
  <c r="AX47" i="16" s="1"/>
  <c r="AY47" i="16" s="1"/>
  <c r="AU48" i="16"/>
  <c r="AP48" i="16"/>
  <c r="AO48" i="16"/>
  <c r="T59" i="16"/>
  <c r="S59" i="16"/>
  <c r="W59" i="16" s="1"/>
  <c r="R60" i="16" s="1"/>
  <c r="N225" i="19"/>
  <c r="M225" i="19"/>
  <c r="Q225" i="19" s="1"/>
  <c r="L226" i="19" s="1"/>
  <c r="P226" i="19"/>
  <c r="R224" i="15"/>
  <c r="Q225" i="15" s="1"/>
  <c r="AT225" i="15" s="1"/>
  <c r="S224" i="17"/>
  <c r="W224" i="17" s="1"/>
  <c r="R225" i="17" s="1"/>
  <c r="T224" i="17"/>
  <c r="AT223" i="17"/>
  <c r="AE223" i="17"/>
  <c r="AD224" i="17" s="1"/>
  <c r="P226" i="17"/>
  <c r="M225" i="17"/>
  <c r="Q225" i="17" s="1"/>
  <c r="L226" i="17" s="1"/>
  <c r="N225" i="17"/>
  <c r="AL138" i="18"/>
  <c r="AM138" i="18" s="1"/>
  <c r="AN138" i="18" s="1"/>
  <c r="AW138" i="18" s="1"/>
  <c r="AX138" i="18" s="1"/>
  <c r="AY138" i="18" s="1"/>
  <c r="F139" i="18"/>
  <c r="G139" i="18" s="1"/>
  <c r="AR139" i="18" s="1"/>
  <c r="T227" i="18"/>
  <c r="S228" i="18" s="1"/>
  <c r="R227" i="18"/>
  <c r="Q228" i="18" s="1"/>
  <c r="AT228" i="18" s="1"/>
  <c r="G56" i="16" l="1"/>
  <c r="K56" i="16" s="1"/>
  <c r="F57" i="16" s="1"/>
  <c r="H56" i="16"/>
  <c r="J57" i="16"/>
  <c r="AS114" i="28"/>
  <c r="AT161" i="29"/>
  <c r="Q119" i="29"/>
  <c r="L120" i="29" s="1"/>
  <c r="G115" i="28"/>
  <c r="I115" i="28"/>
  <c r="Q115" i="28" s="1"/>
  <c r="L116" i="28" s="1"/>
  <c r="AQ114" i="28"/>
  <c r="H115" i="28"/>
  <c r="AP115" i="28" s="1"/>
  <c r="J116" i="28"/>
  <c r="AU114" i="28"/>
  <c r="L153" i="24"/>
  <c r="I154" i="24" s="1"/>
  <c r="AC175" i="25"/>
  <c r="X176" i="25" s="1"/>
  <c r="Y176" i="25" s="1"/>
  <c r="AG176" i="25" s="1"/>
  <c r="AF177" i="25" s="1"/>
  <c r="T153" i="24"/>
  <c r="S154" i="24" s="1"/>
  <c r="O169" i="24"/>
  <c r="N169" i="24"/>
  <c r="AG159" i="29"/>
  <c r="AF160" i="29" s="1"/>
  <c r="Y160" i="29"/>
  <c r="AC160" i="29" s="1"/>
  <c r="X161" i="29" s="1"/>
  <c r="AA161" i="29" s="1"/>
  <c r="AE161" i="29" s="1"/>
  <c r="AD162" i="29" s="1"/>
  <c r="Z160" i="29"/>
  <c r="AW118" i="29"/>
  <c r="AX118" i="29" s="1"/>
  <c r="AY118" i="29" s="1"/>
  <c r="J120" i="29"/>
  <c r="H119" i="29"/>
  <c r="AP119" i="29" s="1"/>
  <c r="G119" i="29"/>
  <c r="AL119" i="29" s="1"/>
  <c r="F112" i="26"/>
  <c r="AI111" i="26"/>
  <c r="AL111" i="26"/>
  <c r="AG171" i="28"/>
  <c r="AF172" i="28" s="1"/>
  <c r="Z172" i="28"/>
  <c r="Y172" i="28"/>
  <c r="AW139" i="25"/>
  <c r="AX139" i="25" s="1"/>
  <c r="AY139" i="25" s="1"/>
  <c r="G145" i="25"/>
  <c r="K145" i="25" s="1"/>
  <c r="J146" i="25"/>
  <c r="H145" i="25"/>
  <c r="AO141" i="25"/>
  <c r="AJ140" i="25"/>
  <c r="AK140" i="25" s="1"/>
  <c r="AM140" i="25"/>
  <c r="AN140" i="25" s="1"/>
  <c r="AM141" i="25"/>
  <c r="AN141" i="25" s="1"/>
  <c r="AJ104" i="24"/>
  <c r="AK104" i="24" s="1"/>
  <c r="AM104" i="24"/>
  <c r="AN104" i="24" s="1"/>
  <c r="H105" i="24"/>
  <c r="F106" i="24" s="1"/>
  <c r="H105" i="15"/>
  <c r="T233" i="26"/>
  <c r="S234" i="26" s="1"/>
  <c r="Q141" i="25"/>
  <c r="R233" i="26"/>
  <c r="Q234" i="26" s="1"/>
  <c r="AT234" i="26" s="1"/>
  <c r="AQ92" i="19"/>
  <c r="F104" i="17"/>
  <c r="H104" i="17" s="1"/>
  <c r="AS92" i="19"/>
  <c r="F93" i="19"/>
  <c r="H93" i="19" s="1"/>
  <c r="AQ103" i="17"/>
  <c r="AU103" i="17"/>
  <c r="AG186" i="17"/>
  <c r="AF187" i="17" s="1"/>
  <c r="AC186" i="17"/>
  <c r="X187" i="17" s="1"/>
  <c r="Z187" i="17" s="1"/>
  <c r="AG202" i="19"/>
  <c r="AF203" i="19" s="1"/>
  <c r="Y203" i="19"/>
  <c r="AC203" i="19" s="1"/>
  <c r="X204" i="19" s="1"/>
  <c r="Z203" i="19"/>
  <c r="T225" i="15"/>
  <c r="S226" i="15" s="1"/>
  <c r="Y59" i="16"/>
  <c r="AC59" i="16" s="1"/>
  <c r="X60" i="16" s="1"/>
  <c r="Z59" i="16"/>
  <c r="AG58" i="16"/>
  <c r="AF59" i="16" s="1"/>
  <c r="AU49" i="16"/>
  <c r="AW48" i="16"/>
  <c r="AX48" i="16" s="1"/>
  <c r="AY48" i="16" s="1"/>
  <c r="S217" i="19"/>
  <c r="W217" i="19" s="1"/>
  <c r="R218" i="19" s="1"/>
  <c r="T217" i="19"/>
  <c r="AE216" i="19"/>
  <c r="AD217" i="19" s="1"/>
  <c r="AT216" i="19"/>
  <c r="L225" i="15"/>
  <c r="I226" i="15" s="1"/>
  <c r="J226" i="15" s="1"/>
  <c r="S60" i="16"/>
  <c r="W60" i="16" s="1"/>
  <c r="R61" i="16" s="1"/>
  <c r="T60" i="16"/>
  <c r="AS49" i="16"/>
  <c r="AI49" i="16"/>
  <c r="AJ49" i="16" s="1"/>
  <c r="AK49" i="16" s="1"/>
  <c r="AO49" i="16"/>
  <c r="AP49" i="16"/>
  <c r="AL49" i="16"/>
  <c r="AM49" i="16" s="1"/>
  <c r="AN49" i="16" s="1"/>
  <c r="AQ49" i="16"/>
  <c r="AT59" i="16"/>
  <c r="AE59" i="16"/>
  <c r="AD60" i="16" s="1"/>
  <c r="P51" i="16"/>
  <c r="M50" i="16"/>
  <c r="Q50" i="16" s="1"/>
  <c r="L51" i="16" s="1"/>
  <c r="N50" i="16"/>
  <c r="S225" i="17"/>
  <c r="W225" i="17" s="1"/>
  <c r="R226" i="17" s="1"/>
  <c r="T225" i="17"/>
  <c r="AT224" i="17"/>
  <c r="AE224" i="17"/>
  <c r="AD225" i="17" s="1"/>
  <c r="R225" i="15"/>
  <c r="Q226" i="15" s="1"/>
  <c r="AT226" i="15" s="1"/>
  <c r="P227" i="19"/>
  <c r="M226" i="19"/>
  <c r="Q226" i="19" s="1"/>
  <c r="L227" i="19" s="1"/>
  <c r="N226" i="19"/>
  <c r="M226" i="17"/>
  <c r="Q226" i="17" s="1"/>
  <c r="L227" i="17" s="1"/>
  <c r="N226" i="17"/>
  <c r="P227" i="17"/>
  <c r="H139" i="18"/>
  <c r="AL139" i="18" s="1"/>
  <c r="P227" i="18"/>
  <c r="M228" i="18" s="1"/>
  <c r="N228" i="18" s="1"/>
  <c r="G57" i="16" l="1"/>
  <c r="K57" i="16" s="1"/>
  <c r="F58" i="16" s="1"/>
  <c r="J58" i="16"/>
  <c r="H57" i="16"/>
  <c r="AW114" i="28"/>
  <c r="AX114" i="28" s="1"/>
  <c r="AY114" i="28" s="1"/>
  <c r="AO115" i="28"/>
  <c r="AT162" i="29"/>
  <c r="O120" i="29"/>
  <c r="M120" i="29"/>
  <c r="N120" i="29"/>
  <c r="P121" i="29"/>
  <c r="O116" i="28"/>
  <c r="N116" i="28"/>
  <c r="M116" i="28"/>
  <c r="P117" i="28"/>
  <c r="AI115" i="28"/>
  <c r="AJ115" i="28" s="1"/>
  <c r="AK115" i="28" s="1"/>
  <c r="AL115" i="28"/>
  <c r="AM115" i="28" s="1"/>
  <c r="AN115" i="28" s="1"/>
  <c r="K115" i="28"/>
  <c r="P169" i="24"/>
  <c r="M170" i="24" s="1"/>
  <c r="Z176" i="25"/>
  <c r="AC176" i="25"/>
  <c r="X177" i="25" s="1"/>
  <c r="K154" i="24"/>
  <c r="R154" i="24" s="1"/>
  <c r="Q155" i="24" s="1"/>
  <c r="AT155" i="24" s="1"/>
  <c r="J154" i="24"/>
  <c r="Y161" i="29"/>
  <c r="AC161" i="29" s="1"/>
  <c r="X162" i="29" s="1"/>
  <c r="AA162" i="29" s="1"/>
  <c r="AE162" i="29" s="1"/>
  <c r="AD163" i="29" s="1"/>
  <c r="Z161" i="29"/>
  <c r="AG160" i="29"/>
  <c r="AF161" i="29" s="1"/>
  <c r="AI119" i="29"/>
  <c r="AJ119" i="29" s="1"/>
  <c r="AK119" i="29" s="1"/>
  <c r="AL105" i="24"/>
  <c r="AM105" i="24" s="1"/>
  <c r="AO119" i="29"/>
  <c r="AM119" i="29"/>
  <c r="AN119" i="29" s="1"/>
  <c r="K119" i="29"/>
  <c r="G112" i="26"/>
  <c r="AR112" i="26" s="1"/>
  <c r="AM111" i="26"/>
  <c r="AN111" i="26" s="1"/>
  <c r="AJ111" i="26"/>
  <c r="AK111" i="26" s="1"/>
  <c r="AG172" i="28"/>
  <c r="AF173" i="28" s="1"/>
  <c r="AC172" i="28"/>
  <c r="X173" i="28" s="1"/>
  <c r="AB173" i="28" s="1"/>
  <c r="AW140" i="25"/>
  <c r="AX140" i="25" s="1"/>
  <c r="AY140" i="25" s="1"/>
  <c r="AI105" i="24"/>
  <c r="AJ105" i="24" s="1"/>
  <c r="F146" i="25"/>
  <c r="AU141" i="25"/>
  <c r="AQ141" i="25"/>
  <c r="AS141" i="25"/>
  <c r="AI141" i="25"/>
  <c r="L142" i="25"/>
  <c r="AW104" i="24"/>
  <c r="AX104" i="24" s="1"/>
  <c r="AY104" i="24" s="1"/>
  <c r="F106" i="15"/>
  <c r="AI105" i="15"/>
  <c r="AJ105" i="15" s="1"/>
  <c r="AK105" i="15" s="1"/>
  <c r="AL105" i="15"/>
  <c r="AM105" i="15" s="1"/>
  <c r="AN105" i="15" s="1"/>
  <c r="T234" i="26"/>
  <c r="P234" i="26"/>
  <c r="R234" i="26"/>
  <c r="AW92" i="19"/>
  <c r="AX92" i="19" s="1"/>
  <c r="AY92" i="19" s="1"/>
  <c r="J105" i="17"/>
  <c r="G104" i="17"/>
  <c r="K104" i="17" s="1"/>
  <c r="F105" i="17" s="1"/>
  <c r="G105" i="17" s="1"/>
  <c r="AI105" i="17" s="1"/>
  <c r="AJ105" i="17" s="1"/>
  <c r="AK105" i="17" s="1"/>
  <c r="J94" i="19"/>
  <c r="G93" i="19"/>
  <c r="AI93" i="19" s="1"/>
  <c r="AJ93" i="19" s="1"/>
  <c r="AK93" i="19" s="1"/>
  <c r="AW103" i="17"/>
  <c r="AX103" i="17" s="1"/>
  <c r="AY103" i="17" s="1"/>
  <c r="AO93" i="19"/>
  <c r="AP93" i="19"/>
  <c r="Y187" i="17"/>
  <c r="AG187" i="17" s="1"/>
  <c r="AF188" i="17" s="1"/>
  <c r="AG203" i="19"/>
  <c r="AF204" i="19" s="1"/>
  <c r="AP104" i="17"/>
  <c r="AO104" i="17"/>
  <c r="T226" i="15"/>
  <c r="S227" i="15" s="1"/>
  <c r="Z204" i="19"/>
  <c r="Y204" i="19"/>
  <c r="AC204" i="19" s="1"/>
  <c r="X205" i="19" s="1"/>
  <c r="Y60" i="16"/>
  <c r="AC60" i="16" s="1"/>
  <c r="X61" i="16" s="1"/>
  <c r="Z60" i="16"/>
  <c r="AG59" i="16"/>
  <c r="AF60" i="16" s="1"/>
  <c r="AL50" i="16"/>
  <c r="AM50" i="16" s="1"/>
  <c r="AN50" i="16" s="1"/>
  <c r="AS50" i="16"/>
  <c r="AQ50" i="16"/>
  <c r="AU50" i="16"/>
  <c r="S218" i="19"/>
  <c r="W218" i="19" s="1"/>
  <c r="R219" i="19" s="1"/>
  <c r="T218" i="19"/>
  <c r="AE217" i="19"/>
  <c r="AD218" i="19" s="1"/>
  <c r="AT217" i="19"/>
  <c r="AI50" i="16"/>
  <c r="AJ50" i="16" s="1"/>
  <c r="AK50" i="16" s="1"/>
  <c r="AP50" i="16"/>
  <c r="AO50" i="16"/>
  <c r="M51" i="16"/>
  <c r="Q51" i="16" s="1"/>
  <c r="L52" i="16" s="1"/>
  <c r="P52" i="16"/>
  <c r="N51" i="16"/>
  <c r="AT60" i="16"/>
  <c r="AE60" i="16"/>
  <c r="AD61" i="16" s="1"/>
  <c r="L226" i="15"/>
  <c r="I227" i="15" s="1"/>
  <c r="J227" i="15" s="1"/>
  <c r="AW49" i="16"/>
  <c r="AX49" i="16" s="1"/>
  <c r="AY49" i="16" s="1"/>
  <c r="T61" i="16"/>
  <c r="S61" i="16"/>
  <c r="W61" i="16" s="1"/>
  <c r="R62" i="16" s="1"/>
  <c r="P228" i="17"/>
  <c r="M227" i="17"/>
  <c r="Q227" i="17" s="1"/>
  <c r="L228" i="17" s="1"/>
  <c r="N227" i="17"/>
  <c r="R226" i="15"/>
  <c r="Q227" i="15" s="1"/>
  <c r="AT227" i="15" s="1"/>
  <c r="T226" i="17"/>
  <c r="S226" i="17"/>
  <c r="W226" i="17" s="1"/>
  <c r="R227" i="17" s="1"/>
  <c r="N227" i="19"/>
  <c r="P228" i="19"/>
  <c r="M227" i="19"/>
  <c r="Q227" i="19" s="1"/>
  <c r="L228" i="19" s="1"/>
  <c r="AT225" i="17"/>
  <c r="AE225" i="17"/>
  <c r="AD226" i="17" s="1"/>
  <c r="F140" i="18"/>
  <c r="AI139" i="18"/>
  <c r="AJ139" i="18" s="1"/>
  <c r="AK139" i="18" s="1"/>
  <c r="AM139" i="18"/>
  <c r="AN139" i="18" s="1"/>
  <c r="G58" i="16" l="1"/>
  <c r="K58" i="16" s="1"/>
  <c r="F59" i="16" s="1"/>
  <c r="J59" i="16"/>
  <c r="H58" i="16"/>
  <c r="AT163" i="29"/>
  <c r="F116" i="28"/>
  <c r="AQ115" i="28"/>
  <c r="AS115" i="28"/>
  <c r="AU115" i="28"/>
  <c r="Z177" i="25"/>
  <c r="Y177" i="25"/>
  <c r="AG177" i="25" s="1"/>
  <c r="AF178" i="25" s="1"/>
  <c r="L154" i="24"/>
  <c r="I155" i="24" s="1"/>
  <c r="O170" i="24"/>
  <c r="N170" i="24"/>
  <c r="T154" i="24"/>
  <c r="S155" i="24" s="1"/>
  <c r="Y162" i="29"/>
  <c r="AC162" i="29" s="1"/>
  <c r="X163" i="29" s="1"/>
  <c r="AA163" i="29" s="1"/>
  <c r="AE163" i="29" s="1"/>
  <c r="AD164" i="29" s="1"/>
  <c r="Z162" i="29"/>
  <c r="AG161" i="29"/>
  <c r="AF162" i="29" s="1"/>
  <c r="AN105" i="24"/>
  <c r="F120" i="29"/>
  <c r="I120" i="29" s="1"/>
  <c r="AR120" i="29" s="1"/>
  <c r="AS119" i="29"/>
  <c r="AU119" i="29"/>
  <c r="AQ119" i="29"/>
  <c r="AW111" i="26"/>
  <c r="AX111" i="26" s="1"/>
  <c r="AY111" i="26" s="1"/>
  <c r="H112" i="26"/>
  <c r="Z173" i="28"/>
  <c r="Y173" i="28"/>
  <c r="AC173" i="28" s="1"/>
  <c r="X174" i="28" s="1"/>
  <c r="AB174" i="28" s="1"/>
  <c r="AK105" i="24"/>
  <c r="AW105" i="15"/>
  <c r="AX105" i="15" s="1"/>
  <c r="AY105" i="15" s="1"/>
  <c r="G146" i="25"/>
  <c r="K146" i="25" s="1"/>
  <c r="J147" i="25"/>
  <c r="H146" i="25"/>
  <c r="N142" i="25"/>
  <c r="AP142" i="25" s="1"/>
  <c r="P143" i="25"/>
  <c r="AJ141" i="25"/>
  <c r="AK141" i="25" s="1"/>
  <c r="AW141" i="25" s="1"/>
  <c r="AX141" i="25" s="1"/>
  <c r="AY141" i="25" s="1"/>
  <c r="G106" i="24"/>
  <c r="AR106" i="24" s="1"/>
  <c r="G106" i="15"/>
  <c r="AR106" i="15" s="1"/>
  <c r="M142" i="25"/>
  <c r="Q142" i="25" s="1"/>
  <c r="L143" i="25" s="1"/>
  <c r="AL104" i="17"/>
  <c r="AM104" i="17" s="1"/>
  <c r="AN104" i="17" s="1"/>
  <c r="H105" i="17"/>
  <c r="AO105" i="17" s="1"/>
  <c r="AU104" i="17"/>
  <c r="AS104" i="17"/>
  <c r="J106" i="17"/>
  <c r="AQ104" i="17"/>
  <c r="AI104" i="17"/>
  <c r="AJ104" i="17" s="1"/>
  <c r="AK104" i="17" s="1"/>
  <c r="K93" i="19"/>
  <c r="AQ93" i="19" s="1"/>
  <c r="AL93" i="19"/>
  <c r="AM93" i="19" s="1"/>
  <c r="AN93" i="19" s="1"/>
  <c r="T227" i="15"/>
  <c r="S228" i="15" s="1"/>
  <c r="AC187" i="17"/>
  <c r="X188" i="17" s="1"/>
  <c r="Y188" i="17" s="1"/>
  <c r="AG60" i="16"/>
  <c r="AF61" i="16" s="1"/>
  <c r="AL105" i="17"/>
  <c r="AM105" i="17" s="1"/>
  <c r="AN105" i="17" s="1"/>
  <c r="AG204" i="19"/>
  <c r="AF205" i="19" s="1"/>
  <c r="K105" i="17"/>
  <c r="Y205" i="19"/>
  <c r="AC205" i="19" s="1"/>
  <c r="X206" i="19" s="1"/>
  <c r="Z205" i="19"/>
  <c r="Y61" i="16"/>
  <c r="Z61" i="16"/>
  <c r="AT218" i="19"/>
  <c r="AE218" i="19"/>
  <c r="AD219" i="19" s="1"/>
  <c r="L227" i="15"/>
  <c r="I228" i="15" s="1"/>
  <c r="J228" i="15" s="1"/>
  <c r="T219" i="19"/>
  <c r="S219" i="19"/>
  <c r="W219" i="19" s="1"/>
  <c r="R220" i="19" s="1"/>
  <c r="N52" i="16"/>
  <c r="P53" i="16"/>
  <c r="M52" i="16"/>
  <c r="Q52" i="16" s="1"/>
  <c r="L53" i="16" s="1"/>
  <c r="S62" i="16"/>
  <c r="W62" i="16" s="1"/>
  <c r="R63" i="16" s="1"/>
  <c r="T62" i="16"/>
  <c r="AE61" i="16"/>
  <c r="AD62" i="16" s="1"/>
  <c r="AT61" i="16"/>
  <c r="AU51" i="16"/>
  <c r="AQ51" i="16"/>
  <c r="AI51" i="16"/>
  <c r="AJ51" i="16" s="1"/>
  <c r="AK51" i="16" s="1"/>
  <c r="AO51" i="16"/>
  <c r="AP51" i="16"/>
  <c r="AW50" i="16"/>
  <c r="AX50" i="16" s="1"/>
  <c r="AY50" i="16" s="1"/>
  <c r="AS51" i="16"/>
  <c r="AL51" i="16"/>
  <c r="AM51" i="16" s="1"/>
  <c r="AN51" i="16" s="1"/>
  <c r="P229" i="17"/>
  <c r="M228" i="17"/>
  <c r="Q228" i="17" s="1"/>
  <c r="L229" i="17" s="1"/>
  <c r="N228" i="17"/>
  <c r="P229" i="19"/>
  <c r="M228" i="19"/>
  <c r="Q228" i="19" s="1"/>
  <c r="L229" i="19" s="1"/>
  <c r="N228" i="19"/>
  <c r="R227" i="15"/>
  <c r="Q228" i="15" s="1"/>
  <c r="AT228" i="15" s="1"/>
  <c r="AT226" i="17"/>
  <c r="AE226" i="17"/>
  <c r="AD227" i="17" s="1"/>
  <c r="T227" i="17"/>
  <c r="S227" i="17"/>
  <c r="W227" i="17" s="1"/>
  <c r="R228" i="17" s="1"/>
  <c r="AW139" i="18"/>
  <c r="AX139" i="18" s="1"/>
  <c r="AY139" i="18" s="1"/>
  <c r="G140" i="18"/>
  <c r="AR140" i="18" s="1"/>
  <c r="R228" i="18"/>
  <c r="Q229" i="18" s="1"/>
  <c r="AT229" i="18" s="1"/>
  <c r="T228" i="18"/>
  <c r="S229" i="18" s="1"/>
  <c r="P228" i="18"/>
  <c r="M229" i="18" s="1"/>
  <c r="N229" i="18" s="1"/>
  <c r="J60" i="16" l="1"/>
  <c r="G59" i="16"/>
  <c r="K59" i="16" s="1"/>
  <c r="F60" i="16" s="1"/>
  <c r="H59" i="16"/>
  <c r="AW115" i="28"/>
  <c r="AX115" i="28" s="1"/>
  <c r="AY115" i="28" s="1"/>
  <c r="AT164" i="29"/>
  <c r="Q120" i="29"/>
  <c r="L121" i="29" s="1"/>
  <c r="I116" i="28"/>
  <c r="Q116" i="28" s="1"/>
  <c r="L117" i="28" s="1"/>
  <c r="H116" i="28"/>
  <c r="J117" i="28"/>
  <c r="G116" i="28"/>
  <c r="AL116" i="28" s="1"/>
  <c r="AM116" i="28" s="1"/>
  <c r="AN116" i="28" s="1"/>
  <c r="P170" i="24"/>
  <c r="M171" i="24" s="1"/>
  <c r="N171" i="24" s="1"/>
  <c r="AC177" i="25"/>
  <c r="X178" i="25" s="1"/>
  <c r="K155" i="24"/>
  <c r="R155" i="24" s="1"/>
  <c r="Q156" i="24" s="1"/>
  <c r="AT156" i="24" s="1"/>
  <c r="J155" i="24"/>
  <c r="Y163" i="29"/>
  <c r="AC163" i="29" s="1"/>
  <c r="X164" i="29" s="1"/>
  <c r="AA164" i="29" s="1"/>
  <c r="AE164" i="29" s="1"/>
  <c r="AD165" i="29" s="1"/>
  <c r="Z163" i="29"/>
  <c r="AG162" i="29"/>
  <c r="AF163" i="29" s="1"/>
  <c r="AW105" i="24"/>
  <c r="AX105" i="24" s="1"/>
  <c r="AY105" i="24" s="1"/>
  <c r="AW119" i="29"/>
  <c r="AX119" i="29" s="1"/>
  <c r="AY119" i="29" s="1"/>
  <c r="J121" i="29"/>
  <c r="H120" i="29"/>
  <c r="AP120" i="29" s="1"/>
  <c r="G120" i="29"/>
  <c r="AI120" i="29" s="1"/>
  <c r="F113" i="26"/>
  <c r="AI112" i="26"/>
  <c r="AL112" i="26"/>
  <c r="Z174" i="28"/>
  <c r="Y174" i="28"/>
  <c r="AC174" i="28" s="1"/>
  <c r="X175" i="28" s="1"/>
  <c r="AB175" i="28" s="1"/>
  <c r="AG173" i="28"/>
  <c r="AF174" i="28" s="1"/>
  <c r="F147" i="25"/>
  <c r="AL142" i="25"/>
  <c r="AU142" i="25"/>
  <c r="AQ142" i="25"/>
  <c r="AS142" i="25"/>
  <c r="AI142" i="25"/>
  <c r="AO142" i="25"/>
  <c r="P144" i="25"/>
  <c r="N143" i="25"/>
  <c r="AP143" i="25" s="1"/>
  <c r="H106" i="15"/>
  <c r="AL106" i="15" s="1"/>
  <c r="AM106" i="15" s="1"/>
  <c r="AN106" i="15" s="1"/>
  <c r="H106" i="24"/>
  <c r="M143" i="25"/>
  <c r="Q143" i="25" s="1"/>
  <c r="L144" i="25" s="1"/>
  <c r="AP105" i="17"/>
  <c r="AU93" i="19"/>
  <c r="AW104" i="17"/>
  <c r="AX104" i="17" s="1"/>
  <c r="AY104" i="17" s="1"/>
  <c r="AS93" i="19"/>
  <c r="F94" i="19"/>
  <c r="G94" i="19" s="1"/>
  <c r="AI94" i="19" s="1"/>
  <c r="AJ94" i="19" s="1"/>
  <c r="AK94" i="19" s="1"/>
  <c r="Z188" i="17"/>
  <c r="AG188" i="17"/>
  <c r="AF189" i="17" s="1"/>
  <c r="AC188" i="17"/>
  <c r="X189" i="17" s="1"/>
  <c r="Y189" i="17" s="1"/>
  <c r="AG61" i="16"/>
  <c r="AF62" i="16" s="1"/>
  <c r="F106" i="17"/>
  <c r="AQ105" i="17"/>
  <c r="AU105" i="17"/>
  <c r="AS105" i="17"/>
  <c r="Z206" i="19"/>
  <c r="Y206" i="19"/>
  <c r="AC206" i="19" s="1"/>
  <c r="X207" i="19" s="1"/>
  <c r="AG205" i="19"/>
  <c r="AF206" i="19" s="1"/>
  <c r="AC61" i="16"/>
  <c r="X62" i="16" s="1"/>
  <c r="Y62" i="16" s="1"/>
  <c r="AC62" i="16" s="1"/>
  <c r="X63" i="16" s="1"/>
  <c r="AW51" i="16"/>
  <c r="AX51" i="16" s="1"/>
  <c r="AY51" i="16" s="1"/>
  <c r="AT219" i="19"/>
  <c r="AE219" i="19"/>
  <c r="AD220" i="19" s="1"/>
  <c r="L228" i="15"/>
  <c r="I229" i="15" s="1"/>
  <c r="J229" i="15" s="1"/>
  <c r="T220" i="19"/>
  <c r="S220" i="19"/>
  <c r="W220" i="19" s="1"/>
  <c r="R221" i="19" s="1"/>
  <c r="AS52" i="16"/>
  <c r="AL52" i="16"/>
  <c r="AM52" i="16" s="1"/>
  <c r="AN52" i="16" s="1"/>
  <c r="AE62" i="16"/>
  <c r="AD63" i="16" s="1"/>
  <c r="AT62" i="16"/>
  <c r="N53" i="16"/>
  <c r="P54" i="16"/>
  <c r="M53" i="16"/>
  <c r="Q53" i="16" s="1"/>
  <c r="L54" i="16" s="1"/>
  <c r="AQ52" i="16"/>
  <c r="T228" i="15"/>
  <c r="S229" i="15" s="1"/>
  <c r="AU52" i="16"/>
  <c r="AI52" i="16"/>
  <c r="AJ52" i="16" s="1"/>
  <c r="AK52" i="16" s="1"/>
  <c r="T63" i="16"/>
  <c r="S63" i="16"/>
  <c r="W63" i="16" s="1"/>
  <c r="R64" i="16" s="1"/>
  <c r="AP52" i="16"/>
  <c r="AO52" i="16"/>
  <c r="P230" i="19"/>
  <c r="N229" i="19"/>
  <c r="M229" i="19"/>
  <c r="Q229" i="19" s="1"/>
  <c r="L230" i="19" s="1"/>
  <c r="T228" i="17"/>
  <c r="S228" i="17"/>
  <c r="W228" i="17" s="1"/>
  <c r="R229" i="17" s="1"/>
  <c r="R228" i="15"/>
  <c r="Q229" i="15" s="1"/>
  <c r="AT229" i="15" s="1"/>
  <c r="AT227" i="17"/>
  <c r="AE227" i="17"/>
  <c r="AD228" i="17" s="1"/>
  <c r="M229" i="17"/>
  <c r="Q229" i="17" s="1"/>
  <c r="L230" i="17" s="1"/>
  <c r="N229" i="17"/>
  <c r="P230" i="17"/>
  <c r="H140" i="18"/>
  <c r="R229" i="18"/>
  <c r="Q230" i="18" s="1"/>
  <c r="AT230" i="18" s="1"/>
  <c r="H60" i="16" l="1"/>
  <c r="J61" i="16"/>
  <c r="G60" i="16"/>
  <c r="K60" i="16" s="1"/>
  <c r="F61" i="16" s="1"/>
  <c r="AT165" i="29"/>
  <c r="O121" i="29"/>
  <c r="M121" i="29"/>
  <c r="P122" i="29"/>
  <c r="N121" i="29"/>
  <c r="O117" i="28"/>
  <c r="P118" i="28"/>
  <c r="N117" i="28"/>
  <c r="M117" i="28"/>
  <c r="AP116" i="28"/>
  <c r="AO116" i="28"/>
  <c r="AI116" i="28"/>
  <c r="K116" i="28"/>
  <c r="O171" i="24"/>
  <c r="P171" i="24" s="1"/>
  <c r="M172" i="24" s="1"/>
  <c r="T155" i="24"/>
  <c r="S156" i="24" s="1"/>
  <c r="L155" i="24"/>
  <c r="I156" i="24" s="1"/>
  <c r="Y178" i="25"/>
  <c r="AG178" i="25" s="1"/>
  <c r="AF179" i="25" s="1"/>
  <c r="Z178" i="25"/>
  <c r="Y164" i="29"/>
  <c r="AC164" i="29" s="1"/>
  <c r="X165" i="29" s="1"/>
  <c r="AA165" i="29" s="1"/>
  <c r="AE165" i="29" s="1"/>
  <c r="AD166" i="29" s="1"/>
  <c r="Z164" i="29"/>
  <c r="AG163" i="29"/>
  <c r="AF164" i="29" s="1"/>
  <c r="AO120" i="29"/>
  <c r="AJ120" i="29"/>
  <c r="AK120" i="29" s="1"/>
  <c r="K120" i="29"/>
  <c r="AL120" i="29"/>
  <c r="G113" i="26"/>
  <c r="AR113" i="26" s="1"/>
  <c r="AM112" i="26"/>
  <c r="AN112" i="26" s="1"/>
  <c r="AJ112" i="26"/>
  <c r="AK112" i="26" s="1"/>
  <c r="Z175" i="28"/>
  <c r="Y175" i="28"/>
  <c r="AG174" i="28"/>
  <c r="AF175" i="28" s="1"/>
  <c r="AL143" i="25"/>
  <c r="G147" i="25"/>
  <c r="K147" i="25" s="1"/>
  <c r="J148" i="25"/>
  <c r="H147" i="25"/>
  <c r="AO143" i="25"/>
  <c r="AS143" i="25"/>
  <c r="AQ143" i="25"/>
  <c r="AI143" i="25"/>
  <c r="AU143" i="25"/>
  <c r="AM142" i="25"/>
  <c r="AN142" i="25" s="1"/>
  <c r="N144" i="25"/>
  <c r="AP144" i="25" s="1"/>
  <c r="P145" i="25"/>
  <c r="AJ142" i="25"/>
  <c r="AK142" i="25" s="1"/>
  <c r="F107" i="24"/>
  <c r="AL106" i="24"/>
  <c r="AM106" i="24" s="1"/>
  <c r="AI106" i="24"/>
  <c r="AJ106" i="24" s="1"/>
  <c r="F107" i="15"/>
  <c r="G107" i="15" s="1"/>
  <c r="AR107" i="15" s="1"/>
  <c r="AI106" i="15"/>
  <c r="AJ106" i="15" s="1"/>
  <c r="AK106" i="15" s="1"/>
  <c r="AW106" i="15" s="1"/>
  <c r="AX106" i="15" s="1"/>
  <c r="AY106" i="15" s="1"/>
  <c r="M144" i="25"/>
  <c r="Q144" i="25" s="1"/>
  <c r="L145" i="25" s="1"/>
  <c r="J95" i="19"/>
  <c r="H94" i="19"/>
  <c r="AO94" i="19" s="1"/>
  <c r="AW93" i="19"/>
  <c r="AX93" i="19" s="1"/>
  <c r="AY93" i="19" s="1"/>
  <c r="AL94" i="19"/>
  <c r="AM94" i="19" s="1"/>
  <c r="AN94" i="19" s="1"/>
  <c r="K94" i="19"/>
  <c r="F95" i="19" s="1"/>
  <c r="G95" i="19" s="1"/>
  <c r="K95" i="19" s="1"/>
  <c r="AQ95" i="19" s="1"/>
  <c r="AW105" i="17"/>
  <c r="AX105" i="17" s="1"/>
  <c r="AY105" i="17" s="1"/>
  <c r="Z189" i="17"/>
  <c r="AG189" i="17"/>
  <c r="AF190" i="17" s="1"/>
  <c r="AC189" i="17"/>
  <c r="X190" i="17" s="1"/>
  <c r="H106" i="17"/>
  <c r="G106" i="17"/>
  <c r="K106" i="17" s="1"/>
  <c r="F107" i="17" s="1"/>
  <c r="J107" i="17"/>
  <c r="AG206" i="19"/>
  <c r="AF207" i="19" s="1"/>
  <c r="Y207" i="19"/>
  <c r="AC207" i="19" s="1"/>
  <c r="X208" i="19" s="1"/>
  <c r="Z207" i="19"/>
  <c r="Z62" i="16"/>
  <c r="Y63" i="16"/>
  <c r="AC63" i="16" s="1"/>
  <c r="X64" i="16" s="1"/>
  <c r="Z63" i="16"/>
  <c r="AG62" i="16"/>
  <c r="AF63" i="16" s="1"/>
  <c r="T229" i="15"/>
  <c r="S230" i="15" s="1"/>
  <c r="AE220" i="19"/>
  <c r="AD221" i="19" s="1"/>
  <c r="AT220" i="19"/>
  <c r="S221" i="19"/>
  <c r="W221" i="19" s="1"/>
  <c r="R222" i="19" s="1"/>
  <c r="T221" i="19"/>
  <c r="S64" i="16"/>
  <c r="W64" i="16" s="1"/>
  <c r="R65" i="16" s="1"/>
  <c r="T64" i="16"/>
  <c r="AL53" i="16"/>
  <c r="AM53" i="16" s="1"/>
  <c r="AN53" i="16" s="1"/>
  <c r="AP53" i="16"/>
  <c r="AO53" i="16"/>
  <c r="P55" i="16"/>
  <c r="N54" i="16"/>
  <c r="M54" i="16"/>
  <c r="Q54" i="16" s="1"/>
  <c r="L55" i="16" s="1"/>
  <c r="AI53" i="16"/>
  <c r="AJ53" i="16" s="1"/>
  <c r="AK53" i="16" s="1"/>
  <c r="L229" i="15"/>
  <c r="I230" i="15" s="1"/>
  <c r="J230" i="15" s="1"/>
  <c r="AS53" i="16"/>
  <c r="AW52" i="16"/>
  <c r="AX52" i="16" s="1"/>
  <c r="AY52" i="16" s="1"/>
  <c r="AU53" i="16"/>
  <c r="AQ53" i="16"/>
  <c r="AE63" i="16"/>
  <c r="AD64" i="16" s="1"/>
  <c r="AT63" i="16"/>
  <c r="AT228" i="17"/>
  <c r="AE228" i="17"/>
  <c r="AD229" i="17" s="1"/>
  <c r="R229" i="15"/>
  <c r="Q230" i="15" s="1"/>
  <c r="AT230" i="15" s="1"/>
  <c r="T229" i="17"/>
  <c r="S229" i="17"/>
  <c r="W229" i="17" s="1"/>
  <c r="R230" i="17" s="1"/>
  <c r="P231" i="19"/>
  <c r="M230" i="19"/>
  <c r="Q230" i="19" s="1"/>
  <c r="L231" i="19" s="1"/>
  <c r="N230" i="19"/>
  <c r="P231" i="17"/>
  <c r="N230" i="17"/>
  <c r="M230" i="17"/>
  <c r="Q230" i="17" s="1"/>
  <c r="L231" i="17" s="1"/>
  <c r="F141" i="18"/>
  <c r="AL140" i="18"/>
  <c r="AM140" i="18" s="1"/>
  <c r="AN140" i="18" s="1"/>
  <c r="AI140" i="18"/>
  <c r="AJ140" i="18" s="1"/>
  <c r="AK140" i="18" s="1"/>
  <c r="T229" i="18"/>
  <c r="S230" i="18" s="1"/>
  <c r="P229" i="18"/>
  <c r="M230" i="18" s="1"/>
  <c r="N230" i="18" s="1"/>
  <c r="J62" i="16" l="1"/>
  <c r="H61" i="16"/>
  <c r="G61" i="16"/>
  <c r="K61" i="16" s="1"/>
  <c r="F62" i="16" s="1"/>
  <c r="AT166" i="29"/>
  <c r="AJ116" i="28"/>
  <c r="AK116" i="28" s="1"/>
  <c r="AU116" i="28"/>
  <c r="F117" i="28"/>
  <c r="AQ116" i="28"/>
  <c r="AS116" i="28"/>
  <c r="N172" i="24"/>
  <c r="O172" i="24"/>
  <c r="K156" i="24"/>
  <c r="R156" i="24" s="1"/>
  <c r="Q157" i="24" s="1"/>
  <c r="AT157" i="24" s="1"/>
  <c r="J156" i="24"/>
  <c r="AC178" i="25"/>
  <c r="X179" i="25" s="1"/>
  <c r="Y165" i="29"/>
  <c r="AC165" i="29" s="1"/>
  <c r="X166" i="29" s="1"/>
  <c r="AA166" i="29" s="1"/>
  <c r="AE166" i="29" s="1"/>
  <c r="AD167" i="29" s="1"/>
  <c r="Z165" i="29"/>
  <c r="AG164" i="29"/>
  <c r="AF165" i="29" s="1"/>
  <c r="F121" i="29"/>
  <c r="I121" i="29" s="1"/>
  <c r="AR121" i="29" s="1"/>
  <c r="AQ120" i="29"/>
  <c r="AS120" i="29"/>
  <c r="AU120" i="29"/>
  <c r="AM120" i="29"/>
  <c r="AN120" i="29" s="1"/>
  <c r="H113" i="26"/>
  <c r="F114" i="26" s="1"/>
  <c r="G114" i="26" s="1"/>
  <c r="AR114" i="26" s="1"/>
  <c r="AW112" i="26"/>
  <c r="AX112" i="26" s="1"/>
  <c r="AY112" i="26" s="1"/>
  <c r="AG175" i="28"/>
  <c r="AF176" i="28" s="1"/>
  <c r="AC175" i="28"/>
  <c r="X176" i="28" s="1"/>
  <c r="AB176" i="28" s="1"/>
  <c r="AQ144" i="25"/>
  <c r="AI144" i="25"/>
  <c r="AS144" i="25"/>
  <c r="AU144" i="25"/>
  <c r="AW142" i="25"/>
  <c r="AX142" i="25" s="1"/>
  <c r="AY142" i="25" s="1"/>
  <c r="F148" i="25"/>
  <c r="AO144" i="25"/>
  <c r="AL144" i="25"/>
  <c r="AM143" i="25"/>
  <c r="AN143" i="25" s="1"/>
  <c r="P146" i="25"/>
  <c r="N145" i="25"/>
  <c r="AP145" i="25" s="1"/>
  <c r="AJ143" i="25"/>
  <c r="AK143" i="25" s="1"/>
  <c r="AK106" i="24"/>
  <c r="AN106" i="24"/>
  <c r="H107" i="15"/>
  <c r="AL107" i="15" s="1"/>
  <c r="AM107" i="15" s="1"/>
  <c r="AN107" i="15" s="1"/>
  <c r="G107" i="24"/>
  <c r="AR107" i="24" s="1"/>
  <c r="M145" i="25"/>
  <c r="Q145" i="25" s="1"/>
  <c r="L146" i="25" s="1"/>
  <c r="AP94" i="19"/>
  <c r="AU94" i="19"/>
  <c r="H95" i="19"/>
  <c r="AO95" i="19" s="1"/>
  <c r="J96" i="19"/>
  <c r="AS94" i="19"/>
  <c r="AQ94" i="19"/>
  <c r="AS95" i="19"/>
  <c r="F96" i="19"/>
  <c r="AU95" i="19"/>
  <c r="AI95" i="19"/>
  <c r="AJ95" i="19" s="1"/>
  <c r="AK95" i="19" s="1"/>
  <c r="AL95" i="19"/>
  <c r="AM95" i="19" s="1"/>
  <c r="AN95" i="19" s="1"/>
  <c r="Y190" i="17"/>
  <c r="AG190" i="17" s="1"/>
  <c r="AF191" i="17" s="1"/>
  <c r="Z190" i="17"/>
  <c r="AI106" i="17"/>
  <c r="AJ106" i="17" s="1"/>
  <c r="AK106" i="17" s="1"/>
  <c r="AU106" i="17"/>
  <c r="AS106" i="17"/>
  <c r="AL106" i="17"/>
  <c r="AM106" i="17" s="1"/>
  <c r="AN106" i="17" s="1"/>
  <c r="AQ106" i="17"/>
  <c r="AP106" i="17"/>
  <c r="AO106" i="17"/>
  <c r="H107" i="17"/>
  <c r="G107" i="17"/>
  <c r="AI107" i="17" s="1"/>
  <c r="AJ107" i="17" s="1"/>
  <c r="AK107" i="17" s="1"/>
  <c r="J108" i="17"/>
  <c r="Z208" i="19"/>
  <c r="Y208" i="19"/>
  <c r="AC208" i="19" s="1"/>
  <c r="X209" i="19" s="1"/>
  <c r="AG207" i="19"/>
  <c r="AF208" i="19" s="1"/>
  <c r="Y64" i="16"/>
  <c r="AC64" i="16" s="1"/>
  <c r="X65" i="16" s="1"/>
  <c r="Z64" i="16"/>
  <c r="AG63" i="16"/>
  <c r="AF64" i="16" s="1"/>
  <c r="T230" i="15"/>
  <c r="S231" i="15" s="1"/>
  <c r="AI54" i="16"/>
  <c r="AJ54" i="16" s="1"/>
  <c r="AK54" i="16" s="1"/>
  <c r="S222" i="19"/>
  <c r="W222" i="19" s="1"/>
  <c r="R223" i="19" s="1"/>
  <c r="T222" i="19"/>
  <c r="L230" i="15"/>
  <c r="I231" i="15" s="1"/>
  <c r="J231" i="15" s="1"/>
  <c r="AQ54" i="16"/>
  <c r="AT221" i="19"/>
  <c r="AE221" i="19"/>
  <c r="AD222" i="19" s="1"/>
  <c r="P56" i="16"/>
  <c r="N55" i="16"/>
  <c r="M55" i="16"/>
  <c r="Q55" i="16" s="1"/>
  <c r="L56" i="16" s="1"/>
  <c r="AO54" i="16"/>
  <c r="AP54" i="16"/>
  <c r="AW53" i="16"/>
  <c r="AX53" i="16" s="1"/>
  <c r="AY53" i="16" s="1"/>
  <c r="S65" i="16"/>
  <c r="W65" i="16" s="1"/>
  <c r="R66" i="16" s="1"/>
  <c r="T65" i="16"/>
  <c r="AE64" i="16"/>
  <c r="AD65" i="16" s="1"/>
  <c r="AT64" i="16"/>
  <c r="AL54" i="16"/>
  <c r="AM54" i="16" s="1"/>
  <c r="AN54" i="16" s="1"/>
  <c r="AS54" i="16"/>
  <c r="AU54" i="16"/>
  <c r="R230" i="15"/>
  <c r="Q231" i="15" s="1"/>
  <c r="AT231" i="15" s="1"/>
  <c r="N231" i="17"/>
  <c r="M231" i="17"/>
  <c r="Q231" i="17" s="1"/>
  <c r="L232" i="17" s="1"/>
  <c r="P232" i="17"/>
  <c r="P232" i="19"/>
  <c r="N231" i="19"/>
  <c r="M231" i="19"/>
  <c r="Q231" i="19" s="1"/>
  <c r="L232" i="19" s="1"/>
  <c r="T230" i="17"/>
  <c r="S230" i="17"/>
  <c r="W230" i="17" s="1"/>
  <c r="R231" i="17" s="1"/>
  <c r="AT229" i="17"/>
  <c r="AE229" i="17"/>
  <c r="AD230" i="17" s="1"/>
  <c r="AW140" i="18"/>
  <c r="AX140" i="18" s="1"/>
  <c r="AY140" i="18" s="1"/>
  <c r="G141" i="18"/>
  <c r="AR141" i="18" s="1"/>
  <c r="R230" i="18"/>
  <c r="Q231" i="18" s="1"/>
  <c r="AT231" i="18" s="1"/>
  <c r="T230" i="18"/>
  <c r="S231" i="18" s="1"/>
  <c r="J63" i="16" l="1"/>
  <c r="H62" i="16"/>
  <c r="G62" i="16"/>
  <c r="K62" i="16" s="1"/>
  <c r="F63" i="16" s="1"/>
  <c r="AW116" i="28"/>
  <c r="AX116" i="28" s="1"/>
  <c r="AY116" i="28" s="1"/>
  <c r="AT167" i="29"/>
  <c r="Q121" i="29"/>
  <c r="L122" i="29" s="1"/>
  <c r="H117" i="28"/>
  <c r="I117" i="28"/>
  <c r="Q117" i="28" s="1"/>
  <c r="L118" i="28" s="1"/>
  <c r="J118" i="28"/>
  <c r="G117" i="28"/>
  <c r="AI117" i="28" s="1"/>
  <c r="AJ117" i="28" s="1"/>
  <c r="AK117" i="28" s="1"/>
  <c r="P172" i="24"/>
  <c r="M173" i="24" s="1"/>
  <c r="O173" i="24" s="1"/>
  <c r="L156" i="24"/>
  <c r="I157" i="24" s="1"/>
  <c r="Y179" i="25"/>
  <c r="AG179" i="25" s="1"/>
  <c r="AF180" i="25" s="1"/>
  <c r="Z179" i="25"/>
  <c r="T156" i="24"/>
  <c r="S157" i="24" s="1"/>
  <c r="Y166" i="29"/>
  <c r="AC166" i="29" s="1"/>
  <c r="X167" i="29" s="1"/>
  <c r="AA167" i="29" s="1"/>
  <c r="AE167" i="29" s="1"/>
  <c r="AD168" i="29" s="1"/>
  <c r="Z166" i="29"/>
  <c r="AG165" i="29"/>
  <c r="AF166" i="29" s="1"/>
  <c r="AW120" i="29"/>
  <c r="AX120" i="29" s="1"/>
  <c r="AY120" i="29" s="1"/>
  <c r="H121" i="29"/>
  <c r="AP121" i="29" s="1"/>
  <c r="J122" i="29"/>
  <c r="G121" i="29"/>
  <c r="AI121" i="29" s="1"/>
  <c r="AI113" i="26"/>
  <c r="AJ113" i="26" s="1"/>
  <c r="AK113" i="26" s="1"/>
  <c r="AL113" i="26"/>
  <c r="AM113" i="26" s="1"/>
  <c r="AN113" i="26" s="1"/>
  <c r="H114" i="26"/>
  <c r="Z176" i="28"/>
  <c r="Y176" i="28"/>
  <c r="AG176" i="28" s="1"/>
  <c r="AF177" i="28" s="1"/>
  <c r="AW106" i="24"/>
  <c r="AX106" i="24" s="1"/>
  <c r="AY106" i="24" s="1"/>
  <c r="G148" i="25"/>
  <c r="K148" i="25" s="1"/>
  <c r="J149" i="25"/>
  <c r="H148" i="25"/>
  <c r="AO145" i="25"/>
  <c r="AW143" i="25"/>
  <c r="AX143" i="25" s="1"/>
  <c r="AY143" i="25" s="1"/>
  <c r="AU145" i="25"/>
  <c r="AQ145" i="25"/>
  <c r="AL145" i="25"/>
  <c r="AI145" i="25"/>
  <c r="AS145" i="25"/>
  <c r="AM144" i="25"/>
  <c r="AN144" i="25" s="1"/>
  <c r="N146" i="25"/>
  <c r="AP146" i="25" s="1"/>
  <c r="P147" i="25"/>
  <c r="AJ144" i="25"/>
  <c r="AK144" i="25" s="1"/>
  <c r="H107" i="24"/>
  <c r="F108" i="15"/>
  <c r="G108" i="15" s="1"/>
  <c r="AR108" i="15" s="1"/>
  <c r="AI107" i="15"/>
  <c r="AJ107" i="15" s="1"/>
  <c r="AK107" i="15" s="1"/>
  <c r="AW107" i="15" s="1"/>
  <c r="AX107" i="15" s="1"/>
  <c r="AY107" i="15" s="1"/>
  <c r="M146" i="25"/>
  <c r="Q146" i="25" s="1"/>
  <c r="L147" i="25" s="1"/>
  <c r="AW94" i="19"/>
  <c r="AX94" i="19" s="1"/>
  <c r="AY94" i="19" s="1"/>
  <c r="AP95" i="19"/>
  <c r="AW95" i="19" s="1"/>
  <c r="AX95" i="19" s="1"/>
  <c r="AY95" i="19" s="1"/>
  <c r="G96" i="19"/>
  <c r="AL96" i="19" s="1"/>
  <c r="AM96" i="19" s="1"/>
  <c r="AN96" i="19" s="1"/>
  <c r="H96" i="19"/>
  <c r="J97" i="19"/>
  <c r="AW106" i="17"/>
  <c r="AX106" i="17" s="1"/>
  <c r="AY106" i="17" s="1"/>
  <c r="AC190" i="17"/>
  <c r="X191" i="17" s="1"/>
  <c r="K107" i="17"/>
  <c r="AQ107" i="17" s="1"/>
  <c r="AG64" i="16"/>
  <c r="AF65" i="16" s="1"/>
  <c r="AG208" i="19"/>
  <c r="AF209" i="19" s="1"/>
  <c r="AL107" i="17"/>
  <c r="AM107" i="17" s="1"/>
  <c r="AN107" i="17" s="1"/>
  <c r="AP107" i="17"/>
  <c r="AO107" i="17"/>
  <c r="Y209" i="19"/>
  <c r="AC209" i="19" s="1"/>
  <c r="X210" i="19" s="1"/>
  <c r="Z209" i="19"/>
  <c r="T231" i="15"/>
  <c r="S232" i="15" s="1"/>
  <c r="Y65" i="16"/>
  <c r="AC65" i="16" s="1"/>
  <c r="X66" i="16" s="1"/>
  <c r="Z65" i="16"/>
  <c r="AW54" i="16"/>
  <c r="AX54" i="16" s="1"/>
  <c r="AY54" i="16" s="1"/>
  <c r="AL55" i="16"/>
  <c r="AM55" i="16" s="1"/>
  <c r="AN55" i="16" s="1"/>
  <c r="L231" i="15"/>
  <c r="I232" i="15" s="1"/>
  <c r="J232" i="15" s="1"/>
  <c r="AI55" i="16"/>
  <c r="AJ55" i="16" s="1"/>
  <c r="AK55" i="16" s="1"/>
  <c r="S223" i="19"/>
  <c r="W223" i="19" s="1"/>
  <c r="R224" i="19" s="1"/>
  <c r="T223" i="19"/>
  <c r="AT222" i="19"/>
  <c r="AE222" i="19"/>
  <c r="AD223" i="19" s="1"/>
  <c r="P57" i="16"/>
  <c r="M56" i="16"/>
  <c r="Q56" i="16" s="1"/>
  <c r="L57" i="16" s="1"/>
  <c r="N56" i="16"/>
  <c r="AS55" i="16"/>
  <c r="AE65" i="16"/>
  <c r="AD66" i="16" s="1"/>
  <c r="AT65" i="16"/>
  <c r="AU55" i="16"/>
  <c r="AQ55" i="16"/>
  <c r="AO55" i="16"/>
  <c r="AP55" i="16"/>
  <c r="S66" i="16"/>
  <c r="W66" i="16" s="1"/>
  <c r="R67" i="16" s="1"/>
  <c r="T66" i="16"/>
  <c r="M232" i="19"/>
  <c r="Q232" i="19" s="1"/>
  <c r="L233" i="19" s="1"/>
  <c r="P233" i="19"/>
  <c r="N232" i="19"/>
  <c r="AT230" i="17"/>
  <c r="AE230" i="17"/>
  <c r="AD231" i="17" s="1"/>
  <c r="S231" i="17"/>
  <c r="W231" i="17" s="1"/>
  <c r="R232" i="17" s="1"/>
  <c r="T231" i="17"/>
  <c r="P233" i="17"/>
  <c r="M232" i="17"/>
  <c r="Q232" i="17" s="1"/>
  <c r="L233" i="17" s="1"/>
  <c r="N232" i="17"/>
  <c r="R231" i="15"/>
  <c r="Q232" i="15" s="1"/>
  <c r="AT232" i="15" s="1"/>
  <c r="H141" i="18"/>
  <c r="F142" i="18" s="1"/>
  <c r="G142" i="18" s="1"/>
  <c r="AR142" i="18" s="1"/>
  <c r="P230" i="18"/>
  <c r="M231" i="18" s="1"/>
  <c r="N231" i="18" s="1"/>
  <c r="H63" i="16" l="1"/>
  <c r="J64" i="16"/>
  <c r="G63" i="16"/>
  <c r="K63" i="16" s="1"/>
  <c r="F64" i="16" s="1"/>
  <c r="AT168" i="29"/>
  <c r="O122" i="29"/>
  <c r="M122" i="29"/>
  <c r="N122" i="29"/>
  <c r="P123" i="29"/>
  <c r="AP117" i="28"/>
  <c r="AO117" i="28"/>
  <c r="O118" i="28"/>
  <c r="M118" i="28"/>
  <c r="N118" i="28"/>
  <c r="P119" i="28"/>
  <c r="AL117" i="28"/>
  <c r="AM117" i="28" s="1"/>
  <c r="AN117" i="28" s="1"/>
  <c r="K117" i="28"/>
  <c r="N173" i="24"/>
  <c r="P173" i="24" s="1"/>
  <c r="M174" i="24" s="1"/>
  <c r="N174" i="24" s="1"/>
  <c r="AC179" i="25"/>
  <c r="X180" i="25" s="1"/>
  <c r="K157" i="24"/>
  <c r="R157" i="24" s="1"/>
  <c r="Q158" i="24" s="1"/>
  <c r="AT158" i="24" s="1"/>
  <c r="J157" i="24"/>
  <c r="Y167" i="29"/>
  <c r="AC167" i="29" s="1"/>
  <c r="X168" i="29" s="1"/>
  <c r="AA168" i="29" s="1"/>
  <c r="AE168" i="29" s="1"/>
  <c r="AD169" i="29" s="1"/>
  <c r="Z167" i="29"/>
  <c r="AG166" i="29"/>
  <c r="AF167" i="29" s="1"/>
  <c r="AO121" i="29"/>
  <c r="AJ121" i="29"/>
  <c r="AK121" i="29" s="1"/>
  <c r="K121" i="29"/>
  <c r="AL121" i="29"/>
  <c r="AW113" i="26"/>
  <c r="AX113" i="26" s="1"/>
  <c r="AY113" i="26" s="1"/>
  <c r="F115" i="26"/>
  <c r="AL114" i="26"/>
  <c r="AI114" i="26"/>
  <c r="AC176" i="28"/>
  <c r="X177" i="28" s="1"/>
  <c r="AB177" i="28" s="1"/>
  <c r="AS146" i="25"/>
  <c r="AU146" i="25"/>
  <c r="AL146" i="25"/>
  <c r="AW144" i="25"/>
  <c r="AX144" i="25" s="1"/>
  <c r="AY144" i="25" s="1"/>
  <c r="F149" i="25"/>
  <c r="AO146" i="25"/>
  <c r="AQ146" i="25"/>
  <c r="AI146" i="25"/>
  <c r="N147" i="25"/>
  <c r="AP147" i="25" s="1"/>
  <c r="P148" i="25"/>
  <c r="AJ145" i="25"/>
  <c r="AK145" i="25" s="1"/>
  <c r="AM145" i="25"/>
  <c r="AN145" i="25" s="1"/>
  <c r="F108" i="24"/>
  <c r="AI107" i="24"/>
  <c r="AJ107" i="24" s="1"/>
  <c r="AL107" i="24"/>
  <c r="AM107" i="24" s="1"/>
  <c r="H108" i="15"/>
  <c r="M147" i="25"/>
  <c r="AL147" i="25" s="1"/>
  <c r="AO96" i="19"/>
  <c r="AP96" i="19"/>
  <c r="AI96" i="19"/>
  <c r="AJ96" i="19" s="1"/>
  <c r="AK96" i="19" s="1"/>
  <c r="K96" i="19"/>
  <c r="Y191" i="17"/>
  <c r="AG191" i="17" s="1"/>
  <c r="AF192" i="17" s="1"/>
  <c r="Z191" i="17"/>
  <c r="F108" i="17"/>
  <c r="AU107" i="17"/>
  <c r="AS107" i="17"/>
  <c r="Z210" i="19"/>
  <c r="Y210" i="19"/>
  <c r="AC210" i="19" s="1"/>
  <c r="X211" i="19" s="1"/>
  <c r="AG209" i="19"/>
  <c r="AF210" i="19" s="1"/>
  <c r="AW55" i="16"/>
  <c r="AX55" i="16" s="1"/>
  <c r="AY55" i="16" s="1"/>
  <c r="T232" i="15"/>
  <c r="S233" i="15" s="1"/>
  <c r="AG65" i="16"/>
  <c r="AF66" i="16" s="1"/>
  <c r="Z66" i="16"/>
  <c r="Y66" i="16"/>
  <c r="AC66" i="16" s="1"/>
  <c r="X67" i="16" s="1"/>
  <c r="L232" i="15"/>
  <c r="I233" i="15" s="1"/>
  <c r="J233" i="15" s="1"/>
  <c r="AI56" i="16"/>
  <c r="AJ56" i="16" s="1"/>
  <c r="AK56" i="16" s="1"/>
  <c r="AU56" i="16"/>
  <c r="AQ56" i="16"/>
  <c r="AE223" i="19"/>
  <c r="AD224" i="19" s="1"/>
  <c r="AT223" i="19"/>
  <c r="T224" i="19"/>
  <c r="S224" i="19"/>
  <c r="W224" i="19" s="1"/>
  <c r="R225" i="19" s="1"/>
  <c r="AP56" i="16"/>
  <c r="AO56" i="16"/>
  <c r="P58" i="16"/>
  <c r="M57" i="16"/>
  <c r="Q57" i="16" s="1"/>
  <c r="L58" i="16" s="1"/>
  <c r="N57" i="16"/>
  <c r="S67" i="16"/>
  <c r="W67" i="16" s="1"/>
  <c r="R68" i="16" s="1"/>
  <c r="T67" i="16"/>
  <c r="AS56" i="16"/>
  <c r="AL56" i="16"/>
  <c r="AM56" i="16" s="1"/>
  <c r="AN56" i="16" s="1"/>
  <c r="AT66" i="16"/>
  <c r="AE66" i="16"/>
  <c r="AD67" i="16" s="1"/>
  <c r="R232" i="15"/>
  <c r="Q233" i="15" s="1"/>
  <c r="AT233" i="15" s="1"/>
  <c r="P234" i="19"/>
  <c r="N233" i="19"/>
  <c r="M233" i="19"/>
  <c r="Q233" i="19" s="1"/>
  <c r="L234" i="19" s="1"/>
  <c r="T232" i="17"/>
  <c r="S232" i="17"/>
  <c r="W232" i="17" s="1"/>
  <c r="R233" i="17" s="1"/>
  <c r="AT231" i="17"/>
  <c r="AE231" i="17"/>
  <c r="AD232" i="17" s="1"/>
  <c r="M233" i="17"/>
  <c r="Q233" i="17" s="1"/>
  <c r="L234" i="17" s="1"/>
  <c r="N233" i="17"/>
  <c r="P234" i="17"/>
  <c r="AL141" i="18"/>
  <c r="AM141" i="18" s="1"/>
  <c r="AN141" i="18" s="1"/>
  <c r="AI141" i="18"/>
  <c r="AJ141" i="18" s="1"/>
  <c r="AK141" i="18" s="1"/>
  <c r="H142" i="18"/>
  <c r="G64" i="16" l="1"/>
  <c r="K64" i="16" s="1"/>
  <c r="F65" i="16" s="1"/>
  <c r="H64" i="16"/>
  <c r="J65" i="16"/>
  <c r="AT169" i="29"/>
  <c r="AQ117" i="28"/>
  <c r="AS117" i="28"/>
  <c r="F118" i="28"/>
  <c r="AU117" i="28"/>
  <c r="L157" i="24"/>
  <c r="I158" i="24" s="1"/>
  <c r="Z180" i="25"/>
  <c r="Y180" i="25"/>
  <c r="AG180" i="25" s="1"/>
  <c r="AF181" i="25" s="1"/>
  <c r="T157" i="24"/>
  <c r="S158" i="24" s="1"/>
  <c r="AG167" i="29"/>
  <c r="AF168" i="29" s="1"/>
  <c r="Y168" i="29"/>
  <c r="AC168" i="29" s="1"/>
  <c r="X169" i="29" s="1"/>
  <c r="AA169" i="29" s="1"/>
  <c r="AE169" i="29" s="1"/>
  <c r="AD170" i="29" s="1"/>
  <c r="Z168" i="29"/>
  <c r="F122" i="29"/>
  <c r="I122" i="29" s="1"/>
  <c r="AR122" i="29" s="1"/>
  <c r="AS121" i="29"/>
  <c r="AU121" i="29"/>
  <c r="AQ121" i="29"/>
  <c r="AM121" i="29"/>
  <c r="AN121" i="29" s="1"/>
  <c r="G115" i="26"/>
  <c r="AR115" i="26" s="1"/>
  <c r="AM114" i="26"/>
  <c r="AN114" i="26" s="1"/>
  <c r="AJ114" i="26"/>
  <c r="AK114" i="26" s="1"/>
  <c r="Z177" i="28"/>
  <c r="Y177" i="28"/>
  <c r="AG177" i="28" s="1"/>
  <c r="AF178" i="28" s="1"/>
  <c r="AW145" i="25"/>
  <c r="AX145" i="25" s="1"/>
  <c r="AY145" i="25" s="1"/>
  <c r="G149" i="25"/>
  <c r="K149" i="25" s="1"/>
  <c r="H149" i="25"/>
  <c r="J150" i="25"/>
  <c r="AO147" i="25"/>
  <c r="AM146" i="25"/>
  <c r="AN146" i="25" s="1"/>
  <c r="AM147" i="25"/>
  <c r="AN147" i="25" s="1"/>
  <c r="AJ146" i="25"/>
  <c r="AK146" i="25" s="1"/>
  <c r="AN107" i="24"/>
  <c r="AK107" i="24"/>
  <c r="O174" i="24"/>
  <c r="P174" i="24" s="1"/>
  <c r="G108" i="24"/>
  <c r="AR108" i="24" s="1"/>
  <c r="F109" i="15"/>
  <c r="AI108" i="15"/>
  <c r="AJ108" i="15" s="1"/>
  <c r="AK108" i="15" s="1"/>
  <c r="AL108" i="15"/>
  <c r="AM108" i="15" s="1"/>
  <c r="AN108" i="15" s="1"/>
  <c r="Q147" i="25"/>
  <c r="AU96" i="19"/>
  <c r="AS96" i="19"/>
  <c r="AQ96" i="19"/>
  <c r="F97" i="19"/>
  <c r="AW107" i="17"/>
  <c r="AX107" i="17" s="1"/>
  <c r="AY107" i="17" s="1"/>
  <c r="AC191" i="17"/>
  <c r="X192" i="17" s="1"/>
  <c r="Z192" i="17" s="1"/>
  <c r="G108" i="17"/>
  <c r="K108" i="17" s="1"/>
  <c r="F109" i="17" s="1"/>
  <c r="J109" i="17"/>
  <c r="H108" i="17"/>
  <c r="AG210" i="19"/>
  <c r="AF211" i="19" s="1"/>
  <c r="T233" i="15"/>
  <c r="S234" i="15" s="1"/>
  <c r="Y211" i="19"/>
  <c r="AC211" i="19" s="1"/>
  <c r="X212" i="19" s="1"/>
  <c r="Z211" i="19"/>
  <c r="Y67" i="16"/>
  <c r="AC67" i="16" s="1"/>
  <c r="X68" i="16" s="1"/>
  <c r="Z67" i="16"/>
  <c r="AG66" i="16"/>
  <c r="AF67" i="16" s="1"/>
  <c r="L233" i="15"/>
  <c r="I234" i="15" s="1"/>
  <c r="J234" i="15" s="1"/>
  <c r="AI57" i="16"/>
  <c r="AJ57" i="16" s="1"/>
  <c r="AK57" i="16" s="1"/>
  <c r="AL57" i="16"/>
  <c r="AM57" i="16" s="1"/>
  <c r="AN57" i="16" s="1"/>
  <c r="AU57" i="16"/>
  <c r="AQ57" i="16"/>
  <c r="AS57" i="16"/>
  <c r="S225" i="19"/>
  <c r="W225" i="19" s="1"/>
  <c r="R226" i="19" s="1"/>
  <c r="T225" i="19"/>
  <c r="AT224" i="19"/>
  <c r="AE224" i="19"/>
  <c r="AD225" i="19" s="1"/>
  <c r="T68" i="16"/>
  <c r="S68" i="16"/>
  <c r="W68" i="16" s="1"/>
  <c r="R69" i="16" s="1"/>
  <c r="AE67" i="16"/>
  <c r="AD68" i="16" s="1"/>
  <c r="AT67" i="16"/>
  <c r="P59" i="16"/>
  <c r="M58" i="16"/>
  <c r="Q58" i="16" s="1"/>
  <c r="L59" i="16" s="1"/>
  <c r="N58" i="16"/>
  <c r="AW56" i="16"/>
  <c r="AX56" i="16" s="1"/>
  <c r="AY56" i="16" s="1"/>
  <c r="AP57" i="16"/>
  <c r="AO57" i="16"/>
  <c r="N234" i="17"/>
  <c r="M234" i="17"/>
  <c r="Q234" i="17" s="1"/>
  <c r="S233" i="17"/>
  <c r="W233" i="17" s="1"/>
  <c r="R234" i="17" s="1"/>
  <c r="T233" i="17"/>
  <c r="R233" i="15"/>
  <c r="Q234" i="15" s="1"/>
  <c r="AT234" i="15" s="1"/>
  <c r="AT232" i="17"/>
  <c r="AE232" i="17"/>
  <c r="AD233" i="17" s="1"/>
  <c r="N234" i="19"/>
  <c r="M234" i="19"/>
  <c r="Q234" i="19" s="1"/>
  <c r="AW141" i="18"/>
  <c r="AX141" i="18" s="1"/>
  <c r="AY141" i="18" s="1"/>
  <c r="F143" i="18"/>
  <c r="AI142" i="18"/>
  <c r="AJ142" i="18" s="1"/>
  <c r="AK142" i="18" s="1"/>
  <c r="AL142" i="18"/>
  <c r="AM142" i="18" s="1"/>
  <c r="AN142" i="18" s="1"/>
  <c r="R231" i="18"/>
  <c r="Q232" i="18" s="1"/>
  <c r="AT232" i="18" s="1"/>
  <c r="T231" i="18"/>
  <c r="S232" i="18" s="1"/>
  <c r="P231" i="18"/>
  <c r="M232" i="18" s="1"/>
  <c r="N232" i="18" s="1"/>
  <c r="H65" i="16" l="1"/>
  <c r="J66" i="16"/>
  <c r="G65" i="16"/>
  <c r="K65" i="16" s="1"/>
  <c r="F66" i="16" s="1"/>
  <c r="AW117" i="28"/>
  <c r="AX117" i="28" s="1"/>
  <c r="AY117" i="28" s="1"/>
  <c r="Q122" i="29"/>
  <c r="L123" i="29" s="1"/>
  <c r="H118" i="28"/>
  <c r="I118" i="28"/>
  <c r="Q118" i="28" s="1"/>
  <c r="L119" i="28" s="1"/>
  <c r="J119" i="28"/>
  <c r="G118" i="28"/>
  <c r="AL118" i="28" s="1"/>
  <c r="AM118" i="28" s="1"/>
  <c r="AN118" i="28" s="1"/>
  <c r="AT170" i="29"/>
  <c r="AC180" i="25"/>
  <c r="X181" i="25" s="1"/>
  <c r="K158" i="24"/>
  <c r="R158" i="24" s="1"/>
  <c r="Q159" i="24" s="1"/>
  <c r="AT159" i="24" s="1"/>
  <c r="J158" i="24"/>
  <c r="AG168" i="29"/>
  <c r="AF169" i="29" s="1"/>
  <c r="Y169" i="29"/>
  <c r="AC169" i="29" s="1"/>
  <c r="X170" i="29" s="1"/>
  <c r="AA170" i="29" s="1"/>
  <c r="AE170" i="29" s="1"/>
  <c r="AD171" i="29" s="1"/>
  <c r="Z169" i="29"/>
  <c r="AW121" i="29"/>
  <c r="AX121" i="29" s="1"/>
  <c r="AY121" i="29" s="1"/>
  <c r="J123" i="29"/>
  <c r="H122" i="29"/>
  <c r="AP122" i="29" s="1"/>
  <c r="G122" i="29"/>
  <c r="AI122" i="29" s="1"/>
  <c r="H115" i="26"/>
  <c r="AW114" i="26"/>
  <c r="AX114" i="26" s="1"/>
  <c r="AY114" i="26" s="1"/>
  <c r="AC177" i="28"/>
  <c r="X178" i="28" s="1"/>
  <c r="AB178" i="28" s="1"/>
  <c r="F150" i="25"/>
  <c r="AI147" i="25"/>
  <c r="AQ147" i="25"/>
  <c r="AU147" i="25"/>
  <c r="AS147" i="25"/>
  <c r="AW146" i="25"/>
  <c r="AX146" i="25" s="1"/>
  <c r="AY146" i="25" s="1"/>
  <c r="L148" i="25"/>
  <c r="AW107" i="24"/>
  <c r="AX107" i="24" s="1"/>
  <c r="AY107" i="24" s="1"/>
  <c r="M175" i="24"/>
  <c r="H108" i="24"/>
  <c r="G109" i="15"/>
  <c r="AR109" i="15" s="1"/>
  <c r="AW108" i="15"/>
  <c r="AX108" i="15" s="1"/>
  <c r="AY108" i="15" s="1"/>
  <c r="AW96" i="19"/>
  <c r="AX96" i="19" s="1"/>
  <c r="AY96" i="19" s="1"/>
  <c r="H97" i="19"/>
  <c r="J98" i="19"/>
  <c r="G97" i="19"/>
  <c r="Y192" i="17"/>
  <c r="AG192" i="17" s="1"/>
  <c r="AF193" i="17" s="1"/>
  <c r="AL108" i="17"/>
  <c r="AM108" i="17" s="1"/>
  <c r="AN108" i="17" s="1"/>
  <c r="AS108" i="17"/>
  <c r="AU108" i="17"/>
  <c r="AQ108" i="17"/>
  <c r="H109" i="17"/>
  <c r="G109" i="17"/>
  <c r="AI109" i="17" s="1"/>
  <c r="AJ109" i="17" s="1"/>
  <c r="AK109" i="17" s="1"/>
  <c r="J110" i="17"/>
  <c r="AO108" i="17"/>
  <c r="AP108" i="17"/>
  <c r="AI108" i="17"/>
  <c r="AJ108" i="17" s="1"/>
  <c r="AK108" i="17" s="1"/>
  <c r="T234" i="15"/>
  <c r="Z212" i="19"/>
  <c r="Y212" i="19"/>
  <c r="AC212" i="19" s="1"/>
  <c r="X213" i="19" s="1"/>
  <c r="AG211" i="19"/>
  <c r="AF212" i="19" s="1"/>
  <c r="AG67" i="16"/>
  <c r="AF68" i="16" s="1"/>
  <c r="Y68" i="16"/>
  <c r="AC68" i="16" s="1"/>
  <c r="X69" i="16" s="1"/>
  <c r="Z68" i="16"/>
  <c r="AW57" i="16"/>
  <c r="AX57" i="16" s="1"/>
  <c r="AY57" i="16" s="1"/>
  <c r="L234" i="15"/>
  <c r="AU58" i="16"/>
  <c r="AE225" i="19"/>
  <c r="AD226" i="19" s="1"/>
  <c r="AT225" i="19"/>
  <c r="AI58" i="16"/>
  <c r="AJ58" i="16" s="1"/>
  <c r="AK58" i="16" s="1"/>
  <c r="AL58" i="16"/>
  <c r="AM58" i="16" s="1"/>
  <c r="AN58" i="16" s="1"/>
  <c r="T226" i="19"/>
  <c r="S226" i="19"/>
  <c r="W226" i="19" s="1"/>
  <c r="R227" i="19" s="1"/>
  <c r="AO58" i="16"/>
  <c r="AP58" i="16"/>
  <c r="AE68" i="16"/>
  <c r="AD69" i="16" s="1"/>
  <c r="AT68" i="16"/>
  <c r="M59" i="16"/>
  <c r="Q59" i="16" s="1"/>
  <c r="L60" i="16" s="1"/>
  <c r="N59" i="16"/>
  <c r="P60" i="16"/>
  <c r="T69" i="16"/>
  <c r="S69" i="16"/>
  <c r="W69" i="16" s="1"/>
  <c r="R70" i="16" s="1"/>
  <c r="AS58" i="16"/>
  <c r="AQ58" i="16"/>
  <c r="R234" i="15"/>
  <c r="AT233" i="17"/>
  <c r="AE233" i="17"/>
  <c r="AD234" i="17" s="1"/>
  <c r="S234" i="17"/>
  <c r="W234" i="17" s="1"/>
  <c r="T234" i="17"/>
  <c r="AW142" i="18"/>
  <c r="AX142" i="18" s="1"/>
  <c r="AY142" i="18" s="1"/>
  <c r="G143" i="18"/>
  <c r="AR143" i="18" s="1"/>
  <c r="P232" i="18"/>
  <c r="M233" i="18" s="1"/>
  <c r="N233" i="18" s="1"/>
  <c r="T232" i="18"/>
  <c r="S233" i="18" s="1"/>
  <c r="G66" i="16" l="1"/>
  <c r="K66" i="16" s="1"/>
  <c r="F67" i="16" s="1"/>
  <c r="J67" i="16"/>
  <c r="H66" i="16"/>
  <c r="AT171" i="29"/>
  <c r="O123" i="29"/>
  <c r="P124" i="29"/>
  <c r="N123" i="29"/>
  <c r="M123" i="29"/>
  <c r="O119" i="28"/>
  <c r="M119" i="28"/>
  <c r="P120" i="28"/>
  <c r="N119" i="28"/>
  <c r="AI118" i="28"/>
  <c r="AJ118" i="28" s="1"/>
  <c r="AK118" i="28" s="1"/>
  <c r="K118" i="28"/>
  <c r="AP118" i="28"/>
  <c r="AO118" i="28"/>
  <c r="L158" i="24"/>
  <c r="I159" i="24" s="1"/>
  <c r="Y181" i="25"/>
  <c r="AG181" i="25" s="1"/>
  <c r="AF182" i="25" s="1"/>
  <c r="Z181" i="25"/>
  <c r="T158" i="24"/>
  <c r="S159" i="24" s="1"/>
  <c r="O175" i="24"/>
  <c r="N175" i="24"/>
  <c r="AG169" i="29"/>
  <c r="AF170" i="29" s="1"/>
  <c r="Y170" i="29"/>
  <c r="AC170" i="29" s="1"/>
  <c r="X171" i="29" s="1"/>
  <c r="AA171" i="29" s="1"/>
  <c r="AE171" i="29" s="1"/>
  <c r="AD172" i="29" s="1"/>
  <c r="Z170" i="29"/>
  <c r="AJ122" i="29"/>
  <c r="AK122" i="29" s="1"/>
  <c r="AL122" i="29"/>
  <c r="K122" i="29"/>
  <c r="AO122" i="29"/>
  <c r="F116" i="26"/>
  <c r="AI115" i="26"/>
  <c r="AL115" i="26"/>
  <c r="Z178" i="28"/>
  <c r="Y178" i="28"/>
  <c r="AG178" i="28" s="1"/>
  <c r="AF179" i="28" s="1"/>
  <c r="G150" i="25"/>
  <c r="K150" i="25" s="1"/>
  <c r="H150" i="25"/>
  <c r="J151" i="25"/>
  <c r="AJ147" i="25"/>
  <c r="AK147" i="25" s="1"/>
  <c r="AW147" i="25" s="1"/>
  <c r="AX147" i="25" s="1"/>
  <c r="AY147" i="25" s="1"/>
  <c r="P149" i="25"/>
  <c r="N148" i="25"/>
  <c r="AP148" i="25" s="1"/>
  <c r="F109" i="24"/>
  <c r="AI108" i="24"/>
  <c r="AJ108" i="24" s="1"/>
  <c r="AL108" i="24"/>
  <c r="AM108" i="24" s="1"/>
  <c r="H109" i="15"/>
  <c r="M148" i="25"/>
  <c r="Q148" i="25" s="1"/>
  <c r="L149" i="25" s="1"/>
  <c r="AL97" i="19"/>
  <c r="AM97" i="19" s="1"/>
  <c r="AN97" i="19" s="1"/>
  <c r="AI97" i="19"/>
  <c r="AJ97" i="19" s="1"/>
  <c r="AK97" i="19" s="1"/>
  <c r="K97" i="19"/>
  <c r="AO97" i="19"/>
  <c r="AP97" i="19"/>
  <c r="AC192" i="17"/>
  <c r="X193" i="17" s="1"/>
  <c r="AW108" i="17"/>
  <c r="AX108" i="17" s="1"/>
  <c r="AY108" i="17" s="1"/>
  <c r="K109" i="17"/>
  <c r="AS109" i="17" s="1"/>
  <c r="AL109" i="17"/>
  <c r="AM109" i="17" s="1"/>
  <c r="AN109" i="17" s="1"/>
  <c r="AP109" i="17"/>
  <c r="AO109" i="17"/>
  <c r="Z213" i="19"/>
  <c r="Y213" i="19"/>
  <c r="AC213" i="19" s="1"/>
  <c r="X214" i="19" s="1"/>
  <c r="AG212" i="19"/>
  <c r="AF213" i="19" s="1"/>
  <c r="Y69" i="16"/>
  <c r="AC69" i="16" s="1"/>
  <c r="X70" i="16" s="1"/>
  <c r="Z69" i="16"/>
  <c r="AG68" i="16"/>
  <c r="AF69" i="16" s="1"/>
  <c r="AW58" i="16"/>
  <c r="AX58" i="16" s="1"/>
  <c r="AY58" i="16" s="1"/>
  <c r="AL59" i="16"/>
  <c r="AM59" i="16" s="1"/>
  <c r="AN59" i="16" s="1"/>
  <c r="AS59" i="16"/>
  <c r="S227" i="19"/>
  <c r="W227" i="19" s="1"/>
  <c r="R228" i="19" s="1"/>
  <c r="T227" i="19"/>
  <c r="AE226" i="19"/>
  <c r="AD227" i="19" s="1"/>
  <c r="AT226" i="19"/>
  <c r="AI59" i="16"/>
  <c r="AJ59" i="16" s="1"/>
  <c r="AK59" i="16" s="1"/>
  <c r="AQ59" i="16"/>
  <c r="AU59" i="16"/>
  <c r="AT69" i="16"/>
  <c r="AE69" i="16"/>
  <c r="AD70" i="16" s="1"/>
  <c r="T70" i="16"/>
  <c r="S70" i="16"/>
  <c r="W70" i="16" s="1"/>
  <c r="R71" i="16" s="1"/>
  <c r="AP59" i="16"/>
  <c r="AO59" i="16"/>
  <c r="P61" i="16"/>
  <c r="N60" i="16"/>
  <c r="M60" i="16"/>
  <c r="Q60" i="16" s="1"/>
  <c r="L61" i="16" s="1"/>
  <c r="AT234" i="17"/>
  <c r="AE234" i="17"/>
  <c r="H143" i="18"/>
  <c r="P233" i="18"/>
  <c r="M234" i="18" s="1"/>
  <c r="N234" i="18" s="1"/>
  <c r="T233" i="18"/>
  <c r="S234" i="18" s="1"/>
  <c r="R232" i="18"/>
  <c r="Q233" i="18" s="1"/>
  <c r="AT233" i="18" s="1"/>
  <c r="G67" i="16" l="1"/>
  <c r="K67" i="16" s="1"/>
  <c r="F68" i="16" s="1"/>
  <c r="H67" i="16"/>
  <c r="J68" i="16"/>
  <c r="AT172" i="29"/>
  <c r="AS118" i="28"/>
  <c r="F119" i="28"/>
  <c r="AQ118" i="28"/>
  <c r="AU118" i="28"/>
  <c r="AC181" i="25"/>
  <c r="X182" i="25" s="1"/>
  <c r="Z182" i="25" s="1"/>
  <c r="P175" i="24"/>
  <c r="M176" i="24" s="1"/>
  <c r="N176" i="24" s="1"/>
  <c r="K159" i="24"/>
  <c r="R159" i="24" s="1"/>
  <c r="Q160" i="24" s="1"/>
  <c r="J159" i="24"/>
  <c r="AG170" i="29"/>
  <c r="AF171" i="29" s="1"/>
  <c r="Y171" i="29"/>
  <c r="AC171" i="29" s="1"/>
  <c r="X172" i="29" s="1"/>
  <c r="AA172" i="29" s="1"/>
  <c r="AE172" i="29" s="1"/>
  <c r="AD173" i="29" s="1"/>
  <c r="Z171" i="29"/>
  <c r="F123" i="29"/>
  <c r="I123" i="29" s="1"/>
  <c r="AR123" i="29" s="1"/>
  <c r="AU122" i="29"/>
  <c r="AQ122" i="29"/>
  <c r="AS122" i="29"/>
  <c r="AM122" i="29"/>
  <c r="AN122" i="29" s="1"/>
  <c r="G116" i="26"/>
  <c r="AR116" i="26" s="1"/>
  <c r="AM115" i="26"/>
  <c r="AN115" i="26" s="1"/>
  <c r="AJ115" i="26"/>
  <c r="AK115" i="26" s="1"/>
  <c r="AC178" i="28"/>
  <c r="X179" i="28" s="1"/>
  <c r="AB179" i="28" s="1"/>
  <c r="F151" i="25"/>
  <c r="AS148" i="25"/>
  <c r="AO148" i="25"/>
  <c r="AL148" i="25"/>
  <c r="AQ148" i="25"/>
  <c r="AI148" i="25"/>
  <c r="AU148" i="25"/>
  <c r="N149" i="25"/>
  <c r="AP149" i="25" s="1"/>
  <c r="P150" i="25"/>
  <c r="G109" i="24"/>
  <c r="AR109" i="24" s="1"/>
  <c r="AN108" i="24"/>
  <c r="AK108" i="24"/>
  <c r="F110" i="15"/>
  <c r="AI109" i="15"/>
  <c r="AJ109" i="15" s="1"/>
  <c r="AK109" i="15" s="1"/>
  <c r="AL109" i="15"/>
  <c r="AM109" i="15" s="1"/>
  <c r="AN109" i="15" s="1"/>
  <c r="M149" i="25"/>
  <c r="AL149" i="25" s="1"/>
  <c r="AS97" i="19"/>
  <c r="F98" i="19"/>
  <c r="AQ97" i="19"/>
  <c r="AU97" i="19"/>
  <c r="AQ109" i="17"/>
  <c r="Y193" i="17"/>
  <c r="AG193" i="17" s="1"/>
  <c r="AF194" i="17" s="1"/>
  <c r="Z193" i="17"/>
  <c r="F110" i="17"/>
  <c r="H110" i="17" s="1"/>
  <c r="AU109" i="17"/>
  <c r="AG213" i="19"/>
  <c r="AF214" i="19" s="1"/>
  <c r="Z214" i="19"/>
  <c r="Y214" i="19"/>
  <c r="AC214" i="19" s="1"/>
  <c r="X215" i="19" s="1"/>
  <c r="AU60" i="16"/>
  <c r="AG69" i="16"/>
  <c r="AF70" i="16" s="1"/>
  <c r="Y70" i="16"/>
  <c r="AC70" i="16" s="1"/>
  <c r="X71" i="16" s="1"/>
  <c r="Z70" i="16"/>
  <c r="AI60" i="16"/>
  <c r="AJ60" i="16" s="1"/>
  <c r="AK60" i="16" s="1"/>
  <c r="AL60" i="16"/>
  <c r="AM60" i="16" s="1"/>
  <c r="AN60" i="16" s="1"/>
  <c r="AQ60" i="16"/>
  <c r="AW59" i="16"/>
  <c r="AX59" i="16" s="1"/>
  <c r="AY59" i="16" s="1"/>
  <c r="S228" i="19"/>
  <c r="W228" i="19" s="1"/>
  <c r="R229" i="19" s="1"/>
  <c r="T228" i="19"/>
  <c r="AT227" i="19"/>
  <c r="AE227" i="19"/>
  <c r="AD228" i="19" s="1"/>
  <c r="P62" i="16"/>
  <c r="N61" i="16"/>
  <c r="M61" i="16"/>
  <c r="Q61" i="16" s="1"/>
  <c r="L62" i="16" s="1"/>
  <c r="AO60" i="16"/>
  <c r="AP60" i="16"/>
  <c r="AS60" i="16"/>
  <c r="AE70" i="16"/>
  <c r="AD71" i="16" s="1"/>
  <c r="AT70" i="16"/>
  <c r="T71" i="16"/>
  <c r="S71" i="16"/>
  <c r="W71" i="16" s="1"/>
  <c r="R72" i="16" s="1"/>
  <c r="F144" i="18"/>
  <c r="AL143" i="18"/>
  <c r="AM143" i="18" s="1"/>
  <c r="AN143" i="18" s="1"/>
  <c r="AI143" i="18"/>
  <c r="AJ143" i="18" s="1"/>
  <c r="AK143" i="18" s="1"/>
  <c r="P234" i="18"/>
  <c r="R233" i="18"/>
  <c r="Q234" i="18" s="1"/>
  <c r="AT234" i="18" s="1"/>
  <c r="T234" i="18"/>
  <c r="J69" i="16" l="1"/>
  <c r="H68" i="16"/>
  <c r="G68" i="16"/>
  <c r="K68" i="16" s="1"/>
  <c r="F69" i="16" s="1"/>
  <c r="AW118" i="28"/>
  <c r="AX118" i="28" s="1"/>
  <c r="AY118" i="28" s="1"/>
  <c r="AT173" i="29"/>
  <c r="Q123" i="29"/>
  <c r="L124" i="29" s="1"/>
  <c r="J120" i="28"/>
  <c r="I119" i="28"/>
  <c r="Q119" i="28" s="1"/>
  <c r="L120" i="28" s="1"/>
  <c r="G119" i="28"/>
  <c r="AI119" i="28" s="1"/>
  <c r="AJ119" i="28" s="1"/>
  <c r="AK119" i="28" s="1"/>
  <c r="H119" i="28"/>
  <c r="L159" i="24"/>
  <c r="I160" i="24" s="1"/>
  <c r="O176" i="24"/>
  <c r="P176" i="24" s="1"/>
  <c r="M177" i="24" s="1"/>
  <c r="T159" i="24"/>
  <c r="S160" i="24" s="1"/>
  <c r="Y182" i="25"/>
  <c r="AG182" i="25" s="1"/>
  <c r="AF183" i="25" s="1"/>
  <c r="AG171" i="29"/>
  <c r="AF172" i="29" s="1"/>
  <c r="Y172" i="29"/>
  <c r="AC172" i="29" s="1"/>
  <c r="X173" i="29" s="1"/>
  <c r="AA173" i="29" s="1"/>
  <c r="AE173" i="29" s="1"/>
  <c r="AD174" i="29" s="1"/>
  <c r="Z172" i="29"/>
  <c r="AW122" i="29"/>
  <c r="AX122" i="29" s="1"/>
  <c r="AY122" i="29" s="1"/>
  <c r="H123" i="29"/>
  <c r="AP123" i="29" s="1"/>
  <c r="J124" i="29"/>
  <c r="G123" i="29"/>
  <c r="AI123" i="29" s="1"/>
  <c r="AW115" i="26"/>
  <c r="AX115" i="26" s="1"/>
  <c r="AY115" i="26" s="1"/>
  <c r="H116" i="26"/>
  <c r="Z179" i="28"/>
  <c r="Y179" i="28"/>
  <c r="AG179" i="28" s="1"/>
  <c r="AF180" i="28" s="1"/>
  <c r="G151" i="25"/>
  <c r="K151" i="25" s="1"/>
  <c r="H151" i="25"/>
  <c r="J152" i="25"/>
  <c r="AO149" i="25"/>
  <c r="AW109" i="15"/>
  <c r="AX109" i="15" s="1"/>
  <c r="AY109" i="15" s="1"/>
  <c r="AM149" i="25"/>
  <c r="AN149" i="25" s="1"/>
  <c r="AM148" i="25"/>
  <c r="AN148" i="25" s="1"/>
  <c r="AJ148" i="25"/>
  <c r="AK148" i="25" s="1"/>
  <c r="AW108" i="24"/>
  <c r="AX108" i="24" s="1"/>
  <c r="AY108" i="24" s="1"/>
  <c r="AT160" i="24"/>
  <c r="H109" i="24"/>
  <c r="G110" i="15"/>
  <c r="AR110" i="15" s="1"/>
  <c r="Q149" i="25"/>
  <c r="AW97" i="19"/>
  <c r="AX97" i="19" s="1"/>
  <c r="AY97" i="19" s="1"/>
  <c r="G98" i="19"/>
  <c r="J99" i="19"/>
  <c r="H98" i="19"/>
  <c r="AW109" i="17"/>
  <c r="AX109" i="17" s="1"/>
  <c r="AY109" i="17" s="1"/>
  <c r="G110" i="17"/>
  <c r="K110" i="17" s="1"/>
  <c r="F111" i="17" s="1"/>
  <c r="J112" i="17" s="1"/>
  <c r="J111" i="17"/>
  <c r="AC193" i="17"/>
  <c r="X194" i="17" s="1"/>
  <c r="AG214" i="19"/>
  <c r="AF215" i="19" s="1"/>
  <c r="AO110" i="17"/>
  <c r="AP110" i="17"/>
  <c r="Y215" i="19"/>
  <c r="AC215" i="19" s="1"/>
  <c r="X216" i="19" s="1"/>
  <c r="Z215" i="19"/>
  <c r="AG70" i="16"/>
  <c r="AF71" i="16" s="1"/>
  <c r="AW60" i="16"/>
  <c r="AX60" i="16" s="1"/>
  <c r="AY60" i="16" s="1"/>
  <c r="Z71" i="16"/>
  <c r="Y71" i="16"/>
  <c r="AC71" i="16" s="1"/>
  <c r="X72" i="16" s="1"/>
  <c r="AU61" i="16"/>
  <c r="AQ61" i="16"/>
  <c r="AI61" i="16"/>
  <c r="AJ61" i="16" s="1"/>
  <c r="AK61" i="16" s="1"/>
  <c r="T229" i="19"/>
  <c r="S229" i="19"/>
  <c r="W229" i="19" s="1"/>
  <c r="R230" i="19" s="1"/>
  <c r="AE228" i="19"/>
  <c r="AD229" i="19" s="1"/>
  <c r="AT228" i="19"/>
  <c r="AO61" i="16"/>
  <c r="AP61" i="16"/>
  <c r="AT71" i="16"/>
  <c r="AE71" i="16"/>
  <c r="AD72" i="16" s="1"/>
  <c r="N62" i="16"/>
  <c r="P63" i="16"/>
  <c r="M62" i="16"/>
  <c r="Q62" i="16" s="1"/>
  <c r="L63" i="16" s="1"/>
  <c r="S72" i="16"/>
  <c r="W72" i="16" s="1"/>
  <c r="R73" i="16" s="1"/>
  <c r="T72" i="16"/>
  <c r="AS61" i="16"/>
  <c r="AL61" i="16"/>
  <c r="AM61" i="16" s="1"/>
  <c r="AN61" i="16" s="1"/>
  <c r="G144" i="18"/>
  <c r="AR144" i="18" s="1"/>
  <c r="AW143" i="18"/>
  <c r="AX143" i="18" s="1"/>
  <c r="AY143" i="18" s="1"/>
  <c r="R234" i="18"/>
  <c r="G69" i="16" l="1"/>
  <c r="K69" i="16" s="1"/>
  <c r="F70" i="16" s="1"/>
  <c r="J70" i="16"/>
  <c r="H69" i="16"/>
  <c r="AT174" i="29"/>
  <c r="O124" i="29"/>
  <c r="M124" i="29"/>
  <c r="P125" i="29"/>
  <c r="N124" i="29"/>
  <c r="O120" i="28"/>
  <c r="N120" i="28"/>
  <c r="P121" i="28"/>
  <c r="M120" i="28"/>
  <c r="AP119" i="28"/>
  <c r="AO119" i="28"/>
  <c r="AL119" i="28"/>
  <c r="AM119" i="28" s="1"/>
  <c r="AN119" i="28" s="1"/>
  <c r="K119" i="28"/>
  <c r="AC182" i="25"/>
  <c r="X183" i="25" s="1"/>
  <c r="Y183" i="25" s="1"/>
  <c r="AG183" i="25" s="1"/>
  <c r="AF184" i="25" s="1"/>
  <c r="O177" i="24"/>
  <c r="N177" i="24"/>
  <c r="K160" i="24"/>
  <c r="R160" i="24" s="1"/>
  <c r="Q161" i="24" s="1"/>
  <c r="AT161" i="24" s="1"/>
  <c r="J160" i="24"/>
  <c r="Y173" i="29"/>
  <c r="Z173" i="29"/>
  <c r="AG172" i="29"/>
  <c r="AF173" i="29" s="1"/>
  <c r="AO123" i="29"/>
  <c r="AJ123" i="29"/>
  <c r="AK123" i="29" s="1"/>
  <c r="K123" i="29"/>
  <c r="AL123" i="29"/>
  <c r="F117" i="26"/>
  <c r="AI116" i="26"/>
  <c r="AL116" i="26"/>
  <c r="AC179" i="28"/>
  <c r="X180" i="28" s="1"/>
  <c r="AB180" i="28" s="1"/>
  <c r="F152" i="25"/>
  <c r="AW148" i="25"/>
  <c r="AX148" i="25" s="1"/>
  <c r="AY148" i="25" s="1"/>
  <c r="AU149" i="25"/>
  <c r="AQ149" i="25"/>
  <c r="AS149" i="25"/>
  <c r="AI149" i="25"/>
  <c r="L150" i="25"/>
  <c r="F110" i="24"/>
  <c r="AL109" i="24"/>
  <c r="AM109" i="24" s="1"/>
  <c r="AN109" i="24" s="1"/>
  <c r="AI109" i="24"/>
  <c r="H110" i="15"/>
  <c r="AO98" i="19"/>
  <c r="AP98" i="19"/>
  <c r="AL98" i="19"/>
  <c r="AM98" i="19" s="1"/>
  <c r="AN98" i="19" s="1"/>
  <c r="AI98" i="19"/>
  <c r="AJ98" i="19" s="1"/>
  <c r="AK98" i="19" s="1"/>
  <c r="K98" i="19"/>
  <c r="AQ110" i="17"/>
  <c r="G111" i="17"/>
  <c r="AL111" i="17" s="1"/>
  <c r="AM111" i="17" s="1"/>
  <c r="AN111" i="17" s="1"/>
  <c r="AI110" i="17"/>
  <c r="AJ110" i="17" s="1"/>
  <c r="AK110" i="17" s="1"/>
  <c r="H111" i="17"/>
  <c r="AP111" i="17" s="1"/>
  <c r="AL110" i="17"/>
  <c r="AM110" i="17" s="1"/>
  <c r="AN110" i="17" s="1"/>
  <c r="AU110" i="17"/>
  <c r="AS110" i="17"/>
  <c r="Z194" i="17"/>
  <c r="Y194" i="17"/>
  <c r="Z216" i="19"/>
  <c r="Y216" i="19"/>
  <c r="AC216" i="19" s="1"/>
  <c r="X217" i="19" s="1"/>
  <c r="AG215" i="19"/>
  <c r="AF216" i="19" s="1"/>
  <c r="AG71" i="16"/>
  <c r="AF72" i="16" s="1"/>
  <c r="Z72" i="16"/>
  <c r="Y72" i="16"/>
  <c r="AC72" i="16" s="1"/>
  <c r="X73" i="16" s="1"/>
  <c r="AL62" i="16"/>
  <c r="AM62" i="16" s="1"/>
  <c r="AN62" i="16" s="1"/>
  <c r="T230" i="19"/>
  <c r="S230" i="19"/>
  <c r="W230" i="19" s="1"/>
  <c r="R231" i="19" s="1"/>
  <c r="AU62" i="16"/>
  <c r="AE229" i="19"/>
  <c r="AD230" i="19" s="1"/>
  <c r="AT229" i="19"/>
  <c r="AI62" i="16"/>
  <c r="AJ62" i="16" s="1"/>
  <c r="AK62" i="16" s="1"/>
  <c r="AW61" i="16"/>
  <c r="AX61" i="16" s="1"/>
  <c r="AY61" i="16" s="1"/>
  <c r="AQ62" i="16"/>
  <c r="AO62" i="16"/>
  <c r="AP62" i="16"/>
  <c r="AT72" i="16"/>
  <c r="AE72" i="16"/>
  <c r="AD73" i="16" s="1"/>
  <c r="T73" i="16"/>
  <c r="S73" i="16"/>
  <c r="W73" i="16" s="1"/>
  <c r="R74" i="16" s="1"/>
  <c r="N63" i="16"/>
  <c r="P64" i="16"/>
  <c r="M63" i="16"/>
  <c r="Q63" i="16" s="1"/>
  <c r="AS62" i="16"/>
  <c r="H144" i="18"/>
  <c r="AL144" i="18" s="1"/>
  <c r="AM144" i="18" s="1"/>
  <c r="AN144" i="18" s="1"/>
  <c r="J71" i="16" l="1"/>
  <c r="H70" i="16"/>
  <c r="G70" i="16"/>
  <c r="K70" i="16" s="1"/>
  <c r="F71" i="16" s="1"/>
  <c r="AS119" i="28"/>
  <c r="F120" i="28"/>
  <c r="AQ119" i="28"/>
  <c r="AU119" i="28"/>
  <c r="P177" i="24"/>
  <c r="M178" i="24" s="1"/>
  <c r="N178" i="24" s="1"/>
  <c r="Z183" i="25"/>
  <c r="L160" i="24"/>
  <c r="I161" i="24" s="1"/>
  <c r="AC183" i="25"/>
  <c r="X184" i="25" s="1"/>
  <c r="T160" i="24"/>
  <c r="S161" i="24" s="1"/>
  <c r="AG173" i="29"/>
  <c r="AF174" i="29" s="1"/>
  <c r="AC173" i="29"/>
  <c r="X174" i="29" s="1"/>
  <c r="AA174" i="29" s="1"/>
  <c r="AE174" i="29" s="1"/>
  <c r="AD175" i="29" s="1"/>
  <c r="F124" i="29"/>
  <c r="I124" i="29" s="1"/>
  <c r="AR124" i="29" s="1"/>
  <c r="AU123" i="29"/>
  <c r="AQ123" i="29"/>
  <c r="AS123" i="29"/>
  <c r="AM123" i="29"/>
  <c r="AN123" i="29" s="1"/>
  <c r="G117" i="26"/>
  <c r="AR117" i="26" s="1"/>
  <c r="AJ116" i="26"/>
  <c r="AK116" i="26" s="1"/>
  <c r="AM116" i="26"/>
  <c r="AN116" i="26" s="1"/>
  <c r="Z180" i="28"/>
  <c r="Y180" i="28"/>
  <c r="AG180" i="28" s="1"/>
  <c r="AF181" i="28" s="1"/>
  <c r="G152" i="25"/>
  <c r="K152" i="25" s="1"/>
  <c r="H152" i="25"/>
  <c r="J153" i="25"/>
  <c r="AJ149" i="25"/>
  <c r="AK149" i="25" s="1"/>
  <c r="AW149" i="25" s="1"/>
  <c r="AX149" i="25" s="1"/>
  <c r="AY149" i="25" s="1"/>
  <c r="P151" i="25"/>
  <c r="N150" i="25"/>
  <c r="AP150" i="25" s="1"/>
  <c r="G110" i="24"/>
  <c r="AR110" i="24" s="1"/>
  <c r="AJ109" i="24"/>
  <c r="AK109" i="24" s="1"/>
  <c r="AW109" i="24" s="1"/>
  <c r="AX109" i="24" s="1"/>
  <c r="AY109" i="24" s="1"/>
  <c r="F111" i="15"/>
  <c r="AI110" i="15"/>
  <c r="AJ110" i="15" s="1"/>
  <c r="AK110" i="15" s="1"/>
  <c r="AL110" i="15"/>
  <c r="AM110" i="15" s="1"/>
  <c r="AN110" i="15" s="1"/>
  <c r="M150" i="25"/>
  <c r="Q150" i="25" s="1"/>
  <c r="L151" i="25" s="1"/>
  <c r="AI111" i="17"/>
  <c r="AJ111" i="17" s="1"/>
  <c r="AK111" i="17" s="1"/>
  <c r="AU98" i="19"/>
  <c r="AQ98" i="19"/>
  <c r="AS98" i="19"/>
  <c r="F99" i="19"/>
  <c r="AW110" i="17"/>
  <c r="AX110" i="17" s="1"/>
  <c r="AY110" i="17" s="1"/>
  <c r="AO111" i="17"/>
  <c r="K111" i="17"/>
  <c r="F112" i="17" s="1"/>
  <c r="AC194" i="17"/>
  <c r="X195" i="17" s="1"/>
  <c r="AG194" i="17"/>
  <c r="AF195" i="17" s="1"/>
  <c r="Z217" i="19"/>
  <c r="Y217" i="19"/>
  <c r="AG216" i="19"/>
  <c r="AF217" i="19" s="1"/>
  <c r="AG72" i="16"/>
  <c r="AF73" i="16" s="1"/>
  <c r="Z73" i="16"/>
  <c r="Y73" i="16"/>
  <c r="AC73" i="16" s="1"/>
  <c r="X74" i="16" s="1"/>
  <c r="AL63" i="16"/>
  <c r="AM63" i="16" s="1"/>
  <c r="AN63" i="16" s="1"/>
  <c r="AT230" i="19"/>
  <c r="AE230" i="19"/>
  <c r="AD231" i="19" s="1"/>
  <c r="AW62" i="16"/>
  <c r="AX62" i="16" s="1"/>
  <c r="AY62" i="16" s="1"/>
  <c r="S231" i="19"/>
  <c r="W231" i="19" s="1"/>
  <c r="R232" i="19" s="1"/>
  <c r="T231" i="19"/>
  <c r="L64" i="16"/>
  <c r="AQ63" i="16"/>
  <c r="AI63" i="16"/>
  <c r="AJ63" i="16" s="1"/>
  <c r="AK63" i="16" s="1"/>
  <c r="AS63" i="16"/>
  <c r="AU63" i="16"/>
  <c r="AP63" i="16"/>
  <c r="AO63" i="16"/>
  <c r="S74" i="16"/>
  <c r="W74" i="16" s="1"/>
  <c r="R75" i="16" s="1"/>
  <c r="T74" i="16"/>
  <c r="AE73" i="16"/>
  <c r="AD74" i="16" s="1"/>
  <c r="AT73" i="16"/>
  <c r="F145" i="18"/>
  <c r="AI144" i="18"/>
  <c r="AJ144" i="18" s="1"/>
  <c r="AK144" i="18" s="1"/>
  <c r="AW144" i="18" s="1"/>
  <c r="AX144" i="18" s="1"/>
  <c r="AY144" i="18" s="1"/>
  <c r="J72" i="16" l="1"/>
  <c r="G71" i="16"/>
  <c r="K71" i="16" s="1"/>
  <c r="F72" i="16" s="1"/>
  <c r="H71" i="16"/>
  <c r="Q124" i="29"/>
  <c r="L125" i="29" s="1"/>
  <c r="H120" i="28"/>
  <c r="I120" i="28"/>
  <c r="Q120" i="28" s="1"/>
  <c r="L121" i="28" s="1"/>
  <c r="J121" i="28"/>
  <c r="G120" i="28"/>
  <c r="AI120" i="28" s="1"/>
  <c r="AJ120" i="28" s="1"/>
  <c r="AK120" i="28" s="1"/>
  <c r="AW119" i="28"/>
  <c r="AX119" i="28" s="1"/>
  <c r="AY119" i="28" s="1"/>
  <c r="AT175" i="29"/>
  <c r="O178" i="24"/>
  <c r="P178" i="24" s="1"/>
  <c r="M179" i="24" s="1"/>
  <c r="Y184" i="25"/>
  <c r="AG184" i="25" s="1"/>
  <c r="AF185" i="25" s="1"/>
  <c r="Z184" i="25"/>
  <c r="K161" i="24"/>
  <c r="T161" i="24" s="1"/>
  <c r="S162" i="24" s="1"/>
  <c r="J161" i="24"/>
  <c r="Y174" i="29"/>
  <c r="AG174" i="29" s="1"/>
  <c r="AF175" i="29" s="1"/>
  <c r="Z174" i="29"/>
  <c r="AW123" i="29"/>
  <c r="AX123" i="29" s="1"/>
  <c r="AY123" i="29" s="1"/>
  <c r="J125" i="29"/>
  <c r="H124" i="29"/>
  <c r="AP124" i="29" s="1"/>
  <c r="G124" i="29"/>
  <c r="AL124" i="29" s="1"/>
  <c r="AW116" i="26"/>
  <c r="AX116" i="26" s="1"/>
  <c r="AY116" i="26" s="1"/>
  <c r="H117" i="26"/>
  <c r="AC180" i="28"/>
  <c r="X181" i="28" s="1"/>
  <c r="AB181" i="28" s="1"/>
  <c r="AW110" i="15"/>
  <c r="AX110" i="15" s="1"/>
  <c r="AY110" i="15" s="1"/>
  <c r="F153" i="25"/>
  <c r="AO150" i="25"/>
  <c r="AL150" i="25"/>
  <c r="AU150" i="25"/>
  <c r="AS150" i="25"/>
  <c r="AQ150" i="25"/>
  <c r="AI150" i="25"/>
  <c r="N151" i="25"/>
  <c r="AP151" i="25" s="1"/>
  <c r="P152" i="25"/>
  <c r="H110" i="24"/>
  <c r="G111" i="15"/>
  <c r="AR111" i="15" s="1"/>
  <c r="M151" i="25"/>
  <c r="Q151" i="25" s="1"/>
  <c r="L152" i="25" s="1"/>
  <c r="AW98" i="19"/>
  <c r="AX98" i="19" s="1"/>
  <c r="AY98" i="19" s="1"/>
  <c r="G99" i="19"/>
  <c r="H99" i="19"/>
  <c r="J100" i="19"/>
  <c r="AQ111" i="17"/>
  <c r="AU111" i="17"/>
  <c r="AS111" i="17"/>
  <c r="Y195" i="17"/>
  <c r="AC195" i="17" s="1"/>
  <c r="X196" i="17" s="1"/>
  <c r="Z195" i="17"/>
  <c r="AG217" i="19"/>
  <c r="AF218" i="19" s="1"/>
  <c r="H112" i="17"/>
  <c r="G112" i="17"/>
  <c r="AL112" i="17" s="1"/>
  <c r="AM112" i="17" s="1"/>
  <c r="AN112" i="17" s="1"/>
  <c r="J113" i="17"/>
  <c r="AC217" i="19"/>
  <c r="X218" i="19" s="1"/>
  <c r="Y218" i="19" s="1"/>
  <c r="AG73" i="16"/>
  <c r="AF74" i="16" s="1"/>
  <c r="Z74" i="16"/>
  <c r="Y74" i="16"/>
  <c r="AC74" i="16" s="1"/>
  <c r="X75" i="16" s="1"/>
  <c r="AW63" i="16"/>
  <c r="AX63" i="16" s="1"/>
  <c r="AY63" i="16" s="1"/>
  <c r="AE231" i="19"/>
  <c r="AD232" i="19" s="1"/>
  <c r="AT231" i="19"/>
  <c r="T232" i="19"/>
  <c r="S232" i="19"/>
  <c r="W232" i="19" s="1"/>
  <c r="R233" i="19" s="1"/>
  <c r="AT74" i="16"/>
  <c r="AE74" i="16"/>
  <c r="AD75" i="16" s="1"/>
  <c r="T75" i="16"/>
  <c r="S75" i="16"/>
  <c r="W75" i="16" s="1"/>
  <c r="R76" i="16" s="1"/>
  <c r="N64" i="16"/>
  <c r="M64" i="16"/>
  <c r="Q64" i="16" s="1"/>
  <c r="L65" i="16" s="1"/>
  <c r="P65" i="16"/>
  <c r="G145" i="18"/>
  <c r="AR145" i="18" s="1"/>
  <c r="O125" i="29" l="1"/>
  <c r="M125" i="29"/>
  <c r="N125" i="29"/>
  <c r="P126" i="29"/>
  <c r="O121" i="28"/>
  <c r="M121" i="28"/>
  <c r="N121" i="28"/>
  <c r="P122" i="28"/>
  <c r="AL120" i="28"/>
  <c r="AM120" i="28" s="1"/>
  <c r="AN120" i="28" s="1"/>
  <c r="K120" i="28"/>
  <c r="AP120" i="28"/>
  <c r="AO120" i="28"/>
  <c r="L161" i="24"/>
  <c r="I162" i="24" s="1"/>
  <c r="R161" i="24"/>
  <c r="Q162" i="24" s="1"/>
  <c r="AT162" i="24" s="1"/>
  <c r="AC184" i="25"/>
  <c r="X185" i="25" s="1"/>
  <c r="O179" i="24"/>
  <c r="N179" i="24"/>
  <c r="AC174" i="29"/>
  <c r="X175" i="29" s="1"/>
  <c r="AA175" i="29" s="1"/>
  <c r="AE175" i="29" s="1"/>
  <c r="AD176" i="29" s="1"/>
  <c r="AM124" i="29"/>
  <c r="AN124" i="29" s="1"/>
  <c r="AI124" i="29"/>
  <c r="K124" i="29"/>
  <c r="AO124" i="29"/>
  <c r="F118" i="26"/>
  <c r="AL117" i="26"/>
  <c r="AI117" i="26"/>
  <c r="Z181" i="28"/>
  <c r="Y181" i="28"/>
  <c r="AG181" i="28" s="1"/>
  <c r="AF182" i="28" s="1"/>
  <c r="G153" i="25"/>
  <c r="K153" i="25" s="1"/>
  <c r="H153" i="25"/>
  <c r="J154" i="25"/>
  <c r="AO151" i="25"/>
  <c r="AU151" i="25"/>
  <c r="AL151" i="25"/>
  <c r="AS151" i="25"/>
  <c r="AQ151" i="25"/>
  <c r="AI151" i="25"/>
  <c r="P153" i="25"/>
  <c r="N152" i="25"/>
  <c r="AP152" i="25" s="1"/>
  <c r="AJ150" i="25"/>
  <c r="AK150" i="25" s="1"/>
  <c r="AM150" i="25"/>
  <c r="AN150" i="25" s="1"/>
  <c r="F111" i="24"/>
  <c r="AI110" i="24"/>
  <c r="AL110" i="24"/>
  <c r="H111" i="15"/>
  <c r="M152" i="25"/>
  <c r="AL152" i="25" s="1"/>
  <c r="AW111" i="17"/>
  <c r="AX111" i="17" s="1"/>
  <c r="AY111" i="17" s="1"/>
  <c r="AO99" i="19"/>
  <c r="AP99" i="19"/>
  <c r="AL99" i="19"/>
  <c r="AM99" i="19" s="1"/>
  <c r="AN99" i="19" s="1"/>
  <c r="AI99" i="19"/>
  <c r="AJ99" i="19" s="1"/>
  <c r="AK99" i="19" s="1"/>
  <c r="K99" i="19"/>
  <c r="Y196" i="17"/>
  <c r="AC196" i="17" s="1"/>
  <c r="X197" i="17" s="1"/>
  <c r="Z196" i="17"/>
  <c r="AG195" i="17"/>
  <c r="AF196" i="17" s="1"/>
  <c r="Z218" i="19"/>
  <c r="AP112" i="17"/>
  <c r="AO112" i="17"/>
  <c r="AI112" i="17"/>
  <c r="AJ112" i="17" s="1"/>
  <c r="AK112" i="17" s="1"/>
  <c r="K112" i="17"/>
  <c r="AG218" i="19"/>
  <c r="AF219" i="19" s="1"/>
  <c r="AC218" i="19"/>
  <c r="X219" i="19" s="1"/>
  <c r="Z219" i="19" s="1"/>
  <c r="AG74" i="16"/>
  <c r="AF75" i="16" s="1"/>
  <c r="Z75" i="16"/>
  <c r="Y75" i="16"/>
  <c r="AC75" i="16" s="1"/>
  <c r="X76" i="16" s="1"/>
  <c r="AS64" i="16"/>
  <c r="AQ64" i="16"/>
  <c r="AT232" i="19"/>
  <c r="AE232" i="19"/>
  <c r="AD233" i="19" s="1"/>
  <c r="T233" i="19"/>
  <c r="S233" i="19"/>
  <c r="W233" i="19" s="1"/>
  <c r="R234" i="19" s="1"/>
  <c r="AU64" i="16"/>
  <c r="AL64" i="16"/>
  <c r="AM64" i="16" s="1"/>
  <c r="AN64" i="16" s="1"/>
  <c r="AE75" i="16"/>
  <c r="AD76" i="16" s="1"/>
  <c r="AT75" i="16"/>
  <c r="AI64" i="16"/>
  <c r="AJ64" i="16" s="1"/>
  <c r="AK64" i="16" s="1"/>
  <c r="S76" i="16"/>
  <c r="W76" i="16" s="1"/>
  <c r="R77" i="16" s="1"/>
  <c r="T76" i="16"/>
  <c r="AO64" i="16"/>
  <c r="AP64" i="16"/>
  <c r="M65" i="16"/>
  <c r="Q65" i="16" s="1"/>
  <c r="L66" i="16" s="1"/>
  <c r="P66" i="16"/>
  <c r="N65" i="16"/>
  <c r="G72" i="16"/>
  <c r="J73" i="16"/>
  <c r="H72" i="16"/>
  <c r="H145" i="18"/>
  <c r="AT176" i="29" l="1"/>
  <c r="AU120" i="28"/>
  <c r="F121" i="28"/>
  <c r="AQ120" i="28"/>
  <c r="AS120" i="28"/>
  <c r="P179" i="24"/>
  <c r="M180" i="24" s="1"/>
  <c r="Z185" i="25"/>
  <c r="Y185" i="25"/>
  <c r="AG185" i="25" s="1"/>
  <c r="AF186" i="25" s="1"/>
  <c r="K162" i="24"/>
  <c r="T162" i="24" s="1"/>
  <c r="S163" i="24" s="1"/>
  <c r="J162" i="24"/>
  <c r="Y175" i="29"/>
  <c r="AG175" i="29" s="1"/>
  <c r="AF176" i="29" s="1"/>
  <c r="Z175" i="29"/>
  <c r="F125" i="29"/>
  <c r="I125" i="29" s="1"/>
  <c r="AR125" i="29" s="1"/>
  <c r="AS124" i="29"/>
  <c r="AQ124" i="29"/>
  <c r="AU124" i="29"/>
  <c r="AJ124" i="29"/>
  <c r="AK124" i="29" s="1"/>
  <c r="G118" i="26"/>
  <c r="AR118" i="26" s="1"/>
  <c r="AJ117" i="26"/>
  <c r="AK117" i="26" s="1"/>
  <c r="AM117" i="26"/>
  <c r="AN117" i="26" s="1"/>
  <c r="AW150" i="25"/>
  <c r="AX150" i="25" s="1"/>
  <c r="AY150" i="25" s="1"/>
  <c r="AC181" i="28"/>
  <c r="X182" i="28" s="1"/>
  <c r="AB182" i="28" s="1"/>
  <c r="F154" i="25"/>
  <c r="AO152" i="25"/>
  <c r="AM152" i="25"/>
  <c r="AN152" i="25" s="1"/>
  <c r="AJ151" i="25"/>
  <c r="AK151" i="25" s="1"/>
  <c r="AM151" i="25"/>
  <c r="AN151" i="25" s="1"/>
  <c r="G111" i="24"/>
  <c r="AR111" i="24" s="1"/>
  <c r="AJ110" i="24"/>
  <c r="AK110" i="24" s="1"/>
  <c r="AM110" i="24"/>
  <c r="AN110" i="24" s="1"/>
  <c r="F112" i="15"/>
  <c r="AI111" i="15"/>
  <c r="AJ111" i="15" s="1"/>
  <c r="AK111" i="15" s="1"/>
  <c r="AL111" i="15"/>
  <c r="AM111" i="15" s="1"/>
  <c r="AN111" i="15" s="1"/>
  <c r="Q152" i="25"/>
  <c r="F100" i="19"/>
  <c r="AU99" i="19"/>
  <c r="AS99" i="19"/>
  <c r="AQ99" i="19"/>
  <c r="Z197" i="17"/>
  <c r="Y197" i="17"/>
  <c r="AC197" i="17" s="1"/>
  <c r="X198" i="17" s="1"/>
  <c r="AG196" i="17"/>
  <c r="AF197" i="17" s="1"/>
  <c r="F113" i="17"/>
  <c r="AS112" i="17"/>
  <c r="AU112" i="17"/>
  <c r="AQ112" i="17"/>
  <c r="Y219" i="19"/>
  <c r="AG219" i="19" s="1"/>
  <c r="AF220" i="19" s="1"/>
  <c r="AS65" i="16"/>
  <c r="AG75" i="16"/>
  <c r="AF76" i="16" s="1"/>
  <c r="Z76" i="16"/>
  <c r="Y76" i="16"/>
  <c r="AC76" i="16" s="1"/>
  <c r="X77" i="16" s="1"/>
  <c r="AU65" i="16"/>
  <c r="AI65" i="16"/>
  <c r="AJ65" i="16" s="1"/>
  <c r="AK65" i="16" s="1"/>
  <c r="T234" i="19"/>
  <c r="S234" i="19"/>
  <c r="W234" i="19" s="1"/>
  <c r="AE233" i="19"/>
  <c r="AD234" i="19" s="1"/>
  <c r="AT233" i="19"/>
  <c r="AL65" i="16"/>
  <c r="AM65" i="16" s="1"/>
  <c r="AN65" i="16" s="1"/>
  <c r="AQ65" i="16"/>
  <c r="AT76" i="16"/>
  <c r="AE76" i="16"/>
  <c r="AD77" i="16" s="1"/>
  <c r="P67" i="16"/>
  <c r="M66" i="16"/>
  <c r="Q66" i="16" s="1"/>
  <c r="L67" i="16" s="1"/>
  <c r="N66" i="16"/>
  <c r="AW64" i="16"/>
  <c r="AX64" i="16" s="1"/>
  <c r="AY64" i="16" s="1"/>
  <c r="S77" i="16"/>
  <c r="W77" i="16" s="1"/>
  <c r="R78" i="16" s="1"/>
  <c r="T77" i="16"/>
  <c r="AP65" i="16"/>
  <c r="AO65" i="16"/>
  <c r="K72" i="16"/>
  <c r="F146" i="18"/>
  <c r="AI145" i="18"/>
  <c r="AJ145" i="18" s="1"/>
  <c r="AK145" i="18" s="1"/>
  <c r="AL145" i="18"/>
  <c r="AM145" i="18" s="1"/>
  <c r="AN145" i="18" s="1"/>
  <c r="AW120" i="28" l="1"/>
  <c r="AX120" i="28" s="1"/>
  <c r="AY120" i="28" s="1"/>
  <c r="G121" i="28"/>
  <c r="AI121" i="28" s="1"/>
  <c r="AJ121" i="28" s="1"/>
  <c r="AK121" i="28" s="1"/>
  <c r="I121" i="28"/>
  <c r="Q121" i="28" s="1"/>
  <c r="L122" i="28" s="1"/>
  <c r="J122" i="28"/>
  <c r="H121" i="28"/>
  <c r="Q125" i="29"/>
  <c r="L126" i="29" s="1"/>
  <c r="L162" i="24"/>
  <c r="I163" i="24" s="1"/>
  <c r="AC185" i="25"/>
  <c r="X186" i="25" s="1"/>
  <c r="Y186" i="25" s="1"/>
  <c r="AG186" i="25" s="1"/>
  <c r="AF187" i="25" s="1"/>
  <c r="R162" i="24"/>
  <c r="Q163" i="24" s="1"/>
  <c r="AT163" i="24" s="1"/>
  <c r="O180" i="24"/>
  <c r="N180" i="24"/>
  <c r="AC175" i="29"/>
  <c r="X176" i="29" s="1"/>
  <c r="AA176" i="29" s="1"/>
  <c r="AE176" i="29" s="1"/>
  <c r="AD177" i="29" s="1"/>
  <c r="H125" i="29"/>
  <c r="AP125" i="29" s="1"/>
  <c r="J126" i="29"/>
  <c r="G125" i="29"/>
  <c r="K125" i="29" s="1"/>
  <c r="F126" i="29" s="1"/>
  <c r="I126" i="29" s="1"/>
  <c r="AR126" i="29" s="1"/>
  <c r="AW124" i="29"/>
  <c r="AX124" i="29" s="1"/>
  <c r="AY124" i="29" s="1"/>
  <c r="AW117" i="26"/>
  <c r="AX117" i="26" s="1"/>
  <c r="AY117" i="26" s="1"/>
  <c r="H118" i="26"/>
  <c r="Z182" i="28"/>
  <c r="Y182" i="28"/>
  <c r="AG182" i="28" s="1"/>
  <c r="AF183" i="28" s="1"/>
  <c r="AW111" i="15"/>
  <c r="AX111" i="15" s="1"/>
  <c r="AY111" i="15" s="1"/>
  <c r="AW151" i="25"/>
  <c r="AX151" i="25" s="1"/>
  <c r="AY151" i="25" s="1"/>
  <c r="AW110" i="24"/>
  <c r="AX110" i="24" s="1"/>
  <c r="AY110" i="24" s="1"/>
  <c r="G154" i="25"/>
  <c r="K154" i="25" s="1"/>
  <c r="H154" i="25"/>
  <c r="J155" i="25"/>
  <c r="AI152" i="25"/>
  <c r="AU152" i="25"/>
  <c r="AQ152" i="25"/>
  <c r="AS152" i="25"/>
  <c r="L153" i="25"/>
  <c r="H111" i="24"/>
  <c r="G112" i="15"/>
  <c r="AR112" i="15" s="1"/>
  <c r="AW99" i="19"/>
  <c r="AX99" i="19" s="1"/>
  <c r="AY99" i="19" s="1"/>
  <c r="AW112" i="17"/>
  <c r="AX112" i="17" s="1"/>
  <c r="AY112" i="17" s="1"/>
  <c r="H100" i="19"/>
  <c r="J101" i="19"/>
  <c r="G100" i="19"/>
  <c r="Y198" i="17"/>
  <c r="AC198" i="17" s="1"/>
  <c r="X199" i="17" s="1"/>
  <c r="Y199" i="17" s="1"/>
  <c r="Z198" i="17"/>
  <c r="AG197" i="17"/>
  <c r="AF198" i="17" s="1"/>
  <c r="H113" i="17"/>
  <c r="G113" i="17"/>
  <c r="AI113" i="17" s="1"/>
  <c r="AJ113" i="17" s="1"/>
  <c r="AK113" i="17" s="1"/>
  <c r="J114" i="17"/>
  <c r="AC219" i="19"/>
  <c r="X220" i="19" s="1"/>
  <c r="AG76" i="16"/>
  <c r="AF77" i="16" s="1"/>
  <c r="Y77" i="16"/>
  <c r="AC77" i="16" s="1"/>
  <c r="X78" i="16" s="1"/>
  <c r="Z77" i="16"/>
  <c r="AW65" i="16"/>
  <c r="AX65" i="16" s="1"/>
  <c r="AY65" i="16" s="1"/>
  <c r="AI66" i="16"/>
  <c r="AJ66" i="16" s="1"/>
  <c r="AK66" i="16" s="1"/>
  <c r="AU66" i="16"/>
  <c r="AL66" i="16"/>
  <c r="AM66" i="16" s="1"/>
  <c r="AN66" i="16" s="1"/>
  <c r="AS66" i="16"/>
  <c r="AT234" i="19"/>
  <c r="AE234" i="19"/>
  <c r="S78" i="16"/>
  <c r="W78" i="16" s="1"/>
  <c r="R79" i="16" s="1"/>
  <c r="T78" i="16"/>
  <c r="P68" i="16"/>
  <c r="N67" i="16"/>
  <c r="M67" i="16"/>
  <c r="Q67" i="16" s="1"/>
  <c r="L68" i="16" s="1"/>
  <c r="AQ66" i="16"/>
  <c r="AO66" i="16"/>
  <c r="AP66" i="16"/>
  <c r="AT77" i="16"/>
  <c r="AE77" i="16"/>
  <c r="AD78" i="16" s="1"/>
  <c r="F73" i="16"/>
  <c r="AW145" i="18"/>
  <c r="AX145" i="18" s="1"/>
  <c r="AY145" i="18" s="1"/>
  <c r="G146" i="18"/>
  <c r="AR146" i="18" s="1"/>
  <c r="AL121" i="28" l="1"/>
  <c r="AM121" i="28" s="1"/>
  <c r="AN121" i="28" s="1"/>
  <c r="K121" i="28"/>
  <c r="AP121" i="28"/>
  <c r="AO121" i="28"/>
  <c r="O122" i="28"/>
  <c r="M122" i="28"/>
  <c r="N122" i="28"/>
  <c r="P123" i="28"/>
  <c r="O126" i="29"/>
  <c r="M126" i="29"/>
  <c r="P127" i="29"/>
  <c r="N126" i="29"/>
  <c r="AT177" i="29"/>
  <c r="P180" i="24"/>
  <c r="M181" i="24" s="1"/>
  <c r="Z186" i="25"/>
  <c r="AC186" i="25"/>
  <c r="X187" i="25" s="1"/>
  <c r="K163" i="24"/>
  <c r="T163" i="24" s="1"/>
  <c r="S164" i="24" s="1"/>
  <c r="J163" i="24"/>
  <c r="Y176" i="29"/>
  <c r="Z176" i="29"/>
  <c r="AU125" i="29"/>
  <c r="AO125" i="29"/>
  <c r="AS125" i="29"/>
  <c r="AQ125" i="29"/>
  <c r="J127" i="29"/>
  <c r="H126" i="29"/>
  <c r="G126" i="29"/>
  <c r="AL125" i="29"/>
  <c r="AI125" i="29"/>
  <c r="F119" i="26"/>
  <c r="AI118" i="26"/>
  <c r="AL118" i="26"/>
  <c r="AC182" i="28"/>
  <c r="F155" i="25"/>
  <c r="AJ152" i="25"/>
  <c r="AK152" i="25" s="1"/>
  <c r="AW152" i="25" s="1"/>
  <c r="AX152" i="25" s="1"/>
  <c r="AY152" i="25" s="1"/>
  <c r="N153" i="25"/>
  <c r="AP153" i="25" s="1"/>
  <c r="P154" i="25"/>
  <c r="F112" i="24"/>
  <c r="AL111" i="24"/>
  <c r="AI111" i="24"/>
  <c r="H112" i="15"/>
  <c r="M153" i="25"/>
  <c r="AL153" i="25" s="1"/>
  <c r="AL100" i="19"/>
  <c r="AM100" i="19" s="1"/>
  <c r="AN100" i="19" s="1"/>
  <c r="K100" i="19"/>
  <c r="AI100" i="19"/>
  <c r="AJ100" i="19" s="1"/>
  <c r="AK100" i="19" s="1"/>
  <c r="AO100" i="19"/>
  <c r="AP100" i="19"/>
  <c r="AC199" i="17"/>
  <c r="X200" i="17" s="1"/>
  <c r="Y200" i="17" s="1"/>
  <c r="Z199" i="17"/>
  <c r="AG198" i="17"/>
  <c r="AF199" i="17" s="1"/>
  <c r="AG199" i="17" s="1"/>
  <c r="AF200" i="17" s="1"/>
  <c r="K113" i="17"/>
  <c r="AL113" i="17"/>
  <c r="AM113" i="17" s="1"/>
  <c r="AN113" i="17" s="1"/>
  <c r="AO113" i="17"/>
  <c r="AP113" i="17"/>
  <c r="AG77" i="16"/>
  <c r="AF78" i="16" s="1"/>
  <c r="Z220" i="19"/>
  <c r="Y220" i="19"/>
  <c r="Y78" i="16"/>
  <c r="AC78" i="16" s="1"/>
  <c r="X79" i="16" s="1"/>
  <c r="Z78" i="16"/>
  <c r="AW66" i="16"/>
  <c r="AX66" i="16" s="1"/>
  <c r="AY66" i="16" s="1"/>
  <c r="AL67" i="16"/>
  <c r="AM67" i="16" s="1"/>
  <c r="AN67" i="16" s="1"/>
  <c r="AU67" i="16"/>
  <c r="AI67" i="16"/>
  <c r="AJ67" i="16" s="1"/>
  <c r="AK67" i="16" s="1"/>
  <c r="AE78" i="16"/>
  <c r="AD79" i="16" s="1"/>
  <c r="AT78" i="16"/>
  <c r="AQ67" i="16"/>
  <c r="AS67" i="16"/>
  <c r="N68" i="16"/>
  <c r="M68" i="16"/>
  <c r="Q68" i="16" s="1"/>
  <c r="L69" i="16" s="1"/>
  <c r="P69" i="16"/>
  <c r="AP67" i="16"/>
  <c r="AO67" i="16"/>
  <c r="S79" i="16"/>
  <c r="W79" i="16" s="1"/>
  <c r="R80" i="16" s="1"/>
  <c r="T79" i="16"/>
  <c r="G73" i="16"/>
  <c r="K73" i="16" s="1"/>
  <c r="F74" i="16" s="1"/>
  <c r="J74" i="16"/>
  <c r="H73" i="16"/>
  <c r="H146" i="18"/>
  <c r="AP126" i="29" l="1"/>
  <c r="AI126" i="29"/>
  <c r="AJ126" i="29" s="1"/>
  <c r="AK126" i="29" s="1"/>
  <c r="Q126" i="29"/>
  <c r="L127" i="29" s="1"/>
  <c r="P128" i="29" s="1"/>
  <c r="F122" i="28"/>
  <c r="AS121" i="28"/>
  <c r="AQ121" i="28"/>
  <c r="AU121" i="28"/>
  <c r="O127" i="29"/>
  <c r="L163" i="24"/>
  <c r="I164" i="24" s="1"/>
  <c r="O181" i="24"/>
  <c r="N181" i="24"/>
  <c r="Z187" i="25"/>
  <c r="Y187" i="25"/>
  <c r="AG187" i="25" s="1"/>
  <c r="AF188" i="25" s="1"/>
  <c r="R163" i="24"/>
  <c r="Q164" i="24" s="1"/>
  <c r="AT164" i="24" s="1"/>
  <c r="AC176" i="29"/>
  <c r="X177" i="29" s="1"/>
  <c r="AA177" i="29" s="1"/>
  <c r="AE177" i="29" s="1"/>
  <c r="AD178" i="29" s="1"/>
  <c r="AG176" i="29"/>
  <c r="AF177" i="29" s="1"/>
  <c r="AO126" i="29"/>
  <c r="AL126" i="29"/>
  <c r="K126" i="29"/>
  <c r="AM125" i="29"/>
  <c r="AN125" i="29" s="1"/>
  <c r="AJ125" i="29"/>
  <c r="AK125" i="29" s="1"/>
  <c r="G119" i="26"/>
  <c r="AR119" i="26" s="1"/>
  <c r="AJ118" i="26"/>
  <c r="AK118" i="26" s="1"/>
  <c r="AM118" i="26"/>
  <c r="AN118" i="26" s="1"/>
  <c r="X183" i="28"/>
  <c r="AB183" i="28" s="1"/>
  <c r="AO153" i="25"/>
  <c r="G155" i="25"/>
  <c r="K155" i="25" s="1"/>
  <c r="J156" i="25"/>
  <c r="H155" i="25"/>
  <c r="AM153" i="25"/>
  <c r="AN153" i="25" s="1"/>
  <c r="AM111" i="24"/>
  <c r="AN111" i="24" s="1"/>
  <c r="AJ111" i="24"/>
  <c r="AK111" i="24" s="1"/>
  <c r="G112" i="24"/>
  <c r="AR112" i="24" s="1"/>
  <c r="F113" i="15"/>
  <c r="AL112" i="15"/>
  <c r="AM112" i="15" s="1"/>
  <c r="AN112" i="15" s="1"/>
  <c r="AI112" i="15"/>
  <c r="AJ112" i="15" s="1"/>
  <c r="AK112" i="15" s="1"/>
  <c r="Q153" i="25"/>
  <c r="AS100" i="19"/>
  <c r="AQ100" i="19"/>
  <c r="F101" i="19"/>
  <c r="AU100" i="19"/>
  <c r="Z200" i="17"/>
  <c r="AC200" i="17"/>
  <c r="X201" i="17" s="1"/>
  <c r="AG200" i="17"/>
  <c r="AF201" i="17" s="1"/>
  <c r="F114" i="17"/>
  <c r="AU113" i="17"/>
  <c r="AS113" i="17"/>
  <c r="AQ113" i="17"/>
  <c r="AG220" i="19"/>
  <c r="AF221" i="19" s="1"/>
  <c r="AC220" i="19"/>
  <c r="X221" i="19" s="1"/>
  <c r="Y79" i="16"/>
  <c r="AC79" i="16" s="1"/>
  <c r="X80" i="16" s="1"/>
  <c r="Z79" i="16"/>
  <c r="AG78" i="16"/>
  <c r="AF79" i="16" s="1"/>
  <c r="AW67" i="16"/>
  <c r="AX67" i="16" s="1"/>
  <c r="AY67" i="16" s="1"/>
  <c r="AI68" i="16"/>
  <c r="AJ68" i="16" s="1"/>
  <c r="AK68" i="16" s="1"/>
  <c r="T80" i="16"/>
  <c r="S80" i="16"/>
  <c r="W80" i="16" s="1"/>
  <c r="R81" i="16" s="1"/>
  <c r="M69" i="16"/>
  <c r="Q69" i="16" s="1"/>
  <c r="L70" i="16" s="1"/>
  <c r="P70" i="16"/>
  <c r="N69" i="16"/>
  <c r="AL68" i="16"/>
  <c r="AM68" i="16" s="1"/>
  <c r="AN68" i="16" s="1"/>
  <c r="AU68" i="16"/>
  <c r="AS68" i="16"/>
  <c r="AQ68" i="16"/>
  <c r="AP68" i="16"/>
  <c r="AO68" i="16"/>
  <c r="AT79" i="16"/>
  <c r="AE79" i="16"/>
  <c r="AD80" i="16" s="1"/>
  <c r="H74" i="16"/>
  <c r="G74" i="16"/>
  <c r="J75" i="16"/>
  <c r="F147" i="18"/>
  <c r="AL146" i="18"/>
  <c r="AM146" i="18" s="1"/>
  <c r="AN146" i="18" s="1"/>
  <c r="AI146" i="18"/>
  <c r="AJ146" i="18" s="1"/>
  <c r="AK146" i="18" s="1"/>
  <c r="N127" i="29" l="1"/>
  <c r="M127" i="29"/>
  <c r="AW121" i="28"/>
  <c r="AX121" i="28" s="1"/>
  <c r="AY121" i="28" s="1"/>
  <c r="I122" i="28"/>
  <c r="Q122" i="28" s="1"/>
  <c r="L123" i="28" s="1"/>
  <c r="G122" i="28"/>
  <c r="K122" i="28" s="1"/>
  <c r="F123" i="28" s="1"/>
  <c r="H122" i="28"/>
  <c r="J123" i="28"/>
  <c r="AT178" i="29"/>
  <c r="P181" i="24"/>
  <c r="M182" i="24" s="1"/>
  <c r="AC187" i="25"/>
  <c r="X188" i="25" s="1"/>
  <c r="K164" i="24"/>
  <c r="R164" i="24" s="1"/>
  <c r="Q165" i="24" s="1"/>
  <c r="J164" i="24"/>
  <c r="Z177" i="29"/>
  <c r="Y177" i="29"/>
  <c r="AC177" i="29" s="1"/>
  <c r="X178" i="29" s="1"/>
  <c r="AA178" i="29" s="1"/>
  <c r="AE178" i="29" s="1"/>
  <c r="AD179" i="29" s="1"/>
  <c r="AW125" i="29"/>
  <c r="AX125" i="29" s="1"/>
  <c r="AY125" i="29" s="1"/>
  <c r="AM126" i="29"/>
  <c r="AN126" i="29" s="1"/>
  <c r="F127" i="29"/>
  <c r="I127" i="29" s="1"/>
  <c r="AR127" i="29" s="1"/>
  <c r="AU126" i="29"/>
  <c r="AQ126" i="29"/>
  <c r="AS126" i="29"/>
  <c r="AW118" i="26"/>
  <c r="AX118" i="26" s="1"/>
  <c r="AY118" i="26" s="1"/>
  <c r="H119" i="26"/>
  <c r="Z183" i="28"/>
  <c r="Y183" i="28"/>
  <c r="AC183" i="28" s="1"/>
  <c r="F156" i="25"/>
  <c r="AI153" i="25"/>
  <c r="AQ153" i="25"/>
  <c r="AS153" i="25"/>
  <c r="AU153" i="25"/>
  <c r="AW111" i="24"/>
  <c r="AX111" i="24" s="1"/>
  <c r="AY111" i="24" s="1"/>
  <c r="L154" i="25"/>
  <c r="H112" i="24"/>
  <c r="G113" i="15"/>
  <c r="AR113" i="15" s="1"/>
  <c r="AW112" i="15"/>
  <c r="AX112" i="15" s="1"/>
  <c r="AY112" i="15" s="1"/>
  <c r="AW100" i="19"/>
  <c r="AX100" i="19" s="1"/>
  <c r="AY100" i="19" s="1"/>
  <c r="J102" i="19"/>
  <c r="H101" i="19"/>
  <c r="G101" i="19"/>
  <c r="AI101" i="19" s="1"/>
  <c r="AJ101" i="19" s="1"/>
  <c r="AK101" i="19" s="1"/>
  <c r="AW113" i="17"/>
  <c r="AX113" i="17" s="1"/>
  <c r="AY113" i="17" s="1"/>
  <c r="Y201" i="17"/>
  <c r="AC201" i="17" s="1"/>
  <c r="X202" i="17" s="1"/>
  <c r="Z201" i="17"/>
  <c r="G114" i="17"/>
  <c r="K114" i="17" s="1"/>
  <c r="F115" i="17" s="1"/>
  <c r="H114" i="17"/>
  <c r="J115" i="17"/>
  <c r="AG79" i="16"/>
  <c r="AF80" i="16" s="1"/>
  <c r="Z221" i="19"/>
  <c r="Y221" i="19"/>
  <c r="Y80" i="16"/>
  <c r="AC80" i="16" s="1"/>
  <c r="X81" i="16" s="1"/>
  <c r="Z80" i="16"/>
  <c r="AL69" i="16"/>
  <c r="AM69" i="16" s="1"/>
  <c r="AN69" i="16" s="1"/>
  <c r="P71" i="16"/>
  <c r="M70" i="16"/>
  <c r="Q70" i="16" s="1"/>
  <c r="L71" i="16" s="1"/>
  <c r="N70" i="16"/>
  <c r="AI69" i="16"/>
  <c r="AJ69" i="16" s="1"/>
  <c r="AK69" i="16" s="1"/>
  <c r="AQ69" i="16"/>
  <c r="AU69" i="16"/>
  <c r="T81" i="16"/>
  <c r="S81" i="16"/>
  <c r="W81" i="16" s="1"/>
  <c r="R82" i="16" s="1"/>
  <c r="AW68" i="16"/>
  <c r="AX68" i="16" s="1"/>
  <c r="AY68" i="16" s="1"/>
  <c r="AE80" i="16"/>
  <c r="AD81" i="16" s="1"/>
  <c r="AT80" i="16"/>
  <c r="AP69" i="16"/>
  <c r="AO69" i="16"/>
  <c r="AS69" i="16"/>
  <c r="K74" i="16"/>
  <c r="AW146" i="18"/>
  <c r="AX146" i="18" s="1"/>
  <c r="AY146" i="18" s="1"/>
  <c r="G147" i="18"/>
  <c r="AR147" i="18" s="1"/>
  <c r="AT179" i="29" l="1"/>
  <c r="Q127" i="29"/>
  <c r="L128" i="29" s="1"/>
  <c r="I123" i="28"/>
  <c r="G123" i="28"/>
  <c r="J124" i="28"/>
  <c r="H123" i="28"/>
  <c r="AP122" i="28"/>
  <c r="AO122" i="28"/>
  <c r="AL122" i="28"/>
  <c r="AM122" i="28" s="1"/>
  <c r="AN122" i="28" s="1"/>
  <c r="AI122" i="28"/>
  <c r="AJ122" i="28" s="1"/>
  <c r="AK122" i="28" s="1"/>
  <c r="AS122" i="28"/>
  <c r="AU122" i="28"/>
  <c r="AQ122" i="28"/>
  <c r="O123" i="28"/>
  <c r="M123" i="28"/>
  <c r="P124" i="28"/>
  <c r="N123" i="28"/>
  <c r="L164" i="24"/>
  <c r="I165" i="24" s="1"/>
  <c r="O182" i="24"/>
  <c r="N182" i="24"/>
  <c r="Z188" i="25"/>
  <c r="Y188" i="25"/>
  <c r="T164" i="24"/>
  <c r="S165" i="24" s="1"/>
  <c r="AW126" i="29"/>
  <c r="AX126" i="29" s="1"/>
  <c r="AY126" i="29" s="1"/>
  <c r="Z178" i="29"/>
  <c r="Y178" i="29"/>
  <c r="AC178" i="29" s="1"/>
  <c r="X179" i="29" s="1"/>
  <c r="AA179" i="29" s="1"/>
  <c r="AE179" i="29" s="1"/>
  <c r="AD180" i="29" s="1"/>
  <c r="AG177" i="29"/>
  <c r="AF178" i="29" s="1"/>
  <c r="J128" i="29"/>
  <c r="H127" i="29"/>
  <c r="AP127" i="29" s="1"/>
  <c r="G127" i="29"/>
  <c r="AI127" i="29" s="1"/>
  <c r="F120" i="26"/>
  <c r="AI119" i="26"/>
  <c r="AL119" i="26"/>
  <c r="AG183" i="28"/>
  <c r="AF184" i="28" s="1"/>
  <c r="X184" i="28"/>
  <c r="AB184" i="28" s="1"/>
  <c r="G156" i="25"/>
  <c r="K156" i="25" s="1"/>
  <c r="H156" i="25"/>
  <c r="J157" i="25"/>
  <c r="AJ153" i="25"/>
  <c r="AK153" i="25" s="1"/>
  <c r="AW153" i="25" s="1"/>
  <c r="AX153" i="25" s="1"/>
  <c r="AY153" i="25" s="1"/>
  <c r="P155" i="25"/>
  <c r="N154" i="25"/>
  <c r="AP154" i="25" s="1"/>
  <c r="AT165" i="24"/>
  <c r="F113" i="24"/>
  <c r="AI112" i="24"/>
  <c r="AL112" i="24"/>
  <c r="H113" i="15"/>
  <c r="M154" i="25"/>
  <c r="Q154" i="25" s="1"/>
  <c r="L155" i="25" s="1"/>
  <c r="K101" i="19"/>
  <c r="AO101" i="19"/>
  <c r="AP101" i="19"/>
  <c r="AL101" i="19"/>
  <c r="AM101" i="19" s="1"/>
  <c r="AN101" i="19" s="1"/>
  <c r="Z202" i="17"/>
  <c r="Y202" i="17"/>
  <c r="AC202" i="17" s="1"/>
  <c r="X203" i="17" s="1"/>
  <c r="AG201" i="17"/>
  <c r="AF202" i="17" s="1"/>
  <c r="AL114" i="17"/>
  <c r="AM114" i="17" s="1"/>
  <c r="AN114" i="17" s="1"/>
  <c r="AS114" i="17"/>
  <c r="AQ114" i="17"/>
  <c r="AI114" i="17"/>
  <c r="AJ114" i="17" s="1"/>
  <c r="AK114" i="17" s="1"/>
  <c r="AU114" i="17"/>
  <c r="AO114" i="17"/>
  <c r="AP114" i="17"/>
  <c r="J116" i="17"/>
  <c r="G115" i="17"/>
  <c r="K115" i="17" s="1"/>
  <c r="H115" i="17"/>
  <c r="AG221" i="19"/>
  <c r="AF222" i="19" s="1"/>
  <c r="AC221" i="19"/>
  <c r="X222" i="19" s="1"/>
  <c r="AG80" i="16"/>
  <c r="AF81" i="16" s="1"/>
  <c r="Y81" i="16"/>
  <c r="AC81" i="16" s="1"/>
  <c r="X82" i="16" s="1"/>
  <c r="Z81" i="16"/>
  <c r="AW69" i="16"/>
  <c r="AX69" i="16" s="1"/>
  <c r="AY69" i="16" s="1"/>
  <c r="AS70" i="16"/>
  <c r="AL70" i="16"/>
  <c r="AM70" i="16" s="1"/>
  <c r="AN70" i="16" s="1"/>
  <c r="AU70" i="16"/>
  <c r="AT81" i="16"/>
  <c r="AE81" i="16"/>
  <c r="AD82" i="16" s="1"/>
  <c r="N71" i="16"/>
  <c r="M71" i="16"/>
  <c r="Q71" i="16" s="1"/>
  <c r="AS71" i="16" s="1"/>
  <c r="P72" i="16"/>
  <c r="S82" i="16"/>
  <c r="W82" i="16" s="1"/>
  <c r="R83" i="16" s="1"/>
  <c r="T82" i="16"/>
  <c r="AI70" i="16"/>
  <c r="AJ70" i="16" s="1"/>
  <c r="AK70" i="16" s="1"/>
  <c r="AQ70" i="16"/>
  <c r="AP70" i="16"/>
  <c r="AO70" i="16"/>
  <c r="F75" i="16"/>
  <c r="H147" i="18"/>
  <c r="Q123" i="28" l="1"/>
  <c r="L124" i="28" s="1"/>
  <c r="P125" i="28" s="1"/>
  <c r="AT180" i="29"/>
  <c r="O128" i="29"/>
  <c r="M128" i="29"/>
  <c r="P129" i="29"/>
  <c r="N128" i="29"/>
  <c r="AL123" i="28"/>
  <c r="AM123" i="28" s="1"/>
  <c r="AN123" i="28" s="1"/>
  <c r="AP123" i="28"/>
  <c r="AO123" i="28"/>
  <c r="AI123" i="28"/>
  <c r="AJ123" i="28" s="1"/>
  <c r="AK123" i="28" s="1"/>
  <c r="K123" i="28"/>
  <c r="AW122" i="28"/>
  <c r="AX122" i="28" s="1"/>
  <c r="AY122" i="28" s="1"/>
  <c r="P182" i="24"/>
  <c r="M183" i="24" s="1"/>
  <c r="K165" i="24"/>
  <c r="R165" i="24" s="1"/>
  <c r="Q166" i="24" s="1"/>
  <c r="AT166" i="24" s="1"/>
  <c r="J165" i="24"/>
  <c r="AC188" i="25"/>
  <c r="X189" i="25" s="1"/>
  <c r="AG188" i="25"/>
  <c r="AF189" i="25" s="1"/>
  <c r="Z179" i="29"/>
  <c r="Y179" i="29"/>
  <c r="AC179" i="29" s="1"/>
  <c r="X180" i="29" s="1"/>
  <c r="AA180" i="29" s="1"/>
  <c r="AE180" i="29" s="1"/>
  <c r="AD181" i="29" s="1"/>
  <c r="AG178" i="29"/>
  <c r="AF179" i="29" s="1"/>
  <c r="AJ127" i="29"/>
  <c r="AK127" i="29" s="1"/>
  <c r="AL127" i="29"/>
  <c r="K127" i="29"/>
  <c r="AO127" i="29"/>
  <c r="G120" i="26"/>
  <c r="AR120" i="26" s="1"/>
  <c r="AJ119" i="26"/>
  <c r="AK119" i="26" s="1"/>
  <c r="AM119" i="26"/>
  <c r="AN119" i="26" s="1"/>
  <c r="Z184" i="28"/>
  <c r="Y184" i="28"/>
  <c r="AC184" i="28" s="1"/>
  <c r="X185" i="28" s="1"/>
  <c r="AB185" i="28" s="1"/>
  <c r="F157" i="25"/>
  <c r="AO154" i="25"/>
  <c r="AL154" i="25"/>
  <c r="AI154" i="25"/>
  <c r="AQ154" i="25"/>
  <c r="AU154" i="25"/>
  <c r="AS154" i="25"/>
  <c r="P156" i="25"/>
  <c r="N155" i="25"/>
  <c r="AP155" i="25" s="1"/>
  <c r="G113" i="24"/>
  <c r="AR113" i="24" s="1"/>
  <c r="AJ112" i="24"/>
  <c r="AK112" i="24" s="1"/>
  <c r="AM112" i="24"/>
  <c r="AN112" i="24" s="1"/>
  <c r="F114" i="15"/>
  <c r="AI113" i="15"/>
  <c r="AJ113" i="15" s="1"/>
  <c r="AK113" i="15" s="1"/>
  <c r="AL113" i="15"/>
  <c r="AM113" i="15" s="1"/>
  <c r="AN113" i="15" s="1"/>
  <c r="M155" i="25"/>
  <c r="AL155" i="25" s="1"/>
  <c r="AU101" i="19"/>
  <c r="AS101" i="19"/>
  <c r="AQ101" i="19"/>
  <c r="F102" i="19"/>
  <c r="AG202" i="17"/>
  <c r="AF203" i="17" s="1"/>
  <c r="Y203" i="17"/>
  <c r="AC203" i="17" s="1"/>
  <c r="X204" i="17" s="1"/>
  <c r="Z203" i="17"/>
  <c r="AI115" i="17"/>
  <c r="AJ115" i="17" s="1"/>
  <c r="AK115" i="17" s="1"/>
  <c r="AL115" i="17"/>
  <c r="AM115" i="17" s="1"/>
  <c r="AN115" i="17" s="1"/>
  <c r="F116" i="17"/>
  <c r="AQ115" i="17"/>
  <c r="AU115" i="17"/>
  <c r="AS115" i="17"/>
  <c r="AP115" i="17"/>
  <c r="AO115" i="17"/>
  <c r="AW114" i="17"/>
  <c r="AX114" i="17" s="1"/>
  <c r="AY114" i="17" s="1"/>
  <c r="Y222" i="19"/>
  <c r="AC222" i="19" s="1"/>
  <c r="X223" i="19" s="1"/>
  <c r="Z222" i="19"/>
  <c r="Y82" i="16"/>
  <c r="AC82" i="16" s="1"/>
  <c r="X83" i="16" s="1"/>
  <c r="Z82" i="16"/>
  <c r="AG81" i="16"/>
  <c r="AF82" i="16" s="1"/>
  <c r="AI71" i="16"/>
  <c r="AJ71" i="16" s="1"/>
  <c r="AK71" i="16" s="1"/>
  <c r="AL71" i="16"/>
  <c r="AM71" i="16" s="1"/>
  <c r="AN71" i="16" s="1"/>
  <c r="AQ71" i="16"/>
  <c r="AP71" i="16"/>
  <c r="AO71" i="16"/>
  <c r="AW70" i="16"/>
  <c r="AX70" i="16" s="1"/>
  <c r="AY70" i="16" s="1"/>
  <c r="AT82" i="16"/>
  <c r="AE82" i="16"/>
  <c r="AD83" i="16" s="1"/>
  <c r="T83" i="16"/>
  <c r="S83" i="16"/>
  <c r="W83" i="16" s="1"/>
  <c r="R84" i="16" s="1"/>
  <c r="AU71" i="16"/>
  <c r="L72" i="16"/>
  <c r="G75" i="16"/>
  <c r="H75" i="16"/>
  <c r="J76" i="16"/>
  <c r="F148" i="18"/>
  <c r="AL147" i="18"/>
  <c r="AM147" i="18" s="1"/>
  <c r="AN147" i="18" s="1"/>
  <c r="AI147" i="18"/>
  <c r="AJ147" i="18" s="1"/>
  <c r="AK147" i="18" s="1"/>
  <c r="O124" i="28" l="1"/>
  <c r="M124" i="28"/>
  <c r="N124" i="28"/>
  <c r="AT181" i="29"/>
  <c r="AS123" i="28"/>
  <c r="F124" i="28"/>
  <c r="AU123" i="28"/>
  <c r="AQ123" i="28"/>
  <c r="L165" i="24"/>
  <c r="I166" i="24" s="1"/>
  <c r="O183" i="24"/>
  <c r="N183" i="24"/>
  <c r="Y189" i="25"/>
  <c r="AC189" i="25" s="1"/>
  <c r="X190" i="25" s="1"/>
  <c r="Z189" i="25"/>
  <c r="T165" i="24"/>
  <c r="S166" i="24" s="1"/>
  <c r="Z180" i="29"/>
  <c r="Y180" i="29"/>
  <c r="AC180" i="29" s="1"/>
  <c r="X181" i="29" s="1"/>
  <c r="AA181" i="29" s="1"/>
  <c r="AE181" i="29" s="1"/>
  <c r="AD182" i="29" s="1"/>
  <c r="AG179" i="29"/>
  <c r="AF180" i="29" s="1"/>
  <c r="F128" i="29"/>
  <c r="I128" i="29" s="1"/>
  <c r="AR128" i="29" s="1"/>
  <c r="AQ127" i="29"/>
  <c r="AS127" i="29"/>
  <c r="AU127" i="29"/>
  <c r="AW119" i="26"/>
  <c r="AX119" i="26" s="1"/>
  <c r="AY119" i="26" s="1"/>
  <c r="AM127" i="29"/>
  <c r="AN127" i="29" s="1"/>
  <c r="H120" i="26"/>
  <c r="Z185" i="28"/>
  <c r="Y185" i="28"/>
  <c r="AG184" i="28"/>
  <c r="AF185" i="28" s="1"/>
  <c r="AO155" i="25"/>
  <c r="G157" i="25"/>
  <c r="K157" i="25" s="1"/>
  <c r="J158" i="25"/>
  <c r="H157" i="25"/>
  <c r="AW112" i="24"/>
  <c r="AX112" i="24" s="1"/>
  <c r="AY112" i="24" s="1"/>
  <c r="AM154" i="25"/>
  <c r="AN154" i="25" s="1"/>
  <c r="AM155" i="25"/>
  <c r="AN155" i="25" s="1"/>
  <c r="AJ154" i="25"/>
  <c r="AK154" i="25" s="1"/>
  <c r="H113" i="24"/>
  <c r="AW113" i="15"/>
  <c r="AX113" i="15" s="1"/>
  <c r="AY113" i="15" s="1"/>
  <c r="G114" i="15"/>
  <c r="AR114" i="15" s="1"/>
  <c r="Q155" i="25"/>
  <c r="AW101" i="19"/>
  <c r="AX101" i="19" s="1"/>
  <c r="AY101" i="19" s="1"/>
  <c r="H102" i="19"/>
  <c r="J103" i="19"/>
  <c r="G102" i="19"/>
  <c r="AG203" i="17"/>
  <c r="AF204" i="17" s="1"/>
  <c r="Y204" i="17"/>
  <c r="AC204" i="17" s="1"/>
  <c r="X205" i="17" s="1"/>
  <c r="Z204" i="17"/>
  <c r="AW115" i="17"/>
  <c r="AX115" i="17" s="1"/>
  <c r="AY115" i="17" s="1"/>
  <c r="AG222" i="19"/>
  <c r="AF223" i="19" s="1"/>
  <c r="J117" i="17"/>
  <c r="G116" i="17"/>
  <c r="AI116" i="17" s="1"/>
  <c r="AJ116" i="17" s="1"/>
  <c r="AK116" i="17" s="1"/>
  <c r="H116" i="17"/>
  <c r="Y223" i="19"/>
  <c r="AC223" i="19" s="1"/>
  <c r="X224" i="19" s="1"/>
  <c r="Z223" i="19"/>
  <c r="AW71" i="16"/>
  <c r="AX71" i="16" s="1"/>
  <c r="AY71" i="16" s="1"/>
  <c r="Y83" i="16"/>
  <c r="AC83" i="16" s="1"/>
  <c r="X84" i="16" s="1"/>
  <c r="Z83" i="16"/>
  <c r="AG82" i="16"/>
  <c r="AF83" i="16" s="1"/>
  <c r="P73" i="16"/>
  <c r="M72" i="16"/>
  <c r="Q72" i="16" s="1"/>
  <c r="L73" i="16" s="1"/>
  <c r="N72" i="16"/>
  <c r="AT83" i="16"/>
  <c r="AE83" i="16"/>
  <c r="AD84" i="16" s="1"/>
  <c r="S84" i="16"/>
  <c r="W84" i="16" s="1"/>
  <c r="R85" i="16" s="1"/>
  <c r="T84" i="16"/>
  <c r="K75" i="16"/>
  <c r="AW147" i="18"/>
  <c r="AX147" i="18" s="1"/>
  <c r="AY147" i="18" s="1"/>
  <c r="G148" i="18"/>
  <c r="AR148" i="18" s="1"/>
  <c r="AW123" i="28" l="1"/>
  <c r="AX123" i="28" s="1"/>
  <c r="AY123" i="28" s="1"/>
  <c r="AT182" i="29"/>
  <c r="Q128" i="29"/>
  <c r="L129" i="29" s="1"/>
  <c r="H124" i="28"/>
  <c r="I124" i="28"/>
  <c r="Q124" i="28" s="1"/>
  <c r="L125" i="28" s="1"/>
  <c r="G124" i="28"/>
  <c r="AL124" i="28" s="1"/>
  <c r="AM124" i="28" s="1"/>
  <c r="AN124" i="28" s="1"/>
  <c r="J125" i="28"/>
  <c r="AG189" i="25"/>
  <c r="AF190" i="25" s="1"/>
  <c r="P183" i="24"/>
  <c r="M184" i="24" s="1"/>
  <c r="Y190" i="25"/>
  <c r="AC190" i="25" s="1"/>
  <c r="X191" i="25" s="1"/>
  <c r="Z190" i="25"/>
  <c r="K166" i="24"/>
  <c r="T166" i="24" s="1"/>
  <c r="S167" i="24" s="1"/>
  <c r="J166" i="24"/>
  <c r="Z181" i="29"/>
  <c r="Y181" i="29"/>
  <c r="AG180" i="29"/>
  <c r="AF181" i="29" s="1"/>
  <c r="AW127" i="29"/>
  <c r="AX127" i="29" s="1"/>
  <c r="AY127" i="29" s="1"/>
  <c r="H128" i="29"/>
  <c r="AP128" i="29" s="1"/>
  <c r="J129" i="29"/>
  <c r="G128" i="29"/>
  <c r="AI128" i="29" s="1"/>
  <c r="F121" i="26"/>
  <c r="G121" i="26" s="1"/>
  <c r="AR121" i="26" s="1"/>
  <c r="AI120" i="26"/>
  <c r="AL120" i="26"/>
  <c r="AM120" i="26" s="1"/>
  <c r="AN120" i="26" s="1"/>
  <c r="AC185" i="28"/>
  <c r="AG185" i="28"/>
  <c r="AW154" i="25"/>
  <c r="AX154" i="25" s="1"/>
  <c r="AY154" i="25" s="1"/>
  <c r="F158" i="25"/>
  <c r="AQ155" i="25"/>
  <c r="AS155" i="25"/>
  <c r="AU155" i="25"/>
  <c r="AI155" i="25"/>
  <c r="L156" i="25"/>
  <c r="F114" i="24"/>
  <c r="AI113" i="24"/>
  <c r="AL113" i="24"/>
  <c r="H114" i="15"/>
  <c r="AL102" i="19"/>
  <c r="AM102" i="19" s="1"/>
  <c r="AN102" i="19" s="1"/>
  <c r="AI102" i="19"/>
  <c r="AJ102" i="19" s="1"/>
  <c r="AK102" i="19" s="1"/>
  <c r="K102" i="19"/>
  <c r="AO102" i="19"/>
  <c r="AP102" i="19"/>
  <c r="Y205" i="17"/>
  <c r="AC205" i="17" s="1"/>
  <c r="X206" i="17" s="1"/>
  <c r="Z205" i="17"/>
  <c r="AG204" i="17"/>
  <c r="AF205" i="17" s="1"/>
  <c r="AG223" i="19"/>
  <c r="AF224" i="19" s="1"/>
  <c r="AP116" i="17"/>
  <c r="AO116" i="17"/>
  <c r="AL116" i="17"/>
  <c r="AM116" i="17" s="1"/>
  <c r="AN116" i="17" s="1"/>
  <c r="K116" i="17"/>
  <c r="Z224" i="19"/>
  <c r="Y224" i="19"/>
  <c r="AC224" i="19" s="1"/>
  <c r="X225" i="19" s="1"/>
  <c r="AG83" i="16"/>
  <c r="AF84" i="16" s="1"/>
  <c r="Z84" i="16"/>
  <c r="Y84" i="16"/>
  <c r="AQ72" i="16"/>
  <c r="AS72" i="16"/>
  <c r="AI72" i="16"/>
  <c r="AJ72" i="16" s="1"/>
  <c r="AK72" i="16" s="1"/>
  <c r="AL72" i="16"/>
  <c r="AM72" i="16" s="1"/>
  <c r="AN72" i="16" s="1"/>
  <c r="AU72" i="16"/>
  <c r="AE84" i="16"/>
  <c r="AD85" i="16" s="1"/>
  <c r="AT84" i="16"/>
  <c r="AO72" i="16"/>
  <c r="AP72" i="16"/>
  <c r="S85" i="16"/>
  <c r="W85" i="16" s="1"/>
  <c r="R86" i="16" s="1"/>
  <c r="T85" i="16"/>
  <c r="M73" i="16"/>
  <c r="Q73" i="16" s="1"/>
  <c r="L74" i="16" s="1"/>
  <c r="N73" i="16"/>
  <c r="P74" i="16"/>
  <c r="F76" i="16"/>
  <c r="H148" i="18"/>
  <c r="F149" i="18" s="1"/>
  <c r="G149" i="18" s="1"/>
  <c r="AR149" i="18" s="1"/>
  <c r="O129" i="29" l="1"/>
  <c r="P130" i="29"/>
  <c r="M129" i="29"/>
  <c r="N129" i="29"/>
  <c r="AP124" i="28"/>
  <c r="AO124" i="28"/>
  <c r="O125" i="28"/>
  <c r="P126" i="28"/>
  <c r="N125" i="28"/>
  <c r="M125" i="28"/>
  <c r="AI124" i="28"/>
  <c r="AJ124" i="28" s="1"/>
  <c r="AK124" i="28" s="1"/>
  <c r="K124" i="28"/>
  <c r="L166" i="24"/>
  <c r="I167" i="24" s="1"/>
  <c r="AG190" i="25"/>
  <c r="AF191" i="25" s="1"/>
  <c r="O184" i="24"/>
  <c r="N184" i="24"/>
  <c r="Z191" i="25"/>
  <c r="Y191" i="25"/>
  <c r="AC191" i="25" s="1"/>
  <c r="X192" i="25" s="1"/>
  <c r="R166" i="24"/>
  <c r="Q167" i="24" s="1"/>
  <c r="AT167" i="24" s="1"/>
  <c r="AG181" i="29"/>
  <c r="AF182" i="29" s="1"/>
  <c r="AC181" i="29"/>
  <c r="X182" i="29" s="1"/>
  <c r="AA182" i="29" s="1"/>
  <c r="AE182" i="29" s="1"/>
  <c r="AD183" i="29" s="1"/>
  <c r="AO128" i="29"/>
  <c r="AJ128" i="29"/>
  <c r="AK128" i="29" s="1"/>
  <c r="AL128" i="29"/>
  <c r="K128" i="29"/>
  <c r="H121" i="26"/>
  <c r="AL121" i="26" s="1"/>
  <c r="AJ120" i="26"/>
  <c r="AK120" i="26" s="1"/>
  <c r="AW120" i="26" s="1"/>
  <c r="AX120" i="26" s="1"/>
  <c r="AY120" i="26" s="1"/>
  <c r="X186" i="28"/>
  <c r="AB186" i="28" s="1"/>
  <c r="AF186" i="28"/>
  <c r="G158" i="25"/>
  <c r="K158" i="25" s="1"/>
  <c r="H158" i="25"/>
  <c r="J159" i="25"/>
  <c r="P157" i="25"/>
  <c r="N156" i="25"/>
  <c r="AP156" i="25" s="1"/>
  <c r="AJ155" i="25"/>
  <c r="AK155" i="25" s="1"/>
  <c r="AW155" i="25" s="1"/>
  <c r="AX155" i="25" s="1"/>
  <c r="AY155" i="25" s="1"/>
  <c r="G114" i="24"/>
  <c r="AR114" i="24" s="1"/>
  <c r="AJ113" i="24"/>
  <c r="AK113" i="24" s="1"/>
  <c r="AM113" i="24"/>
  <c r="AN113" i="24" s="1"/>
  <c r="F115" i="15"/>
  <c r="AI114" i="15"/>
  <c r="AJ114" i="15" s="1"/>
  <c r="AK114" i="15" s="1"/>
  <c r="AL114" i="15"/>
  <c r="AM114" i="15" s="1"/>
  <c r="AN114" i="15" s="1"/>
  <c r="M156" i="25"/>
  <c r="AL156" i="25" s="1"/>
  <c r="F103" i="19"/>
  <c r="AQ102" i="19"/>
  <c r="AS102" i="19"/>
  <c r="AU102" i="19"/>
  <c r="AG205" i="17"/>
  <c r="AF206" i="17" s="1"/>
  <c r="Y206" i="17"/>
  <c r="AC206" i="17" s="1"/>
  <c r="X207" i="17" s="1"/>
  <c r="Z206" i="17"/>
  <c r="F117" i="17"/>
  <c r="AU116" i="17"/>
  <c r="AS116" i="17"/>
  <c r="AQ116" i="17"/>
  <c r="Y225" i="19"/>
  <c r="AC225" i="19" s="1"/>
  <c r="X226" i="19" s="1"/>
  <c r="Z225" i="19"/>
  <c r="AG224" i="19"/>
  <c r="AF225" i="19" s="1"/>
  <c r="AG84" i="16"/>
  <c r="AF85" i="16" s="1"/>
  <c r="AC84" i="16"/>
  <c r="X85" i="16" s="1"/>
  <c r="AI73" i="16"/>
  <c r="AJ73" i="16" s="1"/>
  <c r="AK73" i="16" s="1"/>
  <c r="AU73" i="16"/>
  <c r="AW72" i="16"/>
  <c r="AX72" i="16" s="1"/>
  <c r="AY72" i="16" s="1"/>
  <c r="AL73" i="16"/>
  <c r="AM73" i="16" s="1"/>
  <c r="AN73" i="16" s="1"/>
  <c r="T86" i="16"/>
  <c r="S86" i="16"/>
  <c r="W86" i="16" s="1"/>
  <c r="R87" i="16" s="1"/>
  <c r="AS73" i="16"/>
  <c r="AQ73" i="16"/>
  <c r="AO73" i="16"/>
  <c r="AP73" i="16"/>
  <c r="P75" i="16"/>
  <c r="M74" i="16"/>
  <c r="Q74" i="16" s="1"/>
  <c r="L75" i="16" s="1"/>
  <c r="N74" i="16"/>
  <c r="AT85" i="16"/>
  <c r="AE85" i="16"/>
  <c r="AD86" i="16" s="1"/>
  <c r="J77" i="16"/>
  <c r="G76" i="16"/>
  <c r="H76" i="16"/>
  <c r="AI148" i="18"/>
  <c r="AJ148" i="18" s="1"/>
  <c r="AK148" i="18" s="1"/>
  <c r="AL148" i="18"/>
  <c r="AM148" i="18" s="1"/>
  <c r="AN148" i="18" s="1"/>
  <c r="H149" i="18"/>
  <c r="AT183" i="29" l="1"/>
  <c r="F125" i="28"/>
  <c r="AS124" i="28"/>
  <c r="AU124" i="28"/>
  <c r="AQ124" i="28"/>
  <c r="AG191" i="25"/>
  <c r="AF192" i="25" s="1"/>
  <c r="P184" i="24"/>
  <c r="M185" i="24" s="1"/>
  <c r="Z192" i="25"/>
  <c r="Y192" i="25"/>
  <c r="AC192" i="25" s="1"/>
  <c r="X193" i="25" s="1"/>
  <c r="K167" i="24"/>
  <c r="T167" i="24" s="1"/>
  <c r="S168" i="24" s="1"/>
  <c r="J167" i="24"/>
  <c r="Z182" i="29"/>
  <c r="Y182" i="29"/>
  <c r="AG182" i="29" s="1"/>
  <c r="AF183" i="29" s="1"/>
  <c r="AM128" i="29"/>
  <c r="AN128" i="29" s="1"/>
  <c r="F129" i="29"/>
  <c r="I129" i="29" s="1"/>
  <c r="AR129" i="29" s="1"/>
  <c r="AU128" i="29"/>
  <c r="AQ128" i="29"/>
  <c r="AS128" i="29"/>
  <c r="F122" i="26"/>
  <c r="G122" i="26" s="1"/>
  <c r="AR122" i="26" s="1"/>
  <c r="AI121" i="26"/>
  <c r="AJ121" i="26" s="1"/>
  <c r="AK121" i="26" s="1"/>
  <c r="AM121" i="26"/>
  <c r="AN121" i="26" s="1"/>
  <c r="Z186" i="28"/>
  <c r="Y186" i="28"/>
  <c r="AC186" i="28" s="1"/>
  <c r="X187" i="28" s="1"/>
  <c r="AB187" i="28" s="1"/>
  <c r="AW113" i="24"/>
  <c r="AX113" i="24" s="1"/>
  <c r="AY113" i="24" s="1"/>
  <c r="F159" i="25"/>
  <c r="AO156" i="25"/>
  <c r="AW114" i="15"/>
  <c r="AX114" i="15" s="1"/>
  <c r="AY114" i="15" s="1"/>
  <c r="AM156" i="25"/>
  <c r="AN156" i="25" s="1"/>
  <c r="H114" i="24"/>
  <c r="G115" i="15"/>
  <c r="AR115" i="15" s="1"/>
  <c r="Q156" i="25"/>
  <c r="AW102" i="19"/>
  <c r="AX102" i="19" s="1"/>
  <c r="AY102" i="19" s="1"/>
  <c r="G103" i="19"/>
  <c r="AI103" i="19" s="1"/>
  <c r="AJ103" i="19" s="1"/>
  <c r="AK103" i="19" s="1"/>
  <c r="H103" i="19"/>
  <c r="J104" i="19"/>
  <c r="AW116" i="17"/>
  <c r="AX116" i="17" s="1"/>
  <c r="AY116" i="17" s="1"/>
  <c r="Y207" i="17"/>
  <c r="AC207" i="17" s="1"/>
  <c r="X208" i="17" s="1"/>
  <c r="Z207" i="17"/>
  <c r="AG206" i="17"/>
  <c r="AF207" i="17" s="1"/>
  <c r="AG225" i="19"/>
  <c r="AF226" i="19" s="1"/>
  <c r="G117" i="17"/>
  <c r="AI117" i="17" s="1"/>
  <c r="AJ117" i="17" s="1"/>
  <c r="AK117" i="17" s="1"/>
  <c r="H117" i="17"/>
  <c r="J118" i="17"/>
  <c r="Y226" i="19"/>
  <c r="AC226" i="19" s="1"/>
  <c r="X227" i="19" s="1"/>
  <c r="Z226" i="19"/>
  <c r="Y85" i="16"/>
  <c r="Z85" i="16"/>
  <c r="AQ74" i="16"/>
  <c r="AL74" i="16"/>
  <c r="AM74" i="16" s="1"/>
  <c r="AN74" i="16" s="1"/>
  <c r="AS74" i="16"/>
  <c r="AW73" i="16"/>
  <c r="AX73" i="16" s="1"/>
  <c r="AY73" i="16" s="1"/>
  <c r="AU74" i="16"/>
  <c r="AT86" i="16"/>
  <c r="AE86" i="16"/>
  <c r="AD87" i="16" s="1"/>
  <c r="AI74" i="16"/>
  <c r="AJ74" i="16" s="1"/>
  <c r="AK74" i="16" s="1"/>
  <c r="AP74" i="16"/>
  <c r="AO74" i="16"/>
  <c r="S87" i="16"/>
  <c r="W87" i="16" s="1"/>
  <c r="R88" i="16" s="1"/>
  <c r="T87" i="16"/>
  <c r="P76" i="16"/>
  <c r="N75" i="16"/>
  <c r="M75" i="16"/>
  <c r="Q75" i="16" s="1"/>
  <c r="L76" i="16" s="1"/>
  <c r="K76" i="16"/>
  <c r="AW148" i="18"/>
  <c r="AX148" i="18" s="1"/>
  <c r="AY148" i="18" s="1"/>
  <c r="F150" i="18"/>
  <c r="AI149" i="18"/>
  <c r="AJ149" i="18" s="1"/>
  <c r="AK149" i="18" s="1"/>
  <c r="AL149" i="18"/>
  <c r="AM149" i="18" s="1"/>
  <c r="AN149" i="18" s="1"/>
  <c r="AW124" i="28" l="1"/>
  <c r="AX124" i="28" s="1"/>
  <c r="AY124" i="28" s="1"/>
  <c r="Q129" i="29"/>
  <c r="L130" i="29" s="1"/>
  <c r="I125" i="28"/>
  <c r="Q125" i="28" s="1"/>
  <c r="L126" i="28" s="1"/>
  <c r="J126" i="28"/>
  <c r="H125" i="28"/>
  <c r="G125" i="28"/>
  <c r="AI125" i="28" s="1"/>
  <c r="AJ125" i="28" s="1"/>
  <c r="AK125" i="28" s="1"/>
  <c r="AG192" i="25"/>
  <c r="AF193" i="25" s="1"/>
  <c r="L167" i="24"/>
  <c r="I168" i="24" s="1"/>
  <c r="Z193" i="25"/>
  <c r="Y193" i="25"/>
  <c r="AC193" i="25" s="1"/>
  <c r="X194" i="25" s="1"/>
  <c r="R167" i="24"/>
  <c r="Q168" i="24" s="1"/>
  <c r="AT168" i="24" s="1"/>
  <c r="O185" i="24"/>
  <c r="N185" i="24"/>
  <c r="AC182" i="29"/>
  <c r="X183" i="29" s="1"/>
  <c r="AA183" i="29" s="1"/>
  <c r="AE183" i="29" s="1"/>
  <c r="AD184" i="29" s="1"/>
  <c r="AW121" i="26"/>
  <c r="AX121" i="26" s="1"/>
  <c r="AY121" i="26" s="1"/>
  <c r="AW128" i="29"/>
  <c r="AX128" i="29" s="1"/>
  <c r="AY128" i="29" s="1"/>
  <c r="J130" i="29"/>
  <c r="H129" i="29"/>
  <c r="AP129" i="29" s="1"/>
  <c r="G129" i="29"/>
  <c r="AI129" i="29" s="1"/>
  <c r="H122" i="26"/>
  <c r="Z187" i="28"/>
  <c r="Y187" i="28"/>
  <c r="AG186" i="28"/>
  <c r="AF187" i="28" s="1"/>
  <c r="G159" i="25"/>
  <c r="K159" i="25" s="1"/>
  <c r="H159" i="25"/>
  <c r="J160" i="25"/>
  <c r="AQ156" i="25"/>
  <c r="AS156" i="25"/>
  <c r="AI156" i="25"/>
  <c r="AU156" i="25"/>
  <c r="L157" i="25"/>
  <c r="F115" i="24"/>
  <c r="AI114" i="24"/>
  <c r="AL114" i="24"/>
  <c r="H115" i="15"/>
  <c r="K103" i="19"/>
  <c r="AQ103" i="19" s="1"/>
  <c r="AL103" i="19"/>
  <c r="AM103" i="19" s="1"/>
  <c r="AN103" i="19" s="1"/>
  <c r="AO103" i="19"/>
  <c r="AP103" i="19"/>
  <c r="AG207" i="17"/>
  <c r="AF208" i="17" s="1"/>
  <c r="Y208" i="17"/>
  <c r="AC208" i="17" s="1"/>
  <c r="X209" i="17" s="1"/>
  <c r="Z208" i="17"/>
  <c r="AL117" i="17"/>
  <c r="AM117" i="17" s="1"/>
  <c r="AN117" i="17" s="1"/>
  <c r="K117" i="17"/>
  <c r="F118" i="17" s="1"/>
  <c r="J119" i="17" s="1"/>
  <c r="AO117" i="17"/>
  <c r="AP117" i="17"/>
  <c r="Z227" i="19"/>
  <c r="Y227" i="19"/>
  <c r="AC227" i="19" s="1"/>
  <c r="X228" i="19" s="1"/>
  <c r="AG226" i="19"/>
  <c r="AF227" i="19" s="1"/>
  <c r="AG85" i="16"/>
  <c r="AF86" i="16" s="1"/>
  <c r="AC85" i="16"/>
  <c r="X86" i="16" s="1"/>
  <c r="AI75" i="16"/>
  <c r="AJ75" i="16" s="1"/>
  <c r="AK75" i="16" s="1"/>
  <c r="AL75" i="16"/>
  <c r="AM75" i="16" s="1"/>
  <c r="AN75" i="16" s="1"/>
  <c r="AW74" i="16"/>
  <c r="AX74" i="16" s="1"/>
  <c r="AY74" i="16" s="1"/>
  <c r="AU75" i="16"/>
  <c r="AQ75" i="16"/>
  <c r="P77" i="16"/>
  <c r="N76" i="16"/>
  <c r="M76" i="16"/>
  <c r="T88" i="16"/>
  <c r="S88" i="16"/>
  <c r="W88" i="16" s="1"/>
  <c r="R89" i="16" s="1"/>
  <c r="AT87" i="16"/>
  <c r="AE87" i="16"/>
  <c r="AD88" i="16" s="1"/>
  <c r="AS75" i="16"/>
  <c r="AO75" i="16"/>
  <c r="AP75" i="16"/>
  <c r="F77" i="16"/>
  <c r="G150" i="18"/>
  <c r="AR150" i="18" s="1"/>
  <c r="AW149" i="18"/>
  <c r="AX149" i="18" s="1"/>
  <c r="AY149" i="18" s="1"/>
  <c r="O130" i="29" l="1"/>
  <c r="M130" i="29"/>
  <c r="P131" i="29"/>
  <c r="N130" i="29"/>
  <c r="AP125" i="28"/>
  <c r="AO125" i="28"/>
  <c r="AT184" i="29"/>
  <c r="AL125" i="28"/>
  <c r="AM125" i="28" s="1"/>
  <c r="AN125" i="28" s="1"/>
  <c r="O126" i="28"/>
  <c r="M126" i="28"/>
  <c r="N126" i="28"/>
  <c r="P127" i="28"/>
  <c r="K125" i="28"/>
  <c r="AG193" i="25"/>
  <c r="AF194" i="25" s="1"/>
  <c r="P185" i="24"/>
  <c r="M186" i="24" s="1"/>
  <c r="N186" i="24" s="1"/>
  <c r="Y194" i="25"/>
  <c r="Z194" i="25"/>
  <c r="K168" i="24"/>
  <c r="R168" i="24" s="1"/>
  <c r="Q169" i="24" s="1"/>
  <c r="J168" i="24"/>
  <c r="Z183" i="29"/>
  <c r="Y183" i="29"/>
  <c r="AG183" i="29" s="1"/>
  <c r="AF184" i="29" s="1"/>
  <c r="AO129" i="29"/>
  <c r="AJ129" i="29"/>
  <c r="AK129" i="29" s="1"/>
  <c r="AL129" i="29"/>
  <c r="K129" i="29"/>
  <c r="F123" i="26"/>
  <c r="AL122" i="26"/>
  <c r="AI122" i="26"/>
  <c r="AG187" i="28"/>
  <c r="AF188" i="28" s="1"/>
  <c r="AC187" i="28"/>
  <c r="X188" i="28" s="1"/>
  <c r="AB188" i="28" s="1"/>
  <c r="F160" i="25"/>
  <c r="AJ156" i="25"/>
  <c r="AK156" i="25" s="1"/>
  <c r="AW156" i="25" s="1"/>
  <c r="AX156" i="25" s="1"/>
  <c r="AY156" i="25" s="1"/>
  <c r="P158" i="25"/>
  <c r="N157" i="25"/>
  <c r="AP157" i="25" s="1"/>
  <c r="AJ114" i="24"/>
  <c r="AK114" i="24" s="1"/>
  <c r="G115" i="24"/>
  <c r="AR115" i="24" s="1"/>
  <c r="AM114" i="24"/>
  <c r="AN114" i="24" s="1"/>
  <c r="F116" i="15"/>
  <c r="AI115" i="15"/>
  <c r="AJ115" i="15" s="1"/>
  <c r="AK115" i="15" s="1"/>
  <c r="AL115" i="15"/>
  <c r="AM115" i="15" s="1"/>
  <c r="AN115" i="15" s="1"/>
  <c r="M157" i="25"/>
  <c r="Q157" i="25" s="1"/>
  <c r="L158" i="25" s="1"/>
  <c r="F104" i="19"/>
  <c r="J105" i="19" s="1"/>
  <c r="AS103" i="19"/>
  <c r="AU103" i="19"/>
  <c r="Z209" i="17"/>
  <c r="Y209" i="17"/>
  <c r="AC209" i="17" s="1"/>
  <c r="X210" i="17" s="1"/>
  <c r="AG208" i="17"/>
  <c r="AF209" i="17" s="1"/>
  <c r="AQ117" i="17"/>
  <c r="G118" i="17"/>
  <c r="AI118" i="17" s="1"/>
  <c r="AJ118" i="17" s="1"/>
  <c r="AK118" i="17" s="1"/>
  <c r="H118" i="17"/>
  <c r="AP118" i="17" s="1"/>
  <c r="AU117" i="17"/>
  <c r="AS117" i="17"/>
  <c r="AG227" i="19"/>
  <c r="AF228" i="19" s="1"/>
  <c r="Z228" i="19"/>
  <c r="Y228" i="19"/>
  <c r="AC228" i="19" s="1"/>
  <c r="X229" i="19" s="1"/>
  <c r="Y86" i="16"/>
  <c r="AC86" i="16" s="1"/>
  <c r="X87" i="16" s="1"/>
  <c r="Z86" i="16"/>
  <c r="AW75" i="16"/>
  <c r="AX75" i="16" s="1"/>
  <c r="AY75" i="16" s="1"/>
  <c r="AO76" i="16"/>
  <c r="AP76" i="16"/>
  <c r="S89" i="16"/>
  <c r="W89" i="16" s="1"/>
  <c r="R90" i="16" s="1"/>
  <c r="T89" i="16"/>
  <c r="AT88" i="16"/>
  <c r="AE88" i="16"/>
  <c r="AD89" i="16" s="1"/>
  <c r="Q76" i="16"/>
  <c r="AL76" i="16"/>
  <c r="AM76" i="16" s="1"/>
  <c r="AN76" i="16" s="1"/>
  <c r="G77" i="16"/>
  <c r="K77" i="16" s="1"/>
  <c r="F78" i="16" s="1"/>
  <c r="H77" i="16"/>
  <c r="J78" i="16"/>
  <c r="H150" i="18"/>
  <c r="F126" i="28" l="1"/>
  <c r="AU125" i="28"/>
  <c r="AS125" i="28"/>
  <c r="AQ125" i="28"/>
  <c r="AG194" i="25"/>
  <c r="AF195" i="25" s="1"/>
  <c r="O186" i="24"/>
  <c r="P186" i="24" s="1"/>
  <c r="M187" i="24" s="1"/>
  <c r="N187" i="24" s="1"/>
  <c r="L168" i="24"/>
  <c r="I169" i="24" s="1"/>
  <c r="T168" i="24"/>
  <c r="S169" i="24" s="1"/>
  <c r="AC194" i="25"/>
  <c r="X195" i="25" s="1"/>
  <c r="AC183" i="29"/>
  <c r="X184" i="29" s="1"/>
  <c r="AA184" i="29" s="1"/>
  <c r="AE184" i="29" s="1"/>
  <c r="AD185" i="29" s="1"/>
  <c r="AM129" i="29"/>
  <c r="AN129" i="29" s="1"/>
  <c r="F130" i="29"/>
  <c r="I130" i="29" s="1"/>
  <c r="AR130" i="29" s="1"/>
  <c r="AU129" i="29"/>
  <c r="AS129" i="29"/>
  <c r="AQ129" i="29"/>
  <c r="AW114" i="24"/>
  <c r="AX114" i="24" s="1"/>
  <c r="AY114" i="24" s="1"/>
  <c r="AM122" i="26"/>
  <c r="AN122" i="26" s="1"/>
  <c r="AJ122" i="26"/>
  <c r="AK122" i="26" s="1"/>
  <c r="G123" i="26"/>
  <c r="AR123" i="26" s="1"/>
  <c r="Z188" i="28"/>
  <c r="Y188" i="28"/>
  <c r="AG188" i="28" s="1"/>
  <c r="AF189" i="28" s="1"/>
  <c r="AL157" i="25"/>
  <c r="G160" i="25"/>
  <c r="K160" i="25" s="1"/>
  <c r="J161" i="25"/>
  <c r="H160" i="25"/>
  <c r="AQ157" i="25"/>
  <c r="AI157" i="25"/>
  <c r="AS157" i="25"/>
  <c r="AU157" i="25"/>
  <c r="AO157" i="25"/>
  <c r="N158" i="25"/>
  <c r="AP158" i="25" s="1"/>
  <c r="P159" i="25"/>
  <c r="H115" i="24"/>
  <c r="F116" i="24" s="1"/>
  <c r="G116" i="24" s="1"/>
  <c r="AR116" i="24" s="1"/>
  <c r="AW115" i="15"/>
  <c r="AX115" i="15" s="1"/>
  <c r="AY115" i="15" s="1"/>
  <c r="AT169" i="24"/>
  <c r="G116" i="15"/>
  <c r="AR116" i="15" s="1"/>
  <c r="M158" i="25"/>
  <c r="AL158" i="25" s="1"/>
  <c r="AW103" i="19"/>
  <c r="AX103" i="19" s="1"/>
  <c r="AY103" i="19" s="1"/>
  <c r="G104" i="19"/>
  <c r="K104" i="19" s="1"/>
  <c r="AQ104" i="19" s="1"/>
  <c r="H104" i="19"/>
  <c r="AO104" i="19" s="1"/>
  <c r="AG209" i="17"/>
  <c r="AF210" i="17" s="1"/>
  <c r="AW117" i="17"/>
  <c r="AX117" i="17" s="1"/>
  <c r="AY117" i="17" s="1"/>
  <c r="Z210" i="17"/>
  <c r="Y210" i="17"/>
  <c r="AC210" i="17" s="1"/>
  <c r="X211" i="17" s="1"/>
  <c r="AL118" i="17"/>
  <c r="AM118" i="17" s="1"/>
  <c r="AN118" i="17" s="1"/>
  <c r="K118" i="17"/>
  <c r="F119" i="17" s="1"/>
  <c r="H119" i="17" s="1"/>
  <c r="AO119" i="17" s="1"/>
  <c r="AO118" i="17"/>
  <c r="AG228" i="19"/>
  <c r="AF229" i="19" s="1"/>
  <c r="Z229" i="19"/>
  <c r="Y229" i="19"/>
  <c r="AC229" i="19" s="1"/>
  <c r="X230" i="19" s="1"/>
  <c r="AG86" i="16"/>
  <c r="AF87" i="16" s="1"/>
  <c r="Z87" i="16"/>
  <c r="Y87" i="16"/>
  <c r="AC87" i="16" s="1"/>
  <c r="X88" i="16" s="1"/>
  <c r="L77" i="16"/>
  <c r="AS76" i="16"/>
  <c r="AI76" i="16"/>
  <c r="AJ76" i="16" s="1"/>
  <c r="AK76" i="16" s="1"/>
  <c r="AU76" i="16"/>
  <c r="AQ76" i="16"/>
  <c r="S90" i="16"/>
  <c r="W90" i="16" s="1"/>
  <c r="R91" i="16" s="1"/>
  <c r="T90" i="16"/>
  <c r="AT89" i="16"/>
  <c r="AE89" i="16"/>
  <c r="AD90" i="16" s="1"/>
  <c r="G78" i="16"/>
  <c r="K78" i="16" s="1"/>
  <c r="F79" i="16" s="1"/>
  <c r="H78" i="16"/>
  <c r="J79" i="16"/>
  <c r="F151" i="18"/>
  <c r="AI150" i="18"/>
  <c r="AJ150" i="18" s="1"/>
  <c r="AK150" i="18" s="1"/>
  <c r="AL150" i="18"/>
  <c r="Q130" i="29" l="1"/>
  <c r="L131" i="29" s="1"/>
  <c r="P132" i="29" s="1"/>
  <c r="AW125" i="28"/>
  <c r="AX125" i="28" s="1"/>
  <c r="AY125" i="28" s="1"/>
  <c r="I126" i="28"/>
  <c r="Q126" i="28" s="1"/>
  <c r="L127" i="28" s="1"/>
  <c r="G126" i="28"/>
  <c r="AL126" i="28" s="1"/>
  <c r="AM126" i="28" s="1"/>
  <c r="AN126" i="28" s="1"/>
  <c r="H126" i="28"/>
  <c r="J127" i="28"/>
  <c r="AT185" i="29"/>
  <c r="O131" i="29"/>
  <c r="O187" i="24"/>
  <c r="P187" i="24" s="1"/>
  <c r="M188" i="24" s="1"/>
  <c r="Y195" i="25"/>
  <c r="AG195" i="25" s="1"/>
  <c r="AF196" i="25" s="1"/>
  <c r="Z195" i="25"/>
  <c r="K169" i="24"/>
  <c r="R169" i="24" s="1"/>
  <c r="Q170" i="24" s="1"/>
  <c r="AT170" i="24" s="1"/>
  <c r="J169" i="24"/>
  <c r="Z184" i="29"/>
  <c r="Y184" i="29"/>
  <c r="AG184" i="29" s="1"/>
  <c r="AF185" i="29" s="1"/>
  <c r="AW129" i="29"/>
  <c r="AX129" i="29" s="1"/>
  <c r="AY129" i="29" s="1"/>
  <c r="H130" i="29"/>
  <c r="AP130" i="29" s="1"/>
  <c r="J131" i="29"/>
  <c r="G130" i="29"/>
  <c r="AI130" i="29" s="1"/>
  <c r="AW122" i="26"/>
  <c r="AX122" i="26" s="1"/>
  <c r="AY122" i="26" s="1"/>
  <c r="H123" i="26"/>
  <c r="AC188" i="28"/>
  <c r="X189" i="28" s="1"/>
  <c r="AB189" i="28" s="1"/>
  <c r="F161" i="25"/>
  <c r="AO158" i="25"/>
  <c r="AI115" i="24"/>
  <c r="AJ115" i="24" s="1"/>
  <c r="AK115" i="24" s="1"/>
  <c r="AL115" i="24"/>
  <c r="AM115" i="24" s="1"/>
  <c r="AN115" i="24" s="1"/>
  <c r="AJ157" i="25"/>
  <c r="AK157" i="25" s="1"/>
  <c r="AM157" i="25"/>
  <c r="AN157" i="25" s="1"/>
  <c r="AM158" i="25"/>
  <c r="AN158" i="25" s="1"/>
  <c r="H116" i="24"/>
  <c r="H116" i="15"/>
  <c r="Q158" i="25"/>
  <c r="AL104" i="19"/>
  <c r="AM104" i="19" s="1"/>
  <c r="AN104" i="19" s="1"/>
  <c r="AS104" i="19"/>
  <c r="AP104" i="19"/>
  <c r="F105" i="19"/>
  <c r="J106" i="19" s="1"/>
  <c r="AU104" i="19"/>
  <c r="AI104" i="19"/>
  <c r="AJ104" i="19" s="1"/>
  <c r="AK104" i="19" s="1"/>
  <c r="AP119" i="17"/>
  <c r="AS118" i="17"/>
  <c r="AW76" i="16"/>
  <c r="AX76" i="16" s="1"/>
  <c r="AY76" i="16" s="1"/>
  <c r="AQ118" i="17"/>
  <c r="AU118" i="17"/>
  <c r="J120" i="17"/>
  <c r="G119" i="17"/>
  <c r="AL119" i="17" s="1"/>
  <c r="AM119" i="17" s="1"/>
  <c r="AN119" i="17" s="1"/>
  <c r="AG210" i="17"/>
  <c r="AF211" i="17" s="1"/>
  <c r="Y211" i="17"/>
  <c r="AC211" i="17" s="1"/>
  <c r="X212" i="17" s="1"/>
  <c r="Z211" i="17"/>
  <c r="AG87" i="16"/>
  <c r="AF88" i="16" s="1"/>
  <c r="AG229" i="19"/>
  <c r="AF230" i="19" s="1"/>
  <c r="Z230" i="19"/>
  <c r="Y230" i="19"/>
  <c r="AC230" i="19" s="1"/>
  <c r="X231" i="19" s="1"/>
  <c r="Z88" i="16"/>
  <c r="Y88" i="16"/>
  <c r="AC88" i="16" s="1"/>
  <c r="X89" i="16" s="1"/>
  <c r="AT90" i="16"/>
  <c r="AE90" i="16"/>
  <c r="AD91" i="16" s="1"/>
  <c r="S91" i="16"/>
  <c r="W91" i="16" s="1"/>
  <c r="R92" i="16" s="1"/>
  <c r="T91" i="16"/>
  <c r="P78" i="16"/>
  <c r="N77" i="16"/>
  <c r="M77" i="16"/>
  <c r="G79" i="16"/>
  <c r="K79" i="16" s="1"/>
  <c r="F80" i="16" s="1"/>
  <c r="J80" i="16"/>
  <c r="H79" i="16"/>
  <c r="G151" i="18"/>
  <c r="AR151" i="18" s="1"/>
  <c r="AM150" i="18"/>
  <c r="AN150" i="18" s="1"/>
  <c r="AW150" i="18" s="1"/>
  <c r="AX150" i="18" s="1"/>
  <c r="AY150" i="18" s="1"/>
  <c r="N131" i="29" l="1"/>
  <c r="M131" i="29"/>
  <c r="O127" i="28"/>
  <c r="M127" i="28"/>
  <c r="P128" i="28"/>
  <c r="N127" i="28"/>
  <c r="AI126" i="28"/>
  <c r="K126" i="28"/>
  <c r="AP126" i="28"/>
  <c r="AO126" i="28"/>
  <c r="L169" i="24"/>
  <c r="I170" i="24" s="1"/>
  <c r="AC195" i="25"/>
  <c r="X196" i="25" s="1"/>
  <c r="T169" i="24"/>
  <c r="S170" i="24" s="1"/>
  <c r="O188" i="24"/>
  <c r="N188" i="24"/>
  <c r="AC184" i="29"/>
  <c r="X185" i="29" s="1"/>
  <c r="AA185" i="29" s="1"/>
  <c r="AE185" i="29" s="1"/>
  <c r="AD186" i="29" s="1"/>
  <c r="AJ130" i="29"/>
  <c r="AK130" i="29" s="1"/>
  <c r="AL130" i="29"/>
  <c r="K130" i="29"/>
  <c r="AO130" i="29"/>
  <c r="F124" i="26"/>
  <c r="AI123" i="26"/>
  <c r="AL123" i="26"/>
  <c r="Z189" i="28"/>
  <c r="Y189" i="28"/>
  <c r="AG189" i="28" s="1"/>
  <c r="AF190" i="28" s="1"/>
  <c r="AW115" i="24"/>
  <c r="AX115" i="24" s="1"/>
  <c r="AY115" i="24" s="1"/>
  <c r="G161" i="25"/>
  <c r="K161" i="25" s="1"/>
  <c r="H161" i="25"/>
  <c r="J162" i="25"/>
  <c r="AS158" i="25"/>
  <c r="AU158" i="25"/>
  <c r="AI158" i="25"/>
  <c r="AQ158" i="25"/>
  <c r="AW157" i="25"/>
  <c r="AX157" i="25" s="1"/>
  <c r="AY157" i="25" s="1"/>
  <c r="L159" i="25"/>
  <c r="F117" i="24"/>
  <c r="AI116" i="24"/>
  <c r="AJ116" i="24" s="1"/>
  <c r="AL116" i="24"/>
  <c r="AM116" i="24" s="1"/>
  <c r="F117" i="15"/>
  <c r="AL116" i="15"/>
  <c r="AM116" i="15" s="1"/>
  <c r="AN116" i="15" s="1"/>
  <c r="AI116" i="15"/>
  <c r="AJ116" i="15" s="1"/>
  <c r="AK116" i="15" s="1"/>
  <c r="AW104" i="19"/>
  <c r="AX104" i="19" s="1"/>
  <c r="AY104" i="19" s="1"/>
  <c r="H105" i="19"/>
  <c r="AO105" i="19" s="1"/>
  <c r="G105" i="19"/>
  <c r="AI105" i="19" s="1"/>
  <c r="AJ105" i="19" s="1"/>
  <c r="AK105" i="19" s="1"/>
  <c r="AW118" i="17"/>
  <c r="AX118" i="17" s="1"/>
  <c r="AY118" i="17" s="1"/>
  <c r="K119" i="17"/>
  <c r="AS119" i="17" s="1"/>
  <c r="AI119" i="17"/>
  <c r="AJ119" i="17" s="1"/>
  <c r="AK119" i="17" s="1"/>
  <c r="Z212" i="17"/>
  <c r="Y212" i="17"/>
  <c r="AC212" i="17" s="1"/>
  <c r="X213" i="17" s="1"/>
  <c r="AG211" i="17"/>
  <c r="AF212" i="17" s="1"/>
  <c r="Z231" i="19"/>
  <c r="Y231" i="19"/>
  <c r="AC231" i="19" s="1"/>
  <c r="X232" i="19" s="1"/>
  <c r="AG230" i="19"/>
  <c r="AF231" i="19" s="1"/>
  <c r="AG88" i="16"/>
  <c r="AF89" i="16" s="1"/>
  <c r="Y89" i="16"/>
  <c r="AC89" i="16" s="1"/>
  <c r="X90" i="16" s="1"/>
  <c r="Z89" i="16"/>
  <c r="AT91" i="16"/>
  <c r="AE91" i="16"/>
  <c r="AD92" i="16" s="1"/>
  <c r="AO77" i="16"/>
  <c r="AP77" i="16"/>
  <c r="S92" i="16"/>
  <c r="W92" i="16" s="1"/>
  <c r="R93" i="16" s="1"/>
  <c r="T92" i="16"/>
  <c r="Q77" i="16"/>
  <c r="AL77" i="16"/>
  <c r="AM77" i="16" s="1"/>
  <c r="AN77" i="16" s="1"/>
  <c r="H80" i="16"/>
  <c r="G80" i="16"/>
  <c r="K80" i="16" s="1"/>
  <c r="J81" i="16"/>
  <c r="H151" i="18"/>
  <c r="AJ126" i="28" l="1"/>
  <c r="AK126" i="28" s="1"/>
  <c r="F127" i="28"/>
  <c r="AS126" i="28"/>
  <c r="AQ126" i="28"/>
  <c r="AU126" i="28"/>
  <c r="AT186" i="29"/>
  <c r="P188" i="24"/>
  <c r="M189" i="24" s="1"/>
  <c r="K170" i="24"/>
  <c r="R170" i="24" s="1"/>
  <c r="Q171" i="24" s="1"/>
  <c r="J170" i="24"/>
  <c r="Y196" i="25"/>
  <c r="AG196" i="25" s="1"/>
  <c r="AF197" i="25" s="1"/>
  <c r="Z196" i="25"/>
  <c r="Z185" i="29"/>
  <c r="Y185" i="29"/>
  <c r="AG185" i="29" s="1"/>
  <c r="AF186" i="29" s="1"/>
  <c r="F131" i="29"/>
  <c r="I131" i="29" s="1"/>
  <c r="AQ130" i="29"/>
  <c r="AU130" i="29"/>
  <c r="AS130" i="29"/>
  <c r="AM130" i="29"/>
  <c r="AN130" i="29" s="1"/>
  <c r="AM123" i="26"/>
  <c r="AN123" i="26" s="1"/>
  <c r="AJ123" i="26"/>
  <c r="AK123" i="26" s="1"/>
  <c r="G124" i="26"/>
  <c r="AR124" i="26" s="1"/>
  <c r="AC189" i="28"/>
  <c r="X190" i="28" s="1"/>
  <c r="AB190" i="28" s="1"/>
  <c r="F162" i="25"/>
  <c r="P160" i="25"/>
  <c r="N159" i="25"/>
  <c r="AP159" i="25" s="1"/>
  <c r="AJ158" i="25"/>
  <c r="AK158" i="25" s="1"/>
  <c r="AW158" i="25" s="1"/>
  <c r="AX158" i="25" s="1"/>
  <c r="AY158" i="25" s="1"/>
  <c r="AN116" i="24"/>
  <c r="AK116" i="24"/>
  <c r="G117" i="24"/>
  <c r="AR117" i="24" s="1"/>
  <c r="AW116" i="15"/>
  <c r="AX116" i="15" s="1"/>
  <c r="AY116" i="15" s="1"/>
  <c r="G117" i="15"/>
  <c r="AR117" i="15" s="1"/>
  <c r="M159" i="25"/>
  <c r="AL159" i="25" s="1"/>
  <c r="AP105" i="19"/>
  <c r="K105" i="19"/>
  <c r="AQ105" i="19" s="1"/>
  <c r="AL105" i="19"/>
  <c r="AM105" i="19" s="1"/>
  <c r="AN105" i="19" s="1"/>
  <c r="F120" i="17"/>
  <c r="J121" i="17" s="1"/>
  <c r="AQ119" i="17"/>
  <c r="AU119" i="17"/>
  <c r="AG212" i="17"/>
  <c r="AF213" i="17" s="1"/>
  <c r="Y213" i="17"/>
  <c r="AC213" i="17" s="1"/>
  <c r="X214" i="17" s="1"/>
  <c r="Z213" i="17"/>
  <c r="AG231" i="19"/>
  <c r="AF232" i="19" s="1"/>
  <c r="Y232" i="19"/>
  <c r="AC232" i="19" s="1"/>
  <c r="X233" i="19" s="1"/>
  <c r="Z232" i="19"/>
  <c r="AG89" i="16"/>
  <c r="AF90" i="16" s="1"/>
  <c r="Y90" i="16"/>
  <c r="AC90" i="16" s="1"/>
  <c r="X91" i="16" s="1"/>
  <c r="Z90" i="16"/>
  <c r="L78" i="16"/>
  <c r="AU77" i="16"/>
  <c r="AI77" i="16"/>
  <c r="AJ77" i="16" s="1"/>
  <c r="AK77" i="16" s="1"/>
  <c r="AS77" i="16"/>
  <c r="AQ77" i="16"/>
  <c r="AT92" i="16"/>
  <c r="AE92" i="16"/>
  <c r="AD93" i="16" s="1"/>
  <c r="S93" i="16"/>
  <c r="W93" i="16" s="1"/>
  <c r="R94" i="16" s="1"/>
  <c r="T93" i="16"/>
  <c r="F81" i="16"/>
  <c r="F152" i="18"/>
  <c r="AI151" i="18"/>
  <c r="AJ151" i="18" s="1"/>
  <c r="AK151" i="18" s="1"/>
  <c r="AL151" i="18"/>
  <c r="AM151" i="18" s="1"/>
  <c r="AN151" i="18" s="1"/>
  <c r="AW126" i="28" l="1"/>
  <c r="AX126" i="28" s="1"/>
  <c r="AY126" i="28" s="1"/>
  <c r="AR131" i="29"/>
  <c r="Q131" i="29"/>
  <c r="L132" i="29" s="1"/>
  <c r="I127" i="28"/>
  <c r="Q127" i="28" s="1"/>
  <c r="L128" i="28" s="1"/>
  <c r="G127" i="28"/>
  <c r="AI127" i="28" s="1"/>
  <c r="AJ127" i="28" s="1"/>
  <c r="AK127" i="28" s="1"/>
  <c r="J128" i="28"/>
  <c r="H127" i="28"/>
  <c r="L170" i="24"/>
  <c r="I171" i="24" s="1"/>
  <c r="AC196" i="25"/>
  <c r="X197" i="25" s="1"/>
  <c r="T170" i="24"/>
  <c r="S171" i="24" s="1"/>
  <c r="O189" i="24"/>
  <c r="N189" i="24"/>
  <c r="AC185" i="29"/>
  <c r="X186" i="29" s="1"/>
  <c r="AA186" i="29" s="1"/>
  <c r="AE186" i="29" s="1"/>
  <c r="AD187" i="29" s="1"/>
  <c r="AW130" i="29"/>
  <c r="AX130" i="29" s="1"/>
  <c r="AY130" i="29" s="1"/>
  <c r="J132" i="29"/>
  <c r="H131" i="29"/>
  <c r="AP131" i="29" s="1"/>
  <c r="G131" i="29"/>
  <c r="AL131" i="29" s="1"/>
  <c r="AW123" i="26"/>
  <c r="AX123" i="26" s="1"/>
  <c r="AY123" i="26" s="1"/>
  <c r="H124" i="26"/>
  <c r="Z190" i="28"/>
  <c r="Y190" i="28"/>
  <c r="AG190" i="28" s="1"/>
  <c r="AF191" i="28" s="1"/>
  <c r="AW116" i="24"/>
  <c r="AX116" i="24" s="1"/>
  <c r="AY116" i="24" s="1"/>
  <c r="G162" i="25"/>
  <c r="K162" i="25" s="1"/>
  <c r="H162" i="25"/>
  <c r="J163" i="25"/>
  <c r="AO159" i="25"/>
  <c r="AM159" i="25"/>
  <c r="AN159" i="25" s="1"/>
  <c r="AT171" i="24"/>
  <c r="H117" i="24"/>
  <c r="H117" i="15"/>
  <c r="Q159" i="25"/>
  <c r="AU105" i="19"/>
  <c r="AS105" i="19"/>
  <c r="F106" i="19"/>
  <c r="J107" i="19" s="1"/>
  <c r="AW119" i="17"/>
  <c r="AX119" i="17" s="1"/>
  <c r="AY119" i="17" s="1"/>
  <c r="H120" i="17"/>
  <c r="AO120" i="17" s="1"/>
  <c r="G120" i="17"/>
  <c r="AL120" i="17" s="1"/>
  <c r="AM120" i="17" s="1"/>
  <c r="AN120" i="17" s="1"/>
  <c r="AW77" i="16"/>
  <c r="AX77" i="16" s="1"/>
  <c r="AY77" i="16" s="1"/>
  <c r="Z214" i="17"/>
  <c r="Y214" i="17"/>
  <c r="AC214" i="17" s="1"/>
  <c r="X215" i="17" s="1"/>
  <c r="AG213" i="17"/>
  <c r="AF214" i="17" s="1"/>
  <c r="AG232" i="19"/>
  <c r="AF233" i="19" s="1"/>
  <c r="Y233" i="19"/>
  <c r="AC233" i="19" s="1"/>
  <c r="X234" i="19" s="1"/>
  <c r="Z233" i="19"/>
  <c r="Z91" i="16"/>
  <c r="Y91" i="16"/>
  <c r="AC91" i="16" s="1"/>
  <c r="X92" i="16" s="1"/>
  <c r="AG90" i="16"/>
  <c r="AF91" i="16" s="1"/>
  <c r="S94" i="16"/>
  <c r="W94" i="16" s="1"/>
  <c r="R95" i="16" s="1"/>
  <c r="T94" i="16"/>
  <c r="M78" i="16"/>
  <c r="Q78" i="16" s="1"/>
  <c r="L79" i="16" s="1"/>
  <c r="P79" i="16"/>
  <c r="N78" i="16"/>
  <c r="AT93" i="16"/>
  <c r="AE93" i="16"/>
  <c r="AD94" i="16" s="1"/>
  <c r="G81" i="16"/>
  <c r="H81" i="16"/>
  <c r="J82" i="16"/>
  <c r="AW151" i="18"/>
  <c r="AX151" i="18" s="1"/>
  <c r="AY151" i="18" s="1"/>
  <c r="G152" i="18"/>
  <c r="AR152" i="18" s="1"/>
  <c r="AT187" i="29" l="1"/>
  <c r="AP127" i="28"/>
  <c r="AO127" i="28"/>
  <c r="AL127" i="28"/>
  <c r="AM127" i="28" s="1"/>
  <c r="AN127" i="28" s="1"/>
  <c r="K127" i="28"/>
  <c r="O128" i="28"/>
  <c r="M128" i="28"/>
  <c r="N128" i="28"/>
  <c r="P129" i="28"/>
  <c r="M132" i="29"/>
  <c r="O132" i="29"/>
  <c r="N132" i="29"/>
  <c r="P133" i="29"/>
  <c r="P189" i="24"/>
  <c r="M190" i="24" s="1"/>
  <c r="K171" i="24"/>
  <c r="T171" i="24" s="1"/>
  <c r="S172" i="24" s="1"/>
  <c r="J171" i="24"/>
  <c r="Y197" i="25"/>
  <c r="Z197" i="25"/>
  <c r="Z186" i="29"/>
  <c r="Y186" i="29"/>
  <c r="AG186" i="29" s="1"/>
  <c r="AF187" i="29" s="1"/>
  <c r="AM131" i="29"/>
  <c r="AN131" i="29" s="1"/>
  <c r="AI131" i="29"/>
  <c r="AO131" i="29"/>
  <c r="K131" i="29"/>
  <c r="F125" i="26"/>
  <c r="AL124" i="26"/>
  <c r="AI124" i="26"/>
  <c r="AC190" i="28"/>
  <c r="X191" i="28" s="1"/>
  <c r="AB191" i="28" s="1"/>
  <c r="F163" i="25"/>
  <c r="AI159" i="25"/>
  <c r="AQ159" i="25"/>
  <c r="AU159" i="25"/>
  <c r="AS159" i="25"/>
  <c r="L160" i="25"/>
  <c r="F118" i="24"/>
  <c r="AL117" i="24"/>
  <c r="AM117" i="24" s="1"/>
  <c r="AI117" i="24"/>
  <c r="AJ117" i="24" s="1"/>
  <c r="F118" i="15"/>
  <c r="AI117" i="15"/>
  <c r="AJ117" i="15" s="1"/>
  <c r="AK117" i="15" s="1"/>
  <c r="AL117" i="15"/>
  <c r="AM117" i="15" s="1"/>
  <c r="AN117" i="15" s="1"/>
  <c r="AW105" i="19"/>
  <c r="AX105" i="19" s="1"/>
  <c r="AY105" i="19" s="1"/>
  <c r="H106" i="19"/>
  <c r="AP106" i="19" s="1"/>
  <c r="G106" i="19"/>
  <c r="AI106" i="19" s="1"/>
  <c r="AJ106" i="19" s="1"/>
  <c r="AK106" i="19" s="1"/>
  <c r="AP120" i="17"/>
  <c r="AI120" i="17"/>
  <c r="AJ120" i="17" s="1"/>
  <c r="AK120" i="17" s="1"/>
  <c r="K120" i="17"/>
  <c r="F121" i="17" s="1"/>
  <c r="G121" i="17" s="1"/>
  <c r="AI121" i="17" s="1"/>
  <c r="AJ121" i="17" s="1"/>
  <c r="AK121" i="17" s="1"/>
  <c r="AG214" i="17"/>
  <c r="AF215" i="17" s="1"/>
  <c r="Y215" i="17"/>
  <c r="Z215" i="17"/>
  <c r="AG233" i="19"/>
  <c r="AF234" i="19" s="1"/>
  <c r="Z234" i="19"/>
  <c r="Y234" i="19"/>
  <c r="AC234" i="19" s="1"/>
  <c r="Y92" i="16"/>
  <c r="AC92" i="16" s="1"/>
  <c r="X93" i="16" s="1"/>
  <c r="Z92" i="16"/>
  <c r="AG91" i="16"/>
  <c r="AF92" i="16" s="1"/>
  <c r="AL78" i="16"/>
  <c r="AM78" i="16" s="1"/>
  <c r="AN78" i="16" s="1"/>
  <c r="AU78" i="16"/>
  <c r="AI78" i="16"/>
  <c r="AJ78" i="16" s="1"/>
  <c r="AK78" i="16" s="1"/>
  <c r="AQ78" i="16"/>
  <c r="M79" i="16"/>
  <c r="Q79" i="16" s="1"/>
  <c r="L80" i="16" s="1"/>
  <c r="P80" i="16"/>
  <c r="N79" i="16"/>
  <c r="AS78" i="16"/>
  <c r="AO78" i="16"/>
  <c r="AP78" i="16"/>
  <c r="AE94" i="16"/>
  <c r="AD95" i="16" s="1"/>
  <c r="AT94" i="16"/>
  <c r="S95" i="16"/>
  <c r="W95" i="16" s="1"/>
  <c r="R96" i="16" s="1"/>
  <c r="T95" i="16"/>
  <c r="K81" i="16"/>
  <c r="H152" i="18"/>
  <c r="F128" i="28" l="1"/>
  <c r="AQ127" i="28"/>
  <c r="AS127" i="28"/>
  <c r="AU127" i="28"/>
  <c r="L171" i="24"/>
  <c r="I172" i="24" s="1"/>
  <c r="AC197" i="25"/>
  <c r="X198" i="25" s="1"/>
  <c r="AG197" i="25"/>
  <c r="AF198" i="25" s="1"/>
  <c r="R171" i="24"/>
  <c r="Q172" i="24" s="1"/>
  <c r="AT172" i="24" s="1"/>
  <c r="O190" i="24"/>
  <c r="N190" i="24"/>
  <c r="AC186" i="29"/>
  <c r="X187" i="29" s="1"/>
  <c r="AA187" i="29" s="1"/>
  <c r="AE187" i="29" s="1"/>
  <c r="AD188" i="29" s="1"/>
  <c r="F132" i="29"/>
  <c r="I132" i="29" s="1"/>
  <c r="AR132" i="29" s="1"/>
  <c r="AS131" i="29"/>
  <c r="AU131" i="29"/>
  <c r="AQ131" i="29"/>
  <c r="AJ131" i="29"/>
  <c r="AK131" i="29" s="1"/>
  <c r="G125" i="26"/>
  <c r="AR125" i="26" s="1"/>
  <c r="AJ124" i="26"/>
  <c r="AK124" i="26" s="1"/>
  <c r="AM124" i="26"/>
  <c r="AN124" i="26" s="1"/>
  <c r="AW117" i="15"/>
  <c r="AX117" i="15" s="1"/>
  <c r="AY117" i="15" s="1"/>
  <c r="Z191" i="28"/>
  <c r="Y191" i="28"/>
  <c r="AG191" i="28" s="1"/>
  <c r="AF192" i="28" s="1"/>
  <c r="G163" i="25"/>
  <c r="K163" i="25" s="1"/>
  <c r="J164" i="25"/>
  <c r="H163" i="25"/>
  <c r="N160" i="25"/>
  <c r="AP160" i="25" s="1"/>
  <c r="P161" i="25"/>
  <c r="AJ159" i="25"/>
  <c r="AK159" i="25" s="1"/>
  <c r="AW159" i="25" s="1"/>
  <c r="AX159" i="25" s="1"/>
  <c r="AY159" i="25" s="1"/>
  <c r="AK117" i="24"/>
  <c r="AN117" i="24"/>
  <c r="G118" i="24"/>
  <c r="AR118" i="24" s="1"/>
  <c r="G118" i="15"/>
  <c r="AR118" i="15" s="1"/>
  <c r="M160" i="25"/>
  <c r="AL160" i="25" s="1"/>
  <c r="AO106" i="19"/>
  <c r="AL106" i="19"/>
  <c r="AM106" i="19" s="1"/>
  <c r="AN106" i="19" s="1"/>
  <c r="K106" i="19"/>
  <c r="AS106" i="19" s="1"/>
  <c r="AS120" i="17"/>
  <c r="H121" i="17"/>
  <c r="AO121" i="17" s="1"/>
  <c r="J122" i="17"/>
  <c r="AU120" i="17"/>
  <c r="AQ120" i="17"/>
  <c r="AG215" i="17"/>
  <c r="AF216" i="17" s="1"/>
  <c r="AC215" i="17"/>
  <c r="X216" i="17" s="1"/>
  <c r="Y216" i="17" s="1"/>
  <c r="AL121" i="17"/>
  <c r="AM121" i="17" s="1"/>
  <c r="AN121" i="17" s="1"/>
  <c r="K121" i="17"/>
  <c r="AG234" i="19"/>
  <c r="AI79" i="16"/>
  <c r="AJ79" i="16" s="1"/>
  <c r="AK79" i="16" s="1"/>
  <c r="AL79" i="16"/>
  <c r="AM79" i="16" s="1"/>
  <c r="AN79" i="16" s="1"/>
  <c r="AG92" i="16"/>
  <c r="AF93" i="16" s="1"/>
  <c r="Z93" i="16"/>
  <c r="Y93" i="16"/>
  <c r="AC93" i="16" s="1"/>
  <c r="X94" i="16" s="1"/>
  <c r="AQ79" i="16"/>
  <c r="AW78" i="16"/>
  <c r="AX78" i="16" s="1"/>
  <c r="AY78" i="16" s="1"/>
  <c r="AS79" i="16"/>
  <c r="AU79" i="16"/>
  <c r="T96" i="16"/>
  <c r="S96" i="16"/>
  <c r="W96" i="16" s="1"/>
  <c r="R97" i="16" s="1"/>
  <c r="AO79" i="16"/>
  <c r="AP79" i="16"/>
  <c r="AT95" i="16"/>
  <c r="AE95" i="16"/>
  <c r="AD96" i="16" s="1"/>
  <c r="N80" i="16"/>
  <c r="M80" i="16"/>
  <c r="Q80" i="16" s="1"/>
  <c r="L81" i="16" s="1"/>
  <c r="P81" i="16"/>
  <c r="F82" i="16"/>
  <c r="F153" i="18"/>
  <c r="AI152" i="18"/>
  <c r="AJ152" i="18" s="1"/>
  <c r="AK152" i="18" s="1"/>
  <c r="AL152" i="18"/>
  <c r="AM152" i="18" s="1"/>
  <c r="AN152" i="18" s="1"/>
  <c r="Q132" i="29" l="1"/>
  <c r="L133" i="29" s="1"/>
  <c r="M133" i="29" s="1"/>
  <c r="AW127" i="28"/>
  <c r="AX127" i="28" s="1"/>
  <c r="AY127" i="28" s="1"/>
  <c r="O133" i="29"/>
  <c r="AT188" i="29"/>
  <c r="I128" i="28"/>
  <c r="Q128" i="28" s="1"/>
  <c r="L129" i="28" s="1"/>
  <c r="G128" i="28"/>
  <c r="AI128" i="28" s="1"/>
  <c r="AJ128" i="28" s="1"/>
  <c r="AK128" i="28" s="1"/>
  <c r="H128" i="28"/>
  <c r="J129" i="28"/>
  <c r="P190" i="24"/>
  <c r="M191" i="24" s="1"/>
  <c r="Z198" i="25"/>
  <c r="Y198" i="25"/>
  <c r="AC198" i="25" s="1"/>
  <c r="X199" i="25" s="1"/>
  <c r="K172" i="24"/>
  <c r="R172" i="24" s="1"/>
  <c r="Q173" i="24" s="1"/>
  <c r="J172" i="24"/>
  <c r="Z187" i="29"/>
  <c r="Y187" i="29"/>
  <c r="AG187" i="29" s="1"/>
  <c r="AF188" i="29" s="1"/>
  <c r="AW131" i="29"/>
  <c r="AX131" i="29" s="1"/>
  <c r="AY131" i="29" s="1"/>
  <c r="H132" i="29"/>
  <c r="AP132" i="29" s="1"/>
  <c r="J133" i="29"/>
  <c r="G132" i="29"/>
  <c r="K132" i="29" s="1"/>
  <c r="F133" i="29" s="1"/>
  <c r="I133" i="29" s="1"/>
  <c r="AR133" i="29" s="1"/>
  <c r="AW124" i="26"/>
  <c r="AX124" i="26" s="1"/>
  <c r="AY124" i="26" s="1"/>
  <c r="H125" i="26"/>
  <c r="AC191" i="28"/>
  <c r="X192" i="28" s="1"/>
  <c r="AB192" i="28" s="1"/>
  <c r="F164" i="25"/>
  <c r="AO160" i="25"/>
  <c r="AW117" i="24"/>
  <c r="AX117" i="24" s="1"/>
  <c r="AY117" i="24" s="1"/>
  <c r="AM160" i="25"/>
  <c r="AN160" i="25" s="1"/>
  <c r="H118" i="24"/>
  <c r="H118" i="15"/>
  <c r="Q160" i="25"/>
  <c r="AQ106" i="19"/>
  <c r="F107" i="19"/>
  <c r="AU106" i="19"/>
  <c r="AP121" i="17"/>
  <c r="AW120" i="17"/>
  <c r="AX120" i="17" s="1"/>
  <c r="AY120" i="17" s="1"/>
  <c r="Z216" i="17"/>
  <c r="AG216" i="17"/>
  <c r="AF217" i="17" s="1"/>
  <c r="AC216" i="17"/>
  <c r="X217" i="17" s="1"/>
  <c r="F122" i="17"/>
  <c r="AU121" i="17"/>
  <c r="AS121" i="17"/>
  <c r="AQ121" i="17"/>
  <c r="AW79" i="16"/>
  <c r="AX79" i="16" s="1"/>
  <c r="AY79" i="16" s="1"/>
  <c r="AS80" i="16"/>
  <c r="Z94" i="16"/>
  <c r="Y94" i="16"/>
  <c r="AC94" i="16" s="1"/>
  <c r="X95" i="16" s="1"/>
  <c r="AG93" i="16"/>
  <c r="AF94" i="16" s="1"/>
  <c r="AI80" i="16"/>
  <c r="AJ80" i="16" s="1"/>
  <c r="AK80" i="16" s="1"/>
  <c r="AU80" i="16"/>
  <c r="AL80" i="16"/>
  <c r="AM80" i="16" s="1"/>
  <c r="AN80" i="16" s="1"/>
  <c r="AP80" i="16"/>
  <c r="AO80" i="16"/>
  <c r="AT96" i="16"/>
  <c r="AE96" i="16"/>
  <c r="AD97" i="16" s="1"/>
  <c r="N81" i="16"/>
  <c r="P82" i="16"/>
  <c r="M81" i="16"/>
  <c r="Q81" i="16" s="1"/>
  <c r="AQ80" i="16"/>
  <c r="S97" i="16"/>
  <c r="W97" i="16" s="1"/>
  <c r="R98" i="16" s="1"/>
  <c r="T97" i="16"/>
  <c r="J83" i="16"/>
  <c r="G82" i="16"/>
  <c r="K82" i="16" s="1"/>
  <c r="H82" i="16"/>
  <c r="G153" i="18"/>
  <c r="AR153" i="18" s="1"/>
  <c r="AW152" i="18"/>
  <c r="AX152" i="18" s="1"/>
  <c r="AY152" i="18" s="1"/>
  <c r="N133" i="29" l="1"/>
  <c r="P134" i="29"/>
  <c r="Q133" i="29"/>
  <c r="L134" i="29" s="1"/>
  <c r="P135" i="29" s="1"/>
  <c r="O129" i="28"/>
  <c r="M129" i="28"/>
  <c r="N129" i="28"/>
  <c r="P130" i="28"/>
  <c r="AP128" i="28"/>
  <c r="AO128" i="28"/>
  <c r="K128" i="28"/>
  <c r="AL128" i="28"/>
  <c r="L172" i="24"/>
  <c r="I173" i="24" s="1"/>
  <c r="Z199" i="25"/>
  <c r="Y199" i="25"/>
  <c r="AC199" i="25" s="1"/>
  <c r="X200" i="25" s="1"/>
  <c r="O191" i="24"/>
  <c r="N191" i="24"/>
  <c r="AG198" i="25"/>
  <c r="AF199" i="25" s="1"/>
  <c r="T172" i="24"/>
  <c r="S173" i="24" s="1"/>
  <c r="AC187" i="29"/>
  <c r="X188" i="29" s="1"/>
  <c r="AA188" i="29" s="1"/>
  <c r="AE188" i="29" s="1"/>
  <c r="AD189" i="29" s="1"/>
  <c r="AU132" i="29"/>
  <c r="AS132" i="29"/>
  <c r="AO132" i="29"/>
  <c r="AQ132" i="29"/>
  <c r="J134" i="29"/>
  <c r="H133" i="29"/>
  <c r="G133" i="29"/>
  <c r="K133" i="29" s="1"/>
  <c r="AI132" i="29"/>
  <c r="AL132" i="29"/>
  <c r="F126" i="26"/>
  <c r="AI125" i="26"/>
  <c r="AJ125" i="26" s="1"/>
  <c r="AK125" i="26" s="1"/>
  <c r="AL125" i="26"/>
  <c r="AM125" i="26" s="1"/>
  <c r="AN125" i="26" s="1"/>
  <c r="Z192" i="28"/>
  <c r="Y192" i="28"/>
  <c r="AG192" i="28" s="1"/>
  <c r="AF193" i="28" s="1"/>
  <c r="G164" i="25"/>
  <c r="K164" i="25" s="1"/>
  <c r="J165" i="25"/>
  <c r="H164" i="25"/>
  <c r="AS160" i="25"/>
  <c r="AU160" i="25"/>
  <c r="AI160" i="25"/>
  <c r="AQ160" i="25"/>
  <c r="L161" i="25"/>
  <c r="AT173" i="24"/>
  <c r="F119" i="24"/>
  <c r="AI118" i="24"/>
  <c r="AJ118" i="24" s="1"/>
  <c r="AL118" i="24"/>
  <c r="AM118" i="24" s="1"/>
  <c r="F119" i="15"/>
  <c r="AL118" i="15"/>
  <c r="AM118" i="15" s="1"/>
  <c r="AN118" i="15" s="1"/>
  <c r="AI118" i="15"/>
  <c r="AJ118" i="15" s="1"/>
  <c r="AK118" i="15" s="1"/>
  <c r="AW106" i="19"/>
  <c r="AX106" i="19" s="1"/>
  <c r="AY106" i="19" s="1"/>
  <c r="H107" i="19"/>
  <c r="G107" i="19"/>
  <c r="J108" i="19"/>
  <c r="AW121" i="17"/>
  <c r="AX121" i="17" s="1"/>
  <c r="AY121" i="17" s="1"/>
  <c r="Y217" i="17"/>
  <c r="AG217" i="17" s="1"/>
  <c r="AF218" i="17" s="1"/>
  <c r="Z217" i="17"/>
  <c r="G122" i="17"/>
  <c r="AL122" i="17" s="1"/>
  <c r="AM122" i="17" s="1"/>
  <c r="AN122" i="17" s="1"/>
  <c r="H122" i="17"/>
  <c r="J123" i="17"/>
  <c r="Y95" i="16"/>
  <c r="AC95" i="16" s="1"/>
  <c r="X96" i="16" s="1"/>
  <c r="Z95" i="16"/>
  <c r="AG94" i="16"/>
  <c r="AF95" i="16" s="1"/>
  <c r="AW80" i="16"/>
  <c r="AX80" i="16" s="1"/>
  <c r="AY80" i="16" s="1"/>
  <c r="AL81" i="16"/>
  <c r="AM81" i="16" s="1"/>
  <c r="AN81" i="16" s="1"/>
  <c r="S98" i="16"/>
  <c r="W98" i="16" s="1"/>
  <c r="R99" i="16" s="1"/>
  <c r="T98" i="16"/>
  <c r="L82" i="16"/>
  <c r="AU81" i="16"/>
  <c r="AQ81" i="16"/>
  <c r="AI81" i="16"/>
  <c r="AJ81" i="16" s="1"/>
  <c r="AK81" i="16" s="1"/>
  <c r="AS81" i="16"/>
  <c r="AE97" i="16"/>
  <c r="AD98" i="16" s="1"/>
  <c r="AT97" i="16"/>
  <c r="AO81" i="16"/>
  <c r="AP81" i="16"/>
  <c r="F83" i="16"/>
  <c r="H153" i="18"/>
  <c r="AP133" i="29" l="1"/>
  <c r="O134" i="29"/>
  <c r="M134" i="29"/>
  <c r="N134" i="29"/>
  <c r="AT189" i="29"/>
  <c r="F129" i="28"/>
  <c r="AS128" i="28"/>
  <c r="AU128" i="28"/>
  <c r="AQ128" i="28"/>
  <c r="AM128" i="28"/>
  <c r="AN128" i="28" s="1"/>
  <c r="P191" i="24"/>
  <c r="M192" i="24" s="1"/>
  <c r="AG199" i="25"/>
  <c r="AF200" i="25" s="1"/>
  <c r="Z200" i="25"/>
  <c r="Y200" i="25"/>
  <c r="AC200" i="25" s="1"/>
  <c r="X201" i="25" s="1"/>
  <c r="K173" i="24"/>
  <c r="T173" i="24" s="1"/>
  <c r="S174" i="24" s="1"/>
  <c r="J173" i="24"/>
  <c r="Z188" i="29"/>
  <c r="Y188" i="29"/>
  <c r="AG188" i="29" s="1"/>
  <c r="AF189" i="29" s="1"/>
  <c r="F134" i="29"/>
  <c r="I134" i="29" s="1"/>
  <c r="AR134" i="29" s="1"/>
  <c r="AU133" i="29"/>
  <c r="AS133" i="29"/>
  <c r="AQ133" i="29"/>
  <c r="AO133" i="29"/>
  <c r="AL133" i="29"/>
  <c r="AI133" i="29"/>
  <c r="AJ132" i="29"/>
  <c r="AK132" i="29" s="1"/>
  <c r="AM132" i="29"/>
  <c r="AN132" i="29" s="1"/>
  <c r="AW125" i="26"/>
  <c r="AX125" i="26" s="1"/>
  <c r="AY125" i="26" s="1"/>
  <c r="G126" i="26"/>
  <c r="AR126" i="26" s="1"/>
  <c r="AC192" i="28"/>
  <c r="X193" i="28" s="1"/>
  <c r="AB193" i="28" s="1"/>
  <c r="F165" i="25"/>
  <c r="P162" i="25"/>
  <c r="N161" i="25"/>
  <c r="AP161" i="25" s="1"/>
  <c r="AJ160" i="25"/>
  <c r="AK160" i="25" s="1"/>
  <c r="AW160" i="25" s="1"/>
  <c r="AX160" i="25" s="1"/>
  <c r="AY160" i="25" s="1"/>
  <c r="AK118" i="24"/>
  <c r="AN118" i="24"/>
  <c r="AW118" i="15"/>
  <c r="AX118" i="15" s="1"/>
  <c r="AY118" i="15" s="1"/>
  <c r="G119" i="24"/>
  <c r="AR119" i="24" s="1"/>
  <c r="G119" i="15"/>
  <c r="AR119" i="15" s="1"/>
  <c r="M161" i="25"/>
  <c r="Q161" i="25" s="1"/>
  <c r="L162" i="25" s="1"/>
  <c r="K107" i="19"/>
  <c r="AL107" i="19"/>
  <c r="AM107" i="19" s="1"/>
  <c r="AN107" i="19" s="1"/>
  <c r="AI107" i="19"/>
  <c r="AJ107" i="19" s="1"/>
  <c r="AK107" i="19" s="1"/>
  <c r="AP107" i="19"/>
  <c r="AO107" i="19"/>
  <c r="AI122" i="17"/>
  <c r="AJ122" i="17" s="1"/>
  <c r="AK122" i="17" s="1"/>
  <c r="AC217" i="17"/>
  <c r="X218" i="17" s="1"/>
  <c r="Y218" i="17" s="1"/>
  <c r="AG218" i="17" s="1"/>
  <c r="AF219" i="17" s="1"/>
  <c r="K122" i="17"/>
  <c r="F123" i="17" s="1"/>
  <c r="G123" i="17" s="1"/>
  <c r="AI123" i="17" s="1"/>
  <c r="AJ123" i="17" s="1"/>
  <c r="AK123" i="17" s="1"/>
  <c r="AO122" i="17"/>
  <c r="AP122" i="17"/>
  <c r="AG95" i="16"/>
  <c r="AF96" i="16" s="1"/>
  <c r="Y96" i="16"/>
  <c r="AC96" i="16" s="1"/>
  <c r="X97" i="16" s="1"/>
  <c r="Z96" i="16"/>
  <c r="AT98" i="16"/>
  <c r="AE98" i="16"/>
  <c r="AD99" i="16" s="1"/>
  <c r="S99" i="16"/>
  <c r="W99" i="16" s="1"/>
  <c r="R100" i="16" s="1"/>
  <c r="T99" i="16"/>
  <c r="AW81" i="16"/>
  <c r="AX81" i="16" s="1"/>
  <c r="AY81" i="16" s="1"/>
  <c r="P83" i="16"/>
  <c r="N82" i="16"/>
  <c r="M82" i="16"/>
  <c r="Q82" i="16" s="1"/>
  <c r="AI82" i="16" s="1"/>
  <c r="AJ82" i="16" s="1"/>
  <c r="AK82" i="16" s="1"/>
  <c r="H83" i="16"/>
  <c r="J84" i="16"/>
  <c r="G83" i="16"/>
  <c r="K83" i="16" s="1"/>
  <c r="F84" i="16" s="1"/>
  <c r="F154" i="18"/>
  <c r="AI153" i="18"/>
  <c r="AJ153" i="18" s="1"/>
  <c r="AK153" i="18" s="1"/>
  <c r="AL153" i="18"/>
  <c r="AW128" i="28" l="1"/>
  <c r="AX128" i="28" s="1"/>
  <c r="AY128" i="28" s="1"/>
  <c r="Q134" i="29"/>
  <c r="L135" i="29" s="1"/>
  <c r="I129" i="28"/>
  <c r="Q129" i="28" s="1"/>
  <c r="L130" i="28" s="1"/>
  <c r="G129" i="28"/>
  <c r="AL129" i="28" s="1"/>
  <c r="AM129" i="28" s="1"/>
  <c r="AN129" i="28" s="1"/>
  <c r="J130" i="28"/>
  <c r="H129" i="28"/>
  <c r="AG200" i="25"/>
  <c r="AF201" i="25" s="1"/>
  <c r="L173" i="24"/>
  <c r="I174" i="24" s="1"/>
  <c r="J174" i="24" s="1"/>
  <c r="Y201" i="25"/>
  <c r="AC201" i="25" s="1"/>
  <c r="X202" i="25" s="1"/>
  <c r="Z201" i="25"/>
  <c r="O192" i="24"/>
  <c r="N192" i="24"/>
  <c r="R173" i="24"/>
  <c r="Q174" i="24" s="1"/>
  <c r="AT174" i="24" s="1"/>
  <c r="AC188" i="29"/>
  <c r="X189" i="29" s="1"/>
  <c r="AA189" i="29" s="1"/>
  <c r="AE189" i="29" s="1"/>
  <c r="AD190" i="29" s="1"/>
  <c r="J135" i="29"/>
  <c r="H134" i="29"/>
  <c r="AP134" i="29" s="1"/>
  <c r="G134" i="29"/>
  <c r="AL134" i="29" s="1"/>
  <c r="AM133" i="29"/>
  <c r="AN133" i="29" s="1"/>
  <c r="AJ133" i="29"/>
  <c r="AK133" i="29" s="1"/>
  <c r="AW132" i="29"/>
  <c r="AX132" i="29" s="1"/>
  <c r="AY132" i="29" s="1"/>
  <c r="H126" i="26"/>
  <c r="Z193" i="28"/>
  <c r="Y193" i="28"/>
  <c r="AG193" i="28" s="1"/>
  <c r="AF194" i="28" s="1"/>
  <c r="AW118" i="24"/>
  <c r="AX118" i="24" s="1"/>
  <c r="AY118" i="24" s="1"/>
  <c r="AO161" i="25"/>
  <c r="G165" i="25"/>
  <c r="K165" i="25" s="1"/>
  <c r="H165" i="25"/>
  <c r="J166" i="25"/>
  <c r="AL161" i="25"/>
  <c r="AS161" i="25"/>
  <c r="AQ161" i="25"/>
  <c r="AI161" i="25"/>
  <c r="AU161" i="25"/>
  <c r="N162" i="25"/>
  <c r="AP162" i="25" s="1"/>
  <c r="P163" i="25"/>
  <c r="H119" i="24"/>
  <c r="H119" i="15"/>
  <c r="M162" i="25"/>
  <c r="AL162" i="25" s="1"/>
  <c r="AU107" i="19"/>
  <c r="AQ107" i="19"/>
  <c r="AS107" i="19"/>
  <c r="F108" i="19"/>
  <c r="J124" i="17"/>
  <c r="Z218" i="17"/>
  <c r="AS122" i="17"/>
  <c r="AQ122" i="17"/>
  <c r="AU122" i="17"/>
  <c r="H123" i="17"/>
  <c r="AP123" i="17" s="1"/>
  <c r="AC218" i="17"/>
  <c r="X219" i="17" s="1"/>
  <c r="K123" i="17"/>
  <c r="AU123" i="17" s="1"/>
  <c r="AL123" i="17"/>
  <c r="AM123" i="17" s="1"/>
  <c r="AN123" i="17" s="1"/>
  <c r="Y97" i="16"/>
  <c r="AC97" i="16" s="1"/>
  <c r="X98" i="16" s="1"/>
  <c r="Z97" i="16"/>
  <c r="AG96" i="16"/>
  <c r="AF97" i="16" s="1"/>
  <c r="AT99" i="16"/>
  <c r="AE99" i="16"/>
  <c r="AD100" i="16" s="1"/>
  <c r="L83" i="16"/>
  <c r="AS82" i="16"/>
  <c r="AU82" i="16"/>
  <c r="AP82" i="16"/>
  <c r="AO82" i="16"/>
  <c r="AL82" i="16"/>
  <c r="AM82" i="16" s="1"/>
  <c r="AN82" i="16" s="1"/>
  <c r="T100" i="16"/>
  <c r="S100" i="16"/>
  <c r="W100" i="16" s="1"/>
  <c r="R101" i="16" s="1"/>
  <c r="AQ82" i="16"/>
  <c r="H84" i="16"/>
  <c r="G84" i="16"/>
  <c r="J85" i="16"/>
  <c r="AM153" i="18"/>
  <c r="AN153" i="18" s="1"/>
  <c r="AW153" i="18" s="1"/>
  <c r="AX153" i="18" s="1"/>
  <c r="AY153" i="18" s="1"/>
  <c r="G154" i="18"/>
  <c r="AR154" i="18" s="1"/>
  <c r="O135" i="29" l="1"/>
  <c r="M135" i="29"/>
  <c r="P136" i="29"/>
  <c r="N135" i="29"/>
  <c r="AP129" i="28"/>
  <c r="AO129" i="28"/>
  <c r="K129" i="28"/>
  <c r="AI129" i="28"/>
  <c r="AJ129" i="28" s="1"/>
  <c r="AK129" i="28" s="1"/>
  <c r="O130" i="28"/>
  <c r="M130" i="28"/>
  <c r="N130" i="28"/>
  <c r="P131" i="28"/>
  <c r="AT190" i="29"/>
  <c r="K174" i="24"/>
  <c r="T174" i="24" s="1"/>
  <c r="S175" i="24" s="1"/>
  <c r="P192" i="24"/>
  <c r="M193" i="24" s="1"/>
  <c r="Y202" i="25"/>
  <c r="Z202" i="25"/>
  <c r="AG201" i="25"/>
  <c r="AF202" i="25" s="1"/>
  <c r="Z189" i="29"/>
  <c r="Y189" i="29"/>
  <c r="AG189" i="29" s="1"/>
  <c r="AF190" i="29" s="1"/>
  <c r="AM134" i="29"/>
  <c r="AN134" i="29" s="1"/>
  <c r="K134" i="29"/>
  <c r="AI134" i="29"/>
  <c r="AW133" i="29"/>
  <c r="AX133" i="29" s="1"/>
  <c r="AY133" i="29" s="1"/>
  <c r="AO134" i="29"/>
  <c r="F127" i="26"/>
  <c r="AL126" i="26"/>
  <c r="AI126" i="26"/>
  <c r="AC193" i="28"/>
  <c r="X194" i="28" s="1"/>
  <c r="AB194" i="28" s="1"/>
  <c r="F166" i="25"/>
  <c r="AO162" i="25"/>
  <c r="AM162" i="25"/>
  <c r="AN162" i="25" s="1"/>
  <c r="AJ161" i="25"/>
  <c r="AK161" i="25" s="1"/>
  <c r="AM161" i="25"/>
  <c r="AN161" i="25" s="1"/>
  <c r="F120" i="24"/>
  <c r="AL119" i="24"/>
  <c r="AM119" i="24" s="1"/>
  <c r="AI119" i="24"/>
  <c r="AJ119" i="24" s="1"/>
  <c r="F120" i="15"/>
  <c r="AI119" i="15"/>
  <c r="AJ119" i="15" s="1"/>
  <c r="AK119" i="15" s="1"/>
  <c r="AL119" i="15"/>
  <c r="AM119" i="15" s="1"/>
  <c r="AN119" i="15" s="1"/>
  <c r="Q162" i="25"/>
  <c r="AW107" i="19"/>
  <c r="AX107" i="19" s="1"/>
  <c r="AY107" i="19" s="1"/>
  <c r="G108" i="19"/>
  <c r="K108" i="19" s="1"/>
  <c r="F109" i="19" s="1"/>
  <c r="J109" i="19"/>
  <c r="H108" i="19"/>
  <c r="AW122" i="17"/>
  <c r="AX122" i="17" s="1"/>
  <c r="AY122" i="17" s="1"/>
  <c r="AO123" i="17"/>
  <c r="Y219" i="17"/>
  <c r="Z219" i="17"/>
  <c r="AQ123" i="17"/>
  <c r="F124" i="17"/>
  <c r="AS123" i="17"/>
  <c r="AG97" i="16"/>
  <c r="AF98" i="16" s="1"/>
  <c r="Y98" i="16"/>
  <c r="AC98" i="16" s="1"/>
  <c r="X99" i="16" s="1"/>
  <c r="Z98" i="16"/>
  <c r="AW82" i="16"/>
  <c r="AX82" i="16" s="1"/>
  <c r="AY82" i="16" s="1"/>
  <c r="S101" i="16"/>
  <c r="W101" i="16" s="1"/>
  <c r="R102" i="16" s="1"/>
  <c r="T101" i="16"/>
  <c r="AT100" i="16"/>
  <c r="AE100" i="16"/>
  <c r="AD101" i="16" s="1"/>
  <c r="P84" i="16"/>
  <c r="M83" i="16"/>
  <c r="Q83" i="16" s="1"/>
  <c r="AQ83" i="16" s="1"/>
  <c r="N83" i="16"/>
  <c r="K84" i="16"/>
  <c r="H154" i="18"/>
  <c r="F130" i="28" l="1"/>
  <c r="AS129" i="28"/>
  <c r="AU129" i="28"/>
  <c r="AQ129" i="28"/>
  <c r="AG202" i="25"/>
  <c r="AF203" i="25" s="1"/>
  <c r="R174" i="24"/>
  <c r="Q175" i="24" s="1"/>
  <c r="AT175" i="24" s="1"/>
  <c r="L174" i="24"/>
  <c r="I175" i="24" s="1"/>
  <c r="K175" i="24" s="1"/>
  <c r="T175" i="24" s="1"/>
  <c r="S176" i="24" s="1"/>
  <c r="AC202" i="25"/>
  <c r="X203" i="25" s="1"/>
  <c r="O193" i="24"/>
  <c r="N193" i="24"/>
  <c r="AC189" i="29"/>
  <c r="X190" i="29" s="1"/>
  <c r="AA190" i="29" s="1"/>
  <c r="AE190" i="29" s="1"/>
  <c r="AD191" i="29" s="1"/>
  <c r="AJ134" i="29"/>
  <c r="AK134" i="29" s="1"/>
  <c r="F135" i="29"/>
  <c r="I135" i="29" s="1"/>
  <c r="AR135" i="29" s="1"/>
  <c r="AS134" i="29"/>
  <c r="AU134" i="29"/>
  <c r="AQ134" i="29"/>
  <c r="AW119" i="15"/>
  <c r="AX119" i="15" s="1"/>
  <c r="AY119" i="15" s="1"/>
  <c r="G127" i="26"/>
  <c r="AR127" i="26" s="1"/>
  <c r="AJ126" i="26"/>
  <c r="AK126" i="26" s="1"/>
  <c r="AM126" i="26"/>
  <c r="AN126" i="26" s="1"/>
  <c r="Z194" i="28"/>
  <c r="Y194" i="28"/>
  <c r="AG194" i="28" s="1"/>
  <c r="AF195" i="28" s="1"/>
  <c r="AW161" i="25"/>
  <c r="AX161" i="25" s="1"/>
  <c r="AY161" i="25" s="1"/>
  <c r="G166" i="25"/>
  <c r="K166" i="25" s="1"/>
  <c r="J167" i="25"/>
  <c r="H166" i="25"/>
  <c r="AI162" i="25"/>
  <c r="AQ162" i="25"/>
  <c r="AU162" i="25"/>
  <c r="AS162" i="25"/>
  <c r="L163" i="25"/>
  <c r="AK119" i="24"/>
  <c r="AN119" i="24"/>
  <c r="G120" i="24"/>
  <c r="AR120" i="24" s="1"/>
  <c r="G120" i="15"/>
  <c r="AR120" i="15" s="1"/>
  <c r="AQ108" i="19"/>
  <c r="AL108" i="19"/>
  <c r="AM108" i="19" s="1"/>
  <c r="AN108" i="19" s="1"/>
  <c r="AS108" i="19"/>
  <c r="AP108" i="19"/>
  <c r="AO108" i="19"/>
  <c r="AU108" i="19"/>
  <c r="AI108" i="19"/>
  <c r="AJ108" i="19" s="1"/>
  <c r="AK108" i="19" s="1"/>
  <c r="H109" i="19"/>
  <c r="J110" i="19"/>
  <c r="G109" i="19"/>
  <c r="AL109" i="19" s="1"/>
  <c r="AM109" i="19" s="1"/>
  <c r="AN109" i="19" s="1"/>
  <c r="AW123" i="17"/>
  <c r="AX123" i="17" s="1"/>
  <c r="AY123" i="17" s="1"/>
  <c r="AG219" i="17"/>
  <c r="AF220" i="17" s="1"/>
  <c r="AC219" i="17"/>
  <c r="X220" i="17" s="1"/>
  <c r="J125" i="17"/>
  <c r="H124" i="17"/>
  <c r="G124" i="17"/>
  <c r="AL124" i="17" s="1"/>
  <c r="AM124" i="17" s="1"/>
  <c r="AN124" i="17" s="1"/>
  <c r="Y99" i="16"/>
  <c r="AC99" i="16" s="1"/>
  <c r="X100" i="16" s="1"/>
  <c r="Z99" i="16"/>
  <c r="AG98" i="16"/>
  <c r="AF99" i="16" s="1"/>
  <c r="AL83" i="16"/>
  <c r="AM83" i="16" s="1"/>
  <c r="AN83" i="16" s="1"/>
  <c r="AS83" i="16"/>
  <c r="L84" i="16"/>
  <c r="AI83" i="16"/>
  <c r="AJ83" i="16" s="1"/>
  <c r="AK83" i="16" s="1"/>
  <c r="T102" i="16"/>
  <c r="S102" i="16"/>
  <c r="W102" i="16" s="1"/>
  <c r="R103" i="16" s="1"/>
  <c r="AU83" i="16"/>
  <c r="AT101" i="16"/>
  <c r="AE101" i="16"/>
  <c r="AD102" i="16" s="1"/>
  <c r="AP83" i="16"/>
  <c r="AO83" i="16"/>
  <c r="F85" i="16"/>
  <c r="F155" i="18"/>
  <c r="AL154" i="18"/>
  <c r="AM154" i="18" s="1"/>
  <c r="AN154" i="18" s="1"/>
  <c r="AI154" i="18"/>
  <c r="AJ154" i="18" s="1"/>
  <c r="AK154" i="18" s="1"/>
  <c r="Q135" i="29" l="1"/>
  <c r="L136" i="29" s="1"/>
  <c r="M136" i="29" s="1"/>
  <c r="AW129" i="28"/>
  <c r="AX129" i="28" s="1"/>
  <c r="AY129" i="28" s="1"/>
  <c r="O136" i="29"/>
  <c r="I130" i="28"/>
  <c r="Q130" i="28" s="1"/>
  <c r="L131" i="28" s="1"/>
  <c r="G130" i="28"/>
  <c r="AL130" i="28" s="1"/>
  <c r="AM130" i="28" s="1"/>
  <c r="AN130" i="28" s="1"/>
  <c r="H130" i="28"/>
  <c r="J131" i="28"/>
  <c r="AT191" i="29"/>
  <c r="J175" i="24"/>
  <c r="L175" i="24" s="1"/>
  <c r="I176" i="24" s="1"/>
  <c r="P193" i="24"/>
  <c r="M194" i="24" s="1"/>
  <c r="R175" i="24"/>
  <c r="Q176" i="24" s="1"/>
  <c r="AT176" i="24" s="1"/>
  <c r="Y203" i="25"/>
  <c r="AG203" i="25" s="1"/>
  <c r="AF204" i="25" s="1"/>
  <c r="Z203" i="25"/>
  <c r="AW126" i="26"/>
  <c r="AX126" i="26" s="1"/>
  <c r="AY126" i="26" s="1"/>
  <c r="Z190" i="29"/>
  <c r="Y190" i="29"/>
  <c r="AG190" i="29" s="1"/>
  <c r="AF191" i="29" s="1"/>
  <c r="AW134" i="29"/>
  <c r="AX134" i="29" s="1"/>
  <c r="AY134" i="29" s="1"/>
  <c r="H135" i="29"/>
  <c r="AP135" i="29" s="1"/>
  <c r="J136" i="29"/>
  <c r="G135" i="29"/>
  <c r="AI135" i="29" s="1"/>
  <c r="H127" i="26"/>
  <c r="AC194" i="28"/>
  <c r="F167" i="25"/>
  <c r="P164" i="25"/>
  <c r="N163" i="25"/>
  <c r="AP163" i="25" s="1"/>
  <c r="AJ162" i="25"/>
  <c r="AK162" i="25" s="1"/>
  <c r="AW162" i="25" s="1"/>
  <c r="AX162" i="25" s="1"/>
  <c r="AY162" i="25" s="1"/>
  <c r="AW119" i="24"/>
  <c r="AX119" i="24" s="1"/>
  <c r="AY119" i="24" s="1"/>
  <c r="H120" i="24"/>
  <c r="H120" i="15"/>
  <c r="M163" i="25"/>
  <c r="Q163" i="25" s="1"/>
  <c r="L164" i="25" s="1"/>
  <c r="AI109" i="19"/>
  <c r="AJ109" i="19" s="1"/>
  <c r="AK109" i="19" s="1"/>
  <c r="K109" i="19"/>
  <c r="AO109" i="19"/>
  <c r="AP109" i="19"/>
  <c r="AW108" i="19"/>
  <c r="AX108" i="19" s="1"/>
  <c r="AY108" i="19" s="1"/>
  <c r="Y220" i="17"/>
  <c r="AC220" i="17" s="1"/>
  <c r="X221" i="17" s="1"/>
  <c r="Z220" i="17"/>
  <c r="K124" i="17"/>
  <c r="AI124" i="17"/>
  <c r="AJ124" i="17" s="1"/>
  <c r="AK124" i="17" s="1"/>
  <c r="AO124" i="17"/>
  <c r="AP124" i="17"/>
  <c r="AG99" i="16"/>
  <c r="AF100" i="16" s="1"/>
  <c r="Y100" i="16"/>
  <c r="AC100" i="16" s="1"/>
  <c r="X101" i="16" s="1"/>
  <c r="Z100" i="16"/>
  <c r="T103" i="16"/>
  <c r="S103" i="16"/>
  <c r="W103" i="16" s="1"/>
  <c r="R104" i="16" s="1"/>
  <c r="AW83" i="16"/>
  <c r="AX83" i="16" s="1"/>
  <c r="AY83" i="16" s="1"/>
  <c r="AE102" i="16"/>
  <c r="AD103" i="16" s="1"/>
  <c r="AT102" i="16"/>
  <c r="N84" i="16"/>
  <c r="M84" i="16"/>
  <c r="Q84" i="16" s="1"/>
  <c r="P85" i="16"/>
  <c r="G85" i="16"/>
  <c r="H85" i="16"/>
  <c r="J86" i="16"/>
  <c r="AW154" i="18"/>
  <c r="AX154" i="18" s="1"/>
  <c r="AY154" i="18" s="1"/>
  <c r="G155" i="18"/>
  <c r="AR155" i="18" s="1"/>
  <c r="P137" i="29" l="1"/>
  <c r="N136" i="29"/>
  <c r="O131" i="28"/>
  <c r="N131" i="28"/>
  <c r="M131" i="28"/>
  <c r="P132" i="28"/>
  <c r="AP130" i="28"/>
  <c r="AO130" i="28"/>
  <c r="K130" i="28"/>
  <c r="AI130" i="28"/>
  <c r="O194" i="24"/>
  <c r="N194" i="24"/>
  <c r="AC203" i="25"/>
  <c r="X204" i="25" s="1"/>
  <c r="K176" i="24"/>
  <c r="R176" i="24" s="1"/>
  <c r="Q177" i="24" s="1"/>
  <c r="J176" i="24"/>
  <c r="AC190" i="29"/>
  <c r="X191" i="29" s="1"/>
  <c r="AA191" i="29" s="1"/>
  <c r="AE191" i="29" s="1"/>
  <c r="AD192" i="29" s="1"/>
  <c r="AO135" i="29"/>
  <c r="AJ135" i="29"/>
  <c r="AK135" i="29" s="1"/>
  <c r="AL135" i="29"/>
  <c r="K135" i="29"/>
  <c r="F128" i="26"/>
  <c r="G128" i="26" s="1"/>
  <c r="AR128" i="26" s="1"/>
  <c r="AI127" i="26"/>
  <c r="AJ127" i="26" s="1"/>
  <c r="AK127" i="26" s="1"/>
  <c r="AL127" i="26"/>
  <c r="AM127" i="26" s="1"/>
  <c r="AN127" i="26" s="1"/>
  <c r="X195" i="28"/>
  <c r="AB195" i="28" s="1"/>
  <c r="G167" i="25"/>
  <c r="K167" i="25" s="1"/>
  <c r="H167" i="25"/>
  <c r="J168" i="25"/>
  <c r="AL163" i="25"/>
  <c r="AQ163" i="25"/>
  <c r="AU163" i="25"/>
  <c r="AI163" i="25"/>
  <c r="AS163" i="25"/>
  <c r="AO163" i="25"/>
  <c r="P165" i="25"/>
  <c r="N164" i="25"/>
  <c r="AP164" i="25" s="1"/>
  <c r="F121" i="24"/>
  <c r="AL120" i="24"/>
  <c r="AM120" i="24" s="1"/>
  <c r="AI120" i="24"/>
  <c r="AJ120" i="24" s="1"/>
  <c r="F121" i="15"/>
  <c r="AL120" i="15"/>
  <c r="AM120" i="15" s="1"/>
  <c r="AN120" i="15" s="1"/>
  <c r="AI120" i="15"/>
  <c r="AJ120" i="15" s="1"/>
  <c r="AK120" i="15" s="1"/>
  <c r="M164" i="25"/>
  <c r="Q164" i="25" s="1"/>
  <c r="L165" i="25" s="1"/>
  <c r="AU109" i="19"/>
  <c r="AQ109" i="19"/>
  <c r="F110" i="19"/>
  <c r="AS109" i="19"/>
  <c r="AG220" i="17"/>
  <c r="AF221" i="17" s="1"/>
  <c r="Y221" i="17"/>
  <c r="AC221" i="17" s="1"/>
  <c r="X222" i="17" s="1"/>
  <c r="Z221" i="17"/>
  <c r="AS124" i="17"/>
  <c r="AQ124" i="17"/>
  <c r="AU124" i="17"/>
  <c r="F125" i="17"/>
  <c r="AG100" i="16"/>
  <c r="AF101" i="16" s="1"/>
  <c r="Z101" i="16"/>
  <c r="Y101" i="16"/>
  <c r="AC101" i="16" s="1"/>
  <c r="X102" i="16" s="1"/>
  <c r="AP84" i="16"/>
  <c r="AO84" i="16"/>
  <c r="AE103" i="16"/>
  <c r="AD104" i="16" s="1"/>
  <c r="AT103" i="16"/>
  <c r="S104" i="16"/>
  <c r="W104" i="16" s="1"/>
  <c r="R105" i="16" s="1"/>
  <c r="T104" i="16"/>
  <c r="L85" i="16"/>
  <c r="AI84" i="16"/>
  <c r="AJ84" i="16" s="1"/>
  <c r="AK84" i="16" s="1"/>
  <c r="AS84" i="16"/>
  <c r="AQ84" i="16"/>
  <c r="AU84" i="16"/>
  <c r="AL84" i="16"/>
  <c r="AM84" i="16" s="1"/>
  <c r="AN84" i="16" s="1"/>
  <c r="K85" i="16"/>
  <c r="H155" i="18"/>
  <c r="F131" i="28" l="1"/>
  <c r="AU130" i="28"/>
  <c r="AS130" i="28"/>
  <c r="AQ130" i="28"/>
  <c r="AJ130" i="28"/>
  <c r="AK130" i="28" s="1"/>
  <c r="AT192" i="29"/>
  <c r="P194" i="24"/>
  <c r="M195" i="24" s="1"/>
  <c r="L176" i="24"/>
  <c r="I177" i="24" s="1"/>
  <c r="T176" i="24"/>
  <c r="S177" i="24" s="1"/>
  <c r="Z204" i="25"/>
  <c r="Y204" i="25"/>
  <c r="AG204" i="25" s="1"/>
  <c r="AF205" i="25" s="1"/>
  <c r="Z191" i="29"/>
  <c r="Y191" i="29"/>
  <c r="AG191" i="29" s="1"/>
  <c r="AF192" i="29" s="1"/>
  <c r="AW127" i="26"/>
  <c r="AX127" i="26" s="1"/>
  <c r="AY127" i="26" s="1"/>
  <c r="AM135" i="29"/>
  <c r="AN135" i="29" s="1"/>
  <c r="F136" i="29"/>
  <c r="I136" i="29" s="1"/>
  <c r="AQ135" i="29"/>
  <c r="AS135" i="29"/>
  <c r="AU135" i="29"/>
  <c r="H128" i="26"/>
  <c r="AI128" i="26" s="1"/>
  <c r="Z195" i="28"/>
  <c r="Y195" i="28"/>
  <c r="AG195" i="28" s="1"/>
  <c r="AF196" i="28" s="1"/>
  <c r="F168" i="25"/>
  <c r="AO164" i="25"/>
  <c r="AL164" i="25"/>
  <c r="AS164" i="25"/>
  <c r="AQ164" i="25"/>
  <c r="AU164" i="25"/>
  <c r="AI164" i="25"/>
  <c r="N165" i="25"/>
  <c r="AP165" i="25" s="1"/>
  <c r="P166" i="25"/>
  <c r="AJ163" i="25"/>
  <c r="AK163" i="25" s="1"/>
  <c r="AM163" i="25"/>
  <c r="AN163" i="25" s="1"/>
  <c r="AT177" i="24"/>
  <c r="AN120" i="24"/>
  <c r="AK120" i="24"/>
  <c r="G121" i="24"/>
  <c r="AR121" i="24" s="1"/>
  <c r="G121" i="15"/>
  <c r="AR121" i="15" s="1"/>
  <c r="AW120" i="15"/>
  <c r="AX120" i="15" s="1"/>
  <c r="AY120" i="15" s="1"/>
  <c r="M165" i="25"/>
  <c r="AL165" i="25" s="1"/>
  <c r="AW109" i="19"/>
  <c r="AX109" i="19" s="1"/>
  <c r="AY109" i="19" s="1"/>
  <c r="J111" i="19"/>
  <c r="G110" i="19"/>
  <c r="AI110" i="19" s="1"/>
  <c r="AJ110" i="19" s="1"/>
  <c r="AK110" i="19" s="1"/>
  <c r="H110" i="19"/>
  <c r="AW124" i="17"/>
  <c r="AX124" i="17" s="1"/>
  <c r="AY124" i="17" s="1"/>
  <c r="Z222" i="17"/>
  <c r="Y222" i="17"/>
  <c r="AC222" i="17" s="1"/>
  <c r="X223" i="17" s="1"/>
  <c r="AG221" i="17"/>
  <c r="AF222" i="17" s="1"/>
  <c r="J126" i="17"/>
  <c r="G125" i="17"/>
  <c r="K125" i="17" s="1"/>
  <c r="H125" i="17"/>
  <c r="AG101" i="16"/>
  <c r="AF102" i="16" s="1"/>
  <c r="Y102" i="16"/>
  <c r="AC102" i="16" s="1"/>
  <c r="X103" i="16" s="1"/>
  <c r="Z102" i="16"/>
  <c r="AW84" i="16"/>
  <c r="AX84" i="16" s="1"/>
  <c r="AY84" i="16" s="1"/>
  <c r="S105" i="16"/>
  <c r="W105" i="16" s="1"/>
  <c r="R106" i="16" s="1"/>
  <c r="T105" i="16"/>
  <c r="M85" i="16"/>
  <c r="Q85" i="16" s="1"/>
  <c r="L86" i="16" s="1"/>
  <c r="P86" i="16"/>
  <c r="N85" i="16"/>
  <c r="AE104" i="16"/>
  <c r="AD105" i="16" s="1"/>
  <c r="AT104" i="16"/>
  <c r="F86" i="16"/>
  <c r="F156" i="18"/>
  <c r="AL155" i="18"/>
  <c r="AM155" i="18" s="1"/>
  <c r="AN155" i="18" s="1"/>
  <c r="AI155" i="18"/>
  <c r="AJ155" i="18" s="1"/>
  <c r="AK155" i="18" s="1"/>
  <c r="AW130" i="28" l="1"/>
  <c r="AX130" i="28" s="1"/>
  <c r="AY130" i="28" s="1"/>
  <c r="AR136" i="29"/>
  <c r="Q136" i="29"/>
  <c r="L137" i="29" s="1"/>
  <c r="I131" i="28"/>
  <c r="Q131" i="28" s="1"/>
  <c r="L132" i="28" s="1"/>
  <c r="H131" i="28"/>
  <c r="G131" i="28"/>
  <c r="AI131" i="28" s="1"/>
  <c r="AJ131" i="28" s="1"/>
  <c r="AK131" i="28" s="1"/>
  <c r="J132" i="28"/>
  <c r="AC204" i="25"/>
  <c r="X205" i="25" s="1"/>
  <c r="K177" i="24"/>
  <c r="R177" i="24" s="1"/>
  <c r="Q178" i="24" s="1"/>
  <c r="AT178" i="24" s="1"/>
  <c r="J177" i="24"/>
  <c r="O195" i="24"/>
  <c r="N195" i="24"/>
  <c r="AC191" i="29"/>
  <c r="X192" i="29" s="1"/>
  <c r="AA192" i="29" s="1"/>
  <c r="AE192" i="29" s="1"/>
  <c r="AD193" i="29" s="1"/>
  <c r="AW135" i="29"/>
  <c r="AX135" i="29" s="1"/>
  <c r="AY135" i="29" s="1"/>
  <c r="J137" i="29"/>
  <c r="H136" i="29"/>
  <c r="AP136" i="29" s="1"/>
  <c r="G136" i="29"/>
  <c r="AI136" i="29" s="1"/>
  <c r="F129" i="26"/>
  <c r="G129" i="26" s="1"/>
  <c r="AR129" i="26" s="1"/>
  <c r="AL128" i="26"/>
  <c r="AM128" i="26" s="1"/>
  <c r="AN128" i="26" s="1"/>
  <c r="AJ128" i="26"/>
  <c r="AK128" i="26" s="1"/>
  <c r="AC195" i="28"/>
  <c r="X196" i="28" s="1"/>
  <c r="AB196" i="28" s="1"/>
  <c r="AW163" i="25"/>
  <c r="AX163" i="25" s="1"/>
  <c r="AY163" i="25" s="1"/>
  <c r="G168" i="25"/>
  <c r="K168" i="25" s="1"/>
  <c r="H168" i="25"/>
  <c r="J169" i="25"/>
  <c r="AO165" i="25"/>
  <c r="AJ164" i="25"/>
  <c r="AK164" i="25" s="1"/>
  <c r="AM164" i="25"/>
  <c r="AN164" i="25" s="1"/>
  <c r="AW120" i="24"/>
  <c r="AX120" i="24" s="1"/>
  <c r="AY120" i="24" s="1"/>
  <c r="H121" i="24"/>
  <c r="H121" i="15"/>
  <c r="Q165" i="25"/>
  <c r="AO110" i="19"/>
  <c r="AP110" i="19"/>
  <c r="AL110" i="19"/>
  <c r="AM110" i="19" s="1"/>
  <c r="AN110" i="19" s="1"/>
  <c r="K110" i="19"/>
  <c r="AG222" i="17"/>
  <c r="AF223" i="17" s="1"/>
  <c r="Z223" i="17"/>
  <c r="Y223" i="17"/>
  <c r="AC223" i="17" s="1"/>
  <c r="X224" i="17" s="1"/>
  <c r="AI125" i="17"/>
  <c r="AJ125" i="17" s="1"/>
  <c r="AK125" i="17" s="1"/>
  <c r="AL125" i="17"/>
  <c r="AM125" i="17" s="1"/>
  <c r="AN125" i="17" s="1"/>
  <c r="AU125" i="17"/>
  <c r="F126" i="17"/>
  <c r="AS125" i="17"/>
  <c r="AQ125" i="17"/>
  <c r="AO125" i="17"/>
  <c r="AP125" i="17"/>
  <c r="Z103" i="16"/>
  <c r="Y103" i="16"/>
  <c r="AC103" i="16" s="1"/>
  <c r="X104" i="16" s="1"/>
  <c r="AG102" i="16"/>
  <c r="AF103" i="16" s="1"/>
  <c r="AU85" i="16"/>
  <c r="AQ85" i="16"/>
  <c r="AS85" i="16"/>
  <c r="AL85" i="16"/>
  <c r="AM85" i="16" s="1"/>
  <c r="AN85" i="16" s="1"/>
  <c r="P87" i="16"/>
  <c r="N86" i="16"/>
  <c r="M86" i="16"/>
  <c r="Q86" i="16" s="1"/>
  <c r="L87" i="16" s="1"/>
  <c r="AI85" i="16"/>
  <c r="AJ85" i="16" s="1"/>
  <c r="AK85" i="16" s="1"/>
  <c r="AT105" i="16"/>
  <c r="AE105" i="16"/>
  <c r="AD106" i="16" s="1"/>
  <c r="AP85" i="16"/>
  <c r="AO85" i="16"/>
  <c r="T106" i="16"/>
  <c r="S106" i="16"/>
  <c r="W106" i="16" s="1"/>
  <c r="R107" i="16" s="1"/>
  <c r="G86" i="16"/>
  <c r="K86" i="16" s="1"/>
  <c r="F87" i="16" s="1"/>
  <c r="J87" i="16"/>
  <c r="H86" i="16"/>
  <c r="AW155" i="18"/>
  <c r="AX155" i="18" s="1"/>
  <c r="AY155" i="18" s="1"/>
  <c r="G156" i="18"/>
  <c r="AR156" i="18" s="1"/>
  <c r="AT193" i="29" l="1"/>
  <c r="O132" i="28"/>
  <c r="P133" i="28"/>
  <c r="M132" i="28"/>
  <c r="N132" i="28"/>
  <c r="AP131" i="28"/>
  <c r="AO131" i="28"/>
  <c r="K131" i="28"/>
  <c r="AL131" i="28"/>
  <c r="AM131" i="28" s="1"/>
  <c r="AN131" i="28" s="1"/>
  <c r="M137" i="29"/>
  <c r="O137" i="29"/>
  <c r="P138" i="29"/>
  <c r="N137" i="29"/>
  <c r="L177" i="24"/>
  <c r="I178" i="24" s="1"/>
  <c r="P195" i="24"/>
  <c r="M196" i="24" s="1"/>
  <c r="Y205" i="25"/>
  <c r="AG205" i="25" s="1"/>
  <c r="AF206" i="25" s="1"/>
  <c r="Z205" i="25"/>
  <c r="T177" i="24"/>
  <c r="S178" i="24" s="1"/>
  <c r="Z192" i="29"/>
  <c r="Y192" i="29"/>
  <c r="AG192" i="29" s="1"/>
  <c r="AF193" i="29" s="1"/>
  <c r="AJ136" i="29"/>
  <c r="AK136" i="29" s="1"/>
  <c r="AO136" i="29"/>
  <c r="AL136" i="29"/>
  <c r="K136" i="29"/>
  <c r="H129" i="26"/>
  <c r="AW128" i="26"/>
  <c r="AX128" i="26" s="1"/>
  <c r="AY128" i="26" s="1"/>
  <c r="Z196" i="28"/>
  <c r="Y196" i="28"/>
  <c r="AG196" i="28" s="1"/>
  <c r="AF197" i="28" s="1"/>
  <c r="F169" i="25"/>
  <c r="AU165" i="25"/>
  <c r="AI165" i="25"/>
  <c r="AQ165" i="25"/>
  <c r="AS165" i="25"/>
  <c r="AW164" i="25"/>
  <c r="AX164" i="25" s="1"/>
  <c r="AY164" i="25" s="1"/>
  <c r="L166" i="25"/>
  <c r="AM165" i="25"/>
  <c r="AN165" i="25" s="1"/>
  <c r="F122" i="24"/>
  <c r="AI121" i="24"/>
  <c r="AJ121" i="24" s="1"/>
  <c r="AL121" i="24"/>
  <c r="AM121" i="24" s="1"/>
  <c r="F122" i="15"/>
  <c r="AI121" i="15"/>
  <c r="AJ121" i="15" s="1"/>
  <c r="AK121" i="15" s="1"/>
  <c r="AL121" i="15"/>
  <c r="AM121" i="15" s="1"/>
  <c r="AN121" i="15" s="1"/>
  <c r="AU110" i="19"/>
  <c r="AS110" i="19"/>
  <c r="AQ110" i="19"/>
  <c r="F111" i="19"/>
  <c r="AG223" i="17"/>
  <c r="AF224" i="17" s="1"/>
  <c r="Y224" i="17"/>
  <c r="AC224" i="17" s="1"/>
  <c r="X225" i="17" s="1"/>
  <c r="Z224" i="17"/>
  <c r="AW125" i="17"/>
  <c r="AX125" i="17" s="1"/>
  <c r="AY125" i="17" s="1"/>
  <c r="H126" i="17"/>
  <c r="J127" i="17"/>
  <c r="G126" i="17"/>
  <c r="AG103" i="16"/>
  <c r="AF104" i="16" s="1"/>
  <c r="Z104" i="16"/>
  <c r="Y104" i="16"/>
  <c r="AC104" i="16" s="1"/>
  <c r="X105" i="16" s="1"/>
  <c r="AU86" i="16"/>
  <c r="AW85" i="16"/>
  <c r="AX85" i="16" s="1"/>
  <c r="AY85" i="16" s="1"/>
  <c r="AL86" i="16"/>
  <c r="AM86" i="16" s="1"/>
  <c r="AN86" i="16" s="1"/>
  <c r="AQ86" i="16"/>
  <c r="P88" i="16"/>
  <c r="M87" i="16"/>
  <c r="Q87" i="16" s="1"/>
  <c r="L88" i="16" s="1"/>
  <c r="N87" i="16"/>
  <c r="AI86" i="16"/>
  <c r="AJ86" i="16" s="1"/>
  <c r="AK86" i="16" s="1"/>
  <c r="T107" i="16"/>
  <c r="S107" i="16"/>
  <c r="W107" i="16" s="1"/>
  <c r="R108" i="16" s="1"/>
  <c r="AE106" i="16"/>
  <c r="AD107" i="16" s="1"/>
  <c r="AT106" i="16"/>
  <c r="AO86" i="16"/>
  <c r="AP86" i="16"/>
  <c r="AS86" i="16"/>
  <c r="H87" i="16"/>
  <c r="J88" i="16"/>
  <c r="G87" i="16"/>
  <c r="H156" i="18"/>
  <c r="F132" i="28" l="1"/>
  <c r="AQ131" i="28"/>
  <c r="AS131" i="28"/>
  <c r="AU131" i="28"/>
  <c r="AC205" i="25"/>
  <c r="X206" i="25" s="1"/>
  <c r="O196" i="24"/>
  <c r="N196" i="24"/>
  <c r="K178" i="24"/>
  <c r="T178" i="24" s="1"/>
  <c r="S179" i="24" s="1"/>
  <c r="J178" i="24"/>
  <c r="AC192" i="29"/>
  <c r="X193" i="29" s="1"/>
  <c r="AA193" i="29" s="1"/>
  <c r="AE193" i="29" s="1"/>
  <c r="AD194" i="29" s="1"/>
  <c r="AM136" i="29"/>
  <c r="AN136" i="29" s="1"/>
  <c r="F137" i="29"/>
  <c r="I137" i="29" s="1"/>
  <c r="AR137" i="29" s="1"/>
  <c r="AQ136" i="29"/>
  <c r="AS136" i="29"/>
  <c r="AU136" i="29"/>
  <c r="F130" i="26"/>
  <c r="AL129" i="26"/>
  <c r="AM129" i="26" s="1"/>
  <c r="AN129" i="26" s="1"/>
  <c r="AI129" i="26"/>
  <c r="AC196" i="28"/>
  <c r="X197" i="28" s="1"/>
  <c r="AB197" i="28" s="1"/>
  <c r="AW121" i="15"/>
  <c r="AX121" i="15" s="1"/>
  <c r="AY121" i="15" s="1"/>
  <c r="G169" i="25"/>
  <c r="K169" i="25" s="1"/>
  <c r="J170" i="25"/>
  <c r="H169" i="25"/>
  <c r="AJ165" i="25"/>
  <c r="AK165" i="25" s="1"/>
  <c r="AW165" i="25" s="1"/>
  <c r="AX165" i="25" s="1"/>
  <c r="AY165" i="25" s="1"/>
  <c r="P167" i="25"/>
  <c r="N166" i="25"/>
  <c r="AP166" i="25" s="1"/>
  <c r="AK121" i="24"/>
  <c r="AN121" i="24"/>
  <c r="G122" i="24"/>
  <c r="AR122" i="24" s="1"/>
  <c r="G122" i="15"/>
  <c r="AR122" i="15" s="1"/>
  <c r="M166" i="25"/>
  <c r="AL166" i="25" s="1"/>
  <c r="AW110" i="19"/>
  <c r="AX110" i="19" s="1"/>
  <c r="AY110" i="19" s="1"/>
  <c r="H111" i="19"/>
  <c r="J112" i="19"/>
  <c r="G111" i="19"/>
  <c r="AI111" i="19" s="1"/>
  <c r="AJ111" i="19" s="1"/>
  <c r="AK111" i="19" s="1"/>
  <c r="Z225" i="17"/>
  <c r="Y225" i="17"/>
  <c r="AC225" i="17" s="1"/>
  <c r="X226" i="17" s="1"/>
  <c r="AG224" i="17"/>
  <c r="AF225" i="17" s="1"/>
  <c r="AP126" i="17"/>
  <c r="AO126" i="17"/>
  <c r="K126" i="17"/>
  <c r="AI126" i="17"/>
  <c r="AJ126" i="17" s="1"/>
  <c r="AK126" i="17" s="1"/>
  <c r="AL126" i="17"/>
  <c r="AM126" i="17" s="1"/>
  <c r="AN126" i="17" s="1"/>
  <c r="AG104" i="16"/>
  <c r="AF105" i="16" s="1"/>
  <c r="Y105" i="16"/>
  <c r="AC105" i="16" s="1"/>
  <c r="X106" i="16" s="1"/>
  <c r="Z105" i="16"/>
  <c r="AP87" i="16"/>
  <c r="AO87" i="16"/>
  <c r="P89" i="16"/>
  <c r="N88" i="16"/>
  <c r="M88" i="16"/>
  <c r="Q88" i="16" s="1"/>
  <c r="L89" i="16" s="1"/>
  <c r="AL87" i="16"/>
  <c r="AM87" i="16" s="1"/>
  <c r="AN87" i="16" s="1"/>
  <c r="AE107" i="16"/>
  <c r="AD108" i="16" s="1"/>
  <c r="AT107" i="16"/>
  <c r="T108" i="16"/>
  <c r="S108" i="16"/>
  <c r="W108" i="16" s="1"/>
  <c r="R109" i="16" s="1"/>
  <c r="AW86" i="16"/>
  <c r="AX86" i="16" s="1"/>
  <c r="AY86" i="16" s="1"/>
  <c r="K87" i="16"/>
  <c r="F157" i="18"/>
  <c r="AI156" i="18"/>
  <c r="AJ156" i="18" s="1"/>
  <c r="AK156" i="18" s="1"/>
  <c r="AL156" i="18"/>
  <c r="AM156" i="18" s="1"/>
  <c r="AN156" i="18" s="1"/>
  <c r="Q137" i="29" l="1"/>
  <c r="L138" i="29" s="1"/>
  <c r="N138" i="29" s="1"/>
  <c r="AW131" i="28"/>
  <c r="AX131" i="28" s="1"/>
  <c r="AY131" i="28" s="1"/>
  <c r="I132" i="28"/>
  <c r="Q132" i="28" s="1"/>
  <c r="L133" i="28" s="1"/>
  <c r="G132" i="28"/>
  <c r="AI132" i="28" s="1"/>
  <c r="AJ132" i="28" s="1"/>
  <c r="AK132" i="28" s="1"/>
  <c r="H132" i="28"/>
  <c r="J133" i="28"/>
  <c r="AT194" i="29"/>
  <c r="O138" i="29"/>
  <c r="P196" i="24"/>
  <c r="M197" i="24" s="1"/>
  <c r="L178" i="24"/>
  <c r="I179" i="24" s="1"/>
  <c r="R178" i="24"/>
  <c r="Q179" i="24" s="1"/>
  <c r="AT179" i="24" s="1"/>
  <c r="Z206" i="25"/>
  <c r="Y206" i="25"/>
  <c r="AG206" i="25" s="1"/>
  <c r="AF207" i="25" s="1"/>
  <c r="Z193" i="29"/>
  <c r="Y193" i="29"/>
  <c r="AW136" i="29"/>
  <c r="AX136" i="29" s="1"/>
  <c r="AY136" i="29" s="1"/>
  <c r="H137" i="29"/>
  <c r="AP137" i="29" s="1"/>
  <c r="J138" i="29"/>
  <c r="G137" i="29"/>
  <c r="AL137" i="29" s="1"/>
  <c r="G130" i="26"/>
  <c r="AR130" i="26" s="1"/>
  <c r="AJ129" i="26"/>
  <c r="AK129" i="26" s="1"/>
  <c r="AW129" i="26" s="1"/>
  <c r="AX129" i="26" s="1"/>
  <c r="AY129" i="26" s="1"/>
  <c r="Z197" i="28"/>
  <c r="Y197" i="28"/>
  <c r="AG197" i="28" s="1"/>
  <c r="AF198" i="28" s="1"/>
  <c r="AW121" i="24"/>
  <c r="AX121" i="24" s="1"/>
  <c r="AY121" i="24" s="1"/>
  <c r="F170" i="25"/>
  <c r="AO166" i="25"/>
  <c r="AM166" i="25"/>
  <c r="AN166" i="25" s="1"/>
  <c r="H122" i="24"/>
  <c r="H122" i="15"/>
  <c r="Q166" i="25"/>
  <c r="AL111" i="19"/>
  <c r="AM111" i="19" s="1"/>
  <c r="AN111" i="19" s="1"/>
  <c r="K111" i="19"/>
  <c r="AP111" i="19"/>
  <c r="AO111" i="19"/>
  <c r="AG225" i="17"/>
  <c r="AF226" i="17" s="1"/>
  <c r="Z226" i="17"/>
  <c r="Y226" i="17"/>
  <c r="AC226" i="17" s="1"/>
  <c r="X227" i="17" s="1"/>
  <c r="F127" i="17"/>
  <c r="AU126" i="17"/>
  <c r="AQ126" i="17"/>
  <c r="AS126" i="17"/>
  <c r="AG105" i="16"/>
  <c r="AF106" i="16" s="1"/>
  <c r="Z106" i="16"/>
  <c r="Y106" i="16"/>
  <c r="AC106" i="16" s="1"/>
  <c r="X107" i="16" s="1"/>
  <c r="N89" i="16"/>
  <c r="M89" i="16"/>
  <c r="Q89" i="16" s="1"/>
  <c r="L90" i="16" s="1"/>
  <c r="P90" i="16"/>
  <c r="AE108" i="16"/>
  <c r="AD109" i="16" s="1"/>
  <c r="AT108" i="16"/>
  <c r="S109" i="16"/>
  <c r="W109" i="16" s="1"/>
  <c r="R110" i="16" s="1"/>
  <c r="T109" i="16"/>
  <c r="F88" i="16"/>
  <c r="AQ87" i="16"/>
  <c r="AS87" i="16"/>
  <c r="AU87" i="16"/>
  <c r="AI87" i="16"/>
  <c r="AJ87" i="16" s="1"/>
  <c r="AK87" i="16" s="1"/>
  <c r="G157" i="18"/>
  <c r="AR157" i="18" s="1"/>
  <c r="AW156" i="18"/>
  <c r="AX156" i="18" s="1"/>
  <c r="AY156" i="18" s="1"/>
  <c r="P139" i="29" l="1"/>
  <c r="M138" i="29"/>
  <c r="O133" i="28"/>
  <c r="P134" i="28"/>
  <c r="M133" i="28"/>
  <c r="N133" i="28"/>
  <c r="AP132" i="28"/>
  <c r="AO132" i="28"/>
  <c r="K132" i="28"/>
  <c r="AL132" i="28"/>
  <c r="AM132" i="28" s="1"/>
  <c r="AN132" i="28" s="1"/>
  <c r="O197" i="24"/>
  <c r="N197" i="24"/>
  <c r="K179" i="24"/>
  <c r="T179" i="24" s="1"/>
  <c r="S180" i="24" s="1"/>
  <c r="J179" i="24"/>
  <c r="AC206" i="25"/>
  <c r="X207" i="25" s="1"/>
  <c r="AC193" i="29"/>
  <c r="X194" i="29" s="1"/>
  <c r="AA194" i="29" s="1"/>
  <c r="AE194" i="29" s="1"/>
  <c r="AD195" i="29" s="1"/>
  <c r="AG193" i="29"/>
  <c r="AF194" i="29" s="1"/>
  <c r="AO137" i="29"/>
  <c r="AM137" i="29"/>
  <c r="AN137" i="29" s="1"/>
  <c r="AI137" i="29"/>
  <c r="K137" i="29"/>
  <c r="H130" i="26"/>
  <c r="AC197" i="28"/>
  <c r="X198" i="28" s="1"/>
  <c r="AB198" i="28" s="1"/>
  <c r="G170" i="25"/>
  <c r="K170" i="25" s="1"/>
  <c r="H170" i="25"/>
  <c r="J171" i="25"/>
  <c r="AU166" i="25"/>
  <c r="AS166" i="25"/>
  <c r="AI166" i="25"/>
  <c r="AQ166" i="25"/>
  <c r="L167" i="25"/>
  <c r="F123" i="24"/>
  <c r="AI122" i="24"/>
  <c r="AJ122" i="24" s="1"/>
  <c r="AL122" i="24"/>
  <c r="AM122" i="24" s="1"/>
  <c r="F123" i="15"/>
  <c r="AI122" i="15"/>
  <c r="AJ122" i="15" s="1"/>
  <c r="AK122" i="15" s="1"/>
  <c r="AL122" i="15"/>
  <c r="AM122" i="15" s="1"/>
  <c r="AN122" i="15" s="1"/>
  <c r="AU111" i="19"/>
  <c r="F112" i="19"/>
  <c r="AS111" i="19"/>
  <c r="AQ111" i="19"/>
  <c r="AW126" i="17"/>
  <c r="AX126" i="17" s="1"/>
  <c r="AY126" i="17" s="1"/>
  <c r="Y227" i="17"/>
  <c r="AC227" i="17" s="1"/>
  <c r="X228" i="17" s="1"/>
  <c r="Z227" i="17"/>
  <c r="AG226" i="17"/>
  <c r="AF227" i="17" s="1"/>
  <c r="H127" i="17"/>
  <c r="J128" i="17"/>
  <c r="G127" i="17"/>
  <c r="AG106" i="16"/>
  <c r="AF107" i="16" s="1"/>
  <c r="Z107" i="16"/>
  <c r="Y107" i="16"/>
  <c r="AC107" i="16" s="1"/>
  <c r="X108" i="16" s="1"/>
  <c r="AE109" i="16"/>
  <c r="AD110" i="16" s="1"/>
  <c r="AT109" i="16"/>
  <c r="P91" i="16"/>
  <c r="N90" i="16"/>
  <c r="M90" i="16"/>
  <c r="Q90" i="16" s="1"/>
  <c r="L91" i="16" s="1"/>
  <c r="S110" i="16"/>
  <c r="W110" i="16" s="1"/>
  <c r="R111" i="16" s="1"/>
  <c r="T110" i="16"/>
  <c r="AW87" i="16"/>
  <c r="AX87" i="16" s="1"/>
  <c r="AY87" i="16" s="1"/>
  <c r="J89" i="16"/>
  <c r="G88" i="16"/>
  <c r="K88" i="16" s="1"/>
  <c r="F89" i="16" s="1"/>
  <c r="H88" i="16"/>
  <c r="H157" i="18"/>
  <c r="F158" i="18" s="1"/>
  <c r="G158" i="18" s="1"/>
  <c r="F133" i="28" l="1"/>
  <c r="AS132" i="28"/>
  <c r="AU132" i="28"/>
  <c r="AQ132" i="28"/>
  <c r="AT195" i="29"/>
  <c r="P197" i="24"/>
  <c r="M198" i="24" s="1"/>
  <c r="Y207" i="25"/>
  <c r="AG207" i="25" s="1"/>
  <c r="AF208" i="25" s="1"/>
  <c r="Z207" i="25"/>
  <c r="R179" i="24"/>
  <c r="Q180" i="24" s="1"/>
  <c r="AT180" i="24" s="1"/>
  <c r="L179" i="24"/>
  <c r="I180" i="24" s="1"/>
  <c r="Z194" i="29"/>
  <c r="Y194" i="29"/>
  <c r="AC194" i="29" s="1"/>
  <c r="X195" i="29" s="1"/>
  <c r="AA195" i="29" s="1"/>
  <c r="AE195" i="29" s="1"/>
  <c r="AD196" i="29" s="1"/>
  <c r="AJ137" i="29"/>
  <c r="AK137" i="29" s="1"/>
  <c r="F138" i="29"/>
  <c r="I138" i="29" s="1"/>
  <c r="AQ137" i="29"/>
  <c r="AS137" i="29"/>
  <c r="AU137" i="29"/>
  <c r="F131" i="26"/>
  <c r="G131" i="26" s="1"/>
  <c r="AR131" i="26" s="1"/>
  <c r="AI130" i="26"/>
  <c r="AJ130" i="26" s="1"/>
  <c r="AK130" i="26" s="1"/>
  <c r="AL130" i="26"/>
  <c r="AM130" i="26" s="1"/>
  <c r="AN130" i="26" s="1"/>
  <c r="Z198" i="28"/>
  <c r="Y198" i="28"/>
  <c r="AG198" i="28" s="1"/>
  <c r="AF199" i="28" s="1"/>
  <c r="AW122" i="15"/>
  <c r="AX122" i="15" s="1"/>
  <c r="AY122" i="15" s="1"/>
  <c r="F171" i="25"/>
  <c r="N167" i="25"/>
  <c r="AP167" i="25" s="1"/>
  <c r="P168" i="25"/>
  <c r="AJ166" i="25"/>
  <c r="AK166" i="25" s="1"/>
  <c r="AW166" i="25" s="1"/>
  <c r="AX166" i="25" s="1"/>
  <c r="AY166" i="25" s="1"/>
  <c r="AN122" i="24"/>
  <c r="AK122" i="24"/>
  <c r="G123" i="24"/>
  <c r="AR123" i="24" s="1"/>
  <c r="G123" i="15"/>
  <c r="AR123" i="15" s="1"/>
  <c r="M167" i="25"/>
  <c r="Q167" i="25" s="1"/>
  <c r="L168" i="25" s="1"/>
  <c r="AW111" i="19"/>
  <c r="AX111" i="19" s="1"/>
  <c r="AY111" i="19" s="1"/>
  <c r="H112" i="19"/>
  <c r="J113" i="19"/>
  <c r="G112" i="19"/>
  <c r="K112" i="19" s="1"/>
  <c r="F113" i="19" s="1"/>
  <c r="AG227" i="17"/>
  <c r="AF228" i="17" s="1"/>
  <c r="Z228" i="17"/>
  <c r="Y228" i="17"/>
  <c r="AC228" i="17" s="1"/>
  <c r="X229" i="17" s="1"/>
  <c r="K127" i="17"/>
  <c r="AI127" i="17"/>
  <c r="AJ127" i="17" s="1"/>
  <c r="AK127" i="17" s="1"/>
  <c r="AL127" i="17"/>
  <c r="AM127" i="17" s="1"/>
  <c r="AN127" i="17" s="1"/>
  <c r="AO127" i="17"/>
  <c r="AP127" i="17"/>
  <c r="AG107" i="16"/>
  <c r="AF108" i="16" s="1"/>
  <c r="Z108" i="16"/>
  <c r="Y108" i="16"/>
  <c r="AC108" i="16" s="1"/>
  <c r="X109" i="16" s="1"/>
  <c r="AS88" i="16"/>
  <c r="AL88" i="16"/>
  <c r="AM88" i="16" s="1"/>
  <c r="AN88" i="16" s="1"/>
  <c r="AQ88" i="16"/>
  <c r="AI88" i="16"/>
  <c r="AJ88" i="16" s="1"/>
  <c r="AK88" i="16" s="1"/>
  <c r="AU88" i="16"/>
  <c r="M91" i="16"/>
  <c r="Q91" i="16" s="1"/>
  <c r="L92" i="16" s="1"/>
  <c r="N91" i="16"/>
  <c r="P92" i="16"/>
  <c r="T111" i="16"/>
  <c r="S111" i="16"/>
  <c r="W111" i="16" s="1"/>
  <c r="R112" i="16" s="1"/>
  <c r="AT110" i="16"/>
  <c r="AE110" i="16"/>
  <c r="AD111" i="16" s="1"/>
  <c r="H89" i="16"/>
  <c r="J90" i="16"/>
  <c r="G89" i="16"/>
  <c r="AL89" i="16" s="1"/>
  <c r="AM89" i="16" s="1"/>
  <c r="AN89" i="16" s="1"/>
  <c r="AP88" i="16"/>
  <c r="AO88" i="16"/>
  <c r="AI157" i="18"/>
  <c r="AJ157" i="18" s="1"/>
  <c r="AK157" i="18" s="1"/>
  <c r="AL157" i="18"/>
  <c r="AM157" i="18" s="1"/>
  <c r="AN157" i="18" s="1"/>
  <c r="AR158" i="18"/>
  <c r="H158" i="18"/>
  <c r="AW132" i="28" l="1"/>
  <c r="AX132" i="28" s="1"/>
  <c r="AY132" i="28" s="1"/>
  <c r="AR138" i="29"/>
  <c r="Q138" i="29"/>
  <c r="L139" i="29" s="1"/>
  <c r="AT196" i="29"/>
  <c r="I133" i="28"/>
  <c r="Q133" i="28" s="1"/>
  <c r="L134" i="28" s="1"/>
  <c r="G133" i="28"/>
  <c r="AI133" i="28" s="1"/>
  <c r="AJ133" i="28" s="1"/>
  <c r="AK133" i="28" s="1"/>
  <c r="J134" i="28"/>
  <c r="H133" i="28"/>
  <c r="K180" i="24"/>
  <c r="T180" i="24" s="1"/>
  <c r="S181" i="24" s="1"/>
  <c r="J180" i="24"/>
  <c r="AC207" i="25"/>
  <c r="X208" i="25" s="1"/>
  <c r="O198" i="24"/>
  <c r="N198" i="24"/>
  <c r="AG194" i="29"/>
  <c r="AF195" i="29" s="1"/>
  <c r="Z195" i="29"/>
  <c r="Y195" i="29"/>
  <c r="AC195" i="29" s="1"/>
  <c r="X196" i="29" s="1"/>
  <c r="AA196" i="29" s="1"/>
  <c r="AE196" i="29" s="1"/>
  <c r="AD197" i="29" s="1"/>
  <c r="AW137" i="29"/>
  <c r="AX137" i="29" s="1"/>
  <c r="AY137" i="29" s="1"/>
  <c r="J139" i="29"/>
  <c r="H138" i="29"/>
  <c r="AP138" i="29" s="1"/>
  <c r="G138" i="29"/>
  <c r="AL138" i="29" s="1"/>
  <c r="AW130" i="26"/>
  <c r="AX130" i="26" s="1"/>
  <c r="AY130" i="26" s="1"/>
  <c r="H131" i="26"/>
  <c r="AL131" i="26" s="1"/>
  <c r="AC198" i="28"/>
  <c r="X199" i="28" s="1"/>
  <c r="AB199" i="28" s="1"/>
  <c r="AW122" i="24"/>
  <c r="AX122" i="24" s="1"/>
  <c r="AY122" i="24" s="1"/>
  <c r="G171" i="25"/>
  <c r="K171" i="25" s="1"/>
  <c r="J172" i="25"/>
  <c r="H171" i="25"/>
  <c r="AU167" i="25"/>
  <c r="AL167" i="25"/>
  <c r="AS167" i="25"/>
  <c r="AQ167" i="25"/>
  <c r="AI167" i="25"/>
  <c r="AO167" i="25"/>
  <c r="P169" i="25"/>
  <c r="N168" i="25"/>
  <c r="AP168" i="25" s="1"/>
  <c r="H123" i="24"/>
  <c r="H123" i="15"/>
  <c r="M168" i="25"/>
  <c r="Q168" i="25" s="1"/>
  <c r="L169" i="25" s="1"/>
  <c r="AI112" i="19"/>
  <c r="AJ112" i="19" s="1"/>
  <c r="AK112" i="19" s="1"/>
  <c r="AU112" i="19"/>
  <c r="AL112" i="19"/>
  <c r="AM112" i="19" s="1"/>
  <c r="AN112" i="19" s="1"/>
  <c r="G113" i="19"/>
  <c r="AI113" i="19" s="1"/>
  <c r="AJ113" i="19" s="1"/>
  <c r="AK113" i="19" s="1"/>
  <c r="J114" i="19"/>
  <c r="H113" i="19"/>
  <c r="AQ112" i="19"/>
  <c r="AS112" i="19"/>
  <c r="AO112" i="19"/>
  <c r="AP112" i="19"/>
  <c r="Y229" i="17"/>
  <c r="AC229" i="17" s="1"/>
  <c r="X230" i="17" s="1"/>
  <c r="Z229" i="17"/>
  <c r="AG228" i="17"/>
  <c r="AF229" i="17" s="1"/>
  <c r="AQ127" i="17"/>
  <c r="F128" i="17"/>
  <c r="AS127" i="17"/>
  <c r="AU127" i="17"/>
  <c r="AG108" i="16"/>
  <c r="AF109" i="16" s="1"/>
  <c r="Z109" i="16"/>
  <c r="Y109" i="16"/>
  <c r="AC109" i="16" s="1"/>
  <c r="X110" i="16" s="1"/>
  <c r="AW88" i="16"/>
  <c r="AX88" i="16" s="1"/>
  <c r="AY88" i="16" s="1"/>
  <c r="T112" i="16"/>
  <c r="S112" i="16"/>
  <c r="W112" i="16" s="1"/>
  <c r="R113" i="16" s="1"/>
  <c r="AT111" i="16"/>
  <c r="AE111" i="16"/>
  <c r="AD112" i="16" s="1"/>
  <c r="M92" i="16"/>
  <c r="Q92" i="16" s="1"/>
  <c r="L93" i="16" s="1"/>
  <c r="N92" i="16"/>
  <c r="P93" i="16"/>
  <c r="K89" i="16"/>
  <c r="AP89" i="16"/>
  <c r="AO89" i="16"/>
  <c r="AW157" i="18"/>
  <c r="AX157" i="18" s="1"/>
  <c r="AY157" i="18" s="1"/>
  <c r="F159" i="18"/>
  <c r="AL158" i="18"/>
  <c r="AM158" i="18" s="1"/>
  <c r="AN158" i="18" s="1"/>
  <c r="AI158" i="18"/>
  <c r="AJ158" i="18" s="1"/>
  <c r="AK158" i="18" s="1"/>
  <c r="AT197" i="29" l="1"/>
  <c r="O134" i="28"/>
  <c r="P135" i="28"/>
  <c r="N134" i="28"/>
  <c r="M134" i="28"/>
  <c r="AP133" i="28"/>
  <c r="AO133" i="28"/>
  <c r="K133" i="28"/>
  <c r="O139" i="29"/>
  <c r="M139" i="29"/>
  <c r="N139" i="29"/>
  <c r="P140" i="29"/>
  <c r="AL133" i="28"/>
  <c r="L180" i="24"/>
  <c r="I181" i="24" s="1"/>
  <c r="P198" i="24"/>
  <c r="M199" i="24" s="1"/>
  <c r="Y208" i="25"/>
  <c r="AG208" i="25" s="1"/>
  <c r="AF209" i="25" s="1"/>
  <c r="Z208" i="25"/>
  <c r="R180" i="24"/>
  <c r="Q181" i="24" s="1"/>
  <c r="AT181" i="24" s="1"/>
  <c r="AG195" i="29"/>
  <c r="AF196" i="29" s="1"/>
  <c r="Z196" i="29"/>
  <c r="Y196" i="29"/>
  <c r="AM138" i="29"/>
  <c r="AN138" i="29" s="1"/>
  <c r="AO138" i="29"/>
  <c r="K138" i="29"/>
  <c r="AI138" i="29"/>
  <c r="F132" i="26"/>
  <c r="G132" i="26" s="1"/>
  <c r="AR132" i="26" s="1"/>
  <c r="AI131" i="26"/>
  <c r="AJ131" i="26" s="1"/>
  <c r="AK131" i="26" s="1"/>
  <c r="AM131" i="26"/>
  <c r="AN131" i="26" s="1"/>
  <c r="Z199" i="28"/>
  <c r="Y199" i="28"/>
  <c r="AG199" i="28" s="1"/>
  <c r="AF200" i="28" s="1"/>
  <c r="AL168" i="25"/>
  <c r="F172" i="25"/>
  <c r="AQ168" i="25"/>
  <c r="AO168" i="25"/>
  <c r="AU168" i="25"/>
  <c r="AS168" i="25"/>
  <c r="AI168" i="25"/>
  <c r="AJ167" i="25"/>
  <c r="AK167" i="25" s="1"/>
  <c r="AM167" i="25"/>
  <c r="AN167" i="25" s="1"/>
  <c r="N169" i="25"/>
  <c r="AP169" i="25" s="1"/>
  <c r="P170" i="25"/>
  <c r="F124" i="24"/>
  <c r="AL123" i="24"/>
  <c r="AM123" i="24" s="1"/>
  <c r="AI123" i="24"/>
  <c r="AJ123" i="24" s="1"/>
  <c r="F124" i="15"/>
  <c r="AI123" i="15"/>
  <c r="AJ123" i="15" s="1"/>
  <c r="AK123" i="15" s="1"/>
  <c r="AL123" i="15"/>
  <c r="AM123" i="15" s="1"/>
  <c r="AN123" i="15" s="1"/>
  <c r="M169" i="25"/>
  <c r="AL169" i="25" s="1"/>
  <c r="AL113" i="19"/>
  <c r="AM113" i="19" s="1"/>
  <c r="AN113" i="19" s="1"/>
  <c r="K113" i="19"/>
  <c r="AS113" i="19" s="1"/>
  <c r="AW112" i="19"/>
  <c r="AX112" i="19" s="1"/>
  <c r="AY112" i="19" s="1"/>
  <c r="AO113" i="19"/>
  <c r="AP113" i="19"/>
  <c r="AW127" i="17"/>
  <c r="AX127" i="17" s="1"/>
  <c r="AY127" i="17" s="1"/>
  <c r="AG229" i="17"/>
  <c r="AF230" i="17" s="1"/>
  <c r="Z230" i="17"/>
  <c r="Y230" i="17"/>
  <c r="AC230" i="17" s="1"/>
  <c r="X231" i="17" s="1"/>
  <c r="G128" i="17"/>
  <c r="J129" i="17"/>
  <c r="H128" i="17"/>
  <c r="Y110" i="16"/>
  <c r="AC110" i="16" s="1"/>
  <c r="X111" i="16" s="1"/>
  <c r="Z110" i="16"/>
  <c r="AG109" i="16"/>
  <c r="AF110" i="16" s="1"/>
  <c r="P94" i="16"/>
  <c r="M93" i="16"/>
  <c r="Q93" i="16" s="1"/>
  <c r="L94" i="16" s="1"/>
  <c r="N93" i="16"/>
  <c r="T113" i="16"/>
  <c r="S113" i="16"/>
  <c r="W113" i="16" s="1"/>
  <c r="R114" i="16" s="1"/>
  <c r="AT112" i="16"/>
  <c r="AE112" i="16"/>
  <c r="AD113" i="16" s="1"/>
  <c r="AQ89" i="16"/>
  <c r="F90" i="16"/>
  <c r="AS89" i="16"/>
  <c r="AU89" i="16"/>
  <c r="AI89" i="16"/>
  <c r="AJ89" i="16" s="1"/>
  <c r="AK89" i="16" s="1"/>
  <c r="G159" i="18"/>
  <c r="AR159" i="18" s="1"/>
  <c r="AW158" i="18"/>
  <c r="AX158" i="18" s="1"/>
  <c r="AY158" i="18" s="1"/>
  <c r="F134" i="28" l="1"/>
  <c r="AU133" i="28"/>
  <c r="AQ133" i="28"/>
  <c r="AS133" i="28"/>
  <c r="AM133" i="28"/>
  <c r="AN133" i="28" s="1"/>
  <c r="AC208" i="25"/>
  <c r="X209" i="25" s="1"/>
  <c r="K181" i="24"/>
  <c r="R181" i="24" s="1"/>
  <c r="Q182" i="24" s="1"/>
  <c r="J181" i="24"/>
  <c r="O199" i="24"/>
  <c r="N199" i="24"/>
  <c r="AG196" i="29"/>
  <c r="AF197" i="29" s="1"/>
  <c r="AC196" i="29"/>
  <c r="X197" i="29" s="1"/>
  <c r="AA197" i="29" s="1"/>
  <c r="AE197" i="29" s="1"/>
  <c r="AD198" i="29" s="1"/>
  <c r="F139" i="29"/>
  <c r="I139" i="29" s="1"/>
  <c r="AR139" i="29" s="1"/>
  <c r="AQ138" i="29"/>
  <c r="AU138" i="29"/>
  <c r="AS138" i="29"/>
  <c r="AJ138" i="29"/>
  <c r="AK138" i="29" s="1"/>
  <c r="AW131" i="26"/>
  <c r="AX131" i="26" s="1"/>
  <c r="AY131" i="26" s="1"/>
  <c r="H132" i="26"/>
  <c r="AC199" i="28"/>
  <c r="X200" i="28" s="1"/>
  <c r="AB200" i="28" s="1"/>
  <c r="AW167" i="25"/>
  <c r="AX167" i="25" s="1"/>
  <c r="AY167" i="25" s="1"/>
  <c r="G172" i="25"/>
  <c r="K172" i="25" s="1"/>
  <c r="H172" i="25"/>
  <c r="J173" i="25"/>
  <c r="AW123" i="15"/>
  <c r="AX123" i="15" s="1"/>
  <c r="AY123" i="15" s="1"/>
  <c r="AO169" i="25"/>
  <c r="AJ168" i="25"/>
  <c r="AK168" i="25" s="1"/>
  <c r="AM168" i="25"/>
  <c r="AN168" i="25" s="1"/>
  <c r="AM169" i="25"/>
  <c r="AN169" i="25" s="1"/>
  <c r="AK123" i="24"/>
  <c r="AN123" i="24"/>
  <c r="G124" i="24"/>
  <c r="AR124" i="24" s="1"/>
  <c r="G124" i="15"/>
  <c r="AR124" i="15" s="1"/>
  <c r="Q169" i="25"/>
  <c r="F114" i="19"/>
  <c r="J115" i="19" s="1"/>
  <c r="AQ113" i="19"/>
  <c r="AU113" i="19"/>
  <c r="Y231" i="17"/>
  <c r="AC231" i="17" s="1"/>
  <c r="X232" i="17" s="1"/>
  <c r="Z231" i="17"/>
  <c r="AG230" i="17"/>
  <c r="AF231" i="17" s="1"/>
  <c r="AP128" i="17"/>
  <c r="AO128" i="17"/>
  <c r="K128" i="17"/>
  <c r="AL128" i="17"/>
  <c r="AM128" i="17" s="1"/>
  <c r="AN128" i="17" s="1"/>
  <c r="AI128" i="17"/>
  <c r="AJ128" i="17" s="1"/>
  <c r="AK128" i="17" s="1"/>
  <c r="AG110" i="16"/>
  <c r="AF111" i="16" s="1"/>
  <c r="Z111" i="16"/>
  <c r="Y111" i="16"/>
  <c r="AC111" i="16" s="1"/>
  <c r="X112" i="16" s="1"/>
  <c r="AE113" i="16"/>
  <c r="AD114" i="16" s="1"/>
  <c r="AT113" i="16"/>
  <c r="S114" i="16"/>
  <c r="W114" i="16" s="1"/>
  <c r="R115" i="16" s="1"/>
  <c r="T114" i="16"/>
  <c r="N94" i="16"/>
  <c r="P95" i="16"/>
  <c r="M94" i="16"/>
  <c r="Q94" i="16" s="1"/>
  <c r="L95" i="16" s="1"/>
  <c r="G90" i="16"/>
  <c r="AL90" i="16" s="1"/>
  <c r="AM90" i="16" s="1"/>
  <c r="AN90" i="16" s="1"/>
  <c r="J91" i="16"/>
  <c r="H90" i="16"/>
  <c r="AW89" i="16"/>
  <c r="AX89" i="16" s="1"/>
  <c r="AY89" i="16" s="1"/>
  <c r="H159" i="18"/>
  <c r="Q139" i="29" l="1"/>
  <c r="L140" i="29" s="1"/>
  <c r="N140" i="29" s="1"/>
  <c r="AW133" i="28"/>
  <c r="AX133" i="28" s="1"/>
  <c r="AY133" i="28" s="1"/>
  <c r="O140" i="29"/>
  <c r="I134" i="28"/>
  <c r="Q134" i="28" s="1"/>
  <c r="L135" i="28" s="1"/>
  <c r="G134" i="28"/>
  <c r="AI134" i="28" s="1"/>
  <c r="AJ134" i="28" s="1"/>
  <c r="AK134" i="28" s="1"/>
  <c r="H134" i="28"/>
  <c r="J135" i="28"/>
  <c r="AT198" i="29"/>
  <c r="P199" i="24"/>
  <c r="M200" i="24" s="1"/>
  <c r="L181" i="24"/>
  <c r="I182" i="24" s="1"/>
  <c r="T181" i="24"/>
  <c r="S182" i="24" s="1"/>
  <c r="Y209" i="25"/>
  <c r="AG209" i="25" s="1"/>
  <c r="AF210" i="25" s="1"/>
  <c r="Z209" i="25"/>
  <c r="Z197" i="29"/>
  <c r="Y197" i="29"/>
  <c r="AG197" i="29" s="1"/>
  <c r="AF198" i="29" s="1"/>
  <c r="H139" i="29"/>
  <c r="AP139" i="29" s="1"/>
  <c r="J140" i="29"/>
  <c r="G139" i="29"/>
  <c r="AL139" i="29" s="1"/>
  <c r="AW138" i="29"/>
  <c r="AX138" i="29" s="1"/>
  <c r="AY138" i="29" s="1"/>
  <c r="F133" i="26"/>
  <c r="AL132" i="26"/>
  <c r="AI132" i="26"/>
  <c r="AW168" i="25"/>
  <c r="AX168" i="25" s="1"/>
  <c r="AY168" i="25" s="1"/>
  <c r="Z200" i="28"/>
  <c r="Y200" i="28"/>
  <c r="AG200" i="28" s="1"/>
  <c r="AF201" i="28" s="1"/>
  <c r="F173" i="25"/>
  <c r="AQ169" i="25"/>
  <c r="AS169" i="25"/>
  <c r="AU169" i="25"/>
  <c r="AI169" i="25"/>
  <c r="AW123" i="24"/>
  <c r="AX123" i="24" s="1"/>
  <c r="AY123" i="24" s="1"/>
  <c r="L170" i="25"/>
  <c r="AT182" i="24"/>
  <c r="H124" i="24"/>
  <c r="H124" i="15"/>
  <c r="G114" i="19"/>
  <c r="K114" i="19" s="1"/>
  <c r="F115" i="19" s="1"/>
  <c r="J116" i="19" s="1"/>
  <c r="H114" i="19"/>
  <c r="AP114" i="19" s="1"/>
  <c r="AW113" i="19"/>
  <c r="AX113" i="19" s="1"/>
  <c r="AY113" i="19" s="1"/>
  <c r="AG231" i="17"/>
  <c r="AF232" i="17" s="1"/>
  <c r="Z232" i="17"/>
  <c r="Y232" i="17"/>
  <c r="AC232" i="17" s="1"/>
  <c r="X233" i="17" s="1"/>
  <c r="AQ128" i="17"/>
  <c r="AU128" i="17"/>
  <c r="AS128" i="17"/>
  <c r="F129" i="17"/>
  <c r="Y112" i="16"/>
  <c r="AC112" i="16" s="1"/>
  <c r="X113" i="16" s="1"/>
  <c r="Z112" i="16"/>
  <c r="AG111" i="16"/>
  <c r="AF112" i="16" s="1"/>
  <c r="AE114" i="16"/>
  <c r="AD115" i="16" s="1"/>
  <c r="AT114" i="16"/>
  <c r="P96" i="16"/>
  <c r="N95" i="16"/>
  <c r="M95" i="16"/>
  <c r="Q95" i="16" s="1"/>
  <c r="L96" i="16" s="1"/>
  <c r="S115" i="16"/>
  <c r="W115" i="16" s="1"/>
  <c r="R116" i="16" s="1"/>
  <c r="T115" i="16"/>
  <c r="K90" i="16"/>
  <c r="AO90" i="16"/>
  <c r="AP90" i="16"/>
  <c r="F160" i="18"/>
  <c r="AL159" i="18"/>
  <c r="AM159" i="18" s="1"/>
  <c r="AN159" i="18" s="1"/>
  <c r="AI159" i="18"/>
  <c r="P141" i="29" l="1"/>
  <c r="M140" i="29"/>
  <c r="O135" i="28"/>
  <c r="N135" i="28"/>
  <c r="M135" i="28"/>
  <c r="P136" i="28"/>
  <c r="AP134" i="28"/>
  <c r="AO134" i="28"/>
  <c r="AL134" i="28"/>
  <c r="K134" i="28"/>
  <c r="AC209" i="25"/>
  <c r="X210" i="25" s="1"/>
  <c r="O200" i="24"/>
  <c r="N200" i="24"/>
  <c r="K182" i="24"/>
  <c r="R182" i="24" s="1"/>
  <c r="Q183" i="24" s="1"/>
  <c r="J182" i="24"/>
  <c r="AC197" i="29"/>
  <c r="X198" i="29" s="1"/>
  <c r="AA198" i="29" s="1"/>
  <c r="AE198" i="29" s="1"/>
  <c r="AD199" i="29" s="1"/>
  <c r="AO139" i="29"/>
  <c r="AM139" i="29"/>
  <c r="AN139" i="29" s="1"/>
  <c r="AI139" i="29"/>
  <c r="K139" i="29"/>
  <c r="AJ132" i="26"/>
  <c r="AK132" i="26" s="1"/>
  <c r="AM132" i="26"/>
  <c r="AN132" i="26" s="1"/>
  <c r="G133" i="26"/>
  <c r="AR133" i="26" s="1"/>
  <c r="AC200" i="28"/>
  <c r="X201" i="28" s="1"/>
  <c r="AB201" i="28" s="1"/>
  <c r="G173" i="25"/>
  <c r="K173" i="25" s="1"/>
  <c r="J174" i="25"/>
  <c r="H173" i="25"/>
  <c r="P171" i="25"/>
  <c r="N170" i="25"/>
  <c r="AP170" i="25" s="1"/>
  <c r="AJ169" i="25"/>
  <c r="AK169" i="25" s="1"/>
  <c r="AW169" i="25" s="1"/>
  <c r="AX169" i="25" s="1"/>
  <c r="AY169" i="25" s="1"/>
  <c r="F125" i="24"/>
  <c r="AL124" i="24"/>
  <c r="AM124" i="24" s="1"/>
  <c r="AI124" i="24"/>
  <c r="AJ124" i="24" s="1"/>
  <c r="F125" i="15"/>
  <c r="AI124" i="15"/>
  <c r="AJ124" i="15" s="1"/>
  <c r="AK124" i="15" s="1"/>
  <c r="AL124" i="15"/>
  <c r="AM124" i="15" s="1"/>
  <c r="AN124" i="15" s="1"/>
  <c r="M170" i="25"/>
  <c r="AL170" i="25" s="1"/>
  <c r="AL114" i="19"/>
  <c r="AM114" i="19" s="1"/>
  <c r="AN114" i="19" s="1"/>
  <c r="AU114" i="19"/>
  <c r="H115" i="19"/>
  <c r="AO115" i="19" s="1"/>
  <c r="G115" i="19"/>
  <c r="K115" i="19" s="1"/>
  <c r="AS115" i="19" s="1"/>
  <c r="AO114" i="19"/>
  <c r="AI114" i="19"/>
  <c r="AJ114" i="19" s="1"/>
  <c r="AK114" i="19" s="1"/>
  <c r="AS114" i="19"/>
  <c r="AQ114" i="19"/>
  <c r="AW128" i="17"/>
  <c r="AX128" i="17" s="1"/>
  <c r="AY128" i="17" s="1"/>
  <c r="Y233" i="17"/>
  <c r="AC233" i="17" s="1"/>
  <c r="X234" i="17" s="1"/>
  <c r="Z233" i="17"/>
  <c r="AG232" i="17"/>
  <c r="AF233" i="17" s="1"/>
  <c r="H129" i="17"/>
  <c r="J130" i="17"/>
  <c r="G129" i="17"/>
  <c r="K129" i="17" s="1"/>
  <c r="F130" i="17" s="1"/>
  <c r="AG112" i="16"/>
  <c r="AF113" i="16" s="1"/>
  <c r="Y113" i="16"/>
  <c r="AC113" i="16" s="1"/>
  <c r="X114" i="16" s="1"/>
  <c r="Y114" i="16" s="1"/>
  <c r="AC114" i="16" s="1"/>
  <c r="X115" i="16" s="1"/>
  <c r="Z113" i="16"/>
  <c r="S116" i="16"/>
  <c r="W116" i="16" s="1"/>
  <c r="R117" i="16" s="1"/>
  <c r="T116" i="16"/>
  <c r="M96" i="16"/>
  <c r="Q96" i="16" s="1"/>
  <c r="L97" i="16" s="1"/>
  <c r="P97" i="16"/>
  <c r="N96" i="16"/>
  <c r="AE115" i="16"/>
  <c r="AD116" i="16" s="1"/>
  <c r="AT115" i="16"/>
  <c r="F91" i="16"/>
  <c r="AS90" i="16"/>
  <c r="AU90" i="16"/>
  <c r="AI90" i="16"/>
  <c r="AJ90" i="16" s="1"/>
  <c r="AK90" i="16" s="1"/>
  <c r="AQ90" i="16"/>
  <c r="AJ159" i="18"/>
  <c r="AK159" i="18" s="1"/>
  <c r="AW159" i="18" s="1"/>
  <c r="AX159" i="18" s="1"/>
  <c r="AY159" i="18" s="1"/>
  <c r="G160" i="18"/>
  <c r="AR160" i="18" s="1"/>
  <c r="AM134" i="28" l="1"/>
  <c r="AN134" i="28" s="1"/>
  <c r="F135" i="28"/>
  <c r="AQ134" i="28"/>
  <c r="AS134" i="28"/>
  <c r="AU134" i="28"/>
  <c r="AT199" i="29"/>
  <c r="P200" i="24"/>
  <c r="M201" i="24" s="1"/>
  <c r="L182" i="24"/>
  <c r="I183" i="24" s="1"/>
  <c r="Y210" i="25"/>
  <c r="AG210" i="25" s="1"/>
  <c r="AF211" i="25" s="1"/>
  <c r="Z210" i="25"/>
  <c r="T182" i="24"/>
  <c r="S183" i="24" s="1"/>
  <c r="Z198" i="29"/>
  <c r="Y198" i="29"/>
  <c r="AJ139" i="29"/>
  <c r="AK139" i="29" s="1"/>
  <c r="F140" i="29"/>
  <c r="I140" i="29" s="1"/>
  <c r="AQ139" i="29"/>
  <c r="AS139" i="29"/>
  <c r="AU139" i="29"/>
  <c r="AW132" i="26"/>
  <c r="AX132" i="26" s="1"/>
  <c r="AY132" i="26" s="1"/>
  <c r="H133" i="26"/>
  <c r="Z201" i="28"/>
  <c r="Y201" i="28"/>
  <c r="AG201" i="28" s="1"/>
  <c r="AF202" i="28" s="1"/>
  <c r="F174" i="25"/>
  <c r="AO170" i="25"/>
  <c r="AM170" i="25"/>
  <c r="AN170" i="25" s="1"/>
  <c r="AW124" i="15"/>
  <c r="AX124" i="15" s="1"/>
  <c r="AY124" i="15" s="1"/>
  <c r="AT183" i="24"/>
  <c r="AN124" i="24"/>
  <c r="AK124" i="24"/>
  <c r="G125" i="24"/>
  <c r="AR125" i="24" s="1"/>
  <c r="G125" i="15"/>
  <c r="AR125" i="15" s="1"/>
  <c r="Q170" i="25"/>
  <c r="AW114" i="19"/>
  <c r="AX114" i="19" s="1"/>
  <c r="AY114" i="19" s="1"/>
  <c r="AI115" i="19"/>
  <c r="AJ115" i="19" s="1"/>
  <c r="AK115" i="19" s="1"/>
  <c r="AP115" i="19"/>
  <c r="AU115" i="19"/>
  <c r="F116" i="19"/>
  <c r="G116" i="19" s="1"/>
  <c r="AQ115" i="19"/>
  <c r="AL115" i="19"/>
  <c r="AM115" i="19" s="1"/>
  <c r="AN115" i="19" s="1"/>
  <c r="AG233" i="17"/>
  <c r="AF234" i="17" s="1"/>
  <c r="Z234" i="17"/>
  <c r="Y234" i="17"/>
  <c r="AC234" i="17" s="1"/>
  <c r="AU129" i="17"/>
  <c r="AL129" i="17"/>
  <c r="AM129" i="17" s="1"/>
  <c r="AN129" i="17" s="1"/>
  <c r="AI129" i="17"/>
  <c r="AJ129" i="17" s="1"/>
  <c r="AK129" i="17" s="1"/>
  <c r="AQ129" i="17"/>
  <c r="AS129" i="17"/>
  <c r="AO129" i="17"/>
  <c r="AP129" i="17"/>
  <c r="H130" i="17"/>
  <c r="G130" i="17"/>
  <c r="K130" i="17" s="1"/>
  <c r="F131" i="17" s="1"/>
  <c r="J131" i="17"/>
  <c r="AG113" i="16"/>
  <c r="AF114" i="16" s="1"/>
  <c r="AG114" i="16" s="1"/>
  <c r="AF115" i="16" s="1"/>
  <c r="Z114" i="16"/>
  <c r="M97" i="16"/>
  <c r="Q97" i="16" s="1"/>
  <c r="L98" i="16" s="1"/>
  <c r="P98" i="16"/>
  <c r="N97" i="16"/>
  <c r="AT116" i="16"/>
  <c r="AE116" i="16"/>
  <c r="AD117" i="16" s="1"/>
  <c r="T117" i="16"/>
  <c r="S117" i="16"/>
  <c r="W117" i="16" s="1"/>
  <c r="R118" i="16" s="1"/>
  <c r="J92" i="16"/>
  <c r="H91" i="16"/>
  <c r="G91" i="16"/>
  <c r="AL91" i="16" s="1"/>
  <c r="AM91" i="16" s="1"/>
  <c r="AN91" i="16" s="1"/>
  <c r="AW90" i="16"/>
  <c r="AX90" i="16" s="1"/>
  <c r="AY90" i="16" s="1"/>
  <c r="Y115" i="16"/>
  <c r="AC115" i="16" s="1"/>
  <c r="X116" i="16" s="1"/>
  <c r="Z115" i="16"/>
  <c r="H160" i="18"/>
  <c r="AI160" i="18" s="1"/>
  <c r="AJ160" i="18" s="1"/>
  <c r="AK160" i="18" s="1"/>
  <c r="AW134" i="28" l="1"/>
  <c r="AX134" i="28" s="1"/>
  <c r="AY134" i="28" s="1"/>
  <c r="I135" i="28"/>
  <c r="Q135" i="28" s="1"/>
  <c r="L136" i="28" s="1"/>
  <c r="G135" i="28"/>
  <c r="AL135" i="28" s="1"/>
  <c r="AM135" i="28" s="1"/>
  <c r="AN135" i="28" s="1"/>
  <c r="J136" i="28"/>
  <c r="H135" i="28"/>
  <c r="AR140" i="29"/>
  <c r="Q140" i="29"/>
  <c r="L141" i="29" s="1"/>
  <c r="AC210" i="25"/>
  <c r="X211" i="25" s="1"/>
  <c r="K183" i="24"/>
  <c r="T183" i="24" s="1"/>
  <c r="S184" i="24" s="1"/>
  <c r="J183" i="24"/>
  <c r="O201" i="24"/>
  <c r="N201" i="24"/>
  <c r="AC198" i="29"/>
  <c r="X199" i="29" s="1"/>
  <c r="AA199" i="29" s="1"/>
  <c r="AE199" i="29" s="1"/>
  <c r="AD200" i="29" s="1"/>
  <c r="AG198" i="29"/>
  <c r="AF199" i="29" s="1"/>
  <c r="AW139" i="29"/>
  <c r="AX139" i="29" s="1"/>
  <c r="AY139" i="29" s="1"/>
  <c r="J141" i="29"/>
  <c r="H140" i="29"/>
  <c r="AP140" i="29" s="1"/>
  <c r="G140" i="29"/>
  <c r="K140" i="29" s="1"/>
  <c r="F134" i="26"/>
  <c r="AL133" i="26"/>
  <c r="AI133" i="26"/>
  <c r="AC201" i="28"/>
  <c r="X202" i="28" s="1"/>
  <c r="AB202" i="28" s="1"/>
  <c r="AW124" i="24"/>
  <c r="AX124" i="24" s="1"/>
  <c r="AY124" i="24" s="1"/>
  <c r="G174" i="25"/>
  <c r="K174" i="25" s="1"/>
  <c r="H174" i="25"/>
  <c r="J175" i="25"/>
  <c r="AU170" i="25"/>
  <c r="AI170" i="25"/>
  <c r="AQ170" i="25"/>
  <c r="AS170" i="25"/>
  <c r="L171" i="25"/>
  <c r="H125" i="24"/>
  <c r="H125" i="15"/>
  <c r="AW115" i="19"/>
  <c r="AX115" i="19" s="1"/>
  <c r="AY115" i="19" s="1"/>
  <c r="J117" i="19"/>
  <c r="H116" i="19"/>
  <c r="AP116" i="19" s="1"/>
  <c r="AL116" i="19"/>
  <c r="AM116" i="19" s="1"/>
  <c r="AN116" i="19" s="1"/>
  <c r="AI116" i="19"/>
  <c r="AJ116" i="19" s="1"/>
  <c r="AK116" i="19" s="1"/>
  <c r="K116" i="19"/>
  <c r="AG234" i="17"/>
  <c r="AW129" i="17"/>
  <c r="AX129" i="17" s="1"/>
  <c r="AY129" i="17" s="1"/>
  <c r="AQ130" i="17"/>
  <c r="AL130" i="17"/>
  <c r="AM130" i="17" s="1"/>
  <c r="AN130" i="17" s="1"/>
  <c r="AI130" i="17"/>
  <c r="AJ130" i="17" s="1"/>
  <c r="AK130" i="17" s="1"/>
  <c r="AU130" i="17"/>
  <c r="AS130" i="17"/>
  <c r="J132" i="17"/>
  <c r="H131" i="17"/>
  <c r="G131" i="17"/>
  <c r="K131" i="17" s="1"/>
  <c r="F132" i="17" s="1"/>
  <c r="AP130" i="17"/>
  <c r="AO130" i="17"/>
  <c r="P99" i="16"/>
  <c r="M98" i="16"/>
  <c r="Q98" i="16" s="1"/>
  <c r="L99" i="16" s="1"/>
  <c r="N98" i="16"/>
  <c r="AE117" i="16"/>
  <c r="AD118" i="16" s="1"/>
  <c r="AT117" i="16"/>
  <c r="S118" i="16"/>
  <c r="W118" i="16" s="1"/>
  <c r="R119" i="16" s="1"/>
  <c r="T118" i="16"/>
  <c r="AG115" i="16"/>
  <c r="AF116" i="16" s="1"/>
  <c r="K91" i="16"/>
  <c r="AO91" i="16"/>
  <c r="AP91" i="16"/>
  <c r="Y116" i="16"/>
  <c r="AC116" i="16" s="1"/>
  <c r="X117" i="16" s="1"/>
  <c r="Z116" i="16"/>
  <c r="F161" i="18"/>
  <c r="AL160" i="18"/>
  <c r="AM160" i="18" s="1"/>
  <c r="AN160" i="18" s="1"/>
  <c r="AW160" i="18" s="1"/>
  <c r="AX160" i="18" s="1"/>
  <c r="AY160" i="18" s="1"/>
  <c r="AT200" i="29" l="1"/>
  <c r="O136" i="28"/>
  <c r="M136" i="28"/>
  <c r="N136" i="28"/>
  <c r="P137" i="28"/>
  <c r="AP135" i="28"/>
  <c r="AO135" i="28"/>
  <c r="AI135" i="28"/>
  <c r="K135" i="28"/>
  <c r="O141" i="29"/>
  <c r="N141" i="29"/>
  <c r="P142" i="29"/>
  <c r="M141" i="29"/>
  <c r="L183" i="24"/>
  <c r="I184" i="24" s="1"/>
  <c r="P201" i="24"/>
  <c r="M202" i="24" s="1"/>
  <c r="Z211" i="25"/>
  <c r="Y211" i="25"/>
  <c r="AG211" i="25" s="1"/>
  <c r="AF212" i="25" s="1"/>
  <c r="R183" i="24"/>
  <c r="Q184" i="24" s="1"/>
  <c r="AT184" i="24" s="1"/>
  <c r="Z199" i="29"/>
  <c r="Y199" i="29"/>
  <c r="AC199" i="29" s="1"/>
  <c r="X200" i="29" s="1"/>
  <c r="AA200" i="29" s="1"/>
  <c r="AE200" i="29" s="1"/>
  <c r="AD201" i="29" s="1"/>
  <c r="F141" i="29"/>
  <c r="I141" i="29" s="1"/>
  <c r="AR141" i="29" s="1"/>
  <c r="AQ140" i="29"/>
  <c r="AS140" i="29"/>
  <c r="AU140" i="29"/>
  <c r="AL140" i="29"/>
  <c r="AI140" i="29"/>
  <c r="AO140" i="29"/>
  <c r="G134" i="26"/>
  <c r="AR134" i="26" s="1"/>
  <c r="AJ133" i="26"/>
  <c r="AK133" i="26" s="1"/>
  <c r="AM133" i="26"/>
  <c r="AN133" i="26" s="1"/>
  <c r="Z202" i="28"/>
  <c r="Y202" i="28"/>
  <c r="AG202" i="28" s="1"/>
  <c r="AF203" i="28" s="1"/>
  <c r="F175" i="25"/>
  <c r="P172" i="25"/>
  <c r="N171" i="25"/>
  <c r="AP171" i="25" s="1"/>
  <c r="AJ170" i="25"/>
  <c r="AK170" i="25" s="1"/>
  <c r="AW170" i="25" s="1"/>
  <c r="AX170" i="25" s="1"/>
  <c r="AY170" i="25" s="1"/>
  <c r="F126" i="24"/>
  <c r="AI125" i="24"/>
  <c r="AJ125" i="24" s="1"/>
  <c r="AL125" i="24"/>
  <c r="AM125" i="24" s="1"/>
  <c r="F126" i="15"/>
  <c r="AI125" i="15"/>
  <c r="AJ125" i="15" s="1"/>
  <c r="AK125" i="15" s="1"/>
  <c r="AL125" i="15"/>
  <c r="AM125" i="15" s="1"/>
  <c r="AN125" i="15" s="1"/>
  <c r="M171" i="25"/>
  <c r="Q171" i="25" s="1"/>
  <c r="L172" i="25" s="1"/>
  <c r="AO116" i="19"/>
  <c r="AU116" i="19"/>
  <c r="AS116" i="19"/>
  <c r="AQ116" i="19"/>
  <c r="F117" i="19"/>
  <c r="AW130" i="17"/>
  <c r="AX130" i="17" s="1"/>
  <c r="AY130" i="17" s="1"/>
  <c r="AI131" i="17"/>
  <c r="AJ131" i="17" s="1"/>
  <c r="AK131" i="17" s="1"/>
  <c r="J133" i="17"/>
  <c r="H132" i="17"/>
  <c r="G132" i="17"/>
  <c r="AI132" i="17" s="1"/>
  <c r="AJ132" i="17" s="1"/>
  <c r="AK132" i="17" s="1"/>
  <c r="AL131" i="17"/>
  <c r="AM131" i="17" s="1"/>
  <c r="AN131" i="17" s="1"/>
  <c r="AQ131" i="17"/>
  <c r="AS131" i="17"/>
  <c r="AU131" i="17"/>
  <c r="AO131" i="17"/>
  <c r="AP131" i="17"/>
  <c r="N99" i="16"/>
  <c r="P100" i="16"/>
  <c r="M99" i="16"/>
  <c r="Q99" i="16" s="1"/>
  <c r="L100" i="16" s="1"/>
  <c r="T119" i="16"/>
  <c r="S119" i="16"/>
  <c r="W119" i="16" s="1"/>
  <c r="R120" i="16" s="1"/>
  <c r="AT118" i="16"/>
  <c r="AE118" i="16"/>
  <c r="AD119" i="16" s="1"/>
  <c r="Y117" i="16"/>
  <c r="AC117" i="16" s="1"/>
  <c r="X118" i="16" s="1"/>
  <c r="Z117" i="16"/>
  <c r="AG116" i="16"/>
  <c r="AF117" i="16" s="1"/>
  <c r="F92" i="16"/>
  <c r="AU91" i="16"/>
  <c r="AI91" i="16"/>
  <c r="AJ91" i="16" s="1"/>
  <c r="AK91" i="16" s="1"/>
  <c r="AS91" i="16"/>
  <c r="AQ91" i="16"/>
  <c r="G161" i="18"/>
  <c r="AR161" i="18" s="1"/>
  <c r="AT201" i="29" l="1"/>
  <c r="AJ135" i="28"/>
  <c r="AK135" i="28" s="1"/>
  <c r="F136" i="28"/>
  <c r="AQ135" i="28"/>
  <c r="AS135" i="28"/>
  <c r="AU135" i="28"/>
  <c r="Q141" i="29"/>
  <c r="L142" i="29" s="1"/>
  <c r="AC211" i="25"/>
  <c r="X212" i="25" s="1"/>
  <c r="O202" i="24"/>
  <c r="N202" i="24"/>
  <c r="K184" i="24"/>
  <c r="R184" i="24" s="1"/>
  <c r="Q185" i="24" s="1"/>
  <c r="J184" i="24"/>
  <c r="AG199" i="29"/>
  <c r="AF200" i="29" s="1"/>
  <c r="Z200" i="29"/>
  <c r="Y200" i="29"/>
  <c r="AC200" i="29" s="1"/>
  <c r="X201" i="29" s="1"/>
  <c r="AA201" i="29" s="1"/>
  <c r="AE201" i="29" s="1"/>
  <c r="AD202" i="29" s="1"/>
  <c r="H141" i="29"/>
  <c r="AP141" i="29" s="1"/>
  <c r="J142" i="29"/>
  <c r="G141" i="29"/>
  <c r="AI141" i="29" s="1"/>
  <c r="AM140" i="29"/>
  <c r="AN140" i="29" s="1"/>
  <c r="AJ140" i="29"/>
  <c r="AK140" i="29" s="1"/>
  <c r="H134" i="26"/>
  <c r="AW133" i="26"/>
  <c r="AX133" i="26" s="1"/>
  <c r="AY133" i="26" s="1"/>
  <c r="AC202" i="28"/>
  <c r="X203" i="28" s="1"/>
  <c r="AB203" i="28" s="1"/>
  <c r="G175" i="25"/>
  <c r="K175" i="25" s="1"/>
  <c r="H175" i="25"/>
  <c r="J176" i="25"/>
  <c r="AL171" i="25"/>
  <c r="AI171" i="25"/>
  <c r="AS171" i="25"/>
  <c r="AQ171" i="25"/>
  <c r="AU171" i="25"/>
  <c r="AO171" i="25"/>
  <c r="P173" i="25"/>
  <c r="N172" i="25"/>
  <c r="AP172" i="25" s="1"/>
  <c r="AN125" i="24"/>
  <c r="AK125" i="24"/>
  <c r="G126" i="24"/>
  <c r="AR126" i="24" s="1"/>
  <c r="G126" i="15"/>
  <c r="AR126" i="15" s="1"/>
  <c r="AW125" i="15"/>
  <c r="AX125" i="15" s="1"/>
  <c r="AY125" i="15" s="1"/>
  <c r="M172" i="25"/>
  <c r="AL172" i="25" s="1"/>
  <c r="AW116" i="19"/>
  <c r="AX116" i="19" s="1"/>
  <c r="AY116" i="19" s="1"/>
  <c r="H117" i="19"/>
  <c r="G117" i="19"/>
  <c r="J118" i="19"/>
  <c r="AW91" i="16"/>
  <c r="AX91" i="16" s="1"/>
  <c r="AY91" i="16" s="1"/>
  <c r="AW131" i="17"/>
  <c r="AX131" i="17" s="1"/>
  <c r="AY131" i="17" s="1"/>
  <c r="AL132" i="17"/>
  <c r="AM132" i="17" s="1"/>
  <c r="AN132" i="17" s="1"/>
  <c r="AO132" i="17"/>
  <c r="AP132" i="17"/>
  <c r="K132" i="17"/>
  <c r="T120" i="16"/>
  <c r="S120" i="16"/>
  <c r="W120" i="16" s="1"/>
  <c r="R121" i="16" s="1"/>
  <c r="AG117" i="16"/>
  <c r="AF118" i="16" s="1"/>
  <c r="N100" i="16"/>
  <c r="M100" i="16"/>
  <c r="Q100" i="16" s="1"/>
  <c r="L101" i="16" s="1"/>
  <c r="P101" i="16"/>
  <c r="AE119" i="16"/>
  <c r="AD120" i="16" s="1"/>
  <c r="AT119" i="16"/>
  <c r="J93" i="16"/>
  <c r="G92" i="16"/>
  <c r="AL92" i="16" s="1"/>
  <c r="AM92" i="16" s="1"/>
  <c r="AN92" i="16" s="1"/>
  <c r="H92" i="16"/>
  <c r="Z118" i="16"/>
  <c r="Y118" i="16"/>
  <c r="H161" i="18"/>
  <c r="F162" i="18" s="1"/>
  <c r="G162" i="18" s="1"/>
  <c r="AR162" i="18" s="1"/>
  <c r="AW135" i="28" l="1"/>
  <c r="AX135" i="28" s="1"/>
  <c r="AY135" i="28" s="1"/>
  <c r="AT202" i="29"/>
  <c r="I136" i="28"/>
  <c r="Q136" i="28" s="1"/>
  <c r="L137" i="28" s="1"/>
  <c r="G136" i="28"/>
  <c r="AL136" i="28" s="1"/>
  <c r="AM136" i="28" s="1"/>
  <c r="AN136" i="28" s="1"/>
  <c r="H136" i="28"/>
  <c r="J137" i="28"/>
  <c r="O142" i="29"/>
  <c r="M142" i="29"/>
  <c r="N142" i="29"/>
  <c r="P143" i="29"/>
  <c r="L184" i="24"/>
  <c r="I185" i="24" s="1"/>
  <c r="P202" i="24"/>
  <c r="M203" i="24" s="1"/>
  <c r="T184" i="24"/>
  <c r="S185" i="24" s="1"/>
  <c r="Y212" i="25"/>
  <c r="Z212" i="25"/>
  <c r="Z201" i="29"/>
  <c r="Y201" i="29"/>
  <c r="AG200" i="29"/>
  <c r="AF201" i="29" s="1"/>
  <c r="AO141" i="29"/>
  <c r="AJ141" i="29"/>
  <c r="AK141" i="29" s="1"/>
  <c r="AL141" i="29"/>
  <c r="K141" i="29"/>
  <c r="AW140" i="29"/>
  <c r="AX140" i="29" s="1"/>
  <c r="AY140" i="29" s="1"/>
  <c r="F135" i="26"/>
  <c r="AL134" i="26"/>
  <c r="AI134" i="26"/>
  <c r="Z203" i="28"/>
  <c r="Y203" i="28"/>
  <c r="AG203" i="28" s="1"/>
  <c r="AF204" i="28" s="1"/>
  <c r="F176" i="25"/>
  <c r="AO172" i="25"/>
  <c r="AJ171" i="25"/>
  <c r="AK171" i="25" s="1"/>
  <c r="AW125" i="24"/>
  <c r="AX125" i="24" s="1"/>
  <c r="AY125" i="24" s="1"/>
  <c r="AM172" i="25"/>
  <c r="AN172" i="25" s="1"/>
  <c r="AM171" i="25"/>
  <c r="AN171" i="25" s="1"/>
  <c r="AT185" i="24"/>
  <c r="H126" i="15"/>
  <c r="H126" i="24"/>
  <c r="Q172" i="25"/>
  <c r="AI117" i="19"/>
  <c r="AJ117" i="19" s="1"/>
  <c r="AK117" i="19" s="1"/>
  <c r="K117" i="19"/>
  <c r="AL117" i="19"/>
  <c r="AM117" i="19" s="1"/>
  <c r="AN117" i="19" s="1"/>
  <c r="AP117" i="19"/>
  <c r="AO117" i="19"/>
  <c r="F133" i="17"/>
  <c r="AQ132" i="17"/>
  <c r="AU132" i="17"/>
  <c r="AS132" i="17"/>
  <c r="AG118" i="16"/>
  <c r="AF119" i="16" s="1"/>
  <c r="AC118" i="16"/>
  <c r="X119" i="16" s="1"/>
  <c r="Y119" i="16" s="1"/>
  <c r="M101" i="16"/>
  <c r="Q101" i="16" s="1"/>
  <c r="L102" i="16" s="1"/>
  <c r="N101" i="16"/>
  <c r="P102" i="16"/>
  <c r="T121" i="16"/>
  <c r="S121" i="16"/>
  <c r="W121" i="16" s="1"/>
  <c r="R122" i="16" s="1"/>
  <c r="AT120" i="16"/>
  <c r="AE120" i="16"/>
  <c r="AD121" i="16" s="1"/>
  <c r="K92" i="16"/>
  <c r="AP92" i="16"/>
  <c r="AO92" i="16"/>
  <c r="H162" i="18"/>
  <c r="F163" i="18" s="1"/>
  <c r="G163" i="18" s="1"/>
  <c r="AR163" i="18" s="1"/>
  <c r="AI161" i="18"/>
  <c r="AJ161" i="18" s="1"/>
  <c r="AK161" i="18" s="1"/>
  <c r="AL161" i="18"/>
  <c r="AM161" i="18" s="1"/>
  <c r="AN161" i="18" s="1"/>
  <c r="O137" i="28" l="1"/>
  <c r="P138" i="28"/>
  <c r="M137" i="28"/>
  <c r="N137" i="28"/>
  <c r="AI136" i="28"/>
  <c r="AP136" i="28"/>
  <c r="AO136" i="28"/>
  <c r="K136" i="28"/>
  <c r="AC212" i="25"/>
  <c r="X213" i="25" s="1"/>
  <c r="AG212" i="25"/>
  <c r="AF213" i="25" s="1"/>
  <c r="O203" i="24"/>
  <c r="N203" i="24"/>
  <c r="K185" i="24"/>
  <c r="T185" i="24" s="1"/>
  <c r="S186" i="24" s="1"/>
  <c r="J185" i="24"/>
  <c r="AG201" i="29"/>
  <c r="AF202" i="29" s="1"/>
  <c r="AC201" i="29"/>
  <c r="X202" i="29" s="1"/>
  <c r="AA202" i="29" s="1"/>
  <c r="AE202" i="29" s="1"/>
  <c r="AD203" i="29" s="1"/>
  <c r="AM141" i="29"/>
  <c r="AN141" i="29" s="1"/>
  <c r="F142" i="29"/>
  <c r="I142" i="29" s="1"/>
  <c r="AR142" i="29" s="1"/>
  <c r="AU141" i="29"/>
  <c r="AQ141" i="29"/>
  <c r="AS141" i="29"/>
  <c r="G135" i="26"/>
  <c r="AR135" i="26" s="1"/>
  <c r="AM134" i="26"/>
  <c r="AN134" i="26" s="1"/>
  <c r="AJ134" i="26"/>
  <c r="AK134" i="26" s="1"/>
  <c r="AC203" i="28"/>
  <c r="X204" i="28" s="1"/>
  <c r="G176" i="25"/>
  <c r="K176" i="25" s="1"/>
  <c r="H176" i="25"/>
  <c r="J177" i="25"/>
  <c r="AW171" i="25"/>
  <c r="AX171" i="25" s="1"/>
  <c r="AY171" i="25" s="1"/>
  <c r="AQ172" i="25"/>
  <c r="AS172" i="25"/>
  <c r="AU172" i="25"/>
  <c r="AI172" i="25"/>
  <c r="L173" i="25"/>
  <c r="F127" i="24"/>
  <c r="AI126" i="24"/>
  <c r="AJ126" i="24" s="1"/>
  <c r="AL126" i="24"/>
  <c r="AM126" i="24" s="1"/>
  <c r="F127" i="15"/>
  <c r="AL126" i="15"/>
  <c r="AM126" i="15" s="1"/>
  <c r="AN126" i="15" s="1"/>
  <c r="AI126" i="15"/>
  <c r="AJ126" i="15" s="1"/>
  <c r="AK126" i="15" s="1"/>
  <c r="AQ117" i="19"/>
  <c r="AS117" i="19"/>
  <c r="AU117" i="19"/>
  <c r="F118" i="19"/>
  <c r="AW132" i="17"/>
  <c r="AX132" i="17" s="1"/>
  <c r="AY132" i="17" s="1"/>
  <c r="J134" i="17"/>
  <c r="H133" i="17"/>
  <c r="G133" i="17"/>
  <c r="K133" i="17" s="1"/>
  <c r="F134" i="17" s="1"/>
  <c r="Z119" i="16"/>
  <c r="AG119" i="16"/>
  <c r="AF120" i="16" s="1"/>
  <c r="AT121" i="16"/>
  <c r="AE121" i="16"/>
  <c r="AD122" i="16" s="1"/>
  <c r="S122" i="16"/>
  <c r="W122" i="16" s="1"/>
  <c r="R123" i="16" s="1"/>
  <c r="T122" i="16"/>
  <c r="M102" i="16"/>
  <c r="Q102" i="16" s="1"/>
  <c r="L103" i="16" s="1"/>
  <c r="P103" i="16"/>
  <c r="N102" i="16"/>
  <c r="AC119" i="16"/>
  <c r="X120" i="16" s="1"/>
  <c r="F93" i="16"/>
  <c r="AU92" i="16"/>
  <c r="AS92" i="16"/>
  <c r="AQ92" i="16"/>
  <c r="AI92" i="16"/>
  <c r="AJ92" i="16" s="1"/>
  <c r="AK92" i="16" s="1"/>
  <c r="AL162" i="18"/>
  <c r="AM162" i="18" s="1"/>
  <c r="AN162" i="18" s="1"/>
  <c r="AI162" i="18"/>
  <c r="AJ162" i="18" s="1"/>
  <c r="AK162" i="18" s="1"/>
  <c r="AW161" i="18"/>
  <c r="AX161" i="18" s="1"/>
  <c r="AY161" i="18" s="1"/>
  <c r="H163" i="18"/>
  <c r="F164" i="18" s="1"/>
  <c r="G164" i="18" s="1"/>
  <c r="AR164" i="18" s="1"/>
  <c r="AT203" i="29" l="1"/>
  <c r="Q142" i="29"/>
  <c r="L143" i="29" s="1"/>
  <c r="F137" i="28"/>
  <c r="AQ136" i="28"/>
  <c r="AU136" i="28"/>
  <c r="AS136" i="28"/>
  <c r="AJ136" i="28"/>
  <c r="AK136" i="28" s="1"/>
  <c r="Y204" i="28"/>
  <c r="AG204" i="28" s="1"/>
  <c r="AF205" i="28" s="1"/>
  <c r="AB204" i="28"/>
  <c r="R185" i="24"/>
  <c r="Q186" i="24" s="1"/>
  <c r="AT186" i="24" s="1"/>
  <c r="L185" i="24"/>
  <c r="I186" i="24" s="1"/>
  <c r="P203" i="24"/>
  <c r="M204" i="24" s="1"/>
  <c r="Y213" i="25"/>
  <c r="AC213" i="25" s="1"/>
  <c r="X214" i="25" s="1"/>
  <c r="Z213" i="25"/>
  <c r="Z202" i="29"/>
  <c r="Y202" i="29"/>
  <c r="AG202" i="29" s="1"/>
  <c r="AF203" i="29" s="1"/>
  <c r="AW141" i="29"/>
  <c r="AX141" i="29" s="1"/>
  <c r="AY141" i="29" s="1"/>
  <c r="J143" i="29"/>
  <c r="H142" i="29"/>
  <c r="AP142" i="29" s="1"/>
  <c r="G142" i="29"/>
  <c r="AI142" i="29" s="1"/>
  <c r="AW134" i="26"/>
  <c r="AX134" i="26" s="1"/>
  <c r="AY134" i="26" s="1"/>
  <c r="H135" i="26"/>
  <c r="Z204" i="28"/>
  <c r="F177" i="25"/>
  <c r="P174" i="25"/>
  <c r="N173" i="25"/>
  <c r="AP173" i="25" s="1"/>
  <c r="AJ172" i="25"/>
  <c r="AK172" i="25" s="1"/>
  <c r="AW172" i="25" s="1"/>
  <c r="AX172" i="25" s="1"/>
  <c r="AY172" i="25" s="1"/>
  <c r="AK126" i="24"/>
  <c r="AN126" i="24"/>
  <c r="G127" i="15"/>
  <c r="AR127" i="15" s="1"/>
  <c r="G127" i="24"/>
  <c r="AR127" i="24" s="1"/>
  <c r="AW126" i="15"/>
  <c r="AX126" i="15" s="1"/>
  <c r="AY126" i="15" s="1"/>
  <c r="M173" i="25"/>
  <c r="Q173" i="25" s="1"/>
  <c r="L174" i="25" s="1"/>
  <c r="AW117" i="19"/>
  <c r="AX117" i="19" s="1"/>
  <c r="AY117" i="19" s="1"/>
  <c r="J119" i="19"/>
  <c r="H118" i="19"/>
  <c r="G118" i="19"/>
  <c r="AI133" i="17"/>
  <c r="AJ133" i="17" s="1"/>
  <c r="AK133" i="17" s="1"/>
  <c r="AQ133" i="17"/>
  <c r="AL133" i="17"/>
  <c r="AM133" i="17" s="1"/>
  <c r="AN133" i="17" s="1"/>
  <c r="AU133" i="17"/>
  <c r="G134" i="17"/>
  <c r="AI134" i="17" s="1"/>
  <c r="AJ134" i="17" s="1"/>
  <c r="AK134" i="17" s="1"/>
  <c r="J135" i="17"/>
  <c r="H134" i="17"/>
  <c r="AO133" i="17"/>
  <c r="AP133" i="17"/>
  <c r="AS133" i="17"/>
  <c r="T123" i="16"/>
  <c r="S123" i="16"/>
  <c r="W123" i="16" s="1"/>
  <c r="R124" i="16" s="1"/>
  <c r="AE122" i="16"/>
  <c r="AD123" i="16" s="1"/>
  <c r="AT122" i="16"/>
  <c r="M103" i="16"/>
  <c r="Q103" i="16" s="1"/>
  <c r="L104" i="16" s="1"/>
  <c r="P104" i="16"/>
  <c r="N103" i="16"/>
  <c r="AW92" i="16"/>
  <c r="AX92" i="16" s="1"/>
  <c r="AY92" i="16" s="1"/>
  <c r="H93" i="16"/>
  <c r="G93" i="16"/>
  <c r="K93" i="16" s="1"/>
  <c r="F94" i="16" s="1"/>
  <c r="J94" i="16"/>
  <c r="Y120" i="16"/>
  <c r="AG120" i="16" s="1"/>
  <c r="AF121" i="16" s="1"/>
  <c r="Z120" i="16"/>
  <c r="AW162" i="18"/>
  <c r="AX162" i="18" s="1"/>
  <c r="AY162" i="18" s="1"/>
  <c r="AI163" i="18"/>
  <c r="AJ163" i="18" s="1"/>
  <c r="AK163" i="18" s="1"/>
  <c r="AL163" i="18"/>
  <c r="AM163" i="18" s="1"/>
  <c r="AN163" i="18" s="1"/>
  <c r="H164" i="18"/>
  <c r="AW136" i="28" l="1"/>
  <c r="AX136" i="28" s="1"/>
  <c r="AY136" i="28" s="1"/>
  <c r="I137" i="28"/>
  <c r="Q137" i="28" s="1"/>
  <c r="L138" i="28" s="1"/>
  <c r="G137" i="28"/>
  <c r="AI137" i="28" s="1"/>
  <c r="AJ137" i="28" s="1"/>
  <c r="AK137" i="28" s="1"/>
  <c r="J138" i="28"/>
  <c r="H137" i="28"/>
  <c r="AC204" i="28"/>
  <c r="X205" i="28" s="1"/>
  <c r="AB205" i="28" s="1"/>
  <c r="O143" i="29"/>
  <c r="M143" i="29"/>
  <c r="N143" i="29"/>
  <c r="P144" i="29"/>
  <c r="K186" i="24"/>
  <c r="T186" i="24" s="1"/>
  <c r="S187" i="24" s="1"/>
  <c r="J186" i="24"/>
  <c r="O204" i="24"/>
  <c r="N204" i="24"/>
  <c r="AG213" i="25"/>
  <c r="AF214" i="25" s="1"/>
  <c r="Y214" i="25"/>
  <c r="AC214" i="25" s="1"/>
  <c r="X215" i="25" s="1"/>
  <c r="Z214" i="25"/>
  <c r="AC202" i="29"/>
  <c r="X203" i="29" s="1"/>
  <c r="AA203" i="29" s="1"/>
  <c r="AE203" i="29" s="1"/>
  <c r="AD204" i="29" s="1"/>
  <c r="AJ142" i="29"/>
  <c r="AK142" i="29" s="1"/>
  <c r="K142" i="29"/>
  <c r="AL142" i="29"/>
  <c r="AO142" i="29"/>
  <c r="F136" i="26"/>
  <c r="AI135" i="26"/>
  <c r="AL135" i="26"/>
  <c r="AW126" i="24"/>
  <c r="AX126" i="24" s="1"/>
  <c r="AY126" i="24" s="1"/>
  <c r="G177" i="25"/>
  <c r="K177" i="25" s="1"/>
  <c r="H177" i="25"/>
  <c r="J178" i="25"/>
  <c r="AS173" i="25"/>
  <c r="AL173" i="25"/>
  <c r="AU173" i="25"/>
  <c r="AQ173" i="25"/>
  <c r="AI173" i="25"/>
  <c r="AO173" i="25"/>
  <c r="N174" i="25"/>
  <c r="AP174" i="25" s="1"/>
  <c r="P175" i="25"/>
  <c r="H127" i="15"/>
  <c r="AL127" i="15" s="1"/>
  <c r="AM127" i="15" s="1"/>
  <c r="AN127" i="15" s="1"/>
  <c r="H127" i="24"/>
  <c r="M174" i="25"/>
  <c r="AL174" i="25" s="1"/>
  <c r="AO118" i="19"/>
  <c r="AP118" i="19"/>
  <c r="AI118" i="19"/>
  <c r="AJ118" i="19" s="1"/>
  <c r="AK118" i="19" s="1"/>
  <c r="AL118" i="19"/>
  <c r="AM118" i="19" s="1"/>
  <c r="AN118" i="19" s="1"/>
  <c r="K118" i="19"/>
  <c r="AW133" i="17"/>
  <c r="AX133" i="17" s="1"/>
  <c r="AY133" i="17" s="1"/>
  <c r="K134" i="17"/>
  <c r="AS134" i="17" s="1"/>
  <c r="AL134" i="17"/>
  <c r="AM134" i="17" s="1"/>
  <c r="AN134" i="17" s="1"/>
  <c r="AP134" i="17"/>
  <c r="AO134" i="17"/>
  <c r="AL93" i="16"/>
  <c r="AM93" i="16" s="1"/>
  <c r="AN93" i="16" s="1"/>
  <c r="AQ93" i="16"/>
  <c r="AE123" i="16"/>
  <c r="AD124" i="16" s="1"/>
  <c r="AT123" i="16"/>
  <c r="AS93" i="16"/>
  <c r="AU93" i="16"/>
  <c r="T124" i="16"/>
  <c r="S124" i="16"/>
  <c r="W124" i="16" s="1"/>
  <c r="R125" i="16" s="1"/>
  <c r="M104" i="16"/>
  <c r="Q104" i="16" s="1"/>
  <c r="L105" i="16" s="1"/>
  <c r="N104" i="16"/>
  <c r="P105" i="16"/>
  <c r="AC120" i="16"/>
  <c r="X121" i="16" s="1"/>
  <c r="J95" i="16"/>
  <c r="H94" i="16"/>
  <c r="G94" i="16"/>
  <c r="K94" i="16" s="1"/>
  <c r="F95" i="16" s="1"/>
  <c r="AI93" i="16"/>
  <c r="AJ93" i="16" s="1"/>
  <c r="AK93" i="16" s="1"/>
  <c r="AO93" i="16"/>
  <c r="AP93" i="16"/>
  <c r="AW163" i="18"/>
  <c r="AX163" i="18" s="1"/>
  <c r="AY163" i="18" s="1"/>
  <c r="F165" i="18"/>
  <c r="AL164" i="18"/>
  <c r="AM164" i="18" s="1"/>
  <c r="AN164" i="18" s="1"/>
  <c r="AI164" i="18"/>
  <c r="AJ164" i="18" s="1"/>
  <c r="AK164" i="18" s="1"/>
  <c r="O138" i="28" l="1"/>
  <c r="M138" i="28"/>
  <c r="N138" i="28"/>
  <c r="P139" i="28"/>
  <c r="AT204" i="29"/>
  <c r="AL137" i="28"/>
  <c r="AM137" i="28" s="1"/>
  <c r="AN137" i="28" s="1"/>
  <c r="AP137" i="28"/>
  <c r="AO137" i="28"/>
  <c r="K137" i="28"/>
  <c r="Z205" i="28"/>
  <c r="Y205" i="28"/>
  <c r="AG205" i="28" s="1"/>
  <c r="AF206" i="28" s="1"/>
  <c r="AG214" i="25"/>
  <c r="AF215" i="25" s="1"/>
  <c r="L186" i="24"/>
  <c r="I187" i="24" s="1"/>
  <c r="P204" i="24"/>
  <c r="M205" i="24" s="1"/>
  <c r="Y215" i="25"/>
  <c r="AC215" i="25" s="1"/>
  <c r="X216" i="25" s="1"/>
  <c r="Z215" i="25"/>
  <c r="R186" i="24"/>
  <c r="Q187" i="24" s="1"/>
  <c r="AT187" i="24" s="1"/>
  <c r="Z203" i="29"/>
  <c r="Y203" i="29"/>
  <c r="AG203" i="29" s="1"/>
  <c r="AF204" i="29" s="1"/>
  <c r="AM142" i="29"/>
  <c r="AN142" i="29" s="1"/>
  <c r="F143" i="29"/>
  <c r="I143" i="29" s="1"/>
  <c r="AR143" i="29" s="1"/>
  <c r="AS142" i="29"/>
  <c r="AQ142" i="29"/>
  <c r="AU142" i="29"/>
  <c r="G136" i="26"/>
  <c r="AR136" i="26" s="1"/>
  <c r="AJ135" i="26"/>
  <c r="AK135" i="26" s="1"/>
  <c r="AM135" i="26"/>
  <c r="AN135" i="26" s="1"/>
  <c r="F178" i="25"/>
  <c r="AO174" i="25"/>
  <c r="AM174" i="25"/>
  <c r="AN174" i="25" s="1"/>
  <c r="AM173" i="25"/>
  <c r="AN173" i="25" s="1"/>
  <c r="AJ173" i="25"/>
  <c r="AK173" i="25" s="1"/>
  <c r="F128" i="24"/>
  <c r="AL127" i="24"/>
  <c r="AM127" i="24" s="1"/>
  <c r="AI127" i="24"/>
  <c r="AJ127" i="24" s="1"/>
  <c r="F128" i="15"/>
  <c r="AI127" i="15"/>
  <c r="AJ127" i="15" s="1"/>
  <c r="AK127" i="15" s="1"/>
  <c r="AW127" i="15" s="1"/>
  <c r="AX127" i="15" s="1"/>
  <c r="AY127" i="15" s="1"/>
  <c r="Q174" i="25"/>
  <c r="AS118" i="19"/>
  <c r="F119" i="19"/>
  <c r="AU118" i="19"/>
  <c r="AQ118" i="19"/>
  <c r="F135" i="17"/>
  <c r="AU134" i="17"/>
  <c r="AQ134" i="17"/>
  <c r="AL94" i="16"/>
  <c r="AM94" i="16" s="1"/>
  <c r="AN94" i="16" s="1"/>
  <c r="AS94" i="16"/>
  <c r="AU94" i="16"/>
  <c r="AI94" i="16"/>
  <c r="AJ94" i="16" s="1"/>
  <c r="AK94" i="16" s="1"/>
  <c r="T125" i="16"/>
  <c r="S125" i="16"/>
  <c r="W125" i="16" s="1"/>
  <c r="R126" i="16" s="1"/>
  <c r="N105" i="16"/>
  <c r="P106" i="16"/>
  <c r="M105" i="16"/>
  <c r="Q105" i="16" s="1"/>
  <c r="L106" i="16" s="1"/>
  <c r="AE124" i="16"/>
  <c r="AD125" i="16" s="1"/>
  <c r="AT124" i="16"/>
  <c r="AQ94" i="16"/>
  <c r="G95" i="16"/>
  <c r="K95" i="16" s="1"/>
  <c r="AU95" i="16" s="1"/>
  <c r="H95" i="16"/>
  <c r="J96" i="16"/>
  <c r="Y121" i="16"/>
  <c r="AG121" i="16" s="1"/>
  <c r="AF122" i="16" s="1"/>
  <c r="Z121" i="16"/>
  <c r="AW93" i="16"/>
  <c r="AX93" i="16" s="1"/>
  <c r="AY93" i="16" s="1"/>
  <c r="AO94" i="16"/>
  <c r="AP94" i="16"/>
  <c r="AW164" i="18"/>
  <c r="AX164" i="18" s="1"/>
  <c r="AY164" i="18" s="1"/>
  <c r="G165" i="18"/>
  <c r="AR165" i="18" s="1"/>
  <c r="F138" i="28" l="1"/>
  <c r="AU137" i="28"/>
  <c r="AS137" i="28"/>
  <c r="AQ137" i="28"/>
  <c r="Q143" i="29"/>
  <c r="L144" i="29" s="1"/>
  <c r="AC205" i="28"/>
  <c r="X206" i="28" s="1"/>
  <c r="AB206" i="28" s="1"/>
  <c r="AG215" i="25"/>
  <c r="AF216" i="25" s="1"/>
  <c r="O205" i="24"/>
  <c r="N205" i="24"/>
  <c r="K187" i="24"/>
  <c r="R187" i="24" s="1"/>
  <c r="Q188" i="24" s="1"/>
  <c r="J187" i="24"/>
  <c r="Z216" i="25"/>
  <c r="Y216" i="25"/>
  <c r="AC216" i="25" s="1"/>
  <c r="X217" i="25" s="1"/>
  <c r="AW142" i="29"/>
  <c r="AX142" i="29" s="1"/>
  <c r="AY142" i="29" s="1"/>
  <c r="AC203" i="29"/>
  <c r="X204" i="29" s="1"/>
  <c r="AA204" i="29" s="1"/>
  <c r="AE204" i="29" s="1"/>
  <c r="AD205" i="29" s="1"/>
  <c r="AW135" i="26"/>
  <c r="AX135" i="26" s="1"/>
  <c r="AY135" i="26" s="1"/>
  <c r="J144" i="29"/>
  <c r="H143" i="29"/>
  <c r="AP143" i="29" s="1"/>
  <c r="G143" i="29"/>
  <c r="AI143" i="29" s="1"/>
  <c r="H136" i="26"/>
  <c r="AW173" i="25"/>
  <c r="AX173" i="25" s="1"/>
  <c r="AY173" i="25" s="1"/>
  <c r="G178" i="25"/>
  <c r="K178" i="25" s="1"/>
  <c r="H178" i="25"/>
  <c r="J179" i="25"/>
  <c r="AQ174" i="25"/>
  <c r="AS174" i="25"/>
  <c r="AU174" i="25"/>
  <c r="AI174" i="25"/>
  <c r="L175" i="25"/>
  <c r="AK127" i="24"/>
  <c r="AN127" i="24"/>
  <c r="G128" i="15"/>
  <c r="AR128" i="15" s="1"/>
  <c r="G128" i="24"/>
  <c r="AR128" i="24" s="1"/>
  <c r="AW118" i="19"/>
  <c r="AX118" i="19" s="1"/>
  <c r="AY118" i="19" s="1"/>
  <c r="J120" i="19"/>
  <c r="H119" i="19"/>
  <c r="G119" i="19"/>
  <c r="AL119" i="19" s="1"/>
  <c r="AM119" i="19" s="1"/>
  <c r="AN119" i="19" s="1"/>
  <c r="AW134" i="17"/>
  <c r="AX134" i="17" s="1"/>
  <c r="AY134" i="17" s="1"/>
  <c r="H135" i="17"/>
  <c r="J136" i="17"/>
  <c r="G135" i="17"/>
  <c r="AW94" i="16"/>
  <c r="AX94" i="16" s="1"/>
  <c r="AY94" i="16" s="1"/>
  <c r="AS95" i="16"/>
  <c r="AC121" i="16"/>
  <c r="X122" i="16" s="1"/>
  <c r="Y122" i="16" s="1"/>
  <c r="AG122" i="16" s="1"/>
  <c r="AF123" i="16" s="1"/>
  <c r="AI95" i="16"/>
  <c r="AJ95" i="16" s="1"/>
  <c r="AK95" i="16" s="1"/>
  <c r="AT125" i="16"/>
  <c r="AE125" i="16"/>
  <c r="AD126" i="16" s="1"/>
  <c r="S126" i="16"/>
  <c r="W126" i="16" s="1"/>
  <c r="R127" i="16" s="1"/>
  <c r="T126" i="16"/>
  <c r="M106" i="16"/>
  <c r="Q106" i="16" s="1"/>
  <c r="L107" i="16" s="1"/>
  <c r="P107" i="16"/>
  <c r="N106" i="16"/>
  <c r="AL95" i="16"/>
  <c r="AM95" i="16" s="1"/>
  <c r="AN95" i="16" s="1"/>
  <c r="AP95" i="16"/>
  <c r="AO95" i="16"/>
  <c r="AQ95" i="16"/>
  <c r="F96" i="16"/>
  <c r="H165" i="18"/>
  <c r="F166" i="18" s="1"/>
  <c r="G166" i="18" s="1"/>
  <c r="AR166" i="18" s="1"/>
  <c r="AW137" i="28" l="1"/>
  <c r="AX137" i="28" s="1"/>
  <c r="AY137" i="28" s="1"/>
  <c r="Y206" i="28"/>
  <c r="AG206" i="28" s="1"/>
  <c r="AF207" i="28" s="1"/>
  <c r="AT205" i="29"/>
  <c r="O144" i="29"/>
  <c r="M144" i="29"/>
  <c r="P145" i="29"/>
  <c r="N144" i="29"/>
  <c r="Z206" i="28"/>
  <c r="H138" i="28"/>
  <c r="I138" i="28"/>
  <c r="Q138" i="28" s="1"/>
  <c r="L139" i="28" s="1"/>
  <c r="J139" i="28"/>
  <c r="G138" i="28"/>
  <c r="AI138" i="28" s="1"/>
  <c r="AJ138" i="28" s="1"/>
  <c r="AK138" i="28" s="1"/>
  <c r="AG216" i="25"/>
  <c r="AF217" i="25" s="1"/>
  <c r="P205" i="24"/>
  <c r="M206" i="24" s="1"/>
  <c r="L187" i="24"/>
  <c r="I188" i="24" s="1"/>
  <c r="Y217" i="25"/>
  <c r="Z217" i="25"/>
  <c r="T187" i="24"/>
  <c r="S188" i="24" s="1"/>
  <c r="Z204" i="29"/>
  <c r="Y204" i="29"/>
  <c r="AJ143" i="29"/>
  <c r="AK143" i="29" s="1"/>
  <c r="AL143" i="29"/>
  <c r="K143" i="29"/>
  <c r="AO143" i="29"/>
  <c r="F137" i="26"/>
  <c r="AI136" i="26"/>
  <c r="AL136" i="26"/>
  <c r="AM136" i="26" s="1"/>
  <c r="AN136" i="26" s="1"/>
  <c r="F179" i="25"/>
  <c r="AW127" i="24"/>
  <c r="AX127" i="24" s="1"/>
  <c r="AY127" i="24" s="1"/>
  <c r="P176" i="25"/>
  <c r="N175" i="25"/>
  <c r="AP175" i="25" s="1"/>
  <c r="AJ174" i="25"/>
  <c r="AK174" i="25" s="1"/>
  <c r="AW174" i="25" s="1"/>
  <c r="AX174" i="25" s="1"/>
  <c r="AY174" i="25" s="1"/>
  <c r="AT188" i="24"/>
  <c r="H128" i="15"/>
  <c r="F129" i="15" s="1"/>
  <c r="G129" i="15" s="1"/>
  <c r="AR129" i="15" s="1"/>
  <c r="H128" i="24"/>
  <c r="M175" i="25"/>
  <c r="AL175" i="25" s="1"/>
  <c r="AI119" i="19"/>
  <c r="AJ119" i="19" s="1"/>
  <c r="AK119" i="19" s="1"/>
  <c r="K119" i="19"/>
  <c r="AO119" i="19"/>
  <c r="AP119" i="19"/>
  <c r="AL135" i="17"/>
  <c r="AM135" i="17" s="1"/>
  <c r="AN135" i="17" s="1"/>
  <c r="AI135" i="17"/>
  <c r="AJ135" i="17" s="1"/>
  <c r="AK135" i="17" s="1"/>
  <c r="K135" i="17"/>
  <c r="AP135" i="17"/>
  <c r="AO135" i="17"/>
  <c r="AW95" i="16"/>
  <c r="AX95" i="16" s="1"/>
  <c r="AY95" i="16" s="1"/>
  <c r="Z122" i="16"/>
  <c r="S127" i="16"/>
  <c r="W127" i="16" s="1"/>
  <c r="R128" i="16" s="1"/>
  <c r="T127" i="16"/>
  <c r="AE126" i="16"/>
  <c r="AD127" i="16" s="1"/>
  <c r="AT126" i="16"/>
  <c r="P108" i="16"/>
  <c r="N107" i="16"/>
  <c r="M107" i="16"/>
  <c r="Q107" i="16" s="1"/>
  <c r="L108" i="16" s="1"/>
  <c r="H96" i="16"/>
  <c r="G96" i="16"/>
  <c r="AL96" i="16" s="1"/>
  <c r="AM96" i="16" s="1"/>
  <c r="AN96" i="16" s="1"/>
  <c r="J97" i="16"/>
  <c r="AC122" i="16"/>
  <c r="X123" i="16" s="1"/>
  <c r="AI165" i="18"/>
  <c r="AJ165" i="18" s="1"/>
  <c r="AK165" i="18" s="1"/>
  <c r="AL165" i="18"/>
  <c r="AM165" i="18" s="1"/>
  <c r="AN165" i="18" s="1"/>
  <c r="H166" i="18"/>
  <c r="AC206" i="28" l="1"/>
  <c r="X207" i="28" s="1"/>
  <c r="AB207" i="28" s="1"/>
  <c r="AP138" i="28"/>
  <c r="AO138" i="28"/>
  <c r="O139" i="28"/>
  <c r="N139" i="28"/>
  <c r="P140" i="28"/>
  <c r="M139" i="28"/>
  <c r="AL138" i="28"/>
  <c r="AM138" i="28" s="1"/>
  <c r="AN138" i="28" s="1"/>
  <c r="K138" i="28"/>
  <c r="AG217" i="25"/>
  <c r="AF218" i="25" s="1"/>
  <c r="AC217" i="25"/>
  <c r="X218" i="25" s="1"/>
  <c r="K188" i="24"/>
  <c r="T188" i="24" s="1"/>
  <c r="S189" i="24" s="1"/>
  <c r="J188" i="24"/>
  <c r="O206" i="24"/>
  <c r="N206" i="24"/>
  <c r="AC204" i="29"/>
  <c r="X205" i="29" s="1"/>
  <c r="AA205" i="29" s="1"/>
  <c r="AE205" i="29" s="1"/>
  <c r="AD206" i="29" s="1"/>
  <c r="AG204" i="29"/>
  <c r="AF205" i="29" s="1"/>
  <c r="AM143" i="29"/>
  <c r="AN143" i="29" s="1"/>
  <c r="F144" i="29"/>
  <c r="I144" i="29" s="1"/>
  <c r="AR144" i="29" s="1"/>
  <c r="AS143" i="29"/>
  <c r="AU143" i="29"/>
  <c r="AQ143" i="29"/>
  <c r="G137" i="26"/>
  <c r="AR137" i="26" s="1"/>
  <c r="AJ136" i="26"/>
  <c r="AK136" i="26" s="1"/>
  <c r="AW136" i="26" s="1"/>
  <c r="AX136" i="26" s="1"/>
  <c r="AY136" i="26" s="1"/>
  <c r="G179" i="25"/>
  <c r="K179" i="25" s="1"/>
  <c r="H179" i="25"/>
  <c r="J180" i="25"/>
  <c r="AO175" i="25"/>
  <c r="AM175" i="25"/>
  <c r="AN175" i="25" s="1"/>
  <c r="AL128" i="15"/>
  <c r="AM128" i="15" s="1"/>
  <c r="AN128" i="15" s="1"/>
  <c r="F129" i="24"/>
  <c r="AL128" i="24"/>
  <c r="AM128" i="24" s="1"/>
  <c r="AI128" i="24"/>
  <c r="AJ128" i="24" s="1"/>
  <c r="AI128" i="15"/>
  <c r="AJ128" i="15" s="1"/>
  <c r="AK128" i="15" s="1"/>
  <c r="H129" i="15"/>
  <c r="Q175" i="25"/>
  <c r="F120" i="19"/>
  <c r="AS119" i="19"/>
  <c r="AU119" i="19"/>
  <c r="AQ119" i="19"/>
  <c r="AS135" i="17"/>
  <c r="F136" i="17"/>
  <c r="AU135" i="17"/>
  <c r="AQ135" i="17"/>
  <c r="N108" i="16"/>
  <c r="M108" i="16"/>
  <c r="Q108" i="16" s="1"/>
  <c r="L109" i="16" s="1"/>
  <c r="P109" i="16"/>
  <c r="AE127" i="16"/>
  <c r="AD128" i="16" s="1"/>
  <c r="AT127" i="16"/>
  <c r="T128" i="16"/>
  <c r="S128" i="16"/>
  <c r="W128" i="16" s="1"/>
  <c r="R129" i="16" s="1"/>
  <c r="K96" i="16"/>
  <c r="Y123" i="16"/>
  <c r="AG123" i="16" s="1"/>
  <c r="AF124" i="16" s="1"/>
  <c r="Z123" i="16"/>
  <c r="AP96" i="16"/>
  <c r="AO96" i="16"/>
  <c r="AW165" i="18"/>
  <c r="AX165" i="18" s="1"/>
  <c r="AY165" i="18" s="1"/>
  <c r="F167" i="18"/>
  <c r="AI166" i="18"/>
  <c r="AJ166" i="18" s="1"/>
  <c r="AK166" i="18" s="1"/>
  <c r="AL166" i="18"/>
  <c r="AM166" i="18" s="1"/>
  <c r="AN166" i="18" s="1"/>
  <c r="Z207" i="28" l="1"/>
  <c r="Y207" i="28"/>
  <c r="AG207" i="28" s="1"/>
  <c r="AF208" i="28" s="1"/>
  <c r="AT206" i="29"/>
  <c r="Q144" i="29"/>
  <c r="L145" i="29" s="1"/>
  <c r="F139" i="28"/>
  <c r="AQ138" i="28"/>
  <c r="AU138" i="28"/>
  <c r="AS138" i="28"/>
  <c r="P206" i="24"/>
  <c r="M207" i="24" s="1"/>
  <c r="Y218" i="25"/>
  <c r="AG218" i="25" s="1"/>
  <c r="AF219" i="25" s="1"/>
  <c r="Z218" i="25"/>
  <c r="R188" i="24"/>
  <c r="Q189" i="24" s="1"/>
  <c r="AT189" i="24" s="1"/>
  <c r="L188" i="24"/>
  <c r="I189" i="24" s="1"/>
  <c r="AW143" i="29"/>
  <c r="AX143" i="29" s="1"/>
  <c r="AY143" i="29" s="1"/>
  <c r="Z205" i="29"/>
  <c r="Y205" i="29"/>
  <c r="AC205" i="29" s="1"/>
  <c r="X206" i="29" s="1"/>
  <c r="AA206" i="29" s="1"/>
  <c r="AE206" i="29" s="1"/>
  <c r="AD207" i="29" s="1"/>
  <c r="H144" i="29"/>
  <c r="AP144" i="29" s="1"/>
  <c r="J145" i="29"/>
  <c r="G144" i="29"/>
  <c r="AI144" i="29" s="1"/>
  <c r="H137" i="26"/>
  <c r="F180" i="25"/>
  <c r="AS175" i="25"/>
  <c r="AQ175" i="25"/>
  <c r="AU175" i="25"/>
  <c r="AI175" i="25"/>
  <c r="L176" i="25"/>
  <c r="AW128" i="15"/>
  <c r="AX128" i="15" s="1"/>
  <c r="AY128" i="15" s="1"/>
  <c r="AK128" i="24"/>
  <c r="AN128" i="24"/>
  <c r="AL129" i="15"/>
  <c r="AM129" i="15" s="1"/>
  <c r="AN129" i="15" s="1"/>
  <c r="F130" i="15"/>
  <c r="AI129" i="15"/>
  <c r="AJ129" i="15" s="1"/>
  <c r="AK129" i="15" s="1"/>
  <c r="G129" i="24"/>
  <c r="AR129" i="24" s="1"/>
  <c r="AW119" i="19"/>
  <c r="AX119" i="19" s="1"/>
  <c r="AY119" i="19" s="1"/>
  <c r="H120" i="19"/>
  <c r="G120" i="19"/>
  <c r="AL120" i="19" s="1"/>
  <c r="AM120" i="19" s="1"/>
  <c r="AN120" i="19" s="1"/>
  <c r="J121" i="19"/>
  <c r="AW135" i="17"/>
  <c r="AX135" i="17" s="1"/>
  <c r="AY135" i="17" s="1"/>
  <c r="H136" i="17"/>
  <c r="G136" i="17"/>
  <c r="AL136" i="17" s="1"/>
  <c r="AM136" i="17" s="1"/>
  <c r="AN136" i="17" s="1"/>
  <c r="J137" i="17"/>
  <c r="AC123" i="16"/>
  <c r="X124" i="16" s="1"/>
  <c r="Y124" i="16" s="1"/>
  <c r="AC124" i="16" s="1"/>
  <c r="X125" i="16" s="1"/>
  <c r="AE128" i="16"/>
  <c r="AD129" i="16" s="1"/>
  <c r="AT128" i="16"/>
  <c r="N109" i="16"/>
  <c r="M109" i="16"/>
  <c r="Q109" i="16" s="1"/>
  <c r="L110" i="16" s="1"/>
  <c r="P110" i="16"/>
  <c r="T129" i="16"/>
  <c r="S129" i="16"/>
  <c r="W129" i="16" s="1"/>
  <c r="R130" i="16" s="1"/>
  <c r="AU96" i="16"/>
  <c r="F97" i="16"/>
  <c r="AS96" i="16"/>
  <c r="AQ96" i="16"/>
  <c r="AI96" i="16"/>
  <c r="AJ96" i="16" s="1"/>
  <c r="AK96" i="16" s="1"/>
  <c r="G167" i="18"/>
  <c r="AR167" i="18" s="1"/>
  <c r="AW166" i="18"/>
  <c r="AX166" i="18" s="1"/>
  <c r="AY166" i="18" s="1"/>
  <c r="AW138" i="28" l="1"/>
  <c r="AX138" i="28" s="1"/>
  <c r="AY138" i="28" s="1"/>
  <c r="AC207" i="28"/>
  <c r="X208" i="28" s="1"/>
  <c r="AB208" i="28" s="1"/>
  <c r="AT207" i="29"/>
  <c r="O145" i="29"/>
  <c r="M145" i="29"/>
  <c r="N145" i="29"/>
  <c r="P146" i="29"/>
  <c r="I139" i="28"/>
  <c r="Q139" i="28" s="1"/>
  <c r="L140" i="28" s="1"/>
  <c r="H139" i="28"/>
  <c r="G139" i="28"/>
  <c r="AI139" i="28" s="1"/>
  <c r="AJ139" i="28" s="1"/>
  <c r="AK139" i="28" s="1"/>
  <c r="J140" i="28"/>
  <c r="K189" i="24"/>
  <c r="T189" i="24" s="1"/>
  <c r="S190" i="24" s="1"/>
  <c r="J189" i="24"/>
  <c r="O207" i="24"/>
  <c r="N207" i="24"/>
  <c r="AC218" i="25"/>
  <c r="X219" i="25" s="1"/>
  <c r="AG205" i="29"/>
  <c r="AF206" i="29" s="1"/>
  <c r="Z206" i="29"/>
  <c r="Y206" i="29"/>
  <c r="AC206" i="29" s="1"/>
  <c r="X207" i="29" s="1"/>
  <c r="AA207" i="29" s="1"/>
  <c r="AE207" i="29" s="1"/>
  <c r="AD208" i="29" s="1"/>
  <c r="AO144" i="29"/>
  <c r="AJ144" i="29"/>
  <c r="AK144" i="29" s="1"/>
  <c r="K144" i="29"/>
  <c r="AL144" i="29"/>
  <c r="F138" i="26"/>
  <c r="AI137" i="26"/>
  <c r="AL137" i="26"/>
  <c r="AW128" i="24"/>
  <c r="AX128" i="24" s="1"/>
  <c r="AY128" i="24" s="1"/>
  <c r="G180" i="25"/>
  <c r="K180" i="25" s="1"/>
  <c r="J181" i="25"/>
  <c r="H180" i="25"/>
  <c r="N176" i="25"/>
  <c r="AP176" i="25" s="1"/>
  <c r="P177" i="25"/>
  <c r="AJ175" i="25"/>
  <c r="AK175" i="25" s="1"/>
  <c r="AW175" i="25" s="1"/>
  <c r="AX175" i="25" s="1"/>
  <c r="AY175" i="25" s="1"/>
  <c r="G130" i="15"/>
  <c r="AR130" i="15" s="1"/>
  <c r="AW129" i="15"/>
  <c r="AX129" i="15" s="1"/>
  <c r="AY129" i="15" s="1"/>
  <c r="H129" i="24"/>
  <c r="M176" i="25"/>
  <c r="Q176" i="25" s="1"/>
  <c r="L177" i="25" s="1"/>
  <c r="K120" i="19"/>
  <c r="AQ120" i="19" s="1"/>
  <c r="AI120" i="19"/>
  <c r="AJ120" i="19" s="1"/>
  <c r="AK120" i="19" s="1"/>
  <c r="AP120" i="19"/>
  <c r="AO120" i="19"/>
  <c r="K136" i="17"/>
  <c r="AI136" i="17"/>
  <c r="AJ136" i="17" s="1"/>
  <c r="AK136" i="17" s="1"/>
  <c r="AP136" i="17"/>
  <c r="AO136" i="17"/>
  <c r="Z124" i="16"/>
  <c r="AG124" i="16"/>
  <c r="AF125" i="16" s="1"/>
  <c r="N110" i="16"/>
  <c r="P111" i="16"/>
  <c r="M110" i="16"/>
  <c r="Q110" i="16" s="1"/>
  <c r="L111" i="16" s="1"/>
  <c r="S130" i="16"/>
  <c r="W130" i="16" s="1"/>
  <c r="R131" i="16" s="1"/>
  <c r="T130" i="16"/>
  <c r="AE129" i="16"/>
  <c r="AD130" i="16" s="1"/>
  <c r="AT129" i="16"/>
  <c r="Z125" i="16"/>
  <c r="Y125" i="16"/>
  <c r="AC125" i="16" s="1"/>
  <c r="X126" i="16" s="1"/>
  <c r="AW96" i="16"/>
  <c r="AX96" i="16" s="1"/>
  <c r="AY96" i="16" s="1"/>
  <c r="H97" i="16"/>
  <c r="J98" i="16"/>
  <c r="G97" i="16"/>
  <c r="K97" i="16" s="1"/>
  <c r="H167" i="18"/>
  <c r="Z208" i="28" l="1"/>
  <c r="Y208" i="28"/>
  <c r="AG208" i="28" s="1"/>
  <c r="AF209" i="28" s="1"/>
  <c r="AT208" i="29"/>
  <c r="O140" i="28"/>
  <c r="M140" i="28"/>
  <c r="N140" i="28"/>
  <c r="P141" i="28"/>
  <c r="AP139" i="28"/>
  <c r="AO139" i="28"/>
  <c r="K139" i="28"/>
  <c r="AL139" i="28"/>
  <c r="P207" i="24"/>
  <c r="M208" i="24" s="1"/>
  <c r="L189" i="24"/>
  <c r="I190" i="24" s="1"/>
  <c r="R189" i="24"/>
  <c r="Q190" i="24" s="1"/>
  <c r="AT190" i="24" s="1"/>
  <c r="Y219" i="25"/>
  <c r="AG219" i="25" s="1"/>
  <c r="AF220" i="25" s="1"/>
  <c r="Z219" i="25"/>
  <c r="AG206" i="29"/>
  <c r="AF207" i="29" s="1"/>
  <c r="Z207" i="29"/>
  <c r="Y207" i="29"/>
  <c r="AC207" i="29" s="1"/>
  <c r="X208" i="29" s="1"/>
  <c r="AA208" i="29" s="1"/>
  <c r="AE208" i="29" s="1"/>
  <c r="AD209" i="29" s="1"/>
  <c r="F145" i="29"/>
  <c r="I145" i="29" s="1"/>
  <c r="AR145" i="29" s="1"/>
  <c r="AS144" i="29"/>
  <c r="AU144" i="29"/>
  <c r="AQ144" i="29"/>
  <c r="AM144" i="29"/>
  <c r="AN144" i="29" s="1"/>
  <c r="G138" i="26"/>
  <c r="AR138" i="26" s="1"/>
  <c r="AM137" i="26"/>
  <c r="AN137" i="26" s="1"/>
  <c r="AJ137" i="26"/>
  <c r="AK137" i="26" s="1"/>
  <c r="F181" i="25"/>
  <c r="AL176" i="25"/>
  <c r="AU176" i="25"/>
  <c r="AI176" i="25"/>
  <c r="AS176" i="25"/>
  <c r="AQ176" i="25"/>
  <c r="AO176" i="25"/>
  <c r="P178" i="25"/>
  <c r="N177" i="25"/>
  <c r="AP177" i="25" s="1"/>
  <c r="F130" i="24"/>
  <c r="AI129" i="24"/>
  <c r="AJ129" i="24" s="1"/>
  <c r="AL129" i="24"/>
  <c r="AM129" i="24" s="1"/>
  <c r="H130" i="15"/>
  <c r="M177" i="25"/>
  <c r="AL177" i="25" s="1"/>
  <c r="AS120" i="19"/>
  <c r="AU120" i="19"/>
  <c r="F121" i="19"/>
  <c r="H121" i="19" s="1"/>
  <c r="F137" i="17"/>
  <c r="AQ136" i="17"/>
  <c r="AU136" i="17"/>
  <c r="AS136" i="17"/>
  <c r="AG125" i="16"/>
  <c r="AF126" i="16" s="1"/>
  <c r="AL97" i="16"/>
  <c r="AM97" i="16" s="1"/>
  <c r="AN97" i="16" s="1"/>
  <c r="M111" i="16"/>
  <c r="Q111" i="16" s="1"/>
  <c r="L112" i="16" s="1"/>
  <c r="N111" i="16"/>
  <c r="P112" i="16"/>
  <c r="AE130" i="16"/>
  <c r="AD131" i="16" s="1"/>
  <c r="AT130" i="16"/>
  <c r="S131" i="16"/>
  <c r="W131" i="16" s="1"/>
  <c r="R132" i="16" s="1"/>
  <c r="T131" i="16"/>
  <c r="F98" i="16"/>
  <c r="AQ97" i="16"/>
  <c r="AU97" i="16"/>
  <c r="AS97" i="16"/>
  <c r="AI97" i="16"/>
  <c r="AJ97" i="16" s="1"/>
  <c r="AK97" i="16" s="1"/>
  <c r="AO97" i="16"/>
  <c r="AP97" i="16"/>
  <c r="Z126" i="16"/>
  <c r="Y126" i="16"/>
  <c r="F168" i="18"/>
  <c r="AI167" i="18"/>
  <c r="AJ167" i="18" s="1"/>
  <c r="AK167" i="18" s="1"/>
  <c r="AL167" i="18"/>
  <c r="AC208" i="28" l="1"/>
  <c r="X209" i="28" s="1"/>
  <c r="AB209" i="28" s="1"/>
  <c r="AT209" i="29"/>
  <c r="Q145" i="29"/>
  <c r="L146" i="29" s="1"/>
  <c r="F140" i="28"/>
  <c r="AQ139" i="28"/>
  <c r="AU139" i="28"/>
  <c r="AS139" i="28"/>
  <c r="AM139" i="28"/>
  <c r="AN139" i="28" s="1"/>
  <c r="AC219" i="25"/>
  <c r="X220" i="25" s="1"/>
  <c r="K190" i="24"/>
  <c r="R190" i="24" s="1"/>
  <c r="Q191" i="24" s="1"/>
  <c r="AT191" i="24" s="1"/>
  <c r="J190" i="24"/>
  <c r="O208" i="24"/>
  <c r="N208" i="24"/>
  <c r="AG207" i="29"/>
  <c r="AF208" i="29" s="1"/>
  <c r="Z208" i="29"/>
  <c r="Y208" i="29"/>
  <c r="AC208" i="29" s="1"/>
  <c r="X209" i="29" s="1"/>
  <c r="AA209" i="29" s="1"/>
  <c r="AE209" i="29" s="1"/>
  <c r="AD210" i="29" s="1"/>
  <c r="AW144" i="29"/>
  <c r="AX144" i="29" s="1"/>
  <c r="AY144" i="29" s="1"/>
  <c r="J146" i="29"/>
  <c r="H145" i="29"/>
  <c r="AP145" i="29" s="1"/>
  <c r="G145" i="29"/>
  <c r="K145" i="29" s="1"/>
  <c r="F146" i="29" s="1"/>
  <c r="I146" i="29" s="1"/>
  <c r="AR146" i="29" s="1"/>
  <c r="H138" i="26"/>
  <c r="AW137" i="26"/>
  <c r="AX137" i="26" s="1"/>
  <c r="AY137" i="26" s="1"/>
  <c r="G181" i="25"/>
  <c r="K181" i="25" s="1"/>
  <c r="H181" i="25"/>
  <c r="J182" i="25"/>
  <c r="AO177" i="25"/>
  <c r="AM176" i="25"/>
  <c r="AN176" i="25" s="1"/>
  <c r="AM177" i="25"/>
  <c r="AN177" i="25" s="1"/>
  <c r="AJ176" i="25"/>
  <c r="AK176" i="25" s="1"/>
  <c r="AK129" i="24"/>
  <c r="AN129" i="24"/>
  <c r="F131" i="15"/>
  <c r="AI130" i="15"/>
  <c r="AJ130" i="15" s="1"/>
  <c r="AK130" i="15" s="1"/>
  <c r="AL130" i="15"/>
  <c r="AM130" i="15" s="1"/>
  <c r="AN130" i="15" s="1"/>
  <c r="G130" i="24"/>
  <c r="AR130" i="24" s="1"/>
  <c r="Q177" i="25"/>
  <c r="AW120" i="19"/>
  <c r="AX120" i="19" s="1"/>
  <c r="AY120" i="19" s="1"/>
  <c r="J122" i="19"/>
  <c r="G121" i="19"/>
  <c r="AI121" i="19" s="1"/>
  <c r="AJ121" i="19" s="1"/>
  <c r="AK121" i="19" s="1"/>
  <c r="AP121" i="19"/>
  <c r="AO121" i="19"/>
  <c r="AW136" i="17"/>
  <c r="AX136" i="17" s="1"/>
  <c r="AY136" i="17" s="1"/>
  <c r="J138" i="17"/>
  <c r="H137" i="17"/>
  <c r="G137" i="17"/>
  <c r="K137" i="17" s="1"/>
  <c r="AG126" i="16"/>
  <c r="AF127" i="16" s="1"/>
  <c r="AC126" i="16"/>
  <c r="X127" i="16" s="1"/>
  <c r="Z127" i="16" s="1"/>
  <c r="T132" i="16"/>
  <c r="S132" i="16"/>
  <c r="W132" i="16" s="1"/>
  <c r="R133" i="16" s="1"/>
  <c r="N112" i="16"/>
  <c r="M112" i="16"/>
  <c r="Q112" i="16" s="1"/>
  <c r="L113" i="16" s="1"/>
  <c r="P113" i="16"/>
  <c r="AE131" i="16"/>
  <c r="AD132" i="16" s="1"/>
  <c r="AT131" i="16"/>
  <c r="AW97" i="16"/>
  <c r="AX97" i="16" s="1"/>
  <c r="AY97" i="16" s="1"/>
  <c r="H98" i="16"/>
  <c r="G98" i="16"/>
  <c r="AL98" i="16" s="1"/>
  <c r="AM98" i="16" s="1"/>
  <c r="AN98" i="16" s="1"/>
  <c r="J99" i="16"/>
  <c r="G168" i="18"/>
  <c r="AR168" i="18" s="1"/>
  <c r="AM167" i="18"/>
  <c r="AN167" i="18" s="1"/>
  <c r="AW167" i="18" s="1"/>
  <c r="AX167" i="18" s="1"/>
  <c r="AY167" i="18" s="1"/>
  <c r="Z209" i="28" l="1"/>
  <c r="Y209" i="28"/>
  <c r="AG209" i="28" s="1"/>
  <c r="AF210" i="28" s="1"/>
  <c r="AW139" i="28"/>
  <c r="AX139" i="28" s="1"/>
  <c r="AY139" i="28" s="1"/>
  <c r="AT210" i="29"/>
  <c r="O146" i="29"/>
  <c r="M146" i="29"/>
  <c r="P147" i="29"/>
  <c r="N146" i="29"/>
  <c r="I140" i="28"/>
  <c r="Q140" i="28" s="1"/>
  <c r="L141" i="28" s="1"/>
  <c r="G140" i="28"/>
  <c r="AL140" i="28" s="1"/>
  <c r="AM140" i="28" s="1"/>
  <c r="AN140" i="28" s="1"/>
  <c r="H140" i="28"/>
  <c r="J141" i="28"/>
  <c r="L190" i="24"/>
  <c r="I191" i="24" s="1"/>
  <c r="P208" i="24"/>
  <c r="M209" i="24" s="1"/>
  <c r="T190" i="24"/>
  <c r="S191" i="24" s="1"/>
  <c r="Y220" i="25"/>
  <c r="AG220" i="25" s="1"/>
  <c r="AF221" i="25" s="1"/>
  <c r="Z220" i="25"/>
  <c r="AG208" i="29"/>
  <c r="AF209" i="29" s="1"/>
  <c r="Z209" i="29"/>
  <c r="Y209" i="29"/>
  <c r="AC209" i="29" s="1"/>
  <c r="X210" i="29" s="1"/>
  <c r="AA210" i="29" s="1"/>
  <c r="AE210" i="29" s="1"/>
  <c r="AD211" i="29" s="1"/>
  <c r="AW130" i="15"/>
  <c r="AX130" i="15" s="1"/>
  <c r="AY130" i="15" s="1"/>
  <c r="AU145" i="29"/>
  <c r="AS145" i="29"/>
  <c r="AQ145" i="29"/>
  <c r="H146" i="29"/>
  <c r="J147" i="29"/>
  <c r="G146" i="29"/>
  <c r="AI145" i="29"/>
  <c r="AL145" i="29"/>
  <c r="AO145" i="29"/>
  <c r="F139" i="26"/>
  <c r="G139" i="26" s="1"/>
  <c r="AR139" i="26" s="1"/>
  <c r="AI138" i="26"/>
  <c r="AJ138" i="26" s="1"/>
  <c r="AK138" i="26" s="1"/>
  <c r="AL138" i="26"/>
  <c r="AM138" i="26" s="1"/>
  <c r="AN138" i="26" s="1"/>
  <c r="F182" i="25"/>
  <c r="AS177" i="25"/>
  <c r="AU177" i="25"/>
  <c r="AI177" i="25"/>
  <c r="AQ177" i="25"/>
  <c r="AW176" i="25"/>
  <c r="AX176" i="25" s="1"/>
  <c r="AY176" i="25" s="1"/>
  <c r="L178" i="25"/>
  <c r="AW129" i="24"/>
  <c r="AX129" i="24" s="1"/>
  <c r="AY129" i="24" s="1"/>
  <c r="G131" i="15"/>
  <c r="AR131" i="15" s="1"/>
  <c r="H130" i="24"/>
  <c r="K121" i="19"/>
  <c r="F122" i="19" s="1"/>
  <c r="AL121" i="19"/>
  <c r="AM121" i="19" s="1"/>
  <c r="AN121" i="19" s="1"/>
  <c r="F138" i="17"/>
  <c r="AQ137" i="17"/>
  <c r="AU137" i="17"/>
  <c r="AS137" i="17"/>
  <c r="AL137" i="17"/>
  <c r="AM137" i="17" s="1"/>
  <c r="AN137" i="17" s="1"/>
  <c r="AI137" i="17"/>
  <c r="AJ137" i="17" s="1"/>
  <c r="AK137" i="17" s="1"/>
  <c r="AP137" i="17"/>
  <c r="AO137" i="17"/>
  <c r="Y127" i="16"/>
  <c r="AC127" i="16" s="1"/>
  <c r="X128" i="16" s="1"/>
  <c r="Z128" i="16" s="1"/>
  <c r="N113" i="16"/>
  <c r="M113" i="16"/>
  <c r="Q113" i="16" s="1"/>
  <c r="L114" i="16" s="1"/>
  <c r="P114" i="16"/>
  <c r="AE132" i="16"/>
  <c r="AD133" i="16" s="1"/>
  <c r="AT132" i="16"/>
  <c r="T133" i="16"/>
  <c r="S133" i="16"/>
  <c r="W133" i="16" s="1"/>
  <c r="R134" i="16" s="1"/>
  <c r="AO98" i="16"/>
  <c r="AP98" i="16"/>
  <c r="K98" i="16"/>
  <c r="H168" i="18"/>
  <c r="AC209" i="28" l="1"/>
  <c r="X210" i="28" s="1"/>
  <c r="AB210" i="28" s="1"/>
  <c r="Q146" i="29"/>
  <c r="L147" i="29" s="1"/>
  <c r="O141" i="28"/>
  <c r="M141" i="28"/>
  <c r="P142" i="28"/>
  <c r="N141" i="28"/>
  <c r="AP140" i="28"/>
  <c r="AO140" i="28"/>
  <c r="K140" i="28"/>
  <c r="AP146" i="29"/>
  <c r="AI140" i="28"/>
  <c r="AJ140" i="28" s="1"/>
  <c r="AK140" i="28" s="1"/>
  <c r="AT211" i="29"/>
  <c r="AI146" i="29"/>
  <c r="AJ146" i="29" s="1"/>
  <c r="AK146" i="29" s="1"/>
  <c r="AC220" i="25"/>
  <c r="X221" i="25" s="1"/>
  <c r="K191" i="24"/>
  <c r="R191" i="24" s="1"/>
  <c r="Q192" i="24" s="1"/>
  <c r="J191" i="24"/>
  <c r="O209" i="24"/>
  <c r="N209" i="24"/>
  <c r="AW138" i="26"/>
  <c r="AX138" i="26" s="1"/>
  <c r="AY138" i="26" s="1"/>
  <c r="AG209" i="29"/>
  <c r="AF210" i="29" s="1"/>
  <c r="Z210" i="29"/>
  <c r="Y210" i="29"/>
  <c r="AO146" i="29"/>
  <c r="K146" i="29"/>
  <c r="AL146" i="29"/>
  <c r="AJ145" i="29"/>
  <c r="AK145" i="29" s="1"/>
  <c r="AM145" i="29"/>
  <c r="AN145" i="29" s="1"/>
  <c r="H139" i="26"/>
  <c r="AI139" i="26" s="1"/>
  <c r="G182" i="25"/>
  <c r="K182" i="25" s="1"/>
  <c r="H182" i="25"/>
  <c r="J183" i="25"/>
  <c r="N178" i="25"/>
  <c r="AP178" i="25" s="1"/>
  <c r="P179" i="25"/>
  <c r="AJ177" i="25"/>
  <c r="AK177" i="25" s="1"/>
  <c r="AW177" i="25" s="1"/>
  <c r="AX177" i="25" s="1"/>
  <c r="AY177" i="25" s="1"/>
  <c r="F131" i="24"/>
  <c r="AI130" i="24"/>
  <c r="AJ130" i="24" s="1"/>
  <c r="AL130" i="24"/>
  <c r="AM130" i="24" s="1"/>
  <c r="H131" i="15"/>
  <c r="M178" i="25"/>
  <c r="AL178" i="25" s="1"/>
  <c r="AU121" i="19"/>
  <c r="AQ121" i="19"/>
  <c r="AS121" i="19"/>
  <c r="H122" i="19"/>
  <c r="J123" i="19"/>
  <c r="G122" i="19"/>
  <c r="AW137" i="17"/>
  <c r="AX137" i="17" s="1"/>
  <c r="AY137" i="17" s="1"/>
  <c r="H138" i="17"/>
  <c r="G138" i="17"/>
  <c r="AI138" i="17" s="1"/>
  <c r="AJ138" i="17" s="1"/>
  <c r="AK138" i="17" s="1"/>
  <c r="J139" i="17"/>
  <c r="Y128" i="16"/>
  <c r="AC128" i="16" s="1"/>
  <c r="X129" i="16" s="1"/>
  <c r="Z129" i="16" s="1"/>
  <c r="AG127" i="16"/>
  <c r="AF128" i="16" s="1"/>
  <c r="AE133" i="16"/>
  <c r="AD134" i="16" s="1"/>
  <c r="AT133" i="16"/>
  <c r="M114" i="16"/>
  <c r="Q114" i="16" s="1"/>
  <c r="L115" i="16" s="1"/>
  <c r="P115" i="16"/>
  <c r="N114" i="16"/>
  <c r="S134" i="16"/>
  <c r="W134" i="16" s="1"/>
  <c r="R135" i="16" s="1"/>
  <c r="T134" i="16"/>
  <c r="F99" i="16"/>
  <c r="AS98" i="16"/>
  <c r="AQ98" i="16"/>
  <c r="AI98" i="16"/>
  <c r="AJ98" i="16" s="1"/>
  <c r="AK98" i="16" s="1"/>
  <c r="AU98" i="16"/>
  <c r="F169" i="18"/>
  <c r="G169" i="18" s="1"/>
  <c r="AR169" i="18" s="1"/>
  <c r="AL168" i="18"/>
  <c r="AI168" i="18"/>
  <c r="AJ168" i="18" s="1"/>
  <c r="AK168" i="18" s="1"/>
  <c r="Z210" i="28" l="1"/>
  <c r="Y210" i="28"/>
  <c r="AG210" i="28" s="1"/>
  <c r="AF211" i="28" s="1"/>
  <c r="F141" i="28"/>
  <c r="AS140" i="28"/>
  <c r="AU140" i="28"/>
  <c r="AQ140" i="28"/>
  <c r="O147" i="29"/>
  <c r="M147" i="29"/>
  <c r="N147" i="29"/>
  <c r="P148" i="29"/>
  <c r="L191" i="24"/>
  <c r="I192" i="24" s="1"/>
  <c r="P209" i="24"/>
  <c r="M210" i="24" s="1"/>
  <c r="Z221" i="25"/>
  <c r="Y221" i="25"/>
  <c r="AG221" i="25" s="1"/>
  <c r="AF222" i="25" s="1"/>
  <c r="T191" i="24"/>
  <c r="S192" i="24" s="1"/>
  <c r="AG210" i="29"/>
  <c r="AF211" i="29" s="1"/>
  <c r="AC210" i="29"/>
  <c r="X211" i="29" s="1"/>
  <c r="AA211" i="29" s="1"/>
  <c r="AE211" i="29" s="1"/>
  <c r="AD212" i="29" s="1"/>
  <c r="AW145" i="29"/>
  <c r="AX145" i="29" s="1"/>
  <c r="AY145" i="29" s="1"/>
  <c r="F140" i="26"/>
  <c r="G140" i="26" s="1"/>
  <c r="AR140" i="26" s="1"/>
  <c r="AM146" i="29"/>
  <c r="AN146" i="29" s="1"/>
  <c r="F147" i="29"/>
  <c r="I147" i="29" s="1"/>
  <c r="AR147" i="29" s="1"/>
  <c r="AQ146" i="29"/>
  <c r="AS146" i="29"/>
  <c r="AU146" i="29"/>
  <c r="AL139" i="26"/>
  <c r="AJ139" i="26"/>
  <c r="AK139" i="26" s="1"/>
  <c r="F183" i="25"/>
  <c r="AO178" i="25"/>
  <c r="AM178" i="25"/>
  <c r="AN178" i="25" s="1"/>
  <c r="AT192" i="24"/>
  <c r="AK130" i="24"/>
  <c r="AN130" i="24"/>
  <c r="F132" i="15"/>
  <c r="AI131" i="15"/>
  <c r="AJ131" i="15" s="1"/>
  <c r="AK131" i="15" s="1"/>
  <c r="AL131" i="15"/>
  <c r="AM131" i="15" s="1"/>
  <c r="AN131" i="15" s="1"/>
  <c r="G131" i="24"/>
  <c r="AR131" i="24" s="1"/>
  <c r="Q178" i="25"/>
  <c r="AW121" i="19"/>
  <c r="AX121" i="19" s="1"/>
  <c r="AY121" i="19" s="1"/>
  <c r="K122" i="19"/>
  <c r="AI122" i="19"/>
  <c r="AJ122" i="19" s="1"/>
  <c r="AK122" i="19" s="1"/>
  <c r="AL122" i="19"/>
  <c r="AM122" i="19" s="1"/>
  <c r="AN122" i="19" s="1"/>
  <c r="AO122" i="19"/>
  <c r="AP122" i="19"/>
  <c r="K138" i="17"/>
  <c r="AU138" i="17" s="1"/>
  <c r="AL138" i="17"/>
  <c r="AM138" i="17" s="1"/>
  <c r="AN138" i="17" s="1"/>
  <c r="AO138" i="17"/>
  <c r="AP138" i="17"/>
  <c r="Y129" i="16"/>
  <c r="AC129" i="16" s="1"/>
  <c r="X130" i="16" s="1"/>
  <c r="Z130" i="16" s="1"/>
  <c r="AG128" i="16"/>
  <c r="AF129" i="16" s="1"/>
  <c r="P116" i="16"/>
  <c r="M115" i="16"/>
  <c r="Q115" i="16" s="1"/>
  <c r="L116" i="16" s="1"/>
  <c r="N115" i="16"/>
  <c r="S135" i="16"/>
  <c r="W135" i="16" s="1"/>
  <c r="R136" i="16" s="1"/>
  <c r="T135" i="16"/>
  <c r="AE134" i="16"/>
  <c r="AD135" i="16" s="1"/>
  <c r="AT134" i="16"/>
  <c r="AW98" i="16"/>
  <c r="AX98" i="16" s="1"/>
  <c r="AY98" i="16" s="1"/>
  <c r="H99" i="16"/>
  <c r="J100" i="16"/>
  <c r="G99" i="16"/>
  <c r="K99" i="16" s="1"/>
  <c r="AS99" i="16" s="1"/>
  <c r="H169" i="18"/>
  <c r="AL169" i="18" s="1"/>
  <c r="AM168" i="18"/>
  <c r="AN168" i="18" s="1"/>
  <c r="AW168" i="18" s="1"/>
  <c r="AX168" i="18" s="1"/>
  <c r="AY168" i="18" s="1"/>
  <c r="AC210" i="28" l="1"/>
  <c r="X211" i="28" s="1"/>
  <c r="AB211" i="28" s="1"/>
  <c r="AW140" i="28"/>
  <c r="AX140" i="28" s="1"/>
  <c r="AY140" i="28" s="1"/>
  <c r="AT212" i="29"/>
  <c r="Q147" i="29"/>
  <c r="L148" i="29" s="1"/>
  <c r="I141" i="28"/>
  <c r="Q141" i="28" s="1"/>
  <c r="L142" i="28" s="1"/>
  <c r="G141" i="28"/>
  <c r="AI141" i="28" s="1"/>
  <c r="AJ141" i="28" s="1"/>
  <c r="AK141" i="28" s="1"/>
  <c r="J142" i="28"/>
  <c r="H141" i="28"/>
  <c r="O210" i="24"/>
  <c r="N210" i="24"/>
  <c r="AC221" i="25"/>
  <c r="X222" i="25" s="1"/>
  <c r="K192" i="24"/>
  <c r="T192" i="24" s="1"/>
  <c r="S193" i="24" s="1"/>
  <c r="J192" i="24"/>
  <c r="Z211" i="29"/>
  <c r="Y211" i="29"/>
  <c r="AG211" i="29" s="1"/>
  <c r="AF212" i="29" s="1"/>
  <c r="AW146" i="29"/>
  <c r="AX146" i="29" s="1"/>
  <c r="AY146" i="29" s="1"/>
  <c r="J148" i="29"/>
  <c r="H147" i="29"/>
  <c r="AP147" i="29" s="1"/>
  <c r="G147" i="29"/>
  <c r="AL147" i="29" s="1"/>
  <c r="AM139" i="26"/>
  <c r="AN139" i="26" s="1"/>
  <c r="AW139" i="26" s="1"/>
  <c r="AX139" i="26" s="1"/>
  <c r="AY139" i="26" s="1"/>
  <c r="H140" i="26"/>
  <c r="AW130" i="24"/>
  <c r="AX130" i="24" s="1"/>
  <c r="AY130" i="24" s="1"/>
  <c r="G183" i="25"/>
  <c r="K183" i="25" s="1"/>
  <c r="J184" i="25"/>
  <c r="H183" i="25"/>
  <c r="AU178" i="25"/>
  <c r="AQ178" i="25"/>
  <c r="AI178" i="25"/>
  <c r="AS178" i="25"/>
  <c r="L179" i="25"/>
  <c r="AW131" i="15"/>
  <c r="AX131" i="15" s="1"/>
  <c r="AY131" i="15" s="1"/>
  <c r="G132" i="15"/>
  <c r="AR132" i="15" s="1"/>
  <c r="H131" i="24"/>
  <c r="F123" i="19"/>
  <c r="AS122" i="19"/>
  <c r="AQ122" i="19"/>
  <c r="AU122" i="19"/>
  <c r="F139" i="17"/>
  <c r="H139" i="17" s="1"/>
  <c r="AS138" i="17"/>
  <c r="AQ138" i="17"/>
  <c r="AG129" i="16"/>
  <c r="AF130" i="16" s="1"/>
  <c r="Y130" i="16"/>
  <c r="AU99" i="16"/>
  <c r="AQ99" i="16"/>
  <c r="AT135" i="16"/>
  <c r="AE135" i="16"/>
  <c r="AD136" i="16" s="1"/>
  <c r="M116" i="16"/>
  <c r="Q116" i="16" s="1"/>
  <c r="L117" i="16" s="1"/>
  <c r="N116" i="16"/>
  <c r="P117" i="16"/>
  <c r="AL99" i="16"/>
  <c r="AM99" i="16" s="1"/>
  <c r="AN99" i="16" s="1"/>
  <c r="T136" i="16"/>
  <c r="S136" i="16"/>
  <c r="W136" i="16" s="1"/>
  <c r="R137" i="16" s="1"/>
  <c r="AP99" i="16"/>
  <c r="AO99" i="16"/>
  <c r="AI99" i="16"/>
  <c r="AJ99" i="16" s="1"/>
  <c r="AK99" i="16" s="1"/>
  <c r="F100" i="16"/>
  <c r="AI169" i="18"/>
  <c r="AJ169" i="18" s="1"/>
  <c r="AK169" i="18" s="1"/>
  <c r="F170" i="18"/>
  <c r="G170" i="18" s="1"/>
  <c r="AR170" i="18" s="1"/>
  <c r="AM169" i="18"/>
  <c r="AN169" i="18" s="1"/>
  <c r="Y211" i="28" l="1"/>
  <c r="AG211" i="28" s="1"/>
  <c r="AF212" i="28" s="1"/>
  <c r="Z211" i="28"/>
  <c r="O142" i="28"/>
  <c r="N142" i="28"/>
  <c r="P143" i="28"/>
  <c r="M142" i="28"/>
  <c r="AP141" i="28"/>
  <c r="AO141" i="28"/>
  <c r="K141" i="28"/>
  <c r="AL141" i="28"/>
  <c r="AM141" i="28" s="1"/>
  <c r="AN141" i="28" s="1"/>
  <c r="O148" i="29"/>
  <c r="P149" i="29"/>
  <c r="M148" i="29"/>
  <c r="N148" i="29"/>
  <c r="P210" i="24"/>
  <c r="M211" i="24" s="1"/>
  <c r="L192" i="24"/>
  <c r="I193" i="24" s="1"/>
  <c r="R192" i="24"/>
  <c r="Q193" i="24" s="1"/>
  <c r="AT193" i="24" s="1"/>
  <c r="Y222" i="25"/>
  <c r="AG222" i="25" s="1"/>
  <c r="AF223" i="25" s="1"/>
  <c r="Z222" i="25"/>
  <c r="AC211" i="29"/>
  <c r="X212" i="29" s="1"/>
  <c r="AA212" i="29" s="1"/>
  <c r="AE212" i="29" s="1"/>
  <c r="AD213" i="29" s="1"/>
  <c r="AM147" i="29"/>
  <c r="AN147" i="29" s="1"/>
  <c r="K147" i="29"/>
  <c r="AI147" i="29"/>
  <c r="AO147" i="29"/>
  <c r="F141" i="26"/>
  <c r="AL140" i="26"/>
  <c r="AM140" i="26" s="1"/>
  <c r="AN140" i="26" s="1"/>
  <c r="AI140" i="26"/>
  <c r="AJ140" i="26" s="1"/>
  <c r="AK140" i="26" s="1"/>
  <c r="F184" i="25"/>
  <c r="P180" i="25"/>
  <c r="N179" i="25"/>
  <c r="AP179" i="25" s="1"/>
  <c r="AJ178" i="25"/>
  <c r="AK178" i="25" s="1"/>
  <c r="AW178" i="25" s="1"/>
  <c r="AX178" i="25" s="1"/>
  <c r="AY178" i="25" s="1"/>
  <c r="F132" i="24"/>
  <c r="AL131" i="24"/>
  <c r="AM131" i="24" s="1"/>
  <c r="AI131" i="24"/>
  <c r="AJ131" i="24" s="1"/>
  <c r="H132" i="15"/>
  <c r="M179" i="25"/>
  <c r="AL179" i="25" s="1"/>
  <c r="AW122" i="19"/>
  <c r="AX122" i="19" s="1"/>
  <c r="AY122" i="19" s="1"/>
  <c r="G123" i="19"/>
  <c r="K123" i="19" s="1"/>
  <c r="J124" i="19"/>
  <c r="H123" i="19"/>
  <c r="AW138" i="17"/>
  <c r="AX138" i="17" s="1"/>
  <c r="AY138" i="17" s="1"/>
  <c r="J140" i="17"/>
  <c r="G139" i="17"/>
  <c r="AL139" i="17" s="1"/>
  <c r="AM139" i="17" s="1"/>
  <c r="AN139" i="17" s="1"/>
  <c r="AG130" i="16"/>
  <c r="AF131" i="16" s="1"/>
  <c r="AO139" i="17"/>
  <c r="AP139" i="17"/>
  <c r="AC130" i="16"/>
  <c r="X131" i="16" s="1"/>
  <c r="Y131" i="16" s="1"/>
  <c r="AC131" i="16" s="1"/>
  <c r="X132" i="16" s="1"/>
  <c r="Z132" i="16" s="1"/>
  <c r="AW99" i="16"/>
  <c r="AX99" i="16" s="1"/>
  <c r="AY99" i="16" s="1"/>
  <c r="M117" i="16"/>
  <c r="Q117" i="16" s="1"/>
  <c r="L118" i="16" s="1"/>
  <c r="P118" i="16"/>
  <c r="N117" i="16"/>
  <c r="AE136" i="16"/>
  <c r="AD137" i="16" s="1"/>
  <c r="AT136" i="16"/>
  <c r="T137" i="16"/>
  <c r="S137" i="16"/>
  <c r="W137" i="16" s="1"/>
  <c r="R138" i="16" s="1"/>
  <c r="J101" i="16"/>
  <c r="G100" i="16"/>
  <c r="K100" i="16" s="1"/>
  <c r="F101" i="16" s="1"/>
  <c r="H100" i="16"/>
  <c r="H170" i="18"/>
  <c r="AW169" i="18"/>
  <c r="AX169" i="18" s="1"/>
  <c r="AY169" i="18" s="1"/>
  <c r="AC211" i="28" l="1"/>
  <c r="X212" i="28" s="1"/>
  <c r="AB212" i="28" s="1"/>
  <c r="AT213" i="29"/>
  <c r="F142" i="28"/>
  <c r="AS141" i="28"/>
  <c r="AU141" i="28"/>
  <c r="AQ141" i="28"/>
  <c r="AC222" i="25"/>
  <c r="X223" i="25" s="1"/>
  <c r="K193" i="24"/>
  <c r="T193" i="24" s="1"/>
  <c r="S194" i="24" s="1"/>
  <c r="J193" i="24"/>
  <c r="O211" i="24"/>
  <c r="N211" i="24"/>
  <c r="Z212" i="29"/>
  <c r="Y212" i="29"/>
  <c r="AG212" i="29" s="1"/>
  <c r="AF213" i="29" s="1"/>
  <c r="F148" i="29"/>
  <c r="I148" i="29" s="1"/>
  <c r="AR148" i="29" s="1"/>
  <c r="AS147" i="29"/>
  <c r="AU147" i="29"/>
  <c r="AQ147" i="29"/>
  <c r="AJ147" i="29"/>
  <c r="AK147" i="29" s="1"/>
  <c r="AW140" i="26"/>
  <c r="AX140" i="26" s="1"/>
  <c r="AY140" i="26" s="1"/>
  <c r="G141" i="26"/>
  <c r="AR141" i="26" s="1"/>
  <c r="AO179" i="25"/>
  <c r="G184" i="25"/>
  <c r="K184" i="25" s="1"/>
  <c r="H184" i="25"/>
  <c r="J185" i="25"/>
  <c r="AM179" i="25"/>
  <c r="AN179" i="25" s="1"/>
  <c r="AK131" i="24"/>
  <c r="AN131" i="24"/>
  <c r="F133" i="15"/>
  <c r="AI132" i="15"/>
  <c r="AJ132" i="15" s="1"/>
  <c r="AK132" i="15" s="1"/>
  <c r="AL132" i="15"/>
  <c r="AM132" i="15" s="1"/>
  <c r="AN132" i="15" s="1"/>
  <c r="G132" i="24"/>
  <c r="AR132" i="24" s="1"/>
  <c r="Q179" i="25"/>
  <c r="AI123" i="19"/>
  <c r="AJ123" i="19" s="1"/>
  <c r="AK123" i="19" s="1"/>
  <c r="AL123" i="19"/>
  <c r="AM123" i="19" s="1"/>
  <c r="AN123" i="19" s="1"/>
  <c r="F124" i="19"/>
  <c r="AS123" i="19"/>
  <c r="AQ123" i="19"/>
  <c r="AU123" i="19"/>
  <c r="AO123" i="19"/>
  <c r="AP123" i="19"/>
  <c r="K139" i="17"/>
  <c r="AQ139" i="17" s="1"/>
  <c r="AI139" i="17"/>
  <c r="AJ139" i="17" s="1"/>
  <c r="AK139" i="17" s="1"/>
  <c r="AG131" i="16"/>
  <c r="AF132" i="16" s="1"/>
  <c r="Z131" i="16"/>
  <c r="Y132" i="16"/>
  <c r="AC132" i="16" s="1"/>
  <c r="X133" i="16" s="1"/>
  <c r="Y133" i="16" s="1"/>
  <c r="AC133" i="16" s="1"/>
  <c r="X134" i="16" s="1"/>
  <c r="AU100" i="16"/>
  <c r="AI100" i="16"/>
  <c r="AJ100" i="16" s="1"/>
  <c r="AK100" i="16" s="1"/>
  <c r="N118" i="16"/>
  <c r="P119" i="16"/>
  <c r="M118" i="16"/>
  <c r="Q118" i="16" s="1"/>
  <c r="L119" i="16" s="1"/>
  <c r="S138" i="16"/>
  <c r="W138" i="16" s="1"/>
  <c r="R139" i="16" s="1"/>
  <c r="T138" i="16"/>
  <c r="AT137" i="16"/>
  <c r="AE137" i="16"/>
  <c r="AD138" i="16" s="1"/>
  <c r="AP100" i="16"/>
  <c r="AO100" i="16"/>
  <c r="AQ100" i="16"/>
  <c r="AL100" i="16"/>
  <c r="AM100" i="16" s="1"/>
  <c r="AN100" i="16" s="1"/>
  <c r="G101" i="16"/>
  <c r="AL101" i="16" s="1"/>
  <c r="AM101" i="16" s="1"/>
  <c r="AN101" i="16" s="1"/>
  <c r="J102" i="16"/>
  <c r="H101" i="16"/>
  <c r="AS100" i="16"/>
  <c r="F171" i="18"/>
  <c r="AI170" i="18"/>
  <c r="AJ170" i="18" s="1"/>
  <c r="AK170" i="18" s="1"/>
  <c r="AL170" i="18"/>
  <c r="AM170" i="18" s="1"/>
  <c r="AN170" i="18" s="1"/>
  <c r="Q148" i="29" l="1"/>
  <c r="L149" i="29" s="1"/>
  <c r="P150" i="29" s="1"/>
  <c r="Z212" i="28"/>
  <c r="Y212" i="28"/>
  <c r="AG212" i="28" s="1"/>
  <c r="AF213" i="28" s="1"/>
  <c r="I142" i="28"/>
  <c r="Q142" i="28" s="1"/>
  <c r="L143" i="28" s="1"/>
  <c r="J143" i="28"/>
  <c r="G142" i="28"/>
  <c r="AI142" i="28" s="1"/>
  <c r="AJ142" i="28" s="1"/>
  <c r="AK142" i="28" s="1"/>
  <c r="H142" i="28"/>
  <c r="AW141" i="28"/>
  <c r="AX141" i="28" s="1"/>
  <c r="AY141" i="28" s="1"/>
  <c r="O149" i="29"/>
  <c r="P211" i="24"/>
  <c r="M212" i="24" s="1"/>
  <c r="L193" i="24"/>
  <c r="I194" i="24" s="1"/>
  <c r="Y223" i="25"/>
  <c r="Z223" i="25"/>
  <c r="R193" i="24"/>
  <c r="Q194" i="24" s="1"/>
  <c r="AT194" i="24" s="1"/>
  <c r="AC212" i="29"/>
  <c r="X213" i="29" s="1"/>
  <c r="AA213" i="29" s="1"/>
  <c r="AE213" i="29" s="1"/>
  <c r="AD214" i="29" s="1"/>
  <c r="H148" i="29"/>
  <c r="AP148" i="29" s="1"/>
  <c r="J149" i="29"/>
  <c r="G148" i="29"/>
  <c r="AI148" i="29" s="1"/>
  <c r="AW147" i="29"/>
  <c r="AX147" i="29" s="1"/>
  <c r="AY147" i="29" s="1"/>
  <c r="H141" i="26"/>
  <c r="AW131" i="24"/>
  <c r="AX131" i="24" s="1"/>
  <c r="AY131" i="24" s="1"/>
  <c r="AW132" i="15"/>
  <c r="AX132" i="15" s="1"/>
  <c r="AY132" i="15" s="1"/>
  <c r="F185" i="25"/>
  <c r="AU179" i="25"/>
  <c r="AI179" i="25"/>
  <c r="AQ179" i="25"/>
  <c r="AS179" i="25"/>
  <c r="L180" i="25"/>
  <c r="G133" i="15"/>
  <c r="AR133" i="15" s="1"/>
  <c r="H132" i="24"/>
  <c r="AW123" i="19"/>
  <c r="AX123" i="19" s="1"/>
  <c r="AY123" i="19" s="1"/>
  <c r="H124" i="19"/>
  <c r="J125" i="19"/>
  <c r="G124" i="19"/>
  <c r="AL124" i="19" s="1"/>
  <c r="AM124" i="19" s="1"/>
  <c r="AN124" i="19" s="1"/>
  <c r="AS139" i="17"/>
  <c r="F140" i="17"/>
  <c r="H140" i="17" s="1"/>
  <c r="AU139" i="17"/>
  <c r="AG132" i="16"/>
  <c r="AF133" i="16" s="1"/>
  <c r="AG133" i="16" s="1"/>
  <c r="AF134" i="16" s="1"/>
  <c r="Z133" i="16"/>
  <c r="AW100" i="16"/>
  <c r="AX100" i="16" s="1"/>
  <c r="AY100" i="16" s="1"/>
  <c r="K101" i="16"/>
  <c r="AU101" i="16" s="1"/>
  <c r="AE138" i="16"/>
  <c r="AD139" i="16" s="1"/>
  <c r="AT138" i="16"/>
  <c r="M119" i="16"/>
  <c r="Q119" i="16" s="1"/>
  <c r="L120" i="16" s="1"/>
  <c r="P120" i="16"/>
  <c r="N119" i="16"/>
  <c r="S139" i="16"/>
  <c r="W139" i="16" s="1"/>
  <c r="R140" i="16" s="1"/>
  <c r="T139" i="16"/>
  <c r="AP101" i="16"/>
  <c r="AO101" i="16"/>
  <c r="Z134" i="16"/>
  <c r="Y134" i="16"/>
  <c r="AC134" i="16" s="1"/>
  <c r="X135" i="16" s="1"/>
  <c r="AW170" i="18"/>
  <c r="AX170" i="18" s="1"/>
  <c r="AY170" i="18" s="1"/>
  <c r="G171" i="18"/>
  <c r="AR171" i="18" s="1"/>
  <c r="N149" i="29" l="1"/>
  <c r="M149" i="29"/>
  <c r="AC212" i="28"/>
  <c r="X213" i="28" s="1"/>
  <c r="AB213" i="28" s="1"/>
  <c r="O143" i="28"/>
  <c r="M143" i="28"/>
  <c r="P144" i="28"/>
  <c r="N143" i="28"/>
  <c r="AT214" i="29"/>
  <c r="AP142" i="28"/>
  <c r="AO142" i="28"/>
  <c r="AL142" i="28"/>
  <c r="AM142" i="28" s="1"/>
  <c r="AN142" i="28" s="1"/>
  <c r="K142" i="28"/>
  <c r="AC223" i="25"/>
  <c r="X224" i="25" s="1"/>
  <c r="AG223" i="25"/>
  <c r="AF224" i="25" s="1"/>
  <c r="K194" i="24"/>
  <c r="T194" i="24" s="1"/>
  <c r="S195" i="24" s="1"/>
  <c r="J194" i="24"/>
  <c r="O212" i="24"/>
  <c r="N212" i="24"/>
  <c r="Z213" i="29"/>
  <c r="Y213" i="29"/>
  <c r="AG213" i="29" s="1"/>
  <c r="AF214" i="29" s="1"/>
  <c r="AO148" i="29"/>
  <c r="AJ148" i="29"/>
  <c r="AK148" i="29" s="1"/>
  <c r="K148" i="29"/>
  <c r="AL148" i="29"/>
  <c r="F142" i="26"/>
  <c r="AI141" i="26"/>
  <c r="AL141" i="26"/>
  <c r="AM141" i="26" s="1"/>
  <c r="AN141" i="26" s="1"/>
  <c r="G185" i="25"/>
  <c r="K185" i="25" s="1"/>
  <c r="J186" i="25"/>
  <c r="H185" i="25"/>
  <c r="AJ179" i="25"/>
  <c r="AK179" i="25" s="1"/>
  <c r="AW179" i="25" s="1"/>
  <c r="AX179" i="25" s="1"/>
  <c r="AY179" i="25" s="1"/>
  <c r="P181" i="25"/>
  <c r="N180" i="25"/>
  <c r="AP180" i="25" s="1"/>
  <c r="F133" i="24"/>
  <c r="AI132" i="24"/>
  <c r="AJ132" i="24" s="1"/>
  <c r="AL132" i="24"/>
  <c r="AM132" i="24" s="1"/>
  <c r="H133" i="15"/>
  <c r="M180" i="25"/>
  <c r="Q180" i="25" s="1"/>
  <c r="L181" i="25" s="1"/>
  <c r="AI124" i="19"/>
  <c r="AJ124" i="19" s="1"/>
  <c r="AK124" i="19" s="1"/>
  <c r="K124" i="19"/>
  <c r="AO124" i="19"/>
  <c r="AP124" i="19"/>
  <c r="J141" i="17"/>
  <c r="G140" i="17"/>
  <c r="K140" i="17" s="1"/>
  <c r="F141" i="17" s="1"/>
  <c r="H141" i="17" s="1"/>
  <c r="AW139" i="17"/>
  <c r="AX139" i="17" s="1"/>
  <c r="AY139" i="17" s="1"/>
  <c r="AS101" i="16"/>
  <c r="AO140" i="17"/>
  <c r="AP140" i="17"/>
  <c r="N120" i="16"/>
  <c r="M120" i="16"/>
  <c r="Q120" i="16" s="1"/>
  <c r="L121" i="16" s="1"/>
  <c r="P121" i="16"/>
  <c r="AG134" i="16"/>
  <c r="AF135" i="16" s="1"/>
  <c r="S140" i="16"/>
  <c r="W140" i="16" s="1"/>
  <c r="R141" i="16" s="1"/>
  <c r="T140" i="16"/>
  <c r="AE139" i="16"/>
  <c r="AD140" i="16" s="1"/>
  <c r="AT139" i="16"/>
  <c r="F102" i="16"/>
  <c r="AQ101" i="16"/>
  <c r="AI101" i="16"/>
  <c r="AJ101" i="16" s="1"/>
  <c r="AK101" i="16" s="1"/>
  <c r="Y135" i="16"/>
  <c r="Z135" i="16"/>
  <c r="H171" i="18"/>
  <c r="AI171" i="18" s="1"/>
  <c r="Z213" i="28" l="1"/>
  <c r="Y213" i="28"/>
  <c r="AG213" i="28" s="1"/>
  <c r="AF214" i="28" s="1"/>
  <c r="F143" i="28"/>
  <c r="AU142" i="28"/>
  <c r="AQ142" i="28"/>
  <c r="AS142" i="28"/>
  <c r="P212" i="24"/>
  <c r="M213" i="24" s="1"/>
  <c r="L194" i="24"/>
  <c r="I195" i="24" s="1"/>
  <c r="R194" i="24"/>
  <c r="Q195" i="24" s="1"/>
  <c r="AT195" i="24" s="1"/>
  <c r="Z224" i="25"/>
  <c r="Y224" i="25"/>
  <c r="AC224" i="25" s="1"/>
  <c r="X225" i="25" s="1"/>
  <c r="AC213" i="29"/>
  <c r="X214" i="29" s="1"/>
  <c r="AA214" i="29" s="1"/>
  <c r="AE214" i="29" s="1"/>
  <c r="AD215" i="29" s="1"/>
  <c r="F149" i="29"/>
  <c r="I149" i="29" s="1"/>
  <c r="AS148" i="29"/>
  <c r="AU148" i="29"/>
  <c r="AQ148" i="29"/>
  <c r="AM148" i="29"/>
  <c r="AN148" i="29" s="1"/>
  <c r="G142" i="26"/>
  <c r="AR142" i="26" s="1"/>
  <c r="AJ141" i="26"/>
  <c r="AK141" i="26" s="1"/>
  <c r="AW141" i="26" s="1"/>
  <c r="AX141" i="26" s="1"/>
  <c r="AY141" i="26" s="1"/>
  <c r="F186" i="25"/>
  <c r="AO180" i="25"/>
  <c r="AL180" i="25"/>
  <c r="AQ180" i="25"/>
  <c r="AS180" i="25"/>
  <c r="AI180" i="25"/>
  <c r="AU180" i="25"/>
  <c r="N181" i="25"/>
  <c r="AP181" i="25" s="1"/>
  <c r="P182" i="25"/>
  <c r="G133" i="24"/>
  <c r="AR133" i="24" s="1"/>
  <c r="AK132" i="24"/>
  <c r="AN132" i="24"/>
  <c r="F134" i="15"/>
  <c r="AI133" i="15"/>
  <c r="AJ133" i="15" s="1"/>
  <c r="AK133" i="15" s="1"/>
  <c r="AL133" i="15"/>
  <c r="AM133" i="15" s="1"/>
  <c r="AN133" i="15" s="1"/>
  <c r="M181" i="25"/>
  <c r="Q181" i="25" s="1"/>
  <c r="L182" i="25" s="1"/>
  <c r="AS124" i="19"/>
  <c r="AQ124" i="19"/>
  <c r="AU124" i="19"/>
  <c r="F125" i="19"/>
  <c r="AL140" i="17"/>
  <c r="AM140" i="17" s="1"/>
  <c r="AN140" i="17" s="1"/>
  <c r="AI140" i="17"/>
  <c r="AJ140" i="17" s="1"/>
  <c r="AK140" i="17" s="1"/>
  <c r="G141" i="17"/>
  <c r="AI141" i="17" s="1"/>
  <c r="AJ141" i="17" s="1"/>
  <c r="AK141" i="17" s="1"/>
  <c r="J142" i="17"/>
  <c r="AS140" i="17"/>
  <c r="AU140" i="17"/>
  <c r="AQ140" i="17"/>
  <c r="AW101" i="16"/>
  <c r="AX101" i="16" s="1"/>
  <c r="AY101" i="16" s="1"/>
  <c r="AG135" i="16"/>
  <c r="AF136" i="16" s="1"/>
  <c r="AP141" i="17"/>
  <c r="AO141" i="17"/>
  <c r="T141" i="16"/>
  <c r="S141" i="16"/>
  <c r="W141" i="16" s="1"/>
  <c r="R142" i="16" s="1"/>
  <c r="N121" i="16"/>
  <c r="P122" i="16"/>
  <c r="M121" i="16"/>
  <c r="Q121" i="16" s="1"/>
  <c r="L122" i="16" s="1"/>
  <c r="J103" i="16"/>
  <c r="G102" i="16"/>
  <c r="K102" i="16" s="1"/>
  <c r="AQ102" i="16" s="1"/>
  <c r="H102" i="16"/>
  <c r="AT140" i="16"/>
  <c r="AE140" i="16"/>
  <c r="AD141" i="16" s="1"/>
  <c r="AC135" i="16"/>
  <c r="X136" i="16" s="1"/>
  <c r="F172" i="18"/>
  <c r="G172" i="18" s="1"/>
  <c r="AR172" i="18" s="1"/>
  <c r="AL171" i="18"/>
  <c r="AM171" i="18" s="1"/>
  <c r="AN171" i="18" s="1"/>
  <c r="AJ171" i="18"/>
  <c r="AK171" i="18" s="1"/>
  <c r="AC213" i="28" l="1"/>
  <c r="X214" i="28" s="1"/>
  <c r="AB214" i="28" s="1"/>
  <c r="I143" i="28"/>
  <c r="Q143" i="28" s="1"/>
  <c r="L144" i="28" s="1"/>
  <c r="G143" i="28"/>
  <c r="AL143" i="28" s="1"/>
  <c r="AM143" i="28" s="1"/>
  <c r="AN143" i="28" s="1"/>
  <c r="J144" i="28"/>
  <c r="H143" i="28"/>
  <c r="AW142" i="28"/>
  <c r="AX142" i="28" s="1"/>
  <c r="AY142" i="28" s="1"/>
  <c r="AT215" i="29"/>
  <c r="AR149" i="29"/>
  <c r="Q149" i="29"/>
  <c r="L150" i="29" s="1"/>
  <c r="AG224" i="25"/>
  <c r="AF225" i="25" s="1"/>
  <c r="Y225" i="25"/>
  <c r="AC225" i="25" s="1"/>
  <c r="X226" i="25" s="1"/>
  <c r="Z225" i="25"/>
  <c r="O213" i="24"/>
  <c r="N213" i="24"/>
  <c r="K195" i="24"/>
  <c r="T195" i="24" s="1"/>
  <c r="S196" i="24" s="1"/>
  <c r="J195" i="24"/>
  <c r="Z214" i="29"/>
  <c r="Y214" i="29"/>
  <c r="AG214" i="29" s="1"/>
  <c r="AF215" i="29" s="1"/>
  <c r="AW148" i="29"/>
  <c r="AX148" i="29" s="1"/>
  <c r="AY148" i="29" s="1"/>
  <c r="J150" i="29"/>
  <c r="H149" i="29"/>
  <c r="AP149" i="29" s="1"/>
  <c r="G149" i="29"/>
  <c r="AI149" i="29" s="1"/>
  <c r="H142" i="26"/>
  <c r="G186" i="25"/>
  <c r="K186" i="25" s="1"/>
  <c r="H186" i="25"/>
  <c r="J187" i="25"/>
  <c r="AO181" i="25"/>
  <c r="AS181" i="25"/>
  <c r="AQ181" i="25"/>
  <c r="AL181" i="25"/>
  <c r="AI181" i="25"/>
  <c r="AU181" i="25"/>
  <c r="AW132" i="24"/>
  <c r="AX132" i="24" s="1"/>
  <c r="AY132" i="24" s="1"/>
  <c r="AJ180" i="25"/>
  <c r="AK180" i="25" s="1"/>
  <c r="AM180" i="25"/>
  <c r="AN180" i="25" s="1"/>
  <c r="P183" i="25"/>
  <c r="N182" i="25"/>
  <c r="AP182" i="25" s="1"/>
  <c r="AW133" i="15"/>
  <c r="AX133" i="15" s="1"/>
  <c r="AY133" i="15" s="1"/>
  <c r="H133" i="24"/>
  <c r="G134" i="15"/>
  <c r="AR134" i="15" s="1"/>
  <c r="M182" i="25"/>
  <c r="Q182" i="25" s="1"/>
  <c r="L183" i="25" s="1"/>
  <c r="AW124" i="19"/>
  <c r="AX124" i="19" s="1"/>
  <c r="AY124" i="19" s="1"/>
  <c r="K141" i="17"/>
  <c r="AS141" i="17" s="1"/>
  <c r="J126" i="19"/>
  <c r="H125" i="19"/>
  <c r="G125" i="19"/>
  <c r="AL125" i="19" s="1"/>
  <c r="AM125" i="19" s="1"/>
  <c r="AN125" i="19" s="1"/>
  <c r="AL141" i="17"/>
  <c r="AM141" i="17" s="1"/>
  <c r="AN141" i="17" s="1"/>
  <c r="AW140" i="17"/>
  <c r="AX140" i="17" s="1"/>
  <c r="AY140" i="17" s="1"/>
  <c r="AU102" i="16"/>
  <c r="AL102" i="16"/>
  <c r="AM102" i="16" s="1"/>
  <c r="AN102" i="16" s="1"/>
  <c r="S142" i="16"/>
  <c r="W142" i="16" s="1"/>
  <c r="R143" i="16" s="1"/>
  <c r="T142" i="16"/>
  <c r="AP102" i="16"/>
  <c r="AO102" i="16"/>
  <c r="P123" i="16"/>
  <c r="M122" i="16"/>
  <c r="Q122" i="16" s="1"/>
  <c r="L123" i="16" s="1"/>
  <c r="N122" i="16"/>
  <c r="AT141" i="16"/>
  <c r="AE141" i="16"/>
  <c r="AD142" i="16" s="1"/>
  <c r="F103" i="16"/>
  <c r="AS102" i="16"/>
  <c r="AI102" i="16"/>
  <c r="AJ102" i="16" s="1"/>
  <c r="AK102" i="16" s="1"/>
  <c r="Z136" i="16"/>
  <c r="Y136" i="16"/>
  <c r="AG136" i="16" s="1"/>
  <c r="AF137" i="16" s="1"/>
  <c r="H172" i="18"/>
  <c r="F173" i="18" s="1"/>
  <c r="G173" i="18" s="1"/>
  <c r="AR173" i="18" s="1"/>
  <c r="AW171" i="18"/>
  <c r="AX171" i="18" s="1"/>
  <c r="AY171" i="18" s="1"/>
  <c r="Z214" i="28" l="1"/>
  <c r="Y214" i="28"/>
  <c r="AG214" i="28" s="1"/>
  <c r="AF215" i="28" s="1"/>
  <c r="O144" i="28"/>
  <c r="M144" i="28"/>
  <c r="N144" i="28"/>
  <c r="P145" i="28"/>
  <c r="AP143" i="28"/>
  <c r="AO143" i="28"/>
  <c r="AI143" i="28"/>
  <c r="K143" i="28"/>
  <c r="O150" i="29"/>
  <c r="N150" i="29"/>
  <c r="P151" i="29"/>
  <c r="M150" i="29"/>
  <c r="L195" i="24"/>
  <c r="I196" i="24" s="1"/>
  <c r="P213" i="24"/>
  <c r="M214" i="24" s="1"/>
  <c r="R195" i="24"/>
  <c r="Q196" i="24" s="1"/>
  <c r="AT196" i="24" s="1"/>
  <c r="Y226" i="25"/>
  <c r="AC226" i="25" s="1"/>
  <c r="X227" i="25" s="1"/>
  <c r="Z226" i="25"/>
  <c r="AG225" i="25"/>
  <c r="AF226" i="25" s="1"/>
  <c r="AC214" i="29"/>
  <c r="X215" i="29" s="1"/>
  <c r="AA215" i="29" s="1"/>
  <c r="AE215" i="29" s="1"/>
  <c r="AD216" i="29" s="1"/>
  <c r="AJ149" i="29"/>
  <c r="AK149" i="29" s="1"/>
  <c r="AL149" i="29"/>
  <c r="K149" i="29"/>
  <c r="AO149" i="29"/>
  <c r="F143" i="26"/>
  <c r="AL142" i="26"/>
  <c r="AM142" i="26" s="1"/>
  <c r="AN142" i="26" s="1"/>
  <c r="AI142" i="26"/>
  <c r="AJ142" i="26" s="1"/>
  <c r="AK142" i="26" s="1"/>
  <c r="AU182" i="25"/>
  <c r="AL182" i="25"/>
  <c r="AW180" i="25"/>
  <c r="AX180" i="25" s="1"/>
  <c r="AY180" i="25" s="1"/>
  <c r="F187" i="25"/>
  <c r="AS182" i="25"/>
  <c r="AQ182" i="25"/>
  <c r="AI182" i="25"/>
  <c r="AO182" i="25"/>
  <c r="N183" i="25"/>
  <c r="AP183" i="25" s="1"/>
  <c r="P184" i="25"/>
  <c r="AM181" i="25"/>
  <c r="AN181" i="25" s="1"/>
  <c r="AJ181" i="25"/>
  <c r="AK181" i="25" s="1"/>
  <c r="F134" i="24"/>
  <c r="AI133" i="24"/>
  <c r="AJ133" i="24" s="1"/>
  <c r="AL133" i="24"/>
  <c r="H134" i="15"/>
  <c r="F135" i="15" s="1"/>
  <c r="G135" i="15" s="1"/>
  <c r="AR135" i="15" s="1"/>
  <c r="M183" i="25"/>
  <c r="Q183" i="25" s="1"/>
  <c r="L184" i="25" s="1"/>
  <c r="F142" i="17"/>
  <c r="H142" i="17" s="1"/>
  <c r="AQ141" i="17"/>
  <c r="AU141" i="17"/>
  <c r="K125" i="19"/>
  <c r="AO125" i="19"/>
  <c r="AP125" i="19"/>
  <c r="AI125" i="19"/>
  <c r="AJ125" i="19" s="1"/>
  <c r="AK125" i="19" s="1"/>
  <c r="AW102" i="16"/>
  <c r="AX102" i="16" s="1"/>
  <c r="AY102" i="16" s="1"/>
  <c r="P124" i="16"/>
  <c r="N123" i="16"/>
  <c r="M123" i="16"/>
  <c r="Q123" i="16" s="1"/>
  <c r="L124" i="16" s="1"/>
  <c r="AC136" i="16"/>
  <c r="X137" i="16" s="1"/>
  <c r="Z137" i="16" s="1"/>
  <c r="J104" i="16"/>
  <c r="H103" i="16"/>
  <c r="G103" i="16"/>
  <c r="AL103" i="16" s="1"/>
  <c r="AM103" i="16" s="1"/>
  <c r="AN103" i="16" s="1"/>
  <c r="AE142" i="16"/>
  <c r="AD143" i="16" s="1"/>
  <c r="AT142" i="16"/>
  <c r="S143" i="16"/>
  <c r="W143" i="16" s="1"/>
  <c r="R144" i="16" s="1"/>
  <c r="T143" i="16"/>
  <c r="H173" i="18"/>
  <c r="AL173" i="18" s="1"/>
  <c r="AI172" i="18"/>
  <c r="AJ172" i="18" s="1"/>
  <c r="AK172" i="18" s="1"/>
  <c r="AL172" i="18"/>
  <c r="AM172" i="18" s="1"/>
  <c r="AN172" i="18" s="1"/>
  <c r="AC214" i="28" l="1"/>
  <c r="X215" i="28" s="1"/>
  <c r="AB215" i="28" s="1"/>
  <c r="AJ143" i="28"/>
  <c r="AK143" i="28" s="1"/>
  <c r="AT216" i="29"/>
  <c r="F144" i="28"/>
  <c r="AQ143" i="28"/>
  <c r="AS143" i="28"/>
  <c r="AU143" i="28"/>
  <c r="Y227" i="25"/>
  <c r="Z227" i="25"/>
  <c r="O214" i="24"/>
  <c r="N214" i="24"/>
  <c r="AG226" i="25"/>
  <c r="AF227" i="25" s="1"/>
  <c r="K196" i="24"/>
  <c r="R196" i="24" s="1"/>
  <c r="Q197" i="24" s="1"/>
  <c r="J196" i="24"/>
  <c r="Z215" i="29"/>
  <c r="Y215" i="29"/>
  <c r="AG215" i="29" s="1"/>
  <c r="AF216" i="29" s="1"/>
  <c r="F150" i="29"/>
  <c r="I150" i="29" s="1"/>
  <c r="AR150" i="29" s="1"/>
  <c r="AU149" i="29"/>
  <c r="AQ149" i="29"/>
  <c r="AS149" i="29"/>
  <c r="AM149" i="29"/>
  <c r="AN149" i="29" s="1"/>
  <c r="G143" i="26"/>
  <c r="AR143" i="26" s="1"/>
  <c r="AW142" i="26"/>
  <c r="AX142" i="26" s="1"/>
  <c r="AY142" i="26" s="1"/>
  <c r="G187" i="25"/>
  <c r="K187" i="25" s="1"/>
  <c r="J188" i="25"/>
  <c r="H187" i="25"/>
  <c r="AO183" i="25"/>
  <c r="AW181" i="25"/>
  <c r="AX181" i="25" s="1"/>
  <c r="AY181" i="25" s="1"/>
  <c r="AU183" i="25"/>
  <c r="AS183" i="25"/>
  <c r="AL183" i="25"/>
  <c r="AI183" i="25"/>
  <c r="AQ183" i="25"/>
  <c r="AK133" i="24"/>
  <c r="AM182" i="25"/>
  <c r="AN182" i="25" s="1"/>
  <c r="AJ182" i="25"/>
  <c r="AK182" i="25" s="1"/>
  <c r="P185" i="25"/>
  <c r="N184" i="25"/>
  <c r="AP184" i="25" s="1"/>
  <c r="G134" i="24"/>
  <c r="AR134" i="24" s="1"/>
  <c r="AM133" i="24"/>
  <c r="AN133" i="24" s="1"/>
  <c r="AI134" i="15"/>
  <c r="AJ134" i="15" s="1"/>
  <c r="AK134" i="15" s="1"/>
  <c r="AL134" i="15"/>
  <c r="AM134" i="15" s="1"/>
  <c r="AN134" i="15" s="1"/>
  <c r="H135" i="15"/>
  <c r="AL135" i="15" s="1"/>
  <c r="AM135" i="15" s="1"/>
  <c r="AN135" i="15" s="1"/>
  <c r="M184" i="25"/>
  <c r="AL184" i="25" s="1"/>
  <c r="AW141" i="17"/>
  <c r="AX141" i="17" s="1"/>
  <c r="AY141" i="17" s="1"/>
  <c r="G142" i="17"/>
  <c r="AI142" i="17" s="1"/>
  <c r="AJ142" i="17" s="1"/>
  <c r="AK142" i="17" s="1"/>
  <c r="J143" i="17"/>
  <c r="AQ125" i="19"/>
  <c r="AS125" i="19"/>
  <c r="F126" i="19"/>
  <c r="AU125" i="19"/>
  <c r="AO142" i="17"/>
  <c r="AP142" i="17"/>
  <c r="K103" i="16"/>
  <c r="AI103" i="16" s="1"/>
  <c r="AJ103" i="16" s="1"/>
  <c r="AK103" i="16" s="1"/>
  <c r="Y137" i="16"/>
  <c r="AG137" i="16" s="1"/>
  <c r="AF138" i="16" s="1"/>
  <c r="T144" i="16"/>
  <c r="S144" i="16"/>
  <c r="W144" i="16" s="1"/>
  <c r="R145" i="16" s="1"/>
  <c r="AE143" i="16"/>
  <c r="AD144" i="16" s="1"/>
  <c r="AT143" i="16"/>
  <c r="M124" i="16"/>
  <c r="Q124" i="16" s="1"/>
  <c r="L125" i="16" s="1"/>
  <c r="P125" i="16"/>
  <c r="N124" i="16"/>
  <c r="AP103" i="16"/>
  <c r="AO103" i="16"/>
  <c r="AW172" i="18"/>
  <c r="AX172" i="18" s="1"/>
  <c r="AY172" i="18" s="1"/>
  <c r="AI173" i="18"/>
  <c r="AJ173" i="18" s="1"/>
  <c r="AK173" i="18" s="1"/>
  <c r="F174" i="18"/>
  <c r="G174" i="18" s="1"/>
  <c r="AR174" i="18" s="1"/>
  <c r="AM173" i="18"/>
  <c r="AN173" i="18" s="1"/>
  <c r="AW143" i="28" l="1"/>
  <c r="AX143" i="28" s="1"/>
  <c r="AY143" i="28" s="1"/>
  <c r="Z215" i="28"/>
  <c r="Y215" i="28"/>
  <c r="AG215" i="28" s="1"/>
  <c r="AF216" i="28" s="1"/>
  <c r="I144" i="28"/>
  <c r="Q144" i="28" s="1"/>
  <c r="L145" i="28" s="1"/>
  <c r="G144" i="28"/>
  <c r="AL144" i="28" s="1"/>
  <c r="AM144" i="28" s="1"/>
  <c r="AN144" i="28" s="1"/>
  <c r="H144" i="28"/>
  <c r="J145" i="28"/>
  <c r="Q150" i="29"/>
  <c r="L151" i="29" s="1"/>
  <c r="AG227" i="25"/>
  <c r="AF228" i="25" s="1"/>
  <c r="L196" i="24"/>
  <c r="I197" i="24" s="1"/>
  <c r="T196" i="24"/>
  <c r="S197" i="24" s="1"/>
  <c r="P214" i="24"/>
  <c r="M215" i="24" s="1"/>
  <c r="AC227" i="25"/>
  <c r="X228" i="25" s="1"/>
  <c r="AC215" i="29"/>
  <c r="X216" i="29" s="1"/>
  <c r="AA216" i="29" s="1"/>
  <c r="AE216" i="29" s="1"/>
  <c r="AD217" i="29" s="1"/>
  <c r="AW149" i="29"/>
  <c r="AX149" i="29" s="1"/>
  <c r="AY149" i="29" s="1"/>
  <c r="J151" i="29"/>
  <c r="H150" i="29"/>
  <c r="AP150" i="29" s="1"/>
  <c r="G150" i="29"/>
  <c r="AI150" i="29" s="1"/>
  <c r="H143" i="26"/>
  <c r="AW134" i="15"/>
  <c r="AX134" i="15" s="1"/>
  <c r="AY134" i="15" s="1"/>
  <c r="AW182" i="25"/>
  <c r="AX182" i="25" s="1"/>
  <c r="AY182" i="25" s="1"/>
  <c r="F188" i="25"/>
  <c r="AO184" i="25"/>
  <c r="AW133" i="24"/>
  <c r="AX133" i="24" s="1"/>
  <c r="AY133" i="24" s="1"/>
  <c r="AM184" i="25"/>
  <c r="AN184" i="25" s="1"/>
  <c r="AM183" i="25"/>
  <c r="AN183" i="25" s="1"/>
  <c r="AJ183" i="25"/>
  <c r="AK183" i="25" s="1"/>
  <c r="AT197" i="24"/>
  <c r="H134" i="24"/>
  <c r="F136" i="15"/>
  <c r="G136" i="15" s="1"/>
  <c r="AR136" i="15" s="1"/>
  <c r="AI135" i="15"/>
  <c r="AJ135" i="15" s="1"/>
  <c r="AK135" i="15" s="1"/>
  <c r="AW135" i="15" s="1"/>
  <c r="AX135" i="15" s="1"/>
  <c r="AY135" i="15" s="1"/>
  <c r="Q184" i="25"/>
  <c r="K142" i="17"/>
  <c r="AQ142" i="17" s="1"/>
  <c r="AL142" i="17"/>
  <c r="AM142" i="17" s="1"/>
  <c r="AN142" i="17" s="1"/>
  <c r="AW125" i="19"/>
  <c r="AX125" i="19" s="1"/>
  <c r="AY125" i="19" s="1"/>
  <c r="H126" i="19"/>
  <c r="G126" i="19"/>
  <c r="AI126" i="19" s="1"/>
  <c r="AJ126" i="19" s="1"/>
  <c r="AK126" i="19" s="1"/>
  <c r="J127" i="19"/>
  <c r="AS103" i="16"/>
  <c r="AQ103" i="16"/>
  <c r="F104" i="16"/>
  <c r="AU103" i="16"/>
  <c r="AC137" i="16"/>
  <c r="X138" i="16" s="1"/>
  <c r="Y138" i="16" s="1"/>
  <c r="AG138" i="16" s="1"/>
  <c r="AF139" i="16" s="1"/>
  <c r="AT144" i="16"/>
  <c r="AE144" i="16"/>
  <c r="AD145" i="16" s="1"/>
  <c r="M125" i="16"/>
  <c r="Q125" i="16" s="1"/>
  <c r="L126" i="16" s="1"/>
  <c r="P126" i="16"/>
  <c r="N125" i="16"/>
  <c r="S145" i="16"/>
  <c r="W145" i="16" s="1"/>
  <c r="R146" i="16" s="1"/>
  <c r="T145" i="16"/>
  <c r="H174" i="18"/>
  <c r="F175" i="18" s="1"/>
  <c r="G175" i="18" s="1"/>
  <c r="AR175" i="18" s="1"/>
  <c r="AW173" i="18"/>
  <c r="AX173" i="18" s="1"/>
  <c r="AY173" i="18" s="1"/>
  <c r="AC215" i="28" l="1"/>
  <c r="X216" i="28" s="1"/>
  <c r="AB216" i="28" s="1"/>
  <c r="O145" i="28"/>
  <c r="M145" i="28"/>
  <c r="P146" i="28"/>
  <c r="N145" i="28"/>
  <c r="AP144" i="28"/>
  <c r="AO144" i="28"/>
  <c r="K144" i="28"/>
  <c r="AI144" i="28"/>
  <c r="AJ144" i="28" s="1"/>
  <c r="AK144" i="28" s="1"/>
  <c r="O151" i="29"/>
  <c r="M151" i="29"/>
  <c r="P152" i="29"/>
  <c r="N151" i="29"/>
  <c r="AT217" i="29"/>
  <c r="K197" i="24"/>
  <c r="R197" i="24" s="1"/>
  <c r="Q198" i="24" s="1"/>
  <c r="AT198" i="24" s="1"/>
  <c r="J197" i="24"/>
  <c r="O215" i="24"/>
  <c r="N215" i="24"/>
  <c r="Y228" i="25"/>
  <c r="AG228" i="25" s="1"/>
  <c r="AF229" i="25" s="1"/>
  <c r="Z228" i="25"/>
  <c r="Z216" i="29"/>
  <c r="Y216" i="29"/>
  <c r="AG216" i="29" s="1"/>
  <c r="AF217" i="29" s="1"/>
  <c r="AJ150" i="29"/>
  <c r="AK150" i="29" s="1"/>
  <c r="AL150" i="29"/>
  <c r="AO150" i="29"/>
  <c r="K150" i="29"/>
  <c r="F144" i="26"/>
  <c r="AI143" i="26"/>
  <c r="AL143" i="26"/>
  <c r="AW183" i="25"/>
  <c r="AX183" i="25" s="1"/>
  <c r="AY183" i="25" s="1"/>
  <c r="G188" i="25"/>
  <c r="K188" i="25" s="1"/>
  <c r="J189" i="25"/>
  <c r="H188" i="25"/>
  <c r="AI184" i="25"/>
  <c r="AQ184" i="25"/>
  <c r="AU184" i="25"/>
  <c r="AS184" i="25"/>
  <c r="L185" i="25"/>
  <c r="F135" i="24"/>
  <c r="AL134" i="24"/>
  <c r="AI134" i="24"/>
  <c r="H136" i="15"/>
  <c r="AL136" i="15" s="1"/>
  <c r="AM136" i="15" s="1"/>
  <c r="AN136" i="15" s="1"/>
  <c r="AU142" i="17"/>
  <c r="AS142" i="17"/>
  <c r="F143" i="17"/>
  <c r="J144" i="17" s="1"/>
  <c r="AL126" i="19"/>
  <c r="AM126" i="19" s="1"/>
  <c r="AN126" i="19" s="1"/>
  <c r="K126" i="19"/>
  <c r="AO126" i="19"/>
  <c r="AP126" i="19"/>
  <c r="AW103" i="16"/>
  <c r="AX103" i="16" s="1"/>
  <c r="AY103" i="16" s="1"/>
  <c r="Z138" i="16"/>
  <c r="J105" i="16"/>
  <c r="G104" i="16"/>
  <c r="AL104" i="16" s="1"/>
  <c r="AM104" i="16" s="1"/>
  <c r="AN104" i="16" s="1"/>
  <c r="H104" i="16"/>
  <c r="AC138" i="16"/>
  <c r="X139" i="16" s="1"/>
  <c r="Y139" i="16" s="1"/>
  <c r="AG139" i="16" s="1"/>
  <c r="AF140" i="16" s="1"/>
  <c r="T146" i="16"/>
  <c r="S146" i="16"/>
  <c r="W146" i="16" s="1"/>
  <c r="R147" i="16" s="1"/>
  <c r="M126" i="16"/>
  <c r="Q126" i="16" s="1"/>
  <c r="L127" i="16" s="1"/>
  <c r="N126" i="16"/>
  <c r="P127" i="16"/>
  <c r="AT145" i="16"/>
  <c r="AE145" i="16"/>
  <c r="AD146" i="16" s="1"/>
  <c r="AI174" i="18"/>
  <c r="AJ174" i="18" s="1"/>
  <c r="AK174" i="18" s="1"/>
  <c r="AL174" i="18"/>
  <c r="AM174" i="18" s="1"/>
  <c r="AN174" i="18" s="1"/>
  <c r="H175" i="18"/>
  <c r="Z216" i="28" l="1"/>
  <c r="Y216" i="28"/>
  <c r="AG216" i="28" s="1"/>
  <c r="AF217" i="28" s="1"/>
  <c r="F145" i="28"/>
  <c r="AS144" i="28"/>
  <c r="AU144" i="28"/>
  <c r="AQ144" i="28"/>
  <c r="L197" i="24"/>
  <c r="I198" i="24" s="1"/>
  <c r="P215" i="24"/>
  <c r="M216" i="24" s="1"/>
  <c r="T197" i="24"/>
  <c r="S198" i="24" s="1"/>
  <c r="AC228" i="25"/>
  <c r="X229" i="25" s="1"/>
  <c r="AC216" i="29"/>
  <c r="X217" i="29" s="1"/>
  <c r="AA217" i="29" s="1"/>
  <c r="AE217" i="29" s="1"/>
  <c r="AD218" i="29" s="1"/>
  <c r="AM150" i="29"/>
  <c r="AN150" i="29" s="1"/>
  <c r="F151" i="29"/>
  <c r="I151" i="29" s="1"/>
  <c r="AR151" i="29" s="1"/>
  <c r="AU150" i="29"/>
  <c r="AS150" i="29"/>
  <c r="AQ150" i="29"/>
  <c r="G144" i="26"/>
  <c r="AR144" i="26" s="1"/>
  <c r="AJ143" i="26"/>
  <c r="AK143" i="26" s="1"/>
  <c r="AM143" i="26"/>
  <c r="AN143" i="26" s="1"/>
  <c r="F189" i="25"/>
  <c r="N185" i="25"/>
  <c r="AP185" i="25" s="1"/>
  <c r="P186" i="25"/>
  <c r="AJ184" i="25"/>
  <c r="AK184" i="25" s="1"/>
  <c r="AW184" i="25" s="1"/>
  <c r="AX184" i="25" s="1"/>
  <c r="AY184" i="25" s="1"/>
  <c r="AM134" i="24"/>
  <c r="AN134" i="24" s="1"/>
  <c r="AJ134" i="24"/>
  <c r="AK134" i="24" s="1"/>
  <c r="G135" i="24"/>
  <c r="AR135" i="24" s="1"/>
  <c r="F137" i="15"/>
  <c r="G137" i="15" s="1"/>
  <c r="AR137" i="15" s="1"/>
  <c r="AI136" i="15"/>
  <c r="AJ136" i="15" s="1"/>
  <c r="AK136" i="15" s="1"/>
  <c r="AW136" i="15" s="1"/>
  <c r="AX136" i="15" s="1"/>
  <c r="AY136" i="15" s="1"/>
  <c r="M185" i="25"/>
  <c r="Q185" i="25" s="1"/>
  <c r="L186" i="25" s="1"/>
  <c r="AW142" i="17"/>
  <c r="AX142" i="17" s="1"/>
  <c r="AY142" i="17" s="1"/>
  <c r="H143" i="17"/>
  <c r="AP143" i="17" s="1"/>
  <c r="G143" i="17"/>
  <c r="K143" i="17" s="1"/>
  <c r="F144" i="17" s="1"/>
  <c r="H144" i="17" s="1"/>
  <c r="F127" i="19"/>
  <c r="AQ126" i="19"/>
  <c r="AU126" i="19"/>
  <c r="AS126" i="19"/>
  <c r="K104" i="16"/>
  <c r="AQ104" i="16" s="1"/>
  <c r="AO104" i="16"/>
  <c r="AP104" i="16"/>
  <c r="Z139" i="16"/>
  <c r="T147" i="16"/>
  <c r="S147" i="16"/>
  <c r="W147" i="16" s="1"/>
  <c r="R148" i="16" s="1"/>
  <c r="AT146" i="16"/>
  <c r="AE146" i="16"/>
  <c r="AD147" i="16" s="1"/>
  <c r="M127" i="16"/>
  <c r="Q127" i="16" s="1"/>
  <c r="L128" i="16" s="1"/>
  <c r="N127" i="16"/>
  <c r="P128" i="16"/>
  <c r="AC139" i="16"/>
  <c r="X140" i="16" s="1"/>
  <c r="AW174" i="18"/>
  <c r="AX174" i="18" s="1"/>
  <c r="AY174" i="18" s="1"/>
  <c r="F176" i="18"/>
  <c r="AL175" i="18"/>
  <c r="AI175" i="18"/>
  <c r="Q151" i="29" l="1"/>
  <c r="L152" i="29" s="1"/>
  <c r="P153" i="29" s="1"/>
  <c r="AC216" i="28"/>
  <c r="X217" i="28" s="1"/>
  <c r="AB217" i="28" s="1"/>
  <c r="AW144" i="28"/>
  <c r="AX144" i="28" s="1"/>
  <c r="AY144" i="28" s="1"/>
  <c r="I145" i="28"/>
  <c r="Q145" i="28" s="1"/>
  <c r="L146" i="28" s="1"/>
  <c r="G145" i="28"/>
  <c r="AI145" i="28" s="1"/>
  <c r="AJ145" i="28" s="1"/>
  <c r="AK145" i="28" s="1"/>
  <c r="J146" i="28"/>
  <c r="H145" i="28"/>
  <c r="O152" i="29"/>
  <c r="AT218" i="29"/>
  <c r="K198" i="24"/>
  <c r="T198" i="24" s="1"/>
  <c r="S199" i="24" s="1"/>
  <c r="J198" i="24"/>
  <c r="O216" i="24"/>
  <c r="N216" i="24"/>
  <c r="Y229" i="25"/>
  <c r="AG229" i="25" s="1"/>
  <c r="AF230" i="25" s="1"/>
  <c r="Z229" i="25"/>
  <c r="Z217" i="29"/>
  <c r="Y217" i="29"/>
  <c r="AG217" i="29" s="1"/>
  <c r="AF218" i="29" s="1"/>
  <c r="AW143" i="26"/>
  <c r="AX143" i="26" s="1"/>
  <c r="AY143" i="26" s="1"/>
  <c r="AW150" i="29"/>
  <c r="AX150" i="29" s="1"/>
  <c r="AY150" i="29" s="1"/>
  <c r="H151" i="29"/>
  <c r="AP151" i="29" s="1"/>
  <c r="J152" i="29"/>
  <c r="G151" i="29"/>
  <c r="AI151" i="29" s="1"/>
  <c r="H144" i="26"/>
  <c r="G189" i="25"/>
  <c r="K189" i="25" s="1"/>
  <c r="J190" i="25"/>
  <c r="H189" i="25"/>
  <c r="AL185" i="25"/>
  <c r="AQ185" i="25"/>
  <c r="AS185" i="25"/>
  <c r="AU185" i="25"/>
  <c r="AI185" i="25"/>
  <c r="AO185" i="25"/>
  <c r="AW134" i="24"/>
  <c r="AX134" i="24" s="1"/>
  <c r="AY134" i="24" s="1"/>
  <c r="P187" i="25"/>
  <c r="N186" i="25"/>
  <c r="AP186" i="25" s="1"/>
  <c r="H135" i="24"/>
  <c r="H137" i="15"/>
  <c r="M186" i="25"/>
  <c r="AL186" i="25" s="1"/>
  <c r="AO143" i="17"/>
  <c r="AU143" i="17"/>
  <c r="AQ143" i="17"/>
  <c r="AI143" i="17"/>
  <c r="AJ143" i="17" s="1"/>
  <c r="AK143" i="17" s="1"/>
  <c r="AL143" i="17"/>
  <c r="AM143" i="17" s="1"/>
  <c r="AN143" i="17" s="1"/>
  <c r="J145" i="17"/>
  <c r="G144" i="17"/>
  <c r="AI144" i="17" s="1"/>
  <c r="AJ144" i="17" s="1"/>
  <c r="AK144" i="17" s="1"/>
  <c r="AS143" i="17"/>
  <c r="AW126" i="19"/>
  <c r="AX126" i="19" s="1"/>
  <c r="AY126" i="19" s="1"/>
  <c r="G127" i="19"/>
  <c r="AI127" i="19" s="1"/>
  <c r="AJ127" i="19" s="1"/>
  <c r="AK127" i="19" s="1"/>
  <c r="H127" i="19"/>
  <c r="J128" i="19"/>
  <c r="AP144" i="17"/>
  <c r="AO144" i="17"/>
  <c r="F105" i="16"/>
  <c r="G105" i="16" s="1"/>
  <c r="K105" i="16" s="1"/>
  <c r="AU105" i="16" s="1"/>
  <c r="AU104" i="16"/>
  <c r="AI104" i="16"/>
  <c r="AJ104" i="16" s="1"/>
  <c r="AK104" i="16" s="1"/>
  <c r="AS104" i="16"/>
  <c r="P129" i="16"/>
  <c r="N128" i="16"/>
  <c r="M128" i="16"/>
  <c r="Q128" i="16" s="1"/>
  <c r="L129" i="16" s="1"/>
  <c r="S148" i="16"/>
  <c r="W148" i="16" s="1"/>
  <c r="R149" i="16" s="1"/>
  <c r="T148" i="16"/>
  <c r="AT147" i="16"/>
  <c r="AE147" i="16"/>
  <c r="AD148" i="16" s="1"/>
  <c r="Y140" i="16"/>
  <c r="Z140" i="16"/>
  <c r="G176" i="18"/>
  <c r="AR176" i="18" s="1"/>
  <c r="AJ175" i="18"/>
  <c r="AK175" i="18" s="1"/>
  <c r="AM175" i="18"/>
  <c r="AN175" i="18" s="1"/>
  <c r="N152" i="29" l="1"/>
  <c r="M152" i="29"/>
  <c r="Z217" i="28"/>
  <c r="Y217" i="28"/>
  <c r="AG217" i="28" s="1"/>
  <c r="AF218" i="28" s="1"/>
  <c r="O146" i="28"/>
  <c r="M146" i="28"/>
  <c r="N146" i="28"/>
  <c r="P147" i="28"/>
  <c r="AP145" i="28"/>
  <c r="AO145" i="28"/>
  <c r="AL145" i="28"/>
  <c r="AM145" i="28" s="1"/>
  <c r="AN145" i="28" s="1"/>
  <c r="K145" i="28"/>
  <c r="L198" i="24"/>
  <c r="I199" i="24" s="1"/>
  <c r="P216" i="24"/>
  <c r="M217" i="24" s="1"/>
  <c r="AC229" i="25"/>
  <c r="X230" i="25" s="1"/>
  <c r="R198" i="24"/>
  <c r="Q199" i="24" s="1"/>
  <c r="AT199" i="24" s="1"/>
  <c r="AC217" i="29"/>
  <c r="X218" i="29" s="1"/>
  <c r="AA218" i="29" s="1"/>
  <c r="AE218" i="29" s="1"/>
  <c r="AD219" i="29" s="1"/>
  <c r="AO151" i="29"/>
  <c r="AJ151" i="29"/>
  <c r="AK151" i="29" s="1"/>
  <c r="AL151" i="29"/>
  <c r="K151" i="29"/>
  <c r="F145" i="26"/>
  <c r="AI144" i="26"/>
  <c r="AL144" i="26"/>
  <c r="F190" i="25"/>
  <c r="AO186" i="25"/>
  <c r="AM185" i="25"/>
  <c r="AN185" i="25" s="1"/>
  <c r="AM186" i="25"/>
  <c r="AN186" i="25" s="1"/>
  <c r="AJ185" i="25"/>
  <c r="AK185" i="25" s="1"/>
  <c r="F136" i="24"/>
  <c r="AI135" i="24"/>
  <c r="AL135" i="24"/>
  <c r="F138" i="15"/>
  <c r="AI137" i="15"/>
  <c r="AJ137" i="15" s="1"/>
  <c r="AK137" i="15" s="1"/>
  <c r="AL137" i="15"/>
  <c r="AM137" i="15" s="1"/>
  <c r="AN137" i="15" s="1"/>
  <c r="Q186" i="25"/>
  <c r="K144" i="17"/>
  <c r="F145" i="17" s="1"/>
  <c r="AL144" i="17"/>
  <c r="AM144" i="17" s="1"/>
  <c r="AN144" i="17" s="1"/>
  <c r="AW143" i="17"/>
  <c r="AX143" i="17" s="1"/>
  <c r="AY143" i="17" s="1"/>
  <c r="AL127" i="19"/>
  <c r="AM127" i="19" s="1"/>
  <c r="AN127" i="19" s="1"/>
  <c r="K127" i="19"/>
  <c r="AO127" i="19"/>
  <c r="AP127" i="19"/>
  <c r="AW104" i="16"/>
  <c r="AX104" i="16" s="1"/>
  <c r="AY104" i="16" s="1"/>
  <c r="H105" i="16"/>
  <c r="AO105" i="16" s="1"/>
  <c r="J106" i="16"/>
  <c r="F106" i="16"/>
  <c r="AS105" i="16"/>
  <c r="AQ105" i="16"/>
  <c r="AI105" i="16"/>
  <c r="AJ105" i="16" s="1"/>
  <c r="AK105" i="16" s="1"/>
  <c r="AL105" i="16"/>
  <c r="AM105" i="16" s="1"/>
  <c r="AN105" i="16" s="1"/>
  <c r="P130" i="16"/>
  <c r="M129" i="16"/>
  <c r="Q129" i="16" s="1"/>
  <c r="L130" i="16" s="1"/>
  <c r="N129" i="16"/>
  <c r="AT148" i="16"/>
  <c r="AE148" i="16"/>
  <c r="AD149" i="16" s="1"/>
  <c r="T149" i="16"/>
  <c r="S149" i="16"/>
  <c r="W149" i="16" s="1"/>
  <c r="R150" i="16" s="1"/>
  <c r="AC140" i="16"/>
  <c r="X141" i="16" s="1"/>
  <c r="AG140" i="16"/>
  <c r="AF141" i="16" s="1"/>
  <c r="H176" i="18"/>
  <c r="F177" i="18" s="1"/>
  <c r="G177" i="18" s="1"/>
  <c r="AR177" i="18" s="1"/>
  <c r="AW175" i="18"/>
  <c r="AX175" i="18" s="1"/>
  <c r="AY175" i="18" s="1"/>
  <c r="AC217" i="28" l="1"/>
  <c r="X218" i="28" s="1"/>
  <c r="AB218" i="28" s="1"/>
  <c r="F146" i="28"/>
  <c r="AU145" i="28"/>
  <c r="AS145" i="28"/>
  <c r="AQ145" i="28"/>
  <c r="AT219" i="29"/>
  <c r="Z230" i="25"/>
  <c r="Y230" i="25"/>
  <c r="AG230" i="25" s="1"/>
  <c r="AF231" i="25" s="1"/>
  <c r="K199" i="24"/>
  <c r="T199" i="24" s="1"/>
  <c r="S200" i="24" s="1"/>
  <c r="J199" i="24"/>
  <c r="O217" i="24"/>
  <c r="N217" i="24"/>
  <c r="Z218" i="29"/>
  <c r="Y218" i="29"/>
  <c r="AG218" i="29" s="1"/>
  <c r="AF219" i="29" s="1"/>
  <c r="F152" i="29"/>
  <c r="I152" i="29" s="1"/>
  <c r="AS151" i="29"/>
  <c r="AQ151" i="29"/>
  <c r="AU151" i="29"/>
  <c r="AM151" i="29"/>
  <c r="AN151" i="29" s="1"/>
  <c r="AW137" i="15"/>
  <c r="AX137" i="15" s="1"/>
  <c r="AY137" i="15" s="1"/>
  <c r="G145" i="26"/>
  <c r="AR145" i="26" s="1"/>
  <c r="AJ144" i="26"/>
  <c r="AK144" i="26" s="1"/>
  <c r="AM144" i="26"/>
  <c r="AN144" i="26" s="1"/>
  <c r="AW185" i="25"/>
  <c r="AX185" i="25" s="1"/>
  <c r="AY185" i="25" s="1"/>
  <c r="G190" i="25"/>
  <c r="K190" i="25" s="1"/>
  <c r="H190" i="25"/>
  <c r="J191" i="25"/>
  <c r="AQ186" i="25"/>
  <c r="AS186" i="25"/>
  <c r="AU186" i="25"/>
  <c r="AI186" i="25"/>
  <c r="L187" i="25"/>
  <c r="G136" i="24"/>
  <c r="AR136" i="24" s="1"/>
  <c r="AJ135" i="24"/>
  <c r="AK135" i="24" s="1"/>
  <c r="AM135" i="24"/>
  <c r="AN135" i="24" s="1"/>
  <c r="G138" i="15"/>
  <c r="AR138" i="15" s="1"/>
  <c r="AS144" i="17"/>
  <c r="AQ144" i="17"/>
  <c r="AU144" i="17"/>
  <c r="F128" i="19"/>
  <c r="AS127" i="19"/>
  <c r="AU127" i="19"/>
  <c r="AQ127" i="19"/>
  <c r="AP105" i="16"/>
  <c r="AW105" i="16" s="1"/>
  <c r="AX105" i="16" s="1"/>
  <c r="AY105" i="16" s="1"/>
  <c r="J146" i="17"/>
  <c r="H145" i="17"/>
  <c r="G145" i="17"/>
  <c r="K145" i="17" s="1"/>
  <c r="F146" i="17" s="1"/>
  <c r="J107" i="16"/>
  <c r="H106" i="16"/>
  <c r="G106" i="16"/>
  <c r="AL106" i="16" s="1"/>
  <c r="AM106" i="16" s="1"/>
  <c r="AN106" i="16" s="1"/>
  <c r="S150" i="16"/>
  <c r="W150" i="16" s="1"/>
  <c r="R151" i="16" s="1"/>
  <c r="T150" i="16"/>
  <c r="N130" i="16"/>
  <c r="M130" i="16"/>
  <c r="Q130" i="16" s="1"/>
  <c r="L131" i="16" s="1"/>
  <c r="P131" i="16"/>
  <c r="AE149" i="16"/>
  <c r="AD150" i="16" s="1"/>
  <c r="AT149" i="16"/>
  <c r="Z141" i="16"/>
  <c r="Y141" i="16"/>
  <c r="AG141" i="16" s="1"/>
  <c r="AF142" i="16" s="1"/>
  <c r="AL176" i="18"/>
  <c r="AM176" i="18" s="1"/>
  <c r="AN176" i="18" s="1"/>
  <c r="AI176" i="18"/>
  <c r="AJ176" i="18" s="1"/>
  <c r="AK176" i="18" s="1"/>
  <c r="H177" i="18"/>
  <c r="AW145" i="28" l="1"/>
  <c r="AX145" i="28" s="1"/>
  <c r="AY145" i="28" s="1"/>
  <c r="Z218" i="28"/>
  <c r="Y218" i="28"/>
  <c r="AG218" i="28" s="1"/>
  <c r="AF219" i="28" s="1"/>
  <c r="I146" i="28"/>
  <c r="Q146" i="28" s="1"/>
  <c r="L147" i="28" s="1"/>
  <c r="J147" i="28"/>
  <c r="G146" i="28"/>
  <c r="AL146" i="28" s="1"/>
  <c r="AM146" i="28" s="1"/>
  <c r="AN146" i="28" s="1"/>
  <c r="H146" i="28"/>
  <c r="AR152" i="29"/>
  <c r="Q152" i="29"/>
  <c r="L153" i="29" s="1"/>
  <c r="P217" i="24"/>
  <c r="M218" i="24" s="1"/>
  <c r="L199" i="24"/>
  <c r="I200" i="24" s="1"/>
  <c r="R199" i="24"/>
  <c r="Q200" i="24" s="1"/>
  <c r="AT200" i="24" s="1"/>
  <c r="AC230" i="25"/>
  <c r="X231" i="25" s="1"/>
  <c r="AC218" i="29"/>
  <c r="X219" i="29" s="1"/>
  <c r="AA219" i="29" s="1"/>
  <c r="AE219" i="29" s="1"/>
  <c r="AD220" i="29" s="1"/>
  <c r="AW151" i="29"/>
  <c r="AX151" i="29" s="1"/>
  <c r="AY151" i="29" s="1"/>
  <c r="AW144" i="26"/>
  <c r="AX144" i="26" s="1"/>
  <c r="AY144" i="26" s="1"/>
  <c r="J153" i="29"/>
  <c r="H152" i="29"/>
  <c r="AP152" i="29" s="1"/>
  <c r="G152" i="29"/>
  <c r="AI152" i="29" s="1"/>
  <c r="AW135" i="24"/>
  <c r="AX135" i="24" s="1"/>
  <c r="AY135" i="24" s="1"/>
  <c r="H145" i="26"/>
  <c r="F191" i="25"/>
  <c r="AJ186" i="25"/>
  <c r="AK186" i="25" s="1"/>
  <c r="AW186" i="25" s="1"/>
  <c r="AX186" i="25" s="1"/>
  <c r="AY186" i="25" s="1"/>
  <c r="P188" i="25"/>
  <c r="N187" i="25"/>
  <c r="AP187" i="25" s="1"/>
  <c r="H136" i="24"/>
  <c r="H138" i="15"/>
  <c r="M187" i="25"/>
  <c r="Q187" i="25" s="1"/>
  <c r="L188" i="25" s="1"/>
  <c r="AW144" i="17"/>
  <c r="AX144" i="17" s="1"/>
  <c r="AY144" i="17" s="1"/>
  <c r="AW127" i="19"/>
  <c r="AX127" i="19" s="1"/>
  <c r="AY127" i="19" s="1"/>
  <c r="J129" i="19"/>
  <c r="H128" i="19"/>
  <c r="G128" i="19"/>
  <c r="AL128" i="19" s="1"/>
  <c r="AM128" i="19" s="1"/>
  <c r="AN128" i="19" s="1"/>
  <c r="AI145" i="17"/>
  <c r="AJ145" i="17" s="1"/>
  <c r="AK145" i="17" s="1"/>
  <c r="AQ145" i="17"/>
  <c r="G146" i="17"/>
  <c r="K146" i="17" s="1"/>
  <c r="J147" i="17"/>
  <c r="H146" i="17"/>
  <c r="AS145" i="17"/>
  <c r="AU145" i="17"/>
  <c r="AL145" i="17"/>
  <c r="AM145" i="17" s="1"/>
  <c r="AN145" i="17" s="1"/>
  <c r="AP145" i="17"/>
  <c r="AO145" i="17"/>
  <c r="AP106" i="16"/>
  <c r="AO106" i="16"/>
  <c r="K106" i="16"/>
  <c r="AE150" i="16"/>
  <c r="AD151" i="16" s="1"/>
  <c r="AT150" i="16"/>
  <c r="M131" i="16"/>
  <c r="Q131" i="16" s="1"/>
  <c r="L132" i="16" s="1"/>
  <c r="N131" i="16"/>
  <c r="P132" i="16"/>
  <c r="T151" i="16"/>
  <c r="S151" i="16"/>
  <c r="W151" i="16" s="1"/>
  <c r="R152" i="16" s="1"/>
  <c r="AC141" i="16"/>
  <c r="X142" i="16" s="1"/>
  <c r="F178" i="18"/>
  <c r="AI177" i="18"/>
  <c r="AL177" i="18"/>
  <c r="AW176" i="18"/>
  <c r="AX176" i="18" s="1"/>
  <c r="AY176" i="18" s="1"/>
  <c r="AC218" i="28" l="1"/>
  <c r="X219" i="28" s="1"/>
  <c r="AB219" i="28" s="1"/>
  <c r="O147" i="28"/>
  <c r="M147" i="28"/>
  <c r="P148" i="28"/>
  <c r="N147" i="28"/>
  <c r="AP146" i="28"/>
  <c r="AO146" i="28"/>
  <c r="AI146" i="28"/>
  <c r="K146" i="28"/>
  <c r="O153" i="29"/>
  <c r="M153" i="29"/>
  <c r="P154" i="29"/>
  <c r="N153" i="29"/>
  <c r="AT220" i="29"/>
  <c r="K200" i="24"/>
  <c r="T200" i="24" s="1"/>
  <c r="S201" i="24" s="1"/>
  <c r="J200" i="24"/>
  <c r="O218" i="24"/>
  <c r="N218" i="24"/>
  <c r="Y231" i="25"/>
  <c r="AG231" i="25" s="1"/>
  <c r="AF232" i="25" s="1"/>
  <c r="Z231" i="25"/>
  <c r="Z219" i="29"/>
  <c r="Y219" i="29"/>
  <c r="AJ152" i="29"/>
  <c r="AK152" i="29" s="1"/>
  <c r="K152" i="29"/>
  <c r="AL152" i="29"/>
  <c r="AO152" i="29"/>
  <c r="F146" i="26"/>
  <c r="AI145" i="26"/>
  <c r="AL145" i="26"/>
  <c r="G191" i="25"/>
  <c r="K191" i="25" s="1"/>
  <c r="J192" i="25"/>
  <c r="H191" i="25"/>
  <c r="AU187" i="25"/>
  <c r="AL187" i="25"/>
  <c r="AS187" i="25"/>
  <c r="AQ187" i="25"/>
  <c r="AI187" i="25"/>
  <c r="AO187" i="25"/>
  <c r="P189" i="25"/>
  <c r="N188" i="25"/>
  <c r="AP188" i="25" s="1"/>
  <c r="F137" i="24"/>
  <c r="AI136" i="24"/>
  <c r="AL136" i="24"/>
  <c r="F139" i="15"/>
  <c r="AI138" i="15"/>
  <c r="AJ138" i="15" s="1"/>
  <c r="AK138" i="15" s="1"/>
  <c r="AL138" i="15"/>
  <c r="AM138" i="15" s="1"/>
  <c r="AN138" i="15" s="1"/>
  <c r="M188" i="25"/>
  <c r="Q188" i="25" s="1"/>
  <c r="L189" i="25" s="1"/>
  <c r="AI128" i="19"/>
  <c r="AJ128" i="19" s="1"/>
  <c r="AK128" i="19" s="1"/>
  <c r="AO128" i="19"/>
  <c r="AP128" i="19"/>
  <c r="K128" i="19"/>
  <c r="AW145" i="17"/>
  <c r="AX145" i="17" s="1"/>
  <c r="AY145" i="17" s="1"/>
  <c r="AL146" i="17"/>
  <c r="AM146" i="17" s="1"/>
  <c r="AN146" i="17" s="1"/>
  <c r="F147" i="17"/>
  <c r="AS146" i="17"/>
  <c r="AQ146" i="17"/>
  <c r="AU146" i="17"/>
  <c r="AI146" i="17"/>
  <c r="AJ146" i="17" s="1"/>
  <c r="AK146" i="17" s="1"/>
  <c r="AP146" i="17"/>
  <c r="AO146" i="17"/>
  <c r="AQ106" i="16"/>
  <c r="F107" i="16"/>
  <c r="AU106" i="16"/>
  <c r="AI106" i="16"/>
  <c r="AJ106" i="16" s="1"/>
  <c r="AK106" i="16" s="1"/>
  <c r="AS106" i="16"/>
  <c r="T152" i="16"/>
  <c r="S152" i="16"/>
  <c r="W152" i="16" s="1"/>
  <c r="R153" i="16" s="1"/>
  <c r="P133" i="16"/>
  <c r="M132" i="16"/>
  <c r="Q132" i="16" s="1"/>
  <c r="L133" i="16" s="1"/>
  <c r="N132" i="16"/>
  <c r="AE151" i="16"/>
  <c r="AD152" i="16" s="1"/>
  <c r="AT151" i="16"/>
  <c r="Y142" i="16"/>
  <c r="Z142" i="16"/>
  <c r="AM177" i="18"/>
  <c r="AN177" i="18" s="1"/>
  <c r="AJ177" i="18"/>
  <c r="AK177" i="18" s="1"/>
  <c r="G178" i="18"/>
  <c r="AR178" i="18" s="1"/>
  <c r="Z219" i="28" l="1"/>
  <c r="Y219" i="28"/>
  <c r="AG219" i="28" s="1"/>
  <c r="AF220" i="28" s="1"/>
  <c r="AJ146" i="28"/>
  <c r="AK146" i="28" s="1"/>
  <c r="F147" i="28"/>
  <c r="AQ146" i="28"/>
  <c r="AU146" i="28"/>
  <c r="AS146" i="28"/>
  <c r="L200" i="24"/>
  <c r="I201" i="24" s="1"/>
  <c r="P218" i="24"/>
  <c r="M219" i="24" s="1"/>
  <c r="AC231" i="25"/>
  <c r="X232" i="25" s="1"/>
  <c r="R200" i="24"/>
  <c r="Q201" i="24" s="1"/>
  <c r="AT201" i="24" s="1"/>
  <c r="AC219" i="29"/>
  <c r="X220" i="29" s="1"/>
  <c r="AA220" i="29" s="1"/>
  <c r="AE220" i="29" s="1"/>
  <c r="AD221" i="29" s="1"/>
  <c r="AG219" i="29"/>
  <c r="AF220" i="29" s="1"/>
  <c r="F153" i="29"/>
  <c r="I153" i="29" s="1"/>
  <c r="AR153" i="29" s="1"/>
  <c r="AU152" i="29"/>
  <c r="AS152" i="29"/>
  <c r="AQ152" i="29"/>
  <c r="AM152" i="29"/>
  <c r="AN152" i="29" s="1"/>
  <c r="G146" i="26"/>
  <c r="AR146" i="26" s="1"/>
  <c r="AJ145" i="26"/>
  <c r="AK145" i="26" s="1"/>
  <c r="AM145" i="26"/>
  <c r="AN145" i="26" s="1"/>
  <c r="AU188" i="25"/>
  <c r="AS188" i="25"/>
  <c r="AQ188" i="25"/>
  <c r="F192" i="25"/>
  <c r="AO188" i="25"/>
  <c r="AL188" i="25"/>
  <c r="AI188" i="25"/>
  <c r="AJ187" i="25"/>
  <c r="AK187" i="25" s="1"/>
  <c r="AM187" i="25"/>
  <c r="AN187" i="25" s="1"/>
  <c r="P190" i="25"/>
  <c r="N189" i="25"/>
  <c r="AP189" i="25" s="1"/>
  <c r="AM136" i="24"/>
  <c r="AN136" i="24" s="1"/>
  <c r="AJ136" i="24"/>
  <c r="AK136" i="24" s="1"/>
  <c r="G137" i="24"/>
  <c r="AR137" i="24" s="1"/>
  <c r="G139" i="15"/>
  <c r="AR139" i="15" s="1"/>
  <c r="AW138" i="15"/>
  <c r="AX138" i="15" s="1"/>
  <c r="AY138" i="15" s="1"/>
  <c r="M189" i="25"/>
  <c r="Q189" i="25" s="1"/>
  <c r="L190" i="25" s="1"/>
  <c r="F129" i="19"/>
  <c r="AU128" i="19"/>
  <c r="AQ128" i="19"/>
  <c r="AS128" i="19"/>
  <c r="AW106" i="16"/>
  <c r="AX106" i="16" s="1"/>
  <c r="AY106" i="16" s="1"/>
  <c r="G147" i="17"/>
  <c r="AL147" i="17" s="1"/>
  <c r="AM147" i="17" s="1"/>
  <c r="AN147" i="17" s="1"/>
  <c r="H147" i="17"/>
  <c r="J148" i="17"/>
  <c r="AW146" i="17"/>
  <c r="AX146" i="17" s="1"/>
  <c r="AY146" i="17" s="1"/>
  <c r="H107" i="16"/>
  <c r="G107" i="16"/>
  <c r="K107" i="16" s="1"/>
  <c r="F108" i="16" s="1"/>
  <c r="J108" i="16"/>
  <c r="M133" i="16"/>
  <c r="Q133" i="16" s="1"/>
  <c r="L134" i="16" s="1"/>
  <c r="P134" i="16"/>
  <c r="N133" i="16"/>
  <c r="AT152" i="16"/>
  <c r="AE152" i="16"/>
  <c r="AD153" i="16" s="1"/>
  <c r="S153" i="16"/>
  <c r="W153" i="16" s="1"/>
  <c r="R154" i="16" s="1"/>
  <c r="T153" i="16"/>
  <c r="AC142" i="16"/>
  <c r="X143" i="16" s="1"/>
  <c r="AG142" i="16"/>
  <c r="AF143" i="16" s="1"/>
  <c r="H178" i="18"/>
  <c r="AW177" i="18"/>
  <c r="AX177" i="18" s="1"/>
  <c r="AY177" i="18" s="1"/>
  <c r="Q153" i="29" l="1"/>
  <c r="L154" i="29" s="1"/>
  <c r="M154" i="29" s="1"/>
  <c r="AW146" i="28"/>
  <c r="AX146" i="28" s="1"/>
  <c r="AY146" i="28" s="1"/>
  <c r="AC219" i="28"/>
  <c r="X220" i="28" s="1"/>
  <c r="AB220" i="28" s="1"/>
  <c r="I147" i="28"/>
  <c r="Q147" i="28" s="1"/>
  <c r="L148" i="28" s="1"/>
  <c r="G147" i="28"/>
  <c r="AL147" i="28" s="1"/>
  <c r="AM147" i="28" s="1"/>
  <c r="AN147" i="28" s="1"/>
  <c r="J148" i="28"/>
  <c r="H147" i="28"/>
  <c r="O154" i="29"/>
  <c r="AT221" i="29"/>
  <c r="O219" i="24"/>
  <c r="N219" i="24"/>
  <c r="Y232" i="25"/>
  <c r="AG232" i="25" s="1"/>
  <c r="AF233" i="25" s="1"/>
  <c r="Z232" i="25"/>
  <c r="K201" i="24"/>
  <c r="R201" i="24" s="1"/>
  <c r="Q202" i="24" s="1"/>
  <c r="J201" i="24"/>
  <c r="Z220" i="29"/>
  <c r="Y220" i="29"/>
  <c r="AC220" i="29" s="1"/>
  <c r="X221" i="29" s="1"/>
  <c r="AA221" i="29" s="1"/>
  <c r="AE221" i="29" s="1"/>
  <c r="AD222" i="29" s="1"/>
  <c r="AW145" i="26"/>
  <c r="AX145" i="26" s="1"/>
  <c r="AY145" i="26" s="1"/>
  <c r="AW152" i="29"/>
  <c r="AX152" i="29" s="1"/>
  <c r="AY152" i="29" s="1"/>
  <c r="H153" i="29"/>
  <c r="AP153" i="29" s="1"/>
  <c r="J154" i="29"/>
  <c r="G153" i="29"/>
  <c r="AI153" i="29" s="1"/>
  <c r="H146" i="26"/>
  <c r="AW187" i="25"/>
  <c r="AX187" i="25" s="1"/>
  <c r="AY187" i="25" s="1"/>
  <c r="G192" i="25"/>
  <c r="K192" i="25" s="1"/>
  <c r="J193" i="25"/>
  <c r="H192" i="25"/>
  <c r="AO189" i="25"/>
  <c r="AL189" i="25"/>
  <c r="AU189" i="25"/>
  <c r="AS189" i="25"/>
  <c r="AQ189" i="25"/>
  <c r="AI189" i="25"/>
  <c r="AM188" i="25"/>
  <c r="AN188" i="25" s="1"/>
  <c r="AJ188" i="25"/>
  <c r="AK188" i="25" s="1"/>
  <c r="N190" i="25"/>
  <c r="AP190" i="25" s="1"/>
  <c r="P191" i="25"/>
  <c r="AW136" i="24"/>
  <c r="AX136" i="24" s="1"/>
  <c r="AY136" i="24" s="1"/>
  <c r="H137" i="24"/>
  <c r="H139" i="15"/>
  <c r="M190" i="25"/>
  <c r="AL190" i="25" s="1"/>
  <c r="AW128" i="19"/>
  <c r="AX128" i="19" s="1"/>
  <c r="AY128" i="19" s="1"/>
  <c r="H129" i="19"/>
  <c r="G129" i="19"/>
  <c r="AI129" i="19" s="1"/>
  <c r="AJ129" i="19" s="1"/>
  <c r="AK129" i="19" s="1"/>
  <c r="J130" i="19"/>
  <c r="K147" i="17"/>
  <c r="AQ147" i="17" s="1"/>
  <c r="AI147" i="17"/>
  <c r="AJ147" i="17" s="1"/>
  <c r="AK147" i="17" s="1"/>
  <c r="AP147" i="17"/>
  <c r="AO147" i="17"/>
  <c r="AU107" i="16"/>
  <c r="G108" i="16"/>
  <c r="K108" i="16" s="1"/>
  <c r="F109" i="16" s="1"/>
  <c r="J109" i="16"/>
  <c r="H108" i="16"/>
  <c r="AQ107" i="16"/>
  <c r="AS107" i="16"/>
  <c r="AO107" i="16"/>
  <c r="AP107" i="16"/>
  <c r="AI107" i="16"/>
  <c r="AJ107" i="16" s="1"/>
  <c r="AK107" i="16" s="1"/>
  <c r="AL107" i="16"/>
  <c r="AM107" i="16" s="1"/>
  <c r="AN107" i="16" s="1"/>
  <c r="T154" i="16"/>
  <c r="S154" i="16"/>
  <c r="W154" i="16" s="1"/>
  <c r="R155" i="16" s="1"/>
  <c r="AT153" i="16"/>
  <c r="AE153" i="16"/>
  <c r="AD154" i="16" s="1"/>
  <c r="M134" i="16"/>
  <c r="Q134" i="16" s="1"/>
  <c r="L135" i="16" s="1"/>
  <c r="P135" i="16"/>
  <c r="N134" i="16"/>
  <c r="Z143" i="16"/>
  <c r="Y143" i="16"/>
  <c r="AC143" i="16" s="1"/>
  <c r="X144" i="16" s="1"/>
  <c r="F179" i="18"/>
  <c r="G179" i="18" s="1"/>
  <c r="AR179" i="18" s="1"/>
  <c r="AL178" i="18"/>
  <c r="AI178" i="18"/>
  <c r="AJ178" i="18" s="1"/>
  <c r="AK178" i="18" s="1"/>
  <c r="P155" i="29" l="1"/>
  <c r="N154" i="29"/>
  <c r="Z220" i="28"/>
  <c r="Y220" i="28"/>
  <c r="AG220" i="28" s="1"/>
  <c r="AF221" i="28" s="1"/>
  <c r="AT222" i="29"/>
  <c r="O148" i="28"/>
  <c r="M148" i="28"/>
  <c r="N148" i="28"/>
  <c r="P149" i="28"/>
  <c r="AP147" i="28"/>
  <c r="AO147" i="28"/>
  <c r="K147" i="28"/>
  <c r="AI147" i="28"/>
  <c r="AJ147" i="28" s="1"/>
  <c r="AK147" i="28" s="1"/>
  <c r="P219" i="24"/>
  <c r="M220" i="24" s="1"/>
  <c r="L201" i="24"/>
  <c r="I202" i="24" s="1"/>
  <c r="T201" i="24"/>
  <c r="S202" i="24" s="1"/>
  <c r="AC232" i="25"/>
  <c r="X233" i="25" s="1"/>
  <c r="AG220" i="29"/>
  <c r="AF221" i="29" s="1"/>
  <c r="Z221" i="29"/>
  <c r="Y221" i="29"/>
  <c r="AC221" i="29" s="1"/>
  <c r="X222" i="29" s="1"/>
  <c r="AA222" i="29" s="1"/>
  <c r="AE222" i="29" s="1"/>
  <c r="AD223" i="29" s="1"/>
  <c r="AL153" i="29"/>
  <c r="AJ153" i="29"/>
  <c r="AK153" i="29" s="1"/>
  <c r="AO153" i="29"/>
  <c r="K153" i="29"/>
  <c r="F147" i="26"/>
  <c r="AI146" i="26"/>
  <c r="AL146" i="26"/>
  <c r="F193" i="25"/>
  <c r="AW188" i="25"/>
  <c r="AX188" i="25" s="1"/>
  <c r="AY188" i="25" s="1"/>
  <c r="AO190" i="25"/>
  <c r="AM190" i="25"/>
  <c r="AN190" i="25" s="1"/>
  <c r="AJ189" i="25"/>
  <c r="AK189" i="25" s="1"/>
  <c r="AM189" i="25"/>
  <c r="AN189" i="25" s="1"/>
  <c r="F138" i="24"/>
  <c r="AL137" i="24"/>
  <c r="AI137" i="24"/>
  <c r="AJ137" i="24" s="1"/>
  <c r="AT202" i="24"/>
  <c r="F140" i="15"/>
  <c r="AI139" i="15"/>
  <c r="AJ139" i="15" s="1"/>
  <c r="AK139" i="15" s="1"/>
  <c r="AL139" i="15"/>
  <c r="AM139" i="15" s="1"/>
  <c r="AN139" i="15" s="1"/>
  <c r="Q190" i="25"/>
  <c r="AL129" i="19"/>
  <c r="AM129" i="19" s="1"/>
  <c r="AN129" i="19" s="1"/>
  <c r="K129" i="19"/>
  <c r="AO129" i="19"/>
  <c r="AP129" i="19"/>
  <c r="F148" i="17"/>
  <c r="J149" i="17" s="1"/>
  <c r="AS147" i="17"/>
  <c r="AU147" i="17"/>
  <c r="AU108" i="16"/>
  <c r="AS108" i="16"/>
  <c r="AW107" i="16"/>
  <c r="AX107" i="16" s="1"/>
  <c r="AY107" i="16" s="1"/>
  <c r="AQ108" i="16"/>
  <c r="AI108" i="16"/>
  <c r="AJ108" i="16" s="1"/>
  <c r="AK108" i="16" s="1"/>
  <c r="AL108" i="16"/>
  <c r="AM108" i="16" s="1"/>
  <c r="AN108" i="16" s="1"/>
  <c r="AO108" i="16"/>
  <c r="AP108" i="16"/>
  <c r="G109" i="16"/>
  <c r="K109" i="16" s="1"/>
  <c r="F110" i="16" s="1"/>
  <c r="J110" i="16"/>
  <c r="H109" i="16"/>
  <c r="AT154" i="16"/>
  <c r="AE154" i="16"/>
  <c r="AD155" i="16" s="1"/>
  <c r="T155" i="16"/>
  <c r="S155" i="16"/>
  <c r="W155" i="16" s="1"/>
  <c r="R156" i="16" s="1"/>
  <c r="P136" i="16"/>
  <c r="N135" i="16"/>
  <c r="M135" i="16"/>
  <c r="Q135" i="16" s="1"/>
  <c r="L136" i="16" s="1"/>
  <c r="AG143" i="16"/>
  <c r="AF144" i="16" s="1"/>
  <c r="Y144" i="16"/>
  <c r="AC144" i="16" s="1"/>
  <c r="X145" i="16" s="1"/>
  <c r="Z144" i="16"/>
  <c r="H179" i="18"/>
  <c r="AI179" i="18" s="1"/>
  <c r="AM178" i="18"/>
  <c r="AN178" i="18" s="1"/>
  <c r="AW178" i="18" s="1"/>
  <c r="AX178" i="18" s="1"/>
  <c r="AY178" i="18" s="1"/>
  <c r="AC220" i="28" l="1"/>
  <c r="X221" i="28" s="1"/>
  <c r="AB221" i="28" s="1"/>
  <c r="AT223" i="29"/>
  <c r="F148" i="28"/>
  <c r="AU147" i="28"/>
  <c r="AS147" i="28"/>
  <c r="AQ147" i="28"/>
  <c r="O220" i="24"/>
  <c r="N220" i="24"/>
  <c r="K202" i="24"/>
  <c r="R202" i="24" s="1"/>
  <c r="Q203" i="24" s="1"/>
  <c r="AT203" i="24" s="1"/>
  <c r="J202" i="24"/>
  <c r="Z233" i="25"/>
  <c r="Y233" i="25"/>
  <c r="AG233" i="25" s="1"/>
  <c r="AF234" i="25" s="1"/>
  <c r="AG221" i="29"/>
  <c r="AF222" i="29" s="1"/>
  <c r="Z222" i="29"/>
  <c r="Y222" i="29"/>
  <c r="AC222" i="29" s="1"/>
  <c r="X223" i="29" s="1"/>
  <c r="AA223" i="29" s="1"/>
  <c r="AE223" i="29" s="1"/>
  <c r="AD224" i="29" s="1"/>
  <c r="AM153" i="29"/>
  <c r="AN153" i="29" s="1"/>
  <c r="F154" i="29"/>
  <c r="I154" i="29" s="1"/>
  <c r="AQ153" i="29"/>
  <c r="AU153" i="29"/>
  <c r="AS153" i="29"/>
  <c r="G147" i="26"/>
  <c r="AR147" i="26" s="1"/>
  <c r="AJ146" i="26"/>
  <c r="AK146" i="26" s="1"/>
  <c r="AM146" i="26"/>
  <c r="AN146" i="26" s="1"/>
  <c r="AW189" i="25"/>
  <c r="AX189" i="25" s="1"/>
  <c r="AY189" i="25" s="1"/>
  <c r="G193" i="25"/>
  <c r="K193" i="25" s="1"/>
  <c r="H193" i="25"/>
  <c r="J194" i="25"/>
  <c r="AK137" i="24"/>
  <c r="AS190" i="25"/>
  <c r="AI190" i="25"/>
  <c r="AQ190" i="25"/>
  <c r="AU190" i="25"/>
  <c r="L191" i="25"/>
  <c r="AW139" i="15"/>
  <c r="AX139" i="15" s="1"/>
  <c r="AY139" i="15" s="1"/>
  <c r="AM137" i="24"/>
  <c r="AN137" i="24" s="1"/>
  <c r="G138" i="24"/>
  <c r="AR138" i="24" s="1"/>
  <c r="G140" i="15"/>
  <c r="AR140" i="15" s="1"/>
  <c r="F130" i="19"/>
  <c r="AS129" i="19"/>
  <c r="AU129" i="19"/>
  <c r="AQ129" i="19"/>
  <c r="G148" i="17"/>
  <c r="AI148" i="17" s="1"/>
  <c r="AJ148" i="17" s="1"/>
  <c r="AK148" i="17" s="1"/>
  <c r="AW147" i="17"/>
  <c r="AX147" i="17" s="1"/>
  <c r="AY147" i="17" s="1"/>
  <c r="H148" i="17"/>
  <c r="AO148" i="17" s="1"/>
  <c r="AW108" i="16"/>
  <c r="AX108" i="16" s="1"/>
  <c r="AY108" i="16" s="1"/>
  <c r="AS109" i="16"/>
  <c r="AI109" i="16"/>
  <c r="AJ109" i="16" s="1"/>
  <c r="AK109" i="16" s="1"/>
  <c r="AQ109" i="16"/>
  <c r="AU109" i="16"/>
  <c r="AL109" i="16"/>
  <c r="AM109" i="16" s="1"/>
  <c r="AN109" i="16" s="1"/>
  <c r="J111" i="16"/>
  <c r="H110" i="16"/>
  <c r="G110" i="16"/>
  <c r="AP109" i="16"/>
  <c r="AO109" i="16"/>
  <c r="AT155" i="16"/>
  <c r="AE155" i="16"/>
  <c r="AD156" i="16" s="1"/>
  <c r="P137" i="16"/>
  <c r="M136" i="16"/>
  <c r="Q136" i="16" s="1"/>
  <c r="L137" i="16" s="1"/>
  <c r="N136" i="16"/>
  <c r="T156" i="16"/>
  <c r="S156" i="16"/>
  <c r="W156" i="16" s="1"/>
  <c r="R157" i="16" s="1"/>
  <c r="Z145" i="16"/>
  <c r="Y145" i="16"/>
  <c r="AC145" i="16" s="1"/>
  <c r="X146" i="16" s="1"/>
  <c r="AG144" i="16"/>
  <c r="AF145" i="16" s="1"/>
  <c r="AL179" i="18"/>
  <c r="AM179" i="18" s="1"/>
  <c r="AN179" i="18" s="1"/>
  <c r="F180" i="18"/>
  <c r="G180" i="18" s="1"/>
  <c r="AR180" i="18" s="1"/>
  <c r="AJ179" i="18"/>
  <c r="AK179" i="18" s="1"/>
  <c r="Z221" i="28" l="1"/>
  <c r="Y221" i="28"/>
  <c r="AG221" i="28" s="1"/>
  <c r="AF222" i="28" s="1"/>
  <c r="AW147" i="28"/>
  <c r="AX147" i="28" s="1"/>
  <c r="AY147" i="28" s="1"/>
  <c r="AT224" i="29"/>
  <c r="AR154" i="29"/>
  <c r="Q154" i="29"/>
  <c r="L155" i="29" s="1"/>
  <c r="I148" i="28"/>
  <c r="Q148" i="28" s="1"/>
  <c r="L149" i="28" s="1"/>
  <c r="G148" i="28"/>
  <c r="AL148" i="28" s="1"/>
  <c r="AM148" i="28" s="1"/>
  <c r="AN148" i="28" s="1"/>
  <c r="H148" i="28"/>
  <c r="J149" i="28"/>
  <c r="L202" i="24"/>
  <c r="I203" i="24" s="1"/>
  <c r="P220" i="24"/>
  <c r="M221" i="24" s="1"/>
  <c r="T202" i="24"/>
  <c r="S203" i="24" s="1"/>
  <c r="AC233" i="25"/>
  <c r="X234" i="25" s="1"/>
  <c r="AG222" i="29"/>
  <c r="AF223" i="29" s="1"/>
  <c r="Z223" i="29"/>
  <c r="Y223" i="29"/>
  <c r="AC223" i="29" s="1"/>
  <c r="X224" i="29" s="1"/>
  <c r="AA224" i="29" s="1"/>
  <c r="AE224" i="29" s="1"/>
  <c r="AD225" i="29" s="1"/>
  <c r="AW153" i="29"/>
  <c r="AX153" i="29" s="1"/>
  <c r="AY153" i="29" s="1"/>
  <c r="AW146" i="26"/>
  <c r="AX146" i="26" s="1"/>
  <c r="AY146" i="26" s="1"/>
  <c r="J155" i="29"/>
  <c r="H154" i="29"/>
  <c r="AP154" i="29" s="1"/>
  <c r="G154" i="29"/>
  <c r="K154" i="29" s="1"/>
  <c r="H147" i="26"/>
  <c r="AW137" i="24"/>
  <c r="AX137" i="24" s="1"/>
  <c r="AY137" i="24" s="1"/>
  <c r="F194" i="25"/>
  <c r="P192" i="25"/>
  <c r="N191" i="25"/>
  <c r="AP191" i="25" s="1"/>
  <c r="AJ190" i="25"/>
  <c r="AK190" i="25" s="1"/>
  <c r="AW190" i="25" s="1"/>
  <c r="AX190" i="25" s="1"/>
  <c r="AY190" i="25" s="1"/>
  <c r="H138" i="24"/>
  <c r="H140" i="15"/>
  <c r="M191" i="25"/>
  <c r="Q191" i="25" s="1"/>
  <c r="L192" i="25" s="1"/>
  <c r="AW129" i="19"/>
  <c r="AX129" i="19" s="1"/>
  <c r="AY129" i="19" s="1"/>
  <c r="J131" i="19"/>
  <c r="G130" i="19"/>
  <c r="H130" i="19"/>
  <c r="K148" i="17"/>
  <c r="AS148" i="17" s="1"/>
  <c r="AL148" i="17"/>
  <c r="AM148" i="17" s="1"/>
  <c r="AN148" i="17" s="1"/>
  <c r="AP148" i="17"/>
  <c r="AW109" i="16"/>
  <c r="AX109" i="16" s="1"/>
  <c r="AY109" i="16" s="1"/>
  <c r="AG145" i="16"/>
  <c r="AF146" i="16" s="1"/>
  <c r="AP110" i="16"/>
  <c r="AO110" i="16"/>
  <c r="AL110" i="16"/>
  <c r="AM110" i="16" s="1"/>
  <c r="AN110" i="16" s="1"/>
  <c r="K110" i="16"/>
  <c r="N137" i="16"/>
  <c r="M137" i="16"/>
  <c r="Q137" i="16" s="1"/>
  <c r="L138" i="16" s="1"/>
  <c r="P138" i="16"/>
  <c r="T157" i="16"/>
  <c r="S157" i="16"/>
  <c r="W157" i="16" s="1"/>
  <c r="R158" i="16" s="1"/>
  <c r="AT156" i="16"/>
  <c r="AE156" i="16"/>
  <c r="AD157" i="16" s="1"/>
  <c r="Z146" i="16"/>
  <c r="Y146" i="16"/>
  <c r="AC146" i="16" s="1"/>
  <c r="X147" i="16" s="1"/>
  <c r="AW179" i="18"/>
  <c r="AX179" i="18" s="1"/>
  <c r="AY179" i="18" s="1"/>
  <c r="H180" i="18"/>
  <c r="AC221" i="28" l="1"/>
  <c r="X222" i="28" s="1"/>
  <c r="AB222" i="28" s="1"/>
  <c r="O155" i="29"/>
  <c r="M155" i="29"/>
  <c r="N155" i="29"/>
  <c r="P156" i="29"/>
  <c r="O149" i="28"/>
  <c r="M149" i="28"/>
  <c r="P150" i="28"/>
  <c r="N149" i="28"/>
  <c r="AP148" i="28"/>
  <c r="AO148" i="28"/>
  <c r="K148" i="28"/>
  <c r="AI148" i="28"/>
  <c r="AT225" i="29"/>
  <c r="O221" i="24"/>
  <c r="N221" i="24"/>
  <c r="Y234" i="25"/>
  <c r="Z234" i="25"/>
  <c r="K203" i="24"/>
  <c r="T203" i="24" s="1"/>
  <c r="S204" i="24" s="1"/>
  <c r="J203" i="24"/>
  <c r="AG223" i="29"/>
  <c r="AF224" i="29" s="1"/>
  <c r="Z224" i="29"/>
  <c r="Y224" i="29"/>
  <c r="AC224" i="29" s="1"/>
  <c r="X225" i="29" s="1"/>
  <c r="AA225" i="29" s="1"/>
  <c r="AE225" i="29" s="1"/>
  <c r="AD226" i="29" s="1"/>
  <c r="F155" i="29"/>
  <c r="I155" i="29" s="1"/>
  <c r="AR155" i="29" s="1"/>
  <c r="AS154" i="29"/>
  <c r="AQ154" i="29"/>
  <c r="AU154" i="29"/>
  <c r="AO154" i="29"/>
  <c r="AL154" i="29"/>
  <c r="AI154" i="29"/>
  <c r="F148" i="26"/>
  <c r="AI147" i="26"/>
  <c r="AL147" i="26"/>
  <c r="G194" i="25"/>
  <c r="K194" i="25" s="1"/>
  <c r="J195" i="25"/>
  <c r="H194" i="25"/>
  <c r="AL191" i="25"/>
  <c r="AI191" i="25"/>
  <c r="AU191" i="25"/>
  <c r="AQ191" i="25"/>
  <c r="AS191" i="25"/>
  <c r="AO191" i="25"/>
  <c r="N192" i="25"/>
  <c r="AP192" i="25" s="1"/>
  <c r="P193" i="25"/>
  <c r="F139" i="24"/>
  <c r="AI138" i="24"/>
  <c r="AL138" i="24"/>
  <c r="F141" i="15"/>
  <c r="AI140" i="15"/>
  <c r="AJ140" i="15" s="1"/>
  <c r="AK140" i="15" s="1"/>
  <c r="AL140" i="15"/>
  <c r="AM140" i="15" s="1"/>
  <c r="AN140" i="15" s="1"/>
  <c r="M192" i="25"/>
  <c r="Q192" i="25" s="1"/>
  <c r="L193" i="25" s="1"/>
  <c r="AO130" i="19"/>
  <c r="AP130" i="19"/>
  <c r="AL130" i="19"/>
  <c r="AM130" i="19" s="1"/>
  <c r="AN130" i="19" s="1"/>
  <c r="K130" i="19"/>
  <c r="AI130" i="19"/>
  <c r="AJ130" i="19" s="1"/>
  <c r="AK130" i="19" s="1"/>
  <c r="AQ148" i="17"/>
  <c r="F149" i="17"/>
  <c r="J150" i="17" s="1"/>
  <c r="AU148" i="17"/>
  <c r="F111" i="16"/>
  <c r="AQ110" i="16"/>
  <c r="AS110" i="16"/>
  <c r="AI110" i="16"/>
  <c r="AJ110" i="16" s="1"/>
  <c r="AK110" i="16" s="1"/>
  <c r="AU110" i="16"/>
  <c r="AG146" i="16"/>
  <c r="AF147" i="16" s="1"/>
  <c r="M138" i="16"/>
  <c r="Q138" i="16" s="1"/>
  <c r="L139" i="16" s="1"/>
  <c r="N138" i="16"/>
  <c r="P139" i="16"/>
  <c r="AE157" i="16"/>
  <c r="AD158" i="16" s="1"/>
  <c r="AT157" i="16"/>
  <c r="T158" i="16"/>
  <c r="S158" i="16"/>
  <c r="W158" i="16" s="1"/>
  <c r="R159" i="16" s="1"/>
  <c r="Y147" i="16"/>
  <c r="AC147" i="16" s="1"/>
  <c r="X148" i="16" s="1"/>
  <c r="Z147" i="16"/>
  <c r="F181" i="18"/>
  <c r="AI180" i="18"/>
  <c r="AL180" i="18"/>
  <c r="Z222" i="28" l="1"/>
  <c r="Q155" i="29"/>
  <c r="L156" i="29" s="1"/>
  <c r="N156" i="29" s="1"/>
  <c r="Y222" i="28"/>
  <c r="AG222" i="28" s="1"/>
  <c r="AF223" i="28" s="1"/>
  <c r="AT226" i="29"/>
  <c r="F149" i="28"/>
  <c r="AU148" i="28"/>
  <c r="AS148" i="28"/>
  <c r="AQ148" i="28"/>
  <c r="AJ148" i="28"/>
  <c r="AK148" i="28" s="1"/>
  <c r="P221" i="24"/>
  <c r="M222" i="24" s="1"/>
  <c r="L203" i="24"/>
  <c r="I204" i="24" s="1"/>
  <c r="R203" i="24"/>
  <c r="Q204" i="24" s="1"/>
  <c r="AT204" i="24" s="1"/>
  <c r="AC234" i="25"/>
  <c r="AG234" i="25"/>
  <c r="AG224" i="29"/>
  <c r="AF225" i="29" s="1"/>
  <c r="Z225" i="29"/>
  <c r="Y225" i="29"/>
  <c r="AC225" i="29" s="1"/>
  <c r="X226" i="29" s="1"/>
  <c r="AA226" i="29" s="1"/>
  <c r="AE226" i="29" s="1"/>
  <c r="AD227" i="29" s="1"/>
  <c r="H155" i="29"/>
  <c r="AP155" i="29" s="1"/>
  <c r="J156" i="29"/>
  <c r="G155" i="29"/>
  <c r="AL155" i="29" s="1"/>
  <c r="AM154" i="29"/>
  <c r="AN154" i="29" s="1"/>
  <c r="AJ154" i="29"/>
  <c r="AK154" i="29" s="1"/>
  <c r="G148" i="26"/>
  <c r="AR148" i="26" s="1"/>
  <c r="AM147" i="26"/>
  <c r="AN147" i="26" s="1"/>
  <c r="AJ147" i="26"/>
  <c r="AK147" i="26" s="1"/>
  <c r="AL192" i="25"/>
  <c r="AS192" i="25"/>
  <c r="AQ192" i="25"/>
  <c r="AI192" i="25"/>
  <c r="AU192" i="25"/>
  <c r="F195" i="25"/>
  <c r="AO192" i="25"/>
  <c r="AW140" i="15"/>
  <c r="AX140" i="15" s="1"/>
  <c r="AY140" i="15" s="1"/>
  <c r="AJ191" i="25"/>
  <c r="AK191" i="25" s="1"/>
  <c r="P194" i="25"/>
  <c r="N193" i="25"/>
  <c r="AP193" i="25" s="1"/>
  <c r="AM191" i="25"/>
  <c r="AN191" i="25" s="1"/>
  <c r="G139" i="24"/>
  <c r="AR139" i="24" s="1"/>
  <c r="AJ138" i="24"/>
  <c r="AK138" i="24" s="1"/>
  <c r="AM138" i="24"/>
  <c r="AN138" i="24" s="1"/>
  <c r="G141" i="15"/>
  <c r="AR141" i="15" s="1"/>
  <c r="M193" i="25"/>
  <c r="Q193" i="25" s="1"/>
  <c r="L194" i="25" s="1"/>
  <c r="AQ130" i="19"/>
  <c r="AS130" i="19"/>
  <c r="AU130" i="19"/>
  <c r="F131" i="19"/>
  <c r="H149" i="17"/>
  <c r="AO149" i="17" s="1"/>
  <c r="G149" i="17"/>
  <c r="K149" i="17" s="1"/>
  <c r="AU149" i="17" s="1"/>
  <c r="AW148" i="17"/>
  <c r="AX148" i="17" s="1"/>
  <c r="AY148" i="17" s="1"/>
  <c r="AW110" i="16"/>
  <c r="AX110" i="16" s="1"/>
  <c r="AY110" i="16" s="1"/>
  <c r="J112" i="16"/>
  <c r="H111" i="16"/>
  <c r="G111" i="16"/>
  <c r="K111" i="16" s="1"/>
  <c r="F112" i="16" s="1"/>
  <c r="AG147" i="16"/>
  <c r="AF148" i="16" s="1"/>
  <c r="N139" i="16"/>
  <c r="M139" i="16"/>
  <c r="Q139" i="16" s="1"/>
  <c r="L140" i="16" s="1"/>
  <c r="P140" i="16"/>
  <c r="AE158" i="16"/>
  <c r="AD159" i="16" s="1"/>
  <c r="AT158" i="16"/>
  <c r="S159" i="16"/>
  <c r="W159" i="16" s="1"/>
  <c r="R160" i="16" s="1"/>
  <c r="T159" i="16"/>
  <c r="Y148" i="16"/>
  <c r="AC148" i="16" s="1"/>
  <c r="X149" i="16" s="1"/>
  <c r="Z148" i="16"/>
  <c r="AM180" i="18"/>
  <c r="AN180" i="18" s="1"/>
  <c r="AJ180" i="18"/>
  <c r="AK180" i="18" s="1"/>
  <c r="G181" i="18"/>
  <c r="AR181" i="18" s="1"/>
  <c r="O156" i="29" l="1"/>
  <c r="M156" i="29"/>
  <c r="P157" i="29"/>
  <c r="AC222" i="28"/>
  <c r="X223" i="28" s="1"/>
  <c r="AB223" i="28" s="1"/>
  <c r="AW148" i="28"/>
  <c r="AX148" i="28" s="1"/>
  <c r="AY148" i="28" s="1"/>
  <c r="AT227" i="29"/>
  <c r="I149" i="28"/>
  <c r="Q149" i="28" s="1"/>
  <c r="L150" i="28" s="1"/>
  <c r="G149" i="28"/>
  <c r="AI149" i="28" s="1"/>
  <c r="AJ149" i="28" s="1"/>
  <c r="AK149" i="28" s="1"/>
  <c r="J150" i="28"/>
  <c r="H149" i="28"/>
  <c r="K204" i="24"/>
  <c r="T204" i="24" s="1"/>
  <c r="S205" i="24" s="1"/>
  <c r="J204" i="24"/>
  <c r="O222" i="24"/>
  <c r="N222" i="24"/>
  <c r="AG225" i="29"/>
  <c r="AF226" i="29" s="1"/>
  <c r="Z226" i="29"/>
  <c r="Y226" i="29"/>
  <c r="AC226" i="29" s="1"/>
  <c r="X227" i="29" s="1"/>
  <c r="AA227" i="29" s="1"/>
  <c r="AE227" i="29" s="1"/>
  <c r="AD228" i="29" s="1"/>
  <c r="AW154" i="29"/>
  <c r="AX154" i="29" s="1"/>
  <c r="AY154" i="29" s="1"/>
  <c r="AI155" i="29"/>
  <c r="AM155" i="29"/>
  <c r="AN155" i="29" s="1"/>
  <c r="AO155" i="29"/>
  <c r="K155" i="29"/>
  <c r="AW147" i="26"/>
  <c r="AX147" i="26" s="1"/>
  <c r="AY147" i="26" s="1"/>
  <c r="H148" i="26"/>
  <c r="AW191" i="25"/>
  <c r="AX191" i="25" s="1"/>
  <c r="AY191" i="25" s="1"/>
  <c r="G195" i="25"/>
  <c r="K195" i="25" s="1"/>
  <c r="H195" i="25"/>
  <c r="J196" i="25"/>
  <c r="AO193" i="25"/>
  <c r="AL193" i="25"/>
  <c r="AS193" i="25"/>
  <c r="AQ193" i="25"/>
  <c r="AI193" i="25"/>
  <c r="AU193" i="25"/>
  <c r="AM192" i="25"/>
  <c r="AN192" i="25" s="1"/>
  <c r="AJ192" i="25"/>
  <c r="AK192" i="25" s="1"/>
  <c r="N194" i="25"/>
  <c r="AP194" i="25" s="1"/>
  <c r="P195" i="25"/>
  <c r="AW138" i="24"/>
  <c r="AX138" i="24" s="1"/>
  <c r="AY138" i="24" s="1"/>
  <c r="H139" i="24"/>
  <c r="H141" i="15"/>
  <c r="M194" i="25"/>
  <c r="Q194" i="25" s="1"/>
  <c r="L195" i="25" s="1"/>
  <c r="AP149" i="17"/>
  <c r="J132" i="19"/>
  <c r="H131" i="19"/>
  <c r="G131" i="19"/>
  <c r="K131" i="19" s="1"/>
  <c r="AW130" i="19"/>
  <c r="AX130" i="19" s="1"/>
  <c r="AY130" i="19" s="1"/>
  <c r="AL149" i="17"/>
  <c r="AM149" i="17" s="1"/>
  <c r="AN149" i="17" s="1"/>
  <c r="AS149" i="17"/>
  <c r="AQ149" i="17"/>
  <c r="F150" i="17"/>
  <c r="G150" i="17" s="1"/>
  <c r="AL150" i="17" s="1"/>
  <c r="AM150" i="17" s="1"/>
  <c r="AN150" i="17" s="1"/>
  <c r="AI149" i="17"/>
  <c r="AJ149" i="17" s="1"/>
  <c r="AK149" i="17" s="1"/>
  <c r="AL111" i="16"/>
  <c r="AM111" i="16" s="1"/>
  <c r="AN111" i="16" s="1"/>
  <c r="AQ111" i="16"/>
  <c r="AI111" i="16"/>
  <c r="AJ111" i="16" s="1"/>
  <c r="AK111" i="16" s="1"/>
  <c r="AU111" i="16"/>
  <c r="AS111" i="16"/>
  <c r="AP111" i="16"/>
  <c r="AO111" i="16"/>
  <c r="J113" i="16"/>
  <c r="G112" i="16"/>
  <c r="K112" i="16" s="1"/>
  <c r="F113" i="16" s="1"/>
  <c r="H112" i="16"/>
  <c r="AE159" i="16"/>
  <c r="AD160" i="16" s="1"/>
  <c r="AT159" i="16"/>
  <c r="M140" i="16"/>
  <c r="Q140" i="16" s="1"/>
  <c r="L141" i="16" s="1"/>
  <c r="P141" i="16"/>
  <c r="N140" i="16"/>
  <c r="S160" i="16"/>
  <c r="W160" i="16" s="1"/>
  <c r="R161" i="16" s="1"/>
  <c r="T160" i="16"/>
  <c r="Z149" i="16"/>
  <c r="Y149" i="16"/>
  <c r="AC149" i="16" s="1"/>
  <c r="X150" i="16" s="1"/>
  <c r="AG148" i="16"/>
  <c r="AF149" i="16" s="1"/>
  <c r="AW180" i="18"/>
  <c r="AX180" i="18" s="1"/>
  <c r="AY180" i="18" s="1"/>
  <c r="H181" i="18"/>
  <c r="Z223" i="28" l="1"/>
  <c r="Y223" i="28"/>
  <c r="AG223" i="28" s="1"/>
  <c r="AF224" i="28" s="1"/>
  <c r="AT228" i="29"/>
  <c r="O150" i="28"/>
  <c r="M150" i="28"/>
  <c r="N150" i="28"/>
  <c r="P151" i="28"/>
  <c r="AP149" i="28"/>
  <c r="AO149" i="28"/>
  <c r="AL149" i="28"/>
  <c r="AM149" i="28" s="1"/>
  <c r="AN149" i="28" s="1"/>
  <c r="K149" i="28"/>
  <c r="L204" i="24"/>
  <c r="I205" i="24" s="1"/>
  <c r="P222" i="24"/>
  <c r="M223" i="24" s="1"/>
  <c r="R204" i="24"/>
  <c r="Q205" i="24" s="1"/>
  <c r="AT205" i="24" s="1"/>
  <c r="AG226" i="29"/>
  <c r="AF227" i="29" s="1"/>
  <c r="Z227" i="29"/>
  <c r="Y227" i="29"/>
  <c r="AC227" i="29" s="1"/>
  <c r="X228" i="29" s="1"/>
  <c r="AA228" i="29" s="1"/>
  <c r="AE228" i="29" s="1"/>
  <c r="AD229" i="29" s="1"/>
  <c r="AJ155" i="29"/>
  <c r="AK155" i="29" s="1"/>
  <c r="F156" i="29"/>
  <c r="I156" i="29" s="1"/>
  <c r="AU155" i="29"/>
  <c r="AS155" i="29"/>
  <c r="AQ155" i="29"/>
  <c r="F149" i="26"/>
  <c r="AI148" i="26"/>
  <c r="AL148" i="26"/>
  <c r="AQ194" i="25"/>
  <c r="F196" i="25"/>
  <c r="AW192" i="25"/>
  <c r="AX192" i="25" s="1"/>
  <c r="AY192" i="25" s="1"/>
  <c r="AO194" i="25"/>
  <c r="AS194" i="25"/>
  <c r="AU194" i="25"/>
  <c r="AI194" i="25"/>
  <c r="AL194" i="25"/>
  <c r="AM193" i="25"/>
  <c r="AN193" i="25" s="1"/>
  <c r="AJ193" i="25"/>
  <c r="AK193" i="25" s="1"/>
  <c r="P196" i="25"/>
  <c r="N195" i="25"/>
  <c r="AP195" i="25" s="1"/>
  <c r="F140" i="24"/>
  <c r="AI139" i="24"/>
  <c r="AL139" i="24"/>
  <c r="F142" i="15"/>
  <c r="AI141" i="15"/>
  <c r="AJ141" i="15" s="1"/>
  <c r="AK141" i="15" s="1"/>
  <c r="AL141" i="15"/>
  <c r="AM141" i="15" s="1"/>
  <c r="AN141" i="15" s="1"/>
  <c r="M195" i="25"/>
  <c r="Q195" i="25" s="1"/>
  <c r="L196" i="25" s="1"/>
  <c r="AI131" i="19"/>
  <c r="AJ131" i="19" s="1"/>
  <c r="AK131" i="19" s="1"/>
  <c r="AP131" i="19"/>
  <c r="AO131" i="19"/>
  <c r="F132" i="19"/>
  <c r="AU131" i="19"/>
  <c r="AS131" i="19"/>
  <c r="AQ131" i="19"/>
  <c r="AL131" i="19"/>
  <c r="AM131" i="19" s="1"/>
  <c r="AN131" i="19" s="1"/>
  <c r="H150" i="17"/>
  <c r="AO150" i="17" s="1"/>
  <c r="AW149" i="17"/>
  <c r="AX149" i="17" s="1"/>
  <c r="AY149" i="17" s="1"/>
  <c r="J151" i="17"/>
  <c r="K150" i="17"/>
  <c r="AU150" i="17" s="1"/>
  <c r="AI150" i="17"/>
  <c r="AJ150" i="17" s="1"/>
  <c r="AK150" i="17" s="1"/>
  <c r="AU112" i="16"/>
  <c r="AL112" i="16"/>
  <c r="AM112" i="16" s="1"/>
  <c r="AN112" i="16" s="1"/>
  <c r="AQ112" i="16"/>
  <c r="AW111" i="16"/>
  <c r="AX111" i="16" s="1"/>
  <c r="AY111" i="16" s="1"/>
  <c r="AG149" i="16"/>
  <c r="AF150" i="16" s="1"/>
  <c r="AI112" i="16"/>
  <c r="AJ112" i="16" s="1"/>
  <c r="AK112" i="16" s="1"/>
  <c r="AO112" i="16"/>
  <c r="AP112" i="16"/>
  <c r="AS112" i="16"/>
  <c r="H113" i="16"/>
  <c r="J114" i="16"/>
  <c r="G113" i="16"/>
  <c r="K113" i="16" s="1"/>
  <c r="F114" i="16" s="1"/>
  <c r="N141" i="16"/>
  <c r="M141" i="16"/>
  <c r="Q141" i="16" s="1"/>
  <c r="L142" i="16" s="1"/>
  <c r="P142" i="16"/>
  <c r="S161" i="16"/>
  <c r="W161" i="16" s="1"/>
  <c r="R162" i="16" s="1"/>
  <c r="T161" i="16"/>
  <c r="AE160" i="16"/>
  <c r="AD161" i="16" s="1"/>
  <c r="AT160" i="16"/>
  <c r="Z150" i="16"/>
  <c r="Y150" i="16"/>
  <c r="AC150" i="16" s="1"/>
  <c r="X151" i="16" s="1"/>
  <c r="F182" i="18"/>
  <c r="AI181" i="18"/>
  <c r="AL181" i="18"/>
  <c r="AC223" i="28" l="1"/>
  <c r="X224" i="28" s="1"/>
  <c r="AB224" i="28" s="1"/>
  <c r="AT229" i="29"/>
  <c r="AR156" i="29"/>
  <c r="Q156" i="29"/>
  <c r="L157" i="29" s="1"/>
  <c r="F150" i="28"/>
  <c r="AQ149" i="28"/>
  <c r="AS149" i="28"/>
  <c r="AU149" i="28"/>
  <c r="O223" i="24"/>
  <c r="N223" i="24"/>
  <c r="K205" i="24"/>
  <c r="R205" i="24" s="1"/>
  <c r="Q206" i="24" s="1"/>
  <c r="J205" i="24"/>
  <c r="AG227" i="29"/>
  <c r="AF228" i="29" s="1"/>
  <c r="Z228" i="29"/>
  <c r="Y228" i="29"/>
  <c r="AW155" i="29"/>
  <c r="AX155" i="29" s="1"/>
  <c r="AY155" i="29" s="1"/>
  <c r="J157" i="29"/>
  <c r="H156" i="29"/>
  <c r="AP156" i="29" s="1"/>
  <c r="G156" i="29"/>
  <c r="AL156" i="29" s="1"/>
  <c r="G149" i="26"/>
  <c r="AR149" i="26" s="1"/>
  <c r="AJ148" i="26"/>
  <c r="AK148" i="26" s="1"/>
  <c r="AM148" i="26"/>
  <c r="AN148" i="26" s="1"/>
  <c r="AS195" i="25"/>
  <c r="AQ195" i="25"/>
  <c r="G196" i="25"/>
  <c r="K196" i="25" s="1"/>
  <c r="H196" i="25"/>
  <c r="J197" i="25"/>
  <c r="AU195" i="25"/>
  <c r="AI195" i="25"/>
  <c r="AL195" i="25"/>
  <c r="AO195" i="25"/>
  <c r="AW193" i="25"/>
  <c r="AX193" i="25" s="1"/>
  <c r="AY193" i="25" s="1"/>
  <c r="P197" i="25"/>
  <c r="N196" i="25"/>
  <c r="AJ194" i="25"/>
  <c r="AK194" i="25" s="1"/>
  <c r="AM194" i="25"/>
  <c r="AN194" i="25" s="1"/>
  <c r="AM139" i="24"/>
  <c r="AN139" i="24" s="1"/>
  <c r="G140" i="24"/>
  <c r="AR140" i="24" s="1"/>
  <c r="AJ139" i="24"/>
  <c r="AK139" i="24" s="1"/>
  <c r="AW141" i="15"/>
  <c r="AX141" i="15" s="1"/>
  <c r="AY141" i="15" s="1"/>
  <c r="G142" i="15"/>
  <c r="AR142" i="15" s="1"/>
  <c r="M196" i="25"/>
  <c r="Q196" i="25" s="1"/>
  <c r="L197" i="25" s="1"/>
  <c r="AP150" i="17"/>
  <c r="AW131" i="19"/>
  <c r="AX131" i="19" s="1"/>
  <c r="AY131" i="19" s="1"/>
  <c r="J133" i="19"/>
  <c r="G132" i="19"/>
  <c r="K132" i="19" s="1"/>
  <c r="F133" i="19" s="1"/>
  <c r="H132" i="19"/>
  <c r="AS150" i="17"/>
  <c r="F151" i="17"/>
  <c r="AQ150" i="17"/>
  <c r="AW112" i="16"/>
  <c r="AX112" i="16" s="1"/>
  <c r="AY112" i="16" s="1"/>
  <c r="AI113" i="16"/>
  <c r="AJ113" i="16" s="1"/>
  <c r="AK113" i="16" s="1"/>
  <c r="AL113" i="16"/>
  <c r="AM113" i="16" s="1"/>
  <c r="AN113" i="16" s="1"/>
  <c r="AQ113" i="16"/>
  <c r="AS113" i="16"/>
  <c r="AU113" i="16"/>
  <c r="G114" i="16"/>
  <c r="K114" i="16" s="1"/>
  <c r="F115" i="16" s="1"/>
  <c r="H114" i="16"/>
  <c r="J115" i="16"/>
  <c r="AO113" i="16"/>
  <c r="AP113" i="16"/>
  <c r="M142" i="16"/>
  <c r="Q142" i="16" s="1"/>
  <c r="L143" i="16" s="1"/>
  <c r="N142" i="16"/>
  <c r="P143" i="16"/>
  <c r="AT161" i="16"/>
  <c r="AE161" i="16"/>
  <c r="AD162" i="16" s="1"/>
  <c r="S162" i="16"/>
  <c r="W162" i="16" s="1"/>
  <c r="R163" i="16" s="1"/>
  <c r="T162" i="16"/>
  <c r="Z151" i="16"/>
  <c r="Y151" i="16"/>
  <c r="AC151" i="16" s="1"/>
  <c r="X152" i="16" s="1"/>
  <c r="AG150" i="16"/>
  <c r="AF151" i="16" s="1"/>
  <c r="AM181" i="18"/>
  <c r="AN181" i="18" s="1"/>
  <c r="AJ181" i="18"/>
  <c r="AK181" i="18" s="1"/>
  <c r="G182" i="18"/>
  <c r="AR182" i="18" s="1"/>
  <c r="Z224" i="28" l="1"/>
  <c r="Y224" i="28"/>
  <c r="AG224" i="28" s="1"/>
  <c r="AF225" i="28" s="1"/>
  <c r="AW149" i="28"/>
  <c r="AX149" i="28" s="1"/>
  <c r="AY149" i="28" s="1"/>
  <c r="O157" i="29"/>
  <c r="M157" i="29"/>
  <c r="N157" i="29"/>
  <c r="P158" i="29"/>
  <c r="I150" i="28"/>
  <c r="Q150" i="28" s="1"/>
  <c r="L151" i="28" s="1"/>
  <c r="G150" i="28"/>
  <c r="AL150" i="28" s="1"/>
  <c r="AM150" i="28" s="1"/>
  <c r="AN150" i="28" s="1"/>
  <c r="H150" i="28"/>
  <c r="J151" i="28"/>
  <c r="P223" i="24"/>
  <c r="M224" i="24" s="1"/>
  <c r="O224" i="24" s="1"/>
  <c r="T205" i="24"/>
  <c r="S206" i="24" s="1"/>
  <c r="L205" i="24"/>
  <c r="I206" i="24" s="1"/>
  <c r="AG228" i="29"/>
  <c r="AF229" i="29" s="1"/>
  <c r="AC228" i="29"/>
  <c r="X229" i="29" s="1"/>
  <c r="AW148" i="26"/>
  <c r="AX148" i="26" s="1"/>
  <c r="AY148" i="26" s="1"/>
  <c r="AI156" i="29"/>
  <c r="AM156" i="29"/>
  <c r="AN156" i="29" s="1"/>
  <c r="K156" i="29"/>
  <c r="AO156" i="29"/>
  <c r="H149" i="26"/>
  <c r="AP196" i="25"/>
  <c r="AL196" i="25"/>
  <c r="AW194" i="25"/>
  <c r="AX194" i="25" s="1"/>
  <c r="AY194" i="25" s="1"/>
  <c r="F197" i="25"/>
  <c r="AQ196" i="25"/>
  <c r="AU196" i="25"/>
  <c r="AI196" i="25"/>
  <c r="AS196" i="25"/>
  <c r="AO196" i="25"/>
  <c r="N197" i="25"/>
  <c r="P198" i="25"/>
  <c r="AW139" i="24"/>
  <c r="AX139" i="24" s="1"/>
  <c r="AY139" i="24" s="1"/>
  <c r="AJ195" i="25"/>
  <c r="AK195" i="25" s="1"/>
  <c r="AM195" i="25"/>
  <c r="AN195" i="25" s="1"/>
  <c r="AT206" i="24"/>
  <c r="H140" i="24"/>
  <c r="H142" i="15"/>
  <c r="M197" i="25"/>
  <c r="Q197" i="25" s="1"/>
  <c r="L198" i="25" s="1"/>
  <c r="AS132" i="19"/>
  <c r="AI132" i="19"/>
  <c r="AJ132" i="19" s="1"/>
  <c r="AK132" i="19" s="1"/>
  <c r="AQ132" i="19"/>
  <c r="G133" i="19"/>
  <c r="AI133" i="19" s="1"/>
  <c r="AJ133" i="19" s="1"/>
  <c r="AK133" i="19" s="1"/>
  <c r="J134" i="19"/>
  <c r="H133" i="19"/>
  <c r="AO132" i="19"/>
  <c r="AP132" i="19"/>
  <c r="AU132" i="19"/>
  <c r="AL132" i="19"/>
  <c r="AM132" i="19" s="1"/>
  <c r="AN132" i="19" s="1"/>
  <c r="AW150" i="17"/>
  <c r="AX150" i="17" s="1"/>
  <c r="AY150" i="17" s="1"/>
  <c r="G151" i="17"/>
  <c r="J152" i="17"/>
  <c r="H151" i="17"/>
  <c r="AW113" i="16"/>
  <c r="AX113" i="16" s="1"/>
  <c r="AY113" i="16" s="1"/>
  <c r="AS114" i="16"/>
  <c r="AU114" i="16"/>
  <c r="AP114" i="16"/>
  <c r="AO114" i="16"/>
  <c r="AI114" i="16"/>
  <c r="AJ114" i="16" s="1"/>
  <c r="AK114" i="16" s="1"/>
  <c r="H115" i="16"/>
  <c r="J116" i="16"/>
  <c r="G115" i="16"/>
  <c r="AL115" i="16" s="1"/>
  <c r="AM115" i="16" s="1"/>
  <c r="AN115" i="16" s="1"/>
  <c r="AQ114" i="16"/>
  <c r="AL114" i="16"/>
  <c r="AM114" i="16" s="1"/>
  <c r="AN114" i="16" s="1"/>
  <c r="N143" i="16"/>
  <c r="M143" i="16"/>
  <c r="Q143" i="16" s="1"/>
  <c r="L144" i="16" s="1"/>
  <c r="P144" i="16"/>
  <c r="AG151" i="16"/>
  <c r="AF152" i="16" s="1"/>
  <c r="T163" i="16"/>
  <c r="S163" i="16"/>
  <c r="W163" i="16" s="1"/>
  <c r="R164" i="16" s="1"/>
  <c r="AE162" i="16"/>
  <c r="AD163" i="16" s="1"/>
  <c r="AT162" i="16"/>
  <c r="Y152" i="16"/>
  <c r="AC152" i="16" s="1"/>
  <c r="X153" i="16" s="1"/>
  <c r="Z152" i="16"/>
  <c r="AW181" i="18"/>
  <c r="AX181" i="18" s="1"/>
  <c r="AY181" i="18" s="1"/>
  <c r="H182" i="18"/>
  <c r="F183" i="18" s="1"/>
  <c r="G183" i="18" s="1"/>
  <c r="AR183" i="18" s="1"/>
  <c r="AC224" i="28" l="1"/>
  <c r="X225" i="28" s="1"/>
  <c r="AB225" i="28" s="1"/>
  <c r="O151" i="28"/>
  <c r="M151" i="28"/>
  <c r="P152" i="28"/>
  <c r="N151" i="28"/>
  <c r="AP150" i="28"/>
  <c r="AO150" i="28"/>
  <c r="K150" i="28"/>
  <c r="AI150" i="28"/>
  <c r="AJ150" i="28" s="1"/>
  <c r="AK150" i="28" s="1"/>
  <c r="Y229" i="29"/>
  <c r="AC229" i="29" s="1"/>
  <c r="X230" i="29" s="1"/>
  <c r="AA230" i="29" s="1"/>
  <c r="AA229" i="29"/>
  <c r="AE229" i="29" s="1"/>
  <c r="AD230" i="29" s="1"/>
  <c r="N224" i="24"/>
  <c r="P224" i="24" s="1"/>
  <c r="M225" i="24" s="1"/>
  <c r="K206" i="24"/>
  <c r="T206" i="24" s="1"/>
  <c r="S207" i="24" s="1"/>
  <c r="J206" i="24"/>
  <c r="Z229" i="29"/>
  <c r="AJ156" i="29"/>
  <c r="AK156" i="29" s="1"/>
  <c r="F157" i="29"/>
  <c r="I157" i="29" s="1"/>
  <c r="AR157" i="29" s="1"/>
  <c r="AU156" i="29"/>
  <c r="AQ156" i="29"/>
  <c r="AS156" i="29"/>
  <c r="F150" i="26"/>
  <c r="G150" i="26" s="1"/>
  <c r="AR150" i="26" s="1"/>
  <c r="AI149" i="26"/>
  <c r="AJ149" i="26" s="1"/>
  <c r="AK149" i="26" s="1"/>
  <c r="AL149" i="26"/>
  <c r="AM149" i="26" s="1"/>
  <c r="AN149" i="26" s="1"/>
  <c r="AW195" i="25"/>
  <c r="AX195" i="25" s="1"/>
  <c r="AY195" i="25" s="1"/>
  <c r="G197" i="25"/>
  <c r="K197" i="25" s="1"/>
  <c r="H197" i="25"/>
  <c r="AP197" i="25" s="1"/>
  <c r="J198" i="25"/>
  <c r="AM196" i="25"/>
  <c r="AN196" i="25" s="1"/>
  <c r="P199" i="25"/>
  <c r="N198" i="25"/>
  <c r="AJ196" i="25"/>
  <c r="AK196" i="25" s="1"/>
  <c r="F141" i="24"/>
  <c r="AI140" i="24"/>
  <c r="AL140" i="24"/>
  <c r="F143" i="15"/>
  <c r="AL142" i="15"/>
  <c r="AM142" i="15" s="1"/>
  <c r="AN142" i="15" s="1"/>
  <c r="AI142" i="15"/>
  <c r="AJ142" i="15" s="1"/>
  <c r="AK142" i="15" s="1"/>
  <c r="M198" i="25"/>
  <c r="AW132" i="19"/>
  <c r="AX132" i="19" s="1"/>
  <c r="AY132" i="19" s="1"/>
  <c r="AP133" i="19"/>
  <c r="AO133" i="19"/>
  <c r="AL133" i="19"/>
  <c r="AM133" i="19" s="1"/>
  <c r="AN133" i="19" s="1"/>
  <c r="K133" i="19"/>
  <c r="AP151" i="17"/>
  <c r="AO151" i="17"/>
  <c r="AL151" i="17"/>
  <c r="AM151" i="17" s="1"/>
  <c r="AN151" i="17" s="1"/>
  <c r="K151" i="17"/>
  <c r="AI151" i="17"/>
  <c r="AJ151" i="17" s="1"/>
  <c r="AK151" i="17" s="1"/>
  <c r="K115" i="16"/>
  <c r="AI115" i="16" s="1"/>
  <c r="AJ115" i="16" s="1"/>
  <c r="AK115" i="16" s="1"/>
  <c r="AW114" i="16"/>
  <c r="AX114" i="16" s="1"/>
  <c r="AY114" i="16" s="1"/>
  <c r="AO115" i="16"/>
  <c r="AP115" i="16"/>
  <c r="S164" i="16"/>
  <c r="W164" i="16" s="1"/>
  <c r="R165" i="16" s="1"/>
  <c r="T164" i="16"/>
  <c r="N144" i="16"/>
  <c r="M144" i="16"/>
  <c r="Q144" i="16" s="1"/>
  <c r="L145" i="16" s="1"/>
  <c r="P145" i="16"/>
  <c r="AE163" i="16"/>
  <c r="AD164" i="16" s="1"/>
  <c r="AT163" i="16"/>
  <c r="Z153" i="16"/>
  <c r="Y153" i="16"/>
  <c r="AC153" i="16" s="1"/>
  <c r="X154" i="16" s="1"/>
  <c r="AG152" i="16"/>
  <c r="AF153" i="16" s="1"/>
  <c r="AI182" i="18"/>
  <c r="AJ182" i="18" s="1"/>
  <c r="AK182" i="18" s="1"/>
  <c r="H183" i="18"/>
  <c r="AL182" i="18"/>
  <c r="AM182" i="18" s="1"/>
  <c r="AN182" i="18" s="1"/>
  <c r="Z225" i="28" l="1"/>
  <c r="Y225" i="28"/>
  <c r="AG225" i="28" s="1"/>
  <c r="AF226" i="28" s="1"/>
  <c r="Z230" i="29"/>
  <c r="Y230" i="29"/>
  <c r="AC230" i="29" s="1"/>
  <c r="X231" i="29" s="1"/>
  <c r="AA231" i="29" s="1"/>
  <c r="Q157" i="29"/>
  <c r="L158" i="29" s="1"/>
  <c r="F151" i="28"/>
  <c r="AU150" i="28"/>
  <c r="AS150" i="28"/>
  <c r="AQ150" i="28"/>
  <c r="AE230" i="29"/>
  <c r="AD231" i="29" s="1"/>
  <c r="AT230" i="29"/>
  <c r="AG229" i="29"/>
  <c r="AF230" i="29" s="1"/>
  <c r="O225" i="24"/>
  <c r="N225" i="24"/>
  <c r="R206" i="24"/>
  <c r="Q207" i="24" s="1"/>
  <c r="AT207" i="24" s="1"/>
  <c r="L206" i="24"/>
  <c r="I207" i="24" s="1"/>
  <c r="AW156" i="29"/>
  <c r="AX156" i="29" s="1"/>
  <c r="AY156" i="29" s="1"/>
  <c r="H157" i="29"/>
  <c r="AP157" i="29" s="1"/>
  <c r="J158" i="29"/>
  <c r="G157" i="29"/>
  <c r="AI157" i="29" s="1"/>
  <c r="AW149" i="26"/>
  <c r="AX149" i="26" s="1"/>
  <c r="AY149" i="26" s="1"/>
  <c r="H150" i="26"/>
  <c r="F151" i="26" s="1"/>
  <c r="AL197" i="25"/>
  <c r="AM197" i="25" s="1"/>
  <c r="AW196" i="25"/>
  <c r="AX196" i="25" s="1"/>
  <c r="AY196" i="25" s="1"/>
  <c r="F198" i="25"/>
  <c r="AQ197" i="25"/>
  <c r="AS197" i="25"/>
  <c r="AU197" i="25"/>
  <c r="AI197" i="25"/>
  <c r="AJ197" i="25" s="1"/>
  <c r="AO197" i="25"/>
  <c r="G141" i="24"/>
  <c r="AR141" i="24" s="1"/>
  <c r="AJ140" i="24"/>
  <c r="AK140" i="24" s="1"/>
  <c r="AM140" i="24"/>
  <c r="AN140" i="24" s="1"/>
  <c r="G143" i="15"/>
  <c r="AR143" i="15" s="1"/>
  <c r="AW142" i="15"/>
  <c r="AX142" i="15" s="1"/>
  <c r="AY142" i="15" s="1"/>
  <c r="Q198" i="25"/>
  <c r="F134" i="19"/>
  <c r="AQ133" i="19"/>
  <c r="AS133" i="19"/>
  <c r="AU133" i="19"/>
  <c r="AS151" i="17"/>
  <c r="F152" i="17"/>
  <c r="AU151" i="17"/>
  <c r="AQ151" i="17"/>
  <c r="AU115" i="16"/>
  <c r="AS115" i="16"/>
  <c r="F116" i="16"/>
  <c r="AQ115" i="16"/>
  <c r="AT164" i="16"/>
  <c r="AE164" i="16"/>
  <c r="AD165" i="16" s="1"/>
  <c r="P146" i="16"/>
  <c r="N145" i="16"/>
  <c r="M145" i="16"/>
  <c r="Q145" i="16" s="1"/>
  <c r="L146" i="16" s="1"/>
  <c r="S165" i="16"/>
  <c r="W165" i="16" s="1"/>
  <c r="R166" i="16" s="1"/>
  <c r="T165" i="16"/>
  <c r="AG153" i="16"/>
  <c r="AF154" i="16" s="1"/>
  <c r="Y154" i="16"/>
  <c r="AC154" i="16" s="1"/>
  <c r="X155" i="16" s="1"/>
  <c r="Z154" i="16"/>
  <c r="F184" i="18"/>
  <c r="AL183" i="18"/>
  <c r="AI183" i="18"/>
  <c r="AW182" i="18"/>
  <c r="AX182" i="18" s="1"/>
  <c r="AY182" i="18" s="1"/>
  <c r="AC225" i="28" l="1"/>
  <c r="X226" i="28" s="1"/>
  <c r="AB226" i="28" s="1"/>
  <c r="AW150" i="28"/>
  <c r="AX150" i="28" s="1"/>
  <c r="AY150" i="28" s="1"/>
  <c r="AG230" i="29"/>
  <c r="AF231" i="29" s="1"/>
  <c r="Z231" i="29"/>
  <c r="Y231" i="29"/>
  <c r="AC231" i="29" s="1"/>
  <c r="X232" i="29" s="1"/>
  <c r="AA232" i="29" s="1"/>
  <c r="AE231" i="29"/>
  <c r="AD232" i="29" s="1"/>
  <c r="AT231" i="29"/>
  <c r="O158" i="29"/>
  <c r="N158" i="29"/>
  <c r="M158" i="29"/>
  <c r="P159" i="29"/>
  <c r="G151" i="28"/>
  <c r="AL151" i="28" s="1"/>
  <c r="AM151" i="28" s="1"/>
  <c r="AN151" i="28" s="1"/>
  <c r="I151" i="28"/>
  <c r="Q151" i="28" s="1"/>
  <c r="L152" i="28" s="1"/>
  <c r="J152" i="28"/>
  <c r="H151" i="28"/>
  <c r="P225" i="24"/>
  <c r="M226" i="24" s="1"/>
  <c r="N226" i="24" s="1"/>
  <c r="K207" i="24"/>
  <c r="T207" i="24" s="1"/>
  <c r="S208" i="24" s="1"/>
  <c r="J207" i="24"/>
  <c r="AO157" i="29"/>
  <c r="AJ157" i="29"/>
  <c r="AK157" i="29" s="1"/>
  <c r="K157" i="29"/>
  <c r="AL157" i="29"/>
  <c r="AI150" i="26"/>
  <c r="AJ150" i="26" s="1"/>
  <c r="AK150" i="26" s="1"/>
  <c r="AL150" i="26"/>
  <c r="AM150" i="26" s="1"/>
  <c r="AN150" i="26" s="1"/>
  <c r="G151" i="26"/>
  <c r="AR151" i="26" s="1"/>
  <c r="AN197" i="25"/>
  <c r="G198" i="25"/>
  <c r="K198" i="25" s="1"/>
  <c r="H198" i="25"/>
  <c r="AP198" i="25" s="1"/>
  <c r="J199" i="25"/>
  <c r="AK197" i="25"/>
  <c r="AW140" i="24"/>
  <c r="AX140" i="24" s="1"/>
  <c r="AY140" i="24" s="1"/>
  <c r="L199" i="25"/>
  <c r="H141" i="24"/>
  <c r="H143" i="15"/>
  <c r="AW133" i="19"/>
  <c r="AX133" i="19" s="1"/>
  <c r="AY133" i="19" s="1"/>
  <c r="H134" i="19"/>
  <c r="G134" i="19"/>
  <c r="AI134" i="19" s="1"/>
  <c r="AJ134" i="19" s="1"/>
  <c r="AK134" i="19" s="1"/>
  <c r="J135" i="19"/>
  <c r="AW151" i="17"/>
  <c r="AX151" i="17" s="1"/>
  <c r="AY151" i="17" s="1"/>
  <c r="AW115" i="16"/>
  <c r="AX115" i="16" s="1"/>
  <c r="AY115" i="16" s="1"/>
  <c r="J153" i="17"/>
  <c r="G152" i="17"/>
  <c r="H152" i="17"/>
  <c r="J117" i="16"/>
  <c r="G116" i="16"/>
  <c r="K116" i="16" s="1"/>
  <c r="AS116" i="16" s="1"/>
  <c r="H116" i="16"/>
  <c r="T166" i="16"/>
  <c r="S166" i="16"/>
  <c r="W166" i="16" s="1"/>
  <c r="R167" i="16" s="1"/>
  <c r="AE165" i="16"/>
  <c r="AD166" i="16" s="1"/>
  <c r="AT165" i="16"/>
  <c r="P147" i="16"/>
  <c r="N146" i="16"/>
  <c r="M146" i="16"/>
  <c r="Q146" i="16" s="1"/>
  <c r="L147" i="16" s="1"/>
  <c r="AG154" i="16"/>
  <c r="AF155" i="16" s="1"/>
  <c r="Y155" i="16"/>
  <c r="AC155" i="16" s="1"/>
  <c r="X156" i="16" s="1"/>
  <c r="Z155" i="16"/>
  <c r="G184" i="18"/>
  <c r="AR184" i="18" s="1"/>
  <c r="AM183" i="18"/>
  <c r="AN183" i="18" s="1"/>
  <c r="AJ183" i="18"/>
  <c r="AK183" i="18" s="1"/>
  <c r="AG231" i="29" l="1"/>
  <c r="AF232" i="29" s="1"/>
  <c r="Y226" i="28"/>
  <c r="AC226" i="28" s="1"/>
  <c r="X227" i="28" s="1"/>
  <c r="AB227" i="28" s="1"/>
  <c r="Z226" i="28"/>
  <c r="Y232" i="29"/>
  <c r="AC232" i="29" s="1"/>
  <c r="X233" i="29" s="1"/>
  <c r="AA233" i="29" s="1"/>
  <c r="Z232" i="29"/>
  <c r="O152" i="28"/>
  <c r="M152" i="28"/>
  <c r="N152" i="28"/>
  <c r="P153" i="28"/>
  <c r="AE232" i="29"/>
  <c r="AD233" i="29" s="1"/>
  <c r="AT232" i="29"/>
  <c r="AP151" i="28"/>
  <c r="AO151" i="28"/>
  <c r="K151" i="28"/>
  <c r="AI151" i="28"/>
  <c r="O226" i="24"/>
  <c r="P226" i="24" s="1"/>
  <c r="M227" i="24" s="1"/>
  <c r="L207" i="24"/>
  <c r="I208" i="24" s="1"/>
  <c r="R207" i="24"/>
  <c r="Q208" i="24" s="1"/>
  <c r="AT208" i="24" s="1"/>
  <c r="AW150" i="26"/>
  <c r="AX150" i="26" s="1"/>
  <c r="AY150" i="26" s="1"/>
  <c r="F158" i="29"/>
  <c r="I158" i="29" s="1"/>
  <c r="AR158" i="29" s="1"/>
  <c r="AU157" i="29"/>
  <c r="AS157" i="29"/>
  <c r="AQ157" i="29"/>
  <c r="AM157" i="29"/>
  <c r="AN157" i="29" s="1"/>
  <c r="H151" i="26"/>
  <c r="AW197" i="25"/>
  <c r="AX197" i="25" s="1"/>
  <c r="AY197" i="25" s="1"/>
  <c r="AL198" i="25"/>
  <c r="AM198" i="25" s="1"/>
  <c r="AN198" i="25" s="1"/>
  <c r="F199" i="25"/>
  <c r="AS198" i="25"/>
  <c r="AI198" i="25"/>
  <c r="AJ198" i="25" s="1"/>
  <c r="AK198" i="25" s="1"/>
  <c r="AQ198" i="25"/>
  <c r="AU198" i="25"/>
  <c r="AO198" i="25"/>
  <c r="N199" i="25"/>
  <c r="P200" i="25"/>
  <c r="F142" i="24"/>
  <c r="AI141" i="24"/>
  <c r="AL141" i="24"/>
  <c r="F144" i="15"/>
  <c r="AI143" i="15"/>
  <c r="AJ143" i="15" s="1"/>
  <c r="AK143" i="15" s="1"/>
  <c r="AL143" i="15"/>
  <c r="AM143" i="15" s="1"/>
  <c r="AN143" i="15" s="1"/>
  <c r="M199" i="25"/>
  <c r="Q199" i="25" s="1"/>
  <c r="L200" i="25" s="1"/>
  <c r="AL134" i="19"/>
  <c r="AM134" i="19" s="1"/>
  <c r="AN134" i="19" s="1"/>
  <c r="K134" i="19"/>
  <c r="AO134" i="19"/>
  <c r="AP134" i="19"/>
  <c r="AP152" i="17"/>
  <c r="AO152" i="17"/>
  <c r="AL152" i="17"/>
  <c r="AM152" i="17" s="1"/>
  <c r="AN152" i="17" s="1"/>
  <c r="K152" i="17"/>
  <c r="AI152" i="17"/>
  <c r="AJ152" i="17" s="1"/>
  <c r="AK152" i="17" s="1"/>
  <c r="AL116" i="16"/>
  <c r="AM116" i="16" s="1"/>
  <c r="AN116" i="16" s="1"/>
  <c r="F117" i="16"/>
  <c r="AU116" i="16"/>
  <c r="AP116" i="16"/>
  <c r="AO116" i="16"/>
  <c r="AQ116" i="16"/>
  <c r="AI116" i="16"/>
  <c r="AJ116" i="16" s="1"/>
  <c r="AK116" i="16" s="1"/>
  <c r="N147" i="16"/>
  <c r="P148" i="16"/>
  <c r="M147" i="16"/>
  <c r="Q147" i="16" s="1"/>
  <c r="L148" i="16" s="1"/>
  <c r="AT166" i="16"/>
  <c r="AE166" i="16"/>
  <c r="AD167" i="16" s="1"/>
  <c r="AG155" i="16"/>
  <c r="AF156" i="16" s="1"/>
  <c r="T167" i="16"/>
  <c r="S167" i="16"/>
  <c r="W167" i="16" s="1"/>
  <c r="R168" i="16" s="1"/>
  <c r="Z156" i="16"/>
  <c r="Y156" i="16"/>
  <c r="AC156" i="16" s="1"/>
  <c r="X157" i="16" s="1"/>
  <c r="AW183" i="18"/>
  <c r="AX183" i="18" s="1"/>
  <c r="AY183" i="18" s="1"/>
  <c r="H184" i="18"/>
  <c r="Z233" i="29" l="1"/>
  <c r="Y227" i="28"/>
  <c r="AC227" i="28" s="1"/>
  <c r="X228" i="28" s="1"/>
  <c r="AB228" i="28" s="1"/>
  <c r="Z227" i="28"/>
  <c r="AG226" i="28"/>
  <c r="AF227" i="28" s="1"/>
  <c r="Y233" i="29"/>
  <c r="AC233" i="29" s="1"/>
  <c r="X234" i="29" s="1"/>
  <c r="AA234" i="29" s="1"/>
  <c r="AG232" i="29"/>
  <c r="AF233" i="29" s="1"/>
  <c r="F152" i="28"/>
  <c r="AQ151" i="28"/>
  <c r="AS151" i="28"/>
  <c r="AU151" i="28"/>
  <c r="AJ151" i="28"/>
  <c r="AK151" i="28" s="1"/>
  <c r="Q158" i="29"/>
  <c r="L159" i="29" s="1"/>
  <c r="AT233" i="29"/>
  <c r="AE233" i="29"/>
  <c r="AD234" i="29" s="1"/>
  <c r="O227" i="24"/>
  <c r="N227" i="24"/>
  <c r="K208" i="24"/>
  <c r="R208" i="24" s="1"/>
  <c r="Q209" i="24" s="1"/>
  <c r="AT209" i="24" s="1"/>
  <c r="J208" i="24"/>
  <c r="AW157" i="29"/>
  <c r="AX157" i="29" s="1"/>
  <c r="AY157" i="29" s="1"/>
  <c r="J159" i="29"/>
  <c r="H158" i="29"/>
  <c r="AP158" i="29" s="1"/>
  <c r="G158" i="29"/>
  <c r="AL158" i="29" s="1"/>
  <c r="F152" i="26"/>
  <c r="AI151" i="26"/>
  <c r="AL151" i="26"/>
  <c r="AW198" i="25"/>
  <c r="AX198" i="25" s="1"/>
  <c r="AY198" i="25" s="1"/>
  <c r="G199" i="25"/>
  <c r="K199" i="25" s="1"/>
  <c r="H199" i="25"/>
  <c r="AP199" i="25" s="1"/>
  <c r="J200" i="25"/>
  <c r="AW143" i="15"/>
  <c r="AX143" i="15" s="1"/>
  <c r="AY143" i="15" s="1"/>
  <c r="P201" i="25"/>
  <c r="N200" i="25"/>
  <c r="AM141" i="24"/>
  <c r="AN141" i="24" s="1"/>
  <c r="G142" i="24"/>
  <c r="AR142" i="24" s="1"/>
  <c r="AJ141" i="24"/>
  <c r="AK141" i="24" s="1"/>
  <c r="G144" i="15"/>
  <c r="AR144" i="15" s="1"/>
  <c r="M200" i="25"/>
  <c r="Q200" i="25" s="1"/>
  <c r="L201" i="25" s="1"/>
  <c r="F135" i="19"/>
  <c r="AU134" i="19"/>
  <c r="AQ134" i="19"/>
  <c r="AS134" i="19"/>
  <c r="AQ152" i="17"/>
  <c r="AS152" i="17"/>
  <c r="AU152" i="17"/>
  <c r="F153" i="17"/>
  <c r="AW116" i="16"/>
  <c r="AX116" i="16" s="1"/>
  <c r="AY116" i="16" s="1"/>
  <c r="G117" i="16"/>
  <c r="AL117" i="16" s="1"/>
  <c r="AM117" i="16" s="1"/>
  <c r="AN117" i="16" s="1"/>
  <c r="H117" i="16"/>
  <c r="J118" i="16"/>
  <c r="AG156" i="16"/>
  <c r="AF157" i="16" s="1"/>
  <c r="S168" i="16"/>
  <c r="W168" i="16" s="1"/>
  <c r="R169" i="16" s="1"/>
  <c r="T168" i="16"/>
  <c r="P149" i="16"/>
  <c r="N148" i="16"/>
  <c r="M148" i="16"/>
  <c r="Q148" i="16" s="1"/>
  <c r="L149" i="16" s="1"/>
  <c r="AE167" i="16"/>
  <c r="AD168" i="16" s="1"/>
  <c r="AT167" i="16"/>
  <c r="Z157" i="16"/>
  <c r="Y157" i="16"/>
  <c r="F185" i="18"/>
  <c r="AL184" i="18"/>
  <c r="AI184" i="18"/>
  <c r="AG227" i="28" l="1"/>
  <c r="AF228" i="28" s="1"/>
  <c r="AG233" i="29"/>
  <c r="AF234" i="29" s="1"/>
  <c r="Y228" i="28"/>
  <c r="AC228" i="28" s="1"/>
  <c r="X229" i="28" s="1"/>
  <c r="AB229" i="28" s="1"/>
  <c r="Z228" i="28"/>
  <c r="Y234" i="29"/>
  <c r="AC234" i="29" s="1"/>
  <c r="Z234" i="29"/>
  <c r="AW151" i="28"/>
  <c r="AX151" i="28" s="1"/>
  <c r="AY151" i="28" s="1"/>
  <c r="I152" i="28"/>
  <c r="Q152" i="28" s="1"/>
  <c r="L153" i="28" s="1"/>
  <c r="G152" i="28"/>
  <c r="AL152" i="28" s="1"/>
  <c r="AM152" i="28" s="1"/>
  <c r="AN152" i="28" s="1"/>
  <c r="H152" i="28"/>
  <c r="J153" i="28"/>
  <c r="O159" i="29"/>
  <c r="M159" i="29"/>
  <c r="N159" i="29"/>
  <c r="P160" i="29"/>
  <c r="AE234" i="29"/>
  <c r="AT234" i="29"/>
  <c r="L208" i="24"/>
  <c r="I209" i="24" s="1"/>
  <c r="P227" i="24"/>
  <c r="M228" i="24" s="1"/>
  <c r="T208" i="24"/>
  <c r="S209" i="24" s="1"/>
  <c r="AL199" i="25"/>
  <c r="AM199" i="25" s="1"/>
  <c r="AN199" i="25" s="1"/>
  <c r="AM158" i="29"/>
  <c r="AN158" i="29" s="1"/>
  <c r="K158" i="29"/>
  <c r="AI158" i="29"/>
  <c r="AO158" i="29"/>
  <c r="G152" i="26"/>
  <c r="AR152" i="26" s="1"/>
  <c r="AJ151" i="26"/>
  <c r="AK151" i="26" s="1"/>
  <c r="AM151" i="26"/>
  <c r="AN151" i="26" s="1"/>
  <c r="F200" i="25"/>
  <c r="AI199" i="25"/>
  <c r="AJ199" i="25" s="1"/>
  <c r="AQ199" i="25"/>
  <c r="AS199" i="25"/>
  <c r="AU199" i="25"/>
  <c r="AO199" i="25"/>
  <c r="N201" i="25"/>
  <c r="P202" i="25"/>
  <c r="AW141" i="24"/>
  <c r="AX141" i="24" s="1"/>
  <c r="AY141" i="24" s="1"/>
  <c r="H142" i="24"/>
  <c r="H144" i="15"/>
  <c r="M201" i="25"/>
  <c r="AW134" i="19"/>
  <c r="AX134" i="19" s="1"/>
  <c r="AY134" i="19" s="1"/>
  <c r="J136" i="19"/>
  <c r="H135" i="19"/>
  <c r="G135" i="19"/>
  <c r="AI135" i="19" s="1"/>
  <c r="AJ135" i="19" s="1"/>
  <c r="AK135" i="19" s="1"/>
  <c r="AW152" i="17"/>
  <c r="AX152" i="17" s="1"/>
  <c r="AY152" i="17" s="1"/>
  <c r="H153" i="17"/>
  <c r="G153" i="17"/>
  <c r="J154" i="17"/>
  <c r="AO117" i="16"/>
  <c r="AP117" i="16"/>
  <c r="K117" i="16"/>
  <c r="AG157" i="16"/>
  <c r="AF158" i="16" s="1"/>
  <c r="AC157" i="16"/>
  <c r="X158" i="16" s="1"/>
  <c r="Y158" i="16" s="1"/>
  <c r="AC158" i="16" s="1"/>
  <c r="X159" i="16" s="1"/>
  <c r="AE168" i="16"/>
  <c r="AD169" i="16" s="1"/>
  <c r="AT168" i="16"/>
  <c r="S169" i="16"/>
  <c r="W169" i="16" s="1"/>
  <c r="R170" i="16" s="1"/>
  <c r="T169" i="16"/>
  <c r="P150" i="16"/>
  <c r="N149" i="16"/>
  <c r="M149" i="16"/>
  <c r="Q149" i="16" s="1"/>
  <c r="L150" i="16" s="1"/>
  <c r="G185" i="18"/>
  <c r="AR185" i="18" s="1"/>
  <c r="AJ184" i="18"/>
  <c r="AK184" i="18" s="1"/>
  <c r="AM184" i="18"/>
  <c r="AN184" i="18" s="1"/>
  <c r="AG234" i="29" l="1"/>
  <c r="Z229" i="28"/>
  <c r="Y229" i="28"/>
  <c r="AC229" i="28" s="1"/>
  <c r="X230" i="28" s="1"/>
  <c r="AB230" i="28" s="1"/>
  <c r="AG228" i="28"/>
  <c r="AF229" i="28" s="1"/>
  <c r="AP152" i="28"/>
  <c r="AO152" i="28"/>
  <c r="K152" i="28"/>
  <c r="O153" i="28"/>
  <c r="N153" i="28"/>
  <c r="M153" i="28"/>
  <c r="P154" i="28"/>
  <c r="AI152" i="28"/>
  <c r="O228" i="24"/>
  <c r="N228" i="24"/>
  <c r="K209" i="24"/>
  <c r="R209" i="24" s="1"/>
  <c r="Q210" i="24" s="1"/>
  <c r="J209" i="24"/>
  <c r="F159" i="29"/>
  <c r="I159" i="29" s="1"/>
  <c r="AR159" i="29" s="1"/>
  <c r="AS158" i="29"/>
  <c r="AU158" i="29"/>
  <c r="AQ158" i="29"/>
  <c r="AJ158" i="29"/>
  <c r="AK158" i="29" s="1"/>
  <c r="AW151" i="26"/>
  <c r="AX151" i="26" s="1"/>
  <c r="AY151" i="26" s="1"/>
  <c r="H152" i="26"/>
  <c r="G200" i="25"/>
  <c r="K200" i="25" s="1"/>
  <c r="H200" i="25"/>
  <c r="AP200" i="25" s="1"/>
  <c r="J201" i="25"/>
  <c r="AK199" i="25"/>
  <c r="AW199" i="25" s="1"/>
  <c r="AX199" i="25" s="1"/>
  <c r="AY199" i="25" s="1"/>
  <c r="F143" i="24"/>
  <c r="AI142" i="24"/>
  <c r="AL142" i="24"/>
  <c r="F145" i="15"/>
  <c r="AL144" i="15"/>
  <c r="AM144" i="15" s="1"/>
  <c r="AN144" i="15" s="1"/>
  <c r="AI144" i="15"/>
  <c r="AJ144" i="15" s="1"/>
  <c r="AK144" i="15" s="1"/>
  <c r="Q201" i="25"/>
  <c r="AL135" i="19"/>
  <c r="AM135" i="19" s="1"/>
  <c r="AN135" i="19" s="1"/>
  <c r="K135" i="19"/>
  <c r="AS135" i="19" s="1"/>
  <c r="AO135" i="19"/>
  <c r="AP135" i="19"/>
  <c r="Z158" i="16"/>
  <c r="K153" i="17"/>
  <c r="AL153" i="17"/>
  <c r="AM153" i="17" s="1"/>
  <c r="AN153" i="17" s="1"/>
  <c r="AI153" i="17"/>
  <c r="AJ153" i="17" s="1"/>
  <c r="AK153" i="17" s="1"/>
  <c r="AO153" i="17"/>
  <c r="AP153" i="17"/>
  <c r="F118" i="16"/>
  <c r="AI117" i="16"/>
  <c r="AJ117" i="16" s="1"/>
  <c r="AK117" i="16" s="1"/>
  <c r="AQ117" i="16"/>
  <c r="AS117" i="16"/>
  <c r="AU117" i="16"/>
  <c r="S170" i="16"/>
  <c r="W170" i="16" s="1"/>
  <c r="R171" i="16" s="1"/>
  <c r="T170" i="16"/>
  <c r="M150" i="16"/>
  <c r="Q150" i="16" s="1"/>
  <c r="L151" i="16" s="1"/>
  <c r="N150" i="16"/>
  <c r="P151" i="16"/>
  <c r="AT169" i="16"/>
  <c r="AE169" i="16"/>
  <c r="AD170" i="16" s="1"/>
  <c r="AG158" i="16"/>
  <c r="AF159" i="16" s="1"/>
  <c r="Y159" i="16"/>
  <c r="AC159" i="16" s="1"/>
  <c r="X160" i="16" s="1"/>
  <c r="Z159" i="16"/>
  <c r="AW184" i="18"/>
  <c r="AX184" i="18" s="1"/>
  <c r="AY184" i="18" s="1"/>
  <c r="H185" i="18"/>
  <c r="AG229" i="28" l="1"/>
  <c r="AF230" i="28" s="1"/>
  <c r="Z230" i="28"/>
  <c r="Y230" i="28"/>
  <c r="AC230" i="28" s="1"/>
  <c r="X231" i="28" s="1"/>
  <c r="AB231" i="28" s="1"/>
  <c r="Q159" i="29"/>
  <c r="L160" i="29" s="1"/>
  <c r="N160" i="29" s="1"/>
  <c r="F153" i="28"/>
  <c r="AQ152" i="28"/>
  <c r="AS152" i="28"/>
  <c r="AU152" i="28"/>
  <c r="AJ152" i="28"/>
  <c r="AK152" i="28" s="1"/>
  <c r="L209" i="24"/>
  <c r="I210" i="24" s="1"/>
  <c r="P228" i="24"/>
  <c r="M229" i="24" s="1"/>
  <c r="T209" i="24"/>
  <c r="S210" i="24" s="1"/>
  <c r="J160" i="29"/>
  <c r="H159" i="29"/>
  <c r="AP159" i="29" s="1"/>
  <c r="G159" i="29"/>
  <c r="AI159" i="29" s="1"/>
  <c r="AW158" i="29"/>
  <c r="AX158" i="29" s="1"/>
  <c r="AY158" i="29" s="1"/>
  <c r="F153" i="26"/>
  <c r="AL152" i="26"/>
  <c r="AI152" i="26"/>
  <c r="AL200" i="25"/>
  <c r="F201" i="25"/>
  <c r="AQ200" i="25"/>
  <c r="AU200" i="25"/>
  <c r="AI200" i="25"/>
  <c r="AJ200" i="25" s="1"/>
  <c r="AK200" i="25" s="1"/>
  <c r="AS200" i="25"/>
  <c r="AO200" i="25"/>
  <c r="L202" i="25"/>
  <c r="AM142" i="24"/>
  <c r="AN142" i="24" s="1"/>
  <c r="AT210" i="24"/>
  <c r="AJ142" i="24"/>
  <c r="AK142" i="24" s="1"/>
  <c r="G143" i="24"/>
  <c r="AR143" i="24" s="1"/>
  <c r="G145" i="15"/>
  <c r="AR145" i="15" s="1"/>
  <c r="AW144" i="15"/>
  <c r="AX144" i="15" s="1"/>
  <c r="AY144" i="15" s="1"/>
  <c r="F136" i="19"/>
  <c r="AQ135" i="19"/>
  <c r="AU135" i="19"/>
  <c r="AW117" i="16"/>
  <c r="AX117" i="16" s="1"/>
  <c r="AY117" i="16" s="1"/>
  <c r="AQ153" i="17"/>
  <c r="F154" i="17"/>
  <c r="AU153" i="17"/>
  <c r="AS153" i="17"/>
  <c r="J119" i="16"/>
  <c r="G118" i="16"/>
  <c r="AL118" i="16" s="1"/>
  <c r="AM118" i="16" s="1"/>
  <c r="AN118" i="16" s="1"/>
  <c r="H118" i="16"/>
  <c r="AG159" i="16"/>
  <c r="AF160" i="16" s="1"/>
  <c r="AE170" i="16"/>
  <c r="AD171" i="16" s="1"/>
  <c r="AT170" i="16"/>
  <c r="M151" i="16"/>
  <c r="Q151" i="16" s="1"/>
  <c r="L152" i="16" s="1"/>
  <c r="N151" i="16"/>
  <c r="P152" i="16"/>
  <c r="T171" i="16"/>
  <c r="S171" i="16"/>
  <c r="W171" i="16" s="1"/>
  <c r="R172" i="16" s="1"/>
  <c r="Y160" i="16"/>
  <c r="AC160" i="16" s="1"/>
  <c r="X161" i="16" s="1"/>
  <c r="Z160" i="16"/>
  <c r="F186" i="18"/>
  <c r="AI185" i="18"/>
  <c r="AL185" i="18"/>
  <c r="Z231" i="28" l="1"/>
  <c r="Y231" i="28"/>
  <c r="AC231" i="28" s="1"/>
  <c r="X232" i="28" s="1"/>
  <c r="AB232" i="28" s="1"/>
  <c r="AG230" i="28"/>
  <c r="AF231" i="28" s="1"/>
  <c r="O160" i="29"/>
  <c r="M160" i="29"/>
  <c r="P161" i="29"/>
  <c r="AW152" i="28"/>
  <c r="AX152" i="28" s="1"/>
  <c r="AY152" i="28" s="1"/>
  <c r="I153" i="28"/>
  <c r="Q153" i="28" s="1"/>
  <c r="L154" i="28" s="1"/>
  <c r="G153" i="28"/>
  <c r="AI153" i="28" s="1"/>
  <c r="AJ153" i="28" s="1"/>
  <c r="AK153" i="28" s="1"/>
  <c r="J154" i="28"/>
  <c r="H153" i="28"/>
  <c r="K210" i="24"/>
  <c r="R210" i="24" s="1"/>
  <c r="Q211" i="24" s="1"/>
  <c r="AT211" i="24" s="1"/>
  <c r="J210" i="24"/>
  <c r="O229" i="24"/>
  <c r="N229" i="24"/>
  <c r="AL159" i="29"/>
  <c r="AM159" i="29" s="1"/>
  <c r="AN159" i="29" s="1"/>
  <c r="AJ159" i="29"/>
  <c r="AK159" i="29" s="1"/>
  <c r="K159" i="29"/>
  <c r="AO159" i="29"/>
  <c r="G153" i="26"/>
  <c r="AR153" i="26" s="1"/>
  <c r="AJ152" i="26"/>
  <c r="AK152" i="26" s="1"/>
  <c r="AM152" i="26"/>
  <c r="AN152" i="26" s="1"/>
  <c r="AM200" i="25"/>
  <c r="AN200" i="25" s="1"/>
  <c r="AW200" i="25" s="1"/>
  <c r="AX200" i="25" s="1"/>
  <c r="AY200" i="25" s="1"/>
  <c r="G201" i="25"/>
  <c r="K201" i="25" s="1"/>
  <c r="J202" i="25"/>
  <c r="H201" i="25"/>
  <c r="AP201" i="25" s="1"/>
  <c r="P203" i="25"/>
  <c r="N202" i="25"/>
  <c r="AW142" i="24"/>
  <c r="AX142" i="24" s="1"/>
  <c r="AY142" i="24" s="1"/>
  <c r="H143" i="24"/>
  <c r="H145" i="15"/>
  <c r="M202" i="25"/>
  <c r="Q202" i="25" s="1"/>
  <c r="L203" i="25" s="1"/>
  <c r="AW135" i="19"/>
  <c r="AX135" i="19" s="1"/>
  <c r="AY135" i="19" s="1"/>
  <c r="J137" i="19"/>
  <c r="G136" i="19"/>
  <c r="AL136" i="19" s="1"/>
  <c r="AM136" i="19" s="1"/>
  <c r="AN136" i="19" s="1"/>
  <c r="H136" i="19"/>
  <c r="AW153" i="17"/>
  <c r="AX153" i="17" s="1"/>
  <c r="AY153" i="17" s="1"/>
  <c r="J155" i="17"/>
  <c r="H154" i="17"/>
  <c r="G154" i="17"/>
  <c r="AI154" i="17" s="1"/>
  <c r="AJ154" i="17" s="1"/>
  <c r="AK154" i="17" s="1"/>
  <c r="K118" i="16"/>
  <c r="AP118" i="16"/>
  <c r="AO118" i="16"/>
  <c r="P153" i="16"/>
  <c r="M152" i="16"/>
  <c r="Q152" i="16" s="1"/>
  <c r="L153" i="16" s="1"/>
  <c r="N152" i="16"/>
  <c r="AT171" i="16"/>
  <c r="AE171" i="16"/>
  <c r="AD172" i="16" s="1"/>
  <c r="T172" i="16"/>
  <c r="S172" i="16"/>
  <c r="W172" i="16" s="1"/>
  <c r="R173" i="16" s="1"/>
  <c r="AG160" i="16"/>
  <c r="AF161" i="16" s="1"/>
  <c r="Y161" i="16"/>
  <c r="AC161" i="16" s="1"/>
  <c r="X162" i="16" s="1"/>
  <c r="Z161" i="16"/>
  <c r="AM185" i="18"/>
  <c r="AN185" i="18" s="1"/>
  <c r="AJ185" i="18"/>
  <c r="AK185" i="18" s="1"/>
  <c r="G186" i="18"/>
  <c r="AR186" i="18" s="1"/>
  <c r="AG231" i="28" l="1"/>
  <c r="AF232" i="28" s="1"/>
  <c r="Y232" i="28"/>
  <c r="AC232" i="28" s="1"/>
  <c r="X233" i="28" s="1"/>
  <c r="AB233" i="28" s="1"/>
  <c r="Z232" i="28"/>
  <c r="AP153" i="28"/>
  <c r="AO153" i="28"/>
  <c r="AL153" i="28"/>
  <c r="O154" i="28"/>
  <c r="M154" i="28"/>
  <c r="N154" i="28"/>
  <c r="P155" i="28"/>
  <c r="K153" i="28"/>
  <c r="L210" i="24"/>
  <c r="I211" i="24" s="1"/>
  <c r="P229" i="24"/>
  <c r="M230" i="24" s="1"/>
  <c r="T210" i="24"/>
  <c r="S211" i="24" s="1"/>
  <c r="F160" i="29"/>
  <c r="I160" i="29" s="1"/>
  <c r="AU159" i="29"/>
  <c r="AQ159" i="29"/>
  <c r="AS159" i="29"/>
  <c r="H153" i="26"/>
  <c r="AL153" i="26" s="1"/>
  <c r="AW152" i="26"/>
  <c r="AX152" i="26" s="1"/>
  <c r="AY152" i="26" s="1"/>
  <c r="F202" i="25"/>
  <c r="AQ201" i="25"/>
  <c r="AS201" i="25"/>
  <c r="AU201" i="25"/>
  <c r="AI201" i="25"/>
  <c r="AL201" i="25"/>
  <c r="AO201" i="25"/>
  <c r="P204" i="25"/>
  <c r="N203" i="25"/>
  <c r="F144" i="24"/>
  <c r="AI143" i="24"/>
  <c r="AL143" i="24"/>
  <c r="F146" i="15"/>
  <c r="AI145" i="15"/>
  <c r="AJ145" i="15" s="1"/>
  <c r="AK145" i="15" s="1"/>
  <c r="AL145" i="15"/>
  <c r="AM145" i="15" s="1"/>
  <c r="AN145" i="15" s="1"/>
  <c r="M203" i="25"/>
  <c r="Q203" i="25" s="1"/>
  <c r="L204" i="25" s="1"/>
  <c r="K136" i="19"/>
  <c r="AI136" i="19"/>
  <c r="AJ136" i="19" s="1"/>
  <c r="AK136" i="19" s="1"/>
  <c r="AP136" i="19"/>
  <c r="AO136" i="19"/>
  <c r="K154" i="17"/>
  <c r="AU154" i="17" s="1"/>
  <c r="AP154" i="17"/>
  <c r="AO154" i="17"/>
  <c r="AL154" i="17"/>
  <c r="AM154" i="17" s="1"/>
  <c r="AN154" i="17" s="1"/>
  <c r="F119" i="16"/>
  <c r="AU118" i="16"/>
  <c r="AQ118" i="16"/>
  <c r="AS118" i="16"/>
  <c r="AI118" i="16"/>
  <c r="AJ118" i="16" s="1"/>
  <c r="AK118" i="16" s="1"/>
  <c r="AT172" i="16"/>
  <c r="AE172" i="16"/>
  <c r="AD173" i="16" s="1"/>
  <c r="N153" i="16"/>
  <c r="M153" i="16"/>
  <c r="Q153" i="16" s="1"/>
  <c r="L154" i="16" s="1"/>
  <c r="P154" i="16"/>
  <c r="S173" i="16"/>
  <c r="W173" i="16" s="1"/>
  <c r="R174" i="16" s="1"/>
  <c r="T173" i="16"/>
  <c r="Y162" i="16"/>
  <c r="AC162" i="16" s="1"/>
  <c r="X163" i="16" s="1"/>
  <c r="Z162" i="16"/>
  <c r="AG161" i="16"/>
  <c r="AF162" i="16" s="1"/>
  <c r="H186" i="18"/>
  <c r="F187" i="18" s="1"/>
  <c r="AW185" i="18"/>
  <c r="AX185" i="18" s="1"/>
  <c r="AY185" i="18" s="1"/>
  <c r="Z233" i="28" l="1"/>
  <c r="Y233" i="28"/>
  <c r="AC233" i="28" s="1"/>
  <c r="X234" i="28" s="1"/>
  <c r="AB234" i="28" s="1"/>
  <c r="AG232" i="28"/>
  <c r="AF233" i="28" s="1"/>
  <c r="F154" i="28"/>
  <c r="AS153" i="28"/>
  <c r="AU153" i="28"/>
  <c r="AQ153" i="28"/>
  <c r="AM153" i="28"/>
  <c r="AN153" i="28" s="1"/>
  <c r="AR160" i="29"/>
  <c r="Q160" i="29"/>
  <c r="L161" i="29" s="1"/>
  <c r="O230" i="24"/>
  <c r="N230" i="24"/>
  <c r="K211" i="24"/>
  <c r="R211" i="24" s="1"/>
  <c r="Q212" i="24" s="1"/>
  <c r="AT212" i="24" s="1"/>
  <c r="J211" i="24"/>
  <c r="AW159" i="29"/>
  <c r="AX159" i="29" s="1"/>
  <c r="AY159" i="29" s="1"/>
  <c r="H160" i="29"/>
  <c r="AP160" i="29" s="1"/>
  <c r="J161" i="29"/>
  <c r="G160" i="29"/>
  <c r="AL160" i="29" s="1"/>
  <c r="F154" i="26"/>
  <c r="G154" i="26" s="1"/>
  <c r="AR154" i="26" s="1"/>
  <c r="AI153" i="26"/>
  <c r="AJ153" i="26" s="1"/>
  <c r="AK153" i="26" s="1"/>
  <c r="AM153" i="26"/>
  <c r="AN153" i="26" s="1"/>
  <c r="G202" i="25"/>
  <c r="K202" i="25" s="1"/>
  <c r="H202" i="25"/>
  <c r="AP202" i="25" s="1"/>
  <c r="J203" i="25"/>
  <c r="AJ201" i="25"/>
  <c r="AK201" i="25" s="1"/>
  <c r="AM201" i="25"/>
  <c r="AN201" i="25" s="1"/>
  <c r="P205" i="25"/>
  <c r="N204" i="25"/>
  <c r="AM143" i="24"/>
  <c r="AN143" i="24" s="1"/>
  <c r="AJ143" i="24"/>
  <c r="AK143" i="24" s="1"/>
  <c r="G144" i="24"/>
  <c r="AR144" i="24" s="1"/>
  <c r="AW145" i="15"/>
  <c r="AX145" i="15" s="1"/>
  <c r="AY145" i="15" s="1"/>
  <c r="G146" i="15"/>
  <c r="AR146" i="15" s="1"/>
  <c r="M204" i="25"/>
  <c r="Q204" i="25" s="1"/>
  <c r="L205" i="25" s="1"/>
  <c r="F137" i="19"/>
  <c r="AQ136" i="19"/>
  <c r="AU136" i="19"/>
  <c r="AS136" i="19"/>
  <c r="AQ154" i="17"/>
  <c r="AW118" i="16"/>
  <c r="AX118" i="16" s="1"/>
  <c r="AY118" i="16" s="1"/>
  <c r="AS154" i="17"/>
  <c r="F155" i="17"/>
  <c r="G155" i="17" s="1"/>
  <c r="AL155" i="17" s="1"/>
  <c r="AM155" i="17" s="1"/>
  <c r="AN155" i="17" s="1"/>
  <c r="AG162" i="16"/>
  <c r="AF163" i="16" s="1"/>
  <c r="H119" i="16"/>
  <c r="J120" i="16"/>
  <c r="G119" i="16"/>
  <c r="AL119" i="16" s="1"/>
  <c r="AM119" i="16" s="1"/>
  <c r="AN119" i="16" s="1"/>
  <c r="AE173" i="16"/>
  <c r="AD174" i="16" s="1"/>
  <c r="AT173" i="16"/>
  <c r="T174" i="16"/>
  <c r="S174" i="16"/>
  <c r="W174" i="16" s="1"/>
  <c r="R175" i="16" s="1"/>
  <c r="N154" i="16"/>
  <c r="P155" i="16"/>
  <c r="M154" i="16"/>
  <c r="Q154" i="16" s="1"/>
  <c r="L155" i="16" s="1"/>
  <c r="Y163" i="16"/>
  <c r="AC163" i="16" s="1"/>
  <c r="X164" i="16" s="1"/>
  <c r="Z163" i="16"/>
  <c r="AL186" i="18"/>
  <c r="AI186" i="18"/>
  <c r="AJ186" i="18" s="1"/>
  <c r="AK186" i="18" s="1"/>
  <c r="G187" i="18"/>
  <c r="AR187" i="18" s="1"/>
  <c r="AG233" i="28" l="1"/>
  <c r="AF234" i="28" s="1"/>
  <c r="Z234" i="28"/>
  <c r="Y234" i="28"/>
  <c r="AC234" i="28" s="1"/>
  <c r="AW153" i="28"/>
  <c r="AX153" i="28" s="1"/>
  <c r="AY153" i="28" s="1"/>
  <c r="O161" i="29"/>
  <c r="N161" i="29"/>
  <c r="P162" i="29"/>
  <c r="M161" i="29"/>
  <c r="I154" i="28"/>
  <c r="Q154" i="28" s="1"/>
  <c r="L155" i="28" s="1"/>
  <c r="G154" i="28"/>
  <c r="AL154" i="28" s="1"/>
  <c r="AM154" i="28" s="1"/>
  <c r="AN154" i="28" s="1"/>
  <c r="H154" i="28"/>
  <c r="J155" i="28"/>
  <c r="P230" i="24"/>
  <c r="M231" i="24" s="1"/>
  <c r="L211" i="24"/>
  <c r="I212" i="24" s="1"/>
  <c r="T211" i="24"/>
  <c r="S212" i="24" s="1"/>
  <c r="AO160" i="29"/>
  <c r="AM160" i="29"/>
  <c r="AN160" i="29" s="1"/>
  <c r="K160" i="29"/>
  <c r="AI160" i="29"/>
  <c r="H154" i="26"/>
  <c r="F155" i="26" s="1"/>
  <c r="AW153" i="26"/>
  <c r="AX153" i="26" s="1"/>
  <c r="AY153" i="26" s="1"/>
  <c r="AW201" i="25"/>
  <c r="AX201" i="25" s="1"/>
  <c r="AY201" i="25" s="1"/>
  <c r="AW143" i="24"/>
  <c r="AX143" i="24" s="1"/>
  <c r="AY143" i="24" s="1"/>
  <c r="AL202" i="25"/>
  <c r="AM202" i="25" s="1"/>
  <c r="AN202" i="25" s="1"/>
  <c r="F203" i="25"/>
  <c r="AS202" i="25"/>
  <c r="AU202" i="25"/>
  <c r="AI202" i="25"/>
  <c r="AQ202" i="25"/>
  <c r="AO202" i="25"/>
  <c r="P206" i="25"/>
  <c r="N205" i="25"/>
  <c r="H144" i="24"/>
  <c r="H146" i="15"/>
  <c r="M205" i="25"/>
  <c r="AW136" i="19"/>
  <c r="AX136" i="19" s="1"/>
  <c r="AY136" i="19" s="1"/>
  <c r="J138" i="19"/>
  <c r="H137" i="19"/>
  <c r="G137" i="19"/>
  <c r="K137" i="19" s="1"/>
  <c r="F138" i="19" s="1"/>
  <c r="AW154" i="17"/>
  <c r="AX154" i="17" s="1"/>
  <c r="AY154" i="17" s="1"/>
  <c r="H155" i="17"/>
  <c r="AO155" i="17" s="1"/>
  <c r="J156" i="17"/>
  <c r="AI155" i="17"/>
  <c r="AJ155" i="17" s="1"/>
  <c r="AK155" i="17" s="1"/>
  <c r="K155" i="17"/>
  <c r="K119" i="16"/>
  <c r="AQ119" i="16" s="1"/>
  <c r="AO119" i="16"/>
  <c r="AP119" i="16"/>
  <c r="S175" i="16"/>
  <c r="W175" i="16" s="1"/>
  <c r="R176" i="16" s="1"/>
  <c r="T175" i="16"/>
  <c r="P156" i="16"/>
  <c r="M155" i="16"/>
  <c r="Q155" i="16" s="1"/>
  <c r="L156" i="16" s="1"/>
  <c r="N155" i="16"/>
  <c r="AT174" i="16"/>
  <c r="AE174" i="16"/>
  <c r="AD175" i="16" s="1"/>
  <c r="Y164" i="16"/>
  <c r="AC164" i="16" s="1"/>
  <c r="X165" i="16" s="1"/>
  <c r="Z164" i="16"/>
  <c r="AG163" i="16"/>
  <c r="AF164" i="16" s="1"/>
  <c r="AM186" i="18"/>
  <c r="AN186" i="18" s="1"/>
  <c r="AW186" i="18" s="1"/>
  <c r="AX186" i="18" s="1"/>
  <c r="AY186" i="18" s="1"/>
  <c r="H187" i="18"/>
  <c r="AG234" i="28" l="1"/>
  <c r="O155" i="28"/>
  <c r="M155" i="28"/>
  <c r="P156" i="28"/>
  <c r="N155" i="28"/>
  <c r="AP154" i="28"/>
  <c r="AO154" i="28"/>
  <c r="AI154" i="28"/>
  <c r="AJ154" i="28" s="1"/>
  <c r="AK154" i="28" s="1"/>
  <c r="K154" i="28"/>
  <c r="O231" i="24"/>
  <c r="N231" i="24"/>
  <c r="K212" i="24"/>
  <c r="R212" i="24" s="1"/>
  <c r="Q213" i="24" s="1"/>
  <c r="J212" i="24"/>
  <c r="F161" i="29"/>
  <c r="I161" i="29" s="1"/>
  <c r="AR161" i="29" s="1"/>
  <c r="AQ160" i="29"/>
  <c r="AS160" i="29"/>
  <c r="AU160" i="29"/>
  <c r="AJ160" i="29"/>
  <c r="AK160" i="29" s="1"/>
  <c r="AL154" i="26"/>
  <c r="AM154" i="26" s="1"/>
  <c r="AN154" i="26" s="1"/>
  <c r="AI154" i="26"/>
  <c r="AJ154" i="26" s="1"/>
  <c r="AK154" i="26" s="1"/>
  <c r="G155" i="26"/>
  <c r="AR155" i="26" s="1"/>
  <c r="AJ202" i="25"/>
  <c r="AK202" i="25" s="1"/>
  <c r="AW202" i="25" s="1"/>
  <c r="AX202" i="25" s="1"/>
  <c r="AY202" i="25" s="1"/>
  <c r="G203" i="25"/>
  <c r="K203" i="25" s="1"/>
  <c r="J204" i="25"/>
  <c r="H203" i="25"/>
  <c r="AP203" i="25" s="1"/>
  <c r="F145" i="24"/>
  <c r="AI144" i="24"/>
  <c r="AL144" i="24"/>
  <c r="F147" i="15"/>
  <c r="AI146" i="15"/>
  <c r="AL146" i="15"/>
  <c r="AM146" i="15" s="1"/>
  <c r="AN146" i="15" s="1"/>
  <c r="Q205" i="25"/>
  <c r="AI137" i="19"/>
  <c r="AJ137" i="19" s="1"/>
  <c r="AK137" i="19" s="1"/>
  <c r="AU137" i="19"/>
  <c r="AL137" i="19"/>
  <c r="AM137" i="19" s="1"/>
  <c r="AN137" i="19" s="1"/>
  <c r="AQ137" i="19"/>
  <c r="AS137" i="19"/>
  <c r="G138" i="19"/>
  <c r="AL138" i="19" s="1"/>
  <c r="AM138" i="19" s="1"/>
  <c r="AN138" i="19" s="1"/>
  <c r="J139" i="19"/>
  <c r="H138" i="19"/>
  <c r="AO137" i="19"/>
  <c r="AP137" i="19"/>
  <c r="AP155" i="17"/>
  <c r="AS155" i="17"/>
  <c r="F156" i="17"/>
  <c r="AQ155" i="17"/>
  <c r="AU155" i="17"/>
  <c r="AU119" i="16"/>
  <c r="F120" i="16"/>
  <c r="AS119" i="16"/>
  <c r="AI119" i="16"/>
  <c r="AJ119" i="16" s="1"/>
  <c r="AK119" i="16" s="1"/>
  <c r="AG164" i="16"/>
  <c r="AF165" i="16" s="1"/>
  <c r="M156" i="16"/>
  <c r="Q156" i="16" s="1"/>
  <c r="L157" i="16" s="1"/>
  <c r="N156" i="16"/>
  <c r="P157" i="16"/>
  <c r="AT175" i="16"/>
  <c r="AE175" i="16"/>
  <c r="AD176" i="16" s="1"/>
  <c r="S176" i="16"/>
  <c r="W176" i="16" s="1"/>
  <c r="R177" i="16" s="1"/>
  <c r="T176" i="16"/>
  <c r="Z165" i="16"/>
  <c r="Y165" i="16"/>
  <c r="AC165" i="16" s="1"/>
  <c r="X166" i="16" s="1"/>
  <c r="AI187" i="18"/>
  <c r="F188" i="18"/>
  <c r="AL187" i="18"/>
  <c r="Q161" i="29" l="1"/>
  <c r="L162" i="29" s="1"/>
  <c r="N162" i="29" s="1"/>
  <c r="O162" i="29"/>
  <c r="F155" i="28"/>
  <c r="AQ154" i="28"/>
  <c r="AU154" i="28"/>
  <c r="AS154" i="28"/>
  <c r="L212" i="24"/>
  <c r="I213" i="24" s="1"/>
  <c r="P231" i="24"/>
  <c r="M232" i="24" s="1"/>
  <c r="T212" i="24"/>
  <c r="S213" i="24" s="1"/>
  <c r="J162" i="29"/>
  <c r="H161" i="29"/>
  <c r="AP161" i="29" s="1"/>
  <c r="G161" i="29"/>
  <c r="AL161" i="29" s="1"/>
  <c r="AW160" i="29"/>
  <c r="AX160" i="29" s="1"/>
  <c r="AY160" i="29" s="1"/>
  <c r="AW154" i="26"/>
  <c r="AX154" i="26" s="1"/>
  <c r="AY154" i="26" s="1"/>
  <c r="H155" i="26"/>
  <c r="AL203" i="25"/>
  <c r="AM203" i="25" s="1"/>
  <c r="AN203" i="25" s="1"/>
  <c r="F204" i="25"/>
  <c r="AS203" i="25"/>
  <c r="AU203" i="25"/>
  <c r="AI203" i="25"/>
  <c r="AQ203" i="25"/>
  <c r="AO203" i="25"/>
  <c r="L206" i="25"/>
  <c r="AM144" i="24"/>
  <c r="AN144" i="24" s="1"/>
  <c r="AT213" i="24"/>
  <c r="G145" i="24"/>
  <c r="AR145" i="24" s="1"/>
  <c r="AJ144" i="24"/>
  <c r="AK144" i="24" s="1"/>
  <c r="G147" i="15"/>
  <c r="AR147" i="15" s="1"/>
  <c r="AJ146" i="15"/>
  <c r="AK146" i="15" s="1"/>
  <c r="AW146" i="15" s="1"/>
  <c r="AX146" i="15" s="1"/>
  <c r="AY146" i="15" s="1"/>
  <c r="AW137" i="19"/>
  <c r="AX137" i="19" s="1"/>
  <c r="AY137" i="19" s="1"/>
  <c r="AP138" i="19"/>
  <c r="AO138" i="19"/>
  <c r="K138" i="19"/>
  <c r="AI138" i="19"/>
  <c r="AJ138" i="19" s="1"/>
  <c r="AK138" i="19" s="1"/>
  <c r="AW155" i="17"/>
  <c r="AX155" i="17" s="1"/>
  <c r="AY155" i="17" s="1"/>
  <c r="AW119" i="16"/>
  <c r="AX119" i="16" s="1"/>
  <c r="AY119" i="16" s="1"/>
  <c r="G156" i="17"/>
  <c r="K156" i="17" s="1"/>
  <c r="H156" i="17"/>
  <c r="J157" i="17"/>
  <c r="G120" i="16"/>
  <c r="H120" i="16"/>
  <c r="J121" i="16"/>
  <c r="AG165" i="16"/>
  <c r="AF166" i="16" s="1"/>
  <c r="T177" i="16"/>
  <c r="S177" i="16"/>
  <c r="W177" i="16" s="1"/>
  <c r="R178" i="16" s="1"/>
  <c r="AE176" i="16"/>
  <c r="AD177" i="16" s="1"/>
  <c r="AT176" i="16"/>
  <c r="P158" i="16"/>
  <c r="M157" i="16"/>
  <c r="Q157" i="16" s="1"/>
  <c r="L158" i="16" s="1"/>
  <c r="N157" i="16"/>
  <c r="Y166" i="16"/>
  <c r="AC166" i="16" s="1"/>
  <c r="X167" i="16" s="1"/>
  <c r="Z166" i="16"/>
  <c r="AJ187" i="18"/>
  <c r="AK187" i="18" s="1"/>
  <c r="G188" i="18"/>
  <c r="AR188" i="18" s="1"/>
  <c r="AM187" i="18"/>
  <c r="AN187" i="18" s="1"/>
  <c r="P163" i="29" l="1"/>
  <c r="M162" i="29"/>
  <c r="AW154" i="28"/>
  <c r="AX154" i="28" s="1"/>
  <c r="AY154" i="28" s="1"/>
  <c r="I155" i="28"/>
  <c r="Q155" i="28" s="1"/>
  <c r="L156" i="28" s="1"/>
  <c r="G155" i="28"/>
  <c r="AI155" i="28" s="1"/>
  <c r="AJ155" i="28" s="1"/>
  <c r="AK155" i="28" s="1"/>
  <c r="J156" i="28"/>
  <c r="H155" i="28"/>
  <c r="K213" i="24"/>
  <c r="R213" i="24" s="1"/>
  <c r="Q214" i="24" s="1"/>
  <c r="AT214" i="24" s="1"/>
  <c r="J213" i="24"/>
  <c r="O232" i="24"/>
  <c r="N232" i="24"/>
  <c r="AM161" i="29"/>
  <c r="AN161" i="29" s="1"/>
  <c r="AI161" i="29"/>
  <c r="K161" i="29"/>
  <c r="AO161" i="29"/>
  <c r="F156" i="26"/>
  <c r="AI155" i="26"/>
  <c r="AL155" i="26"/>
  <c r="AM155" i="26" s="1"/>
  <c r="AN155" i="26" s="1"/>
  <c r="G204" i="25"/>
  <c r="K204" i="25" s="1"/>
  <c r="J205" i="25"/>
  <c r="H204" i="25"/>
  <c r="AP204" i="25" s="1"/>
  <c r="AJ203" i="25"/>
  <c r="AK203" i="25" s="1"/>
  <c r="AW203" i="25" s="1"/>
  <c r="AX203" i="25" s="1"/>
  <c r="AY203" i="25" s="1"/>
  <c r="N206" i="25"/>
  <c r="P207" i="25"/>
  <c r="AW144" i="24"/>
  <c r="AX144" i="24" s="1"/>
  <c r="AY144" i="24" s="1"/>
  <c r="H145" i="24"/>
  <c r="H147" i="15"/>
  <c r="M206" i="25"/>
  <c r="F139" i="19"/>
  <c r="AU138" i="19"/>
  <c r="AQ138" i="19"/>
  <c r="AS138" i="19"/>
  <c r="F157" i="17"/>
  <c r="AU156" i="17"/>
  <c r="AQ156" i="17"/>
  <c r="AS156" i="17"/>
  <c r="AP156" i="17"/>
  <c r="AO156" i="17"/>
  <c r="AI156" i="17"/>
  <c r="AJ156" i="17" s="1"/>
  <c r="AK156" i="17" s="1"/>
  <c r="AL156" i="17"/>
  <c r="AM156" i="17" s="1"/>
  <c r="AN156" i="17" s="1"/>
  <c r="AL120" i="16"/>
  <c r="AM120" i="16" s="1"/>
  <c r="AN120" i="16" s="1"/>
  <c r="K120" i="16"/>
  <c r="AO120" i="16"/>
  <c r="AP120" i="16"/>
  <c r="N158" i="16"/>
  <c r="M158" i="16"/>
  <c r="Q158" i="16" s="1"/>
  <c r="L159" i="16" s="1"/>
  <c r="P159" i="16"/>
  <c r="T178" i="16"/>
  <c r="S178" i="16"/>
  <c r="W178" i="16" s="1"/>
  <c r="R179" i="16" s="1"/>
  <c r="AE177" i="16"/>
  <c r="AD178" i="16" s="1"/>
  <c r="AT177" i="16"/>
  <c r="Z167" i="16"/>
  <c r="Y167" i="16"/>
  <c r="AC167" i="16" s="1"/>
  <c r="X168" i="16" s="1"/>
  <c r="AG166" i="16"/>
  <c r="AF167" i="16" s="1"/>
  <c r="H188" i="18"/>
  <c r="AL188" i="18" s="1"/>
  <c r="AW187" i="18"/>
  <c r="AX187" i="18" s="1"/>
  <c r="AY187" i="18" s="1"/>
  <c r="O156" i="28" l="1"/>
  <c r="P157" i="28"/>
  <c r="N156" i="28"/>
  <c r="M156" i="28"/>
  <c r="AL155" i="28"/>
  <c r="AM155" i="28" s="1"/>
  <c r="AN155" i="28" s="1"/>
  <c r="K155" i="28"/>
  <c r="AP155" i="28"/>
  <c r="AO155" i="28"/>
  <c r="P232" i="24"/>
  <c r="M233" i="24" s="1"/>
  <c r="L213" i="24"/>
  <c r="I214" i="24" s="1"/>
  <c r="T213" i="24"/>
  <c r="S214" i="24" s="1"/>
  <c r="F162" i="29"/>
  <c r="I162" i="29" s="1"/>
  <c r="AU161" i="29"/>
  <c r="AS161" i="29"/>
  <c r="AQ161" i="29"/>
  <c r="AJ161" i="29"/>
  <c r="AK161" i="29" s="1"/>
  <c r="G156" i="26"/>
  <c r="AR156" i="26" s="1"/>
  <c r="AJ155" i="26"/>
  <c r="AK155" i="26" s="1"/>
  <c r="AW155" i="26" s="1"/>
  <c r="AX155" i="26" s="1"/>
  <c r="AY155" i="26" s="1"/>
  <c r="F205" i="25"/>
  <c r="AU204" i="25"/>
  <c r="AQ204" i="25"/>
  <c r="AS204" i="25"/>
  <c r="AI204" i="25"/>
  <c r="AJ204" i="25" s="1"/>
  <c r="AK204" i="25" s="1"/>
  <c r="AL204" i="25"/>
  <c r="AM204" i="25" s="1"/>
  <c r="AN204" i="25" s="1"/>
  <c r="AO204" i="25"/>
  <c r="F146" i="24"/>
  <c r="AL145" i="24"/>
  <c r="AI145" i="24"/>
  <c r="F148" i="15"/>
  <c r="AI147" i="15"/>
  <c r="AJ147" i="15" s="1"/>
  <c r="AK147" i="15" s="1"/>
  <c r="AL147" i="15"/>
  <c r="AM147" i="15" s="1"/>
  <c r="AN147" i="15" s="1"/>
  <c r="Q206" i="25"/>
  <c r="AW138" i="19"/>
  <c r="AX138" i="19" s="1"/>
  <c r="AY138" i="19" s="1"/>
  <c r="H139" i="19"/>
  <c r="J140" i="19"/>
  <c r="G139" i="19"/>
  <c r="AI139" i="19" s="1"/>
  <c r="AJ139" i="19" s="1"/>
  <c r="AK139" i="19" s="1"/>
  <c r="AW156" i="17"/>
  <c r="AX156" i="17" s="1"/>
  <c r="AY156" i="17" s="1"/>
  <c r="H157" i="17"/>
  <c r="J158" i="17"/>
  <c r="G157" i="17"/>
  <c r="K157" i="17" s="1"/>
  <c r="F158" i="17" s="1"/>
  <c r="AQ120" i="16"/>
  <c r="F121" i="16"/>
  <c r="AI120" i="16"/>
  <c r="AJ120" i="16" s="1"/>
  <c r="AK120" i="16" s="1"/>
  <c r="AS120" i="16"/>
  <c r="AU120" i="16"/>
  <c r="AG167" i="16"/>
  <c r="AF168" i="16" s="1"/>
  <c r="P160" i="16"/>
  <c r="N159" i="16"/>
  <c r="M159" i="16"/>
  <c r="Q159" i="16" s="1"/>
  <c r="L160" i="16" s="1"/>
  <c r="AE178" i="16"/>
  <c r="AD179" i="16" s="1"/>
  <c r="AT178" i="16"/>
  <c r="T179" i="16"/>
  <c r="S179" i="16"/>
  <c r="W179" i="16" s="1"/>
  <c r="R180" i="16" s="1"/>
  <c r="Z168" i="16"/>
  <c r="Y168" i="16"/>
  <c r="F189" i="18"/>
  <c r="AI188" i="18"/>
  <c r="AJ188" i="18" s="1"/>
  <c r="AK188" i="18" s="1"/>
  <c r="AM188" i="18"/>
  <c r="AN188" i="18" s="1"/>
  <c r="F156" i="28" l="1"/>
  <c r="AQ155" i="28"/>
  <c r="AS155" i="28"/>
  <c r="AU155" i="28"/>
  <c r="AR162" i="29"/>
  <c r="Q162" i="29"/>
  <c r="L163" i="29" s="1"/>
  <c r="K214" i="24"/>
  <c r="T214" i="24" s="1"/>
  <c r="S215" i="24" s="1"/>
  <c r="J214" i="24"/>
  <c r="O233" i="24"/>
  <c r="N233" i="24"/>
  <c r="H162" i="29"/>
  <c r="AP162" i="29" s="1"/>
  <c r="J163" i="29"/>
  <c r="G162" i="29"/>
  <c r="K162" i="29" s="1"/>
  <c r="AW161" i="29"/>
  <c r="AX161" i="29" s="1"/>
  <c r="AY161" i="29" s="1"/>
  <c r="H156" i="26"/>
  <c r="G205" i="25"/>
  <c r="K205" i="25" s="1"/>
  <c r="J206" i="25"/>
  <c r="H205" i="25"/>
  <c r="AP205" i="25" s="1"/>
  <c r="AW147" i="15"/>
  <c r="AX147" i="15" s="1"/>
  <c r="AY147" i="15" s="1"/>
  <c r="AW204" i="25"/>
  <c r="AX204" i="25" s="1"/>
  <c r="AY204" i="25" s="1"/>
  <c r="L207" i="25"/>
  <c r="G146" i="24"/>
  <c r="AR146" i="24" s="1"/>
  <c r="AJ145" i="24"/>
  <c r="AK145" i="24" s="1"/>
  <c r="AM145" i="24"/>
  <c r="AN145" i="24" s="1"/>
  <c r="G148" i="15"/>
  <c r="AR148" i="15" s="1"/>
  <c r="K139" i="19"/>
  <c r="AL139" i="19"/>
  <c r="AM139" i="19" s="1"/>
  <c r="AN139" i="19" s="1"/>
  <c r="AO139" i="19"/>
  <c r="AP139" i="19"/>
  <c r="AW120" i="16"/>
  <c r="AX120" i="16" s="1"/>
  <c r="AY120" i="16" s="1"/>
  <c r="AS157" i="17"/>
  <c r="AQ157" i="17"/>
  <c r="AU157" i="17"/>
  <c r="J159" i="17"/>
  <c r="G158" i="17"/>
  <c r="AI158" i="17" s="1"/>
  <c r="AJ158" i="17" s="1"/>
  <c r="AK158" i="17" s="1"/>
  <c r="H158" i="17"/>
  <c r="AI157" i="17"/>
  <c r="AJ157" i="17" s="1"/>
  <c r="AK157" i="17" s="1"/>
  <c r="AL157" i="17"/>
  <c r="AM157" i="17" s="1"/>
  <c r="AN157" i="17" s="1"/>
  <c r="AO157" i="17"/>
  <c r="AP157" i="17"/>
  <c r="AG168" i="16"/>
  <c r="AF169" i="16" s="1"/>
  <c r="G121" i="16"/>
  <c r="K121" i="16" s="1"/>
  <c r="H121" i="16"/>
  <c r="J122" i="16"/>
  <c r="AE179" i="16"/>
  <c r="AD180" i="16" s="1"/>
  <c r="AT179" i="16"/>
  <c r="N160" i="16"/>
  <c r="M160" i="16"/>
  <c r="Q160" i="16" s="1"/>
  <c r="L161" i="16" s="1"/>
  <c r="P161" i="16"/>
  <c r="S180" i="16"/>
  <c r="W180" i="16" s="1"/>
  <c r="R181" i="16" s="1"/>
  <c r="T180" i="16"/>
  <c r="AC168" i="16"/>
  <c r="X169" i="16" s="1"/>
  <c r="G189" i="18"/>
  <c r="AR189" i="18" s="1"/>
  <c r="AW188" i="18"/>
  <c r="AX188" i="18" s="1"/>
  <c r="AY188" i="18" s="1"/>
  <c r="AW155" i="28" l="1"/>
  <c r="AX155" i="28" s="1"/>
  <c r="AY155" i="28" s="1"/>
  <c r="O163" i="29"/>
  <c r="P164" i="29"/>
  <c r="M163" i="29"/>
  <c r="N163" i="29"/>
  <c r="I156" i="28"/>
  <c r="Q156" i="28" s="1"/>
  <c r="L157" i="28" s="1"/>
  <c r="G156" i="28"/>
  <c r="AL156" i="28" s="1"/>
  <c r="AM156" i="28" s="1"/>
  <c r="AN156" i="28" s="1"/>
  <c r="H156" i="28"/>
  <c r="J157" i="28"/>
  <c r="L214" i="24"/>
  <c r="I215" i="24" s="1"/>
  <c r="P233" i="24"/>
  <c r="M234" i="24" s="1"/>
  <c r="R214" i="24"/>
  <c r="Q215" i="24" s="1"/>
  <c r="AT215" i="24" s="1"/>
  <c r="F163" i="29"/>
  <c r="I163" i="29" s="1"/>
  <c r="AR163" i="29" s="1"/>
  <c r="AQ162" i="29"/>
  <c r="AU162" i="29"/>
  <c r="AS162" i="29"/>
  <c r="AO162" i="29"/>
  <c r="AL162" i="29"/>
  <c r="AI162" i="29"/>
  <c r="F157" i="26"/>
  <c r="AI156" i="26"/>
  <c r="AL156" i="26"/>
  <c r="F206" i="25"/>
  <c r="AU205" i="25"/>
  <c r="AI205" i="25"/>
  <c r="AQ205" i="25"/>
  <c r="AS205" i="25"/>
  <c r="AL205" i="25"/>
  <c r="AO205" i="25"/>
  <c r="AW145" i="24"/>
  <c r="AX145" i="24" s="1"/>
  <c r="AY145" i="24" s="1"/>
  <c r="P208" i="25"/>
  <c r="N207" i="25"/>
  <c r="H146" i="24"/>
  <c r="H148" i="15"/>
  <c r="M207" i="25"/>
  <c r="F140" i="19"/>
  <c r="AU139" i="19"/>
  <c r="AS139" i="19"/>
  <c r="AQ139" i="19"/>
  <c r="K158" i="17"/>
  <c r="AQ158" i="17" s="1"/>
  <c r="AW157" i="17"/>
  <c r="AX157" i="17" s="1"/>
  <c r="AY157" i="17" s="1"/>
  <c r="AL158" i="17"/>
  <c r="AM158" i="17" s="1"/>
  <c r="AN158" i="17" s="1"/>
  <c r="AP158" i="17"/>
  <c r="AO158" i="17"/>
  <c r="F122" i="16"/>
  <c r="AQ121" i="16"/>
  <c r="AU121" i="16"/>
  <c r="AS121" i="16"/>
  <c r="AI121" i="16"/>
  <c r="AJ121" i="16" s="1"/>
  <c r="AK121" i="16" s="1"/>
  <c r="AL121" i="16"/>
  <c r="AM121" i="16" s="1"/>
  <c r="AN121" i="16" s="1"/>
  <c r="AP121" i="16"/>
  <c r="AO121" i="16"/>
  <c r="AT180" i="16"/>
  <c r="AE180" i="16"/>
  <c r="AD181" i="16" s="1"/>
  <c r="S181" i="16"/>
  <c r="W181" i="16" s="1"/>
  <c r="R182" i="16" s="1"/>
  <c r="T181" i="16"/>
  <c r="N161" i="16"/>
  <c r="P162" i="16"/>
  <c r="M161" i="16"/>
  <c r="Q161" i="16" s="1"/>
  <c r="L162" i="16" s="1"/>
  <c r="Z169" i="16"/>
  <c r="Y169" i="16"/>
  <c r="H189" i="18"/>
  <c r="AL189" i="18" s="1"/>
  <c r="AM189" i="18" s="1"/>
  <c r="Q163" i="29" l="1"/>
  <c r="L164" i="29" s="1"/>
  <c r="N164" i="29" s="1"/>
  <c r="O157" i="28"/>
  <c r="P158" i="28"/>
  <c r="N157" i="28"/>
  <c r="M157" i="28"/>
  <c r="AP156" i="28"/>
  <c r="AO156" i="28"/>
  <c r="AI156" i="28"/>
  <c r="AJ156" i="28" s="1"/>
  <c r="AK156" i="28" s="1"/>
  <c r="K156" i="28"/>
  <c r="O164" i="29"/>
  <c r="O234" i="24"/>
  <c r="N234" i="24"/>
  <c r="K215" i="24"/>
  <c r="T215" i="24" s="1"/>
  <c r="S216" i="24" s="1"/>
  <c r="J215" i="24"/>
  <c r="J164" i="29"/>
  <c r="H163" i="29"/>
  <c r="AP163" i="29" s="1"/>
  <c r="G163" i="29"/>
  <c r="AI163" i="29" s="1"/>
  <c r="AM162" i="29"/>
  <c r="AN162" i="29" s="1"/>
  <c r="AJ162" i="29"/>
  <c r="AK162" i="29" s="1"/>
  <c r="G157" i="26"/>
  <c r="AR157" i="26" s="1"/>
  <c r="AM156" i="26"/>
  <c r="AN156" i="26" s="1"/>
  <c r="AJ156" i="26"/>
  <c r="AK156" i="26" s="1"/>
  <c r="G206" i="25"/>
  <c r="K206" i="25" s="1"/>
  <c r="H206" i="25"/>
  <c r="AP206" i="25" s="1"/>
  <c r="J207" i="25"/>
  <c r="AJ205" i="25"/>
  <c r="AK205" i="25" s="1"/>
  <c r="AM205" i="25"/>
  <c r="AN205" i="25" s="1"/>
  <c r="F147" i="24"/>
  <c r="G147" i="24" s="1"/>
  <c r="AR147" i="24" s="1"/>
  <c r="AL146" i="24"/>
  <c r="AM146" i="24" s="1"/>
  <c r="AN146" i="24" s="1"/>
  <c r="AI146" i="24"/>
  <c r="AJ146" i="24" s="1"/>
  <c r="AK146" i="24" s="1"/>
  <c r="F149" i="15"/>
  <c r="AL148" i="15"/>
  <c r="AM148" i="15" s="1"/>
  <c r="AN148" i="15" s="1"/>
  <c r="AI148" i="15"/>
  <c r="AJ148" i="15" s="1"/>
  <c r="AK148" i="15" s="1"/>
  <c r="Q207" i="25"/>
  <c r="AW139" i="19"/>
  <c r="AX139" i="19" s="1"/>
  <c r="AY139" i="19" s="1"/>
  <c r="G140" i="19"/>
  <c r="AI140" i="19" s="1"/>
  <c r="AJ140" i="19" s="1"/>
  <c r="AK140" i="19" s="1"/>
  <c r="J141" i="19"/>
  <c r="H140" i="19"/>
  <c r="AS158" i="17"/>
  <c r="AU158" i="17"/>
  <c r="F159" i="17"/>
  <c r="H159" i="17" s="1"/>
  <c r="AW121" i="16"/>
  <c r="AX121" i="16" s="1"/>
  <c r="AY121" i="16" s="1"/>
  <c r="G122" i="16"/>
  <c r="AL122" i="16" s="1"/>
  <c r="AM122" i="16" s="1"/>
  <c r="AN122" i="16" s="1"/>
  <c r="J123" i="16"/>
  <c r="H122" i="16"/>
  <c r="N162" i="16"/>
  <c r="P163" i="16"/>
  <c r="M162" i="16"/>
  <c r="Q162" i="16" s="1"/>
  <c r="L163" i="16" s="1"/>
  <c r="S182" i="16"/>
  <c r="W182" i="16" s="1"/>
  <c r="R183" i="16" s="1"/>
  <c r="T182" i="16"/>
  <c r="AT181" i="16"/>
  <c r="AE181" i="16"/>
  <c r="AD182" i="16" s="1"/>
  <c r="AC169" i="16"/>
  <c r="X170" i="16" s="1"/>
  <c r="AG169" i="16"/>
  <c r="AF170" i="16" s="1"/>
  <c r="AI189" i="18"/>
  <c r="AJ189" i="18" s="1"/>
  <c r="AN189" i="18"/>
  <c r="F190" i="18"/>
  <c r="P165" i="29" l="1"/>
  <c r="M164" i="29"/>
  <c r="F157" i="28"/>
  <c r="AS156" i="28"/>
  <c r="AQ156" i="28"/>
  <c r="AU156" i="28"/>
  <c r="L215" i="24"/>
  <c r="I216" i="24" s="1"/>
  <c r="P234" i="24"/>
  <c r="R215" i="24"/>
  <c r="Q216" i="24" s="1"/>
  <c r="AT216" i="24" s="1"/>
  <c r="AW162" i="29"/>
  <c r="AX162" i="29" s="1"/>
  <c r="AY162" i="29" s="1"/>
  <c r="AJ163" i="29"/>
  <c r="AK163" i="29" s="1"/>
  <c r="AL163" i="29"/>
  <c r="K163" i="29"/>
  <c r="AO163" i="29"/>
  <c r="AW156" i="26"/>
  <c r="AX156" i="26" s="1"/>
  <c r="AY156" i="26" s="1"/>
  <c r="H157" i="26"/>
  <c r="AW205" i="25"/>
  <c r="AX205" i="25" s="1"/>
  <c r="AY205" i="25" s="1"/>
  <c r="AL206" i="25"/>
  <c r="AM206" i="25" s="1"/>
  <c r="AN206" i="25" s="1"/>
  <c r="AW146" i="24"/>
  <c r="AX146" i="24" s="1"/>
  <c r="AY146" i="24" s="1"/>
  <c r="F207" i="25"/>
  <c r="AQ206" i="25"/>
  <c r="AU206" i="25"/>
  <c r="AI206" i="25"/>
  <c r="AS206" i="25"/>
  <c r="AO206" i="25"/>
  <c r="L208" i="25"/>
  <c r="H147" i="24"/>
  <c r="AI147" i="24" s="1"/>
  <c r="AW148" i="15"/>
  <c r="AX148" i="15" s="1"/>
  <c r="AY148" i="15" s="1"/>
  <c r="G149" i="15"/>
  <c r="AR149" i="15" s="1"/>
  <c r="K140" i="19"/>
  <c r="AL140" i="19"/>
  <c r="AM140" i="19" s="1"/>
  <c r="AN140" i="19" s="1"/>
  <c r="AP140" i="19"/>
  <c r="AO140" i="19"/>
  <c r="AW158" i="17"/>
  <c r="AX158" i="17" s="1"/>
  <c r="AY158" i="17" s="1"/>
  <c r="J160" i="17"/>
  <c r="G159" i="17"/>
  <c r="AI159" i="17" s="1"/>
  <c r="AJ159" i="17" s="1"/>
  <c r="AK159" i="17" s="1"/>
  <c r="AP159" i="17"/>
  <c r="AO159" i="17"/>
  <c r="K122" i="16"/>
  <c r="AO122" i="16"/>
  <c r="AP122" i="16"/>
  <c r="AE182" i="16"/>
  <c r="AD183" i="16" s="1"/>
  <c r="AT182" i="16"/>
  <c r="T183" i="16"/>
  <c r="S183" i="16"/>
  <c r="W183" i="16" s="1"/>
  <c r="R184" i="16" s="1"/>
  <c r="M163" i="16"/>
  <c r="Q163" i="16" s="1"/>
  <c r="L164" i="16" s="1"/>
  <c r="N163" i="16"/>
  <c r="P164" i="16"/>
  <c r="Z170" i="16"/>
  <c r="Y170" i="16"/>
  <c r="AC170" i="16" s="1"/>
  <c r="X171" i="16" s="1"/>
  <c r="AK189" i="18"/>
  <c r="AW189" i="18" s="1"/>
  <c r="AX189" i="18" s="1"/>
  <c r="AY189" i="18" s="1"/>
  <c r="G190" i="18"/>
  <c r="AR190" i="18" s="1"/>
  <c r="AW156" i="28" l="1"/>
  <c r="AX156" i="28" s="1"/>
  <c r="AY156" i="28" s="1"/>
  <c r="I157" i="28"/>
  <c r="Q157" i="28" s="1"/>
  <c r="L158" i="28" s="1"/>
  <c r="G157" i="28"/>
  <c r="K157" i="28" s="1"/>
  <c r="F158" i="28" s="1"/>
  <c r="H157" i="28"/>
  <c r="J158" i="28"/>
  <c r="K216" i="24"/>
  <c r="R216" i="24" s="1"/>
  <c r="Q217" i="24" s="1"/>
  <c r="AT217" i="24" s="1"/>
  <c r="J216" i="24"/>
  <c r="F164" i="29"/>
  <c r="I164" i="29" s="1"/>
  <c r="AS163" i="29"/>
  <c r="AU163" i="29"/>
  <c r="AQ163" i="29"/>
  <c r="AM163" i="29"/>
  <c r="AN163" i="29" s="1"/>
  <c r="F158" i="26"/>
  <c r="AI157" i="26"/>
  <c r="AL157" i="26"/>
  <c r="AJ206" i="25"/>
  <c r="AK206" i="25" s="1"/>
  <c r="AW206" i="25" s="1"/>
  <c r="AX206" i="25" s="1"/>
  <c r="AY206" i="25" s="1"/>
  <c r="G207" i="25"/>
  <c r="K207" i="25" s="1"/>
  <c r="H207" i="25"/>
  <c r="AP207" i="25" s="1"/>
  <c r="J208" i="25"/>
  <c r="N208" i="25"/>
  <c r="P209" i="25"/>
  <c r="F148" i="24"/>
  <c r="G148" i="24" s="1"/>
  <c r="AR148" i="24" s="1"/>
  <c r="AL147" i="24"/>
  <c r="AM147" i="24" s="1"/>
  <c r="AN147" i="24" s="1"/>
  <c r="AJ147" i="24"/>
  <c r="AK147" i="24" s="1"/>
  <c r="H149" i="15"/>
  <c r="M208" i="25"/>
  <c r="Q208" i="25" s="1"/>
  <c r="L209" i="25" s="1"/>
  <c r="F141" i="19"/>
  <c r="AQ140" i="19"/>
  <c r="AS140" i="19"/>
  <c r="AU140" i="19"/>
  <c r="K159" i="17"/>
  <c r="AU159" i="17" s="1"/>
  <c r="AL159" i="17"/>
  <c r="AM159" i="17" s="1"/>
  <c r="AN159" i="17" s="1"/>
  <c r="AI122" i="16"/>
  <c r="AJ122" i="16" s="1"/>
  <c r="AK122" i="16" s="1"/>
  <c r="AU122" i="16"/>
  <c r="F123" i="16"/>
  <c r="AS122" i="16"/>
  <c r="AQ122" i="16"/>
  <c r="M164" i="16"/>
  <c r="Q164" i="16" s="1"/>
  <c r="L165" i="16" s="1"/>
  <c r="N164" i="16"/>
  <c r="P165" i="16"/>
  <c r="AT183" i="16"/>
  <c r="AE183" i="16"/>
  <c r="AD184" i="16" s="1"/>
  <c r="S184" i="16"/>
  <c r="W184" i="16" s="1"/>
  <c r="R185" i="16" s="1"/>
  <c r="T184" i="16"/>
  <c r="AG170" i="16"/>
  <c r="AF171" i="16" s="1"/>
  <c r="Z171" i="16"/>
  <c r="Y171" i="16"/>
  <c r="AC171" i="16" s="1"/>
  <c r="X172" i="16" s="1"/>
  <c r="H190" i="18"/>
  <c r="O158" i="28" l="1"/>
  <c r="M158" i="28"/>
  <c r="N158" i="28"/>
  <c r="P159" i="28"/>
  <c r="AP157" i="28"/>
  <c r="AO157" i="28"/>
  <c r="AI157" i="28"/>
  <c r="AJ157" i="28" s="1"/>
  <c r="AK157" i="28" s="1"/>
  <c r="AL157" i="28"/>
  <c r="AM157" i="28" s="1"/>
  <c r="AN157" i="28" s="1"/>
  <c r="AU157" i="28"/>
  <c r="AS157" i="28"/>
  <c r="AQ157" i="28"/>
  <c r="AR164" i="29"/>
  <c r="Q164" i="29"/>
  <c r="L165" i="29" s="1"/>
  <c r="I158" i="28"/>
  <c r="G158" i="28"/>
  <c r="K158" i="28" s="1"/>
  <c r="H158" i="28"/>
  <c r="J159" i="28"/>
  <c r="L216" i="24"/>
  <c r="I217" i="24" s="1"/>
  <c r="T216" i="24"/>
  <c r="S217" i="24" s="1"/>
  <c r="AW163" i="29"/>
  <c r="AX163" i="29" s="1"/>
  <c r="AY163" i="29" s="1"/>
  <c r="H164" i="29"/>
  <c r="AP164" i="29" s="1"/>
  <c r="J165" i="29"/>
  <c r="G164" i="29"/>
  <c r="AI164" i="29" s="1"/>
  <c r="G158" i="26"/>
  <c r="AR158" i="26" s="1"/>
  <c r="AM157" i="26"/>
  <c r="AN157" i="26" s="1"/>
  <c r="AJ157" i="26"/>
  <c r="AK157" i="26" s="1"/>
  <c r="F208" i="25"/>
  <c r="AS207" i="25"/>
  <c r="AU207" i="25"/>
  <c r="AQ207" i="25"/>
  <c r="AI207" i="25"/>
  <c r="AL207" i="25"/>
  <c r="AO207" i="25"/>
  <c r="H148" i="24"/>
  <c r="F149" i="24" s="1"/>
  <c r="G149" i="24" s="1"/>
  <c r="AR149" i="24" s="1"/>
  <c r="AW147" i="24"/>
  <c r="AX147" i="24" s="1"/>
  <c r="AY147" i="24" s="1"/>
  <c r="P210" i="25"/>
  <c r="N209" i="25"/>
  <c r="F150" i="15"/>
  <c r="AL149" i="15"/>
  <c r="AM149" i="15" s="1"/>
  <c r="AN149" i="15" s="1"/>
  <c r="AI149" i="15"/>
  <c r="AJ149" i="15" s="1"/>
  <c r="AK149" i="15" s="1"/>
  <c r="M209" i="25"/>
  <c r="Q209" i="25" s="1"/>
  <c r="L210" i="25" s="1"/>
  <c r="AW140" i="19"/>
  <c r="AX140" i="19" s="1"/>
  <c r="AY140" i="19" s="1"/>
  <c r="G141" i="19"/>
  <c r="AL141" i="19" s="1"/>
  <c r="AM141" i="19" s="1"/>
  <c r="AN141" i="19" s="1"/>
  <c r="J142" i="19"/>
  <c r="H141" i="19"/>
  <c r="F160" i="17"/>
  <c r="G160" i="17" s="1"/>
  <c r="K160" i="17" s="1"/>
  <c r="AS159" i="17"/>
  <c r="AQ159" i="17"/>
  <c r="AW122" i="16"/>
  <c r="AX122" i="16" s="1"/>
  <c r="AY122" i="16" s="1"/>
  <c r="H123" i="16"/>
  <c r="J124" i="16"/>
  <c r="G123" i="16"/>
  <c r="AL123" i="16" s="1"/>
  <c r="AM123" i="16" s="1"/>
  <c r="AN123" i="16" s="1"/>
  <c r="T185" i="16"/>
  <c r="S185" i="16"/>
  <c r="W185" i="16" s="1"/>
  <c r="R186" i="16" s="1"/>
  <c r="AT184" i="16"/>
  <c r="AE184" i="16"/>
  <c r="AD185" i="16" s="1"/>
  <c r="M165" i="16"/>
  <c r="Q165" i="16" s="1"/>
  <c r="L166" i="16" s="1"/>
  <c r="N165" i="16"/>
  <c r="P166" i="16"/>
  <c r="Z172" i="16"/>
  <c r="Y172" i="16"/>
  <c r="AC172" i="16" s="1"/>
  <c r="X173" i="16" s="1"/>
  <c r="AG171" i="16"/>
  <c r="AF172" i="16" s="1"/>
  <c r="AI190" i="18"/>
  <c r="F191" i="18"/>
  <c r="AL190" i="18"/>
  <c r="Q158" i="28" l="1"/>
  <c r="L159" i="28" s="1"/>
  <c r="N159" i="28" s="1"/>
  <c r="AL158" i="28"/>
  <c r="AM158" i="28" s="1"/>
  <c r="AN158" i="28" s="1"/>
  <c r="AW157" i="28"/>
  <c r="AX157" i="28" s="1"/>
  <c r="AY157" i="28" s="1"/>
  <c r="O159" i="28"/>
  <c r="O165" i="29"/>
  <c r="P166" i="29"/>
  <c r="N165" i="29"/>
  <c r="M165" i="29"/>
  <c r="F159" i="28"/>
  <c r="AI158" i="28"/>
  <c r="AJ158" i="28" s="1"/>
  <c r="AK158" i="28" s="1"/>
  <c r="AP158" i="28"/>
  <c r="AO158" i="28"/>
  <c r="K217" i="24"/>
  <c r="R217" i="24" s="1"/>
  <c r="Q218" i="24" s="1"/>
  <c r="AT218" i="24" s="1"/>
  <c r="J217" i="24"/>
  <c r="AL164" i="29"/>
  <c r="K164" i="29"/>
  <c r="AO164" i="29"/>
  <c r="AJ164" i="29"/>
  <c r="AK164" i="29" s="1"/>
  <c r="AW157" i="26"/>
  <c r="AX157" i="26" s="1"/>
  <c r="AY157" i="26" s="1"/>
  <c r="H158" i="26"/>
  <c r="G208" i="25"/>
  <c r="AL208" i="25" s="1"/>
  <c r="AM208" i="25" s="1"/>
  <c r="AN208" i="25" s="1"/>
  <c r="H208" i="25"/>
  <c r="AP208" i="25" s="1"/>
  <c r="J209" i="25"/>
  <c r="AJ207" i="25"/>
  <c r="AK207" i="25" s="1"/>
  <c r="AM207" i="25"/>
  <c r="AN207" i="25" s="1"/>
  <c r="N210" i="25"/>
  <c r="P211" i="25"/>
  <c r="AL148" i="24"/>
  <c r="AM148" i="24" s="1"/>
  <c r="AN148" i="24" s="1"/>
  <c r="AI148" i="24"/>
  <c r="AJ148" i="24" s="1"/>
  <c r="AK148" i="24" s="1"/>
  <c r="H149" i="24"/>
  <c r="G150" i="15"/>
  <c r="AR150" i="15" s="1"/>
  <c r="AW149" i="15"/>
  <c r="AX149" i="15" s="1"/>
  <c r="AY149" i="15" s="1"/>
  <c r="M210" i="25"/>
  <c r="Q210" i="25" s="1"/>
  <c r="L211" i="25" s="1"/>
  <c r="AI141" i="19"/>
  <c r="AJ141" i="19" s="1"/>
  <c r="AK141" i="19" s="1"/>
  <c r="K141" i="19"/>
  <c r="AO141" i="19"/>
  <c r="AP141" i="19"/>
  <c r="J161" i="17"/>
  <c r="H160" i="17"/>
  <c r="AO160" i="17" s="1"/>
  <c r="AW159" i="17"/>
  <c r="AX159" i="17" s="1"/>
  <c r="AY159" i="17" s="1"/>
  <c r="AI160" i="17"/>
  <c r="AJ160" i="17" s="1"/>
  <c r="AK160" i="17" s="1"/>
  <c r="F161" i="17"/>
  <c r="AU160" i="17"/>
  <c r="AQ160" i="17"/>
  <c r="AL160" i="17"/>
  <c r="AM160" i="17" s="1"/>
  <c r="AN160" i="17" s="1"/>
  <c r="AS160" i="17"/>
  <c r="K123" i="16"/>
  <c r="F124" i="16" s="1"/>
  <c r="H124" i="16" s="1"/>
  <c r="AP123" i="16"/>
  <c r="AO123" i="16"/>
  <c r="AG172" i="16"/>
  <c r="AF173" i="16" s="1"/>
  <c r="M166" i="16"/>
  <c r="Q166" i="16" s="1"/>
  <c r="L167" i="16" s="1"/>
  <c r="P167" i="16"/>
  <c r="N166" i="16"/>
  <c r="AT185" i="16"/>
  <c r="AE185" i="16"/>
  <c r="AD186" i="16" s="1"/>
  <c r="S186" i="16"/>
  <c r="W186" i="16" s="1"/>
  <c r="R187" i="16" s="1"/>
  <c r="T186" i="16"/>
  <c r="Y173" i="16"/>
  <c r="AC173" i="16" s="1"/>
  <c r="X174" i="16" s="1"/>
  <c r="Z173" i="16"/>
  <c r="AJ190" i="18"/>
  <c r="AK190" i="18" s="1"/>
  <c r="G191" i="18"/>
  <c r="AR191" i="18" s="1"/>
  <c r="AM190" i="18"/>
  <c r="AN190" i="18" s="1"/>
  <c r="AU158" i="28" l="1"/>
  <c r="AS158" i="28"/>
  <c r="M159" i="28"/>
  <c r="P160" i="28"/>
  <c r="AQ158" i="28"/>
  <c r="G159" i="28"/>
  <c r="I159" i="28"/>
  <c r="H159" i="28"/>
  <c r="J160" i="28"/>
  <c r="L217" i="24"/>
  <c r="I218" i="24" s="1"/>
  <c r="T217" i="24"/>
  <c r="S218" i="24" s="1"/>
  <c r="F165" i="29"/>
  <c r="I165" i="29" s="1"/>
  <c r="AR165" i="29" s="1"/>
  <c r="AU164" i="29"/>
  <c r="AS164" i="29"/>
  <c r="AQ164" i="29"/>
  <c r="AM164" i="29"/>
  <c r="AN164" i="29" s="1"/>
  <c r="F159" i="26"/>
  <c r="G159" i="26" s="1"/>
  <c r="AR159" i="26" s="1"/>
  <c r="AL158" i="26"/>
  <c r="AM158" i="26" s="1"/>
  <c r="AN158" i="26" s="1"/>
  <c r="AI158" i="26"/>
  <c r="AJ158" i="26" s="1"/>
  <c r="AK158" i="26" s="1"/>
  <c r="AW148" i="24"/>
  <c r="AX148" i="24" s="1"/>
  <c r="AY148" i="24" s="1"/>
  <c r="AO208" i="25"/>
  <c r="K208" i="25"/>
  <c r="AW207" i="25"/>
  <c r="AX207" i="25" s="1"/>
  <c r="AY207" i="25" s="1"/>
  <c r="P212" i="25"/>
  <c r="N211" i="25"/>
  <c r="F150" i="24"/>
  <c r="AI149" i="24"/>
  <c r="AJ149" i="24" s="1"/>
  <c r="AL149" i="24"/>
  <c r="AM149" i="24" s="1"/>
  <c r="H150" i="15"/>
  <c r="M211" i="25"/>
  <c r="Q211" i="25" s="1"/>
  <c r="L212" i="25" s="1"/>
  <c r="F142" i="19"/>
  <c r="AQ141" i="19"/>
  <c r="AS141" i="19"/>
  <c r="AU141" i="19"/>
  <c r="AP160" i="17"/>
  <c r="AW160" i="17" s="1"/>
  <c r="AX160" i="17" s="1"/>
  <c r="AY160" i="17" s="1"/>
  <c r="H161" i="17"/>
  <c r="J162" i="17"/>
  <c r="G161" i="17"/>
  <c r="K161" i="17" s="1"/>
  <c r="AQ123" i="16"/>
  <c r="J125" i="16"/>
  <c r="AS123" i="16"/>
  <c r="AU123" i="16"/>
  <c r="AI123" i="16"/>
  <c r="AJ123" i="16" s="1"/>
  <c r="AK123" i="16" s="1"/>
  <c r="G124" i="16"/>
  <c r="K124" i="16" s="1"/>
  <c r="AU124" i="16" s="1"/>
  <c r="AP124" i="16"/>
  <c r="AO124" i="16"/>
  <c r="T187" i="16"/>
  <c r="S187" i="16"/>
  <c r="W187" i="16" s="1"/>
  <c r="R188" i="16" s="1"/>
  <c r="AG173" i="16"/>
  <c r="AF174" i="16" s="1"/>
  <c r="AE186" i="16"/>
  <c r="AD187" i="16" s="1"/>
  <c r="AT186" i="16"/>
  <c r="N167" i="16"/>
  <c r="P168" i="16"/>
  <c r="M167" i="16"/>
  <c r="Q167" i="16" s="1"/>
  <c r="L168" i="16" s="1"/>
  <c r="Y174" i="16"/>
  <c r="AC174" i="16" s="1"/>
  <c r="X175" i="16" s="1"/>
  <c r="Z174" i="16"/>
  <c r="AW190" i="18"/>
  <c r="AX190" i="18" s="1"/>
  <c r="AY190" i="18" s="1"/>
  <c r="H191" i="18"/>
  <c r="Q165" i="29" l="1"/>
  <c r="L166" i="29" s="1"/>
  <c r="N166" i="29" s="1"/>
  <c r="AW158" i="28"/>
  <c r="AX158" i="28" s="1"/>
  <c r="AY158" i="28" s="1"/>
  <c r="AI159" i="28"/>
  <c r="AJ159" i="28" s="1"/>
  <c r="AK159" i="28" s="1"/>
  <c r="Q159" i="28"/>
  <c r="L160" i="28" s="1"/>
  <c r="P161" i="28" s="1"/>
  <c r="O160" i="28"/>
  <c r="K159" i="28"/>
  <c r="AL159" i="28"/>
  <c r="AM159" i="28" s="1"/>
  <c r="AN159" i="28" s="1"/>
  <c r="AP159" i="28"/>
  <c r="AO159" i="28"/>
  <c r="O166" i="29"/>
  <c r="K218" i="24"/>
  <c r="R218" i="24" s="1"/>
  <c r="Q219" i="24" s="1"/>
  <c r="AT219" i="24" s="1"/>
  <c r="J218" i="24"/>
  <c r="AW164" i="29"/>
  <c r="AX164" i="29" s="1"/>
  <c r="AY164" i="29" s="1"/>
  <c r="J166" i="29"/>
  <c r="H165" i="29"/>
  <c r="AP165" i="29" s="1"/>
  <c r="G165" i="29"/>
  <c r="K165" i="29" s="1"/>
  <c r="F166" i="29" s="1"/>
  <c r="I166" i="29" s="1"/>
  <c r="AR166" i="29" s="1"/>
  <c r="AW158" i="26"/>
  <c r="AX158" i="26" s="1"/>
  <c r="AY158" i="26" s="1"/>
  <c r="H159" i="26"/>
  <c r="AL159" i="26" s="1"/>
  <c r="F209" i="25"/>
  <c r="AS208" i="25"/>
  <c r="AU208" i="25"/>
  <c r="AI208" i="25"/>
  <c r="AQ208" i="25"/>
  <c r="P213" i="25"/>
  <c r="N212" i="25"/>
  <c r="AN149" i="24"/>
  <c r="AK149" i="24"/>
  <c r="G150" i="24"/>
  <c r="AR150" i="24" s="1"/>
  <c r="F151" i="15"/>
  <c r="AL150" i="15"/>
  <c r="AM150" i="15" s="1"/>
  <c r="AN150" i="15" s="1"/>
  <c r="AI150" i="15"/>
  <c r="AJ150" i="15" s="1"/>
  <c r="AK150" i="15" s="1"/>
  <c r="M212" i="25"/>
  <c r="Q212" i="25" s="1"/>
  <c r="L213" i="25" s="1"/>
  <c r="AW141" i="19"/>
  <c r="AX141" i="19" s="1"/>
  <c r="AY141" i="19" s="1"/>
  <c r="H142" i="19"/>
  <c r="G142" i="19"/>
  <c r="AL142" i="19" s="1"/>
  <c r="AM142" i="19" s="1"/>
  <c r="AN142" i="19" s="1"/>
  <c r="J143" i="19"/>
  <c r="AW123" i="16"/>
  <c r="AX123" i="16" s="1"/>
  <c r="AY123" i="16" s="1"/>
  <c r="AL161" i="17"/>
  <c r="AM161" i="17" s="1"/>
  <c r="AN161" i="17" s="1"/>
  <c r="AP161" i="17"/>
  <c r="AO161" i="17"/>
  <c r="F162" i="17"/>
  <c r="AS161" i="17"/>
  <c r="AU161" i="17"/>
  <c r="AQ161" i="17"/>
  <c r="AI161" i="17"/>
  <c r="AJ161" i="17" s="1"/>
  <c r="AK161" i="17" s="1"/>
  <c r="AQ124" i="16"/>
  <c r="F125" i="16"/>
  <c r="AI124" i="16"/>
  <c r="AJ124" i="16" s="1"/>
  <c r="AK124" i="16" s="1"/>
  <c r="AS124" i="16"/>
  <c r="AL124" i="16"/>
  <c r="AM124" i="16" s="1"/>
  <c r="AN124" i="16" s="1"/>
  <c r="S188" i="16"/>
  <c r="W188" i="16" s="1"/>
  <c r="R189" i="16" s="1"/>
  <c r="T188" i="16"/>
  <c r="M168" i="16"/>
  <c r="Q168" i="16" s="1"/>
  <c r="L169" i="16" s="1"/>
  <c r="P169" i="16"/>
  <c r="N168" i="16"/>
  <c r="AT187" i="16"/>
  <c r="AE187" i="16"/>
  <c r="AD188" i="16" s="1"/>
  <c r="AG174" i="16"/>
  <c r="AF175" i="16" s="1"/>
  <c r="Y175" i="16"/>
  <c r="AC175" i="16" s="1"/>
  <c r="X176" i="16" s="1"/>
  <c r="Z175" i="16"/>
  <c r="F192" i="18"/>
  <c r="AL191" i="18"/>
  <c r="AI191" i="18"/>
  <c r="M166" i="29" l="1"/>
  <c r="Q166" i="29" s="1"/>
  <c r="L167" i="29" s="1"/>
  <c r="P167" i="29"/>
  <c r="M160" i="28"/>
  <c r="N160" i="28"/>
  <c r="F160" i="28"/>
  <c r="AU159" i="28"/>
  <c r="AQ159" i="28"/>
  <c r="AS159" i="28"/>
  <c r="L218" i="24"/>
  <c r="I219" i="24" s="1"/>
  <c r="T218" i="24"/>
  <c r="S219" i="24" s="1"/>
  <c r="AU165" i="29"/>
  <c r="AI165" i="29"/>
  <c r="J167" i="29"/>
  <c r="H166" i="29"/>
  <c r="AP166" i="29" s="1"/>
  <c r="G166" i="29"/>
  <c r="K166" i="29" s="1"/>
  <c r="F167" i="29" s="1"/>
  <c r="I167" i="29" s="1"/>
  <c r="AR167" i="29" s="1"/>
  <c r="AS165" i="29"/>
  <c r="AQ165" i="29"/>
  <c r="AO165" i="29"/>
  <c r="AL165" i="29"/>
  <c r="AI159" i="26"/>
  <c r="AJ159" i="26" s="1"/>
  <c r="AK159" i="26" s="1"/>
  <c r="F160" i="26"/>
  <c r="G160" i="26" s="1"/>
  <c r="AR160" i="26" s="1"/>
  <c r="AM159" i="26"/>
  <c r="AN159" i="26" s="1"/>
  <c r="G209" i="25"/>
  <c r="K209" i="25" s="1"/>
  <c r="J210" i="25"/>
  <c r="H209" i="25"/>
  <c r="AP209" i="25" s="1"/>
  <c r="AJ208" i="25"/>
  <c r="AK208" i="25" s="1"/>
  <c r="AW208" i="25" s="1"/>
  <c r="AX208" i="25" s="1"/>
  <c r="AY208" i="25" s="1"/>
  <c r="N213" i="25"/>
  <c r="P214" i="25"/>
  <c r="AW149" i="24"/>
  <c r="AX149" i="24" s="1"/>
  <c r="AY149" i="24" s="1"/>
  <c r="H150" i="24"/>
  <c r="G151" i="15"/>
  <c r="AR151" i="15" s="1"/>
  <c r="AW150" i="15"/>
  <c r="AX150" i="15" s="1"/>
  <c r="AY150" i="15" s="1"/>
  <c r="M213" i="25"/>
  <c r="K142" i="19"/>
  <c r="AQ142" i="19" s="1"/>
  <c r="AI142" i="19"/>
  <c r="AJ142" i="19" s="1"/>
  <c r="AK142" i="19" s="1"/>
  <c r="AP142" i="19"/>
  <c r="AO142" i="19"/>
  <c r="AW161" i="17"/>
  <c r="AX161" i="17" s="1"/>
  <c r="AY161" i="17" s="1"/>
  <c r="J163" i="17"/>
  <c r="G162" i="17"/>
  <c r="H162" i="17"/>
  <c r="AW124" i="16"/>
  <c r="AX124" i="16" s="1"/>
  <c r="AY124" i="16" s="1"/>
  <c r="G125" i="16"/>
  <c r="J126" i="16"/>
  <c r="H125" i="16"/>
  <c r="AE188" i="16"/>
  <c r="AD189" i="16" s="1"/>
  <c r="AT188" i="16"/>
  <c r="N169" i="16"/>
  <c r="M169" i="16"/>
  <c r="Q169" i="16" s="1"/>
  <c r="L170" i="16" s="1"/>
  <c r="P170" i="16"/>
  <c r="T189" i="16"/>
  <c r="S189" i="16"/>
  <c r="W189" i="16" s="1"/>
  <c r="R190" i="16" s="1"/>
  <c r="Z176" i="16"/>
  <c r="Y176" i="16"/>
  <c r="AC176" i="16" s="1"/>
  <c r="X177" i="16" s="1"/>
  <c r="AG175" i="16"/>
  <c r="AF176" i="16" s="1"/>
  <c r="AM191" i="18"/>
  <c r="AN191" i="18" s="1"/>
  <c r="AJ191" i="18"/>
  <c r="AK191" i="18" s="1"/>
  <c r="G192" i="18"/>
  <c r="AR192" i="18" s="1"/>
  <c r="AW159" i="28" l="1"/>
  <c r="AX159" i="28" s="1"/>
  <c r="AY159" i="28" s="1"/>
  <c r="O167" i="29"/>
  <c r="M167" i="29"/>
  <c r="P168" i="29"/>
  <c r="N167" i="29"/>
  <c r="I160" i="28"/>
  <c r="Q160" i="28" s="1"/>
  <c r="L161" i="28" s="1"/>
  <c r="G160" i="28"/>
  <c r="AL160" i="28" s="1"/>
  <c r="AM160" i="28" s="1"/>
  <c r="AN160" i="28" s="1"/>
  <c r="J161" i="28"/>
  <c r="H160" i="28"/>
  <c r="K219" i="24"/>
  <c r="R219" i="24" s="1"/>
  <c r="Q220" i="24" s="1"/>
  <c r="AT220" i="24" s="1"/>
  <c r="J219" i="24"/>
  <c r="AW159" i="26"/>
  <c r="AX159" i="26" s="1"/>
  <c r="AY159" i="26" s="1"/>
  <c r="AU166" i="29"/>
  <c r="AQ166" i="29"/>
  <c r="AS166" i="29"/>
  <c r="H167" i="29"/>
  <c r="J168" i="29"/>
  <c r="G167" i="29"/>
  <c r="AL166" i="29"/>
  <c r="AI166" i="29"/>
  <c r="AJ165" i="29"/>
  <c r="AK165" i="29" s="1"/>
  <c r="AO166" i="29"/>
  <c r="AM165" i="29"/>
  <c r="AN165" i="29" s="1"/>
  <c r="H160" i="26"/>
  <c r="AL209" i="25"/>
  <c r="AM209" i="25" s="1"/>
  <c r="AN209" i="25" s="1"/>
  <c r="F210" i="25"/>
  <c r="AQ209" i="25"/>
  <c r="AS209" i="25"/>
  <c r="AU209" i="25"/>
  <c r="AI209" i="25"/>
  <c r="AO209" i="25"/>
  <c r="F151" i="24"/>
  <c r="AL150" i="24"/>
  <c r="AM150" i="24" s="1"/>
  <c r="AI150" i="24"/>
  <c r="AJ150" i="24" s="1"/>
  <c r="H151" i="15"/>
  <c r="Q213" i="25"/>
  <c r="AU142" i="19"/>
  <c r="F143" i="19"/>
  <c r="AS142" i="19"/>
  <c r="AO162" i="17"/>
  <c r="AP162" i="17"/>
  <c r="AL162" i="17"/>
  <c r="AM162" i="17" s="1"/>
  <c r="AN162" i="17" s="1"/>
  <c r="K162" i="17"/>
  <c r="AI162" i="17"/>
  <c r="AJ162" i="17" s="1"/>
  <c r="AK162" i="17" s="1"/>
  <c r="AP125" i="16"/>
  <c r="AO125" i="16"/>
  <c r="AL125" i="16"/>
  <c r="AM125" i="16" s="1"/>
  <c r="AN125" i="16" s="1"/>
  <c r="K125" i="16"/>
  <c r="N170" i="16"/>
  <c r="M170" i="16"/>
  <c r="Q170" i="16" s="1"/>
  <c r="L171" i="16" s="1"/>
  <c r="P171" i="16"/>
  <c r="T190" i="16"/>
  <c r="S190" i="16"/>
  <c r="W190" i="16" s="1"/>
  <c r="R191" i="16" s="1"/>
  <c r="AT189" i="16"/>
  <c r="AE189" i="16"/>
  <c r="AD190" i="16" s="1"/>
  <c r="AG176" i="16"/>
  <c r="AF177" i="16" s="1"/>
  <c r="Z177" i="16"/>
  <c r="Y177" i="16"/>
  <c r="AC177" i="16" s="1"/>
  <c r="X178" i="16" s="1"/>
  <c r="AW191" i="18"/>
  <c r="AX191" i="18" s="1"/>
  <c r="AY191" i="18" s="1"/>
  <c r="H192" i="18"/>
  <c r="Q167" i="29" l="1"/>
  <c r="L168" i="29" s="1"/>
  <c r="P169" i="29" s="1"/>
  <c r="AP167" i="29"/>
  <c r="O161" i="28"/>
  <c r="M161" i="28"/>
  <c r="P162" i="28"/>
  <c r="N161" i="28"/>
  <c r="AP160" i="28"/>
  <c r="AO160" i="28"/>
  <c r="AI167" i="29"/>
  <c r="AJ167" i="29" s="1"/>
  <c r="AK167" i="29" s="1"/>
  <c r="AI160" i="28"/>
  <c r="AJ160" i="28" s="1"/>
  <c r="AK160" i="28" s="1"/>
  <c r="K160" i="28"/>
  <c r="L219" i="24"/>
  <c r="I220" i="24" s="1"/>
  <c r="T219" i="24"/>
  <c r="S220" i="24" s="1"/>
  <c r="K167" i="29"/>
  <c r="AL167" i="29"/>
  <c r="AM166" i="29"/>
  <c r="AN166" i="29" s="1"/>
  <c r="AJ166" i="29"/>
  <c r="AK166" i="29" s="1"/>
  <c r="AO167" i="29"/>
  <c r="AW165" i="29"/>
  <c r="AX165" i="29" s="1"/>
  <c r="AY165" i="29" s="1"/>
  <c r="F161" i="26"/>
  <c r="AI160" i="26"/>
  <c r="AL160" i="26"/>
  <c r="AJ209" i="25"/>
  <c r="AK209" i="25" s="1"/>
  <c r="AW209" i="25" s="1"/>
  <c r="AX209" i="25" s="1"/>
  <c r="AY209" i="25" s="1"/>
  <c r="G210" i="25"/>
  <c r="K210" i="25" s="1"/>
  <c r="J211" i="25"/>
  <c r="H210" i="25"/>
  <c r="AP210" i="25" s="1"/>
  <c r="L214" i="25"/>
  <c r="AK150" i="24"/>
  <c r="AN150" i="24"/>
  <c r="G151" i="24"/>
  <c r="AR151" i="24" s="1"/>
  <c r="F152" i="15"/>
  <c r="AI151" i="15"/>
  <c r="AJ151" i="15" s="1"/>
  <c r="AK151" i="15" s="1"/>
  <c r="AL151" i="15"/>
  <c r="AM151" i="15" s="1"/>
  <c r="AN151" i="15" s="1"/>
  <c r="AW142" i="19"/>
  <c r="AX142" i="19" s="1"/>
  <c r="AY142" i="19" s="1"/>
  <c r="H143" i="19"/>
  <c r="G143" i="19"/>
  <c r="J144" i="19"/>
  <c r="F163" i="17"/>
  <c r="AU162" i="17"/>
  <c r="AQ162" i="17"/>
  <c r="AS162" i="17"/>
  <c r="AI125" i="16"/>
  <c r="AJ125" i="16" s="1"/>
  <c r="AK125" i="16" s="1"/>
  <c r="F126" i="16"/>
  <c r="AQ125" i="16"/>
  <c r="AS125" i="16"/>
  <c r="AU125" i="16"/>
  <c r="S191" i="16"/>
  <c r="W191" i="16" s="1"/>
  <c r="R192" i="16" s="1"/>
  <c r="T191" i="16"/>
  <c r="AT190" i="16"/>
  <c r="AE190" i="16"/>
  <c r="AD191" i="16" s="1"/>
  <c r="M171" i="16"/>
  <c r="Q171" i="16" s="1"/>
  <c r="L172" i="16" s="1"/>
  <c r="N171" i="16"/>
  <c r="P172" i="16"/>
  <c r="Z178" i="16"/>
  <c r="Y178" i="16"/>
  <c r="AC178" i="16" s="1"/>
  <c r="X179" i="16" s="1"/>
  <c r="AG177" i="16"/>
  <c r="AF178" i="16" s="1"/>
  <c r="F193" i="18"/>
  <c r="G193" i="18" s="1"/>
  <c r="AR193" i="18" s="1"/>
  <c r="AL192" i="18"/>
  <c r="AM192" i="18" s="1"/>
  <c r="AN192" i="18" s="1"/>
  <c r="AI192" i="18"/>
  <c r="O168" i="29" l="1"/>
  <c r="M168" i="29"/>
  <c r="N168" i="29"/>
  <c r="F161" i="28"/>
  <c r="AQ160" i="28"/>
  <c r="AS160" i="28"/>
  <c r="AU160" i="28"/>
  <c r="K220" i="24"/>
  <c r="T220" i="24" s="1"/>
  <c r="S221" i="24" s="1"/>
  <c r="J220" i="24"/>
  <c r="F168" i="29"/>
  <c r="I168" i="29" s="1"/>
  <c r="AR168" i="29" s="1"/>
  <c r="AU167" i="29"/>
  <c r="AQ167" i="29"/>
  <c r="AS167" i="29"/>
  <c r="AW166" i="29"/>
  <c r="AX166" i="29" s="1"/>
  <c r="AY166" i="29" s="1"/>
  <c r="AM167" i="29"/>
  <c r="AN167" i="29" s="1"/>
  <c r="G161" i="26"/>
  <c r="AR161" i="26" s="1"/>
  <c r="AJ160" i="26"/>
  <c r="AK160" i="26" s="1"/>
  <c r="AM160" i="26"/>
  <c r="AN160" i="26" s="1"/>
  <c r="AW150" i="24"/>
  <c r="AX150" i="24" s="1"/>
  <c r="AY150" i="24" s="1"/>
  <c r="AW151" i="15"/>
  <c r="AX151" i="15" s="1"/>
  <c r="AY151" i="15" s="1"/>
  <c r="F211" i="25"/>
  <c r="AS210" i="25"/>
  <c r="AU210" i="25"/>
  <c r="AI210" i="25"/>
  <c r="AJ210" i="25" s="1"/>
  <c r="AK210" i="25" s="1"/>
  <c r="AQ210" i="25"/>
  <c r="AL210" i="25"/>
  <c r="AM210" i="25" s="1"/>
  <c r="AN210" i="25" s="1"/>
  <c r="AO210" i="25"/>
  <c r="P215" i="25"/>
  <c r="N214" i="25"/>
  <c r="H151" i="24"/>
  <c r="G152" i="15"/>
  <c r="AR152" i="15" s="1"/>
  <c r="M214" i="25"/>
  <c r="Q214" i="25" s="1"/>
  <c r="L215" i="25" s="1"/>
  <c r="K143" i="19"/>
  <c r="AL143" i="19"/>
  <c r="AM143" i="19" s="1"/>
  <c r="AN143" i="19" s="1"/>
  <c r="AI143" i="19"/>
  <c r="AJ143" i="19" s="1"/>
  <c r="AK143" i="19" s="1"/>
  <c r="AO143" i="19"/>
  <c r="AP143" i="19"/>
  <c r="AW162" i="17"/>
  <c r="AX162" i="17" s="1"/>
  <c r="AY162" i="17" s="1"/>
  <c r="AW125" i="16"/>
  <c r="AX125" i="16" s="1"/>
  <c r="AY125" i="16" s="1"/>
  <c r="G163" i="17"/>
  <c r="K163" i="17" s="1"/>
  <c r="AS163" i="17" s="1"/>
  <c r="H163" i="17"/>
  <c r="J164" i="17"/>
  <c r="G126" i="16"/>
  <c r="K126" i="16" s="1"/>
  <c r="AU126" i="16" s="1"/>
  <c r="J127" i="16"/>
  <c r="H126" i="16"/>
  <c r="AG178" i="16"/>
  <c r="AF179" i="16" s="1"/>
  <c r="M172" i="16"/>
  <c r="Q172" i="16" s="1"/>
  <c r="L173" i="16" s="1"/>
  <c r="P173" i="16"/>
  <c r="N172" i="16"/>
  <c r="T192" i="16"/>
  <c r="S192" i="16"/>
  <c r="W192" i="16" s="1"/>
  <c r="R193" i="16" s="1"/>
  <c r="AE191" i="16"/>
  <c r="AD192" i="16" s="1"/>
  <c r="AT191" i="16"/>
  <c r="Z179" i="16"/>
  <c r="Y179" i="16"/>
  <c r="AC179" i="16" s="1"/>
  <c r="X180" i="16" s="1"/>
  <c r="H193" i="18"/>
  <c r="AI193" i="18" s="1"/>
  <c r="AJ192" i="18"/>
  <c r="AK192" i="18" s="1"/>
  <c r="AW192" i="18" s="1"/>
  <c r="AX192" i="18" s="1"/>
  <c r="AY192" i="18" s="1"/>
  <c r="Q168" i="29" l="1"/>
  <c r="L169" i="29" s="1"/>
  <c r="M169" i="29" s="1"/>
  <c r="AW160" i="28"/>
  <c r="AX160" i="28" s="1"/>
  <c r="AY160" i="28" s="1"/>
  <c r="I161" i="28"/>
  <c r="Q161" i="28" s="1"/>
  <c r="L162" i="28" s="1"/>
  <c r="G161" i="28"/>
  <c r="AI161" i="28" s="1"/>
  <c r="AJ161" i="28" s="1"/>
  <c r="AK161" i="28" s="1"/>
  <c r="J162" i="28"/>
  <c r="H161" i="28"/>
  <c r="O169" i="29"/>
  <c r="L220" i="24"/>
  <c r="I221" i="24" s="1"/>
  <c r="R220" i="24"/>
  <c r="Q221" i="24" s="1"/>
  <c r="AT221" i="24" s="1"/>
  <c r="AW167" i="29"/>
  <c r="AX167" i="29" s="1"/>
  <c r="AY167" i="29" s="1"/>
  <c r="J169" i="29"/>
  <c r="H168" i="29"/>
  <c r="AP168" i="29" s="1"/>
  <c r="G168" i="29"/>
  <c r="AI168" i="29" s="1"/>
  <c r="AW160" i="26"/>
  <c r="AX160" i="26" s="1"/>
  <c r="AY160" i="26" s="1"/>
  <c r="H161" i="26"/>
  <c r="G211" i="25"/>
  <c r="K211" i="25" s="1"/>
  <c r="H211" i="25"/>
  <c r="AP211" i="25" s="1"/>
  <c r="J212" i="25"/>
  <c r="AW210" i="25"/>
  <c r="AX210" i="25" s="1"/>
  <c r="AY210" i="25" s="1"/>
  <c r="N215" i="25"/>
  <c r="P216" i="25"/>
  <c r="F152" i="24"/>
  <c r="AL151" i="24"/>
  <c r="AM151" i="24" s="1"/>
  <c r="AI151" i="24"/>
  <c r="AJ151" i="24" s="1"/>
  <c r="H152" i="15"/>
  <c r="M215" i="25"/>
  <c r="F144" i="19"/>
  <c r="AU143" i="19"/>
  <c r="AS143" i="19"/>
  <c r="AQ143" i="19"/>
  <c r="AQ163" i="17"/>
  <c r="AU163" i="17"/>
  <c r="F164" i="17"/>
  <c r="AP163" i="17"/>
  <c r="AO163" i="17"/>
  <c r="AI163" i="17"/>
  <c r="AJ163" i="17" s="1"/>
  <c r="AK163" i="17" s="1"/>
  <c r="AL163" i="17"/>
  <c r="AM163" i="17" s="1"/>
  <c r="AN163" i="17" s="1"/>
  <c r="AL126" i="16"/>
  <c r="AM126" i="16" s="1"/>
  <c r="AN126" i="16" s="1"/>
  <c r="AI126" i="16"/>
  <c r="AJ126" i="16" s="1"/>
  <c r="AK126" i="16" s="1"/>
  <c r="AS126" i="16"/>
  <c r="AP126" i="16"/>
  <c r="AO126" i="16"/>
  <c r="F127" i="16"/>
  <c r="AQ126" i="16"/>
  <c r="AE192" i="16"/>
  <c r="AD193" i="16" s="1"/>
  <c r="AT192" i="16"/>
  <c r="S193" i="16"/>
  <c r="W193" i="16" s="1"/>
  <c r="R194" i="16" s="1"/>
  <c r="T193" i="16"/>
  <c r="M173" i="16"/>
  <c r="Q173" i="16" s="1"/>
  <c r="L174" i="16" s="1"/>
  <c r="P174" i="16"/>
  <c r="N173" i="16"/>
  <c r="Z180" i="16"/>
  <c r="Y180" i="16"/>
  <c r="AC180" i="16" s="1"/>
  <c r="X181" i="16" s="1"/>
  <c r="AG179" i="16"/>
  <c r="AF180" i="16" s="1"/>
  <c r="F194" i="18"/>
  <c r="G194" i="18" s="1"/>
  <c r="AR194" i="18" s="1"/>
  <c r="AL193" i="18"/>
  <c r="AM193" i="18" s="1"/>
  <c r="AN193" i="18" s="1"/>
  <c r="AJ193" i="18"/>
  <c r="AK193" i="18" s="1"/>
  <c r="P170" i="29" l="1"/>
  <c r="N169" i="29"/>
  <c r="AP161" i="28"/>
  <c r="AO161" i="28"/>
  <c r="AL161" i="28"/>
  <c r="AM161" i="28" s="1"/>
  <c r="AN161" i="28" s="1"/>
  <c r="K161" i="28"/>
  <c r="O162" i="28"/>
  <c r="M162" i="28"/>
  <c r="N162" i="28"/>
  <c r="P163" i="28"/>
  <c r="K221" i="24"/>
  <c r="R221" i="24" s="1"/>
  <c r="Q222" i="24" s="1"/>
  <c r="J221" i="24"/>
  <c r="AO168" i="29"/>
  <c r="AJ168" i="29"/>
  <c r="AK168" i="29" s="1"/>
  <c r="K168" i="29"/>
  <c r="AL168" i="29"/>
  <c r="F162" i="26"/>
  <c r="AL161" i="26"/>
  <c r="AI161" i="26"/>
  <c r="AL211" i="25"/>
  <c r="AM211" i="25" s="1"/>
  <c r="AN211" i="25" s="1"/>
  <c r="F212" i="25"/>
  <c r="AI211" i="25"/>
  <c r="AQ211" i="25"/>
  <c r="AS211" i="25"/>
  <c r="AU211" i="25"/>
  <c r="AO211" i="25"/>
  <c r="AK151" i="24"/>
  <c r="AN151" i="24"/>
  <c r="G152" i="24"/>
  <c r="AR152" i="24" s="1"/>
  <c r="F153" i="15"/>
  <c r="AI152" i="15"/>
  <c r="AJ152" i="15" s="1"/>
  <c r="AK152" i="15" s="1"/>
  <c r="AL152" i="15"/>
  <c r="AM152" i="15" s="1"/>
  <c r="AN152" i="15" s="1"/>
  <c r="Q215" i="25"/>
  <c r="AW143" i="19"/>
  <c r="AX143" i="19" s="1"/>
  <c r="AY143" i="19" s="1"/>
  <c r="J145" i="19"/>
  <c r="G144" i="19"/>
  <c r="K144" i="19" s="1"/>
  <c r="F145" i="19" s="1"/>
  <c r="H144" i="19"/>
  <c r="AW163" i="17"/>
  <c r="AX163" i="17" s="1"/>
  <c r="AY163" i="17" s="1"/>
  <c r="G164" i="17"/>
  <c r="K164" i="17" s="1"/>
  <c r="AQ164" i="17" s="1"/>
  <c r="H164" i="17"/>
  <c r="J165" i="17"/>
  <c r="AW126" i="16"/>
  <c r="AX126" i="16" s="1"/>
  <c r="AY126" i="16" s="1"/>
  <c r="H127" i="16"/>
  <c r="G127" i="16"/>
  <c r="AL127" i="16" s="1"/>
  <c r="AM127" i="16" s="1"/>
  <c r="AN127" i="16" s="1"/>
  <c r="J128" i="16"/>
  <c r="M174" i="16"/>
  <c r="Q174" i="16" s="1"/>
  <c r="L175" i="16" s="1"/>
  <c r="P175" i="16"/>
  <c r="N174" i="16"/>
  <c r="AG180" i="16"/>
  <c r="AF181" i="16" s="1"/>
  <c r="S194" i="16"/>
  <c r="W194" i="16" s="1"/>
  <c r="R195" i="16" s="1"/>
  <c r="T194" i="16"/>
  <c r="AT193" i="16"/>
  <c r="AE193" i="16"/>
  <c r="AD194" i="16" s="1"/>
  <c r="Z181" i="16"/>
  <c r="Y181" i="16"/>
  <c r="AC181" i="16" s="1"/>
  <c r="X182" i="16" s="1"/>
  <c r="H194" i="18"/>
  <c r="F195" i="18" s="1"/>
  <c r="G195" i="18" s="1"/>
  <c r="AR195" i="18" s="1"/>
  <c r="AW193" i="18"/>
  <c r="AX193" i="18" s="1"/>
  <c r="AY193" i="18" s="1"/>
  <c r="F162" i="28" l="1"/>
  <c r="AQ161" i="28"/>
  <c r="AS161" i="28"/>
  <c r="AU161" i="28"/>
  <c r="L221" i="24"/>
  <c r="I222" i="24" s="1"/>
  <c r="T221" i="24"/>
  <c r="S222" i="24" s="1"/>
  <c r="F169" i="29"/>
  <c r="I169" i="29" s="1"/>
  <c r="AU168" i="29"/>
  <c r="AQ168" i="29"/>
  <c r="AS168" i="29"/>
  <c r="AM168" i="29"/>
  <c r="AN168" i="29" s="1"/>
  <c r="G162" i="26"/>
  <c r="AR162" i="26" s="1"/>
  <c r="AM161" i="26"/>
  <c r="AN161" i="26" s="1"/>
  <c r="AJ161" i="26"/>
  <c r="AK161" i="26" s="1"/>
  <c r="G212" i="25"/>
  <c r="K212" i="25" s="1"/>
  <c r="H212" i="25"/>
  <c r="AP212" i="25" s="1"/>
  <c r="J213" i="25"/>
  <c r="AJ211" i="25"/>
  <c r="AK211" i="25" s="1"/>
  <c r="AW211" i="25" s="1"/>
  <c r="AX211" i="25" s="1"/>
  <c r="AY211" i="25" s="1"/>
  <c r="AW151" i="24"/>
  <c r="AX151" i="24" s="1"/>
  <c r="AY151" i="24" s="1"/>
  <c r="L216" i="25"/>
  <c r="AT222" i="24"/>
  <c r="AW152" i="15"/>
  <c r="AX152" i="15" s="1"/>
  <c r="AY152" i="15" s="1"/>
  <c r="H152" i="24"/>
  <c r="G153" i="15"/>
  <c r="AR153" i="15" s="1"/>
  <c r="AI144" i="19"/>
  <c r="AJ144" i="19" s="1"/>
  <c r="AK144" i="19" s="1"/>
  <c r="AU144" i="19"/>
  <c r="AQ144" i="19"/>
  <c r="AS144" i="19"/>
  <c r="J146" i="19"/>
  <c r="G145" i="19"/>
  <c r="AI145" i="19" s="1"/>
  <c r="AJ145" i="19" s="1"/>
  <c r="AK145" i="19" s="1"/>
  <c r="H145" i="19"/>
  <c r="AP144" i="19"/>
  <c r="AO144" i="19"/>
  <c r="AL144" i="19"/>
  <c r="AM144" i="19" s="1"/>
  <c r="AN144" i="19" s="1"/>
  <c r="AS164" i="17"/>
  <c r="AL164" i="17"/>
  <c r="AM164" i="17" s="1"/>
  <c r="AN164" i="17" s="1"/>
  <c r="AI164" i="17"/>
  <c r="AJ164" i="17" s="1"/>
  <c r="AK164" i="17" s="1"/>
  <c r="AP164" i="17"/>
  <c r="AO164" i="17"/>
  <c r="F165" i="17"/>
  <c r="AU164" i="17"/>
  <c r="AO127" i="16"/>
  <c r="AP127" i="16"/>
  <c r="K127" i="16"/>
  <c r="AG181" i="16"/>
  <c r="AF182" i="16" s="1"/>
  <c r="AT194" i="16"/>
  <c r="AE194" i="16"/>
  <c r="AD195" i="16" s="1"/>
  <c r="S195" i="16"/>
  <c r="W195" i="16" s="1"/>
  <c r="R196" i="16" s="1"/>
  <c r="T195" i="16"/>
  <c r="N175" i="16"/>
  <c r="P176" i="16"/>
  <c r="M175" i="16"/>
  <c r="Q175" i="16" s="1"/>
  <c r="L176" i="16" s="1"/>
  <c r="Z182" i="16"/>
  <c r="Y182" i="16"/>
  <c r="AC182" i="16" s="1"/>
  <c r="X183" i="16" s="1"/>
  <c r="AI194" i="18"/>
  <c r="AJ194" i="18" s="1"/>
  <c r="AK194" i="18" s="1"/>
  <c r="AL194" i="18"/>
  <c r="AM194" i="18" s="1"/>
  <c r="AN194" i="18" s="1"/>
  <c r="H195" i="18"/>
  <c r="F196" i="18" s="1"/>
  <c r="AW161" i="28" l="1"/>
  <c r="AX161" i="28" s="1"/>
  <c r="AY161" i="28" s="1"/>
  <c r="AR169" i="29"/>
  <c r="Q169" i="29"/>
  <c r="L170" i="29" s="1"/>
  <c r="I162" i="28"/>
  <c r="Q162" i="28" s="1"/>
  <c r="L163" i="28" s="1"/>
  <c r="H162" i="28"/>
  <c r="J163" i="28"/>
  <c r="G162" i="28"/>
  <c r="AI162" i="28" s="1"/>
  <c r="AJ162" i="28" s="1"/>
  <c r="AK162" i="28" s="1"/>
  <c r="K222" i="24"/>
  <c r="R222" i="24" s="1"/>
  <c r="Q223" i="24" s="1"/>
  <c r="AT223" i="24" s="1"/>
  <c r="J222" i="24"/>
  <c r="AW168" i="29"/>
  <c r="AX168" i="29" s="1"/>
  <c r="AY168" i="29" s="1"/>
  <c r="H169" i="29"/>
  <c r="AP169" i="29" s="1"/>
  <c r="J170" i="29"/>
  <c r="G169" i="29"/>
  <c r="AL169" i="29" s="1"/>
  <c r="AW161" i="26"/>
  <c r="AX161" i="26" s="1"/>
  <c r="AY161" i="26" s="1"/>
  <c r="H162" i="26"/>
  <c r="AI162" i="26" s="1"/>
  <c r="AL212" i="25"/>
  <c r="AM212" i="25" s="1"/>
  <c r="AN212" i="25" s="1"/>
  <c r="F213" i="25"/>
  <c r="AU212" i="25"/>
  <c r="AQ212" i="25"/>
  <c r="AI212" i="25"/>
  <c r="AS212" i="25"/>
  <c r="AO212" i="25"/>
  <c r="P217" i="25"/>
  <c r="N216" i="25"/>
  <c r="M216" i="25"/>
  <c r="F153" i="24"/>
  <c r="AI152" i="24"/>
  <c r="AJ152" i="24" s="1"/>
  <c r="AL152" i="24"/>
  <c r="AM152" i="24" s="1"/>
  <c r="H153" i="15"/>
  <c r="AW144" i="19"/>
  <c r="AX144" i="19" s="1"/>
  <c r="AY144" i="19" s="1"/>
  <c r="AP145" i="19"/>
  <c r="AO145" i="19"/>
  <c r="K145" i="19"/>
  <c r="AL145" i="19"/>
  <c r="AM145" i="19" s="1"/>
  <c r="AN145" i="19" s="1"/>
  <c r="AW164" i="17"/>
  <c r="AX164" i="17" s="1"/>
  <c r="AY164" i="17" s="1"/>
  <c r="H165" i="17"/>
  <c r="J166" i="17"/>
  <c r="G165" i="17"/>
  <c r="K165" i="17" s="1"/>
  <c r="F166" i="17" s="1"/>
  <c r="AQ127" i="16"/>
  <c r="F128" i="16"/>
  <c r="AS127" i="16"/>
  <c r="AU127" i="16"/>
  <c r="AI127" i="16"/>
  <c r="AJ127" i="16" s="1"/>
  <c r="AK127" i="16" s="1"/>
  <c r="S196" i="16"/>
  <c r="W196" i="16" s="1"/>
  <c r="R197" i="16" s="1"/>
  <c r="T196" i="16"/>
  <c r="AT195" i="16"/>
  <c r="AE195" i="16"/>
  <c r="AD196" i="16" s="1"/>
  <c r="AG182" i="16"/>
  <c r="AF183" i="16" s="1"/>
  <c r="P177" i="16"/>
  <c r="M176" i="16"/>
  <c r="Q176" i="16" s="1"/>
  <c r="L177" i="16" s="1"/>
  <c r="N176" i="16"/>
  <c r="Z183" i="16"/>
  <c r="Y183" i="16"/>
  <c r="AC183" i="16" s="1"/>
  <c r="X184" i="16" s="1"/>
  <c r="AI195" i="18"/>
  <c r="AJ195" i="18" s="1"/>
  <c r="AL195" i="18"/>
  <c r="AM195" i="18" s="1"/>
  <c r="AW194" i="18"/>
  <c r="AX194" i="18" s="1"/>
  <c r="AY194" i="18" s="1"/>
  <c r="G196" i="18"/>
  <c r="AR196" i="18" s="1"/>
  <c r="O163" i="28" l="1"/>
  <c r="M163" i="28"/>
  <c r="P164" i="28"/>
  <c r="N163" i="28"/>
  <c r="AP162" i="28"/>
  <c r="AO162" i="28"/>
  <c r="O170" i="29"/>
  <c r="P171" i="29"/>
  <c r="M170" i="29"/>
  <c r="N170" i="29"/>
  <c r="AL162" i="28"/>
  <c r="AM162" i="28" s="1"/>
  <c r="AN162" i="28" s="1"/>
  <c r="K162" i="28"/>
  <c r="L222" i="24"/>
  <c r="I223" i="24" s="1"/>
  <c r="T222" i="24"/>
  <c r="S223" i="24" s="1"/>
  <c r="AI169" i="29"/>
  <c r="AM169" i="29"/>
  <c r="AN169" i="29" s="1"/>
  <c r="K169" i="29"/>
  <c r="AO169" i="29"/>
  <c r="F163" i="26"/>
  <c r="AL162" i="26"/>
  <c r="AJ162" i="26"/>
  <c r="AK162" i="26" s="1"/>
  <c r="G213" i="25"/>
  <c r="K213" i="25" s="1"/>
  <c r="J214" i="25"/>
  <c r="H213" i="25"/>
  <c r="AP213" i="25" s="1"/>
  <c r="AJ212" i="25"/>
  <c r="AK212" i="25" s="1"/>
  <c r="AW212" i="25" s="1"/>
  <c r="AX212" i="25" s="1"/>
  <c r="AY212" i="25" s="1"/>
  <c r="Q216" i="25"/>
  <c r="AN152" i="24"/>
  <c r="AK152" i="24"/>
  <c r="G153" i="24"/>
  <c r="AR153" i="24" s="1"/>
  <c r="F154" i="15"/>
  <c r="AI153" i="15"/>
  <c r="AJ153" i="15" s="1"/>
  <c r="AK153" i="15" s="1"/>
  <c r="AL153" i="15"/>
  <c r="AM153" i="15" s="1"/>
  <c r="AN153" i="15" s="1"/>
  <c r="F146" i="19"/>
  <c r="AU145" i="19"/>
  <c r="AS145" i="19"/>
  <c r="AQ145" i="19"/>
  <c r="AW127" i="16"/>
  <c r="AX127" i="16" s="1"/>
  <c r="AY127" i="16" s="1"/>
  <c r="AQ165" i="17"/>
  <c r="AU165" i="17"/>
  <c r="J167" i="17"/>
  <c r="G166" i="17"/>
  <c r="AI166" i="17" s="1"/>
  <c r="AJ166" i="17" s="1"/>
  <c r="AK166" i="17" s="1"/>
  <c r="H166" i="17"/>
  <c r="AI165" i="17"/>
  <c r="AJ165" i="17" s="1"/>
  <c r="AK165" i="17" s="1"/>
  <c r="AL165" i="17"/>
  <c r="AM165" i="17" s="1"/>
  <c r="AN165" i="17" s="1"/>
  <c r="AS165" i="17"/>
  <c r="AP165" i="17"/>
  <c r="AO165" i="17"/>
  <c r="H128" i="16"/>
  <c r="J129" i="16"/>
  <c r="G128" i="16"/>
  <c r="K128" i="16" s="1"/>
  <c r="F129" i="16" s="1"/>
  <c r="AG183" i="16"/>
  <c r="AF184" i="16" s="1"/>
  <c r="M177" i="16"/>
  <c r="Q177" i="16" s="1"/>
  <c r="L178" i="16" s="1"/>
  <c r="P178" i="16"/>
  <c r="N177" i="16"/>
  <c r="AE196" i="16"/>
  <c r="AD197" i="16" s="1"/>
  <c r="AT196" i="16"/>
  <c r="T197" i="16"/>
  <c r="S197" i="16"/>
  <c r="W197" i="16" s="1"/>
  <c r="R198" i="16" s="1"/>
  <c r="Y184" i="16"/>
  <c r="AC184" i="16" s="1"/>
  <c r="X185" i="16" s="1"/>
  <c r="Z184" i="16"/>
  <c r="AK195" i="18"/>
  <c r="AN195" i="18"/>
  <c r="H196" i="18"/>
  <c r="F163" i="28" l="1"/>
  <c r="AU162" i="28"/>
  <c r="AQ162" i="28"/>
  <c r="AS162" i="28"/>
  <c r="K223" i="24"/>
  <c r="T223" i="24" s="1"/>
  <c r="S224" i="24" s="1"/>
  <c r="J223" i="24"/>
  <c r="AJ169" i="29"/>
  <c r="AK169" i="29" s="1"/>
  <c r="F170" i="29"/>
  <c r="I170" i="29" s="1"/>
  <c r="AR170" i="29" s="1"/>
  <c r="AQ169" i="29"/>
  <c r="AS169" i="29"/>
  <c r="AU169" i="29"/>
  <c r="G163" i="26"/>
  <c r="AR163" i="26" s="1"/>
  <c r="AM162" i="26"/>
  <c r="AN162" i="26" s="1"/>
  <c r="AW162" i="26" s="1"/>
  <c r="AX162" i="26" s="1"/>
  <c r="AY162" i="26" s="1"/>
  <c r="AW153" i="15"/>
  <c r="AX153" i="15" s="1"/>
  <c r="AY153" i="15" s="1"/>
  <c r="AW152" i="24"/>
  <c r="AX152" i="24" s="1"/>
  <c r="AY152" i="24" s="1"/>
  <c r="F214" i="25"/>
  <c r="AQ213" i="25"/>
  <c r="AS213" i="25"/>
  <c r="AU213" i="25"/>
  <c r="AI213" i="25"/>
  <c r="AJ213" i="25" s="1"/>
  <c r="AK213" i="25" s="1"/>
  <c r="AL213" i="25"/>
  <c r="AO213" i="25"/>
  <c r="L217" i="25"/>
  <c r="M217" i="25" s="1"/>
  <c r="Q217" i="25" s="1"/>
  <c r="L218" i="25" s="1"/>
  <c r="H153" i="24"/>
  <c r="G154" i="15"/>
  <c r="AR154" i="15" s="1"/>
  <c r="AW145" i="19"/>
  <c r="AX145" i="19" s="1"/>
  <c r="AY145" i="19" s="1"/>
  <c r="H146" i="19"/>
  <c r="G146" i="19"/>
  <c r="K146" i="19" s="1"/>
  <c r="F147" i="19" s="1"/>
  <c r="J147" i="19"/>
  <c r="AW165" i="17"/>
  <c r="AX165" i="17" s="1"/>
  <c r="AY165" i="17" s="1"/>
  <c r="AO166" i="17"/>
  <c r="AP166" i="17"/>
  <c r="K166" i="17"/>
  <c r="AL166" i="17"/>
  <c r="AM166" i="17" s="1"/>
  <c r="AN166" i="17" s="1"/>
  <c r="AQ128" i="16"/>
  <c r="AL128" i="16"/>
  <c r="AM128" i="16" s="1"/>
  <c r="AN128" i="16" s="1"/>
  <c r="AI128" i="16"/>
  <c r="AJ128" i="16" s="1"/>
  <c r="AK128" i="16" s="1"/>
  <c r="AU128" i="16"/>
  <c r="AP128" i="16"/>
  <c r="AO128" i="16"/>
  <c r="G129" i="16"/>
  <c r="K129" i="16" s="1"/>
  <c r="F130" i="16" s="1"/>
  <c r="J130" i="16"/>
  <c r="H129" i="16"/>
  <c r="AS128" i="16"/>
  <c r="AE197" i="16"/>
  <c r="AD198" i="16" s="1"/>
  <c r="AT197" i="16"/>
  <c r="S198" i="16"/>
  <c r="W198" i="16" s="1"/>
  <c r="R199" i="16" s="1"/>
  <c r="T198" i="16"/>
  <c r="N178" i="16"/>
  <c r="P179" i="16"/>
  <c r="M178" i="16"/>
  <c r="Q178" i="16" s="1"/>
  <c r="L179" i="16" s="1"/>
  <c r="AG184" i="16"/>
  <c r="AF185" i="16" s="1"/>
  <c r="Y185" i="16"/>
  <c r="AC185" i="16" s="1"/>
  <c r="X186" i="16" s="1"/>
  <c r="Z185" i="16"/>
  <c r="AW195" i="18"/>
  <c r="AX195" i="18" s="1"/>
  <c r="AY195" i="18" s="1"/>
  <c r="F197" i="18"/>
  <c r="AL196" i="18"/>
  <c r="AM196" i="18" s="1"/>
  <c r="AI196" i="18"/>
  <c r="AJ196" i="18" s="1"/>
  <c r="AW162" i="28" l="1"/>
  <c r="AX162" i="28" s="1"/>
  <c r="AY162" i="28" s="1"/>
  <c r="Q170" i="29"/>
  <c r="L171" i="29" s="1"/>
  <c r="N171" i="29" s="1"/>
  <c r="I163" i="28"/>
  <c r="Q163" i="28" s="1"/>
  <c r="L164" i="28" s="1"/>
  <c r="G163" i="28"/>
  <c r="AI163" i="28" s="1"/>
  <c r="AJ163" i="28" s="1"/>
  <c r="AK163" i="28" s="1"/>
  <c r="J164" i="28"/>
  <c r="H163" i="28"/>
  <c r="L223" i="24"/>
  <c r="I224" i="24" s="1"/>
  <c r="R223" i="24"/>
  <c r="Q224" i="24" s="1"/>
  <c r="AT224" i="24" s="1"/>
  <c r="AW169" i="29"/>
  <c r="AX169" i="29" s="1"/>
  <c r="AY169" i="29" s="1"/>
  <c r="J171" i="29"/>
  <c r="H170" i="29"/>
  <c r="AP170" i="29" s="1"/>
  <c r="G170" i="29"/>
  <c r="AI170" i="29" s="1"/>
  <c r="H163" i="26"/>
  <c r="G214" i="25"/>
  <c r="K214" i="25" s="1"/>
  <c r="H214" i="25"/>
  <c r="AP214" i="25" s="1"/>
  <c r="J215" i="25"/>
  <c r="AM213" i="25"/>
  <c r="AN213" i="25" s="1"/>
  <c r="AW213" i="25" s="1"/>
  <c r="AX213" i="25" s="1"/>
  <c r="AY213" i="25" s="1"/>
  <c r="N217" i="25"/>
  <c r="P218" i="25"/>
  <c r="P219" i="25"/>
  <c r="N218" i="25"/>
  <c r="F154" i="24"/>
  <c r="AL153" i="24"/>
  <c r="AM153" i="24" s="1"/>
  <c r="AI153" i="24"/>
  <c r="AJ153" i="24" s="1"/>
  <c r="H154" i="15"/>
  <c r="M218" i="25"/>
  <c r="Q218" i="25" s="1"/>
  <c r="AU146" i="19"/>
  <c r="AI146" i="19"/>
  <c r="AJ146" i="19" s="1"/>
  <c r="AK146" i="19" s="1"/>
  <c r="AL146" i="19"/>
  <c r="AM146" i="19" s="1"/>
  <c r="AN146" i="19" s="1"/>
  <c r="AQ146" i="19"/>
  <c r="G147" i="19"/>
  <c r="K147" i="19" s="1"/>
  <c r="F148" i="19" s="1"/>
  <c r="J148" i="19"/>
  <c r="H147" i="19"/>
  <c r="AS146" i="19"/>
  <c r="AO146" i="19"/>
  <c r="AP146" i="19"/>
  <c r="AS166" i="17"/>
  <c r="F167" i="17"/>
  <c r="AQ166" i="17"/>
  <c r="AU166" i="17"/>
  <c r="AS129" i="16"/>
  <c r="AU129" i="16"/>
  <c r="AI129" i="16"/>
  <c r="AJ129" i="16" s="1"/>
  <c r="AK129" i="16" s="1"/>
  <c r="AL129" i="16"/>
  <c r="AM129" i="16" s="1"/>
  <c r="AN129" i="16" s="1"/>
  <c r="AP129" i="16"/>
  <c r="AO129" i="16"/>
  <c r="AQ129" i="16"/>
  <c r="H130" i="16"/>
  <c r="J131" i="16"/>
  <c r="G130" i="16"/>
  <c r="K130" i="16" s="1"/>
  <c r="F131" i="16" s="1"/>
  <c r="AW128" i="16"/>
  <c r="AX128" i="16" s="1"/>
  <c r="AY128" i="16" s="1"/>
  <c r="AG185" i="16"/>
  <c r="AF186" i="16" s="1"/>
  <c r="P180" i="16"/>
  <c r="N179" i="16"/>
  <c r="M179" i="16"/>
  <c r="Q179" i="16" s="1"/>
  <c r="L180" i="16" s="1"/>
  <c r="S199" i="16"/>
  <c r="W199" i="16" s="1"/>
  <c r="R200" i="16" s="1"/>
  <c r="T199" i="16"/>
  <c r="AE198" i="16"/>
  <c r="AD199" i="16" s="1"/>
  <c r="AT198" i="16"/>
  <c r="Y186" i="16"/>
  <c r="AC186" i="16" s="1"/>
  <c r="X187" i="16" s="1"/>
  <c r="Z186" i="16"/>
  <c r="G197" i="18"/>
  <c r="AR197" i="18" s="1"/>
  <c r="AK196" i="18"/>
  <c r="AN196" i="18"/>
  <c r="O171" i="29" l="1"/>
  <c r="P172" i="29"/>
  <c r="M171" i="29"/>
  <c r="O164" i="28"/>
  <c r="M164" i="28"/>
  <c r="N164" i="28"/>
  <c r="P165" i="28"/>
  <c r="AP163" i="28"/>
  <c r="AO163" i="28"/>
  <c r="K163" i="28"/>
  <c r="AL163" i="28"/>
  <c r="AM163" i="28" s="1"/>
  <c r="AN163" i="28" s="1"/>
  <c r="K224" i="24"/>
  <c r="T224" i="24" s="1"/>
  <c r="S225" i="24" s="1"/>
  <c r="J224" i="24"/>
  <c r="AL170" i="29"/>
  <c r="AO170" i="29"/>
  <c r="K170" i="29"/>
  <c r="AJ170" i="29"/>
  <c r="AK170" i="29" s="1"/>
  <c r="F164" i="26"/>
  <c r="AL163" i="26"/>
  <c r="AM163" i="26" s="1"/>
  <c r="AN163" i="26" s="1"/>
  <c r="AI163" i="26"/>
  <c r="F215" i="25"/>
  <c r="AI214" i="25"/>
  <c r="AU214" i="25"/>
  <c r="AQ214" i="25"/>
  <c r="AS214" i="25"/>
  <c r="AL214" i="25"/>
  <c r="AO214" i="25"/>
  <c r="L219" i="25"/>
  <c r="G154" i="24"/>
  <c r="AR154" i="24" s="1"/>
  <c r="AN153" i="24"/>
  <c r="AK153" i="24"/>
  <c r="F155" i="15"/>
  <c r="AI154" i="15"/>
  <c r="AJ154" i="15" s="1"/>
  <c r="AK154" i="15" s="1"/>
  <c r="AL154" i="15"/>
  <c r="AM154" i="15" s="1"/>
  <c r="AN154" i="15" s="1"/>
  <c r="AW146" i="19"/>
  <c r="AX146" i="19" s="1"/>
  <c r="AY146" i="19" s="1"/>
  <c r="H148" i="19"/>
  <c r="G148" i="19"/>
  <c r="AI148" i="19" s="1"/>
  <c r="AJ148" i="19" s="1"/>
  <c r="AK148" i="19" s="1"/>
  <c r="J149" i="19"/>
  <c r="AQ147" i="19"/>
  <c r="AI147" i="19"/>
  <c r="AJ147" i="19" s="1"/>
  <c r="AK147" i="19" s="1"/>
  <c r="AU147" i="19"/>
  <c r="AL147" i="19"/>
  <c r="AM147" i="19" s="1"/>
  <c r="AN147" i="19" s="1"/>
  <c r="AP147" i="19"/>
  <c r="AO147" i="19"/>
  <c r="AS147" i="19"/>
  <c r="AW166" i="17"/>
  <c r="AX166" i="17" s="1"/>
  <c r="AY166" i="17" s="1"/>
  <c r="J168" i="17"/>
  <c r="G167" i="17"/>
  <c r="AI167" i="17" s="1"/>
  <c r="AJ167" i="17" s="1"/>
  <c r="AK167" i="17" s="1"/>
  <c r="H167" i="17"/>
  <c r="AW129" i="16"/>
  <c r="AX129" i="16" s="1"/>
  <c r="AY129" i="16" s="1"/>
  <c r="AI130" i="16"/>
  <c r="AJ130" i="16" s="1"/>
  <c r="AK130" i="16" s="1"/>
  <c r="J132" i="16"/>
  <c r="G131" i="16"/>
  <c r="K131" i="16" s="1"/>
  <c r="F132" i="16" s="1"/>
  <c r="H131" i="16"/>
  <c r="AU130" i="16"/>
  <c r="AL130" i="16"/>
  <c r="AM130" i="16" s="1"/>
  <c r="AN130" i="16" s="1"/>
  <c r="AQ130" i="16"/>
  <c r="AS130" i="16"/>
  <c r="AO130" i="16"/>
  <c r="AP130" i="16"/>
  <c r="AE199" i="16"/>
  <c r="AD200" i="16" s="1"/>
  <c r="AT199" i="16"/>
  <c r="S200" i="16"/>
  <c r="W200" i="16" s="1"/>
  <c r="R201" i="16" s="1"/>
  <c r="T200" i="16"/>
  <c r="P181" i="16"/>
  <c r="M180" i="16"/>
  <c r="Q180" i="16" s="1"/>
  <c r="L181" i="16" s="1"/>
  <c r="N180" i="16"/>
  <c r="Z187" i="16"/>
  <c r="Y187" i="16"/>
  <c r="AC187" i="16" s="1"/>
  <c r="X188" i="16" s="1"/>
  <c r="AG186" i="16"/>
  <c r="AF187" i="16" s="1"/>
  <c r="H197" i="18"/>
  <c r="AW196" i="18"/>
  <c r="AX196" i="18" s="1"/>
  <c r="AY196" i="18" s="1"/>
  <c r="F164" i="28" l="1"/>
  <c r="AQ163" i="28"/>
  <c r="AS163" i="28"/>
  <c r="AU163" i="28"/>
  <c r="L224" i="24"/>
  <c r="I225" i="24" s="1"/>
  <c r="R224" i="24"/>
  <c r="Q225" i="24" s="1"/>
  <c r="AT225" i="24" s="1"/>
  <c r="AM170" i="29"/>
  <c r="AN170" i="29" s="1"/>
  <c r="F171" i="29"/>
  <c r="I171" i="29" s="1"/>
  <c r="AU170" i="29"/>
  <c r="AQ170" i="29"/>
  <c r="AS170" i="29"/>
  <c r="G164" i="26"/>
  <c r="AR164" i="26" s="1"/>
  <c r="AJ163" i="26"/>
  <c r="AK163" i="26" s="1"/>
  <c r="AW163" i="26" s="1"/>
  <c r="AX163" i="26" s="1"/>
  <c r="AY163" i="26" s="1"/>
  <c r="G215" i="25"/>
  <c r="K215" i="25" s="1"/>
  <c r="J216" i="25"/>
  <c r="H215" i="25"/>
  <c r="AP215" i="25" s="1"/>
  <c r="AW154" i="15"/>
  <c r="AX154" i="15" s="1"/>
  <c r="AY154" i="15" s="1"/>
  <c r="AM214" i="25"/>
  <c r="AN214" i="25" s="1"/>
  <c r="AJ214" i="25"/>
  <c r="AK214" i="25" s="1"/>
  <c r="M219" i="25"/>
  <c r="Q219" i="25" s="1"/>
  <c r="L220" i="25" s="1"/>
  <c r="P220" i="25"/>
  <c r="N219" i="25"/>
  <c r="AW153" i="24"/>
  <c r="AX153" i="24" s="1"/>
  <c r="AY153" i="24" s="1"/>
  <c r="H154" i="24"/>
  <c r="G155" i="15"/>
  <c r="AR155" i="15" s="1"/>
  <c r="AL148" i="19"/>
  <c r="AM148" i="19" s="1"/>
  <c r="AN148" i="19" s="1"/>
  <c r="AW147" i="19"/>
  <c r="AX147" i="19" s="1"/>
  <c r="AY147" i="19" s="1"/>
  <c r="AP148" i="19"/>
  <c r="AO148" i="19"/>
  <c r="K148" i="19"/>
  <c r="AO167" i="17"/>
  <c r="AP167" i="17"/>
  <c r="AL167" i="17"/>
  <c r="AM167" i="17" s="1"/>
  <c r="AN167" i="17" s="1"/>
  <c r="K167" i="17"/>
  <c r="AL131" i="16"/>
  <c r="AM131" i="16" s="1"/>
  <c r="AN131" i="16" s="1"/>
  <c r="AQ131" i="16"/>
  <c r="AI131" i="16"/>
  <c r="AJ131" i="16" s="1"/>
  <c r="AK131" i="16" s="1"/>
  <c r="AU131" i="16"/>
  <c r="AW130" i="16"/>
  <c r="AX130" i="16" s="1"/>
  <c r="AY130" i="16" s="1"/>
  <c r="G132" i="16"/>
  <c r="AL132" i="16" s="1"/>
  <c r="AM132" i="16" s="1"/>
  <c r="AN132" i="16" s="1"/>
  <c r="H132" i="16"/>
  <c r="J133" i="16"/>
  <c r="AP131" i="16"/>
  <c r="AO131" i="16"/>
  <c r="AG187" i="16"/>
  <c r="AF188" i="16" s="1"/>
  <c r="AS131" i="16"/>
  <c r="P182" i="16"/>
  <c r="M181" i="16"/>
  <c r="Q181" i="16" s="1"/>
  <c r="L182" i="16" s="1"/>
  <c r="N181" i="16"/>
  <c r="AT200" i="16"/>
  <c r="AE200" i="16"/>
  <c r="AD201" i="16" s="1"/>
  <c r="S201" i="16"/>
  <c r="W201" i="16" s="1"/>
  <c r="R202" i="16" s="1"/>
  <c r="T201" i="16"/>
  <c r="Z188" i="16"/>
  <c r="Y188" i="16"/>
  <c r="AC188" i="16" s="1"/>
  <c r="X189" i="16" s="1"/>
  <c r="F198" i="18"/>
  <c r="AI197" i="18"/>
  <c r="AJ197" i="18" s="1"/>
  <c r="AK197" i="18" s="1"/>
  <c r="AL197" i="18"/>
  <c r="AM197" i="18" s="1"/>
  <c r="AW163" i="28" l="1"/>
  <c r="AX163" i="28" s="1"/>
  <c r="AY163" i="28" s="1"/>
  <c r="AR171" i="29"/>
  <c r="Q171" i="29"/>
  <c r="L172" i="29" s="1"/>
  <c r="I164" i="28"/>
  <c r="Q164" i="28" s="1"/>
  <c r="L165" i="28" s="1"/>
  <c r="G164" i="28"/>
  <c r="AL164" i="28" s="1"/>
  <c r="AM164" i="28" s="1"/>
  <c r="AN164" i="28" s="1"/>
  <c r="H164" i="28"/>
  <c r="J165" i="28"/>
  <c r="K225" i="24"/>
  <c r="T225" i="24" s="1"/>
  <c r="S226" i="24" s="1"/>
  <c r="J225" i="24"/>
  <c r="AW170" i="29"/>
  <c r="AX170" i="29" s="1"/>
  <c r="AY170" i="29" s="1"/>
  <c r="H171" i="29"/>
  <c r="AP171" i="29" s="1"/>
  <c r="J172" i="29"/>
  <c r="G171" i="29"/>
  <c r="K171" i="29" s="1"/>
  <c r="F172" i="29" s="1"/>
  <c r="I172" i="29" s="1"/>
  <c r="AR172" i="29" s="1"/>
  <c r="H164" i="26"/>
  <c r="AW214" i="25"/>
  <c r="AX214" i="25" s="1"/>
  <c r="AY214" i="25" s="1"/>
  <c r="AL215" i="25"/>
  <c r="AM215" i="25" s="1"/>
  <c r="AN215" i="25" s="1"/>
  <c r="F216" i="25"/>
  <c r="AQ215" i="25"/>
  <c r="AS215" i="25"/>
  <c r="AI215" i="25"/>
  <c r="AU215" i="25"/>
  <c r="AO215" i="25"/>
  <c r="P221" i="25"/>
  <c r="N220" i="25"/>
  <c r="M220" i="25"/>
  <c r="Q220" i="25" s="1"/>
  <c r="L221" i="25" s="1"/>
  <c r="F155" i="24"/>
  <c r="AI154" i="24"/>
  <c r="AL154" i="24"/>
  <c r="AM154" i="24" s="1"/>
  <c r="H155" i="15"/>
  <c r="AU148" i="19"/>
  <c r="F149" i="19"/>
  <c r="AS148" i="19"/>
  <c r="AQ148" i="19"/>
  <c r="F168" i="17"/>
  <c r="AU167" i="17"/>
  <c r="AS167" i="17"/>
  <c r="AQ167" i="17"/>
  <c r="AW131" i="16"/>
  <c r="AX131" i="16" s="1"/>
  <c r="AY131" i="16" s="1"/>
  <c r="AP132" i="16"/>
  <c r="AO132" i="16"/>
  <c r="K132" i="16"/>
  <c r="S202" i="16"/>
  <c r="W202" i="16" s="1"/>
  <c r="R203" i="16" s="1"/>
  <c r="T202" i="16"/>
  <c r="N182" i="16"/>
  <c r="P183" i="16"/>
  <c r="M182" i="16"/>
  <c r="Q182" i="16" s="1"/>
  <c r="L183" i="16" s="1"/>
  <c r="AT201" i="16"/>
  <c r="AE201" i="16"/>
  <c r="AD202" i="16" s="1"/>
  <c r="Y189" i="16"/>
  <c r="AC189" i="16" s="1"/>
  <c r="X190" i="16" s="1"/>
  <c r="Z189" i="16"/>
  <c r="AG188" i="16"/>
  <c r="AF189" i="16" s="1"/>
  <c r="AN197" i="18"/>
  <c r="AW197" i="18" s="1"/>
  <c r="AX197" i="18" s="1"/>
  <c r="AY197" i="18" s="1"/>
  <c r="G198" i="18"/>
  <c r="AR198" i="18" s="1"/>
  <c r="O165" i="28" l="1"/>
  <c r="M165" i="28"/>
  <c r="P166" i="28"/>
  <c r="N165" i="28"/>
  <c r="AP164" i="28"/>
  <c r="AO164" i="28"/>
  <c r="K164" i="28"/>
  <c r="AI164" i="28"/>
  <c r="AJ164" i="28" s="1"/>
  <c r="AK164" i="28" s="1"/>
  <c r="O172" i="29"/>
  <c r="M172" i="29"/>
  <c r="P173" i="29"/>
  <c r="N172" i="29"/>
  <c r="L225" i="24"/>
  <c r="I226" i="24" s="1"/>
  <c r="J226" i="24" s="1"/>
  <c r="R225" i="24"/>
  <c r="Q226" i="24" s="1"/>
  <c r="AS171" i="29"/>
  <c r="AL171" i="29"/>
  <c r="AO171" i="29"/>
  <c r="AU171" i="29"/>
  <c r="AI171" i="29"/>
  <c r="AQ171" i="29"/>
  <c r="J173" i="29"/>
  <c r="H172" i="29"/>
  <c r="G172" i="29"/>
  <c r="F165" i="26"/>
  <c r="AI164" i="26"/>
  <c r="AJ164" i="26" s="1"/>
  <c r="AK164" i="26" s="1"/>
  <c r="AL164" i="26"/>
  <c r="AM164" i="26" s="1"/>
  <c r="AN164" i="26" s="1"/>
  <c r="G216" i="25"/>
  <c r="K216" i="25" s="1"/>
  <c r="H216" i="25"/>
  <c r="AP216" i="25" s="1"/>
  <c r="J217" i="25"/>
  <c r="AJ215" i="25"/>
  <c r="AK215" i="25" s="1"/>
  <c r="AW215" i="25" s="1"/>
  <c r="AX215" i="25" s="1"/>
  <c r="AY215" i="25" s="1"/>
  <c r="AN154" i="24"/>
  <c r="P222" i="25"/>
  <c r="N221" i="25"/>
  <c r="M221" i="25"/>
  <c r="G155" i="24"/>
  <c r="AR155" i="24" s="1"/>
  <c r="AJ154" i="24"/>
  <c r="AK154" i="24" s="1"/>
  <c r="F156" i="15"/>
  <c r="AI155" i="15"/>
  <c r="AJ155" i="15" s="1"/>
  <c r="AK155" i="15" s="1"/>
  <c r="AL155" i="15"/>
  <c r="AM155" i="15" s="1"/>
  <c r="AN155" i="15" s="1"/>
  <c r="AW148" i="19"/>
  <c r="AX148" i="19" s="1"/>
  <c r="AY148" i="19" s="1"/>
  <c r="G149" i="19"/>
  <c r="K149" i="19" s="1"/>
  <c r="F150" i="19" s="1"/>
  <c r="J150" i="19"/>
  <c r="H149" i="19"/>
  <c r="AW167" i="17"/>
  <c r="AX167" i="17" s="1"/>
  <c r="AY167" i="17" s="1"/>
  <c r="J169" i="17"/>
  <c r="G168" i="17"/>
  <c r="K168" i="17" s="1"/>
  <c r="H168" i="17"/>
  <c r="F133" i="16"/>
  <c r="AI132" i="16"/>
  <c r="AJ132" i="16" s="1"/>
  <c r="AK132" i="16" s="1"/>
  <c r="AS132" i="16"/>
  <c r="AU132" i="16"/>
  <c r="AQ132" i="16"/>
  <c r="AT202" i="16"/>
  <c r="AE202" i="16"/>
  <c r="AD203" i="16" s="1"/>
  <c r="P184" i="16"/>
  <c r="N183" i="16"/>
  <c r="M183" i="16"/>
  <c r="Q183" i="16" s="1"/>
  <c r="L184" i="16" s="1"/>
  <c r="T203" i="16"/>
  <c r="S203" i="16"/>
  <c r="W203" i="16" s="1"/>
  <c r="R204" i="16" s="1"/>
  <c r="Z190" i="16"/>
  <c r="Y190" i="16"/>
  <c r="AC190" i="16" s="1"/>
  <c r="X191" i="16" s="1"/>
  <c r="AG189" i="16"/>
  <c r="AF190" i="16" s="1"/>
  <c r="H198" i="18"/>
  <c r="AP172" i="29" l="1"/>
  <c r="Q172" i="29"/>
  <c r="L173" i="29" s="1"/>
  <c r="M173" i="29" s="1"/>
  <c r="AI172" i="29"/>
  <c r="AJ172" i="29" s="1"/>
  <c r="AK172" i="29" s="1"/>
  <c r="F165" i="28"/>
  <c r="AS164" i="28"/>
  <c r="AU164" i="28"/>
  <c r="AQ164" i="28"/>
  <c r="O173" i="29"/>
  <c r="K226" i="24"/>
  <c r="T226" i="24" s="1"/>
  <c r="S227" i="24" s="1"/>
  <c r="AT226" i="24"/>
  <c r="AW164" i="26"/>
  <c r="AX164" i="26" s="1"/>
  <c r="AY164" i="26" s="1"/>
  <c r="AM171" i="29"/>
  <c r="AN171" i="29" s="1"/>
  <c r="AO172" i="29"/>
  <c r="AJ171" i="29"/>
  <c r="AK171" i="29" s="1"/>
  <c r="AL172" i="29"/>
  <c r="K172" i="29"/>
  <c r="G165" i="26"/>
  <c r="AR165" i="26" s="1"/>
  <c r="AL216" i="25"/>
  <c r="AM216" i="25" s="1"/>
  <c r="AN216" i="25" s="1"/>
  <c r="AW154" i="24"/>
  <c r="AX154" i="24" s="1"/>
  <c r="AY154" i="24" s="1"/>
  <c r="F217" i="25"/>
  <c r="AQ216" i="25"/>
  <c r="AU216" i="25"/>
  <c r="AI216" i="25"/>
  <c r="AJ216" i="25" s="1"/>
  <c r="AK216" i="25" s="1"/>
  <c r="AS216" i="25"/>
  <c r="AO216" i="25"/>
  <c r="Q221" i="25"/>
  <c r="H155" i="24"/>
  <c r="G156" i="15"/>
  <c r="AR156" i="15" s="1"/>
  <c r="AW155" i="15"/>
  <c r="AX155" i="15" s="1"/>
  <c r="AY155" i="15" s="1"/>
  <c r="AS149" i="19"/>
  <c r="AQ149" i="19"/>
  <c r="G150" i="19"/>
  <c r="AL150" i="19" s="1"/>
  <c r="AM150" i="19" s="1"/>
  <c r="AN150" i="19" s="1"/>
  <c r="J151" i="19"/>
  <c r="H150" i="19"/>
  <c r="AO149" i="19"/>
  <c r="AP149" i="19"/>
  <c r="AI149" i="19"/>
  <c r="AJ149" i="19" s="1"/>
  <c r="AK149" i="19" s="1"/>
  <c r="AU149" i="19"/>
  <c r="AL149" i="19"/>
  <c r="AM149" i="19" s="1"/>
  <c r="AN149" i="19" s="1"/>
  <c r="AW132" i="16"/>
  <c r="AX132" i="16" s="1"/>
  <c r="AY132" i="16" s="1"/>
  <c r="AL168" i="17"/>
  <c r="AM168" i="17" s="1"/>
  <c r="AN168" i="17" s="1"/>
  <c r="F169" i="17"/>
  <c r="AU168" i="17"/>
  <c r="AQ168" i="17"/>
  <c r="AS168" i="17"/>
  <c r="AI168" i="17"/>
  <c r="AJ168" i="17" s="1"/>
  <c r="AK168" i="17" s="1"/>
  <c r="AO168" i="17"/>
  <c r="AP168" i="17"/>
  <c r="H133" i="16"/>
  <c r="J134" i="16"/>
  <c r="G133" i="16"/>
  <c r="AL133" i="16" s="1"/>
  <c r="AM133" i="16" s="1"/>
  <c r="AN133" i="16" s="1"/>
  <c r="AG190" i="16"/>
  <c r="AF191" i="16" s="1"/>
  <c r="AT203" i="16"/>
  <c r="AE203" i="16"/>
  <c r="AD204" i="16" s="1"/>
  <c r="T204" i="16"/>
  <c r="S204" i="16"/>
  <c r="W204" i="16" s="1"/>
  <c r="R205" i="16" s="1"/>
  <c r="M184" i="16"/>
  <c r="Q184" i="16" s="1"/>
  <c r="L185" i="16" s="1"/>
  <c r="N184" i="16"/>
  <c r="P185" i="16"/>
  <c r="Z191" i="16"/>
  <c r="Y191" i="16"/>
  <c r="AC191" i="16" s="1"/>
  <c r="X192" i="16" s="1"/>
  <c r="F199" i="18"/>
  <c r="AI198" i="18"/>
  <c r="AL198" i="18"/>
  <c r="N173" i="29" l="1"/>
  <c r="P174" i="29"/>
  <c r="AW164" i="28"/>
  <c r="AX164" i="28" s="1"/>
  <c r="AY164" i="28" s="1"/>
  <c r="I165" i="28"/>
  <c r="Q165" i="28" s="1"/>
  <c r="L166" i="28" s="1"/>
  <c r="G165" i="28"/>
  <c r="AI165" i="28" s="1"/>
  <c r="AJ165" i="28" s="1"/>
  <c r="AK165" i="28" s="1"/>
  <c r="J166" i="28"/>
  <c r="H165" i="28"/>
  <c r="L226" i="24"/>
  <c r="I227" i="24" s="1"/>
  <c r="K227" i="24" s="1"/>
  <c r="T227" i="24" s="1"/>
  <c r="S228" i="24" s="1"/>
  <c r="R226" i="24"/>
  <c r="Q227" i="24" s="1"/>
  <c r="AT227" i="24" s="1"/>
  <c r="AM172" i="29"/>
  <c r="AN172" i="29" s="1"/>
  <c r="F173" i="29"/>
  <c r="I173" i="29" s="1"/>
  <c r="AR173" i="29" s="1"/>
  <c r="AS172" i="29"/>
  <c r="AU172" i="29"/>
  <c r="AQ172" i="29"/>
  <c r="AW171" i="29"/>
  <c r="AX171" i="29" s="1"/>
  <c r="AY171" i="29" s="1"/>
  <c r="H165" i="26"/>
  <c r="F166" i="26" s="1"/>
  <c r="G166" i="26" s="1"/>
  <c r="AR166" i="26" s="1"/>
  <c r="G217" i="25"/>
  <c r="K217" i="25" s="1"/>
  <c r="J218" i="25"/>
  <c r="H217" i="25"/>
  <c r="AP217" i="25" s="1"/>
  <c r="AW216" i="25"/>
  <c r="AX216" i="25" s="1"/>
  <c r="AY216" i="25" s="1"/>
  <c r="L222" i="25"/>
  <c r="F156" i="24"/>
  <c r="AL155" i="24"/>
  <c r="AI155" i="24"/>
  <c r="H156" i="15"/>
  <c r="K150" i="19"/>
  <c r="AS150" i="19" s="1"/>
  <c r="AP150" i="19"/>
  <c r="AO150" i="19"/>
  <c r="AW149" i="19"/>
  <c r="AX149" i="19" s="1"/>
  <c r="AY149" i="19" s="1"/>
  <c r="AI150" i="19"/>
  <c r="AJ150" i="19" s="1"/>
  <c r="AK150" i="19" s="1"/>
  <c r="AW168" i="17"/>
  <c r="AX168" i="17" s="1"/>
  <c r="AY168" i="17" s="1"/>
  <c r="J170" i="17"/>
  <c r="H169" i="17"/>
  <c r="G169" i="17"/>
  <c r="AL169" i="17" s="1"/>
  <c r="AM169" i="17" s="1"/>
  <c r="AN169" i="17" s="1"/>
  <c r="K133" i="16"/>
  <c r="AO133" i="16"/>
  <c r="AP133" i="16"/>
  <c r="AT204" i="16"/>
  <c r="AE204" i="16"/>
  <c r="AD205" i="16" s="1"/>
  <c r="N185" i="16"/>
  <c r="P186" i="16"/>
  <c r="M185" i="16"/>
  <c r="Q185" i="16" s="1"/>
  <c r="L186" i="16" s="1"/>
  <c r="S205" i="16"/>
  <c r="W205" i="16" s="1"/>
  <c r="R206" i="16" s="1"/>
  <c r="T205" i="16"/>
  <c r="AG191" i="16"/>
  <c r="AF192" i="16" s="1"/>
  <c r="Y192" i="16"/>
  <c r="AC192" i="16" s="1"/>
  <c r="X193" i="16" s="1"/>
  <c r="Z192" i="16"/>
  <c r="G199" i="18"/>
  <c r="AR199" i="18" s="1"/>
  <c r="AM198" i="18"/>
  <c r="AN198" i="18" s="1"/>
  <c r="AJ198" i="18"/>
  <c r="AK198" i="18" s="1"/>
  <c r="Q173" i="29" l="1"/>
  <c r="L174" i="29" s="1"/>
  <c r="N174" i="29" s="1"/>
  <c r="O166" i="28"/>
  <c r="M166" i="28"/>
  <c r="N166" i="28"/>
  <c r="P167" i="28"/>
  <c r="AP165" i="28"/>
  <c r="AO165" i="28"/>
  <c r="K165" i="28"/>
  <c r="AL165" i="28"/>
  <c r="J227" i="24"/>
  <c r="L227" i="24" s="1"/>
  <c r="I228" i="24" s="1"/>
  <c r="R227" i="24"/>
  <c r="Q228" i="24" s="1"/>
  <c r="AT228" i="24" s="1"/>
  <c r="AW172" i="29"/>
  <c r="AX172" i="29" s="1"/>
  <c r="AY172" i="29" s="1"/>
  <c r="H173" i="29"/>
  <c r="AP173" i="29" s="1"/>
  <c r="J174" i="29"/>
  <c r="G173" i="29"/>
  <c r="AI173" i="29" s="1"/>
  <c r="AI165" i="26"/>
  <c r="AJ165" i="26" s="1"/>
  <c r="AK165" i="26" s="1"/>
  <c r="AL165" i="26"/>
  <c r="AM165" i="26" s="1"/>
  <c r="AN165" i="26" s="1"/>
  <c r="H166" i="26"/>
  <c r="F167" i="26" s="1"/>
  <c r="G167" i="26" s="1"/>
  <c r="AR167" i="26" s="1"/>
  <c r="AL217" i="25"/>
  <c r="AM217" i="25" s="1"/>
  <c r="AN217" i="25" s="1"/>
  <c r="F218" i="25"/>
  <c r="AS217" i="25"/>
  <c r="AI217" i="25"/>
  <c r="AJ217" i="25" s="1"/>
  <c r="AK217" i="25" s="1"/>
  <c r="AQ217" i="25"/>
  <c r="AU217" i="25"/>
  <c r="AO217" i="25"/>
  <c r="N222" i="25"/>
  <c r="P223" i="25"/>
  <c r="M222" i="25"/>
  <c r="Q222" i="25" s="1"/>
  <c r="L223" i="25" s="1"/>
  <c r="AM155" i="24"/>
  <c r="AN155" i="24" s="1"/>
  <c r="AJ155" i="24"/>
  <c r="AK155" i="24" s="1"/>
  <c r="G156" i="24"/>
  <c r="AR156" i="24" s="1"/>
  <c r="F157" i="15"/>
  <c r="AI156" i="15"/>
  <c r="AJ156" i="15" s="1"/>
  <c r="AK156" i="15" s="1"/>
  <c r="AL156" i="15"/>
  <c r="AM156" i="15" s="1"/>
  <c r="AN156" i="15" s="1"/>
  <c r="F151" i="19"/>
  <c r="G151" i="19" s="1"/>
  <c r="AI151" i="19" s="1"/>
  <c r="AJ151" i="19" s="1"/>
  <c r="AK151" i="19" s="1"/>
  <c r="AU150" i="19"/>
  <c r="AQ150" i="19"/>
  <c r="K169" i="17"/>
  <c r="F170" i="17" s="1"/>
  <c r="G170" i="17" s="1"/>
  <c r="K170" i="17" s="1"/>
  <c r="AI169" i="17"/>
  <c r="AJ169" i="17" s="1"/>
  <c r="AK169" i="17" s="1"/>
  <c r="AP169" i="17"/>
  <c r="AO169" i="17"/>
  <c r="F134" i="16"/>
  <c r="AS133" i="16"/>
  <c r="AI133" i="16"/>
  <c r="AJ133" i="16" s="1"/>
  <c r="AK133" i="16" s="1"/>
  <c r="AU133" i="16"/>
  <c r="AQ133" i="16"/>
  <c r="T206" i="16"/>
  <c r="S206" i="16"/>
  <c r="W206" i="16" s="1"/>
  <c r="R207" i="16" s="1"/>
  <c r="AE205" i="16"/>
  <c r="AD206" i="16" s="1"/>
  <c r="AT205" i="16"/>
  <c r="P187" i="16"/>
  <c r="N186" i="16"/>
  <c r="M186" i="16"/>
  <c r="Q186" i="16" s="1"/>
  <c r="L187" i="16" s="1"/>
  <c r="Z193" i="16"/>
  <c r="Y193" i="16"/>
  <c r="AC193" i="16" s="1"/>
  <c r="X194" i="16" s="1"/>
  <c r="AG192" i="16"/>
  <c r="AF193" i="16" s="1"/>
  <c r="H199" i="18"/>
  <c r="AI199" i="18" s="1"/>
  <c r="AW198" i="18"/>
  <c r="AX198" i="18" s="1"/>
  <c r="AY198" i="18" s="1"/>
  <c r="O174" i="29" l="1"/>
  <c r="M174" i="29"/>
  <c r="P175" i="29"/>
  <c r="F166" i="28"/>
  <c r="AU165" i="28"/>
  <c r="AQ165" i="28"/>
  <c r="AS165" i="28"/>
  <c r="AM165" i="28"/>
  <c r="AN165" i="28" s="1"/>
  <c r="K228" i="24"/>
  <c r="T228" i="24" s="1"/>
  <c r="S229" i="24" s="1"/>
  <c r="J228" i="24"/>
  <c r="AW165" i="26"/>
  <c r="AX165" i="26" s="1"/>
  <c r="AY165" i="26" s="1"/>
  <c r="AL173" i="29"/>
  <c r="K173" i="29"/>
  <c r="AO173" i="29"/>
  <c r="AJ173" i="29"/>
  <c r="AK173" i="29" s="1"/>
  <c r="AI166" i="26"/>
  <c r="AJ166" i="26" s="1"/>
  <c r="AK166" i="26" s="1"/>
  <c r="AL166" i="26"/>
  <c r="AM166" i="26" s="1"/>
  <c r="H167" i="26"/>
  <c r="AW155" i="24"/>
  <c r="AX155" i="24" s="1"/>
  <c r="AY155" i="24" s="1"/>
  <c r="G218" i="25"/>
  <c r="K218" i="25" s="1"/>
  <c r="H218" i="25"/>
  <c r="AP218" i="25" s="1"/>
  <c r="J219" i="25"/>
  <c r="AW217" i="25"/>
  <c r="AX217" i="25" s="1"/>
  <c r="AY217" i="25" s="1"/>
  <c r="P224" i="25"/>
  <c r="N223" i="25"/>
  <c r="M223" i="25"/>
  <c r="Q223" i="25" s="1"/>
  <c r="L224" i="25" s="1"/>
  <c r="H156" i="24"/>
  <c r="F157" i="24" s="1"/>
  <c r="G157" i="24" s="1"/>
  <c r="AR157" i="24" s="1"/>
  <c r="AW156" i="15"/>
  <c r="AX156" i="15" s="1"/>
  <c r="AY156" i="15" s="1"/>
  <c r="G157" i="15"/>
  <c r="AR157" i="15" s="1"/>
  <c r="J152" i="19"/>
  <c r="H151" i="19"/>
  <c r="AO151" i="19" s="1"/>
  <c r="AW150" i="19"/>
  <c r="AX150" i="19" s="1"/>
  <c r="AY150" i="19" s="1"/>
  <c r="AL151" i="19"/>
  <c r="AM151" i="19" s="1"/>
  <c r="AN151" i="19" s="1"/>
  <c r="K151" i="19"/>
  <c r="F152" i="19" s="1"/>
  <c r="G152" i="19" s="1"/>
  <c r="K152" i="19" s="1"/>
  <c r="F153" i="19" s="1"/>
  <c r="AW133" i="16"/>
  <c r="AX133" i="16" s="1"/>
  <c r="AY133" i="16" s="1"/>
  <c r="H170" i="17"/>
  <c r="AO170" i="17" s="1"/>
  <c r="AU169" i="17"/>
  <c r="J171" i="17"/>
  <c r="AS169" i="17"/>
  <c r="AQ169" i="17"/>
  <c r="AL170" i="17"/>
  <c r="AM170" i="17" s="1"/>
  <c r="AN170" i="17" s="1"/>
  <c r="AI170" i="17"/>
  <c r="AJ170" i="17" s="1"/>
  <c r="AK170" i="17" s="1"/>
  <c r="F171" i="17"/>
  <c r="H171" i="17" s="1"/>
  <c r="AU170" i="17"/>
  <c r="AQ170" i="17"/>
  <c r="AS170" i="17"/>
  <c r="J135" i="16"/>
  <c r="H134" i="16"/>
  <c r="G134" i="16"/>
  <c r="K134" i="16" s="1"/>
  <c r="AT206" i="16"/>
  <c r="AE206" i="16"/>
  <c r="AD207" i="16" s="1"/>
  <c r="P188" i="16"/>
  <c r="M187" i="16"/>
  <c r="Q187" i="16" s="1"/>
  <c r="L188" i="16" s="1"/>
  <c r="N187" i="16"/>
  <c r="T207" i="16"/>
  <c r="S207" i="16"/>
  <c r="W207" i="16" s="1"/>
  <c r="R208" i="16" s="1"/>
  <c r="AG193" i="16"/>
  <c r="AF194" i="16" s="1"/>
  <c r="Z194" i="16"/>
  <c r="Y194" i="16"/>
  <c r="AC194" i="16" s="1"/>
  <c r="X195" i="16" s="1"/>
  <c r="F200" i="18"/>
  <c r="G200" i="18" s="1"/>
  <c r="AR200" i="18" s="1"/>
  <c r="AL199" i="18"/>
  <c r="AM199" i="18" s="1"/>
  <c r="AN199" i="18" s="1"/>
  <c r="AJ199" i="18"/>
  <c r="AK199" i="18" s="1"/>
  <c r="AW165" i="28" l="1"/>
  <c r="AX165" i="28" s="1"/>
  <c r="AY165" i="28" s="1"/>
  <c r="I166" i="28"/>
  <c r="Q166" i="28" s="1"/>
  <c r="L167" i="28" s="1"/>
  <c r="H166" i="28"/>
  <c r="G166" i="28"/>
  <c r="AI166" i="28" s="1"/>
  <c r="AJ166" i="28" s="1"/>
  <c r="AK166" i="28" s="1"/>
  <c r="J167" i="28"/>
  <c r="L228" i="24"/>
  <c r="I229" i="24" s="1"/>
  <c r="R228" i="24"/>
  <c r="Q229" i="24" s="1"/>
  <c r="AT229" i="24" s="1"/>
  <c r="AM173" i="29"/>
  <c r="AN173" i="29" s="1"/>
  <c r="F174" i="29"/>
  <c r="I174" i="29" s="1"/>
  <c r="AU173" i="29"/>
  <c r="AQ173" i="29"/>
  <c r="AS173" i="29"/>
  <c r="AN166" i="26"/>
  <c r="AW166" i="26" s="1"/>
  <c r="AX166" i="26" s="1"/>
  <c r="AY166" i="26" s="1"/>
  <c r="F168" i="26"/>
  <c r="AL167" i="26"/>
  <c r="AI167" i="26"/>
  <c r="AI156" i="24"/>
  <c r="AL156" i="24"/>
  <c r="AM156" i="24" s="1"/>
  <c r="AN156" i="24" s="1"/>
  <c r="F219" i="25"/>
  <c r="AI218" i="25"/>
  <c r="AQ218" i="25"/>
  <c r="AS218" i="25"/>
  <c r="AU218" i="25"/>
  <c r="AL218" i="25"/>
  <c r="AO218" i="25"/>
  <c r="N224" i="25"/>
  <c r="P225" i="25"/>
  <c r="M224" i="25"/>
  <c r="Q224" i="25" s="1"/>
  <c r="L225" i="25" s="1"/>
  <c r="H157" i="24"/>
  <c r="H157" i="15"/>
  <c r="AP151" i="19"/>
  <c r="AU151" i="19"/>
  <c r="J153" i="19"/>
  <c r="H152" i="19"/>
  <c r="AP152" i="19" s="1"/>
  <c r="AQ151" i="19"/>
  <c r="AS151" i="19"/>
  <c r="AS152" i="19"/>
  <c r="G153" i="19"/>
  <c r="AL153" i="19" s="1"/>
  <c r="AM153" i="19" s="1"/>
  <c r="AN153" i="19" s="1"/>
  <c r="J154" i="19"/>
  <c r="H153" i="19"/>
  <c r="AI152" i="19"/>
  <c r="AJ152" i="19" s="1"/>
  <c r="AK152" i="19" s="1"/>
  <c r="AU152" i="19"/>
  <c r="AL152" i="19"/>
  <c r="AM152" i="19" s="1"/>
  <c r="AN152" i="19" s="1"/>
  <c r="AQ152" i="19"/>
  <c r="AP170" i="17"/>
  <c r="AW170" i="17" s="1"/>
  <c r="AX170" i="17" s="1"/>
  <c r="AY170" i="17" s="1"/>
  <c r="AW169" i="17"/>
  <c r="AX169" i="17" s="1"/>
  <c r="AY169" i="17" s="1"/>
  <c r="G171" i="17"/>
  <c r="AI171" i="17" s="1"/>
  <c r="AJ171" i="17" s="1"/>
  <c r="AK171" i="17" s="1"/>
  <c r="J172" i="17"/>
  <c r="AP171" i="17"/>
  <c r="AO171" i="17"/>
  <c r="AL134" i="16"/>
  <c r="AM134" i="16" s="1"/>
  <c r="AN134" i="16" s="1"/>
  <c r="AI134" i="16"/>
  <c r="AJ134" i="16" s="1"/>
  <c r="AK134" i="16" s="1"/>
  <c r="F135" i="16"/>
  <c r="AS134" i="16"/>
  <c r="AQ134" i="16"/>
  <c r="AU134" i="16"/>
  <c r="AO134" i="16"/>
  <c r="AP134" i="16"/>
  <c r="AE207" i="16"/>
  <c r="AD208" i="16" s="1"/>
  <c r="AT207" i="16"/>
  <c r="M188" i="16"/>
  <c r="Q188" i="16" s="1"/>
  <c r="L189" i="16" s="1"/>
  <c r="P189" i="16"/>
  <c r="N188" i="16"/>
  <c r="T208" i="16"/>
  <c r="S208" i="16"/>
  <c r="W208" i="16" s="1"/>
  <c r="R209" i="16" s="1"/>
  <c r="Z195" i="16"/>
  <c r="Y195" i="16"/>
  <c r="AC195" i="16" s="1"/>
  <c r="X196" i="16" s="1"/>
  <c r="AG194" i="16"/>
  <c r="AF195" i="16" s="1"/>
  <c r="AW199" i="18"/>
  <c r="AX199" i="18" s="1"/>
  <c r="AY199" i="18" s="1"/>
  <c r="H200" i="18"/>
  <c r="F201" i="18" s="1"/>
  <c r="O167" i="28" l="1"/>
  <c r="N167" i="28"/>
  <c r="M167" i="28"/>
  <c r="P168" i="28"/>
  <c r="AL166" i="28"/>
  <c r="AM166" i="28" s="1"/>
  <c r="AN166" i="28" s="1"/>
  <c r="K166" i="28"/>
  <c r="AP166" i="28"/>
  <c r="AO166" i="28"/>
  <c r="AR174" i="29"/>
  <c r="Q174" i="29"/>
  <c r="L175" i="29" s="1"/>
  <c r="K229" i="24"/>
  <c r="T229" i="24" s="1"/>
  <c r="S230" i="24" s="1"/>
  <c r="J229" i="24"/>
  <c r="AW173" i="29"/>
  <c r="AX173" i="29" s="1"/>
  <c r="AY173" i="29" s="1"/>
  <c r="J175" i="29"/>
  <c r="H174" i="29"/>
  <c r="AP174" i="29" s="1"/>
  <c r="G174" i="29"/>
  <c r="AI174" i="29" s="1"/>
  <c r="AJ167" i="26"/>
  <c r="AK167" i="26" s="1"/>
  <c r="AM167" i="26"/>
  <c r="AN167" i="26" s="1"/>
  <c r="G168" i="26"/>
  <c r="AR168" i="26" s="1"/>
  <c r="AJ156" i="24"/>
  <c r="AK156" i="24" s="1"/>
  <c r="AW156" i="24" s="1"/>
  <c r="AX156" i="24" s="1"/>
  <c r="AY156" i="24" s="1"/>
  <c r="G219" i="25"/>
  <c r="K219" i="25" s="1"/>
  <c r="J220" i="25"/>
  <c r="H219" i="25"/>
  <c r="AP219" i="25" s="1"/>
  <c r="AM218" i="25"/>
  <c r="AN218" i="25" s="1"/>
  <c r="AJ218" i="25"/>
  <c r="AK218" i="25" s="1"/>
  <c r="P226" i="25"/>
  <c r="N225" i="25"/>
  <c r="M225" i="25"/>
  <c r="Q225" i="25" s="1"/>
  <c r="L226" i="25" s="1"/>
  <c r="F158" i="24"/>
  <c r="AL157" i="24"/>
  <c r="AM157" i="24" s="1"/>
  <c r="AI157" i="24"/>
  <c r="AJ157" i="24" s="1"/>
  <c r="F158" i="15"/>
  <c r="AI157" i="15"/>
  <c r="AJ157" i="15" s="1"/>
  <c r="AK157" i="15" s="1"/>
  <c r="AL157" i="15"/>
  <c r="AM157" i="15" s="1"/>
  <c r="AN157" i="15" s="1"/>
  <c r="AO152" i="19"/>
  <c r="AW152" i="19" s="1"/>
  <c r="AX152" i="19" s="1"/>
  <c r="AY152" i="19" s="1"/>
  <c r="AW151" i="19"/>
  <c r="AX151" i="19" s="1"/>
  <c r="AY151" i="19" s="1"/>
  <c r="AP153" i="19"/>
  <c r="AO153" i="19"/>
  <c r="AI153" i="19"/>
  <c r="AJ153" i="19" s="1"/>
  <c r="AK153" i="19" s="1"/>
  <c r="K153" i="19"/>
  <c r="AL171" i="17"/>
  <c r="AM171" i="17" s="1"/>
  <c r="AN171" i="17" s="1"/>
  <c r="K171" i="17"/>
  <c r="F172" i="17" s="1"/>
  <c r="H135" i="16"/>
  <c r="J136" i="16"/>
  <c r="G135" i="16"/>
  <c r="AL135" i="16" s="1"/>
  <c r="AM135" i="16" s="1"/>
  <c r="AN135" i="16" s="1"/>
  <c r="AW134" i="16"/>
  <c r="AX134" i="16" s="1"/>
  <c r="AY134" i="16" s="1"/>
  <c r="AG195" i="16"/>
  <c r="AF196" i="16" s="1"/>
  <c r="T209" i="16"/>
  <c r="S209" i="16"/>
  <c r="W209" i="16" s="1"/>
  <c r="R210" i="16" s="1"/>
  <c r="P190" i="16"/>
  <c r="N189" i="16"/>
  <c r="M189" i="16"/>
  <c r="Q189" i="16" s="1"/>
  <c r="L190" i="16" s="1"/>
  <c r="AE208" i="16"/>
  <c r="AD209" i="16" s="1"/>
  <c r="AT208" i="16"/>
  <c r="Z196" i="16"/>
  <c r="Y196" i="16"/>
  <c r="AC196" i="16" s="1"/>
  <c r="X197" i="16" s="1"/>
  <c r="AI200" i="18"/>
  <c r="AJ200" i="18" s="1"/>
  <c r="AK200" i="18" s="1"/>
  <c r="AL200" i="18"/>
  <c r="AM200" i="18" s="1"/>
  <c r="AN200" i="18" s="1"/>
  <c r="G201" i="18"/>
  <c r="AR201" i="18" s="1"/>
  <c r="F167" i="28" l="1"/>
  <c r="AU166" i="28"/>
  <c r="AQ166" i="28"/>
  <c r="AS166" i="28"/>
  <c r="M175" i="29"/>
  <c r="O175" i="29"/>
  <c r="N175" i="29"/>
  <c r="P176" i="29"/>
  <c r="L229" i="24"/>
  <c r="I230" i="24" s="1"/>
  <c r="R229" i="24"/>
  <c r="Q230" i="24" s="1"/>
  <c r="AT230" i="24" s="1"/>
  <c r="AJ174" i="29"/>
  <c r="AK174" i="29" s="1"/>
  <c r="AL174" i="29"/>
  <c r="K174" i="29"/>
  <c r="AO174" i="29"/>
  <c r="AW167" i="26"/>
  <c r="AX167" i="26" s="1"/>
  <c r="AY167" i="26" s="1"/>
  <c r="H168" i="26"/>
  <c r="AW157" i="15"/>
  <c r="AX157" i="15" s="1"/>
  <c r="AY157" i="15" s="1"/>
  <c r="F220" i="25"/>
  <c r="AU219" i="25"/>
  <c r="AS219" i="25"/>
  <c r="AI219" i="25"/>
  <c r="AQ219" i="25"/>
  <c r="AL219" i="25"/>
  <c r="AM219" i="25" s="1"/>
  <c r="AN219" i="25" s="1"/>
  <c r="AO219" i="25"/>
  <c r="AW218" i="25"/>
  <c r="AX218" i="25" s="1"/>
  <c r="AY218" i="25" s="1"/>
  <c r="N226" i="25"/>
  <c r="P227" i="25"/>
  <c r="M226" i="25"/>
  <c r="Q226" i="25" s="1"/>
  <c r="L227" i="25" s="1"/>
  <c r="AK157" i="24"/>
  <c r="AN157" i="24"/>
  <c r="G158" i="24"/>
  <c r="AR158" i="24" s="1"/>
  <c r="G158" i="15"/>
  <c r="AR158" i="15" s="1"/>
  <c r="AQ153" i="19"/>
  <c r="AU153" i="19"/>
  <c r="F154" i="19"/>
  <c r="AS153" i="19"/>
  <c r="AQ171" i="17"/>
  <c r="AS171" i="17"/>
  <c r="AU171" i="17"/>
  <c r="J173" i="17"/>
  <c r="G172" i="17"/>
  <c r="K172" i="17" s="1"/>
  <c r="F173" i="17" s="1"/>
  <c r="H172" i="17"/>
  <c r="K135" i="16"/>
  <c r="AS135" i="16" s="1"/>
  <c r="AO135" i="16"/>
  <c r="AP135" i="16"/>
  <c r="AG196" i="16"/>
  <c r="AF197" i="16" s="1"/>
  <c r="S210" i="16"/>
  <c r="W210" i="16" s="1"/>
  <c r="R211" i="16" s="1"/>
  <c r="T210" i="16"/>
  <c r="M190" i="16"/>
  <c r="Q190" i="16" s="1"/>
  <c r="L191" i="16" s="1"/>
  <c r="P191" i="16"/>
  <c r="N190" i="16"/>
  <c r="AE209" i="16"/>
  <c r="AD210" i="16" s="1"/>
  <c r="AT209" i="16"/>
  <c r="Z197" i="16"/>
  <c r="Y197" i="16"/>
  <c r="AC197" i="16" s="1"/>
  <c r="X198" i="16" s="1"/>
  <c r="AW200" i="18"/>
  <c r="AX200" i="18" s="1"/>
  <c r="AY200" i="18" s="1"/>
  <c r="H201" i="18"/>
  <c r="AL201" i="18" s="1"/>
  <c r="AM201" i="18" s="1"/>
  <c r="AW166" i="28" l="1"/>
  <c r="AX166" i="28" s="1"/>
  <c r="AY166" i="28" s="1"/>
  <c r="I167" i="28"/>
  <c r="Q167" i="28" s="1"/>
  <c r="L168" i="28" s="1"/>
  <c r="H167" i="28"/>
  <c r="G167" i="28"/>
  <c r="AI167" i="28" s="1"/>
  <c r="AJ167" i="28" s="1"/>
  <c r="AK167" i="28" s="1"/>
  <c r="J168" i="28"/>
  <c r="K230" i="24"/>
  <c r="R230" i="24" s="1"/>
  <c r="Q231" i="24" s="1"/>
  <c r="AT231" i="24" s="1"/>
  <c r="J230" i="24"/>
  <c r="AM174" i="29"/>
  <c r="AN174" i="29" s="1"/>
  <c r="F175" i="29"/>
  <c r="I175" i="29" s="1"/>
  <c r="AR175" i="29" s="1"/>
  <c r="AQ174" i="29"/>
  <c r="AS174" i="29"/>
  <c r="AU174" i="29"/>
  <c r="AW157" i="24"/>
  <c r="AX157" i="24" s="1"/>
  <c r="AY157" i="24" s="1"/>
  <c r="F169" i="26"/>
  <c r="G169" i="26" s="1"/>
  <c r="AR169" i="26" s="1"/>
  <c r="AI168" i="26"/>
  <c r="AJ168" i="26" s="1"/>
  <c r="AK168" i="26" s="1"/>
  <c r="AL168" i="26"/>
  <c r="AM168" i="26" s="1"/>
  <c r="AN168" i="26" s="1"/>
  <c r="G220" i="25"/>
  <c r="K220" i="25" s="1"/>
  <c r="H220" i="25"/>
  <c r="AP220" i="25" s="1"/>
  <c r="J221" i="25"/>
  <c r="AJ219" i="25"/>
  <c r="AK219" i="25" s="1"/>
  <c r="AW219" i="25" s="1"/>
  <c r="AX219" i="25" s="1"/>
  <c r="AY219" i="25" s="1"/>
  <c r="P228" i="25"/>
  <c r="N227" i="25"/>
  <c r="M227" i="25"/>
  <c r="H158" i="24"/>
  <c r="H158" i="15"/>
  <c r="AW153" i="19"/>
  <c r="AX153" i="19" s="1"/>
  <c r="AY153" i="19" s="1"/>
  <c r="G154" i="19"/>
  <c r="J155" i="19"/>
  <c r="H154" i="19"/>
  <c r="AW171" i="17"/>
  <c r="AX171" i="17" s="1"/>
  <c r="AY171" i="17" s="1"/>
  <c r="AU172" i="17"/>
  <c r="AL172" i="17"/>
  <c r="AM172" i="17" s="1"/>
  <c r="AN172" i="17" s="1"/>
  <c r="AI172" i="17"/>
  <c r="AJ172" i="17" s="1"/>
  <c r="AK172" i="17" s="1"/>
  <c r="AQ172" i="17"/>
  <c r="AO172" i="17"/>
  <c r="AP172" i="17"/>
  <c r="H173" i="17"/>
  <c r="G173" i="17"/>
  <c r="AL173" i="17" s="1"/>
  <c r="AM173" i="17" s="1"/>
  <c r="AN173" i="17" s="1"/>
  <c r="J174" i="17"/>
  <c r="AS172" i="17"/>
  <c r="AI135" i="16"/>
  <c r="AJ135" i="16" s="1"/>
  <c r="AK135" i="16" s="1"/>
  <c r="F136" i="16"/>
  <c r="AQ135" i="16"/>
  <c r="AU135" i="16"/>
  <c r="AT210" i="16"/>
  <c r="AE210" i="16"/>
  <c r="AD211" i="16" s="1"/>
  <c r="AG197" i="16"/>
  <c r="AF198" i="16" s="1"/>
  <c r="P192" i="16"/>
  <c r="N191" i="16"/>
  <c r="M191" i="16"/>
  <c r="Q191" i="16" s="1"/>
  <c r="L192" i="16" s="1"/>
  <c r="T211" i="16"/>
  <c r="S211" i="16"/>
  <c r="W211" i="16" s="1"/>
  <c r="R212" i="16" s="1"/>
  <c r="Y198" i="16"/>
  <c r="AC198" i="16" s="1"/>
  <c r="X199" i="16" s="1"/>
  <c r="Z198" i="16"/>
  <c r="F202" i="18"/>
  <c r="G202" i="18" s="1"/>
  <c r="AR202" i="18" s="1"/>
  <c r="AI201" i="18"/>
  <c r="AN201" i="18"/>
  <c r="Q175" i="29" l="1"/>
  <c r="L176" i="29" s="1"/>
  <c r="M176" i="29" s="1"/>
  <c r="O176" i="29"/>
  <c r="AP167" i="28"/>
  <c r="AO167" i="28"/>
  <c r="K167" i="28"/>
  <c r="AL167" i="28"/>
  <c r="O168" i="28"/>
  <c r="M168" i="28"/>
  <c r="N168" i="28"/>
  <c r="P169" i="28"/>
  <c r="L230" i="24"/>
  <c r="I231" i="24" s="1"/>
  <c r="T230" i="24"/>
  <c r="S231" i="24" s="1"/>
  <c r="AW174" i="29"/>
  <c r="AX174" i="29" s="1"/>
  <c r="AY174" i="29" s="1"/>
  <c r="J176" i="29"/>
  <c r="H175" i="29"/>
  <c r="AP175" i="29" s="1"/>
  <c r="G175" i="29"/>
  <c r="K175" i="29" s="1"/>
  <c r="AW168" i="26"/>
  <c r="AX168" i="26" s="1"/>
  <c r="AY168" i="26" s="1"/>
  <c r="H169" i="26"/>
  <c r="AI169" i="26" s="1"/>
  <c r="F221" i="25"/>
  <c r="AS220" i="25"/>
  <c r="AU220" i="25"/>
  <c r="AI220" i="25"/>
  <c r="AJ220" i="25" s="1"/>
  <c r="AK220" i="25" s="1"/>
  <c r="AQ220" i="25"/>
  <c r="AL220" i="25"/>
  <c r="AM220" i="25" s="1"/>
  <c r="AN220" i="25" s="1"/>
  <c r="AO220" i="25"/>
  <c r="Q227" i="25"/>
  <c r="F159" i="24"/>
  <c r="AI158" i="24"/>
  <c r="AJ158" i="24" s="1"/>
  <c r="AL158" i="24"/>
  <c r="AM158" i="24" s="1"/>
  <c r="F159" i="15"/>
  <c r="AL158" i="15"/>
  <c r="AM158" i="15" s="1"/>
  <c r="AN158" i="15" s="1"/>
  <c r="AI158" i="15"/>
  <c r="AJ158" i="15" s="1"/>
  <c r="AK158" i="15" s="1"/>
  <c r="AO154" i="19"/>
  <c r="AP154" i="19"/>
  <c r="AL154" i="19"/>
  <c r="AM154" i="19" s="1"/>
  <c r="AN154" i="19" s="1"/>
  <c r="AI154" i="19"/>
  <c r="AJ154" i="19" s="1"/>
  <c r="AK154" i="19" s="1"/>
  <c r="K154" i="19"/>
  <c r="AW135" i="16"/>
  <c r="AX135" i="16" s="1"/>
  <c r="AY135" i="16" s="1"/>
  <c r="AW172" i="17"/>
  <c r="AX172" i="17" s="1"/>
  <c r="AY172" i="17" s="1"/>
  <c r="K173" i="17"/>
  <c r="AI173" i="17"/>
  <c r="AJ173" i="17" s="1"/>
  <c r="AK173" i="17" s="1"/>
  <c r="AP173" i="17"/>
  <c r="AO173" i="17"/>
  <c r="J137" i="16"/>
  <c r="H136" i="16"/>
  <c r="G136" i="16"/>
  <c r="P193" i="16"/>
  <c r="M192" i="16"/>
  <c r="Q192" i="16" s="1"/>
  <c r="L193" i="16" s="1"/>
  <c r="N192" i="16"/>
  <c r="AE211" i="16"/>
  <c r="AD212" i="16" s="1"/>
  <c r="AT211" i="16"/>
  <c r="T212" i="16"/>
  <c r="S212" i="16"/>
  <c r="W212" i="16" s="1"/>
  <c r="R213" i="16" s="1"/>
  <c r="Y199" i="16"/>
  <c r="AC199" i="16" s="1"/>
  <c r="X200" i="16" s="1"/>
  <c r="Z199" i="16"/>
  <c r="AG198" i="16"/>
  <c r="AF199" i="16" s="1"/>
  <c r="H202" i="18"/>
  <c r="AI202" i="18" s="1"/>
  <c r="AJ202" i="18" s="1"/>
  <c r="AJ201" i="18"/>
  <c r="AK201" i="18" s="1"/>
  <c r="AW201" i="18" s="1"/>
  <c r="AX201" i="18" s="1"/>
  <c r="AY201" i="18" s="1"/>
  <c r="N176" i="29" l="1"/>
  <c r="P177" i="29"/>
  <c r="F168" i="28"/>
  <c r="AQ167" i="28"/>
  <c r="AS167" i="28"/>
  <c r="AU167" i="28"/>
  <c r="AM167" i="28"/>
  <c r="AN167" i="28" s="1"/>
  <c r="K231" i="24"/>
  <c r="T231" i="24" s="1"/>
  <c r="S232" i="24" s="1"/>
  <c r="J231" i="24"/>
  <c r="F176" i="29"/>
  <c r="I176" i="29" s="1"/>
  <c r="AR176" i="29" s="1"/>
  <c r="AS175" i="29"/>
  <c r="AU175" i="29"/>
  <c r="AQ175" i="29"/>
  <c r="AI175" i="29"/>
  <c r="AL175" i="29"/>
  <c r="AO175" i="29"/>
  <c r="F170" i="26"/>
  <c r="G170" i="26" s="1"/>
  <c r="AR170" i="26" s="1"/>
  <c r="AL169" i="26"/>
  <c r="AM169" i="26" s="1"/>
  <c r="AN169" i="26" s="1"/>
  <c r="AJ169" i="26"/>
  <c r="AK169" i="26" s="1"/>
  <c r="G221" i="25"/>
  <c r="K221" i="25" s="1"/>
  <c r="J222" i="25"/>
  <c r="H221" i="25"/>
  <c r="AP221" i="25" s="1"/>
  <c r="AW220" i="25"/>
  <c r="AX220" i="25" s="1"/>
  <c r="AY220" i="25" s="1"/>
  <c r="L228" i="25"/>
  <c r="AN158" i="24"/>
  <c r="AK158" i="24"/>
  <c r="G159" i="24"/>
  <c r="AR159" i="24" s="1"/>
  <c r="G159" i="15"/>
  <c r="AR159" i="15" s="1"/>
  <c r="AW158" i="15"/>
  <c r="AX158" i="15" s="1"/>
  <c r="AY158" i="15" s="1"/>
  <c r="F155" i="19"/>
  <c r="AS154" i="19"/>
  <c r="AU154" i="19"/>
  <c r="AQ154" i="19"/>
  <c r="F174" i="17"/>
  <c r="AQ173" i="17"/>
  <c r="AU173" i="17"/>
  <c r="AS173" i="17"/>
  <c r="AL136" i="16"/>
  <c r="AM136" i="16" s="1"/>
  <c r="AN136" i="16" s="1"/>
  <c r="K136" i="16"/>
  <c r="AP136" i="16"/>
  <c r="AO136" i="16"/>
  <c r="S213" i="16"/>
  <c r="W213" i="16" s="1"/>
  <c r="R214" i="16" s="1"/>
  <c r="T213" i="16"/>
  <c r="AT212" i="16"/>
  <c r="AE212" i="16"/>
  <c r="AD213" i="16" s="1"/>
  <c r="N193" i="16"/>
  <c r="M193" i="16"/>
  <c r="Q193" i="16" s="1"/>
  <c r="L194" i="16" s="1"/>
  <c r="P194" i="16"/>
  <c r="Z200" i="16"/>
  <c r="Y200" i="16"/>
  <c r="AC200" i="16" s="1"/>
  <c r="X201" i="16" s="1"/>
  <c r="AG199" i="16"/>
  <c r="AF200" i="16" s="1"/>
  <c r="F203" i="18"/>
  <c r="G203" i="18" s="1"/>
  <c r="AR203" i="18" s="1"/>
  <c r="AL202" i="18"/>
  <c r="AM202" i="18" s="1"/>
  <c r="AK202" i="18"/>
  <c r="Q176" i="29" l="1"/>
  <c r="L177" i="29" s="1"/>
  <c r="M177" i="29" s="1"/>
  <c r="AW167" i="28"/>
  <c r="AX167" i="28" s="1"/>
  <c r="AY167" i="28" s="1"/>
  <c r="O177" i="29"/>
  <c r="I168" i="28"/>
  <c r="Q168" i="28" s="1"/>
  <c r="L169" i="28" s="1"/>
  <c r="G168" i="28"/>
  <c r="AL168" i="28" s="1"/>
  <c r="AM168" i="28" s="1"/>
  <c r="AN168" i="28" s="1"/>
  <c r="H168" i="28"/>
  <c r="J169" i="28"/>
  <c r="L231" i="24"/>
  <c r="I232" i="24" s="1"/>
  <c r="R231" i="24"/>
  <c r="Q232" i="24" s="1"/>
  <c r="AT232" i="24" s="1"/>
  <c r="H176" i="29"/>
  <c r="AP176" i="29" s="1"/>
  <c r="J177" i="29"/>
  <c r="G176" i="29"/>
  <c r="K176" i="29" s="1"/>
  <c r="AJ175" i="29"/>
  <c r="AK175" i="29" s="1"/>
  <c r="AM175" i="29"/>
  <c r="AN175" i="29" s="1"/>
  <c r="AW169" i="26"/>
  <c r="AX169" i="26" s="1"/>
  <c r="AY169" i="26" s="1"/>
  <c r="H170" i="26"/>
  <c r="F222" i="25"/>
  <c r="AQ221" i="25"/>
  <c r="AI221" i="25"/>
  <c r="AS221" i="25"/>
  <c r="AU221" i="25"/>
  <c r="AL221" i="25"/>
  <c r="AO221" i="25"/>
  <c r="P229" i="25"/>
  <c r="N228" i="25"/>
  <c r="M228" i="25"/>
  <c r="AW158" i="24"/>
  <c r="AX158" i="24" s="1"/>
  <c r="AY158" i="24" s="1"/>
  <c r="H159" i="24"/>
  <c r="H159" i="15"/>
  <c r="AW154" i="19"/>
  <c r="AX154" i="19" s="1"/>
  <c r="AY154" i="19" s="1"/>
  <c r="G155" i="19"/>
  <c r="AI155" i="19" s="1"/>
  <c r="AJ155" i="19" s="1"/>
  <c r="AK155" i="19" s="1"/>
  <c r="H155" i="19"/>
  <c r="J156" i="19"/>
  <c r="AW173" i="17"/>
  <c r="AX173" i="17" s="1"/>
  <c r="AY173" i="17" s="1"/>
  <c r="H174" i="17"/>
  <c r="G174" i="17"/>
  <c r="AI174" i="17" s="1"/>
  <c r="AJ174" i="17" s="1"/>
  <c r="AK174" i="17" s="1"/>
  <c r="J175" i="17"/>
  <c r="AQ136" i="16"/>
  <c r="AU136" i="16"/>
  <c r="AI136" i="16"/>
  <c r="AJ136" i="16" s="1"/>
  <c r="AK136" i="16" s="1"/>
  <c r="AS136" i="16"/>
  <c r="F137" i="16"/>
  <c r="AG200" i="16"/>
  <c r="AF201" i="16" s="1"/>
  <c r="AE213" i="16"/>
  <c r="AD214" i="16" s="1"/>
  <c r="AT213" i="16"/>
  <c r="T214" i="16"/>
  <c r="S214" i="16"/>
  <c r="W214" i="16" s="1"/>
  <c r="R215" i="16" s="1"/>
  <c r="P195" i="16"/>
  <c r="M194" i="16"/>
  <c r="Q194" i="16" s="1"/>
  <c r="L195" i="16" s="1"/>
  <c r="N194" i="16"/>
  <c r="Y201" i="16"/>
  <c r="AC201" i="16" s="1"/>
  <c r="X202" i="16" s="1"/>
  <c r="Z201" i="16"/>
  <c r="AN202" i="18"/>
  <c r="AW202" i="18" s="1"/>
  <c r="AX202" i="18" s="1"/>
  <c r="AY202" i="18" s="1"/>
  <c r="H203" i="18"/>
  <c r="P178" i="29" l="1"/>
  <c r="N177" i="29"/>
  <c r="O169" i="28"/>
  <c r="M169" i="28"/>
  <c r="P170" i="28"/>
  <c r="N169" i="28"/>
  <c r="AP168" i="28"/>
  <c r="AO168" i="28"/>
  <c r="K168" i="28"/>
  <c r="AI168" i="28"/>
  <c r="AJ168" i="28" s="1"/>
  <c r="AK168" i="28" s="1"/>
  <c r="K232" i="24"/>
  <c r="T232" i="24" s="1"/>
  <c r="S233" i="24" s="1"/>
  <c r="J232" i="24"/>
  <c r="AW175" i="29"/>
  <c r="AX175" i="29" s="1"/>
  <c r="AY175" i="29" s="1"/>
  <c r="F177" i="29"/>
  <c r="I177" i="29" s="1"/>
  <c r="AR177" i="29" s="1"/>
  <c r="AS176" i="29"/>
  <c r="AU176" i="29"/>
  <c r="AQ176" i="29"/>
  <c r="AO176" i="29"/>
  <c r="AI176" i="29"/>
  <c r="AL176" i="29"/>
  <c r="F171" i="26"/>
  <c r="AI170" i="26"/>
  <c r="AL170" i="26"/>
  <c r="G222" i="25"/>
  <c r="K222" i="25" s="1"/>
  <c r="H222" i="25"/>
  <c r="AP222" i="25" s="1"/>
  <c r="J223" i="25"/>
  <c r="AJ221" i="25"/>
  <c r="AK221" i="25" s="1"/>
  <c r="AM221" i="25"/>
  <c r="AN221" i="25" s="1"/>
  <c r="Q228" i="25"/>
  <c r="F160" i="24"/>
  <c r="AL159" i="24"/>
  <c r="AM159" i="24" s="1"/>
  <c r="AI159" i="24"/>
  <c r="AJ159" i="24" s="1"/>
  <c r="F160" i="15"/>
  <c r="AI159" i="15"/>
  <c r="AJ159" i="15" s="1"/>
  <c r="AK159" i="15" s="1"/>
  <c r="AL159" i="15"/>
  <c r="AM159" i="15" s="1"/>
  <c r="AN159" i="15" s="1"/>
  <c r="AP155" i="19"/>
  <c r="AO155" i="19"/>
  <c r="K155" i="19"/>
  <c r="AL155" i="19"/>
  <c r="AM155" i="19" s="1"/>
  <c r="AN155" i="19" s="1"/>
  <c r="AW136" i="16"/>
  <c r="AX136" i="16" s="1"/>
  <c r="AY136" i="16" s="1"/>
  <c r="AL174" i="17"/>
  <c r="AM174" i="17" s="1"/>
  <c r="AN174" i="17" s="1"/>
  <c r="K174" i="17"/>
  <c r="AO174" i="17"/>
  <c r="AP174" i="17"/>
  <c r="H137" i="16"/>
  <c r="G137" i="16"/>
  <c r="AL137" i="16" s="1"/>
  <c r="AM137" i="16" s="1"/>
  <c r="AN137" i="16" s="1"/>
  <c r="J138" i="16"/>
  <c r="M195" i="16"/>
  <c r="Q195" i="16" s="1"/>
  <c r="L196" i="16" s="1"/>
  <c r="N195" i="16"/>
  <c r="P196" i="16"/>
  <c r="S215" i="16"/>
  <c r="W215" i="16" s="1"/>
  <c r="R216" i="16" s="1"/>
  <c r="T215" i="16"/>
  <c r="AT214" i="16"/>
  <c r="AE214" i="16"/>
  <c r="AD215" i="16" s="1"/>
  <c r="AG201" i="16"/>
  <c r="AF202" i="16" s="1"/>
  <c r="Z202" i="16"/>
  <c r="Y202" i="16"/>
  <c r="AC202" i="16" s="1"/>
  <c r="X203" i="16" s="1"/>
  <c r="F204" i="18"/>
  <c r="AL203" i="18"/>
  <c r="AM203" i="18" s="1"/>
  <c r="AI203" i="18"/>
  <c r="AJ203" i="18" s="1"/>
  <c r="Q177" i="29" l="1"/>
  <c r="L178" i="29" s="1"/>
  <c r="M178" i="29" s="1"/>
  <c r="F169" i="28"/>
  <c r="AS168" i="28"/>
  <c r="AU168" i="28"/>
  <c r="AQ168" i="28"/>
  <c r="O178" i="29"/>
  <c r="L232" i="24"/>
  <c r="I233" i="24" s="1"/>
  <c r="R232" i="24"/>
  <c r="Q233" i="24" s="1"/>
  <c r="AT233" i="24" s="1"/>
  <c r="J178" i="29"/>
  <c r="H177" i="29"/>
  <c r="AP177" i="29" s="1"/>
  <c r="G177" i="29"/>
  <c r="AJ176" i="29"/>
  <c r="AK176" i="29" s="1"/>
  <c r="AM176" i="29"/>
  <c r="AN176" i="29" s="1"/>
  <c r="G171" i="26"/>
  <c r="AR171" i="26" s="1"/>
  <c r="AJ170" i="26"/>
  <c r="AK170" i="26" s="1"/>
  <c r="AM170" i="26"/>
  <c r="AN170" i="26" s="1"/>
  <c r="AW221" i="25"/>
  <c r="AX221" i="25" s="1"/>
  <c r="AY221" i="25" s="1"/>
  <c r="AY236" i="25" s="1"/>
  <c r="AW159" i="15"/>
  <c r="AX159" i="15" s="1"/>
  <c r="AY159" i="15" s="1"/>
  <c r="F223" i="25"/>
  <c r="AI222" i="25"/>
  <c r="AQ222" i="25"/>
  <c r="AS222" i="25"/>
  <c r="AU222" i="25"/>
  <c r="AL222" i="25"/>
  <c r="AM222" i="25" s="1"/>
  <c r="AN222" i="25" s="1"/>
  <c r="AO222" i="25"/>
  <c r="L229" i="25"/>
  <c r="AN159" i="24"/>
  <c r="AK159" i="24"/>
  <c r="G160" i="24"/>
  <c r="AR160" i="24" s="1"/>
  <c r="G160" i="15"/>
  <c r="AR160" i="15" s="1"/>
  <c r="F156" i="19"/>
  <c r="AU155" i="19"/>
  <c r="AS155" i="19"/>
  <c r="AQ155" i="19"/>
  <c r="F175" i="17"/>
  <c r="AQ174" i="17"/>
  <c r="AS174" i="17"/>
  <c r="AU174" i="17"/>
  <c r="K137" i="16"/>
  <c r="AQ137" i="16" s="1"/>
  <c r="AP137" i="16"/>
  <c r="AO137" i="16"/>
  <c r="T216" i="16"/>
  <c r="S216" i="16"/>
  <c r="W216" i="16" s="1"/>
  <c r="R217" i="16" s="1"/>
  <c r="AT215" i="16"/>
  <c r="AE215" i="16"/>
  <c r="AD216" i="16" s="1"/>
  <c r="P197" i="16"/>
  <c r="M196" i="16"/>
  <c r="Q196" i="16" s="1"/>
  <c r="L197" i="16" s="1"/>
  <c r="N196" i="16"/>
  <c r="Y203" i="16"/>
  <c r="AC203" i="16" s="1"/>
  <c r="X204" i="16" s="1"/>
  <c r="Z203" i="16"/>
  <c r="AG202" i="16"/>
  <c r="AF203" i="16" s="1"/>
  <c r="G204" i="18"/>
  <c r="AR204" i="18" s="1"/>
  <c r="AK203" i="18"/>
  <c r="AN203" i="18"/>
  <c r="P179" i="29" l="1"/>
  <c r="N178" i="29"/>
  <c r="AW168" i="28"/>
  <c r="AX168" i="28" s="1"/>
  <c r="AY168" i="28" s="1"/>
  <c r="I169" i="28"/>
  <c r="Q169" i="28" s="1"/>
  <c r="L170" i="28" s="1"/>
  <c r="G169" i="28"/>
  <c r="AI169" i="28" s="1"/>
  <c r="AJ169" i="28" s="1"/>
  <c r="AK169" i="28" s="1"/>
  <c r="J170" i="28"/>
  <c r="H169" i="28"/>
  <c r="K233" i="24"/>
  <c r="T233" i="24" s="1"/>
  <c r="S234" i="24" s="1"/>
  <c r="J233" i="24"/>
  <c r="AW170" i="26"/>
  <c r="AX170" i="26" s="1"/>
  <c r="AY170" i="26" s="1"/>
  <c r="AL177" i="29"/>
  <c r="K177" i="29"/>
  <c r="AW176" i="29"/>
  <c r="AX176" i="29" s="1"/>
  <c r="AY176" i="29" s="1"/>
  <c r="AO177" i="29"/>
  <c r="AI177" i="29"/>
  <c r="H171" i="26"/>
  <c r="AW159" i="24"/>
  <c r="AX159" i="24" s="1"/>
  <c r="AY159" i="24" s="1"/>
  <c r="G223" i="25"/>
  <c r="K223" i="25" s="1"/>
  <c r="H223" i="25"/>
  <c r="AP223" i="25" s="1"/>
  <c r="J224" i="25"/>
  <c r="AJ222" i="25"/>
  <c r="AK222" i="25" s="1"/>
  <c r="AW222" i="25" s="1"/>
  <c r="N229" i="25"/>
  <c r="P230" i="25"/>
  <c r="M229" i="25"/>
  <c r="Q229" i="25" s="1"/>
  <c r="L230" i="25" s="1"/>
  <c r="H160" i="24"/>
  <c r="H160" i="15"/>
  <c r="AW155" i="19"/>
  <c r="AX155" i="19" s="1"/>
  <c r="AY155" i="19" s="1"/>
  <c r="H156" i="19"/>
  <c r="J157" i="19"/>
  <c r="G156" i="19"/>
  <c r="AI156" i="19" s="1"/>
  <c r="AJ156" i="19" s="1"/>
  <c r="AK156" i="19" s="1"/>
  <c r="AW174" i="17"/>
  <c r="AX174" i="17" s="1"/>
  <c r="AY174" i="17" s="1"/>
  <c r="AI137" i="16"/>
  <c r="AJ137" i="16" s="1"/>
  <c r="AK137" i="16" s="1"/>
  <c r="H175" i="17"/>
  <c r="G175" i="17"/>
  <c r="AL175" i="17" s="1"/>
  <c r="AM175" i="17" s="1"/>
  <c r="AN175" i="17" s="1"/>
  <c r="J176" i="17"/>
  <c r="AS137" i="16"/>
  <c r="F138" i="16"/>
  <c r="H138" i="16" s="1"/>
  <c r="AU137" i="16"/>
  <c r="AG203" i="16"/>
  <c r="AF204" i="16" s="1"/>
  <c r="AE216" i="16"/>
  <c r="AD217" i="16" s="1"/>
  <c r="AT216" i="16"/>
  <c r="S217" i="16"/>
  <c r="W217" i="16" s="1"/>
  <c r="R218" i="16" s="1"/>
  <c r="T217" i="16"/>
  <c r="M197" i="16"/>
  <c r="Q197" i="16" s="1"/>
  <c r="L198" i="16" s="1"/>
  <c r="N197" i="16"/>
  <c r="P198" i="16"/>
  <c r="Z204" i="16"/>
  <c r="Y204" i="16"/>
  <c r="AW203" i="18"/>
  <c r="AX203" i="18" s="1"/>
  <c r="AY203" i="18" s="1"/>
  <c r="H204" i="18"/>
  <c r="AP169" i="28" l="1"/>
  <c r="AO169" i="28"/>
  <c r="AL169" i="28"/>
  <c r="K169" i="28"/>
  <c r="O170" i="28"/>
  <c r="M170" i="28"/>
  <c r="N170" i="28"/>
  <c r="P171" i="28"/>
  <c r="L233" i="24"/>
  <c r="I234" i="24" s="1"/>
  <c r="R233" i="24"/>
  <c r="Q234" i="24" s="1"/>
  <c r="AT234" i="24" s="1"/>
  <c r="AM177" i="29"/>
  <c r="AN177" i="29" s="1"/>
  <c r="F178" i="29"/>
  <c r="I178" i="29" s="1"/>
  <c r="AU177" i="29"/>
  <c r="AS177" i="29"/>
  <c r="AQ177" i="29"/>
  <c r="AJ177" i="29"/>
  <c r="AK177" i="29" s="1"/>
  <c r="F172" i="26"/>
  <c r="AI171" i="26"/>
  <c r="AL171" i="26"/>
  <c r="F224" i="25"/>
  <c r="AS223" i="25"/>
  <c r="AU223" i="25"/>
  <c r="AQ223" i="25"/>
  <c r="AI223" i="25"/>
  <c r="AL223" i="25"/>
  <c r="AM223" i="25" s="1"/>
  <c r="AN223" i="25" s="1"/>
  <c r="AO223" i="25"/>
  <c r="P231" i="25"/>
  <c r="N230" i="25"/>
  <c r="M230" i="25"/>
  <c r="Q230" i="25" s="1"/>
  <c r="L231" i="25" s="1"/>
  <c r="F161" i="24"/>
  <c r="AI160" i="24"/>
  <c r="AJ160" i="24" s="1"/>
  <c r="AL160" i="24"/>
  <c r="AM160" i="24" s="1"/>
  <c r="F161" i="15"/>
  <c r="AI160" i="15"/>
  <c r="AJ160" i="15" s="1"/>
  <c r="AK160" i="15" s="1"/>
  <c r="AL160" i="15"/>
  <c r="AM160" i="15" s="1"/>
  <c r="AN160" i="15" s="1"/>
  <c r="K156" i="19"/>
  <c r="AL156" i="19"/>
  <c r="AM156" i="19" s="1"/>
  <c r="AN156" i="19" s="1"/>
  <c r="AO156" i="19"/>
  <c r="AP156" i="19"/>
  <c r="AW137" i="16"/>
  <c r="AX137" i="16" s="1"/>
  <c r="AY137" i="16" s="1"/>
  <c r="K175" i="17"/>
  <c r="F176" i="17" s="1"/>
  <c r="J177" i="17" s="1"/>
  <c r="J139" i="16"/>
  <c r="AI175" i="17"/>
  <c r="AJ175" i="17" s="1"/>
  <c r="AK175" i="17" s="1"/>
  <c r="G138" i="16"/>
  <c r="K138" i="16" s="1"/>
  <c r="AQ138" i="16" s="1"/>
  <c r="AP175" i="17"/>
  <c r="AO175" i="17"/>
  <c r="AP138" i="16"/>
  <c r="AO138" i="16"/>
  <c r="AG204" i="16"/>
  <c r="AF205" i="16" s="1"/>
  <c r="AC204" i="16"/>
  <c r="X205" i="16" s="1"/>
  <c r="Y205" i="16" s="1"/>
  <c r="S218" i="16"/>
  <c r="W218" i="16" s="1"/>
  <c r="R219" i="16" s="1"/>
  <c r="T218" i="16"/>
  <c r="P199" i="16"/>
  <c r="N198" i="16"/>
  <c r="M198" i="16"/>
  <c r="Q198" i="16" s="1"/>
  <c r="L199" i="16" s="1"/>
  <c r="AT217" i="16"/>
  <c r="AE217" i="16"/>
  <c r="AD218" i="16" s="1"/>
  <c r="F205" i="18"/>
  <c r="AL204" i="18"/>
  <c r="AM204" i="18" s="1"/>
  <c r="AI204" i="18"/>
  <c r="AJ204" i="18" s="1"/>
  <c r="AM169" i="28" l="1"/>
  <c r="AN169" i="28" s="1"/>
  <c r="F170" i="28"/>
  <c r="AQ169" i="28"/>
  <c r="AS169" i="28"/>
  <c r="AU169" i="28"/>
  <c r="AR178" i="29"/>
  <c r="Q178" i="29"/>
  <c r="L179" i="29" s="1"/>
  <c r="K234" i="24"/>
  <c r="T234" i="24" s="1"/>
  <c r="J234" i="24"/>
  <c r="AW177" i="29"/>
  <c r="AX177" i="29" s="1"/>
  <c r="AY177" i="29" s="1"/>
  <c r="H178" i="29"/>
  <c r="AP178" i="29" s="1"/>
  <c r="J179" i="29"/>
  <c r="G178" i="29"/>
  <c r="K178" i="29" s="1"/>
  <c r="F179" i="29" s="1"/>
  <c r="I179" i="29" s="1"/>
  <c r="AR179" i="29" s="1"/>
  <c r="AJ171" i="26"/>
  <c r="AK171" i="26" s="1"/>
  <c r="AM171" i="26"/>
  <c r="AN171" i="26" s="1"/>
  <c r="G172" i="26"/>
  <c r="AR172" i="26" s="1"/>
  <c r="G224" i="25"/>
  <c r="K224" i="25" s="1"/>
  <c r="J225" i="25"/>
  <c r="H224" i="25"/>
  <c r="AP224" i="25" s="1"/>
  <c r="AJ223" i="25"/>
  <c r="AK223" i="25" s="1"/>
  <c r="AW223" i="25" s="1"/>
  <c r="N231" i="25"/>
  <c r="P232" i="25"/>
  <c r="M231" i="25"/>
  <c r="AK160" i="24"/>
  <c r="AN160" i="24"/>
  <c r="AW160" i="15"/>
  <c r="AX160" i="15" s="1"/>
  <c r="AY160" i="15" s="1"/>
  <c r="G161" i="24"/>
  <c r="AR161" i="24" s="1"/>
  <c r="G161" i="15"/>
  <c r="AR161" i="15" s="1"/>
  <c r="AQ156" i="19"/>
  <c r="F157" i="19"/>
  <c r="AS156" i="19"/>
  <c r="AU156" i="19"/>
  <c r="AS138" i="16"/>
  <c r="G176" i="17"/>
  <c r="K176" i="17" s="1"/>
  <c r="F177" i="17" s="1"/>
  <c r="J178" i="17" s="1"/>
  <c r="AU138" i="16"/>
  <c r="AL138" i="16"/>
  <c r="AM138" i="16" s="1"/>
  <c r="AN138" i="16" s="1"/>
  <c r="H176" i="17"/>
  <c r="AP176" i="17" s="1"/>
  <c r="AS175" i="17"/>
  <c r="AQ175" i="17"/>
  <c r="AU175" i="17"/>
  <c r="AI138" i="16"/>
  <c r="AJ138" i="16" s="1"/>
  <c r="AK138" i="16" s="1"/>
  <c r="F139" i="16"/>
  <c r="AG205" i="16"/>
  <c r="AF206" i="16" s="1"/>
  <c r="Z205" i="16"/>
  <c r="M199" i="16"/>
  <c r="Q199" i="16" s="1"/>
  <c r="L200" i="16" s="1"/>
  <c r="N199" i="16"/>
  <c r="P200" i="16"/>
  <c r="T219" i="16"/>
  <c r="S219" i="16"/>
  <c r="W219" i="16" s="1"/>
  <c r="R220" i="16" s="1"/>
  <c r="AE218" i="16"/>
  <c r="AD219" i="16" s="1"/>
  <c r="AT218" i="16"/>
  <c r="AC205" i="16"/>
  <c r="X206" i="16" s="1"/>
  <c r="G205" i="18"/>
  <c r="AR205" i="18" s="1"/>
  <c r="AN204" i="18"/>
  <c r="AK204" i="18"/>
  <c r="AW169" i="28" l="1"/>
  <c r="AX169" i="28" s="1"/>
  <c r="AY169" i="28" s="1"/>
  <c r="I170" i="28"/>
  <c r="Q170" i="28" s="1"/>
  <c r="L171" i="28" s="1"/>
  <c r="G170" i="28"/>
  <c r="AL170" i="28" s="1"/>
  <c r="AM170" i="28" s="1"/>
  <c r="AN170" i="28" s="1"/>
  <c r="H170" i="28"/>
  <c r="J171" i="28"/>
  <c r="M179" i="29"/>
  <c r="O179" i="29"/>
  <c r="N179" i="29"/>
  <c r="P180" i="29"/>
  <c r="L234" i="24"/>
  <c r="R234" i="24"/>
  <c r="AW171" i="26"/>
  <c r="AX171" i="26" s="1"/>
  <c r="AY171" i="26" s="1"/>
  <c r="AU178" i="29"/>
  <c r="AQ178" i="29"/>
  <c r="AS178" i="29"/>
  <c r="AI178" i="29"/>
  <c r="J180" i="29"/>
  <c r="H179" i="29"/>
  <c r="AL178" i="29"/>
  <c r="G179" i="29"/>
  <c r="AO178" i="29"/>
  <c r="H172" i="26"/>
  <c r="F225" i="25"/>
  <c r="AQ224" i="25"/>
  <c r="AS224" i="25"/>
  <c r="AU224" i="25"/>
  <c r="AI224" i="25"/>
  <c r="AJ224" i="25" s="1"/>
  <c r="AK224" i="25" s="1"/>
  <c r="AL224" i="25"/>
  <c r="AM224" i="25" s="1"/>
  <c r="AN224" i="25" s="1"/>
  <c r="AO224" i="25"/>
  <c r="Q231" i="25"/>
  <c r="AW160" i="24"/>
  <c r="AX160" i="24" s="1"/>
  <c r="AY160" i="24" s="1"/>
  <c r="H161" i="24"/>
  <c r="H161" i="15"/>
  <c r="AW156" i="19"/>
  <c r="AX156" i="19" s="1"/>
  <c r="AY156" i="19" s="1"/>
  <c r="J158" i="19"/>
  <c r="H157" i="19"/>
  <c r="G157" i="19"/>
  <c r="AI157" i="19" s="1"/>
  <c r="AJ157" i="19" s="1"/>
  <c r="AK157" i="19" s="1"/>
  <c r="AW175" i="17"/>
  <c r="AX175" i="17" s="1"/>
  <c r="AY175" i="17" s="1"/>
  <c r="AL176" i="17"/>
  <c r="AM176" i="17" s="1"/>
  <c r="AN176" i="17" s="1"/>
  <c r="AU176" i="17"/>
  <c r="AS176" i="17"/>
  <c r="AI176" i="17"/>
  <c r="AJ176" i="17" s="1"/>
  <c r="AK176" i="17" s="1"/>
  <c r="G177" i="17"/>
  <c r="AL177" i="17" s="1"/>
  <c r="AM177" i="17" s="1"/>
  <c r="AN177" i="17" s="1"/>
  <c r="H177" i="17"/>
  <c r="AP177" i="17" s="1"/>
  <c r="AQ176" i="17"/>
  <c r="AW138" i="16"/>
  <c r="AX138" i="16" s="1"/>
  <c r="AY138" i="16" s="1"/>
  <c r="AO176" i="17"/>
  <c r="J140" i="16"/>
  <c r="H139" i="16"/>
  <c r="G139" i="16"/>
  <c r="AE219" i="16"/>
  <c r="AD220" i="16" s="1"/>
  <c r="AT219" i="16"/>
  <c r="T220" i="16"/>
  <c r="S220" i="16"/>
  <c r="W220" i="16" s="1"/>
  <c r="R221" i="16" s="1"/>
  <c r="P201" i="16"/>
  <c r="M200" i="16"/>
  <c r="Q200" i="16" s="1"/>
  <c r="L201" i="16" s="1"/>
  <c r="N200" i="16"/>
  <c r="Y206" i="16"/>
  <c r="AG206" i="16" s="1"/>
  <c r="AF207" i="16" s="1"/>
  <c r="Z206" i="16"/>
  <c r="H205" i="18"/>
  <c r="AW204" i="18"/>
  <c r="AX204" i="18" s="1"/>
  <c r="AY204" i="18" s="1"/>
  <c r="Q179" i="29" l="1"/>
  <c r="L180" i="29" s="1"/>
  <c r="P181" i="29" s="1"/>
  <c r="AL179" i="29"/>
  <c r="AM179" i="29" s="1"/>
  <c r="AN179" i="29" s="1"/>
  <c r="O180" i="29"/>
  <c r="O171" i="28"/>
  <c r="N171" i="28"/>
  <c r="M171" i="28"/>
  <c r="P172" i="28"/>
  <c r="AP170" i="28"/>
  <c r="AO170" i="28"/>
  <c r="K170" i="28"/>
  <c r="AI170" i="28"/>
  <c r="AJ170" i="28" s="1"/>
  <c r="AK170" i="28" s="1"/>
  <c r="AO179" i="29"/>
  <c r="AP179" i="29"/>
  <c r="AM178" i="29"/>
  <c r="AN178" i="29" s="1"/>
  <c r="AI179" i="29"/>
  <c r="K179" i="29"/>
  <c r="AJ178" i="29"/>
  <c r="AK178" i="29" s="1"/>
  <c r="F173" i="26"/>
  <c r="AL172" i="26"/>
  <c r="AI172" i="26"/>
  <c r="G225" i="25"/>
  <c r="K225" i="25" s="1"/>
  <c r="H225" i="25"/>
  <c r="AP225" i="25" s="1"/>
  <c r="J226" i="25"/>
  <c r="AW224" i="25"/>
  <c r="L232" i="25"/>
  <c r="F162" i="24"/>
  <c r="AI161" i="24"/>
  <c r="AJ161" i="24" s="1"/>
  <c r="AL161" i="24"/>
  <c r="AM161" i="24" s="1"/>
  <c r="F162" i="15"/>
  <c r="AI161" i="15"/>
  <c r="AJ161" i="15" s="1"/>
  <c r="AK161" i="15" s="1"/>
  <c r="AL161" i="15"/>
  <c r="AM161" i="15" s="1"/>
  <c r="AN161" i="15" s="1"/>
  <c r="K157" i="19"/>
  <c r="AL157" i="19"/>
  <c r="AM157" i="19" s="1"/>
  <c r="AN157" i="19" s="1"/>
  <c r="AP157" i="19"/>
  <c r="AO157" i="19"/>
  <c r="AW176" i="17"/>
  <c r="AX176" i="17" s="1"/>
  <c r="AY176" i="17" s="1"/>
  <c r="AI177" i="17"/>
  <c r="AJ177" i="17" s="1"/>
  <c r="AK177" i="17" s="1"/>
  <c r="K177" i="17"/>
  <c r="AQ177" i="17" s="1"/>
  <c r="AO177" i="17"/>
  <c r="AP139" i="16"/>
  <c r="AO139" i="16"/>
  <c r="AL139" i="16"/>
  <c r="AM139" i="16" s="1"/>
  <c r="AN139" i="16" s="1"/>
  <c r="K139" i="16"/>
  <c r="M201" i="16"/>
  <c r="Q201" i="16" s="1"/>
  <c r="L202" i="16" s="1"/>
  <c r="P202" i="16"/>
  <c r="N201" i="16"/>
  <c r="AE220" i="16"/>
  <c r="AD221" i="16" s="1"/>
  <c r="AT220" i="16"/>
  <c r="T221" i="16"/>
  <c r="S221" i="16"/>
  <c r="W221" i="16" s="1"/>
  <c r="R222" i="16" s="1"/>
  <c r="AC206" i="16"/>
  <c r="X207" i="16" s="1"/>
  <c r="F206" i="18"/>
  <c r="AL205" i="18"/>
  <c r="AI205" i="18"/>
  <c r="N180" i="29" l="1"/>
  <c r="M180" i="29"/>
  <c r="F171" i="28"/>
  <c r="AU170" i="28"/>
  <c r="AS170" i="28"/>
  <c r="AQ170" i="28"/>
  <c r="AW161" i="15"/>
  <c r="AX161" i="15" s="1"/>
  <c r="AY161" i="15" s="1"/>
  <c r="AW178" i="29"/>
  <c r="AX178" i="29" s="1"/>
  <c r="AY178" i="29" s="1"/>
  <c r="AJ179" i="29"/>
  <c r="AK179" i="29" s="1"/>
  <c r="F180" i="29"/>
  <c r="I180" i="29" s="1"/>
  <c r="AR180" i="29" s="1"/>
  <c r="AQ179" i="29"/>
  <c r="AU179" i="29"/>
  <c r="AS179" i="29"/>
  <c r="G173" i="26"/>
  <c r="AR173" i="26" s="1"/>
  <c r="AM172" i="26"/>
  <c r="AN172" i="26" s="1"/>
  <c r="AJ172" i="26"/>
  <c r="AK172" i="26" s="1"/>
  <c r="F226" i="25"/>
  <c r="AQ225" i="25"/>
  <c r="AS225" i="25"/>
  <c r="AU225" i="25"/>
  <c r="AI225" i="25"/>
  <c r="AL225" i="25"/>
  <c r="AM225" i="25" s="1"/>
  <c r="AN225" i="25" s="1"/>
  <c r="AO225" i="25"/>
  <c r="P233" i="25"/>
  <c r="N232" i="25"/>
  <c r="M232" i="25"/>
  <c r="AN161" i="24"/>
  <c r="AK161" i="24"/>
  <c r="G162" i="24"/>
  <c r="AR162" i="24" s="1"/>
  <c r="G162" i="15"/>
  <c r="AR162" i="15" s="1"/>
  <c r="F178" i="17"/>
  <c r="J179" i="17" s="1"/>
  <c r="F158" i="19"/>
  <c r="AU157" i="19"/>
  <c r="AQ157" i="19"/>
  <c r="AS157" i="19"/>
  <c r="AS177" i="17"/>
  <c r="AU177" i="17"/>
  <c r="F140" i="16"/>
  <c r="AS139" i="16"/>
  <c r="AU139" i="16"/>
  <c r="AI139" i="16"/>
  <c r="AJ139" i="16" s="1"/>
  <c r="AK139" i="16" s="1"/>
  <c r="AQ139" i="16"/>
  <c r="M202" i="16"/>
  <c r="Q202" i="16" s="1"/>
  <c r="L203" i="16" s="1"/>
  <c r="N202" i="16"/>
  <c r="P203" i="16"/>
  <c r="T222" i="16"/>
  <c r="S222" i="16"/>
  <c r="W222" i="16" s="1"/>
  <c r="R223" i="16" s="1"/>
  <c r="AT221" i="16"/>
  <c r="AE221" i="16"/>
  <c r="AD222" i="16" s="1"/>
  <c r="Z207" i="16"/>
  <c r="Y207" i="16"/>
  <c r="AG207" i="16" s="1"/>
  <c r="AF208" i="16" s="1"/>
  <c r="AJ205" i="18"/>
  <c r="AK205" i="18" s="1"/>
  <c r="AM205" i="18"/>
  <c r="AN205" i="18" s="1"/>
  <c r="G206" i="18"/>
  <c r="AR206" i="18" s="1"/>
  <c r="Q180" i="29" l="1"/>
  <c r="L181" i="29" s="1"/>
  <c r="P182" i="29" s="1"/>
  <c r="AW170" i="28"/>
  <c r="AX170" i="28" s="1"/>
  <c r="AY170" i="28" s="1"/>
  <c r="I171" i="28"/>
  <c r="Q171" i="28" s="1"/>
  <c r="L172" i="28" s="1"/>
  <c r="H171" i="28"/>
  <c r="J172" i="28"/>
  <c r="G171" i="28"/>
  <c r="AI171" i="28" s="1"/>
  <c r="AJ171" i="28" s="1"/>
  <c r="AK171" i="28" s="1"/>
  <c r="O181" i="29"/>
  <c r="AW179" i="29"/>
  <c r="AX179" i="29" s="1"/>
  <c r="AY179" i="29" s="1"/>
  <c r="AW172" i="26"/>
  <c r="AX172" i="26" s="1"/>
  <c r="AY172" i="26" s="1"/>
  <c r="H180" i="29"/>
  <c r="AP180" i="29" s="1"/>
  <c r="J181" i="29"/>
  <c r="G180" i="29"/>
  <c r="H173" i="26"/>
  <c r="G226" i="25"/>
  <c r="K226" i="25" s="1"/>
  <c r="J227" i="25"/>
  <c r="H226" i="25"/>
  <c r="AP226" i="25" s="1"/>
  <c r="AJ225" i="25"/>
  <c r="AK225" i="25" s="1"/>
  <c r="AW225" i="25" s="1"/>
  <c r="Q232" i="25"/>
  <c r="AW161" i="24"/>
  <c r="AX161" i="24" s="1"/>
  <c r="AY161" i="24" s="1"/>
  <c r="H162" i="24"/>
  <c r="H162" i="15"/>
  <c r="G178" i="17"/>
  <c r="K178" i="17" s="1"/>
  <c r="AS178" i="17" s="1"/>
  <c r="H178" i="17"/>
  <c r="AP178" i="17" s="1"/>
  <c r="AW157" i="19"/>
  <c r="AX157" i="19" s="1"/>
  <c r="AY157" i="19" s="1"/>
  <c r="J159" i="19"/>
  <c r="G158" i="19"/>
  <c r="K158" i="19" s="1"/>
  <c r="F159" i="19" s="1"/>
  <c r="H158" i="19"/>
  <c r="AW177" i="17"/>
  <c r="AX177" i="17" s="1"/>
  <c r="AY177" i="17" s="1"/>
  <c r="AW139" i="16"/>
  <c r="AX139" i="16" s="1"/>
  <c r="AY139" i="16" s="1"/>
  <c r="H140" i="16"/>
  <c r="J141" i="16"/>
  <c r="G140" i="16"/>
  <c r="AE222" i="16"/>
  <c r="AD223" i="16" s="1"/>
  <c r="AT222" i="16"/>
  <c r="AC207" i="16"/>
  <c r="X208" i="16" s="1"/>
  <c r="Z208" i="16" s="1"/>
  <c r="M203" i="16"/>
  <c r="Q203" i="16" s="1"/>
  <c r="L204" i="16" s="1"/>
  <c r="N203" i="16"/>
  <c r="P204" i="16"/>
  <c r="S223" i="16"/>
  <c r="W223" i="16" s="1"/>
  <c r="R224" i="16" s="1"/>
  <c r="T223" i="16"/>
  <c r="H206" i="18"/>
  <c r="AW205" i="18"/>
  <c r="AX205" i="18" s="1"/>
  <c r="AY205" i="18" s="1"/>
  <c r="M181" i="29" l="1"/>
  <c r="N181" i="29"/>
  <c r="O172" i="28"/>
  <c r="M172" i="28"/>
  <c r="N172" i="28"/>
  <c r="P173" i="28"/>
  <c r="AP171" i="28"/>
  <c r="AO171" i="28"/>
  <c r="K171" i="28"/>
  <c r="AL171" i="28"/>
  <c r="AO180" i="29"/>
  <c r="AI180" i="29"/>
  <c r="K180" i="29"/>
  <c r="AL180" i="29"/>
  <c r="F174" i="26"/>
  <c r="AI173" i="26"/>
  <c r="AL173" i="26"/>
  <c r="AL226" i="25"/>
  <c r="AM226" i="25" s="1"/>
  <c r="AN226" i="25" s="1"/>
  <c r="F227" i="25"/>
  <c r="AI226" i="25"/>
  <c r="AQ226" i="25"/>
  <c r="AS226" i="25"/>
  <c r="AU226" i="25"/>
  <c r="AO226" i="25"/>
  <c r="L233" i="25"/>
  <c r="F163" i="24"/>
  <c r="AI162" i="24"/>
  <c r="AJ162" i="24" s="1"/>
  <c r="AL162" i="24"/>
  <c r="AM162" i="24" s="1"/>
  <c r="F163" i="15"/>
  <c r="AI162" i="15"/>
  <c r="AJ162" i="15" s="1"/>
  <c r="AK162" i="15" s="1"/>
  <c r="AL162" i="15"/>
  <c r="AM162" i="15" s="1"/>
  <c r="AN162" i="15" s="1"/>
  <c r="AU178" i="17"/>
  <c r="AQ178" i="17"/>
  <c r="AI178" i="17"/>
  <c r="AJ178" i="17" s="1"/>
  <c r="AK178" i="17" s="1"/>
  <c r="AL178" i="17"/>
  <c r="AM178" i="17" s="1"/>
  <c r="AN178" i="17" s="1"/>
  <c r="F179" i="17"/>
  <c r="J180" i="17" s="1"/>
  <c r="AO178" i="17"/>
  <c r="AL158" i="19"/>
  <c r="AM158" i="19" s="1"/>
  <c r="AN158" i="19" s="1"/>
  <c r="AU158" i="19"/>
  <c r="AP158" i="19"/>
  <c r="AO158" i="19"/>
  <c r="AS158" i="19"/>
  <c r="AI158" i="19"/>
  <c r="AJ158" i="19" s="1"/>
  <c r="AK158" i="19" s="1"/>
  <c r="G159" i="19"/>
  <c r="AI159" i="19" s="1"/>
  <c r="AJ159" i="19" s="1"/>
  <c r="AK159" i="19" s="1"/>
  <c r="H159" i="19"/>
  <c r="J160" i="19"/>
  <c r="AQ158" i="19"/>
  <c r="AP140" i="16"/>
  <c r="AO140" i="16"/>
  <c r="K140" i="16"/>
  <c r="AL140" i="16"/>
  <c r="AM140" i="16" s="1"/>
  <c r="AN140" i="16" s="1"/>
  <c r="Y208" i="16"/>
  <c r="AG208" i="16" s="1"/>
  <c r="AF209" i="16" s="1"/>
  <c r="N204" i="16"/>
  <c r="P205" i="16"/>
  <c r="M204" i="16"/>
  <c r="Q204" i="16" s="1"/>
  <c r="L205" i="16" s="1"/>
  <c r="T224" i="16"/>
  <c r="S224" i="16"/>
  <c r="W224" i="16" s="1"/>
  <c r="R225" i="16" s="1"/>
  <c r="AE223" i="16"/>
  <c r="AD224" i="16" s="1"/>
  <c r="AT223" i="16"/>
  <c r="F207" i="18"/>
  <c r="AI206" i="18"/>
  <c r="AL206" i="18"/>
  <c r="F172" i="28" l="1"/>
  <c r="AQ171" i="28"/>
  <c r="AS171" i="28"/>
  <c r="AU171" i="28"/>
  <c r="AM171" i="28"/>
  <c r="AN171" i="28" s="1"/>
  <c r="AM180" i="29"/>
  <c r="AN180" i="29" s="1"/>
  <c r="AJ180" i="29"/>
  <c r="AK180" i="29" s="1"/>
  <c r="F181" i="29"/>
  <c r="I181" i="29" s="1"/>
  <c r="AS180" i="29"/>
  <c r="AU180" i="29"/>
  <c r="AQ180" i="29"/>
  <c r="G174" i="26"/>
  <c r="AR174" i="26" s="1"/>
  <c r="AJ173" i="26"/>
  <c r="AK173" i="26" s="1"/>
  <c r="AM173" i="26"/>
  <c r="AN173" i="26" s="1"/>
  <c r="G227" i="25"/>
  <c r="K227" i="25" s="1"/>
  <c r="H227" i="25"/>
  <c r="AP227" i="25" s="1"/>
  <c r="J228" i="25"/>
  <c r="AJ226" i="25"/>
  <c r="AK226" i="25" s="1"/>
  <c r="AW226" i="25" s="1"/>
  <c r="N233" i="25"/>
  <c r="P234" i="25"/>
  <c r="M233" i="25"/>
  <c r="Q233" i="25" s="1"/>
  <c r="L234" i="25" s="1"/>
  <c r="AN162" i="24"/>
  <c r="AK162" i="24"/>
  <c r="G163" i="24"/>
  <c r="AR163" i="24" s="1"/>
  <c r="G163" i="15"/>
  <c r="AR163" i="15" s="1"/>
  <c r="AW162" i="15"/>
  <c r="AX162" i="15" s="1"/>
  <c r="AY162" i="15" s="1"/>
  <c r="H179" i="17"/>
  <c r="AP179" i="17" s="1"/>
  <c r="AW178" i="17"/>
  <c r="AX178" i="17" s="1"/>
  <c r="AY178" i="17" s="1"/>
  <c r="G179" i="17"/>
  <c r="AI179" i="17" s="1"/>
  <c r="AJ179" i="17" s="1"/>
  <c r="AK179" i="17" s="1"/>
  <c r="AL159" i="19"/>
  <c r="AM159" i="19" s="1"/>
  <c r="AN159" i="19" s="1"/>
  <c r="AW158" i="19"/>
  <c r="AX158" i="19" s="1"/>
  <c r="AY158" i="19" s="1"/>
  <c r="K159" i="19"/>
  <c r="AP159" i="19"/>
  <c r="AO159" i="19"/>
  <c r="AQ140" i="16"/>
  <c r="AU140" i="16"/>
  <c r="F141" i="16"/>
  <c r="AS140" i="16"/>
  <c r="AI140" i="16"/>
  <c r="AJ140" i="16" s="1"/>
  <c r="AK140" i="16" s="1"/>
  <c r="AE224" i="16"/>
  <c r="AD225" i="16" s="1"/>
  <c r="AT224" i="16"/>
  <c r="S225" i="16"/>
  <c r="W225" i="16" s="1"/>
  <c r="R226" i="16" s="1"/>
  <c r="T225" i="16"/>
  <c r="AC208" i="16"/>
  <c r="X209" i="16" s="1"/>
  <c r="P206" i="16"/>
  <c r="M205" i="16"/>
  <c r="Q205" i="16" s="1"/>
  <c r="L206" i="16" s="1"/>
  <c r="N205" i="16"/>
  <c r="AJ206" i="18"/>
  <c r="AK206" i="18" s="1"/>
  <c r="G207" i="18"/>
  <c r="AR207" i="18" s="1"/>
  <c r="AM206" i="18"/>
  <c r="AN206" i="18" s="1"/>
  <c r="AW171" i="28" l="1"/>
  <c r="AX171" i="28" s="1"/>
  <c r="AY171" i="28" s="1"/>
  <c r="I172" i="28"/>
  <c r="Q172" i="28" s="1"/>
  <c r="L173" i="28" s="1"/>
  <c r="G172" i="28"/>
  <c r="AI172" i="28" s="1"/>
  <c r="AJ172" i="28" s="1"/>
  <c r="AK172" i="28" s="1"/>
  <c r="H172" i="28"/>
  <c r="J173" i="28"/>
  <c r="AR181" i="29"/>
  <c r="Q181" i="29"/>
  <c r="L182" i="29" s="1"/>
  <c r="J182" i="29"/>
  <c r="H181" i="29"/>
  <c r="AP181" i="29" s="1"/>
  <c r="G181" i="29"/>
  <c r="AI181" i="29" s="1"/>
  <c r="AW180" i="29"/>
  <c r="AX180" i="29" s="1"/>
  <c r="AY180" i="29" s="1"/>
  <c r="AW173" i="26"/>
  <c r="AX173" i="26" s="1"/>
  <c r="AY173" i="26" s="1"/>
  <c r="H174" i="26"/>
  <c r="F228" i="25"/>
  <c r="AS227" i="25"/>
  <c r="AI227" i="25"/>
  <c r="AQ227" i="25"/>
  <c r="AU227" i="25"/>
  <c r="AL227" i="25"/>
  <c r="AM227" i="25" s="1"/>
  <c r="AN227" i="25" s="1"/>
  <c r="AO227" i="25"/>
  <c r="N234" i="25"/>
  <c r="M234" i="25"/>
  <c r="AW162" i="24"/>
  <c r="AX162" i="24" s="1"/>
  <c r="AY162" i="24" s="1"/>
  <c r="H163" i="24"/>
  <c r="H163" i="15"/>
  <c r="AO179" i="17"/>
  <c r="AL179" i="17"/>
  <c r="AM179" i="17" s="1"/>
  <c r="AN179" i="17" s="1"/>
  <c r="K179" i="17"/>
  <c r="AQ179" i="17" s="1"/>
  <c r="F160" i="19"/>
  <c r="AQ159" i="19"/>
  <c r="AU159" i="19"/>
  <c r="AS159" i="19"/>
  <c r="AW140" i="16"/>
  <c r="AX140" i="16" s="1"/>
  <c r="AY140" i="16" s="1"/>
  <c r="G141" i="16"/>
  <c r="AL141" i="16" s="1"/>
  <c r="AM141" i="16" s="1"/>
  <c r="AN141" i="16" s="1"/>
  <c r="H141" i="16"/>
  <c r="J142" i="16"/>
  <c r="S226" i="16"/>
  <c r="W226" i="16" s="1"/>
  <c r="R227" i="16" s="1"/>
  <c r="T226" i="16"/>
  <c r="M206" i="16"/>
  <c r="Q206" i="16" s="1"/>
  <c r="L207" i="16" s="1"/>
  <c r="N206" i="16"/>
  <c r="P207" i="16"/>
  <c r="Y209" i="16"/>
  <c r="Z209" i="16"/>
  <c r="AT225" i="16"/>
  <c r="AE225" i="16"/>
  <c r="AD226" i="16" s="1"/>
  <c r="H207" i="18"/>
  <c r="F208" i="18" s="1"/>
  <c r="G208" i="18" s="1"/>
  <c r="AR208" i="18" s="1"/>
  <c r="AW206" i="18"/>
  <c r="AX206" i="18" s="1"/>
  <c r="AY206" i="18" s="1"/>
  <c r="O173" i="28" l="1"/>
  <c r="M173" i="28"/>
  <c r="P174" i="28"/>
  <c r="N173" i="28"/>
  <c r="AL172" i="28"/>
  <c r="AM172" i="28" s="1"/>
  <c r="AN172" i="28" s="1"/>
  <c r="AP172" i="28"/>
  <c r="AO172" i="28"/>
  <c r="K172" i="28"/>
  <c r="M182" i="29"/>
  <c r="O182" i="29"/>
  <c r="N182" i="29"/>
  <c r="P183" i="29"/>
  <c r="AJ181" i="29"/>
  <c r="AK181" i="29" s="1"/>
  <c r="AL181" i="29"/>
  <c r="K181" i="29"/>
  <c r="AO181" i="29"/>
  <c r="F175" i="26"/>
  <c r="AL174" i="26"/>
  <c r="AI174" i="26"/>
  <c r="G228" i="25"/>
  <c r="K228" i="25" s="1"/>
  <c r="J229" i="25"/>
  <c r="H228" i="25"/>
  <c r="AP228" i="25" s="1"/>
  <c r="AJ227" i="25"/>
  <c r="AK227" i="25" s="1"/>
  <c r="AW227" i="25" s="1"/>
  <c r="Q234" i="25"/>
  <c r="F164" i="24"/>
  <c r="AI163" i="24"/>
  <c r="AJ163" i="24" s="1"/>
  <c r="AL163" i="24"/>
  <c r="AM163" i="24" s="1"/>
  <c r="F164" i="15"/>
  <c r="AI163" i="15"/>
  <c r="AJ163" i="15" s="1"/>
  <c r="AK163" i="15" s="1"/>
  <c r="AL163" i="15"/>
  <c r="AM163" i="15" s="1"/>
  <c r="AN163" i="15" s="1"/>
  <c r="AS179" i="17"/>
  <c r="F180" i="17"/>
  <c r="H180" i="17" s="1"/>
  <c r="AU179" i="17"/>
  <c r="AW159" i="19"/>
  <c r="AX159" i="19" s="1"/>
  <c r="AY159" i="19" s="1"/>
  <c r="H160" i="19"/>
  <c r="G160" i="19"/>
  <c r="AI160" i="19" s="1"/>
  <c r="AJ160" i="19" s="1"/>
  <c r="AK160" i="19" s="1"/>
  <c r="J161" i="19"/>
  <c r="K141" i="16"/>
  <c r="AP141" i="16"/>
  <c r="AO141" i="16"/>
  <c r="P208" i="16"/>
  <c r="N207" i="16"/>
  <c r="M207" i="16"/>
  <c r="Q207" i="16" s="1"/>
  <c r="L208" i="16" s="1"/>
  <c r="AG209" i="16"/>
  <c r="AF210" i="16" s="1"/>
  <c r="AC209" i="16"/>
  <c r="X210" i="16" s="1"/>
  <c r="AT226" i="16"/>
  <c r="AE226" i="16"/>
  <c r="AD227" i="16" s="1"/>
  <c r="S227" i="16"/>
  <c r="W227" i="16" s="1"/>
  <c r="R228" i="16" s="1"/>
  <c r="T227" i="16"/>
  <c r="AI207" i="18"/>
  <c r="AJ207" i="18" s="1"/>
  <c r="AK207" i="18" s="1"/>
  <c r="AL207" i="18"/>
  <c r="AM207" i="18" s="1"/>
  <c r="AN207" i="18" s="1"/>
  <c r="H208" i="18"/>
  <c r="AL208" i="18" s="1"/>
  <c r="AM208" i="18" s="1"/>
  <c r="AN208" i="18" s="1"/>
  <c r="F173" i="28" l="1"/>
  <c r="AS172" i="28"/>
  <c r="AU172" i="28"/>
  <c r="AQ172" i="28"/>
  <c r="F182" i="29"/>
  <c r="I182" i="29" s="1"/>
  <c r="AR182" i="29" s="1"/>
  <c r="AU181" i="29"/>
  <c r="AQ181" i="29"/>
  <c r="AS181" i="29"/>
  <c r="AM181" i="29"/>
  <c r="AN181" i="29" s="1"/>
  <c r="AM174" i="26"/>
  <c r="AN174" i="26" s="1"/>
  <c r="AJ174" i="26"/>
  <c r="AK174" i="26" s="1"/>
  <c r="G175" i="26"/>
  <c r="AR175" i="26" s="1"/>
  <c r="AW163" i="15"/>
  <c r="AX163" i="15" s="1"/>
  <c r="AY163" i="15" s="1"/>
  <c r="F229" i="25"/>
  <c r="AQ228" i="25"/>
  <c r="AI228" i="25"/>
  <c r="AJ228" i="25" s="1"/>
  <c r="AK228" i="25" s="1"/>
  <c r="AU228" i="25"/>
  <c r="AS228" i="25"/>
  <c r="AL228" i="25"/>
  <c r="AO228" i="25"/>
  <c r="AN163" i="24"/>
  <c r="AK163" i="24"/>
  <c r="G164" i="24"/>
  <c r="AR164" i="24" s="1"/>
  <c r="G164" i="15"/>
  <c r="AR164" i="15" s="1"/>
  <c r="G180" i="17"/>
  <c r="AI180" i="17" s="1"/>
  <c r="AJ180" i="17" s="1"/>
  <c r="AK180" i="17" s="1"/>
  <c r="J181" i="17"/>
  <c r="AW179" i="17"/>
  <c r="AX179" i="17" s="1"/>
  <c r="AY179" i="17" s="1"/>
  <c r="K160" i="19"/>
  <c r="AL160" i="19"/>
  <c r="AM160" i="19" s="1"/>
  <c r="AN160" i="19" s="1"/>
  <c r="AP160" i="19"/>
  <c r="AO160" i="19"/>
  <c r="AP180" i="17"/>
  <c r="AO180" i="17"/>
  <c r="AS141" i="16"/>
  <c r="F142" i="16"/>
  <c r="AI141" i="16"/>
  <c r="AJ141" i="16" s="1"/>
  <c r="AK141" i="16" s="1"/>
  <c r="AU141" i="16"/>
  <c r="AQ141" i="16"/>
  <c r="AE227" i="16"/>
  <c r="AD228" i="16" s="1"/>
  <c r="AT227" i="16"/>
  <c r="M208" i="16"/>
  <c r="Q208" i="16" s="1"/>
  <c r="L209" i="16" s="1"/>
  <c r="P209" i="16"/>
  <c r="N208" i="16"/>
  <c r="Z210" i="16"/>
  <c r="Y210" i="16"/>
  <c r="S228" i="16"/>
  <c r="W228" i="16" s="1"/>
  <c r="R229" i="16" s="1"/>
  <c r="T228" i="16"/>
  <c r="AW207" i="18"/>
  <c r="AX207" i="18" s="1"/>
  <c r="AY207" i="18" s="1"/>
  <c r="AI208" i="18"/>
  <c r="AJ208" i="18" s="1"/>
  <c r="AK208" i="18" s="1"/>
  <c r="AW208" i="18" s="1"/>
  <c r="AX208" i="18" s="1"/>
  <c r="AY208" i="18" s="1"/>
  <c r="F209" i="18"/>
  <c r="G209" i="18" s="1"/>
  <c r="AR209" i="18" s="1"/>
  <c r="Q182" i="29" l="1"/>
  <c r="L183" i="29" s="1"/>
  <c r="N183" i="29" s="1"/>
  <c r="AW172" i="28"/>
  <c r="AX172" i="28" s="1"/>
  <c r="AY172" i="28" s="1"/>
  <c r="O183" i="29"/>
  <c r="I173" i="28"/>
  <c r="Q173" i="28" s="1"/>
  <c r="L174" i="28" s="1"/>
  <c r="H173" i="28"/>
  <c r="G173" i="28"/>
  <c r="AI173" i="28" s="1"/>
  <c r="AJ173" i="28" s="1"/>
  <c r="AK173" i="28" s="1"/>
  <c r="J174" i="28"/>
  <c r="AW181" i="29"/>
  <c r="AX181" i="29" s="1"/>
  <c r="AY181" i="29" s="1"/>
  <c r="J183" i="29"/>
  <c r="H182" i="29"/>
  <c r="AP182" i="29" s="1"/>
  <c r="G182" i="29"/>
  <c r="AL182" i="29" s="1"/>
  <c r="AW174" i="26"/>
  <c r="AX174" i="26" s="1"/>
  <c r="AY174" i="26" s="1"/>
  <c r="H175" i="26"/>
  <c r="AW163" i="24"/>
  <c r="AX163" i="24" s="1"/>
  <c r="AY163" i="24" s="1"/>
  <c r="G229" i="25"/>
  <c r="K229" i="25" s="1"/>
  <c r="H229" i="25"/>
  <c r="AP229" i="25" s="1"/>
  <c r="J230" i="25"/>
  <c r="AM228" i="25"/>
  <c r="AN228" i="25" s="1"/>
  <c r="AW228" i="25" s="1"/>
  <c r="H164" i="24"/>
  <c r="H164" i="15"/>
  <c r="AL180" i="17"/>
  <c r="AM180" i="17" s="1"/>
  <c r="AN180" i="17" s="1"/>
  <c r="K180" i="17"/>
  <c r="AQ180" i="17" s="1"/>
  <c r="F161" i="19"/>
  <c r="AU160" i="19"/>
  <c r="AS160" i="19"/>
  <c r="AQ160" i="19"/>
  <c r="AW141" i="16"/>
  <c r="AX141" i="16" s="1"/>
  <c r="AY141" i="16" s="1"/>
  <c r="J143" i="16"/>
  <c r="H142" i="16"/>
  <c r="G142" i="16"/>
  <c r="AL142" i="16" s="1"/>
  <c r="AM142" i="16" s="1"/>
  <c r="AN142" i="16" s="1"/>
  <c r="AG210" i="16"/>
  <c r="AF211" i="16" s="1"/>
  <c r="AC210" i="16"/>
  <c r="X211" i="16" s="1"/>
  <c r="T229" i="16"/>
  <c r="S229" i="16"/>
  <c r="W229" i="16" s="1"/>
  <c r="R230" i="16" s="1"/>
  <c r="M209" i="16"/>
  <c r="Q209" i="16" s="1"/>
  <c r="L210" i="16" s="1"/>
  <c r="N209" i="16"/>
  <c r="P210" i="16"/>
  <c r="AE228" i="16"/>
  <c r="AD229" i="16" s="1"/>
  <c r="AT228" i="16"/>
  <c r="H209" i="18"/>
  <c r="AL209" i="18" s="1"/>
  <c r="AM209" i="18" s="1"/>
  <c r="AN209" i="18" s="1"/>
  <c r="M183" i="29" l="1"/>
  <c r="P184" i="29"/>
  <c r="O174" i="28"/>
  <c r="M174" i="28"/>
  <c r="N174" i="28"/>
  <c r="P175" i="28"/>
  <c r="AP173" i="28"/>
  <c r="AO173" i="28"/>
  <c r="AL173" i="28"/>
  <c r="AM173" i="28" s="1"/>
  <c r="AN173" i="28" s="1"/>
  <c r="K173" i="28"/>
  <c r="AM182" i="29"/>
  <c r="AN182" i="29" s="1"/>
  <c r="AI182" i="29"/>
  <c r="K182" i="29"/>
  <c r="AO182" i="29"/>
  <c r="F176" i="26"/>
  <c r="AI175" i="26"/>
  <c r="AL175" i="26"/>
  <c r="F230" i="25"/>
  <c r="AI229" i="25"/>
  <c r="AQ229" i="25"/>
  <c r="AS229" i="25"/>
  <c r="AU229" i="25"/>
  <c r="AL229" i="25"/>
  <c r="AM229" i="25" s="1"/>
  <c r="AN229" i="25" s="1"/>
  <c r="AO229" i="25"/>
  <c r="F165" i="24"/>
  <c r="AI164" i="24"/>
  <c r="AJ164" i="24" s="1"/>
  <c r="AL164" i="24"/>
  <c r="AM164" i="24" s="1"/>
  <c r="F165" i="15"/>
  <c r="AI164" i="15"/>
  <c r="AJ164" i="15" s="1"/>
  <c r="AK164" i="15" s="1"/>
  <c r="AL164" i="15"/>
  <c r="AM164" i="15" s="1"/>
  <c r="AN164" i="15" s="1"/>
  <c r="AU180" i="17"/>
  <c r="F181" i="17"/>
  <c r="G181" i="17" s="1"/>
  <c r="AI181" i="17" s="1"/>
  <c r="AJ181" i="17" s="1"/>
  <c r="AK181" i="17" s="1"/>
  <c r="AS180" i="17"/>
  <c r="AW160" i="19"/>
  <c r="AX160" i="19" s="1"/>
  <c r="AY160" i="19" s="1"/>
  <c r="H161" i="19"/>
  <c r="J162" i="19"/>
  <c r="G161" i="19"/>
  <c r="K142" i="16"/>
  <c r="AP142" i="16"/>
  <c r="AO142" i="16"/>
  <c r="AE229" i="16"/>
  <c r="AD230" i="16" s="1"/>
  <c r="AT229" i="16"/>
  <c r="N210" i="16"/>
  <c r="M210" i="16"/>
  <c r="Q210" i="16" s="1"/>
  <c r="L211" i="16" s="1"/>
  <c r="P211" i="16"/>
  <c r="Y211" i="16"/>
  <c r="AG211" i="16" s="1"/>
  <c r="AF212" i="16" s="1"/>
  <c r="Z211" i="16"/>
  <c r="T230" i="16"/>
  <c r="S230" i="16"/>
  <c r="W230" i="16" s="1"/>
  <c r="R231" i="16" s="1"/>
  <c r="F210" i="18"/>
  <c r="G210" i="18" s="1"/>
  <c r="AR210" i="18" s="1"/>
  <c r="AI209" i="18"/>
  <c r="AJ209" i="18" s="1"/>
  <c r="AK209" i="18" s="1"/>
  <c r="AW209" i="18" s="1"/>
  <c r="AX209" i="18" s="1"/>
  <c r="AY209" i="18" s="1"/>
  <c r="F174" i="28" l="1"/>
  <c r="AQ173" i="28"/>
  <c r="AS173" i="28"/>
  <c r="AU173" i="28"/>
  <c r="F183" i="29"/>
  <c r="I183" i="29" s="1"/>
  <c r="AS182" i="29"/>
  <c r="AU182" i="29"/>
  <c r="AQ182" i="29"/>
  <c r="AJ182" i="29"/>
  <c r="AK182" i="29" s="1"/>
  <c r="G176" i="26"/>
  <c r="AR176" i="26" s="1"/>
  <c r="AJ175" i="26"/>
  <c r="AK175" i="26" s="1"/>
  <c r="AM175" i="26"/>
  <c r="AN175" i="26" s="1"/>
  <c r="AW164" i="15"/>
  <c r="AX164" i="15" s="1"/>
  <c r="AY164" i="15" s="1"/>
  <c r="G230" i="25"/>
  <c r="K230" i="25" s="1"/>
  <c r="H230" i="25"/>
  <c r="AP230" i="25" s="1"/>
  <c r="J231" i="25"/>
  <c r="AJ229" i="25"/>
  <c r="AK229" i="25" s="1"/>
  <c r="AW229" i="25" s="1"/>
  <c r="AN164" i="24"/>
  <c r="AK164" i="24"/>
  <c r="G165" i="24"/>
  <c r="AR165" i="24" s="1"/>
  <c r="G165" i="15"/>
  <c r="AR165" i="15" s="1"/>
  <c r="AW180" i="17"/>
  <c r="AX180" i="17" s="1"/>
  <c r="AY180" i="17" s="1"/>
  <c r="H181" i="17"/>
  <c r="AO181" i="17" s="1"/>
  <c r="J182" i="17"/>
  <c r="AI161" i="19"/>
  <c r="AJ161" i="19" s="1"/>
  <c r="AK161" i="19" s="1"/>
  <c r="AL161" i="19"/>
  <c r="AM161" i="19" s="1"/>
  <c r="AN161" i="19" s="1"/>
  <c r="K161" i="19"/>
  <c r="AO161" i="19"/>
  <c r="AP161" i="19"/>
  <c r="AL181" i="17"/>
  <c r="AM181" i="17" s="1"/>
  <c r="AN181" i="17" s="1"/>
  <c r="K181" i="17"/>
  <c r="F143" i="16"/>
  <c r="AS142" i="16"/>
  <c r="AU142" i="16"/>
  <c r="AQ142" i="16"/>
  <c r="AI142" i="16"/>
  <c r="AJ142" i="16" s="1"/>
  <c r="AK142" i="16" s="1"/>
  <c r="AC211" i="16"/>
  <c r="X212" i="16" s="1"/>
  <c r="Y212" i="16" s="1"/>
  <c r="N211" i="16"/>
  <c r="M211" i="16"/>
  <c r="Q211" i="16" s="1"/>
  <c r="L212" i="16" s="1"/>
  <c r="P212" i="16"/>
  <c r="S231" i="16"/>
  <c r="W231" i="16" s="1"/>
  <c r="R232" i="16" s="1"/>
  <c r="T231" i="16"/>
  <c r="AE230" i="16"/>
  <c r="AD231" i="16" s="1"/>
  <c r="AT230" i="16"/>
  <c r="H210" i="18"/>
  <c r="AI210" i="18" s="1"/>
  <c r="AJ210" i="18" s="1"/>
  <c r="AK210" i="18" s="1"/>
  <c r="AW173" i="28" l="1"/>
  <c r="AX173" i="28" s="1"/>
  <c r="AY173" i="28" s="1"/>
  <c r="AR183" i="29"/>
  <c r="Q183" i="29"/>
  <c r="L184" i="29" s="1"/>
  <c r="I174" i="28"/>
  <c r="Q174" i="28" s="1"/>
  <c r="L175" i="28" s="1"/>
  <c r="J175" i="28"/>
  <c r="H174" i="28"/>
  <c r="G174" i="28"/>
  <c r="AI174" i="28" s="1"/>
  <c r="AJ174" i="28" s="1"/>
  <c r="AK174" i="28" s="1"/>
  <c r="AW175" i="26"/>
  <c r="AX175" i="26" s="1"/>
  <c r="AY175" i="26" s="1"/>
  <c r="AW182" i="29"/>
  <c r="AX182" i="29" s="1"/>
  <c r="AY182" i="29" s="1"/>
  <c r="H183" i="29"/>
  <c r="AP183" i="29" s="1"/>
  <c r="J184" i="29"/>
  <c r="G183" i="29"/>
  <c r="AL183" i="29" s="1"/>
  <c r="H176" i="26"/>
  <c r="F231" i="25"/>
  <c r="AU230" i="25"/>
  <c r="AI230" i="25"/>
  <c r="AQ230" i="25"/>
  <c r="AS230" i="25"/>
  <c r="AL230" i="25"/>
  <c r="AM230" i="25" s="1"/>
  <c r="AN230" i="25" s="1"/>
  <c r="AO230" i="25"/>
  <c r="AW164" i="24"/>
  <c r="AX164" i="24" s="1"/>
  <c r="AY164" i="24" s="1"/>
  <c r="H165" i="24"/>
  <c r="H165" i="15"/>
  <c r="AP181" i="17"/>
  <c r="AU161" i="19"/>
  <c r="F162" i="19"/>
  <c r="AS161" i="19"/>
  <c r="AQ161" i="19"/>
  <c r="AW142" i="16"/>
  <c r="AX142" i="16" s="1"/>
  <c r="AY142" i="16" s="1"/>
  <c r="F182" i="17"/>
  <c r="AS181" i="17"/>
  <c r="AU181" i="17"/>
  <c r="AQ181" i="17"/>
  <c r="J144" i="16"/>
  <c r="H143" i="16"/>
  <c r="G143" i="16"/>
  <c r="AL143" i="16" s="1"/>
  <c r="AM143" i="16" s="1"/>
  <c r="AN143" i="16" s="1"/>
  <c r="Z212" i="16"/>
  <c r="AC212" i="16"/>
  <c r="X213" i="16" s="1"/>
  <c r="Z213" i="16" s="1"/>
  <c r="AG212" i="16"/>
  <c r="AF213" i="16" s="1"/>
  <c r="T232" i="16"/>
  <c r="S232" i="16"/>
  <c r="W232" i="16" s="1"/>
  <c r="R233" i="16" s="1"/>
  <c r="AT231" i="16"/>
  <c r="AE231" i="16"/>
  <c r="AD232" i="16" s="1"/>
  <c r="N212" i="16"/>
  <c r="P213" i="16"/>
  <c r="M212" i="16"/>
  <c r="Q212" i="16" s="1"/>
  <c r="L213" i="16" s="1"/>
  <c r="AL210" i="18"/>
  <c r="AM210" i="18" s="1"/>
  <c r="AN210" i="18" s="1"/>
  <c r="AW210" i="18" s="1"/>
  <c r="AX210" i="18" s="1"/>
  <c r="AY210" i="18" s="1"/>
  <c r="F211" i="18"/>
  <c r="G211" i="18" s="1"/>
  <c r="AR211" i="18" s="1"/>
  <c r="O175" i="28" l="1"/>
  <c r="M175" i="28"/>
  <c r="P176" i="28"/>
  <c r="N175" i="28"/>
  <c r="AP174" i="28"/>
  <c r="AO174" i="28"/>
  <c r="K174" i="28"/>
  <c r="AL174" i="28"/>
  <c r="AM174" i="28" s="1"/>
  <c r="AN174" i="28" s="1"/>
  <c r="O184" i="29"/>
  <c r="M184" i="29"/>
  <c r="N184" i="29"/>
  <c r="P185" i="29"/>
  <c r="K183" i="29"/>
  <c r="AI183" i="29"/>
  <c r="AM183" i="29"/>
  <c r="AN183" i="29" s="1"/>
  <c r="AO183" i="29"/>
  <c r="F177" i="26"/>
  <c r="AI176" i="26"/>
  <c r="AL176" i="26"/>
  <c r="G231" i="25"/>
  <c r="K231" i="25" s="1"/>
  <c r="H231" i="25"/>
  <c r="AP231" i="25" s="1"/>
  <c r="J232" i="25"/>
  <c r="AJ230" i="25"/>
  <c r="AK230" i="25" s="1"/>
  <c r="AW230" i="25" s="1"/>
  <c r="F166" i="24"/>
  <c r="AI165" i="24"/>
  <c r="AJ165" i="24" s="1"/>
  <c r="AL165" i="24"/>
  <c r="AM165" i="24" s="1"/>
  <c r="F166" i="15"/>
  <c r="AI165" i="15"/>
  <c r="AJ165" i="15" s="1"/>
  <c r="AK165" i="15" s="1"/>
  <c r="AL165" i="15"/>
  <c r="AM165" i="15" s="1"/>
  <c r="AN165" i="15" s="1"/>
  <c r="AW161" i="19"/>
  <c r="AX161" i="19" s="1"/>
  <c r="AY161" i="19" s="1"/>
  <c r="G162" i="19"/>
  <c r="H162" i="19"/>
  <c r="J163" i="19"/>
  <c r="AW181" i="17"/>
  <c r="AX181" i="17" s="1"/>
  <c r="AY181" i="17" s="1"/>
  <c r="K143" i="16"/>
  <c r="F144" i="16" s="1"/>
  <c r="J145" i="16" s="1"/>
  <c r="AO143" i="16"/>
  <c r="AP143" i="16"/>
  <c r="G182" i="17"/>
  <c r="AL182" i="17" s="1"/>
  <c r="AM182" i="17" s="1"/>
  <c r="AN182" i="17" s="1"/>
  <c r="J183" i="17"/>
  <c r="H182" i="17"/>
  <c r="Y213" i="16"/>
  <c r="AG213" i="16" s="1"/>
  <c r="AF214" i="16" s="1"/>
  <c r="AT232" i="16"/>
  <c r="AE232" i="16"/>
  <c r="AD233" i="16" s="1"/>
  <c r="T233" i="16"/>
  <c r="S233" i="16"/>
  <c r="W233" i="16" s="1"/>
  <c r="R234" i="16" s="1"/>
  <c r="M213" i="16"/>
  <c r="Q213" i="16" s="1"/>
  <c r="L214" i="16" s="1"/>
  <c r="N213" i="16"/>
  <c r="P214" i="16"/>
  <c r="H211" i="18"/>
  <c r="F212" i="18" s="1"/>
  <c r="F175" i="28" l="1"/>
  <c r="AQ174" i="28"/>
  <c r="AU174" i="28"/>
  <c r="AS174" i="28"/>
  <c r="F184" i="29"/>
  <c r="I184" i="29" s="1"/>
  <c r="AR184" i="29" s="1"/>
  <c r="AS183" i="29"/>
  <c r="AU183" i="29"/>
  <c r="AQ183" i="29"/>
  <c r="AJ183" i="29"/>
  <c r="AK183" i="29" s="1"/>
  <c r="G177" i="26"/>
  <c r="AR177" i="26" s="1"/>
  <c r="AJ176" i="26"/>
  <c r="AK176" i="26" s="1"/>
  <c r="AM176" i="26"/>
  <c r="AN176" i="26" s="1"/>
  <c r="F232" i="25"/>
  <c r="AS231" i="25"/>
  <c r="AU231" i="25"/>
  <c r="AI231" i="25"/>
  <c r="AQ231" i="25"/>
  <c r="AL231" i="25"/>
  <c r="AO231" i="25"/>
  <c r="AW165" i="15"/>
  <c r="AX165" i="15" s="1"/>
  <c r="AY165" i="15" s="1"/>
  <c r="AK165" i="24"/>
  <c r="AN165" i="24"/>
  <c r="G166" i="24"/>
  <c r="AR166" i="24" s="1"/>
  <c r="G166" i="15"/>
  <c r="AR166" i="15" s="1"/>
  <c r="AO162" i="19"/>
  <c r="AP162" i="19"/>
  <c r="K162" i="19"/>
  <c r="AL162" i="19"/>
  <c r="AM162" i="19" s="1"/>
  <c r="AN162" i="19" s="1"/>
  <c r="AI162" i="19"/>
  <c r="AJ162" i="19" s="1"/>
  <c r="AK162" i="19" s="1"/>
  <c r="AS143" i="16"/>
  <c r="AU143" i="16"/>
  <c r="G144" i="16"/>
  <c r="AL144" i="16" s="1"/>
  <c r="AM144" i="16" s="1"/>
  <c r="AN144" i="16" s="1"/>
  <c r="AI143" i="16"/>
  <c r="AJ143" i="16" s="1"/>
  <c r="AK143" i="16" s="1"/>
  <c r="AQ143" i="16"/>
  <c r="H144" i="16"/>
  <c r="AP144" i="16" s="1"/>
  <c r="AI182" i="17"/>
  <c r="AJ182" i="17" s="1"/>
  <c r="AK182" i="17" s="1"/>
  <c r="AO182" i="17"/>
  <c r="AP182" i="17"/>
  <c r="K182" i="17"/>
  <c r="AC213" i="16"/>
  <c r="X214" i="16" s="1"/>
  <c r="Y214" i="16" s="1"/>
  <c r="AG214" i="16" s="1"/>
  <c r="AF215" i="16" s="1"/>
  <c r="AE233" i="16"/>
  <c r="AD234" i="16" s="1"/>
  <c r="AT233" i="16"/>
  <c r="M214" i="16"/>
  <c r="Q214" i="16" s="1"/>
  <c r="L215" i="16" s="1"/>
  <c r="N214" i="16"/>
  <c r="P215" i="16"/>
  <c r="S234" i="16"/>
  <c r="W234" i="16" s="1"/>
  <c r="T234" i="16"/>
  <c r="AL211" i="18"/>
  <c r="AM211" i="18" s="1"/>
  <c r="AN211" i="18" s="1"/>
  <c r="AI211" i="18"/>
  <c r="AJ211" i="18" s="1"/>
  <c r="AK211" i="18" s="1"/>
  <c r="G212" i="18"/>
  <c r="AR212" i="18" s="1"/>
  <c r="AW174" i="28" l="1"/>
  <c r="AX174" i="28" s="1"/>
  <c r="AY174" i="28" s="1"/>
  <c r="I175" i="28"/>
  <c r="Q175" i="28" s="1"/>
  <c r="L176" i="28" s="1"/>
  <c r="J176" i="28"/>
  <c r="H175" i="28"/>
  <c r="G175" i="28"/>
  <c r="AI175" i="28" s="1"/>
  <c r="AJ175" i="28" s="1"/>
  <c r="AK175" i="28" s="1"/>
  <c r="Q184" i="29"/>
  <c r="L185" i="29" s="1"/>
  <c r="AW176" i="26"/>
  <c r="AX176" i="26" s="1"/>
  <c r="AY176" i="26" s="1"/>
  <c r="J185" i="29"/>
  <c r="H184" i="29"/>
  <c r="AP184" i="29" s="1"/>
  <c r="G184" i="29"/>
  <c r="AI184" i="29" s="1"/>
  <c r="AW183" i="29"/>
  <c r="AX183" i="29" s="1"/>
  <c r="AY183" i="29" s="1"/>
  <c r="H177" i="26"/>
  <c r="AW165" i="24"/>
  <c r="AX165" i="24" s="1"/>
  <c r="AY165" i="24" s="1"/>
  <c r="G232" i="25"/>
  <c r="K232" i="25" s="1"/>
  <c r="H232" i="25"/>
  <c r="AP232" i="25" s="1"/>
  <c r="J233" i="25"/>
  <c r="AJ231" i="25"/>
  <c r="AK231" i="25" s="1"/>
  <c r="AM231" i="25"/>
  <c r="AN231" i="25" s="1"/>
  <c r="H166" i="24"/>
  <c r="H166" i="15"/>
  <c r="F163" i="19"/>
  <c r="AS162" i="19"/>
  <c r="AU162" i="19"/>
  <c r="AQ162" i="19"/>
  <c r="AW143" i="16"/>
  <c r="AX143" i="16" s="1"/>
  <c r="AY143" i="16" s="1"/>
  <c r="AO144" i="16"/>
  <c r="K144" i="16"/>
  <c r="AS144" i="16" s="1"/>
  <c r="F183" i="17"/>
  <c r="AS182" i="17"/>
  <c r="AU182" i="17"/>
  <c r="AQ182" i="17"/>
  <c r="Z214" i="16"/>
  <c r="AC214" i="16"/>
  <c r="X215" i="16" s="1"/>
  <c r="P216" i="16"/>
  <c r="N215" i="16"/>
  <c r="M215" i="16"/>
  <c r="Q215" i="16" s="1"/>
  <c r="L216" i="16" s="1"/>
  <c r="AT234" i="16"/>
  <c r="AE234" i="16"/>
  <c r="AW211" i="18"/>
  <c r="AX211" i="18" s="1"/>
  <c r="AY211" i="18" s="1"/>
  <c r="H212" i="18"/>
  <c r="F213" i="18" s="1"/>
  <c r="G213" i="18" s="1"/>
  <c r="AR213" i="18" s="1"/>
  <c r="AL175" i="28" l="1"/>
  <c r="AM175" i="28" s="1"/>
  <c r="AN175" i="28" s="1"/>
  <c r="K175" i="28"/>
  <c r="O176" i="28"/>
  <c r="M176" i="28"/>
  <c r="N176" i="28"/>
  <c r="P177" i="28"/>
  <c r="AP175" i="28"/>
  <c r="AO175" i="28"/>
  <c r="O185" i="29"/>
  <c r="N185" i="29"/>
  <c r="M185" i="29"/>
  <c r="P186" i="29"/>
  <c r="AJ184" i="29"/>
  <c r="AK184" i="29" s="1"/>
  <c r="AL184" i="29"/>
  <c r="K184" i="29"/>
  <c r="AO184" i="29"/>
  <c r="AW231" i="25"/>
  <c r="F178" i="26"/>
  <c r="AI177" i="26"/>
  <c r="AL177" i="26"/>
  <c r="F233" i="25"/>
  <c r="AU232" i="25"/>
  <c r="AI232" i="25"/>
  <c r="AQ232" i="25"/>
  <c r="AS232" i="25"/>
  <c r="AL232" i="25"/>
  <c r="AO232" i="25"/>
  <c r="F167" i="24"/>
  <c r="AI166" i="24"/>
  <c r="AJ166" i="24" s="1"/>
  <c r="AL166" i="24"/>
  <c r="AM166" i="24" s="1"/>
  <c r="F167" i="15"/>
  <c r="AI166" i="15"/>
  <c r="AJ166" i="15" s="1"/>
  <c r="AK166" i="15" s="1"/>
  <c r="AL166" i="15"/>
  <c r="AM166" i="15" s="1"/>
  <c r="AN166" i="15" s="1"/>
  <c r="AW162" i="19"/>
  <c r="AX162" i="19" s="1"/>
  <c r="AY162" i="19" s="1"/>
  <c r="H163" i="19"/>
  <c r="G163" i="19"/>
  <c r="K163" i="19" s="1"/>
  <c r="F164" i="19" s="1"/>
  <c r="J164" i="19"/>
  <c r="AW182" i="17"/>
  <c r="AX182" i="17" s="1"/>
  <c r="AY182" i="17" s="1"/>
  <c r="F145" i="16"/>
  <c r="AI144" i="16"/>
  <c r="AJ144" i="16" s="1"/>
  <c r="AK144" i="16" s="1"/>
  <c r="AU144" i="16"/>
  <c r="AQ144" i="16"/>
  <c r="J184" i="17"/>
  <c r="H183" i="17"/>
  <c r="G183" i="17"/>
  <c r="AL183" i="17" s="1"/>
  <c r="AM183" i="17" s="1"/>
  <c r="AN183" i="17" s="1"/>
  <c r="P217" i="16"/>
  <c r="M216" i="16"/>
  <c r="Q216" i="16" s="1"/>
  <c r="L217" i="16" s="1"/>
  <c r="N216" i="16"/>
  <c r="Z215" i="16"/>
  <c r="Y215" i="16"/>
  <c r="AG215" i="16" s="1"/>
  <c r="AF216" i="16" s="1"/>
  <c r="AI212" i="18"/>
  <c r="AJ212" i="18" s="1"/>
  <c r="AK212" i="18" s="1"/>
  <c r="AL212" i="18"/>
  <c r="AM212" i="18" s="1"/>
  <c r="H213" i="18"/>
  <c r="F176" i="28" l="1"/>
  <c r="AU175" i="28"/>
  <c r="AQ175" i="28"/>
  <c r="AS175" i="28"/>
  <c r="AM184" i="29"/>
  <c r="AN184" i="29" s="1"/>
  <c r="F185" i="29"/>
  <c r="I185" i="29" s="1"/>
  <c r="AR185" i="29" s="1"/>
  <c r="AU184" i="29"/>
  <c r="AS184" i="29"/>
  <c r="AQ184" i="29"/>
  <c r="AJ177" i="26"/>
  <c r="AK177" i="26" s="1"/>
  <c r="AM177" i="26"/>
  <c r="AN177" i="26" s="1"/>
  <c r="G178" i="26"/>
  <c r="AR178" i="26" s="1"/>
  <c r="AW166" i="15"/>
  <c r="AX166" i="15" s="1"/>
  <c r="AY166" i="15" s="1"/>
  <c r="G233" i="25"/>
  <c r="K233" i="25" s="1"/>
  <c r="J234" i="25"/>
  <c r="H233" i="25"/>
  <c r="AP233" i="25" s="1"/>
  <c r="AJ232" i="25"/>
  <c r="AK232" i="25" s="1"/>
  <c r="AM232" i="25"/>
  <c r="AN232" i="25" s="1"/>
  <c r="AK166" i="24"/>
  <c r="AN166" i="24"/>
  <c r="G167" i="24"/>
  <c r="AR167" i="24" s="1"/>
  <c r="G167" i="15"/>
  <c r="AR167" i="15" s="1"/>
  <c r="AQ163" i="19"/>
  <c r="AS163" i="19"/>
  <c r="AI163" i="19"/>
  <c r="AJ163" i="19" s="1"/>
  <c r="AK163" i="19" s="1"/>
  <c r="AL163" i="19"/>
  <c r="AM163" i="19" s="1"/>
  <c r="AN163" i="19" s="1"/>
  <c r="J165" i="19"/>
  <c r="G164" i="19"/>
  <c r="AL164" i="19" s="1"/>
  <c r="AM164" i="19" s="1"/>
  <c r="AN164" i="19" s="1"/>
  <c r="H164" i="19"/>
  <c r="AU163" i="19"/>
  <c r="AP163" i="19"/>
  <c r="AO163" i="19"/>
  <c r="AW144" i="16"/>
  <c r="AX144" i="16" s="1"/>
  <c r="AY144" i="16" s="1"/>
  <c r="G145" i="16"/>
  <c r="J146" i="16"/>
  <c r="H145" i="16"/>
  <c r="AI183" i="17"/>
  <c r="AJ183" i="17" s="1"/>
  <c r="AK183" i="17" s="1"/>
  <c r="K183" i="17"/>
  <c r="AO183" i="17"/>
  <c r="AP183" i="17"/>
  <c r="AC215" i="16"/>
  <c r="X216" i="16" s="1"/>
  <c r="P218" i="16"/>
  <c r="N217" i="16"/>
  <c r="M217" i="16"/>
  <c r="Q217" i="16" s="1"/>
  <c r="L218" i="16" s="1"/>
  <c r="AN212" i="18"/>
  <c r="AW212" i="18" s="1"/>
  <c r="AX212" i="18" s="1"/>
  <c r="AY212" i="18" s="1"/>
  <c r="F214" i="18"/>
  <c r="AI213" i="18"/>
  <c r="AJ213" i="18" s="1"/>
  <c r="AL213" i="18"/>
  <c r="AM213" i="18" s="1"/>
  <c r="AW175" i="28" l="1"/>
  <c r="AX175" i="28" s="1"/>
  <c r="AY175" i="28" s="1"/>
  <c r="Q185" i="29"/>
  <c r="L186" i="29" s="1"/>
  <c r="I176" i="28"/>
  <c r="Q176" i="28" s="1"/>
  <c r="L177" i="28" s="1"/>
  <c r="H176" i="28"/>
  <c r="G176" i="28"/>
  <c r="AL176" i="28" s="1"/>
  <c r="AM176" i="28" s="1"/>
  <c r="AN176" i="28" s="1"/>
  <c r="J177" i="28"/>
  <c r="AW184" i="29"/>
  <c r="AX184" i="29" s="1"/>
  <c r="AY184" i="29" s="1"/>
  <c r="H185" i="29"/>
  <c r="AP185" i="29" s="1"/>
  <c r="J186" i="29"/>
  <c r="G185" i="29"/>
  <c r="AI185" i="29" s="1"/>
  <c r="AW166" i="24"/>
  <c r="AX166" i="24" s="1"/>
  <c r="AY166" i="24" s="1"/>
  <c r="H178" i="26"/>
  <c r="AW177" i="26"/>
  <c r="AX177" i="26" s="1"/>
  <c r="AY177" i="26" s="1"/>
  <c r="AW232" i="25"/>
  <c r="AL233" i="25"/>
  <c r="AM233" i="25" s="1"/>
  <c r="AN233" i="25" s="1"/>
  <c r="F234" i="25"/>
  <c r="AI233" i="25"/>
  <c r="AJ233" i="25" s="1"/>
  <c r="AK233" i="25" s="1"/>
  <c r="AQ233" i="25"/>
  <c r="AS233" i="25"/>
  <c r="AU233" i="25"/>
  <c r="AO233" i="25"/>
  <c r="H167" i="24"/>
  <c r="H167" i="15"/>
  <c r="AO164" i="19"/>
  <c r="AP164" i="19"/>
  <c r="K164" i="19"/>
  <c r="AI164" i="19"/>
  <c r="AJ164" i="19" s="1"/>
  <c r="AK164" i="19" s="1"/>
  <c r="AW163" i="19"/>
  <c r="AX163" i="19" s="1"/>
  <c r="AY163" i="19" s="1"/>
  <c r="AO145" i="16"/>
  <c r="AP145" i="16"/>
  <c r="AL145" i="16"/>
  <c r="AM145" i="16" s="1"/>
  <c r="AN145" i="16" s="1"/>
  <c r="K145" i="16"/>
  <c r="F184" i="17"/>
  <c r="AQ183" i="17"/>
  <c r="AS183" i="17"/>
  <c r="AU183" i="17"/>
  <c r="N218" i="16"/>
  <c r="P219" i="16"/>
  <c r="M218" i="16"/>
  <c r="Q218" i="16" s="1"/>
  <c r="L219" i="16" s="1"/>
  <c r="Z216" i="16"/>
  <c r="Y216" i="16"/>
  <c r="AG216" i="16" s="1"/>
  <c r="AF217" i="16" s="1"/>
  <c r="G214" i="18"/>
  <c r="AR214" i="18" s="1"/>
  <c r="AN213" i="18"/>
  <c r="AK213" i="18"/>
  <c r="AP176" i="28" l="1"/>
  <c r="AO176" i="28"/>
  <c r="O186" i="29"/>
  <c r="M186" i="29"/>
  <c r="N186" i="29"/>
  <c r="P187" i="29"/>
  <c r="AI176" i="28"/>
  <c r="AJ176" i="28" s="1"/>
  <c r="AK176" i="28" s="1"/>
  <c r="K176" i="28"/>
  <c r="O177" i="28"/>
  <c r="M177" i="28"/>
  <c r="P178" i="28"/>
  <c r="N177" i="28"/>
  <c r="AJ185" i="29"/>
  <c r="AK185" i="29" s="1"/>
  <c r="AO185" i="29"/>
  <c r="AL185" i="29"/>
  <c r="K185" i="29"/>
  <c r="F179" i="26"/>
  <c r="AI178" i="26"/>
  <c r="AL178" i="26"/>
  <c r="AW233" i="25"/>
  <c r="G234" i="25"/>
  <c r="K234" i="25" s="1"/>
  <c r="H234" i="25"/>
  <c r="AP234" i="25" s="1"/>
  <c r="F168" i="24"/>
  <c r="AI167" i="24"/>
  <c r="AJ167" i="24" s="1"/>
  <c r="AL167" i="24"/>
  <c r="AM167" i="24" s="1"/>
  <c r="F168" i="15"/>
  <c r="G168" i="15" s="1"/>
  <c r="AR168" i="15" s="1"/>
  <c r="AI167" i="15"/>
  <c r="AJ167" i="15" s="1"/>
  <c r="AK167" i="15" s="1"/>
  <c r="AL167" i="15"/>
  <c r="AM167" i="15" s="1"/>
  <c r="AN167" i="15" s="1"/>
  <c r="AS164" i="19"/>
  <c r="F165" i="19"/>
  <c r="AQ164" i="19"/>
  <c r="AU164" i="19"/>
  <c r="AW183" i="17"/>
  <c r="AX183" i="17" s="1"/>
  <c r="AY183" i="17" s="1"/>
  <c r="F146" i="16"/>
  <c r="AQ145" i="16"/>
  <c r="AI145" i="16"/>
  <c r="AJ145" i="16" s="1"/>
  <c r="AK145" i="16" s="1"/>
  <c r="AU145" i="16"/>
  <c r="AS145" i="16"/>
  <c r="J185" i="17"/>
  <c r="H184" i="17"/>
  <c r="G184" i="17"/>
  <c r="AI184" i="17" s="1"/>
  <c r="AJ184" i="17" s="1"/>
  <c r="AK184" i="17" s="1"/>
  <c r="AC216" i="16"/>
  <c r="X217" i="16" s="1"/>
  <c r="Z217" i="16" s="1"/>
  <c r="N219" i="16"/>
  <c r="P220" i="16"/>
  <c r="M219" i="16"/>
  <c r="Q219" i="16" s="1"/>
  <c r="L220" i="16" s="1"/>
  <c r="AW213" i="18"/>
  <c r="AX213" i="18" s="1"/>
  <c r="AY213" i="18" s="1"/>
  <c r="H214" i="18"/>
  <c r="F177" i="28" l="1"/>
  <c r="AQ176" i="28"/>
  <c r="AS176" i="28"/>
  <c r="AU176" i="28"/>
  <c r="AM185" i="29"/>
  <c r="AN185" i="29" s="1"/>
  <c r="F186" i="29"/>
  <c r="I186" i="29" s="1"/>
  <c r="AR186" i="29" s="1"/>
  <c r="AU185" i="29"/>
  <c r="AQ185" i="29"/>
  <c r="AS185" i="29"/>
  <c r="G179" i="26"/>
  <c r="AR179" i="26" s="1"/>
  <c r="AM178" i="26"/>
  <c r="AN178" i="26" s="1"/>
  <c r="AJ178" i="26"/>
  <c r="AK178" i="26" s="1"/>
  <c r="AW167" i="15"/>
  <c r="AX167" i="15" s="1"/>
  <c r="AY167" i="15" s="1"/>
  <c r="AL234" i="25"/>
  <c r="AM234" i="25" s="1"/>
  <c r="AN234" i="25" s="1"/>
  <c r="AU234" i="25"/>
  <c r="AS234" i="25"/>
  <c r="AI234" i="25"/>
  <c r="AQ234" i="25"/>
  <c r="AO234" i="25"/>
  <c r="AK167" i="24"/>
  <c r="AN167" i="24"/>
  <c r="H168" i="15"/>
  <c r="AL168" i="15" s="1"/>
  <c r="AM168" i="15" s="1"/>
  <c r="AN168" i="15" s="1"/>
  <c r="G168" i="24"/>
  <c r="AR168" i="24" s="1"/>
  <c r="AW164" i="19"/>
  <c r="AX164" i="19" s="1"/>
  <c r="AY164" i="19" s="1"/>
  <c r="H165" i="19"/>
  <c r="J166" i="19"/>
  <c r="G165" i="19"/>
  <c r="K165" i="19" s="1"/>
  <c r="AW145" i="16"/>
  <c r="AX145" i="16" s="1"/>
  <c r="AY145" i="16" s="1"/>
  <c r="H146" i="16"/>
  <c r="G146" i="16"/>
  <c r="K146" i="16" s="1"/>
  <c r="J147" i="16"/>
  <c r="AL184" i="17"/>
  <c r="AM184" i="17" s="1"/>
  <c r="AN184" i="17" s="1"/>
  <c r="AP184" i="17"/>
  <c r="AO184" i="17"/>
  <c r="K184" i="17"/>
  <c r="Y217" i="16"/>
  <c r="AG217" i="16" s="1"/>
  <c r="AF218" i="16" s="1"/>
  <c r="M220" i="16"/>
  <c r="Q220" i="16" s="1"/>
  <c r="L221" i="16" s="1"/>
  <c r="N220" i="16"/>
  <c r="P221" i="16"/>
  <c r="F215" i="18"/>
  <c r="AL214" i="18"/>
  <c r="AM214" i="18" s="1"/>
  <c r="AI214" i="18"/>
  <c r="AJ214" i="18" s="1"/>
  <c r="Q186" i="29" l="1"/>
  <c r="L187" i="29" s="1"/>
  <c r="P188" i="29" s="1"/>
  <c r="AW176" i="28"/>
  <c r="AX176" i="28" s="1"/>
  <c r="AY176" i="28" s="1"/>
  <c r="I177" i="28"/>
  <c r="Q177" i="28" s="1"/>
  <c r="L178" i="28" s="1"/>
  <c r="J178" i="28"/>
  <c r="H177" i="28"/>
  <c r="G177" i="28"/>
  <c r="AI177" i="28" s="1"/>
  <c r="AJ177" i="28" s="1"/>
  <c r="AK177" i="28" s="1"/>
  <c r="O187" i="29"/>
  <c r="AW185" i="29"/>
  <c r="AX185" i="29" s="1"/>
  <c r="AY185" i="29" s="1"/>
  <c r="J187" i="29"/>
  <c r="H186" i="29"/>
  <c r="AP186" i="29" s="1"/>
  <c r="G186" i="29"/>
  <c r="AI186" i="29" s="1"/>
  <c r="AW178" i="26"/>
  <c r="AX178" i="26" s="1"/>
  <c r="AY178" i="26" s="1"/>
  <c r="H179" i="26"/>
  <c r="AW167" i="24"/>
  <c r="AX167" i="24" s="1"/>
  <c r="AY167" i="24" s="1"/>
  <c r="AJ234" i="25"/>
  <c r="AK234" i="25" s="1"/>
  <c r="AW234" i="25" s="1"/>
  <c r="F169" i="15"/>
  <c r="G169" i="15" s="1"/>
  <c r="AR169" i="15" s="1"/>
  <c r="H168" i="24"/>
  <c r="AI168" i="15"/>
  <c r="AJ168" i="15" s="1"/>
  <c r="AK168" i="15" s="1"/>
  <c r="AW168" i="15" s="1"/>
  <c r="AX168" i="15" s="1"/>
  <c r="AY168" i="15" s="1"/>
  <c r="F166" i="19"/>
  <c r="AS165" i="19"/>
  <c r="AU165" i="19"/>
  <c r="AQ165" i="19"/>
  <c r="AI165" i="19"/>
  <c r="AJ165" i="19" s="1"/>
  <c r="AK165" i="19" s="1"/>
  <c r="AL165" i="19"/>
  <c r="AM165" i="19" s="1"/>
  <c r="AN165" i="19" s="1"/>
  <c r="AP165" i="19"/>
  <c r="AO165" i="19"/>
  <c r="AL146" i="16"/>
  <c r="AM146" i="16" s="1"/>
  <c r="AN146" i="16" s="1"/>
  <c r="AI146" i="16"/>
  <c r="AJ146" i="16" s="1"/>
  <c r="AK146" i="16" s="1"/>
  <c r="F147" i="16"/>
  <c r="AU146" i="16"/>
  <c r="AP146" i="16"/>
  <c r="AO146" i="16"/>
  <c r="AQ146" i="16"/>
  <c r="AS146" i="16"/>
  <c r="F185" i="17"/>
  <c r="AQ184" i="17"/>
  <c r="AS184" i="17"/>
  <c r="AU184" i="17"/>
  <c r="AC217" i="16"/>
  <c r="X218" i="16" s="1"/>
  <c r="Z218" i="16" s="1"/>
  <c r="P222" i="16"/>
  <c r="N221" i="16"/>
  <c r="M221" i="16"/>
  <c r="Q221" i="16" s="1"/>
  <c r="L222" i="16" s="1"/>
  <c r="G215" i="18"/>
  <c r="AR215" i="18" s="1"/>
  <c r="AN214" i="18"/>
  <c r="AK214" i="18"/>
  <c r="N187" i="29" l="1"/>
  <c r="M187" i="29"/>
  <c r="O178" i="28"/>
  <c r="M178" i="28"/>
  <c r="N178" i="28"/>
  <c r="P179" i="28"/>
  <c r="AP177" i="28"/>
  <c r="AO177" i="28"/>
  <c r="K177" i="28"/>
  <c r="AL177" i="28"/>
  <c r="AM177" i="28" s="1"/>
  <c r="AN177" i="28" s="1"/>
  <c r="K186" i="29"/>
  <c r="F187" i="29" s="1"/>
  <c r="AL186" i="29"/>
  <c r="AM186" i="29" s="1"/>
  <c r="AN186" i="29" s="1"/>
  <c r="AJ186" i="29"/>
  <c r="AK186" i="29" s="1"/>
  <c r="AO186" i="29"/>
  <c r="F180" i="26"/>
  <c r="AI179" i="26"/>
  <c r="AL179" i="26"/>
  <c r="F169" i="24"/>
  <c r="AL168" i="24"/>
  <c r="AM168" i="24" s="1"/>
  <c r="AI168" i="24"/>
  <c r="AJ168" i="24" s="1"/>
  <c r="H169" i="15"/>
  <c r="AW165" i="19"/>
  <c r="AX165" i="19" s="1"/>
  <c r="AY165" i="19" s="1"/>
  <c r="H166" i="19"/>
  <c r="G166" i="19"/>
  <c r="K166" i="19" s="1"/>
  <c r="J167" i="19"/>
  <c r="AW184" i="17"/>
  <c r="AX184" i="17" s="1"/>
  <c r="AY184" i="17" s="1"/>
  <c r="AW146" i="16"/>
  <c r="AX146" i="16" s="1"/>
  <c r="AY146" i="16" s="1"/>
  <c r="G147" i="16"/>
  <c r="AL147" i="16" s="1"/>
  <c r="AM147" i="16" s="1"/>
  <c r="AN147" i="16" s="1"/>
  <c r="J148" i="16"/>
  <c r="H147" i="16"/>
  <c r="H185" i="17"/>
  <c r="J186" i="17"/>
  <c r="G185" i="17"/>
  <c r="AL185" i="17" s="1"/>
  <c r="AM185" i="17" s="1"/>
  <c r="AN185" i="17" s="1"/>
  <c r="Y218" i="16"/>
  <c r="AG218" i="16" s="1"/>
  <c r="AF219" i="16" s="1"/>
  <c r="M222" i="16"/>
  <c r="Q222" i="16" s="1"/>
  <c r="L223" i="16" s="1"/>
  <c r="P223" i="16"/>
  <c r="N222" i="16"/>
  <c r="AW214" i="18"/>
  <c r="AX214" i="18" s="1"/>
  <c r="AY214" i="18" s="1"/>
  <c r="H215" i="18"/>
  <c r="F178" i="28" l="1"/>
  <c r="AU177" i="28"/>
  <c r="AQ177" i="28"/>
  <c r="AS177" i="28"/>
  <c r="H187" i="29"/>
  <c r="AP187" i="29" s="1"/>
  <c r="I187" i="29"/>
  <c r="AU186" i="29"/>
  <c r="AQ186" i="29"/>
  <c r="G187" i="29"/>
  <c r="AI187" i="29" s="1"/>
  <c r="AJ187" i="29" s="1"/>
  <c r="AS186" i="29"/>
  <c r="J188" i="29"/>
  <c r="AM179" i="26"/>
  <c r="AN179" i="26" s="1"/>
  <c r="AJ179" i="26"/>
  <c r="AK179" i="26" s="1"/>
  <c r="G180" i="26"/>
  <c r="AR180" i="26" s="1"/>
  <c r="AK168" i="24"/>
  <c r="AN168" i="24"/>
  <c r="G169" i="24"/>
  <c r="AR169" i="24" s="1"/>
  <c r="F170" i="15"/>
  <c r="AI169" i="15"/>
  <c r="AJ169" i="15" s="1"/>
  <c r="AK169" i="15" s="1"/>
  <c r="AL169" i="15"/>
  <c r="AM169" i="15" s="1"/>
  <c r="AN169" i="15" s="1"/>
  <c r="AI166" i="19"/>
  <c r="AJ166" i="19" s="1"/>
  <c r="AK166" i="19" s="1"/>
  <c r="F167" i="19"/>
  <c r="AS166" i="19"/>
  <c r="AU166" i="19"/>
  <c r="AQ166" i="19"/>
  <c r="AL166" i="19"/>
  <c r="AM166" i="19" s="1"/>
  <c r="AN166" i="19" s="1"/>
  <c r="AP166" i="19"/>
  <c r="AO166" i="19"/>
  <c r="K147" i="16"/>
  <c r="AQ147" i="16" s="1"/>
  <c r="AP147" i="16"/>
  <c r="AO147" i="16"/>
  <c r="AC218" i="16"/>
  <c r="X219" i="16" s="1"/>
  <c r="Z219" i="16" s="1"/>
  <c r="K185" i="17"/>
  <c r="AI185" i="17"/>
  <c r="AJ185" i="17" s="1"/>
  <c r="AK185" i="17" s="1"/>
  <c r="AO185" i="17"/>
  <c r="AP185" i="17"/>
  <c r="P224" i="16"/>
  <c r="N223" i="16"/>
  <c r="M223" i="16"/>
  <c r="Q223" i="16" s="1"/>
  <c r="L224" i="16" s="1"/>
  <c r="F216" i="18"/>
  <c r="AL215" i="18"/>
  <c r="AM215" i="18" s="1"/>
  <c r="AI215" i="18"/>
  <c r="AJ215" i="18" s="1"/>
  <c r="AW177" i="28" l="1"/>
  <c r="AX177" i="28" s="1"/>
  <c r="AY177" i="28" s="1"/>
  <c r="AR187" i="29"/>
  <c r="Q187" i="29"/>
  <c r="L188" i="29" s="1"/>
  <c r="AO187" i="29"/>
  <c r="I178" i="28"/>
  <c r="Q178" i="28" s="1"/>
  <c r="L179" i="28" s="1"/>
  <c r="H178" i="28"/>
  <c r="G178" i="28"/>
  <c r="K178" i="28" s="1"/>
  <c r="F179" i="28" s="1"/>
  <c r="J179" i="28"/>
  <c r="AW168" i="24"/>
  <c r="AX168" i="24" s="1"/>
  <c r="AY168" i="24" s="1"/>
  <c r="AW186" i="29"/>
  <c r="AX186" i="29" s="1"/>
  <c r="AY186" i="29" s="1"/>
  <c r="AK187" i="29"/>
  <c r="AL187" i="29"/>
  <c r="AM187" i="29" s="1"/>
  <c r="AN187" i="29" s="1"/>
  <c r="K187" i="29"/>
  <c r="AW179" i="26"/>
  <c r="AX179" i="26" s="1"/>
  <c r="AY179" i="26" s="1"/>
  <c r="H180" i="26"/>
  <c r="AW169" i="15"/>
  <c r="AX169" i="15" s="1"/>
  <c r="AY169" i="15" s="1"/>
  <c r="H169" i="24"/>
  <c r="G170" i="15"/>
  <c r="AR170" i="15" s="1"/>
  <c r="AW166" i="19"/>
  <c r="AX166" i="19" s="1"/>
  <c r="AY166" i="19" s="1"/>
  <c r="G167" i="19"/>
  <c r="AL167" i="19" s="1"/>
  <c r="AM167" i="19" s="1"/>
  <c r="AN167" i="19" s="1"/>
  <c r="J168" i="19"/>
  <c r="H167" i="19"/>
  <c r="Y219" i="16"/>
  <c r="AG219" i="16" s="1"/>
  <c r="AF220" i="16" s="1"/>
  <c r="F148" i="16"/>
  <c r="J149" i="16" s="1"/>
  <c r="AI147" i="16"/>
  <c r="AJ147" i="16" s="1"/>
  <c r="AK147" i="16" s="1"/>
  <c r="AU147" i="16"/>
  <c r="AS147" i="16"/>
  <c r="F186" i="17"/>
  <c r="AU185" i="17"/>
  <c r="AS185" i="17"/>
  <c r="AQ185" i="17"/>
  <c r="P225" i="16"/>
  <c r="N224" i="16"/>
  <c r="M224" i="16"/>
  <c r="Q224" i="16" s="1"/>
  <c r="L225" i="16" s="1"/>
  <c r="G216" i="18"/>
  <c r="AR216" i="18" s="1"/>
  <c r="AK215" i="18"/>
  <c r="AN215" i="18"/>
  <c r="AS187" i="29" l="1"/>
  <c r="O179" i="28"/>
  <c r="M179" i="28"/>
  <c r="P180" i="28"/>
  <c r="N179" i="28"/>
  <c r="AP178" i="28"/>
  <c r="AO178" i="28"/>
  <c r="I179" i="28"/>
  <c r="H179" i="28"/>
  <c r="G179" i="28"/>
  <c r="K179" i="28" s="1"/>
  <c r="F180" i="28" s="1"/>
  <c r="J180" i="28"/>
  <c r="O188" i="29"/>
  <c r="M188" i="29"/>
  <c r="P189" i="29"/>
  <c r="N188" i="29"/>
  <c r="AL178" i="28"/>
  <c r="AM178" i="28" s="1"/>
  <c r="AN178" i="28" s="1"/>
  <c r="AU178" i="28"/>
  <c r="AI178" i="28"/>
  <c r="AJ178" i="28" s="1"/>
  <c r="AK178" i="28" s="1"/>
  <c r="AS178" i="28"/>
  <c r="AQ178" i="28"/>
  <c r="F188" i="29"/>
  <c r="AQ187" i="29"/>
  <c r="AU187" i="29"/>
  <c r="F181" i="26"/>
  <c r="AI180" i="26"/>
  <c r="AL180" i="26"/>
  <c r="F170" i="24"/>
  <c r="AL169" i="24"/>
  <c r="AM169" i="24" s="1"/>
  <c r="AI169" i="24"/>
  <c r="AJ169" i="24" s="1"/>
  <c r="H170" i="15"/>
  <c r="AC219" i="16"/>
  <c r="X220" i="16" s="1"/>
  <c r="Z220" i="16" s="1"/>
  <c r="AI167" i="19"/>
  <c r="AJ167" i="19" s="1"/>
  <c r="AK167" i="19" s="1"/>
  <c r="G148" i="16"/>
  <c r="AL148" i="16" s="1"/>
  <c r="AM148" i="16" s="1"/>
  <c r="AN148" i="16" s="1"/>
  <c r="K167" i="19"/>
  <c r="AP167" i="19"/>
  <c r="AO167" i="19"/>
  <c r="AW185" i="17"/>
  <c r="AX185" i="17" s="1"/>
  <c r="AY185" i="17" s="1"/>
  <c r="H148" i="16"/>
  <c r="AO148" i="16" s="1"/>
  <c r="AW147" i="16"/>
  <c r="AX147" i="16" s="1"/>
  <c r="AY147" i="16" s="1"/>
  <c r="J187" i="17"/>
  <c r="G186" i="17"/>
  <c r="K186" i="17" s="1"/>
  <c r="F187" i="17" s="1"/>
  <c r="H186" i="17"/>
  <c r="N225" i="16"/>
  <c r="M225" i="16"/>
  <c r="Q225" i="16" s="1"/>
  <c r="L226" i="16" s="1"/>
  <c r="P226" i="16"/>
  <c r="AW215" i="18"/>
  <c r="AX215" i="18" s="1"/>
  <c r="AY215" i="18" s="1"/>
  <c r="H216" i="18"/>
  <c r="Q179" i="28" l="1"/>
  <c r="L180" i="28" s="1"/>
  <c r="P181" i="28" s="1"/>
  <c r="AW178" i="28"/>
  <c r="AX178" i="28" s="1"/>
  <c r="AY178" i="28" s="1"/>
  <c r="AP179" i="28"/>
  <c r="AO179" i="28"/>
  <c r="I180" i="28"/>
  <c r="G180" i="28"/>
  <c r="H180" i="28"/>
  <c r="J181" i="28"/>
  <c r="AI179" i="28"/>
  <c r="AJ179" i="28" s="1"/>
  <c r="AK179" i="28" s="1"/>
  <c r="O180" i="28"/>
  <c r="AL179" i="28"/>
  <c r="J189" i="29"/>
  <c r="I188" i="29"/>
  <c r="AR188" i="29" s="1"/>
  <c r="AW187" i="29"/>
  <c r="AX187" i="29" s="1"/>
  <c r="AY187" i="29" s="1"/>
  <c r="H188" i="29"/>
  <c r="AP188" i="29" s="1"/>
  <c r="G188" i="29"/>
  <c r="AI188" i="29" s="1"/>
  <c r="AJ188" i="29" s="1"/>
  <c r="AK188" i="29" s="1"/>
  <c r="AM180" i="26"/>
  <c r="AN180" i="26" s="1"/>
  <c r="G181" i="26"/>
  <c r="AR181" i="26" s="1"/>
  <c r="AJ180" i="26"/>
  <c r="AK180" i="26" s="1"/>
  <c r="AN169" i="24"/>
  <c r="AK169" i="24"/>
  <c r="G170" i="24"/>
  <c r="AR170" i="24" s="1"/>
  <c r="F171" i="15"/>
  <c r="AI170" i="15"/>
  <c r="AJ170" i="15" s="1"/>
  <c r="AK170" i="15" s="1"/>
  <c r="AL170" i="15"/>
  <c r="AM170" i="15" s="1"/>
  <c r="AN170" i="15" s="1"/>
  <c r="Y220" i="16"/>
  <c r="AC220" i="16" s="1"/>
  <c r="X221" i="16" s="1"/>
  <c r="Z221" i="16" s="1"/>
  <c r="K148" i="16"/>
  <c r="AU148" i="16" s="1"/>
  <c r="AS167" i="19"/>
  <c r="F168" i="19"/>
  <c r="AU167" i="19"/>
  <c r="AQ167" i="19"/>
  <c r="AP148" i="16"/>
  <c r="AI186" i="17"/>
  <c r="AJ186" i="17" s="1"/>
  <c r="AK186" i="17" s="1"/>
  <c r="AL186" i="17"/>
  <c r="AM186" i="17" s="1"/>
  <c r="AN186" i="17" s="1"/>
  <c r="AQ186" i="17"/>
  <c r="AS186" i="17"/>
  <c r="AU186" i="17"/>
  <c r="AO186" i="17"/>
  <c r="AP186" i="17"/>
  <c r="J188" i="17"/>
  <c r="H187" i="17"/>
  <c r="G187" i="17"/>
  <c r="AI187" i="17" s="1"/>
  <c r="AJ187" i="17" s="1"/>
  <c r="AK187" i="17" s="1"/>
  <c r="M226" i="16"/>
  <c r="Q226" i="16" s="1"/>
  <c r="L227" i="16" s="1"/>
  <c r="P227" i="16"/>
  <c r="N226" i="16"/>
  <c r="F217" i="18"/>
  <c r="AL216" i="18"/>
  <c r="AM216" i="18" s="1"/>
  <c r="AI216" i="18"/>
  <c r="AJ216" i="18" s="1"/>
  <c r="M180" i="28" l="1"/>
  <c r="Q180" i="28" s="1"/>
  <c r="L181" i="28" s="1"/>
  <c r="AQ179" i="28"/>
  <c r="AU179" i="28"/>
  <c r="N180" i="28"/>
  <c r="AO180" i="28" s="1"/>
  <c r="AS179" i="28"/>
  <c r="Q188" i="29"/>
  <c r="L189" i="29" s="1"/>
  <c r="P190" i="29" s="1"/>
  <c r="K180" i="28"/>
  <c r="AM179" i="28"/>
  <c r="AN179" i="28" s="1"/>
  <c r="AO188" i="29"/>
  <c r="AL188" i="29"/>
  <c r="K188" i="29"/>
  <c r="AW180" i="26"/>
  <c r="AX180" i="26" s="1"/>
  <c r="AY180" i="26" s="1"/>
  <c r="H181" i="26"/>
  <c r="AW170" i="15"/>
  <c r="AX170" i="15" s="1"/>
  <c r="AY170" i="15" s="1"/>
  <c r="AW169" i="24"/>
  <c r="AX169" i="24" s="1"/>
  <c r="AY169" i="24" s="1"/>
  <c r="Y221" i="16"/>
  <c r="AC221" i="16" s="1"/>
  <c r="X222" i="16" s="1"/>
  <c r="Z222" i="16" s="1"/>
  <c r="H170" i="24"/>
  <c r="G171" i="15"/>
  <c r="AR171" i="15" s="1"/>
  <c r="AG220" i="16"/>
  <c r="AF221" i="16" s="1"/>
  <c r="F149" i="16"/>
  <c r="G149" i="16" s="1"/>
  <c r="K149" i="16" s="1"/>
  <c r="AQ148" i="16"/>
  <c r="AS148" i="16"/>
  <c r="AI148" i="16"/>
  <c r="AJ148" i="16" s="1"/>
  <c r="AK148" i="16" s="1"/>
  <c r="AW167" i="19"/>
  <c r="AX167" i="19" s="1"/>
  <c r="AY167" i="19" s="1"/>
  <c r="H168" i="19"/>
  <c r="J169" i="19"/>
  <c r="G168" i="19"/>
  <c r="AI168" i="19" s="1"/>
  <c r="AJ168" i="19" s="1"/>
  <c r="AK168" i="19" s="1"/>
  <c r="AW186" i="17"/>
  <c r="AX186" i="17" s="1"/>
  <c r="AY186" i="17" s="1"/>
  <c r="AL187" i="17"/>
  <c r="AM187" i="17" s="1"/>
  <c r="AN187" i="17" s="1"/>
  <c r="K187" i="17"/>
  <c r="AO187" i="17"/>
  <c r="AP187" i="17"/>
  <c r="N227" i="16"/>
  <c r="P228" i="16"/>
  <c r="M227" i="16"/>
  <c r="Q227" i="16" s="1"/>
  <c r="L228" i="16" s="1"/>
  <c r="G217" i="18"/>
  <c r="AR217" i="18" s="1"/>
  <c r="AN216" i="18"/>
  <c r="AK216" i="18"/>
  <c r="AP180" i="28" l="1"/>
  <c r="AL180" i="28"/>
  <c r="AM180" i="28" s="1"/>
  <c r="AN180" i="28" s="1"/>
  <c r="AI180" i="28"/>
  <c r="AJ180" i="28" s="1"/>
  <c r="AK180" i="28" s="1"/>
  <c r="AW179" i="28"/>
  <c r="AX179" i="28" s="1"/>
  <c r="AY179" i="28" s="1"/>
  <c r="N189" i="29"/>
  <c r="M189" i="29"/>
  <c r="O189" i="29"/>
  <c r="AS188" i="29"/>
  <c r="F181" i="28"/>
  <c r="AQ180" i="28"/>
  <c r="AU180" i="28"/>
  <c r="AS180" i="28"/>
  <c r="O181" i="28"/>
  <c r="M181" i="28"/>
  <c r="P182" i="28"/>
  <c r="N181" i="28"/>
  <c r="AQ188" i="29"/>
  <c r="AU188" i="29"/>
  <c r="AM188" i="29"/>
  <c r="AN188" i="29" s="1"/>
  <c r="F189" i="29"/>
  <c r="F182" i="26"/>
  <c r="AI181" i="26"/>
  <c r="AL181" i="26"/>
  <c r="F171" i="24"/>
  <c r="AI170" i="24"/>
  <c r="AJ170" i="24" s="1"/>
  <c r="AL170" i="24"/>
  <c r="AM170" i="24" s="1"/>
  <c r="AG221" i="16"/>
  <c r="AF222" i="16" s="1"/>
  <c r="Y222" i="16"/>
  <c r="AC222" i="16" s="1"/>
  <c r="X223" i="16" s="1"/>
  <c r="Z223" i="16" s="1"/>
  <c r="H171" i="15"/>
  <c r="H149" i="16"/>
  <c r="AP149" i="16" s="1"/>
  <c r="J150" i="16"/>
  <c r="AW148" i="16"/>
  <c r="AX148" i="16" s="1"/>
  <c r="AY148" i="16" s="1"/>
  <c r="AL168" i="19"/>
  <c r="AM168" i="19" s="1"/>
  <c r="AN168" i="19" s="1"/>
  <c r="K168" i="19"/>
  <c r="AP168" i="19"/>
  <c r="AO168" i="19"/>
  <c r="AL149" i="16"/>
  <c r="AM149" i="16" s="1"/>
  <c r="AN149" i="16" s="1"/>
  <c r="F150" i="16"/>
  <c r="AU149" i="16"/>
  <c r="AS149" i="16"/>
  <c r="AI149" i="16"/>
  <c r="AJ149" i="16" s="1"/>
  <c r="AK149" i="16" s="1"/>
  <c r="AQ149" i="16"/>
  <c r="F188" i="17"/>
  <c r="AU187" i="17"/>
  <c r="AS187" i="17"/>
  <c r="AQ187" i="17"/>
  <c r="M228" i="16"/>
  <c r="Q228" i="16" s="1"/>
  <c r="L229" i="16" s="1"/>
  <c r="P229" i="16"/>
  <c r="N228" i="16"/>
  <c r="AW216" i="18"/>
  <c r="AX216" i="18" s="1"/>
  <c r="AY216" i="18" s="1"/>
  <c r="H217" i="18"/>
  <c r="AW180" i="28" l="1"/>
  <c r="AX180" i="28" s="1"/>
  <c r="AY180" i="28" s="1"/>
  <c r="I181" i="28"/>
  <c r="Q181" i="28" s="1"/>
  <c r="L182" i="28" s="1"/>
  <c r="J182" i="28"/>
  <c r="H181" i="28"/>
  <c r="G181" i="28"/>
  <c r="AI181" i="28" s="1"/>
  <c r="AJ181" i="28" s="1"/>
  <c r="AK181" i="28" s="1"/>
  <c r="G189" i="29"/>
  <c r="AI189" i="29" s="1"/>
  <c r="AJ189" i="29" s="1"/>
  <c r="I189" i="29"/>
  <c r="AW188" i="29"/>
  <c r="AX188" i="29" s="1"/>
  <c r="AY188" i="29" s="1"/>
  <c r="H189" i="29"/>
  <c r="AP189" i="29" s="1"/>
  <c r="J190" i="29"/>
  <c r="G182" i="26"/>
  <c r="AR182" i="26" s="1"/>
  <c r="AJ181" i="26"/>
  <c r="AK181" i="26" s="1"/>
  <c r="AM181" i="26"/>
  <c r="AN181" i="26" s="1"/>
  <c r="AG222" i="16"/>
  <c r="AF223" i="16" s="1"/>
  <c r="AN170" i="24"/>
  <c r="AK170" i="24"/>
  <c r="Y223" i="16"/>
  <c r="G171" i="24"/>
  <c r="AR171" i="24" s="1"/>
  <c r="F172" i="15"/>
  <c r="AI171" i="15"/>
  <c r="AJ171" i="15" s="1"/>
  <c r="AK171" i="15" s="1"/>
  <c r="AL171" i="15"/>
  <c r="AM171" i="15" s="1"/>
  <c r="AN171" i="15" s="1"/>
  <c r="AO149" i="16"/>
  <c r="AW149" i="16" s="1"/>
  <c r="AX149" i="16" s="1"/>
  <c r="AY149" i="16" s="1"/>
  <c r="AS168" i="19"/>
  <c r="F169" i="19"/>
  <c r="AU168" i="19"/>
  <c r="AQ168" i="19"/>
  <c r="AW187" i="17"/>
  <c r="AX187" i="17" s="1"/>
  <c r="AY187" i="17" s="1"/>
  <c r="H150" i="16"/>
  <c r="J151" i="16"/>
  <c r="G150" i="16"/>
  <c r="AL150" i="16" s="1"/>
  <c r="AM150" i="16" s="1"/>
  <c r="AN150" i="16" s="1"/>
  <c r="H188" i="17"/>
  <c r="J189" i="17"/>
  <c r="G188" i="17"/>
  <c r="AI188" i="17" s="1"/>
  <c r="AJ188" i="17" s="1"/>
  <c r="AK188" i="17" s="1"/>
  <c r="P230" i="16"/>
  <c r="N229" i="16"/>
  <c r="M229" i="16"/>
  <c r="Q229" i="16" s="1"/>
  <c r="L230" i="16" s="1"/>
  <c r="F218" i="18"/>
  <c r="AL217" i="18"/>
  <c r="AM217" i="18" s="1"/>
  <c r="AI217" i="18"/>
  <c r="AJ217" i="18" s="1"/>
  <c r="K189" i="29" l="1"/>
  <c r="F190" i="29" s="1"/>
  <c r="I190" i="29" s="1"/>
  <c r="AR190" i="29" s="1"/>
  <c r="O182" i="28"/>
  <c r="M182" i="28"/>
  <c r="N182" i="28"/>
  <c r="P183" i="28"/>
  <c r="AP181" i="28"/>
  <c r="AO181" i="28"/>
  <c r="AL181" i="28"/>
  <c r="AM181" i="28" s="1"/>
  <c r="AN181" i="28" s="1"/>
  <c r="K181" i="28"/>
  <c r="AR189" i="29"/>
  <c r="Q189" i="29"/>
  <c r="L190" i="29" s="1"/>
  <c r="AK189" i="29"/>
  <c r="AL189" i="29"/>
  <c r="AM189" i="29" s="1"/>
  <c r="AN189" i="29" s="1"/>
  <c r="AW181" i="26"/>
  <c r="AX181" i="26" s="1"/>
  <c r="AY181" i="26" s="1"/>
  <c r="AO189" i="29"/>
  <c r="AW171" i="15"/>
  <c r="AX171" i="15" s="1"/>
  <c r="AY171" i="15" s="1"/>
  <c r="H182" i="26"/>
  <c r="F183" i="26" s="1"/>
  <c r="G183" i="26" s="1"/>
  <c r="AR183" i="26" s="1"/>
  <c r="AG223" i="16"/>
  <c r="AF224" i="16" s="1"/>
  <c r="AW170" i="24"/>
  <c r="AX170" i="24" s="1"/>
  <c r="AY170" i="24" s="1"/>
  <c r="AC223" i="16"/>
  <c r="X224" i="16" s="1"/>
  <c r="Y224" i="16" s="1"/>
  <c r="H171" i="24"/>
  <c r="G172" i="15"/>
  <c r="AR172" i="15" s="1"/>
  <c r="AW168" i="19"/>
  <c r="AX168" i="19" s="1"/>
  <c r="AY168" i="19" s="1"/>
  <c r="G169" i="19"/>
  <c r="AI169" i="19" s="1"/>
  <c r="AJ169" i="19" s="1"/>
  <c r="AK169" i="19" s="1"/>
  <c r="H169" i="19"/>
  <c r="J170" i="19"/>
  <c r="K150" i="16"/>
  <c r="F151" i="16" s="1"/>
  <c r="AO150" i="16"/>
  <c r="AP150" i="16"/>
  <c r="AO188" i="17"/>
  <c r="AP188" i="17"/>
  <c r="K188" i="17"/>
  <c r="AL188" i="17"/>
  <c r="AM188" i="17" s="1"/>
  <c r="AN188" i="17" s="1"/>
  <c r="N230" i="16"/>
  <c r="P231" i="16"/>
  <c r="M230" i="16"/>
  <c r="Q230" i="16" s="1"/>
  <c r="L231" i="16" s="1"/>
  <c r="G218" i="18"/>
  <c r="AR218" i="18" s="1"/>
  <c r="AN217" i="18"/>
  <c r="AK217" i="18"/>
  <c r="AQ189" i="29" l="1"/>
  <c r="AU189" i="29"/>
  <c r="AS189" i="29"/>
  <c r="F182" i="28"/>
  <c r="AS181" i="28"/>
  <c r="AQ181" i="28"/>
  <c r="AU181" i="28"/>
  <c r="O190" i="29"/>
  <c r="M190" i="29"/>
  <c r="P191" i="29"/>
  <c r="N190" i="29"/>
  <c r="J191" i="29"/>
  <c r="H190" i="29"/>
  <c r="G190" i="29"/>
  <c r="AI182" i="26"/>
  <c r="AJ182" i="26" s="1"/>
  <c r="AK182" i="26" s="1"/>
  <c r="AL182" i="26"/>
  <c r="AM182" i="26" s="1"/>
  <c r="AN182" i="26" s="1"/>
  <c r="H183" i="26"/>
  <c r="AG224" i="16"/>
  <c r="AF225" i="16" s="1"/>
  <c r="AC224" i="16"/>
  <c r="X225" i="16" s="1"/>
  <c r="Y225" i="16" s="1"/>
  <c r="Z224" i="16"/>
  <c r="F172" i="24"/>
  <c r="AL171" i="24"/>
  <c r="AM171" i="24" s="1"/>
  <c r="AI171" i="24"/>
  <c r="AJ171" i="24" s="1"/>
  <c r="H172" i="15"/>
  <c r="AL169" i="19"/>
  <c r="AM169" i="19" s="1"/>
  <c r="AN169" i="19" s="1"/>
  <c r="K169" i="19"/>
  <c r="AO169" i="19"/>
  <c r="AP169" i="19"/>
  <c r="AI150" i="16"/>
  <c r="AJ150" i="16" s="1"/>
  <c r="AK150" i="16" s="1"/>
  <c r="AS150" i="16"/>
  <c r="AQ150" i="16"/>
  <c r="AU150" i="16"/>
  <c r="H151" i="16"/>
  <c r="G151" i="16"/>
  <c r="AL151" i="16" s="1"/>
  <c r="AM151" i="16" s="1"/>
  <c r="AN151" i="16" s="1"/>
  <c r="J152" i="16"/>
  <c r="F189" i="17"/>
  <c r="AS188" i="17"/>
  <c r="AQ188" i="17"/>
  <c r="AU188" i="17"/>
  <c r="P232" i="16"/>
  <c r="N231" i="16"/>
  <c r="M231" i="16"/>
  <c r="Q231" i="16" s="1"/>
  <c r="L232" i="16" s="1"/>
  <c r="AW217" i="18"/>
  <c r="AX217" i="18" s="1"/>
  <c r="AY217" i="18" s="1"/>
  <c r="H218" i="18"/>
  <c r="Q190" i="29" l="1"/>
  <c r="L191" i="29" s="1"/>
  <c r="N191" i="29" s="1"/>
  <c r="AW189" i="29"/>
  <c r="AX189" i="29" s="1"/>
  <c r="AY189" i="29" s="1"/>
  <c r="AW181" i="28"/>
  <c r="AX181" i="28" s="1"/>
  <c r="AY181" i="28" s="1"/>
  <c r="O191" i="29"/>
  <c r="I182" i="28"/>
  <c r="Q182" i="28" s="1"/>
  <c r="L183" i="28" s="1"/>
  <c r="J183" i="28"/>
  <c r="H182" i="28"/>
  <c r="G182" i="28"/>
  <c r="AL182" i="28" s="1"/>
  <c r="AM182" i="28" s="1"/>
  <c r="AN182" i="28" s="1"/>
  <c r="AP190" i="29"/>
  <c r="AI190" i="29"/>
  <c r="AJ190" i="29" s="1"/>
  <c r="AW182" i="26"/>
  <c r="AX182" i="26" s="1"/>
  <c r="AY182" i="26" s="1"/>
  <c r="AL190" i="29"/>
  <c r="AO190" i="29"/>
  <c r="F184" i="26"/>
  <c r="AI183" i="26"/>
  <c r="AL183" i="26"/>
  <c r="AG225" i="16"/>
  <c r="AF226" i="16" s="1"/>
  <c r="AC225" i="16"/>
  <c r="X226" i="16" s="1"/>
  <c r="Z226" i="16" s="1"/>
  <c r="Z225" i="16"/>
  <c r="AK171" i="24"/>
  <c r="AN171" i="24"/>
  <c r="G172" i="24"/>
  <c r="AR172" i="24" s="1"/>
  <c r="F173" i="15"/>
  <c r="AI172" i="15"/>
  <c r="AJ172" i="15" s="1"/>
  <c r="AK172" i="15" s="1"/>
  <c r="AL172" i="15"/>
  <c r="AM172" i="15" s="1"/>
  <c r="AN172" i="15" s="1"/>
  <c r="K190" i="29"/>
  <c r="F170" i="19"/>
  <c r="AS169" i="19"/>
  <c r="AU169" i="19"/>
  <c r="AQ169" i="19"/>
  <c r="AW188" i="17"/>
  <c r="AX188" i="17" s="1"/>
  <c r="AY188" i="17" s="1"/>
  <c r="AW150" i="16"/>
  <c r="AX150" i="16" s="1"/>
  <c r="AY150" i="16" s="1"/>
  <c r="K151" i="16"/>
  <c r="AO151" i="16"/>
  <c r="AP151" i="16"/>
  <c r="J190" i="17"/>
  <c r="H189" i="17"/>
  <c r="G189" i="17"/>
  <c r="AL189" i="17" s="1"/>
  <c r="AM189" i="17" s="1"/>
  <c r="AN189" i="17" s="1"/>
  <c r="M232" i="16"/>
  <c r="Q232" i="16" s="1"/>
  <c r="L233" i="16" s="1"/>
  <c r="N232" i="16"/>
  <c r="P233" i="16"/>
  <c r="F219" i="18"/>
  <c r="AI218" i="18"/>
  <c r="AJ218" i="18" s="1"/>
  <c r="AL218" i="18"/>
  <c r="AM218" i="18" s="1"/>
  <c r="M191" i="29" l="1"/>
  <c r="P192" i="29"/>
  <c r="AK190" i="29"/>
  <c r="O183" i="28"/>
  <c r="M183" i="28"/>
  <c r="P184" i="28"/>
  <c r="N183" i="28"/>
  <c r="AP182" i="28"/>
  <c r="AO182" i="28"/>
  <c r="K182" i="28"/>
  <c r="AI182" i="28"/>
  <c r="AJ182" i="28" s="1"/>
  <c r="AK182" i="28" s="1"/>
  <c r="AW171" i="24"/>
  <c r="AX171" i="24" s="1"/>
  <c r="AY171" i="24" s="1"/>
  <c r="AM190" i="29"/>
  <c r="AN190" i="29" s="1"/>
  <c r="F191" i="29"/>
  <c r="I191" i="29" s="1"/>
  <c r="AR191" i="29" s="1"/>
  <c r="AS190" i="29"/>
  <c r="AU190" i="29"/>
  <c r="AQ190" i="29"/>
  <c r="AW172" i="15"/>
  <c r="AX172" i="15" s="1"/>
  <c r="AY172" i="15" s="1"/>
  <c r="G184" i="26"/>
  <c r="AR184" i="26" s="1"/>
  <c r="AJ183" i="26"/>
  <c r="AK183" i="26" s="1"/>
  <c r="AM183" i="26"/>
  <c r="AN183" i="26" s="1"/>
  <c r="Y226" i="16"/>
  <c r="AG226" i="16" s="1"/>
  <c r="AF227" i="16" s="1"/>
  <c r="H172" i="24"/>
  <c r="G173" i="15"/>
  <c r="AR173" i="15" s="1"/>
  <c r="AW169" i="19"/>
  <c r="AX169" i="19" s="1"/>
  <c r="AY169" i="19" s="1"/>
  <c r="H170" i="19"/>
  <c r="J171" i="19"/>
  <c r="G170" i="19"/>
  <c r="K170" i="19" s="1"/>
  <c r="F171" i="19" s="1"/>
  <c r="F152" i="16"/>
  <c r="AU151" i="16"/>
  <c r="AI151" i="16"/>
  <c r="AJ151" i="16" s="1"/>
  <c r="AK151" i="16" s="1"/>
  <c r="AS151" i="16"/>
  <c r="AQ151" i="16"/>
  <c r="K189" i="17"/>
  <c r="AO189" i="17"/>
  <c r="AP189" i="17"/>
  <c r="AI189" i="17"/>
  <c r="AJ189" i="17" s="1"/>
  <c r="AK189" i="17" s="1"/>
  <c r="P234" i="16"/>
  <c r="M233" i="16"/>
  <c r="Q233" i="16" s="1"/>
  <c r="L234" i="16" s="1"/>
  <c r="N233" i="16"/>
  <c r="G219" i="18"/>
  <c r="AR219" i="18" s="1"/>
  <c r="AN218" i="18"/>
  <c r="AK218" i="18"/>
  <c r="Q191" i="29" l="1"/>
  <c r="L192" i="29" s="1"/>
  <c r="N192" i="29" s="1"/>
  <c r="F183" i="28"/>
  <c r="AQ182" i="28"/>
  <c r="AS182" i="28"/>
  <c r="AU182" i="28"/>
  <c r="AW183" i="26"/>
  <c r="AX183" i="26" s="1"/>
  <c r="AY183" i="26" s="1"/>
  <c r="J192" i="29"/>
  <c r="H191" i="29"/>
  <c r="AP191" i="29" s="1"/>
  <c r="G191" i="29"/>
  <c r="AI191" i="29" s="1"/>
  <c r="AJ191" i="29" s="1"/>
  <c r="AW190" i="29"/>
  <c r="AX190" i="29" s="1"/>
  <c r="AY190" i="29" s="1"/>
  <c r="H184" i="26"/>
  <c r="AC226" i="16"/>
  <c r="X227" i="16" s="1"/>
  <c r="Y227" i="16" s="1"/>
  <c r="AG227" i="16" s="1"/>
  <c r="AF228" i="16" s="1"/>
  <c r="F173" i="24"/>
  <c r="AL172" i="24"/>
  <c r="AM172" i="24" s="1"/>
  <c r="AI172" i="24"/>
  <c r="AJ172" i="24" s="1"/>
  <c r="H173" i="15"/>
  <c r="AU170" i="19"/>
  <c r="AQ170" i="19"/>
  <c r="J172" i="19"/>
  <c r="H171" i="19"/>
  <c r="G171" i="19"/>
  <c r="AI171" i="19" s="1"/>
  <c r="AJ171" i="19" s="1"/>
  <c r="AK171" i="19" s="1"/>
  <c r="AI170" i="19"/>
  <c r="AJ170" i="19" s="1"/>
  <c r="AK170" i="19" s="1"/>
  <c r="AS170" i="19"/>
  <c r="AL170" i="19"/>
  <c r="AM170" i="19" s="1"/>
  <c r="AN170" i="19" s="1"/>
  <c r="AO170" i="19"/>
  <c r="AP170" i="19"/>
  <c r="AW151" i="16"/>
  <c r="AX151" i="16" s="1"/>
  <c r="AY151" i="16" s="1"/>
  <c r="G152" i="16"/>
  <c r="AL152" i="16" s="1"/>
  <c r="AM152" i="16" s="1"/>
  <c r="AN152" i="16" s="1"/>
  <c r="H152" i="16"/>
  <c r="J153" i="16"/>
  <c r="F190" i="17"/>
  <c r="AQ189" i="17"/>
  <c r="AS189" i="17"/>
  <c r="AU189" i="17"/>
  <c r="N234" i="16"/>
  <c r="M234" i="16"/>
  <c r="Q234" i="16" s="1"/>
  <c r="AW218" i="18"/>
  <c r="AX218" i="18" s="1"/>
  <c r="AY218" i="18" s="1"/>
  <c r="H219" i="18"/>
  <c r="AW182" i="28" l="1"/>
  <c r="AX182" i="28" s="1"/>
  <c r="AY182" i="28" s="1"/>
  <c r="O192" i="29"/>
  <c r="M192" i="29"/>
  <c r="P193" i="29"/>
  <c r="I183" i="28"/>
  <c r="Q183" i="28" s="1"/>
  <c r="L184" i="28" s="1"/>
  <c r="G183" i="28"/>
  <c r="AI183" i="28" s="1"/>
  <c r="AJ183" i="28" s="1"/>
  <c r="AK183" i="28" s="1"/>
  <c r="H183" i="28"/>
  <c r="J184" i="28"/>
  <c r="AL191" i="29"/>
  <c r="AM191" i="29" s="1"/>
  <c r="AO191" i="29"/>
  <c r="F185" i="26"/>
  <c r="AL184" i="26"/>
  <c r="AI184" i="26"/>
  <c r="AC227" i="16"/>
  <c r="X228" i="16" s="1"/>
  <c r="Y228" i="16" s="1"/>
  <c r="AG228" i="16" s="1"/>
  <c r="AF229" i="16" s="1"/>
  <c r="Z227" i="16"/>
  <c r="AK172" i="24"/>
  <c r="AN172" i="24"/>
  <c r="G173" i="24"/>
  <c r="AR173" i="24" s="1"/>
  <c r="F174" i="15"/>
  <c r="AL173" i="15"/>
  <c r="AM173" i="15" s="1"/>
  <c r="AN173" i="15" s="1"/>
  <c r="AI173" i="15"/>
  <c r="AJ173" i="15" s="1"/>
  <c r="AK173" i="15" s="1"/>
  <c r="AK191" i="29"/>
  <c r="K191" i="29"/>
  <c r="AL171" i="19"/>
  <c r="AM171" i="19" s="1"/>
  <c r="AN171" i="19" s="1"/>
  <c r="AW170" i="19"/>
  <c r="AX170" i="19" s="1"/>
  <c r="AY170" i="19" s="1"/>
  <c r="AP171" i="19"/>
  <c r="AO171" i="19"/>
  <c r="K171" i="19"/>
  <c r="AW189" i="17"/>
  <c r="AX189" i="17" s="1"/>
  <c r="AY189" i="17" s="1"/>
  <c r="K152" i="16"/>
  <c r="AQ152" i="16" s="1"/>
  <c r="AO152" i="16"/>
  <c r="AP152" i="16"/>
  <c r="J191" i="17"/>
  <c r="H190" i="17"/>
  <c r="G190" i="17"/>
  <c r="K190" i="17" s="1"/>
  <c r="F191" i="17" s="1"/>
  <c r="F220" i="18"/>
  <c r="AI219" i="18"/>
  <c r="AJ219" i="18" s="1"/>
  <c r="AL219" i="18"/>
  <c r="AM219" i="18" s="1"/>
  <c r="O184" i="28" l="1"/>
  <c r="N184" i="28"/>
  <c r="P185" i="28"/>
  <c r="M184" i="28"/>
  <c r="AL183" i="28"/>
  <c r="AM183" i="28" s="1"/>
  <c r="AN183" i="28" s="1"/>
  <c r="K183" i="28"/>
  <c r="AP183" i="28"/>
  <c r="AO183" i="28"/>
  <c r="AW172" i="24"/>
  <c r="AX172" i="24" s="1"/>
  <c r="AY172" i="24" s="1"/>
  <c r="F192" i="29"/>
  <c r="I192" i="29" s="1"/>
  <c r="AQ191" i="29"/>
  <c r="AS191" i="29"/>
  <c r="AU191" i="29"/>
  <c r="AN191" i="29"/>
  <c r="AJ184" i="26"/>
  <c r="AK184" i="26" s="1"/>
  <c r="G185" i="26"/>
  <c r="AR185" i="26" s="1"/>
  <c r="AM184" i="26"/>
  <c r="AN184" i="26" s="1"/>
  <c r="Z228" i="16"/>
  <c r="AC228" i="16"/>
  <c r="X229" i="16" s="1"/>
  <c r="Y229" i="16" s="1"/>
  <c r="AG229" i="16" s="1"/>
  <c r="AF230" i="16" s="1"/>
  <c r="H173" i="24"/>
  <c r="G174" i="15"/>
  <c r="AR174" i="15" s="1"/>
  <c r="AW173" i="15"/>
  <c r="AX173" i="15" s="1"/>
  <c r="AY173" i="15" s="1"/>
  <c r="F172" i="19"/>
  <c r="AS171" i="19"/>
  <c r="AU171" i="19"/>
  <c r="AQ171" i="19"/>
  <c r="F153" i="16"/>
  <c r="J154" i="16" s="1"/>
  <c r="AS152" i="16"/>
  <c r="AI152" i="16"/>
  <c r="AJ152" i="16" s="1"/>
  <c r="AK152" i="16" s="1"/>
  <c r="AU152" i="16"/>
  <c r="AI190" i="17"/>
  <c r="AJ190" i="17" s="1"/>
  <c r="AK190" i="17" s="1"/>
  <c r="AL190" i="17"/>
  <c r="AM190" i="17" s="1"/>
  <c r="AN190" i="17" s="1"/>
  <c r="AS190" i="17"/>
  <c r="AP190" i="17"/>
  <c r="AO190" i="17"/>
  <c r="AQ190" i="17"/>
  <c r="AU190" i="17"/>
  <c r="H191" i="17"/>
  <c r="J192" i="17"/>
  <c r="G191" i="17"/>
  <c r="K191" i="17" s="1"/>
  <c r="F192" i="17" s="1"/>
  <c r="G220" i="18"/>
  <c r="AR220" i="18" s="1"/>
  <c r="AN219" i="18"/>
  <c r="AK219" i="18"/>
  <c r="F184" i="28" l="1"/>
  <c r="AS183" i="28"/>
  <c r="AQ183" i="28"/>
  <c r="AU183" i="28"/>
  <c r="AR192" i="29"/>
  <c r="Q192" i="29"/>
  <c r="L193" i="29" s="1"/>
  <c r="AW184" i="26"/>
  <c r="AX184" i="26" s="1"/>
  <c r="AY184" i="26" s="1"/>
  <c r="H192" i="29"/>
  <c r="AP192" i="29" s="1"/>
  <c r="J193" i="29"/>
  <c r="G192" i="29"/>
  <c r="AI192" i="29" s="1"/>
  <c r="AJ192" i="29" s="1"/>
  <c r="H185" i="26"/>
  <c r="AC229" i="16"/>
  <c r="X230" i="16" s="1"/>
  <c r="Z230" i="16" s="1"/>
  <c r="Z229" i="16"/>
  <c r="F174" i="24"/>
  <c r="AI173" i="24"/>
  <c r="AJ173" i="24" s="1"/>
  <c r="AL173" i="24"/>
  <c r="AM173" i="24" s="1"/>
  <c r="H174" i="15"/>
  <c r="AW191" i="29"/>
  <c r="AX191" i="29" s="1"/>
  <c r="AY191" i="29" s="1"/>
  <c r="AW171" i="19"/>
  <c r="AX171" i="19" s="1"/>
  <c r="AY171" i="19" s="1"/>
  <c r="G172" i="19"/>
  <c r="AI172" i="19" s="1"/>
  <c r="AJ172" i="19" s="1"/>
  <c r="AK172" i="19" s="1"/>
  <c r="J173" i="19"/>
  <c r="H172" i="19"/>
  <c r="AW152" i="16"/>
  <c r="AX152" i="16" s="1"/>
  <c r="AY152" i="16" s="1"/>
  <c r="H153" i="16"/>
  <c r="AP153" i="16" s="1"/>
  <c r="G153" i="16"/>
  <c r="K153" i="16" s="1"/>
  <c r="AW190" i="17"/>
  <c r="AX190" i="17" s="1"/>
  <c r="AY190" i="17" s="1"/>
  <c r="AL191" i="17"/>
  <c r="AM191" i="17" s="1"/>
  <c r="AN191" i="17" s="1"/>
  <c r="AQ191" i="17"/>
  <c r="AI191" i="17"/>
  <c r="AJ191" i="17" s="1"/>
  <c r="AK191" i="17" s="1"/>
  <c r="AP191" i="17"/>
  <c r="AO191" i="17"/>
  <c r="AS191" i="17"/>
  <c r="AU191" i="17"/>
  <c r="G192" i="17"/>
  <c r="AI192" i="17" s="1"/>
  <c r="AJ192" i="17" s="1"/>
  <c r="AK192" i="17" s="1"/>
  <c r="H192" i="17"/>
  <c r="J193" i="17"/>
  <c r="AW219" i="18"/>
  <c r="AX219" i="18" s="1"/>
  <c r="AY219" i="18" s="1"/>
  <c r="H220" i="18"/>
  <c r="AW183" i="28" l="1"/>
  <c r="AX183" i="28" s="1"/>
  <c r="AY183" i="28" s="1"/>
  <c r="I184" i="28"/>
  <c r="Q184" i="28" s="1"/>
  <c r="L185" i="28" s="1"/>
  <c r="H184" i="28"/>
  <c r="G184" i="28"/>
  <c r="AI184" i="28" s="1"/>
  <c r="AJ184" i="28" s="1"/>
  <c r="AK184" i="28" s="1"/>
  <c r="J185" i="28"/>
  <c r="O193" i="29"/>
  <c r="M193" i="29"/>
  <c r="N193" i="29"/>
  <c r="P194" i="29"/>
  <c r="AL192" i="29"/>
  <c r="AM192" i="29" s="1"/>
  <c r="AO192" i="29"/>
  <c r="F186" i="26"/>
  <c r="AI185" i="26"/>
  <c r="AL185" i="26"/>
  <c r="Y230" i="16"/>
  <c r="AG230" i="16" s="1"/>
  <c r="AF231" i="16" s="1"/>
  <c r="AK173" i="24"/>
  <c r="AN173" i="24"/>
  <c r="G174" i="24"/>
  <c r="AR174" i="24" s="1"/>
  <c r="F175" i="15"/>
  <c r="AL174" i="15"/>
  <c r="AM174" i="15" s="1"/>
  <c r="AN174" i="15" s="1"/>
  <c r="AI174" i="15"/>
  <c r="AJ174" i="15" s="1"/>
  <c r="AK174" i="15" s="1"/>
  <c r="AK192" i="29"/>
  <c r="K192" i="29"/>
  <c r="K172" i="19"/>
  <c r="AL172" i="19"/>
  <c r="AM172" i="19" s="1"/>
  <c r="AN172" i="19" s="1"/>
  <c r="AP172" i="19"/>
  <c r="AO172" i="19"/>
  <c r="AO153" i="16"/>
  <c r="AL153" i="16"/>
  <c r="AM153" i="16" s="1"/>
  <c r="AN153" i="16" s="1"/>
  <c r="AQ153" i="16"/>
  <c r="AU153" i="16"/>
  <c r="F154" i="16"/>
  <c r="AI153" i="16"/>
  <c r="AJ153" i="16" s="1"/>
  <c r="AK153" i="16" s="1"/>
  <c r="AS153" i="16"/>
  <c r="AL192" i="17"/>
  <c r="AM192" i="17" s="1"/>
  <c r="AN192" i="17" s="1"/>
  <c r="K192" i="17"/>
  <c r="F193" i="17" s="1"/>
  <c r="G193" i="17" s="1"/>
  <c r="AI193" i="17" s="1"/>
  <c r="AJ193" i="17" s="1"/>
  <c r="AK193" i="17" s="1"/>
  <c r="AP192" i="17"/>
  <c r="AO192" i="17"/>
  <c r="AW191" i="17"/>
  <c r="AX191" i="17" s="1"/>
  <c r="AY191" i="17" s="1"/>
  <c r="F221" i="18"/>
  <c r="AI220" i="18"/>
  <c r="AJ220" i="18" s="1"/>
  <c r="AL220" i="18"/>
  <c r="AM220" i="18" s="1"/>
  <c r="AL184" i="28" l="1"/>
  <c r="AM184" i="28" s="1"/>
  <c r="AN184" i="28" s="1"/>
  <c r="K184" i="28"/>
  <c r="O185" i="28"/>
  <c r="M185" i="28"/>
  <c r="P186" i="28"/>
  <c r="N185" i="28"/>
  <c r="AP184" i="28"/>
  <c r="AO184" i="28"/>
  <c r="AW173" i="24"/>
  <c r="AX173" i="24" s="1"/>
  <c r="AY173" i="24" s="1"/>
  <c r="F193" i="29"/>
  <c r="I193" i="29" s="1"/>
  <c r="AR193" i="29" s="1"/>
  <c r="AS192" i="29"/>
  <c r="AQ192" i="29"/>
  <c r="AU192" i="29"/>
  <c r="AN192" i="29"/>
  <c r="G186" i="26"/>
  <c r="AR186" i="26" s="1"/>
  <c r="AJ185" i="26"/>
  <c r="AK185" i="26" s="1"/>
  <c r="AM185" i="26"/>
  <c r="AN185" i="26" s="1"/>
  <c r="AC230" i="16"/>
  <c r="X231" i="16" s="1"/>
  <c r="Z231" i="16" s="1"/>
  <c r="H174" i="24"/>
  <c r="G175" i="15"/>
  <c r="AR175" i="15" s="1"/>
  <c r="AW174" i="15"/>
  <c r="AX174" i="15" s="1"/>
  <c r="AY174" i="15" s="1"/>
  <c r="F173" i="19"/>
  <c r="AS172" i="19"/>
  <c r="AQ172" i="19"/>
  <c r="AU172" i="19"/>
  <c r="AW153" i="16"/>
  <c r="AX153" i="16" s="1"/>
  <c r="AY153" i="16" s="1"/>
  <c r="J194" i="17"/>
  <c r="AU192" i="17"/>
  <c r="H154" i="16"/>
  <c r="J155" i="16"/>
  <c r="G154" i="16"/>
  <c r="K154" i="16" s="1"/>
  <c r="F155" i="16" s="1"/>
  <c r="H193" i="17"/>
  <c r="AP193" i="17" s="1"/>
  <c r="AQ192" i="17"/>
  <c r="AS192" i="17"/>
  <c r="AL193" i="17"/>
  <c r="AM193" i="17" s="1"/>
  <c r="AN193" i="17" s="1"/>
  <c r="K193" i="17"/>
  <c r="AU193" i="17" s="1"/>
  <c r="G221" i="18"/>
  <c r="AR221" i="18" s="1"/>
  <c r="AK220" i="18"/>
  <c r="AN220" i="18"/>
  <c r="Q193" i="29" l="1"/>
  <c r="L194" i="29" s="1"/>
  <c r="P195" i="29" s="1"/>
  <c r="O194" i="29"/>
  <c r="F185" i="28"/>
  <c r="AS184" i="28"/>
  <c r="AU184" i="28"/>
  <c r="AQ184" i="28"/>
  <c r="AW185" i="26"/>
  <c r="AX185" i="26" s="1"/>
  <c r="AY185" i="26" s="1"/>
  <c r="J194" i="29"/>
  <c r="H193" i="29"/>
  <c r="AP193" i="29" s="1"/>
  <c r="G193" i="29"/>
  <c r="AI193" i="29" s="1"/>
  <c r="H186" i="26"/>
  <c r="Y231" i="16"/>
  <c r="AG231" i="16" s="1"/>
  <c r="AF232" i="16" s="1"/>
  <c r="F175" i="24"/>
  <c r="AL174" i="24"/>
  <c r="AM174" i="24" s="1"/>
  <c r="AI174" i="24"/>
  <c r="AJ174" i="24" s="1"/>
  <c r="H175" i="15"/>
  <c r="AW192" i="29"/>
  <c r="AX192" i="29" s="1"/>
  <c r="AY192" i="29" s="1"/>
  <c r="AW172" i="19"/>
  <c r="AX172" i="19" s="1"/>
  <c r="AY172" i="19" s="1"/>
  <c r="J174" i="19"/>
  <c r="G173" i="19"/>
  <c r="K173" i="19" s="1"/>
  <c r="H173" i="19"/>
  <c r="AW192" i="17"/>
  <c r="AX192" i="17" s="1"/>
  <c r="AY192" i="17" s="1"/>
  <c r="AS154" i="16"/>
  <c r="AU154" i="16"/>
  <c r="AQ154" i="16"/>
  <c r="AP154" i="16"/>
  <c r="AO154" i="16"/>
  <c r="AL154" i="16"/>
  <c r="AM154" i="16" s="1"/>
  <c r="AN154" i="16" s="1"/>
  <c r="AI154" i="16"/>
  <c r="AJ154" i="16" s="1"/>
  <c r="AK154" i="16" s="1"/>
  <c r="J156" i="16"/>
  <c r="H155" i="16"/>
  <c r="G155" i="16"/>
  <c r="K155" i="16" s="1"/>
  <c r="F156" i="16" s="1"/>
  <c r="AO193" i="17"/>
  <c r="F194" i="17"/>
  <c r="AQ193" i="17"/>
  <c r="AS193" i="17"/>
  <c r="AW220" i="18"/>
  <c r="H221" i="18"/>
  <c r="N194" i="29" l="1"/>
  <c r="M194" i="29"/>
  <c r="AW184" i="28"/>
  <c r="AX184" i="28" s="1"/>
  <c r="AY184" i="28" s="1"/>
  <c r="I185" i="28"/>
  <c r="Q185" i="28" s="1"/>
  <c r="L186" i="28" s="1"/>
  <c r="G185" i="28"/>
  <c r="AL185" i="28" s="1"/>
  <c r="AM185" i="28" s="1"/>
  <c r="AN185" i="28" s="1"/>
  <c r="J186" i="28"/>
  <c r="H185" i="28"/>
  <c r="AJ193" i="29"/>
  <c r="AK193" i="29" s="1"/>
  <c r="AL193" i="29"/>
  <c r="AM193" i="29" s="1"/>
  <c r="AO193" i="29"/>
  <c r="F187" i="26"/>
  <c r="AI186" i="26"/>
  <c r="AL186" i="26"/>
  <c r="AC231" i="16"/>
  <c r="X232" i="16" s="1"/>
  <c r="Y232" i="16" s="1"/>
  <c r="AK174" i="24"/>
  <c r="AN174" i="24"/>
  <c r="G175" i="24"/>
  <c r="AR175" i="24" s="1"/>
  <c r="F176" i="15"/>
  <c r="AI175" i="15"/>
  <c r="AJ175" i="15" s="1"/>
  <c r="AK175" i="15" s="1"/>
  <c r="AL175" i="15"/>
  <c r="AM175" i="15" s="1"/>
  <c r="AN175" i="15" s="1"/>
  <c r="K193" i="29"/>
  <c r="AI173" i="19"/>
  <c r="AJ173" i="19" s="1"/>
  <c r="AK173" i="19" s="1"/>
  <c r="F174" i="19"/>
  <c r="AQ173" i="19"/>
  <c r="AS173" i="19"/>
  <c r="AU173" i="19"/>
  <c r="AL173" i="19"/>
  <c r="AM173" i="19" s="1"/>
  <c r="AN173" i="19" s="1"/>
  <c r="AO173" i="19"/>
  <c r="AP173" i="19"/>
  <c r="AW193" i="17"/>
  <c r="AX193" i="17" s="1"/>
  <c r="AY193" i="17" s="1"/>
  <c r="AW154" i="16"/>
  <c r="AX154" i="16" s="1"/>
  <c r="AY154" i="16" s="1"/>
  <c r="AL155" i="16"/>
  <c r="AM155" i="16" s="1"/>
  <c r="AN155" i="16" s="1"/>
  <c r="H156" i="16"/>
  <c r="G156" i="16"/>
  <c r="AL156" i="16" s="1"/>
  <c r="AM156" i="16" s="1"/>
  <c r="AN156" i="16" s="1"/>
  <c r="J157" i="16"/>
  <c r="AI155" i="16"/>
  <c r="AJ155" i="16" s="1"/>
  <c r="AK155" i="16" s="1"/>
  <c r="AS155" i="16"/>
  <c r="AQ155" i="16"/>
  <c r="AP155" i="16"/>
  <c r="AO155" i="16"/>
  <c r="AU155" i="16"/>
  <c r="G194" i="17"/>
  <c r="H194" i="17"/>
  <c r="J195" i="17"/>
  <c r="F222" i="18"/>
  <c r="AL221" i="18"/>
  <c r="AM221" i="18" s="1"/>
  <c r="AI221" i="18"/>
  <c r="AJ221" i="18" s="1"/>
  <c r="AX220" i="18"/>
  <c r="AY220" i="18" s="1"/>
  <c r="AP185" i="28" l="1"/>
  <c r="AO185" i="28"/>
  <c r="K185" i="28"/>
  <c r="AI185" i="28"/>
  <c r="AJ185" i="28" s="1"/>
  <c r="AK185" i="28" s="1"/>
  <c r="O186" i="28"/>
  <c r="M186" i="28"/>
  <c r="N186" i="28"/>
  <c r="P187" i="28"/>
  <c r="F194" i="29"/>
  <c r="I194" i="29" s="1"/>
  <c r="AS193" i="29"/>
  <c r="AU193" i="29"/>
  <c r="AQ193" i="29"/>
  <c r="AN193" i="29"/>
  <c r="G187" i="26"/>
  <c r="AR187" i="26" s="1"/>
  <c r="AJ186" i="26"/>
  <c r="AK186" i="26" s="1"/>
  <c r="AM186" i="26"/>
  <c r="AN186" i="26" s="1"/>
  <c r="AW175" i="15"/>
  <c r="AX175" i="15" s="1"/>
  <c r="AY175" i="15" s="1"/>
  <c r="Z232" i="16"/>
  <c r="AW174" i="24"/>
  <c r="AX174" i="24" s="1"/>
  <c r="AY174" i="24" s="1"/>
  <c r="H175" i="24"/>
  <c r="G176" i="15"/>
  <c r="AR176" i="15" s="1"/>
  <c r="AW173" i="19"/>
  <c r="AX173" i="19" s="1"/>
  <c r="AY173" i="19" s="1"/>
  <c r="H174" i="19"/>
  <c r="J175" i="19"/>
  <c r="G174" i="19"/>
  <c r="AL174" i="19" s="1"/>
  <c r="AM174" i="19" s="1"/>
  <c r="AN174" i="19" s="1"/>
  <c r="K156" i="16"/>
  <c r="AU156" i="16" s="1"/>
  <c r="AW155" i="16"/>
  <c r="AX155" i="16" s="1"/>
  <c r="AY155" i="16" s="1"/>
  <c r="AP156" i="16"/>
  <c r="AO156" i="16"/>
  <c r="AO194" i="17"/>
  <c r="AP194" i="17"/>
  <c r="AI194" i="17"/>
  <c r="AJ194" i="17" s="1"/>
  <c r="AK194" i="17" s="1"/>
  <c r="K194" i="17"/>
  <c r="AL194" i="17"/>
  <c r="AM194" i="17" s="1"/>
  <c r="AN194" i="17" s="1"/>
  <c r="AC232" i="16"/>
  <c r="X233" i="16" s="1"/>
  <c r="AG232" i="16"/>
  <c r="AF233" i="16" s="1"/>
  <c r="G222" i="18"/>
  <c r="AR222" i="18" s="1"/>
  <c r="AK221" i="18"/>
  <c r="AN221" i="18"/>
  <c r="AR194" i="29" l="1"/>
  <c r="Q194" i="29"/>
  <c r="L195" i="29" s="1"/>
  <c r="F186" i="28"/>
  <c r="AQ185" i="28"/>
  <c r="AS185" i="28"/>
  <c r="AU185" i="28"/>
  <c r="AW186" i="26"/>
  <c r="AX186" i="26" s="1"/>
  <c r="AY186" i="26" s="1"/>
  <c r="H194" i="29"/>
  <c r="AP194" i="29" s="1"/>
  <c r="J195" i="29"/>
  <c r="G194" i="29"/>
  <c r="AL194" i="29" s="1"/>
  <c r="AM194" i="29" s="1"/>
  <c r="H187" i="26"/>
  <c r="F176" i="24"/>
  <c r="AI175" i="24"/>
  <c r="AJ175" i="24" s="1"/>
  <c r="AL175" i="24"/>
  <c r="AM175" i="24" s="1"/>
  <c r="H176" i="15"/>
  <c r="AW193" i="29"/>
  <c r="AX193" i="29" s="1"/>
  <c r="AY193" i="29" s="1"/>
  <c r="AI174" i="19"/>
  <c r="AJ174" i="19" s="1"/>
  <c r="AK174" i="19" s="1"/>
  <c r="K174" i="19"/>
  <c r="AP174" i="19"/>
  <c r="AO174" i="19"/>
  <c r="F157" i="16"/>
  <c r="H157" i="16" s="1"/>
  <c r="AS156" i="16"/>
  <c r="AQ156" i="16"/>
  <c r="AI156" i="16"/>
  <c r="AJ156" i="16" s="1"/>
  <c r="AK156" i="16" s="1"/>
  <c r="F195" i="17"/>
  <c r="AQ194" i="17"/>
  <c r="AU194" i="17"/>
  <c r="AS194" i="17"/>
  <c r="Z233" i="16"/>
  <c r="Y233" i="16"/>
  <c r="AW221" i="18"/>
  <c r="AX221" i="18" s="1"/>
  <c r="AY221" i="18" s="1"/>
  <c r="AY236" i="18" s="1"/>
  <c r="H222" i="18"/>
  <c r="AX18" i="13" l="1"/>
  <c r="BB18" i="13" s="1"/>
  <c r="BD18" i="13" s="1"/>
  <c r="AX17" i="13"/>
  <c r="AX20" i="13"/>
  <c r="BB20" i="13" s="1"/>
  <c r="AX19" i="13"/>
  <c r="AW185" i="28"/>
  <c r="AX185" i="28" s="1"/>
  <c r="AY185" i="28" s="1"/>
  <c r="I186" i="28"/>
  <c r="Q186" i="28" s="1"/>
  <c r="L187" i="28" s="1"/>
  <c r="J187" i="28"/>
  <c r="H186" i="28"/>
  <c r="G186" i="28"/>
  <c r="AL186" i="28" s="1"/>
  <c r="AM186" i="28" s="1"/>
  <c r="AN186" i="28" s="1"/>
  <c r="O195" i="29"/>
  <c r="M195" i="29"/>
  <c r="N195" i="29"/>
  <c r="P196" i="29"/>
  <c r="AI194" i="29"/>
  <c r="AO194" i="29"/>
  <c r="F188" i="26"/>
  <c r="AL187" i="26"/>
  <c r="AI187" i="26"/>
  <c r="AK175" i="24"/>
  <c r="AN175" i="24"/>
  <c r="G176" i="24"/>
  <c r="AR176" i="24" s="1"/>
  <c r="F177" i="15"/>
  <c r="AL176" i="15"/>
  <c r="AM176" i="15" s="1"/>
  <c r="AN176" i="15" s="1"/>
  <c r="AI176" i="15"/>
  <c r="AJ176" i="15" s="1"/>
  <c r="AK176" i="15" s="1"/>
  <c r="AN194" i="29"/>
  <c r="K194" i="29"/>
  <c r="F175" i="19"/>
  <c r="AQ174" i="19"/>
  <c r="AS174" i="19"/>
  <c r="AU174" i="19"/>
  <c r="AW156" i="16"/>
  <c r="AX156" i="16" s="1"/>
  <c r="AY156" i="16" s="1"/>
  <c r="AW194" i="17"/>
  <c r="AX194" i="17" s="1"/>
  <c r="AY194" i="17" s="1"/>
  <c r="G157" i="16"/>
  <c r="AL157" i="16" s="1"/>
  <c r="AM157" i="16" s="1"/>
  <c r="AN157" i="16" s="1"/>
  <c r="J158" i="16"/>
  <c r="AP157" i="16"/>
  <c r="AO157" i="16"/>
  <c r="J196" i="17"/>
  <c r="G195" i="17"/>
  <c r="K195" i="17" s="1"/>
  <c r="AQ195" i="17" s="1"/>
  <c r="H195" i="17"/>
  <c r="AC233" i="16"/>
  <c r="X234" i="16" s="1"/>
  <c r="AG233" i="16"/>
  <c r="AF234" i="16" s="1"/>
  <c r="F223" i="18"/>
  <c r="AI222" i="18"/>
  <c r="AJ222" i="18" s="1"/>
  <c r="AL222" i="18"/>
  <c r="AM222" i="18" s="1"/>
  <c r="BH18" i="13" l="1"/>
  <c r="BB17" i="13"/>
  <c r="BD17" i="13" s="1"/>
  <c r="BH17" i="13"/>
  <c r="BH20" i="13"/>
  <c r="AX31" i="13"/>
  <c r="BB19" i="13"/>
  <c r="BD19" i="13" s="1"/>
  <c r="BH19" i="13"/>
  <c r="BD20" i="13"/>
  <c r="AI186" i="28"/>
  <c r="AJ186" i="28" s="1"/>
  <c r="AK186" i="28" s="1"/>
  <c r="K186" i="28"/>
  <c r="O187" i="28"/>
  <c r="M187" i="28"/>
  <c r="P188" i="28"/>
  <c r="N187" i="28"/>
  <c r="AP186" i="28"/>
  <c r="AO186" i="28"/>
  <c r="F195" i="29"/>
  <c r="I195" i="29" s="1"/>
  <c r="AR195" i="29" s="1"/>
  <c r="AU194" i="29"/>
  <c r="AS194" i="29"/>
  <c r="AQ194" i="29"/>
  <c r="AJ194" i="29"/>
  <c r="AK194" i="29" s="1"/>
  <c r="AM187" i="26"/>
  <c r="AN187" i="26" s="1"/>
  <c r="G188" i="26"/>
  <c r="AR188" i="26" s="1"/>
  <c r="AJ187" i="26"/>
  <c r="AK187" i="26" s="1"/>
  <c r="AW175" i="24"/>
  <c r="AX175" i="24" s="1"/>
  <c r="AY175" i="24" s="1"/>
  <c r="AW176" i="15"/>
  <c r="AX176" i="15" s="1"/>
  <c r="AY176" i="15" s="1"/>
  <c r="H176" i="24"/>
  <c r="G177" i="15"/>
  <c r="AR177" i="15" s="1"/>
  <c r="AW174" i="19"/>
  <c r="AX174" i="19" s="1"/>
  <c r="AY174" i="19" s="1"/>
  <c r="H175" i="19"/>
  <c r="J176" i="19"/>
  <c r="G175" i="19"/>
  <c r="K175" i="19" s="1"/>
  <c r="F176" i="19" s="1"/>
  <c r="K157" i="16"/>
  <c r="AI157" i="16" s="1"/>
  <c r="AJ157" i="16" s="1"/>
  <c r="AK157" i="16" s="1"/>
  <c r="AL195" i="17"/>
  <c r="AM195" i="17" s="1"/>
  <c r="AN195" i="17" s="1"/>
  <c r="AS195" i="17"/>
  <c r="AI195" i="17"/>
  <c r="AJ195" i="17" s="1"/>
  <c r="AK195" i="17" s="1"/>
  <c r="AO195" i="17"/>
  <c r="AP195" i="17"/>
  <c r="F196" i="17"/>
  <c r="AU195" i="17"/>
  <c r="Z234" i="16"/>
  <c r="Y234" i="16"/>
  <c r="AC234" i="16" s="1"/>
  <c r="G223" i="18"/>
  <c r="AR223" i="18" s="1"/>
  <c r="AN222" i="18"/>
  <c r="AK222" i="18"/>
  <c r="BB31" i="13" l="1"/>
  <c r="BD31" i="13"/>
  <c r="Q195" i="29"/>
  <c r="L196" i="29" s="1"/>
  <c r="F187" i="28"/>
  <c r="AS186" i="28"/>
  <c r="AQ186" i="28"/>
  <c r="AU186" i="28"/>
  <c r="J196" i="29"/>
  <c r="H195" i="29"/>
  <c r="AP195" i="29" s="1"/>
  <c r="G195" i="29"/>
  <c r="AL195" i="29" s="1"/>
  <c r="AM195" i="29" s="1"/>
  <c r="AW187" i="26"/>
  <c r="AX187" i="26" s="1"/>
  <c r="AY187" i="26" s="1"/>
  <c r="H188" i="26"/>
  <c r="F177" i="24"/>
  <c r="AL176" i="24"/>
  <c r="AM176" i="24" s="1"/>
  <c r="AI176" i="24"/>
  <c r="AJ176" i="24" s="1"/>
  <c r="H177" i="15"/>
  <c r="AW194" i="29"/>
  <c r="AX194" i="29" s="1"/>
  <c r="AY194" i="29" s="1"/>
  <c r="AU157" i="16"/>
  <c r="F158" i="16"/>
  <c r="G158" i="16" s="1"/>
  <c r="AQ175" i="19"/>
  <c r="AS175" i="19"/>
  <c r="J177" i="19"/>
  <c r="G176" i="19"/>
  <c r="AL176" i="19" s="1"/>
  <c r="AM176" i="19" s="1"/>
  <c r="AN176" i="19" s="1"/>
  <c r="H176" i="19"/>
  <c r="AI175" i="19"/>
  <c r="AJ175" i="19" s="1"/>
  <c r="AK175" i="19" s="1"/>
  <c r="AL175" i="19"/>
  <c r="AM175" i="19" s="1"/>
  <c r="AN175" i="19" s="1"/>
  <c r="AU175" i="19"/>
  <c r="AP175" i="19"/>
  <c r="AO175" i="19"/>
  <c r="AQ157" i="16"/>
  <c r="AS157" i="16"/>
  <c r="AW195" i="17"/>
  <c r="AX195" i="17" s="1"/>
  <c r="AY195" i="17" s="1"/>
  <c r="J197" i="17"/>
  <c r="G196" i="17"/>
  <c r="K196" i="17" s="1"/>
  <c r="F197" i="17" s="1"/>
  <c r="H196" i="17"/>
  <c r="AG234" i="16"/>
  <c r="AW222" i="18"/>
  <c r="H223" i="18"/>
  <c r="BG6" i="13" l="1"/>
  <c r="BH6" i="13" s="1"/>
  <c r="BG5" i="13"/>
  <c r="AW186" i="28"/>
  <c r="AX186" i="28" s="1"/>
  <c r="AY186" i="28" s="1"/>
  <c r="O196" i="29"/>
  <c r="M196" i="29"/>
  <c r="N196" i="29"/>
  <c r="P197" i="29"/>
  <c r="I187" i="28"/>
  <c r="Q187" i="28" s="1"/>
  <c r="L188" i="28" s="1"/>
  <c r="G187" i="28"/>
  <c r="AL187" i="28" s="1"/>
  <c r="AM187" i="28" s="1"/>
  <c r="AN187" i="28" s="1"/>
  <c r="J188" i="28"/>
  <c r="H187" i="28"/>
  <c r="AO195" i="29"/>
  <c r="AI195" i="29"/>
  <c r="F189" i="26"/>
  <c r="AL188" i="26"/>
  <c r="AI188" i="26"/>
  <c r="AN176" i="24"/>
  <c r="AK176" i="24"/>
  <c r="G177" i="24"/>
  <c r="AR177" i="24" s="1"/>
  <c r="F178" i="15"/>
  <c r="AL177" i="15"/>
  <c r="AM177" i="15" s="1"/>
  <c r="AN177" i="15" s="1"/>
  <c r="AI177" i="15"/>
  <c r="AJ177" i="15" s="1"/>
  <c r="AK177" i="15" s="1"/>
  <c r="AN195" i="29"/>
  <c r="K195" i="29"/>
  <c r="J159" i="16"/>
  <c r="H158" i="16"/>
  <c r="AO158" i="16" s="1"/>
  <c r="AI176" i="19"/>
  <c r="AJ176" i="19" s="1"/>
  <c r="AK176" i="19" s="1"/>
  <c r="AW175" i="19"/>
  <c r="AX175" i="19" s="1"/>
  <c r="AY175" i="19" s="1"/>
  <c r="K176" i="19"/>
  <c r="AP176" i="19"/>
  <c r="AO176" i="19"/>
  <c r="AW157" i="16"/>
  <c r="AX157" i="16" s="1"/>
  <c r="AY157" i="16" s="1"/>
  <c r="AL158" i="16"/>
  <c r="AM158" i="16" s="1"/>
  <c r="AN158" i="16" s="1"/>
  <c r="K158" i="16"/>
  <c r="AL196" i="17"/>
  <c r="AM196" i="17" s="1"/>
  <c r="AN196" i="17" s="1"/>
  <c r="AQ196" i="17"/>
  <c r="AU196" i="17"/>
  <c r="AS196" i="17"/>
  <c r="AO196" i="17"/>
  <c r="AP196" i="17"/>
  <c r="J198" i="17"/>
  <c r="G197" i="17"/>
  <c r="AI197" i="17" s="1"/>
  <c r="AJ197" i="17" s="1"/>
  <c r="AK197" i="17" s="1"/>
  <c r="H197" i="17"/>
  <c r="AI196" i="17"/>
  <c r="AJ196" i="17" s="1"/>
  <c r="AK196" i="17" s="1"/>
  <c r="F224" i="18"/>
  <c r="AL223" i="18"/>
  <c r="AM223" i="18" s="1"/>
  <c r="AI223" i="18"/>
  <c r="AJ223" i="18" s="1"/>
  <c r="BH5" i="13" l="1"/>
  <c r="BH31" i="13" s="1"/>
  <c r="BG31" i="13"/>
  <c r="O188" i="28"/>
  <c r="M188" i="28"/>
  <c r="N188" i="28"/>
  <c r="P189" i="28"/>
  <c r="AP187" i="28"/>
  <c r="AO187" i="28"/>
  <c r="K187" i="28"/>
  <c r="AI187" i="28"/>
  <c r="AJ187" i="28" s="1"/>
  <c r="AK187" i="28" s="1"/>
  <c r="F196" i="29"/>
  <c r="I196" i="29" s="1"/>
  <c r="AR196" i="29" s="1"/>
  <c r="AS195" i="29"/>
  <c r="AU195" i="29"/>
  <c r="AQ195" i="29"/>
  <c r="AJ195" i="29"/>
  <c r="AK195" i="29" s="1"/>
  <c r="G189" i="26"/>
  <c r="AR189" i="26" s="1"/>
  <c r="AM188" i="26"/>
  <c r="AN188" i="26" s="1"/>
  <c r="AJ188" i="26"/>
  <c r="AK188" i="26" s="1"/>
  <c r="AW176" i="24"/>
  <c r="AX176" i="24" s="1"/>
  <c r="AY176" i="24" s="1"/>
  <c r="AW177" i="15"/>
  <c r="AX177" i="15" s="1"/>
  <c r="AY177" i="15" s="1"/>
  <c r="H177" i="24"/>
  <c r="G178" i="15"/>
  <c r="AR178" i="15" s="1"/>
  <c r="AP158" i="16"/>
  <c r="F177" i="19"/>
  <c r="AQ176" i="19"/>
  <c r="AS176" i="19"/>
  <c r="AU176" i="19"/>
  <c r="AS158" i="16"/>
  <c r="AQ158" i="16"/>
  <c r="AI158" i="16"/>
  <c r="AJ158" i="16" s="1"/>
  <c r="AK158" i="16" s="1"/>
  <c r="F159" i="16"/>
  <c r="AU158" i="16"/>
  <c r="AW196" i="17"/>
  <c r="AX196" i="17" s="1"/>
  <c r="AY196" i="17" s="1"/>
  <c r="K197" i="17"/>
  <c r="F198" i="17" s="1"/>
  <c r="H198" i="17" s="1"/>
  <c r="AP197" i="17"/>
  <c r="AO197" i="17"/>
  <c r="AL197" i="17"/>
  <c r="AM197" i="17" s="1"/>
  <c r="AN197" i="17" s="1"/>
  <c r="G224" i="18"/>
  <c r="AR224" i="18" s="1"/>
  <c r="AN223" i="18"/>
  <c r="AK223" i="18"/>
  <c r="F188" i="28" l="1"/>
  <c r="AQ187" i="28"/>
  <c r="AS187" i="28"/>
  <c r="AU187" i="28"/>
  <c r="Q196" i="29"/>
  <c r="L197" i="29" s="1"/>
  <c r="H196" i="29"/>
  <c r="AP196" i="29" s="1"/>
  <c r="J197" i="29"/>
  <c r="G196" i="29"/>
  <c r="AL196" i="29" s="1"/>
  <c r="AW188" i="26"/>
  <c r="AX188" i="26" s="1"/>
  <c r="AY188" i="26" s="1"/>
  <c r="H189" i="26"/>
  <c r="F178" i="24"/>
  <c r="AL177" i="24"/>
  <c r="AM177" i="24" s="1"/>
  <c r="AI177" i="24"/>
  <c r="AJ177" i="24" s="1"/>
  <c r="AW195" i="29"/>
  <c r="AX195" i="29" s="1"/>
  <c r="AY195" i="29" s="1"/>
  <c r="H178" i="15"/>
  <c r="AW176" i="19"/>
  <c r="AX176" i="19" s="1"/>
  <c r="AY176" i="19" s="1"/>
  <c r="G177" i="19"/>
  <c r="AL177" i="19" s="1"/>
  <c r="AM177" i="19" s="1"/>
  <c r="AN177" i="19" s="1"/>
  <c r="J178" i="19"/>
  <c r="H177" i="19"/>
  <c r="AW158" i="16"/>
  <c r="AX158" i="16" s="1"/>
  <c r="AY158" i="16" s="1"/>
  <c r="AS197" i="17"/>
  <c r="H159" i="16"/>
  <c r="G159" i="16"/>
  <c r="J160" i="16"/>
  <c r="AU197" i="17"/>
  <c r="AQ197" i="17"/>
  <c r="G198" i="17"/>
  <c r="AL198" i="17" s="1"/>
  <c r="AM198" i="17" s="1"/>
  <c r="AN198" i="17" s="1"/>
  <c r="J199" i="17"/>
  <c r="AP198" i="17"/>
  <c r="AO198" i="17"/>
  <c r="AW223" i="18"/>
  <c r="H224" i="18"/>
  <c r="AW187" i="28" l="1"/>
  <c r="AX187" i="28" s="1"/>
  <c r="AY187" i="28" s="1"/>
  <c r="H188" i="28"/>
  <c r="I188" i="28"/>
  <c r="Q188" i="28" s="1"/>
  <c r="L189" i="28" s="1"/>
  <c r="J189" i="28"/>
  <c r="G188" i="28"/>
  <c r="AL188" i="28" s="1"/>
  <c r="AM188" i="28" s="1"/>
  <c r="AN188" i="28" s="1"/>
  <c r="M197" i="29"/>
  <c r="O197" i="29"/>
  <c r="P198" i="29"/>
  <c r="N197" i="29"/>
  <c r="AI196" i="29"/>
  <c r="AJ196" i="29" s="1"/>
  <c r="AM196" i="29"/>
  <c r="AN196" i="29" s="1"/>
  <c r="AO196" i="29"/>
  <c r="F190" i="26"/>
  <c r="AI189" i="26"/>
  <c r="AL189" i="26"/>
  <c r="AN177" i="24"/>
  <c r="AK177" i="24"/>
  <c r="G178" i="24"/>
  <c r="AR178" i="24" s="1"/>
  <c r="F179" i="15"/>
  <c r="AL178" i="15"/>
  <c r="AM178" i="15" s="1"/>
  <c r="AN178" i="15" s="1"/>
  <c r="AI178" i="15"/>
  <c r="AJ178" i="15" s="1"/>
  <c r="AK178" i="15" s="1"/>
  <c r="K196" i="29"/>
  <c r="K177" i="19"/>
  <c r="AS177" i="19" s="1"/>
  <c r="AI177" i="19"/>
  <c r="AJ177" i="19" s="1"/>
  <c r="AK177" i="19" s="1"/>
  <c r="AP177" i="19"/>
  <c r="AO177" i="19"/>
  <c r="AW197" i="17"/>
  <c r="AX197" i="17" s="1"/>
  <c r="AY197" i="17" s="1"/>
  <c r="AL159" i="16"/>
  <c r="AM159" i="16" s="1"/>
  <c r="AN159" i="16" s="1"/>
  <c r="K159" i="16"/>
  <c r="AO159" i="16"/>
  <c r="AP159" i="16"/>
  <c r="AI198" i="17"/>
  <c r="AJ198" i="17" s="1"/>
  <c r="AK198" i="17" s="1"/>
  <c r="K198" i="17"/>
  <c r="AU198" i="17" s="1"/>
  <c r="F225" i="18"/>
  <c r="AI224" i="18"/>
  <c r="AJ224" i="18" s="1"/>
  <c r="AL224" i="18"/>
  <c r="AM224" i="18" s="1"/>
  <c r="AP188" i="28" l="1"/>
  <c r="AO188" i="28"/>
  <c r="O189" i="28"/>
  <c r="M189" i="28"/>
  <c r="P190" i="28"/>
  <c r="N189" i="28"/>
  <c r="AI188" i="28"/>
  <c r="AJ188" i="28" s="1"/>
  <c r="AK188" i="28" s="1"/>
  <c r="K188" i="28"/>
  <c r="AK196" i="29"/>
  <c r="F197" i="29"/>
  <c r="I197" i="29" s="1"/>
  <c r="AR197" i="29" s="1"/>
  <c r="AQ196" i="29"/>
  <c r="AU196" i="29"/>
  <c r="AS196" i="29"/>
  <c r="AJ189" i="26"/>
  <c r="AK189" i="26" s="1"/>
  <c r="AM189" i="26"/>
  <c r="AN189" i="26" s="1"/>
  <c r="G190" i="26"/>
  <c r="AR190" i="26" s="1"/>
  <c r="AW177" i="24"/>
  <c r="AX177" i="24" s="1"/>
  <c r="AY177" i="24" s="1"/>
  <c r="H178" i="24"/>
  <c r="G179" i="15"/>
  <c r="AR179" i="15" s="1"/>
  <c r="AW178" i="15"/>
  <c r="AX178" i="15" s="1"/>
  <c r="AY178" i="15" s="1"/>
  <c r="F178" i="19"/>
  <c r="G178" i="19" s="1"/>
  <c r="AL178" i="19" s="1"/>
  <c r="AM178" i="19" s="1"/>
  <c r="AN178" i="19" s="1"/>
  <c r="AQ177" i="19"/>
  <c r="AU177" i="19"/>
  <c r="AQ198" i="17"/>
  <c r="AS198" i="17"/>
  <c r="F199" i="17"/>
  <c r="H199" i="17" s="1"/>
  <c r="AI159" i="16"/>
  <c r="AJ159" i="16" s="1"/>
  <c r="AK159" i="16" s="1"/>
  <c r="AS159" i="16"/>
  <c r="AU159" i="16"/>
  <c r="F160" i="16"/>
  <c r="AQ159" i="16"/>
  <c r="G225" i="18"/>
  <c r="AR225" i="18" s="1"/>
  <c r="AN224" i="18"/>
  <c r="AK224" i="18"/>
  <c r="Q197" i="29" l="1"/>
  <c r="L198" i="29" s="1"/>
  <c r="M198" i="29" s="1"/>
  <c r="O198" i="29"/>
  <c r="AS188" i="28"/>
  <c r="F189" i="28"/>
  <c r="AU188" i="28"/>
  <c r="AQ188" i="28"/>
  <c r="AW189" i="26"/>
  <c r="AX189" i="26" s="1"/>
  <c r="AY189" i="26" s="1"/>
  <c r="AW196" i="29"/>
  <c r="AX196" i="29" s="1"/>
  <c r="AY196" i="29" s="1"/>
  <c r="J198" i="29"/>
  <c r="H197" i="29"/>
  <c r="AP197" i="29" s="1"/>
  <c r="G197" i="29"/>
  <c r="AI197" i="29" s="1"/>
  <c r="H190" i="26"/>
  <c r="F179" i="24"/>
  <c r="AI178" i="24"/>
  <c r="AJ178" i="24" s="1"/>
  <c r="AL178" i="24"/>
  <c r="AM178" i="24" s="1"/>
  <c r="H179" i="15"/>
  <c r="H178" i="19"/>
  <c r="AP178" i="19" s="1"/>
  <c r="J179" i="19"/>
  <c r="AW177" i="19"/>
  <c r="AX177" i="19" s="1"/>
  <c r="AY177" i="19" s="1"/>
  <c r="AI178" i="19"/>
  <c r="AJ178" i="19" s="1"/>
  <c r="AK178" i="19" s="1"/>
  <c r="K178" i="19"/>
  <c r="AW198" i="17"/>
  <c r="AX198" i="17" s="1"/>
  <c r="AY198" i="17" s="1"/>
  <c r="AW159" i="16"/>
  <c r="AX159" i="16" s="1"/>
  <c r="AY159" i="16" s="1"/>
  <c r="J200" i="17"/>
  <c r="G199" i="17"/>
  <c r="K199" i="17" s="1"/>
  <c r="F200" i="17" s="1"/>
  <c r="J201" i="17" s="1"/>
  <c r="J161" i="16"/>
  <c r="G160" i="16"/>
  <c r="H160" i="16"/>
  <c r="AP199" i="17"/>
  <c r="AO199" i="17"/>
  <c r="AW224" i="18"/>
  <c r="H225" i="18"/>
  <c r="P199" i="29" l="1"/>
  <c r="N198" i="29"/>
  <c r="AW188" i="28"/>
  <c r="AX188" i="28" s="1"/>
  <c r="AY188" i="28" s="1"/>
  <c r="G189" i="28"/>
  <c r="AI189" i="28" s="1"/>
  <c r="AJ189" i="28" s="1"/>
  <c r="AK189" i="28" s="1"/>
  <c r="I189" i="28"/>
  <c r="Q189" i="28" s="1"/>
  <c r="L190" i="28" s="1"/>
  <c r="J190" i="28"/>
  <c r="H189" i="28"/>
  <c r="AJ197" i="29"/>
  <c r="AK197" i="29" s="1"/>
  <c r="AL197" i="29"/>
  <c r="AM197" i="29" s="1"/>
  <c r="AO197" i="29"/>
  <c r="F191" i="26"/>
  <c r="AI190" i="26"/>
  <c r="AL190" i="26"/>
  <c r="AN178" i="24"/>
  <c r="AK178" i="24"/>
  <c r="G179" i="24"/>
  <c r="AR179" i="24" s="1"/>
  <c r="F180" i="15"/>
  <c r="AL179" i="15"/>
  <c r="AM179" i="15" s="1"/>
  <c r="AN179" i="15" s="1"/>
  <c r="AI179" i="15"/>
  <c r="AJ179" i="15" s="1"/>
  <c r="AK179" i="15" s="1"/>
  <c r="K197" i="29"/>
  <c r="AO178" i="19"/>
  <c r="AQ178" i="19"/>
  <c r="F179" i="19"/>
  <c r="AS178" i="19"/>
  <c r="AU178" i="19"/>
  <c r="H200" i="17"/>
  <c r="AP200" i="17" s="1"/>
  <c r="AU199" i="17"/>
  <c r="AI199" i="17"/>
  <c r="AJ199" i="17" s="1"/>
  <c r="AK199" i="17" s="1"/>
  <c r="AS199" i="17"/>
  <c r="G200" i="17"/>
  <c r="AL200" i="17" s="1"/>
  <c r="AM200" i="17" s="1"/>
  <c r="AN200" i="17" s="1"/>
  <c r="AL199" i="17"/>
  <c r="AM199" i="17" s="1"/>
  <c r="AN199" i="17" s="1"/>
  <c r="AQ199" i="17"/>
  <c r="AO160" i="16"/>
  <c r="AP160" i="16"/>
  <c r="K160" i="16"/>
  <c r="AL160" i="16"/>
  <c r="AM160" i="16" s="1"/>
  <c r="AN160" i="16" s="1"/>
  <c r="F226" i="18"/>
  <c r="AL225" i="18"/>
  <c r="AM225" i="18" s="1"/>
  <c r="AI225" i="18"/>
  <c r="AJ225" i="18" s="1"/>
  <c r="AP189" i="28" l="1"/>
  <c r="AO189" i="28"/>
  <c r="O190" i="28"/>
  <c r="M190" i="28"/>
  <c r="N190" i="28"/>
  <c r="P191" i="28"/>
  <c r="K189" i="28"/>
  <c r="AL189" i="28"/>
  <c r="AM189" i="28" s="1"/>
  <c r="AN189" i="28" s="1"/>
  <c r="F198" i="29"/>
  <c r="I198" i="29" s="1"/>
  <c r="AU197" i="29"/>
  <c r="AQ197" i="29"/>
  <c r="AS197" i="29"/>
  <c r="AN197" i="29"/>
  <c r="G191" i="26"/>
  <c r="AR191" i="26" s="1"/>
  <c r="AJ190" i="26"/>
  <c r="AK190" i="26" s="1"/>
  <c r="AM190" i="26"/>
  <c r="AN190" i="26" s="1"/>
  <c r="AW178" i="24"/>
  <c r="AX178" i="24" s="1"/>
  <c r="AY178" i="24" s="1"/>
  <c r="H179" i="24"/>
  <c r="G180" i="15"/>
  <c r="AR180" i="15" s="1"/>
  <c r="AW179" i="15"/>
  <c r="AX179" i="15" s="1"/>
  <c r="AY179" i="15" s="1"/>
  <c r="AW178" i="19"/>
  <c r="AX178" i="19" s="1"/>
  <c r="AY178" i="19" s="1"/>
  <c r="G179" i="19"/>
  <c r="K179" i="19" s="1"/>
  <c r="F180" i="19" s="1"/>
  <c r="J180" i="19"/>
  <c r="H179" i="19"/>
  <c r="AI200" i="17"/>
  <c r="AJ200" i="17" s="1"/>
  <c r="AK200" i="17" s="1"/>
  <c r="K200" i="17"/>
  <c r="F201" i="17" s="1"/>
  <c r="G201" i="17" s="1"/>
  <c r="AW199" i="17"/>
  <c r="AX199" i="17" s="1"/>
  <c r="AY199" i="17" s="1"/>
  <c r="AO200" i="17"/>
  <c r="AQ160" i="16"/>
  <c r="AI160" i="16"/>
  <c r="AJ160" i="16" s="1"/>
  <c r="AK160" i="16" s="1"/>
  <c r="AS160" i="16"/>
  <c r="AU160" i="16"/>
  <c r="F161" i="16"/>
  <c r="G226" i="18"/>
  <c r="AR226" i="18" s="1"/>
  <c r="AK225" i="18"/>
  <c r="AN225" i="18"/>
  <c r="AR198" i="29" l="1"/>
  <c r="Q198" i="29"/>
  <c r="L199" i="29" s="1"/>
  <c r="F190" i="28"/>
  <c r="AQ189" i="28"/>
  <c r="AS189" i="28"/>
  <c r="AU189" i="28"/>
  <c r="J199" i="29"/>
  <c r="H198" i="29"/>
  <c r="AP198" i="29" s="1"/>
  <c r="AW190" i="26"/>
  <c r="AX190" i="26" s="1"/>
  <c r="AY190" i="26" s="1"/>
  <c r="G198" i="29"/>
  <c r="AI198" i="29" s="1"/>
  <c r="H191" i="26"/>
  <c r="F180" i="24"/>
  <c r="AI179" i="24"/>
  <c r="AJ179" i="24" s="1"/>
  <c r="AL179" i="24"/>
  <c r="AM179" i="24" s="1"/>
  <c r="H180" i="15"/>
  <c r="AW197" i="29"/>
  <c r="AX197" i="29" s="1"/>
  <c r="AY197" i="29" s="1"/>
  <c r="AS179" i="19"/>
  <c r="AI179" i="19"/>
  <c r="AJ179" i="19" s="1"/>
  <c r="AK179" i="19" s="1"/>
  <c r="AL179" i="19"/>
  <c r="AM179" i="19" s="1"/>
  <c r="AN179" i="19" s="1"/>
  <c r="AQ179" i="19"/>
  <c r="AU179" i="19"/>
  <c r="AO179" i="19"/>
  <c r="AP179" i="19"/>
  <c r="H180" i="19"/>
  <c r="G180" i="19"/>
  <c r="K180" i="19" s="1"/>
  <c r="F181" i="19" s="1"/>
  <c r="J181" i="19"/>
  <c r="AQ200" i="17"/>
  <c r="H201" i="17"/>
  <c r="AO201" i="17" s="1"/>
  <c r="J202" i="17"/>
  <c r="AU200" i="17"/>
  <c r="AS200" i="17"/>
  <c r="AW160" i="16"/>
  <c r="AX160" i="16" s="1"/>
  <c r="AY160" i="16" s="1"/>
  <c r="J162" i="16"/>
  <c r="G161" i="16"/>
  <c r="AL161" i="16" s="1"/>
  <c r="AM161" i="16" s="1"/>
  <c r="AN161" i="16" s="1"/>
  <c r="H161" i="16"/>
  <c r="AI201" i="17"/>
  <c r="AJ201" i="17" s="1"/>
  <c r="AK201" i="17" s="1"/>
  <c r="K201" i="17"/>
  <c r="AL201" i="17"/>
  <c r="AM201" i="17" s="1"/>
  <c r="AN201" i="17" s="1"/>
  <c r="AW225" i="18"/>
  <c r="H226" i="18"/>
  <c r="AW189" i="28" l="1"/>
  <c r="AX189" i="28" s="1"/>
  <c r="AY189" i="28" s="1"/>
  <c r="M199" i="29"/>
  <c r="O199" i="29"/>
  <c r="P200" i="29"/>
  <c r="N199" i="29"/>
  <c r="I190" i="28"/>
  <c r="Q190" i="28" s="1"/>
  <c r="L191" i="28" s="1"/>
  <c r="H190" i="28"/>
  <c r="J191" i="28"/>
  <c r="G190" i="28"/>
  <c r="AL190" i="28" s="1"/>
  <c r="AM190" i="28" s="1"/>
  <c r="AN190" i="28" s="1"/>
  <c r="AJ198" i="29"/>
  <c r="AK198" i="29" s="1"/>
  <c r="AL198" i="29"/>
  <c r="AM198" i="29" s="1"/>
  <c r="AO198" i="29"/>
  <c r="F192" i="26"/>
  <c r="AL191" i="26"/>
  <c r="AI191" i="26"/>
  <c r="AK179" i="24"/>
  <c r="AN179" i="24"/>
  <c r="G180" i="24"/>
  <c r="AR180" i="24" s="1"/>
  <c r="F181" i="15"/>
  <c r="AL180" i="15"/>
  <c r="AM180" i="15" s="1"/>
  <c r="AN180" i="15" s="1"/>
  <c r="AI180" i="15"/>
  <c r="AJ180" i="15" s="1"/>
  <c r="AK180" i="15" s="1"/>
  <c r="K198" i="29"/>
  <c r="AW179" i="19"/>
  <c r="AX179" i="19" s="1"/>
  <c r="AY179" i="19" s="1"/>
  <c r="AP201" i="17"/>
  <c r="AI180" i="19"/>
  <c r="AJ180" i="19" s="1"/>
  <c r="AK180" i="19" s="1"/>
  <c r="H181" i="19"/>
  <c r="J182" i="19"/>
  <c r="G181" i="19"/>
  <c r="K181" i="19" s="1"/>
  <c r="F182" i="19" s="1"/>
  <c r="AS180" i="19"/>
  <c r="AP180" i="19"/>
  <c r="AO180" i="19"/>
  <c r="AQ180" i="19"/>
  <c r="AU180" i="19"/>
  <c r="AL180" i="19"/>
  <c r="AM180" i="19" s="1"/>
  <c r="AN180" i="19" s="1"/>
  <c r="AW200" i="17"/>
  <c r="AX200" i="17" s="1"/>
  <c r="AY200" i="17" s="1"/>
  <c r="K161" i="16"/>
  <c r="F162" i="16" s="1"/>
  <c r="AO161" i="16"/>
  <c r="AP161" i="16"/>
  <c r="AU201" i="17"/>
  <c r="AQ201" i="17"/>
  <c r="AS201" i="17"/>
  <c r="F202" i="17"/>
  <c r="F227" i="18"/>
  <c r="AL226" i="18"/>
  <c r="AM226" i="18" s="1"/>
  <c r="AI226" i="18"/>
  <c r="AJ226" i="18" s="1"/>
  <c r="O191" i="28" l="1"/>
  <c r="M191" i="28"/>
  <c r="P192" i="28"/>
  <c r="N191" i="28"/>
  <c r="AP190" i="28"/>
  <c r="AO190" i="28"/>
  <c r="K190" i="28"/>
  <c r="AI190" i="28"/>
  <c r="AJ190" i="28" s="1"/>
  <c r="AK190" i="28" s="1"/>
  <c r="AN198" i="29"/>
  <c r="F199" i="29"/>
  <c r="I199" i="29" s="1"/>
  <c r="AR199" i="29" s="1"/>
  <c r="AQ198" i="29"/>
  <c r="AS198" i="29"/>
  <c r="AU198" i="29"/>
  <c r="G192" i="26"/>
  <c r="AR192" i="26" s="1"/>
  <c r="AM191" i="26"/>
  <c r="AN191" i="26" s="1"/>
  <c r="AJ191" i="26"/>
  <c r="AK191" i="26" s="1"/>
  <c r="AW179" i="24"/>
  <c r="AX179" i="24" s="1"/>
  <c r="AY179" i="24" s="1"/>
  <c r="AW180" i="15"/>
  <c r="AX180" i="15" s="1"/>
  <c r="AY180" i="15" s="1"/>
  <c r="H180" i="24"/>
  <c r="G181" i="15"/>
  <c r="AR181" i="15" s="1"/>
  <c r="AU181" i="19"/>
  <c r="AS181" i="19"/>
  <c r="AL181" i="19"/>
  <c r="AM181" i="19" s="1"/>
  <c r="AN181" i="19" s="1"/>
  <c r="AQ181" i="19"/>
  <c r="AO181" i="19"/>
  <c r="AP181" i="19"/>
  <c r="AI181" i="19"/>
  <c r="AJ181" i="19" s="1"/>
  <c r="AK181" i="19" s="1"/>
  <c r="AW180" i="19"/>
  <c r="AX180" i="19" s="1"/>
  <c r="AY180" i="19" s="1"/>
  <c r="H182" i="19"/>
  <c r="J183" i="19"/>
  <c r="G182" i="19"/>
  <c r="K182" i="19" s="1"/>
  <c r="F183" i="19" s="1"/>
  <c r="AW201" i="17"/>
  <c r="AX201" i="17" s="1"/>
  <c r="AY201" i="17" s="1"/>
  <c r="AS161" i="16"/>
  <c r="AI161" i="16"/>
  <c r="AJ161" i="16" s="1"/>
  <c r="AK161" i="16" s="1"/>
  <c r="AU161" i="16"/>
  <c r="AQ161" i="16"/>
  <c r="G162" i="16"/>
  <c r="K162" i="16" s="1"/>
  <c r="F163" i="16" s="1"/>
  <c r="H162" i="16"/>
  <c r="J163" i="16"/>
  <c r="G202" i="17"/>
  <c r="AI202" i="17" s="1"/>
  <c r="AJ202" i="17" s="1"/>
  <c r="AK202" i="17" s="1"/>
  <c r="H202" i="17"/>
  <c r="J203" i="17"/>
  <c r="G227" i="18"/>
  <c r="AR227" i="18" s="1"/>
  <c r="AK226" i="18"/>
  <c r="AN226" i="18"/>
  <c r="Q199" i="29" l="1"/>
  <c r="L200" i="29" s="1"/>
  <c r="M200" i="29" s="1"/>
  <c r="F191" i="28"/>
  <c r="AQ190" i="28"/>
  <c r="AS190" i="28"/>
  <c r="AU190" i="28"/>
  <c r="O200" i="29"/>
  <c r="H199" i="29"/>
  <c r="AP199" i="29" s="1"/>
  <c r="J200" i="29"/>
  <c r="G199" i="29"/>
  <c r="AI199" i="29" s="1"/>
  <c r="AW191" i="26"/>
  <c r="AX191" i="26" s="1"/>
  <c r="AY191" i="26" s="1"/>
  <c r="H192" i="26"/>
  <c r="F181" i="24"/>
  <c r="AL180" i="24"/>
  <c r="AM180" i="24" s="1"/>
  <c r="AI180" i="24"/>
  <c r="AJ180" i="24" s="1"/>
  <c r="H181" i="15"/>
  <c r="AW198" i="29"/>
  <c r="AX198" i="29" s="1"/>
  <c r="AY198" i="29" s="1"/>
  <c r="AW181" i="19"/>
  <c r="AX181" i="19" s="1"/>
  <c r="AY181" i="19" s="1"/>
  <c r="H183" i="19"/>
  <c r="G183" i="19"/>
  <c r="K183" i="19" s="1"/>
  <c r="F184" i="19" s="1"/>
  <c r="J184" i="19"/>
  <c r="AI182" i="19"/>
  <c r="AJ182" i="19" s="1"/>
  <c r="AK182" i="19" s="1"/>
  <c r="AU182" i="19"/>
  <c r="AL182" i="19"/>
  <c r="AM182" i="19" s="1"/>
  <c r="AN182" i="19" s="1"/>
  <c r="AQ182" i="19"/>
  <c r="AS182" i="19"/>
  <c r="AO182" i="19"/>
  <c r="AP182" i="19"/>
  <c r="AW161" i="16"/>
  <c r="AX161" i="16" s="1"/>
  <c r="AY161" i="16" s="1"/>
  <c r="AU162" i="16"/>
  <c r="AQ162" i="16"/>
  <c r="AI162" i="16"/>
  <c r="AJ162" i="16" s="1"/>
  <c r="AK162" i="16" s="1"/>
  <c r="AS162" i="16"/>
  <c r="AL162" i="16"/>
  <c r="AM162" i="16" s="1"/>
  <c r="AN162" i="16" s="1"/>
  <c r="AO162" i="16"/>
  <c r="AP162" i="16"/>
  <c r="J164" i="16"/>
  <c r="G163" i="16"/>
  <c r="K163" i="16" s="1"/>
  <c r="F164" i="16" s="1"/>
  <c r="H163" i="16"/>
  <c r="AO202" i="17"/>
  <c r="AP202" i="17"/>
  <c r="K202" i="17"/>
  <c r="AL202" i="17"/>
  <c r="AM202" i="17" s="1"/>
  <c r="AN202" i="17" s="1"/>
  <c r="AW226" i="18"/>
  <c r="H227" i="18"/>
  <c r="N200" i="29" l="1"/>
  <c r="P201" i="29"/>
  <c r="AW190" i="28"/>
  <c r="AX190" i="28" s="1"/>
  <c r="AY190" i="28" s="1"/>
  <c r="I191" i="28"/>
  <c r="Q191" i="28" s="1"/>
  <c r="L192" i="28" s="1"/>
  <c r="G191" i="28"/>
  <c r="AI191" i="28" s="1"/>
  <c r="AJ191" i="28" s="1"/>
  <c r="AK191" i="28" s="1"/>
  <c r="J192" i="28"/>
  <c r="H191" i="28"/>
  <c r="AJ199" i="29"/>
  <c r="AK199" i="29" s="1"/>
  <c r="AO199" i="29"/>
  <c r="AL199" i="29"/>
  <c r="AM199" i="29" s="1"/>
  <c r="F193" i="26"/>
  <c r="AI192" i="26"/>
  <c r="AL192" i="26"/>
  <c r="AN180" i="24"/>
  <c r="AK180" i="24"/>
  <c r="G181" i="24"/>
  <c r="AR181" i="24" s="1"/>
  <c r="F182" i="15"/>
  <c r="AI181" i="15"/>
  <c r="AJ181" i="15" s="1"/>
  <c r="AK181" i="15" s="1"/>
  <c r="AL181" i="15"/>
  <c r="AM181" i="15" s="1"/>
  <c r="AN181" i="15" s="1"/>
  <c r="K199" i="29"/>
  <c r="AI183" i="19"/>
  <c r="AJ183" i="19" s="1"/>
  <c r="AK183" i="19" s="1"/>
  <c r="AQ183" i="19"/>
  <c r="AU183" i="19"/>
  <c r="AS183" i="19"/>
  <c r="G184" i="19"/>
  <c r="K184" i="19" s="1"/>
  <c r="F185" i="19" s="1"/>
  <c r="J185" i="19"/>
  <c r="H184" i="19"/>
  <c r="AW182" i="19"/>
  <c r="AX182" i="19" s="1"/>
  <c r="AY182" i="19" s="1"/>
  <c r="AL183" i="19"/>
  <c r="AM183" i="19" s="1"/>
  <c r="AN183" i="19" s="1"/>
  <c r="AP183" i="19"/>
  <c r="AO183" i="19"/>
  <c r="AS163" i="16"/>
  <c r="AL163" i="16"/>
  <c r="AM163" i="16" s="1"/>
  <c r="AN163" i="16" s="1"/>
  <c r="AU163" i="16"/>
  <c r="AW162" i="16"/>
  <c r="AX162" i="16" s="1"/>
  <c r="AY162" i="16" s="1"/>
  <c r="AI163" i="16"/>
  <c r="AJ163" i="16" s="1"/>
  <c r="AK163" i="16" s="1"/>
  <c r="AQ163" i="16"/>
  <c r="AP163" i="16"/>
  <c r="AO163" i="16"/>
  <c r="G164" i="16"/>
  <c r="K164" i="16" s="1"/>
  <c r="AU164" i="16" s="1"/>
  <c r="H164" i="16"/>
  <c r="J165" i="16"/>
  <c r="F203" i="17"/>
  <c r="AU202" i="17"/>
  <c r="AQ202" i="17"/>
  <c r="AS202" i="17"/>
  <c r="F228" i="18"/>
  <c r="AI227" i="18"/>
  <c r="AJ227" i="18" s="1"/>
  <c r="AL227" i="18"/>
  <c r="AM227" i="18" s="1"/>
  <c r="AP191" i="28" l="1"/>
  <c r="AO191" i="28"/>
  <c r="K191" i="28"/>
  <c r="AL191" i="28"/>
  <c r="AM191" i="28" s="1"/>
  <c r="AN191" i="28" s="1"/>
  <c r="O192" i="28"/>
  <c r="N192" i="28"/>
  <c r="P193" i="28"/>
  <c r="M192" i="28"/>
  <c r="F200" i="29"/>
  <c r="I200" i="29" s="1"/>
  <c r="AS199" i="29"/>
  <c r="AQ199" i="29"/>
  <c r="AU199" i="29"/>
  <c r="AN199" i="29"/>
  <c r="G193" i="26"/>
  <c r="AR193" i="26" s="1"/>
  <c r="AJ192" i="26"/>
  <c r="AK192" i="26" s="1"/>
  <c r="AM192" i="26"/>
  <c r="AN192" i="26" s="1"/>
  <c r="AW181" i="15"/>
  <c r="AX181" i="15" s="1"/>
  <c r="AY181" i="15" s="1"/>
  <c r="AW180" i="24"/>
  <c r="AX180" i="24" s="1"/>
  <c r="AY180" i="24" s="1"/>
  <c r="H181" i="24"/>
  <c r="G182" i="15"/>
  <c r="AR182" i="15" s="1"/>
  <c r="AL184" i="19"/>
  <c r="AM184" i="19" s="1"/>
  <c r="AN184" i="19" s="1"/>
  <c r="AI184" i="19"/>
  <c r="AJ184" i="19" s="1"/>
  <c r="AK184" i="19" s="1"/>
  <c r="AQ184" i="19"/>
  <c r="AU184" i="19"/>
  <c r="AS184" i="19"/>
  <c r="AW183" i="19"/>
  <c r="AX183" i="19" s="1"/>
  <c r="AY183" i="19" s="1"/>
  <c r="H185" i="19"/>
  <c r="J186" i="19"/>
  <c r="G185" i="19"/>
  <c r="AL185" i="19" s="1"/>
  <c r="AM185" i="19" s="1"/>
  <c r="AN185" i="19" s="1"/>
  <c r="AO184" i="19"/>
  <c r="AP184" i="19"/>
  <c r="AW202" i="17"/>
  <c r="AX202" i="17" s="1"/>
  <c r="AY202" i="17" s="1"/>
  <c r="AI164" i="16"/>
  <c r="AJ164" i="16" s="1"/>
  <c r="AK164" i="16" s="1"/>
  <c r="AS164" i="16"/>
  <c r="AL164" i="16"/>
  <c r="AM164" i="16" s="1"/>
  <c r="AN164" i="16" s="1"/>
  <c r="AW163" i="16"/>
  <c r="AX163" i="16" s="1"/>
  <c r="AY163" i="16" s="1"/>
  <c r="AO164" i="16"/>
  <c r="AP164" i="16"/>
  <c r="AQ164" i="16"/>
  <c r="F165" i="16"/>
  <c r="G203" i="17"/>
  <c r="AI203" i="17" s="1"/>
  <c r="AJ203" i="17" s="1"/>
  <c r="AK203" i="17" s="1"/>
  <c r="H203" i="17"/>
  <c r="J204" i="17"/>
  <c r="G228" i="18"/>
  <c r="AR228" i="18" s="1"/>
  <c r="AN227" i="18"/>
  <c r="AK227" i="18"/>
  <c r="F192" i="28" l="1"/>
  <c r="AQ191" i="28"/>
  <c r="AS191" i="28"/>
  <c r="AU191" i="28"/>
  <c r="AR200" i="29"/>
  <c r="Q200" i="29"/>
  <c r="L201" i="29" s="1"/>
  <c r="AW192" i="26"/>
  <c r="AX192" i="26" s="1"/>
  <c r="AY192" i="26" s="1"/>
  <c r="J201" i="29"/>
  <c r="H200" i="29"/>
  <c r="AP200" i="29" s="1"/>
  <c r="G200" i="29"/>
  <c r="AL200" i="29" s="1"/>
  <c r="AM200" i="29" s="1"/>
  <c r="H193" i="26"/>
  <c r="F182" i="24"/>
  <c r="AL181" i="24"/>
  <c r="AM181" i="24" s="1"/>
  <c r="AI181" i="24"/>
  <c r="AJ181" i="24" s="1"/>
  <c r="H182" i="15"/>
  <c r="AW199" i="29"/>
  <c r="AX199" i="29" s="1"/>
  <c r="AY199" i="29" s="1"/>
  <c r="AW184" i="19"/>
  <c r="AX184" i="19" s="1"/>
  <c r="AY184" i="19" s="1"/>
  <c r="AI185" i="19"/>
  <c r="AJ185" i="19" s="1"/>
  <c r="AK185" i="19" s="1"/>
  <c r="AO185" i="19"/>
  <c r="AP185" i="19"/>
  <c r="K185" i="19"/>
  <c r="AW164" i="16"/>
  <c r="AX164" i="16" s="1"/>
  <c r="AY164" i="16" s="1"/>
  <c r="J166" i="16"/>
  <c r="G165" i="16"/>
  <c r="AL165" i="16" s="1"/>
  <c r="AM165" i="16" s="1"/>
  <c r="AN165" i="16" s="1"/>
  <c r="H165" i="16"/>
  <c r="AO203" i="17"/>
  <c r="AP203" i="17"/>
  <c r="AL203" i="17"/>
  <c r="AM203" i="17" s="1"/>
  <c r="AN203" i="17" s="1"/>
  <c r="K203" i="17"/>
  <c r="AW227" i="18"/>
  <c r="H228" i="18"/>
  <c r="AW191" i="28" l="1"/>
  <c r="AX191" i="28" s="1"/>
  <c r="AY191" i="28" s="1"/>
  <c r="I192" i="28"/>
  <c r="Q192" i="28" s="1"/>
  <c r="L193" i="28" s="1"/>
  <c r="H192" i="28"/>
  <c r="G192" i="28"/>
  <c r="AI192" i="28" s="1"/>
  <c r="AJ192" i="28" s="1"/>
  <c r="AK192" i="28" s="1"/>
  <c r="J193" i="28"/>
  <c r="O201" i="29"/>
  <c r="M201" i="29"/>
  <c r="P202" i="29"/>
  <c r="N201" i="29"/>
  <c r="AI200" i="29"/>
  <c r="AO200" i="29"/>
  <c r="F194" i="26"/>
  <c r="AI193" i="26"/>
  <c r="AL193" i="26"/>
  <c r="AN181" i="24"/>
  <c r="AK181" i="24"/>
  <c r="G182" i="24"/>
  <c r="AR182" i="24" s="1"/>
  <c r="F183" i="15"/>
  <c r="AI182" i="15"/>
  <c r="AJ182" i="15" s="1"/>
  <c r="AK182" i="15" s="1"/>
  <c r="AL182" i="15"/>
  <c r="AM182" i="15" s="1"/>
  <c r="AN182" i="15" s="1"/>
  <c r="K200" i="29"/>
  <c r="AN200" i="29"/>
  <c r="F186" i="19"/>
  <c r="AU185" i="19"/>
  <c r="AS185" i="19"/>
  <c r="AQ185" i="19"/>
  <c r="K165" i="16"/>
  <c r="AS165" i="16" s="1"/>
  <c r="AO165" i="16"/>
  <c r="AP165" i="16"/>
  <c r="F204" i="17"/>
  <c r="AS203" i="17"/>
  <c r="AU203" i="17"/>
  <c r="AQ203" i="17"/>
  <c r="F229" i="18"/>
  <c r="AL228" i="18"/>
  <c r="AM228" i="18" s="1"/>
  <c r="AI228" i="18"/>
  <c r="AJ228" i="18" s="1"/>
  <c r="K192" i="28" l="1"/>
  <c r="AP192" i="28"/>
  <c r="AO192" i="28"/>
  <c r="O193" i="28"/>
  <c r="M193" i="28"/>
  <c r="P194" i="28"/>
  <c r="N193" i="28"/>
  <c r="AL192" i="28"/>
  <c r="AM192" i="28" s="1"/>
  <c r="AN192" i="28" s="1"/>
  <c r="AW182" i="15"/>
  <c r="AX182" i="15" s="1"/>
  <c r="AY182" i="15" s="1"/>
  <c r="F201" i="29"/>
  <c r="I201" i="29" s="1"/>
  <c r="AR201" i="29" s="1"/>
  <c r="AU200" i="29"/>
  <c r="AS200" i="29"/>
  <c r="AQ200" i="29"/>
  <c r="AJ200" i="29"/>
  <c r="AK200" i="29" s="1"/>
  <c r="AM193" i="26"/>
  <c r="AN193" i="26" s="1"/>
  <c r="AJ193" i="26"/>
  <c r="AK193" i="26" s="1"/>
  <c r="G194" i="26"/>
  <c r="AR194" i="26" s="1"/>
  <c r="AW181" i="24"/>
  <c r="AX181" i="24" s="1"/>
  <c r="AY181" i="24" s="1"/>
  <c r="H182" i="24"/>
  <c r="G183" i="15"/>
  <c r="AR183" i="15" s="1"/>
  <c r="AW185" i="19"/>
  <c r="AX185" i="19" s="1"/>
  <c r="AY185" i="19" s="1"/>
  <c r="H186" i="19"/>
  <c r="G186" i="19"/>
  <c r="K186" i="19" s="1"/>
  <c r="F187" i="19" s="1"/>
  <c r="J187" i="19"/>
  <c r="AW203" i="17"/>
  <c r="AX203" i="17" s="1"/>
  <c r="AY203" i="17" s="1"/>
  <c r="F166" i="16"/>
  <c r="J167" i="16" s="1"/>
  <c r="AI165" i="16"/>
  <c r="AJ165" i="16" s="1"/>
  <c r="AK165" i="16" s="1"/>
  <c r="AQ165" i="16"/>
  <c r="AU165" i="16"/>
  <c r="G204" i="17"/>
  <c r="AI204" i="17" s="1"/>
  <c r="AJ204" i="17" s="1"/>
  <c r="AK204" i="17" s="1"/>
  <c r="J205" i="17"/>
  <c r="H204" i="17"/>
  <c r="G229" i="18"/>
  <c r="AR229" i="18" s="1"/>
  <c r="AK228" i="18"/>
  <c r="AN228" i="18"/>
  <c r="Q201" i="29" l="1"/>
  <c r="L202" i="29" s="1"/>
  <c r="M202" i="29" s="1"/>
  <c r="O202" i="29"/>
  <c r="F193" i="28"/>
  <c r="AS192" i="28"/>
  <c r="AQ192" i="28"/>
  <c r="AU192" i="28"/>
  <c r="AW193" i="26"/>
  <c r="AX193" i="26" s="1"/>
  <c r="AY193" i="26" s="1"/>
  <c r="H201" i="29"/>
  <c r="AP201" i="29" s="1"/>
  <c r="J202" i="29"/>
  <c r="G201" i="29"/>
  <c r="AI201" i="29" s="1"/>
  <c r="H194" i="26"/>
  <c r="F183" i="24"/>
  <c r="AI182" i="24"/>
  <c r="AJ182" i="24" s="1"/>
  <c r="AL182" i="24"/>
  <c r="AM182" i="24" s="1"/>
  <c r="H183" i="15"/>
  <c r="AW200" i="29"/>
  <c r="AX200" i="29" s="1"/>
  <c r="AY200" i="29" s="1"/>
  <c r="AU186" i="19"/>
  <c r="AI186" i="19"/>
  <c r="AJ186" i="19" s="1"/>
  <c r="AK186" i="19" s="1"/>
  <c r="AL186" i="19"/>
  <c r="AM186" i="19" s="1"/>
  <c r="AN186" i="19" s="1"/>
  <c r="AS186" i="19"/>
  <c r="H187" i="19"/>
  <c r="J188" i="19"/>
  <c r="G187" i="19"/>
  <c r="AI187" i="19" s="1"/>
  <c r="AJ187" i="19" s="1"/>
  <c r="AK187" i="19" s="1"/>
  <c r="AQ186" i="19"/>
  <c r="AP186" i="19"/>
  <c r="AO186" i="19"/>
  <c r="G166" i="16"/>
  <c r="AL166" i="16" s="1"/>
  <c r="AM166" i="16" s="1"/>
  <c r="AN166" i="16" s="1"/>
  <c r="H166" i="16"/>
  <c r="AP166" i="16" s="1"/>
  <c r="AW165" i="16"/>
  <c r="AX165" i="16" s="1"/>
  <c r="AY165" i="16" s="1"/>
  <c r="AL204" i="17"/>
  <c r="AM204" i="17" s="1"/>
  <c r="AN204" i="17" s="1"/>
  <c r="K204" i="17"/>
  <c r="AO204" i="17"/>
  <c r="AP204" i="17"/>
  <c r="AW228" i="18"/>
  <c r="H229" i="18"/>
  <c r="P203" i="29" l="1"/>
  <c r="N202" i="29"/>
  <c r="AW192" i="28"/>
  <c r="AX192" i="28" s="1"/>
  <c r="AY192" i="28" s="1"/>
  <c r="I193" i="28"/>
  <c r="Q193" i="28" s="1"/>
  <c r="L194" i="28" s="1"/>
  <c r="J194" i="28"/>
  <c r="G193" i="28"/>
  <c r="AI193" i="28" s="1"/>
  <c r="AJ193" i="28" s="1"/>
  <c r="AK193" i="28" s="1"/>
  <c r="H193" i="28"/>
  <c r="AJ201" i="29"/>
  <c r="AK201" i="29" s="1"/>
  <c r="AL201" i="29"/>
  <c r="AO201" i="29"/>
  <c r="F195" i="26"/>
  <c r="AL194" i="26"/>
  <c r="AI194" i="26"/>
  <c r="AN182" i="24"/>
  <c r="AK182" i="24"/>
  <c r="G183" i="24"/>
  <c r="AR183" i="24" s="1"/>
  <c r="F184" i="15"/>
  <c r="AL183" i="15"/>
  <c r="AM183" i="15" s="1"/>
  <c r="AN183" i="15" s="1"/>
  <c r="AI183" i="15"/>
  <c r="AJ183" i="15" s="1"/>
  <c r="AK183" i="15" s="1"/>
  <c r="K201" i="29"/>
  <c r="AW186" i="19"/>
  <c r="AX186" i="19" s="1"/>
  <c r="AY186" i="19" s="1"/>
  <c r="AL187" i="19"/>
  <c r="AM187" i="19" s="1"/>
  <c r="AN187" i="19" s="1"/>
  <c r="K187" i="19"/>
  <c r="AP187" i="19"/>
  <c r="AO187" i="19"/>
  <c r="K166" i="16"/>
  <c r="AU166" i="16" s="1"/>
  <c r="AO166" i="16"/>
  <c r="F205" i="17"/>
  <c r="AQ204" i="17"/>
  <c r="AS204" i="17"/>
  <c r="AU204" i="17"/>
  <c r="F230" i="18"/>
  <c r="AL229" i="18"/>
  <c r="AM229" i="18" s="1"/>
  <c r="AI229" i="18"/>
  <c r="AJ229" i="18" s="1"/>
  <c r="O194" i="28" l="1"/>
  <c r="M194" i="28"/>
  <c r="N194" i="28"/>
  <c r="P195" i="28"/>
  <c r="AP193" i="28"/>
  <c r="AO193" i="28"/>
  <c r="K193" i="28"/>
  <c r="AL193" i="28"/>
  <c r="AM193" i="28" s="1"/>
  <c r="AN193" i="28" s="1"/>
  <c r="AM201" i="29"/>
  <c r="AN201" i="29" s="1"/>
  <c r="F202" i="29"/>
  <c r="I202" i="29" s="1"/>
  <c r="AQ201" i="29"/>
  <c r="AU201" i="29"/>
  <c r="AS201" i="29"/>
  <c r="G195" i="26"/>
  <c r="AR195" i="26" s="1"/>
  <c r="AM194" i="26"/>
  <c r="AN194" i="26" s="1"/>
  <c r="AJ194" i="26"/>
  <c r="AK194" i="26" s="1"/>
  <c r="AW182" i="24"/>
  <c r="AX182" i="24" s="1"/>
  <c r="AY182" i="24" s="1"/>
  <c r="H183" i="24"/>
  <c r="AW183" i="15"/>
  <c r="AX183" i="15" s="1"/>
  <c r="AY183" i="15" s="1"/>
  <c r="G184" i="15"/>
  <c r="AR184" i="15" s="1"/>
  <c r="AS166" i="16"/>
  <c r="AS187" i="19"/>
  <c r="F188" i="19"/>
  <c r="AQ187" i="19"/>
  <c r="AU187" i="19"/>
  <c r="AQ166" i="16"/>
  <c r="F167" i="16"/>
  <c r="H167" i="16" s="1"/>
  <c r="AI166" i="16"/>
  <c r="AJ166" i="16" s="1"/>
  <c r="AK166" i="16" s="1"/>
  <c r="AW204" i="17"/>
  <c r="AX204" i="17" s="1"/>
  <c r="AY204" i="17" s="1"/>
  <c r="G205" i="17"/>
  <c r="AL205" i="17" s="1"/>
  <c r="AM205" i="17" s="1"/>
  <c r="AN205" i="17" s="1"/>
  <c r="J206" i="17"/>
  <c r="H205" i="17"/>
  <c r="G230" i="18"/>
  <c r="AR230" i="18" s="1"/>
  <c r="AN229" i="18"/>
  <c r="AK229" i="18"/>
  <c r="F194" i="28" l="1"/>
  <c r="AU193" i="28"/>
  <c r="AQ193" i="28"/>
  <c r="AS193" i="28"/>
  <c r="AR202" i="29"/>
  <c r="Q202" i="29"/>
  <c r="L203" i="29" s="1"/>
  <c r="J203" i="29"/>
  <c r="H202" i="29"/>
  <c r="AP202" i="29" s="1"/>
  <c r="G202" i="29"/>
  <c r="AL202" i="29" s="1"/>
  <c r="AM202" i="29" s="1"/>
  <c r="AW194" i="26"/>
  <c r="AX194" i="26" s="1"/>
  <c r="AY194" i="26" s="1"/>
  <c r="H195" i="26"/>
  <c r="F184" i="24"/>
  <c r="AI183" i="24"/>
  <c r="AJ183" i="24" s="1"/>
  <c r="AL183" i="24"/>
  <c r="AM183" i="24" s="1"/>
  <c r="AW201" i="29"/>
  <c r="AX201" i="29" s="1"/>
  <c r="AY201" i="29" s="1"/>
  <c r="H184" i="15"/>
  <c r="AW187" i="19"/>
  <c r="AX187" i="19" s="1"/>
  <c r="AY187" i="19" s="1"/>
  <c r="J168" i="16"/>
  <c r="G167" i="16"/>
  <c r="K167" i="16" s="1"/>
  <c r="J189" i="19"/>
  <c r="H188" i="19"/>
  <c r="G188" i="19"/>
  <c r="AI188" i="19" s="1"/>
  <c r="AJ188" i="19" s="1"/>
  <c r="AK188" i="19" s="1"/>
  <c r="AW166" i="16"/>
  <c r="AX166" i="16" s="1"/>
  <c r="AY166" i="16" s="1"/>
  <c r="AO167" i="16"/>
  <c r="AP167" i="16"/>
  <c r="K205" i="17"/>
  <c r="AS205" i="17" s="1"/>
  <c r="AP205" i="17"/>
  <c r="AO205" i="17"/>
  <c r="AI205" i="17"/>
  <c r="AJ205" i="17" s="1"/>
  <c r="AK205" i="17" s="1"/>
  <c r="AW229" i="18"/>
  <c r="H230" i="18"/>
  <c r="AW193" i="28" l="1"/>
  <c r="AX193" i="28" s="1"/>
  <c r="AY193" i="28" s="1"/>
  <c r="O203" i="29"/>
  <c r="M203" i="29"/>
  <c r="N203" i="29"/>
  <c r="P204" i="29"/>
  <c r="I194" i="28"/>
  <c r="Q194" i="28" s="1"/>
  <c r="L195" i="28" s="1"/>
  <c r="J195" i="28"/>
  <c r="G194" i="28"/>
  <c r="AL194" i="28" s="1"/>
  <c r="AM194" i="28" s="1"/>
  <c r="AN194" i="28" s="1"/>
  <c r="H194" i="28"/>
  <c r="AI202" i="29"/>
  <c r="AO202" i="29"/>
  <c r="F196" i="26"/>
  <c r="AL195" i="26"/>
  <c r="AI195" i="26"/>
  <c r="AK183" i="24"/>
  <c r="AN183" i="24"/>
  <c r="G184" i="24"/>
  <c r="AR184" i="24" s="1"/>
  <c r="F185" i="15"/>
  <c r="AI184" i="15"/>
  <c r="AJ184" i="15" s="1"/>
  <c r="AK184" i="15" s="1"/>
  <c r="AL184" i="15"/>
  <c r="AM184" i="15" s="1"/>
  <c r="AN184" i="15" s="1"/>
  <c r="K202" i="29"/>
  <c r="AN202" i="29"/>
  <c r="AL167" i="16"/>
  <c r="AM167" i="16" s="1"/>
  <c r="AN167" i="16" s="1"/>
  <c r="AL188" i="19"/>
  <c r="AM188" i="19" s="1"/>
  <c r="AN188" i="19" s="1"/>
  <c r="AO188" i="19"/>
  <c r="AP188" i="19"/>
  <c r="K188" i="19"/>
  <c r="AS167" i="16"/>
  <c r="AQ167" i="16"/>
  <c r="F168" i="16"/>
  <c r="AU167" i="16"/>
  <c r="AI167" i="16"/>
  <c r="AJ167" i="16" s="1"/>
  <c r="AK167" i="16" s="1"/>
  <c r="AQ205" i="17"/>
  <c r="F206" i="17"/>
  <c r="AU205" i="17"/>
  <c r="F231" i="18"/>
  <c r="AL230" i="18"/>
  <c r="AM230" i="18" s="1"/>
  <c r="AI230" i="18"/>
  <c r="AJ230" i="18" s="1"/>
  <c r="AP194" i="28" l="1"/>
  <c r="AO194" i="28"/>
  <c r="K194" i="28"/>
  <c r="AI194" i="28"/>
  <c r="AJ194" i="28" s="1"/>
  <c r="AK194" i="28" s="1"/>
  <c r="O195" i="28"/>
  <c r="P196" i="28"/>
  <c r="N195" i="28"/>
  <c r="M195" i="28"/>
  <c r="AW184" i="15"/>
  <c r="AX184" i="15" s="1"/>
  <c r="AY184" i="15" s="1"/>
  <c r="AJ202" i="29"/>
  <c r="AK202" i="29" s="1"/>
  <c r="F203" i="29"/>
  <c r="I203" i="29" s="1"/>
  <c r="AR203" i="29" s="1"/>
  <c r="AU202" i="29"/>
  <c r="AQ202" i="29"/>
  <c r="AS202" i="29"/>
  <c r="AM195" i="26"/>
  <c r="AN195" i="26" s="1"/>
  <c r="AJ195" i="26"/>
  <c r="AK195" i="26" s="1"/>
  <c r="G196" i="26"/>
  <c r="AR196" i="26" s="1"/>
  <c r="AW183" i="24"/>
  <c r="AX183" i="24" s="1"/>
  <c r="AY183" i="24" s="1"/>
  <c r="H184" i="24"/>
  <c r="G185" i="15"/>
  <c r="AR185" i="15" s="1"/>
  <c r="AS188" i="19"/>
  <c r="AQ188" i="19"/>
  <c r="AU188" i="19"/>
  <c r="F189" i="19"/>
  <c r="AW205" i="17"/>
  <c r="AX205" i="17" s="1"/>
  <c r="AY205" i="17" s="1"/>
  <c r="AW167" i="16"/>
  <c r="AX167" i="16" s="1"/>
  <c r="AY167" i="16" s="1"/>
  <c r="H168" i="16"/>
  <c r="G168" i="16"/>
  <c r="AL168" i="16" s="1"/>
  <c r="AM168" i="16" s="1"/>
  <c r="AN168" i="16" s="1"/>
  <c r="J169" i="16"/>
  <c r="G206" i="17"/>
  <c r="K206" i="17" s="1"/>
  <c r="F207" i="17" s="1"/>
  <c r="H206" i="17"/>
  <c r="J207" i="17"/>
  <c r="G231" i="18"/>
  <c r="AR231" i="18" s="1"/>
  <c r="AN230" i="18"/>
  <c r="AK230" i="18"/>
  <c r="Q203" i="29" l="1"/>
  <c r="L204" i="29" s="1"/>
  <c r="M204" i="29" s="1"/>
  <c r="F195" i="28"/>
  <c r="AQ194" i="28"/>
  <c r="AS194" i="28"/>
  <c r="AU194" i="28"/>
  <c r="O204" i="29"/>
  <c r="H203" i="29"/>
  <c r="AP203" i="29" s="1"/>
  <c r="J204" i="29"/>
  <c r="G203" i="29"/>
  <c r="AL203" i="29" s="1"/>
  <c r="AM203" i="29" s="1"/>
  <c r="AW195" i="26"/>
  <c r="AX195" i="26" s="1"/>
  <c r="AY195" i="26" s="1"/>
  <c r="H196" i="26"/>
  <c r="F185" i="24"/>
  <c r="AI184" i="24"/>
  <c r="AJ184" i="24" s="1"/>
  <c r="AL184" i="24"/>
  <c r="AM184" i="24" s="1"/>
  <c r="H185" i="15"/>
  <c r="AW202" i="29"/>
  <c r="AX202" i="29" s="1"/>
  <c r="AY202" i="29" s="1"/>
  <c r="AW188" i="19"/>
  <c r="AX188" i="19" s="1"/>
  <c r="AY188" i="19" s="1"/>
  <c r="G189" i="19"/>
  <c r="K189" i="19" s="1"/>
  <c r="F190" i="19" s="1"/>
  <c r="H189" i="19"/>
  <c r="J190" i="19"/>
  <c r="K168" i="16"/>
  <c r="AO168" i="16"/>
  <c r="AP168" i="16"/>
  <c r="AU206" i="17"/>
  <c r="AS206" i="17"/>
  <c r="AL206" i="17"/>
  <c r="AM206" i="17" s="1"/>
  <c r="AN206" i="17" s="1"/>
  <c r="AI206" i="17"/>
  <c r="AJ206" i="17" s="1"/>
  <c r="AK206" i="17" s="1"/>
  <c r="J208" i="17"/>
  <c r="H207" i="17"/>
  <c r="G207" i="17"/>
  <c r="AP206" i="17"/>
  <c r="AO206" i="17"/>
  <c r="AQ206" i="17"/>
  <c r="AW230" i="18"/>
  <c r="H231" i="18"/>
  <c r="N204" i="29" l="1"/>
  <c r="P205" i="29"/>
  <c r="AW194" i="28"/>
  <c r="AX194" i="28" s="1"/>
  <c r="AY194" i="28" s="1"/>
  <c r="I195" i="28"/>
  <c r="Q195" i="28" s="1"/>
  <c r="L196" i="28" s="1"/>
  <c r="G195" i="28"/>
  <c r="AI195" i="28" s="1"/>
  <c r="AJ195" i="28" s="1"/>
  <c r="AK195" i="28" s="1"/>
  <c r="H195" i="28"/>
  <c r="J196" i="28"/>
  <c r="AI203" i="29"/>
  <c r="AO203" i="29"/>
  <c r="F197" i="26"/>
  <c r="AL196" i="26"/>
  <c r="AM196" i="26" s="1"/>
  <c r="AN196" i="26" s="1"/>
  <c r="AI196" i="26"/>
  <c r="AN184" i="24"/>
  <c r="AK184" i="24"/>
  <c r="G185" i="24"/>
  <c r="AR185" i="24" s="1"/>
  <c r="F186" i="15"/>
  <c r="AL185" i="15"/>
  <c r="AM185" i="15" s="1"/>
  <c r="AN185" i="15" s="1"/>
  <c r="AI185" i="15"/>
  <c r="AJ185" i="15" s="1"/>
  <c r="AK185" i="15" s="1"/>
  <c r="K203" i="29"/>
  <c r="AN203" i="29"/>
  <c r="AL189" i="19"/>
  <c r="AM189" i="19" s="1"/>
  <c r="AN189" i="19" s="1"/>
  <c r="AI189" i="19"/>
  <c r="AJ189" i="19" s="1"/>
  <c r="AK189" i="19" s="1"/>
  <c r="AU189" i="19"/>
  <c r="AQ189" i="19"/>
  <c r="AS189" i="19"/>
  <c r="AO189" i="19"/>
  <c r="AP189" i="19"/>
  <c r="G190" i="19"/>
  <c r="AL190" i="19" s="1"/>
  <c r="AM190" i="19" s="1"/>
  <c r="AN190" i="19" s="1"/>
  <c r="J191" i="19"/>
  <c r="H190" i="19"/>
  <c r="F169" i="16"/>
  <c r="AI168" i="16"/>
  <c r="AJ168" i="16" s="1"/>
  <c r="AK168" i="16" s="1"/>
  <c r="AS168" i="16"/>
  <c r="AU168" i="16"/>
  <c r="AQ168" i="16"/>
  <c r="AW206" i="17"/>
  <c r="AX206" i="17" s="1"/>
  <c r="AY206" i="17" s="1"/>
  <c r="AL207" i="17"/>
  <c r="AM207" i="17" s="1"/>
  <c r="AN207" i="17" s="1"/>
  <c r="AI207" i="17"/>
  <c r="AJ207" i="17" s="1"/>
  <c r="AK207" i="17" s="1"/>
  <c r="K207" i="17"/>
  <c r="AP207" i="17"/>
  <c r="AO207" i="17"/>
  <c r="F232" i="18"/>
  <c r="AI231" i="18"/>
  <c r="AJ231" i="18" s="1"/>
  <c r="AL231" i="18"/>
  <c r="AM231" i="18" s="1"/>
  <c r="K195" i="28" l="1"/>
  <c r="O196" i="28"/>
  <c r="M196" i="28"/>
  <c r="N196" i="28"/>
  <c r="P197" i="28"/>
  <c r="AP195" i="28"/>
  <c r="AO195" i="28"/>
  <c r="AL195" i="28"/>
  <c r="AM195" i="28" s="1"/>
  <c r="AN195" i="28" s="1"/>
  <c r="F204" i="29"/>
  <c r="I204" i="29" s="1"/>
  <c r="AS203" i="29"/>
  <c r="AU203" i="29"/>
  <c r="AQ203" i="29"/>
  <c r="AJ203" i="29"/>
  <c r="AK203" i="29" s="1"/>
  <c r="G197" i="26"/>
  <c r="AR197" i="26" s="1"/>
  <c r="AJ196" i="26"/>
  <c r="AK196" i="26" s="1"/>
  <c r="AW196" i="26" s="1"/>
  <c r="AX196" i="26" s="1"/>
  <c r="AY196" i="26" s="1"/>
  <c r="AW184" i="24"/>
  <c r="AX184" i="24" s="1"/>
  <c r="AY184" i="24" s="1"/>
  <c r="H185" i="24"/>
  <c r="G186" i="15"/>
  <c r="AR186" i="15" s="1"/>
  <c r="AW185" i="15"/>
  <c r="AX185" i="15" s="1"/>
  <c r="AY185" i="15" s="1"/>
  <c r="AW189" i="19"/>
  <c r="AX189" i="19" s="1"/>
  <c r="AY189" i="19" s="1"/>
  <c r="K190" i="19"/>
  <c r="AI190" i="19"/>
  <c r="AJ190" i="19" s="1"/>
  <c r="AK190" i="19" s="1"/>
  <c r="AP190" i="19"/>
  <c r="AO190" i="19"/>
  <c r="AW168" i="16"/>
  <c r="AX168" i="16" s="1"/>
  <c r="AY168" i="16" s="1"/>
  <c r="J170" i="16"/>
  <c r="H169" i="16"/>
  <c r="G169" i="16"/>
  <c r="K169" i="16" s="1"/>
  <c r="AU169" i="16" s="1"/>
  <c r="F208" i="17"/>
  <c r="AU207" i="17"/>
  <c r="AS207" i="17"/>
  <c r="AQ207" i="17"/>
  <c r="G232" i="18"/>
  <c r="AR232" i="18" s="1"/>
  <c r="AN231" i="18"/>
  <c r="AK231" i="18"/>
  <c r="F196" i="28" l="1"/>
  <c r="AS195" i="28"/>
  <c r="AU195" i="28"/>
  <c r="AQ195" i="28"/>
  <c r="AR204" i="29"/>
  <c r="Q204" i="29"/>
  <c r="L205" i="29" s="1"/>
  <c r="J205" i="29"/>
  <c r="H204" i="29"/>
  <c r="AP204" i="29" s="1"/>
  <c r="G204" i="29"/>
  <c r="AI204" i="29" s="1"/>
  <c r="AJ204" i="29" s="1"/>
  <c r="H197" i="26"/>
  <c r="F186" i="24"/>
  <c r="AL185" i="24"/>
  <c r="AM185" i="24" s="1"/>
  <c r="AI185" i="24"/>
  <c r="AJ185" i="24" s="1"/>
  <c r="H186" i="15"/>
  <c r="AW203" i="29"/>
  <c r="AX203" i="29" s="1"/>
  <c r="AY203" i="29" s="1"/>
  <c r="F191" i="19"/>
  <c r="AS190" i="19"/>
  <c r="AU190" i="19"/>
  <c r="AQ190" i="19"/>
  <c r="AW207" i="17"/>
  <c r="AX207" i="17" s="1"/>
  <c r="AY207" i="17" s="1"/>
  <c r="AQ169" i="16"/>
  <c r="AL169" i="16"/>
  <c r="AM169" i="16" s="1"/>
  <c r="AN169" i="16" s="1"/>
  <c r="AO169" i="16"/>
  <c r="AP169" i="16"/>
  <c r="AI169" i="16"/>
  <c r="AJ169" i="16" s="1"/>
  <c r="AK169" i="16" s="1"/>
  <c r="AS169" i="16"/>
  <c r="F170" i="16"/>
  <c r="G208" i="17"/>
  <c r="K208" i="17" s="1"/>
  <c r="H208" i="17"/>
  <c r="J209" i="17"/>
  <c r="AW231" i="18"/>
  <c r="H232" i="18"/>
  <c r="AW195" i="28" l="1"/>
  <c r="AX195" i="28" s="1"/>
  <c r="AY195" i="28" s="1"/>
  <c r="I196" i="28"/>
  <c r="Q196" i="28" s="1"/>
  <c r="L197" i="28" s="1"/>
  <c r="G196" i="28"/>
  <c r="AI196" i="28" s="1"/>
  <c r="AJ196" i="28" s="1"/>
  <c r="AK196" i="28" s="1"/>
  <c r="J197" i="28"/>
  <c r="H196" i="28"/>
  <c r="O205" i="29"/>
  <c r="P206" i="29"/>
  <c r="N205" i="29"/>
  <c r="M205" i="29"/>
  <c r="AL204" i="29"/>
  <c r="AO204" i="29"/>
  <c r="F198" i="26"/>
  <c r="AL197" i="26"/>
  <c r="AM197" i="26" s="1"/>
  <c r="AN197" i="26" s="1"/>
  <c r="AI197" i="26"/>
  <c r="AJ197" i="26" s="1"/>
  <c r="AK197" i="26" s="1"/>
  <c r="AK185" i="24"/>
  <c r="AN185" i="24"/>
  <c r="G186" i="24"/>
  <c r="AR186" i="24" s="1"/>
  <c r="F187" i="15"/>
  <c r="AI186" i="15"/>
  <c r="AJ186" i="15" s="1"/>
  <c r="AK186" i="15" s="1"/>
  <c r="AL186" i="15"/>
  <c r="AM186" i="15" s="1"/>
  <c r="AN186" i="15" s="1"/>
  <c r="K204" i="29"/>
  <c r="AK204" i="29"/>
  <c r="AW190" i="19"/>
  <c r="AX190" i="19" s="1"/>
  <c r="AY190" i="19" s="1"/>
  <c r="J192" i="19"/>
  <c r="H191" i="19"/>
  <c r="G191" i="19"/>
  <c r="AI191" i="19" s="1"/>
  <c r="AJ191" i="19" s="1"/>
  <c r="AK191" i="19" s="1"/>
  <c r="AW169" i="16"/>
  <c r="AX169" i="16" s="1"/>
  <c r="AY169" i="16" s="1"/>
  <c r="G170" i="16"/>
  <c r="K170" i="16" s="1"/>
  <c r="F171" i="16" s="1"/>
  <c r="H170" i="16"/>
  <c r="J171" i="16"/>
  <c r="F209" i="17"/>
  <c r="AS208" i="17"/>
  <c r="AQ208" i="17"/>
  <c r="AU208" i="17"/>
  <c r="AL208" i="17"/>
  <c r="AM208" i="17" s="1"/>
  <c r="AN208" i="17" s="1"/>
  <c r="AI208" i="17"/>
  <c r="AJ208" i="17" s="1"/>
  <c r="AK208" i="17" s="1"/>
  <c r="AO208" i="17"/>
  <c r="AP208" i="17"/>
  <c r="F233" i="18"/>
  <c r="AI232" i="18"/>
  <c r="AJ232" i="18" s="1"/>
  <c r="AL232" i="18"/>
  <c r="AM232" i="18" s="1"/>
  <c r="K196" i="28" l="1"/>
  <c r="AL196" i="28"/>
  <c r="AM196" i="28" s="1"/>
  <c r="AN196" i="28" s="1"/>
  <c r="O197" i="28"/>
  <c r="M197" i="28"/>
  <c r="P198" i="28"/>
  <c r="N197" i="28"/>
  <c r="AP196" i="28"/>
  <c r="AO196" i="28"/>
  <c r="AW185" i="24"/>
  <c r="AX185" i="24" s="1"/>
  <c r="AY185" i="24" s="1"/>
  <c r="AM204" i="29"/>
  <c r="AN204" i="29" s="1"/>
  <c r="F205" i="29"/>
  <c r="I205" i="29" s="1"/>
  <c r="AR205" i="29" s="1"/>
  <c r="AQ204" i="29"/>
  <c r="AU204" i="29"/>
  <c r="AS204" i="29"/>
  <c r="AW197" i="26"/>
  <c r="AX197" i="26" s="1"/>
  <c r="AY197" i="26" s="1"/>
  <c r="G198" i="26"/>
  <c r="AR198" i="26" s="1"/>
  <c r="H186" i="24"/>
  <c r="AW186" i="15"/>
  <c r="AX186" i="15" s="1"/>
  <c r="AY186" i="15" s="1"/>
  <c r="G187" i="15"/>
  <c r="AR187" i="15" s="1"/>
  <c r="AL191" i="19"/>
  <c r="AM191" i="19" s="1"/>
  <c r="AN191" i="19" s="1"/>
  <c r="AP191" i="19"/>
  <c r="AO191" i="19"/>
  <c r="K191" i="19"/>
  <c r="AL170" i="16"/>
  <c r="AM170" i="16" s="1"/>
  <c r="AN170" i="16" s="1"/>
  <c r="AI170" i="16"/>
  <c r="AJ170" i="16" s="1"/>
  <c r="AK170" i="16" s="1"/>
  <c r="AU170" i="16"/>
  <c r="AS170" i="16"/>
  <c r="AQ170" i="16"/>
  <c r="AO170" i="16"/>
  <c r="AP170" i="16"/>
  <c r="H171" i="16"/>
  <c r="J172" i="16"/>
  <c r="G171" i="16"/>
  <c r="AL171" i="16" s="1"/>
  <c r="AM171" i="16" s="1"/>
  <c r="AN171" i="16" s="1"/>
  <c r="AW208" i="17"/>
  <c r="AX208" i="17" s="1"/>
  <c r="AY208" i="17" s="1"/>
  <c r="G209" i="17"/>
  <c r="AI209" i="17" s="1"/>
  <c r="AJ209" i="17" s="1"/>
  <c r="AK209" i="17" s="1"/>
  <c r="J210" i="17"/>
  <c r="H209" i="17"/>
  <c r="G233" i="18"/>
  <c r="AR233" i="18" s="1"/>
  <c r="AK232" i="18"/>
  <c r="AN232" i="18"/>
  <c r="Q205" i="29" l="1"/>
  <c r="L206" i="29" s="1"/>
  <c r="M206" i="29" s="1"/>
  <c r="F197" i="28"/>
  <c r="AS196" i="28"/>
  <c r="AU196" i="28"/>
  <c r="AQ196" i="28"/>
  <c r="H205" i="29"/>
  <c r="AP205" i="29" s="1"/>
  <c r="J206" i="29"/>
  <c r="G205" i="29"/>
  <c r="AL205" i="29" s="1"/>
  <c r="AM205" i="29" s="1"/>
  <c r="H198" i="26"/>
  <c r="F187" i="24"/>
  <c r="AL186" i="24"/>
  <c r="AM186" i="24" s="1"/>
  <c r="AI186" i="24"/>
  <c r="AJ186" i="24" s="1"/>
  <c r="H187" i="15"/>
  <c r="AW204" i="29"/>
  <c r="AX204" i="29" s="1"/>
  <c r="AY204" i="29" s="1"/>
  <c r="AQ191" i="19"/>
  <c r="AU191" i="19"/>
  <c r="F192" i="19"/>
  <c r="AS191" i="19"/>
  <c r="AW170" i="16"/>
  <c r="AX170" i="16" s="1"/>
  <c r="AY170" i="16" s="1"/>
  <c r="AP171" i="16"/>
  <c r="AO171" i="16"/>
  <c r="K209" i="17"/>
  <c r="AQ209" i="17" s="1"/>
  <c r="K171" i="16"/>
  <c r="AL209" i="17"/>
  <c r="AM209" i="17" s="1"/>
  <c r="AN209" i="17" s="1"/>
  <c r="AP209" i="17"/>
  <c r="AO209" i="17"/>
  <c r="AW232" i="18"/>
  <c r="H233" i="18"/>
  <c r="AW196" i="28" l="1"/>
  <c r="AX196" i="28" s="1"/>
  <c r="AY196" i="28" s="1"/>
  <c r="O206" i="29"/>
  <c r="P207" i="29"/>
  <c r="N206" i="29"/>
  <c r="I197" i="28"/>
  <c r="Q197" i="28" s="1"/>
  <c r="L198" i="28" s="1"/>
  <c r="H197" i="28"/>
  <c r="G197" i="28"/>
  <c r="AL197" i="28" s="1"/>
  <c r="AM197" i="28" s="1"/>
  <c r="AN197" i="28" s="1"/>
  <c r="J198" i="28"/>
  <c r="AI205" i="29"/>
  <c r="AO205" i="29"/>
  <c r="F199" i="26"/>
  <c r="AL198" i="26"/>
  <c r="AM198" i="26" s="1"/>
  <c r="AN198" i="26" s="1"/>
  <c r="AI198" i="26"/>
  <c r="AJ198" i="26" s="1"/>
  <c r="AK198" i="26" s="1"/>
  <c r="AK186" i="24"/>
  <c r="AN186" i="24"/>
  <c r="G187" i="24"/>
  <c r="AR187" i="24" s="1"/>
  <c r="F188" i="15"/>
  <c r="AI187" i="15"/>
  <c r="AJ187" i="15" s="1"/>
  <c r="AK187" i="15" s="1"/>
  <c r="AL187" i="15"/>
  <c r="AM187" i="15" s="1"/>
  <c r="AN187" i="15" s="1"/>
  <c r="AN205" i="29"/>
  <c r="K205" i="29"/>
  <c r="AW191" i="19"/>
  <c r="AX191" i="19" s="1"/>
  <c r="AY191" i="19" s="1"/>
  <c r="G192" i="19"/>
  <c r="AL192" i="19" s="1"/>
  <c r="AM192" i="19" s="1"/>
  <c r="AN192" i="19" s="1"/>
  <c r="J193" i="19"/>
  <c r="H192" i="19"/>
  <c r="AU209" i="17"/>
  <c r="AS209" i="17"/>
  <c r="AI171" i="16"/>
  <c r="AJ171" i="16" s="1"/>
  <c r="AK171" i="16" s="1"/>
  <c r="F172" i="16"/>
  <c r="AQ171" i="16"/>
  <c r="AS171" i="16"/>
  <c r="AU171" i="16"/>
  <c r="F210" i="17"/>
  <c r="J211" i="17" s="1"/>
  <c r="F234" i="18"/>
  <c r="AI233" i="18"/>
  <c r="AJ233" i="18" s="1"/>
  <c r="AL233" i="18"/>
  <c r="AM233" i="18" s="1"/>
  <c r="O198" i="28" l="1"/>
  <c r="M198" i="28"/>
  <c r="N198" i="28"/>
  <c r="P199" i="28"/>
  <c r="AI197" i="28"/>
  <c r="AP197" i="28"/>
  <c r="AO197" i="28"/>
  <c r="K197" i="28"/>
  <c r="AW186" i="24"/>
  <c r="AX186" i="24" s="1"/>
  <c r="AY186" i="24" s="1"/>
  <c r="F206" i="29"/>
  <c r="I206" i="29" s="1"/>
  <c r="AU205" i="29"/>
  <c r="AQ205" i="29"/>
  <c r="AS205" i="29"/>
  <c r="AJ205" i="29"/>
  <c r="AK205" i="29" s="1"/>
  <c r="AW198" i="26"/>
  <c r="AX198" i="26" s="1"/>
  <c r="AY198" i="26" s="1"/>
  <c r="G199" i="26"/>
  <c r="AR199" i="26" s="1"/>
  <c r="AW187" i="15"/>
  <c r="AX187" i="15" s="1"/>
  <c r="AY187" i="15" s="1"/>
  <c r="H187" i="24"/>
  <c r="G188" i="15"/>
  <c r="AR188" i="15" s="1"/>
  <c r="K192" i="19"/>
  <c r="AU192" i="19" s="1"/>
  <c r="AI192" i="19"/>
  <c r="AJ192" i="19" s="1"/>
  <c r="AK192" i="19" s="1"/>
  <c r="AO192" i="19"/>
  <c r="AP192" i="19"/>
  <c r="AW209" i="17"/>
  <c r="AX209" i="17" s="1"/>
  <c r="AY209" i="17" s="1"/>
  <c r="AW171" i="16"/>
  <c r="AX171" i="16" s="1"/>
  <c r="AY171" i="16" s="1"/>
  <c r="H210" i="17"/>
  <c r="AP210" i="17" s="1"/>
  <c r="G210" i="17"/>
  <c r="AL210" i="17" s="1"/>
  <c r="AM210" i="17" s="1"/>
  <c r="AN210" i="17" s="1"/>
  <c r="J173" i="16"/>
  <c r="H172" i="16"/>
  <c r="G172" i="16"/>
  <c r="AL172" i="16" s="1"/>
  <c r="AM172" i="16" s="1"/>
  <c r="AN172" i="16" s="1"/>
  <c r="G234" i="18"/>
  <c r="AR234" i="18" s="1"/>
  <c r="AK233" i="18"/>
  <c r="AN233" i="18"/>
  <c r="AR206" i="29" l="1"/>
  <c r="Q206" i="29"/>
  <c r="L207" i="29" s="1"/>
  <c r="AJ197" i="28"/>
  <c r="AK197" i="28" s="1"/>
  <c r="F198" i="28"/>
  <c r="AS197" i="28"/>
  <c r="AU197" i="28"/>
  <c r="AQ197" i="28"/>
  <c r="J207" i="29"/>
  <c r="H206" i="29"/>
  <c r="AP206" i="29" s="1"/>
  <c r="G206" i="29"/>
  <c r="AI206" i="29" s="1"/>
  <c r="AJ206" i="29" s="1"/>
  <c r="H199" i="26"/>
  <c r="F188" i="24"/>
  <c r="AI187" i="24"/>
  <c r="AJ187" i="24" s="1"/>
  <c r="AL187" i="24"/>
  <c r="AM187" i="24" s="1"/>
  <c r="H188" i="15"/>
  <c r="AW205" i="29"/>
  <c r="AX205" i="29" s="1"/>
  <c r="AY205" i="29" s="1"/>
  <c r="AS192" i="19"/>
  <c r="F193" i="19"/>
  <c r="G193" i="19" s="1"/>
  <c r="AQ192" i="19"/>
  <c r="AO210" i="17"/>
  <c r="AI210" i="17"/>
  <c r="AJ210" i="17" s="1"/>
  <c r="AK210" i="17" s="1"/>
  <c r="K210" i="17"/>
  <c r="AU210" i="17" s="1"/>
  <c r="AO172" i="16"/>
  <c r="AP172" i="16"/>
  <c r="K172" i="16"/>
  <c r="AW233" i="18"/>
  <c r="H234" i="18"/>
  <c r="AW197" i="28" l="1"/>
  <c r="AX197" i="28" s="1"/>
  <c r="AY197" i="28" s="1"/>
  <c r="O207" i="29"/>
  <c r="M207" i="29"/>
  <c r="N207" i="29"/>
  <c r="P208" i="29"/>
  <c r="I198" i="28"/>
  <c r="Q198" i="28" s="1"/>
  <c r="L199" i="28" s="1"/>
  <c r="J199" i="28"/>
  <c r="H198" i="28"/>
  <c r="G198" i="28"/>
  <c r="AL198" i="28" s="1"/>
  <c r="AM198" i="28" s="1"/>
  <c r="AN198" i="28" s="1"/>
  <c r="AO206" i="29"/>
  <c r="AL206" i="29"/>
  <c r="AM206" i="29" s="1"/>
  <c r="F200" i="26"/>
  <c r="AI199" i="26"/>
  <c r="AL199" i="26"/>
  <c r="AK187" i="24"/>
  <c r="AN187" i="24"/>
  <c r="G188" i="24"/>
  <c r="AR188" i="24" s="1"/>
  <c r="F189" i="15"/>
  <c r="AL188" i="15"/>
  <c r="AM188" i="15" s="1"/>
  <c r="AN188" i="15" s="1"/>
  <c r="AI188" i="15"/>
  <c r="AJ188" i="15" s="1"/>
  <c r="AK188" i="15" s="1"/>
  <c r="AK206" i="29"/>
  <c r="K206" i="29"/>
  <c r="F211" i="17"/>
  <c r="G211" i="17" s="1"/>
  <c r="K211" i="17" s="1"/>
  <c r="AQ211" i="17" s="1"/>
  <c r="AW192" i="19"/>
  <c r="AX192" i="19" s="1"/>
  <c r="AY192" i="19" s="1"/>
  <c r="J194" i="19"/>
  <c r="H193" i="19"/>
  <c r="AP193" i="19" s="1"/>
  <c r="AL193" i="19"/>
  <c r="AM193" i="19" s="1"/>
  <c r="AN193" i="19" s="1"/>
  <c r="K193" i="19"/>
  <c r="AI193" i="19"/>
  <c r="AJ193" i="19" s="1"/>
  <c r="AK193" i="19" s="1"/>
  <c r="AQ210" i="17"/>
  <c r="AS210" i="17"/>
  <c r="F173" i="16"/>
  <c r="AI172" i="16"/>
  <c r="AJ172" i="16" s="1"/>
  <c r="AK172" i="16" s="1"/>
  <c r="AQ172" i="16"/>
  <c r="AS172" i="16"/>
  <c r="AU172" i="16"/>
  <c r="AI234" i="18"/>
  <c r="AJ234" i="18" s="1"/>
  <c r="AL234" i="18"/>
  <c r="AM234" i="18" s="1"/>
  <c r="AP198" i="28" l="1"/>
  <c r="AO198" i="28"/>
  <c r="K198" i="28"/>
  <c r="AI198" i="28"/>
  <c r="AJ198" i="28" s="1"/>
  <c r="AK198" i="28" s="1"/>
  <c r="O199" i="28"/>
  <c r="M199" i="28"/>
  <c r="P200" i="28"/>
  <c r="N199" i="28"/>
  <c r="F207" i="29"/>
  <c r="I207" i="29" s="1"/>
  <c r="AR207" i="29" s="1"/>
  <c r="AS206" i="29"/>
  <c r="AU206" i="29"/>
  <c r="AQ206" i="29"/>
  <c r="AN206" i="29"/>
  <c r="G200" i="26"/>
  <c r="AR200" i="26" s="1"/>
  <c r="AM199" i="26"/>
  <c r="AN199" i="26" s="1"/>
  <c r="AJ199" i="26"/>
  <c r="AK199" i="26" s="1"/>
  <c r="AW187" i="24"/>
  <c r="AX187" i="24" s="1"/>
  <c r="AY187" i="24" s="1"/>
  <c r="AW188" i="15"/>
  <c r="AX188" i="15" s="1"/>
  <c r="AY188" i="15" s="1"/>
  <c r="H188" i="24"/>
  <c r="G189" i="15"/>
  <c r="AR189" i="15" s="1"/>
  <c r="J212" i="17"/>
  <c r="H211" i="17"/>
  <c r="AO211" i="17" s="1"/>
  <c r="AO193" i="19"/>
  <c r="AQ193" i="19"/>
  <c r="F194" i="19"/>
  <c r="AU193" i="19"/>
  <c r="AS193" i="19"/>
  <c r="AW210" i="17"/>
  <c r="AX210" i="17" s="1"/>
  <c r="AY210" i="17" s="1"/>
  <c r="AW172" i="16"/>
  <c r="AX172" i="16" s="1"/>
  <c r="AY172" i="16" s="1"/>
  <c r="J174" i="16"/>
  <c r="H173" i="16"/>
  <c r="G173" i="16"/>
  <c r="AL173" i="16" s="1"/>
  <c r="AM173" i="16" s="1"/>
  <c r="AN173" i="16" s="1"/>
  <c r="AS211" i="17"/>
  <c r="F212" i="17"/>
  <c r="AU211" i="17"/>
  <c r="AI211" i="17"/>
  <c r="AJ211" i="17" s="1"/>
  <c r="AK211" i="17" s="1"/>
  <c r="AL211" i="17"/>
  <c r="AM211" i="17" s="1"/>
  <c r="AN211" i="17" s="1"/>
  <c r="AK234" i="18"/>
  <c r="AN234" i="18"/>
  <c r="Q207" i="29" l="1"/>
  <c r="L208" i="29" s="1"/>
  <c r="M208" i="29" s="1"/>
  <c r="O208" i="29"/>
  <c r="F199" i="28"/>
  <c r="AU198" i="28"/>
  <c r="AS198" i="28"/>
  <c r="AQ198" i="28"/>
  <c r="AW199" i="26"/>
  <c r="AX199" i="26" s="1"/>
  <c r="AY199" i="26" s="1"/>
  <c r="J208" i="29"/>
  <c r="H207" i="29"/>
  <c r="AP207" i="29" s="1"/>
  <c r="G207" i="29"/>
  <c r="AI207" i="29" s="1"/>
  <c r="H200" i="26"/>
  <c r="AW206" i="29"/>
  <c r="AX206" i="29" s="1"/>
  <c r="AY206" i="29" s="1"/>
  <c r="F189" i="24"/>
  <c r="AI188" i="24"/>
  <c r="AJ188" i="24" s="1"/>
  <c r="AL188" i="24"/>
  <c r="AM188" i="24" s="1"/>
  <c r="H189" i="15"/>
  <c r="AP211" i="17"/>
  <c r="AW211" i="17" s="1"/>
  <c r="AX211" i="17" s="1"/>
  <c r="AY211" i="17" s="1"/>
  <c r="AW193" i="19"/>
  <c r="AX193" i="19" s="1"/>
  <c r="AY193" i="19" s="1"/>
  <c r="G194" i="19"/>
  <c r="AI194" i="19" s="1"/>
  <c r="AJ194" i="19" s="1"/>
  <c r="AK194" i="19" s="1"/>
  <c r="H194" i="19"/>
  <c r="J195" i="19"/>
  <c r="K173" i="16"/>
  <c r="AO173" i="16"/>
  <c r="AP173" i="16"/>
  <c r="G212" i="17"/>
  <c r="J213" i="17"/>
  <c r="H212" i="17"/>
  <c r="AW234" i="18"/>
  <c r="N208" i="29" l="1"/>
  <c r="P209" i="29"/>
  <c r="AW198" i="28"/>
  <c r="AX198" i="28" s="1"/>
  <c r="AY198" i="28" s="1"/>
  <c r="I199" i="28"/>
  <c r="Q199" i="28" s="1"/>
  <c r="L200" i="28" s="1"/>
  <c r="H199" i="28"/>
  <c r="G199" i="28"/>
  <c r="K199" i="28" s="1"/>
  <c r="F200" i="28" s="1"/>
  <c r="J200" i="28"/>
  <c r="AJ207" i="29"/>
  <c r="AK207" i="29" s="1"/>
  <c r="AO207" i="29"/>
  <c r="AL207" i="29"/>
  <c r="F201" i="26"/>
  <c r="AI200" i="26"/>
  <c r="AL200" i="26"/>
  <c r="AM200" i="26" s="1"/>
  <c r="AN200" i="26" s="1"/>
  <c r="AK188" i="24"/>
  <c r="AN188" i="24"/>
  <c r="G189" i="24"/>
  <c r="AR189" i="24" s="1"/>
  <c r="F190" i="15"/>
  <c r="AI189" i="15"/>
  <c r="AJ189" i="15" s="1"/>
  <c r="AK189" i="15" s="1"/>
  <c r="AL189" i="15"/>
  <c r="AM189" i="15" s="1"/>
  <c r="AN189" i="15" s="1"/>
  <c r="K207" i="29"/>
  <c r="AL194" i="19"/>
  <c r="AM194" i="19" s="1"/>
  <c r="AN194" i="19" s="1"/>
  <c r="AP194" i="19"/>
  <c r="AO194" i="19"/>
  <c r="K194" i="19"/>
  <c r="AI173" i="16"/>
  <c r="AJ173" i="16" s="1"/>
  <c r="AK173" i="16" s="1"/>
  <c r="F174" i="16"/>
  <c r="AS173" i="16"/>
  <c r="AU173" i="16"/>
  <c r="AQ173" i="16"/>
  <c r="AO212" i="17"/>
  <c r="AP212" i="17"/>
  <c r="AI212" i="17"/>
  <c r="AJ212" i="17" s="1"/>
  <c r="AK212" i="17" s="1"/>
  <c r="AL212" i="17"/>
  <c r="AM212" i="17" s="1"/>
  <c r="AN212" i="17" s="1"/>
  <c r="K212" i="17"/>
  <c r="AL199" i="28" l="1"/>
  <c r="AM199" i="28" s="1"/>
  <c r="AN199" i="28" s="1"/>
  <c r="AS199" i="28"/>
  <c r="AU199" i="28"/>
  <c r="AP199" i="28"/>
  <c r="AO199" i="28"/>
  <c r="I200" i="28"/>
  <c r="G200" i="28"/>
  <c r="H200" i="28"/>
  <c r="J201" i="28"/>
  <c r="AQ199" i="28"/>
  <c r="O200" i="28"/>
  <c r="M200" i="28"/>
  <c r="N200" i="28"/>
  <c r="P201" i="28"/>
  <c r="AI199" i="28"/>
  <c r="AJ199" i="28" s="1"/>
  <c r="AK199" i="28" s="1"/>
  <c r="AM207" i="29"/>
  <c r="AN207" i="29" s="1"/>
  <c r="F208" i="29"/>
  <c r="I208" i="29" s="1"/>
  <c r="AQ207" i="29"/>
  <c r="AS207" i="29"/>
  <c r="AU207" i="29"/>
  <c r="AW188" i="24"/>
  <c r="AX188" i="24" s="1"/>
  <c r="AY188" i="24" s="1"/>
  <c r="G201" i="26"/>
  <c r="AR201" i="26" s="1"/>
  <c r="AJ200" i="26"/>
  <c r="AK200" i="26" s="1"/>
  <c r="AW200" i="26" s="1"/>
  <c r="AX200" i="26" s="1"/>
  <c r="AY200" i="26" s="1"/>
  <c r="AW189" i="15"/>
  <c r="AX189" i="15" s="1"/>
  <c r="AY189" i="15" s="1"/>
  <c r="H189" i="24"/>
  <c r="G190" i="15"/>
  <c r="AR190" i="15" s="1"/>
  <c r="AQ194" i="19"/>
  <c r="AU194" i="19"/>
  <c r="AS194" i="19"/>
  <c r="F195" i="19"/>
  <c r="AW173" i="16"/>
  <c r="AX173" i="16" s="1"/>
  <c r="AY173" i="16" s="1"/>
  <c r="J175" i="16"/>
  <c r="G174" i="16"/>
  <c r="AL174" i="16" s="1"/>
  <c r="AM174" i="16" s="1"/>
  <c r="AN174" i="16" s="1"/>
  <c r="H174" i="16"/>
  <c r="F213" i="17"/>
  <c r="AU212" i="17"/>
  <c r="AS212" i="17"/>
  <c r="AQ212" i="17"/>
  <c r="Q200" i="28" l="1"/>
  <c r="L201" i="28" s="1"/>
  <c r="O201" i="28" s="1"/>
  <c r="AL200" i="28"/>
  <c r="AM200" i="28" s="1"/>
  <c r="AN200" i="28" s="1"/>
  <c r="AP200" i="28"/>
  <c r="AO200" i="28"/>
  <c r="AI200" i="28"/>
  <c r="AR208" i="29"/>
  <c r="Q208" i="29"/>
  <c r="L209" i="29" s="1"/>
  <c r="K200" i="28"/>
  <c r="AW199" i="28"/>
  <c r="AX199" i="28" s="1"/>
  <c r="AY199" i="28" s="1"/>
  <c r="H208" i="29"/>
  <c r="AP208" i="29" s="1"/>
  <c r="J209" i="29"/>
  <c r="G208" i="29"/>
  <c r="AI208" i="29" s="1"/>
  <c r="H201" i="26"/>
  <c r="AW207" i="29"/>
  <c r="AX207" i="29" s="1"/>
  <c r="AY207" i="29" s="1"/>
  <c r="F190" i="24"/>
  <c r="AI189" i="24"/>
  <c r="AJ189" i="24" s="1"/>
  <c r="AL189" i="24"/>
  <c r="AM189" i="24" s="1"/>
  <c r="H190" i="15"/>
  <c r="AW194" i="19"/>
  <c r="AX194" i="19" s="1"/>
  <c r="AY194" i="19" s="1"/>
  <c r="H195" i="19"/>
  <c r="G195" i="19"/>
  <c r="J196" i="19"/>
  <c r="AW212" i="17"/>
  <c r="AX212" i="17" s="1"/>
  <c r="AY212" i="17" s="1"/>
  <c r="K174" i="16"/>
  <c r="AU174" i="16" s="1"/>
  <c r="AO174" i="16"/>
  <c r="AP174" i="16"/>
  <c r="H213" i="17"/>
  <c r="G213" i="17"/>
  <c r="K213" i="17" s="1"/>
  <c r="AS213" i="17" s="1"/>
  <c r="J214" i="17"/>
  <c r="M201" i="28" l="1"/>
  <c r="P202" i="28"/>
  <c r="N201" i="28"/>
  <c r="O209" i="29"/>
  <c r="M209" i="29"/>
  <c r="N209" i="29"/>
  <c r="P210" i="29"/>
  <c r="F201" i="28"/>
  <c r="AQ200" i="28"/>
  <c r="AU200" i="28"/>
  <c r="AS200" i="28"/>
  <c r="AJ200" i="28"/>
  <c r="AK200" i="28" s="1"/>
  <c r="AJ208" i="29"/>
  <c r="AK208" i="29" s="1"/>
  <c r="AL208" i="29"/>
  <c r="AM208" i="29" s="1"/>
  <c r="AO208" i="29"/>
  <c r="F202" i="26"/>
  <c r="AL201" i="26"/>
  <c r="AI201" i="26"/>
  <c r="AJ201" i="26" s="1"/>
  <c r="AK201" i="26" s="1"/>
  <c r="AK189" i="24"/>
  <c r="AN189" i="24"/>
  <c r="G190" i="24"/>
  <c r="AR190" i="24" s="1"/>
  <c r="F191" i="15"/>
  <c r="AI190" i="15"/>
  <c r="AJ190" i="15" s="1"/>
  <c r="AK190" i="15" s="1"/>
  <c r="AL190" i="15"/>
  <c r="AM190" i="15" s="1"/>
  <c r="AN190" i="15" s="1"/>
  <c r="K208" i="29"/>
  <c r="AL195" i="19"/>
  <c r="AM195" i="19" s="1"/>
  <c r="AN195" i="19" s="1"/>
  <c r="K195" i="19"/>
  <c r="AP195" i="19"/>
  <c r="AO195" i="19"/>
  <c r="AI195" i="19"/>
  <c r="AJ195" i="19" s="1"/>
  <c r="AK195" i="19" s="1"/>
  <c r="AQ174" i="16"/>
  <c r="F175" i="16"/>
  <c r="AS174" i="16"/>
  <c r="AI174" i="16"/>
  <c r="AJ174" i="16" s="1"/>
  <c r="AK174" i="16" s="1"/>
  <c r="AL213" i="17"/>
  <c r="AM213" i="17" s="1"/>
  <c r="AN213" i="17" s="1"/>
  <c r="AO213" i="17"/>
  <c r="AP213" i="17"/>
  <c r="AI213" i="17"/>
  <c r="AJ213" i="17" s="1"/>
  <c r="AK213" i="17" s="1"/>
  <c r="F214" i="17"/>
  <c r="AU213" i="17"/>
  <c r="AQ213" i="17"/>
  <c r="AW200" i="28" l="1"/>
  <c r="AX200" i="28" s="1"/>
  <c r="AY200" i="28" s="1"/>
  <c r="I201" i="28"/>
  <c r="Q201" i="28" s="1"/>
  <c r="L202" i="28" s="1"/>
  <c r="H201" i="28"/>
  <c r="J202" i="28"/>
  <c r="G201" i="28"/>
  <c r="K201" i="28" s="1"/>
  <c r="F202" i="28" s="1"/>
  <c r="F209" i="29"/>
  <c r="I209" i="29" s="1"/>
  <c r="AR209" i="29" s="1"/>
  <c r="AQ208" i="29"/>
  <c r="AU208" i="29"/>
  <c r="AS208" i="29"/>
  <c r="AN208" i="29"/>
  <c r="G202" i="26"/>
  <c r="AR202" i="26" s="1"/>
  <c r="AM201" i="26"/>
  <c r="AN201" i="26" s="1"/>
  <c r="AW201" i="26" s="1"/>
  <c r="AX201" i="26" s="1"/>
  <c r="AY201" i="26" s="1"/>
  <c r="AW190" i="15"/>
  <c r="AX190" i="15" s="1"/>
  <c r="AY190" i="15" s="1"/>
  <c r="AW189" i="24"/>
  <c r="AX189" i="24" s="1"/>
  <c r="AY189" i="24" s="1"/>
  <c r="H190" i="24"/>
  <c r="G191" i="15"/>
  <c r="AR191" i="15" s="1"/>
  <c r="AS195" i="19"/>
  <c r="F196" i="19"/>
  <c r="AU195" i="19"/>
  <c r="AQ195" i="19"/>
  <c r="AW174" i="16"/>
  <c r="AX174" i="16" s="1"/>
  <c r="AY174" i="16" s="1"/>
  <c r="H175" i="16"/>
  <c r="J176" i="16"/>
  <c r="G175" i="16"/>
  <c r="AL175" i="16" s="1"/>
  <c r="AM175" i="16" s="1"/>
  <c r="AN175" i="16" s="1"/>
  <c r="H214" i="17"/>
  <c r="G214" i="17"/>
  <c r="AL214" i="17" s="1"/>
  <c r="AM214" i="17" s="1"/>
  <c r="AN214" i="17" s="1"/>
  <c r="J215" i="17"/>
  <c r="AW213" i="17"/>
  <c r="AX213" i="17" s="1"/>
  <c r="AY213" i="17" s="1"/>
  <c r="AP201" i="28" l="1"/>
  <c r="AO201" i="28"/>
  <c r="I202" i="28"/>
  <c r="H202" i="28"/>
  <c r="G202" i="28"/>
  <c r="K202" i="28" s="1"/>
  <c r="F203" i="28" s="1"/>
  <c r="J203" i="28"/>
  <c r="O202" i="28"/>
  <c r="M202" i="28"/>
  <c r="N202" i="28"/>
  <c r="P203" i="28"/>
  <c r="AL201" i="28"/>
  <c r="AM201" i="28" s="1"/>
  <c r="AN201" i="28" s="1"/>
  <c r="AI201" i="28"/>
  <c r="AJ201" i="28" s="1"/>
  <c r="AK201" i="28" s="1"/>
  <c r="Q209" i="29"/>
  <c r="L210" i="29" s="1"/>
  <c r="AU201" i="28"/>
  <c r="AS201" i="28"/>
  <c r="AQ201" i="28"/>
  <c r="J210" i="29"/>
  <c r="H209" i="29"/>
  <c r="AP209" i="29" s="1"/>
  <c r="G209" i="29"/>
  <c r="AL209" i="29" s="1"/>
  <c r="AM209" i="29" s="1"/>
  <c r="H202" i="26"/>
  <c r="AW208" i="29"/>
  <c r="AX208" i="29" s="1"/>
  <c r="AY208" i="29" s="1"/>
  <c r="F191" i="24"/>
  <c r="AI190" i="24"/>
  <c r="AJ190" i="24" s="1"/>
  <c r="AL190" i="24"/>
  <c r="AM190" i="24" s="1"/>
  <c r="H191" i="15"/>
  <c r="AW195" i="19"/>
  <c r="AX195" i="19" s="1"/>
  <c r="AY195" i="19" s="1"/>
  <c r="G196" i="19"/>
  <c r="K196" i="19" s="1"/>
  <c r="J197" i="19"/>
  <c r="H196" i="19"/>
  <c r="AO175" i="16"/>
  <c r="AP175" i="16"/>
  <c r="K175" i="16"/>
  <c r="AI214" i="17"/>
  <c r="AJ214" i="17" s="1"/>
  <c r="AK214" i="17" s="1"/>
  <c r="K214" i="17"/>
  <c r="AO214" i="17"/>
  <c r="AP214" i="17"/>
  <c r="AW201" i="28" l="1"/>
  <c r="AX201" i="28" s="1"/>
  <c r="AY201" i="28" s="1"/>
  <c r="AP202" i="28"/>
  <c r="AO202" i="28"/>
  <c r="AL202" i="28"/>
  <c r="AM202" i="28" s="1"/>
  <c r="AN202" i="28" s="1"/>
  <c r="AI202" i="28"/>
  <c r="AJ202" i="28" s="1"/>
  <c r="AK202" i="28" s="1"/>
  <c r="O210" i="29"/>
  <c r="M210" i="29"/>
  <c r="P211" i="29"/>
  <c r="N210" i="29"/>
  <c r="I203" i="28"/>
  <c r="G203" i="28"/>
  <c r="K203" i="28" s="1"/>
  <c r="F204" i="28" s="1"/>
  <c r="J204" i="28"/>
  <c r="H203" i="28"/>
  <c r="Q202" i="28"/>
  <c r="L203" i="28" s="1"/>
  <c r="AI209" i="29"/>
  <c r="AO209" i="29"/>
  <c r="F203" i="26"/>
  <c r="AL202" i="26"/>
  <c r="AI202" i="26"/>
  <c r="AN190" i="24"/>
  <c r="AK190" i="24"/>
  <c r="G191" i="24"/>
  <c r="AR191" i="24" s="1"/>
  <c r="F192" i="15"/>
  <c r="AL191" i="15"/>
  <c r="AM191" i="15" s="1"/>
  <c r="AN191" i="15" s="1"/>
  <c r="AI191" i="15"/>
  <c r="AJ191" i="15" s="1"/>
  <c r="AK191" i="15" s="1"/>
  <c r="K209" i="29"/>
  <c r="F197" i="19"/>
  <c r="J198" i="19" s="1"/>
  <c r="AS196" i="19"/>
  <c r="AU196" i="19"/>
  <c r="AQ196" i="19"/>
  <c r="AP196" i="19"/>
  <c r="AO196" i="19"/>
  <c r="AL196" i="19"/>
  <c r="AM196" i="19" s="1"/>
  <c r="AN196" i="19" s="1"/>
  <c r="AI196" i="19"/>
  <c r="AJ196" i="19" s="1"/>
  <c r="AK196" i="19" s="1"/>
  <c r="F176" i="16"/>
  <c r="AI175" i="16"/>
  <c r="AJ175" i="16" s="1"/>
  <c r="AK175" i="16" s="1"/>
  <c r="AS175" i="16"/>
  <c r="AU175" i="16"/>
  <c r="AQ175" i="16"/>
  <c r="F215" i="17"/>
  <c r="AU214" i="17"/>
  <c r="AQ214" i="17"/>
  <c r="AS214" i="17"/>
  <c r="AQ202" i="28" l="1"/>
  <c r="AU202" i="28"/>
  <c r="AS202" i="28"/>
  <c r="I204" i="28"/>
  <c r="G204" i="28"/>
  <c r="H204" i="28"/>
  <c r="J205" i="28"/>
  <c r="O203" i="28"/>
  <c r="M203" i="28"/>
  <c r="P204" i="28"/>
  <c r="N203" i="28"/>
  <c r="AO203" i="28" s="1"/>
  <c r="AJ209" i="29"/>
  <c r="AK209" i="29" s="1"/>
  <c r="F210" i="29"/>
  <c r="I210" i="29" s="1"/>
  <c r="AR210" i="29" s="1"/>
  <c r="AQ209" i="29"/>
  <c r="AU209" i="29"/>
  <c r="AS209" i="29"/>
  <c r="AM202" i="26"/>
  <c r="AN202" i="26" s="1"/>
  <c r="G203" i="26"/>
  <c r="AR203" i="26" s="1"/>
  <c r="AJ202" i="26"/>
  <c r="AK202" i="26" s="1"/>
  <c r="AW190" i="24"/>
  <c r="AX190" i="24" s="1"/>
  <c r="AY190" i="24" s="1"/>
  <c r="AW191" i="15"/>
  <c r="AX191" i="15" s="1"/>
  <c r="AY191" i="15" s="1"/>
  <c r="H191" i="24"/>
  <c r="G192" i="15"/>
  <c r="AR192" i="15" s="1"/>
  <c r="AN209" i="29"/>
  <c r="G197" i="19"/>
  <c r="K197" i="19" s="1"/>
  <c r="AU197" i="19" s="1"/>
  <c r="H197" i="19"/>
  <c r="AP197" i="19" s="1"/>
  <c r="AW196" i="19"/>
  <c r="AX196" i="19" s="1"/>
  <c r="AY196" i="19" s="1"/>
  <c r="AW214" i="17"/>
  <c r="AX214" i="17" s="1"/>
  <c r="AY214" i="17" s="1"/>
  <c r="AW175" i="16"/>
  <c r="AX175" i="16" s="1"/>
  <c r="AY175" i="16" s="1"/>
  <c r="J177" i="16"/>
  <c r="G176" i="16"/>
  <c r="H176" i="16"/>
  <c r="G215" i="17"/>
  <c r="K215" i="17" s="1"/>
  <c r="J216" i="17"/>
  <c r="H215" i="17"/>
  <c r="AW202" i="28" l="1"/>
  <c r="AX202" i="28" s="1"/>
  <c r="AY202" i="28" s="1"/>
  <c r="Q210" i="29"/>
  <c r="L211" i="29" s="1"/>
  <c r="AP203" i="28"/>
  <c r="K204" i="28"/>
  <c r="Q203" i="28"/>
  <c r="AL203" i="28"/>
  <c r="AM203" i="28" s="1"/>
  <c r="AN203" i="28" s="1"/>
  <c r="AI203" i="28"/>
  <c r="AJ203" i="28" s="1"/>
  <c r="AK203" i="28" s="1"/>
  <c r="H210" i="29"/>
  <c r="AP210" i="29" s="1"/>
  <c r="J211" i="29"/>
  <c r="G210" i="29"/>
  <c r="AL210" i="29" s="1"/>
  <c r="AM210" i="29" s="1"/>
  <c r="AW202" i="26"/>
  <c r="AX202" i="26" s="1"/>
  <c r="AY202" i="26" s="1"/>
  <c r="H203" i="26"/>
  <c r="F192" i="24"/>
  <c r="AL191" i="24"/>
  <c r="AM191" i="24" s="1"/>
  <c r="AI191" i="24"/>
  <c r="AJ191" i="24" s="1"/>
  <c r="H192" i="15"/>
  <c r="AW209" i="29"/>
  <c r="AX209" i="29" s="1"/>
  <c r="AY209" i="29" s="1"/>
  <c r="AI197" i="19"/>
  <c r="AJ197" i="19" s="1"/>
  <c r="AK197" i="19" s="1"/>
  <c r="AQ197" i="19"/>
  <c r="AS197" i="19"/>
  <c r="F198" i="19"/>
  <c r="G198" i="19" s="1"/>
  <c r="AL197" i="19"/>
  <c r="AM197" i="19" s="1"/>
  <c r="AN197" i="19" s="1"/>
  <c r="AO197" i="19"/>
  <c r="AO176" i="16"/>
  <c r="AP176" i="16"/>
  <c r="AL176" i="16"/>
  <c r="AM176" i="16" s="1"/>
  <c r="AN176" i="16" s="1"/>
  <c r="K176" i="16"/>
  <c r="F216" i="17"/>
  <c r="AS215" i="17"/>
  <c r="AU215" i="17"/>
  <c r="AQ215" i="17"/>
  <c r="AL215" i="17"/>
  <c r="AM215" i="17" s="1"/>
  <c r="AN215" i="17" s="1"/>
  <c r="AI215" i="17"/>
  <c r="AJ215" i="17" s="1"/>
  <c r="AK215" i="17" s="1"/>
  <c r="AO215" i="17"/>
  <c r="AP215" i="17"/>
  <c r="F205" i="28" l="1"/>
  <c r="L204" i="28"/>
  <c r="AU203" i="28"/>
  <c r="AQ203" i="28"/>
  <c r="AS203" i="28"/>
  <c r="O211" i="29"/>
  <c r="M211" i="29"/>
  <c r="N211" i="29"/>
  <c r="P212" i="29"/>
  <c r="AI210" i="29"/>
  <c r="AO210" i="29"/>
  <c r="F204" i="26"/>
  <c r="AL203" i="26"/>
  <c r="AI203" i="26"/>
  <c r="AK191" i="24"/>
  <c r="AN191" i="24"/>
  <c r="G192" i="24"/>
  <c r="AR192" i="24" s="1"/>
  <c r="F193" i="15"/>
  <c r="AI192" i="15"/>
  <c r="AJ192" i="15" s="1"/>
  <c r="AK192" i="15" s="1"/>
  <c r="AL192" i="15"/>
  <c r="AM192" i="15" s="1"/>
  <c r="AN192" i="15" s="1"/>
  <c r="AN210" i="29"/>
  <c r="K210" i="29"/>
  <c r="AI198" i="19"/>
  <c r="AJ198" i="19" s="1"/>
  <c r="AK198" i="19" s="1"/>
  <c r="H198" i="19"/>
  <c r="AP198" i="19" s="1"/>
  <c r="AL198" i="19"/>
  <c r="AM198" i="19" s="1"/>
  <c r="AN198" i="19" s="1"/>
  <c r="J199" i="19"/>
  <c r="K198" i="19"/>
  <c r="AU198" i="19" s="1"/>
  <c r="AW197" i="19"/>
  <c r="AX197" i="19" s="1"/>
  <c r="AY197" i="19" s="1"/>
  <c r="AS176" i="16"/>
  <c r="AQ176" i="16"/>
  <c r="F177" i="16"/>
  <c r="AI176" i="16"/>
  <c r="AJ176" i="16" s="1"/>
  <c r="AK176" i="16" s="1"/>
  <c r="AU176" i="16"/>
  <c r="AW215" i="17"/>
  <c r="AX215" i="17" s="1"/>
  <c r="AY215" i="17" s="1"/>
  <c r="H216" i="17"/>
  <c r="J217" i="17"/>
  <c r="G216" i="17"/>
  <c r="AL216" i="17" s="1"/>
  <c r="AM216" i="17" s="1"/>
  <c r="AN216" i="17" s="1"/>
  <c r="AW203" i="28" l="1"/>
  <c r="AX203" i="28" s="1"/>
  <c r="AY203" i="28" s="1"/>
  <c r="O204" i="28"/>
  <c r="M204" i="28"/>
  <c r="N204" i="28"/>
  <c r="P205" i="28"/>
  <c r="I205" i="28"/>
  <c r="G205" i="28"/>
  <c r="K205" i="28" s="1"/>
  <c r="F206" i="28" s="1"/>
  <c r="J206" i="28"/>
  <c r="H205" i="28"/>
  <c r="AW191" i="24"/>
  <c r="AX191" i="24" s="1"/>
  <c r="AY191" i="24" s="1"/>
  <c r="AJ210" i="29"/>
  <c r="AK210" i="29" s="1"/>
  <c r="F211" i="29"/>
  <c r="I211" i="29" s="1"/>
  <c r="AR211" i="29" s="1"/>
  <c r="AQ210" i="29"/>
  <c r="AS210" i="29"/>
  <c r="AU210" i="29"/>
  <c r="G204" i="26"/>
  <c r="AR204" i="26" s="1"/>
  <c r="AM203" i="26"/>
  <c r="AN203" i="26" s="1"/>
  <c r="AJ203" i="26"/>
  <c r="AK203" i="26" s="1"/>
  <c r="H192" i="24"/>
  <c r="AW192" i="15"/>
  <c r="AX192" i="15" s="1"/>
  <c r="AY192" i="15" s="1"/>
  <c r="G193" i="15"/>
  <c r="AR193" i="15" s="1"/>
  <c r="AO198" i="19"/>
  <c r="AQ198" i="19"/>
  <c r="AS198" i="19"/>
  <c r="F199" i="19"/>
  <c r="G199" i="19" s="1"/>
  <c r="AW176" i="16"/>
  <c r="AX176" i="16" s="1"/>
  <c r="AY176" i="16" s="1"/>
  <c r="J178" i="16"/>
  <c r="G177" i="16"/>
  <c r="AL177" i="16" s="1"/>
  <c r="AM177" i="16" s="1"/>
  <c r="AN177" i="16" s="1"/>
  <c r="H177" i="16"/>
  <c r="AI216" i="17"/>
  <c r="AJ216" i="17" s="1"/>
  <c r="AK216" i="17" s="1"/>
  <c r="K216" i="17"/>
  <c r="AP216" i="17"/>
  <c r="AO216" i="17"/>
  <c r="Q204" i="28" l="1"/>
  <c r="AU204" i="28" s="1"/>
  <c r="AI204" i="28"/>
  <c r="AJ204" i="28" s="1"/>
  <c r="AK204" i="28" s="1"/>
  <c r="Q211" i="29"/>
  <c r="L212" i="29" s="1"/>
  <c r="I206" i="28"/>
  <c r="G206" i="28"/>
  <c r="H206" i="28"/>
  <c r="J207" i="28"/>
  <c r="AP204" i="28"/>
  <c r="AO204" i="28"/>
  <c r="AL204" i="28"/>
  <c r="AM204" i="28" s="1"/>
  <c r="AN204" i="28" s="1"/>
  <c r="AW203" i="26"/>
  <c r="AX203" i="26" s="1"/>
  <c r="AY203" i="26" s="1"/>
  <c r="J212" i="29"/>
  <c r="H211" i="29"/>
  <c r="AP211" i="29" s="1"/>
  <c r="G211" i="29"/>
  <c r="AL211" i="29" s="1"/>
  <c r="AM211" i="29" s="1"/>
  <c r="H204" i="26"/>
  <c r="F193" i="24"/>
  <c r="AI192" i="24"/>
  <c r="AJ192" i="24" s="1"/>
  <c r="AL192" i="24"/>
  <c r="AM192" i="24" s="1"/>
  <c r="H193" i="15"/>
  <c r="AW210" i="29"/>
  <c r="AX210" i="29" s="1"/>
  <c r="AY210" i="29" s="1"/>
  <c r="AW198" i="19"/>
  <c r="AX198" i="19" s="1"/>
  <c r="AY198" i="19" s="1"/>
  <c r="J200" i="19"/>
  <c r="H199" i="19"/>
  <c r="AP199" i="19" s="1"/>
  <c r="AI199" i="19"/>
  <c r="AJ199" i="19" s="1"/>
  <c r="AK199" i="19" s="1"/>
  <c r="K199" i="19"/>
  <c r="AL199" i="19"/>
  <c r="AM199" i="19" s="1"/>
  <c r="AN199" i="19" s="1"/>
  <c r="K177" i="16"/>
  <c r="AO177" i="16"/>
  <c r="AP177" i="16"/>
  <c r="F217" i="17"/>
  <c r="AQ216" i="17"/>
  <c r="AU216" i="17"/>
  <c r="AS216" i="17"/>
  <c r="AQ204" i="28" l="1"/>
  <c r="AS204" i="28"/>
  <c r="L205" i="28"/>
  <c r="P206" i="28" s="1"/>
  <c r="K206" i="28"/>
  <c r="O212" i="29"/>
  <c r="M212" i="29"/>
  <c r="N212" i="29"/>
  <c r="P213" i="29"/>
  <c r="O205" i="28"/>
  <c r="AI211" i="29"/>
  <c r="AO211" i="29"/>
  <c r="F205" i="26"/>
  <c r="AL204" i="26"/>
  <c r="AI204" i="26"/>
  <c r="AN192" i="24"/>
  <c r="AK192" i="24"/>
  <c r="G193" i="24"/>
  <c r="AR193" i="24" s="1"/>
  <c r="F194" i="15"/>
  <c r="AL193" i="15"/>
  <c r="AM193" i="15" s="1"/>
  <c r="AN193" i="15" s="1"/>
  <c r="AI193" i="15"/>
  <c r="AJ193" i="15" s="1"/>
  <c r="AK193" i="15" s="1"/>
  <c r="AN211" i="29"/>
  <c r="K211" i="29"/>
  <c r="AO199" i="19"/>
  <c r="AW216" i="17"/>
  <c r="AX216" i="17" s="1"/>
  <c r="AY216" i="17" s="1"/>
  <c r="AS199" i="19"/>
  <c r="AU199" i="19"/>
  <c r="F200" i="19"/>
  <c r="AQ199" i="19"/>
  <c r="AQ177" i="16"/>
  <c r="AS177" i="16"/>
  <c r="F178" i="16"/>
  <c r="AI177" i="16"/>
  <c r="AJ177" i="16" s="1"/>
  <c r="AK177" i="16" s="1"/>
  <c r="AU177" i="16"/>
  <c r="J218" i="17"/>
  <c r="H217" i="17"/>
  <c r="G217" i="17"/>
  <c r="AI217" i="17" s="1"/>
  <c r="AJ217" i="17" s="1"/>
  <c r="AK217" i="17" s="1"/>
  <c r="AW204" i="28" l="1"/>
  <c r="AX204" i="28" s="1"/>
  <c r="AY204" i="28" s="1"/>
  <c r="M205" i="28"/>
  <c r="Q205" i="28" s="1"/>
  <c r="N205" i="28"/>
  <c r="AP205" i="28" s="1"/>
  <c r="F207" i="28"/>
  <c r="F212" i="29"/>
  <c r="I212" i="29" s="1"/>
  <c r="AR212" i="29" s="1"/>
  <c r="AQ211" i="29"/>
  <c r="AS211" i="29"/>
  <c r="AU211" i="29"/>
  <c r="AJ211" i="29"/>
  <c r="AK211" i="29" s="1"/>
  <c r="G205" i="26"/>
  <c r="AR205" i="26" s="1"/>
  <c r="AM204" i="26"/>
  <c r="AN204" i="26" s="1"/>
  <c r="AJ204" i="26"/>
  <c r="AK204" i="26" s="1"/>
  <c r="AW193" i="15"/>
  <c r="AX193" i="15" s="1"/>
  <c r="AY193" i="15" s="1"/>
  <c r="AW192" i="24"/>
  <c r="AX192" i="24" s="1"/>
  <c r="AY192" i="24" s="1"/>
  <c r="H193" i="24"/>
  <c r="G194" i="15"/>
  <c r="AR194" i="15" s="1"/>
  <c r="AW199" i="19"/>
  <c r="AX199" i="19" s="1"/>
  <c r="AY199" i="19" s="1"/>
  <c r="AW177" i="16"/>
  <c r="AX177" i="16" s="1"/>
  <c r="AY177" i="16" s="1"/>
  <c r="J201" i="19"/>
  <c r="H200" i="19"/>
  <c r="G200" i="19"/>
  <c r="AL200" i="19" s="1"/>
  <c r="AM200" i="19" s="1"/>
  <c r="AN200" i="19" s="1"/>
  <c r="J179" i="16"/>
  <c r="G178" i="16"/>
  <c r="AL178" i="16" s="1"/>
  <c r="AM178" i="16" s="1"/>
  <c r="AN178" i="16" s="1"/>
  <c r="H178" i="16"/>
  <c r="K217" i="17"/>
  <c r="F218" i="17" s="1"/>
  <c r="G218" i="17" s="1"/>
  <c r="AL218" i="17" s="1"/>
  <c r="AM218" i="17" s="1"/>
  <c r="AN218" i="17" s="1"/>
  <c r="AL217" i="17"/>
  <c r="AM217" i="17" s="1"/>
  <c r="AN217" i="17" s="1"/>
  <c r="AP217" i="17"/>
  <c r="AO217" i="17"/>
  <c r="AL205" i="28" l="1"/>
  <c r="AM205" i="28" s="1"/>
  <c r="AN205" i="28" s="1"/>
  <c r="AI205" i="28"/>
  <c r="AJ205" i="28" s="1"/>
  <c r="AK205" i="28" s="1"/>
  <c r="AO205" i="28"/>
  <c r="Q212" i="29"/>
  <c r="L213" i="29" s="1"/>
  <c r="P214" i="29" s="1"/>
  <c r="O213" i="29"/>
  <c r="L206" i="28"/>
  <c r="AU205" i="28"/>
  <c r="AS205" i="28"/>
  <c r="AQ205" i="28"/>
  <c r="I207" i="28"/>
  <c r="G207" i="28"/>
  <c r="K207" i="28" s="1"/>
  <c r="F208" i="28" s="1"/>
  <c r="J208" i="28"/>
  <c r="H207" i="28"/>
  <c r="H212" i="29"/>
  <c r="AP212" i="29" s="1"/>
  <c r="J213" i="29"/>
  <c r="G212" i="29"/>
  <c r="AI212" i="29" s="1"/>
  <c r="AW204" i="26"/>
  <c r="AX204" i="26" s="1"/>
  <c r="AY204" i="26" s="1"/>
  <c r="AW211" i="29"/>
  <c r="AX211" i="29" s="1"/>
  <c r="AY211" i="29" s="1"/>
  <c r="H205" i="26"/>
  <c r="F194" i="24"/>
  <c r="AL193" i="24"/>
  <c r="AM193" i="24" s="1"/>
  <c r="AI193" i="24"/>
  <c r="AJ193" i="24" s="1"/>
  <c r="H194" i="15"/>
  <c r="AI200" i="19"/>
  <c r="AJ200" i="19" s="1"/>
  <c r="AK200" i="19" s="1"/>
  <c r="AO200" i="19"/>
  <c r="AP200" i="19"/>
  <c r="K200" i="19"/>
  <c r="AS217" i="17"/>
  <c r="K178" i="16"/>
  <c r="AU178" i="16" s="1"/>
  <c r="AO178" i="16"/>
  <c r="AP178" i="16"/>
  <c r="J219" i="17"/>
  <c r="H218" i="17"/>
  <c r="AP218" i="17" s="1"/>
  <c r="AQ217" i="17"/>
  <c r="AU217" i="17"/>
  <c r="AI218" i="17"/>
  <c r="AJ218" i="17" s="1"/>
  <c r="AK218" i="17" s="1"/>
  <c r="K218" i="17"/>
  <c r="AU218" i="17" s="1"/>
  <c r="M213" i="29" l="1"/>
  <c r="N213" i="29"/>
  <c r="AW205" i="28"/>
  <c r="AX205" i="28" s="1"/>
  <c r="AY205" i="28" s="1"/>
  <c r="O206" i="28"/>
  <c r="P207" i="28"/>
  <c r="M206" i="28"/>
  <c r="N206" i="28"/>
  <c r="I208" i="28"/>
  <c r="J209" i="28"/>
  <c r="H208" i="28"/>
  <c r="G208" i="28"/>
  <c r="K208" i="28" s="1"/>
  <c r="AJ212" i="29"/>
  <c r="AK212" i="29" s="1"/>
  <c r="AL212" i="29"/>
  <c r="AO212" i="29"/>
  <c r="F206" i="26"/>
  <c r="AL205" i="26"/>
  <c r="AI205" i="26"/>
  <c r="AN193" i="24"/>
  <c r="AK193" i="24"/>
  <c r="G194" i="24"/>
  <c r="AR194" i="24" s="1"/>
  <c r="F195" i="15"/>
  <c r="AL194" i="15"/>
  <c r="AM194" i="15" s="1"/>
  <c r="AN194" i="15" s="1"/>
  <c r="AI194" i="15"/>
  <c r="AJ194" i="15" s="1"/>
  <c r="AK194" i="15" s="1"/>
  <c r="K212" i="29"/>
  <c r="AW217" i="17"/>
  <c r="AX217" i="17" s="1"/>
  <c r="AY217" i="17" s="1"/>
  <c r="F201" i="19"/>
  <c r="AU200" i="19"/>
  <c r="AQ200" i="19"/>
  <c r="AS200" i="19"/>
  <c r="AQ178" i="16"/>
  <c r="F179" i="16"/>
  <c r="J180" i="16" s="1"/>
  <c r="AI178" i="16"/>
  <c r="AJ178" i="16" s="1"/>
  <c r="AK178" i="16" s="1"/>
  <c r="AS178" i="16"/>
  <c r="AO218" i="17"/>
  <c r="F219" i="17"/>
  <c r="AQ218" i="17"/>
  <c r="AS218" i="17"/>
  <c r="Q206" i="28" l="1"/>
  <c r="L207" i="28" s="1"/>
  <c r="M207" i="28" s="1"/>
  <c r="AP206" i="28"/>
  <c r="AO206" i="28"/>
  <c r="AI206" i="28"/>
  <c r="AJ206" i="28" s="1"/>
  <c r="AK206" i="28" s="1"/>
  <c r="AL206" i="28"/>
  <c r="AM206" i="28" s="1"/>
  <c r="AN206" i="28" s="1"/>
  <c r="O207" i="28"/>
  <c r="F209" i="28"/>
  <c r="H209" i="28" s="1"/>
  <c r="F213" i="29"/>
  <c r="I213" i="29" s="1"/>
  <c r="AU212" i="29"/>
  <c r="AQ212" i="29"/>
  <c r="AS212" i="29"/>
  <c r="AM212" i="29"/>
  <c r="AN212" i="29" s="1"/>
  <c r="AJ205" i="26"/>
  <c r="AK205" i="26" s="1"/>
  <c r="AM205" i="26"/>
  <c r="AN205" i="26" s="1"/>
  <c r="G206" i="26"/>
  <c r="AR206" i="26" s="1"/>
  <c r="AW194" i="15"/>
  <c r="AX194" i="15" s="1"/>
  <c r="AY194" i="15" s="1"/>
  <c r="AW193" i="24"/>
  <c r="AX193" i="24" s="1"/>
  <c r="AY193" i="24" s="1"/>
  <c r="H194" i="24"/>
  <c r="G195" i="15"/>
  <c r="AR195" i="15" s="1"/>
  <c r="AW200" i="19"/>
  <c r="AX200" i="19" s="1"/>
  <c r="AY200" i="19" s="1"/>
  <c r="AW178" i="16"/>
  <c r="AX178" i="16" s="1"/>
  <c r="AY178" i="16" s="1"/>
  <c r="AW218" i="17"/>
  <c r="AX218" i="17" s="1"/>
  <c r="AY218" i="17" s="1"/>
  <c r="G179" i="16"/>
  <c r="AL179" i="16" s="1"/>
  <c r="AM179" i="16" s="1"/>
  <c r="AN179" i="16" s="1"/>
  <c r="H179" i="16"/>
  <c r="AP179" i="16" s="1"/>
  <c r="H201" i="19"/>
  <c r="G201" i="19"/>
  <c r="K201" i="19" s="1"/>
  <c r="F202" i="19" s="1"/>
  <c r="J202" i="19"/>
  <c r="H219" i="17"/>
  <c r="G219" i="17"/>
  <c r="J220" i="17"/>
  <c r="Q207" i="28" l="1"/>
  <c r="L208" i="28" s="1"/>
  <c r="N208" i="28" s="1"/>
  <c r="P208" i="28"/>
  <c r="N207" i="28"/>
  <c r="AO207" i="28" s="1"/>
  <c r="AU206" i="28"/>
  <c r="AS206" i="28"/>
  <c r="AQ206" i="28"/>
  <c r="AL207" i="28"/>
  <c r="AM207" i="28" s="1"/>
  <c r="AN207" i="28" s="1"/>
  <c r="AI207" i="28"/>
  <c r="AJ207" i="28" s="1"/>
  <c r="AK207" i="28" s="1"/>
  <c r="AR213" i="29"/>
  <c r="Q213" i="29"/>
  <c r="L214" i="29" s="1"/>
  <c r="O208" i="28"/>
  <c r="G209" i="28"/>
  <c r="K209" i="28" s="1"/>
  <c r="I209" i="28"/>
  <c r="J210" i="28"/>
  <c r="J214" i="29"/>
  <c r="H213" i="29"/>
  <c r="AP213" i="29" s="1"/>
  <c r="G213" i="29"/>
  <c r="AL213" i="29" s="1"/>
  <c r="AM213" i="29" s="1"/>
  <c r="AW205" i="26"/>
  <c r="AX205" i="26" s="1"/>
  <c r="AY205" i="26" s="1"/>
  <c r="H206" i="26"/>
  <c r="F195" i="24"/>
  <c r="AI194" i="24"/>
  <c r="AJ194" i="24" s="1"/>
  <c r="AL194" i="24"/>
  <c r="AM194" i="24" s="1"/>
  <c r="H195" i="15"/>
  <c r="AW212" i="29"/>
  <c r="AX212" i="29" s="1"/>
  <c r="AY212" i="29" s="1"/>
  <c r="K179" i="16"/>
  <c r="AI179" i="16" s="1"/>
  <c r="AJ179" i="16" s="1"/>
  <c r="AK179" i="16" s="1"/>
  <c r="AO179" i="16"/>
  <c r="AS201" i="19"/>
  <c r="AI201" i="19"/>
  <c r="AJ201" i="19" s="1"/>
  <c r="AK201" i="19" s="1"/>
  <c r="AU201" i="19"/>
  <c r="AQ201" i="19"/>
  <c r="G202" i="19"/>
  <c r="K202" i="19" s="1"/>
  <c r="F203" i="19" s="1"/>
  <c r="H202" i="19"/>
  <c r="J203" i="19"/>
  <c r="AL201" i="19"/>
  <c r="AM201" i="19" s="1"/>
  <c r="AN201" i="19" s="1"/>
  <c r="AO201" i="19"/>
  <c r="AP201" i="19"/>
  <c r="AL219" i="17"/>
  <c r="AM219" i="17" s="1"/>
  <c r="AN219" i="17" s="1"/>
  <c r="AI219" i="17"/>
  <c r="AJ219" i="17" s="1"/>
  <c r="AK219" i="17" s="1"/>
  <c r="K219" i="17"/>
  <c r="AO219" i="17"/>
  <c r="AP219" i="17"/>
  <c r="AS207" i="28" l="1"/>
  <c r="M208" i="28"/>
  <c r="Q208" i="28" s="1"/>
  <c r="P209" i="28"/>
  <c r="AU207" i="28"/>
  <c r="AQ207" i="28"/>
  <c r="AW206" i="28"/>
  <c r="AX206" i="28" s="1"/>
  <c r="AY206" i="28" s="1"/>
  <c r="AP207" i="28"/>
  <c r="AP208" i="28"/>
  <c r="AO208" i="28"/>
  <c r="O214" i="29"/>
  <c r="M214" i="29"/>
  <c r="N214" i="29"/>
  <c r="P215" i="29"/>
  <c r="F210" i="28"/>
  <c r="AI213" i="29"/>
  <c r="AO213" i="29"/>
  <c r="F207" i="26"/>
  <c r="AI206" i="26"/>
  <c r="AL206" i="26"/>
  <c r="AK194" i="24"/>
  <c r="AN194" i="24"/>
  <c r="G195" i="24"/>
  <c r="AR195" i="24" s="1"/>
  <c r="F196" i="15"/>
  <c r="AI195" i="15"/>
  <c r="AJ195" i="15" s="1"/>
  <c r="AK195" i="15" s="1"/>
  <c r="AL195" i="15"/>
  <c r="AM195" i="15" s="1"/>
  <c r="AN195" i="15" s="1"/>
  <c r="K213" i="29"/>
  <c r="AN213" i="29"/>
  <c r="AS179" i="16"/>
  <c r="AW201" i="19"/>
  <c r="AX201" i="19" s="1"/>
  <c r="AY201" i="19" s="1"/>
  <c r="AQ179" i="16"/>
  <c r="F180" i="16"/>
  <c r="G180" i="16" s="1"/>
  <c r="K180" i="16" s="1"/>
  <c r="AS180" i="16" s="1"/>
  <c r="AU179" i="16"/>
  <c r="AS202" i="19"/>
  <c r="AU202" i="19"/>
  <c r="AO202" i="19"/>
  <c r="AP202" i="19"/>
  <c r="AI202" i="19"/>
  <c r="AJ202" i="19" s="1"/>
  <c r="AK202" i="19" s="1"/>
  <c r="AQ202" i="19"/>
  <c r="J204" i="19"/>
  <c r="H203" i="19"/>
  <c r="G203" i="19"/>
  <c r="AL203" i="19" s="1"/>
  <c r="AM203" i="19" s="1"/>
  <c r="AN203" i="19" s="1"/>
  <c r="AL202" i="19"/>
  <c r="AM202" i="19" s="1"/>
  <c r="AN202" i="19" s="1"/>
  <c r="AS219" i="17"/>
  <c r="F220" i="17"/>
  <c r="AQ219" i="17"/>
  <c r="AU219" i="17"/>
  <c r="AL208" i="28" l="1"/>
  <c r="AM208" i="28" s="1"/>
  <c r="AN208" i="28" s="1"/>
  <c r="AI208" i="28"/>
  <c r="AJ208" i="28" s="1"/>
  <c r="AK208" i="28" s="1"/>
  <c r="AW207" i="28"/>
  <c r="AX207" i="28" s="1"/>
  <c r="AY207" i="28" s="1"/>
  <c r="L209" i="28"/>
  <c r="AS208" i="28"/>
  <c r="AU208" i="28"/>
  <c r="AQ208" i="28"/>
  <c r="I210" i="28"/>
  <c r="J211" i="28"/>
  <c r="G210" i="28"/>
  <c r="H210" i="28"/>
  <c r="AW194" i="24"/>
  <c r="AX194" i="24" s="1"/>
  <c r="AY194" i="24" s="1"/>
  <c r="F214" i="29"/>
  <c r="I214" i="29" s="1"/>
  <c r="AR214" i="29" s="1"/>
  <c r="AQ213" i="29"/>
  <c r="AS213" i="29"/>
  <c r="AU213" i="29"/>
  <c r="AJ213" i="29"/>
  <c r="AK213" i="29" s="1"/>
  <c r="AM206" i="26"/>
  <c r="AN206" i="26" s="1"/>
  <c r="G207" i="26"/>
  <c r="AR207" i="26" s="1"/>
  <c r="AJ206" i="26"/>
  <c r="AK206" i="26" s="1"/>
  <c r="AW195" i="15"/>
  <c r="AX195" i="15" s="1"/>
  <c r="AY195" i="15" s="1"/>
  <c r="H195" i="24"/>
  <c r="G196" i="15"/>
  <c r="AR196" i="15" s="1"/>
  <c r="F181" i="16"/>
  <c r="J182" i="16" s="1"/>
  <c r="AW202" i="19"/>
  <c r="AX202" i="19" s="1"/>
  <c r="AY202" i="19" s="1"/>
  <c r="H180" i="16"/>
  <c r="AO180" i="16" s="1"/>
  <c r="AW179" i="16"/>
  <c r="AX179" i="16" s="1"/>
  <c r="AY179" i="16" s="1"/>
  <c r="AI180" i="16"/>
  <c r="AJ180" i="16" s="1"/>
  <c r="AK180" i="16" s="1"/>
  <c r="AW219" i="17"/>
  <c r="AX219" i="17" s="1"/>
  <c r="AY219" i="17" s="1"/>
  <c r="AQ180" i="16"/>
  <c r="AU180" i="16"/>
  <c r="AL180" i="16"/>
  <c r="AM180" i="16" s="1"/>
  <c r="AN180" i="16" s="1"/>
  <c r="J181" i="16"/>
  <c r="AI203" i="19"/>
  <c r="AJ203" i="19" s="1"/>
  <c r="AK203" i="19" s="1"/>
  <c r="AP203" i="19"/>
  <c r="AO203" i="19"/>
  <c r="K203" i="19"/>
  <c r="J221" i="17"/>
  <c r="G220" i="17"/>
  <c r="AL220" i="17" s="1"/>
  <c r="AM220" i="17" s="1"/>
  <c r="AN220" i="17" s="1"/>
  <c r="H220" i="17"/>
  <c r="Q214" i="29" l="1"/>
  <c r="L215" i="29" s="1"/>
  <c r="P216" i="29" s="1"/>
  <c r="AW208" i="28"/>
  <c r="AX208" i="28" s="1"/>
  <c r="AY208" i="28" s="1"/>
  <c r="O209" i="28"/>
  <c r="M209" i="28"/>
  <c r="P210" i="28"/>
  <c r="N209" i="28"/>
  <c r="K210" i="28"/>
  <c r="O215" i="29"/>
  <c r="J215" i="29"/>
  <c r="H214" i="29"/>
  <c r="AP214" i="29" s="1"/>
  <c r="G214" i="29"/>
  <c r="AL214" i="29" s="1"/>
  <c r="AM214" i="29" s="1"/>
  <c r="AW206" i="26"/>
  <c r="AX206" i="26" s="1"/>
  <c r="AY206" i="26" s="1"/>
  <c r="H207" i="26"/>
  <c r="F196" i="24"/>
  <c r="AI195" i="24"/>
  <c r="AJ195" i="24" s="1"/>
  <c r="AL195" i="24"/>
  <c r="AM195" i="24" s="1"/>
  <c r="H196" i="15"/>
  <c r="AW213" i="29"/>
  <c r="AX213" i="29" s="1"/>
  <c r="AY213" i="29" s="1"/>
  <c r="AP180" i="16"/>
  <c r="AW180" i="16" s="1"/>
  <c r="AX180" i="16" s="1"/>
  <c r="AY180" i="16" s="1"/>
  <c r="G181" i="16"/>
  <c r="K181" i="16" s="1"/>
  <c r="F182" i="16" s="1"/>
  <c r="H182" i="16" s="1"/>
  <c r="AO182" i="16" s="1"/>
  <c r="H181" i="16"/>
  <c r="AO181" i="16" s="1"/>
  <c r="F204" i="19"/>
  <c r="AU203" i="19"/>
  <c r="AS203" i="19"/>
  <c r="AQ203" i="19"/>
  <c r="AI220" i="17"/>
  <c r="AJ220" i="17" s="1"/>
  <c r="AK220" i="17" s="1"/>
  <c r="K220" i="17"/>
  <c r="AS220" i="17" s="1"/>
  <c r="AO220" i="17"/>
  <c r="AP220" i="17"/>
  <c r="M215" i="29" l="1"/>
  <c r="N215" i="29"/>
  <c r="Q209" i="28"/>
  <c r="L210" i="28" s="1"/>
  <c r="P211" i="28" s="1"/>
  <c r="AL209" i="28"/>
  <c r="AM209" i="28" s="1"/>
  <c r="AN209" i="28" s="1"/>
  <c r="O210" i="28"/>
  <c r="AI209" i="28"/>
  <c r="AJ209" i="28" s="1"/>
  <c r="AK209" i="28" s="1"/>
  <c r="AO209" i="28"/>
  <c r="AP209" i="28"/>
  <c r="F211" i="28"/>
  <c r="AI214" i="29"/>
  <c r="AO214" i="29"/>
  <c r="F208" i="26"/>
  <c r="AI207" i="26"/>
  <c r="AL207" i="26"/>
  <c r="AM207" i="26" s="1"/>
  <c r="AN207" i="26" s="1"/>
  <c r="AK195" i="24"/>
  <c r="AN195" i="24"/>
  <c r="G196" i="24"/>
  <c r="AR196" i="24" s="1"/>
  <c r="F197" i="15"/>
  <c r="AI196" i="15"/>
  <c r="AJ196" i="15" s="1"/>
  <c r="AK196" i="15" s="1"/>
  <c r="AL196" i="15"/>
  <c r="AM196" i="15" s="1"/>
  <c r="AN196" i="15" s="1"/>
  <c r="K214" i="29"/>
  <c r="AN214" i="29"/>
  <c r="AS181" i="16"/>
  <c r="AP182" i="16"/>
  <c r="AI181" i="16"/>
  <c r="AJ181" i="16" s="1"/>
  <c r="AK181" i="16" s="1"/>
  <c r="AU181" i="16"/>
  <c r="AW203" i="19"/>
  <c r="AX203" i="19" s="1"/>
  <c r="AY203" i="19" s="1"/>
  <c r="AQ181" i="16"/>
  <c r="G182" i="16"/>
  <c r="K182" i="16" s="1"/>
  <c r="F183" i="16" s="1"/>
  <c r="H183" i="16" s="1"/>
  <c r="AL181" i="16"/>
  <c r="AM181" i="16" s="1"/>
  <c r="AN181" i="16" s="1"/>
  <c r="J183" i="16"/>
  <c r="AP181" i="16"/>
  <c r="G204" i="19"/>
  <c r="AI204" i="19" s="1"/>
  <c r="AJ204" i="19" s="1"/>
  <c r="AK204" i="19" s="1"/>
  <c r="J205" i="19"/>
  <c r="H204" i="19"/>
  <c r="F221" i="17"/>
  <c r="G221" i="17" s="1"/>
  <c r="AI221" i="17" s="1"/>
  <c r="AJ221" i="17" s="1"/>
  <c r="AK221" i="17" s="1"/>
  <c r="AQ220" i="17"/>
  <c r="AU220" i="17"/>
  <c r="AQ209" i="28" l="1"/>
  <c r="AU209" i="28"/>
  <c r="N210" i="28"/>
  <c r="AP210" i="28" s="1"/>
  <c r="M210" i="28"/>
  <c r="Q210" i="28" s="1"/>
  <c r="L211" i="28" s="1"/>
  <c r="N211" i="28" s="1"/>
  <c r="AS209" i="28"/>
  <c r="I211" i="28"/>
  <c r="H211" i="28"/>
  <c r="G211" i="28"/>
  <c r="J212" i="28"/>
  <c r="O211" i="28"/>
  <c r="AW195" i="24"/>
  <c r="AX195" i="24" s="1"/>
  <c r="AY195" i="24" s="1"/>
  <c r="F215" i="29"/>
  <c r="I215" i="29" s="1"/>
  <c r="AQ214" i="29"/>
  <c r="AU214" i="29"/>
  <c r="AS214" i="29"/>
  <c r="AJ214" i="29"/>
  <c r="AK214" i="29" s="1"/>
  <c r="G208" i="26"/>
  <c r="AR208" i="26" s="1"/>
  <c r="AJ207" i="26"/>
  <c r="AK207" i="26" s="1"/>
  <c r="AW207" i="26" s="1"/>
  <c r="AX207" i="26" s="1"/>
  <c r="AY207" i="26" s="1"/>
  <c r="H196" i="24"/>
  <c r="G197" i="15"/>
  <c r="AR197" i="15" s="1"/>
  <c r="AW196" i="15"/>
  <c r="AX196" i="15" s="1"/>
  <c r="AY196" i="15" s="1"/>
  <c r="AO183" i="16"/>
  <c r="AP183" i="16"/>
  <c r="AS182" i="16"/>
  <c r="G183" i="16"/>
  <c r="AL183" i="16" s="1"/>
  <c r="AM183" i="16" s="1"/>
  <c r="AN183" i="16" s="1"/>
  <c r="AU182" i="16"/>
  <c r="AQ182" i="16"/>
  <c r="J184" i="16"/>
  <c r="AL182" i="16"/>
  <c r="AM182" i="16" s="1"/>
  <c r="AN182" i="16" s="1"/>
  <c r="AI182" i="16"/>
  <c r="AJ182" i="16" s="1"/>
  <c r="AK182" i="16" s="1"/>
  <c r="AW181" i="16"/>
  <c r="AX181" i="16" s="1"/>
  <c r="AY181" i="16" s="1"/>
  <c r="J222" i="17"/>
  <c r="AW220" i="17"/>
  <c r="AX220" i="17" s="1"/>
  <c r="AY220" i="17" s="1"/>
  <c r="AL204" i="19"/>
  <c r="AM204" i="19" s="1"/>
  <c r="AN204" i="19" s="1"/>
  <c r="AO204" i="19"/>
  <c r="AP204" i="19"/>
  <c r="K204" i="19"/>
  <c r="H221" i="17"/>
  <c r="AP221" i="17" s="1"/>
  <c r="AL221" i="17"/>
  <c r="AM221" i="17" s="1"/>
  <c r="AN221" i="17" s="1"/>
  <c r="K221" i="17"/>
  <c r="AU221" i="17" s="1"/>
  <c r="AW209" i="28" l="1"/>
  <c r="AX209" i="28" s="1"/>
  <c r="AY209" i="28" s="1"/>
  <c r="AL210" i="28"/>
  <c r="AM210" i="28" s="1"/>
  <c r="AN210" i="28" s="1"/>
  <c r="AO210" i="28"/>
  <c r="AI210" i="28"/>
  <c r="AJ210" i="28" s="1"/>
  <c r="AK210" i="28" s="1"/>
  <c r="AU210" i="28"/>
  <c r="M211" i="28"/>
  <c r="AI211" i="28" s="1"/>
  <c r="AJ211" i="28" s="1"/>
  <c r="AK211" i="28" s="1"/>
  <c r="P212" i="28"/>
  <c r="AQ210" i="28"/>
  <c r="AS210" i="28"/>
  <c r="AP211" i="28"/>
  <c r="AO211" i="28"/>
  <c r="K211" i="28"/>
  <c r="AR215" i="29"/>
  <c r="Q215" i="29"/>
  <c r="L216" i="29" s="1"/>
  <c r="H215" i="29"/>
  <c r="AP215" i="29" s="1"/>
  <c r="J216" i="29"/>
  <c r="G215" i="29"/>
  <c r="AI215" i="29" s="1"/>
  <c r="H208" i="26"/>
  <c r="F197" i="24"/>
  <c r="AI196" i="24"/>
  <c r="AJ196" i="24" s="1"/>
  <c r="AL196" i="24"/>
  <c r="AM196" i="24" s="1"/>
  <c r="H197" i="15"/>
  <c r="AW214" i="29"/>
  <c r="AX214" i="29" s="1"/>
  <c r="AY214" i="29" s="1"/>
  <c r="K183" i="16"/>
  <c r="AQ183" i="16" s="1"/>
  <c r="AW182" i="16"/>
  <c r="AX182" i="16" s="1"/>
  <c r="AY182" i="16" s="1"/>
  <c r="AO221" i="17"/>
  <c r="F205" i="19"/>
  <c r="AQ204" i="19"/>
  <c r="AS204" i="19"/>
  <c r="AU204" i="19"/>
  <c r="AS221" i="17"/>
  <c r="F222" i="17"/>
  <c r="H222" i="17" s="1"/>
  <c r="AQ221" i="17"/>
  <c r="AW210" i="28" l="1"/>
  <c r="AX210" i="28" s="1"/>
  <c r="AY210" i="28" s="1"/>
  <c r="AL211" i="28"/>
  <c r="AM211" i="28" s="1"/>
  <c r="AN211" i="28" s="1"/>
  <c r="Q211" i="28"/>
  <c r="L212" i="28" s="1"/>
  <c r="P213" i="28" s="1"/>
  <c r="F212" i="28"/>
  <c r="M216" i="29"/>
  <c r="O216" i="29"/>
  <c r="N216" i="29"/>
  <c r="P217" i="29"/>
  <c r="O212" i="28"/>
  <c r="AJ215" i="29"/>
  <c r="AK215" i="29" s="1"/>
  <c r="AL215" i="29"/>
  <c r="AO215" i="29"/>
  <c r="F209" i="26"/>
  <c r="AL208" i="26"/>
  <c r="AI208" i="26"/>
  <c r="AN196" i="24"/>
  <c r="AK196" i="24"/>
  <c r="G197" i="24"/>
  <c r="AR197" i="24" s="1"/>
  <c r="F198" i="15"/>
  <c r="AL197" i="15"/>
  <c r="AM197" i="15" s="1"/>
  <c r="AN197" i="15" s="1"/>
  <c r="AI197" i="15"/>
  <c r="AJ197" i="15" s="1"/>
  <c r="AK197" i="15" s="1"/>
  <c r="K215" i="29"/>
  <c r="AU183" i="16"/>
  <c r="AI183" i="16"/>
  <c r="AJ183" i="16" s="1"/>
  <c r="AK183" i="16" s="1"/>
  <c r="F184" i="16"/>
  <c r="AS183" i="16"/>
  <c r="AW204" i="19"/>
  <c r="AX204" i="19" s="1"/>
  <c r="AY204" i="19" s="1"/>
  <c r="AW221" i="17"/>
  <c r="AX221" i="17" s="1"/>
  <c r="AY221" i="17" s="1"/>
  <c r="AY236" i="17" s="1"/>
  <c r="H205" i="19"/>
  <c r="G205" i="19"/>
  <c r="AL205" i="19" s="1"/>
  <c r="AM205" i="19" s="1"/>
  <c r="AN205" i="19" s="1"/>
  <c r="J206" i="19"/>
  <c r="J223" i="17"/>
  <c r="G222" i="17"/>
  <c r="K222" i="17" s="1"/>
  <c r="F223" i="17" s="1"/>
  <c r="J224" i="17" s="1"/>
  <c r="AP222" i="17"/>
  <c r="AO222" i="17"/>
  <c r="AX50" i="12" l="1"/>
  <c r="BB50" i="12" s="1"/>
  <c r="BD50" i="12" s="1"/>
  <c r="AX49" i="12"/>
  <c r="AX52" i="12"/>
  <c r="BH52" i="12" s="1"/>
  <c r="AX51" i="12"/>
  <c r="AS211" i="28"/>
  <c r="AU211" i="28"/>
  <c r="AQ211" i="28"/>
  <c r="M212" i="28"/>
  <c r="N212" i="28"/>
  <c r="I212" i="28"/>
  <c r="G212" i="28"/>
  <c r="H212" i="28"/>
  <c r="J213" i="28"/>
  <c r="AM215" i="29"/>
  <c r="AN215" i="29" s="1"/>
  <c r="F216" i="29"/>
  <c r="I216" i="29" s="1"/>
  <c r="AR216" i="29" s="1"/>
  <c r="AQ215" i="29"/>
  <c r="AS215" i="29"/>
  <c r="AU215" i="29"/>
  <c r="AJ208" i="26"/>
  <c r="AK208" i="26" s="1"/>
  <c r="AM208" i="26"/>
  <c r="AN208" i="26" s="1"/>
  <c r="G209" i="26"/>
  <c r="AR209" i="26" s="1"/>
  <c r="AW196" i="24"/>
  <c r="AX196" i="24" s="1"/>
  <c r="AY196" i="24" s="1"/>
  <c r="H197" i="24"/>
  <c r="AW197" i="15"/>
  <c r="AX197" i="15" s="1"/>
  <c r="AY197" i="15" s="1"/>
  <c r="G198" i="15"/>
  <c r="AR198" i="15" s="1"/>
  <c r="AW183" i="16"/>
  <c r="AX183" i="16" s="1"/>
  <c r="AY183" i="16" s="1"/>
  <c r="G184" i="16"/>
  <c r="K184" i="16" s="1"/>
  <c r="AS184" i="16" s="1"/>
  <c r="J185" i="16"/>
  <c r="H184" i="16"/>
  <c r="AI205" i="19"/>
  <c r="AJ205" i="19" s="1"/>
  <c r="AK205" i="19" s="1"/>
  <c r="K205" i="19"/>
  <c r="AO205" i="19"/>
  <c r="AP205" i="19"/>
  <c r="G223" i="17"/>
  <c r="AI223" i="17" s="1"/>
  <c r="AJ223" i="17" s="1"/>
  <c r="AK223" i="17" s="1"/>
  <c r="AS222" i="17"/>
  <c r="AQ222" i="17"/>
  <c r="H223" i="17"/>
  <c r="AP223" i="17" s="1"/>
  <c r="AU222" i="17"/>
  <c r="AL222" i="17"/>
  <c r="AM222" i="17" s="1"/>
  <c r="AN222" i="17" s="1"/>
  <c r="AI222" i="17"/>
  <c r="AJ222" i="17" s="1"/>
  <c r="AK222" i="17" s="1"/>
  <c r="BH50" i="12" l="1"/>
  <c r="BB49" i="12"/>
  <c r="BD49" i="12" s="1"/>
  <c r="BH49" i="12"/>
  <c r="AX63" i="12"/>
  <c r="BB52" i="12"/>
  <c r="BD52" i="12" s="1"/>
  <c r="BB51" i="12"/>
  <c r="BD51" i="12" s="1"/>
  <c r="BH51" i="12"/>
  <c r="AW211" i="28"/>
  <c r="AX211" i="28" s="1"/>
  <c r="AY211" i="28" s="1"/>
  <c r="Q216" i="29"/>
  <c r="L217" i="29" s="1"/>
  <c r="N217" i="29" s="1"/>
  <c r="Q212" i="28"/>
  <c r="L213" i="28" s="1"/>
  <c r="N213" i="28" s="1"/>
  <c r="AI212" i="28"/>
  <c r="AJ212" i="28" s="1"/>
  <c r="AK212" i="28" s="1"/>
  <c r="O213" i="28"/>
  <c r="K212" i="28"/>
  <c r="AP212" i="28"/>
  <c r="AO212" i="28"/>
  <c r="AL212" i="28"/>
  <c r="AM212" i="28" s="1"/>
  <c r="AN212" i="28" s="1"/>
  <c r="O217" i="29"/>
  <c r="AW208" i="26"/>
  <c r="AX208" i="26" s="1"/>
  <c r="AY208" i="26" s="1"/>
  <c r="J217" i="29"/>
  <c r="H216" i="29"/>
  <c r="AP216" i="29" s="1"/>
  <c r="G216" i="29"/>
  <c r="AL216" i="29" s="1"/>
  <c r="AM216" i="29" s="1"/>
  <c r="H209" i="26"/>
  <c r="F198" i="24"/>
  <c r="AI197" i="24"/>
  <c r="AJ197" i="24" s="1"/>
  <c r="AL197" i="24"/>
  <c r="AM197" i="24" s="1"/>
  <c r="H198" i="15"/>
  <c r="AW215" i="29"/>
  <c r="AX215" i="29" s="1"/>
  <c r="AY215" i="29" s="1"/>
  <c r="AL184" i="16"/>
  <c r="AM184" i="16" s="1"/>
  <c r="AN184" i="16" s="1"/>
  <c r="AQ184" i="16"/>
  <c r="AU184" i="16"/>
  <c r="AO184" i="16"/>
  <c r="AP184" i="16"/>
  <c r="AI184" i="16"/>
  <c r="AJ184" i="16" s="1"/>
  <c r="AK184" i="16" s="1"/>
  <c r="F185" i="16"/>
  <c r="F206" i="19"/>
  <c r="AU205" i="19"/>
  <c r="AS205" i="19"/>
  <c r="AQ205" i="19"/>
  <c r="AL223" i="17"/>
  <c r="AM223" i="17" s="1"/>
  <c r="AN223" i="17" s="1"/>
  <c r="K223" i="17"/>
  <c r="AU223" i="17" s="1"/>
  <c r="AO223" i="17"/>
  <c r="AW222" i="17"/>
  <c r="BD63" i="12" l="1"/>
  <c r="E9" i="11" s="1"/>
  <c r="F9" i="11" s="1"/>
  <c r="F10" i="11" s="1"/>
  <c r="E10" i="11" s="1"/>
  <c r="BB63" i="12"/>
  <c r="M213" i="28"/>
  <c r="P214" i="28"/>
  <c r="M217" i="29"/>
  <c r="P218" i="29"/>
  <c r="F213" i="28"/>
  <c r="AQ212" i="28"/>
  <c r="AU212" i="28"/>
  <c r="AS212" i="28"/>
  <c r="AO216" i="29"/>
  <c r="AI216" i="29"/>
  <c r="F210" i="26"/>
  <c r="AI209" i="26"/>
  <c r="AL209" i="26"/>
  <c r="AK197" i="24"/>
  <c r="AN197" i="24"/>
  <c r="G198" i="24"/>
  <c r="AR198" i="24" s="1"/>
  <c r="F199" i="15"/>
  <c r="AL198" i="15"/>
  <c r="AM198" i="15" s="1"/>
  <c r="AN198" i="15" s="1"/>
  <c r="AI198" i="15"/>
  <c r="AJ198" i="15" s="1"/>
  <c r="AK198" i="15" s="1"/>
  <c r="K216" i="29"/>
  <c r="AN216" i="29"/>
  <c r="AW184" i="16"/>
  <c r="AX184" i="16" s="1"/>
  <c r="AY184" i="16" s="1"/>
  <c r="F224" i="17"/>
  <c r="J225" i="17" s="1"/>
  <c r="H185" i="16"/>
  <c r="J186" i="16"/>
  <c r="G185" i="16"/>
  <c r="AL185" i="16" s="1"/>
  <c r="AM185" i="16" s="1"/>
  <c r="AN185" i="16" s="1"/>
  <c r="AW205" i="19"/>
  <c r="AX205" i="19" s="1"/>
  <c r="AY205" i="19" s="1"/>
  <c r="J207" i="19"/>
  <c r="G206" i="19"/>
  <c r="AI206" i="19" s="1"/>
  <c r="AJ206" i="19" s="1"/>
  <c r="AK206" i="19" s="1"/>
  <c r="H206" i="19"/>
  <c r="AQ223" i="17"/>
  <c r="AS223" i="17"/>
  <c r="BG38" i="12" l="1"/>
  <c r="BH38" i="12" s="1"/>
  <c r="BG37" i="12"/>
  <c r="BH37" i="12" s="1"/>
  <c r="E11" i="11"/>
  <c r="F11" i="11" s="1"/>
  <c r="AW212" i="28"/>
  <c r="AX212" i="28" s="1"/>
  <c r="AY212" i="28" s="1"/>
  <c r="H213" i="28"/>
  <c r="I213" i="28"/>
  <c r="Q213" i="28" s="1"/>
  <c r="L214" i="28" s="1"/>
  <c r="G213" i="28"/>
  <c r="AL213" i="28" s="1"/>
  <c r="AM213" i="28" s="1"/>
  <c r="AN213" i="28" s="1"/>
  <c r="J214" i="28"/>
  <c r="AJ216" i="29"/>
  <c r="AK216" i="29" s="1"/>
  <c r="F217" i="29"/>
  <c r="I217" i="29" s="1"/>
  <c r="AS216" i="29"/>
  <c r="AU216" i="29"/>
  <c r="AQ216" i="29"/>
  <c r="AJ209" i="26"/>
  <c r="AK209" i="26" s="1"/>
  <c r="AM209" i="26"/>
  <c r="AN209" i="26" s="1"/>
  <c r="G210" i="26"/>
  <c r="AR210" i="26" s="1"/>
  <c r="AW197" i="24"/>
  <c r="AX197" i="24" s="1"/>
  <c r="AY197" i="24" s="1"/>
  <c r="H198" i="24"/>
  <c r="G199" i="15"/>
  <c r="AR199" i="15" s="1"/>
  <c r="AW198" i="15"/>
  <c r="AX198" i="15" s="1"/>
  <c r="AY198" i="15" s="1"/>
  <c r="H224" i="17"/>
  <c r="AO224" i="17" s="1"/>
  <c r="G224" i="17"/>
  <c r="K224" i="17" s="1"/>
  <c r="F225" i="17" s="1"/>
  <c r="G225" i="17" s="1"/>
  <c r="AL225" i="17" s="1"/>
  <c r="AM225" i="17" s="1"/>
  <c r="AN225" i="17" s="1"/>
  <c r="K185" i="16"/>
  <c r="AP185" i="16"/>
  <c r="AO185" i="16"/>
  <c r="AW223" i="17"/>
  <c r="AL206" i="19"/>
  <c r="AM206" i="19" s="1"/>
  <c r="AN206" i="19" s="1"/>
  <c r="AO206" i="19"/>
  <c r="AP206" i="19"/>
  <c r="K206" i="19"/>
  <c r="BG63" i="12" l="1"/>
  <c r="BH63" i="12"/>
  <c r="AP213" i="28"/>
  <c r="AO213" i="28"/>
  <c r="K213" i="28"/>
  <c r="O214" i="28"/>
  <c r="M214" i="28"/>
  <c r="N214" i="28"/>
  <c r="P215" i="28"/>
  <c r="AI213" i="28"/>
  <c r="AJ213" i="28" s="1"/>
  <c r="AK213" i="28" s="1"/>
  <c r="AR217" i="29"/>
  <c r="Q217" i="29"/>
  <c r="L218" i="29" s="1"/>
  <c r="AW209" i="26"/>
  <c r="AX209" i="26" s="1"/>
  <c r="AY209" i="26" s="1"/>
  <c r="H217" i="29"/>
  <c r="AP217" i="29" s="1"/>
  <c r="J218" i="29"/>
  <c r="G217" i="29"/>
  <c r="AL217" i="29" s="1"/>
  <c r="AM217" i="29" s="1"/>
  <c r="H210" i="26"/>
  <c r="F199" i="24"/>
  <c r="AL198" i="24"/>
  <c r="AM198" i="24" s="1"/>
  <c r="AI198" i="24"/>
  <c r="AJ198" i="24" s="1"/>
  <c r="H199" i="15"/>
  <c r="AW216" i="29"/>
  <c r="AX216" i="29" s="1"/>
  <c r="AY216" i="29" s="1"/>
  <c r="AL224" i="17"/>
  <c r="AM224" i="17" s="1"/>
  <c r="AN224" i="17" s="1"/>
  <c r="AI224" i="17"/>
  <c r="AJ224" i="17" s="1"/>
  <c r="AK224" i="17" s="1"/>
  <c r="K225" i="17"/>
  <c r="F226" i="17" s="1"/>
  <c r="H226" i="17" s="1"/>
  <c r="AS224" i="17"/>
  <c r="H225" i="17"/>
  <c r="AP225" i="17" s="1"/>
  <c r="AP224" i="17"/>
  <c r="AI225" i="17"/>
  <c r="AJ225" i="17" s="1"/>
  <c r="AK225" i="17" s="1"/>
  <c r="AQ224" i="17"/>
  <c r="AU224" i="17"/>
  <c r="J226" i="17"/>
  <c r="AQ185" i="16"/>
  <c r="AS185" i="16"/>
  <c r="F186" i="16"/>
  <c r="AU185" i="16"/>
  <c r="AI185" i="16"/>
  <c r="AJ185" i="16" s="1"/>
  <c r="AK185" i="16" s="1"/>
  <c r="F207" i="19"/>
  <c r="AS206" i="19"/>
  <c r="AU206" i="19"/>
  <c r="AQ206" i="19"/>
  <c r="O218" i="29" l="1"/>
  <c r="P219" i="29"/>
  <c r="M218" i="29"/>
  <c r="N218" i="29"/>
  <c r="AS213" i="28"/>
  <c r="F214" i="28"/>
  <c r="AQ213" i="28"/>
  <c r="AU213" i="28"/>
  <c r="AI217" i="29"/>
  <c r="AO217" i="29"/>
  <c r="F211" i="26"/>
  <c r="AL210" i="26"/>
  <c r="AI210" i="26"/>
  <c r="AJ210" i="26" s="1"/>
  <c r="AK210" i="26" s="1"/>
  <c r="AK198" i="24"/>
  <c r="AN198" i="24"/>
  <c r="G199" i="24"/>
  <c r="AR199" i="24" s="1"/>
  <c r="F200" i="15"/>
  <c r="AI199" i="15"/>
  <c r="AJ199" i="15" s="1"/>
  <c r="AK199" i="15" s="1"/>
  <c r="AL199" i="15"/>
  <c r="AM199" i="15" s="1"/>
  <c r="AN199" i="15" s="1"/>
  <c r="K217" i="29"/>
  <c r="AN217" i="29"/>
  <c r="AU225" i="17"/>
  <c r="AO226" i="17"/>
  <c r="AO225" i="17"/>
  <c r="AP226" i="17"/>
  <c r="AS225" i="17"/>
  <c r="G226" i="17"/>
  <c r="K226" i="17" s="1"/>
  <c r="F227" i="17" s="1"/>
  <c r="H227" i="17" s="1"/>
  <c r="AQ225" i="17"/>
  <c r="J227" i="17"/>
  <c r="AW224" i="17"/>
  <c r="AW185" i="16"/>
  <c r="AX185" i="16" s="1"/>
  <c r="AY185" i="16" s="1"/>
  <c r="G186" i="16"/>
  <c r="K186" i="16" s="1"/>
  <c r="J187" i="16"/>
  <c r="H186" i="16"/>
  <c r="AW206" i="19"/>
  <c r="AX206" i="19" s="1"/>
  <c r="AY206" i="19" s="1"/>
  <c r="G207" i="19"/>
  <c r="K207" i="19" s="1"/>
  <c r="F208" i="19" s="1"/>
  <c r="J208" i="19"/>
  <c r="H207" i="19"/>
  <c r="AW213" i="28" l="1"/>
  <c r="AX213" i="28" s="1"/>
  <c r="AY213" i="28" s="1"/>
  <c r="H214" i="28"/>
  <c r="I214" i="28"/>
  <c r="Q214" i="28" s="1"/>
  <c r="L215" i="28" s="1"/>
  <c r="J215" i="28"/>
  <c r="G214" i="28"/>
  <c r="AL214" i="28" s="1"/>
  <c r="AM214" i="28" s="1"/>
  <c r="AN214" i="28" s="1"/>
  <c r="AW198" i="24"/>
  <c r="AX198" i="24" s="1"/>
  <c r="AY198" i="24" s="1"/>
  <c r="AJ217" i="29"/>
  <c r="AK217" i="29" s="1"/>
  <c r="F218" i="29"/>
  <c r="I218" i="29" s="1"/>
  <c r="AR218" i="29" s="1"/>
  <c r="AS217" i="29"/>
  <c r="AQ217" i="29"/>
  <c r="AU217" i="29"/>
  <c r="G211" i="26"/>
  <c r="AR211" i="26" s="1"/>
  <c r="AM210" i="26"/>
  <c r="AN210" i="26" s="1"/>
  <c r="AW210" i="26" s="1"/>
  <c r="AX210" i="26" s="1"/>
  <c r="AY210" i="26" s="1"/>
  <c r="AW199" i="15"/>
  <c r="AX199" i="15" s="1"/>
  <c r="AY199" i="15" s="1"/>
  <c r="H199" i="24"/>
  <c r="G200" i="15"/>
  <c r="AR200" i="15" s="1"/>
  <c r="AS226" i="17"/>
  <c r="AQ226" i="17"/>
  <c r="AW225" i="17"/>
  <c r="AO227" i="17"/>
  <c r="AP227" i="17"/>
  <c r="J228" i="17"/>
  <c r="AL226" i="17"/>
  <c r="AM226" i="17" s="1"/>
  <c r="AN226" i="17" s="1"/>
  <c r="AU226" i="17"/>
  <c r="G227" i="17"/>
  <c r="AL227" i="17" s="1"/>
  <c r="AM227" i="17" s="1"/>
  <c r="AN227" i="17" s="1"/>
  <c r="AI226" i="17"/>
  <c r="AJ226" i="17" s="1"/>
  <c r="AK226" i="17" s="1"/>
  <c r="F187" i="16"/>
  <c r="AS186" i="16"/>
  <c r="AU186" i="16"/>
  <c r="AI186" i="16"/>
  <c r="AJ186" i="16" s="1"/>
  <c r="AK186" i="16" s="1"/>
  <c r="AQ186" i="16"/>
  <c r="AL186" i="16"/>
  <c r="AM186" i="16" s="1"/>
  <c r="AN186" i="16" s="1"/>
  <c r="AP186" i="16"/>
  <c r="AO186" i="16"/>
  <c r="AI207" i="19"/>
  <c r="AJ207" i="19" s="1"/>
  <c r="AK207" i="19" s="1"/>
  <c r="AS207" i="19"/>
  <c r="AQ207" i="19"/>
  <c r="AP207" i="19"/>
  <c r="AO207" i="19"/>
  <c r="AU207" i="19"/>
  <c r="AL207" i="19"/>
  <c r="AM207" i="19" s="1"/>
  <c r="AN207" i="19" s="1"/>
  <c r="J209" i="19"/>
  <c r="H208" i="19"/>
  <c r="G208" i="19"/>
  <c r="AL208" i="19" s="1"/>
  <c r="AM208" i="19" s="1"/>
  <c r="AN208" i="19" s="1"/>
  <c r="Q218" i="29" l="1"/>
  <c r="L219" i="29" s="1"/>
  <c r="P220" i="29" s="1"/>
  <c r="O215" i="28"/>
  <c r="M215" i="28"/>
  <c r="P216" i="28"/>
  <c r="N215" i="28"/>
  <c r="AI214" i="28"/>
  <c r="AJ214" i="28" s="1"/>
  <c r="AK214" i="28" s="1"/>
  <c r="K214" i="28"/>
  <c r="AP214" i="28"/>
  <c r="AO214" i="28"/>
  <c r="O219" i="29"/>
  <c r="J219" i="29"/>
  <c r="H218" i="29"/>
  <c r="AP218" i="29" s="1"/>
  <c r="G218" i="29"/>
  <c r="AL218" i="29" s="1"/>
  <c r="AM218" i="29" s="1"/>
  <c r="H211" i="26"/>
  <c r="F200" i="24"/>
  <c r="AI199" i="24"/>
  <c r="AJ199" i="24" s="1"/>
  <c r="AL199" i="24"/>
  <c r="AM199" i="24" s="1"/>
  <c r="H200" i="15"/>
  <c r="AW217" i="29"/>
  <c r="AX217" i="29" s="1"/>
  <c r="AY217" i="29" s="1"/>
  <c r="AI227" i="17"/>
  <c r="AJ227" i="17" s="1"/>
  <c r="AK227" i="17" s="1"/>
  <c r="AW226" i="17"/>
  <c r="K227" i="17"/>
  <c r="AS227" i="17" s="1"/>
  <c r="AW186" i="16"/>
  <c r="AX186" i="16" s="1"/>
  <c r="AY186" i="16" s="1"/>
  <c r="J188" i="16"/>
  <c r="G187" i="16"/>
  <c r="H187" i="16"/>
  <c r="AW207" i="19"/>
  <c r="AX207" i="19" s="1"/>
  <c r="AY207" i="19" s="1"/>
  <c r="AI208" i="19"/>
  <c r="AJ208" i="19" s="1"/>
  <c r="AK208" i="19" s="1"/>
  <c r="AP208" i="19"/>
  <c r="AO208" i="19"/>
  <c r="K208" i="19"/>
  <c r="M219" i="29" l="1"/>
  <c r="N219" i="29"/>
  <c r="AS214" i="28"/>
  <c r="F215" i="28"/>
  <c r="AU214" i="28"/>
  <c r="AQ214" i="28"/>
  <c r="AO218" i="29"/>
  <c r="AI218" i="29"/>
  <c r="F212" i="26"/>
  <c r="AL211" i="26"/>
  <c r="AM211" i="26" s="1"/>
  <c r="AN211" i="26" s="1"/>
  <c r="AI211" i="26"/>
  <c r="AK199" i="24"/>
  <c r="AN199" i="24"/>
  <c r="G200" i="24"/>
  <c r="AR200" i="24" s="1"/>
  <c r="F201" i="15"/>
  <c r="AL200" i="15"/>
  <c r="AM200" i="15" s="1"/>
  <c r="AN200" i="15" s="1"/>
  <c r="AI200" i="15"/>
  <c r="AJ200" i="15" s="1"/>
  <c r="AK200" i="15" s="1"/>
  <c r="K218" i="29"/>
  <c r="F228" i="17"/>
  <c r="G228" i="17" s="1"/>
  <c r="K228" i="17" s="1"/>
  <c r="F229" i="17" s="1"/>
  <c r="J230" i="17" s="1"/>
  <c r="AQ227" i="17"/>
  <c r="AU227" i="17"/>
  <c r="AO187" i="16"/>
  <c r="AP187" i="16"/>
  <c r="K187" i="16"/>
  <c r="AL187" i="16"/>
  <c r="AM187" i="16" s="1"/>
  <c r="AN187" i="16" s="1"/>
  <c r="AQ208" i="19"/>
  <c r="F209" i="19"/>
  <c r="AU208" i="19"/>
  <c r="AS208" i="19"/>
  <c r="AW214" i="28" l="1"/>
  <c r="AX214" i="28" s="1"/>
  <c r="AY214" i="28" s="1"/>
  <c r="H215" i="28"/>
  <c r="I215" i="28"/>
  <c r="Q215" i="28" s="1"/>
  <c r="L216" i="28" s="1"/>
  <c r="J216" i="28"/>
  <c r="G215" i="28"/>
  <c r="AI215" i="28" s="1"/>
  <c r="AJ215" i="28" s="1"/>
  <c r="AK215" i="28" s="1"/>
  <c r="AJ218" i="29"/>
  <c r="AK218" i="29" s="1"/>
  <c r="F219" i="29"/>
  <c r="I219" i="29" s="1"/>
  <c r="AU218" i="29"/>
  <c r="AS218" i="29"/>
  <c r="AQ218" i="29"/>
  <c r="G212" i="26"/>
  <c r="AR212" i="26" s="1"/>
  <c r="AJ211" i="26"/>
  <c r="AK211" i="26" s="1"/>
  <c r="AW211" i="26" s="1"/>
  <c r="AX211" i="26" s="1"/>
  <c r="AY211" i="26" s="1"/>
  <c r="AW199" i="24"/>
  <c r="AX199" i="24" s="1"/>
  <c r="AY199" i="24" s="1"/>
  <c r="H200" i="24"/>
  <c r="AW200" i="15"/>
  <c r="AX200" i="15" s="1"/>
  <c r="AY200" i="15" s="1"/>
  <c r="G201" i="15"/>
  <c r="AR201" i="15" s="1"/>
  <c r="AN218" i="29"/>
  <c r="AS228" i="17"/>
  <c r="AU228" i="17"/>
  <c r="J229" i="17"/>
  <c r="H229" i="17"/>
  <c r="H228" i="17"/>
  <c r="AO228" i="17" s="1"/>
  <c r="AL228" i="17"/>
  <c r="AM228" i="17" s="1"/>
  <c r="AN228" i="17" s="1"/>
  <c r="AW227" i="17"/>
  <c r="G229" i="17"/>
  <c r="AL229" i="17" s="1"/>
  <c r="AM229" i="17" s="1"/>
  <c r="AN229" i="17" s="1"/>
  <c r="AI228" i="17"/>
  <c r="AJ228" i="17" s="1"/>
  <c r="AK228" i="17" s="1"/>
  <c r="AQ228" i="17"/>
  <c r="F188" i="16"/>
  <c r="AI187" i="16"/>
  <c r="AJ187" i="16" s="1"/>
  <c r="AK187" i="16" s="1"/>
  <c r="AU187" i="16"/>
  <c r="AQ187" i="16"/>
  <c r="AS187" i="16"/>
  <c r="AW208" i="19"/>
  <c r="AX208" i="19" s="1"/>
  <c r="AY208" i="19" s="1"/>
  <c r="G209" i="19"/>
  <c r="K209" i="19" s="1"/>
  <c r="AQ209" i="19" s="1"/>
  <c r="H209" i="19"/>
  <c r="J210" i="19"/>
  <c r="K215" i="28" l="1"/>
  <c r="AP215" i="28"/>
  <c r="AO215" i="28"/>
  <c r="AR219" i="29"/>
  <c r="Q219" i="29"/>
  <c r="L220" i="29" s="1"/>
  <c r="O216" i="28"/>
  <c r="N216" i="28"/>
  <c r="P217" i="28"/>
  <c r="M216" i="28"/>
  <c r="AL215" i="28"/>
  <c r="H219" i="29"/>
  <c r="AP219" i="29" s="1"/>
  <c r="J220" i="29"/>
  <c r="G219" i="29"/>
  <c r="AL219" i="29" s="1"/>
  <c r="AM219" i="29" s="1"/>
  <c r="H212" i="26"/>
  <c r="AW218" i="29"/>
  <c r="AX218" i="29" s="1"/>
  <c r="AY218" i="29" s="1"/>
  <c r="F201" i="24"/>
  <c r="AI200" i="24"/>
  <c r="AJ200" i="24" s="1"/>
  <c r="AL200" i="24"/>
  <c r="AM200" i="24" s="1"/>
  <c r="H201" i="15"/>
  <c r="AP228" i="17"/>
  <c r="AW228" i="17" s="1"/>
  <c r="AO229" i="17"/>
  <c r="AP229" i="17"/>
  <c r="K229" i="17"/>
  <c r="F230" i="17" s="1"/>
  <c r="AI229" i="17"/>
  <c r="AJ229" i="17" s="1"/>
  <c r="AK229" i="17" s="1"/>
  <c r="AW187" i="16"/>
  <c r="AX187" i="16" s="1"/>
  <c r="AY187" i="16" s="1"/>
  <c r="G188" i="16"/>
  <c r="AL188" i="16" s="1"/>
  <c r="AM188" i="16" s="1"/>
  <c r="AN188" i="16" s="1"/>
  <c r="J189" i="16"/>
  <c r="H188" i="16"/>
  <c r="AL209" i="19"/>
  <c r="AM209" i="19" s="1"/>
  <c r="AN209" i="19" s="1"/>
  <c r="AU209" i="19"/>
  <c r="AI209" i="19"/>
  <c r="AJ209" i="19" s="1"/>
  <c r="AK209" i="19" s="1"/>
  <c r="AP209" i="19"/>
  <c r="AO209" i="19"/>
  <c r="AS209" i="19"/>
  <c r="F210" i="19"/>
  <c r="M220" i="29" l="1"/>
  <c r="O220" i="29"/>
  <c r="N220" i="29"/>
  <c r="P221" i="29"/>
  <c r="AM215" i="28"/>
  <c r="AN215" i="28" s="1"/>
  <c r="AQ215" i="28"/>
  <c r="F216" i="28"/>
  <c r="AU215" i="28"/>
  <c r="AS215" i="28"/>
  <c r="AO219" i="29"/>
  <c r="AI219" i="29"/>
  <c r="K219" i="29"/>
  <c r="F213" i="26"/>
  <c r="AI212" i="26"/>
  <c r="AL212" i="26"/>
  <c r="AN200" i="24"/>
  <c r="AK200" i="24"/>
  <c r="G201" i="24"/>
  <c r="AR201" i="24" s="1"/>
  <c r="F202" i="15"/>
  <c r="AL201" i="15"/>
  <c r="AM201" i="15" s="1"/>
  <c r="AN201" i="15" s="1"/>
  <c r="AI201" i="15"/>
  <c r="AJ201" i="15" s="1"/>
  <c r="AK201" i="15" s="1"/>
  <c r="AN219" i="29"/>
  <c r="AQ229" i="17"/>
  <c r="AS229" i="17"/>
  <c r="AU229" i="17"/>
  <c r="K188" i="16"/>
  <c r="F189" i="16" s="1"/>
  <c r="J190" i="16" s="1"/>
  <c r="AP188" i="16"/>
  <c r="AO188" i="16"/>
  <c r="AW209" i="19"/>
  <c r="AX209" i="19" s="1"/>
  <c r="AY209" i="19" s="1"/>
  <c r="G210" i="19"/>
  <c r="AI210" i="19" s="1"/>
  <c r="AJ210" i="19" s="1"/>
  <c r="AK210" i="19" s="1"/>
  <c r="J211" i="19"/>
  <c r="H210" i="19"/>
  <c r="H230" i="17"/>
  <c r="J231" i="17"/>
  <c r="G230" i="17"/>
  <c r="AL230" i="17" s="1"/>
  <c r="AM230" i="17" s="1"/>
  <c r="AN230" i="17" s="1"/>
  <c r="AW215" i="28" l="1"/>
  <c r="AX215" i="28" s="1"/>
  <c r="AY215" i="28" s="1"/>
  <c r="H216" i="28"/>
  <c r="I216" i="28"/>
  <c r="Q216" i="28" s="1"/>
  <c r="L217" i="28" s="1"/>
  <c r="G216" i="28"/>
  <c r="AI216" i="28" s="1"/>
  <c r="J217" i="28"/>
  <c r="AJ219" i="29"/>
  <c r="AK219" i="29" s="1"/>
  <c r="F220" i="29"/>
  <c r="I220" i="29" s="1"/>
  <c r="AR220" i="29" s="1"/>
  <c r="AU219" i="29"/>
  <c r="AS219" i="29"/>
  <c r="AQ219" i="29"/>
  <c r="AM212" i="26"/>
  <c r="AN212" i="26" s="1"/>
  <c r="G213" i="26"/>
  <c r="AR213" i="26" s="1"/>
  <c r="AJ212" i="26"/>
  <c r="AK212" i="26" s="1"/>
  <c r="AW200" i="24"/>
  <c r="AX200" i="24" s="1"/>
  <c r="AY200" i="24" s="1"/>
  <c r="H201" i="24"/>
  <c r="G202" i="15"/>
  <c r="AR202" i="15" s="1"/>
  <c r="AW201" i="15"/>
  <c r="AX201" i="15" s="1"/>
  <c r="AY201" i="15" s="1"/>
  <c r="AW229" i="17"/>
  <c r="H189" i="16"/>
  <c r="AP189" i="16" s="1"/>
  <c r="G189" i="16"/>
  <c r="AL189" i="16" s="1"/>
  <c r="AM189" i="16" s="1"/>
  <c r="AN189" i="16" s="1"/>
  <c r="AQ188" i="16"/>
  <c r="AI188" i="16"/>
  <c r="AJ188" i="16" s="1"/>
  <c r="AK188" i="16" s="1"/>
  <c r="AU188" i="16"/>
  <c r="AS188" i="16"/>
  <c r="K210" i="19"/>
  <c r="AU210" i="19" s="1"/>
  <c r="AL210" i="19"/>
  <c r="AM210" i="19" s="1"/>
  <c r="AN210" i="19" s="1"/>
  <c r="AO210" i="19"/>
  <c r="AP210" i="19"/>
  <c r="AI230" i="17"/>
  <c r="AJ230" i="17" s="1"/>
  <c r="AK230" i="17" s="1"/>
  <c r="K230" i="17"/>
  <c r="AP230" i="17"/>
  <c r="AO230" i="17"/>
  <c r="Q220" i="29" l="1"/>
  <c r="L221" i="29" s="1"/>
  <c r="N221" i="29" s="1"/>
  <c r="AP216" i="28"/>
  <c r="AO216" i="28"/>
  <c r="O221" i="29"/>
  <c r="AJ216" i="28"/>
  <c r="AK216" i="28" s="1"/>
  <c r="K216" i="28"/>
  <c r="O217" i="28"/>
  <c r="M217" i="28"/>
  <c r="P218" i="28"/>
  <c r="N217" i="28"/>
  <c r="AL216" i="28"/>
  <c r="AM216" i="28" s="1"/>
  <c r="AN216" i="28" s="1"/>
  <c r="AW219" i="29"/>
  <c r="AX219" i="29" s="1"/>
  <c r="AY219" i="29" s="1"/>
  <c r="J221" i="29"/>
  <c r="H220" i="29"/>
  <c r="AP220" i="29" s="1"/>
  <c r="G220" i="29"/>
  <c r="K220" i="29" s="1"/>
  <c r="F221" i="29" s="1"/>
  <c r="I221" i="29" s="1"/>
  <c r="AR221" i="29" s="1"/>
  <c r="AW212" i="26"/>
  <c r="AX212" i="26" s="1"/>
  <c r="AY212" i="26" s="1"/>
  <c r="H213" i="26"/>
  <c r="F202" i="24"/>
  <c r="AI201" i="24"/>
  <c r="AJ201" i="24" s="1"/>
  <c r="AL201" i="24"/>
  <c r="AM201" i="24" s="1"/>
  <c r="H202" i="15"/>
  <c r="F211" i="19"/>
  <c r="G211" i="19" s="1"/>
  <c r="AO189" i="16"/>
  <c r="K189" i="16"/>
  <c r="AQ189" i="16" s="1"/>
  <c r="AW188" i="16"/>
  <c r="AX188" i="16" s="1"/>
  <c r="AY188" i="16" s="1"/>
  <c r="AS210" i="19"/>
  <c r="AQ210" i="19"/>
  <c r="F231" i="17"/>
  <c r="AU230" i="17"/>
  <c r="AQ230" i="17"/>
  <c r="AS230" i="17"/>
  <c r="M221" i="29" l="1"/>
  <c r="Q221" i="29" s="1"/>
  <c r="L222" i="29" s="1"/>
  <c r="P222" i="29"/>
  <c r="F217" i="28"/>
  <c r="AS216" i="28"/>
  <c r="AU216" i="28"/>
  <c r="AQ216" i="28"/>
  <c r="AS220" i="29"/>
  <c r="AU220" i="29"/>
  <c r="AL220" i="29"/>
  <c r="AQ220" i="29"/>
  <c r="H221" i="29"/>
  <c r="AP221" i="29" s="1"/>
  <c r="J222" i="29"/>
  <c r="AI220" i="29"/>
  <c r="AO220" i="29"/>
  <c r="F214" i="26"/>
  <c r="AI213" i="26"/>
  <c r="AL213" i="26"/>
  <c r="AN201" i="24"/>
  <c r="AK201" i="24"/>
  <c r="G202" i="24"/>
  <c r="AR202" i="24" s="1"/>
  <c r="F203" i="15"/>
  <c r="AL202" i="15"/>
  <c r="AM202" i="15" s="1"/>
  <c r="AN202" i="15" s="1"/>
  <c r="AI202" i="15"/>
  <c r="AJ202" i="15" s="1"/>
  <c r="AK202" i="15" s="1"/>
  <c r="H211" i="19"/>
  <c r="AO211" i="19" s="1"/>
  <c r="J212" i="19"/>
  <c r="AS189" i="16"/>
  <c r="AI189" i="16"/>
  <c r="AJ189" i="16" s="1"/>
  <c r="AK189" i="16" s="1"/>
  <c r="AU189" i="16"/>
  <c r="F190" i="16"/>
  <c r="G190" i="16" s="1"/>
  <c r="K190" i="16" s="1"/>
  <c r="AW210" i="19"/>
  <c r="AX210" i="19" s="1"/>
  <c r="AY210" i="19" s="1"/>
  <c r="AW230" i="17"/>
  <c r="AI211" i="19"/>
  <c r="AJ211" i="19" s="1"/>
  <c r="AK211" i="19" s="1"/>
  <c r="K211" i="19"/>
  <c r="AL211" i="19"/>
  <c r="AM211" i="19" s="1"/>
  <c r="AN211" i="19" s="1"/>
  <c r="G231" i="17"/>
  <c r="K231" i="17" s="1"/>
  <c r="F232" i="17" s="1"/>
  <c r="J232" i="17"/>
  <c r="H231" i="17"/>
  <c r="AW216" i="28" l="1"/>
  <c r="AX216" i="28" s="1"/>
  <c r="AY216" i="28" s="1"/>
  <c r="O222" i="29"/>
  <c r="N222" i="29"/>
  <c r="M222" i="29"/>
  <c r="P223" i="29"/>
  <c r="H217" i="28"/>
  <c r="I217" i="28"/>
  <c r="Q217" i="28" s="1"/>
  <c r="L218" i="28" s="1"/>
  <c r="J218" i="28"/>
  <c r="G217" i="28"/>
  <c r="AI217" i="28" s="1"/>
  <c r="AJ217" i="28" s="1"/>
  <c r="AK217" i="28" s="1"/>
  <c r="AM220" i="29"/>
  <c r="AN220" i="29" s="1"/>
  <c r="AJ220" i="29"/>
  <c r="AK220" i="29" s="1"/>
  <c r="G221" i="29"/>
  <c r="AI221" i="29" s="1"/>
  <c r="AJ213" i="26"/>
  <c r="AK213" i="26" s="1"/>
  <c r="G214" i="26"/>
  <c r="AR214" i="26" s="1"/>
  <c r="AM213" i="26"/>
  <c r="AN213" i="26" s="1"/>
  <c r="AW201" i="24"/>
  <c r="AX201" i="24" s="1"/>
  <c r="AY201" i="24" s="1"/>
  <c r="H202" i="24"/>
  <c r="AW202" i="15"/>
  <c r="AX202" i="15" s="1"/>
  <c r="AY202" i="15" s="1"/>
  <c r="G203" i="15"/>
  <c r="AR203" i="15" s="1"/>
  <c r="AP211" i="19"/>
  <c r="H190" i="16"/>
  <c r="AP190" i="16" s="1"/>
  <c r="AW189" i="16"/>
  <c r="AX189" i="16" s="1"/>
  <c r="AY189" i="16" s="1"/>
  <c r="J191" i="16"/>
  <c r="AI190" i="16"/>
  <c r="AJ190" i="16" s="1"/>
  <c r="AK190" i="16" s="1"/>
  <c r="F191" i="16"/>
  <c r="AS190" i="16"/>
  <c r="AU190" i="16"/>
  <c r="AQ190" i="16"/>
  <c r="AL190" i="16"/>
  <c r="AM190" i="16" s="1"/>
  <c r="AN190" i="16" s="1"/>
  <c r="AS211" i="19"/>
  <c r="AQ211" i="19"/>
  <c r="AU211" i="19"/>
  <c r="F212" i="19"/>
  <c r="AI231" i="17"/>
  <c r="AJ231" i="17" s="1"/>
  <c r="AK231" i="17" s="1"/>
  <c r="AU231" i="17"/>
  <c r="AP231" i="17"/>
  <c r="AO231" i="17"/>
  <c r="AQ231" i="17"/>
  <c r="AS231" i="17"/>
  <c r="AL231" i="17"/>
  <c r="AM231" i="17" s="1"/>
  <c r="AN231" i="17" s="1"/>
  <c r="H232" i="17"/>
  <c r="G232" i="17"/>
  <c r="AL232" i="17" s="1"/>
  <c r="AM232" i="17" s="1"/>
  <c r="AN232" i="17" s="1"/>
  <c r="J233" i="17"/>
  <c r="AP217" i="28" l="1"/>
  <c r="AO217" i="28"/>
  <c r="O218" i="28"/>
  <c r="M218" i="28"/>
  <c r="N218" i="28"/>
  <c r="P219" i="28"/>
  <c r="K217" i="28"/>
  <c r="AL217" i="28"/>
  <c r="AM217" i="28" s="1"/>
  <c r="AN217" i="28" s="1"/>
  <c r="AW213" i="26"/>
  <c r="AX213" i="26" s="1"/>
  <c r="AY213" i="26" s="1"/>
  <c r="AL221" i="29"/>
  <c r="AJ221" i="29"/>
  <c r="AK221" i="29" s="1"/>
  <c r="AW220" i="29"/>
  <c r="AO221" i="29"/>
  <c r="K221" i="29"/>
  <c r="H214" i="26"/>
  <c r="F203" i="24"/>
  <c r="AI202" i="24"/>
  <c r="AJ202" i="24" s="1"/>
  <c r="AL202" i="24"/>
  <c r="AM202" i="24" s="1"/>
  <c r="H203" i="15"/>
  <c r="AO190" i="16"/>
  <c r="AW190" i="16" s="1"/>
  <c r="AX190" i="16" s="1"/>
  <c r="AY190" i="16" s="1"/>
  <c r="H191" i="16"/>
  <c r="J192" i="16"/>
  <c r="G191" i="16"/>
  <c r="AW211" i="19"/>
  <c r="AX211" i="19" s="1"/>
  <c r="AY211" i="19" s="1"/>
  <c r="J213" i="19"/>
  <c r="H212" i="19"/>
  <c r="G212" i="19"/>
  <c r="AL212" i="19" s="1"/>
  <c r="AM212" i="19" s="1"/>
  <c r="AN212" i="19" s="1"/>
  <c r="K232" i="17"/>
  <c r="F233" i="17" s="1"/>
  <c r="H233" i="17" s="1"/>
  <c r="AI232" i="17"/>
  <c r="AJ232" i="17" s="1"/>
  <c r="AK232" i="17" s="1"/>
  <c r="AW231" i="17"/>
  <c r="AO232" i="17"/>
  <c r="AP232" i="17"/>
  <c r="AS217" i="28" l="1"/>
  <c r="F218" i="28"/>
  <c r="AU217" i="28"/>
  <c r="AQ217" i="28"/>
  <c r="F222" i="29"/>
  <c r="I222" i="29" s="1"/>
  <c r="AU221" i="29"/>
  <c r="AS221" i="29"/>
  <c r="AQ221" i="29"/>
  <c r="AX220" i="29"/>
  <c r="AY220" i="29" s="1"/>
  <c r="AM221" i="29"/>
  <c r="AN221" i="29" s="1"/>
  <c r="F215" i="26"/>
  <c r="AL214" i="26"/>
  <c r="AI214" i="26"/>
  <c r="AK202" i="24"/>
  <c r="AN202" i="24"/>
  <c r="G203" i="24"/>
  <c r="AR203" i="24" s="1"/>
  <c r="F204" i="15"/>
  <c r="AL203" i="15"/>
  <c r="AM203" i="15" s="1"/>
  <c r="AN203" i="15" s="1"/>
  <c r="AI203" i="15"/>
  <c r="AJ203" i="15" s="1"/>
  <c r="AK203" i="15" s="1"/>
  <c r="K191" i="16"/>
  <c r="AL191" i="16"/>
  <c r="AM191" i="16" s="1"/>
  <c r="AN191" i="16" s="1"/>
  <c r="AP191" i="16"/>
  <c r="AO191" i="16"/>
  <c r="K212" i="19"/>
  <c r="AO212" i="19"/>
  <c r="AP212" i="19"/>
  <c r="AI212" i="19"/>
  <c r="AJ212" i="19" s="1"/>
  <c r="AK212" i="19" s="1"/>
  <c r="J234" i="17"/>
  <c r="AU232" i="17"/>
  <c r="G233" i="17"/>
  <c r="K233" i="17" s="1"/>
  <c r="AU233" i="17" s="1"/>
  <c r="AQ232" i="17"/>
  <c r="AS232" i="17"/>
  <c r="AP233" i="17"/>
  <c r="AO233" i="17"/>
  <c r="AW217" i="28" l="1"/>
  <c r="AX217" i="28" s="1"/>
  <c r="AY217" i="28" s="1"/>
  <c r="AR222" i="29"/>
  <c r="Q222" i="29"/>
  <c r="L223" i="29" s="1"/>
  <c r="H218" i="28"/>
  <c r="I218" i="28"/>
  <c r="Q218" i="28" s="1"/>
  <c r="L219" i="28" s="1"/>
  <c r="J219" i="28"/>
  <c r="G218" i="28"/>
  <c r="AI218" i="28" s="1"/>
  <c r="AJ218" i="28" s="1"/>
  <c r="AK218" i="28" s="1"/>
  <c r="AW221" i="29"/>
  <c r="AX221" i="29" s="1"/>
  <c r="AY221" i="29" s="1"/>
  <c r="AY236" i="29" s="1"/>
  <c r="J223" i="29"/>
  <c r="H222" i="29"/>
  <c r="AP222" i="29" s="1"/>
  <c r="G222" i="29"/>
  <c r="K222" i="29" s="1"/>
  <c r="F223" i="29" s="1"/>
  <c r="I223" i="29" s="1"/>
  <c r="AR223" i="29" s="1"/>
  <c r="AM214" i="26"/>
  <c r="AN214" i="26" s="1"/>
  <c r="AJ214" i="26"/>
  <c r="AK214" i="26" s="1"/>
  <c r="G215" i="26"/>
  <c r="AR215" i="26" s="1"/>
  <c r="AW202" i="24"/>
  <c r="AX202" i="24" s="1"/>
  <c r="AY202" i="24" s="1"/>
  <c r="H203" i="24"/>
  <c r="AW203" i="15"/>
  <c r="AX203" i="15" s="1"/>
  <c r="AY203" i="15" s="1"/>
  <c r="G204" i="15"/>
  <c r="AR204" i="15" s="1"/>
  <c r="AS191" i="16"/>
  <c r="F192" i="16"/>
  <c r="AU191" i="16"/>
  <c r="AQ191" i="16"/>
  <c r="AI191" i="16"/>
  <c r="AJ191" i="16" s="1"/>
  <c r="AK191" i="16" s="1"/>
  <c r="AW232" i="17"/>
  <c r="AU212" i="19"/>
  <c r="F213" i="19"/>
  <c r="AQ212" i="19"/>
  <c r="AS212" i="19"/>
  <c r="F234" i="17"/>
  <c r="H234" i="17" s="1"/>
  <c r="AQ233" i="17"/>
  <c r="AL233" i="17"/>
  <c r="AM233" i="17" s="1"/>
  <c r="AN233" i="17" s="1"/>
  <c r="AS233" i="17"/>
  <c r="AI233" i="17"/>
  <c r="AJ233" i="17" s="1"/>
  <c r="AK233" i="17" s="1"/>
  <c r="AX50" i="22" l="1"/>
  <c r="BB50" i="22" s="1"/>
  <c r="BD50" i="22" s="1"/>
  <c r="AX49" i="22"/>
  <c r="AX51" i="22"/>
  <c r="AX52" i="22"/>
  <c r="AL218" i="28"/>
  <c r="AM218" i="28" s="1"/>
  <c r="AN218" i="28" s="1"/>
  <c r="K218" i="28"/>
  <c r="AO218" i="28"/>
  <c r="AP218" i="28"/>
  <c r="O219" i="28"/>
  <c r="M219" i="28"/>
  <c r="P220" i="28"/>
  <c r="N219" i="28"/>
  <c r="O223" i="29"/>
  <c r="P224" i="29"/>
  <c r="M223" i="29"/>
  <c r="N223" i="29"/>
  <c r="AW214" i="26"/>
  <c r="AX214" i="26" s="1"/>
  <c r="AY214" i="26" s="1"/>
  <c r="AQ222" i="29"/>
  <c r="J224" i="29"/>
  <c r="H223" i="29"/>
  <c r="AS222" i="29"/>
  <c r="AU222" i="29"/>
  <c r="AL222" i="29"/>
  <c r="AO222" i="29"/>
  <c r="AI222" i="29"/>
  <c r="H215" i="26"/>
  <c r="F204" i="24"/>
  <c r="AL203" i="24"/>
  <c r="AM203" i="24" s="1"/>
  <c r="AI203" i="24"/>
  <c r="AJ203" i="24" s="1"/>
  <c r="H204" i="15"/>
  <c r="J193" i="16"/>
  <c r="H192" i="16"/>
  <c r="G192" i="16"/>
  <c r="K192" i="16" s="1"/>
  <c r="AI192" i="16" s="1"/>
  <c r="AJ192" i="16" s="1"/>
  <c r="AK192" i="16" s="1"/>
  <c r="AW191" i="16"/>
  <c r="AX191" i="16" s="1"/>
  <c r="AY191" i="16" s="1"/>
  <c r="AW212" i="19"/>
  <c r="AX212" i="19" s="1"/>
  <c r="AY212" i="19" s="1"/>
  <c r="H213" i="19"/>
  <c r="J214" i="19"/>
  <c r="G213" i="19"/>
  <c r="G234" i="17"/>
  <c r="AL234" i="17" s="1"/>
  <c r="AM234" i="17" s="1"/>
  <c r="AN234" i="17" s="1"/>
  <c r="AW233" i="17"/>
  <c r="AO234" i="17"/>
  <c r="AP234" i="17"/>
  <c r="BH50" i="22" l="1"/>
  <c r="BB49" i="22"/>
  <c r="BD49" i="22" s="1"/>
  <c r="BH49" i="22"/>
  <c r="BH51" i="22"/>
  <c r="BB51" i="22"/>
  <c r="BB52" i="22"/>
  <c r="BD52" i="22" s="1"/>
  <c r="BH52" i="22"/>
  <c r="AP223" i="29"/>
  <c r="F219" i="28"/>
  <c r="AQ218" i="28"/>
  <c r="AS218" i="28"/>
  <c r="AU218" i="28"/>
  <c r="Q223" i="29"/>
  <c r="L224" i="29" s="1"/>
  <c r="AM222" i="29"/>
  <c r="AN222" i="29" s="1"/>
  <c r="AJ222" i="29"/>
  <c r="AK222" i="29" s="1"/>
  <c r="G223" i="29"/>
  <c r="AI223" i="29" s="1"/>
  <c r="AJ223" i="29" s="1"/>
  <c r="F216" i="26"/>
  <c r="AI215" i="26"/>
  <c r="AL215" i="26"/>
  <c r="AN203" i="24"/>
  <c r="AK203" i="24"/>
  <c r="G204" i="24"/>
  <c r="AR204" i="24" s="1"/>
  <c r="F205" i="15"/>
  <c r="AI204" i="15"/>
  <c r="AJ204" i="15" s="1"/>
  <c r="AK204" i="15" s="1"/>
  <c r="AL204" i="15"/>
  <c r="AM204" i="15" s="1"/>
  <c r="AN204" i="15" s="1"/>
  <c r="AS192" i="16"/>
  <c r="F193" i="16"/>
  <c r="AL192" i="16"/>
  <c r="AM192" i="16" s="1"/>
  <c r="AN192" i="16" s="1"/>
  <c r="AP192" i="16"/>
  <c r="AO192" i="16"/>
  <c r="AQ192" i="16"/>
  <c r="AU192" i="16"/>
  <c r="K213" i="19"/>
  <c r="AL213" i="19"/>
  <c r="AM213" i="19" s="1"/>
  <c r="AN213" i="19" s="1"/>
  <c r="AI213" i="19"/>
  <c r="AJ213" i="19" s="1"/>
  <c r="AK213" i="19" s="1"/>
  <c r="AP213" i="19"/>
  <c r="AO213" i="19"/>
  <c r="K234" i="17"/>
  <c r="AU234" i="17" s="1"/>
  <c r="AI234" i="17"/>
  <c r="AJ234" i="17" s="1"/>
  <c r="AK234" i="17" s="1"/>
  <c r="AW218" i="28" l="1"/>
  <c r="AX218" i="28" s="1"/>
  <c r="AY218" i="28" s="1"/>
  <c r="O224" i="29"/>
  <c r="P225" i="29"/>
  <c r="N224" i="29"/>
  <c r="M224" i="29"/>
  <c r="I219" i="28"/>
  <c r="Q219" i="28" s="1"/>
  <c r="L220" i="28" s="1"/>
  <c r="J220" i="28"/>
  <c r="H219" i="28"/>
  <c r="G219" i="28"/>
  <c r="AI219" i="28" s="1"/>
  <c r="AJ219" i="28" s="1"/>
  <c r="AK219" i="28" s="1"/>
  <c r="AW222" i="29"/>
  <c r="AL223" i="29"/>
  <c r="AO223" i="29"/>
  <c r="AJ215" i="26"/>
  <c r="AK215" i="26" s="1"/>
  <c r="AM215" i="26"/>
  <c r="AN215" i="26" s="1"/>
  <c r="G216" i="26"/>
  <c r="AR216" i="26" s="1"/>
  <c r="AW204" i="15"/>
  <c r="AX204" i="15" s="1"/>
  <c r="AY204" i="15" s="1"/>
  <c r="AW203" i="24"/>
  <c r="AX203" i="24" s="1"/>
  <c r="AY203" i="24" s="1"/>
  <c r="H204" i="24"/>
  <c r="G205" i="15"/>
  <c r="AR205" i="15" s="1"/>
  <c r="K223" i="29"/>
  <c r="AK223" i="29"/>
  <c r="AW192" i="16"/>
  <c r="AX192" i="16" s="1"/>
  <c r="AY192" i="16" s="1"/>
  <c r="J194" i="16"/>
  <c r="H193" i="16"/>
  <c r="G193" i="16"/>
  <c r="K193" i="16" s="1"/>
  <c r="F194" i="16" s="1"/>
  <c r="AS234" i="17"/>
  <c r="AQ234" i="17"/>
  <c r="F214" i="19"/>
  <c r="AU213" i="19"/>
  <c r="AS213" i="19"/>
  <c r="AQ213" i="19"/>
  <c r="O220" i="28" l="1"/>
  <c r="M220" i="28"/>
  <c r="N220" i="28"/>
  <c r="P221" i="28"/>
  <c r="AP219" i="28"/>
  <c r="AO219" i="28"/>
  <c r="AL219" i="28"/>
  <c r="AM219" i="28" s="1"/>
  <c r="AN219" i="28" s="1"/>
  <c r="K219" i="28"/>
  <c r="AW215" i="26"/>
  <c r="AX215" i="26" s="1"/>
  <c r="AY215" i="26" s="1"/>
  <c r="AM223" i="29"/>
  <c r="AN223" i="29" s="1"/>
  <c r="F224" i="29"/>
  <c r="I224" i="29" s="1"/>
  <c r="AR224" i="29" s="1"/>
  <c r="AQ223" i="29"/>
  <c r="AS223" i="29"/>
  <c r="AU223" i="29"/>
  <c r="H216" i="26"/>
  <c r="F205" i="24"/>
  <c r="AI204" i="24"/>
  <c r="AJ204" i="24" s="1"/>
  <c r="AL204" i="24"/>
  <c r="AM204" i="24" s="1"/>
  <c r="H205" i="15"/>
  <c r="AU193" i="16"/>
  <c r="AQ193" i="16"/>
  <c r="H194" i="16"/>
  <c r="G194" i="16"/>
  <c r="AL194" i="16" s="1"/>
  <c r="AM194" i="16" s="1"/>
  <c r="AN194" i="16" s="1"/>
  <c r="J195" i="16"/>
  <c r="AS193" i="16"/>
  <c r="AO193" i="16"/>
  <c r="AP193" i="16"/>
  <c r="AI193" i="16"/>
  <c r="AJ193" i="16" s="1"/>
  <c r="AK193" i="16" s="1"/>
  <c r="AL193" i="16"/>
  <c r="AM193" i="16" s="1"/>
  <c r="AN193" i="16" s="1"/>
  <c r="AW213" i="19"/>
  <c r="AX213" i="19" s="1"/>
  <c r="AY213" i="19" s="1"/>
  <c r="AW234" i="17"/>
  <c r="G214" i="19"/>
  <c r="K214" i="19" s="1"/>
  <c r="F215" i="19" s="1"/>
  <c r="J215" i="19"/>
  <c r="H214" i="19"/>
  <c r="Q224" i="29" l="1"/>
  <c r="L225" i="29" s="1"/>
  <c r="P226" i="29" s="1"/>
  <c r="F220" i="28"/>
  <c r="AQ219" i="28"/>
  <c r="AU219" i="28"/>
  <c r="AS219" i="28"/>
  <c r="O225" i="29"/>
  <c r="H224" i="29"/>
  <c r="AP224" i="29" s="1"/>
  <c r="J225" i="29"/>
  <c r="G224" i="29"/>
  <c r="AI224" i="29" s="1"/>
  <c r="F217" i="26"/>
  <c r="AI216" i="26"/>
  <c r="AL216" i="26"/>
  <c r="AK204" i="24"/>
  <c r="AN204" i="24"/>
  <c r="G205" i="24"/>
  <c r="AR205" i="24" s="1"/>
  <c r="F206" i="15"/>
  <c r="AI205" i="15"/>
  <c r="AJ205" i="15" s="1"/>
  <c r="AK205" i="15" s="1"/>
  <c r="AL205" i="15"/>
  <c r="AM205" i="15" s="1"/>
  <c r="AN205" i="15" s="1"/>
  <c r="AW223" i="29"/>
  <c r="K194" i="16"/>
  <c r="AW193" i="16"/>
  <c r="AX193" i="16" s="1"/>
  <c r="AY193" i="16" s="1"/>
  <c r="AP194" i="16"/>
  <c r="AO194" i="16"/>
  <c r="AI214" i="19"/>
  <c r="AJ214" i="19" s="1"/>
  <c r="AK214" i="19" s="1"/>
  <c r="AQ214" i="19"/>
  <c r="AL214" i="19"/>
  <c r="AM214" i="19" s="1"/>
  <c r="AN214" i="19" s="1"/>
  <c r="AU214" i="19"/>
  <c r="AS214" i="19"/>
  <c r="AO214" i="19"/>
  <c r="AP214" i="19"/>
  <c r="H215" i="19"/>
  <c r="J216" i="19"/>
  <c r="G215" i="19"/>
  <c r="AL215" i="19" s="1"/>
  <c r="AM215" i="19" s="1"/>
  <c r="AN215" i="19" s="1"/>
  <c r="N225" i="29" l="1"/>
  <c r="M225" i="29"/>
  <c r="AW219" i="28"/>
  <c r="AX219" i="28" s="1"/>
  <c r="AY219" i="28" s="1"/>
  <c r="I220" i="28"/>
  <c r="Q220" i="28" s="1"/>
  <c r="L221" i="28" s="1"/>
  <c r="H220" i="28"/>
  <c r="G220" i="28"/>
  <c r="AL220" i="28" s="1"/>
  <c r="AM220" i="28" s="1"/>
  <c r="AN220" i="28" s="1"/>
  <c r="J221" i="28"/>
  <c r="AW204" i="24"/>
  <c r="AX204" i="24" s="1"/>
  <c r="AY204" i="24" s="1"/>
  <c r="AJ224" i="29"/>
  <c r="AK224" i="29" s="1"/>
  <c r="AL224" i="29"/>
  <c r="AO224" i="29"/>
  <c r="G217" i="26"/>
  <c r="AR217" i="26" s="1"/>
  <c r="AM216" i="26"/>
  <c r="AN216" i="26" s="1"/>
  <c r="AJ216" i="26"/>
  <c r="AK216" i="26" s="1"/>
  <c r="AW205" i="15"/>
  <c r="AX205" i="15" s="1"/>
  <c r="AY205" i="15" s="1"/>
  <c r="H205" i="24"/>
  <c r="G206" i="15"/>
  <c r="AR206" i="15" s="1"/>
  <c r="K224" i="29"/>
  <c r="AS194" i="16"/>
  <c r="F195" i="16"/>
  <c r="AU194" i="16"/>
  <c r="AQ194" i="16"/>
  <c r="AI194" i="16"/>
  <c r="AJ194" i="16" s="1"/>
  <c r="AK194" i="16" s="1"/>
  <c r="AW214" i="19"/>
  <c r="AX214" i="19" s="1"/>
  <c r="AY214" i="19" s="1"/>
  <c r="AI215" i="19"/>
  <c r="AJ215" i="19" s="1"/>
  <c r="AK215" i="19" s="1"/>
  <c r="K215" i="19"/>
  <c r="AP215" i="19"/>
  <c r="AO215" i="19"/>
  <c r="O221" i="28" l="1"/>
  <c r="M221" i="28"/>
  <c r="P222" i="28"/>
  <c r="N221" i="28"/>
  <c r="AI220" i="28"/>
  <c r="AJ220" i="28" s="1"/>
  <c r="AK220" i="28" s="1"/>
  <c r="AO220" i="28"/>
  <c r="AP220" i="28"/>
  <c r="K220" i="28"/>
  <c r="AM224" i="29"/>
  <c r="AN224" i="29" s="1"/>
  <c r="F225" i="29"/>
  <c r="I225" i="29" s="1"/>
  <c r="AS224" i="29"/>
  <c r="AU224" i="29"/>
  <c r="AQ224" i="29"/>
  <c r="AW216" i="26"/>
  <c r="AX216" i="26" s="1"/>
  <c r="AY216" i="26" s="1"/>
  <c r="H217" i="26"/>
  <c r="F206" i="24"/>
  <c r="AI205" i="24"/>
  <c r="AJ205" i="24" s="1"/>
  <c r="AL205" i="24"/>
  <c r="AM205" i="24" s="1"/>
  <c r="H206" i="15"/>
  <c r="H195" i="16"/>
  <c r="J196" i="16"/>
  <c r="G195" i="16"/>
  <c r="AL195" i="16" s="1"/>
  <c r="AM195" i="16" s="1"/>
  <c r="AN195" i="16" s="1"/>
  <c r="AW194" i="16"/>
  <c r="AX194" i="16" s="1"/>
  <c r="AY194" i="16" s="1"/>
  <c r="AS215" i="19"/>
  <c r="F216" i="19"/>
  <c r="AU215" i="19"/>
  <c r="AQ215" i="19"/>
  <c r="F221" i="28" l="1"/>
  <c r="AS220" i="28"/>
  <c r="AQ220" i="28"/>
  <c r="AU220" i="28"/>
  <c r="AR225" i="29"/>
  <c r="Q225" i="29"/>
  <c r="L226" i="29" s="1"/>
  <c r="J226" i="29"/>
  <c r="H225" i="29"/>
  <c r="AP225" i="29" s="1"/>
  <c r="G225" i="29"/>
  <c r="AI225" i="29" s="1"/>
  <c r="F218" i="26"/>
  <c r="AI217" i="26"/>
  <c r="AL217" i="26"/>
  <c r="AW224" i="29"/>
  <c r="AN205" i="24"/>
  <c r="AK205" i="24"/>
  <c r="G206" i="24"/>
  <c r="AR206" i="24" s="1"/>
  <c r="F207" i="15"/>
  <c r="AL206" i="15"/>
  <c r="AM206" i="15" s="1"/>
  <c r="AN206" i="15" s="1"/>
  <c r="AI206" i="15"/>
  <c r="AJ206" i="15" s="1"/>
  <c r="AK206" i="15" s="1"/>
  <c r="K195" i="16"/>
  <c r="AP195" i="16"/>
  <c r="AO195" i="16"/>
  <c r="AW215" i="19"/>
  <c r="AX215" i="19" s="1"/>
  <c r="AY215" i="19" s="1"/>
  <c r="J217" i="19"/>
  <c r="H216" i="19"/>
  <c r="G216" i="19"/>
  <c r="K216" i="19" s="1"/>
  <c r="AW220" i="28" l="1"/>
  <c r="AX220" i="28" s="1"/>
  <c r="AY220" i="28" s="1"/>
  <c r="O226" i="29"/>
  <c r="N226" i="29"/>
  <c r="M226" i="29"/>
  <c r="P227" i="29"/>
  <c r="I221" i="28"/>
  <c r="Q221" i="28" s="1"/>
  <c r="L222" i="28" s="1"/>
  <c r="J222" i="28"/>
  <c r="G221" i="28"/>
  <c r="AI221" i="28" s="1"/>
  <c r="AJ221" i="28" s="1"/>
  <c r="AK221" i="28" s="1"/>
  <c r="H221" i="28"/>
  <c r="AJ225" i="29"/>
  <c r="AK225" i="29" s="1"/>
  <c r="AL225" i="29"/>
  <c r="AO225" i="29"/>
  <c r="AM217" i="26"/>
  <c r="AN217" i="26" s="1"/>
  <c r="AJ217" i="26"/>
  <c r="AK217" i="26" s="1"/>
  <c r="G218" i="26"/>
  <c r="AR218" i="26" s="1"/>
  <c r="AW205" i="24"/>
  <c r="AX205" i="24" s="1"/>
  <c r="AY205" i="24" s="1"/>
  <c r="H206" i="24"/>
  <c r="AW206" i="15"/>
  <c r="AX206" i="15" s="1"/>
  <c r="AY206" i="15" s="1"/>
  <c r="G207" i="15"/>
  <c r="AR207" i="15" s="1"/>
  <c r="K225" i="29"/>
  <c r="F196" i="16"/>
  <c r="AU195" i="16"/>
  <c r="AS195" i="16"/>
  <c r="AQ195" i="16"/>
  <c r="AI195" i="16"/>
  <c r="AJ195" i="16" s="1"/>
  <c r="AK195" i="16" s="1"/>
  <c r="F217" i="19"/>
  <c r="AQ216" i="19"/>
  <c r="AU216" i="19"/>
  <c r="AS216" i="19"/>
  <c r="AL216" i="19"/>
  <c r="AM216" i="19" s="1"/>
  <c r="AN216" i="19" s="1"/>
  <c r="AI216" i="19"/>
  <c r="AJ216" i="19" s="1"/>
  <c r="AK216" i="19" s="1"/>
  <c r="AO216" i="19"/>
  <c r="AP216" i="19"/>
  <c r="O222" i="28" l="1"/>
  <c r="M222" i="28"/>
  <c r="N222" i="28"/>
  <c r="P223" i="28"/>
  <c r="AO221" i="28"/>
  <c r="AP221" i="28"/>
  <c r="AL221" i="28"/>
  <c r="AM221" i="28" s="1"/>
  <c r="AN221" i="28" s="1"/>
  <c r="K221" i="28"/>
  <c r="F226" i="29"/>
  <c r="I226" i="29" s="1"/>
  <c r="AR226" i="29" s="1"/>
  <c r="AS225" i="29"/>
  <c r="AQ225" i="29"/>
  <c r="AU225" i="29"/>
  <c r="AM225" i="29"/>
  <c r="AN225" i="29" s="1"/>
  <c r="AW217" i="26"/>
  <c r="AX217" i="26" s="1"/>
  <c r="AY217" i="26" s="1"/>
  <c r="H218" i="26"/>
  <c r="F207" i="24"/>
  <c r="AI206" i="24"/>
  <c r="AJ206" i="24" s="1"/>
  <c r="AL206" i="24"/>
  <c r="AM206" i="24" s="1"/>
  <c r="H207" i="15"/>
  <c r="AW195" i="16"/>
  <c r="AX195" i="16" s="1"/>
  <c r="AY195" i="16" s="1"/>
  <c r="H196" i="16"/>
  <c r="G196" i="16"/>
  <c r="AL196" i="16" s="1"/>
  <c r="AM196" i="16" s="1"/>
  <c r="AN196" i="16" s="1"/>
  <c r="J197" i="16"/>
  <c r="AW216" i="19"/>
  <c r="AX216" i="19" s="1"/>
  <c r="AY216" i="19" s="1"/>
  <c r="H217" i="19"/>
  <c r="J218" i="19"/>
  <c r="G217" i="19"/>
  <c r="Q226" i="29" l="1"/>
  <c r="L227" i="29" s="1"/>
  <c r="P228" i="29" s="1"/>
  <c r="O227" i="29"/>
  <c r="F222" i="28"/>
  <c r="AS221" i="28"/>
  <c r="AQ221" i="28"/>
  <c r="AU221" i="28"/>
  <c r="H226" i="29"/>
  <c r="AP226" i="29" s="1"/>
  <c r="J227" i="29"/>
  <c r="G226" i="29"/>
  <c r="AI226" i="29" s="1"/>
  <c r="F219" i="26"/>
  <c r="AL218" i="26"/>
  <c r="AI218" i="26"/>
  <c r="AN206" i="24"/>
  <c r="AK206" i="24"/>
  <c r="G207" i="24"/>
  <c r="AR207" i="24" s="1"/>
  <c r="F208" i="15"/>
  <c r="AL207" i="15"/>
  <c r="AM207" i="15" s="1"/>
  <c r="AN207" i="15" s="1"/>
  <c r="AI207" i="15"/>
  <c r="AJ207" i="15" s="1"/>
  <c r="AK207" i="15" s="1"/>
  <c r="AW225" i="29"/>
  <c r="AO196" i="16"/>
  <c r="AP196" i="16"/>
  <c r="K196" i="16"/>
  <c r="AL217" i="19"/>
  <c r="AM217" i="19" s="1"/>
  <c r="AN217" i="19" s="1"/>
  <c r="K217" i="19"/>
  <c r="AI217" i="19"/>
  <c r="AJ217" i="19" s="1"/>
  <c r="AK217" i="19" s="1"/>
  <c r="AO217" i="19"/>
  <c r="AP217" i="19"/>
  <c r="N227" i="29" l="1"/>
  <c r="AW221" i="28"/>
  <c r="AX221" i="28" s="1"/>
  <c r="AY221" i="28" s="1"/>
  <c r="AY236" i="28" s="1"/>
  <c r="AX49" i="21" s="1"/>
  <c r="M227" i="29"/>
  <c r="I222" i="28"/>
  <c r="Q222" i="28" s="1"/>
  <c r="L223" i="28" s="1"/>
  <c r="J223" i="28"/>
  <c r="H222" i="28"/>
  <c r="G222" i="28"/>
  <c r="AL222" i="28" s="1"/>
  <c r="AM222" i="28" s="1"/>
  <c r="AN222" i="28" s="1"/>
  <c r="AJ226" i="29"/>
  <c r="AK226" i="29" s="1"/>
  <c r="AL226" i="29"/>
  <c r="AO226" i="29"/>
  <c r="AJ218" i="26"/>
  <c r="AK218" i="26" s="1"/>
  <c r="G219" i="26"/>
  <c r="AR219" i="26" s="1"/>
  <c r="AM218" i="26"/>
  <c r="AN218" i="26" s="1"/>
  <c r="AW206" i="24"/>
  <c r="AX206" i="24" s="1"/>
  <c r="AY206" i="24" s="1"/>
  <c r="H207" i="24"/>
  <c r="G208" i="15"/>
  <c r="AR208" i="15" s="1"/>
  <c r="AW207" i="15"/>
  <c r="AX207" i="15" s="1"/>
  <c r="AY207" i="15" s="1"/>
  <c r="K226" i="29"/>
  <c r="F197" i="16"/>
  <c r="AI196" i="16"/>
  <c r="AJ196" i="16" s="1"/>
  <c r="AK196" i="16" s="1"/>
  <c r="AQ196" i="16"/>
  <c r="AU196" i="16"/>
  <c r="AS196" i="16"/>
  <c r="AQ217" i="19"/>
  <c r="AS217" i="19"/>
  <c r="AU217" i="19"/>
  <c r="F218" i="19"/>
  <c r="BB49" i="21" l="1"/>
  <c r="BD49" i="21" s="1"/>
  <c r="BH49" i="21"/>
  <c r="AX52" i="21"/>
  <c r="BB52" i="21" s="1"/>
  <c r="BD52" i="21" s="1"/>
  <c r="AX50" i="21"/>
  <c r="AX51" i="21"/>
  <c r="BB51" i="21" s="1"/>
  <c r="O223" i="28"/>
  <c r="N223" i="28"/>
  <c r="M223" i="28"/>
  <c r="P224" i="28"/>
  <c r="K222" i="28"/>
  <c r="AO222" i="28"/>
  <c r="AP222" i="28"/>
  <c r="AI222" i="28"/>
  <c r="AJ222" i="28" s="1"/>
  <c r="AK222" i="28" s="1"/>
  <c r="AW218" i="26"/>
  <c r="AX218" i="26" s="1"/>
  <c r="AY218" i="26" s="1"/>
  <c r="F227" i="29"/>
  <c r="I227" i="29" s="1"/>
  <c r="AU226" i="29"/>
  <c r="AS226" i="29"/>
  <c r="AQ226" i="29"/>
  <c r="AM226" i="29"/>
  <c r="AN226" i="29" s="1"/>
  <c r="H219" i="26"/>
  <c r="F208" i="24"/>
  <c r="AI207" i="24"/>
  <c r="AJ207" i="24" s="1"/>
  <c r="AL207" i="24"/>
  <c r="AM207" i="24" s="1"/>
  <c r="H208" i="15"/>
  <c r="AW196" i="16"/>
  <c r="AX196" i="16" s="1"/>
  <c r="AY196" i="16" s="1"/>
  <c r="J198" i="16"/>
  <c r="H197" i="16"/>
  <c r="G197" i="16"/>
  <c r="AL197" i="16" s="1"/>
  <c r="AM197" i="16" s="1"/>
  <c r="AN197" i="16" s="1"/>
  <c r="AW217" i="19"/>
  <c r="AX217" i="19" s="1"/>
  <c r="AY217" i="19" s="1"/>
  <c r="H218" i="19"/>
  <c r="J219" i="19"/>
  <c r="G218" i="19"/>
  <c r="BH52" i="21" l="1"/>
  <c r="BB50" i="21"/>
  <c r="BD50" i="21" s="1"/>
  <c r="BH50" i="21"/>
  <c r="BH51" i="21"/>
  <c r="AX63" i="21"/>
  <c r="BD51" i="21"/>
  <c r="F223" i="28"/>
  <c r="AS222" i="28"/>
  <c r="AQ222" i="28"/>
  <c r="AU222" i="28"/>
  <c r="AR227" i="29"/>
  <c r="Q227" i="29"/>
  <c r="L228" i="29" s="1"/>
  <c r="J228" i="29"/>
  <c r="H227" i="29"/>
  <c r="AP227" i="29" s="1"/>
  <c r="G227" i="29"/>
  <c r="AL227" i="29" s="1"/>
  <c r="AM227" i="29" s="1"/>
  <c r="F220" i="26"/>
  <c r="AI219" i="26"/>
  <c r="AL219" i="26"/>
  <c r="AK207" i="24"/>
  <c r="AN207" i="24"/>
  <c r="G208" i="24"/>
  <c r="AR208" i="24" s="1"/>
  <c r="F209" i="15"/>
  <c r="AL208" i="15"/>
  <c r="AM208" i="15" s="1"/>
  <c r="AN208" i="15" s="1"/>
  <c r="AI208" i="15"/>
  <c r="AJ208" i="15" s="1"/>
  <c r="AK208" i="15" s="1"/>
  <c r="AW226" i="29"/>
  <c r="AO197" i="16"/>
  <c r="AP197" i="16"/>
  <c r="K197" i="16"/>
  <c r="K218" i="19"/>
  <c r="AI218" i="19"/>
  <c r="AJ218" i="19" s="1"/>
  <c r="AK218" i="19" s="1"/>
  <c r="AL218" i="19"/>
  <c r="AM218" i="19" s="1"/>
  <c r="AN218" i="19" s="1"/>
  <c r="AO218" i="19"/>
  <c r="AP218" i="19"/>
  <c r="BD63" i="21" l="1"/>
  <c r="BG37" i="21" s="1"/>
  <c r="BH37" i="21" s="1"/>
  <c r="BB63" i="21"/>
  <c r="BG38" i="21"/>
  <c r="AW222" i="28"/>
  <c r="M228" i="29"/>
  <c r="O228" i="29"/>
  <c r="N228" i="29"/>
  <c r="P229" i="29"/>
  <c r="I223" i="28"/>
  <c r="Q223" i="28" s="1"/>
  <c r="L224" i="28" s="1"/>
  <c r="J224" i="28"/>
  <c r="G223" i="28"/>
  <c r="AI223" i="28" s="1"/>
  <c r="AJ223" i="28" s="1"/>
  <c r="AK223" i="28" s="1"/>
  <c r="H223" i="28"/>
  <c r="AI227" i="29"/>
  <c r="AO227" i="29"/>
  <c r="AW207" i="24"/>
  <c r="AX207" i="24" s="1"/>
  <c r="AY207" i="24" s="1"/>
  <c r="AM219" i="26"/>
  <c r="AN219" i="26" s="1"/>
  <c r="AJ219" i="26"/>
  <c r="AK219" i="26" s="1"/>
  <c r="G220" i="26"/>
  <c r="AR220" i="26" s="1"/>
  <c r="H208" i="24"/>
  <c r="AW208" i="15"/>
  <c r="AX208" i="15" s="1"/>
  <c r="AY208" i="15" s="1"/>
  <c r="G209" i="15"/>
  <c r="AR209" i="15" s="1"/>
  <c r="AN227" i="29"/>
  <c r="K227" i="29"/>
  <c r="F198" i="16"/>
  <c r="AS197" i="16"/>
  <c r="AI197" i="16"/>
  <c r="AJ197" i="16" s="1"/>
  <c r="AK197" i="16" s="1"/>
  <c r="AQ197" i="16"/>
  <c r="AU197" i="16"/>
  <c r="F219" i="19"/>
  <c r="AU218" i="19"/>
  <c r="AQ218" i="19"/>
  <c r="AS218" i="19"/>
  <c r="E15" i="11" l="1"/>
  <c r="F15" i="11" s="1"/>
  <c r="F16" i="11" s="1"/>
  <c r="E16" i="11" s="1"/>
  <c r="E4" i="11" s="1"/>
  <c r="F4" i="11" s="1"/>
  <c r="BH38" i="21"/>
  <c r="BH63" i="21" s="1"/>
  <c r="BG63" i="21"/>
  <c r="O224" i="28"/>
  <c r="M224" i="28"/>
  <c r="N224" i="28"/>
  <c r="P225" i="28"/>
  <c r="AL223" i="28"/>
  <c r="AM223" i="28" s="1"/>
  <c r="AN223" i="28" s="1"/>
  <c r="AP223" i="28"/>
  <c r="AO223" i="28"/>
  <c r="K223" i="28"/>
  <c r="AJ227" i="29"/>
  <c r="AK227" i="29" s="1"/>
  <c r="F228" i="29"/>
  <c r="I228" i="29" s="1"/>
  <c r="AR228" i="29" s="1"/>
  <c r="AQ227" i="29"/>
  <c r="AS227" i="29"/>
  <c r="AU227" i="29"/>
  <c r="AW219" i="26"/>
  <c r="AX219" i="26" s="1"/>
  <c r="AY219" i="26" s="1"/>
  <c r="H220" i="26"/>
  <c r="F209" i="24"/>
  <c r="AI208" i="24"/>
  <c r="AJ208" i="24" s="1"/>
  <c r="AL208" i="24"/>
  <c r="AM208" i="24" s="1"/>
  <c r="H209" i="15"/>
  <c r="AW197" i="16"/>
  <c r="AX197" i="16" s="1"/>
  <c r="AY197" i="16" s="1"/>
  <c r="G198" i="16"/>
  <c r="AL198" i="16" s="1"/>
  <c r="AM198" i="16" s="1"/>
  <c r="AN198" i="16" s="1"/>
  <c r="J199" i="16"/>
  <c r="H198" i="16"/>
  <c r="AW218" i="19"/>
  <c r="AX218" i="19" s="1"/>
  <c r="AY218" i="19" s="1"/>
  <c r="J220" i="19"/>
  <c r="H219" i="19"/>
  <c r="G219" i="19"/>
  <c r="K219" i="19" s="1"/>
  <c r="F220" i="19" s="1"/>
  <c r="E3" i="11" l="1"/>
  <c r="F3" i="11" s="1"/>
  <c r="Q228" i="29"/>
  <c r="L229" i="29" s="1"/>
  <c r="M229" i="29" s="1"/>
  <c r="E17" i="11"/>
  <c r="F17" i="11" s="1"/>
  <c r="O229" i="29"/>
  <c r="F224" i="28"/>
  <c r="AS223" i="28"/>
  <c r="AU223" i="28"/>
  <c r="AQ223" i="28"/>
  <c r="H228" i="29"/>
  <c r="AP228" i="29" s="1"/>
  <c r="J229" i="29"/>
  <c r="G228" i="29"/>
  <c r="AL228" i="29" s="1"/>
  <c r="AM228" i="29" s="1"/>
  <c r="F221" i="26"/>
  <c r="AI220" i="26"/>
  <c r="AL220" i="26"/>
  <c r="AN208" i="24"/>
  <c r="AK208" i="24"/>
  <c r="G209" i="24"/>
  <c r="AR209" i="24" s="1"/>
  <c r="F210" i="15"/>
  <c r="AL209" i="15"/>
  <c r="AM209" i="15" s="1"/>
  <c r="AN209" i="15" s="1"/>
  <c r="AI209" i="15"/>
  <c r="AJ209" i="15" s="1"/>
  <c r="AK209" i="15" s="1"/>
  <c r="AW227" i="29"/>
  <c r="K198" i="16"/>
  <c r="F199" i="16" s="1"/>
  <c r="H199" i="16" s="1"/>
  <c r="AO198" i="16"/>
  <c r="AP198" i="16"/>
  <c r="AU219" i="19"/>
  <c r="AQ219" i="19"/>
  <c r="J221" i="19"/>
  <c r="G220" i="19"/>
  <c r="AL220" i="19" s="1"/>
  <c r="AM220" i="19" s="1"/>
  <c r="AN220" i="19" s="1"/>
  <c r="H220" i="19"/>
  <c r="AP219" i="19"/>
  <c r="AO219" i="19"/>
  <c r="AL219" i="19"/>
  <c r="AM219" i="19" s="1"/>
  <c r="AN219" i="19" s="1"/>
  <c r="AI219" i="19"/>
  <c r="AJ219" i="19" s="1"/>
  <c r="AK219" i="19" s="1"/>
  <c r="AS219" i="19"/>
  <c r="E5" i="11" l="1"/>
  <c r="F5" i="11" s="1"/>
  <c r="N229" i="29"/>
  <c r="P230" i="29"/>
  <c r="AW223" i="28"/>
  <c r="I224" i="28"/>
  <c r="Q224" i="28" s="1"/>
  <c r="L225" i="28" s="1"/>
  <c r="G224" i="28"/>
  <c r="AL224" i="28" s="1"/>
  <c r="AM224" i="28" s="1"/>
  <c r="AN224" i="28" s="1"/>
  <c r="J225" i="28"/>
  <c r="H224" i="28"/>
  <c r="AI228" i="29"/>
  <c r="AO228" i="29"/>
  <c r="AJ220" i="26"/>
  <c r="AK220" i="26" s="1"/>
  <c r="AM220" i="26"/>
  <c r="AN220" i="26" s="1"/>
  <c r="G221" i="26"/>
  <c r="AR221" i="26" s="1"/>
  <c r="AW208" i="24"/>
  <c r="AX208" i="24" s="1"/>
  <c r="AY208" i="24" s="1"/>
  <c r="H209" i="24"/>
  <c r="AW209" i="15"/>
  <c r="AX209" i="15" s="1"/>
  <c r="AY209" i="15" s="1"/>
  <c r="G210" i="15"/>
  <c r="AR210" i="15" s="1"/>
  <c r="AN228" i="29"/>
  <c r="K228" i="29"/>
  <c r="J200" i="16"/>
  <c r="G199" i="16"/>
  <c r="AL199" i="16" s="1"/>
  <c r="AM199" i="16" s="1"/>
  <c r="AN199" i="16" s="1"/>
  <c r="AQ198" i="16"/>
  <c r="AI198" i="16"/>
  <c r="AJ198" i="16" s="1"/>
  <c r="AK198" i="16" s="1"/>
  <c r="AU198" i="16"/>
  <c r="AS198" i="16"/>
  <c r="AP199" i="16"/>
  <c r="AO199" i="16"/>
  <c r="AW219" i="19"/>
  <c r="AX219" i="19" s="1"/>
  <c r="AY219" i="19" s="1"/>
  <c r="AP220" i="19"/>
  <c r="AO220" i="19"/>
  <c r="K220" i="19"/>
  <c r="AI220" i="19"/>
  <c r="AJ220" i="19" s="1"/>
  <c r="AK220" i="19" s="1"/>
  <c r="O225" i="28" l="1"/>
  <c r="M225" i="28"/>
  <c r="P226" i="28"/>
  <c r="N225" i="28"/>
  <c r="AI224" i="28"/>
  <c r="AJ224" i="28" s="1"/>
  <c r="AK224" i="28" s="1"/>
  <c r="AP224" i="28"/>
  <c r="AO224" i="28"/>
  <c r="K224" i="28"/>
  <c r="AW220" i="26"/>
  <c r="AX220" i="26" s="1"/>
  <c r="AY220" i="26" s="1"/>
  <c r="F229" i="29"/>
  <c r="I229" i="29" s="1"/>
  <c r="AS228" i="29"/>
  <c r="AU228" i="29"/>
  <c r="AQ228" i="29"/>
  <c r="AJ228" i="29"/>
  <c r="AK228" i="29" s="1"/>
  <c r="H221" i="26"/>
  <c r="F210" i="24"/>
  <c r="AL209" i="24"/>
  <c r="AM209" i="24" s="1"/>
  <c r="AI209" i="24"/>
  <c r="AJ209" i="24" s="1"/>
  <c r="H210" i="15"/>
  <c r="K199" i="16"/>
  <c r="AQ199" i="16" s="1"/>
  <c r="AW198" i="16"/>
  <c r="AX198" i="16" s="1"/>
  <c r="AY198" i="16" s="1"/>
  <c r="F221" i="19"/>
  <c r="AS220" i="19"/>
  <c r="AU220" i="19"/>
  <c r="AQ220" i="19"/>
  <c r="AR229" i="29" l="1"/>
  <c r="Q229" i="29"/>
  <c r="L230" i="29" s="1"/>
  <c r="F225" i="28"/>
  <c r="AU224" i="28"/>
  <c r="AS224" i="28"/>
  <c r="AQ224" i="28"/>
  <c r="AW228" i="29"/>
  <c r="J230" i="29"/>
  <c r="H229" i="29"/>
  <c r="AP229" i="29" s="1"/>
  <c r="G229" i="29"/>
  <c r="AL229" i="29" s="1"/>
  <c r="F222" i="26"/>
  <c r="AL221" i="26"/>
  <c r="AI221" i="26"/>
  <c r="AN209" i="24"/>
  <c r="AK209" i="24"/>
  <c r="G210" i="24"/>
  <c r="AR210" i="24" s="1"/>
  <c r="F211" i="15"/>
  <c r="AI210" i="15"/>
  <c r="AJ210" i="15" s="1"/>
  <c r="AK210" i="15" s="1"/>
  <c r="AL210" i="15"/>
  <c r="AM210" i="15" s="1"/>
  <c r="AN210" i="15" s="1"/>
  <c r="AI199" i="16"/>
  <c r="AJ199" i="16" s="1"/>
  <c r="AK199" i="16" s="1"/>
  <c r="AS199" i="16"/>
  <c r="F200" i="16"/>
  <c r="G200" i="16" s="1"/>
  <c r="K200" i="16" s="1"/>
  <c r="F201" i="16" s="1"/>
  <c r="AU199" i="16"/>
  <c r="AW220" i="19"/>
  <c r="AX220" i="19" s="1"/>
  <c r="AY220" i="19" s="1"/>
  <c r="G221" i="19"/>
  <c r="AL221" i="19" s="1"/>
  <c r="AM221" i="19" s="1"/>
  <c r="AN221" i="19" s="1"/>
  <c r="J222" i="19"/>
  <c r="H221" i="19"/>
  <c r="AW224" i="28" l="1"/>
  <c r="I225" i="28"/>
  <c r="Q225" i="28" s="1"/>
  <c r="L226" i="28" s="1"/>
  <c r="H225" i="28"/>
  <c r="J226" i="28"/>
  <c r="G225" i="28"/>
  <c r="K225" i="28" s="1"/>
  <c r="F226" i="28" s="1"/>
  <c r="O230" i="29"/>
  <c r="M230" i="29"/>
  <c r="N230" i="29"/>
  <c r="P231" i="29"/>
  <c r="AM229" i="29"/>
  <c r="AN229" i="29" s="1"/>
  <c r="AO229" i="29"/>
  <c r="AI229" i="29"/>
  <c r="AM221" i="26"/>
  <c r="AN221" i="26" s="1"/>
  <c r="AJ221" i="26"/>
  <c r="AK221" i="26" s="1"/>
  <c r="G222" i="26"/>
  <c r="AR222" i="26" s="1"/>
  <c r="AW210" i="15"/>
  <c r="AX210" i="15" s="1"/>
  <c r="AY210" i="15" s="1"/>
  <c r="AW209" i="24"/>
  <c r="AX209" i="24" s="1"/>
  <c r="AY209" i="24" s="1"/>
  <c r="H210" i="24"/>
  <c r="G211" i="15"/>
  <c r="AR211" i="15" s="1"/>
  <c r="K229" i="29"/>
  <c r="H200" i="16"/>
  <c r="AO200" i="16" s="1"/>
  <c r="J201" i="16"/>
  <c r="AW199" i="16"/>
  <c r="AX199" i="16" s="1"/>
  <c r="AY199" i="16" s="1"/>
  <c r="AI200" i="16"/>
  <c r="AJ200" i="16" s="1"/>
  <c r="AK200" i="16" s="1"/>
  <c r="AQ200" i="16"/>
  <c r="AL200" i="16"/>
  <c r="AM200" i="16" s="1"/>
  <c r="AN200" i="16" s="1"/>
  <c r="AU200" i="16"/>
  <c r="AS200" i="16"/>
  <c r="G201" i="16"/>
  <c r="K201" i="16" s="1"/>
  <c r="AS201" i="16" s="1"/>
  <c r="J202" i="16"/>
  <c r="H201" i="16"/>
  <c r="AI221" i="19"/>
  <c r="AJ221" i="19" s="1"/>
  <c r="AK221" i="19" s="1"/>
  <c r="AO221" i="19"/>
  <c r="AP221" i="19"/>
  <c r="K221" i="19"/>
  <c r="I226" i="28" l="1"/>
  <c r="H226" i="28"/>
  <c r="J227" i="28"/>
  <c r="G226" i="28"/>
  <c r="O226" i="28"/>
  <c r="M226" i="28"/>
  <c r="N226" i="28"/>
  <c r="P227" i="28"/>
  <c r="AS225" i="28"/>
  <c r="AI225" i="28"/>
  <c r="AJ225" i="28" s="1"/>
  <c r="AK225" i="28" s="1"/>
  <c r="AU225" i="28"/>
  <c r="AL225" i="28"/>
  <c r="AM225" i="28" s="1"/>
  <c r="AN225" i="28" s="1"/>
  <c r="AO225" i="28"/>
  <c r="AP225" i="28"/>
  <c r="AQ225" i="28"/>
  <c r="AJ229" i="29"/>
  <c r="AK229" i="29" s="1"/>
  <c r="F230" i="29"/>
  <c r="I230" i="29" s="1"/>
  <c r="AR230" i="29" s="1"/>
  <c r="AQ229" i="29"/>
  <c r="AS229" i="29"/>
  <c r="AU229" i="29"/>
  <c r="AW221" i="26"/>
  <c r="AX221" i="26" s="1"/>
  <c r="AY221" i="26" s="1"/>
  <c r="AY236" i="26" s="1"/>
  <c r="H222" i="26"/>
  <c r="F211" i="24"/>
  <c r="AI210" i="24"/>
  <c r="AJ210" i="24" s="1"/>
  <c r="AL210" i="24"/>
  <c r="AM210" i="24" s="1"/>
  <c r="H211" i="15"/>
  <c r="AX63" i="22"/>
  <c r="AP200" i="16"/>
  <c r="AW200" i="16" s="1"/>
  <c r="AX200" i="16" s="1"/>
  <c r="AY200" i="16" s="1"/>
  <c r="AL201" i="16"/>
  <c r="AM201" i="16" s="1"/>
  <c r="AN201" i="16" s="1"/>
  <c r="AI201" i="16"/>
  <c r="AJ201" i="16" s="1"/>
  <c r="AK201" i="16" s="1"/>
  <c r="AO201" i="16"/>
  <c r="AP201" i="16"/>
  <c r="AU201" i="16"/>
  <c r="F202" i="16"/>
  <c r="AQ201" i="16"/>
  <c r="F222" i="19"/>
  <c r="AQ221" i="19"/>
  <c r="AU221" i="19"/>
  <c r="AS221" i="19"/>
  <c r="AX18" i="22" l="1"/>
  <c r="BB18" i="22" s="1"/>
  <c r="BD18" i="22" s="1"/>
  <c r="AX17" i="22"/>
  <c r="AX19" i="22"/>
  <c r="AX20" i="22"/>
  <c r="AI226" i="28"/>
  <c r="AJ226" i="28" s="1"/>
  <c r="AK226" i="28" s="1"/>
  <c r="K226" i="28"/>
  <c r="Q226" i="28"/>
  <c r="L227" i="28" s="1"/>
  <c r="AO226" i="28"/>
  <c r="AP226" i="28"/>
  <c r="Q230" i="29"/>
  <c r="L231" i="29" s="1"/>
  <c r="AW225" i="28"/>
  <c r="AL226" i="28"/>
  <c r="AM226" i="28" s="1"/>
  <c r="AN226" i="28" s="1"/>
  <c r="J231" i="29"/>
  <c r="H230" i="29"/>
  <c r="AP230" i="29" s="1"/>
  <c r="G230" i="29"/>
  <c r="AI230" i="29" s="1"/>
  <c r="F223" i="26"/>
  <c r="AL222" i="26"/>
  <c r="AI222" i="26"/>
  <c r="AK210" i="24"/>
  <c r="AN210" i="24"/>
  <c r="G211" i="24"/>
  <c r="AR211" i="24" s="1"/>
  <c r="F212" i="15"/>
  <c r="AI211" i="15"/>
  <c r="AJ211" i="15" s="1"/>
  <c r="AK211" i="15" s="1"/>
  <c r="AL211" i="15"/>
  <c r="AM211" i="15" s="1"/>
  <c r="AN211" i="15" s="1"/>
  <c r="AW229" i="29"/>
  <c r="BB63" i="22"/>
  <c r="BD51" i="22"/>
  <c r="BD63" i="22" s="1"/>
  <c r="AW201" i="16"/>
  <c r="AX201" i="16" s="1"/>
  <c r="AY201" i="16" s="1"/>
  <c r="J203" i="16"/>
  <c r="H202" i="16"/>
  <c r="G202" i="16"/>
  <c r="AL202" i="16" s="1"/>
  <c r="AM202" i="16" s="1"/>
  <c r="AN202" i="16" s="1"/>
  <c r="AW221" i="19"/>
  <c r="AX221" i="19" s="1"/>
  <c r="AY221" i="19" s="1"/>
  <c r="AY236" i="19" s="1"/>
  <c r="J223" i="19"/>
  <c r="G222" i="19"/>
  <c r="K222" i="19" s="1"/>
  <c r="H222" i="19"/>
  <c r="BH18" i="22" l="1"/>
  <c r="BB17" i="22"/>
  <c r="BD17" i="22" s="1"/>
  <c r="BH17" i="22"/>
  <c r="AX50" i="13"/>
  <c r="BB50" i="13" s="1"/>
  <c r="BD50" i="13" s="1"/>
  <c r="AX49" i="13"/>
  <c r="AX52" i="13"/>
  <c r="BB52" i="13" s="1"/>
  <c r="AX51" i="13"/>
  <c r="BH19" i="22"/>
  <c r="AX31" i="22"/>
  <c r="BB19" i="22"/>
  <c r="BB20" i="22"/>
  <c r="BD20" i="22" s="1"/>
  <c r="BH20" i="22"/>
  <c r="BG37" i="22"/>
  <c r="BH37" i="22" s="1"/>
  <c r="BG38" i="22"/>
  <c r="BH38" i="22" s="1"/>
  <c r="O231" i="29"/>
  <c r="N231" i="29"/>
  <c r="M231" i="29"/>
  <c r="P232" i="29"/>
  <c r="F227" i="28"/>
  <c r="AQ226" i="28"/>
  <c r="AS226" i="28"/>
  <c r="AU226" i="28"/>
  <c r="O227" i="28"/>
  <c r="M227" i="28"/>
  <c r="P228" i="28"/>
  <c r="N227" i="28"/>
  <c r="AJ230" i="29"/>
  <c r="AK230" i="29" s="1"/>
  <c r="AL230" i="29"/>
  <c r="AM230" i="29" s="1"/>
  <c r="AO230" i="29"/>
  <c r="AW210" i="24"/>
  <c r="AX210" i="24" s="1"/>
  <c r="AY210" i="24" s="1"/>
  <c r="AM222" i="26"/>
  <c r="AN222" i="26" s="1"/>
  <c r="G223" i="26"/>
  <c r="AR223" i="26" s="1"/>
  <c r="AJ222" i="26"/>
  <c r="AK222" i="26" s="1"/>
  <c r="AW211" i="15"/>
  <c r="AX211" i="15" s="1"/>
  <c r="AY211" i="15" s="1"/>
  <c r="H211" i="24"/>
  <c r="G212" i="15"/>
  <c r="AR212" i="15" s="1"/>
  <c r="K230" i="29"/>
  <c r="AP202" i="16"/>
  <c r="AO202" i="16"/>
  <c r="K202" i="16"/>
  <c r="AL222" i="19"/>
  <c r="AM222" i="19" s="1"/>
  <c r="AN222" i="19" s="1"/>
  <c r="F223" i="19"/>
  <c r="AQ222" i="19"/>
  <c r="AU222" i="19"/>
  <c r="AS222" i="19"/>
  <c r="AP222" i="19"/>
  <c r="AO222" i="19"/>
  <c r="AI222" i="19"/>
  <c r="AJ222" i="19" s="1"/>
  <c r="AK222" i="19" s="1"/>
  <c r="BH50" i="13" l="1"/>
  <c r="BB49" i="13"/>
  <c r="BD49" i="13" s="1"/>
  <c r="BH49" i="13"/>
  <c r="AX63" i="13"/>
  <c r="BH52" i="13"/>
  <c r="BH51" i="13"/>
  <c r="BB51" i="13"/>
  <c r="BD51" i="13" s="1"/>
  <c r="BG63" i="22"/>
  <c r="BH63" i="22"/>
  <c r="BD52" i="13"/>
  <c r="BD19" i="22"/>
  <c r="BD31" i="22" s="1"/>
  <c r="BB31" i="22"/>
  <c r="AW226" i="28"/>
  <c r="I227" i="28"/>
  <c r="Q227" i="28" s="1"/>
  <c r="L228" i="28" s="1"/>
  <c r="J228" i="28"/>
  <c r="H227" i="28"/>
  <c r="G227" i="28"/>
  <c r="AI227" i="28" s="1"/>
  <c r="AJ227" i="28" s="1"/>
  <c r="AK227" i="28" s="1"/>
  <c r="F231" i="29"/>
  <c r="I231" i="29" s="1"/>
  <c r="AR231" i="29" s="1"/>
  <c r="AQ230" i="29"/>
  <c r="AU230" i="29"/>
  <c r="AS230" i="29"/>
  <c r="AW222" i="26"/>
  <c r="H223" i="26"/>
  <c r="F212" i="24"/>
  <c r="AI211" i="24"/>
  <c r="AJ211" i="24" s="1"/>
  <c r="AL211" i="24"/>
  <c r="AM211" i="24" s="1"/>
  <c r="H212" i="15"/>
  <c r="AN230" i="29"/>
  <c r="F203" i="16"/>
  <c r="AQ202" i="16"/>
  <c r="AU202" i="16"/>
  <c r="AS202" i="16"/>
  <c r="AI202" i="16"/>
  <c r="AJ202" i="16" s="1"/>
  <c r="AK202" i="16" s="1"/>
  <c r="AW222" i="19"/>
  <c r="H223" i="19"/>
  <c r="G223" i="19"/>
  <c r="AI223" i="19" s="1"/>
  <c r="AJ223" i="19" s="1"/>
  <c r="AK223" i="19" s="1"/>
  <c r="J224" i="19"/>
  <c r="BB63" i="13" l="1"/>
  <c r="BD63" i="13"/>
  <c r="BG38" i="13" s="1"/>
  <c r="BH38" i="13" s="1"/>
  <c r="Q231" i="29"/>
  <c r="L232" i="29" s="1"/>
  <c r="N232" i="29" s="1"/>
  <c r="BG5" i="22"/>
  <c r="BG6" i="22"/>
  <c r="BH6" i="22" s="1"/>
  <c r="O228" i="28"/>
  <c r="M228" i="28"/>
  <c r="N228" i="28"/>
  <c r="P229" i="28"/>
  <c r="O232" i="29"/>
  <c r="AP227" i="28"/>
  <c r="AO227" i="28"/>
  <c r="AL227" i="28"/>
  <c r="AM227" i="28" s="1"/>
  <c r="AN227" i="28" s="1"/>
  <c r="K227" i="28"/>
  <c r="H231" i="29"/>
  <c r="AP231" i="29" s="1"/>
  <c r="J232" i="29"/>
  <c r="G231" i="29"/>
  <c r="AL231" i="29" s="1"/>
  <c r="AM231" i="29" s="1"/>
  <c r="F224" i="26"/>
  <c r="AI223" i="26"/>
  <c r="AL223" i="26"/>
  <c r="AK211" i="24"/>
  <c r="AN211" i="24"/>
  <c r="G212" i="24"/>
  <c r="AR212" i="24" s="1"/>
  <c r="F213" i="15"/>
  <c r="AL212" i="15"/>
  <c r="AM212" i="15" s="1"/>
  <c r="AN212" i="15" s="1"/>
  <c r="AI212" i="15"/>
  <c r="AJ212" i="15" s="1"/>
  <c r="AK212" i="15" s="1"/>
  <c r="AW230" i="29"/>
  <c r="AW202" i="16"/>
  <c r="AX202" i="16" s="1"/>
  <c r="AY202" i="16" s="1"/>
  <c r="J204" i="16"/>
  <c r="G203" i="16"/>
  <c r="AL203" i="16" s="1"/>
  <c r="AM203" i="16" s="1"/>
  <c r="AN203" i="16" s="1"/>
  <c r="H203" i="16"/>
  <c r="AL223" i="19"/>
  <c r="AM223" i="19" s="1"/>
  <c r="AN223" i="19" s="1"/>
  <c r="K223" i="19"/>
  <c r="AP223" i="19"/>
  <c r="AO223" i="19"/>
  <c r="BG37" i="13" l="1"/>
  <c r="BH37" i="13" s="1"/>
  <c r="BH63" i="13" s="1"/>
  <c r="M232" i="29"/>
  <c r="P233" i="29"/>
  <c r="BG31" i="22"/>
  <c r="BH5" i="22"/>
  <c r="BH31" i="22" s="1"/>
  <c r="F228" i="28"/>
  <c r="AS227" i="28"/>
  <c r="AQ227" i="28"/>
  <c r="AU227" i="28"/>
  <c r="AI231" i="29"/>
  <c r="AO231" i="29"/>
  <c r="AW211" i="24"/>
  <c r="AX211" i="24" s="1"/>
  <c r="AY211" i="24" s="1"/>
  <c r="AM223" i="26"/>
  <c r="AN223" i="26" s="1"/>
  <c r="G224" i="26"/>
  <c r="AR224" i="26" s="1"/>
  <c r="AJ223" i="26"/>
  <c r="AK223" i="26" s="1"/>
  <c r="AW212" i="15"/>
  <c r="AX212" i="15" s="1"/>
  <c r="AY212" i="15" s="1"/>
  <c r="H212" i="24"/>
  <c r="G213" i="15"/>
  <c r="AR213" i="15" s="1"/>
  <c r="AN231" i="29"/>
  <c r="K231" i="29"/>
  <c r="AP203" i="16"/>
  <c r="AO203" i="16"/>
  <c r="K203" i="16"/>
  <c r="AQ223" i="19"/>
  <c r="F224" i="19"/>
  <c r="AU223" i="19"/>
  <c r="AS223" i="19"/>
  <c r="BG63" i="13" l="1"/>
  <c r="AW227" i="28"/>
  <c r="I228" i="28"/>
  <c r="Q228" i="28" s="1"/>
  <c r="L229" i="28" s="1"/>
  <c r="J229" i="28"/>
  <c r="G228" i="28"/>
  <c r="AL228" i="28" s="1"/>
  <c r="AM228" i="28" s="1"/>
  <c r="AN228" i="28" s="1"/>
  <c r="H228" i="28"/>
  <c r="F232" i="29"/>
  <c r="I232" i="29" s="1"/>
  <c r="AQ231" i="29"/>
  <c r="AS231" i="29"/>
  <c r="AU231" i="29"/>
  <c r="AJ231" i="29"/>
  <c r="AK231" i="29" s="1"/>
  <c r="AW223" i="26"/>
  <c r="H224" i="26"/>
  <c r="F213" i="24"/>
  <c r="AI212" i="24"/>
  <c r="AJ212" i="24" s="1"/>
  <c r="AL212" i="24"/>
  <c r="AM212" i="24" s="1"/>
  <c r="H213" i="15"/>
  <c r="F204" i="16"/>
  <c r="AU203" i="16"/>
  <c r="AS203" i="16"/>
  <c r="AQ203" i="16"/>
  <c r="AI203" i="16"/>
  <c r="AJ203" i="16" s="1"/>
  <c r="AK203" i="16" s="1"/>
  <c r="AW223" i="19"/>
  <c r="G224" i="19"/>
  <c r="AI224" i="19" s="1"/>
  <c r="AJ224" i="19" s="1"/>
  <c r="AK224" i="19" s="1"/>
  <c r="J225" i="19"/>
  <c r="H224" i="19"/>
  <c r="AI228" i="28" l="1"/>
  <c r="AJ228" i="28" s="1"/>
  <c r="AK228" i="28" s="1"/>
  <c r="O229" i="28"/>
  <c r="M229" i="28"/>
  <c r="P230" i="28"/>
  <c r="N229" i="28"/>
  <c r="K228" i="28"/>
  <c r="AO228" i="28"/>
  <c r="AP228" i="28"/>
  <c r="AR232" i="29"/>
  <c r="Q232" i="29"/>
  <c r="L233" i="29" s="1"/>
  <c r="J233" i="29"/>
  <c r="H232" i="29"/>
  <c r="AP232" i="29" s="1"/>
  <c r="G232" i="29"/>
  <c r="AI232" i="29" s="1"/>
  <c r="F225" i="26"/>
  <c r="AL224" i="26"/>
  <c r="AI224" i="26"/>
  <c r="AK212" i="24"/>
  <c r="AN212" i="24"/>
  <c r="G213" i="24"/>
  <c r="AR213" i="24" s="1"/>
  <c r="F214" i="15"/>
  <c r="AL213" i="15"/>
  <c r="AM213" i="15" s="1"/>
  <c r="AN213" i="15" s="1"/>
  <c r="AI213" i="15"/>
  <c r="AJ213" i="15" s="1"/>
  <c r="AK213" i="15" s="1"/>
  <c r="AW231" i="29"/>
  <c r="AW203" i="16"/>
  <c r="AX203" i="16" s="1"/>
  <c r="AY203" i="16" s="1"/>
  <c r="H204" i="16"/>
  <c r="G204" i="16"/>
  <c r="K204" i="16" s="1"/>
  <c r="J205" i="16"/>
  <c r="K224" i="19"/>
  <c r="F225" i="19" s="1"/>
  <c r="AL224" i="19"/>
  <c r="AM224" i="19" s="1"/>
  <c r="AN224" i="19" s="1"/>
  <c r="AP224" i="19"/>
  <c r="AO224" i="19"/>
  <c r="O233" i="29" l="1"/>
  <c r="P234" i="29"/>
  <c r="N233" i="29"/>
  <c r="M233" i="29"/>
  <c r="F229" i="28"/>
  <c r="AQ228" i="28"/>
  <c r="AS228" i="28"/>
  <c r="AU228" i="28"/>
  <c r="AW212" i="24"/>
  <c r="AX212" i="24" s="1"/>
  <c r="AY212" i="24" s="1"/>
  <c r="AJ232" i="29"/>
  <c r="AK232" i="29" s="1"/>
  <c r="AO232" i="29"/>
  <c r="AL232" i="29"/>
  <c r="AM224" i="26"/>
  <c r="AN224" i="26" s="1"/>
  <c r="AJ224" i="26"/>
  <c r="AK224" i="26" s="1"/>
  <c r="G225" i="26"/>
  <c r="AR225" i="26" s="1"/>
  <c r="H213" i="24"/>
  <c r="AW213" i="15"/>
  <c r="AX213" i="15" s="1"/>
  <c r="AY213" i="15" s="1"/>
  <c r="G214" i="15"/>
  <c r="AR214" i="15" s="1"/>
  <c r="K232" i="29"/>
  <c r="F205" i="16"/>
  <c r="H205" i="16" s="1"/>
  <c r="AS204" i="16"/>
  <c r="AU204" i="16"/>
  <c r="AQ204" i="16"/>
  <c r="AL204" i="16"/>
  <c r="AM204" i="16" s="1"/>
  <c r="AN204" i="16" s="1"/>
  <c r="AO204" i="16"/>
  <c r="AP204" i="16"/>
  <c r="AI204" i="16"/>
  <c r="AJ204" i="16" s="1"/>
  <c r="AK204" i="16" s="1"/>
  <c r="AU224" i="19"/>
  <c r="AS224" i="19"/>
  <c r="AQ224" i="19"/>
  <c r="G225" i="19"/>
  <c r="J226" i="19"/>
  <c r="H225" i="19"/>
  <c r="AW228" i="28" l="1"/>
  <c r="I229" i="28"/>
  <c r="Q229" i="28" s="1"/>
  <c r="L230" i="28" s="1"/>
  <c r="G229" i="28"/>
  <c r="K229" i="28" s="1"/>
  <c r="F230" i="28" s="1"/>
  <c r="H229" i="28"/>
  <c r="J230" i="28"/>
  <c r="AM232" i="29"/>
  <c r="AN232" i="29" s="1"/>
  <c r="F233" i="29"/>
  <c r="I233" i="29" s="1"/>
  <c r="AR233" i="29" s="1"/>
  <c r="AS232" i="29"/>
  <c r="AU232" i="29"/>
  <c r="AQ232" i="29"/>
  <c r="AW224" i="26"/>
  <c r="H225" i="26"/>
  <c r="F214" i="24"/>
  <c r="AI213" i="24"/>
  <c r="AJ213" i="24" s="1"/>
  <c r="AL213" i="24"/>
  <c r="AM213" i="24" s="1"/>
  <c r="H214" i="15"/>
  <c r="G205" i="16"/>
  <c r="AL205" i="16" s="1"/>
  <c r="AM205" i="16" s="1"/>
  <c r="AN205" i="16" s="1"/>
  <c r="J206" i="16"/>
  <c r="AW204" i="16"/>
  <c r="AX204" i="16" s="1"/>
  <c r="AY204" i="16" s="1"/>
  <c r="AP205" i="16"/>
  <c r="AO205" i="16"/>
  <c r="AW224" i="19"/>
  <c r="AP225" i="19"/>
  <c r="AO225" i="19"/>
  <c r="AI225" i="19"/>
  <c r="AJ225" i="19" s="1"/>
  <c r="AK225" i="19" s="1"/>
  <c r="AL225" i="19"/>
  <c r="AM225" i="19" s="1"/>
  <c r="AN225" i="19" s="1"/>
  <c r="K225" i="19"/>
  <c r="Q233" i="29" l="1"/>
  <c r="L234" i="29" s="1"/>
  <c r="N234" i="29" s="1"/>
  <c r="O230" i="28"/>
  <c r="N230" i="28"/>
  <c r="P231" i="28"/>
  <c r="M230" i="28"/>
  <c r="AQ229" i="28"/>
  <c r="AL229" i="28"/>
  <c r="AM229" i="28" s="1"/>
  <c r="AN229" i="28" s="1"/>
  <c r="I230" i="28"/>
  <c r="H230" i="28"/>
  <c r="J231" i="28"/>
  <c r="G230" i="28"/>
  <c r="K230" i="28" s="1"/>
  <c r="F231" i="28" s="1"/>
  <c r="AO229" i="28"/>
  <c r="AP229" i="28"/>
  <c r="AS229" i="28"/>
  <c r="AU229" i="28"/>
  <c r="AI229" i="28"/>
  <c r="AJ229" i="28" s="1"/>
  <c r="AK229" i="28" s="1"/>
  <c r="H233" i="29"/>
  <c r="AP233" i="29" s="1"/>
  <c r="J234" i="29"/>
  <c r="G233" i="29"/>
  <c r="AL233" i="29" s="1"/>
  <c r="AM233" i="29" s="1"/>
  <c r="F226" i="26"/>
  <c r="AL225" i="26"/>
  <c r="AI225" i="26"/>
  <c r="AN213" i="24"/>
  <c r="AK213" i="24"/>
  <c r="G214" i="24"/>
  <c r="AR214" i="24" s="1"/>
  <c r="F215" i="15"/>
  <c r="AI214" i="15"/>
  <c r="AJ214" i="15" s="1"/>
  <c r="AK214" i="15" s="1"/>
  <c r="AL214" i="15"/>
  <c r="AM214" i="15" s="1"/>
  <c r="AN214" i="15" s="1"/>
  <c r="AW232" i="29"/>
  <c r="K205" i="16"/>
  <c r="AI205" i="16" s="1"/>
  <c r="AJ205" i="16" s="1"/>
  <c r="AK205" i="16" s="1"/>
  <c r="AQ225" i="19"/>
  <c r="AS225" i="19"/>
  <c r="AU225" i="19"/>
  <c r="F226" i="19"/>
  <c r="Q230" i="28" l="1"/>
  <c r="L231" i="28" s="1"/>
  <c r="N231" i="28" s="1"/>
  <c r="M234" i="29"/>
  <c r="O234" i="29"/>
  <c r="O231" i="28"/>
  <c r="AO230" i="28"/>
  <c r="AP230" i="28"/>
  <c r="AL230" i="28"/>
  <c r="AM230" i="28" s="1"/>
  <c r="AN230" i="28" s="1"/>
  <c r="AW229" i="28"/>
  <c r="I231" i="28"/>
  <c r="H231" i="28"/>
  <c r="G231" i="28"/>
  <c r="J232" i="28"/>
  <c r="AI230" i="28"/>
  <c r="AJ230" i="28" s="1"/>
  <c r="AK230" i="28" s="1"/>
  <c r="AI233" i="29"/>
  <c r="AO233" i="29"/>
  <c r="AJ225" i="26"/>
  <c r="AK225" i="26" s="1"/>
  <c r="AM225" i="26"/>
  <c r="AN225" i="26" s="1"/>
  <c r="G226" i="26"/>
  <c r="AR226" i="26" s="1"/>
  <c r="AW214" i="15"/>
  <c r="AX214" i="15" s="1"/>
  <c r="AY214" i="15" s="1"/>
  <c r="AW213" i="24"/>
  <c r="AX213" i="24" s="1"/>
  <c r="AY213" i="24" s="1"/>
  <c r="H214" i="24"/>
  <c r="G215" i="15"/>
  <c r="AR215" i="15" s="1"/>
  <c r="K233" i="29"/>
  <c r="AN233" i="29"/>
  <c r="AS205" i="16"/>
  <c r="AQ205" i="16"/>
  <c r="F206" i="16"/>
  <c r="G206" i="16" s="1"/>
  <c r="AU205" i="16"/>
  <c r="AW225" i="19"/>
  <c r="H226" i="19"/>
  <c r="G226" i="19"/>
  <c r="J227" i="19"/>
  <c r="P232" i="28" l="1"/>
  <c r="M231" i="28"/>
  <c r="AL231" i="28" s="1"/>
  <c r="AM231" i="28" s="1"/>
  <c r="AN231" i="28" s="1"/>
  <c r="AU230" i="28"/>
  <c r="AQ230" i="28"/>
  <c r="AS230" i="28"/>
  <c r="AO231" i="28"/>
  <c r="AP231" i="28"/>
  <c r="K231" i="28"/>
  <c r="AW225" i="26"/>
  <c r="AJ233" i="29"/>
  <c r="AK233" i="29" s="1"/>
  <c r="F234" i="29"/>
  <c r="I234" i="29" s="1"/>
  <c r="AU233" i="29"/>
  <c r="AS233" i="29"/>
  <c r="AQ233" i="29"/>
  <c r="H226" i="26"/>
  <c r="F215" i="24"/>
  <c r="AL214" i="24"/>
  <c r="AM214" i="24" s="1"/>
  <c r="AI214" i="24"/>
  <c r="AJ214" i="24" s="1"/>
  <c r="H215" i="15"/>
  <c r="J207" i="16"/>
  <c r="H206" i="16"/>
  <c r="AP206" i="16" s="1"/>
  <c r="AW205" i="16"/>
  <c r="AX205" i="16" s="1"/>
  <c r="AY205" i="16" s="1"/>
  <c r="AL206" i="16"/>
  <c r="AM206" i="16" s="1"/>
  <c r="AN206" i="16" s="1"/>
  <c r="K206" i="16"/>
  <c r="AI226" i="19"/>
  <c r="AJ226" i="19" s="1"/>
  <c r="AK226" i="19" s="1"/>
  <c r="K226" i="19"/>
  <c r="AL226" i="19"/>
  <c r="AM226" i="19" s="1"/>
  <c r="AN226" i="19" s="1"/>
  <c r="AO226" i="19"/>
  <c r="AP226" i="19"/>
  <c r="AW230" i="28" l="1"/>
  <c r="Q231" i="28"/>
  <c r="L232" i="28" s="1"/>
  <c r="O232" i="28" s="1"/>
  <c r="AI231" i="28"/>
  <c r="AJ231" i="28" s="1"/>
  <c r="AK231" i="28" s="1"/>
  <c r="F232" i="28"/>
  <c r="AR234" i="29"/>
  <c r="Q234" i="29"/>
  <c r="H234" i="29"/>
  <c r="AP234" i="29" s="1"/>
  <c r="G234" i="29"/>
  <c r="AI234" i="29" s="1"/>
  <c r="F227" i="26"/>
  <c r="AL226" i="26"/>
  <c r="AI226" i="26"/>
  <c r="AN214" i="24"/>
  <c r="AK214" i="24"/>
  <c r="G215" i="24"/>
  <c r="AR215" i="24" s="1"/>
  <c r="F216" i="15"/>
  <c r="AI215" i="15"/>
  <c r="AJ215" i="15" s="1"/>
  <c r="AK215" i="15" s="1"/>
  <c r="AL215" i="15"/>
  <c r="AM215" i="15" s="1"/>
  <c r="AN215" i="15" s="1"/>
  <c r="AW233" i="29"/>
  <c r="AO206" i="16"/>
  <c r="AQ206" i="16"/>
  <c r="F207" i="16"/>
  <c r="AU206" i="16"/>
  <c r="AI206" i="16"/>
  <c r="AJ206" i="16" s="1"/>
  <c r="AK206" i="16" s="1"/>
  <c r="AS206" i="16"/>
  <c r="AS226" i="19"/>
  <c r="AQ226" i="19"/>
  <c r="AU226" i="19"/>
  <c r="F227" i="19"/>
  <c r="M232" i="28" l="1"/>
  <c r="P233" i="28"/>
  <c r="AU231" i="28"/>
  <c r="AS231" i="28"/>
  <c r="N232" i="28"/>
  <c r="AQ231" i="28"/>
  <c r="I232" i="28"/>
  <c r="J233" i="28"/>
  <c r="H232" i="28"/>
  <c r="G232" i="28"/>
  <c r="AW215" i="15"/>
  <c r="AX215" i="15" s="1"/>
  <c r="AY215" i="15" s="1"/>
  <c r="AJ234" i="29"/>
  <c r="AK234" i="29" s="1"/>
  <c r="AL234" i="29"/>
  <c r="AO234" i="29"/>
  <c r="AM226" i="26"/>
  <c r="AN226" i="26" s="1"/>
  <c r="AJ226" i="26"/>
  <c r="AK226" i="26" s="1"/>
  <c r="G227" i="26"/>
  <c r="AR227" i="26" s="1"/>
  <c r="AW214" i="24"/>
  <c r="AX214" i="24" s="1"/>
  <c r="AY214" i="24" s="1"/>
  <c r="H215" i="24"/>
  <c r="G216" i="15"/>
  <c r="AR216" i="15" s="1"/>
  <c r="K234" i="29"/>
  <c r="AW206" i="16"/>
  <c r="AX206" i="16" s="1"/>
  <c r="AY206" i="16" s="1"/>
  <c r="G207" i="16"/>
  <c r="J208" i="16"/>
  <c r="H207" i="16"/>
  <c r="AW226" i="19"/>
  <c r="H227" i="19"/>
  <c r="J228" i="19"/>
  <c r="G227" i="19"/>
  <c r="AL227" i="19" s="1"/>
  <c r="AM227" i="19" s="1"/>
  <c r="AN227" i="19" s="1"/>
  <c r="AW231" i="28" l="1"/>
  <c r="Q232" i="28"/>
  <c r="L233" i="28" s="1"/>
  <c r="N233" i="28" s="1"/>
  <c r="AI232" i="28"/>
  <c r="AJ232" i="28" s="1"/>
  <c r="AK232" i="28" s="1"/>
  <c r="O233" i="28"/>
  <c r="AL232" i="28"/>
  <c r="AM232" i="28" s="1"/>
  <c r="AN232" i="28" s="1"/>
  <c r="AP232" i="28"/>
  <c r="AO232" i="28"/>
  <c r="K232" i="28"/>
  <c r="AM234" i="29"/>
  <c r="AN234" i="29" s="1"/>
  <c r="AS234" i="29"/>
  <c r="AU234" i="29"/>
  <c r="AQ234" i="29"/>
  <c r="AW226" i="26"/>
  <c r="H227" i="26"/>
  <c r="F216" i="24"/>
  <c r="AI215" i="24"/>
  <c r="AJ215" i="24" s="1"/>
  <c r="AL215" i="24"/>
  <c r="AM215" i="24" s="1"/>
  <c r="H216" i="15"/>
  <c r="AP207" i="16"/>
  <c r="AO207" i="16"/>
  <c r="AL207" i="16"/>
  <c r="AM207" i="16" s="1"/>
  <c r="AN207" i="16" s="1"/>
  <c r="K207" i="16"/>
  <c r="AI227" i="19"/>
  <c r="AJ227" i="19" s="1"/>
  <c r="AK227" i="19" s="1"/>
  <c r="K227" i="19"/>
  <c r="AO227" i="19"/>
  <c r="AP227" i="19"/>
  <c r="M233" i="28" l="1"/>
  <c r="P234" i="28"/>
  <c r="F233" i="28"/>
  <c r="AQ232" i="28"/>
  <c r="AU232" i="28"/>
  <c r="AS232" i="28"/>
  <c r="F228" i="26"/>
  <c r="AI227" i="26"/>
  <c r="AL227" i="26"/>
  <c r="AN215" i="24"/>
  <c r="AK215" i="24"/>
  <c r="G216" i="24"/>
  <c r="AR216" i="24" s="1"/>
  <c r="F217" i="15"/>
  <c r="AI216" i="15"/>
  <c r="AJ216" i="15" s="1"/>
  <c r="AK216" i="15" s="1"/>
  <c r="AL216" i="15"/>
  <c r="AM216" i="15" s="1"/>
  <c r="AN216" i="15" s="1"/>
  <c r="AW234" i="29"/>
  <c r="F208" i="16"/>
  <c r="AU207" i="16"/>
  <c r="AS207" i="16"/>
  <c r="AQ207" i="16"/>
  <c r="AI207" i="16"/>
  <c r="AJ207" i="16" s="1"/>
  <c r="AK207" i="16" s="1"/>
  <c r="F228" i="19"/>
  <c r="AS227" i="19"/>
  <c r="AU227" i="19"/>
  <c r="AQ227" i="19"/>
  <c r="AW232" i="28" l="1"/>
  <c r="I233" i="28"/>
  <c r="Q233" i="28" s="1"/>
  <c r="L234" i="28" s="1"/>
  <c r="J234" i="28"/>
  <c r="H233" i="28"/>
  <c r="G233" i="28"/>
  <c r="AL233" i="28" s="1"/>
  <c r="AM233" i="28" s="1"/>
  <c r="AN233" i="28" s="1"/>
  <c r="G228" i="26"/>
  <c r="AR228" i="26" s="1"/>
  <c r="AM227" i="26"/>
  <c r="AN227" i="26" s="1"/>
  <c r="AJ227" i="26"/>
  <c r="AK227" i="26" s="1"/>
  <c r="AW215" i="24"/>
  <c r="AX215" i="24" s="1"/>
  <c r="AY215" i="24" s="1"/>
  <c r="AW216" i="15"/>
  <c r="AX216" i="15" s="1"/>
  <c r="AY216" i="15" s="1"/>
  <c r="H216" i="24"/>
  <c r="G217" i="15"/>
  <c r="AR217" i="15" s="1"/>
  <c r="AW207" i="16"/>
  <c r="AX207" i="16" s="1"/>
  <c r="AY207" i="16" s="1"/>
  <c r="H208" i="16"/>
  <c r="G208" i="16"/>
  <c r="K208" i="16" s="1"/>
  <c r="F209" i="16" s="1"/>
  <c r="J209" i="16"/>
  <c r="AW227" i="19"/>
  <c r="J229" i="19"/>
  <c r="H228" i="19"/>
  <c r="G228" i="19"/>
  <c r="AI228" i="19" s="1"/>
  <c r="AJ228" i="19" s="1"/>
  <c r="AK228" i="19" s="1"/>
  <c r="O234" i="28" l="1"/>
  <c r="M234" i="28"/>
  <c r="N234" i="28"/>
  <c r="AI233" i="28"/>
  <c r="AJ233" i="28" s="1"/>
  <c r="AK233" i="28" s="1"/>
  <c r="AP233" i="28"/>
  <c r="AO233" i="28"/>
  <c r="K233" i="28"/>
  <c r="H228" i="26"/>
  <c r="F229" i="26" s="1"/>
  <c r="G229" i="26" s="1"/>
  <c r="AR229" i="26" s="1"/>
  <c r="AW227" i="26"/>
  <c r="F217" i="24"/>
  <c r="AI216" i="24"/>
  <c r="AJ216" i="24" s="1"/>
  <c r="AL216" i="24"/>
  <c r="AM216" i="24" s="1"/>
  <c r="H217" i="15"/>
  <c r="J210" i="16"/>
  <c r="H209" i="16"/>
  <c r="G209" i="16"/>
  <c r="AL209" i="16" s="1"/>
  <c r="AM209" i="16" s="1"/>
  <c r="AN209" i="16" s="1"/>
  <c r="AS208" i="16"/>
  <c r="AL208" i="16"/>
  <c r="AM208" i="16" s="1"/>
  <c r="AN208" i="16" s="1"/>
  <c r="AP208" i="16"/>
  <c r="AO208" i="16"/>
  <c r="AQ208" i="16"/>
  <c r="AU208" i="16"/>
  <c r="AI208" i="16"/>
  <c r="AJ208" i="16" s="1"/>
  <c r="AK208" i="16" s="1"/>
  <c r="AL228" i="19"/>
  <c r="AM228" i="19" s="1"/>
  <c r="AN228" i="19" s="1"/>
  <c r="AO228" i="19"/>
  <c r="AP228" i="19"/>
  <c r="K228" i="19"/>
  <c r="F234" i="28" l="1"/>
  <c r="AS233" i="28"/>
  <c r="AQ233" i="28"/>
  <c r="AU233" i="28"/>
  <c r="AI228" i="26"/>
  <c r="AJ228" i="26" s="1"/>
  <c r="AK228" i="26" s="1"/>
  <c r="AL228" i="26"/>
  <c r="AM228" i="26" s="1"/>
  <c r="AN228" i="26" s="1"/>
  <c r="H229" i="26"/>
  <c r="AK216" i="24"/>
  <c r="AN216" i="24"/>
  <c r="G217" i="24"/>
  <c r="AR217" i="24" s="1"/>
  <c r="F218" i="15"/>
  <c r="AL217" i="15"/>
  <c r="AM217" i="15" s="1"/>
  <c r="AN217" i="15" s="1"/>
  <c r="AI217" i="15"/>
  <c r="AJ217" i="15" s="1"/>
  <c r="AK217" i="15" s="1"/>
  <c r="K209" i="16"/>
  <c r="AW208" i="16"/>
  <c r="AX208" i="16" s="1"/>
  <c r="AY208" i="16" s="1"/>
  <c r="AO209" i="16"/>
  <c r="AP209" i="16"/>
  <c r="AQ228" i="19"/>
  <c r="F229" i="19"/>
  <c r="AU228" i="19"/>
  <c r="AS228" i="19"/>
  <c r="AW233" i="28" l="1"/>
  <c r="I234" i="28"/>
  <c r="Q234" i="28" s="1"/>
  <c r="H234" i="28"/>
  <c r="G234" i="28"/>
  <c r="K234" i="28" s="1"/>
  <c r="AW216" i="24"/>
  <c r="AX216" i="24" s="1"/>
  <c r="AY216" i="24" s="1"/>
  <c r="AW228" i="26"/>
  <c r="F230" i="26"/>
  <c r="AL229" i="26"/>
  <c r="AM229" i="26" s="1"/>
  <c r="AN229" i="26" s="1"/>
  <c r="AI229" i="26"/>
  <c r="AW217" i="15"/>
  <c r="AX217" i="15" s="1"/>
  <c r="AY217" i="15" s="1"/>
  <c r="H217" i="24"/>
  <c r="G218" i="15"/>
  <c r="AR218" i="15" s="1"/>
  <c r="AW228" i="19"/>
  <c r="AS209" i="16"/>
  <c r="F210" i="16"/>
  <c r="AQ209" i="16"/>
  <c r="AU209" i="16"/>
  <c r="AI209" i="16"/>
  <c r="AJ209" i="16" s="1"/>
  <c r="AK209" i="16" s="1"/>
  <c r="J230" i="19"/>
  <c r="H229" i="19"/>
  <c r="G229" i="19"/>
  <c r="K229" i="19" s="1"/>
  <c r="F230" i="19" s="1"/>
  <c r="AU234" i="28" l="1"/>
  <c r="AL234" i="28"/>
  <c r="AM234" i="28" s="1"/>
  <c r="AN234" i="28" s="1"/>
  <c r="AO234" i="28"/>
  <c r="AP234" i="28"/>
  <c r="AI234" i="28"/>
  <c r="AJ234" i="28" s="1"/>
  <c r="AK234" i="28" s="1"/>
  <c r="AQ234" i="28"/>
  <c r="AS234" i="28"/>
  <c r="G230" i="26"/>
  <c r="AR230" i="26" s="1"/>
  <c r="AJ229" i="26"/>
  <c r="AK229" i="26" s="1"/>
  <c r="AW229" i="26" s="1"/>
  <c r="F218" i="24"/>
  <c r="AI217" i="24"/>
  <c r="AJ217" i="24" s="1"/>
  <c r="AL217" i="24"/>
  <c r="AM217" i="24" s="1"/>
  <c r="H218" i="15"/>
  <c r="J211" i="16"/>
  <c r="G210" i="16"/>
  <c r="K210" i="16" s="1"/>
  <c r="AS210" i="16" s="1"/>
  <c r="H210" i="16"/>
  <c r="AW209" i="16"/>
  <c r="AX209" i="16" s="1"/>
  <c r="AY209" i="16" s="1"/>
  <c r="AQ229" i="19"/>
  <c r="AS229" i="19"/>
  <c r="AU229" i="19"/>
  <c r="AP229" i="19"/>
  <c r="AO229" i="19"/>
  <c r="AI229" i="19"/>
  <c r="AJ229" i="19" s="1"/>
  <c r="AK229" i="19" s="1"/>
  <c r="AL229" i="19"/>
  <c r="AM229" i="19" s="1"/>
  <c r="AN229" i="19" s="1"/>
  <c r="H230" i="19"/>
  <c r="J231" i="19"/>
  <c r="G230" i="19"/>
  <c r="AL230" i="19" s="1"/>
  <c r="AM230" i="19" s="1"/>
  <c r="AN230" i="19" s="1"/>
  <c r="AW234" i="28" l="1"/>
  <c r="H230" i="26"/>
  <c r="AK217" i="24"/>
  <c r="AN217" i="24"/>
  <c r="G218" i="24"/>
  <c r="AR218" i="24" s="1"/>
  <c r="F219" i="15"/>
  <c r="AI218" i="15"/>
  <c r="AJ218" i="15" s="1"/>
  <c r="AK218" i="15" s="1"/>
  <c r="AL218" i="15"/>
  <c r="AM218" i="15" s="1"/>
  <c r="AN218" i="15" s="1"/>
  <c r="AL210" i="16"/>
  <c r="AM210" i="16" s="1"/>
  <c r="AN210" i="16" s="1"/>
  <c r="AU210" i="16"/>
  <c r="AI210" i="16"/>
  <c r="AJ210" i="16" s="1"/>
  <c r="AK210" i="16" s="1"/>
  <c r="AQ210" i="16"/>
  <c r="F211" i="16"/>
  <c r="AP210" i="16"/>
  <c r="AO210" i="16"/>
  <c r="AW229" i="19"/>
  <c r="AI230" i="19"/>
  <c r="AJ230" i="19" s="1"/>
  <c r="AK230" i="19" s="1"/>
  <c r="K230" i="19"/>
  <c r="AP230" i="19"/>
  <c r="AO230" i="19"/>
  <c r="AW217" i="24" l="1"/>
  <c r="AX217" i="24" s="1"/>
  <c r="AY217" i="24" s="1"/>
  <c r="AW218" i="15"/>
  <c r="AX218" i="15" s="1"/>
  <c r="AY218" i="15" s="1"/>
  <c r="F231" i="26"/>
  <c r="AL230" i="26"/>
  <c r="AI230" i="26"/>
  <c r="H218" i="24"/>
  <c r="G219" i="15"/>
  <c r="AR219" i="15" s="1"/>
  <c r="AW210" i="16"/>
  <c r="AX210" i="16" s="1"/>
  <c r="AY210" i="16" s="1"/>
  <c r="H211" i="16"/>
  <c r="J212" i="16"/>
  <c r="G211" i="16"/>
  <c r="K211" i="16" s="1"/>
  <c r="F212" i="16" s="1"/>
  <c r="F231" i="19"/>
  <c r="AS230" i="19"/>
  <c r="AQ230" i="19"/>
  <c r="AU230" i="19"/>
  <c r="G231" i="26" l="1"/>
  <c r="AR231" i="26" s="1"/>
  <c r="AJ230" i="26"/>
  <c r="AK230" i="26" s="1"/>
  <c r="AM230" i="26"/>
  <c r="AN230" i="26" s="1"/>
  <c r="F219" i="24"/>
  <c r="AL218" i="24"/>
  <c r="AM218" i="24" s="1"/>
  <c r="AI218" i="24"/>
  <c r="AJ218" i="24" s="1"/>
  <c r="H219" i="15"/>
  <c r="AI211" i="16"/>
  <c r="AJ211" i="16" s="1"/>
  <c r="AK211" i="16" s="1"/>
  <c r="AO211" i="16"/>
  <c r="AP211" i="16"/>
  <c r="AS211" i="16"/>
  <c r="AL211" i="16"/>
  <c r="AM211" i="16" s="1"/>
  <c r="AN211" i="16" s="1"/>
  <c r="G212" i="16"/>
  <c r="H212" i="16"/>
  <c r="J213" i="16"/>
  <c r="AQ211" i="16"/>
  <c r="AU211" i="16"/>
  <c r="AW230" i="19"/>
  <c r="G231" i="19"/>
  <c r="AL231" i="19" s="1"/>
  <c r="AM231" i="19" s="1"/>
  <c r="AN231" i="19" s="1"/>
  <c r="J232" i="19"/>
  <c r="H231" i="19"/>
  <c r="AW230" i="26" l="1"/>
  <c r="H231" i="26"/>
  <c r="AK218" i="24"/>
  <c r="AN218" i="24"/>
  <c r="G219" i="24"/>
  <c r="AR219" i="24" s="1"/>
  <c r="F220" i="15"/>
  <c r="AL219" i="15"/>
  <c r="AM219" i="15" s="1"/>
  <c r="AN219" i="15" s="1"/>
  <c r="AI219" i="15"/>
  <c r="AJ219" i="15" s="1"/>
  <c r="AK219" i="15" s="1"/>
  <c r="AW211" i="16"/>
  <c r="AX211" i="16" s="1"/>
  <c r="AY211" i="16" s="1"/>
  <c r="K212" i="16"/>
  <c r="AL212" i="16"/>
  <c r="AM212" i="16" s="1"/>
  <c r="AN212" i="16" s="1"/>
  <c r="AP212" i="16"/>
  <c r="AO212" i="16"/>
  <c r="K231" i="19"/>
  <c r="F232" i="19" s="1"/>
  <c r="J233" i="19" s="1"/>
  <c r="AI231" i="19"/>
  <c r="AJ231" i="19" s="1"/>
  <c r="AK231" i="19" s="1"/>
  <c r="AO231" i="19"/>
  <c r="AP231" i="19"/>
  <c r="F232" i="26" l="1"/>
  <c r="AL231" i="26"/>
  <c r="AI231" i="26"/>
  <c r="AW218" i="24"/>
  <c r="AX218" i="24" s="1"/>
  <c r="AY218" i="24" s="1"/>
  <c r="AW219" i="15"/>
  <c r="AX219" i="15" s="1"/>
  <c r="AY219" i="15" s="1"/>
  <c r="H219" i="24"/>
  <c r="G220" i="15"/>
  <c r="AR220" i="15" s="1"/>
  <c r="F213" i="16"/>
  <c r="AU212" i="16"/>
  <c r="AS212" i="16"/>
  <c r="AI212" i="16"/>
  <c r="AJ212" i="16" s="1"/>
  <c r="AK212" i="16" s="1"/>
  <c r="AQ212" i="16"/>
  <c r="AS231" i="19"/>
  <c r="G232" i="19"/>
  <c r="AL232" i="19" s="1"/>
  <c r="AM232" i="19" s="1"/>
  <c r="AN232" i="19" s="1"/>
  <c r="H232" i="19"/>
  <c r="AO232" i="19" s="1"/>
  <c r="AU231" i="19"/>
  <c r="AQ231" i="19"/>
  <c r="AJ231" i="26" l="1"/>
  <c r="AK231" i="26" s="1"/>
  <c r="AM231" i="26"/>
  <c r="AN231" i="26" s="1"/>
  <c r="G232" i="26"/>
  <c r="AR232" i="26" s="1"/>
  <c r="F220" i="24"/>
  <c r="AL219" i="24"/>
  <c r="AM219" i="24" s="1"/>
  <c r="AI219" i="24"/>
  <c r="AJ219" i="24" s="1"/>
  <c r="H220" i="15"/>
  <c r="AW212" i="16"/>
  <c r="AX212" i="16" s="1"/>
  <c r="AY212" i="16" s="1"/>
  <c r="J214" i="16"/>
  <c r="G213" i="16"/>
  <c r="K213" i="16" s="1"/>
  <c r="F214" i="16" s="1"/>
  <c r="H213" i="16"/>
  <c r="AW231" i="19"/>
  <c r="AI232" i="19"/>
  <c r="AJ232" i="19" s="1"/>
  <c r="AK232" i="19" s="1"/>
  <c r="K232" i="19"/>
  <c r="AU232" i="19" s="1"/>
  <c r="AP232" i="19"/>
  <c r="AW231" i="26" l="1"/>
  <c r="H232" i="26"/>
  <c r="AK219" i="24"/>
  <c r="AN219" i="24"/>
  <c r="G220" i="24"/>
  <c r="AR220" i="24" s="1"/>
  <c r="F221" i="15"/>
  <c r="AI220" i="15"/>
  <c r="AJ220" i="15" s="1"/>
  <c r="AK220" i="15" s="1"/>
  <c r="AL220" i="15"/>
  <c r="AM220" i="15" s="1"/>
  <c r="AN220" i="15" s="1"/>
  <c r="AQ213" i="16"/>
  <c r="AL213" i="16"/>
  <c r="AM213" i="16" s="1"/>
  <c r="AN213" i="16" s="1"/>
  <c r="AP213" i="16"/>
  <c r="AO213" i="16"/>
  <c r="H214" i="16"/>
  <c r="G214" i="16"/>
  <c r="AL214" i="16" s="1"/>
  <c r="AM214" i="16" s="1"/>
  <c r="AN214" i="16" s="1"/>
  <c r="J215" i="16"/>
  <c r="AI213" i="16"/>
  <c r="AJ213" i="16" s="1"/>
  <c r="AK213" i="16" s="1"/>
  <c r="AS213" i="16"/>
  <c r="AU213" i="16"/>
  <c r="AQ232" i="19"/>
  <c r="AS232" i="19"/>
  <c r="F233" i="19"/>
  <c r="H233" i="19" s="1"/>
  <c r="AW219" i="24" l="1"/>
  <c r="AX219" i="24" s="1"/>
  <c r="AY219" i="24" s="1"/>
  <c r="F233" i="26"/>
  <c r="AI232" i="26"/>
  <c r="AL232" i="26"/>
  <c r="AW220" i="15"/>
  <c r="AX220" i="15" s="1"/>
  <c r="AY220" i="15" s="1"/>
  <c r="H220" i="24"/>
  <c r="G221" i="15"/>
  <c r="AR221" i="15" s="1"/>
  <c r="K214" i="16"/>
  <c r="AW213" i="16"/>
  <c r="AX213" i="16" s="1"/>
  <c r="AY213" i="16" s="1"/>
  <c r="AP214" i="16"/>
  <c r="AO214" i="16"/>
  <c r="AW232" i="19"/>
  <c r="G233" i="19"/>
  <c r="AL233" i="19" s="1"/>
  <c r="AM233" i="19" s="1"/>
  <c r="AN233" i="19" s="1"/>
  <c r="J234" i="19"/>
  <c r="AO233" i="19"/>
  <c r="AP233" i="19"/>
  <c r="G233" i="26" l="1"/>
  <c r="AR233" i="26" s="1"/>
  <c r="AJ232" i="26"/>
  <c r="AK232" i="26" s="1"/>
  <c r="AM232" i="26"/>
  <c r="AN232" i="26" s="1"/>
  <c r="F221" i="24"/>
  <c r="AI220" i="24"/>
  <c r="AJ220" i="24" s="1"/>
  <c r="AL220" i="24"/>
  <c r="AM220" i="24" s="1"/>
  <c r="H221" i="15"/>
  <c r="F215" i="16"/>
  <c r="AQ214" i="16"/>
  <c r="AI214" i="16"/>
  <c r="AJ214" i="16" s="1"/>
  <c r="AK214" i="16" s="1"/>
  <c r="AS214" i="16"/>
  <c r="AU214" i="16"/>
  <c r="K233" i="19"/>
  <c r="AQ233" i="19" s="1"/>
  <c r="AI233" i="19"/>
  <c r="AJ233" i="19" s="1"/>
  <c r="AK233" i="19" s="1"/>
  <c r="AW232" i="26" l="1"/>
  <c r="H233" i="26"/>
  <c r="AK220" i="24"/>
  <c r="AN220" i="24"/>
  <c r="G221" i="24"/>
  <c r="AR221" i="24" s="1"/>
  <c r="F222" i="15"/>
  <c r="AI221" i="15"/>
  <c r="AL221" i="15"/>
  <c r="AM221" i="15" s="1"/>
  <c r="AN221" i="15" s="1"/>
  <c r="AW214" i="16"/>
  <c r="AX214" i="16" s="1"/>
  <c r="AY214" i="16" s="1"/>
  <c r="J216" i="16"/>
  <c r="G215" i="16"/>
  <c r="AL215" i="16" s="1"/>
  <c r="AM215" i="16" s="1"/>
  <c r="AN215" i="16" s="1"/>
  <c r="H215" i="16"/>
  <c r="F234" i="19"/>
  <c r="G234" i="19" s="1"/>
  <c r="K234" i="19" s="1"/>
  <c r="AQ234" i="19" s="1"/>
  <c r="AU233" i="19"/>
  <c r="AS233" i="19"/>
  <c r="AW220" i="24" l="1"/>
  <c r="AX220" i="24" s="1"/>
  <c r="AY220" i="24" s="1"/>
  <c r="F234" i="26"/>
  <c r="AL233" i="26"/>
  <c r="AI233" i="26"/>
  <c r="H221" i="24"/>
  <c r="G222" i="15"/>
  <c r="AR222" i="15" s="1"/>
  <c r="AJ221" i="15"/>
  <c r="AK221" i="15" s="1"/>
  <c r="AW221" i="15" s="1"/>
  <c r="AX221" i="15" s="1"/>
  <c r="AY221" i="15" s="1"/>
  <c r="AY236" i="15" s="1"/>
  <c r="K215" i="16"/>
  <c r="AQ215" i="16" s="1"/>
  <c r="AP215" i="16"/>
  <c r="AO215" i="16"/>
  <c r="AW233" i="19"/>
  <c r="H234" i="19"/>
  <c r="AO234" i="19" s="1"/>
  <c r="AS234" i="19"/>
  <c r="AL234" i="19"/>
  <c r="AM234" i="19" s="1"/>
  <c r="AN234" i="19" s="1"/>
  <c r="AU234" i="19"/>
  <c r="AI234" i="19"/>
  <c r="AJ234" i="19" s="1"/>
  <c r="AK234" i="19" s="1"/>
  <c r="AX18" i="12" l="1"/>
  <c r="BB18" i="12" s="1"/>
  <c r="BD18" i="12" s="1"/>
  <c r="AX17" i="12"/>
  <c r="G234" i="26"/>
  <c r="AR234" i="26" s="1"/>
  <c r="AM233" i="26"/>
  <c r="AN233" i="26" s="1"/>
  <c r="AJ233" i="26"/>
  <c r="AK233" i="26" s="1"/>
  <c r="F222" i="24"/>
  <c r="AL221" i="24"/>
  <c r="AM221" i="24" s="1"/>
  <c r="AI221" i="24"/>
  <c r="AJ221" i="24" s="1"/>
  <c r="H222" i="15"/>
  <c r="F216" i="16"/>
  <c r="J217" i="16" s="1"/>
  <c r="AI215" i="16"/>
  <c r="AJ215" i="16" s="1"/>
  <c r="AK215" i="16" s="1"/>
  <c r="AU215" i="16"/>
  <c r="AS215" i="16"/>
  <c r="AP234" i="19"/>
  <c r="AW234" i="19" s="1"/>
  <c r="BH18" i="12" l="1"/>
  <c r="BB17" i="12"/>
  <c r="BD17" i="12" s="1"/>
  <c r="BH17" i="12"/>
  <c r="AW233" i="26"/>
  <c r="H234" i="26"/>
  <c r="AN221" i="24"/>
  <c r="AK221" i="24"/>
  <c r="G222" i="24"/>
  <c r="AR222" i="24" s="1"/>
  <c r="F223" i="15"/>
  <c r="AI222" i="15"/>
  <c r="AJ222" i="15" s="1"/>
  <c r="AK222" i="15" s="1"/>
  <c r="AL222" i="15"/>
  <c r="AM222" i="15" s="1"/>
  <c r="AN222" i="15" s="1"/>
  <c r="H216" i="16"/>
  <c r="AP216" i="16" s="1"/>
  <c r="G216" i="16"/>
  <c r="AL216" i="16" s="1"/>
  <c r="AM216" i="16" s="1"/>
  <c r="AN216" i="16" s="1"/>
  <c r="AW215" i="16"/>
  <c r="AX215" i="16" s="1"/>
  <c r="AY215" i="16" s="1"/>
  <c r="AI234" i="26" l="1"/>
  <c r="AL234" i="26"/>
  <c r="AW221" i="24"/>
  <c r="AX221" i="24" s="1"/>
  <c r="AY221" i="24" s="1"/>
  <c r="AY236" i="24" s="1"/>
  <c r="AW222" i="15"/>
  <c r="H222" i="24"/>
  <c r="G223" i="15"/>
  <c r="AR223" i="15" s="1"/>
  <c r="AO216" i="16"/>
  <c r="K216" i="16"/>
  <c r="AI216" i="16" s="1"/>
  <c r="AJ216" i="16" s="1"/>
  <c r="AK216" i="16" s="1"/>
  <c r="AX18" i="21" l="1"/>
  <c r="BB18" i="21" s="1"/>
  <c r="BD18" i="21" s="1"/>
  <c r="AX17" i="21"/>
  <c r="AX20" i="21"/>
  <c r="BB20" i="21" s="1"/>
  <c r="BD20" i="21" s="1"/>
  <c r="AX19" i="21"/>
  <c r="AM234" i="26"/>
  <c r="AN234" i="26" s="1"/>
  <c r="AJ234" i="26"/>
  <c r="AK234" i="26" s="1"/>
  <c r="F223" i="24"/>
  <c r="AL222" i="24"/>
  <c r="AM222" i="24" s="1"/>
  <c r="AI222" i="24"/>
  <c r="AJ222" i="24" s="1"/>
  <c r="H223" i="15"/>
  <c r="AQ216" i="16"/>
  <c r="AS216" i="16"/>
  <c r="F217" i="16"/>
  <c r="J218" i="16" s="1"/>
  <c r="AU216" i="16"/>
  <c r="BH18" i="21" l="1"/>
  <c r="BB17" i="21"/>
  <c r="BD17" i="21" s="1"/>
  <c r="BH17" i="21"/>
  <c r="BH20" i="21"/>
  <c r="BH19" i="21"/>
  <c r="BB19" i="21"/>
  <c r="BD19" i="21" s="1"/>
  <c r="AW234" i="26"/>
  <c r="AN222" i="24"/>
  <c r="AK222" i="24"/>
  <c r="G223" i="24"/>
  <c r="AR223" i="24" s="1"/>
  <c r="F224" i="15"/>
  <c r="AI223" i="15"/>
  <c r="AJ223" i="15" s="1"/>
  <c r="AK223" i="15" s="1"/>
  <c r="AL223" i="15"/>
  <c r="AM223" i="15" s="1"/>
  <c r="AN223" i="15" s="1"/>
  <c r="AW216" i="16"/>
  <c r="AX216" i="16" s="1"/>
  <c r="AY216" i="16" s="1"/>
  <c r="G217" i="16"/>
  <c r="K217" i="16" s="1"/>
  <c r="F218" i="16" s="1"/>
  <c r="H218" i="16" s="1"/>
  <c r="H217" i="16"/>
  <c r="AO217" i="16" s="1"/>
  <c r="AW223" i="15" l="1"/>
  <c r="AW222" i="24"/>
  <c r="H223" i="24"/>
  <c r="G224" i="15"/>
  <c r="AR224" i="15" s="1"/>
  <c r="AQ217" i="16"/>
  <c r="AI217" i="16"/>
  <c r="AJ217" i="16" s="1"/>
  <c r="AK217" i="16" s="1"/>
  <c r="AP217" i="16"/>
  <c r="G218" i="16"/>
  <c r="K218" i="16" s="1"/>
  <c r="AI218" i="16" s="1"/>
  <c r="AJ218" i="16" s="1"/>
  <c r="AK218" i="16" s="1"/>
  <c r="AL217" i="16"/>
  <c r="AM217" i="16" s="1"/>
  <c r="AN217" i="16" s="1"/>
  <c r="J219" i="16"/>
  <c r="AS217" i="16"/>
  <c r="AU217" i="16"/>
  <c r="AO218" i="16"/>
  <c r="AP218" i="16"/>
  <c r="F224" i="24" l="1"/>
  <c r="AL223" i="24"/>
  <c r="AM223" i="24" s="1"/>
  <c r="AI223" i="24"/>
  <c r="AJ223" i="24" s="1"/>
  <c r="H224" i="15"/>
  <c r="AU218" i="16"/>
  <c r="AW217" i="16"/>
  <c r="AX217" i="16" s="1"/>
  <c r="AY217" i="16" s="1"/>
  <c r="AQ218" i="16"/>
  <c r="F219" i="16"/>
  <c r="H219" i="16" s="1"/>
  <c r="AL218" i="16"/>
  <c r="AM218" i="16" s="1"/>
  <c r="AN218" i="16" s="1"/>
  <c r="AS218" i="16"/>
  <c r="AN223" i="24" l="1"/>
  <c r="AK223" i="24"/>
  <c r="G224" i="24"/>
  <c r="AR224" i="24" s="1"/>
  <c r="F225" i="15"/>
  <c r="AI224" i="15"/>
  <c r="AJ224" i="15" s="1"/>
  <c r="AK224" i="15" s="1"/>
  <c r="AL224" i="15"/>
  <c r="AM224" i="15" s="1"/>
  <c r="AN224" i="15" s="1"/>
  <c r="G219" i="16"/>
  <c r="AL219" i="16" s="1"/>
  <c r="AM219" i="16" s="1"/>
  <c r="AN219" i="16" s="1"/>
  <c r="J220" i="16"/>
  <c r="AW218" i="16"/>
  <c r="AX218" i="16" s="1"/>
  <c r="AY218" i="16" s="1"/>
  <c r="AO219" i="16"/>
  <c r="AP219" i="16"/>
  <c r="AW224" i="15" l="1"/>
  <c r="AW223" i="24"/>
  <c r="H224" i="24"/>
  <c r="G225" i="15"/>
  <c r="AR225" i="15" s="1"/>
  <c r="K219" i="16"/>
  <c r="F220" i="16" s="1"/>
  <c r="F225" i="24" l="1"/>
  <c r="AI224" i="24"/>
  <c r="AJ224" i="24" s="1"/>
  <c r="AL224" i="24"/>
  <c r="AM224" i="24" s="1"/>
  <c r="H225" i="15"/>
  <c r="AI219" i="16"/>
  <c r="AJ219" i="16" s="1"/>
  <c r="AK219" i="16" s="1"/>
  <c r="AQ219" i="16"/>
  <c r="AU219" i="16"/>
  <c r="AS219" i="16"/>
  <c r="G220" i="16"/>
  <c r="AL220" i="16" s="1"/>
  <c r="AM220" i="16" s="1"/>
  <c r="AN220" i="16" s="1"/>
  <c r="H220" i="16"/>
  <c r="J221" i="16"/>
  <c r="AK224" i="24" l="1"/>
  <c r="AN224" i="24"/>
  <c r="G225" i="24"/>
  <c r="AR225" i="24" s="1"/>
  <c r="F226" i="15"/>
  <c r="AI225" i="15"/>
  <c r="AJ225" i="15" s="1"/>
  <c r="AK225" i="15" s="1"/>
  <c r="AL225" i="15"/>
  <c r="AM225" i="15" s="1"/>
  <c r="AN225" i="15" s="1"/>
  <c r="AW219" i="16"/>
  <c r="AX219" i="16" s="1"/>
  <c r="AY219" i="16" s="1"/>
  <c r="K220" i="16"/>
  <c r="AS220" i="16" s="1"/>
  <c r="AP220" i="16"/>
  <c r="AO220" i="16"/>
  <c r="AW224" i="24" l="1"/>
  <c r="AW225" i="15"/>
  <c r="H225" i="24"/>
  <c r="G226" i="15"/>
  <c r="AR226" i="15" s="1"/>
  <c r="AQ220" i="16"/>
  <c r="F221" i="16"/>
  <c r="AU220" i="16"/>
  <c r="AI220" i="16"/>
  <c r="AJ220" i="16" s="1"/>
  <c r="AK220" i="16" s="1"/>
  <c r="F226" i="24" l="1"/>
  <c r="AL225" i="24"/>
  <c r="AM225" i="24" s="1"/>
  <c r="AI225" i="24"/>
  <c r="AJ225" i="24" s="1"/>
  <c r="H226" i="15"/>
  <c r="AW220" i="16"/>
  <c r="AX220" i="16" s="1"/>
  <c r="AY220" i="16" s="1"/>
  <c r="H221" i="16"/>
  <c r="J222" i="16"/>
  <c r="G221" i="16"/>
  <c r="AL221" i="16" s="1"/>
  <c r="AM221" i="16" s="1"/>
  <c r="AN221" i="16" s="1"/>
  <c r="AK225" i="24" l="1"/>
  <c r="AN225" i="24"/>
  <c r="G226" i="24"/>
  <c r="AR226" i="24" s="1"/>
  <c r="F227" i="15"/>
  <c r="AI226" i="15"/>
  <c r="AJ226" i="15" s="1"/>
  <c r="AK226" i="15" s="1"/>
  <c r="AL226" i="15"/>
  <c r="AM226" i="15" s="1"/>
  <c r="AN226" i="15" s="1"/>
  <c r="K221" i="16"/>
  <c r="F222" i="16" s="1"/>
  <c r="J223" i="16" s="1"/>
  <c r="AP221" i="16"/>
  <c r="AO221" i="16"/>
  <c r="AW226" i="15" l="1"/>
  <c r="AW225" i="24"/>
  <c r="H226" i="24"/>
  <c r="G227" i="15"/>
  <c r="AR227" i="15" s="1"/>
  <c r="AX31" i="21"/>
  <c r="H222" i="16"/>
  <c r="AP222" i="16" s="1"/>
  <c r="AS221" i="16"/>
  <c r="AI221" i="16"/>
  <c r="AJ221" i="16" s="1"/>
  <c r="AK221" i="16" s="1"/>
  <c r="G222" i="16"/>
  <c r="K222" i="16" s="1"/>
  <c r="AQ221" i="16"/>
  <c r="AU221" i="16"/>
  <c r="F227" i="24" l="1"/>
  <c r="AL226" i="24"/>
  <c r="AM226" i="24" s="1"/>
  <c r="AI226" i="24"/>
  <c r="AJ226" i="24" s="1"/>
  <c r="H227" i="15"/>
  <c r="BB31" i="21"/>
  <c r="BD31" i="21"/>
  <c r="BG6" i="21" s="1"/>
  <c r="BH6" i="21" s="1"/>
  <c r="AO222" i="16"/>
  <c r="AL222" i="16"/>
  <c r="AM222" i="16" s="1"/>
  <c r="AN222" i="16" s="1"/>
  <c r="AW221" i="16"/>
  <c r="AX221" i="16" s="1"/>
  <c r="AY221" i="16" s="1"/>
  <c r="AY236" i="16" s="1"/>
  <c r="F223" i="16"/>
  <c r="AQ222" i="16"/>
  <c r="AS222" i="16"/>
  <c r="AU222" i="16"/>
  <c r="AI222" i="16"/>
  <c r="AJ222" i="16" s="1"/>
  <c r="AK222" i="16" s="1"/>
  <c r="AX19" i="12" l="1"/>
  <c r="AX20" i="12"/>
  <c r="B15" i="11"/>
  <c r="C15" i="11" s="1"/>
  <c r="C16" i="11" s="1"/>
  <c r="BG5" i="21"/>
  <c r="BH5" i="21" s="1"/>
  <c r="BH31" i="21" s="1"/>
  <c r="AN226" i="24"/>
  <c r="AK226" i="24"/>
  <c r="G227" i="24"/>
  <c r="AR227" i="24" s="1"/>
  <c r="F228" i="15"/>
  <c r="AL227" i="15"/>
  <c r="AM227" i="15" s="1"/>
  <c r="AN227" i="15" s="1"/>
  <c r="AI227" i="15"/>
  <c r="AJ227" i="15" s="1"/>
  <c r="AK227" i="15" s="1"/>
  <c r="AW222" i="16"/>
  <c r="H223" i="16"/>
  <c r="G223" i="16"/>
  <c r="AL223" i="16" s="1"/>
  <c r="AM223" i="16" s="1"/>
  <c r="AN223" i="16" s="1"/>
  <c r="J224" i="16"/>
  <c r="AX31" i="12" l="1"/>
  <c r="BH19" i="12"/>
  <c r="BB19" i="12"/>
  <c r="BB20" i="12"/>
  <c r="BD20" i="12" s="1"/>
  <c r="BH20" i="12"/>
  <c r="B16" i="11"/>
  <c r="AW226" i="24"/>
  <c r="BG31" i="21"/>
  <c r="AW227" i="15"/>
  <c r="H227" i="24"/>
  <c r="G228" i="15"/>
  <c r="AR228" i="15" s="1"/>
  <c r="K223" i="16"/>
  <c r="AO223" i="16"/>
  <c r="AP223" i="16"/>
  <c r="BB31" i="12" l="1"/>
  <c r="BD19" i="12"/>
  <c r="BD31" i="12" s="1"/>
  <c r="BG5" i="12" s="1"/>
  <c r="BH5" i="12" s="1"/>
  <c r="B17" i="11"/>
  <c r="C17" i="11" s="1"/>
  <c r="F228" i="24"/>
  <c r="AI227" i="24"/>
  <c r="AJ227" i="24" s="1"/>
  <c r="AL227" i="24"/>
  <c r="AM227" i="24" s="1"/>
  <c r="H228" i="15"/>
  <c r="F224" i="16"/>
  <c r="AS223" i="16"/>
  <c r="AI223" i="16"/>
  <c r="AJ223" i="16" s="1"/>
  <c r="AK223" i="16" s="1"/>
  <c r="AU223" i="16"/>
  <c r="AQ223" i="16"/>
  <c r="BG6" i="12" l="1"/>
  <c r="B9" i="11"/>
  <c r="C89" i="1"/>
  <c r="AK227" i="24"/>
  <c r="AN227" i="24"/>
  <c r="G228" i="24"/>
  <c r="AR228" i="24" s="1"/>
  <c r="F229" i="15"/>
  <c r="AL228" i="15"/>
  <c r="AM228" i="15" s="1"/>
  <c r="AN228" i="15" s="1"/>
  <c r="AI228" i="15"/>
  <c r="AJ228" i="15" s="1"/>
  <c r="AK228" i="15" s="1"/>
  <c r="AW223" i="16"/>
  <c r="H224" i="16"/>
  <c r="J225" i="16"/>
  <c r="G224" i="16"/>
  <c r="K224" i="16" s="1"/>
  <c r="F225" i="16" s="1"/>
  <c r="C9" i="11" l="1"/>
  <c r="C10" i="11" s="1"/>
  <c r="B10" i="11" s="1"/>
  <c r="B3" i="11"/>
  <c r="BH6" i="12"/>
  <c r="BH31" i="12" s="1"/>
  <c r="BG31" i="12"/>
  <c r="D89" i="1"/>
  <c r="C97" i="1"/>
  <c r="D97" i="1" s="1"/>
  <c r="G95" i="1" s="1"/>
  <c r="AW227" i="24"/>
  <c r="AW228" i="15"/>
  <c r="H228" i="24"/>
  <c r="G229" i="15"/>
  <c r="AR229" i="15" s="1"/>
  <c r="AQ224" i="16"/>
  <c r="AU224" i="16"/>
  <c r="AI224" i="16"/>
  <c r="AJ224" i="16" s="1"/>
  <c r="AK224" i="16" s="1"/>
  <c r="G225" i="16"/>
  <c r="AL225" i="16" s="1"/>
  <c r="AM225" i="16" s="1"/>
  <c r="AN225" i="16" s="1"/>
  <c r="H225" i="16"/>
  <c r="J226" i="16"/>
  <c r="AP224" i="16"/>
  <c r="AO224" i="16"/>
  <c r="AS224" i="16"/>
  <c r="AL224" i="16"/>
  <c r="AM224" i="16" s="1"/>
  <c r="AN224" i="16" s="1"/>
  <c r="B4" i="11" l="1"/>
  <c r="C4" i="11" s="1"/>
  <c r="B11" i="11"/>
  <c r="C3" i="11"/>
  <c r="G97" i="1"/>
  <c r="F229" i="24"/>
  <c r="AL228" i="24"/>
  <c r="AM228" i="24" s="1"/>
  <c r="AI228" i="24"/>
  <c r="AJ228" i="24" s="1"/>
  <c r="H229" i="15"/>
  <c r="K225" i="16"/>
  <c r="AU225" i="16" s="1"/>
  <c r="AW224" i="16"/>
  <c r="AO225" i="16"/>
  <c r="AP225" i="16"/>
  <c r="C11" i="11" l="1"/>
  <c r="C87" i="1"/>
  <c r="B5" i="11"/>
  <c r="C5" i="11" s="1"/>
  <c r="AK228" i="24"/>
  <c r="AN228" i="24"/>
  <c r="G229" i="24"/>
  <c r="AR229" i="24" s="1"/>
  <c r="F230" i="15"/>
  <c r="AI229" i="15"/>
  <c r="AJ229" i="15" s="1"/>
  <c r="AK229" i="15" s="1"/>
  <c r="AL229" i="15"/>
  <c r="AM229" i="15" s="1"/>
  <c r="AN229" i="15" s="1"/>
  <c r="F226" i="16"/>
  <c r="G226" i="16" s="1"/>
  <c r="AL226" i="16" s="1"/>
  <c r="AM226" i="16" s="1"/>
  <c r="AN226" i="16" s="1"/>
  <c r="AI225" i="16"/>
  <c r="AJ225" i="16" s="1"/>
  <c r="AK225" i="16" s="1"/>
  <c r="AQ225" i="16"/>
  <c r="AS225" i="16"/>
  <c r="C95" i="1" l="1"/>
  <c r="C85" i="1"/>
  <c r="D87" i="1"/>
  <c r="AW228" i="24"/>
  <c r="AW229" i="15"/>
  <c r="H229" i="24"/>
  <c r="G230" i="15"/>
  <c r="AR230" i="15" s="1"/>
  <c r="J227" i="16"/>
  <c r="H226" i="16"/>
  <c r="AO226" i="16" s="1"/>
  <c r="AW225" i="16"/>
  <c r="K226" i="16"/>
  <c r="D85" i="1" l="1"/>
  <c r="D95" i="1"/>
  <c r="C93" i="1"/>
  <c r="E85" i="2" s="1"/>
  <c r="F230" i="24"/>
  <c r="AI229" i="24"/>
  <c r="AJ229" i="24" s="1"/>
  <c r="AL229" i="24"/>
  <c r="AM229" i="24" s="1"/>
  <c r="H230" i="15"/>
  <c r="AP226" i="16"/>
  <c r="F227" i="16"/>
  <c r="AI226" i="16"/>
  <c r="AJ226" i="16" s="1"/>
  <c r="AK226" i="16" s="1"/>
  <c r="AS226" i="16"/>
  <c r="AU226" i="16"/>
  <c r="AQ226" i="16"/>
  <c r="D85" i="2" l="1"/>
  <c r="F95" i="1"/>
  <c r="F97" i="1"/>
  <c r="E97" i="1" s="1"/>
  <c r="C85" i="2"/>
  <c r="D93" i="1"/>
  <c r="C84" i="2"/>
  <c r="AK229" i="24"/>
  <c r="AN229" i="24"/>
  <c r="G230" i="24"/>
  <c r="AR230" i="24" s="1"/>
  <c r="F231" i="15"/>
  <c r="AI230" i="15"/>
  <c r="AJ230" i="15" s="1"/>
  <c r="AK230" i="15" s="1"/>
  <c r="AL230" i="15"/>
  <c r="AM230" i="15" s="1"/>
  <c r="AN230" i="15" s="1"/>
  <c r="AW226" i="16"/>
  <c r="H227" i="16"/>
  <c r="J228" i="16"/>
  <c r="G227" i="16"/>
  <c r="K227" i="16" s="1"/>
  <c r="F228" i="16" s="1"/>
  <c r="C86" i="2" l="1"/>
  <c r="C47" i="2" s="1"/>
  <c r="E93" i="1"/>
  <c r="E95" i="1"/>
  <c r="AW229" i="24"/>
  <c r="AW230" i="15"/>
  <c r="H230" i="24"/>
  <c r="G231" i="15"/>
  <c r="AR231" i="15" s="1"/>
  <c r="G228" i="16"/>
  <c r="AL228" i="16" s="1"/>
  <c r="AM228" i="16" s="1"/>
  <c r="AN228" i="16" s="1"/>
  <c r="J229" i="16"/>
  <c r="H228" i="16"/>
  <c r="AI227" i="16"/>
  <c r="AJ227" i="16" s="1"/>
  <c r="AK227" i="16" s="1"/>
  <c r="AL227" i="16"/>
  <c r="AM227" i="16" s="1"/>
  <c r="AN227" i="16" s="1"/>
  <c r="AU227" i="16"/>
  <c r="AS227" i="16"/>
  <c r="AQ227" i="16"/>
  <c r="AO227" i="16"/>
  <c r="AP227" i="16"/>
  <c r="C87" i="2" l="1"/>
  <c r="C48" i="2" s="1"/>
  <c r="F231" i="24"/>
  <c r="AL230" i="24"/>
  <c r="AM230" i="24" s="1"/>
  <c r="AI230" i="24"/>
  <c r="AJ230" i="24" s="1"/>
  <c r="H231" i="15"/>
  <c r="K228" i="16"/>
  <c r="F229" i="16" s="1"/>
  <c r="J230" i="16" s="1"/>
  <c r="AP228" i="16"/>
  <c r="AO228" i="16"/>
  <c r="AW227" i="16"/>
  <c r="C88" i="2" l="1"/>
  <c r="C58" i="2" s="1"/>
  <c r="AK230" i="24"/>
  <c r="AN230" i="24"/>
  <c r="G231" i="24"/>
  <c r="AR231" i="24" s="1"/>
  <c r="F232" i="15"/>
  <c r="AI231" i="15"/>
  <c r="AJ231" i="15" s="1"/>
  <c r="AK231" i="15" s="1"/>
  <c r="AL231" i="15"/>
  <c r="AM231" i="15" s="1"/>
  <c r="AN231" i="15" s="1"/>
  <c r="AU228" i="16"/>
  <c r="AQ228" i="16"/>
  <c r="AI228" i="16"/>
  <c r="AJ228" i="16" s="1"/>
  <c r="AK228" i="16" s="1"/>
  <c r="AS228" i="16"/>
  <c r="G229" i="16"/>
  <c r="K229" i="16" s="1"/>
  <c r="F230" i="16" s="1"/>
  <c r="J231" i="16" s="1"/>
  <c r="H229" i="16"/>
  <c r="AO229" i="16" s="1"/>
  <c r="D84" i="2" l="1"/>
  <c r="D86" i="2" s="1"/>
  <c r="D87" i="2" s="1"/>
  <c r="AW230" i="24"/>
  <c r="AW231" i="15"/>
  <c r="H231" i="24"/>
  <c r="G232" i="15"/>
  <c r="AR232" i="15" s="1"/>
  <c r="AW228" i="16"/>
  <c r="AQ229" i="16"/>
  <c r="H230" i="16"/>
  <c r="AO230" i="16" s="1"/>
  <c r="G230" i="16"/>
  <c r="AL230" i="16" s="1"/>
  <c r="AM230" i="16" s="1"/>
  <c r="AN230" i="16" s="1"/>
  <c r="AL229" i="16"/>
  <c r="AM229" i="16" s="1"/>
  <c r="AN229" i="16" s="1"/>
  <c r="AS229" i="16"/>
  <c r="AI229" i="16"/>
  <c r="AJ229" i="16" s="1"/>
  <c r="AK229" i="16" s="1"/>
  <c r="AU229" i="16"/>
  <c r="AP229" i="16"/>
  <c r="D47" i="2" l="1"/>
  <c r="D88" i="2"/>
  <c r="D48" i="2"/>
  <c r="F232" i="24"/>
  <c r="AL231" i="24"/>
  <c r="AM231" i="24" s="1"/>
  <c r="AI231" i="24"/>
  <c r="AJ231" i="24" s="1"/>
  <c r="H232" i="15"/>
  <c r="AP230" i="16"/>
  <c r="AW229" i="16"/>
  <c r="K230" i="16"/>
  <c r="E84" i="2" l="1"/>
  <c r="E86" i="2" s="1"/>
  <c r="D58" i="2"/>
  <c r="AK231" i="24"/>
  <c r="AN231" i="24"/>
  <c r="G232" i="24"/>
  <c r="AR232" i="24" s="1"/>
  <c r="F233" i="15"/>
  <c r="AL232" i="15"/>
  <c r="AM232" i="15" s="1"/>
  <c r="AN232" i="15" s="1"/>
  <c r="AI232" i="15"/>
  <c r="AJ232" i="15" s="1"/>
  <c r="AK232" i="15" s="1"/>
  <c r="AQ230" i="16"/>
  <c r="AS230" i="16"/>
  <c r="AU230" i="16"/>
  <c r="AI230" i="16"/>
  <c r="AJ230" i="16" s="1"/>
  <c r="AK230" i="16" s="1"/>
  <c r="F231" i="16"/>
  <c r="E87" i="2" l="1"/>
  <c r="E47" i="2"/>
  <c r="AW231" i="24"/>
  <c r="H232" i="24"/>
  <c r="AW232" i="15"/>
  <c r="G233" i="15"/>
  <c r="AR233" i="15" s="1"/>
  <c r="AW230" i="16"/>
  <c r="H231" i="16"/>
  <c r="G231" i="16"/>
  <c r="AL231" i="16" s="1"/>
  <c r="AM231" i="16" s="1"/>
  <c r="AN231" i="16" s="1"/>
  <c r="J232" i="16"/>
  <c r="E48" i="2" l="1"/>
  <c r="E88" i="2"/>
  <c r="F233" i="24"/>
  <c r="AI232" i="24"/>
  <c r="AJ232" i="24" s="1"/>
  <c r="AL232" i="24"/>
  <c r="AM232" i="24" s="1"/>
  <c r="H233" i="15"/>
  <c r="AO231" i="16"/>
  <c r="AP231" i="16"/>
  <c r="K231" i="16"/>
  <c r="F84" i="2" l="1"/>
  <c r="F86" i="2" s="1"/>
  <c r="F87" i="2" s="1"/>
  <c r="E58" i="2"/>
  <c r="AK232" i="24"/>
  <c r="AN232" i="24"/>
  <c r="G233" i="24"/>
  <c r="AR233" i="24" s="1"/>
  <c r="F234" i="15"/>
  <c r="AI233" i="15"/>
  <c r="AJ233" i="15" s="1"/>
  <c r="AK233" i="15" s="1"/>
  <c r="AL233" i="15"/>
  <c r="AM233" i="15" s="1"/>
  <c r="AN233" i="15" s="1"/>
  <c r="AQ231" i="16"/>
  <c r="AU231" i="16"/>
  <c r="F232" i="16"/>
  <c r="AS231" i="16"/>
  <c r="AI231" i="16"/>
  <c r="AJ231" i="16" s="1"/>
  <c r="AK231" i="16" s="1"/>
  <c r="F48" i="2" l="1"/>
  <c r="F88" i="2"/>
  <c r="AW232" i="24"/>
  <c r="AW233" i="15"/>
  <c r="H233" i="24"/>
  <c r="G234" i="15"/>
  <c r="AR234" i="15" s="1"/>
  <c r="AW231" i="16"/>
  <c r="G232" i="16"/>
  <c r="AL232" i="16" s="1"/>
  <c r="AM232" i="16" s="1"/>
  <c r="AN232" i="16" s="1"/>
  <c r="J233" i="16"/>
  <c r="H232" i="16"/>
  <c r="F58" i="2" l="1"/>
  <c r="G84" i="2"/>
  <c r="G86" i="2" s="1"/>
  <c r="G87" i="2" s="1"/>
  <c r="F234" i="24"/>
  <c r="AL233" i="24"/>
  <c r="AM233" i="24" s="1"/>
  <c r="AI233" i="24"/>
  <c r="AJ233" i="24" s="1"/>
  <c r="H234" i="15"/>
  <c r="K232" i="16"/>
  <c r="AP232" i="16"/>
  <c r="AO232" i="16"/>
  <c r="G48" i="2" l="1"/>
  <c r="G88" i="2"/>
  <c r="AK233" i="24"/>
  <c r="AN233" i="24"/>
  <c r="G234" i="24"/>
  <c r="AR234" i="24" s="1"/>
  <c r="AL234" i="15"/>
  <c r="AM234" i="15" s="1"/>
  <c r="AN234" i="15" s="1"/>
  <c r="AI234" i="15"/>
  <c r="F233" i="16"/>
  <c r="AI232" i="16"/>
  <c r="AJ232" i="16" s="1"/>
  <c r="AK232" i="16" s="1"/>
  <c r="AQ232" i="16"/>
  <c r="AU232" i="16"/>
  <c r="AS232" i="16"/>
  <c r="H84" i="2" l="1"/>
  <c r="H86" i="2" s="1"/>
  <c r="H87" i="2" s="1"/>
  <c r="G58" i="2"/>
  <c r="AW233" i="24"/>
  <c r="H234" i="24"/>
  <c r="AJ234" i="15"/>
  <c r="AK234" i="15" s="1"/>
  <c r="AW234" i="15" s="1"/>
  <c r="AW232" i="16"/>
  <c r="H233" i="16"/>
  <c r="J234" i="16"/>
  <c r="G233" i="16"/>
  <c r="H88" i="2" l="1"/>
  <c r="H48" i="2"/>
  <c r="AL234" i="24"/>
  <c r="AM234" i="24" s="1"/>
  <c r="AI234" i="24"/>
  <c r="AJ234" i="24" s="1"/>
  <c r="K233" i="16"/>
  <c r="AL233" i="16"/>
  <c r="AM233" i="16" s="1"/>
  <c r="AN233" i="16" s="1"/>
  <c r="AO233" i="16"/>
  <c r="AP233" i="16"/>
  <c r="I84" i="2" l="1"/>
  <c r="I86" i="2" s="1"/>
  <c r="I87" i="2" s="1"/>
  <c r="H58" i="2"/>
  <c r="AN234" i="24"/>
  <c r="AK234" i="24"/>
  <c r="AU233" i="16"/>
  <c r="F234" i="16"/>
  <c r="AI233" i="16"/>
  <c r="AJ233" i="16" s="1"/>
  <c r="AK233" i="16" s="1"/>
  <c r="AQ233" i="16"/>
  <c r="AS233" i="16"/>
  <c r="I88" i="2" l="1"/>
  <c r="I48" i="2"/>
  <c r="AW234" i="24"/>
  <c r="AW233" i="16"/>
  <c r="H234" i="16"/>
  <c r="G234" i="16"/>
  <c r="AL234" i="16" s="1"/>
  <c r="AM234" i="16" s="1"/>
  <c r="AN234" i="16" s="1"/>
  <c r="I58" i="2" l="1"/>
  <c r="J84" i="2"/>
  <c r="J86" i="2" s="1"/>
  <c r="J87" i="2" s="1"/>
  <c r="K234" i="16"/>
  <c r="AS234" i="16" s="1"/>
  <c r="AP234" i="16"/>
  <c r="AO234" i="16"/>
  <c r="J48" i="2" l="1"/>
  <c r="J88" i="2"/>
  <c r="AU234" i="16"/>
  <c r="AQ234" i="16"/>
  <c r="AI234" i="16"/>
  <c r="AJ234" i="16" s="1"/>
  <c r="AK234" i="16" s="1"/>
  <c r="K84" i="2" l="1"/>
  <c r="K86" i="2" s="1"/>
  <c r="K87" i="2" s="1"/>
  <c r="J58" i="2"/>
  <c r="AW234" i="16"/>
  <c r="K48" i="2" l="1"/>
  <c r="K88" i="2"/>
  <c r="L84" i="2" l="1"/>
  <c r="L86" i="2" s="1"/>
  <c r="L87" i="2" s="1"/>
  <c r="K58" i="2"/>
  <c r="L88" i="2" l="1"/>
  <c r="L48" i="2"/>
  <c r="M84" i="2" l="1"/>
  <c r="M86" i="2" s="1"/>
  <c r="M87" i="2" s="1"/>
  <c r="L58" i="2"/>
  <c r="M48" i="2" l="1"/>
  <c r="M88" i="2"/>
  <c r="N84" i="2" l="1"/>
  <c r="N86" i="2" s="1"/>
  <c r="N87" i="2" s="1"/>
  <c r="M58" i="2"/>
  <c r="N88" i="2" l="1"/>
  <c r="N48" i="2"/>
  <c r="N58" i="2" l="1"/>
  <c r="O84" i="2"/>
  <c r="O86" i="2" s="1"/>
  <c r="O87" i="2" s="1"/>
  <c r="O88" i="2" s="1"/>
  <c r="O48" i="2" l="1"/>
  <c r="O58" i="2"/>
  <c r="P84" i="2"/>
  <c r="P86" i="2" s="1"/>
  <c r="P87" i="2" l="1"/>
  <c r="P88" i="2" l="1"/>
  <c r="P58" i="2" s="1"/>
  <c r="P48" i="2"/>
  <c r="C43" i="2" l="1"/>
  <c r="K31" i="2" l="1"/>
  <c r="K33" i="2" s="1"/>
  <c r="K35" i="2" s="1"/>
  <c r="L32" i="2"/>
  <c r="G32" i="2"/>
  <c r="M31" i="2"/>
  <c r="M33" i="2" s="1"/>
  <c r="M35" i="2" s="1"/>
  <c r="N32" i="2"/>
  <c r="J32" i="2"/>
  <c r="L31" i="2"/>
  <c r="L33" i="2" s="1"/>
  <c r="L35" i="2" s="1"/>
  <c r="O32" i="2"/>
  <c r="F31" i="2"/>
  <c r="F33" i="2" s="1"/>
  <c r="F35" i="2" s="1"/>
  <c r="C31" i="2"/>
  <c r="C33" i="2" s="1"/>
  <c r="C35" i="2" s="1"/>
  <c r="D31" i="2"/>
  <c r="D33" i="2" s="1"/>
  <c r="D35" i="2" s="1"/>
  <c r="C32" i="2"/>
  <c r="P31" i="2"/>
  <c r="P33" i="2" s="1"/>
  <c r="P35" i="2" s="1"/>
  <c r="N31" i="2"/>
  <c r="N33" i="2" s="1"/>
  <c r="N35" i="2" s="1"/>
  <c r="J31" i="2"/>
  <c r="J33" i="2" s="1"/>
  <c r="J35" i="2" s="1"/>
  <c r="F32" i="2"/>
  <c r="H31" i="2"/>
  <c r="H33" i="2" s="1"/>
  <c r="H35" i="2" s="1"/>
  <c r="M32" i="2"/>
  <c r="E31" i="2"/>
  <c r="E33" i="2" s="1"/>
  <c r="E35" i="2" s="1"/>
  <c r="P32" i="2"/>
  <c r="G31" i="2"/>
  <c r="G33" i="2" s="1"/>
  <c r="G35" i="2" s="1"/>
  <c r="K32" i="2"/>
  <c r="H32" i="2"/>
  <c r="I31" i="2"/>
  <c r="I33" i="2" s="1"/>
  <c r="I35" i="2" s="1"/>
  <c r="D32" i="2"/>
  <c r="E32" i="2"/>
  <c r="O31" i="2"/>
  <c r="O33" i="2" s="1"/>
  <c r="O35" i="2" s="1"/>
  <c r="I32" i="2"/>
  <c r="C63" i="2" l="1"/>
  <c r="C16" i="2" s="1"/>
  <c r="D63" i="2" l="1"/>
  <c r="D16" i="2" s="1"/>
  <c r="C73" i="2"/>
  <c r="C17" i="2" l="1"/>
  <c r="C51" i="2"/>
  <c r="E63" i="2"/>
  <c r="E16" i="2" s="1"/>
  <c r="D73" i="2"/>
  <c r="C44" i="2" l="1"/>
  <c r="C45" i="2" s="1"/>
  <c r="C49" i="2" s="1"/>
  <c r="C19" i="2"/>
  <c r="D17" i="2"/>
  <c r="D51" i="2"/>
  <c r="E73" i="2"/>
  <c r="F63" i="2"/>
  <c r="F16" i="2" s="1"/>
  <c r="C70" i="2" l="1"/>
  <c r="C71" i="2"/>
  <c r="C95" i="2"/>
  <c r="C37" i="2"/>
  <c r="C59" i="2" s="1"/>
  <c r="C52" i="2" s="1"/>
  <c r="D19" i="2"/>
  <c r="D37" i="2" s="1"/>
  <c r="D44" i="2"/>
  <c r="D45" i="2" s="1"/>
  <c r="D49" i="2" s="1"/>
  <c r="F73" i="2"/>
  <c r="G63" i="2"/>
  <c r="G16" i="2" s="1"/>
  <c r="E51" i="2"/>
  <c r="E17" i="2"/>
  <c r="C39" i="2" l="1"/>
  <c r="C54" i="2"/>
  <c r="C60" i="2"/>
  <c r="C62" i="2" s="1"/>
  <c r="D71" i="2"/>
  <c r="D70" i="2"/>
  <c r="D59" i="2"/>
  <c r="D52" i="2" s="1"/>
  <c r="F51" i="2"/>
  <c r="F17" i="2"/>
  <c r="G73" i="2"/>
  <c r="H63" i="2"/>
  <c r="H16" i="2" s="1"/>
  <c r="E44" i="2"/>
  <c r="E45" i="2" s="1"/>
  <c r="E49" i="2" s="1"/>
  <c r="E19" i="2"/>
  <c r="D39" i="2" l="1"/>
  <c r="I63" i="2"/>
  <c r="I16" i="2" s="1"/>
  <c r="H73" i="2"/>
  <c r="E37" i="2"/>
  <c r="E59" i="2" s="1"/>
  <c r="E52" i="2" s="1"/>
  <c r="E71" i="2"/>
  <c r="E70" i="2"/>
  <c r="C64" i="2"/>
  <c r="C66" i="2" s="1"/>
  <c r="D54" i="2"/>
  <c r="D90" i="2" s="1"/>
  <c r="D60" i="2"/>
  <c r="D62" i="2" s="1"/>
  <c r="F44" i="2"/>
  <c r="F45" i="2" s="1"/>
  <c r="F49" i="2" s="1"/>
  <c r="F19" i="2"/>
  <c r="G51" i="2"/>
  <c r="G17" i="2"/>
  <c r="E60" i="2" l="1"/>
  <c r="E62" i="2" s="1"/>
  <c r="E54" i="2"/>
  <c r="E90" i="2" s="1"/>
  <c r="H51" i="2"/>
  <c r="H17" i="2"/>
  <c r="G44" i="2"/>
  <c r="G45" i="2" s="1"/>
  <c r="G49" i="2" s="1"/>
  <c r="G19" i="2"/>
  <c r="J63" i="2"/>
  <c r="J16" i="2" s="1"/>
  <c r="I73" i="2"/>
  <c r="E39" i="2"/>
  <c r="C72" i="2"/>
  <c r="D64" i="2"/>
  <c r="D66" i="2" s="1"/>
  <c r="F70" i="2"/>
  <c r="F71" i="2"/>
  <c r="F37" i="2"/>
  <c r="F39" i="2" s="1"/>
  <c r="F59" i="2" l="1"/>
  <c r="E64" i="2"/>
  <c r="E66" i="2" s="1"/>
  <c r="D72" i="2"/>
  <c r="H44" i="2"/>
  <c r="H45" i="2" s="1"/>
  <c r="H49" i="2" s="1"/>
  <c r="H19" i="2"/>
  <c r="G37" i="2"/>
  <c r="G71" i="2"/>
  <c r="G70" i="2"/>
  <c r="K63" i="2"/>
  <c r="K16" i="2" s="1"/>
  <c r="J73" i="2"/>
  <c r="I17" i="2"/>
  <c r="I51" i="2"/>
  <c r="F60" i="2" l="1"/>
  <c r="F62" i="2" s="1"/>
  <c r="F64" i="2" s="1"/>
  <c r="F66" i="2" s="1"/>
  <c r="F52" i="2"/>
  <c r="F54" i="2" s="1"/>
  <c r="F90" i="2" s="1"/>
  <c r="G59" i="2"/>
  <c r="J17" i="2"/>
  <c r="J51" i="2"/>
  <c r="E72" i="2"/>
  <c r="I44" i="2"/>
  <c r="I45" i="2" s="1"/>
  <c r="I49" i="2" s="1"/>
  <c r="I19" i="2"/>
  <c r="H71" i="2"/>
  <c r="H70" i="2"/>
  <c r="H37" i="2"/>
  <c r="H39" i="2" s="1"/>
  <c r="L63" i="2"/>
  <c r="L16" i="2" s="1"/>
  <c r="K73" i="2"/>
  <c r="G39" i="2"/>
  <c r="G60" i="2" l="1"/>
  <c r="G62" i="2" s="1"/>
  <c r="G64" i="2" s="1"/>
  <c r="G66" i="2" s="1"/>
  <c r="G52" i="2"/>
  <c r="G54" i="2" s="1"/>
  <c r="G90" i="2" s="1"/>
  <c r="H59" i="2"/>
  <c r="F72" i="2"/>
  <c r="J44" i="2"/>
  <c r="J45" i="2" s="1"/>
  <c r="J49" i="2" s="1"/>
  <c r="J19" i="2"/>
  <c r="I71" i="2"/>
  <c r="I70" i="2"/>
  <c r="I37" i="2"/>
  <c r="I39" i="2" s="1"/>
  <c r="L73" i="2"/>
  <c r="M63" i="2"/>
  <c r="M16" i="2" s="1"/>
  <c r="K17" i="2"/>
  <c r="K51" i="2"/>
  <c r="H60" i="2" l="1"/>
  <c r="H62" i="2" s="1"/>
  <c r="H64" i="2" s="1"/>
  <c r="H66" i="2" s="1"/>
  <c r="H52" i="2"/>
  <c r="H54" i="2" s="1"/>
  <c r="H90" i="2" s="1"/>
  <c r="I59" i="2"/>
  <c r="G72" i="2"/>
  <c r="J71" i="2"/>
  <c r="J70" i="2"/>
  <c r="J37" i="2"/>
  <c r="J39" i="2" s="1"/>
  <c r="L51" i="2"/>
  <c r="L17" i="2"/>
  <c r="N63" i="2"/>
  <c r="N16" i="2" s="1"/>
  <c r="M73" i="2"/>
  <c r="K44" i="2"/>
  <c r="K45" i="2" s="1"/>
  <c r="K49" i="2" s="1"/>
  <c r="K19" i="2"/>
  <c r="I52" i="2" l="1"/>
  <c r="I54" i="2" s="1"/>
  <c r="I90" i="2" s="1"/>
  <c r="J59" i="2"/>
  <c r="J52" i="2" s="1"/>
  <c r="I60" i="2"/>
  <c r="I62" i="2" s="1"/>
  <c r="I64" i="2" s="1"/>
  <c r="I66" i="2" s="1"/>
  <c r="K71" i="2"/>
  <c r="K70" i="2"/>
  <c r="K37" i="2"/>
  <c r="K39" i="2" s="1"/>
  <c r="H72" i="2"/>
  <c r="L19" i="2"/>
  <c r="L44" i="2"/>
  <c r="L45" i="2" s="1"/>
  <c r="L49" i="2" s="1"/>
  <c r="M17" i="2"/>
  <c r="M51" i="2"/>
  <c r="N73" i="2"/>
  <c r="O63" i="2"/>
  <c r="O16" i="2" s="1"/>
  <c r="K59" i="2" l="1"/>
  <c r="J54" i="2"/>
  <c r="J90" i="2" s="1"/>
  <c r="J60" i="2"/>
  <c r="J62" i="2" s="1"/>
  <c r="J64" i="2" s="1"/>
  <c r="J66" i="2" s="1"/>
  <c r="P63" i="2"/>
  <c r="P16" i="2" s="1"/>
  <c r="O73" i="2"/>
  <c r="N51" i="2"/>
  <c r="N17" i="2"/>
  <c r="I72" i="2"/>
  <c r="L70" i="2"/>
  <c r="L71" i="2"/>
  <c r="L37" i="2"/>
  <c r="L39" i="2" s="1"/>
  <c r="M44" i="2"/>
  <c r="M45" i="2" s="1"/>
  <c r="M49" i="2" s="1"/>
  <c r="M19" i="2"/>
  <c r="L59" i="2" l="1"/>
  <c r="L52" i="2" s="1"/>
  <c r="L54" i="2" s="1"/>
  <c r="K52" i="2"/>
  <c r="K54" i="2" s="1"/>
  <c r="K90" i="2" s="1"/>
  <c r="K60" i="2"/>
  <c r="K62" i="2" s="1"/>
  <c r="K64" i="2" s="1"/>
  <c r="K66" i="2" s="1"/>
  <c r="J72" i="2"/>
  <c r="O17" i="2"/>
  <c r="O51" i="2"/>
  <c r="N19" i="2"/>
  <c r="N44" i="2"/>
  <c r="N45" i="2" s="1"/>
  <c r="N49" i="2" s="1"/>
  <c r="P73" i="2"/>
  <c r="M70" i="2"/>
  <c r="M71" i="2"/>
  <c r="M37" i="2"/>
  <c r="M39" i="2" s="1"/>
  <c r="L60" i="2" l="1"/>
  <c r="L62" i="2" s="1"/>
  <c r="L64" i="2" s="1"/>
  <c r="L66" i="2" s="1"/>
  <c r="M59" i="2"/>
  <c r="L90" i="2"/>
  <c r="C109" i="1" s="1"/>
  <c r="K72" i="2"/>
  <c r="O44" i="2"/>
  <c r="O45" i="2" s="1"/>
  <c r="O49" i="2" s="1"/>
  <c r="O19" i="2"/>
  <c r="N71" i="2"/>
  <c r="N70" i="2"/>
  <c r="N37" i="2"/>
  <c r="N39" i="2" s="1"/>
  <c r="P17" i="2"/>
  <c r="P51" i="2"/>
  <c r="E147" i="1"/>
  <c r="E145" i="1"/>
  <c r="E143" i="1"/>
  <c r="N59" i="2" l="1"/>
  <c r="N52" i="2" s="1"/>
  <c r="N54" i="2" s="1"/>
  <c r="M52" i="2"/>
  <c r="M54" i="2" s="1"/>
  <c r="M90" i="2" s="1"/>
  <c r="M60" i="2"/>
  <c r="M62" i="2" s="1"/>
  <c r="M64" i="2" s="1"/>
  <c r="M66" i="2" s="1"/>
  <c r="O70" i="2"/>
  <c r="O71" i="2"/>
  <c r="O37" i="2"/>
  <c r="O39" i="2" s="1"/>
  <c r="L72" i="2"/>
  <c r="P44" i="2"/>
  <c r="P45" i="2" s="1"/>
  <c r="P49" i="2" s="1"/>
  <c r="P19" i="2"/>
  <c r="N60" i="2" l="1"/>
  <c r="N62" i="2" s="1"/>
  <c r="N64" i="2" s="1"/>
  <c r="N66" i="2" s="1"/>
  <c r="N90" i="2"/>
  <c r="M72" i="2"/>
  <c r="O59" i="2"/>
  <c r="O52" i="2" s="1"/>
  <c r="P70" i="2"/>
  <c r="P71" i="2"/>
  <c r="P37" i="2"/>
  <c r="P39" i="2" s="1"/>
  <c r="N72" i="2" l="1"/>
  <c r="O54" i="2"/>
  <c r="O90" i="2" s="1"/>
  <c r="O60" i="2"/>
  <c r="O62" i="2" s="1"/>
  <c r="P59" i="2"/>
  <c r="P52" i="2" s="1"/>
  <c r="E113" i="1"/>
  <c r="E115" i="1"/>
  <c r="E117" i="1"/>
  <c r="E125" i="1"/>
  <c r="E127" i="1"/>
  <c r="E123" i="1"/>
  <c r="O64" i="2" l="1"/>
  <c r="O66" i="2" s="1"/>
  <c r="P54" i="2"/>
  <c r="P90" i="2" s="1"/>
  <c r="P60" i="2"/>
  <c r="P62" i="2" s="1"/>
  <c r="O72" i="2" l="1"/>
  <c r="P64" i="2"/>
  <c r="P66" i="2" s="1"/>
  <c r="P72" i="2" l="1"/>
  <c r="E135" i="1" s="1"/>
  <c r="E133" i="1" l="1"/>
  <c r="E3" i="1" s="1"/>
  <c r="E5" i="1" s="1"/>
  <c r="E7" i="1" s="1"/>
  <c r="E137" i="1"/>
</calcChain>
</file>

<file path=xl/sharedStrings.xml><?xml version="1.0" encoding="utf-8"?>
<sst xmlns="http://schemas.openxmlformats.org/spreadsheetml/2006/main" count="6291" uniqueCount="939">
  <si>
    <t>Huuropbrengsten</t>
  </si>
  <si>
    <t>Initiele investering</t>
  </si>
  <si>
    <t>Jaarlijkse lasten</t>
  </si>
  <si>
    <t>Algemeen</t>
  </si>
  <si>
    <t>Woonlasten</t>
  </si>
  <si>
    <t>Verhuurderheffing</t>
  </si>
  <si>
    <t>Gemiddeld E-label na renovatie</t>
  </si>
  <si>
    <t>Aanschafprijs per woning</t>
  </si>
  <si>
    <t>Renovatiekosten per woning</t>
  </si>
  <si>
    <t>&lt; liberalisatiegrens</t>
  </si>
  <si>
    <t>G</t>
  </si>
  <si>
    <t>C</t>
  </si>
  <si>
    <t>Financiering</t>
  </si>
  <si>
    <t>Inflatie</t>
  </si>
  <si>
    <t>Input</t>
  </si>
  <si>
    <t>Dashboard</t>
  </si>
  <si>
    <t>Huur</t>
  </si>
  <si>
    <t>Kasstroomoverzicht</t>
  </si>
  <si>
    <t>Operationele kasstroom</t>
  </si>
  <si>
    <t>Opbrengsten</t>
  </si>
  <si>
    <t>Huurderving</t>
  </si>
  <si>
    <t>Derving EPV</t>
  </si>
  <si>
    <t>Totaal opbrengsten</t>
  </si>
  <si>
    <t>Exploitatielasten</t>
  </si>
  <si>
    <t>Beheerlasten</t>
  </si>
  <si>
    <t>Onderhoud</t>
  </si>
  <si>
    <t>Verhuurdersheffing</t>
  </si>
  <si>
    <t>Rentelasten</t>
  </si>
  <si>
    <t>Totaal exploitatielasten</t>
  </si>
  <si>
    <t>(Des)investeringskasstroom</t>
  </si>
  <si>
    <t>Financieringskasstroom</t>
  </si>
  <si>
    <t>Nieuwe leningen o/g</t>
  </si>
  <si>
    <t>Aflossingen leningen o/g</t>
  </si>
  <si>
    <t>Mutatie Liquide middelen</t>
  </si>
  <si>
    <t>ICR</t>
  </si>
  <si>
    <t>Controle</t>
  </si>
  <si>
    <t>Bedrijfsopbrengsten</t>
  </si>
  <si>
    <t>Bedrijfskosten</t>
  </si>
  <si>
    <t>EBITDA</t>
  </si>
  <si>
    <t>EBIT</t>
  </si>
  <si>
    <t>Jaarresultaat</t>
  </si>
  <si>
    <t>MVA</t>
  </si>
  <si>
    <t>Liquide middelen</t>
  </si>
  <si>
    <t>Activa</t>
  </si>
  <si>
    <t>Eigen vermogen</t>
  </si>
  <si>
    <t>Leningen o/g</t>
  </si>
  <si>
    <t>Passiva</t>
  </si>
  <si>
    <t>Solvabiliteit</t>
  </si>
  <si>
    <t>Controle balans</t>
  </si>
  <si>
    <t>Resultatenrekening (marktwaarde)</t>
  </si>
  <si>
    <t>Balans (marktwaarde)</t>
  </si>
  <si>
    <t>Hulpberekeningen</t>
  </si>
  <si>
    <t>Indexeringen</t>
  </si>
  <si>
    <t>Tabel 1 : Prijsinflatie</t>
  </si>
  <si>
    <t>2018 e.v.</t>
  </si>
  <si>
    <t>Prijsinflatie</t>
  </si>
  <si>
    <t>Tabel 2 : Loonstijging</t>
  </si>
  <si>
    <t>Loonstijging</t>
  </si>
  <si>
    <t>Tabel 3 : Bouwkostenstijging</t>
  </si>
  <si>
    <t>Bouwkostenstijging</t>
  </si>
  <si>
    <t>Tabel 4: Leegwaardestijging per provincie</t>
  </si>
  <si>
    <t>Drenthe</t>
  </si>
  <si>
    <t>Flevoland</t>
  </si>
  <si>
    <t>Friesland</t>
  </si>
  <si>
    <t>Gelderland</t>
  </si>
  <si>
    <t>Groningen</t>
  </si>
  <si>
    <t>Limburg</t>
  </si>
  <si>
    <t>Noord-Brabant</t>
  </si>
  <si>
    <t>Noord-Holland</t>
  </si>
  <si>
    <t>Overijssel</t>
  </si>
  <si>
    <t>Utrecht</t>
  </si>
  <si>
    <t>Zeeland</t>
  </si>
  <si>
    <t>Zuid-Holland</t>
  </si>
  <si>
    <t>Amsterdam</t>
  </si>
  <si>
    <t>Rotterdam</t>
  </si>
  <si>
    <t>Utrecht (stad)</t>
  </si>
  <si>
    <t>Markthuur</t>
  </si>
  <si>
    <t>Percentage leegwaarde referentie</t>
  </si>
  <si>
    <t>Ondergrens</t>
  </si>
  <si>
    <t>Bovengrens</t>
  </si>
  <si>
    <t>Percentage leegwaarde object</t>
  </si>
  <si>
    <t>WOZ/Leegwaarde per 31-1-2015</t>
  </si>
  <si>
    <t>Markhuur per 31-1-2015</t>
  </si>
  <si>
    <t>Tabel 6 : Referentiewoning (markthuur)</t>
  </si>
  <si>
    <t>Leegwaarde</t>
  </si>
  <si>
    <t>&gt;  € 175.000 ≤ € 200.000</t>
  </si>
  <si>
    <t>Bouwjaar</t>
  </si>
  <si>
    <t>&gt; 1990</t>
  </si>
  <si>
    <t>Woningtype</t>
  </si>
  <si>
    <t>MGW</t>
  </si>
  <si>
    <t>Oppervlakte</t>
  </si>
  <si>
    <t>≥ 100 &lt; 150</t>
  </si>
  <si>
    <t>COROP gebied</t>
  </si>
  <si>
    <t>Agglomeratie 's-Gravenhage</t>
  </si>
  <si>
    <t>Tabel 7 : Effect leegwaardeklasse (markthuur)</t>
  </si>
  <si>
    <t>&lt; € 50.000</t>
  </si>
  <si>
    <t>&gt;  € 50.000 ≤ € 75.000</t>
  </si>
  <si>
    <r>
      <t>&gt;  € 75.000 ≤ € 100.000</t>
    </r>
    <r>
      <rPr>
        <sz val="11"/>
        <color theme="1"/>
        <rFont val="Calibri"/>
        <family val="2"/>
        <scheme val="minor"/>
      </rPr>
      <t/>
    </r>
  </si>
  <si>
    <t>&gt;  € 100.000 ≤ € 125.000</t>
  </si>
  <si>
    <t>&gt;  € 125.000 ≤ € 150.000</t>
  </si>
  <si>
    <t>&gt;  € 150.000 ≤ € 175.000</t>
  </si>
  <si>
    <t>&gt;  € 200.000 ≤ € 225.000</t>
  </si>
  <si>
    <t>&gt;  € 225.000 ≤ € 250.000</t>
  </si>
  <si>
    <t>&gt;  € 250.000 ≤ € 275.000</t>
  </si>
  <si>
    <t>&gt;  € 275.000 ≤ € 300.000</t>
  </si>
  <si>
    <t>&gt;  € 300.000 ≤ € 350.000</t>
  </si>
  <si>
    <t>&gt;  € 350.000 ≤ € 400.000</t>
  </si>
  <si>
    <t>&gt;  € 400.000 ≤ € 450.000</t>
  </si>
  <si>
    <t>&gt;  € 450.000 ≤ € 500.000</t>
  </si>
  <si>
    <t>&gt;  € 500.000</t>
  </si>
  <si>
    <t>Tabel 8 : Effect bouwperiode (markthuur)</t>
  </si>
  <si>
    <t>&lt; 1900</t>
  </si>
  <si>
    <t>≥ 1900 &lt; 1920</t>
  </si>
  <si>
    <t>≥ 1920 &lt; 1940</t>
  </si>
  <si>
    <t>≥ 1940 &lt; 1970</t>
  </si>
  <si>
    <t>≥ 1970 &lt; 1990</t>
  </si>
  <si>
    <t>≥ 1990</t>
  </si>
  <si>
    <t>Tabel 9 : Effect woningtype (markthuur)</t>
  </si>
  <si>
    <t>EGW</t>
  </si>
  <si>
    <t>Tabel 10 : Effect oppervlakteklasse (markthuur)</t>
  </si>
  <si>
    <t>&lt; 40</t>
  </si>
  <si>
    <t>≥ 40 &lt; 70</t>
  </si>
  <si>
    <t>≥ 70 &lt; 100</t>
  </si>
  <si>
    <t>≥ 150 &lt; 200</t>
  </si>
  <si>
    <t>≥ 200</t>
  </si>
  <si>
    <t>Tabel 11 : Effect coropgebied (markthuur)</t>
  </si>
  <si>
    <t>Oost-Groningen</t>
  </si>
  <si>
    <t>Delfzijl en omgeving</t>
  </si>
  <si>
    <t>Overig Groningen</t>
  </si>
  <si>
    <t>Noord-Friesland</t>
  </si>
  <si>
    <t>Zuidwest-Friesland</t>
  </si>
  <si>
    <t>Zuidoost-Friesland</t>
  </si>
  <si>
    <t>Noord-Drenthe</t>
  </si>
  <si>
    <t>Zuidoost-Drenthe</t>
  </si>
  <si>
    <t>Zuidwest-Drenthe</t>
  </si>
  <si>
    <t>Noord-Overijssel</t>
  </si>
  <si>
    <t>Zuidwest-Overijssel</t>
  </si>
  <si>
    <t>Twente</t>
  </si>
  <si>
    <t>Veluwe</t>
  </si>
  <si>
    <t>Achterhoek</t>
  </si>
  <si>
    <t>Arnhem/Nijmegen</t>
  </si>
  <si>
    <t>Zuidwet-Gelderland</t>
  </si>
  <si>
    <t>Kop van Noord-Holland</t>
  </si>
  <si>
    <t>Alkmaar en omgeving</t>
  </si>
  <si>
    <t>Ijmond</t>
  </si>
  <si>
    <t>Agglomeratie Haarlem</t>
  </si>
  <si>
    <t>Zaanstreek</t>
  </si>
  <si>
    <t>Groot-Amsterdam</t>
  </si>
  <si>
    <t>Het Gooi en Vechtstreek</t>
  </si>
  <si>
    <t>Aggl. Leiden en Bollenstreek</t>
  </si>
  <si>
    <t>Delft en Westland</t>
  </si>
  <si>
    <t>Oost-Zuid-Holland</t>
  </si>
  <si>
    <t>Groot-Rijnmond</t>
  </si>
  <si>
    <t>Zuidoost-Zuid-Holland</t>
  </si>
  <si>
    <t>Zeeuws-Vlaanderen</t>
  </si>
  <si>
    <t>Overig Zeeland</t>
  </si>
  <si>
    <t>West-Noord-Brabant</t>
  </si>
  <si>
    <t>Midden-Noord-Brabant</t>
  </si>
  <si>
    <t>Noordoost-Noord-Brabant</t>
  </si>
  <si>
    <t>Zuidoost-Noord-Brabant</t>
  </si>
  <si>
    <t>Noord-Limburg</t>
  </si>
  <si>
    <t>Midden-Limburg</t>
  </si>
  <si>
    <t>Zuid-Limburg</t>
  </si>
  <si>
    <t>Exploitatiekosten</t>
  </si>
  <si>
    <t>Tabel 12 : Kosten voor instandhoudsingsonderhoud naar type en bouwjaar</t>
  </si>
  <si>
    <t>&lt;1960</t>
  </si>
  <si>
    <t>1960-1974</t>
  </si>
  <si>
    <t>1975-1989</t>
  </si>
  <si>
    <t>1990-2004</t>
  </si>
  <si>
    <t>≥ 2005</t>
  </si>
  <si>
    <t>Tabel 13 : Mutatieonderhoud</t>
  </si>
  <si>
    <t>Tabel 14 : Beheerkosten</t>
  </si>
  <si>
    <t>Tabel 15 : Belastingen en verzekeringen</t>
  </si>
  <si>
    <t>Belastingen en verzekeringen (incl OZB)</t>
  </si>
  <si>
    <t>x WOZ waarde</t>
  </si>
  <si>
    <t>Belastingen en verzekeringen (excl OZB)</t>
  </si>
  <si>
    <t>Aa en Hunze</t>
  </si>
  <si>
    <t>Aalburg</t>
  </si>
  <si>
    <t>Aalsmeer</t>
  </si>
  <si>
    <t>Aalten</t>
  </si>
  <si>
    <t>Achtkarspelen</t>
  </si>
  <si>
    <t>Alblasserdam</t>
  </si>
  <si>
    <t>Albrandswaard</t>
  </si>
  <si>
    <t>Alkmaar</t>
  </si>
  <si>
    <t>Almelo</t>
  </si>
  <si>
    <t>Almere</t>
  </si>
  <si>
    <t>Alphen aan den Rijn</t>
  </si>
  <si>
    <t>Alphen-Chaam</t>
  </si>
  <si>
    <t>Ameland</t>
  </si>
  <si>
    <t>Amersfoort</t>
  </si>
  <si>
    <t>Amstelveen</t>
  </si>
  <si>
    <t>Apeldoorn</t>
  </si>
  <si>
    <t>Appingedam</t>
  </si>
  <si>
    <t>Arnhem</t>
  </si>
  <si>
    <t>Assen</t>
  </si>
  <si>
    <t>Asten</t>
  </si>
  <si>
    <t>Baarle-Nassau</t>
  </si>
  <si>
    <t>Baarn</t>
  </si>
  <si>
    <t>Barendrecht</t>
  </si>
  <si>
    <t>Barneveld</t>
  </si>
  <si>
    <t>Bedum</t>
  </si>
  <si>
    <t>Beek</t>
  </si>
  <si>
    <t>Beemster</t>
  </si>
  <si>
    <t>Beesel</t>
  </si>
  <si>
    <t>Bellingwedde</t>
  </si>
  <si>
    <t>Bergeijk</t>
  </si>
  <si>
    <t>Bergen (L.)</t>
  </si>
  <si>
    <t>Bergen (NH.)</t>
  </si>
  <si>
    <t>Bergen op Zoom</t>
  </si>
  <si>
    <t>Berkelland</t>
  </si>
  <si>
    <t>Bernheze</t>
  </si>
  <si>
    <t>Best</t>
  </si>
  <si>
    <t>Beuningen</t>
  </si>
  <si>
    <t>Beverwijk</t>
  </si>
  <si>
    <t>Binnenmaas</t>
  </si>
  <si>
    <t>Bladel</t>
  </si>
  <si>
    <t>Blaricum</t>
  </si>
  <si>
    <t>Bloemendaal</t>
  </si>
  <si>
    <t>Bodegraven-Reeuwijk</t>
  </si>
  <si>
    <t>Boekel</t>
  </si>
  <si>
    <t>Borger-Odoorn</t>
  </si>
  <si>
    <t>Borne</t>
  </si>
  <si>
    <t>Borsele</t>
  </si>
  <si>
    <t>Boxmeer</t>
  </si>
  <si>
    <t>Boxtel</t>
  </si>
  <si>
    <t>Breda</t>
  </si>
  <si>
    <t>Brielle</t>
  </si>
  <si>
    <t>Bronckhorst</t>
  </si>
  <si>
    <t>Brummen</t>
  </si>
  <si>
    <t>Brunssum</t>
  </si>
  <si>
    <t>Bunnik</t>
  </si>
  <si>
    <t>Bunschoten</t>
  </si>
  <si>
    <t>Buren</t>
  </si>
  <si>
    <t>Bussum</t>
  </si>
  <si>
    <t>Capelle aan den IJssel</t>
  </si>
  <si>
    <t>Castricum</t>
  </si>
  <si>
    <t>Coevorden</t>
  </si>
  <si>
    <t>Cranendonck</t>
  </si>
  <si>
    <t>Cromstrijen</t>
  </si>
  <si>
    <t>Cuijk</t>
  </si>
  <si>
    <t>Culemborg</t>
  </si>
  <si>
    <t>Dalfsen</t>
  </si>
  <si>
    <t>Dantumadiel</t>
  </si>
  <si>
    <t>De Bilt</t>
  </si>
  <si>
    <t>De Friese Meren</t>
  </si>
  <si>
    <t>De Marne</t>
  </si>
  <si>
    <t>De Ronde Venen</t>
  </si>
  <si>
    <t>De Wolden</t>
  </si>
  <si>
    <t>Delft</t>
  </si>
  <si>
    <t>Delfzijl</t>
  </si>
  <si>
    <t>Den Helder</t>
  </si>
  <si>
    <t>Deurne</t>
  </si>
  <si>
    <t>Deventer</t>
  </si>
  <si>
    <t>Diemen</t>
  </si>
  <si>
    <t>Dinkelland</t>
  </si>
  <si>
    <t>Doesburg</t>
  </si>
  <si>
    <t>Doetinchem</t>
  </si>
  <si>
    <t>Dongen</t>
  </si>
  <si>
    <t>Dongeradeel</t>
  </si>
  <si>
    <t>Dordrecht</t>
  </si>
  <si>
    <t>Drechterland</t>
  </si>
  <si>
    <t>Drimmelen</t>
  </si>
  <si>
    <t>Dronten</t>
  </si>
  <si>
    <t>Druten</t>
  </si>
  <si>
    <t>Duiven</t>
  </si>
  <si>
    <t>Echt-Susteren</t>
  </si>
  <si>
    <t>Edam-Volendam</t>
  </si>
  <si>
    <t>Ede</t>
  </si>
  <si>
    <t>Eemnes</t>
  </si>
  <si>
    <t>Eemsmond</t>
  </si>
  <si>
    <t>Eersel</t>
  </si>
  <si>
    <t>Eijsden-Margraten</t>
  </si>
  <si>
    <t>Eindhoven</t>
  </si>
  <si>
    <t>Elburg</t>
  </si>
  <si>
    <t>Emmen</t>
  </si>
  <si>
    <t>Enkhuizen</t>
  </si>
  <si>
    <t>Enschede</t>
  </si>
  <si>
    <t>Epe</t>
  </si>
  <si>
    <t>Ermelo</t>
  </si>
  <si>
    <t>Etten-Leur</t>
  </si>
  <si>
    <t>Ferwerderadiel</t>
  </si>
  <si>
    <t>Franekeradeel</t>
  </si>
  <si>
    <t>Geertruidenberg</t>
  </si>
  <si>
    <t>Geldermalsen</t>
  </si>
  <si>
    <t>Geldrop-Mierlo</t>
  </si>
  <si>
    <t>Gemert-Bakel</t>
  </si>
  <si>
    <t>Gennep</t>
  </si>
  <si>
    <t>Giessenlanden</t>
  </si>
  <si>
    <t>Gilze en Rijen</t>
  </si>
  <si>
    <t>Goeree-Overflakkee</t>
  </si>
  <si>
    <t>Goes</t>
  </si>
  <si>
    <t>Goirle</t>
  </si>
  <si>
    <t>Gorinchem</t>
  </si>
  <si>
    <t>Gouda</t>
  </si>
  <si>
    <t>Grave</t>
  </si>
  <si>
    <t>Groesbeek</t>
  </si>
  <si>
    <t>Grootegast</t>
  </si>
  <si>
    <t>Gulpen-Wittem</t>
  </si>
  <si>
    <t>Haaksbergen</t>
  </si>
  <si>
    <t>Haaren</t>
  </si>
  <si>
    <t>Haarlem</t>
  </si>
  <si>
    <t>Haarlemmerliede en Spaarnwoude</t>
  </si>
  <si>
    <t>Haarlemmermeer</t>
  </si>
  <si>
    <t>Halderberge</t>
  </si>
  <si>
    <t>Hardenberg</t>
  </si>
  <si>
    <t>Harderwijk</t>
  </si>
  <si>
    <t>Hardinxveld-Giessendam</t>
  </si>
  <si>
    <t>Haren</t>
  </si>
  <si>
    <t>Harlingen</t>
  </si>
  <si>
    <t>Hattem</t>
  </si>
  <si>
    <t>Heemskerk</t>
  </si>
  <si>
    <t>Heemstede</t>
  </si>
  <si>
    <t>Heerde</t>
  </si>
  <si>
    <t>Heerenveen</t>
  </si>
  <si>
    <t>Heerhugowaard</t>
  </si>
  <si>
    <t>Heerlen</t>
  </si>
  <si>
    <t>Heeze-Leende</t>
  </si>
  <si>
    <t>Heiloo</t>
  </si>
  <si>
    <t>Hellendoorn</t>
  </si>
  <si>
    <t>Hellevoetsluis</t>
  </si>
  <si>
    <t>Helmond</t>
  </si>
  <si>
    <t>Hendrik-Ido-Ambacht</t>
  </si>
  <si>
    <t>Hengelo (O.)</t>
  </si>
  <si>
    <t>het Bildt</t>
  </si>
  <si>
    <t>Heumen</t>
  </si>
  <si>
    <t>Heusden</t>
  </si>
  <si>
    <t>Hillegom</t>
  </si>
  <si>
    <t>Hilvarenbeek</t>
  </si>
  <si>
    <t>Hilversum</t>
  </si>
  <si>
    <t>Hof van Twente</t>
  </si>
  <si>
    <t>Hollands Kroon</t>
  </si>
  <si>
    <t>Hoogeveen</t>
  </si>
  <si>
    <t>Hoogezand-Sappemeer</t>
  </si>
  <si>
    <t>Hoorn</t>
  </si>
  <si>
    <t>Horst aan de Maas</t>
  </si>
  <si>
    <t>Houten</t>
  </si>
  <si>
    <t>Huizen</t>
  </si>
  <si>
    <t>Hulst</t>
  </si>
  <si>
    <t>IJsselstein</t>
  </si>
  <si>
    <t>Kaag en Braassem</t>
  </si>
  <si>
    <t>Kampen</t>
  </si>
  <si>
    <t>Kapelle</t>
  </si>
  <si>
    <t>Katwijk</t>
  </si>
  <si>
    <t>Kerkrade</t>
  </si>
  <si>
    <t>Koggenland</t>
  </si>
  <si>
    <t>Kollumerland en Nieuwkruisland</t>
  </si>
  <si>
    <t>Korendijk</t>
  </si>
  <si>
    <t>Krimpen aan den IJssel</t>
  </si>
  <si>
    <t>Krimpenerwaard</t>
  </si>
  <si>
    <t>Laarbeek</t>
  </si>
  <si>
    <t>Landerd</t>
  </si>
  <si>
    <t>Landgraaf</t>
  </si>
  <si>
    <t>Landsmeer</t>
  </si>
  <si>
    <t>Langedijk</t>
  </si>
  <si>
    <t>Lansingerland</t>
  </si>
  <si>
    <t>Laren</t>
  </si>
  <si>
    <t>Leek</t>
  </si>
  <si>
    <t>Leerdam</t>
  </si>
  <si>
    <t>Leeuwarden</t>
  </si>
  <si>
    <t>Leeuwarderadeel</t>
  </si>
  <si>
    <t>Leiden</t>
  </si>
  <si>
    <t>Leiderdorp</t>
  </si>
  <si>
    <t>Leidschendam-Voorburg</t>
  </si>
  <si>
    <t>Lelystad</t>
  </si>
  <si>
    <t>Leudal</t>
  </si>
  <si>
    <t>Leusden</t>
  </si>
  <si>
    <t>Lingewaal</t>
  </si>
  <si>
    <t>Lingewaard</t>
  </si>
  <si>
    <t>Lisse</t>
  </si>
  <si>
    <t>Littenseradiel</t>
  </si>
  <si>
    <t>Lochem</t>
  </si>
  <si>
    <t>Loon op Zand</t>
  </si>
  <si>
    <t>Lopik</t>
  </si>
  <si>
    <t>Loppersum</t>
  </si>
  <si>
    <t>Losser</t>
  </si>
  <si>
    <t>Maasdriel</t>
  </si>
  <si>
    <t>Maasgouw</t>
  </si>
  <si>
    <t>Maassluis</t>
  </si>
  <si>
    <t>Maastricht</t>
  </si>
  <si>
    <t>Marum</t>
  </si>
  <si>
    <t>Medemblik</t>
  </si>
  <si>
    <t>Meerssen</t>
  </si>
  <si>
    <t>Menameradiel</t>
  </si>
  <si>
    <t>Menterwolde</t>
  </si>
  <si>
    <t>Meppel</t>
  </si>
  <si>
    <t>Middelburg</t>
  </si>
  <si>
    <t>Midden-Delfland</t>
  </si>
  <si>
    <t>Midden-Drenthe</t>
  </si>
  <si>
    <t>Mill en Sint Hubert</t>
  </si>
  <si>
    <t>Moerdijk</t>
  </si>
  <si>
    <t>Molenwaard</t>
  </si>
  <si>
    <t>Montferland</t>
  </si>
  <si>
    <t>Montfoort</t>
  </si>
  <si>
    <t>Mook en Middelaar</t>
  </si>
  <si>
    <t>Muiden</t>
  </si>
  <si>
    <t>Naarden</t>
  </si>
  <si>
    <t>Neder-Betuwe</t>
  </si>
  <si>
    <t>Nederweert</t>
  </si>
  <si>
    <t>Neerijnen</t>
  </si>
  <si>
    <t>Nieuwegein</t>
  </si>
  <si>
    <t>Nieuwkoop</t>
  </si>
  <si>
    <t>Nijkerk</t>
  </si>
  <si>
    <t>Nijmegen</t>
  </si>
  <si>
    <t>Nissewaard</t>
  </si>
  <si>
    <t>Noord-Beveland</t>
  </si>
  <si>
    <t>Noordenveld</t>
  </si>
  <si>
    <t>Noordoostpolder</t>
  </si>
  <si>
    <t>Noordwijk</t>
  </si>
  <si>
    <t>Noordwijkerhout</t>
  </si>
  <si>
    <t>Nuenen, Gerwen en Nederwetten</t>
  </si>
  <si>
    <t>Nunspeet</t>
  </si>
  <si>
    <t>Nuth</t>
  </si>
  <si>
    <t>Oegstgeest</t>
  </si>
  <si>
    <t>Oirschot</t>
  </si>
  <si>
    <t>Oisterwijk</t>
  </si>
  <si>
    <t>Oldambt</t>
  </si>
  <si>
    <t>Oldebroek</t>
  </si>
  <si>
    <t>Oldenzaal</t>
  </si>
  <si>
    <t>Olst-Wijhe</t>
  </si>
  <si>
    <t>Ommen</t>
  </si>
  <si>
    <t>Onderbanken</t>
  </si>
  <si>
    <t>Oost Gelre</t>
  </si>
  <si>
    <t>Oosterhout</t>
  </si>
  <si>
    <t>Ooststellingwerf</t>
  </si>
  <si>
    <t>Oostzaan</t>
  </si>
  <si>
    <t>Opmeer</t>
  </si>
  <si>
    <t>Opsterland</t>
  </si>
  <si>
    <t>Oss</t>
  </si>
  <si>
    <t>Oud-Beijerland</t>
  </si>
  <si>
    <t>Oude IJsselstreek</t>
  </si>
  <si>
    <t>Ouder-Amstel</t>
  </si>
  <si>
    <t>Oudewater</t>
  </si>
  <si>
    <t>Overbetuwe</t>
  </si>
  <si>
    <t>Papendrecht</t>
  </si>
  <si>
    <t>Peel en Maas</t>
  </si>
  <si>
    <t>Pekela</t>
  </si>
  <si>
    <t>Pijnacker-Nootdorp</t>
  </si>
  <si>
    <t>Purmerend</t>
  </si>
  <si>
    <t>Putten</t>
  </si>
  <si>
    <t>Raalte</t>
  </si>
  <si>
    <t>Reimerswaal</t>
  </si>
  <si>
    <t>Renkum</t>
  </si>
  <si>
    <t>Renswoude</t>
  </si>
  <si>
    <t>Reusel-De Mierden</t>
  </si>
  <si>
    <t>Rheden</t>
  </si>
  <si>
    <t>Rhenen</t>
  </si>
  <si>
    <t>Ridderkerk</t>
  </si>
  <si>
    <t>Rijnwaarden</t>
  </si>
  <si>
    <t>Rijssen-Holten</t>
  </si>
  <si>
    <t>Rijswijk</t>
  </si>
  <si>
    <t>Roerdalen</t>
  </si>
  <si>
    <t>Roermond</t>
  </si>
  <si>
    <t>Roosendaal</t>
  </si>
  <si>
    <t>Rozendaal</t>
  </si>
  <si>
    <t>Rucphen</t>
  </si>
  <si>
    <t>Schagen</t>
  </si>
  <si>
    <t>Scherpenzeel</t>
  </si>
  <si>
    <t>Schiedam</t>
  </si>
  <si>
    <t>Schiermonnikoog</t>
  </si>
  <si>
    <t>Schijndel</t>
  </si>
  <si>
    <t>Schinnen</t>
  </si>
  <si>
    <t>Schouwen-Duiveland</t>
  </si>
  <si>
    <t>'s-Gravenhage</t>
  </si>
  <si>
    <t>'s-Hertogenbosch</t>
  </si>
  <si>
    <t>Simpelveld</t>
  </si>
  <si>
    <t>Sint Anthonis</t>
  </si>
  <si>
    <t>Sint-Michielsgestel</t>
  </si>
  <si>
    <t>Sint-Oedenrode</t>
  </si>
  <si>
    <t>Sittard-Geleen</t>
  </si>
  <si>
    <t>Sliedrecht</t>
  </si>
  <si>
    <t>Slochteren</t>
  </si>
  <si>
    <t>Sluis</t>
  </si>
  <si>
    <t>Smallingerland</t>
  </si>
  <si>
    <t>Soest</t>
  </si>
  <si>
    <t>Someren</t>
  </si>
  <si>
    <t>Son en Breugel</t>
  </si>
  <si>
    <t>Stadskanaal</t>
  </si>
  <si>
    <t>Staphorst</t>
  </si>
  <si>
    <t>Stede Broec</t>
  </si>
  <si>
    <t>Steenbergen</t>
  </si>
  <si>
    <t>Steenwijkerland</t>
  </si>
  <si>
    <t>Stein</t>
  </si>
  <si>
    <t>Stichtse Vecht</t>
  </si>
  <si>
    <t>Strijen</t>
  </si>
  <si>
    <t>Súdwest Fryslân</t>
  </si>
  <si>
    <t>Ten Boer</t>
  </si>
  <si>
    <t>Terneuzen</t>
  </si>
  <si>
    <t>Terschelling</t>
  </si>
  <si>
    <t>Texel</t>
  </si>
  <si>
    <t>Teylingen</t>
  </si>
  <si>
    <t>Tholen</t>
  </si>
  <si>
    <t>Tiel</t>
  </si>
  <si>
    <t>Tilburg</t>
  </si>
  <si>
    <t>Tubbergen</t>
  </si>
  <si>
    <t>Twenterand</t>
  </si>
  <si>
    <t>Tynaarlo</t>
  </si>
  <si>
    <t>Tytsjerksteradiel</t>
  </si>
  <si>
    <t>Uden</t>
  </si>
  <si>
    <t>Uitgeest</t>
  </si>
  <si>
    <t>Uithoorn</t>
  </si>
  <si>
    <t>Urk</t>
  </si>
  <si>
    <t>Utrechtse Heuvelrug</t>
  </si>
  <si>
    <t>Vaals</t>
  </si>
  <si>
    <t>Valkenburg aan de Geul</t>
  </si>
  <si>
    <t>Valkenswaard</t>
  </si>
  <si>
    <t>Veendam</t>
  </si>
  <si>
    <t>Veenendaal</t>
  </si>
  <si>
    <t>Veere</t>
  </si>
  <si>
    <t>Veghel</t>
  </si>
  <si>
    <t>Veldhoven</t>
  </si>
  <si>
    <t>Velsen</t>
  </si>
  <si>
    <t>Venlo</t>
  </si>
  <si>
    <t>Venray</t>
  </si>
  <si>
    <t>Vianen</t>
  </si>
  <si>
    <t>Vlaardingen</t>
  </si>
  <si>
    <t>Vlagtwedde</t>
  </si>
  <si>
    <t>Vlieland</t>
  </si>
  <si>
    <t>Vlissingen</t>
  </si>
  <si>
    <t>Voerendaal</t>
  </si>
  <si>
    <t>Voorschoten</t>
  </si>
  <si>
    <t>Voorst</t>
  </si>
  <si>
    <t>Vught</t>
  </si>
  <si>
    <t>Waalre</t>
  </si>
  <si>
    <t>Waalwijk</t>
  </si>
  <si>
    <t>Waddinxveen</t>
  </si>
  <si>
    <t>Wageningen</t>
  </si>
  <si>
    <t>Wassenaar</t>
  </si>
  <si>
    <t>Waterland</t>
  </si>
  <si>
    <t>Weert</t>
  </si>
  <si>
    <t>Weesp</t>
  </si>
  <si>
    <t>Werkendam</t>
  </si>
  <si>
    <t>West Maas en Waal</t>
  </si>
  <si>
    <t>Westerveld</t>
  </si>
  <si>
    <t>Westervoort</t>
  </si>
  <si>
    <t>Westland</t>
  </si>
  <si>
    <t>Weststellingwerf</t>
  </si>
  <si>
    <t>Westvoorne</t>
  </si>
  <si>
    <t>Wierden</t>
  </si>
  <si>
    <t>Wijchen</t>
  </si>
  <si>
    <t>Wijdemeren</t>
  </si>
  <si>
    <t>Wijk bij Duurstede</t>
  </si>
  <si>
    <t>Winsum</t>
  </si>
  <si>
    <t>Winterswijk</t>
  </si>
  <si>
    <t>Woensdrecht</t>
  </si>
  <si>
    <t>Woerden</t>
  </si>
  <si>
    <t>Wormerland</t>
  </si>
  <si>
    <t>Woudenberg</t>
  </si>
  <si>
    <t>Woudrichem</t>
  </si>
  <si>
    <t>Zaanstad</t>
  </si>
  <si>
    <t>Zaltbommel</t>
  </si>
  <si>
    <t>Zandvoort</t>
  </si>
  <si>
    <t>Zederik</t>
  </si>
  <si>
    <t>Zeevang</t>
  </si>
  <si>
    <t>Zeewolde</t>
  </si>
  <si>
    <t>Zeist</t>
  </si>
  <si>
    <t>Zevenaar</t>
  </si>
  <si>
    <t>Zoetermeer</t>
  </si>
  <si>
    <t>Zoeterwoude</t>
  </si>
  <si>
    <t>Zuidhorn</t>
  </si>
  <si>
    <t>Zuidplas</t>
  </si>
  <si>
    <t>Zundert</t>
  </si>
  <si>
    <t>Zutphen</t>
  </si>
  <si>
    <t>Zwartewaterland</t>
  </si>
  <si>
    <t>Zwijndrecht</t>
  </si>
  <si>
    <t>Zwolle</t>
  </si>
  <si>
    <t>Tabel 18 : Verkoopkosten</t>
  </si>
  <si>
    <t>Verkoopkosten</t>
  </si>
  <si>
    <t>x leegwaarde</t>
  </si>
  <si>
    <t>Disconteringsvoet</t>
  </si>
  <si>
    <t>Opslag referentie</t>
  </si>
  <si>
    <t>Opslag object</t>
  </si>
  <si>
    <t>Tabel 19 : Opbouw disconteringsvoet</t>
  </si>
  <si>
    <t>Risicovrije rentevoet</t>
  </si>
  <si>
    <t>Vastgoed sectorspecifieke opslag</t>
  </si>
  <si>
    <t>Tabel 20 : Referentieobject (disconteringsvoet)</t>
  </si>
  <si>
    <t>Bouwperiode</t>
  </si>
  <si>
    <t>&lt; 1960</t>
  </si>
  <si>
    <t>Type verhuureenheid</t>
  </si>
  <si>
    <t>Regio</t>
  </si>
  <si>
    <t>West</t>
  </si>
  <si>
    <t>Tabel 21 : Effect bouwperiode (disconteringsvoet)</t>
  </si>
  <si>
    <t>Tabel 22 : Effect type verhuureenheid (disconteringsvoet)</t>
  </si>
  <si>
    <t>Tabel 23 : Effect regio (disconteringsvoet)</t>
  </si>
  <si>
    <t>Noord</t>
  </si>
  <si>
    <t>Oost</t>
  </si>
  <si>
    <t>Zuid</t>
  </si>
  <si>
    <t>Overig</t>
  </si>
  <si>
    <t>Tabel 24 : Overdrachtskosten (bij verkoop in verhuurde staat)</t>
  </si>
  <si>
    <t>Belastingen</t>
  </si>
  <si>
    <t>Kosten</t>
  </si>
  <si>
    <t>Totale overdrachtkosten</t>
  </si>
  <si>
    <t>Splitsingskosten</t>
  </si>
  <si>
    <t>Splitsingskosten per eenheid</t>
  </si>
  <si>
    <t>Huurderving (% van huursom)</t>
  </si>
  <si>
    <t>Verouderingskosten (voor restwaarde)</t>
  </si>
  <si>
    <t>Percentage van leegwaarde</t>
  </si>
  <si>
    <t>COROP-gebied</t>
  </si>
  <si>
    <t>Uitgangspunten conform MR 091215 (DAEB)</t>
  </si>
  <si>
    <t>Uitgangspunten conform MR 091215 (Niet-DAEB)</t>
  </si>
  <si>
    <t>Type woningen</t>
  </si>
  <si>
    <t>Gemeente</t>
  </si>
  <si>
    <t>Gebieden in Nederland 2014</t>
  </si>
  <si>
    <t>Onderwerpen</t>
  </si>
  <si>
    <t>Lokaliseringen van gemeenten</t>
  </si>
  <si>
    <t>Landelijk dekkende gebieden</t>
  </si>
  <si>
    <t>COROP-gebieden</t>
  </si>
  <si>
    <t>NUTS1-gebieden</t>
  </si>
  <si>
    <t>Code</t>
  </si>
  <si>
    <t>Naam</t>
  </si>
  <si>
    <t>Regio's</t>
  </si>
  <si>
    <t>code</t>
  </si>
  <si>
    <t>naam</t>
  </si>
  <si>
    <t>CR07</t>
  </si>
  <si>
    <t>NL1</t>
  </si>
  <si>
    <t>Noord-Nederland</t>
  </si>
  <si>
    <t>CR34</t>
  </si>
  <si>
    <t>NL4</t>
  </si>
  <si>
    <t>Zuid-Nederland</t>
  </si>
  <si>
    <t>CR23</t>
  </si>
  <si>
    <t>NL3</t>
  </si>
  <si>
    <t>West-Nederland</t>
  </si>
  <si>
    <t>CR14</t>
  </si>
  <si>
    <t>NL2</t>
  </si>
  <si>
    <t>Oost-Nederland</t>
  </si>
  <si>
    <t>CR04</t>
  </si>
  <si>
    <t>CR30</t>
  </si>
  <si>
    <t>CR29</t>
  </si>
  <si>
    <t>CR19</t>
  </si>
  <si>
    <t>CR12</t>
  </si>
  <si>
    <t>CR40</t>
  </si>
  <si>
    <t>CR28</t>
  </si>
  <si>
    <t>CR17</t>
  </si>
  <si>
    <t>CR13</t>
  </si>
  <si>
    <t>CR02</t>
  </si>
  <si>
    <t>CR15</t>
  </si>
  <si>
    <t>CR36</t>
  </si>
  <si>
    <t>CR03</t>
  </si>
  <si>
    <t>CR39</t>
  </si>
  <si>
    <t>CR37</t>
  </si>
  <si>
    <t>CR01</t>
  </si>
  <si>
    <t>CR33</t>
  </si>
  <si>
    <t>CR35</t>
  </si>
  <si>
    <t>CR20</t>
  </si>
  <si>
    <t>IJmond</t>
  </si>
  <si>
    <t>CR24</t>
  </si>
  <si>
    <t>CR21</t>
  </si>
  <si>
    <t>CR08</t>
  </si>
  <si>
    <t>CR32</t>
  </si>
  <si>
    <t>CR16</t>
  </si>
  <si>
    <t>Zuidwest-Gelderland</t>
  </si>
  <si>
    <t>CR10</t>
  </si>
  <si>
    <t>CR27</t>
  </si>
  <si>
    <t>CR11</t>
  </si>
  <si>
    <t>CR18</t>
  </si>
  <si>
    <t>CR38</t>
  </si>
  <si>
    <t>CR05</t>
  </si>
  <si>
    <t/>
  </si>
  <si>
    <t>CR26</t>
  </si>
  <si>
    <t>CR06</t>
  </si>
  <si>
    <t>CR25</t>
  </si>
  <si>
    <t>Agglomeratie Leiden en Bollenstreek</t>
  </si>
  <si>
    <t>CR09</t>
  </si>
  <si>
    <t>CR31</t>
  </si>
  <si>
    <t>Zeeuwsch-Vlaanderen</t>
  </si>
  <si>
    <t>CR22</t>
  </si>
  <si>
    <t>Doorexploiteren</t>
  </si>
  <si>
    <t>DAEB</t>
  </si>
  <si>
    <t>Niet-DAEB</t>
  </si>
  <si>
    <t>Jaar</t>
  </si>
  <si>
    <t>hulp</t>
  </si>
  <si>
    <t>Jaartal</t>
  </si>
  <si>
    <t>Aantal</t>
  </si>
  <si>
    <t>Netto</t>
  </si>
  <si>
    <t>Opbrengst</t>
  </si>
  <si>
    <t>Onderhouds</t>
  </si>
  <si>
    <t>Beheer</t>
  </si>
  <si>
    <t xml:space="preserve">Verhuurders </t>
  </si>
  <si>
    <t>Saldo</t>
  </si>
  <si>
    <t>Investering +</t>
  </si>
  <si>
    <t>NCW</t>
  </si>
  <si>
    <t>hulpkolom</t>
  </si>
  <si>
    <t>IRR</t>
  </si>
  <si>
    <t>kolom</t>
  </si>
  <si>
    <t>derving</t>
  </si>
  <si>
    <t>huur</t>
  </si>
  <si>
    <t>kosten</t>
  </si>
  <si>
    <t>heffing</t>
  </si>
  <si>
    <t>&amp; Verzekeringen</t>
  </si>
  <si>
    <t>exploitatie</t>
  </si>
  <si>
    <t>restwaarde</t>
  </si>
  <si>
    <t>Investering</t>
  </si>
  <si>
    <t>expl. / uitpond.</t>
  </si>
  <si>
    <t>totaal</t>
  </si>
  <si>
    <t>inbrengwaarde</t>
  </si>
  <si>
    <t>kk waarde</t>
  </si>
  <si>
    <t>Gemiddeld oppervlakte per woning m2 GBO</t>
  </si>
  <si>
    <t xml:space="preserve">Huuropbrengst per woning per maand </t>
  </si>
  <si>
    <t>Energierekening per woning per maand (na renovatie)</t>
  </si>
  <si>
    <t>Startjaar exploitatie</t>
  </si>
  <si>
    <t>Totaal</t>
  </si>
  <si>
    <t>Verloop DAEB en Niet-DAEB</t>
  </si>
  <si>
    <t>Mutatie</t>
  </si>
  <si>
    <t xml:space="preserve">Mutatie </t>
  </si>
  <si>
    <t>DAEB primo</t>
  </si>
  <si>
    <t>Energie</t>
  </si>
  <si>
    <t>Verkoop</t>
  </si>
  <si>
    <t>Mutatie-</t>
  </si>
  <si>
    <t xml:space="preserve">Bijzondere </t>
  </si>
  <si>
    <t>Eenmalige</t>
  </si>
  <si>
    <t>niet mut.</t>
  </si>
  <si>
    <t>primo</t>
  </si>
  <si>
    <t>ultimo</t>
  </si>
  <si>
    <t>opbrengst</t>
  </si>
  <si>
    <t>prestatie</t>
  </si>
  <si>
    <t xml:space="preserve">energie </t>
  </si>
  <si>
    <t>uitponden</t>
  </si>
  <si>
    <t>onderhoud</t>
  </si>
  <si>
    <t>uitgangspunten</t>
  </si>
  <si>
    <t>eenmalig</t>
  </si>
  <si>
    <t>investering</t>
  </si>
  <si>
    <t>Uitponden</t>
  </si>
  <si>
    <t>Contract huur</t>
  </si>
  <si>
    <t>Mutatiehuur</t>
  </si>
  <si>
    <t>Aantal primo</t>
  </si>
  <si>
    <t>Beoogde verkoop</t>
  </si>
  <si>
    <t>Daadwerkelijke verkopen</t>
  </si>
  <si>
    <t>Muterend naar mutatiehuur</t>
  </si>
  <si>
    <t>Verkopen vorig jaar</t>
  </si>
  <si>
    <t>Verkopen van vorig jaar</t>
  </si>
  <si>
    <t>Aantal ultimo</t>
  </si>
  <si>
    <t>Aantal DAEB</t>
  </si>
  <si>
    <t>Werkelijke verkoop</t>
  </si>
  <si>
    <t>Mutatie DAEB</t>
  </si>
  <si>
    <t>Mutatie Niet-DAEB</t>
  </si>
  <si>
    <t>Aantal Niet-DAEB</t>
  </si>
  <si>
    <t>DAEB ultimo</t>
  </si>
  <si>
    <t>Niet-DAEB primo</t>
  </si>
  <si>
    <t>Ultimo</t>
  </si>
  <si>
    <t xml:space="preserve">Hulp </t>
  </si>
  <si>
    <t>Mutatiegraad</t>
  </si>
  <si>
    <t>Max</t>
  </si>
  <si>
    <t>Hulp</t>
  </si>
  <si>
    <t>doorexploiteren</t>
  </si>
  <si>
    <t>Verkopen</t>
  </si>
  <si>
    <t>Complexwaardering &amp; Investeringsbeoordeling</t>
  </si>
  <si>
    <t>Type marktwaardering</t>
  </si>
  <si>
    <t>Basis</t>
  </si>
  <si>
    <t>Projectgegevens</t>
  </si>
  <si>
    <t xml:space="preserve">Beleid </t>
  </si>
  <si>
    <t>Provincie</t>
  </si>
  <si>
    <t>Marktwaarde verhuurde staat (via waarderingsprotocol)</t>
  </si>
  <si>
    <t>Aanvullende gegevens t.b.v. beleidswaarde &amp; bedrijfswaarde</t>
  </si>
  <si>
    <t>Scenario gegevens</t>
  </si>
  <si>
    <t>Aantal vastgoedeenheden</t>
  </si>
  <si>
    <t>Disconteringsvoet methode (bij FULL)</t>
  </si>
  <si>
    <t>Matrix</t>
  </si>
  <si>
    <t>Aantal DAEB voor verhuurdersheffing</t>
  </si>
  <si>
    <t xml:space="preserve">Disconteringsvoet </t>
  </si>
  <si>
    <t>Restwaarde</t>
  </si>
  <si>
    <t>blad "reeks"</t>
  </si>
  <si>
    <t>Exploitatieduur in jaren vanaf start exploitatie</t>
  </si>
  <si>
    <t>Type</t>
  </si>
  <si>
    <t>Rendementseis beleidswaarde</t>
  </si>
  <si>
    <t>GBO</t>
  </si>
  <si>
    <t>Huidig jaar</t>
  </si>
  <si>
    <t>Doorlooptijd verkopen (maanden)</t>
  </si>
  <si>
    <t>WOZ-waarde per 1-1-2014</t>
  </si>
  <si>
    <t>Exploitatie opbrengsten</t>
  </si>
  <si>
    <t>Contracthuur (maand) bij oplevering nieuwbouw/renovatie</t>
  </si>
  <si>
    <t>Maximaal redelijke huur</t>
  </si>
  <si>
    <t>Markthuur methode (bij FULL)</t>
  </si>
  <si>
    <t>Percentage max.redelijk</t>
  </si>
  <si>
    <t>Kosten koper belegger (percentage)</t>
  </si>
  <si>
    <t>Streefhuur (maand) (huur na mutatie  in beleidsvariant)</t>
  </si>
  <si>
    <t>Huurderving (alleen bedrijfswaarde)</t>
  </si>
  <si>
    <t>Zowel doorexploiteren als uitponden meenemen in restwaarde?</t>
  </si>
  <si>
    <t>EPV voor huidige huurders</t>
  </si>
  <si>
    <t>Positionering bij mutatie (DAEB/niet-DAEB)</t>
  </si>
  <si>
    <t>EPV na mutatie</t>
  </si>
  <si>
    <t>Stichtingskosten</t>
  </si>
  <si>
    <t>Opbouw stichtingskosten (per woning)</t>
  </si>
  <si>
    <t>Exploitatie kosten</t>
  </si>
  <si>
    <t>Mutatieonderhoud doorexploitatie</t>
  </si>
  <si>
    <t>Beheerkosten</t>
  </si>
  <si>
    <t>Belastingen &amp; verzekeringen</t>
  </si>
  <si>
    <r>
      <t xml:space="preserve">Huidige marktwaarde complex </t>
    </r>
    <r>
      <rPr>
        <sz val="11"/>
        <color theme="1"/>
        <rFont val="Calibri"/>
        <family val="2"/>
        <scheme val="minor"/>
      </rPr>
      <t>(inbrengwaarde)</t>
    </r>
  </si>
  <si>
    <r>
      <t xml:space="preserve">Huidige bedrijfswaardewaarde complex </t>
    </r>
    <r>
      <rPr>
        <sz val="11"/>
        <rFont val="Calibri"/>
        <family val="2"/>
        <scheme val="minor"/>
      </rPr>
      <t>(inbrengwaarde)</t>
    </r>
  </si>
  <si>
    <t>Investering + resultaat GREX</t>
  </si>
  <si>
    <t>Eenmalige kosten</t>
  </si>
  <si>
    <t>Achterstallig onderhoud</t>
  </si>
  <si>
    <t>Kasstroom investering</t>
  </si>
  <si>
    <t>Jaar start bouw</t>
  </si>
  <si>
    <t>Vaste prijs</t>
  </si>
  <si>
    <t>Ja</t>
  </si>
  <si>
    <t>kasstroom% jr startbouw</t>
  </si>
  <si>
    <t>kasstroom% jr startbouw+1</t>
  </si>
  <si>
    <t>Kortlopende rente</t>
  </si>
  <si>
    <t>Algemene parameters</t>
  </si>
  <si>
    <t>Parameters Marktwaarde Verhuurde Staat</t>
  </si>
  <si>
    <t>Parameters Bedrijfswaarde</t>
  </si>
  <si>
    <t>Mutatie uit</t>
  </si>
  <si>
    <t>Mutatie Door</t>
  </si>
  <si>
    <t>Max te verkopen</t>
  </si>
  <si>
    <t>Prijs Cum</t>
  </si>
  <si>
    <t>Bouwkosteninflatie</t>
  </si>
  <si>
    <t>Bouw Cum</t>
  </si>
  <si>
    <t>Looninflatie</t>
  </si>
  <si>
    <t>Loon Cum</t>
  </si>
  <si>
    <t>Waardestijging</t>
  </si>
  <si>
    <t>Cum waardest</t>
  </si>
  <si>
    <t>Huurverhoging contracthuur</t>
  </si>
  <si>
    <t>Contracthuur</t>
  </si>
  <si>
    <t>Huurtoeslaggrens</t>
  </si>
  <si>
    <t>Max redelijke huur</t>
  </si>
  <si>
    <t>Streefhuur</t>
  </si>
  <si>
    <t>Ontw contracthuur</t>
  </si>
  <si>
    <t>Ontw streef</t>
  </si>
  <si>
    <t>EPV Huidig</t>
  </si>
  <si>
    <t xml:space="preserve">Huurverhoging </t>
  </si>
  <si>
    <t>Hulp mutatie</t>
  </si>
  <si>
    <t>&gt; Inflatie</t>
  </si>
  <si>
    <t>Cum</t>
  </si>
  <si>
    <t>1 jan</t>
  </si>
  <si>
    <t>MVS</t>
  </si>
  <si>
    <t>Beleid</t>
  </si>
  <si>
    <t>tbv BW</t>
  </si>
  <si>
    <t>inflatie</t>
  </si>
  <si>
    <t>Per woning</t>
  </si>
  <si>
    <t xml:space="preserve">Investering </t>
  </si>
  <si>
    <t xml:space="preserve">Aantal Niet-DAEB </t>
  </si>
  <si>
    <t>Gemeentenaam</t>
  </si>
  <si>
    <t>Provincienaam</t>
  </si>
  <si>
    <t>WOZ/Leegwaarde per 1-1-2016</t>
  </si>
  <si>
    <t>Markhuur per 1-1-2016</t>
  </si>
  <si>
    <t>Belasting en verzekeringen</t>
  </si>
  <si>
    <t>Aanschaf</t>
  </si>
  <si>
    <t>Verbetering bezit</t>
  </si>
  <si>
    <t>Vreemd vermogen</t>
  </si>
  <si>
    <t>Type lening</t>
  </si>
  <si>
    <t>Annuitair</t>
  </si>
  <si>
    <t>annuitair</t>
  </si>
  <si>
    <t>lineair</t>
  </si>
  <si>
    <t>DSCR</t>
  </si>
  <si>
    <t>&lt;Liberalisatiegrens Waarde</t>
  </si>
  <si>
    <t>&gt;Liberalisatiegrens Waarde</t>
  </si>
  <si>
    <t>&lt; Liberalisatiegrens</t>
  </si>
  <si>
    <t>&gt; Liberalisatiegrens</t>
  </si>
  <si>
    <t>ICR norm</t>
  </si>
  <si>
    <t>DSCR norm</t>
  </si>
  <si>
    <t>LTV</t>
  </si>
  <si>
    <t>Solvabiliteit norm</t>
  </si>
  <si>
    <t>LTV norm</t>
  </si>
  <si>
    <t>Loan-to-Value</t>
  </si>
  <si>
    <t>Besparing op renovatie dankzij inzet deelnemers</t>
  </si>
  <si>
    <t>Inbreng eigen vermogen</t>
  </si>
  <si>
    <t>Totaal inbreng eigen vermogen</t>
  </si>
  <si>
    <t>Somproduct</t>
  </si>
  <si>
    <t>Autonome waardemutatie</t>
  </si>
  <si>
    <t>Resultaat (des)investeringen</t>
  </si>
  <si>
    <t>BAR</t>
  </si>
  <si>
    <t>NAR</t>
  </si>
  <si>
    <t>10 jaars gem.</t>
  </si>
  <si>
    <t>&gt; liberalisatiegrens</t>
  </si>
  <si>
    <t>Bron: CBS</t>
  </si>
  <si>
    <t>E-label</t>
  </si>
  <si>
    <t>A</t>
  </si>
  <si>
    <t>B</t>
  </si>
  <si>
    <t>D</t>
  </si>
  <si>
    <t>E</t>
  </si>
  <si>
    <t>F</t>
  </si>
  <si>
    <t>Kosten per m2</t>
  </si>
  <si>
    <t>Gas</t>
  </si>
  <si>
    <t>Elektra</t>
  </si>
  <si>
    <t>Gas p</t>
  </si>
  <si>
    <t>Elektra p</t>
  </si>
  <si>
    <t>Bron</t>
  </si>
  <si>
    <t>TU</t>
  </si>
  <si>
    <t>ECN</t>
  </si>
  <si>
    <t>http://www.bk.tudelft.nl/fileadmin/Faculteit/BK/Over_de_faculteit/Afdelingen/OTB/publicaties/Rapporten/2014_OTB-TU-Delft-Relatie-tussen-energielabel-en-werkelijk-energiegebruik.pdf</t>
  </si>
  <si>
    <t>Energiebesparing een samenspel van woning en bewoner</t>
  </si>
  <si>
    <t>Rendement op EV</t>
  </si>
  <si>
    <t>Taxatierapport met marktwaarde beschikbaar</t>
  </si>
  <si>
    <t xml:space="preserve">Marktwaarde  </t>
  </si>
  <si>
    <t>Investering per jaar</t>
  </si>
  <si>
    <t>Beheerlasten cooperatie per woning</t>
  </si>
  <si>
    <t>Planmatig onderhoud (niet achterstallig)</t>
  </si>
  <si>
    <t>Autonome waardeontwikkeling</t>
  </si>
  <si>
    <t>Marktwaarde primo</t>
  </si>
  <si>
    <t>Marktwaarde na investering</t>
  </si>
  <si>
    <t>Marktwaarde ultimo</t>
  </si>
  <si>
    <t>Gemiddeld rendement eigen vermogen eerste 10 jaar</t>
  </si>
  <si>
    <t>Nee</t>
  </si>
  <si>
    <t>Naam complex</t>
  </si>
  <si>
    <t>Deel per jaar uitgevoerd</t>
  </si>
  <si>
    <t>onbekend</t>
  </si>
  <si>
    <t>Waardestijging door investering</t>
  </si>
  <si>
    <t>Totaal aanschaf</t>
  </si>
  <si>
    <t xml:space="preserve">WOZ-waarde </t>
  </si>
  <si>
    <t>Achterstallig onderhoud meegenomen in WOZ-waarde?</t>
  </si>
  <si>
    <t>WOZ-waardestijging bij wegwerken achterstallig onderhoud</t>
  </si>
  <si>
    <t>Rentebaten</t>
  </si>
  <si>
    <t>Normen ratio's</t>
  </si>
  <si>
    <t>Ratio's</t>
  </si>
  <si>
    <t xml:space="preserve">ICR </t>
  </si>
  <si>
    <t>project</t>
  </si>
  <si>
    <t>Dagelijks onderhoud</t>
  </si>
  <si>
    <t>Mutatieonderhoud</t>
  </si>
  <si>
    <t>Aantal onverhuurde woningen</t>
  </si>
  <si>
    <t>Marktwaarde na eerste verhuur (verhuurde woningen)</t>
  </si>
  <si>
    <t>Marktwaarde na eerste verhuur (totaal)</t>
  </si>
  <si>
    <t>Jaar van uitvoering renovatie</t>
  </si>
  <si>
    <t xml:space="preserve">Renovatiekosten  </t>
  </si>
  <si>
    <t xml:space="preserve">Aantal verhuurde woningen  </t>
  </si>
  <si>
    <t>Totaal aantal woningen</t>
  </si>
  <si>
    <t>Marktwaarde in verhuurde staat als % van de leegwaarde</t>
  </si>
  <si>
    <t>Leegwaarde per woning in opgeknapte staat</t>
  </si>
  <si>
    <t>Marktwaarde na eerste verhuur per woning in opgeknapte staat</t>
  </si>
  <si>
    <t>Minimale aanschafprijs</t>
  </si>
  <si>
    <t>Renovatiekosten per woning (getaxeerd)</t>
  </si>
  <si>
    <t>Waardestijging door renovatie als % renovatiekosten</t>
  </si>
  <si>
    <t>Leegwaarde (onverhuurde woningen)</t>
  </si>
  <si>
    <t>Resterende renovatiekosten</t>
  </si>
  <si>
    <t>Besparing op jaarlijkse lasten dankzij inzet deelnemers</t>
  </si>
  <si>
    <t>Parameters Algemeen</t>
  </si>
  <si>
    <t>Huurverhoging boven inflatie</t>
  </si>
  <si>
    <t>vanaf 2019 geindexeerd met prijsinflatie</t>
  </si>
  <si>
    <t>Rente lang (IRS 10-jaars 03-08-16)</t>
  </si>
  <si>
    <t>Rente kort (IRS 1-jaars 03-08-16)</t>
  </si>
  <si>
    <t>toelichting</t>
  </si>
  <si>
    <t>Opslag rente vreemd vermogen (%)</t>
  </si>
  <si>
    <t>Rente vreemd vermogen</t>
  </si>
  <si>
    <t>IRS 1-jaars in 2016 -0,19%, 2017 -0,21%, 2018 -0,18%, 2019 -0,08%, 2020 0,1% en 2021 0,33%</t>
  </si>
  <si>
    <t>IRS 10-jaars in 2016 0,33%, 2017 0,48%, 2018 0,63%, 2019 0,77%, 2020 0,91% en 2021 1,03%</t>
  </si>
  <si>
    <t>Rente liquide middelen</t>
  </si>
  <si>
    <t>Parameters woningen &lt; liberalisatiegrens</t>
  </si>
  <si>
    <t>Parameters woningen &gt; liberalisatiegrens</t>
  </si>
  <si>
    <t>Huurderving jaar 1</t>
  </si>
  <si>
    <t>Huurderving jaar 2</t>
  </si>
  <si>
    <t>2011 en verder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</si>
</sst>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 &quot;€&quot;\ * #,##0_ ;_ &quot;€&quot;\ * \-#,##0_ ;_ &quot;€&quot;\ * &quot;-&quot;??_ ;_ @_ "/>
    <numFmt numFmtId="165" formatCode="0.0%"/>
    <numFmt numFmtId="166" formatCode="&quot;€&quot;\ #,##0"/>
    <numFmt numFmtId="167" formatCode="0.0"/>
    <numFmt numFmtId="168" formatCode="0_ ;\-0\ "/>
    <numFmt numFmtId="169" formatCode="#,##0.0"/>
    <numFmt numFmtId="170" formatCode="#,##0.000"/>
    <numFmt numFmtId="171" formatCode="_-* #,##0_-;_-* #,##0\-;_-* &quot;-&quot;??_-;_-@_-"/>
    <numFmt numFmtId="172" formatCode="&quot;€&quot;\ #,##0.00"/>
    <numFmt numFmtId="173" formatCode="0.0000%"/>
    <numFmt numFmtId="174" formatCode="_ [$€-413]\ * #,##0_ ;_ [$€-413]\ * \-#,##0_ ;_ [$€-413]\ * &quot;-&quot;??_ ;_ @_ "/>
    <numFmt numFmtId="175" formatCode="_ * #,##0_ ;_ * \-#,##0_ ;_ * &quot;-&quot;??_ ;_ @_ "/>
    <numFmt numFmtId="176" formatCode="0.00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i/>
      <sz val="11"/>
      <color theme="0" tint="-0.249977111117893"/>
      <name val="Calibri"/>
      <family val="2"/>
    </font>
    <font>
      <i/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Times New Roman"/>
      <family val="1"/>
      <charset val="204"/>
    </font>
    <font>
      <sz val="11"/>
      <color theme="0" tint="-0.34998626667073579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2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EDA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10" borderId="5" applyNumberFormat="0" applyAlignment="0" applyProtection="0"/>
  </cellStyleXfs>
  <cellXfs count="412">
    <xf numFmtId="0" fontId="0" fillId="0" borderId="0" xfId="0"/>
    <xf numFmtId="0" fontId="3" fillId="0" borderId="0" xfId="0" applyFont="1"/>
    <xf numFmtId="0" fontId="0" fillId="0" borderId="0" xfId="0" applyFill="1"/>
    <xf numFmtId="165" fontId="0" fillId="0" borderId="0" xfId="2" applyNumberFormat="1" applyFont="1"/>
    <xf numFmtId="0" fontId="2" fillId="3" borderId="0" xfId="0" applyFont="1" applyFill="1"/>
    <xf numFmtId="0" fontId="0" fillId="0" borderId="0" xfId="0" applyFont="1"/>
    <xf numFmtId="0" fontId="7" fillId="4" borderId="0" xfId="0" applyFont="1" applyFill="1"/>
    <xf numFmtId="1" fontId="7" fillId="4" borderId="0" xfId="0" applyNumberFormat="1" applyFont="1" applyFill="1"/>
    <xf numFmtId="0" fontId="7" fillId="0" borderId="0" xfId="0" applyFont="1" applyFill="1"/>
    <xf numFmtId="0" fontId="7" fillId="3" borderId="0" xfId="0" applyFont="1" applyFill="1"/>
    <xf numFmtId="0" fontId="8" fillId="0" borderId="0" xfId="0" applyFont="1"/>
    <xf numFmtId="166" fontId="0" fillId="0" borderId="0" xfId="0" applyNumberFormat="1"/>
    <xf numFmtId="166" fontId="0" fillId="0" borderId="0" xfId="0" applyNumberFormat="1" applyFill="1"/>
    <xf numFmtId="166" fontId="3" fillId="0" borderId="0" xfId="0" applyNumberFormat="1" applyFont="1"/>
    <xf numFmtId="166" fontId="3" fillId="0" borderId="0" xfId="0" applyNumberFormat="1" applyFont="1" applyFill="1"/>
    <xf numFmtId="0" fontId="3" fillId="0" borderId="0" xfId="0" applyFont="1" applyFill="1"/>
    <xf numFmtId="0" fontId="8" fillId="0" borderId="0" xfId="0" applyFont="1" applyFill="1"/>
    <xf numFmtId="0" fontId="9" fillId="0" borderId="0" xfId="0" applyFont="1"/>
    <xf numFmtId="166" fontId="9" fillId="0" borderId="0" xfId="0" applyNumberFormat="1" applyFont="1"/>
    <xf numFmtId="0" fontId="4" fillId="0" borderId="0" xfId="0" applyFont="1" applyFill="1" applyAlignment="1"/>
    <xf numFmtId="0" fontId="4" fillId="3" borderId="0" xfId="0" applyFont="1" applyFill="1" applyAlignment="1"/>
    <xf numFmtId="0" fontId="10" fillId="0" borderId="0" xfId="0" applyFont="1"/>
    <xf numFmtId="166" fontId="10" fillId="0" borderId="0" xfId="0" applyNumberFormat="1" applyFont="1"/>
    <xf numFmtId="0" fontId="2" fillId="5" borderId="0" xfId="0" applyFont="1" applyFill="1" applyProtection="1">
      <protection hidden="1"/>
    </xf>
    <xf numFmtId="0" fontId="1" fillId="0" borderId="0" xfId="0" applyFont="1"/>
    <xf numFmtId="0" fontId="1" fillId="0" borderId="0" xfId="0" applyFont="1" applyFill="1"/>
    <xf numFmtId="0" fontId="2" fillId="0" borderId="0" xfId="0" applyFont="1" applyFill="1"/>
    <xf numFmtId="0" fontId="11" fillId="6" borderId="0" xfId="0" applyFont="1" applyFill="1" applyAlignment="1" applyProtection="1">
      <alignment horizontal="left"/>
      <protection hidden="1"/>
    </xf>
    <xf numFmtId="0" fontId="11" fillId="6" borderId="0" xfId="0" applyFont="1" applyFill="1" applyAlignment="1" applyProtection="1">
      <alignment horizontal="right"/>
      <protection hidden="1"/>
    </xf>
    <xf numFmtId="10" fontId="1" fillId="0" borderId="0" xfId="2" applyNumberFormat="1" applyFont="1" applyAlignment="1">
      <alignment horizontal="right"/>
    </xf>
    <xf numFmtId="165" fontId="1" fillId="0" borderId="0" xfId="2" applyNumberFormat="1" applyFont="1" applyAlignment="1">
      <alignment horizontal="right"/>
    </xf>
    <xf numFmtId="0" fontId="1" fillId="0" borderId="0" xfId="0" applyFont="1" applyFill="1" applyAlignment="1">
      <alignment horizontal="right"/>
    </xf>
    <xf numFmtId="165" fontId="1" fillId="0" borderId="0" xfId="2" applyNumberFormat="1" applyFont="1"/>
    <xf numFmtId="0" fontId="1" fillId="0" borderId="0" xfId="0" applyFont="1" applyBorder="1"/>
    <xf numFmtId="10" fontId="1" fillId="0" borderId="0" xfId="0" applyNumberFormat="1" applyFont="1"/>
    <xf numFmtId="10" fontId="1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/>
    </xf>
    <xf numFmtId="9" fontId="1" fillId="0" borderId="0" xfId="0" applyNumberFormat="1" applyFont="1"/>
    <xf numFmtId="0" fontId="1" fillId="0" borderId="0" xfId="0" applyFont="1" applyAlignment="1">
      <alignment horizontal="left"/>
    </xf>
    <xf numFmtId="10" fontId="1" fillId="0" borderId="0" xfId="2" applyNumberFormat="1" applyFont="1"/>
    <xf numFmtId="164" fontId="14" fillId="0" borderId="0" xfId="1" applyNumberFormat="1" applyFont="1"/>
    <xf numFmtId="0" fontId="14" fillId="0" borderId="0" xfId="0" applyFont="1"/>
    <xf numFmtId="10" fontId="14" fillId="0" borderId="0" xfId="0" applyNumberFormat="1" applyFont="1" applyFill="1"/>
    <xf numFmtId="0" fontId="13" fillId="0" borderId="0" xfId="0" applyFont="1" applyBorder="1" applyAlignment="1">
      <alignment vertical="top" wrapText="1"/>
    </xf>
    <xf numFmtId="168" fontId="14" fillId="0" borderId="0" xfId="3" applyNumberFormat="1" applyFont="1"/>
    <xf numFmtId="0" fontId="2" fillId="0" borderId="0" xfId="0" applyFont="1" applyFill="1" applyProtection="1">
      <protection hidden="1"/>
    </xf>
    <xf numFmtId="10" fontId="1" fillId="0" borderId="0" xfId="2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1" applyNumberFormat="1" applyFont="1"/>
    <xf numFmtId="168" fontId="1" fillId="0" borderId="0" xfId="0" applyNumberFormat="1" applyFont="1"/>
    <xf numFmtId="164" fontId="14" fillId="0" borderId="0" xfId="3" applyNumberFormat="1" applyFont="1"/>
    <xf numFmtId="10" fontId="14" fillId="0" borderId="0" xfId="2" applyNumberFormat="1" applyFont="1"/>
    <xf numFmtId="0" fontId="1" fillId="7" borderId="0" xfId="0" applyFont="1" applyFill="1"/>
    <xf numFmtId="10" fontId="1" fillId="7" borderId="0" xfId="2" applyNumberFormat="1" applyFont="1" applyFill="1"/>
    <xf numFmtId="10" fontId="11" fillId="6" borderId="0" xfId="0" applyNumberFormat="1" applyFont="1" applyFill="1" applyAlignment="1" applyProtection="1">
      <alignment horizontal="right"/>
      <protection hidden="1"/>
    </xf>
    <xf numFmtId="0" fontId="15" fillId="0" borderId="0" xfId="0" applyFont="1"/>
    <xf numFmtId="0" fontId="16" fillId="0" borderId="0" xfId="0" applyFont="1"/>
    <xf numFmtId="0" fontId="15" fillId="0" borderId="0" xfId="0" quotePrefix="1" applyFont="1"/>
    <xf numFmtId="0" fontId="17" fillId="5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0" fontId="11" fillId="6" borderId="0" xfId="0" applyFont="1" applyFill="1" applyBorder="1" applyProtection="1">
      <protection hidden="1"/>
    </xf>
    <xf numFmtId="0" fontId="11" fillId="6" borderId="3" xfId="0" applyFont="1" applyFill="1" applyBorder="1" applyAlignment="1" applyProtection="1">
      <alignment horizontal="right"/>
      <protection hidden="1"/>
    </xf>
    <xf numFmtId="0" fontId="11" fillId="0" borderId="0" xfId="0" applyFont="1" applyFill="1" applyBorder="1" applyProtection="1">
      <protection hidden="1"/>
    </xf>
    <xf numFmtId="10" fontId="3" fillId="8" borderId="0" xfId="2" applyNumberFormat="1" applyFont="1" applyFill="1" applyBorder="1" applyAlignment="1" applyProtection="1">
      <alignment horizontal="left"/>
      <protection hidden="1"/>
    </xf>
    <xf numFmtId="0" fontId="12" fillId="0" borderId="0" xfId="0" applyFont="1" applyFill="1" applyBorder="1" applyAlignment="1" applyProtection="1">
      <alignment horizontal="left"/>
      <protection hidden="1"/>
    </xf>
    <xf numFmtId="3" fontId="1" fillId="0" borderId="0" xfId="0" applyNumberFormat="1" applyFont="1" applyFill="1" applyBorder="1" applyAlignment="1" applyProtection="1">
      <alignment horizontal="left"/>
      <protection hidden="1"/>
    </xf>
    <xf numFmtId="169" fontId="1" fillId="0" borderId="0" xfId="0" applyNumberFormat="1" applyFont="1" applyFill="1" applyBorder="1" applyAlignment="1" applyProtection="1">
      <alignment horizontal="left"/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1" fillId="0" borderId="0" xfId="0" applyFont="1" applyFill="1" applyBorder="1" applyAlignment="1" applyProtection="1">
      <alignment horizontal="left"/>
      <protection hidden="1"/>
    </xf>
    <xf numFmtId="166" fontId="1" fillId="0" borderId="0" xfId="3" applyNumberFormat="1" applyFont="1" applyFill="1" applyBorder="1" applyAlignment="1" applyProtection="1">
      <alignment horizontal="left"/>
      <protection hidden="1"/>
    </xf>
    <xf numFmtId="166" fontId="1" fillId="0" borderId="0" xfId="0" applyNumberFormat="1" applyFont="1" applyFill="1" applyBorder="1" applyAlignment="1" applyProtection="1">
      <alignment horizontal="left"/>
      <protection hidden="1"/>
    </xf>
    <xf numFmtId="166" fontId="1" fillId="0" borderId="0" xfId="0" quotePrefix="1" applyNumberFormat="1" applyFont="1" applyFill="1" applyBorder="1" applyAlignment="1" applyProtection="1">
      <alignment horizontal="left"/>
      <protection hidden="1"/>
    </xf>
    <xf numFmtId="165" fontId="1" fillId="0" borderId="0" xfId="0" applyNumberFormat="1" applyFont="1" applyFill="1" applyBorder="1" applyProtection="1">
      <protection hidden="1"/>
    </xf>
    <xf numFmtId="169" fontId="3" fillId="0" borderId="0" xfId="3" applyNumberFormat="1" applyFont="1" applyFill="1" applyBorder="1" applyAlignment="1" applyProtection="1">
      <alignment horizontal="left"/>
      <protection hidden="1"/>
    </xf>
    <xf numFmtId="169" fontId="3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 applyProtection="1">
      <alignment horizontal="left"/>
      <protection hidden="1"/>
    </xf>
    <xf numFmtId="166" fontId="3" fillId="0" borderId="0" xfId="3" applyNumberFormat="1" applyFont="1" applyFill="1" applyBorder="1" applyAlignment="1" applyProtection="1">
      <alignment horizontal="left"/>
      <protection hidden="1"/>
    </xf>
    <xf numFmtId="10" fontId="1" fillId="8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1" fillId="6" borderId="0" xfId="0" applyFont="1" applyFill="1" applyBorder="1" applyAlignment="1" applyProtection="1">
      <alignment horizontal="right"/>
      <protection hidden="1"/>
    </xf>
    <xf numFmtId="169" fontId="1" fillId="0" borderId="3" xfId="0" applyNumberFormat="1" applyFont="1" applyFill="1" applyBorder="1" applyAlignment="1" applyProtection="1">
      <alignment horizontal="right"/>
      <protection hidden="1"/>
    </xf>
    <xf numFmtId="169" fontId="1" fillId="0" borderId="0" xfId="0" quotePrefix="1" applyNumberFormat="1" applyFont="1" applyFill="1" applyBorder="1" applyAlignment="1" applyProtection="1">
      <alignment horizontal="right"/>
      <protection hidden="1"/>
    </xf>
    <xf numFmtId="169" fontId="1" fillId="0" borderId="0" xfId="0" applyNumberFormat="1" applyFont="1" applyFill="1" applyBorder="1" applyAlignment="1" applyProtection="1">
      <alignment horizontal="right"/>
      <protection hidden="1"/>
    </xf>
    <xf numFmtId="167" fontId="1" fillId="0" borderId="3" xfId="0" applyNumberFormat="1" applyFont="1" applyFill="1" applyBorder="1" applyAlignment="1" applyProtection="1">
      <alignment horizontal="right"/>
      <protection hidden="1"/>
    </xf>
    <xf numFmtId="167" fontId="1" fillId="0" borderId="0" xfId="0" applyNumberFormat="1" applyFont="1" applyFill="1" applyBorder="1" applyAlignment="1" applyProtection="1">
      <alignment horizontal="right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Fill="1" applyBorder="1" applyAlignment="1" applyProtection="1">
      <alignment horizontal="left"/>
      <protection hidden="1"/>
    </xf>
    <xf numFmtId="0" fontId="17" fillId="5" borderId="0" xfId="0" applyFont="1" applyFill="1" applyAlignment="1" applyProtection="1">
      <alignment horizontal="left"/>
      <protection hidden="1"/>
    </xf>
    <xf numFmtId="0" fontId="2" fillId="5" borderId="0" xfId="0" applyFont="1" applyFill="1" applyAlignment="1" applyProtection="1">
      <alignment horizontal="left"/>
      <protection hidden="1"/>
    </xf>
    <xf numFmtId="0" fontId="11" fillId="6" borderId="0" xfId="0" applyFont="1" applyFill="1" applyBorder="1" applyAlignment="1" applyProtection="1">
      <alignment horizontal="left"/>
      <protection hidden="1"/>
    </xf>
    <xf numFmtId="0" fontId="11" fillId="6" borderId="0" xfId="0" applyFont="1" applyFill="1" applyBorder="1" applyAlignment="1" applyProtection="1">
      <alignment horizontal="right" wrapText="1"/>
      <protection hidden="1"/>
    </xf>
    <xf numFmtId="0" fontId="11" fillId="6" borderId="4" xfId="0" applyFont="1" applyFill="1" applyBorder="1" applyAlignment="1" applyProtection="1">
      <alignment horizontal="right"/>
      <protection hidden="1"/>
    </xf>
    <xf numFmtId="0" fontId="11" fillId="6" borderId="3" xfId="0" applyNumberFormat="1" applyFont="1" applyFill="1" applyBorder="1" applyAlignment="1" applyProtection="1">
      <alignment horizontal="right" wrapText="1"/>
      <protection hidden="1"/>
    </xf>
    <xf numFmtId="0" fontId="11" fillId="0" borderId="0" xfId="0" applyFont="1" applyFill="1" applyBorder="1" applyAlignment="1" applyProtection="1">
      <alignment horizontal="left"/>
      <protection hidden="1"/>
    </xf>
    <xf numFmtId="169" fontId="1" fillId="9" borderId="0" xfId="0" quotePrefix="1" applyNumberFormat="1" applyFont="1" applyFill="1" applyBorder="1" applyAlignment="1" applyProtection="1">
      <alignment horizontal="right"/>
      <protection hidden="1"/>
    </xf>
    <xf numFmtId="169" fontId="1" fillId="0" borderId="4" xfId="0" applyNumberFormat="1" applyFont="1" applyFill="1" applyBorder="1" applyAlignment="1" applyProtection="1">
      <alignment horizontal="right"/>
      <protection hidden="1"/>
    </xf>
    <xf numFmtId="167" fontId="1" fillId="0" borderId="0" xfId="0" applyNumberFormat="1" applyFont="1" applyFill="1" applyBorder="1" applyProtection="1">
      <protection hidden="1"/>
    </xf>
    <xf numFmtId="167" fontId="1" fillId="0" borderId="4" xfId="0" applyNumberFormat="1" applyFont="1" applyFill="1" applyBorder="1" applyProtection="1">
      <protection hidden="1"/>
    </xf>
    <xf numFmtId="171" fontId="1" fillId="0" borderId="0" xfId="0" applyNumberFormat="1" applyFont="1" applyFill="1" applyBorder="1" applyProtection="1">
      <protection hidden="1"/>
    </xf>
    <xf numFmtId="166" fontId="1" fillId="0" borderId="0" xfId="0" applyNumberFormat="1" applyFont="1" applyFill="1" applyBorder="1" applyProtection="1">
      <protection hidden="1"/>
    </xf>
    <xf numFmtId="0" fontId="0" fillId="0" borderId="0" xfId="0" applyBorder="1"/>
    <xf numFmtId="0" fontId="17" fillId="0" borderId="0" xfId="0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0" fillId="0" borderId="0" xfId="0" applyFill="1" applyBorder="1"/>
    <xf numFmtId="0" fontId="11" fillId="0" borderId="0" xfId="0" applyFont="1" applyFill="1" applyBorder="1" applyAlignment="1" applyProtection="1">
      <alignment horizontal="right"/>
      <protection hidden="1"/>
    </xf>
    <xf numFmtId="10" fontId="3" fillId="0" borderId="0" xfId="2" applyNumberFormat="1" applyFont="1" applyFill="1" applyBorder="1" applyAlignment="1" applyProtection="1">
      <alignment horizontal="left"/>
      <protection hidden="1"/>
    </xf>
    <xf numFmtId="0" fontId="1" fillId="0" borderId="4" xfId="0" applyNumberFormat="1" applyFont="1" applyFill="1" applyBorder="1" applyAlignment="1" applyProtection="1">
      <alignment horizontal="left"/>
      <protection hidden="1"/>
    </xf>
    <xf numFmtId="165" fontId="1" fillId="0" borderId="0" xfId="2" applyNumberFormat="1" applyFont="1" applyFill="1" applyBorder="1" applyAlignment="1" applyProtection="1">
      <alignment horizontal="left"/>
      <protection hidden="1"/>
    </xf>
    <xf numFmtId="0" fontId="20" fillId="0" borderId="0" xfId="0" applyFont="1" applyFill="1" applyProtection="1">
      <protection hidden="1"/>
    </xf>
    <xf numFmtId="0" fontId="21" fillId="5" borderId="0" xfId="0" applyFont="1" applyFill="1" applyProtection="1">
      <protection hidden="1"/>
    </xf>
    <xf numFmtId="0" fontId="17" fillId="5" borderId="0" xfId="0" applyFont="1" applyFill="1" applyAlignment="1" applyProtection="1">
      <alignment horizontal="right"/>
      <protection hidden="1"/>
    </xf>
    <xf numFmtId="0" fontId="22" fillId="0" borderId="0" xfId="0" applyFont="1" applyFill="1" applyProtection="1">
      <protection hidden="1"/>
    </xf>
    <xf numFmtId="0" fontId="23" fillId="0" borderId="0" xfId="0" applyFont="1" applyFill="1" applyBorder="1" applyAlignment="1" applyProtection="1">
      <alignment horizontal="right"/>
      <protection locked="0"/>
    </xf>
    <xf numFmtId="14" fontId="22" fillId="7" borderId="0" xfId="0" applyNumberFormat="1" applyFont="1" applyFill="1" applyProtection="1">
      <protection hidden="1"/>
    </xf>
    <xf numFmtId="0" fontId="24" fillId="0" borderId="0" xfId="0" applyFont="1" applyFill="1" applyBorder="1" applyAlignment="1" applyProtection="1">
      <alignment horizontal="left"/>
      <protection hidden="1"/>
    </xf>
    <xf numFmtId="0" fontId="24" fillId="0" borderId="0" xfId="0" applyFont="1" applyFill="1" applyBorder="1" applyAlignment="1" applyProtection="1">
      <protection hidden="1"/>
    </xf>
    <xf numFmtId="22" fontId="22" fillId="0" borderId="0" xfId="0" applyNumberFormat="1" applyFont="1" applyFill="1" applyProtection="1">
      <protection hidden="1"/>
    </xf>
    <xf numFmtId="0" fontId="1" fillId="0" borderId="0" xfId="0" applyFont="1" applyFill="1" applyProtection="1">
      <protection hidden="1"/>
    </xf>
    <xf numFmtId="0" fontId="12" fillId="8" borderId="0" xfId="0" applyFont="1" applyFill="1" applyProtection="1">
      <protection hidden="1"/>
    </xf>
    <xf numFmtId="0" fontId="1" fillId="8" borderId="0" xfId="0" applyFont="1" applyFill="1" applyProtection="1">
      <protection hidden="1"/>
    </xf>
    <xf numFmtId="0" fontId="12" fillId="0" borderId="0" xfId="0" applyFont="1" applyFill="1" applyProtection="1">
      <protection hidden="1"/>
    </xf>
    <xf numFmtId="0" fontId="11" fillId="0" borderId="0" xfId="0" applyFont="1" applyFill="1" applyAlignment="1" applyProtection="1">
      <alignment horizontal="left"/>
      <protection hidden="1"/>
    </xf>
    <xf numFmtId="0" fontId="12" fillId="0" borderId="0" xfId="0" applyFont="1" applyFill="1" applyBorder="1" applyAlignment="1" applyProtection="1">
      <alignment horizontal="right"/>
      <protection hidden="1"/>
    </xf>
    <xf numFmtId="0" fontId="11" fillId="8" borderId="0" xfId="0" applyFont="1" applyFill="1" applyBorder="1" applyProtection="1">
      <protection hidden="1"/>
    </xf>
    <xf numFmtId="0" fontId="12" fillId="8" borderId="0" xfId="0" applyFont="1" applyFill="1" applyBorder="1" applyProtection="1">
      <protection hidden="1"/>
    </xf>
    <xf numFmtId="10" fontId="23" fillId="8" borderId="0" xfId="0" applyNumberFormat="1" applyFont="1" applyFill="1" applyBorder="1" applyAlignment="1" applyProtection="1">
      <alignment horizontal="right"/>
      <protection locked="0"/>
    </xf>
    <xf numFmtId="10" fontId="12" fillId="8" borderId="0" xfId="0" applyNumberFormat="1" applyFont="1" applyFill="1" applyBorder="1" applyAlignment="1" applyProtection="1">
      <alignment horizontal="right"/>
      <protection hidden="1"/>
    </xf>
    <xf numFmtId="166" fontId="23" fillId="8" borderId="0" xfId="3" applyNumberFormat="1" applyFont="1" applyFill="1" applyBorder="1" applyAlignment="1" applyProtection="1">
      <alignment horizontal="right"/>
      <protection locked="0"/>
    </xf>
    <xf numFmtId="10" fontId="12" fillId="0" borderId="0" xfId="0" applyNumberFormat="1" applyFont="1" applyFill="1" applyBorder="1" applyAlignment="1" applyProtection="1">
      <alignment horizontal="right"/>
      <protection hidden="1"/>
    </xf>
    <xf numFmtId="3" fontId="23" fillId="8" borderId="0" xfId="3" applyNumberFormat="1" applyFont="1" applyFill="1" applyBorder="1" applyAlignment="1" applyProtection="1">
      <alignment horizontal="right"/>
      <protection locked="0"/>
    </xf>
    <xf numFmtId="0" fontId="12" fillId="8" borderId="0" xfId="0" applyFont="1" applyFill="1" applyBorder="1" applyAlignment="1" applyProtection="1">
      <alignment horizontal="right"/>
      <protection hidden="1"/>
    </xf>
    <xf numFmtId="3" fontId="12" fillId="0" borderId="0" xfId="0" applyNumberFormat="1" applyFont="1" applyFill="1" applyBorder="1" applyAlignment="1" applyProtection="1">
      <alignment horizontal="right"/>
      <protection hidden="1"/>
    </xf>
    <xf numFmtId="1" fontId="23" fillId="0" borderId="0" xfId="0" applyNumberFormat="1" applyFont="1" applyFill="1" applyBorder="1" applyProtection="1">
      <protection locked="0"/>
    </xf>
    <xf numFmtId="9" fontId="12" fillId="0" borderId="0" xfId="0" applyNumberFormat="1" applyFont="1" applyFill="1" applyBorder="1" applyAlignment="1" applyProtection="1">
      <alignment horizontal="right"/>
      <protection hidden="1"/>
    </xf>
    <xf numFmtId="172" fontId="22" fillId="0" borderId="0" xfId="0" applyNumberFormat="1" applyFont="1" applyFill="1" applyProtection="1">
      <protection hidden="1"/>
    </xf>
    <xf numFmtId="166" fontId="23" fillId="0" borderId="0" xfId="0" applyNumberFormat="1" applyFont="1" applyFill="1" applyBorder="1" applyAlignment="1" applyProtection="1">
      <alignment horizontal="right"/>
      <protection locked="0"/>
    </xf>
    <xf numFmtId="166" fontId="23" fillId="0" borderId="0" xfId="0" applyNumberFormat="1" applyFont="1" applyFill="1" applyBorder="1" applyAlignment="1" applyProtection="1">
      <alignment horizontal="right"/>
      <protection hidden="1"/>
    </xf>
    <xf numFmtId="166" fontId="12" fillId="0" borderId="0" xfId="0" applyNumberFormat="1" applyFont="1" applyFill="1" applyBorder="1" applyAlignment="1" applyProtection="1">
      <alignment horizontal="right"/>
      <protection hidden="1"/>
    </xf>
    <xf numFmtId="9" fontId="23" fillId="0" borderId="0" xfId="0" applyNumberFormat="1" applyFont="1" applyFill="1" applyBorder="1" applyAlignment="1" applyProtection="1">
      <alignment horizontal="right"/>
      <protection locked="0"/>
    </xf>
    <xf numFmtId="9" fontId="22" fillId="0" borderId="0" xfId="2" applyFont="1" applyFill="1" applyProtection="1">
      <protection hidden="1"/>
    </xf>
    <xf numFmtId="172" fontId="12" fillId="0" borderId="0" xfId="2" applyNumberFormat="1" applyFont="1" applyFill="1" applyBorder="1" applyAlignment="1" applyProtection="1">
      <alignment horizontal="right"/>
      <protection hidden="1"/>
    </xf>
    <xf numFmtId="10" fontId="23" fillId="0" borderId="0" xfId="0" applyNumberFormat="1" applyFont="1" applyFill="1" applyBorder="1" applyAlignment="1" applyProtection="1">
      <alignment horizontal="right"/>
      <protection locked="0"/>
    </xf>
    <xf numFmtId="165" fontId="23" fillId="0" borderId="0" xfId="0" applyNumberFormat="1" applyFont="1" applyFill="1" applyBorder="1" applyAlignment="1" applyProtection="1">
      <alignment horizontal="right"/>
      <protection hidden="1"/>
    </xf>
    <xf numFmtId="1" fontId="23" fillId="0" borderId="0" xfId="0" applyNumberFormat="1" applyFont="1" applyFill="1" applyBorder="1" applyProtection="1">
      <protection hidden="1"/>
    </xf>
    <xf numFmtId="166" fontId="12" fillId="0" borderId="0" xfId="0" applyNumberFormat="1" applyFont="1" applyFill="1" applyBorder="1" applyProtection="1">
      <protection locked="0"/>
    </xf>
    <xf numFmtId="166" fontId="23" fillId="8" borderId="0" xfId="0" applyNumberFormat="1" applyFont="1" applyFill="1" applyBorder="1" applyAlignment="1" applyProtection="1">
      <alignment horizontal="right"/>
      <protection locked="0"/>
    </xf>
    <xf numFmtId="0" fontId="19" fillId="0" borderId="0" xfId="0" applyFont="1" applyFill="1" applyProtection="1">
      <protection hidden="1"/>
    </xf>
    <xf numFmtId="3" fontId="12" fillId="0" borderId="0" xfId="3" applyNumberFormat="1" applyFont="1" applyFill="1" applyBorder="1" applyAlignment="1" applyProtection="1">
      <alignment horizontal="right"/>
      <protection hidden="1"/>
    </xf>
    <xf numFmtId="0" fontId="3" fillId="0" borderId="0" xfId="0" applyFont="1" applyFill="1" applyBorder="1" applyProtection="1">
      <protection hidden="1"/>
    </xf>
    <xf numFmtId="166" fontId="23" fillId="8" borderId="0" xfId="0" applyNumberFormat="1" applyFont="1" applyFill="1" applyBorder="1" applyProtection="1">
      <protection locked="0"/>
    </xf>
    <xf numFmtId="166" fontId="23" fillId="8" borderId="0" xfId="0" applyNumberFormat="1" applyFont="1" applyFill="1" applyBorder="1" applyProtection="1">
      <protection hidden="1"/>
    </xf>
    <xf numFmtId="166" fontId="12" fillId="0" borderId="0" xfId="0" applyNumberFormat="1" applyFont="1" applyFill="1" applyBorder="1" applyProtection="1">
      <protection hidden="1"/>
    </xf>
    <xf numFmtId="0" fontId="4" fillId="8" borderId="0" xfId="0" applyFont="1" applyFill="1" applyBorder="1" applyProtection="1">
      <protection hidden="1"/>
    </xf>
    <xf numFmtId="10" fontId="23" fillId="8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Font="1" applyFill="1" applyProtection="1">
      <protection hidden="1"/>
    </xf>
    <xf numFmtId="10" fontId="12" fillId="0" borderId="0" xfId="0" applyNumberFormat="1" applyFont="1" applyFill="1" applyBorder="1" applyProtection="1">
      <protection hidden="1"/>
    </xf>
    <xf numFmtId="0" fontId="20" fillId="0" borderId="0" xfId="0" applyFont="1" applyFill="1" applyBorder="1" applyProtection="1">
      <protection hidden="1"/>
    </xf>
    <xf numFmtId="0" fontId="22" fillId="0" borderId="0" xfId="0" applyFont="1" applyFill="1" applyBorder="1" applyProtection="1">
      <protection hidden="1"/>
    </xf>
    <xf numFmtId="0" fontId="1" fillId="0" borderId="0" xfId="0" applyFont="1" applyProtection="1">
      <protection hidden="1"/>
    </xf>
    <xf numFmtId="0" fontId="2" fillId="8" borderId="0" xfId="0" applyFont="1" applyFill="1" applyProtection="1">
      <protection hidden="1"/>
    </xf>
    <xf numFmtId="0" fontId="11" fillId="8" borderId="0" xfId="0" applyFont="1" applyFill="1" applyProtection="1">
      <protection hidden="1"/>
    </xf>
    <xf numFmtId="173" fontId="11" fillId="8" borderId="0" xfId="0" applyNumberFormat="1" applyFont="1" applyFill="1" applyAlignment="1" applyProtection="1">
      <alignment horizontal="center"/>
      <protection hidden="1"/>
    </xf>
    <xf numFmtId="173" fontId="11" fillId="0" borderId="0" xfId="0" applyNumberFormat="1" applyFont="1" applyFill="1" applyAlignment="1" applyProtection="1">
      <alignment horizontal="center"/>
      <protection hidden="1"/>
    </xf>
    <xf numFmtId="0" fontId="11" fillId="8" borderId="0" xfId="0" applyFont="1" applyFill="1" applyAlignment="1" applyProtection="1">
      <alignment horizontal="center"/>
      <protection hidden="1"/>
    </xf>
    <xf numFmtId="10" fontId="11" fillId="8" borderId="0" xfId="0" applyNumberFormat="1" applyFont="1" applyFill="1" applyAlignment="1" applyProtection="1">
      <alignment horizontal="center"/>
      <protection hidden="1"/>
    </xf>
    <xf numFmtId="0" fontId="11" fillId="8" borderId="0" xfId="0" applyFont="1" applyFill="1" applyAlignment="1" applyProtection="1">
      <alignment horizontal="left"/>
      <protection hidden="1"/>
    </xf>
    <xf numFmtId="16" fontId="12" fillId="8" borderId="6" xfId="0" quotePrefix="1" applyNumberFormat="1" applyFont="1" applyFill="1" applyBorder="1" applyProtection="1">
      <protection hidden="1"/>
    </xf>
    <xf numFmtId="0" fontId="12" fillId="8" borderId="7" xfId="0" applyFont="1" applyFill="1" applyBorder="1" applyProtection="1">
      <protection hidden="1"/>
    </xf>
    <xf numFmtId="4" fontId="12" fillId="8" borderId="7" xfId="0" applyNumberFormat="1" applyFont="1" applyFill="1" applyBorder="1" applyProtection="1">
      <protection hidden="1"/>
    </xf>
    <xf numFmtId="4" fontId="12" fillId="8" borderId="8" xfId="0" applyNumberFormat="1" applyFont="1" applyFill="1" applyBorder="1" applyProtection="1">
      <protection hidden="1"/>
    </xf>
    <xf numFmtId="4" fontId="23" fillId="8" borderId="8" xfId="0" applyNumberFormat="1" applyFont="1" applyFill="1" applyBorder="1" applyProtection="1">
      <protection locked="0"/>
    </xf>
    <xf numFmtId="0" fontId="11" fillId="8" borderId="0" xfId="0" applyFont="1" applyFill="1" applyAlignment="1" applyProtection="1">
      <alignment horizontal="right"/>
      <protection hidden="1"/>
    </xf>
    <xf numFmtId="0" fontId="11" fillId="8" borderId="9" xfId="0" applyFont="1" applyFill="1" applyBorder="1" applyAlignment="1" applyProtection="1">
      <alignment horizontal="right"/>
      <protection hidden="1"/>
    </xf>
    <xf numFmtId="3" fontId="12" fillId="8" borderId="8" xfId="0" applyNumberFormat="1" applyFont="1" applyFill="1" applyBorder="1" applyProtection="1">
      <protection hidden="1"/>
    </xf>
    <xf numFmtId="16" fontId="12" fillId="8" borderId="6" xfId="0" applyNumberFormat="1" applyFont="1" applyFill="1" applyBorder="1" applyProtection="1">
      <protection hidden="1"/>
    </xf>
    <xf numFmtId="0" fontId="11" fillId="8" borderId="8" xfId="0" applyFont="1" applyFill="1" applyBorder="1" applyAlignment="1" applyProtection="1">
      <alignment horizontal="right"/>
      <protection hidden="1"/>
    </xf>
    <xf numFmtId="0" fontId="12" fillId="9" borderId="8" xfId="0" applyFont="1" applyFill="1" applyBorder="1" applyProtection="1">
      <protection hidden="1"/>
    </xf>
    <xf numFmtId="10" fontId="12" fillId="8" borderId="8" xfId="0" applyNumberFormat="1" applyFont="1" applyFill="1" applyBorder="1" applyProtection="1">
      <protection hidden="1"/>
    </xf>
    <xf numFmtId="10" fontId="12" fillId="8" borderId="8" xfId="0" applyNumberFormat="1" applyFont="1" applyFill="1" applyBorder="1" applyProtection="1">
      <protection locked="0"/>
    </xf>
    <xf numFmtId="9" fontId="1" fillId="8" borderId="0" xfId="0" applyNumberFormat="1" applyFont="1" applyFill="1" applyProtection="1">
      <protection hidden="1"/>
    </xf>
    <xf numFmtId="10" fontId="12" fillId="8" borderId="8" xfId="2" applyNumberFormat="1" applyFont="1" applyFill="1" applyBorder="1" applyProtection="1">
      <protection hidden="1"/>
    </xf>
    <xf numFmtId="173" fontId="12" fillId="8" borderId="8" xfId="0" applyNumberFormat="1" applyFont="1" applyFill="1" applyBorder="1" applyProtection="1">
      <protection locked="0"/>
    </xf>
    <xf numFmtId="0" fontId="12" fillId="8" borderId="8" xfId="0" applyFont="1" applyFill="1" applyBorder="1" applyProtection="1">
      <protection hidden="1"/>
    </xf>
    <xf numFmtId="10" fontId="1" fillId="8" borderId="8" xfId="0" applyNumberFormat="1" applyFont="1" applyFill="1" applyBorder="1" applyProtection="1">
      <protection hidden="1"/>
    </xf>
    <xf numFmtId="10" fontId="23" fillId="0" borderId="0" xfId="2" applyNumberFormat="1" applyFont="1" applyFill="1" applyBorder="1" applyProtection="1">
      <protection hidden="1"/>
    </xf>
    <xf numFmtId="0" fontId="11" fillId="8" borderId="8" xfId="0" applyFont="1" applyFill="1" applyBorder="1" applyProtection="1">
      <protection hidden="1"/>
    </xf>
    <xf numFmtId="173" fontId="1" fillId="8" borderId="8" xfId="0" applyNumberFormat="1" applyFont="1" applyFill="1" applyBorder="1" applyProtection="1">
      <protection hidden="1"/>
    </xf>
    <xf numFmtId="10" fontId="1" fillId="8" borderId="0" xfId="0" applyNumberFormat="1" applyFont="1" applyFill="1" applyProtection="1">
      <protection hidden="1"/>
    </xf>
    <xf numFmtId="10" fontId="12" fillId="8" borderId="0" xfId="0" applyNumberFormat="1" applyFont="1" applyFill="1" applyProtection="1">
      <protection hidden="1"/>
    </xf>
    <xf numFmtId="0" fontId="12" fillId="8" borderId="10" xfId="0" applyFont="1" applyFill="1" applyBorder="1" applyProtection="1">
      <protection hidden="1"/>
    </xf>
    <xf numFmtId="10" fontId="12" fillId="8" borderId="10" xfId="0" applyNumberFormat="1" applyFont="1" applyFill="1" applyBorder="1" applyProtection="1">
      <protection hidden="1"/>
    </xf>
    <xf numFmtId="10" fontId="12" fillId="8" borderId="10" xfId="2" applyNumberFormat="1" applyFont="1" applyFill="1" applyBorder="1" applyProtection="1">
      <protection hidden="1"/>
    </xf>
    <xf numFmtId="173" fontId="1" fillId="8" borderId="10" xfId="0" applyNumberFormat="1" applyFont="1" applyFill="1" applyBorder="1" applyProtection="1">
      <protection hidden="1"/>
    </xf>
    <xf numFmtId="4" fontId="12" fillId="8" borderId="10" xfId="0" applyNumberFormat="1" applyFont="1" applyFill="1" applyBorder="1" applyProtection="1">
      <protection hidden="1"/>
    </xf>
    <xf numFmtId="3" fontId="12" fillId="8" borderId="10" xfId="0" applyNumberFormat="1" applyFont="1" applyFill="1" applyBorder="1" applyProtection="1">
      <protection hidden="1"/>
    </xf>
    <xf numFmtId="10" fontId="1" fillId="8" borderId="10" xfId="0" applyNumberFormat="1" applyFont="1" applyFill="1" applyBorder="1" applyProtection="1">
      <protection hidden="1"/>
    </xf>
    <xf numFmtId="10" fontId="12" fillId="8" borderId="0" xfId="0" applyNumberFormat="1" applyFont="1" applyFill="1" applyBorder="1" applyProtection="1">
      <protection hidden="1"/>
    </xf>
    <xf numFmtId="10" fontId="12" fillId="8" borderId="0" xfId="2" applyNumberFormat="1" applyFont="1" applyFill="1" applyBorder="1" applyProtection="1">
      <protection hidden="1"/>
    </xf>
    <xf numFmtId="0" fontId="1" fillId="8" borderId="0" xfId="0" applyFont="1" applyFill="1" applyBorder="1" applyProtection="1">
      <protection hidden="1"/>
    </xf>
    <xf numFmtId="173" fontId="1" fillId="8" borderId="0" xfId="0" applyNumberFormat="1" applyFont="1" applyFill="1" applyBorder="1" applyProtection="1">
      <protection hidden="1"/>
    </xf>
    <xf numFmtId="4" fontId="12" fillId="8" borderId="0" xfId="0" applyNumberFormat="1" applyFont="1" applyFill="1" applyBorder="1" applyProtection="1">
      <protection hidden="1"/>
    </xf>
    <xf numFmtId="3" fontId="12" fillId="8" borderId="0" xfId="0" applyNumberFormat="1" applyFont="1" applyFill="1" applyBorder="1" applyProtection="1">
      <protection hidden="1"/>
    </xf>
    <xf numFmtId="10" fontId="1" fillId="8" borderId="0" xfId="2" applyNumberFormat="1" applyFont="1" applyFill="1" applyProtection="1">
      <protection hidden="1"/>
    </xf>
    <xf numFmtId="173" fontId="1" fillId="8" borderId="0" xfId="0" applyNumberFormat="1" applyFont="1" applyFill="1" applyProtection="1">
      <protection hidden="1"/>
    </xf>
    <xf numFmtId="4" fontId="1" fillId="8" borderId="0" xfId="0" applyNumberFormat="1" applyFont="1" applyFill="1" applyProtection="1">
      <protection hidden="1"/>
    </xf>
    <xf numFmtId="173" fontId="1" fillId="0" borderId="0" xfId="0" applyNumberFormat="1" applyFont="1" applyFill="1" applyProtection="1">
      <protection hidden="1"/>
    </xf>
    <xf numFmtId="4" fontId="12" fillId="8" borderId="0" xfId="0" applyNumberFormat="1" applyFont="1" applyFill="1" applyProtection="1"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right"/>
      <protection hidden="1"/>
    </xf>
    <xf numFmtId="42" fontId="11" fillId="0" borderId="0" xfId="0" applyNumberFormat="1" applyFont="1" applyFill="1" applyBorder="1" applyProtection="1">
      <protection hidden="1"/>
    </xf>
    <xf numFmtId="10" fontId="3" fillId="8" borderId="0" xfId="2" applyNumberFormat="1" applyFont="1" applyFill="1" applyBorder="1" applyProtection="1">
      <protection hidden="1"/>
    </xf>
    <xf numFmtId="42" fontId="3" fillId="0" borderId="0" xfId="0" applyNumberFormat="1" applyFont="1" applyFill="1" applyBorder="1" applyProtection="1">
      <protection hidden="1"/>
    </xf>
    <xf numFmtId="42" fontId="1" fillId="0" borderId="0" xfId="0" applyNumberFormat="1" applyFont="1" applyFill="1" applyBorder="1" applyProtection="1">
      <protection hidden="1"/>
    </xf>
    <xf numFmtId="0" fontId="2" fillId="0" borderId="0" xfId="4" applyFont="1" applyFill="1" applyBorder="1" applyAlignment="1" applyProtection="1">
      <alignment horizontal="center"/>
      <protection hidden="1"/>
    </xf>
    <xf numFmtId="42" fontId="12" fillId="0" borderId="0" xfId="0" applyNumberFormat="1" applyFont="1" applyFill="1" applyBorder="1" applyProtection="1">
      <protection hidden="1"/>
    </xf>
    <xf numFmtId="0" fontId="11" fillId="6" borderId="4" xfId="0" applyFont="1" applyFill="1" applyBorder="1" applyAlignment="1" applyProtection="1">
      <alignment horizontal="left"/>
      <protection hidden="1"/>
    </xf>
    <xf numFmtId="167" fontId="1" fillId="0" borderId="4" xfId="0" applyNumberFormat="1" applyFont="1" applyFill="1" applyBorder="1" applyAlignment="1" applyProtection="1">
      <alignment horizontal="right"/>
      <protection hidden="1"/>
    </xf>
    <xf numFmtId="0" fontId="1" fillId="0" borderId="4" xfId="0" applyFont="1" applyFill="1" applyBorder="1" applyAlignment="1" applyProtection="1">
      <alignment horizontal="left"/>
      <protection hidden="1"/>
    </xf>
    <xf numFmtId="10" fontId="1" fillId="0" borderId="0" xfId="0" applyNumberFormat="1" applyFont="1" applyProtection="1">
      <protection hidden="1"/>
    </xf>
    <xf numFmtId="0" fontId="12" fillId="0" borderId="0" xfId="0" applyFont="1" applyFill="1" applyBorder="1" applyAlignment="1" applyProtection="1">
      <alignment horizontal="right"/>
      <protection locked="0"/>
    </xf>
    <xf numFmtId="0" fontId="0" fillId="0" borderId="0" xfId="0" applyFont="1" applyFill="1" applyProtection="1">
      <protection hidden="1"/>
    </xf>
    <xf numFmtId="0" fontId="12" fillId="0" borderId="0" xfId="0" applyFont="1" applyFill="1" applyAlignment="1" applyProtection="1">
      <alignment horizontal="right"/>
      <protection locked="0"/>
    </xf>
    <xf numFmtId="1" fontId="12" fillId="0" borderId="0" xfId="0" applyNumberFormat="1" applyFont="1" applyFill="1" applyBorder="1" applyProtection="1">
      <protection locked="0"/>
    </xf>
    <xf numFmtId="166" fontId="12" fillId="0" borderId="0" xfId="0" applyNumberFormat="1" applyFont="1" applyFill="1" applyBorder="1" applyAlignment="1" applyProtection="1">
      <alignment horizontal="right"/>
      <protection locked="0"/>
    </xf>
    <xf numFmtId="0" fontId="12" fillId="0" borderId="0" xfId="0" applyFont="1" applyFill="1" applyBorder="1" applyProtection="1">
      <protection locked="0"/>
    </xf>
    <xf numFmtId="10" fontId="12" fillId="0" borderId="0" xfId="0" applyNumberFormat="1" applyFont="1" applyFill="1" applyBorder="1" applyProtection="1">
      <protection locked="0"/>
    </xf>
    <xf numFmtId="10" fontId="12" fillId="8" borderId="0" xfId="0" applyNumberFormat="1" applyFont="1" applyFill="1" applyBorder="1" applyAlignment="1" applyProtection="1">
      <alignment horizontal="right"/>
      <protection locked="0"/>
    </xf>
    <xf numFmtId="165" fontId="0" fillId="8" borderId="8" xfId="2" applyNumberFormat="1" applyFont="1" applyFill="1" applyBorder="1" applyProtection="1">
      <protection hidden="1"/>
    </xf>
    <xf numFmtId="0" fontId="0" fillId="0" borderId="0" xfId="0"/>
    <xf numFmtId="0" fontId="11" fillId="6" borderId="3" xfId="0" applyNumberFormat="1" applyFont="1" applyFill="1" applyBorder="1" applyAlignment="1" applyProtection="1">
      <alignment horizontal="right" wrapText="1"/>
      <protection hidden="1"/>
    </xf>
    <xf numFmtId="0" fontId="11" fillId="6" borderId="0" xfId="0" applyFont="1" applyFill="1" applyBorder="1" applyAlignment="1" applyProtection="1">
      <alignment horizontal="right" wrapText="1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174" fontId="3" fillId="0" borderId="0" xfId="1" applyNumberFormat="1" applyFont="1"/>
    <xf numFmtId="165" fontId="0" fillId="0" borderId="0" xfId="2" applyNumberFormat="1" applyFont="1" applyBorder="1"/>
    <xf numFmtId="167" fontId="9" fillId="0" borderId="0" xfId="0" applyNumberFormat="1" applyFont="1"/>
    <xf numFmtId="1" fontId="9" fillId="0" borderId="0" xfId="0" applyNumberFormat="1" applyFont="1"/>
    <xf numFmtId="9" fontId="10" fillId="0" borderId="0" xfId="2" applyFont="1"/>
    <xf numFmtId="165" fontId="3" fillId="0" borderId="0" xfId="2" applyNumberFormat="1" applyFont="1"/>
    <xf numFmtId="165" fontId="9" fillId="0" borderId="0" xfId="2" applyNumberFormat="1" applyFont="1"/>
    <xf numFmtId="0" fontId="28" fillId="3" borderId="0" xfId="0" applyFont="1" applyFill="1"/>
    <xf numFmtId="0" fontId="11" fillId="6" borderId="0" xfId="0" applyFont="1" applyFill="1" applyAlignment="1" applyProtection="1">
      <alignment horizontal="center"/>
      <protection hidden="1"/>
    </xf>
    <xf numFmtId="165" fontId="0" fillId="8" borderId="0" xfId="2" applyNumberFormat="1" applyFont="1" applyFill="1" applyBorder="1" applyProtection="1">
      <protection hidden="1"/>
    </xf>
    <xf numFmtId="172" fontId="0" fillId="8" borderId="0" xfId="2" applyNumberFormat="1" applyFont="1" applyFill="1" applyBorder="1" applyProtection="1">
      <protection hidden="1"/>
    </xf>
    <xf numFmtId="175" fontId="0" fillId="8" borderId="0" xfId="3" applyNumberFormat="1" applyFont="1" applyFill="1" applyBorder="1" applyProtection="1">
      <protection hidden="1"/>
    </xf>
    <xf numFmtId="0" fontId="29" fillId="0" borderId="2" xfId="0" applyFont="1" applyBorder="1"/>
    <xf numFmtId="166" fontId="0" fillId="0" borderId="2" xfId="0" applyNumberFormat="1" applyFont="1" applyFill="1" applyBorder="1"/>
    <xf numFmtId="0" fontId="0" fillId="0" borderId="2" xfId="0" applyFont="1" applyFill="1" applyBorder="1"/>
    <xf numFmtId="0" fontId="0" fillId="0" borderId="2" xfId="0" applyFont="1" applyBorder="1"/>
    <xf numFmtId="0" fontId="29" fillId="0" borderId="2" xfId="0" applyFont="1" applyFill="1" applyBorder="1"/>
    <xf numFmtId="0" fontId="25" fillId="0" borderId="0" xfId="0" applyFont="1" applyProtection="1">
      <protection locked="0"/>
    </xf>
    <xf numFmtId="166" fontId="25" fillId="0" borderId="0" xfId="1" applyNumberFormat="1" applyFont="1" applyAlignment="1" applyProtection="1">
      <alignment horizontal="left"/>
      <protection locked="0"/>
    </xf>
    <xf numFmtId="166" fontId="25" fillId="0" borderId="0" xfId="1" applyNumberFormat="1" applyFont="1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66" fontId="25" fillId="0" borderId="0" xfId="0" applyNumberFormat="1" applyFont="1" applyAlignment="1" applyProtection="1">
      <alignment horizontal="left" vertical="top"/>
      <protection locked="0"/>
    </xf>
    <xf numFmtId="1" fontId="7" fillId="0" borderId="0" xfId="0" applyNumberFormat="1" applyFont="1" applyFill="1"/>
    <xf numFmtId="166" fontId="0" fillId="0" borderId="0" xfId="1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66" fontId="3" fillId="0" borderId="0" xfId="1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166" fontId="0" fillId="0" borderId="0" xfId="0" applyNumberFormat="1" applyFill="1" applyAlignment="1">
      <alignment horizontal="right"/>
    </xf>
    <xf numFmtId="166" fontId="0" fillId="0" borderId="0" xfId="1" applyNumberFormat="1" applyFont="1" applyFill="1" applyAlignment="1">
      <alignment horizontal="right"/>
    </xf>
    <xf numFmtId="166" fontId="1" fillId="0" borderId="2" xfId="1" applyNumberFormat="1" applyFont="1" applyBorder="1" applyAlignment="1">
      <alignment horizontal="right"/>
    </xf>
    <xf numFmtId="166" fontId="0" fillId="0" borderId="2" xfId="0" applyNumberFormat="1" applyFont="1" applyBorder="1" applyAlignment="1">
      <alignment horizontal="right"/>
    </xf>
    <xf numFmtId="166" fontId="7" fillId="3" borderId="0" xfId="0" applyNumberFormat="1" applyFont="1" applyFill="1" applyAlignment="1">
      <alignment horizontal="right"/>
    </xf>
    <xf numFmtId="166" fontId="9" fillId="0" borderId="0" xfId="0" applyNumberFormat="1" applyFont="1" applyAlignment="1">
      <alignment horizontal="right"/>
    </xf>
    <xf numFmtId="166" fontId="8" fillId="0" borderId="0" xfId="0" applyNumberFormat="1" applyFont="1"/>
    <xf numFmtId="166" fontId="9" fillId="0" borderId="0" xfId="0" applyNumberFormat="1" applyFont="1" applyFill="1"/>
    <xf numFmtId="9" fontId="1" fillId="0" borderId="0" xfId="2" applyFont="1" applyAlignment="1" applyProtection="1">
      <alignment horizontal="left"/>
    </xf>
    <xf numFmtId="166" fontId="25" fillId="0" borderId="0" xfId="1" applyNumberFormat="1" applyFont="1" applyAlignment="1" applyProtection="1">
      <alignment horizontal="left"/>
    </xf>
    <xf numFmtId="165" fontId="1" fillId="0" borderId="0" xfId="2" applyNumberFormat="1" applyFont="1" applyAlignment="1" applyProtection="1">
      <alignment horizontal="left"/>
    </xf>
    <xf numFmtId="0" fontId="9" fillId="0" borderId="0" xfId="0" applyFont="1" applyBorder="1"/>
    <xf numFmtId="166" fontId="10" fillId="0" borderId="0" xfId="0" applyNumberFormat="1" applyFont="1" applyBorder="1"/>
    <xf numFmtId="0" fontId="12" fillId="0" borderId="0" xfId="0" applyFont="1" applyFill="1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0" fillId="0" borderId="0" xfId="0" applyFont="1" applyProtection="1"/>
    <xf numFmtId="0" fontId="0" fillId="2" borderId="0" xfId="0" applyFill="1" applyProtection="1"/>
    <xf numFmtId="0" fontId="3" fillId="0" borderId="0" xfId="0" applyFont="1" applyProtection="1"/>
    <xf numFmtId="0" fontId="26" fillId="2" borderId="0" xfId="0" applyFont="1" applyFill="1" applyProtection="1"/>
    <xf numFmtId="0" fontId="26" fillId="0" borderId="0" xfId="0" applyFont="1" applyFill="1" applyProtection="1"/>
    <xf numFmtId="0" fontId="3" fillId="0" borderId="0" xfId="0" applyFont="1" applyAlignment="1" applyProtection="1">
      <alignment horizontal="left"/>
    </xf>
    <xf numFmtId="0" fontId="2" fillId="3" borderId="0" xfId="0" applyFont="1" applyFill="1" applyProtection="1"/>
    <xf numFmtId="0" fontId="0" fillId="3" borderId="0" xfId="0" applyFill="1" applyProtection="1"/>
    <xf numFmtId="0" fontId="0" fillId="3" borderId="0" xfId="0" applyFont="1" applyFill="1" applyProtection="1"/>
    <xf numFmtId="0" fontId="2" fillId="0" borderId="0" xfId="0" applyFont="1" applyFill="1" applyProtection="1"/>
    <xf numFmtId="0" fontId="0" fillId="0" borderId="0" xfId="0" applyFont="1" applyFill="1" applyProtection="1"/>
    <xf numFmtId="1" fontId="1" fillId="0" borderId="0" xfId="1" applyNumberFormat="1" applyFont="1" applyAlignment="1" applyProtection="1">
      <alignment horizontal="left"/>
    </xf>
    <xf numFmtId="166" fontId="0" fillId="0" borderId="0" xfId="1" applyNumberFormat="1" applyFont="1" applyProtection="1"/>
    <xf numFmtId="166" fontId="0" fillId="0" borderId="0" xfId="1" applyNumberFormat="1" applyFont="1" applyFill="1" applyProtection="1"/>
    <xf numFmtId="9" fontId="25" fillId="0" borderId="0" xfId="2" applyFont="1" applyAlignment="1" applyProtection="1">
      <alignment horizontal="left"/>
    </xf>
    <xf numFmtId="0" fontId="0" fillId="0" borderId="0" xfId="0" applyAlignment="1" applyProtection="1">
      <alignment vertical="top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vertical="top" wrapText="1"/>
    </xf>
    <xf numFmtId="166" fontId="25" fillId="0" borderId="0" xfId="0" applyNumberFormat="1" applyFont="1" applyAlignment="1" applyProtection="1">
      <alignment horizontal="left" vertical="top"/>
    </xf>
    <xf numFmtId="166" fontId="0" fillId="0" borderId="0" xfId="0" applyNumberFormat="1" applyProtection="1"/>
    <xf numFmtId="166" fontId="0" fillId="0" borderId="0" xfId="0" applyNumberFormat="1" applyFill="1" applyProtection="1"/>
    <xf numFmtId="166" fontId="0" fillId="0" borderId="0" xfId="0" applyNumberFormat="1" applyFont="1" applyProtection="1"/>
    <xf numFmtId="166" fontId="0" fillId="0" borderId="0" xfId="0" applyNumberFormat="1" applyFont="1" applyFill="1" applyProtection="1"/>
    <xf numFmtId="1" fontId="0" fillId="0" borderId="0" xfId="0" applyNumberFormat="1" applyFont="1" applyFill="1" applyAlignment="1" applyProtection="1">
      <alignment horizontal="left"/>
    </xf>
    <xf numFmtId="9" fontId="12" fillId="0" borderId="0" xfId="2" applyFont="1" applyAlignment="1" applyProtection="1">
      <alignment horizontal="left"/>
    </xf>
    <xf numFmtId="9" fontId="12" fillId="0" borderId="0" xfId="2" applyFont="1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164" fontId="25" fillId="0" borderId="0" xfId="1" applyNumberFormat="1" applyFont="1" applyProtection="1"/>
    <xf numFmtId="164" fontId="25" fillId="0" borderId="0" xfId="1" applyNumberFormat="1" applyFont="1" applyFill="1" applyProtection="1"/>
    <xf numFmtId="164" fontId="0" fillId="0" borderId="0" xfId="1" applyNumberFormat="1" applyFont="1" applyFill="1" applyProtection="1"/>
    <xf numFmtId="165" fontId="25" fillId="0" borderId="0" xfId="2" applyNumberFormat="1" applyFont="1" applyAlignment="1" applyProtection="1">
      <alignment horizontal="left"/>
    </xf>
    <xf numFmtId="165" fontId="0" fillId="0" borderId="0" xfId="2" applyNumberFormat="1" applyFont="1" applyProtection="1"/>
    <xf numFmtId="165" fontId="0" fillId="3" borderId="0" xfId="2" applyNumberFormat="1" applyFont="1" applyFill="1" applyProtection="1"/>
    <xf numFmtId="164" fontId="0" fillId="3" borderId="0" xfId="1" applyNumberFormat="1" applyFont="1" applyFill="1" applyProtection="1"/>
    <xf numFmtId="0" fontId="3" fillId="0" borderId="1" xfId="0" applyFont="1" applyBorder="1" applyProtection="1"/>
    <xf numFmtId="165" fontId="0" fillId="0" borderId="1" xfId="2" applyNumberFormat="1" applyFont="1" applyBorder="1" applyProtection="1"/>
    <xf numFmtId="164" fontId="0" fillId="0" borderId="1" xfId="1" applyNumberFormat="1" applyFont="1" applyFill="1" applyBorder="1" applyProtection="1"/>
    <xf numFmtId="0" fontId="3" fillId="0" borderId="1" xfId="0" applyFont="1" applyBorder="1" applyAlignment="1" applyProtection="1">
      <alignment horizontal="center" vertical="top"/>
    </xf>
    <xf numFmtId="0" fontId="3" fillId="0" borderId="1" xfId="0" applyFont="1" applyFill="1" applyBorder="1" applyAlignment="1" applyProtection="1">
      <alignment horizontal="center" vertical="top"/>
    </xf>
    <xf numFmtId="0" fontId="0" fillId="0" borderId="1" xfId="0" applyBorder="1" applyProtection="1"/>
    <xf numFmtId="0" fontId="6" fillId="0" borderId="0" xfId="0" applyFont="1" applyFill="1" applyProtection="1"/>
    <xf numFmtId="0" fontId="5" fillId="0" borderId="0" xfId="0" applyFont="1" applyFill="1" applyProtection="1"/>
    <xf numFmtId="165" fontId="3" fillId="0" borderId="1" xfId="2" applyNumberFormat="1" applyFont="1" applyBorder="1" applyProtection="1"/>
    <xf numFmtId="164" fontId="3" fillId="0" borderId="1" xfId="1" applyNumberFormat="1" applyFont="1" applyFill="1" applyBorder="1" applyProtection="1"/>
    <xf numFmtId="164" fontId="3" fillId="0" borderId="1" xfId="1" applyNumberFormat="1" applyFont="1" applyFill="1" applyBorder="1" applyAlignment="1" applyProtection="1">
      <alignment horizontal="left"/>
    </xf>
    <xf numFmtId="0" fontId="0" fillId="0" borderId="1" xfId="0" applyFont="1" applyBorder="1" applyProtection="1"/>
    <xf numFmtId="0" fontId="0" fillId="0" borderId="0" xfId="0" applyBorder="1" applyProtection="1"/>
    <xf numFmtId="165" fontId="0" fillId="0" borderId="0" xfId="2" applyNumberFormat="1" applyFont="1" applyBorder="1" applyProtection="1"/>
    <xf numFmtId="164" fontId="0" fillId="0" borderId="0" xfId="1" applyNumberFormat="1" applyFont="1" applyFill="1" applyBorder="1" applyProtection="1"/>
    <xf numFmtId="0" fontId="0" fillId="0" borderId="0" xfId="0" applyFont="1" applyBorder="1" applyProtection="1"/>
    <xf numFmtId="166" fontId="0" fillId="0" borderId="0" xfId="2" applyNumberFormat="1" applyFont="1" applyProtection="1"/>
    <xf numFmtId="164" fontId="26" fillId="0" borderId="0" xfId="1" applyNumberFormat="1" applyFont="1" applyFill="1" applyProtection="1"/>
    <xf numFmtId="164" fontId="4" fillId="0" borderId="0" xfId="1" applyNumberFormat="1" applyFont="1" applyFill="1" applyBorder="1" applyProtection="1"/>
    <xf numFmtId="0" fontId="4" fillId="0" borderId="0" xfId="0" applyFont="1" applyBorder="1" applyProtection="1"/>
    <xf numFmtId="164" fontId="26" fillId="2" borderId="0" xfId="1" applyNumberFormat="1" applyFont="1" applyFill="1" applyProtection="1"/>
    <xf numFmtId="0" fontId="4" fillId="0" borderId="0" xfId="0" applyFont="1" applyFill="1" applyProtection="1"/>
    <xf numFmtId="0" fontId="4" fillId="0" borderId="0" xfId="0" applyFont="1" applyProtection="1"/>
    <xf numFmtId="166" fontId="4" fillId="0" borderId="0" xfId="0" applyNumberFormat="1" applyFont="1" applyFill="1" applyProtection="1"/>
    <xf numFmtId="166" fontId="4" fillId="0" borderId="0" xfId="0" applyNumberFormat="1" applyFont="1" applyProtection="1"/>
    <xf numFmtId="164" fontId="4" fillId="0" borderId="0" xfId="1" applyNumberFormat="1" applyFont="1" applyFill="1" applyProtection="1"/>
    <xf numFmtId="0" fontId="3" fillId="0" borderId="0" xfId="0" applyFont="1" applyBorder="1" applyProtection="1"/>
    <xf numFmtId="0" fontId="2" fillId="3" borderId="0" xfId="0" applyFont="1" applyFill="1" applyAlignment="1" applyProtection="1"/>
    <xf numFmtId="0" fontId="1" fillId="3" borderId="0" xfId="0" applyFont="1" applyFill="1" applyProtection="1"/>
    <xf numFmtId="0" fontId="1" fillId="8" borderId="0" xfId="0" applyFont="1" applyFill="1" applyProtection="1"/>
    <xf numFmtId="0" fontId="1" fillId="0" borderId="0" xfId="0" applyFont="1" applyFill="1" applyProtection="1"/>
    <xf numFmtId="0" fontId="11" fillId="0" borderId="0" xfId="0" applyFont="1" applyFill="1" applyAlignment="1" applyProtection="1">
      <alignment horizontal="center"/>
    </xf>
    <xf numFmtId="0" fontId="12" fillId="0" borderId="0" xfId="0" applyFont="1" applyFill="1" applyProtection="1"/>
    <xf numFmtId="166" fontId="1" fillId="8" borderId="0" xfId="0" applyNumberFormat="1" applyFont="1" applyFill="1" applyProtection="1"/>
    <xf numFmtId="0" fontId="12" fillId="0" borderId="2" xfId="0" applyFont="1" applyFill="1" applyBorder="1" applyProtection="1"/>
    <xf numFmtId="166" fontId="12" fillId="0" borderId="2" xfId="0" applyNumberFormat="1" applyFont="1" applyFill="1" applyBorder="1" applyProtection="1"/>
    <xf numFmtId="166" fontId="12" fillId="0" borderId="0" xfId="0" applyNumberFormat="1" applyFont="1" applyFill="1" applyAlignment="1" applyProtection="1">
      <alignment horizontal="right"/>
    </xf>
    <xf numFmtId="166" fontId="12" fillId="0" borderId="2" xfId="0" applyNumberFormat="1" applyFont="1" applyFill="1" applyBorder="1" applyAlignment="1" applyProtection="1">
      <alignment horizontal="right"/>
    </xf>
    <xf numFmtId="0" fontId="12" fillId="0" borderId="0" xfId="0" applyFont="1" applyFill="1" applyBorder="1" applyProtection="1"/>
    <xf numFmtId="49" fontId="12" fillId="0" borderId="0" xfId="0" applyNumberFormat="1" applyFont="1" applyFill="1" applyBorder="1" applyAlignment="1" applyProtection="1">
      <alignment horizontal="right"/>
    </xf>
    <xf numFmtId="2" fontId="12" fillId="0" borderId="0" xfId="0" applyNumberFormat="1" applyFont="1" applyFill="1" applyBorder="1" applyAlignment="1" applyProtection="1">
      <alignment horizontal="right"/>
    </xf>
    <xf numFmtId="166" fontId="1" fillId="0" borderId="2" xfId="0" applyNumberFormat="1" applyFont="1" applyFill="1" applyBorder="1" applyProtection="1"/>
    <xf numFmtId="0" fontId="1" fillId="0" borderId="0" xfId="0" applyFont="1" applyFill="1" applyBorder="1" applyProtection="1"/>
    <xf numFmtId="0" fontId="1" fillId="8" borderId="0" xfId="0" applyFont="1" applyFill="1" applyBorder="1" applyProtection="1"/>
    <xf numFmtId="0" fontId="12" fillId="0" borderId="0" xfId="0" applyNumberFormat="1" applyFont="1" applyFill="1" applyBorder="1" applyAlignment="1" applyProtection="1">
      <alignment horizontal="right"/>
    </xf>
    <xf numFmtId="10" fontId="12" fillId="0" borderId="0" xfId="0" applyNumberFormat="1" applyFont="1" applyFill="1" applyBorder="1" applyAlignment="1" applyProtection="1">
      <alignment horizontal="right"/>
    </xf>
    <xf numFmtId="10" fontId="1" fillId="0" borderId="0" xfId="2" applyNumberFormat="1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166" fontId="12" fillId="0" borderId="0" xfId="1" applyNumberFormat="1" applyFont="1" applyAlignment="1" applyProtection="1">
      <alignment horizontal="left"/>
    </xf>
    <xf numFmtId="0" fontId="25" fillId="0" borderId="0" xfId="0" applyFont="1" applyAlignment="1" applyProtection="1">
      <alignment horizontal="left"/>
      <protection locked="0"/>
    </xf>
    <xf numFmtId="166" fontId="12" fillId="0" borderId="0" xfId="1" applyNumberFormat="1" applyFont="1" applyFill="1" applyAlignment="1" applyProtection="1">
      <alignment horizontal="left"/>
    </xf>
    <xf numFmtId="9" fontId="25" fillId="0" borderId="0" xfId="2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25" fillId="0" borderId="0" xfId="0" applyFont="1" applyFill="1" applyAlignment="1" applyProtection="1">
      <alignment horizontal="left"/>
      <protection locked="0"/>
    </xf>
    <xf numFmtId="0" fontId="25" fillId="0" borderId="0" xfId="0" applyFont="1"/>
    <xf numFmtId="0" fontId="0" fillId="0" borderId="0" xfId="0" applyFont="1" applyFill="1"/>
    <xf numFmtId="1" fontId="1" fillId="0" borderId="0" xfId="1" applyNumberFormat="1" applyFont="1" applyAlignment="1">
      <alignment horizontal="left"/>
    </xf>
    <xf numFmtId="166" fontId="0" fillId="0" borderId="0" xfId="1" applyNumberFormat="1" applyFont="1"/>
    <xf numFmtId="166" fontId="0" fillId="0" borderId="0" xfId="1" applyNumberFormat="1" applyFont="1" applyFill="1"/>
    <xf numFmtId="166" fontId="25" fillId="0" borderId="0" xfId="1" applyNumberFormat="1" applyFont="1" applyAlignment="1">
      <alignment horizontal="left"/>
    </xf>
    <xf numFmtId="166" fontId="1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25" fillId="0" borderId="0" xfId="0" applyFont="1" applyAlignment="1" applyProtection="1">
      <alignment horizontal="left"/>
      <protection locked="0"/>
    </xf>
    <xf numFmtId="165" fontId="25" fillId="0" borderId="0" xfId="2" applyNumberFormat="1" applyFont="1" applyAlignment="1" applyProtection="1">
      <alignment horizontal="left"/>
      <protection locked="0"/>
    </xf>
    <xf numFmtId="176" fontId="25" fillId="0" borderId="0" xfId="2" applyNumberFormat="1" applyFont="1" applyAlignment="1" applyProtection="1">
      <alignment horizontal="left"/>
      <protection locked="0"/>
    </xf>
    <xf numFmtId="10" fontId="25" fillId="0" borderId="0" xfId="2" applyNumberFormat="1" applyFont="1" applyAlignment="1" applyProtection="1">
      <alignment horizontal="left"/>
      <protection locked="0"/>
    </xf>
    <xf numFmtId="172" fontId="25" fillId="0" borderId="0" xfId="1" applyNumberFormat="1" applyFont="1" applyAlignment="1" applyProtection="1">
      <alignment horizontal="left"/>
      <protection locked="0"/>
    </xf>
    <xf numFmtId="0" fontId="1" fillId="0" borderId="0" xfId="0" applyFont="1" applyProtection="1"/>
    <xf numFmtId="44" fontId="25" fillId="0" borderId="0" xfId="1" applyFont="1" applyAlignment="1" applyProtection="1">
      <alignment horizontal="left"/>
    </xf>
    <xf numFmtId="10" fontId="25" fillId="0" borderId="0" xfId="2" applyNumberFormat="1" applyFont="1" applyAlignment="1" applyProtection="1">
      <alignment horizontal="left"/>
    </xf>
    <xf numFmtId="0" fontId="7" fillId="0" borderId="0" xfId="0" applyFont="1" applyFill="1" applyProtection="1"/>
    <xf numFmtId="176" fontId="25" fillId="0" borderId="0" xfId="2" applyNumberFormat="1" applyFont="1" applyAlignment="1" applyProtection="1">
      <alignment horizontal="left"/>
    </xf>
    <xf numFmtId="0" fontId="4" fillId="0" borderId="0" xfId="0" applyFont="1"/>
    <xf numFmtId="166" fontId="12" fillId="0" borderId="0" xfId="1" applyNumberFormat="1" applyFont="1" applyAlignment="1" applyProtection="1">
      <alignment horizontal="left"/>
    </xf>
    <xf numFmtId="165" fontId="25" fillId="0" borderId="0" xfId="2" applyNumberFormat="1" applyFont="1" applyAlignment="1" applyProtection="1">
      <alignment horizontal="left"/>
      <protection locked="0"/>
    </xf>
    <xf numFmtId="0" fontId="25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</xf>
    <xf numFmtId="0" fontId="27" fillId="0" borderId="0" xfId="0" applyFont="1" applyAlignment="1">
      <alignment horizontal="left" wrapText="1"/>
    </xf>
    <xf numFmtId="166" fontId="3" fillId="0" borderId="0" xfId="1" applyNumberFormat="1" applyFont="1" applyAlignment="1" applyProtection="1">
      <alignment horizontal="left"/>
    </xf>
    <xf numFmtId="166" fontId="12" fillId="0" borderId="0" xfId="1" applyNumberFormat="1" applyFont="1" applyFill="1" applyAlignment="1" applyProtection="1">
      <alignment horizontal="left"/>
    </xf>
    <xf numFmtId="164" fontId="25" fillId="0" borderId="0" xfId="1" applyNumberFormat="1" applyFont="1" applyAlignment="1" applyProtection="1">
      <alignment horizontal="left"/>
      <protection locked="0"/>
    </xf>
    <xf numFmtId="9" fontId="25" fillId="0" borderId="0" xfId="2" applyFont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center"/>
    </xf>
    <xf numFmtId="0" fontId="11" fillId="6" borderId="0" xfId="0" applyFont="1" applyFill="1" applyAlignment="1" applyProtection="1">
      <alignment horizontal="center"/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4" xfId="0" applyFont="1" applyFill="1" applyBorder="1" applyAlignment="1" applyProtection="1">
      <alignment horizontal="center"/>
      <protection hidden="1"/>
    </xf>
    <xf numFmtId="170" fontId="1" fillId="0" borderId="3" xfId="0" applyNumberFormat="1" applyFont="1" applyFill="1" applyBorder="1" applyAlignment="1" applyProtection="1">
      <alignment horizontal="center"/>
      <protection hidden="1"/>
    </xf>
    <xf numFmtId="170" fontId="1" fillId="0" borderId="0" xfId="0" applyNumberFormat="1" applyFont="1" applyFill="1" applyBorder="1" applyAlignment="1" applyProtection="1">
      <alignment horizontal="center"/>
      <protection hidden="1"/>
    </xf>
    <xf numFmtId="170" fontId="1" fillId="0" borderId="4" xfId="0" applyNumberFormat="1" applyFont="1" applyFill="1" applyBorder="1" applyAlignment="1" applyProtection="1">
      <alignment horizontal="center"/>
      <protection hidden="1"/>
    </xf>
    <xf numFmtId="0" fontId="11" fillId="6" borderId="0" xfId="0" applyFont="1" applyFill="1" applyBorder="1" applyAlignment="1" applyProtection="1">
      <alignment horizontal="right" wrapText="1"/>
      <protection hidden="1"/>
    </xf>
    <xf numFmtId="0" fontId="11" fillId="6" borderId="3" xfId="0" applyFont="1" applyFill="1" applyBorder="1" applyAlignment="1" applyProtection="1">
      <alignment horizontal="right" wrapText="1"/>
      <protection hidden="1"/>
    </xf>
    <xf numFmtId="170" fontId="11" fillId="6" borderId="3" xfId="0" applyNumberFormat="1" applyFont="1" applyFill="1" applyBorder="1" applyAlignment="1" applyProtection="1">
      <alignment horizontal="right" wrapText="1"/>
      <protection hidden="1"/>
    </xf>
    <xf numFmtId="170" fontId="11" fillId="6" borderId="0" xfId="0" applyNumberFormat="1" applyFont="1" applyFill="1" applyBorder="1" applyAlignment="1" applyProtection="1">
      <alignment horizontal="right" wrapText="1"/>
      <protection hidden="1"/>
    </xf>
    <xf numFmtId="170" fontId="11" fillId="6" borderId="4" xfId="0" applyNumberFormat="1" applyFont="1" applyFill="1" applyBorder="1" applyAlignment="1" applyProtection="1">
      <alignment horizontal="right" wrapText="1"/>
      <protection hidden="1"/>
    </xf>
    <xf numFmtId="0" fontId="11" fillId="6" borderId="3" xfId="0" applyNumberFormat="1" applyFont="1" applyFill="1" applyBorder="1" applyAlignment="1" applyProtection="1">
      <alignment horizontal="right" wrapText="1"/>
      <protection hidden="1"/>
    </xf>
    <xf numFmtId="0" fontId="11" fillId="0" borderId="0" xfId="0" applyFont="1" applyFill="1" applyBorder="1" applyAlignment="1" applyProtection="1">
      <alignment horizontal="right" wrapText="1"/>
      <protection hidden="1"/>
    </xf>
    <xf numFmtId="170" fontId="11" fillId="0" borderId="0" xfId="0" applyNumberFormat="1" applyFont="1" applyFill="1" applyBorder="1" applyAlignment="1" applyProtection="1">
      <alignment horizontal="right" wrapText="1"/>
      <protection hidden="1"/>
    </xf>
    <xf numFmtId="0" fontId="11" fillId="0" borderId="0" xfId="0" applyNumberFormat="1" applyFont="1" applyFill="1" applyBorder="1" applyAlignment="1" applyProtection="1">
      <alignment horizontal="right" wrapText="1"/>
      <protection hidden="1"/>
    </xf>
  </cellXfs>
  <cellStyles count="5">
    <cellStyle name="Controlecel" xfId="4" builtinId="23"/>
    <cellStyle name="Komma" xfId="3" builtinId="3"/>
    <cellStyle name="Procent" xfId="2" builtinId="5"/>
    <cellStyle name="Standaard" xfId="0" builtinId="0"/>
    <cellStyle name="Valuta" xfId="1" builtinId="4"/>
  </cellStyles>
  <dxfs count="14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ont>
        <b/>
        <i val="0"/>
        <color rgb="FF9C0006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2863906365652"/>
          <c:y val="8.1518879007436776E-2"/>
          <c:w val="0.49841640608321386"/>
          <c:h val="0.79926934546749651"/>
        </c:manualLayout>
      </c:layout>
      <c:barChart>
        <c:barDir val="col"/>
        <c:grouping val="stacked"/>
        <c:varyColors val="0"/>
        <c:ser>
          <c:idx val="0"/>
          <c:order val="0"/>
          <c:tx>
            <c:v>Huur per woning per maand</c:v>
          </c:tx>
          <c:invertIfNegative val="0"/>
          <c:cat>
            <c:strRef>
              <c:f>Dashboard!$C$19:$D$19</c:f>
              <c:strCache>
                <c:ptCount val="2"/>
                <c:pt idx="0">
                  <c:v>&lt; liberalisatiegrens</c:v>
                </c:pt>
                <c:pt idx="1">
                  <c:v>&gt; liberalisatiegrens</c:v>
                </c:pt>
              </c:strCache>
            </c:strRef>
          </c:cat>
          <c:val>
            <c:numRef>
              <c:f>Dashboard!$C$31:$D$31</c:f>
              <c:numCache>
                <c:formatCode>"€"\ #,##0</c:formatCode>
                <c:ptCount val="2"/>
                <c:pt idx="0">
                  <c:v>500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2-4A20-BF5C-FD758626057C}"/>
            </c:ext>
          </c:extLst>
        </c:ser>
        <c:ser>
          <c:idx val="1"/>
          <c:order val="1"/>
          <c:tx>
            <c:strRef>
              <c:f>Dashboard!$B$32</c:f>
              <c:strCache>
                <c:ptCount val="1"/>
                <c:pt idx="0">
                  <c:v>Energierekening per woning per maand (na renovatie)</c:v>
                </c:pt>
              </c:strCache>
            </c:strRef>
          </c:tx>
          <c:invertIfNegative val="0"/>
          <c:cat>
            <c:strRef>
              <c:f>Dashboard!$C$19:$D$19</c:f>
              <c:strCache>
                <c:ptCount val="2"/>
                <c:pt idx="0">
                  <c:v>&lt; liberalisatiegrens</c:v>
                </c:pt>
                <c:pt idx="1">
                  <c:v>&gt; liberalisatiegrens</c:v>
                </c:pt>
              </c:strCache>
            </c:strRef>
          </c:cat>
          <c:val>
            <c:numRef>
              <c:f>Dashboard!$C$32:$D$32</c:f>
              <c:numCache>
                <c:formatCode>"€"\ 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2-4A20-BF5C-FD758626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0797824"/>
        <c:axId val="350799360"/>
      </c:barChart>
      <c:catAx>
        <c:axId val="35079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50799360"/>
        <c:crosses val="autoZero"/>
        <c:auto val="1"/>
        <c:lblAlgn val="ctr"/>
        <c:lblOffset val="100"/>
        <c:noMultiLvlLbl val="0"/>
      </c:catAx>
      <c:valAx>
        <c:axId val="350799360"/>
        <c:scaling>
          <c:orientation val="minMax"/>
        </c:scaling>
        <c:delete val="0"/>
        <c:axPos val="l"/>
        <c:majorGridlines>
          <c:spPr>
            <a:ln>
              <a:solidFill>
                <a:srgbClr val="4F81BD">
                  <a:alpha val="10000"/>
                </a:srgbClr>
              </a:solidFill>
            </a:ln>
          </c:spPr>
        </c:majorGridlines>
        <c:numFmt formatCode="&quot;€&quot;\ #,##0" sourceLinked="1"/>
        <c:majorTickMark val="none"/>
        <c:minorTickMark val="none"/>
        <c:tickLblPos val="nextTo"/>
        <c:crossAx val="3507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75279106858115"/>
          <c:y val="3.3980452674897126E-2"/>
          <c:w val="0.33540343342249912"/>
          <c:h val="0.888697530864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nl-NL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38407699037633E-2"/>
          <c:y val="5.357953329051595E-2"/>
          <c:w val="0.71926159230096243"/>
          <c:h val="0.81725000000000003"/>
        </c:manualLayout>
      </c:layout>
      <c:lineChart>
        <c:grouping val="standard"/>
        <c:varyColors val="0"/>
        <c:ser>
          <c:idx val="0"/>
          <c:order val="0"/>
          <c:tx>
            <c:v>ICR</c:v>
          </c:tx>
          <c:marker>
            <c:symbol val="none"/>
          </c:marker>
          <c:cat>
            <c:numRef>
              <c:f>Exploitatie!$C$1:$P$1</c:f>
              <c:numCache>
                <c:formatCode>0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Exploitatie!$C$70:$P$70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4-4486-B713-EDF15EA8E091}"/>
            </c:ext>
          </c:extLst>
        </c:ser>
        <c:ser>
          <c:idx val="1"/>
          <c:order val="1"/>
          <c:tx>
            <c:strRef>
              <c:f>Exploitatie!$A$77</c:f>
              <c:strCache>
                <c:ptCount val="1"/>
                <c:pt idx="0">
                  <c:v>ICR norm</c:v>
                </c:pt>
              </c:strCache>
            </c:strRef>
          </c:tx>
          <c:marker>
            <c:symbol val="none"/>
          </c:marker>
          <c:val>
            <c:numRef>
              <c:f>Exploitatie!$C$77:$P$77</c:f>
              <c:numCache>
                <c:formatCode>0.0</c:formatCode>
                <c:ptCount val="14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4-4486-B713-EDF15EA8E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2992"/>
        <c:axId val="350294784"/>
      </c:lineChart>
      <c:catAx>
        <c:axId val="350292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50294784"/>
        <c:crosses val="autoZero"/>
        <c:auto val="1"/>
        <c:lblAlgn val="ctr"/>
        <c:lblOffset val="100"/>
        <c:tickLblSkip val="2"/>
        <c:noMultiLvlLbl val="0"/>
      </c:catAx>
      <c:valAx>
        <c:axId val="350294784"/>
        <c:scaling>
          <c:orientation val="minMax"/>
        </c:scaling>
        <c:delete val="0"/>
        <c:axPos val="l"/>
        <c:majorGridlines>
          <c:spPr>
            <a:ln>
              <a:solidFill>
                <a:srgbClr val="4F81BD">
                  <a:alpha val="20000"/>
                </a:srgbClr>
              </a:solidFill>
            </a:ln>
          </c:spPr>
        </c:majorGridlines>
        <c:numFmt formatCode="#.#00" sourceLinked="0"/>
        <c:majorTickMark val="none"/>
        <c:minorTickMark val="none"/>
        <c:tickLblPos val="nextTo"/>
        <c:crossAx val="350292992"/>
        <c:crosses val="autoZero"/>
        <c:crossBetween val="between"/>
        <c:majorUnit val="1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nl-NL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38407699037633E-2"/>
          <c:y val="5.357953329051595E-2"/>
          <c:w val="0.71926159230096243"/>
          <c:h val="0.81725000000000003"/>
        </c:manualLayout>
      </c:layout>
      <c:lineChart>
        <c:grouping val="standard"/>
        <c:varyColors val="0"/>
        <c:ser>
          <c:idx val="0"/>
          <c:order val="0"/>
          <c:tx>
            <c:v>DSCR</c:v>
          </c:tx>
          <c:marker>
            <c:symbol val="none"/>
          </c:marker>
          <c:cat>
            <c:numRef>
              <c:f>Exploitatie!$C$1:$P$1</c:f>
              <c:numCache>
                <c:formatCode>0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Exploitatie!$C$71:$P$71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3-45E3-A6E6-AA51923DD69D}"/>
            </c:ext>
          </c:extLst>
        </c:ser>
        <c:ser>
          <c:idx val="1"/>
          <c:order val="1"/>
          <c:tx>
            <c:strRef>
              <c:f>Exploitatie!$A$78</c:f>
              <c:strCache>
                <c:ptCount val="1"/>
                <c:pt idx="0">
                  <c:v>DSCR norm</c:v>
                </c:pt>
              </c:strCache>
            </c:strRef>
          </c:tx>
          <c:marker>
            <c:symbol val="none"/>
          </c:marker>
          <c:val>
            <c:numRef>
              <c:f>Exploitatie!$C$78:$P$78</c:f>
              <c:numCache>
                <c:formatCode>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3-45E3-A6E6-AA51923D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36896"/>
        <c:axId val="350338432"/>
      </c:lineChart>
      <c:catAx>
        <c:axId val="35033689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50338432"/>
        <c:crosses val="autoZero"/>
        <c:auto val="1"/>
        <c:lblAlgn val="ctr"/>
        <c:lblOffset val="100"/>
        <c:tickLblSkip val="2"/>
        <c:noMultiLvlLbl val="0"/>
      </c:catAx>
      <c:valAx>
        <c:axId val="350338432"/>
        <c:scaling>
          <c:orientation val="minMax"/>
        </c:scaling>
        <c:delete val="0"/>
        <c:axPos val="l"/>
        <c:majorGridlines>
          <c:spPr>
            <a:ln>
              <a:solidFill>
                <a:srgbClr val="4F81BD">
                  <a:alpha val="20000"/>
                </a:srgbClr>
              </a:solidFill>
            </a:ln>
          </c:spPr>
        </c:majorGridlines>
        <c:numFmt formatCode="#.#00" sourceLinked="0"/>
        <c:majorTickMark val="none"/>
        <c:minorTickMark val="none"/>
        <c:tickLblPos val="nextTo"/>
        <c:crossAx val="350336896"/>
        <c:crosses val="autoZero"/>
        <c:crossBetween val="between"/>
        <c:majorUnit val="0.5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nl-NL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38407699037633E-2"/>
          <c:y val="5.357953329051595E-2"/>
          <c:w val="0.66079271185401733"/>
          <c:h val="0.80820441595441594"/>
        </c:manualLayout>
      </c:layout>
      <c:lineChart>
        <c:grouping val="standard"/>
        <c:varyColors val="0"/>
        <c:ser>
          <c:idx val="0"/>
          <c:order val="0"/>
          <c:tx>
            <c:v>Solvabiliteit</c:v>
          </c:tx>
          <c:marker>
            <c:symbol val="none"/>
          </c:marker>
          <c:cat>
            <c:numRef>
              <c:f>Exploitatie!$C$1:$P$1</c:f>
              <c:numCache>
                <c:formatCode>0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Exploitatie!$C$72:$P$72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54-44B2-81B5-61B565B688A8}"/>
            </c:ext>
          </c:extLst>
        </c:ser>
        <c:ser>
          <c:idx val="1"/>
          <c:order val="1"/>
          <c:tx>
            <c:strRef>
              <c:f>Exploitatie!$A$79</c:f>
              <c:strCache>
                <c:ptCount val="1"/>
                <c:pt idx="0">
                  <c:v>Solvabiliteit norm</c:v>
                </c:pt>
              </c:strCache>
            </c:strRef>
          </c:tx>
          <c:marker>
            <c:symbol val="none"/>
          </c:marker>
          <c:val>
            <c:numRef>
              <c:f>Exploitatie!$C$79:$P$79</c:f>
              <c:numCache>
                <c:formatCode>0%</c:formatCode>
                <c:ptCount val="14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54-44B2-81B5-61B565B68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48032"/>
        <c:axId val="350349568"/>
      </c:lineChart>
      <c:catAx>
        <c:axId val="3503480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50349568"/>
        <c:crosses val="autoZero"/>
        <c:auto val="1"/>
        <c:lblAlgn val="ctr"/>
        <c:lblOffset val="100"/>
        <c:tickLblSkip val="2"/>
        <c:noMultiLvlLbl val="0"/>
      </c:catAx>
      <c:valAx>
        <c:axId val="350349568"/>
        <c:scaling>
          <c:orientation val="minMax"/>
        </c:scaling>
        <c:delete val="0"/>
        <c:axPos val="l"/>
        <c:majorGridlines>
          <c:spPr>
            <a:ln>
              <a:solidFill>
                <a:srgbClr val="4F81BD">
                  <a:alpha val="20000"/>
                </a:srgbClr>
              </a:solidFill>
            </a:ln>
          </c:spPr>
        </c:majorGridlines>
        <c:numFmt formatCode="#.#00" sourceLinked="0"/>
        <c:majorTickMark val="none"/>
        <c:minorTickMark val="none"/>
        <c:tickLblPos val="nextTo"/>
        <c:crossAx val="350348032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nl-NL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38407699037633E-2"/>
          <c:y val="5.357953329051595E-2"/>
          <c:w val="0.71926159230096243"/>
          <c:h val="0.81725000000000003"/>
        </c:manualLayout>
      </c:layout>
      <c:lineChart>
        <c:grouping val="standard"/>
        <c:varyColors val="0"/>
        <c:ser>
          <c:idx val="0"/>
          <c:order val="0"/>
          <c:tx>
            <c:v>Loan-to-Value</c:v>
          </c:tx>
          <c:marker>
            <c:symbol val="none"/>
          </c:marker>
          <c:cat>
            <c:numRef>
              <c:f>Exploitatie!$C$1:$P$1</c:f>
              <c:numCache>
                <c:formatCode>0</c:formatCode>
                <c:ptCount val="1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</c:numCache>
            </c:numRef>
          </c:cat>
          <c:val>
            <c:numRef>
              <c:f>Exploitatie!$C$73:$P$73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0-43B3-B947-48F20386A4BB}"/>
            </c:ext>
          </c:extLst>
        </c:ser>
        <c:ser>
          <c:idx val="1"/>
          <c:order val="1"/>
          <c:tx>
            <c:strRef>
              <c:f>Exploitatie!$A$80</c:f>
              <c:strCache>
                <c:ptCount val="1"/>
                <c:pt idx="0">
                  <c:v>LTV norm</c:v>
                </c:pt>
              </c:strCache>
            </c:strRef>
          </c:tx>
          <c:marker>
            <c:symbol val="none"/>
          </c:marker>
          <c:val>
            <c:numRef>
              <c:f>Exploitatie!$C$80:$P$80</c:f>
              <c:numCache>
                <c:formatCode>0%</c:formatCode>
                <c:ptCount val="14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0-43B3-B947-48F20386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13376"/>
        <c:axId val="221414912"/>
      </c:lineChart>
      <c:catAx>
        <c:axId val="2214133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221414912"/>
        <c:crosses val="autoZero"/>
        <c:auto val="1"/>
        <c:lblAlgn val="ctr"/>
        <c:lblOffset val="100"/>
        <c:tickLblSkip val="2"/>
        <c:noMultiLvlLbl val="0"/>
      </c:catAx>
      <c:valAx>
        <c:axId val="221414912"/>
        <c:scaling>
          <c:orientation val="minMax"/>
        </c:scaling>
        <c:delete val="0"/>
        <c:axPos val="l"/>
        <c:majorGridlines>
          <c:spPr>
            <a:ln>
              <a:solidFill>
                <a:srgbClr val="4F81BD">
                  <a:alpha val="20000"/>
                </a:srgbClr>
              </a:solidFill>
            </a:ln>
          </c:spPr>
        </c:majorGridlines>
        <c:numFmt formatCode="#.#00" sourceLinked="0"/>
        <c:majorTickMark val="none"/>
        <c:minorTickMark val="none"/>
        <c:tickLblPos val="nextTo"/>
        <c:crossAx val="221413376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nl-NL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38407699037633E-2"/>
          <c:y val="6.2015503875968991E-2"/>
          <c:w val="0.70868794326241169"/>
          <c:h val="0.889665242165242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Exploitatie!$A$94</c:f>
              <c:strCache>
                <c:ptCount val="1"/>
                <c:pt idx="0">
                  <c:v>BAR</c:v>
                </c:pt>
              </c:strCache>
            </c:strRef>
          </c:tx>
          <c:invertIfNegative val="0"/>
          <c:val>
            <c:numRef>
              <c:f>Exploitatie!$C$94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8-44D4-86C9-0AE447CA4DA8}"/>
            </c:ext>
          </c:extLst>
        </c:ser>
        <c:ser>
          <c:idx val="1"/>
          <c:order val="1"/>
          <c:tx>
            <c:strRef>
              <c:f>Exploitatie!$A$95</c:f>
              <c:strCache>
                <c:ptCount val="1"/>
                <c:pt idx="0">
                  <c:v>NAR</c:v>
                </c:pt>
              </c:strCache>
            </c:strRef>
          </c:tx>
          <c:invertIfNegative val="0"/>
          <c:val>
            <c:numRef>
              <c:f>Exploitatie!$C$95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8-44D4-86C9-0AE447CA4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221432832"/>
        <c:axId val="221438720"/>
      </c:barChart>
      <c:catAx>
        <c:axId val="221432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21438720"/>
        <c:crosses val="autoZero"/>
        <c:auto val="1"/>
        <c:lblAlgn val="ctr"/>
        <c:lblOffset val="100"/>
        <c:tickMarkSkip val="2"/>
        <c:noMultiLvlLbl val="0"/>
      </c:catAx>
      <c:valAx>
        <c:axId val="221438720"/>
        <c:scaling>
          <c:orientation val="minMax"/>
        </c:scaling>
        <c:delete val="0"/>
        <c:axPos val="l"/>
        <c:majorGridlines>
          <c:spPr>
            <a:ln>
              <a:solidFill>
                <a:srgbClr val="4F81BD">
                  <a:alpha val="20000"/>
                </a:srgbClr>
              </a:solidFill>
            </a:ln>
          </c:spPr>
        </c:majorGridlines>
        <c:numFmt formatCode="0.0%" sourceLinked="1"/>
        <c:majorTickMark val="none"/>
        <c:minorTickMark val="none"/>
        <c:tickLblPos val="nextTo"/>
        <c:crossAx val="22143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590602836879883"/>
          <c:y val="0.2135505698005698"/>
          <c:w val="9.6572301024428694E-2"/>
          <c:h val="0.618126780626780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nl-NL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71</xdr:row>
      <xdr:rowOff>9525</xdr:rowOff>
    </xdr:from>
    <xdr:to>
      <xdr:col>3</xdr:col>
      <xdr:colOff>9524</xdr:colOff>
      <xdr:row>81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1209675</xdr:colOff>
      <xdr:row>1</xdr:row>
      <xdr:rowOff>85726</xdr:rowOff>
    </xdr:from>
    <xdr:to>
      <xdr:col>5</xdr:col>
      <xdr:colOff>104775</xdr:colOff>
      <xdr:row>7</xdr:row>
      <xdr:rowOff>66676</xdr:rowOff>
    </xdr:to>
    <xdr:pic>
      <xdr:nvPicPr>
        <xdr:cNvPr id="15" name="Afbeelding 14" descr="Naamloos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C3C3C3"/>
            </a:clrFrom>
            <a:clrTo>
              <a:srgbClr val="C3C3C3">
                <a:alpha val="0"/>
              </a:srgbClr>
            </a:clrTo>
          </a:clrChange>
        </a:blip>
        <a:stretch>
          <a:fillRect/>
        </a:stretch>
      </xdr:blipFill>
      <xdr:spPr>
        <a:xfrm>
          <a:off x="6896100" y="276226"/>
          <a:ext cx="123825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1391116</xdr:colOff>
      <xdr:row>7</xdr:row>
      <xdr:rowOff>50238</xdr:rowOff>
    </xdr:to>
    <xdr:pic>
      <xdr:nvPicPr>
        <xdr:cNvPr id="4" name="Afbeelding 3" descr="logo finance ideas RGB-LC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2000716" cy="1345638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111</xdr:row>
      <xdr:rowOff>9525</xdr:rowOff>
    </xdr:from>
    <xdr:to>
      <xdr:col>2</xdr:col>
      <xdr:colOff>1456500</xdr:colOff>
      <xdr:row>118</xdr:row>
      <xdr:rowOff>175275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121</xdr:row>
      <xdr:rowOff>9525</xdr:rowOff>
    </xdr:from>
    <xdr:to>
      <xdr:col>2</xdr:col>
      <xdr:colOff>1466025</xdr:colOff>
      <xdr:row>128</xdr:row>
      <xdr:rowOff>175275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131</xdr:row>
      <xdr:rowOff>9525</xdr:rowOff>
    </xdr:from>
    <xdr:to>
      <xdr:col>2</xdr:col>
      <xdr:colOff>1466025</xdr:colOff>
      <xdr:row>138</xdr:row>
      <xdr:rowOff>175275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141</xdr:row>
      <xdr:rowOff>9524</xdr:rowOff>
    </xdr:from>
    <xdr:to>
      <xdr:col>2</xdr:col>
      <xdr:colOff>1466025</xdr:colOff>
      <xdr:row>148</xdr:row>
      <xdr:rowOff>175274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1209677</xdr:colOff>
      <xdr:row>111</xdr:row>
      <xdr:rowOff>76201</xdr:rowOff>
    </xdr:from>
    <xdr:to>
      <xdr:col>5</xdr:col>
      <xdr:colOff>18527</xdr:colOff>
      <xdr:row>117</xdr:row>
      <xdr:rowOff>84759</xdr:rowOff>
    </xdr:to>
    <xdr:pic>
      <xdr:nvPicPr>
        <xdr:cNvPr id="12" name="Afbeelding 11" descr="Naamloos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C3C3C3"/>
            </a:clrFrom>
            <a:clrTo>
              <a:srgbClr val="C3C3C3">
                <a:alpha val="0"/>
              </a:srgbClr>
            </a:clrTo>
          </a:clrChange>
        </a:blip>
        <a:stretch>
          <a:fillRect/>
        </a:stretch>
      </xdr:blipFill>
      <xdr:spPr>
        <a:xfrm>
          <a:off x="6896102" y="13268326"/>
          <a:ext cx="1152000" cy="1056308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1209677</xdr:colOff>
      <xdr:row>121</xdr:row>
      <xdr:rowOff>85725</xdr:rowOff>
    </xdr:from>
    <xdr:to>
      <xdr:col>5</xdr:col>
      <xdr:colOff>18527</xdr:colOff>
      <xdr:row>127</xdr:row>
      <xdr:rowOff>95250</xdr:rowOff>
    </xdr:to>
    <xdr:pic>
      <xdr:nvPicPr>
        <xdr:cNvPr id="13" name="Afbeelding 12" descr="Naamloos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C3C3C3"/>
            </a:clrFrom>
            <a:clrTo>
              <a:srgbClr val="C3C3C3">
                <a:alpha val="0"/>
              </a:srgbClr>
            </a:clrTo>
          </a:clrChange>
        </a:blip>
        <a:stretch>
          <a:fillRect/>
        </a:stretch>
      </xdr:blipFill>
      <xdr:spPr>
        <a:xfrm>
          <a:off x="6896102" y="15468600"/>
          <a:ext cx="1152000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1209677</xdr:colOff>
      <xdr:row>131</xdr:row>
      <xdr:rowOff>76200</xdr:rowOff>
    </xdr:from>
    <xdr:to>
      <xdr:col>5</xdr:col>
      <xdr:colOff>18527</xdr:colOff>
      <xdr:row>137</xdr:row>
      <xdr:rowOff>85725</xdr:rowOff>
    </xdr:to>
    <xdr:pic>
      <xdr:nvPicPr>
        <xdr:cNvPr id="14" name="Afbeelding 13" descr="Naamloos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C3C3C3"/>
            </a:clrFrom>
            <a:clrTo>
              <a:srgbClr val="C3C3C3">
                <a:alpha val="0"/>
              </a:srgbClr>
            </a:clrTo>
          </a:clrChange>
        </a:blip>
        <a:stretch>
          <a:fillRect/>
        </a:stretch>
      </xdr:blipFill>
      <xdr:spPr>
        <a:xfrm>
          <a:off x="6896102" y="17649825"/>
          <a:ext cx="1152000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1209677</xdr:colOff>
      <xdr:row>141</xdr:row>
      <xdr:rowOff>66676</xdr:rowOff>
    </xdr:from>
    <xdr:to>
      <xdr:col>5</xdr:col>
      <xdr:colOff>18527</xdr:colOff>
      <xdr:row>147</xdr:row>
      <xdr:rowOff>95250</xdr:rowOff>
    </xdr:to>
    <xdr:pic>
      <xdr:nvPicPr>
        <xdr:cNvPr id="16" name="Afbeelding 15" descr="Naamloos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C3C3C3"/>
            </a:clrFrom>
            <a:clrTo>
              <a:srgbClr val="C3C3C3">
                <a:alpha val="0"/>
              </a:srgbClr>
            </a:clrTo>
          </a:clrChange>
        </a:blip>
        <a:stretch>
          <a:fillRect/>
        </a:stretch>
      </xdr:blipFill>
      <xdr:spPr>
        <a:xfrm>
          <a:off x="6896102" y="19831051"/>
          <a:ext cx="1152000" cy="10763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9524</xdr:rowOff>
    </xdr:from>
    <xdr:to>
      <xdr:col>2</xdr:col>
      <xdr:colOff>1466025</xdr:colOff>
      <xdr:row>106</xdr:row>
      <xdr:rowOff>175274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1209677</xdr:colOff>
      <xdr:row>91</xdr:row>
      <xdr:rowOff>95250</xdr:rowOff>
    </xdr:from>
    <xdr:to>
      <xdr:col>5</xdr:col>
      <xdr:colOff>18527</xdr:colOff>
      <xdr:row>97</xdr:row>
      <xdr:rowOff>76200</xdr:rowOff>
    </xdr:to>
    <xdr:pic>
      <xdr:nvPicPr>
        <xdr:cNvPr id="18" name="Afbeelding 17" descr="Naamloos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C3C3C3"/>
            </a:clrFrom>
            <a:clrTo>
              <a:srgbClr val="C3C3C3">
                <a:alpha val="0"/>
              </a:srgbClr>
            </a:clrTo>
          </a:clrChange>
        </a:blip>
        <a:stretch>
          <a:fillRect/>
        </a:stretch>
      </xdr:blipFill>
      <xdr:spPr>
        <a:xfrm>
          <a:off x="7157510" y="15621000"/>
          <a:ext cx="1147767" cy="1018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2962460</xdr:colOff>
      <xdr:row>1</xdr:row>
      <xdr:rowOff>168392</xdr:rowOff>
    </xdr:from>
    <xdr:to>
      <xdr:col>9</xdr:col>
      <xdr:colOff>50997</xdr:colOff>
      <xdr:row>8</xdr:row>
      <xdr:rowOff>180530</xdr:rowOff>
    </xdr:to>
    <xdr:pic>
      <xdr:nvPicPr>
        <xdr:cNvPr id="2" name="Afbeelding 1" descr="logo finance ideas RGB-LC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82960" y="368417"/>
          <a:ext cx="1993912" cy="1345638"/>
        </a:xfrm>
        <a:prstGeom prst="rect">
          <a:avLst/>
        </a:prstGeom>
      </xdr:spPr>
    </xdr:pic>
    <xdr:clientData/>
  </xdr:twoCellAnchor>
  <xdr:twoCellAnchor>
    <xdr:from>
      <xdr:col>7</xdr:col>
      <xdr:colOff>54427</xdr:colOff>
      <xdr:row>3</xdr:row>
      <xdr:rowOff>149679</xdr:rowOff>
    </xdr:from>
    <xdr:to>
      <xdr:col>7</xdr:col>
      <xdr:colOff>2830284</xdr:colOff>
      <xdr:row>6</xdr:row>
      <xdr:rowOff>1</xdr:rowOff>
    </xdr:to>
    <xdr:sp macro="" textlink="">
      <xdr:nvSpPr>
        <xdr:cNvPr id="3" name="Afgeronde rechtho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1674927" y="730704"/>
          <a:ext cx="2775857" cy="42182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400"/>
            <a:t>Beveiliging opheffen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H174"/>
  <sheetViews>
    <sheetView showGridLines="0" topLeftCell="A92" zoomScale="90" zoomScaleNormal="90" workbookViewId="0">
      <selection activeCell="C31" sqref="C31"/>
    </sheetView>
  </sheetViews>
  <sheetFormatPr defaultColWidth="0" defaultRowHeight="15" zeroHeight="1" x14ac:dyDescent="0.25"/>
  <cols>
    <col min="1" max="1" width="9.140625" style="275" customWidth="1"/>
    <col min="2" max="2" width="57.85546875" style="275" customWidth="1"/>
    <col min="3" max="3" width="22" style="275" bestFit="1" customWidth="1"/>
    <col min="4" max="4" width="18.28515625" style="275" bestFit="1" customWidth="1"/>
    <col min="5" max="5" width="16.85546875" style="275" customWidth="1"/>
    <col min="6" max="6" width="8.7109375" style="276" bestFit="1" customWidth="1"/>
    <col min="7" max="7" width="5" style="277" customWidth="1"/>
    <col min="8" max="8" width="28.7109375" style="275" hidden="1" customWidth="1"/>
    <col min="9" max="16384" width="9.140625" style="275" hidden="1"/>
  </cols>
  <sheetData>
    <row r="1" spans="2:7" x14ac:dyDescent="0.25"/>
    <row r="2" spans="2:7" x14ac:dyDescent="0.25"/>
    <row r="3" spans="2:7" ht="20.100000000000001" customHeight="1" x14ac:dyDescent="0.25">
      <c r="E3" s="278" t="e">
        <f ca="1">IF(OR(E85="Rood",E101="Rood",E113="Rood",E123="Rood",E133="Rood",E143="Rood"),"Rood","")</f>
        <v>#DIV/0!</v>
      </c>
    </row>
    <row r="4" spans="2:7" ht="6.95" customHeight="1" x14ac:dyDescent="0.25"/>
    <row r="5" spans="2:7" ht="20.100000000000001" customHeight="1" x14ac:dyDescent="0.25">
      <c r="C5" s="279" t="str">
        <f>"Project "&amp;C12</f>
        <v xml:space="preserve">Project </v>
      </c>
      <c r="E5" s="280" t="e">
        <f ca="1">IF(E3&lt;&gt;"Rood",IF(OR(E87="Oranje",E103="Oranje",E115="Oranje",E125="Oranje",E135="Oranje",E145="Oranje"),"Oranje",""),"")</f>
        <v>#DIV/0!</v>
      </c>
      <c r="F5" s="281"/>
    </row>
    <row r="6" spans="2:7" ht="6.95" customHeight="1" x14ac:dyDescent="0.25"/>
    <row r="7" spans="2:7" ht="20.100000000000001" customHeight="1" x14ac:dyDescent="0.25">
      <c r="E7" s="280" t="e">
        <f ca="1">IF(E3&lt;&gt;"Rood",IF(E5&lt;&gt;"Oranje","Groen",""),"")</f>
        <v>#DIV/0!</v>
      </c>
      <c r="F7" s="281"/>
    </row>
    <row r="8" spans="2:7" x14ac:dyDescent="0.25">
      <c r="B8" s="282">
        <f ca="1">YEAR(TODAY())</f>
        <v>2019</v>
      </c>
    </row>
    <row r="9" spans="2:7" s="284" customFormat="1" x14ac:dyDescent="0.25">
      <c r="B9" s="283" t="s">
        <v>14</v>
      </c>
      <c r="G9" s="285"/>
    </row>
    <row r="10" spans="2:7" s="276" customFormat="1" x14ac:dyDescent="0.25">
      <c r="B10" s="286"/>
      <c r="G10" s="287"/>
    </row>
    <row r="11" spans="2:7" x14ac:dyDescent="0.25">
      <c r="B11" s="279" t="s">
        <v>3</v>
      </c>
    </row>
    <row r="12" spans="2:7" x14ac:dyDescent="0.25">
      <c r="B12" s="277" t="s">
        <v>892</v>
      </c>
      <c r="C12" s="251"/>
      <c r="D12" s="364"/>
      <c r="E12" s="364"/>
      <c r="F12" s="365"/>
      <c r="G12" s="5"/>
    </row>
    <row r="13" spans="2:7" x14ac:dyDescent="0.25">
      <c r="B13" s="275" t="s">
        <v>698</v>
      </c>
      <c r="C13" s="388">
        <v>2019</v>
      </c>
      <c r="D13" s="388"/>
      <c r="E13" s="388"/>
      <c r="F13" s="366"/>
      <c r="G13" s="5"/>
    </row>
    <row r="14" spans="2:7" x14ac:dyDescent="0.25">
      <c r="B14" s="275" t="s">
        <v>86</v>
      </c>
      <c r="C14" s="388">
        <v>1970</v>
      </c>
      <c r="D14" s="388"/>
      <c r="E14" s="388"/>
      <c r="F14" s="366"/>
      <c r="G14" s="5"/>
    </row>
    <row r="15" spans="2:7" x14ac:dyDescent="0.25">
      <c r="B15" s="275" t="s">
        <v>599</v>
      </c>
      <c r="C15" s="388" t="s">
        <v>118</v>
      </c>
      <c r="D15" s="388"/>
      <c r="E15" s="388"/>
      <c r="F15" s="366"/>
      <c r="G15" s="5"/>
    </row>
    <row r="16" spans="2:7" hidden="1" x14ac:dyDescent="0.25">
      <c r="B16" s="275" t="s">
        <v>596</v>
      </c>
      <c r="C16" s="389" t="str">
        <f>INDEX(Gebiedsindeling!$C$7:$C$399,MATCH(Dashboard!C17,Gebiedsindeling!$A$7:$A$399,0),0)</f>
        <v>Noord-Drenthe</v>
      </c>
      <c r="D16" s="389"/>
      <c r="E16" s="389"/>
      <c r="F16" s="274"/>
      <c r="G16" s="5"/>
    </row>
    <row r="17" spans="2:7" x14ac:dyDescent="0.25">
      <c r="B17" s="275" t="s">
        <v>600</v>
      </c>
      <c r="C17" s="388" t="s">
        <v>176</v>
      </c>
      <c r="D17" s="388"/>
      <c r="E17" s="388"/>
      <c r="F17" s="366"/>
      <c r="G17" s="5"/>
    </row>
    <row r="18" spans="2:7" x14ac:dyDescent="0.25">
      <c r="C18" s="367"/>
      <c r="D18" s="2"/>
      <c r="E18" s="2"/>
      <c r="F18" s="2"/>
      <c r="G18" s="5"/>
    </row>
    <row r="19" spans="2:7" x14ac:dyDescent="0.25">
      <c r="C19" s="1" t="s">
        <v>9</v>
      </c>
      <c r="D19" s="1" t="s">
        <v>862</v>
      </c>
      <c r="E19" s="230"/>
      <c r="F19" s="2"/>
      <c r="G19" s="5"/>
    </row>
    <row r="20" spans="2:7" x14ac:dyDescent="0.25">
      <c r="B20" s="275" t="s">
        <v>912</v>
      </c>
      <c r="C20" s="361">
        <v>0</v>
      </c>
      <c r="D20" s="361">
        <v>0</v>
      </c>
      <c r="E20" s="5"/>
      <c r="F20" s="368"/>
      <c r="G20" s="230"/>
    </row>
    <row r="21" spans="2:7" x14ac:dyDescent="0.25">
      <c r="B21" s="275" t="s">
        <v>907</v>
      </c>
      <c r="C21" s="361">
        <v>0</v>
      </c>
      <c r="D21" s="361">
        <v>0</v>
      </c>
      <c r="E21" s="5"/>
      <c r="F21" s="368"/>
      <c r="G21" s="230"/>
    </row>
    <row r="22" spans="2:7" x14ac:dyDescent="0.25">
      <c r="B22" s="275" t="s">
        <v>913</v>
      </c>
      <c r="C22" s="369">
        <f>C20+C21</f>
        <v>0</v>
      </c>
      <c r="D22" s="369">
        <f>D20+D21</f>
        <v>0</v>
      </c>
      <c r="E22" s="5"/>
      <c r="F22" s="368"/>
      <c r="G22" s="230"/>
    </row>
    <row r="23" spans="2:7" x14ac:dyDescent="0.25">
      <c r="B23" s="275" t="s">
        <v>695</v>
      </c>
      <c r="C23" s="361">
        <v>0</v>
      </c>
      <c r="D23" s="361">
        <v>0</v>
      </c>
      <c r="E23" s="5"/>
      <c r="F23" s="368"/>
      <c r="G23" s="230"/>
    </row>
    <row r="24" spans="2:7" x14ac:dyDescent="0.25">
      <c r="B24" s="275" t="s">
        <v>897</v>
      </c>
      <c r="C24" s="252">
        <v>31550</v>
      </c>
      <c r="D24" s="252">
        <v>0</v>
      </c>
      <c r="E24" s="370"/>
      <c r="F24" s="371"/>
      <c r="G24" s="230"/>
    </row>
    <row r="25" spans="2:7" x14ac:dyDescent="0.25">
      <c r="B25" s="275" t="s">
        <v>739</v>
      </c>
      <c r="C25" s="363">
        <v>0.05</v>
      </c>
      <c r="D25" s="363">
        <v>0</v>
      </c>
      <c r="E25" s="370"/>
      <c r="F25" s="371"/>
      <c r="G25" s="230"/>
    </row>
    <row r="26" spans="2:7" x14ac:dyDescent="0.25">
      <c r="B26" s="275" t="s">
        <v>898</v>
      </c>
      <c r="C26" s="252" t="s">
        <v>891</v>
      </c>
      <c r="D26" s="270"/>
      <c r="E26" s="370"/>
      <c r="F26" s="371"/>
      <c r="G26" s="230"/>
    </row>
    <row r="27" spans="2:7" x14ac:dyDescent="0.25">
      <c r="B27" s="275" t="s">
        <v>899</v>
      </c>
      <c r="C27" s="269">
        <v>0.06</v>
      </c>
      <c r="D27" s="269">
        <v>0.06</v>
      </c>
      <c r="E27" s="370"/>
      <c r="F27" s="371"/>
      <c r="G27" s="230"/>
    </row>
    <row r="28" spans="2:7" x14ac:dyDescent="0.25">
      <c r="B28" s="275" t="s">
        <v>6</v>
      </c>
      <c r="C28" s="252" t="s">
        <v>868</v>
      </c>
      <c r="D28" s="252" t="s">
        <v>868</v>
      </c>
      <c r="E28" s="370"/>
      <c r="F28" s="371"/>
      <c r="G28" s="230"/>
    </row>
    <row r="29" spans="2:7" x14ac:dyDescent="0.25">
      <c r="C29" s="372"/>
      <c r="D29" s="372"/>
      <c r="E29" s="370"/>
      <c r="F29" s="371"/>
      <c r="G29" s="230"/>
    </row>
    <row r="30" spans="2:7" x14ac:dyDescent="0.25">
      <c r="B30" s="279" t="s">
        <v>4</v>
      </c>
      <c r="C30" s="372"/>
      <c r="D30" s="372"/>
      <c r="E30" s="370"/>
      <c r="F30" s="371"/>
      <c r="G30" s="230"/>
    </row>
    <row r="31" spans="2:7" x14ac:dyDescent="0.25">
      <c r="B31" s="275" t="s">
        <v>696</v>
      </c>
      <c r="C31" s="253">
        <v>500</v>
      </c>
      <c r="D31" s="253">
        <v>0</v>
      </c>
      <c r="E31" s="370"/>
      <c r="F31" s="371"/>
      <c r="G31" s="230"/>
    </row>
    <row r="32" spans="2:7" x14ac:dyDescent="0.25">
      <c r="B32" s="276" t="s">
        <v>697</v>
      </c>
      <c r="C32" s="373">
        <f>(VLOOKUP(C28,Reeksen!$BM$5:$BR$12,6,FALSE)*C23)/12</f>
        <v>0</v>
      </c>
      <c r="D32" s="373">
        <f>(VLOOKUP(D28,Reeksen!$BM$5:$BR$12,6,FALSE)*D23)/12</f>
        <v>0</v>
      </c>
      <c r="E32" s="370"/>
      <c r="F32" s="371"/>
      <c r="G32" s="230"/>
    </row>
    <row r="33" spans="2:7" x14ac:dyDescent="0.25">
      <c r="C33" s="372"/>
      <c r="D33" s="372"/>
      <c r="E33" s="370"/>
      <c r="F33" s="371"/>
      <c r="G33" s="230"/>
    </row>
    <row r="34" spans="2:7" x14ac:dyDescent="0.25">
      <c r="B34" s="279" t="s">
        <v>2</v>
      </c>
      <c r="C34" s="372"/>
      <c r="D34" s="372"/>
      <c r="E34" s="370"/>
      <c r="F34" s="371"/>
      <c r="G34" s="230"/>
    </row>
    <row r="35" spans="2:7" x14ac:dyDescent="0.25">
      <c r="B35" s="275" t="s">
        <v>885</v>
      </c>
      <c r="C35" s="253">
        <v>500</v>
      </c>
      <c r="D35" s="253">
        <v>0</v>
      </c>
      <c r="E35" s="370"/>
      <c r="F35" s="371"/>
      <c r="G35" s="230"/>
    </row>
    <row r="36" spans="2:7" x14ac:dyDescent="0.25">
      <c r="B36" s="275" t="s">
        <v>905</v>
      </c>
      <c r="C36" s="253">
        <v>300</v>
      </c>
      <c r="D36" s="253">
        <v>0</v>
      </c>
      <c r="E36" s="370"/>
      <c r="F36" s="371"/>
      <c r="G36" s="230"/>
    </row>
    <row r="37" spans="2:7" x14ac:dyDescent="0.25">
      <c r="B37" s="275" t="s">
        <v>906</v>
      </c>
      <c r="C37" s="253">
        <v>2000</v>
      </c>
      <c r="D37" s="253">
        <v>0</v>
      </c>
      <c r="E37" s="370"/>
      <c r="F37" s="371"/>
      <c r="G37" s="230"/>
    </row>
    <row r="38" spans="2:7" x14ac:dyDescent="0.25">
      <c r="B38" s="275" t="s">
        <v>884</v>
      </c>
      <c r="C38" s="253">
        <v>600</v>
      </c>
      <c r="D38" s="253">
        <v>0</v>
      </c>
      <c r="E38" s="370"/>
      <c r="F38" s="371"/>
      <c r="G38" s="230"/>
    </row>
    <row r="39" spans="2:7" x14ac:dyDescent="0.25">
      <c r="B39" s="275" t="s">
        <v>922</v>
      </c>
      <c r="C39" s="394">
        <v>0</v>
      </c>
      <c r="D39" s="394"/>
      <c r="E39" s="370"/>
      <c r="F39" s="371"/>
      <c r="G39" s="230"/>
    </row>
    <row r="40" spans="2:7" ht="15" customHeight="1" x14ac:dyDescent="0.25">
      <c r="B40" s="292" t="s">
        <v>5</v>
      </c>
      <c r="C40" s="390" t="str">
        <f>IF(C20&gt;50,"Let op &gt;50 sociale woningen. Er dient verhuurderheffing te worden betaald","Nee")</f>
        <v>Nee</v>
      </c>
      <c r="D40" s="390"/>
      <c r="E40" s="390"/>
      <c r="F40" s="390"/>
      <c r="G40" s="390"/>
    </row>
    <row r="41" spans="2:7" x14ac:dyDescent="0.25">
      <c r="C41" s="230"/>
      <c r="D41" s="230"/>
      <c r="E41" s="5"/>
      <c r="F41" s="368"/>
      <c r="G41" s="230"/>
    </row>
    <row r="42" spans="2:7" x14ac:dyDescent="0.25">
      <c r="B42" s="279" t="s">
        <v>882</v>
      </c>
      <c r="C42" s="374"/>
      <c r="D42" s="374"/>
      <c r="E42" s="5"/>
      <c r="F42" s="368"/>
      <c r="G42" s="230"/>
    </row>
    <row r="43" spans="2:7" x14ac:dyDescent="0.25">
      <c r="B43" s="275" t="s">
        <v>881</v>
      </c>
      <c r="C43" s="375" t="s">
        <v>891</v>
      </c>
      <c r="D43" s="254"/>
      <c r="E43" s="5"/>
      <c r="F43" s="368"/>
      <c r="G43" s="230"/>
    </row>
    <row r="44" spans="2:7" x14ac:dyDescent="0.25">
      <c r="B44" s="294" t="s">
        <v>915</v>
      </c>
      <c r="C44" s="255">
        <v>42550</v>
      </c>
      <c r="D44" s="255">
        <v>0</v>
      </c>
      <c r="E44" s="5"/>
      <c r="F44" s="368"/>
      <c r="G44" s="230"/>
    </row>
    <row r="45" spans="2:7" ht="15" customHeight="1" x14ac:dyDescent="0.25">
      <c r="B45" s="294" t="s">
        <v>916</v>
      </c>
      <c r="C45" s="255">
        <v>27660</v>
      </c>
      <c r="D45" s="255">
        <v>0</v>
      </c>
      <c r="E45" s="5"/>
      <c r="F45" s="368"/>
      <c r="G45" s="230"/>
    </row>
    <row r="46" spans="2:7" x14ac:dyDescent="0.25">
      <c r="B46" s="294" t="s">
        <v>914</v>
      </c>
      <c r="C46" s="269">
        <v>0.75</v>
      </c>
      <c r="D46" s="269">
        <v>0.75</v>
      </c>
      <c r="E46" s="5"/>
      <c r="F46" s="368"/>
      <c r="G46" s="230"/>
    </row>
    <row r="47" spans="2:7" x14ac:dyDescent="0.25">
      <c r="B47" s="294"/>
      <c r="C47" s="295"/>
      <c r="D47" s="295"/>
      <c r="E47" s="296"/>
      <c r="F47" s="297"/>
      <c r="G47" s="275"/>
    </row>
    <row r="48" spans="2:7" x14ac:dyDescent="0.25">
      <c r="B48" s="279" t="s">
        <v>1</v>
      </c>
      <c r="C48" s="295"/>
      <c r="D48" s="295"/>
      <c r="E48" s="277"/>
      <c r="F48" s="287"/>
      <c r="G48" s="275"/>
    </row>
    <row r="49" spans="2:7" x14ac:dyDescent="0.25">
      <c r="B49" s="275" t="s">
        <v>7</v>
      </c>
      <c r="C49" s="252">
        <v>20910</v>
      </c>
      <c r="D49" s="252">
        <v>0</v>
      </c>
      <c r="E49" s="277"/>
      <c r="F49" s="287"/>
      <c r="G49" s="275"/>
    </row>
    <row r="50" spans="2:7" x14ac:dyDescent="0.25">
      <c r="B50" s="275" t="s">
        <v>896</v>
      </c>
      <c r="C50" s="386">
        <f>C49*C22+D49*D22</f>
        <v>0</v>
      </c>
      <c r="D50" s="386"/>
      <c r="E50" s="277"/>
      <c r="F50" s="287"/>
      <c r="G50" s="275"/>
    </row>
    <row r="51" spans="2:7" x14ac:dyDescent="0.25">
      <c r="B51" s="275" t="s">
        <v>918</v>
      </c>
      <c r="C51" s="252">
        <v>21640</v>
      </c>
      <c r="D51" s="252">
        <v>0</v>
      </c>
      <c r="E51" s="298"/>
      <c r="F51" s="299"/>
      <c r="G51" s="275"/>
    </row>
    <row r="52" spans="2:7" x14ac:dyDescent="0.25">
      <c r="B52" s="275" t="s">
        <v>919</v>
      </c>
      <c r="C52" s="363">
        <v>0.7</v>
      </c>
      <c r="D52" s="363">
        <v>0.7</v>
      </c>
      <c r="E52" s="298"/>
      <c r="F52" s="299"/>
      <c r="G52" s="275"/>
    </row>
    <row r="53" spans="2:7" x14ac:dyDescent="0.25">
      <c r="B53" s="275" t="s">
        <v>853</v>
      </c>
      <c r="C53" s="394">
        <v>0</v>
      </c>
      <c r="D53" s="394"/>
      <c r="E53" s="277"/>
      <c r="F53" s="287"/>
      <c r="G53" s="275"/>
    </row>
    <row r="54" spans="2:7" x14ac:dyDescent="0.25">
      <c r="B54" s="275" t="s">
        <v>911</v>
      </c>
      <c r="C54" s="360">
        <f>(C51*C22+D22*D51)*(1-C53)</f>
        <v>0</v>
      </c>
      <c r="D54" s="291"/>
      <c r="E54" s="277"/>
      <c r="F54" s="287"/>
      <c r="G54" s="275"/>
    </row>
    <row r="55" spans="2:7" x14ac:dyDescent="0.25">
      <c r="C55" s="291"/>
      <c r="D55" s="291"/>
      <c r="E55" s="277"/>
      <c r="F55" s="287"/>
      <c r="G55" s="275"/>
    </row>
    <row r="56" spans="2:7" x14ac:dyDescent="0.25">
      <c r="B56" s="275" t="s">
        <v>910</v>
      </c>
      <c r="C56" s="288">
        <f>C13</f>
        <v>2019</v>
      </c>
      <c r="D56" s="288">
        <f>C13+1</f>
        <v>2020</v>
      </c>
      <c r="E56" s="288">
        <f>C13+2</f>
        <v>2021</v>
      </c>
      <c r="F56" s="300"/>
      <c r="G56" s="275"/>
    </row>
    <row r="57" spans="2:7" x14ac:dyDescent="0.25">
      <c r="B57" s="275" t="s">
        <v>893</v>
      </c>
      <c r="C57" s="363">
        <v>0.5</v>
      </c>
      <c r="D57" s="363">
        <v>0.5</v>
      </c>
      <c r="E57" s="301">
        <f>1-C57-D57</f>
        <v>0</v>
      </c>
      <c r="F57" s="302"/>
      <c r="G57" s="275"/>
    </row>
    <row r="58" spans="2:7" x14ac:dyDescent="0.25">
      <c r="B58" s="275" t="s">
        <v>883</v>
      </c>
      <c r="C58" s="360">
        <f>($C$51*$C$22*(1-$C$53)+$D$51*$D$22*(1-$C$53))*C57</f>
        <v>0</v>
      </c>
      <c r="D58" s="360">
        <f t="shared" ref="D58:E58" si="0">($C$51*$C$22*(1-$C$53)+$D$51*$D$22*(1-$C$53))*D57</f>
        <v>0</v>
      </c>
      <c r="E58" s="360">
        <f t="shared" si="0"/>
        <v>0</v>
      </c>
      <c r="F58" s="362"/>
      <c r="G58" s="275"/>
    </row>
    <row r="59" spans="2:7" x14ac:dyDescent="0.25"/>
    <row r="60" spans="2:7" x14ac:dyDescent="0.25">
      <c r="B60" s="279" t="s">
        <v>12</v>
      </c>
    </row>
    <row r="61" spans="2:7" x14ac:dyDescent="0.25">
      <c r="B61" s="275" t="s">
        <v>854</v>
      </c>
      <c r="C61" s="252">
        <v>20000</v>
      </c>
      <c r="D61" s="252"/>
      <c r="E61" s="293"/>
      <c r="F61" s="303"/>
    </row>
    <row r="62" spans="2:7" x14ac:dyDescent="0.25">
      <c r="B62" s="275" t="s">
        <v>855</v>
      </c>
      <c r="C62" s="391">
        <f>C61*C22+D61*D22</f>
        <v>0</v>
      </c>
      <c r="D62" s="391"/>
      <c r="E62" s="304"/>
      <c r="F62" s="305"/>
    </row>
    <row r="63" spans="2:7" x14ac:dyDescent="0.25">
      <c r="B63" s="275" t="s">
        <v>837</v>
      </c>
      <c r="C63" s="392">
        <f ca="1">C54+C50-C62-SUM(Exploitatie!C9:C15)</f>
        <v>0</v>
      </c>
      <c r="D63" s="392"/>
      <c r="E63" s="306"/>
      <c r="F63" s="306"/>
    </row>
    <row r="64" spans="2:7" x14ac:dyDescent="0.25">
      <c r="B64" s="275" t="s">
        <v>838</v>
      </c>
      <c r="C64" s="393" t="s">
        <v>839</v>
      </c>
      <c r="D64" s="393"/>
      <c r="E64" s="306"/>
      <c r="F64" s="306"/>
    </row>
    <row r="65" spans="2:7" x14ac:dyDescent="0.25">
      <c r="B65" s="275" t="s">
        <v>929</v>
      </c>
      <c r="C65" s="387">
        <v>0.03</v>
      </c>
      <c r="D65" s="387"/>
      <c r="E65" s="306"/>
      <c r="F65" s="306"/>
    </row>
    <row r="66" spans="2:7" x14ac:dyDescent="0.25">
      <c r="C66" s="293">
        <v>2019</v>
      </c>
      <c r="D66" s="293">
        <v>2020</v>
      </c>
      <c r="E66" s="293" t="s">
        <v>938</v>
      </c>
      <c r="F66" s="306"/>
    </row>
    <row r="67" spans="2:7" x14ac:dyDescent="0.25">
      <c r="B67" s="275" t="s">
        <v>930</v>
      </c>
      <c r="C67" s="271">
        <f>Parameters!B7+Dashboard!$C$65</f>
        <v>3.3299999999999996E-2</v>
      </c>
      <c r="D67" s="271">
        <f>Parameters!C7+Dashboard!$C$65</f>
        <v>3.4799999999999998E-2</v>
      </c>
      <c r="E67" s="271">
        <f>Parameters!D7+Dashboard!$C$65</f>
        <v>0.04</v>
      </c>
      <c r="F67" s="306"/>
    </row>
    <row r="68" spans="2:7" x14ac:dyDescent="0.25">
      <c r="B68" s="275" t="s">
        <v>933</v>
      </c>
      <c r="C68" s="271">
        <f>Parameters!B6</f>
        <v>-1.9E-3</v>
      </c>
      <c r="D68" s="271">
        <f>Parameters!C6</f>
        <v>-2.0999999999999999E-3</v>
      </c>
      <c r="E68" s="271">
        <f>Parameters!D6</f>
        <v>0</v>
      </c>
      <c r="F68" s="306"/>
    </row>
    <row r="69" spans="2:7" x14ac:dyDescent="0.25">
      <c r="C69" s="308"/>
      <c r="D69" s="306"/>
      <c r="E69" s="306"/>
      <c r="F69" s="306"/>
    </row>
    <row r="70" spans="2:7" s="284" customFormat="1" x14ac:dyDescent="0.25">
      <c r="B70" s="283" t="s">
        <v>15</v>
      </c>
      <c r="C70" s="309"/>
      <c r="D70" s="310"/>
      <c r="E70" s="310"/>
      <c r="F70" s="310"/>
      <c r="G70" s="285"/>
    </row>
    <row r="71" spans="2:7" s="316" customFormat="1" x14ac:dyDescent="0.25">
      <c r="B71" s="311" t="s">
        <v>4</v>
      </c>
      <c r="C71" s="312"/>
      <c r="D71" s="313"/>
      <c r="E71" s="314"/>
      <c r="F71" s="315"/>
    </row>
    <row r="72" spans="2:7" x14ac:dyDescent="0.25">
      <c r="C72" s="308"/>
      <c r="D72" s="306"/>
      <c r="E72" s="306"/>
      <c r="F72" s="306"/>
    </row>
    <row r="73" spans="2:7" ht="20.100000000000001" customHeight="1" x14ac:dyDescent="0.25">
      <c r="C73" s="308"/>
      <c r="D73" s="306"/>
      <c r="E73" s="317"/>
      <c r="F73" s="317"/>
    </row>
    <row r="74" spans="2:7" ht="8.1" customHeight="1" x14ac:dyDescent="0.25">
      <c r="C74" s="308"/>
      <c r="D74" s="306"/>
      <c r="E74" s="318"/>
      <c r="F74" s="318"/>
    </row>
    <row r="75" spans="2:7" ht="20.100000000000001" customHeight="1" x14ac:dyDescent="0.25">
      <c r="C75" s="308"/>
      <c r="D75" s="306"/>
      <c r="E75" s="317"/>
      <c r="F75" s="317"/>
    </row>
    <row r="76" spans="2:7" ht="6.95" customHeight="1" x14ac:dyDescent="0.25">
      <c r="C76" s="308"/>
      <c r="D76" s="306"/>
      <c r="E76" s="318"/>
      <c r="F76" s="318"/>
    </row>
    <row r="77" spans="2:7" ht="20.100000000000001" customHeight="1" x14ac:dyDescent="0.25">
      <c r="C77" s="308"/>
      <c r="D77" s="306"/>
      <c r="E77" s="317"/>
      <c r="F77" s="317"/>
    </row>
    <row r="78" spans="2:7" x14ac:dyDescent="0.25">
      <c r="C78" s="308"/>
      <c r="D78" s="306"/>
      <c r="E78" s="306"/>
      <c r="F78" s="306"/>
    </row>
    <row r="79" spans="2:7" x14ac:dyDescent="0.25">
      <c r="C79" s="308"/>
      <c r="D79" s="306"/>
      <c r="E79" s="306"/>
      <c r="F79" s="306"/>
    </row>
    <row r="80" spans="2:7" x14ac:dyDescent="0.25">
      <c r="C80" s="308"/>
      <c r="D80" s="306"/>
      <c r="E80" s="306"/>
      <c r="F80" s="306"/>
    </row>
    <row r="81" spans="2:7" x14ac:dyDescent="0.25">
      <c r="C81" s="308"/>
      <c r="D81" s="306"/>
      <c r="E81" s="306"/>
      <c r="F81" s="306"/>
    </row>
    <row r="82" spans="2:7" x14ac:dyDescent="0.25">
      <c r="C82" s="308"/>
      <c r="D82" s="306"/>
      <c r="E82" s="306"/>
      <c r="F82" s="306"/>
    </row>
    <row r="83" spans="2:7" s="316" customFormat="1" x14ac:dyDescent="0.25">
      <c r="B83" s="311" t="str">
        <f>"Marktwaarde in opgeknapte staat "&amp;C13</f>
        <v>Marktwaarde in opgeknapte staat 2019</v>
      </c>
      <c r="C83" s="319" t="s">
        <v>699</v>
      </c>
      <c r="D83" s="320" t="s">
        <v>827</v>
      </c>
      <c r="E83" s="321"/>
      <c r="F83" s="321"/>
      <c r="G83" s="322"/>
    </row>
    <row r="84" spans="2:7" s="323" customFormat="1" x14ac:dyDescent="0.25">
      <c r="C84" s="324"/>
      <c r="D84" s="325"/>
      <c r="E84" s="325"/>
      <c r="F84" s="325"/>
      <c r="G84" s="326"/>
    </row>
    <row r="85" spans="2:7" ht="18" customHeight="1" x14ac:dyDescent="0.25">
      <c r="B85" s="275" t="s">
        <v>699</v>
      </c>
      <c r="C85" s="327">
        <f ca="1">C87+C89</f>
        <v>0</v>
      </c>
      <c r="D85" s="290">
        <f ca="1">IFERROR(C85/(D22+C22),0)</f>
        <v>0</v>
      </c>
      <c r="E85" s="328"/>
      <c r="F85" s="328"/>
    </row>
    <row r="86" spans="2:7" ht="6.95" customHeight="1" x14ac:dyDescent="0.25">
      <c r="C86" s="327"/>
      <c r="D86" s="290"/>
      <c r="E86" s="328"/>
      <c r="F86" s="328"/>
    </row>
    <row r="87" spans="2:7" ht="18" customHeight="1" x14ac:dyDescent="0.25">
      <c r="B87" s="275" t="s">
        <v>845</v>
      </c>
      <c r="C87" s="327">
        <f ca="1">IF(C43="Nee",(MAX('Resultaat marktwaardering'!B11,'Resultaat marktwaardering'!E11)),(C20*C45+C21*C44))</f>
        <v>0</v>
      </c>
      <c r="D87" s="327">
        <f ca="1">IFERROR(C87/C22,0)</f>
        <v>0</v>
      </c>
      <c r="E87" s="328"/>
      <c r="F87" s="328"/>
    </row>
    <row r="88" spans="2:7" ht="6.95" customHeight="1" x14ac:dyDescent="0.25">
      <c r="C88" s="327"/>
      <c r="D88" s="290"/>
      <c r="E88" s="328"/>
      <c r="F88" s="328"/>
    </row>
    <row r="89" spans="2:7" ht="17.100000000000001" customHeight="1" x14ac:dyDescent="0.25">
      <c r="B89" s="275" t="s">
        <v>846</v>
      </c>
      <c r="C89" s="289">
        <f ca="1">IF(C43="Nee",(MAX('Resultaat marktwaardering'!B17,'Resultaat marktwaardering'!E17)),(D20*D45+D21*D44))</f>
        <v>0</v>
      </c>
      <c r="D89" s="290">
        <f ca="1">IFERROR(C89/D22,0)</f>
        <v>0</v>
      </c>
      <c r="E89" s="328"/>
      <c r="F89" s="328"/>
    </row>
    <row r="90" spans="2:7" x14ac:dyDescent="0.25">
      <c r="C90" s="308"/>
      <c r="D90" s="306"/>
      <c r="E90" s="306"/>
      <c r="F90" s="306"/>
    </row>
    <row r="91" spans="2:7" s="316" customFormat="1" x14ac:dyDescent="0.25">
      <c r="B91" s="311" t="s">
        <v>917</v>
      </c>
      <c r="C91" s="319" t="s">
        <v>699</v>
      </c>
      <c r="D91" s="320" t="s">
        <v>827</v>
      </c>
      <c r="E91" s="321"/>
      <c r="F91" s="321"/>
      <c r="G91" s="322"/>
    </row>
    <row r="92" spans="2:7" s="323" customFormat="1" x14ac:dyDescent="0.25">
      <c r="C92" s="324"/>
      <c r="D92" s="325"/>
      <c r="E92" s="325"/>
      <c r="F92" s="329"/>
      <c r="G92" s="330"/>
    </row>
    <row r="93" spans="2:7" ht="18" customHeight="1" x14ac:dyDescent="0.25">
      <c r="B93" s="275" t="s">
        <v>699</v>
      </c>
      <c r="C93" s="327">
        <f ca="1">C95+C97</f>
        <v>0</v>
      </c>
      <c r="D93" s="327">
        <f ca="1">IFERROR(C93/(C22+D22),0)</f>
        <v>0</v>
      </c>
      <c r="E93" s="331" t="str">
        <f ca="1">IF(AND(C49&gt;=F95,D49&gt;=G95),"Groen","Rood")</f>
        <v>Groen</v>
      </c>
      <c r="F93" s="332"/>
      <c r="G93" s="333"/>
    </row>
    <row r="94" spans="2:7" ht="6.95" customHeight="1" x14ac:dyDescent="0.25">
      <c r="C94" s="327"/>
      <c r="D94" s="290"/>
      <c r="E94" s="331"/>
      <c r="F94" s="332"/>
      <c r="G94" s="333"/>
    </row>
    <row r="95" spans="2:7" ht="18" customHeight="1" x14ac:dyDescent="0.25">
      <c r="B95" s="275" t="s">
        <v>845</v>
      </c>
      <c r="C95" s="327">
        <f ca="1">C87-C51*C22*C52</f>
        <v>0</v>
      </c>
      <c r="D95" s="327">
        <f ca="1">IFERROR(C95/C22,0)</f>
        <v>0</v>
      </c>
      <c r="E95" s="331" t="str">
        <f ca="1">IF(AND(C49&gt;=F95,C49&lt;=F97,D49&gt;=G95,D49&lt;=G97),"Oranje","Rood")</f>
        <v>Rood</v>
      </c>
      <c r="F95" s="334">
        <f ca="1">D95-((1-C52)*C51)*IF(C22=0,0,1)</f>
        <v>0</v>
      </c>
      <c r="G95" s="335">
        <f ca="1">D97-((1-D52)*D51)*IF(D22=0,0,1)</f>
        <v>0</v>
      </c>
    </row>
    <row r="96" spans="2:7" ht="6.95" customHeight="1" x14ac:dyDescent="0.25">
      <c r="C96" s="327"/>
      <c r="D96" s="290"/>
      <c r="E96" s="331"/>
      <c r="F96" s="332"/>
      <c r="G96" s="333"/>
    </row>
    <row r="97" spans="2:7" ht="17.100000000000001" customHeight="1" x14ac:dyDescent="0.25">
      <c r="B97" s="275" t="s">
        <v>846</v>
      </c>
      <c r="C97" s="289">
        <f ca="1">C89-D51*D22*D52</f>
        <v>0</v>
      </c>
      <c r="D97" s="289">
        <f ca="1">IFERROR(C97/D22,0)</f>
        <v>0</v>
      </c>
      <c r="E97" s="331" t="str">
        <f ca="1">IF(AND(C49&gt;=F97,D49&gt;=G97),"Groen","Rood")</f>
        <v>Groen</v>
      </c>
      <c r="F97" s="334">
        <f ca="1">D95</f>
        <v>0</v>
      </c>
      <c r="G97" s="335">
        <f ca="1">D97</f>
        <v>0</v>
      </c>
    </row>
    <row r="98" spans="2:7" x14ac:dyDescent="0.25">
      <c r="C98" s="308"/>
      <c r="D98" s="306"/>
      <c r="E98" s="306"/>
      <c r="F98" s="336"/>
      <c r="G98" s="333"/>
    </row>
    <row r="99" spans="2:7" s="316" customFormat="1" x14ac:dyDescent="0.25">
      <c r="B99" s="311" t="s">
        <v>690</v>
      </c>
      <c r="C99" s="312"/>
      <c r="D99" s="313"/>
      <c r="E99" s="313"/>
      <c r="F99" s="313"/>
      <c r="G99" s="322"/>
    </row>
    <row r="100" spans="2:7" x14ac:dyDescent="0.25">
      <c r="C100" s="308"/>
      <c r="D100" s="306"/>
      <c r="E100" s="325"/>
      <c r="F100" s="325"/>
    </row>
    <row r="101" spans="2:7" ht="18" customHeight="1" x14ac:dyDescent="0.25">
      <c r="C101" s="308"/>
      <c r="D101" s="306"/>
      <c r="E101" s="328"/>
      <c r="F101" s="328"/>
    </row>
    <row r="102" spans="2:7" ht="6.95" customHeight="1" x14ac:dyDescent="0.25">
      <c r="C102" s="308"/>
      <c r="D102" s="306"/>
      <c r="E102" s="328"/>
      <c r="F102" s="328"/>
    </row>
    <row r="103" spans="2:7" ht="18" customHeight="1" x14ac:dyDescent="0.25">
      <c r="C103" s="308"/>
      <c r="D103" s="306"/>
      <c r="E103" s="328"/>
      <c r="F103" s="328"/>
    </row>
    <row r="104" spans="2:7" ht="6.95" customHeight="1" x14ac:dyDescent="0.25">
      <c r="C104" s="308"/>
      <c r="D104" s="306"/>
      <c r="E104" s="328"/>
      <c r="F104" s="328"/>
    </row>
    <row r="105" spans="2:7" ht="18" customHeight="1" x14ac:dyDescent="0.25">
      <c r="C105" s="308"/>
      <c r="D105" s="306"/>
      <c r="E105" s="328"/>
      <c r="F105" s="328"/>
    </row>
    <row r="106" spans="2:7" ht="15" customHeight="1" x14ac:dyDescent="0.25">
      <c r="C106" s="308"/>
      <c r="D106" s="306"/>
      <c r="E106" s="306"/>
      <c r="F106" s="306"/>
    </row>
    <row r="107" spans="2:7" ht="15" customHeight="1" x14ac:dyDescent="0.25">
      <c r="C107" s="308"/>
      <c r="D107" s="306"/>
      <c r="E107" s="306"/>
      <c r="F107" s="306"/>
    </row>
    <row r="108" spans="2:7" ht="15" customHeight="1" x14ac:dyDescent="0.25">
      <c r="C108" s="308"/>
      <c r="D108" s="306"/>
      <c r="E108" s="306"/>
      <c r="F108" s="306"/>
    </row>
    <row r="109" spans="2:7" ht="15" customHeight="1" x14ac:dyDescent="0.25">
      <c r="B109" s="275" t="s">
        <v>890</v>
      </c>
      <c r="C109" s="308" t="e">
        <f ca="1">AVERAGE(Exploitatie!C90:L90)</f>
        <v>#DIV/0!</v>
      </c>
      <c r="D109" s="306"/>
      <c r="E109" s="306"/>
      <c r="F109" s="306"/>
    </row>
    <row r="110" spans="2:7" x14ac:dyDescent="0.25">
      <c r="C110" s="308"/>
      <c r="D110" s="306"/>
      <c r="E110" s="306"/>
      <c r="F110" s="306"/>
    </row>
    <row r="111" spans="2:7" s="316" customFormat="1" x14ac:dyDescent="0.25">
      <c r="B111" s="311" t="s">
        <v>34</v>
      </c>
      <c r="C111" s="312"/>
      <c r="D111" s="313"/>
      <c r="E111" s="313"/>
      <c r="F111" s="313"/>
      <c r="G111" s="322"/>
    </row>
    <row r="112" spans="2:7" x14ac:dyDescent="0.25">
      <c r="C112" s="308"/>
      <c r="D112" s="306"/>
      <c r="E112" s="306"/>
      <c r="F112" s="306"/>
    </row>
    <row r="113" spans="2:7" ht="18" customHeight="1" x14ac:dyDescent="0.25">
      <c r="C113" s="308"/>
      <c r="D113" s="306"/>
      <c r="E113" s="331" t="e">
        <f ca="1">IF(MIN(Exploitatie!$C$70:$P$70)&lt;1.2,"Rood","")</f>
        <v>#DIV/0!</v>
      </c>
      <c r="F113" s="328"/>
    </row>
    <row r="114" spans="2:7" ht="6.95" customHeight="1" x14ac:dyDescent="0.25">
      <c r="C114" s="308"/>
      <c r="D114" s="306"/>
      <c r="E114" s="331"/>
      <c r="F114" s="328"/>
    </row>
    <row r="115" spans="2:7" ht="18" customHeight="1" x14ac:dyDescent="0.25">
      <c r="C115" s="308"/>
      <c r="D115" s="306"/>
      <c r="E115" s="331" t="e">
        <f ca="1">IF(AND(MIN(Exploitatie!$C$70:$P$70)&lt;1.6,MIN(Exploitatie!$C$70:$P$70)&gt;=1.2),"Oranje","")</f>
        <v>#DIV/0!</v>
      </c>
      <c r="F115" s="328"/>
    </row>
    <row r="116" spans="2:7" ht="6.95" customHeight="1" x14ac:dyDescent="0.25">
      <c r="C116" s="308"/>
      <c r="D116" s="306"/>
      <c r="E116" s="331"/>
      <c r="F116" s="328"/>
    </row>
    <row r="117" spans="2:7" ht="18" customHeight="1" x14ac:dyDescent="0.25">
      <c r="C117" s="308"/>
      <c r="D117" s="306"/>
      <c r="E117" s="331" t="e">
        <f ca="1">IF(MIN(Exploitatie!$C$70:$P$70)&gt;=1.6,"Groen","")</f>
        <v>#DIV/0!</v>
      </c>
      <c r="F117" s="328"/>
    </row>
    <row r="118" spans="2:7" x14ac:dyDescent="0.25">
      <c r="C118" s="308"/>
      <c r="D118" s="306"/>
      <c r="E118" s="306"/>
      <c r="F118" s="306"/>
    </row>
    <row r="119" spans="2:7" x14ac:dyDescent="0.25">
      <c r="C119" s="308"/>
      <c r="D119" s="306"/>
      <c r="E119" s="306"/>
      <c r="F119" s="306"/>
    </row>
    <row r="120" spans="2:7" x14ac:dyDescent="0.25">
      <c r="C120" s="308"/>
      <c r="D120" s="306"/>
      <c r="E120" s="306"/>
      <c r="F120" s="306"/>
    </row>
    <row r="121" spans="2:7" s="316" customFormat="1" x14ac:dyDescent="0.25">
      <c r="B121" s="311" t="s">
        <v>842</v>
      </c>
      <c r="C121" s="312"/>
      <c r="D121" s="313"/>
      <c r="E121" s="313"/>
      <c r="F121" s="313"/>
      <c r="G121" s="322"/>
    </row>
    <row r="122" spans="2:7" x14ac:dyDescent="0.25">
      <c r="C122" s="308"/>
      <c r="D122" s="306"/>
      <c r="E122" s="306"/>
      <c r="F122" s="306"/>
    </row>
    <row r="123" spans="2:7" ht="18" customHeight="1" x14ac:dyDescent="0.25">
      <c r="E123" s="331" t="e">
        <f ca="1">IF(MIN(Exploitatie!$C$71:$P$71)&lt;1,"Rood","")</f>
        <v>#DIV/0!</v>
      </c>
      <c r="F123" s="328"/>
    </row>
    <row r="124" spans="2:7" ht="6.95" customHeight="1" x14ac:dyDescent="0.25">
      <c r="E124" s="331"/>
      <c r="F124" s="328"/>
    </row>
    <row r="125" spans="2:7" ht="18" customHeight="1" x14ac:dyDescent="0.25">
      <c r="E125" s="331" t="e">
        <f ca="1">IF(AND(MIN(Exploitatie!$C$71:$P$71)&gt;=1,MIN(Exploitatie!$C$71:$P$71)&lt;1.2),"Oranje","")</f>
        <v>#DIV/0!</v>
      </c>
      <c r="F125" s="328"/>
    </row>
    <row r="126" spans="2:7" ht="6.95" customHeight="1" x14ac:dyDescent="0.25">
      <c r="E126" s="331"/>
      <c r="F126" s="328"/>
    </row>
    <row r="127" spans="2:7" ht="18" customHeight="1" x14ac:dyDescent="0.25">
      <c r="E127" s="331" t="e">
        <f ca="1">IF(MIN(Exploitatie!$C$71:$P$71)&gt;=1.2,"Groen","")</f>
        <v>#DIV/0!</v>
      </c>
      <c r="F127" s="328"/>
    </row>
    <row r="128" spans="2:7" x14ac:dyDescent="0.25">
      <c r="E128" s="306"/>
      <c r="F128" s="306"/>
    </row>
    <row r="129" spans="2:7" x14ac:dyDescent="0.25"/>
    <row r="130" spans="2:7" x14ac:dyDescent="0.25"/>
    <row r="131" spans="2:7" s="316" customFormat="1" x14ac:dyDescent="0.25">
      <c r="B131" s="311" t="s">
        <v>47</v>
      </c>
      <c r="C131" s="312"/>
      <c r="D131" s="313"/>
      <c r="E131" s="313"/>
      <c r="F131" s="313"/>
      <c r="G131" s="322"/>
    </row>
    <row r="132" spans="2:7" s="323" customFormat="1" x14ac:dyDescent="0.25">
      <c r="B132" s="337"/>
      <c r="C132" s="324"/>
      <c r="D132" s="325"/>
      <c r="E132" s="306"/>
      <c r="F132" s="306"/>
      <c r="G132" s="326"/>
    </row>
    <row r="133" spans="2:7" s="323" customFormat="1" ht="18" customHeight="1" x14ac:dyDescent="0.25">
      <c r="B133" s="337"/>
      <c r="C133" s="324"/>
      <c r="D133" s="325"/>
      <c r="E133" s="331" t="e">
        <f ca="1">IF(MIN(Exploitatie!$C$72:$P$72)&lt;0.4,"Rood","")</f>
        <v>#DIV/0!</v>
      </c>
      <c r="F133" s="328"/>
      <c r="G133" s="326"/>
    </row>
    <row r="134" spans="2:7" s="323" customFormat="1" ht="6.95" customHeight="1" x14ac:dyDescent="0.25">
      <c r="B134" s="337"/>
      <c r="C134" s="324"/>
      <c r="D134" s="325"/>
      <c r="E134" s="331"/>
      <c r="F134" s="328"/>
      <c r="G134" s="326"/>
    </row>
    <row r="135" spans="2:7" s="323" customFormat="1" ht="18" customHeight="1" x14ac:dyDescent="0.25">
      <c r="B135" s="337"/>
      <c r="C135" s="324"/>
      <c r="D135" s="325"/>
      <c r="E135" s="331" t="e">
        <f ca="1">IF(AND(MIN(Exploitatie!$C$72:$P$72)&gt;=0.4,MIN(Exploitatie!$C$72:$P$72)&lt;0.5),"Oranje","")</f>
        <v>#DIV/0!</v>
      </c>
      <c r="F135" s="328"/>
      <c r="G135" s="326"/>
    </row>
    <row r="136" spans="2:7" s="323" customFormat="1" ht="6.95" customHeight="1" x14ac:dyDescent="0.25">
      <c r="B136" s="337"/>
      <c r="C136" s="324"/>
      <c r="D136" s="325"/>
      <c r="E136" s="331"/>
      <c r="F136" s="328"/>
      <c r="G136" s="326"/>
    </row>
    <row r="137" spans="2:7" s="323" customFormat="1" ht="18" customHeight="1" x14ac:dyDescent="0.25">
      <c r="B137" s="337"/>
      <c r="C137" s="324"/>
      <c r="D137" s="325"/>
      <c r="E137" s="331" t="e">
        <f ca="1">IF(MIN(Exploitatie!$C$72:$P$72)&gt;=0.5,"Groen","")</f>
        <v>#DIV/0!</v>
      </c>
      <c r="F137" s="328"/>
      <c r="G137" s="326"/>
    </row>
    <row r="138" spans="2:7" s="323" customFormat="1" x14ac:dyDescent="0.25">
      <c r="B138" s="337"/>
      <c r="C138" s="324"/>
      <c r="D138" s="325"/>
      <c r="E138" s="306"/>
      <c r="F138" s="306"/>
      <c r="G138" s="326"/>
    </row>
    <row r="139" spans="2:7" s="323" customFormat="1" x14ac:dyDescent="0.25">
      <c r="B139" s="337"/>
      <c r="C139" s="324"/>
      <c r="D139" s="325"/>
      <c r="E139" s="325"/>
      <c r="F139" s="325"/>
      <c r="G139" s="326"/>
    </row>
    <row r="140" spans="2:7" s="323" customFormat="1" x14ac:dyDescent="0.25">
      <c r="B140" s="337"/>
      <c r="C140" s="324"/>
      <c r="D140" s="325"/>
      <c r="E140" s="325"/>
      <c r="F140" s="325"/>
      <c r="G140" s="326"/>
    </row>
    <row r="141" spans="2:7" s="316" customFormat="1" x14ac:dyDescent="0.25">
      <c r="B141" s="311" t="s">
        <v>852</v>
      </c>
      <c r="C141" s="312"/>
      <c r="D141" s="313"/>
      <c r="E141" s="313"/>
      <c r="F141" s="313"/>
      <c r="G141" s="322"/>
    </row>
    <row r="142" spans="2:7" s="323" customFormat="1" x14ac:dyDescent="0.25">
      <c r="B142" s="337"/>
      <c r="C142" s="324"/>
      <c r="D142" s="325"/>
      <c r="E142" s="306"/>
      <c r="F142" s="306"/>
      <c r="G142" s="326"/>
    </row>
    <row r="143" spans="2:7" s="323" customFormat="1" ht="18" customHeight="1" x14ac:dyDescent="0.25">
      <c r="B143" s="337"/>
      <c r="C143" s="324"/>
      <c r="D143" s="325"/>
      <c r="E143" s="331" t="e">
        <f ca="1">IF(MAX(Exploitatie!$C$73:$P$73)&gt;=0.6,"Rood","")</f>
        <v>#DIV/0!</v>
      </c>
      <c r="F143" s="328"/>
      <c r="G143" s="326"/>
    </row>
    <row r="144" spans="2:7" s="323" customFormat="1" ht="6.95" customHeight="1" x14ac:dyDescent="0.25">
      <c r="B144" s="337"/>
      <c r="C144" s="324"/>
      <c r="D144" s="325"/>
      <c r="E144" s="331"/>
      <c r="F144" s="328"/>
      <c r="G144" s="326"/>
    </row>
    <row r="145" spans="2:7" s="323" customFormat="1" ht="18" customHeight="1" x14ac:dyDescent="0.25">
      <c r="B145" s="337"/>
      <c r="C145" s="324"/>
      <c r="D145" s="325"/>
      <c r="E145" s="331" t="e">
        <f ca="1">IF(AND(MAX(Exploitatie!$C$73:$P$73)&lt;0.6,MAX(Exploitatie!$C$73:$P$73)&gt;=0.5),"Oranje","")</f>
        <v>#DIV/0!</v>
      </c>
      <c r="F145" s="328"/>
      <c r="G145" s="326"/>
    </row>
    <row r="146" spans="2:7" s="323" customFormat="1" ht="6.95" customHeight="1" x14ac:dyDescent="0.25">
      <c r="B146" s="337"/>
      <c r="C146" s="324"/>
      <c r="D146" s="325"/>
      <c r="E146" s="331"/>
      <c r="F146" s="328"/>
      <c r="G146" s="326"/>
    </row>
    <row r="147" spans="2:7" s="323" customFormat="1" ht="18" customHeight="1" x14ac:dyDescent="0.25">
      <c r="B147" s="337"/>
      <c r="C147" s="324"/>
      <c r="D147" s="325"/>
      <c r="E147" s="331" t="e">
        <f ca="1">IF(MAX(Exploitatie!$C$73:$P$73)&lt;0.5,"Groen","")</f>
        <v>#DIV/0!</v>
      </c>
      <c r="F147" s="328"/>
      <c r="G147" s="326"/>
    </row>
    <row r="148" spans="2:7" s="323" customFormat="1" x14ac:dyDescent="0.25">
      <c r="B148" s="337"/>
      <c r="C148" s="324"/>
      <c r="D148" s="325"/>
      <c r="E148" s="306"/>
      <c r="F148" s="306"/>
      <c r="G148" s="326"/>
    </row>
    <row r="149" spans="2:7" x14ac:dyDescent="0.25"/>
    <row r="150" spans="2:7" hidden="1" x14ac:dyDescent="0.25"/>
    <row r="151" spans="2:7" hidden="1" x14ac:dyDescent="0.25"/>
    <row r="152" spans="2:7" hidden="1" x14ac:dyDescent="0.25"/>
    <row r="153" spans="2:7" hidden="1" x14ac:dyDescent="0.25"/>
    <row r="154" spans="2:7" hidden="1" x14ac:dyDescent="0.25"/>
    <row r="155" spans="2:7" hidden="1" x14ac:dyDescent="0.25"/>
    <row r="156" spans="2:7" hidden="1" x14ac:dyDescent="0.25"/>
    <row r="157" spans="2:7" x14ac:dyDescent="0.25"/>
    <row r="158" spans="2:7" x14ac:dyDescent="0.25"/>
    <row r="159" spans="2:7" hidden="1" x14ac:dyDescent="0.25"/>
    <row r="160" spans="2:7" hidden="1" x14ac:dyDescent="0.25"/>
    <row r="161" spans="7:7" hidden="1" x14ac:dyDescent="0.25"/>
    <row r="162" spans="7:7" hidden="1" x14ac:dyDescent="0.25">
      <c r="G162" s="275"/>
    </row>
    <row r="163" spans="7:7" hidden="1" x14ac:dyDescent="0.25">
      <c r="G163" s="275"/>
    </row>
    <row r="164" spans="7:7" hidden="1" x14ac:dyDescent="0.25">
      <c r="G164" s="275"/>
    </row>
    <row r="165" spans="7:7" hidden="1" x14ac:dyDescent="0.25">
      <c r="G165" s="275"/>
    </row>
    <row r="166" spans="7:7" hidden="1" x14ac:dyDescent="0.25">
      <c r="G166" s="275"/>
    </row>
    <row r="167" spans="7:7" x14ac:dyDescent="0.25">
      <c r="G167" s="275"/>
    </row>
    <row r="168" spans="7:7" x14ac:dyDescent="0.25">
      <c r="G168" s="275"/>
    </row>
    <row r="169" spans="7:7" x14ac:dyDescent="0.25">
      <c r="G169" s="275"/>
    </row>
    <row r="170" spans="7:7" x14ac:dyDescent="0.25"/>
    <row r="171" spans="7:7" x14ac:dyDescent="0.25"/>
    <row r="172" spans="7:7" x14ac:dyDescent="0.25"/>
    <row r="173" spans="7:7" x14ac:dyDescent="0.25"/>
    <row r="174" spans="7:7" x14ac:dyDescent="0.25"/>
  </sheetData>
  <mergeCells count="13">
    <mergeCell ref="C50:D50"/>
    <mergeCell ref="C65:D65"/>
    <mergeCell ref="C13:E13"/>
    <mergeCell ref="C14:E14"/>
    <mergeCell ref="C15:E15"/>
    <mergeCell ref="C16:E16"/>
    <mergeCell ref="C17:E17"/>
    <mergeCell ref="C40:G40"/>
    <mergeCell ref="C62:D62"/>
    <mergeCell ref="C63:D63"/>
    <mergeCell ref="C64:D64"/>
    <mergeCell ref="C53:D53"/>
    <mergeCell ref="C39:D39"/>
  </mergeCells>
  <conditionalFormatting sqref="C40">
    <cfRule type="containsText" dxfId="13" priority="48" operator="containsText" text="Let op &gt;10 sociale woningen. Er dient verhuurderheffing te worden betaald">
      <formula>NOT(ISERROR(SEARCH("Let op &gt;10 sociale woningen. Er dient verhuurderheffing te worden betaald",C40)))</formula>
    </cfRule>
  </conditionalFormatting>
  <conditionalFormatting sqref="E143:F143 E133:F133 E123:F123 E85:F85 E113:F113 E3:F3">
    <cfRule type="containsText" dxfId="12" priority="44" operator="containsText" text="Rood">
      <formula>NOT(ISERROR(SEARCH("Rood",E3)))</formula>
    </cfRule>
  </conditionalFormatting>
  <conditionalFormatting sqref="E145:F145 E135:F135 E125:F125 E87:F87 E115:F115 E5:F5">
    <cfRule type="containsText" dxfId="11" priority="43" operator="containsText" text="Oranje">
      <formula>NOT(ISERROR(SEARCH("Oranje",E5)))</formula>
    </cfRule>
  </conditionalFormatting>
  <conditionalFormatting sqref="E147:F147 E137:F137 E127:F127 E89:F89 E117:F117 E7:F7">
    <cfRule type="containsText" dxfId="10" priority="42" operator="containsText" text="Groen">
      <formula>NOT(ISERROR(SEARCH("Groen",E7)))</formula>
    </cfRule>
  </conditionalFormatting>
  <conditionalFormatting sqref="B44:D45">
    <cfRule type="expression" dxfId="9" priority="18">
      <formula>IF($C$43="Nee",TRUE,FALSE)</formula>
    </cfRule>
  </conditionalFormatting>
  <conditionalFormatting sqref="B52:E58">
    <cfRule type="expression" dxfId="8" priority="17">
      <formula>IF(AND($C$51=0,$D$51=0),TRUE,FALSE)</formula>
    </cfRule>
  </conditionalFormatting>
  <conditionalFormatting sqref="B46:D46">
    <cfRule type="expression" dxfId="7" priority="16">
      <formula>IF($C$43="Ja",TRUE,FALSE)</formula>
    </cfRule>
  </conditionalFormatting>
  <conditionalFormatting sqref="E93">
    <cfRule type="containsText" dxfId="6" priority="15" operator="containsText" text="Rood">
      <formula>NOT(ISERROR(SEARCH("Rood",E93)))</formula>
    </cfRule>
  </conditionalFormatting>
  <conditionalFormatting sqref="E95">
    <cfRule type="containsText" dxfId="5" priority="14" operator="containsText" text="Oranje">
      <formula>NOT(ISERROR(SEARCH("Oranje",E95)))</formula>
    </cfRule>
  </conditionalFormatting>
  <conditionalFormatting sqref="E97">
    <cfRule type="containsText" dxfId="4" priority="13" operator="containsText" text="Groen">
      <formula>NOT(ISERROR(SEARCH("Groen",E97)))</formula>
    </cfRule>
  </conditionalFormatting>
  <dataValidations count="7">
    <dataValidation type="custom" allowBlank="1" showErrorMessage="1" errorTitle="Geef andere waarde op!" error="Het percentage in 2016 en 2017 kan opgeteld nooit meer dan 100% zijn._x000a_" promptTitle="Geef andere waarde op!" prompt="Het percentage in 2016 en 2017 kan opgeteld nooit meer dan 100% zijn._x000a_" sqref="D57">
      <formula1>C57+D57&lt;=1</formula1>
    </dataValidation>
    <dataValidation type="custom" allowBlank="1" showInputMessage="1" showErrorMessage="1" errorTitle="Geef andere waarde op!" error="Het percentage in 2016, 2017  moet samen 100% zijn._x000a_" sqref="E57:F57">
      <formula1>C57+D57+E57=1</formula1>
    </dataValidation>
    <dataValidation type="list" allowBlank="1" showInputMessage="1" showErrorMessage="1" sqref="C64">
      <formula1>"Annuitair,Lineair"</formula1>
    </dataValidation>
    <dataValidation type="list" allowBlank="1" showInputMessage="1" showErrorMessage="1" sqref="C43 C26">
      <formula1>"Ja,Nee"</formula1>
    </dataValidation>
    <dataValidation type="list" allowBlank="1" showInputMessage="1" showErrorMessage="1" sqref="C15">
      <formula1>"EGW,MGW"</formula1>
    </dataValidation>
    <dataValidation type="list" allowBlank="1" showInputMessage="1" showErrorMessage="1" sqref="C17">
      <formula1>GEMEENTE</formula1>
    </dataValidation>
    <dataValidation type="list" allowBlank="1" showInputMessage="1" showErrorMessage="1" sqref="C28:D28">
      <formula1>"A,B,C,D,E,F,G,onbekend"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BK266"/>
  <sheetViews>
    <sheetView showGridLines="0" workbookViewId="0">
      <selection activeCell="O5" sqref="O5"/>
    </sheetView>
  </sheetViews>
  <sheetFormatPr defaultColWidth="0" defaultRowHeight="15" customHeight="1" zeroHeight="1" x14ac:dyDescent="0.25"/>
  <cols>
    <col min="1" max="1" width="5" style="121" bestFit="1" customWidth="1"/>
    <col min="2" max="2" width="11" style="189" bestFit="1" customWidth="1"/>
    <col min="3" max="3" width="12.140625" style="189" bestFit="1" customWidth="1"/>
    <col min="4" max="4" width="16.140625" style="189" bestFit="1" customWidth="1"/>
    <col min="5" max="5" width="1.7109375" style="121" customWidth="1"/>
    <col min="6" max="6" width="5" style="121" bestFit="1" customWidth="1"/>
    <col min="7" max="7" width="11.28515625" style="189" bestFit="1" customWidth="1"/>
    <col min="8" max="8" width="11.28515625" style="189" customWidth="1"/>
    <col min="9" max="9" width="18.7109375" style="189" bestFit="1" customWidth="1"/>
    <col min="10" max="10" width="18.7109375" style="189" customWidth="1"/>
    <col min="11" max="11" width="11.7109375" style="189" bestFit="1" customWidth="1"/>
    <col min="12" max="12" width="11.7109375" style="189" customWidth="1"/>
    <col min="13" max="13" width="1.7109375" style="121" customWidth="1"/>
    <col min="14" max="14" width="5" style="121" bestFit="1" customWidth="1"/>
    <col min="15" max="15" width="13.5703125" style="189" customWidth="1"/>
    <col min="16" max="16" width="13.42578125" style="204" bestFit="1" customWidth="1"/>
    <col min="17" max="17" width="1.7109375" style="121" customWidth="1"/>
    <col min="18" max="18" width="6.140625" style="121" customWidth="1"/>
    <col min="19" max="19" width="13.42578125" style="205" customWidth="1"/>
    <col min="20" max="20" width="1.7109375" style="121" customWidth="1"/>
    <col min="21" max="21" width="7.85546875" style="121" bestFit="1" customWidth="1"/>
    <col min="22" max="22" width="7.5703125" style="204" customWidth="1"/>
    <col min="23" max="25" width="9.140625" style="205" customWidth="1"/>
    <col min="26" max="26" width="1.7109375" style="121" customWidth="1"/>
    <col min="27" max="27" width="5.140625" style="121" bestFit="1" customWidth="1"/>
    <col min="28" max="28" width="6" style="121" bestFit="1" customWidth="1"/>
    <col min="29" max="29" width="12.140625" style="206" customWidth="1"/>
    <col min="30" max="30" width="12.28515625" style="121" bestFit="1" customWidth="1"/>
    <col min="31" max="32" width="16.28515625" style="121" customWidth="1"/>
    <col min="33" max="33" width="18.42578125" style="121" customWidth="1"/>
    <col min="34" max="34" width="10.7109375" style="206" customWidth="1"/>
    <col min="35" max="36" width="8.85546875" style="121" customWidth="1"/>
    <col min="37" max="38" width="11.42578125" style="121" customWidth="1"/>
    <col min="39" max="39" width="15.28515625" style="121" bestFit="1" customWidth="1"/>
    <col min="40" max="40" width="15.28515625" style="121" customWidth="1"/>
    <col min="41" max="41" width="1.7109375" style="121" customWidth="1"/>
    <col min="42" max="42" width="5.5703125" style="200" customWidth="1"/>
    <col min="43" max="43" width="15.140625" style="121" customWidth="1"/>
    <col min="44" max="44" width="14" style="204" customWidth="1"/>
    <col min="45" max="45" width="1.7109375" style="121" customWidth="1"/>
    <col min="46" max="46" width="4.85546875" style="121" customWidth="1"/>
    <col min="47" max="47" width="7.85546875" style="121" bestFit="1" customWidth="1"/>
    <col min="48" max="48" width="7.42578125" style="204" bestFit="1" customWidth="1"/>
    <col min="49" max="49" width="8.85546875" style="205" bestFit="1" customWidth="1"/>
    <col min="50" max="50" width="6.140625" style="205" bestFit="1" customWidth="1"/>
    <col min="51" max="51" width="6.140625" style="207" customWidth="1"/>
    <col min="52" max="52" width="6.5703125" style="120" bestFit="1" customWidth="1"/>
    <col min="53" max="53" width="6" style="120" bestFit="1" customWidth="1"/>
    <col min="54" max="54" width="13.140625" style="208" customWidth="1"/>
    <col min="55" max="55" width="17.7109375" style="120" customWidth="1"/>
    <col min="56" max="56" width="11.28515625" style="208" customWidth="1"/>
    <col min="57" max="57" width="17.5703125" style="120" bestFit="1" customWidth="1"/>
    <col min="58" max="58" width="8.140625" style="120" bestFit="1" customWidth="1"/>
    <col min="59" max="59" width="12.140625" style="120" customWidth="1"/>
    <col min="60" max="60" width="9.140625" style="121" customWidth="1"/>
    <col min="61" max="61" width="10.7109375" style="121" bestFit="1" customWidth="1"/>
    <col min="62" max="63" width="9.140625" style="121" customWidth="1"/>
    <col min="64" max="16384" width="9.140625" style="121" hidden="1"/>
  </cols>
  <sheetData>
    <row r="1" spans="1:63" ht="15.75" x14ac:dyDescent="0.25">
      <c r="A1" s="58" t="s">
        <v>797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R1" s="58" t="s">
        <v>798</v>
      </c>
      <c r="S1" s="23"/>
      <c r="T1" s="23"/>
      <c r="U1" s="23"/>
      <c r="V1" s="23"/>
      <c r="W1" s="23"/>
      <c r="X1" s="23"/>
      <c r="Y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161"/>
      <c r="AP1" s="58" t="s">
        <v>799</v>
      </c>
      <c r="AQ1" s="23"/>
      <c r="AR1" s="23"/>
      <c r="AS1" s="161"/>
      <c r="AT1" s="23"/>
      <c r="AU1" s="23"/>
      <c r="AV1" s="23"/>
      <c r="AW1" s="23"/>
      <c r="AX1" s="23"/>
      <c r="AY1" s="45"/>
      <c r="AZ1" s="23"/>
      <c r="BA1" s="23"/>
      <c r="BB1" s="23"/>
      <c r="BC1" s="23"/>
      <c r="BD1" s="23"/>
      <c r="BE1" s="23"/>
      <c r="BF1" s="23"/>
      <c r="BG1" s="23"/>
      <c r="BI1" s="23"/>
      <c r="BJ1" s="23"/>
      <c r="BK1" s="45"/>
    </row>
    <row r="2" spans="1:63" s="119" customForma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R2" s="45"/>
      <c r="S2" s="45"/>
      <c r="T2" s="45"/>
      <c r="U2" s="45"/>
      <c r="V2" s="45"/>
      <c r="W2" s="45"/>
      <c r="X2" s="45"/>
      <c r="Y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I2" s="45"/>
      <c r="BJ2" s="45"/>
      <c r="BK2" s="45"/>
    </row>
    <row r="3" spans="1:63" s="162" customFormat="1" x14ac:dyDescent="0.25">
      <c r="A3" s="27" t="s">
        <v>668</v>
      </c>
      <c r="B3" s="27" t="s">
        <v>800</v>
      </c>
      <c r="C3" s="27" t="s">
        <v>801</v>
      </c>
      <c r="D3" s="27" t="s">
        <v>802</v>
      </c>
      <c r="F3" s="27" t="s">
        <v>668</v>
      </c>
      <c r="G3" s="27" t="s">
        <v>55</v>
      </c>
      <c r="H3" s="27" t="s">
        <v>803</v>
      </c>
      <c r="I3" s="27" t="s">
        <v>804</v>
      </c>
      <c r="J3" s="27" t="s">
        <v>805</v>
      </c>
      <c r="K3" s="27" t="s">
        <v>806</v>
      </c>
      <c r="L3" s="27" t="s">
        <v>807</v>
      </c>
      <c r="N3" s="27" t="s">
        <v>668</v>
      </c>
      <c r="O3" s="27" t="s">
        <v>808</v>
      </c>
      <c r="P3" s="27" t="s">
        <v>809</v>
      </c>
      <c r="R3" s="27" t="s">
        <v>26</v>
      </c>
      <c r="S3" s="27"/>
      <c r="U3" s="27" t="s">
        <v>810</v>
      </c>
      <c r="V3" s="27"/>
      <c r="W3" s="27"/>
      <c r="X3" s="27"/>
      <c r="Y3" s="27"/>
      <c r="AA3" s="27"/>
      <c r="AB3" s="27"/>
      <c r="AC3" s="27" t="s">
        <v>811</v>
      </c>
      <c r="AD3" s="27" t="s">
        <v>722</v>
      </c>
      <c r="AE3" s="27" t="s">
        <v>812</v>
      </c>
      <c r="AF3" s="27" t="s">
        <v>76</v>
      </c>
      <c r="AG3" s="27" t="s">
        <v>813</v>
      </c>
      <c r="AH3" s="27" t="s">
        <v>814</v>
      </c>
      <c r="AI3" s="396" t="s">
        <v>815</v>
      </c>
      <c r="AJ3" s="396"/>
      <c r="AK3" s="27" t="s">
        <v>816</v>
      </c>
      <c r="AL3" s="27" t="s">
        <v>817</v>
      </c>
      <c r="AM3" s="27" t="s">
        <v>778</v>
      </c>
      <c r="AN3" s="27" t="s">
        <v>84</v>
      </c>
      <c r="AP3" s="27" t="s">
        <v>668</v>
      </c>
      <c r="AQ3" s="27" t="s">
        <v>808</v>
      </c>
      <c r="AR3" s="27" t="s">
        <v>809</v>
      </c>
      <c r="AU3" s="27" t="s">
        <v>818</v>
      </c>
      <c r="AV3" s="27"/>
      <c r="AW3" s="163"/>
      <c r="AX3" s="163"/>
      <c r="AY3" s="164"/>
      <c r="BB3" s="27" t="s">
        <v>811</v>
      </c>
      <c r="BC3" s="27" t="s">
        <v>812</v>
      </c>
      <c r="BD3" s="27" t="s">
        <v>814</v>
      </c>
      <c r="BE3" s="396" t="s">
        <v>815</v>
      </c>
      <c r="BF3" s="396"/>
      <c r="BG3" s="27" t="s">
        <v>816</v>
      </c>
      <c r="BI3" s="396" t="s">
        <v>819</v>
      </c>
      <c r="BJ3" s="396"/>
      <c r="BK3" s="123"/>
    </row>
    <row r="4" spans="1:63" s="162" customFormat="1" x14ac:dyDescent="0.25">
      <c r="A4" s="165"/>
      <c r="B4" s="166"/>
      <c r="C4" s="166"/>
      <c r="D4" s="166"/>
      <c r="F4" s="165"/>
      <c r="G4" s="166"/>
      <c r="H4" s="166"/>
      <c r="I4" s="166"/>
      <c r="J4" s="166"/>
      <c r="K4" s="166"/>
      <c r="L4" s="166"/>
      <c r="N4" s="165"/>
      <c r="O4" s="166"/>
      <c r="P4" s="166"/>
      <c r="R4" s="167"/>
      <c r="S4" s="163"/>
      <c r="V4" s="166" t="s">
        <v>13</v>
      </c>
      <c r="W4" s="167" t="s">
        <v>820</v>
      </c>
      <c r="X4" s="163" t="s">
        <v>692</v>
      </c>
      <c r="Y4" s="163" t="s">
        <v>821</v>
      </c>
      <c r="AA4" s="168" t="s">
        <v>822</v>
      </c>
      <c r="AB4" s="169">
        <f ca="1">AB5</f>
        <v>2019</v>
      </c>
      <c r="AC4" s="170">
        <f>'Invoer gegevens (N)'!$F$23</f>
        <v>0</v>
      </c>
      <c r="AD4" s="171">
        <f>IF(AG4&lt;AE4,MIN(AF4,AG4),AF4)</f>
        <v>0</v>
      </c>
      <c r="AE4" s="172">
        <v>710.68</v>
      </c>
      <c r="AF4" s="171">
        <f>'Invoer gegevens (N)'!$F$25</f>
        <v>0</v>
      </c>
      <c r="AG4" s="171">
        <f>'Invoer gegevens (N)'!$F$23</f>
        <v>0</v>
      </c>
      <c r="AH4" s="171">
        <f>AC4</f>
        <v>0</v>
      </c>
      <c r="AI4" s="173" t="s">
        <v>823</v>
      </c>
      <c r="AJ4" s="174" t="s">
        <v>824</v>
      </c>
      <c r="AK4" s="174" t="s">
        <v>824</v>
      </c>
      <c r="AL4" s="171">
        <v>0</v>
      </c>
      <c r="AM4" s="171">
        <v>0</v>
      </c>
      <c r="AN4" s="175">
        <f>'Hulp - basis'!J38</f>
        <v>0</v>
      </c>
      <c r="AU4" s="27" t="s">
        <v>825</v>
      </c>
      <c r="AV4" s="27" t="s">
        <v>826</v>
      </c>
      <c r="AW4" s="27" t="s">
        <v>820</v>
      </c>
      <c r="AX4" s="27" t="s">
        <v>699</v>
      </c>
      <c r="AY4" s="123"/>
      <c r="AZ4" s="176">
        <v>41275</v>
      </c>
      <c r="BA4" s="169">
        <f ca="1">BA5</f>
        <v>2019</v>
      </c>
      <c r="BB4" s="170">
        <f>'Invoer gegevens (N)'!$F$23</f>
        <v>0</v>
      </c>
      <c r="BC4" s="171">
        <f>AE4</f>
        <v>710.68</v>
      </c>
      <c r="BD4" s="171">
        <f>AH4</f>
        <v>0</v>
      </c>
      <c r="BE4" s="177" t="s">
        <v>823</v>
      </c>
      <c r="BF4" s="177" t="s">
        <v>824</v>
      </c>
      <c r="BG4" s="177" t="s">
        <v>824</v>
      </c>
    </row>
    <row r="5" spans="1:63" x14ac:dyDescent="0.25">
      <c r="A5" s="178">
        <f>'Invoer gegevens (N)'!$C$23</f>
        <v>0</v>
      </c>
      <c r="B5" s="179">
        <f>Dashboard!$D$25</f>
        <v>0</v>
      </c>
      <c r="C5" s="179">
        <f>Dashboard!$D$25</f>
        <v>0</v>
      </c>
      <c r="D5" s="180">
        <f>B5</f>
        <v>0</v>
      </c>
      <c r="E5" s="181"/>
      <c r="F5" s="178">
        <f ca="1">Dashboard!$B$8</f>
        <v>2019</v>
      </c>
      <c r="G5" s="179">
        <f>'Hulp - basis'!K6</f>
        <v>1.0999999999999999E-2</v>
      </c>
      <c r="H5" s="182">
        <f>(1+G5)^0.5</f>
        <v>1.0054849576199536</v>
      </c>
      <c r="I5" s="180">
        <f>'Hulp - basis'!K12</f>
        <v>1.4E-2</v>
      </c>
      <c r="J5" s="182">
        <f>(1+I5)^0.5</f>
        <v>1.0069756700139283</v>
      </c>
      <c r="K5" s="180">
        <f>'Hulp - basis'!K9</f>
        <v>1.4E-2</v>
      </c>
      <c r="L5" s="182">
        <f>(1+K5)^0.5</f>
        <v>1.0069756700139283</v>
      </c>
      <c r="M5" s="181"/>
      <c r="N5" s="178">
        <f ca="1">Dashboard!$B$8</f>
        <v>2019</v>
      </c>
      <c r="O5" s="179">
        <f>VLOOKUP('Invoer gegevens (N)'!$C$9,'Hulp - basis'!$I$15:$N$30,4,FALSE)</f>
        <v>1.4999999999999999E-2</v>
      </c>
      <c r="P5" s="182">
        <f>(1+O5)^0.5</f>
        <v>1.0074720839804943</v>
      </c>
      <c r="R5" s="178">
        <f ca="1">Dashboard!$B$8</f>
        <v>2019</v>
      </c>
      <c r="S5" s="183">
        <v>4.9100000000000003E-3</v>
      </c>
      <c r="U5" s="178">
        <f ca="1">Dashboard!$B$8</f>
        <v>2019</v>
      </c>
      <c r="V5" s="182">
        <f>G5</f>
        <v>1.0999999999999999E-2</v>
      </c>
      <c r="W5" s="180">
        <f>Parameters!B15</f>
        <v>5.0000000000000001E-3</v>
      </c>
      <c r="X5" s="182">
        <f>V5+W5</f>
        <v>1.6E-2</v>
      </c>
      <c r="Y5" s="182">
        <f>(1+X5)^0.5</f>
        <v>1.0079682534683323</v>
      </c>
      <c r="AB5" s="178">
        <f ca="1">Dashboard!$B$8</f>
        <v>2019</v>
      </c>
      <c r="AC5" s="171">
        <f>$AC$4*Y5</f>
        <v>0</v>
      </c>
      <c r="AD5" s="171">
        <f t="shared" ref="AD5:AD68" si="0">IF(AG5&lt;AE5,MIN(AF5,AG5),AF5)</f>
        <v>0</v>
      </c>
      <c r="AE5" s="172">
        <f>Parameters!B5</f>
        <v>720.42</v>
      </c>
      <c r="AF5" s="171">
        <f>$AF$4*H5</f>
        <v>0</v>
      </c>
      <c r="AG5" s="171">
        <f>ROUND($AG4*(1+V5)^0.5,2)</f>
        <v>0</v>
      </c>
      <c r="AH5" s="171">
        <f>ROUND($AH4*(1+V5)^0.5,2)</f>
        <v>0</v>
      </c>
      <c r="AI5" s="171">
        <f>SMALL(AC5:AD5,1)</f>
        <v>0</v>
      </c>
      <c r="AJ5" s="171">
        <f>IF('Invoer gegevens (N)'!$I$27="DAEB",SMALL(AC5:AD5,1),AC5)</f>
        <v>0</v>
      </c>
      <c r="AK5" s="171">
        <f>IF('Invoer gegevens (N)'!$I$27="DAEB",SMALL((AE5:AH5),1),SMALL((AF5:AH5),1))</f>
        <v>0</v>
      </c>
      <c r="AL5" s="171">
        <f>ROUND($AL4*(1+V5)^0.5,2)</f>
        <v>0</v>
      </c>
      <c r="AM5" s="171">
        <f>ROUND($AM4*(1+V5)^0.5,2)</f>
        <v>0</v>
      </c>
      <c r="AN5" s="175">
        <f>ROUND($AN4*(1+O5)^0.5,0)</f>
        <v>0</v>
      </c>
      <c r="AP5" s="184">
        <f ca="1">Dashboard!$B$8</f>
        <v>2019</v>
      </c>
      <c r="AQ5" s="185">
        <f>O5</f>
        <v>1.4999999999999999E-2</v>
      </c>
      <c r="AR5" s="182">
        <f>(1+AQ5)^0.5</f>
        <v>1.0074720839804943</v>
      </c>
      <c r="AU5" s="178">
        <f ca="1">Dashboard!$B$8</f>
        <v>2019</v>
      </c>
      <c r="AV5" s="182">
        <f>G5</f>
        <v>1.0999999999999999E-2</v>
      </c>
      <c r="AW5" s="179">
        <f>W5</f>
        <v>5.0000000000000001E-3</v>
      </c>
      <c r="AX5" s="182">
        <f>AV5+AW5</f>
        <v>1.6E-2</v>
      </c>
      <c r="AY5" s="186"/>
      <c r="BA5" s="178">
        <f ca="1">Dashboard!$B$8</f>
        <v>2019</v>
      </c>
      <c r="BB5" s="171">
        <f>ROUND($BB4*(1+AX5)^0.5,2)</f>
        <v>0</v>
      </c>
      <c r="BC5" s="171">
        <f t="shared" ref="BC5:BC68" si="1">AE5</f>
        <v>720.42</v>
      </c>
      <c r="BD5" s="171">
        <f t="shared" ref="BD5:BG32" si="2">AH5</f>
        <v>0</v>
      </c>
      <c r="BE5" s="171">
        <f>AI5</f>
        <v>0</v>
      </c>
      <c r="BF5" s="171">
        <f t="shared" ref="BF5:BG20" si="3">AJ5</f>
        <v>0</v>
      </c>
      <c r="BG5" s="171">
        <f t="shared" si="3"/>
        <v>0</v>
      </c>
      <c r="BI5" s="187">
        <f>IF(A5-'Invoer gegevens (N)'!$C$17&lt;0,0,IF(A5-'Invoer gegevens (N)'!$C$17=0,1,IF(A5-'Invoer gegevens (N)'!$C$17&lt;5,2,IF(A5-'Invoer gegevens (N)'!$C$17&lt;15,3,4))))</f>
        <v>0</v>
      </c>
      <c r="BJ5" s="229">
        <f>IF(BI5&lt;1,0,IF(BI5&lt;2,4%,IF('Reeksen (N)'!BI5&lt;3,4%,IF('Reeksen (N)'!BI5&lt;4,4%*70%,IF('Reeksen (N)'!BI5&lt;5,4%*50%)))))</f>
        <v>0</v>
      </c>
    </row>
    <row r="6" spans="1:63" x14ac:dyDescent="0.25">
      <c r="A6" s="184">
        <f>A5+1</f>
        <v>1</v>
      </c>
      <c r="B6" s="179">
        <f>Dashboard!$D$25</f>
        <v>0</v>
      </c>
      <c r="C6" s="179">
        <f>Dashboard!$D$25</f>
        <v>0</v>
      </c>
      <c r="D6" s="180">
        <f t="shared" ref="D6:D69" si="4">B6</f>
        <v>0</v>
      </c>
      <c r="E6" s="181"/>
      <c r="F6" s="184">
        <f ca="1">F5+1</f>
        <v>2020</v>
      </c>
      <c r="G6" s="179">
        <f>'Hulp - basis'!L6</f>
        <v>0.02</v>
      </c>
      <c r="H6" s="182">
        <f>H5*(1+G6)</f>
        <v>1.0255946567723526</v>
      </c>
      <c r="I6" s="180">
        <f>'Hulp - basis'!L12</f>
        <v>2.5000000000000001E-2</v>
      </c>
      <c r="J6" s="182">
        <f>J5*(1+I6)</f>
        <v>1.0321500617642765</v>
      </c>
      <c r="K6" s="180">
        <f>'Hulp - basis'!L9</f>
        <v>2.5000000000000001E-2</v>
      </c>
      <c r="L6" s="182">
        <f>L5*(1+K6)</f>
        <v>1.0321500617642765</v>
      </c>
      <c r="M6" s="181"/>
      <c r="N6" s="184">
        <f ca="1">N5+1</f>
        <v>2020</v>
      </c>
      <c r="O6" s="179">
        <f>VLOOKUP('Invoer gegevens (N)'!$C$9,'Hulp - basis'!$I$15:$N$30,5,FALSE)</f>
        <v>1.7000000000000001E-2</v>
      </c>
      <c r="P6" s="182">
        <f>P5*(1+O6)</f>
        <v>1.0245991094081626</v>
      </c>
      <c r="R6" s="184">
        <f ca="1">R5+1</f>
        <v>2020</v>
      </c>
      <c r="S6" s="183">
        <v>5.3600000000000002E-3</v>
      </c>
      <c r="U6" s="184">
        <f ca="1">+U5+1</f>
        <v>2020</v>
      </c>
      <c r="V6" s="182">
        <f t="shared" ref="V6:V69" si="5">G6</f>
        <v>0.02</v>
      </c>
      <c r="W6" s="180">
        <f>Parameters!C15</f>
        <v>5.0000000000000001E-3</v>
      </c>
      <c r="X6" s="182">
        <f t="shared" ref="X6:X69" si="6">V6+W6</f>
        <v>2.5000000000000001E-2</v>
      </c>
      <c r="Y6" s="182">
        <f>Y5*(1+X6)</f>
        <v>1.0331674598050404</v>
      </c>
      <c r="AB6" s="184">
        <f ca="1">AB5+1</f>
        <v>2020</v>
      </c>
      <c r="AC6" s="171">
        <f t="shared" ref="AC6:AC69" si="7">$AC$4*Y6</f>
        <v>0</v>
      </c>
      <c r="AD6" s="171">
        <f t="shared" si="0"/>
        <v>0</v>
      </c>
      <c r="AE6" s="172">
        <f>Parameters!C5</f>
        <v>720.42</v>
      </c>
      <c r="AF6" s="171">
        <f>$AF$4*H6</f>
        <v>0</v>
      </c>
      <c r="AG6" s="171">
        <f>ROUND($AG5*(1+V6)^1,2)</f>
        <v>0</v>
      </c>
      <c r="AH6" s="171">
        <f t="shared" ref="AH6:AH69" si="8">ROUND($AH5*(1+V6)^1,2)</f>
        <v>0</v>
      </c>
      <c r="AI6" s="171">
        <f t="shared" ref="AI6:AI69" si="9">SMALL(AC6:AD6,1)</f>
        <v>0</v>
      </c>
      <c r="AJ6" s="171">
        <f>IF('Invoer gegevens (N)'!$I$27="DAEB",SMALL(AC6:AD6,1),AC6)</f>
        <v>0</v>
      </c>
      <c r="AK6" s="171">
        <f>IF('Invoer gegevens'!$I$27="DAEB",SMALL((AE6:AH6),1),SMALL((AF6:AH6),1))</f>
        <v>0</v>
      </c>
      <c r="AL6" s="171">
        <f>ROUND($AL5*(1+V6)^1,2)</f>
        <v>0</v>
      </c>
      <c r="AM6" s="171">
        <f>ROUND($AM5*(1+V6)^1,2)</f>
        <v>0</v>
      </c>
      <c r="AN6" s="175">
        <f>ROUND($AN5*(1+O6)^1,0)</f>
        <v>0</v>
      </c>
      <c r="AP6" s="184">
        <f ca="1">AP5+1</f>
        <v>2020</v>
      </c>
      <c r="AQ6" s="185">
        <f t="shared" ref="AQ6:AQ69" si="10">O6</f>
        <v>1.7000000000000001E-2</v>
      </c>
      <c r="AR6" s="182">
        <f>AR5*(1+AQ6)</f>
        <v>1.0245991094081626</v>
      </c>
      <c r="AU6" s="184">
        <f ca="1">+AU5+1</f>
        <v>2020</v>
      </c>
      <c r="AV6" s="182">
        <f t="shared" ref="AV6:AV69" si="11">G6</f>
        <v>0.02</v>
      </c>
      <c r="AW6" s="179">
        <f t="shared" ref="AW6:AW69" si="12">W6</f>
        <v>5.0000000000000001E-3</v>
      </c>
      <c r="AX6" s="182">
        <f t="shared" ref="AX6:AX69" si="13">AV6+AW6</f>
        <v>2.5000000000000001E-2</v>
      </c>
      <c r="AY6" s="186"/>
      <c r="BA6" s="184">
        <f ca="1">BA5+1</f>
        <v>2020</v>
      </c>
      <c r="BB6" s="171">
        <f t="shared" ref="BB6:BB69" si="14">ROUND($BB5*(1+AX6)^1,2)</f>
        <v>0</v>
      </c>
      <c r="BC6" s="171">
        <f t="shared" si="1"/>
        <v>720.42</v>
      </c>
      <c r="BD6" s="171">
        <f t="shared" si="2"/>
        <v>0</v>
      </c>
      <c r="BE6" s="171">
        <f t="shared" si="2"/>
        <v>0</v>
      </c>
      <c r="BF6" s="171">
        <f t="shared" si="3"/>
        <v>0</v>
      </c>
      <c r="BG6" s="171">
        <f t="shared" si="3"/>
        <v>0</v>
      </c>
      <c r="BI6" s="187">
        <f>IF(A6-'Invoer gegevens'!$C$17&lt;0,0,IF(A6-'Invoer gegevens'!$C$17=0,1,IF(A6-'Invoer gegevens'!$C$17&lt;5,2,IF(A6-'Invoer gegevens'!$C$17&lt;15,3,4))))</f>
        <v>0</v>
      </c>
      <c r="BJ6" s="229">
        <f>IF(BI6&lt;1,0,IF(BI6&lt;2,4%,IF('Reeksen (N)'!BI6&lt;3,4%,IF('Reeksen (N)'!BI6&lt;4,4%*70%,IF('Reeksen (N)'!BI6&lt;5,4%*50%)))))</f>
        <v>0</v>
      </c>
    </row>
    <row r="7" spans="1:63" x14ac:dyDescent="0.25">
      <c r="A7" s="184">
        <f t="shared" ref="A7:A70" si="15">A6+1</f>
        <v>2</v>
      </c>
      <c r="B7" s="179">
        <f>Dashboard!$D$25</f>
        <v>0</v>
      </c>
      <c r="C7" s="179">
        <f>Dashboard!$D$25</f>
        <v>0</v>
      </c>
      <c r="D7" s="180">
        <f t="shared" si="4"/>
        <v>0</v>
      </c>
      <c r="E7" s="181"/>
      <c r="F7" s="184">
        <f t="shared" ref="F7:F70" ca="1" si="16">F6+1</f>
        <v>2021</v>
      </c>
      <c r="G7" s="179">
        <f>'Hulp - basis'!M6</f>
        <v>0.02</v>
      </c>
      <c r="H7" s="182">
        <f t="shared" ref="H7:H70" si="17">H6*(1+G7)</f>
        <v>1.0461065499077997</v>
      </c>
      <c r="I7" s="180">
        <f>'Hulp - basis'!M12</f>
        <v>2.5000000000000001E-2</v>
      </c>
      <c r="J7" s="182">
        <f t="shared" ref="J7:J70" si="18">J6*(1+I7)</f>
        <v>1.0579538133083832</v>
      </c>
      <c r="K7" s="180">
        <f>'Hulp - basis'!M9</f>
        <v>2.5000000000000001E-2</v>
      </c>
      <c r="L7" s="182">
        <f t="shared" ref="L7:L70" si="19">L6*(1+K7)</f>
        <v>1.0579538133083832</v>
      </c>
      <c r="M7" s="181"/>
      <c r="N7" s="184">
        <f t="shared" ref="N7:N70" ca="1" si="20">N6+1</f>
        <v>2021</v>
      </c>
      <c r="O7" s="179">
        <f>VLOOKUP('Invoer gegevens'!$C$9,'Hulp - basis'!$I$15:$N$30,6,FALSE)</f>
        <v>0.02</v>
      </c>
      <c r="P7" s="182">
        <f t="shared" ref="P7:P54" si="21">P6*(1+O7)</f>
        <v>1.0450910915963258</v>
      </c>
      <c r="R7" s="184">
        <f t="shared" ref="R7:R70" ca="1" si="22">R6+1</f>
        <v>2021</v>
      </c>
      <c r="S7" s="183">
        <v>5.3600000000000002E-3</v>
      </c>
      <c r="U7" s="184">
        <f t="shared" ref="U7:U70" ca="1" si="23">+U6+1</f>
        <v>2021</v>
      </c>
      <c r="V7" s="182">
        <f t="shared" si="5"/>
        <v>0.02</v>
      </c>
      <c r="W7" s="180">
        <f>Parameters!$D$15</f>
        <v>5.0000000000000001E-3</v>
      </c>
      <c r="X7" s="182">
        <f t="shared" si="6"/>
        <v>2.5000000000000001E-2</v>
      </c>
      <c r="Y7" s="182">
        <f t="shared" ref="Y7:Y70" si="24">Y6*(1+X7)</f>
        <v>1.0589966463001663</v>
      </c>
      <c r="AB7" s="184">
        <f t="shared" ref="AB7:AB70" ca="1" si="25">AB6+1</f>
        <v>2021</v>
      </c>
      <c r="AC7" s="171">
        <f t="shared" si="7"/>
        <v>0</v>
      </c>
      <c r="AD7" s="171">
        <f t="shared" si="0"/>
        <v>0</v>
      </c>
      <c r="AE7" s="172">
        <f>Parameters!D5</f>
        <v>720.42</v>
      </c>
      <c r="AF7" s="171">
        <f t="shared" ref="AF7:AF70" si="26">$AF$4*H7</f>
        <v>0</v>
      </c>
      <c r="AG7" s="171">
        <f t="shared" ref="AG7:AG70" si="27">ROUND($AG6*(1+V7)^1,2)</f>
        <v>0</v>
      </c>
      <c r="AH7" s="171">
        <f t="shared" si="8"/>
        <v>0</v>
      </c>
      <c r="AI7" s="171">
        <f t="shared" si="9"/>
        <v>0</v>
      </c>
      <c r="AJ7" s="171">
        <f>IF('Invoer gegevens'!$I$27="DAEB",SMALL(AC7:AD7,1),AC7)</f>
        <v>0</v>
      </c>
      <c r="AK7" s="171">
        <f>IF('Invoer gegevens'!$I$27="DAEB",SMALL((AE7:AH7),1),SMALL((AF7:AH7),1))</f>
        <v>0</v>
      </c>
      <c r="AL7" s="171">
        <f>ROUND($AL6*(1+V7)^1,2)</f>
        <v>0</v>
      </c>
      <c r="AM7" s="171">
        <f>ROUND($AM6*(1+V7)^1,2)</f>
        <v>0</v>
      </c>
      <c r="AN7" s="175">
        <f t="shared" ref="AN7:AN70" si="28">ROUND($AN6*(1+O7)^1,0)</f>
        <v>0</v>
      </c>
      <c r="AP7" s="184">
        <f t="shared" ref="AP7:AP70" ca="1" si="29">AP6+1</f>
        <v>2021</v>
      </c>
      <c r="AQ7" s="185">
        <f t="shared" si="10"/>
        <v>0.02</v>
      </c>
      <c r="AR7" s="182">
        <f t="shared" ref="AR7:AR54" si="30">AR6*(1+AQ7)</f>
        <v>1.0450910915963258</v>
      </c>
      <c r="AU7" s="184">
        <f t="shared" ref="AU7:AU70" ca="1" si="31">+AU6+1</f>
        <v>2021</v>
      </c>
      <c r="AV7" s="182">
        <f t="shared" si="11"/>
        <v>0.02</v>
      </c>
      <c r="AW7" s="179">
        <f t="shared" si="12"/>
        <v>5.0000000000000001E-3</v>
      </c>
      <c r="AX7" s="182">
        <f t="shared" si="13"/>
        <v>2.5000000000000001E-2</v>
      </c>
      <c r="AY7" s="186"/>
      <c r="BA7" s="184">
        <f t="shared" ref="BA7:BA70" ca="1" si="32">BA6+1</f>
        <v>2021</v>
      </c>
      <c r="BB7" s="171">
        <f t="shared" si="14"/>
        <v>0</v>
      </c>
      <c r="BC7" s="171">
        <f t="shared" si="1"/>
        <v>720.42</v>
      </c>
      <c r="BD7" s="171">
        <f t="shared" si="2"/>
        <v>0</v>
      </c>
      <c r="BE7" s="171">
        <f t="shared" si="2"/>
        <v>0</v>
      </c>
      <c r="BF7" s="171">
        <f t="shared" si="3"/>
        <v>0</v>
      </c>
      <c r="BG7" s="171">
        <f t="shared" si="3"/>
        <v>0</v>
      </c>
      <c r="BI7" s="187">
        <f>IF(A7-'Invoer gegevens'!$C$17&lt;0,0,IF(A7-'Invoer gegevens'!$C$17=0,1,IF(A7-'Invoer gegevens'!$C$17&lt;5,2,IF(A7-'Invoer gegevens'!$C$17&lt;15,3,4))))</f>
        <v>0</v>
      </c>
      <c r="BJ7" s="229">
        <f>IF(BI7&lt;1,0,IF(BI7&lt;2,4%,IF('Reeksen (N)'!BI7&lt;3,4%,IF('Reeksen (N)'!BI7&lt;4,4%*70%,IF('Reeksen (N)'!BI7&lt;5,4%*50%)))))</f>
        <v>0</v>
      </c>
    </row>
    <row r="8" spans="1:63" x14ac:dyDescent="0.25">
      <c r="A8" s="184">
        <f t="shared" si="15"/>
        <v>3</v>
      </c>
      <c r="B8" s="179">
        <f>Dashboard!$D$25</f>
        <v>0</v>
      </c>
      <c r="C8" s="179">
        <f>Dashboard!$D$25</f>
        <v>0</v>
      </c>
      <c r="D8" s="180">
        <f t="shared" si="4"/>
        <v>0</v>
      </c>
      <c r="E8" s="181"/>
      <c r="F8" s="184">
        <f t="shared" ca="1" si="16"/>
        <v>2022</v>
      </c>
      <c r="G8" s="179">
        <f>G7</f>
        <v>0.02</v>
      </c>
      <c r="H8" s="182">
        <f t="shared" si="17"/>
        <v>1.0670286809059557</v>
      </c>
      <c r="I8" s="179">
        <f>I7</f>
        <v>2.5000000000000001E-2</v>
      </c>
      <c r="J8" s="182">
        <f t="shared" si="18"/>
        <v>1.0844026586410926</v>
      </c>
      <c r="K8" s="179">
        <f>K7</f>
        <v>2.5000000000000001E-2</v>
      </c>
      <c r="L8" s="182">
        <f t="shared" si="19"/>
        <v>1.0844026586410926</v>
      </c>
      <c r="M8" s="181"/>
      <c r="N8" s="184">
        <f t="shared" ca="1" si="20"/>
        <v>2022</v>
      </c>
      <c r="O8" s="179">
        <f>O7</f>
        <v>0.02</v>
      </c>
      <c r="P8" s="182">
        <f t="shared" si="21"/>
        <v>1.0659929134282524</v>
      </c>
      <c r="R8" s="184">
        <f t="shared" ca="1" si="22"/>
        <v>2022</v>
      </c>
      <c r="S8" s="188">
        <f>S7</f>
        <v>5.3600000000000002E-3</v>
      </c>
      <c r="U8" s="184">
        <f t="shared" ca="1" si="23"/>
        <v>2022</v>
      </c>
      <c r="V8" s="182">
        <f t="shared" si="5"/>
        <v>0.02</v>
      </c>
      <c r="W8" s="180">
        <f>Parameters!$D$15</f>
        <v>5.0000000000000001E-3</v>
      </c>
      <c r="X8" s="182">
        <f t="shared" si="6"/>
        <v>2.5000000000000001E-2</v>
      </c>
      <c r="Y8" s="182">
        <f t="shared" si="24"/>
        <v>1.0854715624576703</v>
      </c>
      <c r="AB8" s="184">
        <f t="shared" ca="1" si="25"/>
        <v>2022</v>
      </c>
      <c r="AC8" s="171">
        <f t="shared" si="7"/>
        <v>0</v>
      </c>
      <c r="AD8" s="171">
        <f t="shared" si="0"/>
        <v>0</v>
      </c>
      <c r="AE8" s="171">
        <f>AE7*(1+V8)</f>
        <v>734.82839999999999</v>
      </c>
      <c r="AF8" s="171">
        <f t="shared" si="26"/>
        <v>0</v>
      </c>
      <c r="AG8" s="171">
        <f>ROUND($AG7*(1+V8)^1,2)</f>
        <v>0</v>
      </c>
      <c r="AH8" s="171">
        <f t="shared" si="8"/>
        <v>0</v>
      </c>
      <c r="AI8" s="171">
        <f t="shared" si="9"/>
        <v>0</v>
      </c>
      <c r="AJ8" s="171">
        <f>IF('Invoer gegevens'!$I$27="DAEB",SMALL(AC8:AD8,1),AC8)</f>
        <v>0</v>
      </c>
      <c r="AK8" s="171">
        <f>IF('Invoer gegevens'!$I$27="DAEB",SMALL((AE8:AH8),1),SMALL((AF8:AH8),1))</f>
        <v>0</v>
      </c>
      <c r="AL8" s="171">
        <f t="shared" ref="AL8:AL71" si="33">ROUND($AL7*(1+V8)^1,2)</f>
        <v>0</v>
      </c>
      <c r="AM8" s="171">
        <f t="shared" ref="AM8:AM71" si="34">ROUND($AM7*(1+V8)^1,2)</f>
        <v>0</v>
      </c>
      <c r="AN8" s="175">
        <f>ROUND($AN7*(1+O8)^1,0)</f>
        <v>0</v>
      </c>
      <c r="AP8" s="184">
        <f t="shared" ca="1" si="29"/>
        <v>2022</v>
      </c>
      <c r="AQ8" s="185">
        <f t="shared" si="10"/>
        <v>0.02</v>
      </c>
      <c r="AR8" s="182">
        <f t="shared" si="30"/>
        <v>1.0659929134282524</v>
      </c>
      <c r="AU8" s="184">
        <f t="shared" ca="1" si="31"/>
        <v>2022</v>
      </c>
      <c r="AV8" s="182">
        <f t="shared" si="11"/>
        <v>0.02</v>
      </c>
      <c r="AW8" s="179">
        <f t="shared" si="12"/>
        <v>5.0000000000000001E-3</v>
      </c>
      <c r="AX8" s="182">
        <f t="shared" si="13"/>
        <v>2.5000000000000001E-2</v>
      </c>
      <c r="AY8" s="186"/>
      <c r="BA8" s="184">
        <f t="shared" ca="1" si="32"/>
        <v>2022</v>
      </c>
      <c r="BB8" s="171">
        <f t="shared" si="14"/>
        <v>0</v>
      </c>
      <c r="BC8" s="171">
        <f t="shared" si="1"/>
        <v>734.82839999999999</v>
      </c>
      <c r="BD8" s="171">
        <f t="shared" si="2"/>
        <v>0</v>
      </c>
      <c r="BE8" s="171">
        <f t="shared" si="2"/>
        <v>0</v>
      </c>
      <c r="BF8" s="171">
        <f t="shared" si="3"/>
        <v>0</v>
      </c>
      <c r="BG8" s="171">
        <f t="shared" si="3"/>
        <v>0</v>
      </c>
      <c r="BI8" s="187">
        <f>IF(A8-'Invoer gegevens'!$C$17&lt;0,0,IF(A8-'Invoer gegevens'!$C$17=0,1,IF(A8-'Invoer gegevens'!$C$17&lt;5,2,IF(A8-'Invoer gegevens'!$C$17&lt;15,3,4))))</f>
        <v>0</v>
      </c>
      <c r="BJ8" s="229">
        <f>IF(BI8&lt;1,0,IF(BI8&lt;2,4%,IF('Reeksen (N)'!BI8&lt;3,4%,IF('Reeksen (N)'!BI8&lt;4,4%*70%,IF('Reeksen (N)'!BI8&lt;5,4%*50%)))))</f>
        <v>0</v>
      </c>
    </row>
    <row r="9" spans="1:63" x14ac:dyDescent="0.25">
      <c r="A9" s="184">
        <f t="shared" si="15"/>
        <v>4</v>
      </c>
      <c r="B9" s="179">
        <f>Dashboard!$D$25</f>
        <v>0</v>
      </c>
      <c r="C9" s="179">
        <f>Dashboard!$D$25</f>
        <v>0</v>
      </c>
      <c r="D9" s="180">
        <f t="shared" si="4"/>
        <v>0</v>
      </c>
      <c r="E9" s="181"/>
      <c r="F9" s="184">
        <f t="shared" ca="1" si="16"/>
        <v>2023</v>
      </c>
      <c r="G9" s="179">
        <f t="shared" ref="G9:K24" si="35">G8</f>
        <v>0.02</v>
      </c>
      <c r="H9" s="182">
        <f t="shared" si="17"/>
        <v>1.0883692545240748</v>
      </c>
      <c r="I9" s="179">
        <f t="shared" si="35"/>
        <v>2.5000000000000001E-2</v>
      </c>
      <c r="J9" s="182">
        <f t="shared" si="18"/>
        <v>1.11151272510712</v>
      </c>
      <c r="K9" s="179">
        <f t="shared" si="35"/>
        <v>2.5000000000000001E-2</v>
      </c>
      <c r="L9" s="182">
        <f t="shared" si="19"/>
        <v>1.11151272510712</v>
      </c>
      <c r="M9" s="181"/>
      <c r="N9" s="184">
        <f t="shared" ca="1" si="20"/>
        <v>2023</v>
      </c>
      <c r="O9" s="179">
        <f t="shared" ref="O9:O72" si="36">O8</f>
        <v>0.02</v>
      </c>
      <c r="P9" s="182">
        <f t="shared" si="21"/>
        <v>1.0873127716968174</v>
      </c>
      <c r="R9" s="184">
        <f t="shared" ca="1" si="22"/>
        <v>2023</v>
      </c>
      <c r="S9" s="188">
        <f>S8</f>
        <v>5.3600000000000002E-3</v>
      </c>
      <c r="U9" s="184">
        <f t="shared" ca="1" si="23"/>
        <v>2023</v>
      </c>
      <c r="V9" s="182">
        <f t="shared" si="5"/>
        <v>0.02</v>
      </c>
      <c r="W9" s="180">
        <f>Parameters!$D$15</f>
        <v>5.0000000000000001E-3</v>
      </c>
      <c r="X9" s="182">
        <f t="shared" si="6"/>
        <v>2.5000000000000001E-2</v>
      </c>
      <c r="Y9" s="182">
        <f t="shared" si="24"/>
        <v>1.1126083515191119</v>
      </c>
      <c r="AB9" s="184">
        <f t="shared" ca="1" si="25"/>
        <v>2023</v>
      </c>
      <c r="AC9" s="171">
        <f t="shared" si="7"/>
        <v>0</v>
      </c>
      <c r="AD9" s="171">
        <f t="shared" si="0"/>
        <v>0</v>
      </c>
      <c r="AE9" s="171">
        <f>AE8*(1+V9)</f>
        <v>749.52496799999994</v>
      </c>
      <c r="AF9" s="171">
        <f t="shared" si="26"/>
        <v>0</v>
      </c>
      <c r="AG9" s="171">
        <f t="shared" si="27"/>
        <v>0</v>
      </c>
      <c r="AH9" s="171">
        <f t="shared" si="8"/>
        <v>0</v>
      </c>
      <c r="AI9" s="171">
        <f>SMALL(AC9:AD9,1)</f>
        <v>0</v>
      </c>
      <c r="AJ9" s="171">
        <f>IF('Invoer gegevens'!$I$27="DAEB",SMALL(AC9:AD9,1),AC9)</f>
        <v>0</v>
      </c>
      <c r="AK9" s="171">
        <f>IF('Invoer gegevens'!$I$27="DAEB",SMALL((AE9:AH9),1),SMALL((AF9:AH9),1))</f>
        <v>0</v>
      </c>
      <c r="AL9" s="171">
        <f t="shared" si="33"/>
        <v>0</v>
      </c>
      <c r="AM9" s="171">
        <f t="shared" si="34"/>
        <v>0</v>
      </c>
      <c r="AN9" s="175">
        <f t="shared" si="28"/>
        <v>0</v>
      </c>
      <c r="AP9" s="184">
        <f t="shared" ca="1" si="29"/>
        <v>2023</v>
      </c>
      <c r="AQ9" s="185">
        <f t="shared" si="10"/>
        <v>0.02</v>
      </c>
      <c r="AR9" s="182">
        <f t="shared" si="30"/>
        <v>1.0873127716968174</v>
      </c>
      <c r="AU9" s="184">
        <f t="shared" ca="1" si="31"/>
        <v>2023</v>
      </c>
      <c r="AV9" s="182">
        <f t="shared" si="11"/>
        <v>0.02</v>
      </c>
      <c r="AW9" s="179">
        <f t="shared" si="12"/>
        <v>5.0000000000000001E-3</v>
      </c>
      <c r="AX9" s="182">
        <f t="shared" si="13"/>
        <v>2.5000000000000001E-2</v>
      </c>
      <c r="AY9" s="186"/>
      <c r="BA9" s="184">
        <f t="shared" ca="1" si="32"/>
        <v>2023</v>
      </c>
      <c r="BB9" s="171">
        <f t="shared" si="14"/>
        <v>0</v>
      </c>
      <c r="BC9" s="171">
        <f t="shared" si="1"/>
        <v>749.52496799999994</v>
      </c>
      <c r="BD9" s="171">
        <f t="shared" si="2"/>
        <v>0</v>
      </c>
      <c r="BE9" s="171">
        <f t="shared" si="2"/>
        <v>0</v>
      </c>
      <c r="BF9" s="171">
        <f t="shared" si="3"/>
        <v>0</v>
      </c>
      <c r="BG9" s="171">
        <f t="shared" si="3"/>
        <v>0</v>
      </c>
      <c r="BI9" s="187">
        <f>IF(A9-'Invoer gegevens'!$C$17&lt;0,0,IF(A9-'Invoer gegevens'!$C$17=0,1,IF(A9-'Invoer gegevens'!$C$17&lt;5,2,IF(A9-'Invoer gegevens'!$C$17&lt;15,3,4))))</f>
        <v>0</v>
      </c>
      <c r="BJ9" s="229">
        <f>IF(BI9&lt;1,0,IF(BI9&lt;2,4%,IF('Reeksen (N)'!BI9&lt;3,4%,IF('Reeksen (N)'!BI9&lt;4,4%*70%,IF('Reeksen (N)'!BI9&lt;5,4%*50%)))))</f>
        <v>0</v>
      </c>
    </row>
    <row r="10" spans="1:63" x14ac:dyDescent="0.25">
      <c r="A10" s="184">
        <f t="shared" si="15"/>
        <v>5</v>
      </c>
      <c r="B10" s="179">
        <f>Dashboard!$D$25</f>
        <v>0</v>
      </c>
      <c r="C10" s="179">
        <f>Dashboard!$D$25</f>
        <v>0</v>
      </c>
      <c r="D10" s="180">
        <f t="shared" si="4"/>
        <v>0</v>
      </c>
      <c r="E10" s="181"/>
      <c r="F10" s="184">
        <f t="shared" ca="1" si="16"/>
        <v>2024</v>
      </c>
      <c r="G10" s="179">
        <f t="shared" si="35"/>
        <v>0.02</v>
      </c>
      <c r="H10" s="182">
        <f t="shared" si="17"/>
        <v>1.1101366396145564</v>
      </c>
      <c r="I10" s="179">
        <f t="shared" si="35"/>
        <v>2.5000000000000001E-2</v>
      </c>
      <c r="J10" s="182">
        <f t="shared" si="18"/>
        <v>1.1393005432347978</v>
      </c>
      <c r="K10" s="179">
        <f t="shared" si="35"/>
        <v>2.5000000000000001E-2</v>
      </c>
      <c r="L10" s="182">
        <f t="shared" si="19"/>
        <v>1.1393005432347978</v>
      </c>
      <c r="M10" s="181"/>
      <c r="N10" s="184">
        <f t="shared" ca="1" si="20"/>
        <v>2024</v>
      </c>
      <c r="O10" s="179">
        <f t="shared" si="36"/>
        <v>0.02</v>
      </c>
      <c r="P10" s="182">
        <f t="shared" si="21"/>
        <v>1.1090590271307537</v>
      </c>
      <c r="R10" s="184">
        <f t="shared" ca="1" si="22"/>
        <v>2024</v>
      </c>
      <c r="S10" s="188">
        <f>S9</f>
        <v>5.3600000000000002E-3</v>
      </c>
      <c r="U10" s="184">
        <f t="shared" ca="1" si="23"/>
        <v>2024</v>
      </c>
      <c r="V10" s="182">
        <f t="shared" si="5"/>
        <v>0.02</v>
      </c>
      <c r="W10" s="180">
        <f>Parameters!$D$15</f>
        <v>5.0000000000000001E-3</v>
      </c>
      <c r="X10" s="182">
        <f t="shared" si="6"/>
        <v>2.5000000000000001E-2</v>
      </c>
      <c r="Y10" s="182">
        <f t="shared" si="24"/>
        <v>1.1404235603070896</v>
      </c>
      <c r="AB10" s="184">
        <f t="shared" ca="1" si="25"/>
        <v>2024</v>
      </c>
      <c r="AC10" s="171">
        <f t="shared" si="7"/>
        <v>0</v>
      </c>
      <c r="AD10" s="171">
        <f t="shared" si="0"/>
        <v>0</v>
      </c>
      <c r="AE10" s="171">
        <f t="shared" ref="AE10:AE73" si="37">AE9*(1+V10)</f>
        <v>764.51546736</v>
      </c>
      <c r="AF10" s="171">
        <f t="shared" si="26"/>
        <v>0</v>
      </c>
      <c r="AG10" s="171">
        <f t="shared" si="27"/>
        <v>0</v>
      </c>
      <c r="AH10" s="171">
        <f t="shared" si="8"/>
        <v>0</v>
      </c>
      <c r="AI10" s="171">
        <f t="shared" si="9"/>
        <v>0</v>
      </c>
      <c r="AJ10" s="171">
        <f>IF('Invoer gegevens'!$I$27="DAEB",SMALL(AC10:AD10,1),AC10)</f>
        <v>0</v>
      </c>
      <c r="AK10" s="171">
        <f>IF('Invoer gegevens'!$I$27="DAEB",SMALL((AE10:AH10),1),SMALL((AF10:AH10),1))</f>
        <v>0</v>
      </c>
      <c r="AL10" s="171">
        <f t="shared" si="33"/>
        <v>0</v>
      </c>
      <c r="AM10" s="171">
        <f t="shared" si="34"/>
        <v>0</v>
      </c>
      <c r="AN10" s="175">
        <f t="shared" si="28"/>
        <v>0</v>
      </c>
      <c r="AP10" s="184">
        <f t="shared" ca="1" si="29"/>
        <v>2024</v>
      </c>
      <c r="AQ10" s="185">
        <f t="shared" si="10"/>
        <v>0.02</v>
      </c>
      <c r="AR10" s="182">
        <f t="shared" si="30"/>
        <v>1.1090590271307537</v>
      </c>
      <c r="AU10" s="184">
        <f t="shared" ca="1" si="31"/>
        <v>2024</v>
      </c>
      <c r="AV10" s="182">
        <f t="shared" si="11"/>
        <v>0.02</v>
      </c>
      <c r="AW10" s="179">
        <f t="shared" si="12"/>
        <v>5.0000000000000001E-3</v>
      </c>
      <c r="AX10" s="182">
        <f t="shared" si="13"/>
        <v>2.5000000000000001E-2</v>
      </c>
      <c r="AY10" s="186"/>
      <c r="BA10" s="184">
        <f t="shared" ca="1" si="32"/>
        <v>2024</v>
      </c>
      <c r="BB10" s="171">
        <f t="shared" si="14"/>
        <v>0</v>
      </c>
      <c r="BC10" s="171">
        <f t="shared" si="1"/>
        <v>764.51546736</v>
      </c>
      <c r="BD10" s="171">
        <f t="shared" si="2"/>
        <v>0</v>
      </c>
      <c r="BE10" s="171">
        <f t="shared" si="2"/>
        <v>0</v>
      </c>
      <c r="BF10" s="171">
        <f t="shared" si="3"/>
        <v>0</v>
      </c>
      <c r="BG10" s="171">
        <f t="shared" si="3"/>
        <v>0</v>
      </c>
      <c r="BI10" s="187">
        <f>IF(A10-'Invoer gegevens'!$C$17&lt;0,0,IF(A10-'Invoer gegevens'!$C$17=0,1,IF(A10-'Invoer gegevens'!$C$17&lt;5,2,IF(A10-'Invoer gegevens'!$C$17&lt;15,3,4))))</f>
        <v>0</v>
      </c>
      <c r="BJ10" s="229">
        <f>IF(BI10&lt;1,0,IF(BI10&lt;2,4%,IF('Reeksen (N)'!BI10&lt;3,4%,IF('Reeksen (N)'!BI10&lt;4,4%*70%,IF('Reeksen (N)'!BI10&lt;5,4%*50%)))))</f>
        <v>0</v>
      </c>
    </row>
    <row r="11" spans="1:63" x14ac:dyDescent="0.25">
      <c r="A11" s="184">
        <f t="shared" si="15"/>
        <v>6</v>
      </c>
      <c r="B11" s="179">
        <f>Dashboard!$D$25</f>
        <v>0</v>
      </c>
      <c r="C11" s="179">
        <f>Dashboard!$D$25</f>
        <v>0</v>
      </c>
      <c r="D11" s="180">
        <f t="shared" si="4"/>
        <v>0</v>
      </c>
      <c r="E11" s="181"/>
      <c r="F11" s="184">
        <f t="shared" ca="1" si="16"/>
        <v>2025</v>
      </c>
      <c r="G11" s="179">
        <f t="shared" si="35"/>
        <v>0.02</v>
      </c>
      <c r="H11" s="182">
        <f t="shared" si="17"/>
        <v>1.1323393724068476</v>
      </c>
      <c r="I11" s="179">
        <f t="shared" si="35"/>
        <v>2.5000000000000001E-2</v>
      </c>
      <c r="J11" s="182">
        <f t="shared" si="18"/>
        <v>1.1677830568156677</v>
      </c>
      <c r="K11" s="179">
        <f t="shared" si="35"/>
        <v>2.5000000000000001E-2</v>
      </c>
      <c r="L11" s="182">
        <f t="shared" si="19"/>
        <v>1.1677830568156677</v>
      </c>
      <c r="M11" s="181"/>
      <c r="N11" s="184">
        <f t="shared" ca="1" si="20"/>
        <v>2025</v>
      </c>
      <c r="O11" s="179">
        <f t="shared" si="36"/>
        <v>0.02</v>
      </c>
      <c r="P11" s="182">
        <f t="shared" si="21"/>
        <v>1.1312402076733687</v>
      </c>
      <c r="R11" s="184">
        <f t="shared" ca="1" si="22"/>
        <v>2025</v>
      </c>
      <c r="S11" s="188">
        <f>S10</f>
        <v>5.3600000000000002E-3</v>
      </c>
      <c r="U11" s="184">
        <f t="shared" ca="1" si="23"/>
        <v>2025</v>
      </c>
      <c r="V11" s="182">
        <f t="shared" si="5"/>
        <v>0.02</v>
      </c>
      <c r="W11" s="180">
        <f>Parameters!$D$15</f>
        <v>5.0000000000000001E-3</v>
      </c>
      <c r="X11" s="182">
        <f t="shared" si="6"/>
        <v>2.5000000000000001E-2</v>
      </c>
      <c r="Y11" s="182">
        <f t="shared" si="24"/>
        <v>1.1689341493147667</v>
      </c>
      <c r="AB11" s="184">
        <f t="shared" ca="1" si="25"/>
        <v>2025</v>
      </c>
      <c r="AC11" s="171">
        <f t="shared" si="7"/>
        <v>0</v>
      </c>
      <c r="AD11" s="171">
        <f t="shared" si="0"/>
        <v>0</v>
      </c>
      <c r="AE11" s="171">
        <f t="shared" si="37"/>
        <v>779.80577670720004</v>
      </c>
      <c r="AF11" s="171">
        <f t="shared" si="26"/>
        <v>0</v>
      </c>
      <c r="AG11" s="171">
        <f t="shared" si="27"/>
        <v>0</v>
      </c>
      <c r="AH11" s="171">
        <f t="shared" si="8"/>
        <v>0</v>
      </c>
      <c r="AI11" s="171">
        <f t="shared" si="9"/>
        <v>0</v>
      </c>
      <c r="AJ11" s="171">
        <f>IF('Invoer gegevens'!$I$27="DAEB",SMALL(AC11:AD11,1),AC11)</f>
        <v>0</v>
      </c>
      <c r="AK11" s="171">
        <f>IF('Invoer gegevens'!$I$27="DAEB",SMALL((AE11:AH11),1),SMALL((AF11:AH11),1))</f>
        <v>0</v>
      </c>
      <c r="AL11" s="171">
        <f t="shared" si="33"/>
        <v>0</v>
      </c>
      <c r="AM11" s="171">
        <f t="shared" si="34"/>
        <v>0</v>
      </c>
      <c r="AN11" s="175">
        <f t="shared" si="28"/>
        <v>0</v>
      </c>
      <c r="AP11" s="184">
        <f t="shared" ca="1" si="29"/>
        <v>2025</v>
      </c>
      <c r="AQ11" s="185">
        <f t="shared" si="10"/>
        <v>0.02</v>
      </c>
      <c r="AR11" s="182">
        <f t="shared" si="30"/>
        <v>1.1312402076733687</v>
      </c>
      <c r="AU11" s="184">
        <f t="shared" ca="1" si="31"/>
        <v>2025</v>
      </c>
      <c r="AV11" s="182">
        <f t="shared" si="11"/>
        <v>0.02</v>
      </c>
      <c r="AW11" s="179">
        <f t="shared" si="12"/>
        <v>5.0000000000000001E-3</v>
      </c>
      <c r="AX11" s="182">
        <f t="shared" si="13"/>
        <v>2.5000000000000001E-2</v>
      </c>
      <c r="AY11" s="186"/>
      <c r="BA11" s="184">
        <f t="shared" ca="1" si="32"/>
        <v>2025</v>
      </c>
      <c r="BB11" s="171">
        <f t="shared" si="14"/>
        <v>0</v>
      </c>
      <c r="BC11" s="171">
        <f t="shared" si="1"/>
        <v>779.80577670720004</v>
      </c>
      <c r="BD11" s="171">
        <f t="shared" si="2"/>
        <v>0</v>
      </c>
      <c r="BE11" s="171">
        <f t="shared" si="2"/>
        <v>0</v>
      </c>
      <c r="BF11" s="171">
        <f t="shared" si="3"/>
        <v>0</v>
      </c>
      <c r="BG11" s="171">
        <f t="shared" si="3"/>
        <v>0</v>
      </c>
      <c r="BI11" s="187">
        <f>IF(A11-'Invoer gegevens'!$C$17&lt;0,0,IF(A11-'Invoer gegevens'!$C$17=0,1,IF(A11-'Invoer gegevens'!$C$17&lt;5,2,IF(A11-'Invoer gegevens'!$C$17&lt;15,3,4))))</f>
        <v>0</v>
      </c>
      <c r="BJ11" s="229">
        <f>IF(BI11&lt;1,0,IF(BI11&lt;2,4%,IF('Reeksen (N)'!BI11&lt;3,4%,IF('Reeksen (N)'!BI11&lt;4,4%*70%,IF('Reeksen (N)'!BI11&lt;5,4%*50%)))))</f>
        <v>0</v>
      </c>
    </row>
    <row r="12" spans="1:63" x14ac:dyDescent="0.25">
      <c r="A12" s="184">
        <f t="shared" si="15"/>
        <v>7</v>
      </c>
      <c r="B12" s="179">
        <f>Dashboard!$D$25</f>
        <v>0</v>
      </c>
      <c r="C12" s="179">
        <f>Dashboard!$D$25</f>
        <v>0</v>
      </c>
      <c r="D12" s="180">
        <f t="shared" si="4"/>
        <v>0</v>
      </c>
      <c r="E12" s="181"/>
      <c r="F12" s="184">
        <f t="shared" ca="1" si="16"/>
        <v>2026</v>
      </c>
      <c r="G12" s="179">
        <f t="shared" si="35"/>
        <v>0.02</v>
      </c>
      <c r="H12" s="182">
        <f t="shared" si="17"/>
        <v>1.1549861598549844</v>
      </c>
      <c r="I12" s="179">
        <f t="shared" si="35"/>
        <v>2.5000000000000001E-2</v>
      </c>
      <c r="J12" s="182">
        <f t="shared" si="18"/>
        <v>1.1969776332360593</v>
      </c>
      <c r="K12" s="179">
        <f t="shared" si="35"/>
        <v>2.5000000000000001E-2</v>
      </c>
      <c r="L12" s="182">
        <f t="shared" si="19"/>
        <v>1.1969776332360593</v>
      </c>
      <c r="M12" s="181"/>
      <c r="N12" s="184">
        <f t="shared" ca="1" si="20"/>
        <v>2026</v>
      </c>
      <c r="O12" s="179">
        <f t="shared" si="36"/>
        <v>0.02</v>
      </c>
      <c r="P12" s="182">
        <f t="shared" si="21"/>
        <v>1.1538650118268361</v>
      </c>
      <c r="R12" s="184">
        <f t="shared" ca="1" si="22"/>
        <v>2026</v>
      </c>
      <c r="S12" s="188">
        <f t="shared" ref="S12:S75" si="38">S11</f>
        <v>5.3600000000000002E-3</v>
      </c>
      <c r="U12" s="184">
        <f t="shared" ca="1" si="23"/>
        <v>2026</v>
      </c>
      <c r="V12" s="182">
        <f t="shared" si="5"/>
        <v>0.02</v>
      </c>
      <c r="W12" s="180">
        <f>Parameters!$D$15</f>
        <v>5.0000000000000001E-3</v>
      </c>
      <c r="X12" s="182">
        <f t="shared" si="6"/>
        <v>2.5000000000000001E-2</v>
      </c>
      <c r="Y12" s="182">
        <f t="shared" si="24"/>
        <v>1.1981575030476357</v>
      </c>
      <c r="AB12" s="184">
        <f t="shared" ca="1" si="25"/>
        <v>2026</v>
      </c>
      <c r="AC12" s="171">
        <f t="shared" si="7"/>
        <v>0</v>
      </c>
      <c r="AD12" s="171">
        <f t="shared" si="0"/>
        <v>0</v>
      </c>
      <c r="AE12" s="171">
        <f t="shared" si="37"/>
        <v>795.40189224134406</v>
      </c>
      <c r="AF12" s="171">
        <f t="shared" si="26"/>
        <v>0</v>
      </c>
      <c r="AG12" s="171">
        <f t="shared" si="27"/>
        <v>0</v>
      </c>
      <c r="AH12" s="171">
        <f t="shared" si="8"/>
        <v>0</v>
      </c>
      <c r="AI12" s="171">
        <f t="shared" si="9"/>
        <v>0</v>
      </c>
      <c r="AJ12" s="171">
        <f>IF('Invoer gegevens'!$I$27="DAEB",SMALL(AC12:AD12,1),AC12)</f>
        <v>0</v>
      </c>
      <c r="AK12" s="171">
        <f>IF('Invoer gegevens'!$I$27="DAEB",SMALL((AE12:AH12),1),SMALL((AF12:AH12),1))</f>
        <v>0</v>
      </c>
      <c r="AL12" s="171">
        <f t="shared" si="33"/>
        <v>0</v>
      </c>
      <c r="AM12" s="171">
        <f t="shared" si="34"/>
        <v>0</v>
      </c>
      <c r="AN12" s="175">
        <f t="shared" si="28"/>
        <v>0</v>
      </c>
      <c r="AP12" s="184">
        <f t="shared" ca="1" si="29"/>
        <v>2026</v>
      </c>
      <c r="AQ12" s="185">
        <f t="shared" si="10"/>
        <v>0.02</v>
      </c>
      <c r="AR12" s="182">
        <f t="shared" si="30"/>
        <v>1.1538650118268361</v>
      </c>
      <c r="AU12" s="184">
        <f t="shared" ca="1" si="31"/>
        <v>2026</v>
      </c>
      <c r="AV12" s="182">
        <f t="shared" si="11"/>
        <v>0.02</v>
      </c>
      <c r="AW12" s="179">
        <f t="shared" si="12"/>
        <v>5.0000000000000001E-3</v>
      </c>
      <c r="AX12" s="182">
        <f t="shared" si="13"/>
        <v>2.5000000000000001E-2</v>
      </c>
      <c r="AY12" s="186"/>
      <c r="BA12" s="184">
        <f t="shared" ca="1" si="32"/>
        <v>2026</v>
      </c>
      <c r="BB12" s="171">
        <f t="shared" si="14"/>
        <v>0</v>
      </c>
      <c r="BC12" s="171">
        <f t="shared" si="1"/>
        <v>795.40189224134406</v>
      </c>
      <c r="BD12" s="171">
        <f t="shared" si="2"/>
        <v>0</v>
      </c>
      <c r="BE12" s="171">
        <f t="shared" si="2"/>
        <v>0</v>
      </c>
      <c r="BF12" s="171">
        <f t="shared" si="3"/>
        <v>0</v>
      </c>
      <c r="BG12" s="171">
        <f t="shared" si="3"/>
        <v>0</v>
      </c>
      <c r="BI12" s="187">
        <f>IF(A12-'Invoer gegevens'!$C$17&lt;0,0,IF(A12-'Invoer gegevens'!$C$17=0,1,IF(A12-'Invoer gegevens'!$C$17&lt;5,2,IF(A12-'Invoer gegevens'!$C$17&lt;15,3,4))))</f>
        <v>0</v>
      </c>
      <c r="BJ12" s="229">
        <f>IF(BI12&lt;1,0,IF(BI12&lt;2,4%,IF('Reeksen (N)'!BI12&lt;3,4%,IF('Reeksen (N)'!BI12&lt;4,4%*70%,IF('Reeksen (N)'!BI12&lt;5,4%*50%)))))</f>
        <v>0</v>
      </c>
    </row>
    <row r="13" spans="1:63" x14ac:dyDescent="0.25">
      <c r="A13" s="184">
        <f t="shared" si="15"/>
        <v>8</v>
      </c>
      <c r="B13" s="179">
        <f>Dashboard!$D$25</f>
        <v>0</v>
      </c>
      <c r="C13" s="179">
        <f>Dashboard!$D$25</f>
        <v>0</v>
      </c>
      <c r="D13" s="180">
        <f t="shared" si="4"/>
        <v>0</v>
      </c>
      <c r="E13" s="181"/>
      <c r="F13" s="184">
        <f t="shared" ca="1" si="16"/>
        <v>2027</v>
      </c>
      <c r="G13" s="179">
        <f t="shared" si="35"/>
        <v>0.02</v>
      </c>
      <c r="H13" s="182">
        <f t="shared" si="17"/>
        <v>1.1780858830520842</v>
      </c>
      <c r="I13" s="179">
        <f t="shared" si="35"/>
        <v>2.5000000000000001E-2</v>
      </c>
      <c r="J13" s="182">
        <f t="shared" si="18"/>
        <v>1.2269020740669607</v>
      </c>
      <c r="K13" s="179">
        <f t="shared" si="35"/>
        <v>2.5000000000000001E-2</v>
      </c>
      <c r="L13" s="182">
        <f t="shared" si="19"/>
        <v>1.2269020740669607</v>
      </c>
      <c r="M13" s="181"/>
      <c r="N13" s="184">
        <f t="shared" ca="1" si="20"/>
        <v>2027</v>
      </c>
      <c r="O13" s="179">
        <f t="shared" si="36"/>
        <v>0.02</v>
      </c>
      <c r="P13" s="182">
        <f t="shared" si="21"/>
        <v>1.1769423120633729</v>
      </c>
      <c r="R13" s="184">
        <f t="shared" ca="1" si="22"/>
        <v>2027</v>
      </c>
      <c r="S13" s="188">
        <f t="shared" si="38"/>
        <v>5.3600000000000002E-3</v>
      </c>
      <c r="U13" s="184">
        <f t="shared" ca="1" si="23"/>
        <v>2027</v>
      </c>
      <c r="V13" s="182">
        <f t="shared" si="5"/>
        <v>0.02</v>
      </c>
      <c r="W13" s="180">
        <f>Parameters!$D$15</f>
        <v>5.0000000000000001E-3</v>
      </c>
      <c r="X13" s="182">
        <f t="shared" si="6"/>
        <v>2.5000000000000001E-2</v>
      </c>
      <c r="Y13" s="182">
        <f t="shared" si="24"/>
        <v>1.2281114406238265</v>
      </c>
      <c r="AB13" s="184">
        <f t="shared" ca="1" si="25"/>
        <v>2027</v>
      </c>
      <c r="AC13" s="171">
        <f t="shared" si="7"/>
        <v>0</v>
      </c>
      <c r="AD13" s="171">
        <f t="shared" si="0"/>
        <v>0</v>
      </c>
      <c r="AE13" s="171">
        <f t="shared" si="37"/>
        <v>811.30993008617099</v>
      </c>
      <c r="AF13" s="171">
        <f t="shared" si="26"/>
        <v>0</v>
      </c>
      <c r="AG13" s="171">
        <f>ROUND($AG12*(1+V13)^1,2)</f>
        <v>0</v>
      </c>
      <c r="AH13" s="171">
        <f t="shared" si="8"/>
        <v>0</v>
      </c>
      <c r="AI13" s="171">
        <f t="shared" si="9"/>
        <v>0</v>
      </c>
      <c r="AJ13" s="171">
        <f>IF('Invoer gegevens'!$I$27="DAEB",SMALL(AC13:AD13,1),AC13)</f>
        <v>0</v>
      </c>
      <c r="AK13" s="171">
        <f>IF('Invoer gegevens'!$I$27="DAEB",SMALL((AE13:AH13),1),SMALL((AF13:AH13),1))</f>
        <v>0</v>
      </c>
      <c r="AL13" s="171">
        <f t="shared" si="33"/>
        <v>0</v>
      </c>
      <c r="AM13" s="171">
        <f t="shared" si="34"/>
        <v>0</v>
      </c>
      <c r="AN13" s="175">
        <f t="shared" si="28"/>
        <v>0</v>
      </c>
      <c r="AP13" s="184">
        <f t="shared" ca="1" si="29"/>
        <v>2027</v>
      </c>
      <c r="AQ13" s="185">
        <f t="shared" si="10"/>
        <v>0.02</v>
      </c>
      <c r="AR13" s="182">
        <f t="shared" si="30"/>
        <v>1.1769423120633729</v>
      </c>
      <c r="AU13" s="184">
        <f t="shared" ca="1" si="31"/>
        <v>2027</v>
      </c>
      <c r="AV13" s="182">
        <f t="shared" si="11"/>
        <v>0.02</v>
      </c>
      <c r="AW13" s="179">
        <f t="shared" si="12"/>
        <v>5.0000000000000001E-3</v>
      </c>
      <c r="AX13" s="182">
        <f t="shared" si="13"/>
        <v>2.5000000000000001E-2</v>
      </c>
      <c r="AY13" s="186"/>
      <c r="BA13" s="184">
        <f t="shared" ca="1" si="32"/>
        <v>2027</v>
      </c>
      <c r="BB13" s="171">
        <f t="shared" si="14"/>
        <v>0</v>
      </c>
      <c r="BC13" s="171">
        <f t="shared" si="1"/>
        <v>811.30993008617099</v>
      </c>
      <c r="BD13" s="171">
        <f t="shared" si="2"/>
        <v>0</v>
      </c>
      <c r="BE13" s="171">
        <f t="shared" si="2"/>
        <v>0</v>
      </c>
      <c r="BF13" s="171">
        <f t="shared" si="3"/>
        <v>0</v>
      </c>
      <c r="BG13" s="171">
        <f t="shared" si="3"/>
        <v>0</v>
      </c>
      <c r="BI13" s="187">
        <f>IF(A13-'Invoer gegevens'!$C$17&lt;0,0,IF(A13-'Invoer gegevens'!$C$17=0,1,IF(A13-'Invoer gegevens'!$C$17&lt;5,2,IF(A13-'Invoer gegevens'!$C$17&lt;15,3,4))))</f>
        <v>0</v>
      </c>
      <c r="BJ13" s="229">
        <f>IF(BI13&lt;1,0,IF(BI13&lt;2,4%,IF('Reeksen (N)'!BI13&lt;3,4%,IF('Reeksen (N)'!BI13&lt;4,4%*70%,IF('Reeksen (N)'!BI13&lt;5,4%*50%)))))</f>
        <v>0</v>
      </c>
    </row>
    <row r="14" spans="1:63" x14ac:dyDescent="0.25">
      <c r="A14" s="184">
        <f t="shared" si="15"/>
        <v>9</v>
      </c>
      <c r="B14" s="179">
        <f>Dashboard!$D$25</f>
        <v>0</v>
      </c>
      <c r="C14" s="179">
        <f>Dashboard!$D$25</f>
        <v>0</v>
      </c>
      <c r="D14" s="180">
        <f t="shared" si="4"/>
        <v>0</v>
      </c>
      <c r="E14" s="181"/>
      <c r="F14" s="184">
        <f t="shared" ca="1" si="16"/>
        <v>2028</v>
      </c>
      <c r="G14" s="179">
        <f t="shared" si="35"/>
        <v>0.02</v>
      </c>
      <c r="H14" s="182">
        <f t="shared" si="17"/>
        <v>1.2016476007131258</v>
      </c>
      <c r="I14" s="179">
        <f t="shared" si="35"/>
        <v>2.5000000000000001E-2</v>
      </c>
      <c r="J14" s="182">
        <f t="shared" si="18"/>
        <v>1.2575746259186347</v>
      </c>
      <c r="K14" s="179">
        <f t="shared" si="35"/>
        <v>2.5000000000000001E-2</v>
      </c>
      <c r="L14" s="182">
        <f t="shared" si="19"/>
        <v>1.2575746259186347</v>
      </c>
      <c r="M14" s="181"/>
      <c r="N14" s="184">
        <f t="shared" ca="1" si="20"/>
        <v>2028</v>
      </c>
      <c r="O14" s="179">
        <f t="shared" si="36"/>
        <v>0.02</v>
      </c>
      <c r="P14" s="182">
        <f t="shared" si="21"/>
        <v>1.2004811583046404</v>
      </c>
      <c r="R14" s="184">
        <f t="shared" ca="1" si="22"/>
        <v>2028</v>
      </c>
      <c r="S14" s="188">
        <f t="shared" si="38"/>
        <v>5.3600000000000002E-3</v>
      </c>
      <c r="U14" s="184">
        <f t="shared" ca="1" si="23"/>
        <v>2028</v>
      </c>
      <c r="V14" s="182">
        <f t="shared" si="5"/>
        <v>0.02</v>
      </c>
      <c r="W14" s="180">
        <f>Parameters!$D$15</f>
        <v>5.0000000000000001E-3</v>
      </c>
      <c r="X14" s="182">
        <f t="shared" si="6"/>
        <v>2.5000000000000001E-2</v>
      </c>
      <c r="Y14" s="182">
        <f t="shared" si="24"/>
        <v>1.258814226639422</v>
      </c>
      <c r="AB14" s="184">
        <f t="shared" ca="1" si="25"/>
        <v>2028</v>
      </c>
      <c r="AC14" s="171">
        <f t="shared" si="7"/>
        <v>0</v>
      </c>
      <c r="AD14" s="171">
        <f t="shared" si="0"/>
        <v>0</v>
      </c>
      <c r="AE14" s="171">
        <f t="shared" si="37"/>
        <v>827.53612868789446</v>
      </c>
      <c r="AF14" s="171">
        <f t="shared" si="26"/>
        <v>0</v>
      </c>
      <c r="AG14" s="171">
        <f t="shared" si="27"/>
        <v>0</v>
      </c>
      <c r="AH14" s="171">
        <f t="shared" si="8"/>
        <v>0</v>
      </c>
      <c r="AI14" s="171">
        <f t="shared" si="9"/>
        <v>0</v>
      </c>
      <c r="AJ14" s="171">
        <f>IF('Invoer gegevens'!$I$27="DAEB",SMALL(AC14:AD14,1),AC14)</f>
        <v>0</v>
      </c>
      <c r="AK14" s="171">
        <f>IF('Invoer gegevens'!$I$27="DAEB",SMALL((AE14:AH14),1),SMALL((AF14:AH14),1))</f>
        <v>0</v>
      </c>
      <c r="AL14" s="171">
        <f t="shared" si="33"/>
        <v>0</v>
      </c>
      <c r="AM14" s="171">
        <f t="shared" si="34"/>
        <v>0</v>
      </c>
      <c r="AN14" s="175">
        <f t="shared" si="28"/>
        <v>0</v>
      </c>
      <c r="AP14" s="184">
        <f t="shared" ca="1" si="29"/>
        <v>2028</v>
      </c>
      <c r="AQ14" s="185">
        <f t="shared" si="10"/>
        <v>0.02</v>
      </c>
      <c r="AR14" s="182">
        <f t="shared" si="30"/>
        <v>1.2004811583046404</v>
      </c>
      <c r="AU14" s="184">
        <f t="shared" ca="1" si="31"/>
        <v>2028</v>
      </c>
      <c r="AV14" s="182">
        <f t="shared" si="11"/>
        <v>0.02</v>
      </c>
      <c r="AW14" s="179">
        <f t="shared" si="12"/>
        <v>5.0000000000000001E-3</v>
      </c>
      <c r="AX14" s="182">
        <f t="shared" si="13"/>
        <v>2.5000000000000001E-2</v>
      </c>
      <c r="AY14" s="186"/>
      <c r="BA14" s="184">
        <f t="shared" ca="1" si="32"/>
        <v>2028</v>
      </c>
      <c r="BB14" s="171">
        <f t="shared" si="14"/>
        <v>0</v>
      </c>
      <c r="BC14" s="171">
        <f t="shared" si="1"/>
        <v>827.53612868789446</v>
      </c>
      <c r="BD14" s="171">
        <f t="shared" si="2"/>
        <v>0</v>
      </c>
      <c r="BE14" s="171">
        <f t="shared" si="2"/>
        <v>0</v>
      </c>
      <c r="BF14" s="171">
        <f t="shared" si="3"/>
        <v>0</v>
      </c>
      <c r="BG14" s="171">
        <f t="shared" si="3"/>
        <v>0</v>
      </c>
      <c r="BI14" s="187">
        <f>IF(A14-'Invoer gegevens'!$C$17&lt;0,0,IF(A14-'Invoer gegevens'!$C$17=0,1,IF(A14-'Invoer gegevens'!$C$17&lt;5,2,IF(A14-'Invoer gegevens'!$C$17&lt;15,3,4))))</f>
        <v>0</v>
      </c>
      <c r="BJ14" s="229">
        <f>IF(BI14&lt;1,0,IF(BI14&lt;2,4%,IF('Reeksen (N)'!BI14&lt;3,4%,IF('Reeksen (N)'!BI14&lt;4,4%*70%,IF('Reeksen (N)'!BI14&lt;5,4%*50%)))))</f>
        <v>0</v>
      </c>
    </row>
    <row r="15" spans="1:63" x14ac:dyDescent="0.25">
      <c r="A15" s="184">
        <f t="shared" si="15"/>
        <v>10</v>
      </c>
      <c r="B15" s="179">
        <f>Dashboard!$D$25</f>
        <v>0</v>
      </c>
      <c r="C15" s="179">
        <f>Dashboard!$D$25</f>
        <v>0</v>
      </c>
      <c r="D15" s="180">
        <f t="shared" si="4"/>
        <v>0</v>
      </c>
      <c r="E15" s="181"/>
      <c r="F15" s="184">
        <f t="shared" ca="1" si="16"/>
        <v>2029</v>
      </c>
      <c r="G15" s="179">
        <f t="shared" si="35"/>
        <v>0.02</v>
      </c>
      <c r="H15" s="182">
        <f t="shared" si="17"/>
        <v>1.2256805527273884</v>
      </c>
      <c r="I15" s="179">
        <f t="shared" si="35"/>
        <v>2.5000000000000001E-2</v>
      </c>
      <c r="J15" s="182">
        <f t="shared" si="18"/>
        <v>1.2890139915666003</v>
      </c>
      <c r="K15" s="179">
        <f t="shared" si="35"/>
        <v>2.5000000000000001E-2</v>
      </c>
      <c r="L15" s="182">
        <f t="shared" si="19"/>
        <v>1.2890139915666003</v>
      </c>
      <c r="M15" s="181"/>
      <c r="N15" s="184">
        <f t="shared" ca="1" si="20"/>
        <v>2029</v>
      </c>
      <c r="O15" s="179">
        <f t="shared" si="36"/>
        <v>0.02</v>
      </c>
      <c r="P15" s="182">
        <f t="shared" si="21"/>
        <v>1.2244907814707333</v>
      </c>
      <c r="R15" s="184">
        <f t="shared" ca="1" si="22"/>
        <v>2029</v>
      </c>
      <c r="S15" s="188">
        <f t="shared" si="38"/>
        <v>5.3600000000000002E-3</v>
      </c>
      <c r="U15" s="184">
        <f t="shared" ca="1" si="23"/>
        <v>2029</v>
      </c>
      <c r="V15" s="182">
        <f t="shared" si="5"/>
        <v>0.02</v>
      </c>
      <c r="W15" s="180">
        <f>Parameters!$D$15</f>
        <v>5.0000000000000001E-3</v>
      </c>
      <c r="X15" s="182">
        <f t="shared" si="6"/>
        <v>2.5000000000000001E-2</v>
      </c>
      <c r="Y15" s="182">
        <f t="shared" si="24"/>
        <v>1.2902845823054074</v>
      </c>
      <c r="AB15" s="184">
        <f t="shared" ca="1" si="25"/>
        <v>2029</v>
      </c>
      <c r="AC15" s="171">
        <f t="shared" si="7"/>
        <v>0</v>
      </c>
      <c r="AD15" s="171">
        <f t="shared" si="0"/>
        <v>0</v>
      </c>
      <c r="AE15" s="171">
        <f t="shared" si="37"/>
        <v>844.08685126165233</v>
      </c>
      <c r="AF15" s="171">
        <f t="shared" si="26"/>
        <v>0</v>
      </c>
      <c r="AG15" s="171">
        <f t="shared" si="27"/>
        <v>0</v>
      </c>
      <c r="AH15" s="171">
        <f t="shared" si="8"/>
        <v>0</v>
      </c>
      <c r="AI15" s="171">
        <f t="shared" si="9"/>
        <v>0</v>
      </c>
      <c r="AJ15" s="171">
        <f>IF('Invoer gegevens'!$I$27="DAEB",SMALL(AC15:AD15,1),AC15)</f>
        <v>0</v>
      </c>
      <c r="AK15" s="171">
        <f>IF('Invoer gegevens'!$I$27="DAEB",SMALL((AE15:AH15),1),SMALL((AF15:AH15),1))</f>
        <v>0</v>
      </c>
      <c r="AL15" s="171">
        <f t="shared" si="33"/>
        <v>0</v>
      </c>
      <c r="AM15" s="171">
        <f t="shared" si="34"/>
        <v>0</v>
      </c>
      <c r="AN15" s="175">
        <f t="shared" si="28"/>
        <v>0</v>
      </c>
      <c r="AP15" s="184">
        <f t="shared" ca="1" si="29"/>
        <v>2029</v>
      </c>
      <c r="AQ15" s="185">
        <f t="shared" si="10"/>
        <v>0.02</v>
      </c>
      <c r="AR15" s="182">
        <f t="shared" si="30"/>
        <v>1.2244907814707333</v>
      </c>
      <c r="AU15" s="184">
        <f t="shared" ca="1" si="31"/>
        <v>2029</v>
      </c>
      <c r="AV15" s="182">
        <f t="shared" si="11"/>
        <v>0.02</v>
      </c>
      <c r="AW15" s="179">
        <f t="shared" si="12"/>
        <v>5.0000000000000001E-3</v>
      </c>
      <c r="AX15" s="182">
        <f t="shared" si="13"/>
        <v>2.5000000000000001E-2</v>
      </c>
      <c r="AY15" s="186"/>
      <c r="BA15" s="184">
        <f t="shared" ca="1" si="32"/>
        <v>2029</v>
      </c>
      <c r="BB15" s="171">
        <f t="shared" si="14"/>
        <v>0</v>
      </c>
      <c r="BC15" s="171">
        <f t="shared" si="1"/>
        <v>844.08685126165233</v>
      </c>
      <c r="BD15" s="171">
        <f t="shared" si="2"/>
        <v>0</v>
      </c>
      <c r="BE15" s="171">
        <f t="shared" si="2"/>
        <v>0</v>
      </c>
      <c r="BF15" s="171">
        <f t="shared" si="3"/>
        <v>0</v>
      </c>
      <c r="BG15" s="171">
        <f t="shared" si="3"/>
        <v>0</v>
      </c>
      <c r="BI15" s="187">
        <f>IF(A15-'Invoer gegevens'!$C$17&lt;0,0,IF(A15-'Invoer gegevens'!$C$17=0,1,IF(A15-'Invoer gegevens'!$C$17&lt;5,2,IF(A15-'Invoer gegevens'!$C$17&lt;15,3,4))))</f>
        <v>0</v>
      </c>
      <c r="BJ15" s="229">
        <f>IF(BI15&lt;1,0,IF(BI15&lt;2,4%,IF('Reeksen (N)'!BI15&lt;3,4%,IF('Reeksen (N)'!BI15&lt;4,4%*70%,IF('Reeksen (N)'!BI15&lt;5,4%*50%)))))</f>
        <v>0</v>
      </c>
    </row>
    <row r="16" spans="1:63" x14ac:dyDescent="0.25">
      <c r="A16" s="184">
        <f t="shared" si="15"/>
        <v>11</v>
      </c>
      <c r="B16" s="179">
        <f>Dashboard!$D$25</f>
        <v>0</v>
      </c>
      <c r="C16" s="179">
        <f>Dashboard!$D$25</f>
        <v>0</v>
      </c>
      <c r="D16" s="180">
        <f t="shared" si="4"/>
        <v>0</v>
      </c>
      <c r="E16" s="181"/>
      <c r="F16" s="184">
        <f t="shared" ca="1" si="16"/>
        <v>2030</v>
      </c>
      <c r="G16" s="179">
        <f t="shared" si="35"/>
        <v>0.02</v>
      </c>
      <c r="H16" s="182">
        <f t="shared" si="17"/>
        <v>1.2501941637819363</v>
      </c>
      <c r="I16" s="179">
        <f t="shared" si="35"/>
        <v>2.5000000000000001E-2</v>
      </c>
      <c r="J16" s="182">
        <f t="shared" si="18"/>
        <v>1.3212393413557653</v>
      </c>
      <c r="K16" s="179">
        <f t="shared" si="35"/>
        <v>2.5000000000000001E-2</v>
      </c>
      <c r="L16" s="182">
        <f t="shared" si="19"/>
        <v>1.3212393413557653</v>
      </c>
      <c r="M16" s="181"/>
      <c r="N16" s="184">
        <f t="shared" ca="1" si="20"/>
        <v>2030</v>
      </c>
      <c r="O16" s="179">
        <f t="shared" si="36"/>
        <v>0.02</v>
      </c>
      <c r="P16" s="182">
        <f t="shared" si="21"/>
        <v>1.248980597100148</v>
      </c>
      <c r="R16" s="184">
        <f t="shared" ca="1" si="22"/>
        <v>2030</v>
      </c>
      <c r="S16" s="188">
        <f t="shared" si="38"/>
        <v>5.3600000000000002E-3</v>
      </c>
      <c r="U16" s="184">
        <f t="shared" ca="1" si="23"/>
        <v>2030</v>
      </c>
      <c r="V16" s="182">
        <f t="shared" si="5"/>
        <v>0.02</v>
      </c>
      <c r="W16" s="180">
        <f>Parameters!$D$15</f>
        <v>5.0000000000000001E-3</v>
      </c>
      <c r="X16" s="182">
        <f t="shared" si="6"/>
        <v>2.5000000000000001E-2</v>
      </c>
      <c r="Y16" s="182">
        <f t="shared" si="24"/>
        <v>1.3225416968630426</v>
      </c>
      <c r="AB16" s="184">
        <f t="shared" ca="1" si="25"/>
        <v>2030</v>
      </c>
      <c r="AC16" s="171">
        <f t="shared" si="7"/>
        <v>0</v>
      </c>
      <c r="AD16" s="171">
        <f t="shared" si="0"/>
        <v>0</v>
      </c>
      <c r="AE16" s="171">
        <f t="shared" si="37"/>
        <v>860.96858828688539</v>
      </c>
      <c r="AF16" s="171">
        <f t="shared" si="26"/>
        <v>0</v>
      </c>
      <c r="AG16" s="171">
        <f t="shared" si="27"/>
        <v>0</v>
      </c>
      <c r="AH16" s="171">
        <f t="shared" si="8"/>
        <v>0</v>
      </c>
      <c r="AI16" s="171">
        <f t="shared" si="9"/>
        <v>0</v>
      </c>
      <c r="AJ16" s="171">
        <f>IF('Invoer gegevens'!$I$27="DAEB",SMALL(AC16:AD16,1),AC16)</f>
        <v>0</v>
      </c>
      <c r="AK16" s="171">
        <f>IF('Invoer gegevens'!$I$27="DAEB",SMALL((AE16:AH16),1),SMALL((AF16:AH16),1))</f>
        <v>0</v>
      </c>
      <c r="AL16" s="171">
        <f t="shared" si="33"/>
        <v>0</v>
      </c>
      <c r="AM16" s="171">
        <f t="shared" si="34"/>
        <v>0</v>
      </c>
      <c r="AN16" s="175">
        <f t="shared" si="28"/>
        <v>0</v>
      </c>
      <c r="AP16" s="184">
        <f t="shared" ca="1" si="29"/>
        <v>2030</v>
      </c>
      <c r="AQ16" s="185">
        <f t="shared" si="10"/>
        <v>0.02</v>
      </c>
      <c r="AR16" s="182">
        <f t="shared" si="30"/>
        <v>1.248980597100148</v>
      </c>
      <c r="AU16" s="184">
        <f t="shared" ca="1" si="31"/>
        <v>2030</v>
      </c>
      <c r="AV16" s="182">
        <f t="shared" si="11"/>
        <v>0.02</v>
      </c>
      <c r="AW16" s="179">
        <f t="shared" si="12"/>
        <v>5.0000000000000001E-3</v>
      </c>
      <c r="AX16" s="182">
        <f t="shared" si="13"/>
        <v>2.5000000000000001E-2</v>
      </c>
      <c r="AY16" s="186"/>
      <c r="BA16" s="184">
        <f t="shared" ca="1" si="32"/>
        <v>2030</v>
      </c>
      <c r="BB16" s="171">
        <f t="shared" si="14"/>
        <v>0</v>
      </c>
      <c r="BC16" s="171">
        <f t="shared" si="1"/>
        <v>860.96858828688539</v>
      </c>
      <c r="BD16" s="171">
        <f t="shared" si="2"/>
        <v>0</v>
      </c>
      <c r="BE16" s="171">
        <f t="shared" si="2"/>
        <v>0</v>
      </c>
      <c r="BF16" s="171">
        <f t="shared" si="3"/>
        <v>0</v>
      </c>
      <c r="BG16" s="171">
        <f t="shared" si="3"/>
        <v>0</v>
      </c>
      <c r="BI16" s="187">
        <f>IF(A16-'Invoer gegevens'!$C$17&lt;0,0,IF(A16-'Invoer gegevens'!$C$17=0,1,IF(A16-'Invoer gegevens'!$C$17&lt;5,2,IF(A16-'Invoer gegevens'!$C$17&lt;15,3,4))))</f>
        <v>0</v>
      </c>
      <c r="BJ16" s="229">
        <f>IF(BI16&lt;1,0,IF(BI16&lt;2,4%,IF('Reeksen (N)'!BI16&lt;3,4%,IF('Reeksen (N)'!BI16&lt;4,4%*70%,IF('Reeksen (N)'!BI16&lt;5,4%*50%)))))</f>
        <v>0</v>
      </c>
    </row>
    <row r="17" spans="1:62" x14ac:dyDescent="0.25">
      <c r="A17" s="184">
        <f t="shared" si="15"/>
        <v>12</v>
      </c>
      <c r="B17" s="179">
        <f>Dashboard!$D$25</f>
        <v>0</v>
      </c>
      <c r="C17" s="179">
        <f>Dashboard!$D$25</f>
        <v>0</v>
      </c>
      <c r="D17" s="180">
        <f t="shared" si="4"/>
        <v>0</v>
      </c>
      <c r="E17" s="181"/>
      <c r="F17" s="184">
        <f t="shared" ca="1" si="16"/>
        <v>2031</v>
      </c>
      <c r="G17" s="179">
        <f t="shared" si="35"/>
        <v>0.02</v>
      </c>
      <c r="H17" s="182">
        <f t="shared" si="17"/>
        <v>1.275198047057575</v>
      </c>
      <c r="I17" s="179">
        <f t="shared" si="35"/>
        <v>2.5000000000000001E-2</v>
      </c>
      <c r="J17" s="182">
        <f t="shared" si="18"/>
        <v>1.3542703248896593</v>
      </c>
      <c r="K17" s="179">
        <f t="shared" si="35"/>
        <v>2.5000000000000001E-2</v>
      </c>
      <c r="L17" s="182">
        <f t="shared" si="19"/>
        <v>1.3542703248896593</v>
      </c>
      <c r="M17" s="181"/>
      <c r="N17" s="184">
        <f t="shared" ca="1" si="20"/>
        <v>2031</v>
      </c>
      <c r="O17" s="179">
        <f t="shared" si="36"/>
        <v>0.02</v>
      </c>
      <c r="P17" s="182">
        <f t="shared" si="21"/>
        <v>1.2739602090421509</v>
      </c>
      <c r="R17" s="184">
        <f t="shared" ca="1" si="22"/>
        <v>2031</v>
      </c>
      <c r="S17" s="188">
        <f t="shared" si="38"/>
        <v>5.3600000000000002E-3</v>
      </c>
      <c r="U17" s="184">
        <f t="shared" ca="1" si="23"/>
        <v>2031</v>
      </c>
      <c r="V17" s="182">
        <f t="shared" si="5"/>
        <v>0.02</v>
      </c>
      <c r="W17" s="180">
        <f>Parameters!$D$15</f>
        <v>5.0000000000000001E-3</v>
      </c>
      <c r="X17" s="182">
        <f t="shared" si="6"/>
        <v>2.5000000000000001E-2</v>
      </c>
      <c r="Y17" s="182">
        <f t="shared" si="24"/>
        <v>1.3556052392846185</v>
      </c>
      <c r="AB17" s="184">
        <f t="shared" ca="1" si="25"/>
        <v>2031</v>
      </c>
      <c r="AC17" s="171">
        <f t="shared" si="7"/>
        <v>0</v>
      </c>
      <c r="AD17" s="171">
        <f t="shared" si="0"/>
        <v>0</v>
      </c>
      <c r="AE17" s="171">
        <f t="shared" si="37"/>
        <v>878.18796005262311</v>
      </c>
      <c r="AF17" s="171">
        <f t="shared" si="26"/>
        <v>0</v>
      </c>
      <c r="AG17" s="171">
        <f t="shared" si="27"/>
        <v>0</v>
      </c>
      <c r="AH17" s="171">
        <f t="shared" si="8"/>
        <v>0</v>
      </c>
      <c r="AI17" s="171">
        <f t="shared" si="9"/>
        <v>0</v>
      </c>
      <c r="AJ17" s="171">
        <f>IF('Invoer gegevens'!$I$27="DAEB",SMALL(AC17:AD17,1),AC17)</f>
        <v>0</v>
      </c>
      <c r="AK17" s="171">
        <f>IF('Invoer gegevens'!$I$27="DAEB",SMALL((AE17:AH17),1),SMALL((AF17:AH17),1))</f>
        <v>0</v>
      </c>
      <c r="AL17" s="171">
        <f t="shared" si="33"/>
        <v>0</v>
      </c>
      <c r="AM17" s="171">
        <f t="shared" si="34"/>
        <v>0</v>
      </c>
      <c r="AN17" s="175">
        <f t="shared" si="28"/>
        <v>0</v>
      </c>
      <c r="AP17" s="184">
        <f t="shared" ca="1" si="29"/>
        <v>2031</v>
      </c>
      <c r="AQ17" s="185">
        <f t="shared" si="10"/>
        <v>0.02</v>
      </c>
      <c r="AR17" s="182">
        <f t="shared" si="30"/>
        <v>1.2739602090421509</v>
      </c>
      <c r="AU17" s="184">
        <f t="shared" ca="1" si="31"/>
        <v>2031</v>
      </c>
      <c r="AV17" s="182">
        <f t="shared" si="11"/>
        <v>0.02</v>
      </c>
      <c r="AW17" s="179">
        <f t="shared" si="12"/>
        <v>5.0000000000000001E-3</v>
      </c>
      <c r="AX17" s="182">
        <f t="shared" si="13"/>
        <v>2.5000000000000001E-2</v>
      </c>
      <c r="AY17" s="186"/>
      <c r="BA17" s="184">
        <f t="shared" ca="1" si="32"/>
        <v>2031</v>
      </c>
      <c r="BB17" s="171">
        <f t="shared" si="14"/>
        <v>0</v>
      </c>
      <c r="BC17" s="171">
        <f t="shared" si="1"/>
        <v>878.18796005262311</v>
      </c>
      <c r="BD17" s="171">
        <f t="shared" si="2"/>
        <v>0</v>
      </c>
      <c r="BE17" s="171">
        <f t="shared" si="2"/>
        <v>0</v>
      </c>
      <c r="BF17" s="171">
        <f t="shared" si="3"/>
        <v>0</v>
      </c>
      <c r="BG17" s="171">
        <f t="shared" si="3"/>
        <v>0</v>
      </c>
      <c r="BI17" s="187">
        <f>IF(A17-'Invoer gegevens'!$C$17&lt;0,0,IF(A17-'Invoer gegevens'!$C$17=0,1,IF(A17-'Invoer gegevens'!$C$17&lt;5,2,IF(A17-'Invoer gegevens'!$C$17&lt;15,3,4))))</f>
        <v>0</v>
      </c>
      <c r="BJ17" s="229">
        <f>IF(BI17&lt;1,0,IF(BI17&lt;2,4%,IF('Reeksen (N)'!BI17&lt;3,4%,IF('Reeksen (N)'!BI17&lt;4,4%*70%,IF('Reeksen (N)'!BI17&lt;5,4%*50%)))))</f>
        <v>0</v>
      </c>
    </row>
    <row r="18" spans="1:62" x14ac:dyDescent="0.25">
      <c r="A18" s="184">
        <f t="shared" si="15"/>
        <v>13</v>
      </c>
      <c r="B18" s="179">
        <f>Dashboard!$D$25</f>
        <v>0</v>
      </c>
      <c r="C18" s="179">
        <f>Dashboard!$D$25</f>
        <v>0</v>
      </c>
      <c r="D18" s="180">
        <f t="shared" si="4"/>
        <v>0</v>
      </c>
      <c r="E18" s="181"/>
      <c r="F18" s="184">
        <f t="shared" ca="1" si="16"/>
        <v>2032</v>
      </c>
      <c r="G18" s="179">
        <f t="shared" si="35"/>
        <v>0.02</v>
      </c>
      <c r="H18" s="182">
        <f t="shared" si="17"/>
        <v>1.3007020079987266</v>
      </c>
      <c r="I18" s="179">
        <f t="shared" si="35"/>
        <v>2.5000000000000001E-2</v>
      </c>
      <c r="J18" s="182">
        <f t="shared" si="18"/>
        <v>1.3881270830119006</v>
      </c>
      <c r="K18" s="179">
        <f t="shared" si="35"/>
        <v>2.5000000000000001E-2</v>
      </c>
      <c r="L18" s="182">
        <f t="shared" si="19"/>
        <v>1.3881270830119006</v>
      </c>
      <c r="M18" s="181"/>
      <c r="N18" s="184">
        <f t="shared" ca="1" si="20"/>
        <v>2032</v>
      </c>
      <c r="O18" s="179">
        <f t="shared" si="36"/>
        <v>0.02</v>
      </c>
      <c r="P18" s="182">
        <f t="shared" si="21"/>
        <v>1.2994394132229941</v>
      </c>
      <c r="R18" s="184">
        <f t="shared" ca="1" si="22"/>
        <v>2032</v>
      </c>
      <c r="S18" s="188">
        <f t="shared" si="38"/>
        <v>5.3600000000000002E-3</v>
      </c>
      <c r="U18" s="184">
        <f t="shared" ca="1" si="23"/>
        <v>2032</v>
      </c>
      <c r="V18" s="182">
        <f t="shared" si="5"/>
        <v>0.02</v>
      </c>
      <c r="W18" s="180">
        <f>Parameters!$D$15</f>
        <v>5.0000000000000001E-3</v>
      </c>
      <c r="X18" s="182">
        <f t="shared" si="6"/>
        <v>2.5000000000000001E-2</v>
      </c>
      <c r="Y18" s="182">
        <f t="shared" si="24"/>
        <v>1.3894953702667339</v>
      </c>
      <c r="AB18" s="184">
        <f t="shared" ca="1" si="25"/>
        <v>2032</v>
      </c>
      <c r="AC18" s="171">
        <f t="shared" si="7"/>
        <v>0</v>
      </c>
      <c r="AD18" s="171">
        <f t="shared" si="0"/>
        <v>0</v>
      </c>
      <c r="AE18" s="171">
        <f t="shared" si="37"/>
        <v>895.75171925367556</v>
      </c>
      <c r="AF18" s="171">
        <f t="shared" si="26"/>
        <v>0</v>
      </c>
      <c r="AG18" s="171">
        <f t="shared" si="27"/>
        <v>0</v>
      </c>
      <c r="AH18" s="171">
        <f t="shared" si="8"/>
        <v>0</v>
      </c>
      <c r="AI18" s="171">
        <f t="shared" si="9"/>
        <v>0</v>
      </c>
      <c r="AJ18" s="171">
        <f>IF('Invoer gegevens'!$I$27="DAEB",SMALL(AC18:AD18,1),AC18)</f>
        <v>0</v>
      </c>
      <c r="AK18" s="171">
        <f>IF('Invoer gegevens'!$I$27="DAEB",SMALL((AE18:AH18),1),SMALL((AF18:AH18),1))</f>
        <v>0</v>
      </c>
      <c r="AL18" s="171">
        <f t="shared" si="33"/>
        <v>0</v>
      </c>
      <c r="AM18" s="171">
        <f t="shared" si="34"/>
        <v>0</v>
      </c>
      <c r="AN18" s="175">
        <f t="shared" si="28"/>
        <v>0</v>
      </c>
      <c r="AP18" s="184">
        <f t="shared" ca="1" si="29"/>
        <v>2032</v>
      </c>
      <c r="AQ18" s="185">
        <f t="shared" si="10"/>
        <v>0.02</v>
      </c>
      <c r="AR18" s="182">
        <f t="shared" si="30"/>
        <v>1.2994394132229941</v>
      </c>
      <c r="AU18" s="184">
        <f t="shared" ca="1" si="31"/>
        <v>2032</v>
      </c>
      <c r="AV18" s="182">
        <f t="shared" si="11"/>
        <v>0.02</v>
      </c>
      <c r="AW18" s="179">
        <f t="shared" si="12"/>
        <v>5.0000000000000001E-3</v>
      </c>
      <c r="AX18" s="182">
        <f t="shared" si="13"/>
        <v>2.5000000000000001E-2</v>
      </c>
      <c r="AY18" s="186"/>
      <c r="BA18" s="184">
        <f t="shared" ca="1" si="32"/>
        <v>2032</v>
      </c>
      <c r="BB18" s="171">
        <f t="shared" si="14"/>
        <v>0</v>
      </c>
      <c r="BC18" s="171">
        <f t="shared" si="1"/>
        <v>895.75171925367556</v>
      </c>
      <c r="BD18" s="171">
        <f t="shared" si="2"/>
        <v>0</v>
      </c>
      <c r="BE18" s="171">
        <f t="shared" si="2"/>
        <v>0</v>
      </c>
      <c r="BF18" s="171">
        <f t="shared" si="3"/>
        <v>0</v>
      </c>
      <c r="BG18" s="171">
        <f t="shared" si="3"/>
        <v>0</v>
      </c>
      <c r="BI18" s="187">
        <f>IF(A18-'Invoer gegevens'!$C$17&lt;0,0,IF(A18-'Invoer gegevens'!$C$17=0,1,IF(A18-'Invoer gegevens'!$C$17&lt;5,2,IF(A18-'Invoer gegevens'!$C$17&lt;15,3,4))))</f>
        <v>0</v>
      </c>
      <c r="BJ18" s="229">
        <f>IF(BI18&lt;1,0,IF(BI18&lt;2,4%,IF('Reeksen (N)'!BI18&lt;3,4%,IF('Reeksen (N)'!BI18&lt;4,4%*70%,IF('Reeksen (N)'!BI18&lt;5,4%*50%)))))</f>
        <v>0</v>
      </c>
    </row>
    <row r="19" spans="1:62" x14ac:dyDescent="0.25">
      <c r="A19" s="184">
        <f t="shared" si="15"/>
        <v>14</v>
      </c>
      <c r="B19" s="179">
        <f>Dashboard!$D$25</f>
        <v>0</v>
      </c>
      <c r="C19" s="179">
        <f>Dashboard!$D$25</f>
        <v>0</v>
      </c>
      <c r="D19" s="180">
        <f t="shared" si="4"/>
        <v>0</v>
      </c>
      <c r="E19" s="181"/>
      <c r="F19" s="184">
        <f t="shared" ca="1" si="16"/>
        <v>2033</v>
      </c>
      <c r="G19" s="179">
        <f t="shared" si="35"/>
        <v>0.02</v>
      </c>
      <c r="H19" s="182">
        <f t="shared" si="17"/>
        <v>1.3267160481587013</v>
      </c>
      <c r="I19" s="179">
        <f t="shared" si="35"/>
        <v>2.5000000000000001E-2</v>
      </c>
      <c r="J19" s="182">
        <f t="shared" si="18"/>
        <v>1.422830260087198</v>
      </c>
      <c r="K19" s="179">
        <f t="shared" si="35"/>
        <v>2.5000000000000001E-2</v>
      </c>
      <c r="L19" s="182">
        <f t="shared" si="19"/>
        <v>1.422830260087198</v>
      </c>
      <c r="M19" s="181"/>
      <c r="N19" s="184">
        <f t="shared" ca="1" si="20"/>
        <v>2033</v>
      </c>
      <c r="O19" s="179">
        <f t="shared" si="36"/>
        <v>0.02</v>
      </c>
      <c r="P19" s="182">
        <f t="shared" si="21"/>
        <v>1.3254282014874539</v>
      </c>
      <c r="R19" s="184">
        <f t="shared" ca="1" si="22"/>
        <v>2033</v>
      </c>
      <c r="S19" s="188">
        <f t="shared" si="38"/>
        <v>5.3600000000000002E-3</v>
      </c>
      <c r="U19" s="184">
        <f t="shared" ca="1" si="23"/>
        <v>2033</v>
      </c>
      <c r="V19" s="182">
        <f t="shared" si="5"/>
        <v>0.02</v>
      </c>
      <c r="W19" s="180">
        <f>Parameters!$D$15</f>
        <v>5.0000000000000001E-3</v>
      </c>
      <c r="X19" s="182">
        <f t="shared" si="6"/>
        <v>2.5000000000000001E-2</v>
      </c>
      <c r="Y19" s="182">
        <f t="shared" si="24"/>
        <v>1.4242327545234021</v>
      </c>
      <c r="AB19" s="184">
        <f t="shared" ca="1" si="25"/>
        <v>2033</v>
      </c>
      <c r="AC19" s="171">
        <f t="shared" si="7"/>
        <v>0</v>
      </c>
      <c r="AD19" s="171">
        <f t="shared" si="0"/>
        <v>0</v>
      </c>
      <c r="AE19" s="171">
        <f t="shared" si="37"/>
        <v>913.66675363874913</v>
      </c>
      <c r="AF19" s="171">
        <f t="shared" si="26"/>
        <v>0</v>
      </c>
      <c r="AG19" s="171">
        <f t="shared" si="27"/>
        <v>0</v>
      </c>
      <c r="AH19" s="171">
        <f t="shared" si="8"/>
        <v>0</v>
      </c>
      <c r="AI19" s="171">
        <f t="shared" si="9"/>
        <v>0</v>
      </c>
      <c r="AJ19" s="171">
        <f>IF('Invoer gegevens'!$I$27="DAEB",SMALL(AC19:AD19,1),AC19)</f>
        <v>0</v>
      </c>
      <c r="AK19" s="171">
        <f>IF('Invoer gegevens'!$I$27="DAEB",SMALL((AE19:AH19),1),SMALL((AF19:AH19),1))</f>
        <v>0</v>
      </c>
      <c r="AL19" s="171">
        <f t="shared" si="33"/>
        <v>0</v>
      </c>
      <c r="AM19" s="171">
        <f t="shared" si="34"/>
        <v>0</v>
      </c>
      <c r="AN19" s="175">
        <f>ROUND($AN18*(1+O19)^1,0)</f>
        <v>0</v>
      </c>
      <c r="AP19" s="184">
        <f t="shared" ca="1" si="29"/>
        <v>2033</v>
      </c>
      <c r="AQ19" s="185">
        <f t="shared" si="10"/>
        <v>0.02</v>
      </c>
      <c r="AR19" s="182">
        <f t="shared" si="30"/>
        <v>1.3254282014874539</v>
      </c>
      <c r="AU19" s="184">
        <f t="shared" ca="1" si="31"/>
        <v>2033</v>
      </c>
      <c r="AV19" s="182">
        <f t="shared" si="11"/>
        <v>0.02</v>
      </c>
      <c r="AW19" s="179">
        <f t="shared" si="12"/>
        <v>5.0000000000000001E-3</v>
      </c>
      <c r="AX19" s="182">
        <f t="shared" si="13"/>
        <v>2.5000000000000001E-2</v>
      </c>
      <c r="AY19" s="186"/>
      <c r="BA19" s="184">
        <f t="shared" ca="1" si="32"/>
        <v>2033</v>
      </c>
      <c r="BB19" s="171">
        <f t="shared" si="14"/>
        <v>0</v>
      </c>
      <c r="BC19" s="171">
        <f t="shared" si="1"/>
        <v>913.66675363874913</v>
      </c>
      <c r="BD19" s="171">
        <f t="shared" si="2"/>
        <v>0</v>
      </c>
      <c r="BE19" s="171">
        <f t="shared" si="2"/>
        <v>0</v>
      </c>
      <c r="BF19" s="171">
        <f t="shared" si="3"/>
        <v>0</v>
      </c>
      <c r="BG19" s="171">
        <f t="shared" si="3"/>
        <v>0</v>
      </c>
      <c r="BI19" s="187">
        <f>IF(A19-'Invoer gegevens'!$C$17&lt;0,0,IF(A19-'Invoer gegevens'!$C$17=0,1,IF(A19-'Invoer gegevens'!$C$17&lt;5,2,IF(A19-'Invoer gegevens'!$C$17&lt;15,3,4))))</f>
        <v>0</v>
      </c>
      <c r="BJ19" s="229">
        <f>IF(BI19&lt;1,0,IF(BI19&lt;2,4%,IF('Reeksen (N)'!BI19&lt;3,4%,IF('Reeksen (N)'!BI19&lt;4,4%*70%,IF('Reeksen (N)'!BI19&lt;5,4%*50%)))))</f>
        <v>0</v>
      </c>
    </row>
    <row r="20" spans="1:62" x14ac:dyDescent="0.25">
      <c r="A20" s="184">
        <f t="shared" si="15"/>
        <v>15</v>
      </c>
      <c r="B20" s="179">
        <f>Dashboard!$D$25</f>
        <v>0</v>
      </c>
      <c r="C20" s="179">
        <f>Dashboard!$D$25</f>
        <v>0</v>
      </c>
      <c r="D20" s="180">
        <f t="shared" si="4"/>
        <v>0</v>
      </c>
      <c r="F20" s="184">
        <f t="shared" ca="1" si="16"/>
        <v>2034</v>
      </c>
      <c r="G20" s="179">
        <f t="shared" si="35"/>
        <v>0.02</v>
      </c>
      <c r="H20" s="182">
        <f t="shared" si="17"/>
        <v>1.3532503691218754</v>
      </c>
      <c r="I20" s="179">
        <f t="shared" si="35"/>
        <v>2.5000000000000001E-2</v>
      </c>
      <c r="J20" s="182">
        <f t="shared" si="18"/>
        <v>1.4584010165893779</v>
      </c>
      <c r="K20" s="179">
        <f t="shared" si="35"/>
        <v>2.5000000000000001E-2</v>
      </c>
      <c r="L20" s="182">
        <f t="shared" si="19"/>
        <v>1.4584010165893779</v>
      </c>
      <c r="N20" s="184">
        <f t="shared" ca="1" si="20"/>
        <v>2034</v>
      </c>
      <c r="O20" s="179">
        <f t="shared" si="36"/>
        <v>0.02</v>
      </c>
      <c r="P20" s="182">
        <f t="shared" si="21"/>
        <v>1.351936765517203</v>
      </c>
      <c r="R20" s="184">
        <f t="shared" ca="1" si="22"/>
        <v>2034</v>
      </c>
      <c r="S20" s="188">
        <f t="shared" si="38"/>
        <v>5.3600000000000002E-3</v>
      </c>
      <c r="U20" s="184">
        <f t="shared" ca="1" si="23"/>
        <v>2034</v>
      </c>
      <c r="V20" s="182">
        <f t="shared" si="5"/>
        <v>0.02</v>
      </c>
      <c r="W20" s="180">
        <f>Parameters!$D$15</f>
        <v>5.0000000000000001E-3</v>
      </c>
      <c r="X20" s="182">
        <f t="shared" si="6"/>
        <v>2.5000000000000001E-2</v>
      </c>
      <c r="Y20" s="182">
        <f t="shared" si="24"/>
        <v>1.4598385733864871</v>
      </c>
      <c r="AB20" s="184">
        <f t="shared" ca="1" si="25"/>
        <v>2034</v>
      </c>
      <c r="AC20" s="171">
        <f t="shared" si="7"/>
        <v>0</v>
      </c>
      <c r="AD20" s="171">
        <f t="shared" si="0"/>
        <v>0</v>
      </c>
      <c r="AE20" s="171">
        <f t="shared" si="37"/>
        <v>931.94008871152414</v>
      </c>
      <c r="AF20" s="171">
        <f t="shared" si="26"/>
        <v>0</v>
      </c>
      <c r="AG20" s="171">
        <f t="shared" si="27"/>
        <v>0</v>
      </c>
      <c r="AH20" s="171">
        <f t="shared" si="8"/>
        <v>0</v>
      </c>
      <c r="AI20" s="171">
        <f t="shared" si="9"/>
        <v>0</v>
      </c>
      <c r="AJ20" s="171">
        <f>IF('Invoer gegevens'!$I$27="DAEB",SMALL(AC20:AD20,1),AC20)</f>
        <v>0</v>
      </c>
      <c r="AK20" s="171">
        <f>IF('Invoer gegevens'!$I$27="DAEB",SMALL((AE20:AH20),1),SMALL((AF20:AH20),1))</f>
        <v>0</v>
      </c>
      <c r="AL20" s="171">
        <f t="shared" si="33"/>
        <v>0</v>
      </c>
      <c r="AM20" s="171">
        <f t="shared" si="34"/>
        <v>0</v>
      </c>
      <c r="AN20" s="175">
        <f t="shared" si="28"/>
        <v>0</v>
      </c>
      <c r="AP20" s="184">
        <f t="shared" ca="1" si="29"/>
        <v>2034</v>
      </c>
      <c r="AQ20" s="185">
        <f t="shared" si="10"/>
        <v>0.02</v>
      </c>
      <c r="AR20" s="182">
        <f t="shared" si="30"/>
        <v>1.351936765517203</v>
      </c>
      <c r="AU20" s="184">
        <f t="shared" ca="1" si="31"/>
        <v>2034</v>
      </c>
      <c r="AV20" s="182">
        <f t="shared" si="11"/>
        <v>0.02</v>
      </c>
      <c r="AW20" s="179">
        <f t="shared" si="12"/>
        <v>5.0000000000000001E-3</v>
      </c>
      <c r="AX20" s="182">
        <f t="shared" si="13"/>
        <v>2.5000000000000001E-2</v>
      </c>
      <c r="AY20" s="186"/>
      <c r="BA20" s="184">
        <f t="shared" ca="1" si="32"/>
        <v>2034</v>
      </c>
      <c r="BB20" s="171">
        <f t="shared" si="14"/>
        <v>0</v>
      </c>
      <c r="BC20" s="171">
        <f t="shared" si="1"/>
        <v>931.94008871152414</v>
      </c>
      <c r="BD20" s="171">
        <f t="shared" si="2"/>
        <v>0</v>
      </c>
      <c r="BE20" s="171">
        <f t="shared" si="2"/>
        <v>0</v>
      </c>
      <c r="BF20" s="171">
        <f t="shared" si="3"/>
        <v>0</v>
      </c>
      <c r="BG20" s="171">
        <f t="shared" si="3"/>
        <v>0</v>
      </c>
      <c r="BI20" s="187">
        <f>IF(A20-'Invoer gegevens'!$C$17&lt;0,0,IF(A20-'Invoer gegevens'!$C$17=0,1,IF(A20-'Invoer gegevens'!$C$17&lt;5,2,IF(A20-'Invoer gegevens'!$C$17&lt;15,3,4))))</f>
        <v>0</v>
      </c>
      <c r="BJ20" s="229">
        <f>IF(BI20&lt;1,0,IF(BI20&lt;2,4%,IF('Reeksen (N)'!BI20&lt;3,4%,IF('Reeksen (N)'!BI20&lt;4,4%*70%,IF('Reeksen (N)'!BI20&lt;5,4%*50%)))))</f>
        <v>0</v>
      </c>
    </row>
    <row r="21" spans="1:62" x14ac:dyDescent="0.25">
      <c r="A21" s="184">
        <f t="shared" si="15"/>
        <v>16</v>
      </c>
      <c r="B21" s="179">
        <f>Dashboard!$D$25</f>
        <v>0</v>
      </c>
      <c r="C21" s="179">
        <f>Dashboard!$D$25</f>
        <v>0</v>
      </c>
      <c r="D21" s="180">
        <f t="shared" si="4"/>
        <v>0</v>
      </c>
      <c r="F21" s="184">
        <f t="shared" ca="1" si="16"/>
        <v>2035</v>
      </c>
      <c r="G21" s="179">
        <f t="shared" si="35"/>
        <v>0.02</v>
      </c>
      <c r="H21" s="182">
        <f t="shared" si="17"/>
        <v>1.3803153765043128</v>
      </c>
      <c r="I21" s="179">
        <f t="shared" si="35"/>
        <v>2.5000000000000001E-2</v>
      </c>
      <c r="J21" s="182">
        <f t="shared" si="18"/>
        <v>1.4948610420041122</v>
      </c>
      <c r="K21" s="179">
        <f t="shared" si="35"/>
        <v>2.5000000000000001E-2</v>
      </c>
      <c r="L21" s="182">
        <f t="shared" si="19"/>
        <v>1.4948610420041122</v>
      </c>
      <c r="N21" s="184">
        <f t="shared" ca="1" si="20"/>
        <v>2035</v>
      </c>
      <c r="O21" s="179">
        <f t="shared" si="36"/>
        <v>0.02</v>
      </c>
      <c r="P21" s="182">
        <f t="shared" si="21"/>
        <v>1.3789755008275471</v>
      </c>
      <c r="R21" s="184">
        <f t="shared" ca="1" si="22"/>
        <v>2035</v>
      </c>
      <c r="S21" s="188">
        <f t="shared" si="38"/>
        <v>5.3600000000000002E-3</v>
      </c>
      <c r="U21" s="184">
        <f t="shared" ca="1" si="23"/>
        <v>2035</v>
      </c>
      <c r="V21" s="182">
        <f t="shared" si="5"/>
        <v>0.02</v>
      </c>
      <c r="W21" s="180">
        <f>Parameters!$D$15</f>
        <v>5.0000000000000001E-3</v>
      </c>
      <c r="X21" s="182">
        <f t="shared" si="6"/>
        <v>2.5000000000000001E-2</v>
      </c>
      <c r="Y21" s="182">
        <f t="shared" si="24"/>
        <v>1.4963345377211492</v>
      </c>
      <c r="AB21" s="184">
        <f t="shared" ca="1" si="25"/>
        <v>2035</v>
      </c>
      <c r="AC21" s="171">
        <f t="shared" si="7"/>
        <v>0</v>
      </c>
      <c r="AD21" s="171">
        <f t="shared" si="0"/>
        <v>0</v>
      </c>
      <c r="AE21" s="171">
        <f t="shared" si="37"/>
        <v>950.57889048575464</v>
      </c>
      <c r="AF21" s="171">
        <f t="shared" si="26"/>
        <v>0</v>
      </c>
      <c r="AG21" s="171">
        <f t="shared" si="27"/>
        <v>0</v>
      </c>
      <c r="AH21" s="171">
        <f t="shared" si="8"/>
        <v>0</v>
      </c>
      <c r="AI21" s="171">
        <f t="shared" si="9"/>
        <v>0</v>
      </c>
      <c r="AJ21" s="171">
        <f>IF('Invoer gegevens'!$I$27="DAEB",SMALL(AC21:AD21,1),AC21)</f>
        <v>0</v>
      </c>
      <c r="AK21" s="171">
        <f>IF('Invoer gegevens'!$I$27="DAEB",SMALL((AE21:AH21),1),SMALL((AF21:AH21),1))</f>
        <v>0</v>
      </c>
      <c r="AL21" s="171">
        <f t="shared" si="33"/>
        <v>0</v>
      </c>
      <c r="AM21" s="171">
        <f t="shared" si="34"/>
        <v>0</v>
      </c>
      <c r="AN21" s="175">
        <f t="shared" si="28"/>
        <v>0</v>
      </c>
      <c r="AP21" s="184">
        <f t="shared" ca="1" si="29"/>
        <v>2035</v>
      </c>
      <c r="AQ21" s="185">
        <f t="shared" si="10"/>
        <v>0.02</v>
      </c>
      <c r="AR21" s="182">
        <f t="shared" si="30"/>
        <v>1.3789755008275471</v>
      </c>
      <c r="AU21" s="184">
        <f t="shared" ca="1" si="31"/>
        <v>2035</v>
      </c>
      <c r="AV21" s="182">
        <f t="shared" si="11"/>
        <v>0.02</v>
      </c>
      <c r="AW21" s="179">
        <f t="shared" si="12"/>
        <v>5.0000000000000001E-3</v>
      </c>
      <c r="AX21" s="182">
        <f t="shared" si="13"/>
        <v>2.5000000000000001E-2</v>
      </c>
      <c r="AY21" s="186"/>
      <c r="BA21" s="184">
        <f t="shared" ca="1" si="32"/>
        <v>2035</v>
      </c>
      <c r="BB21" s="171">
        <f t="shared" si="14"/>
        <v>0</v>
      </c>
      <c r="BC21" s="171">
        <f t="shared" si="1"/>
        <v>950.57889048575464</v>
      </c>
      <c r="BD21" s="171">
        <f t="shared" si="2"/>
        <v>0</v>
      </c>
      <c r="BE21" s="171">
        <f t="shared" si="2"/>
        <v>0</v>
      </c>
      <c r="BF21" s="171">
        <f t="shared" si="2"/>
        <v>0</v>
      </c>
      <c r="BG21" s="171">
        <f t="shared" si="2"/>
        <v>0</v>
      </c>
      <c r="BI21" s="187">
        <f>IF(A21-'Invoer gegevens'!$C$17&lt;0,0,IF(A21-'Invoer gegevens'!$C$17=0,1,IF(A21-'Invoer gegevens'!$C$17&lt;5,2,IF(A21-'Invoer gegevens'!$C$17&lt;15,3,4))))</f>
        <v>0</v>
      </c>
      <c r="BJ21" s="229">
        <f>IF(BI21&lt;1,0,IF(BI21&lt;2,4%,IF('Reeksen (N)'!BI21&lt;3,4%,IF('Reeksen (N)'!BI21&lt;4,4%*70%,IF('Reeksen (N)'!BI21&lt;5,4%*50%)))))</f>
        <v>0</v>
      </c>
    </row>
    <row r="22" spans="1:62" x14ac:dyDescent="0.25">
      <c r="A22" s="184">
        <f t="shared" si="15"/>
        <v>17</v>
      </c>
      <c r="B22" s="179">
        <f>Dashboard!$D$25</f>
        <v>0</v>
      </c>
      <c r="C22" s="179">
        <f>Dashboard!$D$25</f>
        <v>0</v>
      </c>
      <c r="D22" s="180">
        <f t="shared" si="4"/>
        <v>0</v>
      </c>
      <c r="F22" s="184">
        <f t="shared" ca="1" si="16"/>
        <v>2036</v>
      </c>
      <c r="G22" s="179">
        <f t="shared" si="35"/>
        <v>0.02</v>
      </c>
      <c r="H22" s="182">
        <f t="shared" si="17"/>
        <v>1.4079216840343991</v>
      </c>
      <c r="I22" s="179">
        <f t="shared" si="35"/>
        <v>2.5000000000000001E-2</v>
      </c>
      <c r="J22" s="182">
        <f t="shared" si="18"/>
        <v>1.5322325680542148</v>
      </c>
      <c r="K22" s="179">
        <f t="shared" si="35"/>
        <v>2.5000000000000001E-2</v>
      </c>
      <c r="L22" s="182">
        <f t="shared" si="19"/>
        <v>1.5322325680542148</v>
      </c>
      <c r="N22" s="184">
        <f t="shared" ca="1" si="20"/>
        <v>2036</v>
      </c>
      <c r="O22" s="179">
        <f t="shared" si="36"/>
        <v>0.02</v>
      </c>
      <c r="P22" s="182">
        <f t="shared" si="21"/>
        <v>1.4065550108440981</v>
      </c>
      <c r="R22" s="184">
        <f t="shared" ca="1" si="22"/>
        <v>2036</v>
      </c>
      <c r="S22" s="188">
        <f t="shared" si="38"/>
        <v>5.3600000000000002E-3</v>
      </c>
      <c r="U22" s="184">
        <f t="shared" ca="1" si="23"/>
        <v>2036</v>
      </c>
      <c r="V22" s="182">
        <f t="shared" si="5"/>
        <v>0.02</v>
      </c>
      <c r="W22" s="180">
        <f>Parameters!$D$15</f>
        <v>5.0000000000000001E-3</v>
      </c>
      <c r="X22" s="182">
        <f t="shared" si="6"/>
        <v>2.5000000000000001E-2</v>
      </c>
      <c r="Y22" s="182">
        <f t="shared" si="24"/>
        <v>1.5337429011641779</v>
      </c>
      <c r="AB22" s="184">
        <f t="shared" ca="1" si="25"/>
        <v>2036</v>
      </c>
      <c r="AC22" s="171">
        <f t="shared" si="7"/>
        <v>0</v>
      </c>
      <c r="AD22" s="171">
        <f t="shared" si="0"/>
        <v>0</v>
      </c>
      <c r="AE22" s="171">
        <f t="shared" si="37"/>
        <v>969.5904682954698</v>
      </c>
      <c r="AF22" s="171">
        <f t="shared" si="26"/>
        <v>0</v>
      </c>
      <c r="AG22" s="171">
        <f t="shared" si="27"/>
        <v>0</v>
      </c>
      <c r="AH22" s="171">
        <f t="shared" si="8"/>
        <v>0</v>
      </c>
      <c r="AI22" s="171">
        <f t="shared" si="9"/>
        <v>0</v>
      </c>
      <c r="AJ22" s="171">
        <f>IF('Invoer gegevens'!$I$27="DAEB",SMALL(AC22:AD22,1),AC22)</f>
        <v>0</v>
      </c>
      <c r="AK22" s="171">
        <f>IF('Invoer gegevens'!$I$27="DAEB",SMALL((AE22:AH22),1),SMALL((AF22:AH22),1))</f>
        <v>0</v>
      </c>
      <c r="AL22" s="171">
        <f t="shared" si="33"/>
        <v>0</v>
      </c>
      <c r="AM22" s="171">
        <f t="shared" si="34"/>
        <v>0</v>
      </c>
      <c r="AN22" s="175">
        <f t="shared" si="28"/>
        <v>0</v>
      </c>
      <c r="AP22" s="184">
        <f t="shared" ca="1" si="29"/>
        <v>2036</v>
      </c>
      <c r="AQ22" s="185">
        <f t="shared" si="10"/>
        <v>0.02</v>
      </c>
      <c r="AR22" s="182">
        <f t="shared" si="30"/>
        <v>1.4065550108440981</v>
      </c>
      <c r="AU22" s="184">
        <f t="shared" ca="1" si="31"/>
        <v>2036</v>
      </c>
      <c r="AV22" s="182">
        <f t="shared" si="11"/>
        <v>0.02</v>
      </c>
      <c r="AW22" s="179">
        <f t="shared" si="12"/>
        <v>5.0000000000000001E-3</v>
      </c>
      <c r="AX22" s="182">
        <f t="shared" si="13"/>
        <v>2.5000000000000001E-2</v>
      </c>
      <c r="AY22" s="186"/>
      <c r="BA22" s="184">
        <f t="shared" ca="1" si="32"/>
        <v>2036</v>
      </c>
      <c r="BB22" s="171">
        <f t="shared" si="14"/>
        <v>0</v>
      </c>
      <c r="BC22" s="171">
        <f t="shared" si="1"/>
        <v>969.5904682954698</v>
      </c>
      <c r="BD22" s="171">
        <f t="shared" si="2"/>
        <v>0</v>
      </c>
      <c r="BE22" s="171">
        <f t="shared" si="2"/>
        <v>0</v>
      </c>
      <c r="BF22" s="171">
        <f t="shared" si="2"/>
        <v>0</v>
      </c>
      <c r="BG22" s="171">
        <f t="shared" si="2"/>
        <v>0</v>
      </c>
      <c r="BI22" s="187">
        <f>IF(A22-'Invoer gegevens'!$C$17&lt;0,0,IF(A22-'Invoer gegevens'!$C$17=0,1,IF(A22-'Invoer gegevens'!$C$17&lt;5,2,IF(A22-'Invoer gegevens'!$C$17&lt;15,3,4))))</f>
        <v>0</v>
      </c>
      <c r="BJ22" s="229">
        <f>IF(BI22&lt;1,0,IF(BI22&lt;2,4%,IF('Reeksen (N)'!BI22&lt;3,4%,IF('Reeksen (N)'!BI22&lt;4,4%*70%,IF('Reeksen (N)'!BI22&lt;5,4%*50%)))))</f>
        <v>0</v>
      </c>
    </row>
    <row r="23" spans="1:62" x14ac:dyDescent="0.25">
      <c r="A23" s="184">
        <f t="shared" si="15"/>
        <v>18</v>
      </c>
      <c r="B23" s="179">
        <f>Dashboard!$D$25</f>
        <v>0</v>
      </c>
      <c r="C23" s="179">
        <f>Dashboard!$D$25</f>
        <v>0</v>
      </c>
      <c r="D23" s="180">
        <f t="shared" si="4"/>
        <v>0</v>
      </c>
      <c r="F23" s="184">
        <f t="shared" ca="1" si="16"/>
        <v>2037</v>
      </c>
      <c r="G23" s="179">
        <f t="shared" si="35"/>
        <v>0.02</v>
      </c>
      <c r="H23" s="182">
        <f t="shared" si="17"/>
        <v>1.436080117715087</v>
      </c>
      <c r="I23" s="179">
        <f t="shared" si="35"/>
        <v>2.5000000000000001E-2</v>
      </c>
      <c r="J23" s="182">
        <f t="shared" si="18"/>
        <v>1.5705383822555701</v>
      </c>
      <c r="K23" s="179">
        <f t="shared" si="35"/>
        <v>2.5000000000000001E-2</v>
      </c>
      <c r="L23" s="182">
        <f t="shared" si="19"/>
        <v>1.5705383822555701</v>
      </c>
      <c r="N23" s="184">
        <f t="shared" ca="1" si="20"/>
        <v>2037</v>
      </c>
      <c r="O23" s="179">
        <f t="shared" si="36"/>
        <v>0.02</v>
      </c>
      <c r="P23" s="182">
        <f t="shared" si="21"/>
        <v>1.4346861110609801</v>
      </c>
      <c r="R23" s="184">
        <f t="shared" ca="1" si="22"/>
        <v>2037</v>
      </c>
      <c r="S23" s="188">
        <f t="shared" si="38"/>
        <v>5.3600000000000002E-3</v>
      </c>
      <c r="U23" s="184">
        <f t="shared" ca="1" si="23"/>
        <v>2037</v>
      </c>
      <c r="V23" s="182">
        <f t="shared" si="5"/>
        <v>0.02</v>
      </c>
      <c r="W23" s="180">
        <f>Parameters!$D$15</f>
        <v>5.0000000000000001E-3</v>
      </c>
      <c r="X23" s="182">
        <f t="shared" si="6"/>
        <v>2.5000000000000001E-2</v>
      </c>
      <c r="Y23" s="182">
        <f t="shared" si="24"/>
        <v>1.5720864736932822</v>
      </c>
      <c r="AB23" s="184">
        <f t="shared" ca="1" si="25"/>
        <v>2037</v>
      </c>
      <c r="AC23" s="171">
        <f t="shared" si="7"/>
        <v>0</v>
      </c>
      <c r="AD23" s="171">
        <f t="shared" si="0"/>
        <v>0</v>
      </c>
      <c r="AE23" s="171">
        <f t="shared" si="37"/>
        <v>988.98227766137927</v>
      </c>
      <c r="AF23" s="171">
        <f t="shared" si="26"/>
        <v>0</v>
      </c>
      <c r="AG23" s="171">
        <f t="shared" si="27"/>
        <v>0</v>
      </c>
      <c r="AH23" s="171">
        <f t="shared" si="8"/>
        <v>0</v>
      </c>
      <c r="AI23" s="171">
        <f t="shared" si="9"/>
        <v>0</v>
      </c>
      <c r="AJ23" s="171">
        <f>IF('Invoer gegevens'!$I$27="DAEB",SMALL(AC23:AD23,1),AC23)</f>
        <v>0</v>
      </c>
      <c r="AK23" s="171">
        <f>IF('Invoer gegevens'!$I$27="DAEB",SMALL((AE23:AH23),1),SMALL((AF23:AH23),1))</f>
        <v>0</v>
      </c>
      <c r="AL23" s="171">
        <f t="shared" si="33"/>
        <v>0</v>
      </c>
      <c r="AM23" s="171">
        <f t="shared" si="34"/>
        <v>0</v>
      </c>
      <c r="AN23" s="175">
        <f t="shared" si="28"/>
        <v>0</v>
      </c>
      <c r="AP23" s="184">
        <f t="shared" ca="1" si="29"/>
        <v>2037</v>
      </c>
      <c r="AQ23" s="185">
        <f t="shared" si="10"/>
        <v>0.02</v>
      </c>
      <c r="AR23" s="182">
        <f t="shared" si="30"/>
        <v>1.4346861110609801</v>
      </c>
      <c r="AU23" s="184">
        <f t="shared" ca="1" si="31"/>
        <v>2037</v>
      </c>
      <c r="AV23" s="182">
        <f t="shared" si="11"/>
        <v>0.02</v>
      </c>
      <c r="AW23" s="179">
        <f t="shared" si="12"/>
        <v>5.0000000000000001E-3</v>
      </c>
      <c r="AX23" s="182">
        <f t="shared" si="13"/>
        <v>2.5000000000000001E-2</v>
      </c>
      <c r="AY23" s="186"/>
      <c r="BA23" s="184">
        <f t="shared" ca="1" si="32"/>
        <v>2037</v>
      </c>
      <c r="BB23" s="171">
        <f t="shared" si="14"/>
        <v>0</v>
      </c>
      <c r="BC23" s="171">
        <f t="shared" si="1"/>
        <v>988.98227766137927</v>
      </c>
      <c r="BD23" s="171">
        <f t="shared" si="2"/>
        <v>0</v>
      </c>
      <c r="BE23" s="171">
        <f t="shared" si="2"/>
        <v>0</v>
      </c>
      <c r="BF23" s="171">
        <f t="shared" si="2"/>
        <v>0</v>
      </c>
      <c r="BG23" s="171">
        <f t="shared" si="2"/>
        <v>0</v>
      </c>
      <c r="BI23" s="187">
        <f>IF(A23-'Invoer gegevens'!$C$17&lt;0,0,IF(A23-'Invoer gegevens'!$C$17=0,1,IF(A23-'Invoer gegevens'!$C$17&lt;5,2,IF(A23-'Invoer gegevens'!$C$17&lt;15,3,4))))</f>
        <v>0</v>
      </c>
      <c r="BJ23" s="229">
        <f>IF(BI23&lt;1,0,IF(BI23&lt;2,4%,IF('Reeksen (N)'!BI23&lt;3,4%,IF('Reeksen (N)'!BI23&lt;4,4%*70%,IF('Reeksen (N)'!BI23&lt;5,4%*50%)))))</f>
        <v>0</v>
      </c>
    </row>
    <row r="24" spans="1:62" x14ac:dyDescent="0.25">
      <c r="A24" s="184">
        <f t="shared" si="15"/>
        <v>19</v>
      </c>
      <c r="B24" s="179">
        <f>Dashboard!$D$25</f>
        <v>0</v>
      </c>
      <c r="C24" s="179">
        <f>Dashboard!$D$25</f>
        <v>0</v>
      </c>
      <c r="D24" s="180">
        <f t="shared" si="4"/>
        <v>0</v>
      </c>
      <c r="F24" s="184">
        <f t="shared" ca="1" si="16"/>
        <v>2038</v>
      </c>
      <c r="G24" s="179">
        <f t="shared" si="35"/>
        <v>0.02</v>
      </c>
      <c r="H24" s="182">
        <f t="shared" si="17"/>
        <v>1.4648017200693888</v>
      </c>
      <c r="I24" s="179">
        <f t="shared" si="35"/>
        <v>2.5000000000000001E-2</v>
      </c>
      <c r="J24" s="182">
        <f t="shared" si="18"/>
        <v>1.6098018418119593</v>
      </c>
      <c r="K24" s="179">
        <f t="shared" si="35"/>
        <v>2.5000000000000001E-2</v>
      </c>
      <c r="L24" s="182">
        <f t="shared" si="19"/>
        <v>1.6098018418119593</v>
      </c>
      <c r="N24" s="184">
        <f t="shared" ca="1" si="20"/>
        <v>2038</v>
      </c>
      <c r="O24" s="179">
        <f t="shared" si="36"/>
        <v>0.02</v>
      </c>
      <c r="P24" s="182">
        <f t="shared" si="21"/>
        <v>1.4633798332821997</v>
      </c>
      <c r="R24" s="184">
        <f t="shared" ca="1" si="22"/>
        <v>2038</v>
      </c>
      <c r="S24" s="188">
        <f t="shared" si="38"/>
        <v>5.3600000000000002E-3</v>
      </c>
      <c r="U24" s="184">
        <f t="shared" ca="1" si="23"/>
        <v>2038</v>
      </c>
      <c r="V24" s="182">
        <f t="shared" si="5"/>
        <v>0.02</v>
      </c>
      <c r="W24" s="180">
        <f>Parameters!$D$15</f>
        <v>5.0000000000000001E-3</v>
      </c>
      <c r="X24" s="182">
        <f t="shared" si="6"/>
        <v>2.5000000000000001E-2</v>
      </c>
      <c r="Y24" s="182">
        <f t="shared" si="24"/>
        <v>1.6113886355356142</v>
      </c>
      <c r="AB24" s="184">
        <f t="shared" ca="1" si="25"/>
        <v>2038</v>
      </c>
      <c r="AC24" s="171">
        <f t="shared" si="7"/>
        <v>0</v>
      </c>
      <c r="AD24" s="171">
        <f t="shared" si="0"/>
        <v>0</v>
      </c>
      <c r="AE24" s="171">
        <f t="shared" si="37"/>
        <v>1008.7619232146069</v>
      </c>
      <c r="AF24" s="171">
        <f t="shared" si="26"/>
        <v>0</v>
      </c>
      <c r="AG24" s="171">
        <f t="shared" si="27"/>
        <v>0</v>
      </c>
      <c r="AH24" s="171">
        <f t="shared" si="8"/>
        <v>0</v>
      </c>
      <c r="AI24" s="171">
        <f t="shared" si="9"/>
        <v>0</v>
      </c>
      <c r="AJ24" s="171">
        <f>IF('Invoer gegevens'!$I$27="DAEB",SMALL(AC24:AD24,1),AC24)</f>
        <v>0</v>
      </c>
      <c r="AK24" s="171">
        <f>IF('Invoer gegevens'!$I$27="DAEB",SMALL((AE24:AH24),1),SMALL((AF24:AH24),1))</f>
        <v>0</v>
      </c>
      <c r="AL24" s="171">
        <f t="shared" si="33"/>
        <v>0</v>
      </c>
      <c r="AM24" s="171">
        <f t="shared" si="34"/>
        <v>0</v>
      </c>
      <c r="AN24" s="175">
        <f t="shared" si="28"/>
        <v>0</v>
      </c>
      <c r="AP24" s="184">
        <f t="shared" ca="1" si="29"/>
        <v>2038</v>
      </c>
      <c r="AQ24" s="185">
        <f t="shared" si="10"/>
        <v>0.02</v>
      </c>
      <c r="AR24" s="182">
        <f t="shared" si="30"/>
        <v>1.4633798332821997</v>
      </c>
      <c r="AU24" s="184">
        <f t="shared" ca="1" si="31"/>
        <v>2038</v>
      </c>
      <c r="AV24" s="182">
        <f t="shared" si="11"/>
        <v>0.02</v>
      </c>
      <c r="AW24" s="179">
        <f t="shared" si="12"/>
        <v>5.0000000000000001E-3</v>
      </c>
      <c r="AX24" s="182">
        <f t="shared" si="13"/>
        <v>2.5000000000000001E-2</v>
      </c>
      <c r="AY24" s="186"/>
      <c r="BA24" s="184">
        <f t="shared" ca="1" si="32"/>
        <v>2038</v>
      </c>
      <c r="BB24" s="171">
        <f t="shared" si="14"/>
        <v>0</v>
      </c>
      <c r="BC24" s="171">
        <f t="shared" si="1"/>
        <v>1008.7619232146069</v>
      </c>
      <c r="BD24" s="171">
        <f t="shared" si="2"/>
        <v>0</v>
      </c>
      <c r="BE24" s="171">
        <f t="shared" si="2"/>
        <v>0</v>
      </c>
      <c r="BF24" s="171">
        <f t="shared" si="2"/>
        <v>0</v>
      </c>
      <c r="BG24" s="171">
        <f t="shared" si="2"/>
        <v>0</v>
      </c>
      <c r="BI24" s="187">
        <f>IF(A24-'Invoer gegevens'!$C$17&lt;0,0,IF(A24-'Invoer gegevens'!$C$17=0,1,IF(A24-'Invoer gegevens'!$C$17&lt;5,2,IF(A24-'Invoer gegevens'!$C$17&lt;15,3,4))))</f>
        <v>0</v>
      </c>
      <c r="BJ24" s="229">
        <f>IF(BI24&lt;1,0,IF(BI24&lt;2,4%,IF('Reeksen (N)'!BI24&lt;3,4%,IF('Reeksen (N)'!BI24&lt;4,4%*70%,IF('Reeksen (N)'!BI24&lt;5,4%*50%)))))</f>
        <v>0</v>
      </c>
    </row>
    <row r="25" spans="1:62" x14ac:dyDescent="0.25">
      <c r="A25" s="184">
        <f t="shared" si="15"/>
        <v>20</v>
      </c>
      <c r="B25" s="179">
        <f>Dashboard!$D$25</f>
        <v>0</v>
      </c>
      <c r="C25" s="179">
        <f>Dashboard!$D$25</f>
        <v>0</v>
      </c>
      <c r="D25" s="180">
        <f t="shared" si="4"/>
        <v>0</v>
      </c>
      <c r="F25" s="184">
        <f t="shared" ca="1" si="16"/>
        <v>2039</v>
      </c>
      <c r="G25" s="179">
        <f t="shared" ref="G25:G88" si="39">G24</f>
        <v>0.02</v>
      </c>
      <c r="H25" s="182">
        <f t="shared" si="17"/>
        <v>1.4940977544707765</v>
      </c>
      <c r="I25" s="179">
        <f t="shared" ref="I25:I88" si="40">I24</f>
        <v>2.5000000000000001E-2</v>
      </c>
      <c r="J25" s="182">
        <f t="shared" si="18"/>
        <v>1.6500468878572581</v>
      </c>
      <c r="K25" s="179">
        <f t="shared" ref="K25:K88" si="41">K24</f>
        <v>2.5000000000000001E-2</v>
      </c>
      <c r="L25" s="182">
        <f t="shared" si="19"/>
        <v>1.6500468878572581</v>
      </c>
      <c r="N25" s="184">
        <f t="shared" ca="1" si="20"/>
        <v>2039</v>
      </c>
      <c r="O25" s="179">
        <f t="shared" si="36"/>
        <v>0.02</v>
      </c>
      <c r="P25" s="182">
        <f t="shared" si="21"/>
        <v>1.4926474299478436</v>
      </c>
      <c r="R25" s="184">
        <f t="shared" ca="1" si="22"/>
        <v>2039</v>
      </c>
      <c r="S25" s="188">
        <f t="shared" si="38"/>
        <v>5.3600000000000002E-3</v>
      </c>
      <c r="U25" s="184">
        <f t="shared" ca="1" si="23"/>
        <v>2039</v>
      </c>
      <c r="V25" s="182">
        <f t="shared" si="5"/>
        <v>0.02</v>
      </c>
      <c r="W25" s="180">
        <f>Parameters!$D$15</f>
        <v>5.0000000000000001E-3</v>
      </c>
      <c r="X25" s="182">
        <f t="shared" si="6"/>
        <v>2.5000000000000001E-2</v>
      </c>
      <c r="Y25" s="182">
        <f t="shared" si="24"/>
        <v>1.6516733514240043</v>
      </c>
      <c r="AB25" s="184">
        <f t="shared" ca="1" si="25"/>
        <v>2039</v>
      </c>
      <c r="AC25" s="171">
        <f t="shared" si="7"/>
        <v>0</v>
      </c>
      <c r="AD25" s="171">
        <f t="shared" si="0"/>
        <v>0</v>
      </c>
      <c r="AE25" s="171">
        <f t="shared" si="37"/>
        <v>1028.937161678899</v>
      </c>
      <c r="AF25" s="171">
        <f t="shared" si="26"/>
        <v>0</v>
      </c>
      <c r="AG25" s="171">
        <f t="shared" si="27"/>
        <v>0</v>
      </c>
      <c r="AH25" s="171">
        <f t="shared" si="8"/>
        <v>0</v>
      </c>
      <c r="AI25" s="171">
        <f t="shared" si="9"/>
        <v>0</v>
      </c>
      <c r="AJ25" s="171">
        <f>IF('Invoer gegevens'!$I$27="DAEB",SMALL(AC25:AD25,1),AC25)</f>
        <v>0</v>
      </c>
      <c r="AK25" s="171">
        <f>IF('Invoer gegevens'!$I$27="DAEB",SMALL((AE25:AH25),1),SMALL((AF25:AH25),1))</f>
        <v>0</v>
      </c>
      <c r="AL25" s="171">
        <f t="shared" si="33"/>
        <v>0</v>
      </c>
      <c r="AM25" s="171">
        <f t="shared" si="34"/>
        <v>0</v>
      </c>
      <c r="AN25" s="175">
        <f t="shared" si="28"/>
        <v>0</v>
      </c>
      <c r="AP25" s="184">
        <f t="shared" ca="1" si="29"/>
        <v>2039</v>
      </c>
      <c r="AQ25" s="185">
        <f t="shared" si="10"/>
        <v>0.02</v>
      </c>
      <c r="AR25" s="182">
        <f t="shared" si="30"/>
        <v>1.4926474299478436</v>
      </c>
      <c r="AU25" s="184">
        <f t="shared" ca="1" si="31"/>
        <v>2039</v>
      </c>
      <c r="AV25" s="182">
        <f t="shared" si="11"/>
        <v>0.02</v>
      </c>
      <c r="AW25" s="179">
        <f t="shared" si="12"/>
        <v>5.0000000000000001E-3</v>
      </c>
      <c r="AX25" s="182">
        <f t="shared" si="13"/>
        <v>2.5000000000000001E-2</v>
      </c>
      <c r="AY25" s="186"/>
      <c r="BA25" s="184">
        <f t="shared" ca="1" si="32"/>
        <v>2039</v>
      </c>
      <c r="BB25" s="171">
        <f t="shared" si="14"/>
        <v>0</v>
      </c>
      <c r="BC25" s="171">
        <f t="shared" si="1"/>
        <v>1028.937161678899</v>
      </c>
      <c r="BD25" s="171">
        <f t="shared" si="2"/>
        <v>0</v>
      </c>
      <c r="BE25" s="171">
        <f t="shared" si="2"/>
        <v>0</v>
      </c>
      <c r="BF25" s="171">
        <f t="shared" si="2"/>
        <v>0</v>
      </c>
      <c r="BG25" s="171">
        <f t="shared" si="2"/>
        <v>0</v>
      </c>
      <c r="BI25" s="187">
        <f>IF(A25-'Invoer gegevens'!$C$17&lt;0,0,IF(A25-'Invoer gegevens'!$C$17=0,1,IF(A25-'Invoer gegevens'!$C$17&lt;5,2,IF(A25-'Invoer gegevens'!$C$17&lt;15,3,4))))</f>
        <v>0</v>
      </c>
      <c r="BJ25" s="229">
        <f>IF(BI25&lt;1,0,IF(BI25&lt;2,4%,IF('Reeksen (N)'!BI25&lt;3,4%,IF('Reeksen (N)'!BI25&lt;4,4%*70%,IF('Reeksen (N)'!BI25&lt;5,4%*50%)))))</f>
        <v>0</v>
      </c>
    </row>
    <row r="26" spans="1:62" x14ac:dyDescent="0.25">
      <c r="A26" s="184">
        <f t="shared" si="15"/>
        <v>21</v>
      </c>
      <c r="B26" s="179">
        <f>Dashboard!$D$25</f>
        <v>0</v>
      </c>
      <c r="C26" s="179">
        <f>Dashboard!$D$25</f>
        <v>0</v>
      </c>
      <c r="D26" s="180">
        <f t="shared" si="4"/>
        <v>0</v>
      </c>
      <c r="F26" s="184">
        <f t="shared" ca="1" si="16"/>
        <v>2040</v>
      </c>
      <c r="G26" s="179">
        <f t="shared" si="39"/>
        <v>0.02</v>
      </c>
      <c r="H26" s="182">
        <f t="shared" si="17"/>
        <v>1.5239797095601921</v>
      </c>
      <c r="I26" s="179">
        <f t="shared" si="40"/>
        <v>2.5000000000000001E-2</v>
      </c>
      <c r="J26" s="182">
        <f t="shared" si="18"/>
        <v>1.6912980600536893</v>
      </c>
      <c r="K26" s="179">
        <f t="shared" si="41"/>
        <v>2.5000000000000001E-2</v>
      </c>
      <c r="L26" s="182">
        <f t="shared" si="19"/>
        <v>1.6912980600536893</v>
      </c>
      <c r="N26" s="184">
        <f t="shared" ca="1" si="20"/>
        <v>2040</v>
      </c>
      <c r="O26" s="179">
        <f t="shared" si="36"/>
        <v>0.02</v>
      </c>
      <c r="P26" s="182">
        <f t="shared" si="21"/>
        <v>1.5225003785468005</v>
      </c>
      <c r="R26" s="184">
        <f t="shared" ca="1" si="22"/>
        <v>2040</v>
      </c>
      <c r="S26" s="188">
        <f t="shared" si="38"/>
        <v>5.3600000000000002E-3</v>
      </c>
      <c r="U26" s="184">
        <f t="shared" ca="1" si="23"/>
        <v>2040</v>
      </c>
      <c r="V26" s="182">
        <f t="shared" si="5"/>
        <v>0.02</v>
      </c>
      <c r="W26" s="180">
        <f>Parameters!$D$15</f>
        <v>5.0000000000000001E-3</v>
      </c>
      <c r="X26" s="182">
        <f t="shared" si="6"/>
        <v>2.5000000000000001E-2</v>
      </c>
      <c r="Y26" s="182">
        <f t="shared" si="24"/>
        <v>1.6929651852096042</v>
      </c>
      <c r="AB26" s="184">
        <f t="shared" ca="1" si="25"/>
        <v>2040</v>
      </c>
      <c r="AC26" s="171">
        <f t="shared" si="7"/>
        <v>0</v>
      </c>
      <c r="AD26" s="171">
        <f t="shared" si="0"/>
        <v>0</v>
      </c>
      <c r="AE26" s="171">
        <f t="shared" si="37"/>
        <v>1049.515904912477</v>
      </c>
      <c r="AF26" s="171">
        <f t="shared" si="26"/>
        <v>0</v>
      </c>
      <c r="AG26" s="171">
        <f t="shared" si="27"/>
        <v>0</v>
      </c>
      <c r="AH26" s="171">
        <f t="shared" si="8"/>
        <v>0</v>
      </c>
      <c r="AI26" s="171">
        <f t="shared" si="9"/>
        <v>0</v>
      </c>
      <c r="AJ26" s="171">
        <f>IF('Invoer gegevens'!$I$27="DAEB",SMALL(AC26:AD26,1),AC26)</f>
        <v>0</v>
      </c>
      <c r="AK26" s="171">
        <f>IF('Invoer gegevens'!$I$27="DAEB",SMALL((AE26:AH26),1),SMALL((AF26:AH26),1))</f>
        <v>0</v>
      </c>
      <c r="AL26" s="171">
        <f t="shared" si="33"/>
        <v>0</v>
      </c>
      <c r="AM26" s="171">
        <f t="shared" si="34"/>
        <v>0</v>
      </c>
      <c r="AN26" s="175">
        <f t="shared" si="28"/>
        <v>0</v>
      </c>
      <c r="AP26" s="184">
        <f t="shared" ca="1" si="29"/>
        <v>2040</v>
      </c>
      <c r="AQ26" s="185">
        <f t="shared" si="10"/>
        <v>0.02</v>
      </c>
      <c r="AR26" s="182">
        <f t="shared" si="30"/>
        <v>1.5225003785468005</v>
      </c>
      <c r="AU26" s="184">
        <f t="shared" ca="1" si="31"/>
        <v>2040</v>
      </c>
      <c r="AV26" s="182">
        <f t="shared" si="11"/>
        <v>0.02</v>
      </c>
      <c r="AW26" s="179">
        <f t="shared" si="12"/>
        <v>5.0000000000000001E-3</v>
      </c>
      <c r="AX26" s="182">
        <f t="shared" si="13"/>
        <v>2.5000000000000001E-2</v>
      </c>
      <c r="AY26" s="186"/>
      <c r="BA26" s="184">
        <f t="shared" ca="1" si="32"/>
        <v>2040</v>
      </c>
      <c r="BB26" s="171">
        <f t="shared" si="14"/>
        <v>0</v>
      </c>
      <c r="BC26" s="171">
        <f t="shared" si="1"/>
        <v>1049.515904912477</v>
      </c>
      <c r="BD26" s="171">
        <f t="shared" si="2"/>
        <v>0</v>
      </c>
      <c r="BE26" s="171">
        <f t="shared" si="2"/>
        <v>0</v>
      </c>
      <c r="BF26" s="171">
        <f t="shared" si="2"/>
        <v>0</v>
      </c>
      <c r="BG26" s="171">
        <f t="shared" si="2"/>
        <v>0</v>
      </c>
      <c r="BI26" s="187">
        <f>IF(A26-'Invoer gegevens'!$C$17&lt;0,0,IF(A26-'Invoer gegevens'!$C$17=0,1,IF(A26-'Invoer gegevens'!$C$17&lt;5,2,IF(A26-'Invoer gegevens'!$C$17&lt;15,3,4))))</f>
        <v>0</v>
      </c>
      <c r="BJ26" s="229">
        <f>IF(BI26&lt;1,0,IF(BI26&lt;2,4%,IF('Reeksen (N)'!BI26&lt;3,4%,IF('Reeksen (N)'!BI26&lt;4,4%*70%,IF('Reeksen (N)'!BI26&lt;5,4%*50%)))))</f>
        <v>0</v>
      </c>
    </row>
    <row r="27" spans="1:62" x14ac:dyDescent="0.25">
      <c r="A27" s="184">
        <f t="shared" si="15"/>
        <v>22</v>
      </c>
      <c r="B27" s="179">
        <f>Dashboard!$D$25</f>
        <v>0</v>
      </c>
      <c r="C27" s="179">
        <f>Dashboard!$D$25</f>
        <v>0</v>
      </c>
      <c r="D27" s="180">
        <f t="shared" si="4"/>
        <v>0</v>
      </c>
      <c r="F27" s="184">
        <f t="shared" ca="1" si="16"/>
        <v>2041</v>
      </c>
      <c r="G27" s="179">
        <f t="shared" si="39"/>
        <v>0.02</v>
      </c>
      <c r="H27" s="182">
        <f t="shared" si="17"/>
        <v>1.5544593037513961</v>
      </c>
      <c r="I27" s="179">
        <f t="shared" si="40"/>
        <v>2.5000000000000001E-2</v>
      </c>
      <c r="J27" s="182">
        <f t="shared" si="18"/>
        <v>1.7335805115550313</v>
      </c>
      <c r="K27" s="179">
        <f t="shared" si="41"/>
        <v>2.5000000000000001E-2</v>
      </c>
      <c r="L27" s="182">
        <f t="shared" si="19"/>
        <v>1.7335805115550313</v>
      </c>
      <c r="N27" s="184">
        <f t="shared" ca="1" si="20"/>
        <v>2041</v>
      </c>
      <c r="O27" s="179">
        <f t="shared" si="36"/>
        <v>0.02</v>
      </c>
      <c r="P27" s="182">
        <f t="shared" si="21"/>
        <v>1.5529503861177365</v>
      </c>
      <c r="R27" s="184">
        <f t="shared" ca="1" si="22"/>
        <v>2041</v>
      </c>
      <c r="S27" s="188">
        <f t="shared" si="38"/>
        <v>5.3600000000000002E-3</v>
      </c>
      <c r="U27" s="184">
        <f t="shared" ca="1" si="23"/>
        <v>2041</v>
      </c>
      <c r="V27" s="182">
        <f t="shared" si="5"/>
        <v>0.02</v>
      </c>
      <c r="W27" s="180">
        <f>Parameters!$D$15</f>
        <v>5.0000000000000001E-3</v>
      </c>
      <c r="X27" s="182">
        <f t="shared" si="6"/>
        <v>2.5000000000000001E-2</v>
      </c>
      <c r="Y27" s="182">
        <f t="shared" si="24"/>
        <v>1.7352893148398441</v>
      </c>
      <c r="AB27" s="184">
        <f t="shared" ca="1" si="25"/>
        <v>2041</v>
      </c>
      <c r="AC27" s="171">
        <f t="shared" si="7"/>
        <v>0</v>
      </c>
      <c r="AD27" s="171">
        <f t="shared" si="0"/>
        <v>0</v>
      </c>
      <c r="AE27" s="171">
        <f t="shared" si="37"/>
        <v>1070.5062230107267</v>
      </c>
      <c r="AF27" s="171">
        <f t="shared" si="26"/>
        <v>0</v>
      </c>
      <c r="AG27" s="171">
        <f t="shared" si="27"/>
        <v>0</v>
      </c>
      <c r="AH27" s="171">
        <f t="shared" si="8"/>
        <v>0</v>
      </c>
      <c r="AI27" s="171">
        <f t="shared" si="9"/>
        <v>0</v>
      </c>
      <c r="AJ27" s="171">
        <f>IF('Invoer gegevens'!$I$27="DAEB",SMALL(AC27:AD27,1),AC27)</f>
        <v>0</v>
      </c>
      <c r="AK27" s="171">
        <f>IF('Invoer gegevens'!$I$27="DAEB",SMALL((AE27:AH27),1),SMALL((AF27:AH27),1))</f>
        <v>0</v>
      </c>
      <c r="AL27" s="171">
        <f t="shared" si="33"/>
        <v>0</v>
      </c>
      <c r="AM27" s="171">
        <f t="shared" si="34"/>
        <v>0</v>
      </c>
      <c r="AN27" s="175">
        <f t="shared" si="28"/>
        <v>0</v>
      </c>
      <c r="AP27" s="184">
        <f t="shared" ca="1" si="29"/>
        <v>2041</v>
      </c>
      <c r="AQ27" s="185">
        <f t="shared" si="10"/>
        <v>0.02</v>
      </c>
      <c r="AR27" s="182">
        <f t="shared" si="30"/>
        <v>1.5529503861177365</v>
      </c>
      <c r="AU27" s="184">
        <f t="shared" ca="1" si="31"/>
        <v>2041</v>
      </c>
      <c r="AV27" s="182">
        <f t="shared" si="11"/>
        <v>0.02</v>
      </c>
      <c r="AW27" s="179">
        <f t="shared" si="12"/>
        <v>5.0000000000000001E-3</v>
      </c>
      <c r="AX27" s="182">
        <f t="shared" si="13"/>
        <v>2.5000000000000001E-2</v>
      </c>
      <c r="AY27" s="186"/>
      <c r="BA27" s="184">
        <f t="shared" ca="1" si="32"/>
        <v>2041</v>
      </c>
      <c r="BB27" s="171">
        <f t="shared" si="14"/>
        <v>0</v>
      </c>
      <c r="BC27" s="171">
        <f t="shared" si="1"/>
        <v>1070.5062230107267</v>
      </c>
      <c r="BD27" s="171">
        <f t="shared" si="2"/>
        <v>0</v>
      </c>
      <c r="BE27" s="171">
        <f t="shared" si="2"/>
        <v>0</v>
      </c>
      <c r="BF27" s="171">
        <f t="shared" si="2"/>
        <v>0</v>
      </c>
      <c r="BG27" s="171">
        <f t="shared" si="2"/>
        <v>0</v>
      </c>
      <c r="BI27" s="187">
        <f>IF(A27-'Invoer gegevens'!$C$17&lt;0,0,IF(A27-'Invoer gegevens'!$C$17=0,1,IF(A27-'Invoer gegevens'!$C$17&lt;5,2,IF(A27-'Invoer gegevens'!$C$17&lt;15,3,4))))</f>
        <v>0</v>
      </c>
      <c r="BJ27" s="229">
        <f>IF(BI27&lt;1,0,IF(BI27&lt;2,4%,IF('Reeksen (N)'!BI27&lt;3,4%,IF('Reeksen (N)'!BI27&lt;4,4%*70%,IF('Reeksen (N)'!BI27&lt;5,4%*50%)))))</f>
        <v>0</v>
      </c>
    </row>
    <row r="28" spans="1:62" x14ac:dyDescent="0.25">
      <c r="A28" s="184">
        <f t="shared" si="15"/>
        <v>23</v>
      </c>
      <c r="B28" s="179">
        <f>Dashboard!$D$25</f>
        <v>0</v>
      </c>
      <c r="C28" s="179">
        <f>Dashboard!$D$25</f>
        <v>0</v>
      </c>
      <c r="D28" s="180">
        <f t="shared" si="4"/>
        <v>0</v>
      </c>
      <c r="F28" s="184">
        <f t="shared" ca="1" si="16"/>
        <v>2042</v>
      </c>
      <c r="G28" s="179">
        <f t="shared" si="39"/>
        <v>0.02</v>
      </c>
      <c r="H28" s="182">
        <f t="shared" si="17"/>
        <v>1.585548489826424</v>
      </c>
      <c r="I28" s="179">
        <f t="shared" si="40"/>
        <v>2.5000000000000001E-2</v>
      </c>
      <c r="J28" s="182">
        <f t="shared" si="18"/>
        <v>1.7769200243439069</v>
      </c>
      <c r="K28" s="179">
        <f t="shared" si="41"/>
        <v>2.5000000000000001E-2</v>
      </c>
      <c r="L28" s="182">
        <f t="shared" si="19"/>
        <v>1.7769200243439069</v>
      </c>
      <c r="N28" s="184">
        <f t="shared" ca="1" si="20"/>
        <v>2042</v>
      </c>
      <c r="O28" s="179">
        <f t="shared" si="36"/>
        <v>0.02</v>
      </c>
      <c r="P28" s="182">
        <f t="shared" si="21"/>
        <v>1.5840093938400912</v>
      </c>
      <c r="R28" s="184">
        <f t="shared" ca="1" si="22"/>
        <v>2042</v>
      </c>
      <c r="S28" s="188">
        <f t="shared" si="38"/>
        <v>5.3600000000000002E-3</v>
      </c>
      <c r="U28" s="184">
        <f t="shared" ca="1" si="23"/>
        <v>2042</v>
      </c>
      <c r="V28" s="182">
        <f t="shared" si="5"/>
        <v>0.02</v>
      </c>
      <c r="W28" s="180">
        <f>Parameters!$D$15</f>
        <v>5.0000000000000001E-3</v>
      </c>
      <c r="X28" s="182">
        <f t="shared" si="6"/>
        <v>2.5000000000000001E-2</v>
      </c>
      <c r="Y28" s="182">
        <f t="shared" si="24"/>
        <v>1.7786715477108399</v>
      </c>
      <c r="AB28" s="184">
        <f t="shared" ca="1" si="25"/>
        <v>2042</v>
      </c>
      <c r="AC28" s="171">
        <f t="shared" si="7"/>
        <v>0</v>
      </c>
      <c r="AD28" s="171">
        <f t="shared" si="0"/>
        <v>0</v>
      </c>
      <c r="AE28" s="171">
        <f t="shared" si="37"/>
        <v>1091.9163474709412</v>
      </c>
      <c r="AF28" s="171">
        <f t="shared" si="26"/>
        <v>0</v>
      </c>
      <c r="AG28" s="171">
        <f t="shared" si="27"/>
        <v>0</v>
      </c>
      <c r="AH28" s="171">
        <f t="shared" si="8"/>
        <v>0</v>
      </c>
      <c r="AI28" s="171">
        <f t="shared" si="9"/>
        <v>0</v>
      </c>
      <c r="AJ28" s="171">
        <f>IF('Invoer gegevens'!$I$27="DAEB",SMALL(AC28:AD28,1),AC28)</f>
        <v>0</v>
      </c>
      <c r="AK28" s="171">
        <f>IF('Invoer gegevens'!$I$27="DAEB",SMALL((AE28:AH28),1),SMALL((AF28:AH28),1))</f>
        <v>0</v>
      </c>
      <c r="AL28" s="171">
        <f t="shared" si="33"/>
        <v>0</v>
      </c>
      <c r="AM28" s="171">
        <f t="shared" si="34"/>
        <v>0</v>
      </c>
      <c r="AN28" s="175">
        <f t="shared" si="28"/>
        <v>0</v>
      </c>
      <c r="AP28" s="184">
        <f t="shared" ca="1" si="29"/>
        <v>2042</v>
      </c>
      <c r="AQ28" s="185">
        <f t="shared" si="10"/>
        <v>0.02</v>
      </c>
      <c r="AR28" s="182">
        <f t="shared" si="30"/>
        <v>1.5840093938400912</v>
      </c>
      <c r="AU28" s="184">
        <f t="shared" ca="1" si="31"/>
        <v>2042</v>
      </c>
      <c r="AV28" s="182">
        <f t="shared" si="11"/>
        <v>0.02</v>
      </c>
      <c r="AW28" s="179">
        <f t="shared" si="12"/>
        <v>5.0000000000000001E-3</v>
      </c>
      <c r="AX28" s="182">
        <f t="shared" si="13"/>
        <v>2.5000000000000001E-2</v>
      </c>
      <c r="AY28" s="186"/>
      <c r="BA28" s="184">
        <f t="shared" ca="1" si="32"/>
        <v>2042</v>
      </c>
      <c r="BB28" s="171">
        <f t="shared" si="14"/>
        <v>0</v>
      </c>
      <c r="BC28" s="171">
        <f t="shared" si="1"/>
        <v>1091.9163474709412</v>
      </c>
      <c r="BD28" s="171">
        <f t="shared" si="2"/>
        <v>0</v>
      </c>
      <c r="BE28" s="171">
        <f t="shared" si="2"/>
        <v>0</v>
      </c>
      <c r="BF28" s="171">
        <f t="shared" si="2"/>
        <v>0</v>
      </c>
      <c r="BG28" s="171">
        <f t="shared" si="2"/>
        <v>0</v>
      </c>
      <c r="BI28" s="187">
        <f>IF(A28-'Invoer gegevens'!$C$17&lt;0,0,IF(A28-'Invoer gegevens'!$C$17=0,1,IF(A28-'Invoer gegevens'!$C$17&lt;5,2,IF(A28-'Invoer gegevens'!$C$17&lt;15,3,4))))</f>
        <v>0</v>
      </c>
      <c r="BJ28" s="229">
        <f>IF(BI28&lt;1,0,IF(BI28&lt;2,4%,IF('Reeksen (N)'!BI28&lt;3,4%,IF('Reeksen (N)'!BI28&lt;4,4%*70%,IF('Reeksen (N)'!BI28&lt;5,4%*50%)))))</f>
        <v>0</v>
      </c>
    </row>
    <row r="29" spans="1:62" x14ac:dyDescent="0.25">
      <c r="A29" s="184">
        <f t="shared" si="15"/>
        <v>24</v>
      </c>
      <c r="B29" s="179">
        <f>Dashboard!$D$25</f>
        <v>0</v>
      </c>
      <c r="C29" s="179">
        <f>Dashboard!$D$25</f>
        <v>0</v>
      </c>
      <c r="D29" s="180">
        <f t="shared" si="4"/>
        <v>0</v>
      </c>
      <c r="F29" s="184">
        <f t="shared" ca="1" si="16"/>
        <v>2043</v>
      </c>
      <c r="G29" s="179">
        <f t="shared" si="39"/>
        <v>0.02</v>
      </c>
      <c r="H29" s="182">
        <f t="shared" si="17"/>
        <v>1.6172594596229526</v>
      </c>
      <c r="I29" s="179">
        <f t="shared" si="40"/>
        <v>2.5000000000000001E-2</v>
      </c>
      <c r="J29" s="182">
        <f t="shared" si="18"/>
        <v>1.8213430249525044</v>
      </c>
      <c r="K29" s="179">
        <f t="shared" si="41"/>
        <v>2.5000000000000001E-2</v>
      </c>
      <c r="L29" s="182">
        <f t="shared" si="19"/>
        <v>1.8213430249525044</v>
      </c>
      <c r="N29" s="184">
        <f t="shared" ca="1" si="20"/>
        <v>2043</v>
      </c>
      <c r="O29" s="179">
        <f t="shared" si="36"/>
        <v>0.02</v>
      </c>
      <c r="P29" s="182">
        <f t="shared" si="21"/>
        <v>1.615689581716893</v>
      </c>
      <c r="R29" s="184">
        <f t="shared" ca="1" si="22"/>
        <v>2043</v>
      </c>
      <c r="S29" s="188">
        <f t="shared" si="38"/>
        <v>5.3600000000000002E-3</v>
      </c>
      <c r="U29" s="184">
        <f t="shared" ca="1" si="23"/>
        <v>2043</v>
      </c>
      <c r="V29" s="182">
        <f t="shared" si="5"/>
        <v>0.02</v>
      </c>
      <c r="W29" s="180">
        <f>Parameters!$D$15</f>
        <v>5.0000000000000001E-3</v>
      </c>
      <c r="X29" s="182">
        <f t="shared" si="6"/>
        <v>2.5000000000000001E-2</v>
      </c>
      <c r="Y29" s="182">
        <f t="shared" si="24"/>
        <v>1.8231383364036107</v>
      </c>
      <c r="AB29" s="184">
        <f t="shared" ca="1" si="25"/>
        <v>2043</v>
      </c>
      <c r="AC29" s="171">
        <f t="shared" si="7"/>
        <v>0</v>
      </c>
      <c r="AD29" s="171">
        <f t="shared" si="0"/>
        <v>0</v>
      </c>
      <c r="AE29" s="171">
        <f t="shared" si="37"/>
        <v>1113.7546744203601</v>
      </c>
      <c r="AF29" s="171">
        <f t="shared" si="26"/>
        <v>0</v>
      </c>
      <c r="AG29" s="171">
        <f t="shared" si="27"/>
        <v>0</v>
      </c>
      <c r="AH29" s="171">
        <f t="shared" si="8"/>
        <v>0</v>
      </c>
      <c r="AI29" s="171">
        <f t="shared" si="9"/>
        <v>0</v>
      </c>
      <c r="AJ29" s="171">
        <f>IF('Invoer gegevens'!$I$27="DAEB",SMALL(AC29:AD29,1),AC29)</f>
        <v>0</v>
      </c>
      <c r="AK29" s="171">
        <f>IF('Invoer gegevens'!$I$27="DAEB",SMALL((AE29:AH29),1),SMALL((AF29:AH29),1))</f>
        <v>0</v>
      </c>
      <c r="AL29" s="171">
        <f t="shared" si="33"/>
        <v>0</v>
      </c>
      <c r="AM29" s="171">
        <f t="shared" si="34"/>
        <v>0</v>
      </c>
      <c r="AN29" s="175">
        <f t="shared" si="28"/>
        <v>0</v>
      </c>
      <c r="AP29" s="184">
        <f t="shared" ca="1" si="29"/>
        <v>2043</v>
      </c>
      <c r="AQ29" s="185">
        <f t="shared" si="10"/>
        <v>0.02</v>
      </c>
      <c r="AR29" s="182">
        <f t="shared" si="30"/>
        <v>1.615689581716893</v>
      </c>
      <c r="AU29" s="184">
        <f t="shared" ca="1" si="31"/>
        <v>2043</v>
      </c>
      <c r="AV29" s="182">
        <f t="shared" si="11"/>
        <v>0.02</v>
      </c>
      <c r="AW29" s="179">
        <f t="shared" si="12"/>
        <v>5.0000000000000001E-3</v>
      </c>
      <c r="AX29" s="182">
        <f t="shared" si="13"/>
        <v>2.5000000000000001E-2</v>
      </c>
      <c r="AY29" s="186"/>
      <c r="BA29" s="184">
        <f t="shared" ca="1" si="32"/>
        <v>2043</v>
      </c>
      <c r="BB29" s="171">
        <f t="shared" si="14"/>
        <v>0</v>
      </c>
      <c r="BC29" s="171">
        <f t="shared" si="1"/>
        <v>1113.7546744203601</v>
      </c>
      <c r="BD29" s="171">
        <f t="shared" si="2"/>
        <v>0</v>
      </c>
      <c r="BE29" s="171">
        <f t="shared" si="2"/>
        <v>0</v>
      </c>
      <c r="BF29" s="171">
        <f t="shared" si="2"/>
        <v>0</v>
      </c>
      <c r="BG29" s="171">
        <f t="shared" si="2"/>
        <v>0</v>
      </c>
      <c r="BI29" s="187">
        <f>IF(A29-'Invoer gegevens'!$C$17&lt;0,0,IF(A29-'Invoer gegevens'!$C$17=0,1,IF(A29-'Invoer gegevens'!$C$17&lt;5,2,IF(A29-'Invoer gegevens'!$C$17&lt;15,3,4))))</f>
        <v>0</v>
      </c>
      <c r="BJ29" s="229">
        <f>IF(BI29&lt;1,0,IF(BI29&lt;2,4%,IF('Reeksen (N)'!BI29&lt;3,4%,IF('Reeksen (N)'!BI29&lt;4,4%*70%,IF('Reeksen (N)'!BI29&lt;5,4%*50%)))))</f>
        <v>0</v>
      </c>
    </row>
    <row r="30" spans="1:62" x14ac:dyDescent="0.25">
      <c r="A30" s="184">
        <f t="shared" si="15"/>
        <v>25</v>
      </c>
      <c r="B30" s="179">
        <f>Dashboard!$D$25</f>
        <v>0</v>
      </c>
      <c r="C30" s="179">
        <f>Dashboard!$D$25</f>
        <v>0</v>
      </c>
      <c r="D30" s="180">
        <f t="shared" si="4"/>
        <v>0</v>
      </c>
      <c r="F30" s="184">
        <f t="shared" ca="1" si="16"/>
        <v>2044</v>
      </c>
      <c r="G30" s="179">
        <f t="shared" si="39"/>
        <v>0.02</v>
      </c>
      <c r="H30" s="182">
        <f t="shared" si="17"/>
        <v>1.6496046488154117</v>
      </c>
      <c r="I30" s="179">
        <f t="shared" si="40"/>
        <v>2.5000000000000001E-2</v>
      </c>
      <c r="J30" s="182">
        <f t="shared" si="18"/>
        <v>1.8668766005763169</v>
      </c>
      <c r="K30" s="179">
        <f t="shared" si="41"/>
        <v>2.5000000000000001E-2</v>
      </c>
      <c r="L30" s="182">
        <f t="shared" si="19"/>
        <v>1.8668766005763169</v>
      </c>
      <c r="N30" s="184">
        <f t="shared" ca="1" si="20"/>
        <v>2044</v>
      </c>
      <c r="O30" s="179">
        <f t="shared" si="36"/>
        <v>0.02</v>
      </c>
      <c r="P30" s="182">
        <f t="shared" si="21"/>
        <v>1.6480033733512309</v>
      </c>
      <c r="R30" s="184">
        <f t="shared" ca="1" si="22"/>
        <v>2044</v>
      </c>
      <c r="S30" s="188">
        <f t="shared" si="38"/>
        <v>5.3600000000000002E-3</v>
      </c>
      <c r="U30" s="184">
        <f t="shared" ca="1" si="23"/>
        <v>2044</v>
      </c>
      <c r="V30" s="182">
        <f t="shared" si="5"/>
        <v>0.02</v>
      </c>
      <c r="W30" s="180">
        <f>Parameters!$D$15</f>
        <v>5.0000000000000001E-3</v>
      </c>
      <c r="X30" s="182">
        <f t="shared" si="6"/>
        <v>2.5000000000000001E-2</v>
      </c>
      <c r="Y30" s="182">
        <f t="shared" si="24"/>
        <v>1.8687167948137007</v>
      </c>
      <c r="AB30" s="184">
        <f t="shared" ca="1" si="25"/>
        <v>2044</v>
      </c>
      <c r="AC30" s="171">
        <f t="shared" si="7"/>
        <v>0</v>
      </c>
      <c r="AD30" s="171">
        <f t="shared" si="0"/>
        <v>0</v>
      </c>
      <c r="AE30" s="171">
        <f t="shared" si="37"/>
        <v>1136.0297679087673</v>
      </c>
      <c r="AF30" s="171">
        <f t="shared" si="26"/>
        <v>0</v>
      </c>
      <c r="AG30" s="171">
        <f t="shared" si="27"/>
        <v>0</v>
      </c>
      <c r="AH30" s="171">
        <f t="shared" si="8"/>
        <v>0</v>
      </c>
      <c r="AI30" s="171">
        <f t="shared" si="9"/>
        <v>0</v>
      </c>
      <c r="AJ30" s="171">
        <f>IF('Invoer gegevens'!$I$27="DAEB",SMALL(AC30:AD30,1),AC30)</f>
        <v>0</v>
      </c>
      <c r="AK30" s="171">
        <f>IF('Invoer gegevens'!$I$27="DAEB",SMALL((AE30:AH30),1),SMALL((AF30:AH30),1))</f>
        <v>0</v>
      </c>
      <c r="AL30" s="171">
        <f t="shared" si="33"/>
        <v>0</v>
      </c>
      <c r="AM30" s="171">
        <f t="shared" si="34"/>
        <v>0</v>
      </c>
      <c r="AN30" s="175">
        <f t="shared" si="28"/>
        <v>0</v>
      </c>
      <c r="AP30" s="184">
        <f t="shared" ca="1" si="29"/>
        <v>2044</v>
      </c>
      <c r="AQ30" s="185">
        <f t="shared" si="10"/>
        <v>0.02</v>
      </c>
      <c r="AR30" s="182">
        <f t="shared" si="30"/>
        <v>1.6480033733512309</v>
      </c>
      <c r="AU30" s="184">
        <f t="shared" ca="1" si="31"/>
        <v>2044</v>
      </c>
      <c r="AV30" s="182">
        <f t="shared" si="11"/>
        <v>0.02</v>
      </c>
      <c r="AW30" s="179">
        <f t="shared" si="12"/>
        <v>5.0000000000000001E-3</v>
      </c>
      <c r="AX30" s="182">
        <f t="shared" si="13"/>
        <v>2.5000000000000001E-2</v>
      </c>
      <c r="AY30" s="186"/>
      <c r="BA30" s="184">
        <f t="shared" ca="1" si="32"/>
        <v>2044</v>
      </c>
      <c r="BB30" s="171">
        <f t="shared" si="14"/>
        <v>0</v>
      </c>
      <c r="BC30" s="171">
        <f t="shared" si="1"/>
        <v>1136.0297679087673</v>
      </c>
      <c r="BD30" s="171">
        <f t="shared" si="2"/>
        <v>0</v>
      </c>
      <c r="BE30" s="171">
        <f t="shared" si="2"/>
        <v>0</v>
      </c>
      <c r="BF30" s="171">
        <f t="shared" si="2"/>
        <v>0</v>
      </c>
      <c r="BG30" s="171">
        <f t="shared" si="2"/>
        <v>0</v>
      </c>
      <c r="BI30" s="187">
        <f>IF(A30-'Invoer gegevens'!$C$17&lt;0,0,IF(A30-'Invoer gegevens'!$C$17=0,1,IF(A30-'Invoer gegevens'!$C$17&lt;5,2,IF(A30-'Invoer gegevens'!$C$17&lt;15,3,4))))</f>
        <v>0</v>
      </c>
      <c r="BJ30" s="229">
        <f>IF(BI30&lt;1,0,IF(BI30&lt;2,4%,IF('Reeksen (N)'!BI30&lt;3,4%,IF('Reeksen (N)'!BI30&lt;4,4%*70%,IF('Reeksen (N)'!BI30&lt;5,4%*50%)))))</f>
        <v>0</v>
      </c>
    </row>
    <row r="31" spans="1:62" x14ac:dyDescent="0.25">
      <c r="A31" s="184">
        <f t="shared" si="15"/>
        <v>26</v>
      </c>
      <c r="B31" s="179">
        <f>Dashboard!$D$25</f>
        <v>0</v>
      </c>
      <c r="C31" s="179">
        <f>Dashboard!$D$25</f>
        <v>0</v>
      </c>
      <c r="D31" s="180">
        <f t="shared" si="4"/>
        <v>0</v>
      </c>
      <c r="F31" s="184">
        <f t="shared" ca="1" si="16"/>
        <v>2045</v>
      </c>
      <c r="G31" s="179">
        <f t="shared" si="39"/>
        <v>0.02</v>
      </c>
      <c r="H31" s="182">
        <f t="shared" si="17"/>
        <v>1.68259674179172</v>
      </c>
      <c r="I31" s="179">
        <f t="shared" si="40"/>
        <v>2.5000000000000001E-2</v>
      </c>
      <c r="J31" s="182">
        <f t="shared" si="18"/>
        <v>1.9135485155907246</v>
      </c>
      <c r="K31" s="179">
        <f t="shared" si="41"/>
        <v>2.5000000000000001E-2</v>
      </c>
      <c r="L31" s="182">
        <f t="shared" si="19"/>
        <v>1.9135485155907246</v>
      </c>
      <c r="N31" s="184">
        <f t="shared" ca="1" si="20"/>
        <v>2045</v>
      </c>
      <c r="O31" s="179">
        <f t="shared" si="36"/>
        <v>0.02</v>
      </c>
      <c r="P31" s="182">
        <f t="shared" si="21"/>
        <v>1.6809634408182557</v>
      </c>
      <c r="R31" s="184">
        <f t="shared" ca="1" si="22"/>
        <v>2045</v>
      </c>
      <c r="S31" s="188">
        <f t="shared" si="38"/>
        <v>5.3600000000000002E-3</v>
      </c>
      <c r="U31" s="184">
        <f t="shared" ca="1" si="23"/>
        <v>2045</v>
      </c>
      <c r="V31" s="182">
        <f t="shared" si="5"/>
        <v>0.02</v>
      </c>
      <c r="W31" s="180">
        <f>Parameters!$D$15</f>
        <v>5.0000000000000001E-3</v>
      </c>
      <c r="X31" s="182">
        <f t="shared" si="6"/>
        <v>2.5000000000000001E-2</v>
      </c>
      <c r="Y31" s="182">
        <f t="shared" si="24"/>
        <v>1.9154347146840431</v>
      </c>
      <c r="AB31" s="184">
        <f t="shared" ca="1" si="25"/>
        <v>2045</v>
      </c>
      <c r="AC31" s="171">
        <f t="shared" si="7"/>
        <v>0</v>
      </c>
      <c r="AD31" s="171">
        <f t="shared" si="0"/>
        <v>0</v>
      </c>
      <c r="AE31" s="171">
        <f t="shared" si="37"/>
        <v>1158.7503632669427</v>
      </c>
      <c r="AF31" s="171">
        <f t="shared" si="26"/>
        <v>0</v>
      </c>
      <c r="AG31" s="171">
        <f t="shared" si="27"/>
        <v>0</v>
      </c>
      <c r="AH31" s="171">
        <f t="shared" si="8"/>
        <v>0</v>
      </c>
      <c r="AI31" s="171">
        <f t="shared" si="9"/>
        <v>0</v>
      </c>
      <c r="AJ31" s="171">
        <f>IF('Invoer gegevens'!$I$27="DAEB",SMALL(AC31:AD31,1),AC31)</f>
        <v>0</v>
      </c>
      <c r="AK31" s="171">
        <f>IF('Invoer gegevens'!$I$27="DAEB",SMALL((AE31:AH31),1),SMALL((AF31:AH31),1))</f>
        <v>0</v>
      </c>
      <c r="AL31" s="171">
        <f t="shared" si="33"/>
        <v>0</v>
      </c>
      <c r="AM31" s="171">
        <f t="shared" si="34"/>
        <v>0</v>
      </c>
      <c r="AN31" s="175">
        <f t="shared" si="28"/>
        <v>0</v>
      </c>
      <c r="AP31" s="184">
        <f t="shared" ca="1" si="29"/>
        <v>2045</v>
      </c>
      <c r="AQ31" s="185">
        <f t="shared" si="10"/>
        <v>0.02</v>
      </c>
      <c r="AR31" s="182">
        <f t="shared" si="30"/>
        <v>1.6809634408182557</v>
      </c>
      <c r="AU31" s="184">
        <f t="shared" ca="1" si="31"/>
        <v>2045</v>
      </c>
      <c r="AV31" s="182">
        <f t="shared" si="11"/>
        <v>0.02</v>
      </c>
      <c r="AW31" s="179">
        <f t="shared" si="12"/>
        <v>5.0000000000000001E-3</v>
      </c>
      <c r="AX31" s="182">
        <f t="shared" si="13"/>
        <v>2.5000000000000001E-2</v>
      </c>
      <c r="AY31" s="186"/>
      <c r="BA31" s="184">
        <f t="shared" ca="1" si="32"/>
        <v>2045</v>
      </c>
      <c r="BB31" s="171">
        <f t="shared" si="14"/>
        <v>0</v>
      </c>
      <c r="BC31" s="171">
        <f t="shared" si="1"/>
        <v>1158.7503632669427</v>
      </c>
      <c r="BD31" s="171">
        <f t="shared" si="2"/>
        <v>0</v>
      </c>
      <c r="BE31" s="171">
        <f t="shared" si="2"/>
        <v>0</v>
      </c>
      <c r="BF31" s="171">
        <f t="shared" si="2"/>
        <v>0</v>
      </c>
      <c r="BG31" s="171">
        <f t="shared" si="2"/>
        <v>0</v>
      </c>
      <c r="BI31" s="187">
        <f>IF(A31-'Invoer gegevens'!$C$17&lt;0,0,IF(A31-'Invoer gegevens'!$C$17=0,1,IF(A31-'Invoer gegevens'!$C$17&lt;5,2,IF(A31-'Invoer gegevens'!$C$17&lt;15,3,4))))</f>
        <v>0</v>
      </c>
      <c r="BJ31" s="229">
        <f>IF(BI31&lt;1,0,IF(BI31&lt;2,4%,IF('Reeksen (N)'!BI31&lt;3,4%,IF('Reeksen (N)'!BI31&lt;4,4%*70%,IF('Reeksen (N)'!BI31&lt;5,4%*50%)))))</f>
        <v>0</v>
      </c>
    </row>
    <row r="32" spans="1:62" x14ac:dyDescent="0.25">
      <c r="A32" s="184">
        <f t="shared" si="15"/>
        <v>27</v>
      </c>
      <c r="B32" s="179">
        <f>Dashboard!$D$25</f>
        <v>0</v>
      </c>
      <c r="C32" s="179">
        <f>Dashboard!$D$25</f>
        <v>0</v>
      </c>
      <c r="D32" s="180">
        <f t="shared" si="4"/>
        <v>0</v>
      </c>
      <c r="F32" s="184">
        <f t="shared" ca="1" si="16"/>
        <v>2046</v>
      </c>
      <c r="G32" s="179">
        <f t="shared" si="39"/>
        <v>0.02</v>
      </c>
      <c r="H32" s="182">
        <f t="shared" si="17"/>
        <v>1.7162486766275544</v>
      </c>
      <c r="I32" s="179">
        <f t="shared" si="40"/>
        <v>2.5000000000000001E-2</v>
      </c>
      <c r="J32" s="182">
        <f t="shared" si="18"/>
        <v>1.9613872284804925</v>
      </c>
      <c r="K32" s="179">
        <f t="shared" si="41"/>
        <v>2.5000000000000001E-2</v>
      </c>
      <c r="L32" s="182">
        <f t="shared" si="19"/>
        <v>1.9613872284804925</v>
      </c>
      <c r="N32" s="184">
        <f t="shared" ca="1" si="20"/>
        <v>2046</v>
      </c>
      <c r="O32" s="179">
        <f t="shared" si="36"/>
        <v>0.02</v>
      </c>
      <c r="P32" s="182">
        <f t="shared" si="21"/>
        <v>1.7145827096346209</v>
      </c>
      <c r="R32" s="184">
        <f t="shared" ca="1" si="22"/>
        <v>2046</v>
      </c>
      <c r="S32" s="188">
        <f t="shared" si="38"/>
        <v>5.3600000000000002E-3</v>
      </c>
      <c r="U32" s="184">
        <f t="shared" ca="1" si="23"/>
        <v>2046</v>
      </c>
      <c r="V32" s="182">
        <f t="shared" si="5"/>
        <v>0.02</v>
      </c>
      <c r="W32" s="180">
        <f>Parameters!$D$15</f>
        <v>5.0000000000000001E-3</v>
      </c>
      <c r="X32" s="182">
        <f t="shared" si="6"/>
        <v>2.5000000000000001E-2</v>
      </c>
      <c r="Y32" s="182">
        <f t="shared" si="24"/>
        <v>1.9633205825511439</v>
      </c>
      <c r="AB32" s="184">
        <f t="shared" ca="1" si="25"/>
        <v>2046</v>
      </c>
      <c r="AC32" s="171">
        <f t="shared" si="7"/>
        <v>0</v>
      </c>
      <c r="AD32" s="171">
        <f t="shared" si="0"/>
        <v>0</v>
      </c>
      <c r="AE32" s="171">
        <f t="shared" si="37"/>
        <v>1181.9253705322815</v>
      </c>
      <c r="AF32" s="171">
        <f t="shared" si="26"/>
        <v>0</v>
      </c>
      <c r="AG32" s="171">
        <f t="shared" si="27"/>
        <v>0</v>
      </c>
      <c r="AH32" s="171">
        <f t="shared" si="8"/>
        <v>0</v>
      </c>
      <c r="AI32" s="171">
        <f t="shared" si="9"/>
        <v>0</v>
      </c>
      <c r="AJ32" s="171">
        <f>IF('Invoer gegevens'!$I$27="DAEB",SMALL(AC32:AD32,1),AC32)</f>
        <v>0</v>
      </c>
      <c r="AK32" s="171">
        <f>IF('Invoer gegevens'!$I$27="DAEB",SMALL((AE32:AH32),1),SMALL((AF32:AH32),1))</f>
        <v>0</v>
      </c>
      <c r="AL32" s="171">
        <f t="shared" si="33"/>
        <v>0</v>
      </c>
      <c r="AM32" s="171">
        <f t="shared" si="34"/>
        <v>0</v>
      </c>
      <c r="AN32" s="175">
        <f t="shared" si="28"/>
        <v>0</v>
      </c>
      <c r="AP32" s="184">
        <f t="shared" ca="1" si="29"/>
        <v>2046</v>
      </c>
      <c r="AQ32" s="185">
        <f t="shared" si="10"/>
        <v>0.02</v>
      </c>
      <c r="AR32" s="182">
        <f t="shared" si="30"/>
        <v>1.7145827096346209</v>
      </c>
      <c r="AU32" s="184">
        <f t="shared" ca="1" si="31"/>
        <v>2046</v>
      </c>
      <c r="AV32" s="182">
        <f t="shared" si="11"/>
        <v>0.02</v>
      </c>
      <c r="AW32" s="179">
        <f t="shared" si="12"/>
        <v>5.0000000000000001E-3</v>
      </c>
      <c r="AX32" s="182">
        <f t="shared" si="13"/>
        <v>2.5000000000000001E-2</v>
      </c>
      <c r="AY32" s="186"/>
      <c r="BA32" s="184">
        <f t="shared" ca="1" si="32"/>
        <v>2046</v>
      </c>
      <c r="BB32" s="171">
        <f t="shared" si="14"/>
        <v>0</v>
      </c>
      <c r="BC32" s="171">
        <f t="shared" si="1"/>
        <v>1181.9253705322815</v>
      </c>
      <c r="BD32" s="171">
        <f t="shared" si="2"/>
        <v>0</v>
      </c>
      <c r="BE32" s="171">
        <f t="shared" si="2"/>
        <v>0</v>
      </c>
      <c r="BF32" s="171">
        <f t="shared" si="2"/>
        <v>0</v>
      </c>
      <c r="BG32" s="171">
        <f t="shared" si="2"/>
        <v>0</v>
      </c>
      <c r="BI32" s="187">
        <f>IF(A32-'Invoer gegevens'!$C$17&lt;0,0,IF(A32-'Invoer gegevens'!$C$17=0,1,IF(A32-'Invoer gegevens'!$C$17&lt;5,2,IF(A32-'Invoer gegevens'!$C$17&lt;15,3,4))))</f>
        <v>0</v>
      </c>
      <c r="BJ32" s="229">
        <f>IF(BI32&lt;1,0,IF(BI32&lt;2,4%,IF('Reeksen (N)'!BI32&lt;3,4%,IF('Reeksen (N)'!BI32&lt;4,4%*70%,IF('Reeksen (N)'!BI32&lt;5,4%*50%)))))</f>
        <v>0</v>
      </c>
    </row>
    <row r="33" spans="1:62" x14ac:dyDescent="0.25">
      <c r="A33" s="184">
        <f t="shared" si="15"/>
        <v>28</v>
      </c>
      <c r="B33" s="179">
        <f>Dashboard!$D$25</f>
        <v>0</v>
      </c>
      <c r="C33" s="179">
        <f>Dashboard!$D$25</f>
        <v>0</v>
      </c>
      <c r="D33" s="180">
        <f t="shared" si="4"/>
        <v>0</v>
      </c>
      <c r="F33" s="184">
        <f t="shared" ca="1" si="16"/>
        <v>2047</v>
      </c>
      <c r="G33" s="179">
        <f t="shared" si="39"/>
        <v>0.02</v>
      </c>
      <c r="H33" s="182">
        <f t="shared" si="17"/>
        <v>1.7505736501601055</v>
      </c>
      <c r="I33" s="179">
        <f t="shared" si="40"/>
        <v>2.5000000000000001E-2</v>
      </c>
      <c r="J33" s="182">
        <f t="shared" si="18"/>
        <v>2.0104219091925049</v>
      </c>
      <c r="K33" s="179">
        <f t="shared" si="41"/>
        <v>2.5000000000000001E-2</v>
      </c>
      <c r="L33" s="182">
        <f t="shared" si="19"/>
        <v>2.0104219091925049</v>
      </c>
      <c r="N33" s="184">
        <f t="shared" ca="1" si="20"/>
        <v>2047</v>
      </c>
      <c r="O33" s="179">
        <f t="shared" si="36"/>
        <v>0.02</v>
      </c>
      <c r="P33" s="182">
        <f t="shared" si="21"/>
        <v>1.7488743638273134</v>
      </c>
      <c r="R33" s="184">
        <f t="shared" ca="1" si="22"/>
        <v>2047</v>
      </c>
      <c r="S33" s="188">
        <f t="shared" si="38"/>
        <v>5.3600000000000002E-3</v>
      </c>
      <c r="U33" s="184">
        <f t="shared" ca="1" si="23"/>
        <v>2047</v>
      </c>
      <c r="V33" s="182">
        <f t="shared" si="5"/>
        <v>0.02</v>
      </c>
      <c r="W33" s="180">
        <f>Parameters!$D$15</f>
        <v>5.0000000000000001E-3</v>
      </c>
      <c r="X33" s="182">
        <f t="shared" si="6"/>
        <v>2.5000000000000001E-2</v>
      </c>
      <c r="Y33" s="182">
        <f t="shared" si="24"/>
        <v>2.0124035971149223</v>
      </c>
      <c r="AB33" s="184">
        <f t="shared" ca="1" si="25"/>
        <v>2047</v>
      </c>
      <c r="AC33" s="171">
        <f t="shared" si="7"/>
        <v>0</v>
      </c>
      <c r="AD33" s="171">
        <f t="shared" si="0"/>
        <v>0</v>
      </c>
      <c r="AE33" s="171">
        <f t="shared" si="37"/>
        <v>1205.5638779429271</v>
      </c>
      <c r="AF33" s="171">
        <f t="shared" si="26"/>
        <v>0</v>
      </c>
      <c r="AG33" s="171">
        <f t="shared" si="27"/>
        <v>0</v>
      </c>
      <c r="AH33" s="171">
        <f t="shared" si="8"/>
        <v>0</v>
      </c>
      <c r="AI33" s="171">
        <f t="shared" si="9"/>
        <v>0</v>
      </c>
      <c r="AJ33" s="171">
        <f>IF('Invoer gegevens'!$I$27="DAEB",SMALL(AC33:AD33,1),AC33)</f>
        <v>0</v>
      </c>
      <c r="AK33" s="171">
        <f>IF('Invoer gegevens'!$I$27="DAEB",SMALL((AE33:AH33),1),SMALL((AF33:AH33),1))</f>
        <v>0</v>
      </c>
      <c r="AL33" s="171">
        <f t="shared" si="33"/>
        <v>0</v>
      </c>
      <c r="AM33" s="171">
        <f t="shared" si="34"/>
        <v>0</v>
      </c>
      <c r="AN33" s="175">
        <f t="shared" si="28"/>
        <v>0</v>
      </c>
      <c r="AP33" s="184">
        <f t="shared" ca="1" si="29"/>
        <v>2047</v>
      </c>
      <c r="AQ33" s="185">
        <f t="shared" si="10"/>
        <v>0.02</v>
      </c>
      <c r="AR33" s="182">
        <f t="shared" si="30"/>
        <v>1.7488743638273134</v>
      </c>
      <c r="AU33" s="184">
        <f t="shared" ca="1" si="31"/>
        <v>2047</v>
      </c>
      <c r="AV33" s="182">
        <f t="shared" si="11"/>
        <v>0.02</v>
      </c>
      <c r="AW33" s="179">
        <f t="shared" si="12"/>
        <v>5.0000000000000001E-3</v>
      </c>
      <c r="AX33" s="182">
        <f t="shared" si="13"/>
        <v>2.5000000000000001E-2</v>
      </c>
      <c r="AY33" s="186"/>
      <c r="BA33" s="184">
        <f t="shared" ca="1" si="32"/>
        <v>2047</v>
      </c>
      <c r="BB33" s="171">
        <f t="shared" si="14"/>
        <v>0</v>
      </c>
      <c r="BC33" s="171">
        <f t="shared" si="1"/>
        <v>1205.5638779429271</v>
      </c>
      <c r="BD33" s="171">
        <f t="shared" ref="BD33:BD64" si="42">AH33</f>
        <v>0</v>
      </c>
      <c r="BE33" s="171">
        <f t="shared" ref="BE33:BG96" si="43">AI33</f>
        <v>0</v>
      </c>
      <c r="BF33" s="171">
        <f t="shared" si="43"/>
        <v>0</v>
      </c>
      <c r="BG33" s="171">
        <f t="shared" si="43"/>
        <v>0</v>
      </c>
      <c r="BI33" s="187">
        <f>IF(A33-'Invoer gegevens'!$C$17&lt;0,0,IF(A33-'Invoer gegevens'!$C$17=0,1,IF(A33-'Invoer gegevens'!$C$17&lt;5,2,IF(A33-'Invoer gegevens'!$C$17&lt;15,3,4))))</f>
        <v>0</v>
      </c>
      <c r="BJ33" s="229">
        <f>IF(BI33&lt;1,0,IF(BI33&lt;2,4%,IF('Reeksen (N)'!BI33&lt;3,4%,IF('Reeksen (N)'!BI33&lt;4,4%*70%,IF('Reeksen (N)'!BI33&lt;5,4%*50%)))))</f>
        <v>0</v>
      </c>
    </row>
    <row r="34" spans="1:62" x14ac:dyDescent="0.25">
      <c r="A34" s="184">
        <f t="shared" si="15"/>
        <v>29</v>
      </c>
      <c r="B34" s="179">
        <f>Dashboard!$D$25</f>
        <v>0</v>
      </c>
      <c r="C34" s="179">
        <f>Dashboard!$D$25</f>
        <v>0</v>
      </c>
      <c r="D34" s="180">
        <f t="shared" si="4"/>
        <v>0</v>
      </c>
      <c r="F34" s="184">
        <f t="shared" ca="1" si="16"/>
        <v>2048</v>
      </c>
      <c r="G34" s="179">
        <f t="shared" si="39"/>
        <v>0.02</v>
      </c>
      <c r="H34" s="182">
        <f t="shared" si="17"/>
        <v>1.7855851231633075</v>
      </c>
      <c r="I34" s="179">
        <f t="shared" si="40"/>
        <v>2.5000000000000001E-2</v>
      </c>
      <c r="J34" s="182">
        <f t="shared" si="18"/>
        <v>2.0606824569223172</v>
      </c>
      <c r="K34" s="179">
        <f t="shared" si="41"/>
        <v>2.5000000000000001E-2</v>
      </c>
      <c r="L34" s="182">
        <f t="shared" si="19"/>
        <v>2.0606824569223172</v>
      </c>
      <c r="N34" s="184">
        <f t="shared" ca="1" si="20"/>
        <v>2048</v>
      </c>
      <c r="O34" s="179">
        <f t="shared" si="36"/>
        <v>0.02</v>
      </c>
      <c r="P34" s="182">
        <f t="shared" si="21"/>
        <v>1.7838518511038597</v>
      </c>
      <c r="R34" s="184">
        <f t="shared" ca="1" si="22"/>
        <v>2048</v>
      </c>
      <c r="S34" s="188">
        <f t="shared" si="38"/>
        <v>5.3600000000000002E-3</v>
      </c>
      <c r="U34" s="184">
        <f t="shared" ca="1" si="23"/>
        <v>2048</v>
      </c>
      <c r="V34" s="182">
        <f t="shared" si="5"/>
        <v>0.02</v>
      </c>
      <c r="W34" s="180">
        <f>Parameters!$D$15</f>
        <v>5.0000000000000001E-3</v>
      </c>
      <c r="X34" s="182">
        <f t="shared" si="6"/>
        <v>2.5000000000000001E-2</v>
      </c>
      <c r="Y34" s="182">
        <f t="shared" si="24"/>
        <v>2.0627136870427951</v>
      </c>
      <c r="AB34" s="184">
        <f t="shared" ca="1" si="25"/>
        <v>2048</v>
      </c>
      <c r="AC34" s="171">
        <f t="shared" si="7"/>
        <v>0</v>
      </c>
      <c r="AD34" s="171">
        <f t="shared" si="0"/>
        <v>0</v>
      </c>
      <c r="AE34" s="171">
        <f t="shared" si="37"/>
        <v>1229.6751555017856</v>
      </c>
      <c r="AF34" s="171">
        <f t="shared" si="26"/>
        <v>0</v>
      </c>
      <c r="AG34" s="171">
        <f t="shared" si="27"/>
        <v>0</v>
      </c>
      <c r="AH34" s="171">
        <f t="shared" si="8"/>
        <v>0</v>
      </c>
      <c r="AI34" s="171">
        <f t="shared" si="9"/>
        <v>0</v>
      </c>
      <c r="AJ34" s="171">
        <f>IF('Invoer gegevens'!$I$27="DAEB",SMALL(AC34:AD34,1),AC34)</f>
        <v>0</v>
      </c>
      <c r="AK34" s="171">
        <f>IF('Invoer gegevens'!$I$27="DAEB",SMALL((AE34:AH34),1),SMALL((AF34:AH34),1))</f>
        <v>0</v>
      </c>
      <c r="AL34" s="171">
        <f t="shared" si="33"/>
        <v>0</v>
      </c>
      <c r="AM34" s="171">
        <f t="shared" si="34"/>
        <v>0</v>
      </c>
      <c r="AN34" s="175">
        <f t="shared" si="28"/>
        <v>0</v>
      </c>
      <c r="AP34" s="184">
        <f t="shared" ca="1" si="29"/>
        <v>2048</v>
      </c>
      <c r="AQ34" s="185">
        <f t="shared" si="10"/>
        <v>0.02</v>
      </c>
      <c r="AR34" s="182">
        <f t="shared" si="30"/>
        <v>1.7838518511038597</v>
      </c>
      <c r="AU34" s="184">
        <f t="shared" ca="1" si="31"/>
        <v>2048</v>
      </c>
      <c r="AV34" s="182">
        <f t="shared" si="11"/>
        <v>0.02</v>
      </c>
      <c r="AW34" s="179">
        <f t="shared" si="12"/>
        <v>5.0000000000000001E-3</v>
      </c>
      <c r="AX34" s="182">
        <f t="shared" si="13"/>
        <v>2.5000000000000001E-2</v>
      </c>
      <c r="AY34" s="186"/>
      <c r="BA34" s="184">
        <f t="shared" ca="1" si="32"/>
        <v>2048</v>
      </c>
      <c r="BB34" s="171">
        <f t="shared" si="14"/>
        <v>0</v>
      </c>
      <c r="BC34" s="171">
        <f t="shared" si="1"/>
        <v>1229.6751555017856</v>
      </c>
      <c r="BD34" s="171">
        <f t="shared" si="42"/>
        <v>0</v>
      </c>
      <c r="BE34" s="171">
        <f t="shared" si="43"/>
        <v>0</v>
      </c>
      <c r="BF34" s="171">
        <f t="shared" si="43"/>
        <v>0</v>
      </c>
      <c r="BG34" s="171">
        <f t="shared" si="43"/>
        <v>0</v>
      </c>
      <c r="BI34" s="187">
        <f>IF(A34-'Invoer gegevens'!$C$17&lt;0,0,IF(A34-'Invoer gegevens'!$C$17=0,1,IF(A34-'Invoer gegevens'!$C$17&lt;5,2,IF(A34-'Invoer gegevens'!$C$17&lt;15,3,4))))</f>
        <v>0</v>
      </c>
      <c r="BJ34" s="229">
        <f>IF(BI34&lt;1,0,IF(BI34&lt;2,4%,IF('Reeksen (N)'!BI34&lt;3,4%,IF('Reeksen (N)'!BI34&lt;4,4%*70%,IF('Reeksen (N)'!BI34&lt;5,4%*50%)))))</f>
        <v>0</v>
      </c>
    </row>
    <row r="35" spans="1:62" x14ac:dyDescent="0.25">
      <c r="A35" s="184">
        <f t="shared" si="15"/>
        <v>30</v>
      </c>
      <c r="B35" s="179">
        <f>Dashboard!$D$25</f>
        <v>0</v>
      </c>
      <c r="C35" s="179">
        <f>Dashboard!$D$25</f>
        <v>0</v>
      </c>
      <c r="D35" s="180">
        <f t="shared" si="4"/>
        <v>0</v>
      </c>
      <c r="F35" s="184">
        <f t="shared" ca="1" si="16"/>
        <v>2049</v>
      </c>
      <c r="G35" s="179">
        <f t="shared" si="39"/>
        <v>0.02</v>
      </c>
      <c r="H35" s="182">
        <f t="shared" si="17"/>
        <v>1.8212968256265738</v>
      </c>
      <c r="I35" s="179">
        <f t="shared" si="40"/>
        <v>2.5000000000000001E-2</v>
      </c>
      <c r="J35" s="182">
        <f t="shared" si="18"/>
        <v>2.112199518345375</v>
      </c>
      <c r="K35" s="179">
        <f t="shared" si="41"/>
        <v>2.5000000000000001E-2</v>
      </c>
      <c r="L35" s="182">
        <f t="shared" si="19"/>
        <v>2.112199518345375</v>
      </c>
      <c r="N35" s="184">
        <f t="shared" ca="1" si="20"/>
        <v>2049</v>
      </c>
      <c r="O35" s="179">
        <f t="shared" si="36"/>
        <v>0.02</v>
      </c>
      <c r="P35" s="182">
        <f t="shared" si="21"/>
        <v>1.8195288881259368</v>
      </c>
      <c r="R35" s="184">
        <f t="shared" ca="1" si="22"/>
        <v>2049</v>
      </c>
      <c r="S35" s="188">
        <f t="shared" si="38"/>
        <v>5.3600000000000002E-3</v>
      </c>
      <c r="U35" s="184">
        <f t="shared" ca="1" si="23"/>
        <v>2049</v>
      </c>
      <c r="V35" s="182">
        <f t="shared" si="5"/>
        <v>0.02</v>
      </c>
      <c r="W35" s="180">
        <f>Parameters!$D$15</f>
        <v>5.0000000000000001E-3</v>
      </c>
      <c r="X35" s="182">
        <f t="shared" si="6"/>
        <v>2.5000000000000001E-2</v>
      </c>
      <c r="Y35" s="182">
        <f t="shared" si="24"/>
        <v>2.1142815292188648</v>
      </c>
      <c r="AB35" s="184">
        <f t="shared" ca="1" si="25"/>
        <v>2049</v>
      </c>
      <c r="AC35" s="171">
        <f t="shared" si="7"/>
        <v>0</v>
      </c>
      <c r="AD35" s="171">
        <f t="shared" si="0"/>
        <v>0</v>
      </c>
      <c r="AE35" s="171">
        <f t="shared" si="37"/>
        <v>1254.2686586118214</v>
      </c>
      <c r="AF35" s="171">
        <f t="shared" si="26"/>
        <v>0</v>
      </c>
      <c r="AG35" s="171">
        <f t="shared" si="27"/>
        <v>0</v>
      </c>
      <c r="AH35" s="171">
        <f t="shared" si="8"/>
        <v>0</v>
      </c>
      <c r="AI35" s="171">
        <f t="shared" si="9"/>
        <v>0</v>
      </c>
      <c r="AJ35" s="171">
        <f>IF('Invoer gegevens'!$I$27="DAEB",SMALL(AC35:AD35,1),AC35)</f>
        <v>0</v>
      </c>
      <c r="AK35" s="171">
        <f>IF('Invoer gegevens'!$I$27="DAEB",SMALL((AE35:AH35),1),SMALL((AF35:AH35),1))</f>
        <v>0</v>
      </c>
      <c r="AL35" s="171">
        <f t="shared" si="33"/>
        <v>0</v>
      </c>
      <c r="AM35" s="171">
        <f t="shared" si="34"/>
        <v>0</v>
      </c>
      <c r="AN35" s="175">
        <f t="shared" si="28"/>
        <v>0</v>
      </c>
      <c r="AP35" s="184">
        <f t="shared" ca="1" si="29"/>
        <v>2049</v>
      </c>
      <c r="AQ35" s="185">
        <f t="shared" si="10"/>
        <v>0.02</v>
      </c>
      <c r="AR35" s="182">
        <f t="shared" si="30"/>
        <v>1.8195288881259368</v>
      </c>
      <c r="AU35" s="184">
        <f t="shared" ca="1" si="31"/>
        <v>2049</v>
      </c>
      <c r="AV35" s="182">
        <f t="shared" si="11"/>
        <v>0.02</v>
      </c>
      <c r="AW35" s="179">
        <f t="shared" si="12"/>
        <v>5.0000000000000001E-3</v>
      </c>
      <c r="AX35" s="182">
        <f t="shared" si="13"/>
        <v>2.5000000000000001E-2</v>
      </c>
      <c r="AY35" s="186"/>
      <c r="BA35" s="184">
        <f t="shared" ca="1" si="32"/>
        <v>2049</v>
      </c>
      <c r="BB35" s="171">
        <f t="shared" si="14"/>
        <v>0</v>
      </c>
      <c r="BC35" s="171">
        <f t="shared" si="1"/>
        <v>1254.2686586118214</v>
      </c>
      <c r="BD35" s="171">
        <f t="shared" si="42"/>
        <v>0</v>
      </c>
      <c r="BE35" s="171">
        <f t="shared" si="43"/>
        <v>0</v>
      </c>
      <c r="BF35" s="171">
        <f t="shared" si="43"/>
        <v>0</v>
      </c>
      <c r="BG35" s="171">
        <f t="shared" si="43"/>
        <v>0</v>
      </c>
      <c r="BI35" s="187">
        <f>IF(A35-'Invoer gegevens'!$C$17&lt;0,0,IF(A35-'Invoer gegevens'!$C$17=0,1,IF(A35-'Invoer gegevens'!$C$17&lt;5,2,IF(A35-'Invoer gegevens'!$C$17&lt;15,3,4))))</f>
        <v>0</v>
      </c>
      <c r="BJ35" s="229">
        <f>IF(BI35&lt;1,0,IF(BI35&lt;2,4%,IF('Reeksen (N)'!BI35&lt;3,4%,IF('Reeksen (N)'!BI35&lt;4,4%*70%,IF('Reeksen (N)'!BI35&lt;5,4%*50%)))))</f>
        <v>0</v>
      </c>
    </row>
    <row r="36" spans="1:62" x14ac:dyDescent="0.25">
      <c r="A36" s="184">
        <f t="shared" si="15"/>
        <v>31</v>
      </c>
      <c r="B36" s="179">
        <f>Dashboard!$D$25</f>
        <v>0</v>
      </c>
      <c r="C36" s="179">
        <f>Dashboard!$D$25</f>
        <v>0</v>
      </c>
      <c r="D36" s="180">
        <f t="shared" si="4"/>
        <v>0</v>
      </c>
      <c r="F36" s="184">
        <f t="shared" ca="1" si="16"/>
        <v>2050</v>
      </c>
      <c r="G36" s="179">
        <f t="shared" si="39"/>
        <v>0.02</v>
      </c>
      <c r="H36" s="182">
        <f t="shared" si="17"/>
        <v>1.8577227621391053</v>
      </c>
      <c r="I36" s="179">
        <f t="shared" si="40"/>
        <v>2.5000000000000001E-2</v>
      </c>
      <c r="J36" s="182">
        <f t="shared" si="18"/>
        <v>2.1650045063040091</v>
      </c>
      <c r="K36" s="179">
        <f t="shared" si="41"/>
        <v>2.5000000000000001E-2</v>
      </c>
      <c r="L36" s="182">
        <f t="shared" si="19"/>
        <v>2.1650045063040091</v>
      </c>
      <c r="N36" s="184">
        <f t="shared" ca="1" si="20"/>
        <v>2050</v>
      </c>
      <c r="O36" s="179">
        <f t="shared" si="36"/>
        <v>0.02</v>
      </c>
      <c r="P36" s="182">
        <f t="shared" si="21"/>
        <v>1.8559194658884557</v>
      </c>
      <c r="R36" s="184">
        <f t="shared" ca="1" si="22"/>
        <v>2050</v>
      </c>
      <c r="S36" s="188">
        <f t="shared" si="38"/>
        <v>5.3600000000000002E-3</v>
      </c>
      <c r="U36" s="184">
        <f t="shared" ca="1" si="23"/>
        <v>2050</v>
      </c>
      <c r="V36" s="182">
        <f t="shared" si="5"/>
        <v>0.02</v>
      </c>
      <c r="W36" s="180">
        <f>Parameters!$D$15</f>
        <v>5.0000000000000001E-3</v>
      </c>
      <c r="X36" s="182">
        <f t="shared" si="6"/>
        <v>2.5000000000000001E-2</v>
      </c>
      <c r="Y36" s="182">
        <f t="shared" si="24"/>
        <v>2.1671385674493364</v>
      </c>
      <c r="AB36" s="184">
        <f t="shared" ca="1" si="25"/>
        <v>2050</v>
      </c>
      <c r="AC36" s="171">
        <f t="shared" si="7"/>
        <v>0</v>
      </c>
      <c r="AD36" s="171">
        <f t="shared" si="0"/>
        <v>0</v>
      </c>
      <c r="AE36" s="171">
        <f t="shared" si="37"/>
        <v>1279.3540317840577</v>
      </c>
      <c r="AF36" s="171">
        <f t="shared" si="26"/>
        <v>0</v>
      </c>
      <c r="AG36" s="171">
        <f t="shared" si="27"/>
        <v>0</v>
      </c>
      <c r="AH36" s="171">
        <f t="shared" si="8"/>
        <v>0</v>
      </c>
      <c r="AI36" s="171">
        <f t="shared" si="9"/>
        <v>0</v>
      </c>
      <c r="AJ36" s="171">
        <f>IF('Invoer gegevens'!$I$27="DAEB",SMALL(AC36:AD36,1),AC36)</f>
        <v>0</v>
      </c>
      <c r="AK36" s="171">
        <f>IF('Invoer gegevens'!$I$27="DAEB",SMALL((AE36:AH36),1),SMALL((AF36:AH36),1))</f>
        <v>0</v>
      </c>
      <c r="AL36" s="171">
        <f t="shared" si="33"/>
        <v>0</v>
      </c>
      <c r="AM36" s="171">
        <f t="shared" si="34"/>
        <v>0</v>
      </c>
      <c r="AN36" s="175">
        <f t="shared" si="28"/>
        <v>0</v>
      </c>
      <c r="AP36" s="184">
        <f t="shared" ca="1" si="29"/>
        <v>2050</v>
      </c>
      <c r="AQ36" s="185">
        <f t="shared" si="10"/>
        <v>0.02</v>
      </c>
      <c r="AR36" s="182">
        <f t="shared" si="30"/>
        <v>1.8559194658884557</v>
      </c>
      <c r="AU36" s="184">
        <f t="shared" ca="1" si="31"/>
        <v>2050</v>
      </c>
      <c r="AV36" s="182">
        <f t="shared" si="11"/>
        <v>0.02</v>
      </c>
      <c r="AW36" s="179">
        <f t="shared" si="12"/>
        <v>5.0000000000000001E-3</v>
      </c>
      <c r="AX36" s="182">
        <f t="shared" si="13"/>
        <v>2.5000000000000001E-2</v>
      </c>
      <c r="AY36" s="186"/>
      <c r="BA36" s="184">
        <f t="shared" ca="1" si="32"/>
        <v>2050</v>
      </c>
      <c r="BB36" s="171">
        <f t="shared" si="14"/>
        <v>0</v>
      </c>
      <c r="BC36" s="171">
        <f t="shared" si="1"/>
        <v>1279.3540317840577</v>
      </c>
      <c r="BD36" s="171">
        <f t="shared" si="42"/>
        <v>0</v>
      </c>
      <c r="BE36" s="171">
        <f t="shared" si="43"/>
        <v>0</v>
      </c>
      <c r="BF36" s="171">
        <f t="shared" si="43"/>
        <v>0</v>
      </c>
      <c r="BG36" s="171">
        <f t="shared" si="43"/>
        <v>0</v>
      </c>
      <c r="BI36" s="187">
        <f>IF(A36-'Invoer gegevens'!$C$17&lt;0,0,IF(A36-'Invoer gegevens'!$C$17=0,1,IF(A36-'Invoer gegevens'!$C$17&lt;5,2,IF(A36-'Invoer gegevens'!$C$17&lt;15,3,4))))</f>
        <v>0</v>
      </c>
      <c r="BJ36" s="229">
        <f>IF(BI36&lt;1,0,IF(BI36&lt;2,4%,IF('Reeksen (N)'!BI36&lt;3,4%,IF('Reeksen (N)'!BI36&lt;4,4%*70%,IF('Reeksen (N)'!BI36&lt;5,4%*50%)))))</f>
        <v>0</v>
      </c>
    </row>
    <row r="37" spans="1:62" x14ac:dyDescent="0.25">
      <c r="A37" s="184">
        <f t="shared" si="15"/>
        <v>32</v>
      </c>
      <c r="B37" s="179">
        <f>Dashboard!$D$25</f>
        <v>0</v>
      </c>
      <c r="C37" s="179">
        <f>Dashboard!$D$25</f>
        <v>0</v>
      </c>
      <c r="D37" s="180">
        <f t="shared" si="4"/>
        <v>0</v>
      </c>
      <c r="F37" s="184">
        <f t="shared" ca="1" si="16"/>
        <v>2051</v>
      </c>
      <c r="G37" s="179">
        <f t="shared" si="39"/>
        <v>0.02</v>
      </c>
      <c r="H37" s="182">
        <f t="shared" si="17"/>
        <v>1.8948772173818873</v>
      </c>
      <c r="I37" s="179">
        <f t="shared" si="40"/>
        <v>2.5000000000000001E-2</v>
      </c>
      <c r="J37" s="182">
        <f t="shared" si="18"/>
        <v>2.2191296189616092</v>
      </c>
      <c r="K37" s="179">
        <f t="shared" si="41"/>
        <v>2.5000000000000001E-2</v>
      </c>
      <c r="L37" s="182">
        <f t="shared" si="19"/>
        <v>2.2191296189616092</v>
      </c>
      <c r="N37" s="184">
        <f t="shared" ca="1" si="20"/>
        <v>2051</v>
      </c>
      <c r="O37" s="179">
        <f t="shared" si="36"/>
        <v>0.02</v>
      </c>
      <c r="P37" s="182">
        <f t="shared" si="21"/>
        <v>1.8930378552062248</v>
      </c>
      <c r="R37" s="184">
        <f t="shared" ca="1" si="22"/>
        <v>2051</v>
      </c>
      <c r="S37" s="188">
        <f t="shared" si="38"/>
        <v>5.3600000000000002E-3</v>
      </c>
      <c r="U37" s="184">
        <f t="shared" ca="1" si="23"/>
        <v>2051</v>
      </c>
      <c r="V37" s="182">
        <f t="shared" si="5"/>
        <v>0.02</v>
      </c>
      <c r="W37" s="180">
        <f>Parameters!$D$15</f>
        <v>5.0000000000000001E-3</v>
      </c>
      <c r="X37" s="182">
        <f t="shared" si="6"/>
        <v>2.5000000000000001E-2</v>
      </c>
      <c r="Y37" s="182">
        <f t="shared" si="24"/>
        <v>2.2213170316355697</v>
      </c>
      <c r="AB37" s="184">
        <f t="shared" ca="1" si="25"/>
        <v>2051</v>
      </c>
      <c r="AC37" s="171">
        <f t="shared" si="7"/>
        <v>0</v>
      </c>
      <c r="AD37" s="171">
        <f t="shared" si="0"/>
        <v>0</v>
      </c>
      <c r="AE37" s="171">
        <f t="shared" si="37"/>
        <v>1304.9411124197388</v>
      </c>
      <c r="AF37" s="171">
        <f t="shared" si="26"/>
        <v>0</v>
      </c>
      <c r="AG37" s="171">
        <f t="shared" si="27"/>
        <v>0</v>
      </c>
      <c r="AH37" s="171">
        <f t="shared" si="8"/>
        <v>0</v>
      </c>
      <c r="AI37" s="171">
        <f t="shared" si="9"/>
        <v>0</v>
      </c>
      <c r="AJ37" s="171">
        <f>IF('Invoer gegevens'!$I$27="DAEB",SMALL(AC37:AD37,1),AC37)</f>
        <v>0</v>
      </c>
      <c r="AK37" s="171">
        <f>IF('Invoer gegevens'!$I$27="DAEB",SMALL((AE37:AH37),1),SMALL((AF37:AH37),1))</f>
        <v>0</v>
      </c>
      <c r="AL37" s="171">
        <f t="shared" si="33"/>
        <v>0</v>
      </c>
      <c r="AM37" s="171">
        <f t="shared" si="34"/>
        <v>0</v>
      </c>
      <c r="AN37" s="175">
        <f t="shared" si="28"/>
        <v>0</v>
      </c>
      <c r="AP37" s="184">
        <f t="shared" ca="1" si="29"/>
        <v>2051</v>
      </c>
      <c r="AQ37" s="185">
        <f t="shared" si="10"/>
        <v>0.02</v>
      </c>
      <c r="AR37" s="182">
        <f t="shared" si="30"/>
        <v>1.8930378552062248</v>
      </c>
      <c r="AU37" s="184">
        <f t="shared" ca="1" si="31"/>
        <v>2051</v>
      </c>
      <c r="AV37" s="182">
        <f t="shared" si="11"/>
        <v>0.02</v>
      </c>
      <c r="AW37" s="179">
        <f t="shared" si="12"/>
        <v>5.0000000000000001E-3</v>
      </c>
      <c r="AX37" s="182">
        <f t="shared" si="13"/>
        <v>2.5000000000000001E-2</v>
      </c>
      <c r="AY37" s="186"/>
      <c r="BA37" s="184">
        <f t="shared" ca="1" si="32"/>
        <v>2051</v>
      </c>
      <c r="BB37" s="171">
        <f t="shared" si="14"/>
        <v>0</v>
      </c>
      <c r="BC37" s="171">
        <f t="shared" si="1"/>
        <v>1304.9411124197388</v>
      </c>
      <c r="BD37" s="171">
        <f t="shared" si="42"/>
        <v>0</v>
      </c>
      <c r="BE37" s="171">
        <f t="shared" si="43"/>
        <v>0</v>
      </c>
      <c r="BF37" s="171">
        <f t="shared" si="43"/>
        <v>0</v>
      </c>
      <c r="BG37" s="171">
        <f t="shared" si="43"/>
        <v>0</v>
      </c>
      <c r="BI37" s="187">
        <f>IF(A37-'Invoer gegevens'!$C$17&lt;0,0,IF(A37-'Invoer gegevens'!$C$17=0,1,IF(A37-'Invoer gegevens'!$C$17&lt;5,2,IF(A37-'Invoer gegevens'!$C$17&lt;15,3,4))))</f>
        <v>0</v>
      </c>
      <c r="BJ37" s="229">
        <f>IF(BI37&lt;1,0,IF(BI37&lt;2,4%,IF('Reeksen (N)'!BI37&lt;3,4%,IF('Reeksen (N)'!BI37&lt;4,4%*70%,IF('Reeksen (N)'!BI37&lt;5,4%*50%)))))</f>
        <v>0</v>
      </c>
    </row>
    <row r="38" spans="1:62" x14ac:dyDescent="0.25">
      <c r="A38" s="184">
        <f t="shared" si="15"/>
        <v>33</v>
      </c>
      <c r="B38" s="179">
        <f>Dashboard!$D$25</f>
        <v>0</v>
      </c>
      <c r="C38" s="179">
        <f>Dashboard!$D$25</f>
        <v>0</v>
      </c>
      <c r="D38" s="180">
        <f t="shared" si="4"/>
        <v>0</v>
      </c>
      <c r="F38" s="184">
        <f t="shared" ca="1" si="16"/>
        <v>2052</v>
      </c>
      <c r="G38" s="179">
        <f t="shared" si="39"/>
        <v>0.02</v>
      </c>
      <c r="H38" s="182">
        <f t="shared" si="17"/>
        <v>1.932774761729525</v>
      </c>
      <c r="I38" s="179">
        <f t="shared" si="40"/>
        <v>2.5000000000000001E-2</v>
      </c>
      <c r="J38" s="182">
        <f t="shared" si="18"/>
        <v>2.2746078594356494</v>
      </c>
      <c r="K38" s="179">
        <f t="shared" si="41"/>
        <v>2.5000000000000001E-2</v>
      </c>
      <c r="L38" s="182">
        <f t="shared" si="19"/>
        <v>2.2746078594356494</v>
      </c>
      <c r="N38" s="184">
        <f t="shared" ca="1" si="20"/>
        <v>2052</v>
      </c>
      <c r="O38" s="179">
        <f t="shared" si="36"/>
        <v>0.02</v>
      </c>
      <c r="P38" s="182">
        <f t="shared" si="21"/>
        <v>1.9308986123103493</v>
      </c>
      <c r="R38" s="184">
        <f t="shared" ca="1" si="22"/>
        <v>2052</v>
      </c>
      <c r="S38" s="188">
        <f t="shared" si="38"/>
        <v>5.3600000000000002E-3</v>
      </c>
      <c r="U38" s="184">
        <f t="shared" ca="1" si="23"/>
        <v>2052</v>
      </c>
      <c r="V38" s="182">
        <f t="shared" si="5"/>
        <v>0.02</v>
      </c>
      <c r="W38" s="180">
        <f>Parameters!$D$15</f>
        <v>5.0000000000000001E-3</v>
      </c>
      <c r="X38" s="182">
        <f t="shared" si="6"/>
        <v>2.5000000000000001E-2</v>
      </c>
      <c r="Y38" s="182">
        <f t="shared" si="24"/>
        <v>2.2768499574264589</v>
      </c>
      <c r="AB38" s="184">
        <f t="shared" ca="1" si="25"/>
        <v>2052</v>
      </c>
      <c r="AC38" s="171">
        <f t="shared" si="7"/>
        <v>0</v>
      </c>
      <c r="AD38" s="171">
        <f t="shared" si="0"/>
        <v>0</v>
      </c>
      <c r="AE38" s="171">
        <f t="shared" si="37"/>
        <v>1331.0399346681336</v>
      </c>
      <c r="AF38" s="171">
        <f t="shared" si="26"/>
        <v>0</v>
      </c>
      <c r="AG38" s="171">
        <f t="shared" si="27"/>
        <v>0</v>
      </c>
      <c r="AH38" s="171">
        <f t="shared" si="8"/>
        <v>0</v>
      </c>
      <c r="AI38" s="171">
        <f t="shared" si="9"/>
        <v>0</v>
      </c>
      <c r="AJ38" s="171">
        <f>IF('Invoer gegevens'!$I$27="DAEB",SMALL(AC38:AD38,1),AC38)</f>
        <v>0</v>
      </c>
      <c r="AK38" s="171">
        <f>IF('Invoer gegevens'!$I$27="DAEB",SMALL((AE38:AH38),1),SMALL((AF38:AH38),1))</f>
        <v>0</v>
      </c>
      <c r="AL38" s="171">
        <f t="shared" si="33"/>
        <v>0</v>
      </c>
      <c r="AM38" s="171">
        <f t="shared" si="34"/>
        <v>0</v>
      </c>
      <c r="AN38" s="175">
        <f t="shared" si="28"/>
        <v>0</v>
      </c>
      <c r="AP38" s="184">
        <f t="shared" ca="1" si="29"/>
        <v>2052</v>
      </c>
      <c r="AQ38" s="185">
        <f t="shared" si="10"/>
        <v>0.02</v>
      </c>
      <c r="AR38" s="182">
        <f t="shared" si="30"/>
        <v>1.9308986123103493</v>
      </c>
      <c r="AU38" s="184">
        <f t="shared" ca="1" si="31"/>
        <v>2052</v>
      </c>
      <c r="AV38" s="182">
        <f t="shared" si="11"/>
        <v>0.02</v>
      </c>
      <c r="AW38" s="179">
        <f t="shared" si="12"/>
        <v>5.0000000000000001E-3</v>
      </c>
      <c r="AX38" s="182">
        <f t="shared" si="13"/>
        <v>2.5000000000000001E-2</v>
      </c>
      <c r="AY38" s="186"/>
      <c r="BA38" s="184">
        <f t="shared" ca="1" si="32"/>
        <v>2052</v>
      </c>
      <c r="BB38" s="171">
        <f t="shared" si="14"/>
        <v>0</v>
      </c>
      <c r="BC38" s="171">
        <f t="shared" si="1"/>
        <v>1331.0399346681336</v>
      </c>
      <c r="BD38" s="171">
        <f t="shared" si="42"/>
        <v>0</v>
      </c>
      <c r="BE38" s="171">
        <f t="shared" si="43"/>
        <v>0</v>
      </c>
      <c r="BF38" s="171">
        <f t="shared" si="43"/>
        <v>0</v>
      </c>
      <c r="BG38" s="171">
        <f t="shared" si="43"/>
        <v>0</v>
      </c>
      <c r="BI38" s="187">
        <f>IF(A38-'Invoer gegevens'!$C$17&lt;0,0,IF(A38-'Invoer gegevens'!$C$17=0,1,IF(A38-'Invoer gegevens'!$C$17&lt;5,2,IF(A38-'Invoer gegevens'!$C$17&lt;15,3,4))))</f>
        <v>0</v>
      </c>
      <c r="BJ38" s="229">
        <f>IF(BI38&lt;1,0,IF(BI38&lt;2,4%,IF('Reeksen (N)'!BI38&lt;3,4%,IF('Reeksen (N)'!BI38&lt;4,4%*70%,IF('Reeksen (N)'!BI38&lt;5,4%*50%)))))</f>
        <v>0</v>
      </c>
    </row>
    <row r="39" spans="1:62" x14ac:dyDescent="0.25">
      <c r="A39" s="184">
        <f t="shared" si="15"/>
        <v>34</v>
      </c>
      <c r="B39" s="179">
        <f>Dashboard!$D$25</f>
        <v>0</v>
      </c>
      <c r="C39" s="179">
        <f>Dashboard!$D$25</f>
        <v>0</v>
      </c>
      <c r="D39" s="180">
        <f t="shared" si="4"/>
        <v>0</v>
      </c>
      <c r="F39" s="184">
        <f t="shared" ca="1" si="16"/>
        <v>2053</v>
      </c>
      <c r="G39" s="179">
        <f t="shared" si="39"/>
        <v>0.02</v>
      </c>
      <c r="H39" s="182">
        <f t="shared" si="17"/>
        <v>1.9714302569641156</v>
      </c>
      <c r="I39" s="179">
        <f t="shared" si="40"/>
        <v>2.5000000000000001E-2</v>
      </c>
      <c r="J39" s="182">
        <f t="shared" si="18"/>
        <v>2.3314730559215402</v>
      </c>
      <c r="K39" s="179">
        <f t="shared" si="41"/>
        <v>2.5000000000000001E-2</v>
      </c>
      <c r="L39" s="182">
        <f t="shared" si="19"/>
        <v>2.3314730559215402</v>
      </c>
      <c r="N39" s="184">
        <f t="shared" ca="1" si="20"/>
        <v>2053</v>
      </c>
      <c r="O39" s="179">
        <f t="shared" si="36"/>
        <v>0.02</v>
      </c>
      <c r="P39" s="182">
        <f t="shared" si="21"/>
        <v>1.9695165845565563</v>
      </c>
      <c r="R39" s="184">
        <f t="shared" ca="1" si="22"/>
        <v>2053</v>
      </c>
      <c r="S39" s="188">
        <f t="shared" si="38"/>
        <v>5.3600000000000002E-3</v>
      </c>
      <c r="U39" s="184">
        <f t="shared" ca="1" si="23"/>
        <v>2053</v>
      </c>
      <c r="V39" s="182">
        <f t="shared" si="5"/>
        <v>0.02</v>
      </c>
      <c r="W39" s="180">
        <f>Parameters!$D$15</f>
        <v>5.0000000000000001E-3</v>
      </c>
      <c r="X39" s="182">
        <f t="shared" si="6"/>
        <v>2.5000000000000001E-2</v>
      </c>
      <c r="Y39" s="182">
        <f t="shared" si="24"/>
        <v>2.3337712063621203</v>
      </c>
      <c r="AB39" s="184">
        <f t="shared" ca="1" si="25"/>
        <v>2053</v>
      </c>
      <c r="AC39" s="171">
        <f t="shared" si="7"/>
        <v>0</v>
      </c>
      <c r="AD39" s="171">
        <f t="shared" si="0"/>
        <v>0</v>
      </c>
      <c r="AE39" s="171">
        <f t="shared" si="37"/>
        <v>1357.6607333614963</v>
      </c>
      <c r="AF39" s="171">
        <f t="shared" si="26"/>
        <v>0</v>
      </c>
      <c r="AG39" s="171">
        <f t="shared" si="27"/>
        <v>0</v>
      </c>
      <c r="AH39" s="171">
        <f t="shared" si="8"/>
        <v>0</v>
      </c>
      <c r="AI39" s="171">
        <f t="shared" si="9"/>
        <v>0</v>
      </c>
      <c r="AJ39" s="171">
        <f>IF('Invoer gegevens'!$I$27="DAEB",SMALL(AC39:AD39,1),AC39)</f>
        <v>0</v>
      </c>
      <c r="AK39" s="171">
        <f>IF('Invoer gegevens'!$I$27="DAEB",SMALL((AE39:AH39),1),SMALL((AF39:AH39),1))</f>
        <v>0</v>
      </c>
      <c r="AL39" s="171">
        <f t="shared" si="33"/>
        <v>0</v>
      </c>
      <c r="AM39" s="171">
        <f t="shared" si="34"/>
        <v>0</v>
      </c>
      <c r="AN39" s="175">
        <f t="shared" si="28"/>
        <v>0</v>
      </c>
      <c r="AP39" s="184">
        <f t="shared" ca="1" si="29"/>
        <v>2053</v>
      </c>
      <c r="AQ39" s="185">
        <f t="shared" si="10"/>
        <v>0.02</v>
      </c>
      <c r="AR39" s="182">
        <f t="shared" si="30"/>
        <v>1.9695165845565563</v>
      </c>
      <c r="AU39" s="184">
        <f t="shared" ca="1" si="31"/>
        <v>2053</v>
      </c>
      <c r="AV39" s="182">
        <f t="shared" si="11"/>
        <v>0.02</v>
      </c>
      <c r="AW39" s="179">
        <f t="shared" si="12"/>
        <v>5.0000000000000001E-3</v>
      </c>
      <c r="AX39" s="182">
        <f t="shared" si="13"/>
        <v>2.5000000000000001E-2</v>
      </c>
      <c r="AY39" s="186"/>
      <c r="BA39" s="184">
        <f t="shared" ca="1" si="32"/>
        <v>2053</v>
      </c>
      <c r="BB39" s="171">
        <f t="shared" si="14"/>
        <v>0</v>
      </c>
      <c r="BC39" s="171">
        <f t="shared" si="1"/>
        <v>1357.6607333614963</v>
      </c>
      <c r="BD39" s="171">
        <f t="shared" si="42"/>
        <v>0</v>
      </c>
      <c r="BE39" s="171">
        <f t="shared" si="43"/>
        <v>0</v>
      </c>
      <c r="BF39" s="171">
        <f t="shared" si="43"/>
        <v>0</v>
      </c>
      <c r="BG39" s="171">
        <f t="shared" si="43"/>
        <v>0</v>
      </c>
      <c r="BI39" s="187">
        <f>IF(A39-'Invoer gegevens'!$C$17&lt;0,0,IF(A39-'Invoer gegevens'!$C$17=0,1,IF(A39-'Invoer gegevens'!$C$17&lt;5,2,IF(A39-'Invoer gegevens'!$C$17&lt;15,3,4))))</f>
        <v>0</v>
      </c>
      <c r="BJ39" s="229">
        <f>IF(BI39&lt;1,0,IF(BI39&lt;2,4%,IF('Reeksen (N)'!BI39&lt;3,4%,IF('Reeksen (N)'!BI39&lt;4,4%*70%,IF('Reeksen (N)'!BI39&lt;5,4%*50%)))))</f>
        <v>0</v>
      </c>
    </row>
    <row r="40" spans="1:62" x14ac:dyDescent="0.25">
      <c r="A40" s="184">
        <f t="shared" si="15"/>
        <v>35</v>
      </c>
      <c r="B40" s="179">
        <f>Dashboard!$D$25</f>
        <v>0</v>
      </c>
      <c r="C40" s="179">
        <f>Dashboard!$D$25</f>
        <v>0</v>
      </c>
      <c r="D40" s="180">
        <f t="shared" si="4"/>
        <v>0</v>
      </c>
      <c r="F40" s="184">
        <f t="shared" ca="1" si="16"/>
        <v>2054</v>
      </c>
      <c r="G40" s="179">
        <f t="shared" si="39"/>
        <v>0.02</v>
      </c>
      <c r="H40" s="182">
        <f t="shared" si="17"/>
        <v>2.0108588621033978</v>
      </c>
      <c r="I40" s="179">
        <f t="shared" si="40"/>
        <v>2.5000000000000001E-2</v>
      </c>
      <c r="J40" s="182">
        <f t="shared" si="18"/>
        <v>2.3897598823195785</v>
      </c>
      <c r="K40" s="179">
        <f t="shared" si="41"/>
        <v>2.5000000000000001E-2</v>
      </c>
      <c r="L40" s="182">
        <f t="shared" si="19"/>
        <v>2.3897598823195785</v>
      </c>
      <c r="N40" s="184">
        <f t="shared" ca="1" si="20"/>
        <v>2054</v>
      </c>
      <c r="O40" s="179">
        <f t="shared" si="36"/>
        <v>0.02</v>
      </c>
      <c r="P40" s="182">
        <f t="shared" si="21"/>
        <v>2.0089069162476876</v>
      </c>
      <c r="R40" s="184">
        <f t="shared" ca="1" si="22"/>
        <v>2054</v>
      </c>
      <c r="S40" s="188">
        <f t="shared" si="38"/>
        <v>5.3600000000000002E-3</v>
      </c>
      <c r="U40" s="184">
        <f t="shared" ca="1" si="23"/>
        <v>2054</v>
      </c>
      <c r="V40" s="182">
        <f t="shared" si="5"/>
        <v>0.02</v>
      </c>
      <c r="W40" s="180">
        <f>Parameters!$D$15</f>
        <v>5.0000000000000001E-3</v>
      </c>
      <c r="X40" s="182">
        <f t="shared" si="6"/>
        <v>2.5000000000000001E-2</v>
      </c>
      <c r="Y40" s="182">
        <f t="shared" si="24"/>
        <v>2.3921154865211731</v>
      </c>
      <c r="AB40" s="184">
        <f t="shared" ca="1" si="25"/>
        <v>2054</v>
      </c>
      <c r="AC40" s="171">
        <f t="shared" si="7"/>
        <v>0</v>
      </c>
      <c r="AD40" s="171">
        <f t="shared" si="0"/>
        <v>0</v>
      </c>
      <c r="AE40" s="171">
        <f t="shared" si="37"/>
        <v>1384.8139480287264</v>
      </c>
      <c r="AF40" s="171">
        <f t="shared" si="26"/>
        <v>0</v>
      </c>
      <c r="AG40" s="171">
        <f t="shared" si="27"/>
        <v>0</v>
      </c>
      <c r="AH40" s="171">
        <f t="shared" si="8"/>
        <v>0</v>
      </c>
      <c r="AI40" s="171">
        <f t="shared" si="9"/>
        <v>0</v>
      </c>
      <c r="AJ40" s="171">
        <f>IF('Invoer gegevens'!$I$27="DAEB",SMALL(AC40:AD40,1),AC40)</f>
        <v>0</v>
      </c>
      <c r="AK40" s="171">
        <f>IF('Invoer gegevens'!$I$27="DAEB",SMALL((AE40:AH40),1),SMALL((AF40:AH40),1))</f>
        <v>0</v>
      </c>
      <c r="AL40" s="171">
        <f t="shared" si="33"/>
        <v>0</v>
      </c>
      <c r="AM40" s="171">
        <f t="shared" si="34"/>
        <v>0</v>
      </c>
      <c r="AN40" s="175">
        <f t="shared" si="28"/>
        <v>0</v>
      </c>
      <c r="AP40" s="184">
        <f t="shared" ca="1" si="29"/>
        <v>2054</v>
      </c>
      <c r="AQ40" s="185">
        <f t="shared" si="10"/>
        <v>0.02</v>
      </c>
      <c r="AR40" s="182">
        <f t="shared" si="30"/>
        <v>2.0089069162476876</v>
      </c>
      <c r="AU40" s="184">
        <f t="shared" ca="1" si="31"/>
        <v>2054</v>
      </c>
      <c r="AV40" s="182">
        <f t="shared" si="11"/>
        <v>0.02</v>
      </c>
      <c r="AW40" s="179">
        <f t="shared" si="12"/>
        <v>5.0000000000000001E-3</v>
      </c>
      <c r="AX40" s="182">
        <f t="shared" si="13"/>
        <v>2.5000000000000001E-2</v>
      </c>
      <c r="AY40" s="186"/>
      <c r="BA40" s="184">
        <f t="shared" ca="1" si="32"/>
        <v>2054</v>
      </c>
      <c r="BB40" s="171">
        <f t="shared" si="14"/>
        <v>0</v>
      </c>
      <c r="BC40" s="171">
        <f t="shared" si="1"/>
        <v>1384.8139480287264</v>
      </c>
      <c r="BD40" s="171">
        <f t="shared" si="42"/>
        <v>0</v>
      </c>
      <c r="BE40" s="171">
        <f t="shared" si="43"/>
        <v>0</v>
      </c>
      <c r="BF40" s="171">
        <f t="shared" si="43"/>
        <v>0</v>
      </c>
      <c r="BG40" s="171">
        <f t="shared" si="43"/>
        <v>0</v>
      </c>
      <c r="BI40" s="187">
        <f>IF(A40-'Invoer gegevens'!$C$17&lt;0,0,IF(A40-'Invoer gegevens'!$C$17=0,1,IF(A40-'Invoer gegevens'!$C$17&lt;5,2,IF(A40-'Invoer gegevens'!$C$17&lt;15,3,4))))</f>
        <v>0</v>
      </c>
      <c r="BJ40" s="229">
        <f>IF(BI40&lt;1,0,IF(BI40&lt;2,4%,IF('Reeksen (N)'!BI40&lt;3,4%,IF('Reeksen (N)'!BI40&lt;4,4%*70%,IF('Reeksen (N)'!BI40&lt;5,4%*50%)))))</f>
        <v>0</v>
      </c>
    </row>
    <row r="41" spans="1:62" x14ac:dyDescent="0.25">
      <c r="A41" s="184">
        <f t="shared" si="15"/>
        <v>36</v>
      </c>
      <c r="B41" s="179">
        <f>Dashboard!$D$25</f>
        <v>0</v>
      </c>
      <c r="C41" s="179">
        <f>Dashboard!$D$25</f>
        <v>0</v>
      </c>
      <c r="D41" s="180">
        <f t="shared" si="4"/>
        <v>0</v>
      </c>
      <c r="F41" s="184">
        <f t="shared" ca="1" si="16"/>
        <v>2055</v>
      </c>
      <c r="G41" s="179">
        <f t="shared" si="39"/>
        <v>0.02</v>
      </c>
      <c r="H41" s="182">
        <f t="shared" si="17"/>
        <v>2.0510760393454657</v>
      </c>
      <c r="I41" s="179">
        <f t="shared" si="40"/>
        <v>2.5000000000000001E-2</v>
      </c>
      <c r="J41" s="182">
        <f t="shared" si="18"/>
        <v>2.4495038793775676</v>
      </c>
      <c r="K41" s="179">
        <f t="shared" si="41"/>
        <v>2.5000000000000001E-2</v>
      </c>
      <c r="L41" s="182">
        <f t="shared" si="19"/>
        <v>2.4495038793775676</v>
      </c>
      <c r="N41" s="184">
        <f t="shared" ca="1" si="20"/>
        <v>2055</v>
      </c>
      <c r="O41" s="179">
        <f t="shared" si="36"/>
        <v>0.02</v>
      </c>
      <c r="P41" s="182">
        <f t="shared" si="21"/>
        <v>2.0490850545726413</v>
      </c>
      <c r="R41" s="184">
        <f t="shared" ca="1" si="22"/>
        <v>2055</v>
      </c>
      <c r="S41" s="188">
        <f t="shared" si="38"/>
        <v>5.3600000000000002E-3</v>
      </c>
      <c r="U41" s="184">
        <f t="shared" ca="1" si="23"/>
        <v>2055</v>
      </c>
      <c r="V41" s="182">
        <f t="shared" si="5"/>
        <v>0.02</v>
      </c>
      <c r="W41" s="180">
        <f>Parameters!$D$15</f>
        <v>5.0000000000000001E-3</v>
      </c>
      <c r="X41" s="182">
        <f t="shared" si="6"/>
        <v>2.5000000000000001E-2</v>
      </c>
      <c r="Y41" s="182">
        <f t="shared" si="24"/>
        <v>2.4519183736842023</v>
      </c>
      <c r="AB41" s="184">
        <f t="shared" ca="1" si="25"/>
        <v>2055</v>
      </c>
      <c r="AC41" s="171">
        <f t="shared" si="7"/>
        <v>0</v>
      </c>
      <c r="AD41" s="171">
        <f t="shared" si="0"/>
        <v>0</v>
      </c>
      <c r="AE41" s="171">
        <f t="shared" si="37"/>
        <v>1412.5102269893009</v>
      </c>
      <c r="AF41" s="171">
        <f t="shared" si="26"/>
        <v>0</v>
      </c>
      <c r="AG41" s="171">
        <f t="shared" si="27"/>
        <v>0</v>
      </c>
      <c r="AH41" s="171">
        <f t="shared" si="8"/>
        <v>0</v>
      </c>
      <c r="AI41" s="171">
        <f t="shared" si="9"/>
        <v>0</v>
      </c>
      <c r="AJ41" s="171">
        <f>IF('Invoer gegevens'!$I$27="DAEB",SMALL(AC41:AD41,1),AC41)</f>
        <v>0</v>
      </c>
      <c r="AK41" s="171">
        <f>IF('Invoer gegevens'!$I$27="DAEB",SMALL((AE41:AH41),1),SMALL((AF41:AH41),1))</f>
        <v>0</v>
      </c>
      <c r="AL41" s="171">
        <f t="shared" si="33"/>
        <v>0</v>
      </c>
      <c r="AM41" s="171">
        <f t="shared" si="34"/>
        <v>0</v>
      </c>
      <c r="AN41" s="175">
        <f t="shared" si="28"/>
        <v>0</v>
      </c>
      <c r="AP41" s="184">
        <f t="shared" ca="1" si="29"/>
        <v>2055</v>
      </c>
      <c r="AQ41" s="185">
        <f t="shared" si="10"/>
        <v>0.02</v>
      </c>
      <c r="AR41" s="182">
        <f t="shared" si="30"/>
        <v>2.0490850545726413</v>
      </c>
      <c r="AU41" s="184">
        <f t="shared" ca="1" si="31"/>
        <v>2055</v>
      </c>
      <c r="AV41" s="182">
        <f t="shared" si="11"/>
        <v>0.02</v>
      </c>
      <c r="AW41" s="179">
        <f t="shared" si="12"/>
        <v>5.0000000000000001E-3</v>
      </c>
      <c r="AX41" s="182">
        <f t="shared" si="13"/>
        <v>2.5000000000000001E-2</v>
      </c>
      <c r="AY41" s="186"/>
      <c r="BA41" s="184">
        <f t="shared" ca="1" si="32"/>
        <v>2055</v>
      </c>
      <c r="BB41" s="171">
        <f t="shared" si="14"/>
        <v>0</v>
      </c>
      <c r="BC41" s="171">
        <f t="shared" si="1"/>
        <v>1412.5102269893009</v>
      </c>
      <c r="BD41" s="171">
        <f t="shared" si="42"/>
        <v>0</v>
      </c>
      <c r="BE41" s="171">
        <f t="shared" si="43"/>
        <v>0</v>
      </c>
      <c r="BF41" s="171">
        <f t="shared" si="43"/>
        <v>0</v>
      </c>
      <c r="BG41" s="171">
        <f t="shared" si="43"/>
        <v>0</v>
      </c>
      <c r="BI41" s="187">
        <f>IF(A41-'Invoer gegevens'!$C$17&lt;0,0,IF(A41-'Invoer gegevens'!$C$17=0,1,IF(A41-'Invoer gegevens'!$C$17&lt;5,2,IF(A41-'Invoer gegevens'!$C$17&lt;15,3,4))))</f>
        <v>0</v>
      </c>
      <c r="BJ41" s="229">
        <f>IF(BI41&lt;1,0,IF(BI41&lt;2,4%,IF('Reeksen (N)'!BI41&lt;3,4%,IF('Reeksen (N)'!BI41&lt;4,4%*70%,IF('Reeksen (N)'!BI41&lt;5,4%*50%)))))</f>
        <v>0</v>
      </c>
    </row>
    <row r="42" spans="1:62" x14ac:dyDescent="0.25">
      <c r="A42" s="184">
        <f t="shared" si="15"/>
        <v>37</v>
      </c>
      <c r="B42" s="179">
        <f>Dashboard!$D$25</f>
        <v>0</v>
      </c>
      <c r="C42" s="179">
        <f>Dashboard!$D$25</f>
        <v>0</v>
      </c>
      <c r="D42" s="180">
        <f t="shared" si="4"/>
        <v>0</v>
      </c>
      <c r="F42" s="184">
        <f t="shared" ca="1" si="16"/>
        <v>2056</v>
      </c>
      <c r="G42" s="179">
        <f t="shared" si="39"/>
        <v>0.02</v>
      </c>
      <c r="H42" s="182">
        <f t="shared" si="17"/>
        <v>2.092097560132375</v>
      </c>
      <c r="I42" s="179">
        <f t="shared" si="40"/>
        <v>2.5000000000000001E-2</v>
      </c>
      <c r="J42" s="182">
        <f t="shared" si="18"/>
        <v>2.5107414763620066</v>
      </c>
      <c r="K42" s="179">
        <f t="shared" si="41"/>
        <v>2.5000000000000001E-2</v>
      </c>
      <c r="L42" s="182">
        <f t="shared" si="19"/>
        <v>2.5107414763620066</v>
      </c>
      <c r="N42" s="184">
        <f t="shared" ca="1" si="20"/>
        <v>2056</v>
      </c>
      <c r="O42" s="179">
        <f t="shared" si="36"/>
        <v>0.02</v>
      </c>
      <c r="P42" s="182">
        <f t="shared" si="21"/>
        <v>2.0900667556640942</v>
      </c>
      <c r="R42" s="184">
        <f t="shared" ca="1" si="22"/>
        <v>2056</v>
      </c>
      <c r="S42" s="188">
        <f t="shared" si="38"/>
        <v>5.3600000000000002E-3</v>
      </c>
      <c r="U42" s="184">
        <f t="shared" ca="1" si="23"/>
        <v>2056</v>
      </c>
      <c r="V42" s="182">
        <f t="shared" si="5"/>
        <v>0.02</v>
      </c>
      <c r="W42" s="180">
        <f>Parameters!$D$15</f>
        <v>5.0000000000000001E-3</v>
      </c>
      <c r="X42" s="182">
        <f t="shared" si="6"/>
        <v>2.5000000000000001E-2</v>
      </c>
      <c r="Y42" s="182">
        <f t="shared" si="24"/>
        <v>2.5132163330263073</v>
      </c>
      <c r="AB42" s="184">
        <f t="shared" ca="1" si="25"/>
        <v>2056</v>
      </c>
      <c r="AC42" s="171">
        <f t="shared" si="7"/>
        <v>0</v>
      </c>
      <c r="AD42" s="171">
        <f t="shared" si="0"/>
        <v>0</v>
      </c>
      <c r="AE42" s="171">
        <f t="shared" si="37"/>
        <v>1440.7604315290869</v>
      </c>
      <c r="AF42" s="171">
        <f t="shared" si="26"/>
        <v>0</v>
      </c>
      <c r="AG42" s="171">
        <f t="shared" si="27"/>
        <v>0</v>
      </c>
      <c r="AH42" s="171">
        <f t="shared" si="8"/>
        <v>0</v>
      </c>
      <c r="AI42" s="171">
        <f t="shared" si="9"/>
        <v>0</v>
      </c>
      <c r="AJ42" s="171">
        <f>IF('Invoer gegevens'!$I$27="DAEB",SMALL(AC42:AD42,1),AC42)</f>
        <v>0</v>
      </c>
      <c r="AK42" s="171">
        <f>IF('Invoer gegevens'!$I$27="DAEB",SMALL((AE42:AH42),1),SMALL((AF42:AH42),1))</f>
        <v>0</v>
      </c>
      <c r="AL42" s="171">
        <f t="shared" si="33"/>
        <v>0</v>
      </c>
      <c r="AM42" s="171">
        <f t="shared" si="34"/>
        <v>0</v>
      </c>
      <c r="AN42" s="175">
        <f t="shared" si="28"/>
        <v>0</v>
      </c>
      <c r="AP42" s="184">
        <f t="shared" ca="1" si="29"/>
        <v>2056</v>
      </c>
      <c r="AQ42" s="185">
        <f t="shared" si="10"/>
        <v>0.02</v>
      </c>
      <c r="AR42" s="182">
        <f t="shared" si="30"/>
        <v>2.0900667556640942</v>
      </c>
      <c r="AU42" s="184">
        <f t="shared" ca="1" si="31"/>
        <v>2056</v>
      </c>
      <c r="AV42" s="182">
        <f t="shared" si="11"/>
        <v>0.02</v>
      </c>
      <c r="AW42" s="179">
        <f t="shared" si="12"/>
        <v>5.0000000000000001E-3</v>
      </c>
      <c r="AX42" s="182">
        <f t="shared" si="13"/>
        <v>2.5000000000000001E-2</v>
      </c>
      <c r="AY42" s="186"/>
      <c r="BA42" s="184">
        <f t="shared" ca="1" si="32"/>
        <v>2056</v>
      </c>
      <c r="BB42" s="171">
        <f t="shared" si="14"/>
        <v>0</v>
      </c>
      <c r="BC42" s="171">
        <f t="shared" si="1"/>
        <v>1440.7604315290869</v>
      </c>
      <c r="BD42" s="171">
        <f t="shared" si="42"/>
        <v>0</v>
      </c>
      <c r="BE42" s="171">
        <f t="shared" si="43"/>
        <v>0</v>
      </c>
      <c r="BF42" s="171">
        <f t="shared" si="43"/>
        <v>0</v>
      </c>
      <c r="BG42" s="171">
        <f t="shared" si="43"/>
        <v>0</v>
      </c>
      <c r="BI42" s="187">
        <f>IF(A42-'Invoer gegevens'!$C$17&lt;0,0,IF(A42-'Invoer gegevens'!$C$17=0,1,IF(A42-'Invoer gegevens'!$C$17&lt;5,2,IF(A42-'Invoer gegevens'!$C$17&lt;15,3,4))))</f>
        <v>0</v>
      </c>
      <c r="BJ42" s="229">
        <f>IF(BI42&lt;1,0,IF(BI42&lt;2,4%,IF('Reeksen (N)'!BI42&lt;3,4%,IF('Reeksen (N)'!BI42&lt;4,4%*70%,IF('Reeksen (N)'!BI42&lt;5,4%*50%)))))</f>
        <v>0</v>
      </c>
    </row>
    <row r="43" spans="1:62" x14ac:dyDescent="0.25">
      <c r="A43" s="184">
        <f t="shared" si="15"/>
        <v>38</v>
      </c>
      <c r="B43" s="179">
        <f>Dashboard!$D$25</f>
        <v>0</v>
      </c>
      <c r="C43" s="179">
        <f>Dashboard!$D$25</f>
        <v>0</v>
      </c>
      <c r="D43" s="180">
        <f t="shared" si="4"/>
        <v>0</v>
      </c>
      <c r="F43" s="184">
        <f t="shared" ca="1" si="16"/>
        <v>2057</v>
      </c>
      <c r="G43" s="179">
        <f t="shared" si="39"/>
        <v>0.02</v>
      </c>
      <c r="H43" s="182">
        <f t="shared" si="17"/>
        <v>2.1339395113350226</v>
      </c>
      <c r="I43" s="179">
        <f t="shared" si="40"/>
        <v>2.5000000000000001E-2</v>
      </c>
      <c r="J43" s="182">
        <f t="shared" si="18"/>
        <v>2.5735100132710564</v>
      </c>
      <c r="K43" s="179">
        <f t="shared" si="41"/>
        <v>2.5000000000000001E-2</v>
      </c>
      <c r="L43" s="182">
        <f t="shared" si="19"/>
        <v>2.5735100132710564</v>
      </c>
      <c r="N43" s="184">
        <f t="shared" ca="1" si="20"/>
        <v>2057</v>
      </c>
      <c r="O43" s="179">
        <f t="shared" si="36"/>
        <v>0.02</v>
      </c>
      <c r="P43" s="182">
        <f t="shared" si="21"/>
        <v>2.1318680907773762</v>
      </c>
      <c r="R43" s="184">
        <f t="shared" ca="1" si="22"/>
        <v>2057</v>
      </c>
      <c r="S43" s="188">
        <f t="shared" si="38"/>
        <v>5.3600000000000002E-3</v>
      </c>
      <c r="U43" s="184">
        <f t="shared" ca="1" si="23"/>
        <v>2057</v>
      </c>
      <c r="V43" s="182">
        <f t="shared" si="5"/>
        <v>0.02</v>
      </c>
      <c r="W43" s="180">
        <f>Parameters!$D$15</f>
        <v>5.0000000000000001E-3</v>
      </c>
      <c r="X43" s="182">
        <f t="shared" si="6"/>
        <v>2.5000000000000001E-2</v>
      </c>
      <c r="Y43" s="182">
        <f t="shared" si="24"/>
        <v>2.576046741351965</v>
      </c>
      <c r="AB43" s="184">
        <f t="shared" ca="1" si="25"/>
        <v>2057</v>
      </c>
      <c r="AC43" s="171">
        <f t="shared" si="7"/>
        <v>0</v>
      </c>
      <c r="AD43" s="171">
        <f t="shared" si="0"/>
        <v>0</v>
      </c>
      <c r="AE43" s="171">
        <f t="shared" si="37"/>
        <v>1469.5756401596686</v>
      </c>
      <c r="AF43" s="171">
        <f t="shared" si="26"/>
        <v>0</v>
      </c>
      <c r="AG43" s="171">
        <f t="shared" si="27"/>
        <v>0</v>
      </c>
      <c r="AH43" s="171">
        <f t="shared" si="8"/>
        <v>0</v>
      </c>
      <c r="AI43" s="171">
        <f t="shared" si="9"/>
        <v>0</v>
      </c>
      <c r="AJ43" s="171">
        <f>IF('Invoer gegevens'!$I$27="DAEB",SMALL(AC43:AD43,1),AC43)</f>
        <v>0</v>
      </c>
      <c r="AK43" s="171">
        <f>IF('Invoer gegevens'!$I$27="DAEB",SMALL((AE43:AH43),1),SMALL((AF43:AH43),1))</f>
        <v>0</v>
      </c>
      <c r="AL43" s="171">
        <f t="shared" si="33"/>
        <v>0</v>
      </c>
      <c r="AM43" s="171">
        <f t="shared" si="34"/>
        <v>0</v>
      </c>
      <c r="AN43" s="175">
        <f t="shared" si="28"/>
        <v>0</v>
      </c>
      <c r="AP43" s="184">
        <f t="shared" ca="1" si="29"/>
        <v>2057</v>
      </c>
      <c r="AQ43" s="185">
        <f t="shared" si="10"/>
        <v>0.02</v>
      </c>
      <c r="AR43" s="182">
        <f t="shared" si="30"/>
        <v>2.1318680907773762</v>
      </c>
      <c r="AU43" s="184">
        <f t="shared" ca="1" si="31"/>
        <v>2057</v>
      </c>
      <c r="AV43" s="182">
        <f t="shared" si="11"/>
        <v>0.02</v>
      </c>
      <c r="AW43" s="179">
        <f t="shared" si="12"/>
        <v>5.0000000000000001E-3</v>
      </c>
      <c r="AX43" s="182">
        <f t="shared" si="13"/>
        <v>2.5000000000000001E-2</v>
      </c>
      <c r="AY43" s="186"/>
      <c r="BA43" s="184">
        <f t="shared" ca="1" si="32"/>
        <v>2057</v>
      </c>
      <c r="BB43" s="171">
        <f t="shared" si="14"/>
        <v>0</v>
      </c>
      <c r="BC43" s="171">
        <f t="shared" si="1"/>
        <v>1469.5756401596686</v>
      </c>
      <c r="BD43" s="171">
        <f t="shared" si="42"/>
        <v>0</v>
      </c>
      <c r="BE43" s="171">
        <f t="shared" si="43"/>
        <v>0</v>
      </c>
      <c r="BF43" s="171">
        <f t="shared" si="43"/>
        <v>0</v>
      </c>
      <c r="BG43" s="171">
        <f t="shared" si="43"/>
        <v>0</v>
      </c>
      <c r="BI43" s="187">
        <f>IF(A43-'Invoer gegevens'!$C$17&lt;0,0,IF(A43-'Invoer gegevens'!$C$17=0,1,IF(A43-'Invoer gegevens'!$C$17&lt;5,2,IF(A43-'Invoer gegevens'!$C$17&lt;15,3,4))))</f>
        <v>0</v>
      </c>
      <c r="BJ43" s="229">
        <f>IF(BI43&lt;1,0,IF(BI43&lt;2,4%,IF('Reeksen (N)'!BI43&lt;3,4%,IF('Reeksen (N)'!BI43&lt;4,4%*70%,IF('Reeksen (N)'!BI43&lt;5,4%*50%)))))</f>
        <v>0</v>
      </c>
    </row>
    <row r="44" spans="1:62" x14ac:dyDescent="0.25">
      <c r="A44" s="184">
        <f t="shared" si="15"/>
        <v>39</v>
      </c>
      <c r="B44" s="179">
        <f>Dashboard!$D$25</f>
        <v>0</v>
      </c>
      <c r="C44" s="179">
        <f>Dashboard!$D$25</f>
        <v>0</v>
      </c>
      <c r="D44" s="180">
        <f t="shared" si="4"/>
        <v>0</v>
      </c>
      <c r="F44" s="184">
        <f t="shared" ca="1" si="16"/>
        <v>2058</v>
      </c>
      <c r="G44" s="179">
        <f t="shared" si="39"/>
        <v>0.02</v>
      </c>
      <c r="H44" s="182">
        <f t="shared" si="17"/>
        <v>2.1766183015617231</v>
      </c>
      <c r="I44" s="179">
        <f t="shared" si="40"/>
        <v>2.5000000000000001E-2</v>
      </c>
      <c r="J44" s="182">
        <f t="shared" si="18"/>
        <v>2.6378477636028328</v>
      </c>
      <c r="K44" s="179">
        <f t="shared" si="41"/>
        <v>2.5000000000000001E-2</v>
      </c>
      <c r="L44" s="182">
        <f t="shared" si="19"/>
        <v>2.6378477636028328</v>
      </c>
      <c r="N44" s="184">
        <f t="shared" ca="1" si="20"/>
        <v>2058</v>
      </c>
      <c r="O44" s="179">
        <f t="shared" si="36"/>
        <v>0.02</v>
      </c>
      <c r="P44" s="182">
        <f t="shared" si="21"/>
        <v>2.1745054525929239</v>
      </c>
      <c r="R44" s="184">
        <f t="shared" ca="1" si="22"/>
        <v>2058</v>
      </c>
      <c r="S44" s="188">
        <f t="shared" si="38"/>
        <v>5.3600000000000002E-3</v>
      </c>
      <c r="U44" s="184">
        <f t="shared" ca="1" si="23"/>
        <v>2058</v>
      </c>
      <c r="V44" s="182">
        <f t="shared" si="5"/>
        <v>0.02</v>
      </c>
      <c r="W44" s="180">
        <f>Parameters!$D$15</f>
        <v>5.0000000000000001E-3</v>
      </c>
      <c r="X44" s="182">
        <f t="shared" si="6"/>
        <v>2.5000000000000001E-2</v>
      </c>
      <c r="Y44" s="182">
        <f t="shared" si="24"/>
        <v>2.6404479098857641</v>
      </c>
      <c r="AB44" s="184">
        <f t="shared" ca="1" si="25"/>
        <v>2058</v>
      </c>
      <c r="AC44" s="171">
        <f t="shared" si="7"/>
        <v>0</v>
      </c>
      <c r="AD44" s="171">
        <f t="shared" si="0"/>
        <v>0</v>
      </c>
      <c r="AE44" s="171">
        <f t="shared" si="37"/>
        <v>1498.967152962862</v>
      </c>
      <c r="AF44" s="171">
        <f t="shared" si="26"/>
        <v>0</v>
      </c>
      <c r="AG44" s="171">
        <f t="shared" si="27"/>
        <v>0</v>
      </c>
      <c r="AH44" s="171">
        <f t="shared" si="8"/>
        <v>0</v>
      </c>
      <c r="AI44" s="171">
        <f t="shared" si="9"/>
        <v>0</v>
      </c>
      <c r="AJ44" s="171">
        <f>IF('Invoer gegevens'!$I$27="DAEB",SMALL(AC44:AD44,1),AC44)</f>
        <v>0</v>
      </c>
      <c r="AK44" s="171">
        <f>IF('Invoer gegevens'!$I$27="DAEB",SMALL((AE44:AH44),1),SMALL((AF44:AH44),1))</f>
        <v>0</v>
      </c>
      <c r="AL44" s="171">
        <f t="shared" si="33"/>
        <v>0</v>
      </c>
      <c r="AM44" s="171">
        <f t="shared" si="34"/>
        <v>0</v>
      </c>
      <c r="AN44" s="175">
        <f t="shared" si="28"/>
        <v>0</v>
      </c>
      <c r="AP44" s="184">
        <f t="shared" ca="1" si="29"/>
        <v>2058</v>
      </c>
      <c r="AQ44" s="185">
        <f t="shared" si="10"/>
        <v>0.02</v>
      </c>
      <c r="AR44" s="182">
        <f t="shared" si="30"/>
        <v>2.1745054525929239</v>
      </c>
      <c r="AU44" s="184">
        <f t="shared" ca="1" si="31"/>
        <v>2058</v>
      </c>
      <c r="AV44" s="182">
        <f t="shared" si="11"/>
        <v>0.02</v>
      </c>
      <c r="AW44" s="179">
        <f t="shared" si="12"/>
        <v>5.0000000000000001E-3</v>
      </c>
      <c r="AX44" s="182">
        <f t="shared" si="13"/>
        <v>2.5000000000000001E-2</v>
      </c>
      <c r="AY44" s="186"/>
      <c r="BA44" s="184">
        <f t="shared" ca="1" si="32"/>
        <v>2058</v>
      </c>
      <c r="BB44" s="171">
        <f t="shared" si="14"/>
        <v>0</v>
      </c>
      <c r="BC44" s="171">
        <f t="shared" si="1"/>
        <v>1498.967152962862</v>
      </c>
      <c r="BD44" s="171">
        <f t="shared" si="42"/>
        <v>0</v>
      </c>
      <c r="BE44" s="171">
        <f t="shared" si="43"/>
        <v>0</v>
      </c>
      <c r="BF44" s="171">
        <f t="shared" si="43"/>
        <v>0</v>
      </c>
      <c r="BG44" s="171">
        <f t="shared" si="43"/>
        <v>0</v>
      </c>
      <c r="BI44" s="187">
        <f>IF(A44-'Invoer gegevens'!$C$17&lt;0,0,IF(A44-'Invoer gegevens'!$C$17=0,1,IF(A44-'Invoer gegevens'!$C$17&lt;5,2,IF(A44-'Invoer gegevens'!$C$17&lt;15,3,4))))</f>
        <v>0</v>
      </c>
      <c r="BJ44" s="229">
        <f>IF(BI44&lt;1,0,IF(BI44&lt;2,4%,IF('Reeksen (N)'!BI44&lt;3,4%,IF('Reeksen (N)'!BI44&lt;4,4%*70%,IF('Reeksen (N)'!BI44&lt;5,4%*50%)))))</f>
        <v>0</v>
      </c>
    </row>
    <row r="45" spans="1:62" x14ac:dyDescent="0.25">
      <c r="A45" s="184">
        <f t="shared" si="15"/>
        <v>40</v>
      </c>
      <c r="B45" s="179">
        <f>Dashboard!$D$25</f>
        <v>0</v>
      </c>
      <c r="C45" s="179">
        <f>Dashboard!$D$25</f>
        <v>0</v>
      </c>
      <c r="D45" s="180">
        <f t="shared" si="4"/>
        <v>0</v>
      </c>
      <c r="F45" s="184">
        <f t="shared" ca="1" si="16"/>
        <v>2059</v>
      </c>
      <c r="G45" s="179">
        <f t="shared" si="39"/>
        <v>0.02</v>
      </c>
      <c r="H45" s="182">
        <f t="shared" si="17"/>
        <v>2.2201506675929576</v>
      </c>
      <c r="I45" s="179">
        <f t="shared" si="40"/>
        <v>2.5000000000000001E-2</v>
      </c>
      <c r="J45" s="182">
        <f t="shared" si="18"/>
        <v>2.7037939576929033</v>
      </c>
      <c r="K45" s="179">
        <f t="shared" si="41"/>
        <v>2.5000000000000001E-2</v>
      </c>
      <c r="L45" s="182">
        <f t="shared" si="19"/>
        <v>2.7037939576929033</v>
      </c>
      <c r="N45" s="184">
        <f t="shared" ca="1" si="20"/>
        <v>2059</v>
      </c>
      <c r="O45" s="179">
        <f t="shared" si="36"/>
        <v>0.02</v>
      </c>
      <c r="P45" s="182">
        <f t="shared" si="21"/>
        <v>2.2179955616447824</v>
      </c>
      <c r="R45" s="184">
        <f t="shared" ca="1" si="22"/>
        <v>2059</v>
      </c>
      <c r="S45" s="188">
        <f t="shared" si="38"/>
        <v>5.3600000000000002E-3</v>
      </c>
      <c r="U45" s="184">
        <f t="shared" ca="1" si="23"/>
        <v>2059</v>
      </c>
      <c r="V45" s="182">
        <f t="shared" si="5"/>
        <v>0.02</v>
      </c>
      <c r="W45" s="180">
        <f>Parameters!$D$15</f>
        <v>5.0000000000000001E-3</v>
      </c>
      <c r="X45" s="182">
        <f t="shared" si="6"/>
        <v>2.5000000000000001E-2</v>
      </c>
      <c r="Y45" s="182">
        <f t="shared" si="24"/>
        <v>2.7064591076329081</v>
      </c>
      <c r="AB45" s="184">
        <f t="shared" ca="1" si="25"/>
        <v>2059</v>
      </c>
      <c r="AC45" s="171">
        <f t="shared" si="7"/>
        <v>0</v>
      </c>
      <c r="AD45" s="171">
        <f t="shared" si="0"/>
        <v>0</v>
      </c>
      <c r="AE45" s="171">
        <f t="shared" si="37"/>
        <v>1528.9464960221192</v>
      </c>
      <c r="AF45" s="171">
        <f t="shared" si="26"/>
        <v>0</v>
      </c>
      <c r="AG45" s="171">
        <f t="shared" si="27"/>
        <v>0</v>
      </c>
      <c r="AH45" s="171">
        <f t="shared" si="8"/>
        <v>0</v>
      </c>
      <c r="AI45" s="171">
        <f t="shared" si="9"/>
        <v>0</v>
      </c>
      <c r="AJ45" s="171">
        <f>IF('Invoer gegevens'!$I$27="DAEB",SMALL(AC45:AD45,1),AC45)</f>
        <v>0</v>
      </c>
      <c r="AK45" s="171">
        <f>IF('Invoer gegevens'!$I$27="DAEB",SMALL((AE45:AH45),1),SMALL((AF45:AH45),1))</f>
        <v>0</v>
      </c>
      <c r="AL45" s="171">
        <f t="shared" si="33"/>
        <v>0</v>
      </c>
      <c r="AM45" s="171">
        <f t="shared" si="34"/>
        <v>0</v>
      </c>
      <c r="AN45" s="175">
        <f t="shared" si="28"/>
        <v>0</v>
      </c>
      <c r="AP45" s="184">
        <f t="shared" ca="1" si="29"/>
        <v>2059</v>
      </c>
      <c r="AQ45" s="185">
        <f t="shared" si="10"/>
        <v>0.02</v>
      </c>
      <c r="AR45" s="182">
        <f t="shared" si="30"/>
        <v>2.2179955616447824</v>
      </c>
      <c r="AU45" s="184">
        <f t="shared" ca="1" si="31"/>
        <v>2059</v>
      </c>
      <c r="AV45" s="182">
        <f t="shared" si="11"/>
        <v>0.02</v>
      </c>
      <c r="AW45" s="179">
        <f t="shared" si="12"/>
        <v>5.0000000000000001E-3</v>
      </c>
      <c r="AX45" s="182">
        <f t="shared" si="13"/>
        <v>2.5000000000000001E-2</v>
      </c>
      <c r="AY45" s="186"/>
      <c r="BA45" s="184">
        <f t="shared" ca="1" si="32"/>
        <v>2059</v>
      </c>
      <c r="BB45" s="171">
        <f t="shared" si="14"/>
        <v>0</v>
      </c>
      <c r="BC45" s="171">
        <f t="shared" si="1"/>
        <v>1528.9464960221192</v>
      </c>
      <c r="BD45" s="171">
        <f t="shared" si="42"/>
        <v>0</v>
      </c>
      <c r="BE45" s="171">
        <f t="shared" si="43"/>
        <v>0</v>
      </c>
      <c r="BF45" s="171">
        <f t="shared" si="43"/>
        <v>0</v>
      </c>
      <c r="BG45" s="171">
        <f t="shared" si="43"/>
        <v>0</v>
      </c>
      <c r="BI45" s="187">
        <f>IF(A45-'Invoer gegevens'!$C$17&lt;0,0,IF(A45-'Invoer gegevens'!$C$17=0,1,IF(A45-'Invoer gegevens'!$C$17&lt;5,2,IF(A45-'Invoer gegevens'!$C$17&lt;15,3,4))))</f>
        <v>0</v>
      </c>
      <c r="BJ45" s="229">
        <f>IF(BI45&lt;1,0,IF(BI45&lt;2,4%,IF('Reeksen (N)'!BI45&lt;3,4%,IF('Reeksen (N)'!BI45&lt;4,4%*70%,IF('Reeksen (N)'!BI45&lt;5,4%*50%)))))</f>
        <v>0</v>
      </c>
    </row>
    <row r="46" spans="1:62" x14ac:dyDescent="0.25">
      <c r="A46" s="184">
        <f t="shared" si="15"/>
        <v>41</v>
      </c>
      <c r="B46" s="179">
        <f>Dashboard!$D$25</f>
        <v>0</v>
      </c>
      <c r="C46" s="179">
        <f>Dashboard!$D$25</f>
        <v>0</v>
      </c>
      <c r="D46" s="180">
        <f t="shared" si="4"/>
        <v>0</v>
      </c>
      <c r="F46" s="184">
        <f t="shared" ca="1" si="16"/>
        <v>2060</v>
      </c>
      <c r="G46" s="179">
        <f t="shared" si="39"/>
        <v>0.02</v>
      </c>
      <c r="H46" s="182">
        <f t="shared" si="17"/>
        <v>2.2645536809448168</v>
      </c>
      <c r="I46" s="179">
        <f t="shared" si="40"/>
        <v>2.5000000000000001E-2</v>
      </c>
      <c r="J46" s="182">
        <f t="shared" si="18"/>
        <v>2.7713888066352257</v>
      </c>
      <c r="K46" s="179">
        <f t="shared" si="41"/>
        <v>2.5000000000000001E-2</v>
      </c>
      <c r="L46" s="182">
        <f t="shared" si="19"/>
        <v>2.7713888066352257</v>
      </c>
      <c r="N46" s="184">
        <f t="shared" ca="1" si="20"/>
        <v>2060</v>
      </c>
      <c r="O46" s="179">
        <f t="shared" si="36"/>
        <v>0.02</v>
      </c>
      <c r="P46" s="182">
        <f t="shared" si="21"/>
        <v>2.2623554728776782</v>
      </c>
      <c r="R46" s="184">
        <f t="shared" ca="1" si="22"/>
        <v>2060</v>
      </c>
      <c r="S46" s="188">
        <f t="shared" si="38"/>
        <v>5.3600000000000002E-3</v>
      </c>
      <c r="U46" s="184">
        <f t="shared" ca="1" si="23"/>
        <v>2060</v>
      </c>
      <c r="V46" s="182">
        <f t="shared" si="5"/>
        <v>0.02</v>
      </c>
      <c r="W46" s="180">
        <f>Parameters!$D$15</f>
        <v>5.0000000000000001E-3</v>
      </c>
      <c r="X46" s="182">
        <f t="shared" si="6"/>
        <v>2.5000000000000001E-2</v>
      </c>
      <c r="Y46" s="182">
        <f t="shared" si="24"/>
        <v>2.7741205853237307</v>
      </c>
      <c r="AB46" s="184">
        <f t="shared" ca="1" si="25"/>
        <v>2060</v>
      </c>
      <c r="AC46" s="171">
        <f t="shared" si="7"/>
        <v>0</v>
      </c>
      <c r="AD46" s="171">
        <f t="shared" si="0"/>
        <v>0</v>
      </c>
      <c r="AE46" s="171">
        <f t="shared" si="37"/>
        <v>1559.5254259425615</v>
      </c>
      <c r="AF46" s="171">
        <f t="shared" si="26"/>
        <v>0</v>
      </c>
      <c r="AG46" s="171">
        <f t="shared" si="27"/>
        <v>0</v>
      </c>
      <c r="AH46" s="171">
        <f t="shared" si="8"/>
        <v>0</v>
      </c>
      <c r="AI46" s="171">
        <f t="shared" si="9"/>
        <v>0</v>
      </c>
      <c r="AJ46" s="171">
        <f>IF('Invoer gegevens'!$I$27="DAEB",SMALL(AC46:AD46,1),AC46)</f>
        <v>0</v>
      </c>
      <c r="AK46" s="171">
        <f>IF('Invoer gegevens'!$I$27="DAEB",SMALL((AE46:AH46),1),SMALL((AF46:AH46),1))</f>
        <v>0</v>
      </c>
      <c r="AL46" s="171">
        <f t="shared" si="33"/>
        <v>0</v>
      </c>
      <c r="AM46" s="171">
        <f t="shared" si="34"/>
        <v>0</v>
      </c>
      <c r="AN46" s="175">
        <f t="shared" si="28"/>
        <v>0</v>
      </c>
      <c r="AP46" s="184">
        <f t="shared" ca="1" si="29"/>
        <v>2060</v>
      </c>
      <c r="AQ46" s="185">
        <f t="shared" si="10"/>
        <v>0.02</v>
      </c>
      <c r="AR46" s="182">
        <f t="shared" si="30"/>
        <v>2.2623554728776782</v>
      </c>
      <c r="AU46" s="184">
        <f t="shared" ca="1" si="31"/>
        <v>2060</v>
      </c>
      <c r="AV46" s="182">
        <f t="shared" si="11"/>
        <v>0.02</v>
      </c>
      <c r="AW46" s="179">
        <f t="shared" si="12"/>
        <v>5.0000000000000001E-3</v>
      </c>
      <c r="AX46" s="182">
        <f t="shared" si="13"/>
        <v>2.5000000000000001E-2</v>
      </c>
      <c r="AY46" s="186"/>
      <c r="BA46" s="184">
        <f t="shared" ca="1" si="32"/>
        <v>2060</v>
      </c>
      <c r="BB46" s="171">
        <f t="shared" si="14"/>
        <v>0</v>
      </c>
      <c r="BC46" s="171">
        <f t="shared" si="1"/>
        <v>1559.5254259425615</v>
      </c>
      <c r="BD46" s="171">
        <f t="shared" si="42"/>
        <v>0</v>
      </c>
      <c r="BE46" s="171">
        <f t="shared" si="43"/>
        <v>0</v>
      </c>
      <c r="BF46" s="171">
        <f t="shared" si="43"/>
        <v>0</v>
      </c>
      <c r="BG46" s="171">
        <f t="shared" si="43"/>
        <v>0</v>
      </c>
      <c r="BI46" s="187">
        <f>IF(A46-'Invoer gegevens'!$C$17&lt;0,0,IF(A46-'Invoer gegevens'!$C$17=0,1,IF(A46-'Invoer gegevens'!$C$17&lt;5,2,IF(A46-'Invoer gegevens'!$C$17&lt;15,3,4))))</f>
        <v>0</v>
      </c>
      <c r="BJ46" s="229">
        <f>IF(BI46&lt;1,0,IF(BI46&lt;2,4%,IF('Reeksen (N)'!BI46&lt;3,4%,IF('Reeksen (N)'!BI46&lt;4,4%*70%,IF('Reeksen (N)'!BI46&lt;5,4%*50%)))))</f>
        <v>0</v>
      </c>
    </row>
    <row r="47" spans="1:62" x14ac:dyDescent="0.25">
      <c r="A47" s="184">
        <f t="shared" si="15"/>
        <v>42</v>
      </c>
      <c r="B47" s="179">
        <f>Dashboard!$D$25</f>
        <v>0</v>
      </c>
      <c r="C47" s="179">
        <f>Dashboard!$D$25</f>
        <v>0</v>
      </c>
      <c r="D47" s="180">
        <f t="shared" si="4"/>
        <v>0</v>
      </c>
      <c r="F47" s="184">
        <f t="shared" ca="1" si="16"/>
        <v>2061</v>
      </c>
      <c r="G47" s="179">
        <f t="shared" si="39"/>
        <v>0.02</v>
      </c>
      <c r="H47" s="182">
        <f t="shared" si="17"/>
        <v>2.3098447545637133</v>
      </c>
      <c r="I47" s="179">
        <f t="shared" si="40"/>
        <v>2.5000000000000001E-2</v>
      </c>
      <c r="J47" s="182">
        <f t="shared" si="18"/>
        <v>2.8406735268011061</v>
      </c>
      <c r="K47" s="179">
        <f t="shared" si="41"/>
        <v>2.5000000000000001E-2</v>
      </c>
      <c r="L47" s="182">
        <f t="shared" si="19"/>
        <v>2.8406735268011061</v>
      </c>
      <c r="N47" s="184">
        <f t="shared" ca="1" si="20"/>
        <v>2061</v>
      </c>
      <c r="O47" s="179">
        <f t="shared" si="36"/>
        <v>0.02</v>
      </c>
      <c r="P47" s="182">
        <f t="shared" si="21"/>
        <v>2.3076025823352317</v>
      </c>
      <c r="R47" s="184">
        <f t="shared" ca="1" si="22"/>
        <v>2061</v>
      </c>
      <c r="S47" s="188">
        <f t="shared" si="38"/>
        <v>5.3600000000000002E-3</v>
      </c>
      <c r="U47" s="184">
        <f t="shared" ca="1" si="23"/>
        <v>2061</v>
      </c>
      <c r="V47" s="182">
        <f t="shared" si="5"/>
        <v>0.02</v>
      </c>
      <c r="W47" s="180">
        <f>Parameters!$D$15</f>
        <v>5.0000000000000001E-3</v>
      </c>
      <c r="X47" s="182">
        <f t="shared" si="6"/>
        <v>2.5000000000000001E-2</v>
      </c>
      <c r="Y47" s="182">
        <f t="shared" si="24"/>
        <v>2.8434735999568237</v>
      </c>
      <c r="AB47" s="184">
        <f t="shared" ca="1" si="25"/>
        <v>2061</v>
      </c>
      <c r="AC47" s="171">
        <f t="shared" si="7"/>
        <v>0</v>
      </c>
      <c r="AD47" s="171">
        <f t="shared" si="0"/>
        <v>0</v>
      </c>
      <c r="AE47" s="171">
        <f t="shared" si="37"/>
        <v>1590.7159344614126</v>
      </c>
      <c r="AF47" s="171">
        <f t="shared" si="26"/>
        <v>0</v>
      </c>
      <c r="AG47" s="171">
        <f t="shared" si="27"/>
        <v>0</v>
      </c>
      <c r="AH47" s="171">
        <f t="shared" si="8"/>
        <v>0</v>
      </c>
      <c r="AI47" s="171">
        <f t="shared" si="9"/>
        <v>0</v>
      </c>
      <c r="AJ47" s="171">
        <f>IF('Invoer gegevens'!$I$27="DAEB",SMALL(AC47:AD47,1),AC47)</f>
        <v>0</v>
      </c>
      <c r="AK47" s="171">
        <f>IF('Invoer gegevens'!$I$27="DAEB",SMALL((AE47:AH47),1),SMALL((AF47:AH47),1))</f>
        <v>0</v>
      </c>
      <c r="AL47" s="171">
        <f t="shared" si="33"/>
        <v>0</v>
      </c>
      <c r="AM47" s="171">
        <f t="shared" si="34"/>
        <v>0</v>
      </c>
      <c r="AN47" s="175">
        <f t="shared" si="28"/>
        <v>0</v>
      </c>
      <c r="AP47" s="184">
        <f t="shared" ca="1" si="29"/>
        <v>2061</v>
      </c>
      <c r="AQ47" s="185">
        <f t="shared" si="10"/>
        <v>0.02</v>
      </c>
      <c r="AR47" s="182">
        <f t="shared" si="30"/>
        <v>2.3076025823352317</v>
      </c>
      <c r="AU47" s="184">
        <f t="shared" ca="1" si="31"/>
        <v>2061</v>
      </c>
      <c r="AV47" s="182">
        <f t="shared" si="11"/>
        <v>0.02</v>
      </c>
      <c r="AW47" s="179">
        <f t="shared" si="12"/>
        <v>5.0000000000000001E-3</v>
      </c>
      <c r="AX47" s="182">
        <f t="shared" si="13"/>
        <v>2.5000000000000001E-2</v>
      </c>
      <c r="AY47" s="186"/>
      <c r="BA47" s="184">
        <f t="shared" ca="1" si="32"/>
        <v>2061</v>
      </c>
      <c r="BB47" s="171">
        <f t="shared" si="14"/>
        <v>0</v>
      </c>
      <c r="BC47" s="171">
        <f t="shared" si="1"/>
        <v>1590.7159344614126</v>
      </c>
      <c r="BD47" s="171">
        <f t="shared" si="42"/>
        <v>0</v>
      </c>
      <c r="BE47" s="171">
        <f t="shared" si="43"/>
        <v>0</v>
      </c>
      <c r="BF47" s="171">
        <f t="shared" si="43"/>
        <v>0</v>
      </c>
      <c r="BG47" s="171">
        <f t="shared" si="43"/>
        <v>0</v>
      </c>
      <c r="BI47" s="187">
        <f>IF(A47-'Invoer gegevens'!$C$17&lt;0,0,IF(A47-'Invoer gegevens'!$C$17=0,1,IF(A47-'Invoer gegevens'!$C$17&lt;5,2,IF(A47-'Invoer gegevens'!$C$17&lt;15,3,4))))</f>
        <v>0</v>
      </c>
      <c r="BJ47" s="229">
        <f>IF(BI47&lt;1,0,IF(BI47&lt;2,4%,IF('Reeksen (N)'!BI47&lt;3,4%,IF('Reeksen (N)'!BI47&lt;4,4%*70%,IF('Reeksen (N)'!BI47&lt;5,4%*50%)))))</f>
        <v>0</v>
      </c>
    </row>
    <row r="48" spans="1:62" x14ac:dyDescent="0.25">
      <c r="A48" s="184">
        <f t="shared" si="15"/>
        <v>43</v>
      </c>
      <c r="B48" s="179">
        <f>Dashboard!$D$25</f>
        <v>0</v>
      </c>
      <c r="C48" s="179">
        <f>Dashboard!$D$25</f>
        <v>0</v>
      </c>
      <c r="D48" s="180">
        <f t="shared" si="4"/>
        <v>0</v>
      </c>
      <c r="F48" s="184">
        <f t="shared" ca="1" si="16"/>
        <v>2062</v>
      </c>
      <c r="G48" s="179">
        <f t="shared" si="39"/>
        <v>0.02</v>
      </c>
      <c r="H48" s="182">
        <f t="shared" si="17"/>
        <v>2.3560416496549874</v>
      </c>
      <c r="I48" s="179">
        <f t="shared" si="40"/>
        <v>2.5000000000000001E-2</v>
      </c>
      <c r="J48" s="182">
        <f t="shared" si="18"/>
        <v>2.9116903649711334</v>
      </c>
      <c r="K48" s="179">
        <f t="shared" si="41"/>
        <v>2.5000000000000001E-2</v>
      </c>
      <c r="L48" s="182">
        <f t="shared" si="19"/>
        <v>2.9116903649711334</v>
      </c>
      <c r="N48" s="184">
        <f t="shared" ca="1" si="20"/>
        <v>2062</v>
      </c>
      <c r="O48" s="179">
        <f t="shared" si="36"/>
        <v>0.02</v>
      </c>
      <c r="P48" s="182">
        <f t="shared" si="21"/>
        <v>2.3537546339819366</v>
      </c>
      <c r="R48" s="184">
        <f t="shared" ca="1" si="22"/>
        <v>2062</v>
      </c>
      <c r="S48" s="188">
        <f t="shared" si="38"/>
        <v>5.3600000000000002E-3</v>
      </c>
      <c r="U48" s="184">
        <f t="shared" ca="1" si="23"/>
        <v>2062</v>
      </c>
      <c r="V48" s="182">
        <f t="shared" si="5"/>
        <v>0.02</v>
      </c>
      <c r="W48" s="180">
        <f>Parameters!$D$15</f>
        <v>5.0000000000000001E-3</v>
      </c>
      <c r="X48" s="182">
        <f t="shared" si="6"/>
        <v>2.5000000000000001E-2</v>
      </c>
      <c r="Y48" s="182">
        <f t="shared" si="24"/>
        <v>2.9145604399557441</v>
      </c>
      <c r="AB48" s="184">
        <f t="shared" ca="1" si="25"/>
        <v>2062</v>
      </c>
      <c r="AC48" s="171">
        <f t="shared" si="7"/>
        <v>0</v>
      </c>
      <c r="AD48" s="171">
        <f t="shared" si="0"/>
        <v>0</v>
      </c>
      <c r="AE48" s="171">
        <f t="shared" si="37"/>
        <v>1622.5302531506409</v>
      </c>
      <c r="AF48" s="171">
        <f t="shared" si="26"/>
        <v>0</v>
      </c>
      <c r="AG48" s="171">
        <f t="shared" si="27"/>
        <v>0</v>
      </c>
      <c r="AH48" s="171">
        <f t="shared" si="8"/>
        <v>0</v>
      </c>
      <c r="AI48" s="171">
        <f t="shared" si="9"/>
        <v>0</v>
      </c>
      <c r="AJ48" s="171">
        <f>IF('Invoer gegevens'!$I$27="DAEB",SMALL(AC48:AD48,1),AC48)</f>
        <v>0</v>
      </c>
      <c r="AK48" s="171">
        <f>IF('Invoer gegevens'!$I$27="DAEB",SMALL((AE48:AH48),1),SMALL((AF48:AH48),1))</f>
        <v>0</v>
      </c>
      <c r="AL48" s="171">
        <f t="shared" si="33"/>
        <v>0</v>
      </c>
      <c r="AM48" s="171">
        <f t="shared" si="34"/>
        <v>0</v>
      </c>
      <c r="AN48" s="175">
        <f t="shared" si="28"/>
        <v>0</v>
      </c>
      <c r="AP48" s="184">
        <f t="shared" ca="1" si="29"/>
        <v>2062</v>
      </c>
      <c r="AQ48" s="185">
        <f t="shared" si="10"/>
        <v>0.02</v>
      </c>
      <c r="AR48" s="182">
        <f t="shared" si="30"/>
        <v>2.3537546339819366</v>
      </c>
      <c r="AU48" s="184">
        <f t="shared" ca="1" si="31"/>
        <v>2062</v>
      </c>
      <c r="AV48" s="182">
        <f t="shared" si="11"/>
        <v>0.02</v>
      </c>
      <c r="AW48" s="179">
        <f t="shared" si="12"/>
        <v>5.0000000000000001E-3</v>
      </c>
      <c r="AX48" s="182">
        <f t="shared" si="13"/>
        <v>2.5000000000000001E-2</v>
      </c>
      <c r="AY48" s="186"/>
      <c r="BA48" s="184">
        <f t="shared" ca="1" si="32"/>
        <v>2062</v>
      </c>
      <c r="BB48" s="171">
        <f t="shared" si="14"/>
        <v>0</v>
      </c>
      <c r="BC48" s="171">
        <f t="shared" si="1"/>
        <v>1622.5302531506409</v>
      </c>
      <c r="BD48" s="171">
        <f t="shared" si="42"/>
        <v>0</v>
      </c>
      <c r="BE48" s="171">
        <f t="shared" si="43"/>
        <v>0</v>
      </c>
      <c r="BF48" s="171">
        <f t="shared" si="43"/>
        <v>0</v>
      </c>
      <c r="BG48" s="171">
        <f t="shared" si="43"/>
        <v>0</v>
      </c>
      <c r="BI48" s="187">
        <f>IF(A48-'Invoer gegevens'!$C$17&lt;0,0,IF(A48-'Invoer gegevens'!$C$17=0,1,IF(A48-'Invoer gegevens'!$C$17&lt;5,2,IF(A48-'Invoer gegevens'!$C$17&lt;15,3,4))))</f>
        <v>0</v>
      </c>
      <c r="BJ48" s="229">
        <f>IF(BI48&lt;1,0,IF(BI48&lt;2,4%,IF('Reeksen (N)'!BI48&lt;3,4%,IF('Reeksen (N)'!BI48&lt;4,4%*70%,IF('Reeksen (N)'!BI48&lt;5,4%*50%)))))</f>
        <v>0</v>
      </c>
    </row>
    <row r="49" spans="1:62" x14ac:dyDescent="0.25">
      <c r="A49" s="184">
        <f t="shared" si="15"/>
        <v>44</v>
      </c>
      <c r="B49" s="179">
        <f>Dashboard!$D$25</f>
        <v>0</v>
      </c>
      <c r="C49" s="179">
        <f>Dashboard!$D$25</f>
        <v>0</v>
      </c>
      <c r="D49" s="180">
        <f t="shared" si="4"/>
        <v>0</v>
      </c>
      <c r="F49" s="184">
        <f t="shared" ca="1" si="16"/>
        <v>2063</v>
      </c>
      <c r="G49" s="179">
        <f t="shared" si="39"/>
        <v>0.02</v>
      </c>
      <c r="H49" s="182">
        <f t="shared" si="17"/>
        <v>2.4031624826480873</v>
      </c>
      <c r="I49" s="179">
        <f t="shared" si="40"/>
        <v>2.5000000000000001E-2</v>
      </c>
      <c r="J49" s="182">
        <f t="shared" si="18"/>
        <v>2.9844826240954117</v>
      </c>
      <c r="K49" s="179">
        <f t="shared" si="41"/>
        <v>2.5000000000000001E-2</v>
      </c>
      <c r="L49" s="182">
        <f t="shared" si="19"/>
        <v>2.9844826240954117</v>
      </c>
      <c r="N49" s="184">
        <f t="shared" ca="1" si="20"/>
        <v>2063</v>
      </c>
      <c r="O49" s="179">
        <f t="shared" si="36"/>
        <v>0.02</v>
      </c>
      <c r="P49" s="182">
        <f t="shared" si="21"/>
        <v>2.4008297266615752</v>
      </c>
      <c r="R49" s="184">
        <f t="shared" ca="1" si="22"/>
        <v>2063</v>
      </c>
      <c r="S49" s="188">
        <f t="shared" si="38"/>
        <v>5.3600000000000002E-3</v>
      </c>
      <c r="U49" s="184">
        <f t="shared" ca="1" si="23"/>
        <v>2063</v>
      </c>
      <c r="V49" s="182">
        <f t="shared" si="5"/>
        <v>0.02</v>
      </c>
      <c r="W49" s="180">
        <f>Parameters!$D$15</f>
        <v>5.0000000000000001E-3</v>
      </c>
      <c r="X49" s="182">
        <f t="shared" si="6"/>
        <v>2.5000000000000001E-2</v>
      </c>
      <c r="Y49" s="182">
        <f t="shared" si="24"/>
        <v>2.9874244509546375</v>
      </c>
      <c r="AB49" s="184">
        <f t="shared" ca="1" si="25"/>
        <v>2063</v>
      </c>
      <c r="AC49" s="171">
        <f t="shared" si="7"/>
        <v>0</v>
      </c>
      <c r="AD49" s="171">
        <f t="shared" si="0"/>
        <v>0</v>
      </c>
      <c r="AE49" s="171">
        <f t="shared" si="37"/>
        <v>1654.9808582136536</v>
      </c>
      <c r="AF49" s="171">
        <f t="shared" si="26"/>
        <v>0</v>
      </c>
      <c r="AG49" s="171">
        <f t="shared" si="27"/>
        <v>0</v>
      </c>
      <c r="AH49" s="171">
        <f t="shared" si="8"/>
        <v>0</v>
      </c>
      <c r="AI49" s="171">
        <f t="shared" si="9"/>
        <v>0</v>
      </c>
      <c r="AJ49" s="171">
        <f>IF('Invoer gegevens'!$I$27="DAEB",SMALL(AC49:AD49,1),AC49)</f>
        <v>0</v>
      </c>
      <c r="AK49" s="171">
        <f>IF('Invoer gegevens'!$I$27="DAEB",SMALL((AE49:AH49),1),SMALL((AF49:AH49),1))</f>
        <v>0</v>
      </c>
      <c r="AL49" s="171">
        <f t="shared" si="33"/>
        <v>0</v>
      </c>
      <c r="AM49" s="171">
        <f t="shared" si="34"/>
        <v>0</v>
      </c>
      <c r="AN49" s="175">
        <f t="shared" si="28"/>
        <v>0</v>
      </c>
      <c r="AP49" s="184">
        <f t="shared" ca="1" si="29"/>
        <v>2063</v>
      </c>
      <c r="AQ49" s="185">
        <f t="shared" si="10"/>
        <v>0.02</v>
      </c>
      <c r="AR49" s="182">
        <f t="shared" si="30"/>
        <v>2.4008297266615752</v>
      </c>
      <c r="AU49" s="184">
        <f t="shared" ca="1" si="31"/>
        <v>2063</v>
      </c>
      <c r="AV49" s="182">
        <f t="shared" si="11"/>
        <v>0.02</v>
      </c>
      <c r="AW49" s="179">
        <f t="shared" si="12"/>
        <v>5.0000000000000001E-3</v>
      </c>
      <c r="AX49" s="182">
        <f t="shared" si="13"/>
        <v>2.5000000000000001E-2</v>
      </c>
      <c r="AY49" s="186"/>
      <c r="BA49" s="184">
        <f t="shared" ca="1" si="32"/>
        <v>2063</v>
      </c>
      <c r="BB49" s="171">
        <f t="shared" si="14"/>
        <v>0</v>
      </c>
      <c r="BC49" s="171">
        <f t="shared" si="1"/>
        <v>1654.9808582136536</v>
      </c>
      <c r="BD49" s="171">
        <f t="shared" si="42"/>
        <v>0</v>
      </c>
      <c r="BE49" s="171">
        <f t="shared" si="43"/>
        <v>0</v>
      </c>
      <c r="BF49" s="171">
        <f t="shared" si="43"/>
        <v>0</v>
      </c>
      <c r="BG49" s="171">
        <f t="shared" si="43"/>
        <v>0</v>
      </c>
      <c r="BI49" s="187">
        <f>IF(A49-'Invoer gegevens'!$C$17&lt;0,0,IF(A49-'Invoer gegevens'!$C$17=0,1,IF(A49-'Invoer gegevens'!$C$17&lt;5,2,IF(A49-'Invoer gegevens'!$C$17&lt;15,3,4))))</f>
        <v>0</v>
      </c>
      <c r="BJ49" s="229">
        <f>IF(BI49&lt;1,0,IF(BI49&lt;2,4%,IF('Reeksen (N)'!BI49&lt;3,4%,IF('Reeksen (N)'!BI49&lt;4,4%*70%,IF('Reeksen (N)'!BI49&lt;5,4%*50%)))))</f>
        <v>0</v>
      </c>
    </row>
    <row r="50" spans="1:62" x14ac:dyDescent="0.25">
      <c r="A50" s="184">
        <f t="shared" si="15"/>
        <v>45</v>
      </c>
      <c r="B50" s="179">
        <f>Dashboard!$D$25</f>
        <v>0</v>
      </c>
      <c r="C50" s="179">
        <f>Dashboard!$D$25</f>
        <v>0</v>
      </c>
      <c r="D50" s="180">
        <f t="shared" si="4"/>
        <v>0</v>
      </c>
      <c r="F50" s="184">
        <f t="shared" ca="1" si="16"/>
        <v>2064</v>
      </c>
      <c r="G50" s="179">
        <f t="shared" si="39"/>
        <v>0.02</v>
      </c>
      <c r="H50" s="182">
        <f t="shared" si="17"/>
        <v>2.4512257323010491</v>
      </c>
      <c r="I50" s="179">
        <f t="shared" si="40"/>
        <v>2.5000000000000001E-2</v>
      </c>
      <c r="J50" s="182">
        <f t="shared" si="18"/>
        <v>3.0590946896977966</v>
      </c>
      <c r="K50" s="179">
        <f t="shared" si="41"/>
        <v>2.5000000000000001E-2</v>
      </c>
      <c r="L50" s="182">
        <f t="shared" si="19"/>
        <v>3.0590946896977966</v>
      </c>
      <c r="N50" s="184">
        <f t="shared" ca="1" si="20"/>
        <v>2064</v>
      </c>
      <c r="O50" s="179">
        <f t="shared" si="36"/>
        <v>0.02</v>
      </c>
      <c r="P50" s="182">
        <f t="shared" si="21"/>
        <v>2.4488463211948068</v>
      </c>
      <c r="R50" s="184">
        <f t="shared" ca="1" si="22"/>
        <v>2064</v>
      </c>
      <c r="S50" s="188">
        <f t="shared" si="38"/>
        <v>5.3600000000000002E-3</v>
      </c>
      <c r="U50" s="184">
        <f t="shared" ca="1" si="23"/>
        <v>2064</v>
      </c>
      <c r="V50" s="182">
        <f t="shared" si="5"/>
        <v>0.02</v>
      </c>
      <c r="W50" s="180">
        <f>Parameters!$D$15</f>
        <v>5.0000000000000001E-3</v>
      </c>
      <c r="X50" s="182">
        <f t="shared" si="6"/>
        <v>2.5000000000000001E-2</v>
      </c>
      <c r="Y50" s="182">
        <f t="shared" si="24"/>
        <v>3.0621100622285033</v>
      </c>
      <c r="AB50" s="184">
        <f t="shared" ca="1" si="25"/>
        <v>2064</v>
      </c>
      <c r="AC50" s="171">
        <f t="shared" si="7"/>
        <v>0</v>
      </c>
      <c r="AD50" s="171">
        <f t="shared" si="0"/>
        <v>0</v>
      </c>
      <c r="AE50" s="171">
        <f t="shared" si="37"/>
        <v>1688.0804753779266</v>
      </c>
      <c r="AF50" s="171">
        <f t="shared" si="26"/>
        <v>0</v>
      </c>
      <c r="AG50" s="171">
        <f t="shared" si="27"/>
        <v>0</v>
      </c>
      <c r="AH50" s="171">
        <f t="shared" si="8"/>
        <v>0</v>
      </c>
      <c r="AI50" s="171">
        <f t="shared" si="9"/>
        <v>0</v>
      </c>
      <c r="AJ50" s="171">
        <f>IF('Invoer gegevens'!$I$27="DAEB",SMALL(AC50:AD50,1),AC50)</f>
        <v>0</v>
      </c>
      <c r="AK50" s="171">
        <f>IF('Invoer gegevens'!$I$27="DAEB",SMALL((AE50:AH50),1),SMALL((AF50:AH50),1))</f>
        <v>0</v>
      </c>
      <c r="AL50" s="171">
        <f t="shared" si="33"/>
        <v>0</v>
      </c>
      <c r="AM50" s="171">
        <f t="shared" si="34"/>
        <v>0</v>
      </c>
      <c r="AN50" s="175">
        <f t="shared" si="28"/>
        <v>0</v>
      </c>
      <c r="AP50" s="184">
        <f t="shared" ca="1" si="29"/>
        <v>2064</v>
      </c>
      <c r="AQ50" s="185">
        <f t="shared" si="10"/>
        <v>0.02</v>
      </c>
      <c r="AR50" s="182">
        <f t="shared" si="30"/>
        <v>2.4488463211948068</v>
      </c>
      <c r="AU50" s="184">
        <f t="shared" ca="1" si="31"/>
        <v>2064</v>
      </c>
      <c r="AV50" s="182">
        <f t="shared" si="11"/>
        <v>0.02</v>
      </c>
      <c r="AW50" s="179">
        <f t="shared" si="12"/>
        <v>5.0000000000000001E-3</v>
      </c>
      <c r="AX50" s="182">
        <f t="shared" si="13"/>
        <v>2.5000000000000001E-2</v>
      </c>
      <c r="AY50" s="186"/>
      <c r="BA50" s="184">
        <f t="shared" ca="1" si="32"/>
        <v>2064</v>
      </c>
      <c r="BB50" s="171">
        <f t="shared" si="14"/>
        <v>0</v>
      </c>
      <c r="BC50" s="171">
        <f t="shared" si="1"/>
        <v>1688.0804753779266</v>
      </c>
      <c r="BD50" s="171">
        <f t="shared" si="42"/>
        <v>0</v>
      </c>
      <c r="BE50" s="171">
        <f t="shared" si="43"/>
        <v>0</v>
      </c>
      <c r="BF50" s="171">
        <f t="shared" si="43"/>
        <v>0</v>
      </c>
      <c r="BG50" s="171">
        <f t="shared" si="43"/>
        <v>0</v>
      </c>
      <c r="BI50" s="187">
        <f>IF(A50-'Invoer gegevens'!$C$17&lt;0,0,IF(A50-'Invoer gegevens'!$C$17=0,1,IF(A50-'Invoer gegevens'!$C$17&lt;5,2,IF(A50-'Invoer gegevens'!$C$17&lt;15,3,4))))</f>
        <v>0</v>
      </c>
      <c r="BJ50" s="229">
        <f>IF(BI50&lt;1,0,IF(BI50&lt;2,4%,IF('Reeksen (N)'!BI50&lt;3,4%,IF('Reeksen (N)'!BI50&lt;4,4%*70%,IF('Reeksen (N)'!BI50&lt;5,4%*50%)))))</f>
        <v>0</v>
      </c>
    </row>
    <row r="51" spans="1:62" x14ac:dyDescent="0.25">
      <c r="A51" s="184">
        <f t="shared" si="15"/>
        <v>46</v>
      </c>
      <c r="B51" s="179">
        <f>Dashboard!$D$25</f>
        <v>0</v>
      </c>
      <c r="C51" s="179">
        <f>Dashboard!$D$25</f>
        <v>0</v>
      </c>
      <c r="D51" s="180">
        <f t="shared" si="4"/>
        <v>0</v>
      </c>
      <c r="F51" s="184">
        <f t="shared" ca="1" si="16"/>
        <v>2065</v>
      </c>
      <c r="G51" s="179">
        <f t="shared" si="39"/>
        <v>0.02</v>
      </c>
      <c r="H51" s="182">
        <f t="shared" si="17"/>
        <v>2.5002502469470702</v>
      </c>
      <c r="I51" s="179">
        <f t="shared" si="40"/>
        <v>2.5000000000000001E-2</v>
      </c>
      <c r="J51" s="182">
        <f t="shared" si="18"/>
        <v>3.1355720569402412</v>
      </c>
      <c r="K51" s="179">
        <f t="shared" si="41"/>
        <v>2.5000000000000001E-2</v>
      </c>
      <c r="L51" s="182">
        <f t="shared" si="19"/>
        <v>3.1355720569402412</v>
      </c>
      <c r="N51" s="184">
        <f t="shared" ca="1" si="20"/>
        <v>2065</v>
      </c>
      <c r="O51" s="179">
        <f t="shared" si="36"/>
        <v>0.02</v>
      </c>
      <c r="P51" s="182">
        <f t="shared" si="21"/>
        <v>2.4978232476187032</v>
      </c>
      <c r="R51" s="184">
        <f t="shared" ca="1" si="22"/>
        <v>2065</v>
      </c>
      <c r="S51" s="188">
        <f t="shared" si="38"/>
        <v>5.3600000000000002E-3</v>
      </c>
      <c r="U51" s="184">
        <f t="shared" ca="1" si="23"/>
        <v>2065</v>
      </c>
      <c r="V51" s="182">
        <f t="shared" si="5"/>
        <v>0.02</v>
      </c>
      <c r="W51" s="180">
        <f>Parameters!$D$15</f>
        <v>5.0000000000000001E-3</v>
      </c>
      <c r="X51" s="182">
        <f t="shared" si="6"/>
        <v>2.5000000000000001E-2</v>
      </c>
      <c r="Y51" s="182">
        <f t="shared" si="24"/>
        <v>3.1386628137842156</v>
      </c>
      <c r="AB51" s="184">
        <f t="shared" ca="1" si="25"/>
        <v>2065</v>
      </c>
      <c r="AC51" s="171">
        <f t="shared" si="7"/>
        <v>0</v>
      </c>
      <c r="AD51" s="171">
        <f t="shared" si="0"/>
        <v>0</v>
      </c>
      <c r="AE51" s="171">
        <f t="shared" si="37"/>
        <v>1721.8420848854853</v>
      </c>
      <c r="AF51" s="171">
        <f t="shared" si="26"/>
        <v>0</v>
      </c>
      <c r="AG51" s="171">
        <f t="shared" si="27"/>
        <v>0</v>
      </c>
      <c r="AH51" s="171">
        <f t="shared" si="8"/>
        <v>0</v>
      </c>
      <c r="AI51" s="171">
        <f t="shared" si="9"/>
        <v>0</v>
      </c>
      <c r="AJ51" s="171">
        <f>IF('Invoer gegevens'!$I$27="DAEB",SMALL(AC51:AD51,1),AC51)</f>
        <v>0</v>
      </c>
      <c r="AK51" s="171">
        <f>IF('Invoer gegevens'!$I$27="DAEB",SMALL((AE51:AH51),1),SMALL((AF51:AH51),1))</f>
        <v>0</v>
      </c>
      <c r="AL51" s="171">
        <f t="shared" si="33"/>
        <v>0</v>
      </c>
      <c r="AM51" s="171">
        <f t="shared" si="34"/>
        <v>0</v>
      </c>
      <c r="AN51" s="175">
        <f t="shared" si="28"/>
        <v>0</v>
      </c>
      <c r="AP51" s="184">
        <f t="shared" ca="1" si="29"/>
        <v>2065</v>
      </c>
      <c r="AQ51" s="185">
        <f t="shared" si="10"/>
        <v>0.02</v>
      </c>
      <c r="AR51" s="182">
        <f t="shared" si="30"/>
        <v>2.4978232476187032</v>
      </c>
      <c r="AU51" s="184">
        <f t="shared" ca="1" si="31"/>
        <v>2065</v>
      </c>
      <c r="AV51" s="182">
        <f t="shared" si="11"/>
        <v>0.02</v>
      </c>
      <c r="AW51" s="179">
        <f t="shared" si="12"/>
        <v>5.0000000000000001E-3</v>
      </c>
      <c r="AX51" s="182">
        <f t="shared" si="13"/>
        <v>2.5000000000000001E-2</v>
      </c>
      <c r="AY51" s="186"/>
      <c r="BA51" s="184">
        <f t="shared" ca="1" si="32"/>
        <v>2065</v>
      </c>
      <c r="BB51" s="171">
        <f t="shared" si="14"/>
        <v>0</v>
      </c>
      <c r="BC51" s="171">
        <f t="shared" si="1"/>
        <v>1721.8420848854853</v>
      </c>
      <c r="BD51" s="171">
        <f t="shared" si="42"/>
        <v>0</v>
      </c>
      <c r="BE51" s="171">
        <f t="shared" si="43"/>
        <v>0</v>
      </c>
      <c r="BF51" s="171">
        <f t="shared" si="43"/>
        <v>0</v>
      </c>
      <c r="BG51" s="171">
        <f t="shared" si="43"/>
        <v>0</v>
      </c>
      <c r="BI51" s="187">
        <f>IF(A51-'Invoer gegevens'!$C$17&lt;0,0,IF(A51-'Invoer gegevens'!$C$17=0,1,IF(A51-'Invoer gegevens'!$C$17&lt;5,2,IF(A51-'Invoer gegevens'!$C$17&lt;15,3,4))))</f>
        <v>0</v>
      </c>
      <c r="BJ51" s="229">
        <f>IF(BI51&lt;1,0,IF(BI51&lt;2,4%,IF('Reeksen (N)'!BI51&lt;3,4%,IF('Reeksen (N)'!BI51&lt;4,4%*70%,IF('Reeksen (N)'!BI51&lt;5,4%*50%)))))</f>
        <v>0</v>
      </c>
    </row>
    <row r="52" spans="1:62" x14ac:dyDescent="0.25">
      <c r="A52" s="184">
        <f t="shared" si="15"/>
        <v>47</v>
      </c>
      <c r="B52" s="179">
        <f>Dashboard!$D$25</f>
        <v>0</v>
      </c>
      <c r="C52" s="179">
        <f>Dashboard!$D$25</f>
        <v>0</v>
      </c>
      <c r="D52" s="180">
        <f t="shared" si="4"/>
        <v>0</v>
      </c>
      <c r="F52" s="184">
        <f t="shared" ca="1" si="16"/>
        <v>2066</v>
      </c>
      <c r="G52" s="179">
        <f t="shared" si="39"/>
        <v>0.02</v>
      </c>
      <c r="H52" s="182">
        <f t="shared" si="17"/>
        <v>2.5502552518860115</v>
      </c>
      <c r="I52" s="179">
        <f t="shared" si="40"/>
        <v>2.5000000000000001E-2</v>
      </c>
      <c r="J52" s="182">
        <f t="shared" si="18"/>
        <v>3.213961358363747</v>
      </c>
      <c r="K52" s="179">
        <f t="shared" si="41"/>
        <v>2.5000000000000001E-2</v>
      </c>
      <c r="L52" s="182">
        <f t="shared" si="19"/>
        <v>3.213961358363747</v>
      </c>
      <c r="N52" s="184">
        <f t="shared" ca="1" si="20"/>
        <v>2066</v>
      </c>
      <c r="O52" s="179">
        <f t="shared" si="36"/>
        <v>0.02</v>
      </c>
      <c r="P52" s="182">
        <f t="shared" si="21"/>
        <v>2.5477797125710775</v>
      </c>
      <c r="R52" s="184">
        <f t="shared" ca="1" si="22"/>
        <v>2066</v>
      </c>
      <c r="S52" s="188">
        <f t="shared" si="38"/>
        <v>5.3600000000000002E-3</v>
      </c>
      <c r="U52" s="184">
        <f t="shared" ca="1" si="23"/>
        <v>2066</v>
      </c>
      <c r="V52" s="182">
        <f t="shared" si="5"/>
        <v>0.02</v>
      </c>
      <c r="W52" s="180">
        <f>Parameters!$D$15</f>
        <v>5.0000000000000001E-3</v>
      </c>
      <c r="X52" s="182">
        <f t="shared" si="6"/>
        <v>2.5000000000000001E-2</v>
      </c>
      <c r="Y52" s="182">
        <f t="shared" si="24"/>
        <v>3.2171293841288207</v>
      </c>
      <c r="AB52" s="184">
        <f t="shared" ca="1" si="25"/>
        <v>2066</v>
      </c>
      <c r="AC52" s="171">
        <f t="shared" si="7"/>
        <v>0</v>
      </c>
      <c r="AD52" s="171">
        <f t="shared" si="0"/>
        <v>0</v>
      </c>
      <c r="AE52" s="171">
        <f t="shared" si="37"/>
        <v>1756.278926583195</v>
      </c>
      <c r="AF52" s="171">
        <f t="shared" si="26"/>
        <v>0</v>
      </c>
      <c r="AG52" s="171">
        <f t="shared" si="27"/>
        <v>0</v>
      </c>
      <c r="AH52" s="171">
        <f t="shared" si="8"/>
        <v>0</v>
      </c>
      <c r="AI52" s="171">
        <f t="shared" si="9"/>
        <v>0</v>
      </c>
      <c r="AJ52" s="171">
        <f>IF('Invoer gegevens'!$I$27="DAEB",SMALL(AC52:AD52,1),AC52)</f>
        <v>0</v>
      </c>
      <c r="AK52" s="171">
        <f>IF('Invoer gegevens'!$I$27="DAEB",SMALL((AE52:AH52),1),SMALL((AF52:AH52),1))</f>
        <v>0</v>
      </c>
      <c r="AL52" s="171">
        <f t="shared" si="33"/>
        <v>0</v>
      </c>
      <c r="AM52" s="171">
        <f t="shared" si="34"/>
        <v>0</v>
      </c>
      <c r="AN52" s="175">
        <f t="shared" si="28"/>
        <v>0</v>
      </c>
      <c r="AP52" s="184">
        <f t="shared" ca="1" si="29"/>
        <v>2066</v>
      </c>
      <c r="AQ52" s="185">
        <f t="shared" si="10"/>
        <v>0.02</v>
      </c>
      <c r="AR52" s="182">
        <f t="shared" si="30"/>
        <v>2.5477797125710775</v>
      </c>
      <c r="AU52" s="184">
        <f t="shared" ca="1" si="31"/>
        <v>2066</v>
      </c>
      <c r="AV52" s="182">
        <f t="shared" si="11"/>
        <v>0.02</v>
      </c>
      <c r="AW52" s="179">
        <f t="shared" si="12"/>
        <v>5.0000000000000001E-3</v>
      </c>
      <c r="AX52" s="182">
        <f t="shared" si="13"/>
        <v>2.5000000000000001E-2</v>
      </c>
      <c r="AY52" s="186"/>
      <c r="BA52" s="184">
        <f t="shared" ca="1" si="32"/>
        <v>2066</v>
      </c>
      <c r="BB52" s="171">
        <f t="shared" si="14"/>
        <v>0</v>
      </c>
      <c r="BC52" s="171">
        <f t="shared" si="1"/>
        <v>1756.278926583195</v>
      </c>
      <c r="BD52" s="171">
        <f t="shared" si="42"/>
        <v>0</v>
      </c>
      <c r="BE52" s="171">
        <f t="shared" si="43"/>
        <v>0</v>
      </c>
      <c r="BF52" s="171">
        <f t="shared" si="43"/>
        <v>0</v>
      </c>
      <c r="BG52" s="171">
        <f t="shared" si="43"/>
        <v>0</v>
      </c>
      <c r="BI52" s="187">
        <f>IF(A52-'Invoer gegevens'!$C$17&lt;0,0,IF(A52-'Invoer gegevens'!$C$17=0,1,IF(A52-'Invoer gegevens'!$C$17&lt;5,2,IF(A52-'Invoer gegevens'!$C$17&lt;15,3,4))))</f>
        <v>0</v>
      </c>
      <c r="BJ52" s="229">
        <f>IF(BI52&lt;1,0,IF(BI52&lt;2,4%,IF('Reeksen (N)'!BI52&lt;3,4%,IF('Reeksen (N)'!BI52&lt;4,4%*70%,IF('Reeksen (N)'!BI52&lt;5,4%*50%)))))</f>
        <v>0</v>
      </c>
    </row>
    <row r="53" spans="1:62" x14ac:dyDescent="0.25">
      <c r="A53" s="184">
        <f t="shared" si="15"/>
        <v>48</v>
      </c>
      <c r="B53" s="179">
        <f>Dashboard!$D$25</f>
        <v>0</v>
      </c>
      <c r="C53" s="179">
        <f>Dashboard!$D$25</f>
        <v>0</v>
      </c>
      <c r="D53" s="180">
        <f t="shared" si="4"/>
        <v>0</v>
      </c>
      <c r="F53" s="184">
        <f t="shared" ca="1" si="16"/>
        <v>2067</v>
      </c>
      <c r="G53" s="179">
        <f t="shared" si="39"/>
        <v>0.02</v>
      </c>
      <c r="H53" s="182">
        <f t="shared" si="17"/>
        <v>2.6012603569237318</v>
      </c>
      <c r="I53" s="179">
        <f t="shared" si="40"/>
        <v>2.5000000000000001E-2</v>
      </c>
      <c r="J53" s="182">
        <f t="shared" si="18"/>
        <v>3.2943103923228403</v>
      </c>
      <c r="K53" s="179">
        <f t="shared" si="41"/>
        <v>2.5000000000000001E-2</v>
      </c>
      <c r="L53" s="182">
        <f t="shared" si="19"/>
        <v>3.2943103923228403</v>
      </c>
      <c r="N53" s="184">
        <f t="shared" ca="1" si="20"/>
        <v>2067</v>
      </c>
      <c r="O53" s="179">
        <f t="shared" si="36"/>
        <v>0.02</v>
      </c>
      <c r="P53" s="182">
        <f t="shared" si="21"/>
        <v>2.598735306822499</v>
      </c>
      <c r="R53" s="184">
        <f t="shared" ca="1" si="22"/>
        <v>2067</v>
      </c>
      <c r="S53" s="188">
        <f t="shared" si="38"/>
        <v>5.3600000000000002E-3</v>
      </c>
      <c r="U53" s="184">
        <f t="shared" ca="1" si="23"/>
        <v>2067</v>
      </c>
      <c r="V53" s="182">
        <f t="shared" si="5"/>
        <v>0.02</v>
      </c>
      <c r="W53" s="180">
        <f>Parameters!$D$15</f>
        <v>5.0000000000000001E-3</v>
      </c>
      <c r="X53" s="182">
        <f t="shared" si="6"/>
        <v>2.5000000000000001E-2</v>
      </c>
      <c r="Y53" s="182">
        <f t="shared" si="24"/>
        <v>3.297557618732041</v>
      </c>
      <c r="AB53" s="184">
        <f t="shared" ca="1" si="25"/>
        <v>2067</v>
      </c>
      <c r="AC53" s="171">
        <f t="shared" si="7"/>
        <v>0</v>
      </c>
      <c r="AD53" s="171">
        <f t="shared" si="0"/>
        <v>0</v>
      </c>
      <c r="AE53" s="171">
        <f t="shared" si="37"/>
        <v>1791.4045051148589</v>
      </c>
      <c r="AF53" s="171">
        <f t="shared" si="26"/>
        <v>0</v>
      </c>
      <c r="AG53" s="171">
        <f t="shared" si="27"/>
        <v>0</v>
      </c>
      <c r="AH53" s="171">
        <f t="shared" si="8"/>
        <v>0</v>
      </c>
      <c r="AI53" s="171">
        <f t="shared" si="9"/>
        <v>0</v>
      </c>
      <c r="AJ53" s="171">
        <f>IF('Invoer gegevens'!$I$27="DAEB",SMALL(AC53:AD53,1),AC53)</f>
        <v>0</v>
      </c>
      <c r="AK53" s="171">
        <f>IF('Invoer gegevens'!$I$27="DAEB",SMALL((AE53:AH53),1),SMALL((AF53:AH53),1))</f>
        <v>0</v>
      </c>
      <c r="AL53" s="171">
        <f t="shared" si="33"/>
        <v>0</v>
      </c>
      <c r="AM53" s="171">
        <f t="shared" si="34"/>
        <v>0</v>
      </c>
      <c r="AN53" s="175">
        <f t="shared" si="28"/>
        <v>0</v>
      </c>
      <c r="AP53" s="184">
        <f t="shared" ca="1" si="29"/>
        <v>2067</v>
      </c>
      <c r="AQ53" s="185">
        <f t="shared" si="10"/>
        <v>0.02</v>
      </c>
      <c r="AR53" s="182">
        <f t="shared" si="30"/>
        <v>2.598735306822499</v>
      </c>
      <c r="AU53" s="184">
        <f t="shared" ca="1" si="31"/>
        <v>2067</v>
      </c>
      <c r="AV53" s="182">
        <f t="shared" si="11"/>
        <v>0.02</v>
      </c>
      <c r="AW53" s="179">
        <f t="shared" si="12"/>
        <v>5.0000000000000001E-3</v>
      </c>
      <c r="AX53" s="182">
        <f t="shared" si="13"/>
        <v>2.5000000000000001E-2</v>
      </c>
      <c r="AY53" s="186"/>
      <c r="BA53" s="184">
        <f t="shared" ca="1" si="32"/>
        <v>2067</v>
      </c>
      <c r="BB53" s="171">
        <f t="shared" si="14"/>
        <v>0</v>
      </c>
      <c r="BC53" s="171">
        <f t="shared" si="1"/>
        <v>1791.4045051148589</v>
      </c>
      <c r="BD53" s="171">
        <f t="shared" si="42"/>
        <v>0</v>
      </c>
      <c r="BE53" s="171">
        <f t="shared" si="43"/>
        <v>0</v>
      </c>
      <c r="BF53" s="171">
        <f t="shared" si="43"/>
        <v>0</v>
      </c>
      <c r="BG53" s="171">
        <f t="shared" si="43"/>
        <v>0</v>
      </c>
      <c r="BI53" s="187">
        <f>IF(A53-'Invoer gegevens'!$C$17&lt;0,0,IF(A53-'Invoer gegevens'!$C$17=0,1,IF(A53-'Invoer gegevens'!$C$17&lt;5,2,IF(A53-'Invoer gegevens'!$C$17&lt;15,3,4))))</f>
        <v>0</v>
      </c>
      <c r="BJ53" s="229">
        <f>IF(BI53&lt;1,0,IF(BI53&lt;2,4%,IF('Reeksen (N)'!BI53&lt;3,4%,IF('Reeksen (N)'!BI53&lt;4,4%*70%,IF('Reeksen (N)'!BI53&lt;5,4%*50%)))))</f>
        <v>0</v>
      </c>
    </row>
    <row r="54" spans="1:62" x14ac:dyDescent="0.25">
      <c r="A54" s="184">
        <f t="shared" si="15"/>
        <v>49</v>
      </c>
      <c r="B54" s="179">
        <f>Dashboard!$D$25</f>
        <v>0</v>
      </c>
      <c r="C54" s="179">
        <f>Dashboard!$D$25</f>
        <v>0</v>
      </c>
      <c r="D54" s="180">
        <f t="shared" si="4"/>
        <v>0</v>
      </c>
      <c r="F54" s="184">
        <f t="shared" ca="1" si="16"/>
        <v>2068</v>
      </c>
      <c r="G54" s="179">
        <f t="shared" si="39"/>
        <v>0.02</v>
      </c>
      <c r="H54" s="182">
        <f t="shared" si="17"/>
        <v>2.6532855640622066</v>
      </c>
      <c r="I54" s="179">
        <f t="shared" si="40"/>
        <v>2.5000000000000001E-2</v>
      </c>
      <c r="J54" s="182">
        <f t="shared" si="18"/>
        <v>3.376668152130911</v>
      </c>
      <c r="K54" s="179">
        <f t="shared" si="41"/>
        <v>2.5000000000000001E-2</v>
      </c>
      <c r="L54" s="182">
        <f t="shared" si="19"/>
        <v>3.376668152130911</v>
      </c>
      <c r="N54" s="184">
        <f t="shared" ca="1" si="20"/>
        <v>2068</v>
      </c>
      <c r="O54" s="179">
        <f t="shared" si="36"/>
        <v>0.02</v>
      </c>
      <c r="P54" s="182">
        <f t="shared" si="21"/>
        <v>2.6507100129589491</v>
      </c>
      <c r="R54" s="184">
        <f t="shared" ca="1" si="22"/>
        <v>2068</v>
      </c>
      <c r="S54" s="188">
        <f t="shared" si="38"/>
        <v>5.3600000000000002E-3</v>
      </c>
      <c r="U54" s="184">
        <f t="shared" ca="1" si="23"/>
        <v>2068</v>
      </c>
      <c r="V54" s="182">
        <f t="shared" si="5"/>
        <v>0.02</v>
      </c>
      <c r="W54" s="180">
        <f>Parameters!$D$15</f>
        <v>5.0000000000000001E-3</v>
      </c>
      <c r="X54" s="182">
        <f t="shared" si="6"/>
        <v>2.5000000000000001E-2</v>
      </c>
      <c r="Y54" s="182">
        <f t="shared" si="24"/>
        <v>3.3799965592003418</v>
      </c>
      <c r="AB54" s="184">
        <f t="shared" ca="1" si="25"/>
        <v>2068</v>
      </c>
      <c r="AC54" s="171">
        <f t="shared" si="7"/>
        <v>0</v>
      </c>
      <c r="AD54" s="171">
        <f t="shared" si="0"/>
        <v>0</v>
      </c>
      <c r="AE54" s="171">
        <f t="shared" si="37"/>
        <v>1827.2325952171561</v>
      </c>
      <c r="AF54" s="171">
        <f t="shared" si="26"/>
        <v>0</v>
      </c>
      <c r="AG54" s="171">
        <f t="shared" si="27"/>
        <v>0</v>
      </c>
      <c r="AH54" s="171">
        <f t="shared" si="8"/>
        <v>0</v>
      </c>
      <c r="AI54" s="171">
        <f t="shared" si="9"/>
        <v>0</v>
      </c>
      <c r="AJ54" s="171">
        <f>IF('Invoer gegevens'!$I$27="DAEB",SMALL(AC54:AD54,1),AC54)</f>
        <v>0</v>
      </c>
      <c r="AK54" s="171">
        <f>IF('Invoer gegevens'!$I$27="DAEB",SMALL((AE54:AH54),1),SMALL((AF54:AH54),1))</f>
        <v>0</v>
      </c>
      <c r="AL54" s="171">
        <f t="shared" si="33"/>
        <v>0</v>
      </c>
      <c r="AM54" s="171">
        <f t="shared" si="34"/>
        <v>0</v>
      </c>
      <c r="AN54" s="175">
        <f t="shared" si="28"/>
        <v>0</v>
      </c>
      <c r="AP54" s="184">
        <f t="shared" ca="1" si="29"/>
        <v>2068</v>
      </c>
      <c r="AQ54" s="185">
        <f t="shared" si="10"/>
        <v>0.02</v>
      </c>
      <c r="AR54" s="182">
        <f t="shared" si="30"/>
        <v>2.6507100129589491</v>
      </c>
      <c r="AU54" s="184">
        <f t="shared" ca="1" si="31"/>
        <v>2068</v>
      </c>
      <c r="AV54" s="182">
        <f t="shared" si="11"/>
        <v>0.02</v>
      </c>
      <c r="AW54" s="179">
        <f t="shared" si="12"/>
        <v>5.0000000000000001E-3</v>
      </c>
      <c r="AX54" s="182">
        <f t="shared" si="13"/>
        <v>2.5000000000000001E-2</v>
      </c>
      <c r="AY54" s="186"/>
      <c r="BA54" s="184">
        <f t="shared" ca="1" si="32"/>
        <v>2068</v>
      </c>
      <c r="BB54" s="171">
        <f t="shared" si="14"/>
        <v>0</v>
      </c>
      <c r="BC54" s="171">
        <f t="shared" si="1"/>
        <v>1827.2325952171561</v>
      </c>
      <c r="BD54" s="171">
        <f t="shared" si="42"/>
        <v>0</v>
      </c>
      <c r="BE54" s="171">
        <f t="shared" si="43"/>
        <v>0</v>
      </c>
      <c r="BF54" s="171">
        <f t="shared" si="43"/>
        <v>0</v>
      </c>
      <c r="BG54" s="171">
        <f t="shared" si="43"/>
        <v>0</v>
      </c>
      <c r="BI54" s="187">
        <f>IF(A54-'Invoer gegevens'!$C$17&lt;0,0,IF(A54-'Invoer gegevens'!$C$17=0,1,IF(A54-'Invoer gegevens'!$C$17&lt;5,2,IF(A54-'Invoer gegevens'!$C$17&lt;15,3,4))))</f>
        <v>0</v>
      </c>
      <c r="BJ54" s="229">
        <f>IF(BI54&lt;1,0,IF(BI54&lt;2,4%,IF('Reeksen (N)'!BI54&lt;3,4%,IF('Reeksen (N)'!BI54&lt;4,4%*70%,IF('Reeksen (N)'!BI54&lt;5,4%*50%)))))</f>
        <v>0</v>
      </c>
    </row>
    <row r="55" spans="1:62" x14ac:dyDescent="0.25">
      <c r="A55" s="184">
        <f t="shared" si="15"/>
        <v>50</v>
      </c>
      <c r="B55" s="179">
        <f>Dashboard!$D$25</f>
        <v>0</v>
      </c>
      <c r="C55" s="179">
        <f>Dashboard!$D$25</f>
        <v>0</v>
      </c>
      <c r="D55" s="180">
        <f t="shared" si="4"/>
        <v>0</v>
      </c>
      <c r="E55" s="189"/>
      <c r="F55" s="184">
        <f t="shared" ca="1" si="16"/>
        <v>2069</v>
      </c>
      <c r="G55" s="179">
        <f t="shared" si="39"/>
        <v>0.02</v>
      </c>
      <c r="H55" s="182">
        <f t="shared" si="17"/>
        <v>2.7063512753434509</v>
      </c>
      <c r="I55" s="179">
        <f t="shared" si="40"/>
        <v>2.5000000000000001E-2</v>
      </c>
      <c r="J55" s="182">
        <f t="shared" si="18"/>
        <v>3.4610848559341836</v>
      </c>
      <c r="K55" s="179">
        <f t="shared" si="41"/>
        <v>2.5000000000000001E-2</v>
      </c>
      <c r="L55" s="182">
        <f t="shared" si="19"/>
        <v>3.4610848559341836</v>
      </c>
      <c r="M55" s="189"/>
      <c r="N55" s="184">
        <f t="shared" ca="1" si="20"/>
        <v>2069</v>
      </c>
      <c r="O55" s="179">
        <f t="shared" si="36"/>
        <v>0.02</v>
      </c>
      <c r="P55" s="182">
        <f>P54*(1+O55)</f>
        <v>2.7037242132181283</v>
      </c>
      <c r="R55" s="184">
        <f t="shared" ca="1" si="22"/>
        <v>2069</v>
      </c>
      <c r="S55" s="188">
        <f t="shared" si="38"/>
        <v>5.3600000000000002E-3</v>
      </c>
      <c r="U55" s="184">
        <f t="shared" ca="1" si="23"/>
        <v>2069</v>
      </c>
      <c r="V55" s="182">
        <f t="shared" si="5"/>
        <v>0.02</v>
      </c>
      <c r="W55" s="180">
        <f>Parameters!$D$15</f>
        <v>5.0000000000000001E-3</v>
      </c>
      <c r="X55" s="182">
        <f t="shared" si="6"/>
        <v>2.5000000000000001E-2</v>
      </c>
      <c r="Y55" s="182">
        <f t="shared" si="24"/>
        <v>3.46449647318035</v>
      </c>
      <c r="AA55" s="189"/>
      <c r="AB55" s="184">
        <f t="shared" ca="1" si="25"/>
        <v>2069</v>
      </c>
      <c r="AC55" s="171">
        <f t="shared" si="7"/>
        <v>0</v>
      </c>
      <c r="AD55" s="171">
        <f t="shared" si="0"/>
        <v>0</v>
      </c>
      <c r="AE55" s="171">
        <f t="shared" si="37"/>
        <v>1863.7772471214994</v>
      </c>
      <c r="AF55" s="171">
        <f t="shared" si="26"/>
        <v>0</v>
      </c>
      <c r="AG55" s="171">
        <f t="shared" si="27"/>
        <v>0</v>
      </c>
      <c r="AH55" s="171">
        <f t="shared" si="8"/>
        <v>0</v>
      </c>
      <c r="AI55" s="171">
        <f t="shared" si="9"/>
        <v>0</v>
      </c>
      <c r="AJ55" s="171">
        <f>IF('Invoer gegevens'!$I$27="DAEB",SMALL(AC55:AD55,1),AC55)</f>
        <v>0</v>
      </c>
      <c r="AK55" s="171">
        <f>IF('Invoer gegevens'!$I$27="DAEB",SMALL((AE55:AH55),1),SMALL((AF55:AH55),1))</f>
        <v>0</v>
      </c>
      <c r="AL55" s="171">
        <f t="shared" si="33"/>
        <v>0</v>
      </c>
      <c r="AM55" s="171">
        <f t="shared" si="34"/>
        <v>0</v>
      </c>
      <c r="AN55" s="175">
        <f t="shared" si="28"/>
        <v>0</v>
      </c>
      <c r="AP55" s="184">
        <f t="shared" ca="1" si="29"/>
        <v>2069</v>
      </c>
      <c r="AQ55" s="185">
        <f t="shared" si="10"/>
        <v>0.02</v>
      </c>
      <c r="AR55" s="182">
        <f>AR54*(1+AQ55)</f>
        <v>2.7037242132181283</v>
      </c>
      <c r="AU55" s="184">
        <f t="shared" ca="1" si="31"/>
        <v>2069</v>
      </c>
      <c r="AV55" s="182">
        <f t="shared" si="11"/>
        <v>0.02</v>
      </c>
      <c r="AW55" s="179">
        <f t="shared" si="12"/>
        <v>5.0000000000000001E-3</v>
      </c>
      <c r="AX55" s="182">
        <f t="shared" si="13"/>
        <v>2.5000000000000001E-2</v>
      </c>
      <c r="AY55" s="186"/>
      <c r="AZ55" s="190"/>
      <c r="BA55" s="184">
        <f t="shared" ca="1" si="32"/>
        <v>2069</v>
      </c>
      <c r="BB55" s="171">
        <f t="shared" si="14"/>
        <v>0</v>
      </c>
      <c r="BC55" s="171">
        <f t="shared" si="1"/>
        <v>1863.7772471214994</v>
      </c>
      <c r="BD55" s="171">
        <f t="shared" si="42"/>
        <v>0</v>
      </c>
      <c r="BE55" s="171">
        <f t="shared" si="43"/>
        <v>0</v>
      </c>
      <c r="BF55" s="171">
        <f t="shared" si="43"/>
        <v>0</v>
      </c>
      <c r="BG55" s="171">
        <f t="shared" si="43"/>
        <v>0</v>
      </c>
      <c r="BI55" s="187">
        <f>IF(A55-'Invoer gegevens'!$C$17&lt;0,0,IF(A55-'Invoer gegevens'!$C$17=0,1,IF(A55-'Invoer gegevens'!$C$17&lt;5,2,IF(A55-'Invoer gegevens'!$C$17&lt;15,3,4))))</f>
        <v>0</v>
      </c>
      <c r="BJ55" s="229">
        <f>IF(BI55&lt;1,0,IF(BI55&lt;2,4%,IF('Reeksen (N)'!BI55&lt;3,4%,IF('Reeksen (N)'!BI55&lt;4,4%*70%,IF('Reeksen (N)'!BI55&lt;5,4%*50%)))))</f>
        <v>0</v>
      </c>
    </row>
    <row r="56" spans="1:62" x14ac:dyDescent="0.25">
      <c r="A56" s="184">
        <f t="shared" si="15"/>
        <v>51</v>
      </c>
      <c r="B56" s="179">
        <f>Dashboard!$D$25</f>
        <v>0</v>
      </c>
      <c r="C56" s="179">
        <f>Dashboard!$D$25</f>
        <v>0</v>
      </c>
      <c r="D56" s="180">
        <f t="shared" si="4"/>
        <v>0</v>
      </c>
      <c r="E56" s="189"/>
      <c r="F56" s="184">
        <f t="shared" ca="1" si="16"/>
        <v>2070</v>
      </c>
      <c r="G56" s="179">
        <f t="shared" si="39"/>
        <v>0.02</v>
      </c>
      <c r="H56" s="182">
        <f t="shared" si="17"/>
        <v>2.7604783008503198</v>
      </c>
      <c r="I56" s="179">
        <f t="shared" si="40"/>
        <v>2.5000000000000001E-2</v>
      </c>
      <c r="J56" s="182">
        <f t="shared" si="18"/>
        <v>3.5476119773325379</v>
      </c>
      <c r="K56" s="179">
        <f t="shared" si="41"/>
        <v>2.5000000000000001E-2</v>
      </c>
      <c r="L56" s="182">
        <f t="shared" si="19"/>
        <v>3.5476119773325379</v>
      </c>
      <c r="M56" s="189"/>
      <c r="N56" s="184">
        <f t="shared" ca="1" si="20"/>
        <v>2070</v>
      </c>
      <c r="O56" s="179">
        <f t="shared" si="36"/>
        <v>0.02</v>
      </c>
      <c r="P56" s="182">
        <f>P55*(1+O56)</f>
        <v>2.7577986974824911</v>
      </c>
      <c r="R56" s="184">
        <f t="shared" ca="1" si="22"/>
        <v>2070</v>
      </c>
      <c r="S56" s="188">
        <f t="shared" si="38"/>
        <v>5.3600000000000002E-3</v>
      </c>
      <c r="U56" s="184">
        <f t="shared" ca="1" si="23"/>
        <v>2070</v>
      </c>
      <c r="V56" s="182">
        <f t="shared" si="5"/>
        <v>0.02</v>
      </c>
      <c r="W56" s="180">
        <f>Parameters!$D$15</f>
        <v>5.0000000000000001E-3</v>
      </c>
      <c r="X56" s="182">
        <f t="shared" si="6"/>
        <v>2.5000000000000001E-2</v>
      </c>
      <c r="Y56" s="182">
        <f t="shared" si="24"/>
        <v>3.5511088850098584</v>
      </c>
      <c r="AA56" s="189"/>
      <c r="AB56" s="184">
        <f t="shared" ca="1" si="25"/>
        <v>2070</v>
      </c>
      <c r="AC56" s="171">
        <f t="shared" si="7"/>
        <v>0</v>
      </c>
      <c r="AD56" s="171">
        <f t="shared" si="0"/>
        <v>0</v>
      </c>
      <c r="AE56" s="171">
        <f t="shared" si="37"/>
        <v>1901.0527920639295</v>
      </c>
      <c r="AF56" s="171">
        <f t="shared" si="26"/>
        <v>0</v>
      </c>
      <c r="AG56" s="171">
        <f t="shared" si="27"/>
        <v>0</v>
      </c>
      <c r="AH56" s="171">
        <f t="shared" si="8"/>
        <v>0</v>
      </c>
      <c r="AI56" s="171">
        <f t="shared" si="9"/>
        <v>0</v>
      </c>
      <c r="AJ56" s="171">
        <f>IF('Invoer gegevens'!$I$27="DAEB",SMALL(AC56:AD56,1),AC56)</f>
        <v>0</v>
      </c>
      <c r="AK56" s="171">
        <f>IF('Invoer gegevens'!$I$27="DAEB",SMALL((AE56:AH56),1),SMALL((AF56:AH56),1))</f>
        <v>0</v>
      </c>
      <c r="AL56" s="171">
        <f t="shared" si="33"/>
        <v>0</v>
      </c>
      <c r="AM56" s="171">
        <f t="shared" si="34"/>
        <v>0</v>
      </c>
      <c r="AN56" s="175">
        <f t="shared" si="28"/>
        <v>0</v>
      </c>
      <c r="AP56" s="184">
        <f t="shared" ca="1" si="29"/>
        <v>2070</v>
      </c>
      <c r="AQ56" s="185">
        <f t="shared" si="10"/>
        <v>0.02</v>
      </c>
      <c r="AR56" s="182">
        <f>AR55*(1+AQ56)</f>
        <v>2.7577986974824911</v>
      </c>
      <c r="AU56" s="184">
        <f t="shared" ca="1" si="31"/>
        <v>2070</v>
      </c>
      <c r="AV56" s="182">
        <f t="shared" si="11"/>
        <v>0.02</v>
      </c>
      <c r="AW56" s="179">
        <f t="shared" si="12"/>
        <v>5.0000000000000001E-3</v>
      </c>
      <c r="AX56" s="182">
        <f t="shared" si="13"/>
        <v>2.5000000000000001E-2</v>
      </c>
      <c r="AY56" s="186"/>
      <c r="AZ56" s="190"/>
      <c r="BA56" s="184">
        <f t="shared" ca="1" si="32"/>
        <v>2070</v>
      </c>
      <c r="BB56" s="171">
        <f t="shared" si="14"/>
        <v>0</v>
      </c>
      <c r="BC56" s="171">
        <f t="shared" si="1"/>
        <v>1901.0527920639295</v>
      </c>
      <c r="BD56" s="171">
        <f t="shared" si="42"/>
        <v>0</v>
      </c>
      <c r="BE56" s="171">
        <f t="shared" si="43"/>
        <v>0</v>
      </c>
      <c r="BF56" s="171">
        <f t="shared" si="43"/>
        <v>0</v>
      </c>
      <c r="BG56" s="171">
        <f t="shared" si="43"/>
        <v>0</v>
      </c>
      <c r="BI56" s="187">
        <f>IF(A56-'Invoer gegevens'!$C$17&lt;0,0,IF(A56-'Invoer gegevens'!$C$17=0,1,IF(A56-'Invoer gegevens'!$C$17&lt;5,2,IF(A56-'Invoer gegevens'!$C$17&lt;15,3,4))))</f>
        <v>0</v>
      </c>
      <c r="BJ56" s="229">
        <f>IF(BI56&lt;1,0,IF(BI56&lt;2,4%,IF('Reeksen (N)'!BI56&lt;3,4%,IF('Reeksen (N)'!BI56&lt;4,4%*70%,IF('Reeksen (N)'!BI56&lt;5,4%*50%)))))</f>
        <v>0</v>
      </c>
    </row>
    <row r="57" spans="1:62" x14ac:dyDescent="0.25">
      <c r="A57" s="184">
        <f t="shared" si="15"/>
        <v>52</v>
      </c>
      <c r="B57" s="179">
        <f>Dashboard!$D$25</f>
        <v>0</v>
      </c>
      <c r="C57" s="179">
        <f>Dashboard!$D$25</f>
        <v>0</v>
      </c>
      <c r="D57" s="180">
        <f t="shared" si="4"/>
        <v>0</v>
      </c>
      <c r="E57" s="189"/>
      <c r="F57" s="184">
        <f t="shared" ca="1" si="16"/>
        <v>2071</v>
      </c>
      <c r="G57" s="179">
        <f t="shared" si="39"/>
        <v>0.02</v>
      </c>
      <c r="H57" s="182">
        <f t="shared" si="17"/>
        <v>2.8156878668673264</v>
      </c>
      <c r="I57" s="179">
        <f t="shared" si="40"/>
        <v>2.5000000000000001E-2</v>
      </c>
      <c r="J57" s="182">
        <f t="shared" si="18"/>
        <v>3.6363022767658508</v>
      </c>
      <c r="K57" s="179">
        <f t="shared" si="41"/>
        <v>2.5000000000000001E-2</v>
      </c>
      <c r="L57" s="182">
        <f t="shared" si="19"/>
        <v>3.6363022767658508</v>
      </c>
      <c r="M57" s="189"/>
      <c r="N57" s="184">
        <f t="shared" ca="1" si="20"/>
        <v>2071</v>
      </c>
      <c r="O57" s="179">
        <f t="shared" si="36"/>
        <v>0.02</v>
      </c>
      <c r="P57" s="182">
        <f>P56*(1+O57)</f>
        <v>2.812954671432141</v>
      </c>
      <c r="R57" s="184">
        <f t="shared" ca="1" si="22"/>
        <v>2071</v>
      </c>
      <c r="S57" s="188">
        <f t="shared" si="38"/>
        <v>5.3600000000000002E-3</v>
      </c>
      <c r="U57" s="184">
        <f t="shared" ca="1" si="23"/>
        <v>2071</v>
      </c>
      <c r="V57" s="182">
        <f t="shared" si="5"/>
        <v>0.02</v>
      </c>
      <c r="W57" s="180">
        <f>Parameters!$D$15</f>
        <v>5.0000000000000001E-3</v>
      </c>
      <c r="X57" s="182">
        <f t="shared" si="6"/>
        <v>2.5000000000000001E-2</v>
      </c>
      <c r="Y57" s="182">
        <f t="shared" si="24"/>
        <v>3.6398866071351046</v>
      </c>
      <c r="AA57" s="189"/>
      <c r="AB57" s="184">
        <f t="shared" ca="1" si="25"/>
        <v>2071</v>
      </c>
      <c r="AC57" s="171">
        <f t="shared" si="7"/>
        <v>0</v>
      </c>
      <c r="AD57" s="171">
        <f t="shared" si="0"/>
        <v>0</v>
      </c>
      <c r="AE57" s="171">
        <f t="shared" si="37"/>
        <v>1939.0738479052081</v>
      </c>
      <c r="AF57" s="171">
        <f t="shared" si="26"/>
        <v>0</v>
      </c>
      <c r="AG57" s="171">
        <f t="shared" si="27"/>
        <v>0</v>
      </c>
      <c r="AH57" s="171">
        <f t="shared" si="8"/>
        <v>0</v>
      </c>
      <c r="AI57" s="171">
        <f t="shared" si="9"/>
        <v>0</v>
      </c>
      <c r="AJ57" s="171">
        <f>IF('Invoer gegevens'!$I$27="DAEB",SMALL(AC57:AD57,1),AC57)</f>
        <v>0</v>
      </c>
      <c r="AK57" s="171">
        <f>IF('Invoer gegevens'!$I$27="DAEB",SMALL((AE57:AH57),1),SMALL((AF57:AH57),1))</f>
        <v>0</v>
      </c>
      <c r="AL57" s="171">
        <f t="shared" si="33"/>
        <v>0</v>
      </c>
      <c r="AM57" s="171">
        <f t="shared" si="34"/>
        <v>0</v>
      </c>
      <c r="AN57" s="175">
        <f t="shared" si="28"/>
        <v>0</v>
      </c>
      <c r="AP57" s="184">
        <f t="shared" ca="1" si="29"/>
        <v>2071</v>
      </c>
      <c r="AQ57" s="185">
        <f t="shared" si="10"/>
        <v>0.02</v>
      </c>
      <c r="AR57" s="182">
        <f>AR56*(1+AQ57)</f>
        <v>2.812954671432141</v>
      </c>
      <c r="AU57" s="184">
        <f t="shared" ca="1" si="31"/>
        <v>2071</v>
      </c>
      <c r="AV57" s="182">
        <f t="shared" si="11"/>
        <v>0.02</v>
      </c>
      <c r="AW57" s="179">
        <f t="shared" si="12"/>
        <v>5.0000000000000001E-3</v>
      </c>
      <c r="AX57" s="182">
        <f t="shared" si="13"/>
        <v>2.5000000000000001E-2</v>
      </c>
      <c r="AY57" s="186"/>
      <c r="AZ57" s="190"/>
      <c r="BA57" s="184">
        <f t="shared" ca="1" si="32"/>
        <v>2071</v>
      </c>
      <c r="BB57" s="171">
        <f t="shared" si="14"/>
        <v>0</v>
      </c>
      <c r="BC57" s="171">
        <f t="shared" si="1"/>
        <v>1939.0738479052081</v>
      </c>
      <c r="BD57" s="171">
        <f t="shared" si="42"/>
        <v>0</v>
      </c>
      <c r="BE57" s="171">
        <f t="shared" si="43"/>
        <v>0</v>
      </c>
      <c r="BF57" s="171">
        <f t="shared" si="43"/>
        <v>0</v>
      </c>
      <c r="BG57" s="171">
        <f t="shared" si="43"/>
        <v>0</v>
      </c>
      <c r="BI57" s="187">
        <f>IF(A57-'Invoer gegevens'!$C$17&lt;0,0,IF(A57-'Invoer gegevens'!$C$17=0,1,IF(A57-'Invoer gegevens'!$C$17&lt;5,2,IF(A57-'Invoer gegevens'!$C$17&lt;15,3,4))))</f>
        <v>0</v>
      </c>
      <c r="BJ57" s="229">
        <f>IF(BI57&lt;1,0,IF(BI57&lt;2,4%,IF('Reeksen (N)'!BI57&lt;3,4%,IF('Reeksen (N)'!BI57&lt;4,4%*70%,IF('Reeksen (N)'!BI57&lt;5,4%*50%)))))</f>
        <v>0</v>
      </c>
    </row>
    <row r="58" spans="1:62" x14ac:dyDescent="0.25">
      <c r="A58" s="184">
        <f t="shared" si="15"/>
        <v>53</v>
      </c>
      <c r="B58" s="179">
        <f>Dashboard!$D$25</f>
        <v>0</v>
      </c>
      <c r="C58" s="179">
        <f>Dashboard!$D$25</f>
        <v>0</v>
      </c>
      <c r="D58" s="180">
        <f t="shared" si="4"/>
        <v>0</v>
      </c>
      <c r="E58" s="189"/>
      <c r="F58" s="184">
        <f t="shared" ca="1" si="16"/>
        <v>2072</v>
      </c>
      <c r="G58" s="179">
        <f t="shared" si="39"/>
        <v>0.02</v>
      </c>
      <c r="H58" s="182">
        <f t="shared" si="17"/>
        <v>2.8720016242046729</v>
      </c>
      <c r="I58" s="179">
        <f t="shared" si="40"/>
        <v>2.5000000000000001E-2</v>
      </c>
      <c r="J58" s="182">
        <f t="shared" si="18"/>
        <v>3.7272098336849968</v>
      </c>
      <c r="K58" s="179">
        <f t="shared" si="41"/>
        <v>2.5000000000000001E-2</v>
      </c>
      <c r="L58" s="182">
        <f t="shared" si="19"/>
        <v>3.7272098336849968</v>
      </c>
      <c r="M58" s="189"/>
      <c r="N58" s="184">
        <f t="shared" ca="1" si="20"/>
        <v>2072</v>
      </c>
      <c r="O58" s="179">
        <f t="shared" si="36"/>
        <v>0.02</v>
      </c>
      <c r="P58" s="182">
        <f t="shared" ref="P58:P121" si="44">P57*(1+O58)</f>
        <v>2.8692137648607838</v>
      </c>
      <c r="R58" s="184">
        <f t="shared" ca="1" si="22"/>
        <v>2072</v>
      </c>
      <c r="S58" s="188">
        <f t="shared" si="38"/>
        <v>5.3600000000000002E-3</v>
      </c>
      <c r="U58" s="184">
        <f t="shared" ca="1" si="23"/>
        <v>2072</v>
      </c>
      <c r="V58" s="182">
        <f t="shared" si="5"/>
        <v>0.02</v>
      </c>
      <c r="W58" s="180">
        <f>Parameters!$D$15</f>
        <v>5.0000000000000001E-3</v>
      </c>
      <c r="X58" s="182">
        <f t="shared" si="6"/>
        <v>2.5000000000000001E-2</v>
      </c>
      <c r="Y58" s="182">
        <f t="shared" si="24"/>
        <v>3.730883772313482</v>
      </c>
      <c r="AA58" s="189"/>
      <c r="AB58" s="184">
        <f t="shared" ca="1" si="25"/>
        <v>2072</v>
      </c>
      <c r="AC58" s="171">
        <f t="shared" si="7"/>
        <v>0</v>
      </c>
      <c r="AD58" s="171">
        <f t="shared" si="0"/>
        <v>0</v>
      </c>
      <c r="AE58" s="171">
        <f t="shared" si="37"/>
        <v>1977.8553248633123</v>
      </c>
      <c r="AF58" s="171">
        <f t="shared" si="26"/>
        <v>0</v>
      </c>
      <c r="AG58" s="171">
        <f t="shared" si="27"/>
        <v>0</v>
      </c>
      <c r="AH58" s="171">
        <f t="shared" si="8"/>
        <v>0</v>
      </c>
      <c r="AI58" s="171">
        <f t="shared" si="9"/>
        <v>0</v>
      </c>
      <c r="AJ58" s="171">
        <f>IF('Invoer gegevens'!$I$27="DAEB",SMALL(AC58:AD58,1),AC58)</f>
        <v>0</v>
      </c>
      <c r="AK58" s="171">
        <f>IF('Invoer gegevens'!$I$27="DAEB",SMALL((AE58:AH58),1),SMALL((AF58:AH58),1))</f>
        <v>0</v>
      </c>
      <c r="AL58" s="171">
        <f t="shared" si="33"/>
        <v>0</v>
      </c>
      <c r="AM58" s="171">
        <f t="shared" si="34"/>
        <v>0</v>
      </c>
      <c r="AN58" s="175">
        <f t="shared" si="28"/>
        <v>0</v>
      </c>
      <c r="AP58" s="184">
        <f t="shared" ca="1" si="29"/>
        <v>2072</v>
      </c>
      <c r="AQ58" s="185">
        <f t="shared" si="10"/>
        <v>0.02</v>
      </c>
      <c r="AR58" s="182">
        <f t="shared" ref="AR58:AR121" si="45">AR57*(1+AQ58)</f>
        <v>2.8692137648607838</v>
      </c>
      <c r="AU58" s="184">
        <f t="shared" ca="1" si="31"/>
        <v>2072</v>
      </c>
      <c r="AV58" s="182">
        <f t="shared" si="11"/>
        <v>0.02</v>
      </c>
      <c r="AW58" s="179">
        <f t="shared" si="12"/>
        <v>5.0000000000000001E-3</v>
      </c>
      <c r="AX58" s="182">
        <f t="shared" si="13"/>
        <v>2.5000000000000001E-2</v>
      </c>
      <c r="AY58" s="186"/>
      <c r="AZ58" s="190"/>
      <c r="BA58" s="184">
        <f t="shared" ca="1" si="32"/>
        <v>2072</v>
      </c>
      <c r="BB58" s="171">
        <f t="shared" si="14"/>
        <v>0</v>
      </c>
      <c r="BC58" s="171">
        <f t="shared" si="1"/>
        <v>1977.8553248633123</v>
      </c>
      <c r="BD58" s="171">
        <f t="shared" si="42"/>
        <v>0</v>
      </c>
      <c r="BE58" s="171">
        <f t="shared" si="43"/>
        <v>0</v>
      </c>
      <c r="BF58" s="171">
        <f t="shared" si="43"/>
        <v>0</v>
      </c>
      <c r="BG58" s="171">
        <f t="shared" si="43"/>
        <v>0</v>
      </c>
      <c r="BI58" s="187">
        <f>IF(A58-'Invoer gegevens'!$C$17&lt;0,0,IF(A58-'Invoer gegevens'!$C$17=0,1,IF(A58-'Invoer gegevens'!$C$17&lt;5,2,IF(A58-'Invoer gegevens'!$C$17&lt;15,3,4))))</f>
        <v>0</v>
      </c>
      <c r="BJ58" s="229">
        <f>IF(BI58&lt;1,0,IF(BI58&lt;2,4%,IF('Reeksen (N)'!BI58&lt;3,4%,IF('Reeksen (N)'!BI58&lt;4,4%*70%,IF('Reeksen (N)'!BI58&lt;5,4%*50%)))))</f>
        <v>0</v>
      </c>
    </row>
    <row r="59" spans="1:62" x14ac:dyDescent="0.25">
      <c r="A59" s="184">
        <f t="shared" si="15"/>
        <v>54</v>
      </c>
      <c r="B59" s="179">
        <f>Dashboard!$D$25</f>
        <v>0</v>
      </c>
      <c r="C59" s="179">
        <f>Dashboard!$D$25</f>
        <v>0</v>
      </c>
      <c r="D59" s="180">
        <f t="shared" si="4"/>
        <v>0</v>
      </c>
      <c r="E59" s="189"/>
      <c r="F59" s="184">
        <f t="shared" ca="1" si="16"/>
        <v>2073</v>
      </c>
      <c r="G59" s="179">
        <f t="shared" si="39"/>
        <v>0.02</v>
      </c>
      <c r="H59" s="182">
        <f t="shared" si="17"/>
        <v>2.9294416566887662</v>
      </c>
      <c r="I59" s="179">
        <f t="shared" si="40"/>
        <v>2.5000000000000001E-2</v>
      </c>
      <c r="J59" s="182">
        <f t="shared" si="18"/>
        <v>3.8203900795271215</v>
      </c>
      <c r="K59" s="179">
        <f t="shared" si="41"/>
        <v>2.5000000000000001E-2</v>
      </c>
      <c r="L59" s="182">
        <f t="shared" si="19"/>
        <v>3.8203900795271215</v>
      </c>
      <c r="M59" s="189"/>
      <c r="N59" s="184">
        <f t="shared" ca="1" si="20"/>
        <v>2073</v>
      </c>
      <c r="O59" s="179">
        <f t="shared" si="36"/>
        <v>0.02</v>
      </c>
      <c r="P59" s="182">
        <f t="shared" si="44"/>
        <v>2.9265980401579994</v>
      </c>
      <c r="R59" s="184">
        <f t="shared" ca="1" si="22"/>
        <v>2073</v>
      </c>
      <c r="S59" s="188">
        <f t="shared" si="38"/>
        <v>5.3600000000000002E-3</v>
      </c>
      <c r="U59" s="184">
        <f t="shared" ca="1" si="23"/>
        <v>2073</v>
      </c>
      <c r="V59" s="182">
        <f t="shared" si="5"/>
        <v>0.02</v>
      </c>
      <c r="W59" s="180">
        <f>Parameters!$D$15</f>
        <v>5.0000000000000001E-3</v>
      </c>
      <c r="X59" s="182">
        <f t="shared" si="6"/>
        <v>2.5000000000000001E-2</v>
      </c>
      <c r="Y59" s="182">
        <f t="shared" si="24"/>
        <v>3.8241558666213189</v>
      </c>
      <c r="AA59" s="189"/>
      <c r="AB59" s="184">
        <f t="shared" ca="1" si="25"/>
        <v>2073</v>
      </c>
      <c r="AC59" s="171">
        <f t="shared" si="7"/>
        <v>0</v>
      </c>
      <c r="AD59" s="171">
        <f t="shared" si="0"/>
        <v>0</v>
      </c>
      <c r="AE59" s="171">
        <f t="shared" si="37"/>
        <v>2017.4124313605785</v>
      </c>
      <c r="AF59" s="171">
        <f t="shared" si="26"/>
        <v>0</v>
      </c>
      <c r="AG59" s="171">
        <f t="shared" si="27"/>
        <v>0</v>
      </c>
      <c r="AH59" s="171">
        <f t="shared" si="8"/>
        <v>0</v>
      </c>
      <c r="AI59" s="171">
        <f t="shared" si="9"/>
        <v>0</v>
      </c>
      <c r="AJ59" s="171">
        <f>IF('Invoer gegevens'!$I$27="DAEB",SMALL(AC59:AD59,1),AC59)</f>
        <v>0</v>
      </c>
      <c r="AK59" s="171">
        <f>IF('Invoer gegevens'!$I$27="DAEB",SMALL((AE59:AH59),1),SMALL((AF59:AH59),1))</f>
        <v>0</v>
      </c>
      <c r="AL59" s="171">
        <f t="shared" si="33"/>
        <v>0</v>
      </c>
      <c r="AM59" s="171">
        <f t="shared" si="34"/>
        <v>0</v>
      </c>
      <c r="AN59" s="175">
        <f t="shared" si="28"/>
        <v>0</v>
      </c>
      <c r="AP59" s="184">
        <f t="shared" ca="1" si="29"/>
        <v>2073</v>
      </c>
      <c r="AQ59" s="185">
        <f t="shared" si="10"/>
        <v>0.02</v>
      </c>
      <c r="AR59" s="182">
        <f t="shared" si="45"/>
        <v>2.9265980401579994</v>
      </c>
      <c r="AU59" s="184">
        <f t="shared" ca="1" si="31"/>
        <v>2073</v>
      </c>
      <c r="AV59" s="182">
        <f t="shared" si="11"/>
        <v>0.02</v>
      </c>
      <c r="AW59" s="179">
        <f t="shared" si="12"/>
        <v>5.0000000000000001E-3</v>
      </c>
      <c r="AX59" s="182">
        <f t="shared" si="13"/>
        <v>2.5000000000000001E-2</v>
      </c>
      <c r="AY59" s="186"/>
      <c r="AZ59" s="190"/>
      <c r="BA59" s="184">
        <f t="shared" ca="1" si="32"/>
        <v>2073</v>
      </c>
      <c r="BB59" s="171">
        <f t="shared" si="14"/>
        <v>0</v>
      </c>
      <c r="BC59" s="171">
        <f t="shared" si="1"/>
        <v>2017.4124313605785</v>
      </c>
      <c r="BD59" s="171">
        <f t="shared" si="42"/>
        <v>0</v>
      </c>
      <c r="BE59" s="171">
        <f t="shared" si="43"/>
        <v>0</v>
      </c>
      <c r="BF59" s="171">
        <f t="shared" si="43"/>
        <v>0</v>
      </c>
      <c r="BG59" s="171">
        <f t="shared" si="43"/>
        <v>0</v>
      </c>
      <c r="BI59" s="187">
        <f>IF(A59-'Invoer gegevens'!$C$17&lt;0,0,IF(A59-'Invoer gegevens'!$C$17=0,1,IF(A59-'Invoer gegevens'!$C$17&lt;5,2,IF(A59-'Invoer gegevens'!$C$17&lt;15,3,4))))</f>
        <v>0</v>
      </c>
      <c r="BJ59" s="229">
        <f>IF(BI59&lt;1,0,IF(BI59&lt;2,4%,IF('Reeksen (N)'!BI59&lt;3,4%,IF('Reeksen (N)'!BI59&lt;4,4%*70%,IF('Reeksen (N)'!BI59&lt;5,4%*50%)))))</f>
        <v>0</v>
      </c>
    </row>
    <row r="60" spans="1:62" x14ac:dyDescent="0.25">
      <c r="A60" s="184">
        <f t="shared" si="15"/>
        <v>55</v>
      </c>
      <c r="B60" s="179">
        <f>Dashboard!$D$25</f>
        <v>0</v>
      </c>
      <c r="C60" s="179">
        <f>Dashboard!$D$25</f>
        <v>0</v>
      </c>
      <c r="D60" s="180">
        <f t="shared" si="4"/>
        <v>0</v>
      </c>
      <c r="E60" s="189"/>
      <c r="F60" s="184">
        <f t="shared" ca="1" si="16"/>
        <v>2074</v>
      </c>
      <c r="G60" s="179">
        <f t="shared" si="39"/>
        <v>0.02</v>
      </c>
      <c r="H60" s="182">
        <f t="shared" si="17"/>
        <v>2.9880304898225414</v>
      </c>
      <c r="I60" s="179">
        <f t="shared" si="40"/>
        <v>2.5000000000000001E-2</v>
      </c>
      <c r="J60" s="182">
        <f t="shared" si="18"/>
        <v>3.9158998315152993</v>
      </c>
      <c r="K60" s="179">
        <f t="shared" si="41"/>
        <v>2.5000000000000001E-2</v>
      </c>
      <c r="L60" s="182">
        <f t="shared" si="19"/>
        <v>3.9158998315152993</v>
      </c>
      <c r="M60" s="189"/>
      <c r="N60" s="184">
        <f t="shared" ca="1" si="20"/>
        <v>2074</v>
      </c>
      <c r="O60" s="179">
        <f t="shared" si="36"/>
        <v>0.02</v>
      </c>
      <c r="P60" s="182">
        <f t="shared" si="44"/>
        <v>2.9851300009611594</v>
      </c>
      <c r="R60" s="184">
        <f t="shared" ca="1" si="22"/>
        <v>2074</v>
      </c>
      <c r="S60" s="188">
        <f t="shared" si="38"/>
        <v>5.3600000000000002E-3</v>
      </c>
      <c r="U60" s="184">
        <f t="shared" ca="1" si="23"/>
        <v>2074</v>
      </c>
      <c r="V60" s="182">
        <f t="shared" si="5"/>
        <v>0.02</v>
      </c>
      <c r="W60" s="180">
        <f>Parameters!$D$15</f>
        <v>5.0000000000000001E-3</v>
      </c>
      <c r="X60" s="182">
        <f t="shared" si="6"/>
        <v>2.5000000000000001E-2</v>
      </c>
      <c r="Y60" s="182">
        <f t="shared" si="24"/>
        <v>3.9197597632868515</v>
      </c>
      <c r="AA60" s="189"/>
      <c r="AB60" s="184">
        <f t="shared" ca="1" si="25"/>
        <v>2074</v>
      </c>
      <c r="AC60" s="171">
        <f t="shared" si="7"/>
        <v>0</v>
      </c>
      <c r="AD60" s="171">
        <f t="shared" si="0"/>
        <v>0</v>
      </c>
      <c r="AE60" s="171">
        <f t="shared" si="37"/>
        <v>2057.7606799877899</v>
      </c>
      <c r="AF60" s="171">
        <f t="shared" si="26"/>
        <v>0</v>
      </c>
      <c r="AG60" s="171">
        <f t="shared" si="27"/>
        <v>0</v>
      </c>
      <c r="AH60" s="171">
        <f t="shared" si="8"/>
        <v>0</v>
      </c>
      <c r="AI60" s="171">
        <f t="shared" si="9"/>
        <v>0</v>
      </c>
      <c r="AJ60" s="171">
        <f>IF('Invoer gegevens'!$I$27="DAEB",SMALL(AC60:AD60,1),AC60)</f>
        <v>0</v>
      </c>
      <c r="AK60" s="171">
        <f>IF('Invoer gegevens'!$I$27="DAEB",SMALL((AE60:AH60),1),SMALL((AF60:AH60),1))</f>
        <v>0</v>
      </c>
      <c r="AL60" s="171">
        <f t="shared" si="33"/>
        <v>0</v>
      </c>
      <c r="AM60" s="171">
        <f t="shared" si="34"/>
        <v>0</v>
      </c>
      <c r="AN60" s="175">
        <f t="shared" si="28"/>
        <v>0</v>
      </c>
      <c r="AP60" s="184">
        <f t="shared" ca="1" si="29"/>
        <v>2074</v>
      </c>
      <c r="AQ60" s="185">
        <f t="shared" si="10"/>
        <v>0.02</v>
      </c>
      <c r="AR60" s="182">
        <f t="shared" si="45"/>
        <v>2.9851300009611594</v>
      </c>
      <c r="AU60" s="184">
        <f t="shared" ca="1" si="31"/>
        <v>2074</v>
      </c>
      <c r="AV60" s="182">
        <f t="shared" si="11"/>
        <v>0.02</v>
      </c>
      <c r="AW60" s="179">
        <f t="shared" si="12"/>
        <v>5.0000000000000001E-3</v>
      </c>
      <c r="AX60" s="182">
        <f t="shared" si="13"/>
        <v>2.5000000000000001E-2</v>
      </c>
      <c r="AY60" s="186"/>
      <c r="AZ60" s="190"/>
      <c r="BA60" s="184">
        <f t="shared" ca="1" si="32"/>
        <v>2074</v>
      </c>
      <c r="BB60" s="171">
        <f t="shared" si="14"/>
        <v>0</v>
      </c>
      <c r="BC60" s="171">
        <f t="shared" si="1"/>
        <v>2057.7606799877899</v>
      </c>
      <c r="BD60" s="171">
        <f t="shared" si="42"/>
        <v>0</v>
      </c>
      <c r="BE60" s="171">
        <f t="shared" si="43"/>
        <v>0</v>
      </c>
      <c r="BF60" s="171">
        <f t="shared" si="43"/>
        <v>0</v>
      </c>
      <c r="BG60" s="171">
        <f t="shared" si="43"/>
        <v>0</v>
      </c>
      <c r="BI60" s="187">
        <f>IF(A60-'Invoer gegevens'!$C$17&lt;0,0,IF(A60-'Invoer gegevens'!$C$17=0,1,IF(A60-'Invoer gegevens'!$C$17&lt;5,2,IF(A60-'Invoer gegevens'!$C$17&lt;15,3,4))))</f>
        <v>0</v>
      </c>
      <c r="BJ60" s="229">
        <f>IF(BI60&lt;1,0,IF(BI60&lt;2,4%,IF('Reeksen (N)'!BI60&lt;3,4%,IF('Reeksen (N)'!BI60&lt;4,4%*70%,IF('Reeksen (N)'!BI60&lt;5,4%*50%)))))</f>
        <v>0</v>
      </c>
    </row>
    <row r="61" spans="1:62" x14ac:dyDescent="0.25">
      <c r="A61" s="184">
        <f t="shared" si="15"/>
        <v>56</v>
      </c>
      <c r="B61" s="179">
        <f>Dashboard!$D$25</f>
        <v>0</v>
      </c>
      <c r="C61" s="179">
        <f>Dashboard!$D$25</f>
        <v>0</v>
      </c>
      <c r="D61" s="180">
        <f t="shared" si="4"/>
        <v>0</v>
      </c>
      <c r="E61" s="189"/>
      <c r="F61" s="184">
        <f t="shared" ca="1" si="16"/>
        <v>2075</v>
      </c>
      <c r="G61" s="179">
        <f t="shared" si="39"/>
        <v>0.02</v>
      </c>
      <c r="H61" s="182">
        <f t="shared" si="17"/>
        <v>3.0477910996189923</v>
      </c>
      <c r="I61" s="179">
        <f t="shared" si="40"/>
        <v>2.5000000000000001E-2</v>
      </c>
      <c r="J61" s="182">
        <f t="shared" si="18"/>
        <v>4.0137973273031813</v>
      </c>
      <c r="K61" s="179">
        <f t="shared" si="41"/>
        <v>2.5000000000000001E-2</v>
      </c>
      <c r="L61" s="182">
        <f t="shared" si="19"/>
        <v>4.0137973273031813</v>
      </c>
      <c r="M61" s="189"/>
      <c r="N61" s="184">
        <f t="shared" ca="1" si="20"/>
        <v>2075</v>
      </c>
      <c r="O61" s="179">
        <f t="shared" si="36"/>
        <v>0.02</v>
      </c>
      <c r="P61" s="182">
        <f t="shared" si="44"/>
        <v>3.0448326009803828</v>
      </c>
      <c r="R61" s="184">
        <f t="shared" ca="1" si="22"/>
        <v>2075</v>
      </c>
      <c r="S61" s="188">
        <f t="shared" si="38"/>
        <v>5.3600000000000002E-3</v>
      </c>
      <c r="U61" s="184">
        <f t="shared" ca="1" si="23"/>
        <v>2075</v>
      </c>
      <c r="V61" s="182">
        <f t="shared" si="5"/>
        <v>0.02</v>
      </c>
      <c r="W61" s="180">
        <f>Parameters!$D$15</f>
        <v>5.0000000000000001E-3</v>
      </c>
      <c r="X61" s="182">
        <f t="shared" si="6"/>
        <v>2.5000000000000001E-2</v>
      </c>
      <c r="Y61" s="182">
        <f t="shared" si="24"/>
        <v>4.0177537573690225</v>
      </c>
      <c r="AA61" s="189"/>
      <c r="AB61" s="184">
        <f t="shared" ca="1" si="25"/>
        <v>2075</v>
      </c>
      <c r="AC61" s="171">
        <f t="shared" si="7"/>
        <v>0</v>
      </c>
      <c r="AD61" s="171">
        <f t="shared" si="0"/>
        <v>0</v>
      </c>
      <c r="AE61" s="171">
        <f t="shared" si="37"/>
        <v>2098.9158935875457</v>
      </c>
      <c r="AF61" s="171">
        <f t="shared" si="26"/>
        <v>0</v>
      </c>
      <c r="AG61" s="171">
        <f t="shared" si="27"/>
        <v>0</v>
      </c>
      <c r="AH61" s="171">
        <f t="shared" si="8"/>
        <v>0</v>
      </c>
      <c r="AI61" s="171">
        <f t="shared" si="9"/>
        <v>0</v>
      </c>
      <c r="AJ61" s="171">
        <f>IF('Invoer gegevens'!$I$27="DAEB",SMALL(AC61:AD61,1),AC61)</f>
        <v>0</v>
      </c>
      <c r="AK61" s="171">
        <f>IF('Invoer gegevens'!$I$27="DAEB",SMALL((AE61:AH61),1),SMALL((AF61:AH61),1))</f>
        <v>0</v>
      </c>
      <c r="AL61" s="171">
        <f t="shared" si="33"/>
        <v>0</v>
      </c>
      <c r="AM61" s="171">
        <f t="shared" si="34"/>
        <v>0</v>
      </c>
      <c r="AN61" s="175">
        <f t="shared" si="28"/>
        <v>0</v>
      </c>
      <c r="AP61" s="184">
        <f t="shared" ca="1" si="29"/>
        <v>2075</v>
      </c>
      <c r="AQ61" s="185">
        <f t="shared" si="10"/>
        <v>0.02</v>
      </c>
      <c r="AR61" s="182">
        <f t="shared" si="45"/>
        <v>3.0448326009803828</v>
      </c>
      <c r="AU61" s="184">
        <f t="shared" ca="1" si="31"/>
        <v>2075</v>
      </c>
      <c r="AV61" s="182">
        <f t="shared" si="11"/>
        <v>0.02</v>
      </c>
      <c r="AW61" s="179">
        <f t="shared" si="12"/>
        <v>5.0000000000000001E-3</v>
      </c>
      <c r="AX61" s="182">
        <f t="shared" si="13"/>
        <v>2.5000000000000001E-2</v>
      </c>
      <c r="AY61" s="186"/>
      <c r="AZ61" s="190"/>
      <c r="BA61" s="184">
        <f t="shared" ca="1" si="32"/>
        <v>2075</v>
      </c>
      <c r="BB61" s="171">
        <f t="shared" si="14"/>
        <v>0</v>
      </c>
      <c r="BC61" s="171">
        <f t="shared" si="1"/>
        <v>2098.9158935875457</v>
      </c>
      <c r="BD61" s="171">
        <f t="shared" si="42"/>
        <v>0</v>
      </c>
      <c r="BE61" s="171">
        <f t="shared" si="43"/>
        <v>0</v>
      </c>
      <c r="BF61" s="171">
        <f t="shared" si="43"/>
        <v>0</v>
      </c>
      <c r="BG61" s="171">
        <f t="shared" si="43"/>
        <v>0</v>
      </c>
      <c r="BI61" s="187">
        <f>IF(A61-'Invoer gegevens'!$C$17&lt;0,0,IF(A61-'Invoer gegevens'!$C$17=0,1,IF(A61-'Invoer gegevens'!$C$17&lt;5,2,IF(A61-'Invoer gegevens'!$C$17&lt;15,3,4))))</f>
        <v>0</v>
      </c>
      <c r="BJ61" s="229">
        <f>IF(BI61&lt;1,0,IF(BI61&lt;2,4%,IF('Reeksen (N)'!BI61&lt;3,4%,IF('Reeksen (N)'!BI61&lt;4,4%*70%,IF('Reeksen (N)'!BI61&lt;5,4%*50%)))))</f>
        <v>0</v>
      </c>
    </row>
    <row r="62" spans="1:62" x14ac:dyDescent="0.25">
      <c r="A62" s="184">
        <f t="shared" si="15"/>
        <v>57</v>
      </c>
      <c r="B62" s="179">
        <f>Dashboard!$D$25</f>
        <v>0</v>
      </c>
      <c r="C62" s="179">
        <f>Dashboard!$D$25</f>
        <v>0</v>
      </c>
      <c r="D62" s="180">
        <f t="shared" si="4"/>
        <v>0</v>
      </c>
      <c r="E62" s="189"/>
      <c r="F62" s="184">
        <f t="shared" ca="1" si="16"/>
        <v>2076</v>
      </c>
      <c r="G62" s="179">
        <f t="shared" si="39"/>
        <v>0.02</v>
      </c>
      <c r="H62" s="182">
        <f t="shared" si="17"/>
        <v>3.1087469216113721</v>
      </c>
      <c r="I62" s="179">
        <f t="shared" si="40"/>
        <v>2.5000000000000001E-2</v>
      </c>
      <c r="J62" s="182">
        <f t="shared" si="18"/>
        <v>4.1141422604857603</v>
      </c>
      <c r="K62" s="179">
        <f t="shared" si="41"/>
        <v>2.5000000000000001E-2</v>
      </c>
      <c r="L62" s="182">
        <f t="shared" si="19"/>
        <v>4.1141422604857603</v>
      </c>
      <c r="M62" s="189"/>
      <c r="N62" s="184">
        <f t="shared" ca="1" si="20"/>
        <v>2076</v>
      </c>
      <c r="O62" s="179">
        <f t="shared" si="36"/>
        <v>0.02</v>
      </c>
      <c r="P62" s="182">
        <f t="shared" si="44"/>
        <v>3.1057292529999905</v>
      </c>
      <c r="R62" s="184">
        <f t="shared" ca="1" si="22"/>
        <v>2076</v>
      </c>
      <c r="S62" s="188">
        <f t="shared" si="38"/>
        <v>5.3600000000000002E-3</v>
      </c>
      <c r="U62" s="184">
        <f t="shared" ca="1" si="23"/>
        <v>2076</v>
      </c>
      <c r="V62" s="182">
        <f t="shared" si="5"/>
        <v>0.02</v>
      </c>
      <c r="W62" s="180">
        <f>Parameters!$D$15</f>
        <v>5.0000000000000001E-3</v>
      </c>
      <c r="X62" s="182">
        <f t="shared" si="6"/>
        <v>2.5000000000000001E-2</v>
      </c>
      <c r="Y62" s="182">
        <f t="shared" si="24"/>
        <v>4.1181976013032475</v>
      </c>
      <c r="AA62" s="189"/>
      <c r="AB62" s="184">
        <f t="shared" ca="1" si="25"/>
        <v>2076</v>
      </c>
      <c r="AC62" s="171">
        <f t="shared" si="7"/>
        <v>0</v>
      </c>
      <c r="AD62" s="171">
        <f t="shared" si="0"/>
        <v>0</v>
      </c>
      <c r="AE62" s="171">
        <f t="shared" si="37"/>
        <v>2140.8942114592965</v>
      </c>
      <c r="AF62" s="171">
        <f t="shared" si="26"/>
        <v>0</v>
      </c>
      <c r="AG62" s="171">
        <f t="shared" si="27"/>
        <v>0</v>
      </c>
      <c r="AH62" s="171">
        <f t="shared" si="8"/>
        <v>0</v>
      </c>
      <c r="AI62" s="171">
        <f t="shared" si="9"/>
        <v>0</v>
      </c>
      <c r="AJ62" s="171">
        <f>IF('Invoer gegevens'!$I$27="DAEB",SMALL(AC62:AD62,1),AC62)</f>
        <v>0</v>
      </c>
      <c r="AK62" s="171">
        <f>IF('Invoer gegevens'!$I$27="DAEB",SMALL((AE62:AH62),1),SMALL((AF62:AH62),1))</f>
        <v>0</v>
      </c>
      <c r="AL62" s="171">
        <f t="shared" si="33"/>
        <v>0</v>
      </c>
      <c r="AM62" s="171">
        <f t="shared" si="34"/>
        <v>0</v>
      </c>
      <c r="AN62" s="175">
        <f t="shared" si="28"/>
        <v>0</v>
      </c>
      <c r="AP62" s="184">
        <f t="shared" ca="1" si="29"/>
        <v>2076</v>
      </c>
      <c r="AQ62" s="185">
        <f t="shared" si="10"/>
        <v>0.02</v>
      </c>
      <c r="AR62" s="182">
        <f t="shared" si="45"/>
        <v>3.1057292529999905</v>
      </c>
      <c r="AU62" s="184">
        <f t="shared" ca="1" si="31"/>
        <v>2076</v>
      </c>
      <c r="AV62" s="182">
        <f t="shared" si="11"/>
        <v>0.02</v>
      </c>
      <c r="AW62" s="179">
        <f t="shared" si="12"/>
        <v>5.0000000000000001E-3</v>
      </c>
      <c r="AX62" s="182">
        <f t="shared" si="13"/>
        <v>2.5000000000000001E-2</v>
      </c>
      <c r="AY62" s="186"/>
      <c r="AZ62" s="190"/>
      <c r="BA62" s="184">
        <f t="shared" ca="1" si="32"/>
        <v>2076</v>
      </c>
      <c r="BB62" s="171">
        <f t="shared" si="14"/>
        <v>0</v>
      </c>
      <c r="BC62" s="171">
        <f t="shared" si="1"/>
        <v>2140.8942114592965</v>
      </c>
      <c r="BD62" s="171">
        <f t="shared" si="42"/>
        <v>0</v>
      </c>
      <c r="BE62" s="171">
        <f t="shared" si="43"/>
        <v>0</v>
      </c>
      <c r="BF62" s="171">
        <f t="shared" si="43"/>
        <v>0</v>
      </c>
      <c r="BG62" s="171">
        <f t="shared" si="43"/>
        <v>0</v>
      </c>
      <c r="BI62" s="187">
        <f>IF(A62-'Invoer gegevens'!$C$17&lt;0,0,IF(A62-'Invoer gegevens'!$C$17=0,1,IF(A62-'Invoer gegevens'!$C$17&lt;5,2,IF(A62-'Invoer gegevens'!$C$17&lt;15,3,4))))</f>
        <v>0</v>
      </c>
      <c r="BJ62" s="229">
        <f>IF(BI62&lt;1,0,IF(BI62&lt;2,4%,IF('Reeksen (N)'!BI62&lt;3,4%,IF('Reeksen (N)'!BI62&lt;4,4%*70%,IF('Reeksen (N)'!BI62&lt;5,4%*50%)))))</f>
        <v>0</v>
      </c>
    </row>
    <row r="63" spans="1:62" x14ac:dyDescent="0.25">
      <c r="A63" s="184">
        <f t="shared" si="15"/>
        <v>58</v>
      </c>
      <c r="B63" s="179">
        <f>Dashboard!$D$25</f>
        <v>0</v>
      </c>
      <c r="C63" s="179">
        <f>Dashboard!$D$25</f>
        <v>0</v>
      </c>
      <c r="D63" s="180">
        <f t="shared" si="4"/>
        <v>0</v>
      </c>
      <c r="E63" s="189"/>
      <c r="F63" s="184">
        <f t="shared" ca="1" si="16"/>
        <v>2077</v>
      </c>
      <c r="G63" s="179">
        <f t="shared" si="39"/>
        <v>0.02</v>
      </c>
      <c r="H63" s="182">
        <f t="shared" si="17"/>
        <v>3.1709218600435998</v>
      </c>
      <c r="I63" s="179">
        <f t="shared" si="40"/>
        <v>2.5000000000000001E-2</v>
      </c>
      <c r="J63" s="182">
        <f t="shared" si="18"/>
        <v>4.2169958169979038</v>
      </c>
      <c r="K63" s="179">
        <f t="shared" si="41"/>
        <v>2.5000000000000001E-2</v>
      </c>
      <c r="L63" s="182">
        <f t="shared" si="19"/>
        <v>4.2169958169979038</v>
      </c>
      <c r="M63" s="189"/>
      <c r="N63" s="184">
        <f t="shared" ca="1" si="20"/>
        <v>2077</v>
      </c>
      <c r="O63" s="179">
        <f t="shared" si="36"/>
        <v>0.02</v>
      </c>
      <c r="P63" s="182">
        <f t="shared" si="44"/>
        <v>3.1678438380599903</v>
      </c>
      <c r="R63" s="184">
        <f t="shared" ca="1" si="22"/>
        <v>2077</v>
      </c>
      <c r="S63" s="188">
        <f t="shared" si="38"/>
        <v>5.3600000000000002E-3</v>
      </c>
      <c r="U63" s="184">
        <f t="shared" ca="1" si="23"/>
        <v>2077</v>
      </c>
      <c r="V63" s="182">
        <f t="shared" si="5"/>
        <v>0.02</v>
      </c>
      <c r="W63" s="180">
        <f>Parameters!$D$15</f>
        <v>5.0000000000000001E-3</v>
      </c>
      <c r="X63" s="182">
        <f t="shared" si="6"/>
        <v>2.5000000000000001E-2</v>
      </c>
      <c r="Y63" s="182">
        <f t="shared" si="24"/>
        <v>4.2211525413358286</v>
      </c>
      <c r="AA63" s="189"/>
      <c r="AB63" s="184">
        <f t="shared" ca="1" si="25"/>
        <v>2077</v>
      </c>
      <c r="AC63" s="171">
        <f t="shared" si="7"/>
        <v>0</v>
      </c>
      <c r="AD63" s="171">
        <f t="shared" si="0"/>
        <v>0</v>
      </c>
      <c r="AE63" s="171">
        <f t="shared" si="37"/>
        <v>2183.7120956884823</v>
      </c>
      <c r="AF63" s="171">
        <f t="shared" si="26"/>
        <v>0</v>
      </c>
      <c r="AG63" s="171">
        <f t="shared" si="27"/>
        <v>0</v>
      </c>
      <c r="AH63" s="171">
        <f t="shared" si="8"/>
        <v>0</v>
      </c>
      <c r="AI63" s="171">
        <f t="shared" si="9"/>
        <v>0</v>
      </c>
      <c r="AJ63" s="171">
        <f>IF('Invoer gegevens'!$I$27="DAEB",SMALL(AC63:AD63,1),AC63)</f>
        <v>0</v>
      </c>
      <c r="AK63" s="171">
        <f>IF('Invoer gegevens'!$I$27="DAEB",SMALL((AE63:AH63),1),SMALL((AF63:AH63),1))</f>
        <v>0</v>
      </c>
      <c r="AL63" s="171">
        <f t="shared" si="33"/>
        <v>0</v>
      </c>
      <c r="AM63" s="171">
        <f t="shared" si="34"/>
        <v>0</v>
      </c>
      <c r="AN63" s="175">
        <f t="shared" si="28"/>
        <v>0</v>
      </c>
      <c r="AP63" s="184">
        <f t="shared" ca="1" si="29"/>
        <v>2077</v>
      </c>
      <c r="AQ63" s="185">
        <f t="shared" si="10"/>
        <v>0.02</v>
      </c>
      <c r="AR63" s="182">
        <f t="shared" si="45"/>
        <v>3.1678438380599903</v>
      </c>
      <c r="AU63" s="184">
        <f t="shared" ca="1" si="31"/>
        <v>2077</v>
      </c>
      <c r="AV63" s="182">
        <f t="shared" si="11"/>
        <v>0.02</v>
      </c>
      <c r="AW63" s="179">
        <f t="shared" si="12"/>
        <v>5.0000000000000001E-3</v>
      </c>
      <c r="AX63" s="182">
        <f t="shared" si="13"/>
        <v>2.5000000000000001E-2</v>
      </c>
      <c r="AY63" s="186"/>
      <c r="AZ63" s="190"/>
      <c r="BA63" s="184">
        <f t="shared" ca="1" si="32"/>
        <v>2077</v>
      </c>
      <c r="BB63" s="171">
        <f t="shared" si="14"/>
        <v>0</v>
      </c>
      <c r="BC63" s="171">
        <f t="shared" si="1"/>
        <v>2183.7120956884823</v>
      </c>
      <c r="BD63" s="171">
        <f t="shared" si="42"/>
        <v>0</v>
      </c>
      <c r="BE63" s="171">
        <f t="shared" si="43"/>
        <v>0</v>
      </c>
      <c r="BF63" s="171">
        <f t="shared" si="43"/>
        <v>0</v>
      </c>
      <c r="BG63" s="171">
        <f t="shared" si="43"/>
        <v>0</v>
      </c>
      <c r="BI63" s="187">
        <f>IF(A63-'Invoer gegevens'!$C$17&lt;0,0,IF(A63-'Invoer gegevens'!$C$17=0,1,IF(A63-'Invoer gegevens'!$C$17&lt;5,2,IF(A63-'Invoer gegevens'!$C$17&lt;15,3,4))))</f>
        <v>0</v>
      </c>
      <c r="BJ63" s="229">
        <f>IF(BI63&lt;1,0,IF(BI63&lt;2,4%,IF('Reeksen (N)'!BI63&lt;3,4%,IF('Reeksen (N)'!BI63&lt;4,4%*70%,IF('Reeksen (N)'!BI63&lt;5,4%*50%)))))</f>
        <v>0</v>
      </c>
    </row>
    <row r="64" spans="1:62" x14ac:dyDescent="0.25">
      <c r="A64" s="184">
        <f t="shared" si="15"/>
        <v>59</v>
      </c>
      <c r="B64" s="179">
        <f>Dashboard!$D$25</f>
        <v>0</v>
      </c>
      <c r="C64" s="179">
        <f>Dashboard!$D$25</f>
        <v>0</v>
      </c>
      <c r="D64" s="180">
        <f t="shared" si="4"/>
        <v>0</v>
      </c>
      <c r="E64" s="189"/>
      <c r="F64" s="184">
        <f t="shared" ca="1" si="16"/>
        <v>2078</v>
      </c>
      <c r="G64" s="179">
        <f t="shared" si="39"/>
        <v>0.02</v>
      </c>
      <c r="H64" s="182">
        <f t="shared" si="17"/>
        <v>3.2343402972444717</v>
      </c>
      <c r="I64" s="179">
        <f t="shared" si="40"/>
        <v>2.5000000000000001E-2</v>
      </c>
      <c r="J64" s="182">
        <f t="shared" si="18"/>
        <v>4.3224207124228506</v>
      </c>
      <c r="K64" s="179">
        <f t="shared" si="41"/>
        <v>2.5000000000000001E-2</v>
      </c>
      <c r="L64" s="182">
        <f t="shared" si="19"/>
        <v>4.3224207124228506</v>
      </c>
      <c r="M64" s="189"/>
      <c r="N64" s="184">
        <f t="shared" ca="1" si="20"/>
        <v>2078</v>
      </c>
      <c r="O64" s="179">
        <f t="shared" si="36"/>
        <v>0.02</v>
      </c>
      <c r="P64" s="182">
        <f t="shared" si="44"/>
        <v>3.2312007148211901</v>
      </c>
      <c r="R64" s="184">
        <f t="shared" ca="1" si="22"/>
        <v>2078</v>
      </c>
      <c r="S64" s="188">
        <f t="shared" si="38"/>
        <v>5.3600000000000002E-3</v>
      </c>
      <c r="U64" s="184">
        <f t="shared" ca="1" si="23"/>
        <v>2078</v>
      </c>
      <c r="V64" s="182">
        <f t="shared" si="5"/>
        <v>0.02</v>
      </c>
      <c r="W64" s="180">
        <f>Parameters!$D$15</f>
        <v>5.0000000000000001E-3</v>
      </c>
      <c r="X64" s="182">
        <f t="shared" si="6"/>
        <v>2.5000000000000001E-2</v>
      </c>
      <c r="Y64" s="182">
        <f t="shared" si="24"/>
        <v>4.3266813548692236</v>
      </c>
      <c r="AA64" s="189"/>
      <c r="AB64" s="184">
        <f t="shared" ca="1" si="25"/>
        <v>2078</v>
      </c>
      <c r="AC64" s="171">
        <f t="shared" si="7"/>
        <v>0</v>
      </c>
      <c r="AD64" s="171">
        <f t="shared" si="0"/>
        <v>0</v>
      </c>
      <c r="AE64" s="171">
        <f t="shared" si="37"/>
        <v>2227.3863376022518</v>
      </c>
      <c r="AF64" s="171">
        <f t="shared" si="26"/>
        <v>0</v>
      </c>
      <c r="AG64" s="171">
        <f t="shared" si="27"/>
        <v>0</v>
      </c>
      <c r="AH64" s="171">
        <f t="shared" si="8"/>
        <v>0</v>
      </c>
      <c r="AI64" s="171">
        <f t="shared" si="9"/>
        <v>0</v>
      </c>
      <c r="AJ64" s="171">
        <f>IF('Invoer gegevens'!$I$27="DAEB",SMALL(AC64:AD64,1),AC64)</f>
        <v>0</v>
      </c>
      <c r="AK64" s="171">
        <f>IF('Invoer gegevens'!$I$27="DAEB",SMALL((AE64:AH64),1),SMALL((AF64:AH64),1))</f>
        <v>0</v>
      </c>
      <c r="AL64" s="171">
        <f t="shared" si="33"/>
        <v>0</v>
      </c>
      <c r="AM64" s="171">
        <f t="shared" si="34"/>
        <v>0</v>
      </c>
      <c r="AN64" s="175">
        <f t="shared" si="28"/>
        <v>0</v>
      </c>
      <c r="AP64" s="184">
        <f t="shared" ca="1" si="29"/>
        <v>2078</v>
      </c>
      <c r="AQ64" s="185">
        <f t="shared" si="10"/>
        <v>0.02</v>
      </c>
      <c r="AR64" s="182">
        <f t="shared" si="45"/>
        <v>3.2312007148211901</v>
      </c>
      <c r="AU64" s="184">
        <f t="shared" ca="1" si="31"/>
        <v>2078</v>
      </c>
      <c r="AV64" s="182">
        <f t="shared" si="11"/>
        <v>0.02</v>
      </c>
      <c r="AW64" s="179">
        <f t="shared" si="12"/>
        <v>5.0000000000000001E-3</v>
      </c>
      <c r="AX64" s="182">
        <f t="shared" si="13"/>
        <v>2.5000000000000001E-2</v>
      </c>
      <c r="AY64" s="186"/>
      <c r="AZ64" s="190"/>
      <c r="BA64" s="184">
        <f t="shared" ca="1" si="32"/>
        <v>2078</v>
      </c>
      <c r="BB64" s="171">
        <f t="shared" si="14"/>
        <v>0</v>
      </c>
      <c r="BC64" s="171">
        <f t="shared" si="1"/>
        <v>2227.3863376022518</v>
      </c>
      <c r="BD64" s="171">
        <f t="shared" si="42"/>
        <v>0</v>
      </c>
      <c r="BE64" s="171">
        <f t="shared" si="43"/>
        <v>0</v>
      </c>
      <c r="BF64" s="171">
        <f t="shared" si="43"/>
        <v>0</v>
      </c>
      <c r="BG64" s="171">
        <f t="shared" si="43"/>
        <v>0</v>
      </c>
      <c r="BI64" s="187">
        <f>IF(A64-'Invoer gegevens'!$C$17&lt;0,0,IF(A64-'Invoer gegevens'!$C$17=0,1,IF(A64-'Invoer gegevens'!$C$17&lt;5,2,IF(A64-'Invoer gegevens'!$C$17&lt;15,3,4))))</f>
        <v>0</v>
      </c>
      <c r="BJ64" s="229">
        <f>IF(BI64&lt;1,0,IF(BI64&lt;2,4%,IF('Reeksen (N)'!BI64&lt;3,4%,IF('Reeksen (N)'!BI64&lt;4,4%*70%,IF('Reeksen (N)'!BI64&lt;5,4%*50%)))))</f>
        <v>0</v>
      </c>
    </row>
    <row r="65" spans="1:62" x14ac:dyDescent="0.25">
      <c r="A65" s="184">
        <f t="shared" si="15"/>
        <v>60</v>
      </c>
      <c r="B65" s="179">
        <f>Dashboard!$D$25</f>
        <v>0</v>
      </c>
      <c r="C65" s="179">
        <f>Dashboard!$D$25</f>
        <v>0</v>
      </c>
      <c r="D65" s="180">
        <f t="shared" si="4"/>
        <v>0</v>
      </c>
      <c r="E65" s="189"/>
      <c r="F65" s="184">
        <f t="shared" ca="1" si="16"/>
        <v>2079</v>
      </c>
      <c r="G65" s="179">
        <f t="shared" si="39"/>
        <v>0.02</v>
      </c>
      <c r="H65" s="182">
        <f t="shared" si="17"/>
        <v>3.2990271031893612</v>
      </c>
      <c r="I65" s="179">
        <f t="shared" si="40"/>
        <v>2.5000000000000001E-2</v>
      </c>
      <c r="J65" s="182">
        <f t="shared" si="18"/>
        <v>4.4304812302334211</v>
      </c>
      <c r="K65" s="179">
        <f t="shared" si="41"/>
        <v>2.5000000000000001E-2</v>
      </c>
      <c r="L65" s="182">
        <f t="shared" si="19"/>
        <v>4.4304812302334211</v>
      </c>
      <c r="M65" s="189"/>
      <c r="N65" s="184">
        <f t="shared" ca="1" si="20"/>
        <v>2079</v>
      </c>
      <c r="O65" s="179">
        <f t="shared" si="36"/>
        <v>0.02</v>
      </c>
      <c r="P65" s="182">
        <f t="shared" si="44"/>
        <v>3.2958247291176139</v>
      </c>
      <c r="R65" s="184">
        <f t="shared" ca="1" si="22"/>
        <v>2079</v>
      </c>
      <c r="S65" s="188">
        <f t="shared" si="38"/>
        <v>5.3600000000000002E-3</v>
      </c>
      <c r="U65" s="184">
        <f t="shared" ca="1" si="23"/>
        <v>2079</v>
      </c>
      <c r="V65" s="182">
        <f t="shared" si="5"/>
        <v>0.02</v>
      </c>
      <c r="W65" s="180">
        <f>Parameters!$D$15</f>
        <v>5.0000000000000001E-3</v>
      </c>
      <c r="X65" s="182">
        <f t="shared" si="6"/>
        <v>2.5000000000000001E-2</v>
      </c>
      <c r="Y65" s="182">
        <f t="shared" si="24"/>
        <v>4.4348483887409538</v>
      </c>
      <c r="AA65" s="189"/>
      <c r="AB65" s="184">
        <f t="shared" ca="1" si="25"/>
        <v>2079</v>
      </c>
      <c r="AC65" s="171">
        <f t="shared" si="7"/>
        <v>0</v>
      </c>
      <c r="AD65" s="171">
        <f t="shared" si="0"/>
        <v>0</v>
      </c>
      <c r="AE65" s="171">
        <f t="shared" si="37"/>
        <v>2271.9340643542969</v>
      </c>
      <c r="AF65" s="171">
        <f t="shared" si="26"/>
        <v>0</v>
      </c>
      <c r="AG65" s="171">
        <f t="shared" si="27"/>
        <v>0</v>
      </c>
      <c r="AH65" s="171">
        <f t="shared" si="8"/>
        <v>0</v>
      </c>
      <c r="AI65" s="171">
        <f t="shared" si="9"/>
        <v>0</v>
      </c>
      <c r="AJ65" s="171">
        <f>IF('Invoer gegevens'!$I$27="DAEB",SMALL(AC65:AD65,1),AC65)</f>
        <v>0</v>
      </c>
      <c r="AK65" s="171">
        <f>IF('Invoer gegevens'!$I$27="DAEB",SMALL((AE65:AH65),1),SMALL((AF65:AH65),1))</f>
        <v>0</v>
      </c>
      <c r="AL65" s="171">
        <f t="shared" si="33"/>
        <v>0</v>
      </c>
      <c r="AM65" s="171">
        <f t="shared" si="34"/>
        <v>0</v>
      </c>
      <c r="AN65" s="175">
        <f t="shared" si="28"/>
        <v>0</v>
      </c>
      <c r="AP65" s="184">
        <f t="shared" ca="1" si="29"/>
        <v>2079</v>
      </c>
      <c r="AQ65" s="185">
        <f t="shared" si="10"/>
        <v>0.02</v>
      </c>
      <c r="AR65" s="182">
        <f t="shared" si="45"/>
        <v>3.2958247291176139</v>
      </c>
      <c r="AU65" s="184">
        <f t="shared" ca="1" si="31"/>
        <v>2079</v>
      </c>
      <c r="AV65" s="182">
        <f t="shared" si="11"/>
        <v>0.02</v>
      </c>
      <c r="AW65" s="179">
        <f t="shared" si="12"/>
        <v>5.0000000000000001E-3</v>
      </c>
      <c r="AX65" s="182">
        <f t="shared" si="13"/>
        <v>2.5000000000000001E-2</v>
      </c>
      <c r="AY65" s="186"/>
      <c r="AZ65" s="190"/>
      <c r="BA65" s="184">
        <f t="shared" ca="1" si="32"/>
        <v>2079</v>
      </c>
      <c r="BB65" s="171">
        <f t="shared" si="14"/>
        <v>0</v>
      </c>
      <c r="BC65" s="171">
        <f t="shared" si="1"/>
        <v>2271.9340643542969</v>
      </c>
      <c r="BD65" s="171">
        <f t="shared" ref="BD65:BD97" si="46">AH65</f>
        <v>0</v>
      </c>
      <c r="BE65" s="171">
        <f t="shared" si="43"/>
        <v>0</v>
      </c>
      <c r="BF65" s="171">
        <f t="shared" si="43"/>
        <v>0</v>
      </c>
      <c r="BG65" s="171">
        <f t="shared" si="43"/>
        <v>0</v>
      </c>
      <c r="BI65" s="187">
        <f>IF(A65-'Invoer gegevens'!$C$17&lt;0,0,IF(A65-'Invoer gegevens'!$C$17=0,1,IF(A65-'Invoer gegevens'!$C$17&lt;5,2,IF(A65-'Invoer gegevens'!$C$17&lt;15,3,4))))</f>
        <v>0</v>
      </c>
      <c r="BJ65" s="229">
        <f>IF(BI65&lt;1,0,IF(BI65&lt;2,4%,IF('Reeksen (N)'!BI65&lt;3,4%,IF('Reeksen (N)'!BI65&lt;4,4%*70%,IF('Reeksen (N)'!BI65&lt;5,4%*50%)))))</f>
        <v>0</v>
      </c>
    </row>
    <row r="66" spans="1:62" x14ac:dyDescent="0.25">
      <c r="A66" s="184">
        <f t="shared" si="15"/>
        <v>61</v>
      </c>
      <c r="B66" s="179">
        <f>Dashboard!$D$25</f>
        <v>0</v>
      </c>
      <c r="C66" s="179">
        <f>Dashboard!$D$25</f>
        <v>0</v>
      </c>
      <c r="D66" s="180">
        <f t="shared" si="4"/>
        <v>0</v>
      </c>
      <c r="E66" s="189"/>
      <c r="F66" s="184">
        <f t="shared" ca="1" si="16"/>
        <v>2080</v>
      </c>
      <c r="G66" s="179">
        <f t="shared" si="39"/>
        <v>0.02</v>
      </c>
      <c r="H66" s="182">
        <f t="shared" si="17"/>
        <v>3.3650076452531485</v>
      </c>
      <c r="I66" s="179">
        <f t="shared" si="40"/>
        <v>2.5000000000000001E-2</v>
      </c>
      <c r="J66" s="182">
        <f t="shared" si="18"/>
        <v>4.5412432609892566</v>
      </c>
      <c r="K66" s="179">
        <f t="shared" si="41"/>
        <v>2.5000000000000001E-2</v>
      </c>
      <c r="L66" s="182">
        <f t="shared" si="19"/>
        <v>4.5412432609892566</v>
      </c>
      <c r="M66" s="189"/>
      <c r="N66" s="184">
        <f t="shared" ca="1" si="20"/>
        <v>2080</v>
      </c>
      <c r="O66" s="179">
        <f t="shared" si="36"/>
        <v>0.02</v>
      </c>
      <c r="P66" s="182">
        <f t="shared" si="44"/>
        <v>3.3617412236999664</v>
      </c>
      <c r="R66" s="184">
        <f t="shared" ca="1" si="22"/>
        <v>2080</v>
      </c>
      <c r="S66" s="188">
        <f t="shared" si="38"/>
        <v>5.3600000000000002E-3</v>
      </c>
      <c r="U66" s="184">
        <f t="shared" ca="1" si="23"/>
        <v>2080</v>
      </c>
      <c r="V66" s="182">
        <f t="shared" si="5"/>
        <v>0.02</v>
      </c>
      <c r="W66" s="180">
        <f>Parameters!$D$15</f>
        <v>5.0000000000000001E-3</v>
      </c>
      <c r="X66" s="182">
        <f t="shared" si="6"/>
        <v>2.5000000000000001E-2</v>
      </c>
      <c r="Y66" s="182">
        <f t="shared" si="24"/>
        <v>4.5457195984594776</v>
      </c>
      <c r="AA66" s="189"/>
      <c r="AB66" s="184">
        <f t="shared" ca="1" si="25"/>
        <v>2080</v>
      </c>
      <c r="AC66" s="171">
        <f t="shared" si="7"/>
        <v>0</v>
      </c>
      <c r="AD66" s="171">
        <f t="shared" si="0"/>
        <v>0</v>
      </c>
      <c r="AE66" s="171">
        <f t="shared" si="37"/>
        <v>2317.3727456413831</v>
      </c>
      <c r="AF66" s="171">
        <f t="shared" si="26"/>
        <v>0</v>
      </c>
      <c r="AG66" s="171">
        <f t="shared" si="27"/>
        <v>0</v>
      </c>
      <c r="AH66" s="171">
        <f t="shared" si="8"/>
        <v>0</v>
      </c>
      <c r="AI66" s="171">
        <f t="shared" si="9"/>
        <v>0</v>
      </c>
      <c r="AJ66" s="171">
        <f>IF('Invoer gegevens'!$I$27="DAEB",SMALL(AC66:AD66,1),AC66)</f>
        <v>0</v>
      </c>
      <c r="AK66" s="171">
        <f>IF('Invoer gegevens'!$I$27="DAEB",SMALL((AE66:AH66),1),SMALL((AF66:AH66),1))</f>
        <v>0</v>
      </c>
      <c r="AL66" s="171">
        <f t="shared" si="33"/>
        <v>0</v>
      </c>
      <c r="AM66" s="171">
        <f t="shared" si="34"/>
        <v>0</v>
      </c>
      <c r="AN66" s="175">
        <f t="shared" si="28"/>
        <v>0</v>
      </c>
      <c r="AP66" s="184">
        <f t="shared" ca="1" si="29"/>
        <v>2080</v>
      </c>
      <c r="AQ66" s="185">
        <f t="shared" si="10"/>
        <v>0.02</v>
      </c>
      <c r="AR66" s="182">
        <f t="shared" si="45"/>
        <v>3.3617412236999664</v>
      </c>
      <c r="AU66" s="184">
        <f t="shared" ca="1" si="31"/>
        <v>2080</v>
      </c>
      <c r="AV66" s="182">
        <f t="shared" si="11"/>
        <v>0.02</v>
      </c>
      <c r="AW66" s="179">
        <f t="shared" si="12"/>
        <v>5.0000000000000001E-3</v>
      </c>
      <c r="AX66" s="182">
        <f t="shared" si="13"/>
        <v>2.5000000000000001E-2</v>
      </c>
      <c r="AY66" s="186"/>
      <c r="AZ66" s="190"/>
      <c r="BA66" s="184">
        <f t="shared" ca="1" si="32"/>
        <v>2080</v>
      </c>
      <c r="BB66" s="171">
        <f t="shared" si="14"/>
        <v>0</v>
      </c>
      <c r="BC66" s="171">
        <f t="shared" si="1"/>
        <v>2317.3727456413831</v>
      </c>
      <c r="BD66" s="171">
        <f t="shared" si="46"/>
        <v>0</v>
      </c>
      <c r="BE66" s="171">
        <f t="shared" si="43"/>
        <v>0</v>
      </c>
      <c r="BF66" s="171">
        <f t="shared" si="43"/>
        <v>0</v>
      </c>
      <c r="BG66" s="171">
        <f t="shared" si="43"/>
        <v>0</v>
      </c>
      <c r="BI66" s="187">
        <f>IF(A66-'Invoer gegevens'!$C$17&lt;0,0,IF(A66-'Invoer gegevens'!$C$17=0,1,IF(A66-'Invoer gegevens'!$C$17&lt;5,2,IF(A66-'Invoer gegevens'!$C$17&lt;15,3,4))))</f>
        <v>0</v>
      </c>
      <c r="BJ66" s="229">
        <f>IF(BI66&lt;1,0,IF(BI66&lt;2,4%,IF('Reeksen (N)'!BI66&lt;3,4%,IF('Reeksen (N)'!BI66&lt;4,4%*70%,IF('Reeksen (N)'!BI66&lt;5,4%*50%)))))</f>
        <v>0</v>
      </c>
    </row>
    <row r="67" spans="1:62" x14ac:dyDescent="0.25">
      <c r="A67" s="184">
        <f t="shared" si="15"/>
        <v>62</v>
      </c>
      <c r="B67" s="179">
        <f>Dashboard!$D$25</f>
        <v>0</v>
      </c>
      <c r="C67" s="179">
        <f>Dashboard!$D$25</f>
        <v>0</v>
      </c>
      <c r="D67" s="180">
        <f t="shared" si="4"/>
        <v>0</v>
      </c>
      <c r="E67" s="189"/>
      <c r="F67" s="184">
        <f t="shared" ca="1" si="16"/>
        <v>2081</v>
      </c>
      <c r="G67" s="179">
        <f t="shared" si="39"/>
        <v>0.02</v>
      </c>
      <c r="H67" s="182">
        <f t="shared" si="17"/>
        <v>3.4323077981582117</v>
      </c>
      <c r="I67" s="179">
        <f t="shared" si="40"/>
        <v>2.5000000000000001E-2</v>
      </c>
      <c r="J67" s="182">
        <f t="shared" si="18"/>
        <v>4.6547743425139876</v>
      </c>
      <c r="K67" s="179">
        <f t="shared" si="41"/>
        <v>2.5000000000000001E-2</v>
      </c>
      <c r="L67" s="182">
        <f t="shared" si="19"/>
        <v>4.6547743425139876</v>
      </c>
      <c r="M67" s="189"/>
      <c r="N67" s="184">
        <f t="shared" ca="1" si="20"/>
        <v>2081</v>
      </c>
      <c r="O67" s="179">
        <f t="shared" si="36"/>
        <v>0.02</v>
      </c>
      <c r="P67" s="182">
        <f t="shared" si="44"/>
        <v>3.4289760481739657</v>
      </c>
      <c r="R67" s="184">
        <f t="shared" ca="1" si="22"/>
        <v>2081</v>
      </c>
      <c r="S67" s="188">
        <f t="shared" si="38"/>
        <v>5.3600000000000002E-3</v>
      </c>
      <c r="U67" s="184">
        <f t="shared" ca="1" si="23"/>
        <v>2081</v>
      </c>
      <c r="V67" s="182">
        <f t="shared" si="5"/>
        <v>0.02</v>
      </c>
      <c r="W67" s="180">
        <f>Parameters!$D$15</f>
        <v>5.0000000000000001E-3</v>
      </c>
      <c r="X67" s="182">
        <f t="shared" si="6"/>
        <v>2.5000000000000001E-2</v>
      </c>
      <c r="Y67" s="182">
        <f t="shared" si="24"/>
        <v>4.6593625884209642</v>
      </c>
      <c r="AA67" s="189"/>
      <c r="AB67" s="184">
        <f t="shared" ca="1" si="25"/>
        <v>2081</v>
      </c>
      <c r="AC67" s="171">
        <f t="shared" si="7"/>
        <v>0</v>
      </c>
      <c r="AD67" s="171">
        <f t="shared" si="0"/>
        <v>0</v>
      </c>
      <c r="AE67" s="171">
        <f t="shared" si="37"/>
        <v>2363.7202005542108</v>
      </c>
      <c r="AF67" s="171">
        <f t="shared" si="26"/>
        <v>0</v>
      </c>
      <c r="AG67" s="171">
        <f t="shared" si="27"/>
        <v>0</v>
      </c>
      <c r="AH67" s="171">
        <f t="shared" si="8"/>
        <v>0</v>
      </c>
      <c r="AI67" s="171">
        <f t="shared" si="9"/>
        <v>0</v>
      </c>
      <c r="AJ67" s="171">
        <f>IF('Invoer gegevens'!$I$27="DAEB",SMALL(AC67:AD67,1),AC67)</f>
        <v>0</v>
      </c>
      <c r="AK67" s="171">
        <f>IF('Invoer gegevens'!$I$27="DAEB",SMALL((AE67:AH67),1),SMALL((AF67:AH67),1))</f>
        <v>0</v>
      </c>
      <c r="AL67" s="171">
        <f t="shared" si="33"/>
        <v>0</v>
      </c>
      <c r="AM67" s="171">
        <f t="shared" si="34"/>
        <v>0</v>
      </c>
      <c r="AN67" s="175">
        <f t="shared" si="28"/>
        <v>0</v>
      </c>
      <c r="AP67" s="184">
        <f t="shared" ca="1" si="29"/>
        <v>2081</v>
      </c>
      <c r="AQ67" s="185">
        <f t="shared" si="10"/>
        <v>0.02</v>
      </c>
      <c r="AR67" s="182">
        <f t="shared" si="45"/>
        <v>3.4289760481739657</v>
      </c>
      <c r="AU67" s="184">
        <f t="shared" ca="1" si="31"/>
        <v>2081</v>
      </c>
      <c r="AV67" s="182">
        <f t="shared" si="11"/>
        <v>0.02</v>
      </c>
      <c r="AW67" s="179">
        <f t="shared" si="12"/>
        <v>5.0000000000000001E-3</v>
      </c>
      <c r="AX67" s="182">
        <f t="shared" si="13"/>
        <v>2.5000000000000001E-2</v>
      </c>
      <c r="AY67" s="186"/>
      <c r="AZ67" s="190"/>
      <c r="BA67" s="184">
        <f t="shared" ca="1" si="32"/>
        <v>2081</v>
      </c>
      <c r="BB67" s="171">
        <f t="shared" si="14"/>
        <v>0</v>
      </c>
      <c r="BC67" s="171">
        <f t="shared" si="1"/>
        <v>2363.7202005542108</v>
      </c>
      <c r="BD67" s="171">
        <f t="shared" si="46"/>
        <v>0</v>
      </c>
      <c r="BE67" s="171">
        <f t="shared" si="43"/>
        <v>0</v>
      </c>
      <c r="BF67" s="171">
        <f t="shared" si="43"/>
        <v>0</v>
      </c>
      <c r="BG67" s="171">
        <f t="shared" si="43"/>
        <v>0</v>
      </c>
      <c r="BI67" s="187">
        <f>IF(A67-'Invoer gegevens'!$C$17&lt;0,0,IF(A67-'Invoer gegevens'!$C$17=0,1,IF(A67-'Invoer gegevens'!$C$17&lt;5,2,IF(A67-'Invoer gegevens'!$C$17&lt;15,3,4))))</f>
        <v>0</v>
      </c>
      <c r="BJ67" s="229">
        <f>IF(BI67&lt;1,0,IF(BI67&lt;2,4%,IF('Reeksen (N)'!BI67&lt;3,4%,IF('Reeksen (N)'!BI67&lt;4,4%*70%,IF('Reeksen (N)'!BI67&lt;5,4%*50%)))))</f>
        <v>0</v>
      </c>
    </row>
    <row r="68" spans="1:62" x14ac:dyDescent="0.25">
      <c r="A68" s="184">
        <f t="shared" si="15"/>
        <v>63</v>
      </c>
      <c r="B68" s="179">
        <f>Dashboard!$D$25</f>
        <v>0</v>
      </c>
      <c r="C68" s="179">
        <f>Dashboard!$D$25</f>
        <v>0</v>
      </c>
      <c r="D68" s="180">
        <f t="shared" si="4"/>
        <v>0</v>
      </c>
      <c r="E68" s="189"/>
      <c r="F68" s="184">
        <f t="shared" ca="1" si="16"/>
        <v>2082</v>
      </c>
      <c r="G68" s="179">
        <f t="shared" si="39"/>
        <v>0.02</v>
      </c>
      <c r="H68" s="182">
        <f t="shared" si="17"/>
        <v>3.5009539541213761</v>
      </c>
      <c r="I68" s="179">
        <f t="shared" si="40"/>
        <v>2.5000000000000001E-2</v>
      </c>
      <c r="J68" s="182">
        <f t="shared" si="18"/>
        <v>4.7711437010768369</v>
      </c>
      <c r="K68" s="179">
        <f t="shared" si="41"/>
        <v>2.5000000000000001E-2</v>
      </c>
      <c r="L68" s="182">
        <f t="shared" si="19"/>
        <v>4.7711437010768369</v>
      </c>
      <c r="M68" s="189"/>
      <c r="N68" s="184">
        <f t="shared" ca="1" si="20"/>
        <v>2082</v>
      </c>
      <c r="O68" s="179">
        <f t="shared" si="36"/>
        <v>0.02</v>
      </c>
      <c r="P68" s="182">
        <f t="shared" si="44"/>
        <v>3.4975555691374449</v>
      </c>
      <c r="R68" s="184">
        <f t="shared" ca="1" si="22"/>
        <v>2082</v>
      </c>
      <c r="S68" s="188">
        <f t="shared" si="38"/>
        <v>5.3600000000000002E-3</v>
      </c>
      <c r="U68" s="184">
        <f t="shared" ca="1" si="23"/>
        <v>2082</v>
      </c>
      <c r="V68" s="182">
        <f t="shared" si="5"/>
        <v>0.02</v>
      </c>
      <c r="W68" s="180">
        <f>Parameters!$D$15</f>
        <v>5.0000000000000001E-3</v>
      </c>
      <c r="X68" s="182">
        <f t="shared" si="6"/>
        <v>2.5000000000000001E-2</v>
      </c>
      <c r="Y68" s="182">
        <f t="shared" si="24"/>
        <v>4.775846653131488</v>
      </c>
      <c r="AA68" s="189"/>
      <c r="AB68" s="184">
        <f t="shared" ca="1" si="25"/>
        <v>2082</v>
      </c>
      <c r="AC68" s="171">
        <f t="shared" si="7"/>
        <v>0</v>
      </c>
      <c r="AD68" s="171">
        <f t="shared" si="0"/>
        <v>0</v>
      </c>
      <c r="AE68" s="171">
        <f t="shared" si="37"/>
        <v>2410.994604565295</v>
      </c>
      <c r="AF68" s="171">
        <f t="shared" si="26"/>
        <v>0</v>
      </c>
      <c r="AG68" s="171">
        <f t="shared" si="27"/>
        <v>0</v>
      </c>
      <c r="AH68" s="171">
        <f t="shared" si="8"/>
        <v>0</v>
      </c>
      <c r="AI68" s="171">
        <f t="shared" si="9"/>
        <v>0</v>
      </c>
      <c r="AJ68" s="171">
        <f>IF('Invoer gegevens'!$I$27="DAEB",SMALL(AC68:AD68,1),AC68)</f>
        <v>0</v>
      </c>
      <c r="AK68" s="171">
        <f>IF('Invoer gegevens'!$I$27="DAEB",SMALL((AE68:AH68),1),SMALL((AF68:AH68),1))</f>
        <v>0</v>
      </c>
      <c r="AL68" s="171">
        <f t="shared" si="33"/>
        <v>0</v>
      </c>
      <c r="AM68" s="171">
        <f t="shared" si="34"/>
        <v>0</v>
      </c>
      <c r="AN68" s="175">
        <f t="shared" si="28"/>
        <v>0</v>
      </c>
      <c r="AP68" s="184">
        <f t="shared" ca="1" si="29"/>
        <v>2082</v>
      </c>
      <c r="AQ68" s="185">
        <f t="shared" si="10"/>
        <v>0.02</v>
      </c>
      <c r="AR68" s="182">
        <f t="shared" si="45"/>
        <v>3.4975555691374449</v>
      </c>
      <c r="AU68" s="184">
        <f t="shared" ca="1" si="31"/>
        <v>2082</v>
      </c>
      <c r="AV68" s="182">
        <f t="shared" si="11"/>
        <v>0.02</v>
      </c>
      <c r="AW68" s="179">
        <f t="shared" si="12"/>
        <v>5.0000000000000001E-3</v>
      </c>
      <c r="AX68" s="182">
        <f t="shared" si="13"/>
        <v>2.5000000000000001E-2</v>
      </c>
      <c r="AY68" s="186"/>
      <c r="AZ68" s="190"/>
      <c r="BA68" s="184">
        <f t="shared" ca="1" si="32"/>
        <v>2082</v>
      </c>
      <c r="BB68" s="171">
        <f t="shared" si="14"/>
        <v>0</v>
      </c>
      <c r="BC68" s="171">
        <f t="shared" si="1"/>
        <v>2410.994604565295</v>
      </c>
      <c r="BD68" s="171">
        <f t="shared" si="46"/>
        <v>0</v>
      </c>
      <c r="BE68" s="171">
        <f t="shared" si="43"/>
        <v>0</v>
      </c>
      <c r="BF68" s="171">
        <f t="shared" si="43"/>
        <v>0</v>
      </c>
      <c r="BG68" s="171">
        <f t="shared" si="43"/>
        <v>0</v>
      </c>
      <c r="BI68" s="187">
        <f>IF(A68-'Invoer gegevens'!$C$17&lt;0,0,IF(A68-'Invoer gegevens'!$C$17=0,1,IF(A68-'Invoer gegevens'!$C$17&lt;5,2,IF(A68-'Invoer gegevens'!$C$17&lt;15,3,4))))</f>
        <v>0</v>
      </c>
      <c r="BJ68" s="229">
        <f>IF(BI68&lt;1,0,IF(BI68&lt;2,4%,IF('Reeksen (N)'!BI68&lt;3,4%,IF('Reeksen (N)'!BI68&lt;4,4%*70%,IF('Reeksen (N)'!BI68&lt;5,4%*50%)))))</f>
        <v>0</v>
      </c>
    </row>
    <row r="69" spans="1:62" x14ac:dyDescent="0.25">
      <c r="A69" s="184">
        <f t="shared" si="15"/>
        <v>64</v>
      </c>
      <c r="B69" s="179">
        <f>Dashboard!$D$25</f>
        <v>0</v>
      </c>
      <c r="C69" s="179">
        <f>Dashboard!$D$25</f>
        <v>0</v>
      </c>
      <c r="D69" s="180">
        <f t="shared" si="4"/>
        <v>0</v>
      </c>
      <c r="E69" s="189"/>
      <c r="F69" s="184">
        <f t="shared" ca="1" si="16"/>
        <v>2083</v>
      </c>
      <c r="G69" s="179">
        <f t="shared" si="39"/>
        <v>0.02</v>
      </c>
      <c r="H69" s="182">
        <f t="shared" si="17"/>
        <v>3.5709730332038037</v>
      </c>
      <c r="I69" s="179">
        <f t="shared" si="40"/>
        <v>2.5000000000000001E-2</v>
      </c>
      <c r="J69" s="182">
        <f t="shared" si="18"/>
        <v>4.8904222936037574</v>
      </c>
      <c r="K69" s="179">
        <f t="shared" si="41"/>
        <v>2.5000000000000001E-2</v>
      </c>
      <c r="L69" s="182">
        <f t="shared" si="19"/>
        <v>4.8904222936037574</v>
      </c>
      <c r="M69" s="189"/>
      <c r="N69" s="184">
        <f t="shared" ca="1" si="20"/>
        <v>2083</v>
      </c>
      <c r="O69" s="179">
        <f t="shared" si="36"/>
        <v>0.02</v>
      </c>
      <c r="P69" s="182">
        <f t="shared" si="44"/>
        <v>3.5675066805201938</v>
      </c>
      <c r="R69" s="184">
        <f t="shared" ca="1" si="22"/>
        <v>2083</v>
      </c>
      <c r="S69" s="188">
        <f t="shared" si="38"/>
        <v>5.3600000000000002E-3</v>
      </c>
      <c r="U69" s="184">
        <f t="shared" ca="1" si="23"/>
        <v>2083</v>
      </c>
      <c r="V69" s="182">
        <f t="shared" si="5"/>
        <v>0.02</v>
      </c>
      <c r="W69" s="180">
        <f>Parameters!$D$15</f>
        <v>5.0000000000000001E-3</v>
      </c>
      <c r="X69" s="182">
        <f t="shared" si="6"/>
        <v>2.5000000000000001E-2</v>
      </c>
      <c r="Y69" s="182">
        <f t="shared" si="24"/>
        <v>4.8952428194597752</v>
      </c>
      <c r="AA69" s="189"/>
      <c r="AB69" s="184">
        <f t="shared" ca="1" si="25"/>
        <v>2083</v>
      </c>
      <c r="AC69" s="171">
        <f t="shared" si="7"/>
        <v>0</v>
      </c>
      <c r="AD69" s="171">
        <f t="shared" ref="AD69:AD132" si="47">IF(AG69&lt;AE69,MIN(AF69,AG69),AF69)</f>
        <v>0</v>
      </c>
      <c r="AE69" s="171">
        <f t="shared" si="37"/>
        <v>2459.2144966566011</v>
      </c>
      <c r="AF69" s="171">
        <f t="shared" si="26"/>
        <v>0</v>
      </c>
      <c r="AG69" s="171">
        <f t="shared" si="27"/>
        <v>0</v>
      </c>
      <c r="AH69" s="171">
        <f t="shared" si="8"/>
        <v>0</v>
      </c>
      <c r="AI69" s="171">
        <f t="shared" si="9"/>
        <v>0</v>
      </c>
      <c r="AJ69" s="171">
        <f>IF('Invoer gegevens'!$I$27="DAEB",SMALL(AC69:AD69,1),AC69)</f>
        <v>0</v>
      </c>
      <c r="AK69" s="171">
        <f>IF('Invoer gegevens'!$I$27="DAEB",SMALL((AE69:AH69),1),SMALL((AF69:AH69),1))</f>
        <v>0</v>
      </c>
      <c r="AL69" s="171">
        <f t="shared" si="33"/>
        <v>0</v>
      </c>
      <c r="AM69" s="171">
        <f t="shared" si="34"/>
        <v>0</v>
      </c>
      <c r="AN69" s="175">
        <f t="shared" si="28"/>
        <v>0</v>
      </c>
      <c r="AP69" s="184">
        <f t="shared" ca="1" si="29"/>
        <v>2083</v>
      </c>
      <c r="AQ69" s="185">
        <f t="shared" si="10"/>
        <v>0.02</v>
      </c>
      <c r="AR69" s="182">
        <f t="shared" si="45"/>
        <v>3.5675066805201938</v>
      </c>
      <c r="AU69" s="184">
        <f t="shared" ca="1" si="31"/>
        <v>2083</v>
      </c>
      <c r="AV69" s="182">
        <f t="shared" si="11"/>
        <v>0.02</v>
      </c>
      <c r="AW69" s="179">
        <f t="shared" si="12"/>
        <v>5.0000000000000001E-3</v>
      </c>
      <c r="AX69" s="182">
        <f t="shared" si="13"/>
        <v>2.5000000000000001E-2</v>
      </c>
      <c r="AY69" s="186"/>
      <c r="AZ69" s="190"/>
      <c r="BA69" s="184">
        <f t="shared" ca="1" si="32"/>
        <v>2083</v>
      </c>
      <c r="BB69" s="171">
        <f t="shared" si="14"/>
        <v>0</v>
      </c>
      <c r="BC69" s="171">
        <f t="shared" ref="BC69:BC132" si="48">AE69</f>
        <v>2459.2144966566011</v>
      </c>
      <c r="BD69" s="171">
        <f t="shared" si="46"/>
        <v>0</v>
      </c>
      <c r="BE69" s="171">
        <f t="shared" si="43"/>
        <v>0</v>
      </c>
      <c r="BF69" s="171">
        <f t="shared" si="43"/>
        <v>0</v>
      </c>
      <c r="BG69" s="171">
        <f t="shared" si="43"/>
        <v>0</v>
      </c>
      <c r="BI69" s="187">
        <f>IF(A69-'Invoer gegevens'!$C$17&lt;0,0,IF(A69-'Invoer gegevens'!$C$17=0,1,IF(A69-'Invoer gegevens'!$C$17&lt;5,2,IF(A69-'Invoer gegevens'!$C$17&lt;15,3,4))))</f>
        <v>0</v>
      </c>
      <c r="BJ69" s="229">
        <f>IF(BI69&lt;1,0,IF(BI69&lt;2,4%,IF('Reeksen (N)'!BI69&lt;3,4%,IF('Reeksen (N)'!BI69&lt;4,4%*70%,IF('Reeksen (N)'!BI69&lt;5,4%*50%)))))</f>
        <v>0</v>
      </c>
    </row>
    <row r="70" spans="1:62" x14ac:dyDescent="0.25">
      <c r="A70" s="184">
        <f t="shared" si="15"/>
        <v>65</v>
      </c>
      <c r="B70" s="179">
        <f>Dashboard!$D$25</f>
        <v>0</v>
      </c>
      <c r="C70" s="179">
        <f>Dashboard!$D$25</f>
        <v>0</v>
      </c>
      <c r="D70" s="180">
        <f t="shared" ref="D70:D133" si="49">B70</f>
        <v>0</v>
      </c>
      <c r="E70" s="189"/>
      <c r="F70" s="184">
        <f t="shared" ca="1" si="16"/>
        <v>2084</v>
      </c>
      <c r="G70" s="179">
        <f t="shared" si="39"/>
        <v>0.02</v>
      </c>
      <c r="H70" s="182">
        <f t="shared" si="17"/>
        <v>3.64239249386788</v>
      </c>
      <c r="I70" s="179">
        <f t="shared" si="40"/>
        <v>2.5000000000000001E-2</v>
      </c>
      <c r="J70" s="182">
        <f t="shared" si="18"/>
        <v>5.0126828509438512</v>
      </c>
      <c r="K70" s="179">
        <f t="shared" si="41"/>
        <v>2.5000000000000001E-2</v>
      </c>
      <c r="L70" s="182">
        <f t="shared" si="19"/>
        <v>5.0126828509438512</v>
      </c>
      <c r="M70" s="189"/>
      <c r="N70" s="184">
        <f t="shared" ca="1" si="20"/>
        <v>2084</v>
      </c>
      <c r="O70" s="179">
        <f t="shared" si="36"/>
        <v>0.02</v>
      </c>
      <c r="P70" s="182">
        <f t="shared" si="44"/>
        <v>3.6388568141305977</v>
      </c>
      <c r="R70" s="184">
        <f t="shared" ca="1" si="22"/>
        <v>2084</v>
      </c>
      <c r="S70" s="188">
        <f t="shared" si="38"/>
        <v>5.3600000000000002E-3</v>
      </c>
      <c r="U70" s="184">
        <f t="shared" ca="1" si="23"/>
        <v>2084</v>
      </c>
      <c r="V70" s="182">
        <f t="shared" ref="V70:V133" si="50">G70</f>
        <v>0.02</v>
      </c>
      <c r="W70" s="180">
        <f>Parameters!$D$15</f>
        <v>5.0000000000000001E-3</v>
      </c>
      <c r="X70" s="182">
        <f t="shared" ref="X70:X133" si="51">V70+W70</f>
        <v>2.5000000000000001E-2</v>
      </c>
      <c r="Y70" s="182">
        <f t="shared" si="24"/>
        <v>5.0176238899462691</v>
      </c>
      <c r="AA70" s="189"/>
      <c r="AB70" s="184">
        <f t="shared" ca="1" si="25"/>
        <v>2084</v>
      </c>
      <c r="AC70" s="171">
        <f t="shared" ref="AC70:AC133" si="52">$AC$4*Y70</f>
        <v>0</v>
      </c>
      <c r="AD70" s="171">
        <f t="shared" si="47"/>
        <v>0</v>
      </c>
      <c r="AE70" s="171">
        <f t="shared" si="37"/>
        <v>2508.3987865897334</v>
      </c>
      <c r="AF70" s="171">
        <f t="shared" si="26"/>
        <v>0</v>
      </c>
      <c r="AG70" s="171">
        <f t="shared" si="27"/>
        <v>0</v>
      </c>
      <c r="AH70" s="171">
        <f t="shared" ref="AH70:AH133" si="53">ROUND($AH69*(1+V70)^1,2)</f>
        <v>0</v>
      </c>
      <c r="AI70" s="171">
        <f t="shared" ref="AI70:AI133" si="54">SMALL(AC70:AD70,1)</f>
        <v>0</v>
      </c>
      <c r="AJ70" s="171">
        <f>IF('Invoer gegevens'!$I$27="DAEB",SMALL(AC70:AD70,1),AC70)</f>
        <v>0</v>
      </c>
      <c r="AK70" s="171">
        <f>IF('Invoer gegevens'!$I$27="DAEB",SMALL((AE70:AH70),1),SMALL((AF70:AH70),1))</f>
        <v>0</v>
      </c>
      <c r="AL70" s="171">
        <f t="shared" si="33"/>
        <v>0</v>
      </c>
      <c r="AM70" s="171">
        <f t="shared" si="34"/>
        <v>0</v>
      </c>
      <c r="AN70" s="175">
        <f t="shared" si="28"/>
        <v>0</v>
      </c>
      <c r="AP70" s="184">
        <f t="shared" ca="1" si="29"/>
        <v>2084</v>
      </c>
      <c r="AQ70" s="185">
        <f t="shared" ref="AQ70:AQ133" si="55">O70</f>
        <v>0.02</v>
      </c>
      <c r="AR70" s="182">
        <f t="shared" si="45"/>
        <v>3.6388568141305977</v>
      </c>
      <c r="AU70" s="184">
        <f t="shared" ca="1" si="31"/>
        <v>2084</v>
      </c>
      <c r="AV70" s="182">
        <f t="shared" ref="AV70:AV133" si="56">G70</f>
        <v>0.02</v>
      </c>
      <c r="AW70" s="179">
        <f t="shared" ref="AW70:AW133" si="57">W70</f>
        <v>5.0000000000000001E-3</v>
      </c>
      <c r="AX70" s="182">
        <f t="shared" ref="AX70:AX133" si="58">AV70+AW70</f>
        <v>2.5000000000000001E-2</v>
      </c>
      <c r="AY70" s="186"/>
      <c r="AZ70" s="190"/>
      <c r="BA70" s="184">
        <f t="shared" ca="1" si="32"/>
        <v>2084</v>
      </c>
      <c r="BB70" s="171">
        <f t="shared" ref="BB70:BB133" si="59">ROUND($BB69*(1+AX70)^1,2)</f>
        <v>0</v>
      </c>
      <c r="BC70" s="171">
        <f t="shared" si="48"/>
        <v>2508.3987865897334</v>
      </c>
      <c r="BD70" s="171">
        <f t="shared" si="46"/>
        <v>0</v>
      </c>
      <c r="BE70" s="171">
        <f t="shared" si="43"/>
        <v>0</v>
      </c>
      <c r="BF70" s="171">
        <f t="shared" si="43"/>
        <v>0</v>
      </c>
      <c r="BG70" s="171">
        <f t="shared" si="43"/>
        <v>0</v>
      </c>
      <c r="BI70" s="187">
        <f>IF(A70-'Invoer gegevens'!$C$17&lt;0,0,IF(A70-'Invoer gegevens'!$C$17=0,1,IF(A70-'Invoer gegevens'!$C$17&lt;5,2,IF(A70-'Invoer gegevens'!$C$17&lt;15,3,4))))</f>
        <v>0</v>
      </c>
      <c r="BJ70" s="229">
        <f>IF(BI70&lt;1,0,IF(BI70&lt;2,4%,IF('Reeksen (N)'!BI70&lt;3,4%,IF('Reeksen (N)'!BI70&lt;4,4%*70%,IF('Reeksen (N)'!BI70&lt;5,4%*50%)))))</f>
        <v>0</v>
      </c>
    </row>
    <row r="71" spans="1:62" x14ac:dyDescent="0.25">
      <c r="A71" s="184">
        <f t="shared" ref="A71:A134" si="60">A70+1</f>
        <v>66</v>
      </c>
      <c r="B71" s="179">
        <f>Dashboard!$D$25</f>
        <v>0</v>
      </c>
      <c r="C71" s="179">
        <f>Dashboard!$D$25</f>
        <v>0</v>
      </c>
      <c r="D71" s="180">
        <f t="shared" si="49"/>
        <v>0</v>
      </c>
      <c r="E71" s="189"/>
      <c r="F71" s="184">
        <f t="shared" ref="F71:F134" ca="1" si="61">F70+1</f>
        <v>2085</v>
      </c>
      <c r="G71" s="179">
        <f t="shared" si="39"/>
        <v>0.02</v>
      </c>
      <c r="H71" s="182">
        <f t="shared" ref="H71:H134" si="62">H70*(1+G71)</f>
        <v>3.7152403437452377</v>
      </c>
      <c r="I71" s="179">
        <f t="shared" si="40"/>
        <v>2.5000000000000001E-2</v>
      </c>
      <c r="J71" s="182">
        <f t="shared" ref="J71:J134" si="63">J70*(1+I71)</f>
        <v>5.1379999222174471</v>
      </c>
      <c r="K71" s="179">
        <f t="shared" si="41"/>
        <v>2.5000000000000001E-2</v>
      </c>
      <c r="L71" s="182">
        <f t="shared" ref="L71:L134" si="64">L70*(1+K71)</f>
        <v>5.1379999222174471</v>
      </c>
      <c r="M71" s="189"/>
      <c r="N71" s="184">
        <f t="shared" ref="N71:N134" ca="1" si="65">N70+1</f>
        <v>2085</v>
      </c>
      <c r="O71" s="179">
        <f t="shared" si="36"/>
        <v>0.02</v>
      </c>
      <c r="P71" s="182">
        <f t="shared" si="44"/>
        <v>3.7116339504132099</v>
      </c>
      <c r="R71" s="184">
        <f t="shared" ref="R71:R134" ca="1" si="66">R70+1</f>
        <v>2085</v>
      </c>
      <c r="S71" s="188">
        <f t="shared" si="38"/>
        <v>5.3600000000000002E-3</v>
      </c>
      <c r="U71" s="184">
        <f t="shared" ref="U71:U134" ca="1" si="67">+U70+1</f>
        <v>2085</v>
      </c>
      <c r="V71" s="182">
        <f t="shared" si="50"/>
        <v>0.02</v>
      </c>
      <c r="W71" s="180">
        <f>Parameters!$D$15</f>
        <v>5.0000000000000001E-3</v>
      </c>
      <c r="X71" s="182">
        <f t="shared" si="51"/>
        <v>2.5000000000000001E-2</v>
      </c>
      <c r="Y71" s="182">
        <f t="shared" ref="Y71:Y134" si="68">Y70*(1+X71)</f>
        <v>5.1430644871949251</v>
      </c>
      <c r="AA71" s="189"/>
      <c r="AB71" s="184">
        <f t="shared" ref="AB71:AB134" ca="1" si="69">AB70+1</f>
        <v>2085</v>
      </c>
      <c r="AC71" s="171">
        <f t="shared" si="52"/>
        <v>0</v>
      </c>
      <c r="AD71" s="171">
        <f t="shared" si="47"/>
        <v>0</v>
      </c>
      <c r="AE71" s="171">
        <f t="shared" si="37"/>
        <v>2558.5667623215281</v>
      </c>
      <c r="AF71" s="171">
        <f t="shared" ref="AF71:AF134" si="70">$AF$4*H71</f>
        <v>0</v>
      </c>
      <c r="AG71" s="171">
        <f t="shared" ref="AG71:AG76" si="71">ROUND($AG70*(1+V71)^1,2)</f>
        <v>0</v>
      </c>
      <c r="AH71" s="171">
        <f t="shared" si="53"/>
        <v>0</v>
      </c>
      <c r="AI71" s="171">
        <f t="shared" si="54"/>
        <v>0</v>
      </c>
      <c r="AJ71" s="171">
        <f>IF('Invoer gegevens'!$I$27="DAEB",SMALL(AC71:AD71,1),AC71)</f>
        <v>0</v>
      </c>
      <c r="AK71" s="171">
        <f>IF('Invoer gegevens'!$I$27="DAEB",SMALL((AE71:AH71),1),SMALL((AF71:AH71),1))</f>
        <v>0</v>
      </c>
      <c r="AL71" s="171">
        <f t="shared" si="33"/>
        <v>0</v>
      </c>
      <c r="AM71" s="171">
        <f t="shared" si="34"/>
        <v>0</v>
      </c>
      <c r="AN71" s="175">
        <f t="shared" ref="AN71:AN134" si="72">ROUND($AN70*(1+O71)^1,0)</f>
        <v>0</v>
      </c>
      <c r="AP71" s="184">
        <f t="shared" ref="AP71:AP134" ca="1" si="73">AP70+1</f>
        <v>2085</v>
      </c>
      <c r="AQ71" s="185">
        <f t="shared" si="55"/>
        <v>0.02</v>
      </c>
      <c r="AR71" s="182">
        <f t="shared" si="45"/>
        <v>3.7116339504132099</v>
      </c>
      <c r="AU71" s="184">
        <f t="shared" ref="AU71:AU134" ca="1" si="74">+AU70+1</f>
        <v>2085</v>
      </c>
      <c r="AV71" s="182">
        <f t="shared" si="56"/>
        <v>0.02</v>
      </c>
      <c r="AW71" s="179">
        <f t="shared" si="57"/>
        <v>5.0000000000000001E-3</v>
      </c>
      <c r="AX71" s="182">
        <f t="shared" si="58"/>
        <v>2.5000000000000001E-2</v>
      </c>
      <c r="AY71" s="186"/>
      <c r="AZ71" s="190"/>
      <c r="BA71" s="184">
        <f t="shared" ref="BA71:BA134" ca="1" si="75">BA70+1</f>
        <v>2085</v>
      </c>
      <c r="BB71" s="171">
        <f t="shared" si="59"/>
        <v>0</v>
      </c>
      <c r="BC71" s="171">
        <f t="shared" si="48"/>
        <v>2558.5667623215281</v>
      </c>
      <c r="BD71" s="171">
        <f t="shared" si="46"/>
        <v>0</v>
      </c>
      <c r="BE71" s="171">
        <f t="shared" si="43"/>
        <v>0</v>
      </c>
      <c r="BF71" s="171">
        <f t="shared" si="43"/>
        <v>0</v>
      </c>
      <c r="BG71" s="171">
        <f t="shared" si="43"/>
        <v>0</v>
      </c>
      <c r="BI71" s="187">
        <f>IF(A71-'Invoer gegevens'!$C$17&lt;0,0,IF(A71-'Invoer gegevens'!$C$17=0,1,IF(A71-'Invoer gegevens'!$C$17&lt;5,2,IF(A71-'Invoer gegevens'!$C$17&lt;15,3,4))))</f>
        <v>0</v>
      </c>
      <c r="BJ71" s="229">
        <f>IF(BI71&lt;1,0,IF(BI71&lt;2,4%,IF('Reeksen (N)'!BI71&lt;3,4%,IF('Reeksen (N)'!BI71&lt;4,4%*70%,IF('Reeksen (N)'!BI71&lt;5,4%*50%)))))</f>
        <v>0</v>
      </c>
    </row>
    <row r="72" spans="1:62" x14ac:dyDescent="0.25">
      <c r="A72" s="184">
        <f t="shared" si="60"/>
        <v>67</v>
      </c>
      <c r="B72" s="179">
        <f>Dashboard!$D$25</f>
        <v>0</v>
      </c>
      <c r="C72" s="179">
        <f>Dashboard!$D$25</f>
        <v>0</v>
      </c>
      <c r="D72" s="180">
        <f t="shared" si="49"/>
        <v>0</v>
      </c>
      <c r="E72" s="189"/>
      <c r="F72" s="184">
        <f t="shared" ca="1" si="61"/>
        <v>2086</v>
      </c>
      <c r="G72" s="179">
        <f t="shared" si="39"/>
        <v>0.02</v>
      </c>
      <c r="H72" s="182">
        <f t="shared" si="62"/>
        <v>3.7895451506201425</v>
      </c>
      <c r="I72" s="179">
        <f t="shared" si="40"/>
        <v>2.5000000000000001E-2</v>
      </c>
      <c r="J72" s="182">
        <f t="shared" si="63"/>
        <v>5.2664499202728825</v>
      </c>
      <c r="K72" s="179">
        <f t="shared" si="41"/>
        <v>2.5000000000000001E-2</v>
      </c>
      <c r="L72" s="182">
        <f t="shared" si="64"/>
        <v>5.2664499202728825</v>
      </c>
      <c r="M72" s="189"/>
      <c r="N72" s="184">
        <f t="shared" ca="1" si="65"/>
        <v>2086</v>
      </c>
      <c r="O72" s="179">
        <f t="shared" si="36"/>
        <v>0.02</v>
      </c>
      <c r="P72" s="182">
        <f t="shared" si="44"/>
        <v>3.785866629421474</v>
      </c>
      <c r="R72" s="184">
        <f t="shared" ca="1" si="66"/>
        <v>2086</v>
      </c>
      <c r="S72" s="188">
        <f t="shared" si="38"/>
        <v>5.3600000000000002E-3</v>
      </c>
      <c r="U72" s="184">
        <f t="shared" ca="1" si="67"/>
        <v>2086</v>
      </c>
      <c r="V72" s="182">
        <f t="shared" si="50"/>
        <v>0.02</v>
      </c>
      <c r="W72" s="180">
        <f>Parameters!$D$15</f>
        <v>5.0000000000000001E-3</v>
      </c>
      <c r="X72" s="182">
        <f t="shared" si="51"/>
        <v>2.5000000000000001E-2</v>
      </c>
      <c r="Y72" s="182">
        <f t="shared" si="68"/>
        <v>5.271641099374798</v>
      </c>
      <c r="AA72" s="189"/>
      <c r="AB72" s="184">
        <f t="shared" ca="1" si="69"/>
        <v>2086</v>
      </c>
      <c r="AC72" s="171">
        <f t="shared" si="52"/>
        <v>0</v>
      </c>
      <c r="AD72" s="171">
        <f t="shared" si="47"/>
        <v>0</v>
      </c>
      <c r="AE72" s="171">
        <f t="shared" si="37"/>
        <v>2609.7380975679589</v>
      </c>
      <c r="AF72" s="171">
        <f t="shared" si="70"/>
        <v>0</v>
      </c>
      <c r="AG72" s="171">
        <f t="shared" si="71"/>
        <v>0</v>
      </c>
      <c r="AH72" s="171">
        <f t="shared" si="53"/>
        <v>0</v>
      </c>
      <c r="AI72" s="171">
        <f t="shared" si="54"/>
        <v>0</v>
      </c>
      <c r="AJ72" s="171">
        <f>IF('Invoer gegevens'!$I$27="DAEB",SMALL(AC72:AD72,1),AC72)</f>
        <v>0</v>
      </c>
      <c r="AK72" s="171">
        <f>IF('Invoer gegevens'!$I$27="DAEB",SMALL((AE72:AH72),1),SMALL((AF72:AH72),1))</f>
        <v>0</v>
      </c>
      <c r="AL72" s="171">
        <f t="shared" ref="AL72:AL135" si="76">ROUND($AL71*(1+V72)^1,2)</f>
        <v>0</v>
      </c>
      <c r="AM72" s="171">
        <f t="shared" ref="AM72:AM135" si="77">ROUND($AM71*(1+V72)^1,2)</f>
        <v>0</v>
      </c>
      <c r="AN72" s="175">
        <f t="shared" si="72"/>
        <v>0</v>
      </c>
      <c r="AP72" s="184">
        <f t="shared" ca="1" si="73"/>
        <v>2086</v>
      </c>
      <c r="AQ72" s="185">
        <f t="shared" si="55"/>
        <v>0.02</v>
      </c>
      <c r="AR72" s="182">
        <f t="shared" si="45"/>
        <v>3.785866629421474</v>
      </c>
      <c r="AU72" s="184">
        <f t="shared" ca="1" si="74"/>
        <v>2086</v>
      </c>
      <c r="AV72" s="182">
        <f t="shared" si="56"/>
        <v>0.02</v>
      </c>
      <c r="AW72" s="179">
        <f t="shared" si="57"/>
        <v>5.0000000000000001E-3</v>
      </c>
      <c r="AX72" s="182">
        <f t="shared" si="58"/>
        <v>2.5000000000000001E-2</v>
      </c>
      <c r="AY72" s="186"/>
      <c r="AZ72" s="190"/>
      <c r="BA72" s="184">
        <f t="shared" ca="1" si="75"/>
        <v>2086</v>
      </c>
      <c r="BB72" s="171">
        <f t="shared" si="59"/>
        <v>0</v>
      </c>
      <c r="BC72" s="171">
        <f t="shared" si="48"/>
        <v>2609.7380975679589</v>
      </c>
      <c r="BD72" s="171">
        <f t="shared" si="46"/>
        <v>0</v>
      </c>
      <c r="BE72" s="171">
        <f t="shared" si="43"/>
        <v>0</v>
      </c>
      <c r="BF72" s="171">
        <f t="shared" si="43"/>
        <v>0</v>
      </c>
      <c r="BG72" s="171">
        <f t="shared" si="43"/>
        <v>0</v>
      </c>
      <c r="BI72" s="187">
        <f>IF(A72-'Invoer gegevens'!$C$17&lt;0,0,IF(A72-'Invoer gegevens'!$C$17=0,1,IF(A72-'Invoer gegevens'!$C$17&lt;5,2,IF(A72-'Invoer gegevens'!$C$17&lt;15,3,4))))</f>
        <v>0</v>
      </c>
      <c r="BJ72" s="229">
        <f>IF(BI72&lt;1,0,IF(BI72&lt;2,4%,IF('Reeksen (N)'!BI72&lt;3,4%,IF('Reeksen (N)'!BI72&lt;4,4%*70%,IF('Reeksen (N)'!BI72&lt;5,4%*50%)))))</f>
        <v>0</v>
      </c>
    </row>
    <row r="73" spans="1:62" x14ac:dyDescent="0.25">
      <c r="A73" s="184">
        <f t="shared" si="60"/>
        <v>68</v>
      </c>
      <c r="B73" s="179">
        <f>Dashboard!$D$25</f>
        <v>0</v>
      </c>
      <c r="C73" s="179">
        <f>Dashboard!$D$25</f>
        <v>0</v>
      </c>
      <c r="D73" s="180">
        <f t="shared" si="49"/>
        <v>0</v>
      </c>
      <c r="E73" s="189"/>
      <c r="F73" s="184">
        <f t="shared" ca="1" si="61"/>
        <v>2087</v>
      </c>
      <c r="G73" s="179">
        <f t="shared" si="39"/>
        <v>0.02</v>
      </c>
      <c r="H73" s="182">
        <f t="shared" si="62"/>
        <v>3.8653360536325456</v>
      </c>
      <c r="I73" s="179">
        <f t="shared" si="40"/>
        <v>2.5000000000000001E-2</v>
      </c>
      <c r="J73" s="182">
        <f t="shared" si="63"/>
        <v>5.3981111682797041</v>
      </c>
      <c r="K73" s="179">
        <f t="shared" si="41"/>
        <v>2.5000000000000001E-2</v>
      </c>
      <c r="L73" s="182">
        <f t="shared" si="64"/>
        <v>5.3981111682797041</v>
      </c>
      <c r="M73" s="189"/>
      <c r="N73" s="184">
        <f t="shared" ca="1" si="65"/>
        <v>2087</v>
      </c>
      <c r="O73" s="179">
        <f t="shared" ref="O73:O136" si="78">O72</f>
        <v>0.02</v>
      </c>
      <c r="P73" s="182">
        <f t="shared" si="44"/>
        <v>3.8615839620099037</v>
      </c>
      <c r="R73" s="184">
        <f t="shared" ca="1" si="66"/>
        <v>2087</v>
      </c>
      <c r="S73" s="188">
        <f t="shared" si="38"/>
        <v>5.3600000000000002E-3</v>
      </c>
      <c r="U73" s="184">
        <f t="shared" ca="1" si="67"/>
        <v>2087</v>
      </c>
      <c r="V73" s="182">
        <f t="shared" si="50"/>
        <v>0.02</v>
      </c>
      <c r="W73" s="180">
        <f>Parameters!$D$15</f>
        <v>5.0000000000000001E-3</v>
      </c>
      <c r="X73" s="182">
        <f t="shared" si="51"/>
        <v>2.5000000000000001E-2</v>
      </c>
      <c r="Y73" s="182">
        <f t="shared" si="68"/>
        <v>5.4034321268591672</v>
      </c>
      <c r="AA73" s="189"/>
      <c r="AB73" s="184">
        <f t="shared" ca="1" si="69"/>
        <v>2087</v>
      </c>
      <c r="AC73" s="171">
        <f t="shared" si="52"/>
        <v>0</v>
      </c>
      <c r="AD73" s="171">
        <f t="shared" si="47"/>
        <v>0</v>
      </c>
      <c r="AE73" s="171">
        <f t="shared" si="37"/>
        <v>2661.9328595193183</v>
      </c>
      <c r="AF73" s="171">
        <f t="shared" si="70"/>
        <v>0</v>
      </c>
      <c r="AG73" s="171">
        <f t="shared" si="71"/>
        <v>0</v>
      </c>
      <c r="AH73" s="171">
        <f t="shared" si="53"/>
        <v>0</v>
      </c>
      <c r="AI73" s="171">
        <f t="shared" si="54"/>
        <v>0</v>
      </c>
      <c r="AJ73" s="171">
        <f>IF('Invoer gegevens'!$I$27="DAEB",SMALL(AC73:AD73,1),AC73)</f>
        <v>0</v>
      </c>
      <c r="AK73" s="171">
        <f>IF('Invoer gegevens'!$I$27="DAEB",SMALL((AE73:AH73),1),SMALL((AF73:AH73),1))</f>
        <v>0</v>
      </c>
      <c r="AL73" s="171">
        <f t="shared" si="76"/>
        <v>0</v>
      </c>
      <c r="AM73" s="171">
        <f t="shared" si="77"/>
        <v>0</v>
      </c>
      <c r="AN73" s="175">
        <f t="shared" si="72"/>
        <v>0</v>
      </c>
      <c r="AP73" s="184">
        <f t="shared" ca="1" si="73"/>
        <v>2087</v>
      </c>
      <c r="AQ73" s="185">
        <f t="shared" si="55"/>
        <v>0.02</v>
      </c>
      <c r="AR73" s="182">
        <f t="shared" si="45"/>
        <v>3.8615839620099037</v>
      </c>
      <c r="AU73" s="184">
        <f t="shared" ca="1" si="74"/>
        <v>2087</v>
      </c>
      <c r="AV73" s="182">
        <f t="shared" si="56"/>
        <v>0.02</v>
      </c>
      <c r="AW73" s="179">
        <f t="shared" si="57"/>
        <v>5.0000000000000001E-3</v>
      </c>
      <c r="AX73" s="182">
        <f t="shared" si="58"/>
        <v>2.5000000000000001E-2</v>
      </c>
      <c r="AY73" s="186"/>
      <c r="AZ73" s="190"/>
      <c r="BA73" s="184">
        <f t="shared" ca="1" si="75"/>
        <v>2087</v>
      </c>
      <c r="BB73" s="171">
        <f t="shared" si="59"/>
        <v>0</v>
      </c>
      <c r="BC73" s="171">
        <f t="shared" si="48"/>
        <v>2661.9328595193183</v>
      </c>
      <c r="BD73" s="171">
        <f t="shared" si="46"/>
        <v>0</v>
      </c>
      <c r="BE73" s="171">
        <f t="shared" si="43"/>
        <v>0</v>
      </c>
      <c r="BF73" s="171">
        <f t="shared" si="43"/>
        <v>0</v>
      </c>
      <c r="BG73" s="171">
        <f t="shared" si="43"/>
        <v>0</v>
      </c>
      <c r="BI73" s="187">
        <f>IF(A73-'Invoer gegevens'!$C$17&lt;0,0,IF(A73-'Invoer gegevens'!$C$17=0,1,IF(A73-'Invoer gegevens'!$C$17&lt;5,2,IF(A73-'Invoer gegevens'!$C$17&lt;15,3,4))))</f>
        <v>0</v>
      </c>
      <c r="BJ73" s="229">
        <f>IF(BI73&lt;1,0,IF(BI73&lt;2,4%,IF('Reeksen (N)'!BI73&lt;3,4%,IF('Reeksen (N)'!BI73&lt;4,4%*70%,IF('Reeksen (N)'!BI73&lt;5,4%*50%)))))</f>
        <v>0</v>
      </c>
    </row>
    <row r="74" spans="1:62" x14ac:dyDescent="0.25">
      <c r="A74" s="184">
        <f t="shared" si="60"/>
        <v>69</v>
      </c>
      <c r="B74" s="179">
        <f>Dashboard!$D$25</f>
        <v>0</v>
      </c>
      <c r="C74" s="179">
        <f>Dashboard!$D$25</f>
        <v>0</v>
      </c>
      <c r="D74" s="180">
        <f t="shared" si="49"/>
        <v>0</v>
      </c>
      <c r="E74" s="189"/>
      <c r="F74" s="184">
        <f t="shared" ca="1" si="61"/>
        <v>2088</v>
      </c>
      <c r="G74" s="179">
        <f t="shared" si="39"/>
        <v>0.02</v>
      </c>
      <c r="H74" s="182">
        <f t="shared" si="62"/>
        <v>3.9426427747051966</v>
      </c>
      <c r="I74" s="179">
        <f t="shared" si="40"/>
        <v>2.5000000000000001E-2</v>
      </c>
      <c r="J74" s="182">
        <f t="shared" si="63"/>
        <v>5.5330639474866965</v>
      </c>
      <c r="K74" s="179">
        <f t="shared" si="41"/>
        <v>2.5000000000000001E-2</v>
      </c>
      <c r="L74" s="182">
        <f t="shared" si="64"/>
        <v>5.5330639474866965</v>
      </c>
      <c r="M74" s="189"/>
      <c r="N74" s="184">
        <f t="shared" ca="1" si="65"/>
        <v>2088</v>
      </c>
      <c r="O74" s="179">
        <f t="shared" si="78"/>
        <v>0.02</v>
      </c>
      <c r="P74" s="182">
        <f t="shared" si="44"/>
        <v>3.9388156412501019</v>
      </c>
      <c r="R74" s="184">
        <f t="shared" ca="1" si="66"/>
        <v>2088</v>
      </c>
      <c r="S74" s="188">
        <f t="shared" si="38"/>
        <v>5.3600000000000002E-3</v>
      </c>
      <c r="U74" s="184">
        <f t="shared" ca="1" si="67"/>
        <v>2088</v>
      </c>
      <c r="V74" s="182">
        <f t="shared" si="50"/>
        <v>0.02</v>
      </c>
      <c r="W74" s="180">
        <f>Parameters!$D$15</f>
        <v>5.0000000000000001E-3</v>
      </c>
      <c r="X74" s="182">
        <f t="shared" si="51"/>
        <v>2.5000000000000001E-2</v>
      </c>
      <c r="Y74" s="182">
        <f t="shared" si="68"/>
        <v>5.538517930030646</v>
      </c>
      <c r="AA74" s="189"/>
      <c r="AB74" s="184">
        <f t="shared" ca="1" si="69"/>
        <v>2088</v>
      </c>
      <c r="AC74" s="171">
        <f t="shared" si="52"/>
        <v>0</v>
      </c>
      <c r="AD74" s="171">
        <f t="shared" si="47"/>
        <v>0</v>
      </c>
      <c r="AE74" s="171">
        <f t="shared" ref="AE74:AE137" si="79">AE73*(1+V74)</f>
        <v>2715.1715167097045</v>
      </c>
      <c r="AF74" s="171">
        <f t="shared" si="70"/>
        <v>0</v>
      </c>
      <c r="AG74" s="171">
        <f t="shared" si="71"/>
        <v>0</v>
      </c>
      <c r="AH74" s="171">
        <f t="shared" si="53"/>
        <v>0</v>
      </c>
      <c r="AI74" s="171">
        <f t="shared" si="54"/>
        <v>0</v>
      </c>
      <c r="AJ74" s="171">
        <f>IF('Invoer gegevens'!$I$27="DAEB",SMALL(AC74:AD74,1),AC74)</f>
        <v>0</v>
      </c>
      <c r="AK74" s="171">
        <f>IF('Invoer gegevens'!$I$27="DAEB",SMALL((AE74:AH74),1),SMALL((AF74:AH74),1))</f>
        <v>0</v>
      </c>
      <c r="AL74" s="171">
        <f t="shared" si="76"/>
        <v>0</v>
      </c>
      <c r="AM74" s="171">
        <f t="shared" si="77"/>
        <v>0</v>
      </c>
      <c r="AN74" s="175">
        <f t="shared" si="72"/>
        <v>0</v>
      </c>
      <c r="AP74" s="184">
        <f t="shared" ca="1" si="73"/>
        <v>2088</v>
      </c>
      <c r="AQ74" s="185">
        <f t="shared" si="55"/>
        <v>0.02</v>
      </c>
      <c r="AR74" s="182">
        <f t="shared" si="45"/>
        <v>3.9388156412501019</v>
      </c>
      <c r="AU74" s="184">
        <f t="shared" ca="1" si="74"/>
        <v>2088</v>
      </c>
      <c r="AV74" s="182">
        <f t="shared" si="56"/>
        <v>0.02</v>
      </c>
      <c r="AW74" s="179">
        <f t="shared" si="57"/>
        <v>5.0000000000000001E-3</v>
      </c>
      <c r="AX74" s="182">
        <f t="shared" si="58"/>
        <v>2.5000000000000001E-2</v>
      </c>
      <c r="AY74" s="186"/>
      <c r="AZ74" s="190"/>
      <c r="BA74" s="184">
        <f t="shared" ca="1" si="75"/>
        <v>2088</v>
      </c>
      <c r="BB74" s="171">
        <f t="shared" si="59"/>
        <v>0</v>
      </c>
      <c r="BC74" s="171">
        <f t="shared" si="48"/>
        <v>2715.1715167097045</v>
      </c>
      <c r="BD74" s="171">
        <f t="shared" si="46"/>
        <v>0</v>
      </c>
      <c r="BE74" s="171">
        <f t="shared" si="43"/>
        <v>0</v>
      </c>
      <c r="BF74" s="171">
        <f t="shared" si="43"/>
        <v>0</v>
      </c>
      <c r="BG74" s="171">
        <f t="shared" si="43"/>
        <v>0</v>
      </c>
      <c r="BI74" s="187">
        <f>IF(A74-'Invoer gegevens'!$C$17&lt;0,0,IF(A74-'Invoer gegevens'!$C$17=0,1,IF(A74-'Invoer gegevens'!$C$17&lt;5,2,IF(A74-'Invoer gegevens'!$C$17&lt;15,3,4))))</f>
        <v>0</v>
      </c>
      <c r="BJ74" s="229">
        <f>IF(BI74&lt;1,0,IF(BI74&lt;2,4%,IF('Reeksen (N)'!BI74&lt;3,4%,IF('Reeksen (N)'!BI74&lt;4,4%*70%,IF('Reeksen (N)'!BI74&lt;5,4%*50%)))))</f>
        <v>0</v>
      </c>
    </row>
    <row r="75" spans="1:62" x14ac:dyDescent="0.25">
      <c r="A75" s="184">
        <f t="shared" si="60"/>
        <v>70</v>
      </c>
      <c r="B75" s="179">
        <f>Dashboard!$D$25</f>
        <v>0</v>
      </c>
      <c r="C75" s="179">
        <f>Dashboard!$D$25</f>
        <v>0</v>
      </c>
      <c r="D75" s="180">
        <f t="shared" si="49"/>
        <v>0</v>
      </c>
      <c r="E75" s="189"/>
      <c r="F75" s="184">
        <f t="shared" ca="1" si="61"/>
        <v>2089</v>
      </c>
      <c r="G75" s="179">
        <f t="shared" si="39"/>
        <v>0.02</v>
      </c>
      <c r="H75" s="182">
        <f t="shared" si="62"/>
        <v>4.0214956301993006</v>
      </c>
      <c r="I75" s="179">
        <f t="shared" si="40"/>
        <v>2.5000000000000001E-2</v>
      </c>
      <c r="J75" s="182">
        <f t="shared" si="63"/>
        <v>5.6713905461738632</v>
      </c>
      <c r="K75" s="179">
        <f t="shared" si="41"/>
        <v>2.5000000000000001E-2</v>
      </c>
      <c r="L75" s="182">
        <f t="shared" si="64"/>
        <v>5.6713905461738632</v>
      </c>
      <c r="M75" s="189"/>
      <c r="N75" s="184">
        <f t="shared" ca="1" si="65"/>
        <v>2089</v>
      </c>
      <c r="O75" s="179">
        <f t="shared" si="78"/>
        <v>0.02</v>
      </c>
      <c r="P75" s="182">
        <f t="shared" si="44"/>
        <v>4.0175919540751037</v>
      </c>
      <c r="R75" s="184">
        <f t="shared" ca="1" si="66"/>
        <v>2089</v>
      </c>
      <c r="S75" s="188">
        <f t="shared" si="38"/>
        <v>5.3600000000000002E-3</v>
      </c>
      <c r="U75" s="184">
        <f t="shared" ca="1" si="67"/>
        <v>2089</v>
      </c>
      <c r="V75" s="182">
        <f t="shared" si="50"/>
        <v>0.02</v>
      </c>
      <c r="W75" s="180">
        <f>Parameters!$D$15</f>
        <v>5.0000000000000001E-3</v>
      </c>
      <c r="X75" s="182">
        <f t="shared" si="51"/>
        <v>2.5000000000000001E-2</v>
      </c>
      <c r="Y75" s="182">
        <f t="shared" si="68"/>
        <v>5.6769808782814115</v>
      </c>
      <c r="AA75" s="189"/>
      <c r="AB75" s="184">
        <f t="shared" ca="1" si="69"/>
        <v>2089</v>
      </c>
      <c r="AC75" s="171">
        <f t="shared" si="52"/>
        <v>0</v>
      </c>
      <c r="AD75" s="171">
        <f t="shared" si="47"/>
        <v>0</v>
      </c>
      <c r="AE75" s="171">
        <f t="shared" si="79"/>
        <v>2769.4749470438987</v>
      </c>
      <c r="AF75" s="171">
        <f t="shared" si="70"/>
        <v>0</v>
      </c>
      <c r="AG75" s="171">
        <f t="shared" si="71"/>
        <v>0</v>
      </c>
      <c r="AH75" s="171">
        <f t="shared" si="53"/>
        <v>0</v>
      </c>
      <c r="AI75" s="171">
        <f t="shared" si="54"/>
        <v>0</v>
      </c>
      <c r="AJ75" s="171">
        <f>IF('Invoer gegevens'!$I$27="DAEB",SMALL(AC75:AD75,1),AC75)</f>
        <v>0</v>
      </c>
      <c r="AK75" s="171">
        <f>IF('Invoer gegevens'!$I$27="DAEB",SMALL((AE75:AH75),1),SMALL((AF75:AH75),1))</f>
        <v>0</v>
      </c>
      <c r="AL75" s="171">
        <f t="shared" si="76"/>
        <v>0</v>
      </c>
      <c r="AM75" s="171">
        <f t="shared" si="77"/>
        <v>0</v>
      </c>
      <c r="AN75" s="175">
        <f t="shared" si="72"/>
        <v>0</v>
      </c>
      <c r="AP75" s="184">
        <f t="shared" ca="1" si="73"/>
        <v>2089</v>
      </c>
      <c r="AQ75" s="185">
        <f t="shared" si="55"/>
        <v>0.02</v>
      </c>
      <c r="AR75" s="182">
        <f t="shared" si="45"/>
        <v>4.0175919540751037</v>
      </c>
      <c r="AU75" s="184">
        <f t="shared" ca="1" si="74"/>
        <v>2089</v>
      </c>
      <c r="AV75" s="182">
        <f t="shared" si="56"/>
        <v>0.02</v>
      </c>
      <c r="AW75" s="179">
        <f t="shared" si="57"/>
        <v>5.0000000000000001E-3</v>
      </c>
      <c r="AX75" s="182">
        <f t="shared" si="58"/>
        <v>2.5000000000000001E-2</v>
      </c>
      <c r="AY75" s="186"/>
      <c r="AZ75" s="190"/>
      <c r="BA75" s="184">
        <f t="shared" ca="1" si="75"/>
        <v>2089</v>
      </c>
      <c r="BB75" s="171">
        <f t="shared" si="59"/>
        <v>0</v>
      </c>
      <c r="BC75" s="171">
        <f t="shared" si="48"/>
        <v>2769.4749470438987</v>
      </c>
      <c r="BD75" s="171">
        <f t="shared" si="46"/>
        <v>0</v>
      </c>
      <c r="BE75" s="171">
        <f t="shared" si="43"/>
        <v>0</v>
      </c>
      <c r="BF75" s="171">
        <f t="shared" si="43"/>
        <v>0</v>
      </c>
      <c r="BG75" s="171">
        <f t="shared" si="43"/>
        <v>0</v>
      </c>
      <c r="BI75" s="187">
        <f>IF(A75-'Invoer gegevens'!$C$17&lt;0,0,IF(A75-'Invoer gegevens'!$C$17=0,1,IF(A75-'Invoer gegevens'!$C$17&lt;5,2,IF(A75-'Invoer gegevens'!$C$17&lt;15,3,4))))</f>
        <v>0</v>
      </c>
      <c r="BJ75" s="229">
        <f>IF(BI75&lt;1,0,IF(BI75&lt;2,4%,IF('Reeksen (N)'!BI75&lt;3,4%,IF('Reeksen (N)'!BI75&lt;4,4%*70%,IF('Reeksen (N)'!BI75&lt;5,4%*50%)))))</f>
        <v>0</v>
      </c>
    </row>
    <row r="76" spans="1:62" x14ac:dyDescent="0.25">
      <c r="A76" s="184">
        <f t="shared" si="60"/>
        <v>71</v>
      </c>
      <c r="B76" s="179">
        <f>Dashboard!$D$25</f>
        <v>0</v>
      </c>
      <c r="C76" s="179">
        <f>Dashboard!$D$25</f>
        <v>0</v>
      </c>
      <c r="D76" s="180">
        <f t="shared" si="49"/>
        <v>0</v>
      </c>
      <c r="E76" s="189"/>
      <c r="F76" s="184">
        <f t="shared" ca="1" si="61"/>
        <v>2090</v>
      </c>
      <c r="G76" s="179">
        <f t="shared" si="39"/>
        <v>0.02</v>
      </c>
      <c r="H76" s="182">
        <f t="shared" si="62"/>
        <v>4.1019255428032864</v>
      </c>
      <c r="I76" s="179">
        <f t="shared" si="40"/>
        <v>2.5000000000000001E-2</v>
      </c>
      <c r="J76" s="182">
        <f t="shared" si="63"/>
        <v>5.8131753098282095</v>
      </c>
      <c r="K76" s="179">
        <f t="shared" si="41"/>
        <v>2.5000000000000001E-2</v>
      </c>
      <c r="L76" s="182">
        <f t="shared" si="64"/>
        <v>5.8131753098282095</v>
      </c>
      <c r="M76" s="189"/>
      <c r="N76" s="184">
        <f t="shared" ca="1" si="65"/>
        <v>2090</v>
      </c>
      <c r="O76" s="179">
        <f t="shared" si="78"/>
        <v>0.02</v>
      </c>
      <c r="P76" s="182">
        <f t="shared" si="44"/>
        <v>4.0979437931566061</v>
      </c>
      <c r="R76" s="184">
        <f t="shared" ca="1" si="66"/>
        <v>2090</v>
      </c>
      <c r="S76" s="188">
        <f t="shared" ref="S76:S139" si="80">S75</f>
        <v>5.3600000000000002E-3</v>
      </c>
      <c r="U76" s="184">
        <f t="shared" ca="1" si="67"/>
        <v>2090</v>
      </c>
      <c r="V76" s="182">
        <f t="shared" si="50"/>
        <v>0.02</v>
      </c>
      <c r="W76" s="180">
        <f>Parameters!$D$15</f>
        <v>5.0000000000000001E-3</v>
      </c>
      <c r="X76" s="182">
        <f t="shared" si="51"/>
        <v>2.5000000000000001E-2</v>
      </c>
      <c r="Y76" s="182">
        <f t="shared" si="68"/>
        <v>5.8189054002384459</v>
      </c>
      <c r="AA76" s="189"/>
      <c r="AB76" s="184">
        <f t="shared" ca="1" si="69"/>
        <v>2090</v>
      </c>
      <c r="AC76" s="171">
        <f t="shared" si="52"/>
        <v>0</v>
      </c>
      <c r="AD76" s="171">
        <f t="shared" si="47"/>
        <v>0</v>
      </c>
      <c r="AE76" s="171">
        <f t="shared" si="79"/>
        <v>2824.8644459847769</v>
      </c>
      <c r="AF76" s="171">
        <f t="shared" si="70"/>
        <v>0</v>
      </c>
      <c r="AG76" s="171">
        <f t="shared" si="71"/>
        <v>0</v>
      </c>
      <c r="AH76" s="171">
        <f t="shared" si="53"/>
        <v>0</v>
      </c>
      <c r="AI76" s="171">
        <f t="shared" si="54"/>
        <v>0</v>
      </c>
      <c r="AJ76" s="171">
        <f>IF('Invoer gegevens'!$I$27="DAEB",SMALL(AC76:AD76,1),AC76)</f>
        <v>0</v>
      </c>
      <c r="AK76" s="171">
        <f>IF('Invoer gegevens'!$I$27="DAEB",SMALL((AE76:AH76),1),SMALL((AF76:AH76),1))</f>
        <v>0</v>
      </c>
      <c r="AL76" s="171">
        <f t="shared" si="76"/>
        <v>0</v>
      </c>
      <c r="AM76" s="171">
        <f t="shared" si="77"/>
        <v>0</v>
      </c>
      <c r="AN76" s="175">
        <f t="shared" si="72"/>
        <v>0</v>
      </c>
      <c r="AP76" s="184">
        <f t="shared" ca="1" si="73"/>
        <v>2090</v>
      </c>
      <c r="AQ76" s="185">
        <f t="shared" si="55"/>
        <v>0.02</v>
      </c>
      <c r="AR76" s="182">
        <f t="shared" si="45"/>
        <v>4.0979437931566061</v>
      </c>
      <c r="AU76" s="184">
        <f t="shared" ca="1" si="74"/>
        <v>2090</v>
      </c>
      <c r="AV76" s="182">
        <f t="shared" si="56"/>
        <v>0.02</v>
      </c>
      <c r="AW76" s="179">
        <f t="shared" si="57"/>
        <v>5.0000000000000001E-3</v>
      </c>
      <c r="AX76" s="182">
        <f t="shared" si="58"/>
        <v>2.5000000000000001E-2</v>
      </c>
      <c r="AY76" s="186"/>
      <c r="AZ76" s="190"/>
      <c r="BA76" s="184">
        <f t="shared" ca="1" si="75"/>
        <v>2090</v>
      </c>
      <c r="BB76" s="171">
        <f t="shared" si="59"/>
        <v>0</v>
      </c>
      <c r="BC76" s="171">
        <f t="shared" si="48"/>
        <v>2824.8644459847769</v>
      </c>
      <c r="BD76" s="171">
        <f t="shared" si="46"/>
        <v>0</v>
      </c>
      <c r="BE76" s="171">
        <f t="shared" si="43"/>
        <v>0</v>
      </c>
      <c r="BF76" s="171">
        <f t="shared" si="43"/>
        <v>0</v>
      </c>
      <c r="BG76" s="171">
        <f t="shared" si="43"/>
        <v>0</v>
      </c>
      <c r="BI76" s="187">
        <f>IF(A76-'Invoer gegevens'!$C$17&lt;0,0,IF(A76-'Invoer gegevens'!$C$17=0,1,IF(A76-'Invoer gegevens'!$C$17&lt;5,2,IF(A76-'Invoer gegevens'!$C$17&lt;15,3,4))))</f>
        <v>0</v>
      </c>
      <c r="BJ76" s="229">
        <f>IF(BI76&lt;1,0,IF(BI76&lt;2,4%,IF('Reeksen (N)'!BI76&lt;3,4%,IF('Reeksen (N)'!BI76&lt;4,4%*70%,IF('Reeksen (N)'!BI76&lt;5,4%*50%)))))</f>
        <v>0</v>
      </c>
    </row>
    <row r="77" spans="1:62" x14ac:dyDescent="0.25">
      <c r="A77" s="184">
        <f t="shared" si="60"/>
        <v>72</v>
      </c>
      <c r="B77" s="179">
        <f>Dashboard!$D$25</f>
        <v>0</v>
      </c>
      <c r="C77" s="179">
        <f>Dashboard!$D$25</f>
        <v>0</v>
      </c>
      <c r="D77" s="180">
        <f t="shared" si="49"/>
        <v>0</v>
      </c>
      <c r="E77" s="189"/>
      <c r="F77" s="184">
        <f t="shared" ca="1" si="61"/>
        <v>2091</v>
      </c>
      <c r="G77" s="179">
        <f t="shared" si="39"/>
        <v>0.02</v>
      </c>
      <c r="H77" s="182">
        <f t="shared" si="62"/>
        <v>4.1839640536593521</v>
      </c>
      <c r="I77" s="179">
        <f t="shared" si="40"/>
        <v>2.5000000000000001E-2</v>
      </c>
      <c r="J77" s="182">
        <f t="shared" si="63"/>
        <v>5.9585046925739142</v>
      </c>
      <c r="K77" s="179">
        <f t="shared" si="41"/>
        <v>2.5000000000000001E-2</v>
      </c>
      <c r="L77" s="182">
        <f t="shared" si="64"/>
        <v>5.9585046925739142</v>
      </c>
      <c r="M77" s="189"/>
      <c r="N77" s="184">
        <f t="shared" ca="1" si="65"/>
        <v>2091</v>
      </c>
      <c r="O77" s="179">
        <f t="shared" si="78"/>
        <v>0.02</v>
      </c>
      <c r="P77" s="182">
        <f t="shared" si="44"/>
        <v>4.1799026690197385</v>
      </c>
      <c r="R77" s="184">
        <f t="shared" ca="1" si="66"/>
        <v>2091</v>
      </c>
      <c r="S77" s="188">
        <f t="shared" si="80"/>
        <v>5.3600000000000002E-3</v>
      </c>
      <c r="U77" s="184">
        <f t="shared" ca="1" si="67"/>
        <v>2091</v>
      </c>
      <c r="V77" s="182">
        <f t="shared" si="50"/>
        <v>0.02</v>
      </c>
      <c r="W77" s="180">
        <f>Parameters!$D$15</f>
        <v>5.0000000000000001E-3</v>
      </c>
      <c r="X77" s="182">
        <f t="shared" si="51"/>
        <v>2.5000000000000001E-2</v>
      </c>
      <c r="Y77" s="182">
        <f t="shared" si="68"/>
        <v>5.9643780352444065</v>
      </c>
      <c r="AA77" s="189"/>
      <c r="AB77" s="184">
        <f t="shared" ca="1" si="69"/>
        <v>2091</v>
      </c>
      <c r="AC77" s="171">
        <f t="shared" si="52"/>
        <v>0</v>
      </c>
      <c r="AD77" s="171">
        <f t="shared" si="47"/>
        <v>0</v>
      </c>
      <c r="AE77" s="171">
        <f t="shared" si="79"/>
        <v>2881.3617349044725</v>
      </c>
      <c r="AF77" s="171">
        <f t="shared" si="70"/>
        <v>0</v>
      </c>
      <c r="AG77" s="171">
        <f t="shared" ref="AG77:AG140" si="81">ROUND($AG76*(1+V77)^1,2)</f>
        <v>0</v>
      </c>
      <c r="AH77" s="171">
        <f t="shared" si="53"/>
        <v>0</v>
      </c>
      <c r="AI77" s="171">
        <f t="shared" si="54"/>
        <v>0</v>
      </c>
      <c r="AJ77" s="171">
        <f>IF('Invoer gegevens'!$I$27="DAEB",SMALL(AC77:AD77,1),AC77)</f>
        <v>0</v>
      </c>
      <c r="AK77" s="171">
        <f>IF('Invoer gegevens'!$I$27="DAEB",SMALL((AE77:AH77),1),SMALL((AF77:AH77),1))</f>
        <v>0</v>
      </c>
      <c r="AL77" s="171">
        <f t="shared" si="76"/>
        <v>0</v>
      </c>
      <c r="AM77" s="171">
        <f t="shared" si="77"/>
        <v>0</v>
      </c>
      <c r="AN77" s="175">
        <f t="shared" si="72"/>
        <v>0</v>
      </c>
      <c r="AP77" s="184">
        <f t="shared" ca="1" si="73"/>
        <v>2091</v>
      </c>
      <c r="AQ77" s="185">
        <f t="shared" si="55"/>
        <v>0.02</v>
      </c>
      <c r="AR77" s="182">
        <f t="shared" si="45"/>
        <v>4.1799026690197385</v>
      </c>
      <c r="AU77" s="184">
        <f t="shared" ca="1" si="74"/>
        <v>2091</v>
      </c>
      <c r="AV77" s="182">
        <f t="shared" si="56"/>
        <v>0.02</v>
      </c>
      <c r="AW77" s="179">
        <f t="shared" si="57"/>
        <v>5.0000000000000001E-3</v>
      </c>
      <c r="AX77" s="182">
        <f t="shared" si="58"/>
        <v>2.5000000000000001E-2</v>
      </c>
      <c r="AY77" s="186"/>
      <c r="AZ77" s="190"/>
      <c r="BA77" s="184">
        <f t="shared" ca="1" si="75"/>
        <v>2091</v>
      </c>
      <c r="BB77" s="171">
        <f t="shared" si="59"/>
        <v>0</v>
      </c>
      <c r="BC77" s="171">
        <f t="shared" si="48"/>
        <v>2881.3617349044725</v>
      </c>
      <c r="BD77" s="171">
        <f t="shared" si="46"/>
        <v>0</v>
      </c>
      <c r="BE77" s="171">
        <f t="shared" si="43"/>
        <v>0</v>
      </c>
      <c r="BF77" s="171">
        <f t="shared" si="43"/>
        <v>0</v>
      </c>
      <c r="BG77" s="171">
        <f t="shared" si="43"/>
        <v>0</v>
      </c>
      <c r="BI77" s="187">
        <f>IF(A77-'Invoer gegevens'!$C$17&lt;0,0,IF(A77-'Invoer gegevens'!$C$17=0,1,IF(A77-'Invoer gegevens'!$C$17&lt;5,2,IF(A77-'Invoer gegevens'!$C$17&lt;15,3,4))))</f>
        <v>0</v>
      </c>
      <c r="BJ77" s="229">
        <f>IF(BI77&lt;1,0,IF(BI77&lt;2,4%,IF('Reeksen (N)'!BI77&lt;3,4%,IF('Reeksen (N)'!BI77&lt;4,4%*70%,IF('Reeksen (N)'!BI77&lt;5,4%*50%)))))</f>
        <v>0</v>
      </c>
    </row>
    <row r="78" spans="1:62" x14ac:dyDescent="0.25">
      <c r="A78" s="184">
        <f t="shared" si="60"/>
        <v>73</v>
      </c>
      <c r="B78" s="179">
        <f>Dashboard!$D$25</f>
        <v>0</v>
      </c>
      <c r="C78" s="179">
        <f>Dashboard!$D$25</f>
        <v>0</v>
      </c>
      <c r="D78" s="180">
        <f t="shared" si="49"/>
        <v>0</v>
      </c>
      <c r="E78" s="189"/>
      <c r="F78" s="184">
        <f t="shared" ca="1" si="61"/>
        <v>2092</v>
      </c>
      <c r="G78" s="179">
        <f t="shared" si="39"/>
        <v>0.02</v>
      </c>
      <c r="H78" s="182">
        <f t="shared" si="62"/>
        <v>4.2676433347325391</v>
      </c>
      <c r="I78" s="179">
        <f t="shared" si="40"/>
        <v>2.5000000000000001E-2</v>
      </c>
      <c r="J78" s="182">
        <f t="shared" si="63"/>
        <v>6.1074673098882615</v>
      </c>
      <c r="K78" s="179">
        <f t="shared" si="41"/>
        <v>2.5000000000000001E-2</v>
      </c>
      <c r="L78" s="182">
        <f t="shared" si="64"/>
        <v>6.1074673098882615</v>
      </c>
      <c r="M78" s="189"/>
      <c r="N78" s="184">
        <f t="shared" ca="1" si="65"/>
        <v>2092</v>
      </c>
      <c r="O78" s="179">
        <f t="shared" si="78"/>
        <v>0.02</v>
      </c>
      <c r="P78" s="182">
        <f t="shared" si="44"/>
        <v>4.2635007224001331</v>
      </c>
      <c r="R78" s="184">
        <f t="shared" ca="1" si="66"/>
        <v>2092</v>
      </c>
      <c r="S78" s="188">
        <f t="shared" si="80"/>
        <v>5.3600000000000002E-3</v>
      </c>
      <c r="U78" s="184">
        <f t="shared" ca="1" si="67"/>
        <v>2092</v>
      </c>
      <c r="V78" s="182">
        <f t="shared" si="50"/>
        <v>0.02</v>
      </c>
      <c r="W78" s="180">
        <f>Parameters!$D$15</f>
        <v>5.0000000000000001E-3</v>
      </c>
      <c r="X78" s="182">
        <f t="shared" si="51"/>
        <v>2.5000000000000001E-2</v>
      </c>
      <c r="Y78" s="182">
        <f t="shared" si="68"/>
        <v>6.113487486125516</v>
      </c>
      <c r="AA78" s="189"/>
      <c r="AB78" s="184">
        <f t="shared" ca="1" si="69"/>
        <v>2092</v>
      </c>
      <c r="AC78" s="171">
        <f t="shared" si="52"/>
        <v>0</v>
      </c>
      <c r="AD78" s="171">
        <f t="shared" si="47"/>
        <v>0</v>
      </c>
      <c r="AE78" s="171">
        <f t="shared" si="79"/>
        <v>2938.9889696025621</v>
      </c>
      <c r="AF78" s="171">
        <f t="shared" si="70"/>
        <v>0</v>
      </c>
      <c r="AG78" s="171">
        <f t="shared" si="81"/>
        <v>0</v>
      </c>
      <c r="AH78" s="171">
        <f t="shared" si="53"/>
        <v>0</v>
      </c>
      <c r="AI78" s="171">
        <f t="shared" si="54"/>
        <v>0</v>
      </c>
      <c r="AJ78" s="171">
        <f>IF('Invoer gegevens'!$I$27="DAEB",SMALL(AC78:AD78,1),AC78)</f>
        <v>0</v>
      </c>
      <c r="AK78" s="171">
        <f>IF('Invoer gegevens'!$I$27="DAEB",SMALL((AE78:AH78),1),SMALL((AF78:AH78),1))</f>
        <v>0</v>
      </c>
      <c r="AL78" s="171">
        <f t="shared" si="76"/>
        <v>0</v>
      </c>
      <c r="AM78" s="171">
        <f t="shared" si="77"/>
        <v>0</v>
      </c>
      <c r="AN78" s="175">
        <f t="shared" si="72"/>
        <v>0</v>
      </c>
      <c r="AP78" s="184">
        <f t="shared" ca="1" si="73"/>
        <v>2092</v>
      </c>
      <c r="AQ78" s="185">
        <f t="shared" si="55"/>
        <v>0.02</v>
      </c>
      <c r="AR78" s="182">
        <f t="shared" si="45"/>
        <v>4.2635007224001331</v>
      </c>
      <c r="AU78" s="184">
        <f t="shared" ca="1" si="74"/>
        <v>2092</v>
      </c>
      <c r="AV78" s="182">
        <f t="shared" si="56"/>
        <v>0.02</v>
      </c>
      <c r="AW78" s="179">
        <f t="shared" si="57"/>
        <v>5.0000000000000001E-3</v>
      </c>
      <c r="AX78" s="182">
        <f t="shared" si="58"/>
        <v>2.5000000000000001E-2</v>
      </c>
      <c r="AY78" s="186"/>
      <c r="AZ78" s="190"/>
      <c r="BA78" s="184">
        <f t="shared" ca="1" si="75"/>
        <v>2092</v>
      </c>
      <c r="BB78" s="171">
        <f t="shared" si="59"/>
        <v>0</v>
      </c>
      <c r="BC78" s="171">
        <f t="shared" si="48"/>
        <v>2938.9889696025621</v>
      </c>
      <c r="BD78" s="171">
        <f t="shared" si="46"/>
        <v>0</v>
      </c>
      <c r="BE78" s="171">
        <f t="shared" si="43"/>
        <v>0</v>
      </c>
      <c r="BF78" s="171">
        <f t="shared" si="43"/>
        <v>0</v>
      </c>
      <c r="BG78" s="171">
        <f t="shared" si="43"/>
        <v>0</v>
      </c>
      <c r="BI78" s="187">
        <f>IF(A78-'Invoer gegevens'!$C$17&lt;0,0,IF(A78-'Invoer gegevens'!$C$17=0,1,IF(A78-'Invoer gegevens'!$C$17&lt;5,2,IF(A78-'Invoer gegevens'!$C$17&lt;15,3,4))))</f>
        <v>0</v>
      </c>
      <c r="BJ78" s="229">
        <f>IF(BI78&lt;1,0,IF(BI78&lt;2,4%,IF('Reeksen (N)'!BI78&lt;3,4%,IF('Reeksen (N)'!BI78&lt;4,4%*70%,IF('Reeksen (N)'!BI78&lt;5,4%*50%)))))</f>
        <v>0</v>
      </c>
    </row>
    <row r="79" spans="1:62" x14ac:dyDescent="0.25">
      <c r="A79" s="184">
        <f t="shared" si="60"/>
        <v>74</v>
      </c>
      <c r="B79" s="179">
        <f>Dashboard!$D$25</f>
        <v>0</v>
      </c>
      <c r="C79" s="179">
        <f>Dashboard!$D$25</f>
        <v>0</v>
      </c>
      <c r="D79" s="180">
        <f t="shared" si="49"/>
        <v>0</v>
      </c>
      <c r="E79" s="189"/>
      <c r="F79" s="184">
        <f t="shared" ca="1" si="61"/>
        <v>2093</v>
      </c>
      <c r="G79" s="179">
        <f t="shared" si="39"/>
        <v>0.02</v>
      </c>
      <c r="H79" s="182">
        <f t="shared" si="62"/>
        <v>4.3529962014271897</v>
      </c>
      <c r="I79" s="179">
        <f t="shared" si="40"/>
        <v>2.5000000000000001E-2</v>
      </c>
      <c r="J79" s="182">
        <f t="shared" si="63"/>
        <v>6.2601539926354679</v>
      </c>
      <c r="K79" s="179">
        <f t="shared" si="41"/>
        <v>2.5000000000000001E-2</v>
      </c>
      <c r="L79" s="182">
        <f t="shared" si="64"/>
        <v>6.2601539926354679</v>
      </c>
      <c r="M79" s="189"/>
      <c r="N79" s="184">
        <f t="shared" ca="1" si="65"/>
        <v>2093</v>
      </c>
      <c r="O79" s="179">
        <f t="shared" si="78"/>
        <v>0.02</v>
      </c>
      <c r="P79" s="182">
        <f t="shared" si="44"/>
        <v>4.3487707368481354</v>
      </c>
      <c r="R79" s="184">
        <f t="shared" ca="1" si="66"/>
        <v>2093</v>
      </c>
      <c r="S79" s="188">
        <f t="shared" si="80"/>
        <v>5.3600000000000002E-3</v>
      </c>
      <c r="U79" s="184">
        <f t="shared" ca="1" si="67"/>
        <v>2093</v>
      </c>
      <c r="V79" s="182">
        <f t="shared" si="50"/>
        <v>0.02</v>
      </c>
      <c r="W79" s="180">
        <f>Parameters!$D$15</f>
        <v>5.0000000000000001E-3</v>
      </c>
      <c r="X79" s="182">
        <f t="shared" si="51"/>
        <v>2.5000000000000001E-2</v>
      </c>
      <c r="Y79" s="182">
        <f t="shared" si="68"/>
        <v>6.2663246732786533</v>
      </c>
      <c r="AA79" s="189"/>
      <c r="AB79" s="184">
        <f t="shared" ca="1" si="69"/>
        <v>2093</v>
      </c>
      <c r="AC79" s="171">
        <f t="shared" si="52"/>
        <v>0</v>
      </c>
      <c r="AD79" s="171">
        <f t="shared" si="47"/>
        <v>0</v>
      </c>
      <c r="AE79" s="171">
        <f t="shared" si="79"/>
        <v>2997.7687489946134</v>
      </c>
      <c r="AF79" s="171">
        <f t="shared" si="70"/>
        <v>0</v>
      </c>
      <c r="AG79" s="171">
        <f t="shared" si="81"/>
        <v>0</v>
      </c>
      <c r="AH79" s="171">
        <f t="shared" si="53"/>
        <v>0</v>
      </c>
      <c r="AI79" s="171">
        <f t="shared" si="54"/>
        <v>0</v>
      </c>
      <c r="AJ79" s="171">
        <f>IF('Invoer gegevens'!$I$27="DAEB",SMALL(AC79:AD79,1),AC79)</f>
        <v>0</v>
      </c>
      <c r="AK79" s="171">
        <f>IF('Invoer gegevens'!$I$27="DAEB",SMALL((AE79:AH79),1),SMALL((AF79:AH79),1))</f>
        <v>0</v>
      </c>
      <c r="AL79" s="171">
        <f t="shared" si="76"/>
        <v>0</v>
      </c>
      <c r="AM79" s="171">
        <f t="shared" si="77"/>
        <v>0</v>
      </c>
      <c r="AN79" s="175">
        <f t="shared" si="72"/>
        <v>0</v>
      </c>
      <c r="AP79" s="184">
        <f t="shared" ca="1" si="73"/>
        <v>2093</v>
      </c>
      <c r="AQ79" s="185">
        <f t="shared" si="55"/>
        <v>0.02</v>
      </c>
      <c r="AR79" s="182">
        <f t="shared" si="45"/>
        <v>4.3487707368481354</v>
      </c>
      <c r="AU79" s="184">
        <f t="shared" ca="1" si="74"/>
        <v>2093</v>
      </c>
      <c r="AV79" s="182">
        <f t="shared" si="56"/>
        <v>0.02</v>
      </c>
      <c r="AW79" s="179">
        <f t="shared" si="57"/>
        <v>5.0000000000000001E-3</v>
      </c>
      <c r="AX79" s="182">
        <f t="shared" si="58"/>
        <v>2.5000000000000001E-2</v>
      </c>
      <c r="AY79" s="186"/>
      <c r="AZ79" s="190"/>
      <c r="BA79" s="184">
        <f t="shared" ca="1" si="75"/>
        <v>2093</v>
      </c>
      <c r="BB79" s="171">
        <f t="shared" si="59"/>
        <v>0</v>
      </c>
      <c r="BC79" s="171">
        <f t="shared" si="48"/>
        <v>2997.7687489946134</v>
      </c>
      <c r="BD79" s="171">
        <f t="shared" si="46"/>
        <v>0</v>
      </c>
      <c r="BE79" s="171">
        <f t="shared" si="43"/>
        <v>0</v>
      </c>
      <c r="BF79" s="171">
        <f t="shared" si="43"/>
        <v>0</v>
      </c>
      <c r="BG79" s="171">
        <f t="shared" si="43"/>
        <v>0</v>
      </c>
      <c r="BI79" s="187">
        <f>IF(A79-'Invoer gegevens'!$C$17&lt;0,0,IF(A79-'Invoer gegevens'!$C$17=0,1,IF(A79-'Invoer gegevens'!$C$17&lt;5,2,IF(A79-'Invoer gegevens'!$C$17&lt;15,3,4))))</f>
        <v>0</v>
      </c>
      <c r="BJ79" s="229">
        <f>IF(BI79&lt;1,0,IF(BI79&lt;2,4%,IF('Reeksen (N)'!BI79&lt;3,4%,IF('Reeksen (N)'!BI79&lt;4,4%*70%,IF('Reeksen (N)'!BI79&lt;5,4%*50%)))))</f>
        <v>0</v>
      </c>
    </row>
    <row r="80" spans="1:62" x14ac:dyDescent="0.25">
      <c r="A80" s="184">
        <f t="shared" si="60"/>
        <v>75</v>
      </c>
      <c r="B80" s="179">
        <f>Dashboard!$D$25</f>
        <v>0</v>
      </c>
      <c r="C80" s="179">
        <f>Dashboard!$D$25</f>
        <v>0</v>
      </c>
      <c r="D80" s="180">
        <f t="shared" si="49"/>
        <v>0</v>
      </c>
      <c r="E80" s="189"/>
      <c r="F80" s="184">
        <f t="shared" ca="1" si="61"/>
        <v>2094</v>
      </c>
      <c r="G80" s="179">
        <f t="shared" si="39"/>
        <v>0.02</v>
      </c>
      <c r="H80" s="182">
        <f t="shared" si="62"/>
        <v>4.4400561254557331</v>
      </c>
      <c r="I80" s="179">
        <f t="shared" si="40"/>
        <v>2.5000000000000001E-2</v>
      </c>
      <c r="J80" s="182">
        <f t="shared" si="63"/>
        <v>6.4166578424513538</v>
      </c>
      <c r="K80" s="179">
        <f t="shared" si="41"/>
        <v>2.5000000000000001E-2</v>
      </c>
      <c r="L80" s="182">
        <f t="shared" si="64"/>
        <v>6.4166578424513538</v>
      </c>
      <c r="M80" s="189"/>
      <c r="N80" s="184">
        <f t="shared" ca="1" si="65"/>
        <v>2094</v>
      </c>
      <c r="O80" s="179">
        <f t="shared" si="78"/>
        <v>0.02</v>
      </c>
      <c r="P80" s="182">
        <f t="shared" si="44"/>
        <v>4.4357461515850982</v>
      </c>
      <c r="R80" s="184">
        <f t="shared" ca="1" si="66"/>
        <v>2094</v>
      </c>
      <c r="S80" s="188">
        <f t="shared" si="80"/>
        <v>5.3600000000000002E-3</v>
      </c>
      <c r="U80" s="184">
        <f t="shared" ca="1" si="67"/>
        <v>2094</v>
      </c>
      <c r="V80" s="182">
        <f t="shared" si="50"/>
        <v>0.02</v>
      </c>
      <c r="W80" s="180">
        <f>Parameters!$D$15</f>
        <v>5.0000000000000001E-3</v>
      </c>
      <c r="X80" s="182">
        <f t="shared" si="51"/>
        <v>2.5000000000000001E-2</v>
      </c>
      <c r="Y80" s="182">
        <f t="shared" si="68"/>
        <v>6.4229827901106189</v>
      </c>
      <c r="AA80" s="189"/>
      <c r="AB80" s="184">
        <f t="shared" ca="1" si="69"/>
        <v>2094</v>
      </c>
      <c r="AC80" s="171">
        <f t="shared" si="52"/>
        <v>0</v>
      </c>
      <c r="AD80" s="171">
        <f t="shared" si="47"/>
        <v>0</v>
      </c>
      <c r="AE80" s="171">
        <f t="shared" si="79"/>
        <v>3057.7241239745058</v>
      </c>
      <c r="AF80" s="171">
        <f t="shared" si="70"/>
        <v>0</v>
      </c>
      <c r="AG80" s="171">
        <f t="shared" si="81"/>
        <v>0</v>
      </c>
      <c r="AH80" s="171">
        <f t="shared" si="53"/>
        <v>0</v>
      </c>
      <c r="AI80" s="171">
        <f t="shared" si="54"/>
        <v>0</v>
      </c>
      <c r="AJ80" s="171">
        <f>IF('Invoer gegevens'!$I$27="DAEB",SMALL(AC80:AD80,1),AC80)</f>
        <v>0</v>
      </c>
      <c r="AK80" s="171">
        <f>IF('Invoer gegevens'!$I$27="DAEB",SMALL((AE80:AH80),1),SMALL((AF80:AH80),1))</f>
        <v>0</v>
      </c>
      <c r="AL80" s="171">
        <f t="shared" si="76"/>
        <v>0</v>
      </c>
      <c r="AM80" s="171">
        <f t="shared" si="77"/>
        <v>0</v>
      </c>
      <c r="AN80" s="175">
        <f t="shared" si="72"/>
        <v>0</v>
      </c>
      <c r="AP80" s="184">
        <f t="shared" ca="1" si="73"/>
        <v>2094</v>
      </c>
      <c r="AQ80" s="185">
        <f t="shared" si="55"/>
        <v>0.02</v>
      </c>
      <c r="AR80" s="182">
        <f t="shared" si="45"/>
        <v>4.4357461515850982</v>
      </c>
      <c r="AU80" s="184">
        <f t="shared" ca="1" si="74"/>
        <v>2094</v>
      </c>
      <c r="AV80" s="182">
        <f t="shared" si="56"/>
        <v>0.02</v>
      </c>
      <c r="AW80" s="179">
        <f t="shared" si="57"/>
        <v>5.0000000000000001E-3</v>
      </c>
      <c r="AX80" s="182">
        <f t="shared" si="58"/>
        <v>2.5000000000000001E-2</v>
      </c>
      <c r="AY80" s="186"/>
      <c r="AZ80" s="190"/>
      <c r="BA80" s="184">
        <f t="shared" ca="1" si="75"/>
        <v>2094</v>
      </c>
      <c r="BB80" s="171">
        <f t="shared" si="59"/>
        <v>0</v>
      </c>
      <c r="BC80" s="171">
        <f t="shared" si="48"/>
        <v>3057.7241239745058</v>
      </c>
      <c r="BD80" s="171">
        <f t="shared" si="46"/>
        <v>0</v>
      </c>
      <c r="BE80" s="171">
        <f t="shared" si="43"/>
        <v>0</v>
      </c>
      <c r="BF80" s="171">
        <f t="shared" si="43"/>
        <v>0</v>
      </c>
      <c r="BG80" s="171">
        <f t="shared" si="43"/>
        <v>0</v>
      </c>
      <c r="BI80" s="187">
        <f>IF(A80-'Invoer gegevens'!$C$17&lt;0,0,IF(A80-'Invoer gegevens'!$C$17=0,1,IF(A80-'Invoer gegevens'!$C$17&lt;5,2,IF(A80-'Invoer gegevens'!$C$17&lt;15,3,4))))</f>
        <v>0</v>
      </c>
      <c r="BJ80" s="229">
        <f>IF(BI80&lt;1,0,IF(BI80&lt;2,4%,IF('Reeksen (N)'!BI80&lt;3,4%,IF('Reeksen (N)'!BI80&lt;4,4%*70%,IF('Reeksen (N)'!BI80&lt;5,4%*50%)))))</f>
        <v>0</v>
      </c>
    </row>
    <row r="81" spans="1:62" x14ac:dyDescent="0.25">
      <c r="A81" s="184">
        <f t="shared" si="60"/>
        <v>76</v>
      </c>
      <c r="B81" s="179">
        <f>Dashboard!$D$25</f>
        <v>0</v>
      </c>
      <c r="C81" s="179">
        <f>Dashboard!$D$25</f>
        <v>0</v>
      </c>
      <c r="D81" s="180">
        <f t="shared" si="49"/>
        <v>0</v>
      </c>
      <c r="E81" s="189"/>
      <c r="F81" s="184">
        <f t="shared" ca="1" si="61"/>
        <v>2095</v>
      </c>
      <c r="G81" s="179">
        <f t="shared" si="39"/>
        <v>0.02</v>
      </c>
      <c r="H81" s="182">
        <f t="shared" si="62"/>
        <v>4.5288572479648481</v>
      </c>
      <c r="I81" s="179">
        <f t="shared" si="40"/>
        <v>2.5000000000000001E-2</v>
      </c>
      <c r="J81" s="182">
        <f t="shared" si="63"/>
        <v>6.5770742885126374</v>
      </c>
      <c r="K81" s="179">
        <f t="shared" si="41"/>
        <v>2.5000000000000001E-2</v>
      </c>
      <c r="L81" s="182">
        <f t="shared" si="64"/>
        <v>6.5770742885126374</v>
      </c>
      <c r="M81" s="189"/>
      <c r="N81" s="184">
        <f t="shared" ca="1" si="65"/>
        <v>2095</v>
      </c>
      <c r="O81" s="179">
        <f t="shared" si="78"/>
        <v>0.02</v>
      </c>
      <c r="P81" s="182">
        <f t="shared" si="44"/>
        <v>4.5244610746168004</v>
      </c>
      <c r="R81" s="184">
        <f t="shared" ca="1" si="66"/>
        <v>2095</v>
      </c>
      <c r="S81" s="188">
        <f t="shared" si="80"/>
        <v>5.3600000000000002E-3</v>
      </c>
      <c r="U81" s="184">
        <f t="shared" ca="1" si="67"/>
        <v>2095</v>
      </c>
      <c r="V81" s="182">
        <f t="shared" si="50"/>
        <v>0.02</v>
      </c>
      <c r="W81" s="180">
        <f>Parameters!$D$15</f>
        <v>5.0000000000000001E-3</v>
      </c>
      <c r="X81" s="182">
        <f t="shared" si="51"/>
        <v>2.5000000000000001E-2</v>
      </c>
      <c r="Y81" s="182">
        <f t="shared" si="68"/>
        <v>6.5835573598633834</v>
      </c>
      <c r="AA81" s="189"/>
      <c r="AB81" s="184">
        <f t="shared" ca="1" si="69"/>
        <v>2095</v>
      </c>
      <c r="AC81" s="171">
        <f t="shared" si="52"/>
        <v>0</v>
      </c>
      <c r="AD81" s="171">
        <f t="shared" si="47"/>
        <v>0</v>
      </c>
      <c r="AE81" s="171">
        <f t="shared" si="79"/>
        <v>3118.8786064539959</v>
      </c>
      <c r="AF81" s="171">
        <f t="shared" si="70"/>
        <v>0</v>
      </c>
      <c r="AG81" s="171">
        <f t="shared" si="81"/>
        <v>0</v>
      </c>
      <c r="AH81" s="171">
        <f t="shared" si="53"/>
        <v>0</v>
      </c>
      <c r="AI81" s="171">
        <f t="shared" si="54"/>
        <v>0</v>
      </c>
      <c r="AJ81" s="171">
        <f>IF('Invoer gegevens'!$I$27="DAEB",SMALL(AC81:AD81,1),AC81)</f>
        <v>0</v>
      </c>
      <c r="AK81" s="171">
        <f>IF('Invoer gegevens'!$I$27="DAEB",SMALL((AE81:AH81),1),SMALL((AF81:AH81),1))</f>
        <v>0</v>
      </c>
      <c r="AL81" s="171">
        <f t="shared" si="76"/>
        <v>0</v>
      </c>
      <c r="AM81" s="171">
        <f t="shared" si="77"/>
        <v>0</v>
      </c>
      <c r="AN81" s="175">
        <f t="shared" si="72"/>
        <v>0</v>
      </c>
      <c r="AP81" s="184">
        <f t="shared" ca="1" si="73"/>
        <v>2095</v>
      </c>
      <c r="AQ81" s="185">
        <f t="shared" si="55"/>
        <v>0.02</v>
      </c>
      <c r="AR81" s="182">
        <f t="shared" si="45"/>
        <v>4.5244610746168004</v>
      </c>
      <c r="AU81" s="184">
        <f t="shared" ca="1" si="74"/>
        <v>2095</v>
      </c>
      <c r="AV81" s="182">
        <f t="shared" si="56"/>
        <v>0.02</v>
      </c>
      <c r="AW81" s="179">
        <f t="shared" si="57"/>
        <v>5.0000000000000001E-3</v>
      </c>
      <c r="AX81" s="182">
        <f t="shared" si="58"/>
        <v>2.5000000000000001E-2</v>
      </c>
      <c r="AY81" s="186"/>
      <c r="AZ81" s="190"/>
      <c r="BA81" s="184">
        <f t="shared" ca="1" si="75"/>
        <v>2095</v>
      </c>
      <c r="BB81" s="171">
        <f t="shared" si="59"/>
        <v>0</v>
      </c>
      <c r="BC81" s="171">
        <f t="shared" si="48"/>
        <v>3118.8786064539959</v>
      </c>
      <c r="BD81" s="171">
        <f t="shared" si="46"/>
        <v>0</v>
      </c>
      <c r="BE81" s="171">
        <f t="shared" si="43"/>
        <v>0</v>
      </c>
      <c r="BF81" s="171">
        <f t="shared" si="43"/>
        <v>0</v>
      </c>
      <c r="BG81" s="171">
        <f t="shared" si="43"/>
        <v>0</v>
      </c>
      <c r="BI81" s="187">
        <f>IF(A81-'Invoer gegevens'!$C$17&lt;0,0,IF(A81-'Invoer gegevens'!$C$17=0,1,IF(A81-'Invoer gegevens'!$C$17&lt;5,2,IF(A81-'Invoer gegevens'!$C$17&lt;15,3,4))))</f>
        <v>0</v>
      </c>
      <c r="BJ81" s="229">
        <f>IF(BI81&lt;1,0,IF(BI81&lt;2,4%,IF('Reeksen (N)'!BI81&lt;3,4%,IF('Reeksen (N)'!BI81&lt;4,4%*70%,IF('Reeksen (N)'!BI81&lt;5,4%*50%)))))</f>
        <v>0</v>
      </c>
    </row>
    <row r="82" spans="1:62" x14ac:dyDescent="0.25">
      <c r="A82" s="184">
        <f t="shared" si="60"/>
        <v>77</v>
      </c>
      <c r="B82" s="179">
        <f>Dashboard!$D$25</f>
        <v>0</v>
      </c>
      <c r="C82" s="179">
        <f>Dashboard!$D$25</f>
        <v>0</v>
      </c>
      <c r="D82" s="180">
        <f t="shared" si="49"/>
        <v>0</v>
      </c>
      <c r="E82" s="189"/>
      <c r="F82" s="184">
        <f t="shared" ca="1" si="61"/>
        <v>2096</v>
      </c>
      <c r="G82" s="179">
        <f t="shared" si="39"/>
        <v>0.02</v>
      </c>
      <c r="H82" s="182">
        <f t="shared" si="62"/>
        <v>4.6194343929241448</v>
      </c>
      <c r="I82" s="179">
        <f t="shared" si="40"/>
        <v>2.5000000000000001E-2</v>
      </c>
      <c r="J82" s="182">
        <f t="shared" si="63"/>
        <v>6.7415011457254526</v>
      </c>
      <c r="K82" s="179">
        <f t="shared" si="41"/>
        <v>2.5000000000000001E-2</v>
      </c>
      <c r="L82" s="182">
        <f t="shared" si="64"/>
        <v>6.7415011457254526</v>
      </c>
      <c r="M82" s="189"/>
      <c r="N82" s="184">
        <f t="shared" ca="1" si="65"/>
        <v>2096</v>
      </c>
      <c r="O82" s="179">
        <f t="shared" si="78"/>
        <v>0.02</v>
      </c>
      <c r="P82" s="182">
        <f t="shared" si="44"/>
        <v>4.6149502961091367</v>
      </c>
      <c r="R82" s="184">
        <f t="shared" ca="1" si="66"/>
        <v>2096</v>
      </c>
      <c r="S82" s="188">
        <f t="shared" si="80"/>
        <v>5.3600000000000002E-3</v>
      </c>
      <c r="U82" s="184">
        <f t="shared" ca="1" si="67"/>
        <v>2096</v>
      </c>
      <c r="V82" s="182">
        <f t="shared" si="50"/>
        <v>0.02</v>
      </c>
      <c r="W82" s="180">
        <f>Parameters!$D$15</f>
        <v>5.0000000000000001E-3</v>
      </c>
      <c r="X82" s="182">
        <f t="shared" si="51"/>
        <v>2.5000000000000001E-2</v>
      </c>
      <c r="Y82" s="182">
        <f t="shared" si="68"/>
        <v>6.7481462938599677</v>
      </c>
      <c r="AA82" s="189"/>
      <c r="AB82" s="184">
        <f t="shared" ca="1" si="69"/>
        <v>2096</v>
      </c>
      <c r="AC82" s="171">
        <f t="shared" si="52"/>
        <v>0</v>
      </c>
      <c r="AD82" s="171">
        <f t="shared" si="47"/>
        <v>0</v>
      </c>
      <c r="AE82" s="171">
        <f t="shared" si="79"/>
        <v>3181.2561785830758</v>
      </c>
      <c r="AF82" s="171">
        <f t="shared" si="70"/>
        <v>0</v>
      </c>
      <c r="AG82" s="171">
        <f t="shared" si="81"/>
        <v>0</v>
      </c>
      <c r="AH82" s="171">
        <f t="shared" si="53"/>
        <v>0</v>
      </c>
      <c r="AI82" s="171">
        <f t="shared" si="54"/>
        <v>0</v>
      </c>
      <c r="AJ82" s="171">
        <f>IF('Invoer gegevens'!$I$27="DAEB",SMALL(AC82:AD82,1),AC82)</f>
        <v>0</v>
      </c>
      <c r="AK82" s="171">
        <f>IF('Invoer gegevens'!$I$27="DAEB",SMALL((AE82:AH82),1),SMALL((AF82:AH82),1))</f>
        <v>0</v>
      </c>
      <c r="AL82" s="171">
        <f t="shared" si="76"/>
        <v>0</v>
      </c>
      <c r="AM82" s="171">
        <f t="shared" si="77"/>
        <v>0</v>
      </c>
      <c r="AN82" s="175">
        <f t="shared" si="72"/>
        <v>0</v>
      </c>
      <c r="AP82" s="184">
        <f t="shared" ca="1" si="73"/>
        <v>2096</v>
      </c>
      <c r="AQ82" s="185">
        <f t="shared" si="55"/>
        <v>0.02</v>
      </c>
      <c r="AR82" s="182">
        <f t="shared" si="45"/>
        <v>4.6149502961091367</v>
      </c>
      <c r="AU82" s="184">
        <f t="shared" ca="1" si="74"/>
        <v>2096</v>
      </c>
      <c r="AV82" s="182">
        <f t="shared" si="56"/>
        <v>0.02</v>
      </c>
      <c r="AW82" s="179">
        <f t="shared" si="57"/>
        <v>5.0000000000000001E-3</v>
      </c>
      <c r="AX82" s="182">
        <f t="shared" si="58"/>
        <v>2.5000000000000001E-2</v>
      </c>
      <c r="AY82" s="186"/>
      <c r="AZ82" s="190"/>
      <c r="BA82" s="184">
        <f t="shared" ca="1" si="75"/>
        <v>2096</v>
      </c>
      <c r="BB82" s="171">
        <f t="shared" si="59"/>
        <v>0</v>
      </c>
      <c r="BC82" s="171">
        <f t="shared" si="48"/>
        <v>3181.2561785830758</v>
      </c>
      <c r="BD82" s="171">
        <f t="shared" si="46"/>
        <v>0</v>
      </c>
      <c r="BE82" s="171">
        <f t="shared" si="43"/>
        <v>0</v>
      </c>
      <c r="BF82" s="171">
        <f t="shared" si="43"/>
        <v>0</v>
      </c>
      <c r="BG82" s="171">
        <f t="shared" si="43"/>
        <v>0</v>
      </c>
      <c r="BI82" s="187">
        <f>IF(A82-'Invoer gegevens'!$C$17&lt;0,0,IF(A82-'Invoer gegevens'!$C$17=0,1,IF(A82-'Invoer gegevens'!$C$17&lt;5,2,IF(A82-'Invoer gegevens'!$C$17&lt;15,3,4))))</f>
        <v>0</v>
      </c>
      <c r="BJ82" s="229">
        <f>IF(BI82&lt;1,0,IF(BI82&lt;2,4%,IF('Reeksen (N)'!BI82&lt;3,4%,IF('Reeksen (N)'!BI82&lt;4,4%*70%,IF('Reeksen (N)'!BI82&lt;5,4%*50%)))))</f>
        <v>0</v>
      </c>
    </row>
    <row r="83" spans="1:62" x14ac:dyDescent="0.25">
      <c r="A83" s="184">
        <f t="shared" si="60"/>
        <v>78</v>
      </c>
      <c r="B83" s="179">
        <f>Dashboard!$D$25</f>
        <v>0</v>
      </c>
      <c r="C83" s="179">
        <f>Dashboard!$D$25</f>
        <v>0</v>
      </c>
      <c r="D83" s="180">
        <f t="shared" si="49"/>
        <v>0</v>
      </c>
      <c r="E83" s="189"/>
      <c r="F83" s="184">
        <f t="shared" ca="1" si="61"/>
        <v>2097</v>
      </c>
      <c r="G83" s="179">
        <f t="shared" si="39"/>
        <v>0.02</v>
      </c>
      <c r="H83" s="182">
        <f t="shared" si="62"/>
        <v>4.7118230807826276</v>
      </c>
      <c r="I83" s="179">
        <f t="shared" si="40"/>
        <v>2.5000000000000001E-2</v>
      </c>
      <c r="J83" s="182">
        <f t="shared" si="63"/>
        <v>6.9100386743685887</v>
      </c>
      <c r="K83" s="179">
        <f t="shared" si="41"/>
        <v>2.5000000000000001E-2</v>
      </c>
      <c r="L83" s="182">
        <f t="shared" si="64"/>
        <v>6.9100386743685887</v>
      </c>
      <c r="M83" s="189"/>
      <c r="N83" s="184">
        <f t="shared" ca="1" si="65"/>
        <v>2097</v>
      </c>
      <c r="O83" s="179">
        <f t="shared" si="78"/>
        <v>0.02</v>
      </c>
      <c r="P83" s="182">
        <f t="shared" si="44"/>
        <v>4.7072493020313191</v>
      </c>
      <c r="R83" s="184">
        <f t="shared" ca="1" si="66"/>
        <v>2097</v>
      </c>
      <c r="S83" s="188">
        <f t="shared" si="80"/>
        <v>5.3600000000000002E-3</v>
      </c>
      <c r="U83" s="184">
        <f t="shared" ca="1" si="67"/>
        <v>2097</v>
      </c>
      <c r="V83" s="182">
        <f t="shared" si="50"/>
        <v>0.02</v>
      </c>
      <c r="W83" s="180">
        <f>Parameters!$D$15</f>
        <v>5.0000000000000001E-3</v>
      </c>
      <c r="X83" s="182">
        <f t="shared" si="51"/>
        <v>2.5000000000000001E-2</v>
      </c>
      <c r="Y83" s="182">
        <f t="shared" si="68"/>
        <v>6.9168499512064665</v>
      </c>
      <c r="AA83" s="189"/>
      <c r="AB83" s="184">
        <f t="shared" ca="1" si="69"/>
        <v>2097</v>
      </c>
      <c r="AC83" s="171">
        <f t="shared" si="52"/>
        <v>0</v>
      </c>
      <c r="AD83" s="171">
        <f t="shared" si="47"/>
        <v>0</v>
      </c>
      <c r="AE83" s="171">
        <f t="shared" si="79"/>
        <v>3244.8813021547376</v>
      </c>
      <c r="AF83" s="171">
        <f t="shared" si="70"/>
        <v>0</v>
      </c>
      <c r="AG83" s="171">
        <f t="shared" si="81"/>
        <v>0</v>
      </c>
      <c r="AH83" s="171">
        <f t="shared" si="53"/>
        <v>0</v>
      </c>
      <c r="AI83" s="171">
        <f t="shared" si="54"/>
        <v>0</v>
      </c>
      <c r="AJ83" s="171">
        <f>IF('Invoer gegevens'!$I$27="DAEB",SMALL(AC83:AD83,1),AC83)</f>
        <v>0</v>
      </c>
      <c r="AK83" s="171">
        <f>IF('Invoer gegevens'!$I$27="DAEB",SMALL((AE83:AH83),1),SMALL((AF83:AH83),1))</f>
        <v>0</v>
      </c>
      <c r="AL83" s="171">
        <f t="shared" si="76"/>
        <v>0</v>
      </c>
      <c r="AM83" s="171">
        <f t="shared" si="77"/>
        <v>0</v>
      </c>
      <c r="AN83" s="175">
        <f t="shared" si="72"/>
        <v>0</v>
      </c>
      <c r="AP83" s="184">
        <f t="shared" ca="1" si="73"/>
        <v>2097</v>
      </c>
      <c r="AQ83" s="185">
        <f t="shared" si="55"/>
        <v>0.02</v>
      </c>
      <c r="AR83" s="182">
        <f t="shared" si="45"/>
        <v>4.7072493020313191</v>
      </c>
      <c r="AU83" s="184">
        <f t="shared" ca="1" si="74"/>
        <v>2097</v>
      </c>
      <c r="AV83" s="182">
        <f t="shared" si="56"/>
        <v>0.02</v>
      </c>
      <c r="AW83" s="179">
        <f t="shared" si="57"/>
        <v>5.0000000000000001E-3</v>
      </c>
      <c r="AX83" s="182">
        <f t="shared" si="58"/>
        <v>2.5000000000000001E-2</v>
      </c>
      <c r="AY83" s="186"/>
      <c r="AZ83" s="190"/>
      <c r="BA83" s="184">
        <f t="shared" ca="1" si="75"/>
        <v>2097</v>
      </c>
      <c r="BB83" s="171">
        <f t="shared" si="59"/>
        <v>0</v>
      </c>
      <c r="BC83" s="171">
        <f t="shared" si="48"/>
        <v>3244.8813021547376</v>
      </c>
      <c r="BD83" s="171">
        <f t="shared" si="46"/>
        <v>0</v>
      </c>
      <c r="BE83" s="171">
        <f t="shared" si="43"/>
        <v>0</v>
      </c>
      <c r="BF83" s="171">
        <f t="shared" si="43"/>
        <v>0</v>
      </c>
      <c r="BG83" s="171">
        <f t="shared" si="43"/>
        <v>0</v>
      </c>
      <c r="BI83" s="187">
        <f>IF(A83-'Invoer gegevens'!$C$17&lt;0,0,IF(A83-'Invoer gegevens'!$C$17=0,1,IF(A83-'Invoer gegevens'!$C$17&lt;5,2,IF(A83-'Invoer gegevens'!$C$17&lt;15,3,4))))</f>
        <v>0</v>
      </c>
      <c r="BJ83" s="229">
        <f>IF(BI83&lt;1,0,IF(BI83&lt;2,4%,IF('Reeksen (N)'!BI83&lt;3,4%,IF('Reeksen (N)'!BI83&lt;4,4%*70%,IF('Reeksen (N)'!BI83&lt;5,4%*50%)))))</f>
        <v>0</v>
      </c>
    </row>
    <row r="84" spans="1:62" x14ac:dyDescent="0.25">
      <c r="A84" s="184">
        <f t="shared" si="60"/>
        <v>79</v>
      </c>
      <c r="B84" s="179">
        <f>Dashboard!$D$25</f>
        <v>0</v>
      </c>
      <c r="C84" s="179">
        <f>Dashboard!$D$25</f>
        <v>0</v>
      </c>
      <c r="D84" s="180">
        <f t="shared" si="49"/>
        <v>0</v>
      </c>
      <c r="E84" s="189"/>
      <c r="F84" s="184">
        <f t="shared" ca="1" si="61"/>
        <v>2098</v>
      </c>
      <c r="G84" s="179">
        <f t="shared" si="39"/>
        <v>0.02</v>
      </c>
      <c r="H84" s="182">
        <f t="shared" si="62"/>
        <v>4.8060595423982804</v>
      </c>
      <c r="I84" s="179">
        <f t="shared" si="40"/>
        <v>2.5000000000000001E-2</v>
      </c>
      <c r="J84" s="182">
        <f t="shared" si="63"/>
        <v>7.0827896412278024</v>
      </c>
      <c r="K84" s="179">
        <f t="shared" si="41"/>
        <v>2.5000000000000001E-2</v>
      </c>
      <c r="L84" s="182">
        <f t="shared" si="64"/>
        <v>7.0827896412278024</v>
      </c>
      <c r="M84" s="189"/>
      <c r="N84" s="184">
        <f t="shared" ca="1" si="65"/>
        <v>2098</v>
      </c>
      <c r="O84" s="179">
        <f t="shared" si="78"/>
        <v>0.02</v>
      </c>
      <c r="P84" s="182">
        <f t="shared" si="44"/>
        <v>4.8013942880719451</v>
      </c>
      <c r="R84" s="184">
        <f t="shared" ca="1" si="66"/>
        <v>2098</v>
      </c>
      <c r="S84" s="188">
        <f t="shared" si="80"/>
        <v>5.3600000000000002E-3</v>
      </c>
      <c r="U84" s="184">
        <f t="shared" ca="1" si="67"/>
        <v>2098</v>
      </c>
      <c r="V84" s="182">
        <f t="shared" si="50"/>
        <v>0.02</v>
      </c>
      <c r="W84" s="180">
        <f>Parameters!$D$15</f>
        <v>5.0000000000000001E-3</v>
      </c>
      <c r="X84" s="182">
        <f t="shared" si="51"/>
        <v>2.5000000000000001E-2</v>
      </c>
      <c r="Y84" s="182">
        <f t="shared" si="68"/>
        <v>7.089771199986628</v>
      </c>
      <c r="AA84" s="189"/>
      <c r="AB84" s="184">
        <f t="shared" ca="1" si="69"/>
        <v>2098</v>
      </c>
      <c r="AC84" s="171">
        <f t="shared" si="52"/>
        <v>0</v>
      </c>
      <c r="AD84" s="171">
        <f t="shared" si="47"/>
        <v>0</v>
      </c>
      <c r="AE84" s="171">
        <f t="shared" si="79"/>
        <v>3309.7789281978326</v>
      </c>
      <c r="AF84" s="171">
        <f t="shared" si="70"/>
        <v>0</v>
      </c>
      <c r="AG84" s="171">
        <f t="shared" si="81"/>
        <v>0</v>
      </c>
      <c r="AH84" s="171">
        <f t="shared" si="53"/>
        <v>0</v>
      </c>
      <c r="AI84" s="171">
        <f t="shared" si="54"/>
        <v>0</v>
      </c>
      <c r="AJ84" s="171">
        <f>IF('Invoer gegevens'!$I$27="DAEB",SMALL(AC84:AD84,1),AC84)</f>
        <v>0</v>
      </c>
      <c r="AK84" s="171">
        <f>IF('Invoer gegevens'!$I$27="DAEB",SMALL((AE84:AH84),1),SMALL((AF84:AH84),1))</f>
        <v>0</v>
      </c>
      <c r="AL84" s="171">
        <f t="shared" si="76"/>
        <v>0</v>
      </c>
      <c r="AM84" s="171">
        <f t="shared" si="77"/>
        <v>0</v>
      </c>
      <c r="AN84" s="175">
        <f t="shared" si="72"/>
        <v>0</v>
      </c>
      <c r="AP84" s="184">
        <f t="shared" ca="1" si="73"/>
        <v>2098</v>
      </c>
      <c r="AQ84" s="185">
        <f t="shared" si="55"/>
        <v>0.02</v>
      </c>
      <c r="AR84" s="182">
        <f t="shared" si="45"/>
        <v>4.8013942880719451</v>
      </c>
      <c r="AU84" s="184">
        <f t="shared" ca="1" si="74"/>
        <v>2098</v>
      </c>
      <c r="AV84" s="182">
        <f t="shared" si="56"/>
        <v>0.02</v>
      </c>
      <c r="AW84" s="179">
        <f t="shared" si="57"/>
        <v>5.0000000000000001E-3</v>
      </c>
      <c r="AX84" s="182">
        <f t="shared" si="58"/>
        <v>2.5000000000000001E-2</v>
      </c>
      <c r="AY84" s="186"/>
      <c r="AZ84" s="190"/>
      <c r="BA84" s="184">
        <f t="shared" ca="1" si="75"/>
        <v>2098</v>
      </c>
      <c r="BB84" s="171">
        <f t="shared" si="59"/>
        <v>0</v>
      </c>
      <c r="BC84" s="171">
        <f t="shared" si="48"/>
        <v>3309.7789281978326</v>
      </c>
      <c r="BD84" s="171">
        <f t="shared" si="46"/>
        <v>0</v>
      </c>
      <c r="BE84" s="171">
        <f t="shared" si="43"/>
        <v>0</v>
      </c>
      <c r="BF84" s="171">
        <f t="shared" si="43"/>
        <v>0</v>
      </c>
      <c r="BG84" s="171">
        <f t="shared" si="43"/>
        <v>0</v>
      </c>
      <c r="BI84" s="187">
        <f>IF(A84-'Invoer gegevens'!$C$17&lt;0,0,IF(A84-'Invoer gegevens'!$C$17=0,1,IF(A84-'Invoer gegevens'!$C$17&lt;5,2,IF(A84-'Invoer gegevens'!$C$17&lt;15,3,4))))</f>
        <v>0</v>
      </c>
      <c r="BJ84" s="229">
        <f>IF(BI84&lt;1,0,IF(BI84&lt;2,4%,IF('Reeksen (N)'!BI84&lt;3,4%,IF('Reeksen (N)'!BI84&lt;4,4%*70%,IF('Reeksen (N)'!BI84&lt;5,4%*50%)))))</f>
        <v>0</v>
      </c>
    </row>
    <row r="85" spans="1:62" x14ac:dyDescent="0.25">
      <c r="A85" s="184">
        <f t="shared" si="60"/>
        <v>80</v>
      </c>
      <c r="B85" s="179">
        <f>Dashboard!$D$25</f>
        <v>0</v>
      </c>
      <c r="C85" s="179">
        <f>Dashboard!$D$25</f>
        <v>0</v>
      </c>
      <c r="D85" s="180">
        <f t="shared" si="49"/>
        <v>0</v>
      </c>
      <c r="E85" s="189"/>
      <c r="F85" s="184">
        <f t="shared" ca="1" si="61"/>
        <v>2099</v>
      </c>
      <c r="G85" s="179">
        <f t="shared" si="39"/>
        <v>0.02</v>
      </c>
      <c r="H85" s="182">
        <f t="shared" si="62"/>
        <v>4.9021807332462464</v>
      </c>
      <c r="I85" s="179">
        <f t="shared" si="40"/>
        <v>2.5000000000000001E-2</v>
      </c>
      <c r="J85" s="182">
        <f t="shared" si="63"/>
        <v>7.2598593822584965</v>
      </c>
      <c r="K85" s="179">
        <f t="shared" si="41"/>
        <v>2.5000000000000001E-2</v>
      </c>
      <c r="L85" s="182">
        <f t="shared" si="64"/>
        <v>7.2598593822584965</v>
      </c>
      <c r="M85" s="189"/>
      <c r="N85" s="184">
        <f t="shared" ca="1" si="65"/>
        <v>2099</v>
      </c>
      <c r="O85" s="179">
        <f t="shared" si="78"/>
        <v>0.02</v>
      </c>
      <c r="P85" s="182">
        <f t="shared" si="44"/>
        <v>4.8974221738333839</v>
      </c>
      <c r="R85" s="184">
        <f t="shared" ca="1" si="66"/>
        <v>2099</v>
      </c>
      <c r="S85" s="188">
        <f t="shared" si="80"/>
        <v>5.3600000000000002E-3</v>
      </c>
      <c r="U85" s="184">
        <f t="shared" ca="1" si="67"/>
        <v>2099</v>
      </c>
      <c r="V85" s="182">
        <f t="shared" si="50"/>
        <v>0.02</v>
      </c>
      <c r="W85" s="180">
        <f>Parameters!$D$15</f>
        <v>5.0000000000000001E-3</v>
      </c>
      <c r="X85" s="182">
        <f t="shared" si="51"/>
        <v>2.5000000000000001E-2</v>
      </c>
      <c r="Y85" s="182">
        <f t="shared" si="68"/>
        <v>7.2670154799862932</v>
      </c>
      <c r="AA85" s="189"/>
      <c r="AB85" s="184">
        <f t="shared" ca="1" si="69"/>
        <v>2099</v>
      </c>
      <c r="AC85" s="171">
        <f t="shared" si="52"/>
        <v>0</v>
      </c>
      <c r="AD85" s="171">
        <f t="shared" si="47"/>
        <v>0</v>
      </c>
      <c r="AE85" s="171">
        <f t="shared" si="79"/>
        <v>3375.9745067617891</v>
      </c>
      <c r="AF85" s="171">
        <f t="shared" si="70"/>
        <v>0</v>
      </c>
      <c r="AG85" s="171">
        <f t="shared" si="81"/>
        <v>0</v>
      </c>
      <c r="AH85" s="171">
        <f t="shared" si="53"/>
        <v>0</v>
      </c>
      <c r="AI85" s="171">
        <f t="shared" si="54"/>
        <v>0</v>
      </c>
      <c r="AJ85" s="171">
        <f>IF('Invoer gegevens'!$I$27="DAEB",SMALL(AC85:AD85,1),AC85)</f>
        <v>0</v>
      </c>
      <c r="AK85" s="171">
        <f>IF('Invoer gegevens'!$I$27="DAEB",SMALL((AE85:AH85),1),SMALL((AF85:AH85),1))</f>
        <v>0</v>
      </c>
      <c r="AL85" s="171">
        <f t="shared" si="76"/>
        <v>0</v>
      </c>
      <c r="AM85" s="171">
        <f t="shared" si="77"/>
        <v>0</v>
      </c>
      <c r="AN85" s="175">
        <f t="shared" si="72"/>
        <v>0</v>
      </c>
      <c r="AP85" s="184">
        <f t="shared" ca="1" si="73"/>
        <v>2099</v>
      </c>
      <c r="AQ85" s="185">
        <f t="shared" si="55"/>
        <v>0.02</v>
      </c>
      <c r="AR85" s="182">
        <f t="shared" si="45"/>
        <v>4.8974221738333839</v>
      </c>
      <c r="AU85" s="184">
        <f t="shared" ca="1" si="74"/>
        <v>2099</v>
      </c>
      <c r="AV85" s="182">
        <f t="shared" si="56"/>
        <v>0.02</v>
      </c>
      <c r="AW85" s="179">
        <f t="shared" si="57"/>
        <v>5.0000000000000001E-3</v>
      </c>
      <c r="AX85" s="182">
        <f t="shared" si="58"/>
        <v>2.5000000000000001E-2</v>
      </c>
      <c r="AY85" s="186"/>
      <c r="AZ85" s="190"/>
      <c r="BA85" s="184">
        <f t="shared" ca="1" si="75"/>
        <v>2099</v>
      </c>
      <c r="BB85" s="171">
        <f t="shared" si="59"/>
        <v>0</v>
      </c>
      <c r="BC85" s="171">
        <f t="shared" si="48"/>
        <v>3375.9745067617891</v>
      </c>
      <c r="BD85" s="171">
        <f t="shared" si="46"/>
        <v>0</v>
      </c>
      <c r="BE85" s="171">
        <f t="shared" si="43"/>
        <v>0</v>
      </c>
      <c r="BF85" s="171">
        <f t="shared" si="43"/>
        <v>0</v>
      </c>
      <c r="BG85" s="171">
        <f t="shared" si="43"/>
        <v>0</v>
      </c>
      <c r="BI85" s="187">
        <f>IF(A85-'Invoer gegevens'!$C$17&lt;0,0,IF(A85-'Invoer gegevens'!$C$17=0,1,IF(A85-'Invoer gegevens'!$C$17&lt;5,2,IF(A85-'Invoer gegevens'!$C$17&lt;15,3,4))))</f>
        <v>0</v>
      </c>
      <c r="BJ85" s="229">
        <f>IF(BI85&lt;1,0,IF(BI85&lt;2,4%,IF('Reeksen (N)'!BI85&lt;3,4%,IF('Reeksen (N)'!BI85&lt;4,4%*70%,IF('Reeksen (N)'!BI85&lt;5,4%*50%)))))</f>
        <v>0</v>
      </c>
    </row>
    <row r="86" spans="1:62" x14ac:dyDescent="0.25">
      <c r="A86" s="184">
        <f t="shared" si="60"/>
        <v>81</v>
      </c>
      <c r="B86" s="179">
        <f>Dashboard!$D$25</f>
        <v>0</v>
      </c>
      <c r="C86" s="179">
        <f>Dashboard!$D$25</f>
        <v>0</v>
      </c>
      <c r="D86" s="180">
        <f t="shared" si="49"/>
        <v>0</v>
      </c>
      <c r="E86" s="189"/>
      <c r="F86" s="184">
        <f t="shared" ca="1" si="61"/>
        <v>2100</v>
      </c>
      <c r="G86" s="179">
        <f t="shared" si="39"/>
        <v>0.02</v>
      </c>
      <c r="H86" s="182">
        <f t="shared" si="62"/>
        <v>5.0002243479111712</v>
      </c>
      <c r="I86" s="179">
        <f t="shared" si="40"/>
        <v>2.5000000000000001E-2</v>
      </c>
      <c r="J86" s="182">
        <f t="shared" si="63"/>
        <v>7.4413558668149582</v>
      </c>
      <c r="K86" s="179">
        <f t="shared" si="41"/>
        <v>2.5000000000000001E-2</v>
      </c>
      <c r="L86" s="182">
        <f t="shared" si="64"/>
        <v>7.4413558668149582</v>
      </c>
      <c r="M86" s="189"/>
      <c r="N86" s="184">
        <f t="shared" ca="1" si="65"/>
        <v>2100</v>
      </c>
      <c r="O86" s="179">
        <f t="shared" si="78"/>
        <v>0.02</v>
      </c>
      <c r="P86" s="182">
        <f t="shared" si="44"/>
        <v>4.9953706173100514</v>
      </c>
      <c r="R86" s="184">
        <f t="shared" ca="1" si="66"/>
        <v>2100</v>
      </c>
      <c r="S86" s="188">
        <f t="shared" si="80"/>
        <v>5.3600000000000002E-3</v>
      </c>
      <c r="U86" s="184">
        <f t="shared" ca="1" si="67"/>
        <v>2100</v>
      </c>
      <c r="V86" s="182">
        <f t="shared" si="50"/>
        <v>0.02</v>
      </c>
      <c r="W86" s="180">
        <f>Parameters!$D$15</f>
        <v>5.0000000000000001E-3</v>
      </c>
      <c r="X86" s="182">
        <f t="shared" si="51"/>
        <v>2.5000000000000001E-2</v>
      </c>
      <c r="Y86" s="182">
        <f t="shared" si="68"/>
        <v>7.4486908669859497</v>
      </c>
      <c r="AA86" s="189"/>
      <c r="AB86" s="184">
        <f t="shared" ca="1" si="69"/>
        <v>2100</v>
      </c>
      <c r="AC86" s="171">
        <f t="shared" si="52"/>
        <v>0</v>
      </c>
      <c r="AD86" s="171">
        <f t="shared" si="47"/>
        <v>0</v>
      </c>
      <c r="AE86" s="171">
        <f t="shared" si="79"/>
        <v>3443.4939968970248</v>
      </c>
      <c r="AF86" s="171">
        <f t="shared" si="70"/>
        <v>0</v>
      </c>
      <c r="AG86" s="171">
        <f t="shared" si="81"/>
        <v>0</v>
      </c>
      <c r="AH86" s="171">
        <f t="shared" si="53"/>
        <v>0</v>
      </c>
      <c r="AI86" s="171">
        <f t="shared" si="54"/>
        <v>0</v>
      </c>
      <c r="AJ86" s="171">
        <f>IF('Invoer gegevens'!$I$27="DAEB",SMALL(AC86:AD86,1),AC86)</f>
        <v>0</v>
      </c>
      <c r="AK86" s="171">
        <f>IF('Invoer gegevens'!$I$27="DAEB",SMALL((AE86:AH86),1),SMALL((AF86:AH86),1))</f>
        <v>0</v>
      </c>
      <c r="AL86" s="171">
        <f t="shared" si="76"/>
        <v>0</v>
      </c>
      <c r="AM86" s="171">
        <f t="shared" si="77"/>
        <v>0</v>
      </c>
      <c r="AN86" s="175">
        <f t="shared" si="72"/>
        <v>0</v>
      </c>
      <c r="AP86" s="184">
        <f t="shared" ca="1" si="73"/>
        <v>2100</v>
      </c>
      <c r="AQ86" s="185">
        <f t="shared" si="55"/>
        <v>0.02</v>
      </c>
      <c r="AR86" s="182">
        <f t="shared" si="45"/>
        <v>4.9953706173100514</v>
      </c>
      <c r="AU86" s="184">
        <f t="shared" ca="1" si="74"/>
        <v>2100</v>
      </c>
      <c r="AV86" s="182">
        <f t="shared" si="56"/>
        <v>0.02</v>
      </c>
      <c r="AW86" s="179">
        <f t="shared" si="57"/>
        <v>5.0000000000000001E-3</v>
      </c>
      <c r="AX86" s="182">
        <f t="shared" si="58"/>
        <v>2.5000000000000001E-2</v>
      </c>
      <c r="AY86" s="186"/>
      <c r="AZ86" s="190"/>
      <c r="BA86" s="184">
        <f t="shared" ca="1" si="75"/>
        <v>2100</v>
      </c>
      <c r="BB86" s="171">
        <f t="shared" si="59"/>
        <v>0</v>
      </c>
      <c r="BC86" s="171">
        <f t="shared" si="48"/>
        <v>3443.4939968970248</v>
      </c>
      <c r="BD86" s="171">
        <f t="shared" si="46"/>
        <v>0</v>
      </c>
      <c r="BE86" s="171">
        <f t="shared" si="43"/>
        <v>0</v>
      </c>
      <c r="BF86" s="171">
        <f t="shared" si="43"/>
        <v>0</v>
      </c>
      <c r="BG86" s="171">
        <f t="shared" si="43"/>
        <v>0</v>
      </c>
      <c r="BI86" s="187">
        <f>IF(A86-'Invoer gegevens'!$C$17&lt;0,0,IF(A86-'Invoer gegevens'!$C$17=0,1,IF(A86-'Invoer gegevens'!$C$17&lt;5,2,IF(A86-'Invoer gegevens'!$C$17&lt;15,3,4))))</f>
        <v>0</v>
      </c>
      <c r="BJ86" s="229">
        <f>IF(BI86&lt;1,0,IF(BI86&lt;2,4%,IF('Reeksen (N)'!BI86&lt;3,4%,IF('Reeksen (N)'!BI86&lt;4,4%*70%,IF('Reeksen (N)'!BI86&lt;5,4%*50%)))))</f>
        <v>0</v>
      </c>
    </row>
    <row r="87" spans="1:62" x14ac:dyDescent="0.25">
      <c r="A87" s="184">
        <f t="shared" si="60"/>
        <v>82</v>
      </c>
      <c r="B87" s="179">
        <f>Dashboard!$D$25</f>
        <v>0</v>
      </c>
      <c r="C87" s="179">
        <f>Dashboard!$D$25</f>
        <v>0</v>
      </c>
      <c r="D87" s="180">
        <f t="shared" si="49"/>
        <v>0</v>
      </c>
      <c r="E87" s="189"/>
      <c r="F87" s="184">
        <f t="shared" ca="1" si="61"/>
        <v>2101</v>
      </c>
      <c r="G87" s="179">
        <f t="shared" si="39"/>
        <v>0.02</v>
      </c>
      <c r="H87" s="182">
        <f t="shared" si="62"/>
        <v>5.1002288348693945</v>
      </c>
      <c r="I87" s="179">
        <f t="shared" si="40"/>
        <v>2.5000000000000001E-2</v>
      </c>
      <c r="J87" s="182">
        <f t="shared" si="63"/>
        <v>7.6273897634853318</v>
      </c>
      <c r="K87" s="179">
        <f t="shared" si="41"/>
        <v>2.5000000000000001E-2</v>
      </c>
      <c r="L87" s="182">
        <f t="shared" si="64"/>
        <v>7.6273897634853318</v>
      </c>
      <c r="M87" s="189"/>
      <c r="N87" s="184">
        <f t="shared" ca="1" si="65"/>
        <v>2101</v>
      </c>
      <c r="O87" s="179">
        <f t="shared" si="78"/>
        <v>0.02</v>
      </c>
      <c r="P87" s="182">
        <f t="shared" si="44"/>
        <v>5.0952780296562521</v>
      </c>
      <c r="R87" s="184">
        <f t="shared" ca="1" si="66"/>
        <v>2101</v>
      </c>
      <c r="S87" s="188">
        <f t="shared" si="80"/>
        <v>5.3600000000000002E-3</v>
      </c>
      <c r="U87" s="184">
        <f t="shared" ca="1" si="67"/>
        <v>2101</v>
      </c>
      <c r="V87" s="182">
        <f t="shared" si="50"/>
        <v>0.02</v>
      </c>
      <c r="W87" s="180">
        <f>Parameters!$D$15</f>
        <v>5.0000000000000001E-3</v>
      </c>
      <c r="X87" s="182">
        <f t="shared" si="51"/>
        <v>2.5000000000000001E-2</v>
      </c>
      <c r="Y87" s="182">
        <f t="shared" si="68"/>
        <v>7.6349081386605979</v>
      </c>
      <c r="AA87" s="189"/>
      <c r="AB87" s="184">
        <f t="shared" ca="1" si="69"/>
        <v>2101</v>
      </c>
      <c r="AC87" s="171">
        <f t="shared" si="52"/>
        <v>0</v>
      </c>
      <c r="AD87" s="171">
        <f t="shared" si="47"/>
        <v>0</v>
      </c>
      <c r="AE87" s="171">
        <f t="shared" si="79"/>
        <v>3512.3638768349651</v>
      </c>
      <c r="AF87" s="171">
        <f t="shared" si="70"/>
        <v>0</v>
      </c>
      <c r="AG87" s="171">
        <f t="shared" si="81"/>
        <v>0</v>
      </c>
      <c r="AH87" s="171">
        <f t="shared" si="53"/>
        <v>0</v>
      </c>
      <c r="AI87" s="171">
        <f t="shared" si="54"/>
        <v>0</v>
      </c>
      <c r="AJ87" s="171">
        <f>IF('Invoer gegevens'!$I$27="DAEB",SMALL(AC87:AD87,1),AC87)</f>
        <v>0</v>
      </c>
      <c r="AK87" s="171">
        <f>IF('Invoer gegevens'!$I$27="DAEB",SMALL((AE87:AH87),1),SMALL((AF87:AH87),1))</f>
        <v>0</v>
      </c>
      <c r="AL87" s="171">
        <f t="shared" si="76"/>
        <v>0</v>
      </c>
      <c r="AM87" s="171">
        <f t="shared" si="77"/>
        <v>0</v>
      </c>
      <c r="AN87" s="175">
        <f t="shared" si="72"/>
        <v>0</v>
      </c>
      <c r="AP87" s="184">
        <f t="shared" ca="1" si="73"/>
        <v>2101</v>
      </c>
      <c r="AQ87" s="185">
        <f t="shared" si="55"/>
        <v>0.02</v>
      </c>
      <c r="AR87" s="182">
        <f t="shared" si="45"/>
        <v>5.0952780296562521</v>
      </c>
      <c r="AU87" s="184">
        <f t="shared" ca="1" si="74"/>
        <v>2101</v>
      </c>
      <c r="AV87" s="182">
        <f t="shared" si="56"/>
        <v>0.02</v>
      </c>
      <c r="AW87" s="179">
        <f t="shared" si="57"/>
        <v>5.0000000000000001E-3</v>
      </c>
      <c r="AX87" s="182">
        <f t="shared" si="58"/>
        <v>2.5000000000000001E-2</v>
      </c>
      <c r="AY87" s="186"/>
      <c r="AZ87" s="190"/>
      <c r="BA87" s="184">
        <f t="shared" ca="1" si="75"/>
        <v>2101</v>
      </c>
      <c r="BB87" s="171">
        <f t="shared" si="59"/>
        <v>0</v>
      </c>
      <c r="BC87" s="171">
        <f t="shared" si="48"/>
        <v>3512.3638768349651</v>
      </c>
      <c r="BD87" s="171">
        <f t="shared" si="46"/>
        <v>0</v>
      </c>
      <c r="BE87" s="171">
        <f t="shared" si="43"/>
        <v>0</v>
      </c>
      <c r="BF87" s="171">
        <f t="shared" si="43"/>
        <v>0</v>
      </c>
      <c r="BG87" s="171">
        <f t="shared" si="43"/>
        <v>0</v>
      </c>
      <c r="BI87" s="187">
        <f>IF(A87-'Invoer gegevens'!$C$17&lt;0,0,IF(A87-'Invoer gegevens'!$C$17=0,1,IF(A87-'Invoer gegevens'!$C$17&lt;5,2,IF(A87-'Invoer gegevens'!$C$17&lt;15,3,4))))</f>
        <v>0</v>
      </c>
      <c r="BJ87" s="229">
        <f>IF(BI87&lt;1,0,IF(BI87&lt;2,4%,IF('Reeksen (N)'!BI87&lt;3,4%,IF('Reeksen (N)'!BI87&lt;4,4%*70%,IF('Reeksen (N)'!BI87&lt;5,4%*50%)))))</f>
        <v>0</v>
      </c>
    </row>
    <row r="88" spans="1:62" x14ac:dyDescent="0.25">
      <c r="A88" s="184">
        <f t="shared" si="60"/>
        <v>83</v>
      </c>
      <c r="B88" s="179">
        <f>Dashboard!$D$25</f>
        <v>0</v>
      </c>
      <c r="C88" s="179">
        <f>Dashboard!$D$25</f>
        <v>0</v>
      </c>
      <c r="D88" s="180">
        <f t="shared" si="49"/>
        <v>0</v>
      </c>
      <c r="E88" s="189"/>
      <c r="F88" s="184">
        <f t="shared" ca="1" si="61"/>
        <v>2102</v>
      </c>
      <c r="G88" s="179">
        <f t="shared" si="39"/>
        <v>0.02</v>
      </c>
      <c r="H88" s="182">
        <f t="shared" si="62"/>
        <v>5.2022334115667821</v>
      </c>
      <c r="I88" s="179">
        <f t="shared" si="40"/>
        <v>2.5000000000000001E-2</v>
      </c>
      <c r="J88" s="182">
        <f t="shared" si="63"/>
        <v>7.8180745075724642</v>
      </c>
      <c r="K88" s="179">
        <f t="shared" si="41"/>
        <v>2.5000000000000001E-2</v>
      </c>
      <c r="L88" s="182">
        <f t="shared" si="64"/>
        <v>7.8180745075724642</v>
      </c>
      <c r="M88" s="189"/>
      <c r="N88" s="184">
        <f t="shared" ca="1" si="65"/>
        <v>2102</v>
      </c>
      <c r="O88" s="179">
        <f t="shared" si="78"/>
        <v>0.02</v>
      </c>
      <c r="P88" s="182">
        <f t="shared" si="44"/>
        <v>5.1971835902493773</v>
      </c>
      <c r="R88" s="184">
        <f t="shared" ca="1" si="66"/>
        <v>2102</v>
      </c>
      <c r="S88" s="188">
        <f t="shared" si="80"/>
        <v>5.3600000000000002E-3</v>
      </c>
      <c r="U88" s="184">
        <f t="shared" ca="1" si="67"/>
        <v>2102</v>
      </c>
      <c r="V88" s="182">
        <f t="shared" si="50"/>
        <v>0.02</v>
      </c>
      <c r="W88" s="180">
        <f>Parameters!$D$15</f>
        <v>5.0000000000000001E-3</v>
      </c>
      <c r="X88" s="182">
        <f t="shared" si="51"/>
        <v>2.5000000000000001E-2</v>
      </c>
      <c r="Y88" s="182">
        <f t="shared" si="68"/>
        <v>7.825780842127112</v>
      </c>
      <c r="AA88" s="189"/>
      <c r="AB88" s="184">
        <f t="shared" ca="1" si="69"/>
        <v>2102</v>
      </c>
      <c r="AC88" s="171">
        <f t="shared" si="52"/>
        <v>0</v>
      </c>
      <c r="AD88" s="171">
        <f t="shared" si="47"/>
        <v>0</v>
      </c>
      <c r="AE88" s="171">
        <f t="shared" si="79"/>
        <v>3582.6111543716647</v>
      </c>
      <c r="AF88" s="171">
        <f t="shared" si="70"/>
        <v>0</v>
      </c>
      <c r="AG88" s="171">
        <f t="shared" si="81"/>
        <v>0</v>
      </c>
      <c r="AH88" s="171">
        <f t="shared" si="53"/>
        <v>0</v>
      </c>
      <c r="AI88" s="171">
        <f t="shared" si="54"/>
        <v>0</v>
      </c>
      <c r="AJ88" s="171">
        <f>IF('Invoer gegevens'!$I$27="DAEB",SMALL(AC88:AD88,1),AC88)</f>
        <v>0</v>
      </c>
      <c r="AK88" s="171">
        <f>IF('Invoer gegevens'!$I$27="DAEB",SMALL((AE88:AH88),1),SMALL((AF88:AH88),1))</f>
        <v>0</v>
      </c>
      <c r="AL88" s="171">
        <f t="shared" si="76"/>
        <v>0</v>
      </c>
      <c r="AM88" s="171">
        <f t="shared" si="77"/>
        <v>0</v>
      </c>
      <c r="AN88" s="175">
        <f t="shared" si="72"/>
        <v>0</v>
      </c>
      <c r="AP88" s="184">
        <f t="shared" ca="1" si="73"/>
        <v>2102</v>
      </c>
      <c r="AQ88" s="185">
        <f t="shared" si="55"/>
        <v>0.02</v>
      </c>
      <c r="AR88" s="182">
        <f t="shared" si="45"/>
        <v>5.1971835902493773</v>
      </c>
      <c r="AU88" s="184">
        <f t="shared" ca="1" si="74"/>
        <v>2102</v>
      </c>
      <c r="AV88" s="182">
        <f t="shared" si="56"/>
        <v>0.02</v>
      </c>
      <c r="AW88" s="179">
        <f t="shared" si="57"/>
        <v>5.0000000000000001E-3</v>
      </c>
      <c r="AX88" s="182">
        <f t="shared" si="58"/>
        <v>2.5000000000000001E-2</v>
      </c>
      <c r="AY88" s="186"/>
      <c r="AZ88" s="190"/>
      <c r="BA88" s="184">
        <f t="shared" ca="1" si="75"/>
        <v>2102</v>
      </c>
      <c r="BB88" s="171">
        <f t="shared" si="59"/>
        <v>0</v>
      </c>
      <c r="BC88" s="171">
        <f t="shared" si="48"/>
        <v>3582.6111543716647</v>
      </c>
      <c r="BD88" s="171">
        <f t="shared" si="46"/>
        <v>0</v>
      </c>
      <c r="BE88" s="171">
        <f t="shared" si="43"/>
        <v>0</v>
      </c>
      <c r="BF88" s="171">
        <f t="shared" si="43"/>
        <v>0</v>
      </c>
      <c r="BG88" s="171">
        <f t="shared" si="43"/>
        <v>0</v>
      </c>
      <c r="BI88" s="187">
        <f>IF(A88-'Invoer gegevens'!$C$17&lt;0,0,IF(A88-'Invoer gegevens'!$C$17=0,1,IF(A88-'Invoer gegevens'!$C$17&lt;5,2,IF(A88-'Invoer gegevens'!$C$17&lt;15,3,4))))</f>
        <v>0</v>
      </c>
      <c r="BJ88" s="229">
        <f>IF(BI88&lt;1,0,IF(BI88&lt;2,4%,IF('Reeksen (N)'!BI88&lt;3,4%,IF('Reeksen (N)'!BI88&lt;4,4%*70%,IF('Reeksen (N)'!BI88&lt;5,4%*50%)))))</f>
        <v>0</v>
      </c>
    </row>
    <row r="89" spans="1:62" x14ac:dyDescent="0.25">
      <c r="A89" s="184">
        <f t="shared" si="60"/>
        <v>84</v>
      </c>
      <c r="B89" s="179">
        <f>Dashboard!$D$25</f>
        <v>0</v>
      </c>
      <c r="C89" s="179">
        <f>Dashboard!$D$25</f>
        <v>0</v>
      </c>
      <c r="D89" s="180">
        <f t="shared" si="49"/>
        <v>0</v>
      </c>
      <c r="E89" s="189"/>
      <c r="F89" s="184">
        <f t="shared" ca="1" si="61"/>
        <v>2103</v>
      </c>
      <c r="G89" s="179">
        <f t="shared" ref="G89:G152" si="82">G88</f>
        <v>0.02</v>
      </c>
      <c r="H89" s="182">
        <f t="shared" si="62"/>
        <v>5.3062780797981182</v>
      </c>
      <c r="I89" s="179">
        <f t="shared" ref="I89:I152" si="83">I88</f>
        <v>2.5000000000000001E-2</v>
      </c>
      <c r="J89" s="182">
        <f t="shared" si="63"/>
        <v>8.0135263702617756</v>
      </c>
      <c r="K89" s="179">
        <f t="shared" ref="K89:K152" si="84">K88</f>
        <v>2.5000000000000001E-2</v>
      </c>
      <c r="L89" s="182">
        <f t="shared" si="64"/>
        <v>8.0135263702617756</v>
      </c>
      <c r="M89" s="189"/>
      <c r="N89" s="184">
        <f t="shared" ca="1" si="65"/>
        <v>2103</v>
      </c>
      <c r="O89" s="179">
        <f t="shared" si="78"/>
        <v>0.02</v>
      </c>
      <c r="P89" s="182">
        <f t="shared" si="44"/>
        <v>5.301127262054365</v>
      </c>
      <c r="R89" s="184">
        <f t="shared" ca="1" si="66"/>
        <v>2103</v>
      </c>
      <c r="S89" s="188">
        <f t="shared" si="80"/>
        <v>5.3600000000000002E-3</v>
      </c>
      <c r="U89" s="184">
        <f t="shared" ca="1" si="67"/>
        <v>2103</v>
      </c>
      <c r="V89" s="182">
        <f t="shared" si="50"/>
        <v>0.02</v>
      </c>
      <c r="W89" s="180">
        <f>Parameters!$D$15</f>
        <v>5.0000000000000001E-3</v>
      </c>
      <c r="X89" s="182">
        <f t="shared" si="51"/>
        <v>2.5000000000000001E-2</v>
      </c>
      <c r="Y89" s="182">
        <f t="shared" si="68"/>
        <v>8.0214253631802883</v>
      </c>
      <c r="AA89" s="189"/>
      <c r="AB89" s="184">
        <f t="shared" ca="1" si="69"/>
        <v>2103</v>
      </c>
      <c r="AC89" s="171">
        <f t="shared" si="52"/>
        <v>0</v>
      </c>
      <c r="AD89" s="171">
        <f t="shared" si="47"/>
        <v>0</v>
      </c>
      <c r="AE89" s="171">
        <f t="shared" si="79"/>
        <v>3654.2633774590981</v>
      </c>
      <c r="AF89" s="171">
        <f t="shared" si="70"/>
        <v>0</v>
      </c>
      <c r="AG89" s="171">
        <f t="shared" si="81"/>
        <v>0</v>
      </c>
      <c r="AH89" s="171">
        <f t="shared" si="53"/>
        <v>0</v>
      </c>
      <c r="AI89" s="171">
        <f t="shared" si="54"/>
        <v>0</v>
      </c>
      <c r="AJ89" s="171">
        <f>IF('Invoer gegevens'!$I$27="DAEB",SMALL(AC89:AD89,1),AC89)</f>
        <v>0</v>
      </c>
      <c r="AK89" s="171">
        <f>IF('Invoer gegevens'!$I$27="DAEB",SMALL((AE89:AH89),1),SMALL((AF89:AH89),1))</f>
        <v>0</v>
      </c>
      <c r="AL89" s="171">
        <f t="shared" si="76"/>
        <v>0</v>
      </c>
      <c r="AM89" s="171">
        <f t="shared" si="77"/>
        <v>0</v>
      </c>
      <c r="AN89" s="175">
        <f t="shared" si="72"/>
        <v>0</v>
      </c>
      <c r="AP89" s="184">
        <f t="shared" ca="1" si="73"/>
        <v>2103</v>
      </c>
      <c r="AQ89" s="185">
        <f t="shared" si="55"/>
        <v>0.02</v>
      </c>
      <c r="AR89" s="182">
        <f t="shared" si="45"/>
        <v>5.301127262054365</v>
      </c>
      <c r="AU89" s="184">
        <f t="shared" ca="1" si="74"/>
        <v>2103</v>
      </c>
      <c r="AV89" s="182">
        <f t="shared" si="56"/>
        <v>0.02</v>
      </c>
      <c r="AW89" s="179">
        <f t="shared" si="57"/>
        <v>5.0000000000000001E-3</v>
      </c>
      <c r="AX89" s="182">
        <f t="shared" si="58"/>
        <v>2.5000000000000001E-2</v>
      </c>
      <c r="AY89" s="186"/>
      <c r="AZ89" s="190"/>
      <c r="BA89" s="184">
        <f t="shared" ca="1" si="75"/>
        <v>2103</v>
      </c>
      <c r="BB89" s="171">
        <f t="shared" si="59"/>
        <v>0</v>
      </c>
      <c r="BC89" s="171">
        <f t="shared" si="48"/>
        <v>3654.2633774590981</v>
      </c>
      <c r="BD89" s="171">
        <f t="shared" si="46"/>
        <v>0</v>
      </c>
      <c r="BE89" s="171">
        <f t="shared" si="43"/>
        <v>0</v>
      </c>
      <c r="BF89" s="171">
        <f t="shared" si="43"/>
        <v>0</v>
      </c>
      <c r="BG89" s="171">
        <f t="shared" si="43"/>
        <v>0</v>
      </c>
      <c r="BI89" s="187">
        <f>IF(A89-'Invoer gegevens'!$C$17&lt;0,0,IF(A89-'Invoer gegevens'!$C$17=0,1,IF(A89-'Invoer gegevens'!$C$17&lt;5,2,IF(A89-'Invoer gegevens'!$C$17&lt;15,3,4))))</f>
        <v>0</v>
      </c>
      <c r="BJ89" s="229">
        <f>IF(BI89&lt;1,0,IF(BI89&lt;2,4%,IF('Reeksen (N)'!BI89&lt;3,4%,IF('Reeksen (N)'!BI89&lt;4,4%*70%,IF('Reeksen (N)'!BI89&lt;5,4%*50%)))))</f>
        <v>0</v>
      </c>
    </row>
    <row r="90" spans="1:62" x14ac:dyDescent="0.25">
      <c r="A90" s="184">
        <f t="shared" si="60"/>
        <v>85</v>
      </c>
      <c r="B90" s="179">
        <f>Dashboard!$D$25</f>
        <v>0</v>
      </c>
      <c r="C90" s="179">
        <f>Dashboard!$D$25</f>
        <v>0</v>
      </c>
      <c r="D90" s="180">
        <f t="shared" si="49"/>
        <v>0</v>
      </c>
      <c r="E90" s="189"/>
      <c r="F90" s="184">
        <f t="shared" ca="1" si="61"/>
        <v>2104</v>
      </c>
      <c r="G90" s="179">
        <f t="shared" si="82"/>
        <v>0.02</v>
      </c>
      <c r="H90" s="182">
        <f t="shared" si="62"/>
        <v>5.4124036413940804</v>
      </c>
      <c r="I90" s="179">
        <f t="shared" si="83"/>
        <v>2.5000000000000001E-2</v>
      </c>
      <c r="J90" s="182">
        <f t="shared" si="63"/>
        <v>8.2138645295183199</v>
      </c>
      <c r="K90" s="179">
        <f t="shared" si="84"/>
        <v>2.5000000000000001E-2</v>
      </c>
      <c r="L90" s="182">
        <f t="shared" si="64"/>
        <v>8.2138645295183199</v>
      </c>
      <c r="M90" s="189"/>
      <c r="N90" s="184">
        <f t="shared" ca="1" si="65"/>
        <v>2104</v>
      </c>
      <c r="O90" s="179">
        <f t="shared" si="78"/>
        <v>0.02</v>
      </c>
      <c r="P90" s="182">
        <f t="shared" si="44"/>
        <v>5.4071498072954522</v>
      </c>
      <c r="R90" s="184">
        <f t="shared" ca="1" si="66"/>
        <v>2104</v>
      </c>
      <c r="S90" s="188">
        <f t="shared" si="80"/>
        <v>5.3600000000000002E-3</v>
      </c>
      <c r="U90" s="184">
        <f t="shared" ca="1" si="67"/>
        <v>2104</v>
      </c>
      <c r="V90" s="182">
        <f t="shared" si="50"/>
        <v>0.02</v>
      </c>
      <c r="W90" s="180">
        <f>Parameters!$D$15</f>
        <v>5.0000000000000001E-3</v>
      </c>
      <c r="X90" s="182">
        <f t="shared" si="51"/>
        <v>2.5000000000000001E-2</v>
      </c>
      <c r="Y90" s="182">
        <f t="shared" si="68"/>
        <v>8.221960997259794</v>
      </c>
      <c r="AA90" s="189"/>
      <c r="AB90" s="184">
        <f t="shared" ca="1" si="69"/>
        <v>2104</v>
      </c>
      <c r="AC90" s="171">
        <f t="shared" si="52"/>
        <v>0</v>
      </c>
      <c r="AD90" s="171">
        <f t="shared" si="47"/>
        <v>0</v>
      </c>
      <c r="AE90" s="171">
        <f t="shared" si="79"/>
        <v>3727.3486450082801</v>
      </c>
      <c r="AF90" s="171">
        <f t="shared" si="70"/>
        <v>0</v>
      </c>
      <c r="AG90" s="171">
        <f t="shared" si="81"/>
        <v>0</v>
      </c>
      <c r="AH90" s="171">
        <f t="shared" si="53"/>
        <v>0</v>
      </c>
      <c r="AI90" s="171">
        <f t="shared" si="54"/>
        <v>0</v>
      </c>
      <c r="AJ90" s="171">
        <f>IF('Invoer gegevens'!$I$27="DAEB",SMALL(AC90:AD90,1),AC90)</f>
        <v>0</v>
      </c>
      <c r="AK90" s="171">
        <f>IF('Invoer gegevens'!$I$27="DAEB",SMALL((AE90:AH90),1),SMALL((AF90:AH90),1))</f>
        <v>0</v>
      </c>
      <c r="AL90" s="171">
        <f t="shared" si="76"/>
        <v>0</v>
      </c>
      <c r="AM90" s="171">
        <f t="shared" si="77"/>
        <v>0</v>
      </c>
      <c r="AN90" s="175">
        <f t="shared" si="72"/>
        <v>0</v>
      </c>
      <c r="AP90" s="184">
        <f t="shared" ca="1" si="73"/>
        <v>2104</v>
      </c>
      <c r="AQ90" s="185">
        <f t="shared" si="55"/>
        <v>0.02</v>
      </c>
      <c r="AR90" s="182">
        <f t="shared" si="45"/>
        <v>5.4071498072954522</v>
      </c>
      <c r="AU90" s="184">
        <f t="shared" ca="1" si="74"/>
        <v>2104</v>
      </c>
      <c r="AV90" s="182">
        <f t="shared" si="56"/>
        <v>0.02</v>
      </c>
      <c r="AW90" s="179">
        <f t="shared" si="57"/>
        <v>5.0000000000000001E-3</v>
      </c>
      <c r="AX90" s="182">
        <f t="shared" si="58"/>
        <v>2.5000000000000001E-2</v>
      </c>
      <c r="AY90" s="186"/>
      <c r="AZ90" s="190"/>
      <c r="BA90" s="184">
        <f t="shared" ca="1" si="75"/>
        <v>2104</v>
      </c>
      <c r="BB90" s="171">
        <f t="shared" si="59"/>
        <v>0</v>
      </c>
      <c r="BC90" s="171">
        <f t="shared" si="48"/>
        <v>3727.3486450082801</v>
      </c>
      <c r="BD90" s="171">
        <f t="shared" si="46"/>
        <v>0</v>
      </c>
      <c r="BE90" s="171">
        <f t="shared" si="43"/>
        <v>0</v>
      </c>
      <c r="BF90" s="171">
        <f t="shared" si="43"/>
        <v>0</v>
      </c>
      <c r="BG90" s="171">
        <f t="shared" si="43"/>
        <v>0</v>
      </c>
      <c r="BI90" s="187">
        <f>IF(A90-'Invoer gegevens'!$C$17&lt;0,0,IF(A90-'Invoer gegevens'!$C$17=0,1,IF(A90-'Invoer gegevens'!$C$17&lt;5,2,IF(A90-'Invoer gegevens'!$C$17&lt;15,3,4))))</f>
        <v>0</v>
      </c>
      <c r="BJ90" s="229">
        <f>IF(BI90&lt;1,0,IF(BI90&lt;2,4%,IF('Reeksen (N)'!BI90&lt;3,4%,IF('Reeksen (N)'!BI90&lt;4,4%*70%,IF('Reeksen (N)'!BI90&lt;5,4%*50%)))))</f>
        <v>0</v>
      </c>
    </row>
    <row r="91" spans="1:62" x14ac:dyDescent="0.25">
      <c r="A91" s="184">
        <f t="shared" si="60"/>
        <v>86</v>
      </c>
      <c r="B91" s="179">
        <f>Dashboard!$D$25</f>
        <v>0</v>
      </c>
      <c r="C91" s="179">
        <f>Dashboard!$D$25</f>
        <v>0</v>
      </c>
      <c r="D91" s="180">
        <f t="shared" si="49"/>
        <v>0</v>
      </c>
      <c r="E91" s="189"/>
      <c r="F91" s="184">
        <f t="shared" ca="1" si="61"/>
        <v>2105</v>
      </c>
      <c r="G91" s="179">
        <f t="shared" si="82"/>
        <v>0.02</v>
      </c>
      <c r="H91" s="182">
        <f t="shared" si="62"/>
        <v>5.5206517142219624</v>
      </c>
      <c r="I91" s="179">
        <f t="shared" si="83"/>
        <v>2.5000000000000001E-2</v>
      </c>
      <c r="J91" s="182">
        <f t="shared" si="63"/>
        <v>8.4192111427562768</v>
      </c>
      <c r="K91" s="179">
        <f t="shared" si="84"/>
        <v>2.5000000000000001E-2</v>
      </c>
      <c r="L91" s="182">
        <f t="shared" si="64"/>
        <v>8.4192111427562768</v>
      </c>
      <c r="M91" s="189"/>
      <c r="N91" s="184">
        <f t="shared" ca="1" si="65"/>
        <v>2105</v>
      </c>
      <c r="O91" s="179">
        <f t="shared" si="78"/>
        <v>0.02</v>
      </c>
      <c r="P91" s="182">
        <f t="shared" si="44"/>
        <v>5.5152928034413611</v>
      </c>
      <c r="R91" s="184">
        <f t="shared" ca="1" si="66"/>
        <v>2105</v>
      </c>
      <c r="S91" s="188">
        <f t="shared" si="80"/>
        <v>5.3600000000000002E-3</v>
      </c>
      <c r="U91" s="184">
        <f t="shared" ca="1" si="67"/>
        <v>2105</v>
      </c>
      <c r="V91" s="182">
        <f t="shared" si="50"/>
        <v>0.02</v>
      </c>
      <c r="W91" s="180">
        <f>Parameters!$D$15</f>
        <v>5.0000000000000001E-3</v>
      </c>
      <c r="X91" s="182">
        <f t="shared" si="51"/>
        <v>2.5000000000000001E-2</v>
      </c>
      <c r="Y91" s="182">
        <f t="shared" si="68"/>
        <v>8.4275100221912886</v>
      </c>
      <c r="AA91" s="189"/>
      <c r="AB91" s="184">
        <f t="shared" ca="1" si="69"/>
        <v>2105</v>
      </c>
      <c r="AC91" s="171">
        <f t="shared" si="52"/>
        <v>0</v>
      </c>
      <c r="AD91" s="171">
        <f t="shared" si="47"/>
        <v>0</v>
      </c>
      <c r="AE91" s="171">
        <f t="shared" si="79"/>
        <v>3801.8956179084457</v>
      </c>
      <c r="AF91" s="171">
        <f t="shared" si="70"/>
        <v>0</v>
      </c>
      <c r="AG91" s="171">
        <f t="shared" si="81"/>
        <v>0</v>
      </c>
      <c r="AH91" s="171">
        <f t="shared" si="53"/>
        <v>0</v>
      </c>
      <c r="AI91" s="171">
        <f t="shared" si="54"/>
        <v>0</v>
      </c>
      <c r="AJ91" s="171">
        <f>IF('Invoer gegevens'!$I$27="DAEB",SMALL(AC91:AD91,1),AC91)</f>
        <v>0</v>
      </c>
      <c r="AK91" s="171">
        <f>IF('Invoer gegevens'!$I$27="DAEB",SMALL((AE91:AH91),1),SMALL((AF91:AH91),1))</f>
        <v>0</v>
      </c>
      <c r="AL91" s="171">
        <f t="shared" si="76"/>
        <v>0</v>
      </c>
      <c r="AM91" s="171">
        <f t="shared" si="77"/>
        <v>0</v>
      </c>
      <c r="AN91" s="175">
        <f t="shared" si="72"/>
        <v>0</v>
      </c>
      <c r="AP91" s="184">
        <f t="shared" ca="1" si="73"/>
        <v>2105</v>
      </c>
      <c r="AQ91" s="185">
        <f t="shared" si="55"/>
        <v>0.02</v>
      </c>
      <c r="AR91" s="182">
        <f t="shared" si="45"/>
        <v>5.5152928034413611</v>
      </c>
      <c r="AU91" s="184">
        <f t="shared" ca="1" si="74"/>
        <v>2105</v>
      </c>
      <c r="AV91" s="182">
        <f t="shared" si="56"/>
        <v>0.02</v>
      </c>
      <c r="AW91" s="179">
        <f t="shared" si="57"/>
        <v>5.0000000000000001E-3</v>
      </c>
      <c r="AX91" s="182">
        <f t="shared" si="58"/>
        <v>2.5000000000000001E-2</v>
      </c>
      <c r="AY91" s="186"/>
      <c r="AZ91" s="190"/>
      <c r="BA91" s="184">
        <f t="shared" ca="1" si="75"/>
        <v>2105</v>
      </c>
      <c r="BB91" s="171">
        <f t="shared" si="59"/>
        <v>0</v>
      </c>
      <c r="BC91" s="171">
        <f t="shared" si="48"/>
        <v>3801.8956179084457</v>
      </c>
      <c r="BD91" s="171">
        <f t="shared" si="46"/>
        <v>0</v>
      </c>
      <c r="BE91" s="171">
        <f t="shared" si="43"/>
        <v>0</v>
      </c>
      <c r="BF91" s="171">
        <f t="shared" si="43"/>
        <v>0</v>
      </c>
      <c r="BG91" s="171">
        <f t="shared" si="43"/>
        <v>0</v>
      </c>
      <c r="BI91" s="187">
        <f>IF(A91-'Invoer gegevens'!$C$17&lt;0,0,IF(A91-'Invoer gegevens'!$C$17=0,1,IF(A91-'Invoer gegevens'!$C$17&lt;5,2,IF(A91-'Invoer gegevens'!$C$17&lt;15,3,4))))</f>
        <v>0</v>
      </c>
      <c r="BJ91" s="229">
        <f>IF(BI91&lt;1,0,IF(BI91&lt;2,4%,IF('Reeksen (N)'!BI91&lt;3,4%,IF('Reeksen (N)'!BI91&lt;4,4%*70%,IF('Reeksen (N)'!BI91&lt;5,4%*50%)))))</f>
        <v>0</v>
      </c>
    </row>
    <row r="92" spans="1:62" x14ac:dyDescent="0.25">
      <c r="A92" s="184">
        <f t="shared" si="60"/>
        <v>87</v>
      </c>
      <c r="B92" s="179">
        <f>Dashboard!$D$25</f>
        <v>0</v>
      </c>
      <c r="C92" s="179">
        <f>Dashboard!$D$25</f>
        <v>0</v>
      </c>
      <c r="D92" s="180">
        <f t="shared" si="49"/>
        <v>0</v>
      </c>
      <c r="E92" s="189"/>
      <c r="F92" s="184">
        <f t="shared" ca="1" si="61"/>
        <v>2106</v>
      </c>
      <c r="G92" s="179">
        <f t="shared" si="82"/>
        <v>0.02</v>
      </c>
      <c r="H92" s="182">
        <f t="shared" si="62"/>
        <v>5.631064748506402</v>
      </c>
      <c r="I92" s="179">
        <f t="shared" si="83"/>
        <v>2.5000000000000001E-2</v>
      </c>
      <c r="J92" s="182">
        <f t="shared" si="63"/>
        <v>8.6296914213251839</v>
      </c>
      <c r="K92" s="179">
        <f t="shared" si="84"/>
        <v>2.5000000000000001E-2</v>
      </c>
      <c r="L92" s="182">
        <f t="shared" si="64"/>
        <v>8.6296914213251839</v>
      </c>
      <c r="M92" s="189"/>
      <c r="N92" s="184">
        <f t="shared" ca="1" si="65"/>
        <v>2106</v>
      </c>
      <c r="O92" s="179">
        <f t="shared" si="78"/>
        <v>0.02</v>
      </c>
      <c r="P92" s="182">
        <f t="shared" si="44"/>
        <v>5.6255986595101888</v>
      </c>
      <c r="R92" s="184">
        <f t="shared" ca="1" si="66"/>
        <v>2106</v>
      </c>
      <c r="S92" s="188">
        <f t="shared" si="80"/>
        <v>5.3600000000000002E-3</v>
      </c>
      <c r="U92" s="184">
        <f t="shared" ca="1" si="67"/>
        <v>2106</v>
      </c>
      <c r="V92" s="182">
        <f t="shared" si="50"/>
        <v>0.02</v>
      </c>
      <c r="W92" s="180">
        <f>Parameters!$D$15</f>
        <v>5.0000000000000001E-3</v>
      </c>
      <c r="X92" s="182">
        <f t="shared" si="51"/>
        <v>2.5000000000000001E-2</v>
      </c>
      <c r="Y92" s="182">
        <f t="shared" si="68"/>
        <v>8.6381977727460697</v>
      </c>
      <c r="AA92" s="189"/>
      <c r="AB92" s="184">
        <f t="shared" ca="1" si="69"/>
        <v>2106</v>
      </c>
      <c r="AC92" s="171">
        <f t="shared" si="52"/>
        <v>0</v>
      </c>
      <c r="AD92" s="171">
        <f t="shared" si="47"/>
        <v>0</v>
      </c>
      <c r="AE92" s="171">
        <f t="shared" si="79"/>
        <v>3877.9335302666145</v>
      </c>
      <c r="AF92" s="171">
        <f t="shared" si="70"/>
        <v>0</v>
      </c>
      <c r="AG92" s="171">
        <f t="shared" si="81"/>
        <v>0</v>
      </c>
      <c r="AH92" s="171">
        <f t="shared" si="53"/>
        <v>0</v>
      </c>
      <c r="AI92" s="171">
        <f t="shared" si="54"/>
        <v>0</v>
      </c>
      <c r="AJ92" s="171">
        <f>IF('Invoer gegevens'!$I$27="DAEB",SMALL(AC92:AD92,1),AC92)</f>
        <v>0</v>
      </c>
      <c r="AK92" s="171">
        <f>IF('Invoer gegevens'!$I$27="DAEB",SMALL((AE92:AH92),1),SMALL((AF92:AH92),1))</f>
        <v>0</v>
      </c>
      <c r="AL92" s="171">
        <f t="shared" si="76"/>
        <v>0</v>
      </c>
      <c r="AM92" s="171">
        <f t="shared" si="77"/>
        <v>0</v>
      </c>
      <c r="AN92" s="175">
        <f t="shared" si="72"/>
        <v>0</v>
      </c>
      <c r="AP92" s="184">
        <f t="shared" ca="1" si="73"/>
        <v>2106</v>
      </c>
      <c r="AQ92" s="185">
        <f t="shared" si="55"/>
        <v>0.02</v>
      </c>
      <c r="AR92" s="182">
        <f t="shared" si="45"/>
        <v>5.6255986595101888</v>
      </c>
      <c r="AU92" s="184">
        <f t="shared" ca="1" si="74"/>
        <v>2106</v>
      </c>
      <c r="AV92" s="182">
        <f t="shared" si="56"/>
        <v>0.02</v>
      </c>
      <c r="AW92" s="179">
        <f t="shared" si="57"/>
        <v>5.0000000000000001E-3</v>
      </c>
      <c r="AX92" s="182">
        <f t="shared" si="58"/>
        <v>2.5000000000000001E-2</v>
      </c>
      <c r="AY92" s="186"/>
      <c r="AZ92" s="190"/>
      <c r="BA92" s="184">
        <f t="shared" ca="1" si="75"/>
        <v>2106</v>
      </c>
      <c r="BB92" s="171">
        <f t="shared" si="59"/>
        <v>0</v>
      </c>
      <c r="BC92" s="171">
        <f t="shared" si="48"/>
        <v>3877.9335302666145</v>
      </c>
      <c r="BD92" s="171">
        <f t="shared" si="46"/>
        <v>0</v>
      </c>
      <c r="BE92" s="171">
        <f t="shared" si="43"/>
        <v>0</v>
      </c>
      <c r="BF92" s="171">
        <f t="shared" si="43"/>
        <v>0</v>
      </c>
      <c r="BG92" s="171">
        <f t="shared" si="43"/>
        <v>0</v>
      </c>
      <c r="BI92" s="187">
        <f>IF(A92-'Invoer gegevens'!$C$17&lt;0,0,IF(A92-'Invoer gegevens'!$C$17=0,1,IF(A92-'Invoer gegevens'!$C$17&lt;5,2,IF(A92-'Invoer gegevens'!$C$17&lt;15,3,4))))</f>
        <v>0</v>
      </c>
      <c r="BJ92" s="229">
        <f>IF(BI92&lt;1,0,IF(BI92&lt;2,4%,IF('Reeksen (N)'!BI92&lt;3,4%,IF('Reeksen (N)'!BI92&lt;4,4%*70%,IF('Reeksen (N)'!BI92&lt;5,4%*50%)))))</f>
        <v>0</v>
      </c>
    </row>
    <row r="93" spans="1:62" x14ac:dyDescent="0.25">
      <c r="A93" s="184">
        <f t="shared" si="60"/>
        <v>88</v>
      </c>
      <c r="B93" s="179">
        <f>Dashboard!$D$25</f>
        <v>0</v>
      </c>
      <c r="C93" s="179">
        <f>Dashboard!$D$25</f>
        <v>0</v>
      </c>
      <c r="D93" s="180">
        <f t="shared" si="49"/>
        <v>0</v>
      </c>
      <c r="E93" s="189"/>
      <c r="F93" s="184">
        <f t="shared" ca="1" si="61"/>
        <v>2107</v>
      </c>
      <c r="G93" s="179">
        <f t="shared" si="82"/>
        <v>0.02</v>
      </c>
      <c r="H93" s="182">
        <f t="shared" si="62"/>
        <v>5.7436860434765302</v>
      </c>
      <c r="I93" s="179">
        <f t="shared" si="83"/>
        <v>2.5000000000000001E-2</v>
      </c>
      <c r="J93" s="182">
        <f t="shared" si="63"/>
        <v>8.8454337068583122</v>
      </c>
      <c r="K93" s="179">
        <f t="shared" si="84"/>
        <v>2.5000000000000001E-2</v>
      </c>
      <c r="L93" s="182">
        <f t="shared" si="64"/>
        <v>8.8454337068583122</v>
      </c>
      <c r="M93" s="189"/>
      <c r="N93" s="184">
        <f t="shared" ca="1" si="65"/>
        <v>2107</v>
      </c>
      <c r="O93" s="179">
        <f t="shared" si="78"/>
        <v>0.02</v>
      </c>
      <c r="P93" s="182">
        <f t="shared" si="44"/>
        <v>5.7381106327003923</v>
      </c>
      <c r="R93" s="184">
        <f t="shared" ca="1" si="66"/>
        <v>2107</v>
      </c>
      <c r="S93" s="188">
        <f t="shared" si="80"/>
        <v>5.3600000000000002E-3</v>
      </c>
      <c r="U93" s="184">
        <f t="shared" ca="1" si="67"/>
        <v>2107</v>
      </c>
      <c r="V93" s="182">
        <f t="shared" si="50"/>
        <v>0.02</v>
      </c>
      <c r="W93" s="180">
        <f>Parameters!$D$15</f>
        <v>5.0000000000000001E-3</v>
      </c>
      <c r="X93" s="182">
        <f t="shared" si="51"/>
        <v>2.5000000000000001E-2</v>
      </c>
      <c r="Y93" s="182">
        <f t="shared" si="68"/>
        <v>8.8541527170647214</v>
      </c>
      <c r="AA93" s="189"/>
      <c r="AB93" s="184">
        <f t="shared" ca="1" si="69"/>
        <v>2107</v>
      </c>
      <c r="AC93" s="171">
        <f t="shared" si="52"/>
        <v>0</v>
      </c>
      <c r="AD93" s="171">
        <f t="shared" si="47"/>
        <v>0</v>
      </c>
      <c r="AE93" s="171">
        <f t="shared" si="79"/>
        <v>3955.4922008719468</v>
      </c>
      <c r="AF93" s="171">
        <f t="shared" si="70"/>
        <v>0</v>
      </c>
      <c r="AG93" s="171">
        <f t="shared" si="81"/>
        <v>0</v>
      </c>
      <c r="AH93" s="171">
        <f t="shared" si="53"/>
        <v>0</v>
      </c>
      <c r="AI93" s="171">
        <f t="shared" si="54"/>
        <v>0</v>
      </c>
      <c r="AJ93" s="171">
        <f>IF('Invoer gegevens'!$I$27="DAEB",SMALL(AC93:AD93,1),AC93)</f>
        <v>0</v>
      </c>
      <c r="AK93" s="171">
        <f>IF('Invoer gegevens'!$I$27="DAEB",SMALL((AE93:AH93),1),SMALL((AF93:AH93),1))</f>
        <v>0</v>
      </c>
      <c r="AL93" s="171">
        <f t="shared" si="76"/>
        <v>0</v>
      </c>
      <c r="AM93" s="171">
        <f t="shared" si="77"/>
        <v>0</v>
      </c>
      <c r="AN93" s="175">
        <f t="shared" si="72"/>
        <v>0</v>
      </c>
      <c r="AP93" s="184">
        <f t="shared" ca="1" si="73"/>
        <v>2107</v>
      </c>
      <c r="AQ93" s="185">
        <f t="shared" si="55"/>
        <v>0.02</v>
      </c>
      <c r="AR93" s="182">
        <f t="shared" si="45"/>
        <v>5.7381106327003923</v>
      </c>
      <c r="AU93" s="184">
        <f t="shared" ca="1" si="74"/>
        <v>2107</v>
      </c>
      <c r="AV93" s="182">
        <f t="shared" si="56"/>
        <v>0.02</v>
      </c>
      <c r="AW93" s="179">
        <f t="shared" si="57"/>
        <v>5.0000000000000001E-3</v>
      </c>
      <c r="AX93" s="182">
        <f t="shared" si="58"/>
        <v>2.5000000000000001E-2</v>
      </c>
      <c r="AY93" s="186"/>
      <c r="AZ93" s="190"/>
      <c r="BA93" s="184">
        <f t="shared" ca="1" si="75"/>
        <v>2107</v>
      </c>
      <c r="BB93" s="171">
        <f t="shared" si="59"/>
        <v>0</v>
      </c>
      <c r="BC93" s="171">
        <f t="shared" si="48"/>
        <v>3955.4922008719468</v>
      </c>
      <c r="BD93" s="171">
        <f t="shared" si="46"/>
        <v>0</v>
      </c>
      <c r="BE93" s="171">
        <f t="shared" si="43"/>
        <v>0</v>
      </c>
      <c r="BF93" s="171">
        <f t="shared" si="43"/>
        <v>0</v>
      </c>
      <c r="BG93" s="171">
        <f t="shared" si="43"/>
        <v>0</v>
      </c>
      <c r="BI93" s="187">
        <f>IF(A93-'Invoer gegevens'!$C$17&lt;0,0,IF(A93-'Invoer gegevens'!$C$17=0,1,IF(A93-'Invoer gegevens'!$C$17&lt;5,2,IF(A93-'Invoer gegevens'!$C$17&lt;15,3,4))))</f>
        <v>0</v>
      </c>
      <c r="BJ93" s="229">
        <f>IF(BI93&lt;1,0,IF(BI93&lt;2,4%,IF('Reeksen (N)'!BI93&lt;3,4%,IF('Reeksen (N)'!BI93&lt;4,4%*70%,IF('Reeksen (N)'!BI93&lt;5,4%*50%)))))</f>
        <v>0</v>
      </c>
    </row>
    <row r="94" spans="1:62" x14ac:dyDescent="0.25">
      <c r="A94" s="184">
        <f t="shared" si="60"/>
        <v>89</v>
      </c>
      <c r="B94" s="179">
        <f>Dashboard!$D$25</f>
        <v>0</v>
      </c>
      <c r="C94" s="179">
        <f>Dashboard!$D$25</f>
        <v>0</v>
      </c>
      <c r="D94" s="180">
        <f t="shared" si="49"/>
        <v>0</v>
      </c>
      <c r="E94" s="189"/>
      <c r="F94" s="184">
        <f t="shared" ca="1" si="61"/>
        <v>2108</v>
      </c>
      <c r="G94" s="179">
        <f t="shared" si="82"/>
        <v>0.02</v>
      </c>
      <c r="H94" s="182">
        <f t="shared" si="62"/>
        <v>5.8585597643460607</v>
      </c>
      <c r="I94" s="179">
        <f t="shared" si="83"/>
        <v>2.5000000000000001E-2</v>
      </c>
      <c r="J94" s="182">
        <f t="shared" si="63"/>
        <v>9.0665695495297687</v>
      </c>
      <c r="K94" s="179">
        <f t="shared" si="84"/>
        <v>2.5000000000000001E-2</v>
      </c>
      <c r="L94" s="182">
        <f t="shared" si="64"/>
        <v>9.0665695495297687</v>
      </c>
      <c r="M94" s="189"/>
      <c r="N94" s="184">
        <f t="shared" ca="1" si="65"/>
        <v>2108</v>
      </c>
      <c r="O94" s="179">
        <f t="shared" si="78"/>
        <v>0.02</v>
      </c>
      <c r="P94" s="182">
        <f t="shared" si="44"/>
        <v>5.8528728453544003</v>
      </c>
      <c r="R94" s="184">
        <f t="shared" ca="1" si="66"/>
        <v>2108</v>
      </c>
      <c r="S94" s="188">
        <f t="shared" si="80"/>
        <v>5.3600000000000002E-3</v>
      </c>
      <c r="U94" s="184">
        <f t="shared" ca="1" si="67"/>
        <v>2108</v>
      </c>
      <c r="V94" s="182">
        <f t="shared" si="50"/>
        <v>0.02</v>
      </c>
      <c r="W94" s="180">
        <f>Parameters!$D$15</f>
        <v>5.0000000000000001E-3</v>
      </c>
      <c r="X94" s="182">
        <f t="shared" si="51"/>
        <v>2.5000000000000001E-2</v>
      </c>
      <c r="Y94" s="182">
        <f t="shared" si="68"/>
        <v>9.0755065349913391</v>
      </c>
      <c r="AA94" s="189"/>
      <c r="AB94" s="184">
        <f t="shared" ca="1" si="69"/>
        <v>2108</v>
      </c>
      <c r="AC94" s="171">
        <f t="shared" si="52"/>
        <v>0</v>
      </c>
      <c r="AD94" s="171">
        <f t="shared" si="47"/>
        <v>0</v>
      </c>
      <c r="AE94" s="171">
        <f t="shared" si="79"/>
        <v>4034.602044889386</v>
      </c>
      <c r="AF94" s="171">
        <f t="shared" si="70"/>
        <v>0</v>
      </c>
      <c r="AG94" s="171">
        <f t="shared" si="81"/>
        <v>0</v>
      </c>
      <c r="AH94" s="171">
        <f t="shared" si="53"/>
        <v>0</v>
      </c>
      <c r="AI94" s="171">
        <f t="shared" si="54"/>
        <v>0</v>
      </c>
      <c r="AJ94" s="171">
        <f>IF('Invoer gegevens'!$I$27="DAEB",SMALL(AC94:AD94,1),AC94)</f>
        <v>0</v>
      </c>
      <c r="AK94" s="171">
        <f>IF('Invoer gegevens'!$I$27="DAEB",SMALL((AE94:AH94),1),SMALL((AF94:AH94),1))</f>
        <v>0</v>
      </c>
      <c r="AL94" s="171">
        <f t="shared" si="76"/>
        <v>0</v>
      </c>
      <c r="AM94" s="171">
        <f t="shared" si="77"/>
        <v>0</v>
      </c>
      <c r="AN94" s="175">
        <f t="shared" si="72"/>
        <v>0</v>
      </c>
      <c r="AP94" s="184">
        <f t="shared" ca="1" si="73"/>
        <v>2108</v>
      </c>
      <c r="AQ94" s="185">
        <f t="shared" si="55"/>
        <v>0.02</v>
      </c>
      <c r="AR94" s="182">
        <f t="shared" si="45"/>
        <v>5.8528728453544003</v>
      </c>
      <c r="AU94" s="184">
        <f t="shared" ca="1" si="74"/>
        <v>2108</v>
      </c>
      <c r="AV94" s="182">
        <f t="shared" si="56"/>
        <v>0.02</v>
      </c>
      <c r="AW94" s="179">
        <f t="shared" si="57"/>
        <v>5.0000000000000001E-3</v>
      </c>
      <c r="AX94" s="182">
        <f t="shared" si="58"/>
        <v>2.5000000000000001E-2</v>
      </c>
      <c r="AY94" s="186"/>
      <c r="AZ94" s="190"/>
      <c r="BA94" s="184">
        <f t="shared" ca="1" si="75"/>
        <v>2108</v>
      </c>
      <c r="BB94" s="171">
        <f t="shared" si="59"/>
        <v>0</v>
      </c>
      <c r="BC94" s="171">
        <f t="shared" si="48"/>
        <v>4034.602044889386</v>
      </c>
      <c r="BD94" s="171">
        <f t="shared" si="46"/>
        <v>0</v>
      </c>
      <c r="BE94" s="171">
        <f t="shared" si="43"/>
        <v>0</v>
      </c>
      <c r="BF94" s="171">
        <f t="shared" si="43"/>
        <v>0</v>
      </c>
      <c r="BG94" s="171">
        <f t="shared" si="43"/>
        <v>0</v>
      </c>
      <c r="BI94" s="187">
        <f>IF(A94-'Invoer gegevens'!$C$17&lt;0,0,IF(A94-'Invoer gegevens'!$C$17=0,1,IF(A94-'Invoer gegevens'!$C$17&lt;5,2,IF(A94-'Invoer gegevens'!$C$17&lt;15,3,4))))</f>
        <v>0</v>
      </c>
      <c r="BJ94" s="229">
        <f>IF(BI94&lt;1,0,IF(BI94&lt;2,4%,IF('Reeksen (N)'!BI94&lt;3,4%,IF('Reeksen (N)'!BI94&lt;4,4%*70%,IF('Reeksen (N)'!BI94&lt;5,4%*50%)))))</f>
        <v>0</v>
      </c>
    </row>
    <row r="95" spans="1:62" x14ac:dyDescent="0.25">
      <c r="A95" s="184">
        <f t="shared" si="60"/>
        <v>90</v>
      </c>
      <c r="B95" s="179">
        <f>Dashboard!$D$25</f>
        <v>0</v>
      </c>
      <c r="C95" s="179">
        <f>Dashboard!$D$25</f>
        <v>0</v>
      </c>
      <c r="D95" s="180">
        <f t="shared" si="49"/>
        <v>0</v>
      </c>
      <c r="E95" s="189"/>
      <c r="F95" s="184">
        <f t="shared" ca="1" si="61"/>
        <v>2109</v>
      </c>
      <c r="G95" s="179">
        <f t="shared" si="82"/>
        <v>0.02</v>
      </c>
      <c r="H95" s="182">
        <f t="shared" si="62"/>
        <v>5.9757309596329824</v>
      </c>
      <c r="I95" s="179">
        <f t="shared" si="83"/>
        <v>2.5000000000000001E-2</v>
      </c>
      <c r="J95" s="182">
        <f t="shared" si="63"/>
        <v>9.2932337882680116</v>
      </c>
      <c r="K95" s="179">
        <f t="shared" si="84"/>
        <v>2.5000000000000001E-2</v>
      </c>
      <c r="L95" s="182">
        <f t="shared" si="64"/>
        <v>9.2932337882680116</v>
      </c>
      <c r="M95" s="189"/>
      <c r="N95" s="184">
        <f t="shared" ca="1" si="65"/>
        <v>2109</v>
      </c>
      <c r="O95" s="179">
        <f t="shared" si="78"/>
        <v>0.02</v>
      </c>
      <c r="P95" s="182">
        <f t="shared" si="44"/>
        <v>5.9699303022614885</v>
      </c>
      <c r="R95" s="184">
        <f t="shared" ca="1" si="66"/>
        <v>2109</v>
      </c>
      <c r="S95" s="188">
        <f t="shared" si="80"/>
        <v>5.3600000000000002E-3</v>
      </c>
      <c r="U95" s="184">
        <f t="shared" ca="1" si="67"/>
        <v>2109</v>
      </c>
      <c r="V95" s="182">
        <f t="shared" si="50"/>
        <v>0.02</v>
      </c>
      <c r="W95" s="180">
        <f>Parameters!$D$15</f>
        <v>5.0000000000000001E-3</v>
      </c>
      <c r="X95" s="182">
        <f t="shared" si="51"/>
        <v>2.5000000000000001E-2</v>
      </c>
      <c r="Y95" s="182">
        <f t="shared" si="68"/>
        <v>9.3023941983661214</v>
      </c>
      <c r="AA95" s="189"/>
      <c r="AB95" s="184">
        <f t="shared" ca="1" si="69"/>
        <v>2109</v>
      </c>
      <c r="AC95" s="171">
        <f t="shared" si="52"/>
        <v>0</v>
      </c>
      <c r="AD95" s="171">
        <f t="shared" si="47"/>
        <v>0</v>
      </c>
      <c r="AE95" s="171">
        <f t="shared" si="79"/>
        <v>4115.2940857871736</v>
      </c>
      <c r="AF95" s="171">
        <f t="shared" si="70"/>
        <v>0</v>
      </c>
      <c r="AG95" s="171">
        <f t="shared" si="81"/>
        <v>0</v>
      </c>
      <c r="AH95" s="171">
        <f t="shared" si="53"/>
        <v>0</v>
      </c>
      <c r="AI95" s="171">
        <f t="shared" si="54"/>
        <v>0</v>
      </c>
      <c r="AJ95" s="171">
        <f>IF('Invoer gegevens'!$I$27="DAEB",SMALL(AC95:AD95,1),AC95)</f>
        <v>0</v>
      </c>
      <c r="AK95" s="171">
        <f>IF('Invoer gegevens'!$I$27="DAEB",SMALL((AE95:AH95),1),SMALL((AF95:AH95),1))</f>
        <v>0</v>
      </c>
      <c r="AL95" s="171">
        <f t="shared" si="76"/>
        <v>0</v>
      </c>
      <c r="AM95" s="171">
        <f t="shared" si="77"/>
        <v>0</v>
      </c>
      <c r="AN95" s="175">
        <f t="shared" si="72"/>
        <v>0</v>
      </c>
      <c r="AP95" s="184">
        <f t="shared" ca="1" si="73"/>
        <v>2109</v>
      </c>
      <c r="AQ95" s="185">
        <f t="shared" si="55"/>
        <v>0.02</v>
      </c>
      <c r="AR95" s="182">
        <f t="shared" si="45"/>
        <v>5.9699303022614885</v>
      </c>
      <c r="AU95" s="184">
        <f t="shared" ca="1" si="74"/>
        <v>2109</v>
      </c>
      <c r="AV95" s="182">
        <f t="shared" si="56"/>
        <v>0.02</v>
      </c>
      <c r="AW95" s="179">
        <f t="shared" si="57"/>
        <v>5.0000000000000001E-3</v>
      </c>
      <c r="AX95" s="182">
        <f t="shared" si="58"/>
        <v>2.5000000000000001E-2</v>
      </c>
      <c r="AY95" s="186"/>
      <c r="AZ95" s="190"/>
      <c r="BA95" s="184">
        <f t="shared" ca="1" si="75"/>
        <v>2109</v>
      </c>
      <c r="BB95" s="171">
        <f t="shared" si="59"/>
        <v>0</v>
      </c>
      <c r="BC95" s="171">
        <f t="shared" si="48"/>
        <v>4115.2940857871736</v>
      </c>
      <c r="BD95" s="171">
        <f t="shared" si="46"/>
        <v>0</v>
      </c>
      <c r="BE95" s="171">
        <f t="shared" si="43"/>
        <v>0</v>
      </c>
      <c r="BF95" s="171">
        <f t="shared" si="43"/>
        <v>0</v>
      </c>
      <c r="BG95" s="171">
        <f t="shared" si="43"/>
        <v>0</v>
      </c>
      <c r="BI95" s="187">
        <f>IF(A95-'Invoer gegevens'!$C$17&lt;0,0,IF(A95-'Invoer gegevens'!$C$17=0,1,IF(A95-'Invoer gegevens'!$C$17&lt;5,2,IF(A95-'Invoer gegevens'!$C$17&lt;15,3,4))))</f>
        <v>0</v>
      </c>
      <c r="BJ95" s="229">
        <f>IF(BI95&lt;1,0,IF(BI95&lt;2,4%,IF('Reeksen (N)'!BI95&lt;3,4%,IF('Reeksen (N)'!BI95&lt;4,4%*70%,IF('Reeksen (N)'!BI95&lt;5,4%*50%)))))</f>
        <v>0</v>
      </c>
    </row>
    <row r="96" spans="1:62" x14ac:dyDescent="0.25">
      <c r="A96" s="184">
        <f t="shared" si="60"/>
        <v>91</v>
      </c>
      <c r="B96" s="179">
        <f>Dashboard!$D$25</f>
        <v>0</v>
      </c>
      <c r="C96" s="179">
        <f>Dashboard!$D$25</f>
        <v>0</v>
      </c>
      <c r="D96" s="180">
        <f t="shared" si="49"/>
        <v>0</v>
      </c>
      <c r="E96" s="189"/>
      <c r="F96" s="184">
        <f t="shared" ca="1" si="61"/>
        <v>2110</v>
      </c>
      <c r="G96" s="179">
        <f t="shared" si="82"/>
        <v>0.02</v>
      </c>
      <c r="H96" s="182">
        <f t="shared" si="62"/>
        <v>6.0952455788256419</v>
      </c>
      <c r="I96" s="179">
        <f t="shared" si="83"/>
        <v>2.5000000000000001E-2</v>
      </c>
      <c r="J96" s="182">
        <f t="shared" si="63"/>
        <v>9.5255646329747119</v>
      </c>
      <c r="K96" s="179">
        <f t="shared" si="84"/>
        <v>2.5000000000000001E-2</v>
      </c>
      <c r="L96" s="182">
        <f t="shared" si="64"/>
        <v>9.5255646329747119</v>
      </c>
      <c r="M96" s="189"/>
      <c r="N96" s="184">
        <f t="shared" ca="1" si="65"/>
        <v>2110</v>
      </c>
      <c r="O96" s="179">
        <f t="shared" si="78"/>
        <v>0.02</v>
      </c>
      <c r="P96" s="182">
        <f t="shared" si="44"/>
        <v>6.0893289083067179</v>
      </c>
      <c r="R96" s="184">
        <f t="shared" ca="1" si="66"/>
        <v>2110</v>
      </c>
      <c r="S96" s="188">
        <f t="shared" si="80"/>
        <v>5.3600000000000002E-3</v>
      </c>
      <c r="U96" s="184">
        <f t="shared" ca="1" si="67"/>
        <v>2110</v>
      </c>
      <c r="V96" s="182">
        <f t="shared" si="50"/>
        <v>0.02</v>
      </c>
      <c r="W96" s="180">
        <f>Parameters!$D$15</f>
        <v>5.0000000000000001E-3</v>
      </c>
      <c r="X96" s="182">
        <f t="shared" si="51"/>
        <v>2.5000000000000001E-2</v>
      </c>
      <c r="Y96" s="182">
        <f t="shared" si="68"/>
        <v>9.5349540533252739</v>
      </c>
      <c r="AA96" s="189"/>
      <c r="AB96" s="184">
        <f t="shared" ca="1" si="69"/>
        <v>2110</v>
      </c>
      <c r="AC96" s="171">
        <f t="shared" si="52"/>
        <v>0</v>
      </c>
      <c r="AD96" s="171">
        <f t="shared" si="47"/>
        <v>0</v>
      </c>
      <c r="AE96" s="171">
        <f t="shared" si="79"/>
        <v>4197.599967502917</v>
      </c>
      <c r="AF96" s="171">
        <f t="shared" si="70"/>
        <v>0</v>
      </c>
      <c r="AG96" s="171">
        <f t="shared" si="81"/>
        <v>0</v>
      </c>
      <c r="AH96" s="171">
        <f t="shared" si="53"/>
        <v>0</v>
      </c>
      <c r="AI96" s="171">
        <f t="shared" si="54"/>
        <v>0</v>
      </c>
      <c r="AJ96" s="171">
        <f>IF('Invoer gegevens'!$I$27="DAEB",SMALL(AC96:AD96,1),AC96)</f>
        <v>0</v>
      </c>
      <c r="AK96" s="171">
        <f>IF('Invoer gegevens'!$I$27="DAEB",SMALL((AE96:AH96),1),SMALL((AF96:AH96),1))</f>
        <v>0</v>
      </c>
      <c r="AL96" s="171">
        <f t="shared" si="76"/>
        <v>0</v>
      </c>
      <c r="AM96" s="171">
        <f t="shared" si="77"/>
        <v>0</v>
      </c>
      <c r="AN96" s="175">
        <f t="shared" si="72"/>
        <v>0</v>
      </c>
      <c r="AP96" s="184">
        <f t="shared" ca="1" si="73"/>
        <v>2110</v>
      </c>
      <c r="AQ96" s="185">
        <f t="shared" si="55"/>
        <v>0.02</v>
      </c>
      <c r="AR96" s="182">
        <f t="shared" si="45"/>
        <v>6.0893289083067179</v>
      </c>
      <c r="AU96" s="184">
        <f t="shared" ca="1" si="74"/>
        <v>2110</v>
      </c>
      <c r="AV96" s="182">
        <f t="shared" si="56"/>
        <v>0.02</v>
      </c>
      <c r="AW96" s="179">
        <f t="shared" si="57"/>
        <v>5.0000000000000001E-3</v>
      </c>
      <c r="AX96" s="182">
        <f t="shared" si="58"/>
        <v>2.5000000000000001E-2</v>
      </c>
      <c r="AY96" s="186"/>
      <c r="AZ96" s="190"/>
      <c r="BA96" s="184">
        <f t="shared" ca="1" si="75"/>
        <v>2110</v>
      </c>
      <c r="BB96" s="171">
        <f t="shared" si="59"/>
        <v>0</v>
      </c>
      <c r="BC96" s="171">
        <f t="shared" si="48"/>
        <v>4197.599967502917</v>
      </c>
      <c r="BD96" s="171">
        <f t="shared" si="46"/>
        <v>0</v>
      </c>
      <c r="BE96" s="171">
        <f t="shared" si="43"/>
        <v>0</v>
      </c>
      <c r="BF96" s="171">
        <f t="shared" si="43"/>
        <v>0</v>
      </c>
      <c r="BG96" s="171">
        <f t="shared" si="43"/>
        <v>0</v>
      </c>
      <c r="BI96" s="187">
        <f>IF(A96-'Invoer gegevens'!$C$17&lt;0,0,IF(A96-'Invoer gegevens'!$C$17=0,1,IF(A96-'Invoer gegevens'!$C$17&lt;5,2,IF(A96-'Invoer gegevens'!$C$17&lt;15,3,4))))</f>
        <v>0</v>
      </c>
      <c r="BJ96" s="229">
        <f>IF(BI96&lt;1,0,IF(BI96&lt;2,4%,IF('Reeksen (N)'!BI96&lt;3,4%,IF('Reeksen (N)'!BI96&lt;4,4%*70%,IF('Reeksen (N)'!BI96&lt;5,4%*50%)))))</f>
        <v>0</v>
      </c>
    </row>
    <row r="97" spans="1:62" x14ac:dyDescent="0.25">
      <c r="A97" s="184">
        <f t="shared" si="60"/>
        <v>92</v>
      </c>
      <c r="B97" s="179">
        <f>Dashboard!$D$25</f>
        <v>0</v>
      </c>
      <c r="C97" s="179">
        <f>Dashboard!$D$25</f>
        <v>0</v>
      </c>
      <c r="D97" s="180">
        <f t="shared" si="49"/>
        <v>0</v>
      </c>
      <c r="E97" s="189"/>
      <c r="F97" s="184">
        <f t="shared" ca="1" si="61"/>
        <v>2111</v>
      </c>
      <c r="G97" s="179">
        <f t="shared" si="82"/>
        <v>0.02</v>
      </c>
      <c r="H97" s="182">
        <f t="shared" si="62"/>
        <v>6.2171504904021546</v>
      </c>
      <c r="I97" s="179">
        <f t="shared" si="83"/>
        <v>2.5000000000000001E-2</v>
      </c>
      <c r="J97" s="182">
        <f t="shared" si="63"/>
        <v>9.7637037487990792</v>
      </c>
      <c r="K97" s="179">
        <f t="shared" si="84"/>
        <v>2.5000000000000001E-2</v>
      </c>
      <c r="L97" s="182">
        <f t="shared" si="64"/>
        <v>9.7637037487990792</v>
      </c>
      <c r="M97" s="189"/>
      <c r="N97" s="184">
        <f t="shared" ca="1" si="65"/>
        <v>2111</v>
      </c>
      <c r="O97" s="179">
        <f t="shared" si="78"/>
        <v>0.02</v>
      </c>
      <c r="P97" s="182">
        <f t="shared" si="44"/>
        <v>6.2111154864728526</v>
      </c>
      <c r="R97" s="184">
        <f t="shared" ca="1" si="66"/>
        <v>2111</v>
      </c>
      <c r="S97" s="188">
        <f t="shared" si="80"/>
        <v>5.3600000000000002E-3</v>
      </c>
      <c r="U97" s="184">
        <f t="shared" ca="1" si="67"/>
        <v>2111</v>
      </c>
      <c r="V97" s="182">
        <f t="shared" si="50"/>
        <v>0.02</v>
      </c>
      <c r="W97" s="180">
        <f>Parameters!$D$15</f>
        <v>5.0000000000000001E-3</v>
      </c>
      <c r="X97" s="182">
        <f t="shared" si="51"/>
        <v>2.5000000000000001E-2</v>
      </c>
      <c r="Y97" s="182">
        <f t="shared" si="68"/>
        <v>9.7733279046584052</v>
      </c>
      <c r="AA97" s="189"/>
      <c r="AB97" s="184">
        <f t="shared" ca="1" si="69"/>
        <v>2111</v>
      </c>
      <c r="AC97" s="171">
        <f t="shared" si="52"/>
        <v>0</v>
      </c>
      <c r="AD97" s="171">
        <f t="shared" si="47"/>
        <v>0</v>
      </c>
      <c r="AE97" s="171">
        <f t="shared" si="79"/>
        <v>4281.5519668529751</v>
      </c>
      <c r="AF97" s="171">
        <f t="shared" si="70"/>
        <v>0</v>
      </c>
      <c r="AG97" s="171">
        <f t="shared" si="81"/>
        <v>0</v>
      </c>
      <c r="AH97" s="171">
        <f t="shared" si="53"/>
        <v>0</v>
      </c>
      <c r="AI97" s="171">
        <f t="shared" si="54"/>
        <v>0</v>
      </c>
      <c r="AJ97" s="171">
        <f>IF('Invoer gegevens'!$I$27="DAEB",SMALL(AC97:AD97,1),AC97)</f>
        <v>0</v>
      </c>
      <c r="AK97" s="171">
        <f>IF('Invoer gegevens'!$I$27="DAEB",SMALL((AE97:AH97),1),SMALL((AF97:AH97),1))</f>
        <v>0</v>
      </c>
      <c r="AL97" s="171">
        <f t="shared" si="76"/>
        <v>0</v>
      </c>
      <c r="AM97" s="171">
        <f t="shared" si="77"/>
        <v>0</v>
      </c>
      <c r="AN97" s="175">
        <f t="shared" si="72"/>
        <v>0</v>
      </c>
      <c r="AP97" s="184">
        <f t="shared" ca="1" si="73"/>
        <v>2111</v>
      </c>
      <c r="AQ97" s="185">
        <f t="shared" si="55"/>
        <v>0.02</v>
      </c>
      <c r="AR97" s="182">
        <f t="shared" si="45"/>
        <v>6.2111154864728526</v>
      </c>
      <c r="AU97" s="184">
        <f t="shared" ca="1" si="74"/>
        <v>2111</v>
      </c>
      <c r="AV97" s="182">
        <f t="shared" si="56"/>
        <v>0.02</v>
      </c>
      <c r="AW97" s="179">
        <f t="shared" si="57"/>
        <v>5.0000000000000001E-3</v>
      </c>
      <c r="AX97" s="182">
        <f t="shared" si="58"/>
        <v>2.5000000000000001E-2</v>
      </c>
      <c r="AY97" s="186"/>
      <c r="AZ97" s="190"/>
      <c r="BA97" s="184">
        <f t="shared" ca="1" si="75"/>
        <v>2111</v>
      </c>
      <c r="BB97" s="171">
        <f t="shared" si="59"/>
        <v>0</v>
      </c>
      <c r="BC97" s="171">
        <f t="shared" si="48"/>
        <v>4281.5519668529751</v>
      </c>
      <c r="BD97" s="171">
        <f t="shared" si="46"/>
        <v>0</v>
      </c>
      <c r="BE97" s="171">
        <f>AI97</f>
        <v>0</v>
      </c>
      <c r="BF97" s="171">
        <f>AJ97</f>
        <v>0</v>
      </c>
      <c r="BG97" s="171">
        <f>AK97</f>
        <v>0</v>
      </c>
      <c r="BI97" s="187">
        <f>IF(A97-'Invoer gegevens'!$C$17&lt;0,0,IF(A97-'Invoer gegevens'!$C$17=0,1,IF(A97-'Invoer gegevens'!$C$17&lt;5,2,IF(A97-'Invoer gegevens'!$C$17&lt;15,3,4))))</f>
        <v>0</v>
      </c>
      <c r="BJ97" s="229">
        <f>IF(BI97&lt;1,0,IF(BI97&lt;2,4%,IF('Reeksen (N)'!BI97&lt;3,4%,IF('Reeksen (N)'!BI97&lt;4,4%*70%,IF('Reeksen (N)'!BI97&lt;5,4%*50%)))))</f>
        <v>0</v>
      </c>
    </row>
    <row r="98" spans="1:62" x14ac:dyDescent="0.25">
      <c r="A98" s="184">
        <f t="shared" si="60"/>
        <v>93</v>
      </c>
      <c r="B98" s="179">
        <f>Dashboard!$D$25</f>
        <v>0</v>
      </c>
      <c r="C98" s="179">
        <f>Dashboard!$D$25</f>
        <v>0</v>
      </c>
      <c r="D98" s="180">
        <f t="shared" si="49"/>
        <v>0</v>
      </c>
      <c r="E98" s="189"/>
      <c r="F98" s="184">
        <f t="shared" ca="1" si="61"/>
        <v>2112</v>
      </c>
      <c r="G98" s="179">
        <f t="shared" si="82"/>
        <v>0.02</v>
      </c>
      <c r="H98" s="182">
        <f t="shared" si="62"/>
        <v>6.3414935002101975</v>
      </c>
      <c r="I98" s="179">
        <f t="shared" si="83"/>
        <v>2.5000000000000001E-2</v>
      </c>
      <c r="J98" s="182">
        <f t="shared" si="63"/>
        <v>10.007796342519056</v>
      </c>
      <c r="K98" s="179">
        <f t="shared" si="84"/>
        <v>2.5000000000000001E-2</v>
      </c>
      <c r="L98" s="182">
        <f t="shared" si="64"/>
        <v>10.007796342519056</v>
      </c>
      <c r="M98" s="189"/>
      <c r="N98" s="184">
        <f t="shared" ca="1" si="65"/>
        <v>2112</v>
      </c>
      <c r="O98" s="179">
        <f t="shared" si="78"/>
        <v>0.02</v>
      </c>
      <c r="P98" s="182">
        <f t="shared" si="44"/>
        <v>6.3353377962023094</v>
      </c>
      <c r="R98" s="184">
        <f t="shared" ca="1" si="66"/>
        <v>2112</v>
      </c>
      <c r="S98" s="188">
        <f t="shared" si="80"/>
        <v>5.3600000000000002E-3</v>
      </c>
      <c r="U98" s="184">
        <f t="shared" ca="1" si="67"/>
        <v>2112</v>
      </c>
      <c r="V98" s="182">
        <f t="shared" si="50"/>
        <v>0.02</v>
      </c>
      <c r="W98" s="180">
        <f>Parameters!$D$15</f>
        <v>5.0000000000000001E-3</v>
      </c>
      <c r="X98" s="182">
        <f t="shared" si="51"/>
        <v>2.5000000000000001E-2</v>
      </c>
      <c r="Y98" s="182">
        <f t="shared" si="68"/>
        <v>10.017661102274865</v>
      </c>
      <c r="AA98" s="189"/>
      <c r="AB98" s="184">
        <f t="shared" ca="1" si="69"/>
        <v>2112</v>
      </c>
      <c r="AC98" s="171">
        <f t="shared" si="52"/>
        <v>0</v>
      </c>
      <c r="AD98" s="171">
        <f t="shared" si="47"/>
        <v>0</v>
      </c>
      <c r="AE98" s="171">
        <f t="shared" si="79"/>
        <v>4367.1830061900346</v>
      </c>
      <c r="AF98" s="171">
        <f t="shared" si="70"/>
        <v>0</v>
      </c>
      <c r="AG98" s="171">
        <f t="shared" si="81"/>
        <v>0</v>
      </c>
      <c r="AH98" s="171">
        <f t="shared" si="53"/>
        <v>0</v>
      </c>
      <c r="AI98" s="171">
        <f t="shared" si="54"/>
        <v>0</v>
      </c>
      <c r="AJ98" s="171">
        <f>IF('Invoer gegevens'!$I$27="DAEB",SMALL(AC98:AD98,1),AC98)</f>
        <v>0</v>
      </c>
      <c r="AK98" s="171">
        <f>IF('Invoer gegevens'!$I$27="DAEB",SMALL((AE98:AH98),1),SMALL((AF98:AH98),1))</f>
        <v>0</v>
      </c>
      <c r="AL98" s="171">
        <f t="shared" si="76"/>
        <v>0</v>
      </c>
      <c r="AM98" s="171">
        <f t="shared" si="77"/>
        <v>0</v>
      </c>
      <c r="AN98" s="175">
        <f t="shared" si="72"/>
        <v>0</v>
      </c>
      <c r="AP98" s="184">
        <f t="shared" ca="1" si="73"/>
        <v>2112</v>
      </c>
      <c r="AQ98" s="185">
        <f t="shared" si="55"/>
        <v>0.02</v>
      </c>
      <c r="AR98" s="182">
        <f t="shared" si="45"/>
        <v>6.3353377962023094</v>
      </c>
      <c r="AU98" s="184">
        <f t="shared" ca="1" si="74"/>
        <v>2112</v>
      </c>
      <c r="AV98" s="182">
        <f t="shared" si="56"/>
        <v>0.02</v>
      </c>
      <c r="AW98" s="179">
        <f t="shared" si="57"/>
        <v>5.0000000000000001E-3</v>
      </c>
      <c r="AX98" s="182">
        <f t="shared" si="58"/>
        <v>2.5000000000000001E-2</v>
      </c>
      <c r="AY98" s="186"/>
      <c r="AZ98" s="190"/>
      <c r="BA98" s="184">
        <f t="shared" ca="1" si="75"/>
        <v>2112</v>
      </c>
      <c r="BB98" s="171">
        <f t="shared" si="59"/>
        <v>0</v>
      </c>
      <c r="BC98" s="171">
        <f t="shared" si="48"/>
        <v>4367.1830061900346</v>
      </c>
      <c r="BD98" s="171">
        <f t="shared" ref="BD98:BG161" si="85">AH98</f>
        <v>0</v>
      </c>
      <c r="BE98" s="171">
        <f t="shared" si="85"/>
        <v>0</v>
      </c>
      <c r="BF98" s="171">
        <f t="shared" si="85"/>
        <v>0</v>
      </c>
      <c r="BG98" s="171">
        <f t="shared" si="85"/>
        <v>0</v>
      </c>
      <c r="BI98" s="187">
        <f>IF(A98-'Invoer gegevens'!$C$17&lt;0,0,IF(A98-'Invoer gegevens'!$C$17=0,1,IF(A98-'Invoer gegevens'!$C$17&lt;5,2,IF(A98-'Invoer gegevens'!$C$17&lt;15,3,4))))</f>
        <v>0</v>
      </c>
      <c r="BJ98" s="229">
        <f>IF(BI98&lt;1,0,IF(BI98&lt;2,4%,IF('Reeksen (N)'!BI98&lt;3,4%,IF('Reeksen (N)'!BI98&lt;4,4%*70%,IF('Reeksen (N)'!BI98&lt;5,4%*50%)))))</f>
        <v>0</v>
      </c>
    </row>
    <row r="99" spans="1:62" x14ac:dyDescent="0.25">
      <c r="A99" s="184">
        <f t="shared" si="60"/>
        <v>94</v>
      </c>
      <c r="B99" s="179">
        <f>Dashboard!$D$25</f>
        <v>0</v>
      </c>
      <c r="C99" s="179">
        <f>Dashboard!$D$25</f>
        <v>0</v>
      </c>
      <c r="D99" s="180">
        <f t="shared" si="49"/>
        <v>0</v>
      </c>
      <c r="E99" s="189"/>
      <c r="F99" s="184">
        <f t="shared" ca="1" si="61"/>
        <v>2113</v>
      </c>
      <c r="G99" s="179">
        <f t="shared" si="82"/>
        <v>0.02</v>
      </c>
      <c r="H99" s="182">
        <f t="shared" si="62"/>
        <v>6.4683233702144012</v>
      </c>
      <c r="I99" s="179">
        <f t="shared" si="83"/>
        <v>2.5000000000000001E-2</v>
      </c>
      <c r="J99" s="182">
        <f t="shared" si="63"/>
        <v>10.25799125108203</v>
      </c>
      <c r="K99" s="179">
        <f t="shared" si="84"/>
        <v>2.5000000000000001E-2</v>
      </c>
      <c r="L99" s="182">
        <f t="shared" si="64"/>
        <v>10.25799125108203</v>
      </c>
      <c r="M99" s="189"/>
      <c r="N99" s="184">
        <f t="shared" ca="1" si="65"/>
        <v>2113</v>
      </c>
      <c r="O99" s="179">
        <f t="shared" si="78"/>
        <v>0.02</v>
      </c>
      <c r="P99" s="182">
        <f t="shared" si="44"/>
        <v>6.4620445521263559</v>
      </c>
      <c r="R99" s="184">
        <f t="shared" ca="1" si="66"/>
        <v>2113</v>
      </c>
      <c r="S99" s="188">
        <f t="shared" si="80"/>
        <v>5.3600000000000002E-3</v>
      </c>
      <c r="U99" s="184">
        <f t="shared" ca="1" si="67"/>
        <v>2113</v>
      </c>
      <c r="V99" s="182">
        <f t="shared" si="50"/>
        <v>0.02</v>
      </c>
      <c r="W99" s="180">
        <f>Parameters!$D$15</f>
        <v>5.0000000000000001E-3</v>
      </c>
      <c r="X99" s="182">
        <f t="shared" si="51"/>
        <v>2.5000000000000001E-2</v>
      </c>
      <c r="Y99" s="182">
        <f t="shared" si="68"/>
        <v>10.268102629831736</v>
      </c>
      <c r="AA99" s="189"/>
      <c r="AB99" s="184">
        <f t="shared" ca="1" si="69"/>
        <v>2113</v>
      </c>
      <c r="AC99" s="171">
        <f t="shared" si="52"/>
        <v>0</v>
      </c>
      <c r="AD99" s="171">
        <f t="shared" si="47"/>
        <v>0</v>
      </c>
      <c r="AE99" s="171">
        <f t="shared" si="79"/>
        <v>4454.5266663138354</v>
      </c>
      <c r="AF99" s="171">
        <f t="shared" si="70"/>
        <v>0</v>
      </c>
      <c r="AG99" s="171">
        <f t="shared" si="81"/>
        <v>0</v>
      </c>
      <c r="AH99" s="171">
        <f t="shared" si="53"/>
        <v>0</v>
      </c>
      <c r="AI99" s="171">
        <f t="shared" si="54"/>
        <v>0</v>
      </c>
      <c r="AJ99" s="171">
        <f>IF('Invoer gegevens'!$I$27="DAEB",SMALL(AC99:AD99,1),AC99)</f>
        <v>0</v>
      </c>
      <c r="AK99" s="171">
        <f>IF('Invoer gegevens'!$I$27="DAEB",SMALL((AE99:AH99),1),SMALL((AF99:AH99),1))</f>
        <v>0</v>
      </c>
      <c r="AL99" s="171">
        <f t="shared" si="76"/>
        <v>0</v>
      </c>
      <c r="AM99" s="171">
        <f t="shared" si="77"/>
        <v>0</v>
      </c>
      <c r="AN99" s="175">
        <f t="shared" si="72"/>
        <v>0</v>
      </c>
      <c r="AP99" s="184">
        <f t="shared" ca="1" si="73"/>
        <v>2113</v>
      </c>
      <c r="AQ99" s="185">
        <f t="shared" si="55"/>
        <v>0.02</v>
      </c>
      <c r="AR99" s="182">
        <f t="shared" si="45"/>
        <v>6.4620445521263559</v>
      </c>
      <c r="AU99" s="184">
        <f t="shared" ca="1" si="74"/>
        <v>2113</v>
      </c>
      <c r="AV99" s="182">
        <f t="shared" si="56"/>
        <v>0.02</v>
      </c>
      <c r="AW99" s="179">
        <f t="shared" si="57"/>
        <v>5.0000000000000001E-3</v>
      </c>
      <c r="AX99" s="182">
        <f t="shared" si="58"/>
        <v>2.5000000000000001E-2</v>
      </c>
      <c r="AY99" s="186"/>
      <c r="AZ99" s="190"/>
      <c r="BA99" s="184">
        <f t="shared" ca="1" si="75"/>
        <v>2113</v>
      </c>
      <c r="BB99" s="171">
        <f t="shared" si="59"/>
        <v>0</v>
      </c>
      <c r="BC99" s="171">
        <f t="shared" si="48"/>
        <v>4454.5266663138354</v>
      </c>
      <c r="BD99" s="171">
        <f t="shared" si="85"/>
        <v>0</v>
      </c>
      <c r="BE99" s="171">
        <f t="shared" si="85"/>
        <v>0</v>
      </c>
      <c r="BF99" s="171">
        <f t="shared" si="85"/>
        <v>0</v>
      </c>
      <c r="BG99" s="171">
        <f t="shared" si="85"/>
        <v>0</v>
      </c>
      <c r="BI99" s="187">
        <f>IF(A99-'Invoer gegevens'!$C$17&lt;0,0,IF(A99-'Invoer gegevens'!$C$17=0,1,IF(A99-'Invoer gegevens'!$C$17&lt;5,2,IF(A99-'Invoer gegevens'!$C$17&lt;15,3,4))))</f>
        <v>0</v>
      </c>
      <c r="BJ99" s="229">
        <f>IF(BI99&lt;1,0,IF(BI99&lt;2,4%,IF('Reeksen (N)'!BI99&lt;3,4%,IF('Reeksen (N)'!BI99&lt;4,4%*70%,IF('Reeksen (N)'!BI99&lt;5,4%*50%)))))</f>
        <v>0</v>
      </c>
    </row>
    <row r="100" spans="1:62" x14ac:dyDescent="0.25">
      <c r="A100" s="184">
        <f t="shared" si="60"/>
        <v>95</v>
      </c>
      <c r="B100" s="179">
        <f>Dashboard!$D$25</f>
        <v>0</v>
      </c>
      <c r="C100" s="179">
        <f>Dashboard!$D$25</f>
        <v>0</v>
      </c>
      <c r="D100" s="180">
        <f t="shared" si="49"/>
        <v>0</v>
      </c>
      <c r="E100" s="189"/>
      <c r="F100" s="184">
        <f t="shared" ca="1" si="61"/>
        <v>2114</v>
      </c>
      <c r="G100" s="179">
        <f t="shared" si="82"/>
        <v>0.02</v>
      </c>
      <c r="H100" s="182">
        <f t="shared" si="62"/>
        <v>6.597689837618689</v>
      </c>
      <c r="I100" s="179">
        <f t="shared" si="83"/>
        <v>2.5000000000000001E-2</v>
      </c>
      <c r="J100" s="182">
        <f t="shared" si="63"/>
        <v>10.51444103235908</v>
      </c>
      <c r="K100" s="179">
        <f t="shared" si="84"/>
        <v>2.5000000000000001E-2</v>
      </c>
      <c r="L100" s="182">
        <f t="shared" si="64"/>
        <v>10.51444103235908</v>
      </c>
      <c r="M100" s="189"/>
      <c r="N100" s="184">
        <f t="shared" ca="1" si="65"/>
        <v>2114</v>
      </c>
      <c r="O100" s="179">
        <f t="shared" si="78"/>
        <v>0.02</v>
      </c>
      <c r="P100" s="182">
        <f t="shared" si="44"/>
        <v>6.591285443168883</v>
      </c>
      <c r="R100" s="184">
        <f t="shared" ca="1" si="66"/>
        <v>2114</v>
      </c>
      <c r="S100" s="188">
        <f t="shared" si="80"/>
        <v>5.3600000000000002E-3</v>
      </c>
      <c r="U100" s="184">
        <f t="shared" ca="1" si="67"/>
        <v>2114</v>
      </c>
      <c r="V100" s="182">
        <f t="shared" si="50"/>
        <v>0.02</v>
      </c>
      <c r="W100" s="180">
        <f>Parameters!$D$15</f>
        <v>5.0000000000000001E-3</v>
      </c>
      <c r="X100" s="182">
        <f t="shared" si="51"/>
        <v>2.5000000000000001E-2</v>
      </c>
      <c r="Y100" s="182">
        <f t="shared" si="68"/>
        <v>10.524805195577528</v>
      </c>
      <c r="AA100" s="189"/>
      <c r="AB100" s="184">
        <f t="shared" ca="1" si="69"/>
        <v>2114</v>
      </c>
      <c r="AC100" s="171">
        <f t="shared" si="52"/>
        <v>0</v>
      </c>
      <c r="AD100" s="171">
        <f t="shared" si="47"/>
        <v>0</v>
      </c>
      <c r="AE100" s="171">
        <f t="shared" si="79"/>
        <v>4543.6171996401126</v>
      </c>
      <c r="AF100" s="171">
        <f t="shared" si="70"/>
        <v>0</v>
      </c>
      <c r="AG100" s="171">
        <f t="shared" si="81"/>
        <v>0</v>
      </c>
      <c r="AH100" s="171">
        <f t="shared" si="53"/>
        <v>0</v>
      </c>
      <c r="AI100" s="171">
        <f t="shared" si="54"/>
        <v>0</v>
      </c>
      <c r="AJ100" s="171">
        <f>IF('Invoer gegevens'!$I$27="DAEB",SMALL(AC100:AD100,1),AC100)</f>
        <v>0</v>
      </c>
      <c r="AK100" s="171">
        <f>IF('Invoer gegevens'!$I$27="DAEB",SMALL((AE100:AH100),1),SMALL((AF100:AH100),1))</f>
        <v>0</v>
      </c>
      <c r="AL100" s="171">
        <f t="shared" si="76"/>
        <v>0</v>
      </c>
      <c r="AM100" s="171">
        <f t="shared" si="77"/>
        <v>0</v>
      </c>
      <c r="AN100" s="175">
        <f t="shared" si="72"/>
        <v>0</v>
      </c>
      <c r="AP100" s="184">
        <f t="shared" ca="1" si="73"/>
        <v>2114</v>
      </c>
      <c r="AQ100" s="185">
        <f t="shared" si="55"/>
        <v>0.02</v>
      </c>
      <c r="AR100" s="182">
        <f t="shared" si="45"/>
        <v>6.591285443168883</v>
      </c>
      <c r="AU100" s="184">
        <f t="shared" ca="1" si="74"/>
        <v>2114</v>
      </c>
      <c r="AV100" s="182">
        <f t="shared" si="56"/>
        <v>0.02</v>
      </c>
      <c r="AW100" s="179">
        <f t="shared" si="57"/>
        <v>5.0000000000000001E-3</v>
      </c>
      <c r="AX100" s="182">
        <f t="shared" si="58"/>
        <v>2.5000000000000001E-2</v>
      </c>
      <c r="AY100" s="186"/>
      <c r="AZ100" s="190"/>
      <c r="BA100" s="184">
        <f t="shared" ca="1" si="75"/>
        <v>2114</v>
      </c>
      <c r="BB100" s="171">
        <f t="shared" si="59"/>
        <v>0</v>
      </c>
      <c r="BC100" s="171">
        <f t="shared" si="48"/>
        <v>4543.6171996401126</v>
      </c>
      <c r="BD100" s="171">
        <f t="shared" si="85"/>
        <v>0</v>
      </c>
      <c r="BE100" s="171">
        <f t="shared" si="85"/>
        <v>0</v>
      </c>
      <c r="BF100" s="171">
        <f t="shared" si="85"/>
        <v>0</v>
      </c>
      <c r="BG100" s="171">
        <f t="shared" si="85"/>
        <v>0</v>
      </c>
      <c r="BI100" s="187">
        <f>IF(A100-'Invoer gegevens'!$C$17&lt;0,0,IF(A100-'Invoer gegevens'!$C$17=0,1,IF(A100-'Invoer gegevens'!$C$17&lt;5,2,IF(A100-'Invoer gegevens'!$C$17&lt;15,3,4))))</f>
        <v>0</v>
      </c>
      <c r="BJ100" s="229">
        <f>IF(BI100&lt;1,0,IF(BI100&lt;2,4%,IF('Reeksen (N)'!BI100&lt;3,4%,IF('Reeksen (N)'!BI100&lt;4,4%*70%,IF('Reeksen (N)'!BI100&lt;5,4%*50%)))))</f>
        <v>0</v>
      </c>
    </row>
    <row r="101" spans="1:62" x14ac:dyDescent="0.25">
      <c r="A101" s="184">
        <f t="shared" si="60"/>
        <v>96</v>
      </c>
      <c r="B101" s="179">
        <f>Dashboard!$D$25</f>
        <v>0</v>
      </c>
      <c r="C101" s="179">
        <f>Dashboard!$D$25</f>
        <v>0</v>
      </c>
      <c r="D101" s="180">
        <f t="shared" si="49"/>
        <v>0</v>
      </c>
      <c r="E101" s="189"/>
      <c r="F101" s="184">
        <f t="shared" ca="1" si="61"/>
        <v>2115</v>
      </c>
      <c r="G101" s="179">
        <f t="shared" si="82"/>
        <v>0.02</v>
      </c>
      <c r="H101" s="182">
        <f t="shared" si="62"/>
        <v>6.7296436343710626</v>
      </c>
      <c r="I101" s="179">
        <f t="shared" si="83"/>
        <v>2.5000000000000001E-2</v>
      </c>
      <c r="J101" s="182">
        <f t="shared" si="63"/>
        <v>10.777302058168056</v>
      </c>
      <c r="K101" s="179">
        <f t="shared" si="84"/>
        <v>2.5000000000000001E-2</v>
      </c>
      <c r="L101" s="182">
        <f t="shared" si="64"/>
        <v>10.777302058168056</v>
      </c>
      <c r="M101" s="189"/>
      <c r="N101" s="184">
        <f t="shared" ca="1" si="65"/>
        <v>2115</v>
      </c>
      <c r="O101" s="179">
        <f t="shared" si="78"/>
        <v>0.02</v>
      </c>
      <c r="P101" s="182">
        <f t="shared" si="44"/>
        <v>6.7231111520322608</v>
      </c>
      <c r="R101" s="184">
        <f t="shared" ca="1" si="66"/>
        <v>2115</v>
      </c>
      <c r="S101" s="188">
        <f t="shared" si="80"/>
        <v>5.3600000000000002E-3</v>
      </c>
      <c r="U101" s="184">
        <f t="shared" ca="1" si="67"/>
        <v>2115</v>
      </c>
      <c r="V101" s="182">
        <f t="shared" si="50"/>
        <v>0.02</v>
      </c>
      <c r="W101" s="180">
        <f>Parameters!$D$15</f>
        <v>5.0000000000000001E-3</v>
      </c>
      <c r="X101" s="182">
        <f t="shared" si="51"/>
        <v>2.5000000000000001E-2</v>
      </c>
      <c r="Y101" s="182">
        <f t="shared" si="68"/>
        <v>10.787925325466965</v>
      </c>
      <c r="AA101" s="189"/>
      <c r="AB101" s="184">
        <f t="shared" ca="1" si="69"/>
        <v>2115</v>
      </c>
      <c r="AC101" s="171">
        <f t="shared" si="52"/>
        <v>0</v>
      </c>
      <c r="AD101" s="171">
        <f t="shared" si="47"/>
        <v>0</v>
      </c>
      <c r="AE101" s="171">
        <f t="shared" si="79"/>
        <v>4634.4895436329152</v>
      </c>
      <c r="AF101" s="171">
        <f t="shared" si="70"/>
        <v>0</v>
      </c>
      <c r="AG101" s="171">
        <f t="shared" si="81"/>
        <v>0</v>
      </c>
      <c r="AH101" s="171">
        <f t="shared" si="53"/>
        <v>0</v>
      </c>
      <c r="AI101" s="171">
        <f t="shared" si="54"/>
        <v>0</v>
      </c>
      <c r="AJ101" s="171">
        <f>IF('Invoer gegevens'!$I$27="DAEB",SMALL(AC101:AD101,1),AC101)</f>
        <v>0</v>
      </c>
      <c r="AK101" s="171">
        <f>IF('Invoer gegevens'!$I$27="DAEB",SMALL((AE101:AH101),1),SMALL((AF101:AH101),1))</f>
        <v>0</v>
      </c>
      <c r="AL101" s="171">
        <f t="shared" si="76"/>
        <v>0</v>
      </c>
      <c r="AM101" s="171">
        <f t="shared" si="77"/>
        <v>0</v>
      </c>
      <c r="AN101" s="175">
        <f t="shared" si="72"/>
        <v>0</v>
      </c>
      <c r="AP101" s="184">
        <f t="shared" ca="1" si="73"/>
        <v>2115</v>
      </c>
      <c r="AQ101" s="185">
        <f t="shared" si="55"/>
        <v>0.02</v>
      </c>
      <c r="AR101" s="182">
        <f t="shared" si="45"/>
        <v>6.7231111520322608</v>
      </c>
      <c r="AU101" s="184">
        <f t="shared" ca="1" si="74"/>
        <v>2115</v>
      </c>
      <c r="AV101" s="182">
        <f t="shared" si="56"/>
        <v>0.02</v>
      </c>
      <c r="AW101" s="179">
        <f t="shared" si="57"/>
        <v>5.0000000000000001E-3</v>
      </c>
      <c r="AX101" s="182">
        <f t="shared" si="58"/>
        <v>2.5000000000000001E-2</v>
      </c>
      <c r="AY101" s="186"/>
      <c r="AZ101" s="190"/>
      <c r="BA101" s="184">
        <f t="shared" ca="1" si="75"/>
        <v>2115</v>
      </c>
      <c r="BB101" s="171">
        <f t="shared" si="59"/>
        <v>0</v>
      </c>
      <c r="BC101" s="171">
        <f t="shared" si="48"/>
        <v>4634.4895436329152</v>
      </c>
      <c r="BD101" s="171">
        <f t="shared" si="85"/>
        <v>0</v>
      </c>
      <c r="BE101" s="171">
        <f t="shared" si="85"/>
        <v>0</v>
      </c>
      <c r="BF101" s="171">
        <f t="shared" si="85"/>
        <v>0</v>
      </c>
      <c r="BG101" s="171">
        <f t="shared" si="85"/>
        <v>0</v>
      </c>
      <c r="BI101" s="187">
        <f>IF(A101-'Invoer gegevens'!$C$17&lt;0,0,IF(A101-'Invoer gegevens'!$C$17=0,1,IF(A101-'Invoer gegevens'!$C$17&lt;5,2,IF(A101-'Invoer gegevens'!$C$17&lt;15,3,4))))</f>
        <v>0</v>
      </c>
      <c r="BJ101" s="229">
        <f>IF(BI101&lt;1,0,IF(BI101&lt;2,4%,IF('Reeksen (N)'!BI101&lt;3,4%,IF('Reeksen (N)'!BI101&lt;4,4%*70%,IF('Reeksen (N)'!BI101&lt;5,4%*50%)))))</f>
        <v>0</v>
      </c>
    </row>
    <row r="102" spans="1:62" x14ac:dyDescent="0.25">
      <c r="A102" s="184">
        <f t="shared" si="60"/>
        <v>97</v>
      </c>
      <c r="B102" s="179">
        <f>Dashboard!$D$25</f>
        <v>0</v>
      </c>
      <c r="C102" s="179">
        <f>Dashboard!$D$25</f>
        <v>0</v>
      </c>
      <c r="D102" s="180">
        <f t="shared" si="49"/>
        <v>0</v>
      </c>
      <c r="E102" s="189"/>
      <c r="F102" s="184">
        <f t="shared" ca="1" si="61"/>
        <v>2116</v>
      </c>
      <c r="G102" s="179">
        <f t="shared" si="82"/>
        <v>0.02</v>
      </c>
      <c r="H102" s="182">
        <f t="shared" si="62"/>
        <v>6.8642365070584841</v>
      </c>
      <c r="I102" s="179">
        <f t="shared" si="83"/>
        <v>2.5000000000000001E-2</v>
      </c>
      <c r="J102" s="182">
        <f t="shared" si="63"/>
        <v>11.046734609622256</v>
      </c>
      <c r="K102" s="179">
        <f t="shared" si="84"/>
        <v>2.5000000000000001E-2</v>
      </c>
      <c r="L102" s="182">
        <f t="shared" si="64"/>
        <v>11.046734609622256</v>
      </c>
      <c r="M102" s="189"/>
      <c r="N102" s="184">
        <f t="shared" ca="1" si="65"/>
        <v>2116</v>
      </c>
      <c r="O102" s="179">
        <f t="shared" si="78"/>
        <v>0.02</v>
      </c>
      <c r="P102" s="182">
        <f t="shared" si="44"/>
        <v>6.8575733750729064</v>
      </c>
      <c r="R102" s="184">
        <f t="shared" ca="1" si="66"/>
        <v>2116</v>
      </c>
      <c r="S102" s="188">
        <f t="shared" si="80"/>
        <v>5.3600000000000002E-3</v>
      </c>
      <c r="U102" s="184">
        <f t="shared" ca="1" si="67"/>
        <v>2116</v>
      </c>
      <c r="V102" s="182">
        <f t="shared" si="50"/>
        <v>0.02</v>
      </c>
      <c r="W102" s="180">
        <f>Parameters!$D$15</f>
        <v>5.0000000000000001E-3</v>
      </c>
      <c r="X102" s="182">
        <f t="shared" si="51"/>
        <v>2.5000000000000001E-2</v>
      </c>
      <c r="Y102" s="182">
        <f t="shared" si="68"/>
        <v>11.057623458603638</v>
      </c>
      <c r="AA102" s="189"/>
      <c r="AB102" s="184">
        <f t="shared" ca="1" si="69"/>
        <v>2116</v>
      </c>
      <c r="AC102" s="171">
        <f t="shared" si="52"/>
        <v>0</v>
      </c>
      <c r="AD102" s="171">
        <f t="shared" si="47"/>
        <v>0</v>
      </c>
      <c r="AE102" s="171">
        <f t="shared" si="79"/>
        <v>4727.1793345055739</v>
      </c>
      <c r="AF102" s="171">
        <f t="shared" si="70"/>
        <v>0</v>
      </c>
      <c r="AG102" s="171">
        <f t="shared" si="81"/>
        <v>0</v>
      </c>
      <c r="AH102" s="171">
        <f t="shared" si="53"/>
        <v>0</v>
      </c>
      <c r="AI102" s="171">
        <f t="shared" si="54"/>
        <v>0</v>
      </c>
      <c r="AJ102" s="171">
        <f>IF('Invoer gegevens'!$I$27="DAEB",SMALL(AC102:AD102,1),AC102)</f>
        <v>0</v>
      </c>
      <c r="AK102" s="171">
        <f>IF('Invoer gegevens'!$I$27="DAEB",SMALL((AE102:AH102),1),SMALL((AF102:AH102),1))</f>
        <v>0</v>
      </c>
      <c r="AL102" s="171">
        <f t="shared" si="76"/>
        <v>0</v>
      </c>
      <c r="AM102" s="171">
        <f t="shared" si="77"/>
        <v>0</v>
      </c>
      <c r="AN102" s="175">
        <f t="shared" si="72"/>
        <v>0</v>
      </c>
      <c r="AP102" s="184">
        <f t="shared" ca="1" si="73"/>
        <v>2116</v>
      </c>
      <c r="AQ102" s="185">
        <f t="shared" si="55"/>
        <v>0.02</v>
      </c>
      <c r="AR102" s="182">
        <f t="shared" si="45"/>
        <v>6.8575733750729064</v>
      </c>
      <c r="AU102" s="184">
        <f t="shared" ca="1" si="74"/>
        <v>2116</v>
      </c>
      <c r="AV102" s="182">
        <f t="shared" si="56"/>
        <v>0.02</v>
      </c>
      <c r="AW102" s="179">
        <f t="shared" si="57"/>
        <v>5.0000000000000001E-3</v>
      </c>
      <c r="AX102" s="182">
        <f t="shared" si="58"/>
        <v>2.5000000000000001E-2</v>
      </c>
      <c r="AY102" s="186"/>
      <c r="AZ102" s="190"/>
      <c r="BA102" s="184">
        <f t="shared" ca="1" si="75"/>
        <v>2116</v>
      </c>
      <c r="BB102" s="171">
        <f t="shared" si="59"/>
        <v>0</v>
      </c>
      <c r="BC102" s="171">
        <f t="shared" si="48"/>
        <v>4727.1793345055739</v>
      </c>
      <c r="BD102" s="171">
        <f t="shared" si="85"/>
        <v>0</v>
      </c>
      <c r="BE102" s="171">
        <f t="shared" si="85"/>
        <v>0</v>
      </c>
      <c r="BF102" s="171">
        <f t="shared" si="85"/>
        <v>0</v>
      </c>
      <c r="BG102" s="171">
        <f t="shared" si="85"/>
        <v>0</v>
      </c>
      <c r="BI102" s="187">
        <f>IF(A102-'Invoer gegevens'!$C$17&lt;0,0,IF(A102-'Invoer gegevens'!$C$17=0,1,IF(A102-'Invoer gegevens'!$C$17&lt;5,2,IF(A102-'Invoer gegevens'!$C$17&lt;15,3,4))))</f>
        <v>0</v>
      </c>
      <c r="BJ102" s="229">
        <f>IF(BI102&lt;1,0,IF(BI102&lt;2,4%,IF('Reeksen (N)'!BI102&lt;3,4%,IF('Reeksen (N)'!BI102&lt;4,4%*70%,IF('Reeksen (N)'!BI102&lt;5,4%*50%)))))</f>
        <v>0</v>
      </c>
    </row>
    <row r="103" spans="1:62" x14ac:dyDescent="0.25">
      <c r="A103" s="184">
        <f t="shared" si="60"/>
        <v>98</v>
      </c>
      <c r="B103" s="179">
        <f>Dashboard!$D$25</f>
        <v>0</v>
      </c>
      <c r="C103" s="179">
        <f>Dashboard!$D$25</f>
        <v>0</v>
      </c>
      <c r="D103" s="180">
        <f t="shared" si="49"/>
        <v>0</v>
      </c>
      <c r="E103" s="189"/>
      <c r="F103" s="184">
        <f t="shared" ca="1" si="61"/>
        <v>2117</v>
      </c>
      <c r="G103" s="179">
        <f t="shared" si="82"/>
        <v>0.02</v>
      </c>
      <c r="H103" s="182">
        <f t="shared" si="62"/>
        <v>7.001521237199654</v>
      </c>
      <c r="I103" s="179">
        <f t="shared" si="83"/>
        <v>2.5000000000000001E-2</v>
      </c>
      <c r="J103" s="182">
        <f t="shared" si="63"/>
        <v>11.322902974862812</v>
      </c>
      <c r="K103" s="179">
        <f t="shared" si="84"/>
        <v>2.5000000000000001E-2</v>
      </c>
      <c r="L103" s="182">
        <f t="shared" si="64"/>
        <v>11.322902974862812</v>
      </c>
      <c r="M103" s="189"/>
      <c r="N103" s="184">
        <f t="shared" ca="1" si="65"/>
        <v>2117</v>
      </c>
      <c r="O103" s="179">
        <f t="shared" si="78"/>
        <v>0.02</v>
      </c>
      <c r="P103" s="182">
        <f t="shared" si="44"/>
        <v>6.9947248425743647</v>
      </c>
      <c r="R103" s="184">
        <f t="shared" ca="1" si="66"/>
        <v>2117</v>
      </c>
      <c r="S103" s="188">
        <f t="shared" si="80"/>
        <v>5.3600000000000002E-3</v>
      </c>
      <c r="U103" s="184">
        <f t="shared" ca="1" si="67"/>
        <v>2117</v>
      </c>
      <c r="V103" s="182">
        <f t="shared" si="50"/>
        <v>0.02</v>
      </c>
      <c r="W103" s="180">
        <f>Parameters!$D$15</f>
        <v>5.0000000000000001E-3</v>
      </c>
      <c r="X103" s="182">
        <f t="shared" si="51"/>
        <v>2.5000000000000001E-2</v>
      </c>
      <c r="Y103" s="182">
        <f t="shared" si="68"/>
        <v>11.334064045068729</v>
      </c>
      <c r="AA103" s="189"/>
      <c r="AB103" s="184">
        <f t="shared" ca="1" si="69"/>
        <v>2117</v>
      </c>
      <c r="AC103" s="171">
        <f t="shared" si="52"/>
        <v>0</v>
      </c>
      <c r="AD103" s="171">
        <f t="shared" si="47"/>
        <v>0</v>
      </c>
      <c r="AE103" s="171">
        <f t="shared" si="79"/>
        <v>4821.7229211956856</v>
      </c>
      <c r="AF103" s="171">
        <f t="shared" si="70"/>
        <v>0</v>
      </c>
      <c r="AG103" s="171">
        <f t="shared" si="81"/>
        <v>0</v>
      </c>
      <c r="AH103" s="171">
        <f t="shared" si="53"/>
        <v>0</v>
      </c>
      <c r="AI103" s="171">
        <f t="shared" si="54"/>
        <v>0</v>
      </c>
      <c r="AJ103" s="171">
        <f>IF('Invoer gegevens'!$I$27="DAEB",SMALL(AC103:AD103,1),AC103)</f>
        <v>0</v>
      </c>
      <c r="AK103" s="171">
        <f>IF('Invoer gegevens'!$I$27="DAEB",SMALL((AE103:AH103),1),SMALL((AF103:AH103),1))</f>
        <v>0</v>
      </c>
      <c r="AL103" s="171">
        <f t="shared" si="76"/>
        <v>0</v>
      </c>
      <c r="AM103" s="171">
        <f t="shared" si="77"/>
        <v>0</v>
      </c>
      <c r="AN103" s="175">
        <f t="shared" si="72"/>
        <v>0</v>
      </c>
      <c r="AP103" s="184">
        <f t="shared" ca="1" si="73"/>
        <v>2117</v>
      </c>
      <c r="AQ103" s="185">
        <f t="shared" si="55"/>
        <v>0.02</v>
      </c>
      <c r="AR103" s="182">
        <f t="shared" si="45"/>
        <v>6.9947248425743647</v>
      </c>
      <c r="AU103" s="184">
        <f t="shared" ca="1" si="74"/>
        <v>2117</v>
      </c>
      <c r="AV103" s="182">
        <f t="shared" si="56"/>
        <v>0.02</v>
      </c>
      <c r="AW103" s="179">
        <f t="shared" si="57"/>
        <v>5.0000000000000001E-3</v>
      </c>
      <c r="AX103" s="182">
        <f t="shared" si="58"/>
        <v>2.5000000000000001E-2</v>
      </c>
      <c r="AY103" s="186"/>
      <c r="AZ103" s="190"/>
      <c r="BA103" s="184">
        <f t="shared" ca="1" si="75"/>
        <v>2117</v>
      </c>
      <c r="BB103" s="171">
        <f t="shared" si="59"/>
        <v>0</v>
      </c>
      <c r="BC103" s="171">
        <f t="shared" si="48"/>
        <v>4821.7229211956856</v>
      </c>
      <c r="BD103" s="171">
        <f t="shared" si="85"/>
        <v>0</v>
      </c>
      <c r="BE103" s="171">
        <f t="shared" si="85"/>
        <v>0</v>
      </c>
      <c r="BF103" s="171">
        <f t="shared" si="85"/>
        <v>0</v>
      </c>
      <c r="BG103" s="171">
        <f t="shared" si="85"/>
        <v>0</v>
      </c>
      <c r="BI103" s="187">
        <f>IF(A103-'Invoer gegevens'!$C$17&lt;0,0,IF(A103-'Invoer gegevens'!$C$17=0,1,IF(A103-'Invoer gegevens'!$C$17&lt;5,2,IF(A103-'Invoer gegevens'!$C$17&lt;15,3,4))))</f>
        <v>0</v>
      </c>
      <c r="BJ103" s="229">
        <f>IF(BI103&lt;1,0,IF(BI103&lt;2,4%,IF('Reeksen (N)'!BI103&lt;3,4%,IF('Reeksen (N)'!BI103&lt;4,4%*70%,IF('Reeksen (N)'!BI103&lt;5,4%*50%)))))</f>
        <v>0</v>
      </c>
    </row>
    <row r="104" spans="1:62" x14ac:dyDescent="0.25">
      <c r="A104" s="184">
        <f t="shared" si="60"/>
        <v>99</v>
      </c>
      <c r="B104" s="179">
        <f>Dashboard!$D$25</f>
        <v>0</v>
      </c>
      <c r="C104" s="179">
        <f>Dashboard!$D$25</f>
        <v>0</v>
      </c>
      <c r="D104" s="180">
        <f t="shared" si="49"/>
        <v>0</v>
      </c>
      <c r="E104" s="189"/>
      <c r="F104" s="184">
        <f t="shared" ca="1" si="61"/>
        <v>2118</v>
      </c>
      <c r="G104" s="179">
        <f t="shared" si="82"/>
        <v>0.02</v>
      </c>
      <c r="H104" s="182">
        <f t="shared" si="62"/>
        <v>7.1415516619436472</v>
      </c>
      <c r="I104" s="179">
        <f t="shared" si="83"/>
        <v>2.5000000000000001E-2</v>
      </c>
      <c r="J104" s="182">
        <f t="shared" si="63"/>
        <v>11.605975549234381</v>
      </c>
      <c r="K104" s="179">
        <f t="shared" si="84"/>
        <v>2.5000000000000001E-2</v>
      </c>
      <c r="L104" s="182">
        <f t="shared" si="64"/>
        <v>11.605975549234381</v>
      </c>
      <c r="M104" s="189"/>
      <c r="N104" s="184">
        <f t="shared" ca="1" si="65"/>
        <v>2118</v>
      </c>
      <c r="O104" s="179">
        <f t="shared" si="78"/>
        <v>0.02</v>
      </c>
      <c r="P104" s="182">
        <f t="shared" si="44"/>
        <v>7.1346193394258517</v>
      </c>
      <c r="R104" s="184">
        <f t="shared" ca="1" si="66"/>
        <v>2118</v>
      </c>
      <c r="S104" s="188">
        <f t="shared" si="80"/>
        <v>5.3600000000000002E-3</v>
      </c>
      <c r="U104" s="184">
        <f t="shared" ca="1" si="67"/>
        <v>2118</v>
      </c>
      <c r="V104" s="182">
        <f t="shared" si="50"/>
        <v>0.02</v>
      </c>
      <c r="W104" s="180">
        <f>Parameters!$D$15</f>
        <v>5.0000000000000001E-3</v>
      </c>
      <c r="X104" s="182">
        <f t="shared" si="51"/>
        <v>2.5000000000000001E-2</v>
      </c>
      <c r="Y104" s="182">
        <f t="shared" si="68"/>
        <v>11.617415646195447</v>
      </c>
      <c r="AA104" s="189"/>
      <c r="AB104" s="184">
        <f t="shared" ca="1" si="69"/>
        <v>2118</v>
      </c>
      <c r="AC104" s="171">
        <f t="shared" si="52"/>
        <v>0</v>
      </c>
      <c r="AD104" s="171">
        <f t="shared" si="47"/>
        <v>0</v>
      </c>
      <c r="AE104" s="171">
        <f t="shared" si="79"/>
        <v>4918.1573796195989</v>
      </c>
      <c r="AF104" s="171">
        <f t="shared" si="70"/>
        <v>0</v>
      </c>
      <c r="AG104" s="171">
        <f t="shared" si="81"/>
        <v>0</v>
      </c>
      <c r="AH104" s="171">
        <f t="shared" si="53"/>
        <v>0</v>
      </c>
      <c r="AI104" s="171">
        <f t="shared" si="54"/>
        <v>0</v>
      </c>
      <c r="AJ104" s="171">
        <f>IF('Invoer gegevens'!$I$27="DAEB",SMALL(AC104:AD104,1),AC104)</f>
        <v>0</v>
      </c>
      <c r="AK104" s="171">
        <f>IF('Invoer gegevens'!$I$27="DAEB",SMALL((AE104:AH104),1),SMALL((AF104:AH104),1))</f>
        <v>0</v>
      </c>
      <c r="AL104" s="171">
        <f t="shared" si="76"/>
        <v>0</v>
      </c>
      <c r="AM104" s="171">
        <f t="shared" si="77"/>
        <v>0</v>
      </c>
      <c r="AN104" s="175">
        <f t="shared" si="72"/>
        <v>0</v>
      </c>
      <c r="AP104" s="184">
        <f t="shared" ca="1" si="73"/>
        <v>2118</v>
      </c>
      <c r="AQ104" s="185">
        <f t="shared" si="55"/>
        <v>0.02</v>
      </c>
      <c r="AR104" s="182">
        <f t="shared" si="45"/>
        <v>7.1346193394258517</v>
      </c>
      <c r="AU104" s="184">
        <f t="shared" ca="1" si="74"/>
        <v>2118</v>
      </c>
      <c r="AV104" s="182">
        <f t="shared" si="56"/>
        <v>0.02</v>
      </c>
      <c r="AW104" s="179">
        <f t="shared" si="57"/>
        <v>5.0000000000000001E-3</v>
      </c>
      <c r="AX104" s="182">
        <f t="shared" si="58"/>
        <v>2.5000000000000001E-2</v>
      </c>
      <c r="AY104" s="186"/>
      <c r="AZ104" s="190"/>
      <c r="BA104" s="184">
        <f t="shared" ca="1" si="75"/>
        <v>2118</v>
      </c>
      <c r="BB104" s="171">
        <f t="shared" si="59"/>
        <v>0</v>
      </c>
      <c r="BC104" s="171">
        <f t="shared" si="48"/>
        <v>4918.1573796195989</v>
      </c>
      <c r="BD104" s="171">
        <f t="shared" si="85"/>
        <v>0</v>
      </c>
      <c r="BE104" s="171">
        <f t="shared" si="85"/>
        <v>0</v>
      </c>
      <c r="BF104" s="171">
        <f t="shared" si="85"/>
        <v>0</v>
      </c>
      <c r="BG104" s="171">
        <f t="shared" si="85"/>
        <v>0</v>
      </c>
      <c r="BI104" s="187">
        <f>IF(A104-'Invoer gegevens'!$C$17&lt;0,0,IF(A104-'Invoer gegevens'!$C$17=0,1,IF(A104-'Invoer gegevens'!$C$17&lt;5,2,IF(A104-'Invoer gegevens'!$C$17&lt;15,3,4))))</f>
        <v>0</v>
      </c>
      <c r="BJ104" s="229">
        <f>IF(BI104&lt;1,0,IF(BI104&lt;2,4%,IF('Reeksen (N)'!BI104&lt;3,4%,IF('Reeksen (N)'!BI104&lt;4,4%*70%,IF('Reeksen (N)'!BI104&lt;5,4%*50%)))))</f>
        <v>0</v>
      </c>
    </row>
    <row r="105" spans="1:62" x14ac:dyDescent="0.25">
      <c r="A105" s="184">
        <f t="shared" si="60"/>
        <v>100</v>
      </c>
      <c r="B105" s="179">
        <f>Dashboard!$D$25</f>
        <v>0</v>
      </c>
      <c r="C105" s="179">
        <f>Dashboard!$D$25</f>
        <v>0</v>
      </c>
      <c r="D105" s="180">
        <f t="shared" si="49"/>
        <v>0</v>
      </c>
      <c r="E105" s="189"/>
      <c r="F105" s="184">
        <f t="shared" ca="1" si="61"/>
        <v>2119</v>
      </c>
      <c r="G105" s="179">
        <f t="shared" si="82"/>
        <v>0.02</v>
      </c>
      <c r="H105" s="182">
        <f t="shared" si="62"/>
        <v>7.2843826951825204</v>
      </c>
      <c r="I105" s="179">
        <f t="shared" si="83"/>
        <v>2.5000000000000001E-2</v>
      </c>
      <c r="J105" s="182">
        <f t="shared" si="63"/>
        <v>11.89612493796524</v>
      </c>
      <c r="K105" s="179">
        <f t="shared" si="84"/>
        <v>2.5000000000000001E-2</v>
      </c>
      <c r="L105" s="182">
        <f t="shared" si="64"/>
        <v>11.89612493796524</v>
      </c>
      <c r="M105" s="189"/>
      <c r="N105" s="184">
        <f t="shared" ca="1" si="65"/>
        <v>2119</v>
      </c>
      <c r="O105" s="179">
        <f t="shared" si="78"/>
        <v>0.02</v>
      </c>
      <c r="P105" s="182">
        <f t="shared" si="44"/>
        <v>7.2773117262143687</v>
      </c>
      <c r="R105" s="184">
        <f t="shared" ca="1" si="66"/>
        <v>2119</v>
      </c>
      <c r="S105" s="188">
        <f t="shared" si="80"/>
        <v>5.3600000000000002E-3</v>
      </c>
      <c r="U105" s="184">
        <f t="shared" ca="1" si="67"/>
        <v>2119</v>
      </c>
      <c r="V105" s="182">
        <f t="shared" si="50"/>
        <v>0.02</v>
      </c>
      <c r="W105" s="180">
        <f>Parameters!$D$15</f>
        <v>5.0000000000000001E-3</v>
      </c>
      <c r="X105" s="182">
        <f t="shared" si="51"/>
        <v>2.5000000000000001E-2</v>
      </c>
      <c r="Y105" s="182">
        <f t="shared" si="68"/>
        <v>11.907851037350332</v>
      </c>
      <c r="AA105" s="189"/>
      <c r="AB105" s="184">
        <f t="shared" ca="1" si="69"/>
        <v>2119</v>
      </c>
      <c r="AC105" s="171">
        <f t="shared" si="52"/>
        <v>0</v>
      </c>
      <c r="AD105" s="171">
        <f t="shared" si="47"/>
        <v>0</v>
      </c>
      <c r="AE105" s="171">
        <f t="shared" si="79"/>
        <v>5016.5205272119911</v>
      </c>
      <c r="AF105" s="171">
        <f t="shared" si="70"/>
        <v>0</v>
      </c>
      <c r="AG105" s="171">
        <f t="shared" si="81"/>
        <v>0</v>
      </c>
      <c r="AH105" s="171">
        <f t="shared" si="53"/>
        <v>0</v>
      </c>
      <c r="AI105" s="171">
        <f t="shared" si="54"/>
        <v>0</v>
      </c>
      <c r="AJ105" s="171">
        <f>IF('Invoer gegevens'!$I$27="DAEB",SMALL(AC105:AD105,1),AC105)</f>
        <v>0</v>
      </c>
      <c r="AK105" s="171">
        <f>IF('Invoer gegevens'!$I$27="DAEB",SMALL((AE105:AH105),1),SMALL((AF105:AH105),1))</f>
        <v>0</v>
      </c>
      <c r="AL105" s="171">
        <f t="shared" si="76"/>
        <v>0</v>
      </c>
      <c r="AM105" s="171">
        <f t="shared" si="77"/>
        <v>0</v>
      </c>
      <c r="AN105" s="175">
        <f t="shared" si="72"/>
        <v>0</v>
      </c>
      <c r="AP105" s="184">
        <f t="shared" ca="1" si="73"/>
        <v>2119</v>
      </c>
      <c r="AQ105" s="185">
        <f t="shared" si="55"/>
        <v>0.02</v>
      </c>
      <c r="AR105" s="182">
        <f t="shared" si="45"/>
        <v>7.2773117262143687</v>
      </c>
      <c r="AU105" s="184">
        <f t="shared" ca="1" si="74"/>
        <v>2119</v>
      </c>
      <c r="AV105" s="182">
        <f t="shared" si="56"/>
        <v>0.02</v>
      </c>
      <c r="AW105" s="179">
        <f t="shared" si="57"/>
        <v>5.0000000000000001E-3</v>
      </c>
      <c r="AX105" s="182">
        <f t="shared" si="58"/>
        <v>2.5000000000000001E-2</v>
      </c>
      <c r="AY105" s="186"/>
      <c r="AZ105" s="190"/>
      <c r="BA105" s="184">
        <f t="shared" ca="1" si="75"/>
        <v>2119</v>
      </c>
      <c r="BB105" s="171">
        <f t="shared" si="59"/>
        <v>0</v>
      </c>
      <c r="BC105" s="171">
        <f t="shared" si="48"/>
        <v>5016.5205272119911</v>
      </c>
      <c r="BD105" s="171">
        <f t="shared" si="85"/>
        <v>0</v>
      </c>
      <c r="BE105" s="171">
        <f t="shared" si="85"/>
        <v>0</v>
      </c>
      <c r="BF105" s="171">
        <f t="shared" si="85"/>
        <v>0</v>
      </c>
      <c r="BG105" s="171">
        <f t="shared" si="85"/>
        <v>0</v>
      </c>
      <c r="BI105" s="187">
        <f>IF(A105-'Invoer gegevens'!$C$17&lt;0,0,IF(A105-'Invoer gegevens'!$C$17=0,1,IF(A105-'Invoer gegevens'!$C$17&lt;5,2,IF(A105-'Invoer gegevens'!$C$17&lt;15,3,4))))</f>
        <v>0</v>
      </c>
      <c r="BJ105" s="229">
        <f>IF(BI105&lt;1,0,IF(BI105&lt;2,4%,IF('Reeksen (N)'!BI105&lt;3,4%,IF('Reeksen (N)'!BI105&lt;4,4%*70%,IF('Reeksen (N)'!BI105&lt;5,4%*50%)))))</f>
        <v>0</v>
      </c>
    </row>
    <row r="106" spans="1:62" x14ac:dyDescent="0.25">
      <c r="A106" s="184">
        <f t="shared" si="60"/>
        <v>101</v>
      </c>
      <c r="B106" s="179">
        <f>Dashboard!$D$25</f>
        <v>0</v>
      </c>
      <c r="C106" s="179">
        <f>Dashboard!$D$25</f>
        <v>0</v>
      </c>
      <c r="D106" s="180">
        <f t="shared" si="49"/>
        <v>0</v>
      </c>
      <c r="E106" s="189"/>
      <c r="F106" s="184">
        <f t="shared" ca="1" si="61"/>
        <v>2120</v>
      </c>
      <c r="G106" s="179">
        <f t="shared" si="82"/>
        <v>0.02</v>
      </c>
      <c r="H106" s="182">
        <f t="shared" si="62"/>
        <v>7.4300703490861713</v>
      </c>
      <c r="I106" s="179">
        <f t="shared" si="83"/>
        <v>2.5000000000000001E-2</v>
      </c>
      <c r="J106" s="182">
        <f t="shared" si="63"/>
        <v>12.193528061414369</v>
      </c>
      <c r="K106" s="179">
        <f t="shared" si="84"/>
        <v>2.5000000000000001E-2</v>
      </c>
      <c r="L106" s="182">
        <f t="shared" si="64"/>
        <v>12.193528061414369</v>
      </c>
      <c r="M106" s="189"/>
      <c r="N106" s="184">
        <f t="shared" ca="1" si="65"/>
        <v>2120</v>
      </c>
      <c r="O106" s="179">
        <f t="shared" si="78"/>
        <v>0.02</v>
      </c>
      <c r="P106" s="182">
        <f t="shared" si="44"/>
        <v>7.4228579607386562</v>
      </c>
      <c r="R106" s="184">
        <f t="shared" ca="1" si="66"/>
        <v>2120</v>
      </c>
      <c r="S106" s="188">
        <f t="shared" si="80"/>
        <v>5.3600000000000002E-3</v>
      </c>
      <c r="U106" s="184">
        <f t="shared" ca="1" si="67"/>
        <v>2120</v>
      </c>
      <c r="V106" s="182">
        <f t="shared" si="50"/>
        <v>0.02</v>
      </c>
      <c r="W106" s="180">
        <f>Parameters!$D$15</f>
        <v>5.0000000000000001E-3</v>
      </c>
      <c r="X106" s="182">
        <f t="shared" si="51"/>
        <v>2.5000000000000001E-2</v>
      </c>
      <c r="Y106" s="182">
        <f t="shared" si="68"/>
        <v>12.205547313284089</v>
      </c>
      <c r="AA106" s="189"/>
      <c r="AB106" s="184">
        <f t="shared" ca="1" si="69"/>
        <v>2120</v>
      </c>
      <c r="AC106" s="171">
        <f t="shared" si="52"/>
        <v>0</v>
      </c>
      <c r="AD106" s="171">
        <f t="shared" si="47"/>
        <v>0</v>
      </c>
      <c r="AE106" s="171">
        <f t="shared" si="79"/>
        <v>5116.8509377562314</v>
      </c>
      <c r="AF106" s="171">
        <f t="shared" si="70"/>
        <v>0</v>
      </c>
      <c r="AG106" s="171">
        <f t="shared" si="81"/>
        <v>0</v>
      </c>
      <c r="AH106" s="171">
        <f t="shared" si="53"/>
        <v>0</v>
      </c>
      <c r="AI106" s="171">
        <f t="shared" si="54"/>
        <v>0</v>
      </c>
      <c r="AJ106" s="171">
        <f>IF('Invoer gegevens'!$I$27="DAEB",SMALL(AC106:AD106,1),AC106)</f>
        <v>0</v>
      </c>
      <c r="AK106" s="171">
        <f>IF('Invoer gegevens'!$I$27="DAEB",SMALL((AE106:AH106),1),SMALL((AF106:AH106),1))</f>
        <v>0</v>
      </c>
      <c r="AL106" s="171">
        <f t="shared" si="76"/>
        <v>0</v>
      </c>
      <c r="AM106" s="171">
        <f t="shared" si="77"/>
        <v>0</v>
      </c>
      <c r="AN106" s="175">
        <f t="shared" si="72"/>
        <v>0</v>
      </c>
      <c r="AP106" s="184">
        <f t="shared" ca="1" si="73"/>
        <v>2120</v>
      </c>
      <c r="AQ106" s="185">
        <f t="shared" si="55"/>
        <v>0.02</v>
      </c>
      <c r="AR106" s="182">
        <f t="shared" si="45"/>
        <v>7.4228579607386562</v>
      </c>
      <c r="AU106" s="184">
        <f t="shared" ca="1" si="74"/>
        <v>2120</v>
      </c>
      <c r="AV106" s="182">
        <f t="shared" si="56"/>
        <v>0.02</v>
      </c>
      <c r="AW106" s="179">
        <f t="shared" si="57"/>
        <v>5.0000000000000001E-3</v>
      </c>
      <c r="AX106" s="182">
        <f t="shared" si="58"/>
        <v>2.5000000000000001E-2</v>
      </c>
      <c r="AY106" s="186"/>
      <c r="AZ106" s="190"/>
      <c r="BA106" s="184">
        <f t="shared" ca="1" si="75"/>
        <v>2120</v>
      </c>
      <c r="BB106" s="171">
        <f t="shared" si="59"/>
        <v>0</v>
      </c>
      <c r="BC106" s="171">
        <f t="shared" si="48"/>
        <v>5116.8509377562314</v>
      </c>
      <c r="BD106" s="171">
        <f t="shared" si="85"/>
        <v>0</v>
      </c>
      <c r="BE106" s="171">
        <f t="shared" si="85"/>
        <v>0</v>
      </c>
      <c r="BF106" s="171">
        <f t="shared" si="85"/>
        <v>0</v>
      </c>
      <c r="BG106" s="171">
        <f t="shared" si="85"/>
        <v>0</v>
      </c>
      <c r="BI106" s="187">
        <f>IF(A106-'Invoer gegevens'!$C$17&lt;0,0,IF(A106-'Invoer gegevens'!$C$17=0,1,IF(A106-'Invoer gegevens'!$C$17&lt;5,2,IF(A106-'Invoer gegevens'!$C$17&lt;15,3,4))))</f>
        <v>0</v>
      </c>
      <c r="BJ106" s="229">
        <f>IF(BI106&lt;1,0,IF(BI106&lt;2,4%,IF('Reeksen (N)'!BI106&lt;3,4%,IF('Reeksen (N)'!BI106&lt;4,4%*70%,IF('Reeksen (N)'!BI106&lt;5,4%*50%)))))</f>
        <v>0</v>
      </c>
    </row>
    <row r="107" spans="1:62" x14ac:dyDescent="0.25">
      <c r="A107" s="184">
        <f t="shared" si="60"/>
        <v>102</v>
      </c>
      <c r="B107" s="179">
        <f>Dashboard!$D$25</f>
        <v>0</v>
      </c>
      <c r="C107" s="179">
        <f>Dashboard!$D$25</f>
        <v>0</v>
      </c>
      <c r="D107" s="180">
        <f t="shared" si="49"/>
        <v>0</v>
      </c>
      <c r="E107" s="189"/>
      <c r="F107" s="184">
        <f t="shared" ca="1" si="61"/>
        <v>2121</v>
      </c>
      <c r="G107" s="179">
        <f t="shared" si="82"/>
        <v>0.02</v>
      </c>
      <c r="H107" s="182">
        <f t="shared" si="62"/>
        <v>7.5786717560678944</v>
      </c>
      <c r="I107" s="179">
        <f t="shared" si="83"/>
        <v>2.5000000000000001E-2</v>
      </c>
      <c r="J107" s="182">
        <f t="shared" si="63"/>
        <v>12.498366262949727</v>
      </c>
      <c r="K107" s="179">
        <f t="shared" si="84"/>
        <v>2.5000000000000001E-2</v>
      </c>
      <c r="L107" s="182">
        <f t="shared" si="64"/>
        <v>12.498366262949727</v>
      </c>
      <c r="M107" s="189"/>
      <c r="N107" s="184">
        <f t="shared" ca="1" si="65"/>
        <v>2121</v>
      </c>
      <c r="O107" s="179">
        <f t="shared" si="78"/>
        <v>0.02</v>
      </c>
      <c r="P107" s="182">
        <f t="shared" si="44"/>
        <v>7.5713151199534297</v>
      </c>
      <c r="R107" s="184">
        <f t="shared" ca="1" si="66"/>
        <v>2121</v>
      </c>
      <c r="S107" s="188">
        <f t="shared" si="80"/>
        <v>5.3600000000000002E-3</v>
      </c>
      <c r="U107" s="184">
        <f t="shared" ca="1" si="67"/>
        <v>2121</v>
      </c>
      <c r="V107" s="182">
        <f t="shared" si="50"/>
        <v>0.02</v>
      </c>
      <c r="W107" s="180">
        <f>Parameters!$D$15</f>
        <v>5.0000000000000001E-3</v>
      </c>
      <c r="X107" s="182">
        <f t="shared" si="51"/>
        <v>2.5000000000000001E-2</v>
      </c>
      <c r="Y107" s="182">
        <f t="shared" si="68"/>
        <v>12.510685996116191</v>
      </c>
      <c r="AA107" s="189"/>
      <c r="AB107" s="184">
        <f t="shared" ca="1" si="69"/>
        <v>2121</v>
      </c>
      <c r="AC107" s="171">
        <f t="shared" si="52"/>
        <v>0</v>
      </c>
      <c r="AD107" s="171">
        <f t="shared" si="47"/>
        <v>0</v>
      </c>
      <c r="AE107" s="171">
        <f t="shared" si="79"/>
        <v>5219.1879565113559</v>
      </c>
      <c r="AF107" s="171">
        <f t="shared" si="70"/>
        <v>0</v>
      </c>
      <c r="AG107" s="171">
        <f t="shared" si="81"/>
        <v>0</v>
      </c>
      <c r="AH107" s="171">
        <f t="shared" si="53"/>
        <v>0</v>
      </c>
      <c r="AI107" s="171">
        <f t="shared" si="54"/>
        <v>0</v>
      </c>
      <c r="AJ107" s="171">
        <f>IF('Invoer gegevens'!$I$27="DAEB",SMALL(AC107:AD107,1),AC107)</f>
        <v>0</v>
      </c>
      <c r="AK107" s="171">
        <f>IF('Invoer gegevens'!$I$27="DAEB",SMALL((AE107:AH107),1),SMALL((AF107:AH107),1))</f>
        <v>0</v>
      </c>
      <c r="AL107" s="171">
        <f t="shared" si="76"/>
        <v>0</v>
      </c>
      <c r="AM107" s="171">
        <f t="shared" si="77"/>
        <v>0</v>
      </c>
      <c r="AN107" s="175">
        <f t="shared" si="72"/>
        <v>0</v>
      </c>
      <c r="AP107" s="184">
        <f t="shared" ca="1" si="73"/>
        <v>2121</v>
      </c>
      <c r="AQ107" s="185">
        <f t="shared" si="55"/>
        <v>0.02</v>
      </c>
      <c r="AR107" s="182">
        <f t="shared" si="45"/>
        <v>7.5713151199534297</v>
      </c>
      <c r="AU107" s="184">
        <f t="shared" ca="1" si="74"/>
        <v>2121</v>
      </c>
      <c r="AV107" s="182">
        <f t="shared" si="56"/>
        <v>0.02</v>
      </c>
      <c r="AW107" s="179">
        <f t="shared" si="57"/>
        <v>5.0000000000000001E-3</v>
      </c>
      <c r="AX107" s="182">
        <f t="shared" si="58"/>
        <v>2.5000000000000001E-2</v>
      </c>
      <c r="AY107" s="186"/>
      <c r="AZ107" s="190"/>
      <c r="BA107" s="184">
        <f t="shared" ca="1" si="75"/>
        <v>2121</v>
      </c>
      <c r="BB107" s="171">
        <f t="shared" si="59"/>
        <v>0</v>
      </c>
      <c r="BC107" s="171">
        <f t="shared" si="48"/>
        <v>5219.1879565113559</v>
      </c>
      <c r="BD107" s="171">
        <f t="shared" si="85"/>
        <v>0</v>
      </c>
      <c r="BE107" s="171">
        <f t="shared" si="85"/>
        <v>0</v>
      </c>
      <c r="BF107" s="171">
        <f t="shared" si="85"/>
        <v>0</v>
      </c>
      <c r="BG107" s="171">
        <f t="shared" si="85"/>
        <v>0</v>
      </c>
      <c r="BI107" s="187">
        <f>IF(A107-'Invoer gegevens'!$C$17&lt;0,0,IF(A107-'Invoer gegevens'!$C$17=0,1,IF(A107-'Invoer gegevens'!$C$17&lt;5,2,IF(A107-'Invoer gegevens'!$C$17&lt;15,3,4))))</f>
        <v>0</v>
      </c>
      <c r="BJ107" s="229">
        <f>IF(BI107&lt;1,0,IF(BI107&lt;2,4%,IF('Reeksen (N)'!BI107&lt;3,4%,IF('Reeksen (N)'!BI107&lt;4,4%*70%,IF('Reeksen (N)'!BI107&lt;5,4%*50%)))))</f>
        <v>0</v>
      </c>
    </row>
    <row r="108" spans="1:62" x14ac:dyDescent="0.25">
      <c r="A108" s="184">
        <f t="shared" si="60"/>
        <v>103</v>
      </c>
      <c r="B108" s="179">
        <f>Dashboard!$D$25</f>
        <v>0</v>
      </c>
      <c r="C108" s="179">
        <f>Dashboard!$D$25</f>
        <v>0</v>
      </c>
      <c r="D108" s="180">
        <f t="shared" si="49"/>
        <v>0</v>
      </c>
      <c r="E108" s="189"/>
      <c r="F108" s="184">
        <f t="shared" ca="1" si="61"/>
        <v>2122</v>
      </c>
      <c r="G108" s="179">
        <f t="shared" si="82"/>
        <v>0.02</v>
      </c>
      <c r="H108" s="182">
        <f t="shared" si="62"/>
        <v>7.7302451911892529</v>
      </c>
      <c r="I108" s="179">
        <f t="shared" si="83"/>
        <v>2.5000000000000001E-2</v>
      </c>
      <c r="J108" s="182">
        <f t="shared" si="63"/>
        <v>12.81082541952347</v>
      </c>
      <c r="K108" s="179">
        <f t="shared" si="84"/>
        <v>2.5000000000000001E-2</v>
      </c>
      <c r="L108" s="182">
        <f t="shared" si="64"/>
        <v>12.81082541952347</v>
      </c>
      <c r="M108" s="189"/>
      <c r="N108" s="184">
        <f t="shared" ca="1" si="65"/>
        <v>2122</v>
      </c>
      <c r="O108" s="179">
        <f t="shared" si="78"/>
        <v>0.02</v>
      </c>
      <c r="P108" s="182">
        <f t="shared" si="44"/>
        <v>7.7227414223524979</v>
      </c>
      <c r="R108" s="184">
        <f t="shared" ca="1" si="66"/>
        <v>2122</v>
      </c>
      <c r="S108" s="188">
        <f t="shared" si="80"/>
        <v>5.3600000000000002E-3</v>
      </c>
      <c r="U108" s="184">
        <f t="shared" ca="1" si="67"/>
        <v>2122</v>
      </c>
      <c r="V108" s="182">
        <f t="shared" si="50"/>
        <v>0.02</v>
      </c>
      <c r="W108" s="180">
        <f>Parameters!$D$15</f>
        <v>5.0000000000000001E-3</v>
      </c>
      <c r="X108" s="182">
        <f t="shared" si="51"/>
        <v>2.5000000000000001E-2</v>
      </c>
      <c r="Y108" s="182">
        <f t="shared" si="68"/>
        <v>12.823453146019094</v>
      </c>
      <c r="AA108" s="189"/>
      <c r="AB108" s="184">
        <f t="shared" ca="1" si="69"/>
        <v>2122</v>
      </c>
      <c r="AC108" s="171">
        <f t="shared" si="52"/>
        <v>0</v>
      </c>
      <c r="AD108" s="171">
        <f t="shared" si="47"/>
        <v>0</v>
      </c>
      <c r="AE108" s="171">
        <f t="shared" si="79"/>
        <v>5323.5717156415831</v>
      </c>
      <c r="AF108" s="171">
        <f t="shared" si="70"/>
        <v>0</v>
      </c>
      <c r="AG108" s="171">
        <f t="shared" si="81"/>
        <v>0</v>
      </c>
      <c r="AH108" s="171">
        <f t="shared" si="53"/>
        <v>0</v>
      </c>
      <c r="AI108" s="171">
        <f t="shared" si="54"/>
        <v>0</v>
      </c>
      <c r="AJ108" s="171">
        <f>IF('Invoer gegevens'!$I$27="DAEB",SMALL(AC108:AD108,1),AC108)</f>
        <v>0</v>
      </c>
      <c r="AK108" s="171">
        <f>IF('Invoer gegevens'!$I$27="DAEB",SMALL((AE108:AH108),1),SMALL((AF108:AH108),1))</f>
        <v>0</v>
      </c>
      <c r="AL108" s="171">
        <f t="shared" si="76"/>
        <v>0</v>
      </c>
      <c r="AM108" s="171">
        <f t="shared" si="77"/>
        <v>0</v>
      </c>
      <c r="AN108" s="175">
        <f t="shared" si="72"/>
        <v>0</v>
      </c>
      <c r="AP108" s="184">
        <f t="shared" ca="1" si="73"/>
        <v>2122</v>
      </c>
      <c r="AQ108" s="185">
        <f t="shared" si="55"/>
        <v>0.02</v>
      </c>
      <c r="AR108" s="182">
        <f t="shared" si="45"/>
        <v>7.7227414223524979</v>
      </c>
      <c r="AU108" s="184">
        <f t="shared" ca="1" si="74"/>
        <v>2122</v>
      </c>
      <c r="AV108" s="182">
        <f t="shared" si="56"/>
        <v>0.02</v>
      </c>
      <c r="AW108" s="179">
        <f t="shared" si="57"/>
        <v>5.0000000000000001E-3</v>
      </c>
      <c r="AX108" s="182">
        <f t="shared" si="58"/>
        <v>2.5000000000000001E-2</v>
      </c>
      <c r="AY108" s="186"/>
      <c r="AZ108" s="190"/>
      <c r="BA108" s="184">
        <f t="shared" ca="1" si="75"/>
        <v>2122</v>
      </c>
      <c r="BB108" s="171">
        <f t="shared" si="59"/>
        <v>0</v>
      </c>
      <c r="BC108" s="171">
        <f t="shared" si="48"/>
        <v>5323.5717156415831</v>
      </c>
      <c r="BD108" s="171">
        <f t="shared" si="85"/>
        <v>0</v>
      </c>
      <c r="BE108" s="171">
        <f t="shared" si="85"/>
        <v>0</v>
      </c>
      <c r="BF108" s="171">
        <f t="shared" si="85"/>
        <v>0</v>
      </c>
      <c r="BG108" s="171">
        <f t="shared" si="85"/>
        <v>0</v>
      </c>
      <c r="BI108" s="187">
        <f>IF(A108-'Invoer gegevens'!$C$17&lt;0,0,IF(A108-'Invoer gegevens'!$C$17=0,1,IF(A108-'Invoer gegevens'!$C$17&lt;5,2,IF(A108-'Invoer gegevens'!$C$17&lt;15,3,4))))</f>
        <v>0</v>
      </c>
      <c r="BJ108" s="229">
        <f>IF(BI108&lt;1,0,IF(BI108&lt;2,4%,IF('Reeksen (N)'!BI108&lt;3,4%,IF('Reeksen (N)'!BI108&lt;4,4%*70%,IF('Reeksen (N)'!BI108&lt;5,4%*50%)))))</f>
        <v>0</v>
      </c>
    </row>
    <row r="109" spans="1:62" x14ac:dyDescent="0.25">
      <c r="A109" s="184">
        <f t="shared" si="60"/>
        <v>104</v>
      </c>
      <c r="B109" s="179">
        <f>Dashboard!$D$25</f>
        <v>0</v>
      </c>
      <c r="C109" s="179">
        <f>Dashboard!$D$25</f>
        <v>0</v>
      </c>
      <c r="D109" s="180">
        <f t="shared" si="49"/>
        <v>0</v>
      </c>
      <c r="E109" s="189"/>
      <c r="F109" s="184">
        <f t="shared" ca="1" si="61"/>
        <v>2123</v>
      </c>
      <c r="G109" s="179">
        <f t="shared" si="82"/>
        <v>0.02</v>
      </c>
      <c r="H109" s="182">
        <f t="shared" si="62"/>
        <v>7.8848500950130385</v>
      </c>
      <c r="I109" s="179">
        <f t="shared" si="83"/>
        <v>2.5000000000000001E-2</v>
      </c>
      <c r="J109" s="182">
        <f t="shared" si="63"/>
        <v>13.131096055011556</v>
      </c>
      <c r="K109" s="179">
        <f t="shared" si="84"/>
        <v>2.5000000000000001E-2</v>
      </c>
      <c r="L109" s="182">
        <f t="shared" si="64"/>
        <v>13.131096055011556</v>
      </c>
      <c r="M109" s="189"/>
      <c r="N109" s="184">
        <f t="shared" ca="1" si="65"/>
        <v>2123</v>
      </c>
      <c r="O109" s="179">
        <f t="shared" si="78"/>
        <v>0.02</v>
      </c>
      <c r="P109" s="182">
        <f t="shared" si="44"/>
        <v>7.8771962507995479</v>
      </c>
      <c r="R109" s="184">
        <f t="shared" ca="1" si="66"/>
        <v>2123</v>
      </c>
      <c r="S109" s="188">
        <f t="shared" si="80"/>
        <v>5.3600000000000002E-3</v>
      </c>
      <c r="U109" s="184">
        <f t="shared" ca="1" si="67"/>
        <v>2123</v>
      </c>
      <c r="V109" s="182">
        <f t="shared" si="50"/>
        <v>0.02</v>
      </c>
      <c r="W109" s="180">
        <f>Parameters!$D$15</f>
        <v>5.0000000000000001E-3</v>
      </c>
      <c r="X109" s="182">
        <f t="shared" si="51"/>
        <v>2.5000000000000001E-2</v>
      </c>
      <c r="Y109" s="182">
        <f t="shared" si="68"/>
        <v>13.144039474669571</v>
      </c>
      <c r="AA109" s="189"/>
      <c r="AB109" s="184">
        <f t="shared" ca="1" si="69"/>
        <v>2123</v>
      </c>
      <c r="AC109" s="171">
        <f t="shared" si="52"/>
        <v>0</v>
      </c>
      <c r="AD109" s="171">
        <f t="shared" si="47"/>
        <v>0</v>
      </c>
      <c r="AE109" s="171">
        <f t="shared" si="79"/>
        <v>5430.0431499544147</v>
      </c>
      <c r="AF109" s="171">
        <f t="shared" si="70"/>
        <v>0</v>
      </c>
      <c r="AG109" s="171">
        <f t="shared" si="81"/>
        <v>0</v>
      </c>
      <c r="AH109" s="171">
        <f t="shared" si="53"/>
        <v>0</v>
      </c>
      <c r="AI109" s="171">
        <f t="shared" si="54"/>
        <v>0</v>
      </c>
      <c r="AJ109" s="171">
        <f>IF('Invoer gegevens'!$I$27="DAEB",SMALL(AC109:AD109,1),AC109)</f>
        <v>0</v>
      </c>
      <c r="AK109" s="171">
        <f>IF('Invoer gegevens'!$I$27="DAEB",SMALL((AE109:AH109),1),SMALL((AF109:AH109),1))</f>
        <v>0</v>
      </c>
      <c r="AL109" s="171">
        <f t="shared" si="76"/>
        <v>0</v>
      </c>
      <c r="AM109" s="171">
        <f t="shared" si="77"/>
        <v>0</v>
      </c>
      <c r="AN109" s="175">
        <f t="shared" si="72"/>
        <v>0</v>
      </c>
      <c r="AP109" s="184">
        <f t="shared" ca="1" si="73"/>
        <v>2123</v>
      </c>
      <c r="AQ109" s="185">
        <f t="shared" si="55"/>
        <v>0.02</v>
      </c>
      <c r="AR109" s="182">
        <f t="shared" si="45"/>
        <v>7.8771962507995479</v>
      </c>
      <c r="AU109" s="184">
        <f t="shared" ca="1" si="74"/>
        <v>2123</v>
      </c>
      <c r="AV109" s="182">
        <f t="shared" si="56"/>
        <v>0.02</v>
      </c>
      <c r="AW109" s="179">
        <f t="shared" si="57"/>
        <v>5.0000000000000001E-3</v>
      </c>
      <c r="AX109" s="182">
        <f t="shared" si="58"/>
        <v>2.5000000000000001E-2</v>
      </c>
      <c r="AY109" s="186"/>
      <c r="AZ109" s="190"/>
      <c r="BA109" s="184">
        <f t="shared" ca="1" si="75"/>
        <v>2123</v>
      </c>
      <c r="BB109" s="171">
        <f t="shared" si="59"/>
        <v>0</v>
      </c>
      <c r="BC109" s="171">
        <f t="shared" si="48"/>
        <v>5430.0431499544147</v>
      </c>
      <c r="BD109" s="171">
        <f t="shared" si="85"/>
        <v>0</v>
      </c>
      <c r="BE109" s="171">
        <f t="shared" si="85"/>
        <v>0</v>
      </c>
      <c r="BF109" s="171">
        <f t="shared" si="85"/>
        <v>0</v>
      </c>
      <c r="BG109" s="171">
        <f t="shared" si="85"/>
        <v>0</v>
      </c>
      <c r="BI109" s="187">
        <f>IF(A109-'Invoer gegevens'!$C$17&lt;0,0,IF(A109-'Invoer gegevens'!$C$17=0,1,IF(A109-'Invoer gegevens'!$C$17&lt;5,2,IF(A109-'Invoer gegevens'!$C$17&lt;15,3,4))))</f>
        <v>0</v>
      </c>
      <c r="BJ109" s="229">
        <f>IF(BI109&lt;1,0,IF(BI109&lt;2,4%,IF('Reeksen (N)'!BI109&lt;3,4%,IF('Reeksen (N)'!BI109&lt;4,4%*70%,IF('Reeksen (N)'!BI109&lt;5,4%*50%)))))</f>
        <v>0</v>
      </c>
    </row>
    <row r="110" spans="1:62" x14ac:dyDescent="0.25">
      <c r="A110" s="184">
        <f t="shared" si="60"/>
        <v>105</v>
      </c>
      <c r="B110" s="179">
        <f>Dashboard!$D$25</f>
        <v>0</v>
      </c>
      <c r="C110" s="179">
        <f>Dashboard!$D$25</f>
        <v>0</v>
      </c>
      <c r="D110" s="180">
        <f t="shared" si="49"/>
        <v>0</v>
      </c>
      <c r="E110" s="189"/>
      <c r="F110" s="184">
        <f t="shared" ca="1" si="61"/>
        <v>2124</v>
      </c>
      <c r="G110" s="179">
        <f t="shared" si="82"/>
        <v>0.02</v>
      </c>
      <c r="H110" s="182">
        <f t="shared" si="62"/>
        <v>8.0425470969132995</v>
      </c>
      <c r="I110" s="179">
        <f t="shared" si="83"/>
        <v>2.5000000000000001E-2</v>
      </c>
      <c r="J110" s="182">
        <f t="shared" si="63"/>
        <v>13.459373456386844</v>
      </c>
      <c r="K110" s="179">
        <f t="shared" si="84"/>
        <v>2.5000000000000001E-2</v>
      </c>
      <c r="L110" s="182">
        <f t="shared" si="64"/>
        <v>13.459373456386844</v>
      </c>
      <c r="M110" s="189"/>
      <c r="N110" s="184">
        <f t="shared" ca="1" si="65"/>
        <v>2124</v>
      </c>
      <c r="O110" s="179">
        <f t="shared" si="78"/>
        <v>0.02</v>
      </c>
      <c r="P110" s="182">
        <f t="shared" si="44"/>
        <v>8.0347401758155392</v>
      </c>
      <c r="R110" s="184">
        <f t="shared" ca="1" si="66"/>
        <v>2124</v>
      </c>
      <c r="S110" s="188">
        <f t="shared" si="80"/>
        <v>5.3600000000000002E-3</v>
      </c>
      <c r="U110" s="184">
        <f t="shared" ca="1" si="67"/>
        <v>2124</v>
      </c>
      <c r="V110" s="182">
        <f t="shared" si="50"/>
        <v>0.02</v>
      </c>
      <c r="W110" s="180">
        <f>Parameters!$D$15</f>
        <v>5.0000000000000001E-3</v>
      </c>
      <c r="X110" s="182">
        <f t="shared" si="51"/>
        <v>2.5000000000000001E-2</v>
      </c>
      <c r="Y110" s="182">
        <f t="shared" si="68"/>
        <v>13.472640461536308</v>
      </c>
      <c r="AA110" s="189"/>
      <c r="AB110" s="184">
        <f t="shared" ca="1" si="69"/>
        <v>2124</v>
      </c>
      <c r="AC110" s="171">
        <f t="shared" si="52"/>
        <v>0</v>
      </c>
      <c r="AD110" s="171">
        <f t="shared" si="47"/>
        <v>0</v>
      </c>
      <c r="AE110" s="171">
        <f t="shared" si="79"/>
        <v>5538.6440129535031</v>
      </c>
      <c r="AF110" s="171">
        <f t="shared" si="70"/>
        <v>0</v>
      </c>
      <c r="AG110" s="171">
        <f t="shared" si="81"/>
        <v>0</v>
      </c>
      <c r="AH110" s="171">
        <f t="shared" si="53"/>
        <v>0</v>
      </c>
      <c r="AI110" s="171">
        <f t="shared" si="54"/>
        <v>0</v>
      </c>
      <c r="AJ110" s="171">
        <f>IF('Invoer gegevens'!$I$27="DAEB",SMALL(AC110:AD110,1),AC110)</f>
        <v>0</v>
      </c>
      <c r="AK110" s="171">
        <f>IF('Invoer gegevens'!$I$27="DAEB",SMALL((AE110:AH110),1),SMALL((AF110:AH110),1))</f>
        <v>0</v>
      </c>
      <c r="AL110" s="171">
        <f t="shared" si="76"/>
        <v>0</v>
      </c>
      <c r="AM110" s="171">
        <f t="shared" si="77"/>
        <v>0</v>
      </c>
      <c r="AN110" s="175">
        <f t="shared" si="72"/>
        <v>0</v>
      </c>
      <c r="AP110" s="184">
        <f t="shared" ca="1" si="73"/>
        <v>2124</v>
      </c>
      <c r="AQ110" s="185">
        <f t="shared" si="55"/>
        <v>0.02</v>
      </c>
      <c r="AR110" s="182">
        <f t="shared" si="45"/>
        <v>8.0347401758155392</v>
      </c>
      <c r="AU110" s="184">
        <f t="shared" ca="1" si="74"/>
        <v>2124</v>
      </c>
      <c r="AV110" s="182">
        <f t="shared" si="56"/>
        <v>0.02</v>
      </c>
      <c r="AW110" s="179">
        <f t="shared" si="57"/>
        <v>5.0000000000000001E-3</v>
      </c>
      <c r="AX110" s="182">
        <f t="shared" si="58"/>
        <v>2.5000000000000001E-2</v>
      </c>
      <c r="AY110" s="186"/>
      <c r="AZ110" s="190"/>
      <c r="BA110" s="184">
        <f t="shared" ca="1" si="75"/>
        <v>2124</v>
      </c>
      <c r="BB110" s="171">
        <f t="shared" si="59"/>
        <v>0</v>
      </c>
      <c r="BC110" s="171">
        <f t="shared" si="48"/>
        <v>5538.6440129535031</v>
      </c>
      <c r="BD110" s="171">
        <f t="shared" si="85"/>
        <v>0</v>
      </c>
      <c r="BE110" s="171">
        <f t="shared" si="85"/>
        <v>0</v>
      </c>
      <c r="BF110" s="171">
        <f t="shared" si="85"/>
        <v>0</v>
      </c>
      <c r="BG110" s="171">
        <f t="shared" si="85"/>
        <v>0</v>
      </c>
      <c r="BI110" s="187">
        <f>IF(A110-'Invoer gegevens'!$C$17&lt;0,0,IF(A110-'Invoer gegevens'!$C$17=0,1,IF(A110-'Invoer gegevens'!$C$17&lt;5,2,IF(A110-'Invoer gegevens'!$C$17&lt;15,3,4))))</f>
        <v>0</v>
      </c>
      <c r="BJ110" s="229">
        <f>IF(BI110&lt;1,0,IF(BI110&lt;2,4%,IF('Reeksen (N)'!BI110&lt;3,4%,IF('Reeksen (N)'!BI110&lt;4,4%*70%,IF('Reeksen (N)'!BI110&lt;5,4%*50%)))))</f>
        <v>0</v>
      </c>
    </row>
    <row r="111" spans="1:62" x14ac:dyDescent="0.25">
      <c r="A111" s="184">
        <f t="shared" si="60"/>
        <v>106</v>
      </c>
      <c r="B111" s="179">
        <f>Dashboard!$D$25</f>
        <v>0</v>
      </c>
      <c r="C111" s="179">
        <f>Dashboard!$D$25</f>
        <v>0</v>
      </c>
      <c r="D111" s="180">
        <f t="shared" si="49"/>
        <v>0</v>
      </c>
      <c r="E111" s="189"/>
      <c r="F111" s="184">
        <f t="shared" ca="1" si="61"/>
        <v>2125</v>
      </c>
      <c r="G111" s="179">
        <f t="shared" si="82"/>
        <v>0.02</v>
      </c>
      <c r="H111" s="182">
        <f t="shared" si="62"/>
        <v>8.2033980388515655</v>
      </c>
      <c r="I111" s="179">
        <f t="shared" si="83"/>
        <v>2.5000000000000001E-2</v>
      </c>
      <c r="J111" s="182">
        <f t="shared" si="63"/>
        <v>13.795857792796514</v>
      </c>
      <c r="K111" s="179">
        <f t="shared" si="84"/>
        <v>2.5000000000000001E-2</v>
      </c>
      <c r="L111" s="182">
        <f t="shared" si="64"/>
        <v>13.795857792796514</v>
      </c>
      <c r="M111" s="189"/>
      <c r="N111" s="184">
        <f t="shared" ca="1" si="65"/>
        <v>2125</v>
      </c>
      <c r="O111" s="179">
        <f t="shared" si="78"/>
        <v>0.02</v>
      </c>
      <c r="P111" s="182">
        <f t="shared" si="44"/>
        <v>8.1954349793318499</v>
      </c>
      <c r="R111" s="184">
        <f t="shared" ca="1" si="66"/>
        <v>2125</v>
      </c>
      <c r="S111" s="188">
        <f t="shared" si="80"/>
        <v>5.3600000000000002E-3</v>
      </c>
      <c r="U111" s="184">
        <f t="shared" ca="1" si="67"/>
        <v>2125</v>
      </c>
      <c r="V111" s="182">
        <f t="shared" si="50"/>
        <v>0.02</v>
      </c>
      <c r="W111" s="180">
        <f>Parameters!$D$15</f>
        <v>5.0000000000000001E-3</v>
      </c>
      <c r="X111" s="182">
        <f t="shared" si="51"/>
        <v>2.5000000000000001E-2</v>
      </c>
      <c r="Y111" s="182">
        <f t="shared" si="68"/>
        <v>13.809456473074714</v>
      </c>
      <c r="AA111" s="189"/>
      <c r="AB111" s="184">
        <f t="shared" ca="1" si="69"/>
        <v>2125</v>
      </c>
      <c r="AC111" s="171">
        <f t="shared" si="52"/>
        <v>0</v>
      </c>
      <c r="AD111" s="171">
        <f t="shared" si="47"/>
        <v>0</v>
      </c>
      <c r="AE111" s="171">
        <f t="shared" si="79"/>
        <v>5649.4168932125731</v>
      </c>
      <c r="AF111" s="171">
        <f t="shared" si="70"/>
        <v>0</v>
      </c>
      <c r="AG111" s="171">
        <f t="shared" si="81"/>
        <v>0</v>
      </c>
      <c r="AH111" s="171">
        <f t="shared" si="53"/>
        <v>0</v>
      </c>
      <c r="AI111" s="171">
        <f t="shared" si="54"/>
        <v>0</v>
      </c>
      <c r="AJ111" s="171">
        <f>IF('Invoer gegevens'!$I$27="DAEB",SMALL(AC111:AD111,1),AC111)</f>
        <v>0</v>
      </c>
      <c r="AK111" s="171">
        <f>IF('Invoer gegevens'!$I$27="DAEB",SMALL((AE111:AH111),1),SMALL((AF111:AH111),1))</f>
        <v>0</v>
      </c>
      <c r="AL111" s="171">
        <f t="shared" si="76"/>
        <v>0</v>
      </c>
      <c r="AM111" s="171">
        <f t="shared" si="77"/>
        <v>0</v>
      </c>
      <c r="AN111" s="175">
        <f t="shared" si="72"/>
        <v>0</v>
      </c>
      <c r="AP111" s="184">
        <f t="shared" ca="1" si="73"/>
        <v>2125</v>
      </c>
      <c r="AQ111" s="185">
        <f t="shared" si="55"/>
        <v>0.02</v>
      </c>
      <c r="AR111" s="182">
        <f t="shared" si="45"/>
        <v>8.1954349793318499</v>
      </c>
      <c r="AU111" s="184">
        <f t="shared" ca="1" si="74"/>
        <v>2125</v>
      </c>
      <c r="AV111" s="182">
        <f t="shared" si="56"/>
        <v>0.02</v>
      </c>
      <c r="AW111" s="179">
        <f t="shared" si="57"/>
        <v>5.0000000000000001E-3</v>
      </c>
      <c r="AX111" s="182">
        <f t="shared" si="58"/>
        <v>2.5000000000000001E-2</v>
      </c>
      <c r="AY111" s="186"/>
      <c r="AZ111" s="190"/>
      <c r="BA111" s="184">
        <f t="shared" ca="1" si="75"/>
        <v>2125</v>
      </c>
      <c r="BB111" s="171">
        <f t="shared" si="59"/>
        <v>0</v>
      </c>
      <c r="BC111" s="171">
        <f t="shared" si="48"/>
        <v>5649.4168932125731</v>
      </c>
      <c r="BD111" s="171">
        <f t="shared" si="85"/>
        <v>0</v>
      </c>
      <c r="BE111" s="171">
        <f t="shared" si="85"/>
        <v>0</v>
      </c>
      <c r="BF111" s="171">
        <f t="shared" si="85"/>
        <v>0</v>
      </c>
      <c r="BG111" s="171">
        <f t="shared" si="85"/>
        <v>0</v>
      </c>
      <c r="BI111" s="187">
        <f>IF(A111-'Invoer gegevens'!$C$17&lt;0,0,IF(A111-'Invoer gegevens'!$C$17=0,1,IF(A111-'Invoer gegevens'!$C$17&lt;5,2,IF(A111-'Invoer gegevens'!$C$17&lt;15,3,4))))</f>
        <v>0</v>
      </c>
      <c r="BJ111" s="229">
        <f>IF(BI111&lt;1,0,IF(BI111&lt;2,4%,IF('Reeksen (N)'!BI111&lt;3,4%,IF('Reeksen (N)'!BI111&lt;4,4%*70%,IF('Reeksen (N)'!BI111&lt;5,4%*50%)))))</f>
        <v>0</v>
      </c>
    </row>
    <row r="112" spans="1:62" x14ac:dyDescent="0.25">
      <c r="A112" s="184">
        <f t="shared" si="60"/>
        <v>107</v>
      </c>
      <c r="B112" s="179">
        <f>Dashboard!$D$25</f>
        <v>0</v>
      </c>
      <c r="C112" s="179">
        <f>Dashboard!$D$25</f>
        <v>0</v>
      </c>
      <c r="D112" s="180">
        <f t="shared" si="49"/>
        <v>0</v>
      </c>
      <c r="E112" s="189"/>
      <c r="F112" s="184">
        <f t="shared" ca="1" si="61"/>
        <v>2126</v>
      </c>
      <c r="G112" s="179">
        <f t="shared" si="82"/>
        <v>0.02</v>
      </c>
      <c r="H112" s="182">
        <f t="shared" si="62"/>
        <v>8.3674659996285978</v>
      </c>
      <c r="I112" s="179">
        <f t="shared" si="83"/>
        <v>2.5000000000000001E-2</v>
      </c>
      <c r="J112" s="182">
        <f t="shared" si="63"/>
        <v>14.140754237616425</v>
      </c>
      <c r="K112" s="179">
        <f t="shared" si="84"/>
        <v>2.5000000000000001E-2</v>
      </c>
      <c r="L112" s="182">
        <f t="shared" si="64"/>
        <v>14.140754237616425</v>
      </c>
      <c r="M112" s="189"/>
      <c r="N112" s="184">
        <f t="shared" ca="1" si="65"/>
        <v>2126</v>
      </c>
      <c r="O112" s="179">
        <f t="shared" si="78"/>
        <v>0.02</v>
      </c>
      <c r="P112" s="182">
        <f t="shared" si="44"/>
        <v>8.3593436789184867</v>
      </c>
      <c r="R112" s="184">
        <f t="shared" ca="1" si="66"/>
        <v>2126</v>
      </c>
      <c r="S112" s="188">
        <f t="shared" si="80"/>
        <v>5.3600000000000002E-3</v>
      </c>
      <c r="U112" s="184">
        <f t="shared" ca="1" si="67"/>
        <v>2126</v>
      </c>
      <c r="V112" s="182">
        <f t="shared" si="50"/>
        <v>0.02</v>
      </c>
      <c r="W112" s="180">
        <f>Parameters!$D$15</f>
        <v>5.0000000000000001E-3</v>
      </c>
      <c r="X112" s="182">
        <f t="shared" si="51"/>
        <v>2.5000000000000001E-2</v>
      </c>
      <c r="Y112" s="182">
        <f t="shared" si="68"/>
        <v>14.15469288490158</v>
      </c>
      <c r="AA112" s="189"/>
      <c r="AB112" s="184">
        <f t="shared" ca="1" si="69"/>
        <v>2126</v>
      </c>
      <c r="AC112" s="171">
        <f t="shared" si="52"/>
        <v>0</v>
      </c>
      <c r="AD112" s="171">
        <f t="shared" si="47"/>
        <v>0</v>
      </c>
      <c r="AE112" s="171">
        <f t="shared" si="79"/>
        <v>5762.4052310768247</v>
      </c>
      <c r="AF112" s="171">
        <f t="shared" si="70"/>
        <v>0</v>
      </c>
      <c r="AG112" s="171">
        <f t="shared" si="81"/>
        <v>0</v>
      </c>
      <c r="AH112" s="171">
        <f t="shared" si="53"/>
        <v>0</v>
      </c>
      <c r="AI112" s="171">
        <f t="shared" si="54"/>
        <v>0</v>
      </c>
      <c r="AJ112" s="171">
        <f>IF('Invoer gegevens'!$I$27="DAEB",SMALL(AC112:AD112,1),AC112)</f>
        <v>0</v>
      </c>
      <c r="AK112" s="171">
        <f>IF('Invoer gegevens'!$I$27="DAEB",SMALL((AE112:AH112),1),SMALL((AF112:AH112),1))</f>
        <v>0</v>
      </c>
      <c r="AL112" s="171">
        <f t="shared" si="76"/>
        <v>0</v>
      </c>
      <c r="AM112" s="171">
        <f t="shared" si="77"/>
        <v>0</v>
      </c>
      <c r="AN112" s="175">
        <f t="shared" si="72"/>
        <v>0</v>
      </c>
      <c r="AP112" s="184">
        <f t="shared" ca="1" si="73"/>
        <v>2126</v>
      </c>
      <c r="AQ112" s="185">
        <f t="shared" si="55"/>
        <v>0.02</v>
      </c>
      <c r="AR112" s="182">
        <f t="shared" si="45"/>
        <v>8.3593436789184867</v>
      </c>
      <c r="AU112" s="184">
        <f t="shared" ca="1" si="74"/>
        <v>2126</v>
      </c>
      <c r="AV112" s="182">
        <f t="shared" si="56"/>
        <v>0.02</v>
      </c>
      <c r="AW112" s="179">
        <f t="shared" si="57"/>
        <v>5.0000000000000001E-3</v>
      </c>
      <c r="AX112" s="182">
        <f t="shared" si="58"/>
        <v>2.5000000000000001E-2</v>
      </c>
      <c r="AY112" s="186"/>
      <c r="AZ112" s="190"/>
      <c r="BA112" s="184">
        <f t="shared" ca="1" si="75"/>
        <v>2126</v>
      </c>
      <c r="BB112" s="171">
        <f t="shared" si="59"/>
        <v>0</v>
      </c>
      <c r="BC112" s="171">
        <f t="shared" si="48"/>
        <v>5762.4052310768247</v>
      </c>
      <c r="BD112" s="171">
        <f t="shared" si="85"/>
        <v>0</v>
      </c>
      <c r="BE112" s="171">
        <f t="shared" si="85"/>
        <v>0</v>
      </c>
      <c r="BF112" s="171">
        <f t="shared" si="85"/>
        <v>0</v>
      </c>
      <c r="BG112" s="171">
        <f t="shared" si="85"/>
        <v>0</v>
      </c>
      <c r="BI112" s="187">
        <f>IF(A112-'Invoer gegevens'!$C$17&lt;0,0,IF(A112-'Invoer gegevens'!$C$17=0,1,IF(A112-'Invoer gegevens'!$C$17&lt;5,2,IF(A112-'Invoer gegevens'!$C$17&lt;15,3,4))))</f>
        <v>0</v>
      </c>
      <c r="BJ112" s="229">
        <f>IF(BI112&lt;1,0,IF(BI112&lt;2,4%,IF('Reeksen (N)'!BI112&lt;3,4%,IF('Reeksen (N)'!BI112&lt;4,4%*70%,IF('Reeksen (N)'!BI112&lt;5,4%*50%)))))</f>
        <v>0</v>
      </c>
    </row>
    <row r="113" spans="1:62" x14ac:dyDescent="0.25">
      <c r="A113" s="184">
        <f t="shared" si="60"/>
        <v>108</v>
      </c>
      <c r="B113" s="179">
        <f>Dashboard!$D$25</f>
        <v>0</v>
      </c>
      <c r="C113" s="179">
        <f>Dashboard!$D$25</f>
        <v>0</v>
      </c>
      <c r="D113" s="180">
        <f t="shared" si="49"/>
        <v>0</v>
      </c>
      <c r="E113" s="189"/>
      <c r="F113" s="184">
        <f t="shared" ca="1" si="61"/>
        <v>2127</v>
      </c>
      <c r="G113" s="179">
        <f t="shared" si="82"/>
        <v>0.02</v>
      </c>
      <c r="H113" s="182">
        <f t="shared" si="62"/>
        <v>8.5348153196211705</v>
      </c>
      <c r="I113" s="179">
        <f t="shared" si="83"/>
        <v>2.5000000000000001E-2</v>
      </c>
      <c r="J113" s="182">
        <f t="shared" si="63"/>
        <v>14.494273093556835</v>
      </c>
      <c r="K113" s="179">
        <f t="shared" si="84"/>
        <v>2.5000000000000001E-2</v>
      </c>
      <c r="L113" s="182">
        <f t="shared" si="64"/>
        <v>14.494273093556835</v>
      </c>
      <c r="M113" s="189"/>
      <c r="N113" s="184">
        <f t="shared" ca="1" si="65"/>
        <v>2127</v>
      </c>
      <c r="O113" s="179">
        <f t="shared" si="78"/>
        <v>0.02</v>
      </c>
      <c r="P113" s="182">
        <f t="shared" si="44"/>
        <v>8.5265305524968564</v>
      </c>
      <c r="R113" s="184">
        <f t="shared" ca="1" si="66"/>
        <v>2127</v>
      </c>
      <c r="S113" s="188">
        <f t="shared" si="80"/>
        <v>5.3600000000000002E-3</v>
      </c>
      <c r="U113" s="184">
        <f t="shared" ca="1" si="67"/>
        <v>2127</v>
      </c>
      <c r="V113" s="182">
        <f t="shared" si="50"/>
        <v>0.02</v>
      </c>
      <c r="W113" s="180">
        <f>Parameters!$D$15</f>
        <v>5.0000000000000001E-3</v>
      </c>
      <c r="X113" s="182">
        <f t="shared" si="51"/>
        <v>2.5000000000000001E-2</v>
      </c>
      <c r="Y113" s="182">
        <f t="shared" si="68"/>
        <v>14.508560207024118</v>
      </c>
      <c r="AA113" s="189"/>
      <c r="AB113" s="184">
        <f t="shared" ca="1" si="69"/>
        <v>2127</v>
      </c>
      <c r="AC113" s="171">
        <f t="shared" si="52"/>
        <v>0</v>
      </c>
      <c r="AD113" s="171">
        <f t="shared" si="47"/>
        <v>0</v>
      </c>
      <c r="AE113" s="171">
        <f t="shared" si="79"/>
        <v>5877.6533356983609</v>
      </c>
      <c r="AF113" s="171">
        <f t="shared" si="70"/>
        <v>0</v>
      </c>
      <c r="AG113" s="171">
        <f t="shared" si="81"/>
        <v>0</v>
      </c>
      <c r="AH113" s="171">
        <f t="shared" si="53"/>
        <v>0</v>
      </c>
      <c r="AI113" s="171">
        <f t="shared" si="54"/>
        <v>0</v>
      </c>
      <c r="AJ113" s="171">
        <f>IF('Invoer gegevens'!$I$27="DAEB",SMALL(AC113:AD113,1),AC113)</f>
        <v>0</v>
      </c>
      <c r="AK113" s="171">
        <f>IF('Invoer gegevens'!$I$27="DAEB",SMALL((AE113:AH113),1),SMALL((AF113:AH113),1))</f>
        <v>0</v>
      </c>
      <c r="AL113" s="171">
        <f t="shared" si="76"/>
        <v>0</v>
      </c>
      <c r="AM113" s="171">
        <f t="shared" si="77"/>
        <v>0</v>
      </c>
      <c r="AN113" s="175">
        <f t="shared" si="72"/>
        <v>0</v>
      </c>
      <c r="AP113" s="184">
        <f t="shared" ca="1" si="73"/>
        <v>2127</v>
      </c>
      <c r="AQ113" s="185">
        <f t="shared" si="55"/>
        <v>0.02</v>
      </c>
      <c r="AR113" s="182">
        <f t="shared" si="45"/>
        <v>8.5265305524968564</v>
      </c>
      <c r="AU113" s="184">
        <f t="shared" ca="1" si="74"/>
        <v>2127</v>
      </c>
      <c r="AV113" s="182">
        <f t="shared" si="56"/>
        <v>0.02</v>
      </c>
      <c r="AW113" s="179">
        <f t="shared" si="57"/>
        <v>5.0000000000000001E-3</v>
      </c>
      <c r="AX113" s="182">
        <f t="shared" si="58"/>
        <v>2.5000000000000001E-2</v>
      </c>
      <c r="AY113" s="186"/>
      <c r="AZ113" s="190"/>
      <c r="BA113" s="184">
        <f t="shared" ca="1" si="75"/>
        <v>2127</v>
      </c>
      <c r="BB113" s="171">
        <f t="shared" si="59"/>
        <v>0</v>
      </c>
      <c r="BC113" s="171">
        <f t="shared" si="48"/>
        <v>5877.6533356983609</v>
      </c>
      <c r="BD113" s="171">
        <f t="shared" si="85"/>
        <v>0</v>
      </c>
      <c r="BE113" s="171">
        <f t="shared" si="85"/>
        <v>0</v>
      </c>
      <c r="BF113" s="171">
        <f t="shared" si="85"/>
        <v>0</v>
      </c>
      <c r="BG113" s="171">
        <f t="shared" si="85"/>
        <v>0</v>
      </c>
      <c r="BI113" s="187">
        <f>IF(A113-'Invoer gegevens'!$C$17&lt;0,0,IF(A113-'Invoer gegevens'!$C$17=0,1,IF(A113-'Invoer gegevens'!$C$17&lt;5,2,IF(A113-'Invoer gegevens'!$C$17&lt;15,3,4))))</f>
        <v>0</v>
      </c>
      <c r="BJ113" s="229">
        <f>IF(BI113&lt;1,0,IF(BI113&lt;2,4%,IF('Reeksen (N)'!BI113&lt;3,4%,IF('Reeksen (N)'!BI113&lt;4,4%*70%,IF('Reeksen (N)'!BI113&lt;5,4%*50%)))))</f>
        <v>0</v>
      </c>
    </row>
    <row r="114" spans="1:62" x14ac:dyDescent="0.25">
      <c r="A114" s="184">
        <f t="shared" si="60"/>
        <v>109</v>
      </c>
      <c r="B114" s="179">
        <f>Dashboard!$D$25</f>
        <v>0</v>
      </c>
      <c r="C114" s="179">
        <f>Dashboard!$D$25</f>
        <v>0</v>
      </c>
      <c r="D114" s="180">
        <f t="shared" si="49"/>
        <v>0</v>
      </c>
      <c r="E114" s="189"/>
      <c r="F114" s="184">
        <f t="shared" ca="1" si="61"/>
        <v>2128</v>
      </c>
      <c r="G114" s="179">
        <f t="shared" si="82"/>
        <v>0.02</v>
      </c>
      <c r="H114" s="182">
        <f t="shared" si="62"/>
        <v>8.7055116260135943</v>
      </c>
      <c r="I114" s="179">
        <f t="shared" si="83"/>
        <v>2.5000000000000001E-2</v>
      </c>
      <c r="J114" s="182">
        <f t="shared" si="63"/>
        <v>14.856629920895754</v>
      </c>
      <c r="K114" s="179">
        <f t="shared" si="84"/>
        <v>2.5000000000000001E-2</v>
      </c>
      <c r="L114" s="182">
        <f t="shared" si="64"/>
        <v>14.856629920895754</v>
      </c>
      <c r="M114" s="189"/>
      <c r="N114" s="184">
        <f t="shared" ca="1" si="65"/>
        <v>2128</v>
      </c>
      <c r="O114" s="179">
        <f t="shared" si="78"/>
        <v>0.02</v>
      </c>
      <c r="P114" s="182">
        <f t="shared" si="44"/>
        <v>8.6970611635467936</v>
      </c>
      <c r="R114" s="184">
        <f t="shared" ca="1" si="66"/>
        <v>2128</v>
      </c>
      <c r="S114" s="188">
        <f t="shared" si="80"/>
        <v>5.3600000000000002E-3</v>
      </c>
      <c r="U114" s="184">
        <f t="shared" ca="1" si="67"/>
        <v>2128</v>
      </c>
      <c r="V114" s="182">
        <f t="shared" si="50"/>
        <v>0.02</v>
      </c>
      <c r="W114" s="180">
        <f>Parameters!$D$15</f>
        <v>5.0000000000000001E-3</v>
      </c>
      <c r="X114" s="182">
        <f t="shared" si="51"/>
        <v>2.5000000000000001E-2</v>
      </c>
      <c r="Y114" s="182">
        <f t="shared" si="68"/>
        <v>14.871274212199719</v>
      </c>
      <c r="AA114" s="189"/>
      <c r="AB114" s="184">
        <f t="shared" ca="1" si="69"/>
        <v>2128</v>
      </c>
      <c r="AC114" s="171">
        <f t="shared" si="52"/>
        <v>0</v>
      </c>
      <c r="AD114" s="171">
        <f t="shared" si="47"/>
        <v>0</v>
      </c>
      <c r="AE114" s="171">
        <f t="shared" si="79"/>
        <v>5995.2064024123283</v>
      </c>
      <c r="AF114" s="171">
        <f t="shared" si="70"/>
        <v>0</v>
      </c>
      <c r="AG114" s="171">
        <f t="shared" si="81"/>
        <v>0</v>
      </c>
      <c r="AH114" s="171">
        <f t="shared" si="53"/>
        <v>0</v>
      </c>
      <c r="AI114" s="171">
        <f t="shared" si="54"/>
        <v>0</v>
      </c>
      <c r="AJ114" s="171">
        <f>IF('Invoer gegevens'!$I$27="DAEB",SMALL(AC114:AD114,1),AC114)</f>
        <v>0</v>
      </c>
      <c r="AK114" s="171">
        <f>IF('Invoer gegevens'!$I$27="DAEB",SMALL((AE114:AH114),1),SMALL((AF114:AH114),1))</f>
        <v>0</v>
      </c>
      <c r="AL114" s="171">
        <f t="shared" si="76"/>
        <v>0</v>
      </c>
      <c r="AM114" s="171">
        <f t="shared" si="77"/>
        <v>0</v>
      </c>
      <c r="AN114" s="175">
        <f t="shared" si="72"/>
        <v>0</v>
      </c>
      <c r="AP114" s="184">
        <f t="shared" ca="1" si="73"/>
        <v>2128</v>
      </c>
      <c r="AQ114" s="185">
        <f t="shared" si="55"/>
        <v>0.02</v>
      </c>
      <c r="AR114" s="182">
        <f t="shared" si="45"/>
        <v>8.6970611635467936</v>
      </c>
      <c r="AU114" s="184">
        <f t="shared" ca="1" si="74"/>
        <v>2128</v>
      </c>
      <c r="AV114" s="182">
        <f t="shared" si="56"/>
        <v>0.02</v>
      </c>
      <c r="AW114" s="179">
        <f t="shared" si="57"/>
        <v>5.0000000000000001E-3</v>
      </c>
      <c r="AX114" s="182">
        <f t="shared" si="58"/>
        <v>2.5000000000000001E-2</v>
      </c>
      <c r="AY114" s="186"/>
      <c r="AZ114" s="190"/>
      <c r="BA114" s="184">
        <f t="shared" ca="1" si="75"/>
        <v>2128</v>
      </c>
      <c r="BB114" s="171">
        <f t="shared" si="59"/>
        <v>0</v>
      </c>
      <c r="BC114" s="171">
        <f t="shared" si="48"/>
        <v>5995.2064024123283</v>
      </c>
      <c r="BD114" s="171">
        <f t="shared" si="85"/>
        <v>0</v>
      </c>
      <c r="BE114" s="171">
        <f t="shared" si="85"/>
        <v>0</v>
      </c>
      <c r="BF114" s="171">
        <f t="shared" si="85"/>
        <v>0</v>
      </c>
      <c r="BG114" s="171">
        <f t="shared" si="85"/>
        <v>0</v>
      </c>
      <c r="BI114" s="187">
        <f>IF(A114-'Invoer gegevens'!$C$17&lt;0,0,IF(A114-'Invoer gegevens'!$C$17=0,1,IF(A114-'Invoer gegevens'!$C$17&lt;5,2,IF(A114-'Invoer gegevens'!$C$17&lt;15,3,4))))</f>
        <v>0</v>
      </c>
      <c r="BJ114" s="229">
        <f>IF(BI114&lt;1,0,IF(BI114&lt;2,4%,IF('Reeksen (N)'!BI114&lt;3,4%,IF('Reeksen (N)'!BI114&lt;4,4%*70%,IF('Reeksen (N)'!BI114&lt;5,4%*50%)))))</f>
        <v>0</v>
      </c>
    </row>
    <row r="115" spans="1:62" x14ac:dyDescent="0.25">
      <c r="A115" s="184">
        <f t="shared" si="60"/>
        <v>110</v>
      </c>
      <c r="B115" s="179">
        <f>Dashboard!$D$25</f>
        <v>0</v>
      </c>
      <c r="C115" s="179">
        <f>Dashboard!$D$25</f>
        <v>0</v>
      </c>
      <c r="D115" s="180">
        <f t="shared" si="49"/>
        <v>0</v>
      </c>
      <c r="E115" s="189"/>
      <c r="F115" s="184">
        <f t="shared" ca="1" si="61"/>
        <v>2129</v>
      </c>
      <c r="G115" s="179">
        <f t="shared" si="82"/>
        <v>0.02</v>
      </c>
      <c r="H115" s="182">
        <f t="shared" si="62"/>
        <v>8.8796218585338664</v>
      </c>
      <c r="I115" s="179">
        <f t="shared" si="83"/>
        <v>2.5000000000000001E-2</v>
      </c>
      <c r="J115" s="182">
        <f t="shared" si="63"/>
        <v>15.228045668918147</v>
      </c>
      <c r="K115" s="179">
        <f t="shared" si="84"/>
        <v>2.5000000000000001E-2</v>
      </c>
      <c r="L115" s="182">
        <f t="shared" si="64"/>
        <v>15.228045668918147</v>
      </c>
      <c r="M115" s="189"/>
      <c r="N115" s="184">
        <f t="shared" ca="1" si="65"/>
        <v>2129</v>
      </c>
      <c r="O115" s="179">
        <f t="shared" si="78"/>
        <v>0.02</v>
      </c>
      <c r="P115" s="182">
        <f t="shared" si="44"/>
        <v>8.8710023868177288</v>
      </c>
      <c r="R115" s="184">
        <f t="shared" ca="1" si="66"/>
        <v>2129</v>
      </c>
      <c r="S115" s="188">
        <f t="shared" si="80"/>
        <v>5.3600000000000002E-3</v>
      </c>
      <c r="U115" s="184">
        <f t="shared" ca="1" si="67"/>
        <v>2129</v>
      </c>
      <c r="V115" s="182">
        <f t="shared" si="50"/>
        <v>0.02</v>
      </c>
      <c r="W115" s="180">
        <f>Parameters!$D$15</f>
        <v>5.0000000000000001E-3</v>
      </c>
      <c r="X115" s="182">
        <f t="shared" si="51"/>
        <v>2.5000000000000001E-2</v>
      </c>
      <c r="Y115" s="182">
        <f t="shared" si="68"/>
        <v>15.24305606750471</v>
      </c>
      <c r="AA115" s="189"/>
      <c r="AB115" s="184">
        <f t="shared" ca="1" si="69"/>
        <v>2129</v>
      </c>
      <c r="AC115" s="171">
        <f t="shared" si="52"/>
        <v>0</v>
      </c>
      <c r="AD115" s="171">
        <f t="shared" si="47"/>
        <v>0</v>
      </c>
      <c r="AE115" s="171">
        <f t="shared" si="79"/>
        <v>6115.1105304605753</v>
      </c>
      <c r="AF115" s="171">
        <f t="shared" si="70"/>
        <v>0</v>
      </c>
      <c r="AG115" s="171">
        <f t="shared" si="81"/>
        <v>0</v>
      </c>
      <c r="AH115" s="171">
        <f t="shared" si="53"/>
        <v>0</v>
      </c>
      <c r="AI115" s="171">
        <f t="shared" si="54"/>
        <v>0</v>
      </c>
      <c r="AJ115" s="171">
        <f>IF('Invoer gegevens'!$I$27="DAEB",SMALL(AC115:AD115,1),AC115)</f>
        <v>0</v>
      </c>
      <c r="AK115" s="171">
        <f>IF('Invoer gegevens'!$I$27="DAEB",SMALL((AE115:AH115),1),SMALL((AF115:AH115),1))</f>
        <v>0</v>
      </c>
      <c r="AL115" s="171">
        <f t="shared" si="76"/>
        <v>0</v>
      </c>
      <c r="AM115" s="171">
        <f t="shared" si="77"/>
        <v>0</v>
      </c>
      <c r="AN115" s="175">
        <f t="shared" si="72"/>
        <v>0</v>
      </c>
      <c r="AP115" s="184">
        <f t="shared" ca="1" si="73"/>
        <v>2129</v>
      </c>
      <c r="AQ115" s="185">
        <f t="shared" si="55"/>
        <v>0.02</v>
      </c>
      <c r="AR115" s="182">
        <f t="shared" si="45"/>
        <v>8.8710023868177288</v>
      </c>
      <c r="AU115" s="184">
        <f t="shared" ca="1" si="74"/>
        <v>2129</v>
      </c>
      <c r="AV115" s="182">
        <f t="shared" si="56"/>
        <v>0.02</v>
      </c>
      <c r="AW115" s="179">
        <f t="shared" si="57"/>
        <v>5.0000000000000001E-3</v>
      </c>
      <c r="AX115" s="182">
        <f t="shared" si="58"/>
        <v>2.5000000000000001E-2</v>
      </c>
      <c r="AY115" s="186"/>
      <c r="AZ115" s="190"/>
      <c r="BA115" s="184">
        <f t="shared" ca="1" si="75"/>
        <v>2129</v>
      </c>
      <c r="BB115" s="171">
        <f t="shared" si="59"/>
        <v>0</v>
      </c>
      <c r="BC115" s="171">
        <f t="shared" si="48"/>
        <v>6115.1105304605753</v>
      </c>
      <c r="BD115" s="171">
        <f t="shared" si="85"/>
        <v>0</v>
      </c>
      <c r="BE115" s="171">
        <f t="shared" si="85"/>
        <v>0</v>
      </c>
      <c r="BF115" s="171">
        <f t="shared" si="85"/>
        <v>0</v>
      </c>
      <c r="BG115" s="171">
        <f t="shared" si="85"/>
        <v>0</v>
      </c>
      <c r="BI115" s="187">
        <f>IF(A115-'Invoer gegevens'!$C$17&lt;0,0,IF(A115-'Invoer gegevens'!$C$17=0,1,IF(A115-'Invoer gegevens'!$C$17&lt;5,2,IF(A115-'Invoer gegevens'!$C$17&lt;15,3,4))))</f>
        <v>0</v>
      </c>
      <c r="BJ115" s="229">
        <f>IF(BI115&lt;1,0,IF(BI115&lt;2,4%,IF('Reeksen (N)'!BI115&lt;3,4%,IF('Reeksen (N)'!BI115&lt;4,4%*70%,IF('Reeksen (N)'!BI115&lt;5,4%*50%)))))</f>
        <v>0</v>
      </c>
    </row>
    <row r="116" spans="1:62" x14ac:dyDescent="0.25">
      <c r="A116" s="184">
        <f t="shared" si="60"/>
        <v>111</v>
      </c>
      <c r="B116" s="179">
        <f>Dashboard!$D$25</f>
        <v>0</v>
      </c>
      <c r="C116" s="179">
        <f>Dashboard!$D$25</f>
        <v>0</v>
      </c>
      <c r="D116" s="180">
        <f t="shared" si="49"/>
        <v>0</v>
      </c>
      <c r="E116" s="189"/>
      <c r="F116" s="184">
        <f t="shared" ca="1" si="61"/>
        <v>2130</v>
      </c>
      <c r="G116" s="179">
        <f t="shared" si="82"/>
        <v>0.02</v>
      </c>
      <c r="H116" s="182">
        <f t="shared" si="62"/>
        <v>9.0572142957045436</v>
      </c>
      <c r="I116" s="179">
        <f t="shared" si="83"/>
        <v>2.5000000000000001E-2</v>
      </c>
      <c r="J116" s="182">
        <f t="shared" si="63"/>
        <v>15.608746810641099</v>
      </c>
      <c r="K116" s="179">
        <f t="shared" si="84"/>
        <v>2.5000000000000001E-2</v>
      </c>
      <c r="L116" s="182">
        <f t="shared" si="64"/>
        <v>15.608746810641099</v>
      </c>
      <c r="M116" s="189"/>
      <c r="N116" s="184">
        <f t="shared" ca="1" si="65"/>
        <v>2130</v>
      </c>
      <c r="O116" s="179">
        <f t="shared" si="78"/>
        <v>0.02</v>
      </c>
      <c r="P116" s="182">
        <f t="shared" si="44"/>
        <v>9.0484224345540838</v>
      </c>
      <c r="R116" s="184">
        <f t="shared" ca="1" si="66"/>
        <v>2130</v>
      </c>
      <c r="S116" s="188">
        <f t="shared" si="80"/>
        <v>5.3600000000000002E-3</v>
      </c>
      <c r="U116" s="184">
        <f t="shared" ca="1" si="67"/>
        <v>2130</v>
      </c>
      <c r="V116" s="182">
        <f t="shared" si="50"/>
        <v>0.02</v>
      </c>
      <c r="W116" s="180">
        <f>Parameters!$D$15</f>
        <v>5.0000000000000001E-3</v>
      </c>
      <c r="X116" s="182">
        <f t="shared" si="51"/>
        <v>2.5000000000000001E-2</v>
      </c>
      <c r="Y116" s="182">
        <f t="shared" si="68"/>
        <v>15.624132469192327</v>
      </c>
      <c r="AA116" s="189"/>
      <c r="AB116" s="184">
        <f t="shared" ca="1" si="69"/>
        <v>2130</v>
      </c>
      <c r="AC116" s="171">
        <f t="shared" si="52"/>
        <v>0</v>
      </c>
      <c r="AD116" s="171">
        <f t="shared" si="47"/>
        <v>0</v>
      </c>
      <c r="AE116" s="171">
        <f t="shared" si="79"/>
        <v>6237.4127410697865</v>
      </c>
      <c r="AF116" s="171">
        <f t="shared" si="70"/>
        <v>0</v>
      </c>
      <c r="AG116" s="171">
        <f t="shared" si="81"/>
        <v>0</v>
      </c>
      <c r="AH116" s="171">
        <f t="shared" si="53"/>
        <v>0</v>
      </c>
      <c r="AI116" s="171">
        <f t="shared" si="54"/>
        <v>0</v>
      </c>
      <c r="AJ116" s="171">
        <f>IF('Invoer gegevens'!$I$27="DAEB",SMALL(AC116:AD116,1),AC116)</f>
        <v>0</v>
      </c>
      <c r="AK116" s="171">
        <f>IF('Invoer gegevens'!$I$27="DAEB",SMALL((AE116:AH116),1),SMALL((AF116:AH116),1))</f>
        <v>0</v>
      </c>
      <c r="AL116" s="171">
        <f t="shared" si="76"/>
        <v>0</v>
      </c>
      <c r="AM116" s="171">
        <f t="shared" si="77"/>
        <v>0</v>
      </c>
      <c r="AN116" s="175">
        <f t="shared" si="72"/>
        <v>0</v>
      </c>
      <c r="AP116" s="184">
        <f t="shared" ca="1" si="73"/>
        <v>2130</v>
      </c>
      <c r="AQ116" s="185">
        <f t="shared" si="55"/>
        <v>0.02</v>
      </c>
      <c r="AR116" s="182">
        <f t="shared" si="45"/>
        <v>9.0484224345540838</v>
      </c>
      <c r="AU116" s="184">
        <f t="shared" ca="1" si="74"/>
        <v>2130</v>
      </c>
      <c r="AV116" s="182">
        <f t="shared" si="56"/>
        <v>0.02</v>
      </c>
      <c r="AW116" s="179">
        <f t="shared" si="57"/>
        <v>5.0000000000000001E-3</v>
      </c>
      <c r="AX116" s="182">
        <f t="shared" si="58"/>
        <v>2.5000000000000001E-2</v>
      </c>
      <c r="AY116" s="186"/>
      <c r="AZ116" s="190"/>
      <c r="BA116" s="184">
        <f t="shared" ca="1" si="75"/>
        <v>2130</v>
      </c>
      <c r="BB116" s="171">
        <f t="shared" si="59"/>
        <v>0</v>
      </c>
      <c r="BC116" s="171">
        <f t="shared" si="48"/>
        <v>6237.4127410697865</v>
      </c>
      <c r="BD116" s="171">
        <f t="shared" si="85"/>
        <v>0</v>
      </c>
      <c r="BE116" s="171">
        <f t="shared" si="85"/>
        <v>0</v>
      </c>
      <c r="BF116" s="171">
        <f t="shared" si="85"/>
        <v>0</v>
      </c>
      <c r="BG116" s="171">
        <f t="shared" si="85"/>
        <v>0</v>
      </c>
      <c r="BI116" s="187">
        <f>IF(A116-'Invoer gegevens'!$C$17&lt;0,0,IF(A116-'Invoer gegevens'!$C$17=0,1,IF(A116-'Invoer gegevens'!$C$17&lt;5,2,IF(A116-'Invoer gegevens'!$C$17&lt;15,3,4))))</f>
        <v>0</v>
      </c>
      <c r="BJ116" s="229">
        <f>IF(BI116&lt;1,0,IF(BI116&lt;2,4%,IF('Reeksen (N)'!BI116&lt;3,4%,IF('Reeksen (N)'!BI116&lt;4,4%*70%,IF('Reeksen (N)'!BI116&lt;5,4%*50%)))))</f>
        <v>0</v>
      </c>
    </row>
    <row r="117" spans="1:62" x14ac:dyDescent="0.25">
      <c r="A117" s="184">
        <f t="shared" si="60"/>
        <v>112</v>
      </c>
      <c r="B117" s="179">
        <f>Dashboard!$D$25</f>
        <v>0</v>
      </c>
      <c r="C117" s="179">
        <f>Dashboard!$D$25</f>
        <v>0</v>
      </c>
      <c r="D117" s="180">
        <f t="shared" si="49"/>
        <v>0</v>
      </c>
      <c r="E117" s="189"/>
      <c r="F117" s="184">
        <f t="shared" ca="1" si="61"/>
        <v>2131</v>
      </c>
      <c r="G117" s="179">
        <f t="shared" si="82"/>
        <v>0.02</v>
      </c>
      <c r="H117" s="182">
        <f t="shared" si="62"/>
        <v>9.238358581618634</v>
      </c>
      <c r="I117" s="179">
        <f t="shared" si="83"/>
        <v>2.5000000000000001E-2</v>
      </c>
      <c r="J117" s="182">
        <f t="shared" si="63"/>
        <v>15.998965480907126</v>
      </c>
      <c r="K117" s="179">
        <f t="shared" si="84"/>
        <v>2.5000000000000001E-2</v>
      </c>
      <c r="L117" s="182">
        <f t="shared" si="64"/>
        <v>15.998965480907126</v>
      </c>
      <c r="M117" s="189"/>
      <c r="N117" s="184">
        <f t="shared" ca="1" si="65"/>
        <v>2131</v>
      </c>
      <c r="O117" s="179">
        <f t="shared" si="78"/>
        <v>0.02</v>
      </c>
      <c r="P117" s="182">
        <f t="shared" si="44"/>
        <v>9.2293908832451663</v>
      </c>
      <c r="R117" s="184">
        <f t="shared" ca="1" si="66"/>
        <v>2131</v>
      </c>
      <c r="S117" s="188">
        <f t="shared" si="80"/>
        <v>5.3600000000000002E-3</v>
      </c>
      <c r="U117" s="184">
        <f t="shared" ca="1" si="67"/>
        <v>2131</v>
      </c>
      <c r="V117" s="182">
        <f t="shared" si="50"/>
        <v>0.02</v>
      </c>
      <c r="W117" s="180">
        <f>Parameters!$D$15</f>
        <v>5.0000000000000001E-3</v>
      </c>
      <c r="X117" s="182">
        <f t="shared" si="51"/>
        <v>2.5000000000000001E-2</v>
      </c>
      <c r="Y117" s="182">
        <f t="shared" si="68"/>
        <v>16.014735780922134</v>
      </c>
      <c r="AA117" s="189"/>
      <c r="AB117" s="184">
        <f t="shared" ca="1" si="69"/>
        <v>2131</v>
      </c>
      <c r="AC117" s="171">
        <f t="shared" si="52"/>
        <v>0</v>
      </c>
      <c r="AD117" s="171">
        <f t="shared" si="47"/>
        <v>0</v>
      </c>
      <c r="AE117" s="171">
        <f t="shared" si="79"/>
        <v>6362.1609958911822</v>
      </c>
      <c r="AF117" s="171">
        <f t="shared" si="70"/>
        <v>0</v>
      </c>
      <c r="AG117" s="171">
        <f t="shared" si="81"/>
        <v>0</v>
      </c>
      <c r="AH117" s="171">
        <f t="shared" si="53"/>
        <v>0</v>
      </c>
      <c r="AI117" s="171">
        <f t="shared" si="54"/>
        <v>0</v>
      </c>
      <c r="AJ117" s="171">
        <f>IF('Invoer gegevens'!$I$27="DAEB",SMALL(AC117:AD117,1),AC117)</f>
        <v>0</v>
      </c>
      <c r="AK117" s="171">
        <f>IF('Invoer gegevens'!$I$27="DAEB",SMALL((AE117:AH117),1),SMALL((AF117:AH117),1))</f>
        <v>0</v>
      </c>
      <c r="AL117" s="171">
        <f t="shared" si="76"/>
        <v>0</v>
      </c>
      <c r="AM117" s="171">
        <f t="shared" si="77"/>
        <v>0</v>
      </c>
      <c r="AN117" s="175">
        <f t="shared" si="72"/>
        <v>0</v>
      </c>
      <c r="AP117" s="184">
        <f t="shared" ca="1" si="73"/>
        <v>2131</v>
      </c>
      <c r="AQ117" s="185">
        <f t="shared" si="55"/>
        <v>0.02</v>
      </c>
      <c r="AR117" s="182">
        <f t="shared" si="45"/>
        <v>9.2293908832451663</v>
      </c>
      <c r="AU117" s="184">
        <f t="shared" ca="1" si="74"/>
        <v>2131</v>
      </c>
      <c r="AV117" s="182">
        <f t="shared" si="56"/>
        <v>0.02</v>
      </c>
      <c r="AW117" s="179">
        <f t="shared" si="57"/>
        <v>5.0000000000000001E-3</v>
      </c>
      <c r="AX117" s="182">
        <f t="shared" si="58"/>
        <v>2.5000000000000001E-2</v>
      </c>
      <c r="AY117" s="186"/>
      <c r="AZ117" s="190"/>
      <c r="BA117" s="184">
        <f t="shared" ca="1" si="75"/>
        <v>2131</v>
      </c>
      <c r="BB117" s="171">
        <f t="shared" si="59"/>
        <v>0</v>
      </c>
      <c r="BC117" s="171">
        <f t="shared" si="48"/>
        <v>6362.1609958911822</v>
      </c>
      <c r="BD117" s="171">
        <f t="shared" si="85"/>
        <v>0</v>
      </c>
      <c r="BE117" s="171">
        <f t="shared" si="85"/>
        <v>0</v>
      </c>
      <c r="BF117" s="171">
        <f t="shared" si="85"/>
        <v>0</v>
      </c>
      <c r="BG117" s="171">
        <f t="shared" si="85"/>
        <v>0</v>
      </c>
      <c r="BI117" s="187">
        <f>IF(A117-'Invoer gegevens'!$C$17&lt;0,0,IF(A117-'Invoer gegevens'!$C$17=0,1,IF(A117-'Invoer gegevens'!$C$17&lt;5,2,IF(A117-'Invoer gegevens'!$C$17&lt;15,3,4))))</f>
        <v>0</v>
      </c>
      <c r="BJ117" s="229">
        <f>IF(BI117&lt;1,0,IF(BI117&lt;2,4%,IF('Reeksen (N)'!BI117&lt;3,4%,IF('Reeksen (N)'!BI117&lt;4,4%*70%,IF('Reeksen (N)'!BI117&lt;5,4%*50%)))))</f>
        <v>0</v>
      </c>
    </row>
    <row r="118" spans="1:62" x14ac:dyDescent="0.25">
      <c r="A118" s="184">
        <f t="shared" si="60"/>
        <v>113</v>
      </c>
      <c r="B118" s="179">
        <f>Dashboard!$D$25</f>
        <v>0</v>
      </c>
      <c r="C118" s="179">
        <f>Dashboard!$D$25</f>
        <v>0</v>
      </c>
      <c r="D118" s="180">
        <f t="shared" si="49"/>
        <v>0</v>
      </c>
      <c r="E118" s="189"/>
      <c r="F118" s="184">
        <f t="shared" ca="1" si="61"/>
        <v>2132</v>
      </c>
      <c r="G118" s="179">
        <f t="shared" si="82"/>
        <v>0.02</v>
      </c>
      <c r="H118" s="182">
        <f t="shared" si="62"/>
        <v>9.4231257532510071</v>
      </c>
      <c r="I118" s="179">
        <f t="shared" si="83"/>
        <v>2.5000000000000001E-2</v>
      </c>
      <c r="J118" s="182">
        <f t="shared" si="63"/>
        <v>16.398939617929802</v>
      </c>
      <c r="K118" s="179">
        <f t="shared" si="84"/>
        <v>2.5000000000000001E-2</v>
      </c>
      <c r="L118" s="182">
        <f t="shared" si="64"/>
        <v>16.398939617929802</v>
      </c>
      <c r="M118" s="189"/>
      <c r="N118" s="184">
        <f t="shared" ca="1" si="65"/>
        <v>2132</v>
      </c>
      <c r="O118" s="179">
        <f t="shared" si="78"/>
        <v>0.02</v>
      </c>
      <c r="P118" s="182">
        <f t="shared" si="44"/>
        <v>9.4139787009100697</v>
      </c>
      <c r="R118" s="184">
        <f t="shared" ca="1" si="66"/>
        <v>2132</v>
      </c>
      <c r="S118" s="188">
        <f t="shared" si="80"/>
        <v>5.3600000000000002E-3</v>
      </c>
      <c r="U118" s="184">
        <f t="shared" ca="1" si="67"/>
        <v>2132</v>
      </c>
      <c r="V118" s="182">
        <f t="shared" si="50"/>
        <v>0.02</v>
      </c>
      <c r="W118" s="180">
        <f>Parameters!$D$15</f>
        <v>5.0000000000000001E-3</v>
      </c>
      <c r="X118" s="182">
        <f t="shared" si="51"/>
        <v>2.5000000000000001E-2</v>
      </c>
      <c r="Y118" s="182">
        <f t="shared" si="68"/>
        <v>16.415104175445187</v>
      </c>
      <c r="AA118" s="189"/>
      <c r="AB118" s="184">
        <f t="shared" ca="1" si="69"/>
        <v>2132</v>
      </c>
      <c r="AC118" s="171">
        <f t="shared" si="52"/>
        <v>0</v>
      </c>
      <c r="AD118" s="171">
        <f t="shared" si="47"/>
        <v>0</v>
      </c>
      <c r="AE118" s="171">
        <f t="shared" si="79"/>
        <v>6489.404215809006</v>
      </c>
      <c r="AF118" s="171">
        <f t="shared" si="70"/>
        <v>0</v>
      </c>
      <c r="AG118" s="171">
        <f t="shared" si="81"/>
        <v>0</v>
      </c>
      <c r="AH118" s="171">
        <f t="shared" si="53"/>
        <v>0</v>
      </c>
      <c r="AI118" s="171">
        <f t="shared" si="54"/>
        <v>0</v>
      </c>
      <c r="AJ118" s="171">
        <f>IF('Invoer gegevens'!$I$27="DAEB",SMALL(AC118:AD118,1),AC118)</f>
        <v>0</v>
      </c>
      <c r="AK118" s="171">
        <f>IF('Invoer gegevens'!$I$27="DAEB",SMALL((AE118:AH118),1),SMALL((AF118:AH118),1))</f>
        <v>0</v>
      </c>
      <c r="AL118" s="171">
        <f t="shared" si="76"/>
        <v>0</v>
      </c>
      <c r="AM118" s="171">
        <f t="shared" si="77"/>
        <v>0</v>
      </c>
      <c r="AN118" s="175">
        <f t="shared" si="72"/>
        <v>0</v>
      </c>
      <c r="AP118" s="184">
        <f t="shared" ca="1" si="73"/>
        <v>2132</v>
      </c>
      <c r="AQ118" s="185">
        <f t="shared" si="55"/>
        <v>0.02</v>
      </c>
      <c r="AR118" s="182">
        <f t="shared" si="45"/>
        <v>9.4139787009100697</v>
      </c>
      <c r="AU118" s="184">
        <f t="shared" ca="1" si="74"/>
        <v>2132</v>
      </c>
      <c r="AV118" s="182">
        <f t="shared" si="56"/>
        <v>0.02</v>
      </c>
      <c r="AW118" s="179">
        <f t="shared" si="57"/>
        <v>5.0000000000000001E-3</v>
      </c>
      <c r="AX118" s="182">
        <f t="shared" si="58"/>
        <v>2.5000000000000001E-2</v>
      </c>
      <c r="AY118" s="186"/>
      <c r="AZ118" s="190"/>
      <c r="BA118" s="184">
        <f t="shared" ca="1" si="75"/>
        <v>2132</v>
      </c>
      <c r="BB118" s="171">
        <f t="shared" si="59"/>
        <v>0</v>
      </c>
      <c r="BC118" s="171">
        <f t="shared" si="48"/>
        <v>6489.404215809006</v>
      </c>
      <c r="BD118" s="171">
        <f t="shared" si="85"/>
        <v>0</v>
      </c>
      <c r="BE118" s="171">
        <f t="shared" si="85"/>
        <v>0</v>
      </c>
      <c r="BF118" s="171">
        <f t="shared" si="85"/>
        <v>0</v>
      </c>
      <c r="BG118" s="171">
        <f t="shared" si="85"/>
        <v>0</v>
      </c>
      <c r="BI118" s="187">
        <f>IF(A118-'Invoer gegevens'!$C$17&lt;0,0,IF(A118-'Invoer gegevens'!$C$17=0,1,IF(A118-'Invoer gegevens'!$C$17&lt;5,2,IF(A118-'Invoer gegevens'!$C$17&lt;15,3,4))))</f>
        <v>0</v>
      </c>
      <c r="BJ118" s="229">
        <f>IF(BI118&lt;1,0,IF(BI118&lt;2,4%,IF('Reeksen (N)'!BI118&lt;3,4%,IF('Reeksen (N)'!BI118&lt;4,4%*70%,IF('Reeksen (N)'!BI118&lt;5,4%*50%)))))</f>
        <v>0</v>
      </c>
    </row>
    <row r="119" spans="1:62" x14ac:dyDescent="0.25">
      <c r="A119" s="184">
        <f t="shared" si="60"/>
        <v>114</v>
      </c>
      <c r="B119" s="179">
        <f>Dashboard!$D$25</f>
        <v>0</v>
      </c>
      <c r="C119" s="179">
        <f>Dashboard!$D$25</f>
        <v>0</v>
      </c>
      <c r="D119" s="180">
        <f t="shared" si="49"/>
        <v>0</v>
      </c>
      <c r="E119" s="189"/>
      <c r="F119" s="184">
        <f t="shared" ca="1" si="61"/>
        <v>2133</v>
      </c>
      <c r="G119" s="179">
        <f t="shared" si="82"/>
        <v>0.02</v>
      </c>
      <c r="H119" s="182">
        <f t="shared" si="62"/>
        <v>9.6115882683160265</v>
      </c>
      <c r="I119" s="179">
        <f t="shared" si="83"/>
        <v>2.5000000000000001E-2</v>
      </c>
      <c r="J119" s="182">
        <f t="shared" si="63"/>
        <v>16.808913108378047</v>
      </c>
      <c r="K119" s="179">
        <f t="shared" si="84"/>
        <v>2.5000000000000001E-2</v>
      </c>
      <c r="L119" s="182">
        <f t="shared" si="64"/>
        <v>16.808913108378047</v>
      </c>
      <c r="M119" s="189"/>
      <c r="N119" s="184">
        <f t="shared" ca="1" si="65"/>
        <v>2133</v>
      </c>
      <c r="O119" s="179">
        <f t="shared" si="78"/>
        <v>0.02</v>
      </c>
      <c r="P119" s="182">
        <f t="shared" si="44"/>
        <v>9.6022582749282712</v>
      </c>
      <c r="R119" s="184">
        <f t="shared" ca="1" si="66"/>
        <v>2133</v>
      </c>
      <c r="S119" s="188">
        <f t="shared" si="80"/>
        <v>5.3600000000000002E-3</v>
      </c>
      <c r="U119" s="184">
        <f t="shared" ca="1" si="67"/>
        <v>2133</v>
      </c>
      <c r="V119" s="182">
        <f t="shared" si="50"/>
        <v>0.02</v>
      </c>
      <c r="W119" s="180">
        <f>Parameters!$D$15</f>
        <v>5.0000000000000001E-3</v>
      </c>
      <c r="X119" s="182">
        <f t="shared" si="51"/>
        <v>2.5000000000000001E-2</v>
      </c>
      <c r="Y119" s="182">
        <f t="shared" si="68"/>
        <v>16.825481779831314</v>
      </c>
      <c r="AA119" s="189"/>
      <c r="AB119" s="184">
        <f t="shared" ca="1" si="69"/>
        <v>2133</v>
      </c>
      <c r="AC119" s="171">
        <f t="shared" si="52"/>
        <v>0</v>
      </c>
      <c r="AD119" s="171">
        <f t="shared" si="47"/>
        <v>0</v>
      </c>
      <c r="AE119" s="171">
        <f t="shared" si="79"/>
        <v>6619.1923001251862</v>
      </c>
      <c r="AF119" s="171">
        <f t="shared" si="70"/>
        <v>0</v>
      </c>
      <c r="AG119" s="171">
        <f t="shared" si="81"/>
        <v>0</v>
      </c>
      <c r="AH119" s="171">
        <f t="shared" si="53"/>
        <v>0</v>
      </c>
      <c r="AI119" s="171">
        <f t="shared" si="54"/>
        <v>0</v>
      </c>
      <c r="AJ119" s="171">
        <f>IF('Invoer gegevens'!$I$27="DAEB",SMALL(AC119:AD119,1),AC119)</f>
        <v>0</v>
      </c>
      <c r="AK119" s="171">
        <f>IF('Invoer gegevens'!$I$27="DAEB",SMALL((AE119:AH119),1),SMALL((AF119:AH119),1))</f>
        <v>0</v>
      </c>
      <c r="AL119" s="171">
        <f t="shared" si="76"/>
        <v>0</v>
      </c>
      <c r="AM119" s="171">
        <f t="shared" si="77"/>
        <v>0</v>
      </c>
      <c r="AN119" s="175">
        <f t="shared" si="72"/>
        <v>0</v>
      </c>
      <c r="AP119" s="184">
        <f t="shared" ca="1" si="73"/>
        <v>2133</v>
      </c>
      <c r="AQ119" s="185">
        <f t="shared" si="55"/>
        <v>0.02</v>
      </c>
      <c r="AR119" s="182">
        <f t="shared" si="45"/>
        <v>9.6022582749282712</v>
      </c>
      <c r="AU119" s="184">
        <f t="shared" ca="1" si="74"/>
        <v>2133</v>
      </c>
      <c r="AV119" s="182">
        <f t="shared" si="56"/>
        <v>0.02</v>
      </c>
      <c r="AW119" s="179">
        <f t="shared" si="57"/>
        <v>5.0000000000000001E-3</v>
      </c>
      <c r="AX119" s="182">
        <f t="shared" si="58"/>
        <v>2.5000000000000001E-2</v>
      </c>
      <c r="AY119" s="186"/>
      <c r="AZ119" s="190"/>
      <c r="BA119" s="184">
        <f t="shared" ca="1" si="75"/>
        <v>2133</v>
      </c>
      <c r="BB119" s="171">
        <f t="shared" si="59"/>
        <v>0</v>
      </c>
      <c r="BC119" s="171">
        <f t="shared" si="48"/>
        <v>6619.1923001251862</v>
      </c>
      <c r="BD119" s="171">
        <f t="shared" si="85"/>
        <v>0</v>
      </c>
      <c r="BE119" s="171">
        <f t="shared" si="85"/>
        <v>0</v>
      </c>
      <c r="BF119" s="171">
        <f t="shared" si="85"/>
        <v>0</v>
      </c>
      <c r="BG119" s="171">
        <f t="shared" si="85"/>
        <v>0</v>
      </c>
      <c r="BI119" s="187">
        <f>IF(A119-'Invoer gegevens'!$C$17&lt;0,0,IF(A119-'Invoer gegevens'!$C$17=0,1,IF(A119-'Invoer gegevens'!$C$17&lt;5,2,IF(A119-'Invoer gegevens'!$C$17&lt;15,3,4))))</f>
        <v>0</v>
      </c>
      <c r="BJ119" s="229">
        <f>IF(BI119&lt;1,0,IF(BI119&lt;2,4%,IF('Reeksen (N)'!BI119&lt;3,4%,IF('Reeksen (N)'!BI119&lt;4,4%*70%,IF('Reeksen (N)'!BI119&lt;5,4%*50%)))))</f>
        <v>0</v>
      </c>
    </row>
    <row r="120" spans="1:62" x14ac:dyDescent="0.25">
      <c r="A120" s="184">
        <f t="shared" si="60"/>
        <v>115</v>
      </c>
      <c r="B120" s="179">
        <f>Dashboard!$D$25</f>
        <v>0</v>
      </c>
      <c r="C120" s="179">
        <f>Dashboard!$D$25</f>
        <v>0</v>
      </c>
      <c r="D120" s="180">
        <f t="shared" si="49"/>
        <v>0</v>
      </c>
      <c r="E120" s="189"/>
      <c r="F120" s="184">
        <f t="shared" ca="1" si="61"/>
        <v>2134</v>
      </c>
      <c r="G120" s="179">
        <f t="shared" si="82"/>
        <v>0.02</v>
      </c>
      <c r="H120" s="182">
        <f t="shared" si="62"/>
        <v>9.8038200336823476</v>
      </c>
      <c r="I120" s="179">
        <f t="shared" si="83"/>
        <v>2.5000000000000001E-2</v>
      </c>
      <c r="J120" s="182">
        <f t="shared" si="63"/>
        <v>17.229135936087495</v>
      </c>
      <c r="K120" s="179">
        <f t="shared" si="84"/>
        <v>2.5000000000000001E-2</v>
      </c>
      <c r="L120" s="182">
        <f t="shared" si="64"/>
        <v>17.229135936087495</v>
      </c>
      <c r="M120" s="189"/>
      <c r="N120" s="184">
        <f t="shared" ca="1" si="65"/>
        <v>2134</v>
      </c>
      <c r="O120" s="179">
        <f t="shared" si="78"/>
        <v>0.02</v>
      </c>
      <c r="P120" s="182">
        <f t="shared" si="44"/>
        <v>9.7943034404268374</v>
      </c>
      <c r="R120" s="184">
        <f t="shared" ca="1" si="66"/>
        <v>2134</v>
      </c>
      <c r="S120" s="188">
        <f t="shared" si="80"/>
        <v>5.3600000000000002E-3</v>
      </c>
      <c r="U120" s="184">
        <f t="shared" ca="1" si="67"/>
        <v>2134</v>
      </c>
      <c r="V120" s="182">
        <f t="shared" si="50"/>
        <v>0.02</v>
      </c>
      <c r="W120" s="180">
        <f>Parameters!$D$15</f>
        <v>5.0000000000000001E-3</v>
      </c>
      <c r="X120" s="182">
        <f t="shared" si="51"/>
        <v>2.5000000000000001E-2</v>
      </c>
      <c r="Y120" s="182">
        <f t="shared" si="68"/>
        <v>17.246118824327095</v>
      </c>
      <c r="AA120" s="189"/>
      <c r="AB120" s="184">
        <f t="shared" ca="1" si="69"/>
        <v>2134</v>
      </c>
      <c r="AC120" s="171">
        <f t="shared" si="52"/>
        <v>0</v>
      </c>
      <c r="AD120" s="171">
        <f t="shared" si="47"/>
        <v>0</v>
      </c>
      <c r="AE120" s="171">
        <f t="shared" si="79"/>
        <v>6751.5761461276898</v>
      </c>
      <c r="AF120" s="171">
        <f t="shared" si="70"/>
        <v>0</v>
      </c>
      <c r="AG120" s="171">
        <f t="shared" si="81"/>
        <v>0</v>
      </c>
      <c r="AH120" s="171">
        <f t="shared" si="53"/>
        <v>0</v>
      </c>
      <c r="AI120" s="171">
        <f t="shared" si="54"/>
        <v>0</v>
      </c>
      <c r="AJ120" s="171">
        <f>IF('Invoer gegevens'!$I$27="DAEB",SMALL(AC120:AD120,1),AC120)</f>
        <v>0</v>
      </c>
      <c r="AK120" s="171">
        <f>IF('Invoer gegevens'!$I$27="DAEB",SMALL((AE120:AH120),1),SMALL((AF120:AH120),1))</f>
        <v>0</v>
      </c>
      <c r="AL120" s="171">
        <f t="shared" si="76"/>
        <v>0</v>
      </c>
      <c r="AM120" s="171">
        <f t="shared" si="77"/>
        <v>0</v>
      </c>
      <c r="AN120" s="175">
        <f t="shared" si="72"/>
        <v>0</v>
      </c>
      <c r="AP120" s="184">
        <f t="shared" ca="1" si="73"/>
        <v>2134</v>
      </c>
      <c r="AQ120" s="185">
        <f t="shared" si="55"/>
        <v>0.02</v>
      </c>
      <c r="AR120" s="182">
        <f t="shared" si="45"/>
        <v>9.7943034404268374</v>
      </c>
      <c r="AU120" s="184">
        <f t="shared" ca="1" si="74"/>
        <v>2134</v>
      </c>
      <c r="AV120" s="182">
        <f t="shared" si="56"/>
        <v>0.02</v>
      </c>
      <c r="AW120" s="179">
        <f t="shared" si="57"/>
        <v>5.0000000000000001E-3</v>
      </c>
      <c r="AX120" s="182">
        <f t="shared" si="58"/>
        <v>2.5000000000000001E-2</v>
      </c>
      <c r="AY120" s="186"/>
      <c r="AZ120" s="190"/>
      <c r="BA120" s="184">
        <f t="shared" ca="1" si="75"/>
        <v>2134</v>
      </c>
      <c r="BB120" s="171">
        <f t="shared" si="59"/>
        <v>0</v>
      </c>
      <c r="BC120" s="171">
        <f t="shared" si="48"/>
        <v>6751.5761461276898</v>
      </c>
      <c r="BD120" s="171">
        <f t="shared" si="85"/>
        <v>0</v>
      </c>
      <c r="BE120" s="171">
        <f t="shared" si="85"/>
        <v>0</v>
      </c>
      <c r="BF120" s="171">
        <f t="shared" si="85"/>
        <v>0</v>
      </c>
      <c r="BG120" s="171">
        <f t="shared" si="85"/>
        <v>0</v>
      </c>
      <c r="BI120" s="187">
        <f>IF(A120-'Invoer gegevens'!$C$17&lt;0,0,IF(A120-'Invoer gegevens'!$C$17=0,1,IF(A120-'Invoer gegevens'!$C$17&lt;5,2,IF(A120-'Invoer gegevens'!$C$17&lt;15,3,4))))</f>
        <v>0</v>
      </c>
      <c r="BJ120" s="229">
        <f>IF(BI120&lt;1,0,IF(BI120&lt;2,4%,IF('Reeksen (N)'!BI120&lt;3,4%,IF('Reeksen (N)'!BI120&lt;4,4%*70%,IF('Reeksen (N)'!BI120&lt;5,4%*50%)))))</f>
        <v>0</v>
      </c>
    </row>
    <row r="121" spans="1:62" x14ac:dyDescent="0.25">
      <c r="A121" s="184">
        <f t="shared" si="60"/>
        <v>116</v>
      </c>
      <c r="B121" s="179">
        <f>Dashboard!$D$25</f>
        <v>0</v>
      </c>
      <c r="C121" s="179">
        <f>Dashboard!$D$25</f>
        <v>0</v>
      </c>
      <c r="D121" s="180">
        <f t="shared" si="49"/>
        <v>0</v>
      </c>
      <c r="E121" s="189"/>
      <c r="F121" s="184">
        <f t="shared" ca="1" si="61"/>
        <v>2135</v>
      </c>
      <c r="G121" s="179">
        <f t="shared" si="82"/>
        <v>0.02</v>
      </c>
      <c r="H121" s="182">
        <f t="shared" si="62"/>
        <v>9.9998964343559944</v>
      </c>
      <c r="I121" s="179">
        <f t="shared" si="83"/>
        <v>2.5000000000000001E-2</v>
      </c>
      <c r="J121" s="182">
        <f t="shared" si="63"/>
        <v>17.659864334489679</v>
      </c>
      <c r="K121" s="179">
        <f t="shared" si="84"/>
        <v>2.5000000000000001E-2</v>
      </c>
      <c r="L121" s="182">
        <f t="shared" si="64"/>
        <v>17.659864334489679</v>
      </c>
      <c r="M121" s="189"/>
      <c r="N121" s="184">
        <f t="shared" ca="1" si="65"/>
        <v>2135</v>
      </c>
      <c r="O121" s="179">
        <f t="shared" si="78"/>
        <v>0.02</v>
      </c>
      <c r="P121" s="182">
        <f t="shared" si="44"/>
        <v>9.9901895092353747</v>
      </c>
      <c r="R121" s="184">
        <f t="shared" ca="1" si="66"/>
        <v>2135</v>
      </c>
      <c r="S121" s="188">
        <f t="shared" si="80"/>
        <v>5.3600000000000002E-3</v>
      </c>
      <c r="U121" s="184">
        <f t="shared" ca="1" si="67"/>
        <v>2135</v>
      </c>
      <c r="V121" s="182">
        <f t="shared" si="50"/>
        <v>0.02</v>
      </c>
      <c r="W121" s="180">
        <f>Parameters!$D$15</f>
        <v>5.0000000000000001E-3</v>
      </c>
      <c r="X121" s="182">
        <f t="shared" si="51"/>
        <v>2.5000000000000001E-2</v>
      </c>
      <c r="Y121" s="182">
        <f t="shared" si="68"/>
        <v>17.677271794935269</v>
      </c>
      <c r="AA121" s="189"/>
      <c r="AB121" s="184">
        <f t="shared" ca="1" si="69"/>
        <v>2135</v>
      </c>
      <c r="AC121" s="171">
        <f t="shared" si="52"/>
        <v>0</v>
      </c>
      <c r="AD121" s="171">
        <f t="shared" si="47"/>
        <v>0</v>
      </c>
      <c r="AE121" s="171">
        <f t="shared" si="79"/>
        <v>6886.6076690502441</v>
      </c>
      <c r="AF121" s="171">
        <f t="shared" si="70"/>
        <v>0</v>
      </c>
      <c r="AG121" s="171">
        <f t="shared" si="81"/>
        <v>0</v>
      </c>
      <c r="AH121" s="171">
        <f t="shared" si="53"/>
        <v>0</v>
      </c>
      <c r="AI121" s="171">
        <f t="shared" si="54"/>
        <v>0</v>
      </c>
      <c r="AJ121" s="171">
        <f>IF('Invoer gegevens'!$I$27="DAEB",SMALL(AC121:AD121,1),AC121)</f>
        <v>0</v>
      </c>
      <c r="AK121" s="171">
        <f>IF('Invoer gegevens'!$I$27="DAEB",SMALL((AE121:AH121),1),SMALL((AF121:AH121),1))</f>
        <v>0</v>
      </c>
      <c r="AL121" s="171">
        <f t="shared" si="76"/>
        <v>0</v>
      </c>
      <c r="AM121" s="171">
        <f t="shared" si="77"/>
        <v>0</v>
      </c>
      <c r="AN121" s="175">
        <f t="shared" si="72"/>
        <v>0</v>
      </c>
      <c r="AP121" s="184">
        <f t="shared" ca="1" si="73"/>
        <v>2135</v>
      </c>
      <c r="AQ121" s="185">
        <f t="shared" si="55"/>
        <v>0.02</v>
      </c>
      <c r="AR121" s="182">
        <f t="shared" si="45"/>
        <v>9.9901895092353747</v>
      </c>
      <c r="AU121" s="184">
        <f t="shared" ca="1" si="74"/>
        <v>2135</v>
      </c>
      <c r="AV121" s="182">
        <f t="shared" si="56"/>
        <v>0.02</v>
      </c>
      <c r="AW121" s="179">
        <f t="shared" si="57"/>
        <v>5.0000000000000001E-3</v>
      </c>
      <c r="AX121" s="182">
        <f t="shared" si="58"/>
        <v>2.5000000000000001E-2</v>
      </c>
      <c r="AY121" s="186"/>
      <c r="AZ121" s="190"/>
      <c r="BA121" s="184">
        <f t="shared" ca="1" si="75"/>
        <v>2135</v>
      </c>
      <c r="BB121" s="171">
        <f t="shared" si="59"/>
        <v>0</v>
      </c>
      <c r="BC121" s="171">
        <f t="shared" si="48"/>
        <v>6886.6076690502441</v>
      </c>
      <c r="BD121" s="171">
        <f t="shared" si="85"/>
        <v>0</v>
      </c>
      <c r="BE121" s="171">
        <f t="shared" si="85"/>
        <v>0</v>
      </c>
      <c r="BF121" s="171">
        <f t="shared" si="85"/>
        <v>0</v>
      </c>
      <c r="BG121" s="171">
        <f t="shared" si="85"/>
        <v>0</v>
      </c>
      <c r="BI121" s="187">
        <f>IF(A121-'Invoer gegevens'!$C$17&lt;0,0,IF(A121-'Invoer gegevens'!$C$17=0,1,IF(A121-'Invoer gegevens'!$C$17&lt;5,2,IF(A121-'Invoer gegevens'!$C$17&lt;15,3,4))))</f>
        <v>0</v>
      </c>
      <c r="BJ121" s="229">
        <f>IF(BI121&lt;1,0,IF(BI121&lt;2,4%,IF('Reeksen (N)'!BI121&lt;3,4%,IF('Reeksen (N)'!BI121&lt;4,4%*70%,IF('Reeksen (N)'!BI121&lt;5,4%*50%)))))</f>
        <v>0</v>
      </c>
    </row>
    <row r="122" spans="1:62" x14ac:dyDescent="0.25">
      <c r="A122" s="184">
        <f t="shared" si="60"/>
        <v>117</v>
      </c>
      <c r="B122" s="179">
        <f>Dashboard!$D$25</f>
        <v>0</v>
      </c>
      <c r="C122" s="179">
        <f>Dashboard!$D$25</f>
        <v>0</v>
      </c>
      <c r="D122" s="180">
        <f t="shared" si="49"/>
        <v>0</v>
      </c>
      <c r="E122" s="189"/>
      <c r="F122" s="184">
        <f t="shared" ca="1" si="61"/>
        <v>2136</v>
      </c>
      <c r="G122" s="179">
        <f t="shared" si="82"/>
        <v>0.02</v>
      </c>
      <c r="H122" s="182">
        <f t="shared" si="62"/>
        <v>10.199894363043114</v>
      </c>
      <c r="I122" s="179">
        <f t="shared" si="83"/>
        <v>2.5000000000000001E-2</v>
      </c>
      <c r="J122" s="182">
        <f t="shared" si="63"/>
        <v>18.101360942851919</v>
      </c>
      <c r="K122" s="179">
        <f t="shared" si="84"/>
        <v>2.5000000000000001E-2</v>
      </c>
      <c r="L122" s="182">
        <f t="shared" si="64"/>
        <v>18.101360942851919</v>
      </c>
      <c r="M122" s="189"/>
      <c r="N122" s="184">
        <f t="shared" ca="1" si="65"/>
        <v>2136</v>
      </c>
      <c r="O122" s="179">
        <f t="shared" si="78"/>
        <v>0.02</v>
      </c>
      <c r="P122" s="182">
        <f t="shared" ref="P122:P185" si="86">P121*(1+O122)</f>
        <v>10.189993299420083</v>
      </c>
      <c r="R122" s="184">
        <f t="shared" ca="1" si="66"/>
        <v>2136</v>
      </c>
      <c r="S122" s="188">
        <f t="shared" si="80"/>
        <v>5.3600000000000002E-3</v>
      </c>
      <c r="U122" s="184">
        <f t="shared" ca="1" si="67"/>
        <v>2136</v>
      </c>
      <c r="V122" s="182">
        <f t="shared" si="50"/>
        <v>0.02</v>
      </c>
      <c r="W122" s="180">
        <f>Parameters!$D$15</f>
        <v>5.0000000000000001E-3</v>
      </c>
      <c r="X122" s="182">
        <f t="shared" si="51"/>
        <v>2.5000000000000001E-2</v>
      </c>
      <c r="Y122" s="182">
        <f t="shared" si="68"/>
        <v>18.119203589808649</v>
      </c>
      <c r="AA122" s="189"/>
      <c r="AB122" s="184">
        <f t="shared" ca="1" si="69"/>
        <v>2136</v>
      </c>
      <c r="AC122" s="171">
        <f t="shared" si="52"/>
        <v>0</v>
      </c>
      <c r="AD122" s="171">
        <f t="shared" si="47"/>
        <v>0</v>
      </c>
      <c r="AE122" s="171">
        <f t="shared" si="79"/>
        <v>7024.3398224312496</v>
      </c>
      <c r="AF122" s="171">
        <f t="shared" si="70"/>
        <v>0</v>
      </c>
      <c r="AG122" s="171">
        <f t="shared" si="81"/>
        <v>0</v>
      </c>
      <c r="AH122" s="171">
        <f t="shared" si="53"/>
        <v>0</v>
      </c>
      <c r="AI122" s="171">
        <f t="shared" si="54"/>
        <v>0</v>
      </c>
      <c r="AJ122" s="171">
        <f>IF('Invoer gegevens'!$I$27="DAEB",SMALL(AC122:AD122,1),AC122)</f>
        <v>0</v>
      </c>
      <c r="AK122" s="171">
        <f>IF('Invoer gegevens'!$I$27="DAEB",SMALL((AE122:AH122),1),SMALL((AF122:AH122),1))</f>
        <v>0</v>
      </c>
      <c r="AL122" s="171">
        <f t="shared" si="76"/>
        <v>0</v>
      </c>
      <c r="AM122" s="171">
        <f t="shared" si="77"/>
        <v>0</v>
      </c>
      <c r="AN122" s="175">
        <f t="shared" si="72"/>
        <v>0</v>
      </c>
      <c r="AP122" s="184">
        <f t="shared" ca="1" si="73"/>
        <v>2136</v>
      </c>
      <c r="AQ122" s="185">
        <f t="shared" si="55"/>
        <v>0.02</v>
      </c>
      <c r="AR122" s="182">
        <f t="shared" ref="AR122:AR185" si="87">AR121*(1+AQ122)</f>
        <v>10.189993299420083</v>
      </c>
      <c r="AU122" s="184">
        <f t="shared" ca="1" si="74"/>
        <v>2136</v>
      </c>
      <c r="AV122" s="182">
        <f t="shared" si="56"/>
        <v>0.02</v>
      </c>
      <c r="AW122" s="179">
        <f t="shared" si="57"/>
        <v>5.0000000000000001E-3</v>
      </c>
      <c r="AX122" s="182">
        <f t="shared" si="58"/>
        <v>2.5000000000000001E-2</v>
      </c>
      <c r="AY122" s="186"/>
      <c r="AZ122" s="190"/>
      <c r="BA122" s="184">
        <f t="shared" ca="1" si="75"/>
        <v>2136</v>
      </c>
      <c r="BB122" s="171">
        <f t="shared" si="59"/>
        <v>0</v>
      </c>
      <c r="BC122" s="171">
        <f t="shared" si="48"/>
        <v>7024.3398224312496</v>
      </c>
      <c r="BD122" s="171">
        <f t="shared" si="85"/>
        <v>0</v>
      </c>
      <c r="BE122" s="171">
        <f t="shared" si="85"/>
        <v>0</v>
      </c>
      <c r="BF122" s="171">
        <f t="shared" si="85"/>
        <v>0</v>
      </c>
      <c r="BG122" s="171">
        <f t="shared" si="85"/>
        <v>0</v>
      </c>
      <c r="BI122" s="187">
        <f>IF(A122-'Invoer gegevens'!$C$17&lt;0,0,IF(A122-'Invoer gegevens'!$C$17=0,1,IF(A122-'Invoer gegevens'!$C$17&lt;5,2,IF(A122-'Invoer gegevens'!$C$17&lt;15,3,4))))</f>
        <v>0</v>
      </c>
      <c r="BJ122" s="229">
        <f>IF(BI122&lt;1,0,IF(BI122&lt;2,4%,IF('Reeksen (N)'!BI122&lt;3,4%,IF('Reeksen (N)'!BI122&lt;4,4%*70%,IF('Reeksen (N)'!BI122&lt;5,4%*50%)))))</f>
        <v>0</v>
      </c>
    </row>
    <row r="123" spans="1:62" x14ac:dyDescent="0.25">
      <c r="A123" s="184">
        <f t="shared" si="60"/>
        <v>118</v>
      </c>
      <c r="B123" s="179">
        <f>Dashboard!$D$25</f>
        <v>0</v>
      </c>
      <c r="C123" s="179">
        <f>Dashboard!$D$25</f>
        <v>0</v>
      </c>
      <c r="D123" s="180">
        <f t="shared" si="49"/>
        <v>0</v>
      </c>
      <c r="E123" s="189"/>
      <c r="F123" s="184">
        <f t="shared" ca="1" si="61"/>
        <v>2137</v>
      </c>
      <c r="G123" s="179">
        <f t="shared" si="82"/>
        <v>0.02</v>
      </c>
      <c r="H123" s="182">
        <f t="shared" si="62"/>
        <v>10.403892250303977</v>
      </c>
      <c r="I123" s="179">
        <f t="shared" si="83"/>
        <v>2.5000000000000001E-2</v>
      </c>
      <c r="J123" s="182">
        <f t="shared" si="63"/>
        <v>18.553894966423215</v>
      </c>
      <c r="K123" s="179">
        <f t="shared" si="84"/>
        <v>2.5000000000000001E-2</v>
      </c>
      <c r="L123" s="182">
        <f t="shared" si="64"/>
        <v>18.553894966423215</v>
      </c>
      <c r="M123" s="189"/>
      <c r="N123" s="184">
        <f t="shared" ca="1" si="65"/>
        <v>2137</v>
      </c>
      <c r="O123" s="179">
        <f t="shared" si="78"/>
        <v>0.02</v>
      </c>
      <c r="P123" s="182">
        <f t="shared" si="86"/>
        <v>10.393793165408484</v>
      </c>
      <c r="R123" s="184">
        <f t="shared" ca="1" si="66"/>
        <v>2137</v>
      </c>
      <c r="S123" s="188">
        <f t="shared" si="80"/>
        <v>5.3600000000000002E-3</v>
      </c>
      <c r="U123" s="184">
        <f t="shared" ca="1" si="67"/>
        <v>2137</v>
      </c>
      <c r="V123" s="182">
        <f t="shared" si="50"/>
        <v>0.02</v>
      </c>
      <c r="W123" s="180">
        <f>Parameters!$D$15</f>
        <v>5.0000000000000001E-3</v>
      </c>
      <c r="X123" s="182">
        <f t="shared" si="51"/>
        <v>2.5000000000000001E-2</v>
      </c>
      <c r="Y123" s="182">
        <f t="shared" si="68"/>
        <v>18.572183679553863</v>
      </c>
      <c r="AA123" s="189"/>
      <c r="AB123" s="184">
        <f t="shared" ca="1" si="69"/>
        <v>2137</v>
      </c>
      <c r="AC123" s="171">
        <f t="shared" si="52"/>
        <v>0</v>
      </c>
      <c r="AD123" s="171">
        <f t="shared" si="47"/>
        <v>0</v>
      </c>
      <c r="AE123" s="171">
        <f t="shared" si="79"/>
        <v>7164.8266188798743</v>
      </c>
      <c r="AF123" s="171">
        <f t="shared" si="70"/>
        <v>0</v>
      </c>
      <c r="AG123" s="171">
        <f t="shared" si="81"/>
        <v>0</v>
      </c>
      <c r="AH123" s="171">
        <f t="shared" si="53"/>
        <v>0</v>
      </c>
      <c r="AI123" s="171">
        <f t="shared" si="54"/>
        <v>0</v>
      </c>
      <c r="AJ123" s="171">
        <f>IF('Invoer gegevens'!$I$27="DAEB",SMALL(AC123:AD123,1),AC123)</f>
        <v>0</v>
      </c>
      <c r="AK123" s="171">
        <f>IF('Invoer gegevens'!$I$27="DAEB",SMALL((AE123:AH123),1),SMALL((AF123:AH123),1))</f>
        <v>0</v>
      </c>
      <c r="AL123" s="171">
        <f t="shared" si="76"/>
        <v>0</v>
      </c>
      <c r="AM123" s="171">
        <f t="shared" si="77"/>
        <v>0</v>
      </c>
      <c r="AN123" s="175">
        <f t="shared" si="72"/>
        <v>0</v>
      </c>
      <c r="AP123" s="184">
        <f t="shared" ca="1" si="73"/>
        <v>2137</v>
      </c>
      <c r="AQ123" s="185">
        <f t="shared" si="55"/>
        <v>0.02</v>
      </c>
      <c r="AR123" s="182">
        <f t="shared" si="87"/>
        <v>10.393793165408484</v>
      </c>
      <c r="AU123" s="184">
        <f t="shared" ca="1" si="74"/>
        <v>2137</v>
      </c>
      <c r="AV123" s="182">
        <f t="shared" si="56"/>
        <v>0.02</v>
      </c>
      <c r="AW123" s="179">
        <f t="shared" si="57"/>
        <v>5.0000000000000001E-3</v>
      </c>
      <c r="AX123" s="182">
        <f t="shared" si="58"/>
        <v>2.5000000000000001E-2</v>
      </c>
      <c r="AY123" s="186"/>
      <c r="AZ123" s="190"/>
      <c r="BA123" s="184">
        <f t="shared" ca="1" si="75"/>
        <v>2137</v>
      </c>
      <c r="BB123" s="171">
        <f t="shared" si="59"/>
        <v>0</v>
      </c>
      <c r="BC123" s="171">
        <f t="shared" si="48"/>
        <v>7164.8266188798743</v>
      </c>
      <c r="BD123" s="171">
        <f t="shared" si="85"/>
        <v>0</v>
      </c>
      <c r="BE123" s="171">
        <f t="shared" si="85"/>
        <v>0</v>
      </c>
      <c r="BF123" s="171">
        <f t="shared" si="85"/>
        <v>0</v>
      </c>
      <c r="BG123" s="171">
        <f t="shared" si="85"/>
        <v>0</v>
      </c>
      <c r="BI123" s="187">
        <f>IF(A123-'Invoer gegevens'!$C$17&lt;0,0,IF(A123-'Invoer gegevens'!$C$17=0,1,IF(A123-'Invoer gegevens'!$C$17&lt;5,2,IF(A123-'Invoer gegevens'!$C$17&lt;15,3,4))))</f>
        <v>0</v>
      </c>
      <c r="BJ123" s="229">
        <f>IF(BI123&lt;1,0,IF(BI123&lt;2,4%,IF('Reeksen (N)'!BI123&lt;3,4%,IF('Reeksen (N)'!BI123&lt;4,4%*70%,IF('Reeksen (N)'!BI123&lt;5,4%*50%)))))</f>
        <v>0</v>
      </c>
    </row>
    <row r="124" spans="1:62" x14ac:dyDescent="0.25">
      <c r="A124" s="184">
        <f t="shared" si="60"/>
        <v>119</v>
      </c>
      <c r="B124" s="179">
        <f>Dashboard!$D$25</f>
        <v>0</v>
      </c>
      <c r="C124" s="179">
        <f>Dashboard!$D$25</f>
        <v>0</v>
      </c>
      <c r="D124" s="180">
        <f t="shared" si="49"/>
        <v>0</v>
      </c>
      <c r="E124" s="189"/>
      <c r="F124" s="184">
        <f t="shared" ca="1" si="61"/>
        <v>2138</v>
      </c>
      <c r="G124" s="179">
        <f t="shared" si="82"/>
        <v>0.02</v>
      </c>
      <c r="H124" s="182">
        <f t="shared" si="62"/>
        <v>10.611970095310058</v>
      </c>
      <c r="I124" s="179">
        <f t="shared" si="83"/>
        <v>2.5000000000000001E-2</v>
      </c>
      <c r="J124" s="182">
        <f t="shared" si="63"/>
        <v>19.017742340583794</v>
      </c>
      <c r="K124" s="179">
        <f t="shared" si="84"/>
        <v>2.5000000000000001E-2</v>
      </c>
      <c r="L124" s="182">
        <f t="shared" si="64"/>
        <v>19.017742340583794</v>
      </c>
      <c r="M124" s="189"/>
      <c r="N124" s="184">
        <f t="shared" ca="1" si="65"/>
        <v>2138</v>
      </c>
      <c r="O124" s="179">
        <f t="shared" si="78"/>
        <v>0.02</v>
      </c>
      <c r="P124" s="182">
        <f t="shared" si="86"/>
        <v>10.601669028716653</v>
      </c>
      <c r="R124" s="184">
        <f t="shared" ca="1" si="66"/>
        <v>2138</v>
      </c>
      <c r="S124" s="188">
        <f t="shared" si="80"/>
        <v>5.3600000000000002E-3</v>
      </c>
      <c r="U124" s="184">
        <f t="shared" ca="1" si="67"/>
        <v>2138</v>
      </c>
      <c r="V124" s="182">
        <f t="shared" si="50"/>
        <v>0.02</v>
      </c>
      <c r="W124" s="180">
        <f>Parameters!$D$15</f>
        <v>5.0000000000000001E-3</v>
      </c>
      <c r="X124" s="182">
        <f t="shared" si="51"/>
        <v>2.5000000000000001E-2</v>
      </c>
      <c r="Y124" s="182">
        <f t="shared" si="68"/>
        <v>19.036488271542709</v>
      </c>
      <c r="AA124" s="189"/>
      <c r="AB124" s="184">
        <f t="shared" ca="1" si="69"/>
        <v>2138</v>
      </c>
      <c r="AC124" s="171">
        <f t="shared" si="52"/>
        <v>0</v>
      </c>
      <c r="AD124" s="171">
        <f t="shared" si="47"/>
        <v>0</v>
      </c>
      <c r="AE124" s="171">
        <f t="shared" si="79"/>
        <v>7308.1231512574723</v>
      </c>
      <c r="AF124" s="171">
        <f t="shared" si="70"/>
        <v>0</v>
      </c>
      <c r="AG124" s="171">
        <f t="shared" si="81"/>
        <v>0</v>
      </c>
      <c r="AH124" s="171">
        <f t="shared" si="53"/>
        <v>0</v>
      </c>
      <c r="AI124" s="171">
        <f t="shared" si="54"/>
        <v>0</v>
      </c>
      <c r="AJ124" s="171">
        <f>IF('Invoer gegevens'!$I$27="DAEB",SMALL(AC124:AD124,1),AC124)</f>
        <v>0</v>
      </c>
      <c r="AK124" s="171">
        <f>IF('Invoer gegevens'!$I$27="DAEB",SMALL((AE124:AH124),1),SMALL((AF124:AH124),1))</f>
        <v>0</v>
      </c>
      <c r="AL124" s="171">
        <f t="shared" si="76"/>
        <v>0</v>
      </c>
      <c r="AM124" s="171">
        <f t="shared" si="77"/>
        <v>0</v>
      </c>
      <c r="AN124" s="175">
        <f t="shared" si="72"/>
        <v>0</v>
      </c>
      <c r="AP124" s="184">
        <f t="shared" ca="1" si="73"/>
        <v>2138</v>
      </c>
      <c r="AQ124" s="185">
        <f t="shared" si="55"/>
        <v>0.02</v>
      </c>
      <c r="AR124" s="182">
        <f t="shared" si="87"/>
        <v>10.601669028716653</v>
      </c>
      <c r="AU124" s="184">
        <f t="shared" ca="1" si="74"/>
        <v>2138</v>
      </c>
      <c r="AV124" s="182">
        <f t="shared" si="56"/>
        <v>0.02</v>
      </c>
      <c r="AW124" s="179">
        <f t="shared" si="57"/>
        <v>5.0000000000000001E-3</v>
      </c>
      <c r="AX124" s="182">
        <f t="shared" si="58"/>
        <v>2.5000000000000001E-2</v>
      </c>
      <c r="AY124" s="186"/>
      <c r="AZ124" s="190"/>
      <c r="BA124" s="184">
        <f t="shared" ca="1" si="75"/>
        <v>2138</v>
      </c>
      <c r="BB124" s="171">
        <f t="shared" si="59"/>
        <v>0</v>
      </c>
      <c r="BC124" s="171">
        <f t="shared" si="48"/>
        <v>7308.1231512574723</v>
      </c>
      <c r="BD124" s="171">
        <f t="shared" si="85"/>
        <v>0</v>
      </c>
      <c r="BE124" s="171">
        <f t="shared" si="85"/>
        <v>0</v>
      </c>
      <c r="BF124" s="171">
        <f t="shared" si="85"/>
        <v>0</v>
      </c>
      <c r="BG124" s="171">
        <f t="shared" si="85"/>
        <v>0</v>
      </c>
      <c r="BI124" s="187">
        <f>IF(A124-'Invoer gegevens'!$C$17&lt;0,0,IF(A124-'Invoer gegevens'!$C$17=0,1,IF(A124-'Invoer gegevens'!$C$17&lt;5,2,IF(A124-'Invoer gegevens'!$C$17&lt;15,3,4))))</f>
        <v>0</v>
      </c>
      <c r="BJ124" s="229">
        <f>IF(BI124&lt;1,0,IF(BI124&lt;2,4%,IF('Reeksen (N)'!BI124&lt;3,4%,IF('Reeksen (N)'!BI124&lt;4,4%*70%,IF('Reeksen (N)'!BI124&lt;5,4%*50%)))))</f>
        <v>0</v>
      </c>
    </row>
    <row r="125" spans="1:62" x14ac:dyDescent="0.25">
      <c r="A125" s="184">
        <f t="shared" si="60"/>
        <v>120</v>
      </c>
      <c r="B125" s="179">
        <f>Dashboard!$D$25</f>
        <v>0</v>
      </c>
      <c r="C125" s="179">
        <f>Dashboard!$D$25</f>
        <v>0</v>
      </c>
      <c r="D125" s="180">
        <f t="shared" si="49"/>
        <v>0</v>
      </c>
      <c r="E125" s="189"/>
      <c r="F125" s="184">
        <f t="shared" ca="1" si="61"/>
        <v>2139</v>
      </c>
      <c r="G125" s="179">
        <f t="shared" si="82"/>
        <v>0.02</v>
      </c>
      <c r="H125" s="182">
        <f t="shared" si="62"/>
        <v>10.824209497216259</v>
      </c>
      <c r="I125" s="179">
        <f t="shared" si="83"/>
        <v>2.5000000000000001E-2</v>
      </c>
      <c r="J125" s="182">
        <f t="shared" si="63"/>
        <v>19.493185899098389</v>
      </c>
      <c r="K125" s="179">
        <f t="shared" si="84"/>
        <v>2.5000000000000001E-2</v>
      </c>
      <c r="L125" s="182">
        <f t="shared" si="64"/>
        <v>19.493185899098389</v>
      </c>
      <c r="M125" s="189"/>
      <c r="N125" s="184">
        <f t="shared" ca="1" si="65"/>
        <v>2139</v>
      </c>
      <c r="O125" s="179">
        <f t="shared" si="78"/>
        <v>0.02</v>
      </c>
      <c r="P125" s="182">
        <f t="shared" si="86"/>
        <v>10.813702409290986</v>
      </c>
      <c r="R125" s="184">
        <f t="shared" ca="1" si="66"/>
        <v>2139</v>
      </c>
      <c r="S125" s="188">
        <f t="shared" si="80"/>
        <v>5.3600000000000002E-3</v>
      </c>
      <c r="U125" s="184">
        <f t="shared" ca="1" si="67"/>
        <v>2139</v>
      </c>
      <c r="V125" s="182">
        <f t="shared" si="50"/>
        <v>0.02</v>
      </c>
      <c r="W125" s="180">
        <f>Parameters!$D$15</f>
        <v>5.0000000000000001E-3</v>
      </c>
      <c r="X125" s="182">
        <f t="shared" si="51"/>
        <v>2.5000000000000001E-2</v>
      </c>
      <c r="Y125" s="182">
        <f t="shared" si="68"/>
        <v>19.512400478331276</v>
      </c>
      <c r="AA125" s="189"/>
      <c r="AB125" s="184">
        <f t="shared" ca="1" si="69"/>
        <v>2139</v>
      </c>
      <c r="AC125" s="171">
        <f t="shared" si="52"/>
        <v>0</v>
      </c>
      <c r="AD125" s="171">
        <f t="shared" si="47"/>
        <v>0</v>
      </c>
      <c r="AE125" s="171">
        <f t="shared" si="79"/>
        <v>7454.2856142826222</v>
      </c>
      <c r="AF125" s="171">
        <f t="shared" si="70"/>
        <v>0</v>
      </c>
      <c r="AG125" s="171">
        <f t="shared" si="81"/>
        <v>0</v>
      </c>
      <c r="AH125" s="171">
        <f t="shared" si="53"/>
        <v>0</v>
      </c>
      <c r="AI125" s="171">
        <f t="shared" si="54"/>
        <v>0</v>
      </c>
      <c r="AJ125" s="171">
        <f>IF('Invoer gegevens'!$I$27="DAEB",SMALL(AC125:AD125,1),AC125)</f>
        <v>0</v>
      </c>
      <c r="AK125" s="171">
        <f>IF('Invoer gegevens'!$I$27="DAEB",SMALL((AE125:AH125),1),SMALL((AF125:AH125),1))</f>
        <v>0</v>
      </c>
      <c r="AL125" s="171">
        <f t="shared" si="76"/>
        <v>0</v>
      </c>
      <c r="AM125" s="171">
        <f t="shared" si="77"/>
        <v>0</v>
      </c>
      <c r="AN125" s="175">
        <f t="shared" si="72"/>
        <v>0</v>
      </c>
      <c r="AP125" s="184">
        <f t="shared" ca="1" si="73"/>
        <v>2139</v>
      </c>
      <c r="AQ125" s="185">
        <f t="shared" si="55"/>
        <v>0.02</v>
      </c>
      <c r="AR125" s="182">
        <f t="shared" si="87"/>
        <v>10.813702409290986</v>
      </c>
      <c r="AU125" s="184">
        <f t="shared" ca="1" si="74"/>
        <v>2139</v>
      </c>
      <c r="AV125" s="182">
        <f t="shared" si="56"/>
        <v>0.02</v>
      </c>
      <c r="AW125" s="179">
        <f t="shared" si="57"/>
        <v>5.0000000000000001E-3</v>
      </c>
      <c r="AX125" s="182">
        <f t="shared" si="58"/>
        <v>2.5000000000000001E-2</v>
      </c>
      <c r="AY125" s="186"/>
      <c r="AZ125" s="190"/>
      <c r="BA125" s="184">
        <f t="shared" ca="1" si="75"/>
        <v>2139</v>
      </c>
      <c r="BB125" s="171">
        <f t="shared" si="59"/>
        <v>0</v>
      </c>
      <c r="BC125" s="171">
        <f t="shared" si="48"/>
        <v>7454.2856142826222</v>
      </c>
      <c r="BD125" s="171">
        <f t="shared" si="85"/>
        <v>0</v>
      </c>
      <c r="BE125" s="171">
        <f t="shared" si="85"/>
        <v>0</v>
      </c>
      <c r="BF125" s="171">
        <f t="shared" si="85"/>
        <v>0</v>
      </c>
      <c r="BG125" s="171">
        <f t="shared" si="85"/>
        <v>0</v>
      </c>
      <c r="BI125" s="187">
        <f>IF(A125-'Invoer gegevens'!$C$17&lt;0,0,IF(A125-'Invoer gegevens'!$C$17=0,1,IF(A125-'Invoer gegevens'!$C$17&lt;5,2,IF(A125-'Invoer gegevens'!$C$17&lt;15,3,4))))</f>
        <v>0</v>
      </c>
      <c r="BJ125" s="229">
        <f>IF(BI125&lt;1,0,IF(BI125&lt;2,4%,IF('Reeksen (N)'!BI125&lt;3,4%,IF('Reeksen (N)'!BI125&lt;4,4%*70%,IF('Reeksen (N)'!BI125&lt;5,4%*50%)))))</f>
        <v>0</v>
      </c>
    </row>
    <row r="126" spans="1:62" x14ac:dyDescent="0.25">
      <c r="A126" s="184">
        <f t="shared" si="60"/>
        <v>121</v>
      </c>
      <c r="B126" s="179">
        <f>Dashboard!$D$25</f>
        <v>0</v>
      </c>
      <c r="C126" s="179">
        <f>Dashboard!$D$25</f>
        <v>0</v>
      </c>
      <c r="D126" s="180">
        <f t="shared" si="49"/>
        <v>0</v>
      </c>
      <c r="E126" s="189"/>
      <c r="F126" s="184">
        <f t="shared" ca="1" si="61"/>
        <v>2140</v>
      </c>
      <c r="G126" s="179">
        <f t="shared" si="82"/>
        <v>0.02</v>
      </c>
      <c r="H126" s="182">
        <f t="shared" si="62"/>
        <v>11.040693687160584</v>
      </c>
      <c r="I126" s="179">
        <f t="shared" si="83"/>
        <v>2.5000000000000001E-2</v>
      </c>
      <c r="J126" s="182">
        <f t="shared" si="63"/>
        <v>19.980515546575848</v>
      </c>
      <c r="K126" s="179">
        <f t="shared" si="84"/>
        <v>2.5000000000000001E-2</v>
      </c>
      <c r="L126" s="182">
        <f t="shared" si="64"/>
        <v>19.980515546575848</v>
      </c>
      <c r="M126" s="189"/>
      <c r="N126" s="184">
        <f t="shared" ca="1" si="65"/>
        <v>2140</v>
      </c>
      <c r="O126" s="179">
        <f t="shared" si="78"/>
        <v>0.02</v>
      </c>
      <c r="P126" s="182">
        <f t="shared" si="86"/>
        <v>11.029976457476806</v>
      </c>
      <c r="R126" s="184">
        <f t="shared" ca="1" si="66"/>
        <v>2140</v>
      </c>
      <c r="S126" s="188">
        <f t="shared" si="80"/>
        <v>5.3600000000000002E-3</v>
      </c>
      <c r="U126" s="184">
        <f t="shared" ca="1" si="67"/>
        <v>2140</v>
      </c>
      <c r="V126" s="182">
        <f t="shared" si="50"/>
        <v>0.02</v>
      </c>
      <c r="W126" s="180">
        <f>Parameters!$D$15</f>
        <v>5.0000000000000001E-3</v>
      </c>
      <c r="X126" s="182">
        <f t="shared" si="51"/>
        <v>2.5000000000000001E-2</v>
      </c>
      <c r="Y126" s="182">
        <f t="shared" si="68"/>
        <v>20.000210490289557</v>
      </c>
      <c r="AA126" s="189"/>
      <c r="AB126" s="184">
        <f t="shared" ca="1" si="69"/>
        <v>2140</v>
      </c>
      <c r="AC126" s="171">
        <f t="shared" si="52"/>
        <v>0</v>
      </c>
      <c r="AD126" s="171">
        <f t="shared" si="47"/>
        <v>0</v>
      </c>
      <c r="AE126" s="171">
        <f t="shared" si="79"/>
        <v>7603.3713265682745</v>
      </c>
      <c r="AF126" s="171">
        <f t="shared" si="70"/>
        <v>0</v>
      </c>
      <c r="AG126" s="171">
        <f t="shared" si="81"/>
        <v>0</v>
      </c>
      <c r="AH126" s="171">
        <f t="shared" si="53"/>
        <v>0</v>
      </c>
      <c r="AI126" s="171">
        <f t="shared" si="54"/>
        <v>0</v>
      </c>
      <c r="AJ126" s="171">
        <f>IF('Invoer gegevens'!$I$27="DAEB",SMALL(AC126:AD126,1),AC126)</f>
        <v>0</v>
      </c>
      <c r="AK126" s="171">
        <f>IF('Invoer gegevens'!$I$27="DAEB",SMALL((AE126:AH126),1),SMALL((AF126:AH126),1))</f>
        <v>0</v>
      </c>
      <c r="AL126" s="171">
        <f t="shared" si="76"/>
        <v>0</v>
      </c>
      <c r="AM126" s="171">
        <f t="shared" si="77"/>
        <v>0</v>
      </c>
      <c r="AN126" s="175">
        <f t="shared" si="72"/>
        <v>0</v>
      </c>
      <c r="AP126" s="184">
        <f t="shared" ca="1" si="73"/>
        <v>2140</v>
      </c>
      <c r="AQ126" s="185">
        <f t="shared" si="55"/>
        <v>0.02</v>
      </c>
      <c r="AR126" s="182">
        <f t="shared" si="87"/>
        <v>11.029976457476806</v>
      </c>
      <c r="AU126" s="184">
        <f t="shared" ca="1" si="74"/>
        <v>2140</v>
      </c>
      <c r="AV126" s="182">
        <f t="shared" si="56"/>
        <v>0.02</v>
      </c>
      <c r="AW126" s="179">
        <f t="shared" si="57"/>
        <v>5.0000000000000001E-3</v>
      </c>
      <c r="AX126" s="182">
        <f t="shared" si="58"/>
        <v>2.5000000000000001E-2</v>
      </c>
      <c r="AY126" s="186"/>
      <c r="AZ126" s="190"/>
      <c r="BA126" s="184">
        <f t="shared" ca="1" si="75"/>
        <v>2140</v>
      </c>
      <c r="BB126" s="171">
        <f t="shared" si="59"/>
        <v>0</v>
      </c>
      <c r="BC126" s="171">
        <f t="shared" si="48"/>
        <v>7603.3713265682745</v>
      </c>
      <c r="BD126" s="171">
        <f t="shared" si="85"/>
        <v>0</v>
      </c>
      <c r="BE126" s="171">
        <f t="shared" si="85"/>
        <v>0</v>
      </c>
      <c r="BF126" s="171">
        <f t="shared" si="85"/>
        <v>0</v>
      </c>
      <c r="BG126" s="171">
        <f t="shared" si="85"/>
        <v>0</v>
      </c>
      <c r="BI126" s="187">
        <f>IF(A126-'Invoer gegevens'!$C$17&lt;0,0,IF(A126-'Invoer gegevens'!$C$17=0,1,IF(A126-'Invoer gegevens'!$C$17&lt;5,2,IF(A126-'Invoer gegevens'!$C$17&lt;15,3,4))))</f>
        <v>0</v>
      </c>
      <c r="BJ126" s="229">
        <f>IF(BI126&lt;1,0,IF(BI126&lt;2,4%,IF('Reeksen (N)'!BI126&lt;3,4%,IF('Reeksen (N)'!BI126&lt;4,4%*70%,IF('Reeksen (N)'!BI126&lt;5,4%*50%)))))</f>
        <v>0</v>
      </c>
    </row>
    <row r="127" spans="1:62" x14ac:dyDescent="0.25">
      <c r="A127" s="184">
        <f t="shared" si="60"/>
        <v>122</v>
      </c>
      <c r="B127" s="179">
        <f>Dashboard!$D$25</f>
        <v>0</v>
      </c>
      <c r="C127" s="179">
        <f>Dashboard!$D$25</f>
        <v>0</v>
      </c>
      <c r="D127" s="180">
        <f t="shared" si="49"/>
        <v>0</v>
      </c>
      <c r="E127" s="189"/>
      <c r="F127" s="184">
        <f t="shared" ca="1" si="61"/>
        <v>2141</v>
      </c>
      <c r="G127" s="179">
        <f t="shared" si="82"/>
        <v>0.02</v>
      </c>
      <c r="H127" s="182">
        <f t="shared" si="62"/>
        <v>11.261507560903796</v>
      </c>
      <c r="I127" s="179">
        <f t="shared" si="83"/>
        <v>2.5000000000000001E-2</v>
      </c>
      <c r="J127" s="182">
        <f t="shared" si="63"/>
        <v>20.480028435240243</v>
      </c>
      <c r="K127" s="179">
        <f t="shared" si="84"/>
        <v>2.5000000000000001E-2</v>
      </c>
      <c r="L127" s="182">
        <f t="shared" si="64"/>
        <v>20.480028435240243</v>
      </c>
      <c r="M127" s="189"/>
      <c r="N127" s="184">
        <f t="shared" ca="1" si="65"/>
        <v>2141</v>
      </c>
      <c r="O127" s="179">
        <f t="shared" si="78"/>
        <v>0.02</v>
      </c>
      <c r="P127" s="182">
        <f t="shared" si="86"/>
        <v>11.250575986626343</v>
      </c>
      <c r="R127" s="184">
        <f t="shared" ca="1" si="66"/>
        <v>2141</v>
      </c>
      <c r="S127" s="188">
        <f t="shared" si="80"/>
        <v>5.3600000000000002E-3</v>
      </c>
      <c r="U127" s="184">
        <f t="shared" ca="1" si="67"/>
        <v>2141</v>
      </c>
      <c r="V127" s="182">
        <f t="shared" si="50"/>
        <v>0.02</v>
      </c>
      <c r="W127" s="180">
        <f>Parameters!$D$15</f>
        <v>5.0000000000000001E-3</v>
      </c>
      <c r="X127" s="182">
        <f t="shared" si="51"/>
        <v>2.5000000000000001E-2</v>
      </c>
      <c r="Y127" s="182">
        <f t="shared" si="68"/>
        <v>20.500215752546794</v>
      </c>
      <c r="AA127" s="189"/>
      <c r="AB127" s="184">
        <f t="shared" ca="1" si="69"/>
        <v>2141</v>
      </c>
      <c r="AC127" s="171">
        <f t="shared" si="52"/>
        <v>0</v>
      </c>
      <c r="AD127" s="171">
        <f t="shared" si="47"/>
        <v>0</v>
      </c>
      <c r="AE127" s="171">
        <f t="shared" si="79"/>
        <v>7755.4387530996401</v>
      </c>
      <c r="AF127" s="171">
        <f t="shared" si="70"/>
        <v>0</v>
      </c>
      <c r="AG127" s="171">
        <f t="shared" si="81"/>
        <v>0</v>
      </c>
      <c r="AH127" s="171">
        <f t="shared" si="53"/>
        <v>0</v>
      </c>
      <c r="AI127" s="171">
        <f t="shared" si="54"/>
        <v>0</v>
      </c>
      <c r="AJ127" s="171">
        <f>IF('Invoer gegevens'!$I$27="DAEB",SMALL(AC127:AD127,1),AC127)</f>
        <v>0</v>
      </c>
      <c r="AK127" s="171">
        <f>IF('Invoer gegevens'!$I$27="DAEB",SMALL((AE127:AH127),1),SMALL((AF127:AH127),1))</f>
        <v>0</v>
      </c>
      <c r="AL127" s="171">
        <f t="shared" si="76"/>
        <v>0</v>
      </c>
      <c r="AM127" s="171">
        <f t="shared" si="77"/>
        <v>0</v>
      </c>
      <c r="AN127" s="175">
        <f t="shared" si="72"/>
        <v>0</v>
      </c>
      <c r="AP127" s="184">
        <f t="shared" ca="1" si="73"/>
        <v>2141</v>
      </c>
      <c r="AQ127" s="185">
        <f t="shared" si="55"/>
        <v>0.02</v>
      </c>
      <c r="AR127" s="182">
        <f t="shared" si="87"/>
        <v>11.250575986626343</v>
      </c>
      <c r="AU127" s="184">
        <f t="shared" ca="1" si="74"/>
        <v>2141</v>
      </c>
      <c r="AV127" s="182">
        <f t="shared" si="56"/>
        <v>0.02</v>
      </c>
      <c r="AW127" s="179">
        <f t="shared" si="57"/>
        <v>5.0000000000000001E-3</v>
      </c>
      <c r="AX127" s="182">
        <f t="shared" si="58"/>
        <v>2.5000000000000001E-2</v>
      </c>
      <c r="AY127" s="186"/>
      <c r="AZ127" s="190"/>
      <c r="BA127" s="184">
        <f t="shared" ca="1" si="75"/>
        <v>2141</v>
      </c>
      <c r="BB127" s="171">
        <f t="shared" si="59"/>
        <v>0</v>
      </c>
      <c r="BC127" s="171">
        <f t="shared" si="48"/>
        <v>7755.4387530996401</v>
      </c>
      <c r="BD127" s="171">
        <f t="shared" si="85"/>
        <v>0</v>
      </c>
      <c r="BE127" s="171">
        <f t="shared" si="85"/>
        <v>0</v>
      </c>
      <c r="BF127" s="171">
        <f t="shared" si="85"/>
        <v>0</v>
      </c>
      <c r="BG127" s="171">
        <f t="shared" si="85"/>
        <v>0</v>
      </c>
      <c r="BI127" s="187">
        <f>IF(A127-'Invoer gegevens'!$C$17&lt;0,0,IF(A127-'Invoer gegevens'!$C$17=0,1,IF(A127-'Invoer gegevens'!$C$17&lt;5,2,IF(A127-'Invoer gegevens'!$C$17&lt;15,3,4))))</f>
        <v>0</v>
      </c>
      <c r="BJ127" s="229">
        <f>IF(BI127&lt;1,0,IF(BI127&lt;2,4%,IF('Reeksen (N)'!BI127&lt;3,4%,IF('Reeksen (N)'!BI127&lt;4,4%*70%,IF('Reeksen (N)'!BI127&lt;5,4%*50%)))))</f>
        <v>0</v>
      </c>
    </row>
    <row r="128" spans="1:62" x14ac:dyDescent="0.25">
      <c r="A128" s="184">
        <f t="shared" si="60"/>
        <v>123</v>
      </c>
      <c r="B128" s="179">
        <f>Dashboard!$D$25</f>
        <v>0</v>
      </c>
      <c r="C128" s="179">
        <f>Dashboard!$D$25</f>
        <v>0</v>
      </c>
      <c r="D128" s="180">
        <f t="shared" si="49"/>
        <v>0</v>
      </c>
      <c r="E128" s="189"/>
      <c r="F128" s="184">
        <f t="shared" ca="1" si="61"/>
        <v>2142</v>
      </c>
      <c r="G128" s="179">
        <f t="shared" si="82"/>
        <v>0.02</v>
      </c>
      <c r="H128" s="182">
        <f t="shared" si="62"/>
        <v>11.486737712121872</v>
      </c>
      <c r="I128" s="179">
        <f t="shared" si="83"/>
        <v>2.5000000000000001E-2</v>
      </c>
      <c r="J128" s="182">
        <f t="shared" si="63"/>
        <v>20.992029146121247</v>
      </c>
      <c r="K128" s="179">
        <f t="shared" si="84"/>
        <v>2.5000000000000001E-2</v>
      </c>
      <c r="L128" s="182">
        <f t="shared" si="64"/>
        <v>20.992029146121247</v>
      </c>
      <c r="M128" s="189"/>
      <c r="N128" s="184">
        <f t="shared" ca="1" si="65"/>
        <v>2142</v>
      </c>
      <c r="O128" s="179">
        <f t="shared" si="78"/>
        <v>0.02</v>
      </c>
      <c r="P128" s="182">
        <f t="shared" si="86"/>
        <v>11.47558750635887</v>
      </c>
      <c r="R128" s="184">
        <f t="shared" ca="1" si="66"/>
        <v>2142</v>
      </c>
      <c r="S128" s="188">
        <f t="shared" si="80"/>
        <v>5.3600000000000002E-3</v>
      </c>
      <c r="U128" s="184">
        <f t="shared" ca="1" si="67"/>
        <v>2142</v>
      </c>
      <c r="V128" s="182">
        <f t="shared" si="50"/>
        <v>0.02</v>
      </c>
      <c r="W128" s="180">
        <f>Parameters!$D$15</f>
        <v>5.0000000000000001E-3</v>
      </c>
      <c r="X128" s="182">
        <f t="shared" si="51"/>
        <v>2.5000000000000001E-2</v>
      </c>
      <c r="Y128" s="182">
        <f t="shared" si="68"/>
        <v>21.012721146360462</v>
      </c>
      <c r="AA128" s="189"/>
      <c r="AB128" s="184">
        <f t="shared" ca="1" si="69"/>
        <v>2142</v>
      </c>
      <c r="AC128" s="171">
        <f t="shared" si="52"/>
        <v>0</v>
      </c>
      <c r="AD128" s="171">
        <f t="shared" si="47"/>
        <v>0</v>
      </c>
      <c r="AE128" s="171">
        <f t="shared" si="79"/>
        <v>7910.5475281616327</v>
      </c>
      <c r="AF128" s="171">
        <f t="shared" si="70"/>
        <v>0</v>
      </c>
      <c r="AG128" s="171">
        <f t="shared" si="81"/>
        <v>0</v>
      </c>
      <c r="AH128" s="171">
        <f t="shared" si="53"/>
        <v>0</v>
      </c>
      <c r="AI128" s="171">
        <f t="shared" si="54"/>
        <v>0</v>
      </c>
      <c r="AJ128" s="171">
        <f>IF('Invoer gegevens'!$I$27="DAEB",SMALL(AC128:AD128,1),AC128)</f>
        <v>0</v>
      </c>
      <c r="AK128" s="171">
        <f>IF('Invoer gegevens'!$I$27="DAEB",SMALL((AE128:AH128),1),SMALL((AF128:AH128),1))</f>
        <v>0</v>
      </c>
      <c r="AL128" s="171">
        <f t="shared" si="76"/>
        <v>0</v>
      </c>
      <c r="AM128" s="171">
        <f t="shared" si="77"/>
        <v>0</v>
      </c>
      <c r="AN128" s="175">
        <f t="shared" si="72"/>
        <v>0</v>
      </c>
      <c r="AP128" s="184">
        <f t="shared" ca="1" si="73"/>
        <v>2142</v>
      </c>
      <c r="AQ128" s="185">
        <f t="shared" si="55"/>
        <v>0.02</v>
      </c>
      <c r="AR128" s="182">
        <f t="shared" si="87"/>
        <v>11.47558750635887</v>
      </c>
      <c r="AU128" s="184">
        <f t="shared" ca="1" si="74"/>
        <v>2142</v>
      </c>
      <c r="AV128" s="182">
        <f t="shared" si="56"/>
        <v>0.02</v>
      </c>
      <c r="AW128" s="179">
        <f t="shared" si="57"/>
        <v>5.0000000000000001E-3</v>
      </c>
      <c r="AX128" s="182">
        <f t="shared" si="58"/>
        <v>2.5000000000000001E-2</v>
      </c>
      <c r="AY128" s="186"/>
      <c r="AZ128" s="190"/>
      <c r="BA128" s="184">
        <f t="shared" ca="1" si="75"/>
        <v>2142</v>
      </c>
      <c r="BB128" s="171">
        <f t="shared" si="59"/>
        <v>0</v>
      </c>
      <c r="BC128" s="171">
        <f t="shared" si="48"/>
        <v>7910.5475281616327</v>
      </c>
      <c r="BD128" s="171">
        <f t="shared" si="85"/>
        <v>0</v>
      </c>
      <c r="BE128" s="171">
        <f t="shared" si="85"/>
        <v>0</v>
      </c>
      <c r="BF128" s="171">
        <f t="shared" si="85"/>
        <v>0</v>
      </c>
      <c r="BG128" s="171">
        <f t="shared" si="85"/>
        <v>0</v>
      </c>
      <c r="BI128" s="187">
        <f>IF(A128-'Invoer gegevens'!$C$17&lt;0,0,IF(A128-'Invoer gegevens'!$C$17=0,1,IF(A128-'Invoer gegevens'!$C$17&lt;5,2,IF(A128-'Invoer gegevens'!$C$17&lt;15,3,4))))</f>
        <v>0</v>
      </c>
      <c r="BJ128" s="229">
        <f>IF(BI128&lt;1,0,IF(BI128&lt;2,4%,IF('Reeksen (N)'!BI128&lt;3,4%,IF('Reeksen (N)'!BI128&lt;4,4%*70%,IF('Reeksen (N)'!BI128&lt;5,4%*50%)))))</f>
        <v>0</v>
      </c>
    </row>
    <row r="129" spans="1:62" x14ac:dyDescent="0.25">
      <c r="A129" s="184">
        <f t="shared" si="60"/>
        <v>124</v>
      </c>
      <c r="B129" s="179">
        <f>Dashboard!$D$25</f>
        <v>0</v>
      </c>
      <c r="C129" s="179">
        <f>Dashboard!$D$25</f>
        <v>0</v>
      </c>
      <c r="D129" s="180">
        <f t="shared" si="49"/>
        <v>0</v>
      </c>
      <c r="E129" s="189"/>
      <c r="F129" s="184">
        <f t="shared" ca="1" si="61"/>
        <v>2143</v>
      </c>
      <c r="G129" s="179">
        <f t="shared" si="82"/>
        <v>0.02</v>
      </c>
      <c r="H129" s="182">
        <f t="shared" si="62"/>
        <v>11.71647246636431</v>
      </c>
      <c r="I129" s="179">
        <f t="shared" si="83"/>
        <v>2.5000000000000001E-2</v>
      </c>
      <c r="J129" s="182">
        <f t="shared" si="63"/>
        <v>21.516829874774277</v>
      </c>
      <c r="K129" s="179">
        <f t="shared" si="84"/>
        <v>2.5000000000000001E-2</v>
      </c>
      <c r="L129" s="182">
        <f t="shared" si="64"/>
        <v>21.516829874774277</v>
      </c>
      <c r="M129" s="189"/>
      <c r="N129" s="184">
        <f t="shared" ca="1" si="65"/>
        <v>2143</v>
      </c>
      <c r="O129" s="179">
        <f t="shared" si="78"/>
        <v>0.02</v>
      </c>
      <c r="P129" s="182">
        <f t="shared" si="86"/>
        <v>11.705099256486047</v>
      </c>
      <c r="R129" s="184">
        <f t="shared" ca="1" si="66"/>
        <v>2143</v>
      </c>
      <c r="S129" s="188">
        <f t="shared" si="80"/>
        <v>5.3600000000000002E-3</v>
      </c>
      <c r="U129" s="184">
        <f t="shared" ca="1" si="67"/>
        <v>2143</v>
      </c>
      <c r="V129" s="182">
        <f t="shared" si="50"/>
        <v>0.02</v>
      </c>
      <c r="W129" s="180">
        <f>Parameters!$D$15</f>
        <v>5.0000000000000001E-3</v>
      </c>
      <c r="X129" s="182">
        <f t="shared" si="51"/>
        <v>2.5000000000000001E-2</v>
      </c>
      <c r="Y129" s="182">
        <f t="shared" si="68"/>
        <v>21.53803917501947</v>
      </c>
      <c r="AA129" s="189"/>
      <c r="AB129" s="184">
        <f t="shared" ca="1" si="69"/>
        <v>2143</v>
      </c>
      <c r="AC129" s="171">
        <f t="shared" si="52"/>
        <v>0</v>
      </c>
      <c r="AD129" s="171">
        <f t="shared" si="47"/>
        <v>0</v>
      </c>
      <c r="AE129" s="171">
        <f t="shared" si="79"/>
        <v>8068.7584787248652</v>
      </c>
      <c r="AF129" s="171">
        <f t="shared" si="70"/>
        <v>0</v>
      </c>
      <c r="AG129" s="171">
        <f t="shared" si="81"/>
        <v>0</v>
      </c>
      <c r="AH129" s="171">
        <f t="shared" si="53"/>
        <v>0</v>
      </c>
      <c r="AI129" s="171">
        <f t="shared" si="54"/>
        <v>0</v>
      </c>
      <c r="AJ129" s="171">
        <f>IF('Invoer gegevens'!$I$27="DAEB",SMALL(AC129:AD129,1),AC129)</f>
        <v>0</v>
      </c>
      <c r="AK129" s="171">
        <f>IF('Invoer gegevens'!$I$27="DAEB",SMALL((AE129:AH129),1),SMALL((AF129:AH129),1))</f>
        <v>0</v>
      </c>
      <c r="AL129" s="171">
        <f t="shared" si="76"/>
        <v>0</v>
      </c>
      <c r="AM129" s="171">
        <f t="shared" si="77"/>
        <v>0</v>
      </c>
      <c r="AN129" s="175">
        <f t="shared" si="72"/>
        <v>0</v>
      </c>
      <c r="AP129" s="184">
        <f t="shared" ca="1" si="73"/>
        <v>2143</v>
      </c>
      <c r="AQ129" s="185">
        <f t="shared" si="55"/>
        <v>0.02</v>
      </c>
      <c r="AR129" s="182">
        <f t="shared" si="87"/>
        <v>11.705099256486047</v>
      </c>
      <c r="AU129" s="184">
        <f t="shared" ca="1" si="74"/>
        <v>2143</v>
      </c>
      <c r="AV129" s="182">
        <f t="shared" si="56"/>
        <v>0.02</v>
      </c>
      <c r="AW129" s="179">
        <f t="shared" si="57"/>
        <v>5.0000000000000001E-3</v>
      </c>
      <c r="AX129" s="182">
        <f t="shared" si="58"/>
        <v>2.5000000000000001E-2</v>
      </c>
      <c r="AY129" s="186"/>
      <c r="AZ129" s="190"/>
      <c r="BA129" s="184">
        <f t="shared" ca="1" si="75"/>
        <v>2143</v>
      </c>
      <c r="BB129" s="171">
        <f t="shared" si="59"/>
        <v>0</v>
      </c>
      <c r="BC129" s="171">
        <f t="shared" si="48"/>
        <v>8068.7584787248652</v>
      </c>
      <c r="BD129" s="171">
        <f t="shared" si="85"/>
        <v>0</v>
      </c>
      <c r="BE129" s="171">
        <f t="shared" si="85"/>
        <v>0</v>
      </c>
      <c r="BF129" s="171">
        <f t="shared" si="85"/>
        <v>0</v>
      </c>
      <c r="BG129" s="171">
        <f t="shared" si="85"/>
        <v>0</v>
      </c>
      <c r="BI129" s="187">
        <f>IF(A129-'Invoer gegevens'!$C$17&lt;0,0,IF(A129-'Invoer gegevens'!$C$17=0,1,IF(A129-'Invoer gegevens'!$C$17&lt;5,2,IF(A129-'Invoer gegevens'!$C$17&lt;15,3,4))))</f>
        <v>0</v>
      </c>
      <c r="BJ129" s="229">
        <f>IF(BI129&lt;1,0,IF(BI129&lt;2,4%,IF('Reeksen (N)'!BI129&lt;3,4%,IF('Reeksen (N)'!BI129&lt;4,4%*70%,IF('Reeksen (N)'!BI129&lt;5,4%*50%)))))</f>
        <v>0</v>
      </c>
    </row>
    <row r="130" spans="1:62" x14ac:dyDescent="0.25">
      <c r="A130" s="184">
        <f t="shared" si="60"/>
        <v>125</v>
      </c>
      <c r="B130" s="179">
        <f>Dashboard!$D$25</f>
        <v>0</v>
      </c>
      <c r="C130" s="179">
        <f>Dashboard!$D$25</f>
        <v>0</v>
      </c>
      <c r="D130" s="180">
        <f t="shared" si="49"/>
        <v>0</v>
      </c>
      <c r="E130" s="189"/>
      <c r="F130" s="184">
        <f t="shared" ca="1" si="61"/>
        <v>2144</v>
      </c>
      <c r="G130" s="179">
        <f t="shared" si="82"/>
        <v>0.02</v>
      </c>
      <c r="H130" s="182">
        <f t="shared" si="62"/>
        <v>11.950801915691597</v>
      </c>
      <c r="I130" s="179">
        <f t="shared" si="83"/>
        <v>2.5000000000000001E-2</v>
      </c>
      <c r="J130" s="182">
        <f t="shared" si="63"/>
        <v>22.054750621643631</v>
      </c>
      <c r="K130" s="179">
        <f t="shared" si="84"/>
        <v>2.5000000000000001E-2</v>
      </c>
      <c r="L130" s="182">
        <f t="shared" si="64"/>
        <v>22.054750621643631</v>
      </c>
      <c r="M130" s="189"/>
      <c r="N130" s="184">
        <f t="shared" ca="1" si="65"/>
        <v>2144</v>
      </c>
      <c r="O130" s="179">
        <f t="shared" si="78"/>
        <v>0.02</v>
      </c>
      <c r="P130" s="182">
        <f t="shared" si="86"/>
        <v>11.939201241615768</v>
      </c>
      <c r="R130" s="184">
        <f t="shared" ca="1" si="66"/>
        <v>2144</v>
      </c>
      <c r="S130" s="188">
        <f t="shared" si="80"/>
        <v>5.3600000000000002E-3</v>
      </c>
      <c r="U130" s="184">
        <f t="shared" ca="1" si="67"/>
        <v>2144</v>
      </c>
      <c r="V130" s="182">
        <f t="shared" si="50"/>
        <v>0.02</v>
      </c>
      <c r="W130" s="180">
        <f>Parameters!$D$15</f>
        <v>5.0000000000000001E-3</v>
      </c>
      <c r="X130" s="182">
        <f t="shared" si="51"/>
        <v>2.5000000000000001E-2</v>
      </c>
      <c r="Y130" s="182">
        <f t="shared" si="68"/>
        <v>22.076490154394957</v>
      </c>
      <c r="AA130" s="189"/>
      <c r="AB130" s="184">
        <f t="shared" ca="1" si="69"/>
        <v>2144</v>
      </c>
      <c r="AC130" s="171">
        <f t="shared" si="52"/>
        <v>0</v>
      </c>
      <c r="AD130" s="171">
        <f t="shared" si="47"/>
        <v>0</v>
      </c>
      <c r="AE130" s="171">
        <f t="shared" si="79"/>
        <v>8230.1336482993629</v>
      </c>
      <c r="AF130" s="171">
        <f t="shared" si="70"/>
        <v>0</v>
      </c>
      <c r="AG130" s="171">
        <f t="shared" si="81"/>
        <v>0</v>
      </c>
      <c r="AH130" s="171">
        <f t="shared" si="53"/>
        <v>0</v>
      </c>
      <c r="AI130" s="171">
        <f t="shared" si="54"/>
        <v>0</v>
      </c>
      <c r="AJ130" s="171">
        <f>IF('Invoer gegevens'!$I$27="DAEB",SMALL(AC130:AD130,1),AC130)</f>
        <v>0</v>
      </c>
      <c r="AK130" s="171">
        <f>IF('Invoer gegevens'!$I$27="DAEB",SMALL((AE130:AH130),1),SMALL((AF130:AH130),1))</f>
        <v>0</v>
      </c>
      <c r="AL130" s="171">
        <f t="shared" si="76"/>
        <v>0</v>
      </c>
      <c r="AM130" s="171">
        <f t="shared" si="77"/>
        <v>0</v>
      </c>
      <c r="AN130" s="175">
        <f t="shared" si="72"/>
        <v>0</v>
      </c>
      <c r="AP130" s="184">
        <f t="shared" ca="1" si="73"/>
        <v>2144</v>
      </c>
      <c r="AQ130" s="185">
        <f t="shared" si="55"/>
        <v>0.02</v>
      </c>
      <c r="AR130" s="182">
        <f t="shared" si="87"/>
        <v>11.939201241615768</v>
      </c>
      <c r="AU130" s="184">
        <f t="shared" ca="1" si="74"/>
        <v>2144</v>
      </c>
      <c r="AV130" s="182">
        <f t="shared" si="56"/>
        <v>0.02</v>
      </c>
      <c r="AW130" s="179">
        <f t="shared" si="57"/>
        <v>5.0000000000000001E-3</v>
      </c>
      <c r="AX130" s="182">
        <f t="shared" si="58"/>
        <v>2.5000000000000001E-2</v>
      </c>
      <c r="AY130" s="186"/>
      <c r="AZ130" s="190"/>
      <c r="BA130" s="184">
        <f t="shared" ca="1" si="75"/>
        <v>2144</v>
      </c>
      <c r="BB130" s="171">
        <f t="shared" si="59"/>
        <v>0</v>
      </c>
      <c r="BC130" s="171">
        <f t="shared" si="48"/>
        <v>8230.1336482993629</v>
      </c>
      <c r="BD130" s="171">
        <f t="shared" si="85"/>
        <v>0</v>
      </c>
      <c r="BE130" s="171">
        <f t="shared" si="85"/>
        <v>0</v>
      </c>
      <c r="BF130" s="171">
        <f t="shared" si="85"/>
        <v>0</v>
      </c>
      <c r="BG130" s="171">
        <f t="shared" si="85"/>
        <v>0</v>
      </c>
      <c r="BI130" s="187">
        <f>IF(A130-'Invoer gegevens'!$C$17&lt;0,0,IF(A130-'Invoer gegevens'!$C$17=0,1,IF(A130-'Invoer gegevens'!$C$17&lt;5,2,IF(A130-'Invoer gegevens'!$C$17&lt;15,3,4))))</f>
        <v>0</v>
      </c>
      <c r="BJ130" s="229">
        <f>IF(BI130&lt;1,0,IF(BI130&lt;2,4%,IF('Reeksen (N)'!BI130&lt;3,4%,IF('Reeksen (N)'!BI130&lt;4,4%*70%,IF('Reeksen (N)'!BI130&lt;5,4%*50%)))))</f>
        <v>0</v>
      </c>
    </row>
    <row r="131" spans="1:62" x14ac:dyDescent="0.25">
      <c r="A131" s="184">
        <f t="shared" si="60"/>
        <v>126</v>
      </c>
      <c r="B131" s="179">
        <f>Dashboard!$D$25</f>
        <v>0</v>
      </c>
      <c r="C131" s="179">
        <f>Dashboard!$D$25</f>
        <v>0</v>
      </c>
      <c r="D131" s="180">
        <f t="shared" si="49"/>
        <v>0</v>
      </c>
      <c r="E131" s="189"/>
      <c r="F131" s="184">
        <f t="shared" ca="1" si="61"/>
        <v>2145</v>
      </c>
      <c r="G131" s="179">
        <f t="shared" si="82"/>
        <v>0.02</v>
      </c>
      <c r="H131" s="182">
        <f t="shared" si="62"/>
        <v>12.189817954005429</v>
      </c>
      <c r="I131" s="179">
        <f t="shared" si="83"/>
        <v>2.5000000000000001E-2</v>
      </c>
      <c r="J131" s="182">
        <f t="shared" si="63"/>
        <v>22.606119387184719</v>
      </c>
      <c r="K131" s="179">
        <f t="shared" si="84"/>
        <v>2.5000000000000001E-2</v>
      </c>
      <c r="L131" s="182">
        <f t="shared" si="64"/>
        <v>22.606119387184719</v>
      </c>
      <c r="M131" s="189"/>
      <c r="N131" s="184">
        <f t="shared" ca="1" si="65"/>
        <v>2145</v>
      </c>
      <c r="O131" s="179">
        <f t="shared" si="78"/>
        <v>0.02</v>
      </c>
      <c r="P131" s="182">
        <f t="shared" si="86"/>
        <v>12.177985266448083</v>
      </c>
      <c r="R131" s="184">
        <f t="shared" ca="1" si="66"/>
        <v>2145</v>
      </c>
      <c r="S131" s="188">
        <f t="shared" si="80"/>
        <v>5.3600000000000002E-3</v>
      </c>
      <c r="U131" s="184">
        <f t="shared" ca="1" si="67"/>
        <v>2145</v>
      </c>
      <c r="V131" s="182">
        <f t="shared" si="50"/>
        <v>0.02</v>
      </c>
      <c r="W131" s="180">
        <f>Parameters!$D$15</f>
        <v>5.0000000000000001E-3</v>
      </c>
      <c r="X131" s="182">
        <f t="shared" si="51"/>
        <v>2.5000000000000001E-2</v>
      </c>
      <c r="Y131" s="182">
        <f t="shared" si="68"/>
        <v>22.628402408254829</v>
      </c>
      <c r="AA131" s="189"/>
      <c r="AB131" s="184">
        <f t="shared" ca="1" si="69"/>
        <v>2145</v>
      </c>
      <c r="AC131" s="171">
        <f t="shared" si="52"/>
        <v>0</v>
      </c>
      <c r="AD131" s="171">
        <f t="shared" si="47"/>
        <v>0</v>
      </c>
      <c r="AE131" s="171">
        <f t="shared" si="79"/>
        <v>8394.7363212653509</v>
      </c>
      <c r="AF131" s="171">
        <f t="shared" si="70"/>
        <v>0</v>
      </c>
      <c r="AG131" s="171">
        <f t="shared" si="81"/>
        <v>0</v>
      </c>
      <c r="AH131" s="171">
        <f t="shared" si="53"/>
        <v>0</v>
      </c>
      <c r="AI131" s="171">
        <f t="shared" si="54"/>
        <v>0</v>
      </c>
      <c r="AJ131" s="171">
        <f>IF('Invoer gegevens'!$I$27="DAEB",SMALL(AC131:AD131,1),AC131)</f>
        <v>0</v>
      </c>
      <c r="AK131" s="171">
        <f>IF('Invoer gegevens'!$I$27="DAEB",SMALL((AE131:AH131),1),SMALL((AF131:AH131),1))</f>
        <v>0</v>
      </c>
      <c r="AL131" s="171">
        <f t="shared" si="76"/>
        <v>0</v>
      </c>
      <c r="AM131" s="171">
        <f t="shared" si="77"/>
        <v>0</v>
      </c>
      <c r="AN131" s="175">
        <f t="shared" si="72"/>
        <v>0</v>
      </c>
      <c r="AP131" s="184">
        <f t="shared" ca="1" si="73"/>
        <v>2145</v>
      </c>
      <c r="AQ131" s="185">
        <f t="shared" si="55"/>
        <v>0.02</v>
      </c>
      <c r="AR131" s="182">
        <f t="shared" si="87"/>
        <v>12.177985266448083</v>
      </c>
      <c r="AU131" s="184">
        <f t="shared" ca="1" si="74"/>
        <v>2145</v>
      </c>
      <c r="AV131" s="182">
        <f t="shared" si="56"/>
        <v>0.02</v>
      </c>
      <c r="AW131" s="179">
        <f t="shared" si="57"/>
        <v>5.0000000000000001E-3</v>
      </c>
      <c r="AX131" s="182">
        <f t="shared" si="58"/>
        <v>2.5000000000000001E-2</v>
      </c>
      <c r="AY131" s="186"/>
      <c r="AZ131" s="190"/>
      <c r="BA131" s="184">
        <f t="shared" ca="1" si="75"/>
        <v>2145</v>
      </c>
      <c r="BB131" s="171">
        <f t="shared" si="59"/>
        <v>0</v>
      </c>
      <c r="BC131" s="171">
        <f t="shared" si="48"/>
        <v>8394.7363212653509</v>
      </c>
      <c r="BD131" s="171">
        <f t="shared" si="85"/>
        <v>0</v>
      </c>
      <c r="BE131" s="171">
        <f t="shared" si="85"/>
        <v>0</v>
      </c>
      <c r="BF131" s="171">
        <f t="shared" si="85"/>
        <v>0</v>
      </c>
      <c r="BG131" s="171">
        <f t="shared" si="85"/>
        <v>0</v>
      </c>
      <c r="BI131" s="187">
        <f>IF(A131-'Invoer gegevens'!$C$17&lt;0,0,IF(A131-'Invoer gegevens'!$C$17=0,1,IF(A131-'Invoer gegevens'!$C$17&lt;5,2,IF(A131-'Invoer gegevens'!$C$17&lt;15,3,4))))</f>
        <v>0</v>
      </c>
      <c r="BJ131" s="229">
        <f>IF(BI131&lt;1,0,IF(BI131&lt;2,4%,IF('Reeksen (N)'!BI131&lt;3,4%,IF('Reeksen (N)'!BI131&lt;4,4%*70%,IF('Reeksen (N)'!BI131&lt;5,4%*50%)))))</f>
        <v>0</v>
      </c>
    </row>
    <row r="132" spans="1:62" x14ac:dyDescent="0.25">
      <c r="A132" s="184">
        <f t="shared" si="60"/>
        <v>127</v>
      </c>
      <c r="B132" s="179">
        <f>Dashboard!$D$25</f>
        <v>0</v>
      </c>
      <c r="C132" s="179">
        <f>Dashboard!$D$25</f>
        <v>0</v>
      </c>
      <c r="D132" s="180">
        <f t="shared" si="49"/>
        <v>0</v>
      </c>
      <c r="E132" s="189"/>
      <c r="F132" s="184">
        <f t="shared" ca="1" si="61"/>
        <v>2146</v>
      </c>
      <c r="G132" s="179">
        <f t="shared" si="82"/>
        <v>0.02</v>
      </c>
      <c r="H132" s="182">
        <f t="shared" si="62"/>
        <v>12.433614313085538</v>
      </c>
      <c r="I132" s="179">
        <f t="shared" si="83"/>
        <v>2.5000000000000001E-2</v>
      </c>
      <c r="J132" s="182">
        <f t="shared" si="63"/>
        <v>23.171272371864337</v>
      </c>
      <c r="K132" s="179">
        <f t="shared" si="84"/>
        <v>2.5000000000000001E-2</v>
      </c>
      <c r="L132" s="182">
        <f t="shared" si="64"/>
        <v>23.171272371864337</v>
      </c>
      <c r="M132" s="189"/>
      <c r="N132" s="184">
        <f t="shared" ca="1" si="65"/>
        <v>2146</v>
      </c>
      <c r="O132" s="179">
        <f t="shared" si="78"/>
        <v>0.02</v>
      </c>
      <c r="P132" s="182">
        <f t="shared" si="86"/>
        <v>12.421544971777045</v>
      </c>
      <c r="R132" s="184">
        <f t="shared" ca="1" si="66"/>
        <v>2146</v>
      </c>
      <c r="S132" s="188">
        <f t="shared" si="80"/>
        <v>5.3600000000000002E-3</v>
      </c>
      <c r="U132" s="184">
        <f t="shared" ca="1" si="67"/>
        <v>2146</v>
      </c>
      <c r="V132" s="182">
        <f t="shared" si="50"/>
        <v>0.02</v>
      </c>
      <c r="W132" s="180">
        <f>Parameters!$D$15</f>
        <v>5.0000000000000001E-3</v>
      </c>
      <c r="X132" s="182">
        <f t="shared" si="51"/>
        <v>2.5000000000000001E-2</v>
      </c>
      <c r="Y132" s="182">
        <f t="shared" si="68"/>
        <v>23.194112468461196</v>
      </c>
      <c r="AA132" s="189"/>
      <c r="AB132" s="184">
        <f t="shared" ca="1" si="69"/>
        <v>2146</v>
      </c>
      <c r="AC132" s="171">
        <f t="shared" si="52"/>
        <v>0</v>
      </c>
      <c r="AD132" s="171">
        <f t="shared" si="47"/>
        <v>0</v>
      </c>
      <c r="AE132" s="171">
        <f t="shared" si="79"/>
        <v>8562.6310476906583</v>
      </c>
      <c r="AF132" s="171">
        <f t="shared" si="70"/>
        <v>0</v>
      </c>
      <c r="AG132" s="171">
        <f t="shared" si="81"/>
        <v>0</v>
      </c>
      <c r="AH132" s="171">
        <f t="shared" si="53"/>
        <v>0</v>
      </c>
      <c r="AI132" s="171">
        <f t="shared" si="54"/>
        <v>0</v>
      </c>
      <c r="AJ132" s="171">
        <f>IF('Invoer gegevens'!$I$27="DAEB",SMALL(AC132:AD132,1),AC132)</f>
        <v>0</v>
      </c>
      <c r="AK132" s="171">
        <f>IF('Invoer gegevens'!$I$27="DAEB",SMALL((AE132:AH132),1),SMALL((AF132:AH132),1))</f>
        <v>0</v>
      </c>
      <c r="AL132" s="171">
        <f t="shared" si="76"/>
        <v>0</v>
      </c>
      <c r="AM132" s="171">
        <f t="shared" si="77"/>
        <v>0</v>
      </c>
      <c r="AN132" s="175">
        <f t="shared" si="72"/>
        <v>0</v>
      </c>
      <c r="AP132" s="184">
        <f t="shared" ca="1" si="73"/>
        <v>2146</v>
      </c>
      <c r="AQ132" s="185">
        <f t="shared" si="55"/>
        <v>0.02</v>
      </c>
      <c r="AR132" s="182">
        <f t="shared" si="87"/>
        <v>12.421544971777045</v>
      </c>
      <c r="AU132" s="184">
        <f t="shared" ca="1" si="74"/>
        <v>2146</v>
      </c>
      <c r="AV132" s="182">
        <f t="shared" si="56"/>
        <v>0.02</v>
      </c>
      <c r="AW132" s="179">
        <f t="shared" si="57"/>
        <v>5.0000000000000001E-3</v>
      </c>
      <c r="AX132" s="182">
        <f t="shared" si="58"/>
        <v>2.5000000000000001E-2</v>
      </c>
      <c r="AY132" s="186"/>
      <c r="AZ132" s="190"/>
      <c r="BA132" s="184">
        <f t="shared" ca="1" si="75"/>
        <v>2146</v>
      </c>
      <c r="BB132" s="171">
        <f t="shared" si="59"/>
        <v>0</v>
      </c>
      <c r="BC132" s="171">
        <f t="shared" si="48"/>
        <v>8562.6310476906583</v>
      </c>
      <c r="BD132" s="171">
        <f t="shared" si="85"/>
        <v>0</v>
      </c>
      <c r="BE132" s="171">
        <f t="shared" si="85"/>
        <v>0</v>
      </c>
      <c r="BF132" s="171">
        <f t="shared" si="85"/>
        <v>0</v>
      </c>
      <c r="BG132" s="171">
        <f t="shared" si="85"/>
        <v>0</v>
      </c>
      <c r="BI132" s="187">
        <f>IF(A132-'Invoer gegevens'!$C$17&lt;0,0,IF(A132-'Invoer gegevens'!$C$17=0,1,IF(A132-'Invoer gegevens'!$C$17&lt;5,2,IF(A132-'Invoer gegevens'!$C$17&lt;15,3,4))))</f>
        <v>0</v>
      </c>
      <c r="BJ132" s="229">
        <f>IF(BI132&lt;1,0,IF(BI132&lt;2,4%,IF('Reeksen (N)'!BI132&lt;3,4%,IF('Reeksen (N)'!BI132&lt;4,4%*70%,IF('Reeksen (N)'!BI132&lt;5,4%*50%)))))</f>
        <v>0</v>
      </c>
    </row>
    <row r="133" spans="1:62" x14ac:dyDescent="0.25">
      <c r="A133" s="184">
        <f t="shared" si="60"/>
        <v>128</v>
      </c>
      <c r="B133" s="179">
        <f>Dashboard!$D$25</f>
        <v>0</v>
      </c>
      <c r="C133" s="179">
        <f>Dashboard!$D$25</f>
        <v>0</v>
      </c>
      <c r="D133" s="180">
        <f t="shared" si="49"/>
        <v>0</v>
      </c>
      <c r="E133" s="189"/>
      <c r="F133" s="184">
        <f t="shared" ca="1" si="61"/>
        <v>2147</v>
      </c>
      <c r="G133" s="179">
        <f t="shared" si="82"/>
        <v>0.02</v>
      </c>
      <c r="H133" s="182">
        <f t="shared" si="62"/>
        <v>12.682286599347249</v>
      </c>
      <c r="I133" s="179">
        <f t="shared" si="83"/>
        <v>2.5000000000000001E-2</v>
      </c>
      <c r="J133" s="182">
        <f t="shared" si="63"/>
        <v>23.750554181160943</v>
      </c>
      <c r="K133" s="179">
        <f t="shared" si="84"/>
        <v>2.5000000000000001E-2</v>
      </c>
      <c r="L133" s="182">
        <f t="shared" si="64"/>
        <v>23.750554181160943</v>
      </c>
      <c r="M133" s="189"/>
      <c r="N133" s="184">
        <f t="shared" ca="1" si="65"/>
        <v>2147</v>
      </c>
      <c r="O133" s="179">
        <f t="shared" si="78"/>
        <v>0.02</v>
      </c>
      <c r="P133" s="182">
        <f t="shared" si="86"/>
        <v>12.669975871212587</v>
      </c>
      <c r="R133" s="184">
        <f t="shared" ca="1" si="66"/>
        <v>2147</v>
      </c>
      <c r="S133" s="188">
        <f t="shared" si="80"/>
        <v>5.3600000000000002E-3</v>
      </c>
      <c r="U133" s="184">
        <f t="shared" ca="1" si="67"/>
        <v>2147</v>
      </c>
      <c r="V133" s="182">
        <f t="shared" si="50"/>
        <v>0.02</v>
      </c>
      <c r="W133" s="180">
        <f>Parameters!$D$15</f>
        <v>5.0000000000000001E-3</v>
      </c>
      <c r="X133" s="182">
        <f t="shared" si="51"/>
        <v>2.5000000000000001E-2</v>
      </c>
      <c r="Y133" s="182">
        <f t="shared" si="68"/>
        <v>23.773965280172725</v>
      </c>
      <c r="AA133" s="189"/>
      <c r="AB133" s="184">
        <f t="shared" ca="1" si="69"/>
        <v>2147</v>
      </c>
      <c r="AC133" s="171">
        <f t="shared" si="52"/>
        <v>0</v>
      </c>
      <c r="AD133" s="171">
        <f t="shared" ref="AD133:AD196" si="88">IF(AG133&lt;AE133,MIN(AF133,AG133),AF133)</f>
        <v>0</v>
      </c>
      <c r="AE133" s="171">
        <f t="shared" si="79"/>
        <v>8733.883668644472</v>
      </c>
      <c r="AF133" s="171">
        <f t="shared" si="70"/>
        <v>0</v>
      </c>
      <c r="AG133" s="171">
        <f t="shared" si="81"/>
        <v>0</v>
      </c>
      <c r="AH133" s="171">
        <f t="shared" si="53"/>
        <v>0</v>
      </c>
      <c r="AI133" s="171">
        <f t="shared" si="54"/>
        <v>0</v>
      </c>
      <c r="AJ133" s="171">
        <f>IF('Invoer gegevens'!$I$27="DAEB",SMALL(AC133:AD133,1),AC133)</f>
        <v>0</v>
      </c>
      <c r="AK133" s="171">
        <f>IF('Invoer gegevens'!$I$27="DAEB",SMALL((AE133:AH133),1),SMALL((AF133:AH133),1))</f>
        <v>0</v>
      </c>
      <c r="AL133" s="171">
        <f t="shared" si="76"/>
        <v>0</v>
      </c>
      <c r="AM133" s="171">
        <f t="shared" si="77"/>
        <v>0</v>
      </c>
      <c r="AN133" s="175">
        <f t="shared" si="72"/>
        <v>0</v>
      </c>
      <c r="AP133" s="184">
        <f t="shared" ca="1" si="73"/>
        <v>2147</v>
      </c>
      <c r="AQ133" s="185">
        <f t="shared" si="55"/>
        <v>0.02</v>
      </c>
      <c r="AR133" s="182">
        <f t="shared" si="87"/>
        <v>12.669975871212587</v>
      </c>
      <c r="AU133" s="184">
        <f t="shared" ca="1" si="74"/>
        <v>2147</v>
      </c>
      <c r="AV133" s="182">
        <f t="shared" si="56"/>
        <v>0.02</v>
      </c>
      <c r="AW133" s="179">
        <f t="shared" si="57"/>
        <v>5.0000000000000001E-3</v>
      </c>
      <c r="AX133" s="182">
        <f t="shared" si="58"/>
        <v>2.5000000000000001E-2</v>
      </c>
      <c r="AY133" s="186"/>
      <c r="AZ133" s="190"/>
      <c r="BA133" s="184">
        <f t="shared" ca="1" si="75"/>
        <v>2147</v>
      </c>
      <c r="BB133" s="171">
        <f t="shared" si="59"/>
        <v>0</v>
      </c>
      <c r="BC133" s="171">
        <f t="shared" ref="BC133:BC196" si="89">AE133</f>
        <v>8733.883668644472</v>
      </c>
      <c r="BD133" s="171">
        <f t="shared" si="85"/>
        <v>0</v>
      </c>
      <c r="BE133" s="171">
        <f t="shared" si="85"/>
        <v>0</v>
      </c>
      <c r="BF133" s="171">
        <f t="shared" si="85"/>
        <v>0</v>
      </c>
      <c r="BG133" s="171">
        <f t="shared" si="85"/>
        <v>0</v>
      </c>
      <c r="BI133" s="187">
        <f>IF(A133-'Invoer gegevens'!$C$17&lt;0,0,IF(A133-'Invoer gegevens'!$C$17=0,1,IF(A133-'Invoer gegevens'!$C$17&lt;5,2,IF(A133-'Invoer gegevens'!$C$17&lt;15,3,4))))</f>
        <v>0</v>
      </c>
      <c r="BJ133" s="229">
        <f>IF(BI133&lt;1,0,IF(BI133&lt;2,4%,IF('Reeksen (N)'!BI133&lt;3,4%,IF('Reeksen (N)'!BI133&lt;4,4%*70%,IF('Reeksen (N)'!BI133&lt;5,4%*50%)))))</f>
        <v>0</v>
      </c>
    </row>
    <row r="134" spans="1:62" x14ac:dyDescent="0.25">
      <c r="A134" s="184">
        <f t="shared" si="60"/>
        <v>129</v>
      </c>
      <c r="B134" s="179">
        <f>Dashboard!$D$25</f>
        <v>0</v>
      </c>
      <c r="C134" s="179">
        <f>Dashboard!$D$25</f>
        <v>0</v>
      </c>
      <c r="D134" s="180">
        <f t="shared" ref="D134:D197" si="90">B134</f>
        <v>0</v>
      </c>
      <c r="E134" s="189"/>
      <c r="F134" s="184">
        <f t="shared" ca="1" si="61"/>
        <v>2148</v>
      </c>
      <c r="G134" s="179">
        <f t="shared" si="82"/>
        <v>0.02</v>
      </c>
      <c r="H134" s="182">
        <f t="shared" si="62"/>
        <v>12.935932331334193</v>
      </c>
      <c r="I134" s="179">
        <f t="shared" si="83"/>
        <v>2.5000000000000001E-2</v>
      </c>
      <c r="J134" s="182">
        <f t="shared" si="63"/>
        <v>24.344318035689966</v>
      </c>
      <c r="K134" s="179">
        <f t="shared" si="84"/>
        <v>2.5000000000000001E-2</v>
      </c>
      <c r="L134" s="182">
        <f t="shared" si="64"/>
        <v>24.344318035689966</v>
      </c>
      <c r="M134" s="189"/>
      <c r="N134" s="184">
        <f t="shared" ca="1" si="65"/>
        <v>2148</v>
      </c>
      <c r="O134" s="179">
        <f t="shared" si="78"/>
        <v>0.02</v>
      </c>
      <c r="P134" s="182">
        <f t="shared" si="86"/>
        <v>12.92337538863684</v>
      </c>
      <c r="R134" s="184">
        <f t="shared" ca="1" si="66"/>
        <v>2148</v>
      </c>
      <c r="S134" s="188">
        <f t="shared" si="80"/>
        <v>5.3600000000000002E-3</v>
      </c>
      <c r="U134" s="184">
        <f t="shared" ca="1" si="67"/>
        <v>2148</v>
      </c>
      <c r="V134" s="182">
        <f t="shared" ref="V134:V197" si="91">G134</f>
        <v>0.02</v>
      </c>
      <c r="W134" s="180">
        <f>Parameters!$D$15</f>
        <v>5.0000000000000001E-3</v>
      </c>
      <c r="X134" s="182">
        <f t="shared" ref="X134:X197" si="92">V134+W134</f>
        <v>2.5000000000000001E-2</v>
      </c>
      <c r="Y134" s="182">
        <f t="shared" si="68"/>
        <v>24.368314412177039</v>
      </c>
      <c r="AA134" s="189"/>
      <c r="AB134" s="184">
        <f t="shared" ca="1" si="69"/>
        <v>2148</v>
      </c>
      <c r="AC134" s="171">
        <f t="shared" ref="AC134:AC197" si="93">$AC$4*Y134</f>
        <v>0</v>
      </c>
      <c r="AD134" s="171">
        <f t="shared" si="88"/>
        <v>0</v>
      </c>
      <c r="AE134" s="171">
        <f t="shared" si="79"/>
        <v>8908.5613420173613</v>
      </c>
      <c r="AF134" s="171">
        <f t="shared" si="70"/>
        <v>0</v>
      </c>
      <c r="AG134" s="171">
        <f t="shared" si="81"/>
        <v>0</v>
      </c>
      <c r="AH134" s="171">
        <f t="shared" ref="AH134:AH197" si="94">ROUND($AH133*(1+V134)^1,2)</f>
        <v>0</v>
      </c>
      <c r="AI134" s="171">
        <f t="shared" ref="AI134:AI197" si="95">SMALL(AC134:AD134,1)</f>
        <v>0</v>
      </c>
      <c r="AJ134" s="171">
        <f>IF('Invoer gegevens'!$I$27="DAEB",SMALL(AC134:AD134,1),AC134)</f>
        <v>0</v>
      </c>
      <c r="AK134" s="171">
        <f>IF('Invoer gegevens'!$I$27="DAEB",SMALL((AE134:AH134),1),SMALL((AF134:AH134),1))</f>
        <v>0</v>
      </c>
      <c r="AL134" s="171">
        <f t="shared" si="76"/>
        <v>0</v>
      </c>
      <c r="AM134" s="171">
        <f t="shared" si="77"/>
        <v>0</v>
      </c>
      <c r="AN134" s="175">
        <f t="shared" si="72"/>
        <v>0</v>
      </c>
      <c r="AP134" s="184">
        <f t="shared" ca="1" si="73"/>
        <v>2148</v>
      </c>
      <c r="AQ134" s="185">
        <f t="shared" ref="AQ134:AQ197" si="96">O134</f>
        <v>0.02</v>
      </c>
      <c r="AR134" s="182">
        <f t="shared" si="87"/>
        <v>12.92337538863684</v>
      </c>
      <c r="AU134" s="184">
        <f t="shared" ca="1" si="74"/>
        <v>2148</v>
      </c>
      <c r="AV134" s="182">
        <f t="shared" ref="AV134:AV197" si="97">G134</f>
        <v>0.02</v>
      </c>
      <c r="AW134" s="179">
        <f t="shared" ref="AW134:AW197" si="98">W134</f>
        <v>5.0000000000000001E-3</v>
      </c>
      <c r="AX134" s="182">
        <f t="shared" ref="AX134:AX197" si="99">AV134+AW134</f>
        <v>2.5000000000000001E-2</v>
      </c>
      <c r="AY134" s="186"/>
      <c r="AZ134" s="190"/>
      <c r="BA134" s="184">
        <f t="shared" ca="1" si="75"/>
        <v>2148</v>
      </c>
      <c r="BB134" s="171">
        <f t="shared" ref="BB134:BB197" si="100">ROUND($BB133*(1+AX134)^1,2)</f>
        <v>0</v>
      </c>
      <c r="BC134" s="171">
        <f t="shared" si="89"/>
        <v>8908.5613420173613</v>
      </c>
      <c r="BD134" s="171">
        <f t="shared" si="85"/>
        <v>0</v>
      </c>
      <c r="BE134" s="171">
        <f t="shared" si="85"/>
        <v>0</v>
      </c>
      <c r="BF134" s="171">
        <f t="shared" si="85"/>
        <v>0</v>
      </c>
      <c r="BG134" s="171">
        <f t="shared" si="85"/>
        <v>0</v>
      </c>
      <c r="BI134" s="187">
        <f>IF(A134-'Invoer gegevens'!$C$17&lt;0,0,IF(A134-'Invoer gegevens'!$C$17=0,1,IF(A134-'Invoer gegevens'!$C$17&lt;5,2,IF(A134-'Invoer gegevens'!$C$17&lt;15,3,4))))</f>
        <v>0</v>
      </c>
      <c r="BJ134" s="229">
        <f>IF(BI134&lt;1,0,IF(BI134&lt;2,4%,IF('Reeksen (N)'!BI134&lt;3,4%,IF('Reeksen (N)'!BI134&lt;4,4%*70%,IF('Reeksen (N)'!BI134&lt;5,4%*50%)))))</f>
        <v>0</v>
      </c>
    </row>
    <row r="135" spans="1:62" x14ac:dyDescent="0.25">
      <c r="A135" s="184">
        <f t="shared" ref="A135:A198" si="101">A134+1</f>
        <v>130</v>
      </c>
      <c r="B135" s="179">
        <f>Dashboard!$D$25</f>
        <v>0</v>
      </c>
      <c r="C135" s="179">
        <f>Dashboard!$D$25</f>
        <v>0</v>
      </c>
      <c r="D135" s="180">
        <f t="shared" si="90"/>
        <v>0</v>
      </c>
      <c r="E135" s="189"/>
      <c r="F135" s="184">
        <f t="shared" ref="F135:F198" ca="1" si="102">F134+1</f>
        <v>2149</v>
      </c>
      <c r="G135" s="179">
        <f t="shared" si="82"/>
        <v>0.02</v>
      </c>
      <c r="H135" s="182">
        <f t="shared" ref="H135:H198" si="103">H134*(1+G135)</f>
        <v>13.194650977960878</v>
      </c>
      <c r="I135" s="179">
        <f t="shared" si="83"/>
        <v>2.5000000000000001E-2</v>
      </c>
      <c r="J135" s="182">
        <f t="shared" ref="J135:J198" si="104">J134*(1+I135)</f>
        <v>24.952925986582212</v>
      </c>
      <c r="K135" s="179">
        <f t="shared" si="84"/>
        <v>2.5000000000000001E-2</v>
      </c>
      <c r="L135" s="182">
        <f t="shared" ref="L135:L198" si="105">L134*(1+K135)</f>
        <v>24.952925986582212</v>
      </c>
      <c r="M135" s="189"/>
      <c r="N135" s="184">
        <f t="shared" ref="N135:N198" ca="1" si="106">N134+1</f>
        <v>2149</v>
      </c>
      <c r="O135" s="179">
        <f t="shared" si="78"/>
        <v>0.02</v>
      </c>
      <c r="P135" s="182">
        <f t="shared" si="86"/>
        <v>13.181842896409577</v>
      </c>
      <c r="R135" s="184">
        <f t="shared" ref="R135:R198" ca="1" si="107">R134+1</f>
        <v>2149</v>
      </c>
      <c r="S135" s="188">
        <f t="shared" si="80"/>
        <v>5.3600000000000002E-3</v>
      </c>
      <c r="U135" s="184">
        <f t="shared" ref="U135:U198" ca="1" si="108">+U134+1</f>
        <v>2149</v>
      </c>
      <c r="V135" s="182">
        <f t="shared" si="91"/>
        <v>0.02</v>
      </c>
      <c r="W135" s="180">
        <f>Parameters!$D$15</f>
        <v>5.0000000000000001E-3</v>
      </c>
      <c r="X135" s="182">
        <f t="shared" si="92"/>
        <v>2.5000000000000001E-2</v>
      </c>
      <c r="Y135" s="182">
        <f t="shared" ref="Y135:Y198" si="109">Y134*(1+X135)</f>
        <v>24.977522272481462</v>
      </c>
      <c r="AA135" s="189"/>
      <c r="AB135" s="184">
        <f t="shared" ref="AB135:AB198" ca="1" si="110">AB134+1</f>
        <v>2149</v>
      </c>
      <c r="AC135" s="171">
        <f t="shared" si="93"/>
        <v>0</v>
      </c>
      <c r="AD135" s="171">
        <f t="shared" si="88"/>
        <v>0</v>
      </c>
      <c r="AE135" s="171">
        <f t="shared" si="79"/>
        <v>9086.7325688577093</v>
      </c>
      <c r="AF135" s="171">
        <f t="shared" ref="AF135:AF198" si="111">$AF$4*H135</f>
        <v>0</v>
      </c>
      <c r="AG135" s="171">
        <f t="shared" si="81"/>
        <v>0</v>
      </c>
      <c r="AH135" s="171">
        <f t="shared" si="94"/>
        <v>0</v>
      </c>
      <c r="AI135" s="171">
        <f t="shared" si="95"/>
        <v>0</v>
      </c>
      <c r="AJ135" s="171">
        <f>IF('Invoer gegevens'!$I$27="DAEB",SMALL(AC135:AD135,1),AC135)</f>
        <v>0</v>
      </c>
      <c r="AK135" s="171">
        <f>IF('Invoer gegevens'!$I$27="DAEB",SMALL((AE135:AH135),1),SMALL((AF135:AH135),1))</f>
        <v>0</v>
      </c>
      <c r="AL135" s="171">
        <f t="shared" si="76"/>
        <v>0</v>
      </c>
      <c r="AM135" s="171">
        <f t="shared" si="77"/>
        <v>0</v>
      </c>
      <c r="AN135" s="175">
        <f t="shared" ref="AN135:AN198" si="112">ROUND($AN134*(1+O135)^1,0)</f>
        <v>0</v>
      </c>
      <c r="AP135" s="184">
        <f t="shared" ref="AP135:AP198" ca="1" si="113">AP134+1</f>
        <v>2149</v>
      </c>
      <c r="AQ135" s="185">
        <f t="shared" si="96"/>
        <v>0.02</v>
      </c>
      <c r="AR135" s="182">
        <f t="shared" si="87"/>
        <v>13.181842896409577</v>
      </c>
      <c r="AU135" s="184">
        <f t="shared" ref="AU135:AU198" ca="1" si="114">+AU134+1</f>
        <v>2149</v>
      </c>
      <c r="AV135" s="182">
        <f t="shared" si="97"/>
        <v>0.02</v>
      </c>
      <c r="AW135" s="179">
        <f t="shared" si="98"/>
        <v>5.0000000000000001E-3</v>
      </c>
      <c r="AX135" s="182">
        <f t="shared" si="99"/>
        <v>2.5000000000000001E-2</v>
      </c>
      <c r="AY135" s="186"/>
      <c r="AZ135" s="190"/>
      <c r="BA135" s="184">
        <f t="shared" ref="BA135:BA198" ca="1" si="115">BA134+1</f>
        <v>2149</v>
      </c>
      <c r="BB135" s="171">
        <f t="shared" si="100"/>
        <v>0</v>
      </c>
      <c r="BC135" s="171">
        <f t="shared" si="89"/>
        <v>9086.7325688577093</v>
      </c>
      <c r="BD135" s="171">
        <f t="shared" si="85"/>
        <v>0</v>
      </c>
      <c r="BE135" s="171">
        <f t="shared" si="85"/>
        <v>0</v>
      </c>
      <c r="BF135" s="171">
        <f t="shared" si="85"/>
        <v>0</v>
      </c>
      <c r="BG135" s="171">
        <f t="shared" si="85"/>
        <v>0</v>
      </c>
      <c r="BI135" s="187">
        <f>IF(A135-'Invoer gegevens'!$C$17&lt;0,0,IF(A135-'Invoer gegevens'!$C$17=0,1,IF(A135-'Invoer gegevens'!$C$17&lt;5,2,IF(A135-'Invoer gegevens'!$C$17&lt;15,3,4))))</f>
        <v>0</v>
      </c>
      <c r="BJ135" s="229">
        <f>IF(BI135&lt;1,0,IF(BI135&lt;2,4%,IF('Reeksen (N)'!BI135&lt;3,4%,IF('Reeksen (N)'!BI135&lt;4,4%*70%,IF('Reeksen (N)'!BI135&lt;5,4%*50%)))))</f>
        <v>0</v>
      </c>
    </row>
    <row r="136" spans="1:62" x14ac:dyDescent="0.25">
      <c r="A136" s="184">
        <f t="shared" si="101"/>
        <v>131</v>
      </c>
      <c r="B136" s="179">
        <f>Dashboard!$D$25</f>
        <v>0</v>
      </c>
      <c r="C136" s="179">
        <f>Dashboard!$D$25</f>
        <v>0</v>
      </c>
      <c r="D136" s="180">
        <f t="shared" si="90"/>
        <v>0</v>
      </c>
      <c r="E136" s="189"/>
      <c r="F136" s="184">
        <f t="shared" ca="1" si="102"/>
        <v>2150</v>
      </c>
      <c r="G136" s="179">
        <f t="shared" si="82"/>
        <v>0.02</v>
      </c>
      <c r="H136" s="182">
        <f t="shared" si="103"/>
        <v>13.458543997520096</v>
      </c>
      <c r="I136" s="179">
        <f t="shared" si="83"/>
        <v>2.5000000000000001E-2</v>
      </c>
      <c r="J136" s="182">
        <f t="shared" si="104"/>
        <v>25.576749136246764</v>
      </c>
      <c r="K136" s="179">
        <f t="shared" si="84"/>
        <v>2.5000000000000001E-2</v>
      </c>
      <c r="L136" s="182">
        <f t="shared" si="105"/>
        <v>25.576749136246764</v>
      </c>
      <c r="M136" s="189"/>
      <c r="N136" s="184">
        <f t="shared" ca="1" si="106"/>
        <v>2150</v>
      </c>
      <c r="O136" s="179">
        <f t="shared" si="78"/>
        <v>0.02</v>
      </c>
      <c r="P136" s="182">
        <f t="shared" si="86"/>
        <v>13.44547975433777</v>
      </c>
      <c r="R136" s="184">
        <f t="shared" ca="1" si="107"/>
        <v>2150</v>
      </c>
      <c r="S136" s="188">
        <f t="shared" si="80"/>
        <v>5.3600000000000002E-3</v>
      </c>
      <c r="U136" s="184">
        <f t="shared" ca="1" si="108"/>
        <v>2150</v>
      </c>
      <c r="V136" s="182">
        <f t="shared" si="91"/>
        <v>0.02</v>
      </c>
      <c r="W136" s="180">
        <f>Parameters!$D$15</f>
        <v>5.0000000000000001E-3</v>
      </c>
      <c r="X136" s="182">
        <f t="shared" si="92"/>
        <v>2.5000000000000001E-2</v>
      </c>
      <c r="Y136" s="182">
        <f t="shared" si="109"/>
        <v>25.601960329293497</v>
      </c>
      <c r="AA136" s="189"/>
      <c r="AB136" s="184">
        <f t="shared" ca="1" si="110"/>
        <v>2150</v>
      </c>
      <c r="AC136" s="171">
        <f t="shared" si="93"/>
        <v>0</v>
      </c>
      <c r="AD136" s="171">
        <f t="shared" si="88"/>
        <v>0</v>
      </c>
      <c r="AE136" s="171">
        <f t="shared" si="79"/>
        <v>9268.4672202348629</v>
      </c>
      <c r="AF136" s="171">
        <f t="shared" si="111"/>
        <v>0</v>
      </c>
      <c r="AG136" s="171">
        <f t="shared" si="81"/>
        <v>0</v>
      </c>
      <c r="AH136" s="171">
        <f t="shared" si="94"/>
        <v>0</v>
      </c>
      <c r="AI136" s="171">
        <f t="shared" si="95"/>
        <v>0</v>
      </c>
      <c r="AJ136" s="171">
        <f>IF('Invoer gegevens'!$I$27="DAEB",SMALL(AC136:AD136,1),AC136)</f>
        <v>0</v>
      </c>
      <c r="AK136" s="171">
        <f>IF('Invoer gegevens'!$I$27="DAEB",SMALL((AE136:AH136),1),SMALL((AF136:AH136),1))</f>
        <v>0</v>
      </c>
      <c r="AL136" s="171">
        <f t="shared" ref="AL136:AL199" si="116">ROUND($AL135*(1+V136)^1,2)</f>
        <v>0</v>
      </c>
      <c r="AM136" s="171">
        <f t="shared" ref="AM136:AM199" si="117">ROUND($AM135*(1+V136)^1,2)</f>
        <v>0</v>
      </c>
      <c r="AN136" s="175">
        <f t="shared" si="112"/>
        <v>0</v>
      </c>
      <c r="AP136" s="184">
        <f t="shared" ca="1" si="113"/>
        <v>2150</v>
      </c>
      <c r="AQ136" s="185">
        <f t="shared" si="96"/>
        <v>0.02</v>
      </c>
      <c r="AR136" s="182">
        <f t="shared" si="87"/>
        <v>13.44547975433777</v>
      </c>
      <c r="AU136" s="184">
        <f t="shared" ca="1" si="114"/>
        <v>2150</v>
      </c>
      <c r="AV136" s="182">
        <f t="shared" si="97"/>
        <v>0.02</v>
      </c>
      <c r="AW136" s="179">
        <f t="shared" si="98"/>
        <v>5.0000000000000001E-3</v>
      </c>
      <c r="AX136" s="182">
        <f t="shared" si="99"/>
        <v>2.5000000000000001E-2</v>
      </c>
      <c r="AY136" s="186"/>
      <c r="AZ136" s="190"/>
      <c r="BA136" s="184">
        <f t="shared" ca="1" si="115"/>
        <v>2150</v>
      </c>
      <c r="BB136" s="171">
        <f t="shared" si="100"/>
        <v>0</v>
      </c>
      <c r="BC136" s="171">
        <f t="shared" si="89"/>
        <v>9268.4672202348629</v>
      </c>
      <c r="BD136" s="171">
        <f t="shared" si="85"/>
        <v>0</v>
      </c>
      <c r="BE136" s="171">
        <f t="shared" si="85"/>
        <v>0</v>
      </c>
      <c r="BF136" s="171">
        <f t="shared" si="85"/>
        <v>0</v>
      </c>
      <c r="BG136" s="171">
        <f t="shared" si="85"/>
        <v>0</v>
      </c>
      <c r="BI136" s="187">
        <f>IF(A136-'Invoer gegevens'!$C$17&lt;0,0,IF(A136-'Invoer gegevens'!$C$17=0,1,IF(A136-'Invoer gegevens'!$C$17&lt;5,2,IF(A136-'Invoer gegevens'!$C$17&lt;15,3,4))))</f>
        <v>0</v>
      </c>
      <c r="BJ136" s="229">
        <f>IF(BI136&lt;1,0,IF(BI136&lt;2,4%,IF('Reeksen (N)'!BI136&lt;3,4%,IF('Reeksen (N)'!BI136&lt;4,4%*70%,IF('Reeksen (N)'!BI136&lt;5,4%*50%)))))</f>
        <v>0</v>
      </c>
    </row>
    <row r="137" spans="1:62" x14ac:dyDescent="0.25">
      <c r="A137" s="184">
        <f t="shared" si="101"/>
        <v>132</v>
      </c>
      <c r="B137" s="179">
        <f>Dashboard!$D$25</f>
        <v>0</v>
      </c>
      <c r="C137" s="179">
        <f>Dashboard!$D$25</f>
        <v>0</v>
      </c>
      <c r="D137" s="180">
        <f t="shared" si="90"/>
        <v>0</v>
      </c>
      <c r="E137" s="189"/>
      <c r="F137" s="184">
        <f t="shared" ca="1" si="102"/>
        <v>2151</v>
      </c>
      <c r="G137" s="179">
        <f t="shared" si="82"/>
        <v>0.02</v>
      </c>
      <c r="H137" s="182">
        <f t="shared" si="103"/>
        <v>13.727714877470497</v>
      </c>
      <c r="I137" s="179">
        <f t="shared" si="83"/>
        <v>2.5000000000000001E-2</v>
      </c>
      <c r="J137" s="182">
        <f t="shared" si="104"/>
        <v>26.216167864652931</v>
      </c>
      <c r="K137" s="179">
        <f t="shared" si="84"/>
        <v>2.5000000000000001E-2</v>
      </c>
      <c r="L137" s="182">
        <f t="shared" si="105"/>
        <v>26.216167864652931</v>
      </c>
      <c r="M137" s="189"/>
      <c r="N137" s="184">
        <f t="shared" ca="1" si="106"/>
        <v>2151</v>
      </c>
      <c r="O137" s="179">
        <f t="shared" ref="O137:O200" si="118">O136</f>
        <v>0.02</v>
      </c>
      <c r="P137" s="182">
        <f t="shared" si="86"/>
        <v>13.714389349424525</v>
      </c>
      <c r="R137" s="184">
        <f t="shared" ca="1" si="107"/>
        <v>2151</v>
      </c>
      <c r="S137" s="188">
        <f t="shared" si="80"/>
        <v>5.3600000000000002E-3</v>
      </c>
      <c r="U137" s="184">
        <f t="shared" ca="1" si="108"/>
        <v>2151</v>
      </c>
      <c r="V137" s="182">
        <f t="shared" si="91"/>
        <v>0.02</v>
      </c>
      <c r="W137" s="180">
        <f>Parameters!$D$15</f>
        <v>5.0000000000000001E-3</v>
      </c>
      <c r="X137" s="182">
        <f t="shared" si="92"/>
        <v>2.5000000000000001E-2</v>
      </c>
      <c r="Y137" s="182">
        <f t="shared" si="109"/>
        <v>26.242009337525833</v>
      </c>
      <c r="AA137" s="189"/>
      <c r="AB137" s="184">
        <f t="shared" ca="1" si="110"/>
        <v>2151</v>
      </c>
      <c r="AC137" s="171">
        <f t="shared" si="93"/>
        <v>0</v>
      </c>
      <c r="AD137" s="171">
        <f t="shared" si="88"/>
        <v>0</v>
      </c>
      <c r="AE137" s="171">
        <f t="shared" si="79"/>
        <v>9453.8365646395596</v>
      </c>
      <c r="AF137" s="171">
        <f t="shared" si="111"/>
        <v>0</v>
      </c>
      <c r="AG137" s="171">
        <f t="shared" si="81"/>
        <v>0</v>
      </c>
      <c r="AH137" s="171">
        <f t="shared" si="94"/>
        <v>0</v>
      </c>
      <c r="AI137" s="171">
        <f t="shared" si="95"/>
        <v>0</v>
      </c>
      <c r="AJ137" s="171">
        <f>IF('Invoer gegevens'!$I$27="DAEB",SMALL(AC137:AD137,1),AC137)</f>
        <v>0</v>
      </c>
      <c r="AK137" s="171">
        <f>IF('Invoer gegevens'!$I$27="DAEB",SMALL((AE137:AH137),1),SMALL((AF137:AH137),1))</f>
        <v>0</v>
      </c>
      <c r="AL137" s="171">
        <f t="shared" si="116"/>
        <v>0</v>
      </c>
      <c r="AM137" s="171">
        <f t="shared" si="117"/>
        <v>0</v>
      </c>
      <c r="AN137" s="175">
        <f t="shared" si="112"/>
        <v>0</v>
      </c>
      <c r="AP137" s="184">
        <f t="shared" ca="1" si="113"/>
        <v>2151</v>
      </c>
      <c r="AQ137" s="185">
        <f t="shared" si="96"/>
        <v>0.02</v>
      </c>
      <c r="AR137" s="182">
        <f t="shared" si="87"/>
        <v>13.714389349424525</v>
      </c>
      <c r="AU137" s="184">
        <f t="shared" ca="1" si="114"/>
        <v>2151</v>
      </c>
      <c r="AV137" s="182">
        <f t="shared" si="97"/>
        <v>0.02</v>
      </c>
      <c r="AW137" s="179">
        <f t="shared" si="98"/>
        <v>5.0000000000000001E-3</v>
      </c>
      <c r="AX137" s="182">
        <f t="shared" si="99"/>
        <v>2.5000000000000001E-2</v>
      </c>
      <c r="AY137" s="186"/>
      <c r="AZ137" s="190"/>
      <c r="BA137" s="184">
        <f t="shared" ca="1" si="115"/>
        <v>2151</v>
      </c>
      <c r="BB137" s="171">
        <f t="shared" si="100"/>
        <v>0</v>
      </c>
      <c r="BC137" s="171">
        <f t="shared" si="89"/>
        <v>9453.8365646395596</v>
      </c>
      <c r="BD137" s="171">
        <f t="shared" si="85"/>
        <v>0</v>
      </c>
      <c r="BE137" s="171">
        <f t="shared" si="85"/>
        <v>0</v>
      </c>
      <c r="BF137" s="171">
        <f t="shared" si="85"/>
        <v>0</v>
      </c>
      <c r="BG137" s="171">
        <f t="shared" si="85"/>
        <v>0</v>
      </c>
      <c r="BI137" s="187">
        <f>IF(A137-'Invoer gegevens'!$C$17&lt;0,0,IF(A137-'Invoer gegevens'!$C$17=0,1,IF(A137-'Invoer gegevens'!$C$17&lt;5,2,IF(A137-'Invoer gegevens'!$C$17&lt;15,3,4))))</f>
        <v>0</v>
      </c>
      <c r="BJ137" s="229">
        <f>IF(BI137&lt;1,0,IF(BI137&lt;2,4%,IF('Reeksen (N)'!BI137&lt;3,4%,IF('Reeksen (N)'!BI137&lt;4,4%*70%,IF('Reeksen (N)'!BI137&lt;5,4%*50%)))))</f>
        <v>0</v>
      </c>
    </row>
    <row r="138" spans="1:62" x14ac:dyDescent="0.25">
      <c r="A138" s="184">
        <f t="shared" si="101"/>
        <v>133</v>
      </c>
      <c r="B138" s="179">
        <f>Dashboard!$D$25</f>
        <v>0</v>
      </c>
      <c r="C138" s="179">
        <f>Dashboard!$D$25</f>
        <v>0</v>
      </c>
      <c r="D138" s="180">
        <f t="shared" si="90"/>
        <v>0</v>
      </c>
      <c r="E138" s="189"/>
      <c r="F138" s="184">
        <f t="shared" ca="1" si="102"/>
        <v>2152</v>
      </c>
      <c r="G138" s="179">
        <f t="shared" si="82"/>
        <v>0.02</v>
      </c>
      <c r="H138" s="182">
        <f t="shared" si="103"/>
        <v>14.002269175019906</v>
      </c>
      <c r="I138" s="179">
        <f t="shared" si="83"/>
        <v>2.5000000000000001E-2</v>
      </c>
      <c r="J138" s="182">
        <f t="shared" si="104"/>
        <v>26.871572061269251</v>
      </c>
      <c r="K138" s="179">
        <f t="shared" si="84"/>
        <v>2.5000000000000001E-2</v>
      </c>
      <c r="L138" s="182">
        <f t="shared" si="105"/>
        <v>26.871572061269251</v>
      </c>
      <c r="M138" s="189"/>
      <c r="N138" s="184">
        <f t="shared" ca="1" si="106"/>
        <v>2152</v>
      </c>
      <c r="O138" s="179">
        <f t="shared" si="118"/>
        <v>0.02</v>
      </c>
      <c r="P138" s="182">
        <f t="shared" si="86"/>
        <v>13.988677136413017</v>
      </c>
      <c r="R138" s="184">
        <f t="shared" ca="1" si="107"/>
        <v>2152</v>
      </c>
      <c r="S138" s="188">
        <f t="shared" si="80"/>
        <v>5.3600000000000002E-3</v>
      </c>
      <c r="U138" s="184">
        <f t="shared" ca="1" si="108"/>
        <v>2152</v>
      </c>
      <c r="V138" s="182">
        <f t="shared" si="91"/>
        <v>0.02</v>
      </c>
      <c r="W138" s="180">
        <f>Parameters!$D$15</f>
        <v>5.0000000000000001E-3</v>
      </c>
      <c r="X138" s="182">
        <f t="shared" si="92"/>
        <v>2.5000000000000001E-2</v>
      </c>
      <c r="Y138" s="182">
        <f t="shared" si="109"/>
        <v>26.898059570963976</v>
      </c>
      <c r="AA138" s="189"/>
      <c r="AB138" s="184">
        <f t="shared" ca="1" si="110"/>
        <v>2152</v>
      </c>
      <c r="AC138" s="171">
        <f t="shared" si="93"/>
        <v>0</v>
      </c>
      <c r="AD138" s="171">
        <f t="shared" si="88"/>
        <v>0</v>
      </c>
      <c r="AE138" s="171">
        <f t="shared" ref="AE138:AE201" si="119">AE137*(1+V138)</f>
        <v>9642.9132959323506</v>
      </c>
      <c r="AF138" s="171">
        <f t="shared" si="111"/>
        <v>0</v>
      </c>
      <c r="AG138" s="171">
        <f t="shared" si="81"/>
        <v>0</v>
      </c>
      <c r="AH138" s="171">
        <f t="shared" si="94"/>
        <v>0</v>
      </c>
      <c r="AI138" s="171">
        <f t="shared" si="95"/>
        <v>0</v>
      </c>
      <c r="AJ138" s="171">
        <f>IF('Invoer gegevens'!$I$27="DAEB",SMALL(AC138:AD138,1),AC138)</f>
        <v>0</v>
      </c>
      <c r="AK138" s="171">
        <f>IF('Invoer gegevens'!$I$27="DAEB",SMALL((AE138:AH138),1),SMALL((AF138:AH138),1))</f>
        <v>0</v>
      </c>
      <c r="AL138" s="171">
        <f t="shared" si="116"/>
        <v>0</v>
      </c>
      <c r="AM138" s="171">
        <f t="shared" si="117"/>
        <v>0</v>
      </c>
      <c r="AN138" s="175">
        <f t="shared" si="112"/>
        <v>0</v>
      </c>
      <c r="AP138" s="184">
        <f t="shared" ca="1" si="113"/>
        <v>2152</v>
      </c>
      <c r="AQ138" s="185">
        <f t="shared" si="96"/>
        <v>0.02</v>
      </c>
      <c r="AR138" s="182">
        <f t="shared" si="87"/>
        <v>13.988677136413017</v>
      </c>
      <c r="AU138" s="184">
        <f t="shared" ca="1" si="114"/>
        <v>2152</v>
      </c>
      <c r="AV138" s="182">
        <f t="shared" si="97"/>
        <v>0.02</v>
      </c>
      <c r="AW138" s="179">
        <f t="shared" si="98"/>
        <v>5.0000000000000001E-3</v>
      </c>
      <c r="AX138" s="182">
        <f t="shared" si="99"/>
        <v>2.5000000000000001E-2</v>
      </c>
      <c r="AY138" s="186"/>
      <c r="AZ138" s="190"/>
      <c r="BA138" s="184">
        <f t="shared" ca="1" si="115"/>
        <v>2152</v>
      </c>
      <c r="BB138" s="171">
        <f t="shared" si="100"/>
        <v>0</v>
      </c>
      <c r="BC138" s="171">
        <f t="shared" si="89"/>
        <v>9642.9132959323506</v>
      </c>
      <c r="BD138" s="171">
        <f t="shared" si="85"/>
        <v>0</v>
      </c>
      <c r="BE138" s="171">
        <f t="shared" si="85"/>
        <v>0</v>
      </c>
      <c r="BF138" s="171">
        <f t="shared" si="85"/>
        <v>0</v>
      </c>
      <c r="BG138" s="171">
        <f t="shared" si="85"/>
        <v>0</v>
      </c>
      <c r="BI138" s="187">
        <f>IF(A138-'Invoer gegevens'!$C$17&lt;0,0,IF(A138-'Invoer gegevens'!$C$17=0,1,IF(A138-'Invoer gegevens'!$C$17&lt;5,2,IF(A138-'Invoer gegevens'!$C$17&lt;15,3,4))))</f>
        <v>0</v>
      </c>
      <c r="BJ138" s="229">
        <f>IF(BI138&lt;1,0,IF(BI138&lt;2,4%,IF('Reeksen (N)'!BI138&lt;3,4%,IF('Reeksen (N)'!BI138&lt;4,4%*70%,IF('Reeksen (N)'!BI138&lt;5,4%*50%)))))</f>
        <v>0</v>
      </c>
    </row>
    <row r="139" spans="1:62" x14ac:dyDescent="0.25">
      <c r="A139" s="184">
        <f t="shared" si="101"/>
        <v>134</v>
      </c>
      <c r="B139" s="179">
        <f>Dashboard!$D$25</f>
        <v>0</v>
      </c>
      <c r="C139" s="179">
        <f>Dashboard!$D$25</f>
        <v>0</v>
      </c>
      <c r="D139" s="180">
        <f t="shared" si="90"/>
        <v>0</v>
      </c>
      <c r="E139" s="189"/>
      <c r="F139" s="184">
        <f t="shared" ca="1" si="102"/>
        <v>2153</v>
      </c>
      <c r="G139" s="179">
        <f t="shared" si="82"/>
        <v>0.02</v>
      </c>
      <c r="H139" s="182">
        <f t="shared" si="103"/>
        <v>14.282314558520305</v>
      </c>
      <c r="I139" s="179">
        <f t="shared" si="83"/>
        <v>2.5000000000000001E-2</v>
      </c>
      <c r="J139" s="182">
        <f t="shared" si="104"/>
        <v>27.543361362800979</v>
      </c>
      <c r="K139" s="179">
        <f t="shared" si="84"/>
        <v>2.5000000000000001E-2</v>
      </c>
      <c r="L139" s="182">
        <f t="shared" si="105"/>
        <v>27.543361362800979</v>
      </c>
      <c r="M139" s="189"/>
      <c r="N139" s="184">
        <f t="shared" ca="1" si="106"/>
        <v>2153</v>
      </c>
      <c r="O139" s="179">
        <f t="shared" si="118"/>
        <v>0.02</v>
      </c>
      <c r="P139" s="182">
        <f t="shared" si="86"/>
        <v>14.268450679141278</v>
      </c>
      <c r="R139" s="184">
        <f t="shared" ca="1" si="107"/>
        <v>2153</v>
      </c>
      <c r="S139" s="188">
        <f t="shared" si="80"/>
        <v>5.3600000000000002E-3</v>
      </c>
      <c r="U139" s="184">
        <f t="shared" ca="1" si="108"/>
        <v>2153</v>
      </c>
      <c r="V139" s="182">
        <f t="shared" si="91"/>
        <v>0.02</v>
      </c>
      <c r="W139" s="180">
        <f>Parameters!$D$15</f>
        <v>5.0000000000000001E-3</v>
      </c>
      <c r="X139" s="182">
        <f t="shared" si="92"/>
        <v>2.5000000000000001E-2</v>
      </c>
      <c r="Y139" s="182">
        <f t="shared" si="109"/>
        <v>27.570511060238072</v>
      </c>
      <c r="AA139" s="189"/>
      <c r="AB139" s="184">
        <f t="shared" ca="1" si="110"/>
        <v>2153</v>
      </c>
      <c r="AC139" s="171">
        <f t="shared" si="93"/>
        <v>0</v>
      </c>
      <c r="AD139" s="171">
        <f t="shared" si="88"/>
        <v>0</v>
      </c>
      <c r="AE139" s="171">
        <f t="shared" si="119"/>
        <v>9835.7715618509974</v>
      </c>
      <c r="AF139" s="171">
        <f t="shared" si="111"/>
        <v>0</v>
      </c>
      <c r="AG139" s="171">
        <f t="shared" si="81"/>
        <v>0</v>
      </c>
      <c r="AH139" s="171">
        <f t="shared" si="94"/>
        <v>0</v>
      </c>
      <c r="AI139" s="171">
        <f t="shared" si="95"/>
        <v>0</v>
      </c>
      <c r="AJ139" s="171">
        <f>IF('Invoer gegevens'!$I$27="DAEB",SMALL(AC139:AD139,1),AC139)</f>
        <v>0</v>
      </c>
      <c r="AK139" s="171">
        <f>IF('Invoer gegevens'!$I$27="DAEB",SMALL((AE139:AH139),1),SMALL((AF139:AH139),1))</f>
        <v>0</v>
      </c>
      <c r="AL139" s="171">
        <f t="shared" si="116"/>
        <v>0</v>
      </c>
      <c r="AM139" s="171">
        <f t="shared" si="117"/>
        <v>0</v>
      </c>
      <c r="AN139" s="175">
        <f t="shared" si="112"/>
        <v>0</v>
      </c>
      <c r="AP139" s="184">
        <f t="shared" ca="1" si="113"/>
        <v>2153</v>
      </c>
      <c r="AQ139" s="185">
        <f t="shared" si="96"/>
        <v>0.02</v>
      </c>
      <c r="AR139" s="182">
        <f t="shared" si="87"/>
        <v>14.268450679141278</v>
      </c>
      <c r="AU139" s="184">
        <f t="shared" ca="1" si="114"/>
        <v>2153</v>
      </c>
      <c r="AV139" s="182">
        <f t="shared" si="97"/>
        <v>0.02</v>
      </c>
      <c r="AW139" s="179">
        <f t="shared" si="98"/>
        <v>5.0000000000000001E-3</v>
      </c>
      <c r="AX139" s="182">
        <f t="shared" si="99"/>
        <v>2.5000000000000001E-2</v>
      </c>
      <c r="AY139" s="186"/>
      <c r="AZ139" s="190"/>
      <c r="BA139" s="184">
        <f t="shared" ca="1" si="115"/>
        <v>2153</v>
      </c>
      <c r="BB139" s="171">
        <f t="shared" si="100"/>
        <v>0</v>
      </c>
      <c r="BC139" s="171">
        <f t="shared" si="89"/>
        <v>9835.7715618509974</v>
      </c>
      <c r="BD139" s="171">
        <f t="shared" si="85"/>
        <v>0</v>
      </c>
      <c r="BE139" s="171">
        <f t="shared" si="85"/>
        <v>0</v>
      </c>
      <c r="BF139" s="171">
        <f t="shared" si="85"/>
        <v>0</v>
      </c>
      <c r="BG139" s="171">
        <f t="shared" si="85"/>
        <v>0</v>
      </c>
      <c r="BI139" s="187">
        <f>IF(A139-'Invoer gegevens'!$C$17&lt;0,0,IF(A139-'Invoer gegevens'!$C$17=0,1,IF(A139-'Invoer gegevens'!$C$17&lt;5,2,IF(A139-'Invoer gegevens'!$C$17&lt;15,3,4))))</f>
        <v>0</v>
      </c>
      <c r="BJ139" s="229">
        <f>IF(BI139&lt;1,0,IF(BI139&lt;2,4%,IF('Reeksen (N)'!BI139&lt;3,4%,IF('Reeksen (N)'!BI139&lt;4,4%*70%,IF('Reeksen (N)'!BI139&lt;5,4%*50%)))))</f>
        <v>0</v>
      </c>
    </row>
    <row r="140" spans="1:62" x14ac:dyDescent="0.25">
      <c r="A140" s="184">
        <f t="shared" si="101"/>
        <v>135</v>
      </c>
      <c r="B140" s="179">
        <f>Dashboard!$D$25</f>
        <v>0</v>
      </c>
      <c r="C140" s="179">
        <f>Dashboard!$D$25</f>
        <v>0</v>
      </c>
      <c r="D140" s="180">
        <f t="shared" si="90"/>
        <v>0</v>
      </c>
      <c r="E140" s="189"/>
      <c r="F140" s="184">
        <f t="shared" ca="1" si="102"/>
        <v>2154</v>
      </c>
      <c r="G140" s="179">
        <f t="shared" si="82"/>
        <v>0.02</v>
      </c>
      <c r="H140" s="182">
        <f t="shared" si="103"/>
        <v>14.567960849690712</v>
      </c>
      <c r="I140" s="179">
        <f t="shared" si="83"/>
        <v>2.5000000000000001E-2</v>
      </c>
      <c r="J140" s="182">
        <f t="shared" si="104"/>
        <v>28.231945396871001</v>
      </c>
      <c r="K140" s="179">
        <f t="shared" si="84"/>
        <v>2.5000000000000001E-2</v>
      </c>
      <c r="L140" s="182">
        <f t="shared" si="105"/>
        <v>28.231945396871001</v>
      </c>
      <c r="M140" s="189"/>
      <c r="N140" s="184">
        <f t="shared" ca="1" si="106"/>
        <v>2154</v>
      </c>
      <c r="O140" s="179">
        <f t="shared" si="118"/>
        <v>0.02</v>
      </c>
      <c r="P140" s="182">
        <f t="shared" si="86"/>
        <v>14.553819692724105</v>
      </c>
      <c r="R140" s="184">
        <f t="shared" ca="1" si="107"/>
        <v>2154</v>
      </c>
      <c r="S140" s="188">
        <f t="shared" ref="S140:S203" si="120">S139</f>
        <v>5.3600000000000002E-3</v>
      </c>
      <c r="U140" s="184">
        <f t="shared" ca="1" si="108"/>
        <v>2154</v>
      </c>
      <c r="V140" s="182">
        <f t="shared" si="91"/>
        <v>0.02</v>
      </c>
      <c r="W140" s="180">
        <f>Parameters!$D$15</f>
        <v>5.0000000000000001E-3</v>
      </c>
      <c r="X140" s="182">
        <f t="shared" si="92"/>
        <v>2.5000000000000001E-2</v>
      </c>
      <c r="Y140" s="182">
        <f t="shared" si="109"/>
        <v>28.259773836744021</v>
      </c>
      <c r="AA140" s="189"/>
      <c r="AB140" s="184">
        <f t="shared" ca="1" si="110"/>
        <v>2154</v>
      </c>
      <c r="AC140" s="171">
        <f t="shared" si="93"/>
        <v>0</v>
      </c>
      <c r="AD140" s="171">
        <f t="shared" si="88"/>
        <v>0</v>
      </c>
      <c r="AE140" s="171">
        <f t="shared" si="119"/>
        <v>10032.486993088018</v>
      </c>
      <c r="AF140" s="171">
        <f t="shared" si="111"/>
        <v>0</v>
      </c>
      <c r="AG140" s="171">
        <f t="shared" si="81"/>
        <v>0</v>
      </c>
      <c r="AH140" s="171">
        <f t="shared" si="94"/>
        <v>0</v>
      </c>
      <c r="AI140" s="171">
        <f t="shared" si="95"/>
        <v>0</v>
      </c>
      <c r="AJ140" s="171">
        <f>IF('Invoer gegevens'!$I$27="DAEB",SMALL(AC140:AD140,1),AC140)</f>
        <v>0</v>
      </c>
      <c r="AK140" s="171">
        <f>IF('Invoer gegevens'!$I$27="DAEB",SMALL((AE140:AH140),1),SMALL((AF140:AH140),1))</f>
        <v>0</v>
      </c>
      <c r="AL140" s="171">
        <f t="shared" si="116"/>
        <v>0</v>
      </c>
      <c r="AM140" s="171">
        <f t="shared" si="117"/>
        <v>0</v>
      </c>
      <c r="AN140" s="175">
        <f t="shared" si="112"/>
        <v>0</v>
      </c>
      <c r="AP140" s="184">
        <f t="shared" ca="1" si="113"/>
        <v>2154</v>
      </c>
      <c r="AQ140" s="185">
        <f t="shared" si="96"/>
        <v>0.02</v>
      </c>
      <c r="AR140" s="182">
        <f t="shared" si="87"/>
        <v>14.553819692724105</v>
      </c>
      <c r="AU140" s="184">
        <f t="shared" ca="1" si="114"/>
        <v>2154</v>
      </c>
      <c r="AV140" s="182">
        <f t="shared" si="97"/>
        <v>0.02</v>
      </c>
      <c r="AW140" s="179">
        <f t="shared" si="98"/>
        <v>5.0000000000000001E-3</v>
      </c>
      <c r="AX140" s="182">
        <f t="shared" si="99"/>
        <v>2.5000000000000001E-2</v>
      </c>
      <c r="AY140" s="186"/>
      <c r="AZ140" s="190"/>
      <c r="BA140" s="184">
        <f t="shared" ca="1" si="115"/>
        <v>2154</v>
      </c>
      <c r="BB140" s="171">
        <f t="shared" si="100"/>
        <v>0</v>
      </c>
      <c r="BC140" s="171">
        <f t="shared" si="89"/>
        <v>10032.486993088018</v>
      </c>
      <c r="BD140" s="171">
        <f t="shared" si="85"/>
        <v>0</v>
      </c>
      <c r="BE140" s="171">
        <f t="shared" si="85"/>
        <v>0</v>
      </c>
      <c r="BF140" s="171">
        <f t="shared" si="85"/>
        <v>0</v>
      </c>
      <c r="BG140" s="171">
        <f t="shared" si="85"/>
        <v>0</v>
      </c>
      <c r="BI140" s="187">
        <f>IF(A140-'Invoer gegevens'!$C$17&lt;0,0,IF(A140-'Invoer gegevens'!$C$17=0,1,IF(A140-'Invoer gegevens'!$C$17&lt;5,2,IF(A140-'Invoer gegevens'!$C$17&lt;15,3,4))))</f>
        <v>0</v>
      </c>
      <c r="BJ140" s="229">
        <f>IF(BI140&lt;1,0,IF(BI140&lt;2,4%,IF('Reeksen (N)'!BI140&lt;3,4%,IF('Reeksen (N)'!BI140&lt;4,4%*70%,IF('Reeksen (N)'!BI140&lt;5,4%*50%)))))</f>
        <v>0</v>
      </c>
    </row>
    <row r="141" spans="1:62" x14ac:dyDescent="0.25">
      <c r="A141" s="184">
        <f t="shared" si="101"/>
        <v>136</v>
      </c>
      <c r="B141" s="179">
        <f>Dashboard!$D$25</f>
        <v>0</v>
      </c>
      <c r="C141" s="179">
        <f>Dashboard!$D$25</f>
        <v>0</v>
      </c>
      <c r="D141" s="180">
        <f t="shared" si="90"/>
        <v>0</v>
      </c>
      <c r="E141" s="189"/>
      <c r="F141" s="184">
        <f t="shared" ca="1" si="102"/>
        <v>2155</v>
      </c>
      <c r="G141" s="179">
        <f t="shared" si="82"/>
        <v>0.02</v>
      </c>
      <c r="H141" s="182">
        <f t="shared" si="103"/>
        <v>14.859320066684527</v>
      </c>
      <c r="I141" s="179">
        <f t="shared" si="83"/>
        <v>2.5000000000000001E-2</v>
      </c>
      <c r="J141" s="182">
        <f t="shared" si="104"/>
        <v>28.937744031792775</v>
      </c>
      <c r="K141" s="179">
        <f t="shared" si="84"/>
        <v>2.5000000000000001E-2</v>
      </c>
      <c r="L141" s="182">
        <f t="shared" si="105"/>
        <v>28.937744031792775</v>
      </c>
      <c r="M141" s="189"/>
      <c r="N141" s="184">
        <f t="shared" ca="1" si="106"/>
        <v>2155</v>
      </c>
      <c r="O141" s="179">
        <f t="shared" si="118"/>
        <v>0.02</v>
      </c>
      <c r="P141" s="182">
        <f t="shared" si="86"/>
        <v>14.844896086578586</v>
      </c>
      <c r="R141" s="184">
        <f t="shared" ca="1" si="107"/>
        <v>2155</v>
      </c>
      <c r="S141" s="188">
        <f t="shared" si="120"/>
        <v>5.3600000000000002E-3</v>
      </c>
      <c r="U141" s="184">
        <f t="shared" ca="1" si="108"/>
        <v>2155</v>
      </c>
      <c r="V141" s="182">
        <f t="shared" si="91"/>
        <v>0.02</v>
      </c>
      <c r="W141" s="180">
        <f>Parameters!$D$15</f>
        <v>5.0000000000000001E-3</v>
      </c>
      <c r="X141" s="182">
        <f t="shared" si="92"/>
        <v>2.5000000000000001E-2</v>
      </c>
      <c r="Y141" s="182">
        <f t="shared" si="109"/>
        <v>28.96626818266262</v>
      </c>
      <c r="AA141" s="189"/>
      <c r="AB141" s="184">
        <f t="shared" ca="1" si="110"/>
        <v>2155</v>
      </c>
      <c r="AC141" s="171">
        <f t="shared" si="93"/>
        <v>0</v>
      </c>
      <c r="AD141" s="171">
        <f t="shared" si="88"/>
        <v>0</v>
      </c>
      <c r="AE141" s="171">
        <f t="shared" si="119"/>
        <v>10233.136732949779</v>
      </c>
      <c r="AF141" s="171">
        <f t="shared" si="111"/>
        <v>0</v>
      </c>
      <c r="AG141" s="171">
        <f t="shared" ref="AG141:AG204" si="121">ROUND($AG140*(1+V141)^1,2)</f>
        <v>0</v>
      </c>
      <c r="AH141" s="171">
        <f t="shared" si="94"/>
        <v>0</v>
      </c>
      <c r="AI141" s="171">
        <f t="shared" si="95"/>
        <v>0</v>
      </c>
      <c r="AJ141" s="171">
        <f>IF('Invoer gegevens'!$I$27="DAEB",SMALL(AC141:AD141,1),AC141)</f>
        <v>0</v>
      </c>
      <c r="AK141" s="171">
        <f>IF('Invoer gegevens'!$I$27="DAEB",SMALL((AE141:AH141),1),SMALL((AF141:AH141),1))</f>
        <v>0</v>
      </c>
      <c r="AL141" s="171">
        <f t="shared" si="116"/>
        <v>0</v>
      </c>
      <c r="AM141" s="171">
        <f t="shared" si="117"/>
        <v>0</v>
      </c>
      <c r="AN141" s="175">
        <f t="shared" si="112"/>
        <v>0</v>
      </c>
      <c r="AP141" s="184">
        <f t="shared" ca="1" si="113"/>
        <v>2155</v>
      </c>
      <c r="AQ141" s="185">
        <f t="shared" si="96"/>
        <v>0.02</v>
      </c>
      <c r="AR141" s="182">
        <f t="shared" si="87"/>
        <v>14.844896086578586</v>
      </c>
      <c r="AU141" s="184">
        <f t="shared" ca="1" si="114"/>
        <v>2155</v>
      </c>
      <c r="AV141" s="182">
        <f t="shared" si="97"/>
        <v>0.02</v>
      </c>
      <c r="AW141" s="179">
        <f t="shared" si="98"/>
        <v>5.0000000000000001E-3</v>
      </c>
      <c r="AX141" s="182">
        <f t="shared" si="99"/>
        <v>2.5000000000000001E-2</v>
      </c>
      <c r="AY141" s="186"/>
      <c r="AZ141" s="190"/>
      <c r="BA141" s="184">
        <f t="shared" ca="1" si="115"/>
        <v>2155</v>
      </c>
      <c r="BB141" s="171">
        <f t="shared" si="100"/>
        <v>0</v>
      </c>
      <c r="BC141" s="171">
        <f t="shared" si="89"/>
        <v>10233.136732949779</v>
      </c>
      <c r="BD141" s="171">
        <f t="shared" si="85"/>
        <v>0</v>
      </c>
      <c r="BE141" s="171">
        <f t="shared" si="85"/>
        <v>0</v>
      </c>
      <c r="BF141" s="171">
        <f t="shared" si="85"/>
        <v>0</v>
      </c>
      <c r="BG141" s="171">
        <f t="shared" si="85"/>
        <v>0</v>
      </c>
      <c r="BI141" s="187">
        <f>IF(A141-'Invoer gegevens'!$C$17&lt;0,0,IF(A141-'Invoer gegevens'!$C$17=0,1,IF(A141-'Invoer gegevens'!$C$17&lt;5,2,IF(A141-'Invoer gegevens'!$C$17&lt;15,3,4))))</f>
        <v>0</v>
      </c>
      <c r="BJ141" s="229">
        <f>IF(BI141&lt;1,0,IF(BI141&lt;2,4%,IF('Reeksen (N)'!BI141&lt;3,4%,IF('Reeksen (N)'!BI141&lt;4,4%*70%,IF('Reeksen (N)'!BI141&lt;5,4%*50%)))))</f>
        <v>0</v>
      </c>
    </row>
    <row r="142" spans="1:62" x14ac:dyDescent="0.25">
      <c r="A142" s="184">
        <f t="shared" si="101"/>
        <v>137</v>
      </c>
      <c r="B142" s="179">
        <f>Dashboard!$D$25</f>
        <v>0</v>
      </c>
      <c r="C142" s="179">
        <f>Dashboard!$D$25</f>
        <v>0</v>
      </c>
      <c r="D142" s="180">
        <f t="shared" si="90"/>
        <v>0</v>
      </c>
      <c r="E142" s="189"/>
      <c r="F142" s="184">
        <f t="shared" ca="1" si="102"/>
        <v>2156</v>
      </c>
      <c r="G142" s="179">
        <f t="shared" si="82"/>
        <v>0.02</v>
      </c>
      <c r="H142" s="182">
        <f t="shared" si="103"/>
        <v>15.156506468018218</v>
      </c>
      <c r="I142" s="179">
        <f t="shared" si="83"/>
        <v>2.5000000000000001E-2</v>
      </c>
      <c r="J142" s="182">
        <f t="shared" si="104"/>
        <v>29.661187632587591</v>
      </c>
      <c r="K142" s="179">
        <f t="shared" si="84"/>
        <v>2.5000000000000001E-2</v>
      </c>
      <c r="L142" s="182">
        <f t="shared" si="105"/>
        <v>29.661187632587591</v>
      </c>
      <c r="M142" s="189"/>
      <c r="N142" s="184">
        <f t="shared" ca="1" si="106"/>
        <v>2156</v>
      </c>
      <c r="O142" s="179">
        <f t="shared" si="118"/>
        <v>0.02</v>
      </c>
      <c r="P142" s="182">
        <f t="shared" si="86"/>
        <v>15.141794008310159</v>
      </c>
      <c r="R142" s="184">
        <f t="shared" ca="1" si="107"/>
        <v>2156</v>
      </c>
      <c r="S142" s="188">
        <f t="shared" si="120"/>
        <v>5.3600000000000002E-3</v>
      </c>
      <c r="U142" s="184">
        <f t="shared" ca="1" si="108"/>
        <v>2156</v>
      </c>
      <c r="V142" s="182">
        <f t="shared" si="91"/>
        <v>0.02</v>
      </c>
      <c r="W142" s="180">
        <f>Parameters!$D$15</f>
        <v>5.0000000000000001E-3</v>
      </c>
      <c r="X142" s="182">
        <f t="shared" si="92"/>
        <v>2.5000000000000001E-2</v>
      </c>
      <c r="Y142" s="182">
        <f t="shared" si="109"/>
        <v>29.690424887229184</v>
      </c>
      <c r="AA142" s="189"/>
      <c r="AB142" s="184">
        <f t="shared" ca="1" si="110"/>
        <v>2156</v>
      </c>
      <c r="AC142" s="171">
        <f t="shared" si="93"/>
        <v>0</v>
      </c>
      <c r="AD142" s="171">
        <f t="shared" si="88"/>
        <v>0</v>
      </c>
      <c r="AE142" s="171">
        <f t="shared" si="119"/>
        <v>10437.799467608775</v>
      </c>
      <c r="AF142" s="171">
        <f t="shared" si="111"/>
        <v>0</v>
      </c>
      <c r="AG142" s="171">
        <f t="shared" si="121"/>
        <v>0</v>
      </c>
      <c r="AH142" s="171">
        <f t="shared" si="94"/>
        <v>0</v>
      </c>
      <c r="AI142" s="171">
        <f t="shared" si="95"/>
        <v>0</v>
      </c>
      <c r="AJ142" s="171">
        <f>IF('Invoer gegevens'!$I$27="DAEB",SMALL(AC142:AD142,1),AC142)</f>
        <v>0</v>
      </c>
      <c r="AK142" s="171">
        <f>IF('Invoer gegevens'!$I$27="DAEB",SMALL((AE142:AH142),1),SMALL((AF142:AH142),1))</f>
        <v>0</v>
      </c>
      <c r="AL142" s="171">
        <f t="shared" si="116"/>
        <v>0</v>
      </c>
      <c r="AM142" s="171">
        <f t="shared" si="117"/>
        <v>0</v>
      </c>
      <c r="AN142" s="175">
        <f t="shared" si="112"/>
        <v>0</v>
      </c>
      <c r="AP142" s="184">
        <f t="shared" ca="1" si="113"/>
        <v>2156</v>
      </c>
      <c r="AQ142" s="185">
        <f t="shared" si="96"/>
        <v>0.02</v>
      </c>
      <c r="AR142" s="182">
        <f t="shared" si="87"/>
        <v>15.141794008310159</v>
      </c>
      <c r="AU142" s="184">
        <f t="shared" ca="1" si="114"/>
        <v>2156</v>
      </c>
      <c r="AV142" s="182">
        <f t="shared" si="97"/>
        <v>0.02</v>
      </c>
      <c r="AW142" s="179">
        <f t="shared" si="98"/>
        <v>5.0000000000000001E-3</v>
      </c>
      <c r="AX142" s="182">
        <f t="shared" si="99"/>
        <v>2.5000000000000001E-2</v>
      </c>
      <c r="AY142" s="186"/>
      <c r="AZ142" s="190"/>
      <c r="BA142" s="184">
        <f t="shared" ca="1" si="115"/>
        <v>2156</v>
      </c>
      <c r="BB142" s="171">
        <f t="shared" si="100"/>
        <v>0</v>
      </c>
      <c r="BC142" s="171">
        <f t="shared" si="89"/>
        <v>10437.799467608775</v>
      </c>
      <c r="BD142" s="171">
        <f t="shared" si="85"/>
        <v>0</v>
      </c>
      <c r="BE142" s="171">
        <f t="shared" si="85"/>
        <v>0</v>
      </c>
      <c r="BF142" s="171">
        <f t="shared" si="85"/>
        <v>0</v>
      </c>
      <c r="BG142" s="171">
        <f t="shared" si="85"/>
        <v>0</v>
      </c>
      <c r="BI142" s="187">
        <f>IF(A142-'Invoer gegevens'!$C$17&lt;0,0,IF(A142-'Invoer gegevens'!$C$17=0,1,IF(A142-'Invoer gegevens'!$C$17&lt;5,2,IF(A142-'Invoer gegevens'!$C$17&lt;15,3,4))))</f>
        <v>0</v>
      </c>
      <c r="BJ142" s="229">
        <f>IF(BI142&lt;1,0,IF(BI142&lt;2,4%,IF('Reeksen (N)'!BI142&lt;3,4%,IF('Reeksen (N)'!BI142&lt;4,4%*70%,IF('Reeksen (N)'!BI142&lt;5,4%*50%)))))</f>
        <v>0</v>
      </c>
    </row>
    <row r="143" spans="1:62" x14ac:dyDescent="0.25">
      <c r="A143" s="184">
        <f t="shared" si="101"/>
        <v>138</v>
      </c>
      <c r="B143" s="179">
        <f>Dashboard!$D$25</f>
        <v>0</v>
      </c>
      <c r="C143" s="179">
        <f>Dashboard!$D$25</f>
        <v>0</v>
      </c>
      <c r="D143" s="180">
        <f t="shared" si="90"/>
        <v>0</v>
      </c>
      <c r="E143" s="189"/>
      <c r="F143" s="184">
        <f t="shared" ca="1" si="102"/>
        <v>2157</v>
      </c>
      <c r="G143" s="179">
        <f t="shared" si="82"/>
        <v>0.02</v>
      </c>
      <c r="H143" s="182">
        <f t="shared" si="103"/>
        <v>15.459636597378584</v>
      </c>
      <c r="I143" s="179">
        <f t="shared" si="83"/>
        <v>2.5000000000000001E-2</v>
      </c>
      <c r="J143" s="182">
        <f t="shared" si="104"/>
        <v>30.402717323402278</v>
      </c>
      <c r="K143" s="179">
        <f t="shared" si="84"/>
        <v>2.5000000000000001E-2</v>
      </c>
      <c r="L143" s="182">
        <f t="shared" si="105"/>
        <v>30.402717323402278</v>
      </c>
      <c r="M143" s="189"/>
      <c r="N143" s="184">
        <f t="shared" ca="1" si="106"/>
        <v>2157</v>
      </c>
      <c r="O143" s="179">
        <f t="shared" si="118"/>
        <v>0.02</v>
      </c>
      <c r="P143" s="182">
        <f t="shared" si="86"/>
        <v>15.444629888476362</v>
      </c>
      <c r="R143" s="184">
        <f t="shared" ca="1" si="107"/>
        <v>2157</v>
      </c>
      <c r="S143" s="188">
        <f t="shared" si="120"/>
        <v>5.3600000000000002E-3</v>
      </c>
      <c r="U143" s="184">
        <f t="shared" ca="1" si="108"/>
        <v>2157</v>
      </c>
      <c r="V143" s="182">
        <f t="shared" si="91"/>
        <v>0.02</v>
      </c>
      <c r="W143" s="180">
        <f>Parameters!$D$15</f>
        <v>5.0000000000000001E-3</v>
      </c>
      <c r="X143" s="182">
        <f t="shared" si="92"/>
        <v>2.5000000000000001E-2</v>
      </c>
      <c r="Y143" s="182">
        <f t="shared" si="109"/>
        <v>30.432685509409911</v>
      </c>
      <c r="AA143" s="189"/>
      <c r="AB143" s="184">
        <f t="shared" ca="1" si="110"/>
        <v>2157</v>
      </c>
      <c r="AC143" s="171">
        <f t="shared" si="93"/>
        <v>0</v>
      </c>
      <c r="AD143" s="171">
        <f t="shared" si="88"/>
        <v>0</v>
      </c>
      <c r="AE143" s="171">
        <f t="shared" si="119"/>
        <v>10646.55545696095</v>
      </c>
      <c r="AF143" s="171">
        <f t="shared" si="111"/>
        <v>0</v>
      </c>
      <c r="AG143" s="171">
        <f t="shared" si="121"/>
        <v>0</v>
      </c>
      <c r="AH143" s="171">
        <f t="shared" si="94"/>
        <v>0</v>
      </c>
      <c r="AI143" s="171">
        <f t="shared" si="95"/>
        <v>0</v>
      </c>
      <c r="AJ143" s="171">
        <f>IF('Invoer gegevens'!$I$27="DAEB",SMALL(AC143:AD143,1),AC143)</f>
        <v>0</v>
      </c>
      <c r="AK143" s="171">
        <f>IF('Invoer gegevens'!$I$27="DAEB",SMALL((AE143:AH143),1),SMALL((AF143:AH143),1))</f>
        <v>0</v>
      </c>
      <c r="AL143" s="171">
        <f t="shared" si="116"/>
        <v>0</v>
      </c>
      <c r="AM143" s="171">
        <f t="shared" si="117"/>
        <v>0</v>
      </c>
      <c r="AN143" s="175">
        <f t="shared" si="112"/>
        <v>0</v>
      </c>
      <c r="AP143" s="184">
        <f t="shared" ca="1" si="113"/>
        <v>2157</v>
      </c>
      <c r="AQ143" s="185">
        <f t="shared" si="96"/>
        <v>0.02</v>
      </c>
      <c r="AR143" s="182">
        <f t="shared" si="87"/>
        <v>15.444629888476362</v>
      </c>
      <c r="AU143" s="184">
        <f t="shared" ca="1" si="114"/>
        <v>2157</v>
      </c>
      <c r="AV143" s="182">
        <f t="shared" si="97"/>
        <v>0.02</v>
      </c>
      <c r="AW143" s="179">
        <f t="shared" si="98"/>
        <v>5.0000000000000001E-3</v>
      </c>
      <c r="AX143" s="182">
        <f t="shared" si="99"/>
        <v>2.5000000000000001E-2</v>
      </c>
      <c r="AY143" s="186"/>
      <c r="AZ143" s="190"/>
      <c r="BA143" s="184">
        <f t="shared" ca="1" si="115"/>
        <v>2157</v>
      </c>
      <c r="BB143" s="171">
        <f t="shared" si="100"/>
        <v>0</v>
      </c>
      <c r="BC143" s="171">
        <f t="shared" si="89"/>
        <v>10646.55545696095</v>
      </c>
      <c r="BD143" s="171">
        <f t="shared" si="85"/>
        <v>0</v>
      </c>
      <c r="BE143" s="171">
        <f t="shared" si="85"/>
        <v>0</v>
      </c>
      <c r="BF143" s="171">
        <f t="shared" si="85"/>
        <v>0</v>
      </c>
      <c r="BG143" s="171">
        <f t="shared" si="85"/>
        <v>0</v>
      </c>
      <c r="BI143" s="187">
        <f>IF(A143-'Invoer gegevens'!$C$17&lt;0,0,IF(A143-'Invoer gegevens'!$C$17=0,1,IF(A143-'Invoer gegevens'!$C$17&lt;5,2,IF(A143-'Invoer gegevens'!$C$17&lt;15,3,4))))</f>
        <v>0</v>
      </c>
      <c r="BJ143" s="229">
        <f>IF(BI143&lt;1,0,IF(BI143&lt;2,4%,IF('Reeksen (N)'!BI143&lt;3,4%,IF('Reeksen (N)'!BI143&lt;4,4%*70%,IF('Reeksen (N)'!BI143&lt;5,4%*50%)))))</f>
        <v>0</v>
      </c>
    </row>
    <row r="144" spans="1:62" x14ac:dyDescent="0.25">
      <c r="A144" s="184">
        <f t="shared" si="101"/>
        <v>139</v>
      </c>
      <c r="B144" s="179">
        <f>Dashboard!$D$25</f>
        <v>0</v>
      </c>
      <c r="C144" s="179">
        <f>Dashboard!$D$25</f>
        <v>0</v>
      </c>
      <c r="D144" s="180">
        <f t="shared" si="90"/>
        <v>0</v>
      </c>
      <c r="E144" s="189"/>
      <c r="F144" s="184">
        <f t="shared" ca="1" si="102"/>
        <v>2158</v>
      </c>
      <c r="G144" s="179">
        <f t="shared" si="82"/>
        <v>0.02</v>
      </c>
      <c r="H144" s="182">
        <f t="shared" si="103"/>
        <v>15.768829329326156</v>
      </c>
      <c r="I144" s="179">
        <f t="shared" si="83"/>
        <v>2.5000000000000001E-2</v>
      </c>
      <c r="J144" s="182">
        <f t="shared" si="104"/>
        <v>31.162785256487332</v>
      </c>
      <c r="K144" s="179">
        <f t="shared" si="84"/>
        <v>2.5000000000000001E-2</v>
      </c>
      <c r="L144" s="182">
        <f t="shared" si="105"/>
        <v>31.162785256487332</v>
      </c>
      <c r="M144" s="189"/>
      <c r="N144" s="184">
        <f t="shared" ca="1" si="106"/>
        <v>2158</v>
      </c>
      <c r="O144" s="179">
        <f t="shared" si="118"/>
        <v>0.02</v>
      </c>
      <c r="P144" s="182">
        <f t="shared" si="86"/>
        <v>15.75352248624589</v>
      </c>
      <c r="R144" s="184">
        <f t="shared" ca="1" si="107"/>
        <v>2158</v>
      </c>
      <c r="S144" s="188">
        <f t="shared" si="120"/>
        <v>5.3600000000000002E-3</v>
      </c>
      <c r="U144" s="184">
        <f t="shared" ca="1" si="108"/>
        <v>2158</v>
      </c>
      <c r="V144" s="182">
        <f t="shared" si="91"/>
        <v>0.02</v>
      </c>
      <c r="W144" s="180">
        <f>Parameters!$D$15</f>
        <v>5.0000000000000001E-3</v>
      </c>
      <c r="X144" s="182">
        <f t="shared" si="92"/>
        <v>2.5000000000000001E-2</v>
      </c>
      <c r="Y144" s="182">
        <f t="shared" si="109"/>
        <v>31.193502647145156</v>
      </c>
      <c r="AA144" s="189"/>
      <c r="AB144" s="184">
        <f t="shared" ca="1" si="110"/>
        <v>2158</v>
      </c>
      <c r="AC144" s="171">
        <f t="shared" si="93"/>
        <v>0</v>
      </c>
      <c r="AD144" s="171">
        <f t="shared" si="88"/>
        <v>0</v>
      </c>
      <c r="AE144" s="171">
        <f t="shared" si="119"/>
        <v>10859.48656610017</v>
      </c>
      <c r="AF144" s="171">
        <f t="shared" si="111"/>
        <v>0</v>
      </c>
      <c r="AG144" s="171">
        <f t="shared" si="121"/>
        <v>0</v>
      </c>
      <c r="AH144" s="171">
        <f t="shared" si="94"/>
        <v>0</v>
      </c>
      <c r="AI144" s="171">
        <f t="shared" si="95"/>
        <v>0</v>
      </c>
      <c r="AJ144" s="171">
        <f>IF('Invoer gegevens'!$I$27="DAEB",SMALL(AC144:AD144,1),AC144)</f>
        <v>0</v>
      </c>
      <c r="AK144" s="171">
        <f>IF('Invoer gegevens'!$I$27="DAEB",SMALL((AE144:AH144),1),SMALL((AF144:AH144),1))</f>
        <v>0</v>
      </c>
      <c r="AL144" s="171">
        <f t="shared" si="116"/>
        <v>0</v>
      </c>
      <c r="AM144" s="171">
        <f t="shared" si="117"/>
        <v>0</v>
      </c>
      <c r="AN144" s="175">
        <f t="shared" si="112"/>
        <v>0</v>
      </c>
      <c r="AP144" s="184">
        <f t="shared" ca="1" si="113"/>
        <v>2158</v>
      </c>
      <c r="AQ144" s="185">
        <f t="shared" si="96"/>
        <v>0.02</v>
      </c>
      <c r="AR144" s="182">
        <f t="shared" si="87"/>
        <v>15.75352248624589</v>
      </c>
      <c r="AU144" s="184">
        <f t="shared" ca="1" si="114"/>
        <v>2158</v>
      </c>
      <c r="AV144" s="182">
        <f t="shared" si="97"/>
        <v>0.02</v>
      </c>
      <c r="AW144" s="179">
        <f t="shared" si="98"/>
        <v>5.0000000000000001E-3</v>
      </c>
      <c r="AX144" s="182">
        <f t="shared" si="99"/>
        <v>2.5000000000000001E-2</v>
      </c>
      <c r="AY144" s="186"/>
      <c r="AZ144" s="190"/>
      <c r="BA144" s="184">
        <f t="shared" ca="1" si="115"/>
        <v>2158</v>
      </c>
      <c r="BB144" s="171">
        <f t="shared" si="100"/>
        <v>0</v>
      </c>
      <c r="BC144" s="171">
        <f t="shared" si="89"/>
        <v>10859.48656610017</v>
      </c>
      <c r="BD144" s="171">
        <f t="shared" si="85"/>
        <v>0</v>
      </c>
      <c r="BE144" s="171">
        <f t="shared" si="85"/>
        <v>0</v>
      </c>
      <c r="BF144" s="171">
        <f t="shared" si="85"/>
        <v>0</v>
      </c>
      <c r="BG144" s="171">
        <f t="shared" si="85"/>
        <v>0</v>
      </c>
      <c r="BI144" s="187">
        <f>IF(A144-'Invoer gegevens'!$C$17&lt;0,0,IF(A144-'Invoer gegevens'!$C$17=0,1,IF(A144-'Invoer gegevens'!$C$17&lt;5,2,IF(A144-'Invoer gegevens'!$C$17&lt;15,3,4))))</f>
        <v>0</v>
      </c>
      <c r="BJ144" s="229">
        <f>IF(BI144&lt;1,0,IF(BI144&lt;2,4%,IF('Reeksen (N)'!BI144&lt;3,4%,IF('Reeksen (N)'!BI144&lt;4,4%*70%,IF('Reeksen (N)'!BI144&lt;5,4%*50%)))))</f>
        <v>0</v>
      </c>
    </row>
    <row r="145" spans="1:62" x14ac:dyDescent="0.25">
      <c r="A145" s="184">
        <f t="shared" si="101"/>
        <v>140</v>
      </c>
      <c r="B145" s="179">
        <f>Dashboard!$D$25</f>
        <v>0</v>
      </c>
      <c r="C145" s="179">
        <f>Dashboard!$D$25</f>
        <v>0</v>
      </c>
      <c r="D145" s="180">
        <f t="shared" si="90"/>
        <v>0</v>
      </c>
      <c r="E145" s="189"/>
      <c r="F145" s="184">
        <f t="shared" ca="1" si="102"/>
        <v>2159</v>
      </c>
      <c r="G145" s="179">
        <f t="shared" si="82"/>
        <v>0.02</v>
      </c>
      <c r="H145" s="182">
        <f t="shared" si="103"/>
        <v>16.08420591591268</v>
      </c>
      <c r="I145" s="179">
        <f t="shared" si="83"/>
        <v>2.5000000000000001E-2</v>
      </c>
      <c r="J145" s="182">
        <f t="shared" si="104"/>
        <v>31.941854887899513</v>
      </c>
      <c r="K145" s="179">
        <f t="shared" si="84"/>
        <v>2.5000000000000001E-2</v>
      </c>
      <c r="L145" s="182">
        <f t="shared" si="105"/>
        <v>31.941854887899513</v>
      </c>
      <c r="M145" s="189"/>
      <c r="N145" s="184">
        <f t="shared" ca="1" si="106"/>
        <v>2159</v>
      </c>
      <c r="O145" s="179">
        <f t="shared" si="118"/>
        <v>0.02</v>
      </c>
      <c r="P145" s="182">
        <f t="shared" si="86"/>
        <v>16.068592935970809</v>
      </c>
      <c r="R145" s="184">
        <f t="shared" ca="1" si="107"/>
        <v>2159</v>
      </c>
      <c r="S145" s="188">
        <f t="shared" si="120"/>
        <v>5.3600000000000002E-3</v>
      </c>
      <c r="U145" s="184">
        <f t="shared" ca="1" si="108"/>
        <v>2159</v>
      </c>
      <c r="V145" s="182">
        <f t="shared" si="91"/>
        <v>0.02</v>
      </c>
      <c r="W145" s="180">
        <f>Parameters!$D$15</f>
        <v>5.0000000000000001E-3</v>
      </c>
      <c r="X145" s="182">
        <f t="shared" si="92"/>
        <v>2.5000000000000001E-2</v>
      </c>
      <c r="Y145" s="182">
        <f t="shared" si="109"/>
        <v>31.97334021332378</v>
      </c>
      <c r="AA145" s="189"/>
      <c r="AB145" s="184">
        <f t="shared" ca="1" si="110"/>
        <v>2159</v>
      </c>
      <c r="AC145" s="171">
        <f t="shared" si="93"/>
        <v>0</v>
      </c>
      <c r="AD145" s="171">
        <f t="shared" si="88"/>
        <v>0</v>
      </c>
      <c r="AE145" s="171">
        <f t="shared" si="119"/>
        <v>11076.676297422173</v>
      </c>
      <c r="AF145" s="171">
        <f t="shared" si="111"/>
        <v>0</v>
      </c>
      <c r="AG145" s="171">
        <f t="shared" si="121"/>
        <v>0</v>
      </c>
      <c r="AH145" s="171">
        <f t="shared" si="94"/>
        <v>0</v>
      </c>
      <c r="AI145" s="171">
        <f t="shared" si="95"/>
        <v>0</v>
      </c>
      <c r="AJ145" s="171">
        <f>IF('Invoer gegevens'!$I$27="DAEB",SMALL(AC145:AD145,1),AC145)</f>
        <v>0</v>
      </c>
      <c r="AK145" s="171">
        <f>IF('Invoer gegevens'!$I$27="DAEB",SMALL((AE145:AH145),1),SMALL((AF145:AH145),1))</f>
        <v>0</v>
      </c>
      <c r="AL145" s="171">
        <f t="shared" si="116"/>
        <v>0</v>
      </c>
      <c r="AM145" s="171">
        <f t="shared" si="117"/>
        <v>0</v>
      </c>
      <c r="AN145" s="175">
        <f t="shared" si="112"/>
        <v>0</v>
      </c>
      <c r="AP145" s="184">
        <f t="shared" ca="1" si="113"/>
        <v>2159</v>
      </c>
      <c r="AQ145" s="185">
        <f t="shared" si="96"/>
        <v>0.02</v>
      </c>
      <c r="AR145" s="182">
        <f t="shared" si="87"/>
        <v>16.068592935970809</v>
      </c>
      <c r="AU145" s="184">
        <f t="shared" ca="1" si="114"/>
        <v>2159</v>
      </c>
      <c r="AV145" s="182">
        <f t="shared" si="97"/>
        <v>0.02</v>
      </c>
      <c r="AW145" s="179">
        <f t="shared" si="98"/>
        <v>5.0000000000000001E-3</v>
      </c>
      <c r="AX145" s="182">
        <f t="shared" si="99"/>
        <v>2.5000000000000001E-2</v>
      </c>
      <c r="AY145" s="186"/>
      <c r="AZ145" s="190"/>
      <c r="BA145" s="184">
        <f t="shared" ca="1" si="115"/>
        <v>2159</v>
      </c>
      <c r="BB145" s="171">
        <f t="shared" si="100"/>
        <v>0</v>
      </c>
      <c r="BC145" s="171">
        <f t="shared" si="89"/>
        <v>11076.676297422173</v>
      </c>
      <c r="BD145" s="171">
        <f t="shared" si="85"/>
        <v>0</v>
      </c>
      <c r="BE145" s="171">
        <f t="shared" si="85"/>
        <v>0</v>
      </c>
      <c r="BF145" s="171">
        <f t="shared" si="85"/>
        <v>0</v>
      </c>
      <c r="BG145" s="171">
        <f t="shared" si="85"/>
        <v>0</v>
      </c>
      <c r="BI145" s="187">
        <f>IF(A145-'Invoer gegevens'!$C$17&lt;0,0,IF(A145-'Invoer gegevens'!$C$17=0,1,IF(A145-'Invoer gegevens'!$C$17&lt;5,2,IF(A145-'Invoer gegevens'!$C$17&lt;15,3,4))))</f>
        <v>0</v>
      </c>
      <c r="BJ145" s="229">
        <f>IF(BI145&lt;1,0,IF(BI145&lt;2,4%,IF('Reeksen (N)'!BI145&lt;3,4%,IF('Reeksen (N)'!BI145&lt;4,4%*70%,IF('Reeksen (N)'!BI145&lt;5,4%*50%)))))</f>
        <v>0</v>
      </c>
    </row>
    <row r="146" spans="1:62" x14ac:dyDescent="0.25">
      <c r="A146" s="184">
        <f t="shared" si="101"/>
        <v>141</v>
      </c>
      <c r="B146" s="179">
        <f>Dashboard!$D$25</f>
        <v>0</v>
      </c>
      <c r="C146" s="179">
        <f>Dashboard!$D$25</f>
        <v>0</v>
      </c>
      <c r="D146" s="180">
        <f t="shared" si="90"/>
        <v>0</v>
      </c>
      <c r="E146" s="189"/>
      <c r="F146" s="184">
        <f t="shared" ca="1" si="102"/>
        <v>2160</v>
      </c>
      <c r="G146" s="179">
        <f t="shared" si="82"/>
        <v>0.02</v>
      </c>
      <c r="H146" s="182">
        <f t="shared" si="103"/>
        <v>16.405890034230932</v>
      </c>
      <c r="I146" s="179">
        <f t="shared" si="83"/>
        <v>2.5000000000000001E-2</v>
      </c>
      <c r="J146" s="182">
        <f t="shared" si="104"/>
        <v>32.740401260096995</v>
      </c>
      <c r="K146" s="179">
        <f t="shared" si="84"/>
        <v>2.5000000000000001E-2</v>
      </c>
      <c r="L146" s="182">
        <f t="shared" si="105"/>
        <v>32.740401260096995</v>
      </c>
      <c r="M146" s="189"/>
      <c r="N146" s="184">
        <f t="shared" ca="1" si="106"/>
        <v>2160</v>
      </c>
      <c r="O146" s="179">
        <f t="shared" si="118"/>
        <v>0.02</v>
      </c>
      <c r="P146" s="182">
        <f t="shared" si="86"/>
        <v>16.389964794690226</v>
      </c>
      <c r="R146" s="184">
        <f t="shared" ca="1" si="107"/>
        <v>2160</v>
      </c>
      <c r="S146" s="188">
        <f t="shared" si="120"/>
        <v>5.3600000000000002E-3</v>
      </c>
      <c r="U146" s="184">
        <f t="shared" ca="1" si="108"/>
        <v>2160</v>
      </c>
      <c r="V146" s="182">
        <f t="shared" si="91"/>
        <v>0.02</v>
      </c>
      <c r="W146" s="180">
        <f>Parameters!$D$15</f>
        <v>5.0000000000000001E-3</v>
      </c>
      <c r="X146" s="182">
        <f t="shared" si="92"/>
        <v>2.5000000000000001E-2</v>
      </c>
      <c r="Y146" s="182">
        <f t="shared" si="109"/>
        <v>32.772673718656876</v>
      </c>
      <c r="AA146" s="189"/>
      <c r="AB146" s="184">
        <f t="shared" ca="1" si="110"/>
        <v>2160</v>
      </c>
      <c r="AC146" s="171">
        <f t="shared" si="93"/>
        <v>0</v>
      </c>
      <c r="AD146" s="171">
        <f t="shared" si="88"/>
        <v>0</v>
      </c>
      <c r="AE146" s="171">
        <f t="shared" si="119"/>
        <v>11298.209823370617</v>
      </c>
      <c r="AF146" s="171">
        <f t="shared" si="111"/>
        <v>0</v>
      </c>
      <c r="AG146" s="171">
        <f t="shared" si="121"/>
        <v>0</v>
      </c>
      <c r="AH146" s="171">
        <f t="shared" si="94"/>
        <v>0</v>
      </c>
      <c r="AI146" s="171">
        <f t="shared" si="95"/>
        <v>0</v>
      </c>
      <c r="AJ146" s="171">
        <f>IF('Invoer gegevens'!$I$27="DAEB",SMALL(AC146:AD146,1),AC146)</f>
        <v>0</v>
      </c>
      <c r="AK146" s="171">
        <f>IF('Invoer gegevens'!$I$27="DAEB",SMALL((AE146:AH146),1),SMALL((AF146:AH146),1))</f>
        <v>0</v>
      </c>
      <c r="AL146" s="171">
        <f t="shared" si="116"/>
        <v>0</v>
      </c>
      <c r="AM146" s="171">
        <f t="shared" si="117"/>
        <v>0</v>
      </c>
      <c r="AN146" s="175">
        <f t="shared" si="112"/>
        <v>0</v>
      </c>
      <c r="AP146" s="184">
        <f t="shared" ca="1" si="113"/>
        <v>2160</v>
      </c>
      <c r="AQ146" s="185">
        <f t="shared" si="96"/>
        <v>0.02</v>
      </c>
      <c r="AR146" s="182">
        <f t="shared" si="87"/>
        <v>16.389964794690226</v>
      </c>
      <c r="AU146" s="184">
        <f t="shared" ca="1" si="114"/>
        <v>2160</v>
      </c>
      <c r="AV146" s="182">
        <f t="shared" si="97"/>
        <v>0.02</v>
      </c>
      <c r="AW146" s="179">
        <f t="shared" si="98"/>
        <v>5.0000000000000001E-3</v>
      </c>
      <c r="AX146" s="182">
        <f t="shared" si="99"/>
        <v>2.5000000000000001E-2</v>
      </c>
      <c r="AY146" s="186"/>
      <c r="AZ146" s="190"/>
      <c r="BA146" s="184">
        <f t="shared" ca="1" si="115"/>
        <v>2160</v>
      </c>
      <c r="BB146" s="171">
        <f t="shared" si="100"/>
        <v>0</v>
      </c>
      <c r="BC146" s="171">
        <f t="shared" si="89"/>
        <v>11298.209823370617</v>
      </c>
      <c r="BD146" s="171">
        <f t="shared" si="85"/>
        <v>0</v>
      </c>
      <c r="BE146" s="171">
        <f t="shared" si="85"/>
        <v>0</v>
      </c>
      <c r="BF146" s="171">
        <f t="shared" si="85"/>
        <v>0</v>
      </c>
      <c r="BG146" s="171">
        <f t="shared" si="85"/>
        <v>0</v>
      </c>
      <c r="BI146" s="187">
        <f>IF(A146-'Invoer gegevens'!$C$17&lt;0,0,IF(A146-'Invoer gegevens'!$C$17=0,1,IF(A146-'Invoer gegevens'!$C$17&lt;5,2,IF(A146-'Invoer gegevens'!$C$17&lt;15,3,4))))</f>
        <v>0</v>
      </c>
      <c r="BJ146" s="229">
        <f>IF(BI146&lt;1,0,IF(BI146&lt;2,4%,IF('Reeksen (N)'!BI146&lt;3,4%,IF('Reeksen (N)'!BI146&lt;4,4%*70%,IF('Reeksen (N)'!BI146&lt;5,4%*50%)))))</f>
        <v>0</v>
      </c>
    </row>
    <row r="147" spans="1:62" x14ac:dyDescent="0.25">
      <c r="A147" s="184">
        <f t="shared" si="101"/>
        <v>142</v>
      </c>
      <c r="B147" s="179">
        <f>Dashboard!$D$25</f>
        <v>0</v>
      </c>
      <c r="C147" s="179">
        <f>Dashboard!$D$25</f>
        <v>0</v>
      </c>
      <c r="D147" s="180">
        <f t="shared" si="90"/>
        <v>0</v>
      </c>
      <c r="E147" s="189"/>
      <c r="F147" s="184">
        <f t="shared" ca="1" si="102"/>
        <v>2161</v>
      </c>
      <c r="G147" s="179">
        <f t="shared" si="82"/>
        <v>0.02</v>
      </c>
      <c r="H147" s="182">
        <f t="shared" si="103"/>
        <v>16.734007834915552</v>
      </c>
      <c r="I147" s="179">
        <f t="shared" si="83"/>
        <v>2.5000000000000001E-2</v>
      </c>
      <c r="J147" s="182">
        <f t="shared" si="104"/>
        <v>33.558911291599415</v>
      </c>
      <c r="K147" s="179">
        <f t="shared" si="84"/>
        <v>2.5000000000000001E-2</v>
      </c>
      <c r="L147" s="182">
        <f t="shared" si="105"/>
        <v>33.558911291599415</v>
      </c>
      <c r="M147" s="189"/>
      <c r="N147" s="184">
        <f t="shared" ca="1" si="106"/>
        <v>2161</v>
      </c>
      <c r="O147" s="179">
        <f t="shared" si="118"/>
        <v>0.02</v>
      </c>
      <c r="P147" s="182">
        <f t="shared" si="86"/>
        <v>16.71776409058403</v>
      </c>
      <c r="R147" s="184">
        <f t="shared" ca="1" si="107"/>
        <v>2161</v>
      </c>
      <c r="S147" s="188">
        <f t="shared" si="120"/>
        <v>5.3600000000000002E-3</v>
      </c>
      <c r="U147" s="184">
        <f t="shared" ca="1" si="108"/>
        <v>2161</v>
      </c>
      <c r="V147" s="182">
        <f t="shared" si="91"/>
        <v>0.02</v>
      </c>
      <c r="W147" s="180">
        <f>Parameters!$D$15</f>
        <v>5.0000000000000001E-3</v>
      </c>
      <c r="X147" s="182">
        <f t="shared" si="92"/>
        <v>2.5000000000000001E-2</v>
      </c>
      <c r="Y147" s="182">
        <f t="shared" si="109"/>
        <v>33.591990561623291</v>
      </c>
      <c r="AA147" s="189"/>
      <c r="AB147" s="184">
        <f t="shared" ca="1" si="110"/>
        <v>2161</v>
      </c>
      <c r="AC147" s="171">
        <f t="shared" si="93"/>
        <v>0</v>
      </c>
      <c r="AD147" s="171">
        <f t="shared" si="88"/>
        <v>0</v>
      </c>
      <c r="AE147" s="171">
        <f t="shared" si="119"/>
        <v>11524.174019838028</v>
      </c>
      <c r="AF147" s="171">
        <f t="shared" si="111"/>
        <v>0</v>
      </c>
      <c r="AG147" s="171">
        <f t="shared" si="121"/>
        <v>0</v>
      </c>
      <c r="AH147" s="171">
        <f t="shared" si="94"/>
        <v>0</v>
      </c>
      <c r="AI147" s="171">
        <f t="shared" si="95"/>
        <v>0</v>
      </c>
      <c r="AJ147" s="171">
        <f>IF('Invoer gegevens'!$I$27="DAEB",SMALL(AC147:AD147,1),AC147)</f>
        <v>0</v>
      </c>
      <c r="AK147" s="171">
        <f>IF('Invoer gegevens'!$I$27="DAEB",SMALL((AE147:AH147),1),SMALL((AF147:AH147),1))</f>
        <v>0</v>
      </c>
      <c r="AL147" s="171">
        <f t="shared" si="116"/>
        <v>0</v>
      </c>
      <c r="AM147" s="171">
        <f t="shared" si="117"/>
        <v>0</v>
      </c>
      <c r="AN147" s="175">
        <f t="shared" si="112"/>
        <v>0</v>
      </c>
      <c r="AP147" s="184">
        <f t="shared" ca="1" si="113"/>
        <v>2161</v>
      </c>
      <c r="AQ147" s="185">
        <f t="shared" si="96"/>
        <v>0.02</v>
      </c>
      <c r="AR147" s="182">
        <f t="shared" si="87"/>
        <v>16.71776409058403</v>
      </c>
      <c r="AU147" s="184">
        <f t="shared" ca="1" si="114"/>
        <v>2161</v>
      </c>
      <c r="AV147" s="182">
        <f t="shared" si="97"/>
        <v>0.02</v>
      </c>
      <c r="AW147" s="179">
        <f t="shared" si="98"/>
        <v>5.0000000000000001E-3</v>
      </c>
      <c r="AX147" s="182">
        <f t="shared" si="99"/>
        <v>2.5000000000000001E-2</v>
      </c>
      <c r="AY147" s="186"/>
      <c r="AZ147" s="190"/>
      <c r="BA147" s="184">
        <f t="shared" ca="1" si="115"/>
        <v>2161</v>
      </c>
      <c r="BB147" s="171">
        <f t="shared" si="100"/>
        <v>0</v>
      </c>
      <c r="BC147" s="171">
        <f t="shared" si="89"/>
        <v>11524.174019838028</v>
      </c>
      <c r="BD147" s="171">
        <f t="shared" si="85"/>
        <v>0</v>
      </c>
      <c r="BE147" s="171">
        <f t="shared" si="85"/>
        <v>0</v>
      </c>
      <c r="BF147" s="171">
        <f t="shared" si="85"/>
        <v>0</v>
      </c>
      <c r="BG147" s="171">
        <f t="shared" si="85"/>
        <v>0</v>
      </c>
      <c r="BI147" s="187">
        <f>IF(A147-'Invoer gegevens'!$C$17&lt;0,0,IF(A147-'Invoer gegevens'!$C$17=0,1,IF(A147-'Invoer gegevens'!$C$17&lt;5,2,IF(A147-'Invoer gegevens'!$C$17&lt;15,3,4))))</f>
        <v>0</v>
      </c>
      <c r="BJ147" s="229">
        <f>IF(BI147&lt;1,0,IF(BI147&lt;2,4%,IF('Reeksen (N)'!BI147&lt;3,4%,IF('Reeksen (N)'!BI147&lt;4,4%*70%,IF('Reeksen (N)'!BI147&lt;5,4%*50%)))))</f>
        <v>0</v>
      </c>
    </row>
    <row r="148" spans="1:62" x14ac:dyDescent="0.25">
      <c r="A148" s="184">
        <f t="shared" si="101"/>
        <v>143</v>
      </c>
      <c r="B148" s="179">
        <f>Dashboard!$D$25</f>
        <v>0</v>
      </c>
      <c r="C148" s="179">
        <f>Dashboard!$D$25</f>
        <v>0</v>
      </c>
      <c r="D148" s="180">
        <f t="shared" si="90"/>
        <v>0</v>
      </c>
      <c r="E148" s="189"/>
      <c r="F148" s="184">
        <f t="shared" ca="1" si="102"/>
        <v>2162</v>
      </c>
      <c r="G148" s="179">
        <f t="shared" si="82"/>
        <v>0.02</v>
      </c>
      <c r="H148" s="182">
        <f t="shared" si="103"/>
        <v>17.068687991613864</v>
      </c>
      <c r="I148" s="179">
        <f t="shared" si="83"/>
        <v>2.5000000000000001E-2</v>
      </c>
      <c r="J148" s="182">
        <f t="shared" si="104"/>
        <v>34.397884073889401</v>
      </c>
      <c r="K148" s="179">
        <f t="shared" si="84"/>
        <v>2.5000000000000001E-2</v>
      </c>
      <c r="L148" s="182">
        <f t="shared" si="105"/>
        <v>34.397884073889401</v>
      </c>
      <c r="M148" s="189"/>
      <c r="N148" s="184">
        <f t="shared" ca="1" si="106"/>
        <v>2162</v>
      </c>
      <c r="O148" s="179">
        <f t="shared" si="118"/>
        <v>0.02</v>
      </c>
      <c r="P148" s="182">
        <f t="shared" si="86"/>
        <v>17.052119372395712</v>
      </c>
      <c r="R148" s="184">
        <f t="shared" ca="1" si="107"/>
        <v>2162</v>
      </c>
      <c r="S148" s="188">
        <f t="shared" si="120"/>
        <v>5.3600000000000002E-3</v>
      </c>
      <c r="U148" s="184">
        <f t="shared" ca="1" si="108"/>
        <v>2162</v>
      </c>
      <c r="V148" s="182">
        <f t="shared" si="91"/>
        <v>0.02</v>
      </c>
      <c r="W148" s="180">
        <f>Parameters!$D$15</f>
        <v>5.0000000000000001E-3</v>
      </c>
      <c r="X148" s="182">
        <f t="shared" si="92"/>
        <v>2.5000000000000001E-2</v>
      </c>
      <c r="Y148" s="182">
        <f t="shared" si="109"/>
        <v>34.431790325663869</v>
      </c>
      <c r="AA148" s="189"/>
      <c r="AB148" s="184">
        <f t="shared" ca="1" si="110"/>
        <v>2162</v>
      </c>
      <c r="AC148" s="171">
        <f t="shared" si="93"/>
        <v>0</v>
      </c>
      <c r="AD148" s="171">
        <f t="shared" si="88"/>
        <v>0</v>
      </c>
      <c r="AE148" s="171">
        <f t="shared" si="119"/>
        <v>11754.657500234789</v>
      </c>
      <c r="AF148" s="171">
        <f t="shared" si="111"/>
        <v>0</v>
      </c>
      <c r="AG148" s="171">
        <f t="shared" si="121"/>
        <v>0</v>
      </c>
      <c r="AH148" s="171">
        <f t="shared" si="94"/>
        <v>0</v>
      </c>
      <c r="AI148" s="171">
        <f t="shared" si="95"/>
        <v>0</v>
      </c>
      <c r="AJ148" s="171">
        <f>IF('Invoer gegevens'!$I$27="DAEB",SMALL(AC148:AD148,1),AC148)</f>
        <v>0</v>
      </c>
      <c r="AK148" s="171">
        <f>IF('Invoer gegevens'!$I$27="DAEB",SMALL((AE148:AH148),1),SMALL((AF148:AH148),1))</f>
        <v>0</v>
      </c>
      <c r="AL148" s="171">
        <f t="shared" si="116"/>
        <v>0</v>
      </c>
      <c r="AM148" s="171">
        <f t="shared" si="117"/>
        <v>0</v>
      </c>
      <c r="AN148" s="175">
        <f t="shared" si="112"/>
        <v>0</v>
      </c>
      <c r="AP148" s="184">
        <f t="shared" ca="1" si="113"/>
        <v>2162</v>
      </c>
      <c r="AQ148" s="185">
        <f t="shared" si="96"/>
        <v>0.02</v>
      </c>
      <c r="AR148" s="182">
        <f t="shared" si="87"/>
        <v>17.052119372395712</v>
      </c>
      <c r="AU148" s="184">
        <f t="shared" ca="1" si="114"/>
        <v>2162</v>
      </c>
      <c r="AV148" s="182">
        <f t="shared" si="97"/>
        <v>0.02</v>
      </c>
      <c r="AW148" s="179">
        <f t="shared" si="98"/>
        <v>5.0000000000000001E-3</v>
      </c>
      <c r="AX148" s="182">
        <f t="shared" si="99"/>
        <v>2.5000000000000001E-2</v>
      </c>
      <c r="AY148" s="186"/>
      <c r="AZ148" s="190"/>
      <c r="BA148" s="184">
        <f t="shared" ca="1" si="115"/>
        <v>2162</v>
      </c>
      <c r="BB148" s="171">
        <f t="shared" si="100"/>
        <v>0</v>
      </c>
      <c r="BC148" s="171">
        <f t="shared" si="89"/>
        <v>11754.657500234789</v>
      </c>
      <c r="BD148" s="171">
        <f t="shared" si="85"/>
        <v>0</v>
      </c>
      <c r="BE148" s="171">
        <f t="shared" si="85"/>
        <v>0</v>
      </c>
      <c r="BF148" s="171">
        <f t="shared" si="85"/>
        <v>0</v>
      </c>
      <c r="BG148" s="171">
        <f t="shared" si="85"/>
        <v>0</v>
      </c>
      <c r="BI148" s="187">
        <f>IF(A148-'Invoer gegevens'!$C$17&lt;0,0,IF(A148-'Invoer gegevens'!$C$17=0,1,IF(A148-'Invoer gegevens'!$C$17&lt;5,2,IF(A148-'Invoer gegevens'!$C$17&lt;15,3,4))))</f>
        <v>0</v>
      </c>
      <c r="BJ148" s="229">
        <f>IF(BI148&lt;1,0,IF(BI148&lt;2,4%,IF('Reeksen (N)'!BI148&lt;3,4%,IF('Reeksen (N)'!BI148&lt;4,4%*70%,IF('Reeksen (N)'!BI148&lt;5,4%*50%)))))</f>
        <v>0</v>
      </c>
    </row>
    <row r="149" spans="1:62" x14ac:dyDescent="0.25">
      <c r="A149" s="184">
        <f t="shared" si="101"/>
        <v>144</v>
      </c>
      <c r="B149" s="179">
        <f>Dashboard!$D$25</f>
        <v>0</v>
      </c>
      <c r="C149" s="179">
        <f>Dashboard!$D$25</f>
        <v>0</v>
      </c>
      <c r="D149" s="180">
        <f t="shared" si="90"/>
        <v>0</v>
      </c>
      <c r="E149" s="189"/>
      <c r="F149" s="184">
        <f t="shared" ca="1" si="102"/>
        <v>2163</v>
      </c>
      <c r="G149" s="179">
        <f t="shared" si="82"/>
        <v>0.02</v>
      </c>
      <c r="H149" s="182">
        <f t="shared" si="103"/>
        <v>17.41006175144614</v>
      </c>
      <c r="I149" s="179">
        <f t="shared" si="83"/>
        <v>2.5000000000000001E-2</v>
      </c>
      <c r="J149" s="182">
        <f t="shared" si="104"/>
        <v>35.257831175736634</v>
      </c>
      <c r="K149" s="179">
        <f t="shared" si="84"/>
        <v>2.5000000000000001E-2</v>
      </c>
      <c r="L149" s="182">
        <f t="shared" si="105"/>
        <v>35.257831175736634</v>
      </c>
      <c r="M149" s="189"/>
      <c r="N149" s="184">
        <f t="shared" ca="1" si="106"/>
        <v>2163</v>
      </c>
      <c r="O149" s="179">
        <f t="shared" si="118"/>
        <v>0.02</v>
      </c>
      <c r="P149" s="182">
        <f t="shared" si="86"/>
        <v>17.393161759843625</v>
      </c>
      <c r="R149" s="184">
        <f t="shared" ca="1" si="107"/>
        <v>2163</v>
      </c>
      <c r="S149" s="188">
        <f t="shared" si="120"/>
        <v>5.3600000000000002E-3</v>
      </c>
      <c r="U149" s="184">
        <f t="shared" ca="1" si="108"/>
        <v>2163</v>
      </c>
      <c r="V149" s="182">
        <f t="shared" si="91"/>
        <v>0.02</v>
      </c>
      <c r="W149" s="180">
        <f>Parameters!$D$15</f>
        <v>5.0000000000000001E-3</v>
      </c>
      <c r="X149" s="182">
        <f t="shared" si="92"/>
        <v>2.5000000000000001E-2</v>
      </c>
      <c r="Y149" s="182">
        <f t="shared" si="109"/>
        <v>35.292585083805463</v>
      </c>
      <c r="AA149" s="189"/>
      <c r="AB149" s="184">
        <f t="shared" ca="1" si="110"/>
        <v>2163</v>
      </c>
      <c r="AC149" s="171">
        <f t="shared" si="93"/>
        <v>0</v>
      </c>
      <c r="AD149" s="171">
        <f t="shared" si="88"/>
        <v>0</v>
      </c>
      <c r="AE149" s="171">
        <f t="shared" si="119"/>
        <v>11989.750650239484</v>
      </c>
      <c r="AF149" s="171">
        <f t="shared" si="111"/>
        <v>0</v>
      </c>
      <c r="AG149" s="171">
        <f t="shared" si="121"/>
        <v>0</v>
      </c>
      <c r="AH149" s="171">
        <f t="shared" si="94"/>
        <v>0</v>
      </c>
      <c r="AI149" s="171">
        <f t="shared" si="95"/>
        <v>0</v>
      </c>
      <c r="AJ149" s="171">
        <f>IF('Invoer gegevens'!$I$27="DAEB",SMALL(AC149:AD149,1),AC149)</f>
        <v>0</v>
      </c>
      <c r="AK149" s="171">
        <f>IF('Invoer gegevens'!$I$27="DAEB",SMALL((AE149:AH149),1),SMALL((AF149:AH149),1))</f>
        <v>0</v>
      </c>
      <c r="AL149" s="171">
        <f t="shared" si="116"/>
        <v>0</v>
      </c>
      <c r="AM149" s="171">
        <f t="shared" si="117"/>
        <v>0</v>
      </c>
      <c r="AN149" s="175">
        <f t="shared" si="112"/>
        <v>0</v>
      </c>
      <c r="AP149" s="184">
        <f t="shared" ca="1" si="113"/>
        <v>2163</v>
      </c>
      <c r="AQ149" s="185">
        <f t="shared" si="96"/>
        <v>0.02</v>
      </c>
      <c r="AR149" s="182">
        <f t="shared" si="87"/>
        <v>17.393161759843625</v>
      </c>
      <c r="AU149" s="184">
        <f t="shared" ca="1" si="114"/>
        <v>2163</v>
      </c>
      <c r="AV149" s="182">
        <f t="shared" si="97"/>
        <v>0.02</v>
      </c>
      <c r="AW149" s="179">
        <f t="shared" si="98"/>
        <v>5.0000000000000001E-3</v>
      </c>
      <c r="AX149" s="182">
        <f t="shared" si="99"/>
        <v>2.5000000000000001E-2</v>
      </c>
      <c r="AY149" s="186"/>
      <c r="AZ149" s="190"/>
      <c r="BA149" s="184">
        <f t="shared" ca="1" si="115"/>
        <v>2163</v>
      </c>
      <c r="BB149" s="171">
        <f t="shared" si="100"/>
        <v>0</v>
      </c>
      <c r="BC149" s="171">
        <f t="shared" si="89"/>
        <v>11989.750650239484</v>
      </c>
      <c r="BD149" s="171">
        <f t="shared" si="85"/>
        <v>0</v>
      </c>
      <c r="BE149" s="171">
        <f t="shared" si="85"/>
        <v>0</v>
      </c>
      <c r="BF149" s="171">
        <f t="shared" si="85"/>
        <v>0</v>
      </c>
      <c r="BG149" s="171">
        <f t="shared" si="85"/>
        <v>0</v>
      </c>
      <c r="BI149" s="187">
        <f>IF(A149-'Invoer gegevens'!$C$17&lt;0,0,IF(A149-'Invoer gegevens'!$C$17=0,1,IF(A149-'Invoer gegevens'!$C$17&lt;5,2,IF(A149-'Invoer gegevens'!$C$17&lt;15,3,4))))</f>
        <v>0</v>
      </c>
      <c r="BJ149" s="229">
        <f>IF(BI149&lt;1,0,IF(BI149&lt;2,4%,IF('Reeksen (N)'!BI149&lt;3,4%,IF('Reeksen (N)'!BI149&lt;4,4%*70%,IF('Reeksen (N)'!BI149&lt;5,4%*50%)))))</f>
        <v>0</v>
      </c>
    </row>
    <row r="150" spans="1:62" x14ac:dyDescent="0.25">
      <c r="A150" s="184">
        <f t="shared" si="101"/>
        <v>145</v>
      </c>
      <c r="B150" s="179">
        <f>Dashboard!$D$25</f>
        <v>0</v>
      </c>
      <c r="C150" s="179">
        <f>Dashboard!$D$25</f>
        <v>0</v>
      </c>
      <c r="D150" s="180">
        <f t="shared" si="90"/>
        <v>0</v>
      </c>
      <c r="E150" s="189"/>
      <c r="F150" s="184">
        <f t="shared" ca="1" si="102"/>
        <v>2164</v>
      </c>
      <c r="G150" s="179">
        <f t="shared" si="82"/>
        <v>0.02</v>
      </c>
      <c r="H150" s="182">
        <f t="shared" si="103"/>
        <v>17.758262986475064</v>
      </c>
      <c r="I150" s="179">
        <f t="shared" si="83"/>
        <v>2.5000000000000001E-2</v>
      </c>
      <c r="J150" s="182">
        <f t="shared" si="104"/>
        <v>36.139276955130043</v>
      </c>
      <c r="K150" s="179">
        <f t="shared" si="84"/>
        <v>2.5000000000000001E-2</v>
      </c>
      <c r="L150" s="182">
        <f t="shared" si="105"/>
        <v>36.139276955130043</v>
      </c>
      <c r="M150" s="189"/>
      <c r="N150" s="184">
        <f t="shared" ca="1" si="106"/>
        <v>2164</v>
      </c>
      <c r="O150" s="179">
        <f t="shared" si="118"/>
        <v>0.02</v>
      </c>
      <c r="P150" s="182">
        <f t="shared" si="86"/>
        <v>17.741024995040497</v>
      </c>
      <c r="R150" s="184">
        <f t="shared" ca="1" si="107"/>
        <v>2164</v>
      </c>
      <c r="S150" s="188">
        <f t="shared" si="120"/>
        <v>5.3600000000000002E-3</v>
      </c>
      <c r="U150" s="184">
        <f t="shared" ca="1" si="108"/>
        <v>2164</v>
      </c>
      <c r="V150" s="182">
        <f t="shared" si="91"/>
        <v>0.02</v>
      </c>
      <c r="W150" s="180">
        <f>Parameters!$D$15</f>
        <v>5.0000000000000001E-3</v>
      </c>
      <c r="X150" s="182">
        <f t="shared" si="92"/>
        <v>2.5000000000000001E-2</v>
      </c>
      <c r="Y150" s="182">
        <f t="shared" si="109"/>
        <v>36.174899710900597</v>
      </c>
      <c r="AA150" s="189"/>
      <c r="AB150" s="184">
        <f t="shared" ca="1" si="110"/>
        <v>2164</v>
      </c>
      <c r="AC150" s="171">
        <f t="shared" si="93"/>
        <v>0</v>
      </c>
      <c r="AD150" s="171">
        <f t="shared" si="88"/>
        <v>0</v>
      </c>
      <c r="AE150" s="171">
        <f t="shared" si="119"/>
        <v>12229.545663244275</v>
      </c>
      <c r="AF150" s="171">
        <f t="shared" si="111"/>
        <v>0</v>
      </c>
      <c r="AG150" s="171">
        <f t="shared" si="121"/>
        <v>0</v>
      </c>
      <c r="AH150" s="171">
        <f t="shared" si="94"/>
        <v>0</v>
      </c>
      <c r="AI150" s="171">
        <f t="shared" si="95"/>
        <v>0</v>
      </c>
      <c r="AJ150" s="171">
        <f>IF('Invoer gegevens'!$I$27="DAEB",SMALL(AC150:AD150,1),AC150)</f>
        <v>0</v>
      </c>
      <c r="AK150" s="171">
        <f>IF('Invoer gegevens'!$I$27="DAEB",SMALL((AE150:AH150),1),SMALL((AF150:AH150),1))</f>
        <v>0</v>
      </c>
      <c r="AL150" s="171">
        <f t="shared" si="116"/>
        <v>0</v>
      </c>
      <c r="AM150" s="171">
        <f t="shared" si="117"/>
        <v>0</v>
      </c>
      <c r="AN150" s="175">
        <f t="shared" si="112"/>
        <v>0</v>
      </c>
      <c r="AP150" s="184">
        <f t="shared" ca="1" si="113"/>
        <v>2164</v>
      </c>
      <c r="AQ150" s="185">
        <f t="shared" si="96"/>
        <v>0.02</v>
      </c>
      <c r="AR150" s="182">
        <f t="shared" si="87"/>
        <v>17.741024995040497</v>
      </c>
      <c r="AU150" s="184">
        <f t="shared" ca="1" si="114"/>
        <v>2164</v>
      </c>
      <c r="AV150" s="182">
        <f t="shared" si="97"/>
        <v>0.02</v>
      </c>
      <c r="AW150" s="179">
        <f t="shared" si="98"/>
        <v>5.0000000000000001E-3</v>
      </c>
      <c r="AX150" s="182">
        <f t="shared" si="99"/>
        <v>2.5000000000000001E-2</v>
      </c>
      <c r="AY150" s="186"/>
      <c r="AZ150" s="190"/>
      <c r="BA150" s="184">
        <f t="shared" ca="1" si="115"/>
        <v>2164</v>
      </c>
      <c r="BB150" s="171">
        <f t="shared" si="100"/>
        <v>0</v>
      </c>
      <c r="BC150" s="171">
        <f t="shared" si="89"/>
        <v>12229.545663244275</v>
      </c>
      <c r="BD150" s="171">
        <f t="shared" si="85"/>
        <v>0</v>
      </c>
      <c r="BE150" s="171">
        <f t="shared" si="85"/>
        <v>0</v>
      </c>
      <c r="BF150" s="171">
        <f t="shared" si="85"/>
        <v>0</v>
      </c>
      <c r="BG150" s="171">
        <f t="shared" si="85"/>
        <v>0</v>
      </c>
      <c r="BI150" s="187">
        <f>IF(A150-'Invoer gegevens'!$C$17&lt;0,0,IF(A150-'Invoer gegevens'!$C$17=0,1,IF(A150-'Invoer gegevens'!$C$17&lt;5,2,IF(A150-'Invoer gegevens'!$C$17&lt;15,3,4))))</f>
        <v>0</v>
      </c>
      <c r="BJ150" s="229">
        <f>IF(BI150&lt;1,0,IF(BI150&lt;2,4%,IF('Reeksen (N)'!BI150&lt;3,4%,IF('Reeksen (N)'!BI150&lt;4,4%*70%,IF('Reeksen (N)'!BI150&lt;5,4%*50%)))))</f>
        <v>0</v>
      </c>
    </row>
    <row r="151" spans="1:62" x14ac:dyDescent="0.25">
      <c r="A151" s="184">
        <f t="shared" si="101"/>
        <v>146</v>
      </c>
      <c r="B151" s="179">
        <f>Dashboard!$D$25</f>
        <v>0</v>
      </c>
      <c r="C151" s="179">
        <f>Dashboard!$D$25</f>
        <v>0</v>
      </c>
      <c r="D151" s="180">
        <f t="shared" si="90"/>
        <v>0</v>
      </c>
      <c r="E151" s="189"/>
      <c r="F151" s="184">
        <f t="shared" ca="1" si="102"/>
        <v>2165</v>
      </c>
      <c r="G151" s="179">
        <f t="shared" si="82"/>
        <v>0.02</v>
      </c>
      <c r="H151" s="182">
        <f t="shared" si="103"/>
        <v>18.113428246204567</v>
      </c>
      <c r="I151" s="179">
        <f t="shared" si="83"/>
        <v>2.5000000000000001E-2</v>
      </c>
      <c r="J151" s="182">
        <f t="shared" si="104"/>
        <v>37.042758879008289</v>
      </c>
      <c r="K151" s="179">
        <f t="shared" si="84"/>
        <v>2.5000000000000001E-2</v>
      </c>
      <c r="L151" s="182">
        <f t="shared" si="105"/>
        <v>37.042758879008289</v>
      </c>
      <c r="M151" s="189"/>
      <c r="N151" s="184">
        <f t="shared" ca="1" si="106"/>
        <v>2165</v>
      </c>
      <c r="O151" s="179">
        <f t="shared" si="118"/>
        <v>0.02</v>
      </c>
      <c r="P151" s="182">
        <f t="shared" si="86"/>
        <v>18.095845494941308</v>
      </c>
      <c r="R151" s="184">
        <f t="shared" ca="1" si="107"/>
        <v>2165</v>
      </c>
      <c r="S151" s="188">
        <f t="shared" si="120"/>
        <v>5.3600000000000002E-3</v>
      </c>
      <c r="U151" s="184">
        <f t="shared" ca="1" si="108"/>
        <v>2165</v>
      </c>
      <c r="V151" s="182">
        <f t="shared" si="91"/>
        <v>0.02</v>
      </c>
      <c r="W151" s="180">
        <f>Parameters!$D$15</f>
        <v>5.0000000000000001E-3</v>
      </c>
      <c r="X151" s="182">
        <f t="shared" si="92"/>
        <v>2.5000000000000001E-2</v>
      </c>
      <c r="Y151" s="182">
        <f t="shared" si="109"/>
        <v>37.079272203673106</v>
      </c>
      <c r="AA151" s="189"/>
      <c r="AB151" s="184">
        <f t="shared" ca="1" si="110"/>
        <v>2165</v>
      </c>
      <c r="AC151" s="171">
        <f t="shared" si="93"/>
        <v>0</v>
      </c>
      <c r="AD151" s="171">
        <f t="shared" si="88"/>
        <v>0</v>
      </c>
      <c r="AE151" s="171">
        <f t="shared" si="119"/>
        <v>12474.13657650916</v>
      </c>
      <c r="AF151" s="171">
        <f t="shared" si="111"/>
        <v>0</v>
      </c>
      <c r="AG151" s="171">
        <f t="shared" si="121"/>
        <v>0</v>
      </c>
      <c r="AH151" s="171">
        <f t="shared" si="94"/>
        <v>0</v>
      </c>
      <c r="AI151" s="171">
        <f t="shared" si="95"/>
        <v>0</v>
      </c>
      <c r="AJ151" s="171">
        <f>IF('Invoer gegevens'!$I$27="DAEB",SMALL(AC151:AD151,1),AC151)</f>
        <v>0</v>
      </c>
      <c r="AK151" s="171">
        <f>IF('Invoer gegevens'!$I$27="DAEB",SMALL((AE151:AH151),1),SMALL((AF151:AH151),1))</f>
        <v>0</v>
      </c>
      <c r="AL151" s="171">
        <f t="shared" si="116"/>
        <v>0</v>
      </c>
      <c r="AM151" s="171">
        <f t="shared" si="117"/>
        <v>0</v>
      </c>
      <c r="AN151" s="175">
        <f t="shared" si="112"/>
        <v>0</v>
      </c>
      <c r="AP151" s="184">
        <f t="shared" ca="1" si="113"/>
        <v>2165</v>
      </c>
      <c r="AQ151" s="185">
        <f t="shared" si="96"/>
        <v>0.02</v>
      </c>
      <c r="AR151" s="182">
        <f t="shared" si="87"/>
        <v>18.095845494941308</v>
      </c>
      <c r="AU151" s="184">
        <f t="shared" ca="1" si="114"/>
        <v>2165</v>
      </c>
      <c r="AV151" s="182">
        <f t="shared" si="97"/>
        <v>0.02</v>
      </c>
      <c r="AW151" s="179">
        <f t="shared" si="98"/>
        <v>5.0000000000000001E-3</v>
      </c>
      <c r="AX151" s="182">
        <f t="shared" si="99"/>
        <v>2.5000000000000001E-2</v>
      </c>
      <c r="AY151" s="186"/>
      <c r="AZ151" s="190"/>
      <c r="BA151" s="184">
        <f t="shared" ca="1" si="115"/>
        <v>2165</v>
      </c>
      <c r="BB151" s="171">
        <f t="shared" si="100"/>
        <v>0</v>
      </c>
      <c r="BC151" s="171">
        <f t="shared" si="89"/>
        <v>12474.13657650916</v>
      </c>
      <c r="BD151" s="171">
        <f t="shared" si="85"/>
        <v>0</v>
      </c>
      <c r="BE151" s="171">
        <f t="shared" si="85"/>
        <v>0</v>
      </c>
      <c r="BF151" s="171">
        <f t="shared" si="85"/>
        <v>0</v>
      </c>
      <c r="BG151" s="171">
        <f t="shared" si="85"/>
        <v>0</v>
      </c>
      <c r="BI151" s="187">
        <f>IF(A151-'Invoer gegevens'!$C$17&lt;0,0,IF(A151-'Invoer gegevens'!$C$17=0,1,IF(A151-'Invoer gegevens'!$C$17&lt;5,2,IF(A151-'Invoer gegevens'!$C$17&lt;15,3,4))))</f>
        <v>0</v>
      </c>
      <c r="BJ151" s="229">
        <f>IF(BI151&lt;1,0,IF(BI151&lt;2,4%,IF('Reeksen (N)'!BI151&lt;3,4%,IF('Reeksen (N)'!BI151&lt;4,4%*70%,IF('Reeksen (N)'!BI151&lt;5,4%*50%)))))</f>
        <v>0</v>
      </c>
    </row>
    <row r="152" spans="1:62" x14ac:dyDescent="0.25">
      <c r="A152" s="184">
        <f t="shared" si="101"/>
        <v>147</v>
      </c>
      <c r="B152" s="179">
        <f>Dashboard!$D$25</f>
        <v>0</v>
      </c>
      <c r="C152" s="179">
        <f>Dashboard!$D$25</f>
        <v>0</v>
      </c>
      <c r="D152" s="180">
        <f t="shared" si="90"/>
        <v>0</v>
      </c>
      <c r="E152" s="189"/>
      <c r="F152" s="184">
        <f t="shared" ca="1" si="102"/>
        <v>2166</v>
      </c>
      <c r="G152" s="179">
        <f t="shared" si="82"/>
        <v>0.02</v>
      </c>
      <c r="H152" s="182">
        <f t="shared" si="103"/>
        <v>18.475696811128657</v>
      </c>
      <c r="I152" s="179">
        <f t="shared" si="83"/>
        <v>2.5000000000000001E-2</v>
      </c>
      <c r="J152" s="182">
        <f t="shared" si="104"/>
        <v>37.968827850983494</v>
      </c>
      <c r="K152" s="179">
        <f t="shared" si="84"/>
        <v>2.5000000000000001E-2</v>
      </c>
      <c r="L152" s="182">
        <f t="shared" si="105"/>
        <v>37.968827850983494</v>
      </c>
      <c r="M152" s="189"/>
      <c r="N152" s="184">
        <f t="shared" ca="1" si="106"/>
        <v>2166</v>
      </c>
      <c r="O152" s="179">
        <f t="shared" si="118"/>
        <v>0.02</v>
      </c>
      <c r="P152" s="182">
        <f t="shared" si="86"/>
        <v>18.457762404840135</v>
      </c>
      <c r="R152" s="184">
        <f t="shared" ca="1" si="107"/>
        <v>2166</v>
      </c>
      <c r="S152" s="188">
        <f t="shared" si="120"/>
        <v>5.3600000000000002E-3</v>
      </c>
      <c r="U152" s="184">
        <f t="shared" ca="1" si="108"/>
        <v>2166</v>
      </c>
      <c r="V152" s="182">
        <f t="shared" si="91"/>
        <v>0.02</v>
      </c>
      <c r="W152" s="180">
        <f>Parameters!$D$15</f>
        <v>5.0000000000000001E-3</v>
      </c>
      <c r="X152" s="182">
        <f t="shared" si="92"/>
        <v>2.5000000000000001E-2</v>
      </c>
      <c r="Y152" s="182">
        <f t="shared" si="109"/>
        <v>38.006254008764934</v>
      </c>
      <c r="AA152" s="189"/>
      <c r="AB152" s="184">
        <f t="shared" ca="1" si="110"/>
        <v>2166</v>
      </c>
      <c r="AC152" s="171">
        <f t="shared" si="93"/>
        <v>0</v>
      </c>
      <c r="AD152" s="171">
        <f t="shared" si="88"/>
        <v>0</v>
      </c>
      <c r="AE152" s="171">
        <f t="shared" si="119"/>
        <v>12723.619308039342</v>
      </c>
      <c r="AF152" s="171">
        <f t="shared" si="111"/>
        <v>0</v>
      </c>
      <c r="AG152" s="171">
        <f t="shared" si="121"/>
        <v>0</v>
      </c>
      <c r="AH152" s="171">
        <f t="shared" si="94"/>
        <v>0</v>
      </c>
      <c r="AI152" s="171">
        <f t="shared" si="95"/>
        <v>0</v>
      </c>
      <c r="AJ152" s="171">
        <f>IF('Invoer gegevens'!$I$27="DAEB",SMALL(AC152:AD152,1),AC152)</f>
        <v>0</v>
      </c>
      <c r="AK152" s="171">
        <f>IF('Invoer gegevens'!$I$27="DAEB",SMALL((AE152:AH152),1),SMALL((AF152:AH152),1))</f>
        <v>0</v>
      </c>
      <c r="AL152" s="171">
        <f t="shared" si="116"/>
        <v>0</v>
      </c>
      <c r="AM152" s="171">
        <f t="shared" si="117"/>
        <v>0</v>
      </c>
      <c r="AN152" s="175">
        <f t="shared" si="112"/>
        <v>0</v>
      </c>
      <c r="AP152" s="184">
        <f t="shared" ca="1" si="113"/>
        <v>2166</v>
      </c>
      <c r="AQ152" s="185">
        <f t="shared" si="96"/>
        <v>0.02</v>
      </c>
      <c r="AR152" s="182">
        <f t="shared" si="87"/>
        <v>18.457762404840135</v>
      </c>
      <c r="AU152" s="184">
        <f t="shared" ca="1" si="114"/>
        <v>2166</v>
      </c>
      <c r="AV152" s="182">
        <f t="shared" si="97"/>
        <v>0.02</v>
      </c>
      <c r="AW152" s="179">
        <f t="shared" si="98"/>
        <v>5.0000000000000001E-3</v>
      </c>
      <c r="AX152" s="182">
        <f t="shared" si="99"/>
        <v>2.5000000000000001E-2</v>
      </c>
      <c r="AY152" s="186"/>
      <c r="AZ152" s="190"/>
      <c r="BA152" s="184">
        <f t="shared" ca="1" si="115"/>
        <v>2166</v>
      </c>
      <c r="BB152" s="171">
        <f t="shared" si="100"/>
        <v>0</v>
      </c>
      <c r="BC152" s="171">
        <f t="shared" si="89"/>
        <v>12723.619308039342</v>
      </c>
      <c r="BD152" s="171">
        <f t="shared" si="85"/>
        <v>0</v>
      </c>
      <c r="BE152" s="171">
        <f t="shared" si="85"/>
        <v>0</v>
      </c>
      <c r="BF152" s="171">
        <f t="shared" si="85"/>
        <v>0</v>
      </c>
      <c r="BG152" s="171">
        <f t="shared" si="85"/>
        <v>0</v>
      </c>
      <c r="BI152" s="187">
        <f>IF(A152-'Invoer gegevens'!$C$17&lt;0,0,IF(A152-'Invoer gegevens'!$C$17=0,1,IF(A152-'Invoer gegevens'!$C$17&lt;5,2,IF(A152-'Invoer gegevens'!$C$17&lt;15,3,4))))</f>
        <v>0</v>
      </c>
      <c r="BJ152" s="229">
        <f>IF(BI152&lt;1,0,IF(BI152&lt;2,4%,IF('Reeksen (N)'!BI152&lt;3,4%,IF('Reeksen (N)'!BI152&lt;4,4%*70%,IF('Reeksen (N)'!BI152&lt;5,4%*50%)))))</f>
        <v>0</v>
      </c>
    </row>
    <row r="153" spans="1:62" x14ac:dyDescent="0.25">
      <c r="A153" s="184">
        <f t="shared" si="101"/>
        <v>148</v>
      </c>
      <c r="B153" s="179">
        <f>Dashboard!$D$25</f>
        <v>0</v>
      </c>
      <c r="C153" s="179">
        <f>Dashboard!$D$25</f>
        <v>0</v>
      </c>
      <c r="D153" s="180">
        <f t="shared" si="90"/>
        <v>0</v>
      </c>
      <c r="E153" s="189"/>
      <c r="F153" s="184">
        <f t="shared" ca="1" si="102"/>
        <v>2167</v>
      </c>
      <c r="G153" s="179">
        <f t="shared" ref="G153:G216" si="122">G152</f>
        <v>0.02</v>
      </c>
      <c r="H153" s="182">
        <f t="shared" si="103"/>
        <v>18.845210747351231</v>
      </c>
      <c r="I153" s="179">
        <f t="shared" ref="I153:I216" si="123">I152</f>
        <v>2.5000000000000001E-2</v>
      </c>
      <c r="J153" s="182">
        <f t="shared" si="104"/>
        <v>38.918048547258081</v>
      </c>
      <c r="K153" s="179">
        <f t="shared" ref="K153:K216" si="124">K152</f>
        <v>2.5000000000000001E-2</v>
      </c>
      <c r="L153" s="182">
        <f t="shared" si="105"/>
        <v>38.918048547258081</v>
      </c>
      <c r="M153" s="189"/>
      <c r="N153" s="184">
        <f t="shared" ca="1" si="106"/>
        <v>2167</v>
      </c>
      <c r="O153" s="179">
        <f t="shared" si="118"/>
        <v>0.02</v>
      </c>
      <c r="P153" s="182">
        <f t="shared" si="86"/>
        <v>18.826917652936938</v>
      </c>
      <c r="R153" s="184">
        <f t="shared" ca="1" si="107"/>
        <v>2167</v>
      </c>
      <c r="S153" s="188">
        <f t="shared" si="120"/>
        <v>5.3600000000000002E-3</v>
      </c>
      <c r="U153" s="184">
        <f t="shared" ca="1" si="108"/>
        <v>2167</v>
      </c>
      <c r="V153" s="182">
        <f t="shared" si="91"/>
        <v>0.02</v>
      </c>
      <c r="W153" s="180">
        <f>Parameters!$D$15</f>
        <v>5.0000000000000001E-3</v>
      </c>
      <c r="X153" s="182">
        <f t="shared" si="92"/>
        <v>2.5000000000000001E-2</v>
      </c>
      <c r="Y153" s="182">
        <f t="shared" si="109"/>
        <v>38.956410358984051</v>
      </c>
      <c r="AA153" s="189"/>
      <c r="AB153" s="184">
        <f t="shared" ca="1" si="110"/>
        <v>2167</v>
      </c>
      <c r="AC153" s="171">
        <f t="shared" si="93"/>
        <v>0</v>
      </c>
      <c r="AD153" s="171">
        <f t="shared" si="88"/>
        <v>0</v>
      </c>
      <c r="AE153" s="171">
        <f t="shared" si="119"/>
        <v>12978.091694200129</v>
      </c>
      <c r="AF153" s="171">
        <f t="shared" si="111"/>
        <v>0</v>
      </c>
      <c r="AG153" s="171">
        <f t="shared" si="121"/>
        <v>0</v>
      </c>
      <c r="AH153" s="171">
        <f t="shared" si="94"/>
        <v>0</v>
      </c>
      <c r="AI153" s="171">
        <f t="shared" si="95"/>
        <v>0</v>
      </c>
      <c r="AJ153" s="171">
        <f>IF('Invoer gegevens'!$I$27="DAEB",SMALL(AC153:AD153,1),AC153)</f>
        <v>0</v>
      </c>
      <c r="AK153" s="171">
        <f>IF('Invoer gegevens'!$I$27="DAEB",SMALL((AE153:AH153),1),SMALL((AF153:AH153),1))</f>
        <v>0</v>
      </c>
      <c r="AL153" s="171">
        <f t="shared" si="116"/>
        <v>0</v>
      </c>
      <c r="AM153" s="171">
        <f t="shared" si="117"/>
        <v>0</v>
      </c>
      <c r="AN153" s="175">
        <f t="shared" si="112"/>
        <v>0</v>
      </c>
      <c r="AP153" s="184">
        <f t="shared" ca="1" si="113"/>
        <v>2167</v>
      </c>
      <c r="AQ153" s="185">
        <f t="shared" si="96"/>
        <v>0.02</v>
      </c>
      <c r="AR153" s="182">
        <f t="shared" si="87"/>
        <v>18.826917652936938</v>
      </c>
      <c r="AU153" s="184">
        <f t="shared" ca="1" si="114"/>
        <v>2167</v>
      </c>
      <c r="AV153" s="182">
        <f t="shared" si="97"/>
        <v>0.02</v>
      </c>
      <c r="AW153" s="179">
        <f t="shared" si="98"/>
        <v>5.0000000000000001E-3</v>
      </c>
      <c r="AX153" s="182">
        <f t="shared" si="99"/>
        <v>2.5000000000000001E-2</v>
      </c>
      <c r="AY153" s="186"/>
      <c r="AZ153" s="190"/>
      <c r="BA153" s="184">
        <f t="shared" ca="1" si="115"/>
        <v>2167</v>
      </c>
      <c r="BB153" s="171">
        <f t="shared" si="100"/>
        <v>0</v>
      </c>
      <c r="BC153" s="171">
        <f t="shared" si="89"/>
        <v>12978.091694200129</v>
      </c>
      <c r="BD153" s="171">
        <f t="shared" si="85"/>
        <v>0</v>
      </c>
      <c r="BE153" s="171">
        <f t="shared" si="85"/>
        <v>0</v>
      </c>
      <c r="BF153" s="171">
        <f t="shared" si="85"/>
        <v>0</v>
      </c>
      <c r="BG153" s="171">
        <f t="shared" si="85"/>
        <v>0</v>
      </c>
      <c r="BI153" s="187">
        <f>IF(A153-'Invoer gegevens'!$C$17&lt;0,0,IF(A153-'Invoer gegevens'!$C$17=0,1,IF(A153-'Invoer gegevens'!$C$17&lt;5,2,IF(A153-'Invoer gegevens'!$C$17&lt;15,3,4))))</f>
        <v>0</v>
      </c>
      <c r="BJ153" s="229">
        <f>IF(BI153&lt;1,0,IF(BI153&lt;2,4%,IF('Reeksen (N)'!BI153&lt;3,4%,IF('Reeksen (N)'!BI153&lt;4,4%*70%,IF('Reeksen (N)'!BI153&lt;5,4%*50%)))))</f>
        <v>0</v>
      </c>
    </row>
    <row r="154" spans="1:62" x14ac:dyDescent="0.25">
      <c r="A154" s="184">
        <f t="shared" si="101"/>
        <v>149</v>
      </c>
      <c r="B154" s="179">
        <f>Dashboard!$D$25</f>
        <v>0</v>
      </c>
      <c r="C154" s="179">
        <f>Dashboard!$D$25</f>
        <v>0</v>
      </c>
      <c r="D154" s="180">
        <f t="shared" si="90"/>
        <v>0</v>
      </c>
      <c r="E154" s="189"/>
      <c r="F154" s="184">
        <f t="shared" ca="1" si="102"/>
        <v>2168</v>
      </c>
      <c r="G154" s="179">
        <f t="shared" si="122"/>
        <v>0.02</v>
      </c>
      <c r="H154" s="182">
        <f t="shared" si="103"/>
        <v>19.222114962298257</v>
      </c>
      <c r="I154" s="179">
        <f t="shared" si="123"/>
        <v>2.5000000000000001E-2</v>
      </c>
      <c r="J154" s="182">
        <f t="shared" si="104"/>
        <v>39.890999760939529</v>
      </c>
      <c r="K154" s="179">
        <f t="shared" si="124"/>
        <v>2.5000000000000001E-2</v>
      </c>
      <c r="L154" s="182">
        <f t="shared" si="105"/>
        <v>39.890999760939529</v>
      </c>
      <c r="M154" s="189"/>
      <c r="N154" s="184">
        <f t="shared" ca="1" si="106"/>
        <v>2168</v>
      </c>
      <c r="O154" s="179">
        <f t="shared" si="118"/>
        <v>0.02</v>
      </c>
      <c r="P154" s="182">
        <f t="shared" si="86"/>
        <v>19.203456005995676</v>
      </c>
      <c r="R154" s="184">
        <f t="shared" ca="1" si="107"/>
        <v>2168</v>
      </c>
      <c r="S154" s="188">
        <f t="shared" si="120"/>
        <v>5.3600000000000002E-3</v>
      </c>
      <c r="U154" s="184">
        <f t="shared" ca="1" si="108"/>
        <v>2168</v>
      </c>
      <c r="V154" s="182">
        <f t="shared" si="91"/>
        <v>0.02</v>
      </c>
      <c r="W154" s="180">
        <f>Parameters!$D$15</f>
        <v>5.0000000000000001E-3</v>
      </c>
      <c r="X154" s="182">
        <f t="shared" si="92"/>
        <v>2.5000000000000001E-2</v>
      </c>
      <c r="Y154" s="182">
        <f t="shared" si="109"/>
        <v>39.93032061795865</v>
      </c>
      <c r="AA154" s="189"/>
      <c r="AB154" s="184">
        <f t="shared" ca="1" si="110"/>
        <v>2168</v>
      </c>
      <c r="AC154" s="171">
        <f t="shared" si="93"/>
        <v>0</v>
      </c>
      <c r="AD154" s="171">
        <f t="shared" si="88"/>
        <v>0</v>
      </c>
      <c r="AE154" s="171">
        <f t="shared" si="119"/>
        <v>13237.653528084133</v>
      </c>
      <c r="AF154" s="171">
        <f t="shared" si="111"/>
        <v>0</v>
      </c>
      <c r="AG154" s="171">
        <f t="shared" si="121"/>
        <v>0</v>
      </c>
      <c r="AH154" s="171">
        <f t="shared" si="94"/>
        <v>0</v>
      </c>
      <c r="AI154" s="171">
        <f t="shared" si="95"/>
        <v>0</v>
      </c>
      <c r="AJ154" s="171">
        <f>IF('Invoer gegevens'!$I$27="DAEB",SMALL(AC154:AD154,1),AC154)</f>
        <v>0</v>
      </c>
      <c r="AK154" s="171">
        <f>IF('Invoer gegevens'!$I$27="DAEB",SMALL((AE154:AH154),1),SMALL((AF154:AH154),1))</f>
        <v>0</v>
      </c>
      <c r="AL154" s="171">
        <f t="shared" si="116"/>
        <v>0</v>
      </c>
      <c r="AM154" s="171">
        <f t="shared" si="117"/>
        <v>0</v>
      </c>
      <c r="AN154" s="175">
        <f t="shared" si="112"/>
        <v>0</v>
      </c>
      <c r="AP154" s="184">
        <f t="shared" ca="1" si="113"/>
        <v>2168</v>
      </c>
      <c r="AQ154" s="185">
        <f t="shared" si="96"/>
        <v>0.02</v>
      </c>
      <c r="AR154" s="182">
        <f t="shared" si="87"/>
        <v>19.203456005995676</v>
      </c>
      <c r="AU154" s="184">
        <f t="shared" ca="1" si="114"/>
        <v>2168</v>
      </c>
      <c r="AV154" s="182">
        <f t="shared" si="97"/>
        <v>0.02</v>
      </c>
      <c r="AW154" s="179">
        <f t="shared" si="98"/>
        <v>5.0000000000000001E-3</v>
      </c>
      <c r="AX154" s="182">
        <f t="shared" si="99"/>
        <v>2.5000000000000001E-2</v>
      </c>
      <c r="AY154" s="186"/>
      <c r="AZ154" s="190"/>
      <c r="BA154" s="184">
        <f t="shared" ca="1" si="115"/>
        <v>2168</v>
      </c>
      <c r="BB154" s="171">
        <f t="shared" si="100"/>
        <v>0</v>
      </c>
      <c r="BC154" s="171">
        <f t="shared" si="89"/>
        <v>13237.653528084133</v>
      </c>
      <c r="BD154" s="171">
        <f t="shared" si="85"/>
        <v>0</v>
      </c>
      <c r="BE154" s="171">
        <f t="shared" si="85"/>
        <v>0</v>
      </c>
      <c r="BF154" s="171">
        <f t="shared" si="85"/>
        <v>0</v>
      </c>
      <c r="BG154" s="171">
        <f t="shared" si="85"/>
        <v>0</v>
      </c>
      <c r="BI154" s="187">
        <f>IF(A154-'Invoer gegevens'!$C$17&lt;0,0,IF(A154-'Invoer gegevens'!$C$17=0,1,IF(A154-'Invoer gegevens'!$C$17&lt;5,2,IF(A154-'Invoer gegevens'!$C$17&lt;15,3,4))))</f>
        <v>0</v>
      </c>
      <c r="BJ154" s="229">
        <f>IF(BI154&lt;1,0,IF(BI154&lt;2,4%,IF('Reeksen (N)'!BI154&lt;3,4%,IF('Reeksen (N)'!BI154&lt;4,4%*70%,IF('Reeksen (N)'!BI154&lt;5,4%*50%)))))</f>
        <v>0</v>
      </c>
    </row>
    <row r="155" spans="1:62" x14ac:dyDescent="0.25">
      <c r="A155" s="184">
        <f t="shared" si="101"/>
        <v>150</v>
      </c>
      <c r="B155" s="179">
        <f>Dashboard!$D$25</f>
        <v>0</v>
      </c>
      <c r="C155" s="179">
        <f>Dashboard!$D$25</f>
        <v>0</v>
      </c>
      <c r="D155" s="180">
        <f t="shared" si="90"/>
        <v>0</v>
      </c>
      <c r="E155" s="189"/>
      <c r="F155" s="184">
        <f t="shared" ca="1" si="102"/>
        <v>2169</v>
      </c>
      <c r="G155" s="179">
        <f t="shared" si="122"/>
        <v>0.02</v>
      </c>
      <c r="H155" s="182">
        <f t="shared" si="103"/>
        <v>19.606557261544221</v>
      </c>
      <c r="I155" s="179">
        <f t="shared" si="123"/>
        <v>2.5000000000000001E-2</v>
      </c>
      <c r="J155" s="182">
        <f t="shared" si="104"/>
        <v>40.888274754963014</v>
      </c>
      <c r="K155" s="179">
        <f t="shared" si="124"/>
        <v>2.5000000000000001E-2</v>
      </c>
      <c r="L155" s="182">
        <f t="shared" si="105"/>
        <v>40.888274754963014</v>
      </c>
      <c r="M155" s="189"/>
      <c r="N155" s="184">
        <f t="shared" ca="1" si="106"/>
        <v>2169</v>
      </c>
      <c r="O155" s="179">
        <f t="shared" si="118"/>
        <v>0.02</v>
      </c>
      <c r="P155" s="182">
        <f t="shared" si="86"/>
        <v>19.58752512611559</v>
      </c>
      <c r="R155" s="184">
        <f t="shared" ca="1" si="107"/>
        <v>2169</v>
      </c>
      <c r="S155" s="188">
        <f t="shared" si="120"/>
        <v>5.3600000000000002E-3</v>
      </c>
      <c r="U155" s="184">
        <f t="shared" ca="1" si="108"/>
        <v>2169</v>
      </c>
      <c r="V155" s="182">
        <f t="shared" si="91"/>
        <v>0.02</v>
      </c>
      <c r="W155" s="180">
        <f>Parameters!$D$15</f>
        <v>5.0000000000000001E-3</v>
      </c>
      <c r="X155" s="182">
        <f t="shared" si="92"/>
        <v>2.5000000000000001E-2</v>
      </c>
      <c r="Y155" s="182">
        <f t="shared" si="109"/>
        <v>40.928578633407611</v>
      </c>
      <c r="AA155" s="189"/>
      <c r="AB155" s="184">
        <f t="shared" ca="1" si="110"/>
        <v>2169</v>
      </c>
      <c r="AC155" s="171">
        <f t="shared" si="93"/>
        <v>0</v>
      </c>
      <c r="AD155" s="171">
        <f t="shared" si="88"/>
        <v>0</v>
      </c>
      <c r="AE155" s="171">
        <f t="shared" si="119"/>
        <v>13502.406598645815</v>
      </c>
      <c r="AF155" s="171">
        <f t="shared" si="111"/>
        <v>0</v>
      </c>
      <c r="AG155" s="171">
        <f t="shared" si="121"/>
        <v>0</v>
      </c>
      <c r="AH155" s="171">
        <f t="shared" si="94"/>
        <v>0</v>
      </c>
      <c r="AI155" s="171">
        <f t="shared" si="95"/>
        <v>0</v>
      </c>
      <c r="AJ155" s="171">
        <f>IF('Invoer gegevens'!$I$27="DAEB",SMALL(AC155:AD155,1),AC155)</f>
        <v>0</v>
      </c>
      <c r="AK155" s="171">
        <f>IF('Invoer gegevens'!$I$27="DAEB",SMALL((AE155:AH155),1),SMALL((AF155:AH155),1))</f>
        <v>0</v>
      </c>
      <c r="AL155" s="171">
        <f t="shared" si="116"/>
        <v>0</v>
      </c>
      <c r="AM155" s="171">
        <f t="shared" si="117"/>
        <v>0</v>
      </c>
      <c r="AN155" s="175">
        <f t="shared" si="112"/>
        <v>0</v>
      </c>
      <c r="AP155" s="184">
        <f t="shared" ca="1" si="113"/>
        <v>2169</v>
      </c>
      <c r="AQ155" s="185">
        <f t="shared" si="96"/>
        <v>0.02</v>
      </c>
      <c r="AR155" s="182">
        <f t="shared" si="87"/>
        <v>19.58752512611559</v>
      </c>
      <c r="AU155" s="184">
        <f t="shared" ca="1" si="114"/>
        <v>2169</v>
      </c>
      <c r="AV155" s="182">
        <f t="shared" si="97"/>
        <v>0.02</v>
      </c>
      <c r="AW155" s="179">
        <f t="shared" si="98"/>
        <v>5.0000000000000001E-3</v>
      </c>
      <c r="AX155" s="182">
        <f t="shared" si="99"/>
        <v>2.5000000000000001E-2</v>
      </c>
      <c r="AY155" s="186"/>
      <c r="AZ155" s="190"/>
      <c r="BA155" s="184">
        <f t="shared" ca="1" si="115"/>
        <v>2169</v>
      </c>
      <c r="BB155" s="171">
        <f t="shared" si="100"/>
        <v>0</v>
      </c>
      <c r="BC155" s="171">
        <f t="shared" si="89"/>
        <v>13502.406598645815</v>
      </c>
      <c r="BD155" s="171">
        <f t="shared" si="85"/>
        <v>0</v>
      </c>
      <c r="BE155" s="171">
        <f t="shared" si="85"/>
        <v>0</v>
      </c>
      <c r="BF155" s="171">
        <f t="shared" si="85"/>
        <v>0</v>
      </c>
      <c r="BG155" s="171">
        <f t="shared" si="85"/>
        <v>0</v>
      </c>
      <c r="BI155" s="187">
        <f>IF(A155-'Invoer gegevens'!$C$17&lt;0,0,IF(A155-'Invoer gegevens'!$C$17=0,1,IF(A155-'Invoer gegevens'!$C$17&lt;5,2,IF(A155-'Invoer gegevens'!$C$17&lt;15,3,4))))</f>
        <v>0</v>
      </c>
      <c r="BJ155" s="229">
        <f>IF(BI155&lt;1,0,IF(BI155&lt;2,4%,IF('Reeksen (N)'!BI155&lt;3,4%,IF('Reeksen (N)'!BI155&lt;4,4%*70%,IF('Reeksen (N)'!BI155&lt;5,4%*50%)))))</f>
        <v>0</v>
      </c>
    </row>
    <row r="156" spans="1:62" x14ac:dyDescent="0.25">
      <c r="A156" s="184">
        <f t="shared" si="101"/>
        <v>151</v>
      </c>
      <c r="B156" s="179">
        <f>Dashboard!$D$25</f>
        <v>0</v>
      </c>
      <c r="C156" s="179">
        <f>Dashboard!$D$25</f>
        <v>0</v>
      </c>
      <c r="D156" s="180">
        <f t="shared" si="90"/>
        <v>0</v>
      </c>
      <c r="E156" s="189"/>
      <c r="F156" s="184">
        <f t="shared" ca="1" si="102"/>
        <v>2170</v>
      </c>
      <c r="G156" s="179">
        <f t="shared" si="122"/>
        <v>0.02</v>
      </c>
      <c r="H156" s="182">
        <f t="shared" si="103"/>
        <v>19.998688406775106</v>
      </c>
      <c r="I156" s="179">
        <f t="shared" si="123"/>
        <v>2.5000000000000001E-2</v>
      </c>
      <c r="J156" s="182">
        <f t="shared" si="104"/>
        <v>41.910481623837086</v>
      </c>
      <c r="K156" s="179">
        <f t="shared" si="124"/>
        <v>2.5000000000000001E-2</v>
      </c>
      <c r="L156" s="182">
        <f t="shared" si="105"/>
        <v>41.910481623837086</v>
      </c>
      <c r="M156" s="189"/>
      <c r="N156" s="184">
        <f t="shared" ca="1" si="106"/>
        <v>2170</v>
      </c>
      <c r="O156" s="179">
        <f t="shared" si="118"/>
        <v>0.02</v>
      </c>
      <c r="P156" s="182">
        <f t="shared" si="86"/>
        <v>19.979275628637904</v>
      </c>
      <c r="R156" s="184">
        <f t="shared" ca="1" si="107"/>
        <v>2170</v>
      </c>
      <c r="S156" s="188">
        <f t="shared" si="120"/>
        <v>5.3600000000000002E-3</v>
      </c>
      <c r="U156" s="184">
        <f t="shared" ca="1" si="108"/>
        <v>2170</v>
      </c>
      <c r="V156" s="182">
        <f t="shared" si="91"/>
        <v>0.02</v>
      </c>
      <c r="W156" s="180">
        <f>Parameters!$D$15</f>
        <v>5.0000000000000001E-3</v>
      </c>
      <c r="X156" s="182">
        <f t="shared" si="92"/>
        <v>2.5000000000000001E-2</v>
      </c>
      <c r="Y156" s="182">
        <f t="shared" si="109"/>
        <v>41.951793099242799</v>
      </c>
      <c r="AA156" s="189"/>
      <c r="AB156" s="184">
        <f t="shared" ca="1" si="110"/>
        <v>2170</v>
      </c>
      <c r="AC156" s="171">
        <f t="shared" si="93"/>
        <v>0</v>
      </c>
      <c r="AD156" s="171">
        <f t="shared" si="88"/>
        <v>0</v>
      </c>
      <c r="AE156" s="171">
        <f t="shared" si="119"/>
        <v>13772.454730618732</v>
      </c>
      <c r="AF156" s="171">
        <f t="shared" si="111"/>
        <v>0</v>
      </c>
      <c r="AG156" s="171">
        <f t="shared" si="121"/>
        <v>0</v>
      </c>
      <c r="AH156" s="171">
        <f t="shared" si="94"/>
        <v>0</v>
      </c>
      <c r="AI156" s="171">
        <f t="shared" si="95"/>
        <v>0</v>
      </c>
      <c r="AJ156" s="171">
        <f>IF('Invoer gegevens'!$I$27="DAEB",SMALL(AC156:AD156,1),AC156)</f>
        <v>0</v>
      </c>
      <c r="AK156" s="171">
        <f>IF('Invoer gegevens'!$I$27="DAEB",SMALL((AE156:AH156),1),SMALL((AF156:AH156),1))</f>
        <v>0</v>
      </c>
      <c r="AL156" s="171">
        <f t="shared" si="116"/>
        <v>0</v>
      </c>
      <c r="AM156" s="171">
        <f t="shared" si="117"/>
        <v>0</v>
      </c>
      <c r="AN156" s="175">
        <f t="shared" si="112"/>
        <v>0</v>
      </c>
      <c r="AP156" s="184">
        <f t="shared" ca="1" si="113"/>
        <v>2170</v>
      </c>
      <c r="AQ156" s="185">
        <f t="shared" si="96"/>
        <v>0.02</v>
      </c>
      <c r="AR156" s="182">
        <f t="shared" si="87"/>
        <v>19.979275628637904</v>
      </c>
      <c r="AU156" s="184">
        <f t="shared" ca="1" si="114"/>
        <v>2170</v>
      </c>
      <c r="AV156" s="182">
        <f t="shared" si="97"/>
        <v>0.02</v>
      </c>
      <c r="AW156" s="179">
        <f t="shared" si="98"/>
        <v>5.0000000000000001E-3</v>
      </c>
      <c r="AX156" s="182">
        <f t="shared" si="99"/>
        <v>2.5000000000000001E-2</v>
      </c>
      <c r="AY156" s="186"/>
      <c r="AZ156" s="190"/>
      <c r="BA156" s="184">
        <f t="shared" ca="1" si="115"/>
        <v>2170</v>
      </c>
      <c r="BB156" s="171">
        <f t="shared" si="100"/>
        <v>0</v>
      </c>
      <c r="BC156" s="171">
        <f t="shared" si="89"/>
        <v>13772.454730618732</v>
      </c>
      <c r="BD156" s="171">
        <f t="shared" si="85"/>
        <v>0</v>
      </c>
      <c r="BE156" s="171">
        <f t="shared" si="85"/>
        <v>0</v>
      </c>
      <c r="BF156" s="171">
        <f t="shared" si="85"/>
        <v>0</v>
      </c>
      <c r="BG156" s="171">
        <f t="shared" si="85"/>
        <v>0</v>
      </c>
      <c r="BI156" s="187">
        <f>IF(A156-'Invoer gegevens'!$C$17&lt;0,0,IF(A156-'Invoer gegevens'!$C$17=0,1,IF(A156-'Invoer gegevens'!$C$17&lt;5,2,IF(A156-'Invoer gegevens'!$C$17&lt;15,3,4))))</f>
        <v>0</v>
      </c>
      <c r="BJ156" s="229">
        <f>IF(BI156&lt;1,0,IF(BI156&lt;2,4%,IF('Reeksen (N)'!BI156&lt;3,4%,IF('Reeksen (N)'!BI156&lt;4,4%*70%,IF('Reeksen (N)'!BI156&lt;5,4%*50%)))))</f>
        <v>0</v>
      </c>
    </row>
    <row r="157" spans="1:62" x14ac:dyDescent="0.25">
      <c r="A157" s="184">
        <f t="shared" si="101"/>
        <v>152</v>
      </c>
      <c r="B157" s="179">
        <f>Dashboard!$D$25</f>
        <v>0</v>
      </c>
      <c r="C157" s="179">
        <f>Dashboard!$D$25</f>
        <v>0</v>
      </c>
      <c r="D157" s="180">
        <f t="shared" si="90"/>
        <v>0</v>
      </c>
      <c r="E157" s="189"/>
      <c r="F157" s="184">
        <f t="shared" ca="1" si="102"/>
        <v>2171</v>
      </c>
      <c r="G157" s="179">
        <f t="shared" si="122"/>
        <v>0.02</v>
      </c>
      <c r="H157" s="182">
        <f t="shared" si="103"/>
        <v>20.398662174910609</v>
      </c>
      <c r="I157" s="179">
        <f t="shared" si="123"/>
        <v>2.5000000000000001E-2</v>
      </c>
      <c r="J157" s="182">
        <f t="shared" si="104"/>
        <v>42.958243664433006</v>
      </c>
      <c r="K157" s="179">
        <f t="shared" si="124"/>
        <v>2.5000000000000001E-2</v>
      </c>
      <c r="L157" s="182">
        <f t="shared" si="105"/>
        <v>42.958243664433006</v>
      </c>
      <c r="M157" s="189"/>
      <c r="N157" s="184">
        <f t="shared" ca="1" si="106"/>
        <v>2171</v>
      </c>
      <c r="O157" s="179">
        <f t="shared" si="118"/>
        <v>0.02</v>
      </c>
      <c r="P157" s="182">
        <f t="shared" si="86"/>
        <v>20.378861141210663</v>
      </c>
      <c r="R157" s="184">
        <f t="shared" ca="1" si="107"/>
        <v>2171</v>
      </c>
      <c r="S157" s="188">
        <f t="shared" si="120"/>
        <v>5.3600000000000002E-3</v>
      </c>
      <c r="U157" s="184">
        <f t="shared" ca="1" si="108"/>
        <v>2171</v>
      </c>
      <c r="V157" s="182">
        <f t="shared" si="91"/>
        <v>0.02</v>
      </c>
      <c r="W157" s="180">
        <f>Parameters!$D$15</f>
        <v>5.0000000000000001E-3</v>
      </c>
      <c r="X157" s="182">
        <f t="shared" si="92"/>
        <v>2.5000000000000001E-2</v>
      </c>
      <c r="Y157" s="182">
        <f t="shared" si="109"/>
        <v>43.000587926723867</v>
      </c>
      <c r="AA157" s="189"/>
      <c r="AB157" s="184">
        <f t="shared" ca="1" si="110"/>
        <v>2171</v>
      </c>
      <c r="AC157" s="171">
        <f t="shared" si="93"/>
        <v>0</v>
      </c>
      <c r="AD157" s="171">
        <f t="shared" si="88"/>
        <v>0</v>
      </c>
      <c r="AE157" s="171">
        <f t="shared" si="119"/>
        <v>14047.903825231107</v>
      </c>
      <c r="AF157" s="171">
        <f t="shared" si="111"/>
        <v>0</v>
      </c>
      <c r="AG157" s="171">
        <f t="shared" si="121"/>
        <v>0</v>
      </c>
      <c r="AH157" s="171">
        <f t="shared" si="94"/>
        <v>0</v>
      </c>
      <c r="AI157" s="171">
        <f t="shared" si="95"/>
        <v>0</v>
      </c>
      <c r="AJ157" s="171">
        <f>IF('Invoer gegevens'!$I$27="DAEB",SMALL(AC157:AD157,1),AC157)</f>
        <v>0</v>
      </c>
      <c r="AK157" s="171">
        <f>IF('Invoer gegevens'!$I$27="DAEB",SMALL((AE157:AH157),1),SMALL((AF157:AH157),1))</f>
        <v>0</v>
      </c>
      <c r="AL157" s="171">
        <f t="shared" si="116"/>
        <v>0</v>
      </c>
      <c r="AM157" s="171">
        <f t="shared" si="117"/>
        <v>0</v>
      </c>
      <c r="AN157" s="175">
        <f t="shared" si="112"/>
        <v>0</v>
      </c>
      <c r="AP157" s="184">
        <f t="shared" ca="1" si="113"/>
        <v>2171</v>
      </c>
      <c r="AQ157" s="185">
        <f t="shared" si="96"/>
        <v>0.02</v>
      </c>
      <c r="AR157" s="182">
        <f t="shared" si="87"/>
        <v>20.378861141210663</v>
      </c>
      <c r="AU157" s="184">
        <f t="shared" ca="1" si="114"/>
        <v>2171</v>
      </c>
      <c r="AV157" s="182">
        <f t="shared" si="97"/>
        <v>0.02</v>
      </c>
      <c r="AW157" s="179">
        <f t="shared" si="98"/>
        <v>5.0000000000000001E-3</v>
      </c>
      <c r="AX157" s="182">
        <f t="shared" si="99"/>
        <v>2.5000000000000001E-2</v>
      </c>
      <c r="AY157" s="186"/>
      <c r="AZ157" s="190"/>
      <c r="BA157" s="184">
        <f t="shared" ca="1" si="115"/>
        <v>2171</v>
      </c>
      <c r="BB157" s="171">
        <f t="shared" si="100"/>
        <v>0</v>
      </c>
      <c r="BC157" s="171">
        <f t="shared" si="89"/>
        <v>14047.903825231107</v>
      </c>
      <c r="BD157" s="171">
        <f t="shared" si="85"/>
        <v>0</v>
      </c>
      <c r="BE157" s="171">
        <f t="shared" si="85"/>
        <v>0</v>
      </c>
      <c r="BF157" s="171">
        <f t="shared" si="85"/>
        <v>0</v>
      </c>
      <c r="BG157" s="171">
        <f t="shared" si="85"/>
        <v>0</v>
      </c>
      <c r="BI157" s="187">
        <f>IF(A157-'Invoer gegevens'!$C$17&lt;0,0,IF(A157-'Invoer gegevens'!$C$17=0,1,IF(A157-'Invoer gegevens'!$C$17&lt;5,2,IF(A157-'Invoer gegevens'!$C$17&lt;15,3,4))))</f>
        <v>0</v>
      </c>
      <c r="BJ157" s="229">
        <f>IF(BI157&lt;1,0,IF(BI157&lt;2,4%,IF('Reeksen (N)'!BI157&lt;3,4%,IF('Reeksen (N)'!BI157&lt;4,4%*70%,IF('Reeksen (N)'!BI157&lt;5,4%*50%)))))</f>
        <v>0</v>
      </c>
    </row>
    <row r="158" spans="1:62" x14ac:dyDescent="0.25">
      <c r="A158" s="184">
        <f t="shared" si="101"/>
        <v>153</v>
      </c>
      <c r="B158" s="179">
        <f>Dashboard!$D$25</f>
        <v>0</v>
      </c>
      <c r="C158" s="179">
        <f>Dashboard!$D$25</f>
        <v>0</v>
      </c>
      <c r="D158" s="180">
        <f t="shared" si="90"/>
        <v>0</v>
      </c>
      <c r="E158" s="189"/>
      <c r="F158" s="184">
        <f t="shared" ca="1" si="102"/>
        <v>2172</v>
      </c>
      <c r="G158" s="179">
        <f t="shared" si="122"/>
        <v>0.02</v>
      </c>
      <c r="H158" s="182">
        <f t="shared" si="103"/>
        <v>20.80663541840882</v>
      </c>
      <c r="I158" s="179">
        <f t="shared" si="123"/>
        <v>2.5000000000000001E-2</v>
      </c>
      <c r="J158" s="182">
        <f t="shared" si="104"/>
        <v>44.032199756043831</v>
      </c>
      <c r="K158" s="179">
        <f t="shared" si="124"/>
        <v>2.5000000000000001E-2</v>
      </c>
      <c r="L158" s="182">
        <f t="shared" si="105"/>
        <v>44.032199756043831</v>
      </c>
      <c r="M158" s="189"/>
      <c r="N158" s="184">
        <f t="shared" ca="1" si="106"/>
        <v>2172</v>
      </c>
      <c r="O158" s="179">
        <f t="shared" si="118"/>
        <v>0.02</v>
      </c>
      <c r="P158" s="182">
        <f t="shared" si="86"/>
        <v>20.786438364034876</v>
      </c>
      <c r="R158" s="184">
        <f t="shared" ca="1" si="107"/>
        <v>2172</v>
      </c>
      <c r="S158" s="188">
        <f t="shared" si="120"/>
        <v>5.3600000000000002E-3</v>
      </c>
      <c r="U158" s="184">
        <f t="shared" ca="1" si="108"/>
        <v>2172</v>
      </c>
      <c r="V158" s="182">
        <f t="shared" si="91"/>
        <v>0.02</v>
      </c>
      <c r="W158" s="180">
        <f>Parameters!$D$15</f>
        <v>5.0000000000000001E-3</v>
      </c>
      <c r="X158" s="182">
        <f t="shared" si="92"/>
        <v>2.5000000000000001E-2</v>
      </c>
      <c r="Y158" s="182">
        <f t="shared" si="109"/>
        <v>44.075602624891957</v>
      </c>
      <c r="AA158" s="189"/>
      <c r="AB158" s="184">
        <f t="shared" ca="1" si="110"/>
        <v>2172</v>
      </c>
      <c r="AC158" s="171">
        <f t="shared" si="93"/>
        <v>0</v>
      </c>
      <c r="AD158" s="171">
        <f t="shared" si="88"/>
        <v>0</v>
      </c>
      <c r="AE158" s="171">
        <f t="shared" si="119"/>
        <v>14328.86190173573</v>
      </c>
      <c r="AF158" s="171">
        <f t="shared" si="111"/>
        <v>0</v>
      </c>
      <c r="AG158" s="171">
        <f t="shared" si="121"/>
        <v>0</v>
      </c>
      <c r="AH158" s="171">
        <f t="shared" si="94"/>
        <v>0</v>
      </c>
      <c r="AI158" s="171">
        <f t="shared" si="95"/>
        <v>0</v>
      </c>
      <c r="AJ158" s="171">
        <f>IF('Invoer gegevens'!$I$27="DAEB",SMALL(AC158:AD158,1),AC158)</f>
        <v>0</v>
      </c>
      <c r="AK158" s="171">
        <f>IF('Invoer gegevens'!$I$27="DAEB",SMALL((AE158:AH158),1),SMALL((AF158:AH158),1))</f>
        <v>0</v>
      </c>
      <c r="AL158" s="171">
        <f t="shared" si="116"/>
        <v>0</v>
      </c>
      <c r="AM158" s="171">
        <f t="shared" si="117"/>
        <v>0</v>
      </c>
      <c r="AN158" s="175">
        <f t="shared" si="112"/>
        <v>0</v>
      </c>
      <c r="AP158" s="184">
        <f t="shared" ca="1" si="113"/>
        <v>2172</v>
      </c>
      <c r="AQ158" s="185">
        <f t="shared" si="96"/>
        <v>0.02</v>
      </c>
      <c r="AR158" s="182">
        <f t="shared" si="87"/>
        <v>20.786438364034876</v>
      </c>
      <c r="AU158" s="184">
        <f t="shared" ca="1" si="114"/>
        <v>2172</v>
      </c>
      <c r="AV158" s="182">
        <f t="shared" si="97"/>
        <v>0.02</v>
      </c>
      <c r="AW158" s="179">
        <f t="shared" si="98"/>
        <v>5.0000000000000001E-3</v>
      </c>
      <c r="AX158" s="182">
        <f t="shared" si="99"/>
        <v>2.5000000000000001E-2</v>
      </c>
      <c r="AY158" s="186"/>
      <c r="AZ158" s="190"/>
      <c r="BA158" s="184">
        <f t="shared" ca="1" si="115"/>
        <v>2172</v>
      </c>
      <c r="BB158" s="171">
        <f t="shared" si="100"/>
        <v>0</v>
      </c>
      <c r="BC158" s="171">
        <f t="shared" si="89"/>
        <v>14328.86190173573</v>
      </c>
      <c r="BD158" s="171">
        <f t="shared" si="85"/>
        <v>0</v>
      </c>
      <c r="BE158" s="171">
        <f t="shared" si="85"/>
        <v>0</v>
      </c>
      <c r="BF158" s="171">
        <f t="shared" si="85"/>
        <v>0</v>
      </c>
      <c r="BG158" s="171">
        <f t="shared" si="85"/>
        <v>0</v>
      </c>
      <c r="BI158" s="187">
        <f>IF(A158-'Invoer gegevens'!$C$17&lt;0,0,IF(A158-'Invoer gegevens'!$C$17=0,1,IF(A158-'Invoer gegevens'!$C$17&lt;5,2,IF(A158-'Invoer gegevens'!$C$17&lt;15,3,4))))</f>
        <v>0</v>
      </c>
      <c r="BJ158" s="229">
        <f>IF(BI158&lt;1,0,IF(BI158&lt;2,4%,IF('Reeksen (N)'!BI158&lt;3,4%,IF('Reeksen (N)'!BI158&lt;4,4%*70%,IF('Reeksen (N)'!BI158&lt;5,4%*50%)))))</f>
        <v>0</v>
      </c>
    </row>
    <row r="159" spans="1:62" x14ac:dyDescent="0.25">
      <c r="A159" s="184">
        <f t="shared" si="101"/>
        <v>154</v>
      </c>
      <c r="B159" s="179">
        <f>Dashboard!$D$25</f>
        <v>0</v>
      </c>
      <c r="C159" s="179">
        <f>Dashboard!$D$25</f>
        <v>0</v>
      </c>
      <c r="D159" s="180">
        <f t="shared" si="90"/>
        <v>0</v>
      </c>
      <c r="E159" s="189"/>
      <c r="F159" s="184">
        <f t="shared" ca="1" si="102"/>
        <v>2173</v>
      </c>
      <c r="G159" s="179">
        <f t="shared" si="122"/>
        <v>0.02</v>
      </c>
      <c r="H159" s="182">
        <f t="shared" si="103"/>
        <v>21.222768126776998</v>
      </c>
      <c r="I159" s="179">
        <f t="shared" si="123"/>
        <v>2.5000000000000001E-2</v>
      </c>
      <c r="J159" s="182">
        <f t="shared" si="104"/>
        <v>45.133004749944924</v>
      </c>
      <c r="K159" s="179">
        <f t="shared" si="124"/>
        <v>2.5000000000000001E-2</v>
      </c>
      <c r="L159" s="182">
        <f t="shared" si="105"/>
        <v>45.133004749944924</v>
      </c>
      <c r="M159" s="189"/>
      <c r="N159" s="184">
        <f t="shared" ca="1" si="106"/>
        <v>2173</v>
      </c>
      <c r="O159" s="179">
        <f t="shared" si="118"/>
        <v>0.02</v>
      </c>
      <c r="P159" s="182">
        <f t="shared" si="86"/>
        <v>21.202167131315573</v>
      </c>
      <c r="R159" s="184">
        <f t="shared" ca="1" si="107"/>
        <v>2173</v>
      </c>
      <c r="S159" s="188">
        <f t="shared" si="120"/>
        <v>5.3600000000000002E-3</v>
      </c>
      <c r="U159" s="184">
        <f t="shared" ca="1" si="108"/>
        <v>2173</v>
      </c>
      <c r="V159" s="182">
        <f t="shared" si="91"/>
        <v>0.02</v>
      </c>
      <c r="W159" s="180">
        <f>Parameters!$D$15</f>
        <v>5.0000000000000001E-3</v>
      </c>
      <c r="X159" s="182">
        <f t="shared" si="92"/>
        <v>2.5000000000000001E-2</v>
      </c>
      <c r="Y159" s="182">
        <f t="shared" si="109"/>
        <v>45.177492690514249</v>
      </c>
      <c r="AA159" s="189"/>
      <c r="AB159" s="184">
        <f t="shared" ca="1" si="110"/>
        <v>2173</v>
      </c>
      <c r="AC159" s="171">
        <f t="shared" si="93"/>
        <v>0</v>
      </c>
      <c r="AD159" s="171">
        <f t="shared" si="88"/>
        <v>0</v>
      </c>
      <c r="AE159" s="171">
        <f t="shared" si="119"/>
        <v>14615.439139770446</v>
      </c>
      <c r="AF159" s="171">
        <f t="shared" si="111"/>
        <v>0</v>
      </c>
      <c r="AG159" s="171">
        <f t="shared" si="121"/>
        <v>0</v>
      </c>
      <c r="AH159" s="171">
        <f t="shared" si="94"/>
        <v>0</v>
      </c>
      <c r="AI159" s="171">
        <f t="shared" si="95"/>
        <v>0</v>
      </c>
      <c r="AJ159" s="171">
        <f>IF('Invoer gegevens'!$I$27="DAEB",SMALL(AC159:AD159,1),AC159)</f>
        <v>0</v>
      </c>
      <c r="AK159" s="171">
        <f>IF('Invoer gegevens'!$I$27="DAEB",SMALL((AE159:AH159),1),SMALL((AF159:AH159),1))</f>
        <v>0</v>
      </c>
      <c r="AL159" s="171">
        <f t="shared" si="116"/>
        <v>0</v>
      </c>
      <c r="AM159" s="171">
        <f t="shared" si="117"/>
        <v>0</v>
      </c>
      <c r="AN159" s="175">
        <f t="shared" si="112"/>
        <v>0</v>
      </c>
      <c r="AP159" s="184">
        <f t="shared" ca="1" si="113"/>
        <v>2173</v>
      </c>
      <c r="AQ159" s="185">
        <f t="shared" si="96"/>
        <v>0.02</v>
      </c>
      <c r="AR159" s="182">
        <f t="shared" si="87"/>
        <v>21.202167131315573</v>
      </c>
      <c r="AU159" s="184">
        <f t="shared" ca="1" si="114"/>
        <v>2173</v>
      </c>
      <c r="AV159" s="182">
        <f t="shared" si="97"/>
        <v>0.02</v>
      </c>
      <c r="AW159" s="179">
        <f t="shared" si="98"/>
        <v>5.0000000000000001E-3</v>
      </c>
      <c r="AX159" s="182">
        <f t="shared" si="99"/>
        <v>2.5000000000000001E-2</v>
      </c>
      <c r="AY159" s="186"/>
      <c r="AZ159" s="190"/>
      <c r="BA159" s="184">
        <f t="shared" ca="1" si="115"/>
        <v>2173</v>
      </c>
      <c r="BB159" s="171">
        <f t="shared" si="100"/>
        <v>0</v>
      </c>
      <c r="BC159" s="171">
        <f t="shared" si="89"/>
        <v>14615.439139770446</v>
      </c>
      <c r="BD159" s="171">
        <f t="shared" si="85"/>
        <v>0</v>
      </c>
      <c r="BE159" s="171">
        <f t="shared" si="85"/>
        <v>0</v>
      </c>
      <c r="BF159" s="171">
        <f t="shared" si="85"/>
        <v>0</v>
      </c>
      <c r="BG159" s="171">
        <f t="shared" si="85"/>
        <v>0</v>
      </c>
      <c r="BI159" s="187">
        <f>IF(A159-'Invoer gegevens'!$C$17&lt;0,0,IF(A159-'Invoer gegevens'!$C$17=0,1,IF(A159-'Invoer gegevens'!$C$17&lt;5,2,IF(A159-'Invoer gegevens'!$C$17&lt;15,3,4))))</f>
        <v>0</v>
      </c>
      <c r="BJ159" s="229">
        <f>IF(BI159&lt;1,0,IF(BI159&lt;2,4%,IF('Reeksen (N)'!BI159&lt;3,4%,IF('Reeksen (N)'!BI159&lt;4,4%*70%,IF('Reeksen (N)'!BI159&lt;5,4%*50%)))))</f>
        <v>0</v>
      </c>
    </row>
    <row r="160" spans="1:62" x14ac:dyDescent="0.25">
      <c r="A160" s="184">
        <f t="shared" si="101"/>
        <v>155</v>
      </c>
      <c r="B160" s="179">
        <f>Dashboard!$D$25</f>
        <v>0</v>
      </c>
      <c r="C160" s="179">
        <f>Dashboard!$D$25</f>
        <v>0</v>
      </c>
      <c r="D160" s="180">
        <f t="shared" si="90"/>
        <v>0</v>
      </c>
      <c r="E160" s="189"/>
      <c r="F160" s="184">
        <f t="shared" ca="1" si="102"/>
        <v>2174</v>
      </c>
      <c r="G160" s="179">
        <f t="shared" si="122"/>
        <v>0.02</v>
      </c>
      <c r="H160" s="182">
        <f t="shared" si="103"/>
        <v>21.647223489312537</v>
      </c>
      <c r="I160" s="179">
        <f t="shared" si="123"/>
        <v>2.5000000000000001E-2</v>
      </c>
      <c r="J160" s="182">
        <f t="shared" si="104"/>
        <v>46.261329868693544</v>
      </c>
      <c r="K160" s="179">
        <f t="shared" si="124"/>
        <v>2.5000000000000001E-2</v>
      </c>
      <c r="L160" s="182">
        <f t="shared" si="105"/>
        <v>46.261329868693544</v>
      </c>
      <c r="M160" s="189"/>
      <c r="N160" s="184">
        <f t="shared" ca="1" si="106"/>
        <v>2174</v>
      </c>
      <c r="O160" s="179">
        <f t="shared" si="118"/>
        <v>0.02</v>
      </c>
      <c r="P160" s="182">
        <f t="shared" si="86"/>
        <v>21.626210473941885</v>
      </c>
      <c r="R160" s="184">
        <f t="shared" ca="1" si="107"/>
        <v>2174</v>
      </c>
      <c r="S160" s="188">
        <f t="shared" si="120"/>
        <v>5.3600000000000002E-3</v>
      </c>
      <c r="U160" s="184">
        <f t="shared" ca="1" si="108"/>
        <v>2174</v>
      </c>
      <c r="V160" s="182">
        <f t="shared" si="91"/>
        <v>0.02</v>
      </c>
      <c r="W160" s="180">
        <f>Parameters!$D$15</f>
        <v>5.0000000000000001E-3</v>
      </c>
      <c r="X160" s="182">
        <f t="shared" si="92"/>
        <v>2.5000000000000001E-2</v>
      </c>
      <c r="Y160" s="182">
        <f t="shared" si="109"/>
        <v>46.306930007777105</v>
      </c>
      <c r="AA160" s="189"/>
      <c r="AB160" s="184">
        <f t="shared" ca="1" si="110"/>
        <v>2174</v>
      </c>
      <c r="AC160" s="171">
        <f t="shared" si="93"/>
        <v>0</v>
      </c>
      <c r="AD160" s="171">
        <f t="shared" si="88"/>
        <v>0</v>
      </c>
      <c r="AE160" s="171">
        <f t="shared" si="119"/>
        <v>14907.747922565855</v>
      </c>
      <c r="AF160" s="171">
        <f t="shared" si="111"/>
        <v>0</v>
      </c>
      <c r="AG160" s="171">
        <f t="shared" si="121"/>
        <v>0</v>
      </c>
      <c r="AH160" s="171">
        <f t="shared" si="94"/>
        <v>0</v>
      </c>
      <c r="AI160" s="171">
        <f t="shared" si="95"/>
        <v>0</v>
      </c>
      <c r="AJ160" s="171">
        <f>IF('Invoer gegevens'!$I$27="DAEB",SMALL(AC160:AD160,1),AC160)</f>
        <v>0</v>
      </c>
      <c r="AK160" s="171">
        <f>IF('Invoer gegevens'!$I$27="DAEB",SMALL((AE160:AH160),1),SMALL((AF160:AH160),1))</f>
        <v>0</v>
      </c>
      <c r="AL160" s="171">
        <f t="shared" si="116"/>
        <v>0</v>
      </c>
      <c r="AM160" s="171">
        <f t="shared" si="117"/>
        <v>0</v>
      </c>
      <c r="AN160" s="175">
        <f t="shared" si="112"/>
        <v>0</v>
      </c>
      <c r="AP160" s="184">
        <f t="shared" ca="1" si="113"/>
        <v>2174</v>
      </c>
      <c r="AQ160" s="185">
        <f t="shared" si="96"/>
        <v>0.02</v>
      </c>
      <c r="AR160" s="182">
        <f t="shared" si="87"/>
        <v>21.626210473941885</v>
      </c>
      <c r="AU160" s="184">
        <f t="shared" ca="1" si="114"/>
        <v>2174</v>
      </c>
      <c r="AV160" s="182">
        <f t="shared" si="97"/>
        <v>0.02</v>
      </c>
      <c r="AW160" s="179">
        <f t="shared" si="98"/>
        <v>5.0000000000000001E-3</v>
      </c>
      <c r="AX160" s="182">
        <f t="shared" si="99"/>
        <v>2.5000000000000001E-2</v>
      </c>
      <c r="AY160" s="186"/>
      <c r="AZ160" s="190"/>
      <c r="BA160" s="184">
        <f t="shared" ca="1" si="115"/>
        <v>2174</v>
      </c>
      <c r="BB160" s="171">
        <f t="shared" si="100"/>
        <v>0</v>
      </c>
      <c r="BC160" s="171">
        <f t="shared" si="89"/>
        <v>14907.747922565855</v>
      </c>
      <c r="BD160" s="171">
        <f t="shared" si="85"/>
        <v>0</v>
      </c>
      <c r="BE160" s="171">
        <f t="shared" si="85"/>
        <v>0</v>
      </c>
      <c r="BF160" s="171">
        <f t="shared" si="85"/>
        <v>0</v>
      </c>
      <c r="BG160" s="171">
        <f t="shared" si="85"/>
        <v>0</v>
      </c>
      <c r="BI160" s="187">
        <f>IF(A160-'Invoer gegevens'!$C$17&lt;0,0,IF(A160-'Invoer gegevens'!$C$17=0,1,IF(A160-'Invoer gegevens'!$C$17&lt;5,2,IF(A160-'Invoer gegevens'!$C$17&lt;15,3,4))))</f>
        <v>0</v>
      </c>
      <c r="BJ160" s="229">
        <f>IF(BI160&lt;1,0,IF(BI160&lt;2,4%,IF('Reeksen (N)'!BI160&lt;3,4%,IF('Reeksen (N)'!BI160&lt;4,4%*70%,IF('Reeksen (N)'!BI160&lt;5,4%*50%)))))</f>
        <v>0</v>
      </c>
    </row>
    <row r="161" spans="1:62" x14ac:dyDescent="0.25">
      <c r="A161" s="184">
        <f t="shared" si="101"/>
        <v>156</v>
      </c>
      <c r="B161" s="179">
        <f>Dashboard!$D$25</f>
        <v>0</v>
      </c>
      <c r="C161" s="179">
        <f>Dashboard!$D$25</f>
        <v>0</v>
      </c>
      <c r="D161" s="180">
        <f t="shared" si="90"/>
        <v>0</v>
      </c>
      <c r="E161" s="189"/>
      <c r="F161" s="184">
        <f t="shared" ca="1" si="102"/>
        <v>2175</v>
      </c>
      <c r="G161" s="179">
        <f t="shared" si="122"/>
        <v>0.02</v>
      </c>
      <c r="H161" s="182">
        <f t="shared" si="103"/>
        <v>22.080167959098787</v>
      </c>
      <c r="I161" s="179">
        <f t="shared" si="123"/>
        <v>2.5000000000000001E-2</v>
      </c>
      <c r="J161" s="182">
        <f t="shared" si="104"/>
        <v>47.417863115410881</v>
      </c>
      <c r="K161" s="179">
        <f t="shared" si="124"/>
        <v>2.5000000000000001E-2</v>
      </c>
      <c r="L161" s="182">
        <f t="shared" si="105"/>
        <v>47.417863115410881</v>
      </c>
      <c r="M161" s="189"/>
      <c r="N161" s="184">
        <f t="shared" ca="1" si="106"/>
        <v>2175</v>
      </c>
      <c r="O161" s="179">
        <f t="shared" si="118"/>
        <v>0.02</v>
      </c>
      <c r="P161" s="182">
        <f t="shared" si="86"/>
        <v>22.058734683420724</v>
      </c>
      <c r="R161" s="184">
        <f t="shared" ca="1" si="107"/>
        <v>2175</v>
      </c>
      <c r="S161" s="188">
        <f t="shared" si="120"/>
        <v>5.3600000000000002E-3</v>
      </c>
      <c r="U161" s="184">
        <f t="shared" ca="1" si="108"/>
        <v>2175</v>
      </c>
      <c r="V161" s="182">
        <f t="shared" si="91"/>
        <v>0.02</v>
      </c>
      <c r="W161" s="180">
        <f>Parameters!$D$15</f>
        <v>5.0000000000000001E-3</v>
      </c>
      <c r="X161" s="182">
        <f t="shared" si="92"/>
        <v>2.5000000000000001E-2</v>
      </c>
      <c r="Y161" s="182">
        <f t="shared" si="109"/>
        <v>47.464603257971525</v>
      </c>
      <c r="AA161" s="189"/>
      <c r="AB161" s="184">
        <f t="shared" ca="1" si="110"/>
        <v>2175</v>
      </c>
      <c r="AC161" s="171">
        <f t="shared" si="93"/>
        <v>0</v>
      </c>
      <c r="AD161" s="171">
        <f t="shared" si="88"/>
        <v>0</v>
      </c>
      <c r="AE161" s="171">
        <f t="shared" si="119"/>
        <v>15205.902881017173</v>
      </c>
      <c r="AF161" s="171">
        <f t="shared" si="111"/>
        <v>0</v>
      </c>
      <c r="AG161" s="171">
        <f t="shared" si="121"/>
        <v>0</v>
      </c>
      <c r="AH161" s="171">
        <f t="shared" si="94"/>
        <v>0</v>
      </c>
      <c r="AI161" s="171">
        <f t="shared" si="95"/>
        <v>0</v>
      </c>
      <c r="AJ161" s="171">
        <f>IF('Invoer gegevens'!$I$27="DAEB",SMALL(AC161:AD161,1),AC161)</f>
        <v>0</v>
      </c>
      <c r="AK161" s="171">
        <f>IF('Invoer gegevens'!$I$27="DAEB",SMALL((AE161:AH161),1),SMALL((AF161:AH161),1))</f>
        <v>0</v>
      </c>
      <c r="AL161" s="171">
        <f t="shared" si="116"/>
        <v>0</v>
      </c>
      <c r="AM161" s="171">
        <f t="shared" si="117"/>
        <v>0</v>
      </c>
      <c r="AN161" s="175">
        <f t="shared" si="112"/>
        <v>0</v>
      </c>
      <c r="AP161" s="184">
        <f t="shared" ca="1" si="113"/>
        <v>2175</v>
      </c>
      <c r="AQ161" s="185">
        <f t="shared" si="96"/>
        <v>0.02</v>
      </c>
      <c r="AR161" s="182">
        <f t="shared" si="87"/>
        <v>22.058734683420724</v>
      </c>
      <c r="AU161" s="184">
        <f t="shared" ca="1" si="114"/>
        <v>2175</v>
      </c>
      <c r="AV161" s="182">
        <f t="shared" si="97"/>
        <v>0.02</v>
      </c>
      <c r="AW161" s="179">
        <f t="shared" si="98"/>
        <v>5.0000000000000001E-3</v>
      </c>
      <c r="AX161" s="182">
        <f t="shared" si="99"/>
        <v>2.5000000000000001E-2</v>
      </c>
      <c r="AY161" s="186"/>
      <c r="AZ161" s="190"/>
      <c r="BA161" s="184">
        <f t="shared" ca="1" si="115"/>
        <v>2175</v>
      </c>
      <c r="BB161" s="171">
        <f t="shared" si="100"/>
        <v>0</v>
      </c>
      <c r="BC161" s="171">
        <f t="shared" si="89"/>
        <v>15205.902881017173</v>
      </c>
      <c r="BD161" s="171">
        <f t="shared" si="85"/>
        <v>0</v>
      </c>
      <c r="BE161" s="171">
        <f t="shared" si="85"/>
        <v>0</v>
      </c>
      <c r="BF161" s="171">
        <f t="shared" si="85"/>
        <v>0</v>
      </c>
      <c r="BG161" s="171">
        <f t="shared" ref="BG161:BG224" si="125">AK161</f>
        <v>0</v>
      </c>
      <c r="BI161" s="187">
        <f>IF(A161-'Invoer gegevens'!$C$17&lt;0,0,IF(A161-'Invoer gegevens'!$C$17=0,1,IF(A161-'Invoer gegevens'!$C$17&lt;5,2,IF(A161-'Invoer gegevens'!$C$17&lt;15,3,4))))</f>
        <v>0</v>
      </c>
      <c r="BJ161" s="229">
        <f>IF(BI161&lt;1,0,IF(BI161&lt;2,4%,IF('Reeksen (N)'!BI161&lt;3,4%,IF('Reeksen (N)'!BI161&lt;4,4%*70%,IF('Reeksen (N)'!BI161&lt;5,4%*50%)))))</f>
        <v>0</v>
      </c>
    </row>
    <row r="162" spans="1:62" x14ac:dyDescent="0.25">
      <c r="A162" s="184">
        <f t="shared" si="101"/>
        <v>157</v>
      </c>
      <c r="B162" s="179">
        <f>Dashboard!$D$25</f>
        <v>0</v>
      </c>
      <c r="C162" s="179">
        <f>Dashboard!$D$25</f>
        <v>0</v>
      </c>
      <c r="D162" s="180">
        <f t="shared" si="90"/>
        <v>0</v>
      </c>
      <c r="E162" s="189"/>
      <c r="F162" s="184">
        <f t="shared" ca="1" si="102"/>
        <v>2176</v>
      </c>
      <c r="G162" s="179">
        <f t="shared" si="122"/>
        <v>0.02</v>
      </c>
      <c r="H162" s="182">
        <f t="shared" si="103"/>
        <v>22.521771318280763</v>
      </c>
      <c r="I162" s="179">
        <f t="shared" si="123"/>
        <v>2.5000000000000001E-2</v>
      </c>
      <c r="J162" s="182">
        <f t="shared" si="104"/>
        <v>48.603309693296147</v>
      </c>
      <c r="K162" s="179">
        <f t="shared" si="124"/>
        <v>2.5000000000000001E-2</v>
      </c>
      <c r="L162" s="182">
        <f t="shared" si="105"/>
        <v>48.603309693296147</v>
      </c>
      <c r="M162" s="189"/>
      <c r="N162" s="184">
        <f t="shared" ca="1" si="106"/>
        <v>2176</v>
      </c>
      <c r="O162" s="179">
        <f t="shared" si="118"/>
        <v>0.02</v>
      </c>
      <c r="P162" s="182">
        <f t="shared" si="86"/>
        <v>22.499909377089139</v>
      </c>
      <c r="R162" s="184">
        <f t="shared" ca="1" si="107"/>
        <v>2176</v>
      </c>
      <c r="S162" s="188">
        <f t="shared" si="120"/>
        <v>5.3600000000000002E-3</v>
      </c>
      <c r="U162" s="184">
        <f t="shared" ca="1" si="108"/>
        <v>2176</v>
      </c>
      <c r="V162" s="182">
        <f t="shared" si="91"/>
        <v>0.02</v>
      </c>
      <c r="W162" s="180">
        <f>Parameters!$D$15</f>
        <v>5.0000000000000001E-3</v>
      </c>
      <c r="X162" s="182">
        <f t="shared" si="92"/>
        <v>2.5000000000000001E-2</v>
      </c>
      <c r="Y162" s="182">
        <f t="shared" si="109"/>
        <v>48.651218339420808</v>
      </c>
      <c r="AA162" s="189"/>
      <c r="AB162" s="184">
        <f t="shared" ca="1" si="110"/>
        <v>2176</v>
      </c>
      <c r="AC162" s="171">
        <f t="shared" si="93"/>
        <v>0</v>
      </c>
      <c r="AD162" s="171">
        <f t="shared" si="88"/>
        <v>0</v>
      </c>
      <c r="AE162" s="171">
        <f t="shared" si="119"/>
        <v>15510.020938637517</v>
      </c>
      <c r="AF162" s="171">
        <f t="shared" si="111"/>
        <v>0</v>
      </c>
      <c r="AG162" s="171">
        <f t="shared" si="121"/>
        <v>0</v>
      </c>
      <c r="AH162" s="171">
        <f t="shared" si="94"/>
        <v>0</v>
      </c>
      <c r="AI162" s="171">
        <f t="shared" si="95"/>
        <v>0</v>
      </c>
      <c r="AJ162" s="171">
        <f>IF('Invoer gegevens'!$I$27="DAEB",SMALL(AC162:AD162,1),AC162)</f>
        <v>0</v>
      </c>
      <c r="AK162" s="171">
        <f>IF('Invoer gegevens'!$I$27="DAEB",SMALL((AE162:AH162),1),SMALL((AF162:AH162),1))</f>
        <v>0</v>
      </c>
      <c r="AL162" s="171">
        <f t="shared" si="116"/>
        <v>0</v>
      </c>
      <c r="AM162" s="171">
        <f t="shared" si="117"/>
        <v>0</v>
      </c>
      <c r="AN162" s="175">
        <f t="shared" si="112"/>
        <v>0</v>
      </c>
      <c r="AP162" s="184">
        <f t="shared" ca="1" si="113"/>
        <v>2176</v>
      </c>
      <c r="AQ162" s="185">
        <f t="shared" si="96"/>
        <v>0.02</v>
      </c>
      <c r="AR162" s="182">
        <f t="shared" si="87"/>
        <v>22.499909377089139</v>
      </c>
      <c r="AU162" s="184">
        <f t="shared" ca="1" si="114"/>
        <v>2176</v>
      </c>
      <c r="AV162" s="182">
        <f t="shared" si="97"/>
        <v>0.02</v>
      </c>
      <c r="AW162" s="179">
        <f t="shared" si="98"/>
        <v>5.0000000000000001E-3</v>
      </c>
      <c r="AX162" s="182">
        <f t="shared" si="99"/>
        <v>2.5000000000000001E-2</v>
      </c>
      <c r="AY162" s="186"/>
      <c r="AZ162" s="190"/>
      <c r="BA162" s="184">
        <f t="shared" ca="1" si="115"/>
        <v>2176</v>
      </c>
      <c r="BB162" s="171">
        <f t="shared" si="100"/>
        <v>0</v>
      </c>
      <c r="BC162" s="171">
        <f t="shared" si="89"/>
        <v>15510.020938637517</v>
      </c>
      <c r="BD162" s="171">
        <f t="shared" ref="BD162:BG225" si="126">AH162</f>
        <v>0</v>
      </c>
      <c r="BE162" s="171">
        <f t="shared" si="126"/>
        <v>0</v>
      </c>
      <c r="BF162" s="171">
        <f t="shared" si="126"/>
        <v>0</v>
      </c>
      <c r="BG162" s="171">
        <f t="shared" si="125"/>
        <v>0</v>
      </c>
      <c r="BI162" s="187">
        <f>IF(A162-'Invoer gegevens'!$C$17&lt;0,0,IF(A162-'Invoer gegevens'!$C$17=0,1,IF(A162-'Invoer gegevens'!$C$17&lt;5,2,IF(A162-'Invoer gegevens'!$C$17&lt;15,3,4))))</f>
        <v>0</v>
      </c>
      <c r="BJ162" s="229">
        <f>IF(BI162&lt;1,0,IF(BI162&lt;2,4%,IF('Reeksen (N)'!BI162&lt;3,4%,IF('Reeksen (N)'!BI162&lt;4,4%*70%,IF('Reeksen (N)'!BI162&lt;5,4%*50%)))))</f>
        <v>0</v>
      </c>
    </row>
    <row r="163" spans="1:62" x14ac:dyDescent="0.25">
      <c r="A163" s="184">
        <f t="shared" si="101"/>
        <v>158</v>
      </c>
      <c r="B163" s="179">
        <f>Dashboard!$D$25</f>
        <v>0</v>
      </c>
      <c r="C163" s="179">
        <f>Dashboard!$D$25</f>
        <v>0</v>
      </c>
      <c r="D163" s="180">
        <f t="shared" si="90"/>
        <v>0</v>
      </c>
      <c r="E163" s="189"/>
      <c r="F163" s="184">
        <f t="shared" ca="1" si="102"/>
        <v>2177</v>
      </c>
      <c r="G163" s="179">
        <f t="shared" si="122"/>
        <v>0.02</v>
      </c>
      <c r="H163" s="182">
        <f t="shared" si="103"/>
        <v>22.972206744646378</v>
      </c>
      <c r="I163" s="179">
        <f t="shared" si="123"/>
        <v>2.5000000000000001E-2</v>
      </c>
      <c r="J163" s="182">
        <f t="shared" si="104"/>
        <v>49.818392435628546</v>
      </c>
      <c r="K163" s="179">
        <f t="shared" si="124"/>
        <v>2.5000000000000001E-2</v>
      </c>
      <c r="L163" s="182">
        <f t="shared" si="105"/>
        <v>49.818392435628546</v>
      </c>
      <c r="M163" s="189"/>
      <c r="N163" s="184">
        <f t="shared" ca="1" si="106"/>
        <v>2177</v>
      </c>
      <c r="O163" s="179">
        <f t="shared" si="118"/>
        <v>0.02</v>
      </c>
      <c r="P163" s="182">
        <f t="shared" si="86"/>
        <v>22.949907564630923</v>
      </c>
      <c r="R163" s="184">
        <f t="shared" ca="1" si="107"/>
        <v>2177</v>
      </c>
      <c r="S163" s="188">
        <f t="shared" si="120"/>
        <v>5.3600000000000002E-3</v>
      </c>
      <c r="U163" s="184">
        <f t="shared" ca="1" si="108"/>
        <v>2177</v>
      </c>
      <c r="V163" s="182">
        <f t="shared" si="91"/>
        <v>0.02</v>
      </c>
      <c r="W163" s="180">
        <f>Parameters!$D$15</f>
        <v>5.0000000000000001E-3</v>
      </c>
      <c r="X163" s="182">
        <f t="shared" si="92"/>
        <v>2.5000000000000001E-2</v>
      </c>
      <c r="Y163" s="182">
        <f t="shared" si="109"/>
        <v>49.867498797906322</v>
      </c>
      <c r="AA163" s="189"/>
      <c r="AB163" s="184">
        <f t="shared" ca="1" si="110"/>
        <v>2177</v>
      </c>
      <c r="AC163" s="171">
        <f t="shared" si="93"/>
        <v>0</v>
      </c>
      <c r="AD163" s="171">
        <f t="shared" si="88"/>
        <v>0</v>
      </c>
      <c r="AE163" s="171">
        <f t="shared" si="119"/>
        <v>15820.221357410268</v>
      </c>
      <c r="AF163" s="171">
        <f t="shared" si="111"/>
        <v>0</v>
      </c>
      <c r="AG163" s="171">
        <f t="shared" si="121"/>
        <v>0</v>
      </c>
      <c r="AH163" s="171">
        <f t="shared" si="94"/>
        <v>0</v>
      </c>
      <c r="AI163" s="171">
        <f t="shared" si="95"/>
        <v>0</v>
      </c>
      <c r="AJ163" s="171">
        <f>IF('Invoer gegevens'!$I$27="DAEB",SMALL(AC163:AD163,1),AC163)</f>
        <v>0</v>
      </c>
      <c r="AK163" s="171">
        <f>IF('Invoer gegevens'!$I$27="DAEB",SMALL((AE163:AH163),1),SMALL((AF163:AH163),1))</f>
        <v>0</v>
      </c>
      <c r="AL163" s="171">
        <f t="shared" si="116"/>
        <v>0</v>
      </c>
      <c r="AM163" s="171">
        <f t="shared" si="117"/>
        <v>0</v>
      </c>
      <c r="AN163" s="175">
        <f t="shared" si="112"/>
        <v>0</v>
      </c>
      <c r="AP163" s="184">
        <f t="shared" ca="1" si="113"/>
        <v>2177</v>
      </c>
      <c r="AQ163" s="185">
        <f t="shared" si="96"/>
        <v>0.02</v>
      </c>
      <c r="AR163" s="182">
        <f t="shared" si="87"/>
        <v>22.949907564630923</v>
      </c>
      <c r="AU163" s="184">
        <f t="shared" ca="1" si="114"/>
        <v>2177</v>
      </c>
      <c r="AV163" s="182">
        <f t="shared" si="97"/>
        <v>0.02</v>
      </c>
      <c r="AW163" s="179">
        <f t="shared" si="98"/>
        <v>5.0000000000000001E-3</v>
      </c>
      <c r="AX163" s="182">
        <f t="shared" si="99"/>
        <v>2.5000000000000001E-2</v>
      </c>
      <c r="AY163" s="186"/>
      <c r="AZ163" s="190"/>
      <c r="BA163" s="184">
        <f t="shared" ca="1" si="115"/>
        <v>2177</v>
      </c>
      <c r="BB163" s="171">
        <f t="shared" si="100"/>
        <v>0</v>
      </c>
      <c r="BC163" s="171">
        <f t="shared" si="89"/>
        <v>15820.221357410268</v>
      </c>
      <c r="BD163" s="171">
        <f t="shared" si="126"/>
        <v>0</v>
      </c>
      <c r="BE163" s="171">
        <f t="shared" si="126"/>
        <v>0</v>
      </c>
      <c r="BF163" s="171">
        <f t="shared" si="126"/>
        <v>0</v>
      </c>
      <c r="BG163" s="171">
        <f t="shared" si="125"/>
        <v>0</v>
      </c>
      <c r="BI163" s="187">
        <f>IF(A163-'Invoer gegevens'!$C$17&lt;0,0,IF(A163-'Invoer gegevens'!$C$17=0,1,IF(A163-'Invoer gegevens'!$C$17&lt;5,2,IF(A163-'Invoer gegevens'!$C$17&lt;15,3,4))))</f>
        <v>0</v>
      </c>
      <c r="BJ163" s="229">
        <f>IF(BI163&lt;1,0,IF(BI163&lt;2,4%,IF('Reeksen (N)'!BI163&lt;3,4%,IF('Reeksen (N)'!BI163&lt;4,4%*70%,IF('Reeksen (N)'!BI163&lt;5,4%*50%)))))</f>
        <v>0</v>
      </c>
    </row>
    <row r="164" spans="1:62" x14ac:dyDescent="0.25">
      <c r="A164" s="184">
        <f t="shared" si="101"/>
        <v>159</v>
      </c>
      <c r="B164" s="179">
        <f>Dashboard!$D$25</f>
        <v>0</v>
      </c>
      <c r="C164" s="179">
        <f>Dashboard!$D$25</f>
        <v>0</v>
      </c>
      <c r="D164" s="180">
        <f t="shared" si="90"/>
        <v>0</v>
      </c>
      <c r="E164" s="189"/>
      <c r="F164" s="184">
        <f t="shared" ca="1" si="102"/>
        <v>2178</v>
      </c>
      <c r="G164" s="179">
        <f t="shared" si="122"/>
        <v>0.02</v>
      </c>
      <c r="H164" s="182">
        <f t="shared" si="103"/>
        <v>23.431650879539305</v>
      </c>
      <c r="I164" s="179">
        <f t="shared" si="123"/>
        <v>2.5000000000000001E-2</v>
      </c>
      <c r="J164" s="182">
        <f t="shared" si="104"/>
        <v>51.063852246519254</v>
      </c>
      <c r="K164" s="179">
        <f t="shared" si="124"/>
        <v>2.5000000000000001E-2</v>
      </c>
      <c r="L164" s="182">
        <f t="shared" si="105"/>
        <v>51.063852246519254</v>
      </c>
      <c r="M164" s="189"/>
      <c r="N164" s="184">
        <f t="shared" ca="1" si="106"/>
        <v>2178</v>
      </c>
      <c r="O164" s="179">
        <f t="shared" si="118"/>
        <v>0.02</v>
      </c>
      <c r="P164" s="182">
        <f t="shared" si="86"/>
        <v>23.408905715923542</v>
      </c>
      <c r="R164" s="184">
        <f t="shared" ca="1" si="107"/>
        <v>2178</v>
      </c>
      <c r="S164" s="188">
        <f t="shared" si="120"/>
        <v>5.3600000000000002E-3</v>
      </c>
      <c r="U164" s="184">
        <f t="shared" ca="1" si="108"/>
        <v>2178</v>
      </c>
      <c r="V164" s="182">
        <f t="shared" si="91"/>
        <v>0.02</v>
      </c>
      <c r="W164" s="180">
        <f>Parameters!$D$15</f>
        <v>5.0000000000000001E-3</v>
      </c>
      <c r="X164" s="182">
        <f t="shared" si="92"/>
        <v>2.5000000000000001E-2</v>
      </c>
      <c r="Y164" s="182">
        <f t="shared" si="109"/>
        <v>51.114186267853974</v>
      </c>
      <c r="AA164" s="189"/>
      <c r="AB164" s="184">
        <f t="shared" ca="1" si="110"/>
        <v>2178</v>
      </c>
      <c r="AC164" s="171">
        <f t="shared" si="93"/>
        <v>0</v>
      </c>
      <c r="AD164" s="171">
        <f t="shared" si="88"/>
        <v>0</v>
      </c>
      <c r="AE164" s="171">
        <f t="shared" si="119"/>
        <v>16136.625784558473</v>
      </c>
      <c r="AF164" s="171">
        <f t="shared" si="111"/>
        <v>0</v>
      </c>
      <c r="AG164" s="171">
        <f t="shared" si="121"/>
        <v>0</v>
      </c>
      <c r="AH164" s="171">
        <f t="shared" si="94"/>
        <v>0</v>
      </c>
      <c r="AI164" s="171">
        <f t="shared" si="95"/>
        <v>0</v>
      </c>
      <c r="AJ164" s="171">
        <f>IF('Invoer gegevens'!$I$27="DAEB",SMALL(AC164:AD164,1),AC164)</f>
        <v>0</v>
      </c>
      <c r="AK164" s="171">
        <f>IF('Invoer gegevens'!$I$27="DAEB",SMALL((AE164:AH164),1),SMALL((AF164:AH164),1))</f>
        <v>0</v>
      </c>
      <c r="AL164" s="171">
        <f t="shared" si="116"/>
        <v>0</v>
      </c>
      <c r="AM164" s="171">
        <f t="shared" si="117"/>
        <v>0</v>
      </c>
      <c r="AN164" s="175">
        <f t="shared" si="112"/>
        <v>0</v>
      </c>
      <c r="AP164" s="184">
        <f t="shared" ca="1" si="113"/>
        <v>2178</v>
      </c>
      <c r="AQ164" s="185">
        <f t="shared" si="96"/>
        <v>0.02</v>
      </c>
      <c r="AR164" s="182">
        <f t="shared" si="87"/>
        <v>23.408905715923542</v>
      </c>
      <c r="AU164" s="184">
        <f t="shared" ca="1" si="114"/>
        <v>2178</v>
      </c>
      <c r="AV164" s="182">
        <f t="shared" si="97"/>
        <v>0.02</v>
      </c>
      <c r="AW164" s="179">
        <f t="shared" si="98"/>
        <v>5.0000000000000001E-3</v>
      </c>
      <c r="AX164" s="182">
        <f t="shared" si="99"/>
        <v>2.5000000000000001E-2</v>
      </c>
      <c r="AY164" s="186"/>
      <c r="AZ164" s="190"/>
      <c r="BA164" s="184">
        <f t="shared" ca="1" si="115"/>
        <v>2178</v>
      </c>
      <c r="BB164" s="171">
        <f t="shared" si="100"/>
        <v>0</v>
      </c>
      <c r="BC164" s="171">
        <f t="shared" si="89"/>
        <v>16136.625784558473</v>
      </c>
      <c r="BD164" s="171">
        <f t="shared" si="126"/>
        <v>0</v>
      </c>
      <c r="BE164" s="171">
        <f t="shared" si="126"/>
        <v>0</v>
      </c>
      <c r="BF164" s="171">
        <f t="shared" si="126"/>
        <v>0</v>
      </c>
      <c r="BG164" s="171">
        <f t="shared" si="125"/>
        <v>0</v>
      </c>
      <c r="BI164" s="187">
        <f>IF(A164-'Invoer gegevens'!$C$17&lt;0,0,IF(A164-'Invoer gegevens'!$C$17=0,1,IF(A164-'Invoer gegevens'!$C$17&lt;5,2,IF(A164-'Invoer gegevens'!$C$17&lt;15,3,4))))</f>
        <v>0</v>
      </c>
      <c r="BJ164" s="229">
        <f>IF(BI164&lt;1,0,IF(BI164&lt;2,4%,IF('Reeksen (N)'!BI164&lt;3,4%,IF('Reeksen (N)'!BI164&lt;4,4%*70%,IF('Reeksen (N)'!BI164&lt;5,4%*50%)))))</f>
        <v>0</v>
      </c>
    </row>
    <row r="165" spans="1:62" x14ac:dyDescent="0.25">
      <c r="A165" s="184">
        <f t="shared" si="101"/>
        <v>160</v>
      </c>
      <c r="B165" s="179">
        <f>Dashboard!$D$25</f>
        <v>0</v>
      </c>
      <c r="C165" s="179">
        <f>Dashboard!$D$25</f>
        <v>0</v>
      </c>
      <c r="D165" s="180">
        <f t="shared" si="90"/>
        <v>0</v>
      </c>
      <c r="E165" s="189"/>
      <c r="F165" s="184">
        <f t="shared" ca="1" si="102"/>
        <v>2179</v>
      </c>
      <c r="G165" s="179">
        <f t="shared" si="122"/>
        <v>0.02</v>
      </c>
      <c r="H165" s="182">
        <f t="shared" si="103"/>
        <v>23.900283897130091</v>
      </c>
      <c r="I165" s="179">
        <f t="shared" si="123"/>
        <v>2.5000000000000001E-2</v>
      </c>
      <c r="J165" s="182">
        <f t="shared" si="104"/>
        <v>52.340448552682233</v>
      </c>
      <c r="K165" s="179">
        <f t="shared" si="124"/>
        <v>2.5000000000000001E-2</v>
      </c>
      <c r="L165" s="182">
        <f t="shared" si="105"/>
        <v>52.340448552682233</v>
      </c>
      <c r="M165" s="189"/>
      <c r="N165" s="184">
        <f t="shared" ca="1" si="106"/>
        <v>2179</v>
      </c>
      <c r="O165" s="179">
        <f t="shared" si="118"/>
        <v>0.02</v>
      </c>
      <c r="P165" s="182">
        <f t="shared" si="86"/>
        <v>23.877083830242015</v>
      </c>
      <c r="R165" s="184">
        <f t="shared" ca="1" si="107"/>
        <v>2179</v>
      </c>
      <c r="S165" s="188">
        <f t="shared" si="120"/>
        <v>5.3600000000000002E-3</v>
      </c>
      <c r="U165" s="184">
        <f t="shared" ca="1" si="108"/>
        <v>2179</v>
      </c>
      <c r="V165" s="182">
        <f t="shared" si="91"/>
        <v>0.02</v>
      </c>
      <c r="W165" s="180">
        <f>Parameters!$D$15</f>
        <v>5.0000000000000001E-3</v>
      </c>
      <c r="X165" s="182">
        <f t="shared" si="92"/>
        <v>2.5000000000000001E-2</v>
      </c>
      <c r="Y165" s="182">
        <f t="shared" si="109"/>
        <v>52.392040924550315</v>
      </c>
      <c r="AA165" s="189"/>
      <c r="AB165" s="184">
        <f t="shared" ca="1" si="110"/>
        <v>2179</v>
      </c>
      <c r="AC165" s="171">
        <f t="shared" si="93"/>
        <v>0</v>
      </c>
      <c r="AD165" s="171">
        <f t="shared" si="88"/>
        <v>0</v>
      </c>
      <c r="AE165" s="171">
        <f t="shared" si="119"/>
        <v>16459.358300249642</v>
      </c>
      <c r="AF165" s="171">
        <f t="shared" si="111"/>
        <v>0</v>
      </c>
      <c r="AG165" s="171">
        <f t="shared" si="121"/>
        <v>0</v>
      </c>
      <c r="AH165" s="171">
        <f t="shared" si="94"/>
        <v>0</v>
      </c>
      <c r="AI165" s="171">
        <f t="shared" si="95"/>
        <v>0</v>
      </c>
      <c r="AJ165" s="171">
        <f>IF('Invoer gegevens'!$I$27="DAEB",SMALL(AC165:AD165,1),AC165)</f>
        <v>0</v>
      </c>
      <c r="AK165" s="171">
        <f>IF('Invoer gegevens'!$I$27="DAEB",SMALL((AE165:AH165),1),SMALL((AF165:AH165),1))</f>
        <v>0</v>
      </c>
      <c r="AL165" s="171">
        <f t="shared" si="116"/>
        <v>0</v>
      </c>
      <c r="AM165" s="171">
        <f t="shared" si="117"/>
        <v>0</v>
      </c>
      <c r="AN165" s="175">
        <f t="shared" si="112"/>
        <v>0</v>
      </c>
      <c r="AP165" s="184">
        <f t="shared" ca="1" si="113"/>
        <v>2179</v>
      </c>
      <c r="AQ165" s="185">
        <f t="shared" si="96"/>
        <v>0.02</v>
      </c>
      <c r="AR165" s="182">
        <f t="shared" si="87"/>
        <v>23.877083830242015</v>
      </c>
      <c r="AU165" s="184">
        <f t="shared" ca="1" si="114"/>
        <v>2179</v>
      </c>
      <c r="AV165" s="182">
        <f t="shared" si="97"/>
        <v>0.02</v>
      </c>
      <c r="AW165" s="179">
        <f t="shared" si="98"/>
        <v>5.0000000000000001E-3</v>
      </c>
      <c r="AX165" s="182">
        <f t="shared" si="99"/>
        <v>2.5000000000000001E-2</v>
      </c>
      <c r="AY165" s="186"/>
      <c r="AZ165" s="190"/>
      <c r="BA165" s="184">
        <f t="shared" ca="1" si="115"/>
        <v>2179</v>
      </c>
      <c r="BB165" s="171">
        <f t="shared" si="100"/>
        <v>0</v>
      </c>
      <c r="BC165" s="171">
        <f t="shared" si="89"/>
        <v>16459.358300249642</v>
      </c>
      <c r="BD165" s="171">
        <f t="shared" si="126"/>
        <v>0</v>
      </c>
      <c r="BE165" s="171">
        <f t="shared" si="126"/>
        <v>0</v>
      </c>
      <c r="BF165" s="171">
        <f t="shared" si="126"/>
        <v>0</v>
      </c>
      <c r="BG165" s="171">
        <f t="shared" si="125"/>
        <v>0</v>
      </c>
      <c r="BI165" s="187">
        <f>IF(A165-'Invoer gegevens'!$C$17&lt;0,0,IF(A165-'Invoer gegevens'!$C$17=0,1,IF(A165-'Invoer gegevens'!$C$17&lt;5,2,IF(A165-'Invoer gegevens'!$C$17&lt;15,3,4))))</f>
        <v>0</v>
      </c>
      <c r="BJ165" s="229">
        <f>IF(BI165&lt;1,0,IF(BI165&lt;2,4%,IF('Reeksen (N)'!BI165&lt;3,4%,IF('Reeksen (N)'!BI165&lt;4,4%*70%,IF('Reeksen (N)'!BI165&lt;5,4%*50%)))))</f>
        <v>0</v>
      </c>
    </row>
    <row r="166" spans="1:62" x14ac:dyDescent="0.25">
      <c r="A166" s="184">
        <f t="shared" si="101"/>
        <v>161</v>
      </c>
      <c r="B166" s="179">
        <f>Dashboard!$D$25</f>
        <v>0</v>
      </c>
      <c r="C166" s="179">
        <f>Dashboard!$D$25</f>
        <v>0</v>
      </c>
      <c r="D166" s="180">
        <f t="shared" si="90"/>
        <v>0</v>
      </c>
      <c r="E166" s="189"/>
      <c r="F166" s="184">
        <f t="shared" ca="1" si="102"/>
        <v>2180</v>
      </c>
      <c r="G166" s="179">
        <f t="shared" si="122"/>
        <v>0.02</v>
      </c>
      <c r="H166" s="182">
        <f t="shared" si="103"/>
        <v>24.378289575072692</v>
      </c>
      <c r="I166" s="179">
        <f t="shared" si="123"/>
        <v>2.5000000000000001E-2</v>
      </c>
      <c r="J166" s="182">
        <f t="shared" si="104"/>
        <v>53.648959766499281</v>
      </c>
      <c r="K166" s="179">
        <f t="shared" si="124"/>
        <v>2.5000000000000001E-2</v>
      </c>
      <c r="L166" s="182">
        <f t="shared" si="105"/>
        <v>53.648959766499281</v>
      </c>
      <c r="M166" s="189"/>
      <c r="N166" s="184">
        <f t="shared" ca="1" si="106"/>
        <v>2180</v>
      </c>
      <c r="O166" s="179">
        <f t="shared" si="118"/>
        <v>0.02</v>
      </c>
      <c r="P166" s="182">
        <f t="shared" si="86"/>
        <v>24.354625506846855</v>
      </c>
      <c r="R166" s="184">
        <f t="shared" ca="1" si="107"/>
        <v>2180</v>
      </c>
      <c r="S166" s="188">
        <f t="shared" si="120"/>
        <v>5.3600000000000002E-3</v>
      </c>
      <c r="U166" s="184">
        <f t="shared" ca="1" si="108"/>
        <v>2180</v>
      </c>
      <c r="V166" s="182">
        <f t="shared" si="91"/>
        <v>0.02</v>
      </c>
      <c r="W166" s="180">
        <f>Parameters!$D$15</f>
        <v>5.0000000000000001E-3</v>
      </c>
      <c r="X166" s="182">
        <f t="shared" si="92"/>
        <v>2.5000000000000001E-2</v>
      </c>
      <c r="Y166" s="182">
        <f t="shared" si="109"/>
        <v>53.701841947664072</v>
      </c>
      <c r="AA166" s="189"/>
      <c r="AB166" s="184">
        <f t="shared" ca="1" si="110"/>
        <v>2180</v>
      </c>
      <c r="AC166" s="171">
        <f t="shared" si="93"/>
        <v>0</v>
      </c>
      <c r="AD166" s="171">
        <f t="shared" si="88"/>
        <v>0</v>
      </c>
      <c r="AE166" s="171">
        <f t="shared" si="119"/>
        <v>16788.545466254636</v>
      </c>
      <c r="AF166" s="171">
        <f t="shared" si="111"/>
        <v>0</v>
      </c>
      <c r="AG166" s="171">
        <f t="shared" si="121"/>
        <v>0</v>
      </c>
      <c r="AH166" s="171">
        <f t="shared" si="94"/>
        <v>0</v>
      </c>
      <c r="AI166" s="171">
        <f t="shared" si="95"/>
        <v>0</v>
      </c>
      <c r="AJ166" s="171">
        <f>IF('Invoer gegevens'!$I$27="DAEB",SMALL(AC166:AD166,1),AC166)</f>
        <v>0</v>
      </c>
      <c r="AK166" s="171">
        <f>IF('Invoer gegevens'!$I$27="DAEB",SMALL((AE166:AH166),1),SMALL((AF166:AH166),1))</f>
        <v>0</v>
      </c>
      <c r="AL166" s="171">
        <f t="shared" si="116"/>
        <v>0</v>
      </c>
      <c r="AM166" s="171">
        <f t="shared" si="117"/>
        <v>0</v>
      </c>
      <c r="AN166" s="175">
        <f t="shared" si="112"/>
        <v>0</v>
      </c>
      <c r="AP166" s="184">
        <f t="shared" ca="1" si="113"/>
        <v>2180</v>
      </c>
      <c r="AQ166" s="185">
        <f t="shared" si="96"/>
        <v>0.02</v>
      </c>
      <c r="AR166" s="182">
        <f t="shared" si="87"/>
        <v>24.354625506846855</v>
      </c>
      <c r="AU166" s="184">
        <f t="shared" ca="1" si="114"/>
        <v>2180</v>
      </c>
      <c r="AV166" s="182">
        <f t="shared" si="97"/>
        <v>0.02</v>
      </c>
      <c r="AW166" s="179">
        <f t="shared" si="98"/>
        <v>5.0000000000000001E-3</v>
      </c>
      <c r="AX166" s="182">
        <f t="shared" si="99"/>
        <v>2.5000000000000001E-2</v>
      </c>
      <c r="AY166" s="186"/>
      <c r="AZ166" s="190"/>
      <c r="BA166" s="184">
        <f t="shared" ca="1" si="115"/>
        <v>2180</v>
      </c>
      <c r="BB166" s="171">
        <f t="shared" si="100"/>
        <v>0</v>
      </c>
      <c r="BC166" s="171">
        <f t="shared" si="89"/>
        <v>16788.545466254636</v>
      </c>
      <c r="BD166" s="171">
        <f t="shared" si="126"/>
        <v>0</v>
      </c>
      <c r="BE166" s="171">
        <f t="shared" si="126"/>
        <v>0</v>
      </c>
      <c r="BF166" s="171">
        <f t="shared" si="126"/>
        <v>0</v>
      </c>
      <c r="BG166" s="171">
        <f t="shared" si="125"/>
        <v>0</v>
      </c>
      <c r="BI166" s="187">
        <f>IF(A166-'Invoer gegevens'!$C$17&lt;0,0,IF(A166-'Invoer gegevens'!$C$17=0,1,IF(A166-'Invoer gegevens'!$C$17&lt;5,2,IF(A166-'Invoer gegevens'!$C$17&lt;15,3,4))))</f>
        <v>0</v>
      </c>
      <c r="BJ166" s="229">
        <f>IF(BI166&lt;1,0,IF(BI166&lt;2,4%,IF('Reeksen (N)'!BI166&lt;3,4%,IF('Reeksen (N)'!BI166&lt;4,4%*70%,IF('Reeksen (N)'!BI166&lt;5,4%*50%)))))</f>
        <v>0</v>
      </c>
    </row>
    <row r="167" spans="1:62" x14ac:dyDescent="0.25">
      <c r="A167" s="184">
        <f t="shared" si="101"/>
        <v>162</v>
      </c>
      <c r="B167" s="179">
        <f>Dashboard!$D$25</f>
        <v>0</v>
      </c>
      <c r="C167" s="179">
        <f>Dashboard!$D$25</f>
        <v>0</v>
      </c>
      <c r="D167" s="180">
        <f t="shared" si="90"/>
        <v>0</v>
      </c>
      <c r="E167" s="189"/>
      <c r="F167" s="184">
        <f t="shared" ca="1" si="102"/>
        <v>2181</v>
      </c>
      <c r="G167" s="179">
        <f t="shared" si="122"/>
        <v>0.02</v>
      </c>
      <c r="H167" s="182">
        <f t="shared" si="103"/>
        <v>24.865855366574145</v>
      </c>
      <c r="I167" s="179">
        <f t="shared" si="123"/>
        <v>2.5000000000000001E-2</v>
      </c>
      <c r="J167" s="182">
        <f t="shared" si="104"/>
        <v>54.990183760661758</v>
      </c>
      <c r="K167" s="179">
        <f t="shared" si="124"/>
        <v>2.5000000000000001E-2</v>
      </c>
      <c r="L167" s="182">
        <f t="shared" si="105"/>
        <v>54.990183760661758</v>
      </c>
      <c r="M167" s="189"/>
      <c r="N167" s="184">
        <f t="shared" ca="1" si="106"/>
        <v>2181</v>
      </c>
      <c r="O167" s="179">
        <f t="shared" si="118"/>
        <v>0.02</v>
      </c>
      <c r="P167" s="182">
        <f t="shared" si="86"/>
        <v>24.841718016983791</v>
      </c>
      <c r="R167" s="184">
        <f t="shared" ca="1" si="107"/>
        <v>2181</v>
      </c>
      <c r="S167" s="188">
        <f t="shared" si="120"/>
        <v>5.3600000000000002E-3</v>
      </c>
      <c r="U167" s="184">
        <f t="shared" ca="1" si="108"/>
        <v>2181</v>
      </c>
      <c r="V167" s="182">
        <f t="shared" si="91"/>
        <v>0.02</v>
      </c>
      <c r="W167" s="180">
        <f>Parameters!$D$15</f>
        <v>5.0000000000000001E-3</v>
      </c>
      <c r="X167" s="182">
        <f t="shared" si="92"/>
        <v>2.5000000000000001E-2</v>
      </c>
      <c r="Y167" s="182">
        <f t="shared" si="109"/>
        <v>55.044387996355667</v>
      </c>
      <c r="AA167" s="189"/>
      <c r="AB167" s="184">
        <f t="shared" ca="1" si="110"/>
        <v>2181</v>
      </c>
      <c r="AC167" s="171">
        <f t="shared" si="93"/>
        <v>0</v>
      </c>
      <c r="AD167" s="171">
        <f t="shared" si="88"/>
        <v>0</v>
      </c>
      <c r="AE167" s="171">
        <f t="shared" si="119"/>
        <v>17124.316375579729</v>
      </c>
      <c r="AF167" s="171">
        <f t="shared" si="111"/>
        <v>0</v>
      </c>
      <c r="AG167" s="171">
        <f t="shared" si="121"/>
        <v>0</v>
      </c>
      <c r="AH167" s="171">
        <f t="shared" si="94"/>
        <v>0</v>
      </c>
      <c r="AI167" s="171">
        <f t="shared" si="95"/>
        <v>0</v>
      </c>
      <c r="AJ167" s="171">
        <f>IF('Invoer gegevens'!$I$27="DAEB",SMALL(AC167:AD167,1),AC167)</f>
        <v>0</v>
      </c>
      <c r="AK167" s="171">
        <f>IF('Invoer gegevens'!$I$27="DAEB",SMALL((AE167:AH167),1),SMALL((AF167:AH167),1))</f>
        <v>0</v>
      </c>
      <c r="AL167" s="171">
        <f t="shared" si="116"/>
        <v>0</v>
      </c>
      <c r="AM167" s="171">
        <f t="shared" si="117"/>
        <v>0</v>
      </c>
      <c r="AN167" s="175">
        <f t="shared" si="112"/>
        <v>0</v>
      </c>
      <c r="AP167" s="184">
        <f t="shared" ca="1" si="113"/>
        <v>2181</v>
      </c>
      <c r="AQ167" s="185">
        <f t="shared" si="96"/>
        <v>0.02</v>
      </c>
      <c r="AR167" s="182">
        <f t="shared" si="87"/>
        <v>24.841718016983791</v>
      </c>
      <c r="AU167" s="184">
        <f t="shared" ca="1" si="114"/>
        <v>2181</v>
      </c>
      <c r="AV167" s="182">
        <f t="shared" si="97"/>
        <v>0.02</v>
      </c>
      <c r="AW167" s="179">
        <f t="shared" si="98"/>
        <v>5.0000000000000001E-3</v>
      </c>
      <c r="AX167" s="182">
        <f t="shared" si="99"/>
        <v>2.5000000000000001E-2</v>
      </c>
      <c r="AY167" s="186"/>
      <c r="AZ167" s="190"/>
      <c r="BA167" s="184">
        <f t="shared" ca="1" si="115"/>
        <v>2181</v>
      </c>
      <c r="BB167" s="171">
        <f t="shared" si="100"/>
        <v>0</v>
      </c>
      <c r="BC167" s="171">
        <f t="shared" si="89"/>
        <v>17124.316375579729</v>
      </c>
      <c r="BD167" s="171">
        <f t="shared" si="126"/>
        <v>0</v>
      </c>
      <c r="BE167" s="171">
        <f t="shared" si="126"/>
        <v>0</v>
      </c>
      <c r="BF167" s="171">
        <f t="shared" si="126"/>
        <v>0</v>
      </c>
      <c r="BG167" s="171">
        <f t="shared" si="125"/>
        <v>0</v>
      </c>
      <c r="BI167" s="187">
        <f>IF(A167-'Invoer gegevens'!$C$17&lt;0,0,IF(A167-'Invoer gegevens'!$C$17=0,1,IF(A167-'Invoer gegevens'!$C$17&lt;5,2,IF(A167-'Invoer gegevens'!$C$17&lt;15,3,4))))</f>
        <v>0</v>
      </c>
      <c r="BJ167" s="229">
        <f>IF(BI167&lt;1,0,IF(BI167&lt;2,4%,IF('Reeksen (N)'!BI167&lt;3,4%,IF('Reeksen (N)'!BI167&lt;4,4%*70%,IF('Reeksen (N)'!BI167&lt;5,4%*50%)))))</f>
        <v>0</v>
      </c>
    </row>
    <row r="168" spans="1:62" x14ac:dyDescent="0.25">
      <c r="A168" s="184">
        <f t="shared" si="101"/>
        <v>163</v>
      </c>
      <c r="B168" s="179">
        <f>Dashboard!$D$25</f>
        <v>0</v>
      </c>
      <c r="C168" s="179">
        <f>Dashboard!$D$25</f>
        <v>0</v>
      </c>
      <c r="D168" s="180">
        <f t="shared" si="90"/>
        <v>0</v>
      </c>
      <c r="E168" s="189"/>
      <c r="F168" s="184">
        <f t="shared" ca="1" si="102"/>
        <v>2182</v>
      </c>
      <c r="G168" s="179">
        <f t="shared" si="122"/>
        <v>0.02</v>
      </c>
      <c r="H168" s="182">
        <f t="shared" si="103"/>
        <v>25.363172473905628</v>
      </c>
      <c r="I168" s="179">
        <f t="shared" si="123"/>
        <v>2.5000000000000001E-2</v>
      </c>
      <c r="J168" s="182">
        <f t="shared" si="104"/>
        <v>56.364938354678294</v>
      </c>
      <c r="K168" s="179">
        <f t="shared" si="124"/>
        <v>2.5000000000000001E-2</v>
      </c>
      <c r="L168" s="182">
        <f t="shared" si="105"/>
        <v>56.364938354678294</v>
      </c>
      <c r="M168" s="189"/>
      <c r="N168" s="184">
        <f t="shared" ca="1" si="106"/>
        <v>2182</v>
      </c>
      <c r="O168" s="179">
        <f t="shared" si="118"/>
        <v>0.02</v>
      </c>
      <c r="P168" s="182">
        <f t="shared" si="86"/>
        <v>25.338552377323467</v>
      </c>
      <c r="R168" s="184">
        <f t="shared" ca="1" si="107"/>
        <v>2182</v>
      </c>
      <c r="S168" s="188">
        <f t="shared" si="120"/>
        <v>5.3600000000000002E-3</v>
      </c>
      <c r="U168" s="184">
        <f t="shared" ca="1" si="108"/>
        <v>2182</v>
      </c>
      <c r="V168" s="182">
        <f t="shared" si="91"/>
        <v>0.02</v>
      </c>
      <c r="W168" s="180">
        <f>Parameters!$D$15</f>
        <v>5.0000000000000001E-3</v>
      </c>
      <c r="X168" s="182">
        <f t="shared" si="92"/>
        <v>2.5000000000000001E-2</v>
      </c>
      <c r="Y168" s="182">
        <f t="shared" si="109"/>
        <v>56.420497696264555</v>
      </c>
      <c r="AA168" s="189"/>
      <c r="AB168" s="184">
        <f t="shared" ca="1" si="110"/>
        <v>2182</v>
      </c>
      <c r="AC168" s="171">
        <f t="shared" si="93"/>
        <v>0</v>
      </c>
      <c r="AD168" s="171">
        <f t="shared" si="88"/>
        <v>0</v>
      </c>
      <c r="AE168" s="171">
        <f t="shared" si="119"/>
        <v>17466.802703091322</v>
      </c>
      <c r="AF168" s="171">
        <f t="shared" si="111"/>
        <v>0</v>
      </c>
      <c r="AG168" s="171">
        <f t="shared" si="121"/>
        <v>0</v>
      </c>
      <c r="AH168" s="171">
        <f t="shared" si="94"/>
        <v>0</v>
      </c>
      <c r="AI168" s="171">
        <f t="shared" si="95"/>
        <v>0</v>
      </c>
      <c r="AJ168" s="171">
        <f>IF('Invoer gegevens'!$I$27="DAEB",SMALL(AC168:AD168,1),AC168)</f>
        <v>0</v>
      </c>
      <c r="AK168" s="171">
        <f>IF('Invoer gegevens'!$I$27="DAEB",SMALL((AE168:AH168),1),SMALL((AF168:AH168),1))</f>
        <v>0</v>
      </c>
      <c r="AL168" s="171">
        <f t="shared" si="116"/>
        <v>0</v>
      </c>
      <c r="AM168" s="171">
        <f t="shared" si="117"/>
        <v>0</v>
      </c>
      <c r="AN168" s="175">
        <f t="shared" si="112"/>
        <v>0</v>
      </c>
      <c r="AP168" s="184">
        <f t="shared" ca="1" si="113"/>
        <v>2182</v>
      </c>
      <c r="AQ168" s="185">
        <f t="shared" si="96"/>
        <v>0.02</v>
      </c>
      <c r="AR168" s="182">
        <f t="shared" si="87"/>
        <v>25.338552377323467</v>
      </c>
      <c r="AU168" s="184">
        <f t="shared" ca="1" si="114"/>
        <v>2182</v>
      </c>
      <c r="AV168" s="182">
        <f t="shared" si="97"/>
        <v>0.02</v>
      </c>
      <c r="AW168" s="179">
        <f t="shared" si="98"/>
        <v>5.0000000000000001E-3</v>
      </c>
      <c r="AX168" s="182">
        <f t="shared" si="99"/>
        <v>2.5000000000000001E-2</v>
      </c>
      <c r="AY168" s="186"/>
      <c r="AZ168" s="190"/>
      <c r="BA168" s="184">
        <f t="shared" ca="1" si="115"/>
        <v>2182</v>
      </c>
      <c r="BB168" s="171">
        <f t="shared" si="100"/>
        <v>0</v>
      </c>
      <c r="BC168" s="171">
        <f t="shared" si="89"/>
        <v>17466.802703091322</v>
      </c>
      <c r="BD168" s="171">
        <f t="shared" si="126"/>
        <v>0</v>
      </c>
      <c r="BE168" s="171">
        <f t="shared" si="126"/>
        <v>0</v>
      </c>
      <c r="BF168" s="171">
        <f t="shared" si="126"/>
        <v>0</v>
      </c>
      <c r="BG168" s="171">
        <f t="shared" si="125"/>
        <v>0</v>
      </c>
      <c r="BI168" s="187">
        <f>IF(A168-'Invoer gegevens'!$C$17&lt;0,0,IF(A168-'Invoer gegevens'!$C$17=0,1,IF(A168-'Invoer gegevens'!$C$17&lt;5,2,IF(A168-'Invoer gegevens'!$C$17&lt;15,3,4))))</f>
        <v>0</v>
      </c>
      <c r="BJ168" s="229">
        <f>IF(BI168&lt;1,0,IF(BI168&lt;2,4%,IF('Reeksen (N)'!BI168&lt;3,4%,IF('Reeksen (N)'!BI168&lt;4,4%*70%,IF('Reeksen (N)'!BI168&lt;5,4%*50%)))))</f>
        <v>0</v>
      </c>
    </row>
    <row r="169" spans="1:62" x14ac:dyDescent="0.25">
      <c r="A169" s="184">
        <f t="shared" si="101"/>
        <v>164</v>
      </c>
      <c r="B169" s="179">
        <f>Dashboard!$D$25</f>
        <v>0</v>
      </c>
      <c r="C169" s="179">
        <f>Dashboard!$D$25</f>
        <v>0</v>
      </c>
      <c r="D169" s="180">
        <f t="shared" si="90"/>
        <v>0</v>
      </c>
      <c r="E169" s="189"/>
      <c r="F169" s="184">
        <f t="shared" ca="1" si="102"/>
        <v>2183</v>
      </c>
      <c r="G169" s="179">
        <f t="shared" si="122"/>
        <v>0.02</v>
      </c>
      <c r="H169" s="182">
        <f t="shared" si="103"/>
        <v>25.870435923383742</v>
      </c>
      <c r="I169" s="179">
        <f t="shared" si="123"/>
        <v>2.5000000000000001E-2</v>
      </c>
      <c r="J169" s="182">
        <f t="shared" si="104"/>
        <v>57.774061813545245</v>
      </c>
      <c r="K169" s="179">
        <f t="shared" si="124"/>
        <v>2.5000000000000001E-2</v>
      </c>
      <c r="L169" s="182">
        <f t="shared" si="105"/>
        <v>57.774061813545245</v>
      </c>
      <c r="M169" s="189"/>
      <c r="N169" s="184">
        <f t="shared" ca="1" si="106"/>
        <v>2183</v>
      </c>
      <c r="O169" s="179">
        <f t="shared" si="118"/>
        <v>0.02</v>
      </c>
      <c r="P169" s="182">
        <f t="shared" si="86"/>
        <v>25.845323424869935</v>
      </c>
      <c r="R169" s="184">
        <f t="shared" ca="1" si="107"/>
        <v>2183</v>
      </c>
      <c r="S169" s="188">
        <f t="shared" si="120"/>
        <v>5.3600000000000002E-3</v>
      </c>
      <c r="U169" s="184">
        <f t="shared" ca="1" si="108"/>
        <v>2183</v>
      </c>
      <c r="V169" s="182">
        <f t="shared" si="91"/>
        <v>0.02</v>
      </c>
      <c r="W169" s="180">
        <f>Parameters!$D$15</f>
        <v>5.0000000000000001E-3</v>
      </c>
      <c r="X169" s="182">
        <f t="shared" si="92"/>
        <v>2.5000000000000001E-2</v>
      </c>
      <c r="Y169" s="182">
        <f t="shared" si="109"/>
        <v>57.831010138671161</v>
      </c>
      <c r="AA169" s="189"/>
      <c r="AB169" s="184">
        <f t="shared" ca="1" si="110"/>
        <v>2183</v>
      </c>
      <c r="AC169" s="171">
        <f t="shared" si="93"/>
        <v>0</v>
      </c>
      <c r="AD169" s="171">
        <f t="shared" si="88"/>
        <v>0</v>
      </c>
      <c r="AE169" s="171">
        <f t="shared" si="119"/>
        <v>17816.138757153149</v>
      </c>
      <c r="AF169" s="171">
        <f t="shared" si="111"/>
        <v>0</v>
      </c>
      <c r="AG169" s="171">
        <f t="shared" si="121"/>
        <v>0</v>
      </c>
      <c r="AH169" s="171">
        <f t="shared" si="94"/>
        <v>0</v>
      </c>
      <c r="AI169" s="171">
        <f t="shared" si="95"/>
        <v>0</v>
      </c>
      <c r="AJ169" s="171">
        <f>IF('Invoer gegevens'!$I$27="DAEB",SMALL(AC169:AD169,1),AC169)</f>
        <v>0</v>
      </c>
      <c r="AK169" s="171">
        <f>IF('Invoer gegevens'!$I$27="DAEB",SMALL((AE169:AH169),1),SMALL((AF169:AH169),1))</f>
        <v>0</v>
      </c>
      <c r="AL169" s="171">
        <f t="shared" si="116"/>
        <v>0</v>
      </c>
      <c r="AM169" s="171">
        <f t="shared" si="117"/>
        <v>0</v>
      </c>
      <c r="AN169" s="175">
        <f t="shared" si="112"/>
        <v>0</v>
      </c>
      <c r="AP169" s="184">
        <f t="shared" ca="1" si="113"/>
        <v>2183</v>
      </c>
      <c r="AQ169" s="185">
        <f t="shared" si="96"/>
        <v>0.02</v>
      </c>
      <c r="AR169" s="182">
        <f t="shared" si="87"/>
        <v>25.845323424869935</v>
      </c>
      <c r="AU169" s="184">
        <f t="shared" ca="1" si="114"/>
        <v>2183</v>
      </c>
      <c r="AV169" s="182">
        <f t="shared" si="97"/>
        <v>0.02</v>
      </c>
      <c r="AW169" s="179">
        <f t="shared" si="98"/>
        <v>5.0000000000000001E-3</v>
      </c>
      <c r="AX169" s="182">
        <f t="shared" si="99"/>
        <v>2.5000000000000001E-2</v>
      </c>
      <c r="AY169" s="186"/>
      <c r="AZ169" s="190"/>
      <c r="BA169" s="184">
        <f t="shared" ca="1" si="115"/>
        <v>2183</v>
      </c>
      <c r="BB169" s="171">
        <f t="shared" si="100"/>
        <v>0</v>
      </c>
      <c r="BC169" s="171">
        <f t="shared" si="89"/>
        <v>17816.138757153149</v>
      </c>
      <c r="BD169" s="171">
        <f t="shared" si="126"/>
        <v>0</v>
      </c>
      <c r="BE169" s="171">
        <f t="shared" si="126"/>
        <v>0</v>
      </c>
      <c r="BF169" s="171">
        <f t="shared" si="126"/>
        <v>0</v>
      </c>
      <c r="BG169" s="171">
        <f t="shared" si="125"/>
        <v>0</v>
      </c>
      <c r="BI169" s="187">
        <f>IF(A169-'Invoer gegevens'!$C$17&lt;0,0,IF(A169-'Invoer gegevens'!$C$17=0,1,IF(A169-'Invoer gegevens'!$C$17&lt;5,2,IF(A169-'Invoer gegevens'!$C$17&lt;15,3,4))))</f>
        <v>0</v>
      </c>
      <c r="BJ169" s="229">
        <f>IF(BI169&lt;1,0,IF(BI169&lt;2,4%,IF('Reeksen (N)'!BI169&lt;3,4%,IF('Reeksen (N)'!BI169&lt;4,4%*70%,IF('Reeksen (N)'!BI169&lt;5,4%*50%)))))</f>
        <v>0</v>
      </c>
    </row>
    <row r="170" spans="1:62" x14ac:dyDescent="0.25">
      <c r="A170" s="184">
        <f t="shared" si="101"/>
        <v>165</v>
      </c>
      <c r="B170" s="179">
        <f>Dashboard!$D$25</f>
        <v>0</v>
      </c>
      <c r="C170" s="179">
        <f>Dashboard!$D$25</f>
        <v>0</v>
      </c>
      <c r="D170" s="180">
        <f t="shared" si="90"/>
        <v>0</v>
      </c>
      <c r="E170" s="189"/>
      <c r="F170" s="184">
        <f t="shared" ca="1" si="102"/>
        <v>2184</v>
      </c>
      <c r="G170" s="179">
        <f t="shared" si="122"/>
        <v>0.02</v>
      </c>
      <c r="H170" s="182">
        <f t="shared" si="103"/>
        <v>26.387844641851416</v>
      </c>
      <c r="I170" s="179">
        <f t="shared" si="123"/>
        <v>2.5000000000000001E-2</v>
      </c>
      <c r="J170" s="182">
        <f t="shared" si="104"/>
        <v>59.218413358883872</v>
      </c>
      <c r="K170" s="179">
        <f t="shared" si="124"/>
        <v>2.5000000000000001E-2</v>
      </c>
      <c r="L170" s="182">
        <f t="shared" si="105"/>
        <v>59.218413358883872</v>
      </c>
      <c r="M170" s="189"/>
      <c r="N170" s="184">
        <f t="shared" ca="1" si="106"/>
        <v>2184</v>
      </c>
      <c r="O170" s="179">
        <f t="shared" si="118"/>
        <v>0.02</v>
      </c>
      <c r="P170" s="182">
        <f t="shared" si="86"/>
        <v>26.362229893367335</v>
      </c>
      <c r="R170" s="184">
        <f t="shared" ca="1" si="107"/>
        <v>2184</v>
      </c>
      <c r="S170" s="188">
        <f t="shared" si="120"/>
        <v>5.3600000000000002E-3</v>
      </c>
      <c r="U170" s="184">
        <f t="shared" ca="1" si="108"/>
        <v>2184</v>
      </c>
      <c r="V170" s="182">
        <f t="shared" si="91"/>
        <v>0.02</v>
      </c>
      <c r="W170" s="180">
        <f>Parameters!$D$15</f>
        <v>5.0000000000000001E-3</v>
      </c>
      <c r="X170" s="182">
        <f t="shared" si="92"/>
        <v>2.5000000000000001E-2</v>
      </c>
      <c r="Y170" s="182">
        <f t="shared" si="109"/>
        <v>59.276785392137931</v>
      </c>
      <c r="AA170" s="189"/>
      <c r="AB170" s="184">
        <f t="shared" ca="1" si="110"/>
        <v>2184</v>
      </c>
      <c r="AC170" s="171">
        <f t="shared" si="93"/>
        <v>0</v>
      </c>
      <c r="AD170" s="171">
        <f t="shared" si="88"/>
        <v>0</v>
      </c>
      <c r="AE170" s="171">
        <f t="shared" si="119"/>
        <v>18172.461532296213</v>
      </c>
      <c r="AF170" s="171">
        <f t="shared" si="111"/>
        <v>0</v>
      </c>
      <c r="AG170" s="171">
        <f t="shared" si="121"/>
        <v>0</v>
      </c>
      <c r="AH170" s="171">
        <f t="shared" si="94"/>
        <v>0</v>
      </c>
      <c r="AI170" s="171">
        <f t="shared" si="95"/>
        <v>0</v>
      </c>
      <c r="AJ170" s="171">
        <f>IF('Invoer gegevens'!$I$27="DAEB",SMALL(AC170:AD170,1),AC170)</f>
        <v>0</v>
      </c>
      <c r="AK170" s="171">
        <f>IF('Invoer gegevens'!$I$27="DAEB",SMALL((AE170:AH170),1),SMALL((AF170:AH170),1))</f>
        <v>0</v>
      </c>
      <c r="AL170" s="171">
        <f t="shared" si="116"/>
        <v>0</v>
      </c>
      <c r="AM170" s="171">
        <f t="shared" si="117"/>
        <v>0</v>
      </c>
      <c r="AN170" s="175">
        <f t="shared" si="112"/>
        <v>0</v>
      </c>
      <c r="AP170" s="184">
        <f t="shared" ca="1" si="113"/>
        <v>2184</v>
      </c>
      <c r="AQ170" s="185">
        <f t="shared" si="96"/>
        <v>0.02</v>
      </c>
      <c r="AR170" s="182">
        <f t="shared" si="87"/>
        <v>26.362229893367335</v>
      </c>
      <c r="AU170" s="184">
        <f t="shared" ca="1" si="114"/>
        <v>2184</v>
      </c>
      <c r="AV170" s="182">
        <f t="shared" si="97"/>
        <v>0.02</v>
      </c>
      <c r="AW170" s="179">
        <f t="shared" si="98"/>
        <v>5.0000000000000001E-3</v>
      </c>
      <c r="AX170" s="182">
        <f t="shared" si="99"/>
        <v>2.5000000000000001E-2</v>
      </c>
      <c r="AY170" s="186"/>
      <c r="AZ170" s="190"/>
      <c r="BA170" s="184">
        <f t="shared" ca="1" si="115"/>
        <v>2184</v>
      </c>
      <c r="BB170" s="171">
        <f t="shared" si="100"/>
        <v>0</v>
      </c>
      <c r="BC170" s="171">
        <f t="shared" si="89"/>
        <v>18172.461532296213</v>
      </c>
      <c r="BD170" s="171">
        <f t="shared" si="126"/>
        <v>0</v>
      </c>
      <c r="BE170" s="171">
        <f t="shared" si="126"/>
        <v>0</v>
      </c>
      <c r="BF170" s="171">
        <f t="shared" si="126"/>
        <v>0</v>
      </c>
      <c r="BG170" s="171">
        <f t="shared" si="125"/>
        <v>0</v>
      </c>
      <c r="BI170" s="187">
        <f>IF(A170-'Invoer gegevens'!$C$17&lt;0,0,IF(A170-'Invoer gegevens'!$C$17=0,1,IF(A170-'Invoer gegevens'!$C$17&lt;5,2,IF(A170-'Invoer gegevens'!$C$17&lt;15,3,4))))</f>
        <v>0</v>
      </c>
      <c r="BJ170" s="229">
        <f>IF(BI170&lt;1,0,IF(BI170&lt;2,4%,IF('Reeksen (N)'!BI170&lt;3,4%,IF('Reeksen (N)'!BI170&lt;4,4%*70%,IF('Reeksen (N)'!BI170&lt;5,4%*50%)))))</f>
        <v>0</v>
      </c>
    </row>
    <row r="171" spans="1:62" x14ac:dyDescent="0.25">
      <c r="A171" s="184">
        <f t="shared" si="101"/>
        <v>166</v>
      </c>
      <c r="B171" s="179">
        <f>Dashboard!$D$25</f>
        <v>0</v>
      </c>
      <c r="C171" s="179">
        <f>Dashboard!$D$25</f>
        <v>0</v>
      </c>
      <c r="D171" s="180">
        <f t="shared" si="90"/>
        <v>0</v>
      </c>
      <c r="E171" s="189"/>
      <c r="F171" s="184">
        <f t="shared" ca="1" si="102"/>
        <v>2185</v>
      </c>
      <c r="G171" s="179">
        <f t="shared" si="122"/>
        <v>0.02</v>
      </c>
      <c r="H171" s="182">
        <f t="shared" si="103"/>
        <v>26.915601534688445</v>
      </c>
      <c r="I171" s="179">
        <f t="shared" si="123"/>
        <v>2.5000000000000001E-2</v>
      </c>
      <c r="J171" s="182">
        <f t="shared" si="104"/>
        <v>60.698873692855962</v>
      </c>
      <c r="K171" s="179">
        <f t="shared" si="124"/>
        <v>2.5000000000000001E-2</v>
      </c>
      <c r="L171" s="182">
        <f t="shared" si="105"/>
        <v>60.698873692855962</v>
      </c>
      <c r="M171" s="189"/>
      <c r="N171" s="184">
        <f t="shared" ca="1" si="106"/>
        <v>2185</v>
      </c>
      <c r="O171" s="179">
        <f t="shared" si="118"/>
        <v>0.02</v>
      </c>
      <c r="P171" s="182">
        <f t="shared" si="86"/>
        <v>26.889474491234683</v>
      </c>
      <c r="R171" s="184">
        <f t="shared" ca="1" si="107"/>
        <v>2185</v>
      </c>
      <c r="S171" s="188">
        <f t="shared" si="120"/>
        <v>5.3600000000000002E-3</v>
      </c>
      <c r="U171" s="184">
        <f t="shared" ca="1" si="108"/>
        <v>2185</v>
      </c>
      <c r="V171" s="182">
        <f t="shared" si="91"/>
        <v>0.02</v>
      </c>
      <c r="W171" s="180">
        <f>Parameters!$D$15</f>
        <v>5.0000000000000001E-3</v>
      </c>
      <c r="X171" s="182">
        <f t="shared" si="92"/>
        <v>2.5000000000000001E-2</v>
      </c>
      <c r="Y171" s="182">
        <f t="shared" si="109"/>
        <v>60.758705026941371</v>
      </c>
      <c r="AA171" s="189"/>
      <c r="AB171" s="184">
        <f t="shared" ca="1" si="110"/>
        <v>2185</v>
      </c>
      <c r="AC171" s="171">
        <f t="shared" si="93"/>
        <v>0</v>
      </c>
      <c r="AD171" s="171">
        <f t="shared" si="88"/>
        <v>0</v>
      </c>
      <c r="AE171" s="171">
        <f t="shared" si="119"/>
        <v>18535.910762942138</v>
      </c>
      <c r="AF171" s="171">
        <f t="shared" si="111"/>
        <v>0</v>
      </c>
      <c r="AG171" s="171">
        <f t="shared" si="121"/>
        <v>0</v>
      </c>
      <c r="AH171" s="171">
        <f t="shared" si="94"/>
        <v>0</v>
      </c>
      <c r="AI171" s="171">
        <f t="shared" si="95"/>
        <v>0</v>
      </c>
      <c r="AJ171" s="171">
        <f>IF('Invoer gegevens'!$I$27="DAEB",SMALL(AC171:AD171,1),AC171)</f>
        <v>0</v>
      </c>
      <c r="AK171" s="171">
        <f>IF('Invoer gegevens'!$I$27="DAEB",SMALL((AE171:AH171),1),SMALL((AF171:AH171),1))</f>
        <v>0</v>
      </c>
      <c r="AL171" s="171">
        <f t="shared" si="116"/>
        <v>0</v>
      </c>
      <c r="AM171" s="171">
        <f t="shared" si="117"/>
        <v>0</v>
      </c>
      <c r="AN171" s="175">
        <f t="shared" si="112"/>
        <v>0</v>
      </c>
      <c r="AP171" s="184">
        <f t="shared" ca="1" si="113"/>
        <v>2185</v>
      </c>
      <c r="AQ171" s="185">
        <f t="shared" si="96"/>
        <v>0.02</v>
      </c>
      <c r="AR171" s="182">
        <f t="shared" si="87"/>
        <v>26.889474491234683</v>
      </c>
      <c r="AU171" s="184">
        <f t="shared" ca="1" si="114"/>
        <v>2185</v>
      </c>
      <c r="AV171" s="182">
        <f t="shared" si="97"/>
        <v>0.02</v>
      </c>
      <c r="AW171" s="179">
        <f t="shared" si="98"/>
        <v>5.0000000000000001E-3</v>
      </c>
      <c r="AX171" s="182">
        <f t="shared" si="99"/>
        <v>2.5000000000000001E-2</v>
      </c>
      <c r="AY171" s="186"/>
      <c r="AZ171" s="190"/>
      <c r="BA171" s="184">
        <f t="shared" ca="1" si="115"/>
        <v>2185</v>
      </c>
      <c r="BB171" s="171">
        <f t="shared" si="100"/>
        <v>0</v>
      </c>
      <c r="BC171" s="171">
        <f t="shared" si="89"/>
        <v>18535.910762942138</v>
      </c>
      <c r="BD171" s="171">
        <f t="shared" si="126"/>
        <v>0</v>
      </c>
      <c r="BE171" s="171">
        <f t="shared" si="126"/>
        <v>0</v>
      </c>
      <c r="BF171" s="171">
        <f t="shared" si="126"/>
        <v>0</v>
      </c>
      <c r="BG171" s="171">
        <f t="shared" si="125"/>
        <v>0</v>
      </c>
      <c r="BI171" s="187">
        <f>IF(A171-'Invoer gegevens'!$C$17&lt;0,0,IF(A171-'Invoer gegevens'!$C$17=0,1,IF(A171-'Invoer gegevens'!$C$17&lt;5,2,IF(A171-'Invoer gegevens'!$C$17&lt;15,3,4))))</f>
        <v>0</v>
      </c>
      <c r="BJ171" s="229">
        <f>IF(BI171&lt;1,0,IF(BI171&lt;2,4%,IF('Reeksen (N)'!BI171&lt;3,4%,IF('Reeksen (N)'!BI171&lt;4,4%*70%,IF('Reeksen (N)'!BI171&lt;5,4%*50%)))))</f>
        <v>0</v>
      </c>
    </row>
    <row r="172" spans="1:62" x14ac:dyDescent="0.25">
      <c r="A172" s="184">
        <f t="shared" si="101"/>
        <v>167</v>
      </c>
      <c r="B172" s="179">
        <f>Dashboard!$D$25</f>
        <v>0</v>
      </c>
      <c r="C172" s="179">
        <f>Dashboard!$D$25</f>
        <v>0</v>
      </c>
      <c r="D172" s="180">
        <f t="shared" si="90"/>
        <v>0</v>
      </c>
      <c r="E172" s="189"/>
      <c r="F172" s="184">
        <f t="shared" ca="1" si="102"/>
        <v>2186</v>
      </c>
      <c r="G172" s="179">
        <f t="shared" si="122"/>
        <v>0.02</v>
      </c>
      <c r="H172" s="182">
        <f t="shared" si="103"/>
        <v>27.453913565382216</v>
      </c>
      <c r="I172" s="179">
        <f t="shared" si="123"/>
        <v>2.5000000000000001E-2</v>
      </c>
      <c r="J172" s="182">
        <f t="shared" si="104"/>
        <v>62.216345535177354</v>
      </c>
      <c r="K172" s="179">
        <f t="shared" si="124"/>
        <v>2.5000000000000001E-2</v>
      </c>
      <c r="L172" s="182">
        <f t="shared" si="105"/>
        <v>62.216345535177354</v>
      </c>
      <c r="M172" s="189"/>
      <c r="N172" s="184">
        <f t="shared" ca="1" si="106"/>
        <v>2186</v>
      </c>
      <c r="O172" s="179">
        <f t="shared" si="118"/>
        <v>0.02</v>
      </c>
      <c r="P172" s="182">
        <f t="shared" si="86"/>
        <v>27.427263981059376</v>
      </c>
      <c r="R172" s="184">
        <f t="shared" ca="1" si="107"/>
        <v>2186</v>
      </c>
      <c r="S172" s="188">
        <f t="shared" si="120"/>
        <v>5.3600000000000002E-3</v>
      </c>
      <c r="U172" s="184">
        <f t="shared" ca="1" si="108"/>
        <v>2186</v>
      </c>
      <c r="V172" s="182">
        <f t="shared" si="91"/>
        <v>0.02</v>
      </c>
      <c r="W172" s="180">
        <f>Parameters!$D$15</f>
        <v>5.0000000000000001E-3</v>
      </c>
      <c r="X172" s="182">
        <f t="shared" si="92"/>
        <v>2.5000000000000001E-2</v>
      </c>
      <c r="Y172" s="182">
        <f t="shared" si="109"/>
        <v>62.277672652614896</v>
      </c>
      <c r="AA172" s="189"/>
      <c r="AB172" s="184">
        <f t="shared" ca="1" si="110"/>
        <v>2186</v>
      </c>
      <c r="AC172" s="171">
        <f t="shared" si="93"/>
        <v>0</v>
      </c>
      <c r="AD172" s="171">
        <f t="shared" si="88"/>
        <v>0</v>
      </c>
      <c r="AE172" s="171">
        <f t="shared" si="119"/>
        <v>18906.628978200981</v>
      </c>
      <c r="AF172" s="171">
        <f t="shared" si="111"/>
        <v>0</v>
      </c>
      <c r="AG172" s="171">
        <f t="shared" si="121"/>
        <v>0</v>
      </c>
      <c r="AH172" s="171">
        <f t="shared" si="94"/>
        <v>0</v>
      </c>
      <c r="AI172" s="171">
        <f t="shared" si="95"/>
        <v>0</v>
      </c>
      <c r="AJ172" s="171">
        <f>IF('Invoer gegevens'!$I$27="DAEB",SMALL(AC172:AD172,1),AC172)</f>
        <v>0</v>
      </c>
      <c r="AK172" s="171">
        <f>IF('Invoer gegevens'!$I$27="DAEB",SMALL((AE172:AH172),1),SMALL((AF172:AH172),1))</f>
        <v>0</v>
      </c>
      <c r="AL172" s="171">
        <f t="shared" si="116"/>
        <v>0</v>
      </c>
      <c r="AM172" s="171">
        <f t="shared" si="117"/>
        <v>0</v>
      </c>
      <c r="AN172" s="175">
        <f t="shared" si="112"/>
        <v>0</v>
      </c>
      <c r="AP172" s="184">
        <f t="shared" ca="1" si="113"/>
        <v>2186</v>
      </c>
      <c r="AQ172" s="185">
        <f t="shared" si="96"/>
        <v>0.02</v>
      </c>
      <c r="AR172" s="182">
        <f t="shared" si="87"/>
        <v>27.427263981059376</v>
      </c>
      <c r="AU172" s="184">
        <f t="shared" ca="1" si="114"/>
        <v>2186</v>
      </c>
      <c r="AV172" s="182">
        <f t="shared" si="97"/>
        <v>0.02</v>
      </c>
      <c r="AW172" s="179">
        <f t="shared" si="98"/>
        <v>5.0000000000000001E-3</v>
      </c>
      <c r="AX172" s="182">
        <f t="shared" si="99"/>
        <v>2.5000000000000001E-2</v>
      </c>
      <c r="AY172" s="186"/>
      <c r="AZ172" s="190"/>
      <c r="BA172" s="184">
        <f t="shared" ca="1" si="115"/>
        <v>2186</v>
      </c>
      <c r="BB172" s="171">
        <f t="shared" si="100"/>
        <v>0</v>
      </c>
      <c r="BC172" s="171">
        <f t="shared" si="89"/>
        <v>18906.628978200981</v>
      </c>
      <c r="BD172" s="171">
        <f t="shared" si="126"/>
        <v>0</v>
      </c>
      <c r="BE172" s="171">
        <f t="shared" si="126"/>
        <v>0</v>
      </c>
      <c r="BF172" s="171">
        <f t="shared" si="126"/>
        <v>0</v>
      </c>
      <c r="BG172" s="171">
        <f t="shared" si="125"/>
        <v>0</v>
      </c>
      <c r="BI172" s="187">
        <f>IF(A172-'Invoer gegevens'!$C$17&lt;0,0,IF(A172-'Invoer gegevens'!$C$17=0,1,IF(A172-'Invoer gegevens'!$C$17&lt;5,2,IF(A172-'Invoer gegevens'!$C$17&lt;15,3,4))))</f>
        <v>0</v>
      </c>
      <c r="BJ172" s="229">
        <f>IF(BI172&lt;1,0,IF(BI172&lt;2,4%,IF('Reeksen (N)'!BI172&lt;3,4%,IF('Reeksen (N)'!BI172&lt;4,4%*70%,IF('Reeksen (N)'!BI172&lt;5,4%*50%)))))</f>
        <v>0</v>
      </c>
    </row>
    <row r="173" spans="1:62" x14ac:dyDescent="0.25">
      <c r="A173" s="184">
        <f t="shared" si="101"/>
        <v>168</v>
      </c>
      <c r="B173" s="179">
        <f>Dashboard!$D$25</f>
        <v>0</v>
      </c>
      <c r="C173" s="179">
        <f>Dashboard!$D$25</f>
        <v>0</v>
      </c>
      <c r="D173" s="180">
        <f t="shared" si="90"/>
        <v>0</v>
      </c>
      <c r="E173" s="189"/>
      <c r="F173" s="184">
        <f t="shared" ca="1" si="102"/>
        <v>2187</v>
      </c>
      <c r="G173" s="179">
        <f t="shared" si="122"/>
        <v>0.02</v>
      </c>
      <c r="H173" s="182">
        <f t="shared" si="103"/>
        <v>28.002991836689862</v>
      </c>
      <c r="I173" s="179">
        <f t="shared" si="123"/>
        <v>2.5000000000000001E-2</v>
      </c>
      <c r="J173" s="182">
        <f t="shared" si="104"/>
        <v>63.771754173556779</v>
      </c>
      <c r="K173" s="179">
        <f t="shared" si="124"/>
        <v>2.5000000000000001E-2</v>
      </c>
      <c r="L173" s="182">
        <f t="shared" si="105"/>
        <v>63.771754173556779</v>
      </c>
      <c r="M173" s="189"/>
      <c r="N173" s="184">
        <f t="shared" ca="1" si="106"/>
        <v>2187</v>
      </c>
      <c r="O173" s="179">
        <f t="shared" si="118"/>
        <v>0.02</v>
      </c>
      <c r="P173" s="182">
        <f t="shared" si="86"/>
        <v>27.975809260680563</v>
      </c>
      <c r="R173" s="184">
        <f t="shared" ca="1" si="107"/>
        <v>2187</v>
      </c>
      <c r="S173" s="188">
        <f t="shared" si="120"/>
        <v>5.3600000000000002E-3</v>
      </c>
      <c r="U173" s="184">
        <f t="shared" ca="1" si="108"/>
        <v>2187</v>
      </c>
      <c r="V173" s="182">
        <f t="shared" si="91"/>
        <v>0.02</v>
      </c>
      <c r="W173" s="180">
        <f>Parameters!$D$15</f>
        <v>5.0000000000000001E-3</v>
      </c>
      <c r="X173" s="182">
        <f t="shared" si="92"/>
        <v>2.5000000000000001E-2</v>
      </c>
      <c r="Y173" s="182">
        <f t="shared" si="109"/>
        <v>63.834614468930262</v>
      </c>
      <c r="AA173" s="189"/>
      <c r="AB173" s="184">
        <f t="shared" ca="1" si="110"/>
        <v>2187</v>
      </c>
      <c r="AC173" s="171">
        <f t="shared" si="93"/>
        <v>0</v>
      </c>
      <c r="AD173" s="171">
        <f t="shared" si="88"/>
        <v>0</v>
      </c>
      <c r="AE173" s="171">
        <f t="shared" si="119"/>
        <v>19284.761557764999</v>
      </c>
      <c r="AF173" s="171">
        <f t="shared" si="111"/>
        <v>0</v>
      </c>
      <c r="AG173" s="171">
        <f t="shared" si="121"/>
        <v>0</v>
      </c>
      <c r="AH173" s="171">
        <f t="shared" si="94"/>
        <v>0</v>
      </c>
      <c r="AI173" s="171">
        <f t="shared" si="95"/>
        <v>0</v>
      </c>
      <c r="AJ173" s="171">
        <f>IF('Invoer gegevens'!$I$27="DAEB",SMALL(AC173:AD173,1),AC173)</f>
        <v>0</v>
      </c>
      <c r="AK173" s="171">
        <f>IF('Invoer gegevens'!$I$27="DAEB",SMALL((AE173:AH173),1),SMALL((AF173:AH173),1))</f>
        <v>0</v>
      </c>
      <c r="AL173" s="171">
        <f t="shared" si="116"/>
        <v>0</v>
      </c>
      <c r="AM173" s="171">
        <f t="shared" si="117"/>
        <v>0</v>
      </c>
      <c r="AN173" s="175">
        <f t="shared" si="112"/>
        <v>0</v>
      </c>
      <c r="AP173" s="184">
        <f t="shared" ca="1" si="113"/>
        <v>2187</v>
      </c>
      <c r="AQ173" s="185">
        <f t="shared" si="96"/>
        <v>0.02</v>
      </c>
      <c r="AR173" s="182">
        <f t="shared" si="87"/>
        <v>27.975809260680563</v>
      </c>
      <c r="AU173" s="184">
        <f t="shared" ca="1" si="114"/>
        <v>2187</v>
      </c>
      <c r="AV173" s="182">
        <f t="shared" si="97"/>
        <v>0.02</v>
      </c>
      <c r="AW173" s="179">
        <f t="shared" si="98"/>
        <v>5.0000000000000001E-3</v>
      </c>
      <c r="AX173" s="182">
        <f t="shared" si="99"/>
        <v>2.5000000000000001E-2</v>
      </c>
      <c r="AY173" s="186"/>
      <c r="AZ173" s="190"/>
      <c r="BA173" s="184">
        <f t="shared" ca="1" si="115"/>
        <v>2187</v>
      </c>
      <c r="BB173" s="171">
        <f t="shared" si="100"/>
        <v>0</v>
      </c>
      <c r="BC173" s="171">
        <f t="shared" si="89"/>
        <v>19284.761557764999</v>
      </c>
      <c r="BD173" s="171">
        <f t="shared" si="126"/>
        <v>0</v>
      </c>
      <c r="BE173" s="171">
        <f t="shared" si="126"/>
        <v>0</v>
      </c>
      <c r="BF173" s="171">
        <f t="shared" si="126"/>
        <v>0</v>
      </c>
      <c r="BG173" s="171">
        <f t="shared" si="125"/>
        <v>0</v>
      </c>
      <c r="BI173" s="187">
        <f>IF(A173-'Invoer gegevens'!$C$17&lt;0,0,IF(A173-'Invoer gegevens'!$C$17=0,1,IF(A173-'Invoer gegevens'!$C$17&lt;5,2,IF(A173-'Invoer gegevens'!$C$17&lt;15,3,4))))</f>
        <v>0</v>
      </c>
      <c r="BJ173" s="229">
        <f>IF(BI173&lt;1,0,IF(BI173&lt;2,4%,IF('Reeksen (N)'!BI173&lt;3,4%,IF('Reeksen (N)'!BI173&lt;4,4%*70%,IF('Reeksen (N)'!BI173&lt;5,4%*50%)))))</f>
        <v>0</v>
      </c>
    </row>
    <row r="174" spans="1:62" x14ac:dyDescent="0.25">
      <c r="A174" s="184">
        <f t="shared" si="101"/>
        <v>169</v>
      </c>
      <c r="B174" s="179">
        <f>Dashboard!$D$25</f>
        <v>0</v>
      </c>
      <c r="C174" s="179">
        <f>Dashboard!$D$25</f>
        <v>0</v>
      </c>
      <c r="D174" s="180">
        <f t="shared" si="90"/>
        <v>0</v>
      </c>
      <c r="E174" s="189"/>
      <c r="F174" s="184">
        <f t="shared" ca="1" si="102"/>
        <v>2188</v>
      </c>
      <c r="G174" s="179">
        <f t="shared" si="122"/>
        <v>0.02</v>
      </c>
      <c r="H174" s="182">
        <f t="shared" si="103"/>
        <v>28.563051673423661</v>
      </c>
      <c r="I174" s="179">
        <f t="shared" si="123"/>
        <v>2.5000000000000001E-2</v>
      </c>
      <c r="J174" s="182">
        <f t="shared" si="104"/>
        <v>65.366048027895687</v>
      </c>
      <c r="K174" s="179">
        <f t="shared" si="124"/>
        <v>2.5000000000000001E-2</v>
      </c>
      <c r="L174" s="182">
        <f t="shared" si="105"/>
        <v>65.366048027895687</v>
      </c>
      <c r="M174" s="189"/>
      <c r="N174" s="184">
        <f t="shared" ca="1" si="106"/>
        <v>2188</v>
      </c>
      <c r="O174" s="179">
        <f t="shared" si="118"/>
        <v>0.02</v>
      </c>
      <c r="P174" s="182">
        <f t="shared" si="86"/>
        <v>28.535325445894173</v>
      </c>
      <c r="R174" s="184">
        <f t="shared" ca="1" si="107"/>
        <v>2188</v>
      </c>
      <c r="S174" s="188">
        <f t="shared" si="120"/>
        <v>5.3600000000000002E-3</v>
      </c>
      <c r="U174" s="184">
        <f t="shared" ca="1" si="108"/>
        <v>2188</v>
      </c>
      <c r="V174" s="182">
        <f t="shared" si="91"/>
        <v>0.02</v>
      </c>
      <c r="W174" s="180">
        <f>Parameters!$D$15</f>
        <v>5.0000000000000001E-3</v>
      </c>
      <c r="X174" s="182">
        <f t="shared" si="92"/>
        <v>2.5000000000000001E-2</v>
      </c>
      <c r="Y174" s="182">
        <f t="shared" si="109"/>
        <v>65.43047983065351</v>
      </c>
      <c r="AA174" s="189"/>
      <c r="AB174" s="184">
        <f t="shared" ca="1" si="110"/>
        <v>2188</v>
      </c>
      <c r="AC174" s="171">
        <f t="shared" si="93"/>
        <v>0</v>
      </c>
      <c r="AD174" s="171">
        <f t="shared" si="88"/>
        <v>0</v>
      </c>
      <c r="AE174" s="171">
        <f t="shared" si="119"/>
        <v>19670.456788920299</v>
      </c>
      <c r="AF174" s="171">
        <f t="shared" si="111"/>
        <v>0</v>
      </c>
      <c r="AG174" s="171">
        <f t="shared" si="121"/>
        <v>0</v>
      </c>
      <c r="AH174" s="171">
        <f t="shared" si="94"/>
        <v>0</v>
      </c>
      <c r="AI174" s="171">
        <f t="shared" si="95"/>
        <v>0</v>
      </c>
      <c r="AJ174" s="171">
        <f>IF('Invoer gegevens'!$I$27="DAEB",SMALL(AC174:AD174,1),AC174)</f>
        <v>0</v>
      </c>
      <c r="AK174" s="171">
        <f>IF('Invoer gegevens'!$I$27="DAEB",SMALL((AE174:AH174),1),SMALL((AF174:AH174),1))</f>
        <v>0</v>
      </c>
      <c r="AL174" s="171">
        <f t="shared" si="116"/>
        <v>0</v>
      </c>
      <c r="AM174" s="171">
        <f t="shared" si="117"/>
        <v>0</v>
      </c>
      <c r="AN174" s="175">
        <f t="shared" si="112"/>
        <v>0</v>
      </c>
      <c r="AP174" s="184">
        <f t="shared" ca="1" si="113"/>
        <v>2188</v>
      </c>
      <c r="AQ174" s="185">
        <f t="shared" si="96"/>
        <v>0.02</v>
      </c>
      <c r="AR174" s="182">
        <f t="shared" si="87"/>
        <v>28.535325445894173</v>
      </c>
      <c r="AU174" s="184">
        <f t="shared" ca="1" si="114"/>
        <v>2188</v>
      </c>
      <c r="AV174" s="182">
        <f t="shared" si="97"/>
        <v>0.02</v>
      </c>
      <c r="AW174" s="179">
        <f t="shared" si="98"/>
        <v>5.0000000000000001E-3</v>
      </c>
      <c r="AX174" s="182">
        <f t="shared" si="99"/>
        <v>2.5000000000000001E-2</v>
      </c>
      <c r="AY174" s="186"/>
      <c r="AZ174" s="190"/>
      <c r="BA174" s="184">
        <f t="shared" ca="1" si="115"/>
        <v>2188</v>
      </c>
      <c r="BB174" s="171">
        <f t="shared" si="100"/>
        <v>0</v>
      </c>
      <c r="BC174" s="171">
        <f t="shared" si="89"/>
        <v>19670.456788920299</v>
      </c>
      <c r="BD174" s="171">
        <f t="shared" si="126"/>
        <v>0</v>
      </c>
      <c r="BE174" s="171">
        <f t="shared" si="126"/>
        <v>0</v>
      </c>
      <c r="BF174" s="171">
        <f t="shared" si="126"/>
        <v>0</v>
      </c>
      <c r="BG174" s="171">
        <f t="shared" si="125"/>
        <v>0</v>
      </c>
      <c r="BI174" s="187">
        <f>IF(A174-'Invoer gegevens'!$C$17&lt;0,0,IF(A174-'Invoer gegevens'!$C$17=0,1,IF(A174-'Invoer gegevens'!$C$17&lt;5,2,IF(A174-'Invoer gegevens'!$C$17&lt;15,3,4))))</f>
        <v>0</v>
      </c>
      <c r="BJ174" s="229">
        <f>IF(BI174&lt;1,0,IF(BI174&lt;2,4%,IF('Reeksen (N)'!BI174&lt;3,4%,IF('Reeksen (N)'!BI174&lt;4,4%*70%,IF('Reeksen (N)'!BI174&lt;5,4%*50%)))))</f>
        <v>0</v>
      </c>
    </row>
    <row r="175" spans="1:62" x14ac:dyDescent="0.25">
      <c r="A175" s="184">
        <f t="shared" si="101"/>
        <v>170</v>
      </c>
      <c r="B175" s="179">
        <f>Dashboard!$D$25</f>
        <v>0</v>
      </c>
      <c r="C175" s="179">
        <f>Dashboard!$D$25</f>
        <v>0</v>
      </c>
      <c r="D175" s="180">
        <f t="shared" si="90"/>
        <v>0</v>
      </c>
      <c r="E175" s="189"/>
      <c r="F175" s="184">
        <f t="shared" ca="1" si="102"/>
        <v>2189</v>
      </c>
      <c r="G175" s="179">
        <f t="shared" si="122"/>
        <v>0.02</v>
      </c>
      <c r="H175" s="182">
        <f t="shared" si="103"/>
        <v>29.134312706892135</v>
      </c>
      <c r="I175" s="179">
        <f t="shared" si="123"/>
        <v>2.5000000000000001E-2</v>
      </c>
      <c r="J175" s="182">
        <f t="shared" si="104"/>
        <v>67.000199228593075</v>
      </c>
      <c r="K175" s="179">
        <f t="shared" si="124"/>
        <v>2.5000000000000001E-2</v>
      </c>
      <c r="L175" s="182">
        <f t="shared" si="105"/>
        <v>67.000199228593075</v>
      </c>
      <c r="M175" s="189"/>
      <c r="N175" s="184">
        <f t="shared" ca="1" si="106"/>
        <v>2189</v>
      </c>
      <c r="O175" s="179">
        <f t="shared" si="118"/>
        <v>0.02</v>
      </c>
      <c r="P175" s="182">
        <f t="shared" si="86"/>
        <v>29.106031954812057</v>
      </c>
      <c r="R175" s="184">
        <f t="shared" ca="1" si="107"/>
        <v>2189</v>
      </c>
      <c r="S175" s="188">
        <f t="shared" si="120"/>
        <v>5.3600000000000002E-3</v>
      </c>
      <c r="U175" s="184">
        <f t="shared" ca="1" si="108"/>
        <v>2189</v>
      </c>
      <c r="V175" s="182">
        <f t="shared" si="91"/>
        <v>0.02</v>
      </c>
      <c r="W175" s="180">
        <f>Parameters!$D$15</f>
        <v>5.0000000000000001E-3</v>
      </c>
      <c r="X175" s="182">
        <f t="shared" si="92"/>
        <v>2.5000000000000001E-2</v>
      </c>
      <c r="Y175" s="182">
        <f t="shared" si="109"/>
        <v>67.066241826419841</v>
      </c>
      <c r="AA175" s="189"/>
      <c r="AB175" s="184">
        <f t="shared" ca="1" si="110"/>
        <v>2189</v>
      </c>
      <c r="AC175" s="171">
        <f t="shared" si="93"/>
        <v>0</v>
      </c>
      <c r="AD175" s="171">
        <f t="shared" si="88"/>
        <v>0</v>
      </c>
      <c r="AE175" s="171">
        <f t="shared" si="119"/>
        <v>20063.865924698704</v>
      </c>
      <c r="AF175" s="171">
        <f t="shared" si="111"/>
        <v>0</v>
      </c>
      <c r="AG175" s="171">
        <f t="shared" si="121"/>
        <v>0</v>
      </c>
      <c r="AH175" s="171">
        <f t="shared" si="94"/>
        <v>0</v>
      </c>
      <c r="AI175" s="171">
        <f t="shared" si="95"/>
        <v>0</v>
      </c>
      <c r="AJ175" s="171">
        <f>IF('Invoer gegevens'!$I$27="DAEB",SMALL(AC175:AD175,1),AC175)</f>
        <v>0</v>
      </c>
      <c r="AK175" s="171">
        <f>IF('Invoer gegevens'!$I$27="DAEB",SMALL((AE175:AH175),1),SMALL((AF175:AH175),1))</f>
        <v>0</v>
      </c>
      <c r="AL175" s="171">
        <f t="shared" si="116"/>
        <v>0</v>
      </c>
      <c r="AM175" s="171">
        <f t="shared" si="117"/>
        <v>0</v>
      </c>
      <c r="AN175" s="175">
        <f t="shared" si="112"/>
        <v>0</v>
      </c>
      <c r="AP175" s="184">
        <f t="shared" ca="1" si="113"/>
        <v>2189</v>
      </c>
      <c r="AQ175" s="185">
        <f t="shared" si="96"/>
        <v>0.02</v>
      </c>
      <c r="AR175" s="182">
        <f t="shared" si="87"/>
        <v>29.106031954812057</v>
      </c>
      <c r="AU175" s="184">
        <f t="shared" ca="1" si="114"/>
        <v>2189</v>
      </c>
      <c r="AV175" s="182">
        <f t="shared" si="97"/>
        <v>0.02</v>
      </c>
      <c r="AW175" s="179">
        <f t="shared" si="98"/>
        <v>5.0000000000000001E-3</v>
      </c>
      <c r="AX175" s="182">
        <f t="shared" si="99"/>
        <v>2.5000000000000001E-2</v>
      </c>
      <c r="AY175" s="186"/>
      <c r="AZ175" s="190"/>
      <c r="BA175" s="184">
        <f t="shared" ca="1" si="115"/>
        <v>2189</v>
      </c>
      <c r="BB175" s="171">
        <f t="shared" si="100"/>
        <v>0</v>
      </c>
      <c r="BC175" s="171">
        <f t="shared" si="89"/>
        <v>20063.865924698704</v>
      </c>
      <c r="BD175" s="171">
        <f t="shared" si="126"/>
        <v>0</v>
      </c>
      <c r="BE175" s="171">
        <f t="shared" si="126"/>
        <v>0</v>
      </c>
      <c r="BF175" s="171">
        <f t="shared" si="126"/>
        <v>0</v>
      </c>
      <c r="BG175" s="171">
        <f t="shared" si="125"/>
        <v>0</v>
      </c>
      <c r="BI175" s="187">
        <f>IF(A175-'Invoer gegevens'!$C$17&lt;0,0,IF(A175-'Invoer gegevens'!$C$17=0,1,IF(A175-'Invoer gegevens'!$C$17&lt;5,2,IF(A175-'Invoer gegevens'!$C$17&lt;15,3,4))))</f>
        <v>0</v>
      </c>
      <c r="BJ175" s="229">
        <f>IF(BI175&lt;1,0,IF(BI175&lt;2,4%,IF('Reeksen (N)'!BI175&lt;3,4%,IF('Reeksen (N)'!BI175&lt;4,4%*70%,IF('Reeksen (N)'!BI175&lt;5,4%*50%)))))</f>
        <v>0</v>
      </c>
    </row>
    <row r="176" spans="1:62" x14ac:dyDescent="0.25">
      <c r="A176" s="184">
        <f t="shared" si="101"/>
        <v>171</v>
      </c>
      <c r="B176" s="179">
        <f>Dashboard!$D$25</f>
        <v>0</v>
      </c>
      <c r="C176" s="179">
        <f>Dashboard!$D$25</f>
        <v>0</v>
      </c>
      <c r="D176" s="180">
        <f t="shared" si="90"/>
        <v>0</v>
      </c>
      <c r="E176" s="189"/>
      <c r="F176" s="184">
        <f t="shared" ca="1" si="102"/>
        <v>2190</v>
      </c>
      <c r="G176" s="179">
        <f t="shared" si="122"/>
        <v>0.02</v>
      </c>
      <c r="H176" s="182">
        <f t="shared" si="103"/>
        <v>29.716998961029979</v>
      </c>
      <c r="I176" s="179">
        <f t="shared" si="123"/>
        <v>2.5000000000000001E-2</v>
      </c>
      <c r="J176" s="182">
        <f t="shared" si="104"/>
        <v>68.675204209307893</v>
      </c>
      <c r="K176" s="179">
        <f t="shared" si="124"/>
        <v>2.5000000000000001E-2</v>
      </c>
      <c r="L176" s="182">
        <f t="shared" si="105"/>
        <v>68.675204209307893</v>
      </c>
      <c r="M176" s="189"/>
      <c r="N176" s="184">
        <f t="shared" ca="1" si="106"/>
        <v>2190</v>
      </c>
      <c r="O176" s="179">
        <f t="shared" si="118"/>
        <v>0.02</v>
      </c>
      <c r="P176" s="182">
        <f t="shared" si="86"/>
        <v>29.688152593908299</v>
      </c>
      <c r="R176" s="184">
        <f t="shared" ca="1" si="107"/>
        <v>2190</v>
      </c>
      <c r="S176" s="188">
        <f t="shared" si="120"/>
        <v>5.3600000000000002E-3</v>
      </c>
      <c r="U176" s="184">
        <f t="shared" ca="1" si="108"/>
        <v>2190</v>
      </c>
      <c r="V176" s="182">
        <f t="shared" si="91"/>
        <v>0.02</v>
      </c>
      <c r="W176" s="180">
        <f>Parameters!$D$15</f>
        <v>5.0000000000000001E-3</v>
      </c>
      <c r="X176" s="182">
        <f t="shared" si="92"/>
        <v>2.5000000000000001E-2</v>
      </c>
      <c r="Y176" s="182">
        <f t="shared" si="109"/>
        <v>68.742897872080334</v>
      </c>
      <c r="AA176" s="189"/>
      <c r="AB176" s="184">
        <f t="shared" ca="1" si="110"/>
        <v>2190</v>
      </c>
      <c r="AC176" s="171">
        <f t="shared" si="93"/>
        <v>0</v>
      </c>
      <c r="AD176" s="171">
        <f t="shared" si="88"/>
        <v>0</v>
      </c>
      <c r="AE176" s="171">
        <f t="shared" si="119"/>
        <v>20465.143243192681</v>
      </c>
      <c r="AF176" s="171">
        <f t="shared" si="111"/>
        <v>0</v>
      </c>
      <c r="AG176" s="171">
        <f t="shared" si="121"/>
        <v>0</v>
      </c>
      <c r="AH176" s="171">
        <f t="shared" si="94"/>
        <v>0</v>
      </c>
      <c r="AI176" s="171">
        <f t="shared" si="95"/>
        <v>0</v>
      </c>
      <c r="AJ176" s="171">
        <f>IF('Invoer gegevens'!$I$27="DAEB",SMALL(AC176:AD176,1),AC176)</f>
        <v>0</v>
      </c>
      <c r="AK176" s="171">
        <f>IF('Invoer gegevens'!$I$27="DAEB",SMALL((AE176:AH176),1),SMALL((AF176:AH176),1))</f>
        <v>0</v>
      </c>
      <c r="AL176" s="171">
        <f t="shared" si="116"/>
        <v>0</v>
      </c>
      <c r="AM176" s="171">
        <f t="shared" si="117"/>
        <v>0</v>
      </c>
      <c r="AN176" s="175">
        <f t="shared" si="112"/>
        <v>0</v>
      </c>
      <c r="AP176" s="184">
        <f t="shared" ca="1" si="113"/>
        <v>2190</v>
      </c>
      <c r="AQ176" s="185">
        <f t="shared" si="96"/>
        <v>0.02</v>
      </c>
      <c r="AR176" s="182">
        <f t="shared" si="87"/>
        <v>29.688152593908299</v>
      </c>
      <c r="AU176" s="184">
        <f t="shared" ca="1" si="114"/>
        <v>2190</v>
      </c>
      <c r="AV176" s="182">
        <f t="shared" si="97"/>
        <v>0.02</v>
      </c>
      <c r="AW176" s="179">
        <f t="shared" si="98"/>
        <v>5.0000000000000001E-3</v>
      </c>
      <c r="AX176" s="182">
        <f t="shared" si="99"/>
        <v>2.5000000000000001E-2</v>
      </c>
      <c r="AY176" s="186"/>
      <c r="AZ176" s="190"/>
      <c r="BA176" s="184">
        <f t="shared" ca="1" si="115"/>
        <v>2190</v>
      </c>
      <c r="BB176" s="171">
        <f t="shared" si="100"/>
        <v>0</v>
      </c>
      <c r="BC176" s="171">
        <f t="shared" si="89"/>
        <v>20465.143243192681</v>
      </c>
      <c r="BD176" s="171">
        <f t="shared" si="126"/>
        <v>0</v>
      </c>
      <c r="BE176" s="171">
        <f t="shared" si="126"/>
        <v>0</v>
      </c>
      <c r="BF176" s="171">
        <f t="shared" si="126"/>
        <v>0</v>
      </c>
      <c r="BG176" s="171">
        <f t="shared" si="125"/>
        <v>0</v>
      </c>
      <c r="BI176" s="187">
        <f>IF(A176-'Invoer gegevens'!$C$17&lt;0,0,IF(A176-'Invoer gegevens'!$C$17=0,1,IF(A176-'Invoer gegevens'!$C$17&lt;5,2,IF(A176-'Invoer gegevens'!$C$17&lt;15,3,4))))</f>
        <v>0</v>
      </c>
      <c r="BJ176" s="229">
        <f>IF(BI176&lt;1,0,IF(BI176&lt;2,4%,IF('Reeksen (N)'!BI176&lt;3,4%,IF('Reeksen (N)'!BI176&lt;4,4%*70%,IF('Reeksen (N)'!BI176&lt;5,4%*50%)))))</f>
        <v>0</v>
      </c>
    </row>
    <row r="177" spans="1:62" x14ac:dyDescent="0.25">
      <c r="A177" s="184">
        <f t="shared" si="101"/>
        <v>172</v>
      </c>
      <c r="B177" s="179">
        <f>Dashboard!$D$25</f>
        <v>0</v>
      </c>
      <c r="C177" s="179">
        <f>Dashboard!$D$25</f>
        <v>0</v>
      </c>
      <c r="D177" s="180">
        <f t="shared" si="90"/>
        <v>0</v>
      </c>
      <c r="E177" s="189"/>
      <c r="F177" s="184">
        <f t="shared" ca="1" si="102"/>
        <v>2191</v>
      </c>
      <c r="G177" s="179">
        <f t="shared" si="122"/>
        <v>0.02</v>
      </c>
      <c r="H177" s="182">
        <f t="shared" si="103"/>
        <v>30.311338940250579</v>
      </c>
      <c r="I177" s="179">
        <f t="shared" si="123"/>
        <v>2.5000000000000001E-2</v>
      </c>
      <c r="J177" s="182">
        <f t="shared" si="104"/>
        <v>70.392084314540583</v>
      </c>
      <c r="K177" s="179">
        <f t="shared" si="124"/>
        <v>2.5000000000000001E-2</v>
      </c>
      <c r="L177" s="182">
        <f t="shared" si="105"/>
        <v>70.392084314540583</v>
      </c>
      <c r="M177" s="189"/>
      <c r="N177" s="184">
        <f t="shared" ca="1" si="106"/>
        <v>2191</v>
      </c>
      <c r="O177" s="179">
        <f t="shared" si="118"/>
        <v>0.02</v>
      </c>
      <c r="P177" s="182">
        <f t="shared" si="86"/>
        <v>30.281915645786466</v>
      </c>
      <c r="R177" s="184">
        <f t="shared" ca="1" si="107"/>
        <v>2191</v>
      </c>
      <c r="S177" s="188">
        <f t="shared" si="120"/>
        <v>5.3600000000000002E-3</v>
      </c>
      <c r="U177" s="184">
        <f t="shared" ca="1" si="108"/>
        <v>2191</v>
      </c>
      <c r="V177" s="182">
        <f t="shared" si="91"/>
        <v>0.02</v>
      </c>
      <c r="W177" s="180">
        <f>Parameters!$D$15</f>
        <v>5.0000000000000001E-3</v>
      </c>
      <c r="X177" s="182">
        <f t="shared" si="92"/>
        <v>2.5000000000000001E-2</v>
      </c>
      <c r="Y177" s="182">
        <f t="shared" si="109"/>
        <v>70.461470318882334</v>
      </c>
      <c r="AA177" s="189"/>
      <c r="AB177" s="184">
        <f t="shared" ca="1" si="110"/>
        <v>2191</v>
      </c>
      <c r="AC177" s="171">
        <f t="shared" si="93"/>
        <v>0</v>
      </c>
      <c r="AD177" s="171">
        <f t="shared" si="88"/>
        <v>0</v>
      </c>
      <c r="AE177" s="171">
        <f t="shared" si="119"/>
        <v>20874.446108056534</v>
      </c>
      <c r="AF177" s="171">
        <f t="shared" si="111"/>
        <v>0</v>
      </c>
      <c r="AG177" s="171">
        <f t="shared" si="121"/>
        <v>0</v>
      </c>
      <c r="AH177" s="171">
        <f t="shared" si="94"/>
        <v>0</v>
      </c>
      <c r="AI177" s="171">
        <f t="shared" si="95"/>
        <v>0</v>
      </c>
      <c r="AJ177" s="171">
        <f>IF('Invoer gegevens'!$I$27="DAEB",SMALL(AC177:AD177,1),AC177)</f>
        <v>0</v>
      </c>
      <c r="AK177" s="171">
        <f>IF('Invoer gegevens'!$I$27="DAEB",SMALL((AE177:AH177),1),SMALL((AF177:AH177),1))</f>
        <v>0</v>
      </c>
      <c r="AL177" s="171">
        <f t="shared" si="116"/>
        <v>0</v>
      </c>
      <c r="AM177" s="171">
        <f t="shared" si="117"/>
        <v>0</v>
      </c>
      <c r="AN177" s="175">
        <f t="shared" si="112"/>
        <v>0</v>
      </c>
      <c r="AP177" s="184">
        <f t="shared" ca="1" si="113"/>
        <v>2191</v>
      </c>
      <c r="AQ177" s="185">
        <f t="shared" si="96"/>
        <v>0.02</v>
      </c>
      <c r="AR177" s="182">
        <f t="shared" si="87"/>
        <v>30.281915645786466</v>
      </c>
      <c r="AU177" s="184">
        <f t="shared" ca="1" si="114"/>
        <v>2191</v>
      </c>
      <c r="AV177" s="182">
        <f t="shared" si="97"/>
        <v>0.02</v>
      </c>
      <c r="AW177" s="179">
        <f t="shared" si="98"/>
        <v>5.0000000000000001E-3</v>
      </c>
      <c r="AX177" s="182">
        <f t="shared" si="99"/>
        <v>2.5000000000000001E-2</v>
      </c>
      <c r="AY177" s="186"/>
      <c r="AZ177" s="190"/>
      <c r="BA177" s="184">
        <f t="shared" ca="1" si="115"/>
        <v>2191</v>
      </c>
      <c r="BB177" s="171">
        <f t="shared" si="100"/>
        <v>0</v>
      </c>
      <c r="BC177" s="171">
        <f t="shared" si="89"/>
        <v>20874.446108056534</v>
      </c>
      <c r="BD177" s="171">
        <f t="shared" si="126"/>
        <v>0</v>
      </c>
      <c r="BE177" s="171">
        <f t="shared" si="126"/>
        <v>0</v>
      </c>
      <c r="BF177" s="171">
        <f t="shared" si="126"/>
        <v>0</v>
      </c>
      <c r="BG177" s="171">
        <f t="shared" si="125"/>
        <v>0</v>
      </c>
      <c r="BI177" s="187">
        <f>IF(A177-'Invoer gegevens'!$C$17&lt;0,0,IF(A177-'Invoer gegevens'!$C$17=0,1,IF(A177-'Invoer gegevens'!$C$17&lt;5,2,IF(A177-'Invoer gegevens'!$C$17&lt;15,3,4))))</f>
        <v>0</v>
      </c>
      <c r="BJ177" s="229">
        <f>IF(BI177&lt;1,0,IF(BI177&lt;2,4%,IF('Reeksen (N)'!BI177&lt;3,4%,IF('Reeksen (N)'!BI177&lt;4,4%*70%,IF('Reeksen (N)'!BI177&lt;5,4%*50%)))))</f>
        <v>0</v>
      </c>
    </row>
    <row r="178" spans="1:62" x14ac:dyDescent="0.25">
      <c r="A178" s="184">
        <f t="shared" si="101"/>
        <v>173</v>
      </c>
      <c r="B178" s="179">
        <f>Dashboard!$D$25</f>
        <v>0</v>
      </c>
      <c r="C178" s="179">
        <f>Dashboard!$D$25</f>
        <v>0</v>
      </c>
      <c r="D178" s="180">
        <f t="shared" si="90"/>
        <v>0</v>
      </c>
      <c r="E178" s="189"/>
      <c r="F178" s="184">
        <f t="shared" ca="1" si="102"/>
        <v>2192</v>
      </c>
      <c r="G178" s="179">
        <f t="shared" si="122"/>
        <v>0.02</v>
      </c>
      <c r="H178" s="182">
        <f t="shared" si="103"/>
        <v>30.917565719055592</v>
      </c>
      <c r="I178" s="179">
        <f t="shared" si="123"/>
        <v>2.5000000000000001E-2</v>
      </c>
      <c r="J178" s="182">
        <f t="shared" si="104"/>
        <v>72.15188642240409</v>
      </c>
      <c r="K178" s="179">
        <f t="shared" si="124"/>
        <v>2.5000000000000001E-2</v>
      </c>
      <c r="L178" s="182">
        <f t="shared" si="105"/>
        <v>72.15188642240409</v>
      </c>
      <c r="M178" s="189"/>
      <c r="N178" s="184">
        <f t="shared" ca="1" si="106"/>
        <v>2192</v>
      </c>
      <c r="O178" s="179">
        <f t="shared" si="118"/>
        <v>0.02</v>
      </c>
      <c r="P178" s="182">
        <f t="shared" si="86"/>
        <v>30.887553958702195</v>
      </c>
      <c r="R178" s="184">
        <f t="shared" ca="1" si="107"/>
        <v>2192</v>
      </c>
      <c r="S178" s="188">
        <f t="shared" si="120"/>
        <v>5.3600000000000002E-3</v>
      </c>
      <c r="U178" s="184">
        <f t="shared" ca="1" si="108"/>
        <v>2192</v>
      </c>
      <c r="V178" s="182">
        <f t="shared" si="91"/>
        <v>0.02</v>
      </c>
      <c r="W178" s="180">
        <f>Parameters!$D$15</f>
        <v>5.0000000000000001E-3</v>
      </c>
      <c r="X178" s="182">
        <f t="shared" si="92"/>
        <v>2.5000000000000001E-2</v>
      </c>
      <c r="Y178" s="182">
        <f t="shared" si="109"/>
        <v>72.223007076854387</v>
      </c>
      <c r="AA178" s="189"/>
      <c r="AB178" s="184">
        <f t="shared" ca="1" si="110"/>
        <v>2192</v>
      </c>
      <c r="AC178" s="171">
        <f t="shared" si="93"/>
        <v>0</v>
      </c>
      <c r="AD178" s="171">
        <f t="shared" si="88"/>
        <v>0</v>
      </c>
      <c r="AE178" s="171">
        <f t="shared" si="119"/>
        <v>21291.935030217664</v>
      </c>
      <c r="AF178" s="171">
        <f t="shared" si="111"/>
        <v>0</v>
      </c>
      <c r="AG178" s="171">
        <f t="shared" si="121"/>
        <v>0</v>
      </c>
      <c r="AH178" s="171">
        <f t="shared" si="94"/>
        <v>0</v>
      </c>
      <c r="AI178" s="171">
        <f t="shared" si="95"/>
        <v>0</v>
      </c>
      <c r="AJ178" s="171">
        <f>IF('Invoer gegevens'!$I$27="DAEB",SMALL(AC178:AD178,1),AC178)</f>
        <v>0</v>
      </c>
      <c r="AK178" s="171">
        <f>IF('Invoer gegevens'!$I$27="DAEB",SMALL((AE178:AH178),1),SMALL((AF178:AH178),1))</f>
        <v>0</v>
      </c>
      <c r="AL178" s="171">
        <f t="shared" si="116"/>
        <v>0</v>
      </c>
      <c r="AM178" s="171">
        <f t="shared" si="117"/>
        <v>0</v>
      </c>
      <c r="AN178" s="175">
        <f t="shared" si="112"/>
        <v>0</v>
      </c>
      <c r="AP178" s="184">
        <f t="shared" ca="1" si="113"/>
        <v>2192</v>
      </c>
      <c r="AQ178" s="185">
        <f t="shared" si="96"/>
        <v>0.02</v>
      </c>
      <c r="AR178" s="182">
        <f t="shared" si="87"/>
        <v>30.887553958702195</v>
      </c>
      <c r="AU178" s="184">
        <f t="shared" ca="1" si="114"/>
        <v>2192</v>
      </c>
      <c r="AV178" s="182">
        <f t="shared" si="97"/>
        <v>0.02</v>
      </c>
      <c r="AW178" s="179">
        <f t="shared" si="98"/>
        <v>5.0000000000000001E-3</v>
      </c>
      <c r="AX178" s="182">
        <f t="shared" si="99"/>
        <v>2.5000000000000001E-2</v>
      </c>
      <c r="AY178" s="186"/>
      <c r="AZ178" s="190"/>
      <c r="BA178" s="184">
        <f t="shared" ca="1" si="115"/>
        <v>2192</v>
      </c>
      <c r="BB178" s="171">
        <f t="shared" si="100"/>
        <v>0</v>
      </c>
      <c r="BC178" s="171">
        <f t="shared" si="89"/>
        <v>21291.935030217664</v>
      </c>
      <c r="BD178" s="171">
        <f t="shared" si="126"/>
        <v>0</v>
      </c>
      <c r="BE178" s="171">
        <f t="shared" si="126"/>
        <v>0</v>
      </c>
      <c r="BF178" s="171">
        <f t="shared" si="126"/>
        <v>0</v>
      </c>
      <c r="BG178" s="171">
        <f t="shared" si="125"/>
        <v>0</v>
      </c>
      <c r="BI178" s="187">
        <f>IF(A178-'Invoer gegevens'!$C$17&lt;0,0,IF(A178-'Invoer gegevens'!$C$17=0,1,IF(A178-'Invoer gegevens'!$C$17&lt;5,2,IF(A178-'Invoer gegevens'!$C$17&lt;15,3,4))))</f>
        <v>0</v>
      </c>
      <c r="BJ178" s="229">
        <f>IF(BI178&lt;1,0,IF(BI178&lt;2,4%,IF('Reeksen (N)'!BI178&lt;3,4%,IF('Reeksen (N)'!BI178&lt;4,4%*70%,IF('Reeksen (N)'!BI178&lt;5,4%*50%)))))</f>
        <v>0</v>
      </c>
    </row>
    <row r="179" spans="1:62" x14ac:dyDescent="0.25">
      <c r="A179" s="184">
        <f t="shared" si="101"/>
        <v>174</v>
      </c>
      <c r="B179" s="179">
        <f>Dashboard!$D$25</f>
        <v>0</v>
      </c>
      <c r="C179" s="179">
        <f>Dashboard!$D$25</f>
        <v>0</v>
      </c>
      <c r="D179" s="180">
        <f t="shared" si="90"/>
        <v>0</v>
      </c>
      <c r="E179" s="189"/>
      <c r="F179" s="184">
        <f t="shared" ca="1" si="102"/>
        <v>2193</v>
      </c>
      <c r="G179" s="179">
        <f t="shared" si="122"/>
        <v>0.02</v>
      </c>
      <c r="H179" s="182">
        <f t="shared" si="103"/>
        <v>31.535917033436704</v>
      </c>
      <c r="I179" s="179">
        <f t="shared" si="123"/>
        <v>2.5000000000000001E-2</v>
      </c>
      <c r="J179" s="182">
        <f t="shared" si="104"/>
        <v>73.955683582964184</v>
      </c>
      <c r="K179" s="179">
        <f t="shared" si="124"/>
        <v>2.5000000000000001E-2</v>
      </c>
      <c r="L179" s="182">
        <f t="shared" si="105"/>
        <v>73.955683582964184</v>
      </c>
      <c r="M179" s="189"/>
      <c r="N179" s="184">
        <f t="shared" ca="1" si="106"/>
        <v>2193</v>
      </c>
      <c r="O179" s="179">
        <f t="shared" si="118"/>
        <v>0.02</v>
      </c>
      <c r="P179" s="182">
        <f t="shared" si="86"/>
        <v>31.505305037876241</v>
      </c>
      <c r="R179" s="184">
        <f t="shared" ca="1" si="107"/>
        <v>2193</v>
      </c>
      <c r="S179" s="188">
        <f t="shared" si="120"/>
        <v>5.3600000000000002E-3</v>
      </c>
      <c r="U179" s="184">
        <f t="shared" ca="1" si="108"/>
        <v>2193</v>
      </c>
      <c r="V179" s="182">
        <f t="shared" si="91"/>
        <v>0.02</v>
      </c>
      <c r="W179" s="180">
        <f>Parameters!$D$15</f>
        <v>5.0000000000000001E-3</v>
      </c>
      <c r="X179" s="182">
        <f t="shared" si="92"/>
        <v>2.5000000000000001E-2</v>
      </c>
      <c r="Y179" s="182">
        <f t="shared" si="109"/>
        <v>74.028582253775738</v>
      </c>
      <c r="AA179" s="189"/>
      <c r="AB179" s="184">
        <f t="shared" ca="1" si="110"/>
        <v>2193</v>
      </c>
      <c r="AC179" s="171">
        <f t="shared" si="93"/>
        <v>0</v>
      </c>
      <c r="AD179" s="171">
        <f t="shared" si="88"/>
        <v>0</v>
      </c>
      <c r="AE179" s="171">
        <f t="shared" si="119"/>
        <v>21717.773730822017</v>
      </c>
      <c r="AF179" s="171">
        <f t="shared" si="111"/>
        <v>0</v>
      </c>
      <c r="AG179" s="171">
        <f t="shared" si="121"/>
        <v>0</v>
      </c>
      <c r="AH179" s="171">
        <f t="shared" si="94"/>
        <v>0</v>
      </c>
      <c r="AI179" s="171">
        <f t="shared" si="95"/>
        <v>0</v>
      </c>
      <c r="AJ179" s="171">
        <f>IF('Invoer gegevens'!$I$27="DAEB",SMALL(AC179:AD179,1),AC179)</f>
        <v>0</v>
      </c>
      <c r="AK179" s="171">
        <f>IF('Invoer gegevens'!$I$27="DAEB",SMALL((AE179:AH179),1),SMALL((AF179:AH179),1))</f>
        <v>0</v>
      </c>
      <c r="AL179" s="171">
        <f t="shared" si="116"/>
        <v>0</v>
      </c>
      <c r="AM179" s="171">
        <f t="shared" si="117"/>
        <v>0</v>
      </c>
      <c r="AN179" s="175">
        <f t="shared" si="112"/>
        <v>0</v>
      </c>
      <c r="AP179" s="184">
        <f t="shared" ca="1" si="113"/>
        <v>2193</v>
      </c>
      <c r="AQ179" s="185">
        <f t="shared" si="96"/>
        <v>0.02</v>
      </c>
      <c r="AR179" s="182">
        <f t="shared" si="87"/>
        <v>31.505305037876241</v>
      </c>
      <c r="AU179" s="184">
        <f t="shared" ca="1" si="114"/>
        <v>2193</v>
      </c>
      <c r="AV179" s="182">
        <f t="shared" si="97"/>
        <v>0.02</v>
      </c>
      <c r="AW179" s="179">
        <f t="shared" si="98"/>
        <v>5.0000000000000001E-3</v>
      </c>
      <c r="AX179" s="182">
        <f t="shared" si="99"/>
        <v>2.5000000000000001E-2</v>
      </c>
      <c r="AY179" s="186"/>
      <c r="AZ179" s="190"/>
      <c r="BA179" s="184">
        <f t="shared" ca="1" si="115"/>
        <v>2193</v>
      </c>
      <c r="BB179" s="171">
        <f t="shared" si="100"/>
        <v>0</v>
      </c>
      <c r="BC179" s="171">
        <f t="shared" si="89"/>
        <v>21717.773730822017</v>
      </c>
      <c r="BD179" s="171">
        <f t="shared" si="126"/>
        <v>0</v>
      </c>
      <c r="BE179" s="171">
        <f t="shared" si="126"/>
        <v>0</v>
      </c>
      <c r="BF179" s="171">
        <f t="shared" si="126"/>
        <v>0</v>
      </c>
      <c r="BG179" s="171">
        <f t="shared" si="125"/>
        <v>0</v>
      </c>
      <c r="BI179" s="187">
        <f>IF(A179-'Invoer gegevens'!$C$17&lt;0,0,IF(A179-'Invoer gegevens'!$C$17=0,1,IF(A179-'Invoer gegevens'!$C$17&lt;5,2,IF(A179-'Invoer gegevens'!$C$17&lt;15,3,4))))</f>
        <v>0</v>
      </c>
      <c r="BJ179" s="229">
        <f>IF(BI179&lt;1,0,IF(BI179&lt;2,4%,IF('Reeksen (N)'!BI179&lt;3,4%,IF('Reeksen (N)'!BI179&lt;4,4%*70%,IF('Reeksen (N)'!BI179&lt;5,4%*50%)))))</f>
        <v>0</v>
      </c>
    </row>
    <row r="180" spans="1:62" x14ac:dyDescent="0.25">
      <c r="A180" s="184">
        <f t="shared" si="101"/>
        <v>175</v>
      </c>
      <c r="B180" s="179">
        <f>Dashboard!$D$25</f>
        <v>0</v>
      </c>
      <c r="C180" s="179">
        <f>Dashboard!$D$25</f>
        <v>0</v>
      </c>
      <c r="D180" s="180">
        <f t="shared" si="90"/>
        <v>0</v>
      </c>
      <c r="E180" s="189"/>
      <c r="F180" s="184">
        <f t="shared" ca="1" si="102"/>
        <v>2194</v>
      </c>
      <c r="G180" s="179">
        <f t="shared" si="122"/>
        <v>0.02</v>
      </c>
      <c r="H180" s="182">
        <f t="shared" si="103"/>
        <v>32.166635374105439</v>
      </c>
      <c r="I180" s="179">
        <f t="shared" si="123"/>
        <v>2.5000000000000001E-2</v>
      </c>
      <c r="J180" s="182">
        <f t="shared" si="104"/>
        <v>75.804575672538277</v>
      </c>
      <c r="K180" s="179">
        <f t="shared" si="124"/>
        <v>2.5000000000000001E-2</v>
      </c>
      <c r="L180" s="182">
        <f t="shared" si="105"/>
        <v>75.804575672538277</v>
      </c>
      <c r="M180" s="189"/>
      <c r="N180" s="184">
        <f t="shared" ca="1" si="106"/>
        <v>2194</v>
      </c>
      <c r="O180" s="179">
        <f t="shared" si="118"/>
        <v>0.02</v>
      </c>
      <c r="P180" s="182">
        <f t="shared" si="86"/>
        <v>32.135411138633764</v>
      </c>
      <c r="R180" s="184">
        <f t="shared" ca="1" si="107"/>
        <v>2194</v>
      </c>
      <c r="S180" s="188">
        <f t="shared" si="120"/>
        <v>5.3600000000000002E-3</v>
      </c>
      <c r="U180" s="184">
        <f t="shared" ca="1" si="108"/>
        <v>2194</v>
      </c>
      <c r="V180" s="182">
        <f t="shared" si="91"/>
        <v>0.02</v>
      </c>
      <c r="W180" s="180">
        <f>Parameters!$D$15</f>
        <v>5.0000000000000001E-3</v>
      </c>
      <c r="X180" s="182">
        <f t="shared" si="92"/>
        <v>2.5000000000000001E-2</v>
      </c>
      <c r="Y180" s="182">
        <f t="shared" si="109"/>
        <v>75.879296810120124</v>
      </c>
      <c r="AA180" s="189"/>
      <c r="AB180" s="184">
        <f t="shared" ca="1" si="110"/>
        <v>2194</v>
      </c>
      <c r="AC180" s="171">
        <f t="shared" si="93"/>
        <v>0</v>
      </c>
      <c r="AD180" s="171">
        <f t="shared" si="88"/>
        <v>0</v>
      </c>
      <c r="AE180" s="171">
        <f t="shared" si="119"/>
        <v>22152.129205438458</v>
      </c>
      <c r="AF180" s="171">
        <f t="shared" si="111"/>
        <v>0</v>
      </c>
      <c r="AG180" s="171">
        <f t="shared" si="121"/>
        <v>0</v>
      </c>
      <c r="AH180" s="171">
        <f t="shared" si="94"/>
        <v>0</v>
      </c>
      <c r="AI180" s="171">
        <f t="shared" si="95"/>
        <v>0</v>
      </c>
      <c r="AJ180" s="171">
        <f>IF('Invoer gegevens'!$I$27="DAEB",SMALL(AC180:AD180,1),AC180)</f>
        <v>0</v>
      </c>
      <c r="AK180" s="171">
        <f>IF('Invoer gegevens'!$I$27="DAEB",SMALL((AE180:AH180),1),SMALL((AF180:AH180),1))</f>
        <v>0</v>
      </c>
      <c r="AL180" s="171">
        <f t="shared" si="116"/>
        <v>0</v>
      </c>
      <c r="AM180" s="171">
        <f t="shared" si="117"/>
        <v>0</v>
      </c>
      <c r="AN180" s="175">
        <f t="shared" si="112"/>
        <v>0</v>
      </c>
      <c r="AP180" s="184">
        <f t="shared" ca="1" si="113"/>
        <v>2194</v>
      </c>
      <c r="AQ180" s="185">
        <f t="shared" si="96"/>
        <v>0.02</v>
      </c>
      <c r="AR180" s="182">
        <f t="shared" si="87"/>
        <v>32.135411138633764</v>
      </c>
      <c r="AU180" s="184">
        <f t="shared" ca="1" si="114"/>
        <v>2194</v>
      </c>
      <c r="AV180" s="182">
        <f t="shared" si="97"/>
        <v>0.02</v>
      </c>
      <c r="AW180" s="179">
        <f t="shared" si="98"/>
        <v>5.0000000000000001E-3</v>
      </c>
      <c r="AX180" s="182">
        <f t="shared" si="99"/>
        <v>2.5000000000000001E-2</v>
      </c>
      <c r="AY180" s="186"/>
      <c r="AZ180" s="190"/>
      <c r="BA180" s="184">
        <f t="shared" ca="1" si="115"/>
        <v>2194</v>
      </c>
      <c r="BB180" s="171">
        <f t="shared" si="100"/>
        <v>0</v>
      </c>
      <c r="BC180" s="171">
        <f t="shared" si="89"/>
        <v>22152.129205438458</v>
      </c>
      <c r="BD180" s="171">
        <f t="shared" si="126"/>
        <v>0</v>
      </c>
      <c r="BE180" s="171">
        <f t="shared" si="126"/>
        <v>0</v>
      </c>
      <c r="BF180" s="171">
        <f t="shared" si="126"/>
        <v>0</v>
      </c>
      <c r="BG180" s="171">
        <f t="shared" si="125"/>
        <v>0</v>
      </c>
      <c r="BI180" s="187">
        <f>IF(A180-'Invoer gegevens'!$C$17&lt;0,0,IF(A180-'Invoer gegevens'!$C$17=0,1,IF(A180-'Invoer gegevens'!$C$17&lt;5,2,IF(A180-'Invoer gegevens'!$C$17&lt;15,3,4))))</f>
        <v>0</v>
      </c>
      <c r="BJ180" s="229">
        <f>IF(BI180&lt;1,0,IF(BI180&lt;2,4%,IF('Reeksen (N)'!BI180&lt;3,4%,IF('Reeksen (N)'!BI180&lt;4,4%*70%,IF('Reeksen (N)'!BI180&lt;5,4%*50%)))))</f>
        <v>0</v>
      </c>
    </row>
    <row r="181" spans="1:62" x14ac:dyDescent="0.25">
      <c r="A181" s="184">
        <f t="shared" si="101"/>
        <v>176</v>
      </c>
      <c r="B181" s="179">
        <f>Dashboard!$D$25</f>
        <v>0</v>
      </c>
      <c r="C181" s="179">
        <f>Dashboard!$D$25</f>
        <v>0</v>
      </c>
      <c r="D181" s="180">
        <f t="shared" si="90"/>
        <v>0</v>
      </c>
      <c r="E181" s="189"/>
      <c r="F181" s="184">
        <f t="shared" ca="1" si="102"/>
        <v>2195</v>
      </c>
      <c r="G181" s="179">
        <f t="shared" si="122"/>
        <v>0.02</v>
      </c>
      <c r="H181" s="182">
        <f t="shared" si="103"/>
        <v>32.809968081587549</v>
      </c>
      <c r="I181" s="179">
        <f t="shared" si="123"/>
        <v>2.5000000000000001E-2</v>
      </c>
      <c r="J181" s="182">
        <f t="shared" si="104"/>
        <v>77.699690064351728</v>
      </c>
      <c r="K181" s="179">
        <f t="shared" si="124"/>
        <v>2.5000000000000001E-2</v>
      </c>
      <c r="L181" s="182">
        <f t="shared" si="105"/>
        <v>77.699690064351728</v>
      </c>
      <c r="M181" s="189"/>
      <c r="N181" s="184">
        <f t="shared" ca="1" si="106"/>
        <v>2195</v>
      </c>
      <c r="O181" s="179">
        <f t="shared" si="118"/>
        <v>0.02</v>
      </c>
      <c r="P181" s="182">
        <f t="shared" si="86"/>
        <v>32.778119361406439</v>
      </c>
      <c r="R181" s="184">
        <f t="shared" ca="1" si="107"/>
        <v>2195</v>
      </c>
      <c r="S181" s="188">
        <f t="shared" si="120"/>
        <v>5.3600000000000002E-3</v>
      </c>
      <c r="U181" s="184">
        <f t="shared" ca="1" si="108"/>
        <v>2195</v>
      </c>
      <c r="V181" s="182">
        <f t="shared" si="91"/>
        <v>0.02</v>
      </c>
      <c r="W181" s="180">
        <f>Parameters!$D$15</f>
        <v>5.0000000000000001E-3</v>
      </c>
      <c r="X181" s="182">
        <f t="shared" si="92"/>
        <v>2.5000000000000001E-2</v>
      </c>
      <c r="Y181" s="182">
        <f t="shared" si="109"/>
        <v>77.77627923037312</v>
      </c>
      <c r="AA181" s="189"/>
      <c r="AB181" s="184">
        <f t="shared" ca="1" si="110"/>
        <v>2195</v>
      </c>
      <c r="AC181" s="171">
        <f t="shared" si="93"/>
        <v>0</v>
      </c>
      <c r="AD181" s="171">
        <f t="shared" si="88"/>
        <v>0</v>
      </c>
      <c r="AE181" s="171">
        <f t="shared" si="119"/>
        <v>22595.171789547228</v>
      </c>
      <c r="AF181" s="171">
        <f t="shared" si="111"/>
        <v>0</v>
      </c>
      <c r="AG181" s="171">
        <f t="shared" si="121"/>
        <v>0</v>
      </c>
      <c r="AH181" s="171">
        <f t="shared" si="94"/>
        <v>0</v>
      </c>
      <c r="AI181" s="171">
        <f t="shared" si="95"/>
        <v>0</v>
      </c>
      <c r="AJ181" s="171">
        <f>IF('Invoer gegevens'!$I$27="DAEB",SMALL(AC181:AD181,1),AC181)</f>
        <v>0</v>
      </c>
      <c r="AK181" s="171">
        <f>IF('Invoer gegevens'!$I$27="DAEB",SMALL((AE181:AH181),1),SMALL((AF181:AH181),1))</f>
        <v>0</v>
      </c>
      <c r="AL181" s="171">
        <f t="shared" si="116"/>
        <v>0</v>
      </c>
      <c r="AM181" s="171">
        <f t="shared" si="117"/>
        <v>0</v>
      </c>
      <c r="AN181" s="175">
        <f t="shared" si="112"/>
        <v>0</v>
      </c>
      <c r="AP181" s="184">
        <f t="shared" ca="1" si="113"/>
        <v>2195</v>
      </c>
      <c r="AQ181" s="185">
        <f t="shared" si="96"/>
        <v>0.02</v>
      </c>
      <c r="AR181" s="182">
        <f t="shared" si="87"/>
        <v>32.778119361406439</v>
      </c>
      <c r="AU181" s="184">
        <f t="shared" ca="1" si="114"/>
        <v>2195</v>
      </c>
      <c r="AV181" s="182">
        <f t="shared" si="97"/>
        <v>0.02</v>
      </c>
      <c r="AW181" s="179">
        <f t="shared" si="98"/>
        <v>5.0000000000000001E-3</v>
      </c>
      <c r="AX181" s="182">
        <f t="shared" si="99"/>
        <v>2.5000000000000001E-2</v>
      </c>
      <c r="AY181" s="186"/>
      <c r="AZ181" s="190"/>
      <c r="BA181" s="184">
        <f t="shared" ca="1" si="115"/>
        <v>2195</v>
      </c>
      <c r="BB181" s="171">
        <f t="shared" si="100"/>
        <v>0</v>
      </c>
      <c r="BC181" s="171">
        <f t="shared" si="89"/>
        <v>22595.171789547228</v>
      </c>
      <c r="BD181" s="171">
        <f t="shared" si="126"/>
        <v>0</v>
      </c>
      <c r="BE181" s="171">
        <f t="shared" si="126"/>
        <v>0</v>
      </c>
      <c r="BF181" s="171">
        <f t="shared" si="126"/>
        <v>0</v>
      </c>
      <c r="BG181" s="171">
        <f t="shared" si="125"/>
        <v>0</v>
      </c>
      <c r="BI181" s="187">
        <f>IF(A181-'Invoer gegevens'!$C$17&lt;0,0,IF(A181-'Invoer gegevens'!$C$17=0,1,IF(A181-'Invoer gegevens'!$C$17&lt;5,2,IF(A181-'Invoer gegevens'!$C$17&lt;15,3,4))))</f>
        <v>0</v>
      </c>
      <c r="BJ181" s="229">
        <f>IF(BI181&lt;1,0,IF(BI181&lt;2,4%,IF('Reeksen (N)'!BI181&lt;3,4%,IF('Reeksen (N)'!BI181&lt;4,4%*70%,IF('Reeksen (N)'!BI181&lt;5,4%*50%)))))</f>
        <v>0</v>
      </c>
    </row>
    <row r="182" spans="1:62" x14ac:dyDescent="0.25">
      <c r="A182" s="184">
        <f t="shared" si="101"/>
        <v>177</v>
      </c>
      <c r="B182" s="179">
        <f>Dashboard!$D$25</f>
        <v>0</v>
      </c>
      <c r="C182" s="179">
        <f>Dashboard!$D$25</f>
        <v>0</v>
      </c>
      <c r="D182" s="180">
        <f t="shared" si="90"/>
        <v>0</v>
      </c>
      <c r="E182" s="189"/>
      <c r="F182" s="184">
        <f t="shared" ca="1" si="102"/>
        <v>2196</v>
      </c>
      <c r="G182" s="179">
        <f t="shared" si="122"/>
        <v>0.02</v>
      </c>
      <c r="H182" s="182">
        <f t="shared" si="103"/>
        <v>33.466167443219298</v>
      </c>
      <c r="I182" s="179">
        <f t="shared" si="123"/>
        <v>2.5000000000000001E-2</v>
      </c>
      <c r="J182" s="182">
        <f t="shared" si="104"/>
        <v>79.642182315960511</v>
      </c>
      <c r="K182" s="179">
        <f t="shared" si="124"/>
        <v>2.5000000000000001E-2</v>
      </c>
      <c r="L182" s="182">
        <f t="shared" si="105"/>
        <v>79.642182315960511</v>
      </c>
      <c r="M182" s="189"/>
      <c r="N182" s="184">
        <f t="shared" ca="1" si="106"/>
        <v>2196</v>
      </c>
      <c r="O182" s="179">
        <f t="shared" si="118"/>
        <v>0.02</v>
      </c>
      <c r="P182" s="182">
        <f t="shared" si="86"/>
        <v>33.433681748634569</v>
      </c>
      <c r="R182" s="184">
        <f t="shared" ca="1" si="107"/>
        <v>2196</v>
      </c>
      <c r="S182" s="188">
        <f t="shared" si="120"/>
        <v>5.3600000000000002E-3</v>
      </c>
      <c r="U182" s="184">
        <f t="shared" ca="1" si="108"/>
        <v>2196</v>
      </c>
      <c r="V182" s="182">
        <f t="shared" si="91"/>
        <v>0.02</v>
      </c>
      <c r="W182" s="180">
        <f>Parameters!$D$15</f>
        <v>5.0000000000000001E-3</v>
      </c>
      <c r="X182" s="182">
        <f t="shared" si="92"/>
        <v>2.5000000000000001E-2</v>
      </c>
      <c r="Y182" s="182">
        <f t="shared" si="109"/>
        <v>79.720686211132445</v>
      </c>
      <c r="AA182" s="189"/>
      <c r="AB182" s="184">
        <f t="shared" ca="1" si="110"/>
        <v>2196</v>
      </c>
      <c r="AC182" s="171">
        <f t="shared" si="93"/>
        <v>0</v>
      </c>
      <c r="AD182" s="171">
        <f t="shared" si="88"/>
        <v>0</v>
      </c>
      <c r="AE182" s="171">
        <f t="shared" si="119"/>
        <v>23047.075225338172</v>
      </c>
      <c r="AF182" s="171">
        <f t="shared" si="111"/>
        <v>0</v>
      </c>
      <c r="AG182" s="171">
        <f t="shared" si="121"/>
        <v>0</v>
      </c>
      <c r="AH182" s="171">
        <f t="shared" si="94"/>
        <v>0</v>
      </c>
      <c r="AI182" s="171">
        <f t="shared" si="95"/>
        <v>0</v>
      </c>
      <c r="AJ182" s="171">
        <f>IF('Invoer gegevens'!$I$27="DAEB",SMALL(AC182:AD182,1),AC182)</f>
        <v>0</v>
      </c>
      <c r="AK182" s="171">
        <f>IF('Invoer gegevens'!$I$27="DAEB",SMALL((AE182:AH182),1),SMALL((AF182:AH182),1))</f>
        <v>0</v>
      </c>
      <c r="AL182" s="171">
        <f t="shared" si="116"/>
        <v>0</v>
      </c>
      <c r="AM182" s="171">
        <f t="shared" si="117"/>
        <v>0</v>
      </c>
      <c r="AN182" s="175">
        <f t="shared" si="112"/>
        <v>0</v>
      </c>
      <c r="AP182" s="184">
        <f t="shared" ca="1" si="113"/>
        <v>2196</v>
      </c>
      <c r="AQ182" s="185">
        <f t="shared" si="96"/>
        <v>0.02</v>
      </c>
      <c r="AR182" s="182">
        <f t="shared" si="87"/>
        <v>33.433681748634569</v>
      </c>
      <c r="AU182" s="184">
        <f t="shared" ca="1" si="114"/>
        <v>2196</v>
      </c>
      <c r="AV182" s="182">
        <f t="shared" si="97"/>
        <v>0.02</v>
      </c>
      <c r="AW182" s="179">
        <f t="shared" si="98"/>
        <v>5.0000000000000001E-3</v>
      </c>
      <c r="AX182" s="182">
        <f t="shared" si="99"/>
        <v>2.5000000000000001E-2</v>
      </c>
      <c r="AY182" s="186"/>
      <c r="AZ182" s="190"/>
      <c r="BA182" s="184">
        <f t="shared" ca="1" si="115"/>
        <v>2196</v>
      </c>
      <c r="BB182" s="171">
        <f t="shared" si="100"/>
        <v>0</v>
      </c>
      <c r="BC182" s="171">
        <f t="shared" si="89"/>
        <v>23047.075225338172</v>
      </c>
      <c r="BD182" s="171">
        <f t="shared" si="126"/>
        <v>0</v>
      </c>
      <c r="BE182" s="171">
        <f t="shared" si="126"/>
        <v>0</v>
      </c>
      <c r="BF182" s="171">
        <f t="shared" si="126"/>
        <v>0</v>
      </c>
      <c r="BG182" s="171">
        <f t="shared" si="125"/>
        <v>0</v>
      </c>
      <c r="BI182" s="187">
        <f>IF(A182-'Invoer gegevens'!$C$17&lt;0,0,IF(A182-'Invoer gegevens'!$C$17=0,1,IF(A182-'Invoer gegevens'!$C$17&lt;5,2,IF(A182-'Invoer gegevens'!$C$17&lt;15,3,4))))</f>
        <v>0</v>
      </c>
      <c r="BJ182" s="229">
        <f>IF(BI182&lt;1,0,IF(BI182&lt;2,4%,IF('Reeksen (N)'!BI182&lt;3,4%,IF('Reeksen (N)'!BI182&lt;4,4%*70%,IF('Reeksen (N)'!BI182&lt;5,4%*50%)))))</f>
        <v>0</v>
      </c>
    </row>
    <row r="183" spans="1:62" x14ac:dyDescent="0.25">
      <c r="A183" s="184">
        <f t="shared" si="101"/>
        <v>178</v>
      </c>
      <c r="B183" s="179">
        <f>Dashboard!$D$25</f>
        <v>0</v>
      </c>
      <c r="C183" s="179">
        <f>Dashboard!$D$25</f>
        <v>0</v>
      </c>
      <c r="D183" s="180">
        <f t="shared" si="90"/>
        <v>0</v>
      </c>
      <c r="E183" s="189"/>
      <c r="F183" s="184">
        <f t="shared" ca="1" si="102"/>
        <v>2197</v>
      </c>
      <c r="G183" s="179">
        <f t="shared" si="122"/>
        <v>0.02</v>
      </c>
      <c r="H183" s="182">
        <f t="shared" si="103"/>
        <v>34.135490792083687</v>
      </c>
      <c r="I183" s="179">
        <f t="shared" si="123"/>
        <v>2.5000000000000001E-2</v>
      </c>
      <c r="J183" s="182">
        <f t="shared" si="104"/>
        <v>81.633236873859516</v>
      </c>
      <c r="K183" s="179">
        <f t="shared" si="124"/>
        <v>2.5000000000000001E-2</v>
      </c>
      <c r="L183" s="182">
        <f t="shared" si="105"/>
        <v>81.633236873859516</v>
      </c>
      <c r="M183" s="189"/>
      <c r="N183" s="184">
        <f t="shared" ca="1" si="106"/>
        <v>2197</v>
      </c>
      <c r="O183" s="179">
        <f t="shared" si="118"/>
        <v>0.02</v>
      </c>
      <c r="P183" s="182">
        <f t="shared" si="86"/>
        <v>34.102355383607261</v>
      </c>
      <c r="R183" s="184">
        <f t="shared" ca="1" si="107"/>
        <v>2197</v>
      </c>
      <c r="S183" s="188">
        <f t="shared" si="120"/>
        <v>5.3600000000000002E-3</v>
      </c>
      <c r="U183" s="184">
        <f t="shared" ca="1" si="108"/>
        <v>2197</v>
      </c>
      <c r="V183" s="182">
        <f t="shared" si="91"/>
        <v>0.02</v>
      </c>
      <c r="W183" s="180">
        <f>Parameters!$D$15</f>
        <v>5.0000000000000001E-3</v>
      </c>
      <c r="X183" s="182">
        <f t="shared" si="92"/>
        <v>2.5000000000000001E-2</v>
      </c>
      <c r="Y183" s="182">
        <f t="shared" si="109"/>
        <v>81.713703366410755</v>
      </c>
      <c r="AA183" s="189"/>
      <c r="AB183" s="184">
        <f t="shared" ca="1" si="110"/>
        <v>2197</v>
      </c>
      <c r="AC183" s="171">
        <f t="shared" si="93"/>
        <v>0</v>
      </c>
      <c r="AD183" s="171">
        <f t="shared" si="88"/>
        <v>0</v>
      </c>
      <c r="AE183" s="171">
        <f t="shared" si="119"/>
        <v>23508.016729844938</v>
      </c>
      <c r="AF183" s="171">
        <f t="shared" si="111"/>
        <v>0</v>
      </c>
      <c r="AG183" s="171">
        <f t="shared" si="121"/>
        <v>0</v>
      </c>
      <c r="AH183" s="171">
        <f t="shared" si="94"/>
        <v>0</v>
      </c>
      <c r="AI183" s="171">
        <f t="shared" si="95"/>
        <v>0</v>
      </c>
      <c r="AJ183" s="171">
        <f>IF('Invoer gegevens'!$I$27="DAEB",SMALL(AC183:AD183,1),AC183)</f>
        <v>0</v>
      </c>
      <c r="AK183" s="171">
        <f>IF('Invoer gegevens'!$I$27="DAEB",SMALL((AE183:AH183),1),SMALL((AF183:AH183),1))</f>
        <v>0</v>
      </c>
      <c r="AL183" s="171">
        <f t="shared" si="116"/>
        <v>0</v>
      </c>
      <c r="AM183" s="171">
        <f t="shared" si="117"/>
        <v>0</v>
      </c>
      <c r="AN183" s="175">
        <f t="shared" si="112"/>
        <v>0</v>
      </c>
      <c r="AP183" s="184">
        <f t="shared" ca="1" si="113"/>
        <v>2197</v>
      </c>
      <c r="AQ183" s="185">
        <f t="shared" si="96"/>
        <v>0.02</v>
      </c>
      <c r="AR183" s="182">
        <f t="shared" si="87"/>
        <v>34.102355383607261</v>
      </c>
      <c r="AU183" s="184">
        <f t="shared" ca="1" si="114"/>
        <v>2197</v>
      </c>
      <c r="AV183" s="182">
        <f t="shared" si="97"/>
        <v>0.02</v>
      </c>
      <c r="AW183" s="179">
        <f t="shared" si="98"/>
        <v>5.0000000000000001E-3</v>
      </c>
      <c r="AX183" s="182">
        <f t="shared" si="99"/>
        <v>2.5000000000000001E-2</v>
      </c>
      <c r="AY183" s="186"/>
      <c r="AZ183" s="190"/>
      <c r="BA183" s="184">
        <f t="shared" ca="1" si="115"/>
        <v>2197</v>
      </c>
      <c r="BB183" s="171">
        <f t="shared" si="100"/>
        <v>0</v>
      </c>
      <c r="BC183" s="171">
        <f t="shared" si="89"/>
        <v>23508.016729844938</v>
      </c>
      <c r="BD183" s="171">
        <f t="shared" si="126"/>
        <v>0</v>
      </c>
      <c r="BE183" s="171">
        <f t="shared" si="126"/>
        <v>0</v>
      </c>
      <c r="BF183" s="171">
        <f t="shared" si="126"/>
        <v>0</v>
      </c>
      <c r="BG183" s="171">
        <f t="shared" si="125"/>
        <v>0</v>
      </c>
      <c r="BI183" s="187">
        <f>IF(A183-'Invoer gegevens'!$C$17&lt;0,0,IF(A183-'Invoer gegevens'!$C$17=0,1,IF(A183-'Invoer gegevens'!$C$17&lt;5,2,IF(A183-'Invoer gegevens'!$C$17&lt;15,3,4))))</f>
        <v>0</v>
      </c>
      <c r="BJ183" s="229">
        <f>IF(BI183&lt;1,0,IF(BI183&lt;2,4%,IF('Reeksen (N)'!BI183&lt;3,4%,IF('Reeksen (N)'!BI183&lt;4,4%*70%,IF('Reeksen (N)'!BI183&lt;5,4%*50%)))))</f>
        <v>0</v>
      </c>
    </row>
    <row r="184" spans="1:62" x14ac:dyDescent="0.25">
      <c r="A184" s="184">
        <f t="shared" si="101"/>
        <v>179</v>
      </c>
      <c r="B184" s="179">
        <f>Dashboard!$D$25</f>
        <v>0</v>
      </c>
      <c r="C184" s="179">
        <f>Dashboard!$D$25</f>
        <v>0</v>
      </c>
      <c r="D184" s="180">
        <f t="shared" si="90"/>
        <v>0</v>
      </c>
      <c r="E184" s="189"/>
      <c r="F184" s="184">
        <f t="shared" ca="1" si="102"/>
        <v>2198</v>
      </c>
      <c r="G184" s="179">
        <f t="shared" si="122"/>
        <v>0.02</v>
      </c>
      <c r="H184" s="182">
        <f t="shared" si="103"/>
        <v>34.818200607925363</v>
      </c>
      <c r="I184" s="179">
        <f t="shared" si="123"/>
        <v>2.5000000000000001E-2</v>
      </c>
      <c r="J184" s="182">
        <f t="shared" si="104"/>
        <v>83.674067795705994</v>
      </c>
      <c r="K184" s="179">
        <f t="shared" si="124"/>
        <v>2.5000000000000001E-2</v>
      </c>
      <c r="L184" s="182">
        <f t="shared" si="105"/>
        <v>83.674067795705994</v>
      </c>
      <c r="M184" s="189"/>
      <c r="N184" s="184">
        <f t="shared" ca="1" si="106"/>
        <v>2198</v>
      </c>
      <c r="O184" s="179">
        <f t="shared" si="118"/>
        <v>0.02</v>
      </c>
      <c r="P184" s="182">
        <f t="shared" si="86"/>
        <v>34.784402491279408</v>
      </c>
      <c r="R184" s="184">
        <f t="shared" ca="1" si="107"/>
        <v>2198</v>
      </c>
      <c r="S184" s="188">
        <f t="shared" si="120"/>
        <v>5.3600000000000002E-3</v>
      </c>
      <c r="U184" s="184">
        <f t="shared" ca="1" si="108"/>
        <v>2198</v>
      </c>
      <c r="V184" s="182">
        <f t="shared" si="91"/>
        <v>0.02</v>
      </c>
      <c r="W184" s="180">
        <f>Parameters!$D$15</f>
        <v>5.0000000000000001E-3</v>
      </c>
      <c r="X184" s="182">
        <f t="shared" si="92"/>
        <v>2.5000000000000001E-2</v>
      </c>
      <c r="Y184" s="182">
        <f t="shared" si="109"/>
        <v>83.756545950571009</v>
      </c>
      <c r="AA184" s="189"/>
      <c r="AB184" s="184">
        <f t="shared" ca="1" si="110"/>
        <v>2198</v>
      </c>
      <c r="AC184" s="171">
        <f t="shared" si="93"/>
        <v>0</v>
      </c>
      <c r="AD184" s="171">
        <f t="shared" si="88"/>
        <v>0</v>
      </c>
      <c r="AE184" s="171">
        <f t="shared" si="119"/>
        <v>23978.177064441836</v>
      </c>
      <c r="AF184" s="171">
        <f t="shared" si="111"/>
        <v>0</v>
      </c>
      <c r="AG184" s="171">
        <f t="shared" si="121"/>
        <v>0</v>
      </c>
      <c r="AH184" s="171">
        <f t="shared" si="94"/>
        <v>0</v>
      </c>
      <c r="AI184" s="171">
        <f t="shared" si="95"/>
        <v>0</v>
      </c>
      <c r="AJ184" s="171">
        <f>IF('Invoer gegevens'!$I$27="DAEB",SMALL(AC184:AD184,1),AC184)</f>
        <v>0</v>
      </c>
      <c r="AK184" s="171">
        <f>IF('Invoer gegevens'!$I$27="DAEB",SMALL((AE184:AH184),1),SMALL((AF184:AH184),1))</f>
        <v>0</v>
      </c>
      <c r="AL184" s="171">
        <f t="shared" si="116"/>
        <v>0</v>
      </c>
      <c r="AM184" s="171">
        <f t="shared" si="117"/>
        <v>0</v>
      </c>
      <c r="AN184" s="175">
        <f t="shared" si="112"/>
        <v>0</v>
      </c>
      <c r="AP184" s="184">
        <f t="shared" ca="1" si="113"/>
        <v>2198</v>
      </c>
      <c r="AQ184" s="185">
        <f t="shared" si="96"/>
        <v>0.02</v>
      </c>
      <c r="AR184" s="182">
        <f t="shared" si="87"/>
        <v>34.784402491279408</v>
      </c>
      <c r="AU184" s="184">
        <f t="shared" ca="1" si="114"/>
        <v>2198</v>
      </c>
      <c r="AV184" s="182">
        <f t="shared" si="97"/>
        <v>0.02</v>
      </c>
      <c r="AW184" s="179">
        <f t="shared" si="98"/>
        <v>5.0000000000000001E-3</v>
      </c>
      <c r="AX184" s="182">
        <f t="shared" si="99"/>
        <v>2.5000000000000001E-2</v>
      </c>
      <c r="AY184" s="186"/>
      <c r="AZ184" s="190"/>
      <c r="BA184" s="184">
        <f t="shared" ca="1" si="115"/>
        <v>2198</v>
      </c>
      <c r="BB184" s="171">
        <f t="shared" si="100"/>
        <v>0</v>
      </c>
      <c r="BC184" s="171">
        <f t="shared" si="89"/>
        <v>23978.177064441836</v>
      </c>
      <c r="BD184" s="171">
        <f t="shared" si="126"/>
        <v>0</v>
      </c>
      <c r="BE184" s="171">
        <f t="shared" si="126"/>
        <v>0</v>
      </c>
      <c r="BF184" s="171">
        <f t="shared" si="126"/>
        <v>0</v>
      </c>
      <c r="BG184" s="171">
        <f t="shared" si="125"/>
        <v>0</v>
      </c>
      <c r="BI184" s="187">
        <f>IF(A184-'Invoer gegevens'!$C$17&lt;0,0,IF(A184-'Invoer gegevens'!$C$17=0,1,IF(A184-'Invoer gegevens'!$C$17&lt;5,2,IF(A184-'Invoer gegevens'!$C$17&lt;15,3,4))))</f>
        <v>0</v>
      </c>
      <c r="BJ184" s="229">
        <f>IF(BI184&lt;1,0,IF(BI184&lt;2,4%,IF('Reeksen (N)'!BI184&lt;3,4%,IF('Reeksen (N)'!BI184&lt;4,4%*70%,IF('Reeksen (N)'!BI184&lt;5,4%*50%)))))</f>
        <v>0</v>
      </c>
    </row>
    <row r="185" spans="1:62" x14ac:dyDescent="0.25">
      <c r="A185" s="184">
        <f t="shared" si="101"/>
        <v>180</v>
      </c>
      <c r="B185" s="179">
        <f>Dashboard!$D$25</f>
        <v>0</v>
      </c>
      <c r="C185" s="179">
        <f>Dashboard!$D$25</f>
        <v>0</v>
      </c>
      <c r="D185" s="180">
        <f t="shared" si="90"/>
        <v>0</v>
      </c>
      <c r="E185" s="189"/>
      <c r="F185" s="184">
        <f t="shared" ca="1" si="102"/>
        <v>2199</v>
      </c>
      <c r="G185" s="179">
        <f t="shared" si="122"/>
        <v>0.02</v>
      </c>
      <c r="H185" s="182">
        <f t="shared" si="103"/>
        <v>35.514564620083867</v>
      </c>
      <c r="I185" s="179">
        <f t="shared" si="123"/>
        <v>2.5000000000000001E-2</v>
      </c>
      <c r="J185" s="182">
        <f t="shared" si="104"/>
        <v>85.765919490598634</v>
      </c>
      <c r="K185" s="179">
        <f t="shared" si="124"/>
        <v>2.5000000000000001E-2</v>
      </c>
      <c r="L185" s="182">
        <f t="shared" si="105"/>
        <v>85.765919490598634</v>
      </c>
      <c r="M185" s="189"/>
      <c r="N185" s="184">
        <f t="shared" ca="1" si="106"/>
        <v>2199</v>
      </c>
      <c r="O185" s="179">
        <f t="shared" si="118"/>
        <v>0.02</v>
      </c>
      <c r="P185" s="182">
        <f t="shared" si="86"/>
        <v>35.480090541105</v>
      </c>
      <c r="R185" s="184">
        <f t="shared" ca="1" si="107"/>
        <v>2199</v>
      </c>
      <c r="S185" s="188">
        <f t="shared" si="120"/>
        <v>5.3600000000000002E-3</v>
      </c>
      <c r="U185" s="184">
        <f t="shared" ca="1" si="108"/>
        <v>2199</v>
      </c>
      <c r="V185" s="182">
        <f t="shared" si="91"/>
        <v>0.02</v>
      </c>
      <c r="W185" s="180">
        <f>Parameters!$D$15</f>
        <v>5.0000000000000001E-3</v>
      </c>
      <c r="X185" s="182">
        <f t="shared" si="92"/>
        <v>2.5000000000000001E-2</v>
      </c>
      <c r="Y185" s="182">
        <f t="shared" si="109"/>
        <v>85.850459599335281</v>
      </c>
      <c r="AA185" s="189"/>
      <c r="AB185" s="184">
        <f t="shared" ca="1" si="110"/>
        <v>2199</v>
      </c>
      <c r="AC185" s="171">
        <f t="shared" si="93"/>
        <v>0</v>
      </c>
      <c r="AD185" s="171">
        <f t="shared" si="88"/>
        <v>0</v>
      </c>
      <c r="AE185" s="171">
        <f t="shared" si="119"/>
        <v>24457.740605730673</v>
      </c>
      <c r="AF185" s="171">
        <f t="shared" si="111"/>
        <v>0</v>
      </c>
      <c r="AG185" s="171">
        <f t="shared" si="121"/>
        <v>0</v>
      </c>
      <c r="AH185" s="171">
        <f t="shared" si="94"/>
        <v>0</v>
      </c>
      <c r="AI185" s="171">
        <f t="shared" si="95"/>
        <v>0</v>
      </c>
      <c r="AJ185" s="171">
        <f>IF('Invoer gegevens'!$I$27="DAEB",SMALL(AC185:AD185,1),AC185)</f>
        <v>0</v>
      </c>
      <c r="AK185" s="171">
        <f>IF('Invoer gegevens'!$I$27="DAEB",SMALL((AE185:AH185),1),SMALL((AF185:AH185),1))</f>
        <v>0</v>
      </c>
      <c r="AL185" s="171">
        <f t="shared" si="116"/>
        <v>0</v>
      </c>
      <c r="AM185" s="171">
        <f t="shared" si="117"/>
        <v>0</v>
      </c>
      <c r="AN185" s="175">
        <f t="shared" si="112"/>
        <v>0</v>
      </c>
      <c r="AP185" s="184">
        <f t="shared" ca="1" si="113"/>
        <v>2199</v>
      </c>
      <c r="AQ185" s="185">
        <f t="shared" si="96"/>
        <v>0.02</v>
      </c>
      <c r="AR185" s="182">
        <f t="shared" si="87"/>
        <v>35.480090541105</v>
      </c>
      <c r="AU185" s="184">
        <f t="shared" ca="1" si="114"/>
        <v>2199</v>
      </c>
      <c r="AV185" s="182">
        <f t="shared" si="97"/>
        <v>0.02</v>
      </c>
      <c r="AW185" s="179">
        <f t="shared" si="98"/>
        <v>5.0000000000000001E-3</v>
      </c>
      <c r="AX185" s="182">
        <f t="shared" si="99"/>
        <v>2.5000000000000001E-2</v>
      </c>
      <c r="AY185" s="186"/>
      <c r="AZ185" s="190"/>
      <c r="BA185" s="184">
        <f t="shared" ca="1" si="115"/>
        <v>2199</v>
      </c>
      <c r="BB185" s="171">
        <f t="shared" si="100"/>
        <v>0</v>
      </c>
      <c r="BC185" s="171">
        <f t="shared" si="89"/>
        <v>24457.740605730673</v>
      </c>
      <c r="BD185" s="171">
        <f t="shared" si="126"/>
        <v>0</v>
      </c>
      <c r="BE185" s="171">
        <f t="shared" si="126"/>
        <v>0</v>
      </c>
      <c r="BF185" s="171">
        <f t="shared" si="126"/>
        <v>0</v>
      </c>
      <c r="BG185" s="171">
        <f t="shared" si="125"/>
        <v>0</v>
      </c>
      <c r="BI185" s="187">
        <f>IF(A185-'Invoer gegevens'!$C$17&lt;0,0,IF(A185-'Invoer gegevens'!$C$17=0,1,IF(A185-'Invoer gegevens'!$C$17&lt;5,2,IF(A185-'Invoer gegevens'!$C$17&lt;15,3,4))))</f>
        <v>0</v>
      </c>
      <c r="BJ185" s="229">
        <f>IF(BI185&lt;1,0,IF(BI185&lt;2,4%,IF('Reeksen (N)'!BI185&lt;3,4%,IF('Reeksen (N)'!BI185&lt;4,4%*70%,IF('Reeksen (N)'!BI185&lt;5,4%*50%)))))</f>
        <v>0</v>
      </c>
    </row>
    <row r="186" spans="1:62" x14ac:dyDescent="0.25">
      <c r="A186" s="184">
        <f t="shared" si="101"/>
        <v>181</v>
      </c>
      <c r="B186" s="179">
        <f>Dashboard!$D$25</f>
        <v>0</v>
      </c>
      <c r="C186" s="179">
        <f>Dashboard!$D$25</f>
        <v>0</v>
      </c>
      <c r="D186" s="180">
        <f t="shared" si="90"/>
        <v>0</v>
      </c>
      <c r="E186" s="189"/>
      <c r="F186" s="184">
        <f t="shared" ca="1" si="102"/>
        <v>2200</v>
      </c>
      <c r="G186" s="179">
        <f t="shared" si="122"/>
        <v>0.02</v>
      </c>
      <c r="H186" s="182">
        <f t="shared" si="103"/>
        <v>36.224855912485545</v>
      </c>
      <c r="I186" s="179">
        <f t="shared" si="123"/>
        <v>2.5000000000000001E-2</v>
      </c>
      <c r="J186" s="182">
        <f t="shared" si="104"/>
        <v>87.910067477863592</v>
      </c>
      <c r="K186" s="179">
        <f t="shared" si="124"/>
        <v>2.5000000000000001E-2</v>
      </c>
      <c r="L186" s="182">
        <f t="shared" si="105"/>
        <v>87.910067477863592</v>
      </c>
      <c r="M186" s="189"/>
      <c r="N186" s="184">
        <f t="shared" ca="1" si="106"/>
        <v>2200</v>
      </c>
      <c r="O186" s="179">
        <f t="shared" si="118"/>
        <v>0.02</v>
      </c>
      <c r="P186" s="182">
        <f t="shared" ref="P186:P234" si="127">P185*(1+O186)</f>
        <v>36.1896923519271</v>
      </c>
      <c r="R186" s="184">
        <f t="shared" ca="1" si="107"/>
        <v>2200</v>
      </c>
      <c r="S186" s="188">
        <f t="shared" si="120"/>
        <v>5.3600000000000002E-3</v>
      </c>
      <c r="U186" s="184">
        <f t="shared" ca="1" si="108"/>
        <v>2200</v>
      </c>
      <c r="V186" s="182">
        <f t="shared" si="91"/>
        <v>0.02</v>
      </c>
      <c r="W186" s="180">
        <f>Parameters!$D$15</f>
        <v>5.0000000000000001E-3</v>
      </c>
      <c r="X186" s="182">
        <f t="shared" si="92"/>
        <v>2.5000000000000001E-2</v>
      </c>
      <c r="Y186" s="182">
        <f t="shared" si="109"/>
        <v>87.996721089318655</v>
      </c>
      <c r="AA186" s="189"/>
      <c r="AB186" s="184">
        <f t="shared" ca="1" si="110"/>
        <v>2200</v>
      </c>
      <c r="AC186" s="171">
        <f t="shared" si="93"/>
        <v>0</v>
      </c>
      <c r="AD186" s="171">
        <f t="shared" si="88"/>
        <v>0</v>
      </c>
      <c r="AE186" s="171">
        <f t="shared" si="119"/>
        <v>24946.895417845288</v>
      </c>
      <c r="AF186" s="171">
        <f t="shared" si="111"/>
        <v>0</v>
      </c>
      <c r="AG186" s="171">
        <f t="shared" si="121"/>
        <v>0</v>
      </c>
      <c r="AH186" s="171">
        <f t="shared" si="94"/>
        <v>0</v>
      </c>
      <c r="AI186" s="171">
        <f t="shared" si="95"/>
        <v>0</v>
      </c>
      <c r="AJ186" s="171">
        <f>IF('Invoer gegevens'!$I$27="DAEB",SMALL(AC186:AD186,1),AC186)</f>
        <v>0</v>
      </c>
      <c r="AK186" s="171">
        <f>IF('Invoer gegevens'!$I$27="DAEB",SMALL((AE186:AH186),1),SMALL((AF186:AH186),1))</f>
        <v>0</v>
      </c>
      <c r="AL186" s="171">
        <f t="shared" si="116"/>
        <v>0</v>
      </c>
      <c r="AM186" s="171">
        <f t="shared" si="117"/>
        <v>0</v>
      </c>
      <c r="AN186" s="175">
        <f t="shared" si="112"/>
        <v>0</v>
      </c>
      <c r="AP186" s="184">
        <f t="shared" ca="1" si="113"/>
        <v>2200</v>
      </c>
      <c r="AQ186" s="185">
        <f t="shared" si="96"/>
        <v>0.02</v>
      </c>
      <c r="AR186" s="182">
        <f t="shared" ref="AR186:AR234" si="128">AR185*(1+AQ186)</f>
        <v>36.1896923519271</v>
      </c>
      <c r="AU186" s="184">
        <f t="shared" ca="1" si="114"/>
        <v>2200</v>
      </c>
      <c r="AV186" s="182">
        <f t="shared" si="97"/>
        <v>0.02</v>
      </c>
      <c r="AW186" s="179">
        <f t="shared" si="98"/>
        <v>5.0000000000000001E-3</v>
      </c>
      <c r="AX186" s="182">
        <f t="shared" si="99"/>
        <v>2.5000000000000001E-2</v>
      </c>
      <c r="AY186" s="186"/>
      <c r="AZ186" s="190"/>
      <c r="BA186" s="184">
        <f t="shared" ca="1" si="115"/>
        <v>2200</v>
      </c>
      <c r="BB186" s="171">
        <f t="shared" si="100"/>
        <v>0</v>
      </c>
      <c r="BC186" s="171">
        <f t="shared" si="89"/>
        <v>24946.895417845288</v>
      </c>
      <c r="BD186" s="171">
        <f t="shared" si="126"/>
        <v>0</v>
      </c>
      <c r="BE186" s="171">
        <f t="shared" si="126"/>
        <v>0</v>
      </c>
      <c r="BF186" s="171">
        <f t="shared" si="126"/>
        <v>0</v>
      </c>
      <c r="BG186" s="171">
        <f t="shared" si="125"/>
        <v>0</v>
      </c>
      <c r="BI186" s="187">
        <f>IF(A186-'Invoer gegevens'!$C$17&lt;0,0,IF(A186-'Invoer gegevens'!$C$17=0,1,IF(A186-'Invoer gegevens'!$C$17&lt;5,2,IF(A186-'Invoer gegevens'!$C$17&lt;15,3,4))))</f>
        <v>0</v>
      </c>
      <c r="BJ186" s="229">
        <f>IF(BI186&lt;1,0,IF(BI186&lt;2,4%,IF('Reeksen (N)'!BI186&lt;3,4%,IF('Reeksen (N)'!BI186&lt;4,4%*70%,IF('Reeksen (N)'!BI186&lt;5,4%*50%)))))</f>
        <v>0</v>
      </c>
    </row>
    <row r="187" spans="1:62" x14ac:dyDescent="0.25">
      <c r="A187" s="184">
        <f t="shared" si="101"/>
        <v>182</v>
      </c>
      <c r="B187" s="179">
        <f>Dashboard!$D$25</f>
        <v>0</v>
      </c>
      <c r="C187" s="179">
        <f>Dashboard!$D$25</f>
        <v>0</v>
      </c>
      <c r="D187" s="180">
        <f t="shared" si="90"/>
        <v>0</v>
      </c>
      <c r="E187" s="189"/>
      <c r="F187" s="184">
        <f t="shared" ca="1" si="102"/>
        <v>2201</v>
      </c>
      <c r="G187" s="179">
        <f t="shared" si="122"/>
        <v>0.02</v>
      </c>
      <c r="H187" s="182">
        <f t="shared" si="103"/>
        <v>36.949353030735253</v>
      </c>
      <c r="I187" s="179">
        <f t="shared" si="123"/>
        <v>2.5000000000000001E-2</v>
      </c>
      <c r="J187" s="182">
        <f t="shared" si="104"/>
        <v>90.107819164810181</v>
      </c>
      <c r="K187" s="179">
        <f t="shared" si="124"/>
        <v>2.5000000000000001E-2</v>
      </c>
      <c r="L187" s="182">
        <f t="shared" si="105"/>
        <v>90.107819164810181</v>
      </c>
      <c r="M187" s="189"/>
      <c r="N187" s="184">
        <f t="shared" ca="1" si="106"/>
        <v>2201</v>
      </c>
      <c r="O187" s="179">
        <f t="shared" si="118"/>
        <v>0.02</v>
      </c>
      <c r="P187" s="182">
        <f t="shared" si="127"/>
        <v>36.913486198965643</v>
      </c>
      <c r="R187" s="184">
        <f t="shared" ca="1" si="107"/>
        <v>2201</v>
      </c>
      <c r="S187" s="188">
        <f t="shared" si="120"/>
        <v>5.3600000000000002E-3</v>
      </c>
      <c r="U187" s="184">
        <f t="shared" ca="1" si="108"/>
        <v>2201</v>
      </c>
      <c r="V187" s="182">
        <f t="shared" si="91"/>
        <v>0.02</v>
      </c>
      <c r="W187" s="180">
        <f>Parameters!$D$15</f>
        <v>5.0000000000000001E-3</v>
      </c>
      <c r="X187" s="182">
        <f t="shared" si="92"/>
        <v>2.5000000000000001E-2</v>
      </c>
      <c r="Y187" s="182">
        <f t="shared" si="109"/>
        <v>90.196639116551609</v>
      </c>
      <c r="AA187" s="189"/>
      <c r="AB187" s="184">
        <f t="shared" ca="1" si="110"/>
        <v>2201</v>
      </c>
      <c r="AC187" s="171">
        <f t="shared" si="93"/>
        <v>0</v>
      </c>
      <c r="AD187" s="171">
        <f t="shared" si="88"/>
        <v>0</v>
      </c>
      <c r="AE187" s="171">
        <f t="shared" si="119"/>
        <v>25445.833326202195</v>
      </c>
      <c r="AF187" s="171">
        <f t="shared" si="111"/>
        <v>0</v>
      </c>
      <c r="AG187" s="171">
        <f t="shared" si="121"/>
        <v>0</v>
      </c>
      <c r="AH187" s="171">
        <f t="shared" si="94"/>
        <v>0</v>
      </c>
      <c r="AI187" s="171">
        <f t="shared" si="95"/>
        <v>0</v>
      </c>
      <c r="AJ187" s="171">
        <f>IF('Invoer gegevens'!$I$27="DAEB",SMALL(AC187:AD187,1),AC187)</f>
        <v>0</v>
      </c>
      <c r="AK187" s="171">
        <f>IF('Invoer gegevens'!$I$27="DAEB",SMALL((AE187:AH187),1),SMALL((AF187:AH187),1))</f>
        <v>0</v>
      </c>
      <c r="AL187" s="171">
        <f t="shared" si="116"/>
        <v>0</v>
      </c>
      <c r="AM187" s="171">
        <f t="shared" si="117"/>
        <v>0</v>
      </c>
      <c r="AN187" s="175">
        <f t="shared" si="112"/>
        <v>0</v>
      </c>
      <c r="AP187" s="184">
        <f t="shared" ca="1" si="113"/>
        <v>2201</v>
      </c>
      <c r="AQ187" s="185">
        <f t="shared" si="96"/>
        <v>0.02</v>
      </c>
      <c r="AR187" s="182">
        <f t="shared" si="128"/>
        <v>36.913486198965643</v>
      </c>
      <c r="AU187" s="184">
        <f t="shared" ca="1" si="114"/>
        <v>2201</v>
      </c>
      <c r="AV187" s="182">
        <f t="shared" si="97"/>
        <v>0.02</v>
      </c>
      <c r="AW187" s="179">
        <f t="shared" si="98"/>
        <v>5.0000000000000001E-3</v>
      </c>
      <c r="AX187" s="182">
        <f t="shared" si="99"/>
        <v>2.5000000000000001E-2</v>
      </c>
      <c r="AY187" s="186"/>
      <c r="AZ187" s="190"/>
      <c r="BA187" s="184">
        <f t="shared" ca="1" si="115"/>
        <v>2201</v>
      </c>
      <c r="BB187" s="171">
        <f t="shared" si="100"/>
        <v>0</v>
      </c>
      <c r="BC187" s="171">
        <f t="shared" si="89"/>
        <v>25445.833326202195</v>
      </c>
      <c r="BD187" s="171">
        <f t="shared" si="126"/>
        <v>0</v>
      </c>
      <c r="BE187" s="171">
        <f t="shared" si="126"/>
        <v>0</v>
      </c>
      <c r="BF187" s="171">
        <f t="shared" si="126"/>
        <v>0</v>
      </c>
      <c r="BG187" s="171">
        <f t="shared" si="125"/>
        <v>0</v>
      </c>
      <c r="BI187" s="187">
        <f>IF(A187-'Invoer gegevens'!$C$17&lt;0,0,IF(A187-'Invoer gegevens'!$C$17=0,1,IF(A187-'Invoer gegevens'!$C$17&lt;5,2,IF(A187-'Invoer gegevens'!$C$17&lt;15,3,4))))</f>
        <v>0</v>
      </c>
      <c r="BJ187" s="229">
        <f>IF(BI187&lt;1,0,IF(BI187&lt;2,4%,IF('Reeksen (N)'!BI187&lt;3,4%,IF('Reeksen (N)'!BI187&lt;4,4%*70%,IF('Reeksen (N)'!BI187&lt;5,4%*50%)))))</f>
        <v>0</v>
      </c>
    </row>
    <row r="188" spans="1:62" x14ac:dyDescent="0.25">
      <c r="A188" s="184">
        <f t="shared" si="101"/>
        <v>183</v>
      </c>
      <c r="B188" s="179">
        <f>Dashboard!$D$25</f>
        <v>0</v>
      </c>
      <c r="C188" s="179">
        <f>Dashboard!$D$25</f>
        <v>0</v>
      </c>
      <c r="D188" s="180">
        <f t="shared" si="90"/>
        <v>0</v>
      </c>
      <c r="E188" s="189"/>
      <c r="F188" s="184">
        <f t="shared" ca="1" si="102"/>
        <v>2202</v>
      </c>
      <c r="G188" s="179">
        <f t="shared" si="122"/>
        <v>0.02</v>
      </c>
      <c r="H188" s="182">
        <f t="shared" si="103"/>
        <v>37.688340091349957</v>
      </c>
      <c r="I188" s="179">
        <f t="shared" si="123"/>
        <v>2.5000000000000001E-2</v>
      </c>
      <c r="J188" s="182">
        <f t="shared" si="104"/>
        <v>92.360514643930429</v>
      </c>
      <c r="K188" s="179">
        <f t="shared" si="124"/>
        <v>2.5000000000000001E-2</v>
      </c>
      <c r="L188" s="182">
        <f t="shared" si="105"/>
        <v>92.360514643930429</v>
      </c>
      <c r="M188" s="189"/>
      <c r="N188" s="184">
        <f t="shared" ca="1" si="106"/>
        <v>2202</v>
      </c>
      <c r="O188" s="179">
        <f t="shared" si="118"/>
        <v>0.02</v>
      </c>
      <c r="P188" s="182">
        <f t="shared" si="127"/>
        <v>37.651755922944957</v>
      </c>
      <c r="R188" s="184">
        <f t="shared" ca="1" si="107"/>
        <v>2202</v>
      </c>
      <c r="S188" s="188">
        <f t="shared" si="120"/>
        <v>5.3600000000000002E-3</v>
      </c>
      <c r="U188" s="184">
        <f t="shared" ca="1" si="108"/>
        <v>2202</v>
      </c>
      <c r="V188" s="182">
        <f t="shared" si="91"/>
        <v>0.02</v>
      </c>
      <c r="W188" s="180">
        <f>Parameters!$D$15</f>
        <v>5.0000000000000001E-3</v>
      </c>
      <c r="X188" s="182">
        <f t="shared" si="92"/>
        <v>2.5000000000000001E-2</v>
      </c>
      <c r="Y188" s="182">
        <f t="shared" si="109"/>
        <v>92.451555094465391</v>
      </c>
      <c r="AA188" s="189"/>
      <c r="AB188" s="184">
        <f t="shared" ca="1" si="110"/>
        <v>2202</v>
      </c>
      <c r="AC188" s="171">
        <f t="shared" si="93"/>
        <v>0</v>
      </c>
      <c r="AD188" s="171">
        <f t="shared" si="88"/>
        <v>0</v>
      </c>
      <c r="AE188" s="171">
        <f t="shared" si="119"/>
        <v>25954.74999272624</v>
      </c>
      <c r="AF188" s="171">
        <f t="shared" si="111"/>
        <v>0</v>
      </c>
      <c r="AG188" s="171">
        <f t="shared" si="121"/>
        <v>0</v>
      </c>
      <c r="AH188" s="171">
        <f t="shared" si="94"/>
        <v>0</v>
      </c>
      <c r="AI188" s="171">
        <f t="shared" si="95"/>
        <v>0</v>
      </c>
      <c r="AJ188" s="171">
        <f>IF('Invoer gegevens'!$I$27="DAEB",SMALL(AC188:AD188,1),AC188)</f>
        <v>0</v>
      </c>
      <c r="AK188" s="171">
        <f>IF('Invoer gegevens'!$I$27="DAEB",SMALL((AE188:AH188),1),SMALL((AF188:AH188),1))</f>
        <v>0</v>
      </c>
      <c r="AL188" s="171">
        <f t="shared" si="116"/>
        <v>0</v>
      </c>
      <c r="AM188" s="171">
        <f t="shared" si="117"/>
        <v>0</v>
      </c>
      <c r="AN188" s="175">
        <f t="shared" si="112"/>
        <v>0</v>
      </c>
      <c r="AP188" s="184">
        <f t="shared" ca="1" si="113"/>
        <v>2202</v>
      </c>
      <c r="AQ188" s="185">
        <f t="shared" si="96"/>
        <v>0.02</v>
      </c>
      <c r="AR188" s="182">
        <f t="shared" si="128"/>
        <v>37.651755922944957</v>
      </c>
      <c r="AU188" s="184">
        <f t="shared" ca="1" si="114"/>
        <v>2202</v>
      </c>
      <c r="AV188" s="182">
        <f t="shared" si="97"/>
        <v>0.02</v>
      </c>
      <c r="AW188" s="179">
        <f t="shared" si="98"/>
        <v>5.0000000000000001E-3</v>
      </c>
      <c r="AX188" s="182">
        <f t="shared" si="99"/>
        <v>2.5000000000000001E-2</v>
      </c>
      <c r="AY188" s="186"/>
      <c r="AZ188" s="190"/>
      <c r="BA188" s="184">
        <f t="shared" ca="1" si="115"/>
        <v>2202</v>
      </c>
      <c r="BB188" s="171">
        <f t="shared" si="100"/>
        <v>0</v>
      </c>
      <c r="BC188" s="171">
        <f t="shared" si="89"/>
        <v>25954.74999272624</v>
      </c>
      <c r="BD188" s="171">
        <f t="shared" si="126"/>
        <v>0</v>
      </c>
      <c r="BE188" s="171">
        <f t="shared" si="126"/>
        <v>0</v>
      </c>
      <c r="BF188" s="171">
        <f t="shared" si="126"/>
        <v>0</v>
      </c>
      <c r="BG188" s="171">
        <f t="shared" si="125"/>
        <v>0</v>
      </c>
      <c r="BI188" s="187">
        <f>IF(A188-'Invoer gegevens'!$C$17&lt;0,0,IF(A188-'Invoer gegevens'!$C$17=0,1,IF(A188-'Invoer gegevens'!$C$17&lt;5,2,IF(A188-'Invoer gegevens'!$C$17&lt;15,3,4))))</f>
        <v>0</v>
      </c>
      <c r="BJ188" s="229">
        <f>IF(BI188&lt;1,0,IF(BI188&lt;2,4%,IF('Reeksen (N)'!BI188&lt;3,4%,IF('Reeksen (N)'!BI188&lt;4,4%*70%,IF('Reeksen (N)'!BI188&lt;5,4%*50%)))))</f>
        <v>0</v>
      </c>
    </row>
    <row r="189" spans="1:62" x14ac:dyDescent="0.25">
      <c r="A189" s="184">
        <f t="shared" si="101"/>
        <v>184</v>
      </c>
      <c r="B189" s="179">
        <f>Dashboard!$D$25</f>
        <v>0</v>
      </c>
      <c r="C189" s="179">
        <f>Dashboard!$D$25</f>
        <v>0</v>
      </c>
      <c r="D189" s="180">
        <f t="shared" si="90"/>
        <v>0</v>
      </c>
      <c r="E189" s="189"/>
      <c r="F189" s="184">
        <f t="shared" ca="1" si="102"/>
        <v>2203</v>
      </c>
      <c r="G189" s="179">
        <f t="shared" si="122"/>
        <v>0.02</v>
      </c>
      <c r="H189" s="182">
        <f t="shared" si="103"/>
        <v>38.442106893176955</v>
      </c>
      <c r="I189" s="179">
        <f t="shared" si="123"/>
        <v>2.5000000000000001E-2</v>
      </c>
      <c r="J189" s="182">
        <f t="shared" si="104"/>
        <v>94.669527510028686</v>
      </c>
      <c r="K189" s="179">
        <f t="shared" si="124"/>
        <v>2.5000000000000001E-2</v>
      </c>
      <c r="L189" s="182">
        <f t="shared" si="105"/>
        <v>94.669527510028686</v>
      </c>
      <c r="M189" s="189"/>
      <c r="N189" s="184">
        <f t="shared" ca="1" si="106"/>
        <v>2203</v>
      </c>
      <c r="O189" s="179">
        <f t="shared" si="118"/>
        <v>0.02</v>
      </c>
      <c r="P189" s="182">
        <f t="shared" si="127"/>
        <v>38.404791041403854</v>
      </c>
      <c r="R189" s="184">
        <f t="shared" ca="1" si="107"/>
        <v>2203</v>
      </c>
      <c r="S189" s="188">
        <f t="shared" si="120"/>
        <v>5.3600000000000002E-3</v>
      </c>
      <c r="U189" s="184">
        <f t="shared" ca="1" si="108"/>
        <v>2203</v>
      </c>
      <c r="V189" s="182">
        <f t="shared" si="91"/>
        <v>0.02</v>
      </c>
      <c r="W189" s="180">
        <f>Parameters!$D$15</f>
        <v>5.0000000000000001E-3</v>
      </c>
      <c r="X189" s="182">
        <f t="shared" si="92"/>
        <v>2.5000000000000001E-2</v>
      </c>
      <c r="Y189" s="182">
        <f t="shared" si="109"/>
        <v>94.762843971827024</v>
      </c>
      <c r="AA189" s="189"/>
      <c r="AB189" s="184">
        <f t="shared" ca="1" si="110"/>
        <v>2203</v>
      </c>
      <c r="AC189" s="171">
        <f t="shared" si="93"/>
        <v>0</v>
      </c>
      <c r="AD189" s="171">
        <f t="shared" si="88"/>
        <v>0</v>
      </c>
      <c r="AE189" s="171">
        <f t="shared" si="119"/>
        <v>26473.844992580765</v>
      </c>
      <c r="AF189" s="171">
        <f t="shared" si="111"/>
        <v>0</v>
      </c>
      <c r="AG189" s="171">
        <f t="shared" si="121"/>
        <v>0</v>
      </c>
      <c r="AH189" s="171">
        <f t="shared" si="94"/>
        <v>0</v>
      </c>
      <c r="AI189" s="171">
        <f t="shared" si="95"/>
        <v>0</v>
      </c>
      <c r="AJ189" s="171">
        <f>IF('Invoer gegevens'!$I$27="DAEB",SMALL(AC189:AD189,1),AC189)</f>
        <v>0</v>
      </c>
      <c r="AK189" s="171">
        <f>IF('Invoer gegevens'!$I$27="DAEB",SMALL((AE189:AH189),1),SMALL((AF189:AH189),1))</f>
        <v>0</v>
      </c>
      <c r="AL189" s="171">
        <f t="shared" si="116"/>
        <v>0</v>
      </c>
      <c r="AM189" s="171">
        <f t="shared" si="117"/>
        <v>0</v>
      </c>
      <c r="AN189" s="175">
        <f t="shared" si="112"/>
        <v>0</v>
      </c>
      <c r="AP189" s="184">
        <f t="shared" ca="1" si="113"/>
        <v>2203</v>
      </c>
      <c r="AQ189" s="185">
        <f t="shared" si="96"/>
        <v>0.02</v>
      </c>
      <c r="AR189" s="182">
        <f t="shared" si="128"/>
        <v>38.404791041403854</v>
      </c>
      <c r="AU189" s="184">
        <f t="shared" ca="1" si="114"/>
        <v>2203</v>
      </c>
      <c r="AV189" s="182">
        <f t="shared" si="97"/>
        <v>0.02</v>
      </c>
      <c r="AW189" s="179">
        <f t="shared" si="98"/>
        <v>5.0000000000000001E-3</v>
      </c>
      <c r="AX189" s="182">
        <f t="shared" si="99"/>
        <v>2.5000000000000001E-2</v>
      </c>
      <c r="AY189" s="186"/>
      <c r="AZ189" s="190"/>
      <c r="BA189" s="184">
        <f t="shared" ca="1" si="115"/>
        <v>2203</v>
      </c>
      <c r="BB189" s="171">
        <f t="shared" si="100"/>
        <v>0</v>
      </c>
      <c r="BC189" s="171">
        <f t="shared" si="89"/>
        <v>26473.844992580765</v>
      </c>
      <c r="BD189" s="171">
        <f t="shared" si="126"/>
        <v>0</v>
      </c>
      <c r="BE189" s="171">
        <f t="shared" si="126"/>
        <v>0</v>
      </c>
      <c r="BF189" s="171">
        <f t="shared" si="126"/>
        <v>0</v>
      </c>
      <c r="BG189" s="171">
        <f t="shared" si="125"/>
        <v>0</v>
      </c>
      <c r="BI189" s="187">
        <f>IF(A189-'Invoer gegevens'!$C$17&lt;0,0,IF(A189-'Invoer gegevens'!$C$17=0,1,IF(A189-'Invoer gegevens'!$C$17&lt;5,2,IF(A189-'Invoer gegevens'!$C$17&lt;15,3,4))))</f>
        <v>0</v>
      </c>
      <c r="BJ189" s="229">
        <f>IF(BI189&lt;1,0,IF(BI189&lt;2,4%,IF('Reeksen (N)'!BI189&lt;3,4%,IF('Reeksen (N)'!BI189&lt;4,4%*70%,IF('Reeksen (N)'!BI189&lt;5,4%*50%)))))</f>
        <v>0</v>
      </c>
    </row>
    <row r="190" spans="1:62" x14ac:dyDescent="0.25">
      <c r="A190" s="184">
        <f t="shared" si="101"/>
        <v>185</v>
      </c>
      <c r="B190" s="179">
        <f>Dashboard!$D$25</f>
        <v>0</v>
      </c>
      <c r="C190" s="179">
        <f>Dashboard!$D$25</f>
        <v>0</v>
      </c>
      <c r="D190" s="180">
        <f t="shared" si="90"/>
        <v>0</v>
      </c>
      <c r="E190" s="189"/>
      <c r="F190" s="184">
        <f t="shared" ca="1" si="102"/>
        <v>2204</v>
      </c>
      <c r="G190" s="179">
        <f t="shared" si="122"/>
        <v>0.02</v>
      </c>
      <c r="H190" s="182">
        <f t="shared" si="103"/>
        <v>39.210949031040492</v>
      </c>
      <c r="I190" s="179">
        <f t="shared" si="123"/>
        <v>2.5000000000000001E-2</v>
      </c>
      <c r="J190" s="182">
        <f t="shared" si="104"/>
        <v>97.036265697779399</v>
      </c>
      <c r="K190" s="179">
        <f t="shared" si="124"/>
        <v>2.5000000000000001E-2</v>
      </c>
      <c r="L190" s="182">
        <f t="shared" si="105"/>
        <v>97.036265697779399</v>
      </c>
      <c r="M190" s="189"/>
      <c r="N190" s="184">
        <f t="shared" ca="1" si="106"/>
        <v>2204</v>
      </c>
      <c r="O190" s="179">
        <f t="shared" si="118"/>
        <v>0.02</v>
      </c>
      <c r="P190" s="182">
        <f t="shared" si="127"/>
        <v>39.172886862231934</v>
      </c>
      <c r="R190" s="184">
        <f t="shared" ca="1" si="107"/>
        <v>2204</v>
      </c>
      <c r="S190" s="188">
        <f t="shared" si="120"/>
        <v>5.3600000000000002E-3</v>
      </c>
      <c r="U190" s="184">
        <f t="shared" ca="1" si="108"/>
        <v>2204</v>
      </c>
      <c r="V190" s="182">
        <f t="shared" si="91"/>
        <v>0.02</v>
      </c>
      <c r="W190" s="180">
        <f>Parameters!$D$15</f>
        <v>5.0000000000000001E-3</v>
      </c>
      <c r="X190" s="182">
        <f t="shared" si="92"/>
        <v>2.5000000000000001E-2</v>
      </c>
      <c r="Y190" s="182">
        <f t="shared" si="109"/>
        <v>97.131915071122691</v>
      </c>
      <c r="AA190" s="189"/>
      <c r="AB190" s="184">
        <f t="shared" ca="1" si="110"/>
        <v>2204</v>
      </c>
      <c r="AC190" s="171">
        <f t="shared" si="93"/>
        <v>0</v>
      </c>
      <c r="AD190" s="171">
        <f t="shared" si="88"/>
        <v>0</v>
      </c>
      <c r="AE190" s="171">
        <f t="shared" si="119"/>
        <v>27003.321892432381</v>
      </c>
      <c r="AF190" s="171">
        <f t="shared" si="111"/>
        <v>0</v>
      </c>
      <c r="AG190" s="171">
        <f t="shared" si="121"/>
        <v>0</v>
      </c>
      <c r="AH190" s="171">
        <f t="shared" si="94"/>
        <v>0</v>
      </c>
      <c r="AI190" s="171">
        <f t="shared" si="95"/>
        <v>0</v>
      </c>
      <c r="AJ190" s="171">
        <f>IF('Invoer gegevens'!$I$27="DAEB",SMALL(AC190:AD190,1),AC190)</f>
        <v>0</v>
      </c>
      <c r="AK190" s="171">
        <f>IF('Invoer gegevens'!$I$27="DAEB",SMALL((AE190:AH190),1),SMALL((AF190:AH190),1))</f>
        <v>0</v>
      </c>
      <c r="AL190" s="171">
        <f t="shared" si="116"/>
        <v>0</v>
      </c>
      <c r="AM190" s="171">
        <f t="shared" si="117"/>
        <v>0</v>
      </c>
      <c r="AN190" s="175">
        <f t="shared" si="112"/>
        <v>0</v>
      </c>
      <c r="AP190" s="184">
        <f t="shared" ca="1" si="113"/>
        <v>2204</v>
      </c>
      <c r="AQ190" s="185">
        <f t="shared" si="96"/>
        <v>0.02</v>
      </c>
      <c r="AR190" s="182">
        <f t="shared" si="128"/>
        <v>39.172886862231934</v>
      </c>
      <c r="AU190" s="184">
        <f t="shared" ca="1" si="114"/>
        <v>2204</v>
      </c>
      <c r="AV190" s="182">
        <f t="shared" si="97"/>
        <v>0.02</v>
      </c>
      <c r="AW190" s="179">
        <f t="shared" si="98"/>
        <v>5.0000000000000001E-3</v>
      </c>
      <c r="AX190" s="182">
        <f t="shared" si="99"/>
        <v>2.5000000000000001E-2</v>
      </c>
      <c r="AY190" s="186"/>
      <c r="AZ190" s="190"/>
      <c r="BA190" s="184">
        <f t="shared" ca="1" si="115"/>
        <v>2204</v>
      </c>
      <c r="BB190" s="171">
        <f t="shared" si="100"/>
        <v>0</v>
      </c>
      <c r="BC190" s="171">
        <f t="shared" si="89"/>
        <v>27003.321892432381</v>
      </c>
      <c r="BD190" s="171">
        <f t="shared" si="126"/>
        <v>0</v>
      </c>
      <c r="BE190" s="171">
        <f t="shared" si="126"/>
        <v>0</v>
      </c>
      <c r="BF190" s="171">
        <f t="shared" si="126"/>
        <v>0</v>
      </c>
      <c r="BG190" s="171">
        <f t="shared" si="125"/>
        <v>0</v>
      </c>
      <c r="BI190" s="187">
        <f>IF(A190-'Invoer gegevens'!$C$17&lt;0,0,IF(A190-'Invoer gegevens'!$C$17=0,1,IF(A190-'Invoer gegevens'!$C$17&lt;5,2,IF(A190-'Invoer gegevens'!$C$17&lt;15,3,4))))</f>
        <v>0</v>
      </c>
      <c r="BJ190" s="229">
        <f>IF(BI190&lt;1,0,IF(BI190&lt;2,4%,IF('Reeksen (N)'!BI190&lt;3,4%,IF('Reeksen (N)'!BI190&lt;4,4%*70%,IF('Reeksen (N)'!BI190&lt;5,4%*50%)))))</f>
        <v>0</v>
      </c>
    </row>
    <row r="191" spans="1:62" x14ac:dyDescent="0.25">
      <c r="A191" s="184">
        <f t="shared" si="101"/>
        <v>186</v>
      </c>
      <c r="B191" s="179">
        <f>Dashboard!$D$25</f>
        <v>0</v>
      </c>
      <c r="C191" s="179">
        <f>Dashboard!$D$25</f>
        <v>0</v>
      </c>
      <c r="D191" s="180">
        <f t="shared" si="90"/>
        <v>0</v>
      </c>
      <c r="E191" s="189"/>
      <c r="F191" s="184">
        <f t="shared" ca="1" si="102"/>
        <v>2205</v>
      </c>
      <c r="G191" s="179">
        <f t="shared" si="122"/>
        <v>0.02</v>
      </c>
      <c r="H191" s="182">
        <f t="shared" si="103"/>
        <v>39.995168011661306</v>
      </c>
      <c r="I191" s="179">
        <f t="shared" si="123"/>
        <v>2.5000000000000001E-2</v>
      </c>
      <c r="J191" s="182">
        <f t="shared" si="104"/>
        <v>99.462172340223873</v>
      </c>
      <c r="K191" s="179">
        <f t="shared" si="124"/>
        <v>2.5000000000000001E-2</v>
      </c>
      <c r="L191" s="182">
        <f t="shared" si="105"/>
        <v>99.462172340223873</v>
      </c>
      <c r="M191" s="189"/>
      <c r="N191" s="184">
        <f t="shared" ca="1" si="106"/>
        <v>2205</v>
      </c>
      <c r="O191" s="179">
        <f t="shared" si="118"/>
        <v>0.02</v>
      </c>
      <c r="P191" s="182">
        <f t="shared" si="127"/>
        <v>39.956344599476573</v>
      </c>
      <c r="R191" s="184">
        <f t="shared" ca="1" si="107"/>
        <v>2205</v>
      </c>
      <c r="S191" s="188">
        <f t="shared" si="120"/>
        <v>5.3600000000000002E-3</v>
      </c>
      <c r="U191" s="184">
        <f t="shared" ca="1" si="108"/>
        <v>2205</v>
      </c>
      <c r="V191" s="182">
        <f t="shared" si="91"/>
        <v>0.02</v>
      </c>
      <c r="W191" s="180">
        <f>Parameters!$D$15</f>
        <v>5.0000000000000001E-3</v>
      </c>
      <c r="X191" s="182">
        <f t="shared" si="92"/>
        <v>2.5000000000000001E-2</v>
      </c>
      <c r="Y191" s="182">
        <f t="shared" si="109"/>
        <v>99.560212947900752</v>
      </c>
      <c r="AA191" s="189"/>
      <c r="AB191" s="184">
        <f t="shared" ca="1" si="110"/>
        <v>2205</v>
      </c>
      <c r="AC191" s="171">
        <f t="shared" si="93"/>
        <v>0</v>
      </c>
      <c r="AD191" s="171">
        <f t="shared" si="88"/>
        <v>0</v>
      </c>
      <c r="AE191" s="171">
        <f t="shared" si="119"/>
        <v>27543.388330281028</v>
      </c>
      <c r="AF191" s="171">
        <f t="shared" si="111"/>
        <v>0</v>
      </c>
      <c r="AG191" s="171">
        <f t="shared" si="121"/>
        <v>0</v>
      </c>
      <c r="AH191" s="171">
        <f t="shared" si="94"/>
        <v>0</v>
      </c>
      <c r="AI191" s="171">
        <f t="shared" si="95"/>
        <v>0</v>
      </c>
      <c r="AJ191" s="171">
        <f>IF('Invoer gegevens'!$I$27="DAEB",SMALL(AC191:AD191,1),AC191)</f>
        <v>0</v>
      </c>
      <c r="AK191" s="171">
        <f>IF('Invoer gegevens'!$I$27="DAEB",SMALL((AE191:AH191),1),SMALL((AF191:AH191),1))</f>
        <v>0</v>
      </c>
      <c r="AL191" s="171">
        <f t="shared" si="116"/>
        <v>0</v>
      </c>
      <c r="AM191" s="171">
        <f t="shared" si="117"/>
        <v>0</v>
      </c>
      <c r="AN191" s="175">
        <f t="shared" si="112"/>
        <v>0</v>
      </c>
      <c r="AP191" s="184">
        <f t="shared" ca="1" si="113"/>
        <v>2205</v>
      </c>
      <c r="AQ191" s="185">
        <f t="shared" si="96"/>
        <v>0.02</v>
      </c>
      <c r="AR191" s="182">
        <f t="shared" si="128"/>
        <v>39.956344599476573</v>
      </c>
      <c r="AU191" s="184">
        <f t="shared" ca="1" si="114"/>
        <v>2205</v>
      </c>
      <c r="AV191" s="182">
        <f t="shared" si="97"/>
        <v>0.02</v>
      </c>
      <c r="AW191" s="179">
        <f t="shared" si="98"/>
        <v>5.0000000000000001E-3</v>
      </c>
      <c r="AX191" s="182">
        <f t="shared" si="99"/>
        <v>2.5000000000000001E-2</v>
      </c>
      <c r="AY191" s="186"/>
      <c r="AZ191" s="190"/>
      <c r="BA191" s="184">
        <f t="shared" ca="1" si="115"/>
        <v>2205</v>
      </c>
      <c r="BB191" s="171">
        <f t="shared" si="100"/>
        <v>0</v>
      </c>
      <c r="BC191" s="171">
        <f t="shared" si="89"/>
        <v>27543.388330281028</v>
      </c>
      <c r="BD191" s="171">
        <f t="shared" si="126"/>
        <v>0</v>
      </c>
      <c r="BE191" s="171">
        <f t="shared" si="126"/>
        <v>0</v>
      </c>
      <c r="BF191" s="171">
        <f t="shared" si="126"/>
        <v>0</v>
      </c>
      <c r="BG191" s="171">
        <f t="shared" si="125"/>
        <v>0</v>
      </c>
      <c r="BI191" s="187">
        <f>IF(A191-'Invoer gegevens'!$C$17&lt;0,0,IF(A191-'Invoer gegevens'!$C$17=0,1,IF(A191-'Invoer gegevens'!$C$17&lt;5,2,IF(A191-'Invoer gegevens'!$C$17&lt;15,3,4))))</f>
        <v>0</v>
      </c>
      <c r="BJ191" s="229">
        <f>IF(BI191&lt;1,0,IF(BI191&lt;2,4%,IF('Reeksen (N)'!BI191&lt;3,4%,IF('Reeksen (N)'!BI191&lt;4,4%*70%,IF('Reeksen (N)'!BI191&lt;5,4%*50%)))))</f>
        <v>0</v>
      </c>
    </row>
    <row r="192" spans="1:62" x14ac:dyDescent="0.25">
      <c r="A192" s="184">
        <f t="shared" si="101"/>
        <v>187</v>
      </c>
      <c r="B192" s="179">
        <f>Dashboard!$D$25</f>
        <v>0</v>
      </c>
      <c r="C192" s="179">
        <f>Dashboard!$D$25</f>
        <v>0</v>
      </c>
      <c r="D192" s="180">
        <f t="shared" si="90"/>
        <v>0</v>
      </c>
      <c r="E192" s="189"/>
      <c r="F192" s="184">
        <f t="shared" ca="1" si="102"/>
        <v>2206</v>
      </c>
      <c r="G192" s="179">
        <f t="shared" si="122"/>
        <v>0.02</v>
      </c>
      <c r="H192" s="182">
        <f t="shared" si="103"/>
        <v>40.795071371894537</v>
      </c>
      <c r="I192" s="179">
        <f t="shared" si="123"/>
        <v>2.5000000000000001E-2</v>
      </c>
      <c r="J192" s="182">
        <f t="shared" si="104"/>
        <v>101.94872664872946</v>
      </c>
      <c r="K192" s="179">
        <f t="shared" si="124"/>
        <v>2.5000000000000001E-2</v>
      </c>
      <c r="L192" s="182">
        <f t="shared" si="105"/>
        <v>101.94872664872946</v>
      </c>
      <c r="M192" s="189"/>
      <c r="N192" s="184">
        <f t="shared" ca="1" si="106"/>
        <v>2206</v>
      </c>
      <c r="O192" s="179">
        <f t="shared" si="118"/>
        <v>0.02</v>
      </c>
      <c r="P192" s="182">
        <f t="shared" si="127"/>
        <v>40.755471491466103</v>
      </c>
      <c r="R192" s="184">
        <f t="shared" ca="1" si="107"/>
        <v>2206</v>
      </c>
      <c r="S192" s="188">
        <f t="shared" si="120"/>
        <v>5.3600000000000002E-3</v>
      </c>
      <c r="U192" s="184">
        <f t="shared" ca="1" si="108"/>
        <v>2206</v>
      </c>
      <c r="V192" s="182">
        <f t="shared" si="91"/>
        <v>0.02</v>
      </c>
      <c r="W192" s="180">
        <f>Parameters!$D$15</f>
        <v>5.0000000000000001E-3</v>
      </c>
      <c r="X192" s="182">
        <f t="shared" si="92"/>
        <v>2.5000000000000001E-2</v>
      </c>
      <c r="Y192" s="182">
        <f t="shared" si="109"/>
        <v>102.04921827159826</v>
      </c>
      <c r="AA192" s="189"/>
      <c r="AB192" s="184">
        <f t="shared" ca="1" si="110"/>
        <v>2206</v>
      </c>
      <c r="AC192" s="171">
        <f t="shared" si="93"/>
        <v>0</v>
      </c>
      <c r="AD192" s="171">
        <f t="shared" si="88"/>
        <v>0</v>
      </c>
      <c r="AE192" s="171">
        <f t="shared" si="119"/>
        <v>28094.256096886649</v>
      </c>
      <c r="AF192" s="171">
        <f t="shared" si="111"/>
        <v>0</v>
      </c>
      <c r="AG192" s="171">
        <f t="shared" si="121"/>
        <v>0</v>
      </c>
      <c r="AH192" s="171">
        <f t="shared" si="94"/>
        <v>0</v>
      </c>
      <c r="AI192" s="171">
        <f t="shared" si="95"/>
        <v>0</v>
      </c>
      <c r="AJ192" s="171">
        <f>IF('Invoer gegevens'!$I$27="DAEB",SMALL(AC192:AD192,1),AC192)</f>
        <v>0</v>
      </c>
      <c r="AK192" s="171">
        <f>IF('Invoer gegevens'!$I$27="DAEB",SMALL((AE192:AH192),1),SMALL((AF192:AH192),1))</f>
        <v>0</v>
      </c>
      <c r="AL192" s="171">
        <f t="shared" si="116"/>
        <v>0</v>
      </c>
      <c r="AM192" s="171">
        <f t="shared" si="117"/>
        <v>0</v>
      </c>
      <c r="AN192" s="175">
        <f t="shared" si="112"/>
        <v>0</v>
      </c>
      <c r="AP192" s="184">
        <f t="shared" ca="1" si="113"/>
        <v>2206</v>
      </c>
      <c r="AQ192" s="185">
        <f t="shared" si="96"/>
        <v>0.02</v>
      </c>
      <c r="AR192" s="182">
        <f t="shared" si="128"/>
        <v>40.755471491466103</v>
      </c>
      <c r="AU192" s="184">
        <f t="shared" ca="1" si="114"/>
        <v>2206</v>
      </c>
      <c r="AV192" s="182">
        <f t="shared" si="97"/>
        <v>0.02</v>
      </c>
      <c r="AW192" s="179">
        <f t="shared" si="98"/>
        <v>5.0000000000000001E-3</v>
      </c>
      <c r="AX192" s="182">
        <f t="shared" si="99"/>
        <v>2.5000000000000001E-2</v>
      </c>
      <c r="AY192" s="186"/>
      <c r="AZ192" s="190"/>
      <c r="BA192" s="184">
        <f t="shared" ca="1" si="115"/>
        <v>2206</v>
      </c>
      <c r="BB192" s="171">
        <f t="shared" si="100"/>
        <v>0</v>
      </c>
      <c r="BC192" s="171">
        <f t="shared" si="89"/>
        <v>28094.256096886649</v>
      </c>
      <c r="BD192" s="171">
        <f t="shared" si="126"/>
        <v>0</v>
      </c>
      <c r="BE192" s="171">
        <f t="shared" si="126"/>
        <v>0</v>
      </c>
      <c r="BF192" s="171">
        <f t="shared" si="126"/>
        <v>0</v>
      </c>
      <c r="BG192" s="171">
        <f t="shared" si="125"/>
        <v>0</v>
      </c>
      <c r="BI192" s="187">
        <f>IF(A192-'Invoer gegevens'!$C$17&lt;0,0,IF(A192-'Invoer gegevens'!$C$17=0,1,IF(A192-'Invoer gegevens'!$C$17&lt;5,2,IF(A192-'Invoer gegevens'!$C$17&lt;15,3,4))))</f>
        <v>0</v>
      </c>
      <c r="BJ192" s="229">
        <f>IF(BI192&lt;1,0,IF(BI192&lt;2,4%,IF('Reeksen (N)'!BI192&lt;3,4%,IF('Reeksen (N)'!BI192&lt;4,4%*70%,IF('Reeksen (N)'!BI192&lt;5,4%*50%)))))</f>
        <v>0</v>
      </c>
    </row>
    <row r="193" spans="1:62" x14ac:dyDescent="0.25">
      <c r="A193" s="184">
        <f t="shared" si="101"/>
        <v>188</v>
      </c>
      <c r="B193" s="179">
        <f>Dashboard!$D$25</f>
        <v>0</v>
      </c>
      <c r="C193" s="179">
        <f>Dashboard!$D$25</f>
        <v>0</v>
      </c>
      <c r="D193" s="180">
        <f t="shared" si="90"/>
        <v>0</v>
      </c>
      <c r="E193" s="189"/>
      <c r="F193" s="184">
        <f t="shared" ca="1" si="102"/>
        <v>2207</v>
      </c>
      <c r="G193" s="179">
        <f t="shared" si="122"/>
        <v>0.02</v>
      </c>
      <c r="H193" s="182">
        <f t="shared" si="103"/>
        <v>41.61097279933243</v>
      </c>
      <c r="I193" s="179">
        <f t="shared" si="123"/>
        <v>2.5000000000000001E-2</v>
      </c>
      <c r="J193" s="182">
        <f t="shared" si="104"/>
        <v>104.49744481494768</v>
      </c>
      <c r="K193" s="179">
        <f t="shared" si="124"/>
        <v>2.5000000000000001E-2</v>
      </c>
      <c r="L193" s="182">
        <f t="shared" si="105"/>
        <v>104.49744481494768</v>
      </c>
      <c r="M193" s="189"/>
      <c r="N193" s="184">
        <f t="shared" ca="1" si="106"/>
        <v>2207</v>
      </c>
      <c r="O193" s="179">
        <f t="shared" si="118"/>
        <v>0.02</v>
      </c>
      <c r="P193" s="182">
        <f t="shared" si="127"/>
        <v>41.570580921295424</v>
      </c>
      <c r="R193" s="184">
        <f t="shared" ca="1" si="107"/>
        <v>2207</v>
      </c>
      <c r="S193" s="188">
        <f t="shared" si="120"/>
        <v>5.3600000000000002E-3</v>
      </c>
      <c r="U193" s="184">
        <f t="shared" ca="1" si="108"/>
        <v>2207</v>
      </c>
      <c r="V193" s="182">
        <f t="shared" si="91"/>
        <v>0.02</v>
      </c>
      <c r="W193" s="180">
        <f>Parameters!$D$15</f>
        <v>5.0000000000000001E-3</v>
      </c>
      <c r="X193" s="182">
        <f t="shared" si="92"/>
        <v>2.5000000000000001E-2</v>
      </c>
      <c r="Y193" s="182">
        <f t="shared" si="109"/>
        <v>104.60044872838822</v>
      </c>
      <c r="AA193" s="189"/>
      <c r="AB193" s="184">
        <f t="shared" ca="1" si="110"/>
        <v>2207</v>
      </c>
      <c r="AC193" s="171">
        <f t="shared" si="93"/>
        <v>0</v>
      </c>
      <c r="AD193" s="171">
        <f t="shared" si="88"/>
        <v>0</v>
      </c>
      <c r="AE193" s="171">
        <f t="shared" si="119"/>
        <v>28656.141218824381</v>
      </c>
      <c r="AF193" s="171">
        <f t="shared" si="111"/>
        <v>0</v>
      </c>
      <c r="AG193" s="171">
        <f t="shared" si="121"/>
        <v>0</v>
      </c>
      <c r="AH193" s="171">
        <f t="shared" si="94"/>
        <v>0</v>
      </c>
      <c r="AI193" s="171">
        <f t="shared" si="95"/>
        <v>0</v>
      </c>
      <c r="AJ193" s="171">
        <f>IF('Invoer gegevens'!$I$27="DAEB",SMALL(AC193:AD193,1),AC193)</f>
        <v>0</v>
      </c>
      <c r="AK193" s="171">
        <f>IF('Invoer gegevens'!$I$27="DAEB",SMALL((AE193:AH193),1),SMALL((AF193:AH193),1))</f>
        <v>0</v>
      </c>
      <c r="AL193" s="171">
        <f t="shared" si="116"/>
        <v>0</v>
      </c>
      <c r="AM193" s="171">
        <f t="shared" si="117"/>
        <v>0</v>
      </c>
      <c r="AN193" s="175">
        <f t="shared" si="112"/>
        <v>0</v>
      </c>
      <c r="AP193" s="184">
        <f t="shared" ca="1" si="113"/>
        <v>2207</v>
      </c>
      <c r="AQ193" s="185">
        <f t="shared" si="96"/>
        <v>0.02</v>
      </c>
      <c r="AR193" s="182">
        <f t="shared" si="128"/>
        <v>41.570580921295424</v>
      </c>
      <c r="AU193" s="184">
        <f t="shared" ca="1" si="114"/>
        <v>2207</v>
      </c>
      <c r="AV193" s="182">
        <f t="shared" si="97"/>
        <v>0.02</v>
      </c>
      <c r="AW193" s="179">
        <f t="shared" si="98"/>
        <v>5.0000000000000001E-3</v>
      </c>
      <c r="AX193" s="182">
        <f t="shared" si="99"/>
        <v>2.5000000000000001E-2</v>
      </c>
      <c r="AY193" s="186"/>
      <c r="AZ193" s="190"/>
      <c r="BA193" s="184">
        <f t="shared" ca="1" si="115"/>
        <v>2207</v>
      </c>
      <c r="BB193" s="171">
        <f t="shared" si="100"/>
        <v>0</v>
      </c>
      <c r="BC193" s="171">
        <f t="shared" si="89"/>
        <v>28656.141218824381</v>
      </c>
      <c r="BD193" s="171">
        <f t="shared" si="126"/>
        <v>0</v>
      </c>
      <c r="BE193" s="171">
        <f t="shared" si="126"/>
        <v>0</v>
      </c>
      <c r="BF193" s="171">
        <f t="shared" si="126"/>
        <v>0</v>
      </c>
      <c r="BG193" s="171">
        <f t="shared" si="125"/>
        <v>0</v>
      </c>
      <c r="BI193" s="187">
        <f>IF(A193-'Invoer gegevens'!$C$17&lt;0,0,IF(A193-'Invoer gegevens'!$C$17=0,1,IF(A193-'Invoer gegevens'!$C$17&lt;5,2,IF(A193-'Invoer gegevens'!$C$17&lt;15,3,4))))</f>
        <v>0</v>
      </c>
      <c r="BJ193" s="229">
        <f>IF(BI193&lt;1,0,IF(BI193&lt;2,4%,IF('Reeksen (N)'!BI193&lt;3,4%,IF('Reeksen (N)'!BI193&lt;4,4%*70%,IF('Reeksen (N)'!BI193&lt;5,4%*50%)))))</f>
        <v>0</v>
      </c>
    </row>
    <row r="194" spans="1:62" x14ac:dyDescent="0.25">
      <c r="A194" s="184">
        <f t="shared" si="101"/>
        <v>189</v>
      </c>
      <c r="B194" s="179">
        <f>Dashboard!$D$25</f>
        <v>0</v>
      </c>
      <c r="C194" s="179">
        <f>Dashboard!$D$25</f>
        <v>0</v>
      </c>
      <c r="D194" s="180">
        <f t="shared" si="90"/>
        <v>0</v>
      </c>
      <c r="E194" s="189"/>
      <c r="F194" s="184">
        <f t="shared" ca="1" si="102"/>
        <v>2208</v>
      </c>
      <c r="G194" s="179">
        <f t="shared" si="122"/>
        <v>0.02</v>
      </c>
      <c r="H194" s="182">
        <f t="shared" si="103"/>
        <v>42.443192255319076</v>
      </c>
      <c r="I194" s="179">
        <f t="shared" si="123"/>
        <v>2.5000000000000001E-2</v>
      </c>
      <c r="J194" s="182">
        <f t="shared" si="104"/>
        <v>107.10988093532137</v>
      </c>
      <c r="K194" s="179">
        <f t="shared" si="124"/>
        <v>2.5000000000000001E-2</v>
      </c>
      <c r="L194" s="182">
        <f t="shared" si="105"/>
        <v>107.10988093532137</v>
      </c>
      <c r="M194" s="189"/>
      <c r="N194" s="184">
        <f t="shared" ca="1" si="106"/>
        <v>2208</v>
      </c>
      <c r="O194" s="179">
        <f t="shared" si="118"/>
        <v>0.02</v>
      </c>
      <c r="P194" s="182">
        <f t="shared" si="127"/>
        <v>42.401992539721334</v>
      </c>
      <c r="R194" s="184">
        <f t="shared" ca="1" si="107"/>
        <v>2208</v>
      </c>
      <c r="S194" s="188">
        <f t="shared" si="120"/>
        <v>5.3600000000000002E-3</v>
      </c>
      <c r="U194" s="184">
        <f t="shared" ca="1" si="108"/>
        <v>2208</v>
      </c>
      <c r="V194" s="182">
        <f t="shared" si="91"/>
        <v>0.02</v>
      </c>
      <c r="W194" s="180">
        <f>Parameters!$D$15</f>
        <v>5.0000000000000001E-3</v>
      </c>
      <c r="X194" s="182">
        <f t="shared" si="92"/>
        <v>2.5000000000000001E-2</v>
      </c>
      <c r="Y194" s="182">
        <f t="shared" si="109"/>
        <v>107.21545994659792</v>
      </c>
      <c r="AA194" s="189"/>
      <c r="AB194" s="184">
        <f t="shared" ca="1" si="110"/>
        <v>2208</v>
      </c>
      <c r="AC194" s="171">
        <f t="shared" si="93"/>
        <v>0</v>
      </c>
      <c r="AD194" s="171">
        <f t="shared" si="88"/>
        <v>0</v>
      </c>
      <c r="AE194" s="171">
        <f t="shared" si="119"/>
        <v>29229.26404320087</v>
      </c>
      <c r="AF194" s="171">
        <f t="shared" si="111"/>
        <v>0</v>
      </c>
      <c r="AG194" s="171">
        <f t="shared" si="121"/>
        <v>0</v>
      </c>
      <c r="AH194" s="171">
        <f t="shared" si="94"/>
        <v>0</v>
      </c>
      <c r="AI194" s="171">
        <f t="shared" si="95"/>
        <v>0</v>
      </c>
      <c r="AJ194" s="171">
        <f>IF('Invoer gegevens'!$I$27="DAEB",SMALL(AC194:AD194,1),AC194)</f>
        <v>0</v>
      </c>
      <c r="AK194" s="171">
        <f>IF('Invoer gegevens'!$I$27="DAEB",SMALL((AE194:AH194),1),SMALL((AF194:AH194),1))</f>
        <v>0</v>
      </c>
      <c r="AL194" s="171">
        <f t="shared" si="116"/>
        <v>0</v>
      </c>
      <c r="AM194" s="171">
        <f t="shared" si="117"/>
        <v>0</v>
      </c>
      <c r="AN194" s="175">
        <f t="shared" si="112"/>
        <v>0</v>
      </c>
      <c r="AP194" s="184">
        <f t="shared" ca="1" si="113"/>
        <v>2208</v>
      </c>
      <c r="AQ194" s="185">
        <f t="shared" si="96"/>
        <v>0.02</v>
      </c>
      <c r="AR194" s="182">
        <f t="shared" si="128"/>
        <v>42.401992539721334</v>
      </c>
      <c r="AU194" s="184">
        <f t="shared" ca="1" si="114"/>
        <v>2208</v>
      </c>
      <c r="AV194" s="182">
        <f t="shared" si="97"/>
        <v>0.02</v>
      </c>
      <c r="AW194" s="179">
        <f t="shared" si="98"/>
        <v>5.0000000000000001E-3</v>
      </c>
      <c r="AX194" s="182">
        <f t="shared" si="99"/>
        <v>2.5000000000000001E-2</v>
      </c>
      <c r="AY194" s="186"/>
      <c r="AZ194" s="190"/>
      <c r="BA194" s="184">
        <f t="shared" ca="1" si="115"/>
        <v>2208</v>
      </c>
      <c r="BB194" s="171">
        <f t="shared" si="100"/>
        <v>0</v>
      </c>
      <c r="BC194" s="171">
        <f t="shared" si="89"/>
        <v>29229.26404320087</v>
      </c>
      <c r="BD194" s="171">
        <f t="shared" si="126"/>
        <v>0</v>
      </c>
      <c r="BE194" s="171">
        <f t="shared" si="126"/>
        <v>0</v>
      </c>
      <c r="BF194" s="171">
        <f t="shared" si="126"/>
        <v>0</v>
      </c>
      <c r="BG194" s="171">
        <f t="shared" si="125"/>
        <v>0</v>
      </c>
      <c r="BI194" s="187">
        <f>IF(A194-'Invoer gegevens'!$C$17&lt;0,0,IF(A194-'Invoer gegevens'!$C$17=0,1,IF(A194-'Invoer gegevens'!$C$17&lt;5,2,IF(A194-'Invoer gegevens'!$C$17&lt;15,3,4))))</f>
        <v>0</v>
      </c>
      <c r="BJ194" s="229">
        <f>IF(BI194&lt;1,0,IF(BI194&lt;2,4%,IF('Reeksen (N)'!BI194&lt;3,4%,IF('Reeksen (N)'!BI194&lt;4,4%*70%,IF('Reeksen (N)'!BI194&lt;5,4%*50%)))))</f>
        <v>0</v>
      </c>
    </row>
    <row r="195" spans="1:62" x14ac:dyDescent="0.25">
      <c r="A195" s="184">
        <f t="shared" si="101"/>
        <v>190</v>
      </c>
      <c r="B195" s="179">
        <f>Dashboard!$D$25</f>
        <v>0</v>
      </c>
      <c r="C195" s="179">
        <f>Dashboard!$D$25</f>
        <v>0</v>
      </c>
      <c r="D195" s="180">
        <f t="shared" si="90"/>
        <v>0</v>
      </c>
      <c r="E195" s="189"/>
      <c r="F195" s="184">
        <f t="shared" ca="1" si="102"/>
        <v>2209</v>
      </c>
      <c r="G195" s="179">
        <f t="shared" si="122"/>
        <v>0.02</v>
      </c>
      <c r="H195" s="182">
        <f t="shared" si="103"/>
        <v>43.292056100425455</v>
      </c>
      <c r="I195" s="179">
        <f t="shared" si="123"/>
        <v>2.5000000000000001E-2</v>
      </c>
      <c r="J195" s="182">
        <f t="shared" si="104"/>
        <v>109.78762795870439</v>
      </c>
      <c r="K195" s="179">
        <f t="shared" si="124"/>
        <v>2.5000000000000001E-2</v>
      </c>
      <c r="L195" s="182">
        <f t="shared" si="105"/>
        <v>109.78762795870439</v>
      </c>
      <c r="M195" s="189"/>
      <c r="N195" s="184">
        <f t="shared" ca="1" si="106"/>
        <v>2209</v>
      </c>
      <c r="O195" s="179">
        <f t="shared" si="118"/>
        <v>0.02</v>
      </c>
      <c r="P195" s="182">
        <f t="shared" si="127"/>
        <v>43.250032390515763</v>
      </c>
      <c r="R195" s="184">
        <f t="shared" ca="1" si="107"/>
        <v>2209</v>
      </c>
      <c r="S195" s="188">
        <f t="shared" si="120"/>
        <v>5.3600000000000002E-3</v>
      </c>
      <c r="U195" s="184">
        <f t="shared" ca="1" si="108"/>
        <v>2209</v>
      </c>
      <c r="V195" s="182">
        <f t="shared" si="91"/>
        <v>0.02</v>
      </c>
      <c r="W195" s="180">
        <f>Parameters!$D$15</f>
        <v>5.0000000000000001E-3</v>
      </c>
      <c r="X195" s="182">
        <f t="shared" si="92"/>
        <v>2.5000000000000001E-2</v>
      </c>
      <c r="Y195" s="182">
        <f t="shared" si="109"/>
        <v>109.89584644526286</v>
      </c>
      <c r="AA195" s="189"/>
      <c r="AB195" s="184">
        <f t="shared" ca="1" si="110"/>
        <v>2209</v>
      </c>
      <c r="AC195" s="171">
        <f t="shared" si="93"/>
        <v>0</v>
      </c>
      <c r="AD195" s="171">
        <f t="shared" si="88"/>
        <v>0</v>
      </c>
      <c r="AE195" s="171">
        <f t="shared" si="119"/>
        <v>29813.84932406489</v>
      </c>
      <c r="AF195" s="171">
        <f t="shared" si="111"/>
        <v>0</v>
      </c>
      <c r="AG195" s="171">
        <f t="shared" si="121"/>
        <v>0</v>
      </c>
      <c r="AH195" s="171">
        <f t="shared" si="94"/>
        <v>0</v>
      </c>
      <c r="AI195" s="171">
        <f t="shared" si="95"/>
        <v>0</v>
      </c>
      <c r="AJ195" s="171">
        <f>IF('Invoer gegevens'!$I$27="DAEB",SMALL(AC195:AD195,1),AC195)</f>
        <v>0</v>
      </c>
      <c r="AK195" s="171">
        <f>IF('Invoer gegevens'!$I$27="DAEB",SMALL((AE195:AH195),1),SMALL((AF195:AH195),1))</f>
        <v>0</v>
      </c>
      <c r="AL195" s="171">
        <f t="shared" si="116"/>
        <v>0</v>
      </c>
      <c r="AM195" s="171">
        <f t="shared" si="117"/>
        <v>0</v>
      </c>
      <c r="AN195" s="175">
        <f t="shared" si="112"/>
        <v>0</v>
      </c>
      <c r="AP195" s="184">
        <f t="shared" ca="1" si="113"/>
        <v>2209</v>
      </c>
      <c r="AQ195" s="185">
        <f t="shared" si="96"/>
        <v>0.02</v>
      </c>
      <c r="AR195" s="182">
        <f t="shared" si="128"/>
        <v>43.250032390515763</v>
      </c>
      <c r="AU195" s="184">
        <f t="shared" ca="1" si="114"/>
        <v>2209</v>
      </c>
      <c r="AV195" s="182">
        <f t="shared" si="97"/>
        <v>0.02</v>
      </c>
      <c r="AW195" s="179">
        <f t="shared" si="98"/>
        <v>5.0000000000000001E-3</v>
      </c>
      <c r="AX195" s="182">
        <f t="shared" si="99"/>
        <v>2.5000000000000001E-2</v>
      </c>
      <c r="AY195" s="186"/>
      <c r="AZ195" s="190"/>
      <c r="BA195" s="184">
        <f t="shared" ca="1" si="115"/>
        <v>2209</v>
      </c>
      <c r="BB195" s="171">
        <f t="shared" si="100"/>
        <v>0</v>
      </c>
      <c r="BC195" s="171">
        <f t="shared" si="89"/>
        <v>29813.84932406489</v>
      </c>
      <c r="BD195" s="171">
        <f t="shared" si="126"/>
        <v>0</v>
      </c>
      <c r="BE195" s="171">
        <f t="shared" si="126"/>
        <v>0</v>
      </c>
      <c r="BF195" s="171">
        <f t="shared" si="126"/>
        <v>0</v>
      </c>
      <c r="BG195" s="171">
        <f t="shared" si="125"/>
        <v>0</v>
      </c>
      <c r="BI195" s="187">
        <f>IF(A195-'Invoer gegevens'!$C$17&lt;0,0,IF(A195-'Invoer gegevens'!$C$17=0,1,IF(A195-'Invoer gegevens'!$C$17&lt;5,2,IF(A195-'Invoer gegevens'!$C$17&lt;15,3,4))))</f>
        <v>0</v>
      </c>
      <c r="BJ195" s="229">
        <f>IF(BI195&lt;1,0,IF(BI195&lt;2,4%,IF('Reeksen (N)'!BI195&lt;3,4%,IF('Reeksen (N)'!BI195&lt;4,4%*70%,IF('Reeksen (N)'!BI195&lt;5,4%*50%)))))</f>
        <v>0</v>
      </c>
    </row>
    <row r="196" spans="1:62" x14ac:dyDescent="0.25">
      <c r="A196" s="184">
        <f t="shared" si="101"/>
        <v>191</v>
      </c>
      <c r="B196" s="179">
        <f>Dashboard!$D$25</f>
        <v>0</v>
      </c>
      <c r="C196" s="179">
        <f>Dashboard!$D$25</f>
        <v>0</v>
      </c>
      <c r="D196" s="180">
        <f t="shared" si="90"/>
        <v>0</v>
      </c>
      <c r="E196" s="189"/>
      <c r="F196" s="184">
        <f t="shared" ca="1" si="102"/>
        <v>2210</v>
      </c>
      <c r="G196" s="179">
        <f t="shared" si="122"/>
        <v>0.02</v>
      </c>
      <c r="H196" s="182">
        <f t="shared" si="103"/>
        <v>44.157897222433967</v>
      </c>
      <c r="I196" s="179">
        <f t="shared" si="123"/>
        <v>2.5000000000000001E-2</v>
      </c>
      <c r="J196" s="182">
        <f t="shared" si="104"/>
        <v>112.53231865767199</v>
      </c>
      <c r="K196" s="179">
        <f t="shared" si="124"/>
        <v>2.5000000000000001E-2</v>
      </c>
      <c r="L196" s="182">
        <f t="shared" si="105"/>
        <v>112.53231865767199</v>
      </c>
      <c r="M196" s="189"/>
      <c r="N196" s="184">
        <f t="shared" ca="1" si="106"/>
        <v>2210</v>
      </c>
      <c r="O196" s="179">
        <f t="shared" si="118"/>
        <v>0.02</v>
      </c>
      <c r="P196" s="182">
        <f t="shared" si="127"/>
        <v>44.115033038326082</v>
      </c>
      <c r="R196" s="184">
        <f t="shared" ca="1" si="107"/>
        <v>2210</v>
      </c>
      <c r="S196" s="188">
        <f t="shared" si="120"/>
        <v>5.3600000000000002E-3</v>
      </c>
      <c r="U196" s="184">
        <f t="shared" ca="1" si="108"/>
        <v>2210</v>
      </c>
      <c r="V196" s="182">
        <f t="shared" si="91"/>
        <v>0.02</v>
      </c>
      <c r="W196" s="180">
        <f>Parameters!$D$15</f>
        <v>5.0000000000000001E-3</v>
      </c>
      <c r="X196" s="182">
        <f t="shared" si="92"/>
        <v>2.5000000000000001E-2</v>
      </c>
      <c r="Y196" s="182">
        <f t="shared" si="109"/>
        <v>112.64324260639442</v>
      </c>
      <c r="AA196" s="189"/>
      <c r="AB196" s="184">
        <f t="shared" ca="1" si="110"/>
        <v>2210</v>
      </c>
      <c r="AC196" s="171">
        <f t="shared" si="93"/>
        <v>0</v>
      </c>
      <c r="AD196" s="171">
        <f t="shared" si="88"/>
        <v>0</v>
      </c>
      <c r="AE196" s="171">
        <f t="shared" si="119"/>
        <v>30410.126310546188</v>
      </c>
      <c r="AF196" s="171">
        <f t="shared" si="111"/>
        <v>0</v>
      </c>
      <c r="AG196" s="171">
        <f t="shared" si="121"/>
        <v>0</v>
      </c>
      <c r="AH196" s="171">
        <f t="shared" si="94"/>
        <v>0</v>
      </c>
      <c r="AI196" s="171">
        <f t="shared" si="95"/>
        <v>0</v>
      </c>
      <c r="AJ196" s="171">
        <f>IF('Invoer gegevens'!$I$27="DAEB",SMALL(AC196:AD196,1),AC196)</f>
        <v>0</v>
      </c>
      <c r="AK196" s="171">
        <f>IF('Invoer gegevens'!$I$27="DAEB",SMALL((AE196:AH196),1),SMALL((AF196:AH196),1))</f>
        <v>0</v>
      </c>
      <c r="AL196" s="171">
        <f t="shared" si="116"/>
        <v>0</v>
      </c>
      <c r="AM196" s="171">
        <f t="shared" si="117"/>
        <v>0</v>
      </c>
      <c r="AN196" s="175">
        <f t="shared" si="112"/>
        <v>0</v>
      </c>
      <c r="AP196" s="184">
        <f t="shared" ca="1" si="113"/>
        <v>2210</v>
      </c>
      <c r="AQ196" s="185">
        <f t="shared" si="96"/>
        <v>0.02</v>
      </c>
      <c r="AR196" s="182">
        <f t="shared" si="128"/>
        <v>44.115033038326082</v>
      </c>
      <c r="AU196" s="184">
        <f t="shared" ca="1" si="114"/>
        <v>2210</v>
      </c>
      <c r="AV196" s="182">
        <f t="shared" si="97"/>
        <v>0.02</v>
      </c>
      <c r="AW196" s="179">
        <f t="shared" si="98"/>
        <v>5.0000000000000001E-3</v>
      </c>
      <c r="AX196" s="182">
        <f t="shared" si="99"/>
        <v>2.5000000000000001E-2</v>
      </c>
      <c r="AY196" s="186"/>
      <c r="AZ196" s="190"/>
      <c r="BA196" s="184">
        <f t="shared" ca="1" si="115"/>
        <v>2210</v>
      </c>
      <c r="BB196" s="171">
        <f t="shared" si="100"/>
        <v>0</v>
      </c>
      <c r="BC196" s="171">
        <f t="shared" si="89"/>
        <v>30410.126310546188</v>
      </c>
      <c r="BD196" s="171">
        <f t="shared" si="126"/>
        <v>0</v>
      </c>
      <c r="BE196" s="171">
        <f t="shared" si="126"/>
        <v>0</v>
      </c>
      <c r="BF196" s="171">
        <f t="shared" si="126"/>
        <v>0</v>
      </c>
      <c r="BG196" s="171">
        <f t="shared" si="125"/>
        <v>0</v>
      </c>
      <c r="BI196" s="187">
        <f>IF(A196-'Invoer gegevens'!$C$17&lt;0,0,IF(A196-'Invoer gegevens'!$C$17=0,1,IF(A196-'Invoer gegevens'!$C$17&lt;5,2,IF(A196-'Invoer gegevens'!$C$17&lt;15,3,4))))</f>
        <v>0</v>
      </c>
      <c r="BJ196" s="229">
        <f>IF(BI196&lt;1,0,IF(BI196&lt;2,4%,IF('Reeksen (N)'!BI196&lt;3,4%,IF('Reeksen (N)'!BI196&lt;4,4%*70%,IF('Reeksen (N)'!BI196&lt;5,4%*50%)))))</f>
        <v>0</v>
      </c>
    </row>
    <row r="197" spans="1:62" x14ac:dyDescent="0.25">
      <c r="A197" s="184">
        <f t="shared" si="101"/>
        <v>192</v>
      </c>
      <c r="B197" s="179">
        <f>Dashboard!$D$25</f>
        <v>0</v>
      </c>
      <c r="C197" s="179">
        <f>Dashboard!$D$25</f>
        <v>0</v>
      </c>
      <c r="D197" s="180">
        <f t="shared" si="90"/>
        <v>0</v>
      </c>
      <c r="E197" s="189"/>
      <c r="F197" s="184">
        <f t="shared" ca="1" si="102"/>
        <v>2211</v>
      </c>
      <c r="G197" s="179">
        <f t="shared" si="122"/>
        <v>0.02</v>
      </c>
      <c r="H197" s="182">
        <f t="shared" si="103"/>
        <v>45.04105516688265</v>
      </c>
      <c r="I197" s="179">
        <f t="shared" si="123"/>
        <v>2.5000000000000001E-2</v>
      </c>
      <c r="J197" s="182">
        <f t="shared" si="104"/>
        <v>115.34562662411378</v>
      </c>
      <c r="K197" s="179">
        <f t="shared" si="124"/>
        <v>2.5000000000000001E-2</v>
      </c>
      <c r="L197" s="182">
        <f t="shared" si="105"/>
        <v>115.34562662411378</v>
      </c>
      <c r="M197" s="189"/>
      <c r="N197" s="184">
        <f t="shared" ca="1" si="106"/>
        <v>2211</v>
      </c>
      <c r="O197" s="179">
        <f t="shared" si="118"/>
        <v>0.02</v>
      </c>
      <c r="P197" s="182">
        <f t="shared" si="127"/>
        <v>44.997333699092607</v>
      </c>
      <c r="R197" s="184">
        <f t="shared" ca="1" si="107"/>
        <v>2211</v>
      </c>
      <c r="S197" s="188">
        <f t="shared" si="120"/>
        <v>5.3600000000000002E-3</v>
      </c>
      <c r="U197" s="184">
        <f t="shared" ca="1" si="108"/>
        <v>2211</v>
      </c>
      <c r="V197" s="182">
        <f t="shared" si="91"/>
        <v>0.02</v>
      </c>
      <c r="W197" s="180">
        <f>Parameters!$D$15</f>
        <v>5.0000000000000001E-3</v>
      </c>
      <c r="X197" s="182">
        <f t="shared" si="92"/>
        <v>2.5000000000000001E-2</v>
      </c>
      <c r="Y197" s="182">
        <f t="shared" si="109"/>
        <v>115.45932367155427</v>
      </c>
      <c r="AA197" s="189"/>
      <c r="AB197" s="184">
        <f t="shared" ca="1" si="110"/>
        <v>2211</v>
      </c>
      <c r="AC197" s="171">
        <f t="shared" si="93"/>
        <v>0</v>
      </c>
      <c r="AD197" s="171">
        <f t="shared" ref="AD197:AD234" si="129">IF(AG197&lt;AE197,MIN(AF197,AG197),AF197)</f>
        <v>0</v>
      </c>
      <c r="AE197" s="171">
        <f t="shared" si="119"/>
        <v>31018.328836757111</v>
      </c>
      <c r="AF197" s="171">
        <f t="shared" si="111"/>
        <v>0</v>
      </c>
      <c r="AG197" s="171">
        <f t="shared" si="121"/>
        <v>0</v>
      </c>
      <c r="AH197" s="171">
        <f t="shared" si="94"/>
        <v>0</v>
      </c>
      <c r="AI197" s="171">
        <f t="shared" si="95"/>
        <v>0</v>
      </c>
      <c r="AJ197" s="171">
        <f>IF('Invoer gegevens'!$I$27="DAEB",SMALL(AC197:AD197,1),AC197)</f>
        <v>0</v>
      </c>
      <c r="AK197" s="171">
        <f>IF('Invoer gegevens'!$I$27="DAEB",SMALL((AE197:AH197),1),SMALL((AF197:AH197),1))</f>
        <v>0</v>
      </c>
      <c r="AL197" s="171">
        <f t="shared" si="116"/>
        <v>0</v>
      </c>
      <c r="AM197" s="171">
        <f t="shared" si="117"/>
        <v>0</v>
      </c>
      <c r="AN197" s="175">
        <f t="shared" si="112"/>
        <v>0</v>
      </c>
      <c r="AP197" s="184">
        <f t="shared" ca="1" si="113"/>
        <v>2211</v>
      </c>
      <c r="AQ197" s="185">
        <f t="shared" si="96"/>
        <v>0.02</v>
      </c>
      <c r="AR197" s="182">
        <f t="shared" si="128"/>
        <v>44.997333699092607</v>
      </c>
      <c r="AU197" s="184">
        <f t="shared" ca="1" si="114"/>
        <v>2211</v>
      </c>
      <c r="AV197" s="182">
        <f t="shared" si="97"/>
        <v>0.02</v>
      </c>
      <c r="AW197" s="179">
        <f t="shared" si="98"/>
        <v>5.0000000000000001E-3</v>
      </c>
      <c r="AX197" s="182">
        <f t="shared" si="99"/>
        <v>2.5000000000000001E-2</v>
      </c>
      <c r="AY197" s="186"/>
      <c r="AZ197" s="190"/>
      <c r="BA197" s="184">
        <f t="shared" ca="1" si="115"/>
        <v>2211</v>
      </c>
      <c r="BB197" s="171">
        <f t="shared" si="100"/>
        <v>0</v>
      </c>
      <c r="BC197" s="171">
        <f t="shared" ref="BC197:BC234" si="130">AE197</f>
        <v>31018.328836757111</v>
      </c>
      <c r="BD197" s="171">
        <f t="shared" si="126"/>
        <v>0</v>
      </c>
      <c r="BE197" s="171">
        <f t="shared" si="126"/>
        <v>0</v>
      </c>
      <c r="BF197" s="171">
        <f t="shared" si="126"/>
        <v>0</v>
      </c>
      <c r="BG197" s="171">
        <f t="shared" si="125"/>
        <v>0</v>
      </c>
      <c r="BI197" s="187">
        <f>IF(A197-'Invoer gegevens'!$C$17&lt;0,0,IF(A197-'Invoer gegevens'!$C$17=0,1,IF(A197-'Invoer gegevens'!$C$17&lt;5,2,IF(A197-'Invoer gegevens'!$C$17&lt;15,3,4))))</f>
        <v>0</v>
      </c>
      <c r="BJ197" s="229">
        <f>IF(BI197&lt;1,0,IF(BI197&lt;2,4%,IF('Reeksen (N)'!BI197&lt;3,4%,IF('Reeksen (N)'!BI197&lt;4,4%*70%,IF('Reeksen (N)'!BI197&lt;5,4%*50%)))))</f>
        <v>0</v>
      </c>
    </row>
    <row r="198" spans="1:62" x14ac:dyDescent="0.25">
      <c r="A198" s="184">
        <f t="shared" si="101"/>
        <v>193</v>
      </c>
      <c r="B198" s="179">
        <f>Dashboard!$D$25</f>
        <v>0</v>
      </c>
      <c r="C198" s="179">
        <f>Dashboard!$D$25</f>
        <v>0</v>
      </c>
      <c r="D198" s="180">
        <f t="shared" ref="D198:D234" si="131">B198</f>
        <v>0</v>
      </c>
      <c r="E198" s="189"/>
      <c r="F198" s="184">
        <f t="shared" ca="1" si="102"/>
        <v>2212</v>
      </c>
      <c r="G198" s="179">
        <f t="shared" si="122"/>
        <v>0.02</v>
      </c>
      <c r="H198" s="182">
        <f t="shared" si="103"/>
        <v>45.941876270220305</v>
      </c>
      <c r="I198" s="179">
        <f t="shared" si="123"/>
        <v>2.5000000000000001E-2</v>
      </c>
      <c r="J198" s="182">
        <f t="shared" si="104"/>
        <v>118.22926728971662</v>
      </c>
      <c r="K198" s="179">
        <f t="shared" si="124"/>
        <v>2.5000000000000001E-2</v>
      </c>
      <c r="L198" s="182">
        <f t="shared" si="105"/>
        <v>118.22926728971662</v>
      </c>
      <c r="M198" s="189"/>
      <c r="N198" s="184">
        <f t="shared" ca="1" si="106"/>
        <v>2212</v>
      </c>
      <c r="O198" s="179">
        <f t="shared" si="118"/>
        <v>0.02</v>
      </c>
      <c r="P198" s="182">
        <f t="shared" si="127"/>
        <v>45.897280373074459</v>
      </c>
      <c r="R198" s="184">
        <f t="shared" ca="1" si="107"/>
        <v>2212</v>
      </c>
      <c r="S198" s="188">
        <f t="shared" si="120"/>
        <v>5.3600000000000002E-3</v>
      </c>
      <c r="U198" s="184">
        <f t="shared" ca="1" si="108"/>
        <v>2212</v>
      </c>
      <c r="V198" s="182">
        <f t="shared" ref="V198:V234" si="132">G198</f>
        <v>0.02</v>
      </c>
      <c r="W198" s="180">
        <f>Parameters!$D$15</f>
        <v>5.0000000000000001E-3</v>
      </c>
      <c r="X198" s="182">
        <f t="shared" ref="X198:X234" si="133">V198+W198</f>
        <v>2.5000000000000001E-2</v>
      </c>
      <c r="Y198" s="182">
        <f t="shared" si="109"/>
        <v>118.34580676334312</v>
      </c>
      <c r="AA198" s="189"/>
      <c r="AB198" s="184">
        <f t="shared" ca="1" si="110"/>
        <v>2212</v>
      </c>
      <c r="AC198" s="171">
        <f t="shared" ref="AC198:AC234" si="134">$AC$4*Y198</f>
        <v>0</v>
      </c>
      <c r="AD198" s="171">
        <f t="shared" si="129"/>
        <v>0</v>
      </c>
      <c r="AE198" s="171">
        <f t="shared" si="119"/>
        <v>31638.695413492253</v>
      </c>
      <c r="AF198" s="171">
        <f t="shared" si="111"/>
        <v>0</v>
      </c>
      <c r="AG198" s="171">
        <f t="shared" si="121"/>
        <v>0</v>
      </c>
      <c r="AH198" s="171">
        <f t="shared" ref="AH198:AH234" si="135">ROUND($AH197*(1+V198)^1,2)</f>
        <v>0</v>
      </c>
      <c r="AI198" s="171">
        <f t="shared" ref="AI198:AI234" si="136">SMALL(AC198:AD198,1)</f>
        <v>0</v>
      </c>
      <c r="AJ198" s="171">
        <f>IF('Invoer gegevens'!$I$27="DAEB",SMALL(AC198:AD198,1),AC198)</f>
        <v>0</v>
      </c>
      <c r="AK198" s="171">
        <f>IF('Invoer gegevens'!$I$27="DAEB",SMALL((AE198:AH198),1),SMALL((AF198:AH198),1))</f>
        <v>0</v>
      </c>
      <c r="AL198" s="171">
        <f t="shared" si="116"/>
        <v>0</v>
      </c>
      <c r="AM198" s="171">
        <f t="shared" si="117"/>
        <v>0</v>
      </c>
      <c r="AN198" s="175">
        <f t="shared" si="112"/>
        <v>0</v>
      </c>
      <c r="AP198" s="184">
        <f t="shared" ca="1" si="113"/>
        <v>2212</v>
      </c>
      <c r="AQ198" s="185">
        <f t="shared" ref="AQ198:AQ234" si="137">O198</f>
        <v>0.02</v>
      </c>
      <c r="AR198" s="182">
        <f t="shared" si="128"/>
        <v>45.897280373074459</v>
      </c>
      <c r="AU198" s="184">
        <f t="shared" ca="1" si="114"/>
        <v>2212</v>
      </c>
      <c r="AV198" s="182">
        <f t="shared" ref="AV198:AV234" si="138">G198</f>
        <v>0.02</v>
      </c>
      <c r="AW198" s="179">
        <f t="shared" ref="AW198:AW234" si="139">W198</f>
        <v>5.0000000000000001E-3</v>
      </c>
      <c r="AX198" s="182">
        <f t="shared" ref="AX198:AX234" si="140">AV198+AW198</f>
        <v>2.5000000000000001E-2</v>
      </c>
      <c r="AY198" s="186"/>
      <c r="AZ198" s="190"/>
      <c r="BA198" s="184">
        <f t="shared" ca="1" si="115"/>
        <v>2212</v>
      </c>
      <c r="BB198" s="171">
        <f t="shared" ref="BB198:BB234" si="141">ROUND($BB197*(1+AX198)^1,2)</f>
        <v>0</v>
      </c>
      <c r="BC198" s="171">
        <f t="shared" si="130"/>
        <v>31638.695413492253</v>
      </c>
      <c r="BD198" s="171">
        <f t="shared" si="126"/>
        <v>0</v>
      </c>
      <c r="BE198" s="171">
        <f t="shared" si="126"/>
        <v>0</v>
      </c>
      <c r="BF198" s="171">
        <f t="shared" si="126"/>
        <v>0</v>
      </c>
      <c r="BG198" s="171">
        <f t="shared" si="125"/>
        <v>0</v>
      </c>
      <c r="BI198" s="187">
        <f>IF(A198-'Invoer gegevens'!$C$17&lt;0,0,IF(A198-'Invoer gegevens'!$C$17=0,1,IF(A198-'Invoer gegevens'!$C$17&lt;5,2,IF(A198-'Invoer gegevens'!$C$17&lt;15,3,4))))</f>
        <v>0</v>
      </c>
      <c r="BJ198" s="229">
        <f>IF(BI198&lt;1,0,IF(BI198&lt;2,4%,IF('Reeksen (N)'!BI198&lt;3,4%,IF('Reeksen (N)'!BI198&lt;4,4%*70%,IF('Reeksen (N)'!BI198&lt;5,4%*50%)))))</f>
        <v>0</v>
      </c>
    </row>
    <row r="199" spans="1:62" x14ac:dyDescent="0.25">
      <c r="A199" s="184">
        <f t="shared" ref="A199:A234" si="142">A198+1</f>
        <v>194</v>
      </c>
      <c r="B199" s="179">
        <f>Dashboard!$D$25</f>
        <v>0</v>
      </c>
      <c r="C199" s="179">
        <f>Dashboard!$D$25</f>
        <v>0</v>
      </c>
      <c r="D199" s="180">
        <f t="shared" si="131"/>
        <v>0</v>
      </c>
      <c r="E199" s="189"/>
      <c r="F199" s="184">
        <f t="shared" ref="F199:F234" ca="1" si="143">F198+1</f>
        <v>2213</v>
      </c>
      <c r="G199" s="179">
        <f t="shared" si="122"/>
        <v>0.02</v>
      </c>
      <c r="H199" s="182">
        <f t="shared" ref="H199:H234" si="144">H198*(1+G199)</f>
        <v>46.860713795624712</v>
      </c>
      <c r="I199" s="179">
        <f t="shared" si="123"/>
        <v>2.5000000000000001E-2</v>
      </c>
      <c r="J199" s="182">
        <f t="shared" ref="J199:J234" si="145">J198*(1+I199)</f>
        <v>121.18499897195952</v>
      </c>
      <c r="K199" s="179">
        <f t="shared" si="124"/>
        <v>2.5000000000000001E-2</v>
      </c>
      <c r="L199" s="182">
        <f t="shared" ref="L199:L234" si="146">L198*(1+K199)</f>
        <v>121.18499897195952</v>
      </c>
      <c r="M199" s="189"/>
      <c r="N199" s="184">
        <f t="shared" ref="N199:N234" ca="1" si="147">N198+1</f>
        <v>2213</v>
      </c>
      <c r="O199" s="179">
        <f t="shared" si="118"/>
        <v>0.02</v>
      </c>
      <c r="P199" s="182">
        <f t="shared" si="127"/>
        <v>46.815225980535949</v>
      </c>
      <c r="R199" s="184">
        <f t="shared" ref="R199:R234" ca="1" si="148">R198+1</f>
        <v>2213</v>
      </c>
      <c r="S199" s="188">
        <f t="shared" si="120"/>
        <v>5.3600000000000002E-3</v>
      </c>
      <c r="U199" s="184">
        <f t="shared" ref="U199:U234" ca="1" si="149">+U198+1</f>
        <v>2213</v>
      </c>
      <c r="V199" s="182">
        <f t="shared" si="132"/>
        <v>0.02</v>
      </c>
      <c r="W199" s="180">
        <f>Parameters!$D$15</f>
        <v>5.0000000000000001E-3</v>
      </c>
      <c r="X199" s="182">
        <f t="shared" si="133"/>
        <v>2.5000000000000001E-2</v>
      </c>
      <c r="Y199" s="182">
        <f t="shared" ref="Y199:Y234" si="150">Y198*(1+X199)</f>
        <v>121.30445193242669</v>
      </c>
      <c r="AA199" s="189"/>
      <c r="AB199" s="184">
        <f t="shared" ref="AB199:AB234" ca="1" si="151">AB198+1</f>
        <v>2213</v>
      </c>
      <c r="AC199" s="171">
        <f t="shared" si="134"/>
        <v>0</v>
      </c>
      <c r="AD199" s="171">
        <f t="shared" si="129"/>
        <v>0</v>
      </c>
      <c r="AE199" s="171">
        <f t="shared" si="119"/>
        <v>32271.469321762099</v>
      </c>
      <c r="AF199" s="171">
        <f t="shared" ref="AF199:AF234" si="152">$AF$4*H199</f>
        <v>0</v>
      </c>
      <c r="AG199" s="171">
        <f t="shared" si="121"/>
        <v>0</v>
      </c>
      <c r="AH199" s="171">
        <f t="shared" si="135"/>
        <v>0</v>
      </c>
      <c r="AI199" s="171">
        <f t="shared" si="136"/>
        <v>0</v>
      </c>
      <c r="AJ199" s="171">
        <f>IF('Invoer gegevens'!$I$27="DAEB",SMALL(AC199:AD199,1),AC199)</f>
        <v>0</v>
      </c>
      <c r="AK199" s="171">
        <f>IF('Invoer gegevens'!$I$27="DAEB",SMALL((AE199:AH199),1),SMALL((AF199:AH199),1))</f>
        <v>0</v>
      </c>
      <c r="AL199" s="171">
        <f t="shared" si="116"/>
        <v>0</v>
      </c>
      <c r="AM199" s="171">
        <f t="shared" si="117"/>
        <v>0</v>
      </c>
      <c r="AN199" s="175">
        <f t="shared" ref="AN199:AN234" si="153">ROUND($AN198*(1+O199)^1,0)</f>
        <v>0</v>
      </c>
      <c r="AP199" s="184">
        <f t="shared" ref="AP199:AP234" ca="1" si="154">AP198+1</f>
        <v>2213</v>
      </c>
      <c r="AQ199" s="185">
        <f t="shared" si="137"/>
        <v>0.02</v>
      </c>
      <c r="AR199" s="182">
        <f t="shared" si="128"/>
        <v>46.815225980535949</v>
      </c>
      <c r="AU199" s="184">
        <f t="shared" ref="AU199:AU234" ca="1" si="155">+AU198+1</f>
        <v>2213</v>
      </c>
      <c r="AV199" s="182">
        <f t="shared" si="138"/>
        <v>0.02</v>
      </c>
      <c r="AW199" s="179">
        <f t="shared" si="139"/>
        <v>5.0000000000000001E-3</v>
      </c>
      <c r="AX199" s="182">
        <f t="shared" si="140"/>
        <v>2.5000000000000001E-2</v>
      </c>
      <c r="AY199" s="186"/>
      <c r="AZ199" s="190"/>
      <c r="BA199" s="184">
        <f t="shared" ref="BA199:BA234" ca="1" si="156">BA198+1</f>
        <v>2213</v>
      </c>
      <c r="BB199" s="171">
        <f t="shared" si="141"/>
        <v>0</v>
      </c>
      <c r="BC199" s="171">
        <f t="shared" si="130"/>
        <v>32271.469321762099</v>
      </c>
      <c r="BD199" s="171">
        <f t="shared" si="126"/>
        <v>0</v>
      </c>
      <c r="BE199" s="171">
        <f t="shared" si="126"/>
        <v>0</v>
      </c>
      <c r="BF199" s="171">
        <f t="shared" si="126"/>
        <v>0</v>
      </c>
      <c r="BG199" s="171">
        <f t="shared" si="125"/>
        <v>0</v>
      </c>
      <c r="BI199" s="187">
        <f>IF(A199-'Invoer gegevens'!$C$17&lt;0,0,IF(A199-'Invoer gegevens'!$C$17=0,1,IF(A199-'Invoer gegevens'!$C$17&lt;5,2,IF(A199-'Invoer gegevens'!$C$17&lt;15,3,4))))</f>
        <v>0</v>
      </c>
      <c r="BJ199" s="229">
        <f>IF(BI199&lt;1,0,IF(BI199&lt;2,4%,IF('Reeksen (N)'!BI199&lt;3,4%,IF('Reeksen (N)'!BI199&lt;4,4%*70%,IF('Reeksen (N)'!BI199&lt;5,4%*50%)))))</f>
        <v>0</v>
      </c>
    </row>
    <row r="200" spans="1:62" x14ac:dyDescent="0.25">
      <c r="A200" s="184">
        <f t="shared" si="142"/>
        <v>195</v>
      </c>
      <c r="B200" s="179">
        <f>Dashboard!$D$25</f>
        <v>0</v>
      </c>
      <c r="C200" s="179">
        <f>Dashboard!$D$25</f>
        <v>0</v>
      </c>
      <c r="D200" s="180">
        <f t="shared" si="131"/>
        <v>0</v>
      </c>
      <c r="E200" s="189"/>
      <c r="F200" s="184">
        <f t="shared" ca="1" si="143"/>
        <v>2214</v>
      </c>
      <c r="G200" s="179">
        <f t="shared" si="122"/>
        <v>0.02</v>
      </c>
      <c r="H200" s="182">
        <f t="shared" si="144"/>
        <v>47.797928071537207</v>
      </c>
      <c r="I200" s="179">
        <f t="shared" si="123"/>
        <v>2.5000000000000001E-2</v>
      </c>
      <c r="J200" s="182">
        <f t="shared" si="145"/>
        <v>124.2146239462585</v>
      </c>
      <c r="K200" s="179">
        <f t="shared" si="124"/>
        <v>2.5000000000000001E-2</v>
      </c>
      <c r="L200" s="182">
        <f t="shared" si="146"/>
        <v>124.2146239462585</v>
      </c>
      <c r="M200" s="189"/>
      <c r="N200" s="184">
        <f t="shared" ca="1" si="147"/>
        <v>2214</v>
      </c>
      <c r="O200" s="179">
        <f t="shared" si="118"/>
        <v>0.02</v>
      </c>
      <c r="P200" s="182">
        <f t="shared" si="127"/>
        <v>47.751530500146671</v>
      </c>
      <c r="R200" s="184">
        <f t="shared" ca="1" si="148"/>
        <v>2214</v>
      </c>
      <c r="S200" s="188">
        <f t="shared" si="120"/>
        <v>5.3600000000000002E-3</v>
      </c>
      <c r="U200" s="184">
        <f t="shared" ca="1" si="149"/>
        <v>2214</v>
      </c>
      <c r="V200" s="182">
        <f t="shared" si="132"/>
        <v>0.02</v>
      </c>
      <c r="W200" s="180">
        <f>Parameters!$D$15</f>
        <v>5.0000000000000001E-3</v>
      </c>
      <c r="X200" s="182">
        <f t="shared" si="133"/>
        <v>2.5000000000000001E-2</v>
      </c>
      <c r="Y200" s="182">
        <f t="shared" si="150"/>
        <v>124.33706323073734</v>
      </c>
      <c r="AA200" s="189"/>
      <c r="AB200" s="184">
        <f t="shared" ca="1" si="151"/>
        <v>2214</v>
      </c>
      <c r="AC200" s="171">
        <f t="shared" si="134"/>
        <v>0</v>
      </c>
      <c r="AD200" s="171">
        <f t="shared" si="129"/>
        <v>0</v>
      </c>
      <c r="AE200" s="171">
        <f t="shared" si="119"/>
        <v>32916.898708197339</v>
      </c>
      <c r="AF200" s="171">
        <f t="shared" si="152"/>
        <v>0</v>
      </c>
      <c r="AG200" s="171">
        <f t="shared" si="121"/>
        <v>0</v>
      </c>
      <c r="AH200" s="171">
        <f t="shared" si="135"/>
        <v>0</v>
      </c>
      <c r="AI200" s="171">
        <f t="shared" si="136"/>
        <v>0</v>
      </c>
      <c r="AJ200" s="171">
        <f>IF('Invoer gegevens'!$I$27="DAEB",SMALL(AC200:AD200,1),AC200)</f>
        <v>0</v>
      </c>
      <c r="AK200" s="171">
        <f>IF('Invoer gegevens'!$I$27="DAEB",SMALL((AE200:AH200),1),SMALL((AF200:AH200),1))</f>
        <v>0</v>
      </c>
      <c r="AL200" s="171">
        <f t="shared" ref="AL200:AL234" si="157">ROUND($AL199*(1+V200)^1,2)</f>
        <v>0</v>
      </c>
      <c r="AM200" s="171">
        <f t="shared" ref="AM200:AM234" si="158">ROUND($AM199*(1+V200)^1,2)</f>
        <v>0</v>
      </c>
      <c r="AN200" s="175">
        <f t="shared" si="153"/>
        <v>0</v>
      </c>
      <c r="AP200" s="184">
        <f t="shared" ca="1" si="154"/>
        <v>2214</v>
      </c>
      <c r="AQ200" s="185">
        <f t="shared" si="137"/>
        <v>0.02</v>
      </c>
      <c r="AR200" s="182">
        <f t="shared" si="128"/>
        <v>47.751530500146671</v>
      </c>
      <c r="AU200" s="184">
        <f t="shared" ca="1" si="155"/>
        <v>2214</v>
      </c>
      <c r="AV200" s="182">
        <f t="shared" si="138"/>
        <v>0.02</v>
      </c>
      <c r="AW200" s="179">
        <f t="shared" si="139"/>
        <v>5.0000000000000001E-3</v>
      </c>
      <c r="AX200" s="182">
        <f t="shared" si="140"/>
        <v>2.5000000000000001E-2</v>
      </c>
      <c r="AY200" s="186"/>
      <c r="AZ200" s="190"/>
      <c r="BA200" s="184">
        <f t="shared" ca="1" si="156"/>
        <v>2214</v>
      </c>
      <c r="BB200" s="171">
        <f t="shared" si="141"/>
        <v>0</v>
      </c>
      <c r="BC200" s="171">
        <f t="shared" si="130"/>
        <v>32916.898708197339</v>
      </c>
      <c r="BD200" s="171">
        <f t="shared" si="126"/>
        <v>0</v>
      </c>
      <c r="BE200" s="171">
        <f t="shared" si="126"/>
        <v>0</v>
      </c>
      <c r="BF200" s="171">
        <f t="shared" si="126"/>
        <v>0</v>
      </c>
      <c r="BG200" s="171">
        <f t="shared" si="125"/>
        <v>0</v>
      </c>
      <c r="BI200" s="187">
        <f>IF(A200-'Invoer gegevens'!$C$17&lt;0,0,IF(A200-'Invoer gegevens'!$C$17=0,1,IF(A200-'Invoer gegevens'!$C$17&lt;5,2,IF(A200-'Invoer gegevens'!$C$17&lt;15,3,4))))</f>
        <v>0</v>
      </c>
      <c r="BJ200" s="229">
        <f>IF(BI200&lt;1,0,IF(BI200&lt;2,4%,IF('Reeksen (N)'!BI200&lt;3,4%,IF('Reeksen (N)'!BI200&lt;4,4%*70%,IF('Reeksen (N)'!BI200&lt;5,4%*50%)))))</f>
        <v>0</v>
      </c>
    </row>
    <row r="201" spans="1:62" x14ac:dyDescent="0.25">
      <c r="A201" s="184">
        <f t="shared" si="142"/>
        <v>196</v>
      </c>
      <c r="B201" s="179">
        <f>Dashboard!$D$25</f>
        <v>0</v>
      </c>
      <c r="C201" s="179">
        <f>Dashboard!$D$25</f>
        <v>0</v>
      </c>
      <c r="D201" s="180">
        <f t="shared" si="131"/>
        <v>0</v>
      </c>
      <c r="E201" s="189"/>
      <c r="F201" s="184">
        <f t="shared" ca="1" si="143"/>
        <v>2215</v>
      </c>
      <c r="G201" s="179">
        <f t="shared" si="122"/>
        <v>0.02</v>
      </c>
      <c r="H201" s="182">
        <f t="shared" si="144"/>
        <v>48.753886632967955</v>
      </c>
      <c r="I201" s="179">
        <f t="shared" si="123"/>
        <v>2.5000000000000001E-2</v>
      </c>
      <c r="J201" s="182">
        <f t="shared" si="145"/>
        <v>127.31998954491495</v>
      </c>
      <c r="K201" s="179">
        <f t="shared" si="124"/>
        <v>2.5000000000000001E-2</v>
      </c>
      <c r="L201" s="182">
        <f t="shared" si="146"/>
        <v>127.31998954491495</v>
      </c>
      <c r="M201" s="189"/>
      <c r="N201" s="184">
        <f t="shared" ca="1" si="147"/>
        <v>2215</v>
      </c>
      <c r="O201" s="179">
        <f t="shared" ref="O201:O234" si="159">O200</f>
        <v>0.02</v>
      </c>
      <c r="P201" s="182">
        <f t="shared" si="127"/>
        <v>48.706561110149607</v>
      </c>
      <c r="R201" s="184">
        <f t="shared" ca="1" si="148"/>
        <v>2215</v>
      </c>
      <c r="S201" s="188">
        <f t="shared" si="120"/>
        <v>5.3600000000000002E-3</v>
      </c>
      <c r="U201" s="184">
        <f t="shared" ca="1" si="149"/>
        <v>2215</v>
      </c>
      <c r="V201" s="182">
        <f t="shared" si="132"/>
        <v>0.02</v>
      </c>
      <c r="W201" s="180">
        <f>Parameters!$D$15</f>
        <v>5.0000000000000001E-3</v>
      </c>
      <c r="X201" s="182">
        <f t="shared" si="133"/>
        <v>2.5000000000000001E-2</v>
      </c>
      <c r="Y201" s="182">
        <f t="shared" si="150"/>
        <v>127.44548981150577</v>
      </c>
      <c r="AA201" s="189"/>
      <c r="AB201" s="184">
        <f t="shared" ca="1" si="151"/>
        <v>2215</v>
      </c>
      <c r="AC201" s="171">
        <f t="shared" si="134"/>
        <v>0</v>
      </c>
      <c r="AD201" s="171">
        <f t="shared" si="129"/>
        <v>0</v>
      </c>
      <c r="AE201" s="171">
        <f t="shared" si="119"/>
        <v>33575.23668236129</v>
      </c>
      <c r="AF201" s="171">
        <f t="shared" si="152"/>
        <v>0</v>
      </c>
      <c r="AG201" s="171">
        <f t="shared" si="121"/>
        <v>0</v>
      </c>
      <c r="AH201" s="171">
        <f t="shared" si="135"/>
        <v>0</v>
      </c>
      <c r="AI201" s="171">
        <f t="shared" si="136"/>
        <v>0</v>
      </c>
      <c r="AJ201" s="171">
        <f>IF('Invoer gegevens'!$I$27="DAEB",SMALL(AC201:AD201,1),AC201)</f>
        <v>0</v>
      </c>
      <c r="AK201" s="171">
        <f>IF('Invoer gegevens'!$I$27="DAEB",SMALL((AE201:AH201),1),SMALL((AF201:AH201),1))</f>
        <v>0</v>
      </c>
      <c r="AL201" s="171">
        <f t="shared" si="157"/>
        <v>0</v>
      </c>
      <c r="AM201" s="171">
        <f t="shared" si="158"/>
        <v>0</v>
      </c>
      <c r="AN201" s="175">
        <f t="shared" si="153"/>
        <v>0</v>
      </c>
      <c r="AP201" s="184">
        <f t="shared" ca="1" si="154"/>
        <v>2215</v>
      </c>
      <c r="AQ201" s="185">
        <f t="shared" si="137"/>
        <v>0.02</v>
      </c>
      <c r="AR201" s="182">
        <f t="shared" si="128"/>
        <v>48.706561110149607</v>
      </c>
      <c r="AU201" s="184">
        <f t="shared" ca="1" si="155"/>
        <v>2215</v>
      </c>
      <c r="AV201" s="182">
        <f t="shared" si="138"/>
        <v>0.02</v>
      </c>
      <c r="AW201" s="179">
        <f t="shared" si="139"/>
        <v>5.0000000000000001E-3</v>
      </c>
      <c r="AX201" s="182">
        <f t="shared" si="140"/>
        <v>2.5000000000000001E-2</v>
      </c>
      <c r="AY201" s="186"/>
      <c r="AZ201" s="190"/>
      <c r="BA201" s="184">
        <f t="shared" ca="1" si="156"/>
        <v>2215</v>
      </c>
      <c r="BB201" s="171">
        <f t="shared" si="141"/>
        <v>0</v>
      </c>
      <c r="BC201" s="171">
        <f t="shared" si="130"/>
        <v>33575.23668236129</v>
      </c>
      <c r="BD201" s="171">
        <f t="shared" si="126"/>
        <v>0</v>
      </c>
      <c r="BE201" s="171">
        <f t="shared" si="126"/>
        <v>0</v>
      </c>
      <c r="BF201" s="171">
        <f t="shared" si="126"/>
        <v>0</v>
      </c>
      <c r="BG201" s="171">
        <f t="shared" si="125"/>
        <v>0</v>
      </c>
      <c r="BI201" s="187">
        <f>IF(A201-'Invoer gegevens'!$C$17&lt;0,0,IF(A201-'Invoer gegevens'!$C$17=0,1,IF(A201-'Invoer gegevens'!$C$17&lt;5,2,IF(A201-'Invoer gegevens'!$C$17&lt;15,3,4))))</f>
        <v>0</v>
      </c>
      <c r="BJ201" s="229">
        <f>IF(BI201&lt;1,0,IF(BI201&lt;2,4%,IF('Reeksen (N)'!BI201&lt;3,4%,IF('Reeksen (N)'!BI201&lt;4,4%*70%,IF('Reeksen (N)'!BI201&lt;5,4%*50%)))))</f>
        <v>0</v>
      </c>
    </row>
    <row r="202" spans="1:62" x14ac:dyDescent="0.25">
      <c r="A202" s="184">
        <f t="shared" si="142"/>
        <v>197</v>
      </c>
      <c r="B202" s="179">
        <f>Dashboard!$D$25</f>
        <v>0</v>
      </c>
      <c r="C202" s="179">
        <f>Dashboard!$D$25</f>
        <v>0</v>
      </c>
      <c r="D202" s="180">
        <f t="shared" si="131"/>
        <v>0</v>
      </c>
      <c r="E202" s="189"/>
      <c r="F202" s="184">
        <f t="shared" ca="1" si="143"/>
        <v>2216</v>
      </c>
      <c r="G202" s="179">
        <f t="shared" si="122"/>
        <v>0.02</v>
      </c>
      <c r="H202" s="182">
        <f t="shared" si="144"/>
        <v>49.728964365627313</v>
      </c>
      <c r="I202" s="179">
        <f t="shared" si="123"/>
        <v>2.5000000000000001E-2</v>
      </c>
      <c r="J202" s="182">
        <f t="shared" si="145"/>
        <v>130.5029892835378</v>
      </c>
      <c r="K202" s="179">
        <f t="shared" si="124"/>
        <v>2.5000000000000001E-2</v>
      </c>
      <c r="L202" s="182">
        <f t="shared" si="146"/>
        <v>130.5029892835378</v>
      </c>
      <c r="M202" s="189"/>
      <c r="N202" s="184">
        <f t="shared" ca="1" si="147"/>
        <v>2216</v>
      </c>
      <c r="O202" s="179">
        <f t="shared" si="159"/>
        <v>0.02</v>
      </c>
      <c r="P202" s="182">
        <f t="shared" si="127"/>
        <v>49.680692332352599</v>
      </c>
      <c r="R202" s="184">
        <f t="shared" ca="1" si="148"/>
        <v>2216</v>
      </c>
      <c r="S202" s="188">
        <f t="shared" si="120"/>
        <v>5.3600000000000002E-3</v>
      </c>
      <c r="U202" s="184">
        <f t="shared" ca="1" si="149"/>
        <v>2216</v>
      </c>
      <c r="V202" s="182">
        <f t="shared" si="132"/>
        <v>0.02</v>
      </c>
      <c r="W202" s="180">
        <f>Parameters!$D$15</f>
        <v>5.0000000000000001E-3</v>
      </c>
      <c r="X202" s="182">
        <f t="shared" si="133"/>
        <v>2.5000000000000001E-2</v>
      </c>
      <c r="Y202" s="182">
        <f t="shared" si="150"/>
        <v>130.63162705679341</v>
      </c>
      <c r="AA202" s="189"/>
      <c r="AB202" s="184">
        <f t="shared" ca="1" si="151"/>
        <v>2216</v>
      </c>
      <c r="AC202" s="171">
        <f t="shared" si="134"/>
        <v>0</v>
      </c>
      <c r="AD202" s="171">
        <f t="shared" si="129"/>
        <v>0</v>
      </c>
      <c r="AE202" s="171">
        <f t="shared" ref="AE202:AE234" si="160">AE201*(1+V202)</f>
        <v>34246.741416008517</v>
      </c>
      <c r="AF202" s="171">
        <f t="shared" si="152"/>
        <v>0</v>
      </c>
      <c r="AG202" s="171">
        <f t="shared" si="121"/>
        <v>0</v>
      </c>
      <c r="AH202" s="171">
        <f t="shared" si="135"/>
        <v>0</v>
      </c>
      <c r="AI202" s="171">
        <f t="shared" si="136"/>
        <v>0</v>
      </c>
      <c r="AJ202" s="171">
        <f>IF('Invoer gegevens'!$I$27="DAEB",SMALL(AC202:AD202,1),AC202)</f>
        <v>0</v>
      </c>
      <c r="AK202" s="171">
        <f>IF('Invoer gegevens'!$I$27="DAEB",SMALL((AE202:AH202),1),SMALL((AF202:AH202),1))</f>
        <v>0</v>
      </c>
      <c r="AL202" s="171">
        <f t="shared" si="157"/>
        <v>0</v>
      </c>
      <c r="AM202" s="171">
        <f t="shared" si="158"/>
        <v>0</v>
      </c>
      <c r="AN202" s="175">
        <f t="shared" si="153"/>
        <v>0</v>
      </c>
      <c r="AP202" s="184">
        <f t="shared" ca="1" si="154"/>
        <v>2216</v>
      </c>
      <c r="AQ202" s="185">
        <f t="shared" si="137"/>
        <v>0.02</v>
      </c>
      <c r="AR202" s="182">
        <f t="shared" si="128"/>
        <v>49.680692332352599</v>
      </c>
      <c r="AU202" s="184">
        <f t="shared" ca="1" si="155"/>
        <v>2216</v>
      </c>
      <c r="AV202" s="182">
        <f t="shared" si="138"/>
        <v>0.02</v>
      </c>
      <c r="AW202" s="179">
        <f t="shared" si="139"/>
        <v>5.0000000000000001E-3</v>
      </c>
      <c r="AX202" s="182">
        <f t="shared" si="140"/>
        <v>2.5000000000000001E-2</v>
      </c>
      <c r="AY202" s="186"/>
      <c r="AZ202" s="190"/>
      <c r="BA202" s="184">
        <f t="shared" ca="1" si="156"/>
        <v>2216</v>
      </c>
      <c r="BB202" s="171">
        <f t="shared" si="141"/>
        <v>0</v>
      </c>
      <c r="BC202" s="171">
        <f t="shared" si="130"/>
        <v>34246.741416008517</v>
      </c>
      <c r="BD202" s="171">
        <f t="shared" si="126"/>
        <v>0</v>
      </c>
      <c r="BE202" s="171">
        <f t="shared" si="126"/>
        <v>0</v>
      </c>
      <c r="BF202" s="171">
        <f t="shared" si="126"/>
        <v>0</v>
      </c>
      <c r="BG202" s="171">
        <f t="shared" si="125"/>
        <v>0</v>
      </c>
      <c r="BI202" s="187">
        <f>IF(A202-'Invoer gegevens'!$C$17&lt;0,0,IF(A202-'Invoer gegevens'!$C$17=0,1,IF(A202-'Invoer gegevens'!$C$17&lt;5,2,IF(A202-'Invoer gegevens'!$C$17&lt;15,3,4))))</f>
        <v>0</v>
      </c>
      <c r="BJ202" s="229">
        <f>IF(BI202&lt;1,0,IF(BI202&lt;2,4%,IF('Reeksen (N)'!BI202&lt;3,4%,IF('Reeksen (N)'!BI202&lt;4,4%*70%,IF('Reeksen (N)'!BI202&lt;5,4%*50%)))))</f>
        <v>0</v>
      </c>
    </row>
    <row r="203" spans="1:62" x14ac:dyDescent="0.25">
      <c r="A203" s="184">
        <f t="shared" si="142"/>
        <v>198</v>
      </c>
      <c r="B203" s="179">
        <f>Dashboard!$D$25</f>
        <v>0</v>
      </c>
      <c r="C203" s="179">
        <f>Dashboard!$D$25</f>
        <v>0</v>
      </c>
      <c r="D203" s="180">
        <f t="shared" si="131"/>
        <v>0</v>
      </c>
      <c r="E203" s="189"/>
      <c r="F203" s="184">
        <f t="shared" ca="1" si="143"/>
        <v>2217</v>
      </c>
      <c r="G203" s="179">
        <f t="shared" si="122"/>
        <v>0.02</v>
      </c>
      <c r="H203" s="182">
        <f t="shared" si="144"/>
        <v>50.72354365293986</v>
      </c>
      <c r="I203" s="179">
        <f t="shared" si="123"/>
        <v>2.5000000000000001E-2</v>
      </c>
      <c r="J203" s="182">
        <f t="shared" si="145"/>
        <v>133.76556401562624</v>
      </c>
      <c r="K203" s="179">
        <f t="shared" si="124"/>
        <v>2.5000000000000001E-2</v>
      </c>
      <c r="L203" s="182">
        <f t="shared" si="146"/>
        <v>133.76556401562624</v>
      </c>
      <c r="M203" s="189"/>
      <c r="N203" s="184">
        <f t="shared" ca="1" si="147"/>
        <v>2217</v>
      </c>
      <c r="O203" s="179">
        <f t="shared" si="159"/>
        <v>0.02</v>
      </c>
      <c r="P203" s="182">
        <f t="shared" si="127"/>
        <v>50.67430617899965</v>
      </c>
      <c r="R203" s="184">
        <f t="shared" ca="1" si="148"/>
        <v>2217</v>
      </c>
      <c r="S203" s="188">
        <f t="shared" si="120"/>
        <v>5.3600000000000002E-3</v>
      </c>
      <c r="U203" s="184">
        <f t="shared" ca="1" si="149"/>
        <v>2217</v>
      </c>
      <c r="V203" s="182">
        <f t="shared" si="132"/>
        <v>0.02</v>
      </c>
      <c r="W203" s="180">
        <f>Parameters!$D$15</f>
        <v>5.0000000000000001E-3</v>
      </c>
      <c r="X203" s="182">
        <f t="shared" si="133"/>
        <v>2.5000000000000001E-2</v>
      </c>
      <c r="Y203" s="182">
        <f t="shared" si="150"/>
        <v>133.89741773321322</v>
      </c>
      <c r="AA203" s="189"/>
      <c r="AB203" s="184">
        <f t="shared" ca="1" si="151"/>
        <v>2217</v>
      </c>
      <c r="AC203" s="171">
        <f t="shared" si="134"/>
        <v>0</v>
      </c>
      <c r="AD203" s="171">
        <f t="shared" si="129"/>
        <v>0</v>
      </c>
      <c r="AE203" s="171">
        <f t="shared" si="160"/>
        <v>34931.676244328686</v>
      </c>
      <c r="AF203" s="171">
        <f t="shared" si="152"/>
        <v>0</v>
      </c>
      <c r="AG203" s="171">
        <f t="shared" si="121"/>
        <v>0</v>
      </c>
      <c r="AH203" s="171">
        <f t="shared" si="135"/>
        <v>0</v>
      </c>
      <c r="AI203" s="171">
        <f t="shared" si="136"/>
        <v>0</v>
      </c>
      <c r="AJ203" s="171">
        <f>IF('Invoer gegevens'!$I$27="DAEB",SMALL(AC203:AD203,1),AC203)</f>
        <v>0</v>
      </c>
      <c r="AK203" s="171">
        <f>IF('Invoer gegevens'!$I$27="DAEB",SMALL((AE203:AH203),1),SMALL((AF203:AH203),1))</f>
        <v>0</v>
      </c>
      <c r="AL203" s="171">
        <f t="shared" si="157"/>
        <v>0</v>
      </c>
      <c r="AM203" s="171">
        <f t="shared" si="158"/>
        <v>0</v>
      </c>
      <c r="AN203" s="175">
        <f t="shared" si="153"/>
        <v>0</v>
      </c>
      <c r="AP203" s="184">
        <f t="shared" ca="1" si="154"/>
        <v>2217</v>
      </c>
      <c r="AQ203" s="185">
        <f t="shared" si="137"/>
        <v>0.02</v>
      </c>
      <c r="AR203" s="182">
        <f t="shared" si="128"/>
        <v>50.67430617899965</v>
      </c>
      <c r="AU203" s="184">
        <f t="shared" ca="1" si="155"/>
        <v>2217</v>
      </c>
      <c r="AV203" s="182">
        <f t="shared" si="138"/>
        <v>0.02</v>
      </c>
      <c r="AW203" s="179">
        <f t="shared" si="139"/>
        <v>5.0000000000000001E-3</v>
      </c>
      <c r="AX203" s="182">
        <f t="shared" si="140"/>
        <v>2.5000000000000001E-2</v>
      </c>
      <c r="AY203" s="186"/>
      <c r="AZ203" s="190"/>
      <c r="BA203" s="184">
        <f t="shared" ca="1" si="156"/>
        <v>2217</v>
      </c>
      <c r="BB203" s="171">
        <f t="shared" si="141"/>
        <v>0</v>
      </c>
      <c r="BC203" s="171">
        <f t="shared" si="130"/>
        <v>34931.676244328686</v>
      </c>
      <c r="BD203" s="171">
        <f t="shared" si="126"/>
        <v>0</v>
      </c>
      <c r="BE203" s="171">
        <f t="shared" si="126"/>
        <v>0</v>
      </c>
      <c r="BF203" s="171">
        <f t="shared" si="126"/>
        <v>0</v>
      </c>
      <c r="BG203" s="171">
        <f t="shared" si="125"/>
        <v>0</v>
      </c>
      <c r="BI203" s="187">
        <f>IF(A203-'Invoer gegevens'!$C$17&lt;0,0,IF(A203-'Invoer gegevens'!$C$17=0,1,IF(A203-'Invoer gegevens'!$C$17&lt;5,2,IF(A203-'Invoer gegevens'!$C$17&lt;15,3,4))))</f>
        <v>0</v>
      </c>
      <c r="BJ203" s="229">
        <f>IF(BI203&lt;1,0,IF(BI203&lt;2,4%,IF('Reeksen (N)'!BI203&lt;3,4%,IF('Reeksen (N)'!BI203&lt;4,4%*70%,IF('Reeksen (N)'!BI203&lt;5,4%*50%)))))</f>
        <v>0</v>
      </c>
    </row>
    <row r="204" spans="1:62" x14ac:dyDescent="0.25">
      <c r="A204" s="184">
        <f t="shared" si="142"/>
        <v>199</v>
      </c>
      <c r="B204" s="179">
        <f>Dashboard!$D$25</f>
        <v>0</v>
      </c>
      <c r="C204" s="179">
        <f>Dashboard!$D$25</f>
        <v>0</v>
      </c>
      <c r="D204" s="180">
        <f t="shared" si="131"/>
        <v>0</v>
      </c>
      <c r="E204" s="189"/>
      <c r="F204" s="184">
        <f t="shared" ca="1" si="143"/>
        <v>2218</v>
      </c>
      <c r="G204" s="179">
        <f t="shared" si="122"/>
        <v>0.02</v>
      </c>
      <c r="H204" s="182">
        <f t="shared" si="144"/>
        <v>51.738014525998658</v>
      </c>
      <c r="I204" s="179">
        <f t="shared" si="123"/>
        <v>2.5000000000000001E-2</v>
      </c>
      <c r="J204" s="182">
        <f t="shared" si="145"/>
        <v>137.10970311601687</v>
      </c>
      <c r="K204" s="179">
        <f t="shared" si="124"/>
        <v>2.5000000000000001E-2</v>
      </c>
      <c r="L204" s="182">
        <f t="shared" si="146"/>
        <v>137.10970311601687</v>
      </c>
      <c r="M204" s="189"/>
      <c r="N204" s="184">
        <f t="shared" ca="1" si="147"/>
        <v>2218</v>
      </c>
      <c r="O204" s="179">
        <f t="shared" si="159"/>
        <v>0.02</v>
      </c>
      <c r="P204" s="182">
        <f t="shared" si="127"/>
        <v>51.687792302579645</v>
      </c>
      <c r="R204" s="184">
        <f t="shared" ca="1" si="148"/>
        <v>2218</v>
      </c>
      <c r="S204" s="188">
        <f t="shared" ref="S204:S234" si="161">S203</f>
        <v>5.3600000000000002E-3</v>
      </c>
      <c r="U204" s="184">
        <f t="shared" ca="1" si="149"/>
        <v>2218</v>
      </c>
      <c r="V204" s="182">
        <f t="shared" si="132"/>
        <v>0.02</v>
      </c>
      <c r="W204" s="180">
        <f>Parameters!$D$15</f>
        <v>5.0000000000000001E-3</v>
      </c>
      <c r="X204" s="182">
        <f t="shared" si="133"/>
        <v>2.5000000000000001E-2</v>
      </c>
      <c r="Y204" s="182">
        <f t="shared" si="150"/>
        <v>137.24485317654353</v>
      </c>
      <c r="AA204" s="189"/>
      <c r="AB204" s="184">
        <f t="shared" ca="1" si="151"/>
        <v>2218</v>
      </c>
      <c r="AC204" s="171">
        <f t="shared" si="134"/>
        <v>0</v>
      </c>
      <c r="AD204" s="171">
        <f t="shared" si="129"/>
        <v>0</v>
      </c>
      <c r="AE204" s="171">
        <f t="shared" si="160"/>
        <v>35630.309769215259</v>
      </c>
      <c r="AF204" s="171">
        <f t="shared" si="152"/>
        <v>0</v>
      </c>
      <c r="AG204" s="171">
        <f t="shared" si="121"/>
        <v>0</v>
      </c>
      <c r="AH204" s="171">
        <f t="shared" si="135"/>
        <v>0</v>
      </c>
      <c r="AI204" s="171">
        <f t="shared" si="136"/>
        <v>0</v>
      </c>
      <c r="AJ204" s="171">
        <f>IF('Invoer gegevens'!$I$27="DAEB",SMALL(AC204:AD204,1),AC204)</f>
        <v>0</v>
      </c>
      <c r="AK204" s="171">
        <f>IF('Invoer gegevens'!$I$27="DAEB",SMALL((AE204:AH204),1),SMALL((AF204:AH204),1))</f>
        <v>0</v>
      </c>
      <c r="AL204" s="171">
        <f t="shared" si="157"/>
        <v>0</v>
      </c>
      <c r="AM204" s="171">
        <f t="shared" si="158"/>
        <v>0</v>
      </c>
      <c r="AN204" s="175">
        <f t="shared" si="153"/>
        <v>0</v>
      </c>
      <c r="AP204" s="184">
        <f t="shared" ca="1" si="154"/>
        <v>2218</v>
      </c>
      <c r="AQ204" s="185">
        <f t="shared" si="137"/>
        <v>0.02</v>
      </c>
      <c r="AR204" s="182">
        <f t="shared" si="128"/>
        <v>51.687792302579645</v>
      </c>
      <c r="AU204" s="184">
        <f t="shared" ca="1" si="155"/>
        <v>2218</v>
      </c>
      <c r="AV204" s="182">
        <f t="shared" si="138"/>
        <v>0.02</v>
      </c>
      <c r="AW204" s="179">
        <f t="shared" si="139"/>
        <v>5.0000000000000001E-3</v>
      </c>
      <c r="AX204" s="182">
        <f t="shared" si="140"/>
        <v>2.5000000000000001E-2</v>
      </c>
      <c r="AY204" s="186"/>
      <c r="AZ204" s="190"/>
      <c r="BA204" s="184">
        <f t="shared" ca="1" si="156"/>
        <v>2218</v>
      </c>
      <c r="BB204" s="171">
        <f t="shared" si="141"/>
        <v>0</v>
      </c>
      <c r="BC204" s="171">
        <f t="shared" si="130"/>
        <v>35630.309769215259</v>
      </c>
      <c r="BD204" s="171">
        <f t="shared" si="126"/>
        <v>0</v>
      </c>
      <c r="BE204" s="171">
        <f t="shared" si="126"/>
        <v>0</v>
      </c>
      <c r="BF204" s="171">
        <f t="shared" si="126"/>
        <v>0</v>
      </c>
      <c r="BG204" s="171">
        <f t="shared" si="125"/>
        <v>0</v>
      </c>
      <c r="BI204" s="187">
        <f>IF(A204-'Invoer gegevens'!$C$17&lt;0,0,IF(A204-'Invoer gegevens'!$C$17=0,1,IF(A204-'Invoer gegevens'!$C$17&lt;5,2,IF(A204-'Invoer gegevens'!$C$17&lt;15,3,4))))</f>
        <v>0</v>
      </c>
      <c r="BJ204" s="229">
        <f>IF(BI204&lt;1,0,IF(BI204&lt;2,4%,IF('Reeksen (N)'!BI204&lt;3,4%,IF('Reeksen (N)'!BI204&lt;4,4%*70%,IF('Reeksen (N)'!BI204&lt;5,4%*50%)))))</f>
        <v>0</v>
      </c>
    </row>
    <row r="205" spans="1:62" x14ac:dyDescent="0.25">
      <c r="A205" s="184">
        <f t="shared" si="142"/>
        <v>200</v>
      </c>
      <c r="B205" s="179">
        <f>Dashboard!$D$25</f>
        <v>0</v>
      </c>
      <c r="C205" s="179">
        <f>Dashboard!$D$25</f>
        <v>0</v>
      </c>
      <c r="D205" s="180">
        <f t="shared" si="131"/>
        <v>0</v>
      </c>
      <c r="E205" s="189"/>
      <c r="F205" s="184">
        <f t="shared" ca="1" si="143"/>
        <v>2219</v>
      </c>
      <c r="G205" s="179">
        <f t="shared" si="122"/>
        <v>0.02</v>
      </c>
      <c r="H205" s="182">
        <f t="shared" si="144"/>
        <v>52.772774816518634</v>
      </c>
      <c r="I205" s="179">
        <f t="shared" si="123"/>
        <v>2.5000000000000001E-2</v>
      </c>
      <c r="J205" s="182">
        <f t="shared" si="145"/>
        <v>140.53744569391728</v>
      </c>
      <c r="K205" s="179">
        <f t="shared" si="124"/>
        <v>2.5000000000000001E-2</v>
      </c>
      <c r="L205" s="182">
        <f t="shared" si="146"/>
        <v>140.53744569391728</v>
      </c>
      <c r="M205" s="189"/>
      <c r="N205" s="184">
        <f t="shared" ca="1" si="147"/>
        <v>2219</v>
      </c>
      <c r="O205" s="179">
        <f t="shared" si="159"/>
        <v>0.02</v>
      </c>
      <c r="P205" s="182">
        <f t="shared" si="127"/>
        <v>52.721548148631236</v>
      </c>
      <c r="R205" s="184">
        <f t="shared" ca="1" si="148"/>
        <v>2219</v>
      </c>
      <c r="S205" s="188">
        <f t="shared" si="161"/>
        <v>5.3600000000000002E-3</v>
      </c>
      <c r="U205" s="184">
        <f t="shared" ca="1" si="149"/>
        <v>2219</v>
      </c>
      <c r="V205" s="182">
        <f t="shared" si="132"/>
        <v>0.02</v>
      </c>
      <c r="W205" s="180">
        <f>Parameters!$D$15</f>
        <v>5.0000000000000001E-3</v>
      </c>
      <c r="X205" s="182">
        <f t="shared" si="133"/>
        <v>2.5000000000000001E-2</v>
      </c>
      <c r="Y205" s="182">
        <f t="shared" si="150"/>
        <v>140.6759745059571</v>
      </c>
      <c r="AA205" s="189"/>
      <c r="AB205" s="184">
        <f t="shared" ca="1" si="151"/>
        <v>2219</v>
      </c>
      <c r="AC205" s="171">
        <f t="shared" si="134"/>
        <v>0</v>
      </c>
      <c r="AD205" s="171">
        <f t="shared" si="129"/>
        <v>0</v>
      </c>
      <c r="AE205" s="171">
        <f t="shared" si="160"/>
        <v>36342.915964599568</v>
      </c>
      <c r="AF205" s="171">
        <f t="shared" si="152"/>
        <v>0</v>
      </c>
      <c r="AG205" s="171">
        <f t="shared" ref="AG205:AG234" si="162">ROUND($AG204*(1+V205)^1,2)</f>
        <v>0</v>
      </c>
      <c r="AH205" s="171">
        <f t="shared" si="135"/>
        <v>0</v>
      </c>
      <c r="AI205" s="171">
        <f t="shared" si="136"/>
        <v>0</v>
      </c>
      <c r="AJ205" s="171">
        <f>IF('Invoer gegevens'!$I$27="DAEB",SMALL(AC205:AD205,1),AC205)</f>
        <v>0</v>
      </c>
      <c r="AK205" s="171">
        <f>IF('Invoer gegevens'!$I$27="DAEB",SMALL((AE205:AH205),1),SMALL((AF205:AH205),1))</f>
        <v>0</v>
      </c>
      <c r="AL205" s="171">
        <f t="shared" si="157"/>
        <v>0</v>
      </c>
      <c r="AM205" s="171">
        <f t="shared" si="158"/>
        <v>0</v>
      </c>
      <c r="AN205" s="175">
        <f t="shared" si="153"/>
        <v>0</v>
      </c>
      <c r="AP205" s="184">
        <f t="shared" ca="1" si="154"/>
        <v>2219</v>
      </c>
      <c r="AQ205" s="185">
        <f t="shared" si="137"/>
        <v>0.02</v>
      </c>
      <c r="AR205" s="182">
        <f t="shared" si="128"/>
        <v>52.721548148631236</v>
      </c>
      <c r="AU205" s="184">
        <f t="shared" ca="1" si="155"/>
        <v>2219</v>
      </c>
      <c r="AV205" s="182">
        <f t="shared" si="138"/>
        <v>0.02</v>
      </c>
      <c r="AW205" s="179">
        <f t="shared" si="139"/>
        <v>5.0000000000000001E-3</v>
      </c>
      <c r="AX205" s="182">
        <f t="shared" si="140"/>
        <v>2.5000000000000001E-2</v>
      </c>
      <c r="AY205" s="186"/>
      <c r="AZ205" s="190"/>
      <c r="BA205" s="184">
        <f t="shared" ca="1" si="156"/>
        <v>2219</v>
      </c>
      <c r="BB205" s="171">
        <f t="shared" si="141"/>
        <v>0</v>
      </c>
      <c r="BC205" s="171">
        <f t="shared" si="130"/>
        <v>36342.915964599568</v>
      </c>
      <c r="BD205" s="171">
        <f t="shared" si="126"/>
        <v>0</v>
      </c>
      <c r="BE205" s="171">
        <f t="shared" si="126"/>
        <v>0</v>
      </c>
      <c r="BF205" s="171">
        <f t="shared" si="126"/>
        <v>0</v>
      </c>
      <c r="BG205" s="171">
        <f t="shared" si="125"/>
        <v>0</v>
      </c>
      <c r="BI205" s="187">
        <f>IF(A205-'Invoer gegevens'!$C$17&lt;0,0,IF(A205-'Invoer gegevens'!$C$17=0,1,IF(A205-'Invoer gegevens'!$C$17&lt;5,2,IF(A205-'Invoer gegevens'!$C$17&lt;15,3,4))))</f>
        <v>0</v>
      </c>
      <c r="BJ205" s="229">
        <f>IF(BI205&lt;1,0,IF(BI205&lt;2,4%,IF('Reeksen (N)'!BI205&lt;3,4%,IF('Reeksen (N)'!BI205&lt;4,4%*70%,IF('Reeksen (N)'!BI205&lt;5,4%*50%)))))</f>
        <v>0</v>
      </c>
    </row>
    <row r="206" spans="1:62" x14ac:dyDescent="0.25">
      <c r="A206" s="184">
        <f t="shared" si="142"/>
        <v>201</v>
      </c>
      <c r="B206" s="179">
        <f>Dashboard!$D$25</f>
        <v>0</v>
      </c>
      <c r="C206" s="179">
        <f>Dashboard!$D$25</f>
        <v>0</v>
      </c>
      <c r="D206" s="180">
        <f t="shared" si="131"/>
        <v>0</v>
      </c>
      <c r="E206" s="189"/>
      <c r="F206" s="184">
        <f t="shared" ca="1" si="143"/>
        <v>2220</v>
      </c>
      <c r="G206" s="179">
        <f t="shared" si="122"/>
        <v>0.02</v>
      </c>
      <c r="H206" s="182">
        <f t="shared" si="144"/>
        <v>53.828230312849008</v>
      </c>
      <c r="I206" s="179">
        <f t="shared" si="123"/>
        <v>2.5000000000000001E-2</v>
      </c>
      <c r="J206" s="182">
        <f t="shared" si="145"/>
        <v>144.05088183626521</v>
      </c>
      <c r="K206" s="179">
        <f t="shared" si="124"/>
        <v>2.5000000000000001E-2</v>
      </c>
      <c r="L206" s="182">
        <f t="shared" si="146"/>
        <v>144.05088183626521</v>
      </c>
      <c r="M206" s="189"/>
      <c r="N206" s="184">
        <f t="shared" ca="1" si="147"/>
        <v>2220</v>
      </c>
      <c r="O206" s="179">
        <f t="shared" si="159"/>
        <v>0.02</v>
      </c>
      <c r="P206" s="182">
        <f t="shared" si="127"/>
        <v>53.77597911160386</v>
      </c>
      <c r="R206" s="184">
        <f t="shared" ca="1" si="148"/>
        <v>2220</v>
      </c>
      <c r="S206" s="188">
        <f t="shared" si="161"/>
        <v>5.3600000000000002E-3</v>
      </c>
      <c r="U206" s="184">
        <f t="shared" ca="1" si="149"/>
        <v>2220</v>
      </c>
      <c r="V206" s="182">
        <f t="shared" si="132"/>
        <v>0.02</v>
      </c>
      <c r="W206" s="180">
        <f>Parameters!$D$15</f>
        <v>5.0000000000000001E-3</v>
      </c>
      <c r="X206" s="182">
        <f t="shared" si="133"/>
        <v>2.5000000000000001E-2</v>
      </c>
      <c r="Y206" s="182">
        <f t="shared" si="150"/>
        <v>144.19287386860603</v>
      </c>
      <c r="AA206" s="189"/>
      <c r="AB206" s="184">
        <f t="shared" ca="1" si="151"/>
        <v>2220</v>
      </c>
      <c r="AC206" s="171">
        <f t="shared" si="134"/>
        <v>0</v>
      </c>
      <c r="AD206" s="171">
        <f t="shared" si="129"/>
        <v>0</v>
      </c>
      <c r="AE206" s="171">
        <f t="shared" si="160"/>
        <v>37069.774283891558</v>
      </c>
      <c r="AF206" s="171">
        <f t="shared" si="152"/>
        <v>0</v>
      </c>
      <c r="AG206" s="171">
        <f t="shared" si="162"/>
        <v>0</v>
      </c>
      <c r="AH206" s="171">
        <f t="shared" si="135"/>
        <v>0</v>
      </c>
      <c r="AI206" s="171">
        <f t="shared" si="136"/>
        <v>0</v>
      </c>
      <c r="AJ206" s="171">
        <f>IF('Invoer gegevens'!$I$27="DAEB",SMALL(AC206:AD206,1),AC206)</f>
        <v>0</v>
      </c>
      <c r="AK206" s="171">
        <f>IF('Invoer gegevens'!$I$27="DAEB",SMALL((AE206:AH206),1),SMALL((AF206:AH206),1))</f>
        <v>0</v>
      </c>
      <c r="AL206" s="171">
        <f t="shared" si="157"/>
        <v>0</v>
      </c>
      <c r="AM206" s="171">
        <f t="shared" si="158"/>
        <v>0</v>
      </c>
      <c r="AN206" s="175">
        <f t="shared" si="153"/>
        <v>0</v>
      </c>
      <c r="AP206" s="184">
        <f t="shared" ca="1" si="154"/>
        <v>2220</v>
      </c>
      <c r="AQ206" s="185">
        <f t="shared" si="137"/>
        <v>0.02</v>
      </c>
      <c r="AR206" s="182">
        <f t="shared" si="128"/>
        <v>53.77597911160386</v>
      </c>
      <c r="AU206" s="184">
        <f t="shared" ca="1" si="155"/>
        <v>2220</v>
      </c>
      <c r="AV206" s="182">
        <f t="shared" si="138"/>
        <v>0.02</v>
      </c>
      <c r="AW206" s="179">
        <f t="shared" si="139"/>
        <v>5.0000000000000001E-3</v>
      </c>
      <c r="AX206" s="182">
        <f t="shared" si="140"/>
        <v>2.5000000000000001E-2</v>
      </c>
      <c r="AY206" s="186"/>
      <c r="AZ206" s="190"/>
      <c r="BA206" s="184">
        <f t="shared" ca="1" si="156"/>
        <v>2220</v>
      </c>
      <c r="BB206" s="171">
        <f t="shared" si="141"/>
        <v>0</v>
      </c>
      <c r="BC206" s="171">
        <f t="shared" si="130"/>
        <v>37069.774283891558</v>
      </c>
      <c r="BD206" s="171">
        <f t="shared" si="126"/>
        <v>0</v>
      </c>
      <c r="BE206" s="171">
        <f t="shared" si="126"/>
        <v>0</v>
      </c>
      <c r="BF206" s="171">
        <f t="shared" si="126"/>
        <v>0</v>
      </c>
      <c r="BG206" s="171">
        <f t="shared" si="125"/>
        <v>0</v>
      </c>
      <c r="BI206" s="187">
        <f>IF(A206-'Invoer gegevens'!$C$17&lt;0,0,IF(A206-'Invoer gegevens'!$C$17=0,1,IF(A206-'Invoer gegevens'!$C$17&lt;5,2,IF(A206-'Invoer gegevens'!$C$17&lt;15,3,4))))</f>
        <v>0</v>
      </c>
      <c r="BJ206" s="229">
        <f>IF(BI206&lt;1,0,IF(BI206&lt;2,4%,IF('Reeksen (N)'!BI206&lt;3,4%,IF('Reeksen (N)'!BI206&lt;4,4%*70%,IF('Reeksen (N)'!BI206&lt;5,4%*50%)))))</f>
        <v>0</v>
      </c>
    </row>
    <row r="207" spans="1:62" x14ac:dyDescent="0.25">
      <c r="A207" s="184">
        <f t="shared" si="142"/>
        <v>202</v>
      </c>
      <c r="B207" s="179">
        <f>Dashboard!$D$25</f>
        <v>0</v>
      </c>
      <c r="C207" s="179">
        <f>Dashboard!$D$25</f>
        <v>0</v>
      </c>
      <c r="D207" s="180">
        <f t="shared" si="131"/>
        <v>0</v>
      </c>
      <c r="E207" s="189"/>
      <c r="F207" s="184">
        <f t="shared" ca="1" si="143"/>
        <v>2221</v>
      </c>
      <c r="G207" s="179">
        <f t="shared" si="122"/>
        <v>0.02</v>
      </c>
      <c r="H207" s="182">
        <f t="shared" si="144"/>
        <v>54.904794919105989</v>
      </c>
      <c r="I207" s="179">
        <f t="shared" si="123"/>
        <v>2.5000000000000001E-2</v>
      </c>
      <c r="J207" s="182">
        <f t="shared" si="145"/>
        <v>147.65215388217183</v>
      </c>
      <c r="K207" s="179">
        <f t="shared" si="124"/>
        <v>2.5000000000000001E-2</v>
      </c>
      <c r="L207" s="182">
        <f t="shared" si="146"/>
        <v>147.65215388217183</v>
      </c>
      <c r="M207" s="189"/>
      <c r="N207" s="184">
        <f t="shared" ca="1" si="147"/>
        <v>2221</v>
      </c>
      <c r="O207" s="179">
        <f t="shared" si="159"/>
        <v>0.02</v>
      </c>
      <c r="P207" s="182">
        <f t="shared" si="127"/>
        <v>54.851498693835936</v>
      </c>
      <c r="R207" s="184">
        <f t="shared" ca="1" si="148"/>
        <v>2221</v>
      </c>
      <c r="S207" s="188">
        <f t="shared" si="161"/>
        <v>5.3600000000000002E-3</v>
      </c>
      <c r="U207" s="184">
        <f t="shared" ca="1" si="149"/>
        <v>2221</v>
      </c>
      <c r="V207" s="182">
        <f t="shared" si="132"/>
        <v>0.02</v>
      </c>
      <c r="W207" s="180">
        <f>Parameters!$D$15</f>
        <v>5.0000000000000001E-3</v>
      </c>
      <c r="X207" s="182">
        <f t="shared" si="133"/>
        <v>2.5000000000000001E-2</v>
      </c>
      <c r="Y207" s="182">
        <f t="shared" si="150"/>
        <v>147.79769571532117</v>
      </c>
      <c r="AA207" s="189"/>
      <c r="AB207" s="184">
        <f t="shared" ca="1" si="151"/>
        <v>2221</v>
      </c>
      <c r="AC207" s="171">
        <f t="shared" si="134"/>
        <v>0</v>
      </c>
      <c r="AD207" s="171">
        <f t="shared" si="129"/>
        <v>0</v>
      </c>
      <c r="AE207" s="171">
        <f t="shared" si="160"/>
        <v>37811.169769569387</v>
      </c>
      <c r="AF207" s="171">
        <f t="shared" si="152"/>
        <v>0</v>
      </c>
      <c r="AG207" s="171">
        <f t="shared" si="162"/>
        <v>0</v>
      </c>
      <c r="AH207" s="171">
        <f t="shared" si="135"/>
        <v>0</v>
      </c>
      <c r="AI207" s="171">
        <f t="shared" si="136"/>
        <v>0</v>
      </c>
      <c r="AJ207" s="171">
        <f>IF('Invoer gegevens'!$I$27="DAEB",SMALL(AC207:AD207,1),AC207)</f>
        <v>0</v>
      </c>
      <c r="AK207" s="171">
        <f>IF('Invoer gegevens'!$I$27="DAEB",SMALL((AE207:AH207),1),SMALL((AF207:AH207),1))</f>
        <v>0</v>
      </c>
      <c r="AL207" s="171">
        <f t="shared" si="157"/>
        <v>0</v>
      </c>
      <c r="AM207" s="171">
        <f t="shared" si="158"/>
        <v>0</v>
      </c>
      <c r="AN207" s="175">
        <f t="shared" si="153"/>
        <v>0</v>
      </c>
      <c r="AP207" s="184">
        <f t="shared" ca="1" si="154"/>
        <v>2221</v>
      </c>
      <c r="AQ207" s="185">
        <f t="shared" si="137"/>
        <v>0.02</v>
      </c>
      <c r="AR207" s="182">
        <f t="shared" si="128"/>
        <v>54.851498693835936</v>
      </c>
      <c r="AU207" s="184">
        <f t="shared" ca="1" si="155"/>
        <v>2221</v>
      </c>
      <c r="AV207" s="182">
        <f t="shared" si="138"/>
        <v>0.02</v>
      </c>
      <c r="AW207" s="179">
        <f t="shared" si="139"/>
        <v>5.0000000000000001E-3</v>
      </c>
      <c r="AX207" s="182">
        <f t="shared" si="140"/>
        <v>2.5000000000000001E-2</v>
      </c>
      <c r="AY207" s="186"/>
      <c r="AZ207" s="190"/>
      <c r="BA207" s="184">
        <f t="shared" ca="1" si="156"/>
        <v>2221</v>
      </c>
      <c r="BB207" s="171">
        <f t="shared" si="141"/>
        <v>0</v>
      </c>
      <c r="BC207" s="171">
        <f t="shared" si="130"/>
        <v>37811.169769569387</v>
      </c>
      <c r="BD207" s="171">
        <f t="shared" si="126"/>
        <v>0</v>
      </c>
      <c r="BE207" s="171">
        <f t="shared" si="126"/>
        <v>0</v>
      </c>
      <c r="BF207" s="171">
        <f t="shared" si="126"/>
        <v>0</v>
      </c>
      <c r="BG207" s="171">
        <f t="shared" si="125"/>
        <v>0</v>
      </c>
      <c r="BI207" s="187">
        <f>IF(A207-'Invoer gegevens'!$C$17&lt;0,0,IF(A207-'Invoer gegevens'!$C$17=0,1,IF(A207-'Invoer gegevens'!$C$17&lt;5,2,IF(A207-'Invoer gegevens'!$C$17&lt;15,3,4))))</f>
        <v>0</v>
      </c>
      <c r="BJ207" s="229">
        <f>IF(BI207&lt;1,0,IF(BI207&lt;2,4%,IF('Reeksen (N)'!BI207&lt;3,4%,IF('Reeksen (N)'!BI207&lt;4,4%*70%,IF('Reeksen (N)'!BI207&lt;5,4%*50%)))))</f>
        <v>0</v>
      </c>
    </row>
    <row r="208" spans="1:62" x14ac:dyDescent="0.25">
      <c r="A208" s="184">
        <f t="shared" si="142"/>
        <v>203</v>
      </c>
      <c r="B208" s="179">
        <f>Dashboard!$D$25</f>
        <v>0</v>
      </c>
      <c r="C208" s="179">
        <f>Dashboard!$D$25</f>
        <v>0</v>
      </c>
      <c r="D208" s="180">
        <f t="shared" si="131"/>
        <v>0</v>
      </c>
      <c r="E208" s="189"/>
      <c r="F208" s="184">
        <f t="shared" ca="1" si="143"/>
        <v>2222</v>
      </c>
      <c r="G208" s="179">
        <f t="shared" si="122"/>
        <v>0.02</v>
      </c>
      <c r="H208" s="182">
        <f t="shared" si="144"/>
        <v>56.002890817488108</v>
      </c>
      <c r="I208" s="179">
        <f t="shared" si="123"/>
        <v>2.5000000000000001E-2</v>
      </c>
      <c r="J208" s="182">
        <f t="shared" si="145"/>
        <v>151.34345772922612</v>
      </c>
      <c r="K208" s="179">
        <f t="shared" si="124"/>
        <v>2.5000000000000001E-2</v>
      </c>
      <c r="L208" s="182">
        <f t="shared" si="146"/>
        <v>151.34345772922612</v>
      </c>
      <c r="M208" s="189"/>
      <c r="N208" s="184">
        <f t="shared" ca="1" si="147"/>
        <v>2222</v>
      </c>
      <c r="O208" s="179">
        <f t="shared" si="159"/>
        <v>0.02</v>
      </c>
      <c r="P208" s="182">
        <f t="shared" si="127"/>
        <v>55.948528667712658</v>
      </c>
      <c r="R208" s="184">
        <f t="shared" ca="1" si="148"/>
        <v>2222</v>
      </c>
      <c r="S208" s="188">
        <f t="shared" si="161"/>
        <v>5.3600000000000002E-3</v>
      </c>
      <c r="U208" s="184">
        <f t="shared" ca="1" si="149"/>
        <v>2222</v>
      </c>
      <c r="V208" s="182">
        <f t="shared" si="132"/>
        <v>0.02</v>
      </c>
      <c r="W208" s="180">
        <f>Parameters!$D$15</f>
        <v>5.0000000000000001E-3</v>
      </c>
      <c r="X208" s="182">
        <f t="shared" si="133"/>
        <v>2.5000000000000001E-2</v>
      </c>
      <c r="Y208" s="182">
        <f t="shared" si="150"/>
        <v>151.49263810820418</v>
      </c>
      <c r="AA208" s="189"/>
      <c r="AB208" s="184">
        <f t="shared" ca="1" si="151"/>
        <v>2222</v>
      </c>
      <c r="AC208" s="171">
        <f t="shared" si="134"/>
        <v>0</v>
      </c>
      <c r="AD208" s="171">
        <f t="shared" si="129"/>
        <v>0</v>
      </c>
      <c r="AE208" s="171">
        <f t="shared" si="160"/>
        <v>38567.393164960777</v>
      </c>
      <c r="AF208" s="171">
        <f t="shared" si="152"/>
        <v>0</v>
      </c>
      <c r="AG208" s="171">
        <f t="shared" si="162"/>
        <v>0</v>
      </c>
      <c r="AH208" s="171">
        <f t="shared" si="135"/>
        <v>0</v>
      </c>
      <c r="AI208" s="171">
        <f t="shared" si="136"/>
        <v>0</v>
      </c>
      <c r="AJ208" s="171">
        <f>IF('Invoer gegevens'!$I$27="DAEB",SMALL(AC208:AD208,1),AC208)</f>
        <v>0</v>
      </c>
      <c r="AK208" s="171">
        <f>IF('Invoer gegevens'!$I$27="DAEB",SMALL((AE208:AH208),1),SMALL((AF208:AH208),1))</f>
        <v>0</v>
      </c>
      <c r="AL208" s="171">
        <f t="shared" si="157"/>
        <v>0</v>
      </c>
      <c r="AM208" s="171">
        <f t="shared" si="158"/>
        <v>0</v>
      </c>
      <c r="AN208" s="175">
        <f t="shared" si="153"/>
        <v>0</v>
      </c>
      <c r="AP208" s="184">
        <f t="shared" ca="1" si="154"/>
        <v>2222</v>
      </c>
      <c r="AQ208" s="185">
        <f t="shared" si="137"/>
        <v>0.02</v>
      </c>
      <c r="AR208" s="182">
        <f t="shared" si="128"/>
        <v>55.948528667712658</v>
      </c>
      <c r="AU208" s="184">
        <f t="shared" ca="1" si="155"/>
        <v>2222</v>
      </c>
      <c r="AV208" s="182">
        <f t="shared" si="138"/>
        <v>0.02</v>
      </c>
      <c r="AW208" s="179">
        <f t="shared" si="139"/>
        <v>5.0000000000000001E-3</v>
      </c>
      <c r="AX208" s="182">
        <f t="shared" si="140"/>
        <v>2.5000000000000001E-2</v>
      </c>
      <c r="AY208" s="186"/>
      <c r="AZ208" s="190"/>
      <c r="BA208" s="184">
        <f t="shared" ca="1" si="156"/>
        <v>2222</v>
      </c>
      <c r="BB208" s="171">
        <f t="shared" si="141"/>
        <v>0</v>
      </c>
      <c r="BC208" s="171">
        <f t="shared" si="130"/>
        <v>38567.393164960777</v>
      </c>
      <c r="BD208" s="171">
        <f t="shared" si="126"/>
        <v>0</v>
      </c>
      <c r="BE208" s="171">
        <f t="shared" si="126"/>
        <v>0</v>
      </c>
      <c r="BF208" s="171">
        <f t="shared" si="126"/>
        <v>0</v>
      </c>
      <c r="BG208" s="171">
        <f t="shared" si="125"/>
        <v>0</v>
      </c>
      <c r="BI208" s="187">
        <f>IF(A208-'Invoer gegevens'!$C$17&lt;0,0,IF(A208-'Invoer gegevens'!$C$17=0,1,IF(A208-'Invoer gegevens'!$C$17&lt;5,2,IF(A208-'Invoer gegevens'!$C$17&lt;15,3,4))))</f>
        <v>0</v>
      </c>
      <c r="BJ208" s="229">
        <f>IF(BI208&lt;1,0,IF(BI208&lt;2,4%,IF('Reeksen (N)'!BI208&lt;3,4%,IF('Reeksen (N)'!BI208&lt;4,4%*70%,IF('Reeksen (N)'!BI208&lt;5,4%*50%)))))</f>
        <v>0</v>
      </c>
    </row>
    <row r="209" spans="1:62" x14ac:dyDescent="0.25">
      <c r="A209" s="184">
        <f t="shared" si="142"/>
        <v>204</v>
      </c>
      <c r="B209" s="179">
        <f>Dashboard!$D$25</f>
        <v>0</v>
      </c>
      <c r="C209" s="179">
        <f>Dashboard!$D$25</f>
        <v>0</v>
      </c>
      <c r="D209" s="180">
        <f t="shared" si="131"/>
        <v>0</v>
      </c>
      <c r="E209" s="189"/>
      <c r="F209" s="184">
        <f t="shared" ca="1" si="143"/>
        <v>2223</v>
      </c>
      <c r="G209" s="179">
        <f t="shared" si="122"/>
        <v>0.02</v>
      </c>
      <c r="H209" s="182">
        <f t="shared" si="144"/>
        <v>57.122948633837872</v>
      </c>
      <c r="I209" s="179">
        <f t="shared" si="123"/>
        <v>2.5000000000000001E-2</v>
      </c>
      <c r="J209" s="182">
        <f t="shared" si="145"/>
        <v>155.12704417245675</v>
      </c>
      <c r="K209" s="179">
        <f t="shared" si="124"/>
        <v>2.5000000000000001E-2</v>
      </c>
      <c r="L209" s="182">
        <f t="shared" si="146"/>
        <v>155.12704417245675</v>
      </c>
      <c r="M209" s="189"/>
      <c r="N209" s="184">
        <f t="shared" ca="1" si="147"/>
        <v>2223</v>
      </c>
      <c r="O209" s="179">
        <f t="shared" si="159"/>
        <v>0.02</v>
      </c>
      <c r="P209" s="182">
        <f t="shared" si="127"/>
        <v>57.067499241066912</v>
      </c>
      <c r="R209" s="184">
        <f t="shared" ca="1" si="148"/>
        <v>2223</v>
      </c>
      <c r="S209" s="188">
        <f t="shared" si="161"/>
        <v>5.3600000000000002E-3</v>
      </c>
      <c r="U209" s="184">
        <f t="shared" ca="1" si="149"/>
        <v>2223</v>
      </c>
      <c r="V209" s="182">
        <f t="shared" si="132"/>
        <v>0.02</v>
      </c>
      <c r="W209" s="180">
        <f>Parameters!$D$15</f>
        <v>5.0000000000000001E-3</v>
      </c>
      <c r="X209" s="182">
        <f t="shared" si="133"/>
        <v>2.5000000000000001E-2</v>
      </c>
      <c r="Y209" s="182">
        <f t="shared" si="150"/>
        <v>155.27995406090926</v>
      </c>
      <c r="AA209" s="189"/>
      <c r="AB209" s="184">
        <f t="shared" ca="1" si="151"/>
        <v>2223</v>
      </c>
      <c r="AC209" s="171">
        <f t="shared" si="134"/>
        <v>0</v>
      </c>
      <c r="AD209" s="171">
        <f t="shared" si="129"/>
        <v>0</v>
      </c>
      <c r="AE209" s="171">
        <f t="shared" si="160"/>
        <v>39338.741028259996</v>
      </c>
      <c r="AF209" s="171">
        <f t="shared" si="152"/>
        <v>0</v>
      </c>
      <c r="AG209" s="171">
        <f t="shared" si="162"/>
        <v>0</v>
      </c>
      <c r="AH209" s="171">
        <f t="shared" si="135"/>
        <v>0</v>
      </c>
      <c r="AI209" s="171">
        <f t="shared" si="136"/>
        <v>0</v>
      </c>
      <c r="AJ209" s="171">
        <f>IF('Invoer gegevens'!$I$27="DAEB",SMALL(AC209:AD209,1),AC209)</f>
        <v>0</v>
      </c>
      <c r="AK209" s="171">
        <f>IF('Invoer gegevens'!$I$27="DAEB",SMALL((AE209:AH209),1),SMALL((AF209:AH209),1))</f>
        <v>0</v>
      </c>
      <c r="AL209" s="171">
        <f t="shared" si="157"/>
        <v>0</v>
      </c>
      <c r="AM209" s="171">
        <f t="shared" si="158"/>
        <v>0</v>
      </c>
      <c r="AN209" s="175">
        <f t="shared" si="153"/>
        <v>0</v>
      </c>
      <c r="AP209" s="184">
        <f t="shared" ca="1" si="154"/>
        <v>2223</v>
      </c>
      <c r="AQ209" s="185">
        <f t="shared" si="137"/>
        <v>0.02</v>
      </c>
      <c r="AR209" s="182">
        <f t="shared" si="128"/>
        <v>57.067499241066912</v>
      </c>
      <c r="AU209" s="184">
        <f t="shared" ca="1" si="155"/>
        <v>2223</v>
      </c>
      <c r="AV209" s="182">
        <f t="shared" si="138"/>
        <v>0.02</v>
      </c>
      <c r="AW209" s="179">
        <f t="shared" si="139"/>
        <v>5.0000000000000001E-3</v>
      </c>
      <c r="AX209" s="182">
        <f t="shared" si="140"/>
        <v>2.5000000000000001E-2</v>
      </c>
      <c r="AY209" s="186"/>
      <c r="AZ209" s="190"/>
      <c r="BA209" s="184">
        <f t="shared" ca="1" si="156"/>
        <v>2223</v>
      </c>
      <c r="BB209" s="171">
        <f t="shared" si="141"/>
        <v>0</v>
      </c>
      <c r="BC209" s="171">
        <f t="shared" si="130"/>
        <v>39338.741028259996</v>
      </c>
      <c r="BD209" s="171">
        <f t="shared" si="126"/>
        <v>0</v>
      </c>
      <c r="BE209" s="171">
        <f t="shared" si="126"/>
        <v>0</v>
      </c>
      <c r="BF209" s="171">
        <f t="shared" si="126"/>
        <v>0</v>
      </c>
      <c r="BG209" s="171">
        <f t="shared" si="125"/>
        <v>0</v>
      </c>
      <c r="BI209" s="187">
        <f>IF(A209-'Invoer gegevens'!$C$17&lt;0,0,IF(A209-'Invoer gegevens'!$C$17=0,1,IF(A209-'Invoer gegevens'!$C$17&lt;5,2,IF(A209-'Invoer gegevens'!$C$17&lt;15,3,4))))</f>
        <v>0</v>
      </c>
      <c r="BJ209" s="229">
        <f>IF(BI209&lt;1,0,IF(BI209&lt;2,4%,IF('Reeksen (N)'!BI209&lt;3,4%,IF('Reeksen (N)'!BI209&lt;4,4%*70%,IF('Reeksen (N)'!BI209&lt;5,4%*50%)))))</f>
        <v>0</v>
      </c>
    </row>
    <row r="210" spans="1:62" x14ac:dyDescent="0.25">
      <c r="A210" s="184">
        <f t="shared" si="142"/>
        <v>205</v>
      </c>
      <c r="B210" s="179">
        <f>Dashboard!$D$25</f>
        <v>0</v>
      </c>
      <c r="C210" s="179">
        <f>Dashboard!$D$25</f>
        <v>0</v>
      </c>
      <c r="D210" s="180">
        <f t="shared" si="131"/>
        <v>0</v>
      </c>
      <c r="E210" s="189"/>
      <c r="F210" s="184">
        <f t="shared" ca="1" si="143"/>
        <v>2224</v>
      </c>
      <c r="G210" s="179">
        <f t="shared" si="122"/>
        <v>0.02</v>
      </c>
      <c r="H210" s="182">
        <f t="shared" si="144"/>
        <v>58.265407606514628</v>
      </c>
      <c r="I210" s="179">
        <f t="shared" si="123"/>
        <v>2.5000000000000001E-2</v>
      </c>
      <c r="J210" s="182">
        <f t="shared" si="145"/>
        <v>159.00522027676814</v>
      </c>
      <c r="K210" s="179">
        <f t="shared" si="124"/>
        <v>2.5000000000000001E-2</v>
      </c>
      <c r="L210" s="182">
        <f t="shared" si="146"/>
        <v>159.00522027676814</v>
      </c>
      <c r="M210" s="189"/>
      <c r="N210" s="184">
        <f t="shared" ca="1" si="147"/>
        <v>2224</v>
      </c>
      <c r="O210" s="179">
        <f t="shared" si="159"/>
        <v>0.02</v>
      </c>
      <c r="P210" s="182">
        <f t="shared" si="127"/>
        <v>58.208849225888251</v>
      </c>
      <c r="R210" s="184">
        <f t="shared" ca="1" si="148"/>
        <v>2224</v>
      </c>
      <c r="S210" s="188">
        <f t="shared" si="161"/>
        <v>5.3600000000000002E-3</v>
      </c>
      <c r="U210" s="184">
        <f t="shared" ca="1" si="149"/>
        <v>2224</v>
      </c>
      <c r="V210" s="182">
        <f t="shared" si="132"/>
        <v>0.02</v>
      </c>
      <c r="W210" s="180">
        <f>Parameters!$D$15</f>
        <v>5.0000000000000001E-3</v>
      </c>
      <c r="X210" s="182">
        <f t="shared" si="133"/>
        <v>2.5000000000000001E-2</v>
      </c>
      <c r="Y210" s="182">
        <f t="shared" si="150"/>
        <v>159.16195291243199</v>
      </c>
      <c r="AA210" s="189"/>
      <c r="AB210" s="184">
        <f t="shared" ca="1" si="151"/>
        <v>2224</v>
      </c>
      <c r="AC210" s="171">
        <f t="shared" si="134"/>
        <v>0</v>
      </c>
      <c r="AD210" s="171">
        <f t="shared" si="129"/>
        <v>0</v>
      </c>
      <c r="AE210" s="171">
        <f t="shared" si="160"/>
        <v>40125.515848825198</v>
      </c>
      <c r="AF210" s="171">
        <f t="shared" si="152"/>
        <v>0</v>
      </c>
      <c r="AG210" s="171">
        <f t="shared" si="162"/>
        <v>0</v>
      </c>
      <c r="AH210" s="171">
        <f t="shared" si="135"/>
        <v>0</v>
      </c>
      <c r="AI210" s="171">
        <f t="shared" si="136"/>
        <v>0</v>
      </c>
      <c r="AJ210" s="171">
        <f>IF('Invoer gegevens'!$I$27="DAEB",SMALL(AC210:AD210,1),AC210)</f>
        <v>0</v>
      </c>
      <c r="AK210" s="171">
        <f>IF('Invoer gegevens'!$I$27="DAEB",SMALL((AE210:AH210),1),SMALL((AF210:AH210),1))</f>
        <v>0</v>
      </c>
      <c r="AL210" s="171">
        <f t="shared" si="157"/>
        <v>0</v>
      </c>
      <c r="AM210" s="171">
        <f t="shared" si="158"/>
        <v>0</v>
      </c>
      <c r="AN210" s="175">
        <f t="shared" si="153"/>
        <v>0</v>
      </c>
      <c r="AP210" s="184">
        <f t="shared" ca="1" si="154"/>
        <v>2224</v>
      </c>
      <c r="AQ210" s="185">
        <f t="shared" si="137"/>
        <v>0.02</v>
      </c>
      <c r="AR210" s="182">
        <f t="shared" si="128"/>
        <v>58.208849225888251</v>
      </c>
      <c r="AU210" s="184">
        <f t="shared" ca="1" si="155"/>
        <v>2224</v>
      </c>
      <c r="AV210" s="182">
        <f t="shared" si="138"/>
        <v>0.02</v>
      </c>
      <c r="AW210" s="179">
        <f t="shared" si="139"/>
        <v>5.0000000000000001E-3</v>
      </c>
      <c r="AX210" s="182">
        <f t="shared" si="140"/>
        <v>2.5000000000000001E-2</v>
      </c>
      <c r="AY210" s="186"/>
      <c r="AZ210" s="190"/>
      <c r="BA210" s="184">
        <f t="shared" ca="1" si="156"/>
        <v>2224</v>
      </c>
      <c r="BB210" s="171">
        <f t="shared" si="141"/>
        <v>0</v>
      </c>
      <c r="BC210" s="171">
        <f t="shared" si="130"/>
        <v>40125.515848825198</v>
      </c>
      <c r="BD210" s="171">
        <f t="shared" si="126"/>
        <v>0</v>
      </c>
      <c r="BE210" s="171">
        <f t="shared" si="126"/>
        <v>0</v>
      </c>
      <c r="BF210" s="171">
        <f t="shared" si="126"/>
        <v>0</v>
      </c>
      <c r="BG210" s="171">
        <f t="shared" si="125"/>
        <v>0</v>
      </c>
      <c r="BI210" s="187">
        <f>IF(A210-'Invoer gegevens'!$C$17&lt;0,0,IF(A210-'Invoer gegevens'!$C$17=0,1,IF(A210-'Invoer gegevens'!$C$17&lt;5,2,IF(A210-'Invoer gegevens'!$C$17&lt;15,3,4))))</f>
        <v>0</v>
      </c>
      <c r="BJ210" s="229">
        <f>IF(BI210&lt;1,0,IF(BI210&lt;2,4%,IF('Reeksen (N)'!BI210&lt;3,4%,IF('Reeksen (N)'!BI210&lt;4,4%*70%,IF('Reeksen (N)'!BI210&lt;5,4%*50%)))))</f>
        <v>0</v>
      </c>
    </row>
    <row r="211" spans="1:62" x14ac:dyDescent="0.25">
      <c r="A211" s="184">
        <f t="shared" si="142"/>
        <v>206</v>
      </c>
      <c r="B211" s="179">
        <f>Dashboard!$D$25</f>
        <v>0</v>
      </c>
      <c r="C211" s="179">
        <f>Dashboard!$D$25</f>
        <v>0</v>
      </c>
      <c r="D211" s="180">
        <f t="shared" si="131"/>
        <v>0</v>
      </c>
      <c r="E211" s="189"/>
      <c r="F211" s="184">
        <f t="shared" ca="1" si="143"/>
        <v>2225</v>
      </c>
      <c r="G211" s="179">
        <f t="shared" si="122"/>
        <v>0.02</v>
      </c>
      <c r="H211" s="182">
        <f t="shared" si="144"/>
        <v>59.430715758644922</v>
      </c>
      <c r="I211" s="179">
        <f t="shared" si="123"/>
        <v>2.5000000000000001E-2</v>
      </c>
      <c r="J211" s="182">
        <f t="shared" si="145"/>
        <v>162.98035078368733</v>
      </c>
      <c r="K211" s="179">
        <f t="shared" si="124"/>
        <v>2.5000000000000001E-2</v>
      </c>
      <c r="L211" s="182">
        <f t="shared" si="146"/>
        <v>162.98035078368733</v>
      </c>
      <c r="M211" s="189"/>
      <c r="N211" s="184">
        <f t="shared" ca="1" si="147"/>
        <v>2225</v>
      </c>
      <c r="O211" s="179">
        <f t="shared" si="159"/>
        <v>0.02</v>
      </c>
      <c r="P211" s="182">
        <f t="shared" si="127"/>
        <v>59.373026210406017</v>
      </c>
      <c r="R211" s="184">
        <f t="shared" ca="1" si="148"/>
        <v>2225</v>
      </c>
      <c r="S211" s="188">
        <f t="shared" si="161"/>
        <v>5.3600000000000002E-3</v>
      </c>
      <c r="U211" s="184">
        <f t="shared" ca="1" si="149"/>
        <v>2225</v>
      </c>
      <c r="V211" s="182">
        <f t="shared" si="132"/>
        <v>0.02</v>
      </c>
      <c r="W211" s="180">
        <f>Parameters!$D$15</f>
        <v>5.0000000000000001E-3</v>
      </c>
      <c r="X211" s="182">
        <f t="shared" si="133"/>
        <v>2.5000000000000001E-2</v>
      </c>
      <c r="Y211" s="182">
        <f t="shared" si="150"/>
        <v>163.14100173524278</v>
      </c>
      <c r="AA211" s="189"/>
      <c r="AB211" s="184">
        <f t="shared" ca="1" si="151"/>
        <v>2225</v>
      </c>
      <c r="AC211" s="171">
        <f t="shared" si="134"/>
        <v>0</v>
      </c>
      <c r="AD211" s="171">
        <f t="shared" si="129"/>
        <v>0</v>
      </c>
      <c r="AE211" s="171">
        <f t="shared" si="160"/>
        <v>40928.026165801704</v>
      </c>
      <c r="AF211" s="171">
        <f t="shared" si="152"/>
        <v>0</v>
      </c>
      <c r="AG211" s="171">
        <f t="shared" si="162"/>
        <v>0</v>
      </c>
      <c r="AH211" s="171">
        <f t="shared" si="135"/>
        <v>0</v>
      </c>
      <c r="AI211" s="171">
        <f t="shared" si="136"/>
        <v>0</v>
      </c>
      <c r="AJ211" s="171">
        <f>IF('Invoer gegevens'!$I$27="DAEB",SMALL(AC211:AD211,1),AC211)</f>
        <v>0</v>
      </c>
      <c r="AK211" s="171">
        <f>IF('Invoer gegevens'!$I$27="DAEB",SMALL((AE211:AH211),1),SMALL((AF211:AH211),1))</f>
        <v>0</v>
      </c>
      <c r="AL211" s="171">
        <f t="shared" si="157"/>
        <v>0</v>
      </c>
      <c r="AM211" s="171">
        <f t="shared" si="158"/>
        <v>0</v>
      </c>
      <c r="AN211" s="175">
        <f t="shared" si="153"/>
        <v>0</v>
      </c>
      <c r="AP211" s="184">
        <f t="shared" ca="1" si="154"/>
        <v>2225</v>
      </c>
      <c r="AQ211" s="185">
        <f t="shared" si="137"/>
        <v>0.02</v>
      </c>
      <c r="AR211" s="182">
        <f t="shared" si="128"/>
        <v>59.373026210406017</v>
      </c>
      <c r="AU211" s="184">
        <f t="shared" ca="1" si="155"/>
        <v>2225</v>
      </c>
      <c r="AV211" s="182">
        <f t="shared" si="138"/>
        <v>0.02</v>
      </c>
      <c r="AW211" s="179">
        <f t="shared" si="139"/>
        <v>5.0000000000000001E-3</v>
      </c>
      <c r="AX211" s="182">
        <f t="shared" si="140"/>
        <v>2.5000000000000001E-2</v>
      </c>
      <c r="AY211" s="186"/>
      <c r="AZ211" s="190"/>
      <c r="BA211" s="184">
        <f t="shared" ca="1" si="156"/>
        <v>2225</v>
      </c>
      <c r="BB211" s="171">
        <f t="shared" si="141"/>
        <v>0</v>
      </c>
      <c r="BC211" s="171">
        <f t="shared" si="130"/>
        <v>40928.026165801704</v>
      </c>
      <c r="BD211" s="171">
        <f t="shared" si="126"/>
        <v>0</v>
      </c>
      <c r="BE211" s="171">
        <f t="shared" si="126"/>
        <v>0</v>
      </c>
      <c r="BF211" s="171">
        <f t="shared" si="126"/>
        <v>0</v>
      </c>
      <c r="BG211" s="171">
        <f t="shared" si="125"/>
        <v>0</v>
      </c>
      <c r="BI211" s="187">
        <f>IF(A211-'Invoer gegevens'!$C$17&lt;0,0,IF(A211-'Invoer gegevens'!$C$17=0,1,IF(A211-'Invoer gegevens'!$C$17&lt;5,2,IF(A211-'Invoer gegevens'!$C$17&lt;15,3,4))))</f>
        <v>0</v>
      </c>
      <c r="BJ211" s="229">
        <f>IF(BI211&lt;1,0,IF(BI211&lt;2,4%,IF('Reeksen (N)'!BI211&lt;3,4%,IF('Reeksen (N)'!BI211&lt;4,4%*70%,IF('Reeksen (N)'!BI211&lt;5,4%*50%)))))</f>
        <v>0</v>
      </c>
    </row>
    <row r="212" spans="1:62" x14ac:dyDescent="0.25">
      <c r="A212" s="184">
        <f t="shared" si="142"/>
        <v>207</v>
      </c>
      <c r="B212" s="179">
        <f>Dashboard!$D$25</f>
        <v>0</v>
      </c>
      <c r="C212" s="179">
        <f>Dashboard!$D$25</f>
        <v>0</v>
      </c>
      <c r="D212" s="180">
        <f t="shared" si="131"/>
        <v>0</v>
      </c>
      <c r="E212" s="189"/>
      <c r="F212" s="184">
        <f t="shared" ca="1" si="143"/>
        <v>2226</v>
      </c>
      <c r="G212" s="179">
        <f t="shared" si="122"/>
        <v>0.02</v>
      </c>
      <c r="H212" s="182">
        <f t="shared" si="144"/>
        <v>60.619330073817821</v>
      </c>
      <c r="I212" s="179">
        <f t="shared" si="123"/>
        <v>2.5000000000000001E-2</v>
      </c>
      <c r="J212" s="182">
        <f t="shared" si="145"/>
        <v>167.0548595532795</v>
      </c>
      <c r="K212" s="179">
        <f t="shared" si="124"/>
        <v>2.5000000000000001E-2</v>
      </c>
      <c r="L212" s="182">
        <f t="shared" si="146"/>
        <v>167.0548595532795</v>
      </c>
      <c r="M212" s="189"/>
      <c r="N212" s="184">
        <f t="shared" ca="1" si="147"/>
        <v>2226</v>
      </c>
      <c r="O212" s="179">
        <f t="shared" si="159"/>
        <v>0.02</v>
      </c>
      <c r="P212" s="182">
        <f t="shared" si="127"/>
        <v>60.560486734614138</v>
      </c>
      <c r="R212" s="184">
        <f t="shared" ca="1" si="148"/>
        <v>2226</v>
      </c>
      <c r="S212" s="188">
        <f t="shared" si="161"/>
        <v>5.3600000000000002E-3</v>
      </c>
      <c r="U212" s="184">
        <f t="shared" ca="1" si="149"/>
        <v>2226</v>
      </c>
      <c r="V212" s="182">
        <f t="shared" si="132"/>
        <v>0.02</v>
      </c>
      <c r="W212" s="180">
        <f>Parameters!$D$15</f>
        <v>5.0000000000000001E-3</v>
      </c>
      <c r="X212" s="182">
        <f t="shared" si="133"/>
        <v>2.5000000000000001E-2</v>
      </c>
      <c r="Y212" s="182">
        <f t="shared" si="150"/>
        <v>167.21952677862384</v>
      </c>
      <c r="AA212" s="189"/>
      <c r="AB212" s="184">
        <f t="shared" ca="1" si="151"/>
        <v>2226</v>
      </c>
      <c r="AC212" s="171">
        <f t="shared" si="134"/>
        <v>0</v>
      </c>
      <c r="AD212" s="171">
        <f t="shared" si="129"/>
        <v>0</v>
      </c>
      <c r="AE212" s="171">
        <f t="shared" si="160"/>
        <v>41746.586689117736</v>
      </c>
      <c r="AF212" s="171">
        <f t="shared" si="152"/>
        <v>0</v>
      </c>
      <c r="AG212" s="171">
        <f t="shared" si="162"/>
        <v>0</v>
      </c>
      <c r="AH212" s="171">
        <f t="shared" si="135"/>
        <v>0</v>
      </c>
      <c r="AI212" s="171">
        <f t="shared" si="136"/>
        <v>0</v>
      </c>
      <c r="AJ212" s="171">
        <f>IF('Invoer gegevens'!$I$27="DAEB",SMALL(AC212:AD212,1),AC212)</f>
        <v>0</v>
      </c>
      <c r="AK212" s="171">
        <f>IF('Invoer gegevens'!$I$27="DAEB",SMALL((AE212:AH212),1),SMALL((AF212:AH212),1))</f>
        <v>0</v>
      </c>
      <c r="AL212" s="171">
        <f t="shared" si="157"/>
        <v>0</v>
      </c>
      <c r="AM212" s="171">
        <f t="shared" si="158"/>
        <v>0</v>
      </c>
      <c r="AN212" s="175">
        <f t="shared" si="153"/>
        <v>0</v>
      </c>
      <c r="AP212" s="184">
        <f t="shared" ca="1" si="154"/>
        <v>2226</v>
      </c>
      <c r="AQ212" s="185">
        <f t="shared" si="137"/>
        <v>0.02</v>
      </c>
      <c r="AR212" s="182">
        <f t="shared" si="128"/>
        <v>60.560486734614138</v>
      </c>
      <c r="AU212" s="184">
        <f t="shared" ca="1" si="155"/>
        <v>2226</v>
      </c>
      <c r="AV212" s="182">
        <f t="shared" si="138"/>
        <v>0.02</v>
      </c>
      <c r="AW212" s="179">
        <f t="shared" si="139"/>
        <v>5.0000000000000001E-3</v>
      </c>
      <c r="AX212" s="182">
        <f t="shared" si="140"/>
        <v>2.5000000000000001E-2</v>
      </c>
      <c r="AY212" s="186"/>
      <c r="AZ212" s="190"/>
      <c r="BA212" s="184">
        <f t="shared" ca="1" si="156"/>
        <v>2226</v>
      </c>
      <c r="BB212" s="171">
        <f t="shared" si="141"/>
        <v>0</v>
      </c>
      <c r="BC212" s="171">
        <f t="shared" si="130"/>
        <v>41746.586689117736</v>
      </c>
      <c r="BD212" s="171">
        <f t="shared" si="126"/>
        <v>0</v>
      </c>
      <c r="BE212" s="171">
        <f t="shared" si="126"/>
        <v>0</v>
      </c>
      <c r="BF212" s="171">
        <f t="shared" si="126"/>
        <v>0</v>
      </c>
      <c r="BG212" s="171">
        <f t="shared" si="125"/>
        <v>0</v>
      </c>
      <c r="BI212" s="187">
        <f>IF(A212-'Invoer gegevens'!$C$17&lt;0,0,IF(A212-'Invoer gegevens'!$C$17=0,1,IF(A212-'Invoer gegevens'!$C$17&lt;5,2,IF(A212-'Invoer gegevens'!$C$17&lt;15,3,4))))</f>
        <v>0</v>
      </c>
      <c r="BJ212" s="229">
        <f>IF(BI212&lt;1,0,IF(BI212&lt;2,4%,IF('Reeksen (N)'!BI212&lt;3,4%,IF('Reeksen (N)'!BI212&lt;4,4%*70%,IF('Reeksen (N)'!BI212&lt;5,4%*50%)))))</f>
        <v>0</v>
      </c>
    </row>
    <row r="213" spans="1:62" x14ac:dyDescent="0.25">
      <c r="A213" s="184">
        <f t="shared" si="142"/>
        <v>208</v>
      </c>
      <c r="B213" s="179">
        <f>Dashboard!$D$25</f>
        <v>0</v>
      </c>
      <c r="C213" s="179">
        <f>Dashboard!$D$25</f>
        <v>0</v>
      </c>
      <c r="D213" s="180">
        <f t="shared" si="131"/>
        <v>0</v>
      </c>
      <c r="E213" s="189"/>
      <c r="F213" s="184">
        <f t="shared" ca="1" si="143"/>
        <v>2227</v>
      </c>
      <c r="G213" s="179">
        <f t="shared" si="122"/>
        <v>0.02</v>
      </c>
      <c r="H213" s="182">
        <f t="shared" si="144"/>
        <v>61.831716675294182</v>
      </c>
      <c r="I213" s="179">
        <f t="shared" si="123"/>
        <v>2.5000000000000001E-2</v>
      </c>
      <c r="J213" s="182">
        <f t="shared" si="145"/>
        <v>171.23123104211146</v>
      </c>
      <c r="K213" s="179">
        <f t="shared" si="124"/>
        <v>2.5000000000000001E-2</v>
      </c>
      <c r="L213" s="182">
        <f t="shared" si="146"/>
        <v>171.23123104211146</v>
      </c>
      <c r="M213" s="189"/>
      <c r="N213" s="184">
        <f t="shared" ca="1" si="147"/>
        <v>2227</v>
      </c>
      <c r="O213" s="179">
        <f t="shared" si="159"/>
        <v>0.02</v>
      </c>
      <c r="P213" s="182">
        <f t="shared" si="127"/>
        <v>61.77169646930642</v>
      </c>
      <c r="R213" s="184">
        <f t="shared" ca="1" si="148"/>
        <v>2227</v>
      </c>
      <c r="S213" s="188">
        <f t="shared" si="161"/>
        <v>5.3600000000000002E-3</v>
      </c>
      <c r="U213" s="184">
        <f t="shared" ca="1" si="149"/>
        <v>2227</v>
      </c>
      <c r="V213" s="182">
        <f t="shared" si="132"/>
        <v>0.02</v>
      </c>
      <c r="W213" s="180">
        <f>Parameters!$D$15</f>
        <v>5.0000000000000001E-3</v>
      </c>
      <c r="X213" s="182">
        <f t="shared" si="133"/>
        <v>2.5000000000000001E-2</v>
      </c>
      <c r="Y213" s="182">
        <f t="shared" si="150"/>
        <v>171.40001494808942</v>
      </c>
      <c r="AA213" s="189"/>
      <c r="AB213" s="184">
        <f t="shared" ca="1" si="151"/>
        <v>2227</v>
      </c>
      <c r="AC213" s="171">
        <f t="shared" si="134"/>
        <v>0</v>
      </c>
      <c r="AD213" s="171">
        <f t="shared" si="129"/>
        <v>0</v>
      </c>
      <c r="AE213" s="171">
        <f t="shared" si="160"/>
        <v>42581.518422900088</v>
      </c>
      <c r="AF213" s="171">
        <f t="shared" si="152"/>
        <v>0</v>
      </c>
      <c r="AG213" s="171">
        <f t="shared" si="162"/>
        <v>0</v>
      </c>
      <c r="AH213" s="171">
        <f t="shared" si="135"/>
        <v>0</v>
      </c>
      <c r="AI213" s="171">
        <f t="shared" si="136"/>
        <v>0</v>
      </c>
      <c r="AJ213" s="171">
        <f>IF('Invoer gegevens'!$I$27="DAEB",SMALL(AC213:AD213,1),AC213)</f>
        <v>0</v>
      </c>
      <c r="AK213" s="171">
        <f>IF('Invoer gegevens'!$I$27="DAEB",SMALL((AE213:AH213),1),SMALL((AF213:AH213),1))</f>
        <v>0</v>
      </c>
      <c r="AL213" s="171">
        <f t="shared" si="157"/>
        <v>0</v>
      </c>
      <c r="AM213" s="171">
        <f t="shared" si="158"/>
        <v>0</v>
      </c>
      <c r="AN213" s="175">
        <f t="shared" si="153"/>
        <v>0</v>
      </c>
      <c r="AP213" s="184">
        <f t="shared" ca="1" si="154"/>
        <v>2227</v>
      </c>
      <c r="AQ213" s="185">
        <f t="shared" si="137"/>
        <v>0.02</v>
      </c>
      <c r="AR213" s="182">
        <f t="shared" si="128"/>
        <v>61.77169646930642</v>
      </c>
      <c r="AU213" s="184">
        <f t="shared" ca="1" si="155"/>
        <v>2227</v>
      </c>
      <c r="AV213" s="182">
        <f t="shared" si="138"/>
        <v>0.02</v>
      </c>
      <c r="AW213" s="179">
        <f t="shared" si="139"/>
        <v>5.0000000000000001E-3</v>
      </c>
      <c r="AX213" s="182">
        <f t="shared" si="140"/>
        <v>2.5000000000000001E-2</v>
      </c>
      <c r="AY213" s="186"/>
      <c r="AZ213" s="190"/>
      <c r="BA213" s="184">
        <f t="shared" ca="1" si="156"/>
        <v>2227</v>
      </c>
      <c r="BB213" s="171">
        <f t="shared" si="141"/>
        <v>0</v>
      </c>
      <c r="BC213" s="171">
        <f t="shared" si="130"/>
        <v>42581.518422900088</v>
      </c>
      <c r="BD213" s="171">
        <f t="shared" si="126"/>
        <v>0</v>
      </c>
      <c r="BE213" s="171">
        <f t="shared" si="126"/>
        <v>0</v>
      </c>
      <c r="BF213" s="171">
        <f t="shared" si="126"/>
        <v>0</v>
      </c>
      <c r="BG213" s="171">
        <f t="shared" si="125"/>
        <v>0</v>
      </c>
      <c r="BI213" s="187">
        <f>IF(A213-'Invoer gegevens'!$C$17&lt;0,0,IF(A213-'Invoer gegevens'!$C$17=0,1,IF(A213-'Invoer gegevens'!$C$17&lt;5,2,IF(A213-'Invoer gegevens'!$C$17&lt;15,3,4))))</f>
        <v>0</v>
      </c>
      <c r="BJ213" s="229">
        <f>IF(BI213&lt;1,0,IF(BI213&lt;2,4%,IF('Reeksen (N)'!BI213&lt;3,4%,IF('Reeksen (N)'!BI213&lt;4,4%*70%,IF('Reeksen (N)'!BI213&lt;5,4%*50%)))))</f>
        <v>0</v>
      </c>
    </row>
    <row r="214" spans="1:62" x14ac:dyDescent="0.25">
      <c r="A214" s="184">
        <f t="shared" si="142"/>
        <v>209</v>
      </c>
      <c r="B214" s="179">
        <f>Dashboard!$D$25</f>
        <v>0</v>
      </c>
      <c r="C214" s="179">
        <f>Dashboard!$D$25</f>
        <v>0</v>
      </c>
      <c r="D214" s="180">
        <f t="shared" si="131"/>
        <v>0</v>
      </c>
      <c r="E214" s="189"/>
      <c r="F214" s="184">
        <f t="shared" ca="1" si="143"/>
        <v>2228</v>
      </c>
      <c r="G214" s="179">
        <f t="shared" si="122"/>
        <v>0.02</v>
      </c>
      <c r="H214" s="182">
        <f t="shared" si="144"/>
        <v>63.068351008800065</v>
      </c>
      <c r="I214" s="179">
        <f t="shared" si="123"/>
        <v>2.5000000000000001E-2</v>
      </c>
      <c r="J214" s="182">
        <f t="shared" si="145"/>
        <v>175.51201181816424</v>
      </c>
      <c r="K214" s="179">
        <f t="shared" si="124"/>
        <v>2.5000000000000001E-2</v>
      </c>
      <c r="L214" s="182">
        <f t="shared" si="146"/>
        <v>175.51201181816424</v>
      </c>
      <c r="M214" s="189"/>
      <c r="N214" s="184">
        <f t="shared" ca="1" si="147"/>
        <v>2228</v>
      </c>
      <c r="O214" s="179">
        <f t="shared" si="159"/>
        <v>0.02</v>
      </c>
      <c r="P214" s="182">
        <f t="shared" si="127"/>
        <v>63.007130398692553</v>
      </c>
      <c r="R214" s="184">
        <f t="shared" ca="1" si="148"/>
        <v>2228</v>
      </c>
      <c r="S214" s="188">
        <f t="shared" si="161"/>
        <v>5.3600000000000002E-3</v>
      </c>
      <c r="U214" s="184">
        <f t="shared" ca="1" si="149"/>
        <v>2228</v>
      </c>
      <c r="V214" s="182">
        <f t="shared" si="132"/>
        <v>0.02</v>
      </c>
      <c r="W214" s="180">
        <f>Parameters!$D$15</f>
        <v>5.0000000000000001E-3</v>
      </c>
      <c r="X214" s="182">
        <f t="shared" si="133"/>
        <v>2.5000000000000001E-2</v>
      </c>
      <c r="Y214" s="182">
        <f t="shared" si="150"/>
        <v>175.68501532179164</v>
      </c>
      <c r="AA214" s="189"/>
      <c r="AB214" s="184">
        <f t="shared" ca="1" si="151"/>
        <v>2228</v>
      </c>
      <c r="AC214" s="171">
        <f t="shared" si="134"/>
        <v>0</v>
      </c>
      <c r="AD214" s="171">
        <f t="shared" si="129"/>
        <v>0</v>
      </c>
      <c r="AE214" s="171">
        <f t="shared" si="160"/>
        <v>43433.148791358093</v>
      </c>
      <c r="AF214" s="171">
        <f t="shared" si="152"/>
        <v>0</v>
      </c>
      <c r="AG214" s="171">
        <f t="shared" si="162"/>
        <v>0</v>
      </c>
      <c r="AH214" s="171">
        <f t="shared" si="135"/>
        <v>0</v>
      </c>
      <c r="AI214" s="171">
        <f t="shared" si="136"/>
        <v>0</v>
      </c>
      <c r="AJ214" s="171">
        <f>IF('Invoer gegevens'!$I$27="DAEB",SMALL(AC214:AD214,1),AC214)</f>
        <v>0</v>
      </c>
      <c r="AK214" s="171">
        <f>IF('Invoer gegevens'!$I$27="DAEB",SMALL((AE214:AH214),1),SMALL((AF214:AH214),1))</f>
        <v>0</v>
      </c>
      <c r="AL214" s="171">
        <f t="shared" si="157"/>
        <v>0</v>
      </c>
      <c r="AM214" s="171">
        <f t="shared" si="158"/>
        <v>0</v>
      </c>
      <c r="AN214" s="175">
        <f t="shared" si="153"/>
        <v>0</v>
      </c>
      <c r="AP214" s="184">
        <f t="shared" ca="1" si="154"/>
        <v>2228</v>
      </c>
      <c r="AQ214" s="185">
        <f t="shared" si="137"/>
        <v>0.02</v>
      </c>
      <c r="AR214" s="182">
        <f t="shared" si="128"/>
        <v>63.007130398692553</v>
      </c>
      <c r="AU214" s="184">
        <f t="shared" ca="1" si="155"/>
        <v>2228</v>
      </c>
      <c r="AV214" s="182">
        <f t="shared" si="138"/>
        <v>0.02</v>
      </c>
      <c r="AW214" s="179">
        <f t="shared" si="139"/>
        <v>5.0000000000000001E-3</v>
      </c>
      <c r="AX214" s="182">
        <f t="shared" si="140"/>
        <v>2.5000000000000001E-2</v>
      </c>
      <c r="AY214" s="186"/>
      <c r="AZ214" s="190"/>
      <c r="BA214" s="184">
        <f t="shared" ca="1" si="156"/>
        <v>2228</v>
      </c>
      <c r="BB214" s="171">
        <f t="shared" si="141"/>
        <v>0</v>
      </c>
      <c r="BC214" s="171">
        <f t="shared" si="130"/>
        <v>43433.148791358093</v>
      </c>
      <c r="BD214" s="171">
        <f t="shared" si="126"/>
        <v>0</v>
      </c>
      <c r="BE214" s="171">
        <f t="shared" si="126"/>
        <v>0</v>
      </c>
      <c r="BF214" s="171">
        <f t="shared" si="126"/>
        <v>0</v>
      </c>
      <c r="BG214" s="171">
        <f t="shared" si="125"/>
        <v>0</v>
      </c>
      <c r="BI214" s="187">
        <f>IF(A214-'Invoer gegevens'!$C$17&lt;0,0,IF(A214-'Invoer gegevens'!$C$17=0,1,IF(A214-'Invoer gegevens'!$C$17&lt;5,2,IF(A214-'Invoer gegevens'!$C$17&lt;15,3,4))))</f>
        <v>0</v>
      </c>
      <c r="BJ214" s="229">
        <f>IF(BI214&lt;1,0,IF(BI214&lt;2,4%,IF('Reeksen (N)'!BI214&lt;3,4%,IF('Reeksen (N)'!BI214&lt;4,4%*70%,IF('Reeksen (N)'!BI214&lt;5,4%*50%)))))</f>
        <v>0</v>
      </c>
    </row>
    <row r="215" spans="1:62" x14ac:dyDescent="0.25">
      <c r="A215" s="184">
        <f t="shared" si="142"/>
        <v>210</v>
      </c>
      <c r="B215" s="179">
        <f>Dashboard!$D$25</f>
        <v>0</v>
      </c>
      <c r="C215" s="179">
        <f>Dashboard!$D$25</f>
        <v>0</v>
      </c>
      <c r="D215" s="180">
        <f t="shared" si="131"/>
        <v>0</v>
      </c>
      <c r="E215" s="189"/>
      <c r="F215" s="184">
        <f t="shared" ca="1" si="143"/>
        <v>2229</v>
      </c>
      <c r="G215" s="179">
        <f t="shared" si="122"/>
        <v>0.02</v>
      </c>
      <c r="H215" s="182">
        <f t="shared" si="144"/>
        <v>64.32971802897606</v>
      </c>
      <c r="I215" s="179">
        <f t="shared" si="123"/>
        <v>2.5000000000000001E-2</v>
      </c>
      <c r="J215" s="182">
        <f t="shared" si="145"/>
        <v>179.89981211361834</v>
      </c>
      <c r="K215" s="179">
        <f t="shared" si="124"/>
        <v>2.5000000000000001E-2</v>
      </c>
      <c r="L215" s="182">
        <f t="shared" si="146"/>
        <v>179.89981211361834</v>
      </c>
      <c r="M215" s="189"/>
      <c r="N215" s="184">
        <f t="shared" ca="1" si="147"/>
        <v>2229</v>
      </c>
      <c r="O215" s="179">
        <f t="shared" si="159"/>
        <v>0.02</v>
      </c>
      <c r="P215" s="182">
        <f t="shared" si="127"/>
        <v>64.2672730066664</v>
      </c>
      <c r="R215" s="184">
        <f t="shared" ca="1" si="148"/>
        <v>2229</v>
      </c>
      <c r="S215" s="188">
        <f t="shared" si="161"/>
        <v>5.3600000000000002E-3</v>
      </c>
      <c r="U215" s="184">
        <f t="shared" ca="1" si="149"/>
        <v>2229</v>
      </c>
      <c r="V215" s="182">
        <f t="shared" si="132"/>
        <v>0.02</v>
      </c>
      <c r="W215" s="180">
        <f>Parameters!$D$15</f>
        <v>5.0000000000000001E-3</v>
      </c>
      <c r="X215" s="182">
        <f t="shared" si="133"/>
        <v>2.5000000000000001E-2</v>
      </c>
      <c r="Y215" s="182">
        <f t="shared" si="150"/>
        <v>180.07714070483641</v>
      </c>
      <c r="AA215" s="189"/>
      <c r="AB215" s="184">
        <f t="shared" ca="1" si="151"/>
        <v>2229</v>
      </c>
      <c r="AC215" s="171">
        <f t="shared" si="134"/>
        <v>0</v>
      </c>
      <c r="AD215" s="171">
        <f t="shared" si="129"/>
        <v>0</v>
      </c>
      <c r="AE215" s="171">
        <f t="shared" si="160"/>
        <v>44301.811767185252</v>
      </c>
      <c r="AF215" s="171">
        <f t="shared" si="152"/>
        <v>0</v>
      </c>
      <c r="AG215" s="171">
        <f t="shared" si="162"/>
        <v>0</v>
      </c>
      <c r="AH215" s="171">
        <f t="shared" si="135"/>
        <v>0</v>
      </c>
      <c r="AI215" s="171">
        <f t="shared" si="136"/>
        <v>0</v>
      </c>
      <c r="AJ215" s="171">
        <f>IF('Invoer gegevens'!$I$27="DAEB",SMALL(AC215:AD215,1),AC215)</f>
        <v>0</v>
      </c>
      <c r="AK215" s="171">
        <f>IF('Invoer gegevens'!$I$27="DAEB",SMALL((AE215:AH215),1),SMALL((AF215:AH215),1))</f>
        <v>0</v>
      </c>
      <c r="AL215" s="171">
        <f t="shared" si="157"/>
        <v>0</v>
      </c>
      <c r="AM215" s="171">
        <f t="shared" si="158"/>
        <v>0</v>
      </c>
      <c r="AN215" s="175">
        <f t="shared" si="153"/>
        <v>0</v>
      </c>
      <c r="AP215" s="184">
        <f t="shared" ca="1" si="154"/>
        <v>2229</v>
      </c>
      <c r="AQ215" s="185">
        <f t="shared" si="137"/>
        <v>0.02</v>
      </c>
      <c r="AR215" s="182">
        <f t="shared" si="128"/>
        <v>64.2672730066664</v>
      </c>
      <c r="AU215" s="184">
        <f t="shared" ca="1" si="155"/>
        <v>2229</v>
      </c>
      <c r="AV215" s="182">
        <f t="shared" si="138"/>
        <v>0.02</v>
      </c>
      <c r="AW215" s="179">
        <f t="shared" si="139"/>
        <v>5.0000000000000001E-3</v>
      </c>
      <c r="AX215" s="182">
        <f t="shared" si="140"/>
        <v>2.5000000000000001E-2</v>
      </c>
      <c r="AY215" s="186"/>
      <c r="AZ215" s="190"/>
      <c r="BA215" s="184">
        <f t="shared" ca="1" si="156"/>
        <v>2229</v>
      </c>
      <c r="BB215" s="171">
        <f t="shared" si="141"/>
        <v>0</v>
      </c>
      <c r="BC215" s="171">
        <f t="shared" si="130"/>
        <v>44301.811767185252</v>
      </c>
      <c r="BD215" s="171">
        <f t="shared" si="126"/>
        <v>0</v>
      </c>
      <c r="BE215" s="171">
        <f t="shared" si="126"/>
        <v>0</v>
      </c>
      <c r="BF215" s="171">
        <f t="shared" si="126"/>
        <v>0</v>
      </c>
      <c r="BG215" s="171">
        <f t="shared" si="125"/>
        <v>0</v>
      </c>
      <c r="BI215" s="187">
        <f>IF(A215-'Invoer gegevens'!$C$17&lt;0,0,IF(A215-'Invoer gegevens'!$C$17=0,1,IF(A215-'Invoer gegevens'!$C$17&lt;5,2,IF(A215-'Invoer gegevens'!$C$17&lt;15,3,4))))</f>
        <v>0</v>
      </c>
      <c r="BJ215" s="229">
        <f>IF(BI215&lt;1,0,IF(BI215&lt;2,4%,IF('Reeksen (N)'!BI215&lt;3,4%,IF('Reeksen (N)'!BI215&lt;4,4%*70%,IF('Reeksen (N)'!BI215&lt;5,4%*50%)))))</f>
        <v>0</v>
      </c>
    </row>
    <row r="216" spans="1:62" x14ac:dyDescent="0.25">
      <c r="A216" s="184">
        <f t="shared" si="142"/>
        <v>211</v>
      </c>
      <c r="B216" s="179">
        <f>Dashboard!$D$25</f>
        <v>0</v>
      </c>
      <c r="C216" s="179">
        <f>Dashboard!$D$25</f>
        <v>0</v>
      </c>
      <c r="D216" s="180">
        <f t="shared" si="131"/>
        <v>0</v>
      </c>
      <c r="E216" s="189"/>
      <c r="F216" s="184">
        <f t="shared" ca="1" si="143"/>
        <v>2230</v>
      </c>
      <c r="G216" s="179">
        <f t="shared" si="122"/>
        <v>0.02</v>
      </c>
      <c r="H216" s="182">
        <f t="shared" si="144"/>
        <v>65.616312389555588</v>
      </c>
      <c r="I216" s="179">
        <f t="shared" si="123"/>
        <v>2.5000000000000001E-2</v>
      </c>
      <c r="J216" s="182">
        <f t="shared" si="145"/>
        <v>184.39730741645877</v>
      </c>
      <c r="K216" s="179">
        <f t="shared" si="124"/>
        <v>2.5000000000000001E-2</v>
      </c>
      <c r="L216" s="182">
        <f t="shared" si="146"/>
        <v>184.39730741645877</v>
      </c>
      <c r="M216" s="189"/>
      <c r="N216" s="184">
        <f t="shared" ca="1" si="147"/>
        <v>2230</v>
      </c>
      <c r="O216" s="179">
        <f t="shared" si="159"/>
        <v>0.02</v>
      </c>
      <c r="P216" s="182">
        <f t="shared" si="127"/>
        <v>65.552618466799728</v>
      </c>
      <c r="R216" s="184">
        <f t="shared" ca="1" si="148"/>
        <v>2230</v>
      </c>
      <c r="S216" s="188">
        <f t="shared" si="161"/>
        <v>5.3600000000000002E-3</v>
      </c>
      <c r="U216" s="184">
        <f t="shared" ca="1" si="149"/>
        <v>2230</v>
      </c>
      <c r="V216" s="182">
        <f t="shared" si="132"/>
        <v>0.02</v>
      </c>
      <c r="W216" s="180">
        <f>Parameters!$D$15</f>
        <v>5.0000000000000001E-3</v>
      </c>
      <c r="X216" s="182">
        <f t="shared" si="133"/>
        <v>2.5000000000000001E-2</v>
      </c>
      <c r="Y216" s="182">
        <f t="shared" si="150"/>
        <v>184.57906922245729</v>
      </c>
      <c r="AA216" s="189"/>
      <c r="AB216" s="184">
        <f t="shared" ca="1" si="151"/>
        <v>2230</v>
      </c>
      <c r="AC216" s="171">
        <f t="shared" si="134"/>
        <v>0</v>
      </c>
      <c r="AD216" s="171">
        <f t="shared" si="129"/>
        <v>0</v>
      </c>
      <c r="AE216" s="171">
        <f t="shared" si="160"/>
        <v>45187.848002528961</v>
      </c>
      <c r="AF216" s="171">
        <f t="shared" si="152"/>
        <v>0</v>
      </c>
      <c r="AG216" s="171">
        <f t="shared" si="162"/>
        <v>0</v>
      </c>
      <c r="AH216" s="171">
        <f t="shared" si="135"/>
        <v>0</v>
      </c>
      <c r="AI216" s="171">
        <f t="shared" si="136"/>
        <v>0</v>
      </c>
      <c r="AJ216" s="171">
        <f>IF('Invoer gegevens'!$I$27="DAEB",SMALL(AC216:AD216,1),AC216)</f>
        <v>0</v>
      </c>
      <c r="AK216" s="171">
        <f>IF('Invoer gegevens'!$I$27="DAEB",SMALL((AE216:AH216),1),SMALL((AF216:AH216),1))</f>
        <v>0</v>
      </c>
      <c r="AL216" s="171">
        <f t="shared" si="157"/>
        <v>0</v>
      </c>
      <c r="AM216" s="171">
        <f t="shared" si="158"/>
        <v>0</v>
      </c>
      <c r="AN216" s="175">
        <f t="shared" si="153"/>
        <v>0</v>
      </c>
      <c r="AP216" s="184">
        <f t="shared" ca="1" si="154"/>
        <v>2230</v>
      </c>
      <c r="AQ216" s="185">
        <f t="shared" si="137"/>
        <v>0.02</v>
      </c>
      <c r="AR216" s="182">
        <f t="shared" si="128"/>
        <v>65.552618466799728</v>
      </c>
      <c r="AU216" s="184">
        <f t="shared" ca="1" si="155"/>
        <v>2230</v>
      </c>
      <c r="AV216" s="182">
        <f t="shared" si="138"/>
        <v>0.02</v>
      </c>
      <c r="AW216" s="179">
        <f t="shared" si="139"/>
        <v>5.0000000000000001E-3</v>
      </c>
      <c r="AX216" s="182">
        <f t="shared" si="140"/>
        <v>2.5000000000000001E-2</v>
      </c>
      <c r="AY216" s="186"/>
      <c r="AZ216" s="190"/>
      <c r="BA216" s="184">
        <f t="shared" ca="1" si="156"/>
        <v>2230</v>
      </c>
      <c r="BB216" s="171">
        <f t="shared" si="141"/>
        <v>0</v>
      </c>
      <c r="BC216" s="171">
        <f t="shared" si="130"/>
        <v>45187.848002528961</v>
      </c>
      <c r="BD216" s="171">
        <f t="shared" si="126"/>
        <v>0</v>
      </c>
      <c r="BE216" s="171">
        <f t="shared" si="126"/>
        <v>0</v>
      </c>
      <c r="BF216" s="171">
        <f t="shared" si="126"/>
        <v>0</v>
      </c>
      <c r="BG216" s="171">
        <f t="shared" si="125"/>
        <v>0</v>
      </c>
      <c r="BI216" s="187">
        <f>IF(A216-'Invoer gegevens'!$C$17&lt;0,0,IF(A216-'Invoer gegevens'!$C$17=0,1,IF(A216-'Invoer gegevens'!$C$17&lt;5,2,IF(A216-'Invoer gegevens'!$C$17&lt;15,3,4))))</f>
        <v>0</v>
      </c>
      <c r="BJ216" s="229">
        <f>IF(BI216&lt;1,0,IF(BI216&lt;2,4%,IF('Reeksen (N)'!BI216&lt;3,4%,IF('Reeksen (N)'!BI216&lt;4,4%*70%,IF('Reeksen (N)'!BI216&lt;5,4%*50%)))))</f>
        <v>0</v>
      </c>
    </row>
    <row r="217" spans="1:62" x14ac:dyDescent="0.25">
      <c r="A217" s="184">
        <f t="shared" si="142"/>
        <v>212</v>
      </c>
      <c r="B217" s="179">
        <f>Dashboard!$D$25</f>
        <v>0</v>
      </c>
      <c r="C217" s="179">
        <f>Dashboard!$D$25</f>
        <v>0</v>
      </c>
      <c r="D217" s="180">
        <f t="shared" si="131"/>
        <v>0</v>
      </c>
      <c r="E217" s="189"/>
      <c r="F217" s="184">
        <f t="shared" ca="1" si="143"/>
        <v>2231</v>
      </c>
      <c r="G217" s="179">
        <f t="shared" ref="G217:G234" si="163">G216</f>
        <v>0.02</v>
      </c>
      <c r="H217" s="182">
        <f t="shared" si="144"/>
        <v>66.928638637346708</v>
      </c>
      <c r="I217" s="179">
        <f t="shared" ref="I217:I234" si="164">I216</f>
        <v>2.5000000000000001E-2</v>
      </c>
      <c r="J217" s="182">
        <f t="shared" si="145"/>
        <v>189.00724010187022</v>
      </c>
      <c r="K217" s="179">
        <f t="shared" ref="K217:K234" si="165">K216</f>
        <v>2.5000000000000001E-2</v>
      </c>
      <c r="L217" s="182">
        <f t="shared" si="146"/>
        <v>189.00724010187022</v>
      </c>
      <c r="M217" s="189"/>
      <c r="N217" s="184">
        <f t="shared" ca="1" si="147"/>
        <v>2231</v>
      </c>
      <c r="O217" s="179">
        <f t="shared" si="159"/>
        <v>0.02</v>
      </c>
      <c r="P217" s="182">
        <f t="shared" si="127"/>
        <v>66.863670836135725</v>
      </c>
      <c r="R217" s="184">
        <f t="shared" ca="1" si="148"/>
        <v>2231</v>
      </c>
      <c r="S217" s="188">
        <f t="shared" si="161"/>
        <v>5.3600000000000002E-3</v>
      </c>
      <c r="U217" s="184">
        <f t="shared" ca="1" si="149"/>
        <v>2231</v>
      </c>
      <c r="V217" s="182">
        <f t="shared" si="132"/>
        <v>0.02</v>
      </c>
      <c r="W217" s="180">
        <f>Parameters!$D$15</f>
        <v>5.0000000000000001E-3</v>
      </c>
      <c r="X217" s="182">
        <f t="shared" si="133"/>
        <v>2.5000000000000001E-2</v>
      </c>
      <c r="Y217" s="182">
        <f t="shared" si="150"/>
        <v>189.19354595301871</v>
      </c>
      <c r="AA217" s="189"/>
      <c r="AB217" s="184">
        <f t="shared" ca="1" si="151"/>
        <v>2231</v>
      </c>
      <c r="AC217" s="171">
        <f t="shared" si="134"/>
        <v>0</v>
      </c>
      <c r="AD217" s="171">
        <f t="shared" si="129"/>
        <v>0</v>
      </c>
      <c r="AE217" s="171">
        <f t="shared" si="160"/>
        <v>46091.604962579542</v>
      </c>
      <c r="AF217" s="171">
        <f t="shared" si="152"/>
        <v>0</v>
      </c>
      <c r="AG217" s="171">
        <f t="shared" si="162"/>
        <v>0</v>
      </c>
      <c r="AH217" s="171">
        <f t="shared" si="135"/>
        <v>0</v>
      </c>
      <c r="AI217" s="171">
        <f t="shared" si="136"/>
        <v>0</v>
      </c>
      <c r="AJ217" s="171">
        <f>IF('Invoer gegevens'!$I$27="DAEB",SMALL(AC217:AD217,1),AC217)</f>
        <v>0</v>
      </c>
      <c r="AK217" s="171">
        <f>IF('Invoer gegevens'!$I$27="DAEB",SMALL((AE217:AH217),1),SMALL((AF217:AH217),1))</f>
        <v>0</v>
      </c>
      <c r="AL217" s="171">
        <f t="shared" si="157"/>
        <v>0</v>
      </c>
      <c r="AM217" s="171">
        <f t="shared" si="158"/>
        <v>0</v>
      </c>
      <c r="AN217" s="175">
        <f t="shared" si="153"/>
        <v>0</v>
      </c>
      <c r="AP217" s="184">
        <f t="shared" ca="1" si="154"/>
        <v>2231</v>
      </c>
      <c r="AQ217" s="185">
        <f t="shared" si="137"/>
        <v>0.02</v>
      </c>
      <c r="AR217" s="182">
        <f t="shared" si="128"/>
        <v>66.863670836135725</v>
      </c>
      <c r="AU217" s="184">
        <f t="shared" ca="1" si="155"/>
        <v>2231</v>
      </c>
      <c r="AV217" s="182">
        <f t="shared" si="138"/>
        <v>0.02</v>
      </c>
      <c r="AW217" s="179">
        <f t="shared" si="139"/>
        <v>5.0000000000000001E-3</v>
      </c>
      <c r="AX217" s="182">
        <f t="shared" si="140"/>
        <v>2.5000000000000001E-2</v>
      </c>
      <c r="AY217" s="186"/>
      <c r="AZ217" s="190"/>
      <c r="BA217" s="184">
        <f t="shared" ca="1" si="156"/>
        <v>2231</v>
      </c>
      <c r="BB217" s="171">
        <f t="shared" si="141"/>
        <v>0</v>
      </c>
      <c r="BC217" s="171">
        <f t="shared" si="130"/>
        <v>46091.604962579542</v>
      </c>
      <c r="BD217" s="171">
        <f t="shared" si="126"/>
        <v>0</v>
      </c>
      <c r="BE217" s="171">
        <f t="shared" si="126"/>
        <v>0</v>
      </c>
      <c r="BF217" s="171">
        <f t="shared" si="126"/>
        <v>0</v>
      </c>
      <c r="BG217" s="171">
        <f t="shared" si="125"/>
        <v>0</v>
      </c>
      <c r="BI217" s="187">
        <f>IF(A217-'Invoer gegevens'!$C$17&lt;0,0,IF(A217-'Invoer gegevens'!$C$17=0,1,IF(A217-'Invoer gegevens'!$C$17&lt;5,2,IF(A217-'Invoer gegevens'!$C$17&lt;15,3,4))))</f>
        <v>0</v>
      </c>
      <c r="BJ217" s="229">
        <f>IF(BI217&lt;1,0,IF(BI217&lt;2,4%,IF('Reeksen (N)'!BI217&lt;3,4%,IF('Reeksen (N)'!BI217&lt;4,4%*70%,IF('Reeksen (N)'!BI217&lt;5,4%*50%)))))</f>
        <v>0</v>
      </c>
    </row>
    <row r="218" spans="1:62" x14ac:dyDescent="0.25">
      <c r="A218" s="184">
        <f t="shared" si="142"/>
        <v>213</v>
      </c>
      <c r="B218" s="179">
        <f>Dashboard!$D$25</f>
        <v>0</v>
      </c>
      <c r="C218" s="179">
        <f>Dashboard!$D$25</f>
        <v>0</v>
      </c>
      <c r="D218" s="180">
        <f t="shared" si="131"/>
        <v>0</v>
      </c>
      <c r="E218" s="189"/>
      <c r="F218" s="184">
        <f t="shared" ca="1" si="143"/>
        <v>2232</v>
      </c>
      <c r="G218" s="179">
        <f t="shared" si="163"/>
        <v>0.02</v>
      </c>
      <c r="H218" s="182">
        <f t="shared" si="144"/>
        <v>68.267211410093637</v>
      </c>
      <c r="I218" s="179">
        <f t="shared" si="164"/>
        <v>2.5000000000000001E-2</v>
      </c>
      <c r="J218" s="182">
        <f t="shared" si="145"/>
        <v>193.73242110441697</v>
      </c>
      <c r="K218" s="179">
        <f t="shared" si="165"/>
        <v>2.5000000000000001E-2</v>
      </c>
      <c r="L218" s="182">
        <f t="shared" si="146"/>
        <v>193.73242110441697</v>
      </c>
      <c r="M218" s="189"/>
      <c r="N218" s="184">
        <f t="shared" ca="1" si="147"/>
        <v>2232</v>
      </c>
      <c r="O218" s="179">
        <f t="shared" si="159"/>
        <v>0.02</v>
      </c>
      <c r="P218" s="182">
        <f t="shared" si="127"/>
        <v>68.200944252858434</v>
      </c>
      <c r="R218" s="184">
        <f t="shared" ca="1" si="148"/>
        <v>2232</v>
      </c>
      <c r="S218" s="188">
        <f t="shared" si="161"/>
        <v>5.3600000000000002E-3</v>
      </c>
      <c r="U218" s="184">
        <f t="shared" ca="1" si="149"/>
        <v>2232</v>
      </c>
      <c r="V218" s="182">
        <f t="shared" si="132"/>
        <v>0.02</v>
      </c>
      <c r="W218" s="180">
        <f>Parameters!$D$15</f>
        <v>5.0000000000000001E-3</v>
      </c>
      <c r="X218" s="182">
        <f t="shared" si="133"/>
        <v>2.5000000000000001E-2</v>
      </c>
      <c r="Y218" s="182">
        <f t="shared" si="150"/>
        <v>193.92338460184416</v>
      </c>
      <c r="AA218" s="189"/>
      <c r="AB218" s="184">
        <f t="shared" ca="1" si="151"/>
        <v>2232</v>
      </c>
      <c r="AC218" s="171">
        <f t="shared" si="134"/>
        <v>0</v>
      </c>
      <c r="AD218" s="171">
        <f t="shared" si="129"/>
        <v>0</v>
      </c>
      <c r="AE218" s="171">
        <f t="shared" si="160"/>
        <v>47013.437061831137</v>
      </c>
      <c r="AF218" s="171">
        <f t="shared" si="152"/>
        <v>0</v>
      </c>
      <c r="AG218" s="171">
        <f t="shared" si="162"/>
        <v>0</v>
      </c>
      <c r="AH218" s="171">
        <f t="shared" si="135"/>
        <v>0</v>
      </c>
      <c r="AI218" s="171">
        <f t="shared" si="136"/>
        <v>0</v>
      </c>
      <c r="AJ218" s="171">
        <f>IF('Invoer gegevens'!$I$27="DAEB",SMALL(AC218:AD218,1),AC218)</f>
        <v>0</v>
      </c>
      <c r="AK218" s="171">
        <f>IF('Invoer gegevens'!$I$27="DAEB",SMALL((AE218:AH218),1),SMALL((AF218:AH218),1))</f>
        <v>0</v>
      </c>
      <c r="AL218" s="171">
        <f t="shared" si="157"/>
        <v>0</v>
      </c>
      <c r="AM218" s="171">
        <f t="shared" si="158"/>
        <v>0</v>
      </c>
      <c r="AN218" s="175">
        <f t="shared" si="153"/>
        <v>0</v>
      </c>
      <c r="AP218" s="184">
        <f t="shared" ca="1" si="154"/>
        <v>2232</v>
      </c>
      <c r="AQ218" s="185">
        <f t="shared" si="137"/>
        <v>0.02</v>
      </c>
      <c r="AR218" s="182">
        <f t="shared" si="128"/>
        <v>68.200944252858434</v>
      </c>
      <c r="AU218" s="184">
        <f t="shared" ca="1" si="155"/>
        <v>2232</v>
      </c>
      <c r="AV218" s="182">
        <f t="shared" si="138"/>
        <v>0.02</v>
      </c>
      <c r="AW218" s="179">
        <f t="shared" si="139"/>
        <v>5.0000000000000001E-3</v>
      </c>
      <c r="AX218" s="182">
        <f t="shared" si="140"/>
        <v>2.5000000000000001E-2</v>
      </c>
      <c r="AY218" s="186"/>
      <c r="AZ218" s="190"/>
      <c r="BA218" s="184">
        <f t="shared" ca="1" si="156"/>
        <v>2232</v>
      </c>
      <c r="BB218" s="171">
        <f t="shared" si="141"/>
        <v>0</v>
      </c>
      <c r="BC218" s="171">
        <f t="shared" si="130"/>
        <v>47013.437061831137</v>
      </c>
      <c r="BD218" s="171">
        <f t="shared" si="126"/>
        <v>0</v>
      </c>
      <c r="BE218" s="171">
        <f t="shared" si="126"/>
        <v>0</v>
      </c>
      <c r="BF218" s="171">
        <f t="shared" si="126"/>
        <v>0</v>
      </c>
      <c r="BG218" s="171">
        <f t="shared" si="125"/>
        <v>0</v>
      </c>
      <c r="BI218" s="187">
        <f>IF(A218-'Invoer gegevens'!$C$17&lt;0,0,IF(A218-'Invoer gegevens'!$C$17=0,1,IF(A218-'Invoer gegevens'!$C$17&lt;5,2,IF(A218-'Invoer gegevens'!$C$17&lt;15,3,4))))</f>
        <v>0</v>
      </c>
      <c r="BJ218" s="229">
        <f>IF(BI218&lt;1,0,IF(BI218&lt;2,4%,IF('Reeksen (N)'!BI218&lt;3,4%,IF('Reeksen (N)'!BI218&lt;4,4%*70%,IF('Reeksen (N)'!BI218&lt;5,4%*50%)))))</f>
        <v>0</v>
      </c>
    </row>
    <row r="219" spans="1:62" x14ac:dyDescent="0.25">
      <c r="A219" s="184">
        <f t="shared" si="142"/>
        <v>214</v>
      </c>
      <c r="B219" s="179">
        <f>Dashboard!$D$25</f>
        <v>0</v>
      </c>
      <c r="C219" s="179">
        <f>Dashboard!$D$25</f>
        <v>0</v>
      </c>
      <c r="D219" s="180">
        <f t="shared" si="131"/>
        <v>0</v>
      </c>
      <c r="E219" s="189"/>
      <c r="F219" s="184">
        <f t="shared" ca="1" si="143"/>
        <v>2233</v>
      </c>
      <c r="G219" s="179">
        <f t="shared" si="163"/>
        <v>0.02</v>
      </c>
      <c r="H219" s="182">
        <f t="shared" si="144"/>
        <v>69.632555638295514</v>
      </c>
      <c r="I219" s="179">
        <f t="shared" si="164"/>
        <v>2.5000000000000001E-2</v>
      </c>
      <c r="J219" s="182">
        <f t="shared" si="145"/>
        <v>198.57573163202738</v>
      </c>
      <c r="K219" s="179">
        <f t="shared" si="165"/>
        <v>2.5000000000000001E-2</v>
      </c>
      <c r="L219" s="182">
        <f t="shared" si="146"/>
        <v>198.57573163202738</v>
      </c>
      <c r="M219" s="189"/>
      <c r="N219" s="184">
        <f t="shared" ca="1" si="147"/>
        <v>2233</v>
      </c>
      <c r="O219" s="179">
        <f t="shared" si="159"/>
        <v>0.02</v>
      </c>
      <c r="P219" s="182">
        <f t="shared" si="127"/>
        <v>69.564963137915598</v>
      </c>
      <c r="R219" s="184">
        <f t="shared" ca="1" si="148"/>
        <v>2233</v>
      </c>
      <c r="S219" s="188">
        <f t="shared" si="161"/>
        <v>5.3600000000000002E-3</v>
      </c>
      <c r="U219" s="184">
        <f t="shared" ca="1" si="149"/>
        <v>2233</v>
      </c>
      <c r="V219" s="182">
        <f t="shared" si="132"/>
        <v>0.02</v>
      </c>
      <c r="W219" s="180">
        <f>Parameters!$D$15</f>
        <v>5.0000000000000001E-3</v>
      </c>
      <c r="X219" s="182">
        <f t="shared" si="133"/>
        <v>2.5000000000000001E-2</v>
      </c>
      <c r="Y219" s="182">
        <f t="shared" si="150"/>
        <v>198.77146921689024</v>
      </c>
      <c r="AA219" s="189"/>
      <c r="AB219" s="184">
        <f t="shared" ca="1" si="151"/>
        <v>2233</v>
      </c>
      <c r="AC219" s="171">
        <f t="shared" si="134"/>
        <v>0</v>
      </c>
      <c r="AD219" s="171">
        <f t="shared" si="129"/>
        <v>0</v>
      </c>
      <c r="AE219" s="171">
        <f t="shared" si="160"/>
        <v>47953.705803067758</v>
      </c>
      <c r="AF219" s="171">
        <f t="shared" si="152"/>
        <v>0</v>
      </c>
      <c r="AG219" s="171">
        <f t="shared" si="162"/>
        <v>0</v>
      </c>
      <c r="AH219" s="171">
        <f t="shared" si="135"/>
        <v>0</v>
      </c>
      <c r="AI219" s="171">
        <f t="shared" si="136"/>
        <v>0</v>
      </c>
      <c r="AJ219" s="171">
        <f>IF('Invoer gegevens'!$I$27="DAEB",SMALL(AC219:AD219,1),AC219)</f>
        <v>0</v>
      </c>
      <c r="AK219" s="171">
        <f>IF('Invoer gegevens'!$I$27="DAEB",SMALL((AE219:AH219),1),SMALL((AF219:AH219),1))</f>
        <v>0</v>
      </c>
      <c r="AL219" s="171">
        <f t="shared" si="157"/>
        <v>0</v>
      </c>
      <c r="AM219" s="171">
        <f t="shared" si="158"/>
        <v>0</v>
      </c>
      <c r="AN219" s="175">
        <f t="shared" si="153"/>
        <v>0</v>
      </c>
      <c r="AP219" s="184">
        <f t="shared" ca="1" si="154"/>
        <v>2233</v>
      </c>
      <c r="AQ219" s="185">
        <f t="shared" si="137"/>
        <v>0.02</v>
      </c>
      <c r="AR219" s="182">
        <f t="shared" si="128"/>
        <v>69.564963137915598</v>
      </c>
      <c r="AU219" s="184">
        <f t="shared" ca="1" si="155"/>
        <v>2233</v>
      </c>
      <c r="AV219" s="182">
        <f t="shared" si="138"/>
        <v>0.02</v>
      </c>
      <c r="AW219" s="179">
        <f t="shared" si="139"/>
        <v>5.0000000000000001E-3</v>
      </c>
      <c r="AX219" s="182">
        <f t="shared" si="140"/>
        <v>2.5000000000000001E-2</v>
      </c>
      <c r="AY219" s="186"/>
      <c r="AZ219" s="190"/>
      <c r="BA219" s="184">
        <f t="shared" ca="1" si="156"/>
        <v>2233</v>
      </c>
      <c r="BB219" s="171">
        <f t="shared" si="141"/>
        <v>0</v>
      </c>
      <c r="BC219" s="171">
        <f t="shared" si="130"/>
        <v>47953.705803067758</v>
      </c>
      <c r="BD219" s="171">
        <f t="shared" si="126"/>
        <v>0</v>
      </c>
      <c r="BE219" s="171">
        <f t="shared" si="126"/>
        <v>0</v>
      </c>
      <c r="BF219" s="171">
        <f t="shared" si="126"/>
        <v>0</v>
      </c>
      <c r="BG219" s="171">
        <f t="shared" si="125"/>
        <v>0</v>
      </c>
      <c r="BI219" s="187">
        <f>IF(A219-'Invoer gegevens'!$C$17&lt;0,0,IF(A219-'Invoer gegevens'!$C$17=0,1,IF(A219-'Invoer gegevens'!$C$17&lt;5,2,IF(A219-'Invoer gegevens'!$C$17&lt;15,3,4))))</f>
        <v>0</v>
      </c>
      <c r="BJ219" s="229">
        <f>IF(BI219&lt;1,0,IF(BI219&lt;2,4%,IF('Reeksen (N)'!BI219&lt;3,4%,IF('Reeksen (N)'!BI219&lt;4,4%*70%,IF('Reeksen (N)'!BI219&lt;5,4%*50%)))))</f>
        <v>0</v>
      </c>
    </row>
    <row r="220" spans="1:62" x14ac:dyDescent="0.25">
      <c r="A220" s="184">
        <f t="shared" si="142"/>
        <v>215</v>
      </c>
      <c r="B220" s="179">
        <f>Dashboard!$D$25</f>
        <v>0</v>
      </c>
      <c r="C220" s="179">
        <f>Dashboard!$D$25</f>
        <v>0</v>
      </c>
      <c r="D220" s="180">
        <f t="shared" si="131"/>
        <v>0</v>
      </c>
      <c r="E220" s="189"/>
      <c r="F220" s="184">
        <f t="shared" ca="1" si="143"/>
        <v>2234</v>
      </c>
      <c r="G220" s="179">
        <f t="shared" si="163"/>
        <v>0.02</v>
      </c>
      <c r="H220" s="182">
        <f t="shared" si="144"/>
        <v>71.025206751061432</v>
      </c>
      <c r="I220" s="179">
        <f t="shared" si="164"/>
        <v>2.5000000000000001E-2</v>
      </c>
      <c r="J220" s="182">
        <f t="shared" si="145"/>
        <v>203.54012492282806</v>
      </c>
      <c r="K220" s="179">
        <f t="shared" si="165"/>
        <v>2.5000000000000001E-2</v>
      </c>
      <c r="L220" s="182">
        <f t="shared" si="146"/>
        <v>203.54012492282806</v>
      </c>
      <c r="M220" s="189"/>
      <c r="N220" s="184">
        <f t="shared" ca="1" si="147"/>
        <v>2234</v>
      </c>
      <c r="O220" s="179">
        <f t="shared" si="159"/>
        <v>0.02</v>
      </c>
      <c r="P220" s="182">
        <f t="shared" si="127"/>
        <v>70.956262400673907</v>
      </c>
      <c r="R220" s="184">
        <f t="shared" ca="1" si="148"/>
        <v>2234</v>
      </c>
      <c r="S220" s="188">
        <f t="shared" si="161"/>
        <v>5.3600000000000002E-3</v>
      </c>
      <c r="U220" s="184">
        <f t="shared" ca="1" si="149"/>
        <v>2234</v>
      </c>
      <c r="V220" s="182">
        <f t="shared" si="132"/>
        <v>0.02</v>
      </c>
      <c r="W220" s="180">
        <f>Parameters!$D$15</f>
        <v>5.0000000000000001E-3</v>
      </c>
      <c r="X220" s="182">
        <f t="shared" si="133"/>
        <v>2.5000000000000001E-2</v>
      </c>
      <c r="Y220" s="182">
        <f t="shared" si="150"/>
        <v>203.74075594731246</v>
      </c>
      <c r="AA220" s="189"/>
      <c r="AB220" s="184">
        <f t="shared" ca="1" si="151"/>
        <v>2234</v>
      </c>
      <c r="AC220" s="171">
        <f t="shared" si="134"/>
        <v>0</v>
      </c>
      <c r="AD220" s="171">
        <f t="shared" si="129"/>
        <v>0</v>
      </c>
      <c r="AE220" s="171">
        <f t="shared" si="160"/>
        <v>48912.779919129112</v>
      </c>
      <c r="AF220" s="171">
        <f t="shared" si="152"/>
        <v>0</v>
      </c>
      <c r="AG220" s="171">
        <f t="shared" si="162"/>
        <v>0</v>
      </c>
      <c r="AH220" s="171">
        <f t="shared" si="135"/>
        <v>0</v>
      </c>
      <c r="AI220" s="171">
        <f t="shared" si="136"/>
        <v>0</v>
      </c>
      <c r="AJ220" s="171">
        <f>IF('Invoer gegevens'!$I$27="DAEB",SMALL(AC220:AD220,1),AC220)</f>
        <v>0</v>
      </c>
      <c r="AK220" s="171">
        <f>IF('Invoer gegevens'!$I$27="DAEB",SMALL((AE220:AH220),1),SMALL((AF220:AH220),1))</f>
        <v>0</v>
      </c>
      <c r="AL220" s="171">
        <f t="shared" si="157"/>
        <v>0</v>
      </c>
      <c r="AM220" s="171">
        <f t="shared" si="158"/>
        <v>0</v>
      </c>
      <c r="AN220" s="175">
        <f t="shared" si="153"/>
        <v>0</v>
      </c>
      <c r="AP220" s="184">
        <f t="shared" ca="1" si="154"/>
        <v>2234</v>
      </c>
      <c r="AQ220" s="185">
        <f t="shared" si="137"/>
        <v>0.02</v>
      </c>
      <c r="AR220" s="182">
        <f t="shared" si="128"/>
        <v>70.956262400673907</v>
      </c>
      <c r="AU220" s="184">
        <f t="shared" ca="1" si="155"/>
        <v>2234</v>
      </c>
      <c r="AV220" s="182">
        <f t="shared" si="138"/>
        <v>0.02</v>
      </c>
      <c r="AW220" s="179">
        <f t="shared" si="139"/>
        <v>5.0000000000000001E-3</v>
      </c>
      <c r="AX220" s="182">
        <f t="shared" si="140"/>
        <v>2.5000000000000001E-2</v>
      </c>
      <c r="AY220" s="186"/>
      <c r="AZ220" s="190"/>
      <c r="BA220" s="184">
        <f t="shared" ca="1" si="156"/>
        <v>2234</v>
      </c>
      <c r="BB220" s="171">
        <f t="shared" si="141"/>
        <v>0</v>
      </c>
      <c r="BC220" s="171">
        <f t="shared" si="130"/>
        <v>48912.779919129112</v>
      </c>
      <c r="BD220" s="171">
        <f t="shared" si="126"/>
        <v>0</v>
      </c>
      <c r="BE220" s="171">
        <f t="shared" si="126"/>
        <v>0</v>
      </c>
      <c r="BF220" s="171">
        <f t="shared" si="126"/>
        <v>0</v>
      </c>
      <c r="BG220" s="171">
        <f t="shared" si="125"/>
        <v>0</v>
      </c>
      <c r="BI220" s="187">
        <f>IF(A220-'Invoer gegevens'!$C$17&lt;0,0,IF(A220-'Invoer gegevens'!$C$17=0,1,IF(A220-'Invoer gegevens'!$C$17&lt;5,2,IF(A220-'Invoer gegevens'!$C$17&lt;15,3,4))))</f>
        <v>0</v>
      </c>
      <c r="BJ220" s="229">
        <f>IF(BI220&lt;1,0,IF(BI220&lt;2,4%,IF('Reeksen (N)'!BI220&lt;3,4%,IF('Reeksen (N)'!BI220&lt;4,4%*70%,IF('Reeksen (N)'!BI220&lt;5,4%*50%)))))</f>
        <v>0</v>
      </c>
    </row>
    <row r="221" spans="1:62" x14ac:dyDescent="0.25">
      <c r="A221" s="184">
        <f t="shared" si="142"/>
        <v>216</v>
      </c>
      <c r="B221" s="179">
        <f>Dashboard!$D$25</f>
        <v>0</v>
      </c>
      <c r="C221" s="179">
        <f>Dashboard!$D$25</f>
        <v>0</v>
      </c>
      <c r="D221" s="180">
        <f t="shared" si="131"/>
        <v>0</v>
      </c>
      <c r="E221" s="189"/>
      <c r="F221" s="184">
        <f t="shared" ca="1" si="143"/>
        <v>2235</v>
      </c>
      <c r="G221" s="179">
        <f t="shared" si="163"/>
        <v>0.02</v>
      </c>
      <c r="H221" s="182">
        <f t="shared" si="144"/>
        <v>72.445710886082665</v>
      </c>
      <c r="I221" s="179">
        <f t="shared" si="164"/>
        <v>2.5000000000000001E-2</v>
      </c>
      <c r="J221" s="182">
        <f t="shared" si="145"/>
        <v>208.62862804589875</v>
      </c>
      <c r="K221" s="179">
        <f t="shared" si="165"/>
        <v>2.5000000000000001E-2</v>
      </c>
      <c r="L221" s="182">
        <f t="shared" si="146"/>
        <v>208.62862804589875</v>
      </c>
      <c r="M221" s="189"/>
      <c r="N221" s="184">
        <f t="shared" ca="1" si="147"/>
        <v>2235</v>
      </c>
      <c r="O221" s="179">
        <f t="shared" si="159"/>
        <v>0.02</v>
      </c>
      <c r="P221" s="182">
        <f t="shared" si="127"/>
        <v>72.375387648687393</v>
      </c>
      <c r="R221" s="184">
        <f t="shared" ca="1" si="148"/>
        <v>2235</v>
      </c>
      <c r="S221" s="188">
        <f t="shared" si="161"/>
        <v>5.3600000000000002E-3</v>
      </c>
      <c r="U221" s="184">
        <f t="shared" ca="1" si="149"/>
        <v>2235</v>
      </c>
      <c r="V221" s="182">
        <f t="shared" si="132"/>
        <v>0.02</v>
      </c>
      <c r="W221" s="180">
        <f>Parameters!$D$15</f>
        <v>5.0000000000000001E-3</v>
      </c>
      <c r="X221" s="182">
        <f t="shared" si="133"/>
        <v>2.5000000000000001E-2</v>
      </c>
      <c r="Y221" s="182">
        <f t="shared" si="150"/>
        <v>208.83427484599525</v>
      </c>
      <c r="AA221" s="189"/>
      <c r="AB221" s="184">
        <f t="shared" ca="1" si="151"/>
        <v>2235</v>
      </c>
      <c r="AC221" s="171">
        <f t="shared" si="134"/>
        <v>0</v>
      </c>
      <c r="AD221" s="171">
        <f t="shared" si="129"/>
        <v>0</v>
      </c>
      <c r="AE221" s="171">
        <f t="shared" si="160"/>
        <v>49891.035517511693</v>
      </c>
      <c r="AF221" s="171">
        <f t="shared" si="152"/>
        <v>0</v>
      </c>
      <c r="AG221" s="171">
        <f t="shared" si="162"/>
        <v>0</v>
      </c>
      <c r="AH221" s="171">
        <f t="shared" si="135"/>
        <v>0</v>
      </c>
      <c r="AI221" s="171">
        <f t="shared" si="136"/>
        <v>0</v>
      </c>
      <c r="AJ221" s="171">
        <f>IF('Invoer gegevens'!$I$27="DAEB",SMALL(AC221:AD221,1),AC221)</f>
        <v>0</v>
      </c>
      <c r="AK221" s="171">
        <f>IF('Invoer gegevens'!$I$27="DAEB",SMALL((AE221:AH221),1),SMALL((AF221:AH221),1))</f>
        <v>0</v>
      </c>
      <c r="AL221" s="171">
        <f t="shared" si="157"/>
        <v>0</v>
      </c>
      <c r="AM221" s="171">
        <f t="shared" si="158"/>
        <v>0</v>
      </c>
      <c r="AN221" s="175">
        <f t="shared" si="153"/>
        <v>0</v>
      </c>
      <c r="AP221" s="184">
        <f t="shared" ca="1" si="154"/>
        <v>2235</v>
      </c>
      <c r="AQ221" s="185">
        <f t="shared" si="137"/>
        <v>0.02</v>
      </c>
      <c r="AR221" s="182">
        <f t="shared" si="128"/>
        <v>72.375387648687393</v>
      </c>
      <c r="AU221" s="184">
        <f t="shared" ca="1" si="155"/>
        <v>2235</v>
      </c>
      <c r="AV221" s="182">
        <f t="shared" si="138"/>
        <v>0.02</v>
      </c>
      <c r="AW221" s="179">
        <f t="shared" si="139"/>
        <v>5.0000000000000001E-3</v>
      </c>
      <c r="AX221" s="182">
        <f t="shared" si="140"/>
        <v>2.5000000000000001E-2</v>
      </c>
      <c r="AY221" s="186"/>
      <c r="AZ221" s="190"/>
      <c r="BA221" s="184">
        <f t="shared" ca="1" si="156"/>
        <v>2235</v>
      </c>
      <c r="BB221" s="171">
        <f t="shared" si="141"/>
        <v>0</v>
      </c>
      <c r="BC221" s="171">
        <f t="shared" si="130"/>
        <v>49891.035517511693</v>
      </c>
      <c r="BD221" s="171">
        <f t="shared" si="126"/>
        <v>0</v>
      </c>
      <c r="BE221" s="171">
        <f t="shared" si="126"/>
        <v>0</v>
      </c>
      <c r="BF221" s="171">
        <f t="shared" si="126"/>
        <v>0</v>
      </c>
      <c r="BG221" s="171">
        <f t="shared" si="125"/>
        <v>0</v>
      </c>
      <c r="BI221" s="187">
        <f>IF(A221-'Invoer gegevens'!$C$17&lt;0,0,IF(A221-'Invoer gegevens'!$C$17=0,1,IF(A221-'Invoer gegevens'!$C$17&lt;5,2,IF(A221-'Invoer gegevens'!$C$17&lt;15,3,4))))</f>
        <v>0</v>
      </c>
      <c r="BJ221" s="229">
        <f>IF(BI221&lt;1,0,IF(BI221&lt;2,4%,IF('Reeksen (N)'!BI221&lt;3,4%,IF('Reeksen (N)'!BI221&lt;4,4%*70%,IF('Reeksen (N)'!BI221&lt;5,4%*50%)))))</f>
        <v>0</v>
      </c>
    </row>
    <row r="222" spans="1:62" x14ac:dyDescent="0.25">
      <c r="A222" s="184">
        <f t="shared" si="142"/>
        <v>217</v>
      </c>
      <c r="B222" s="179">
        <f>Dashboard!$D$25</f>
        <v>0</v>
      </c>
      <c r="C222" s="179">
        <f>Dashboard!$D$25</f>
        <v>0</v>
      </c>
      <c r="D222" s="180">
        <f t="shared" si="131"/>
        <v>0</v>
      </c>
      <c r="E222" s="189"/>
      <c r="F222" s="184">
        <f t="shared" ca="1" si="143"/>
        <v>2236</v>
      </c>
      <c r="G222" s="179">
        <f t="shared" si="163"/>
        <v>0.02</v>
      </c>
      <c r="H222" s="182">
        <f t="shared" si="144"/>
        <v>73.894625103804316</v>
      </c>
      <c r="I222" s="179">
        <f t="shared" si="164"/>
        <v>2.5000000000000001E-2</v>
      </c>
      <c r="J222" s="182">
        <f t="shared" si="145"/>
        <v>213.8443437470462</v>
      </c>
      <c r="K222" s="179">
        <f t="shared" si="165"/>
        <v>2.5000000000000001E-2</v>
      </c>
      <c r="L222" s="182">
        <f t="shared" si="146"/>
        <v>213.8443437470462</v>
      </c>
      <c r="M222" s="189"/>
      <c r="N222" s="184">
        <f t="shared" ca="1" si="147"/>
        <v>2236</v>
      </c>
      <c r="O222" s="179">
        <f t="shared" si="159"/>
        <v>0.02</v>
      </c>
      <c r="P222" s="182">
        <f t="shared" si="127"/>
        <v>73.822895401661143</v>
      </c>
      <c r="R222" s="184">
        <f t="shared" ca="1" si="148"/>
        <v>2236</v>
      </c>
      <c r="S222" s="188">
        <f t="shared" si="161"/>
        <v>5.3600000000000002E-3</v>
      </c>
      <c r="U222" s="184">
        <f t="shared" ca="1" si="149"/>
        <v>2236</v>
      </c>
      <c r="V222" s="182">
        <f t="shared" si="132"/>
        <v>0.02</v>
      </c>
      <c r="W222" s="180">
        <f>Parameters!$D$15</f>
        <v>5.0000000000000001E-3</v>
      </c>
      <c r="X222" s="182">
        <f t="shared" si="133"/>
        <v>2.5000000000000001E-2</v>
      </c>
      <c r="Y222" s="182">
        <f t="shared" si="150"/>
        <v>214.05513171714512</v>
      </c>
      <c r="AA222" s="189"/>
      <c r="AB222" s="184">
        <f t="shared" ca="1" si="151"/>
        <v>2236</v>
      </c>
      <c r="AC222" s="171">
        <f t="shared" si="134"/>
        <v>0</v>
      </c>
      <c r="AD222" s="171">
        <f t="shared" si="129"/>
        <v>0</v>
      </c>
      <c r="AE222" s="171">
        <f t="shared" si="160"/>
        <v>50888.856227861928</v>
      </c>
      <c r="AF222" s="171">
        <f t="shared" si="152"/>
        <v>0</v>
      </c>
      <c r="AG222" s="171">
        <f t="shared" si="162"/>
        <v>0</v>
      </c>
      <c r="AH222" s="171">
        <f t="shared" si="135"/>
        <v>0</v>
      </c>
      <c r="AI222" s="171">
        <f t="shared" si="136"/>
        <v>0</v>
      </c>
      <c r="AJ222" s="171">
        <f>IF('Invoer gegevens'!$I$27="DAEB",SMALL(AC222:AD222,1),AC222)</f>
        <v>0</v>
      </c>
      <c r="AK222" s="171">
        <f>IF('Invoer gegevens'!$I$27="DAEB",SMALL((AE222:AH222),1),SMALL((AF222:AH222),1))</f>
        <v>0</v>
      </c>
      <c r="AL222" s="171">
        <f t="shared" si="157"/>
        <v>0</v>
      </c>
      <c r="AM222" s="171">
        <f t="shared" si="158"/>
        <v>0</v>
      </c>
      <c r="AN222" s="175">
        <f t="shared" si="153"/>
        <v>0</v>
      </c>
      <c r="AP222" s="184">
        <f t="shared" ca="1" si="154"/>
        <v>2236</v>
      </c>
      <c r="AQ222" s="185">
        <f t="shared" si="137"/>
        <v>0.02</v>
      </c>
      <c r="AR222" s="182">
        <f t="shared" si="128"/>
        <v>73.822895401661143</v>
      </c>
      <c r="AU222" s="184">
        <f t="shared" ca="1" si="155"/>
        <v>2236</v>
      </c>
      <c r="AV222" s="182">
        <f t="shared" si="138"/>
        <v>0.02</v>
      </c>
      <c r="AW222" s="179">
        <f t="shared" si="139"/>
        <v>5.0000000000000001E-3</v>
      </c>
      <c r="AX222" s="182">
        <f t="shared" si="140"/>
        <v>2.5000000000000001E-2</v>
      </c>
      <c r="AY222" s="186"/>
      <c r="AZ222" s="190"/>
      <c r="BA222" s="184">
        <f t="shared" ca="1" si="156"/>
        <v>2236</v>
      </c>
      <c r="BB222" s="171">
        <f t="shared" si="141"/>
        <v>0</v>
      </c>
      <c r="BC222" s="171">
        <f t="shared" si="130"/>
        <v>50888.856227861928</v>
      </c>
      <c r="BD222" s="171">
        <f t="shared" si="126"/>
        <v>0</v>
      </c>
      <c r="BE222" s="171">
        <f t="shared" si="126"/>
        <v>0</v>
      </c>
      <c r="BF222" s="171">
        <f t="shared" si="126"/>
        <v>0</v>
      </c>
      <c r="BG222" s="171">
        <f t="shared" si="125"/>
        <v>0</v>
      </c>
      <c r="BI222" s="187">
        <f>IF(A222-'Invoer gegevens'!$C$17&lt;0,0,IF(A222-'Invoer gegevens'!$C$17=0,1,IF(A222-'Invoer gegevens'!$C$17&lt;5,2,IF(A222-'Invoer gegevens'!$C$17&lt;15,3,4))))</f>
        <v>0</v>
      </c>
      <c r="BJ222" s="229">
        <f>IF(BI222&lt;1,0,IF(BI222&lt;2,4%,IF('Reeksen (N)'!BI222&lt;3,4%,IF('Reeksen (N)'!BI222&lt;4,4%*70%,IF('Reeksen (N)'!BI222&lt;5,4%*50%)))))</f>
        <v>0</v>
      </c>
    </row>
    <row r="223" spans="1:62" x14ac:dyDescent="0.25">
      <c r="A223" s="184">
        <f t="shared" si="142"/>
        <v>218</v>
      </c>
      <c r="B223" s="179">
        <f>Dashboard!$D$25</f>
        <v>0</v>
      </c>
      <c r="C223" s="179">
        <f>Dashboard!$D$25</f>
        <v>0</v>
      </c>
      <c r="D223" s="180">
        <f t="shared" si="131"/>
        <v>0</v>
      </c>
      <c r="E223" s="189"/>
      <c r="F223" s="184">
        <f t="shared" ca="1" si="143"/>
        <v>2237</v>
      </c>
      <c r="G223" s="179">
        <f t="shared" si="163"/>
        <v>0.02</v>
      </c>
      <c r="H223" s="182">
        <f t="shared" si="144"/>
        <v>75.372517605880404</v>
      </c>
      <c r="I223" s="179">
        <f t="shared" si="164"/>
        <v>2.5000000000000001E-2</v>
      </c>
      <c r="J223" s="182">
        <f t="shared" si="145"/>
        <v>219.19045234072235</v>
      </c>
      <c r="K223" s="179">
        <f t="shared" si="165"/>
        <v>2.5000000000000001E-2</v>
      </c>
      <c r="L223" s="182">
        <f t="shared" si="146"/>
        <v>219.19045234072235</v>
      </c>
      <c r="M223" s="189"/>
      <c r="N223" s="184">
        <f t="shared" ca="1" si="147"/>
        <v>2237</v>
      </c>
      <c r="O223" s="179">
        <f t="shared" si="159"/>
        <v>0.02</v>
      </c>
      <c r="P223" s="182">
        <f t="shared" si="127"/>
        <v>75.299353309694368</v>
      </c>
      <c r="R223" s="184">
        <f t="shared" ca="1" si="148"/>
        <v>2237</v>
      </c>
      <c r="S223" s="188">
        <f t="shared" si="161"/>
        <v>5.3600000000000002E-3</v>
      </c>
      <c r="U223" s="184">
        <f t="shared" ca="1" si="149"/>
        <v>2237</v>
      </c>
      <c r="V223" s="182">
        <f t="shared" si="132"/>
        <v>0.02</v>
      </c>
      <c r="W223" s="180">
        <f>Parameters!$D$15</f>
        <v>5.0000000000000001E-3</v>
      </c>
      <c r="X223" s="182">
        <f t="shared" si="133"/>
        <v>2.5000000000000001E-2</v>
      </c>
      <c r="Y223" s="182">
        <f t="shared" si="150"/>
        <v>219.40651001007373</v>
      </c>
      <c r="AA223" s="189"/>
      <c r="AB223" s="184">
        <f t="shared" ca="1" si="151"/>
        <v>2237</v>
      </c>
      <c r="AC223" s="171">
        <f t="shared" si="134"/>
        <v>0</v>
      </c>
      <c r="AD223" s="171">
        <f t="shared" si="129"/>
        <v>0</v>
      </c>
      <c r="AE223" s="171">
        <f t="shared" si="160"/>
        <v>51906.633352419165</v>
      </c>
      <c r="AF223" s="171">
        <f t="shared" si="152"/>
        <v>0</v>
      </c>
      <c r="AG223" s="171">
        <f t="shared" si="162"/>
        <v>0</v>
      </c>
      <c r="AH223" s="171">
        <f t="shared" si="135"/>
        <v>0</v>
      </c>
      <c r="AI223" s="171">
        <f t="shared" si="136"/>
        <v>0</v>
      </c>
      <c r="AJ223" s="171">
        <f>IF('Invoer gegevens'!$I$27="DAEB",SMALL(AC223:AD223,1),AC223)</f>
        <v>0</v>
      </c>
      <c r="AK223" s="171">
        <f>IF('Invoer gegevens'!$I$27="DAEB",SMALL((AE223:AH223),1),SMALL((AF223:AH223),1))</f>
        <v>0</v>
      </c>
      <c r="AL223" s="171">
        <f t="shared" si="157"/>
        <v>0</v>
      </c>
      <c r="AM223" s="171">
        <f t="shared" si="158"/>
        <v>0</v>
      </c>
      <c r="AN223" s="175">
        <f t="shared" si="153"/>
        <v>0</v>
      </c>
      <c r="AP223" s="184">
        <f t="shared" ca="1" si="154"/>
        <v>2237</v>
      </c>
      <c r="AQ223" s="185">
        <f t="shared" si="137"/>
        <v>0.02</v>
      </c>
      <c r="AR223" s="182">
        <f t="shared" si="128"/>
        <v>75.299353309694368</v>
      </c>
      <c r="AU223" s="184">
        <f t="shared" ca="1" si="155"/>
        <v>2237</v>
      </c>
      <c r="AV223" s="182">
        <f t="shared" si="138"/>
        <v>0.02</v>
      </c>
      <c r="AW223" s="179">
        <f t="shared" si="139"/>
        <v>5.0000000000000001E-3</v>
      </c>
      <c r="AX223" s="182">
        <f t="shared" si="140"/>
        <v>2.5000000000000001E-2</v>
      </c>
      <c r="AY223" s="186"/>
      <c r="AZ223" s="190"/>
      <c r="BA223" s="184">
        <f t="shared" ca="1" si="156"/>
        <v>2237</v>
      </c>
      <c r="BB223" s="171">
        <f t="shared" si="141"/>
        <v>0</v>
      </c>
      <c r="BC223" s="171">
        <f t="shared" si="130"/>
        <v>51906.633352419165</v>
      </c>
      <c r="BD223" s="171">
        <f t="shared" si="126"/>
        <v>0</v>
      </c>
      <c r="BE223" s="171">
        <f t="shared" si="126"/>
        <v>0</v>
      </c>
      <c r="BF223" s="171">
        <f t="shared" si="126"/>
        <v>0</v>
      </c>
      <c r="BG223" s="171">
        <f t="shared" si="125"/>
        <v>0</v>
      </c>
      <c r="BI223" s="187">
        <f>IF(A223-'Invoer gegevens'!$C$17&lt;0,0,IF(A223-'Invoer gegevens'!$C$17=0,1,IF(A223-'Invoer gegevens'!$C$17&lt;5,2,IF(A223-'Invoer gegevens'!$C$17&lt;15,3,4))))</f>
        <v>0</v>
      </c>
      <c r="BJ223" s="229">
        <f>IF(BI223&lt;1,0,IF(BI223&lt;2,4%,IF('Reeksen (N)'!BI223&lt;3,4%,IF('Reeksen (N)'!BI223&lt;4,4%*70%,IF('Reeksen (N)'!BI223&lt;5,4%*50%)))))</f>
        <v>0</v>
      </c>
    </row>
    <row r="224" spans="1:62" x14ac:dyDescent="0.25">
      <c r="A224" s="184">
        <f t="shared" si="142"/>
        <v>219</v>
      </c>
      <c r="B224" s="179">
        <f>Dashboard!$D$25</f>
        <v>0</v>
      </c>
      <c r="C224" s="179">
        <f>Dashboard!$D$25</f>
        <v>0</v>
      </c>
      <c r="D224" s="180">
        <f t="shared" si="131"/>
        <v>0</v>
      </c>
      <c r="E224" s="189"/>
      <c r="F224" s="184">
        <f t="shared" ca="1" si="143"/>
        <v>2238</v>
      </c>
      <c r="G224" s="179">
        <f t="shared" si="163"/>
        <v>0.02</v>
      </c>
      <c r="H224" s="182">
        <f t="shared" si="144"/>
        <v>76.879967957998019</v>
      </c>
      <c r="I224" s="179">
        <f t="shared" si="164"/>
        <v>2.5000000000000001E-2</v>
      </c>
      <c r="J224" s="182">
        <f t="shared" si="145"/>
        <v>224.6702136492404</v>
      </c>
      <c r="K224" s="179">
        <f t="shared" si="165"/>
        <v>2.5000000000000001E-2</v>
      </c>
      <c r="L224" s="182">
        <f t="shared" si="146"/>
        <v>224.6702136492404</v>
      </c>
      <c r="M224" s="189"/>
      <c r="N224" s="184">
        <f t="shared" ca="1" si="147"/>
        <v>2238</v>
      </c>
      <c r="O224" s="179">
        <f t="shared" si="159"/>
        <v>0.02</v>
      </c>
      <c r="P224" s="182">
        <f t="shared" si="127"/>
        <v>76.80534037588825</v>
      </c>
      <c r="R224" s="184">
        <f t="shared" ca="1" si="148"/>
        <v>2238</v>
      </c>
      <c r="S224" s="188">
        <f t="shared" si="161"/>
        <v>5.3600000000000002E-3</v>
      </c>
      <c r="U224" s="184">
        <f t="shared" ca="1" si="149"/>
        <v>2238</v>
      </c>
      <c r="V224" s="182">
        <f t="shared" si="132"/>
        <v>0.02</v>
      </c>
      <c r="W224" s="180">
        <f>Parameters!$D$15</f>
        <v>5.0000000000000001E-3</v>
      </c>
      <c r="X224" s="182">
        <f t="shared" si="133"/>
        <v>2.5000000000000001E-2</v>
      </c>
      <c r="Y224" s="182">
        <f t="shared" si="150"/>
        <v>224.89167276032555</v>
      </c>
      <c r="AA224" s="189"/>
      <c r="AB224" s="184">
        <f t="shared" ca="1" si="151"/>
        <v>2238</v>
      </c>
      <c r="AC224" s="171">
        <f t="shared" si="134"/>
        <v>0</v>
      </c>
      <c r="AD224" s="171">
        <f t="shared" si="129"/>
        <v>0</v>
      </c>
      <c r="AE224" s="171">
        <f t="shared" si="160"/>
        <v>52944.766019467548</v>
      </c>
      <c r="AF224" s="171">
        <f t="shared" si="152"/>
        <v>0</v>
      </c>
      <c r="AG224" s="171">
        <f t="shared" si="162"/>
        <v>0</v>
      </c>
      <c r="AH224" s="171">
        <f t="shared" si="135"/>
        <v>0</v>
      </c>
      <c r="AI224" s="171">
        <f t="shared" si="136"/>
        <v>0</v>
      </c>
      <c r="AJ224" s="171">
        <f>IF('Invoer gegevens'!$I$27="DAEB",SMALL(AC224:AD224,1),AC224)</f>
        <v>0</v>
      </c>
      <c r="AK224" s="171">
        <f>IF('Invoer gegevens'!$I$27="DAEB",SMALL((AE224:AH224),1),SMALL((AF224:AH224),1))</f>
        <v>0</v>
      </c>
      <c r="AL224" s="171">
        <f t="shared" si="157"/>
        <v>0</v>
      </c>
      <c r="AM224" s="171">
        <f t="shared" si="158"/>
        <v>0</v>
      </c>
      <c r="AN224" s="175">
        <f t="shared" si="153"/>
        <v>0</v>
      </c>
      <c r="AP224" s="184">
        <f t="shared" ca="1" si="154"/>
        <v>2238</v>
      </c>
      <c r="AQ224" s="185">
        <f t="shared" si="137"/>
        <v>0.02</v>
      </c>
      <c r="AR224" s="182">
        <f t="shared" si="128"/>
        <v>76.80534037588825</v>
      </c>
      <c r="AU224" s="184">
        <f t="shared" ca="1" si="155"/>
        <v>2238</v>
      </c>
      <c r="AV224" s="182">
        <f t="shared" si="138"/>
        <v>0.02</v>
      </c>
      <c r="AW224" s="179">
        <f t="shared" si="139"/>
        <v>5.0000000000000001E-3</v>
      </c>
      <c r="AX224" s="182">
        <f t="shared" si="140"/>
        <v>2.5000000000000001E-2</v>
      </c>
      <c r="AY224" s="186"/>
      <c r="AZ224" s="190"/>
      <c r="BA224" s="184">
        <f t="shared" ca="1" si="156"/>
        <v>2238</v>
      </c>
      <c r="BB224" s="171">
        <f t="shared" si="141"/>
        <v>0</v>
      </c>
      <c r="BC224" s="171">
        <f t="shared" si="130"/>
        <v>52944.766019467548</v>
      </c>
      <c r="BD224" s="171">
        <f t="shared" si="126"/>
        <v>0</v>
      </c>
      <c r="BE224" s="171">
        <f t="shared" si="126"/>
        <v>0</v>
      </c>
      <c r="BF224" s="171">
        <f t="shared" si="126"/>
        <v>0</v>
      </c>
      <c r="BG224" s="171">
        <f t="shared" si="125"/>
        <v>0</v>
      </c>
      <c r="BI224" s="187">
        <f>IF(A224-'Invoer gegevens'!$C$17&lt;0,0,IF(A224-'Invoer gegevens'!$C$17=0,1,IF(A224-'Invoer gegevens'!$C$17&lt;5,2,IF(A224-'Invoer gegevens'!$C$17&lt;15,3,4))))</f>
        <v>0</v>
      </c>
      <c r="BJ224" s="229">
        <f>IF(BI224&lt;1,0,IF(BI224&lt;2,4%,IF('Reeksen (N)'!BI224&lt;3,4%,IF('Reeksen (N)'!BI224&lt;4,4%*70%,IF('Reeksen (N)'!BI224&lt;5,4%*50%)))))</f>
        <v>0</v>
      </c>
    </row>
    <row r="225" spans="1:62" x14ac:dyDescent="0.25">
      <c r="A225" s="184">
        <f t="shared" si="142"/>
        <v>220</v>
      </c>
      <c r="B225" s="179">
        <f>Dashboard!$D$25</f>
        <v>0</v>
      </c>
      <c r="C225" s="179">
        <f>Dashboard!$D$25</f>
        <v>0</v>
      </c>
      <c r="D225" s="180">
        <f t="shared" si="131"/>
        <v>0</v>
      </c>
      <c r="E225" s="189"/>
      <c r="F225" s="184">
        <f t="shared" ca="1" si="143"/>
        <v>2239</v>
      </c>
      <c r="G225" s="179">
        <f t="shared" si="163"/>
        <v>0.02</v>
      </c>
      <c r="H225" s="182">
        <f t="shared" si="144"/>
        <v>78.417567317157975</v>
      </c>
      <c r="I225" s="179">
        <f t="shared" si="164"/>
        <v>2.5000000000000001E-2</v>
      </c>
      <c r="J225" s="182">
        <f t="shared" si="145"/>
        <v>230.28696899047139</v>
      </c>
      <c r="K225" s="179">
        <f t="shared" si="165"/>
        <v>2.5000000000000001E-2</v>
      </c>
      <c r="L225" s="182">
        <f t="shared" si="146"/>
        <v>230.28696899047139</v>
      </c>
      <c r="M225" s="189"/>
      <c r="N225" s="184">
        <f t="shared" ca="1" si="147"/>
        <v>2239</v>
      </c>
      <c r="O225" s="179">
        <f t="shared" si="159"/>
        <v>0.02</v>
      </c>
      <c r="P225" s="182">
        <f t="shared" si="127"/>
        <v>78.341447183406018</v>
      </c>
      <c r="R225" s="184">
        <f t="shared" ca="1" si="148"/>
        <v>2239</v>
      </c>
      <c r="S225" s="188">
        <f t="shared" si="161"/>
        <v>5.3600000000000002E-3</v>
      </c>
      <c r="U225" s="184">
        <f t="shared" ca="1" si="149"/>
        <v>2239</v>
      </c>
      <c r="V225" s="182">
        <f t="shared" si="132"/>
        <v>0.02</v>
      </c>
      <c r="W225" s="180">
        <f>Parameters!$D$15</f>
        <v>5.0000000000000001E-3</v>
      </c>
      <c r="X225" s="182">
        <f t="shared" si="133"/>
        <v>2.5000000000000001E-2</v>
      </c>
      <c r="Y225" s="182">
        <f t="shared" si="150"/>
        <v>230.51396457933367</v>
      </c>
      <c r="AA225" s="189"/>
      <c r="AB225" s="184">
        <f t="shared" ca="1" si="151"/>
        <v>2239</v>
      </c>
      <c r="AC225" s="171">
        <f t="shared" si="134"/>
        <v>0</v>
      </c>
      <c r="AD225" s="171">
        <f t="shared" si="129"/>
        <v>0</v>
      </c>
      <c r="AE225" s="171">
        <f t="shared" si="160"/>
        <v>54003.661339856902</v>
      </c>
      <c r="AF225" s="171">
        <f t="shared" si="152"/>
        <v>0</v>
      </c>
      <c r="AG225" s="171">
        <f t="shared" si="162"/>
        <v>0</v>
      </c>
      <c r="AH225" s="171">
        <f t="shared" si="135"/>
        <v>0</v>
      </c>
      <c r="AI225" s="171">
        <f t="shared" si="136"/>
        <v>0</v>
      </c>
      <c r="AJ225" s="171">
        <f>IF('Invoer gegevens'!$I$27="DAEB",SMALL(AC225:AD225,1),AC225)</f>
        <v>0</v>
      </c>
      <c r="AK225" s="171">
        <f>IF('Invoer gegevens'!$I$27="DAEB",SMALL((AE225:AH225),1),SMALL((AF225:AH225),1))</f>
        <v>0</v>
      </c>
      <c r="AL225" s="171">
        <f t="shared" si="157"/>
        <v>0</v>
      </c>
      <c r="AM225" s="171">
        <f t="shared" si="158"/>
        <v>0</v>
      </c>
      <c r="AN225" s="175">
        <f t="shared" si="153"/>
        <v>0</v>
      </c>
      <c r="AP225" s="184">
        <f t="shared" ca="1" si="154"/>
        <v>2239</v>
      </c>
      <c r="AQ225" s="185">
        <f t="shared" si="137"/>
        <v>0.02</v>
      </c>
      <c r="AR225" s="182">
        <f t="shared" si="128"/>
        <v>78.341447183406018</v>
      </c>
      <c r="AU225" s="184">
        <f t="shared" ca="1" si="155"/>
        <v>2239</v>
      </c>
      <c r="AV225" s="182">
        <f t="shared" si="138"/>
        <v>0.02</v>
      </c>
      <c r="AW225" s="179">
        <f t="shared" si="139"/>
        <v>5.0000000000000001E-3</v>
      </c>
      <c r="AX225" s="182">
        <f t="shared" si="140"/>
        <v>2.5000000000000001E-2</v>
      </c>
      <c r="AY225" s="186"/>
      <c r="AZ225" s="190"/>
      <c r="BA225" s="184">
        <f t="shared" ca="1" si="156"/>
        <v>2239</v>
      </c>
      <c r="BB225" s="171">
        <f t="shared" si="141"/>
        <v>0</v>
      </c>
      <c r="BC225" s="171">
        <f t="shared" si="130"/>
        <v>54003.661339856902</v>
      </c>
      <c r="BD225" s="171">
        <f t="shared" si="126"/>
        <v>0</v>
      </c>
      <c r="BE225" s="171">
        <f t="shared" si="126"/>
        <v>0</v>
      </c>
      <c r="BF225" s="171">
        <f t="shared" si="126"/>
        <v>0</v>
      </c>
      <c r="BG225" s="171">
        <f t="shared" si="126"/>
        <v>0</v>
      </c>
      <c r="BI225" s="187">
        <f>IF(A225-'Invoer gegevens'!$C$17&lt;0,0,IF(A225-'Invoer gegevens'!$C$17=0,1,IF(A225-'Invoer gegevens'!$C$17&lt;5,2,IF(A225-'Invoer gegevens'!$C$17&lt;15,3,4))))</f>
        <v>0</v>
      </c>
      <c r="BJ225" s="229">
        <f>IF(BI225&lt;1,0,IF(BI225&lt;2,4%,IF('Reeksen (N)'!BI225&lt;3,4%,IF('Reeksen (N)'!BI225&lt;4,4%*70%,IF('Reeksen (N)'!BI225&lt;5,4%*50%)))))</f>
        <v>0</v>
      </c>
    </row>
    <row r="226" spans="1:62" x14ac:dyDescent="0.25">
      <c r="A226" s="184">
        <f t="shared" si="142"/>
        <v>221</v>
      </c>
      <c r="B226" s="179">
        <f>Dashboard!$D$25</f>
        <v>0</v>
      </c>
      <c r="C226" s="179">
        <f>Dashboard!$D$25</f>
        <v>0</v>
      </c>
      <c r="D226" s="180">
        <f t="shared" si="131"/>
        <v>0</v>
      </c>
      <c r="E226" s="189"/>
      <c r="F226" s="184">
        <f t="shared" ca="1" si="143"/>
        <v>2240</v>
      </c>
      <c r="G226" s="179">
        <f t="shared" si="163"/>
        <v>0.02</v>
      </c>
      <c r="H226" s="182">
        <f t="shared" si="144"/>
        <v>79.985918663501138</v>
      </c>
      <c r="I226" s="179">
        <f t="shared" si="164"/>
        <v>2.5000000000000001E-2</v>
      </c>
      <c r="J226" s="182">
        <f t="shared" si="145"/>
        <v>236.04414321523316</v>
      </c>
      <c r="K226" s="179">
        <f t="shared" si="165"/>
        <v>2.5000000000000001E-2</v>
      </c>
      <c r="L226" s="182">
        <f t="shared" si="146"/>
        <v>236.04414321523316</v>
      </c>
      <c r="M226" s="189"/>
      <c r="N226" s="184">
        <f t="shared" ca="1" si="147"/>
        <v>2240</v>
      </c>
      <c r="O226" s="179">
        <f t="shared" si="159"/>
        <v>0.02</v>
      </c>
      <c r="P226" s="182">
        <f t="shared" si="127"/>
        <v>79.908276127074146</v>
      </c>
      <c r="R226" s="184">
        <f t="shared" ca="1" si="148"/>
        <v>2240</v>
      </c>
      <c r="S226" s="188">
        <f t="shared" si="161"/>
        <v>5.3600000000000002E-3</v>
      </c>
      <c r="U226" s="184">
        <f t="shared" ca="1" si="149"/>
        <v>2240</v>
      </c>
      <c r="V226" s="182">
        <f t="shared" si="132"/>
        <v>0.02</v>
      </c>
      <c r="W226" s="180">
        <f>Parameters!$D$15</f>
        <v>5.0000000000000001E-3</v>
      </c>
      <c r="X226" s="182">
        <f t="shared" si="133"/>
        <v>2.5000000000000001E-2</v>
      </c>
      <c r="Y226" s="182">
        <f t="shared" si="150"/>
        <v>236.27681369381699</v>
      </c>
      <c r="AA226" s="189"/>
      <c r="AB226" s="184">
        <f t="shared" ca="1" si="151"/>
        <v>2240</v>
      </c>
      <c r="AC226" s="171">
        <f t="shared" si="134"/>
        <v>0</v>
      </c>
      <c r="AD226" s="171">
        <f t="shared" si="129"/>
        <v>0</v>
      </c>
      <c r="AE226" s="171">
        <f t="shared" si="160"/>
        <v>55083.734566654042</v>
      </c>
      <c r="AF226" s="171">
        <f t="shared" si="152"/>
        <v>0</v>
      </c>
      <c r="AG226" s="171">
        <f t="shared" si="162"/>
        <v>0</v>
      </c>
      <c r="AH226" s="171">
        <f t="shared" si="135"/>
        <v>0</v>
      </c>
      <c r="AI226" s="171">
        <f t="shared" si="136"/>
        <v>0</v>
      </c>
      <c r="AJ226" s="171">
        <f>IF('Invoer gegevens'!$I$27="DAEB",SMALL(AC226:AD226,1),AC226)</f>
        <v>0</v>
      </c>
      <c r="AK226" s="171">
        <f>IF('Invoer gegevens'!$I$27="DAEB",SMALL((AE226:AH226),1),SMALL((AF226:AH226),1))</f>
        <v>0</v>
      </c>
      <c r="AL226" s="171">
        <f t="shared" si="157"/>
        <v>0</v>
      </c>
      <c r="AM226" s="171">
        <f t="shared" si="158"/>
        <v>0</v>
      </c>
      <c r="AN226" s="175">
        <f t="shared" si="153"/>
        <v>0</v>
      </c>
      <c r="AP226" s="184">
        <f t="shared" ca="1" si="154"/>
        <v>2240</v>
      </c>
      <c r="AQ226" s="185">
        <f t="shared" si="137"/>
        <v>0.02</v>
      </c>
      <c r="AR226" s="182">
        <f t="shared" si="128"/>
        <v>79.908276127074146</v>
      </c>
      <c r="AU226" s="184">
        <f t="shared" ca="1" si="155"/>
        <v>2240</v>
      </c>
      <c r="AV226" s="182">
        <f t="shared" si="138"/>
        <v>0.02</v>
      </c>
      <c r="AW226" s="179">
        <f t="shared" si="139"/>
        <v>5.0000000000000001E-3</v>
      </c>
      <c r="AX226" s="182">
        <f t="shared" si="140"/>
        <v>2.5000000000000001E-2</v>
      </c>
      <c r="AY226" s="186"/>
      <c r="AZ226" s="190"/>
      <c r="BA226" s="184">
        <f t="shared" ca="1" si="156"/>
        <v>2240</v>
      </c>
      <c r="BB226" s="171">
        <f t="shared" si="141"/>
        <v>0</v>
      </c>
      <c r="BC226" s="171">
        <f t="shared" si="130"/>
        <v>55083.734566654042</v>
      </c>
      <c r="BD226" s="171">
        <f t="shared" ref="BD226:BG234" si="166">AH226</f>
        <v>0</v>
      </c>
      <c r="BE226" s="171">
        <f t="shared" si="166"/>
        <v>0</v>
      </c>
      <c r="BF226" s="171">
        <f t="shared" si="166"/>
        <v>0</v>
      </c>
      <c r="BG226" s="171">
        <f t="shared" si="166"/>
        <v>0</v>
      </c>
      <c r="BI226" s="187">
        <f>IF(A226-'Invoer gegevens'!$C$17&lt;0,0,IF(A226-'Invoer gegevens'!$C$17=0,1,IF(A226-'Invoer gegevens'!$C$17&lt;5,2,IF(A226-'Invoer gegevens'!$C$17&lt;15,3,4))))</f>
        <v>0</v>
      </c>
      <c r="BJ226" s="229">
        <f>IF(BI226&lt;1,0,IF(BI226&lt;2,4%,IF('Reeksen (N)'!BI226&lt;3,4%,IF('Reeksen (N)'!BI226&lt;4,4%*70%,IF('Reeksen (N)'!BI226&lt;5,4%*50%)))))</f>
        <v>0</v>
      </c>
    </row>
    <row r="227" spans="1:62" x14ac:dyDescent="0.25">
      <c r="A227" s="184">
        <f t="shared" si="142"/>
        <v>222</v>
      </c>
      <c r="B227" s="179">
        <f>Dashboard!$D$25</f>
        <v>0</v>
      </c>
      <c r="C227" s="179">
        <f>Dashboard!$D$25</f>
        <v>0</v>
      </c>
      <c r="D227" s="180">
        <f t="shared" si="131"/>
        <v>0</v>
      </c>
      <c r="E227" s="189"/>
      <c r="F227" s="184">
        <f t="shared" ca="1" si="143"/>
        <v>2241</v>
      </c>
      <c r="G227" s="179">
        <f t="shared" si="163"/>
        <v>0.02</v>
      </c>
      <c r="H227" s="182">
        <f t="shared" si="144"/>
        <v>81.585637036771161</v>
      </c>
      <c r="I227" s="179">
        <f t="shared" si="164"/>
        <v>2.5000000000000001E-2</v>
      </c>
      <c r="J227" s="182">
        <f t="shared" si="145"/>
        <v>241.94524679561397</v>
      </c>
      <c r="K227" s="179">
        <f t="shared" si="165"/>
        <v>2.5000000000000001E-2</v>
      </c>
      <c r="L227" s="182">
        <f t="shared" si="146"/>
        <v>241.94524679561397</v>
      </c>
      <c r="M227" s="189"/>
      <c r="N227" s="184">
        <f t="shared" ca="1" si="147"/>
        <v>2241</v>
      </c>
      <c r="O227" s="179">
        <f t="shared" si="159"/>
        <v>0.02</v>
      </c>
      <c r="P227" s="182">
        <f t="shared" si="127"/>
        <v>81.506441649615624</v>
      </c>
      <c r="R227" s="184">
        <f t="shared" ca="1" si="148"/>
        <v>2241</v>
      </c>
      <c r="S227" s="188">
        <f t="shared" si="161"/>
        <v>5.3600000000000002E-3</v>
      </c>
      <c r="U227" s="184">
        <f t="shared" ca="1" si="149"/>
        <v>2241</v>
      </c>
      <c r="V227" s="182">
        <f t="shared" si="132"/>
        <v>0.02</v>
      </c>
      <c r="W227" s="180">
        <f>Parameters!$D$15</f>
        <v>5.0000000000000001E-3</v>
      </c>
      <c r="X227" s="182">
        <f t="shared" si="133"/>
        <v>2.5000000000000001E-2</v>
      </c>
      <c r="Y227" s="182">
        <f t="shared" si="150"/>
        <v>242.18373403616241</v>
      </c>
      <c r="AA227" s="189"/>
      <c r="AB227" s="184">
        <f t="shared" ca="1" si="151"/>
        <v>2241</v>
      </c>
      <c r="AC227" s="171">
        <f t="shared" si="134"/>
        <v>0</v>
      </c>
      <c r="AD227" s="171">
        <f t="shared" si="129"/>
        <v>0</v>
      </c>
      <c r="AE227" s="171">
        <f t="shared" si="160"/>
        <v>56185.409257987121</v>
      </c>
      <c r="AF227" s="171">
        <f t="shared" si="152"/>
        <v>0</v>
      </c>
      <c r="AG227" s="171">
        <f t="shared" si="162"/>
        <v>0</v>
      </c>
      <c r="AH227" s="171">
        <f t="shared" si="135"/>
        <v>0</v>
      </c>
      <c r="AI227" s="171">
        <f t="shared" si="136"/>
        <v>0</v>
      </c>
      <c r="AJ227" s="171">
        <f>IF('Invoer gegevens'!$I$27="DAEB",SMALL(AC227:AD227,1),AC227)</f>
        <v>0</v>
      </c>
      <c r="AK227" s="171">
        <f>IF('Invoer gegevens'!$I$27="DAEB",SMALL((AE227:AH227),1),SMALL((AF227:AH227),1))</f>
        <v>0</v>
      </c>
      <c r="AL227" s="171">
        <f t="shared" si="157"/>
        <v>0</v>
      </c>
      <c r="AM227" s="171">
        <f t="shared" si="158"/>
        <v>0</v>
      </c>
      <c r="AN227" s="175">
        <f t="shared" si="153"/>
        <v>0</v>
      </c>
      <c r="AP227" s="184">
        <f t="shared" ca="1" si="154"/>
        <v>2241</v>
      </c>
      <c r="AQ227" s="185">
        <f t="shared" si="137"/>
        <v>0.02</v>
      </c>
      <c r="AR227" s="182">
        <f t="shared" si="128"/>
        <v>81.506441649615624</v>
      </c>
      <c r="AU227" s="184">
        <f t="shared" ca="1" si="155"/>
        <v>2241</v>
      </c>
      <c r="AV227" s="182">
        <f t="shared" si="138"/>
        <v>0.02</v>
      </c>
      <c r="AW227" s="179">
        <f t="shared" si="139"/>
        <v>5.0000000000000001E-3</v>
      </c>
      <c r="AX227" s="182">
        <f t="shared" si="140"/>
        <v>2.5000000000000001E-2</v>
      </c>
      <c r="AY227" s="186"/>
      <c r="AZ227" s="190"/>
      <c r="BA227" s="184">
        <f t="shared" ca="1" si="156"/>
        <v>2241</v>
      </c>
      <c r="BB227" s="171">
        <f t="shared" si="141"/>
        <v>0</v>
      </c>
      <c r="BC227" s="171">
        <f t="shared" si="130"/>
        <v>56185.409257987121</v>
      </c>
      <c r="BD227" s="171">
        <f t="shared" si="166"/>
        <v>0</v>
      </c>
      <c r="BE227" s="171">
        <f t="shared" si="166"/>
        <v>0</v>
      </c>
      <c r="BF227" s="171">
        <f t="shared" si="166"/>
        <v>0</v>
      </c>
      <c r="BG227" s="171">
        <f t="shared" si="166"/>
        <v>0</v>
      </c>
      <c r="BI227" s="187">
        <f>IF(A227-'Invoer gegevens'!$C$17&lt;0,0,IF(A227-'Invoer gegevens'!$C$17=0,1,IF(A227-'Invoer gegevens'!$C$17&lt;5,2,IF(A227-'Invoer gegevens'!$C$17&lt;15,3,4))))</f>
        <v>0</v>
      </c>
      <c r="BJ227" s="229">
        <f>IF(BI227&lt;1,0,IF(BI227&lt;2,4%,IF('Reeksen (N)'!BI227&lt;3,4%,IF('Reeksen (N)'!BI227&lt;4,4%*70%,IF('Reeksen (N)'!BI227&lt;5,4%*50%)))))</f>
        <v>0</v>
      </c>
    </row>
    <row r="228" spans="1:62" x14ac:dyDescent="0.25">
      <c r="A228" s="184">
        <f t="shared" si="142"/>
        <v>223</v>
      </c>
      <c r="B228" s="179">
        <f>Dashboard!$D$25</f>
        <v>0</v>
      </c>
      <c r="C228" s="179">
        <f>Dashboard!$D$25</f>
        <v>0</v>
      </c>
      <c r="D228" s="180">
        <f t="shared" si="131"/>
        <v>0</v>
      </c>
      <c r="E228" s="189"/>
      <c r="F228" s="184">
        <f t="shared" ca="1" si="143"/>
        <v>2242</v>
      </c>
      <c r="G228" s="179">
        <f t="shared" si="163"/>
        <v>0.02</v>
      </c>
      <c r="H228" s="182">
        <f t="shared" si="144"/>
        <v>83.217349777506584</v>
      </c>
      <c r="I228" s="179">
        <f t="shared" si="164"/>
        <v>2.5000000000000001E-2</v>
      </c>
      <c r="J228" s="182">
        <f t="shared" si="145"/>
        <v>247.99387796550428</v>
      </c>
      <c r="K228" s="179">
        <f t="shared" si="165"/>
        <v>2.5000000000000001E-2</v>
      </c>
      <c r="L228" s="182">
        <f t="shared" si="146"/>
        <v>247.99387796550428</v>
      </c>
      <c r="M228" s="189"/>
      <c r="N228" s="184">
        <f t="shared" ca="1" si="147"/>
        <v>2242</v>
      </c>
      <c r="O228" s="179">
        <f t="shared" si="159"/>
        <v>0.02</v>
      </c>
      <c r="P228" s="182">
        <f t="shared" si="127"/>
        <v>83.136570482607937</v>
      </c>
      <c r="R228" s="184">
        <f t="shared" ca="1" si="148"/>
        <v>2242</v>
      </c>
      <c r="S228" s="188">
        <f t="shared" si="161"/>
        <v>5.3600000000000002E-3</v>
      </c>
      <c r="U228" s="184">
        <f t="shared" ca="1" si="149"/>
        <v>2242</v>
      </c>
      <c r="V228" s="182">
        <f t="shared" si="132"/>
        <v>0.02</v>
      </c>
      <c r="W228" s="180">
        <f>Parameters!$D$15</f>
        <v>5.0000000000000001E-3</v>
      </c>
      <c r="X228" s="182">
        <f t="shared" si="133"/>
        <v>2.5000000000000001E-2</v>
      </c>
      <c r="Y228" s="182">
        <f t="shared" si="150"/>
        <v>248.23832738706645</v>
      </c>
      <c r="AA228" s="189"/>
      <c r="AB228" s="184">
        <f t="shared" ca="1" si="151"/>
        <v>2242</v>
      </c>
      <c r="AC228" s="171">
        <f t="shared" si="134"/>
        <v>0</v>
      </c>
      <c r="AD228" s="171">
        <f t="shared" si="129"/>
        <v>0</v>
      </c>
      <c r="AE228" s="171">
        <f t="shared" si="160"/>
        <v>57309.117443146868</v>
      </c>
      <c r="AF228" s="171">
        <f t="shared" si="152"/>
        <v>0</v>
      </c>
      <c r="AG228" s="171">
        <f t="shared" si="162"/>
        <v>0</v>
      </c>
      <c r="AH228" s="171">
        <f t="shared" si="135"/>
        <v>0</v>
      </c>
      <c r="AI228" s="171">
        <f t="shared" si="136"/>
        <v>0</v>
      </c>
      <c r="AJ228" s="171">
        <f>IF('Invoer gegevens'!$I$27="DAEB",SMALL(AC228:AD228,1),AC228)</f>
        <v>0</v>
      </c>
      <c r="AK228" s="171">
        <f>IF('Invoer gegevens'!$I$27="DAEB",SMALL((AE228:AH228),1),SMALL((AF228:AH228),1))</f>
        <v>0</v>
      </c>
      <c r="AL228" s="171">
        <f t="shared" si="157"/>
        <v>0</v>
      </c>
      <c r="AM228" s="171">
        <f t="shared" si="158"/>
        <v>0</v>
      </c>
      <c r="AN228" s="175">
        <f t="shared" si="153"/>
        <v>0</v>
      </c>
      <c r="AP228" s="184">
        <f t="shared" ca="1" si="154"/>
        <v>2242</v>
      </c>
      <c r="AQ228" s="185">
        <f t="shared" si="137"/>
        <v>0.02</v>
      </c>
      <c r="AR228" s="182">
        <f t="shared" si="128"/>
        <v>83.136570482607937</v>
      </c>
      <c r="AU228" s="184">
        <f t="shared" ca="1" si="155"/>
        <v>2242</v>
      </c>
      <c r="AV228" s="182">
        <f t="shared" si="138"/>
        <v>0.02</v>
      </c>
      <c r="AW228" s="179">
        <f t="shared" si="139"/>
        <v>5.0000000000000001E-3</v>
      </c>
      <c r="AX228" s="182">
        <f t="shared" si="140"/>
        <v>2.5000000000000001E-2</v>
      </c>
      <c r="AY228" s="186"/>
      <c r="AZ228" s="190"/>
      <c r="BA228" s="184">
        <f t="shared" ca="1" si="156"/>
        <v>2242</v>
      </c>
      <c r="BB228" s="171">
        <f t="shared" si="141"/>
        <v>0</v>
      </c>
      <c r="BC228" s="171">
        <f t="shared" si="130"/>
        <v>57309.117443146868</v>
      </c>
      <c r="BD228" s="171">
        <f t="shared" si="166"/>
        <v>0</v>
      </c>
      <c r="BE228" s="171">
        <f t="shared" si="166"/>
        <v>0</v>
      </c>
      <c r="BF228" s="171">
        <f t="shared" si="166"/>
        <v>0</v>
      </c>
      <c r="BG228" s="171">
        <f t="shared" si="166"/>
        <v>0</v>
      </c>
      <c r="BI228" s="187">
        <f>IF(A228-'Invoer gegevens'!$C$17&lt;0,0,IF(A228-'Invoer gegevens'!$C$17=0,1,IF(A228-'Invoer gegevens'!$C$17&lt;5,2,IF(A228-'Invoer gegevens'!$C$17&lt;15,3,4))))</f>
        <v>0</v>
      </c>
      <c r="BJ228" s="229">
        <f>IF(BI228&lt;1,0,IF(BI228&lt;2,4%,IF('Reeksen (N)'!BI228&lt;3,4%,IF('Reeksen (N)'!BI228&lt;4,4%*70%,IF('Reeksen (N)'!BI228&lt;5,4%*50%)))))</f>
        <v>0</v>
      </c>
    </row>
    <row r="229" spans="1:62" x14ac:dyDescent="0.25">
      <c r="A229" s="184">
        <f t="shared" si="142"/>
        <v>224</v>
      </c>
      <c r="B229" s="179">
        <f>Dashboard!$D$25</f>
        <v>0</v>
      </c>
      <c r="C229" s="179">
        <f>Dashboard!$D$25</f>
        <v>0</v>
      </c>
      <c r="D229" s="180">
        <f t="shared" si="131"/>
        <v>0</v>
      </c>
      <c r="E229" s="189"/>
      <c r="F229" s="184">
        <f t="shared" ca="1" si="143"/>
        <v>2243</v>
      </c>
      <c r="G229" s="179">
        <f t="shared" si="163"/>
        <v>0.02</v>
      </c>
      <c r="H229" s="182">
        <f t="shared" si="144"/>
        <v>84.881696773056717</v>
      </c>
      <c r="I229" s="179">
        <f t="shared" si="164"/>
        <v>2.5000000000000001E-2</v>
      </c>
      <c r="J229" s="182">
        <f t="shared" si="145"/>
        <v>254.19372491464188</v>
      </c>
      <c r="K229" s="179">
        <f t="shared" si="165"/>
        <v>2.5000000000000001E-2</v>
      </c>
      <c r="L229" s="182">
        <f t="shared" si="146"/>
        <v>254.19372491464188</v>
      </c>
      <c r="M229" s="189"/>
      <c r="N229" s="184">
        <f t="shared" ca="1" si="147"/>
        <v>2243</v>
      </c>
      <c r="O229" s="179">
        <f t="shared" si="159"/>
        <v>0.02</v>
      </c>
      <c r="P229" s="182">
        <f t="shared" si="127"/>
        <v>84.799301892260104</v>
      </c>
      <c r="R229" s="184">
        <f t="shared" ca="1" si="148"/>
        <v>2243</v>
      </c>
      <c r="S229" s="188">
        <f t="shared" si="161"/>
        <v>5.3600000000000002E-3</v>
      </c>
      <c r="U229" s="184">
        <f t="shared" ca="1" si="149"/>
        <v>2243</v>
      </c>
      <c r="V229" s="182">
        <f t="shared" si="132"/>
        <v>0.02</v>
      </c>
      <c r="W229" s="180">
        <f>Parameters!$D$15</f>
        <v>5.0000000000000001E-3</v>
      </c>
      <c r="X229" s="182">
        <f t="shared" si="133"/>
        <v>2.5000000000000001E-2</v>
      </c>
      <c r="Y229" s="182">
        <f t="shared" si="150"/>
        <v>254.44428557174308</v>
      </c>
      <c r="AA229" s="189"/>
      <c r="AB229" s="184">
        <f t="shared" ca="1" si="151"/>
        <v>2243</v>
      </c>
      <c r="AC229" s="171">
        <f t="shared" si="134"/>
        <v>0</v>
      </c>
      <c r="AD229" s="171">
        <f t="shared" si="129"/>
        <v>0</v>
      </c>
      <c r="AE229" s="171">
        <f t="shared" si="160"/>
        <v>58455.299792009806</v>
      </c>
      <c r="AF229" s="171">
        <f t="shared" si="152"/>
        <v>0</v>
      </c>
      <c r="AG229" s="171">
        <f t="shared" si="162"/>
        <v>0</v>
      </c>
      <c r="AH229" s="171">
        <f t="shared" si="135"/>
        <v>0</v>
      </c>
      <c r="AI229" s="171">
        <f t="shared" si="136"/>
        <v>0</v>
      </c>
      <c r="AJ229" s="171">
        <f>IF('Invoer gegevens'!$I$27="DAEB",SMALL(AC229:AD229,1),AC229)</f>
        <v>0</v>
      </c>
      <c r="AK229" s="171">
        <f>IF('Invoer gegevens'!$I$27="DAEB",SMALL((AE229:AH229),1),SMALL((AF229:AH229),1))</f>
        <v>0</v>
      </c>
      <c r="AL229" s="171">
        <f t="shared" si="157"/>
        <v>0</v>
      </c>
      <c r="AM229" s="171">
        <f t="shared" si="158"/>
        <v>0</v>
      </c>
      <c r="AN229" s="175">
        <f t="shared" si="153"/>
        <v>0</v>
      </c>
      <c r="AP229" s="184">
        <f t="shared" ca="1" si="154"/>
        <v>2243</v>
      </c>
      <c r="AQ229" s="185">
        <f t="shared" si="137"/>
        <v>0.02</v>
      </c>
      <c r="AR229" s="182">
        <f t="shared" si="128"/>
        <v>84.799301892260104</v>
      </c>
      <c r="AU229" s="184">
        <f t="shared" ca="1" si="155"/>
        <v>2243</v>
      </c>
      <c r="AV229" s="182">
        <f t="shared" si="138"/>
        <v>0.02</v>
      </c>
      <c r="AW229" s="179">
        <f t="shared" si="139"/>
        <v>5.0000000000000001E-3</v>
      </c>
      <c r="AX229" s="182">
        <f t="shared" si="140"/>
        <v>2.5000000000000001E-2</v>
      </c>
      <c r="AY229" s="186"/>
      <c r="AZ229" s="190"/>
      <c r="BA229" s="184">
        <f t="shared" ca="1" si="156"/>
        <v>2243</v>
      </c>
      <c r="BB229" s="171">
        <f t="shared" si="141"/>
        <v>0</v>
      </c>
      <c r="BC229" s="171">
        <f t="shared" si="130"/>
        <v>58455.299792009806</v>
      </c>
      <c r="BD229" s="171">
        <f t="shared" si="166"/>
        <v>0</v>
      </c>
      <c r="BE229" s="171">
        <f t="shared" si="166"/>
        <v>0</v>
      </c>
      <c r="BF229" s="171">
        <f t="shared" si="166"/>
        <v>0</v>
      </c>
      <c r="BG229" s="171">
        <f t="shared" si="166"/>
        <v>0</v>
      </c>
      <c r="BI229" s="187">
        <f>IF(A229-'Invoer gegevens'!$C$17&lt;0,0,IF(A229-'Invoer gegevens'!$C$17=0,1,IF(A229-'Invoer gegevens'!$C$17&lt;5,2,IF(A229-'Invoer gegevens'!$C$17&lt;15,3,4))))</f>
        <v>0</v>
      </c>
      <c r="BJ229" s="229">
        <f>IF(BI229&lt;1,0,IF(BI229&lt;2,4%,IF('Reeksen (N)'!BI229&lt;3,4%,IF('Reeksen (N)'!BI229&lt;4,4%*70%,IF('Reeksen (N)'!BI229&lt;5,4%*50%)))))</f>
        <v>0</v>
      </c>
    </row>
    <row r="230" spans="1:62" x14ac:dyDescent="0.25">
      <c r="A230" s="184">
        <f t="shared" si="142"/>
        <v>225</v>
      </c>
      <c r="B230" s="179">
        <f>Dashboard!$D$25</f>
        <v>0</v>
      </c>
      <c r="C230" s="179">
        <f>Dashboard!$D$25</f>
        <v>0</v>
      </c>
      <c r="D230" s="180">
        <f t="shared" si="131"/>
        <v>0</v>
      </c>
      <c r="E230" s="189"/>
      <c r="F230" s="184">
        <f t="shared" ca="1" si="143"/>
        <v>2244</v>
      </c>
      <c r="G230" s="179">
        <f t="shared" si="163"/>
        <v>0.02</v>
      </c>
      <c r="H230" s="182">
        <f t="shared" si="144"/>
        <v>86.579330708517858</v>
      </c>
      <c r="I230" s="179">
        <f t="shared" si="164"/>
        <v>2.5000000000000001E-2</v>
      </c>
      <c r="J230" s="182">
        <f t="shared" si="145"/>
        <v>260.54856803750789</v>
      </c>
      <c r="K230" s="179">
        <f t="shared" si="165"/>
        <v>2.5000000000000001E-2</v>
      </c>
      <c r="L230" s="182">
        <f t="shared" si="146"/>
        <v>260.54856803750789</v>
      </c>
      <c r="M230" s="189"/>
      <c r="N230" s="184">
        <f t="shared" ca="1" si="147"/>
        <v>2244</v>
      </c>
      <c r="O230" s="179">
        <f t="shared" si="159"/>
        <v>0.02</v>
      </c>
      <c r="P230" s="182">
        <f t="shared" si="127"/>
        <v>86.495287930105306</v>
      </c>
      <c r="R230" s="184">
        <f t="shared" ca="1" si="148"/>
        <v>2244</v>
      </c>
      <c r="S230" s="188">
        <f t="shared" si="161"/>
        <v>5.3600000000000002E-3</v>
      </c>
      <c r="U230" s="184">
        <f t="shared" ca="1" si="149"/>
        <v>2244</v>
      </c>
      <c r="V230" s="182">
        <f t="shared" si="132"/>
        <v>0.02</v>
      </c>
      <c r="W230" s="180">
        <f>Parameters!$D$15</f>
        <v>5.0000000000000001E-3</v>
      </c>
      <c r="X230" s="182">
        <f t="shared" si="133"/>
        <v>2.5000000000000001E-2</v>
      </c>
      <c r="Y230" s="182">
        <f t="shared" si="150"/>
        <v>260.80539271103663</v>
      </c>
      <c r="AA230" s="189"/>
      <c r="AB230" s="184">
        <f t="shared" ca="1" si="151"/>
        <v>2244</v>
      </c>
      <c r="AC230" s="171">
        <f t="shared" si="134"/>
        <v>0</v>
      </c>
      <c r="AD230" s="171">
        <f t="shared" si="129"/>
        <v>0</v>
      </c>
      <c r="AE230" s="171">
        <f t="shared" si="160"/>
        <v>59624.405787850003</v>
      </c>
      <c r="AF230" s="171">
        <f t="shared" si="152"/>
        <v>0</v>
      </c>
      <c r="AG230" s="171">
        <f t="shared" si="162"/>
        <v>0</v>
      </c>
      <c r="AH230" s="171">
        <f t="shared" si="135"/>
        <v>0</v>
      </c>
      <c r="AI230" s="171">
        <f t="shared" si="136"/>
        <v>0</v>
      </c>
      <c r="AJ230" s="171">
        <f>IF('Invoer gegevens'!$I$27="DAEB",SMALL(AC230:AD230,1),AC230)</f>
        <v>0</v>
      </c>
      <c r="AK230" s="171">
        <f>IF('Invoer gegevens'!$I$27="DAEB",SMALL((AE230:AH230),1),SMALL((AF230:AH230),1))</f>
        <v>0</v>
      </c>
      <c r="AL230" s="171">
        <f t="shared" si="157"/>
        <v>0</v>
      </c>
      <c r="AM230" s="171">
        <f t="shared" si="158"/>
        <v>0</v>
      </c>
      <c r="AN230" s="175">
        <f t="shared" si="153"/>
        <v>0</v>
      </c>
      <c r="AP230" s="184">
        <f t="shared" ca="1" si="154"/>
        <v>2244</v>
      </c>
      <c r="AQ230" s="185">
        <f t="shared" si="137"/>
        <v>0.02</v>
      </c>
      <c r="AR230" s="182">
        <f t="shared" si="128"/>
        <v>86.495287930105306</v>
      </c>
      <c r="AU230" s="184">
        <f t="shared" ca="1" si="155"/>
        <v>2244</v>
      </c>
      <c r="AV230" s="182">
        <f t="shared" si="138"/>
        <v>0.02</v>
      </c>
      <c r="AW230" s="179">
        <f t="shared" si="139"/>
        <v>5.0000000000000001E-3</v>
      </c>
      <c r="AX230" s="182">
        <f t="shared" si="140"/>
        <v>2.5000000000000001E-2</v>
      </c>
      <c r="AY230" s="186"/>
      <c r="AZ230" s="190"/>
      <c r="BA230" s="184">
        <f t="shared" ca="1" si="156"/>
        <v>2244</v>
      </c>
      <c r="BB230" s="171">
        <f t="shared" si="141"/>
        <v>0</v>
      </c>
      <c r="BC230" s="171">
        <f t="shared" si="130"/>
        <v>59624.405787850003</v>
      </c>
      <c r="BD230" s="171">
        <f t="shared" si="166"/>
        <v>0</v>
      </c>
      <c r="BE230" s="171">
        <f t="shared" si="166"/>
        <v>0</v>
      </c>
      <c r="BF230" s="171">
        <f t="shared" si="166"/>
        <v>0</v>
      </c>
      <c r="BG230" s="171">
        <f t="shared" si="166"/>
        <v>0</v>
      </c>
      <c r="BI230" s="187">
        <f>IF(A230-'Invoer gegevens'!$C$17&lt;0,0,IF(A230-'Invoer gegevens'!$C$17=0,1,IF(A230-'Invoer gegevens'!$C$17&lt;5,2,IF(A230-'Invoer gegevens'!$C$17&lt;15,3,4))))</f>
        <v>0</v>
      </c>
      <c r="BJ230" s="229">
        <f>IF(BI230&lt;1,0,IF(BI230&lt;2,4%,IF('Reeksen (N)'!BI230&lt;3,4%,IF('Reeksen (N)'!BI230&lt;4,4%*70%,IF('Reeksen (N)'!BI230&lt;5,4%*50%)))))</f>
        <v>0</v>
      </c>
    </row>
    <row r="231" spans="1:62" x14ac:dyDescent="0.25">
      <c r="A231" s="184">
        <f t="shared" si="142"/>
        <v>226</v>
      </c>
      <c r="B231" s="179">
        <f>Dashboard!$D$25</f>
        <v>0</v>
      </c>
      <c r="C231" s="179">
        <f>Dashboard!$D$25</f>
        <v>0</v>
      </c>
      <c r="D231" s="180">
        <f t="shared" si="131"/>
        <v>0</v>
      </c>
      <c r="E231" s="189"/>
      <c r="F231" s="184">
        <f t="shared" ca="1" si="143"/>
        <v>2245</v>
      </c>
      <c r="G231" s="179">
        <f t="shared" si="163"/>
        <v>0.02</v>
      </c>
      <c r="H231" s="182">
        <f t="shared" si="144"/>
        <v>88.310917322688212</v>
      </c>
      <c r="I231" s="179">
        <f t="shared" si="164"/>
        <v>2.5000000000000001E-2</v>
      </c>
      <c r="J231" s="182">
        <f t="shared" si="145"/>
        <v>267.06228223844556</v>
      </c>
      <c r="K231" s="179">
        <f t="shared" si="165"/>
        <v>2.5000000000000001E-2</v>
      </c>
      <c r="L231" s="182">
        <f t="shared" si="146"/>
        <v>267.06228223844556</v>
      </c>
      <c r="M231" s="189"/>
      <c r="N231" s="184">
        <f t="shared" ca="1" si="147"/>
        <v>2245</v>
      </c>
      <c r="O231" s="179">
        <f t="shared" si="159"/>
        <v>0.02</v>
      </c>
      <c r="P231" s="182">
        <f t="shared" si="127"/>
        <v>88.225193688707407</v>
      </c>
      <c r="R231" s="184">
        <f t="shared" ca="1" si="148"/>
        <v>2245</v>
      </c>
      <c r="S231" s="188">
        <f t="shared" si="161"/>
        <v>5.3600000000000002E-3</v>
      </c>
      <c r="U231" s="184">
        <f t="shared" ca="1" si="149"/>
        <v>2245</v>
      </c>
      <c r="V231" s="182">
        <f t="shared" si="132"/>
        <v>0.02</v>
      </c>
      <c r="W231" s="180">
        <f>Parameters!$D$15</f>
        <v>5.0000000000000001E-3</v>
      </c>
      <c r="X231" s="182">
        <f t="shared" si="133"/>
        <v>2.5000000000000001E-2</v>
      </c>
      <c r="Y231" s="182">
        <f t="shared" si="150"/>
        <v>267.32552752881253</v>
      </c>
      <c r="AA231" s="189"/>
      <c r="AB231" s="184">
        <f t="shared" ca="1" si="151"/>
        <v>2245</v>
      </c>
      <c r="AC231" s="171">
        <f t="shared" si="134"/>
        <v>0</v>
      </c>
      <c r="AD231" s="171">
        <f t="shared" si="129"/>
        <v>0</v>
      </c>
      <c r="AE231" s="171">
        <f t="shared" si="160"/>
        <v>60816.893903607001</v>
      </c>
      <c r="AF231" s="171">
        <f t="shared" si="152"/>
        <v>0</v>
      </c>
      <c r="AG231" s="171">
        <f t="shared" si="162"/>
        <v>0</v>
      </c>
      <c r="AH231" s="171">
        <f t="shared" si="135"/>
        <v>0</v>
      </c>
      <c r="AI231" s="171">
        <f t="shared" si="136"/>
        <v>0</v>
      </c>
      <c r="AJ231" s="171">
        <f>IF('Invoer gegevens'!$I$27="DAEB",SMALL(AC231:AD231,1),AC231)</f>
        <v>0</v>
      </c>
      <c r="AK231" s="171">
        <f>IF('Invoer gegevens'!$I$27="DAEB",SMALL((AE231:AH231),1),SMALL((AF231:AH231),1))</f>
        <v>0</v>
      </c>
      <c r="AL231" s="171">
        <f t="shared" si="157"/>
        <v>0</v>
      </c>
      <c r="AM231" s="171">
        <f t="shared" si="158"/>
        <v>0</v>
      </c>
      <c r="AN231" s="175">
        <f t="shared" si="153"/>
        <v>0</v>
      </c>
      <c r="AP231" s="184">
        <f t="shared" ca="1" si="154"/>
        <v>2245</v>
      </c>
      <c r="AQ231" s="185">
        <f t="shared" si="137"/>
        <v>0.02</v>
      </c>
      <c r="AR231" s="182">
        <f t="shared" si="128"/>
        <v>88.225193688707407</v>
      </c>
      <c r="AU231" s="184">
        <f t="shared" ca="1" si="155"/>
        <v>2245</v>
      </c>
      <c r="AV231" s="182">
        <f t="shared" si="138"/>
        <v>0.02</v>
      </c>
      <c r="AW231" s="179">
        <f t="shared" si="139"/>
        <v>5.0000000000000001E-3</v>
      </c>
      <c r="AX231" s="182">
        <f t="shared" si="140"/>
        <v>2.5000000000000001E-2</v>
      </c>
      <c r="AY231" s="186"/>
      <c r="AZ231" s="190"/>
      <c r="BA231" s="184">
        <f t="shared" ca="1" si="156"/>
        <v>2245</v>
      </c>
      <c r="BB231" s="171">
        <f t="shared" si="141"/>
        <v>0</v>
      </c>
      <c r="BC231" s="171">
        <f t="shared" si="130"/>
        <v>60816.893903607001</v>
      </c>
      <c r="BD231" s="171">
        <f t="shared" si="166"/>
        <v>0</v>
      </c>
      <c r="BE231" s="171">
        <f t="shared" si="166"/>
        <v>0</v>
      </c>
      <c r="BF231" s="171">
        <f t="shared" si="166"/>
        <v>0</v>
      </c>
      <c r="BG231" s="171">
        <f t="shared" si="166"/>
        <v>0</v>
      </c>
      <c r="BI231" s="187">
        <f>IF(A231-'Invoer gegevens'!$C$17&lt;0,0,IF(A231-'Invoer gegevens'!$C$17=0,1,IF(A231-'Invoer gegevens'!$C$17&lt;5,2,IF(A231-'Invoer gegevens'!$C$17&lt;15,3,4))))</f>
        <v>0</v>
      </c>
      <c r="BJ231" s="229">
        <f>IF(BI231&lt;1,0,IF(BI231&lt;2,4%,IF('Reeksen (N)'!BI231&lt;3,4%,IF('Reeksen (N)'!BI231&lt;4,4%*70%,IF('Reeksen (N)'!BI231&lt;5,4%*50%)))))</f>
        <v>0</v>
      </c>
    </row>
    <row r="232" spans="1:62" x14ac:dyDescent="0.25">
      <c r="A232" s="184">
        <f t="shared" si="142"/>
        <v>227</v>
      </c>
      <c r="B232" s="179">
        <f>Dashboard!$D$25</f>
        <v>0</v>
      </c>
      <c r="C232" s="179">
        <f>Dashboard!$D$25</f>
        <v>0</v>
      </c>
      <c r="D232" s="180">
        <f t="shared" si="131"/>
        <v>0</v>
      </c>
      <c r="E232" s="189"/>
      <c r="F232" s="184">
        <f t="shared" ca="1" si="143"/>
        <v>2246</v>
      </c>
      <c r="G232" s="179">
        <f t="shared" si="163"/>
        <v>0.02</v>
      </c>
      <c r="H232" s="182">
        <f t="shared" si="144"/>
        <v>90.077135669141981</v>
      </c>
      <c r="I232" s="179">
        <f t="shared" si="164"/>
        <v>2.5000000000000001E-2</v>
      </c>
      <c r="J232" s="182">
        <f t="shared" si="145"/>
        <v>273.73883929440666</v>
      </c>
      <c r="K232" s="179">
        <f t="shared" si="165"/>
        <v>2.5000000000000001E-2</v>
      </c>
      <c r="L232" s="182">
        <f t="shared" si="146"/>
        <v>273.73883929440666</v>
      </c>
      <c r="M232" s="189"/>
      <c r="N232" s="184">
        <f t="shared" ca="1" si="147"/>
        <v>2246</v>
      </c>
      <c r="O232" s="179">
        <f t="shared" si="159"/>
        <v>0.02</v>
      </c>
      <c r="P232" s="182">
        <f t="shared" si="127"/>
        <v>89.989697562481552</v>
      </c>
      <c r="R232" s="184">
        <f t="shared" ca="1" si="148"/>
        <v>2246</v>
      </c>
      <c r="S232" s="188">
        <f t="shared" si="161"/>
        <v>5.3600000000000002E-3</v>
      </c>
      <c r="U232" s="184">
        <f t="shared" ca="1" si="149"/>
        <v>2246</v>
      </c>
      <c r="V232" s="182">
        <f t="shared" si="132"/>
        <v>0.02</v>
      </c>
      <c r="W232" s="180">
        <f>Parameters!$D$15</f>
        <v>5.0000000000000001E-3</v>
      </c>
      <c r="X232" s="182">
        <f t="shared" si="133"/>
        <v>2.5000000000000001E-2</v>
      </c>
      <c r="Y232" s="182">
        <f t="shared" si="150"/>
        <v>274.00866571703284</v>
      </c>
      <c r="AA232" s="189"/>
      <c r="AB232" s="184">
        <f t="shared" ca="1" si="151"/>
        <v>2246</v>
      </c>
      <c r="AC232" s="171">
        <f t="shared" si="134"/>
        <v>0</v>
      </c>
      <c r="AD232" s="171">
        <f t="shared" si="129"/>
        <v>0</v>
      </c>
      <c r="AE232" s="171">
        <f t="shared" si="160"/>
        <v>62033.23178167914</v>
      </c>
      <c r="AF232" s="171">
        <f t="shared" si="152"/>
        <v>0</v>
      </c>
      <c r="AG232" s="171">
        <f t="shared" si="162"/>
        <v>0</v>
      </c>
      <c r="AH232" s="171">
        <f t="shared" si="135"/>
        <v>0</v>
      </c>
      <c r="AI232" s="171">
        <f t="shared" si="136"/>
        <v>0</v>
      </c>
      <c r="AJ232" s="171">
        <f>IF('Invoer gegevens'!$I$27="DAEB",SMALL(AC232:AD232,1),AC232)</f>
        <v>0</v>
      </c>
      <c r="AK232" s="171">
        <f>IF('Invoer gegevens'!$I$27="DAEB",SMALL((AE232:AH232),1),SMALL((AF232:AH232),1))</f>
        <v>0</v>
      </c>
      <c r="AL232" s="171">
        <f t="shared" si="157"/>
        <v>0</v>
      </c>
      <c r="AM232" s="171">
        <f t="shared" si="158"/>
        <v>0</v>
      </c>
      <c r="AN232" s="175">
        <f t="shared" si="153"/>
        <v>0</v>
      </c>
      <c r="AP232" s="184">
        <f t="shared" ca="1" si="154"/>
        <v>2246</v>
      </c>
      <c r="AQ232" s="185">
        <f t="shared" si="137"/>
        <v>0.02</v>
      </c>
      <c r="AR232" s="182">
        <f t="shared" si="128"/>
        <v>89.989697562481552</v>
      </c>
      <c r="AU232" s="184">
        <f t="shared" ca="1" si="155"/>
        <v>2246</v>
      </c>
      <c r="AV232" s="182">
        <f t="shared" si="138"/>
        <v>0.02</v>
      </c>
      <c r="AW232" s="179">
        <f t="shared" si="139"/>
        <v>5.0000000000000001E-3</v>
      </c>
      <c r="AX232" s="182">
        <f t="shared" si="140"/>
        <v>2.5000000000000001E-2</v>
      </c>
      <c r="AY232" s="186"/>
      <c r="AZ232" s="190"/>
      <c r="BA232" s="184">
        <f t="shared" ca="1" si="156"/>
        <v>2246</v>
      </c>
      <c r="BB232" s="171">
        <f t="shared" si="141"/>
        <v>0</v>
      </c>
      <c r="BC232" s="171">
        <f t="shared" si="130"/>
        <v>62033.23178167914</v>
      </c>
      <c r="BD232" s="171">
        <f t="shared" si="166"/>
        <v>0</v>
      </c>
      <c r="BE232" s="171">
        <f t="shared" si="166"/>
        <v>0</v>
      </c>
      <c r="BF232" s="171">
        <f t="shared" si="166"/>
        <v>0</v>
      </c>
      <c r="BG232" s="171">
        <f t="shared" si="166"/>
        <v>0</v>
      </c>
      <c r="BI232" s="187">
        <f>IF(A232-'Invoer gegevens'!$C$17&lt;0,0,IF(A232-'Invoer gegevens'!$C$17=0,1,IF(A232-'Invoer gegevens'!$C$17&lt;5,2,IF(A232-'Invoer gegevens'!$C$17&lt;15,3,4))))</f>
        <v>0</v>
      </c>
      <c r="BJ232" s="229">
        <f>IF(BI232&lt;1,0,IF(BI232&lt;2,4%,IF('Reeksen (N)'!BI232&lt;3,4%,IF('Reeksen (N)'!BI232&lt;4,4%*70%,IF('Reeksen (N)'!BI232&lt;5,4%*50%)))))</f>
        <v>0</v>
      </c>
    </row>
    <row r="233" spans="1:62" x14ac:dyDescent="0.25">
      <c r="A233" s="184">
        <f t="shared" si="142"/>
        <v>228</v>
      </c>
      <c r="B233" s="179">
        <f>Dashboard!$D$25</f>
        <v>0</v>
      </c>
      <c r="C233" s="179">
        <f>Dashboard!$D$25</f>
        <v>0</v>
      </c>
      <c r="D233" s="180">
        <f t="shared" si="131"/>
        <v>0</v>
      </c>
      <c r="E233" s="189"/>
      <c r="F233" s="184">
        <f t="shared" ca="1" si="143"/>
        <v>2247</v>
      </c>
      <c r="G233" s="179">
        <f t="shared" si="163"/>
        <v>0.02</v>
      </c>
      <c r="H233" s="182">
        <f t="shared" si="144"/>
        <v>91.878678382524825</v>
      </c>
      <c r="I233" s="179">
        <f t="shared" si="164"/>
        <v>2.5000000000000001E-2</v>
      </c>
      <c r="J233" s="182">
        <f t="shared" si="145"/>
        <v>280.5823102767668</v>
      </c>
      <c r="K233" s="179">
        <f t="shared" si="165"/>
        <v>2.5000000000000001E-2</v>
      </c>
      <c r="L233" s="182">
        <f t="shared" si="146"/>
        <v>280.5823102767668</v>
      </c>
      <c r="M233" s="189"/>
      <c r="N233" s="184">
        <f t="shared" ca="1" si="147"/>
        <v>2247</v>
      </c>
      <c r="O233" s="179">
        <f t="shared" si="159"/>
        <v>0.02</v>
      </c>
      <c r="P233" s="182">
        <f t="shared" si="127"/>
        <v>91.789491513731178</v>
      </c>
      <c r="R233" s="184">
        <f t="shared" ca="1" si="148"/>
        <v>2247</v>
      </c>
      <c r="S233" s="188">
        <f t="shared" si="161"/>
        <v>5.3600000000000002E-3</v>
      </c>
      <c r="U233" s="184">
        <f t="shared" ca="1" si="149"/>
        <v>2247</v>
      </c>
      <c r="V233" s="182">
        <f t="shared" si="132"/>
        <v>0.02</v>
      </c>
      <c r="W233" s="180">
        <f>Parameters!$D$15</f>
        <v>5.0000000000000001E-3</v>
      </c>
      <c r="X233" s="182">
        <f t="shared" si="133"/>
        <v>2.5000000000000001E-2</v>
      </c>
      <c r="Y233" s="182">
        <f t="shared" si="150"/>
        <v>280.85888235995861</v>
      </c>
      <c r="AA233" s="189"/>
      <c r="AB233" s="184">
        <f t="shared" ca="1" si="151"/>
        <v>2247</v>
      </c>
      <c r="AC233" s="171">
        <f t="shared" si="134"/>
        <v>0</v>
      </c>
      <c r="AD233" s="171">
        <f t="shared" si="129"/>
        <v>0</v>
      </c>
      <c r="AE233" s="171">
        <f t="shared" si="160"/>
        <v>63273.896417312724</v>
      </c>
      <c r="AF233" s="171">
        <f t="shared" si="152"/>
        <v>0</v>
      </c>
      <c r="AG233" s="171">
        <f t="shared" si="162"/>
        <v>0</v>
      </c>
      <c r="AH233" s="171">
        <f t="shared" si="135"/>
        <v>0</v>
      </c>
      <c r="AI233" s="171">
        <f t="shared" si="136"/>
        <v>0</v>
      </c>
      <c r="AJ233" s="171">
        <f>IF('Invoer gegevens'!$I$27="DAEB",SMALL(AC233:AD233,1),AC233)</f>
        <v>0</v>
      </c>
      <c r="AK233" s="171">
        <f>IF('Invoer gegevens'!$I$27="DAEB",SMALL((AE233:AH233),1),SMALL((AF233:AH233),1))</f>
        <v>0</v>
      </c>
      <c r="AL233" s="171">
        <f t="shared" si="157"/>
        <v>0</v>
      </c>
      <c r="AM233" s="171">
        <f t="shared" si="158"/>
        <v>0</v>
      </c>
      <c r="AN233" s="175">
        <f t="shared" si="153"/>
        <v>0</v>
      </c>
      <c r="AP233" s="184">
        <f t="shared" ca="1" si="154"/>
        <v>2247</v>
      </c>
      <c r="AQ233" s="185">
        <f t="shared" si="137"/>
        <v>0.02</v>
      </c>
      <c r="AR233" s="182">
        <f t="shared" si="128"/>
        <v>91.789491513731178</v>
      </c>
      <c r="AU233" s="184">
        <f t="shared" ca="1" si="155"/>
        <v>2247</v>
      </c>
      <c r="AV233" s="182">
        <f t="shared" si="138"/>
        <v>0.02</v>
      </c>
      <c r="AW233" s="179">
        <f t="shared" si="139"/>
        <v>5.0000000000000001E-3</v>
      </c>
      <c r="AX233" s="182">
        <f t="shared" si="140"/>
        <v>2.5000000000000001E-2</v>
      </c>
      <c r="AY233" s="186"/>
      <c r="AZ233" s="190"/>
      <c r="BA233" s="184">
        <f t="shared" ca="1" si="156"/>
        <v>2247</v>
      </c>
      <c r="BB233" s="171">
        <f t="shared" si="141"/>
        <v>0</v>
      </c>
      <c r="BC233" s="171">
        <f t="shared" si="130"/>
        <v>63273.896417312724</v>
      </c>
      <c r="BD233" s="171">
        <f t="shared" si="166"/>
        <v>0</v>
      </c>
      <c r="BE233" s="171">
        <f t="shared" si="166"/>
        <v>0</v>
      </c>
      <c r="BF233" s="171">
        <f t="shared" si="166"/>
        <v>0</v>
      </c>
      <c r="BG233" s="171">
        <f t="shared" si="166"/>
        <v>0</v>
      </c>
      <c r="BI233" s="187">
        <f>IF(A233-'Invoer gegevens'!$C$17&lt;0,0,IF(A233-'Invoer gegevens'!$C$17=0,1,IF(A233-'Invoer gegevens'!$C$17&lt;5,2,IF(A233-'Invoer gegevens'!$C$17&lt;15,3,4))))</f>
        <v>0</v>
      </c>
      <c r="BJ233" s="229">
        <f>IF(BI233&lt;1,0,IF(BI233&lt;2,4%,IF('Reeksen (N)'!BI233&lt;3,4%,IF('Reeksen (N)'!BI233&lt;4,4%*70%,IF('Reeksen (N)'!BI233&lt;5,4%*50%)))))</f>
        <v>0</v>
      </c>
    </row>
    <row r="234" spans="1:62" x14ac:dyDescent="0.25">
      <c r="A234" s="191">
        <f t="shared" si="142"/>
        <v>229</v>
      </c>
      <c r="B234" s="179">
        <f>Dashboard!$D$25</f>
        <v>0</v>
      </c>
      <c r="C234" s="179">
        <f>Dashboard!$D$25</f>
        <v>0</v>
      </c>
      <c r="D234" s="180">
        <f t="shared" si="131"/>
        <v>0</v>
      </c>
      <c r="E234" s="189"/>
      <c r="F234" s="191">
        <f t="shared" ca="1" si="143"/>
        <v>2248</v>
      </c>
      <c r="G234" s="192">
        <f t="shared" si="163"/>
        <v>0.02</v>
      </c>
      <c r="H234" s="193">
        <f t="shared" si="144"/>
        <v>93.71625195017532</v>
      </c>
      <c r="I234" s="192">
        <f t="shared" si="164"/>
        <v>2.5000000000000001E-2</v>
      </c>
      <c r="J234" s="193">
        <f t="shared" si="145"/>
        <v>287.59686803368595</v>
      </c>
      <c r="K234" s="192">
        <f t="shared" si="165"/>
        <v>2.5000000000000001E-2</v>
      </c>
      <c r="L234" s="193">
        <f t="shared" si="146"/>
        <v>287.59686803368595</v>
      </c>
      <c r="M234" s="189"/>
      <c r="N234" s="191">
        <f t="shared" ca="1" si="147"/>
        <v>2248</v>
      </c>
      <c r="O234" s="179">
        <f t="shared" si="159"/>
        <v>0.02</v>
      </c>
      <c r="P234" s="193">
        <f t="shared" si="127"/>
        <v>93.625281344005799</v>
      </c>
      <c r="R234" s="191">
        <f t="shared" ca="1" si="148"/>
        <v>2248</v>
      </c>
      <c r="S234" s="194">
        <f t="shared" si="161"/>
        <v>5.3600000000000002E-3</v>
      </c>
      <c r="U234" s="191">
        <f t="shared" ca="1" si="149"/>
        <v>2248</v>
      </c>
      <c r="V234" s="193">
        <f t="shared" si="132"/>
        <v>0.02</v>
      </c>
      <c r="W234" s="180">
        <f>Parameters!$D$15</f>
        <v>5.0000000000000001E-3</v>
      </c>
      <c r="X234" s="193">
        <f t="shared" si="133"/>
        <v>2.5000000000000001E-2</v>
      </c>
      <c r="Y234" s="193">
        <f t="shared" si="150"/>
        <v>287.88035441895755</v>
      </c>
      <c r="AA234" s="189"/>
      <c r="AB234" s="191">
        <f t="shared" ca="1" si="151"/>
        <v>2248</v>
      </c>
      <c r="AC234" s="195">
        <f t="shared" si="134"/>
        <v>0</v>
      </c>
      <c r="AD234" s="195">
        <f t="shared" si="129"/>
        <v>0</v>
      </c>
      <c r="AE234" s="195">
        <f t="shared" si="160"/>
        <v>64539.37434565898</v>
      </c>
      <c r="AF234" s="195">
        <f t="shared" si="152"/>
        <v>0</v>
      </c>
      <c r="AG234" s="195">
        <f t="shared" si="162"/>
        <v>0</v>
      </c>
      <c r="AH234" s="195">
        <f t="shared" si="135"/>
        <v>0</v>
      </c>
      <c r="AI234" s="195">
        <f t="shared" si="136"/>
        <v>0</v>
      </c>
      <c r="AJ234" s="171">
        <f>IF('Invoer gegevens'!$I$27="DAEB",SMALL(AC234:AD234,1),AC234)</f>
        <v>0</v>
      </c>
      <c r="AK234" s="171">
        <f>IF('Invoer gegevens'!$I$27="DAEB",SMALL((AE234:AH234),1),SMALL((AF234:AH234),1))</f>
        <v>0</v>
      </c>
      <c r="AL234" s="195">
        <f t="shared" si="157"/>
        <v>0</v>
      </c>
      <c r="AM234" s="195">
        <f t="shared" si="158"/>
        <v>0</v>
      </c>
      <c r="AN234" s="196">
        <f t="shared" si="153"/>
        <v>0</v>
      </c>
      <c r="AP234" s="191">
        <f t="shared" ca="1" si="154"/>
        <v>2248</v>
      </c>
      <c r="AQ234" s="197">
        <f t="shared" si="137"/>
        <v>0.02</v>
      </c>
      <c r="AR234" s="193">
        <f t="shared" si="128"/>
        <v>93.625281344005799</v>
      </c>
      <c r="AU234" s="191">
        <f t="shared" ca="1" si="155"/>
        <v>2248</v>
      </c>
      <c r="AV234" s="193">
        <f t="shared" si="138"/>
        <v>0.02</v>
      </c>
      <c r="AW234" s="192">
        <f t="shared" si="139"/>
        <v>5.0000000000000001E-3</v>
      </c>
      <c r="AX234" s="193">
        <f t="shared" si="140"/>
        <v>2.5000000000000001E-2</v>
      </c>
      <c r="AY234" s="186"/>
      <c r="AZ234" s="190"/>
      <c r="BA234" s="191">
        <f t="shared" ca="1" si="156"/>
        <v>2248</v>
      </c>
      <c r="BB234" s="195">
        <f t="shared" si="141"/>
        <v>0</v>
      </c>
      <c r="BC234" s="195">
        <f t="shared" si="130"/>
        <v>64539.37434565898</v>
      </c>
      <c r="BD234" s="195">
        <f t="shared" si="166"/>
        <v>0</v>
      </c>
      <c r="BE234" s="195">
        <f t="shared" si="166"/>
        <v>0</v>
      </c>
      <c r="BF234" s="195">
        <f t="shared" si="166"/>
        <v>0</v>
      </c>
      <c r="BG234" s="195">
        <f t="shared" si="166"/>
        <v>0</v>
      </c>
      <c r="BI234" s="187">
        <f>IF(A234-'Invoer gegevens'!$C$17&lt;0,0,IF(A234-'Invoer gegevens'!$C$17=0,1,IF(A234-'Invoer gegevens'!$C$17&lt;5,2,IF(A234-'Invoer gegevens'!$C$17&lt;15,3,4))))</f>
        <v>0</v>
      </c>
      <c r="BJ234" s="229">
        <f>IF(BI234&lt;1,0,IF(BI234&lt;2,4%,IF('Reeksen (N)'!BI234&lt;3,4%,IF('Reeksen (N)'!BI234&lt;4,4%*70%,IF('Reeksen (N)'!BI234&lt;5,4%*50%)))))</f>
        <v>0</v>
      </c>
    </row>
    <row r="235" spans="1:62" s="200" customFormat="1" x14ac:dyDescent="0.25">
      <c r="A235" s="126"/>
      <c r="B235" s="198"/>
      <c r="C235" s="198"/>
      <c r="D235" s="198"/>
      <c r="E235" s="79"/>
      <c r="F235" s="126"/>
      <c r="G235" s="198"/>
      <c r="H235" s="199"/>
      <c r="I235" s="198"/>
      <c r="J235" s="199"/>
      <c r="K235" s="198"/>
      <c r="L235" s="199"/>
      <c r="M235" s="79"/>
      <c r="N235" s="126"/>
      <c r="O235" s="198"/>
      <c r="P235" s="199"/>
      <c r="R235" s="126"/>
      <c r="S235" s="201"/>
      <c r="U235" s="126"/>
      <c r="V235" s="199"/>
      <c r="W235" s="198"/>
      <c r="X235" s="199"/>
      <c r="Y235" s="199"/>
      <c r="AA235" s="79"/>
      <c r="AB235" s="126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3"/>
      <c r="AP235" s="126"/>
      <c r="AQ235" s="79"/>
      <c r="AR235" s="199"/>
      <c r="AU235" s="126"/>
      <c r="AV235" s="199"/>
      <c r="AW235" s="198"/>
      <c r="AX235" s="199"/>
      <c r="AY235" s="186"/>
      <c r="AZ235" s="198"/>
      <c r="BA235" s="126"/>
      <c r="BB235" s="202"/>
      <c r="BC235" s="202"/>
      <c r="BD235" s="202"/>
      <c r="BE235" s="202"/>
      <c r="BF235" s="202"/>
      <c r="BG235" s="202"/>
    </row>
    <row r="236" spans="1:62" x14ac:dyDescent="0.25">
      <c r="A236" s="126"/>
      <c r="B236" s="198"/>
      <c r="C236" s="198"/>
      <c r="D236" s="198"/>
      <c r="E236" s="79"/>
      <c r="F236" s="126"/>
      <c r="G236" s="198"/>
      <c r="H236" s="199"/>
      <c r="I236" s="198"/>
      <c r="J236" s="199"/>
      <c r="K236" s="198"/>
      <c r="L236" s="199"/>
      <c r="M236" s="79"/>
      <c r="N236" s="126"/>
      <c r="O236" s="198"/>
      <c r="P236" s="199"/>
      <c r="Q236" s="200"/>
      <c r="R236" s="126"/>
      <c r="S236" s="201"/>
      <c r="T236" s="200"/>
      <c r="U236" s="126"/>
      <c r="V236" s="199"/>
      <c r="W236" s="198"/>
      <c r="X236" s="199"/>
      <c r="Y236" s="199"/>
      <c r="Z236" s="200"/>
      <c r="AA236" s="79"/>
      <c r="AB236" s="126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3"/>
      <c r="AO236" s="200"/>
      <c r="AP236" s="126"/>
      <c r="AQ236" s="79"/>
      <c r="AR236" s="199"/>
      <c r="AS236" s="200"/>
      <c r="AT236" s="200"/>
      <c r="AU236" s="126"/>
      <c r="AV236" s="199"/>
      <c r="AW236" s="198"/>
      <c r="AX236" s="199"/>
      <c r="AY236" s="186"/>
      <c r="AZ236" s="198"/>
      <c r="BA236" s="126"/>
      <c r="BB236" s="202"/>
      <c r="BC236" s="202"/>
      <c r="BD236" s="202"/>
      <c r="BE236" s="202"/>
      <c r="BF236" s="202"/>
      <c r="BG236" s="202"/>
    </row>
    <row r="237" spans="1:62" x14ac:dyDescent="0.25">
      <c r="A237" s="126"/>
      <c r="B237" s="198"/>
      <c r="C237" s="198"/>
      <c r="D237" s="198"/>
      <c r="E237" s="79"/>
      <c r="F237" s="126"/>
      <c r="G237" s="198"/>
      <c r="H237" s="199"/>
      <c r="I237" s="198"/>
      <c r="J237" s="199"/>
      <c r="K237" s="198"/>
      <c r="L237" s="199"/>
      <c r="M237" s="79"/>
      <c r="N237" s="126"/>
      <c r="O237" s="198"/>
      <c r="P237" s="199"/>
      <c r="Q237" s="200"/>
      <c r="R237" s="126"/>
      <c r="S237" s="201"/>
      <c r="T237" s="200"/>
      <c r="U237" s="126"/>
      <c r="V237" s="199"/>
      <c r="W237" s="198"/>
      <c r="X237" s="199"/>
      <c r="Y237" s="199"/>
      <c r="Z237" s="200"/>
      <c r="AA237" s="79"/>
      <c r="AB237" s="126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3"/>
      <c r="AO237" s="200"/>
      <c r="AP237" s="126"/>
      <c r="AQ237" s="79"/>
      <c r="AR237" s="199"/>
      <c r="AS237" s="200"/>
      <c r="AT237" s="200"/>
      <c r="AU237" s="126"/>
      <c r="AV237" s="199"/>
      <c r="AW237" s="198"/>
      <c r="AX237" s="199"/>
      <c r="AY237" s="186"/>
      <c r="AZ237" s="198"/>
      <c r="BA237" s="126"/>
      <c r="BB237" s="202"/>
      <c r="BC237" s="202"/>
      <c r="BD237" s="202"/>
      <c r="BE237" s="202"/>
      <c r="BF237" s="202"/>
      <c r="BG237" s="202"/>
    </row>
    <row r="238" spans="1:62" hidden="1" x14ac:dyDescent="0.25">
      <c r="A238" s="126"/>
      <c r="B238" s="198"/>
      <c r="C238" s="198"/>
      <c r="D238" s="198"/>
      <c r="E238" s="79"/>
      <c r="F238" s="126"/>
      <c r="G238" s="198"/>
      <c r="H238" s="199"/>
      <c r="I238" s="198"/>
      <c r="J238" s="199"/>
      <c r="K238" s="198"/>
      <c r="L238" s="199"/>
      <c r="M238" s="79"/>
      <c r="N238" s="126"/>
      <c r="O238" s="198"/>
      <c r="P238" s="199"/>
      <c r="Q238" s="200"/>
      <c r="R238" s="126"/>
      <c r="S238" s="201"/>
      <c r="T238" s="200"/>
      <c r="U238" s="126"/>
      <c r="V238" s="199"/>
      <c r="W238" s="198"/>
      <c r="X238" s="199"/>
      <c r="Y238" s="199"/>
      <c r="Z238" s="200"/>
      <c r="AA238" s="79"/>
      <c r="AB238" s="126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3"/>
      <c r="AO238" s="200"/>
      <c r="AP238" s="126"/>
      <c r="AQ238" s="79"/>
      <c r="AR238" s="199"/>
      <c r="AS238" s="200"/>
      <c r="AT238" s="200"/>
      <c r="AU238" s="126"/>
      <c r="AV238" s="199"/>
      <c r="AW238" s="198"/>
      <c r="AX238" s="199"/>
      <c r="AY238" s="186"/>
      <c r="AZ238" s="198"/>
      <c r="BA238" s="126"/>
      <c r="BB238" s="202"/>
      <c r="BC238" s="202"/>
      <c r="BD238" s="202"/>
      <c r="BE238" s="202"/>
      <c r="BF238" s="202"/>
      <c r="BG238" s="202"/>
    </row>
    <row r="239" spans="1:62" hidden="1" x14ac:dyDescent="0.25">
      <c r="A239" s="126"/>
      <c r="B239" s="198"/>
      <c r="C239" s="198"/>
      <c r="D239" s="198"/>
      <c r="E239" s="79"/>
      <c r="F239" s="126"/>
      <c r="G239" s="198"/>
      <c r="H239" s="199"/>
      <c r="I239" s="198"/>
      <c r="J239" s="199"/>
      <c r="K239" s="198"/>
      <c r="L239" s="199"/>
      <c r="M239" s="79"/>
      <c r="N239" s="126"/>
      <c r="O239" s="198"/>
      <c r="P239" s="199"/>
      <c r="Q239" s="200"/>
      <c r="R239" s="126"/>
      <c r="S239" s="201"/>
      <c r="T239" s="200"/>
      <c r="U239" s="126"/>
      <c r="V239" s="199"/>
      <c r="W239" s="198"/>
      <c r="X239" s="199"/>
      <c r="Y239" s="199"/>
      <c r="Z239" s="200"/>
      <c r="AA239" s="79"/>
      <c r="AB239" s="126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3"/>
      <c r="AO239" s="200"/>
      <c r="AP239" s="126"/>
      <c r="AQ239" s="79"/>
      <c r="AR239" s="199"/>
      <c r="AS239" s="200"/>
      <c r="AT239" s="200"/>
      <c r="AU239" s="126"/>
      <c r="AV239" s="199"/>
      <c r="AW239" s="198"/>
      <c r="AX239" s="199"/>
      <c r="AY239" s="186"/>
      <c r="AZ239" s="198"/>
      <c r="BA239" s="126"/>
      <c r="BB239" s="202"/>
      <c r="BC239" s="202"/>
      <c r="BD239" s="202"/>
      <c r="BE239" s="202"/>
      <c r="BF239" s="202"/>
      <c r="BG239" s="202"/>
    </row>
    <row r="240" spans="1:62" hidden="1" x14ac:dyDescent="0.25">
      <c r="A240" s="126"/>
      <c r="B240" s="198"/>
      <c r="C240" s="198"/>
      <c r="D240" s="198"/>
      <c r="E240" s="79"/>
      <c r="F240" s="126"/>
      <c r="G240" s="198"/>
      <c r="H240" s="199"/>
      <c r="I240" s="198"/>
      <c r="J240" s="199"/>
      <c r="K240" s="198"/>
      <c r="L240" s="199"/>
      <c r="M240" s="79"/>
      <c r="N240" s="126"/>
      <c r="O240" s="198"/>
      <c r="P240" s="199"/>
      <c r="Q240" s="200"/>
      <c r="R240" s="126"/>
      <c r="S240" s="201"/>
      <c r="T240" s="200"/>
      <c r="U240" s="126"/>
      <c r="V240" s="199"/>
      <c r="W240" s="198"/>
      <c r="X240" s="199"/>
      <c r="Y240" s="199"/>
      <c r="Z240" s="200"/>
      <c r="AA240" s="79"/>
      <c r="AB240" s="126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3"/>
      <c r="AO240" s="200"/>
      <c r="AP240" s="126"/>
      <c r="AQ240" s="79"/>
      <c r="AR240" s="199"/>
      <c r="AS240" s="200"/>
      <c r="AT240" s="200"/>
      <c r="AU240" s="126"/>
      <c r="AV240" s="199"/>
      <c r="AW240" s="198"/>
      <c r="AX240" s="199"/>
      <c r="AY240" s="186"/>
      <c r="AZ240" s="198"/>
      <c r="BA240" s="126"/>
      <c r="BB240" s="202"/>
      <c r="BC240" s="202"/>
      <c r="BD240" s="202"/>
      <c r="BE240" s="202"/>
      <c r="BF240" s="202"/>
      <c r="BG240" s="202"/>
    </row>
    <row r="241" spans="1:59" hidden="1" x14ac:dyDescent="0.25">
      <c r="A241" s="126"/>
      <c r="B241" s="198"/>
      <c r="C241" s="198"/>
      <c r="D241" s="198"/>
      <c r="E241" s="79"/>
      <c r="F241" s="126"/>
      <c r="G241" s="198"/>
      <c r="H241" s="199"/>
      <c r="I241" s="198"/>
      <c r="J241" s="199"/>
      <c r="K241" s="198"/>
      <c r="L241" s="199"/>
      <c r="M241" s="79"/>
      <c r="N241" s="126"/>
      <c r="O241" s="198"/>
      <c r="P241" s="199"/>
      <c r="Q241" s="200"/>
      <c r="R241" s="126"/>
      <c r="S241" s="201"/>
      <c r="T241" s="200"/>
      <c r="U241" s="126"/>
      <c r="V241" s="199"/>
      <c r="W241" s="198"/>
      <c r="X241" s="199"/>
      <c r="Y241" s="199"/>
      <c r="Z241" s="200"/>
      <c r="AA241" s="79"/>
      <c r="AB241" s="126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3"/>
      <c r="AO241" s="200"/>
      <c r="AP241" s="126"/>
      <c r="AQ241" s="79"/>
      <c r="AR241" s="199"/>
      <c r="AS241" s="200"/>
      <c r="AT241" s="200"/>
      <c r="AU241" s="126"/>
      <c r="AV241" s="199"/>
      <c r="AW241" s="198"/>
      <c r="AX241" s="199"/>
      <c r="AY241" s="186"/>
      <c r="AZ241" s="198"/>
      <c r="BA241" s="126"/>
      <c r="BB241" s="202"/>
      <c r="BC241" s="202"/>
      <c r="BD241" s="202"/>
      <c r="BE241" s="202"/>
      <c r="BF241" s="202"/>
      <c r="BG241" s="202"/>
    </row>
    <row r="242" spans="1:59" hidden="1" x14ac:dyDescent="0.25">
      <c r="A242" s="126"/>
      <c r="B242" s="198"/>
      <c r="C242" s="198"/>
      <c r="D242" s="198"/>
      <c r="E242" s="79"/>
      <c r="F242" s="126"/>
      <c r="G242" s="198"/>
      <c r="H242" s="199"/>
      <c r="I242" s="198"/>
      <c r="J242" s="199"/>
      <c r="K242" s="198"/>
      <c r="L242" s="199"/>
      <c r="M242" s="79"/>
      <c r="N242" s="126"/>
      <c r="O242" s="198"/>
      <c r="P242" s="199"/>
      <c r="Q242" s="200"/>
      <c r="R242" s="126"/>
      <c r="S242" s="201"/>
      <c r="T242" s="200"/>
      <c r="U242" s="126"/>
      <c r="V242" s="199"/>
      <c r="W242" s="198"/>
      <c r="X242" s="199"/>
      <c r="Y242" s="199"/>
      <c r="Z242" s="200"/>
      <c r="AA242" s="79"/>
      <c r="AB242" s="126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3"/>
      <c r="AO242" s="200"/>
      <c r="AP242" s="126"/>
      <c r="AQ242" s="79"/>
      <c r="AR242" s="199"/>
      <c r="AS242" s="200"/>
      <c r="AT242" s="200"/>
      <c r="AU242" s="126"/>
      <c r="AV242" s="199"/>
      <c r="AW242" s="198"/>
      <c r="AX242" s="199"/>
      <c r="AY242" s="186"/>
      <c r="AZ242" s="198"/>
      <c r="BA242" s="126"/>
      <c r="BB242" s="202"/>
      <c r="BC242" s="202"/>
      <c r="BD242" s="202"/>
      <c r="BE242" s="202"/>
      <c r="BF242" s="202"/>
      <c r="BG242" s="202"/>
    </row>
    <row r="243" spans="1:59" hidden="1" x14ac:dyDescent="0.25">
      <c r="A243" s="126"/>
      <c r="B243" s="198"/>
      <c r="C243" s="198"/>
      <c r="D243" s="198"/>
      <c r="E243" s="79"/>
      <c r="F243" s="126"/>
      <c r="G243" s="198"/>
      <c r="H243" s="199"/>
      <c r="I243" s="198"/>
      <c r="J243" s="199"/>
      <c r="K243" s="198"/>
      <c r="L243" s="199"/>
      <c r="M243" s="79"/>
      <c r="N243" s="126"/>
      <c r="O243" s="198"/>
      <c r="P243" s="199"/>
      <c r="Q243" s="200"/>
      <c r="R243" s="126"/>
      <c r="S243" s="201"/>
      <c r="T243" s="200"/>
      <c r="U243" s="126"/>
      <c r="V243" s="199"/>
      <c r="W243" s="198"/>
      <c r="X243" s="199"/>
      <c r="Y243" s="199"/>
      <c r="Z243" s="200"/>
      <c r="AA243" s="79"/>
      <c r="AB243" s="126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3"/>
      <c r="AO243" s="200"/>
      <c r="AP243" s="126"/>
      <c r="AQ243" s="79"/>
      <c r="AR243" s="199"/>
      <c r="AS243" s="200"/>
      <c r="AT243" s="200"/>
      <c r="AU243" s="126"/>
      <c r="AV243" s="199"/>
      <c r="AW243" s="198"/>
      <c r="AX243" s="199"/>
      <c r="AY243" s="186"/>
      <c r="AZ243" s="198"/>
      <c r="BA243" s="126"/>
      <c r="BB243" s="202"/>
      <c r="BC243" s="202"/>
      <c r="BD243" s="202"/>
      <c r="BE243" s="202"/>
      <c r="BF243" s="202"/>
      <c r="BG243" s="202"/>
    </row>
    <row r="244" spans="1:59" hidden="1" x14ac:dyDescent="0.25">
      <c r="A244" s="126"/>
      <c r="B244" s="198"/>
      <c r="C244" s="198"/>
      <c r="D244" s="198"/>
      <c r="E244" s="79"/>
      <c r="F244" s="126"/>
      <c r="G244" s="198"/>
      <c r="H244" s="199"/>
      <c r="I244" s="198"/>
      <c r="J244" s="199"/>
      <c r="K244" s="198"/>
      <c r="L244" s="199"/>
      <c r="M244" s="79"/>
      <c r="N244" s="126"/>
      <c r="O244" s="198"/>
      <c r="P244" s="199"/>
      <c r="Q244" s="200"/>
      <c r="R244" s="126"/>
      <c r="S244" s="201"/>
      <c r="T244" s="200"/>
      <c r="U244" s="126"/>
      <c r="V244" s="199"/>
      <c r="W244" s="198"/>
      <c r="X244" s="199"/>
      <c r="Y244" s="199"/>
      <c r="Z244" s="200"/>
      <c r="AA244" s="79"/>
      <c r="AB244" s="126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3"/>
      <c r="AO244" s="200"/>
      <c r="AP244" s="126"/>
      <c r="AQ244" s="79"/>
      <c r="AR244" s="199"/>
      <c r="AS244" s="200"/>
      <c r="AT244" s="200"/>
      <c r="AU244" s="126"/>
      <c r="AV244" s="199"/>
      <c r="AW244" s="198"/>
      <c r="AX244" s="199"/>
      <c r="AY244" s="186"/>
      <c r="AZ244" s="198"/>
      <c r="BA244" s="126"/>
      <c r="BB244" s="202"/>
      <c r="BC244" s="202"/>
      <c r="BD244" s="202"/>
      <c r="BE244" s="202"/>
      <c r="BF244" s="202"/>
      <c r="BG244" s="202"/>
    </row>
    <row r="245" spans="1:59" hidden="1" x14ac:dyDescent="0.25">
      <c r="A245" s="126"/>
      <c r="B245" s="198"/>
      <c r="C245" s="198"/>
      <c r="D245" s="198"/>
      <c r="E245" s="79"/>
      <c r="F245" s="126"/>
      <c r="G245" s="198"/>
      <c r="H245" s="199"/>
      <c r="I245" s="198"/>
      <c r="J245" s="199"/>
      <c r="K245" s="198"/>
      <c r="L245" s="199"/>
      <c r="M245" s="79"/>
      <c r="N245" s="126"/>
      <c r="O245" s="198"/>
      <c r="P245" s="199"/>
      <c r="Q245" s="200"/>
      <c r="R245" s="126"/>
      <c r="S245" s="201"/>
      <c r="T245" s="200"/>
      <c r="U245" s="126"/>
      <c r="V245" s="199"/>
      <c r="W245" s="198"/>
      <c r="X245" s="199"/>
      <c r="Y245" s="199"/>
      <c r="Z245" s="200"/>
      <c r="AA245" s="79"/>
      <c r="AB245" s="126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3"/>
      <c r="AO245" s="200"/>
      <c r="AP245" s="126"/>
      <c r="AQ245" s="79"/>
      <c r="AR245" s="199"/>
      <c r="AS245" s="200"/>
      <c r="AT245" s="200"/>
      <c r="AU245" s="126"/>
      <c r="AV245" s="199"/>
      <c r="AW245" s="198"/>
      <c r="AX245" s="199"/>
      <c r="AY245" s="186"/>
      <c r="AZ245" s="198"/>
      <c r="BA245" s="126"/>
      <c r="BB245" s="202"/>
      <c r="BC245" s="202"/>
      <c r="BD245" s="202"/>
      <c r="BE245" s="202"/>
      <c r="BF245" s="202"/>
      <c r="BG245" s="202"/>
    </row>
    <row r="246" spans="1:59" hidden="1" x14ac:dyDescent="0.25">
      <c r="A246" s="126"/>
      <c r="B246" s="198"/>
      <c r="C246" s="198"/>
      <c r="D246" s="198"/>
      <c r="E246" s="79"/>
      <c r="F246" s="126"/>
      <c r="G246" s="198"/>
      <c r="H246" s="199"/>
      <c r="I246" s="198"/>
      <c r="J246" s="199"/>
      <c r="K246" s="198"/>
      <c r="L246" s="199"/>
      <c r="M246" s="79"/>
      <c r="N246" s="126"/>
      <c r="O246" s="198"/>
      <c r="P246" s="199"/>
      <c r="Q246" s="200"/>
      <c r="R246" s="126"/>
      <c r="S246" s="201"/>
      <c r="T246" s="200"/>
      <c r="U246" s="126"/>
      <c r="V246" s="199"/>
      <c r="W246" s="198"/>
      <c r="X246" s="199"/>
      <c r="Y246" s="199"/>
      <c r="Z246" s="200"/>
      <c r="AA246" s="79"/>
      <c r="AB246" s="126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3"/>
      <c r="AO246" s="200"/>
      <c r="AP246" s="126"/>
      <c r="AQ246" s="79"/>
      <c r="AR246" s="199"/>
      <c r="AS246" s="200"/>
      <c r="AT246" s="200"/>
      <c r="AU246" s="126"/>
      <c r="AV246" s="199"/>
      <c r="AW246" s="198"/>
      <c r="AX246" s="199"/>
      <c r="AY246" s="186"/>
      <c r="AZ246" s="198"/>
      <c r="BA246" s="126"/>
      <c r="BB246" s="202"/>
      <c r="BC246" s="202"/>
      <c r="BD246" s="202"/>
      <c r="BE246" s="202"/>
      <c r="BF246" s="202"/>
      <c r="BG246" s="202"/>
    </row>
    <row r="247" spans="1:59" hidden="1" x14ac:dyDescent="0.25">
      <c r="A247" s="126"/>
      <c r="B247" s="198"/>
      <c r="C247" s="198"/>
      <c r="D247" s="198"/>
      <c r="E247" s="79"/>
      <c r="F247" s="126"/>
      <c r="G247" s="198"/>
      <c r="H247" s="199"/>
      <c r="I247" s="198"/>
      <c r="J247" s="199"/>
      <c r="K247" s="198"/>
      <c r="L247" s="199"/>
      <c r="M247" s="79"/>
      <c r="N247" s="126"/>
      <c r="O247" s="198"/>
      <c r="P247" s="199"/>
      <c r="Q247" s="200"/>
      <c r="R247" s="126"/>
      <c r="S247" s="201"/>
      <c r="T247" s="200"/>
      <c r="U247" s="126"/>
      <c r="V247" s="199"/>
      <c r="W247" s="198"/>
      <c r="X247" s="199"/>
      <c r="Y247" s="199"/>
      <c r="Z247" s="200"/>
      <c r="AA247" s="79"/>
      <c r="AB247" s="126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3"/>
      <c r="AO247" s="200"/>
      <c r="AP247" s="126"/>
      <c r="AQ247" s="79"/>
      <c r="AR247" s="199"/>
      <c r="AS247" s="200"/>
      <c r="AT247" s="200"/>
      <c r="AU247" s="126"/>
      <c r="AV247" s="199"/>
      <c r="AW247" s="198"/>
      <c r="AX247" s="199"/>
      <c r="AY247" s="186"/>
      <c r="AZ247" s="198"/>
      <c r="BA247" s="126"/>
      <c r="BB247" s="202"/>
      <c r="BC247" s="202"/>
      <c r="BD247" s="202"/>
      <c r="BE247" s="202"/>
      <c r="BF247" s="202"/>
      <c r="BG247" s="202"/>
    </row>
    <row r="248" spans="1:59" hidden="1" x14ac:dyDescent="0.25">
      <c r="A248" s="126"/>
      <c r="B248" s="198"/>
      <c r="C248" s="198"/>
      <c r="D248" s="198"/>
      <c r="E248" s="79"/>
      <c r="F248" s="126"/>
      <c r="G248" s="198"/>
      <c r="H248" s="199"/>
      <c r="I248" s="198"/>
      <c r="J248" s="199"/>
      <c r="K248" s="198"/>
      <c r="L248" s="199"/>
      <c r="M248" s="79"/>
      <c r="N248" s="126"/>
      <c r="O248" s="198"/>
      <c r="P248" s="199"/>
      <c r="Q248" s="200"/>
      <c r="R248" s="126"/>
      <c r="S248" s="201"/>
      <c r="T248" s="200"/>
      <c r="U248" s="126"/>
      <c r="V248" s="199"/>
      <c r="W248" s="198"/>
      <c r="X248" s="199"/>
      <c r="Y248" s="199"/>
      <c r="Z248" s="200"/>
      <c r="AA248" s="79"/>
      <c r="AB248" s="126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3"/>
      <c r="AO248" s="200"/>
      <c r="AP248" s="126"/>
      <c r="AQ248" s="79"/>
      <c r="AR248" s="199"/>
      <c r="AS248" s="200"/>
      <c r="AT248" s="200"/>
      <c r="AU248" s="126"/>
      <c r="AV248" s="199"/>
      <c r="AW248" s="198"/>
      <c r="AX248" s="199"/>
      <c r="AY248" s="186"/>
      <c r="AZ248" s="198"/>
      <c r="BA248" s="126"/>
      <c r="BB248" s="202"/>
      <c r="BC248" s="202"/>
      <c r="BD248" s="202"/>
      <c r="BE248" s="202"/>
      <c r="BF248" s="202"/>
      <c r="BG248" s="202"/>
    </row>
    <row r="249" spans="1:59" hidden="1" x14ac:dyDescent="0.25">
      <c r="A249" s="126"/>
      <c r="B249" s="198"/>
      <c r="C249" s="198"/>
      <c r="D249" s="198"/>
      <c r="E249" s="79"/>
      <c r="F249" s="126"/>
      <c r="G249" s="198"/>
      <c r="H249" s="199"/>
      <c r="I249" s="198"/>
      <c r="J249" s="199"/>
      <c r="K249" s="198"/>
      <c r="L249" s="199"/>
      <c r="M249" s="79"/>
      <c r="N249" s="126"/>
      <c r="O249" s="198"/>
      <c r="P249" s="199"/>
      <c r="Q249" s="200"/>
      <c r="R249" s="126"/>
      <c r="S249" s="201"/>
      <c r="T249" s="200"/>
      <c r="U249" s="126"/>
      <c r="V249" s="199"/>
      <c r="W249" s="198"/>
      <c r="X249" s="199"/>
      <c r="Y249" s="199"/>
      <c r="Z249" s="200"/>
      <c r="AA249" s="79"/>
      <c r="AB249" s="126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3"/>
      <c r="AO249" s="200"/>
      <c r="AP249" s="126"/>
      <c r="AQ249" s="79"/>
      <c r="AR249" s="199"/>
      <c r="AS249" s="200"/>
      <c r="AT249" s="200"/>
      <c r="AU249" s="126"/>
      <c r="AV249" s="199"/>
      <c r="AW249" s="198"/>
      <c r="AX249" s="199"/>
      <c r="AY249" s="186"/>
      <c r="AZ249" s="198"/>
      <c r="BA249" s="126"/>
      <c r="BB249" s="202"/>
      <c r="BC249" s="202"/>
      <c r="BD249" s="202"/>
      <c r="BE249" s="202"/>
      <c r="BF249" s="202"/>
      <c r="BG249" s="202"/>
    </row>
    <row r="250" spans="1:59" hidden="1" x14ac:dyDescent="0.25">
      <c r="A250" s="126"/>
      <c r="B250" s="198"/>
      <c r="C250" s="198"/>
      <c r="D250" s="198"/>
      <c r="E250" s="79"/>
      <c r="F250" s="126"/>
      <c r="G250" s="198"/>
      <c r="H250" s="199"/>
      <c r="I250" s="198"/>
      <c r="J250" s="199"/>
      <c r="K250" s="198"/>
      <c r="L250" s="199"/>
      <c r="M250" s="79"/>
      <c r="N250" s="126"/>
      <c r="O250" s="198"/>
      <c r="P250" s="199"/>
      <c r="Q250" s="200"/>
      <c r="R250" s="126"/>
      <c r="S250" s="201"/>
      <c r="T250" s="200"/>
      <c r="U250" s="126"/>
      <c r="V250" s="199"/>
      <c r="W250" s="198"/>
      <c r="X250" s="199"/>
      <c r="Y250" s="199"/>
      <c r="Z250" s="200"/>
      <c r="AA250" s="79"/>
      <c r="AB250" s="126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3"/>
      <c r="AO250" s="200"/>
      <c r="AP250" s="126"/>
      <c r="AQ250" s="79"/>
      <c r="AR250" s="199"/>
      <c r="AS250" s="200"/>
      <c r="AT250" s="200"/>
      <c r="AU250" s="126"/>
      <c r="AV250" s="199"/>
      <c r="AW250" s="198"/>
      <c r="AX250" s="199"/>
      <c r="AY250" s="186"/>
      <c r="AZ250" s="198"/>
      <c r="BA250" s="126"/>
      <c r="BB250" s="202"/>
      <c r="BC250" s="202"/>
      <c r="BD250" s="202"/>
      <c r="BE250" s="202"/>
      <c r="BF250" s="202"/>
      <c r="BG250" s="202"/>
    </row>
    <row r="251" spans="1:59" hidden="1" x14ac:dyDescent="0.25">
      <c r="A251" s="126"/>
      <c r="B251" s="198"/>
      <c r="C251" s="198"/>
      <c r="D251" s="198"/>
      <c r="E251" s="79"/>
      <c r="F251" s="126"/>
      <c r="G251" s="198"/>
      <c r="H251" s="199"/>
      <c r="I251" s="198"/>
      <c r="J251" s="199"/>
      <c r="K251" s="198"/>
      <c r="L251" s="199"/>
      <c r="M251" s="79"/>
      <c r="N251" s="126"/>
      <c r="O251" s="198"/>
      <c r="P251" s="199"/>
      <c r="Q251" s="200"/>
      <c r="R251" s="126"/>
      <c r="S251" s="201"/>
      <c r="T251" s="200"/>
      <c r="U251" s="126"/>
      <c r="V251" s="199"/>
      <c r="W251" s="198"/>
      <c r="X251" s="199"/>
      <c r="Y251" s="199"/>
      <c r="Z251" s="200"/>
      <c r="AA251" s="79"/>
      <c r="AB251" s="126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3"/>
      <c r="AO251" s="200"/>
      <c r="AP251" s="126"/>
      <c r="AQ251" s="79"/>
      <c r="AR251" s="199"/>
      <c r="AS251" s="200"/>
      <c r="AT251" s="200"/>
      <c r="AU251" s="126"/>
      <c r="AV251" s="199"/>
      <c r="AW251" s="198"/>
      <c r="AX251" s="199"/>
      <c r="AY251" s="186"/>
      <c r="AZ251" s="198"/>
      <c r="BA251" s="126"/>
      <c r="BB251" s="202"/>
      <c r="BC251" s="202"/>
      <c r="BD251" s="202"/>
      <c r="BE251" s="202"/>
      <c r="BF251" s="202"/>
      <c r="BG251" s="202"/>
    </row>
    <row r="252" spans="1:59" hidden="1" x14ac:dyDescent="0.25">
      <c r="A252" s="126"/>
      <c r="B252" s="198"/>
      <c r="C252" s="198"/>
      <c r="D252" s="198"/>
      <c r="E252" s="79"/>
      <c r="F252" s="126"/>
      <c r="G252" s="198"/>
      <c r="H252" s="199"/>
      <c r="I252" s="198"/>
      <c r="J252" s="199"/>
      <c r="K252" s="198"/>
      <c r="L252" s="199"/>
      <c r="M252" s="79"/>
      <c r="N252" s="126"/>
      <c r="O252" s="198"/>
      <c r="P252" s="199"/>
      <c r="Q252" s="200"/>
      <c r="R252" s="126"/>
      <c r="S252" s="201"/>
      <c r="T252" s="200"/>
      <c r="U252" s="126"/>
      <c r="V252" s="199"/>
      <c r="W252" s="198"/>
      <c r="X252" s="199"/>
      <c r="Y252" s="199"/>
      <c r="Z252" s="200"/>
      <c r="AA252" s="79"/>
      <c r="AB252" s="126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3"/>
      <c r="AO252" s="200"/>
      <c r="AP252" s="126"/>
      <c r="AQ252" s="79"/>
      <c r="AR252" s="199"/>
      <c r="AS252" s="200"/>
      <c r="AT252" s="200"/>
      <c r="AU252" s="126"/>
      <c r="AV252" s="199"/>
      <c r="AW252" s="198"/>
      <c r="AX252" s="199"/>
      <c r="AY252" s="186"/>
      <c r="AZ252" s="198"/>
      <c r="BA252" s="126"/>
      <c r="BB252" s="202"/>
      <c r="BC252" s="202"/>
      <c r="BD252" s="202"/>
      <c r="BE252" s="202"/>
      <c r="BF252" s="202"/>
      <c r="BG252" s="202"/>
    </row>
    <row r="253" spans="1:59" hidden="1" x14ac:dyDescent="0.25">
      <c r="A253" s="126"/>
      <c r="B253" s="198"/>
      <c r="C253" s="198"/>
      <c r="D253" s="198"/>
      <c r="E253" s="79"/>
      <c r="F253" s="126"/>
      <c r="G253" s="198"/>
      <c r="H253" s="199"/>
      <c r="I253" s="198"/>
      <c r="J253" s="199"/>
      <c r="K253" s="198"/>
      <c r="L253" s="199"/>
      <c r="M253" s="79"/>
      <c r="N253" s="126"/>
      <c r="O253" s="198"/>
      <c r="P253" s="199"/>
      <c r="Q253" s="200"/>
      <c r="R253" s="126"/>
      <c r="S253" s="201"/>
      <c r="T253" s="200"/>
      <c r="U253" s="126"/>
      <c r="V253" s="199"/>
      <c r="W253" s="198"/>
      <c r="X253" s="199"/>
      <c r="Y253" s="199"/>
      <c r="Z253" s="200"/>
      <c r="AA253" s="79"/>
      <c r="AB253" s="126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3"/>
      <c r="AO253" s="200"/>
      <c r="AP253" s="126"/>
      <c r="AQ253" s="79"/>
      <c r="AR253" s="199"/>
      <c r="AS253" s="200"/>
      <c r="AT253" s="200"/>
      <c r="AU253" s="126"/>
      <c r="AV253" s="199"/>
      <c r="AW253" s="198"/>
      <c r="AX253" s="199"/>
      <c r="AY253" s="186"/>
      <c r="AZ253" s="198"/>
      <c r="BA253" s="126"/>
      <c r="BB253" s="202"/>
      <c r="BC253" s="202"/>
      <c r="BD253" s="202"/>
      <c r="BE253" s="202"/>
      <c r="BF253" s="202"/>
      <c r="BG253" s="202"/>
    </row>
    <row r="254" spans="1:59" hidden="1" x14ac:dyDescent="0.25">
      <c r="A254" s="126"/>
      <c r="B254" s="198"/>
      <c r="C254" s="198"/>
      <c r="D254" s="198"/>
      <c r="E254" s="79"/>
      <c r="F254" s="126"/>
      <c r="G254" s="198"/>
      <c r="H254" s="199"/>
      <c r="I254" s="198"/>
      <c r="J254" s="199"/>
      <c r="K254" s="198"/>
      <c r="L254" s="199"/>
      <c r="M254" s="79"/>
      <c r="N254" s="126"/>
      <c r="O254" s="198"/>
      <c r="P254" s="199"/>
      <c r="Q254" s="200"/>
      <c r="R254" s="126"/>
      <c r="S254" s="201"/>
      <c r="T254" s="200"/>
      <c r="U254" s="126"/>
      <c r="V254" s="199"/>
      <c r="W254" s="198"/>
      <c r="X254" s="199"/>
      <c r="Y254" s="199"/>
      <c r="Z254" s="200"/>
      <c r="AA254" s="79"/>
      <c r="AB254" s="126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3"/>
      <c r="AO254" s="200"/>
      <c r="AP254" s="126"/>
      <c r="AQ254" s="79"/>
      <c r="AR254" s="199"/>
      <c r="AS254" s="200"/>
      <c r="AT254" s="200"/>
      <c r="AU254" s="126"/>
      <c r="AV254" s="199"/>
      <c r="AW254" s="198"/>
      <c r="AX254" s="199"/>
      <c r="AY254" s="186"/>
      <c r="AZ254" s="198"/>
      <c r="BA254" s="126"/>
      <c r="BB254" s="202"/>
      <c r="BC254" s="202"/>
      <c r="BD254" s="202"/>
      <c r="BE254" s="202"/>
      <c r="BF254" s="202"/>
      <c r="BG254" s="202"/>
    </row>
    <row r="255" spans="1:59" hidden="1" x14ac:dyDescent="0.25">
      <c r="A255" s="126"/>
      <c r="B255" s="198"/>
      <c r="C255" s="198"/>
      <c r="D255" s="198"/>
      <c r="E255" s="79"/>
      <c r="F255" s="126"/>
      <c r="G255" s="198"/>
      <c r="H255" s="199"/>
      <c r="I255" s="198"/>
      <c r="J255" s="199"/>
      <c r="K255" s="198"/>
      <c r="L255" s="199"/>
      <c r="M255" s="79"/>
      <c r="N255" s="126"/>
      <c r="O255" s="198"/>
      <c r="P255" s="199"/>
      <c r="Q255" s="200"/>
      <c r="R255" s="126"/>
      <c r="S255" s="201"/>
      <c r="T255" s="200"/>
      <c r="U255" s="126"/>
      <c r="V255" s="199"/>
      <c r="W255" s="198"/>
      <c r="X255" s="199"/>
      <c r="Y255" s="199"/>
      <c r="Z255" s="200"/>
      <c r="AA255" s="79"/>
      <c r="AB255" s="126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3"/>
      <c r="AO255" s="200"/>
      <c r="AP255" s="126"/>
      <c r="AQ255" s="79"/>
      <c r="AR255" s="199"/>
      <c r="AS255" s="200"/>
      <c r="AT255" s="200"/>
      <c r="AU255" s="126"/>
      <c r="AV255" s="199"/>
      <c r="AW255" s="198"/>
      <c r="AX255" s="199"/>
      <c r="AY255" s="186"/>
      <c r="AZ255" s="198"/>
      <c r="BA255" s="126"/>
      <c r="BB255" s="202"/>
      <c r="BC255" s="202"/>
      <c r="BD255" s="202"/>
      <c r="BE255" s="202"/>
      <c r="BF255" s="202"/>
      <c r="BG255" s="202"/>
    </row>
    <row r="256" spans="1:59" hidden="1" x14ac:dyDescent="0.25">
      <c r="A256" s="126"/>
      <c r="B256" s="198"/>
      <c r="C256" s="198"/>
      <c r="D256" s="198"/>
      <c r="E256" s="79"/>
      <c r="F256" s="126"/>
      <c r="G256" s="198"/>
      <c r="H256" s="199"/>
      <c r="I256" s="198"/>
      <c r="J256" s="199"/>
      <c r="K256" s="198"/>
      <c r="L256" s="199"/>
      <c r="M256" s="79"/>
      <c r="N256" s="126"/>
      <c r="O256" s="198"/>
      <c r="P256" s="199"/>
      <c r="Q256" s="200"/>
      <c r="R256" s="126"/>
      <c r="S256" s="201"/>
      <c r="T256" s="200"/>
      <c r="U256" s="126"/>
      <c r="V256" s="199"/>
      <c r="W256" s="198"/>
      <c r="X256" s="199"/>
      <c r="Y256" s="199"/>
      <c r="Z256" s="200"/>
      <c r="AA256" s="79"/>
      <c r="AB256" s="126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3"/>
      <c r="AO256" s="200"/>
      <c r="AP256" s="126"/>
      <c r="AQ256" s="79"/>
      <c r="AR256" s="199"/>
      <c r="AS256" s="200"/>
      <c r="AT256" s="200"/>
      <c r="AU256" s="126"/>
      <c r="AV256" s="199"/>
      <c r="AW256" s="198"/>
      <c r="AX256" s="199"/>
      <c r="AY256" s="186"/>
      <c r="AZ256" s="198"/>
      <c r="BA256" s="126"/>
      <c r="BB256" s="202"/>
      <c r="BC256" s="202"/>
      <c r="BD256" s="202"/>
      <c r="BE256" s="202"/>
      <c r="BF256" s="202"/>
      <c r="BG256" s="202"/>
    </row>
    <row r="257" spans="1:59" hidden="1" x14ac:dyDescent="0.25">
      <c r="A257" s="126"/>
      <c r="B257" s="198"/>
      <c r="C257" s="198"/>
      <c r="D257" s="198"/>
      <c r="E257" s="79"/>
      <c r="F257" s="126"/>
      <c r="G257" s="198"/>
      <c r="H257" s="199"/>
      <c r="I257" s="198"/>
      <c r="J257" s="199"/>
      <c r="K257" s="198"/>
      <c r="L257" s="199"/>
      <c r="M257" s="79"/>
      <c r="N257" s="126"/>
      <c r="O257" s="198"/>
      <c r="P257" s="199"/>
      <c r="Q257" s="200"/>
      <c r="R257" s="126"/>
      <c r="S257" s="201"/>
      <c r="T257" s="200"/>
      <c r="U257" s="126"/>
      <c r="V257" s="199"/>
      <c r="W257" s="198"/>
      <c r="X257" s="199"/>
      <c r="Y257" s="199"/>
      <c r="Z257" s="200"/>
      <c r="AA257" s="79"/>
      <c r="AB257" s="126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3"/>
      <c r="AO257" s="200"/>
      <c r="AP257" s="126"/>
      <c r="AQ257" s="79"/>
      <c r="AR257" s="199"/>
      <c r="AS257" s="200"/>
      <c r="AT257" s="200"/>
      <c r="AU257" s="126"/>
      <c r="AV257" s="199"/>
      <c r="AW257" s="198"/>
      <c r="AX257" s="199"/>
      <c r="AY257" s="186"/>
      <c r="AZ257" s="198"/>
      <c r="BA257" s="126"/>
      <c r="BB257" s="202"/>
      <c r="BC257" s="202"/>
      <c r="BD257" s="202"/>
      <c r="BE257" s="202"/>
      <c r="BF257" s="202"/>
      <c r="BG257" s="202"/>
    </row>
    <row r="258" spans="1:59" hidden="1" x14ac:dyDescent="0.25">
      <c r="A258" s="126"/>
      <c r="B258" s="198"/>
      <c r="C258" s="198"/>
      <c r="D258" s="198"/>
      <c r="E258" s="79"/>
      <c r="F258" s="126"/>
      <c r="G258" s="198"/>
      <c r="H258" s="199"/>
      <c r="I258" s="198"/>
      <c r="J258" s="199"/>
      <c r="K258" s="198"/>
      <c r="L258" s="199"/>
      <c r="M258" s="79"/>
      <c r="N258" s="126"/>
      <c r="O258" s="198"/>
      <c r="P258" s="199"/>
      <c r="Q258" s="200"/>
      <c r="R258" s="126"/>
      <c r="S258" s="201"/>
      <c r="T258" s="200"/>
      <c r="U258" s="126"/>
      <c r="V258" s="199"/>
      <c r="W258" s="198"/>
      <c r="X258" s="199"/>
      <c r="Y258" s="199"/>
      <c r="Z258" s="200"/>
      <c r="AA258" s="79"/>
      <c r="AB258" s="126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3"/>
      <c r="AO258" s="200"/>
      <c r="AP258" s="126"/>
      <c r="AQ258" s="79"/>
      <c r="AR258" s="199"/>
      <c r="AS258" s="200"/>
      <c r="AT258" s="200"/>
      <c r="AU258" s="126"/>
      <c r="AV258" s="199"/>
      <c r="AW258" s="198"/>
      <c r="AX258" s="199"/>
      <c r="AY258" s="186"/>
      <c r="AZ258" s="198"/>
      <c r="BA258" s="126"/>
      <c r="BB258" s="202"/>
      <c r="BC258" s="202"/>
      <c r="BD258" s="202"/>
      <c r="BE258" s="202"/>
      <c r="BF258" s="202"/>
      <c r="BG258" s="202"/>
    </row>
    <row r="259" spans="1:59" hidden="1" x14ac:dyDescent="0.25">
      <c r="A259" s="126"/>
      <c r="B259" s="198"/>
      <c r="C259" s="198"/>
      <c r="D259" s="198"/>
      <c r="E259" s="79"/>
      <c r="F259" s="126"/>
      <c r="G259" s="198"/>
      <c r="H259" s="199"/>
      <c r="I259" s="198"/>
      <c r="J259" s="199"/>
      <c r="K259" s="198"/>
      <c r="L259" s="199"/>
      <c r="M259" s="79"/>
      <c r="N259" s="126"/>
      <c r="O259" s="198"/>
      <c r="P259" s="199"/>
      <c r="Q259" s="200"/>
      <c r="R259" s="126"/>
      <c r="S259" s="201"/>
      <c r="T259" s="200"/>
      <c r="U259" s="126"/>
      <c r="V259" s="199"/>
      <c r="W259" s="198"/>
      <c r="X259" s="199"/>
      <c r="Y259" s="199"/>
      <c r="Z259" s="200"/>
      <c r="AA259" s="79"/>
      <c r="AB259" s="126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3"/>
      <c r="AO259" s="200"/>
      <c r="AP259" s="126"/>
      <c r="AQ259" s="79"/>
      <c r="AR259" s="199"/>
      <c r="AS259" s="200"/>
      <c r="AT259" s="200"/>
      <c r="AU259" s="126"/>
      <c r="AV259" s="199"/>
      <c r="AW259" s="198"/>
      <c r="AX259" s="199"/>
      <c r="AY259" s="186"/>
      <c r="AZ259" s="198"/>
      <c r="BA259" s="126"/>
      <c r="BB259" s="202"/>
      <c r="BC259" s="202"/>
      <c r="BD259" s="202"/>
      <c r="BE259" s="202"/>
      <c r="BF259" s="202"/>
      <c r="BG259" s="202"/>
    </row>
    <row r="260" spans="1:59" hidden="1" x14ac:dyDescent="0.25">
      <c r="A260" s="126"/>
      <c r="B260" s="198"/>
      <c r="C260" s="198"/>
      <c r="D260" s="198"/>
      <c r="E260" s="79"/>
      <c r="F260" s="126"/>
      <c r="G260" s="198"/>
      <c r="H260" s="199"/>
      <c r="I260" s="198"/>
      <c r="J260" s="199"/>
      <c r="K260" s="198"/>
      <c r="L260" s="199"/>
      <c r="M260" s="79"/>
      <c r="N260" s="126"/>
      <c r="O260" s="198"/>
      <c r="P260" s="199"/>
      <c r="Q260" s="200"/>
      <c r="R260" s="126"/>
      <c r="S260" s="201"/>
      <c r="T260" s="200"/>
      <c r="U260" s="126"/>
      <c r="V260" s="199"/>
      <c r="W260" s="198"/>
      <c r="X260" s="199"/>
      <c r="Y260" s="199"/>
      <c r="Z260" s="200"/>
      <c r="AA260" s="79"/>
      <c r="AB260" s="126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3"/>
      <c r="AO260" s="200"/>
      <c r="AP260" s="126"/>
      <c r="AQ260" s="79"/>
      <c r="AR260" s="199"/>
      <c r="AS260" s="200"/>
      <c r="AT260" s="200"/>
      <c r="AU260" s="126"/>
      <c r="AV260" s="199"/>
      <c r="AW260" s="198"/>
      <c r="AX260" s="199"/>
      <c r="AY260" s="186"/>
      <c r="AZ260" s="198"/>
      <c r="BA260" s="126"/>
      <c r="BB260" s="202"/>
      <c r="BC260" s="202"/>
      <c r="BD260" s="202"/>
      <c r="BE260" s="202"/>
      <c r="BF260" s="202"/>
      <c r="BG260" s="202"/>
    </row>
    <row r="261" spans="1:59" hidden="1" x14ac:dyDescent="0.25">
      <c r="A261" s="126"/>
      <c r="B261" s="198"/>
      <c r="C261" s="198"/>
      <c r="D261" s="198"/>
      <c r="E261" s="79"/>
      <c r="F261" s="126"/>
      <c r="G261" s="198"/>
      <c r="H261" s="199"/>
      <c r="I261" s="198"/>
      <c r="J261" s="199"/>
      <c r="K261" s="198"/>
      <c r="L261" s="199"/>
      <c r="M261" s="79"/>
      <c r="N261" s="126"/>
      <c r="O261" s="198"/>
      <c r="P261" s="199"/>
      <c r="Q261" s="200"/>
      <c r="R261" s="126"/>
      <c r="S261" s="201"/>
      <c r="T261" s="200"/>
      <c r="U261" s="126"/>
      <c r="V261" s="199"/>
      <c r="W261" s="198"/>
      <c r="X261" s="199"/>
      <c r="Y261" s="199"/>
      <c r="Z261" s="200"/>
      <c r="AA261" s="79"/>
      <c r="AB261" s="126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3"/>
      <c r="AO261" s="200"/>
      <c r="AP261" s="126"/>
      <c r="AQ261" s="79"/>
      <c r="AR261" s="199"/>
      <c r="AS261" s="200"/>
      <c r="AT261" s="200"/>
      <c r="AU261" s="126"/>
      <c r="AV261" s="199"/>
      <c r="AW261" s="198"/>
      <c r="AX261" s="199"/>
      <c r="AY261" s="186"/>
      <c r="AZ261" s="198"/>
      <c r="BA261" s="126"/>
      <c r="BB261" s="202"/>
      <c r="BC261" s="202"/>
      <c r="BD261" s="202"/>
      <c r="BE261" s="202"/>
      <c r="BF261" s="202"/>
      <c r="BG261" s="202"/>
    </row>
    <row r="262" spans="1:59" hidden="1" x14ac:dyDescent="0.25">
      <c r="A262" s="126"/>
      <c r="B262" s="198"/>
      <c r="C262" s="198"/>
      <c r="D262" s="198"/>
      <c r="E262" s="79"/>
      <c r="F262" s="126"/>
      <c r="G262" s="198"/>
      <c r="H262" s="199"/>
      <c r="I262" s="198"/>
      <c r="J262" s="199"/>
      <c r="K262" s="198"/>
      <c r="L262" s="199"/>
      <c r="M262" s="79"/>
      <c r="N262" s="126"/>
      <c r="O262" s="198"/>
      <c r="P262" s="199"/>
      <c r="Q262" s="200"/>
      <c r="R262" s="126"/>
      <c r="S262" s="201"/>
      <c r="T262" s="200"/>
      <c r="U262" s="126"/>
      <c r="V262" s="199"/>
      <c r="W262" s="198"/>
      <c r="X262" s="199"/>
      <c r="Y262" s="199"/>
      <c r="Z262" s="200"/>
      <c r="AA262" s="79"/>
      <c r="AB262" s="126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3"/>
      <c r="AO262" s="200"/>
      <c r="AP262" s="126"/>
      <c r="AQ262" s="79"/>
      <c r="AR262" s="199"/>
      <c r="AS262" s="200"/>
      <c r="AT262" s="200"/>
      <c r="AU262" s="126"/>
      <c r="AV262" s="199"/>
      <c r="AW262" s="198"/>
      <c r="AX262" s="199"/>
      <c r="AY262" s="186"/>
      <c r="AZ262" s="198"/>
      <c r="BA262" s="126"/>
      <c r="BB262" s="202"/>
      <c r="BC262" s="202"/>
      <c r="BD262" s="202"/>
      <c r="BE262" s="202"/>
      <c r="BF262" s="202"/>
      <c r="BG262" s="202"/>
    </row>
    <row r="263" spans="1:59" hidden="1" x14ac:dyDescent="0.25">
      <c r="A263" s="126"/>
      <c r="B263" s="198"/>
      <c r="C263" s="198"/>
      <c r="D263" s="198"/>
      <c r="E263" s="79"/>
      <c r="F263" s="126"/>
      <c r="G263" s="198"/>
      <c r="H263" s="199"/>
      <c r="I263" s="198"/>
      <c r="J263" s="199"/>
      <c r="K263" s="198"/>
      <c r="L263" s="199"/>
      <c r="M263" s="79"/>
      <c r="N263" s="126"/>
      <c r="O263" s="198"/>
      <c r="P263" s="199"/>
      <c r="Q263" s="200"/>
      <c r="R263" s="126"/>
      <c r="S263" s="201"/>
      <c r="T263" s="200"/>
      <c r="U263" s="126"/>
      <c r="V263" s="199"/>
      <c r="W263" s="198"/>
      <c r="X263" s="199"/>
      <c r="Y263" s="199"/>
      <c r="Z263" s="200"/>
      <c r="AA263" s="79"/>
      <c r="AB263" s="126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3"/>
      <c r="AO263" s="200"/>
      <c r="AP263" s="126"/>
      <c r="AQ263" s="79"/>
      <c r="AR263" s="199"/>
      <c r="AS263" s="200"/>
      <c r="AT263" s="200"/>
      <c r="AU263" s="126"/>
      <c r="AV263" s="199"/>
      <c r="AW263" s="198"/>
      <c r="AX263" s="199"/>
      <c r="AY263" s="186"/>
      <c r="AZ263" s="198"/>
      <c r="BA263" s="126"/>
      <c r="BB263" s="202"/>
      <c r="BC263" s="202"/>
      <c r="BD263" s="202"/>
      <c r="BE263" s="202"/>
      <c r="BF263" s="202"/>
      <c r="BG263" s="202"/>
    </row>
    <row r="264" spans="1:59" hidden="1" x14ac:dyDescent="0.25">
      <c r="A264" s="126"/>
      <c r="B264" s="198"/>
      <c r="C264" s="198"/>
      <c r="D264" s="198"/>
      <c r="E264" s="79"/>
      <c r="F264" s="126"/>
      <c r="G264" s="198"/>
      <c r="H264" s="199"/>
      <c r="I264" s="198"/>
      <c r="J264" s="199"/>
      <c r="K264" s="198"/>
      <c r="L264" s="199"/>
      <c r="M264" s="79"/>
      <c r="N264" s="126"/>
      <c r="O264" s="198"/>
      <c r="P264" s="199"/>
      <c r="Q264" s="200"/>
      <c r="R264" s="126"/>
      <c r="S264" s="201"/>
      <c r="T264" s="200"/>
      <c r="U264" s="126"/>
      <c r="V264" s="199"/>
      <c r="W264" s="198"/>
      <c r="X264" s="199"/>
      <c r="Y264" s="199"/>
      <c r="Z264" s="200"/>
      <c r="AA264" s="79"/>
      <c r="AB264" s="126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3"/>
      <c r="AO264" s="200"/>
      <c r="AP264" s="126"/>
      <c r="AQ264" s="79"/>
      <c r="AR264" s="199"/>
      <c r="AS264" s="200"/>
      <c r="AT264" s="200"/>
      <c r="AU264" s="126"/>
      <c r="AV264" s="199"/>
      <c r="AW264" s="198"/>
      <c r="AX264" s="199"/>
      <c r="AY264" s="186"/>
      <c r="AZ264" s="198"/>
      <c r="BA264" s="126"/>
      <c r="BB264" s="202"/>
      <c r="BC264" s="202"/>
      <c r="BD264" s="202"/>
      <c r="BE264" s="202"/>
      <c r="BF264" s="202"/>
      <c r="BG264" s="202"/>
    </row>
    <row r="265" spans="1:59" hidden="1" x14ac:dyDescent="0.25">
      <c r="A265" s="126"/>
      <c r="B265" s="198"/>
      <c r="C265" s="198"/>
      <c r="D265" s="198"/>
      <c r="E265" s="79"/>
      <c r="F265" s="126"/>
      <c r="G265" s="198"/>
      <c r="H265" s="199"/>
      <c r="I265" s="198"/>
      <c r="J265" s="199"/>
      <c r="K265" s="198"/>
      <c r="L265" s="199"/>
      <c r="M265" s="79"/>
      <c r="N265" s="126"/>
      <c r="O265" s="198"/>
      <c r="P265" s="199"/>
      <c r="Q265" s="200"/>
      <c r="R265" s="126"/>
      <c r="S265" s="201"/>
      <c r="T265" s="200"/>
      <c r="U265" s="126"/>
      <c r="V265" s="199"/>
      <c r="W265" s="198"/>
      <c r="X265" s="199"/>
      <c r="Y265" s="199"/>
      <c r="Z265" s="200"/>
      <c r="AA265" s="79"/>
      <c r="AB265" s="126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3"/>
      <c r="AO265" s="200"/>
      <c r="AP265" s="126"/>
      <c r="AQ265" s="79"/>
      <c r="AR265" s="199"/>
      <c r="AS265" s="200"/>
      <c r="AT265" s="200"/>
      <c r="AU265" s="126"/>
      <c r="AV265" s="199"/>
      <c r="AW265" s="198"/>
      <c r="AX265" s="199"/>
      <c r="AY265" s="186"/>
      <c r="AZ265" s="198"/>
      <c r="BA265" s="126"/>
      <c r="BB265" s="202"/>
      <c r="BC265" s="202"/>
      <c r="BD265" s="202"/>
      <c r="BE265" s="202"/>
      <c r="BF265" s="202"/>
      <c r="BG265" s="202"/>
    </row>
    <row r="266" spans="1:59" hidden="1" x14ac:dyDescent="0.25">
      <c r="A266" s="126"/>
      <c r="B266" s="198"/>
      <c r="C266" s="198"/>
      <c r="D266" s="198"/>
      <c r="E266" s="79"/>
      <c r="F266" s="126"/>
      <c r="G266" s="198"/>
      <c r="H266" s="199"/>
      <c r="I266" s="198"/>
      <c r="J266" s="199"/>
      <c r="K266" s="198"/>
      <c r="L266" s="199"/>
      <c r="M266" s="79"/>
      <c r="N266" s="126"/>
      <c r="O266" s="198"/>
      <c r="P266" s="199"/>
      <c r="Q266" s="200"/>
      <c r="R266" s="126"/>
      <c r="S266" s="201"/>
      <c r="T266" s="200"/>
      <c r="U266" s="126"/>
      <c r="V266" s="199"/>
      <c r="W266" s="198"/>
      <c r="X266" s="199"/>
      <c r="Y266" s="199"/>
      <c r="Z266" s="200"/>
      <c r="AA266" s="79"/>
      <c r="AB266" s="126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3"/>
      <c r="AO266" s="200"/>
      <c r="AP266" s="126"/>
      <c r="AQ266" s="79"/>
      <c r="AR266" s="199"/>
      <c r="AS266" s="200"/>
      <c r="AT266" s="200"/>
      <c r="AU266" s="126"/>
      <c r="AV266" s="199"/>
      <c r="AW266" s="198"/>
      <c r="AX266" s="199"/>
      <c r="AY266" s="186"/>
      <c r="AZ266" s="198"/>
      <c r="BA266" s="126"/>
      <c r="BB266" s="202"/>
      <c r="BC266" s="202"/>
      <c r="BD266" s="202"/>
      <c r="BE266" s="202"/>
      <c r="BF266" s="202"/>
      <c r="BG266" s="202"/>
    </row>
  </sheetData>
  <protectedRanges>
    <protectedRange sqref="C3:G3" name="Bereik1_4"/>
    <protectedRange sqref="C4:G4" name="Bereik1_6"/>
    <protectedRange sqref="D5:G5 D6:D234" name="Bereik1_7"/>
    <protectedRange sqref="E6:G6 E8:V8 O9:O234 BK8:IB8 AL8:BH8 X8:AI8" name="Bereik1_8"/>
  </protectedRanges>
  <mergeCells count="3">
    <mergeCell ref="AI3:AJ3"/>
    <mergeCell ref="BE3:BF3"/>
    <mergeCell ref="BI3:BJ3"/>
  </mergeCells>
  <pageMargins left="0.7" right="0.7" top="0.75" bottom="0.75" header="0.3" footer="0.3"/>
  <pageSetup paperSize="0" orientation="portrait" horizontalDpi="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BO67"/>
  <sheetViews>
    <sheetView showGridLines="0" topLeftCell="AF1" zoomScale="70" zoomScaleNormal="70" workbookViewId="0">
      <selection activeCell="AJ6" sqref="AJ6"/>
    </sheetView>
  </sheetViews>
  <sheetFormatPr defaultRowHeight="15" outlineLevelCol="1" x14ac:dyDescent="0.25"/>
  <cols>
    <col min="1" max="1" width="1.5703125" style="60" customWidth="1"/>
    <col min="2" max="2" width="4.85546875" style="60" customWidth="1" outlineLevel="1"/>
    <col min="3" max="4" width="6" style="60" customWidth="1" outlineLevel="1"/>
    <col min="5" max="6" width="6.5703125" style="60" customWidth="1" outlineLevel="1"/>
    <col min="7" max="7" width="8.7109375" style="60" customWidth="1" outlineLevel="1"/>
    <col min="8" max="8" width="11.5703125" style="60" customWidth="1" outlineLevel="1"/>
    <col min="9" max="9" width="9.28515625" style="60" customWidth="1" outlineLevel="1"/>
    <col min="10" max="10" width="9.7109375" style="60" customWidth="1" outlineLevel="1"/>
    <col min="11" max="11" width="10.42578125" style="60" customWidth="1" outlineLevel="1"/>
    <col min="12" max="14" width="8.7109375" style="60" customWidth="1" outlineLevel="1"/>
    <col min="15" max="15" width="10.5703125" style="60" customWidth="1" outlineLevel="1"/>
    <col min="16" max="16" width="9.85546875" style="60" customWidth="1" outlineLevel="1"/>
    <col min="17" max="17" width="8.7109375" style="60" customWidth="1" outlineLevel="1"/>
    <col min="18" max="18" width="10.28515625" style="60" customWidth="1" outlineLevel="1"/>
    <col min="19" max="19" width="17" style="60" customWidth="1" outlineLevel="1"/>
    <col min="20" max="21" width="10.42578125" style="60" customWidth="1" outlineLevel="1"/>
    <col min="22" max="22" width="14.140625" style="60" customWidth="1" outlineLevel="1"/>
    <col min="23" max="28" width="8.85546875" style="60" customWidth="1" outlineLevel="1"/>
    <col min="29" max="29" width="9.7109375" style="60" customWidth="1" outlineLevel="1"/>
    <col min="30" max="31" width="9.5703125" style="60" customWidth="1" outlineLevel="1"/>
    <col min="32" max="32" width="10.7109375" style="60" customWidth="1" outlineLevel="1"/>
    <col min="33" max="33" width="9.5703125" style="60" customWidth="1" outlineLevel="1"/>
    <col min="34" max="34" width="3.140625" style="60" customWidth="1" outlineLevel="1"/>
    <col min="35" max="35" width="12.85546875" style="60" customWidth="1"/>
    <col min="36" max="36" width="10" style="60" customWidth="1"/>
    <col min="37" max="40" width="12.7109375" style="60" customWidth="1"/>
    <col min="41" max="41" width="11.85546875" style="60" bestFit="1" customWidth="1"/>
    <col min="42" max="42" width="9.85546875" style="60" bestFit="1" customWidth="1"/>
    <col min="43" max="43" width="12.5703125" style="60" customWidth="1"/>
    <col min="44" max="44" width="10.7109375" style="60" customWidth="1"/>
    <col min="45" max="45" width="10.85546875" style="60" customWidth="1"/>
    <col min="46" max="46" width="12.42578125" style="60" customWidth="1"/>
    <col min="47" max="47" width="16.42578125" style="60" bestFit="1" customWidth="1"/>
    <col min="48" max="48" width="16.42578125" style="60" customWidth="1"/>
    <col min="49" max="49" width="12.28515625" style="60" customWidth="1"/>
    <col min="50" max="50" width="12.140625" style="60" customWidth="1"/>
    <col min="51" max="51" width="11.85546875" style="60" customWidth="1"/>
    <col min="52" max="52" width="13" style="60" customWidth="1"/>
    <col min="53" max="53" width="13.7109375" style="60" customWidth="1"/>
    <col min="54" max="54" width="11.85546875" style="60" bestFit="1" customWidth="1"/>
    <col min="55" max="55" width="8.7109375" style="60" customWidth="1"/>
    <col min="56" max="56" width="12.7109375" style="60" customWidth="1"/>
    <col min="57" max="57" width="12.140625" style="60" customWidth="1"/>
    <col min="58" max="58" width="13.7109375" style="60" customWidth="1"/>
    <col min="59" max="59" width="11.5703125" style="60" bestFit="1" customWidth="1"/>
    <col min="60" max="60" width="13.28515625" style="60" customWidth="1"/>
    <col min="61" max="61" width="1.85546875" style="60" customWidth="1"/>
    <col min="62" max="16384" width="9.140625" style="60"/>
  </cols>
  <sheetData>
    <row r="1" spans="1:62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59"/>
    </row>
    <row r="2" spans="1:62" x14ac:dyDescent="0.25">
      <c r="A2" s="61"/>
      <c r="E2" s="80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</row>
    <row r="3" spans="1:62" ht="15" customHeight="1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94" t="s">
        <v>703</v>
      </c>
      <c r="R3" s="81" t="s">
        <v>666</v>
      </c>
      <c r="S3" s="92" t="s">
        <v>667</v>
      </c>
      <c r="T3" s="81" t="s">
        <v>667</v>
      </c>
      <c r="AH3" s="64"/>
      <c r="AI3" s="62" t="s">
        <v>16</v>
      </c>
      <c r="AJ3" s="62" t="s">
        <v>16</v>
      </c>
      <c r="AK3" s="62" t="s">
        <v>672</v>
      </c>
      <c r="AL3" s="27" t="s">
        <v>704</v>
      </c>
      <c r="AM3" s="27" t="s">
        <v>704</v>
      </c>
      <c r="AN3" s="27" t="s">
        <v>672</v>
      </c>
      <c r="AO3" s="62" t="s">
        <v>673</v>
      </c>
      <c r="AP3" s="62" t="s">
        <v>705</v>
      </c>
      <c r="AQ3" s="62" t="s">
        <v>674</v>
      </c>
      <c r="AR3" s="62" t="s">
        <v>706</v>
      </c>
      <c r="AS3" s="62" t="s">
        <v>675</v>
      </c>
      <c r="AT3" s="62" t="s">
        <v>676</v>
      </c>
      <c r="AU3" s="62" t="s">
        <v>588</v>
      </c>
      <c r="AV3" s="62" t="s">
        <v>707</v>
      </c>
      <c r="AW3" s="62" t="s">
        <v>677</v>
      </c>
      <c r="AX3" s="62" t="s">
        <v>673</v>
      </c>
      <c r="AY3" s="62" t="s">
        <v>708</v>
      </c>
      <c r="AZ3" s="62" t="s">
        <v>678</v>
      </c>
      <c r="BA3" s="62" t="s">
        <v>679</v>
      </c>
      <c r="BB3" s="62" t="s">
        <v>679</v>
      </c>
      <c r="BC3" s="62" t="s">
        <v>679</v>
      </c>
      <c r="BD3" s="62" t="s">
        <v>679</v>
      </c>
      <c r="BE3" s="62" t="s">
        <v>679</v>
      </c>
      <c r="BF3" s="62" t="s">
        <v>680</v>
      </c>
      <c r="BG3" s="62" t="s">
        <v>680</v>
      </c>
      <c r="BH3" s="62" t="s">
        <v>681</v>
      </c>
      <c r="BI3" s="59"/>
    </row>
    <row r="4" spans="1:62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94" t="s">
        <v>710</v>
      </c>
      <c r="R4" s="81" t="s">
        <v>711</v>
      </c>
      <c r="S4" s="92" t="s">
        <v>710</v>
      </c>
      <c r="T4" s="81" t="s">
        <v>711</v>
      </c>
      <c r="AH4" s="64"/>
      <c r="AI4" s="62" t="s">
        <v>712</v>
      </c>
      <c r="AJ4" s="62" t="s">
        <v>683</v>
      </c>
      <c r="AK4" s="62" t="s">
        <v>684</v>
      </c>
      <c r="AL4" s="27" t="s">
        <v>713</v>
      </c>
      <c r="AM4" s="27" t="s">
        <v>683</v>
      </c>
      <c r="AN4" s="27" t="s">
        <v>714</v>
      </c>
      <c r="AO4" s="62" t="s">
        <v>715</v>
      </c>
      <c r="AP4" s="62" t="s">
        <v>685</v>
      </c>
      <c r="AQ4" s="62" t="s">
        <v>685</v>
      </c>
      <c r="AR4" s="62" t="s">
        <v>716</v>
      </c>
      <c r="AS4" s="62" t="s">
        <v>685</v>
      </c>
      <c r="AT4" s="62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685</v>
      </c>
      <c r="AZ4" s="62" t="s">
        <v>690</v>
      </c>
      <c r="BA4" s="62" t="s">
        <v>691</v>
      </c>
      <c r="BB4" s="62" t="s">
        <v>689</v>
      </c>
      <c r="BC4" s="62" t="s">
        <v>718</v>
      </c>
      <c r="BD4" s="62" t="s">
        <v>692</v>
      </c>
      <c r="BE4" s="62" t="s">
        <v>719</v>
      </c>
      <c r="BF4" s="62" t="s">
        <v>693</v>
      </c>
      <c r="BG4" s="62" t="s">
        <v>694</v>
      </c>
      <c r="BH4" s="65">
        <v>5.2037588465588328E-2</v>
      </c>
      <c r="BI4" s="59"/>
    </row>
    <row r="5" spans="1:62" x14ac:dyDescent="0.25">
      <c r="A5" s="59"/>
      <c r="B5" s="66">
        <v>1</v>
      </c>
      <c r="C5" s="67">
        <f ca="1">IF(AND(E5&gt;='Invoer gegevens'!$C$17,E5&lt;'Invoer gegevens'!$C$17+15),1,0)</f>
        <v>1</v>
      </c>
      <c r="D5" s="68">
        <v>0.5</v>
      </c>
      <c r="E5" s="69">
        <f ca="1">IF('Invoer gegevens'!$C$16="","",'Invoer gegevens'!$C$16)</f>
        <v>2019</v>
      </c>
      <c r="F5" s="82">
        <f ca="1">IF('Invoer gegevens'!$C$17=E5,'Invoer gegevens'!$C$10,IF(C5=1,H4,0))</f>
        <v>0</v>
      </c>
      <c r="G5" s="83">
        <f ca="1">IF(E5='Invoer gegevens'!$C$17+15,H4,IF(C5&gt;=1,F5*Reeksen!C5,0))</f>
        <v>0</v>
      </c>
      <c r="H5" s="84">
        <f ca="1">IF(E5&gt;='Invoer gegevens'!$C$17+15,0,F5-G5)</f>
        <v>0</v>
      </c>
      <c r="I5" s="85">
        <f ca="1">IF('Invoer gegevens'!$C$17=E5,'Invoer gegevens'!$C$11,IF(C5=1,L4,0))</f>
        <v>0</v>
      </c>
      <c r="J5" s="86">
        <f ca="1">IF(E5='Invoer gegevens'!$C$17+15,L4,IF(C5&lt;1,0,IF(Reeksen!AD5&lt;=Reeksen!AE5,I5*Reeksen!C5,0)))</f>
        <v>0</v>
      </c>
      <c r="K5" s="86">
        <f ca="1">IF(E5='Invoer gegevens'!$C$17+15,L4,IF(C5&lt;1,0,IF(Reeksen!AD5&gt;Reeksen!AE5,I5*Reeksen!C5,0)))</f>
        <v>0</v>
      </c>
      <c r="L5" s="86">
        <f ca="1">IF(E5&gt;='Invoer gegevens'!$C$17+15,0,I5-J5-K5)</f>
        <v>0</v>
      </c>
      <c r="M5" s="85">
        <f ca="1">IF('Invoer gegevens'!$C$17=E5,'Invoer gegevens'!$C$10-'Invoer gegevens'!$C$11,IF(C5=1,P4,0))</f>
        <v>0</v>
      </c>
      <c r="N5" s="86">
        <f ca="1">IF(E5='Invoer gegevens'!$C$17+15,P4,IF(C5&lt;1,0,IF(Reeksen!AD5&lt;=Reeksen!AE5,M5*Reeksen!C5,0)))</f>
        <v>0</v>
      </c>
      <c r="O5" s="86">
        <f ca="1">IF(E5='Invoer gegevens'!$C$17+15,P4,IF(C5&lt;1,0,IF(Reeksen!AD5&gt;Reeksen!AE5,M5*Reeksen!C5,0)))</f>
        <v>0</v>
      </c>
      <c r="P5" s="86">
        <f ca="1">IF(E5&gt;='Invoer gegevens'!$C$17+15,0,M5-N5-O5)</f>
        <v>0</v>
      </c>
      <c r="Q5" s="82">
        <f ca="1">IF('Invoer gegevens'!$C$17=E5,I5,IF(C5=0,0,R4))</f>
        <v>0</v>
      </c>
      <c r="R5" s="84">
        <f t="shared" ref="R5:R29" ca="1" si="0">IF(C5=0,0,Q5-K5+N5)</f>
        <v>0</v>
      </c>
      <c r="S5" s="84">
        <f ca="1">IF('Invoer gegevens'!$C$17=E5,M5,IF(C5=0,0,T4))</f>
        <v>0</v>
      </c>
      <c r="T5" s="84">
        <f t="shared" ref="T5:T29" ca="1" si="1">IF(C5=0,0,S5-N5+K5)</f>
        <v>0</v>
      </c>
      <c r="AH5" s="70"/>
      <c r="AI5" s="71">
        <f ca="1">IF(C5=1,((F5+H5)/2*Reeksen!AI5*12)+(('Invoer gegevens'!$C$10-(F5+H5)/2)*Reeksen!AD5*12),0)</f>
        <v>0</v>
      </c>
      <c r="AJ5" s="71">
        <f ca="1">-AI5*'Invoer gegevens'!$F$26</f>
        <v>0</v>
      </c>
      <c r="AK5" s="71">
        <f ca="1">AI5+AJ5</f>
        <v>0</v>
      </c>
      <c r="AL5" s="71">
        <f ca="1">IF(C5=1,(12*((F5+H5)/2)*Reeksen!AL5)+(12*('Invoer gegevens'!$C$10-(F5+H5)/2)*Reeksen!AM5),0)</f>
        <v>0</v>
      </c>
      <c r="AM5" s="71">
        <f ca="1">-AL5*'Invoer gegevens'!$F$31</f>
        <v>0</v>
      </c>
      <c r="AN5" s="71">
        <f ca="1">AL5+AM5</f>
        <v>0</v>
      </c>
      <c r="AO5" s="71"/>
      <c r="AP5" s="71"/>
      <c r="AQ5" s="71">
        <f ca="1">-IF(C5=1,('Invoer gegevens'!$C$10*'Invoer gegevens'!$F$35)*Reeksen!J5,0)</f>
        <v>0</v>
      </c>
      <c r="AR5" s="71">
        <f ca="1">-IF(C5=1,(G5*'Invoer gegevens'!$F$36)*Reeksen!J5,0)</f>
        <v>0</v>
      </c>
      <c r="AS5" s="71">
        <f ca="1">-IF(C5=1,'Invoer gegevens'!$C$10*'Invoer gegevens'!$F$37*Reeksen!L5,0)</f>
        <v>0</v>
      </c>
      <c r="AT5" s="71">
        <f>IF(Dashboard!$C$20&gt;10,-IF(C5=1,IF(E5='Invoer gegevens'!$C$17,'Invoer gegevens'!$C$11,Q5)*Reeksen!S5*'Invoer gegevens'!$C$18*Reeksen!P5,0),0)</f>
        <v>0</v>
      </c>
      <c r="AU5" s="71">
        <f ca="1">-IF(C5=1,'Invoer gegevens'!$C$10*'Invoer gegevens'!$F$38*Reeksen!H5,0)</f>
        <v>0</v>
      </c>
      <c r="AV5" s="71">
        <f>IF('Invoer gegevens'!$C$3="Basis",0,#REF!)</f>
        <v>0</v>
      </c>
      <c r="AW5" s="71">
        <f ca="1">SUM(AK5,AN5:AV5)</f>
        <v>0</v>
      </c>
      <c r="AX5" s="72">
        <f ca="1">IF(E5='Invoer gegevens'!$C$17+14,IF('Invoer gegevens'!$C$20="Ja",MAX('RW - MW - DE - DE'!$AY$236,'RW - MW - DE - UP'!$AY$236,'RW - MW - DE - DE'!$AY$236)),0)</f>
        <v>0</v>
      </c>
      <c r="AY5" s="72">
        <f ca="1">IFERROR(IF(E5='Invoer gegevens'!$C$17,-'Invoer gegevens'!$C$10*'Invoer gegevens'!$C$31*Reeksen!H5,0),0)</f>
        <v>0</v>
      </c>
      <c r="AZ5" s="73">
        <f ca="1">IF('Invoer gegevens'!$C$34=E5,'Invoer gegevens'!$C$27*'Invoer gegevens'!$C$10*'Invoer gegevens'!$C$36*(IF('Invoer gegevens'!$C$35="ja",1,Reeksen!J5)),IF('Invoer gegevens'!$C$34+1=E5,'Invoer gegevens'!$C$27*'Invoer gegevens'!$C$10*'Invoer gegevens'!$C$37*(IF('Invoer gegevens'!$C$35="ja",1,Reeksen!J5)),0))+IF(AND(E5='Invoer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" s="73">
        <f ca="1">AW5/(1+'Invoer gegevens'!$F$13)^($D5-('Invoer gegevens'!$C$17-'Invoer gegevens'!$C$16))/(1+'Invoer gegevens'!$C$39)^('Invoer gegevens'!$C$17-'Invoer gegevens'!$C$16)</f>
        <v>0</v>
      </c>
      <c r="BB5" s="73">
        <f ca="1">AX5/(1+'Invoer gegevens'!$F$13)^(E5-('Invoer gegevens'!$C$17-1))/(1+'Invoer gegevens'!$C$39)^('Invoer gegevens'!$C$17-'Invoer gegevens'!$C$16)</f>
        <v>0</v>
      </c>
      <c r="BC5" s="73">
        <f ca="1">AY5/(1+'Invoer gegevens'!$C$39)^('Invoer gegevens'!$C$17-'Invoer gegevens'!$C$16)</f>
        <v>0</v>
      </c>
      <c r="BD5" s="72">
        <f ca="1">SUM(BA5:BC5)</f>
        <v>0</v>
      </c>
      <c r="BE5" s="72">
        <f ca="1">IF(AND(E5='Invoer gegevens'!$C$16,'Invoer gegevens'!$C$34&lt;'Invoer gegevens'!$C$16),AZ5,AZ5/(1+'Invoer gegevens'!$C$39)^D5)</f>
        <v>0</v>
      </c>
      <c r="BF5" s="72">
        <f ca="1">IF(E5='Invoer gegevens'!$C$34,-'Invoer gegevens'!$F$40,0)</f>
        <v>0</v>
      </c>
      <c r="BG5" s="72">
        <f ca="1">IF(E5='Invoer gegevens'!$C$17,-'Invoer gegevens'!$C$19*$BD$31,0)</f>
        <v>0</v>
      </c>
      <c r="BH5" s="72">
        <f ca="1">AW5/(1+$BH$4)^($D5-('Invoer gegevens'!$C$17-'Invoer gegevens'!$C$16))/(1+'Invoer gegevens'!$C$39)^('Invoer gegevens'!$C$17-'Invoer gegevens'!$C$16)+AX5/(1+$BH$4)^(E5-('Invoer gegevens'!$C$17-1))/(1+'Invoer gegevens'!$C$39)^('Invoer gegevens'!$C$17-'Invoer gegevens'!$C$16)+AY5/(1+'Invoer gegevens'!$C$39)^('Invoer gegevens'!$C$17-'Invoer gegevens'!$C$16)+(-AZ5/(1+'Invoer gegevens'!$C$39)^D5)+BF5+BG5</f>
        <v>0</v>
      </c>
      <c r="BI5" s="59"/>
      <c r="BJ5" s="74"/>
    </row>
    <row r="6" spans="1:62" x14ac:dyDescent="0.25">
      <c r="A6" s="59"/>
      <c r="B6" s="70">
        <f>B5+1</f>
        <v>2</v>
      </c>
      <c r="C6" s="67">
        <f ca="1">IF(AND(E6&gt;='Invoer gegevens'!$C$17,E6&lt;'Invoer gegevens'!$C$17+15),1,0)</f>
        <v>1</v>
      </c>
      <c r="D6" s="68">
        <f>D5+1</f>
        <v>1.5</v>
      </c>
      <c r="E6" s="69">
        <f ca="1">IF('Invoer gegevens'!$C$16="","",E5+1)</f>
        <v>2020</v>
      </c>
      <c r="F6" s="82">
        <f ca="1">IF('Invoer gegevens'!$C$17=E6,'Invoer gegevens'!$C$10,IF(C6=1,H5,0))</f>
        <v>0</v>
      </c>
      <c r="G6" s="83">
        <f ca="1">IF(E6='Invoer gegevens'!$C$17+15,H5,IF(C6&gt;=1,F6*Reeksen!C6,0))</f>
        <v>0</v>
      </c>
      <c r="H6" s="84">
        <f ca="1">IF(E6&gt;='Invoer gegevens'!$C$17+15,0,F6-G6)</f>
        <v>0</v>
      </c>
      <c r="I6" s="85">
        <f ca="1">IF('Invoer gegevens'!$C$17=E6,'Invoer gegevens'!$C$11,IF(C6=1,L5,0))</f>
        <v>0</v>
      </c>
      <c r="J6" s="86">
        <f ca="1">IF(E6='Invoer gegevens'!$C$17+15,L5,IF(C6&lt;1,0,IF(Reeksen!AD6&lt;=Reeksen!AE6,I6*Reeksen!C6,0)))</f>
        <v>0</v>
      </c>
      <c r="K6" s="86">
        <f ca="1">IF(E6='Invoer gegevens'!$C$17+15,L5,IF(C6&lt;1,0,IF(Reeksen!AD6&gt;Reeksen!AE6,I6*Reeksen!C6,0)))</f>
        <v>0</v>
      </c>
      <c r="L6" s="86">
        <f ca="1">IF(E6&gt;='Invoer gegevens'!$C$17+15,0,I6-J6-K6)</f>
        <v>0</v>
      </c>
      <c r="M6" s="85">
        <f ca="1">IF('Invoer gegevens'!$C$17=E6,'Invoer gegevens'!$C$10-'Invoer gegevens'!$C$11,IF(C6=1,P5,0))</f>
        <v>0</v>
      </c>
      <c r="N6" s="86">
        <f ca="1">IF(E6='Invoer gegevens'!$C$17+15,P5,IF(C6&lt;1,0,IF(Reeksen!AD6&lt;=Reeksen!AE6,M6*Reeksen!C6,0)))</f>
        <v>0</v>
      </c>
      <c r="O6" s="86">
        <f ca="1">IF(E6='Invoer gegevens'!$C$17+15,P5,IF(C6&lt;1,0,IF(Reeksen!AD6&gt;Reeksen!AE6,M6*Reeksen!C6,0)))</f>
        <v>0</v>
      </c>
      <c r="P6" s="86">
        <f ca="1">IF(E6&gt;='Invoer gegevens'!$C$17+15,0,M6-N6-O6)</f>
        <v>0</v>
      </c>
      <c r="Q6" s="82">
        <f ca="1">IF('Invoer gegevens'!$C$17=E6,I6,IF(C6=0,0,R5))</f>
        <v>0</v>
      </c>
      <c r="R6" s="84">
        <f t="shared" ca="1" si="0"/>
        <v>0</v>
      </c>
      <c r="S6" s="84">
        <f ca="1">IF('Invoer gegevens'!$C$17=E6,M6,IF(C6=0,0,T5))</f>
        <v>0</v>
      </c>
      <c r="T6" s="84">
        <f t="shared" ca="1" si="1"/>
        <v>0</v>
      </c>
      <c r="AH6" s="70"/>
      <c r="AI6" s="71">
        <f ca="1">IF(C6=1,((F6+H6)/2*Reeksen!AI6*12)+(('Invoer gegevens'!$C$10-(F6+H6)/2)*Reeksen!AD6*12),0)</f>
        <v>0</v>
      </c>
      <c r="AJ6" s="71">
        <f ca="1">-AI6*'Invoer gegevens'!$F$27</f>
        <v>0</v>
      </c>
      <c r="AK6" s="71">
        <f t="shared" ref="AK6:AK29" ca="1" si="2">AI6+AJ6</f>
        <v>0</v>
      </c>
      <c r="AL6" s="71">
        <f ca="1">IF(C6=1,(12*((F6+H6)/2)*Reeksen!AL6)+(12*('Invoer gegevens'!$C$10-(F6+H6)/2)*Reeksen!AM6),0)</f>
        <v>0</v>
      </c>
      <c r="AM6" s="71">
        <f ca="1">-AL6*'Invoer gegevens'!$F$31</f>
        <v>0</v>
      </c>
      <c r="AN6" s="71">
        <f t="shared" ref="AN6:AN29" ca="1" si="3">AL6+AM6</f>
        <v>0</v>
      </c>
      <c r="AO6" s="71"/>
      <c r="AP6" s="71"/>
      <c r="AQ6" s="71">
        <f ca="1">-IF(C6=1,('Invoer gegevens'!$C$10*'Invoer gegevens'!$F$35)*Reeksen!J6,0)</f>
        <v>0</v>
      </c>
      <c r="AR6" s="71">
        <f ca="1">-IF(C6=1,(G6*'Invoer gegevens'!$F$36)*Reeksen!J6,0)</f>
        <v>0</v>
      </c>
      <c r="AS6" s="71">
        <f ca="1">-IF(C6=1,'Invoer gegevens'!$C$10*'Invoer gegevens'!$F$37*Reeksen!L6,0)</f>
        <v>0</v>
      </c>
      <c r="AT6" s="71">
        <f>IF(Dashboard!$C$20&gt;10,-IF(C6=1,IF(E6='Invoer gegevens'!$C$17,'Invoer gegevens'!$C$11,Q6)*Reeksen!S6*'Invoer gegevens'!$C$18*Reeksen!P6,0),0)</f>
        <v>0</v>
      </c>
      <c r="AU6" s="71">
        <f ca="1">-IF(C6=1,'Invoer gegevens'!$C$10*'Invoer gegevens'!$F$38*Reeksen!H6,0)</f>
        <v>0</v>
      </c>
      <c r="AV6" s="71">
        <f>IF('Invoer gegevens'!$C$3="Basis",0,#REF!)</f>
        <v>0</v>
      </c>
      <c r="AW6" s="71">
        <f t="shared" ref="AW6:AW29" ca="1" si="4">SUM(AK6,AN6:AV6)</f>
        <v>0</v>
      </c>
      <c r="AX6" s="72">
        <f ca="1">IF(E6='Invoer gegevens'!$C$17+14,IF('Invoer gegevens'!$C$20="Ja",MAX('RW - MW - DE - DE'!$AY$236,'RW - MW - DE - UP'!$AY$236,'RW - MW - DE - DE'!$AY$236)),0)</f>
        <v>0</v>
      </c>
      <c r="AY6" s="72">
        <f ca="1">IFERROR(IF(E6='Invoer gegevens'!$C$17,-'Invoer gegevens'!$C$10*'Invoer gegevens'!$C$31*Reeksen!H6,0),0)</f>
        <v>0</v>
      </c>
      <c r="AZ6" s="73">
        <f ca="1">IF('Invoer gegevens'!$C$34=E6,'Invoer gegevens'!$C$27*'Invoer gegevens'!$C$10*'Invoer gegevens'!$C$36*(IF('Invoer gegevens'!$C$35="ja",1,Reeksen!J6)),IF('Invoer gegevens'!$C$34+1=E6,'Invoer gegevens'!$C$27*'Invoer gegevens'!$C$10*'Invoer gegevens'!$C$37*(IF('Invoer gegevens'!$C$35="ja",1,Reeksen!J6)),0))+IF(AND(E6='Invoer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6" s="73">
        <f ca="1">AW6/(1+'Invoer gegevens'!$F$13)^($D6-('Invoer gegevens'!$C$17-'Invoer gegevens'!$C$16))/(1+'Invoer gegevens'!$C$39)^('Invoer gegevens'!$C$17-'Invoer gegevens'!$C$16)</f>
        <v>0</v>
      </c>
      <c r="BB6" s="73">
        <f ca="1">AX6/(1+'Invoer gegevens'!$F$13)^(E6-('Invoer gegevens'!$C$17-1))/(1+'Invoer gegevens'!$C$39)^('Invoer gegevens'!$C$17-'Invoer gegevens'!$C$16)</f>
        <v>0</v>
      </c>
      <c r="BC6" s="73">
        <f ca="1">AY6/(1+'Invoer gegevens'!$C$39)^('Invoer gegevens'!$C$17-'Invoer gegevens'!$C$16)</f>
        <v>0</v>
      </c>
      <c r="BD6" s="72">
        <f t="shared" ref="BD6:BD29" ca="1" si="5">SUM(BA6:BC6)</f>
        <v>0</v>
      </c>
      <c r="BE6" s="72">
        <f ca="1">IF(AND(E6='Invoer gegevens'!$C$16,'Invoer gegevens'!$C$34&lt;'Invoer gegevens'!$C$16),AZ6,AZ6/(1+'Invoer gegevens'!$C$39)^D6)</f>
        <v>0</v>
      </c>
      <c r="BF6" s="72">
        <f ca="1">IF(E6='Invoer gegevens'!$C$34,-'Invoer gegevens'!$F$40,0)</f>
        <v>0</v>
      </c>
      <c r="BG6" s="72">
        <f ca="1">IF(E6='Invoer gegevens'!$C$17,-'Invoer gegevens'!$C$19*$BD$31,0)</f>
        <v>0</v>
      </c>
      <c r="BH6" s="72">
        <f ca="1">AW6/(1+$BH$4)^($D6-('Invoer gegevens'!$C$17-'Invoer gegevens'!$C$16))/(1+'Invoer gegevens'!$C$39)^('Invoer gegevens'!$C$17-'Invoer gegevens'!$C$16)+AX6/(1+$BH$4)^(E6-('Invoer gegevens'!$C$17-1))/(1+'Invoer gegevens'!$C$39)^('Invoer gegevens'!$C$17-'Invoer gegevens'!$C$16)+AY6/(1+'Invoer gegevens'!$C$39)^('Invoer gegevens'!$C$17-'Invoer gegevens'!$C$16)+(-AZ6/(1+'Invoer gegevens'!$C$39)^D6)+BF6+BG6</f>
        <v>0</v>
      </c>
      <c r="BI6" s="59"/>
    </row>
    <row r="7" spans="1:62" x14ac:dyDescent="0.25">
      <c r="A7" s="59"/>
      <c r="B7" s="70">
        <f t="shared" ref="B7:B29" si="6">B6+1</f>
        <v>3</v>
      </c>
      <c r="C7" s="67">
        <f ca="1">IF(AND(E7&gt;='Invoer gegevens'!$C$17,E7&lt;'Invoer gegevens'!$C$17+15),1,0)</f>
        <v>1</v>
      </c>
      <c r="D7" s="68">
        <f t="shared" ref="D7:D29" si="7">D6+1</f>
        <v>2.5</v>
      </c>
      <c r="E7" s="69">
        <f ca="1">IF('Invoer gegevens'!$C$16="","",E6+1)</f>
        <v>2021</v>
      </c>
      <c r="F7" s="82">
        <f ca="1">IF('Invoer gegevens'!$C$17=E7,'Invoer gegevens'!$C$10,IF(C7=1,H6,0))</f>
        <v>0</v>
      </c>
      <c r="G7" s="83">
        <f ca="1">IF(E7='Invoer gegevens'!$C$17+15,H6,IF(C7&gt;=1,F7*Reeksen!C7,0))</f>
        <v>0</v>
      </c>
      <c r="H7" s="84">
        <f ca="1">IF(E7&gt;='Invoer gegevens'!$C$17+15,0,F7-G7)</f>
        <v>0</v>
      </c>
      <c r="I7" s="85">
        <f ca="1">IF('Invoer gegevens'!$C$17=E7,'Invoer gegevens'!$C$11,IF(C7=1,L6,0))</f>
        <v>0</v>
      </c>
      <c r="J7" s="86">
        <f ca="1">IF(E7='Invoer gegevens'!$C$17+15,L6,IF(C7&lt;1,0,IF(Reeksen!AD7&lt;=Reeksen!AE7,I7*Reeksen!C7,0)))</f>
        <v>0</v>
      </c>
      <c r="K7" s="86">
        <f ca="1">IF(E7='Invoer gegevens'!$C$17+15,L6,IF(C7&lt;1,0,IF(Reeksen!AD7&gt;Reeksen!AE7,I7*Reeksen!C7,0)))</f>
        <v>0</v>
      </c>
      <c r="L7" s="86">
        <f ca="1">IF(E7&gt;='Invoer gegevens'!$C$17+15,0,I7-J7-K7)</f>
        <v>0</v>
      </c>
      <c r="M7" s="85">
        <f ca="1">IF('Invoer gegevens'!$C$17=E7,'Invoer gegevens'!$C$10-'Invoer gegevens'!$C$11,IF(C7=1,P6,0))</f>
        <v>0</v>
      </c>
      <c r="N7" s="86">
        <f ca="1">IF(E7='Invoer gegevens'!$C$17+15,P6,IF(C7&lt;1,0,IF(Reeksen!AD7&lt;=Reeksen!AE7,M7*Reeksen!C7,0)))</f>
        <v>0</v>
      </c>
      <c r="O7" s="86">
        <f ca="1">IF(E7='Invoer gegevens'!$C$17+15,P6,IF(C7&lt;1,0,IF(Reeksen!AD7&gt;Reeksen!AE7,M7*Reeksen!C7,0)))</f>
        <v>0</v>
      </c>
      <c r="P7" s="86">
        <f ca="1">IF(E7&gt;='Invoer gegevens'!$C$17+15,0,M7-N7-O7)</f>
        <v>0</v>
      </c>
      <c r="Q7" s="82">
        <f ca="1">IF('Invoer gegevens'!$C$17=E7,I7,IF(C7=0,0,R6))</f>
        <v>0</v>
      </c>
      <c r="R7" s="84">
        <f t="shared" ca="1" si="0"/>
        <v>0</v>
      </c>
      <c r="S7" s="84">
        <f ca="1">IF('Invoer gegevens'!$C$17=E7,M7,IF(C7=0,0,T6))</f>
        <v>0</v>
      </c>
      <c r="T7" s="84">
        <f t="shared" ca="1" si="1"/>
        <v>0</v>
      </c>
      <c r="AH7" s="70"/>
      <c r="AI7" s="71">
        <f ca="1">IF(C7=1,((F7+H7)/2*Reeksen!AI7*12)+(('Invoer gegevens'!$C$10-(F7+H7)/2)*Reeksen!AD7*12),0)</f>
        <v>0</v>
      </c>
      <c r="AJ7" s="71">
        <f ca="1">-AI7*'Invoer gegevens'!$F$28</f>
        <v>0</v>
      </c>
      <c r="AK7" s="71">
        <f t="shared" ca="1" si="2"/>
        <v>0</v>
      </c>
      <c r="AL7" s="71">
        <f ca="1">IF(C7=1,(12*((F7+H7)/2)*Reeksen!AL7)+(12*('Invoer gegevens'!$C$10-(F7+H7)/2)*Reeksen!AM7),0)</f>
        <v>0</v>
      </c>
      <c r="AM7" s="71">
        <f ca="1">-AL7*'Invoer gegevens'!$F$31</f>
        <v>0</v>
      </c>
      <c r="AN7" s="71">
        <f t="shared" ca="1" si="3"/>
        <v>0</v>
      </c>
      <c r="AO7" s="71"/>
      <c r="AP7" s="71"/>
      <c r="AQ7" s="71">
        <f ca="1">-IF(C7=1,('Invoer gegevens'!$C$10*'Invoer gegevens'!$F$35)*Reeksen!J7,0)</f>
        <v>0</v>
      </c>
      <c r="AR7" s="71">
        <f ca="1">-IF(C7=1,(G7*'Invoer gegevens'!$F$36)*Reeksen!J7,0)</f>
        <v>0</v>
      </c>
      <c r="AS7" s="71">
        <f ca="1">-IF(C7=1,'Invoer gegevens'!$C$10*'Invoer gegevens'!$F$37*Reeksen!L7,0)</f>
        <v>0</v>
      </c>
      <c r="AT7" s="71">
        <f>IF(Dashboard!$C$20&gt;10,-IF(C7=1,IF(E7='Invoer gegevens'!$C$17,'Invoer gegevens'!$C$11,Q7)*Reeksen!S7*'Invoer gegevens'!$C$18*Reeksen!P7,0),0)</f>
        <v>0</v>
      </c>
      <c r="AU7" s="71">
        <f ca="1">-IF(C7=1,'Invoer gegevens'!$C$10*'Invoer gegevens'!$F$38*Reeksen!H7,0)</f>
        <v>0</v>
      </c>
      <c r="AV7" s="71">
        <f>IF('Invoer gegevens'!$C$3="Basis",0,#REF!)</f>
        <v>0</v>
      </c>
      <c r="AW7" s="71">
        <f t="shared" ca="1" si="4"/>
        <v>0</v>
      </c>
      <c r="AX7" s="72">
        <f ca="1">IF(E7='Invoer gegevens'!$C$17+14,IF('Invoer gegevens'!$C$20="Ja",MAX('RW - MW - DE - DE'!$AY$236,'RW - MW - DE - UP'!$AY$236,'RW - MW - DE - DE'!$AY$236)),0)</f>
        <v>0</v>
      </c>
      <c r="AY7" s="72">
        <f ca="1">IFERROR(IF(E7='Invoer gegevens'!$C$17,-'Invoer gegevens'!$C$10*'Invoer gegevens'!$C$31*Reeksen!H7,0),0)</f>
        <v>0</v>
      </c>
      <c r="AZ7" s="73">
        <f ca="1">IF('Invoer gegevens'!$C$34=E7,'Invoer gegevens'!$C$27*'Invoer gegevens'!$C$10*'Invoer gegevens'!$C$36*(IF('Invoer gegevens'!$C$35="ja",1,Reeksen!J7)),IF('Invoer gegevens'!$C$34+1=E7,'Invoer gegevens'!$C$27*'Invoer gegevens'!$C$10*'Invoer gegevens'!$C$37*(IF('Invoer gegevens'!$C$35="ja",1,Reeksen!J7)),0))+IF(AND(E7='Invoer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7" s="73">
        <f ca="1">AW7/(1+'Invoer gegevens'!$F$13)^($D7-('Invoer gegevens'!$C$17-'Invoer gegevens'!$C$16))/(1+'Invoer gegevens'!$C$39)^('Invoer gegevens'!$C$17-'Invoer gegevens'!$C$16)</f>
        <v>0</v>
      </c>
      <c r="BB7" s="73">
        <f ca="1">AX7/(1+'Invoer gegevens'!$F$13)^(E7-('Invoer gegevens'!$C$17-1))/(1+'Invoer gegevens'!$C$39)^('Invoer gegevens'!$C$17-'Invoer gegevens'!$C$16)</f>
        <v>0</v>
      </c>
      <c r="BC7" s="73">
        <f ca="1">AY7/(1+'Invoer gegevens'!$C$39)^('Invoer gegevens'!$C$17-'Invoer gegevens'!$C$16)</f>
        <v>0</v>
      </c>
      <c r="BD7" s="72">
        <f t="shared" ca="1" si="5"/>
        <v>0</v>
      </c>
      <c r="BE7" s="72">
        <f ca="1">IF(AND(E7='Invoer gegevens'!$C$16,'Invoer gegevens'!$C$34&lt;'Invoer gegevens'!$C$16),AZ7,AZ7/(1+'Invoer gegevens'!$C$39)^D7)</f>
        <v>0</v>
      </c>
      <c r="BF7" s="72">
        <f ca="1">IF(E7='Invoer gegevens'!$C$34,-'Invoer gegevens'!$F$40,0)</f>
        <v>0</v>
      </c>
      <c r="BG7" s="72">
        <f ca="1">IF(E7='Invoer gegevens'!$C$17,-'Invoer gegevens'!$C$19*$BD$31,0)</f>
        <v>0</v>
      </c>
      <c r="BH7" s="72">
        <f ca="1">AW7/(1+$BH$4)^($D7-('Invoer gegevens'!$C$17-'Invoer gegevens'!$C$16))/(1+'Invoer gegevens'!$C$39)^('Invoer gegevens'!$C$17-'Invoer gegevens'!$C$16)+AX7/(1+$BH$4)^(E7-('Invoer gegevens'!$C$17-1))/(1+'Invoer gegevens'!$C$39)^('Invoer gegevens'!$C$17-'Invoer gegevens'!$C$16)+AY7/(1+'Invoer gegevens'!$C$39)^('Invoer gegevens'!$C$17-'Invoer gegevens'!$C$16)+(-AZ7/(1+'Invoer gegevens'!$C$39)^D7)+BF7+BG7</f>
        <v>0</v>
      </c>
      <c r="BI7" s="59"/>
    </row>
    <row r="8" spans="1:62" x14ac:dyDescent="0.25">
      <c r="A8" s="59"/>
      <c r="B8" s="70">
        <f t="shared" si="6"/>
        <v>4</v>
      </c>
      <c r="C8" s="67">
        <f ca="1">IF(AND(E8&gt;='Invoer gegevens'!$C$17,E8&lt;'Invoer gegevens'!$C$17+15),1,0)</f>
        <v>1</v>
      </c>
      <c r="D8" s="68">
        <f t="shared" si="7"/>
        <v>3.5</v>
      </c>
      <c r="E8" s="69">
        <f ca="1">IF('Invoer gegevens'!$C$16="","",E7+1)</f>
        <v>2022</v>
      </c>
      <c r="F8" s="82">
        <f ca="1">IF('Invoer gegevens'!$C$17=E8,'Invoer gegevens'!$C$10,IF(C8=1,H7,0))</f>
        <v>0</v>
      </c>
      <c r="G8" s="83">
        <f ca="1">IF(E8='Invoer gegevens'!$C$17+15,H7,IF(C8&gt;=1,F8*Reeksen!C8,0))</f>
        <v>0</v>
      </c>
      <c r="H8" s="84">
        <f ca="1">IF(E8&gt;='Invoer gegevens'!$C$17+15,0,F8-G8)</f>
        <v>0</v>
      </c>
      <c r="I8" s="85">
        <f ca="1">IF('Invoer gegevens'!$C$17=E8,'Invoer gegevens'!$C$11,IF(C8=1,L7,0))</f>
        <v>0</v>
      </c>
      <c r="J8" s="86">
        <f ca="1">IF(E8='Invoer gegevens'!$C$17+15,L7,IF(C8&lt;1,0,IF(Reeksen!AD8&lt;=Reeksen!AE8,I8*Reeksen!C8,0)))</f>
        <v>0</v>
      </c>
      <c r="K8" s="86">
        <f ca="1">IF(E8='Invoer gegevens'!$C$17+15,L7,IF(C8&lt;1,0,IF(Reeksen!AD8&gt;Reeksen!AE8,I8*Reeksen!C8,0)))</f>
        <v>0</v>
      </c>
      <c r="L8" s="86">
        <f ca="1">IF(E8&gt;='Invoer gegevens'!$C$17+15,0,I8-J8-K8)</f>
        <v>0</v>
      </c>
      <c r="M8" s="85">
        <f ca="1">IF('Invoer gegevens'!$C$17=E8,'Invoer gegevens'!$C$10-'Invoer gegevens'!$C$11,IF(C8=1,P7,0))</f>
        <v>0</v>
      </c>
      <c r="N8" s="86">
        <f ca="1">IF(E8='Invoer gegevens'!$C$17+15,P7,IF(C8&lt;1,0,IF(Reeksen!AD8&lt;=Reeksen!AE8,M8*Reeksen!C8,0)))</f>
        <v>0</v>
      </c>
      <c r="O8" s="86">
        <f ca="1">IF(E8='Invoer gegevens'!$C$17+15,P7,IF(C8&lt;1,0,IF(Reeksen!AD8&gt;Reeksen!AE8,M8*Reeksen!C8,0)))</f>
        <v>0</v>
      </c>
      <c r="P8" s="86">
        <f ca="1">IF(E8&gt;='Invoer gegevens'!$C$17+15,0,M8-N8-O8)</f>
        <v>0</v>
      </c>
      <c r="Q8" s="82">
        <f ca="1">IF('Invoer gegevens'!$C$17=E8,I8,IF(C8=0,0,R7))</f>
        <v>0</v>
      </c>
      <c r="R8" s="84">
        <f t="shared" ca="1" si="0"/>
        <v>0</v>
      </c>
      <c r="S8" s="84">
        <f ca="1">IF('Invoer gegevens'!$C$17=E8,M8,IF(C8=0,0,T7))</f>
        <v>0</v>
      </c>
      <c r="T8" s="84">
        <f t="shared" ca="1" si="1"/>
        <v>0</v>
      </c>
      <c r="AH8" s="70"/>
      <c r="AI8" s="71">
        <f ca="1">IF(C8=1,((F8+H8)/2*Reeksen!AI8*12)+(('Invoer gegevens'!$C$10-(F8+H8)/2)*Reeksen!AD8*12),0)</f>
        <v>0</v>
      </c>
      <c r="AJ8" s="71">
        <f ca="1">-AI8*'Invoer gegevens'!$F$28</f>
        <v>0</v>
      </c>
      <c r="AK8" s="71">
        <f t="shared" ca="1" si="2"/>
        <v>0</v>
      </c>
      <c r="AL8" s="71">
        <f ca="1">IF(C8=1,(12*((F8+H8)/2)*Reeksen!AL8)+(12*('Invoer gegevens'!$C$10-(F8+H8)/2)*Reeksen!AM8),0)</f>
        <v>0</v>
      </c>
      <c r="AM8" s="71">
        <f ca="1">-AL8*'Invoer gegevens'!$F$31</f>
        <v>0</v>
      </c>
      <c r="AN8" s="71">
        <f t="shared" ca="1" si="3"/>
        <v>0</v>
      </c>
      <c r="AO8" s="71"/>
      <c r="AP8" s="71"/>
      <c r="AQ8" s="71">
        <f ca="1">-IF(C8=1,('Invoer gegevens'!$C$10*'Invoer gegevens'!$F$35)*Reeksen!J8,0)</f>
        <v>0</v>
      </c>
      <c r="AR8" s="71">
        <f ca="1">-IF(C8=1,(G8*'Invoer gegevens'!$F$36)*Reeksen!J8,0)</f>
        <v>0</v>
      </c>
      <c r="AS8" s="71">
        <f ca="1">-IF(C8=1,'Invoer gegevens'!$C$10*'Invoer gegevens'!$F$37*Reeksen!L8,0)</f>
        <v>0</v>
      </c>
      <c r="AT8" s="71">
        <f>IF(Dashboard!$C$20&gt;10,-IF(C8=1,IF(E8='Invoer gegevens'!$C$17,'Invoer gegevens'!$C$11,Q8)*Reeksen!S8*'Invoer gegevens'!$C$18*Reeksen!P8,0),0)</f>
        <v>0</v>
      </c>
      <c r="AU8" s="71">
        <f ca="1">-IF(C8=1,'Invoer gegevens'!$C$10*'Invoer gegevens'!$F$38*Reeksen!H8,0)</f>
        <v>0</v>
      </c>
      <c r="AV8" s="71">
        <f>IF('Invoer gegevens'!$C$3="Basis",0,#REF!)</f>
        <v>0</v>
      </c>
      <c r="AW8" s="71">
        <f t="shared" ca="1" si="4"/>
        <v>0</v>
      </c>
      <c r="AX8" s="72">
        <f ca="1">IF(E8='Invoer gegevens'!$C$17+14,IF('Invoer gegevens'!$C$20="Ja",MAX('RW - MW - DE - DE'!$AY$236,'RW - MW - DE - UP'!$AY$236,'RW - MW - DE - DE'!$AY$236)),0)</f>
        <v>0</v>
      </c>
      <c r="AY8" s="72">
        <f ca="1">IFERROR(IF(E8='Invoer gegevens'!$C$17,-'Invoer gegevens'!$C$10*'Invoer gegevens'!$C$31*Reeksen!H8,0),0)</f>
        <v>0</v>
      </c>
      <c r="AZ8" s="73">
        <f ca="1">IF('Invoer gegevens'!$C$34=E8,'Invoer gegevens'!$C$27*'Invoer gegevens'!$C$10*'Invoer gegevens'!$C$36*(IF('Invoer gegevens'!$C$35="ja",1,Reeksen!J8)),IF('Invoer gegevens'!$C$34+1=E8,'Invoer gegevens'!$C$27*'Invoer gegevens'!$C$10*'Invoer gegevens'!$C$37*(IF('Invoer gegevens'!$C$35="ja",1,Reeksen!J8)),0))+IF(AND(E8='Invoer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8" s="73">
        <f ca="1">AW8/(1+'Invoer gegevens'!$F$13)^($D8-('Invoer gegevens'!$C$17-'Invoer gegevens'!$C$16))/(1+'Invoer gegevens'!$C$39)^('Invoer gegevens'!$C$17-'Invoer gegevens'!$C$16)</f>
        <v>0</v>
      </c>
      <c r="BB8" s="73">
        <f ca="1">AX8/(1+'Invoer gegevens'!$F$13)^(E8-('Invoer gegevens'!$C$17-1))/(1+'Invoer gegevens'!$C$39)^('Invoer gegevens'!$C$17-'Invoer gegevens'!$C$16)</f>
        <v>0</v>
      </c>
      <c r="BC8" s="73">
        <f ca="1">AY8/(1+'Invoer gegevens'!$C$39)^('Invoer gegevens'!$C$17-'Invoer gegevens'!$C$16)</f>
        <v>0</v>
      </c>
      <c r="BD8" s="72">
        <f t="shared" ca="1" si="5"/>
        <v>0</v>
      </c>
      <c r="BE8" s="72">
        <f ca="1">IF(AND(E8='Invoer gegevens'!$C$16,'Invoer gegevens'!$C$34&lt;'Invoer gegevens'!$C$16),AZ8,AZ8/(1+'Invoer gegevens'!$C$39)^D8)</f>
        <v>0</v>
      </c>
      <c r="BF8" s="72">
        <f ca="1">IF(E8='Invoer gegevens'!$C$34,-'Invoer gegevens'!$F$40,0)</f>
        <v>0</v>
      </c>
      <c r="BG8" s="72">
        <f ca="1">IF(E8='Invoer gegevens'!$C$17,-'Invoer gegevens'!$C$19*$BD$31,0)</f>
        <v>0</v>
      </c>
      <c r="BH8" s="72">
        <f ca="1">AW8/(1+$BH$4)^($D8-('Invoer gegevens'!$C$17-'Invoer gegevens'!$C$16))/(1+'Invoer gegevens'!$C$39)^('Invoer gegevens'!$C$17-'Invoer gegevens'!$C$16)+AX8/(1+$BH$4)^(E8-('Invoer gegevens'!$C$17-1))/(1+'Invoer gegevens'!$C$39)^('Invoer gegevens'!$C$17-'Invoer gegevens'!$C$16)+AY8/(1+'Invoer gegevens'!$C$39)^('Invoer gegevens'!$C$17-'Invoer gegevens'!$C$16)+(-AZ8/(1+'Invoer gegevens'!$C$39)^D8)+BF8+BG8</f>
        <v>0</v>
      </c>
      <c r="BI8" s="59"/>
    </row>
    <row r="9" spans="1:62" x14ac:dyDescent="0.25">
      <c r="A9" s="59"/>
      <c r="B9" s="70">
        <f t="shared" si="6"/>
        <v>5</v>
      </c>
      <c r="C9" s="67">
        <f ca="1">IF(AND(E9&gt;='Invoer gegevens'!$C$17,E9&lt;'Invoer gegevens'!$C$17+15),1,0)</f>
        <v>1</v>
      </c>
      <c r="D9" s="68">
        <f t="shared" si="7"/>
        <v>4.5</v>
      </c>
      <c r="E9" s="69">
        <f ca="1">IF('Invoer gegevens'!$C$16="","",E8+1)</f>
        <v>2023</v>
      </c>
      <c r="F9" s="82">
        <f ca="1">IF('Invoer gegevens'!$C$17=E9,'Invoer gegevens'!$C$10,IF(C9=1,H8,0))</f>
        <v>0</v>
      </c>
      <c r="G9" s="83">
        <f ca="1">IF(E9='Invoer gegevens'!$C$17+15,H8,IF(C9&gt;=1,F9*Reeksen!C9,0))</f>
        <v>0</v>
      </c>
      <c r="H9" s="84">
        <f ca="1">IF(E9&gt;='Invoer gegevens'!$C$17+15,0,F9-G9)</f>
        <v>0</v>
      </c>
      <c r="I9" s="85">
        <f ca="1">IF('Invoer gegevens'!$C$17=E9,'Invoer gegevens'!$C$11,IF(C9=1,L8,0))</f>
        <v>0</v>
      </c>
      <c r="J9" s="86">
        <f ca="1">IF(E9='Invoer gegevens'!$C$17+15,L8,IF(C9&lt;1,0,IF(Reeksen!AD9&lt;=Reeksen!AE9,I9*Reeksen!C9,0)))</f>
        <v>0</v>
      </c>
      <c r="K9" s="86">
        <f ca="1">IF(E9='Invoer gegevens'!$C$17+15,L8,IF(C9&lt;1,0,IF(Reeksen!AD9&gt;Reeksen!AE9,I9*Reeksen!C9,0)))</f>
        <v>0</v>
      </c>
      <c r="L9" s="86">
        <f ca="1">IF(E9&gt;='Invoer gegevens'!$C$17+15,0,I9-J9-K9)</f>
        <v>0</v>
      </c>
      <c r="M9" s="85">
        <f ca="1">IF('Invoer gegevens'!$C$17=E9,'Invoer gegevens'!$C$10-'Invoer gegevens'!$C$11,IF(C9=1,P8,0))</f>
        <v>0</v>
      </c>
      <c r="N9" s="86">
        <f ca="1">IF(E9='Invoer gegevens'!$C$17+15,P8,IF(C9&lt;1,0,IF(Reeksen!AD9&lt;=Reeksen!AE9,M9*Reeksen!C9,0)))</f>
        <v>0</v>
      </c>
      <c r="O9" s="86">
        <f ca="1">IF(E9='Invoer gegevens'!$C$17+15,P8,IF(C9&lt;1,0,IF(Reeksen!AD9&gt;Reeksen!AE9,M9*Reeksen!C9,0)))</f>
        <v>0</v>
      </c>
      <c r="P9" s="86">
        <f ca="1">IF(E9&gt;='Invoer gegevens'!$C$17+15,0,M9-N9-O9)</f>
        <v>0</v>
      </c>
      <c r="Q9" s="82">
        <f ca="1">IF('Invoer gegevens'!$C$17=E9,I9,IF(C9=0,0,R8))</f>
        <v>0</v>
      </c>
      <c r="R9" s="84">
        <f t="shared" ca="1" si="0"/>
        <v>0</v>
      </c>
      <c r="S9" s="84">
        <f ca="1">IF('Invoer gegevens'!$C$17=E9,M9,IF(C9=0,0,T8))</f>
        <v>0</v>
      </c>
      <c r="T9" s="84">
        <f t="shared" ca="1" si="1"/>
        <v>0</v>
      </c>
      <c r="AH9" s="70"/>
      <c r="AI9" s="71">
        <f ca="1">IF(C9=1,((F9+H9)/2*Reeksen!AI9*12)+(('Invoer gegevens'!$C$10-(F9+H9)/2)*Reeksen!AD9*12),0)</f>
        <v>0</v>
      </c>
      <c r="AJ9" s="71">
        <f ca="1">-AI9*'Invoer gegevens'!$F$28</f>
        <v>0</v>
      </c>
      <c r="AK9" s="71">
        <f t="shared" ca="1" si="2"/>
        <v>0</v>
      </c>
      <c r="AL9" s="71">
        <f ca="1">IF(C9=1,(12*((F9+H9)/2)*Reeksen!AL9)+(12*('Invoer gegevens'!$C$10-(F9+H9)/2)*Reeksen!AM9),0)</f>
        <v>0</v>
      </c>
      <c r="AM9" s="71">
        <f ca="1">-AL9*'Invoer gegevens'!$F$31</f>
        <v>0</v>
      </c>
      <c r="AN9" s="71">
        <f t="shared" ca="1" si="3"/>
        <v>0</v>
      </c>
      <c r="AO9" s="71"/>
      <c r="AP9" s="71"/>
      <c r="AQ9" s="71">
        <f ca="1">-IF(C9=1,('Invoer gegevens'!$C$10*'Invoer gegevens'!$F$35)*Reeksen!J9,0)</f>
        <v>0</v>
      </c>
      <c r="AR9" s="71">
        <f ca="1">-IF(C9=1,(G9*'Invoer gegevens'!$F$36)*Reeksen!J9,0)</f>
        <v>0</v>
      </c>
      <c r="AS9" s="71">
        <f ca="1">-IF(C9=1,'Invoer gegevens'!$C$10*'Invoer gegevens'!$F$37*Reeksen!L9,0)</f>
        <v>0</v>
      </c>
      <c r="AT9" s="71">
        <f>IF(Dashboard!$C$20&gt;10,-IF(C9=1,IF(E9='Invoer gegevens'!$C$17,'Invoer gegevens'!$C$11,Q9)*Reeksen!S9*'Invoer gegevens'!$C$18*Reeksen!P9,0),0)</f>
        <v>0</v>
      </c>
      <c r="AU9" s="71">
        <f ca="1">-IF(C9=1,'Invoer gegevens'!$C$10*'Invoer gegevens'!$F$38*Reeksen!H9,0)</f>
        <v>0</v>
      </c>
      <c r="AV9" s="71">
        <f>IF('Invoer gegevens'!$C$3="Basis",0,#REF!)</f>
        <v>0</v>
      </c>
      <c r="AW9" s="71">
        <f t="shared" ca="1" si="4"/>
        <v>0</v>
      </c>
      <c r="AX9" s="72">
        <f ca="1">IF(E9='Invoer gegevens'!$C$17+14,IF('Invoer gegevens'!$C$20="Ja",MAX('RW - MW - DE - DE'!$AY$236,'RW - MW - DE - UP'!$AY$236,'RW - MW - DE - DE'!$AY$236)),0)</f>
        <v>0</v>
      </c>
      <c r="AY9" s="72">
        <f ca="1">IFERROR(IF(E9='Invoer gegevens'!$C$17,-'Invoer gegevens'!$C$10*'Invoer gegevens'!$C$31*Reeksen!H9,0),0)</f>
        <v>0</v>
      </c>
      <c r="AZ9" s="73">
        <f ca="1">IF('Invoer gegevens'!$C$34=E9,'Invoer gegevens'!$C$27*'Invoer gegevens'!$C$10*'Invoer gegevens'!$C$36*(IF('Invoer gegevens'!$C$35="ja",1,Reeksen!J9)),IF('Invoer gegevens'!$C$34+1=E9,'Invoer gegevens'!$C$27*'Invoer gegevens'!$C$10*'Invoer gegevens'!$C$37*(IF('Invoer gegevens'!$C$35="ja",1,Reeksen!J9)),0))+IF(AND(E9='Invoer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9" s="73">
        <f ca="1">AW9/(1+'Invoer gegevens'!$F$13)^($D9-('Invoer gegevens'!$C$17-'Invoer gegevens'!$C$16))/(1+'Invoer gegevens'!$C$39)^('Invoer gegevens'!$C$17-'Invoer gegevens'!$C$16)</f>
        <v>0</v>
      </c>
      <c r="BB9" s="73">
        <f ca="1">AX9/(1+'Invoer gegevens'!$F$13)^(E9-('Invoer gegevens'!$C$17-1))/(1+'Invoer gegevens'!$C$39)^('Invoer gegevens'!$C$17-'Invoer gegevens'!$C$16)</f>
        <v>0</v>
      </c>
      <c r="BC9" s="73">
        <f ca="1">AY9/(1+'Invoer gegevens'!$C$39)^('Invoer gegevens'!$C$17-'Invoer gegevens'!$C$16)</f>
        <v>0</v>
      </c>
      <c r="BD9" s="72">
        <f t="shared" ca="1" si="5"/>
        <v>0</v>
      </c>
      <c r="BE9" s="72">
        <f ca="1">IF(AND(E9='Invoer gegevens'!$C$16,'Invoer gegevens'!$C$34&lt;'Invoer gegevens'!$C$16),AZ9,AZ9/(1+'Invoer gegevens'!$C$39)^D9)</f>
        <v>0</v>
      </c>
      <c r="BF9" s="72">
        <f ca="1">IF(E9='Invoer gegevens'!$C$34,-'Invoer gegevens'!$F$40,0)</f>
        <v>0</v>
      </c>
      <c r="BG9" s="72">
        <f ca="1">IF(E9='Invoer gegevens'!$C$17,-'Invoer gegevens'!$C$19*$BD$31,0)</f>
        <v>0</v>
      </c>
      <c r="BH9" s="72">
        <f ca="1">AW9/(1+$BH$4)^($D9-('Invoer gegevens'!$C$17-'Invoer gegevens'!$C$16))/(1+'Invoer gegevens'!$C$39)^('Invoer gegevens'!$C$17-'Invoer gegevens'!$C$16)+AX9/(1+$BH$4)^(E9-('Invoer gegevens'!$C$17-1))/(1+'Invoer gegevens'!$C$39)^('Invoer gegevens'!$C$17-'Invoer gegevens'!$C$16)+AY9/(1+'Invoer gegevens'!$C$39)^('Invoer gegevens'!$C$17-'Invoer gegevens'!$C$16)+(-AZ9/(1+'Invoer gegevens'!$C$39)^D9)+BF9+BG9</f>
        <v>0</v>
      </c>
      <c r="BI9" s="59"/>
    </row>
    <row r="10" spans="1:62" x14ac:dyDescent="0.25">
      <c r="A10" s="59"/>
      <c r="B10" s="70">
        <f t="shared" si="6"/>
        <v>6</v>
      </c>
      <c r="C10" s="67">
        <f ca="1">IF(AND(E10&gt;='Invoer gegevens'!$C$17,E10&lt;'Invoer gegevens'!$C$17+15),1,0)</f>
        <v>1</v>
      </c>
      <c r="D10" s="68">
        <f t="shared" si="7"/>
        <v>5.5</v>
      </c>
      <c r="E10" s="69">
        <f ca="1">IF('Invoer gegevens'!$C$16="","",E9+1)</f>
        <v>2024</v>
      </c>
      <c r="F10" s="82">
        <f ca="1">IF('Invoer gegevens'!$C$17=E10,'Invoer gegevens'!$C$10,IF(C10=1,H9,0))</f>
        <v>0</v>
      </c>
      <c r="G10" s="83">
        <f ca="1">IF(E10='Invoer gegevens'!$C$17+15,H9,IF(C10&gt;=1,F10*Reeksen!C10,0))</f>
        <v>0</v>
      </c>
      <c r="H10" s="84">
        <f ca="1">IF(E10&gt;='Invoer gegevens'!$C$17+15,0,F10-G10)</f>
        <v>0</v>
      </c>
      <c r="I10" s="85">
        <f ca="1">IF('Invoer gegevens'!$C$17=E10,'Invoer gegevens'!$C$11,IF(C10=1,L9,0))</f>
        <v>0</v>
      </c>
      <c r="J10" s="86">
        <f ca="1">IF(E10='Invoer gegevens'!$C$17+15,L9,IF(C10&lt;1,0,IF(Reeksen!AD10&lt;=Reeksen!AE10,I10*Reeksen!C10,0)))</f>
        <v>0</v>
      </c>
      <c r="K10" s="86">
        <f ca="1">IF(E10='Invoer gegevens'!$C$17+15,L9,IF(C10&lt;1,0,IF(Reeksen!AD10&gt;Reeksen!AE10,I10*Reeksen!C10,0)))</f>
        <v>0</v>
      </c>
      <c r="L10" s="86">
        <f ca="1">IF(E10&gt;='Invoer gegevens'!$C$17+15,0,I10-J10-K10)</f>
        <v>0</v>
      </c>
      <c r="M10" s="85">
        <f ca="1">IF('Invoer gegevens'!$C$17=E10,'Invoer gegevens'!$C$10-'Invoer gegevens'!$C$11,IF(C10=1,P9,0))</f>
        <v>0</v>
      </c>
      <c r="N10" s="86">
        <f ca="1">IF(E10='Invoer gegevens'!$C$17+15,P9,IF(C10&lt;1,0,IF(Reeksen!AD10&lt;=Reeksen!AE10,M10*Reeksen!C10,0)))</f>
        <v>0</v>
      </c>
      <c r="O10" s="86">
        <f ca="1">IF(E10='Invoer gegevens'!$C$17+15,P9,IF(C10&lt;1,0,IF(Reeksen!AD10&gt;Reeksen!AE10,M10*Reeksen!C10,0)))</f>
        <v>0</v>
      </c>
      <c r="P10" s="86">
        <f ca="1">IF(E10&gt;='Invoer gegevens'!$C$17+15,0,M10-N10-O10)</f>
        <v>0</v>
      </c>
      <c r="Q10" s="82">
        <f ca="1">IF('Invoer gegevens'!$C$17=E10,I10,IF(C10=0,0,R9))</f>
        <v>0</v>
      </c>
      <c r="R10" s="84">
        <f t="shared" ca="1" si="0"/>
        <v>0</v>
      </c>
      <c r="S10" s="84">
        <f ca="1">IF('Invoer gegevens'!$C$17=E10,M10,IF(C10=0,0,T9))</f>
        <v>0</v>
      </c>
      <c r="T10" s="84">
        <f t="shared" ca="1" si="1"/>
        <v>0</v>
      </c>
      <c r="AH10" s="70"/>
      <c r="AI10" s="71">
        <f ca="1">IF(C10=1,((F10+H10)/2*Reeksen!AI10*12)+(('Invoer gegevens'!$C$10-(F10+H10)/2)*Reeksen!AD10*12),0)</f>
        <v>0</v>
      </c>
      <c r="AJ10" s="71">
        <f ca="1">-AI10*'Invoer gegevens'!$F$28</f>
        <v>0</v>
      </c>
      <c r="AK10" s="71">
        <f t="shared" ca="1" si="2"/>
        <v>0</v>
      </c>
      <c r="AL10" s="71">
        <f ca="1">IF(C10=1,(12*((F10+H10)/2)*Reeksen!AL10)+(12*('Invoer gegevens'!$C$10-(F10+H10)/2)*Reeksen!AM10),0)</f>
        <v>0</v>
      </c>
      <c r="AM10" s="71">
        <f ca="1">-AL10*'Invoer gegevens'!$F$31</f>
        <v>0</v>
      </c>
      <c r="AN10" s="71">
        <f t="shared" ca="1" si="3"/>
        <v>0</v>
      </c>
      <c r="AO10" s="71"/>
      <c r="AP10" s="71"/>
      <c r="AQ10" s="71">
        <f ca="1">-IF(C10=1,('Invoer gegevens'!$C$10*'Invoer gegevens'!$F$35)*Reeksen!J10,0)</f>
        <v>0</v>
      </c>
      <c r="AR10" s="71">
        <f ca="1">-IF(C10=1,(G10*'Invoer gegevens'!$F$36)*Reeksen!J10,0)</f>
        <v>0</v>
      </c>
      <c r="AS10" s="71">
        <f ca="1">-IF(C10=1,'Invoer gegevens'!$C$10*'Invoer gegevens'!$F$37*Reeksen!L10,0)</f>
        <v>0</v>
      </c>
      <c r="AT10" s="71">
        <f>IF(Dashboard!$C$20&gt;10,-IF(C10=1,IF(E10='Invoer gegevens'!$C$17,'Invoer gegevens'!$C$11,Q10)*Reeksen!S10*'Invoer gegevens'!$C$18*Reeksen!P10,0),0)</f>
        <v>0</v>
      </c>
      <c r="AU10" s="71">
        <f ca="1">-IF(C10=1,'Invoer gegevens'!$C$10*'Invoer gegevens'!$F$38*Reeksen!H10,0)</f>
        <v>0</v>
      </c>
      <c r="AV10" s="71">
        <f>IF('Invoer gegevens'!$C$3="Basis",0,#REF!)</f>
        <v>0</v>
      </c>
      <c r="AW10" s="71">
        <f t="shared" ca="1" si="4"/>
        <v>0</v>
      </c>
      <c r="AX10" s="72">
        <f ca="1">IF(E10='Invoer gegevens'!$C$17+14,IF('Invoer gegevens'!$C$20="Ja",MAX('RW - MW - DE - DE'!$AY$236,'RW - MW - DE - UP'!$AY$236,'RW - MW - DE - DE'!$AY$236)),0)</f>
        <v>0</v>
      </c>
      <c r="AY10" s="72">
        <f ca="1">IFERROR(IF(E10='Invoer gegevens'!$C$17,-'Invoer gegevens'!$C$10*'Invoer gegevens'!$C$31*Reeksen!H10,0),0)</f>
        <v>0</v>
      </c>
      <c r="AZ10" s="73">
        <f ca="1">IF('Invoer gegevens'!$C$34=E10,'Invoer gegevens'!$C$27*'Invoer gegevens'!$C$10*'Invoer gegevens'!$C$36*(IF('Invoer gegevens'!$C$35="ja",1,Reeksen!J10)),IF('Invoer gegevens'!$C$34+1=E10,'Invoer gegevens'!$C$27*'Invoer gegevens'!$C$10*'Invoer gegevens'!$C$37*(IF('Invoer gegevens'!$C$35="ja",1,Reeksen!J10)),0))+IF(AND(E10='Invoer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0" s="73">
        <f ca="1">AW10/(1+'Invoer gegevens'!$F$13)^($D10-('Invoer gegevens'!$C$17-'Invoer gegevens'!$C$16))/(1+'Invoer gegevens'!$C$39)^('Invoer gegevens'!$C$17-'Invoer gegevens'!$C$16)</f>
        <v>0</v>
      </c>
      <c r="BB10" s="73">
        <f ca="1">AX10/(1+'Invoer gegevens'!$F$13)^(E10-('Invoer gegevens'!$C$17-1))/(1+'Invoer gegevens'!$C$39)^('Invoer gegevens'!$C$17-'Invoer gegevens'!$C$16)</f>
        <v>0</v>
      </c>
      <c r="BC10" s="73">
        <f ca="1">AY10/(1+'Invoer gegevens'!$C$39)^('Invoer gegevens'!$C$17-'Invoer gegevens'!$C$16)</f>
        <v>0</v>
      </c>
      <c r="BD10" s="72">
        <f t="shared" ca="1" si="5"/>
        <v>0</v>
      </c>
      <c r="BE10" s="72">
        <f ca="1">IF(AND(E10='Invoer gegevens'!$C$16,'Invoer gegevens'!$C$34&lt;'Invoer gegevens'!$C$16),AZ10,AZ10/(1+'Invoer gegevens'!$C$39)^D10)</f>
        <v>0</v>
      </c>
      <c r="BF10" s="72">
        <f ca="1">IF(E10='Invoer gegevens'!$C$34,-'Invoer gegevens'!$F$40,0)</f>
        <v>0</v>
      </c>
      <c r="BG10" s="72">
        <f ca="1">IF(E10='Invoer gegevens'!$C$17,-'Invoer gegevens'!$C$19*$BD$31,0)</f>
        <v>0</v>
      </c>
      <c r="BH10" s="72">
        <f ca="1">AW10/(1+$BH$4)^($D10-('Invoer gegevens'!$C$17-'Invoer gegevens'!$C$16))/(1+'Invoer gegevens'!$C$39)^('Invoer gegevens'!$C$17-'Invoer gegevens'!$C$16)+AX10/(1+$BH$4)^(E10-('Invoer gegevens'!$C$17-1))/(1+'Invoer gegevens'!$C$39)^('Invoer gegevens'!$C$17-'Invoer gegevens'!$C$16)+AY10/(1+'Invoer gegevens'!$C$39)^('Invoer gegevens'!$C$17-'Invoer gegevens'!$C$16)+(-AZ10/(1+'Invoer gegevens'!$C$39)^D10)+BF10+BG10</f>
        <v>0</v>
      </c>
      <c r="BI10" s="59"/>
    </row>
    <row r="11" spans="1:62" x14ac:dyDescent="0.25">
      <c r="A11" s="59"/>
      <c r="B11" s="70">
        <f t="shared" si="6"/>
        <v>7</v>
      </c>
      <c r="C11" s="67">
        <f ca="1">IF(AND(E11&gt;='Invoer gegevens'!$C$17,E11&lt;'Invoer gegevens'!$C$17+15),1,0)</f>
        <v>1</v>
      </c>
      <c r="D11" s="68">
        <f t="shared" si="7"/>
        <v>6.5</v>
      </c>
      <c r="E11" s="69">
        <f ca="1">IF('Invoer gegevens'!$C$16="","",E10+1)</f>
        <v>2025</v>
      </c>
      <c r="F11" s="82">
        <f ca="1">IF('Invoer gegevens'!$C$17=E11,'Invoer gegevens'!$C$10,IF(C11=1,H10,0))</f>
        <v>0</v>
      </c>
      <c r="G11" s="83">
        <f ca="1">IF(E11='Invoer gegevens'!$C$17+15,H10,IF(C11&gt;=1,F11*Reeksen!C11,0))</f>
        <v>0</v>
      </c>
      <c r="H11" s="84">
        <f ca="1">IF(E11&gt;='Invoer gegevens'!$C$17+15,0,F11-G11)</f>
        <v>0</v>
      </c>
      <c r="I11" s="85">
        <f ca="1">IF('Invoer gegevens'!$C$17=E11,'Invoer gegevens'!$C$11,IF(C11=1,L10,0))</f>
        <v>0</v>
      </c>
      <c r="J11" s="86">
        <f ca="1">IF(E11='Invoer gegevens'!$C$17+15,L10,IF(C11&lt;1,0,IF(Reeksen!AD11&lt;=Reeksen!AE11,I11*Reeksen!C11,0)))</f>
        <v>0</v>
      </c>
      <c r="K11" s="86">
        <f ca="1">IF(E11='Invoer gegevens'!$C$17+15,L10,IF(C11&lt;1,0,IF(Reeksen!AD11&gt;Reeksen!AE11,I11*Reeksen!C11,0)))</f>
        <v>0</v>
      </c>
      <c r="L11" s="86">
        <f ca="1">IF(E11&gt;='Invoer gegevens'!$C$17+15,0,I11-J11-K11)</f>
        <v>0</v>
      </c>
      <c r="M11" s="85">
        <f ca="1">IF('Invoer gegevens'!$C$17=E11,'Invoer gegevens'!$C$10-'Invoer gegevens'!$C$11,IF(C11=1,P10,0))</f>
        <v>0</v>
      </c>
      <c r="N11" s="86">
        <f ca="1">IF(E11='Invoer gegevens'!$C$17+15,P10,IF(C11&lt;1,0,IF(Reeksen!AD11&lt;=Reeksen!AE11,M11*Reeksen!C11,0)))</f>
        <v>0</v>
      </c>
      <c r="O11" s="86">
        <f ca="1">IF(E11='Invoer gegevens'!$C$17+15,P10,IF(C11&lt;1,0,IF(Reeksen!AD11&gt;Reeksen!AE11,M11*Reeksen!C11,0)))</f>
        <v>0</v>
      </c>
      <c r="P11" s="86">
        <f ca="1">IF(E11&gt;='Invoer gegevens'!$C$17+15,0,M11-N11-O11)</f>
        <v>0</v>
      </c>
      <c r="Q11" s="82">
        <f ca="1">IF('Invoer gegevens'!$C$17=E11,I11,IF(C11=0,0,R10))</f>
        <v>0</v>
      </c>
      <c r="R11" s="84">
        <f t="shared" ca="1" si="0"/>
        <v>0</v>
      </c>
      <c r="S11" s="84">
        <f ca="1">IF('Invoer gegevens'!$C$17=E11,M11,IF(C11=0,0,T10))</f>
        <v>0</v>
      </c>
      <c r="T11" s="84">
        <f t="shared" ca="1" si="1"/>
        <v>0</v>
      </c>
      <c r="AH11" s="70"/>
      <c r="AI11" s="71">
        <f ca="1">IF(C11=1,((F11+H11)/2*Reeksen!AI11*12)+(('Invoer gegevens'!$C$10-(F11+H11)/2)*Reeksen!AD11*12),0)</f>
        <v>0</v>
      </c>
      <c r="AJ11" s="71">
        <f ca="1">-AI11*'Invoer gegevens'!$F$28</f>
        <v>0</v>
      </c>
      <c r="AK11" s="71">
        <f t="shared" ca="1" si="2"/>
        <v>0</v>
      </c>
      <c r="AL11" s="71">
        <f ca="1">IF(C11=1,(12*((F11+H11)/2)*Reeksen!AL11)+(12*('Invoer gegevens'!$C$10-(F11+H11)/2)*Reeksen!AM11),0)</f>
        <v>0</v>
      </c>
      <c r="AM11" s="71">
        <f ca="1">-AL11*'Invoer gegevens'!$F$31</f>
        <v>0</v>
      </c>
      <c r="AN11" s="71">
        <f t="shared" ca="1" si="3"/>
        <v>0</v>
      </c>
      <c r="AO11" s="71"/>
      <c r="AP11" s="71"/>
      <c r="AQ11" s="71">
        <f ca="1">-IF(C11=1,('Invoer gegevens'!$C$10*'Invoer gegevens'!$F$35)*Reeksen!J11,0)</f>
        <v>0</v>
      </c>
      <c r="AR11" s="71">
        <f ca="1">-IF(C11=1,(G11*'Invoer gegevens'!$F$36)*Reeksen!J11,0)</f>
        <v>0</v>
      </c>
      <c r="AS11" s="71">
        <f ca="1">-IF(C11=1,'Invoer gegevens'!$C$10*'Invoer gegevens'!$F$37*Reeksen!L11,0)</f>
        <v>0</v>
      </c>
      <c r="AT11" s="71">
        <f>IF(Dashboard!$C$20&gt;10,-IF(C11=1,IF(E11='Invoer gegevens'!$C$17,'Invoer gegevens'!$C$11,Q11)*Reeksen!S11*'Invoer gegevens'!$C$18*Reeksen!P11,0),0)</f>
        <v>0</v>
      </c>
      <c r="AU11" s="71">
        <f ca="1">-IF(C11=1,'Invoer gegevens'!$C$10*'Invoer gegevens'!$F$38*Reeksen!H11,0)</f>
        <v>0</v>
      </c>
      <c r="AV11" s="71">
        <f>IF('Invoer gegevens'!$C$3="Basis",0,#REF!)</f>
        <v>0</v>
      </c>
      <c r="AW11" s="71">
        <f t="shared" ca="1" si="4"/>
        <v>0</v>
      </c>
      <c r="AX11" s="72">
        <f ca="1">IF(E11='Invoer gegevens'!$C$17+14,IF('Invoer gegevens'!$C$20="Ja",MAX('RW - MW - DE - DE'!$AY$236,'RW - MW - DE - UP'!$AY$236,'RW - MW - DE - DE'!$AY$236)),0)</f>
        <v>0</v>
      </c>
      <c r="AY11" s="72">
        <f ca="1">IFERROR(IF(E11='Invoer gegevens'!$C$17,-'Invoer gegevens'!$C$10*'Invoer gegevens'!$C$31*Reeksen!H11,0),0)</f>
        <v>0</v>
      </c>
      <c r="AZ11" s="73">
        <f ca="1">IF('Invoer gegevens'!$C$34=E11,'Invoer gegevens'!$C$27*'Invoer gegevens'!$C$10*'Invoer gegevens'!$C$36*(IF('Invoer gegevens'!$C$35="ja",1,Reeksen!J11)),IF('Invoer gegevens'!$C$34+1=E11,'Invoer gegevens'!$C$27*'Invoer gegevens'!$C$10*'Invoer gegevens'!$C$37*(IF('Invoer gegevens'!$C$35="ja",1,Reeksen!J11)),0))+IF(AND(E11='Invoer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1" s="73">
        <f ca="1">AW11/(1+'Invoer gegevens'!$F$13)^($D11-('Invoer gegevens'!$C$17-'Invoer gegevens'!$C$16))/(1+'Invoer gegevens'!$C$39)^('Invoer gegevens'!$C$17-'Invoer gegevens'!$C$16)</f>
        <v>0</v>
      </c>
      <c r="BB11" s="73">
        <f ca="1">AX11/(1+'Invoer gegevens'!$F$13)^(E11-('Invoer gegevens'!$C$17-1))/(1+'Invoer gegevens'!$C$39)^('Invoer gegevens'!$C$17-'Invoer gegevens'!$C$16)</f>
        <v>0</v>
      </c>
      <c r="BC11" s="73">
        <f ca="1">AY11/(1+'Invoer gegevens'!$C$39)^('Invoer gegevens'!$C$17-'Invoer gegevens'!$C$16)</f>
        <v>0</v>
      </c>
      <c r="BD11" s="72">
        <f t="shared" ca="1" si="5"/>
        <v>0</v>
      </c>
      <c r="BE11" s="72">
        <f ca="1">IF(AND(E11='Invoer gegevens'!$C$16,'Invoer gegevens'!$C$34&lt;'Invoer gegevens'!$C$16),AZ11,AZ11/(1+'Invoer gegevens'!$C$39)^D11)</f>
        <v>0</v>
      </c>
      <c r="BF11" s="72">
        <f ca="1">IF(E11='Invoer gegevens'!$C$34,-'Invoer gegevens'!$F$40,0)</f>
        <v>0</v>
      </c>
      <c r="BG11" s="72">
        <f ca="1">IF(E11='Invoer gegevens'!$C$17,-'Invoer gegevens'!$C$19*$BD$31,0)</f>
        <v>0</v>
      </c>
      <c r="BH11" s="72">
        <f ca="1">AW11/(1+$BH$4)^($D11-('Invoer gegevens'!$C$17-'Invoer gegevens'!$C$16))/(1+'Invoer gegevens'!$C$39)^('Invoer gegevens'!$C$17-'Invoer gegevens'!$C$16)+AX11/(1+$BH$4)^(E11-('Invoer gegevens'!$C$17-1))/(1+'Invoer gegevens'!$C$39)^('Invoer gegevens'!$C$17-'Invoer gegevens'!$C$16)+AY11/(1+'Invoer gegevens'!$C$39)^('Invoer gegevens'!$C$17-'Invoer gegevens'!$C$16)+(-AZ11/(1+'Invoer gegevens'!$C$39)^D11)+BF11+BG11</f>
        <v>0</v>
      </c>
      <c r="BI11" s="59"/>
    </row>
    <row r="12" spans="1:62" x14ac:dyDescent="0.25">
      <c r="A12" s="59"/>
      <c r="B12" s="70">
        <f t="shared" si="6"/>
        <v>8</v>
      </c>
      <c r="C12" s="67">
        <f ca="1">IF(AND(E12&gt;='Invoer gegevens'!$C$17,E12&lt;'Invoer gegevens'!$C$17+15),1,0)</f>
        <v>1</v>
      </c>
      <c r="D12" s="68">
        <f t="shared" si="7"/>
        <v>7.5</v>
      </c>
      <c r="E12" s="69">
        <f ca="1">IF('Invoer gegevens'!$C$16="","",E11+1)</f>
        <v>2026</v>
      </c>
      <c r="F12" s="82">
        <f ca="1">IF('Invoer gegevens'!$C$17=E12,'Invoer gegevens'!$C$10,IF(C12=1,H11,0))</f>
        <v>0</v>
      </c>
      <c r="G12" s="83">
        <f ca="1">IF(E12='Invoer gegevens'!$C$17+15,H11,IF(C12&gt;=1,F12*Reeksen!C12,0))</f>
        <v>0</v>
      </c>
      <c r="H12" s="84">
        <f ca="1">IF(E12&gt;='Invoer gegevens'!$C$17+15,0,F12-G12)</f>
        <v>0</v>
      </c>
      <c r="I12" s="85">
        <f ca="1">IF('Invoer gegevens'!$C$17=E12,'Invoer gegevens'!$C$11,IF(C12=1,L11,0))</f>
        <v>0</v>
      </c>
      <c r="J12" s="86">
        <f ca="1">IF(E12='Invoer gegevens'!$C$17+15,L11,IF(C12&lt;1,0,IF(Reeksen!AD12&lt;=Reeksen!AE12,I12*Reeksen!C12,0)))</f>
        <v>0</v>
      </c>
      <c r="K12" s="86">
        <f ca="1">IF(E12='Invoer gegevens'!$C$17+15,L11,IF(C12&lt;1,0,IF(Reeksen!AD12&gt;Reeksen!AE12,I12*Reeksen!C12,0)))</f>
        <v>0</v>
      </c>
      <c r="L12" s="86">
        <f ca="1">IF(E12&gt;='Invoer gegevens'!$C$17+15,0,I12-J12-K12)</f>
        <v>0</v>
      </c>
      <c r="M12" s="85">
        <f ca="1">IF('Invoer gegevens'!$C$17=E12,'Invoer gegevens'!$C$10-'Invoer gegevens'!$C$11,IF(C12=1,P11,0))</f>
        <v>0</v>
      </c>
      <c r="N12" s="86">
        <f ca="1">IF(E12='Invoer gegevens'!$C$17+15,P11,IF(C12&lt;1,0,IF(Reeksen!AD12&lt;=Reeksen!AE12,M12*Reeksen!C12,0)))</f>
        <v>0</v>
      </c>
      <c r="O12" s="86">
        <f ca="1">IF(E12='Invoer gegevens'!$C$17+15,P11,IF(C12&lt;1,0,IF(Reeksen!AD12&gt;Reeksen!AE12,M12*Reeksen!C12,0)))</f>
        <v>0</v>
      </c>
      <c r="P12" s="86">
        <f ca="1">IF(E12&gt;='Invoer gegevens'!$C$17+15,0,M12-N12-O12)</f>
        <v>0</v>
      </c>
      <c r="Q12" s="82">
        <f ca="1">IF('Invoer gegevens'!$C$17=E12,I12,IF(C12=0,0,R11))</f>
        <v>0</v>
      </c>
      <c r="R12" s="84">
        <f t="shared" ca="1" si="0"/>
        <v>0</v>
      </c>
      <c r="S12" s="84">
        <f ca="1">IF('Invoer gegevens'!$C$17=E12,M12,IF(C12=0,0,T11))</f>
        <v>0</v>
      </c>
      <c r="T12" s="84">
        <f t="shared" ca="1" si="1"/>
        <v>0</v>
      </c>
      <c r="AH12" s="70"/>
      <c r="AI12" s="71">
        <f ca="1">IF(C12=1,((F12+H12)/2*Reeksen!AI12*12)+(('Invoer gegevens'!$C$10-(F12+H12)/2)*Reeksen!AD12*12),0)</f>
        <v>0</v>
      </c>
      <c r="AJ12" s="71">
        <f ca="1">-AI12*'Invoer gegevens'!$F$28</f>
        <v>0</v>
      </c>
      <c r="AK12" s="71">
        <f t="shared" ca="1" si="2"/>
        <v>0</v>
      </c>
      <c r="AL12" s="71">
        <f ca="1">IF(C12=1,(12*((F12+H12)/2)*Reeksen!AL12)+(12*('Invoer gegevens'!$C$10-(F12+H12)/2)*Reeksen!AM12),0)</f>
        <v>0</v>
      </c>
      <c r="AM12" s="71">
        <f ca="1">-AL12*'Invoer gegevens'!$F$31</f>
        <v>0</v>
      </c>
      <c r="AN12" s="71">
        <f t="shared" ca="1" si="3"/>
        <v>0</v>
      </c>
      <c r="AO12" s="71"/>
      <c r="AP12" s="71"/>
      <c r="AQ12" s="71">
        <f ca="1">-IF(C12=1,('Invoer gegevens'!$C$10*'Invoer gegevens'!$F$35)*Reeksen!J12,0)</f>
        <v>0</v>
      </c>
      <c r="AR12" s="71">
        <f ca="1">-IF(C12=1,(G12*'Invoer gegevens'!$F$36)*Reeksen!J12,0)</f>
        <v>0</v>
      </c>
      <c r="AS12" s="71">
        <f ca="1">-IF(C12=1,'Invoer gegevens'!$C$10*'Invoer gegevens'!$F$37*Reeksen!L12,0)</f>
        <v>0</v>
      </c>
      <c r="AT12" s="71">
        <f>IF(Dashboard!$C$20&gt;10,-IF(C12=1,IF(E12='Invoer gegevens'!$C$17,'Invoer gegevens'!$C$11,Q12)*Reeksen!S12*'Invoer gegevens'!$C$18*Reeksen!P12,0),0)</f>
        <v>0</v>
      </c>
      <c r="AU12" s="71">
        <f ca="1">-IF(C12=1,'Invoer gegevens'!$C$10*'Invoer gegevens'!$F$38*Reeksen!H12,0)</f>
        <v>0</v>
      </c>
      <c r="AV12" s="71">
        <f>IF('Invoer gegevens'!$C$3="Basis",0,#REF!)</f>
        <v>0</v>
      </c>
      <c r="AW12" s="71">
        <f t="shared" ca="1" si="4"/>
        <v>0</v>
      </c>
      <c r="AX12" s="72">
        <f ca="1">IF(E12='Invoer gegevens'!$C$17+14,IF('Invoer gegevens'!$C$20="Ja",MAX('RW - MW - DE - DE'!$AY$236,'RW - MW - DE - UP'!$AY$236,'RW - MW - DE - DE'!$AY$236)),0)</f>
        <v>0</v>
      </c>
      <c r="AY12" s="72">
        <f ca="1">IFERROR(IF(E12='Invoer gegevens'!$C$17,-'Invoer gegevens'!$C$10*'Invoer gegevens'!$C$31*Reeksen!H12,0),0)</f>
        <v>0</v>
      </c>
      <c r="AZ12" s="73">
        <f ca="1">IF('Invoer gegevens'!$C$34=E12,'Invoer gegevens'!$C$27*'Invoer gegevens'!$C$10*'Invoer gegevens'!$C$36*(IF('Invoer gegevens'!$C$35="ja",1,Reeksen!J12)),IF('Invoer gegevens'!$C$34+1=E12,'Invoer gegevens'!$C$27*'Invoer gegevens'!$C$10*'Invoer gegevens'!$C$37*(IF('Invoer gegevens'!$C$35="ja",1,Reeksen!J12)),0))+IF(AND(E12='Invoer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2" s="73">
        <f ca="1">AW12/(1+'Invoer gegevens'!$F$13)^($D12-('Invoer gegevens'!$C$17-'Invoer gegevens'!$C$16))/(1+'Invoer gegevens'!$C$39)^('Invoer gegevens'!$C$17-'Invoer gegevens'!$C$16)</f>
        <v>0</v>
      </c>
      <c r="BB12" s="73">
        <f ca="1">AX12/(1+'Invoer gegevens'!$F$13)^(E12-('Invoer gegevens'!$C$17-1))/(1+'Invoer gegevens'!$C$39)^('Invoer gegevens'!$C$17-'Invoer gegevens'!$C$16)</f>
        <v>0</v>
      </c>
      <c r="BC12" s="73">
        <f ca="1">AY12/(1+'Invoer gegevens'!$C$39)^('Invoer gegevens'!$C$17-'Invoer gegevens'!$C$16)</f>
        <v>0</v>
      </c>
      <c r="BD12" s="72">
        <f t="shared" ca="1" si="5"/>
        <v>0</v>
      </c>
      <c r="BE12" s="72">
        <f ca="1">IF(AND(E12='Invoer gegevens'!$C$16,'Invoer gegevens'!$C$34&lt;'Invoer gegevens'!$C$16),AZ12,AZ12/(1+'Invoer gegevens'!$C$39)^D12)</f>
        <v>0</v>
      </c>
      <c r="BF12" s="72">
        <f ca="1">IF(E12='Invoer gegevens'!$C$34,-'Invoer gegevens'!$F$40,0)</f>
        <v>0</v>
      </c>
      <c r="BG12" s="72">
        <f ca="1">IF(E12='Invoer gegevens'!$C$17,-'Invoer gegevens'!$C$19*$BD$31,0)</f>
        <v>0</v>
      </c>
      <c r="BH12" s="72">
        <f ca="1">AW12/(1+$BH$4)^($D12-('Invoer gegevens'!$C$17-'Invoer gegevens'!$C$16))/(1+'Invoer gegevens'!$C$39)^('Invoer gegevens'!$C$17-'Invoer gegevens'!$C$16)+AX12/(1+$BH$4)^(E12-('Invoer gegevens'!$C$17-1))/(1+'Invoer gegevens'!$C$39)^('Invoer gegevens'!$C$17-'Invoer gegevens'!$C$16)+AY12/(1+'Invoer gegevens'!$C$39)^('Invoer gegevens'!$C$17-'Invoer gegevens'!$C$16)+(-AZ12/(1+'Invoer gegevens'!$C$39)^D12)+BF12+BG12</f>
        <v>0</v>
      </c>
      <c r="BI12" s="59"/>
    </row>
    <row r="13" spans="1:62" x14ac:dyDescent="0.25">
      <c r="A13" s="59"/>
      <c r="B13" s="70">
        <f t="shared" si="6"/>
        <v>9</v>
      </c>
      <c r="C13" s="67">
        <f ca="1">IF(AND(E13&gt;='Invoer gegevens'!$C$17,E13&lt;'Invoer gegevens'!$C$17+15),1,0)</f>
        <v>1</v>
      </c>
      <c r="D13" s="68">
        <f t="shared" si="7"/>
        <v>8.5</v>
      </c>
      <c r="E13" s="69">
        <f ca="1">IF('Invoer gegevens'!$C$16="","",E12+1)</f>
        <v>2027</v>
      </c>
      <c r="F13" s="82">
        <f ca="1">IF('Invoer gegevens'!$C$17=E13,'Invoer gegevens'!$C$10,IF(C13=1,H12,0))</f>
        <v>0</v>
      </c>
      <c r="G13" s="83">
        <f ca="1">IF(E13='Invoer gegevens'!$C$17+15,H12,IF(C13&gt;=1,F13*Reeksen!C13,0))</f>
        <v>0</v>
      </c>
      <c r="H13" s="84">
        <f ca="1">IF(E13&gt;='Invoer gegevens'!$C$17+15,0,F13-G13)</f>
        <v>0</v>
      </c>
      <c r="I13" s="85">
        <f ca="1">IF('Invoer gegevens'!$C$17=E13,'Invoer gegevens'!$C$11,IF(C13=1,L12,0))</f>
        <v>0</v>
      </c>
      <c r="J13" s="86">
        <f ca="1">IF(E13='Invoer gegevens'!$C$17+15,L12,IF(C13&lt;1,0,IF(Reeksen!AD13&lt;=Reeksen!AE13,I13*Reeksen!C13,0)))</f>
        <v>0</v>
      </c>
      <c r="K13" s="86">
        <f ca="1">IF(E13='Invoer gegevens'!$C$17+15,L12,IF(C13&lt;1,0,IF(Reeksen!AD13&gt;Reeksen!AE13,I13*Reeksen!C13,0)))</f>
        <v>0</v>
      </c>
      <c r="L13" s="86">
        <f ca="1">IF(E13&gt;='Invoer gegevens'!$C$17+15,0,I13-J13-K13)</f>
        <v>0</v>
      </c>
      <c r="M13" s="85">
        <f ca="1">IF('Invoer gegevens'!$C$17=E13,'Invoer gegevens'!$C$10-'Invoer gegevens'!$C$11,IF(C13=1,P12,0))</f>
        <v>0</v>
      </c>
      <c r="N13" s="86">
        <f ca="1">IF(E13='Invoer gegevens'!$C$17+15,P12,IF(C13&lt;1,0,IF(Reeksen!AD13&lt;=Reeksen!AE13,M13*Reeksen!C13,0)))</f>
        <v>0</v>
      </c>
      <c r="O13" s="86">
        <f ca="1">IF(E13='Invoer gegevens'!$C$17+15,P12,IF(C13&lt;1,0,IF(Reeksen!AD13&gt;Reeksen!AE13,M13*Reeksen!C13,0)))</f>
        <v>0</v>
      </c>
      <c r="P13" s="86">
        <f ca="1">IF(E13&gt;='Invoer gegevens'!$C$17+15,0,M13-N13-O13)</f>
        <v>0</v>
      </c>
      <c r="Q13" s="82">
        <f ca="1">IF('Invoer gegevens'!$C$17=E13,I13,IF(C13=0,0,R12))</f>
        <v>0</v>
      </c>
      <c r="R13" s="84">
        <f t="shared" ca="1" si="0"/>
        <v>0</v>
      </c>
      <c r="S13" s="84">
        <f ca="1">IF('Invoer gegevens'!$C$17=E13,M13,IF(C13=0,0,T12))</f>
        <v>0</v>
      </c>
      <c r="T13" s="84">
        <f t="shared" ca="1" si="1"/>
        <v>0</v>
      </c>
      <c r="AH13" s="70"/>
      <c r="AI13" s="71">
        <f ca="1">IF(C13=1,((F13+H13)/2*Reeksen!AI13*12)+(('Invoer gegevens'!$C$10-(F13+H13)/2)*Reeksen!AD13*12),0)</f>
        <v>0</v>
      </c>
      <c r="AJ13" s="71">
        <f ca="1">-AI13*'Invoer gegevens'!$F$28</f>
        <v>0</v>
      </c>
      <c r="AK13" s="71">
        <f t="shared" ca="1" si="2"/>
        <v>0</v>
      </c>
      <c r="AL13" s="71">
        <f ca="1">IF(C13=1,(12*((F13+H13)/2)*Reeksen!AL13)+(12*('Invoer gegevens'!$C$10-(F13+H13)/2)*Reeksen!AM13),0)</f>
        <v>0</v>
      </c>
      <c r="AM13" s="71">
        <f ca="1">-AL13*'Invoer gegevens'!$F$31</f>
        <v>0</v>
      </c>
      <c r="AN13" s="71">
        <f t="shared" ca="1" si="3"/>
        <v>0</v>
      </c>
      <c r="AO13" s="71"/>
      <c r="AP13" s="71"/>
      <c r="AQ13" s="71">
        <f ca="1">-IF(C13=1,('Invoer gegevens'!$C$10*'Invoer gegevens'!$F$35)*Reeksen!J13,0)</f>
        <v>0</v>
      </c>
      <c r="AR13" s="71">
        <f ca="1">-IF(C13=1,(G13*'Invoer gegevens'!$F$36)*Reeksen!J13,0)</f>
        <v>0</v>
      </c>
      <c r="AS13" s="71">
        <f ca="1">-IF(C13=1,'Invoer gegevens'!$C$10*'Invoer gegevens'!$F$37*Reeksen!L13,0)</f>
        <v>0</v>
      </c>
      <c r="AT13" s="71">
        <f>IF(Dashboard!$C$20&gt;10,-IF(C13=1,IF(E13='Invoer gegevens'!$C$17,'Invoer gegevens'!$C$11,Q13)*Reeksen!S13*'Invoer gegevens'!$C$18*Reeksen!P13,0),0)</f>
        <v>0</v>
      </c>
      <c r="AU13" s="71">
        <f ca="1">-IF(C13=1,'Invoer gegevens'!$C$10*'Invoer gegevens'!$F$38*Reeksen!H13,0)</f>
        <v>0</v>
      </c>
      <c r="AV13" s="71">
        <f>IF('Invoer gegevens'!$C$3="Basis",0,#REF!)</f>
        <v>0</v>
      </c>
      <c r="AW13" s="71">
        <f t="shared" ca="1" si="4"/>
        <v>0</v>
      </c>
      <c r="AX13" s="72">
        <f ca="1">IF(E13='Invoer gegevens'!$C$17+14,IF('Invoer gegevens'!$C$20="Ja",MAX('RW - MW - DE - DE'!$AY$236,'RW - MW - DE - UP'!$AY$236,'RW - MW - DE - DE'!$AY$236)),0)</f>
        <v>0</v>
      </c>
      <c r="AY13" s="72">
        <f ca="1">IFERROR(IF(E13='Invoer gegevens'!$C$17,-'Invoer gegevens'!$C$10*'Invoer gegevens'!$C$31*Reeksen!H13,0),0)</f>
        <v>0</v>
      </c>
      <c r="AZ13" s="73">
        <f ca="1">IF('Invoer gegevens'!$C$34=E13,'Invoer gegevens'!$C$27*'Invoer gegevens'!$C$10*'Invoer gegevens'!$C$36*(IF('Invoer gegevens'!$C$35="ja",1,Reeksen!J13)),IF('Invoer gegevens'!$C$34+1=E13,'Invoer gegevens'!$C$27*'Invoer gegevens'!$C$10*'Invoer gegevens'!$C$37*(IF('Invoer gegevens'!$C$35="ja",1,Reeksen!J13)),0))+IF(AND(E13='Invoer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3" s="73">
        <f ca="1">AW13/(1+'Invoer gegevens'!$F$13)^($D13-('Invoer gegevens'!$C$17-'Invoer gegevens'!$C$16))/(1+'Invoer gegevens'!$C$39)^('Invoer gegevens'!$C$17-'Invoer gegevens'!$C$16)</f>
        <v>0</v>
      </c>
      <c r="BB13" s="73">
        <f ca="1">AX13/(1+'Invoer gegevens'!$F$13)^(E13-('Invoer gegevens'!$C$17-1))/(1+'Invoer gegevens'!$C$39)^('Invoer gegevens'!$C$17-'Invoer gegevens'!$C$16)</f>
        <v>0</v>
      </c>
      <c r="BC13" s="73">
        <f ca="1">AY13/(1+'Invoer gegevens'!$C$39)^('Invoer gegevens'!$C$17-'Invoer gegevens'!$C$16)</f>
        <v>0</v>
      </c>
      <c r="BD13" s="72">
        <f t="shared" ca="1" si="5"/>
        <v>0</v>
      </c>
      <c r="BE13" s="72">
        <f ca="1">IF(AND(E13='Invoer gegevens'!$C$16,'Invoer gegevens'!$C$34&lt;'Invoer gegevens'!$C$16),AZ13,AZ13/(1+'Invoer gegevens'!$C$39)^D13)</f>
        <v>0</v>
      </c>
      <c r="BF13" s="72">
        <f ca="1">IF(E13='Invoer gegevens'!$C$34,-'Invoer gegevens'!$F$40,0)</f>
        <v>0</v>
      </c>
      <c r="BG13" s="72">
        <f ca="1">IF(E13='Invoer gegevens'!$C$17,-'Invoer gegevens'!$C$19*$BD$31,0)</f>
        <v>0</v>
      </c>
      <c r="BH13" s="72">
        <f ca="1">AW13/(1+$BH$4)^($D13-('Invoer gegevens'!$C$17-'Invoer gegevens'!$C$16))/(1+'Invoer gegevens'!$C$39)^('Invoer gegevens'!$C$17-'Invoer gegevens'!$C$16)+AX13/(1+$BH$4)^(E13-('Invoer gegevens'!$C$17-1))/(1+'Invoer gegevens'!$C$39)^('Invoer gegevens'!$C$17-'Invoer gegevens'!$C$16)+AY13/(1+'Invoer gegevens'!$C$39)^('Invoer gegevens'!$C$17-'Invoer gegevens'!$C$16)+(-AZ13/(1+'Invoer gegevens'!$C$39)^D13)+BF13+BG13</f>
        <v>0</v>
      </c>
      <c r="BI13" s="59"/>
    </row>
    <row r="14" spans="1:62" x14ac:dyDescent="0.25">
      <c r="A14" s="59"/>
      <c r="B14" s="70">
        <f t="shared" si="6"/>
        <v>10</v>
      </c>
      <c r="C14" s="67">
        <f ca="1">IF(AND(E14&gt;='Invoer gegevens'!$C$17,E14&lt;'Invoer gegevens'!$C$17+15),1,0)</f>
        <v>1</v>
      </c>
      <c r="D14" s="68">
        <f t="shared" si="7"/>
        <v>9.5</v>
      </c>
      <c r="E14" s="69">
        <f ca="1">IF('Invoer gegevens'!$C$16="","",E13+1)</f>
        <v>2028</v>
      </c>
      <c r="F14" s="82">
        <f ca="1">IF('Invoer gegevens'!$C$17=E14,'Invoer gegevens'!$C$10,IF(C14=1,H13,0))</f>
        <v>0</v>
      </c>
      <c r="G14" s="83">
        <f ca="1">IF(E14='Invoer gegevens'!$C$17+15,H13,IF(C14&gt;=1,F14*Reeksen!C14,0))</f>
        <v>0</v>
      </c>
      <c r="H14" s="84">
        <f ca="1">IF(E14&gt;='Invoer gegevens'!$C$17+15,0,F14-G14)</f>
        <v>0</v>
      </c>
      <c r="I14" s="85">
        <f ca="1">IF('Invoer gegevens'!$C$17=E14,'Invoer gegevens'!$C$11,IF(C14=1,L13,0))</f>
        <v>0</v>
      </c>
      <c r="J14" s="86">
        <f ca="1">IF(E14='Invoer gegevens'!$C$17+15,L13,IF(C14&lt;1,0,IF(Reeksen!AD14&lt;=Reeksen!AE14,I14*Reeksen!C14,0)))</f>
        <v>0</v>
      </c>
      <c r="K14" s="86">
        <f ca="1">IF(E14='Invoer gegevens'!$C$17+15,L13,IF(C14&lt;1,0,IF(Reeksen!AD14&gt;Reeksen!AE14,I14*Reeksen!C14,0)))</f>
        <v>0</v>
      </c>
      <c r="L14" s="86">
        <f ca="1">IF(E14&gt;='Invoer gegevens'!$C$17+15,0,I14-J14-K14)</f>
        <v>0</v>
      </c>
      <c r="M14" s="85">
        <f ca="1">IF('Invoer gegevens'!$C$17=E14,'Invoer gegevens'!$C$10-'Invoer gegevens'!$C$11,IF(C14=1,P13,0))</f>
        <v>0</v>
      </c>
      <c r="N14" s="86">
        <f ca="1">IF(E14='Invoer gegevens'!$C$17+15,P13,IF(C14&lt;1,0,IF(Reeksen!AD14&lt;=Reeksen!AE14,M14*Reeksen!C14,0)))</f>
        <v>0</v>
      </c>
      <c r="O14" s="86">
        <f ca="1">IF(E14='Invoer gegevens'!$C$17+15,P13,IF(C14&lt;1,0,IF(Reeksen!AD14&gt;Reeksen!AE14,M14*Reeksen!C14,0)))</f>
        <v>0</v>
      </c>
      <c r="P14" s="86">
        <f ca="1">IF(E14&gt;='Invoer gegevens'!$C$17+15,0,M14-N14-O14)</f>
        <v>0</v>
      </c>
      <c r="Q14" s="82">
        <f ca="1">IF('Invoer gegevens'!$C$17=E14,I14,IF(C14=0,0,R13))</f>
        <v>0</v>
      </c>
      <c r="R14" s="84">
        <f t="shared" ca="1" si="0"/>
        <v>0</v>
      </c>
      <c r="S14" s="84">
        <f ca="1">IF('Invoer gegevens'!$C$17=E14,M14,IF(C14=0,0,T13))</f>
        <v>0</v>
      </c>
      <c r="T14" s="84">
        <f t="shared" ca="1" si="1"/>
        <v>0</v>
      </c>
      <c r="AH14" s="70"/>
      <c r="AI14" s="71">
        <f ca="1">IF(C14=1,((F14+H14)/2*Reeksen!AI14*12)+(('Invoer gegevens'!$C$10-(F14+H14)/2)*Reeksen!AD14*12),0)</f>
        <v>0</v>
      </c>
      <c r="AJ14" s="71">
        <f ca="1">-AI14*'Invoer gegevens'!$F$28</f>
        <v>0</v>
      </c>
      <c r="AK14" s="71">
        <f t="shared" ca="1" si="2"/>
        <v>0</v>
      </c>
      <c r="AL14" s="71">
        <f ca="1">IF(C14=1,(12*((F14+H14)/2)*Reeksen!AL14)+(12*('Invoer gegevens'!$C$10-(F14+H14)/2)*Reeksen!AM14),0)</f>
        <v>0</v>
      </c>
      <c r="AM14" s="71">
        <f ca="1">-AL14*'Invoer gegevens'!$F$31</f>
        <v>0</v>
      </c>
      <c r="AN14" s="71">
        <f t="shared" ca="1" si="3"/>
        <v>0</v>
      </c>
      <c r="AO14" s="71"/>
      <c r="AP14" s="71"/>
      <c r="AQ14" s="71">
        <f ca="1">-IF(C14=1,('Invoer gegevens'!$C$10*'Invoer gegevens'!$F$35)*Reeksen!J14,0)</f>
        <v>0</v>
      </c>
      <c r="AR14" s="71">
        <f ca="1">-IF(C14=1,(G14*'Invoer gegevens'!$F$36)*Reeksen!J14,0)</f>
        <v>0</v>
      </c>
      <c r="AS14" s="71">
        <f ca="1">-IF(C14=1,'Invoer gegevens'!$C$10*'Invoer gegevens'!$F$37*Reeksen!L14,0)</f>
        <v>0</v>
      </c>
      <c r="AT14" s="71">
        <f>IF(Dashboard!$C$20&gt;10,-IF(C14=1,IF(E14='Invoer gegevens'!$C$17,'Invoer gegevens'!$C$11,Q14)*Reeksen!S14*'Invoer gegevens'!$C$18*Reeksen!P14,0),0)</f>
        <v>0</v>
      </c>
      <c r="AU14" s="71">
        <f ca="1">-IF(C14=1,'Invoer gegevens'!$C$10*'Invoer gegevens'!$F$38*Reeksen!H14,0)</f>
        <v>0</v>
      </c>
      <c r="AV14" s="71">
        <f>IF('Invoer gegevens'!$C$3="Basis",0,#REF!)</f>
        <v>0</v>
      </c>
      <c r="AW14" s="71">
        <f t="shared" ca="1" si="4"/>
        <v>0</v>
      </c>
      <c r="AX14" s="72">
        <f ca="1">IF(E14='Invoer gegevens'!$C$17+14,IF('Invoer gegevens'!$C$20="Ja",MAX('RW - MW - DE - DE'!$AY$236,'RW - MW - DE - UP'!$AY$236,'RW - MW - DE - DE'!$AY$236)),0)</f>
        <v>0</v>
      </c>
      <c r="AY14" s="72">
        <f ca="1">IFERROR(IF(E14='Invoer gegevens'!$C$17,-'Invoer gegevens'!$C$10*'Invoer gegevens'!$C$31*Reeksen!H14,0),0)</f>
        <v>0</v>
      </c>
      <c r="AZ14" s="73">
        <f ca="1">IF('Invoer gegevens'!$C$34=E14,'Invoer gegevens'!$C$27*'Invoer gegevens'!$C$10*'Invoer gegevens'!$C$36*(IF('Invoer gegevens'!$C$35="ja",1,Reeksen!J14)),IF('Invoer gegevens'!$C$34+1=E14,'Invoer gegevens'!$C$27*'Invoer gegevens'!$C$10*'Invoer gegevens'!$C$37*(IF('Invoer gegevens'!$C$35="ja",1,Reeksen!J14)),0))+IF(AND(E14='Invoer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4" s="73">
        <f ca="1">AW14/(1+'Invoer gegevens'!$F$13)^($D14-('Invoer gegevens'!$C$17-'Invoer gegevens'!$C$16))/(1+'Invoer gegevens'!$C$39)^('Invoer gegevens'!$C$17-'Invoer gegevens'!$C$16)</f>
        <v>0</v>
      </c>
      <c r="BB14" s="73">
        <f ca="1">AX14/(1+'Invoer gegevens'!$F$13)^(E14-('Invoer gegevens'!$C$17-1))/(1+'Invoer gegevens'!$C$39)^('Invoer gegevens'!$C$17-'Invoer gegevens'!$C$16)</f>
        <v>0</v>
      </c>
      <c r="BC14" s="73">
        <f ca="1">AY14/(1+'Invoer gegevens'!$C$39)^('Invoer gegevens'!$C$17-'Invoer gegevens'!$C$16)</f>
        <v>0</v>
      </c>
      <c r="BD14" s="72">
        <f t="shared" ca="1" si="5"/>
        <v>0</v>
      </c>
      <c r="BE14" s="72">
        <f ca="1">IF(AND(E14='Invoer gegevens'!$C$16,'Invoer gegevens'!$C$34&lt;'Invoer gegevens'!$C$16),AZ14,AZ14/(1+'Invoer gegevens'!$C$39)^D14)</f>
        <v>0</v>
      </c>
      <c r="BF14" s="72">
        <f ca="1">IF(E14='Invoer gegevens'!$C$34,-'Invoer gegevens'!$F$40,0)</f>
        <v>0</v>
      </c>
      <c r="BG14" s="72">
        <f ca="1">IF(E14='Invoer gegevens'!$C$17,-'Invoer gegevens'!$C$19*$BD$31,0)</f>
        <v>0</v>
      </c>
      <c r="BH14" s="72">
        <f ca="1">AW14/(1+$BH$4)^($D14-('Invoer gegevens'!$C$17-'Invoer gegevens'!$C$16))/(1+'Invoer gegevens'!$C$39)^('Invoer gegevens'!$C$17-'Invoer gegevens'!$C$16)+AX14/(1+$BH$4)^(E14-('Invoer gegevens'!$C$17-1))/(1+'Invoer gegevens'!$C$39)^('Invoer gegevens'!$C$17-'Invoer gegevens'!$C$16)+AY14/(1+'Invoer gegevens'!$C$39)^('Invoer gegevens'!$C$17-'Invoer gegevens'!$C$16)+(-AZ14/(1+'Invoer gegevens'!$C$39)^D14)+BF14+BG14</f>
        <v>0</v>
      </c>
      <c r="BI14" s="59"/>
    </row>
    <row r="15" spans="1:62" x14ac:dyDescent="0.25">
      <c r="A15" s="59"/>
      <c r="B15" s="70">
        <f t="shared" si="6"/>
        <v>11</v>
      </c>
      <c r="C15" s="67">
        <f ca="1">IF(AND(E15&gt;='Invoer gegevens'!$C$17,E15&lt;'Invoer gegevens'!$C$17+15),1,0)</f>
        <v>1</v>
      </c>
      <c r="D15" s="68">
        <f t="shared" si="7"/>
        <v>10.5</v>
      </c>
      <c r="E15" s="69">
        <f ca="1">IF('Invoer gegevens'!$C$16="","",E14+1)</f>
        <v>2029</v>
      </c>
      <c r="F15" s="82">
        <f ca="1">IF('Invoer gegevens'!$C$17=E15,'Invoer gegevens'!$C$10,IF(C15=1,H14,0))</f>
        <v>0</v>
      </c>
      <c r="G15" s="83">
        <f ca="1">IF(E15='Invoer gegevens'!$C$17+15,H14,IF(C15&gt;=1,F15*Reeksen!C15,0))</f>
        <v>0</v>
      </c>
      <c r="H15" s="84">
        <f ca="1">IF(E15&gt;='Invoer gegevens'!$C$17+15,0,F15-G15)</f>
        <v>0</v>
      </c>
      <c r="I15" s="85">
        <f ca="1">IF('Invoer gegevens'!$C$17=E15,'Invoer gegevens'!$C$11,IF(C15=1,L14,0))</f>
        <v>0</v>
      </c>
      <c r="J15" s="86">
        <f ca="1">IF(E15='Invoer gegevens'!$C$17+15,L14,IF(C15&lt;1,0,IF(Reeksen!AD15&lt;=Reeksen!AE15,I15*Reeksen!C15,0)))</f>
        <v>0</v>
      </c>
      <c r="K15" s="86">
        <f ca="1">IF(E15='Invoer gegevens'!$C$17+15,L14,IF(C15&lt;1,0,IF(Reeksen!AD15&gt;Reeksen!AE15,I15*Reeksen!C15,0)))</f>
        <v>0</v>
      </c>
      <c r="L15" s="86">
        <f ca="1">IF(E15&gt;='Invoer gegevens'!$C$17+15,0,I15-J15-K15)</f>
        <v>0</v>
      </c>
      <c r="M15" s="85">
        <f ca="1">IF('Invoer gegevens'!$C$17=E15,'Invoer gegevens'!$C$10-'Invoer gegevens'!$C$11,IF(C15=1,P14,0))</f>
        <v>0</v>
      </c>
      <c r="N15" s="86">
        <f ca="1">IF(E15='Invoer gegevens'!$C$17+15,P14,IF(C15&lt;1,0,IF(Reeksen!AD15&lt;=Reeksen!AE15,M15*Reeksen!C15,0)))</f>
        <v>0</v>
      </c>
      <c r="O15" s="86">
        <f ca="1">IF(E15='Invoer gegevens'!$C$17+15,P14,IF(C15&lt;1,0,IF(Reeksen!AD15&gt;Reeksen!AE15,M15*Reeksen!C15,0)))</f>
        <v>0</v>
      </c>
      <c r="P15" s="86">
        <f ca="1">IF(E15&gt;='Invoer gegevens'!$C$17+15,0,M15-N15-O15)</f>
        <v>0</v>
      </c>
      <c r="Q15" s="82">
        <f ca="1">IF('Invoer gegevens'!$C$17=E15,I15,IF(C15=0,0,R14))</f>
        <v>0</v>
      </c>
      <c r="R15" s="84">
        <f t="shared" ca="1" si="0"/>
        <v>0</v>
      </c>
      <c r="S15" s="84">
        <f ca="1">IF('Invoer gegevens'!$C$17=E15,M15,IF(C15=0,0,T14))</f>
        <v>0</v>
      </c>
      <c r="T15" s="84">
        <f t="shared" ca="1" si="1"/>
        <v>0</v>
      </c>
      <c r="AH15" s="70"/>
      <c r="AI15" s="71">
        <f ca="1">IF(C15=1,((F15+H15)/2*Reeksen!AI15*12)+(('Invoer gegevens'!$C$10-(F15+H15)/2)*Reeksen!AD15*12),0)</f>
        <v>0</v>
      </c>
      <c r="AJ15" s="71">
        <f ca="1">-AI15*'Invoer gegevens'!$F$28</f>
        <v>0</v>
      </c>
      <c r="AK15" s="71">
        <f t="shared" ca="1" si="2"/>
        <v>0</v>
      </c>
      <c r="AL15" s="71">
        <f ca="1">IF(C15=1,(12*((F15+H15)/2)*Reeksen!AL15)+(12*('Invoer gegevens'!$C$10-(F15+H15)/2)*Reeksen!AM15),0)</f>
        <v>0</v>
      </c>
      <c r="AM15" s="71">
        <f ca="1">-AL15*'Invoer gegevens'!$F$31</f>
        <v>0</v>
      </c>
      <c r="AN15" s="71">
        <f t="shared" ca="1" si="3"/>
        <v>0</v>
      </c>
      <c r="AO15" s="71"/>
      <c r="AP15" s="71"/>
      <c r="AQ15" s="71">
        <f ca="1">-IF(C15=1,('Invoer gegevens'!$C$10*'Invoer gegevens'!$F$35)*Reeksen!J15,0)</f>
        <v>0</v>
      </c>
      <c r="AR15" s="71">
        <f ca="1">-IF(C15=1,(G15*'Invoer gegevens'!$F$36)*Reeksen!J15,0)</f>
        <v>0</v>
      </c>
      <c r="AS15" s="71">
        <f ca="1">-IF(C15=1,'Invoer gegevens'!$C$10*'Invoer gegevens'!$F$37*Reeksen!L15,0)</f>
        <v>0</v>
      </c>
      <c r="AT15" s="71">
        <f>IF(Dashboard!$C$20&gt;10,-IF(C15=1,IF(E15='Invoer gegevens'!$C$17,'Invoer gegevens'!$C$11,Q15)*Reeksen!S15*'Invoer gegevens'!$C$18*Reeksen!P15,0),0)</f>
        <v>0</v>
      </c>
      <c r="AU15" s="71">
        <f ca="1">-IF(C15=1,'Invoer gegevens'!$C$10*'Invoer gegevens'!$F$38*Reeksen!H15,0)</f>
        <v>0</v>
      </c>
      <c r="AV15" s="71">
        <f>IF('Invoer gegevens'!$C$3="Basis",0,#REF!)</f>
        <v>0</v>
      </c>
      <c r="AW15" s="71">
        <f t="shared" ca="1" si="4"/>
        <v>0</v>
      </c>
      <c r="AX15" s="72">
        <f ca="1">IF(E15='Invoer gegevens'!$C$17+14,IF('Invoer gegevens'!$C$20="Ja",MAX('RW - MW - DE - DE'!$AY$236,'RW - MW - DE - UP'!$AY$236,'RW - MW - DE - DE'!$AY$236)),0)</f>
        <v>0</v>
      </c>
      <c r="AY15" s="72">
        <f ca="1">IFERROR(IF(E15='Invoer gegevens'!$C$17,-'Invoer gegevens'!$C$10*'Invoer gegevens'!$C$31*Reeksen!H15,0),0)</f>
        <v>0</v>
      </c>
      <c r="AZ15" s="73">
        <f ca="1">IF('Invoer gegevens'!$C$34=E15,'Invoer gegevens'!$C$27*'Invoer gegevens'!$C$10*'Invoer gegevens'!$C$36*(IF('Invoer gegevens'!$C$35="ja",1,Reeksen!J15)),IF('Invoer gegevens'!$C$34+1=E15,'Invoer gegevens'!$C$27*'Invoer gegevens'!$C$10*'Invoer gegevens'!$C$37*(IF('Invoer gegevens'!$C$35="ja",1,Reeksen!J15)),0))+IF(AND(E15='Invoer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5" s="73">
        <f ca="1">AW15/(1+'Invoer gegevens'!$F$13)^($D15-('Invoer gegevens'!$C$17-'Invoer gegevens'!$C$16))/(1+'Invoer gegevens'!$C$39)^('Invoer gegevens'!$C$17-'Invoer gegevens'!$C$16)</f>
        <v>0</v>
      </c>
      <c r="BB15" s="73">
        <f ca="1">AX15/(1+'Invoer gegevens'!$F$13)^(E15-('Invoer gegevens'!$C$17-1))/(1+'Invoer gegevens'!$C$39)^('Invoer gegevens'!$C$17-'Invoer gegevens'!$C$16)</f>
        <v>0</v>
      </c>
      <c r="BC15" s="73">
        <f ca="1">AY15/(1+'Invoer gegevens'!$C$39)^('Invoer gegevens'!$C$17-'Invoer gegevens'!$C$16)</f>
        <v>0</v>
      </c>
      <c r="BD15" s="72">
        <f t="shared" ca="1" si="5"/>
        <v>0</v>
      </c>
      <c r="BE15" s="72">
        <f ca="1">IF(AND(E15='Invoer gegevens'!$C$16,'Invoer gegevens'!$C$34&lt;'Invoer gegevens'!$C$16),AZ15,AZ15/(1+'Invoer gegevens'!$C$39)^D15)</f>
        <v>0</v>
      </c>
      <c r="BF15" s="72">
        <f ca="1">IF(E15='Invoer gegevens'!$C$34,-'Invoer gegevens'!$F$40,0)</f>
        <v>0</v>
      </c>
      <c r="BG15" s="72">
        <f ca="1">IF(E15='Invoer gegevens'!$C$17,-'Invoer gegevens'!$C$19*$BD$31,0)</f>
        <v>0</v>
      </c>
      <c r="BH15" s="72">
        <f ca="1">AW15/(1+$BH$4)^($D15-('Invoer gegevens'!$C$17-'Invoer gegevens'!$C$16))/(1+'Invoer gegevens'!$C$39)^('Invoer gegevens'!$C$17-'Invoer gegevens'!$C$16)+AX15/(1+$BH$4)^(E15-('Invoer gegevens'!$C$17-1))/(1+'Invoer gegevens'!$C$39)^('Invoer gegevens'!$C$17-'Invoer gegevens'!$C$16)+AY15/(1+'Invoer gegevens'!$C$39)^('Invoer gegevens'!$C$17-'Invoer gegevens'!$C$16)+(-AZ15/(1+'Invoer gegevens'!$C$39)^D15)+BF15+BG15</f>
        <v>0</v>
      </c>
      <c r="BI15" s="59"/>
    </row>
    <row r="16" spans="1:62" x14ac:dyDescent="0.25">
      <c r="A16" s="59"/>
      <c r="B16" s="70">
        <f t="shared" si="6"/>
        <v>12</v>
      </c>
      <c r="C16" s="67">
        <f ca="1">IF(AND(E16&gt;='Invoer gegevens'!$C$17,E16&lt;'Invoer gegevens'!$C$17+15),1,0)</f>
        <v>1</v>
      </c>
      <c r="D16" s="68">
        <f t="shared" si="7"/>
        <v>11.5</v>
      </c>
      <c r="E16" s="69">
        <f ca="1">IF('Invoer gegevens'!$C$16="","",E15+1)</f>
        <v>2030</v>
      </c>
      <c r="F16" s="82">
        <f ca="1">IF('Invoer gegevens'!$C$17=E16,'Invoer gegevens'!$C$10,IF(C16=1,H15,0))</f>
        <v>0</v>
      </c>
      <c r="G16" s="83">
        <f ca="1">IF(E16='Invoer gegevens'!$C$17+15,H15,IF(C16&gt;=1,F16*Reeksen!C16,0))</f>
        <v>0</v>
      </c>
      <c r="H16" s="84">
        <f ca="1">IF(E16&gt;='Invoer gegevens'!$C$17+15,0,F16-G16)</f>
        <v>0</v>
      </c>
      <c r="I16" s="85">
        <f ca="1">IF('Invoer gegevens'!$C$17=E16,'Invoer gegevens'!$C$11,IF(C16=1,L15,0))</f>
        <v>0</v>
      </c>
      <c r="J16" s="86">
        <f ca="1">IF(E16='Invoer gegevens'!$C$17+15,L15,IF(C16&lt;1,0,IF(Reeksen!AD16&lt;=Reeksen!AE16,I16*Reeksen!C16,0)))</f>
        <v>0</v>
      </c>
      <c r="K16" s="86">
        <f ca="1">IF(E16='Invoer gegevens'!$C$17+15,L15,IF(C16&lt;1,0,IF(Reeksen!AD16&gt;Reeksen!AE16,I16*Reeksen!C16,0)))</f>
        <v>0</v>
      </c>
      <c r="L16" s="86">
        <f ca="1">IF(E16&gt;='Invoer gegevens'!$C$17+15,0,I16-J16-K16)</f>
        <v>0</v>
      </c>
      <c r="M16" s="85">
        <f ca="1">IF('Invoer gegevens'!$C$17=E16,'Invoer gegevens'!$C$10-'Invoer gegevens'!$C$11,IF(C16=1,P15,0))</f>
        <v>0</v>
      </c>
      <c r="N16" s="86">
        <f ca="1">IF(E16='Invoer gegevens'!$C$17+15,P15,IF(C16&lt;1,0,IF(Reeksen!AD16&lt;=Reeksen!AE16,M16*Reeksen!C16,0)))</f>
        <v>0</v>
      </c>
      <c r="O16" s="86">
        <f ca="1">IF(E16='Invoer gegevens'!$C$17+15,P15,IF(C16&lt;1,0,IF(Reeksen!AD16&gt;Reeksen!AE16,M16*Reeksen!C16,0)))</f>
        <v>0</v>
      </c>
      <c r="P16" s="86">
        <f ca="1">IF(E16&gt;='Invoer gegevens'!$C$17+15,0,M16-N16-O16)</f>
        <v>0</v>
      </c>
      <c r="Q16" s="82">
        <f ca="1">IF('Invoer gegevens'!$C$17=E16,I16,IF(C16=0,0,R15))</f>
        <v>0</v>
      </c>
      <c r="R16" s="84">
        <f t="shared" ca="1" si="0"/>
        <v>0</v>
      </c>
      <c r="S16" s="84">
        <f ca="1">IF('Invoer gegevens'!$C$17=E16,M16,IF(C16=0,0,T15))</f>
        <v>0</v>
      </c>
      <c r="T16" s="84">
        <f t="shared" ca="1" si="1"/>
        <v>0</v>
      </c>
      <c r="AH16" s="70"/>
      <c r="AI16" s="71">
        <f ca="1">IF(C16=1,((F16+H16)/2*Reeksen!AI16*12)+(('Invoer gegevens'!$C$10-(F16+H16)/2)*Reeksen!AD16*12),0)</f>
        <v>0</v>
      </c>
      <c r="AJ16" s="71">
        <f ca="1">-AI16*'Invoer gegevens'!$F$28</f>
        <v>0</v>
      </c>
      <c r="AK16" s="71">
        <f t="shared" ca="1" si="2"/>
        <v>0</v>
      </c>
      <c r="AL16" s="71">
        <f ca="1">IF(C16=1,(12*((F16+H16)/2)*Reeksen!AL16)+(12*('Invoer gegevens'!$C$10-(F16+H16)/2)*Reeksen!AM16),0)</f>
        <v>0</v>
      </c>
      <c r="AM16" s="71">
        <f ca="1">-AL16*'Invoer gegevens'!$F$31</f>
        <v>0</v>
      </c>
      <c r="AN16" s="71">
        <f t="shared" ca="1" si="3"/>
        <v>0</v>
      </c>
      <c r="AO16" s="71"/>
      <c r="AP16" s="71"/>
      <c r="AQ16" s="71">
        <f ca="1">-IF(C16=1,('Invoer gegevens'!$C$10*'Invoer gegevens'!$F$35)*Reeksen!J16,0)</f>
        <v>0</v>
      </c>
      <c r="AR16" s="71">
        <f ca="1">-IF(C16=1,(G16*'Invoer gegevens'!$F$36)*Reeksen!J16,0)</f>
        <v>0</v>
      </c>
      <c r="AS16" s="71">
        <f ca="1">-IF(C16=1,'Invoer gegevens'!$C$10*'Invoer gegevens'!$F$37*Reeksen!L16,0)</f>
        <v>0</v>
      </c>
      <c r="AT16" s="71">
        <f>IF(Dashboard!$C$20&gt;10,-IF(C16=1,IF(E16='Invoer gegevens'!$C$17,'Invoer gegevens'!$C$11,Q16)*Reeksen!S16*'Invoer gegevens'!$C$18*Reeksen!P16,0),0)</f>
        <v>0</v>
      </c>
      <c r="AU16" s="71">
        <f ca="1">-IF(C16=1,'Invoer gegevens'!$C$10*'Invoer gegevens'!$F$38*Reeksen!H16,0)</f>
        <v>0</v>
      </c>
      <c r="AV16" s="71">
        <f>IF('Invoer gegevens'!$C$3="Basis",0,#REF!)</f>
        <v>0</v>
      </c>
      <c r="AW16" s="71">
        <f t="shared" ca="1" si="4"/>
        <v>0</v>
      </c>
      <c r="AX16" s="72">
        <f ca="1">IF(E16='Invoer gegevens'!$C$17+14,IF('Invoer gegevens'!$C$20="Ja",MAX('RW - MW - DE - DE'!$AY$236,'RW - MW - DE - UP'!$AY$236,'RW - MW - DE - DE'!$AY$236)),0)</f>
        <v>0</v>
      </c>
      <c r="AY16" s="72">
        <f ca="1">IFERROR(IF(E16='Invoer gegevens'!$C$17,-'Invoer gegevens'!$C$10*'Invoer gegevens'!$C$31*Reeksen!H16,0),0)</f>
        <v>0</v>
      </c>
      <c r="AZ16" s="73">
        <f ca="1">IF('Invoer gegevens'!$C$34=E16,'Invoer gegevens'!$C$27*'Invoer gegevens'!$C$10*'Invoer gegevens'!$C$36*(IF('Invoer gegevens'!$C$35="ja",1,Reeksen!J16)),IF('Invoer gegevens'!$C$34+1=E16,'Invoer gegevens'!$C$27*'Invoer gegevens'!$C$10*'Invoer gegevens'!$C$37*(IF('Invoer gegevens'!$C$35="ja",1,Reeksen!J16)),0))+IF(AND(E16='Invoer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6" s="73">
        <f ca="1">AW16/(1+'Invoer gegevens'!$F$13)^($D16-('Invoer gegevens'!$C$17-'Invoer gegevens'!$C$16))/(1+'Invoer gegevens'!$C$39)^('Invoer gegevens'!$C$17-'Invoer gegevens'!$C$16)</f>
        <v>0</v>
      </c>
      <c r="BB16" s="73">
        <f ca="1">AX16/(1+'Invoer gegevens'!$F$13)^(E16-('Invoer gegevens'!$C$17-1))/(1+'Invoer gegevens'!$C$39)^('Invoer gegevens'!$C$17-'Invoer gegevens'!$C$16)</f>
        <v>0</v>
      </c>
      <c r="BC16" s="73">
        <f ca="1">AY16/(1+'Invoer gegevens'!$C$39)^('Invoer gegevens'!$C$17-'Invoer gegevens'!$C$16)</f>
        <v>0</v>
      </c>
      <c r="BD16" s="72">
        <f t="shared" ca="1" si="5"/>
        <v>0</v>
      </c>
      <c r="BE16" s="72">
        <f ca="1">IF(AND(E16='Invoer gegevens'!$C$16,'Invoer gegevens'!$C$34&lt;'Invoer gegevens'!$C$16),AZ16,AZ16/(1+'Invoer gegevens'!$C$39)^D16)</f>
        <v>0</v>
      </c>
      <c r="BF16" s="72">
        <f ca="1">IF(E16='Invoer gegevens'!$C$34,-'Invoer gegevens'!$F$40,0)</f>
        <v>0</v>
      </c>
      <c r="BG16" s="72">
        <f ca="1">IF(E16='Invoer gegevens'!$C$17,-'Invoer gegevens'!$C$19*$BD$31,0)</f>
        <v>0</v>
      </c>
      <c r="BH16" s="72">
        <f ca="1">AW16/(1+$BH$4)^($D16-('Invoer gegevens'!$C$17-'Invoer gegevens'!$C$16))/(1+'Invoer gegevens'!$C$39)^('Invoer gegevens'!$C$17-'Invoer gegevens'!$C$16)+AX16/(1+$BH$4)^(E16-('Invoer gegevens'!$C$17-1))/(1+'Invoer gegevens'!$C$39)^('Invoer gegevens'!$C$17-'Invoer gegevens'!$C$16)+AY16/(1+'Invoer gegevens'!$C$39)^('Invoer gegevens'!$C$17-'Invoer gegevens'!$C$16)+(-AZ16/(1+'Invoer gegevens'!$C$39)^D16)+BF16+BG16</f>
        <v>0</v>
      </c>
      <c r="BI16" s="59"/>
    </row>
    <row r="17" spans="1:67" x14ac:dyDescent="0.25">
      <c r="A17" s="59"/>
      <c r="B17" s="70">
        <f t="shared" si="6"/>
        <v>13</v>
      </c>
      <c r="C17" s="67">
        <f ca="1">IF(AND(E17&gt;='Invoer gegevens'!$C$17,E17&lt;'Invoer gegevens'!$C$17+15),1,0)</f>
        <v>1</v>
      </c>
      <c r="D17" s="68">
        <f t="shared" si="7"/>
        <v>12.5</v>
      </c>
      <c r="E17" s="69">
        <f ca="1">IF('Invoer gegevens'!$C$16="","",E16+1)</f>
        <v>2031</v>
      </c>
      <c r="F17" s="82">
        <f ca="1">IF('Invoer gegevens'!$C$17=E17,'Invoer gegevens'!$C$10,IF(C17=1,H16,0))</f>
        <v>0</v>
      </c>
      <c r="G17" s="83">
        <f ca="1">IF(E17='Invoer gegevens'!$C$17+15,H16,IF(C17&gt;=1,F17*Reeksen!C17,0))</f>
        <v>0</v>
      </c>
      <c r="H17" s="84">
        <f ca="1">IF(E17&gt;='Invoer gegevens'!$C$17+15,0,F17-G17)</f>
        <v>0</v>
      </c>
      <c r="I17" s="85">
        <f ca="1">IF('Invoer gegevens'!$C$17=E17,'Invoer gegevens'!$C$11,IF(C17=1,L16,0))</f>
        <v>0</v>
      </c>
      <c r="J17" s="86">
        <f ca="1">IF(E17='Invoer gegevens'!$C$17+15,L16,IF(C17&lt;1,0,IF(Reeksen!AD17&lt;=Reeksen!AE17,I17*Reeksen!C17,0)))</f>
        <v>0</v>
      </c>
      <c r="K17" s="86">
        <f ca="1">IF(E17='Invoer gegevens'!$C$17+15,L16,IF(C17&lt;1,0,IF(Reeksen!AD17&gt;Reeksen!AE17,I17*Reeksen!C17,0)))</f>
        <v>0</v>
      </c>
      <c r="L17" s="86">
        <f ca="1">IF(E17&gt;='Invoer gegevens'!$C$17+15,0,I17-J17-K17)</f>
        <v>0</v>
      </c>
      <c r="M17" s="85">
        <f ca="1">IF('Invoer gegevens'!$C$17=E17,'Invoer gegevens'!$C$10-'Invoer gegevens'!$C$11,IF(C17=1,P16,0))</f>
        <v>0</v>
      </c>
      <c r="N17" s="86">
        <f ca="1">IF(E17='Invoer gegevens'!$C$17+15,P16,IF(C17&lt;1,0,IF(Reeksen!AD17&lt;=Reeksen!AE17,M17*Reeksen!C17,0)))</f>
        <v>0</v>
      </c>
      <c r="O17" s="86">
        <f ca="1">IF(E17='Invoer gegevens'!$C$17+15,P16,IF(C17&lt;1,0,IF(Reeksen!AD17&gt;Reeksen!AE17,M17*Reeksen!C17,0)))</f>
        <v>0</v>
      </c>
      <c r="P17" s="86">
        <f ca="1">IF(E17&gt;='Invoer gegevens'!$C$17+15,0,M17-N17-O17)</f>
        <v>0</v>
      </c>
      <c r="Q17" s="82">
        <f ca="1">IF('Invoer gegevens'!$C$17=E17,I17,IF(C17=0,0,R16))</f>
        <v>0</v>
      </c>
      <c r="R17" s="84">
        <f t="shared" ca="1" si="0"/>
        <v>0</v>
      </c>
      <c r="S17" s="84">
        <f ca="1">IF('Invoer gegevens'!$C$17=E17,M17,IF(C17=0,0,T16))</f>
        <v>0</v>
      </c>
      <c r="T17" s="84">
        <f t="shared" ca="1" si="1"/>
        <v>0</v>
      </c>
      <c r="AH17" s="70"/>
      <c r="AI17" s="71">
        <f ca="1">IF(C17=1,((F17+H17)/2*Reeksen!AI17*12)+(('Invoer gegevens'!$C$10-(F17+H17)/2)*Reeksen!AD17*12),0)</f>
        <v>0</v>
      </c>
      <c r="AJ17" s="71">
        <f ca="1">-AI17*'Invoer gegevens'!$F$28</f>
        <v>0</v>
      </c>
      <c r="AK17" s="71">
        <f t="shared" ca="1" si="2"/>
        <v>0</v>
      </c>
      <c r="AL17" s="71">
        <f ca="1">IF(C17=1,(12*((F17+H17)/2)*Reeksen!AL17)+(12*('Invoer gegevens'!$C$10-(F17+H17)/2)*Reeksen!AM17),0)</f>
        <v>0</v>
      </c>
      <c r="AM17" s="71">
        <f ca="1">-AL17*'Invoer gegevens'!$F$31</f>
        <v>0</v>
      </c>
      <c r="AN17" s="71">
        <f t="shared" ca="1" si="3"/>
        <v>0</v>
      </c>
      <c r="AO17" s="71"/>
      <c r="AP17" s="71"/>
      <c r="AQ17" s="71">
        <f ca="1">-IF(C17=1,('Invoer gegevens'!$C$10*'Invoer gegevens'!$F$35)*Reeksen!J17,0)</f>
        <v>0</v>
      </c>
      <c r="AR17" s="71">
        <f ca="1">-IF(C17=1,(G17*'Invoer gegevens'!$F$36)*Reeksen!J17,0)</f>
        <v>0</v>
      </c>
      <c r="AS17" s="71">
        <f ca="1">-IF(C17=1,'Invoer gegevens'!$C$10*'Invoer gegevens'!$F$37*Reeksen!L17,0)</f>
        <v>0</v>
      </c>
      <c r="AT17" s="71">
        <f>IF(Dashboard!$C$20&gt;10,-IF(C17=1,IF(E17='Invoer gegevens'!$C$17,'Invoer gegevens'!$C$11,Q17)*Reeksen!S17*'Invoer gegevens'!$C$18*Reeksen!P17,0),0)</f>
        <v>0</v>
      </c>
      <c r="AU17" s="71">
        <f ca="1">-IF(C17=1,'Invoer gegevens'!$C$10*'Invoer gegevens'!$F$38*Reeksen!H17,0)</f>
        <v>0</v>
      </c>
      <c r="AV17" s="71">
        <f>IF('Invoer gegevens'!$C$3="Basis",0,#REF!)</f>
        <v>0</v>
      </c>
      <c r="AW17" s="71">
        <f t="shared" ca="1" si="4"/>
        <v>0</v>
      </c>
      <c r="AX17" s="72">
        <f ca="1">IF(E17='Invoer gegevens'!$C$17+14,IF('Invoer gegevens'!$C$20="Ja",MAX('RW - MW - DE - DE'!$AY$236,'RW - MW - DE - UP'!$AY$236,'RW - MW - DE - DE'!$AY$236)),0)</f>
        <v>0</v>
      </c>
      <c r="AY17" s="72">
        <f ca="1">IFERROR(IF(E17='Invoer gegevens'!$C$17,-'Invoer gegevens'!$C$10*'Invoer gegevens'!$C$31*Reeksen!H17,0),0)</f>
        <v>0</v>
      </c>
      <c r="AZ17" s="73">
        <f ca="1">IF('Invoer gegevens'!$C$34=E17,'Invoer gegevens'!$C$27*'Invoer gegevens'!$C$10*'Invoer gegevens'!$C$36*(IF('Invoer gegevens'!$C$35="ja",1,Reeksen!J17)),IF('Invoer gegevens'!$C$34+1=E17,'Invoer gegevens'!$C$27*'Invoer gegevens'!$C$10*'Invoer gegevens'!$C$37*(IF('Invoer gegevens'!$C$35="ja",1,Reeksen!J17)),0))+IF(AND(E17='Invoer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7" s="73">
        <f ca="1">AW17/(1+'Invoer gegevens'!$F$13)^($D17-('Invoer gegevens'!$C$17-'Invoer gegevens'!$C$16))/(1+'Invoer gegevens'!$C$39)^('Invoer gegevens'!$C$17-'Invoer gegevens'!$C$16)</f>
        <v>0</v>
      </c>
      <c r="BB17" s="73">
        <f ca="1">AX17/(1+'Invoer gegevens'!$F$13)^(E17-('Invoer gegevens'!$C$17-1))/(1+'Invoer gegevens'!$C$39)^('Invoer gegevens'!$C$17-'Invoer gegevens'!$C$16)</f>
        <v>0</v>
      </c>
      <c r="BC17" s="73">
        <f ca="1">AY17/(1+'Invoer gegevens'!$C$39)^('Invoer gegevens'!$C$17-'Invoer gegevens'!$C$16)</f>
        <v>0</v>
      </c>
      <c r="BD17" s="72">
        <f t="shared" ca="1" si="5"/>
        <v>0</v>
      </c>
      <c r="BE17" s="72">
        <f ca="1">IF(AND(E17='Invoer gegevens'!$C$16,'Invoer gegevens'!$C$34&lt;'Invoer gegevens'!$C$16),AZ17,AZ17/(1+'Invoer gegevens'!$C$39)^D17)</f>
        <v>0</v>
      </c>
      <c r="BF17" s="72">
        <f ca="1">IF(E17='Invoer gegevens'!$C$34,-'Invoer gegevens'!$F$40,0)</f>
        <v>0</v>
      </c>
      <c r="BG17" s="72">
        <f ca="1">IF(E17='Invoer gegevens'!$C$17,-'Invoer gegevens'!$C$19*$BD$31,0)</f>
        <v>0</v>
      </c>
      <c r="BH17" s="72">
        <f ca="1">AW17/(1+$BH$4)^($D17-('Invoer gegevens'!$C$17-'Invoer gegevens'!$C$16))/(1+'Invoer gegevens'!$C$39)^('Invoer gegevens'!$C$17-'Invoer gegevens'!$C$16)+AX17/(1+$BH$4)^(E17-('Invoer gegevens'!$C$17-1))/(1+'Invoer gegevens'!$C$39)^('Invoer gegevens'!$C$17-'Invoer gegevens'!$C$16)+AY17/(1+'Invoer gegevens'!$C$39)^('Invoer gegevens'!$C$17-'Invoer gegevens'!$C$16)+(-AZ17/(1+'Invoer gegevens'!$C$39)^D17)+BF17+BG17</f>
        <v>0</v>
      </c>
      <c r="BI17" s="59"/>
    </row>
    <row r="18" spans="1:67" x14ac:dyDescent="0.25">
      <c r="A18" s="59"/>
      <c r="B18" s="70">
        <f t="shared" si="6"/>
        <v>14</v>
      </c>
      <c r="C18" s="67">
        <f ca="1">IF(AND(E18&gt;='Invoer gegevens'!$C$17,E18&lt;'Invoer gegevens'!$C$17+15),1,0)</f>
        <v>1</v>
      </c>
      <c r="D18" s="68">
        <f t="shared" si="7"/>
        <v>13.5</v>
      </c>
      <c r="E18" s="69">
        <f ca="1">IF('Invoer gegevens'!$C$16="","",E17+1)</f>
        <v>2032</v>
      </c>
      <c r="F18" s="82">
        <f ca="1">IF('Invoer gegevens'!$C$17=E18,'Invoer gegevens'!$C$10,IF(C18=1,H17,0))</f>
        <v>0</v>
      </c>
      <c r="G18" s="83">
        <f ca="1">IF(E18='Invoer gegevens'!$C$17+15,H17,IF(C18&gt;=1,F18*Reeksen!C18,0))</f>
        <v>0</v>
      </c>
      <c r="H18" s="84">
        <f ca="1">IF(E18&gt;='Invoer gegevens'!$C$17+15,0,F18-G18)</f>
        <v>0</v>
      </c>
      <c r="I18" s="85">
        <f ca="1">IF('Invoer gegevens'!$C$17=E18,'Invoer gegevens'!$C$11,IF(C18=1,L17,0))</f>
        <v>0</v>
      </c>
      <c r="J18" s="86">
        <f ca="1">IF(E18='Invoer gegevens'!$C$17+15,L17,IF(C18&lt;1,0,IF(Reeksen!AD18&lt;=Reeksen!AE18,I18*Reeksen!C18,0)))</f>
        <v>0</v>
      </c>
      <c r="K18" s="86">
        <f ca="1">IF(E18='Invoer gegevens'!$C$17+15,L17,IF(C18&lt;1,0,IF(Reeksen!AD18&gt;Reeksen!AE18,I18*Reeksen!C18,0)))</f>
        <v>0</v>
      </c>
      <c r="L18" s="86">
        <f ca="1">IF(E18&gt;='Invoer gegevens'!$C$17+15,0,I18-J18-K18)</f>
        <v>0</v>
      </c>
      <c r="M18" s="85">
        <f ca="1">IF('Invoer gegevens'!$C$17=E18,'Invoer gegevens'!$C$10-'Invoer gegevens'!$C$11,IF(C18=1,P17,0))</f>
        <v>0</v>
      </c>
      <c r="N18" s="86">
        <f ca="1">IF(E18='Invoer gegevens'!$C$17+15,P17,IF(C18&lt;1,0,IF(Reeksen!AD18&lt;=Reeksen!AE18,M18*Reeksen!C18,0)))</f>
        <v>0</v>
      </c>
      <c r="O18" s="86">
        <f ca="1">IF(E18='Invoer gegevens'!$C$17+15,P17,IF(C18&lt;1,0,IF(Reeksen!AD18&gt;Reeksen!AE18,M18*Reeksen!C18,0)))</f>
        <v>0</v>
      </c>
      <c r="P18" s="86">
        <f ca="1">IF(E18&gt;='Invoer gegevens'!$C$17+15,0,M18-N18-O18)</f>
        <v>0</v>
      </c>
      <c r="Q18" s="82">
        <f ca="1">IF('Invoer gegevens'!$C$17=E18,I18,IF(C18=0,0,R17))</f>
        <v>0</v>
      </c>
      <c r="R18" s="84">
        <f t="shared" ca="1" si="0"/>
        <v>0</v>
      </c>
      <c r="S18" s="84">
        <f ca="1">IF('Invoer gegevens'!$C$17=E18,M18,IF(C18=0,0,T17))</f>
        <v>0</v>
      </c>
      <c r="T18" s="84">
        <f t="shared" ca="1" si="1"/>
        <v>0</v>
      </c>
      <c r="AH18" s="70"/>
      <c r="AI18" s="71">
        <f ca="1">IF(C18=1,((F18+H18)/2*Reeksen!AI18*12)+(('Invoer gegevens'!$C$10-(F18+H18)/2)*Reeksen!AD18*12),0)</f>
        <v>0</v>
      </c>
      <c r="AJ18" s="71">
        <f ca="1">-AI18*'Invoer gegevens'!$F$28</f>
        <v>0</v>
      </c>
      <c r="AK18" s="71">
        <f t="shared" ca="1" si="2"/>
        <v>0</v>
      </c>
      <c r="AL18" s="71">
        <f ca="1">IF(C18=1,(12*((F18+H18)/2)*Reeksen!AL18)+(12*('Invoer gegevens'!$C$10-(F18+H18)/2)*Reeksen!AM18),0)</f>
        <v>0</v>
      </c>
      <c r="AM18" s="71">
        <f ca="1">-AL18*'Invoer gegevens'!$F$31</f>
        <v>0</v>
      </c>
      <c r="AN18" s="71">
        <f t="shared" ca="1" si="3"/>
        <v>0</v>
      </c>
      <c r="AO18" s="71"/>
      <c r="AP18" s="71"/>
      <c r="AQ18" s="71">
        <f ca="1">-IF(C18=1,('Invoer gegevens'!$C$10*'Invoer gegevens'!$F$35)*Reeksen!J18,0)</f>
        <v>0</v>
      </c>
      <c r="AR18" s="71">
        <f ca="1">-IF(C18=1,(G18*'Invoer gegevens'!$F$36)*Reeksen!J18,0)</f>
        <v>0</v>
      </c>
      <c r="AS18" s="71">
        <f ca="1">-IF(C18=1,'Invoer gegevens'!$C$10*'Invoer gegevens'!$F$37*Reeksen!L18,0)</f>
        <v>0</v>
      </c>
      <c r="AT18" s="71">
        <f>IF(Dashboard!$C$20&gt;10,-IF(C18=1,IF(E18='Invoer gegevens'!$C$17,'Invoer gegevens'!$C$11,Q18)*Reeksen!S18*'Invoer gegevens'!$C$18*Reeksen!P18,0),0)</f>
        <v>0</v>
      </c>
      <c r="AU18" s="71">
        <f ca="1">-IF(C18=1,'Invoer gegevens'!$C$10*'Invoer gegevens'!$F$38*Reeksen!H18,0)</f>
        <v>0</v>
      </c>
      <c r="AV18" s="71">
        <f>IF('Invoer gegevens'!$C$3="Basis",0,#REF!)</f>
        <v>0</v>
      </c>
      <c r="AW18" s="71">
        <f t="shared" ca="1" si="4"/>
        <v>0</v>
      </c>
      <c r="AX18" s="72">
        <f ca="1">IF(E18='Invoer gegevens'!$C$17+14,IF('Invoer gegevens'!$C$20="Ja",MAX('RW - MW - DE - DE'!$AY$236,'RW - MW - DE - UP'!$AY$236,'RW - MW - DE - DE'!$AY$236)),0)</f>
        <v>0</v>
      </c>
      <c r="AY18" s="72">
        <f ca="1">IFERROR(IF(E18='Invoer gegevens'!$C$17,-'Invoer gegevens'!$C$10*'Invoer gegevens'!$C$31*Reeksen!H18,0),0)</f>
        <v>0</v>
      </c>
      <c r="AZ18" s="73">
        <f ca="1">IF('Invoer gegevens'!$C$34=E18,'Invoer gegevens'!$C$27*'Invoer gegevens'!$C$10*'Invoer gegevens'!$C$36*(IF('Invoer gegevens'!$C$35="ja",1,Reeksen!J18)),IF('Invoer gegevens'!$C$34+1=E18,'Invoer gegevens'!$C$27*'Invoer gegevens'!$C$10*'Invoer gegevens'!$C$37*(IF('Invoer gegevens'!$C$35="ja",1,Reeksen!J18)),0))+IF(AND(E18='Invoer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8" s="73">
        <f ca="1">AW18/(1+'Invoer gegevens'!$F$13)^($D18-('Invoer gegevens'!$C$17-'Invoer gegevens'!$C$16))/(1+'Invoer gegevens'!$C$39)^('Invoer gegevens'!$C$17-'Invoer gegevens'!$C$16)</f>
        <v>0</v>
      </c>
      <c r="BB18" s="73">
        <f ca="1">AX18/(1+'Invoer gegevens'!$F$13)^(E18-('Invoer gegevens'!$C$17-1))/(1+'Invoer gegevens'!$C$39)^('Invoer gegevens'!$C$17-'Invoer gegevens'!$C$16)</f>
        <v>0</v>
      </c>
      <c r="BC18" s="73">
        <f ca="1">AY18/(1+'Invoer gegevens'!$C$39)^('Invoer gegevens'!$C$17-'Invoer gegevens'!$C$16)</f>
        <v>0</v>
      </c>
      <c r="BD18" s="72">
        <f t="shared" ca="1" si="5"/>
        <v>0</v>
      </c>
      <c r="BE18" s="72">
        <f ca="1">IF(AND(E18='Invoer gegevens'!$C$16,'Invoer gegevens'!$C$34&lt;'Invoer gegevens'!$C$16),AZ18,AZ18/(1+'Invoer gegevens'!$C$39)^D18)</f>
        <v>0</v>
      </c>
      <c r="BF18" s="72">
        <f ca="1">IF(E18='Invoer gegevens'!$C$34,-'Invoer gegevens'!$F$40,0)</f>
        <v>0</v>
      </c>
      <c r="BG18" s="72">
        <f ca="1">IF(E18='Invoer gegevens'!$C$17,-'Invoer gegevens'!$C$19*$BD$31,0)</f>
        <v>0</v>
      </c>
      <c r="BH18" s="72">
        <f ca="1">AW18/(1+$BH$4)^($D18-('Invoer gegevens'!$C$17-'Invoer gegevens'!$C$16))/(1+'Invoer gegevens'!$C$39)^('Invoer gegevens'!$C$17-'Invoer gegevens'!$C$16)+AX18/(1+$BH$4)^(E18-('Invoer gegevens'!$C$17-1))/(1+'Invoer gegevens'!$C$39)^('Invoer gegevens'!$C$17-'Invoer gegevens'!$C$16)+AY18/(1+'Invoer gegevens'!$C$39)^('Invoer gegevens'!$C$17-'Invoer gegevens'!$C$16)+(-AZ18/(1+'Invoer gegevens'!$C$39)^D18)+BF18+BG18</f>
        <v>0</v>
      </c>
      <c r="BI18" s="59"/>
    </row>
    <row r="19" spans="1:67" x14ac:dyDescent="0.25">
      <c r="A19" s="59"/>
      <c r="B19" s="70">
        <f t="shared" si="6"/>
        <v>15</v>
      </c>
      <c r="C19" s="67">
        <f ca="1">IF(AND(E19&gt;='Invoer gegevens'!$C$17,E19&lt;'Invoer gegevens'!$C$17+15),1,0)</f>
        <v>1</v>
      </c>
      <c r="D19" s="68">
        <f t="shared" si="7"/>
        <v>14.5</v>
      </c>
      <c r="E19" s="69">
        <f ca="1">IF('Invoer gegevens'!$C$16="","",E18+1)</f>
        <v>2033</v>
      </c>
      <c r="F19" s="82">
        <f ca="1">IF('Invoer gegevens'!$C$17=E19,'Invoer gegevens'!$C$10,IF(C19=1,H18,0))</f>
        <v>0</v>
      </c>
      <c r="G19" s="83">
        <f ca="1">IF(E19='Invoer gegevens'!$C$17+15,H18,IF(C19&gt;=1,F19*Reeksen!C19,0))</f>
        <v>0</v>
      </c>
      <c r="H19" s="84">
        <f ca="1">IF(E19&gt;='Invoer gegevens'!$C$17+15,0,F19-G19)</f>
        <v>0</v>
      </c>
      <c r="I19" s="85">
        <f ca="1">IF('Invoer gegevens'!$C$17=E19,'Invoer gegevens'!$C$11,IF(C19=1,L18,0))</f>
        <v>0</v>
      </c>
      <c r="J19" s="86">
        <f ca="1">IF(E19='Invoer gegevens'!$C$17+15,L18,IF(C19&lt;1,0,IF(Reeksen!AD19&lt;=Reeksen!AE19,I19*Reeksen!C19,0)))</f>
        <v>0</v>
      </c>
      <c r="K19" s="86">
        <f ca="1">IF(E19='Invoer gegevens'!$C$17+15,L18,IF(C19&lt;1,0,IF(Reeksen!AD19&gt;Reeksen!AE19,I19*Reeksen!C19,0)))</f>
        <v>0</v>
      </c>
      <c r="L19" s="86">
        <f ca="1">IF(E19&gt;='Invoer gegevens'!$C$17+15,0,I19-J19-K19)</f>
        <v>0</v>
      </c>
      <c r="M19" s="85">
        <f ca="1">IF('Invoer gegevens'!$C$17=E19,'Invoer gegevens'!$C$10-'Invoer gegevens'!$C$11,IF(C19=1,P18,0))</f>
        <v>0</v>
      </c>
      <c r="N19" s="86">
        <f ca="1">IF(E19='Invoer gegevens'!$C$17+15,P18,IF(C19&lt;1,0,IF(Reeksen!AD19&lt;=Reeksen!AE19,M19*Reeksen!C19,0)))</f>
        <v>0</v>
      </c>
      <c r="O19" s="86">
        <f ca="1">IF(E19='Invoer gegevens'!$C$17+15,P18,IF(C19&lt;1,0,IF(Reeksen!AD19&gt;Reeksen!AE19,M19*Reeksen!C19,0)))</f>
        <v>0</v>
      </c>
      <c r="P19" s="86">
        <f ca="1">IF(E19&gt;='Invoer gegevens'!$C$17+15,0,M19-N19-O19)</f>
        <v>0</v>
      </c>
      <c r="Q19" s="82">
        <f ca="1">IF('Invoer gegevens'!$C$17=E19,I19,IF(C19=0,0,R18))</f>
        <v>0</v>
      </c>
      <c r="R19" s="84">
        <f t="shared" ca="1" si="0"/>
        <v>0</v>
      </c>
      <c r="S19" s="84">
        <f ca="1">IF('Invoer gegevens'!$C$17=E19,M19,IF(C19=0,0,T18))</f>
        <v>0</v>
      </c>
      <c r="T19" s="84">
        <f t="shared" ca="1" si="1"/>
        <v>0</v>
      </c>
      <c r="AH19" s="70"/>
      <c r="AI19" s="71">
        <f ca="1">IF(C19=1,((F19+H19)/2*Reeksen!AI19*12)+(('Invoer gegevens'!$C$10-(F19+H19)/2)*Reeksen!AD19*12),0)</f>
        <v>0</v>
      </c>
      <c r="AJ19" s="71">
        <f ca="1">-AI19*'Invoer gegevens'!$F$28</f>
        <v>0</v>
      </c>
      <c r="AK19" s="71">
        <f t="shared" ca="1" si="2"/>
        <v>0</v>
      </c>
      <c r="AL19" s="71">
        <f ca="1">IF(C19=1,(12*((F19+H19)/2)*Reeksen!AL19)+(12*('Invoer gegevens'!$C$10-(F19+H19)/2)*Reeksen!AM19),0)</f>
        <v>0</v>
      </c>
      <c r="AM19" s="71">
        <f ca="1">-AL19*'Invoer gegevens'!$F$31</f>
        <v>0</v>
      </c>
      <c r="AN19" s="71">
        <f t="shared" ca="1" si="3"/>
        <v>0</v>
      </c>
      <c r="AO19" s="71"/>
      <c r="AP19" s="71"/>
      <c r="AQ19" s="71">
        <f ca="1">-IF(C19=1,('Invoer gegevens'!$C$10*'Invoer gegevens'!$F$35)*Reeksen!J19,0)</f>
        <v>0</v>
      </c>
      <c r="AR19" s="71">
        <f ca="1">-IF(C19=1,(G19*'Invoer gegevens'!$F$36)*Reeksen!J19,0)</f>
        <v>0</v>
      </c>
      <c r="AS19" s="71">
        <f ca="1">-IF(C19=1,'Invoer gegevens'!$C$10*'Invoer gegevens'!$F$37*Reeksen!L19,0)</f>
        <v>0</v>
      </c>
      <c r="AT19" s="71">
        <f>IF(Dashboard!$C$20&gt;10,-IF(C19=1,IF(E19='Invoer gegevens'!$C$17,'Invoer gegevens'!$C$11,Q19)*Reeksen!S19*'Invoer gegevens'!$C$18*Reeksen!P19,0),0)</f>
        <v>0</v>
      </c>
      <c r="AU19" s="71">
        <f ca="1">-IF(C19=1,'Invoer gegevens'!$C$10*'Invoer gegevens'!$F$38*Reeksen!H19,0)</f>
        <v>0</v>
      </c>
      <c r="AV19" s="71">
        <f>IF('Invoer gegevens'!$C$3="Basis",0,#REF!)</f>
        <v>0</v>
      </c>
      <c r="AW19" s="71">
        <f t="shared" ca="1" si="4"/>
        <v>0</v>
      </c>
      <c r="AX19" s="72">
        <f ca="1">IF(E19='Invoer gegevens'!$C$17+14,IF('Invoer gegevens'!$C$20="Ja",MAX('RW - MW - DE - DE'!$AY$236,'RW - MW - DE - UP'!$AY$236,'RW - MW - DE - DE'!$AY$236)),0)</f>
        <v>0</v>
      </c>
      <c r="AY19" s="72">
        <f ca="1">IFERROR(IF(E19='Invoer gegevens'!$C$17,-'Invoer gegevens'!$C$10*'Invoer gegevens'!$C$31*Reeksen!H19,0),0)</f>
        <v>0</v>
      </c>
      <c r="AZ19" s="73">
        <f ca="1">IF('Invoer gegevens'!$C$34=E19,'Invoer gegevens'!$C$27*'Invoer gegevens'!$C$10*'Invoer gegevens'!$C$36*(IF('Invoer gegevens'!$C$35="ja",1,Reeksen!J19)),IF('Invoer gegevens'!$C$34+1=E19,'Invoer gegevens'!$C$27*'Invoer gegevens'!$C$10*'Invoer gegevens'!$C$37*(IF('Invoer gegevens'!$C$35="ja",1,Reeksen!J19)),0))+IF(AND(E19='Invoer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9" s="73">
        <f ca="1">AW19/(1+'Invoer gegevens'!$F$13)^($D19-('Invoer gegevens'!$C$17-'Invoer gegevens'!$C$16))/(1+'Invoer gegevens'!$C$39)^('Invoer gegevens'!$C$17-'Invoer gegevens'!$C$16)</f>
        <v>0</v>
      </c>
      <c r="BB19" s="73">
        <f ca="1">AX19/(1+'Invoer gegevens'!$F$13)^(E19-('Invoer gegevens'!$C$17-1))/(1+'Invoer gegevens'!$C$39)^('Invoer gegevens'!$C$17-'Invoer gegevens'!$C$16)</f>
        <v>0</v>
      </c>
      <c r="BC19" s="73">
        <f ca="1">AY19/(1+'Invoer gegevens'!$C$39)^('Invoer gegevens'!$C$17-'Invoer gegevens'!$C$16)</f>
        <v>0</v>
      </c>
      <c r="BD19" s="72">
        <f ca="1">SUM(BA19:BC19)</f>
        <v>0</v>
      </c>
      <c r="BE19" s="72">
        <f ca="1">IF(AND(E19='Invoer gegevens'!$C$16,'Invoer gegevens'!$C$34&lt;'Invoer gegevens'!$C$16),AZ19,AZ19/(1+'Invoer gegevens'!$C$39)^D19)</f>
        <v>0</v>
      </c>
      <c r="BF19" s="72">
        <f ca="1">IF(E19='Invoer gegevens'!$C$34,-'Invoer gegevens'!$F$40,0)</f>
        <v>0</v>
      </c>
      <c r="BG19" s="72">
        <f ca="1">IF(E19='Invoer gegevens'!$C$17,-'Invoer gegevens'!$C$19*$BD$31,0)</f>
        <v>0</v>
      </c>
      <c r="BH19" s="72">
        <f ca="1">AW19/(1+$BH$4)^($D19-('Invoer gegevens'!$C$17-'Invoer gegevens'!$C$16))/(1+'Invoer gegevens'!$C$39)^('Invoer gegevens'!$C$17-'Invoer gegevens'!$C$16)+AX19/(1+$BH$4)^(E19-('Invoer gegevens'!$C$17-1))/(1+'Invoer gegevens'!$C$39)^('Invoer gegevens'!$C$17-'Invoer gegevens'!$C$16)+AY19/(1+'Invoer gegevens'!$C$39)^('Invoer gegevens'!$C$17-'Invoer gegevens'!$C$16)+(-AZ19/(1+'Invoer gegevens'!$C$39)^D19)+BF19+BG19</f>
        <v>0</v>
      </c>
      <c r="BI19" s="59"/>
    </row>
    <row r="20" spans="1:67" x14ac:dyDescent="0.25">
      <c r="A20" s="59"/>
      <c r="B20" s="70">
        <f t="shared" si="6"/>
        <v>16</v>
      </c>
      <c r="C20" s="67">
        <f ca="1">IF(AND(E20&gt;='Invoer gegevens'!$C$17,E20&lt;'Invoer gegevens'!$C$17+15),1,0)</f>
        <v>0</v>
      </c>
      <c r="D20" s="68">
        <f t="shared" si="7"/>
        <v>15.5</v>
      </c>
      <c r="E20" s="69">
        <f ca="1">IF('Invoer gegevens'!$C$16="","",E19+1)</f>
        <v>2034</v>
      </c>
      <c r="F20" s="82">
        <f ca="1">IF('Invoer gegevens'!$C$17=E20,'Invoer gegevens'!$C$10,IF(C20=1,H19,0))</f>
        <v>0</v>
      </c>
      <c r="G20" s="83">
        <f ca="1">IF(E20='Invoer gegevens'!$C$17+15,H19,IF(C20&gt;=1,F20*Reeksen!C20,0))</f>
        <v>0</v>
      </c>
      <c r="H20" s="84">
        <f ca="1">IF(E20&gt;='Invoer gegevens'!$C$17+15,0,F20-G20)</f>
        <v>0</v>
      </c>
      <c r="I20" s="85">
        <f ca="1">IF('Invoer gegevens'!$C$17=E20,'Invoer gegevens'!$C$11,IF(C20=1,L19,0))</f>
        <v>0</v>
      </c>
      <c r="J20" s="86">
        <f ca="1">IF(E20='Invoer gegevens'!$C$17+15,L19,IF(C20&lt;1,0,IF(Reeksen!AD20&lt;=Reeksen!AE20,I20*Reeksen!C20,0)))</f>
        <v>0</v>
      </c>
      <c r="K20" s="86">
        <f ca="1">IF(E20='Invoer gegevens'!$C$17+15,L19,IF(C20&lt;1,0,IF(Reeksen!AD20&gt;Reeksen!AE20,I20*Reeksen!C20,0)))</f>
        <v>0</v>
      </c>
      <c r="L20" s="86">
        <f ca="1">IF(E20&gt;='Invoer gegevens'!$C$17+15,0,I20-J20-K20)</f>
        <v>0</v>
      </c>
      <c r="M20" s="85">
        <f ca="1">IF('Invoer gegevens'!$C$17=E20,'Invoer gegevens'!$C$10-'Invoer gegevens'!$C$11,IF(C20=1,P19,0))</f>
        <v>0</v>
      </c>
      <c r="N20" s="86">
        <f ca="1">IF(E20='Invoer gegevens'!$C$17+15,P19,IF(C20&lt;1,0,IF(Reeksen!AD20&lt;=Reeksen!AE20,M20*Reeksen!C20,0)))</f>
        <v>0</v>
      </c>
      <c r="O20" s="86">
        <f ca="1">IF(E20='Invoer gegevens'!$C$17+15,P19,IF(C20&lt;1,0,IF(Reeksen!AD20&gt;Reeksen!AE20,M20*Reeksen!C20,0)))</f>
        <v>0</v>
      </c>
      <c r="P20" s="86">
        <f ca="1">IF(E20&gt;='Invoer gegevens'!$C$17+15,0,M20-N20-O20)</f>
        <v>0</v>
      </c>
      <c r="Q20" s="82">
        <f ca="1">IF('Invoer gegevens'!$C$17=E20,I20,IF(C20=0,0,R19))</f>
        <v>0</v>
      </c>
      <c r="R20" s="84">
        <f t="shared" ca="1" si="0"/>
        <v>0</v>
      </c>
      <c r="S20" s="84">
        <f ca="1">IF('Invoer gegevens'!$C$17=E20,M20,IF(C20=0,0,T19))</f>
        <v>0</v>
      </c>
      <c r="T20" s="84">
        <f t="shared" ca="1" si="1"/>
        <v>0</v>
      </c>
      <c r="AH20" s="70"/>
      <c r="AI20" s="71">
        <f ca="1">IF(C20=1,((F20+H20)/2*Reeksen!AI20*12)+(('Invoer gegevens'!$C$10-(F20+H20)/2)*Reeksen!AD20*12),0)</f>
        <v>0</v>
      </c>
      <c r="AJ20" s="71">
        <f ca="1">-AI20*'Invoer gegevens'!$F$28</f>
        <v>0</v>
      </c>
      <c r="AK20" s="71">
        <f t="shared" ca="1" si="2"/>
        <v>0</v>
      </c>
      <c r="AL20" s="71">
        <f ca="1">IF(C20=1,(12*((F20+H20)/2)*Reeksen!AL20)+(12*('Invoer gegevens'!$C$10-(F20+H20)/2)*Reeksen!AM20),0)</f>
        <v>0</v>
      </c>
      <c r="AM20" s="71">
        <f ca="1">-AL20*'Invoer gegevens'!$F$31</f>
        <v>0</v>
      </c>
      <c r="AN20" s="71">
        <f t="shared" ca="1" si="3"/>
        <v>0</v>
      </c>
      <c r="AO20" s="71"/>
      <c r="AP20" s="71"/>
      <c r="AQ20" s="71">
        <f ca="1">-IF(C20=1,('Invoer gegevens'!$C$10*'Invoer gegevens'!$F$35)*Reeksen!J20,0)</f>
        <v>0</v>
      </c>
      <c r="AR20" s="71">
        <f ca="1">-IF(C20=1,(G20*'Invoer gegevens'!$F$36)*Reeksen!J20,0)</f>
        <v>0</v>
      </c>
      <c r="AS20" s="71">
        <f ca="1">-IF(C20=1,'Invoer gegevens'!$C$10*'Invoer gegevens'!$F$37*Reeksen!L20,0)</f>
        <v>0</v>
      </c>
      <c r="AT20" s="71">
        <f>IF(Dashboard!$C$20&gt;10,-IF(C20=1,IF(E20='Invoer gegevens'!$C$17,'Invoer gegevens'!$C$11,Q20)*Reeksen!S20*'Invoer gegevens'!$C$18*Reeksen!P20,0),0)</f>
        <v>0</v>
      </c>
      <c r="AU20" s="71">
        <f ca="1">-IF(C20=1,'Invoer gegevens'!$C$10*'Invoer gegevens'!$F$38*Reeksen!H20,0)</f>
        <v>0</v>
      </c>
      <c r="AV20" s="71">
        <f>IF('Invoer gegevens'!$C$3="Basis",0,#REF!)</f>
        <v>0</v>
      </c>
      <c r="AW20" s="71">
        <f t="shared" ca="1" si="4"/>
        <v>0</v>
      </c>
      <c r="AX20" s="72">
        <f ca="1">IF(E20='Invoer gegevens'!$C$17+14,IF('Invoer gegevens'!$C$20="Ja",MAX('RW - MW - DE - DE'!$AY$236,'RW - MW - DE - UP'!$AY$236,'RW - MW - DE - DE'!$AY$236)),0)</f>
        <v>0</v>
      </c>
      <c r="AY20" s="72">
        <f ca="1">IFERROR(IF(E20='Invoer gegevens'!$C$17,-'Invoer gegevens'!$C$10*'Invoer gegevens'!$C$31*Reeksen!H20,0),0)</f>
        <v>0</v>
      </c>
      <c r="AZ20" s="73">
        <f ca="1">IF('Invoer gegevens'!$C$34=E20,'Invoer gegevens'!$C$27*'Invoer gegevens'!$C$10*'Invoer gegevens'!$C$36*(IF('Invoer gegevens'!$C$35="ja",1,Reeksen!J20)),IF('Invoer gegevens'!$C$34+1=E20,'Invoer gegevens'!$C$27*'Invoer gegevens'!$C$10*'Invoer gegevens'!$C$37*(IF('Invoer gegevens'!$C$35="ja",1,Reeksen!J20)),0))+IF(AND(E20='Invoer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0" s="73">
        <f ca="1">AW20/(1+'Invoer gegevens'!$F$13)^($D20-('Invoer gegevens'!$C$17-'Invoer gegevens'!$C$16))/(1+'Invoer gegevens'!$C$39)^('Invoer gegevens'!$C$17-'Invoer gegevens'!$C$16)</f>
        <v>0</v>
      </c>
      <c r="BB20" s="73">
        <f ca="1">AX20/(1+'Invoer gegevens'!$F$13)^(E20-('Invoer gegevens'!$C$17-1))/(1+'Invoer gegevens'!$C$39)^('Invoer gegevens'!$C$17-'Invoer gegevens'!$C$16)</f>
        <v>0</v>
      </c>
      <c r="BC20" s="73">
        <f ca="1">AY20/(1+'Invoer gegevens'!$C$39)^('Invoer gegevens'!$C$17-'Invoer gegevens'!$C$16)</f>
        <v>0</v>
      </c>
      <c r="BD20" s="72">
        <f t="shared" ca="1" si="5"/>
        <v>0</v>
      </c>
      <c r="BE20" s="72">
        <f ca="1">IF(AND(E20='Invoer gegevens'!$C$16,'Invoer gegevens'!$C$34&lt;'Invoer gegevens'!$C$16),AZ20,AZ20/(1+'Invoer gegevens'!$C$39)^D20)</f>
        <v>0</v>
      </c>
      <c r="BF20" s="72">
        <f ca="1">IF(E20='Invoer gegevens'!$C$34,-'Invoer gegevens'!$F$40,0)</f>
        <v>0</v>
      </c>
      <c r="BG20" s="72">
        <f ca="1">IF(E20='Invoer gegevens'!$C$17,-'Invoer gegevens'!$C$19*$BD$31,0)</f>
        <v>0</v>
      </c>
      <c r="BH20" s="72">
        <f ca="1">AW20/(1+$BH$4)^($D20-('Invoer gegevens'!$C$17-'Invoer gegevens'!$C$16))/(1+'Invoer gegevens'!$C$39)^('Invoer gegevens'!$C$17-'Invoer gegevens'!$C$16)+AX20/(1+$BH$4)^(E20-('Invoer gegevens'!$C$17-1))/(1+'Invoer gegevens'!$C$39)^('Invoer gegevens'!$C$17-'Invoer gegevens'!$C$16)+AY20/(1+'Invoer gegevens'!$C$39)^('Invoer gegevens'!$C$17-'Invoer gegevens'!$C$16)+(-AZ20/(1+'Invoer gegevens'!$C$39)^D20)+BF20+BG20</f>
        <v>0</v>
      </c>
      <c r="BI20" s="59"/>
    </row>
    <row r="21" spans="1:67" x14ac:dyDescent="0.25">
      <c r="A21" s="59"/>
      <c r="B21" s="70">
        <f t="shared" si="6"/>
        <v>17</v>
      </c>
      <c r="C21" s="67">
        <f ca="1">IF(AND(E21&gt;='Invoer gegevens'!$C$17,E21&lt;'Invoer gegevens'!$C$17+15),1,0)</f>
        <v>0</v>
      </c>
      <c r="D21" s="68">
        <f t="shared" si="7"/>
        <v>16.5</v>
      </c>
      <c r="E21" s="69">
        <f ca="1">IF('Invoer gegevens'!$C$16="","",E20+1)</f>
        <v>2035</v>
      </c>
      <c r="F21" s="82">
        <f ca="1">IF('Invoer gegevens'!$C$17=E21,'Invoer gegevens'!$C$10,IF(C21=1,H20,0))</f>
        <v>0</v>
      </c>
      <c r="G21" s="83">
        <f ca="1">IF(E21='Invoer gegevens'!$C$17+15,H20,IF(C21&gt;=1,F21*Reeksen!C21,0))</f>
        <v>0</v>
      </c>
      <c r="H21" s="84">
        <f ca="1">IF(E21&gt;='Invoer gegevens'!$C$17+15,0,F21-G21)</f>
        <v>0</v>
      </c>
      <c r="I21" s="85">
        <f ca="1">IF('Invoer gegevens'!$C$17=E21,'Invoer gegevens'!$C$11,IF(C21=1,L20,0))</f>
        <v>0</v>
      </c>
      <c r="J21" s="86">
        <f ca="1">IF(E21='Invoer gegevens'!$C$17+15,L20,IF(C21&lt;1,0,IF(Reeksen!AD21&lt;=Reeksen!AE21,I21*Reeksen!C21,0)))</f>
        <v>0</v>
      </c>
      <c r="K21" s="86">
        <f ca="1">IF(E21='Invoer gegevens'!$C$17+15,L20,IF(C21&lt;1,0,IF(Reeksen!AD21&gt;Reeksen!AE21,I21*Reeksen!C21,0)))</f>
        <v>0</v>
      </c>
      <c r="L21" s="86">
        <f ca="1">IF(E21&gt;='Invoer gegevens'!$C$17+15,0,I21-J21-K21)</f>
        <v>0</v>
      </c>
      <c r="M21" s="85">
        <f ca="1">IF('Invoer gegevens'!$C$17=E21,'Invoer gegevens'!$C$10-'Invoer gegevens'!$C$11,IF(C21=1,P20,0))</f>
        <v>0</v>
      </c>
      <c r="N21" s="86">
        <f ca="1">IF(E21='Invoer gegevens'!$C$17+15,P20,IF(C21&lt;1,0,IF(Reeksen!AD21&lt;=Reeksen!AE21,M21*Reeksen!C21,0)))</f>
        <v>0</v>
      </c>
      <c r="O21" s="86">
        <f ca="1">IF(E21='Invoer gegevens'!$C$17+15,P20,IF(C21&lt;1,0,IF(Reeksen!AD21&gt;Reeksen!AE21,M21*Reeksen!C21,0)))</f>
        <v>0</v>
      </c>
      <c r="P21" s="86">
        <f ca="1">IF(E21&gt;='Invoer gegevens'!$C$17+15,0,M21-N21-O21)</f>
        <v>0</v>
      </c>
      <c r="Q21" s="82">
        <f ca="1">IF('Invoer gegevens'!$C$17=E21,I21,IF(C21=0,0,R20))</f>
        <v>0</v>
      </c>
      <c r="R21" s="84">
        <f t="shared" ca="1" si="0"/>
        <v>0</v>
      </c>
      <c r="S21" s="84">
        <f ca="1">IF('Invoer gegevens'!$C$17=E21,M21,IF(C21=0,0,T20))</f>
        <v>0</v>
      </c>
      <c r="T21" s="84">
        <f t="shared" ca="1" si="1"/>
        <v>0</v>
      </c>
      <c r="AH21" s="70"/>
      <c r="AI21" s="71">
        <f ca="1">IF(C21=1,((F21+H21)/2*Reeksen!AI21*12)+(('Invoer gegevens'!$C$10-(F21+H21)/2)*Reeksen!AD21*12),0)</f>
        <v>0</v>
      </c>
      <c r="AJ21" s="71">
        <f ca="1">-AI21*'Invoer gegevens'!$F$28</f>
        <v>0</v>
      </c>
      <c r="AK21" s="71">
        <f t="shared" ca="1" si="2"/>
        <v>0</v>
      </c>
      <c r="AL21" s="71">
        <f ca="1">IF(C21=1,(12*((F21+H21)/2)*Reeksen!AL21)+(12*('Invoer gegevens'!$C$10-(F21+H21)/2)*Reeksen!AM21),0)</f>
        <v>0</v>
      </c>
      <c r="AM21" s="71">
        <f ca="1">-AL21*'Invoer gegevens'!$F$31</f>
        <v>0</v>
      </c>
      <c r="AN21" s="71">
        <f t="shared" ca="1" si="3"/>
        <v>0</v>
      </c>
      <c r="AO21" s="71"/>
      <c r="AP21" s="71"/>
      <c r="AQ21" s="71">
        <f ca="1">-IF(C21=1,('Invoer gegevens'!$C$10*'Invoer gegevens'!$F$35)*Reeksen!J21,0)</f>
        <v>0</v>
      </c>
      <c r="AR21" s="71">
        <f ca="1">-IF(C21=1,(G21*'Invoer gegevens'!$F$36)*Reeksen!J21,0)</f>
        <v>0</v>
      </c>
      <c r="AS21" s="71">
        <f ca="1">-IF(C21=1,'Invoer gegevens'!$C$10*'Invoer gegevens'!$F$37*Reeksen!L21,0)</f>
        <v>0</v>
      </c>
      <c r="AT21" s="71">
        <f>IF(Dashboard!$C$20&gt;10,-IF(C21=1,IF(E21='Invoer gegevens'!$C$17,'Invoer gegevens'!$C$11,Q21)*Reeksen!S21*'Invoer gegevens'!$C$18*Reeksen!P21,0),0)</f>
        <v>0</v>
      </c>
      <c r="AU21" s="71">
        <f ca="1">-IF(C21=1,'Invoer gegevens'!$C$10*'Invoer gegevens'!$F$38*Reeksen!H21,0)</f>
        <v>0</v>
      </c>
      <c r="AV21" s="71">
        <f>IF('Invoer gegevens'!$C$3="Basis",0,#REF!)</f>
        <v>0</v>
      </c>
      <c r="AW21" s="71">
        <f t="shared" ca="1" si="4"/>
        <v>0</v>
      </c>
      <c r="AX21" s="72">
        <f ca="1">IF(E21='Invoer gegevens'!$C$17+14,IF('Invoer gegevens'!$C$20="Ja",MAX('RW - MW - DE - DE'!$AY$236,'RW - MW - DE - UP'!$AY$236,'RW - MW - DE - DE'!$AY$236)),0)</f>
        <v>0</v>
      </c>
      <c r="AY21" s="72">
        <f ca="1">IFERROR(IF(E21='Invoer gegevens'!$C$17,-'Invoer gegevens'!$C$10*'Invoer gegevens'!$C$31*Reeksen!H21,0),0)</f>
        <v>0</v>
      </c>
      <c r="AZ21" s="73">
        <f ca="1">IF('Invoer gegevens'!$C$34=E21,'Invoer gegevens'!$C$27*'Invoer gegevens'!$C$10*'Invoer gegevens'!$C$36*(IF('Invoer gegevens'!$C$35="ja",1,Reeksen!J21)),IF('Invoer gegevens'!$C$34+1=E21,'Invoer gegevens'!$C$27*'Invoer gegevens'!$C$10*'Invoer gegevens'!$C$37*(IF('Invoer gegevens'!$C$35="ja",1,Reeksen!J21)),0))+IF(AND(E21='Invoer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1" s="73">
        <f ca="1">AW21/(1+'Invoer gegevens'!$F$13)^($D21-('Invoer gegevens'!$C$17-'Invoer gegevens'!$C$16))/(1+'Invoer gegevens'!$C$39)^('Invoer gegevens'!$C$17-'Invoer gegevens'!$C$16)</f>
        <v>0</v>
      </c>
      <c r="BB21" s="73">
        <f ca="1">AX21/(1+'Invoer gegevens'!$F$13)^(E21-('Invoer gegevens'!$C$17-1))/(1+'Invoer gegevens'!$C$39)^('Invoer gegevens'!$C$17-'Invoer gegevens'!$C$16)</f>
        <v>0</v>
      </c>
      <c r="BC21" s="73">
        <f ca="1">AY21/(1+'Invoer gegevens'!$C$39)^('Invoer gegevens'!$C$17-'Invoer gegevens'!$C$16)</f>
        <v>0</v>
      </c>
      <c r="BD21" s="72">
        <f t="shared" ca="1" si="5"/>
        <v>0</v>
      </c>
      <c r="BE21" s="72">
        <f ca="1">IF(AND(E21='Invoer gegevens'!$C$16,'Invoer gegevens'!$C$34&lt;'Invoer gegevens'!$C$16),AZ21,AZ21/(1+'Invoer gegevens'!$C$39)^D21)</f>
        <v>0</v>
      </c>
      <c r="BF21" s="72">
        <f ca="1">IF(E21='Invoer gegevens'!$C$34,-'Invoer gegevens'!$F$40,0)</f>
        <v>0</v>
      </c>
      <c r="BG21" s="72">
        <f ca="1">IF(E21='Invoer gegevens'!$C$17,-'Invoer gegevens'!$C$19*$BD$31,0)</f>
        <v>0</v>
      </c>
      <c r="BH21" s="72">
        <f ca="1">AW21/(1+$BH$4)^($D21-('Invoer gegevens'!$C$17-'Invoer gegevens'!$C$16))/(1+'Invoer gegevens'!$C$39)^('Invoer gegevens'!$C$17-'Invoer gegevens'!$C$16)+AX21/(1+$BH$4)^(E21-('Invoer gegevens'!$C$17-1))/(1+'Invoer gegevens'!$C$39)^('Invoer gegevens'!$C$17-'Invoer gegevens'!$C$16)+AY21/(1+'Invoer gegevens'!$C$39)^('Invoer gegevens'!$C$17-'Invoer gegevens'!$C$16)+(-AZ21/(1+'Invoer gegevens'!$C$39)^D21)+BF21+BG21</f>
        <v>0</v>
      </c>
      <c r="BI21" s="59"/>
    </row>
    <row r="22" spans="1:67" x14ac:dyDescent="0.25">
      <c r="A22" s="59"/>
      <c r="B22" s="70">
        <f t="shared" si="6"/>
        <v>18</v>
      </c>
      <c r="C22" s="67">
        <f ca="1">IF(AND(E22&gt;='Invoer gegevens'!$C$17,E22&lt;'Invoer gegevens'!$C$17+15),1,0)</f>
        <v>0</v>
      </c>
      <c r="D22" s="68">
        <f t="shared" si="7"/>
        <v>17.5</v>
      </c>
      <c r="E22" s="69">
        <f ca="1">IF('Invoer gegevens'!$C$16="","",E21+1)</f>
        <v>2036</v>
      </c>
      <c r="F22" s="82">
        <f ca="1">IF('Invoer gegevens'!$C$17=E22,'Invoer gegevens'!$C$10,IF(C22=1,H21,0))</f>
        <v>0</v>
      </c>
      <c r="G22" s="83">
        <f ca="1">IF(E22='Invoer gegevens'!$C$17+15,H21,IF(C22&gt;=1,F22*Reeksen!C22,0))</f>
        <v>0</v>
      </c>
      <c r="H22" s="84">
        <f ca="1">IF(E22&gt;='Invoer gegevens'!$C$17+15,0,F22-G22)</f>
        <v>0</v>
      </c>
      <c r="I22" s="85">
        <f ca="1">IF('Invoer gegevens'!$C$17=E22,'Invoer gegevens'!$C$11,IF(C22=1,L21,0))</f>
        <v>0</v>
      </c>
      <c r="J22" s="86">
        <f ca="1">IF(E22='Invoer gegevens'!$C$17+15,L21,IF(C22&lt;1,0,IF(Reeksen!AD22&lt;=Reeksen!AE22,I22*Reeksen!C22,0)))</f>
        <v>0</v>
      </c>
      <c r="K22" s="86">
        <f ca="1">IF(E22='Invoer gegevens'!$C$17+15,L21,IF(C22&lt;1,0,IF(Reeksen!AD22&gt;Reeksen!AE22,I22*Reeksen!C22,0)))</f>
        <v>0</v>
      </c>
      <c r="L22" s="86">
        <f ca="1">IF(E22&gt;='Invoer gegevens'!$C$17+15,0,I22-J22-K22)</f>
        <v>0</v>
      </c>
      <c r="M22" s="85">
        <f ca="1">IF('Invoer gegevens'!$C$17=E22,'Invoer gegevens'!$C$10-'Invoer gegevens'!$C$11,IF(C22=1,P21,0))</f>
        <v>0</v>
      </c>
      <c r="N22" s="86">
        <f ca="1">IF(E22='Invoer gegevens'!$C$17+15,P21,IF(C22&lt;1,0,IF(Reeksen!AD22&lt;=Reeksen!AE22,M22*Reeksen!C22,0)))</f>
        <v>0</v>
      </c>
      <c r="O22" s="86">
        <f ca="1">IF(E22='Invoer gegevens'!$C$17+15,P21,IF(C22&lt;1,0,IF(Reeksen!AD22&gt;Reeksen!AE22,M22*Reeksen!C22,0)))</f>
        <v>0</v>
      </c>
      <c r="P22" s="86">
        <f ca="1">IF(E22&gt;='Invoer gegevens'!$C$17+15,0,M22-N22-O22)</f>
        <v>0</v>
      </c>
      <c r="Q22" s="82">
        <f ca="1">IF('Invoer gegevens'!$C$17=E22,I22,IF(C22=0,0,R21))</f>
        <v>0</v>
      </c>
      <c r="R22" s="84">
        <f t="shared" ca="1" si="0"/>
        <v>0</v>
      </c>
      <c r="S22" s="84">
        <f ca="1">IF('Invoer gegevens'!$C$17=E22,M22,IF(C22=0,0,T21))</f>
        <v>0</v>
      </c>
      <c r="T22" s="84">
        <f t="shared" ca="1" si="1"/>
        <v>0</v>
      </c>
      <c r="AH22" s="70"/>
      <c r="AI22" s="71">
        <f ca="1">IF(C22=1,((F22+H22)/2*Reeksen!AI22*12)+(('Invoer gegevens'!$C$10-(F22+H22)/2)*Reeksen!AD22*12),0)</f>
        <v>0</v>
      </c>
      <c r="AJ22" s="71">
        <f ca="1">-AI22*'Invoer gegevens'!$F$28</f>
        <v>0</v>
      </c>
      <c r="AK22" s="71">
        <f t="shared" ca="1" si="2"/>
        <v>0</v>
      </c>
      <c r="AL22" s="71">
        <f ca="1">IF(C22=1,(12*((F22+H22)/2)*Reeksen!AL22)+(12*('Invoer gegevens'!$C$10-(F22+H22)/2)*Reeksen!AM22),0)</f>
        <v>0</v>
      </c>
      <c r="AM22" s="71">
        <f ca="1">-AL22*'Invoer gegevens'!$F$31</f>
        <v>0</v>
      </c>
      <c r="AN22" s="71">
        <f t="shared" ca="1" si="3"/>
        <v>0</v>
      </c>
      <c r="AO22" s="71"/>
      <c r="AP22" s="71"/>
      <c r="AQ22" s="71">
        <f ca="1">-IF(C22=1,('Invoer gegevens'!$C$10*'Invoer gegevens'!$F$35)*Reeksen!J22,0)</f>
        <v>0</v>
      </c>
      <c r="AR22" s="71">
        <f ca="1">-IF(C22=1,(G22*'Invoer gegevens'!$F$36)*Reeksen!J22,0)</f>
        <v>0</v>
      </c>
      <c r="AS22" s="71">
        <f ca="1">-IF(C22=1,'Invoer gegevens'!$C$10*'Invoer gegevens'!$F$37*Reeksen!L22,0)</f>
        <v>0</v>
      </c>
      <c r="AT22" s="71">
        <f>IF(Dashboard!$C$20&gt;10,-IF(C22=1,IF(E22='Invoer gegevens'!$C$17,'Invoer gegevens'!$C$11,Q22)*Reeksen!S22*'Invoer gegevens'!$C$18*Reeksen!P22,0),0)</f>
        <v>0</v>
      </c>
      <c r="AU22" s="71">
        <f ca="1">-IF(C22=1,'Invoer gegevens'!$C$10*'Invoer gegevens'!$F$38*Reeksen!H22,0)</f>
        <v>0</v>
      </c>
      <c r="AV22" s="71">
        <f>IF('Invoer gegevens'!$C$3="Basis",0,#REF!)</f>
        <v>0</v>
      </c>
      <c r="AW22" s="71">
        <f t="shared" ca="1" si="4"/>
        <v>0</v>
      </c>
      <c r="AX22" s="72">
        <f ca="1">IF(E22='Invoer gegevens'!$C$17+14,IF('Invoer gegevens'!$C$20="Ja",MAX('RW - MW - DE - DE'!$AY$236,'RW - MW - DE - UP'!$AY$236,'RW - MW - DE - DE'!$AY$236)),0)</f>
        <v>0</v>
      </c>
      <c r="AY22" s="72">
        <f ca="1">IFERROR(IF(E22='Invoer gegevens'!$C$17,-'Invoer gegevens'!$C$10*'Invoer gegevens'!$C$31*Reeksen!H22,0),0)</f>
        <v>0</v>
      </c>
      <c r="AZ22" s="73">
        <f ca="1">IF('Invoer gegevens'!$C$34=E22,'Invoer gegevens'!$C$27*'Invoer gegevens'!$C$10*'Invoer gegevens'!$C$36*(IF('Invoer gegevens'!$C$35="ja",1,Reeksen!J22)),IF('Invoer gegevens'!$C$34+1=E22,'Invoer gegevens'!$C$27*'Invoer gegevens'!$C$10*'Invoer gegevens'!$C$37*(IF('Invoer gegevens'!$C$35="ja",1,Reeksen!J22)),0))+IF(AND(E22='Invoer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2" s="73">
        <f ca="1">AW22/(1+'Invoer gegevens'!$F$13)^($D22-('Invoer gegevens'!$C$17-'Invoer gegevens'!$C$16))/(1+'Invoer gegevens'!$C$39)^('Invoer gegevens'!$C$17-'Invoer gegevens'!$C$16)</f>
        <v>0</v>
      </c>
      <c r="BB22" s="73">
        <f ca="1">AX22/(1+'Invoer gegevens'!$F$13)^(E22-('Invoer gegevens'!$C$17-1))/(1+'Invoer gegevens'!$C$39)^('Invoer gegevens'!$C$17-'Invoer gegevens'!$C$16)</f>
        <v>0</v>
      </c>
      <c r="BC22" s="73">
        <f ca="1">AY22/(1+'Invoer gegevens'!$C$39)^('Invoer gegevens'!$C$17-'Invoer gegevens'!$C$16)</f>
        <v>0</v>
      </c>
      <c r="BD22" s="72">
        <f t="shared" ca="1" si="5"/>
        <v>0</v>
      </c>
      <c r="BE22" s="72">
        <f ca="1">IF(AND(E22='Invoer gegevens'!$C$16,'Invoer gegevens'!$C$34&lt;'Invoer gegevens'!$C$16),AZ22,AZ22/(1+'Invoer gegevens'!$C$39)^D22)</f>
        <v>0</v>
      </c>
      <c r="BF22" s="72">
        <f ca="1">IF(E22='Invoer gegevens'!$C$34,-'Invoer gegevens'!$F$40,0)</f>
        <v>0</v>
      </c>
      <c r="BG22" s="72">
        <f ca="1">IF(E22='Invoer gegevens'!$C$17,-'Invoer gegevens'!$C$19*$BD$31,0)</f>
        <v>0</v>
      </c>
      <c r="BH22" s="72">
        <f ca="1">AW22/(1+$BH$4)^($D22-('Invoer gegevens'!$C$17-'Invoer gegevens'!$C$16))/(1+'Invoer gegevens'!$C$39)^('Invoer gegevens'!$C$17-'Invoer gegevens'!$C$16)+AX22/(1+$BH$4)^(E22-('Invoer gegevens'!$C$17-1))/(1+'Invoer gegevens'!$C$39)^('Invoer gegevens'!$C$17-'Invoer gegevens'!$C$16)+AY22/(1+'Invoer gegevens'!$C$39)^('Invoer gegevens'!$C$17-'Invoer gegevens'!$C$16)+(-AZ22/(1+'Invoer gegevens'!$C$39)^D22)+BF22+BG22</f>
        <v>0</v>
      </c>
      <c r="BI22" s="59"/>
    </row>
    <row r="23" spans="1:67" x14ac:dyDescent="0.25">
      <c r="A23" s="59"/>
      <c r="B23" s="70">
        <f t="shared" si="6"/>
        <v>19</v>
      </c>
      <c r="C23" s="67">
        <f ca="1">IF(AND(E23&gt;='Invoer gegevens'!$C$17,E23&lt;'Invoer gegevens'!$C$17+15),1,0)</f>
        <v>0</v>
      </c>
      <c r="D23" s="68">
        <f t="shared" si="7"/>
        <v>18.5</v>
      </c>
      <c r="E23" s="69">
        <f ca="1">IF('Invoer gegevens'!$C$16="","",E22+1)</f>
        <v>2037</v>
      </c>
      <c r="F23" s="82">
        <f ca="1">IF('Invoer gegevens'!$C$17=E23,'Invoer gegevens'!$C$10,IF(C23=1,H22,0))</f>
        <v>0</v>
      </c>
      <c r="G23" s="83">
        <f ca="1">IF(E23='Invoer gegevens'!$C$17+15,H22,IF(C23&gt;=1,F23*Reeksen!C23,0))</f>
        <v>0</v>
      </c>
      <c r="H23" s="84">
        <f ca="1">IF(E23&gt;='Invoer gegevens'!$C$17+15,0,F23-G23)</f>
        <v>0</v>
      </c>
      <c r="I23" s="85">
        <f ca="1">IF('Invoer gegevens'!$C$17=E23,'Invoer gegevens'!$C$11,IF(C23=1,L22,0))</f>
        <v>0</v>
      </c>
      <c r="J23" s="86">
        <f ca="1">IF(E23='Invoer gegevens'!$C$17+15,L22,IF(C23&lt;1,0,IF(Reeksen!AD23&lt;=Reeksen!AE23,I23*Reeksen!C23,0)))</f>
        <v>0</v>
      </c>
      <c r="K23" s="86">
        <f ca="1">IF(E23='Invoer gegevens'!$C$17+15,L22,IF(C23&lt;1,0,IF(Reeksen!AD23&gt;Reeksen!AE23,I23*Reeksen!C23,0)))</f>
        <v>0</v>
      </c>
      <c r="L23" s="86">
        <f ca="1">IF(E23&gt;='Invoer gegevens'!$C$17+15,0,I23-J23-K23)</f>
        <v>0</v>
      </c>
      <c r="M23" s="85">
        <f ca="1">IF('Invoer gegevens'!$C$17=E23,'Invoer gegevens'!$C$10-'Invoer gegevens'!$C$11,IF(C23=1,P22,0))</f>
        <v>0</v>
      </c>
      <c r="N23" s="86">
        <f ca="1">IF(E23='Invoer gegevens'!$C$17+15,P22,IF(C23&lt;1,0,IF(Reeksen!AD23&lt;=Reeksen!AE23,M23*Reeksen!C23,0)))</f>
        <v>0</v>
      </c>
      <c r="O23" s="86">
        <f ca="1">IF(E23='Invoer gegevens'!$C$17+15,P22,IF(C23&lt;1,0,IF(Reeksen!AD23&gt;Reeksen!AE23,M23*Reeksen!C23,0)))</f>
        <v>0</v>
      </c>
      <c r="P23" s="86">
        <f ca="1">IF(E23&gt;='Invoer gegevens'!$C$17+15,0,M23-N23-O23)</f>
        <v>0</v>
      </c>
      <c r="Q23" s="82">
        <f ca="1">IF('Invoer gegevens'!$C$17=E23,I23,IF(C23=0,0,R22))</f>
        <v>0</v>
      </c>
      <c r="R23" s="84">
        <f t="shared" ca="1" si="0"/>
        <v>0</v>
      </c>
      <c r="S23" s="84">
        <f ca="1">IF('Invoer gegevens'!$C$17=E23,M23,IF(C23=0,0,T22))</f>
        <v>0</v>
      </c>
      <c r="T23" s="84">
        <f t="shared" ca="1" si="1"/>
        <v>0</v>
      </c>
      <c r="AH23" s="70"/>
      <c r="AI23" s="71">
        <f ca="1">IF(C23=1,((F23+H23)/2*Reeksen!AI23*12)+(('Invoer gegevens'!$C$10-(F23+H23)/2)*Reeksen!AD23*12),0)</f>
        <v>0</v>
      </c>
      <c r="AJ23" s="71">
        <f ca="1">-AI23*'Invoer gegevens'!$F$28</f>
        <v>0</v>
      </c>
      <c r="AK23" s="71">
        <f t="shared" ca="1" si="2"/>
        <v>0</v>
      </c>
      <c r="AL23" s="71">
        <f ca="1">IF(C23=1,(12*((F23+H23)/2)*Reeksen!AL23)+(12*('Invoer gegevens'!$C$10-(F23+H23)/2)*Reeksen!AM23),0)</f>
        <v>0</v>
      </c>
      <c r="AM23" s="71">
        <f ca="1">-AL23*'Invoer gegevens'!$F$31</f>
        <v>0</v>
      </c>
      <c r="AN23" s="71">
        <f t="shared" ca="1" si="3"/>
        <v>0</v>
      </c>
      <c r="AO23" s="71"/>
      <c r="AP23" s="71"/>
      <c r="AQ23" s="71">
        <f ca="1">-IF(C23=1,('Invoer gegevens'!$C$10*'Invoer gegevens'!$F$35)*Reeksen!J23,0)</f>
        <v>0</v>
      </c>
      <c r="AR23" s="71">
        <f ca="1">-IF(C23=1,(G23*'Invoer gegevens'!$F$36)*Reeksen!J23,0)</f>
        <v>0</v>
      </c>
      <c r="AS23" s="71">
        <f ca="1">-IF(C23=1,'Invoer gegevens'!$C$10*'Invoer gegevens'!$F$37*Reeksen!L23,0)</f>
        <v>0</v>
      </c>
      <c r="AT23" s="71">
        <f>IF(Dashboard!$C$20&gt;10,-IF(C23=1,IF(E23='Invoer gegevens'!$C$17,'Invoer gegevens'!$C$11,Q23)*Reeksen!S23*'Invoer gegevens'!$C$18*Reeksen!P23,0),0)</f>
        <v>0</v>
      </c>
      <c r="AU23" s="71">
        <f ca="1">-IF(C23=1,'Invoer gegevens'!$C$10*'Invoer gegevens'!$F$38*Reeksen!H23,0)</f>
        <v>0</v>
      </c>
      <c r="AV23" s="71">
        <f>IF('Invoer gegevens'!$C$3="Basis",0,#REF!)</f>
        <v>0</v>
      </c>
      <c r="AW23" s="71">
        <f t="shared" ca="1" si="4"/>
        <v>0</v>
      </c>
      <c r="AX23" s="72">
        <f ca="1">IF(E23='Invoer gegevens'!$C$17+14,IF('Invoer gegevens'!$C$20="Ja",MAX('RW - MW - DE - DE'!$AY$236,'RW - MW - DE - UP'!$AY$236,'RW - MW - DE - DE'!$AY$236)),0)</f>
        <v>0</v>
      </c>
      <c r="AY23" s="72">
        <f ca="1">IFERROR(IF(E23='Invoer gegevens'!$C$17,-'Invoer gegevens'!$C$10*'Invoer gegevens'!$C$31*Reeksen!H23,0),0)</f>
        <v>0</v>
      </c>
      <c r="AZ23" s="73">
        <f ca="1">IF('Invoer gegevens'!$C$34=E23,'Invoer gegevens'!$C$27*'Invoer gegevens'!$C$10*'Invoer gegevens'!$C$36*(IF('Invoer gegevens'!$C$35="ja",1,Reeksen!J23)),IF('Invoer gegevens'!$C$34+1=E23,'Invoer gegevens'!$C$27*'Invoer gegevens'!$C$10*'Invoer gegevens'!$C$37*(IF('Invoer gegevens'!$C$35="ja",1,Reeksen!J23)),0))+IF(AND(E23='Invoer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3" s="73">
        <f ca="1">AW23/(1+'Invoer gegevens'!$F$13)^($D23-('Invoer gegevens'!$C$17-'Invoer gegevens'!$C$16))/(1+'Invoer gegevens'!$C$39)^('Invoer gegevens'!$C$17-'Invoer gegevens'!$C$16)</f>
        <v>0</v>
      </c>
      <c r="BB23" s="73">
        <f ca="1">AX23/(1+'Invoer gegevens'!$F$13)^(E23-('Invoer gegevens'!$C$17-1))/(1+'Invoer gegevens'!$C$39)^('Invoer gegevens'!$C$17-'Invoer gegevens'!$C$16)</f>
        <v>0</v>
      </c>
      <c r="BC23" s="73">
        <f ca="1">AY23/(1+'Invoer gegevens'!$C$39)^('Invoer gegevens'!$C$17-'Invoer gegevens'!$C$16)</f>
        <v>0</v>
      </c>
      <c r="BD23" s="72">
        <f t="shared" ca="1" si="5"/>
        <v>0</v>
      </c>
      <c r="BE23" s="72">
        <f ca="1">IF(AND(E23='Invoer gegevens'!$C$16,'Invoer gegevens'!$C$34&lt;'Invoer gegevens'!$C$16),AZ23,AZ23/(1+'Invoer gegevens'!$C$39)^D23)</f>
        <v>0</v>
      </c>
      <c r="BF23" s="72">
        <f ca="1">IF(E23='Invoer gegevens'!$C$34,-'Invoer gegevens'!$F$40,0)</f>
        <v>0</v>
      </c>
      <c r="BG23" s="72">
        <f ca="1">IF(E23='Invoer gegevens'!$C$17,-'Invoer gegevens'!$C$19*$BD$31,0)</f>
        <v>0</v>
      </c>
      <c r="BH23" s="72">
        <f ca="1">AW23/(1+$BH$4)^($D23-('Invoer gegevens'!$C$17-'Invoer gegevens'!$C$16))/(1+'Invoer gegevens'!$C$39)^('Invoer gegevens'!$C$17-'Invoer gegevens'!$C$16)+AX23/(1+$BH$4)^(E23-('Invoer gegevens'!$C$17-1))/(1+'Invoer gegevens'!$C$39)^('Invoer gegevens'!$C$17-'Invoer gegevens'!$C$16)+AY23/(1+'Invoer gegevens'!$C$39)^('Invoer gegevens'!$C$17-'Invoer gegevens'!$C$16)+(-AZ23/(1+'Invoer gegevens'!$C$39)^D23)+BF23+BG23</f>
        <v>0</v>
      </c>
      <c r="BI23" s="59"/>
    </row>
    <row r="24" spans="1:67" x14ac:dyDescent="0.25">
      <c r="A24" s="59"/>
      <c r="B24" s="70">
        <f t="shared" si="6"/>
        <v>20</v>
      </c>
      <c r="C24" s="67">
        <f ca="1">IF(AND(E24&gt;='Invoer gegevens'!$C$17,E24&lt;'Invoer gegevens'!$C$17+15),1,0)</f>
        <v>0</v>
      </c>
      <c r="D24" s="68">
        <f t="shared" si="7"/>
        <v>19.5</v>
      </c>
      <c r="E24" s="69">
        <f ca="1">IF('Invoer gegevens'!$C$16="","",E23+1)</f>
        <v>2038</v>
      </c>
      <c r="F24" s="82">
        <f ca="1">IF('Invoer gegevens'!$C$17=E24,'Invoer gegevens'!$C$10,IF(C24=1,H23,0))</f>
        <v>0</v>
      </c>
      <c r="G24" s="83">
        <f ca="1">IF(E24='Invoer gegevens'!$C$17+15,H23,IF(C24&gt;=1,F24*Reeksen!C24,0))</f>
        <v>0</v>
      </c>
      <c r="H24" s="84">
        <f ca="1">IF(E24&gt;='Invoer gegevens'!$C$17+15,0,F24-G24)</f>
        <v>0</v>
      </c>
      <c r="I24" s="85">
        <f ca="1">IF('Invoer gegevens'!$C$17=E24,'Invoer gegevens'!$C$11,IF(C24=1,L23,0))</f>
        <v>0</v>
      </c>
      <c r="J24" s="86">
        <f ca="1">IF(E24='Invoer gegevens'!$C$17+15,L23,IF(C24&lt;1,0,IF(Reeksen!AD24&lt;=Reeksen!AE24,I24*Reeksen!C24,0)))</f>
        <v>0</v>
      </c>
      <c r="K24" s="86">
        <f ca="1">IF(E24='Invoer gegevens'!$C$17+15,L23,IF(C24&lt;1,0,IF(Reeksen!AD24&gt;Reeksen!AE24,I24*Reeksen!C24,0)))</f>
        <v>0</v>
      </c>
      <c r="L24" s="86">
        <f ca="1">IF(E24&gt;='Invoer gegevens'!$C$17+15,0,I24-J24-K24)</f>
        <v>0</v>
      </c>
      <c r="M24" s="85">
        <f ca="1">IF('Invoer gegevens'!$C$17=E24,'Invoer gegevens'!$C$10-'Invoer gegevens'!$C$11,IF(C24=1,P23,0))</f>
        <v>0</v>
      </c>
      <c r="N24" s="86">
        <f ca="1">IF(E24='Invoer gegevens'!$C$17+15,P23,IF(C24&lt;1,0,IF(Reeksen!AD24&lt;=Reeksen!AE24,M24*Reeksen!C24,0)))</f>
        <v>0</v>
      </c>
      <c r="O24" s="86">
        <f ca="1">IF(E24='Invoer gegevens'!$C$17+15,P23,IF(C24&lt;1,0,IF(Reeksen!AD24&gt;Reeksen!AE24,M24*Reeksen!C24,0)))</f>
        <v>0</v>
      </c>
      <c r="P24" s="86">
        <f ca="1">IF(E24&gt;='Invoer gegevens'!$C$17+15,0,M24-N24-O24)</f>
        <v>0</v>
      </c>
      <c r="Q24" s="82">
        <f ca="1">IF('Invoer gegevens'!$C$17=E24,I24,IF(C24=0,0,R23))</f>
        <v>0</v>
      </c>
      <c r="R24" s="84">
        <f t="shared" ca="1" si="0"/>
        <v>0</v>
      </c>
      <c r="S24" s="84">
        <f ca="1">IF('Invoer gegevens'!$C$17=E24,M24,IF(C24=0,0,T23))</f>
        <v>0</v>
      </c>
      <c r="T24" s="84">
        <f t="shared" ca="1" si="1"/>
        <v>0</v>
      </c>
      <c r="AH24" s="70"/>
      <c r="AI24" s="71">
        <f ca="1">IF(C24=1,((F24+H24)/2*Reeksen!AI24*12)+(('Invoer gegevens'!$C$10-(F24+H24)/2)*Reeksen!AD24*12),0)</f>
        <v>0</v>
      </c>
      <c r="AJ24" s="71">
        <f ca="1">-AI24*'Invoer gegevens'!$F$28</f>
        <v>0</v>
      </c>
      <c r="AK24" s="71">
        <f t="shared" ca="1" si="2"/>
        <v>0</v>
      </c>
      <c r="AL24" s="71">
        <f ca="1">IF(C24=1,(12*((F24+H24)/2)*Reeksen!AL24)+(12*('Invoer gegevens'!$C$10-(F24+H24)/2)*Reeksen!AM24),0)</f>
        <v>0</v>
      </c>
      <c r="AM24" s="71">
        <f ca="1">-AL24*'Invoer gegevens'!$F$31</f>
        <v>0</v>
      </c>
      <c r="AN24" s="71">
        <f t="shared" ca="1" si="3"/>
        <v>0</v>
      </c>
      <c r="AO24" s="71"/>
      <c r="AP24" s="71"/>
      <c r="AQ24" s="71">
        <f ca="1">-IF(C24=1,('Invoer gegevens'!$C$10*'Invoer gegevens'!$F$35)*Reeksen!J24,0)</f>
        <v>0</v>
      </c>
      <c r="AR24" s="71">
        <f ca="1">-IF(C24=1,(G24*'Invoer gegevens'!$F$36)*Reeksen!J24,0)</f>
        <v>0</v>
      </c>
      <c r="AS24" s="71">
        <f ca="1">-IF(C24=1,'Invoer gegevens'!$C$10*'Invoer gegevens'!$F$37*Reeksen!L24,0)</f>
        <v>0</v>
      </c>
      <c r="AT24" s="71">
        <f>IF(Dashboard!$C$20&gt;10,-IF(C24=1,IF(E24='Invoer gegevens'!$C$17,'Invoer gegevens'!$C$11,Q24)*Reeksen!S24*'Invoer gegevens'!$C$18*Reeksen!P24,0),0)</f>
        <v>0</v>
      </c>
      <c r="AU24" s="71">
        <f ca="1">-IF(C24=1,'Invoer gegevens'!$C$10*'Invoer gegevens'!$F$38*Reeksen!H24,0)</f>
        <v>0</v>
      </c>
      <c r="AV24" s="71">
        <f>IF('Invoer gegevens'!$C$3="Basis",0,#REF!)</f>
        <v>0</v>
      </c>
      <c r="AW24" s="71">
        <f t="shared" ca="1" si="4"/>
        <v>0</v>
      </c>
      <c r="AX24" s="72">
        <f ca="1">IF(E24='Invoer gegevens'!$C$17+14,IF('Invoer gegevens'!$C$20="Ja",MAX('RW - MW - DE - DE'!$AY$236,'RW - MW - DE - UP'!$AY$236,'RW - MW - DE - DE'!$AY$236)),0)</f>
        <v>0</v>
      </c>
      <c r="AY24" s="72">
        <f ca="1">IFERROR(IF(E24='Invoer gegevens'!$C$17,-'Invoer gegevens'!$C$10*'Invoer gegevens'!$C$31*Reeksen!H24,0),0)</f>
        <v>0</v>
      </c>
      <c r="AZ24" s="73">
        <f ca="1">IF('Invoer gegevens'!$C$34=E24,'Invoer gegevens'!$C$27*'Invoer gegevens'!$C$10*'Invoer gegevens'!$C$36*(IF('Invoer gegevens'!$C$35="ja",1,Reeksen!J24)),IF('Invoer gegevens'!$C$34+1=E24,'Invoer gegevens'!$C$27*'Invoer gegevens'!$C$10*'Invoer gegevens'!$C$37*(IF('Invoer gegevens'!$C$35="ja",1,Reeksen!J24)),0))+IF(AND(E24='Invoer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4" s="73">
        <f ca="1">AW24/(1+'Invoer gegevens'!$F$13)^($D24-('Invoer gegevens'!$C$17-'Invoer gegevens'!$C$16))/(1+'Invoer gegevens'!$C$39)^('Invoer gegevens'!$C$17-'Invoer gegevens'!$C$16)</f>
        <v>0</v>
      </c>
      <c r="BB24" s="73">
        <f ca="1">AX24/(1+'Invoer gegevens'!$F$13)^(E24-('Invoer gegevens'!$C$17-1))/(1+'Invoer gegevens'!$C$39)^('Invoer gegevens'!$C$17-'Invoer gegevens'!$C$16)</f>
        <v>0</v>
      </c>
      <c r="BC24" s="73">
        <f ca="1">AY24/(1+'Invoer gegevens'!$C$39)^('Invoer gegevens'!$C$17-'Invoer gegevens'!$C$16)</f>
        <v>0</v>
      </c>
      <c r="BD24" s="72">
        <f t="shared" ca="1" si="5"/>
        <v>0</v>
      </c>
      <c r="BE24" s="72">
        <f ca="1">IF(AND(E24='Invoer gegevens'!$C$16,'Invoer gegevens'!$C$34&lt;'Invoer gegevens'!$C$16),AZ24,AZ24/(1+'Invoer gegevens'!$C$39)^D24)</f>
        <v>0</v>
      </c>
      <c r="BF24" s="72">
        <f ca="1">IF(E24='Invoer gegevens'!$C$34,-'Invoer gegevens'!$F$40,0)</f>
        <v>0</v>
      </c>
      <c r="BG24" s="72">
        <f ca="1">IF(E24='Invoer gegevens'!$C$17,-'Invoer gegevens'!$C$19*$BD$31,0)</f>
        <v>0</v>
      </c>
      <c r="BH24" s="72">
        <f ca="1">AW24/(1+$BH$4)^($D24-('Invoer gegevens'!$C$17-'Invoer gegevens'!$C$16))/(1+'Invoer gegevens'!$C$39)^('Invoer gegevens'!$C$17-'Invoer gegevens'!$C$16)+AX24/(1+$BH$4)^(E24-('Invoer gegevens'!$C$17-1))/(1+'Invoer gegevens'!$C$39)^('Invoer gegevens'!$C$17-'Invoer gegevens'!$C$16)+AY24/(1+'Invoer gegevens'!$C$39)^('Invoer gegevens'!$C$17-'Invoer gegevens'!$C$16)+(-AZ24/(1+'Invoer gegevens'!$C$39)^D24)+BF24+BG24</f>
        <v>0</v>
      </c>
      <c r="BI24" s="59"/>
    </row>
    <row r="25" spans="1:67" x14ac:dyDescent="0.25">
      <c r="A25" s="59"/>
      <c r="B25" s="70">
        <f t="shared" si="6"/>
        <v>21</v>
      </c>
      <c r="C25" s="67">
        <f ca="1">IF(AND(E25&gt;='Invoer gegevens'!$C$17,E25&lt;'Invoer gegevens'!$C$17+15),1,0)</f>
        <v>0</v>
      </c>
      <c r="D25" s="68">
        <f t="shared" si="7"/>
        <v>20.5</v>
      </c>
      <c r="E25" s="69">
        <f ca="1">IF('Invoer gegevens'!$C$16="","",E24+1)</f>
        <v>2039</v>
      </c>
      <c r="F25" s="82">
        <f ca="1">IF('Invoer gegevens'!$C$17=E25,'Invoer gegevens'!$C$10,IF(C25=1,H24,0))</f>
        <v>0</v>
      </c>
      <c r="G25" s="83">
        <f ca="1">IF(E25='Invoer gegevens'!$C$17+15,H24,IF(C25&gt;=1,F25*Reeksen!C25,0))</f>
        <v>0</v>
      </c>
      <c r="H25" s="84">
        <f ca="1">IF(E25&gt;='Invoer gegevens'!$C$17+15,0,F25-G25)</f>
        <v>0</v>
      </c>
      <c r="I25" s="85">
        <f ca="1">IF('Invoer gegevens'!$C$17=E25,'Invoer gegevens'!$C$11,IF(C25=1,L24,0))</f>
        <v>0</v>
      </c>
      <c r="J25" s="86">
        <f ca="1">IF(E25='Invoer gegevens'!$C$17+15,L24,IF(C25&lt;1,0,IF(Reeksen!AD25&lt;=Reeksen!AE25,I25*Reeksen!C25,0)))</f>
        <v>0</v>
      </c>
      <c r="K25" s="86">
        <f ca="1">IF(E25='Invoer gegevens'!$C$17+15,L24,IF(C25&lt;1,0,IF(Reeksen!AD25&gt;Reeksen!AE25,I25*Reeksen!C25,0)))</f>
        <v>0</v>
      </c>
      <c r="L25" s="86">
        <f ca="1">IF(E25&gt;='Invoer gegevens'!$C$17+15,0,I25-J25-K25)</f>
        <v>0</v>
      </c>
      <c r="M25" s="85">
        <f ca="1">IF('Invoer gegevens'!$C$17=E25,'Invoer gegevens'!$C$10-'Invoer gegevens'!$C$11,IF(C25=1,P24,0))</f>
        <v>0</v>
      </c>
      <c r="N25" s="86">
        <f ca="1">IF(E25='Invoer gegevens'!$C$17+15,P24,IF(C25&lt;1,0,IF(Reeksen!AD25&lt;=Reeksen!AE25,M25*Reeksen!C25,0)))</f>
        <v>0</v>
      </c>
      <c r="O25" s="86">
        <f ca="1">IF(E25='Invoer gegevens'!$C$17+15,P24,IF(C25&lt;1,0,IF(Reeksen!AD25&gt;Reeksen!AE25,M25*Reeksen!C25,0)))</f>
        <v>0</v>
      </c>
      <c r="P25" s="86">
        <f ca="1">IF(E25&gt;='Invoer gegevens'!$C$17+15,0,M25-N25-O25)</f>
        <v>0</v>
      </c>
      <c r="Q25" s="82">
        <f ca="1">IF('Invoer gegevens'!$C$17=E25,I25,IF(C25=0,0,R24))</f>
        <v>0</v>
      </c>
      <c r="R25" s="84">
        <f t="shared" ca="1" si="0"/>
        <v>0</v>
      </c>
      <c r="S25" s="84">
        <f ca="1">IF('Invoer gegevens'!$C$17=E25,M25,IF(C25=0,0,T24))</f>
        <v>0</v>
      </c>
      <c r="T25" s="84">
        <f t="shared" ca="1" si="1"/>
        <v>0</v>
      </c>
      <c r="AH25" s="70"/>
      <c r="AI25" s="71">
        <f ca="1">IF(C25=1,((F25+H25)/2*Reeksen!AI25*12)+(('Invoer gegevens'!$C$10-(F25+H25)/2)*Reeksen!AD25*12),0)</f>
        <v>0</v>
      </c>
      <c r="AJ25" s="71">
        <f ca="1">-AI25*'Invoer gegevens'!$F$28</f>
        <v>0</v>
      </c>
      <c r="AK25" s="71">
        <f t="shared" ca="1" si="2"/>
        <v>0</v>
      </c>
      <c r="AL25" s="71">
        <f ca="1">IF(C25=1,(12*((F25+H25)/2)*Reeksen!AL25)+(12*('Invoer gegevens'!$C$10-(F25+H25)/2)*Reeksen!AM25),0)</f>
        <v>0</v>
      </c>
      <c r="AM25" s="71">
        <f ca="1">-AL25*'Invoer gegevens'!$F$31</f>
        <v>0</v>
      </c>
      <c r="AN25" s="71">
        <f t="shared" ca="1" si="3"/>
        <v>0</v>
      </c>
      <c r="AO25" s="71"/>
      <c r="AP25" s="71"/>
      <c r="AQ25" s="71">
        <f ca="1">-IF(C25=1,('Invoer gegevens'!$C$10*'Invoer gegevens'!$F$35)*Reeksen!J25,0)</f>
        <v>0</v>
      </c>
      <c r="AR25" s="71">
        <f ca="1">-IF(C25=1,(G25*'Invoer gegevens'!$F$36)*Reeksen!J25,0)</f>
        <v>0</v>
      </c>
      <c r="AS25" s="71">
        <f ca="1">-IF(C25=1,'Invoer gegevens'!$C$10*'Invoer gegevens'!$F$37*Reeksen!L25,0)</f>
        <v>0</v>
      </c>
      <c r="AT25" s="71">
        <f>IF(Dashboard!$C$20&gt;10,-IF(C25=1,IF(E25='Invoer gegevens'!$C$17,'Invoer gegevens'!$C$11,Q25)*Reeksen!S25*'Invoer gegevens'!$C$18*Reeksen!P25,0),0)</f>
        <v>0</v>
      </c>
      <c r="AU25" s="71">
        <f ca="1">-IF(C25=1,'Invoer gegevens'!$C$10*'Invoer gegevens'!$F$38*Reeksen!H25,0)</f>
        <v>0</v>
      </c>
      <c r="AV25" s="71">
        <f>IF('Invoer gegevens'!$C$3="Basis",0,#REF!)</f>
        <v>0</v>
      </c>
      <c r="AW25" s="71">
        <f t="shared" ca="1" si="4"/>
        <v>0</v>
      </c>
      <c r="AX25" s="72">
        <f ca="1">IF(E25='Invoer gegevens'!$C$17+14,IF('Invoer gegevens'!$C$20="Ja",MAX('RW - MW - DE - DE'!$AY$236,'RW - MW - DE - UP'!$AY$236,'RW - MW - DE - DE'!$AY$236)),0)</f>
        <v>0</v>
      </c>
      <c r="AY25" s="72">
        <f ca="1">IFERROR(IF(E25='Invoer gegevens'!$C$17,-'Invoer gegevens'!$C$10*'Invoer gegevens'!$C$31*Reeksen!H25,0),0)</f>
        <v>0</v>
      </c>
      <c r="AZ25" s="73">
        <f ca="1">IF('Invoer gegevens'!$C$34=E25,'Invoer gegevens'!$C$27*'Invoer gegevens'!$C$10*'Invoer gegevens'!$C$36*(IF('Invoer gegevens'!$C$35="ja",1,Reeksen!J25)),IF('Invoer gegevens'!$C$34+1=E25,'Invoer gegevens'!$C$27*'Invoer gegevens'!$C$10*'Invoer gegevens'!$C$37*(IF('Invoer gegevens'!$C$35="ja",1,Reeksen!J25)),0))+IF(AND(E25='Invoer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5" s="73">
        <f ca="1">AW25/(1+'Invoer gegevens'!$F$13)^($D25-('Invoer gegevens'!$C$17-'Invoer gegevens'!$C$16))/(1+'Invoer gegevens'!$C$39)^('Invoer gegevens'!$C$17-'Invoer gegevens'!$C$16)</f>
        <v>0</v>
      </c>
      <c r="BB25" s="73">
        <f ca="1">AX25/(1+'Invoer gegevens'!$F$13)^(E25-('Invoer gegevens'!$C$17-1))/(1+'Invoer gegevens'!$C$39)^('Invoer gegevens'!$C$17-'Invoer gegevens'!$C$16)</f>
        <v>0</v>
      </c>
      <c r="BC25" s="73">
        <f ca="1">AY25/(1+'Invoer gegevens'!$C$39)^('Invoer gegevens'!$C$17-'Invoer gegevens'!$C$16)</f>
        <v>0</v>
      </c>
      <c r="BD25" s="72">
        <f t="shared" ca="1" si="5"/>
        <v>0</v>
      </c>
      <c r="BE25" s="72">
        <f ca="1">IF(AND(E25='Invoer gegevens'!$C$16,'Invoer gegevens'!$C$34&lt;'Invoer gegevens'!$C$16),AZ25,AZ25/(1+'Invoer gegevens'!$C$39)^D25)</f>
        <v>0</v>
      </c>
      <c r="BF25" s="72">
        <f ca="1">IF(E25='Invoer gegevens'!$C$34,-'Invoer gegevens'!$F$40,0)</f>
        <v>0</v>
      </c>
      <c r="BG25" s="72">
        <f ca="1">IF(E25='Invoer gegevens'!$C$17,-'Invoer gegevens'!$C$19*$BD$31,0)</f>
        <v>0</v>
      </c>
      <c r="BH25" s="72">
        <f ca="1">AW25/(1+$BH$4)^($D25-('Invoer gegevens'!$C$17-'Invoer gegevens'!$C$16))/(1+'Invoer gegevens'!$C$39)^('Invoer gegevens'!$C$17-'Invoer gegevens'!$C$16)+AX25/(1+$BH$4)^(E25-('Invoer gegevens'!$C$17-1))/(1+'Invoer gegevens'!$C$39)^('Invoer gegevens'!$C$17-'Invoer gegevens'!$C$16)+AY25/(1+'Invoer gegevens'!$C$39)^('Invoer gegevens'!$C$17-'Invoer gegevens'!$C$16)+(-AZ25/(1+'Invoer gegevens'!$C$39)^D25)+BF25+BG25</f>
        <v>0</v>
      </c>
      <c r="BI25" s="59"/>
    </row>
    <row r="26" spans="1:67" x14ac:dyDescent="0.25">
      <c r="A26" s="59"/>
      <c r="B26" s="70">
        <f>B25+1</f>
        <v>22</v>
      </c>
      <c r="C26" s="67">
        <f ca="1">IF(AND(E26&gt;='Invoer gegevens'!$C$17,E26&lt;'Invoer gegevens'!$C$17+15),1,0)</f>
        <v>0</v>
      </c>
      <c r="D26" s="68">
        <f t="shared" si="7"/>
        <v>21.5</v>
      </c>
      <c r="E26" s="69">
        <f ca="1">IF('Invoer gegevens'!$C$16="","",E25+1)</f>
        <v>2040</v>
      </c>
      <c r="F26" s="82">
        <f ca="1">IF('Invoer gegevens'!$C$17=E26,'Invoer gegevens'!$C$10,IF(C26=1,H25,0))</f>
        <v>0</v>
      </c>
      <c r="G26" s="83">
        <f ca="1">IF(E26='Invoer gegevens'!$C$17+15,H25,IF(C26&gt;=1,F26*Reeksen!C26,0))</f>
        <v>0</v>
      </c>
      <c r="H26" s="84">
        <f ca="1">IF(E26&gt;='Invoer gegevens'!$C$17+15,0,F26-G26)</f>
        <v>0</v>
      </c>
      <c r="I26" s="85">
        <f ca="1">IF('Invoer gegevens'!$C$17=E26,'Invoer gegevens'!$C$11,IF(C26=1,L25,0))</f>
        <v>0</v>
      </c>
      <c r="J26" s="86">
        <f ca="1">IF(E26='Invoer gegevens'!$C$17+15,L25,IF(C26&lt;1,0,IF(Reeksen!AD26&lt;=Reeksen!AE26,I26*Reeksen!C26,0)))</f>
        <v>0</v>
      </c>
      <c r="K26" s="86">
        <f ca="1">IF(E26='Invoer gegevens'!$C$17+15,L25,IF(C26&lt;1,0,IF(Reeksen!AD26&gt;Reeksen!AE26,I26*Reeksen!C26,0)))</f>
        <v>0</v>
      </c>
      <c r="L26" s="86">
        <f ca="1">IF(E26&gt;='Invoer gegevens'!$C$17+15,0,I26-J26-K26)</f>
        <v>0</v>
      </c>
      <c r="M26" s="85">
        <f ca="1">IF('Invoer gegevens'!$C$17=E26,'Invoer gegevens'!$C$10-'Invoer gegevens'!$C$11,IF(C26=1,P25,0))</f>
        <v>0</v>
      </c>
      <c r="N26" s="86">
        <f ca="1">IF(E26='Invoer gegevens'!$C$17+15,P25,IF(C26&lt;1,0,IF(Reeksen!AD26&lt;=Reeksen!AE26,M26*Reeksen!C26,0)))</f>
        <v>0</v>
      </c>
      <c r="O26" s="86">
        <f ca="1">IF(E26='Invoer gegevens'!$C$17+15,P25,IF(C26&lt;1,0,IF(Reeksen!AD26&gt;Reeksen!AE26,M26*Reeksen!C26,0)))</f>
        <v>0</v>
      </c>
      <c r="P26" s="86">
        <f ca="1">IF(E26&gt;='Invoer gegevens'!$C$17+15,0,M26-N26-O26)</f>
        <v>0</v>
      </c>
      <c r="Q26" s="82">
        <f ca="1">IF('Invoer gegevens'!$C$17=E26,I26,IF(C26=0,0,R25))</f>
        <v>0</v>
      </c>
      <c r="R26" s="84">
        <f t="shared" ca="1" si="0"/>
        <v>0</v>
      </c>
      <c r="S26" s="84">
        <f ca="1">IF('Invoer gegevens'!$C$17=E26,M26,IF(C26=0,0,T25))</f>
        <v>0</v>
      </c>
      <c r="T26" s="84">
        <f t="shared" ca="1" si="1"/>
        <v>0</v>
      </c>
      <c r="AH26" s="70"/>
      <c r="AI26" s="71">
        <f ca="1">IF(C26=1,((F26+H26)/2*Reeksen!AI26*12)+(('Invoer gegevens'!$C$10-(F26+H26)/2)*Reeksen!AD26*12),0)</f>
        <v>0</v>
      </c>
      <c r="AJ26" s="71">
        <f ca="1">-AI26*'Invoer gegevens'!$F$28</f>
        <v>0</v>
      </c>
      <c r="AK26" s="71">
        <f t="shared" ca="1" si="2"/>
        <v>0</v>
      </c>
      <c r="AL26" s="71">
        <f ca="1">IF(C26=1,(12*((F26+H26)/2)*Reeksen!AL26)+(12*('Invoer gegevens'!$C$10-(F26+H26)/2)*Reeksen!AM26),0)</f>
        <v>0</v>
      </c>
      <c r="AM26" s="71">
        <f ca="1">-AL26*'Invoer gegevens'!$F$31</f>
        <v>0</v>
      </c>
      <c r="AN26" s="71">
        <f t="shared" ca="1" si="3"/>
        <v>0</v>
      </c>
      <c r="AO26" s="71"/>
      <c r="AP26" s="71"/>
      <c r="AQ26" s="71">
        <f ca="1">-IF(C26=1,('Invoer gegevens'!$C$10*'Invoer gegevens'!$F$35)*Reeksen!J26,0)</f>
        <v>0</v>
      </c>
      <c r="AR26" s="71">
        <f ca="1">-IF(C26=1,(G26*'Invoer gegevens'!$F$36)*Reeksen!J26,0)</f>
        <v>0</v>
      </c>
      <c r="AS26" s="71">
        <f ca="1">-IF(C26=1,'Invoer gegevens'!$C$10*'Invoer gegevens'!$F$37*Reeksen!L26,0)</f>
        <v>0</v>
      </c>
      <c r="AT26" s="71">
        <f>IF(Dashboard!$C$20&gt;10,-IF(C26=1,IF(E26='Invoer gegevens'!$C$17,'Invoer gegevens'!$C$11,Q26)*Reeksen!S26*'Invoer gegevens'!$C$18*Reeksen!P26,0),0)</f>
        <v>0</v>
      </c>
      <c r="AU26" s="71">
        <f ca="1">-IF(C26=1,'Invoer gegevens'!$C$10*'Invoer gegevens'!$F$38*Reeksen!H26,0)</f>
        <v>0</v>
      </c>
      <c r="AV26" s="71">
        <f>IF('Invoer gegevens'!$C$3="Basis",0,#REF!)</f>
        <v>0</v>
      </c>
      <c r="AW26" s="71">
        <f t="shared" ca="1" si="4"/>
        <v>0</v>
      </c>
      <c r="AX26" s="72">
        <f ca="1">IF(E26='Invoer gegevens'!$C$17+14,IF('Invoer gegevens'!$C$20="Ja",MAX('RW - MW - DE - DE'!$AY$236,'RW - MW - DE - UP'!$AY$236,'RW - MW - DE - DE'!$AY$236)),0)</f>
        <v>0</v>
      </c>
      <c r="AY26" s="72">
        <f ca="1">IFERROR(IF(E26='Invoer gegevens'!$C$17,-'Invoer gegevens'!$C$10*'Invoer gegevens'!$C$31*Reeksen!H26,0),0)</f>
        <v>0</v>
      </c>
      <c r="AZ26" s="73">
        <f ca="1">IF('Invoer gegevens'!$C$34=E26,'Invoer gegevens'!$C$27*'Invoer gegevens'!$C$10*'Invoer gegevens'!$C$36*(IF('Invoer gegevens'!$C$35="ja",1,Reeksen!J26)),IF('Invoer gegevens'!$C$34+1=E26,'Invoer gegevens'!$C$27*'Invoer gegevens'!$C$10*'Invoer gegevens'!$C$37*(IF('Invoer gegevens'!$C$35="ja",1,Reeksen!J26)),0))+IF(AND(E26='Invoer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6" s="73">
        <f ca="1">AW26/(1+'Invoer gegevens'!$F$13)^($D26-('Invoer gegevens'!$C$17-'Invoer gegevens'!$C$16))/(1+'Invoer gegevens'!$C$39)^('Invoer gegevens'!$C$17-'Invoer gegevens'!$C$16)</f>
        <v>0</v>
      </c>
      <c r="BB26" s="73">
        <f ca="1">AX26/(1+'Invoer gegevens'!$F$13)^(E26-('Invoer gegevens'!$C$17-1))/(1+'Invoer gegevens'!$C$39)^('Invoer gegevens'!$C$17-'Invoer gegevens'!$C$16)</f>
        <v>0</v>
      </c>
      <c r="BC26" s="73">
        <f ca="1">AY26/(1+'Invoer gegevens'!$C$39)^('Invoer gegevens'!$C$17-'Invoer gegevens'!$C$16)</f>
        <v>0</v>
      </c>
      <c r="BD26" s="72">
        <f t="shared" ca="1" si="5"/>
        <v>0</v>
      </c>
      <c r="BE26" s="72">
        <f ca="1">IF(AND(E26='Invoer gegevens'!$C$16,'Invoer gegevens'!$C$34&lt;'Invoer gegevens'!$C$16),AZ26,AZ26/(1+'Invoer gegevens'!$C$39)^D26)</f>
        <v>0</v>
      </c>
      <c r="BF26" s="72">
        <f ca="1">IF(E26='Invoer gegevens'!$C$34,-'Invoer gegevens'!$F$40,0)</f>
        <v>0</v>
      </c>
      <c r="BG26" s="72">
        <f ca="1">IF(E26='Invoer gegevens'!$C$17,-'Invoer gegevens'!$C$19*$BD$31,0)</f>
        <v>0</v>
      </c>
      <c r="BH26" s="72">
        <f ca="1">AW26/(1+$BH$4)^($D26-('Invoer gegevens'!$C$17-'Invoer gegevens'!$C$16))/(1+'Invoer gegevens'!$C$39)^('Invoer gegevens'!$C$17-'Invoer gegevens'!$C$16)+AX26/(1+$BH$4)^(E26-('Invoer gegevens'!$C$17-1))/(1+'Invoer gegevens'!$C$39)^('Invoer gegevens'!$C$17-'Invoer gegevens'!$C$16)+AY26/(1+'Invoer gegevens'!$C$39)^('Invoer gegevens'!$C$17-'Invoer gegevens'!$C$16)+(-AZ26/(1+'Invoer gegevens'!$C$39)^D26)+BF26+BG26</f>
        <v>0</v>
      </c>
      <c r="BI26" s="59"/>
    </row>
    <row r="27" spans="1:67" x14ac:dyDescent="0.25">
      <c r="A27" s="59"/>
      <c r="B27" s="70">
        <f t="shared" si="6"/>
        <v>23</v>
      </c>
      <c r="C27" s="67">
        <f ca="1">IF(AND(E27&gt;='Invoer gegevens'!$C$17,E27&lt;'Invoer gegevens'!$C$17+15),1,0)</f>
        <v>0</v>
      </c>
      <c r="D27" s="68">
        <f t="shared" si="7"/>
        <v>22.5</v>
      </c>
      <c r="E27" s="69">
        <f ca="1">IF('Invoer gegevens'!$C$16="","",E26+1)</f>
        <v>2041</v>
      </c>
      <c r="F27" s="82">
        <f ca="1">IF('Invoer gegevens'!$C$17=E27,'Invoer gegevens'!$C$10,IF(C27=1,H26,0))</f>
        <v>0</v>
      </c>
      <c r="G27" s="83">
        <f ca="1">IF(E27='Invoer gegevens'!$C$17+15,H26,IF(C27&gt;=1,F27*Reeksen!C27,0))</f>
        <v>0</v>
      </c>
      <c r="H27" s="84">
        <f ca="1">IF(E27&gt;='Invoer gegevens'!$C$17+15,0,F27-G27)</f>
        <v>0</v>
      </c>
      <c r="I27" s="85">
        <f ca="1">IF('Invoer gegevens'!$C$17=E27,'Invoer gegevens'!$C$11,IF(C27=1,L26,0))</f>
        <v>0</v>
      </c>
      <c r="J27" s="86">
        <f ca="1">IF(E27='Invoer gegevens'!$C$17+15,L26,IF(C27&lt;1,0,IF(Reeksen!AD27&lt;=Reeksen!AE27,I27*Reeksen!C27,0)))</f>
        <v>0</v>
      </c>
      <c r="K27" s="86">
        <f ca="1">IF(E27='Invoer gegevens'!$C$17+15,L26,IF(C27&lt;1,0,IF(Reeksen!AD27&gt;Reeksen!AE27,I27*Reeksen!C27,0)))</f>
        <v>0</v>
      </c>
      <c r="L27" s="86">
        <f ca="1">IF(E27&gt;='Invoer gegevens'!$C$17+15,0,I27-J27-K27)</f>
        <v>0</v>
      </c>
      <c r="M27" s="85">
        <f ca="1">IF('Invoer gegevens'!$C$17=E27,'Invoer gegevens'!$C$10-'Invoer gegevens'!$C$11,IF(C27=1,P26,0))</f>
        <v>0</v>
      </c>
      <c r="N27" s="86">
        <f ca="1">IF(E27='Invoer gegevens'!$C$17+15,P26,IF(C27&lt;1,0,IF(Reeksen!AD27&lt;=Reeksen!AE27,M27*Reeksen!C27,0)))</f>
        <v>0</v>
      </c>
      <c r="O27" s="86">
        <f ca="1">IF(E27='Invoer gegevens'!$C$17+15,P26,IF(C27&lt;1,0,IF(Reeksen!AD27&gt;Reeksen!AE27,M27*Reeksen!C27,0)))</f>
        <v>0</v>
      </c>
      <c r="P27" s="86">
        <f ca="1">IF(E27&gt;='Invoer gegevens'!$C$17+15,0,M27-N27-O27)</f>
        <v>0</v>
      </c>
      <c r="Q27" s="82">
        <f ca="1">IF('Invoer gegevens'!$C$17=E27,I27,IF(C27=0,0,R26))</f>
        <v>0</v>
      </c>
      <c r="R27" s="84">
        <f t="shared" ca="1" si="0"/>
        <v>0</v>
      </c>
      <c r="S27" s="84">
        <f ca="1">IF('Invoer gegevens'!$C$17=E27,M27,IF(C27=0,0,T26))</f>
        <v>0</v>
      </c>
      <c r="T27" s="84">
        <f t="shared" ca="1" si="1"/>
        <v>0</v>
      </c>
      <c r="AH27" s="70"/>
      <c r="AI27" s="71">
        <f ca="1">IF(C27=1,((F27+H27)/2*Reeksen!AI27*12)+(('Invoer gegevens'!$C$10-(F27+H27)/2)*Reeksen!AD27*12),0)</f>
        <v>0</v>
      </c>
      <c r="AJ27" s="71">
        <f ca="1">-AI27*'Invoer gegevens'!$F$28</f>
        <v>0</v>
      </c>
      <c r="AK27" s="71">
        <f t="shared" ca="1" si="2"/>
        <v>0</v>
      </c>
      <c r="AL27" s="71">
        <f ca="1">IF(C27=1,(12*((F27+H27)/2)*Reeksen!AL27)+(12*('Invoer gegevens'!$C$10-(F27+H27)/2)*Reeksen!AM27),0)</f>
        <v>0</v>
      </c>
      <c r="AM27" s="71">
        <f ca="1">-AL27*'Invoer gegevens'!$F$31</f>
        <v>0</v>
      </c>
      <c r="AN27" s="71">
        <f t="shared" ca="1" si="3"/>
        <v>0</v>
      </c>
      <c r="AO27" s="71"/>
      <c r="AP27" s="71"/>
      <c r="AQ27" s="71">
        <f ca="1">-IF(C27=1,('Invoer gegevens'!$C$10*'Invoer gegevens'!$F$35)*Reeksen!J27,0)</f>
        <v>0</v>
      </c>
      <c r="AR27" s="71">
        <f ca="1">-IF(C27=1,(G27*'Invoer gegevens'!$F$36)*Reeksen!J27,0)</f>
        <v>0</v>
      </c>
      <c r="AS27" s="71">
        <f ca="1">-IF(C27=1,'Invoer gegevens'!$C$10*'Invoer gegevens'!$F$37*Reeksen!L27,0)</f>
        <v>0</v>
      </c>
      <c r="AT27" s="71">
        <f>IF(Dashboard!$C$20&gt;10,-IF(C27=1,IF(E27='Invoer gegevens'!$C$17,'Invoer gegevens'!$C$11,Q27)*Reeksen!S27*'Invoer gegevens'!$C$18*Reeksen!P27,0),0)</f>
        <v>0</v>
      </c>
      <c r="AU27" s="71">
        <f ca="1">-IF(C27=1,'Invoer gegevens'!$C$10*'Invoer gegevens'!$F$38*Reeksen!H27,0)</f>
        <v>0</v>
      </c>
      <c r="AV27" s="71">
        <f>IF('Invoer gegevens'!$C$3="Basis",0,#REF!)</f>
        <v>0</v>
      </c>
      <c r="AW27" s="71">
        <f t="shared" ca="1" si="4"/>
        <v>0</v>
      </c>
      <c r="AX27" s="72">
        <f ca="1">IF(E27='Invoer gegevens'!$C$17+14,IF('Invoer gegevens'!$C$20="Ja",MAX('RW - MW - DE - DE'!$AY$236,'RW - MW - DE - UP'!$AY$236,'RW - MW - DE - DE'!$AY$236)),0)</f>
        <v>0</v>
      </c>
      <c r="AY27" s="72">
        <f ca="1">IFERROR(IF(E27='Invoer gegevens'!$C$17,-'Invoer gegevens'!$C$10*'Invoer gegevens'!$C$31*Reeksen!H27,0),0)</f>
        <v>0</v>
      </c>
      <c r="AZ27" s="73">
        <f ca="1">IF('Invoer gegevens'!$C$34=E27,'Invoer gegevens'!$C$27*'Invoer gegevens'!$C$10*'Invoer gegevens'!$C$36*(IF('Invoer gegevens'!$C$35="ja",1,Reeksen!J27)),IF('Invoer gegevens'!$C$34+1=E27,'Invoer gegevens'!$C$27*'Invoer gegevens'!$C$10*'Invoer gegevens'!$C$37*(IF('Invoer gegevens'!$C$35="ja",1,Reeksen!J27)),0))+IF(AND(E27='Invoer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7" s="73">
        <f ca="1">AW27/(1+'Invoer gegevens'!$F$13)^($D27-('Invoer gegevens'!$C$17-'Invoer gegevens'!$C$16))/(1+'Invoer gegevens'!$C$39)^('Invoer gegevens'!$C$17-'Invoer gegevens'!$C$16)</f>
        <v>0</v>
      </c>
      <c r="BB27" s="73">
        <f ca="1">AX27/(1+'Invoer gegevens'!$F$13)^(E27-('Invoer gegevens'!$C$17-1))/(1+'Invoer gegevens'!$C$39)^('Invoer gegevens'!$C$17-'Invoer gegevens'!$C$16)</f>
        <v>0</v>
      </c>
      <c r="BC27" s="73">
        <f ca="1">AY27/(1+'Invoer gegevens'!$C$39)^('Invoer gegevens'!$C$17-'Invoer gegevens'!$C$16)</f>
        <v>0</v>
      </c>
      <c r="BD27" s="72">
        <f t="shared" ca="1" si="5"/>
        <v>0</v>
      </c>
      <c r="BE27" s="72">
        <f ca="1">IF(AND(E27='Invoer gegevens'!$C$16,'Invoer gegevens'!$C$34&lt;'Invoer gegevens'!$C$16),AZ27,AZ27/(1+'Invoer gegevens'!$C$39)^D27)</f>
        <v>0</v>
      </c>
      <c r="BF27" s="72">
        <f ca="1">IF(E27='Invoer gegevens'!$C$34,-'Invoer gegevens'!$F$40,0)</f>
        <v>0</v>
      </c>
      <c r="BG27" s="72">
        <f ca="1">IF(E27='Invoer gegevens'!$C$17,-'Invoer gegevens'!$C$19*$BD$31,0)</f>
        <v>0</v>
      </c>
      <c r="BH27" s="72">
        <f ca="1">AW27/(1+$BH$4)^($D27-('Invoer gegevens'!$C$17-'Invoer gegevens'!$C$16))/(1+'Invoer gegevens'!$C$39)^('Invoer gegevens'!$C$17-'Invoer gegevens'!$C$16)+AX27/(1+$BH$4)^(E27-('Invoer gegevens'!$C$17-1))/(1+'Invoer gegevens'!$C$39)^('Invoer gegevens'!$C$17-'Invoer gegevens'!$C$16)+AY27/(1+'Invoer gegevens'!$C$39)^('Invoer gegevens'!$C$17-'Invoer gegevens'!$C$16)+(-AZ27/(1+'Invoer gegevens'!$C$39)^D27)+BF27+BG27</f>
        <v>0</v>
      </c>
      <c r="BI27" s="59"/>
    </row>
    <row r="28" spans="1:67" x14ac:dyDescent="0.25">
      <c r="A28" s="59"/>
      <c r="B28" s="70">
        <f t="shared" si="6"/>
        <v>24</v>
      </c>
      <c r="C28" s="67">
        <f ca="1">IF(AND(E28&gt;='Invoer gegevens'!$C$17,E28&lt;'Invoer gegevens'!$C$17+15),1,0)</f>
        <v>0</v>
      </c>
      <c r="D28" s="68">
        <f t="shared" si="7"/>
        <v>23.5</v>
      </c>
      <c r="E28" s="69">
        <f ca="1">IF('Invoer gegevens'!$C$16="","",E27+1)</f>
        <v>2042</v>
      </c>
      <c r="F28" s="82">
        <f ca="1">IF('Invoer gegevens'!$C$17=E28,'Invoer gegevens'!$C$10,IF(C28=1,H27,0))</f>
        <v>0</v>
      </c>
      <c r="G28" s="83">
        <f ca="1">IF(E28='Invoer gegevens'!$C$17+15,H27,IF(C28&gt;=1,F28*Reeksen!C28,0))</f>
        <v>0</v>
      </c>
      <c r="H28" s="84">
        <f ca="1">IF(E28&gt;='Invoer gegevens'!$C$17+15,0,F28-G28)</f>
        <v>0</v>
      </c>
      <c r="I28" s="85">
        <f ca="1">IF('Invoer gegevens'!$C$17=E28,'Invoer gegevens'!$C$11,IF(C28=1,L27,0))</f>
        <v>0</v>
      </c>
      <c r="J28" s="86">
        <f ca="1">IF(E28='Invoer gegevens'!$C$17+15,L27,IF(C28&lt;1,0,IF(Reeksen!AD28&lt;=Reeksen!AE28,I28*Reeksen!C28,0)))</f>
        <v>0</v>
      </c>
      <c r="K28" s="86">
        <f ca="1">IF(E28='Invoer gegevens'!$C$17+15,L27,IF(C28&lt;1,0,IF(Reeksen!AD28&gt;Reeksen!AE28,I28*Reeksen!C28,0)))</f>
        <v>0</v>
      </c>
      <c r="L28" s="86">
        <f ca="1">IF(E28&gt;='Invoer gegevens'!$C$17+15,0,I28-J28-K28)</f>
        <v>0</v>
      </c>
      <c r="M28" s="85">
        <f ca="1">IF('Invoer gegevens'!$C$17=E28,'Invoer gegevens'!$C$10-'Invoer gegevens'!$C$11,IF(C28=1,P27,0))</f>
        <v>0</v>
      </c>
      <c r="N28" s="86">
        <f ca="1">IF(E28='Invoer gegevens'!$C$17+15,P27,IF(C28&lt;1,0,IF(Reeksen!AD28&lt;=Reeksen!AE28,M28*Reeksen!C28,0)))</f>
        <v>0</v>
      </c>
      <c r="O28" s="86">
        <f ca="1">IF(E28='Invoer gegevens'!$C$17+15,P27,IF(C28&lt;1,0,IF(Reeksen!AD28&gt;Reeksen!AE28,M28*Reeksen!C28,0)))</f>
        <v>0</v>
      </c>
      <c r="P28" s="86">
        <f ca="1">IF(E28&gt;='Invoer gegevens'!$C$17+15,0,M28-N28-O28)</f>
        <v>0</v>
      </c>
      <c r="Q28" s="82">
        <f ca="1">IF('Invoer gegevens'!$C$17=E28,I28,IF(C28=0,0,R27))</f>
        <v>0</v>
      </c>
      <c r="R28" s="84">
        <f t="shared" ca="1" si="0"/>
        <v>0</v>
      </c>
      <c r="S28" s="84">
        <f ca="1">IF('Invoer gegevens'!$C$17=E28,M28,IF(C28=0,0,T27))</f>
        <v>0</v>
      </c>
      <c r="T28" s="84">
        <f t="shared" ca="1" si="1"/>
        <v>0</v>
      </c>
      <c r="AH28" s="70"/>
      <c r="AI28" s="71">
        <f ca="1">IF(C28=1,((F28+H28)/2*Reeksen!AI28*12)+(('Invoer gegevens'!$C$10-(F28+H28)/2)*Reeksen!AD28*12),0)</f>
        <v>0</v>
      </c>
      <c r="AJ28" s="71">
        <f ca="1">-AI28*'Invoer gegevens'!$F$28</f>
        <v>0</v>
      </c>
      <c r="AK28" s="71">
        <f t="shared" ca="1" si="2"/>
        <v>0</v>
      </c>
      <c r="AL28" s="71">
        <f ca="1">IF(C28=1,(12*((F28+H28)/2)*Reeksen!AL28)+(12*('Invoer gegevens'!$C$10-(F28+H28)/2)*Reeksen!AM28),0)</f>
        <v>0</v>
      </c>
      <c r="AM28" s="71">
        <f ca="1">-AL28*'Invoer gegevens'!$F$31</f>
        <v>0</v>
      </c>
      <c r="AN28" s="71">
        <f t="shared" ca="1" si="3"/>
        <v>0</v>
      </c>
      <c r="AO28" s="71"/>
      <c r="AP28" s="71"/>
      <c r="AQ28" s="71">
        <f ca="1">-IF(C28=1,('Invoer gegevens'!$C$10*'Invoer gegevens'!$F$35)*Reeksen!J28,0)</f>
        <v>0</v>
      </c>
      <c r="AR28" s="71">
        <f ca="1">-IF(C28=1,(G28*'Invoer gegevens'!$F$36)*Reeksen!J28,0)</f>
        <v>0</v>
      </c>
      <c r="AS28" s="71">
        <f ca="1">-IF(C28=1,'Invoer gegevens'!$C$10*'Invoer gegevens'!$F$37*Reeksen!L28,0)</f>
        <v>0</v>
      </c>
      <c r="AT28" s="71">
        <f>IF(Dashboard!$C$20&gt;10,-IF(C28=1,IF(E28='Invoer gegevens'!$C$17,'Invoer gegevens'!$C$11,Q28)*Reeksen!S28*'Invoer gegevens'!$C$18*Reeksen!P28,0),0)</f>
        <v>0</v>
      </c>
      <c r="AU28" s="71">
        <f ca="1">-IF(C28=1,'Invoer gegevens'!$C$10*'Invoer gegevens'!$F$38*Reeksen!H28,0)</f>
        <v>0</v>
      </c>
      <c r="AV28" s="71">
        <f>IF('Invoer gegevens'!$C$3="Basis",0,#REF!)</f>
        <v>0</v>
      </c>
      <c r="AW28" s="71">
        <f t="shared" ca="1" si="4"/>
        <v>0</v>
      </c>
      <c r="AX28" s="72">
        <f ca="1">IF(E28='Invoer gegevens'!$C$17+14,IF('Invoer gegevens'!$C$20="Ja",MAX('RW - MW - DE - DE'!$AY$236,'RW - MW - DE - UP'!$AY$236,'RW - MW - DE - DE'!$AY$236)),0)</f>
        <v>0</v>
      </c>
      <c r="AY28" s="72">
        <f ca="1">IFERROR(IF(E28='Invoer gegevens'!$C$17,-'Invoer gegevens'!$C$10*'Invoer gegevens'!$C$31*Reeksen!H28,0),0)</f>
        <v>0</v>
      </c>
      <c r="AZ28" s="73">
        <f ca="1">IF('Invoer gegevens'!$C$34=E28,'Invoer gegevens'!$C$27*'Invoer gegevens'!$C$10*'Invoer gegevens'!$C$36*(IF('Invoer gegevens'!$C$35="ja",1,Reeksen!J28)),IF('Invoer gegevens'!$C$34+1=E28,'Invoer gegevens'!$C$27*'Invoer gegevens'!$C$10*'Invoer gegevens'!$C$37*(IF('Invoer gegevens'!$C$35="ja",1,Reeksen!J28)),0))+IF(AND(E28='Invoer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8" s="73">
        <f ca="1">AW28/(1+'Invoer gegevens'!$F$13)^($D28-('Invoer gegevens'!$C$17-'Invoer gegevens'!$C$16))/(1+'Invoer gegevens'!$C$39)^('Invoer gegevens'!$C$17-'Invoer gegevens'!$C$16)</f>
        <v>0</v>
      </c>
      <c r="BB28" s="73">
        <f ca="1">AX28/(1+'Invoer gegevens'!$F$13)^(E28-('Invoer gegevens'!$C$17-1))/(1+'Invoer gegevens'!$C$39)^('Invoer gegevens'!$C$17-'Invoer gegevens'!$C$16)</f>
        <v>0</v>
      </c>
      <c r="BC28" s="73">
        <f ca="1">AY28/(1+'Invoer gegevens'!$C$39)^('Invoer gegevens'!$C$17-'Invoer gegevens'!$C$16)</f>
        <v>0</v>
      </c>
      <c r="BD28" s="72">
        <f t="shared" ca="1" si="5"/>
        <v>0</v>
      </c>
      <c r="BE28" s="72">
        <f ca="1">IF(AND(E28='Invoer gegevens'!$C$16,'Invoer gegevens'!$C$34&lt;'Invoer gegevens'!$C$16),AZ28,AZ28/(1+'Invoer gegevens'!$C$39)^D28)</f>
        <v>0</v>
      </c>
      <c r="BF28" s="72">
        <f ca="1">IF(E28='Invoer gegevens'!$C$34,-'Invoer gegevens'!$F$40,0)</f>
        <v>0</v>
      </c>
      <c r="BG28" s="72">
        <f ca="1">IF(E28='Invoer gegevens'!$C$17,-'Invoer gegevens'!$C$19*$BD$31,0)</f>
        <v>0</v>
      </c>
      <c r="BH28" s="72">
        <f ca="1">AW28/(1+$BH$4)^($D28-('Invoer gegevens'!$C$17-'Invoer gegevens'!$C$16))/(1+'Invoer gegevens'!$C$39)^('Invoer gegevens'!$C$17-'Invoer gegevens'!$C$16)+AX28/(1+$BH$4)^(E28-('Invoer gegevens'!$C$17-1))/(1+'Invoer gegevens'!$C$39)^('Invoer gegevens'!$C$17-'Invoer gegevens'!$C$16)+AY28/(1+'Invoer gegevens'!$C$39)^('Invoer gegevens'!$C$17-'Invoer gegevens'!$C$16)+(-AZ28/(1+'Invoer gegevens'!$C$39)^D28)+BF28+BG28</f>
        <v>0</v>
      </c>
      <c r="BI28" s="59"/>
    </row>
    <row r="29" spans="1:67" x14ac:dyDescent="0.25">
      <c r="A29" s="59"/>
      <c r="B29" s="70">
        <f t="shared" si="6"/>
        <v>25</v>
      </c>
      <c r="C29" s="67">
        <f ca="1">IF(AND(E29&gt;='Invoer gegevens'!$C$17,E29&lt;'Invoer gegevens'!$C$17+15),1,0)</f>
        <v>0</v>
      </c>
      <c r="D29" s="68">
        <f t="shared" si="7"/>
        <v>24.5</v>
      </c>
      <c r="E29" s="69">
        <f ca="1">IF('Invoer gegevens'!$C$16="","",E28+1)</f>
        <v>2043</v>
      </c>
      <c r="F29" s="82">
        <f ca="1">IF('Invoer gegevens'!$C$17=E29,'Invoer gegevens'!$C$10,IF(C29=1,H28,0))</f>
        <v>0</v>
      </c>
      <c r="G29" s="83">
        <f ca="1">IF(E29='Invoer gegevens'!$C$17+15,H28,IF(C29&gt;=1,F29*Reeksen!C29,0))</f>
        <v>0</v>
      </c>
      <c r="H29" s="84">
        <f ca="1">IF(E29&gt;='Invoer gegevens'!$C$17+15,0,F29-G29)</f>
        <v>0</v>
      </c>
      <c r="I29" s="85">
        <f ca="1">IF('Invoer gegevens'!$C$17=E29,'Invoer gegevens'!$C$11,IF(C29=1,L28,0))</f>
        <v>0</v>
      </c>
      <c r="J29" s="86">
        <f ca="1">IF(E29='Invoer gegevens'!$C$17+15,L28,IF(C29&lt;1,0,IF(Reeksen!AD29&lt;=Reeksen!AE29,I29*Reeksen!C29,0)))</f>
        <v>0</v>
      </c>
      <c r="K29" s="86">
        <f ca="1">IF(E29='Invoer gegevens'!$C$17+15,L28,IF(C29&lt;1,0,IF(Reeksen!AD29&gt;Reeksen!AE29,I29*Reeksen!C29,0)))</f>
        <v>0</v>
      </c>
      <c r="L29" s="86">
        <f ca="1">IF(E29&gt;='Invoer gegevens'!$C$17+15,0,I29-J29-K29)</f>
        <v>0</v>
      </c>
      <c r="M29" s="85">
        <f ca="1">IF('Invoer gegevens'!$C$17=E29,'Invoer gegevens'!$C$10-'Invoer gegevens'!$C$11,IF(C29=1,P28,0))</f>
        <v>0</v>
      </c>
      <c r="N29" s="86">
        <f ca="1">IF(E29='Invoer gegevens'!$C$17+15,P28,IF(C29&lt;1,0,IF(Reeksen!AD29&lt;=Reeksen!AE29,M29*Reeksen!C29,0)))</f>
        <v>0</v>
      </c>
      <c r="O29" s="86">
        <f ca="1">IF(E29='Invoer gegevens'!$C$17+15,P28,IF(C29&lt;1,0,IF(Reeksen!AD29&gt;Reeksen!AE29,M29*Reeksen!C29,0)))</f>
        <v>0</v>
      </c>
      <c r="P29" s="86">
        <f ca="1">IF(E29&gt;='Invoer gegevens'!$C$17+15,0,M29-N29-O29)</f>
        <v>0</v>
      </c>
      <c r="Q29" s="82">
        <f ca="1">IF('Invoer gegevens'!$C$17=E29,I29,IF(C29=0,0,R28))</f>
        <v>0</v>
      </c>
      <c r="R29" s="84">
        <f t="shared" ca="1" si="0"/>
        <v>0</v>
      </c>
      <c r="S29" s="84">
        <f ca="1">IF('Invoer gegevens'!$C$17=E29,M29,IF(C29=0,0,T28))</f>
        <v>0</v>
      </c>
      <c r="T29" s="84">
        <f t="shared" ca="1" si="1"/>
        <v>0</v>
      </c>
      <c r="AH29" s="70"/>
      <c r="AI29" s="71">
        <f ca="1">IF(C29=1,((F29+H29)/2*Reeksen!AI29*12)+(('Invoer gegevens'!$C$10-(F29+H29)/2)*Reeksen!AD29*12),0)</f>
        <v>0</v>
      </c>
      <c r="AJ29" s="71">
        <f ca="1">-AI29*'Invoer gegevens'!$F$28</f>
        <v>0</v>
      </c>
      <c r="AK29" s="71">
        <f t="shared" ca="1" si="2"/>
        <v>0</v>
      </c>
      <c r="AL29" s="71">
        <f ca="1">IF(C29=1,(12*((F29+H29)/2)*Reeksen!AL29)+(12*('Invoer gegevens'!$C$10-(F29+H29)/2)*Reeksen!AM29),0)</f>
        <v>0</v>
      </c>
      <c r="AM29" s="71">
        <f ca="1">-AL29*'Invoer gegevens'!$F$31</f>
        <v>0</v>
      </c>
      <c r="AN29" s="71">
        <f t="shared" ca="1" si="3"/>
        <v>0</v>
      </c>
      <c r="AO29" s="71"/>
      <c r="AP29" s="71"/>
      <c r="AQ29" s="71">
        <f ca="1">-IF(C29=1,('Invoer gegevens'!$C$10*'Invoer gegevens'!$F$35)*Reeksen!J29,0)</f>
        <v>0</v>
      </c>
      <c r="AR29" s="71">
        <f ca="1">-IF(C29=1,(G29*'Invoer gegevens'!$F$36)*Reeksen!J29,0)</f>
        <v>0</v>
      </c>
      <c r="AS29" s="71">
        <f ca="1">-IF(C29=1,'Invoer gegevens'!$C$10*'Invoer gegevens'!$F$37*Reeksen!L29,0)</f>
        <v>0</v>
      </c>
      <c r="AT29" s="71">
        <f>IF(Dashboard!$C$20&gt;10,-IF(C29=1,IF(E29='Invoer gegevens'!$C$17,'Invoer gegevens'!$C$11,Q29)*Reeksen!S29*'Invoer gegevens'!$C$18*Reeksen!P29,0),0)</f>
        <v>0</v>
      </c>
      <c r="AU29" s="71">
        <f ca="1">-IF(C29=1,'Invoer gegevens'!$C$10*'Invoer gegevens'!$F$38*Reeksen!H29,0)</f>
        <v>0</v>
      </c>
      <c r="AV29" s="71">
        <f>IF('Invoer gegevens'!$C$3="Basis",0,#REF!)</f>
        <v>0</v>
      </c>
      <c r="AW29" s="71">
        <f t="shared" ca="1" si="4"/>
        <v>0</v>
      </c>
      <c r="AX29" s="72">
        <f ca="1">IF(E29='Invoer gegevens'!$C$17+14,IF('Invoer gegevens'!$C$20="Ja",MAX('RW - MW - DE - DE'!$AY$236,'RW - MW - DE - UP'!$AY$236,'RW - MW - DE - DE'!$AY$236)),0)</f>
        <v>0</v>
      </c>
      <c r="AY29" s="72">
        <f ca="1">IFERROR(IF(E29='Invoer gegevens'!$C$17,-'Invoer gegevens'!$C$10*'Invoer gegevens'!$C$31*Reeksen!H29,0),0)</f>
        <v>0</v>
      </c>
      <c r="AZ29" s="73">
        <f ca="1">IF('Invoer gegevens'!$C$34=E29,'Invoer gegevens'!$C$27*'Invoer gegevens'!$C$10*'Invoer gegevens'!$C$36*(IF('Invoer gegevens'!$C$35="ja",1,Reeksen!J29)),IF('Invoer gegevens'!$C$34+1=E29,'Invoer gegevens'!$C$27*'Invoer gegevens'!$C$10*'Invoer gegevens'!$C$37*(IF('Invoer gegevens'!$C$35="ja",1,Reeksen!J29)),0))+IF(AND(E29='Invoer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9" s="73">
        <f ca="1">AW29/(1+'Invoer gegevens'!$F$13)^($D29-('Invoer gegevens'!$C$17-'Invoer gegevens'!$C$16))/(1+'Invoer gegevens'!$C$39)^('Invoer gegevens'!$C$17-'Invoer gegevens'!$C$16)</f>
        <v>0</v>
      </c>
      <c r="BB29" s="73">
        <f ca="1">AX29/(1+'Invoer gegevens'!$F$13)^(E29-('Invoer gegevens'!$C$17-1))/(1+'Invoer gegevens'!$C$39)^('Invoer gegevens'!$C$17-'Invoer gegevens'!$C$16)</f>
        <v>0</v>
      </c>
      <c r="BC29" s="73">
        <f ca="1">AY29/(1+'Invoer gegevens'!$C$39)^('Invoer gegevens'!$C$17-'Invoer gegevens'!$C$16)</f>
        <v>0</v>
      </c>
      <c r="BD29" s="72">
        <f t="shared" ca="1" si="5"/>
        <v>0</v>
      </c>
      <c r="BE29" s="72">
        <f ca="1">IF(AND(E29='Invoer gegevens'!$C$16,'Invoer gegevens'!$C$34&lt;'Invoer gegevens'!$C$16),AZ29,AZ29/(1+'Invoer gegevens'!$C$39)^D29)</f>
        <v>0</v>
      </c>
      <c r="BF29" s="72">
        <f ca="1">IF(E29='Invoer gegevens'!$C$34,-'Invoer gegevens'!$F$40,0)</f>
        <v>0</v>
      </c>
      <c r="BG29" s="72">
        <f ca="1">IF(E29='Invoer gegevens'!$C$17,-'Invoer gegevens'!$C$19*$BD$31,0)</f>
        <v>0</v>
      </c>
      <c r="BH29" s="72">
        <f ca="1">AW29/(1+$BH$4)^($D29-('Invoer gegevens'!$C$17-'Invoer gegevens'!$C$16))/(1+'Invoer gegevens'!$C$39)^('Invoer gegevens'!$C$17-'Invoer gegevens'!$C$16)+AX29/(1+$BH$4)^(E29-('Invoer gegevens'!$C$17-1))/(1+'Invoer gegevens'!$C$39)^('Invoer gegevens'!$C$17-'Invoer gegevens'!$C$16)+AY29/(1+'Invoer gegevens'!$C$39)^('Invoer gegevens'!$C$17-'Invoer gegevens'!$C$16)+(-AZ29/(1+'Invoer gegevens'!$C$39)^D29)+BF29+BG29</f>
        <v>0</v>
      </c>
      <c r="BI29" s="59"/>
    </row>
    <row r="30" spans="1:67" x14ac:dyDescent="0.25">
      <c r="A30" s="59"/>
      <c r="AC30" s="68"/>
      <c r="AD30" s="68"/>
      <c r="AE30" s="68"/>
      <c r="AF30" s="68"/>
      <c r="AG30" s="68"/>
      <c r="BJ30" s="59"/>
      <c r="BK30" s="59"/>
      <c r="BL30" s="59"/>
      <c r="BM30" s="59"/>
      <c r="BN30" s="59"/>
      <c r="BO30" s="59"/>
    </row>
    <row r="31" spans="1:67" x14ac:dyDescent="0.25">
      <c r="A31" s="59"/>
      <c r="B31" s="70"/>
      <c r="C31" s="70"/>
      <c r="D31" s="70"/>
      <c r="E31" s="70"/>
      <c r="F31" s="70"/>
      <c r="G31" s="68"/>
      <c r="H31" s="75"/>
      <c r="I31" s="75"/>
      <c r="J31" s="75"/>
      <c r="K31" s="75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7"/>
      <c r="AI31" s="78">
        <f ca="1">SUM(AI5:AI29)</f>
        <v>0</v>
      </c>
      <c r="AJ31" s="78">
        <f t="shared" ref="AJ31:BH31" ca="1" si="8">SUM(AJ5:AJ29)</f>
        <v>0</v>
      </c>
      <c r="AK31" s="78">
        <f t="shared" ca="1" si="8"/>
        <v>0</v>
      </c>
      <c r="AL31" s="78">
        <f t="shared" ca="1" si="8"/>
        <v>0</v>
      </c>
      <c r="AM31" s="78">
        <f t="shared" ca="1" si="8"/>
        <v>0</v>
      </c>
      <c r="AN31" s="78">
        <f t="shared" ca="1" si="8"/>
        <v>0</v>
      </c>
      <c r="AO31" s="78">
        <f t="shared" si="8"/>
        <v>0</v>
      </c>
      <c r="AP31" s="78">
        <f t="shared" si="8"/>
        <v>0</v>
      </c>
      <c r="AQ31" s="78">
        <f t="shared" ca="1" si="8"/>
        <v>0</v>
      </c>
      <c r="AR31" s="78">
        <f t="shared" ca="1" si="8"/>
        <v>0</v>
      </c>
      <c r="AS31" s="78">
        <f t="shared" ca="1" si="8"/>
        <v>0</v>
      </c>
      <c r="AT31" s="78">
        <f t="shared" si="8"/>
        <v>0</v>
      </c>
      <c r="AU31" s="78">
        <f t="shared" ca="1" si="8"/>
        <v>0</v>
      </c>
      <c r="AV31" s="78">
        <f t="shared" si="8"/>
        <v>0</v>
      </c>
      <c r="AW31" s="78">
        <f t="shared" ca="1" si="8"/>
        <v>0</v>
      </c>
      <c r="AX31" s="78">
        <f t="shared" ca="1" si="8"/>
        <v>0</v>
      </c>
      <c r="AY31" s="78">
        <f t="shared" ca="1" si="8"/>
        <v>0</v>
      </c>
      <c r="AZ31" s="78">
        <f t="shared" ca="1" si="8"/>
        <v>0</v>
      </c>
      <c r="BA31" s="78">
        <f ca="1">SUM(BA5:BA29)</f>
        <v>0</v>
      </c>
      <c r="BB31" s="78">
        <f t="shared" ca="1" si="8"/>
        <v>0</v>
      </c>
      <c r="BC31" s="78">
        <f t="shared" ca="1" si="8"/>
        <v>0</v>
      </c>
      <c r="BD31" s="78">
        <f t="shared" ca="1" si="8"/>
        <v>0</v>
      </c>
      <c r="BE31" s="78">
        <f t="shared" ca="1" si="8"/>
        <v>0</v>
      </c>
      <c r="BF31" s="78">
        <f t="shared" ca="1" si="8"/>
        <v>0</v>
      </c>
      <c r="BG31" s="78">
        <f t="shared" ca="1" si="8"/>
        <v>0</v>
      </c>
      <c r="BH31" s="78">
        <f t="shared" ca="1" si="8"/>
        <v>0</v>
      </c>
      <c r="BI31" s="59"/>
    </row>
    <row r="32" spans="1:67" x14ac:dyDescent="0.25">
      <c r="A32" s="59"/>
      <c r="B32" s="66"/>
      <c r="C32" s="66"/>
      <c r="D32" s="66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88"/>
      <c r="BE32" s="66"/>
      <c r="BF32" s="66"/>
      <c r="BG32" s="66"/>
      <c r="BH32" s="66"/>
      <c r="BI32" s="59"/>
    </row>
    <row r="33" spans="1:61" ht="15.75" x14ac:dyDescent="0.25">
      <c r="A33" s="89" t="s">
        <v>720</v>
      </c>
      <c r="B33" s="8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59"/>
    </row>
    <row r="34" spans="1:61" x14ac:dyDescent="0.25">
      <c r="A34" s="59"/>
      <c r="B34" s="70"/>
      <c r="C34" s="70"/>
      <c r="D34" s="70"/>
      <c r="E34" s="70"/>
      <c r="F34" s="397" t="s">
        <v>721</v>
      </c>
      <c r="G34" s="398"/>
      <c r="H34" s="398"/>
      <c r="I34" s="398"/>
      <c r="J34" s="398"/>
      <c r="K34" s="399"/>
      <c r="L34" s="400" t="s">
        <v>722</v>
      </c>
      <c r="M34" s="401"/>
      <c r="N34" s="401"/>
      <c r="O34" s="401"/>
      <c r="P34" s="401"/>
      <c r="Q34" s="402"/>
      <c r="R34" s="397" t="s">
        <v>666</v>
      </c>
      <c r="S34" s="398"/>
      <c r="T34" s="398"/>
      <c r="U34" s="398"/>
      <c r="V34" s="398"/>
      <c r="W34" s="399"/>
      <c r="X34" s="397" t="s">
        <v>667</v>
      </c>
      <c r="Y34" s="398"/>
      <c r="Z34" s="398"/>
      <c r="AA34" s="398"/>
      <c r="AB34" s="398"/>
      <c r="AC34" s="399"/>
      <c r="AD34" s="397" t="s">
        <v>700</v>
      </c>
      <c r="AE34" s="398"/>
      <c r="AF34" s="398"/>
      <c r="AG34" s="398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</row>
    <row r="35" spans="1:61" ht="15" customHeight="1" x14ac:dyDescent="0.25">
      <c r="A35" s="59"/>
      <c r="B35" s="91" t="s">
        <v>668</v>
      </c>
      <c r="C35" s="91" t="s">
        <v>669</v>
      </c>
      <c r="D35" s="91" t="s">
        <v>669</v>
      </c>
      <c r="E35" s="91" t="s">
        <v>670</v>
      </c>
      <c r="F35" s="404" t="s">
        <v>723</v>
      </c>
      <c r="G35" s="403" t="s">
        <v>724</v>
      </c>
      <c r="H35" s="403" t="s">
        <v>725</v>
      </c>
      <c r="I35" s="403" t="s">
        <v>726</v>
      </c>
      <c r="J35" s="403" t="s">
        <v>727</v>
      </c>
      <c r="K35" s="93" t="s">
        <v>671</v>
      </c>
      <c r="L35" s="405" t="s">
        <v>723</v>
      </c>
      <c r="M35" s="406" t="s">
        <v>724</v>
      </c>
      <c r="N35" s="406" t="s">
        <v>725</v>
      </c>
      <c r="O35" s="406" t="s">
        <v>726</v>
      </c>
      <c r="P35" s="406" t="s">
        <v>728</v>
      </c>
      <c r="Q35" s="407" t="s">
        <v>729</v>
      </c>
      <c r="R35" s="405" t="s">
        <v>730</v>
      </c>
      <c r="S35" s="403" t="s">
        <v>724</v>
      </c>
      <c r="T35" s="403" t="s">
        <v>731</v>
      </c>
      <c r="U35" s="403" t="s">
        <v>732</v>
      </c>
      <c r="V35" s="403" t="s">
        <v>733</v>
      </c>
      <c r="W35" s="407" t="s">
        <v>730</v>
      </c>
      <c r="X35" s="406" t="s">
        <v>734</v>
      </c>
      <c r="Y35" s="406" t="s">
        <v>724</v>
      </c>
      <c r="Z35" s="406" t="s">
        <v>731</v>
      </c>
      <c r="AA35" s="406" t="s">
        <v>732</v>
      </c>
      <c r="AB35" s="406" t="s">
        <v>733</v>
      </c>
      <c r="AC35" s="407" t="s">
        <v>734</v>
      </c>
      <c r="AD35" s="408" t="s">
        <v>703</v>
      </c>
      <c r="AE35" s="403" t="s">
        <v>735</v>
      </c>
      <c r="AF35" s="403" t="s">
        <v>736</v>
      </c>
      <c r="AG35" s="81" t="s">
        <v>667</v>
      </c>
      <c r="AH35" s="95"/>
      <c r="AI35" s="91" t="s">
        <v>16</v>
      </c>
      <c r="AJ35" s="91" t="s">
        <v>16</v>
      </c>
      <c r="AK35" s="91" t="s">
        <v>672</v>
      </c>
      <c r="AL35" s="27" t="s">
        <v>704</v>
      </c>
      <c r="AM35" s="27" t="s">
        <v>704</v>
      </c>
      <c r="AN35" s="27" t="s">
        <v>672</v>
      </c>
      <c r="AO35" s="91" t="s">
        <v>673</v>
      </c>
      <c r="AP35" s="91" t="s">
        <v>705</v>
      </c>
      <c r="AQ35" s="91" t="s">
        <v>674</v>
      </c>
      <c r="AR35" s="91" t="s">
        <v>706</v>
      </c>
      <c r="AS35" s="91" t="s">
        <v>675</v>
      </c>
      <c r="AT35" s="91" t="s">
        <v>676</v>
      </c>
      <c r="AU35" s="62" t="s">
        <v>588</v>
      </c>
      <c r="AV35" s="62" t="s">
        <v>707</v>
      </c>
      <c r="AW35" s="62" t="s">
        <v>677</v>
      </c>
      <c r="AX35" s="91" t="s">
        <v>673</v>
      </c>
      <c r="AY35" s="62" t="s">
        <v>708</v>
      </c>
      <c r="AZ35" s="91" t="s">
        <v>690</v>
      </c>
      <c r="BA35" s="91" t="s">
        <v>679</v>
      </c>
      <c r="BB35" s="91" t="s">
        <v>679</v>
      </c>
      <c r="BC35" s="91" t="s">
        <v>679</v>
      </c>
      <c r="BD35" s="91" t="s">
        <v>679</v>
      </c>
      <c r="BE35" s="91" t="s">
        <v>679</v>
      </c>
      <c r="BF35" s="91" t="s">
        <v>680</v>
      </c>
      <c r="BG35" s="91" t="s">
        <v>680</v>
      </c>
      <c r="BH35" s="91" t="s">
        <v>681</v>
      </c>
      <c r="BI35" s="59"/>
    </row>
    <row r="36" spans="1:61" x14ac:dyDescent="0.25">
      <c r="A36" s="59"/>
      <c r="B36" s="91"/>
      <c r="C36" s="91" t="s">
        <v>682</v>
      </c>
      <c r="D36" s="91" t="s">
        <v>682</v>
      </c>
      <c r="E36" s="91"/>
      <c r="F36" s="404"/>
      <c r="G36" s="403"/>
      <c r="H36" s="403"/>
      <c r="I36" s="403"/>
      <c r="J36" s="403"/>
      <c r="K36" s="93" t="s">
        <v>737</v>
      </c>
      <c r="L36" s="405"/>
      <c r="M36" s="406"/>
      <c r="N36" s="406"/>
      <c r="O36" s="406"/>
      <c r="P36" s="406"/>
      <c r="Q36" s="407"/>
      <c r="R36" s="405"/>
      <c r="S36" s="403"/>
      <c r="T36" s="403"/>
      <c r="U36" s="403"/>
      <c r="V36" s="403"/>
      <c r="W36" s="407"/>
      <c r="X36" s="406"/>
      <c r="Y36" s="406"/>
      <c r="Z36" s="406"/>
      <c r="AA36" s="406"/>
      <c r="AB36" s="406"/>
      <c r="AC36" s="407"/>
      <c r="AD36" s="408"/>
      <c r="AE36" s="403"/>
      <c r="AF36" s="403"/>
      <c r="AG36" s="81" t="s">
        <v>711</v>
      </c>
      <c r="AH36" s="95"/>
      <c r="AI36" s="91" t="s">
        <v>712</v>
      </c>
      <c r="AJ36" s="91" t="s">
        <v>683</v>
      </c>
      <c r="AK36" s="91" t="s">
        <v>684</v>
      </c>
      <c r="AL36" s="27" t="s">
        <v>713</v>
      </c>
      <c r="AM36" s="27" t="s">
        <v>683</v>
      </c>
      <c r="AN36" s="27" t="s">
        <v>714</v>
      </c>
      <c r="AO36" s="91" t="s">
        <v>715</v>
      </c>
      <c r="AP36" s="91" t="s">
        <v>685</v>
      </c>
      <c r="AQ36" s="91" t="s">
        <v>685</v>
      </c>
      <c r="AR36" s="91" t="s">
        <v>716</v>
      </c>
      <c r="AS36" s="91" t="s">
        <v>685</v>
      </c>
      <c r="AT36" s="91" t="s">
        <v>686</v>
      </c>
      <c r="AU36" s="62" t="s">
        <v>687</v>
      </c>
      <c r="AV36" s="62" t="s">
        <v>717</v>
      </c>
      <c r="AW36" s="62" t="s">
        <v>688</v>
      </c>
      <c r="AX36" s="91" t="s">
        <v>689</v>
      </c>
      <c r="AY36" s="62" t="s">
        <v>685</v>
      </c>
      <c r="AZ36" s="91"/>
      <c r="BA36" s="91" t="s">
        <v>691</v>
      </c>
      <c r="BB36" s="91" t="s">
        <v>689</v>
      </c>
      <c r="BC36" s="91" t="s">
        <v>718</v>
      </c>
      <c r="BD36" s="91" t="s">
        <v>692</v>
      </c>
      <c r="BE36" s="91" t="s">
        <v>719</v>
      </c>
      <c r="BF36" s="91" t="s">
        <v>693</v>
      </c>
      <c r="BG36" s="91" t="s">
        <v>694</v>
      </c>
      <c r="BH36" s="65">
        <v>5.2895145445561821E-2</v>
      </c>
      <c r="BI36" s="59"/>
    </row>
    <row r="37" spans="1:61" x14ac:dyDescent="0.25">
      <c r="A37" s="59"/>
      <c r="B37" s="66">
        <v>1</v>
      </c>
      <c r="C37" s="67">
        <f ca="1">IF(AND(E37&gt;='Invoer gegevens'!$C$17,E37&lt;'Invoer gegevens'!$C$17+15),1,0)</f>
        <v>1</v>
      </c>
      <c r="D37" s="68">
        <v>0.5</v>
      </c>
      <c r="E37" s="69">
        <f ca="1">IF('Invoer gegevens'!$C$16="","",'Invoer gegevens'!$C$16)</f>
        <v>2019</v>
      </c>
      <c r="F37" s="84">
        <f>'Invoer gegevens'!C11</f>
        <v>0</v>
      </c>
      <c r="G37" s="96">
        <f ca="1">IF(E37='Invoer gegevens'!$C$17+15,K36,IF(C37&gt;=1,F37*VLOOKUP(E37,Reeksen!$A$5:$B$76,2),0))</f>
        <v>0</v>
      </c>
      <c r="H37" s="84">
        <f ca="1">IF(E37='Invoer gegevens'!$C$17+15,K36,(1-('Invoer gegevens'!$F$20/12))*F37*MIN(Reeksen!B5,Reeksen!D5))</f>
        <v>0</v>
      </c>
      <c r="I37" s="84">
        <f>IF(Reeksen!D5&lt;Reeksen!B5,(Reeksen!B5-Reeksen!D5)*F37,0)</f>
        <v>0</v>
      </c>
      <c r="J37" s="84">
        <f ca="1">IF(E37='Invoer gegevens'!$C$17+16,0,('Invoer gegevens'!$F$20/12)*F36*MIN(Reeksen!B4,Reeksen!D4))</f>
        <v>0</v>
      </c>
      <c r="K37" s="97">
        <f ca="1">IF(E37&gt;='Invoer gegevens'!$C$17+15,0,F37-G37)</f>
        <v>0</v>
      </c>
      <c r="L37" s="84">
        <f ca="1">IF('Invoer gegevens'!$C$17=E37,0,IF(C37=1,Q36,0))</f>
        <v>0</v>
      </c>
      <c r="M37" s="96">
        <f ca="1">IF(E37='Invoer gegevens'!$C$17+15,Q36,IF(C37&gt;=1,L37*VLOOKUP(E37,Reeksen!$A$5:$B$76,2),0))</f>
        <v>0</v>
      </c>
      <c r="N37" s="84">
        <f ca="1">IF(C37='Invoer gegevens'!$C$17+15,Q36,(1-('Invoer gegevens'!$F$20/12))*L37*MIN(Reeksen!B5,Reeksen!D5))</f>
        <v>0</v>
      </c>
      <c r="O37" s="84">
        <f>IF(Reeksen!D5&lt;Reeksen!B5,(Reeksen!B5-Reeksen!D5)*L37,0)</f>
        <v>0</v>
      </c>
      <c r="P37" s="84">
        <f ca="1">IF(E37='Invoer gegevens'!$C$17+16,0,('Invoer gegevens'!$F$20/12)*L36*MIN(Reeksen!B4,Reeksen!D4))</f>
        <v>0</v>
      </c>
      <c r="Q37" s="84">
        <f ca="1">IF(E37&gt;='Invoer gegevens'!$C$17+15,0,L37-M37+I37+O37)</f>
        <v>0</v>
      </c>
      <c r="R37" s="82">
        <f ca="1">IF('Invoer gegevens'!$C$17=E37,'Invoer gegevens'!$C$11,IF(C37=1,W36,0))</f>
        <v>0</v>
      </c>
      <c r="S37" s="86">
        <f ca="1">IF(E37='Invoer gegevens'!$C$17+15,W36,IF(C37&gt;=1,R37*VLOOKUP(E37,Reeksen!$A$5:$B$76,2),0))</f>
        <v>0</v>
      </c>
      <c r="T37" s="84">
        <f ca="1">IF(E37='Invoer gegevens'!$C$17+15,W36,(1-('Invoer gegevens'!$F$20/12))*R37*MIN(Reeksen!B5,Reeksen!D5))</f>
        <v>0</v>
      </c>
      <c r="U37" s="84">
        <f>IF(Reeksen!D5&gt;=Reeksen!B5,0,IF(Reeksen!AD5&lt;=Reeksen!AE5,(Reeksen!B5-Reeksen!D5)*R37,0))</f>
        <v>0</v>
      </c>
      <c r="V37" s="86">
        <f>IF(Reeksen!D5&gt;=Reeksen!B5,0,IF(Reeksen!AD5&gt;Reeksen!AE5,(Reeksen!B5-Reeksen!D5)*R37,0))</f>
        <v>0</v>
      </c>
      <c r="W37" s="97">
        <f ca="1">IF(E37&gt;='Invoer gegevens'!$C$17+15,0,R37-S37)</f>
        <v>0</v>
      </c>
      <c r="X37" s="98">
        <f ca="1">IF('Invoer gegevens'!$C$17=E37,'Invoer gegevens'!$C$10-'Invoer gegevens'!$C$11,IF(C37=1,AC36,0))</f>
        <v>0</v>
      </c>
      <c r="Y37" s="98">
        <f ca="1">IF(E37='Invoer gegevens'!$C$17+15,AC36,IF(C37&gt;=1,X37*VLOOKUP(E37,Reeksen!$A$5:$B$76,2),0))</f>
        <v>0</v>
      </c>
      <c r="Z37" s="98">
        <f ca="1">IF(E37='Invoer gegevens'!$C$17+15,AC36,(1-('Invoer gegevens'!$F$20/12))*X37*MIN(Reeksen!B5,Reeksen!D5))</f>
        <v>0</v>
      </c>
      <c r="AA37" s="98">
        <f>IF(Reeksen!D5&gt;=Reeksen!B5,0,IF(Reeksen!AD5&lt;=Reeksen!AE5,(Reeksen!B5-Reeksen!D5)*X37,0))</f>
        <v>0</v>
      </c>
      <c r="AB37" s="98">
        <f>IF(Reeksen!D5&gt;=Reeksen!B5,0,IF(Reeksen!AD5&gt;Reeksen!AE5,(Reeksen!B5-Reeksen!D5)*X37,0))</f>
        <v>0</v>
      </c>
      <c r="AC37" s="99">
        <f ca="1">IF(E37&gt;='Invoer gegevens'!$C$17+15,0,X37-Y37)</f>
        <v>0</v>
      </c>
      <c r="AD37" s="98">
        <f ca="1">IF('Invoer gegevens'!$C$17=E5,R37,IF(C5=0,0,AE36))</f>
        <v>0</v>
      </c>
      <c r="AE37" s="98">
        <f ca="1">IF(C5=0,0,AD37-S37-V37+AA37)</f>
        <v>0</v>
      </c>
      <c r="AF37" s="98">
        <f ca="1">IF('Invoer gegevens'!$C$17=E5,X37,IF(C5=0,0,AG36))</f>
        <v>0</v>
      </c>
      <c r="AG37" s="98">
        <f ca="1">IF(C5=0,0,AF37-Y37-AA37+V37)</f>
        <v>0</v>
      </c>
      <c r="AH37" s="66"/>
      <c r="AI37" s="71">
        <f ca="1">IF(C37=1,Reeksen!AI5*((F37-G37+F37)/2)*12+Reeksen!AD5*((L37-M37+L37)/2)*12,0)</f>
        <v>0</v>
      </c>
      <c r="AJ37" s="71">
        <f ca="1">-AI37*'Invoer gegevens'!$F$26</f>
        <v>0</v>
      </c>
      <c r="AK37" s="71">
        <f ca="1">AI37+AJ37</f>
        <v>0</v>
      </c>
      <c r="AL37" s="71">
        <f ca="1">IF(C37=1,Reeksen!AL5*((F37-G37+F37)/2)*12+Reeksen!AM5*((L37-M37+L37)/2)*12,0)</f>
        <v>0</v>
      </c>
      <c r="AM37" s="71">
        <f ca="1">-AL37*'Invoer gegevens'!$F$31</f>
        <v>0</v>
      </c>
      <c r="AN37" s="71">
        <f ca="1">AL37+AM37</f>
        <v>0</v>
      </c>
      <c r="AO37" s="71">
        <f ca="1">IF(E37&gt;='Invoer gegevens'!$C$17+15,0,IF(C37=1,(H37+J37+N37+P37)*Reeksen!AN5,0))</f>
        <v>0</v>
      </c>
      <c r="AP37" s="71">
        <f ca="1">-IF(C37=1,(H37+J37+N37+P37)*'Hulp - basis'!$G$550*Reeksen!H5,0)</f>
        <v>0</v>
      </c>
      <c r="AQ37" s="71">
        <f ca="1">-IF(C37=1,(F37+K37+L37+Q37)/2*'Invoer gegevens'!$F$35*Reeksen!J5,0)</f>
        <v>0</v>
      </c>
      <c r="AR37" s="71"/>
      <c r="AS37" s="71">
        <f ca="1">-IF(C37=1,(F37+K37+L37+Q37)/2*'Invoer gegevens'!$F$37*Reeksen!L5,0)</f>
        <v>0</v>
      </c>
      <c r="AT37" s="71">
        <f>IF(Dashboard!$C$20&gt;10,-IF(C37=1,IF(E37='Invoer gegevens'!$C$17,'Invoer gegevens'!$C$11,AD37)*Reeksen!S5*'Invoer gegevens'!$C$18*Reeksen!P5,0),0)</f>
        <v>0</v>
      </c>
      <c r="AU37" s="71">
        <f ca="1">-IF(C37=1,(F37+K37+L37+Q37)/2*'Invoer gegevens'!$F$38*Reeksen!H5,0)</f>
        <v>0</v>
      </c>
      <c r="AV37" s="71">
        <f>IF('Invoer gegevens'!$C$3="Basis",0,#REF!)</f>
        <v>0</v>
      </c>
      <c r="AW37" s="71">
        <f ca="1">SUM(AK37,AN37:AV37)</f>
        <v>0</v>
      </c>
      <c r="AX37" s="72">
        <f ca="1">IF(E37='Invoer gegevens'!$C$17+14,'RW - MW - UP'!$AY$236,0)</f>
        <v>0</v>
      </c>
      <c r="AY37" s="72">
        <f ca="1">IFERROR(IF(E37='Invoer gegevens'!$C$17,-'Invoer gegevens'!$C$10*('Invoer gegevens'!$C$30+'Invoer gegevens'!$C$31)*Reeksen!H5,0),0)</f>
        <v>0</v>
      </c>
      <c r="AZ37" s="73">
        <f ca="1">IF('Invoer gegevens'!$C$34=E37,'Invoer gegevens'!$C$27*'Invoer gegevens'!$C$10*'Invoer gegevens'!$C$36*(IF('Invoer gegevens'!$C$35="ja",1,Reeksen!J5)),IF('Invoer gegevens'!$C$34+1=E37,'Invoer gegevens'!$C$27*'Invoer gegevens'!$C$10*'Invoer gegevens'!$C$37*(IF('Invoer gegevens'!$C$35="ja",1,Reeksen!J5)),0))+IF(AND(E37='Invoer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37" s="73">
        <f ca="1">AW37/(1+'Invoer gegevens'!$F$18)^($D37-('Invoer gegevens'!$C$17-'Invoer gegevens'!$C$16))/(1+'Invoer gegevens'!$C$39)^('Invoer gegevens'!$C$17-'Invoer gegevens'!$C$16)</f>
        <v>0</v>
      </c>
      <c r="BB37" s="73">
        <f ca="1">AX37/(1+'Invoer gegevens'!$F$18)^(E37-('Invoer gegevens'!$C$17-1))/(1+'Invoer gegevens'!$C$39)^('Invoer gegevens'!$C$17-'Invoer gegevens'!$C$16)</f>
        <v>0</v>
      </c>
      <c r="BC37" s="73">
        <f ca="1">AY37/(1+'Invoer gegevens'!$C$39)^('Invoer gegevens'!$C$17-'Invoer gegevens'!$C$16)</f>
        <v>0</v>
      </c>
      <c r="BD37" s="72">
        <f ca="1">SUM(BA37:BC37)</f>
        <v>0</v>
      </c>
      <c r="BE37" s="72">
        <f ca="1">IF(AND(E37='Invoer gegevens'!$C$16,'Invoer gegevens'!$C$34&lt;'Invoer gegevens'!$C$16),AZ37,AZ37/(1+'Invoer gegevens'!$C$39)^D37)</f>
        <v>0</v>
      </c>
      <c r="BF37" s="72">
        <f ca="1">IF(E37='Invoer gegevens'!$C$34,-'Invoer gegevens'!$F$40,0)</f>
        <v>0</v>
      </c>
      <c r="BG37" s="72">
        <f ca="1">IF(E37='Invoer gegevens'!$C$17,-'Invoer gegevens'!$C$19*$BD$63,0)</f>
        <v>0</v>
      </c>
      <c r="BH37" s="72">
        <f ca="1">AW37/(1+$BH$36)^($D37-('Invoer gegevens'!$C$17-'Invoer gegevens'!$C$16))/(1+'Invoer gegevens'!$C$39)^('Invoer gegevens'!$C$17-'Invoer gegevens'!$C$16)+AX37/(1+$BH$36)^(E37-('Invoer gegevens'!$C$17-1))/(1+'Invoer gegevens'!$C$39)^('Invoer gegevens'!$C$17-'Invoer gegevens'!$C$16)+AY37/(1+'Invoer gegevens'!$C$39)^('Invoer gegevens'!$C$17-'Invoer gegevens'!$C$16)+(-AZ37/(1+'Invoer gegevens'!$C$39)^D37)+BF37+BG37</f>
        <v>0</v>
      </c>
      <c r="BI37" s="59"/>
    </row>
    <row r="38" spans="1:61" x14ac:dyDescent="0.25">
      <c r="A38" s="59"/>
      <c r="B38" s="70">
        <f>B37+1</f>
        <v>2</v>
      </c>
      <c r="C38" s="67">
        <f ca="1">IF(AND(E38&gt;='Invoer gegevens'!$C$17,E38&lt;'Invoer gegevens'!$C$17+15),1,0)</f>
        <v>1</v>
      </c>
      <c r="D38" s="68">
        <f>D37+1</f>
        <v>1.5</v>
      </c>
      <c r="E38" s="69">
        <f ca="1">IF('Invoer gegevens'!$C$16="","",E37+1)</f>
        <v>2020</v>
      </c>
      <c r="F38" s="84">
        <f ca="1">IF('Invoer gegevens'!$C$17=E38,'Invoer gegevens'!$C$10,IF(C38=1,K37,0))</f>
        <v>0</v>
      </c>
      <c r="G38" s="96">
        <f ca="1">IF(E38='Invoer gegevens'!$C$17+15,K37,IF(C38&gt;=1,F38*VLOOKUP(E38,Reeksen!$A$5:$B$76,2),0))</f>
        <v>0</v>
      </c>
      <c r="H38" s="84">
        <f ca="1">IF(E38='Invoer gegevens'!$C$17+15,K37,(1-('Invoer gegevens'!$F$20/12))*F38*MIN(Reeksen!B6,Reeksen!D6))</f>
        <v>0</v>
      </c>
      <c r="I38" s="84">
        <f>IF(Reeksen!D6&lt;Reeksen!B6,(Reeksen!B6-Reeksen!D6)*F38,0)</f>
        <v>0</v>
      </c>
      <c r="J38" s="84">
        <f ca="1">IF(E38='Invoer gegevens'!$C$17+16,0,('Invoer gegevens'!$F$20/12)*F37*MIN(Reeksen!B5,Reeksen!D5))</f>
        <v>0</v>
      </c>
      <c r="K38" s="97">
        <f ca="1">IF(E38&gt;='Invoer gegevens'!$C$17+15,0,F38-G38)</f>
        <v>0</v>
      </c>
      <c r="L38" s="84">
        <f ca="1">IF('Invoer gegevens'!$C$17=E38,0,IF(C38=1,Q37,0))</f>
        <v>0</v>
      </c>
      <c r="M38" s="96">
        <f ca="1">IF(E38='Invoer gegevens'!$C$17+15,Q37,IF(C38&gt;=1,L38*VLOOKUP(E38,Reeksen!$A$5:$B$76,2),0))</f>
        <v>0</v>
      </c>
      <c r="N38" s="84">
        <f ca="1">IF(C38='Invoer gegevens'!$C$17+15,Q37,(1-('Invoer gegevens'!$F$20/12))*L38*MIN(Reeksen!B6,Reeksen!D6))</f>
        <v>0</v>
      </c>
      <c r="O38" s="84">
        <f>IF(Reeksen!D6&lt;Reeksen!B6,(Reeksen!B6-Reeksen!D6)*L38,0)</f>
        <v>0</v>
      </c>
      <c r="P38" s="84">
        <f ca="1">IF(E38='Invoer gegevens'!$C$17+16,0,('Invoer gegevens'!$F$20/12)*L37*MIN(Reeksen!B5,Reeksen!D5))</f>
        <v>0</v>
      </c>
      <c r="Q38" s="84">
        <f ca="1">IF(E38&gt;='Invoer gegevens'!$C$17+15,0,L38-M38+I38+O38)</f>
        <v>0</v>
      </c>
      <c r="R38" s="82">
        <f ca="1">IF('Invoer gegevens'!$C$17=E38,'Invoer gegevens'!$C$11,IF(C38=1,W37,0))</f>
        <v>0</v>
      </c>
      <c r="S38" s="86">
        <f ca="1">IF(E38='Invoer gegevens'!$C$17+15,W37,IF(C38&gt;=1,R38*VLOOKUP(E38,Reeksen!$A$5:$B$76,2),0))</f>
        <v>0</v>
      </c>
      <c r="T38" s="84">
        <f ca="1">IF(E38='Invoer gegevens'!$C$17+15,W37,(1-('Invoer gegevens'!$F$20/12))*R38*MIN(Reeksen!B6,Reeksen!D6))</f>
        <v>0</v>
      </c>
      <c r="U38" s="84">
        <f>IF(Reeksen!D6&gt;=Reeksen!B6,0,IF(Reeksen!AD6&lt;=Reeksen!AE6,(Reeksen!B6-Reeksen!D6)*R38,0))</f>
        <v>0</v>
      </c>
      <c r="V38" s="86">
        <f>IF(Reeksen!D6&gt;=Reeksen!B6,0,IF(Reeksen!AD6&gt;Reeksen!AE6,(Reeksen!B6-Reeksen!D6)*R38,0))</f>
        <v>0</v>
      </c>
      <c r="W38" s="97">
        <f ca="1">IF(E38&gt;='Invoer gegevens'!$C$17+15,0,R38-S38)</f>
        <v>0</v>
      </c>
      <c r="X38" s="98">
        <f ca="1">IF('Invoer gegevens'!$C$17=E38,'Invoer gegevens'!$C$10-'Invoer gegevens'!$C$11,IF(C38=1,AC37,0))</f>
        <v>0</v>
      </c>
      <c r="Y38" s="98">
        <f ca="1">IF(E38='Invoer gegevens'!$C$17+15,AC37,IF(C38&gt;=1,X38*VLOOKUP(E38,Reeksen!$A$5:$B$76,2),0))</f>
        <v>0</v>
      </c>
      <c r="Z38" s="98">
        <f ca="1">IF(E38='Invoer gegevens'!$C$17+15,AC37,(1-('Invoer gegevens'!$F$20/12))*X38*MIN(Reeksen!B6,Reeksen!D6))</f>
        <v>0</v>
      </c>
      <c r="AA38" s="98">
        <f>IF(Reeksen!D6&gt;=Reeksen!B6,0,IF(Reeksen!AD6&lt;=Reeksen!AE6,(Reeksen!B6-Reeksen!D6)*X38,0))</f>
        <v>0</v>
      </c>
      <c r="AB38" s="98">
        <f>IF(Reeksen!D6&gt;=Reeksen!B6,0,IF(Reeksen!AD6&gt;Reeksen!AE6,(Reeksen!B6-Reeksen!D6)*X38,0))</f>
        <v>0</v>
      </c>
      <c r="AC38" s="99">
        <f ca="1">IF(E38&gt;='Invoer gegevens'!$C$17+15,0,X38-Y38)</f>
        <v>0</v>
      </c>
      <c r="AD38" s="98">
        <f ca="1">IF('Invoer gegevens'!$C$17=E6,R38,IF(C6=0,0,AE37))</f>
        <v>0</v>
      </c>
      <c r="AE38" s="98">
        <f t="shared" ref="AE38:AE61" ca="1" si="9">IF(C6=0,0,AD38-S38-V38+AA38)</f>
        <v>0</v>
      </c>
      <c r="AF38" s="98">
        <f ca="1">IF('Invoer gegevens'!$C$17=E6,X38,IF(C6=0,0,AG37))</f>
        <v>0</v>
      </c>
      <c r="AG38" s="98">
        <f t="shared" ref="AG38:AG61" ca="1" si="10">IF(C6=0,0,AF38-Y38-AA38+V38)</f>
        <v>0</v>
      </c>
      <c r="AH38" s="66"/>
      <c r="AI38" s="71">
        <f ca="1">IF(C38=1,Reeksen!AI6*((F38-G38+F38)/2)*12+Reeksen!AD6*((L38-M38+L38)/2)*12,0)</f>
        <v>0</v>
      </c>
      <c r="AJ38" s="71">
        <f ca="1">-AI38*'Invoer gegevens'!$F$27</f>
        <v>0</v>
      </c>
      <c r="AK38" s="71">
        <f t="shared" ref="AK38:AK61" ca="1" si="11">AI38+AJ38</f>
        <v>0</v>
      </c>
      <c r="AL38" s="71">
        <f ca="1">IF(C38=1,Reeksen!AL6*((F38-G38+F38)/2)*12+Reeksen!AM6*((L38-M38+L38)/2)*12,0)</f>
        <v>0</v>
      </c>
      <c r="AM38" s="71">
        <f ca="1">-AL38*'Invoer gegevens'!$F$31</f>
        <v>0</v>
      </c>
      <c r="AN38" s="71">
        <f t="shared" ref="AN38:AN61" ca="1" si="12">AL38+AM38</f>
        <v>0</v>
      </c>
      <c r="AO38" s="71">
        <f ca="1">IF(E38&gt;='Invoer gegevens'!$C$17+15,0,IF(C38=1,(H38+J38+N38+P38)*Reeksen!AN6,0))</f>
        <v>0</v>
      </c>
      <c r="AP38" s="71">
        <f ca="1">-IF(C38=1,(H38+J38+N38+P38)*'Hulp - basis'!$G$550*Reeksen!H6,0)</f>
        <v>0</v>
      </c>
      <c r="AQ38" s="71">
        <f ca="1">-IF(C38=1,(F38+K38+L38+Q38)/2*'Invoer gegevens'!$F$35*Reeksen!J6,0)</f>
        <v>0</v>
      </c>
      <c r="AR38" s="71"/>
      <c r="AS38" s="71">
        <f ca="1">-IF(C38=1,(F38+K38+L38+Q38)/2*'Invoer gegevens'!$F$37*Reeksen!L6,0)</f>
        <v>0</v>
      </c>
      <c r="AT38" s="71">
        <f>IF(Dashboard!$C$20&gt;10,-IF(C38=1,IF(E38='Invoer gegevens'!$C$17,'Invoer gegevens'!$C$11,AD38)*Reeksen!S6*'Invoer gegevens'!$C$18*Reeksen!P6,0),0)</f>
        <v>0</v>
      </c>
      <c r="AU38" s="71">
        <f ca="1">-IF(C38=1,(F38+K38+L38+Q38)/2*'Invoer gegevens'!$F$38*Reeksen!H6,0)</f>
        <v>0</v>
      </c>
      <c r="AV38" s="71">
        <f>IF('Invoer gegevens'!$C$3="Basis",0,#REF!)</f>
        <v>0</v>
      </c>
      <c r="AW38" s="71">
        <f t="shared" ref="AW38:AW61" ca="1" si="13">SUM(AK38,AN38:AV38)</f>
        <v>0</v>
      </c>
      <c r="AX38" s="72">
        <f ca="1">IF(E38='Invoer gegevens'!$C$17+14,'RW - MW - UP'!$AY$236,0)</f>
        <v>0</v>
      </c>
      <c r="AY38" s="72">
        <f ca="1">IFERROR(IF(E38='Invoer gegevens'!$C$17,-'Invoer gegevens'!$C$10*('Invoer gegevens'!$C$30+'Invoer gegevens'!$C$31)*Reeksen!H6,0),0)</f>
        <v>0</v>
      </c>
      <c r="AZ38" s="73">
        <f ca="1">IF('Invoer gegevens'!$C$34=E38,'Invoer gegevens'!$C$27*'Invoer gegevens'!$C$10*'Invoer gegevens'!$C$36*(IF('Invoer gegevens'!$C$35="ja",1,Reeksen!J6)),IF('Invoer gegevens'!$C$34+1=E38,'Invoer gegevens'!$C$27*'Invoer gegevens'!$C$10*'Invoer gegevens'!$C$37*(IF('Invoer gegevens'!$C$35="ja",1,Reeksen!J6)),0))+IF(AND(E38='Invoer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38" s="73">
        <f ca="1">AW38/(1+'Invoer gegevens'!$F$18)^($D38-('Invoer gegevens'!$C$17-'Invoer gegevens'!$C$16))/(1+'Invoer gegevens'!$C$39)^('Invoer gegevens'!$C$17-'Invoer gegevens'!$C$16)</f>
        <v>0</v>
      </c>
      <c r="BB38" s="73">
        <f ca="1">AX38/(1+'Invoer gegevens'!$F$18)^(E38-('Invoer gegevens'!$C$17-1))/(1+'Invoer gegevens'!$C$39)^('Invoer gegevens'!$C$17-'Invoer gegevens'!$C$16)</f>
        <v>0</v>
      </c>
      <c r="BC38" s="73">
        <f ca="1">AY38/(1+'Invoer gegevens'!$C$39)^('Invoer gegevens'!$C$17-'Invoer gegevens'!$C$16)</f>
        <v>0</v>
      </c>
      <c r="BD38" s="72">
        <f t="shared" ref="BD38:BD61" ca="1" si="14">SUM(BA38:BC38)</f>
        <v>0</v>
      </c>
      <c r="BE38" s="72">
        <f ca="1">IF(AND(E38='Invoer gegevens'!$C$16,'Invoer gegevens'!$C$34&lt;'Invoer gegevens'!$C$16),AZ38,AZ38/(1+'Invoer gegevens'!$C$39)^D38)</f>
        <v>0</v>
      </c>
      <c r="BF38" s="72">
        <f ca="1">IF(E38='Invoer gegevens'!$C$34,-'Invoer gegevens'!$F$40,0)</f>
        <v>0</v>
      </c>
      <c r="BG38" s="72">
        <f ca="1">IF(E38='Invoer gegevens'!$C$17,-'Invoer gegevens'!$C$19*$BD$63,0)</f>
        <v>0</v>
      </c>
      <c r="BH38" s="72">
        <f ca="1">AW38/(1+$BH$36)^($D38-('Invoer gegevens'!$C$17-'Invoer gegevens'!$C$16))/(1+'Invoer gegevens'!$C$39)^('Invoer gegevens'!$C$17-'Invoer gegevens'!$C$16)+AX38/(1+$BH$36)^(E38-('Invoer gegevens'!$C$17-1))/(1+'Invoer gegevens'!$C$39)^('Invoer gegevens'!$C$17-'Invoer gegevens'!$C$16)+AY38/(1+'Invoer gegevens'!$C$39)^('Invoer gegevens'!$C$17-'Invoer gegevens'!$C$16)+(-AZ38/(1+'Invoer gegevens'!$C$39)^D38)+BF38+BG38</f>
        <v>0</v>
      </c>
      <c r="BI38" s="59"/>
    </row>
    <row r="39" spans="1:61" x14ac:dyDescent="0.25">
      <c r="A39" s="59"/>
      <c r="B39" s="70">
        <f>B38+1</f>
        <v>3</v>
      </c>
      <c r="C39" s="67">
        <f ca="1">IF(AND(E39&gt;='Invoer gegevens'!$C$17,E39&lt;'Invoer gegevens'!$C$17+15),1,0)</f>
        <v>1</v>
      </c>
      <c r="D39" s="68">
        <f>D38+1</f>
        <v>2.5</v>
      </c>
      <c r="E39" s="69">
        <f ca="1">IF('Invoer gegevens'!$C$16="","",E38+1)</f>
        <v>2021</v>
      </c>
      <c r="F39" s="84">
        <f ca="1">IF('Invoer gegevens'!$C$17=E39,'Invoer gegevens'!$C$10,IF(C39=1,K38,0))</f>
        <v>0</v>
      </c>
      <c r="G39" s="96">
        <f ca="1">IF(E39='Invoer gegevens'!$C$17+15,K38,IF(C39&gt;=1,F39*VLOOKUP(E39,Reeksen!$A$5:$B$76,2),0))</f>
        <v>0</v>
      </c>
      <c r="H39" s="84">
        <f ca="1">IF(E39='Invoer gegevens'!$C$17+15,K38,(1-('Invoer gegevens'!$F$20/12))*F39*MIN(Reeksen!B7,Reeksen!D7))</f>
        <v>0</v>
      </c>
      <c r="I39" s="84">
        <f>IF(Reeksen!D7&lt;Reeksen!B7,(Reeksen!B7-Reeksen!D7)*F39,0)</f>
        <v>0</v>
      </c>
      <c r="J39" s="84">
        <f ca="1">IF(E39='Invoer gegevens'!$C$17+16,0,('Invoer gegevens'!$F$20/12)*F38*MIN(Reeksen!B6,Reeksen!D6))</f>
        <v>0</v>
      </c>
      <c r="K39" s="97">
        <f ca="1">IF(E39&gt;='Invoer gegevens'!$C$17+15,0,F39-G39)</f>
        <v>0</v>
      </c>
      <c r="L39" s="84">
        <f ca="1">IF('Invoer gegevens'!$C$17=E39,0,IF(C39=1,Q38,0))</f>
        <v>0</v>
      </c>
      <c r="M39" s="96">
        <f ca="1">IF(E39='Invoer gegevens'!$C$17+15,Q38,IF(C39&gt;=1,L39*VLOOKUP(E39,Reeksen!$A$5:$B$76,2),0))</f>
        <v>0</v>
      </c>
      <c r="N39" s="84">
        <f ca="1">IF(C39='Invoer gegevens'!$C$17+15,Q38,(1-('Invoer gegevens'!$F$20/12))*L39*MIN(Reeksen!B7,Reeksen!D7))</f>
        <v>0</v>
      </c>
      <c r="O39" s="84">
        <f>IF(Reeksen!D7&lt;Reeksen!B7,(Reeksen!B7-Reeksen!D7)*L39,0)</f>
        <v>0</v>
      </c>
      <c r="P39" s="84">
        <f ca="1">IF(E39='Invoer gegevens'!$C$17+16,0,('Invoer gegevens'!$F$20/12)*L38*MIN(Reeksen!B6,Reeksen!D6))</f>
        <v>0</v>
      </c>
      <c r="Q39" s="84">
        <f ca="1">IF(E39&gt;='Invoer gegevens'!$C$17+15,0,L39-M39+I39+O39)</f>
        <v>0</v>
      </c>
      <c r="R39" s="82">
        <f ca="1">IF('Invoer gegevens'!$C$17=E39,'Invoer gegevens'!$C$11,IF(C39=1,W38,0))</f>
        <v>0</v>
      </c>
      <c r="S39" s="86">
        <f ca="1">IF(E39='Invoer gegevens'!$C$17+15,W38,IF(C39&gt;=1,R39*VLOOKUP(E39,Reeksen!$A$5:$B$76,2),0))</f>
        <v>0</v>
      </c>
      <c r="T39" s="84">
        <f ca="1">IF(E39='Invoer gegevens'!$C$17+15,W38,(1-('Invoer gegevens'!$F$20/12))*R39*MIN(Reeksen!B7,Reeksen!D7))</f>
        <v>0</v>
      </c>
      <c r="U39" s="84">
        <f>IF(Reeksen!D7&gt;=Reeksen!B7,0,IF(Reeksen!AD7&lt;=Reeksen!AE7,(Reeksen!B7-Reeksen!D7)*R39,0))</f>
        <v>0</v>
      </c>
      <c r="V39" s="86">
        <f>IF(Reeksen!D7&gt;=Reeksen!B7,0,IF(Reeksen!AD7&gt;Reeksen!AE7,(Reeksen!B7-Reeksen!D7)*R39,0))</f>
        <v>0</v>
      </c>
      <c r="W39" s="97">
        <f ca="1">IF(E39&gt;='Invoer gegevens'!$C$17+15,0,R39-S39)</f>
        <v>0</v>
      </c>
      <c r="X39" s="98">
        <f ca="1">IF('Invoer gegevens'!$C$17=E39,'Invoer gegevens'!$C$10-'Invoer gegevens'!$C$11,IF(C39=1,AC38,0))</f>
        <v>0</v>
      </c>
      <c r="Y39" s="98">
        <f ca="1">IF(E39='Invoer gegevens'!$C$17+15,AC38,IF(C39&gt;=1,X39*VLOOKUP(E39,Reeksen!$A$5:$B$76,2),0))</f>
        <v>0</v>
      </c>
      <c r="Z39" s="98">
        <f ca="1">IF(E39='Invoer gegevens'!$C$17+15,AC38,(1-('Invoer gegevens'!$F$20/12))*X39*MIN(Reeksen!B7,Reeksen!D7))</f>
        <v>0</v>
      </c>
      <c r="AA39" s="98">
        <f>IF(Reeksen!D7&gt;=Reeksen!B7,0,IF(Reeksen!AD7&lt;=Reeksen!AE7,(Reeksen!B7-Reeksen!D7)*X39,0))</f>
        <v>0</v>
      </c>
      <c r="AB39" s="98">
        <f>IF(Reeksen!D7&gt;=Reeksen!B7,0,IF(Reeksen!AD7&gt;Reeksen!AE7,(Reeksen!B7-Reeksen!D7)*X39,0))</f>
        <v>0</v>
      </c>
      <c r="AC39" s="99">
        <f ca="1">IF(E39&gt;='Invoer gegevens'!$C$17+15,0,X39-Y39)</f>
        <v>0</v>
      </c>
      <c r="AD39" s="98">
        <f ca="1">IF('Invoer gegevens'!$C$17=E7,R39,IF(C7=0,0,AE38))</f>
        <v>0</v>
      </c>
      <c r="AE39" s="98">
        <f t="shared" ca="1" si="9"/>
        <v>0</v>
      </c>
      <c r="AF39" s="98">
        <f ca="1">IF('Invoer gegevens'!$C$17=E7,X39,IF(C7=0,0,AG38))</f>
        <v>0</v>
      </c>
      <c r="AG39" s="98">
        <f t="shared" ca="1" si="10"/>
        <v>0</v>
      </c>
      <c r="AH39" s="66"/>
      <c r="AI39" s="71">
        <f ca="1">IF(C39=1,Reeksen!AI7*((F39-G39+F39)/2)*12+Reeksen!AD7*((L39-M39+L39)/2)*12,0)</f>
        <v>0</v>
      </c>
      <c r="AJ39" s="71">
        <f ca="1">-AI39*'Invoer gegevens'!$F$28</f>
        <v>0</v>
      </c>
      <c r="AK39" s="71">
        <f t="shared" ca="1" si="11"/>
        <v>0</v>
      </c>
      <c r="AL39" s="71">
        <f ca="1">IF(C39=1,Reeksen!AL7*((F39-G39+F39)/2)*12+Reeksen!AM7*((L39-M39+L39)/2)*12,0)</f>
        <v>0</v>
      </c>
      <c r="AM39" s="71">
        <f ca="1">-AL39*'Invoer gegevens'!$F$31</f>
        <v>0</v>
      </c>
      <c r="AN39" s="71">
        <f t="shared" ca="1" si="12"/>
        <v>0</v>
      </c>
      <c r="AO39" s="71">
        <f ca="1">IF(E39&gt;='Invoer gegevens'!$C$17+15,0,IF(C39=1,(H39+J39+N39+P39)*Reeksen!AN7,0))</f>
        <v>0</v>
      </c>
      <c r="AP39" s="71">
        <f ca="1">-IF(C39=1,(H39+J39+N39+P39)*'Hulp - basis'!$G$550*Reeksen!H7,0)</f>
        <v>0</v>
      </c>
      <c r="AQ39" s="71">
        <f ca="1">-IF(C39=1,(F39+K39+L39+Q39)/2*'Invoer gegevens'!$F$35*Reeksen!J7,0)</f>
        <v>0</v>
      </c>
      <c r="AR39" s="71"/>
      <c r="AS39" s="71">
        <f ca="1">-IF(C39=1,(F39+K39+L39+Q39)/2*'Invoer gegevens'!$F$37*Reeksen!L7,0)</f>
        <v>0</v>
      </c>
      <c r="AT39" s="71">
        <f>IF(Dashboard!$C$20&gt;10,-IF(C39=1,IF(E39='Invoer gegevens'!$C$17,'Invoer gegevens'!$C$11,AD39)*Reeksen!S7*'Invoer gegevens'!$C$18*Reeksen!P7,0),0)</f>
        <v>0</v>
      </c>
      <c r="AU39" s="71">
        <f ca="1">-IF(C39=1,(F39+K39+L39+Q39)/2*'Invoer gegevens'!$F$38*Reeksen!H7,0)</f>
        <v>0</v>
      </c>
      <c r="AV39" s="71">
        <f>IF('Invoer gegevens'!$C$3="Basis",0,#REF!)</f>
        <v>0</v>
      </c>
      <c r="AW39" s="71">
        <f t="shared" ca="1" si="13"/>
        <v>0</v>
      </c>
      <c r="AX39" s="72">
        <f ca="1">IF(E39='Invoer gegevens'!$C$17+14,'RW - MW - UP'!$AY$236,0)</f>
        <v>0</v>
      </c>
      <c r="AY39" s="72">
        <f ca="1">IFERROR(IF(E39='Invoer gegevens'!$C$17,-'Invoer gegevens'!$C$10*('Invoer gegevens'!$C$30+'Invoer gegevens'!$C$31)*Reeksen!H7,0),0)</f>
        <v>0</v>
      </c>
      <c r="AZ39" s="73">
        <f ca="1">IF('Invoer gegevens'!$C$34=E39,'Invoer gegevens'!$C$27*'Invoer gegevens'!$C$10*'Invoer gegevens'!$C$36*(IF('Invoer gegevens'!$C$35="ja",1,Reeksen!J7)),IF('Invoer gegevens'!$C$34+1=E39,'Invoer gegevens'!$C$27*'Invoer gegevens'!$C$10*'Invoer gegevens'!$C$37*(IF('Invoer gegevens'!$C$35="ja",1,Reeksen!J7)),0))+IF(AND(E39='Invoer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39" s="73">
        <f ca="1">AW39/(1+'Invoer gegevens'!$F$18)^($D39-('Invoer gegevens'!$C$17-'Invoer gegevens'!$C$16))/(1+'Invoer gegevens'!$C$39)^('Invoer gegevens'!$C$17-'Invoer gegevens'!$C$16)</f>
        <v>0</v>
      </c>
      <c r="BB39" s="73">
        <f ca="1">AX39/(1+'Invoer gegevens'!$F$18)^(E39-('Invoer gegevens'!$C$17-1))/(1+'Invoer gegevens'!$C$39)^('Invoer gegevens'!$C$17-'Invoer gegevens'!$C$16)</f>
        <v>0</v>
      </c>
      <c r="BC39" s="73">
        <f ca="1">AY39/(1+'Invoer gegevens'!$C$39)^('Invoer gegevens'!$C$17-'Invoer gegevens'!$C$16)</f>
        <v>0</v>
      </c>
      <c r="BD39" s="72">
        <f t="shared" ca="1" si="14"/>
        <v>0</v>
      </c>
      <c r="BE39" s="72">
        <f ca="1">IF(AND(E39='Invoer gegevens'!$C$16,'Invoer gegevens'!$C$34&lt;'Invoer gegevens'!$C$16),AZ39,AZ39/(1+'Invoer gegevens'!$C$39)^D39)</f>
        <v>0</v>
      </c>
      <c r="BF39" s="72">
        <f ca="1">IF(E39='Invoer gegevens'!$C$34,-'Invoer gegevens'!$F$40,0)</f>
        <v>0</v>
      </c>
      <c r="BG39" s="72">
        <f ca="1">IF(E39='Invoer gegevens'!$C$17,-'Invoer gegevens'!$C$19*$BD$63,0)</f>
        <v>0</v>
      </c>
      <c r="BH39" s="72">
        <f ca="1">AW39/(1+$BH$36)^($D39-('Invoer gegevens'!$C$17-'Invoer gegevens'!$C$16))/(1+'Invoer gegevens'!$C$39)^('Invoer gegevens'!$C$17-'Invoer gegevens'!$C$16)+AX39/(1+$BH$36)^(E39-('Invoer gegevens'!$C$17-1))/(1+'Invoer gegevens'!$C$39)^('Invoer gegevens'!$C$17-'Invoer gegevens'!$C$16)+AY39/(1+'Invoer gegevens'!$C$39)^('Invoer gegevens'!$C$17-'Invoer gegevens'!$C$16)+(-AZ39/(1+'Invoer gegevens'!$C$39)^D39)+BF39+BG39</f>
        <v>0</v>
      </c>
      <c r="BI39" s="59"/>
    </row>
    <row r="40" spans="1:61" x14ac:dyDescent="0.25">
      <c r="A40" s="59"/>
      <c r="B40" s="70">
        <f t="shared" ref="B40:B61" si="15">B39+1</f>
        <v>4</v>
      </c>
      <c r="C40" s="67">
        <f ca="1">IF(AND(E40&gt;='Invoer gegevens'!$C$17,E40&lt;'Invoer gegevens'!$C$17+15),1,0)</f>
        <v>1</v>
      </c>
      <c r="D40" s="68">
        <f t="shared" ref="D40:D61" si="16">D39+1</f>
        <v>3.5</v>
      </c>
      <c r="E40" s="69">
        <f ca="1">IF('Invoer gegevens'!$C$16="","",E39+1)</f>
        <v>2022</v>
      </c>
      <c r="F40" s="84">
        <f ca="1">IF('Invoer gegevens'!$C$17=E40,'Invoer gegevens'!$C$10,IF(C40=1,K39,0))</f>
        <v>0</v>
      </c>
      <c r="G40" s="96">
        <f ca="1">IF(E40='Invoer gegevens'!$C$17+15,K39,IF(C40&gt;=1,F40*VLOOKUP(E40,Reeksen!$A$5:$B$76,2),0))</f>
        <v>0</v>
      </c>
      <c r="H40" s="84">
        <f ca="1">IF(E40='Invoer gegevens'!$C$17+15,K39,(1-('Invoer gegevens'!$F$20/12))*F40*MIN(Reeksen!B8,Reeksen!D8))</f>
        <v>0</v>
      </c>
      <c r="I40" s="84">
        <f>IF(Reeksen!D8&lt;Reeksen!B8,(Reeksen!B8-Reeksen!D8)*F40,0)</f>
        <v>0</v>
      </c>
      <c r="J40" s="84">
        <f ca="1">IF(E40='Invoer gegevens'!$C$17+16,0,('Invoer gegevens'!$F$20/12)*F39*MIN(Reeksen!B7,Reeksen!D7))</f>
        <v>0</v>
      </c>
      <c r="K40" s="97">
        <f ca="1">IF(E40&gt;='Invoer gegevens'!$C$17+15,0,F40-G40)</f>
        <v>0</v>
      </c>
      <c r="L40" s="84">
        <f ca="1">IF('Invoer gegevens'!$C$17=E40,0,IF(C40=1,Q39,0))</f>
        <v>0</v>
      </c>
      <c r="M40" s="96">
        <f ca="1">IF(E40='Invoer gegevens'!$C$17+15,Q39,IF(C40&gt;=1,L40*VLOOKUP(E40,Reeksen!$A$5:$B$76,2),0))</f>
        <v>0</v>
      </c>
      <c r="N40" s="84">
        <f ca="1">IF(C40='Invoer gegevens'!$C$17+15,Q39,(1-('Invoer gegevens'!$F$20/12))*L40*MIN(Reeksen!B8,Reeksen!D8))</f>
        <v>0</v>
      </c>
      <c r="O40" s="84">
        <f>IF(Reeksen!D8&lt;Reeksen!B8,(Reeksen!B8-Reeksen!D8)*L40,0)</f>
        <v>0</v>
      </c>
      <c r="P40" s="84">
        <f ca="1">IF(E40='Invoer gegevens'!$C$17+16,0,('Invoer gegevens'!$F$20/12)*L39*MIN(Reeksen!B7,Reeksen!D7))</f>
        <v>0</v>
      </c>
      <c r="Q40" s="84">
        <f ca="1">IF(E40&gt;='Invoer gegevens'!$C$17+15,0,L40-M40+I40+O40)</f>
        <v>0</v>
      </c>
      <c r="R40" s="82">
        <f ca="1">IF('Invoer gegevens'!$C$17=E40,'Invoer gegevens'!$C$11,IF(C40=1,W39,0))</f>
        <v>0</v>
      </c>
      <c r="S40" s="86">
        <f ca="1">IF(E40='Invoer gegevens'!$C$17+15,W39,IF(C40&gt;=1,R40*VLOOKUP(E40,Reeksen!$A$5:$B$76,2),0))</f>
        <v>0</v>
      </c>
      <c r="T40" s="84">
        <f ca="1">IF(E40='Invoer gegevens'!$C$17+15,W39,(1-('Invoer gegevens'!$F$20/12))*R40*MIN(Reeksen!B8,Reeksen!D8))</f>
        <v>0</v>
      </c>
      <c r="U40" s="84">
        <f>IF(Reeksen!D8&gt;=Reeksen!B8,0,IF(Reeksen!AD8&lt;=Reeksen!AE8,(Reeksen!B8-Reeksen!D8)*R40,0))</f>
        <v>0</v>
      </c>
      <c r="V40" s="86">
        <f>IF(Reeksen!D8&gt;=Reeksen!B8,0,IF(Reeksen!AD8&gt;Reeksen!AE8,(Reeksen!B8-Reeksen!D8)*R40,0))</f>
        <v>0</v>
      </c>
      <c r="W40" s="97">
        <f ca="1">IF(E40&gt;='Invoer gegevens'!$C$17+15,0,R40-S40)</f>
        <v>0</v>
      </c>
      <c r="X40" s="98">
        <f ca="1">IF('Invoer gegevens'!$C$17=E40,'Invoer gegevens'!$C$10-'Invoer gegevens'!$C$11,IF(C40=1,AC39,0))</f>
        <v>0</v>
      </c>
      <c r="Y40" s="98">
        <f ca="1">IF(E40='Invoer gegevens'!$C$17+15,AC39,IF(C40&gt;=1,X40*VLOOKUP(E40,Reeksen!$A$5:$B$76,2),0))</f>
        <v>0</v>
      </c>
      <c r="Z40" s="98">
        <f ca="1">IF(E40='Invoer gegevens'!$C$17+15,AC39,(1-('Invoer gegevens'!$F$20/12))*X40*MIN(Reeksen!B8,Reeksen!D8))</f>
        <v>0</v>
      </c>
      <c r="AA40" s="98">
        <f>IF(Reeksen!D8&gt;=Reeksen!B8,0,IF(Reeksen!AD8&lt;=Reeksen!AE8,(Reeksen!B8-Reeksen!D8)*X40,0))</f>
        <v>0</v>
      </c>
      <c r="AB40" s="98">
        <f>IF(Reeksen!D8&gt;=Reeksen!B8,0,IF(Reeksen!AD8&gt;Reeksen!AE8,(Reeksen!B8-Reeksen!D8)*X40,0))</f>
        <v>0</v>
      </c>
      <c r="AC40" s="99">
        <f ca="1">IF(E40&gt;='Invoer gegevens'!$C$17+15,0,X40-Y40)</f>
        <v>0</v>
      </c>
      <c r="AD40" s="98">
        <f ca="1">IF('Invoer gegevens'!$C$17=E8,R40,IF(C8=0,0,AE39))</f>
        <v>0</v>
      </c>
      <c r="AE40" s="98">
        <f t="shared" ca="1" si="9"/>
        <v>0</v>
      </c>
      <c r="AF40" s="98">
        <f ca="1">IF('Invoer gegevens'!$C$17=E8,X40,IF(C8=0,0,AG39))</f>
        <v>0</v>
      </c>
      <c r="AG40" s="98">
        <f t="shared" ca="1" si="10"/>
        <v>0</v>
      </c>
      <c r="AH40" s="66"/>
      <c r="AI40" s="71">
        <f ca="1">IF(C40=1,Reeksen!AI8*((F40-G40+F40)/2)*12+Reeksen!AD8*((L40-M40+L40)/2)*12,0)</f>
        <v>0</v>
      </c>
      <c r="AJ40" s="71">
        <f ca="1">-AI40*'Invoer gegevens'!$F$28</f>
        <v>0</v>
      </c>
      <c r="AK40" s="71">
        <f t="shared" ca="1" si="11"/>
        <v>0</v>
      </c>
      <c r="AL40" s="71">
        <f ca="1">IF(C40=1,Reeksen!AL8*((F40-G40+F40)/2)*12+Reeksen!AM8*((L40-M40+L40)/2)*12,0)</f>
        <v>0</v>
      </c>
      <c r="AM40" s="71">
        <f ca="1">-AL40*'Invoer gegevens'!$F$31</f>
        <v>0</v>
      </c>
      <c r="AN40" s="71">
        <f t="shared" ca="1" si="12"/>
        <v>0</v>
      </c>
      <c r="AO40" s="71">
        <f ca="1">IF(E40&gt;='Invoer gegevens'!$C$17+15,0,IF(C40=1,(H40+J40+N40+P40)*Reeksen!AN8,0))</f>
        <v>0</v>
      </c>
      <c r="AP40" s="71">
        <f ca="1">-IF(C40=1,(H40+J40+N40+P40)*'Hulp - basis'!$G$550*Reeksen!H8,0)</f>
        <v>0</v>
      </c>
      <c r="AQ40" s="71">
        <f ca="1">-IF(C40=1,(F40+K40+L40+Q40)/2*'Invoer gegevens'!$F$35*Reeksen!J8,0)</f>
        <v>0</v>
      </c>
      <c r="AR40" s="71"/>
      <c r="AS40" s="71">
        <f ca="1">-IF(C40=1,(F40+K40+L40+Q40)/2*'Invoer gegevens'!$F$37*Reeksen!L8,0)</f>
        <v>0</v>
      </c>
      <c r="AT40" s="71">
        <f>IF(Dashboard!$C$20&gt;10,-IF(C40=1,IF(E40='Invoer gegevens'!$C$17,'Invoer gegevens'!$C$11,AD40)*Reeksen!S8*'Invoer gegevens'!$C$18*Reeksen!P8,0),0)</f>
        <v>0</v>
      </c>
      <c r="AU40" s="71">
        <f ca="1">-IF(C40=1,(F40+K40+L40+Q40)/2*'Invoer gegevens'!$F$38*Reeksen!H8,0)</f>
        <v>0</v>
      </c>
      <c r="AV40" s="71">
        <f>IF('Invoer gegevens'!$C$3="Basis",0,#REF!)</f>
        <v>0</v>
      </c>
      <c r="AW40" s="71">
        <f t="shared" ca="1" si="13"/>
        <v>0</v>
      </c>
      <c r="AX40" s="72">
        <f ca="1">IF(E40='Invoer gegevens'!$C$17+14,'RW - MW - UP'!$AY$236,0)</f>
        <v>0</v>
      </c>
      <c r="AY40" s="72">
        <f ca="1">IFERROR(IF(E40='Invoer gegevens'!$C$17,-'Invoer gegevens'!$C$10*('Invoer gegevens'!$C$30+'Invoer gegevens'!$C$31)*Reeksen!H8,0),0)</f>
        <v>0</v>
      </c>
      <c r="AZ40" s="73">
        <f ca="1">IF('Invoer gegevens'!$C$34=E40,'Invoer gegevens'!$C$27*'Invoer gegevens'!$C$10*'Invoer gegevens'!$C$36*(IF('Invoer gegevens'!$C$35="ja",1,Reeksen!J8)),IF('Invoer gegevens'!$C$34+1=E40,'Invoer gegevens'!$C$27*'Invoer gegevens'!$C$10*'Invoer gegevens'!$C$37*(IF('Invoer gegevens'!$C$35="ja",1,Reeksen!J8)),0))+IF(AND(E40='Invoer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0" s="73">
        <f ca="1">AW40/(1+'Invoer gegevens'!$F$18)^($D40-('Invoer gegevens'!$C$17-'Invoer gegevens'!$C$16))/(1+'Invoer gegevens'!$C$39)^('Invoer gegevens'!$C$17-'Invoer gegevens'!$C$16)</f>
        <v>0</v>
      </c>
      <c r="BB40" s="73">
        <f ca="1">AX40/(1+'Invoer gegevens'!$F$18)^(E40-('Invoer gegevens'!$C$17-1))/(1+'Invoer gegevens'!$C$39)^('Invoer gegevens'!$C$17-'Invoer gegevens'!$C$16)</f>
        <v>0</v>
      </c>
      <c r="BC40" s="73">
        <f ca="1">AY40/(1+'Invoer gegevens'!$C$39)^('Invoer gegevens'!$C$17-'Invoer gegevens'!$C$16)</f>
        <v>0</v>
      </c>
      <c r="BD40" s="72">
        <f t="shared" ca="1" si="14"/>
        <v>0</v>
      </c>
      <c r="BE40" s="72">
        <f ca="1">IF(AND(E40='Invoer gegevens'!$C$16,'Invoer gegevens'!$C$34&lt;'Invoer gegevens'!$C$16),AZ40,AZ40/(1+'Invoer gegevens'!$C$39)^D40)</f>
        <v>0</v>
      </c>
      <c r="BF40" s="72">
        <f ca="1">IF(E40='Invoer gegevens'!$C$34,-'Invoer gegevens'!$F$40,0)</f>
        <v>0</v>
      </c>
      <c r="BG40" s="72">
        <f ca="1">IF(E40='Invoer gegevens'!$C$17,-'Invoer gegevens'!$C$19*$BD$63,0)</f>
        <v>0</v>
      </c>
      <c r="BH40" s="72">
        <f ca="1">AW40/(1+$BH$36)^($D40-('Invoer gegevens'!$C$17-'Invoer gegevens'!$C$16))/(1+'Invoer gegevens'!$C$39)^('Invoer gegevens'!$C$17-'Invoer gegevens'!$C$16)+AX40/(1+$BH$36)^(E40-('Invoer gegevens'!$C$17-1))/(1+'Invoer gegevens'!$C$39)^('Invoer gegevens'!$C$17-'Invoer gegevens'!$C$16)+AY40/(1+'Invoer gegevens'!$C$39)^('Invoer gegevens'!$C$17-'Invoer gegevens'!$C$16)+(-AZ40/(1+'Invoer gegevens'!$C$39)^D40)+BF40+BG40</f>
        <v>0</v>
      </c>
      <c r="BI40" s="59"/>
    </row>
    <row r="41" spans="1:61" x14ac:dyDescent="0.25">
      <c r="A41" s="59"/>
      <c r="B41" s="70">
        <f t="shared" si="15"/>
        <v>5</v>
      </c>
      <c r="C41" s="67">
        <f ca="1">IF(AND(E41&gt;='Invoer gegevens'!$C$17,E41&lt;'Invoer gegevens'!$C$17+15),1,0)</f>
        <v>1</v>
      </c>
      <c r="D41" s="68">
        <f t="shared" si="16"/>
        <v>4.5</v>
      </c>
      <c r="E41" s="69">
        <f ca="1">IF('Invoer gegevens'!$C$16="","",E40+1)</f>
        <v>2023</v>
      </c>
      <c r="F41" s="84">
        <f ca="1">IF('Invoer gegevens'!$C$17=E41,'Invoer gegevens'!$C$10,IF(C41=1,K40,0))</f>
        <v>0</v>
      </c>
      <c r="G41" s="96">
        <f ca="1">IF(E41='Invoer gegevens'!$C$17+15,K40,IF(C41&gt;=1,F41*VLOOKUP(E41,Reeksen!$A$5:$B$76,2),0))</f>
        <v>0</v>
      </c>
      <c r="H41" s="84">
        <f ca="1">IF(E41='Invoer gegevens'!$C$17+15,K40,(1-('Invoer gegevens'!$F$20/12))*F41*MIN(Reeksen!B9,Reeksen!D9))</f>
        <v>0</v>
      </c>
      <c r="I41" s="84">
        <f>IF(Reeksen!D9&lt;Reeksen!B9,(Reeksen!B9-Reeksen!D9)*F41,0)</f>
        <v>0</v>
      </c>
      <c r="J41" s="84">
        <f ca="1">IF(E41='Invoer gegevens'!$C$17+16,0,('Invoer gegevens'!$F$20/12)*F40*MIN(Reeksen!B8,Reeksen!D8))</f>
        <v>0</v>
      </c>
      <c r="K41" s="97">
        <f ca="1">IF(E41&gt;='Invoer gegevens'!$C$17+15,0,F41-G41)</f>
        <v>0</v>
      </c>
      <c r="L41" s="84">
        <f ca="1">IF('Invoer gegevens'!$C$17=E41,0,IF(C41=1,Q40,0))</f>
        <v>0</v>
      </c>
      <c r="M41" s="96">
        <f ca="1">IF(E41='Invoer gegevens'!$C$17+15,Q40,IF(C41&gt;=1,L41*VLOOKUP(E41,Reeksen!$A$5:$B$76,2),0))</f>
        <v>0</v>
      </c>
      <c r="N41" s="84">
        <f ca="1">IF(C41='Invoer gegevens'!$C$17+15,Q40,(1-('Invoer gegevens'!$F$20/12))*L41*MIN(Reeksen!B9,Reeksen!D9))</f>
        <v>0</v>
      </c>
      <c r="O41" s="84">
        <f>IF(Reeksen!D9&lt;Reeksen!B9,(Reeksen!B9-Reeksen!D9)*L41,0)</f>
        <v>0</v>
      </c>
      <c r="P41" s="84">
        <f ca="1">IF(E41='Invoer gegevens'!$C$17+16,0,('Invoer gegevens'!$F$20/12)*L40*MIN(Reeksen!B8,Reeksen!D8))</f>
        <v>0</v>
      </c>
      <c r="Q41" s="84">
        <f ca="1">IF(E41&gt;='Invoer gegevens'!$C$17+15,0,L41-M41+I41+O41)</f>
        <v>0</v>
      </c>
      <c r="R41" s="82">
        <f ca="1">IF('Invoer gegevens'!$C$17=E41,'Invoer gegevens'!$C$11,IF(C41=1,W40,0))</f>
        <v>0</v>
      </c>
      <c r="S41" s="86">
        <f ca="1">IF(E41='Invoer gegevens'!$C$17+15,W40,IF(C41&gt;=1,R41*VLOOKUP(E41,Reeksen!$A$5:$B$76,2),0))</f>
        <v>0</v>
      </c>
      <c r="T41" s="84">
        <f ca="1">IF(E41='Invoer gegevens'!$C$17+15,W40,(1-('Invoer gegevens'!$F$20/12))*R41*MIN(Reeksen!B9,Reeksen!D9))</f>
        <v>0</v>
      </c>
      <c r="U41" s="84">
        <f>IF(Reeksen!D9&gt;=Reeksen!B9,0,IF(Reeksen!AD9&lt;=Reeksen!AE9,(Reeksen!B9-Reeksen!D9)*R41,0))</f>
        <v>0</v>
      </c>
      <c r="V41" s="86">
        <f>IF(Reeksen!D9&gt;=Reeksen!B9,0,IF(Reeksen!AD9&gt;Reeksen!AE9,(Reeksen!B9-Reeksen!D9)*R41,0))</f>
        <v>0</v>
      </c>
      <c r="W41" s="97">
        <f ca="1">IF(E41&gt;='Invoer gegevens'!$C$17+15,0,R41-S41)</f>
        <v>0</v>
      </c>
      <c r="X41" s="98">
        <f ca="1">IF('Invoer gegevens'!$C$17=E41,'Invoer gegevens'!$C$10-'Invoer gegevens'!$C$11,IF(C41=1,AC40,0))</f>
        <v>0</v>
      </c>
      <c r="Y41" s="98">
        <f ca="1">IF(E41='Invoer gegevens'!$C$17+15,AC40,IF(C41&gt;=1,X41*VLOOKUP(E41,Reeksen!$A$5:$B$76,2),0))</f>
        <v>0</v>
      </c>
      <c r="Z41" s="98">
        <f ca="1">IF(E41='Invoer gegevens'!$C$17+15,AC40,(1-('Invoer gegevens'!$F$20/12))*X41*MIN(Reeksen!B9,Reeksen!D9))</f>
        <v>0</v>
      </c>
      <c r="AA41" s="98">
        <f>IF(Reeksen!D9&gt;=Reeksen!B9,0,IF(Reeksen!AD9&lt;=Reeksen!AE9,(Reeksen!B9-Reeksen!D9)*X41,0))</f>
        <v>0</v>
      </c>
      <c r="AB41" s="98">
        <f>IF(Reeksen!D9&gt;=Reeksen!B9,0,IF(Reeksen!AD9&gt;Reeksen!AE9,(Reeksen!B9-Reeksen!D9)*X41,0))</f>
        <v>0</v>
      </c>
      <c r="AC41" s="99">
        <f ca="1">IF(E41&gt;='Invoer gegevens'!$C$17+15,0,X41-Y41)</f>
        <v>0</v>
      </c>
      <c r="AD41" s="98">
        <f ca="1">IF('Invoer gegevens'!$C$17=E9,R41,IF(C9=0,0,AE40))</f>
        <v>0</v>
      </c>
      <c r="AE41" s="98">
        <f t="shared" ca="1" si="9"/>
        <v>0</v>
      </c>
      <c r="AF41" s="98">
        <f ca="1">IF('Invoer gegevens'!$C$17=E9,X41,IF(C9=0,0,AG40))</f>
        <v>0</v>
      </c>
      <c r="AG41" s="98">
        <f t="shared" ca="1" si="10"/>
        <v>0</v>
      </c>
      <c r="AH41" s="66"/>
      <c r="AI41" s="71">
        <f ca="1">IF(C41=1,Reeksen!AI9*((F41-G41+F41)/2)*12+Reeksen!AD9*((L41-M41+L41)/2)*12,0)</f>
        <v>0</v>
      </c>
      <c r="AJ41" s="71">
        <f ca="1">-AI41*'Invoer gegevens'!$F$28</f>
        <v>0</v>
      </c>
      <c r="AK41" s="71">
        <f t="shared" ca="1" si="11"/>
        <v>0</v>
      </c>
      <c r="AL41" s="71">
        <f ca="1">IF(C41=1,Reeksen!AL9*((F41-G41+F41)/2)*12+Reeksen!AM9*((L41-M41+L41)/2)*12,0)</f>
        <v>0</v>
      </c>
      <c r="AM41" s="71">
        <f ca="1">-AL41*'Invoer gegevens'!$F$31</f>
        <v>0</v>
      </c>
      <c r="AN41" s="71">
        <f t="shared" ca="1" si="12"/>
        <v>0</v>
      </c>
      <c r="AO41" s="71">
        <f ca="1">IF(E41&gt;='Invoer gegevens'!$C$17+15,0,IF(C41=1,(H41+J41+N41+P41)*Reeksen!AN9,0))</f>
        <v>0</v>
      </c>
      <c r="AP41" s="71">
        <f ca="1">-IF(C41=1,(H41+J41+N41+P41)*'Hulp - basis'!$G$550*Reeksen!H9,0)</f>
        <v>0</v>
      </c>
      <c r="AQ41" s="71">
        <f ca="1">-IF(C41=1,(F41+K41+L41+Q41)/2*'Invoer gegevens'!$F$35*Reeksen!J9,0)</f>
        <v>0</v>
      </c>
      <c r="AR41" s="71"/>
      <c r="AS41" s="71">
        <f ca="1">-IF(C41=1,(F41+K41+L41+Q41)/2*'Invoer gegevens'!$F$37*Reeksen!L9,0)</f>
        <v>0</v>
      </c>
      <c r="AT41" s="71">
        <f>IF(Dashboard!$C$20&gt;10,-IF(C41=1,IF(E41='Invoer gegevens'!$C$17,'Invoer gegevens'!$C$11,AD41)*Reeksen!S9*'Invoer gegevens'!$C$18*Reeksen!P9,0),0)</f>
        <v>0</v>
      </c>
      <c r="AU41" s="71">
        <f ca="1">-IF(C41=1,(F41+K41+L41+Q41)/2*'Invoer gegevens'!$F$38*Reeksen!H9,0)</f>
        <v>0</v>
      </c>
      <c r="AV41" s="71">
        <f>IF('Invoer gegevens'!$C$3="Basis",0,#REF!)</f>
        <v>0</v>
      </c>
      <c r="AW41" s="71">
        <f t="shared" ca="1" si="13"/>
        <v>0</v>
      </c>
      <c r="AX41" s="72">
        <f ca="1">IF(E41='Invoer gegevens'!$C$17+14,'RW - MW - UP'!$AY$236,0)</f>
        <v>0</v>
      </c>
      <c r="AY41" s="72">
        <f ca="1">IFERROR(IF(E41='Invoer gegevens'!$C$17,-'Invoer gegevens'!$C$10*('Invoer gegevens'!$C$30+'Invoer gegevens'!$C$31)*Reeksen!H9,0),0)</f>
        <v>0</v>
      </c>
      <c r="AZ41" s="73">
        <f ca="1">IF('Invoer gegevens'!$C$34=E41,'Invoer gegevens'!$C$27*'Invoer gegevens'!$C$10*'Invoer gegevens'!$C$36*(IF('Invoer gegevens'!$C$35="ja",1,Reeksen!J9)),IF('Invoer gegevens'!$C$34+1=E41,'Invoer gegevens'!$C$27*'Invoer gegevens'!$C$10*'Invoer gegevens'!$C$37*(IF('Invoer gegevens'!$C$35="ja",1,Reeksen!J9)),0))+IF(AND(E41='Invoer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1" s="73">
        <f ca="1">AW41/(1+'Invoer gegevens'!$F$18)^($D41-('Invoer gegevens'!$C$17-'Invoer gegevens'!$C$16))/(1+'Invoer gegevens'!$C$39)^('Invoer gegevens'!$C$17-'Invoer gegevens'!$C$16)</f>
        <v>0</v>
      </c>
      <c r="BB41" s="73">
        <f ca="1">AX41/(1+'Invoer gegevens'!$F$18)^(E41-('Invoer gegevens'!$C$17-1))/(1+'Invoer gegevens'!$C$39)^('Invoer gegevens'!$C$17-'Invoer gegevens'!$C$16)</f>
        <v>0</v>
      </c>
      <c r="BC41" s="73">
        <f ca="1">AY41/(1+'Invoer gegevens'!$C$39)^('Invoer gegevens'!$C$17-'Invoer gegevens'!$C$16)</f>
        <v>0</v>
      </c>
      <c r="BD41" s="72">
        <f t="shared" ca="1" si="14"/>
        <v>0</v>
      </c>
      <c r="BE41" s="72">
        <f ca="1">IF(AND(E41='Invoer gegevens'!$C$16,'Invoer gegevens'!$C$34&lt;'Invoer gegevens'!$C$16),AZ41,AZ41/(1+'Invoer gegevens'!$C$39)^D41)</f>
        <v>0</v>
      </c>
      <c r="BF41" s="72">
        <f ca="1">IF(E41='Invoer gegevens'!$C$34,-'Invoer gegevens'!$F$40,0)</f>
        <v>0</v>
      </c>
      <c r="BG41" s="72">
        <f ca="1">IF(E41='Invoer gegevens'!$C$17,-'Invoer gegevens'!$C$19*$BD$63,0)</f>
        <v>0</v>
      </c>
      <c r="BH41" s="72">
        <f ca="1">AW41/(1+$BH$36)^($D41-('Invoer gegevens'!$C$17-'Invoer gegevens'!$C$16))/(1+'Invoer gegevens'!$C$39)^('Invoer gegevens'!$C$17-'Invoer gegevens'!$C$16)+AX41/(1+$BH$36)^(E41-('Invoer gegevens'!$C$17-1))/(1+'Invoer gegevens'!$C$39)^('Invoer gegevens'!$C$17-'Invoer gegevens'!$C$16)+AY41/(1+'Invoer gegevens'!$C$39)^('Invoer gegevens'!$C$17-'Invoer gegevens'!$C$16)+(-AZ41/(1+'Invoer gegevens'!$C$39)^D41)+BF41+BG41</f>
        <v>0</v>
      </c>
      <c r="BI41" s="59"/>
    </row>
    <row r="42" spans="1:61" x14ac:dyDescent="0.25">
      <c r="A42" s="59"/>
      <c r="B42" s="70">
        <f t="shared" si="15"/>
        <v>6</v>
      </c>
      <c r="C42" s="67">
        <f ca="1">IF(AND(E42&gt;='Invoer gegevens'!$C$17,E42&lt;'Invoer gegevens'!$C$17+15),1,0)</f>
        <v>1</v>
      </c>
      <c r="D42" s="68">
        <f t="shared" si="16"/>
        <v>5.5</v>
      </c>
      <c r="E42" s="69">
        <f ca="1">IF('Invoer gegevens'!$C$16="","",E41+1)</f>
        <v>2024</v>
      </c>
      <c r="F42" s="84">
        <f ca="1">IF('Invoer gegevens'!$C$17=E42,'Invoer gegevens'!$C$10,IF(C42=1,K41,0))</f>
        <v>0</v>
      </c>
      <c r="G42" s="96">
        <f ca="1">IF(E42='Invoer gegevens'!$C$17+15,K41,IF(C42&gt;=1,F42*VLOOKUP(E42,Reeksen!$A$5:$B$76,2),0))</f>
        <v>0</v>
      </c>
      <c r="H42" s="84">
        <f ca="1">IF(E42='Invoer gegevens'!$C$17+15,K41,(1-('Invoer gegevens'!$F$20/12))*F42*MIN(Reeksen!B10,Reeksen!D10))</f>
        <v>0</v>
      </c>
      <c r="I42" s="84">
        <f>IF(Reeksen!D10&lt;Reeksen!B10,(Reeksen!B10-Reeksen!D10)*F42,0)</f>
        <v>0</v>
      </c>
      <c r="J42" s="84">
        <f ca="1">IF(E42='Invoer gegevens'!$C$17+16,0,('Invoer gegevens'!$F$20/12)*F41*MIN(Reeksen!B9,Reeksen!D9))</f>
        <v>0</v>
      </c>
      <c r="K42" s="97">
        <f ca="1">IF(E42&gt;='Invoer gegevens'!$C$17+15,0,F42-G42)</f>
        <v>0</v>
      </c>
      <c r="L42" s="84">
        <f ca="1">IF('Invoer gegevens'!$C$17=E42,0,IF(C42=1,Q41,0))</f>
        <v>0</v>
      </c>
      <c r="M42" s="96">
        <f ca="1">IF(E42='Invoer gegevens'!$C$17+15,Q41,IF(C42&gt;=1,L42*VLOOKUP(E42,Reeksen!$A$5:$B$76,2),0))</f>
        <v>0</v>
      </c>
      <c r="N42" s="84">
        <f ca="1">IF(C42='Invoer gegevens'!$C$17+15,Q41,(1-('Invoer gegevens'!$F$20/12))*L42*MIN(Reeksen!B10,Reeksen!D10))</f>
        <v>0</v>
      </c>
      <c r="O42" s="84">
        <f>IF(Reeksen!D10&lt;Reeksen!B10,(Reeksen!B10-Reeksen!D10)*L42,0)</f>
        <v>0</v>
      </c>
      <c r="P42" s="84">
        <f ca="1">IF(E42='Invoer gegevens'!$C$17+16,0,('Invoer gegevens'!$F$20/12)*L41*MIN(Reeksen!B9,Reeksen!D9))</f>
        <v>0</v>
      </c>
      <c r="Q42" s="84">
        <f ca="1">IF(E42&gt;='Invoer gegevens'!$C$17+15,0,L42-M42+I42+O42)</f>
        <v>0</v>
      </c>
      <c r="R42" s="82">
        <f ca="1">IF('Invoer gegevens'!$C$17=E42,'Invoer gegevens'!$C$11,IF(C42=1,W41,0))</f>
        <v>0</v>
      </c>
      <c r="S42" s="86">
        <f ca="1">IF(E42='Invoer gegevens'!$C$17+15,W41,IF(C42&gt;=1,R42*VLOOKUP(E42,Reeksen!$A$5:$B$76,2),0))</f>
        <v>0</v>
      </c>
      <c r="T42" s="84">
        <f ca="1">IF(E42='Invoer gegevens'!$C$17+15,W41,(1-('Invoer gegevens'!$F$20/12))*R42*MIN(Reeksen!B10,Reeksen!D10))</f>
        <v>0</v>
      </c>
      <c r="U42" s="84">
        <f>IF(Reeksen!D10&gt;=Reeksen!B10,0,IF(Reeksen!AD10&lt;=Reeksen!AE10,(Reeksen!B10-Reeksen!D10)*R42,0))</f>
        <v>0</v>
      </c>
      <c r="V42" s="86">
        <f>IF(Reeksen!D10&gt;=Reeksen!B10,0,IF(Reeksen!AD10&gt;Reeksen!AE10,(Reeksen!B10-Reeksen!D10)*R42,0))</f>
        <v>0</v>
      </c>
      <c r="W42" s="97">
        <f ca="1">IF(E42&gt;='Invoer gegevens'!$C$17+15,0,R42-S42)</f>
        <v>0</v>
      </c>
      <c r="X42" s="98">
        <f ca="1">IF('Invoer gegevens'!$C$17=E42,'Invoer gegevens'!$C$10-'Invoer gegevens'!$C$11,IF(C42=1,AC41,0))</f>
        <v>0</v>
      </c>
      <c r="Y42" s="98">
        <f ca="1">IF(E42='Invoer gegevens'!$C$17+15,AC41,IF(C42&gt;=1,X42*VLOOKUP(E42,Reeksen!$A$5:$B$76,2),0))</f>
        <v>0</v>
      </c>
      <c r="Z42" s="98">
        <f ca="1">IF(E42='Invoer gegevens'!$C$17+15,AC41,(1-('Invoer gegevens'!$F$20/12))*X42*MIN(Reeksen!B10,Reeksen!D10))</f>
        <v>0</v>
      </c>
      <c r="AA42" s="98">
        <f>IF(Reeksen!D10&gt;=Reeksen!B10,0,IF(Reeksen!AD10&lt;=Reeksen!AE10,(Reeksen!B10-Reeksen!D10)*X42,0))</f>
        <v>0</v>
      </c>
      <c r="AB42" s="98">
        <f>IF(Reeksen!D10&gt;=Reeksen!B10,0,IF(Reeksen!AD10&gt;Reeksen!AE10,(Reeksen!B10-Reeksen!D10)*X42,0))</f>
        <v>0</v>
      </c>
      <c r="AC42" s="99">
        <f ca="1">IF(E42&gt;='Invoer gegevens'!$C$17+15,0,X42-Y42)</f>
        <v>0</v>
      </c>
      <c r="AD42" s="98">
        <f ca="1">IF('Invoer gegevens'!$C$17=E10,R42,IF(C10=0,0,AE41))</f>
        <v>0</v>
      </c>
      <c r="AE42" s="98">
        <f t="shared" ca="1" si="9"/>
        <v>0</v>
      </c>
      <c r="AF42" s="98">
        <f ca="1">IF('Invoer gegevens'!$C$17=E10,X42,IF(C10=0,0,AG41))</f>
        <v>0</v>
      </c>
      <c r="AG42" s="98">
        <f t="shared" ca="1" si="10"/>
        <v>0</v>
      </c>
      <c r="AH42" s="66"/>
      <c r="AI42" s="71">
        <f ca="1">IF(C42=1,Reeksen!AI10*((F42-G42+F42)/2)*12+Reeksen!AD10*((L42-M42+L42)/2)*12,0)</f>
        <v>0</v>
      </c>
      <c r="AJ42" s="71">
        <f ca="1">-AI42*'Invoer gegevens'!$F$28</f>
        <v>0</v>
      </c>
      <c r="AK42" s="71">
        <f t="shared" ca="1" si="11"/>
        <v>0</v>
      </c>
      <c r="AL42" s="71">
        <f ca="1">IF(C42=1,Reeksen!AL10*((F42-G42+F42)/2)*12+Reeksen!AM10*((L42-M42+L42)/2)*12,0)</f>
        <v>0</v>
      </c>
      <c r="AM42" s="71">
        <f ca="1">-AL42*'Invoer gegevens'!$F$31</f>
        <v>0</v>
      </c>
      <c r="AN42" s="71">
        <f t="shared" ca="1" si="12"/>
        <v>0</v>
      </c>
      <c r="AO42" s="71">
        <f ca="1">IF(E42&gt;='Invoer gegevens'!$C$17+15,0,IF(C42=1,(H42+J42+N42+P42)*Reeksen!AN10,0))</f>
        <v>0</v>
      </c>
      <c r="AP42" s="71">
        <f ca="1">-IF(C42=1,(H42+J42+N42+P42)*'Hulp - basis'!$G$550*Reeksen!H10,0)</f>
        <v>0</v>
      </c>
      <c r="AQ42" s="71">
        <f ca="1">-IF(C42=1,(F42+K42+L42+Q42)/2*'Invoer gegevens'!$F$35*Reeksen!J10,0)</f>
        <v>0</v>
      </c>
      <c r="AR42" s="71"/>
      <c r="AS42" s="71">
        <f ca="1">-IF(C42=1,(F42+K42+L42+Q42)/2*'Invoer gegevens'!$F$37*Reeksen!L10,0)</f>
        <v>0</v>
      </c>
      <c r="AT42" s="71">
        <f>IF(Dashboard!$C$20&gt;10,-IF(C42=1,IF(E42='Invoer gegevens'!$C$17,'Invoer gegevens'!$C$11,AD42)*Reeksen!S10*'Invoer gegevens'!$C$18*Reeksen!P10,0),0)</f>
        <v>0</v>
      </c>
      <c r="AU42" s="71">
        <f ca="1">-IF(C42=1,(F42+K42+L42+Q42)/2*'Invoer gegevens'!$F$38*Reeksen!H10,0)</f>
        <v>0</v>
      </c>
      <c r="AV42" s="71">
        <f>IF('Invoer gegevens'!$C$3="Basis",0,#REF!)</f>
        <v>0</v>
      </c>
      <c r="AW42" s="71">
        <f t="shared" ca="1" si="13"/>
        <v>0</v>
      </c>
      <c r="AX42" s="72">
        <f ca="1">IF(E42='Invoer gegevens'!$C$17+14,'RW - MW - UP'!$AY$236,0)</f>
        <v>0</v>
      </c>
      <c r="AY42" s="72">
        <f ca="1">IFERROR(IF(E42='Invoer gegevens'!$C$17,-'Invoer gegevens'!$C$10*('Invoer gegevens'!$C$30+'Invoer gegevens'!$C$31)*Reeksen!H10,0),0)</f>
        <v>0</v>
      </c>
      <c r="AZ42" s="73">
        <f ca="1">IF('Invoer gegevens'!$C$34=E42,'Invoer gegevens'!$C$27*'Invoer gegevens'!$C$10*'Invoer gegevens'!$C$36*(IF('Invoer gegevens'!$C$35="ja",1,Reeksen!J10)),IF('Invoer gegevens'!$C$34+1=E42,'Invoer gegevens'!$C$27*'Invoer gegevens'!$C$10*'Invoer gegevens'!$C$37*(IF('Invoer gegevens'!$C$35="ja",1,Reeksen!J10)),0))+IF(AND(E42='Invoer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2" s="73">
        <f ca="1">AW42/(1+'Invoer gegevens'!$F$18)^($D42-('Invoer gegevens'!$C$17-'Invoer gegevens'!$C$16))/(1+'Invoer gegevens'!$C$39)^('Invoer gegevens'!$C$17-'Invoer gegevens'!$C$16)</f>
        <v>0</v>
      </c>
      <c r="BB42" s="73">
        <f ca="1">AX42/(1+'Invoer gegevens'!$F$18)^(E42-('Invoer gegevens'!$C$17-1))/(1+'Invoer gegevens'!$C$39)^('Invoer gegevens'!$C$17-'Invoer gegevens'!$C$16)</f>
        <v>0</v>
      </c>
      <c r="BC42" s="73">
        <f ca="1">AY42/(1+'Invoer gegevens'!$C$39)^('Invoer gegevens'!$C$17-'Invoer gegevens'!$C$16)</f>
        <v>0</v>
      </c>
      <c r="BD42" s="72">
        <f t="shared" ca="1" si="14"/>
        <v>0</v>
      </c>
      <c r="BE42" s="72">
        <f ca="1">IF(AND(E42='Invoer gegevens'!$C$16,'Invoer gegevens'!$C$34&lt;'Invoer gegevens'!$C$16),AZ42,AZ42/(1+'Invoer gegevens'!$C$39)^D42)</f>
        <v>0</v>
      </c>
      <c r="BF42" s="72">
        <f ca="1">IF(E42='Invoer gegevens'!$C$34,-'Invoer gegevens'!$F$40,0)</f>
        <v>0</v>
      </c>
      <c r="BG42" s="72">
        <f ca="1">IF(E42='Invoer gegevens'!$C$17,-'Invoer gegevens'!$C$19*$BD$63,0)</f>
        <v>0</v>
      </c>
      <c r="BH42" s="72">
        <f ca="1">AW42/(1+$BH$36)^($D42-('Invoer gegevens'!$C$17-'Invoer gegevens'!$C$16))/(1+'Invoer gegevens'!$C$39)^('Invoer gegevens'!$C$17-'Invoer gegevens'!$C$16)+AX42/(1+$BH$36)^(E42-('Invoer gegevens'!$C$17-1))/(1+'Invoer gegevens'!$C$39)^('Invoer gegevens'!$C$17-'Invoer gegevens'!$C$16)+AY42/(1+'Invoer gegevens'!$C$39)^('Invoer gegevens'!$C$17-'Invoer gegevens'!$C$16)+(-AZ42/(1+'Invoer gegevens'!$C$39)^D42)+BF42+BG42</f>
        <v>0</v>
      </c>
      <c r="BI42" s="59"/>
    </row>
    <row r="43" spans="1:61" x14ac:dyDescent="0.25">
      <c r="A43" s="59"/>
      <c r="B43" s="70">
        <f t="shared" si="15"/>
        <v>7</v>
      </c>
      <c r="C43" s="67">
        <f ca="1">IF(AND(E43&gt;='Invoer gegevens'!$C$17,E43&lt;'Invoer gegevens'!$C$17+15),1,0)</f>
        <v>1</v>
      </c>
      <c r="D43" s="68">
        <f t="shared" si="16"/>
        <v>6.5</v>
      </c>
      <c r="E43" s="69">
        <f ca="1">IF('Invoer gegevens'!$C$16="","",E42+1)</f>
        <v>2025</v>
      </c>
      <c r="F43" s="84">
        <f ca="1">IF('Invoer gegevens'!$C$17=E43,'Invoer gegevens'!$C$10,IF(C43=1,K42,0))</f>
        <v>0</v>
      </c>
      <c r="G43" s="96">
        <f ca="1">IF(E43='Invoer gegevens'!$C$17+15,K42,IF(C43&gt;=1,F43*VLOOKUP(E43,Reeksen!$A$5:$B$76,2),0))</f>
        <v>0</v>
      </c>
      <c r="H43" s="84">
        <f ca="1">IF(E43='Invoer gegevens'!$C$17+15,K42,(1-('Invoer gegevens'!$F$20/12))*F43*MIN(Reeksen!B11,Reeksen!D11))</f>
        <v>0</v>
      </c>
      <c r="I43" s="84">
        <f>IF(Reeksen!D11&lt;Reeksen!B11,(Reeksen!B11-Reeksen!D11)*F43,0)</f>
        <v>0</v>
      </c>
      <c r="J43" s="84">
        <f ca="1">IF(E43='Invoer gegevens'!$C$17+16,0,('Invoer gegevens'!$F$20/12)*F42*MIN(Reeksen!B10,Reeksen!D10))</f>
        <v>0</v>
      </c>
      <c r="K43" s="97">
        <f ca="1">IF(E43&gt;='Invoer gegevens'!$C$17+15,0,F43-G43)</f>
        <v>0</v>
      </c>
      <c r="L43" s="84">
        <f ca="1">IF('Invoer gegevens'!$C$17=E43,0,IF(C43=1,Q42,0))</f>
        <v>0</v>
      </c>
      <c r="M43" s="96">
        <f ca="1">IF(E43='Invoer gegevens'!$C$17+15,Q42,IF(C43&gt;=1,L43*VLOOKUP(E43,Reeksen!$A$5:$B$76,2),0))</f>
        <v>0</v>
      </c>
      <c r="N43" s="84">
        <f ca="1">IF(C43='Invoer gegevens'!$C$17+15,Q42,(1-('Invoer gegevens'!$F$20/12))*L43*MIN(Reeksen!B11,Reeksen!D11))</f>
        <v>0</v>
      </c>
      <c r="O43" s="84">
        <f>IF(Reeksen!D11&lt;Reeksen!B11,(Reeksen!B11-Reeksen!D11)*L43,0)</f>
        <v>0</v>
      </c>
      <c r="P43" s="84">
        <f ca="1">IF(E43='Invoer gegevens'!$C$17+16,0,('Invoer gegevens'!$F$20/12)*L42*MIN(Reeksen!B10,Reeksen!D10))</f>
        <v>0</v>
      </c>
      <c r="Q43" s="84">
        <f ca="1">IF(E43&gt;='Invoer gegevens'!$C$17+15,0,L43-M43+I43+O43)</f>
        <v>0</v>
      </c>
      <c r="R43" s="82">
        <f ca="1">IF('Invoer gegevens'!$C$17=E43,'Invoer gegevens'!$C$11,IF(C43=1,W42,0))</f>
        <v>0</v>
      </c>
      <c r="S43" s="86">
        <f ca="1">IF(E43='Invoer gegevens'!$C$17+15,W42,IF(C43&gt;=1,R43*VLOOKUP(E43,Reeksen!$A$5:$B$76,2),0))</f>
        <v>0</v>
      </c>
      <c r="T43" s="84">
        <f ca="1">IF(E43='Invoer gegevens'!$C$17+15,W42,(1-('Invoer gegevens'!$F$20/12))*R43*MIN(Reeksen!B11,Reeksen!D11))</f>
        <v>0</v>
      </c>
      <c r="U43" s="84">
        <f>IF(Reeksen!D11&gt;=Reeksen!B11,0,IF(Reeksen!AD11&lt;=Reeksen!AE11,(Reeksen!B11-Reeksen!D11)*R43,0))</f>
        <v>0</v>
      </c>
      <c r="V43" s="86">
        <f>IF(Reeksen!D11&gt;=Reeksen!B11,0,IF(Reeksen!AD11&gt;Reeksen!AE11,(Reeksen!B11-Reeksen!D11)*R43,0))</f>
        <v>0</v>
      </c>
      <c r="W43" s="97">
        <f ca="1">IF(E43&gt;='Invoer gegevens'!$C$17+15,0,R43-S43)</f>
        <v>0</v>
      </c>
      <c r="X43" s="98">
        <f ca="1">IF('Invoer gegevens'!$C$17=E43,'Invoer gegevens'!$C$10-'Invoer gegevens'!$C$11,IF(C43=1,AC42,0))</f>
        <v>0</v>
      </c>
      <c r="Y43" s="98">
        <f ca="1">IF(E43='Invoer gegevens'!$C$17+15,AC42,IF(C43&gt;=1,X43*VLOOKUP(E43,Reeksen!$A$5:$B$76,2),0))</f>
        <v>0</v>
      </c>
      <c r="Z43" s="98">
        <f ca="1">IF(E43='Invoer gegevens'!$C$17+15,AC42,(1-('Invoer gegevens'!$F$20/12))*X43*MIN(Reeksen!B11,Reeksen!D11))</f>
        <v>0</v>
      </c>
      <c r="AA43" s="98">
        <f>IF(Reeksen!D11&gt;=Reeksen!B11,0,IF(Reeksen!AD11&lt;=Reeksen!AE11,(Reeksen!B11-Reeksen!D11)*X43,0))</f>
        <v>0</v>
      </c>
      <c r="AB43" s="98">
        <f>IF(Reeksen!D11&gt;=Reeksen!B11,0,IF(Reeksen!AD11&gt;Reeksen!AE11,(Reeksen!B11-Reeksen!D11)*X43,0))</f>
        <v>0</v>
      </c>
      <c r="AC43" s="99">
        <f ca="1">IF(E43&gt;='Invoer gegevens'!$C$17+15,0,X43-Y43)</f>
        <v>0</v>
      </c>
      <c r="AD43" s="98">
        <f ca="1">IF('Invoer gegevens'!$C$17=E11,R43,IF(C11=0,0,AE42))</f>
        <v>0</v>
      </c>
      <c r="AE43" s="98">
        <f t="shared" ca="1" si="9"/>
        <v>0</v>
      </c>
      <c r="AF43" s="98">
        <f ca="1">IF('Invoer gegevens'!$C$17=E11,X43,IF(C11=0,0,AG42))</f>
        <v>0</v>
      </c>
      <c r="AG43" s="98">
        <f t="shared" ca="1" si="10"/>
        <v>0</v>
      </c>
      <c r="AH43" s="66"/>
      <c r="AI43" s="71">
        <f ca="1">IF(C43=1,Reeksen!AI11*((F43-G43+F43)/2)*12+Reeksen!AD11*((L43-M43+L43)/2)*12,0)</f>
        <v>0</v>
      </c>
      <c r="AJ43" s="71">
        <f ca="1">-AI43*'Invoer gegevens'!$F$28</f>
        <v>0</v>
      </c>
      <c r="AK43" s="71">
        <f t="shared" ca="1" si="11"/>
        <v>0</v>
      </c>
      <c r="AL43" s="71">
        <f ca="1">IF(C43=1,Reeksen!AL11*((F43-G43+F43)/2)*12+Reeksen!AM11*((L43-M43+L43)/2)*12,0)</f>
        <v>0</v>
      </c>
      <c r="AM43" s="71">
        <f ca="1">-AL43*'Invoer gegevens'!$F$31</f>
        <v>0</v>
      </c>
      <c r="AN43" s="71">
        <f t="shared" ca="1" si="12"/>
        <v>0</v>
      </c>
      <c r="AO43" s="71">
        <f ca="1">IF(E43&gt;='Invoer gegevens'!$C$17+15,0,IF(C43=1,(H43+J43+N43+P43)*Reeksen!AN11,0))</f>
        <v>0</v>
      </c>
      <c r="AP43" s="71">
        <f ca="1">-IF(C43=1,(H43+J43+N43+P43)*'Hulp - basis'!$G$550*Reeksen!H11,0)</f>
        <v>0</v>
      </c>
      <c r="AQ43" s="71">
        <f ca="1">-IF(C43=1,(F43+K43+L43+Q43)/2*'Invoer gegevens'!$F$35*Reeksen!J11,0)</f>
        <v>0</v>
      </c>
      <c r="AR43" s="71"/>
      <c r="AS43" s="71">
        <f ca="1">-IF(C43=1,(F43+K43+L43+Q43)/2*'Invoer gegevens'!$F$37*Reeksen!L11,0)</f>
        <v>0</v>
      </c>
      <c r="AT43" s="71">
        <f>IF(Dashboard!$C$20&gt;10,-IF(C43=1,IF(E43='Invoer gegevens'!$C$17,'Invoer gegevens'!$C$11,AD43)*Reeksen!S11*'Invoer gegevens'!$C$18*Reeksen!P11,0),0)</f>
        <v>0</v>
      </c>
      <c r="AU43" s="71">
        <f ca="1">-IF(C43=1,(F43+K43+L43+Q43)/2*'Invoer gegevens'!$F$38*Reeksen!H11,0)</f>
        <v>0</v>
      </c>
      <c r="AV43" s="71">
        <f>IF('Invoer gegevens'!$C$3="Basis",0,#REF!)</f>
        <v>0</v>
      </c>
      <c r="AW43" s="71">
        <f t="shared" ca="1" si="13"/>
        <v>0</v>
      </c>
      <c r="AX43" s="72">
        <f ca="1">IF(E43='Invoer gegevens'!$C$17+14,'RW - MW - UP'!$AY$236,0)</f>
        <v>0</v>
      </c>
      <c r="AY43" s="72">
        <f ca="1">IFERROR(IF(E43='Invoer gegevens'!$C$17,-'Invoer gegevens'!$C$10*('Invoer gegevens'!$C$30+'Invoer gegevens'!$C$31)*Reeksen!H11,0),0)</f>
        <v>0</v>
      </c>
      <c r="AZ43" s="73">
        <f ca="1">IF('Invoer gegevens'!$C$34=E43,'Invoer gegevens'!$C$27*'Invoer gegevens'!$C$10*'Invoer gegevens'!$C$36*(IF('Invoer gegevens'!$C$35="ja",1,Reeksen!J11)),IF('Invoer gegevens'!$C$34+1=E43,'Invoer gegevens'!$C$27*'Invoer gegevens'!$C$10*'Invoer gegevens'!$C$37*(IF('Invoer gegevens'!$C$35="ja",1,Reeksen!J11)),0))+IF(AND(E43='Invoer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3" s="73">
        <f ca="1">AW43/(1+'Invoer gegevens'!$F$18)^($D43-('Invoer gegevens'!$C$17-'Invoer gegevens'!$C$16))/(1+'Invoer gegevens'!$C$39)^('Invoer gegevens'!$C$17-'Invoer gegevens'!$C$16)</f>
        <v>0</v>
      </c>
      <c r="BB43" s="73">
        <f ca="1">AX43/(1+'Invoer gegevens'!$F$18)^(E43-('Invoer gegevens'!$C$17-1))/(1+'Invoer gegevens'!$C$39)^('Invoer gegevens'!$C$17-'Invoer gegevens'!$C$16)</f>
        <v>0</v>
      </c>
      <c r="BC43" s="73">
        <f ca="1">AY43/(1+'Invoer gegevens'!$C$39)^('Invoer gegevens'!$C$17-'Invoer gegevens'!$C$16)</f>
        <v>0</v>
      </c>
      <c r="BD43" s="72">
        <f t="shared" ca="1" si="14"/>
        <v>0</v>
      </c>
      <c r="BE43" s="72">
        <f ca="1">IF(AND(E43='Invoer gegevens'!$C$16,'Invoer gegevens'!$C$34&lt;'Invoer gegevens'!$C$16),AZ43,AZ43/(1+'Invoer gegevens'!$C$39)^D43)</f>
        <v>0</v>
      </c>
      <c r="BF43" s="72">
        <f ca="1">IF(E43='Invoer gegevens'!$C$34,-'Invoer gegevens'!$F$40,0)</f>
        <v>0</v>
      </c>
      <c r="BG43" s="72">
        <f ca="1">IF(E43='Invoer gegevens'!$C$17,-'Invoer gegevens'!$C$19*$BD$63,0)</f>
        <v>0</v>
      </c>
      <c r="BH43" s="72">
        <f ca="1">AW43/(1+$BH$36)^($D43-('Invoer gegevens'!$C$17-'Invoer gegevens'!$C$16))/(1+'Invoer gegevens'!$C$39)^('Invoer gegevens'!$C$17-'Invoer gegevens'!$C$16)+AX43/(1+$BH$36)^(E43-('Invoer gegevens'!$C$17-1))/(1+'Invoer gegevens'!$C$39)^('Invoer gegevens'!$C$17-'Invoer gegevens'!$C$16)+AY43/(1+'Invoer gegevens'!$C$39)^('Invoer gegevens'!$C$17-'Invoer gegevens'!$C$16)+(-AZ43/(1+'Invoer gegevens'!$C$39)^D43)+BF43+BG43</f>
        <v>0</v>
      </c>
      <c r="BI43" s="59"/>
    </row>
    <row r="44" spans="1:61" x14ac:dyDescent="0.25">
      <c r="A44" s="59"/>
      <c r="B44" s="70">
        <f t="shared" si="15"/>
        <v>8</v>
      </c>
      <c r="C44" s="67">
        <f ca="1">IF(AND(E44&gt;='Invoer gegevens'!$C$17,E44&lt;'Invoer gegevens'!$C$17+15),1,0)</f>
        <v>1</v>
      </c>
      <c r="D44" s="68">
        <f t="shared" si="16"/>
        <v>7.5</v>
      </c>
      <c r="E44" s="69">
        <f ca="1">IF('Invoer gegevens'!$C$16="","",E43+1)</f>
        <v>2026</v>
      </c>
      <c r="F44" s="84">
        <f ca="1">IF('Invoer gegevens'!$C$17=E44,'Invoer gegevens'!$C$10,IF(C44=1,K43,0))</f>
        <v>0</v>
      </c>
      <c r="G44" s="96">
        <f ca="1">IF(E44='Invoer gegevens'!$C$17+15,K43,IF(C44&gt;=1,F44*VLOOKUP(E44,Reeksen!$A$5:$B$76,2),0))</f>
        <v>0</v>
      </c>
      <c r="H44" s="84">
        <f ca="1">IF(E44='Invoer gegevens'!$C$17+15,K43,(1-('Invoer gegevens'!$F$20/12))*F44*MIN(Reeksen!B12,Reeksen!D12))</f>
        <v>0</v>
      </c>
      <c r="I44" s="84">
        <f>IF(Reeksen!D12&lt;Reeksen!B12,(Reeksen!B12-Reeksen!D12)*F44,0)</f>
        <v>0</v>
      </c>
      <c r="J44" s="84">
        <f ca="1">IF(E44='Invoer gegevens'!$C$17+16,0,('Invoer gegevens'!$F$20/12)*F43*MIN(Reeksen!B11,Reeksen!D11))</f>
        <v>0</v>
      </c>
      <c r="K44" s="97">
        <f ca="1">IF(E44&gt;='Invoer gegevens'!$C$17+15,0,F44-G44)</f>
        <v>0</v>
      </c>
      <c r="L44" s="84">
        <f ca="1">IF('Invoer gegevens'!$C$17=E44,0,IF(C44=1,Q43,0))</f>
        <v>0</v>
      </c>
      <c r="M44" s="96">
        <f ca="1">IF(E44='Invoer gegevens'!$C$17+15,Q43,IF(C44&gt;=1,L44*VLOOKUP(E44,Reeksen!$A$5:$B$76,2),0))</f>
        <v>0</v>
      </c>
      <c r="N44" s="84">
        <f ca="1">IF(C44='Invoer gegevens'!$C$17+15,Q43,(1-('Invoer gegevens'!$F$20/12))*L44*MIN(Reeksen!B12,Reeksen!D12))</f>
        <v>0</v>
      </c>
      <c r="O44" s="84">
        <f>IF(Reeksen!D12&lt;Reeksen!B12,(Reeksen!B12-Reeksen!D12)*L44,0)</f>
        <v>0</v>
      </c>
      <c r="P44" s="84">
        <f ca="1">IF(E44='Invoer gegevens'!$C$17+16,0,('Invoer gegevens'!$F$20/12)*L43*MIN(Reeksen!B11,Reeksen!D11))</f>
        <v>0</v>
      </c>
      <c r="Q44" s="84">
        <f ca="1">IF(E44&gt;='Invoer gegevens'!$C$17+15,0,L44-M44+I44+O44)</f>
        <v>0</v>
      </c>
      <c r="R44" s="82">
        <f ca="1">IF('Invoer gegevens'!$C$17=E44,'Invoer gegevens'!$C$11,IF(C44=1,W43,0))</f>
        <v>0</v>
      </c>
      <c r="S44" s="86">
        <f ca="1">IF(E44='Invoer gegevens'!$C$17+15,W43,IF(C44&gt;=1,R44*VLOOKUP(E44,Reeksen!$A$5:$B$76,2),0))</f>
        <v>0</v>
      </c>
      <c r="T44" s="84">
        <f ca="1">IF(E44='Invoer gegevens'!$C$17+15,W43,(1-('Invoer gegevens'!$F$20/12))*R44*MIN(Reeksen!B12,Reeksen!D12))</f>
        <v>0</v>
      </c>
      <c r="U44" s="84">
        <f>IF(Reeksen!D12&gt;=Reeksen!B12,0,IF(Reeksen!AD12&lt;=Reeksen!AE12,(Reeksen!B12-Reeksen!D12)*R44,0))</f>
        <v>0</v>
      </c>
      <c r="V44" s="86">
        <f>IF(Reeksen!D12&gt;=Reeksen!B12,0,IF(Reeksen!AD12&gt;Reeksen!AE12,(Reeksen!B12-Reeksen!D12)*R44,0))</f>
        <v>0</v>
      </c>
      <c r="W44" s="97">
        <f ca="1">IF(E44&gt;='Invoer gegevens'!$C$17+15,0,R44-S44)</f>
        <v>0</v>
      </c>
      <c r="X44" s="98">
        <f ca="1">IF('Invoer gegevens'!$C$17=E44,'Invoer gegevens'!$C$10-'Invoer gegevens'!$C$11,IF(C44=1,AC43,0))</f>
        <v>0</v>
      </c>
      <c r="Y44" s="98">
        <f ca="1">IF(E44='Invoer gegevens'!$C$17+15,AC43,IF(C44&gt;=1,X44*VLOOKUP(E44,Reeksen!$A$5:$B$76,2),0))</f>
        <v>0</v>
      </c>
      <c r="Z44" s="98">
        <f ca="1">IF(E44='Invoer gegevens'!$C$17+15,AC43,(1-('Invoer gegevens'!$F$20/12))*X44*MIN(Reeksen!B12,Reeksen!D12))</f>
        <v>0</v>
      </c>
      <c r="AA44" s="98">
        <f>IF(Reeksen!D12&gt;=Reeksen!B12,0,IF(Reeksen!AD12&lt;=Reeksen!AE12,(Reeksen!B12-Reeksen!D12)*X44,0))</f>
        <v>0</v>
      </c>
      <c r="AB44" s="98">
        <f>IF(Reeksen!D12&gt;=Reeksen!B12,0,IF(Reeksen!AD12&gt;Reeksen!AE12,(Reeksen!B12-Reeksen!D12)*X44,0))</f>
        <v>0</v>
      </c>
      <c r="AC44" s="99">
        <f ca="1">IF(E44&gt;='Invoer gegevens'!$C$17+15,0,X44-Y44)</f>
        <v>0</v>
      </c>
      <c r="AD44" s="98">
        <f ca="1">IF('Invoer gegevens'!$C$17=E12,R44,IF(C12=0,0,AE43))</f>
        <v>0</v>
      </c>
      <c r="AE44" s="98">
        <f t="shared" ca="1" si="9"/>
        <v>0</v>
      </c>
      <c r="AF44" s="98">
        <f ca="1">IF('Invoer gegevens'!$C$17=E12,X44,IF(C12=0,0,AG43))</f>
        <v>0</v>
      </c>
      <c r="AG44" s="98">
        <f t="shared" ca="1" si="10"/>
        <v>0</v>
      </c>
      <c r="AH44" s="66"/>
      <c r="AI44" s="71">
        <f ca="1">IF(C44=1,Reeksen!AI12*((F44-G44+F44)/2)*12+Reeksen!AD12*((L44-M44+L44)/2)*12,0)</f>
        <v>0</v>
      </c>
      <c r="AJ44" s="71">
        <f ca="1">-AI44*'Invoer gegevens'!$F$28</f>
        <v>0</v>
      </c>
      <c r="AK44" s="71">
        <f t="shared" ca="1" si="11"/>
        <v>0</v>
      </c>
      <c r="AL44" s="71">
        <f ca="1">IF(C44=1,Reeksen!AL12*((F44-G44+F44)/2)*12+Reeksen!AM12*((L44-M44+L44)/2)*12,0)</f>
        <v>0</v>
      </c>
      <c r="AM44" s="71">
        <f ca="1">-AL44*'Invoer gegevens'!$F$31</f>
        <v>0</v>
      </c>
      <c r="AN44" s="71">
        <f t="shared" ca="1" si="12"/>
        <v>0</v>
      </c>
      <c r="AO44" s="71">
        <f ca="1">IF(E44&gt;='Invoer gegevens'!$C$17+15,0,IF(C44=1,(H44+J44+N44+P44)*Reeksen!AN12,0))</f>
        <v>0</v>
      </c>
      <c r="AP44" s="71">
        <f ca="1">-IF(C44=1,(H44+J44+N44+P44)*'Hulp - basis'!$G$550*Reeksen!H12,0)</f>
        <v>0</v>
      </c>
      <c r="AQ44" s="71">
        <f ca="1">-IF(C44=1,(F44+K44+L44+Q44)/2*'Invoer gegevens'!$F$35*Reeksen!J12,0)</f>
        <v>0</v>
      </c>
      <c r="AR44" s="71"/>
      <c r="AS44" s="71">
        <f ca="1">-IF(C44=1,(F44+K44+L44+Q44)/2*'Invoer gegevens'!$F$37*Reeksen!L12,0)</f>
        <v>0</v>
      </c>
      <c r="AT44" s="71">
        <f>IF(Dashboard!$C$20&gt;10,-IF(C44=1,IF(E44='Invoer gegevens'!$C$17,'Invoer gegevens'!$C$11,AD44)*Reeksen!S12*'Invoer gegevens'!$C$18*Reeksen!P12,0),0)</f>
        <v>0</v>
      </c>
      <c r="AU44" s="71">
        <f ca="1">-IF(C44=1,(F44+K44+L44+Q44)/2*'Invoer gegevens'!$F$38*Reeksen!H12,0)</f>
        <v>0</v>
      </c>
      <c r="AV44" s="71">
        <f>IF('Invoer gegevens'!$C$3="Basis",0,#REF!)</f>
        <v>0</v>
      </c>
      <c r="AW44" s="71">
        <f t="shared" ca="1" si="13"/>
        <v>0</v>
      </c>
      <c r="AX44" s="72">
        <f ca="1">IF(E44='Invoer gegevens'!$C$17+14,'RW - MW - UP'!$AY$236,0)</f>
        <v>0</v>
      </c>
      <c r="AY44" s="72">
        <f ca="1">IFERROR(IF(E44='Invoer gegevens'!$C$17,-'Invoer gegevens'!$C$10*('Invoer gegevens'!$C$30+'Invoer gegevens'!$C$31)*Reeksen!H12,0),0)</f>
        <v>0</v>
      </c>
      <c r="AZ44" s="73">
        <f ca="1">IF('Invoer gegevens'!$C$34=E44,'Invoer gegevens'!$C$27*'Invoer gegevens'!$C$10*'Invoer gegevens'!$C$36*(IF('Invoer gegevens'!$C$35="ja",1,Reeksen!J12)),IF('Invoer gegevens'!$C$34+1=E44,'Invoer gegevens'!$C$27*'Invoer gegevens'!$C$10*'Invoer gegevens'!$C$37*(IF('Invoer gegevens'!$C$35="ja",1,Reeksen!J12)),0))+IF(AND(E44='Invoer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4" s="73">
        <f ca="1">AW44/(1+'Invoer gegevens'!$F$18)^($D44-('Invoer gegevens'!$C$17-'Invoer gegevens'!$C$16))/(1+'Invoer gegevens'!$C$39)^('Invoer gegevens'!$C$17-'Invoer gegevens'!$C$16)</f>
        <v>0</v>
      </c>
      <c r="BB44" s="73">
        <f ca="1">AX44/(1+'Invoer gegevens'!$F$18)^(E44-('Invoer gegevens'!$C$17-1))/(1+'Invoer gegevens'!$C$39)^('Invoer gegevens'!$C$17-'Invoer gegevens'!$C$16)</f>
        <v>0</v>
      </c>
      <c r="BC44" s="73">
        <f ca="1">AY44/(1+'Invoer gegevens'!$C$39)^('Invoer gegevens'!$C$17-'Invoer gegevens'!$C$16)</f>
        <v>0</v>
      </c>
      <c r="BD44" s="72">
        <f t="shared" ca="1" si="14"/>
        <v>0</v>
      </c>
      <c r="BE44" s="72">
        <f ca="1">IF(AND(E44='Invoer gegevens'!$C$16,'Invoer gegevens'!$C$34&lt;'Invoer gegevens'!$C$16),AZ44,AZ44/(1+'Invoer gegevens'!$C$39)^D44)</f>
        <v>0</v>
      </c>
      <c r="BF44" s="72">
        <f ca="1">IF(E44='Invoer gegevens'!$C$34,-'Invoer gegevens'!$F$40,0)</f>
        <v>0</v>
      </c>
      <c r="BG44" s="72">
        <f ca="1">IF(E44='Invoer gegevens'!$C$17,-'Invoer gegevens'!$C$19*$BD$63,0)</f>
        <v>0</v>
      </c>
      <c r="BH44" s="72">
        <f ca="1">AW44/(1+$BH$36)^($D44-('Invoer gegevens'!$C$17-'Invoer gegevens'!$C$16))/(1+'Invoer gegevens'!$C$39)^('Invoer gegevens'!$C$17-'Invoer gegevens'!$C$16)+AX44/(1+$BH$36)^(E44-('Invoer gegevens'!$C$17-1))/(1+'Invoer gegevens'!$C$39)^('Invoer gegevens'!$C$17-'Invoer gegevens'!$C$16)+AY44/(1+'Invoer gegevens'!$C$39)^('Invoer gegevens'!$C$17-'Invoer gegevens'!$C$16)+(-AZ44/(1+'Invoer gegevens'!$C$39)^D44)+BF44+BG44</f>
        <v>0</v>
      </c>
      <c r="BI44" s="59"/>
    </row>
    <row r="45" spans="1:61" x14ac:dyDescent="0.25">
      <c r="A45" s="59"/>
      <c r="B45" s="70">
        <f t="shared" si="15"/>
        <v>9</v>
      </c>
      <c r="C45" s="67">
        <f ca="1">IF(AND(E45&gt;='Invoer gegevens'!$C$17,E45&lt;'Invoer gegevens'!$C$17+15),1,0)</f>
        <v>1</v>
      </c>
      <c r="D45" s="68">
        <f t="shared" si="16"/>
        <v>8.5</v>
      </c>
      <c r="E45" s="69">
        <f ca="1">IF('Invoer gegevens'!$C$16="","",E44+1)</f>
        <v>2027</v>
      </c>
      <c r="F45" s="84">
        <f ca="1">IF('Invoer gegevens'!$C$17=E45,'Invoer gegevens'!$C$10,IF(C45=1,K44,0))</f>
        <v>0</v>
      </c>
      <c r="G45" s="96">
        <f ca="1">IF(E45='Invoer gegevens'!$C$17+15,K44,IF(C45&gt;=1,F45*VLOOKUP(E45,Reeksen!$A$5:$B$76,2),0))</f>
        <v>0</v>
      </c>
      <c r="H45" s="84">
        <f ca="1">IF(E45='Invoer gegevens'!$C$17+15,K44,(1-('Invoer gegevens'!$F$20/12))*F45*MIN(Reeksen!B13,Reeksen!D13))</f>
        <v>0</v>
      </c>
      <c r="I45" s="84">
        <f>IF(Reeksen!D13&lt;Reeksen!B13,(Reeksen!B13-Reeksen!D13)*F45,0)</f>
        <v>0</v>
      </c>
      <c r="J45" s="84">
        <f ca="1">IF(E45='Invoer gegevens'!$C$17+16,0,('Invoer gegevens'!$F$20/12)*F44*MIN(Reeksen!B12,Reeksen!D12))</f>
        <v>0</v>
      </c>
      <c r="K45" s="97">
        <f ca="1">IF(E45&gt;='Invoer gegevens'!$C$17+15,0,F45-G45)</f>
        <v>0</v>
      </c>
      <c r="L45" s="84">
        <f ca="1">IF('Invoer gegevens'!$C$17=E45,0,IF(C45=1,Q44,0))</f>
        <v>0</v>
      </c>
      <c r="M45" s="96">
        <f ca="1">IF(E45='Invoer gegevens'!$C$17+15,Q44,IF(C45&gt;=1,L45*VLOOKUP(E45,Reeksen!$A$5:$B$76,2),0))</f>
        <v>0</v>
      </c>
      <c r="N45" s="84">
        <f ca="1">IF(C45='Invoer gegevens'!$C$17+15,Q44,(1-('Invoer gegevens'!$F$20/12))*L45*MIN(Reeksen!B13,Reeksen!D13))</f>
        <v>0</v>
      </c>
      <c r="O45" s="84">
        <f>IF(Reeksen!D13&lt;Reeksen!B13,(Reeksen!B13-Reeksen!D13)*L45,0)</f>
        <v>0</v>
      </c>
      <c r="P45" s="84">
        <f ca="1">IF(E45='Invoer gegevens'!$C$17+16,0,('Invoer gegevens'!$F$20/12)*L44*MIN(Reeksen!B12,Reeksen!D12))</f>
        <v>0</v>
      </c>
      <c r="Q45" s="84">
        <f ca="1">IF(E45&gt;='Invoer gegevens'!$C$17+15,0,L45-M45+I45+O45)</f>
        <v>0</v>
      </c>
      <c r="R45" s="82">
        <f ca="1">IF('Invoer gegevens'!$C$17=E45,'Invoer gegevens'!$C$11,IF(C45=1,W44,0))</f>
        <v>0</v>
      </c>
      <c r="S45" s="86">
        <f ca="1">IF(E45='Invoer gegevens'!$C$17+15,W44,IF(C45&gt;=1,R45*VLOOKUP(E45,Reeksen!$A$5:$B$76,2),0))</f>
        <v>0</v>
      </c>
      <c r="T45" s="84">
        <f ca="1">IF(E45='Invoer gegevens'!$C$17+15,W44,(1-('Invoer gegevens'!$F$20/12))*R45*MIN(Reeksen!B13,Reeksen!D13))</f>
        <v>0</v>
      </c>
      <c r="U45" s="84">
        <f>IF(Reeksen!D13&gt;=Reeksen!B13,0,IF(Reeksen!AD13&lt;=Reeksen!AE13,(Reeksen!B13-Reeksen!D13)*R45,0))</f>
        <v>0</v>
      </c>
      <c r="V45" s="86">
        <f>IF(Reeksen!D13&gt;=Reeksen!B13,0,IF(Reeksen!AD13&gt;Reeksen!AE13,(Reeksen!B13-Reeksen!D13)*R45,0))</f>
        <v>0</v>
      </c>
      <c r="W45" s="97">
        <f ca="1">IF(E45&gt;='Invoer gegevens'!$C$17+15,0,R45-S45)</f>
        <v>0</v>
      </c>
      <c r="X45" s="98">
        <f ca="1">IF('Invoer gegevens'!$C$17=E45,'Invoer gegevens'!$C$10-'Invoer gegevens'!$C$11,IF(C45=1,AC44,0))</f>
        <v>0</v>
      </c>
      <c r="Y45" s="98">
        <f ca="1">IF(E45='Invoer gegevens'!$C$17+15,AC44,IF(C45&gt;=1,X45*VLOOKUP(E45,Reeksen!$A$5:$B$76,2),0))</f>
        <v>0</v>
      </c>
      <c r="Z45" s="98">
        <f ca="1">IF(E45='Invoer gegevens'!$C$17+15,AC44,(1-('Invoer gegevens'!$F$20/12))*X45*MIN(Reeksen!B13,Reeksen!D13))</f>
        <v>0</v>
      </c>
      <c r="AA45" s="98">
        <f>IF(Reeksen!D13&gt;=Reeksen!B13,0,IF(Reeksen!AD13&lt;=Reeksen!AE13,(Reeksen!B13-Reeksen!D13)*X45,0))</f>
        <v>0</v>
      </c>
      <c r="AB45" s="98">
        <f>IF(Reeksen!D13&gt;=Reeksen!B13,0,IF(Reeksen!AD13&gt;Reeksen!AE13,(Reeksen!B13-Reeksen!D13)*X45,0))</f>
        <v>0</v>
      </c>
      <c r="AC45" s="99">
        <f ca="1">IF(E45&gt;='Invoer gegevens'!$C$17+15,0,X45-Y45)</f>
        <v>0</v>
      </c>
      <c r="AD45" s="98">
        <f ca="1">IF('Invoer gegevens'!$C$17=E13,R45,IF(C13=0,0,AE44))</f>
        <v>0</v>
      </c>
      <c r="AE45" s="98">
        <f t="shared" ca="1" si="9"/>
        <v>0</v>
      </c>
      <c r="AF45" s="98">
        <f ca="1">IF('Invoer gegevens'!$C$17=E13,X45,IF(C13=0,0,AG44))</f>
        <v>0</v>
      </c>
      <c r="AG45" s="98">
        <f t="shared" ca="1" si="10"/>
        <v>0</v>
      </c>
      <c r="AH45" s="66"/>
      <c r="AI45" s="71">
        <f ca="1">IF(C45=1,Reeksen!AI13*((F45-G45+F45)/2)*12+Reeksen!AD13*((L45-M45+L45)/2)*12,0)</f>
        <v>0</v>
      </c>
      <c r="AJ45" s="71">
        <f ca="1">-AI45*'Invoer gegevens'!$F$28</f>
        <v>0</v>
      </c>
      <c r="AK45" s="71">
        <f t="shared" ca="1" si="11"/>
        <v>0</v>
      </c>
      <c r="AL45" s="71">
        <f ca="1">IF(C45=1,Reeksen!AL13*((F45-G45+F45)/2)*12+Reeksen!AM13*((L45-M45+L45)/2)*12,0)</f>
        <v>0</v>
      </c>
      <c r="AM45" s="71">
        <f ca="1">-AL45*'Invoer gegevens'!$F$31</f>
        <v>0</v>
      </c>
      <c r="AN45" s="71">
        <f t="shared" ca="1" si="12"/>
        <v>0</v>
      </c>
      <c r="AO45" s="71">
        <f ca="1">IF(E45&gt;='Invoer gegevens'!$C$17+15,0,IF(C45=1,(H45+J45+N45+P45)*Reeksen!AN13,0))</f>
        <v>0</v>
      </c>
      <c r="AP45" s="71">
        <f ca="1">-IF(C45=1,(H45+J45+N45+P45)*'Hulp - basis'!$G$550*Reeksen!H13,0)</f>
        <v>0</v>
      </c>
      <c r="AQ45" s="71">
        <f ca="1">-IF(C45=1,(F45+K45+L45+Q45)/2*'Invoer gegevens'!$F$35*Reeksen!J13,0)</f>
        <v>0</v>
      </c>
      <c r="AR45" s="71"/>
      <c r="AS45" s="71">
        <f ca="1">-IF(C45=1,(F45+K45+L45+Q45)/2*'Invoer gegevens'!$F$37*Reeksen!L13,0)</f>
        <v>0</v>
      </c>
      <c r="AT45" s="71">
        <f>IF(Dashboard!$C$20&gt;10,-IF(C45=1,IF(E45='Invoer gegevens'!$C$17,'Invoer gegevens'!$C$11,AD45)*Reeksen!S13*'Invoer gegevens'!$C$18*Reeksen!P13,0),0)</f>
        <v>0</v>
      </c>
      <c r="AU45" s="71">
        <f ca="1">-IF(C45=1,(F45+K45+L45+Q45)/2*'Invoer gegevens'!$F$38*Reeksen!H13,0)</f>
        <v>0</v>
      </c>
      <c r="AV45" s="71">
        <f>IF('Invoer gegevens'!$C$3="Basis",0,#REF!)</f>
        <v>0</v>
      </c>
      <c r="AW45" s="71">
        <f t="shared" ca="1" si="13"/>
        <v>0</v>
      </c>
      <c r="AX45" s="72">
        <f ca="1">IF(E45='Invoer gegevens'!$C$17+14,'RW - MW - UP'!$AY$236,0)</f>
        <v>0</v>
      </c>
      <c r="AY45" s="72">
        <f ca="1">IFERROR(IF(E45='Invoer gegevens'!$C$17,-'Invoer gegevens'!$C$10*('Invoer gegevens'!$C$30+'Invoer gegevens'!$C$31)*Reeksen!H13,0),0)</f>
        <v>0</v>
      </c>
      <c r="AZ45" s="73">
        <f ca="1">IF('Invoer gegevens'!$C$34=E45,'Invoer gegevens'!$C$27*'Invoer gegevens'!$C$10*'Invoer gegevens'!$C$36*(IF('Invoer gegevens'!$C$35="ja",1,Reeksen!J13)),IF('Invoer gegevens'!$C$34+1=E45,'Invoer gegevens'!$C$27*'Invoer gegevens'!$C$10*'Invoer gegevens'!$C$37*(IF('Invoer gegevens'!$C$35="ja",1,Reeksen!J13)),0))+IF(AND(E45='Invoer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5" s="73">
        <f ca="1">AW45/(1+'Invoer gegevens'!$F$18)^($D45-('Invoer gegevens'!$C$17-'Invoer gegevens'!$C$16))/(1+'Invoer gegevens'!$C$39)^('Invoer gegevens'!$C$17-'Invoer gegevens'!$C$16)</f>
        <v>0</v>
      </c>
      <c r="BB45" s="73">
        <f ca="1">AX45/(1+'Invoer gegevens'!$F$18)^(E45-('Invoer gegevens'!$C$17-1))/(1+'Invoer gegevens'!$C$39)^('Invoer gegevens'!$C$17-'Invoer gegevens'!$C$16)</f>
        <v>0</v>
      </c>
      <c r="BC45" s="73">
        <f ca="1">AY45/(1+'Invoer gegevens'!$C$39)^('Invoer gegevens'!$C$17-'Invoer gegevens'!$C$16)</f>
        <v>0</v>
      </c>
      <c r="BD45" s="72">
        <f t="shared" ca="1" si="14"/>
        <v>0</v>
      </c>
      <c r="BE45" s="72">
        <f ca="1">IF(AND(E45='Invoer gegevens'!$C$16,'Invoer gegevens'!$C$34&lt;'Invoer gegevens'!$C$16),AZ45,AZ45/(1+'Invoer gegevens'!$C$39)^D45)</f>
        <v>0</v>
      </c>
      <c r="BF45" s="72">
        <f ca="1">IF(E45='Invoer gegevens'!$C$34,-'Invoer gegevens'!$F$40,0)</f>
        <v>0</v>
      </c>
      <c r="BG45" s="72">
        <f ca="1">IF(E45='Invoer gegevens'!$C$17,-'Invoer gegevens'!$C$19*$BD$63,0)</f>
        <v>0</v>
      </c>
      <c r="BH45" s="72">
        <f ca="1">AW45/(1+$BH$36)^($D45-('Invoer gegevens'!$C$17-'Invoer gegevens'!$C$16))/(1+'Invoer gegevens'!$C$39)^('Invoer gegevens'!$C$17-'Invoer gegevens'!$C$16)+AX45/(1+$BH$36)^(E45-('Invoer gegevens'!$C$17-1))/(1+'Invoer gegevens'!$C$39)^('Invoer gegevens'!$C$17-'Invoer gegevens'!$C$16)+AY45/(1+'Invoer gegevens'!$C$39)^('Invoer gegevens'!$C$17-'Invoer gegevens'!$C$16)+(-AZ45/(1+'Invoer gegevens'!$C$39)^D45)+BF45+BG45</f>
        <v>0</v>
      </c>
      <c r="BI45" s="59"/>
    </row>
    <row r="46" spans="1:61" x14ac:dyDescent="0.25">
      <c r="A46" s="59"/>
      <c r="B46" s="70">
        <f t="shared" si="15"/>
        <v>10</v>
      </c>
      <c r="C46" s="67">
        <f ca="1">IF(AND(E46&gt;='Invoer gegevens'!$C$17,E46&lt;'Invoer gegevens'!$C$17+15),1,0)</f>
        <v>1</v>
      </c>
      <c r="D46" s="68">
        <f t="shared" si="16"/>
        <v>9.5</v>
      </c>
      <c r="E46" s="69">
        <f ca="1">IF('Invoer gegevens'!$C$16="","",E45+1)</f>
        <v>2028</v>
      </c>
      <c r="F46" s="84">
        <f ca="1">IF('Invoer gegevens'!$C$17=E46,'Invoer gegevens'!$C$10,IF(C46=1,K45,0))</f>
        <v>0</v>
      </c>
      <c r="G46" s="96">
        <f ca="1">IF(E46='Invoer gegevens'!$C$17+15,K45,IF(C46&gt;=1,F46*VLOOKUP(E46,Reeksen!$A$5:$B$76,2),0))</f>
        <v>0</v>
      </c>
      <c r="H46" s="84">
        <f ca="1">IF(E46='Invoer gegevens'!$C$17+15,K45,(1-('Invoer gegevens'!$F$20/12))*F46*MIN(Reeksen!B14,Reeksen!D14))</f>
        <v>0</v>
      </c>
      <c r="I46" s="84">
        <f>IF(Reeksen!D14&lt;Reeksen!B14,(Reeksen!B14-Reeksen!D14)*F46,0)</f>
        <v>0</v>
      </c>
      <c r="J46" s="84">
        <f ca="1">IF(E46='Invoer gegevens'!$C$17+16,0,('Invoer gegevens'!$F$20/12)*F45*MIN(Reeksen!B13,Reeksen!D13))</f>
        <v>0</v>
      </c>
      <c r="K46" s="97">
        <f ca="1">IF(E46&gt;='Invoer gegevens'!$C$17+15,0,F46-G46)</f>
        <v>0</v>
      </c>
      <c r="L46" s="84">
        <f ca="1">IF('Invoer gegevens'!$C$17=E46,0,IF(C46=1,Q45,0))</f>
        <v>0</v>
      </c>
      <c r="M46" s="96">
        <f ca="1">IF(E46='Invoer gegevens'!$C$17+15,Q45,IF(C46&gt;=1,L46*VLOOKUP(E46,Reeksen!$A$5:$B$76,2),0))</f>
        <v>0</v>
      </c>
      <c r="N46" s="84">
        <f ca="1">IF(C46='Invoer gegevens'!$C$17+15,Q45,(1-('Invoer gegevens'!$F$20/12))*L46*MIN(Reeksen!B14,Reeksen!D14))</f>
        <v>0</v>
      </c>
      <c r="O46" s="84">
        <f>IF(Reeksen!D14&lt;Reeksen!B14,(Reeksen!B14-Reeksen!D14)*L46,0)</f>
        <v>0</v>
      </c>
      <c r="P46" s="84">
        <f ca="1">IF(E46='Invoer gegevens'!$C$17+16,0,('Invoer gegevens'!$F$20/12)*L45*MIN(Reeksen!B13,Reeksen!D13))</f>
        <v>0</v>
      </c>
      <c r="Q46" s="84">
        <f ca="1">IF(E46&gt;='Invoer gegevens'!$C$17+15,0,L46-M46+I46+O46)</f>
        <v>0</v>
      </c>
      <c r="R46" s="82">
        <f ca="1">IF('Invoer gegevens'!$C$17=E46,'Invoer gegevens'!$C$11,IF(C46=1,W45,0))</f>
        <v>0</v>
      </c>
      <c r="S46" s="86">
        <f ca="1">IF(E46='Invoer gegevens'!$C$17+15,W45,IF(C46&gt;=1,R46*VLOOKUP(E46,Reeksen!$A$5:$B$76,2),0))</f>
        <v>0</v>
      </c>
      <c r="T46" s="84">
        <f ca="1">IF(E46='Invoer gegevens'!$C$17+15,W45,(1-('Invoer gegevens'!$F$20/12))*R46*MIN(Reeksen!B14,Reeksen!D14))</f>
        <v>0</v>
      </c>
      <c r="U46" s="84">
        <f>IF(Reeksen!D14&gt;=Reeksen!B14,0,IF(Reeksen!AD14&lt;=Reeksen!AE14,(Reeksen!B14-Reeksen!D14)*R46,0))</f>
        <v>0</v>
      </c>
      <c r="V46" s="86">
        <f>IF(Reeksen!D14&gt;=Reeksen!B14,0,IF(Reeksen!AD14&gt;Reeksen!AE14,(Reeksen!B14-Reeksen!D14)*R46,0))</f>
        <v>0</v>
      </c>
      <c r="W46" s="97">
        <f ca="1">IF(E46&gt;='Invoer gegevens'!$C$17+15,0,R46-S46)</f>
        <v>0</v>
      </c>
      <c r="X46" s="98">
        <f ca="1">IF('Invoer gegevens'!$C$17=E46,'Invoer gegevens'!$C$10-'Invoer gegevens'!$C$11,IF(C46=1,AC45,0))</f>
        <v>0</v>
      </c>
      <c r="Y46" s="98">
        <f ca="1">IF(E46='Invoer gegevens'!$C$17+15,AC45,IF(C46&gt;=1,X46*VLOOKUP(E46,Reeksen!$A$5:$B$76,2),0))</f>
        <v>0</v>
      </c>
      <c r="Z46" s="98">
        <f ca="1">IF(E46='Invoer gegevens'!$C$17+15,AC45,(1-('Invoer gegevens'!$F$20/12))*X46*MIN(Reeksen!B14,Reeksen!D14))</f>
        <v>0</v>
      </c>
      <c r="AA46" s="98">
        <f>IF(Reeksen!D14&gt;=Reeksen!B14,0,IF(Reeksen!AD14&lt;=Reeksen!AE14,(Reeksen!B14-Reeksen!D14)*X46,0))</f>
        <v>0</v>
      </c>
      <c r="AB46" s="98">
        <f>IF(Reeksen!D14&gt;=Reeksen!B14,0,IF(Reeksen!AD14&gt;Reeksen!AE14,(Reeksen!B14-Reeksen!D14)*X46,0))</f>
        <v>0</v>
      </c>
      <c r="AC46" s="99">
        <f ca="1">IF(E46&gt;='Invoer gegevens'!$C$17+15,0,X46-Y46)</f>
        <v>0</v>
      </c>
      <c r="AD46" s="98">
        <f ca="1">IF('Invoer gegevens'!$C$17=E14,R46,IF(C14=0,0,AE45))</f>
        <v>0</v>
      </c>
      <c r="AE46" s="98">
        <f t="shared" ca="1" si="9"/>
        <v>0</v>
      </c>
      <c r="AF46" s="98">
        <f ca="1">IF('Invoer gegevens'!$C$17=E14,X46,IF(C14=0,0,AG45))</f>
        <v>0</v>
      </c>
      <c r="AG46" s="98">
        <f t="shared" ca="1" si="10"/>
        <v>0</v>
      </c>
      <c r="AH46" s="66"/>
      <c r="AI46" s="71">
        <f ca="1">IF(C46=1,Reeksen!AI14*((F46-G46+F46)/2)*12+Reeksen!AD14*((L46-M46+L46)/2)*12,0)</f>
        <v>0</v>
      </c>
      <c r="AJ46" s="71">
        <f ca="1">-AI46*'Invoer gegevens'!$F$28</f>
        <v>0</v>
      </c>
      <c r="AK46" s="71">
        <f t="shared" ca="1" si="11"/>
        <v>0</v>
      </c>
      <c r="AL46" s="71">
        <f ca="1">IF(C46=1,Reeksen!AL14*((F46-G46+F46)/2)*12+Reeksen!AM14*((L46-M46+L46)/2)*12,0)</f>
        <v>0</v>
      </c>
      <c r="AM46" s="71">
        <f ca="1">-AL46*'Invoer gegevens'!$F$31</f>
        <v>0</v>
      </c>
      <c r="AN46" s="71">
        <f t="shared" ca="1" si="12"/>
        <v>0</v>
      </c>
      <c r="AO46" s="71">
        <f ca="1">IF(E46&gt;='Invoer gegevens'!$C$17+15,0,IF(C46=1,(H46+J46+N46+P46)*Reeksen!AN14,0))</f>
        <v>0</v>
      </c>
      <c r="AP46" s="71">
        <f ca="1">-IF(C46=1,(H46+J46+N46+P46)*'Hulp - basis'!$G$550*Reeksen!H14,0)</f>
        <v>0</v>
      </c>
      <c r="AQ46" s="71">
        <f ca="1">-IF(C46=1,(F46+K46+L46+Q46)/2*'Invoer gegevens'!$F$35*Reeksen!J14,0)</f>
        <v>0</v>
      </c>
      <c r="AR46" s="71"/>
      <c r="AS46" s="71">
        <f ca="1">-IF(C46=1,(F46+K46+L46+Q46)/2*'Invoer gegevens'!$F$37*Reeksen!L14,0)</f>
        <v>0</v>
      </c>
      <c r="AT46" s="71">
        <f>IF(Dashboard!$C$20&gt;10,-IF(C46=1,IF(E46='Invoer gegevens'!$C$17,'Invoer gegevens'!$C$11,AD46)*Reeksen!S14*'Invoer gegevens'!$C$18*Reeksen!P14,0),0)</f>
        <v>0</v>
      </c>
      <c r="AU46" s="71">
        <f ca="1">-IF(C46=1,(F46+K46+L46+Q46)/2*'Invoer gegevens'!$F$38*Reeksen!H14,0)</f>
        <v>0</v>
      </c>
      <c r="AV46" s="71">
        <f>IF('Invoer gegevens'!$C$3="Basis",0,#REF!)</f>
        <v>0</v>
      </c>
      <c r="AW46" s="71">
        <f t="shared" ca="1" si="13"/>
        <v>0</v>
      </c>
      <c r="AX46" s="72">
        <f ca="1">IF(E46='Invoer gegevens'!$C$17+14,'RW - MW - UP'!$AY$236,0)</f>
        <v>0</v>
      </c>
      <c r="AY46" s="72">
        <f ca="1">IFERROR(IF(E46='Invoer gegevens'!$C$17,-'Invoer gegevens'!$C$10*('Invoer gegevens'!$C$30+'Invoer gegevens'!$C$31)*Reeksen!H14,0),0)</f>
        <v>0</v>
      </c>
      <c r="AZ46" s="73">
        <f ca="1">IF('Invoer gegevens'!$C$34=E46,'Invoer gegevens'!$C$27*'Invoer gegevens'!$C$10*'Invoer gegevens'!$C$36*(IF('Invoer gegevens'!$C$35="ja",1,Reeksen!J14)),IF('Invoer gegevens'!$C$34+1=E46,'Invoer gegevens'!$C$27*'Invoer gegevens'!$C$10*'Invoer gegevens'!$C$37*(IF('Invoer gegevens'!$C$35="ja",1,Reeksen!J14)),0))+IF(AND(E46='Invoer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6" s="73">
        <f ca="1">AW46/(1+'Invoer gegevens'!$F$18)^($D46-('Invoer gegevens'!$C$17-'Invoer gegevens'!$C$16))/(1+'Invoer gegevens'!$C$39)^('Invoer gegevens'!$C$17-'Invoer gegevens'!$C$16)</f>
        <v>0</v>
      </c>
      <c r="BB46" s="73">
        <f ca="1">AX46/(1+'Invoer gegevens'!$F$18)^(E46-('Invoer gegevens'!$C$17-1))/(1+'Invoer gegevens'!$C$39)^('Invoer gegevens'!$C$17-'Invoer gegevens'!$C$16)</f>
        <v>0</v>
      </c>
      <c r="BC46" s="73">
        <f ca="1">AY46/(1+'Invoer gegevens'!$C$39)^('Invoer gegevens'!$C$17-'Invoer gegevens'!$C$16)</f>
        <v>0</v>
      </c>
      <c r="BD46" s="72">
        <f t="shared" ca="1" si="14"/>
        <v>0</v>
      </c>
      <c r="BE46" s="72">
        <f ca="1">IF(AND(E46='Invoer gegevens'!$C$16,'Invoer gegevens'!$C$34&lt;'Invoer gegevens'!$C$16),AZ46,AZ46/(1+'Invoer gegevens'!$C$39)^D46)</f>
        <v>0</v>
      </c>
      <c r="BF46" s="72">
        <f ca="1">IF(E46='Invoer gegevens'!$C$34,-'Invoer gegevens'!$F$40,0)</f>
        <v>0</v>
      </c>
      <c r="BG46" s="72">
        <f ca="1">IF(E46='Invoer gegevens'!$C$17,-'Invoer gegevens'!$C$19*$BD$63,0)</f>
        <v>0</v>
      </c>
      <c r="BH46" s="72">
        <f ca="1">AW46/(1+$BH$36)^($D46-('Invoer gegevens'!$C$17-'Invoer gegevens'!$C$16))/(1+'Invoer gegevens'!$C$39)^('Invoer gegevens'!$C$17-'Invoer gegevens'!$C$16)+AX46/(1+$BH$36)^(E46-('Invoer gegevens'!$C$17-1))/(1+'Invoer gegevens'!$C$39)^('Invoer gegevens'!$C$17-'Invoer gegevens'!$C$16)+AY46/(1+'Invoer gegevens'!$C$39)^('Invoer gegevens'!$C$17-'Invoer gegevens'!$C$16)+(-AZ46/(1+'Invoer gegevens'!$C$39)^D46)+BF46+BG46</f>
        <v>0</v>
      </c>
      <c r="BI46" s="59"/>
    </row>
    <row r="47" spans="1:61" x14ac:dyDescent="0.25">
      <c r="A47" s="59"/>
      <c r="B47" s="70">
        <f t="shared" si="15"/>
        <v>11</v>
      </c>
      <c r="C47" s="67">
        <f ca="1">IF(AND(E47&gt;='Invoer gegevens'!$C$17,E47&lt;'Invoer gegevens'!$C$17+15),1,0)</f>
        <v>1</v>
      </c>
      <c r="D47" s="68">
        <f t="shared" si="16"/>
        <v>10.5</v>
      </c>
      <c r="E47" s="69">
        <f ca="1">IF('Invoer gegevens'!$C$16="","",E46+1)</f>
        <v>2029</v>
      </c>
      <c r="F47" s="84">
        <f ca="1">IF('Invoer gegevens'!$C$17=E47,'Invoer gegevens'!$C$10,IF(C47=1,K46,0))</f>
        <v>0</v>
      </c>
      <c r="G47" s="96">
        <f ca="1">IF(E47='Invoer gegevens'!$C$17+15,K46,IF(C47&gt;=1,F47*VLOOKUP(E47,Reeksen!$A$5:$B$76,2),0))</f>
        <v>0</v>
      </c>
      <c r="H47" s="84">
        <f ca="1">IF(E47='Invoer gegevens'!$C$17+15,K46,(1-('Invoer gegevens'!$F$20/12))*F47*MIN(Reeksen!B15,Reeksen!D15))</f>
        <v>0</v>
      </c>
      <c r="I47" s="84">
        <f>IF(Reeksen!D15&lt;Reeksen!B15,(Reeksen!B15-Reeksen!D15)*F47,0)</f>
        <v>0</v>
      </c>
      <c r="J47" s="84">
        <f ca="1">IF(E47='Invoer gegevens'!$C$17+16,0,('Invoer gegevens'!$F$20/12)*F46*MIN(Reeksen!B14,Reeksen!D14))</f>
        <v>0</v>
      </c>
      <c r="K47" s="97">
        <f ca="1">IF(E47&gt;='Invoer gegevens'!$C$17+15,0,F47-G47)</f>
        <v>0</v>
      </c>
      <c r="L47" s="84">
        <f ca="1">IF('Invoer gegevens'!$C$17=E47,0,IF(C47=1,Q46,0))</f>
        <v>0</v>
      </c>
      <c r="M47" s="96">
        <f ca="1">IF(E47='Invoer gegevens'!$C$17+15,Q46,IF(C47&gt;=1,L47*VLOOKUP(E47,Reeksen!$A$5:$B$76,2),0))</f>
        <v>0</v>
      </c>
      <c r="N47" s="84">
        <f ca="1">IF(C47='Invoer gegevens'!$C$17+15,Q46,(1-('Invoer gegevens'!$F$20/12))*L47*MIN(Reeksen!B15,Reeksen!D15))</f>
        <v>0</v>
      </c>
      <c r="O47" s="84">
        <f>IF(Reeksen!D15&lt;Reeksen!B15,(Reeksen!B15-Reeksen!D15)*L47,0)</f>
        <v>0</v>
      </c>
      <c r="P47" s="84">
        <f ca="1">IF(E47='Invoer gegevens'!$C$17+16,0,('Invoer gegevens'!$F$20/12)*L46*MIN(Reeksen!B14,Reeksen!D14))</f>
        <v>0</v>
      </c>
      <c r="Q47" s="84">
        <f ca="1">IF(E47&gt;='Invoer gegevens'!$C$17+15,0,L47-M47+I47+O47)</f>
        <v>0</v>
      </c>
      <c r="R47" s="82">
        <f ca="1">IF('Invoer gegevens'!$C$17=E47,'Invoer gegevens'!$C$11,IF(C47=1,W46,0))</f>
        <v>0</v>
      </c>
      <c r="S47" s="86">
        <f ca="1">IF(E47='Invoer gegevens'!$C$17+15,W46,IF(C47&gt;=1,R47*VLOOKUP(E47,Reeksen!$A$5:$B$76,2),0))</f>
        <v>0</v>
      </c>
      <c r="T47" s="84">
        <f ca="1">IF(E47='Invoer gegevens'!$C$17+15,W46,(1-('Invoer gegevens'!$F$20/12))*R47*MIN(Reeksen!B15,Reeksen!D15))</f>
        <v>0</v>
      </c>
      <c r="U47" s="84">
        <f>IF(Reeksen!D15&gt;=Reeksen!B15,0,IF(Reeksen!AD15&lt;=Reeksen!AE15,(Reeksen!B15-Reeksen!D15)*R47,0))</f>
        <v>0</v>
      </c>
      <c r="V47" s="86">
        <f>IF(Reeksen!D15&gt;=Reeksen!B15,0,IF(Reeksen!AD15&gt;Reeksen!AE15,(Reeksen!B15-Reeksen!D15)*R47,0))</f>
        <v>0</v>
      </c>
      <c r="W47" s="97">
        <f ca="1">IF(E47&gt;='Invoer gegevens'!$C$17+15,0,R47-S47)</f>
        <v>0</v>
      </c>
      <c r="X47" s="98">
        <f ca="1">IF('Invoer gegevens'!$C$17=E47,'Invoer gegevens'!$C$10-'Invoer gegevens'!$C$11,IF(C47=1,AC46,0))</f>
        <v>0</v>
      </c>
      <c r="Y47" s="98">
        <f ca="1">IF(E47='Invoer gegevens'!$C$17+15,AC46,IF(C47&gt;=1,X47*VLOOKUP(E47,Reeksen!$A$5:$B$76,2),0))</f>
        <v>0</v>
      </c>
      <c r="Z47" s="98">
        <f ca="1">IF(E47='Invoer gegevens'!$C$17+15,AC46,(1-('Invoer gegevens'!$F$20/12))*X47*MIN(Reeksen!B15,Reeksen!D15))</f>
        <v>0</v>
      </c>
      <c r="AA47" s="98">
        <f>IF(Reeksen!D15&gt;=Reeksen!B15,0,IF(Reeksen!AD15&lt;=Reeksen!AE15,(Reeksen!B15-Reeksen!D15)*X47,0))</f>
        <v>0</v>
      </c>
      <c r="AB47" s="98">
        <f>IF(Reeksen!D15&gt;=Reeksen!B15,0,IF(Reeksen!AD15&gt;Reeksen!AE15,(Reeksen!B15-Reeksen!D15)*X47,0))</f>
        <v>0</v>
      </c>
      <c r="AC47" s="99">
        <f ca="1">IF(E47&gt;='Invoer gegevens'!$C$17+15,0,X47-Y47)</f>
        <v>0</v>
      </c>
      <c r="AD47" s="98">
        <f ca="1">IF('Invoer gegevens'!$C$17=E15,R47,IF(C15=0,0,AE46))</f>
        <v>0</v>
      </c>
      <c r="AE47" s="98">
        <f t="shared" ca="1" si="9"/>
        <v>0</v>
      </c>
      <c r="AF47" s="98">
        <f ca="1">IF('Invoer gegevens'!$C$17=E15,X47,IF(C15=0,0,AG46))</f>
        <v>0</v>
      </c>
      <c r="AG47" s="98">
        <f t="shared" ca="1" si="10"/>
        <v>0</v>
      </c>
      <c r="AH47" s="66"/>
      <c r="AI47" s="71">
        <f ca="1">IF(C47=1,Reeksen!AI15*((F47-G47+F47)/2)*12+Reeksen!AD15*((L47-M47+L47)/2)*12,0)</f>
        <v>0</v>
      </c>
      <c r="AJ47" s="71">
        <f ca="1">-AI47*'Invoer gegevens'!$F$28</f>
        <v>0</v>
      </c>
      <c r="AK47" s="71">
        <f t="shared" ca="1" si="11"/>
        <v>0</v>
      </c>
      <c r="AL47" s="71">
        <f ca="1">IF(C47=1,Reeksen!AL15*((F47-G47+F47)/2)*12+Reeksen!AM15*((L47-M47+L47)/2)*12,0)</f>
        <v>0</v>
      </c>
      <c r="AM47" s="71">
        <f ca="1">-AL47*'Invoer gegevens'!$F$31</f>
        <v>0</v>
      </c>
      <c r="AN47" s="71">
        <f t="shared" ca="1" si="12"/>
        <v>0</v>
      </c>
      <c r="AO47" s="71">
        <f ca="1">IF(E47&gt;='Invoer gegevens'!$C$17+15,0,IF(C47=1,(H47+J47+N47+P47)*Reeksen!AN15,0))</f>
        <v>0</v>
      </c>
      <c r="AP47" s="71">
        <f ca="1">-IF(C47=1,(H47+J47+N47+P47)*'Hulp - basis'!$G$550*Reeksen!H15,0)</f>
        <v>0</v>
      </c>
      <c r="AQ47" s="71">
        <f ca="1">-IF(C47=1,(F47+K47+L47+Q47)/2*'Invoer gegevens'!$F$35*Reeksen!J15,0)</f>
        <v>0</v>
      </c>
      <c r="AR47" s="71"/>
      <c r="AS47" s="71">
        <f ca="1">-IF(C47=1,(F47+K47+L47+Q47)/2*'Invoer gegevens'!$F$37*Reeksen!L15,0)</f>
        <v>0</v>
      </c>
      <c r="AT47" s="71">
        <f>IF(Dashboard!$C$20&gt;10,-IF(C47=1,IF(E47='Invoer gegevens'!$C$17,'Invoer gegevens'!$C$11,AD47)*Reeksen!S15*'Invoer gegevens'!$C$18*Reeksen!P15,0),0)</f>
        <v>0</v>
      </c>
      <c r="AU47" s="71">
        <f ca="1">-IF(C47=1,(F47+K47+L47+Q47)/2*'Invoer gegevens'!$F$38*Reeksen!H15,0)</f>
        <v>0</v>
      </c>
      <c r="AV47" s="71">
        <f>IF('Invoer gegevens'!$C$3="Basis",0,#REF!)</f>
        <v>0</v>
      </c>
      <c r="AW47" s="71">
        <f t="shared" ca="1" si="13"/>
        <v>0</v>
      </c>
      <c r="AX47" s="72">
        <f ca="1">IF(E47='Invoer gegevens'!$C$17+14,'RW - MW - UP'!$AY$236,0)</f>
        <v>0</v>
      </c>
      <c r="AY47" s="72">
        <f ca="1">IFERROR(IF(E47='Invoer gegevens'!$C$17,-'Invoer gegevens'!$C$10*('Invoer gegevens'!$C$30+'Invoer gegevens'!$C$31)*Reeksen!H15,0),0)</f>
        <v>0</v>
      </c>
      <c r="AZ47" s="73">
        <f ca="1">IF('Invoer gegevens'!$C$34=E47,'Invoer gegevens'!$C$27*'Invoer gegevens'!$C$10*'Invoer gegevens'!$C$36*(IF('Invoer gegevens'!$C$35="ja",1,Reeksen!J15)),IF('Invoer gegevens'!$C$34+1=E47,'Invoer gegevens'!$C$27*'Invoer gegevens'!$C$10*'Invoer gegevens'!$C$37*(IF('Invoer gegevens'!$C$35="ja",1,Reeksen!J15)),0))+IF(AND(E47='Invoer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7" s="73">
        <f ca="1">AW47/(1+'Invoer gegevens'!$F$18)^($D47-('Invoer gegevens'!$C$17-'Invoer gegevens'!$C$16))/(1+'Invoer gegevens'!$C$39)^('Invoer gegevens'!$C$17-'Invoer gegevens'!$C$16)</f>
        <v>0</v>
      </c>
      <c r="BB47" s="73">
        <f ca="1">AX47/(1+'Invoer gegevens'!$F$18)^(E47-('Invoer gegevens'!$C$17-1))/(1+'Invoer gegevens'!$C$39)^('Invoer gegevens'!$C$17-'Invoer gegevens'!$C$16)</f>
        <v>0</v>
      </c>
      <c r="BC47" s="73">
        <f ca="1">AY47/(1+'Invoer gegevens'!$C$39)^('Invoer gegevens'!$C$17-'Invoer gegevens'!$C$16)</f>
        <v>0</v>
      </c>
      <c r="BD47" s="72">
        <f t="shared" ca="1" si="14"/>
        <v>0</v>
      </c>
      <c r="BE47" s="72">
        <f ca="1">IF(AND(E47='Invoer gegevens'!$C$16,'Invoer gegevens'!$C$34&lt;'Invoer gegevens'!$C$16),AZ47,AZ47/(1+'Invoer gegevens'!$C$39)^D47)</f>
        <v>0</v>
      </c>
      <c r="BF47" s="72">
        <f ca="1">IF(E47='Invoer gegevens'!$C$34,-'Invoer gegevens'!$F$40,0)</f>
        <v>0</v>
      </c>
      <c r="BG47" s="72">
        <f ca="1">IF(E47='Invoer gegevens'!$C$17,-'Invoer gegevens'!$C$19*$BD$63,0)</f>
        <v>0</v>
      </c>
      <c r="BH47" s="72">
        <f ca="1">AW47/(1+$BH$36)^($D47-('Invoer gegevens'!$C$17-'Invoer gegevens'!$C$16))/(1+'Invoer gegevens'!$C$39)^('Invoer gegevens'!$C$17-'Invoer gegevens'!$C$16)+AX47/(1+$BH$36)^(E47-('Invoer gegevens'!$C$17-1))/(1+'Invoer gegevens'!$C$39)^('Invoer gegevens'!$C$17-'Invoer gegevens'!$C$16)+AY47/(1+'Invoer gegevens'!$C$39)^('Invoer gegevens'!$C$17-'Invoer gegevens'!$C$16)+(-AZ47/(1+'Invoer gegevens'!$C$39)^D47)+BF47+BG47</f>
        <v>0</v>
      </c>
      <c r="BI47" s="59"/>
    </row>
    <row r="48" spans="1:61" x14ac:dyDescent="0.25">
      <c r="A48" s="59"/>
      <c r="B48" s="70">
        <f t="shared" si="15"/>
        <v>12</v>
      </c>
      <c r="C48" s="67">
        <f ca="1">IF(AND(E48&gt;='Invoer gegevens'!$C$17,E48&lt;'Invoer gegevens'!$C$17+15),1,0)</f>
        <v>1</v>
      </c>
      <c r="D48" s="68">
        <f t="shared" si="16"/>
        <v>11.5</v>
      </c>
      <c r="E48" s="69">
        <f ca="1">IF('Invoer gegevens'!$C$16="","",E47+1)</f>
        <v>2030</v>
      </c>
      <c r="F48" s="84">
        <f ca="1">IF('Invoer gegevens'!$C$17=E48,'Invoer gegevens'!$C$10,IF(C48=1,K47,0))</f>
        <v>0</v>
      </c>
      <c r="G48" s="96">
        <f ca="1">IF(E48='Invoer gegevens'!$C$17+15,K47,IF(C48&gt;=1,F48*VLOOKUP(E48,Reeksen!$A$5:$B$76,2),0))</f>
        <v>0</v>
      </c>
      <c r="H48" s="84">
        <f ca="1">IF(E48='Invoer gegevens'!$C$17+15,K47,(1-('Invoer gegevens'!$F$20/12))*F48*MIN(Reeksen!B16,Reeksen!D16))</f>
        <v>0</v>
      </c>
      <c r="I48" s="84">
        <f>IF(Reeksen!D16&lt;Reeksen!B16,(Reeksen!B16-Reeksen!D16)*F48,0)</f>
        <v>0</v>
      </c>
      <c r="J48" s="84">
        <f ca="1">IF(E48='Invoer gegevens'!$C$17+16,0,('Invoer gegevens'!$F$20/12)*F47*MIN(Reeksen!B15,Reeksen!D15))</f>
        <v>0</v>
      </c>
      <c r="K48" s="97">
        <f ca="1">IF(E48&gt;='Invoer gegevens'!$C$17+15,0,F48-G48)</f>
        <v>0</v>
      </c>
      <c r="L48" s="84">
        <f ca="1">IF('Invoer gegevens'!$C$17=E48,0,IF(C48=1,Q47,0))</f>
        <v>0</v>
      </c>
      <c r="M48" s="96">
        <f ca="1">IF(E48='Invoer gegevens'!$C$17+15,Q47,IF(C48&gt;=1,L48*VLOOKUP(E48,Reeksen!$A$5:$B$76,2),0))</f>
        <v>0</v>
      </c>
      <c r="N48" s="84">
        <f ca="1">IF(C48='Invoer gegevens'!$C$17+15,Q47,(1-('Invoer gegevens'!$F$20/12))*L48*MIN(Reeksen!B16,Reeksen!D16))</f>
        <v>0</v>
      </c>
      <c r="O48" s="84">
        <f>IF(Reeksen!D16&lt;Reeksen!B16,(Reeksen!B16-Reeksen!D16)*L48,0)</f>
        <v>0</v>
      </c>
      <c r="P48" s="84">
        <f ca="1">IF(E48='Invoer gegevens'!$C$17+16,0,('Invoer gegevens'!$F$20/12)*L47*MIN(Reeksen!B15,Reeksen!D15))</f>
        <v>0</v>
      </c>
      <c r="Q48" s="84">
        <f ca="1">IF(E48&gt;='Invoer gegevens'!$C$17+15,0,L48-M48+I48+O48)</f>
        <v>0</v>
      </c>
      <c r="R48" s="82">
        <f ca="1">IF('Invoer gegevens'!$C$17=E48,'Invoer gegevens'!$C$11,IF(C48=1,W47,0))</f>
        <v>0</v>
      </c>
      <c r="S48" s="86">
        <f ca="1">IF(E48='Invoer gegevens'!$C$17+15,W47,IF(C48&gt;=1,R48*VLOOKUP(E48,Reeksen!$A$5:$B$76,2),0))</f>
        <v>0</v>
      </c>
      <c r="T48" s="84">
        <f ca="1">IF(E48='Invoer gegevens'!$C$17+15,W47,(1-('Invoer gegevens'!$F$20/12))*R48*MIN(Reeksen!B16,Reeksen!D16))</f>
        <v>0</v>
      </c>
      <c r="U48" s="84">
        <f>IF(Reeksen!D16&gt;=Reeksen!B16,0,IF(Reeksen!AD16&lt;=Reeksen!AE16,(Reeksen!B16-Reeksen!D16)*R48,0))</f>
        <v>0</v>
      </c>
      <c r="V48" s="86">
        <f>IF(Reeksen!D16&gt;=Reeksen!B16,0,IF(Reeksen!AD16&gt;Reeksen!AE16,(Reeksen!B16-Reeksen!D16)*R48,0))</f>
        <v>0</v>
      </c>
      <c r="W48" s="97">
        <f ca="1">IF(E48&gt;='Invoer gegevens'!$C$17+15,0,R48-S48)</f>
        <v>0</v>
      </c>
      <c r="X48" s="98">
        <f ca="1">IF('Invoer gegevens'!$C$17=E48,'Invoer gegevens'!$C$10-'Invoer gegevens'!$C$11,IF(C48=1,AC47,0))</f>
        <v>0</v>
      </c>
      <c r="Y48" s="98">
        <f ca="1">IF(E48='Invoer gegevens'!$C$17+15,AC47,IF(C48&gt;=1,X48*VLOOKUP(E48,Reeksen!$A$5:$B$76,2),0))</f>
        <v>0</v>
      </c>
      <c r="Z48" s="98">
        <f ca="1">IF(E48='Invoer gegevens'!$C$17+15,AC47,(1-('Invoer gegevens'!$F$20/12))*X48*MIN(Reeksen!B16,Reeksen!D16))</f>
        <v>0</v>
      </c>
      <c r="AA48" s="98">
        <f>IF(Reeksen!D16&gt;=Reeksen!B16,0,IF(Reeksen!AD16&lt;=Reeksen!AE16,(Reeksen!B16-Reeksen!D16)*X48,0))</f>
        <v>0</v>
      </c>
      <c r="AB48" s="98">
        <f>IF(Reeksen!D16&gt;=Reeksen!B16,0,IF(Reeksen!AD16&gt;Reeksen!AE16,(Reeksen!B16-Reeksen!D16)*X48,0))</f>
        <v>0</v>
      </c>
      <c r="AC48" s="99">
        <f ca="1">IF(E48&gt;='Invoer gegevens'!$C$17+15,0,X48-Y48)</f>
        <v>0</v>
      </c>
      <c r="AD48" s="98">
        <f ca="1">IF('Invoer gegevens'!$C$17=E16,R48,IF(C16=0,0,AE47))</f>
        <v>0</v>
      </c>
      <c r="AE48" s="98">
        <f t="shared" ca="1" si="9"/>
        <v>0</v>
      </c>
      <c r="AF48" s="98">
        <f ca="1">IF('Invoer gegevens'!$C$17=E16,X48,IF(C16=0,0,AG47))</f>
        <v>0</v>
      </c>
      <c r="AG48" s="98">
        <f t="shared" ca="1" si="10"/>
        <v>0</v>
      </c>
      <c r="AH48" s="66"/>
      <c r="AI48" s="71">
        <f ca="1">IF(C48=1,Reeksen!AI16*((F48-G48+F48)/2)*12+Reeksen!AD16*((L48-M48+L48)/2)*12,0)</f>
        <v>0</v>
      </c>
      <c r="AJ48" s="71">
        <f ca="1">-AI48*'Invoer gegevens'!$F$28</f>
        <v>0</v>
      </c>
      <c r="AK48" s="71">
        <f t="shared" ca="1" si="11"/>
        <v>0</v>
      </c>
      <c r="AL48" s="71">
        <f ca="1">IF(C48=1,Reeksen!AL16*((F48-G48+F48)/2)*12+Reeksen!AM16*((L48-M48+L48)/2)*12,0)</f>
        <v>0</v>
      </c>
      <c r="AM48" s="71">
        <f ca="1">-AL48*'Invoer gegevens'!$F$31</f>
        <v>0</v>
      </c>
      <c r="AN48" s="71">
        <f t="shared" ca="1" si="12"/>
        <v>0</v>
      </c>
      <c r="AO48" s="71">
        <f ca="1">IF(E48&gt;='Invoer gegevens'!$C$17+15,0,IF(C48=1,(H48+J48+N48+P48)*Reeksen!AN16,0))</f>
        <v>0</v>
      </c>
      <c r="AP48" s="71">
        <f ca="1">-IF(C48=1,(H48+J48+N48+P48)*'Hulp - basis'!$G$550*Reeksen!H16,0)</f>
        <v>0</v>
      </c>
      <c r="AQ48" s="71">
        <f ca="1">-IF(C48=1,(F48+K48+L48+Q48)/2*'Invoer gegevens'!$F$35*Reeksen!J16,0)</f>
        <v>0</v>
      </c>
      <c r="AR48" s="71"/>
      <c r="AS48" s="71">
        <f ca="1">-IF(C48=1,(F48+K48+L48+Q48)/2*'Invoer gegevens'!$F$37*Reeksen!L16,0)</f>
        <v>0</v>
      </c>
      <c r="AT48" s="71">
        <f>IF(Dashboard!$C$20&gt;10,-IF(C48=1,IF(E48='Invoer gegevens'!$C$17,'Invoer gegevens'!$C$11,AD48)*Reeksen!S16*'Invoer gegevens'!$C$18*Reeksen!P16,0),0)</f>
        <v>0</v>
      </c>
      <c r="AU48" s="71">
        <f ca="1">-IF(C48=1,(F48+K48+L48+Q48)/2*'Invoer gegevens'!$F$38*Reeksen!H16,0)</f>
        <v>0</v>
      </c>
      <c r="AV48" s="71">
        <f>IF('Invoer gegevens'!$C$3="Basis",0,#REF!)</f>
        <v>0</v>
      </c>
      <c r="AW48" s="71">
        <f t="shared" ca="1" si="13"/>
        <v>0</v>
      </c>
      <c r="AX48" s="72">
        <f ca="1">IF(E48='Invoer gegevens'!$C$17+14,'RW - MW - UP'!$AY$236,0)</f>
        <v>0</v>
      </c>
      <c r="AY48" s="72">
        <f ca="1">IFERROR(IF(E48='Invoer gegevens'!$C$17,-'Invoer gegevens'!$C$10*('Invoer gegevens'!$C$30+'Invoer gegevens'!$C$31)*Reeksen!H16,0),0)</f>
        <v>0</v>
      </c>
      <c r="AZ48" s="73">
        <f ca="1">IF('Invoer gegevens'!$C$34=E48,'Invoer gegevens'!$C$27*'Invoer gegevens'!$C$10*'Invoer gegevens'!$C$36*(IF('Invoer gegevens'!$C$35="ja",1,Reeksen!J16)),IF('Invoer gegevens'!$C$34+1=E48,'Invoer gegevens'!$C$27*'Invoer gegevens'!$C$10*'Invoer gegevens'!$C$37*(IF('Invoer gegevens'!$C$35="ja",1,Reeksen!J16)),0))+IF(AND(E48='Invoer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8" s="73">
        <f ca="1">AW48/(1+'Invoer gegevens'!$F$18)^($D48-('Invoer gegevens'!$C$17-'Invoer gegevens'!$C$16))/(1+'Invoer gegevens'!$C$39)^('Invoer gegevens'!$C$17-'Invoer gegevens'!$C$16)</f>
        <v>0</v>
      </c>
      <c r="BB48" s="73">
        <f ca="1">AX48/(1+'Invoer gegevens'!$F$18)^(E48-('Invoer gegevens'!$C$17-1))/(1+'Invoer gegevens'!$C$39)^('Invoer gegevens'!$C$17-'Invoer gegevens'!$C$16)</f>
        <v>0</v>
      </c>
      <c r="BC48" s="73">
        <f ca="1">AY48/(1+'Invoer gegevens'!$C$39)^('Invoer gegevens'!$C$17-'Invoer gegevens'!$C$16)</f>
        <v>0</v>
      </c>
      <c r="BD48" s="72">
        <f t="shared" ca="1" si="14"/>
        <v>0</v>
      </c>
      <c r="BE48" s="72">
        <f ca="1">IF(AND(E48='Invoer gegevens'!$C$16,'Invoer gegevens'!$C$34&lt;'Invoer gegevens'!$C$16),AZ48,AZ48/(1+'Invoer gegevens'!$C$39)^D48)</f>
        <v>0</v>
      </c>
      <c r="BF48" s="72">
        <f ca="1">IF(E48='Invoer gegevens'!$C$34,-'Invoer gegevens'!$F$40,0)</f>
        <v>0</v>
      </c>
      <c r="BG48" s="72">
        <f ca="1">IF(E48='Invoer gegevens'!$C$17,-'Invoer gegevens'!$C$19*$BD$63,0)</f>
        <v>0</v>
      </c>
      <c r="BH48" s="72">
        <f ca="1">AW48/(1+$BH$36)^($D48-('Invoer gegevens'!$C$17-'Invoer gegevens'!$C$16))/(1+'Invoer gegevens'!$C$39)^('Invoer gegevens'!$C$17-'Invoer gegevens'!$C$16)+AX48/(1+$BH$36)^(E48-('Invoer gegevens'!$C$17-1))/(1+'Invoer gegevens'!$C$39)^('Invoer gegevens'!$C$17-'Invoer gegevens'!$C$16)+AY48/(1+'Invoer gegevens'!$C$39)^('Invoer gegevens'!$C$17-'Invoer gegevens'!$C$16)+(-AZ48/(1+'Invoer gegevens'!$C$39)^D48)+BF48+BG48</f>
        <v>0</v>
      </c>
      <c r="BI48" s="59"/>
    </row>
    <row r="49" spans="1:61" x14ac:dyDescent="0.25">
      <c r="A49" s="59"/>
      <c r="B49" s="70">
        <f t="shared" si="15"/>
        <v>13</v>
      </c>
      <c r="C49" s="67">
        <f ca="1">IF(AND(E49&gt;='Invoer gegevens'!$C$17,E49&lt;'Invoer gegevens'!$C$17+15),1,0)</f>
        <v>1</v>
      </c>
      <c r="D49" s="68">
        <f t="shared" si="16"/>
        <v>12.5</v>
      </c>
      <c r="E49" s="69">
        <f ca="1">IF('Invoer gegevens'!$C$16="","",E48+1)</f>
        <v>2031</v>
      </c>
      <c r="F49" s="84">
        <f ca="1">IF('Invoer gegevens'!$C$17=E49,'Invoer gegevens'!$C$10,IF(C49=1,K48,0))</f>
        <v>0</v>
      </c>
      <c r="G49" s="96">
        <f ca="1">IF(E49='Invoer gegevens'!$C$17+15,K48,IF(C49&gt;=1,F49*VLOOKUP(E49,Reeksen!$A$5:$B$76,2),0))</f>
        <v>0</v>
      </c>
      <c r="H49" s="84">
        <f ca="1">IF(E49='Invoer gegevens'!$C$17+15,K48,(1-('Invoer gegevens'!$F$20/12))*F49*MIN(Reeksen!B17,Reeksen!D17))</f>
        <v>0</v>
      </c>
      <c r="I49" s="84">
        <f>IF(Reeksen!D17&lt;Reeksen!B17,(Reeksen!B17-Reeksen!D17)*F49,0)</f>
        <v>0</v>
      </c>
      <c r="J49" s="84">
        <f ca="1">IF(E49='Invoer gegevens'!$C$17+16,0,('Invoer gegevens'!$F$20/12)*F48*MIN(Reeksen!B16,Reeksen!D16))</f>
        <v>0</v>
      </c>
      <c r="K49" s="97">
        <f ca="1">IF(E49&gt;='Invoer gegevens'!$C$17+15,0,F49-G49)</f>
        <v>0</v>
      </c>
      <c r="L49" s="84">
        <f ca="1">IF('Invoer gegevens'!$C$17=E49,0,IF(C49=1,Q48,0))</f>
        <v>0</v>
      </c>
      <c r="M49" s="96">
        <f ca="1">IF(E49='Invoer gegevens'!$C$17+15,Q48,IF(C49&gt;=1,L49*VLOOKUP(E49,Reeksen!$A$5:$B$76,2),0))</f>
        <v>0</v>
      </c>
      <c r="N49" s="84">
        <f ca="1">IF(C49='Invoer gegevens'!$C$17+15,Q48,(1-('Invoer gegevens'!$F$20/12))*L49*MIN(Reeksen!B17,Reeksen!D17))</f>
        <v>0</v>
      </c>
      <c r="O49" s="84">
        <f>IF(Reeksen!D17&lt;Reeksen!B17,(Reeksen!B17-Reeksen!D17)*L49,0)</f>
        <v>0</v>
      </c>
      <c r="P49" s="84">
        <f ca="1">IF(E49='Invoer gegevens'!$C$17+16,0,('Invoer gegevens'!$F$20/12)*L48*MIN(Reeksen!B16,Reeksen!D16))</f>
        <v>0</v>
      </c>
      <c r="Q49" s="84">
        <f ca="1">IF(E49&gt;='Invoer gegevens'!$C$17+15,0,L49-M49+I49+O49)</f>
        <v>0</v>
      </c>
      <c r="R49" s="82">
        <f ca="1">IF('Invoer gegevens'!$C$17=E49,'Invoer gegevens'!$C$11,IF(C49=1,W48,0))</f>
        <v>0</v>
      </c>
      <c r="S49" s="86">
        <f ca="1">IF(E49='Invoer gegevens'!$C$17+15,W48,IF(C49&gt;=1,R49*VLOOKUP(E49,Reeksen!$A$5:$B$76,2),0))</f>
        <v>0</v>
      </c>
      <c r="T49" s="84">
        <f ca="1">IF(E49='Invoer gegevens'!$C$17+15,W48,(1-('Invoer gegevens'!$F$20/12))*R49*MIN(Reeksen!B17,Reeksen!D17))</f>
        <v>0</v>
      </c>
      <c r="U49" s="84">
        <f>IF(Reeksen!D17&gt;=Reeksen!B17,0,IF(Reeksen!AD17&lt;=Reeksen!AE17,(Reeksen!B17-Reeksen!D17)*R49,0))</f>
        <v>0</v>
      </c>
      <c r="V49" s="86">
        <f>IF(Reeksen!D17&gt;=Reeksen!B17,0,IF(Reeksen!AD17&gt;Reeksen!AE17,(Reeksen!B17-Reeksen!D17)*R49,0))</f>
        <v>0</v>
      </c>
      <c r="W49" s="97">
        <f ca="1">IF(E49&gt;='Invoer gegevens'!$C$17+15,0,R49-S49)</f>
        <v>0</v>
      </c>
      <c r="X49" s="98">
        <f ca="1">IF('Invoer gegevens'!$C$17=E49,'Invoer gegevens'!$C$10-'Invoer gegevens'!$C$11,IF(C49=1,AC48,0))</f>
        <v>0</v>
      </c>
      <c r="Y49" s="98">
        <f ca="1">IF(E49='Invoer gegevens'!$C$17+15,AC48,IF(C49&gt;=1,X49*VLOOKUP(E49,Reeksen!$A$5:$B$76,2),0))</f>
        <v>0</v>
      </c>
      <c r="Z49" s="98">
        <f ca="1">IF(E49='Invoer gegevens'!$C$17+15,AC48,(1-('Invoer gegevens'!$F$20/12))*X49*MIN(Reeksen!B17,Reeksen!D17))</f>
        <v>0</v>
      </c>
      <c r="AA49" s="98">
        <f>IF(Reeksen!D17&gt;=Reeksen!B17,0,IF(Reeksen!AD17&lt;=Reeksen!AE17,(Reeksen!B17-Reeksen!D17)*X49,0))</f>
        <v>0</v>
      </c>
      <c r="AB49" s="98">
        <f>IF(Reeksen!D17&gt;=Reeksen!B17,0,IF(Reeksen!AD17&gt;Reeksen!AE17,(Reeksen!B17-Reeksen!D17)*X49,0))</f>
        <v>0</v>
      </c>
      <c r="AC49" s="99">
        <f ca="1">IF(E49&gt;='Invoer gegevens'!$C$17+15,0,X49-Y49)</f>
        <v>0</v>
      </c>
      <c r="AD49" s="98">
        <f ca="1">IF('Invoer gegevens'!$C$17=E17,R49,IF(C17=0,0,AE48))</f>
        <v>0</v>
      </c>
      <c r="AE49" s="98">
        <f t="shared" ca="1" si="9"/>
        <v>0</v>
      </c>
      <c r="AF49" s="98">
        <f ca="1">IF('Invoer gegevens'!$C$17=E17,X49,IF(C17=0,0,AG48))</f>
        <v>0</v>
      </c>
      <c r="AG49" s="98">
        <f t="shared" ca="1" si="10"/>
        <v>0</v>
      </c>
      <c r="AH49" s="66"/>
      <c r="AI49" s="71">
        <f ca="1">IF(C49=1,Reeksen!AI17*((F49-G49+F49)/2)*12+Reeksen!AD17*((L49-M49+L49)/2)*12,0)</f>
        <v>0</v>
      </c>
      <c r="AJ49" s="71">
        <f ca="1">-AI49*'Invoer gegevens'!$F$28</f>
        <v>0</v>
      </c>
      <c r="AK49" s="71">
        <f t="shared" ca="1" si="11"/>
        <v>0</v>
      </c>
      <c r="AL49" s="71">
        <f ca="1">IF(C49=1,Reeksen!AL17*((F49-G49+F49)/2)*12+Reeksen!AM17*((L49-M49+L49)/2)*12,0)</f>
        <v>0</v>
      </c>
      <c r="AM49" s="71">
        <f ca="1">-AL49*'Invoer gegevens'!$F$31</f>
        <v>0</v>
      </c>
      <c r="AN49" s="71">
        <f t="shared" ca="1" si="12"/>
        <v>0</v>
      </c>
      <c r="AO49" s="71">
        <f ca="1">IF(E49&gt;='Invoer gegevens'!$C$17+15,0,IF(C49=1,(H49+J49+N49+P49)*Reeksen!AN17,0))</f>
        <v>0</v>
      </c>
      <c r="AP49" s="71">
        <f ca="1">-IF(C49=1,(H49+J49+N49+P49)*'Hulp - basis'!$G$550*Reeksen!H17,0)</f>
        <v>0</v>
      </c>
      <c r="AQ49" s="71">
        <f ca="1">-IF(C49=1,(F49+K49+L49+Q49)/2*'Invoer gegevens'!$F$35*Reeksen!J17,0)</f>
        <v>0</v>
      </c>
      <c r="AR49" s="71"/>
      <c r="AS49" s="71">
        <f ca="1">-IF(C49=1,(F49+K49+L49+Q49)/2*'Invoer gegevens'!$F$37*Reeksen!L17,0)</f>
        <v>0</v>
      </c>
      <c r="AT49" s="71">
        <f>IF(Dashboard!$C$20&gt;10,-IF(C49=1,IF(E49='Invoer gegevens'!$C$17,'Invoer gegevens'!$C$11,AD49)*Reeksen!S17*'Invoer gegevens'!$C$18*Reeksen!P17,0),0)</f>
        <v>0</v>
      </c>
      <c r="AU49" s="71">
        <f ca="1">-IF(C49=1,(F49+K49+L49+Q49)/2*'Invoer gegevens'!$F$38*Reeksen!H17,0)</f>
        <v>0</v>
      </c>
      <c r="AV49" s="71">
        <f>IF('Invoer gegevens'!$C$3="Basis",0,#REF!)</f>
        <v>0</v>
      </c>
      <c r="AW49" s="71">
        <f t="shared" ca="1" si="13"/>
        <v>0</v>
      </c>
      <c r="AX49" s="72">
        <f ca="1">IF(E49='Invoer gegevens'!$C$17+14,'RW - MW - UP'!$AY$236,0)</f>
        <v>0</v>
      </c>
      <c r="AY49" s="72">
        <f ca="1">IFERROR(IF(E49='Invoer gegevens'!$C$17,-'Invoer gegevens'!$C$10*('Invoer gegevens'!$C$30+'Invoer gegevens'!$C$31)*Reeksen!H17,0),0)</f>
        <v>0</v>
      </c>
      <c r="AZ49" s="73">
        <f ca="1">IF('Invoer gegevens'!$C$34=E49,'Invoer gegevens'!$C$27*'Invoer gegevens'!$C$10*'Invoer gegevens'!$C$36*(IF('Invoer gegevens'!$C$35="ja",1,Reeksen!J17)),IF('Invoer gegevens'!$C$34+1=E49,'Invoer gegevens'!$C$27*'Invoer gegevens'!$C$10*'Invoer gegevens'!$C$37*(IF('Invoer gegevens'!$C$35="ja",1,Reeksen!J17)),0))+IF(AND(E49='Invoer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9" s="73">
        <f ca="1">AW49/(1+'Invoer gegevens'!$F$18)^($D49-('Invoer gegevens'!$C$17-'Invoer gegevens'!$C$16))/(1+'Invoer gegevens'!$C$39)^('Invoer gegevens'!$C$17-'Invoer gegevens'!$C$16)</f>
        <v>0</v>
      </c>
      <c r="BB49" s="73">
        <f ca="1">AX49/(1+'Invoer gegevens'!$F$18)^(E49-('Invoer gegevens'!$C$17-1))/(1+'Invoer gegevens'!$C$39)^('Invoer gegevens'!$C$17-'Invoer gegevens'!$C$16)</f>
        <v>0</v>
      </c>
      <c r="BC49" s="73">
        <f ca="1">AY49/(1+'Invoer gegevens'!$C$39)^('Invoer gegevens'!$C$17-'Invoer gegevens'!$C$16)</f>
        <v>0</v>
      </c>
      <c r="BD49" s="72">
        <f t="shared" ca="1" si="14"/>
        <v>0</v>
      </c>
      <c r="BE49" s="72">
        <f ca="1">IF(AND(E49='Invoer gegevens'!$C$16,'Invoer gegevens'!$C$34&lt;'Invoer gegevens'!$C$16),AZ49,AZ49/(1+'Invoer gegevens'!$C$39)^D49)</f>
        <v>0</v>
      </c>
      <c r="BF49" s="72">
        <f ca="1">IF(E49='Invoer gegevens'!$C$34,-'Invoer gegevens'!$F$40,0)</f>
        <v>0</v>
      </c>
      <c r="BG49" s="72">
        <f ca="1">IF(E49='Invoer gegevens'!$C$17,-'Invoer gegevens'!$C$19*$BD$63,0)</f>
        <v>0</v>
      </c>
      <c r="BH49" s="72">
        <f ca="1">AW49/(1+$BH$36)^($D49-('Invoer gegevens'!$C$17-'Invoer gegevens'!$C$16))/(1+'Invoer gegevens'!$C$39)^('Invoer gegevens'!$C$17-'Invoer gegevens'!$C$16)+AX49/(1+$BH$36)^(E49-('Invoer gegevens'!$C$17-1))/(1+'Invoer gegevens'!$C$39)^('Invoer gegevens'!$C$17-'Invoer gegevens'!$C$16)+AY49/(1+'Invoer gegevens'!$C$39)^('Invoer gegevens'!$C$17-'Invoer gegevens'!$C$16)+(-AZ49/(1+'Invoer gegevens'!$C$39)^D49)+BF49+BG49</f>
        <v>0</v>
      </c>
      <c r="BI49" s="59"/>
    </row>
    <row r="50" spans="1:61" x14ac:dyDescent="0.25">
      <c r="A50" s="59"/>
      <c r="B50" s="70">
        <f t="shared" si="15"/>
        <v>14</v>
      </c>
      <c r="C50" s="67">
        <f ca="1">IF(AND(E50&gt;='Invoer gegevens'!$C$17,E50&lt;'Invoer gegevens'!$C$17+15),1,0)</f>
        <v>1</v>
      </c>
      <c r="D50" s="68">
        <f t="shared" si="16"/>
        <v>13.5</v>
      </c>
      <c r="E50" s="69">
        <f ca="1">IF('Invoer gegevens'!$C$16="","",E49+1)</f>
        <v>2032</v>
      </c>
      <c r="F50" s="84">
        <f ca="1">IF('Invoer gegevens'!$C$17=E50,'Invoer gegevens'!$C$10,IF(C50=1,K49,0))</f>
        <v>0</v>
      </c>
      <c r="G50" s="96">
        <f ca="1">IF(E50='Invoer gegevens'!$C$17+15,K49,IF(C50&gt;=1,F50*VLOOKUP(E50,Reeksen!$A$5:$B$76,2),0))</f>
        <v>0</v>
      </c>
      <c r="H50" s="84">
        <f ca="1">IF(E50='Invoer gegevens'!$C$17+15,K49,(1-('Invoer gegevens'!$F$20/12))*F50*MIN(Reeksen!B18,Reeksen!D18))</f>
        <v>0</v>
      </c>
      <c r="I50" s="84">
        <f>IF(Reeksen!D18&lt;Reeksen!B18,(Reeksen!B18-Reeksen!D18)*F50,0)</f>
        <v>0</v>
      </c>
      <c r="J50" s="84">
        <f ca="1">IF(E50='Invoer gegevens'!$C$17+16,0,('Invoer gegevens'!$F$20/12)*F49*MIN(Reeksen!B17,Reeksen!D17))</f>
        <v>0</v>
      </c>
      <c r="K50" s="97">
        <f ca="1">IF(E50&gt;='Invoer gegevens'!$C$17+15,0,F50-G50)</f>
        <v>0</v>
      </c>
      <c r="L50" s="84">
        <f ca="1">IF('Invoer gegevens'!$C$17=E50,0,IF(C50=1,Q49,0))</f>
        <v>0</v>
      </c>
      <c r="M50" s="96">
        <f ca="1">IF(E50='Invoer gegevens'!$C$17+15,Q49,IF(C50&gt;=1,L50*VLOOKUP(E50,Reeksen!$A$5:$B$76,2),0))</f>
        <v>0</v>
      </c>
      <c r="N50" s="84">
        <f ca="1">IF(C50='Invoer gegevens'!$C$17+15,Q49,(1-('Invoer gegevens'!$F$20/12))*L50*MIN(Reeksen!B18,Reeksen!D18))</f>
        <v>0</v>
      </c>
      <c r="O50" s="84">
        <f>IF(Reeksen!D18&lt;Reeksen!B18,(Reeksen!B18-Reeksen!D18)*L50,0)</f>
        <v>0</v>
      </c>
      <c r="P50" s="84">
        <f ca="1">IF(E50='Invoer gegevens'!$C$17+16,0,('Invoer gegevens'!$F$20/12)*L49*MIN(Reeksen!B17,Reeksen!D17))</f>
        <v>0</v>
      </c>
      <c r="Q50" s="84">
        <f ca="1">IF(E50&gt;='Invoer gegevens'!$C$17+15,0,L50-M50+I50+O50)</f>
        <v>0</v>
      </c>
      <c r="R50" s="82">
        <f ca="1">IF('Invoer gegevens'!$C$17=E50,'Invoer gegevens'!$C$11,IF(C50=1,W49,0))</f>
        <v>0</v>
      </c>
      <c r="S50" s="86">
        <f ca="1">IF(E50='Invoer gegevens'!$C$17+15,W49,IF(C50&gt;=1,R50*VLOOKUP(E50,Reeksen!$A$5:$B$76,2),0))</f>
        <v>0</v>
      </c>
      <c r="T50" s="84">
        <f ca="1">IF(E50='Invoer gegevens'!$C$17+15,W49,(1-('Invoer gegevens'!$F$20/12))*R50*MIN(Reeksen!B18,Reeksen!D18))</f>
        <v>0</v>
      </c>
      <c r="U50" s="84">
        <f>IF(Reeksen!D18&gt;=Reeksen!B18,0,IF(Reeksen!AD18&lt;=Reeksen!AE18,(Reeksen!B18-Reeksen!D18)*R50,0))</f>
        <v>0</v>
      </c>
      <c r="V50" s="86">
        <f>IF(Reeksen!D18&gt;=Reeksen!B18,0,IF(Reeksen!AD18&gt;Reeksen!AE18,(Reeksen!B18-Reeksen!D18)*R50,0))</f>
        <v>0</v>
      </c>
      <c r="W50" s="97">
        <f ca="1">IF(E50&gt;='Invoer gegevens'!$C$17+15,0,R50-S50)</f>
        <v>0</v>
      </c>
      <c r="X50" s="98">
        <f ca="1">IF('Invoer gegevens'!$C$17=E50,'Invoer gegevens'!$C$10-'Invoer gegevens'!$C$11,IF(C50=1,AC49,0))</f>
        <v>0</v>
      </c>
      <c r="Y50" s="98">
        <f ca="1">IF(E50='Invoer gegevens'!$C$17+15,AC49,IF(C50&gt;=1,X50*VLOOKUP(E50,Reeksen!$A$5:$B$76,2),0))</f>
        <v>0</v>
      </c>
      <c r="Z50" s="98">
        <f ca="1">IF(E50='Invoer gegevens'!$C$17+15,AC49,(1-('Invoer gegevens'!$F$20/12))*X50*MIN(Reeksen!B18,Reeksen!D18))</f>
        <v>0</v>
      </c>
      <c r="AA50" s="98">
        <f>IF(Reeksen!D18&gt;=Reeksen!B18,0,IF(Reeksen!AD18&lt;=Reeksen!AE18,(Reeksen!B18-Reeksen!D18)*X50,0))</f>
        <v>0</v>
      </c>
      <c r="AB50" s="98">
        <f>IF(Reeksen!D18&gt;=Reeksen!B18,0,IF(Reeksen!AD18&gt;Reeksen!AE18,(Reeksen!B18-Reeksen!D18)*X50,0))</f>
        <v>0</v>
      </c>
      <c r="AC50" s="99">
        <f ca="1">IF(E50&gt;='Invoer gegevens'!$C$17+15,0,X50-Y50)</f>
        <v>0</v>
      </c>
      <c r="AD50" s="98">
        <f ca="1">IF('Invoer gegevens'!$C$17=E18,R50,IF(C18=0,0,AE49))</f>
        <v>0</v>
      </c>
      <c r="AE50" s="98">
        <f t="shared" ca="1" si="9"/>
        <v>0</v>
      </c>
      <c r="AF50" s="98">
        <f ca="1">IF('Invoer gegevens'!$C$17=E18,X50,IF(C18=0,0,AG49))</f>
        <v>0</v>
      </c>
      <c r="AG50" s="98">
        <f t="shared" ca="1" si="10"/>
        <v>0</v>
      </c>
      <c r="AH50" s="66"/>
      <c r="AI50" s="71">
        <f ca="1">IF(C50=1,Reeksen!AI18*((F50-G50+F50)/2)*12+Reeksen!AD18*((L50-M50+L50)/2)*12,0)</f>
        <v>0</v>
      </c>
      <c r="AJ50" s="71">
        <f ca="1">-AI50*'Invoer gegevens'!$F$28</f>
        <v>0</v>
      </c>
      <c r="AK50" s="71">
        <f t="shared" ca="1" si="11"/>
        <v>0</v>
      </c>
      <c r="AL50" s="71">
        <f ca="1">IF(C50=1,Reeksen!AL18*((F50-G50+F50)/2)*12+Reeksen!AM18*((L50-M50+L50)/2)*12,0)</f>
        <v>0</v>
      </c>
      <c r="AM50" s="71">
        <f ca="1">-AL50*'Invoer gegevens'!$F$31</f>
        <v>0</v>
      </c>
      <c r="AN50" s="71">
        <f t="shared" ca="1" si="12"/>
        <v>0</v>
      </c>
      <c r="AO50" s="71">
        <f ca="1">IF(E50&gt;='Invoer gegevens'!$C$17+15,0,IF(C50=1,(H50+J50+N50+P50)*Reeksen!AN18,0))</f>
        <v>0</v>
      </c>
      <c r="AP50" s="71">
        <f ca="1">-IF(C50=1,(H50+J50+N50+P50)*'Hulp - basis'!$G$550*Reeksen!H18,0)</f>
        <v>0</v>
      </c>
      <c r="AQ50" s="71">
        <f ca="1">-IF(C50=1,(F50+K50+L50+Q50)/2*'Invoer gegevens'!$F$35*Reeksen!J18,0)</f>
        <v>0</v>
      </c>
      <c r="AR50" s="71"/>
      <c r="AS50" s="71">
        <f ca="1">-IF(C50=1,(F50+K50+L50+Q50)/2*'Invoer gegevens'!$F$37*Reeksen!L18,0)</f>
        <v>0</v>
      </c>
      <c r="AT50" s="71">
        <f>IF(Dashboard!$C$20&gt;10,-IF(C50=1,IF(E50='Invoer gegevens'!$C$17,'Invoer gegevens'!$C$11,AD50)*Reeksen!S18*'Invoer gegevens'!$C$18*Reeksen!P18,0),0)</f>
        <v>0</v>
      </c>
      <c r="AU50" s="71">
        <f ca="1">-IF(C50=1,(F50+K50+L50+Q50)/2*'Invoer gegevens'!$F$38*Reeksen!H18,0)</f>
        <v>0</v>
      </c>
      <c r="AV50" s="71">
        <f>IF('Invoer gegevens'!$C$3="Basis",0,#REF!)</f>
        <v>0</v>
      </c>
      <c r="AW50" s="71">
        <f t="shared" ca="1" si="13"/>
        <v>0</v>
      </c>
      <c r="AX50" s="72">
        <f ca="1">IF(E50='Invoer gegevens'!$C$17+14,'RW - MW - UP'!$AY$236,0)</f>
        <v>0</v>
      </c>
      <c r="AY50" s="72">
        <f ca="1">IFERROR(IF(E50='Invoer gegevens'!$C$17,-'Invoer gegevens'!$C$10*('Invoer gegevens'!$C$30+'Invoer gegevens'!$C$31)*Reeksen!H18,0),0)</f>
        <v>0</v>
      </c>
      <c r="AZ50" s="73">
        <f ca="1">IF('Invoer gegevens'!$C$34=E50,'Invoer gegevens'!$C$27*'Invoer gegevens'!$C$10*'Invoer gegevens'!$C$36*(IF('Invoer gegevens'!$C$35="ja",1,Reeksen!J18)),IF('Invoer gegevens'!$C$34+1=E50,'Invoer gegevens'!$C$27*'Invoer gegevens'!$C$10*'Invoer gegevens'!$C$37*(IF('Invoer gegevens'!$C$35="ja",1,Reeksen!J18)),0))+IF(AND(E50='Invoer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0" s="73">
        <f ca="1">AW50/(1+'Invoer gegevens'!$F$18)^($D50-('Invoer gegevens'!$C$17-'Invoer gegevens'!$C$16))/(1+'Invoer gegevens'!$C$39)^('Invoer gegevens'!$C$17-'Invoer gegevens'!$C$16)</f>
        <v>0</v>
      </c>
      <c r="BB50" s="73">
        <f ca="1">AX50/(1+'Invoer gegevens'!$F$18)^(E50-('Invoer gegevens'!$C$17-1))/(1+'Invoer gegevens'!$C$39)^('Invoer gegevens'!$C$17-'Invoer gegevens'!$C$16)</f>
        <v>0</v>
      </c>
      <c r="BC50" s="73">
        <f ca="1">AY50/(1+'Invoer gegevens'!$C$39)^('Invoer gegevens'!$C$17-'Invoer gegevens'!$C$16)</f>
        <v>0</v>
      </c>
      <c r="BD50" s="72">
        <f t="shared" ca="1" si="14"/>
        <v>0</v>
      </c>
      <c r="BE50" s="72">
        <f ca="1">IF(AND(E50='Invoer gegevens'!$C$16,'Invoer gegevens'!$C$34&lt;'Invoer gegevens'!$C$16),AZ50,AZ50/(1+'Invoer gegevens'!$C$39)^D50)</f>
        <v>0</v>
      </c>
      <c r="BF50" s="72">
        <f ca="1">IF(E50='Invoer gegevens'!$C$34,-'Invoer gegevens'!$F$40,0)</f>
        <v>0</v>
      </c>
      <c r="BG50" s="72">
        <f ca="1">IF(E50='Invoer gegevens'!$C$17,-'Invoer gegevens'!$C$19*$BD$63,0)</f>
        <v>0</v>
      </c>
      <c r="BH50" s="72">
        <f ca="1">AW50/(1+$BH$36)^($D50-('Invoer gegevens'!$C$17-'Invoer gegevens'!$C$16))/(1+'Invoer gegevens'!$C$39)^('Invoer gegevens'!$C$17-'Invoer gegevens'!$C$16)+AX50/(1+$BH$36)^(E50-('Invoer gegevens'!$C$17-1))/(1+'Invoer gegevens'!$C$39)^('Invoer gegevens'!$C$17-'Invoer gegevens'!$C$16)+AY50/(1+'Invoer gegevens'!$C$39)^('Invoer gegevens'!$C$17-'Invoer gegevens'!$C$16)+(-AZ50/(1+'Invoer gegevens'!$C$39)^D50)+BF50+BG50</f>
        <v>0</v>
      </c>
      <c r="BI50" s="59"/>
    </row>
    <row r="51" spans="1:61" x14ac:dyDescent="0.25">
      <c r="A51" s="59"/>
      <c r="B51" s="70">
        <f t="shared" si="15"/>
        <v>15</v>
      </c>
      <c r="C51" s="67">
        <f ca="1">IF(AND(E51&gt;='Invoer gegevens'!$C$17,E51&lt;'Invoer gegevens'!$C$17+15),1,0)</f>
        <v>1</v>
      </c>
      <c r="D51" s="68">
        <f t="shared" si="16"/>
        <v>14.5</v>
      </c>
      <c r="E51" s="69">
        <f ca="1">IF('Invoer gegevens'!$C$16="","",E50+1)</f>
        <v>2033</v>
      </c>
      <c r="F51" s="84">
        <f ca="1">IF('Invoer gegevens'!$C$17=E51,'Invoer gegevens'!$C$10,IF(C51=1,K50,0))</f>
        <v>0</v>
      </c>
      <c r="G51" s="96">
        <f ca="1">IF(E51='Invoer gegevens'!$C$17+15,K50,IF(C51&gt;=1,F51*VLOOKUP(E51,Reeksen!$A$5:$B$76,2),0))</f>
        <v>0</v>
      </c>
      <c r="H51" s="84">
        <f ca="1">IF(E51='Invoer gegevens'!$C$17+15,K50,(1-('Invoer gegevens'!$F$20/12))*F51*MIN(Reeksen!B19,Reeksen!D19))</f>
        <v>0</v>
      </c>
      <c r="I51" s="84">
        <f>IF(Reeksen!D19&lt;Reeksen!B19,(Reeksen!B19-Reeksen!D19)*F51,0)</f>
        <v>0</v>
      </c>
      <c r="J51" s="84">
        <f ca="1">IF(E51='Invoer gegevens'!$C$17+16,0,('Invoer gegevens'!$F$20/12)*F50*MIN(Reeksen!B18,Reeksen!D18))</f>
        <v>0</v>
      </c>
      <c r="K51" s="97">
        <f ca="1">IF(E51&gt;='Invoer gegevens'!$C$17+15,0,F51-G51)</f>
        <v>0</v>
      </c>
      <c r="L51" s="84">
        <f ca="1">IF('Invoer gegevens'!$C$17=E51,0,IF(C51=1,Q50,0))</f>
        <v>0</v>
      </c>
      <c r="M51" s="96">
        <f ca="1">IF(E51='Invoer gegevens'!$C$17+15,Q50,IF(C51&gt;=1,L51*VLOOKUP(E51,Reeksen!$A$5:$B$76,2),0))</f>
        <v>0</v>
      </c>
      <c r="N51" s="84">
        <f ca="1">IF(C51='Invoer gegevens'!$C$17+15,Q50,(1-('Invoer gegevens'!$F$20/12))*L51*MIN(Reeksen!B19,Reeksen!D19))</f>
        <v>0</v>
      </c>
      <c r="O51" s="84">
        <f>IF(Reeksen!D19&lt;Reeksen!B19,(Reeksen!B19-Reeksen!D19)*L51,0)</f>
        <v>0</v>
      </c>
      <c r="P51" s="84">
        <f ca="1">IF(E51='Invoer gegevens'!$C$17+16,0,('Invoer gegevens'!$F$20/12)*L50*MIN(Reeksen!B18,Reeksen!D18))</f>
        <v>0</v>
      </c>
      <c r="Q51" s="84">
        <f ca="1">IF(E51&gt;='Invoer gegevens'!$C$17+15,0,L51-M51+I51+O51)</f>
        <v>0</v>
      </c>
      <c r="R51" s="82">
        <f ca="1">IF('Invoer gegevens'!$C$17=E51,'Invoer gegevens'!$C$11,IF(C51=1,W50,0))</f>
        <v>0</v>
      </c>
      <c r="S51" s="86">
        <f ca="1">IF(E51='Invoer gegevens'!$C$17+15,W50,IF(C51&gt;=1,R51*VLOOKUP(E51,Reeksen!$A$5:$B$76,2),0))</f>
        <v>0</v>
      </c>
      <c r="T51" s="84">
        <f ca="1">IF(E51='Invoer gegevens'!$C$17+15,W50,(1-('Invoer gegevens'!$F$20/12))*R51*MIN(Reeksen!B19,Reeksen!D19))</f>
        <v>0</v>
      </c>
      <c r="U51" s="84">
        <f>IF(Reeksen!D19&gt;=Reeksen!B19,0,IF(Reeksen!AD19&lt;=Reeksen!AE19,(Reeksen!B19-Reeksen!D19)*R51,0))</f>
        <v>0</v>
      </c>
      <c r="V51" s="86">
        <f>IF(Reeksen!D19&gt;=Reeksen!B19,0,IF(Reeksen!AD19&gt;Reeksen!AE19,(Reeksen!B19-Reeksen!D19)*R51,0))</f>
        <v>0</v>
      </c>
      <c r="W51" s="97">
        <f ca="1">IF(E51&gt;='Invoer gegevens'!$C$17+15,0,R51-S51)</f>
        <v>0</v>
      </c>
      <c r="X51" s="98">
        <f ca="1">IF('Invoer gegevens'!$C$17=E51,'Invoer gegevens'!$C$10-'Invoer gegevens'!$C$11,IF(C51=1,AC50,0))</f>
        <v>0</v>
      </c>
      <c r="Y51" s="98">
        <f ca="1">IF(E51='Invoer gegevens'!$C$17+15,AC50,IF(C51&gt;=1,X51*VLOOKUP(E51,Reeksen!$A$5:$B$76,2),0))</f>
        <v>0</v>
      </c>
      <c r="Z51" s="98">
        <f ca="1">IF(E51='Invoer gegevens'!$C$17+15,AC50,(1-('Invoer gegevens'!$F$20/12))*X51*MIN(Reeksen!B19,Reeksen!D19))</f>
        <v>0</v>
      </c>
      <c r="AA51" s="98">
        <f>IF(Reeksen!D19&gt;=Reeksen!B19,0,IF(Reeksen!AD19&lt;=Reeksen!AE19,(Reeksen!B19-Reeksen!D19)*X51,0))</f>
        <v>0</v>
      </c>
      <c r="AB51" s="98">
        <f>IF(Reeksen!D19&gt;=Reeksen!B19,0,IF(Reeksen!AD19&gt;Reeksen!AE19,(Reeksen!B19-Reeksen!D19)*X51,0))</f>
        <v>0</v>
      </c>
      <c r="AC51" s="99">
        <f ca="1">IF(E51&gt;='Invoer gegevens'!$C$17+15,0,X51-Y51)</f>
        <v>0</v>
      </c>
      <c r="AD51" s="98">
        <f ca="1">IF('Invoer gegevens'!$C$17=E19,R51,IF(C19=0,0,AE50))</f>
        <v>0</v>
      </c>
      <c r="AE51" s="98">
        <f t="shared" ca="1" si="9"/>
        <v>0</v>
      </c>
      <c r="AF51" s="98">
        <f ca="1">IF('Invoer gegevens'!$C$17=E19,X51,IF(C19=0,0,AG50))</f>
        <v>0</v>
      </c>
      <c r="AG51" s="98">
        <f t="shared" ca="1" si="10"/>
        <v>0</v>
      </c>
      <c r="AH51" s="66"/>
      <c r="AI51" s="71">
        <f ca="1">IF(C51=1,Reeksen!AI19*((F51-G51+F51)/2)*12+Reeksen!AD19*((L51-M51+L51)/2)*12,0)</f>
        <v>0</v>
      </c>
      <c r="AJ51" s="71">
        <f ca="1">-AI51*'Invoer gegevens'!$F$28</f>
        <v>0</v>
      </c>
      <c r="AK51" s="71">
        <f t="shared" ca="1" si="11"/>
        <v>0</v>
      </c>
      <c r="AL51" s="71">
        <f ca="1">IF(C51=1,Reeksen!AL19*((F51-G51+F51)/2)*12+Reeksen!AM19*((L51-M51+L51)/2)*12,0)</f>
        <v>0</v>
      </c>
      <c r="AM51" s="71">
        <f ca="1">-AL51*'Invoer gegevens'!$F$31</f>
        <v>0</v>
      </c>
      <c r="AN51" s="71">
        <f t="shared" ca="1" si="12"/>
        <v>0</v>
      </c>
      <c r="AO51" s="71">
        <f ca="1">IF(E51&gt;='Invoer gegevens'!$C$17+15,0,IF(C51=1,(H51+J51+N51+P51)*Reeksen!AN19,0))</f>
        <v>0</v>
      </c>
      <c r="AP51" s="71">
        <f ca="1">-IF(C51=1,(H51+J51+N51+P51)*'Hulp - basis'!$G$550*Reeksen!H19,0)</f>
        <v>0</v>
      </c>
      <c r="AQ51" s="71">
        <f ca="1">-IF(C51=1,(F51+K51+L51+Q51)/2*'Invoer gegevens'!$F$35*Reeksen!J19,0)</f>
        <v>0</v>
      </c>
      <c r="AR51" s="71"/>
      <c r="AS51" s="71">
        <f ca="1">-IF(C51=1,(F51+K51+L51+Q51)/2*'Invoer gegevens'!$F$37*Reeksen!L19,0)</f>
        <v>0</v>
      </c>
      <c r="AT51" s="71">
        <f>IF(Dashboard!$C$20&gt;10,-IF(C51=1,IF(E51='Invoer gegevens'!$C$17,'Invoer gegevens'!$C$11,AD51)*Reeksen!S19*'Invoer gegevens'!$C$18*Reeksen!P19,0),0)</f>
        <v>0</v>
      </c>
      <c r="AU51" s="71">
        <f ca="1">-IF(C51=1,(F51+K51+L51+Q51)/2*'Invoer gegevens'!$F$38*Reeksen!H19,0)</f>
        <v>0</v>
      </c>
      <c r="AV51" s="71">
        <f>IF('Invoer gegevens'!$C$3="Basis",0,#REF!)</f>
        <v>0</v>
      </c>
      <c r="AW51" s="71">
        <f t="shared" ca="1" si="13"/>
        <v>0</v>
      </c>
      <c r="AX51" s="72">
        <f ca="1">IF(E51='Invoer gegevens'!$C$17+14,'RW - MW - UP'!$AY$236,0)</f>
        <v>0</v>
      </c>
      <c r="AY51" s="72">
        <f ca="1">IFERROR(IF(E51='Invoer gegevens'!$C$17,-'Invoer gegevens'!$C$10*('Invoer gegevens'!$C$30+'Invoer gegevens'!$C$31)*Reeksen!H19,0),0)</f>
        <v>0</v>
      </c>
      <c r="AZ51" s="73">
        <f ca="1">IF('Invoer gegevens'!$C$34=E51,'Invoer gegevens'!$C$27*'Invoer gegevens'!$C$10*'Invoer gegevens'!$C$36*(IF('Invoer gegevens'!$C$35="ja",1,Reeksen!J19)),IF('Invoer gegevens'!$C$34+1=E51,'Invoer gegevens'!$C$27*'Invoer gegevens'!$C$10*'Invoer gegevens'!$C$37*(IF('Invoer gegevens'!$C$35="ja",1,Reeksen!J19)),0))+IF(AND(E51='Invoer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1" s="73">
        <f ca="1">AW51/(1+'Invoer gegevens'!$F$18)^($D51-('Invoer gegevens'!$C$17-'Invoer gegevens'!$C$16))/(1+'Invoer gegevens'!$C$39)^('Invoer gegevens'!$C$17-'Invoer gegevens'!$C$16)</f>
        <v>0</v>
      </c>
      <c r="BB51" s="73">
        <f ca="1">AX51/(1+'Invoer gegevens'!$F$18)^(E51-('Invoer gegevens'!$C$17-1))/(1+'Invoer gegevens'!$C$39)^('Invoer gegevens'!$C$17-'Invoer gegevens'!$C$16)</f>
        <v>0</v>
      </c>
      <c r="BC51" s="73">
        <f ca="1">AY51/(1+'Invoer gegevens'!$C$39)^('Invoer gegevens'!$C$17-'Invoer gegevens'!$C$16)</f>
        <v>0</v>
      </c>
      <c r="BD51" s="72">
        <f t="shared" ca="1" si="14"/>
        <v>0</v>
      </c>
      <c r="BE51" s="72">
        <f ca="1">IF(AND(E51='Invoer gegevens'!$C$16,'Invoer gegevens'!$C$34&lt;'Invoer gegevens'!$C$16),AZ51,AZ51/(1+'Invoer gegevens'!$C$39)^D51)</f>
        <v>0</v>
      </c>
      <c r="BF51" s="72">
        <f ca="1">IF(E51='Invoer gegevens'!$C$34,-'Invoer gegevens'!$F$40,0)</f>
        <v>0</v>
      </c>
      <c r="BG51" s="72">
        <f ca="1">IF(E51='Invoer gegevens'!$C$17,-'Invoer gegevens'!$C$19*$BD$63,0)</f>
        <v>0</v>
      </c>
      <c r="BH51" s="72">
        <f ca="1">AW51/(1+$BH$36)^($D51-('Invoer gegevens'!$C$17-'Invoer gegevens'!$C$16))/(1+'Invoer gegevens'!$C$39)^('Invoer gegevens'!$C$17-'Invoer gegevens'!$C$16)+AX51/(1+$BH$36)^(E51-('Invoer gegevens'!$C$17-1))/(1+'Invoer gegevens'!$C$39)^('Invoer gegevens'!$C$17-'Invoer gegevens'!$C$16)+AY51/(1+'Invoer gegevens'!$C$39)^('Invoer gegevens'!$C$17-'Invoer gegevens'!$C$16)+(-AZ51/(1+'Invoer gegevens'!$C$39)^D51)+BF51+BG51</f>
        <v>0</v>
      </c>
      <c r="BI51" s="59"/>
    </row>
    <row r="52" spans="1:61" x14ac:dyDescent="0.25">
      <c r="A52" s="59"/>
      <c r="B52" s="70">
        <f t="shared" si="15"/>
        <v>16</v>
      </c>
      <c r="C52" s="67">
        <f ca="1">IF(AND(E52&gt;='Invoer gegevens'!$C$17,E52&lt;'Invoer gegevens'!$C$17+15),1,0)</f>
        <v>0</v>
      </c>
      <c r="D52" s="68">
        <f t="shared" si="16"/>
        <v>15.5</v>
      </c>
      <c r="E52" s="69">
        <f ca="1">IF('Invoer gegevens'!$C$16="","",E51+1)</f>
        <v>2034</v>
      </c>
      <c r="F52" s="84">
        <f ca="1">IF('Invoer gegevens'!$C$17=E52,'Invoer gegevens'!$C$10,IF(C52=1,K51,0))</f>
        <v>0</v>
      </c>
      <c r="G52" s="96">
        <f ca="1">IF(E52='Invoer gegevens'!$C$17+15,K51,IF(C52&gt;=1,F52*VLOOKUP(E52,Reeksen!$A$5:$B$76,2),0))</f>
        <v>0</v>
      </c>
      <c r="H52" s="84">
        <f ca="1">IF(E52='Invoer gegevens'!$C$17+15,K51,(1-('Invoer gegevens'!$F$20/12))*F52*MIN(Reeksen!B20,Reeksen!D20))</f>
        <v>0</v>
      </c>
      <c r="I52" s="84">
        <f>IF(Reeksen!D20&lt;Reeksen!B20,(Reeksen!B20-Reeksen!D20)*F52,0)</f>
        <v>0</v>
      </c>
      <c r="J52" s="84">
        <f ca="1">IF(E52='Invoer gegevens'!$C$17+16,0,('Invoer gegevens'!$F$20/12)*F51*MIN(Reeksen!B19,Reeksen!D19))</f>
        <v>0</v>
      </c>
      <c r="K52" s="97">
        <f ca="1">IF(E52&gt;='Invoer gegevens'!$C$17+15,0,F52-G52)</f>
        <v>0</v>
      </c>
      <c r="L52" s="84">
        <f ca="1">IF('Invoer gegevens'!$C$17=E52,0,IF(C52=1,Q51,0))</f>
        <v>0</v>
      </c>
      <c r="M52" s="96">
        <f ca="1">IF(E52='Invoer gegevens'!$C$17+15,Q51,IF(C52&gt;=1,L52*VLOOKUP(E52,Reeksen!$A$5:$B$76,2),0))</f>
        <v>0</v>
      </c>
      <c r="N52" s="84">
        <f ca="1">IF(C52='Invoer gegevens'!$C$17+15,Q51,(1-('Invoer gegevens'!$F$20/12))*L52*MIN(Reeksen!B20,Reeksen!D20))</f>
        <v>0</v>
      </c>
      <c r="O52" s="84">
        <f>IF(Reeksen!D20&lt;Reeksen!B20,(Reeksen!B20-Reeksen!D20)*L52,0)</f>
        <v>0</v>
      </c>
      <c r="P52" s="84">
        <f ca="1">IF(E52='Invoer gegevens'!$C$17+16,0,('Invoer gegevens'!$F$20/12)*L51*MIN(Reeksen!B19,Reeksen!D19))</f>
        <v>0</v>
      </c>
      <c r="Q52" s="84">
        <f ca="1">IF(E52&gt;='Invoer gegevens'!$C$17+15,0,L52-M52+I52+O52)</f>
        <v>0</v>
      </c>
      <c r="R52" s="82">
        <f ca="1">IF('Invoer gegevens'!$C$17=E52,'Invoer gegevens'!$C$11,IF(C52=1,W51,0))</f>
        <v>0</v>
      </c>
      <c r="S52" s="86">
        <f ca="1">IF(E52='Invoer gegevens'!$C$17+15,W51,IF(C52&gt;=1,R52*VLOOKUP(E52,Reeksen!$A$5:$B$76,2),0))</f>
        <v>0</v>
      </c>
      <c r="T52" s="84">
        <f ca="1">IF(E52='Invoer gegevens'!$C$17+15,W51,(1-('Invoer gegevens'!$F$20/12))*R52*MIN(Reeksen!B20,Reeksen!D20))</f>
        <v>0</v>
      </c>
      <c r="U52" s="84">
        <f>IF(Reeksen!D20&gt;=Reeksen!B20,0,IF(Reeksen!AD20&lt;=Reeksen!AE20,(Reeksen!B20-Reeksen!D20)*R52,0))</f>
        <v>0</v>
      </c>
      <c r="V52" s="86">
        <f>IF(Reeksen!D20&gt;=Reeksen!B20,0,IF(Reeksen!AD20&gt;Reeksen!AE20,(Reeksen!B20-Reeksen!D20)*R52,0))</f>
        <v>0</v>
      </c>
      <c r="W52" s="97">
        <f ca="1">IF(E52&gt;='Invoer gegevens'!$C$17+15,0,R52-S52)</f>
        <v>0</v>
      </c>
      <c r="X52" s="98">
        <f ca="1">IF('Invoer gegevens'!$C$17=E52,'Invoer gegevens'!$C$10-'Invoer gegevens'!$C$11,IF(C52=1,AC51,0))</f>
        <v>0</v>
      </c>
      <c r="Y52" s="98">
        <f ca="1">IF(E52='Invoer gegevens'!$C$17+15,AC51,IF(C52&gt;=1,X52*VLOOKUP(E52,Reeksen!$A$5:$B$76,2),0))</f>
        <v>0</v>
      </c>
      <c r="Z52" s="98">
        <f ca="1">IF(E52='Invoer gegevens'!$C$17+15,AC51,(1-('Invoer gegevens'!$F$20/12))*X52*MIN(Reeksen!B20,Reeksen!D20))</f>
        <v>0</v>
      </c>
      <c r="AA52" s="98">
        <f>IF(Reeksen!D20&gt;=Reeksen!B20,0,IF(Reeksen!AD20&lt;=Reeksen!AE20,(Reeksen!B20-Reeksen!D20)*X52,0))</f>
        <v>0</v>
      </c>
      <c r="AB52" s="98">
        <f>IF(Reeksen!D20&gt;=Reeksen!B20,0,IF(Reeksen!AD20&gt;Reeksen!AE20,(Reeksen!B20-Reeksen!D20)*X52,0))</f>
        <v>0</v>
      </c>
      <c r="AC52" s="99">
        <f ca="1">IF(E52&gt;='Invoer gegevens'!$C$17+15,0,X52-Y52)</f>
        <v>0</v>
      </c>
      <c r="AD52" s="98">
        <f ca="1">IF('Invoer gegevens'!$C$17=E20,R52,IF(C20=0,0,AE51))</f>
        <v>0</v>
      </c>
      <c r="AE52" s="98">
        <f t="shared" ca="1" si="9"/>
        <v>0</v>
      </c>
      <c r="AF52" s="98">
        <f ca="1">IF('Invoer gegevens'!$C$17=E20,X52,IF(C20=0,0,AG51))</f>
        <v>0</v>
      </c>
      <c r="AG52" s="98">
        <f t="shared" ca="1" si="10"/>
        <v>0</v>
      </c>
      <c r="AH52" s="66"/>
      <c r="AI52" s="71">
        <f ca="1">IF(C52=1,Reeksen!AI20*((F52-G52+F52)/2)*12+Reeksen!AD20*((L52-M52+L52)/2)*12,0)</f>
        <v>0</v>
      </c>
      <c r="AJ52" s="71">
        <f ca="1">-AI52*'Invoer gegevens'!$F$28</f>
        <v>0</v>
      </c>
      <c r="AK52" s="71">
        <f t="shared" ca="1" si="11"/>
        <v>0</v>
      </c>
      <c r="AL52" s="71">
        <f ca="1">IF(C52=1,Reeksen!AL20*((F52-G52+F52)/2)*12+Reeksen!AM20*((L52-M52+L52)/2)*12,0)</f>
        <v>0</v>
      </c>
      <c r="AM52" s="71">
        <f ca="1">-AL52*'Invoer gegevens'!$F$31</f>
        <v>0</v>
      </c>
      <c r="AN52" s="71">
        <f t="shared" ca="1" si="12"/>
        <v>0</v>
      </c>
      <c r="AO52" s="71">
        <f ca="1">IF(E52&gt;='Invoer gegevens'!$C$17+15,0,IF(C52=1,(H52+J52+N52+P52)*Reeksen!AN20,0))</f>
        <v>0</v>
      </c>
      <c r="AP52" s="71">
        <f ca="1">-IF(C52=1,(H52+J52+N52+P52)*'Hulp - basis'!$G$550*Reeksen!H20,0)</f>
        <v>0</v>
      </c>
      <c r="AQ52" s="71">
        <f ca="1">-IF(C52=1,(F52+K52+L52+Q52)/2*'Invoer gegevens'!$F$35*Reeksen!J20,0)</f>
        <v>0</v>
      </c>
      <c r="AR52" s="71"/>
      <c r="AS52" s="71">
        <f ca="1">-IF(C52=1,(F52+K52+L52+Q52)/2*'Invoer gegevens'!$F$37*Reeksen!L20,0)</f>
        <v>0</v>
      </c>
      <c r="AT52" s="71">
        <f>IF(Dashboard!$C$20&gt;10,-IF(C52=1,IF(E52='Invoer gegevens'!$C$17,'Invoer gegevens'!$C$11,AD52)*Reeksen!S20*'Invoer gegevens'!$C$18*Reeksen!P20,0),0)</f>
        <v>0</v>
      </c>
      <c r="AU52" s="71">
        <f ca="1">-IF(C52=1,(F52+K52+L52+Q52)/2*'Invoer gegevens'!$F$38*Reeksen!H20,0)</f>
        <v>0</v>
      </c>
      <c r="AV52" s="71">
        <f>IF('Invoer gegevens'!$C$3="Basis",0,#REF!)</f>
        <v>0</v>
      </c>
      <c r="AW52" s="71">
        <f t="shared" ca="1" si="13"/>
        <v>0</v>
      </c>
      <c r="AX52" s="72">
        <f ca="1">IF(E52='Invoer gegevens'!$C$17+14,'RW - MW - UP'!$AY$236,0)</f>
        <v>0</v>
      </c>
      <c r="AY52" s="72">
        <f ca="1">IFERROR(IF(E52='Invoer gegevens'!$C$17,-'Invoer gegevens'!$C$10*('Invoer gegevens'!$C$30+'Invoer gegevens'!$C$31)*Reeksen!H20,0),0)</f>
        <v>0</v>
      </c>
      <c r="AZ52" s="73">
        <f ca="1">IF('Invoer gegevens'!$C$34=E52,'Invoer gegevens'!$C$27*'Invoer gegevens'!$C$10*'Invoer gegevens'!$C$36*(IF('Invoer gegevens'!$C$35="ja",1,Reeksen!J20)),IF('Invoer gegevens'!$C$34+1=E52,'Invoer gegevens'!$C$27*'Invoer gegevens'!$C$10*'Invoer gegevens'!$C$37*(IF('Invoer gegevens'!$C$35="ja",1,Reeksen!J20)),0))+IF(AND(E52='Invoer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2" s="73">
        <f ca="1">AW52/(1+'Invoer gegevens'!$F$18)^($D52-('Invoer gegevens'!$C$17-'Invoer gegevens'!$C$16))/(1+'Invoer gegevens'!$C$39)^('Invoer gegevens'!$C$17-'Invoer gegevens'!$C$16)</f>
        <v>0</v>
      </c>
      <c r="BB52" s="73">
        <f ca="1">AX52/(1+'Invoer gegevens'!$F$18)^(E52-('Invoer gegevens'!$C$17-1))/(1+'Invoer gegevens'!$C$39)^('Invoer gegevens'!$C$17-'Invoer gegevens'!$C$16)</f>
        <v>0</v>
      </c>
      <c r="BC52" s="73">
        <f ca="1">AY52/(1+'Invoer gegevens'!$C$39)^('Invoer gegevens'!$C$17-'Invoer gegevens'!$C$16)</f>
        <v>0</v>
      </c>
      <c r="BD52" s="72">
        <f t="shared" ca="1" si="14"/>
        <v>0</v>
      </c>
      <c r="BE52" s="72">
        <f ca="1">IF(AND(E52='Invoer gegevens'!$C$16,'Invoer gegevens'!$C$34&lt;'Invoer gegevens'!$C$16),AZ52,AZ52/(1+'Invoer gegevens'!$C$39)^D52)</f>
        <v>0</v>
      </c>
      <c r="BF52" s="72">
        <f ca="1">IF(E52='Invoer gegevens'!$C$34,-'Invoer gegevens'!$F$40,0)</f>
        <v>0</v>
      </c>
      <c r="BG52" s="72">
        <f ca="1">IF(E52='Invoer gegevens'!$C$17,-'Invoer gegevens'!$C$19*$BD$63,0)</f>
        <v>0</v>
      </c>
      <c r="BH52" s="72">
        <f ca="1">AW52/(1+$BH$36)^($D52-('Invoer gegevens'!$C$17-'Invoer gegevens'!$C$16))/(1+'Invoer gegevens'!$C$39)^('Invoer gegevens'!$C$17-'Invoer gegevens'!$C$16)+AX52/(1+$BH$36)^(E52-('Invoer gegevens'!$C$17-1))/(1+'Invoer gegevens'!$C$39)^('Invoer gegevens'!$C$17-'Invoer gegevens'!$C$16)+AY52/(1+'Invoer gegevens'!$C$39)^('Invoer gegevens'!$C$17-'Invoer gegevens'!$C$16)+(-AZ52/(1+'Invoer gegevens'!$C$39)^D52)+BF52+BG52</f>
        <v>0</v>
      </c>
      <c r="BI52" s="59"/>
    </row>
    <row r="53" spans="1:61" x14ac:dyDescent="0.25">
      <c r="A53" s="59"/>
      <c r="B53" s="70">
        <f t="shared" si="15"/>
        <v>17</v>
      </c>
      <c r="C53" s="67">
        <f ca="1">IF(AND(E53&gt;='Invoer gegevens'!$C$17,E53&lt;'Invoer gegevens'!$C$17+15),1,0)</f>
        <v>0</v>
      </c>
      <c r="D53" s="68">
        <f t="shared" si="16"/>
        <v>16.5</v>
      </c>
      <c r="E53" s="69">
        <f ca="1">IF('Invoer gegevens'!$C$16="","",E52+1)</f>
        <v>2035</v>
      </c>
      <c r="F53" s="84">
        <f ca="1">IF('Invoer gegevens'!$C$17=E53,'Invoer gegevens'!$C$10,IF(C53=1,K52,0))</f>
        <v>0</v>
      </c>
      <c r="G53" s="96">
        <f ca="1">IF(E53='Invoer gegevens'!$C$17+15,K52,IF(C53&gt;=1,F53*VLOOKUP(E53,Reeksen!$A$5:$B$76,2),0))</f>
        <v>0</v>
      </c>
      <c r="H53" s="84">
        <f ca="1">IF(E53='Invoer gegevens'!$C$17+15,K52,(1-('Invoer gegevens'!$F$20/12))*F53*MIN(Reeksen!B21,Reeksen!D21))</f>
        <v>0</v>
      </c>
      <c r="I53" s="84">
        <f>IF(Reeksen!D21&lt;Reeksen!B21,(Reeksen!B21-Reeksen!D21)*F53,0)</f>
        <v>0</v>
      </c>
      <c r="J53" s="84">
        <f ca="1">IF(E53='Invoer gegevens'!$C$17+16,0,('Invoer gegevens'!$F$20/12)*F52*MIN(Reeksen!B20,Reeksen!D20))</f>
        <v>0</v>
      </c>
      <c r="K53" s="97">
        <f ca="1">IF(E53&gt;='Invoer gegevens'!$C$17+15,0,F53-G53)</f>
        <v>0</v>
      </c>
      <c r="L53" s="84">
        <f ca="1">IF('Invoer gegevens'!$C$17=E53,0,IF(C53=1,Q52,0))</f>
        <v>0</v>
      </c>
      <c r="M53" s="96">
        <f ca="1">IF(E53='Invoer gegevens'!$C$17+15,Q52,IF(C53&gt;=1,L53*VLOOKUP(E53,Reeksen!$A$5:$B$76,2),0))</f>
        <v>0</v>
      </c>
      <c r="N53" s="84">
        <f ca="1">IF(C53='Invoer gegevens'!$C$17+15,Q52,(1-('Invoer gegevens'!$F$20/12))*L53*MIN(Reeksen!B21,Reeksen!D21))</f>
        <v>0</v>
      </c>
      <c r="O53" s="84">
        <f>IF(Reeksen!D21&lt;Reeksen!B21,(Reeksen!B21-Reeksen!D21)*L53,0)</f>
        <v>0</v>
      </c>
      <c r="P53" s="84">
        <f ca="1">IF(E53='Invoer gegevens'!$C$17+16,0,('Invoer gegevens'!$F$20/12)*L52*MIN(Reeksen!B20,Reeksen!D20))</f>
        <v>0</v>
      </c>
      <c r="Q53" s="84">
        <f ca="1">IF(E53&gt;='Invoer gegevens'!$C$17+15,0,L53-M53+I53+O53)</f>
        <v>0</v>
      </c>
      <c r="R53" s="82">
        <f ca="1">IF('Invoer gegevens'!$C$17=E53,'Invoer gegevens'!$C$11,IF(C53=1,W52,0))</f>
        <v>0</v>
      </c>
      <c r="S53" s="86">
        <f ca="1">IF(E53='Invoer gegevens'!$C$17+15,W52,IF(C53&gt;=1,R53*VLOOKUP(E53,Reeksen!$A$5:$B$76,2),0))</f>
        <v>0</v>
      </c>
      <c r="T53" s="84">
        <f ca="1">IF(E53='Invoer gegevens'!$C$17+15,W52,(1-('Invoer gegevens'!$F$20/12))*R53*MIN(Reeksen!B21,Reeksen!D21))</f>
        <v>0</v>
      </c>
      <c r="U53" s="84">
        <f>IF(Reeksen!D21&gt;=Reeksen!B21,0,IF(Reeksen!AD21&lt;=Reeksen!AE21,(Reeksen!B21-Reeksen!D21)*R53,0))</f>
        <v>0</v>
      </c>
      <c r="V53" s="86">
        <f>IF(Reeksen!D21&gt;=Reeksen!B21,0,IF(Reeksen!AD21&gt;Reeksen!AE21,(Reeksen!B21-Reeksen!D21)*R53,0))</f>
        <v>0</v>
      </c>
      <c r="W53" s="97">
        <f ca="1">IF(E53&gt;='Invoer gegevens'!$C$17+15,0,R53-S53)</f>
        <v>0</v>
      </c>
      <c r="X53" s="98">
        <f ca="1">IF('Invoer gegevens'!$C$17=E53,'Invoer gegevens'!$C$10-'Invoer gegevens'!$C$11,IF(C53=1,AC52,0))</f>
        <v>0</v>
      </c>
      <c r="Y53" s="98">
        <f ca="1">IF(E53='Invoer gegevens'!$C$17+15,AC52,IF(C53&gt;=1,X53*VLOOKUP(E53,Reeksen!$A$5:$B$76,2),0))</f>
        <v>0</v>
      </c>
      <c r="Z53" s="98">
        <f ca="1">IF(E53='Invoer gegevens'!$C$17+15,AC52,(1-('Invoer gegevens'!$F$20/12))*X53*MIN(Reeksen!B21,Reeksen!D21))</f>
        <v>0</v>
      </c>
      <c r="AA53" s="98">
        <f>IF(Reeksen!D21&gt;=Reeksen!B21,0,IF(Reeksen!AD21&lt;=Reeksen!AE21,(Reeksen!B21-Reeksen!D21)*X53,0))</f>
        <v>0</v>
      </c>
      <c r="AB53" s="98">
        <f>IF(Reeksen!D21&gt;=Reeksen!B21,0,IF(Reeksen!AD21&gt;Reeksen!AE21,(Reeksen!B21-Reeksen!D21)*X53,0))</f>
        <v>0</v>
      </c>
      <c r="AC53" s="99">
        <f ca="1">IF(E53&gt;='Invoer gegevens'!$C$17+15,0,X53-Y53)</f>
        <v>0</v>
      </c>
      <c r="AD53" s="98">
        <f ca="1">IF('Invoer gegevens'!$C$17=E21,R53,IF(C21=0,0,AE52))</f>
        <v>0</v>
      </c>
      <c r="AE53" s="98">
        <f t="shared" ca="1" si="9"/>
        <v>0</v>
      </c>
      <c r="AF53" s="98">
        <f ca="1">IF('Invoer gegevens'!$C$17=E21,X53,IF(C21=0,0,AG52))</f>
        <v>0</v>
      </c>
      <c r="AG53" s="98">
        <f t="shared" ca="1" si="10"/>
        <v>0</v>
      </c>
      <c r="AH53" s="66"/>
      <c r="AI53" s="71">
        <f ca="1">IF(C53=1,Reeksen!AI21*((F53-G53+F53)/2)*12+Reeksen!AD21*((L53-M53+L53)/2)*12,0)</f>
        <v>0</v>
      </c>
      <c r="AJ53" s="71">
        <f ca="1">-AI53*'Invoer gegevens'!$F$28</f>
        <v>0</v>
      </c>
      <c r="AK53" s="71">
        <f t="shared" ca="1" si="11"/>
        <v>0</v>
      </c>
      <c r="AL53" s="71">
        <f ca="1">IF(C53=1,Reeksen!AL21*((F53-G53+F53)/2)*12+Reeksen!AM21*((L53-M53+L53)/2)*12,0)</f>
        <v>0</v>
      </c>
      <c r="AM53" s="71">
        <f ca="1">-AL53*'Invoer gegevens'!$F$31</f>
        <v>0</v>
      </c>
      <c r="AN53" s="71">
        <f t="shared" ca="1" si="12"/>
        <v>0</v>
      </c>
      <c r="AO53" s="71">
        <f ca="1">IF(E53&gt;='Invoer gegevens'!$C$17+15,0,IF(C53=1,(H53+J53+N53+P53)*Reeksen!AN21,0))</f>
        <v>0</v>
      </c>
      <c r="AP53" s="71">
        <f ca="1">-IF(C53=1,(H53+J53+N53+P53)*'Hulp - basis'!$G$550*Reeksen!H21,0)</f>
        <v>0</v>
      </c>
      <c r="AQ53" s="71">
        <f ca="1">-IF(C53=1,(F53+K53+L53+Q53)/2*'Invoer gegevens'!$F$35*Reeksen!J21,0)</f>
        <v>0</v>
      </c>
      <c r="AR53" s="71"/>
      <c r="AS53" s="71">
        <f ca="1">-IF(C53=1,(F53+K53+L53+Q53)/2*'Invoer gegevens'!$F$37*Reeksen!L21,0)</f>
        <v>0</v>
      </c>
      <c r="AT53" s="71">
        <f>IF(Dashboard!$C$20&gt;10,-IF(C53=1,IF(E53='Invoer gegevens'!$C$17,'Invoer gegevens'!$C$11,AD53)*Reeksen!S21*'Invoer gegevens'!$C$18*Reeksen!P21,0),0)</f>
        <v>0</v>
      </c>
      <c r="AU53" s="71">
        <f ca="1">-IF(C53=1,(F53+K53+L53+Q53)/2*'Invoer gegevens'!$F$38*Reeksen!H21,0)</f>
        <v>0</v>
      </c>
      <c r="AV53" s="71">
        <f>IF('Invoer gegevens'!$C$3="Basis",0,#REF!)</f>
        <v>0</v>
      </c>
      <c r="AW53" s="71">
        <f t="shared" ca="1" si="13"/>
        <v>0</v>
      </c>
      <c r="AX53" s="72">
        <f ca="1">IF(E53='Invoer gegevens'!$C$17+14,'RW - MW - UP'!$AY$236,0)</f>
        <v>0</v>
      </c>
      <c r="AY53" s="72">
        <f ca="1">IFERROR(IF(E53='Invoer gegevens'!$C$17,-'Invoer gegevens'!$C$10*('Invoer gegevens'!$C$30+'Invoer gegevens'!$C$31)*Reeksen!H21,0),0)</f>
        <v>0</v>
      </c>
      <c r="AZ53" s="73">
        <f ca="1">IF('Invoer gegevens'!$C$34=E53,'Invoer gegevens'!$C$27*'Invoer gegevens'!$C$10*'Invoer gegevens'!$C$36*(IF('Invoer gegevens'!$C$35="ja",1,Reeksen!J21)),IF('Invoer gegevens'!$C$34+1=E53,'Invoer gegevens'!$C$27*'Invoer gegevens'!$C$10*'Invoer gegevens'!$C$37*(IF('Invoer gegevens'!$C$35="ja",1,Reeksen!J21)),0))+IF(AND(E53='Invoer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3" s="73">
        <f ca="1">AW53/(1+'Invoer gegevens'!$F$18)^($D53-('Invoer gegevens'!$C$17-'Invoer gegevens'!$C$16))/(1+'Invoer gegevens'!$C$39)^('Invoer gegevens'!$C$17-'Invoer gegevens'!$C$16)</f>
        <v>0</v>
      </c>
      <c r="BB53" s="73">
        <f ca="1">AX53/(1+'Invoer gegevens'!$F$18)^(E53-('Invoer gegevens'!$C$17-1))/(1+'Invoer gegevens'!$C$39)^('Invoer gegevens'!$C$17-'Invoer gegevens'!$C$16)</f>
        <v>0</v>
      </c>
      <c r="BC53" s="73">
        <f ca="1">AY53/(1+'Invoer gegevens'!$C$39)^('Invoer gegevens'!$C$17-'Invoer gegevens'!$C$16)</f>
        <v>0</v>
      </c>
      <c r="BD53" s="72">
        <f t="shared" ca="1" si="14"/>
        <v>0</v>
      </c>
      <c r="BE53" s="72">
        <f ca="1">IF(AND(E53='Invoer gegevens'!$C$16,'Invoer gegevens'!$C$34&lt;'Invoer gegevens'!$C$16),AZ53,AZ53/(1+'Invoer gegevens'!$C$39)^D53)</f>
        <v>0</v>
      </c>
      <c r="BF53" s="72">
        <f ca="1">IF(E53='Invoer gegevens'!$C$34,-'Invoer gegevens'!$F$40,0)</f>
        <v>0</v>
      </c>
      <c r="BG53" s="72">
        <f ca="1">IF(E53='Invoer gegevens'!$C$17,-'Invoer gegevens'!$C$19*$BD$63,0)</f>
        <v>0</v>
      </c>
      <c r="BH53" s="72">
        <f ca="1">AW53/(1+$BH$36)^($D53-('Invoer gegevens'!$C$17-'Invoer gegevens'!$C$16))/(1+'Invoer gegevens'!$C$39)^('Invoer gegevens'!$C$17-'Invoer gegevens'!$C$16)+AX53/(1+$BH$36)^(E53-('Invoer gegevens'!$C$17-1))/(1+'Invoer gegevens'!$C$39)^('Invoer gegevens'!$C$17-'Invoer gegevens'!$C$16)+AY53/(1+'Invoer gegevens'!$C$39)^('Invoer gegevens'!$C$17-'Invoer gegevens'!$C$16)+(-AZ53/(1+'Invoer gegevens'!$C$39)^D53)+BF53+BG53</f>
        <v>0</v>
      </c>
      <c r="BI53" s="59"/>
    </row>
    <row r="54" spans="1:61" x14ac:dyDescent="0.25">
      <c r="A54" s="59"/>
      <c r="B54" s="70">
        <f t="shared" si="15"/>
        <v>18</v>
      </c>
      <c r="C54" s="67">
        <f ca="1">IF(AND(E54&gt;='Invoer gegevens'!$C$17,E54&lt;'Invoer gegevens'!$C$17+15),1,0)</f>
        <v>0</v>
      </c>
      <c r="D54" s="68">
        <f t="shared" si="16"/>
        <v>17.5</v>
      </c>
      <c r="E54" s="69">
        <f ca="1">IF('Invoer gegevens'!$C$16="","",E53+1)</f>
        <v>2036</v>
      </c>
      <c r="F54" s="84">
        <f ca="1">IF('Invoer gegevens'!$C$17=E54,'Invoer gegevens'!$C$10,IF(C54=1,K53,0))</f>
        <v>0</v>
      </c>
      <c r="G54" s="96">
        <f ca="1">IF(E54='Invoer gegevens'!$C$17+15,K53,IF(C54&gt;=1,F54*VLOOKUP(E54,Reeksen!$A$5:$B$76,2),0))</f>
        <v>0</v>
      </c>
      <c r="H54" s="84">
        <f ca="1">IF(E54='Invoer gegevens'!$C$17+15,K53,(1-('Invoer gegevens'!$F$20/12))*F54*MIN(Reeksen!B22,Reeksen!D22))</f>
        <v>0</v>
      </c>
      <c r="I54" s="84">
        <f>IF(Reeksen!D22&lt;Reeksen!B22,(Reeksen!B22-Reeksen!D22)*F54,0)</f>
        <v>0</v>
      </c>
      <c r="J54" s="84">
        <f ca="1">IF(E54='Invoer gegevens'!$C$17+16,0,('Invoer gegevens'!$F$20/12)*F53*MIN(Reeksen!B21,Reeksen!D21))</f>
        <v>0</v>
      </c>
      <c r="K54" s="97">
        <f ca="1">IF(E54&gt;='Invoer gegevens'!$C$17+15,0,F54-G54)</f>
        <v>0</v>
      </c>
      <c r="L54" s="84">
        <f ca="1">IF('Invoer gegevens'!$C$17=E54,0,IF(C54=1,Q53,0))</f>
        <v>0</v>
      </c>
      <c r="M54" s="96">
        <f ca="1">IF(E54='Invoer gegevens'!$C$17+15,Q53,IF(C54&gt;=1,L54*VLOOKUP(E54,Reeksen!$A$5:$B$76,2),0))</f>
        <v>0</v>
      </c>
      <c r="N54" s="84">
        <f ca="1">IF(C54='Invoer gegevens'!$C$17+15,Q53,(1-('Invoer gegevens'!$F$20/12))*L54*MIN(Reeksen!B22,Reeksen!D22))</f>
        <v>0</v>
      </c>
      <c r="O54" s="84">
        <f>IF(Reeksen!D22&lt;Reeksen!B22,(Reeksen!B22-Reeksen!D22)*L54,0)</f>
        <v>0</v>
      </c>
      <c r="P54" s="84">
        <f ca="1">IF(E54='Invoer gegevens'!$C$17+16,0,('Invoer gegevens'!$F$20/12)*L53*MIN(Reeksen!B21,Reeksen!D21))</f>
        <v>0</v>
      </c>
      <c r="Q54" s="84">
        <f ca="1">IF(E54&gt;='Invoer gegevens'!$C$17+15,0,L54-M54+I54+O54)</f>
        <v>0</v>
      </c>
      <c r="R54" s="82">
        <f ca="1">IF('Invoer gegevens'!$C$17=E54,'Invoer gegevens'!$C$11,IF(C54=1,W53,0))</f>
        <v>0</v>
      </c>
      <c r="S54" s="86">
        <f ca="1">IF(E54='Invoer gegevens'!$C$17+15,W53,IF(C54&gt;=1,R54*VLOOKUP(E54,Reeksen!$A$5:$B$76,2),0))</f>
        <v>0</v>
      </c>
      <c r="T54" s="84">
        <f ca="1">IF(E54='Invoer gegevens'!$C$17+15,W53,(1-('Invoer gegevens'!$F$20/12))*R54*MIN(Reeksen!B22,Reeksen!D22))</f>
        <v>0</v>
      </c>
      <c r="U54" s="84">
        <f>IF(Reeksen!D22&gt;=Reeksen!B22,0,IF(Reeksen!AD22&lt;=Reeksen!AE22,(Reeksen!B22-Reeksen!D22)*R54,0))</f>
        <v>0</v>
      </c>
      <c r="V54" s="86">
        <f>IF(Reeksen!D22&gt;=Reeksen!B22,0,IF(Reeksen!AD22&gt;Reeksen!AE22,(Reeksen!B22-Reeksen!D22)*R54,0))</f>
        <v>0</v>
      </c>
      <c r="W54" s="97">
        <f ca="1">IF(E54&gt;='Invoer gegevens'!$C$17+15,0,R54-S54)</f>
        <v>0</v>
      </c>
      <c r="X54" s="98">
        <f ca="1">IF('Invoer gegevens'!$C$17=E54,'Invoer gegevens'!$C$10-'Invoer gegevens'!$C$11,IF(C54=1,AC53,0))</f>
        <v>0</v>
      </c>
      <c r="Y54" s="98">
        <f ca="1">IF(E54='Invoer gegevens'!$C$17+15,AC53,IF(C54&gt;=1,X54*VLOOKUP(E54,Reeksen!$A$5:$B$76,2),0))</f>
        <v>0</v>
      </c>
      <c r="Z54" s="98">
        <f ca="1">IF(E54='Invoer gegevens'!$C$17+15,AC53,(1-('Invoer gegevens'!$F$20/12))*X54*MIN(Reeksen!B22,Reeksen!D22))</f>
        <v>0</v>
      </c>
      <c r="AA54" s="98">
        <f>IF(Reeksen!D22&gt;=Reeksen!B22,0,IF(Reeksen!AD22&lt;=Reeksen!AE22,(Reeksen!B22-Reeksen!D22)*X54,0))</f>
        <v>0</v>
      </c>
      <c r="AB54" s="98">
        <f>IF(Reeksen!D22&gt;=Reeksen!B22,0,IF(Reeksen!AD22&gt;Reeksen!AE22,(Reeksen!B22-Reeksen!D22)*X54,0))</f>
        <v>0</v>
      </c>
      <c r="AC54" s="99">
        <f ca="1">IF(E54&gt;='Invoer gegevens'!$C$17+15,0,X54-Y54)</f>
        <v>0</v>
      </c>
      <c r="AD54" s="98">
        <f ca="1">IF('Invoer gegevens'!$C$17=E22,R54,IF(C22=0,0,AE53))</f>
        <v>0</v>
      </c>
      <c r="AE54" s="98">
        <f t="shared" ca="1" si="9"/>
        <v>0</v>
      </c>
      <c r="AF54" s="98">
        <f ca="1">IF('Invoer gegevens'!$C$17=E22,X54,IF(C22=0,0,AG53))</f>
        <v>0</v>
      </c>
      <c r="AG54" s="98">
        <f t="shared" ca="1" si="10"/>
        <v>0</v>
      </c>
      <c r="AH54" s="66"/>
      <c r="AI54" s="71">
        <f ca="1">IF(C54=1,Reeksen!AI22*((F54-G54+F54)/2)*12+Reeksen!AD22*((L54-M54+L54)/2)*12,0)</f>
        <v>0</v>
      </c>
      <c r="AJ54" s="71">
        <f ca="1">-AI54*'Invoer gegevens'!$F$28</f>
        <v>0</v>
      </c>
      <c r="AK54" s="71">
        <f t="shared" ca="1" si="11"/>
        <v>0</v>
      </c>
      <c r="AL54" s="71">
        <f ca="1">IF(C54=1,Reeksen!AL22*((F54-G54+F54)/2)*12+Reeksen!AM22*((L54-M54+L54)/2)*12,0)</f>
        <v>0</v>
      </c>
      <c r="AM54" s="71">
        <f ca="1">-AL54*'Invoer gegevens'!$F$31</f>
        <v>0</v>
      </c>
      <c r="AN54" s="71">
        <f t="shared" ca="1" si="12"/>
        <v>0</v>
      </c>
      <c r="AO54" s="71">
        <f ca="1">IF(E54&gt;='Invoer gegevens'!$C$17+15,0,IF(C54=1,(H54+J54+N54+P54)*Reeksen!AN22,0))</f>
        <v>0</v>
      </c>
      <c r="AP54" s="71">
        <f ca="1">-IF(C54=1,(H54+J54+N54+P54)*'Hulp - basis'!$G$550*Reeksen!H22,0)</f>
        <v>0</v>
      </c>
      <c r="AQ54" s="71">
        <f ca="1">-IF(C54=1,(F54+K54+L54+Q54)/2*'Invoer gegevens'!$F$35*Reeksen!J22,0)</f>
        <v>0</v>
      </c>
      <c r="AR54" s="71"/>
      <c r="AS54" s="71">
        <f ca="1">-IF(C54=1,(F54+K54+L54+Q54)/2*'Invoer gegevens'!$F$37*Reeksen!L22,0)</f>
        <v>0</v>
      </c>
      <c r="AT54" s="71">
        <f>IF(Dashboard!$C$20&gt;10,-IF(C54=1,IF(E54='Invoer gegevens'!$C$17,'Invoer gegevens'!$C$11,AD54)*Reeksen!S22*'Invoer gegevens'!$C$18*Reeksen!P22,0),0)</f>
        <v>0</v>
      </c>
      <c r="AU54" s="71">
        <f ca="1">-IF(C54=1,(F54+K54+L54+Q54)/2*'Invoer gegevens'!$F$38*Reeksen!H22,0)</f>
        <v>0</v>
      </c>
      <c r="AV54" s="71">
        <f>IF('Invoer gegevens'!$C$3="Basis",0,#REF!)</f>
        <v>0</v>
      </c>
      <c r="AW54" s="71">
        <f t="shared" ca="1" si="13"/>
        <v>0</v>
      </c>
      <c r="AX54" s="72">
        <f ca="1">IF(E54='Invoer gegevens'!$C$17+14,'RW - MW - UP'!$AY$236,0)</f>
        <v>0</v>
      </c>
      <c r="AY54" s="72">
        <f ca="1">IFERROR(IF(E54='Invoer gegevens'!$C$17,-'Invoer gegevens'!$C$10*('Invoer gegevens'!$C$30+'Invoer gegevens'!$C$31)*Reeksen!H22,0),0)</f>
        <v>0</v>
      </c>
      <c r="AZ54" s="73">
        <f ca="1">IF('Invoer gegevens'!$C$34=E54,'Invoer gegevens'!$C$27*'Invoer gegevens'!$C$10*'Invoer gegevens'!$C$36*(IF('Invoer gegevens'!$C$35="ja",1,Reeksen!J22)),IF('Invoer gegevens'!$C$34+1=E54,'Invoer gegevens'!$C$27*'Invoer gegevens'!$C$10*'Invoer gegevens'!$C$37*(IF('Invoer gegevens'!$C$35="ja",1,Reeksen!J22)),0))+IF(AND(E54='Invoer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4" s="73">
        <f ca="1">AW54/(1+'Invoer gegevens'!$F$18)^($D54-('Invoer gegevens'!$C$17-'Invoer gegevens'!$C$16))/(1+'Invoer gegevens'!$C$39)^('Invoer gegevens'!$C$17-'Invoer gegevens'!$C$16)</f>
        <v>0</v>
      </c>
      <c r="BB54" s="73">
        <f ca="1">AX54/(1+'Invoer gegevens'!$F$18)^(E54-('Invoer gegevens'!$C$17-1))/(1+'Invoer gegevens'!$C$39)^('Invoer gegevens'!$C$17-'Invoer gegevens'!$C$16)</f>
        <v>0</v>
      </c>
      <c r="BC54" s="73">
        <f ca="1">AY54/(1+'Invoer gegevens'!$C$39)^('Invoer gegevens'!$C$17-'Invoer gegevens'!$C$16)</f>
        <v>0</v>
      </c>
      <c r="BD54" s="72">
        <f t="shared" ca="1" si="14"/>
        <v>0</v>
      </c>
      <c r="BE54" s="72">
        <f ca="1">IF(AND(E54='Invoer gegevens'!$C$16,'Invoer gegevens'!$C$34&lt;'Invoer gegevens'!$C$16),AZ54,AZ54/(1+'Invoer gegevens'!$C$39)^D54)</f>
        <v>0</v>
      </c>
      <c r="BF54" s="72">
        <f ca="1">IF(E54='Invoer gegevens'!$C$34,-'Invoer gegevens'!$F$40,0)</f>
        <v>0</v>
      </c>
      <c r="BG54" s="72">
        <f ca="1">IF(E54='Invoer gegevens'!$C$17,-'Invoer gegevens'!$C$19*$BD$63,0)</f>
        <v>0</v>
      </c>
      <c r="BH54" s="72">
        <f ca="1">AW54/(1+$BH$36)^($D54-('Invoer gegevens'!$C$17-'Invoer gegevens'!$C$16))/(1+'Invoer gegevens'!$C$39)^('Invoer gegevens'!$C$17-'Invoer gegevens'!$C$16)+AX54/(1+$BH$36)^(E54-('Invoer gegevens'!$C$17-1))/(1+'Invoer gegevens'!$C$39)^('Invoer gegevens'!$C$17-'Invoer gegevens'!$C$16)+AY54/(1+'Invoer gegevens'!$C$39)^('Invoer gegevens'!$C$17-'Invoer gegevens'!$C$16)+(-AZ54/(1+'Invoer gegevens'!$C$39)^D54)+BF54+BG54</f>
        <v>0</v>
      </c>
      <c r="BI54" s="59"/>
    </row>
    <row r="55" spans="1:61" x14ac:dyDescent="0.25">
      <c r="A55" s="59"/>
      <c r="B55" s="70">
        <f t="shared" si="15"/>
        <v>19</v>
      </c>
      <c r="C55" s="67">
        <f ca="1">IF(AND(E55&gt;='Invoer gegevens'!$C$17,E55&lt;'Invoer gegevens'!$C$17+15),1,0)</f>
        <v>0</v>
      </c>
      <c r="D55" s="68">
        <f t="shared" si="16"/>
        <v>18.5</v>
      </c>
      <c r="E55" s="69">
        <f ca="1">IF('Invoer gegevens'!$C$16="","",E54+1)</f>
        <v>2037</v>
      </c>
      <c r="F55" s="84">
        <f ca="1">IF('Invoer gegevens'!$C$17=E55,'Invoer gegevens'!$C$10,IF(C55=1,K54,0))</f>
        <v>0</v>
      </c>
      <c r="G55" s="96">
        <f ca="1">IF(E55='Invoer gegevens'!$C$17+15,K54,IF(C55&gt;=1,F55*VLOOKUP(E55,Reeksen!$A$5:$B$76,2),0))</f>
        <v>0</v>
      </c>
      <c r="H55" s="84">
        <f ca="1">IF(E55='Invoer gegevens'!$C$17+15,K54,(1-('Invoer gegevens'!$F$20/12))*F55*MIN(Reeksen!B23,Reeksen!D23))</f>
        <v>0</v>
      </c>
      <c r="I55" s="84">
        <f>IF(Reeksen!D23&lt;Reeksen!B23,(Reeksen!B23-Reeksen!D23)*F55,0)</f>
        <v>0</v>
      </c>
      <c r="J55" s="84">
        <f ca="1">IF(E55='Invoer gegevens'!$C$17+16,0,('Invoer gegevens'!$F$20/12)*F54*MIN(Reeksen!B22,Reeksen!D22))</f>
        <v>0</v>
      </c>
      <c r="K55" s="97">
        <f ca="1">IF(E55&gt;='Invoer gegevens'!$C$17+15,0,F55-G55)</f>
        <v>0</v>
      </c>
      <c r="L55" s="84">
        <f ca="1">IF('Invoer gegevens'!$C$17=E55,0,IF(C55=1,Q54,0))</f>
        <v>0</v>
      </c>
      <c r="M55" s="96">
        <f ca="1">IF(E55='Invoer gegevens'!$C$17+15,Q54,IF(C55&gt;=1,L55*VLOOKUP(E55,Reeksen!$A$5:$B$76,2),0))</f>
        <v>0</v>
      </c>
      <c r="N55" s="84">
        <f ca="1">IF(C55='Invoer gegevens'!$C$17+15,Q54,(1-('Invoer gegevens'!$F$20/12))*L55*MIN(Reeksen!B23,Reeksen!D23))</f>
        <v>0</v>
      </c>
      <c r="O55" s="84">
        <f>IF(Reeksen!D23&lt;Reeksen!B23,(Reeksen!B23-Reeksen!D23)*L55,0)</f>
        <v>0</v>
      </c>
      <c r="P55" s="84">
        <f ca="1">IF(E55='Invoer gegevens'!$C$17+16,0,('Invoer gegevens'!$F$20/12)*L54*MIN(Reeksen!B22,Reeksen!D22))</f>
        <v>0</v>
      </c>
      <c r="Q55" s="84">
        <f ca="1">IF(E55&gt;='Invoer gegevens'!$C$17+15,0,L55-M55+I55+O55)</f>
        <v>0</v>
      </c>
      <c r="R55" s="82">
        <f ca="1">IF('Invoer gegevens'!$C$17=E55,'Invoer gegevens'!$C$11,IF(C55=1,W54,0))</f>
        <v>0</v>
      </c>
      <c r="S55" s="86">
        <f ca="1">IF(E55='Invoer gegevens'!$C$17+15,W54,IF(C55&gt;=1,R55*VLOOKUP(E55,Reeksen!$A$5:$B$76,2),0))</f>
        <v>0</v>
      </c>
      <c r="T55" s="84">
        <f ca="1">IF(E55='Invoer gegevens'!$C$17+15,W54,(1-('Invoer gegevens'!$F$20/12))*R55*MIN(Reeksen!B23,Reeksen!D23))</f>
        <v>0</v>
      </c>
      <c r="U55" s="84">
        <f>IF(Reeksen!D23&gt;=Reeksen!B23,0,IF(Reeksen!AD23&lt;=Reeksen!AE23,(Reeksen!B23-Reeksen!D23)*R55,0))</f>
        <v>0</v>
      </c>
      <c r="V55" s="86">
        <f>IF(Reeksen!D23&gt;=Reeksen!B23,0,IF(Reeksen!AD23&gt;Reeksen!AE23,(Reeksen!B23-Reeksen!D23)*R55,0))</f>
        <v>0</v>
      </c>
      <c r="W55" s="97">
        <f ca="1">IF(E55&gt;='Invoer gegevens'!$C$17+15,0,R55-S55)</f>
        <v>0</v>
      </c>
      <c r="X55" s="98">
        <f ca="1">IF('Invoer gegevens'!$C$17=E55,'Invoer gegevens'!$C$10-'Invoer gegevens'!$C$11,IF(C55=1,AC54,0))</f>
        <v>0</v>
      </c>
      <c r="Y55" s="98">
        <f ca="1">IF(E55='Invoer gegevens'!$C$17+15,AC54,IF(C55&gt;=1,X55*VLOOKUP(E55,Reeksen!$A$5:$B$76,2),0))</f>
        <v>0</v>
      </c>
      <c r="Z55" s="98">
        <f ca="1">IF(E55='Invoer gegevens'!$C$17+15,AC54,(1-('Invoer gegevens'!$F$20/12))*X55*MIN(Reeksen!B23,Reeksen!D23))</f>
        <v>0</v>
      </c>
      <c r="AA55" s="98">
        <f>IF(Reeksen!D23&gt;=Reeksen!B23,0,IF(Reeksen!AD23&lt;=Reeksen!AE23,(Reeksen!B23-Reeksen!D23)*X55,0))</f>
        <v>0</v>
      </c>
      <c r="AB55" s="98">
        <f>IF(Reeksen!D23&gt;=Reeksen!B23,0,IF(Reeksen!AD23&gt;Reeksen!AE23,(Reeksen!B23-Reeksen!D23)*X55,0))</f>
        <v>0</v>
      </c>
      <c r="AC55" s="99">
        <f ca="1">IF(E55&gt;='Invoer gegevens'!$C$17+15,0,X55-Y55)</f>
        <v>0</v>
      </c>
      <c r="AD55" s="98">
        <f ca="1">IF('Invoer gegevens'!$C$17=E23,R55,IF(C23=0,0,AE54))</f>
        <v>0</v>
      </c>
      <c r="AE55" s="98">
        <f t="shared" ca="1" si="9"/>
        <v>0</v>
      </c>
      <c r="AF55" s="98">
        <f ca="1">IF('Invoer gegevens'!$C$17=E23,X55,IF(C23=0,0,AG54))</f>
        <v>0</v>
      </c>
      <c r="AG55" s="98">
        <f t="shared" ca="1" si="10"/>
        <v>0</v>
      </c>
      <c r="AH55" s="66"/>
      <c r="AI55" s="71">
        <f ca="1">IF(C55=1,Reeksen!AI23*((F55-G55+F55)/2)*12+Reeksen!AD23*((L55-M55+L55)/2)*12,0)</f>
        <v>0</v>
      </c>
      <c r="AJ55" s="71">
        <f ca="1">-AI55*'Invoer gegevens'!$F$28</f>
        <v>0</v>
      </c>
      <c r="AK55" s="71">
        <f t="shared" ca="1" si="11"/>
        <v>0</v>
      </c>
      <c r="AL55" s="71">
        <f ca="1">IF(C55=1,Reeksen!AL23*((F55-G55+F55)/2)*12+Reeksen!AM23*((L55-M55+L55)/2)*12,0)</f>
        <v>0</v>
      </c>
      <c r="AM55" s="71">
        <f ca="1">-AL55*'Invoer gegevens'!$F$31</f>
        <v>0</v>
      </c>
      <c r="AN55" s="71">
        <f t="shared" ca="1" si="12"/>
        <v>0</v>
      </c>
      <c r="AO55" s="71">
        <f ca="1">IF(E55&gt;='Invoer gegevens'!$C$17+15,0,IF(C55=1,(H55+J55+N55+P55)*Reeksen!AN23,0))</f>
        <v>0</v>
      </c>
      <c r="AP55" s="71">
        <f ca="1">-IF(C55=1,(H55+J55+N55+P55)*'Hulp - basis'!$G$550*Reeksen!H23,0)</f>
        <v>0</v>
      </c>
      <c r="AQ55" s="71">
        <f ca="1">-IF(C55=1,(F55+K55+L55+Q55)/2*'Invoer gegevens'!$F$35*Reeksen!J23,0)</f>
        <v>0</v>
      </c>
      <c r="AR55" s="71"/>
      <c r="AS55" s="71">
        <f ca="1">-IF(C55=1,(F55+K55+L55+Q55)/2*'Invoer gegevens'!$F$37*Reeksen!L23,0)</f>
        <v>0</v>
      </c>
      <c r="AT55" s="71">
        <f>IF(Dashboard!$C$20&gt;10,-IF(C55=1,IF(E55='Invoer gegevens'!$C$17,'Invoer gegevens'!$C$11,AD55)*Reeksen!S23*'Invoer gegevens'!$C$18*Reeksen!P23,0),0)</f>
        <v>0</v>
      </c>
      <c r="AU55" s="71">
        <f ca="1">-IF(C55=1,(F55+K55+L55+Q55)/2*'Invoer gegevens'!$F$38*Reeksen!H23,0)</f>
        <v>0</v>
      </c>
      <c r="AV55" s="71">
        <f>IF('Invoer gegevens'!$C$3="Basis",0,#REF!)</f>
        <v>0</v>
      </c>
      <c r="AW55" s="71">
        <f t="shared" ca="1" si="13"/>
        <v>0</v>
      </c>
      <c r="AX55" s="72">
        <f ca="1">IF(E55='Invoer gegevens'!$C$17+14,'RW - MW - UP'!$AY$236,0)</f>
        <v>0</v>
      </c>
      <c r="AY55" s="72">
        <f ca="1">IFERROR(IF(E55='Invoer gegevens'!$C$17,-'Invoer gegevens'!$C$10*('Invoer gegevens'!$C$30+'Invoer gegevens'!$C$31)*Reeksen!H23,0),0)</f>
        <v>0</v>
      </c>
      <c r="AZ55" s="73">
        <f ca="1">IF('Invoer gegevens'!$C$34=E55,'Invoer gegevens'!$C$27*'Invoer gegevens'!$C$10*'Invoer gegevens'!$C$36*(IF('Invoer gegevens'!$C$35="ja",1,Reeksen!J23)),IF('Invoer gegevens'!$C$34+1=E55,'Invoer gegevens'!$C$27*'Invoer gegevens'!$C$10*'Invoer gegevens'!$C$37*(IF('Invoer gegevens'!$C$35="ja",1,Reeksen!J23)),0))+IF(AND(E55='Invoer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5" s="73">
        <f ca="1">AW55/(1+'Invoer gegevens'!$F$18)^($D55-('Invoer gegevens'!$C$17-'Invoer gegevens'!$C$16))/(1+'Invoer gegevens'!$C$39)^('Invoer gegevens'!$C$17-'Invoer gegevens'!$C$16)</f>
        <v>0</v>
      </c>
      <c r="BB55" s="73">
        <f ca="1">AX55/(1+'Invoer gegevens'!$F$18)^(E55-('Invoer gegevens'!$C$17-1))/(1+'Invoer gegevens'!$C$39)^('Invoer gegevens'!$C$17-'Invoer gegevens'!$C$16)</f>
        <v>0</v>
      </c>
      <c r="BC55" s="73">
        <f ca="1">AY55/(1+'Invoer gegevens'!$C$39)^('Invoer gegevens'!$C$17-'Invoer gegevens'!$C$16)</f>
        <v>0</v>
      </c>
      <c r="BD55" s="72">
        <f t="shared" ca="1" si="14"/>
        <v>0</v>
      </c>
      <c r="BE55" s="72">
        <f ca="1">IF(AND(E55='Invoer gegevens'!$C$16,'Invoer gegevens'!$C$34&lt;'Invoer gegevens'!$C$16),AZ55,AZ55/(1+'Invoer gegevens'!$C$39)^D55)</f>
        <v>0</v>
      </c>
      <c r="BF55" s="72">
        <f ca="1">IF(E55='Invoer gegevens'!$C$34,-'Invoer gegevens'!$F$40,0)</f>
        <v>0</v>
      </c>
      <c r="BG55" s="72">
        <f ca="1">IF(E55='Invoer gegevens'!$C$17,-'Invoer gegevens'!$C$19*$BD$63,0)</f>
        <v>0</v>
      </c>
      <c r="BH55" s="72">
        <f ca="1">AW55/(1+$BH$36)^($D55-('Invoer gegevens'!$C$17-'Invoer gegevens'!$C$16))/(1+'Invoer gegevens'!$C$39)^('Invoer gegevens'!$C$17-'Invoer gegevens'!$C$16)+AX55/(1+$BH$36)^(E55-('Invoer gegevens'!$C$17-1))/(1+'Invoer gegevens'!$C$39)^('Invoer gegevens'!$C$17-'Invoer gegevens'!$C$16)+AY55/(1+'Invoer gegevens'!$C$39)^('Invoer gegevens'!$C$17-'Invoer gegevens'!$C$16)+(-AZ55/(1+'Invoer gegevens'!$C$39)^D55)+BF55+BG55</f>
        <v>0</v>
      </c>
      <c r="BI55" s="59"/>
    </row>
    <row r="56" spans="1:61" x14ac:dyDescent="0.25">
      <c r="A56" s="59"/>
      <c r="B56" s="70">
        <f t="shared" si="15"/>
        <v>20</v>
      </c>
      <c r="C56" s="67">
        <f ca="1">IF(AND(E56&gt;='Invoer gegevens'!$C$17,E56&lt;'Invoer gegevens'!$C$17+15),1,0)</f>
        <v>0</v>
      </c>
      <c r="D56" s="68">
        <f t="shared" si="16"/>
        <v>19.5</v>
      </c>
      <c r="E56" s="69">
        <f ca="1">IF('Invoer gegevens'!$C$16="","",E55+1)</f>
        <v>2038</v>
      </c>
      <c r="F56" s="84">
        <f ca="1">IF('Invoer gegevens'!$C$17=E56,'Invoer gegevens'!$C$10,IF(C56=1,K55,0))</f>
        <v>0</v>
      </c>
      <c r="G56" s="96">
        <f ca="1">IF(E56='Invoer gegevens'!$C$17+15,K55,IF(C56&gt;=1,F56*VLOOKUP(E56,Reeksen!$A$5:$B$76,2),0))</f>
        <v>0</v>
      </c>
      <c r="H56" s="84">
        <f ca="1">IF(E56='Invoer gegevens'!$C$17+15,K55,(1-('Invoer gegevens'!$F$20/12))*F56*MIN(Reeksen!B24,Reeksen!D24))</f>
        <v>0</v>
      </c>
      <c r="I56" s="84">
        <f>IF(Reeksen!D24&lt;Reeksen!B24,(Reeksen!B24-Reeksen!D24)*F56,0)</f>
        <v>0</v>
      </c>
      <c r="J56" s="84">
        <f ca="1">IF(E56='Invoer gegevens'!$C$17+16,0,('Invoer gegevens'!$F$20/12)*F55*MIN(Reeksen!B23,Reeksen!D23))</f>
        <v>0</v>
      </c>
      <c r="K56" s="97">
        <f ca="1">IF(E56&gt;='Invoer gegevens'!$C$17+15,0,F56-G56)</f>
        <v>0</v>
      </c>
      <c r="L56" s="84">
        <f ca="1">IF('Invoer gegevens'!$C$17=E56,0,IF(C56=1,Q55,0))</f>
        <v>0</v>
      </c>
      <c r="M56" s="96">
        <f ca="1">IF(E56='Invoer gegevens'!$C$17+15,Q55,IF(C56&gt;=1,L56*VLOOKUP(E56,Reeksen!$A$5:$B$76,2),0))</f>
        <v>0</v>
      </c>
      <c r="N56" s="84">
        <f ca="1">IF(C56='Invoer gegevens'!$C$17+15,Q55,(1-('Invoer gegevens'!$F$20/12))*L56*MIN(Reeksen!B24,Reeksen!D24))</f>
        <v>0</v>
      </c>
      <c r="O56" s="84">
        <f>IF(Reeksen!D24&lt;Reeksen!B24,(Reeksen!B24-Reeksen!D24)*L56,0)</f>
        <v>0</v>
      </c>
      <c r="P56" s="84">
        <f ca="1">IF(E56='Invoer gegevens'!$C$17+16,0,('Invoer gegevens'!$F$20/12)*L55*MIN(Reeksen!B23,Reeksen!D23))</f>
        <v>0</v>
      </c>
      <c r="Q56" s="84">
        <f ca="1">IF(E56&gt;='Invoer gegevens'!$C$17+15,0,L56-M56+I56+O56)</f>
        <v>0</v>
      </c>
      <c r="R56" s="82">
        <f ca="1">IF('Invoer gegevens'!$C$17=E56,'Invoer gegevens'!$C$11,IF(C56=1,W55,0))</f>
        <v>0</v>
      </c>
      <c r="S56" s="86">
        <f ca="1">IF(E56='Invoer gegevens'!$C$17+15,W55,IF(C56&gt;=1,R56*VLOOKUP(E56,Reeksen!$A$5:$B$76,2),0))</f>
        <v>0</v>
      </c>
      <c r="T56" s="84">
        <f ca="1">IF(E56='Invoer gegevens'!$C$17+15,W55,(1-('Invoer gegevens'!$F$20/12))*R56*MIN(Reeksen!B24,Reeksen!D24))</f>
        <v>0</v>
      </c>
      <c r="U56" s="84">
        <f>IF(Reeksen!D24&gt;=Reeksen!B24,0,IF(Reeksen!AD24&lt;=Reeksen!AE24,(Reeksen!B24-Reeksen!D24)*R56,0))</f>
        <v>0</v>
      </c>
      <c r="V56" s="86">
        <f>IF(Reeksen!D24&gt;=Reeksen!B24,0,IF(Reeksen!AD24&gt;Reeksen!AE24,(Reeksen!B24-Reeksen!D24)*R56,0))</f>
        <v>0</v>
      </c>
      <c r="W56" s="97">
        <f ca="1">IF(E56&gt;='Invoer gegevens'!$C$17+15,0,R56-S56)</f>
        <v>0</v>
      </c>
      <c r="X56" s="98">
        <f ca="1">IF('Invoer gegevens'!$C$17=E56,'Invoer gegevens'!$C$10-'Invoer gegevens'!$C$11,IF(C56=1,AC55,0))</f>
        <v>0</v>
      </c>
      <c r="Y56" s="98">
        <f ca="1">IF(E56='Invoer gegevens'!$C$17+15,AC55,IF(C56&gt;=1,X56*VLOOKUP(E56,Reeksen!$A$5:$B$76,2),0))</f>
        <v>0</v>
      </c>
      <c r="Z56" s="98">
        <f ca="1">IF(E56='Invoer gegevens'!$C$17+15,AC55,(1-('Invoer gegevens'!$F$20/12))*X56*MIN(Reeksen!B24,Reeksen!D24))</f>
        <v>0</v>
      </c>
      <c r="AA56" s="98">
        <f>IF(Reeksen!D24&gt;=Reeksen!B24,0,IF(Reeksen!AD24&lt;=Reeksen!AE24,(Reeksen!B24-Reeksen!D24)*X56,0))</f>
        <v>0</v>
      </c>
      <c r="AB56" s="98">
        <f>IF(Reeksen!D24&gt;=Reeksen!B24,0,IF(Reeksen!AD24&gt;Reeksen!AE24,(Reeksen!B24-Reeksen!D24)*X56,0))</f>
        <v>0</v>
      </c>
      <c r="AC56" s="99">
        <f ca="1">IF(E56&gt;='Invoer gegevens'!$C$17+15,0,X56-Y56)</f>
        <v>0</v>
      </c>
      <c r="AD56" s="98">
        <f ca="1">IF('Invoer gegevens'!$C$17=E24,R56,IF(C24=0,0,AE55))</f>
        <v>0</v>
      </c>
      <c r="AE56" s="98">
        <f t="shared" ca="1" si="9"/>
        <v>0</v>
      </c>
      <c r="AF56" s="98">
        <f ca="1">IF('Invoer gegevens'!$C$17=E24,X56,IF(C24=0,0,AG55))</f>
        <v>0</v>
      </c>
      <c r="AG56" s="98">
        <f t="shared" ca="1" si="10"/>
        <v>0</v>
      </c>
      <c r="AH56" s="66"/>
      <c r="AI56" s="71">
        <f ca="1">IF(C56=1,Reeksen!AI24*((F56-G56+F56)/2)*12+Reeksen!AD24*((L56-M56+L56)/2)*12,0)</f>
        <v>0</v>
      </c>
      <c r="AJ56" s="71">
        <f ca="1">-AI56*'Invoer gegevens'!$F$28</f>
        <v>0</v>
      </c>
      <c r="AK56" s="71">
        <f t="shared" ca="1" si="11"/>
        <v>0</v>
      </c>
      <c r="AL56" s="71">
        <f ca="1">IF(C56=1,Reeksen!AL24*((F56-G56+F56)/2)*12+Reeksen!AM24*((L56-M56+L56)/2)*12,0)</f>
        <v>0</v>
      </c>
      <c r="AM56" s="71">
        <f ca="1">-AL56*'Invoer gegevens'!$F$31</f>
        <v>0</v>
      </c>
      <c r="AN56" s="71">
        <f t="shared" ca="1" si="12"/>
        <v>0</v>
      </c>
      <c r="AO56" s="71">
        <f ca="1">IF(E56&gt;='Invoer gegevens'!$C$17+15,0,IF(C56=1,(H56+J56+N56+P56)*Reeksen!AN24,0))</f>
        <v>0</v>
      </c>
      <c r="AP56" s="71">
        <f ca="1">-IF(C56=1,(H56+J56+N56+P56)*'Hulp - basis'!$G$550*Reeksen!H24,0)</f>
        <v>0</v>
      </c>
      <c r="AQ56" s="71">
        <f ca="1">-IF(C56=1,(F56+K56+L56+Q56)/2*'Invoer gegevens'!$F$35*Reeksen!J24,0)</f>
        <v>0</v>
      </c>
      <c r="AR56" s="71"/>
      <c r="AS56" s="71">
        <f ca="1">-IF(C56=1,(F56+K56+L56+Q56)/2*'Invoer gegevens'!$F$37*Reeksen!L24,0)</f>
        <v>0</v>
      </c>
      <c r="AT56" s="71">
        <f>IF(Dashboard!$C$20&gt;10,-IF(C56=1,IF(E56='Invoer gegevens'!$C$17,'Invoer gegevens'!$C$11,AD56)*Reeksen!S24*'Invoer gegevens'!$C$18*Reeksen!P24,0),0)</f>
        <v>0</v>
      </c>
      <c r="AU56" s="71">
        <f ca="1">-IF(C56=1,(F56+K56+L56+Q56)/2*'Invoer gegevens'!$F$38*Reeksen!H24,0)</f>
        <v>0</v>
      </c>
      <c r="AV56" s="71">
        <f>IF('Invoer gegevens'!$C$3="Basis",0,#REF!)</f>
        <v>0</v>
      </c>
      <c r="AW56" s="71">
        <f t="shared" ca="1" si="13"/>
        <v>0</v>
      </c>
      <c r="AX56" s="72">
        <f ca="1">IF(E56='Invoer gegevens'!$C$17+14,'RW - MW - UP'!$AY$236,0)</f>
        <v>0</v>
      </c>
      <c r="AY56" s="72">
        <f ca="1">IFERROR(IF(E56='Invoer gegevens'!$C$17,-'Invoer gegevens'!$C$10*('Invoer gegevens'!$C$30+'Invoer gegevens'!$C$31)*Reeksen!H24,0),0)</f>
        <v>0</v>
      </c>
      <c r="AZ56" s="73">
        <f ca="1">IF('Invoer gegevens'!$C$34=E56,'Invoer gegevens'!$C$27*'Invoer gegevens'!$C$10*'Invoer gegevens'!$C$36*(IF('Invoer gegevens'!$C$35="ja",1,Reeksen!J24)),IF('Invoer gegevens'!$C$34+1=E56,'Invoer gegevens'!$C$27*'Invoer gegevens'!$C$10*'Invoer gegevens'!$C$37*(IF('Invoer gegevens'!$C$35="ja",1,Reeksen!J24)),0))+IF(AND(E56='Invoer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6" s="73">
        <f ca="1">AW56/(1+'Invoer gegevens'!$F$18)^($D56-('Invoer gegevens'!$C$17-'Invoer gegevens'!$C$16))/(1+'Invoer gegevens'!$C$39)^('Invoer gegevens'!$C$17-'Invoer gegevens'!$C$16)</f>
        <v>0</v>
      </c>
      <c r="BB56" s="73">
        <f ca="1">AX56/(1+'Invoer gegevens'!$F$18)^(E56-('Invoer gegevens'!$C$17-1))/(1+'Invoer gegevens'!$C$39)^('Invoer gegevens'!$C$17-'Invoer gegevens'!$C$16)</f>
        <v>0</v>
      </c>
      <c r="BC56" s="73">
        <f ca="1">AY56/(1+'Invoer gegevens'!$C$39)^('Invoer gegevens'!$C$17-'Invoer gegevens'!$C$16)</f>
        <v>0</v>
      </c>
      <c r="BD56" s="72">
        <f t="shared" ca="1" si="14"/>
        <v>0</v>
      </c>
      <c r="BE56" s="72">
        <f ca="1">IF(AND(E56='Invoer gegevens'!$C$16,'Invoer gegevens'!$C$34&lt;'Invoer gegevens'!$C$16),AZ56,AZ56/(1+'Invoer gegevens'!$C$39)^D56)</f>
        <v>0</v>
      </c>
      <c r="BF56" s="72">
        <f ca="1">IF(E56='Invoer gegevens'!$C$34,-'Invoer gegevens'!$F$40,0)</f>
        <v>0</v>
      </c>
      <c r="BG56" s="72">
        <f ca="1">IF(E56='Invoer gegevens'!$C$17,-'Invoer gegevens'!$C$19*$BD$63,0)</f>
        <v>0</v>
      </c>
      <c r="BH56" s="72">
        <f ca="1">AW56/(1+$BH$36)^($D56-('Invoer gegevens'!$C$17-'Invoer gegevens'!$C$16))/(1+'Invoer gegevens'!$C$39)^('Invoer gegevens'!$C$17-'Invoer gegevens'!$C$16)+AX56/(1+$BH$36)^(E56-('Invoer gegevens'!$C$17-1))/(1+'Invoer gegevens'!$C$39)^('Invoer gegevens'!$C$17-'Invoer gegevens'!$C$16)+AY56/(1+'Invoer gegevens'!$C$39)^('Invoer gegevens'!$C$17-'Invoer gegevens'!$C$16)+(-AZ56/(1+'Invoer gegevens'!$C$39)^D56)+BF56+BG56</f>
        <v>0</v>
      </c>
      <c r="BI56" s="59"/>
    </row>
    <row r="57" spans="1:61" x14ac:dyDescent="0.25">
      <c r="A57" s="59"/>
      <c r="B57" s="70">
        <f t="shared" si="15"/>
        <v>21</v>
      </c>
      <c r="C57" s="67">
        <f ca="1">IF(AND(E57&gt;='Invoer gegevens'!$C$17,E57&lt;'Invoer gegevens'!$C$17+15),1,0)</f>
        <v>0</v>
      </c>
      <c r="D57" s="68">
        <f t="shared" si="16"/>
        <v>20.5</v>
      </c>
      <c r="E57" s="69">
        <f ca="1">IF('Invoer gegevens'!$C$16="","",E56+1)</f>
        <v>2039</v>
      </c>
      <c r="F57" s="84">
        <f ca="1">IF('Invoer gegevens'!$C$17=E57,'Invoer gegevens'!$C$10,IF(C57=1,K56,0))</f>
        <v>0</v>
      </c>
      <c r="G57" s="96">
        <f ca="1">IF(E57='Invoer gegevens'!$C$17+15,K56,IF(C57&gt;=1,F57*VLOOKUP(E57,Reeksen!$A$5:$B$76,2),0))</f>
        <v>0</v>
      </c>
      <c r="H57" s="84">
        <f ca="1">IF(E57='Invoer gegevens'!$C$17+15,K56,(1-('Invoer gegevens'!$F$20/12))*F57*MIN(Reeksen!B25,Reeksen!D25))</f>
        <v>0</v>
      </c>
      <c r="I57" s="84">
        <f>IF(Reeksen!D25&lt;Reeksen!B25,(Reeksen!B25-Reeksen!D25)*F57,0)</f>
        <v>0</v>
      </c>
      <c r="J57" s="84">
        <f ca="1">IF(E57='Invoer gegevens'!$C$17+16,0,('Invoer gegevens'!$F$20/12)*F56*MIN(Reeksen!B24,Reeksen!D24))</f>
        <v>0</v>
      </c>
      <c r="K57" s="97">
        <f ca="1">IF(E57&gt;='Invoer gegevens'!$C$17+15,0,F57-G57)</f>
        <v>0</v>
      </c>
      <c r="L57" s="84">
        <f ca="1">IF('Invoer gegevens'!$C$17=E57,0,IF(C57=1,Q56,0))</f>
        <v>0</v>
      </c>
      <c r="M57" s="96">
        <f ca="1">IF(E57='Invoer gegevens'!$C$17+15,Q56,IF(C57&gt;=1,L57*VLOOKUP(E57,Reeksen!$A$5:$B$76,2),0))</f>
        <v>0</v>
      </c>
      <c r="N57" s="84">
        <f ca="1">IF(C57='Invoer gegevens'!$C$17+15,Q56,(1-('Invoer gegevens'!$F$20/12))*L57*MIN(Reeksen!B25,Reeksen!D25))</f>
        <v>0</v>
      </c>
      <c r="O57" s="84">
        <f>IF(Reeksen!D25&lt;Reeksen!B25,(Reeksen!B25-Reeksen!D25)*L57,0)</f>
        <v>0</v>
      </c>
      <c r="P57" s="84">
        <f ca="1">IF(E57='Invoer gegevens'!$C$17+16,0,('Invoer gegevens'!$F$20/12)*L56*MIN(Reeksen!B24,Reeksen!D24))</f>
        <v>0</v>
      </c>
      <c r="Q57" s="84">
        <f ca="1">IF(E57&gt;='Invoer gegevens'!$C$17+15,0,L57-M57+I57+O57)</f>
        <v>0</v>
      </c>
      <c r="R57" s="82">
        <f ca="1">IF('Invoer gegevens'!$C$17=E57,'Invoer gegevens'!$C$11,IF(C57=1,W56,0))</f>
        <v>0</v>
      </c>
      <c r="S57" s="86">
        <f ca="1">IF(E57='Invoer gegevens'!$C$17+15,W56,IF(C57&gt;=1,R57*VLOOKUP(E57,Reeksen!$A$5:$B$76,2),0))</f>
        <v>0</v>
      </c>
      <c r="T57" s="84">
        <f ca="1">IF(E57='Invoer gegevens'!$C$17+15,W56,(1-('Invoer gegevens'!$F$20/12))*R57*MIN(Reeksen!B25,Reeksen!D25))</f>
        <v>0</v>
      </c>
      <c r="U57" s="84">
        <f>IF(Reeksen!D25&gt;=Reeksen!B25,0,IF(Reeksen!AD25&lt;=Reeksen!AE25,(Reeksen!B25-Reeksen!D25)*R57,0))</f>
        <v>0</v>
      </c>
      <c r="V57" s="86">
        <f>IF(Reeksen!D25&gt;=Reeksen!B25,0,IF(Reeksen!AD25&gt;Reeksen!AE25,(Reeksen!B25-Reeksen!D25)*R57,0))</f>
        <v>0</v>
      </c>
      <c r="W57" s="97">
        <f ca="1">IF(E57&gt;='Invoer gegevens'!$C$17+15,0,R57-S57)</f>
        <v>0</v>
      </c>
      <c r="X57" s="98">
        <f ca="1">IF('Invoer gegevens'!$C$17=E57,'Invoer gegevens'!$C$10-'Invoer gegevens'!$C$11,IF(C57=1,AC56,0))</f>
        <v>0</v>
      </c>
      <c r="Y57" s="98">
        <f ca="1">IF(E57='Invoer gegevens'!$C$17+15,AC56,IF(C57&gt;=1,X57*VLOOKUP(E57,Reeksen!$A$5:$B$76,2),0))</f>
        <v>0</v>
      </c>
      <c r="Z57" s="98">
        <f ca="1">IF(E57='Invoer gegevens'!$C$17+15,AC56,(1-('Invoer gegevens'!$F$20/12))*X57*MIN(Reeksen!B25,Reeksen!D25))</f>
        <v>0</v>
      </c>
      <c r="AA57" s="98">
        <f>IF(Reeksen!D25&gt;=Reeksen!B25,0,IF(Reeksen!AD25&lt;=Reeksen!AE25,(Reeksen!B25-Reeksen!D25)*X57,0))</f>
        <v>0</v>
      </c>
      <c r="AB57" s="98">
        <f>IF(Reeksen!D25&gt;=Reeksen!B25,0,IF(Reeksen!AD25&gt;Reeksen!AE25,(Reeksen!B25-Reeksen!D25)*X57,0))</f>
        <v>0</v>
      </c>
      <c r="AC57" s="99">
        <f ca="1">IF(E57&gt;='Invoer gegevens'!$C$17+15,0,X57-Y57)</f>
        <v>0</v>
      </c>
      <c r="AD57" s="98">
        <f ca="1">IF('Invoer gegevens'!$C$17=E25,R57,IF(C25=0,0,AE56))</f>
        <v>0</v>
      </c>
      <c r="AE57" s="98">
        <f t="shared" ca="1" si="9"/>
        <v>0</v>
      </c>
      <c r="AF57" s="98">
        <f ca="1">IF('Invoer gegevens'!$C$17=E25,X57,IF(C25=0,0,AG56))</f>
        <v>0</v>
      </c>
      <c r="AG57" s="98">
        <f t="shared" ca="1" si="10"/>
        <v>0</v>
      </c>
      <c r="AH57" s="66"/>
      <c r="AI57" s="71">
        <f ca="1">IF(C57=1,Reeksen!AI25*((F57-G57+F57)/2)*12+Reeksen!AD25*((L57-M57+L57)/2)*12,0)</f>
        <v>0</v>
      </c>
      <c r="AJ57" s="71">
        <f ca="1">-AI57*'Invoer gegevens'!$F$28</f>
        <v>0</v>
      </c>
      <c r="AK57" s="71">
        <f t="shared" ca="1" si="11"/>
        <v>0</v>
      </c>
      <c r="AL57" s="71">
        <f ca="1">IF(C57=1,Reeksen!AL25*((F57-G57+F57)/2)*12+Reeksen!AM25*((L57-M57+L57)/2)*12,0)</f>
        <v>0</v>
      </c>
      <c r="AM57" s="71">
        <f ca="1">-AL57*'Invoer gegevens'!$F$31</f>
        <v>0</v>
      </c>
      <c r="AN57" s="71">
        <f t="shared" ca="1" si="12"/>
        <v>0</v>
      </c>
      <c r="AO57" s="71">
        <f ca="1">IF(E57&gt;='Invoer gegevens'!$C$17+15,0,IF(C57=1,(H57+J57+N57+P57)*Reeksen!AN25,0))</f>
        <v>0</v>
      </c>
      <c r="AP57" s="71">
        <f ca="1">-IF(C57=1,(H57+J57+N57+P57)*'Hulp - basis'!$G$550*Reeksen!H25,0)</f>
        <v>0</v>
      </c>
      <c r="AQ57" s="71">
        <f ca="1">-IF(C57=1,(F57+K57+L57+Q57)/2*'Invoer gegevens'!$F$35*Reeksen!J25,0)</f>
        <v>0</v>
      </c>
      <c r="AR57" s="71"/>
      <c r="AS57" s="71">
        <f ca="1">-IF(C57=1,(F57+K57+L57+Q57)/2*'Invoer gegevens'!$F$37*Reeksen!L25,0)</f>
        <v>0</v>
      </c>
      <c r="AT57" s="71">
        <f>IF(Dashboard!$C$20&gt;10,-IF(C57=1,IF(E57='Invoer gegevens'!$C$17,'Invoer gegevens'!$C$11,AD57)*Reeksen!S25*'Invoer gegevens'!$C$18*Reeksen!P25,0),0)</f>
        <v>0</v>
      </c>
      <c r="AU57" s="71">
        <f ca="1">-IF(C57=1,(F57+K57+L57+Q57)/2*'Invoer gegevens'!$F$38*Reeksen!H25,0)</f>
        <v>0</v>
      </c>
      <c r="AV57" s="71">
        <f>IF('Invoer gegevens'!$C$3="Basis",0,#REF!)</f>
        <v>0</v>
      </c>
      <c r="AW57" s="71">
        <f t="shared" ca="1" si="13"/>
        <v>0</v>
      </c>
      <c r="AX57" s="72">
        <f ca="1">IF(E57='Invoer gegevens'!$C$17+14,'RW - MW - UP'!$AY$236,0)</f>
        <v>0</v>
      </c>
      <c r="AY57" s="72">
        <f ca="1">IFERROR(IF(E57='Invoer gegevens'!$C$17,-'Invoer gegevens'!$C$10*('Invoer gegevens'!$C$30+'Invoer gegevens'!$C$31)*Reeksen!H25,0),0)</f>
        <v>0</v>
      </c>
      <c r="AZ57" s="73">
        <f ca="1">IF('Invoer gegevens'!$C$34=E57,'Invoer gegevens'!$C$27*'Invoer gegevens'!$C$10*'Invoer gegevens'!$C$36*(IF('Invoer gegevens'!$C$35="ja",1,Reeksen!J25)),IF('Invoer gegevens'!$C$34+1=E57,'Invoer gegevens'!$C$27*'Invoer gegevens'!$C$10*'Invoer gegevens'!$C$37*(IF('Invoer gegevens'!$C$35="ja",1,Reeksen!J25)),0))+IF(AND(E57='Invoer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7" s="73">
        <f ca="1">AW57/(1+'Invoer gegevens'!$F$18)^($D57-('Invoer gegevens'!$C$17-'Invoer gegevens'!$C$16))/(1+'Invoer gegevens'!$C$39)^('Invoer gegevens'!$C$17-'Invoer gegevens'!$C$16)</f>
        <v>0</v>
      </c>
      <c r="BB57" s="73">
        <f ca="1">AX57/(1+'Invoer gegevens'!$F$18)^(E57-('Invoer gegevens'!$C$17-1))/(1+'Invoer gegevens'!$C$39)^('Invoer gegevens'!$C$17-'Invoer gegevens'!$C$16)</f>
        <v>0</v>
      </c>
      <c r="BC57" s="73">
        <f ca="1">AY57/(1+'Invoer gegevens'!$C$39)^('Invoer gegevens'!$C$17-'Invoer gegevens'!$C$16)</f>
        <v>0</v>
      </c>
      <c r="BD57" s="72">
        <f t="shared" ca="1" si="14"/>
        <v>0</v>
      </c>
      <c r="BE57" s="72">
        <f ca="1">IF(AND(E57='Invoer gegevens'!$C$16,'Invoer gegevens'!$C$34&lt;'Invoer gegevens'!$C$16),AZ57,AZ57/(1+'Invoer gegevens'!$C$39)^D57)</f>
        <v>0</v>
      </c>
      <c r="BF57" s="72">
        <f ca="1">IF(E57='Invoer gegevens'!$C$34,-'Invoer gegevens'!$F$40,0)</f>
        <v>0</v>
      </c>
      <c r="BG57" s="72">
        <f ca="1">IF(E57='Invoer gegevens'!$C$17,-'Invoer gegevens'!$C$19*$BD$63,0)</f>
        <v>0</v>
      </c>
      <c r="BH57" s="72">
        <f ca="1">AW57/(1+$BH$36)^($D57-('Invoer gegevens'!$C$17-'Invoer gegevens'!$C$16))/(1+'Invoer gegevens'!$C$39)^('Invoer gegevens'!$C$17-'Invoer gegevens'!$C$16)+AX57/(1+$BH$36)^(E57-('Invoer gegevens'!$C$17-1))/(1+'Invoer gegevens'!$C$39)^('Invoer gegevens'!$C$17-'Invoer gegevens'!$C$16)+AY57/(1+'Invoer gegevens'!$C$39)^('Invoer gegevens'!$C$17-'Invoer gegevens'!$C$16)+(-AZ57/(1+'Invoer gegevens'!$C$39)^D57)+BF57+BG57</f>
        <v>0</v>
      </c>
      <c r="BI57" s="59"/>
    </row>
    <row r="58" spans="1:61" x14ac:dyDescent="0.25">
      <c r="A58" s="59"/>
      <c r="B58" s="70">
        <f>B57+1</f>
        <v>22</v>
      </c>
      <c r="C58" s="67">
        <f ca="1">IF(AND(E58&gt;='Invoer gegevens'!$C$17,E58&lt;'Invoer gegevens'!$C$17+15),1,0)</f>
        <v>0</v>
      </c>
      <c r="D58" s="68">
        <f t="shared" si="16"/>
        <v>21.5</v>
      </c>
      <c r="E58" s="69">
        <f ca="1">IF('Invoer gegevens'!$C$16="","",E57+1)</f>
        <v>2040</v>
      </c>
      <c r="F58" s="84">
        <f ca="1">IF('Invoer gegevens'!$C$17=E58,'Invoer gegevens'!$C$10,IF(C58=1,K57,0))</f>
        <v>0</v>
      </c>
      <c r="G58" s="96">
        <f ca="1">IF(E58='Invoer gegevens'!$C$17+15,K57,IF(C58&gt;=1,F58*VLOOKUP(E58,Reeksen!$A$5:$B$76,2),0))</f>
        <v>0</v>
      </c>
      <c r="H58" s="84">
        <f ca="1">IF(E58='Invoer gegevens'!$C$17+15,K57,(1-('Invoer gegevens'!$F$20/12))*F58*MIN(Reeksen!B26,Reeksen!D26))</f>
        <v>0</v>
      </c>
      <c r="I58" s="84">
        <f>IF(Reeksen!D26&lt;Reeksen!B26,(Reeksen!B26-Reeksen!D26)*F58,0)</f>
        <v>0</v>
      </c>
      <c r="J58" s="84">
        <f ca="1">IF(E58='Invoer gegevens'!$C$17+16,0,('Invoer gegevens'!$F$20/12)*F57*MIN(Reeksen!B25,Reeksen!D25))</f>
        <v>0</v>
      </c>
      <c r="K58" s="97">
        <f ca="1">IF(E58&gt;='Invoer gegevens'!$C$17+15,0,F58-G58)</f>
        <v>0</v>
      </c>
      <c r="L58" s="84">
        <f ca="1">IF('Invoer gegevens'!$C$17=E58,0,IF(C58=1,Q57,0))</f>
        <v>0</v>
      </c>
      <c r="M58" s="96">
        <f ca="1">IF(E58='Invoer gegevens'!$C$17+15,Q57,IF(C58&gt;=1,L58*VLOOKUP(E58,Reeksen!$A$5:$B$76,2),0))</f>
        <v>0</v>
      </c>
      <c r="N58" s="84">
        <f ca="1">IF(C58='Invoer gegevens'!$C$17+15,Q57,(1-('Invoer gegevens'!$F$20/12))*L58*MIN(Reeksen!B26,Reeksen!D26))</f>
        <v>0</v>
      </c>
      <c r="O58" s="84">
        <f>IF(Reeksen!D26&lt;Reeksen!B26,(Reeksen!B26-Reeksen!D26)*L58,0)</f>
        <v>0</v>
      </c>
      <c r="P58" s="84">
        <f ca="1">IF(E58='Invoer gegevens'!$C$17+16,0,('Invoer gegevens'!$F$20/12)*L57*MIN(Reeksen!B25,Reeksen!D25))</f>
        <v>0</v>
      </c>
      <c r="Q58" s="84">
        <f ca="1">IF(E58&gt;='Invoer gegevens'!$C$17+15,0,L58-M58+I58+O58)</f>
        <v>0</v>
      </c>
      <c r="R58" s="82">
        <f ca="1">IF('Invoer gegevens'!$C$17=E58,'Invoer gegevens'!$C$11,IF(C58=1,W57,0))</f>
        <v>0</v>
      </c>
      <c r="S58" s="86">
        <f ca="1">IF(E58='Invoer gegevens'!$C$17+15,W57,IF(C58&gt;=1,R58*VLOOKUP(E58,Reeksen!$A$5:$B$76,2),0))</f>
        <v>0</v>
      </c>
      <c r="T58" s="84">
        <f ca="1">IF(E58='Invoer gegevens'!$C$17+15,W57,(1-('Invoer gegevens'!$F$20/12))*R58*MIN(Reeksen!B26,Reeksen!D26))</f>
        <v>0</v>
      </c>
      <c r="U58" s="84">
        <f>IF(Reeksen!D26&gt;=Reeksen!B26,0,IF(Reeksen!AD26&lt;=Reeksen!AE26,(Reeksen!B26-Reeksen!D26)*R58,0))</f>
        <v>0</v>
      </c>
      <c r="V58" s="86">
        <f>IF(Reeksen!D26&gt;=Reeksen!B26,0,IF(Reeksen!AD26&gt;Reeksen!AE26,(Reeksen!B26-Reeksen!D26)*R58,0))</f>
        <v>0</v>
      </c>
      <c r="W58" s="97">
        <f ca="1">IF(E58&gt;='Invoer gegevens'!$C$17+15,0,R58-S58)</f>
        <v>0</v>
      </c>
      <c r="X58" s="98">
        <f ca="1">IF('Invoer gegevens'!$C$17=E58,'Invoer gegevens'!$C$10-'Invoer gegevens'!$C$11,IF(C58=1,AC57,0))</f>
        <v>0</v>
      </c>
      <c r="Y58" s="98">
        <f ca="1">IF(E58='Invoer gegevens'!$C$17+15,AC57,IF(C58&gt;=1,X58*VLOOKUP(E58,Reeksen!$A$5:$B$76,2),0))</f>
        <v>0</v>
      </c>
      <c r="Z58" s="98">
        <f ca="1">IF(E58='Invoer gegevens'!$C$17+15,AC57,(1-('Invoer gegevens'!$F$20/12))*X58*MIN(Reeksen!B26,Reeksen!D26))</f>
        <v>0</v>
      </c>
      <c r="AA58" s="98">
        <f>IF(Reeksen!D26&gt;=Reeksen!B26,0,IF(Reeksen!AD26&lt;=Reeksen!AE26,(Reeksen!B26-Reeksen!D26)*X58,0))</f>
        <v>0</v>
      </c>
      <c r="AB58" s="98">
        <f>IF(Reeksen!D26&gt;=Reeksen!B26,0,IF(Reeksen!AD26&gt;Reeksen!AE26,(Reeksen!B26-Reeksen!D26)*X58,0))</f>
        <v>0</v>
      </c>
      <c r="AC58" s="99">
        <f ca="1">IF(E58&gt;='Invoer gegevens'!$C$17+15,0,X58-Y58)</f>
        <v>0</v>
      </c>
      <c r="AD58" s="98">
        <f ca="1">IF('Invoer gegevens'!$C$17=E26,R58,IF(C26=0,0,AE57))</f>
        <v>0</v>
      </c>
      <c r="AE58" s="98">
        <f t="shared" ca="1" si="9"/>
        <v>0</v>
      </c>
      <c r="AF58" s="98">
        <f ca="1">IF('Invoer gegevens'!$C$17=E26,X58,IF(C26=0,0,AG57))</f>
        <v>0</v>
      </c>
      <c r="AG58" s="98">
        <f t="shared" ca="1" si="10"/>
        <v>0</v>
      </c>
      <c r="AH58" s="66"/>
      <c r="AI58" s="71">
        <f ca="1">IF(C58=1,Reeksen!AI26*((F58-G58+F58)/2)*12+Reeksen!AD26*((L58-M58+L58)/2)*12,0)</f>
        <v>0</v>
      </c>
      <c r="AJ58" s="71">
        <f ca="1">-AI58*'Invoer gegevens'!$F$28</f>
        <v>0</v>
      </c>
      <c r="AK58" s="71">
        <f t="shared" ca="1" si="11"/>
        <v>0</v>
      </c>
      <c r="AL58" s="71">
        <f ca="1">IF(C58=1,Reeksen!AL26*((F58-G58+F58)/2)*12+Reeksen!AM26*((L58-M58+L58)/2)*12,0)</f>
        <v>0</v>
      </c>
      <c r="AM58" s="71">
        <f ca="1">-AL58*'Invoer gegevens'!$F$31</f>
        <v>0</v>
      </c>
      <c r="AN58" s="71">
        <f t="shared" ca="1" si="12"/>
        <v>0</v>
      </c>
      <c r="AO58" s="71">
        <f ca="1">IF(E58&gt;='Invoer gegevens'!$C$17+15,0,IF(C58=1,(H58+J58+N58+P58)*Reeksen!AN26,0))</f>
        <v>0</v>
      </c>
      <c r="AP58" s="71">
        <f ca="1">-IF(C58=1,(H58+J58+N58+P58)*'Hulp - basis'!$G$550*Reeksen!H26,0)</f>
        <v>0</v>
      </c>
      <c r="AQ58" s="71">
        <f ca="1">-IF(C58=1,(F58+K58+L58+Q58)/2*'Invoer gegevens'!$F$35*Reeksen!J26,0)</f>
        <v>0</v>
      </c>
      <c r="AR58" s="71"/>
      <c r="AS58" s="71">
        <f ca="1">-IF(C58=1,(F58+K58+L58+Q58)/2*'Invoer gegevens'!$F$37*Reeksen!L26,0)</f>
        <v>0</v>
      </c>
      <c r="AT58" s="71">
        <f>IF(Dashboard!$C$20&gt;10,-IF(C58=1,IF(E58='Invoer gegevens'!$C$17,'Invoer gegevens'!$C$11,AD58)*Reeksen!S26*'Invoer gegevens'!$C$18*Reeksen!P26,0),0)</f>
        <v>0</v>
      </c>
      <c r="AU58" s="71">
        <f ca="1">-IF(C58=1,(F58+K58+L58+Q58)/2*'Invoer gegevens'!$F$38*Reeksen!H26,0)</f>
        <v>0</v>
      </c>
      <c r="AV58" s="71">
        <f>IF('Invoer gegevens'!$C$3="Basis",0,#REF!)</f>
        <v>0</v>
      </c>
      <c r="AW58" s="71">
        <f t="shared" ca="1" si="13"/>
        <v>0</v>
      </c>
      <c r="AX58" s="72">
        <f ca="1">IF(E58='Invoer gegevens'!$C$17+14,'RW - MW - UP'!$AY$236,0)</f>
        <v>0</v>
      </c>
      <c r="AY58" s="72">
        <f ca="1">IFERROR(IF(E58='Invoer gegevens'!$C$17,-'Invoer gegevens'!$C$10*('Invoer gegevens'!$C$30+'Invoer gegevens'!$C$31)*Reeksen!H26,0),0)</f>
        <v>0</v>
      </c>
      <c r="AZ58" s="73">
        <f ca="1">IF('Invoer gegevens'!$C$34=E58,'Invoer gegevens'!$C$27*'Invoer gegevens'!$C$10*'Invoer gegevens'!$C$36*(IF('Invoer gegevens'!$C$35="ja",1,Reeksen!J26)),IF('Invoer gegevens'!$C$34+1=E58,'Invoer gegevens'!$C$27*'Invoer gegevens'!$C$10*'Invoer gegevens'!$C$37*(IF('Invoer gegevens'!$C$35="ja",1,Reeksen!J26)),0))+IF(AND(E58='Invoer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8" s="73">
        <f ca="1">AW58/(1+'Invoer gegevens'!$F$18)^($D58-('Invoer gegevens'!$C$17-'Invoer gegevens'!$C$16))/(1+'Invoer gegevens'!$C$39)^('Invoer gegevens'!$C$17-'Invoer gegevens'!$C$16)</f>
        <v>0</v>
      </c>
      <c r="BB58" s="73">
        <f ca="1">AX58/(1+'Invoer gegevens'!$F$18)^(E58-('Invoer gegevens'!$C$17-1))/(1+'Invoer gegevens'!$C$39)^('Invoer gegevens'!$C$17-'Invoer gegevens'!$C$16)</f>
        <v>0</v>
      </c>
      <c r="BC58" s="73">
        <f ca="1">AY58/(1+'Invoer gegevens'!$C$39)^('Invoer gegevens'!$C$17-'Invoer gegevens'!$C$16)</f>
        <v>0</v>
      </c>
      <c r="BD58" s="72">
        <f t="shared" ca="1" si="14"/>
        <v>0</v>
      </c>
      <c r="BE58" s="72">
        <f ca="1">IF(AND(E58='Invoer gegevens'!$C$16,'Invoer gegevens'!$C$34&lt;'Invoer gegevens'!$C$16),AZ58,AZ58/(1+'Invoer gegevens'!$C$39)^D58)</f>
        <v>0</v>
      </c>
      <c r="BF58" s="72">
        <f ca="1">IF(E58='Invoer gegevens'!$C$34,-'Invoer gegevens'!$F$40,0)</f>
        <v>0</v>
      </c>
      <c r="BG58" s="72">
        <f ca="1">IF(E58='Invoer gegevens'!$C$17,-'Invoer gegevens'!$C$19*$BD$63,0)</f>
        <v>0</v>
      </c>
      <c r="BH58" s="72">
        <f ca="1">AW58/(1+$BH$36)^($D58-('Invoer gegevens'!$C$17-'Invoer gegevens'!$C$16))/(1+'Invoer gegevens'!$C$39)^('Invoer gegevens'!$C$17-'Invoer gegevens'!$C$16)+AX58/(1+$BH$36)^(E58-('Invoer gegevens'!$C$17-1))/(1+'Invoer gegevens'!$C$39)^('Invoer gegevens'!$C$17-'Invoer gegevens'!$C$16)+AY58/(1+'Invoer gegevens'!$C$39)^('Invoer gegevens'!$C$17-'Invoer gegevens'!$C$16)+(-AZ58/(1+'Invoer gegevens'!$C$39)^D58)+BF58+BG58</f>
        <v>0</v>
      </c>
      <c r="BI58" s="59"/>
    </row>
    <row r="59" spans="1:61" x14ac:dyDescent="0.25">
      <c r="A59" s="59"/>
      <c r="B59" s="70">
        <f t="shared" si="15"/>
        <v>23</v>
      </c>
      <c r="C59" s="67">
        <f ca="1">IF(AND(E59&gt;='Invoer gegevens'!$C$17,E59&lt;'Invoer gegevens'!$C$17+15),1,0)</f>
        <v>0</v>
      </c>
      <c r="D59" s="68">
        <f t="shared" si="16"/>
        <v>22.5</v>
      </c>
      <c r="E59" s="69">
        <f ca="1">IF('Invoer gegevens'!$C$16="","",E58+1)</f>
        <v>2041</v>
      </c>
      <c r="F59" s="84">
        <f ca="1">IF('Invoer gegevens'!$C$17=E59,'Invoer gegevens'!$C$10,IF(C59=1,K58,0))</f>
        <v>0</v>
      </c>
      <c r="G59" s="96">
        <f ca="1">IF(E59='Invoer gegevens'!$C$17+15,K58,IF(C59&gt;=1,F59*VLOOKUP(E59,Reeksen!$A$5:$B$76,2),0))</f>
        <v>0</v>
      </c>
      <c r="H59" s="84">
        <f ca="1">IF(E59='Invoer gegevens'!$C$17+15,K58,(1-('Invoer gegevens'!$F$20/12))*F59*MIN(Reeksen!B27,Reeksen!D27))</f>
        <v>0</v>
      </c>
      <c r="I59" s="84">
        <f>IF(Reeksen!D27&lt;Reeksen!B27,(Reeksen!B27-Reeksen!D27)*F59,0)</f>
        <v>0</v>
      </c>
      <c r="J59" s="84">
        <f ca="1">IF(E59='Invoer gegevens'!$C$17+16,0,('Invoer gegevens'!$F$20/12)*F58*MIN(Reeksen!B26,Reeksen!D26))</f>
        <v>0</v>
      </c>
      <c r="K59" s="97">
        <f ca="1">IF(E59&gt;='Invoer gegevens'!$C$17+15,0,F59-G59)</f>
        <v>0</v>
      </c>
      <c r="L59" s="84">
        <f ca="1">IF('Invoer gegevens'!$C$17=E59,0,IF(C59=1,Q58,0))</f>
        <v>0</v>
      </c>
      <c r="M59" s="96">
        <f ca="1">IF(E59='Invoer gegevens'!$C$17+15,Q58,IF(C59&gt;=1,L59*VLOOKUP(E59,Reeksen!$A$5:$B$76,2),0))</f>
        <v>0</v>
      </c>
      <c r="N59" s="84">
        <f ca="1">IF(C59='Invoer gegevens'!$C$17+15,Q58,(1-('Invoer gegevens'!$F$20/12))*L59*MIN(Reeksen!B27,Reeksen!D27))</f>
        <v>0</v>
      </c>
      <c r="O59" s="84">
        <f>IF(Reeksen!D27&lt;Reeksen!B27,(Reeksen!B27-Reeksen!D27)*L59,0)</f>
        <v>0</v>
      </c>
      <c r="P59" s="84">
        <f ca="1">IF(E59='Invoer gegevens'!$C$17+16,0,('Invoer gegevens'!$F$20/12)*L58*MIN(Reeksen!B26,Reeksen!D26))</f>
        <v>0</v>
      </c>
      <c r="Q59" s="84">
        <f ca="1">IF(E59&gt;='Invoer gegevens'!$C$17+15,0,L59-M59+I59+O59)</f>
        <v>0</v>
      </c>
      <c r="R59" s="82">
        <f ca="1">IF('Invoer gegevens'!$C$17=E59,'Invoer gegevens'!$C$11,IF(C59=1,W58,0))</f>
        <v>0</v>
      </c>
      <c r="S59" s="86">
        <f ca="1">IF(E59='Invoer gegevens'!$C$17+15,W58,IF(C59&gt;=1,R59*VLOOKUP(E59,Reeksen!$A$5:$B$76,2),0))</f>
        <v>0</v>
      </c>
      <c r="T59" s="84">
        <f ca="1">IF(E59='Invoer gegevens'!$C$17+15,W58,(1-('Invoer gegevens'!$F$20/12))*R59*MIN(Reeksen!B27,Reeksen!D27))</f>
        <v>0</v>
      </c>
      <c r="U59" s="84">
        <f>IF(Reeksen!D27&gt;=Reeksen!B27,0,IF(Reeksen!AD27&lt;=Reeksen!AE27,(Reeksen!B27-Reeksen!D27)*R59,0))</f>
        <v>0</v>
      </c>
      <c r="V59" s="86">
        <f>IF(Reeksen!D27&gt;=Reeksen!B27,0,IF(Reeksen!AD27&gt;Reeksen!AE27,(Reeksen!B27-Reeksen!D27)*R59,0))</f>
        <v>0</v>
      </c>
      <c r="W59" s="97">
        <f ca="1">IF(E59&gt;='Invoer gegevens'!$C$17+15,0,R59-S59)</f>
        <v>0</v>
      </c>
      <c r="X59" s="98">
        <f ca="1">IF('Invoer gegevens'!$C$17=E59,'Invoer gegevens'!$C$10-'Invoer gegevens'!$C$11,IF(C59=1,AC58,0))</f>
        <v>0</v>
      </c>
      <c r="Y59" s="98">
        <f ca="1">IF(E59='Invoer gegevens'!$C$17+15,AC58,IF(C59&gt;=1,X59*VLOOKUP(E59,Reeksen!$A$5:$B$76,2),0))</f>
        <v>0</v>
      </c>
      <c r="Z59" s="98">
        <f ca="1">IF(E59='Invoer gegevens'!$C$17+15,AC58,(1-('Invoer gegevens'!$F$20/12))*X59*MIN(Reeksen!B27,Reeksen!D27))</f>
        <v>0</v>
      </c>
      <c r="AA59" s="98">
        <f>IF(Reeksen!D27&gt;=Reeksen!B27,0,IF(Reeksen!AD27&lt;=Reeksen!AE27,(Reeksen!B27-Reeksen!D27)*X59,0))</f>
        <v>0</v>
      </c>
      <c r="AB59" s="98">
        <f>IF(Reeksen!D27&gt;=Reeksen!B27,0,IF(Reeksen!AD27&gt;Reeksen!AE27,(Reeksen!B27-Reeksen!D27)*X59,0))</f>
        <v>0</v>
      </c>
      <c r="AC59" s="99">
        <f ca="1">IF(E59&gt;='Invoer gegevens'!$C$17+15,0,X59-Y59)</f>
        <v>0</v>
      </c>
      <c r="AD59" s="98">
        <f ca="1">IF('Invoer gegevens'!$C$17=E27,R59,IF(C27=0,0,AE58))</f>
        <v>0</v>
      </c>
      <c r="AE59" s="98">
        <f t="shared" ca="1" si="9"/>
        <v>0</v>
      </c>
      <c r="AF59" s="98">
        <f ca="1">IF('Invoer gegevens'!$C$17=E27,X59,IF(C27=0,0,AG58))</f>
        <v>0</v>
      </c>
      <c r="AG59" s="98">
        <f t="shared" ca="1" si="10"/>
        <v>0</v>
      </c>
      <c r="AH59" s="66"/>
      <c r="AI59" s="71">
        <f ca="1">IF(C59=1,Reeksen!AI27*((F59-G59+F59)/2)*12+Reeksen!AD27*((L59-M59+L59)/2)*12,0)</f>
        <v>0</v>
      </c>
      <c r="AJ59" s="71">
        <f ca="1">-AI59*'Invoer gegevens'!$F$28</f>
        <v>0</v>
      </c>
      <c r="AK59" s="71">
        <f t="shared" ca="1" si="11"/>
        <v>0</v>
      </c>
      <c r="AL59" s="71">
        <f ca="1">IF(C59=1,Reeksen!AL27*((F59-G59+F59)/2)*12+Reeksen!AM27*((L59-M59+L59)/2)*12,0)</f>
        <v>0</v>
      </c>
      <c r="AM59" s="71">
        <f ca="1">-AL59*'Invoer gegevens'!$F$31</f>
        <v>0</v>
      </c>
      <c r="AN59" s="71">
        <f t="shared" ca="1" si="12"/>
        <v>0</v>
      </c>
      <c r="AO59" s="71">
        <f ca="1">IF(E59&gt;='Invoer gegevens'!$C$17+15,0,IF(C59=1,(H59+J59+N59+P59)*Reeksen!AN27,0))</f>
        <v>0</v>
      </c>
      <c r="AP59" s="71">
        <f ca="1">-IF(C59=1,(H59+J59+N59+P59)*'Hulp - basis'!$G$550*Reeksen!H27,0)</f>
        <v>0</v>
      </c>
      <c r="AQ59" s="71">
        <f ca="1">-IF(C59=1,(F59+K59+L59+Q59)/2*'Invoer gegevens'!$F$35*Reeksen!J27,0)</f>
        <v>0</v>
      </c>
      <c r="AR59" s="71"/>
      <c r="AS59" s="71">
        <f ca="1">-IF(C59=1,(F59+K59+L59+Q59)/2*'Invoer gegevens'!$F$37*Reeksen!L27,0)</f>
        <v>0</v>
      </c>
      <c r="AT59" s="71">
        <f>IF(Dashboard!$C$20&gt;10,-IF(C59=1,IF(E59='Invoer gegevens'!$C$17,'Invoer gegevens'!$C$11,AD59)*Reeksen!S27*'Invoer gegevens'!$C$18*Reeksen!P27,0),0)</f>
        <v>0</v>
      </c>
      <c r="AU59" s="71">
        <f ca="1">-IF(C59=1,(F59+K59+L59+Q59)/2*'Invoer gegevens'!$F$38*Reeksen!H27,0)</f>
        <v>0</v>
      </c>
      <c r="AV59" s="71">
        <f>IF('Invoer gegevens'!$C$3="Basis",0,#REF!)</f>
        <v>0</v>
      </c>
      <c r="AW59" s="71">
        <f t="shared" ca="1" si="13"/>
        <v>0</v>
      </c>
      <c r="AX59" s="72">
        <f ca="1">IF(E59='Invoer gegevens'!$C$17+14,'RW - MW - UP'!$AY$236,0)</f>
        <v>0</v>
      </c>
      <c r="AY59" s="72">
        <f ca="1">IFERROR(IF(E59='Invoer gegevens'!$C$17,-'Invoer gegevens'!$C$10*('Invoer gegevens'!$C$30+'Invoer gegevens'!$C$31)*Reeksen!H27,0),0)</f>
        <v>0</v>
      </c>
      <c r="AZ59" s="73">
        <f ca="1">IF('Invoer gegevens'!$C$34=E59,'Invoer gegevens'!$C$27*'Invoer gegevens'!$C$10*'Invoer gegevens'!$C$36*(IF('Invoer gegevens'!$C$35="ja",1,Reeksen!J27)),IF('Invoer gegevens'!$C$34+1=E59,'Invoer gegevens'!$C$27*'Invoer gegevens'!$C$10*'Invoer gegevens'!$C$37*(IF('Invoer gegevens'!$C$35="ja",1,Reeksen!J27)),0))+IF(AND(E59='Invoer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9" s="73">
        <f ca="1">AW59/(1+'Invoer gegevens'!$F$18)^($D59-('Invoer gegevens'!$C$17-'Invoer gegevens'!$C$16))/(1+'Invoer gegevens'!$C$39)^('Invoer gegevens'!$C$17-'Invoer gegevens'!$C$16)</f>
        <v>0</v>
      </c>
      <c r="BB59" s="73">
        <f ca="1">AX59/(1+'Invoer gegevens'!$F$18)^(E59-('Invoer gegevens'!$C$17-1))/(1+'Invoer gegevens'!$C$39)^('Invoer gegevens'!$C$17-'Invoer gegevens'!$C$16)</f>
        <v>0</v>
      </c>
      <c r="BC59" s="73">
        <f ca="1">AY59/(1+'Invoer gegevens'!$C$39)^('Invoer gegevens'!$C$17-'Invoer gegevens'!$C$16)</f>
        <v>0</v>
      </c>
      <c r="BD59" s="72">
        <f t="shared" ca="1" si="14"/>
        <v>0</v>
      </c>
      <c r="BE59" s="72">
        <f ca="1">IF(AND(E59='Invoer gegevens'!$C$16,'Invoer gegevens'!$C$34&lt;'Invoer gegevens'!$C$16),AZ59,AZ59/(1+'Invoer gegevens'!$C$39)^D59)</f>
        <v>0</v>
      </c>
      <c r="BF59" s="72">
        <f ca="1">IF(E59='Invoer gegevens'!$C$34,-'Invoer gegevens'!$F$40,0)</f>
        <v>0</v>
      </c>
      <c r="BG59" s="72">
        <f ca="1">IF(E59='Invoer gegevens'!$C$17,-'Invoer gegevens'!$C$19*$BD$63,0)</f>
        <v>0</v>
      </c>
      <c r="BH59" s="72">
        <f ca="1">AW59/(1+$BH$36)^($D59-('Invoer gegevens'!$C$17-'Invoer gegevens'!$C$16))/(1+'Invoer gegevens'!$C$39)^('Invoer gegevens'!$C$17-'Invoer gegevens'!$C$16)+AX59/(1+$BH$36)^(E59-('Invoer gegevens'!$C$17-1))/(1+'Invoer gegevens'!$C$39)^('Invoer gegevens'!$C$17-'Invoer gegevens'!$C$16)+AY59/(1+'Invoer gegevens'!$C$39)^('Invoer gegevens'!$C$17-'Invoer gegevens'!$C$16)+(-AZ59/(1+'Invoer gegevens'!$C$39)^D59)+BF59+BG59</f>
        <v>0</v>
      </c>
      <c r="BI59" s="59"/>
    </row>
    <row r="60" spans="1:61" x14ac:dyDescent="0.25">
      <c r="A60" s="59"/>
      <c r="B60" s="70">
        <f t="shared" si="15"/>
        <v>24</v>
      </c>
      <c r="C60" s="67">
        <f ca="1">IF(AND(E60&gt;='Invoer gegevens'!$C$17,E60&lt;'Invoer gegevens'!$C$17+15),1,0)</f>
        <v>0</v>
      </c>
      <c r="D60" s="68">
        <f t="shared" si="16"/>
        <v>23.5</v>
      </c>
      <c r="E60" s="69">
        <f ca="1">IF('Invoer gegevens'!$C$16="","",E59+1)</f>
        <v>2042</v>
      </c>
      <c r="F60" s="84">
        <f ca="1">IF('Invoer gegevens'!$C$17=E60,'Invoer gegevens'!$C$10,IF(C60=1,K59,0))</f>
        <v>0</v>
      </c>
      <c r="G60" s="96">
        <f ca="1">IF(E60='Invoer gegevens'!$C$17+15,K59,IF(C60&gt;=1,F60*VLOOKUP(E60,Reeksen!$A$5:$B$76,2),0))</f>
        <v>0</v>
      </c>
      <c r="H60" s="84">
        <f ca="1">IF(E60='Invoer gegevens'!$C$17+15,K59,(1-('Invoer gegevens'!$F$20/12))*F60*MIN(Reeksen!B28,Reeksen!D28))</f>
        <v>0</v>
      </c>
      <c r="I60" s="84">
        <f>IF(Reeksen!D28&lt;Reeksen!B28,(Reeksen!B28-Reeksen!D28)*F60,0)</f>
        <v>0</v>
      </c>
      <c r="J60" s="84">
        <f ca="1">IF(E60='Invoer gegevens'!$C$17+16,0,('Invoer gegevens'!$F$20/12)*F59*MIN(Reeksen!B27,Reeksen!D27))</f>
        <v>0</v>
      </c>
      <c r="K60" s="97">
        <f ca="1">IF(E60&gt;='Invoer gegevens'!$C$17+15,0,F60-G60)</f>
        <v>0</v>
      </c>
      <c r="L60" s="84">
        <f ca="1">IF('Invoer gegevens'!$C$17=E60,0,IF(C60=1,Q59,0))</f>
        <v>0</v>
      </c>
      <c r="M60" s="96">
        <f ca="1">IF(E60='Invoer gegevens'!$C$17+15,Q59,IF(C60&gt;=1,L60*VLOOKUP(E60,Reeksen!$A$5:$B$76,2),0))</f>
        <v>0</v>
      </c>
      <c r="N60" s="84">
        <f ca="1">IF(C60='Invoer gegevens'!$C$17+15,Q59,(1-('Invoer gegevens'!$F$20/12))*L60*MIN(Reeksen!B28,Reeksen!D28))</f>
        <v>0</v>
      </c>
      <c r="O60" s="84">
        <f>IF(Reeksen!D28&lt;Reeksen!B28,(Reeksen!B28-Reeksen!D28)*L60,0)</f>
        <v>0</v>
      </c>
      <c r="P60" s="84">
        <f ca="1">IF(E60='Invoer gegevens'!$C$17+16,0,('Invoer gegevens'!$F$20/12)*L59*MIN(Reeksen!B27,Reeksen!D27))</f>
        <v>0</v>
      </c>
      <c r="Q60" s="84">
        <f ca="1">IF(E60&gt;='Invoer gegevens'!$C$17+15,0,L60-M60+I60+O60)</f>
        <v>0</v>
      </c>
      <c r="R60" s="82">
        <f ca="1">IF('Invoer gegevens'!$C$17=E60,'Invoer gegevens'!$C$11,IF(C60=1,W59,0))</f>
        <v>0</v>
      </c>
      <c r="S60" s="86">
        <f ca="1">IF(E60='Invoer gegevens'!$C$17+15,W59,IF(C60&gt;=1,R60*VLOOKUP(E60,Reeksen!$A$5:$B$76,2),0))</f>
        <v>0</v>
      </c>
      <c r="T60" s="84">
        <f ca="1">IF(E60='Invoer gegevens'!$C$17+15,W59,(1-('Invoer gegevens'!$F$20/12))*R60*MIN(Reeksen!B28,Reeksen!D28))</f>
        <v>0</v>
      </c>
      <c r="U60" s="84">
        <f>IF(Reeksen!D28&gt;=Reeksen!B28,0,IF(Reeksen!AD28&lt;=Reeksen!AE28,(Reeksen!B28-Reeksen!D28)*R60,0))</f>
        <v>0</v>
      </c>
      <c r="V60" s="86">
        <f>IF(Reeksen!D28&gt;=Reeksen!B28,0,IF(Reeksen!AD28&gt;Reeksen!AE28,(Reeksen!B28-Reeksen!D28)*R60,0))</f>
        <v>0</v>
      </c>
      <c r="W60" s="97">
        <f ca="1">IF(E60&gt;='Invoer gegevens'!$C$17+15,0,R60-S60)</f>
        <v>0</v>
      </c>
      <c r="X60" s="98">
        <f ca="1">IF('Invoer gegevens'!$C$17=E60,'Invoer gegevens'!$C$10-'Invoer gegevens'!$C$11,IF(C60=1,AC59,0))</f>
        <v>0</v>
      </c>
      <c r="Y60" s="98">
        <f ca="1">IF(E60='Invoer gegevens'!$C$17+15,AC59,IF(C60&gt;=1,X60*VLOOKUP(E60,Reeksen!$A$5:$B$76,2),0))</f>
        <v>0</v>
      </c>
      <c r="Z60" s="98">
        <f ca="1">IF(E60='Invoer gegevens'!$C$17+15,AC59,(1-('Invoer gegevens'!$F$20/12))*X60*MIN(Reeksen!B28,Reeksen!D28))</f>
        <v>0</v>
      </c>
      <c r="AA60" s="98">
        <f>IF(Reeksen!D28&gt;=Reeksen!B28,0,IF(Reeksen!AD28&lt;=Reeksen!AE28,(Reeksen!B28-Reeksen!D28)*X60,0))</f>
        <v>0</v>
      </c>
      <c r="AB60" s="98">
        <f>IF(Reeksen!D28&gt;=Reeksen!B28,0,IF(Reeksen!AD28&gt;Reeksen!AE28,(Reeksen!B28-Reeksen!D28)*X60,0))</f>
        <v>0</v>
      </c>
      <c r="AC60" s="99">
        <f ca="1">IF(E60&gt;='Invoer gegevens'!$C$17+15,0,X60-Y60)</f>
        <v>0</v>
      </c>
      <c r="AD60" s="98">
        <f ca="1">IF('Invoer gegevens'!$C$17=E28,R60,IF(C28=0,0,AE59))</f>
        <v>0</v>
      </c>
      <c r="AE60" s="98">
        <f t="shared" ca="1" si="9"/>
        <v>0</v>
      </c>
      <c r="AF60" s="98">
        <f ca="1">IF('Invoer gegevens'!$C$17=E28,X60,IF(C28=0,0,AG59))</f>
        <v>0</v>
      </c>
      <c r="AG60" s="98">
        <f t="shared" ca="1" si="10"/>
        <v>0</v>
      </c>
      <c r="AH60" s="66"/>
      <c r="AI60" s="71">
        <f ca="1">IF(C60=1,Reeksen!AI28*((F60-G60+F60)/2)*12+Reeksen!AD28*((L60-M60+L60)/2)*12,0)</f>
        <v>0</v>
      </c>
      <c r="AJ60" s="71">
        <f ca="1">-AI60*'Invoer gegevens'!$F$28</f>
        <v>0</v>
      </c>
      <c r="AK60" s="71">
        <f t="shared" ca="1" si="11"/>
        <v>0</v>
      </c>
      <c r="AL60" s="71">
        <f ca="1">IF(C60=1,Reeksen!AL28*((F60-G60+F60)/2)*12+Reeksen!AM28*((L60-M60+L60)/2)*12,0)</f>
        <v>0</v>
      </c>
      <c r="AM60" s="71">
        <f ca="1">-AL60*'Invoer gegevens'!$F$31</f>
        <v>0</v>
      </c>
      <c r="AN60" s="71">
        <f t="shared" ca="1" si="12"/>
        <v>0</v>
      </c>
      <c r="AO60" s="71">
        <f ca="1">IF(E60&gt;='Invoer gegevens'!$C$17+15,0,IF(C60=1,(H60+J60+N60+P60)*Reeksen!AN28,0))</f>
        <v>0</v>
      </c>
      <c r="AP60" s="71">
        <f ca="1">-IF(C60=1,(H60+J60+N60+P60)*'Hulp - basis'!$G$550*Reeksen!H28,0)</f>
        <v>0</v>
      </c>
      <c r="AQ60" s="71">
        <f ca="1">-IF(C60=1,(F60+K60+L60+Q60)/2*'Invoer gegevens'!$F$35*Reeksen!J28,0)</f>
        <v>0</v>
      </c>
      <c r="AR60" s="71"/>
      <c r="AS60" s="71">
        <f ca="1">-IF(C60=1,(F60+K60+L60+Q60)/2*'Invoer gegevens'!$F$37*Reeksen!L28,0)</f>
        <v>0</v>
      </c>
      <c r="AT60" s="71">
        <f>IF(Dashboard!$C$20&gt;10,-IF(C60=1,IF(E60='Invoer gegevens'!$C$17,'Invoer gegevens'!$C$11,AD60)*Reeksen!S28*'Invoer gegevens'!$C$18*Reeksen!P28,0),0)</f>
        <v>0</v>
      </c>
      <c r="AU60" s="71">
        <f ca="1">-IF(C60=1,(F60+K60+L60+Q60)/2*'Invoer gegevens'!$F$38*Reeksen!H28,0)</f>
        <v>0</v>
      </c>
      <c r="AV60" s="71">
        <f>IF('Invoer gegevens'!$C$3="Basis",0,#REF!)</f>
        <v>0</v>
      </c>
      <c r="AW60" s="71">
        <f t="shared" ca="1" si="13"/>
        <v>0</v>
      </c>
      <c r="AX60" s="72">
        <f ca="1">IF(E60='Invoer gegevens'!$C$17+14,'RW - MW - UP'!$AY$236,0)</f>
        <v>0</v>
      </c>
      <c r="AY60" s="72">
        <f ca="1">IFERROR(IF(E60='Invoer gegevens'!$C$17,-'Invoer gegevens'!$C$10*('Invoer gegevens'!$C$30+'Invoer gegevens'!$C$31)*Reeksen!H28,0),0)</f>
        <v>0</v>
      </c>
      <c r="AZ60" s="73">
        <f ca="1">IF('Invoer gegevens'!$C$34=E60,'Invoer gegevens'!$C$27*'Invoer gegevens'!$C$10*'Invoer gegevens'!$C$36*(IF('Invoer gegevens'!$C$35="ja",1,Reeksen!J28)),IF('Invoer gegevens'!$C$34+1=E60,'Invoer gegevens'!$C$27*'Invoer gegevens'!$C$10*'Invoer gegevens'!$C$37*(IF('Invoer gegevens'!$C$35="ja",1,Reeksen!J28)),0))+IF(AND(E60='Invoer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60" s="73">
        <f ca="1">AW60/(1+'Invoer gegevens'!$F$18)^($D60-('Invoer gegevens'!$C$17-'Invoer gegevens'!$C$16))/(1+'Invoer gegevens'!$C$39)^('Invoer gegevens'!$C$17-'Invoer gegevens'!$C$16)</f>
        <v>0</v>
      </c>
      <c r="BB60" s="73">
        <f ca="1">AX60/(1+'Invoer gegevens'!$F$18)^(E60-('Invoer gegevens'!$C$17-1))/(1+'Invoer gegevens'!$C$39)^('Invoer gegevens'!$C$17-'Invoer gegevens'!$C$16)</f>
        <v>0</v>
      </c>
      <c r="BC60" s="73">
        <f ca="1">AY60/(1+'Invoer gegevens'!$C$39)^('Invoer gegevens'!$C$17-'Invoer gegevens'!$C$16)</f>
        <v>0</v>
      </c>
      <c r="BD60" s="72">
        <f t="shared" ca="1" si="14"/>
        <v>0</v>
      </c>
      <c r="BE60" s="72">
        <f ca="1">IF(AND(E60='Invoer gegevens'!$C$16,'Invoer gegevens'!$C$34&lt;'Invoer gegevens'!$C$16),AZ60,AZ60/(1+'Invoer gegevens'!$C$39)^D60)</f>
        <v>0</v>
      </c>
      <c r="BF60" s="72">
        <f ca="1">IF(E60='Invoer gegevens'!$C$34,-'Invoer gegevens'!$F$40,0)</f>
        <v>0</v>
      </c>
      <c r="BG60" s="72">
        <f ca="1">IF(E60='Invoer gegevens'!$C$17,-'Invoer gegevens'!$C$19*$BD$63,0)</f>
        <v>0</v>
      </c>
      <c r="BH60" s="72">
        <f ca="1">AW60/(1+$BH$36)^($D60-('Invoer gegevens'!$C$17-'Invoer gegevens'!$C$16))/(1+'Invoer gegevens'!$C$39)^('Invoer gegevens'!$C$17-'Invoer gegevens'!$C$16)+AX60/(1+$BH$36)^(E60-('Invoer gegevens'!$C$17-1))/(1+'Invoer gegevens'!$C$39)^('Invoer gegevens'!$C$17-'Invoer gegevens'!$C$16)+AY60/(1+'Invoer gegevens'!$C$39)^('Invoer gegevens'!$C$17-'Invoer gegevens'!$C$16)+(-AZ60/(1+'Invoer gegevens'!$C$39)^D60)+BF60+BG60</f>
        <v>0</v>
      </c>
      <c r="BI60" s="59"/>
    </row>
    <row r="61" spans="1:61" x14ac:dyDescent="0.25">
      <c r="A61" s="59"/>
      <c r="B61" s="70">
        <f t="shared" si="15"/>
        <v>25</v>
      </c>
      <c r="C61" s="67">
        <f ca="1">IF(AND(E61&gt;='Invoer gegevens'!$C$17,E61&lt;'Invoer gegevens'!$C$17+15),1,0)</f>
        <v>0</v>
      </c>
      <c r="D61" s="68">
        <f t="shared" si="16"/>
        <v>24.5</v>
      </c>
      <c r="E61" s="69">
        <f ca="1">IF('Invoer gegevens'!$C$16="","",E60+1)</f>
        <v>2043</v>
      </c>
      <c r="F61" s="84">
        <f ca="1">IF('Invoer gegevens'!$C$17=E61,'Invoer gegevens'!$C$10,IF(C61=1,K60,0))</f>
        <v>0</v>
      </c>
      <c r="G61" s="96">
        <f ca="1">IF(E61='Invoer gegevens'!$C$17+15,K60,IF(C61&gt;=1,F61*VLOOKUP(E61,Reeksen!$A$5:$B$76,2),0))</f>
        <v>0</v>
      </c>
      <c r="H61" s="84">
        <f ca="1">IF(E61='Invoer gegevens'!$C$17+15,K60,(1-('Invoer gegevens'!$F$20/12))*F61*MIN(Reeksen!B29,Reeksen!D29))</f>
        <v>0</v>
      </c>
      <c r="I61" s="84">
        <f>IF(Reeksen!D29&lt;Reeksen!B29,(Reeksen!B29-Reeksen!D29)*F61,0)</f>
        <v>0</v>
      </c>
      <c r="J61" s="84">
        <f ca="1">IF(E61='Invoer gegevens'!$C$17+16,0,('Invoer gegevens'!$F$20/12)*F60*MIN(Reeksen!B28,Reeksen!D28))</f>
        <v>0</v>
      </c>
      <c r="K61" s="97">
        <f ca="1">IF(E61&gt;='Invoer gegevens'!$C$17+15,0,F61-G61)</f>
        <v>0</v>
      </c>
      <c r="L61" s="84">
        <f ca="1">IF('Invoer gegevens'!$C$17=E61,0,IF(C61=1,Q60,0))</f>
        <v>0</v>
      </c>
      <c r="M61" s="96">
        <f ca="1">IF(E61='Invoer gegevens'!$C$17+15,Q60,IF(C61&gt;=1,L61*VLOOKUP(E61,Reeksen!$A$5:$B$76,2),0))</f>
        <v>0</v>
      </c>
      <c r="N61" s="84">
        <f ca="1">IF(C61='Invoer gegevens'!$C$17+15,Q60,(1-('Invoer gegevens'!$F$20/12))*L61*MIN(Reeksen!B29,Reeksen!D29))</f>
        <v>0</v>
      </c>
      <c r="O61" s="84">
        <f>IF(Reeksen!D29&lt;Reeksen!B29,(Reeksen!B29-Reeksen!D29)*L61,0)</f>
        <v>0</v>
      </c>
      <c r="P61" s="84">
        <f ca="1">IF(E61='Invoer gegevens'!$C$17+16,0,('Invoer gegevens'!$F$20/12)*L60*MIN(Reeksen!B28,Reeksen!D28))</f>
        <v>0</v>
      </c>
      <c r="Q61" s="84">
        <f ca="1">IF(E61&gt;='Invoer gegevens'!$C$17+15,0,L61-M61+I61+O61)</f>
        <v>0</v>
      </c>
      <c r="R61" s="82">
        <f ca="1">IF('Invoer gegevens'!$C$17=E61,'Invoer gegevens'!$C$11,IF(C61=1,W60,0))</f>
        <v>0</v>
      </c>
      <c r="S61" s="86">
        <f ca="1">IF(E61='Invoer gegevens'!$C$17+15,W60,IF(C61&gt;=1,R61*VLOOKUP(E61,Reeksen!$A$5:$B$76,2),0))</f>
        <v>0</v>
      </c>
      <c r="T61" s="84">
        <f ca="1">IF(E61='Invoer gegevens'!$C$17+15,W60,(1-('Invoer gegevens'!$F$20/12))*R61*MIN(Reeksen!B29,Reeksen!D29))</f>
        <v>0</v>
      </c>
      <c r="U61" s="84">
        <f>IF(Reeksen!D29&gt;=Reeksen!B29,0,IF(Reeksen!AD29&lt;=Reeksen!AE29,(Reeksen!B29-Reeksen!D29)*R61,0))</f>
        <v>0</v>
      </c>
      <c r="V61" s="86">
        <f>IF(Reeksen!D29&gt;=Reeksen!B29,0,IF(Reeksen!AD29&gt;Reeksen!AE29,(Reeksen!B29-Reeksen!D29)*R61,0))</f>
        <v>0</v>
      </c>
      <c r="W61" s="97">
        <f ca="1">IF(E61&gt;='Invoer gegevens'!$C$17+15,0,R61-S61)</f>
        <v>0</v>
      </c>
      <c r="X61" s="98">
        <f ca="1">IF('Invoer gegevens'!$C$17=E61,'Invoer gegevens'!$C$10-'Invoer gegevens'!$C$11,IF(C61=1,AC60,0))</f>
        <v>0</v>
      </c>
      <c r="Y61" s="98">
        <f ca="1">IF(E61='Invoer gegevens'!$C$17+15,AC60,IF(C61&gt;=1,X61*VLOOKUP(E61,Reeksen!$A$5:$B$76,2),0))</f>
        <v>0</v>
      </c>
      <c r="Z61" s="98">
        <f ca="1">IF(E61='Invoer gegevens'!$C$17+15,AC60,(1-('Invoer gegevens'!$F$20/12))*X61*MIN(Reeksen!B29,Reeksen!D29))</f>
        <v>0</v>
      </c>
      <c r="AA61" s="98">
        <f>IF(Reeksen!D29&gt;=Reeksen!B29,0,IF(Reeksen!AD29&lt;=Reeksen!AE29,(Reeksen!B29-Reeksen!D29)*X61,0))</f>
        <v>0</v>
      </c>
      <c r="AB61" s="98">
        <f>IF(Reeksen!D29&gt;=Reeksen!B29,0,IF(Reeksen!AD29&gt;Reeksen!AE29,(Reeksen!B29-Reeksen!D29)*X61,0))</f>
        <v>0</v>
      </c>
      <c r="AC61" s="99">
        <f ca="1">IF(E61&gt;='Invoer gegevens'!$C$17+15,0,X61-Y61)</f>
        <v>0</v>
      </c>
      <c r="AD61" s="98">
        <f ca="1">IF('Invoer gegevens'!$C$17=E29,R61,IF(C29=0,0,AE60))</f>
        <v>0</v>
      </c>
      <c r="AE61" s="98">
        <f t="shared" ca="1" si="9"/>
        <v>0</v>
      </c>
      <c r="AF61" s="98">
        <f ca="1">IF('Invoer gegevens'!$C$17=E29,X61,IF(C29=0,0,AG60))</f>
        <v>0</v>
      </c>
      <c r="AG61" s="98">
        <f t="shared" ca="1" si="10"/>
        <v>0</v>
      </c>
      <c r="AH61" s="66"/>
      <c r="AI61" s="71">
        <f ca="1">IF(C61=1,Reeksen!AI29*((F61-G61+F61)/2)*12+Reeksen!AD29*((L61-M61+L61)/2)*12,0)</f>
        <v>0</v>
      </c>
      <c r="AJ61" s="71">
        <f ca="1">-AI61*'Invoer gegevens'!$F$28</f>
        <v>0</v>
      </c>
      <c r="AK61" s="71">
        <f t="shared" ca="1" si="11"/>
        <v>0</v>
      </c>
      <c r="AL61" s="71">
        <f ca="1">IF(C61=1,Reeksen!AL29*((F61-G61+F61)/2)*12+Reeksen!AM29*((L61-M61+L61)/2)*12,0)</f>
        <v>0</v>
      </c>
      <c r="AM61" s="71">
        <f ca="1">-AL61*'Invoer gegevens'!$F$31</f>
        <v>0</v>
      </c>
      <c r="AN61" s="71">
        <f t="shared" ca="1" si="12"/>
        <v>0</v>
      </c>
      <c r="AO61" s="71">
        <f ca="1">IF(E61&gt;='Invoer gegevens'!$C$17+15,0,IF(C61=1,(H61+J61+N61+P61)*Reeksen!AN29,0))</f>
        <v>0</v>
      </c>
      <c r="AP61" s="71">
        <f ca="1">-IF(C61=1,(H61+J61+N61+P61)*'Hulp - basis'!$G$550*Reeksen!H29,0)</f>
        <v>0</v>
      </c>
      <c r="AQ61" s="71">
        <f ca="1">-IF(C61=1,(F61+K61+L61+Q61)/2*'Invoer gegevens'!$F$35*Reeksen!J29,0)</f>
        <v>0</v>
      </c>
      <c r="AR61" s="71"/>
      <c r="AS61" s="71">
        <f ca="1">-IF(C61=1,(F61+K61+L61+Q61)/2*'Invoer gegevens'!$F$37*Reeksen!L29,0)</f>
        <v>0</v>
      </c>
      <c r="AT61" s="71">
        <f>IF(Dashboard!$C$20&gt;10,-IF(C61=1,IF(E61='Invoer gegevens'!$C$17,'Invoer gegevens'!$C$11,AD61)*Reeksen!S29*'Invoer gegevens'!$C$18*Reeksen!P29,0),0)</f>
        <v>0</v>
      </c>
      <c r="AU61" s="71">
        <f ca="1">-IF(C61=1,(F61+K61+L61+Q61)/2*'Invoer gegevens'!$F$38*Reeksen!H29,0)</f>
        <v>0</v>
      </c>
      <c r="AV61" s="71">
        <f>IF('Invoer gegevens'!$C$3="Basis",0,#REF!)</f>
        <v>0</v>
      </c>
      <c r="AW61" s="71">
        <f t="shared" ca="1" si="13"/>
        <v>0</v>
      </c>
      <c r="AX61" s="72">
        <f ca="1">IF(E61='Invoer gegevens'!$C$17+14,'RW - MW - UP'!$AY$236,0)</f>
        <v>0</v>
      </c>
      <c r="AY61" s="72">
        <f ca="1">IFERROR(IF(E61='Invoer gegevens'!$C$17,-'Invoer gegevens'!$C$10*('Invoer gegevens'!$C$30+'Invoer gegevens'!$C$31)*Reeksen!H29,0),0)</f>
        <v>0</v>
      </c>
      <c r="AZ61" s="73">
        <f ca="1">IF('Invoer gegevens'!$C$34=E61,'Invoer gegevens'!$C$27*'Invoer gegevens'!$C$10*'Invoer gegevens'!$C$36*(IF('Invoer gegevens'!$C$35="ja",1,Reeksen!J29)),IF('Invoer gegevens'!$C$34+1=E61,'Invoer gegevens'!$C$27*'Invoer gegevens'!$C$10*'Invoer gegevens'!$C$37*(IF('Invoer gegevens'!$C$35="ja",1,Reeksen!J29)),0))+IF(AND(E61='Invoer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61" s="73">
        <f ca="1">AW61/(1+'Invoer gegevens'!$F$18)^($D61-('Invoer gegevens'!$C$17-'Invoer gegevens'!$C$16))/(1+'Invoer gegevens'!$C$39)^('Invoer gegevens'!$C$17-'Invoer gegevens'!$C$16)</f>
        <v>0</v>
      </c>
      <c r="BB61" s="73">
        <f ca="1">AX61/(1+'Invoer gegevens'!$F$18)^(E61-('Invoer gegevens'!$C$17-1))/(1+'Invoer gegevens'!$C$39)^('Invoer gegevens'!$C$17-'Invoer gegevens'!$C$16)</f>
        <v>0</v>
      </c>
      <c r="BC61" s="73">
        <f ca="1">AY61/(1+'Invoer gegevens'!$C$39)^('Invoer gegevens'!$C$17-'Invoer gegevens'!$C$16)</f>
        <v>0</v>
      </c>
      <c r="BD61" s="72">
        <f t="shared" ca="1" si="14"/>
        <v>0</v>
      </c>
      <c r="BE61" s="72">
        <f ca="1">IF(AND(E61='Invoer gegevens'!$C$16,'Invoer gegevens'!$C$34&lt;'Invoer gegevens'!$C$16),AZ61,AZ61/(1+'Invoer gegevens'!$C$39)^D61)</f>
        <v>0</v>
      </c>
      <c r="BF61" s="72">
        <f ca="1">IF(E61='Invoer gegevens'!$C$34,-'Invoer gegevens'!$F$40,0)</f>
        <v>0</v>
      </c>
      <c r="BG61" s="72">
        <f ca="1">IF(E61='Invoer gegevens'!$C$17,-'Invoer gegevens'!$C$19*$BD$63,0)</f>
        <v>0</v>
      </c>
      <c r="BH61" s="72">
        <f ca="1">AW61/(1+$BH$36)^($D61-('Invoer gegevens'!$C$17-'Invoer gegevens'!$C$16))/(1+'Invoer gegevens'!$C$39)^('Invoer gegevens'!$C$17-'Invoer gegevens'!$C$16)+AX61/(1+$BH$36)^(E61-('Invoer gegevens'!$C$17-1))/(1+'Invoer gegevens'!$C$39)^('Invoer gegevens'!$C$17-'Invoer gegevens'!$C$16)+AY61/(1+'Invoer gegevens'!$C$39)^('Invoer gegevens'!$C$17-'Invoer gegevens'!$C$16)+(-AZ61/(1+'Invoer gegevens'!$C$39)^D61)+BF61+BG61</f>
        <v>0</v>
      </c>
      <c r="BI61" s="59"/>
    </row>
    <row r="62" spans="1:61" x14ac:dyDescent="0.25">
      <c r="A62" s="59"/>
      <c r="B62" s="70"/>
      <c r="C62" s="70"/>
      <c r="D62" s="70"/>
      <c r="E62" s="70"/>
      <c r="F62" s="70"/>
      <c r="G62" s="68"/>
      <c r="H62" s="70"/>
      <c r="I62" s="70"/>
      <c r="J62" s="68"/>
      <c r="K62" s="68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68"/>
      <c r="AC62" s="70"/>
      <c r="AD62" s="70"/>
      <c r="AE62" s="70"/>
      <c r="AF62" s="70"/>
      <c r="AG62" s="70"/>
      <c r="AH62" s="70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</row>
    <row r="63" spans="1:61" x14ac:dyDescent="0.25">
      <c r="A63" s="59"/>
      <c r="B63" s="70"/>
      <c r="C63" s="70"/>
      <c r="D63" s="70"/>
      <c r="E63" s="70"/>
      <c r="F63" s="70"/>
      <c r="G63" s="70"/>
      <c r="H63" s="75"/>
      <c r="I63" s="75"/>
      <c r="J63" s="75"/>
      <c r="K63" s="75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95"/>
      <c r="AI63" s="78">
        <f t="shared" ref="AI63:BG63" ca="1" si="17">SUM(AI37:AI61)</f>
        <v>0</v>
      </c>
      <c r="AJ63" s="78">
        <f t="shared" ca="1" si="17"/>
        <v>0</v>
      </c>
      <c r="AK63" s="78">
        <f t="shared" ca="1" si="17"/>
        <v>0</v>
      </c>
      <c r="AL63" s="78">
        <f t="shared" ca="1" si="17"/>
        <v>0</v>
      </c>
      <c r="AM63" s="78">
        <f t="shared" ca="1" si="17"/>
        <v>0</v>
      </c>
      <c r="AN63" s="78">
        <f t="shared" ca="1" si="17"/>
        <v>0</v>
      </c>
      <c r="AO63" s="78">
        <f t="shared" ca="1" si="17"/>
        <v>0</v>
      </c>
      <c r="AP63" s="78">
        <f t="shared" ca="1" si="17"/>
        <v>0</v>
      </c>
      <c r="AQ63" s="78">
        <f t="shared" ca="1" si="17"/>
        <v>0</v>
      </c>
      <c r="AR63" s="78">
        <f t="shared" si="17"/>
        <v>0</v>
      </c>
      <c r="AS63" s="78">
        <f t="shared" ca="1" si="17"/>
        <v>0</v>
      </c>
      <c r="AT63" s="78">
        <f t="shared" si="17"/>
        <v>0</v>
      </c>
      <c r="AU63" s="78">
        <f t="shared" ca="1" si="17"/>
        <v>0</v>
      </c>
      <c r="AV63" s="78">
        <f t="shared" si="17"/>
        <v>0</v>
      </c>
      <c r="AW63" s="78">
        <f t="shared" ca="1" si="17"/>
        <v>0</v>
      </c>
      <c r="AX63" s="78">
        <f t="shared" ca="1" si="17"/>
        <v>0</v>
      </c>
      <c r="AY63" s="78">
        <f t="shared" ca="1" si="17"/>
        <v>0</v>
      </c>
      <c r="AZ63" s="78">
        <f t="shared" ca="1" si="17"/>
        <v>0</v>
      </c>
      <c r="BA63" s="78">
        <f t="shared" ca="1" si="17"/>
        <v>0</v>
      </c>
      <c r="BB63" s="78">
        <f t="shared" ca="1" si="17"/>
        <v>0</v>
      </c>
      <c r="BC63" s="78">
        <f t="shared" ca="1" si="17"/>
        <v>0</v>
      </c>
      <c r="BD63" s="78">
        <f t="shared" ca="1" si="17"/>
        <v>0</v>
      </c>
      <c r="BE63" s="78">
        <f t="shared" ca="1" si="17"/>
        <v>0</v>
      </c>
      <c r="BF63" s="78">
        <f t="shared" ca="1" si="17"/>
        <v>0</v>
      </c>
      <c r="BG63" s="78">
        <f t="shared" ca="1" si="17"/>
        <v>0</v>
      </c>
      <c r="BH63" s="78">
        <f ca="1">SUM(BH37:BH61)</f>
        <v>0</v>
      </c>
      <c r="BI63" s="59"/>
    </row>
    <row r="64" spans="1:61" x14ac:dyDescent="0.25">
      <c r="A64" s="59"/>
      <c r="BI64" s="59"/>
    </row>
    <row r="65" spans="1:61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64"/>
      <c r="BG65" s="64"/>
      <c r="BH65" s="64"/>
      <c r="BI65" s="64"/>
    </row>
    <row r="66" spans="1:61" x14ac:dyDescent="0.25">
      <c r="AI66" s="100"/>
    </row>
    <row r="67" spans="1:61" x14ac:dyDescent="0.25">
      <c r="AK67" s="101"/>
    </row>
  </sheetData>
  <mergeCells count="35">
    <mergeCell ref="AF35:AF36"/>
    <mergeCell ref="U35:U36"/>
    <mergeCell ref="V35:V36"/>
    <mergeCell ref="W35:W36"/>
    <mergeCell ref="X35:X36"/>
    <mergeCell ref="Y35:Y36"/>
    <mergeCell ref="Z35:Z36"/>
    <mergeCell ref="AA35:AA36"/>
    <mergeCell ref="AB35:AB36"/>
    <mergeCell ref="AC35:AC36"/>
    <mergeCell ref="AD35:AD36"/>
    <mergeCell ref="AE35:AE36"/>
    <mergeCell ref="T35:T36"/>
    <mergeCell ref="X34:AC34"/>
    <mergeCell ref="AD34:AG34"/>
    <mergeCell ref="F35:F36"/>
    <mergeCell ref="G35:G36"/>
    <mergeCell ref="H35:H36"/>
    <mergeCell ref="I35:I36"/>
    <mergeCell ref="J35:J36"/>
    <mergeCell ref="L35:L36"/>
    <mergeCell ref="M35:M36"/>
    <mergeCell ref="N35:N36"/>
    <mergeCell ref="O35:O36"/>
    <mergeCell ref="P35:P36"/>
    <mergeCell ref="Q35:Q36"/>
    <mergeCell ref="R35:R36"/>
    <mergeCell ref="S35:S36"/>
    <mergeCell ref="F2:H2"/>
    <mergeCell ref="I2:L2"/>
    <mergeCell ref="M2:P2"/>
    <mergeCell ref="Q2:T2"/>
    <mergeCell ref="F34:K34"/>
    <mergeCell ref="L34:Q34"/>
    <mergeCell ref="R34:W34"/>
  </mergeCells>
  <pageMargins left="0.7" right="0.7" top="0.75" bottom="0.75" header="0.3" footer="0.3"/>
  <pageSetup paperSize="0" orientation="portrait" horizontalDpi="0" verticalDpi="0" copies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BO67"/>
  <sheetViews>
    <sheetView showGridLines="0" topLeftCell="W1" zoomScale="80" zoomScaleNormal="80" workbookViewId="0">
      <selection activeCell="AJ7" sqref="AJ7"/>
    </sheetView>
  </sheetViews>
  <sheetFormatPr defaultRowHeight="15" outlineLevelCol="1" x14ac:dyDescent="0.25"/>
  <cols>
    <col min="1" max="1" width="1.5703125" style="60" customWidth="1"/>
    <col min="2" max="2" width="4.85546875" style="60" customWidth="1" outlineLevel="1"/>
    <col min="3" max="4" width="6" style="60" customWidth="1" outlineLevel="1"/>
    <col min="5" max="6" width="6.5703125" style="60" customWidth="1" outlineLevel="1"/>
    <col min="7" max="7" width="8.7109375" style="60" customWidth="1" outlineLevel="1"/>
    <col min="8" max="8" width="11.5703125" style="60" customWidth="1" outlineLevel="1"/>
    <col min="9" max="9" width="9.28515625" style="60" customWidth="1" outlineLevel="1"/>
    <col min="10" max="10" width="9.7109375" style="60" customWidth="1" outlineLevel="1"/>
    <col min="11" max="11" width="10.42578125" style="60" customWidth="1" outlineLevel="1"/>
    <col min="12" max="14" width="8.7109375" style="60" customWidth="1" outlineLevel="1"/>
    <col min="15" max="15" width="10.5703125" style="60" customWidth="1" outlineLevel="1"/>
    <col min="16" max="16" width="9.85546875" style="60" customWidth="1" outlineLevel="1"/>
    <col min="17" max="17" width="8.7109375" style="60" customWidth="1" outlineLevel="1"/>
    <col min="18" max="18" width="10.28515625" style="60" customWidth="1" outlineLevel="1"/>
    <col min="19" max="19" width="17" style="60" customWidth="1" outlineLevel="1"/>
    <col min="20" max="21" width="10.42578125" style="60" customWidth="1" outlineLevel="1"/>
    <col min="22" max="22" width="14.140625" style="60" customWidth="1" outlineLevel="1"/>
    <col min="23" max="28" width="8.85546875" style="60" customWidth="1" outlineLevel="1"/>
    <col min="29" max="29" width="9.7109375" style="60" customWidth="1" outlineLevel="1"/>
    <col min="30" max="31" width="9.5703125" style="60" customWidth="1" outlineLevel="1"/>
    <col min="32" max="32" width="10.7109375" style="60" customWidth="1" outlineLevel="1"/>
    <col min="33" max="33" width="9.5703125" style="60" customWidth="1" outlineLevel="1"/>
    <col min="34" max="34" width="3.140625" style="60" customWidth="1" outlineLevel="1"/>
    <col min="35" max="35" width="12.85546875" style="60" customWidth="1"/>
    <col min="36" max="36" width="10" style="60" customWidth="1"/>
    <col min="37" max="40" width="12.7109375" style="60" customWidth="1"/>
    <col min="41" max="41" width="11.85546875" style="60" bestFit="1" customWidth="1"/>
    <col min="42" max="42" width="9.85546875" style="60" bestFit="1" customWidth="1"/>
    <col min="43" max="43" width="12.5703125" style="60" customWidth="1"/>
    <col min="44" max="44" width="10.7109375" style="60" customWidth="1"/>
    <col min="45" max="45" width="10.85546875" style="60" customWidth="1"/>
    <col min="46" max="46" width="12.42578125" style="60" customWidth="1"/>
    <col min="47" max="47" width="16.42578125" style="60" bestFit="1" customWidth="1"/>
    <col min="48" max="48" width="16.42578125" style="60" customWidth="1"/>
    <col min="49" max="49" width="12.28515625" style="60" customWidth="1"/>
    <col min="50" max="50" width="12.140625" style="60" customWidth="1"/>
    <col min="51" max="51" width="11.85546875" style="60" customWidth="1"/>
    <col min="52" max="52" width="13" style="60" customWidth="1"/>
    <col min="53" max="53" width="13.7109375" style="60" customWidth="1"/>
    <col min="54" max="54" width="11.85546875" style="60" bestFit="1" customWidth="1"/>
    <col min="55" max="55" width="8.7109375" style="60" customWidth="1"/>
    <col min="56" max="56" width="12.7109375" style="60" customWidth="1"/>
    <col min="57" max="57" width="12.140625" style="60" customWidth="1"/>
    <col min="58" max="58" width="13.7109375" style="60" customWidth="1"/>
    <col min="59" max="59" width="11.5703125" style="60" bestFit="1" customWidth="1"/>
    <col min="60" max="60" width="13.28515625" style="60" customWidth="1"/>
    <col min="61" max="61" width="1.85546875" style="60" customWidth="1"/>
    <col min="62" max="16384" width="9.140625" style="60"/>
  </cols>
  <sheetData>
    <row r="1" spans="1:62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59"/>
    </row>
    <row r="2" spans="1:62" x14ac:dyDescent="0.25">
      <c r="A2" s="61"/>
      <c r="E2" s="233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62" ht="15" customHeight="1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231" t="s">
        <v>703</v>
      </c>
      <c r="R3" s="81" t="s">
        <v>666</v>
      </c>
      <c r="S3" s="232" t="s">
        <v>667</v>
      </c>
      <c r="T3" s="81" t="s">
        <v>667</v>
      </c>
      <c r="AH3" s="64"/>
      <c r="AI3" s="62" t="s">
        <v>16</v>
      </c>
      <c r="AJ3" s="62" t="s">
        <v>16</v>
      </c>
      <c r="AK3" s="62" t="s">
        <v>672</v>
      </c>
      <c r="AL3" s="27" t="s">
        <v>704</v>
      </c>
      <c r="AM3" s="27" t="s">
        <v>704</v>
      </c>
      <c r="AN3" s="27" t="s">
        <v>672</v>
      </c>
      <c r="AO3" s="62" t="s">
        <v>673</v>
      </c>
      <c r="AP3" s="62" t="s">
        <v>705</v>
      </c>
      <c r="AQ3" s="62" t="s">
        <v>674</v>
      </c>
      <c r="AR3" s="62" t="s">
        <v>706</v>
      </c>
      <c r="AS3" s="62" t="s">
        <v>675</v>
      </c>
      <c r="AT3" s="62" t="s">
        <v>676</v>
      </c>
      <c r="AU3" s="62" t="s">
        <v>588</v>
      </c>
      <c r="AV3" s="62" t="s">
        <v>707</v>
      </c>
      <c r="AW3" s="62" t="s">
        <v>677</v>
      </c>
      <c r="AX3" s="62" t="s">
        <v>673</v>
      </c>
      <c r="AY3" s="62" t="s">
        <v>708</v>
      </c>
      <c r="AZ3" s="62" t="s">
        <v>678</v>
      </c>
      <c r="BA3" s="62" t="s">
        <v>679</v>
      </c>
      <c r="BB3" s="62" t="s">
        <v>679</v>
      </c>
      <c r="BC3" s="62" t="s">
        <v>679</v>
      </c>
      <c r="BD3" s="62" t="s">
        <v>679</v>
      </c>
      <c r="BE3" s="62" t="s">
        <v>679</v>
      </c>
      <c r="BF3" s="62" t="s">
        <v>680</v>
      </c>
      <c r="BG3" s="62" t="s">
        <v>680</v>
      </c>
      <c r="BH3" s="62" t="s">
        <v>681</v>
      </c>
      <c r="BI3" s="59"/>
    </row>
    <row r="4" spans="1:62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231" t="s">
        <v>710</v>
      </c>
      <c r="R4" s="81" t="s">
        <v>711</v>
      </c>
      <c r="S4" s="232" t="s">
        <v>710</v>
      </c>
      <c r="T4" s="81" t="s">
        <v>711</v>
      </c>
      <c r="AH4" s="64"/>
      <c r="AI4" s="62" t="s">
        <v>712</v>
      </c>
      <c r="AJ4" s="62" t="s">
        <v>683</v>
      </c>
      <c r="AK4" s="62" t="s">
        <v>684</v>
      </c>
      <c r="AL4" s="27" t="s">
        <v>713</v>
      </c>
      <c r="AM4" s="27" t="s">
        <v>683</v>
      </c>
      <c r="AN4" s="27" t="s">
        <v>714</v>
      </c>
      <c r="AO4" s="62" t="s">
        <v>715</v>
      </c>
      <c r="AP4" s="62" t="s">
        <v>685</v>
      </c>
      <c r="AQ4" s="62" t="s">
        <v>685</v>
      </c>
      <c r="AR4" s="62" t="s">
        <v>716</v>
      </c>
      <c r="AS4" s="62" t="s">
        <v>685</v>
      </c>
      <c r="AT4" s="62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685</v>
      </c>
      <c r="AZ4" s="62" t="s">
        <v>690</v>
      </c>
      <c r="BA4" s="62" t="s">
        <v>691</v>
      </c>
      <c r="BB4" s="62" t="s">
        <v>689</v>
      </c>
      <c r="BC4" s="62" t="s">
        <v>718</v>
      </c>
      <c r="BD4" s="62" t="s">
        <v>692</v>
      </c>
      <c r="BE4" s="62" t="s">
        <v>719</v>
      </c>
      <c r="BF4" s="62" t="s">
        <v>693</v>
      </c>
      <c r="BG4" s="62" t="s">
        <v>694</v>
      </c>
      <c r="BH4" s="65">
        <v>5.2037588465588328E-2</v>
      </c>
      <c r="BI4" s="59"/>
    </row>
    <row r="5" spans="1:62" x14ac:dyDescent="0.25">
      <c r="A5" s="59"/>
      <c r="B5" s="66">
        <v>1</v>
      </c>
      <c r="C5" s="67">
        <f ca="1">IF(AND(E5&gt;='Invoer gegevens (N)'!$C$17,E5&lt;'Invoer gegevens (N)'!$C$17+15),1,0)</f>
        <v>1</v>
      </c>
      <c r="D5" s="68">
        <v>0.5</v>
      </c>
      <c r="E5" s="69">
        <f ca="1">IF('Invoer gegevens (N)'!$C$16="","",'Invoer gegevens (N)'!$C$16)</f>
        <v>2019</v>
      </c>
      <c r="F5" s="82">
        <f ca="1">IF('Invoer gegevens (N)'!$C$17=E5,'Invoer gegevens (N)'!$C$10,IF(C5=1,H4,0))</f>
        <v>0</v>
      </c>
      <c r="G5" s="83">
        <f ca="1">IF(E5='Invoer gegevens (N)'!$C$17+15,H4,IF(C5&gt;=1,F5*'Reeksen (N)'!C5,0))</f>
        <v>0</v>
      </c>
      <c r="H5" s="84">
        <f ca="1">IF(E5&gt;='Invoer gegevens (N)'!$C$17+15,0,F5-G5)</f>
        <v>0</v>
      </c>
      <c r="I5" s="85">
        <v>0</v>
      </c>
      <c r="J5" s="86">
        <f ca="1">IF(E5='Invoer gegevens (N)'!$C$17+15,L4,IF(C5&lt;1,0,IF('Reeksen (N)'!AD5&lt;='Reeksen (N)'!AE5,I5*'Reeksen (N)'!C5,0)))</f>
        <v>0</v>
      </c>
      <c r="K5" s="86">
        <f ca="1">IF(E5='Invoer gegevens (N)'!$C$17+15,L4,IF(C5&lt;1,0,IF('Reeksen (N)'!AD5&gt;'Reeksen (N)'!AE5,I5*'Reeksen (N)'!C5,0)))</f>
        <v>0</v>
      </c>
      <c r="L5" s="86">
        <f ca="1">IF(E5&gt;='Invoer gegevens (N)'!$C$17+15,0,I5-J5-K5)</f>
        <v>0</v>
      </c>
      <c r="M5" s="85">
        <f ca="1">IF('Invoer gegevens (N)'!$C$17=E5,'Invoer gegevens (N)'!$C$10-'Invoer gegevens (N)'!$C$11,IF(C5=1,P4,0))</f>
        <v>0</v>
      </c>
      <c r="N5" s="86">
        <f ca="1">IF(E5='Invoer gegevens (N)'!$C$17+15,P4,IF(C5&lt;1,0,IF('Reeksen (N)'!AD5&lt;='Reeksen (N)'!AE5,M5*'Reeksen (N)'!C5,0)))</f>
        <v>0</v>
      </c>
      <c r="O5" s="86">
        <f ca="1">IF(E5='Invoer gegevens (N)'!$C$17+15,P4,IF(C5&lt;1,0,IF('Reeksen (N)'!AD5&gt;'Reeksen (N)'!AE5,M5*'Reeksen (N)'!C5,0)))</f>
        <v>0</v>
      </c>
      <c r="P5" s="86">
        <f ca="1">IF(E5&gt;='Invoer gegevens (N)'!$C$17+15,0,M5-N5-O5)</f>
        <v>0</v>
      </c>
      <c r="Q5" s="82">
        <f ca="1">IF('Invoer gegevens (N)'!$C$17=E5,I5,IF(C5=0,0,R4))</f>
        <v>0</v>
      </c>
      <c r="R5" s="84">
        <f t="shared" ref="R5:R29" ca="1" si="0">IF(C5=0,0,Q5-K5+N5)</f>
        <v>0</v>
      </c>
      <c r="S5" s="84">
        <f ca="1">IF('Invoer gegevens (N)'!$C$17=E5,M5,IF(C5=0,0,T4))</f>
        <v>0</v>
      </c>
      <c r="T5" s="84">
        <f t="shared" ref="T5:T29" ca="1" si="1">IF(C5=0,0,S5-N5+K5)</f>
        <v>0</v>
      </c>
      <c r="AH5" s="70"/>
      <c r="AI5" s="71">
        <f ca="1">IF(C5=1,((F5+H5)/2*'Reeksen (N)'!AI5*12)+(('Invoer gegevens (N)'!$C$10-(F5+H5)/2)*'Reeksen (N)'!AD5*12),0)</f>
        <v>0</v>
      </c>
      <c r="AJ5" s="71">
        <f ca="1">-AI5*'Invoer gegevens (N)'!$F$26</f>
        <v>0</v>
      </c>
      <c r="AK5" s="71">
        <f ca="1">AI5+AJ5</f>
        <v>0</v>
      </c>
      <c r="AL5" s="71">
        <f ca="1">IF(C5=1,(12*((F5+H5)/2)*'Reeksen (N)'!AL5)+(12*('Invoer gegevens (N)'!$C$10-(F5+H5)/2)*'Reeksen (N)'!AM5),0)</f>
        <v>0</v>
      </c>
      <c r="AM5" s="71">
        <f ca="1">-AL5*'Invoer gegevens (N)'!$F$31</f>
        <v>0</v>
      </c>
      <c r="AN5" s="71">
        <f ca="1">AL5+AM5</f>
        <v>0</v>
      </c>
      <c r="AO5" s="71"/>
      <c r="AP5" s="71"/>
      <c r="AQ5" s="71">
        <f ca="1">-IF(C5=1,('Invoer gegevens (N)'!$C$10*'Invoer gegevens (N)'!$F$35)*'Reeksen (N)'!J5,0)</f>
        <v>0</v>
      </c>
      <c r="AR5" s="71">
        <f ca="1">-IF(C5=1,(G5*'Invoer gegevens (N)'!$F$36)*'Reeksen (N)'!J5,0)</f>
        <v>0</v>
      </c>
      <c r="AS5" s="71">
        <f ca="1">-IF(C5=1,'Invoer gegevens (N)'!$C$10*'Invoer gegevens (N)'!$F$37*'Reeksen (N)'!L5,0)</f>
        <v>0</v>
      </c>
      <c r="AT5" s="71">
        <f ca="1">-IF(C5=1,IF(E5='Invoer gegevens (N)'!$C$17,'Invoer gegevens (N)'!$C$11,Q5)*'Reeksen (N)'!S5*'Invoer gegevens (N)'!$C$18*'Reeksen (N)'!P5,0)</f>
        <v>0</v>
      </c>
      <c r="AU5" s="71">
        <f ca="1">-IF(C5=1,'Invoer gegevens (N)'!$C$10*'Invoer gegevens (N)'!$F$38*'Reeksen (N)'!H5,0)</f>
        <v>0</v>
      </c>
      <c r="AV5" s="71">
        <v>0</v>
      </c>
      <c r="AW5" s="71">
        <f ca="1">SUM(AK5,AN5:AV5)</f>
        <v>0</v>
      </c>
      <c r="AX5" s="72">
        <f ca="1">IF(E5='Invoer gegevens (N)'!$C$17+14,IF('Invoer gegevens (N)'!$C$20="Ja",MAX('RW - MW - DE - DE (N)'!$AY$236,'RW - MW - DE - UP (N)'!$AY$236,'RW - MW - DE - DE (N)'!$AY$236)),0)</f>
        <v>0</v>
      </c>
      <c r="AY5" s="72">
        <f ca="1">IFERROR(IF(E5='Invoer gegevens (N)'!$C$17,-'Invoer gegevens (N)'!$C$10*'Invoer gegevens (N)'!$C$31*'Reeksen (N)'!H5,0),0)</f>
        <v>0</v>
      </c>
      <c r="AZ5" s="73">
        <f ca="1">IF('Invoer gegevens (N)'!$C$34=E5,'Invoer gegevens (N)'!$C$27*'Invoer gegevens (N)'!$C$10*'Invoer gegevens (N)'!$C$36*(IF('Invoer gegevens (N)'!$C$35="ja",1,'Reeksen (N)'!J5)),IF('Invoer gegevens (N)'!$C$34+1=E5,'Invoer gegevens (N)'!$C$27*'Invoer gegevens (N)'!$C$10*'Invoer gegevens (N)'!$C$37*(IF('Invoer gegevens (N)'!$C$35="ja",1,'Reeksen (N)'!J5)),0))+IF(AND(E5='Invoer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" s="73">
        <f ca="1">AW5/(1+'Invoer gegevens (N)'!$F$13)^($D5-('Invoer gegevens (N)'!$C$17-'Invoer gegevens (N)'!$C$16))/(1+'Invoer gegevens (N)'!$C$39)^('Invoer gegevens (N)'!$C$17-'Invoer gegevens (N)'!$C$16)</f>
        <v>0</v>
      </c>
      <c r="BB5" s="73">
        <f ca="1">AX5/(1+'Invoer gegevens (N)'!$F$13)^(E5-('Invoer gegevens (N)'!$C$17-1))/(1+'Invoer gegevens (N)'!$C$39)^('Invoer gegevens (N)'!$C$17-'Invoer gegevens (N)'!$C$16)</f>
        <v>0</v>
      </c>
      <c r="BC5" s="73">
        <f ca="1">AY5/(1+'Invoer gegevens (N)'!$C$39)^('Invoer gegevens (N)'!$C$17-'Invoer gegevens (N)'!$C$16)</f>
        <v>0</v>
      </c>
      <c r="BD5" s="72">
        <f ca="1">SUM(BA5:BC5)</f>
        <v>0</v>
      </c>
      <c r="BE5" s="72">
        <f ca="1">IF(AND(E5='Invoer gegevens (N)'!$C$16,'Invoer gegevens (N)'!$C$34&lt;'Invoer gegevens (N)'!$C$16),AZ5,AZ5/(1+'Invoer gegevens (N)'!$C$39)^D5)</f>
        <v>0</v>
      </c>
      <c r="BF5" s="72">
        <f ca="1">IF(E5='Invoer gegevens (N)'!$C$34,-'Invoer gegevens (N)'!$F$40,0)</f>
        <v>0</v>
      </c>
      <c r="BG5" s="72">
        <f ca="1">IF(E5='Invoer gegevens (N)'!$C$17,-'Invoer gegevens (N)'!$C$19*$BD$31,0)</f>
        <v>0</v>
      </c>
      <c r="BH5" s="72">
        <f ca="1">AW5/(1+$BH$4)^($D5-('Invoer gegevens (N)'!$C$17-'Invoer gegevens (N)'!$C$16))/(1+'Invoer gegevens (N)'!$C$39)^('Invoer gegevens (N)'!$C$17-'Invoer gegevens (N)'!$C$16)+AX5/(1+$BH$4)^(E5-('Invoer gegevens (N)'!$C$17-1))/(1+'Invoer gegevens (N)'!$C$39)^('Invoer gegevens (N)'!$C$17-'Invoer gegevens (N)'!$C$16)+AY5/(1+'Invoer gegevens (N)'!$C$39)^('Invoer gegevens (N)'!$C$17-'Invoer gegevens (N)'!$C$16)+(-AZ5/(1+'Invoer gegevens (N)'!$C$39)^D5)+BF5+BG5</f>
        <v>0</v>
      </c>
      <c r="BI5" s="59"/>
      <c r="BJ5" s="74"/>
    </row>
    <row r="6" spans="1:62" x14ac:dyDescent="0.25">
      <c r="A6" s="59"/>
      <c r="B6" s="70">
        <f>B5+1</f>
        <v>2</v>
      </c>
      <c r="C6" s="67">
        <f ca="1">IF(AND(E6&gt;='Invoer gegevens (N)'!$C$17,E6&lt;'Invoer gegevens (N)'!$C$17+15),1,0)</f>
        <v>1</v>
      </c>
      <c r="D6" s="68">
        <f>D5+1</f>
        <v>1.5</v>
      </c>
      <c r="E6" s="69">
        <f ca="1">IF('Invoer gegevens (N)'!$C$16="","",E5+1)</f>
        <v>2020</v>
      </c>
      <c r="F6" s="82">
        <f ca="1">IF('Invoer gegevens (N)'!$C$17=E6,'Invoer gegevens (N)'!$C$10,IF(C6=1,H5,0))</f>
        <v>0</v>
      </c>
      <c r="G6" s="83">
        <f ca="1">IF(E6='Invoer gegevens (N)'!$C$17+15,H5,IF(C6&gt;=1,F6*'Reeksen (N)'!C6,0))</f>
        <v>0</v>
      </c>
      <c r="H6" s="84">
        <f ca="1">IF(E6&gt;='Invoer gegevens (N)'!$C$17+15,0,F6-G6)</f>
        <v>0</v>
      </c>
      <c r="I6" s="85">
        <v>0</v>
      </c>
      <c r="J6" s="86">
        <f ca="1">IF(E6='Invoer gegevens (N)'!$C$17+15,L5,IF(C6&lt;1,0,IF('Reeksen (N)'!AD6&lt;='Reeksen (N)'!AE6,I6*'Reeksen (N)'!C6,0)))</f>
        <v>0</v>
      </c>
      <c r="K6" s="86">
        <f ca="1">IF(E6='Invoer gegevens (N)'!$C$17+15,L5,IF(C6&lt;1,0,IF('Reeksen (N)'!AD6&gt;'Reeksen (N)'!AE6,I6*'Reeksen (N)'!C6,0)))</f>
        <v>0</v>
      </c>
      <c r="L6" s="86">
        <f ca="1">IF(E6&gt;='Invoer gegevens (N)'!$C$17+15,0,I6-J6-K6)</f>
        <v>0</v>
      </c>
      <c r="M6" s="85">
        <f ca="1">IF('Invoer gegevens (N)'!$C$17=E6,'Invoer gegevens (N)'!$C$10-'Invoer gegevens (N)'!$C$11,IF(C6=1,P5,0))</f>
        <v>0</v>
      </c>
      <c r="N6" s="86">
        <f ca="1">IF(E6='Invoer gegevens (N)'!$C$17+15,P5,IF(C6&lt;1,0,IF('Reeksen (N)'!AD6&lt;='Reeksen (N)'!AE6,M6*'Reeksen (N)'!C6,0)))</f>
        <v>0</v>
      </c>
      <c r="O6" s="86">
        <f ca="1">IF(E6='Invoer gegevens (N)'!$C$17+15,P5,IF(C6&lt;1,0,IF('Reeksen (N)'!AD6&gt;'Reeksen (N)'!AE6,M6*'Reeksen (N)'!C6,0)))</f>
        <v>0</v>
      </c>
      <c r="P6" s="86">
        <f ca="1">IF(E6&gt;='Invoer gegevens (N)'!$C$17+15,0,M6-N6-O6)</f>
        <v>0</v>
      </c>
      <c r="Q6" s="82">
        <f ca="1">IF('Invoer gegevens (N)'!$C$17=E6,I6,IF(C6=0,0,R5))</f>
        <v>0</v>
      </c>
      <c r="R6" s="84">
        <f t="shared" ca="1" si="0"/>
        <v>0</v>
      </c>
      <c r="S6" s="84">
        <f ca="1">IF('Invoer gegevens (N)'!$C$17=E6,M6,IF(C6=0,0,T5))</f>
        <v>0</v>
      </c>
      <c r="T6" s="84">
        <f t="shared" ca="1" si="1"/>
        <v>0</v>
      </c>
      <c r="AH6" s="70"/>
      <c r="AI6" s="71">
        <f ca="1">IF(C6=1,((F6+H6)/2*'Reeksen (N)'!AI6*12)+(('Invoer gegevens (N)'!$C$10-(F6+H6)/2)*'Reeksen (N)'!AD6*12),0)</f>
        <v>0</v>
      </c>
      <c r="AJ6" s="71">
        <f ca="1">-AI6*'Invoer gegevens (N)'!$F$27</f>
        <v>0</v>
      </c>
      <c r="AK6" s="71">
        <f t="shared" ref="AK6:AK29" ca="1" si="2">AI6+AJ6</f>
        <v>0</v>
      </c>
      <c r="AL6" s="71">
        <f ca="1">IF(C6=1,(12*((F6+H6)/2)*'Reeksen (N)'!AL6)+(12*('Invoer gegevens (N)'!$C$10-(F6+H6)/2)*'Reeksen (N)'!AM6),0)</f>
        <v>0</v>
      </c>
      <c r="AM6" s="71">
        <f ca="1">-AL6*'Invoer gegevens (N)'!$F$31</f>
        <v>0</v>
      </c>
      <c r="AN6" s="71">
        <f t="shared" ref="AN6:AN29" ca="1" si="3">AL6+AM6</f>
        <v>0</v>
      </c>
      <c r="AO6" s="71"/>
      <c r="AP6" s="71"/>
      <c r="AQ6" s="71">
        <f ca="1">-IF(C6=1,('Invoer gegevens (N)'!$C$10*'Invoer gegevens (N)'!$F$35)*'Reeksen (N)'!J6,0)</f>
        <v>0</v>
      </c>
      <c r="AR6" s="71">
        <f ca="1">-IF(C6=1,(G6*'Invoer gegevens (N)'!$F$36)*'Reeksen (N)'!J6,0)</f>
        <v>0</v>
      </c>
      <c r="AS6" s="71">
        <f ca="1">-IF(C6=1,'Invoer gegevens (N)'!$C$10*'Invoer gegevens (N)'!$F$37*'Reeksen (N)'!L6,0)</f>
        <v>0</v>
      </c>
      <c r="AT6" s="71">
        <f ca="1">-IF(C6=1,IF(E6='Invoer gegevens (N)'!$C$17,'Invoer gegevens (N)'!$C$11,Q6)*'Reeksen (N)'!S6*'Invoer gegevens (N)'!$C$18*'Reeksen (N)'!P6,0)</f>
        <v>0</v>
      </c>
      <c r="AU6" s="71">
        <f ca="1">-IF(C6=1,'Invoer gegevens (N)'!$C$10*'Invoer gegevens (N)'!$F$38*'Reeksen (N)'!H6,0)</f>
        <v>0</v>
      </c>
      <c r="AV6" s="71">
        <v>0</v>
      </c>
      <c r="AW6" s="71">
        <f t="shared" ref="AW6:AW29" ca="1" si="4">SUM(AK6,AN6:AV6)</f>
        <v>0</v>
      </c>
      <c r="AX6" s="72">
        <f ca="1">IF(E6='Invoer gegevens (N)'!$C$17+14,IF('Invoer gegevens (N)'!$C$20="Ja",MAX('RW - MW - DE - DE (N)'!$AY$236,'RW - MW - DE - UP (N)'!$AY$236,'RW - MW - DE - DE (N)'!$AY$236)),0)</f>
        <v>0</v>
      </c>
      <c r="AY6" s="72">
        <f ca="1">IFERROR(IF(E6='Invoer gegevens (N)'!$C$17,-'Invoer gegevens (N)'!$C$10*'Invoer gegevens (N)'!$C$31*'Reeksen (N)'!H6,0),0)</f>
        <v>0</v>
      </c>
      <c r="AZ6" s="73">
        <f ca="1">IF('Invoer gegevens (N)'!$C$34=E6,'Invoer gegevens (N)'!$C$27*'Invoer gegevens (N)'!$C$10*'Invoer gegevens (N)'!$C$36*(IF('Invoer gegevens (N)'!$C$35="ja",1,'Reeksen (N)'!J6)),IF('Invoer gegevens (N)'!$C$34+1=E6,'Invoer gegevens (N)'!$C$27*'Invoer gegevens (N)'!$C$10*'Invoer gegevens (N)'!$C$37*(IF('Invoer gegevens (N)'!$C$35="ja",1,'Reeksen (N)'!J6)),0))+IF(AND(E6='Invoer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6" s="73">
        <f ca="1">AW6/(1+'Invoer gegevens (N)'!$F$13)^($D6-('Invoer gegevens (N)'!$C$17-'Invoer gegevens (N)'!$C$16))/(1+'Invoer gegevens (N)'!$C$39)^('Invoer gegevens (N)'!$C$17-'Invoer gegevens (N)'!$C$16)</f>
        <v>0</v>
      </c>
      <c r="BB6" s="73">
        <f ca="1">AX6/(1+'Invoer gegevens (N)'!$F$13)^(E6-('Invoer gegevens (N)'!$C$17-1))/(1+'Invoer gegevens (N)'!$C$39)^('Invoer gegevens (N)'!$C$17-'Invoer gegevens (N)'!$C$16)</f>
        <v>0</v>
      </c>
      <c r="BC6" s="73">
        <f ca="1">AY6/(1+'Invoer gegevens (N)'!$C$39)^('Invoer gegevens (N)'!$C$17-'Invoer gegevens (N)'!$C$16)</f>
        <v>0</v>
      </c>
      <c r="BD6" s="72">
        <f t="shared" ref="BD6:BD29" ca="1" si="5">SUM(BA6:BC6)</f>
        <v>0</v>
      </c>
      <c r="BE6" s="72">
        <f ca="1">IF(AND(E6='Invoer gegevens (N)'!$C$16,'Invoer gegevens (N)'!$C$34&lt;'Invoer gegevens (N)'!$C$16),AZ6,AZ6/(1+'Invoer gegevens (N)'!$C$39)^D6)</f>
        <v>0</v>
      </c>
      <c r="BF6" s="72">
        <f ca="1">IF(E6='Invoer gegevens (N)'!$C$34,-'Invoer gegevens (N)'!$F$40,0)</f>
        <v>0</v>
      </c>
      <c r="BG6" s="72">
        <f ca="1">IF(E6='Invoer gegevens (N)'!$C$17,-'Invoer gegevens (N)'!$C$19*$BD$31,0)</f>
        <v>0</v>
      </c>
      <c r="BH6" s="72">
        <f ca="1">AW6/(1+$BH$4)^($D6-('Invoer gegevens (N)'!$C$17-'Invoer gegevens (N)'!$C$16))/(1+'Invoer gegevens (N)'!$C$39)^('Invoer gegevens (N)'!$C$17-'Invoer gegevens (N)'!$C$16)+AX6/(1+$BH$4)^(E6-('Invoer gegevens (N)'!$C$17-1))/(1+'Invoer gegevens (N)'!$C$39)^('Invoer gegevens (N)'!$C$17-'Invoer gegevens (N)'!$C$16)+AY6/(1+'Invoer gegevens (N)'!$C$39)^('Invoer gegevens (N)'!$C$17-'Invoer gegevens (N)'!$C$16)+(-AZ6/(1+'Invoer gegevens (N)'!$C$39)^D6)+BF6+BG6</f>
        <v>0</v>
      </c>
      <c r="BI6" s="59"/>
    </row>
    <row r="7" spans="1:62" x14ac:dyDescent="0.25">
      <c r="A7" s="59"/>
      <c r="B7" s="70">
        <f t="shared" ref="B7:B29" si="6">B6+1</f>
        <v>3</v>
      </c>
      <c r="C7" s="67">
        <f ca="1">IF(AND(E7&gt;='Invoer gegevens (N)'!$C$17,E7&lt;'Invoer gegevens (N)'!$C$17+15),1,0)</f>
        <v>1</v>
      </c>
      <c r="D7" s="68">
        <f t="shared" ref="D7:D29" si="7">D6+1</f>
        <v>2.5</v>
      </c>
      <c r="E7" s="69">
        <f ca="1">IF('Invoer gegevens (N)'!$C$16="","",E6+1)</f>
        <v>2021</v>
      </c>
      <c r="F7" s="82">
        <f ca="1">IF('Invoer gegevens (N)'!$C$17=E7,'Invoer gegevens (N)'!$C$10,IF(C7=1,H6,0))</f>
        <v>0</v>
      </c>
      <c r="G7" s="83">
        <f ca="1">IF(E7='Invoer gegevens (N)'!$C$17+15,H6,IF(C7&gt;=1,F7*'Reeksen (N)'!C7,0))</f>
        <v>0</v>
      </c>
      <c r="H7" s="84">
        <f ca="1">IF(E7&gt;='Invoer gegevens (N)'!$C$17+15,0,F7-G7)</f>
        <v>0</v>
      </c>
      <c r="I7" s="85">
        <v>0</v>
      </c>
      <c r="J7" s="86">
        <f ca="1">IF(E7='Invoer gegevens (N)'!$C$17+15,L6,IF(C7&lt;1,0,IF('Reeksen (N)'!AD7&lt;='Reeksen (N)'!AE7,I7*'Reeksen (N)'!C7,0)))</f>
        <v>0</v>
      </c>
      <c r="K7" s="86">
        <f ca="1">IF(E7='Invoer gegevens (N)'!$C$17+15,L6,IF(C7&lt;1,0,IF('Reeksen (N)'!AD7&gt;'Reeksen (N)'!AE7,I7*'Reeksen (N)'!C7,0)))</f>
        <v>0</v>
      </c>
      <c r="L7" s="86">
        <f ca="1">IF(E7&gt;='Invoer gegevens (N)'!$C$17+15,0,I7-J7-K7)</f>
        <v>0</v>
      </c>
      <c r="M7" s="85">
        <f ca="1">IF('Invoer gegevens (N)'!$C$17=E7,'Invoer gegevens (N)'!$C$10-'Invoer gegevens (N)'!$C$11,IF(C7=1,P6,0))</f>
        <v>0</v>
      </c>
      <c r="N7" s="86">
        <f ca="1">IF(E7='Invoer gegevens (N)'!$C$17+15,P6,IF(C7&lt;1,0,IF('Reeksen (N)'!AD7&lt;='Reeksen (N)'!AE7,M7*'Reeksen (N)'!C7,0)))</f>
        <v>0</v>
      </c>
      <c r="O7" s="86">
        <f ca="1">IF(E7='Invoer gegevens (N)'!$C$17+15,P6,IF(C7&lt;1,0,IF('Reeksen (N)'!AD7&gt;'Reeksen (N)'!AE7,M7*'Reeksen (N)'!C7,0)))</f>
        <v>0</v>
      </c>
      <c r="P7" s="86">
        <f ca="1">IF(E7&gt;='Invoer gegevens (N)'!$C$17+15,0,M7-N7-O7)</f>
        <v>0</v>
      </c>
      <c r="Q7" s="82">
        <f ca="1">IF('Invoer gegevens (N)'!$C$17=E7,I7,IF(C7=0,0,R6))</f>
        <v>0</v>
      </c>
      <c r="R7" s="84">
        <f t="shared" ca="1" si="0"/>
        <v>0</v>
      </c>
      <c r="S7" s="84">
        <f ca="1">IF('Invoer gegevens (N)'!$C$17=E7,M7,IF(C7=0,0,T6))</f>
        <v>0</v>
      </c>
      <c r="T7" s="84">
        <f t="shared" ca="1" si="1"/>
        <v>0</v>
      </c>
      <c r="AH7" s="70"/>
      <c r="AI7" s="71">
        <f ca="1">IF(C7=1,((F7+H7)/2*'Reeksen (N)'!AI7*12)+(('Invoer gegevens (N)'!$C$10-(F7+H7)/2)*'Reeksen (N)'!AD7*12),0)</f>
        <v>0</v>
      </c>
      <c r="AJ7" s="71">
        <f ca="1">-AI7*'Invoer gegevens (N)'!$F$28</f>
        <v>0</v>
      </c>
      <c r="AK7" s="71">
        <f t="shared" ca="1" si="2"/>
        <v>0</v>
      </c>
      <c r="AL7" s="71">
        <f ca="1">IF(C7=1,(12*((F7+H7)/2)*'Reeksen (N)'!AL7)+(12*('Invoer gegevens (N)'!$C$10-(F7+H7)/2)*'Reeksen (N)'!AM7),0)</f>
        <v>0</v>
      </c>
      <c r="AM7" s="71">
        <f ca="1">-AL7*'Invoer gegevens (N)'!$F$31</f>
        <v>0</v>
      </c>
      <c r="AN7" s="71">
        <f t="shared" ca="1" si="3"/>
        <v>0</v>
      </c>
      <c r="AO7" s="71"/>
      <c r="AP7" s="71"/>
      <c r="AQ7" s="71">
        <f ca="1">-IF(C7=1,('Invoer gegevens (N)'!$C$10*'Invoer gegevens (N)'!$F$35)*'Reeksen (N)'!J7,0)</f>
        <v>0</v>
      </c>
      <c r="AR7" s="71">
        <f ca="1">-IF(C7=1,(G7*'Invoer gegevens (N)'!$F$36)*'Reeksen (N)'!J7,0)</f>
        <v>0</v>
      </c>
      <c r="AS7" s="71">
        <f ca="1">-IF(C7=1,'Invoer gegevens (N)'!$C$10*'Invoer gegevens (N)'!$F$37*'Reeksen (N)'!L7,0)</f>
        <v>0</v>
      </c>
      <c r="AT7" s="71">
        <f ca="1">-IF(C7=1,IF(E7='Invoer gegevens (N)'!$C$17,'Invoer gegevens (N)'!$C$11,Q7)*'Reeksen (N)'!S7*'Invoer gegevens (N)'!$C$18*'Reeksen (N)'!P7,0)</f>
        <v>0</v>
      </c>
      <c r="AU7" s="71">
        <f ca="1">-IF(C7=1,'Invoer gegevens (N)'!$C$10*'Invoer gegevens (N)'!$F$38*'Reeksen (N)'!H7,0)</f>
        <v>0</v>
      </c>
      <c r="AV7" s="71">
        <v>0</v>
      </c>
      <c r="AW7" s="71">
        <f t="shared" ca="1" si="4"/>
        <v>0</v>
      </c>
      <c r="AX7" s="72">
        <f ca="1">IF(E7='Invoer gegevens (N)'!$C$17+14,IF('Invoer gegevens (N)'!$C$20="Ja",MAX('RW - MW - DE - DE (N)'!$AY$236,'RW - MW - DE - UP (N)'!$AY$236,'RW - MW - DE - DE (N)'!$AY$236)),0)</f>
        <v>0</v>
      </c>
      <c r="AY7" s="72">
        <f ca="1">IFERROR(IF(E7='Invoer gegevens (N)'!$C$17,-'Invoer gegevens (N)'!$C$10*'Invoer gegevens (N)'!$C$31*'Reeksen (N)'!H7,0),0)</f>
        <v>0</v>
      </c>
      <c r="AZ7" s="73">
        <f ca="1">IF('Invoer gegevens (N)'!$C$34=E7,'Invoer gegevens (N)'!$C$27*'Invoer gegevens (N)'!$C$10*'Invoer gegevens (N)'!$C$36*(IF('Invoer gegevens (N)'!$C$35="ja",1,'Reeksen (N)'!J7)),IF('Invoer gegevens (N)'!$C$34+1=E7,'Invoer gegevens (N)'!$C$27*'Invoer gegevens (N)'!$C$10*'Invoer gegevens (N)'!$C$37*(IF('Invoer gegevens (N)'!$C$35="ja",1,'Reeksen (N)'!J7)),0))+IF(AND(E7='Invoer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7" s="73">
        <f ca="1">AW7/(1+'Invoer gegevens (N)'!$F$13)^($D7-('Invoer gegevens (N)'!$C$17-'Invoer gegevens (N)'!$C$16))/(1+'Invoer gegevens (N)'!$C$39)^('Invoer gegevens (N)'!$C$17-'Invoer gegevens (N)'!$C$16)</f>
        <v>0</v>
      </c>
      <c r="BB7" s="73">
        <f ca="1">AX7/(1+'Invoer gegevens (N)'!$F$13)^(E7-('Invoer gegevens (N)'!$C$17-1))/(1+'Invoer gegevens (N)'!$C$39)^('Invoer gegevens (N)'!$C$17-'Invoer gegevens (N)'!$C$16)</f>
        <v>0</v>
      </c>
      <c r="BC7" s="73">
        <f ca="1">AY7/(1+'Invoer gegevens (N)'!$C$39)^('Invoer gegevens (N)'!$C$17-'Invoer gegevens (N)'!$C$16)</f>
        <v>0</v>
      </c>
      <c r="BD7" s="72">
        <f t="shared" ca="1" si="5"/>
        <v>0</v>
      </c>
      <c r="BE7" s="72">
        <f ca="1">IF(AND(E7='Invoer gegevens (N)'!$C$16,'Invoer gegevens (N)'!$C$34&lt;'Invoer gegevens (N)'!$C$16),AZ7,AZ7/(1+'Invoer gegevens (N)'!$C$39)^D7)</f>
        <v>0</v>
      </c>
      <c r="BF7" s="72">
        <f ca="1">IF(E7='Invoer gegevens (N)'!$C$34,-'Invoer gegevens (N)'!$F$40,0)</f>
        <v>0</v>
      </c>
      <c r="BG7" s="72">
        <f ca="1">IF(E7='Invoer gegevens (N)'!$C$17,-'Invoer gegevens (N)'!$C$19*$BD$31,0)</f>
        <v>0</v>
      </c>
      <c r="BH7" s="72">
        <f ca="1">AW7/(1+$BH$4)^($D7-('Invoer gegevens (N)'!$C$17-'Invoer gegevens (N)'!$C$16))/(1+'Invoer gegevens (N)'!$C$39)^('Invoer gegevens (N)'!$C$17-'Invoer gegevens (N)'!$C$16)+AX7/(1+$BH$4)^(E7-('Invoer gegevens (N)'!$C$17-1))/(1+'Invoer gegevens (N)'!$C$39)^('Invoer gegevens (N)'!$C$17-'Invoer gegevens (N)'!$C$16)+AY7/(1+'Invoer gegevens (N)'!$C$39)^('Invoer gegevens (N)'!$C$17-'Invoer gegevens (N)'!$C$16)+(-AZ7/(1+'Invoer gegevens (N)'!$C$39)^D7)+BF7+BG7</f>
        <v>0</v>
      </c>
      <c r="BI7" s="59"/>
    </row>
    <row r="8" spans="1:62" x14ac:dyDescent="0.25">
      <c r="A8" s="59"/>
      <c r="B8" s="70">
        <f t="shared" si="6"/>
        <v>4</v>
      </c>
      <c r="C8" s="67">
        <f ca="1">IF(AND(E8&gt;='Invoer gegevens (N)'!$C$17,E8&lt;'Invoer gegevens (N)'!$C$17+15),1,0)</f>
        <v>1</v>
      </c>
      <c r="D8" s="68">
        <f t="shared" si="7"/>
        <v>3.5</v>
      </c>
      <c r="E8" s="69">
        <f ca="1">IF('Invoer gegevens (N)'!$C$16="","",E7+1)</f>
        <v>2022</v>
      </c>
      <c r="F8" s="82">
        <f ca="1">IF('Invoer gegevens (N)'!$C$17=E8,'Invoer gegevens (N)'!$C$10,IF(C8=1,H7,0))</f>
        <v>0</v>
      </c>
      <c r="G8" s="83">
        <f ca="1">IF(E8='Invoer gegevens (N)'!$C$17+15,H7,IF(C8&gt;=1,F8*'Reeksen (N)'!C8,0))</f>
        <v>0</v>
      </c>
      <c r="H8" s="84">
        <f ca="1">IF(E8&gt;='Invoer gegevens (N)'!$C$17+15,0,F8-G8)</f>
        <v>0</v>
      </c>
      <c r="I8" s="85">
        <v>0</v>
      </c>
      <c r="J8" s="86">
        <f ca="1">IF(E8='Invoer gegevens (N)'!$C$17+15,L7,IF(C8&lt;1,0,IF('Reeksen (N)'!AD8&lt;='Reeksen (N)'!AE8,I8*'Reeksen (N)'!C8,0)))</f>
        <v>0</v>
      </c>
      <c r="K8" s="86">
        <f ca="1">IF(E8='Invoer gegevens (N)'!$C$17+15,L7,IF(C8&lt;1,0,IF('Reeksen (N)'!AD8&gt;'Reeksen (N)'!AE8,I8*'Reeksen (N)'!C8,0)))</f>
        <v>0</v>
      </c>
      <c r="L8" s="86">
        <f ca="1">IF(E8&gt;='Invoer gegevens (N)'!$C$17+15,0,I8-J8-K8)</f>
        <v>0</v>
      </c>
      <c r="M8" s="85">
        <f ca="1">IF('Invoer gegevens (N)'!$C$17=E8,'Invoer gegevens (N)'!$C$10-'Invoer gegevens (N)'!$C$11,IF(C8=1,P7,0))</f>
        <v>0</v>
      </c>
      <c r="N8" s="86">
        <f ca="1">IF(E8='Invoer gegevens (N)'!$C$17+15,P7,IF(C8&lt;1,0,IF('Reeksen (N)'!AD8&lt;='Reeksen (N)'!AE8,M8*'Reeksen (N)'!C8,0)))</f>
        <v>0</v>
      </c>
      <c r="O8" s="86">
        <f ca="1">IF(E8='Invoer gegevens (N)'!$C$17+15,P7,IF(C8&lt;1,0,IF('Reeksen (N)'!AD8&gt;'Reeksen (N)'!AE8,M8*'Reeksen (N)'!C8,0)))</f>
        <v>0</v>
      </c>
      <c r="P8" s="86">
        <f ca="1">IF(E8&gt;='Invoer gegevens (N)'!$C$17+15,0,M8-N8-O8)</f>
        <v>0</v>
      </c>
      <c r="Q8" s="82">
        <f ca="1">IF('Invoer gegevens (N)'!$C$17=E8,I8,IF(C8=0,0,R7))</f>
        <v>0</v>
      </c>
      <c r="R8" s="84">
        <f t="shared" ca="1" si="0"/>
        <v>0</v>
      </c>
      <c r="S8" s="84">
        <f ca="1">IF('Invoer gegevens (N)'!$C$17=E8,M8,IF(C8=0,0,T7))</f>
        <v>0</v>
      </c>
      <c r="T8" s="84">
        <f t="shared" ca="1" si="1"/>
        <v>0</v>
      </c>
      <c r="AH8" s="70"/>
      <c r="AI8" s="71">
        <f ca="1">IF(C8=1,((F8+H8)/2*'Reeksen (N)'!AI8*12)+(('Invoer gegevens (N)'!$C$10-(F8+H8)/2)*'Reeksen (N)'!AD8*12),0)</f>
        <v>0</v>
      </c>
      <c r="AJ8" s="71">
        <f ca="1">-AI8*'Invoer gegevens (N)'!$F$28</f>
        <v>0</v>
      </c>
      <c r="AK8" s="71">
        <f t="shared" ca="1" si="2"/>
        <v>0</v>
      </c>
      <c r="AL8" s="71">
        <f ca="1">IF(C8=1,(12*((F8+H8)/2)*'Reeksen (N)'!AL8)+(12*('Invoer gegevens (N)'!$C$10-(F8+H8)/2)*'Reeksen (N)'!AM8),0)</f>
        <v>0</v>
      </c>
      <c r="AM8" s="71">
        <f ca="1">-AL8*'Invoer gegevens (N)'!$F$31</f>
        <v>0</v>
      </c>
      <c r="AN8" s="71">
        <f t="shared" ca="1" si="3"/>
        <v>0</v>
      </c>
      <c r="AO8" s="71"/>
      <c r="AP8" s="71"/>
      <c r="AQ8" s="71">
        <f ca="1">-IF(C8=1,('Invoer gegevens (N)'!$C$10*'Invoer gegevens (N)'!$F$35)*'Reeksen (N)'!J8,0)</f>
        <v>0</v>
      </c>
      <c r="AR8" s="71">
        <f ca="1">-IF(C8=1,(G8*'Invoer gegevens (N)'!$F$36)*'Reeksen (N)'!J8,0)</f>
        <v>0</v>
      </c>
      <c r="AS8" s="71">
        <f ca="1">-IF(C8=1,'Invoer gegevens (N)'!$C$10*'Invoer gegevens (N)'!$F$37*'Reeksen (N)'!L8,0)</f>
        <v>0</v>
      </c>
      <c r="AT8" s="71">
        <f ca="1">-IF(C8=1,IF(E8='Invoer gegevens (N)'!$C$17,'Invoer gegevens (N)'!$C$11,Q8)*'Reeksen (N)'!S8*'Invoer gegevens (N)'!$C$18*'Reeksen (N)'!P8,0)</f>
        <v>0</v>
      </c>
      <c r="AU8" s="71">
        <f ca="1">-IF(C8=1,'Invoer gegevens (N)'!$C$10*'Invoer gegevens (N)'!$F$38*'Reeksen (N)'!H8,0)</f>
        <v>0</v>
      </c>
      <c r="AV8" s="71">
        <v>0</v>
      </c>
      <c r="AW8" s="71">
        <f t="shared" ca="1" si="4"/>
        <v>0</v>
      </c>
      <c r="AX8" s="72">
        <f ca="1">IF(E8='Invoer gegevens (N)'!$C$17+14,IF('Invoer gegevens (N)'!$C$20="Ja",MAX('RW - MW - DE - DE (N)'!$AY$236,'RW - MW - DE - UP (N)'!$AY$236,'RW - MW - DE - DE (N)'!$AY$236)),0)</f>
        <v>0</v>
      </c>
      <c r="AY8" s="72">
        <f ca="1">IFERROR(IF(E8='Invoer gegevens (N)'!$C$17,-'Invoer gegevens (N)'!$C$10*'Invoer gegevens (N)'!$C$31*'Reeksen (N)'!H8,0),0)</f>
        <v>0</v>
      </c>
      <c r="AZ8" s="73">
        <f ca="1">IF('Invoer gegevens (N)'!$C$34=E8,'Invoer gegevens (N)'!$C$27*'Invoer gegevens (N)'!$C$10*'Invoer gegevens (N)'!$C$36*(IF('Invoer gegevens (N)'!$C$35="ja",1,'Reeksen (N)'!J8)),IF('Invoer gegevens (N)'!$C$34+1=E8,'Invoer gegevens (N)'!$C$27*'Invoer gegevens (N)'!$C$10*'Invoer gegevens (N)'!$C$37*(IF('Invoer gegevens (N)'!$C$35="ja",1,'Reeksen (N)'!J8)),0))+IF(AND(E8='Invoer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8" s="73">
        <f ca="1">AW8/(1+'Invoer gegevens (N)'!$F$13)^($D8-('Invoer gegevens (N)'!$C$17-'Invoer gegevens (N)'!$C$16))/(1+'Invoer gegevens (N)'!$C$39)^('Invoer gegevens (N)'!$C$17-'Invoer gegevens (N)'!$C$16)</f>
        <v>0</v>
      </c>
      <c r="BB8" s="73">
        <f ca="1">AX8/(1+'Invoer gegevens (N)'!$F$13)^(E8-('Invoer gegevens (N)'!$C$17-1))/(1+'Invoer gegevens (N)'!$C$39)^('Invoer gegevens (N)'!$C$17-'Invoer gegevens (N)'!$C$16)</f>
        <v>0</v>
      </c>
      <c r="BC8" s="73">
        <f ca="1">AY8/(1+'Invoer gegevens (N)'!$C$39)^('Invoer gegevens (N)'!$C$17-'Invoer gegevens (N)'!$C$16)</f>
        <v>0</v>
      </c>
      <c r="BD8" s="72">
        <f t="shared" ca="1" si="5"/>
        <v>0</v>
      </c>
      <c r="BE8" s="72">
        <f ca="1">IF(AND(E8='Invoer gegevens (N)'!$C$16,'Invoer gegevens (N)'!$C$34&lt;'Invoer gegevens (N)'!$C$16),AZ8,AZ8/(1+'Invoer gegevens (N)'!$C$39)^D8)</f>
        <v>0</v>
      </c>
      <c r="BF8" s="72">
        <f ca="1">IF(E8='Invoer gegevens (N)'!$C$34,-'Invoer gegevens (N)'!$F$40,0)</f>
        <v>0</v>
      </c>
      <c r="BG8" s="72">
        <f ca="1">IF(E8='Invoer gegevens (N)'!$C$17,-'Invoer gegevens (N)'!$C$19*$BD$31,0)</f>
        <v>0</v>
      </c>
      <c r="BH8" s="72">
        <f ca="1">AW8/(1+$BH$4)^($D8-('Invoer gegevens (N)'!$C$17-'Invoer gegevens (N)'!$C$16))/(1+'Invoer gegevens (N)'!$C$39)^('Invoer gegevens (N)'!$C$17-'Invoer gegevens (N)'!$C$16)+AX8/(1+$BH$4)^(E8-('Invoer gegevens (N)'!$C$17-1))/(1+'Invoer gegevens (N)'!$C$39)^('Invoer gegevens (N)'!$C$17-'Invoer gegevens (N)'!$C$16)+AY8/(1+'Invoer gegevens (N)'!$C$39)^('Invoer gegevens (N)'!$C$17-'Invoer gegevens (N)'!$C$16)+(-AZ8/(1+'Invoer gegevens (N)'!$C$39)^D8)+BF8+BG8</f>
        <v>0</v>
      </c>
      <c r="BI8" s="59"/>
    </row>
    <row r="9" spans="1:62" x14ac:dyDescent="0.25">
      <c r="A9" s="59"/>
      <c r="B9" s="70">
        <f t="shared" si="6"/>
        <v>5</v>
      </c>
      <c r="C9" s="67">
        <f ca="1">IF(AND(E9&gt;='Invoer gegevens (N)'!$C$17,E9&lt;'Invoer gegevens (N)'!$C$17+15),1,0)</f>
        <v>1</v>
      </c>
      <c r="D9" s="68">
        <f t="shared" si="7"/>
        <v>4.5</v>
      </c>
      <c r="E9" s="69">
        <f ca="1">IF('Invoer gegevens (N)'!$C$16="","",E8+1)</f>
        <v>2023</v>
      </c>
      <c r="F9" s="82">
        <f ca="1">IF('Invoer gegevens (N)'!$C$17=E9,'Invoer gegevens (N)'!$C$10,IF(C9=1,H8,0))</f>
        <v>0</v>
      </c>
      <c r="G9" s="83">
        <f ca="1">IF(E9='Invoer gegevens (N)'!$C$17+15,H8,IF(C9&gt;=1,F9*'Reeksen (N)'!C9,0))</f>
        <v>0</v>
      </c>
      <c r="H9" s="84">
        <f ca="1">IF(E9&gt;='Invoer gegevens (N)'!$C$17+15,0,F9-G9)</f>
        <v>0</v>
      </c>
      <c r="I9" s="85">
        <v>0</v>
      </c>
      <c r="J9" s="86">
        <f ca="1">IF(E9='Invoer gegevens (N)'!$C$17+15,L8,IF(C9&lt;1,0,IF('Reeksen (N)'!AD9&lt;='Reeksen (N)'!AE9,I9*'Reeksen (N)'!C9,0)))</f>
        <v>0</v>
      </c>
      <c r="K9" s="86">
        <f ca="1">IF(E9='Invoer gegevens (N)'!$C$17+15,L8,IF(C9&lt;1,0,IF('Reeksen (N)'!AD9&gt;'Reeksen (N)'!AE9,I9*'Reeksen (N)'!C9,0)))</f>
        <v>0</v>
      </c>
      <c r="L9" s="86">
        <f ca="1">IF(E9&gt;='Invoer gegevens (N)'!$C$17+15,0,I9-J9-K9)</f>
        <v>0</v>
      </c>
      <c r="M9" s="85">
        <f ca="1">IF('Invoer gegevens (N)'!$C$17=E9,'Invoer gegevens (N)'!$C$10-'Invoer gegevens (N)'!$C$11,IF(C9=1,P8,0))</f>
        <v>0</v>
      </c>
      <c r="N9" s="86">
        <f ca="1">IF(E9='Invoer gegevens (N)'!$C$17+15,P8,IF(C9&lt;1,0,IF('Reeksen (N)'!AD9&lt;='Reeksen (N)'!AE9,M9*'Reeksen (N)'!C9,0)))</f>
        <v>0</v>
      </c>
      <c r="O9" s="86">
        <f ca="1">IF(E9='Invoer gegevens (N)'!$C$17+15,P8,IF(C9&lt;1,0,IF('Reeksen (N)'!AD9&gt;'Reeksen (N)'!AE9,M9*'Reeksen (N)'!C9,0)))</f>
        <v>0</v>
      </c>
      <c r="P9" s="86">
        <f ca="1">IF(E9&gt;='Invoer gegevens (N)'!$C$17+15,0,M9-N9-O9)</f>
        <v>0</v>
      </c>
      <c r="Q9" s="82">
        <f ca="1">IF('Invoer gegevens (N)'!$C$17=E9,I9,IF(C9=0,0,R8))</f>
        <v>0</v>
      </c>
      <c r="R9" s="84">
        <f t="shared" ca="1" si="0"/>
        <v>0</v>
      </c>
      <c r="S9" s="84">
        <f ca="1">IF('Invoer gegevens (N)'!$C$17=E9,M9,IF(C9=0,0,T8))</f>
        <v>0</v>
      </c>
      <c r="T9" s="84">
        <f t="shared" ca="1" si="1"/>
        <v>0</v>
      </c>
      <c r="AH9" s="70"/>
      <c r="AI9" s="71">
        <f ca="1">IF(C9=1,((F9+H9)/2*'Reeksen (N)'!AI9*12)+(('Invoer gegevens (N)'!$C$10-(F9+H9)/2)*'Reeksen (N)'!AD9*12),0)</f>
        <v>0</v>
      </c>
      <c r="AJ9" s="71">
        <f ca="1">-AI9*'Invoer gegevens (N)'!$F$28</f>
        <v>0</v>
      </c>
      <c r="AK9" s="71">
        <f t="shared" ca="1" si="2"/>
        <v>0</v>
      </c>
      <c r="AL9" s="71">
        <f ca="1">IF(C9=1,(12*((F9+H9)/2)*'Reeksen (N)'!AL9)+(12*('Invoer gegevens (N)'!$C$10-(F9+H9)/2)*'Reeksen (N)'!AM9),0)</f>
        <v>0</v>
      </c>
      <c r="AM9" s="71">
        <f ca="1">-AL9*'Invoer gegevens (N)'!$F$31</f>
        <v>0</v>
      </c>
      <c r="AN9" s="71">
        <f t="shared" ca="1" si="3"/>
        <v>0</v>
      </c>
      <c r="AO9" s="71"/>
      <c r="AP9" s="71"/>
      <c r="AQ9" s="71">
        <f ca="1">-IF(C9=1,('Invoer gegevens (N)'!$C$10*'Invoer gegevens (N)'!$F$35)*'Reeksen (N)'!J9,0)</f>
        <v>0</v>
      </c>
      <c r="AR9" s="71">
        <f ca="1">-IF(C9=1,(G9*'Invoer gegevens (N)'!$F$36)*'Reeksen (N)'!J9,0)</f>
        <v>0</v>
      </c>
      <c r="AS9" s="71">
        <f ca="1">-IF(C9=1,'Invoer gegevens (N)'!$C$10*'Invoer gegevens (N)'!$F$37*'Reeksen (N)'!L9,0)</f>
        <v>0</v>
      </c>
      <c r="AT9" s="71">
        <f ca="1">-IF(C9=1,IF(E9='Invoer gegevens (N)'!$C$17,'Invoer gegevens (N)'!$C$11,Q9)*'Reeksen (N)'!S9*'Invoer gegevens (N)'!$C$18*'Reeksen (N)'!P9,0)</f>
        <v>0</v>
      </c>
      <c r="AU9" s="71">
        <f ca="1">-IF(C9=1,'Invoer gegevens (N)'!$C$10*'Invoer gegevens (N)'!$F$38*'Reeksen (N)'!H9,0)</f>
        <v>0</v>
      </c>
      <c r="AV9" s="71">
        <v>0</v>
      </c>
      <c r="AW9" s="71">
        <f t="shared" ca="1" si="4"/>
        <v>0</v>
      </c>
      <c r="AX9" s="72">
        <f ca="1">IF(E9='Invoer gegevens (N)'!$C$17+14,IF('Invoer gegevens (N)'!$C$20="Ja",MAX('RW - MW - DE - DE (N)'!$AY$236,'RW - MW - DE - UP (N)'!$AY$236,'RW - MW - DE - DE (N)'!$AY$236)),0)</f>
        <v>0</v>
      </c>
      <c r="AY9" s="72">
        <f ca="1">IFERROR(IF(E9='Invoer gegevens (N)'!$C$17,-'Invoer gegevens (N)'!$C$10*'Invoer gegevens (N)'!$C$31*'Reeksen (N)'!H9,0),0)</f>
        <v>0</v>
      </c>
      <c r="AZ9" s="73">
        <f ca="1">IF('Invoer gegevens (N)'!$C$34=E9,'Invoer gegevens (N)'!$C$27*'Invoer gegevens (N)'!$C$10*'Invoer gegevens (N)'!$C$36*(IF('Invoer gegevens (N)'!$C$35="ja",1,'Reeksen (N)'!J9)),IF('Invoer gegevens (N)'!$C$34+1=E9,'Invoer gegevens (N)'!$C$27*'Invoer gegevens (N)'!$C$10*'Invoer gegevens (N)'!$C$37*(IF('Invoer gegevens (N)'!$C$35="ja",1,'Reeksen (N)'!J9)),0))+IF(AND(E9='Invoer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9" s="73">
        <f ca="1">AW9/(1+'Invoer gegevens (N)'!$F$13)^($D9-('Invoer gegevens (N)'!$C$17-'Invoer gegevens (N)'!$C$16))/(1+'Invoer gegevens (N)'!$C$39)^('Invoer gegevens (N)'!$C$17-'Invoer gegevens (N)'!$C$16)</f>
        <v>0</v>
      </c>
      <c r="BB9" s="73">
        <f ca="1">AX9/(1+'Invoer gegevens (N)'!$F$13)^(E9-('Invoer gegevens (N)'!$C$17-1))/(1+'Invoer gegevens (N)'!$C$39)^('Invoer gegevens (N)'!$C$17-'Invoer gegevens (N)'!$C$16)</f>
        <v>0</v>
      </c>
      <c r="BC9" s="73">
        <f ca="1">AY9/(1+'Invoer gegevens (N)'!$C$39)^('Invoer gegevens (N)'!$C$17-'Invoer gegevens (N)'!$C$16)</f>
        <v>0</v>
      </c>
      <c r="BD9" s="72">
        <f t="shared" ca="1" si="5"/>
        <v>0</v>
      </c>
      <c r="BE9" s="72">
        <f ca="1">IF(AND(E9='Invoer gegevens (N)'!$C$16,'Invoer gegevens (N)'!$C$34&lt;'Invoer gegevens (N)'!$C$16),AZ9,AZ9/(1+'Invoer gegevens (N)'!$C$39)^D9)</f>
        <v>0</v>
      </c>
      <c r="BF9" s="72">
        <f ca="1">IF(E9='Invoer gegevens (N)'!$C$34,-'Invoer gegevens (N)'!$F$40,0)</f>
        <v>0</v>
      </c>
      <c r="BG9" s="72">
        <f ca="1">IF(E9='Invoer gegevens (N)'!$C$17,-'Invoer gegevens (N)'!$C$19*$BD$31,0)</f>
        <v>0</v>
      </c>
      <c r="BH9" s="72">
        <f ca="1">AW9/(1+$BH$4)^($D9-('Invoer gegevens (N)'!$C$17-'Invoer gegevens (N)'!$C$16))/(1+'Invoer gegevens (N)'!$C$39)^('Invoer gegevens (N)'!$C$17-'Invoer gegevens (N)'!$C$16)+AX9/(1+$BH$4)^(E9-('Invoer gegevens (N)'!$C$17-1))/(1+'Invoer gegevens (N)'!$C$39)^('Invoer gegevens (N)'!$C$17-'Invoer gegevens (N)'!$C$16)+AY9/(1+'Invoer gegevens (N)'!$C$39)^('Invoer gegevens (N)'!$C$17-'Invoer gegevens (N)'!$C$16)+(-AZ9/(1+'Invoer gegevens (N)'!$C$39)^D9)+BF9+BG9</f>
        <v>0</v>
      </c>
      <c r="BI9" s="59"/>
    </row>
    <row r="10" spans="1:62" x14ac:dyDescent="0.25">
      <c r="A10" s="59"/>
      <c r="B10" s="70">
        <f t="shared" si="6"/>
        <v>6</v>
      </c>
      <c r="C10" s="67">
        <f ca="1">IF(AND(E10&gt;='Invoer gegevens (N)'!$C$17,E10&lt;'Invoer gegevens (N)'!$C$17+15),1,0)</f>
        <v>1</v>
      </c>
      <c r="D10" s="68">
        <f t="shared" si="7"/>
        <v>5.5</v>
      </c>
      <c r="E10" s="69">
        <f ca="1">IF('Invoer gegevens (N)'!$C$16="","",E9+1)</f>
        <v>2024</v>
      </c>
      <c r="F10" s="82">
        <f ca="1">IF('Invoer gegevens (N)'!$C$17=E10,'Invoer gegevens (N)'!$C$10,IF(C10=1,H9,0))</f>
        <v>0</v>
      </c>
      <c r="G10" s="83">
        <f ca="1">IF(E10='Invoer gegevens (N)'!$C$17+15,H9,IF(C10&gt;=1,F10*'Reeksen (N)'!C10,0))</f>
        <v>0</v>
      </c>
      <c r="H10" s="84">
        <f ca="1">IF(E10&gt;='Invoer gegevens (N)'!$C$17+15,0,F10-G10)</f>
        <v>0</v>
      </c>
      <c r="I10" s="85">
        <v>0</v>
      </c>
      <c r="J10" s="86">
        <f ca="1">IF(E10='Invoer gegevens (N)'!$C$17+15,L9,IF(C10&lt;1,0,IF('Reeksen (N)'!AD10&lt;='Reeksen (N)'!AE10,I10*'Reeksen (N)'!C10,0)))</f>
        <v>0</v>
      </c>
      <c r="K10" s="86">
        <f ca="1">IF(E10='Invoer gegevens (N)'!$C$17+15,L9,IF(C10&lt;1,0,IF('Reeksen (N)'!AD10&gt;'Reeksen (N)'!AE10,I10*'Reeksen (N)'!C10,0)))</f>
        <v>0</v>
      </c>
      <c r="L10" s="86">
        <f ca="1">IF(E10&gt;='Invoer gegevens (N)'!$C$17+15,0,I10-J10-K10)</f>
        <v>0</v>
      </c>
      <c r="M10" s="85">
        <f ca="1">IF('Invoer gegevens (N)'!$C$17=E10,'Invoer gegevens (N)'!$C$10-'Invoer gegevens (N)'!$C$11,IF(C10=1,P9,0))</f>
        <v>0</v>
      </c>
      <c r="N10" s="86">
        <f ca="1">IF(E10='Invoer gegevens (N)'!$C$17+15,P9,IF(C10&lt;1,0,IF('Reeksen (N)'!AD10&lt;='Reeksen (N)'!AE10,M10*'Reeksen (N)'!C10,0)))</f>
        <v>0</v>
      </c>
      <c r="O10" s="86">
        <f ca="1">IF(E10='Invoer gegevens (N)'!$C$17+15,P9,IF(C10&lt;1,0,IF('Reeksen (N)'!AD10&gt;'Reeksen (N)'!AE10,M10*'Reeksen (N)'!C10,0)))</f>
        <v>0</v>
      </c>
      <c r="P10" s="86">
        <f ca="1">IF(E10&gt;='Invoer gegevens (N)'!$C$17+15,0,M10-N10-O10)</f>
        <v>0</v>
      </c>
      <c r="Q10" s="82">
        <f ca="1">IF('Invoer gegevens (N)'!$C$17=E10,I10,IF(C10=0,0,R9))</f>
        <v>0</v>
      </c>
      <c r="R10" s="84">
        <f t="shared" ca="1" si="0"/>
        <v>0</v>
      </c>
      <c r="S10" s="84">
        <f ca="1">IF('Invoer gegevens (N)'!$C$17=E10,M10,IF(C10=0,0,T9))</f>
        <v>0</v>
      </c>
      <c r="T10" s="84">
        <f t="shared" ca="1" si="1"/>
        <v>0</v>
      </c>
      <c r="AH10" s="70"/>
      <c r="AI10" s="71">
        <f ca="1">IF(C10=1,((F10+H10)/2*'Reeksen (N)'!AI10*12)+(('Invoer gegevens (N)'!$C$10-(F10+H10)/2)*'Reeksen (N)'!AD10*12),0)</f>
        <v>0</v>
      </c>
      <c r="AJ10" s="71">
        <f ca="1">-AI10*'Invoer gegevens (N)'!$F$28</f>
        <v>0</v>
      </c>
      <c r="AK10" s="71">
        <f t="shared" ca="1" si="2"/>
        <v>0</v>
      </c>
      <c r="AL10" s="71">
        <f ca="1">IF(C10=1,(12*((F10+H10)/2)*'Reeksen (N)'!AL10)+(12*('Invoer gegevens (N)'!$C$10-(F10+H10)/2)*'Reeksen (N)'!AM10),0)</f>
        <v>0</v>
      </c>
      <c r="AM10" s="71">
        <f ca="1">-AL10*'Invoer gegevens (N)'!$F$31</f>
        <v>0</v>
      </c>
      <c r="AN10" s="71">
        <f t="shared" ca="1" si="3"/>
        <v>0</v>
      </c>
      <c r="AO10" s="71"/>
      <c r="AP10" s="71"/>
      <c r="AQ10" s="71">
        <f ca="1">-IF(C10=1,('Invoer gegevens (N)'!$C$10*'Invoer gegevens (N)'!$F$35)*'Reeksen (N)'!J10,0)</f>
        <v>0</v>
      </c>
      <c r="AR10" s="71">
        <f ca="1">-IF(C10=1,(G10*'Invoer gegevens (N)'!$F$36)*'Reeksen (N)'!J10,0)</f>
        <v>0</v>
      </c>
      <c r="AS10" s="71">
        <f ca="1">-IF(C10=1,'Invoer gegevens (N)'!$C$10*'Invoer gegevens (N)'!$F$37*'Reeksen (N)'!L10,0)</f>
        <v>0</v>
      </c>
      <c r="AT10" s="71">
        <f ca="1">-IF(C10=1,IF(E10='Invoer gegevens (N)'!$C$17,'Invoer gegevens (N)'!$C$11,Q10)*'Reeksen (N)'!S10*'Invoer gegevens (N)'!$C$18*'Reeksen (N)'!P10,0)</f>
        <v>0</v>
      </c>
      <c r="AU10" s="71">
        <f ca="1">-IF(C10=1,'Invoer gegevens (N)'!$C$10*'Invoer gegevens (N)'!$F$38*'Reeksen (N)'!H10,0)</f>
        <v>0</v>
      </c>
      <c r="AV10" s="71">
        <v>0</v>
      </c>
      <c r="AW10" s="71">
        <f t="shared" ca="1" si="4"/>
        <v>0</v>
      </c>
      <c r="AX10" s="72">
        <f ca="1">IF(E10='Invoer gegevens (N)'!$C$17+14,IF('Invoer gegevens (N)'!$C$20="Ja",MAX('RW - MW - DE - DE (N)'!$AY$236,'RW - MW - DE - UP (N)'!$AY$236,'RW - MW - DE - DE (N)'!$AY$236)),0)</f>
        <v>0</v>
      </c>
      <c r="AY10" s="72">
        <f ca="1">IFERROR(IF(E10='Invoer gegevens (N)'!$C$17,-'Invoer gegevens (N)'!$C$10*'Invoer gegevens (N)'!$C$31*'Reeksen (N)'!H10,0),0)</f>
        <v>0</v>
      </c>
      <c r="AZ10" s="73">
        <f ca="1">IF('Invoer gegevens (N)'!$C$34=E10,'Invoer gegevens (N)'!$C$27*'Invoer gegevens (N)'!$C$10*'Invoer gegevens (N)'!$C$36*(IF('Invoer gegevens (N)'!$C$35="ja",1,'Reeksen (N)'!J10)),IF('Invoer gegevens (N)'!$C$34+1=E10,'Invoer gegevens (N)'!$C$27*'Invoer gegevens (N)'!$C$10*'Invoer gegevens (N)'!$C$37*(IF('Invoer gegevens (N)'!$C$35="ja",1,'Reeksen (N)'!J10)),0))+IF(AND(E10='Invoer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0" s="73">
        <f ca="1">AW10/(1+'Invoer gegevens (N)'!$F$13)^($D10-('Invoer gegevens (N)'!$C$17-'Invoer gegevens (N)'!$C$16))/(1+'Invoer gegevens (N)'!$C$39)^('Invoer gegevens (N)'!$C$17-'Invoer gegevens (N)'!$C$16)</f>
        <v>0</v>
      </c>
      <c r="BB10" s="73">
        <f ca="1">AX10/(1+'Invoer gegevens (N)'!$F$13)^(E10-('Invoer gegevens (N)'!$C$17-1))/(1+'Invoer gegevens (N)'!$C$39)^('Invoer gegevens (N)'!$C$17-'Invoer gegevens (N)'!$C$16)</f>
        <v>0</v>
      </c>
      <c r="BC10" s="73">
        <f ca="1">AY10/(1+'Invoer gegevens (N)'!$C$39)^('Invoer gegevens (N)'!$C$17-'Invoer gegevens (N)'!$C$16)</f>
        <v>0</v>
      </c>
      <c r="BD10" s="72">
        <f t="shared" ca="1" si="5"/>
        <v>0</v>
      </c>
      <c r="BE10" s="72">
        <f ca="1">IF(AND(E10='Invoer gegevens (N)'!$C$16,'Invoer gegevens (N)'!$C$34&lt;'Invoer gegevens (N)'!$C$16),AZ10,AZ10/(1+'Invoer gegevens (N)'!$C$39)^D10)</f>
        <v>0</v>
      </c>
      <c r="BF10" s="72">
        <f ca="1">IF(E10='Invoer gegevens (N)'!$C$34,-'Invoer gegevens (N)'!$F$40,0)</f>
        <v>0</v>
      </c>
      <c r="BG10" s="72">
        <f ca="1">IF(E10='Invoer gegevens (N)'!$C$17,-'Invoer gegevens (N)'!$C$19*$BD$31,0)</f>
        <v>0</v>
      </c>
      <c r="BH10" s="72">
        <f ca="1">AW10/(1+$BH$4)^($D10-('Invoer gegevens (N)'!$C$17-'Invoer gegevens (N)'!$C$16))/(1+'Invoer gegevens (N)'!$C$39)^('Invoer gegevens (N)'!$C$17-'Invoer gegevens (N)'!$C$16)+AX10/(1+$BH$4)^(E10-('Invoer gegevens (N)'!$C$17-1))/(1+'Invoer gegevens (N)'!$C$39)^('Invoer gegevens (N)'!$C$17-'Invoer gegevens (N)'!$C$16)+AY10/(1+'Invoer gegevens (N)'!$C$39)^('Invoer gegevens (N)'!$C$17-'Invoer gegevens (N)'!$C$16)+(-AZ10/(1+'Invoer gegevens (N)'!$C$39)^D10)+BF10+BG10</f>
        <v>0</v>
      </c>
      <c r="BI10" s="59"/>
    </row>
    <row r="11" spans="1:62" x14ac:dyDescent="0.25">
      <c r="A11" s="59"/>
      <c r="B11" s="70">
        <f t="shared" si="6"/>
        <v>7</v>
      </c>
      <c r="C11" s="67">
        <f ca="1">IF(AND(E11&gt;='Invoer gegevens (N)'!$C$17,E11&lt;'Invoer gegevens (N)'!$C$17+15),1,0)</f>
        <v>1</v>
      </c>
      <c r="D11" s="68">
        <f t="shared" si="7"/>
        <v>6.5</v>
      </c>
      <c r="E11" s="69">
        <f ca="1">IF('Invoer gegevens (N)'!$C$16="","",E10+1)</f>
        <v>2025</v>
      </c>
      <c r="F11" s="82">
        <f ca="1">IF('Invoer gegevens (N)'!$C$17=E11,'Invoer gegevens (N)'!$C$10,IF(C11=1,H10,0))</f>
        <v>0</v>
      </c>
      <c r="G11" s="83">
        <f ca="1">IF(E11='Invoer gegevens (N)'!$C$17+15,H10,IF(C11&gt;=1,F11*'Reeksen (N)'!C11,0))</f>
        <v>0</v>
      </c>
      <c r="H11" s="84">
        <f ca="1">IF(E11&gt;='Invoer gegevens (N)'!$C$17+15,0,F11-G11)</f>
        <v>0</v>
      </c>
      <c r="I11" s="85">
        <v>0</v>
      </c>
      <c r="J11" s="86">
        <f ca="1">IF(E11='Invoer gegevens (N)'!$C$17+15,L10,IF(C11&lt;1,0,IF('Reeksen (N)'!AD11&lt;='Reeksen (N)'!AE11,I11*'Reeksen (N)'!C11,0)))</f>
        <v>0</v>
      </c>
      <c r="K11" s="86">
        <f ca="1">IF(E11='Invoer gegevens (N)'!$C$17+15,L10,IF(C11&lt;1,0,IF('Reeksen (N)'!AD11&gt;'Reeksen (N)'!AE11,I11*'Reeksen (N)'!C11,0)))</f>
        <v>0</v>
      </c>
      <c r="L11" s="86">
        <f ca="1">IF(E11&gt;='Invoer gegevens (N)'!$C$17+15,0,I11-J11-K11)</f>
        <v>0</v>
      </c>
      <c r="M11" s="85">
        <f ca="1">IF('Invoer gegevens (N)'!$C$17=E11,'Invoer gegevens (N)'!$C$10-'Invoer gegevens (N)'!$C$11,IF(C11=1,P10,0))</f>
        <v>0</v>
      </c>
      <c r="N11" s="86">
        <f ca="1">IF(E11='Invoer gegevens (N)'!$C$17+15,P10,IF(C11&lt;1,0,IF('Reeksen (N)'!AD11&lt;='Reeksen (N)'!AE11,M11*'Reeksen (N)'!C11,0)))</f>
        <v>0</v>
      </c>
      <c r="O11" s="86">
        <f ca="1">IF(E11='Invoer gegevens (N)'!$C$17+15,P10,IF(C11&lt;1,0,IF('Reeksen (N)'!AD11&gt;'Reeksen (N)'!AE11,M11*'Reeksen (N)'!C11,0)))</f>
        <v>0</v>
      </c>
      <c r="P11" s="86">
        <f ca="1">IF(E11&gt;='Invoer gegevens (N)'!$C$17+15,0,M11-N11-O11)</f>
        <v>0</v>
      </c>
      <c r="Q11" s="82">
        <f ca="1">IF('Invoer gegevens (N)'!$C$17=E11,I11,IF(C11=0,0,R10))</f>
        <v>0</v>
      </c>
      <c r="R11" s="84">
        <f t="shared" ca="1" si="0"/>
        <v>0</v>
      </c>
      <c r="S11" s="84">
        <f ca="1">IF('Invoer gegevens (N)'!$C$17=E11,M11,IF(C11=0,0,T10))</f>
        <v>0</v>
      </c>
      <c r="T11" s="84">
        <f t="shared" ca="1" si="1"/>
        <v>0</v>
      </c>
      <c r="AH11" s="70"/>
      <c r="AI11" s="71">
        <f ca="1">IF(C11=1,((F11+H11)/2*'Reeksen (N)'!AI11*12)+(('Invoer gegevens (N)'!$C$10-(F11+H11)/2)*'Reeksen (N)'!AD11*12),0)</f>
        <v>0</v>
      </c>
      <c r="AJ11" s="71">
        <f ca="1">-AI11*'Invoer gegevens (N)'!$F$28</f>
        <v>0</v>
      </c>
      <c r="AK11" s="71">
        <f t="shared" ca="1" si="2"/>
        <v>0</v>
      </c>
      <c r="AL11" s="71">
        <f ca="1">IF(C11=1,(12*((F11+H11)/2)*'Reeksen (N)'!AL11)+(12*('Invoer gegevens (N)'!$C$10-(F11+H11)/2)*'Reeksen (N)'!AM11),0)</f>
        <v>0</v>
      </c>
      <c r="AM11" s="71">
        <f ca="1">-AL11*'Invoer gegevens (N)'!$F$31</f>
        <v>0</v>
      </c>
      <c r="AN11" s="71">
        <f t="shared" ca="1" si="3"/>
        <v>0</v>
      </c>
      <c r="AO11" s="71"/>
      <c r="AP11" s="71"/>
      <c r="AQ11" s="71">
        <f ca="1">-IF(C11=1,('Invoer gegevens (N)'!$C$10*'Invoer gegevens (N)'!$F$35)*'Reeksen (N)'!J11,0)</f>
        <v>0</v>
      </c>
      <c r="AR11" s="71">
        <f ca="1">-IF(C11=1,(G11*'Invoer gegevens (N)'!$F$36)*'Reeksen (N)'!J11,0)</f>
        <v>0</v>
      </c>
      <c r="AS11" s="71">
        <f ca="1">-IF(C11=1,'Invoer gegevens (N)'!$C$10*'Invoer gegevens (N)'!$F$37*'Reeksen (N)'!L11,0)</f>
        <v>0</v>
      </c>
      <c r="AT11" s="71">
        <f ca="1">-IF(C11=1,IF(E11='Invoer gegevens (N)'!$C$17,'Invoer gegevens (N)'!$C$11,Q11)*'Reeksen (N)'!S11*'Invoer gegevens (N)'!$C$18*'Reeksen (N)'!P11,0)</f>
        <v>0</v>
      </c>
      <c r="AU11" s="71">
        <f ca="1">-IF(C11=1,'Invoer gegevens (N)'!$C$10*'Invoer gegevens (N)'!$F$38*'Reeksen (N)'!H11,0)</f>
        <v>0</v>
      </c>
      <c r="AV11" s="71">
        <v>0</v>
      </c>
      <c r="AW11" s="71">
        <f t="shared" ca="1" si="4"/>
        <v>0</v>
      </c>
      <c r="AX11" s="72">
        <f ca="1">IF(E11='Invoer gegevens (N)'!$C$17+14,IF('Invoer gegevens (N)'!$C$20="Ja",MAX('RW - MW - DE - DE (N)'!$AY$236,'RW - MW - DE - UP (N)'!$AY$236,'RW - MW - DE - DE (N)'!$AY$236)),0)</f>
        <v>0</v>
      </c>
      <c r="AY11" s="72">
        <f ca="1">IFERROR(IF(E11='Invoer gegevens (N)'!$C$17,-'Invoer gegevens (N)'!$C$10*'Invoer gegevens (N)'!$C$31*'Reeksen (N)'!H11,0),0)</f>
        <v>0</v>
      </c>
      <c r="AZ11" s="73">
        <f ca="1">IF('Invoer gegevens (N)'!$C$34=E11,'Invoer gegevens (N)'!$C$27*'Invoer gegevens (N)'!$C$10*'Invoer gegevens (N)'!$C$36*(IF('Invoer gegevens (N)'!$C$35="ja",1,'Reeksen (N)'!J11)),IF('Invoer gegevens (N)'!$C$34+1=E11,'Invoer gegevens (N)'!$C$27*'Invoer gegevens (N)'!$C$10*'Invoer gegevens (N)'!$C$37*(IF('Invoer gegevens (N)'!$C$35="ja",1,'Reeksen (N)'!J11)),0))+IF(AND(E11='Invoer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1" s="73">
        <f ca="1">AW11/(1+'Invoer gegevens (N)'!$F$13)^($D11-('Invoer gegevens (N)'!$C$17-'Invoer gegevens (N)'!$C$16))/(1+'Invoer gegevens (N)'!$C$39)^('Invoer gegevens (N)'!$C$17-'Invoer gegevens (N)'!$C$16)</f>
        <v>0</v>
      </c>
      <c r="BB11" s="73">
        <f ca="1">AX11/(1+'Invoer gegevens (N)'!$F$13)^(E11-('Invoer gegevens (N)'!$C$17-1))/(1+'Invoer gegevens (N)'!$C$39)^('Invoer gegevens (N)'!$C$17-'Invoer gegevens (N)'!$C$16)</f>
        <v>0</v>
      </c>
      <c r="BC11" s="73">
        <f ca="1">AY11/(1+'Invoer gegevens (N)'!$C$39)^('Invoer gegevens (N)'!$C$17-'Invoer gegevens (N)'!$C$16)</f>
        <v>0</v>
      </c>
      <c r="BD11" s="72">
        <f t="shared" ca="1" si="5"/>
        <v>0</v>
      </c>
      <c r="BE11" s="72">
        <f ca="1">IF(AND(E11='Invoer gegevens (N)'!$C$16,'Invoer gegevens (N)'!$C$34&lt;'Invoer gegevens (N)'!$C$16),AZ11,AZ11/(1+'Invoer gegevens (N)'!$C$39)^D11)</f>
        <v>0</v>
      </c>
      <c r="BF11" s="72">
        <f ca="1">IF(E11='Invoer gegevens (N)'!$C$34,-'Invoer gegevens (N)'!$F$40,0)</f>
        <v>0</v>
      </c>
      <c r="BG11" s="72">
        <f ca="1">IF(E11='Invoer gegevens (N)'!$C$17,-'Invoer gegevens (N)'!$C$19*$BD$31,0)</f>
        <v>0</v>
      </c>
      <c r="BH11" s="72">
        <f ca="1">AW11/(1+$BH$4)^($D11-('Invoer gegevens (N)'!$C$17-'Invoer gegevens (N)'!$C$16))/(1+'Invoer gegevens (N)'!$C$39)^('Invoer gegevens (N)'!$C$17-'Invoer gegevens (N)'!$C$16)+AX11/(1+$BH$4)^(E11-('Invoer gegevens (N)'!$C$17-1))/(1+'Invoer gegevens (N)'!$C$39)^('Invoer gegevens (N)'!$C$17-'Invoer gegevens (N)'!$C$16)+AY11/(1+'Invoer gegevens (N)'!$C$39)^('Invoer gegevens (N)'!$C$17-'Invoer gegevens (N)'!$C$16)+(-AZ11/(1+'Invoer gegevens (N)'!$C$39)^D11)+BF11+BG11</f>
        <v>0</v>
      </c>
      <c r="BI11" s="59"/>
    </row>
    <row r="12" spans="1:62" x14ac:dyDescent="0.25">
      <c r="A12" s="59"/>
      <c r="B12" s="70">
        <f t="shared" si="6"/>
        <v>8</v>
      </c>
      <c r="C12" s="67">
        <f ca="1">IF(AND(E12&gt;='Invoer gegevens (N)'!$C$17,E12&lt;'Invoer gegevens (N)'!$C$17+15),1,0)</f>
        <v>1</v>
      </c>
      <c r="D12" s="68">
        <f t="shared" si="7"/>
        <v>7.5</v>
      </c>
      <c r="E12" s="69">
        <f ca="1">IF('Invoer gegevens (N)'!$C$16="","",E11+1)</f>
        <v>2026</v>
      </c>
      <c r="F12" s="82">
        <f ca="1">IF('Invoer gegevens (N)'!$C$17=E12,'Invoer gegevens (N)'!$C$10,IF(C12=1,H11,0))</f>
        <v>0</v>
      </c>
      <c r="G12" s="83">
        <f ca="1">IF(E12='Invoer gegevens (N)'!$C$17+15,H11,IF(C12&gt;=1,F12*'Reeksen (N)'!C12,0))</f>
        <v>0</v>
      </c>
      <c r="H12" s="84">
        <f ca="1">IF(E12&gt;='Invoer gegevens (N)'!$C$17+15,0,F12-G12)</f>
        <v>0</v>
      </c>
      <c r="I12" s="85">
        <v>0</v>
      </c>
      <c r="J12" s="86">
        <f ca="1">IF(E12='Invoer gegevens (N)'!$C$17+15,L11,IF(C12&lt;1,0,IF('Reeksen (N)'!AD12&lt;='Reeksen (N)'!AE12,I12*'Reeksen (N)'!C12,0)))</f>
        <v>0</v>
      </c>
      <c r="K12" s="86">
        <f ca="1">IF(E12='Invoer gegevens (N)'!$C$17+15,L11,IF(C12&lt;1,0,IF('Reeksen (N)'!AD12&gt;'Reeksen (N)'!AE12,I12*'Reeksen (N)'!C12,0)))</f>
        <v>0</v>
      </c>
      <c r="L12" s="86">
        <f ca="1">IF(E12&gt;='Invoer gegevens (N)'!$C$17+15,0,I12-J12-K12)</f>
        <v>0</v>
      </c>
      <c r="M12" s="85">
        <f ca="1">IF('Invoer gegevens (N)'!$C$17=E12,'Invoer gegevens (N)'!$C$10-'Invoer gegevens (N)'!$C$11,IF(C12=1,P11,0))</f>
        <v>0</v>
      </c>
      <c r="N12" s="86">
        <f ca="1">IF(E12='Invoer gegevens (N)'!$C$17+15,P11,IF(C12&lt;1,0,IF('Reeksen (N)'!AD12&lt;='Reeksen (N)'!AE12,M12*'Reeksen (N)'!C12,0)))</f>
        <v>0</v>
      </c>
      <c r="O12" s="86">
        <f ca="1">IF(E12='Invoer gegevens (N)'!$C$17+15,P11,IF(C12&lt;1,0,IF('Reeksen (N)'!AD12&gt;'Reeksen (N)'!AE12,M12*'Reeksen (N)'!C12,0)))</f>
        <v>0</v>
      </c>
      <c r="P12" s="86">
        <f ca="1">IF(E12&gt;='Invoer gegevens (N)'!$C$17+15,0,M12-N12-O12)</f>
        <v>0</v>
      </c>
      <c r="Q12" s="82">
        <f ca="1">IF('Invoer gegevens (N)'!$C$17=E12,I12,IF(C12=0,0,R11))</f>
        <v>0</v>
      </c>
      <c r="R12" s="84">
        <f t="shared" ca="1" si="0"/>
        <v>0</v>
      </c>
      <c r="S12" s="84">
        <f ca="1">IF('Invoer gegevens (N)'!$C$17=E12,M12,IF(C12=0,0,T11))</f>
        <v>0</v>
      </c>
      <c r="T12" s="84">
        <f t="shared" ca="1" si="1"/>
        <v>0</v>
      </c>
      <c r="AH12" s="70"/>
      <c r="AI12" s="71">
        <f ca="1">IF(C12=1,((F12+H12)/2*'Reeksen (N)'!AI12*12)+(('Invoer gegevens (N)'!$C$10-(F12+H12)/2)*'Reeksen (N)'!AD12*12),0)</f>
        <v>0</v>
      </c>
      <c r="AJ12" s="71">
        <f ca="1">-AI12*'Invoer gegevens (N)'!$F$28</f>
        <v>0</v>
      </c>
      <c r="AK12" s="71">
        <f t="shared" ca="1" si="2"/>
        <v>0</v>
      </c>
      <c r="AL12" s="71">
        <f ca="1">IF(C12=1,(12*((F12+H12)/2)*'Reeksen (N)'!AL12)+(12*('Invoer gegevens (N)'!$C$10-(F12+H12)/2)*'Reeksen (N)'!AM12),0)</f>
        <v>0</v>
      </c>
      <c r="AM12" s="71">
        <f ca="1">-AL12*'Invoer gegevens (N)'!$F$31</f>
        <v>0</v>
      </c>
      <c r="AN12" s="71">
        <f t="shared" ca="1" si="3"/>
        <v>0</v>
      </c>
      <c r="AO12" s="71"/>
      <c r="AP12" s="71"/>
      <c r="AQ12" s="71">
        <f ca="1">-IF(C12=1,('Invoer gegevens (N)'!$C$10*'Invoer gegevens (N)'!$F$35)*'Reeksen (N)'!J12,0)</f>
        <v>0</v>
      </c>
      <c r="AR12" s="71">
        <f ca="1">-IF(C12=1,(G12*'Invoer gegevens (N)'!$F$36)*'Reeksen (N)'!J12,0)</f>
        <v>0</v>
      </c>
      <c r="AS12" s="71">
        <f ca="1">-IF(C12=1,'Invoer gegevens (N)'!$C$10*'Invoer gegevens (N)'!$F$37*'Reeksen (N)'!L12,0)</f>
        <v>0</v>
      </c>
      <c r="AT12" s="71">
        <f ca="1">-IF(C12=1,IF(E12='Invoer gegevens (N)'!$C$17,'Invoer gegevens (N)'!$C$11,Q12)*'Reeksen (N)'!S12*'Invoer gegevens (N)'!$C$18*'Reeksen (N)'!P12,0)</f>
        <v>0</v>
      </c>
      <c r="AU12" s="71">
        <f ca="1">-IF(C12=1,'Invoer gegevens (N)'!$C$10*'Invoer gegevens (N)'!$F$38*'Reeksen (N)'!H12,0)</f>
        <v>0</v>
      </c>
      <c r="AV12" s="71">
        <v>0</v>
      </c>
      <c r="AW12" s="71">
        <f t="shared" ca="1" si="4"/>
        <v>0</v>
      </c>
      <c r="AX12" s="72">
        <f ca="1">IF(E12='Invoer gegevens (N)'!$C$17+14,IF('Invoer gegevens (N)'!$C$20="Ja",MAX('RW - MW - DE - DE (N)'!$AY$236,'RW - MW - DE - UP (N)'!$AY$236,'RW - MW - DE - DE (N)'!$AY$236)),0)</f>
        <v>0</v>
      </c>
      <c r="AY12" s="72">
        <f ca="1">IFERROR(IF(E12='Invoer gegevens (N)'!$C$17,-'Invoer gegevens (N)'!$C$10*'Invoer gegevens (N)'!$C$31*'Reeksen (N)'!H12,0),0)</f>
        <v>0</v>
      </c>
      <c r="AZ12" s="73">
        <f ca="1">IF('Invoer gegevens (N)'!$C$34=E12,'Invoer gegevens (N)'!$C$27*'Invoer gegevens (N)'!$C$10*'Invoer gegevens (N)'!$C$36*(IF('Invoer gegevens (N)'!$C$35="ja",1,'Reeksen (N)'!J12)),IF('Invoer gegevens (N)'!$C$34+1=E12,'Invoer gegevens (N)'!$C$27*'Invoer gegevens (N)'!$C$10*'Invoer gegevens (N)'!$C$37*(IF('Invoer gegevens (N)'!$C$35="ja",1,'Reeksen (N)'!J12)),0))+IF(AND(E12='Invoer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2" s="73">
        <f ca="1">AW12/(1+'Invoer gegevens (N)'!$F$13)^($D12-('Invoer gegevens (N)'!$C$17-'Invoer gegevens (N)'!$C$16))/(1+'Invoer gegevens (N)'!$C$39)^('Invoer gegevens (N)'!$C$17-'Invoer gegevens (N)'!$C$16)</f>
        <v>0</v>
      </c>
      <c r="BB12" s="73">
        <f ca="1">AX12/(1+'Invoer gegevens (N)'!$F$13)^(E12-('Invoer gegevens (N)'!$C$17-1))/(1+'Invoer gegevens (N)'!$C$39)^('Invoer gegevens (N)'!$C$17-'Invoer gegevens (N)'!$C$16)</f>
        <v>0</v>
      </c>
      <c r="BC12" s="73">
        <f ca="1">AY12/(1+'Invoer gegevens (N)'!$C$39)^('Invoer gegevens (N)'!$C$17-'Invoer gegevens (N)'!$C$16)</f>
        <v>0</v>
      </c>
      <c r="BD12" s="72">
        <f t="shared" ca="1" si="5"/>
        <v>0</v>
      </c>
      <c r="BE12" s="72">
        <f ca="1">IF(AND(E12='Invoer gegevens (N)'!$C$16,'Invoer gegevens (N)'!$C$34&lt;'Invoer gegevens (N)'!$C$16),AZ12,AZ12/(1+'Invoer gegevens (N)'!$C$39)^D12)</f>
        <v>0</v>
      </c>
      <c r="BF12" s="72">
        <f ca="1">IF(E12='Invoer gegevens (N)'!$C$34,-'Invoer gegevens (N)'!$F$40,0)</f>
        <v>0</v>
      </c>
      <c r="BG12" s="72">
        <f ca="1">IF(E12='Invoer gegevens (N)'!$C$17,-'Invoer gegevens (N)'!$C$19*$BD$31,0)</f>
        <v>0</v>
      </c>
      <c r="BH12" s="72">
        <f ca="1">AW12/(1+$BH$4)^($D12-('Invoer gegevens (N)'!$C$17-'Invoer gegevens (N)'!$C$16))/(1+'Invoer gegevens (N)'!$C$39)^('Invoer gegevens (N)'!$C$17-'Invoer gegevens (N)'!$C$16)+AX12/(1+$BH$4)^(E12-('Invoer gegevens (N)'!$C$17-1))/(1+'Invoer gegevens (N)'!$C$39)^('Invoer gegevens (N)'!$C$17-'Invoer gegevens (N)'!$C$16)+AY12/(1+'Invoer gegevens (N)'!$C$39)^('Invoer gegevens (N)'!$C$17-'Invoer gegevens (N)'!$C$16)+(-AZ12/(1+'Invoer gegevens (N)'!$C$39)^D12)+BF12+BG12</f>
        <v>0</v>
      </c>
      <c r="BI12" s="59"/>
    </row>
    <row r="13" spans="1:62" x14ac:dyDescent="0.25">
      <c r="A13" s="59"/>
      <c r="B13" s="70">
        <f t="shared" si="6"/>
        <v>9</v>
      </c>
      <c r="C13" s="67">
        <f ca="1">IF(AND(E13&gt;='Invoer gegevens (N)'!$C$17,E13&lt;'Invoer gegevens (N)'!$C$17+15),1,0)</f>
        <v>1</v>
      </c>
      <c r="D13" s="68">
        <f t="shared" si="7"/>
        <v>8.5</v>
      </c>
      <c r="E13" s="69">
        <f ca="1">IF('Invoer gegevens (N)'!$C$16="","",E12+1)</f>
        <v>2027</v>
      </c>
      <c r="F13" s="82">
        <f ca="1">IF('Invoer gegevens (N)'!$C$17=E13,'Invoer gegevens (N)'!$C$10,IF(C13=1,H12,0))</f>
        <v>0</v>
      </c>
      <c r="G13" s="83">
        <f ca="1">IF(E13='Invoer gegevens (N)'!$C$17+15,H12,IF(C13&gt;=1,F13*'Reeksen (N)'!C13,0))</f>
        <v>0</v>
      </c>
      <c r="H13" s="84">
        <f ca="1">IF(E13&gt;='Invoer gegevens (N)'!$C$17+15,0,F13-G13)</f>
        <v>0</v>
      </c>
      <c r="I13" s="85">
        <v>0</v>
      </c>
      <c r="J13" s="86">
        <f ca="1">IF(E13='Invoer gegevens (N)'!$C$17+15,L12,IF(C13&lt;1,0,IF('Reeksen (N)'!AD13&lt;='Reeksen (N)'!AE13,I13*'Reeksen (N)'!C13,0)))</f>
        <v>0</v>
      </c>
      <c r="K13" s="86">
        <f ca="1">IF(E13='Invoer gegevens (N)'!$C$17+15,L12,IF(C13&lt;1,0,IF('Reeksen (N)'!AD13&gt;'Reeksen (N)'!AE13,I13*'Reeksen (N)'!C13,0)))</f>
        <v>0</v>
      </c>
      <c r="L13" s="86">
        <f ca="1">IF(E13&gt;='Invoer gegevens (N)'!$C$17+15,0,I13-J13-K13)</f>
        <v>0</v>
      </c>
      <c r="M13" s="85">
        <f ca="1">IF('Invoer gegevens (N)'!$C$17=E13,'Invoer gegevens (N)'!$C$10-'Invoer gegevens (N)'!$C$11,IF(C13=1,P12,0))</f>
        <v>0</v>
      </c>
      <c r="N13" s="86">
        <f ca="1">IF(E13='Invoer gegevens (N)'!$C$17+15,P12,IF(C13&lt;1,0,IF('Reeksen (N)'!AD13&lt;='Reeksen (N)'!AE13,M13*'Reeksen (N)'!C13,0)))</f>
        <v>0</v>
      </c>
      <c r="O13" s="86">
        <f ca="1">IF(E13='Invoer gegevens (N)'!$C$17+15,P12,IF(C13&lt;1,0,IF('Reeksen (N)'!AD13&gt;'Reeksen (N)'!AE13,M13*'Reeksen (N)'!C13,0)))</f>
        <v>0</v>
      </c>
      <c r="P13" s="86">
        <f ca="1">IF(E13&gt;='Invoer gegevens (N)'!$C$17+15,0,M13-N13-O13)</f>
        <v>0</v>
      </c>
      <c r="Q13" s="82">
        <f ca="1">IF('Invoer gegevens (N)'!$C$17=E13,I13,IF(C13=0,0,R12))</f>
        <v>0</v>
      </c>
      <c r="R13" s="84">
        <f t="shared" ca="1" si="0"/>
        <v>0</v>
      </c>
      <c r="S13" s="84">
        <f ca="1">IF('Invoer gegevens (N)'!$C$17=E13,M13,IF(C13=0,0,T12))</f>
        <v>0</v>
      </c>
      <c r="T13" s="84">
        <f t="shared" ca="1" si="1"/>
        <v>0</v>
      </c>
      <c r="AH13" s="70"/>
      <c r="AI13" s="71">
        <f ca="1">IF(C13=1,((F13+H13)/2*'Reeksen (N)'!AI13*12)+(('Invoer gegevens (N)'!$C$10-(F13+H13)/2)*'Reeksen (N)'!AD13*12),0)</f>
        <v>0</v>
      </c>
      <c r="AJ13" s="71">
        <f ca="1">-AI13*'Invoer gegevens (N)'!$F$28</f>
        <v>0</v>
      </c>
      <c r="AK13" s="71">
        <f t="shared" ca="1" si="2"/>
        <v>0</v>
      </c>
      <c r="AL13" s="71">
        <f ca="1">IF(C13=1,(12*((F13+H13)/2)*'Reeksen (N)'!AL13)+(12*('Invoer gegevens (N)'!$C$10-(F13+H13)/2)*'Reeksen (N)'!AM13),0)</f>
        <v>0</v>
      </c>
      <c r="AM13" s="71">
        <f ca="1">-AL13*'Invoer gegevens (N)'!$F$31</f>
        <v>0</v>
      </c>
      <c r="AN13" s="71">
        <f t="shared" ca="1" si="3"/>
        <v>0</v>
      </c>
      <c r="AO13" s="71"/>
      <c r="AP13" s="71"/>
      <c r="AQ13" s="71">
        <f ca="1">-IF(C13=1,('Invoer gegevens (N)'!$C$10*'Invoer gegevens (N)'!$F$35)*'Reeksen (N)'!J13,0)</f>
        <v>0</v>
      </c>
      <c r="AR13" s="71">
        <f ca="1">-IF(C13=1,(G13*'Invoer gegevens (N)'!$F$36)*'Reeksen (N)'!J13,0)</f>
        <v>0</v>
      </c>
      <c r="AS13" s="71">
        <f ca="1">-IF(C13=1,'Invoer gegevens (N)'!$C$10*'Invoer gegevens (N)'!$F$37*'Reeksen (N)'!L13,0)</f>
        <v>0</v>
      </c>
      <c r="AT13" s="71">
        <f ca="1">-IF(C13=1,IF(E13='Invoer gegevens (N)'!$C$17,'Invoer gegevens (N)'!$C$11,Q13)*'Reeksen (N)'!S13*'Invoer gegevens (N)'!$C$18*'Reeksen (N)'!P13,0)</f>
        <v>0</v>
      </c>
      <c r="AU13" s="71">
        <f ca="1">-IF(C13=1,'Invoer gegevens (N)'!$C$10*'Invoer gegevens (N)'!$F$38*'Reeksen (N)'!H13,0)</f>
        <v>0</v>
      </c>
      <c r="AV13" s="71">
        <v>0</v>
      </c>
      <c r="AW13" s="71">
        <f t="shared" ca="1" si="4"/>
        <v>0</v>
      </c>
      <c r="AX13" s="72">
        <f ca="1">IF(E13='Invoer gegevens (N)'!$C$17+14,IF('Invoer gegevens (N)'!$C$20="Ja",MAX('RW - MW - DE - DE (N)'!$AY$236,'RW - MW - DE - UP (N)'!$AY$236,'RW - MW - DE - DE (N)'!$AY$236)),0)</f>
        <v>0</v>
      </c>
      <c r="AY13" s="72">
        <f ca="1">IFERROR(IF(E13='Invoer gegevens (N)'!$C$17,-'Invoer gegevens (N)'!$C$10*'Invoer gegevens (N)'!$C$31*'Reeksen (N)'!H13,0),0)</f>
        <v>0</v>
      </c>
      <c r="AZ13" s="73">
        <f ca="1">IF('Invoer gegevens (N)'!$C$34=E13,'Invoer gegevens (N)'!$C$27*'Invoer gegevens (N)'!$C$10*'Invoer gegevens (N)'!$C$36*(IF('Invoer gegevens (N)'!$C$35="ja",1,'Reeksen (N)'!J13)),IF('Invoer gegevens (N)'!$C$34+1=E13,'Invoer gegevens (N)'!$C$27*'Invoer gegevens (N)'!$C$10*'Invoer gegevens (N)'!$C$37*(IF('Invoer gegevens (N)'!$C$35="ja",1,'Reeksen (N)'!J13)),0))+IF(AND(E13='Invoer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3" s="73">
        <f ca="1">AW13/(1+'Invoer gegevens (N)'!$F$13)^($D13-('Invoer gegevens (N)'!$C$17-'Invoer gegevens (N)'!$C$16))/(1+'Invoer gegevens (N)'!$C$39)^('Invoer gegevens (N)'!$C$17-'Invoer gegevens (N)'!$C$16)</f>
        <v>0</v>
      </c>
      <c r="BB13" s="73">
        <f ca="1">AX13/(1+'Invoer gegevens (N)'!$F$13)^(E13-('Invoer gegevens (N)'!$C$17-1))/(1+'Invoer gegevens (N)'!$C$39)^('Invoer gegevens (N)'!$C$17-'Invoer gegevens (N)'!$C$16)</f>
        <v>0</v>
      </c>
      <c r="BC13" s="73">
        <f ca="1">AY13/(1+'Invoer gegevens (N)'!$C$39)^('Invoer gegevens (N)'!$C$17-'Invoer gegevens (N)'!$C$16)</f>
        <v>0</v>
      </c>
      <c r="BD13" s="72">
        <f t="shared" ca="1" si="5"/>
        <v>0</v>
      </c>
      <c r="BE13" s="72">
        <f ca="1">IF(AND(E13='Invoer gegevens (N)'!$C$16,'Invoer gegevens (N)'!$C$34&lt;'Invoer gegevens (N)'!$C$16),AZ13,AZ13/(1+'Invoer gegevens (N)'!$C$39)^D13)</f>
        <v>0</v>
      </c>
      <c r="BF13" s="72">
        <f ca="1">IF(E13='Invoer gegevens (N)'!$C$34,-'Invoer gegevens (N)'!$F$40,0)</f>
        <v>0</v>
      </c>
      <c r="BG13" s="72">
        <f ca="1">IF(E13='Invoer gegevens (N)'!$C$17,-'Invoer gegevens (N)'!$C$19*$BD$31,0)</f>
        <v>0</v>
      </c>
      <c r="BH13" s="72">
        <f ca="1">AW13/(1+$BH$4)^($D13-('Invoer gegevens (N)'!$C$17-'Invoer gegevens (N)'!$C$16))/(1+'Invoer gegevens (N)'!$C$39)^('Invoer gegevens (N)'!$C$17-'Invoer gegevens (N)'!$C$16)+AX13/(1+$BH$4)^(E13-('Invoer gegevens (N)'!$C$17-1))/(1+'Invoer gegevens (N)'!$C$39)^('Invoer gegevens (N)'!$C$17-'Invoer gegevens (N)'!$C$16)+AY13/(1+'Invoer gegevens (N)'!$C$39)^('Invoer gegevens (N)'!$C$17-'Invoer gegevens (N)'!$C$16)+(-AZ13/(1+'Invoer gegevens (N)'!$C$39)^D13)+BF13+BG13</f>
        <v>0</v>
      </c>
      <c r="BI13" s="59"/>
    </row>
    <row r="14" spans="1:62" x14ac:dyDescent="0.25">
      <c r="A14" s="59"/>
      <c r="B14" s="70">
        <f t="shared" si="6"/>
        <v>10</v>
      </c>
      <c r="C14" s="67">
        <f ca="1">IF(AND(E14&gt;='Invoer gegevens (N)'!$C$17,E14&lt;'Invoer gegevens (N)'!$C$17+15),1,0)</f>
        <v>1</v>
      </c>
      <c r="D14" s="68">
        <f t="shared" si="7"/>
        <v>9.5</v>
      </c>
      <c r="E14" s="69">
        <f ca="1">IF('Invoer gegevens (N)'!$C$16="","",E13+1)</f>
        <v>2028</v>
      </c>
      <c r="F14" s="82">
        <f ca="1">IF('Invoer gegevens (N)'!$C$17=E14,'Invoer gegevens (N)'!$C$10,IF(C14=1,H13,0))</f>
        <v>0</v>
      </c>
      <c r="G14" s="83">
        <f ca="1">IF(E14='Invoer gegevens (N)'!$C$17+15,H13,IF(C14&gt;=1,F14*'Reeksen (N)'!C14,0))</f>
        <v>0</v>
      </c>
      <c r="H14" s="84">
        <f ca="1">IF(E14&gt;='Invoer gegevens (N)'!$C$17+15,0,F14-G14)</f>
        <v>0</v>
      </c>
      <c r="I14" s="85">
        <v>0</v>
      </c>
      <c r="J14" s="86">
        <f ca="1">IF(E14='Invoer gegevens (N)'!$C$17+15,L13,IF(C14&lt;1,0,IF('Reeksen (N)'!AD14&lt;='Reeksen (N)'!AE14,I14*'Reeksen (N)'!C14,0)))</f>
        <v>0</v>
      </c>
      <c r="K14" s="86">
        <f ca="1">IF(E14='Invoer gegevens (N)'!$C$17+15,L13,IF(C14&lt;1,0,IF('Reeksen (N)'!AD14&gt;'Reeksen (N)'!AE14,I14*'Reeksen (N)'!C14,0)))</f>
        <v>0</v>
      </c>
      <c r="L14" s="86">
        <f ca="1">IF(E14&gt;='Invoer gegevens (N)'!$C$17+15,0,I14-J14-K14)</f>
        <v>0</v>
      </c>
      <c r="M14" s="85">
        <f ca="1">IF('Invoer gegevens (N)'!$C$17=E14,'Invoer gegevens (N)'!$C$10-'Invoer gegevens (N)'!$C$11,IF(C14=1,P13,0))</f>
        <v>0</v>
      </c>
      <c r="N14" s="86">
        <f ca="1">IF(E14='Invoer gegevens (N)'!$C$17+15,P13,IF(C14&lt;1,0,IF('Reeksen (N)'!AD14&lt;='Reeksen (N)'!AE14,M14*'Reeksen (N)'!C14,0)))</f>
        <v>0</v>
      </c>
      <c r="O14" s="86">
        <f ca="1">IF(E14='Invoer gegevens (N)'!$C$17+15,P13,IF(C14&lt;1,0,IF('Reeksen (N)'!AD14&gt;'Reeksen (N)'!AE14,M14*'Reeksen (N)'!C14,0)))</f>
        <v>0</v>
      </c>
      <c r="P14" s="86">
        <f ca="1">IF(E14&gt;='Invoer gegevens (N)'!$C$17+15,0,M14-N14-O14)</f>
        <v>0</v>
      </c>
      <c r="Q14" s="82">
        <f ca="1">IF('Invoer gegevens (N)'!$C$17=E14,I14,IF(C14=0,0,R13))</f>
        <v>0</v>
      </c>
      <c r="R14" s="84">
        <f t="shared" ca="1" si="0"/>
        <v>0</v>
      </c>
      <c r="S14" s="84">
        <f ca="1">IF('Invoer gegevens (N)'!$C$17=E14,M14,IF(C14=0,0,T13))</f>
        <v>0</v>
      </c>
      <c r="T14" s="84">
        <f t="shared" ca="1" si="1"/>
        <v>0</v>
      </c>
      <c r="AH14" s="70"/>
      <c r="AI14" s="71">
        <f ca="1">IF(C14=1,((F14+H14)/2*'Reeksen (N)'!AI14*12)+(('Invoer gegevens (N)'!$C$10-(F14+H14)/2)*'Reeksen (N)'!AD14*12),0)</f>
        <v>0</v>
      </c>
      <c r="AJ14" s="71">
        <f ca="1">-AI14*'Invoer gegevens (N)'!$F$28</f>
        <v>0</v>
      </c>
      <c r="AK14" s="71">
        <f t="shared" ca="1" si="2"/>
        <v>0</v>
      </c>
      <c r="AL14" s="71">
        <f ca="1">IF(C14=1,(12*((F14+H14)/2)*'Reeksen (N)'!AL14)+(12*('Invoer gegevens (N)'!$C$10-(F14+H14)/2)*'Reeksen (N)'!AM14),0)</f>
        <v>0</v>
      </c>
      <c r="AM14" s="71">
        <f ca="1">-AL14*'Invoer gegevens (N)'!$F$31</f>
        <v>0</v>
      </c>
      <c r="AN14" s="71">
        <f t="shared" ca="1" si="3"/>
        <v>0</v>
      </c>
      <c r="AO14" s="71"/>
      <c r="AP14" s="71"/>
      <c r="AQ14" s="71">
        <f ca="1">-IF(C14=1,('Invoer gegevens (N)'!$C$10*'Invoer gegevens (N)'!$F$35)*'Reeksen (N)'!J14,0)</f>
        <v>0</v>
      </c>
      <c r="AR14" s="71">
        <f ca="1">-IF(C14=1,(G14*'Invoer gegevens (N)'!$F$36)*'Reeksen (N)'!J14,0)</f>
        <v>0</v>
      </c>
      <c r="AS14" s="71">
        <f ca="1">-IF(C14=1,'Invoer gegevens (N)'!$C$10*'Invoer gegevens (N)'!$F$37*'Reeksen (N)'!L14,0)</f>
        <v>0</v>
      </c>
      <c r="AT14" s="71">
        <f ca="1">-IF(C14=1,IF(E14='Invoer gegevens (N)'!$C$17,'Invoer gegevens (N)'!$C$11,Q14)*'Reeksen (N)'!S14*'Invoer gegevens (N)'!$C$18*'Reeksen (N)'!P14,0)</f>
        <v>0</v>
      </c>
      <c r="AU14" s="71">
        <f ca="1">-IF(C14=1,'Invoer gegevens (N)'!$C$10*'Invoer gegevens (N)'!$F$38*'Reeksen (N)'!H14,0)</f>
        <v>0</v>
      </c>
      <c r="AV14" s="71">
        <v>0</v>
      </c>
      <c r="AW14" s="71">
        <f t="shared" ca="1" si="4"/>
        <v>0</v>
      </c>
      <c r="AX14" s="72">
        <f ca="1">IF(E14='Invoer gegevens (N)'!$C$17+14,IF('Invoer gegevens (N)'!$C$20="Ja",MAX('RW - MW - DE - DE (N)'!$AY$236,'RW - MW - DE - UP (N)'!$AY$236,'RW - MW - DE - DE (N)'!$AY$236)),0)</f>
        <v>0</v>
      </c>
      <c r="AY14" s="72">
        <f ca="1">IFERROR(IF(E14='Invoer gegevens (N)'!$C$17,-'Invoer gegevens (N)'!$C$10*'Invoer gegevens (N)'!$C$31*'Reeksen (N)'!H14,0),0)</f>
        <v>0</v>
      </c>
      <c r="AZ14" s="73">
        <f ca="1">IF('Invoer gegevens (N)'!$C$34=E14,'Invoer gegevens (N)'!$C$27*'Invoer gegevens (N)'!$C$10*'Invoer gegevens (N)'!$C$36*(IF('Invoer gegevens (N)'!$C$35="ja",1,'Reeksen (N)'!J14)),IF('Invoer gegevens (N)'!$C$34+1=E14,'Invoer gegevens (N)'!$C$27*'Invoer gegevens (N)'!$C$10*'Invoer gegevens (N)'!$C$37*(IF('Invoer gegevens (N)'!$C$35="ja",1,'Reeksen (N)'!J14)),0))+IF(AND(E14='Invoer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4" s="73">
        <f ca="1">AW14/(1+'Invoer gegevens (N)'!$F$13)^($D14-('Invoer gegevens (N)'!$C$17-'Invoer gegevens (N)'!$C$16))/(1+'Invoer gegevens (N)'!$C$39)^('Invoer gegevens (N)'!$C$17-'Invoer gegevens (N)'!$C$16)</f>
        <v>0</v>
      </c>
      <c r="BB14" s="73">
        <f ca="1">AX14/(1+'Invoer gegevens (N)'!$F$13)^(E14-('Invoer gegevens (N)'!$C$17-1))/(1+'Invoer gegevens (N)'!$C$39)^('Invoer gegevens (N)'!$C$17-'Invoer gegevens (N)'!$C$16)</f>
        <v>0</v>
      </c>
      <c r="BC14" s="73">
        <f ca="1">AY14/(1+'Invoer gegevens (N)'!$C$39)^('Invoer gegevens (N)'!$C$17-'Invoer gegevens (N)'!$C$16)</f>
        <v>0</v>
      </c>
      <c r="BD14" s="72">
        <f t="shared" ca="1" si="5"/>
        <v>0</v>
      </c>
      <c r="BE14" s="72">
        <f ca="1">IF(AND(E14='Invoer gegevens (N)'!$C$16,'Invoer gegevens (N)'!$C$34&lt;'Invoer gegevens (N)'!$C$16),AZ14,AZ14/(1+'Invoer gegevens (N)'!$C$39)^D14)</f>
        <v>0</v>
      </c>
      <c r="BF14" s="72">
        <f ca="1">IF(E14='Invoer gegevens (N)'!$C$34,-'Invoer gegevens (N)'!$F$40,0)</f>
        <v>0</v>
      </c>
      <c r="BG14" s="72">
        <f ca="1">IF(E14='Invoer gegevens (N)'!$C$17,-'Invoer gegevens (N)'!$C$19*$BD$31,0)</f>
        <v>0</v>
      </c>
      <c r="BH14" s="72">
        <f ca="1">AW14/(1+$BH$4)^($D14-('Invoer gegevens (N)'!$C$17-'Invoer gegevens (N)'!$C$16))/(1+'Invoer gegevens (N)'!$C$39)^('Invoer gegevens (N)'!$C$17-'Invoer gegevens (N)'!$C$16)+AX14/(1+$BH$4)^(E14-('Invoer gegevens (N)'!$C$17-1))/(1+'Invoer gegevens (N)'!$C$39)^('Invoer gegevens (N)'!$C$17-'Invoer gegevens (N)'!$C$16)+AY14/(1+'Invoer gegevens (N)'!$C$39)^('Invoer gegevens (N)'!$C$17-'Invoer gegevens (N)'!$C$16)+(-AZ14/(1+'Invoer gegevens (N)'!$C$39)^D14)+BF14+BG14</f>
        <v>0</v>
      </c>
      <c r="BI14" s="59"/>
    </row>
    <row r="15" spans="1:62" x14ac:dyDescent="0.25">
      <c r="A15" s="59"/>
      <c r="B15" s="70">
        <f t="shared" si="6"/>
        <v>11</v>
      </c>
      <c r="C15" s="67">
        <f ca="1">IF(AND(E15&gt;='Invoer gegevens (N)'!$C$17,E15&lt;'Invoer gegevens (N)'!$C$17+15),1,0)</f>
        <v>1</v>
      </c>
      <c r="D15" s="68">
        <f t="shared" si="7"/>
        <v>10.5</v>
      </c>
      <c r="E15" s="69">
        <f ca="1">IF('Invoer gegevens (N)'!$C$16="","",E14+1)</f>
        <v>2029</v>
      </c>
      <c r="F15" s="82">
        <f ca="1">IF('Invoer gegevens (N)'!$C$17=E15,'Invoer gegevens (N)'!$C$10,IF(C15=1,H14,0))</f>
        <v>0</v>
      </c>
      <c r="G15" s="83">
        <f ca="1">IF(E15='Invoer gegevens (N)'!$C$17+15,H14,IF(C15&gt;=1,F15*'Reeksen (N)'!C15,0))</f>
        <v>0</v>
      </c>
      <c r="H15" s="84">
        <f ca="1">IF(E15&gt;='Invoer gegevens (N)'!$C$17+15,0,F15-G15)</f>
        <v>0</v>
      </c>
      <c r="I15" s="85">
        <v>0</v>
      </c>
      <c r="J15" s="86">
        <f ca="1">IF(E15='Invoer gegevens (N)'!$C$17+15,L14,IF(C15&lt;1,0,IF('Reeksen (N)'!AD15&lt;='Reeksen (N)'!AE15,I15*'Reeksen (N)'!C15,0)))</f>
        <v>0</v>
      </c>
      <c r="K15" s="86">
        <f ca="1">IF(E15='Invoer gegevens (N)'!$C$17+15,L14,IF(C15&lt;1,0,IF('Reeksen (N)'!AD15&gt;'Reeksen (N)'!AE15,I15*'Reeksen (N)'!C15,0)))</f>
        <v>0</v>
      </c>
      <c r="L15" s="86">
        <f ca="1">IF(E15&gt;='Invoer gegevens (N)'!$C$17+15,0,I15-J15-K15)</f>
        <v>0</v>
      </c>
      <c r="M15" s="85">
        <f ca="1">IF('Invoer gegevens (N)'!$C$17=E15,'Invoer gegevens (N)'!$C$10-'Invoer gegevens (N)'!$C$11,IF(C15=1,P14,0))</f>
        <v>0</v>
      </c>
      <c r="N15" s="86">
        <f ca="1">IF(E15='Invoer gegevens (N)'!$C$17+15,P14,IF(C15&lt;1,0,IF('Reeksen (N)'!AD15&lt;='Reeksen (N)'!AE15,M15*'Reeksen (N)'!C15,0)))</f>
        <v>0</v>
      </c>
      <c r="O15" s="86">
        <f ca="1">IF(E15='Invoer gegevens (N)'!$C$17+15,P14,IF(C15&lt;1,0,IF('Reeksen (N)'!AD15&gt;'Reeksen (N)'!AE15,M15*'Reeksen (N)'!C15,0)))</f>
        <v>0</v>
      </c>
      <c r="P15" s="86">
        <f ca="1">IF(E15&gt;='Invoer gegevens (N)'!$C$17+15,0,M15-N15-O15)</f>
        <v>0</v>
      </c>
      <c r="Q15" s="82">
        <f ca="1">IF('Invoer gegevens (N)'!$C$17=E15,I15,IF(C15=0,0,R14))</f>
        <v>0</v>
      </c>
      <c r="R15" s="84">
        <f t="shared" ca="1" si="0"/>
        <v>0</v>
      </c>
      <c r="S15" s="84">
        <f ca="1">IF('Invoer gegevens (N)'!$C$17=E15,M15,IF(C15=0,0,T14))</f>
        <v>0</v>
      </c>
      <c r="T15" s="84">
        <f t="shared" ca="1" si="1"/>
        <v>0</v>
      </c>
      <c r="AH15" s="70"/>
      <c r="AI15" s="71">
        <f ca="1">IF(C15=1,((F15+H15)/2*'Reeksen (N)'!AI15*12)+(('Invoer gegevens (N)'!$C$10-(F15+H15)/2)*'Reeksen (N)'!AD15*12),0)</f>
        <v>0</v>
      </c>
      <c r="AJ15" s="71">
        <f ca="1">-AI15*'Invoer gegevens (N)'!$F$28</f>
        <v>0</v>
      </c>
      <c r="AK15" s="71">
        <f t="shared" ca="1" si="2"/>
        <v>0</v>
      </c>
      <c r="AL15" s="71">
        <f ca="1">IF(C15=1,(12*((F15+H15)/2)*'Reeksen (N)'!AL15)+(12*('Invoer gegevens (N)'!$C$10-(F15+H15)/2)*'Reeksen (N)'!AM15),0)</f>
        <v>0</v>
      </c>
      <c r="AM15" s="71">
        <f ca="1">-AL15*'Invoer gegevens (N)'!$F$31</f>
        <v>0</v>
      </c>
      <c r="AN15" s="71">
        <f t="shared" ca="1" si="3"/>
        <v>0</v>
      </c>
      <c r="AO15" s="71"/>
      <c r="AP15" s="71"/>
      <c r="AQ15" s="71">
        <f ca="1">-IF(C15=1,('Invoer gegevens (N)'!$C$10*'Invoer gegevens (N)'!$F$35)*'Reeksen (N)'!J15,0)</f>
        <v>0</v>
      </c>
      <c r="AR15" s="71">
        <f ca="1">-IF(C15=1,(G15*'Invoer gegevens (N)'!$F$36)*'Reeksen (N)'!J15,0)</f>
        <v>0</v>
      </c>
      <c r="AS15" s="71">
        <f ca="1">-IF(C15=1,'Invoer gegevens (N)'!$C$10*'Invoer gegevens (N)'!$F$37*'Reeksen (N)'!L15,0)</f>
        <v>0</v>
      </c>
      <c r="AT15" s="71">
        <f ca="1">-IF(C15=1,IF(E15='Invoer gegevens (N)'!$C$17,'Invoer gegevens (N)'!$C$11,Q15)*'Reeksen (N)'!S15*'Invoer gegevens (N)'!$C$18*'Reeksen (N)'!P15,0)</f>
        <v>0</v>
      </c>
      <c r="AU15" s="71">
        <f ca="1">-IF(C15=1,'Invoer gegevens (N)'!$C$10*'Invoer gegevens (N)'!$F$38*'Reeksen (N)'!H15,0)</f>
        <v>0</v>
      </c>
      <c r="AV15" s="71">
        <v>0</v>
      </c>
      <c r="AW15" s="71">
        <f t="shared" ca="1" si="4"/>
        <v>0</v>
      </c>
      <c r="AX15" s="72">
        <f ca="1">IF(E15='Invoer gegevens (N)'!$C$17+14,IF('Invoer gegevens (N)'!$C$20="Ja",MAX('RW - MW - DE - DE (N)'!$AY$236,'RW - MW - DE - UP (N)'!$AY$236,'RW - MW - DE - DE (N)'!$AY$236)),0)</f>
        <v>0</v>
      </c>
      <c r="AY15" s="72">
        <f ca="1">IFERROR(IF(E15='Invoer gegevens (N)'!$C$17,-'Invoer gegevens (N)'!$C$10*'Invoer gegevens (N)'!$C$31*'Reeksen (N)'!H15,0),0)</f>
        <v>0</v>
      </c>
      <c r="AZ15" s="73">
        <f ca="1">IF('Invoer gegevens (N)'!$C$34=E15,'Invoer gegevens (N)'!$C$27*'Invoer gegevens (N)'!$C$10*'Invoer gegevens (N)'!$C$36*(IF('Invoer gegevens (N)'!$C$35="ja",1,'Reeksen (N)'!J15)),IF('Invoer gegevens (N)'!$C$34+1=E15,'Invoer gegevens (N)'!$C$27*'Invoer gegevens (N)'!$C$10*'Invoer gegevens (N)'!$C$37*(IF('Invoer gegevens (N)'!$C$35="ja",1,'Reeksen (N)'!J15)),0))+IF(AND(E15='Invoer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5" s="73">
        <f ca="1">AW15/(1+'Invoer gegevens (N)'!$F$13)^($D15-('Invoer gegevens (N)'!$C$17-'Invoer gegevens (N)'!$C$16))/(1+'Invoer gegevens (N)'!$C$39)^('Invoer gegevens (N)'!$C$17-'Invoer gegevens (N)'!$C$16)</f>
        <v>0</v>
      </c>
      <c r="BB15" s="73">
        <f ca="1">AX15/(1+'Invoer gegevens (N)'!$F$13)^(E15-('Invoer gegevens (N)'!$C$17-1))/(1+'Invoer gegevens (N)'!$C$39)^('Invoer gegevens (N)'!$C$17-'Invoer gegevens (N)'!$C$16)</f>
        <v>0</v>
      </c>
      <c r="BC15" s="73">
        <f ca="1">AY15/(1+'Invoer gegevens (N)'!$C$39)^('Invoer gegevens (N)'!$C$17-'Invoer gegevens (N)'!$C$16)</f>
        <v>0</v>
      </c>
      <c r="BD15" s="72">
        <f t="shared" ca="1" si="5"/>
        <v>0</v>
      </c>
      <c r="BE15" s="72">
        <f ca="1">IF(AND(E15='Invoer gegevens (N)'!$C$16,'Invoer gegevens (N)'!$C$34&lt;'Invoer gegevens (N)'!$C$16),AZ15,AZ15/(1+'Invoer gegevens (N)'!$C$39)^D15)</f>
        <v>0</v>
      </c>
      <c r="BF15" s="72">
        <f ca="1">IF(E15='Invoer gegevens (N)'!$C$34,-'Invoer gegevens (N)'!$F$40,0)</f>
        <v>0</v>
      </c>
      <c r="BG15" s="72">
        <f ca="1">IF(E15='Invoer gegevens (N)'!$C$17,-'Invoer gegevens (N)'!$C$19*$BD$31,0)</f>
        <v>0</v>
      </c>
      <c r="BH15" s="72">
        <f ca="1">AW15/(1+$BH$4)^($D15-('Invoer gegevens (N)'!$C$17-'Invoer gegevens (N)'!$C$16))/(1+'Invoer gegevens (N)'!$C$39)^('Invoer gegevens (N)'!$C$17-'Invoer gegevens (N)'!$C$16)+AX15/(1+$BH$4)^(E15-('Invoer gegevens (N)'!$C$17-1))/(1+'Invoer gegevens (N)'!$C$39)^('Invoer gegevens (N)'!$C$17-'Invoer gegevens (N)'!$C$16)+AY15/(1+'Invoer gegevens (N)'!$C$39)^('Invoer gegevens (N)'!$C$17-'Invoer gegevens (N)'!$C$16)+(-AZ15/(1+'Invoer gegevens (N)'!$C$39)^D15)+BF15+BG15</f>
        <v>0</v>
      </c>
      <c r="BI15" s="59"/>
    </row>
    <row r="16" spans="1:62" x14ac:dyDescent="0.25">
      <c r="A16" s="59"/>
      <c r="B16" s="70">
        <f t="shared" si="6"/>
        <v>12</v>
      </c>
      <c r="C16" s="67">
        <f ca="1">IF(AND(E16&gt;='Invoer gegevens (N)'!$C$17,E16&lt;'Invoer gegevens (N)'!$C$17+15),1,0)</f>
        <v>1</v>
      </c>
      <c r="D16" s="68">
        <f t="shared" si="7"/>
        <v>11.5</v>
      </c>
      <c r="E16" s="69">
        <f ca="1">IF('Invoer gegevens (N)'!$C$16="","",E15+1)</f>
        <v>2030</v>
      </c>
      <c r="F16" s="82">
        <f ca="1">IF('Invoer gegevens (N)'!$C$17=E16,'Invoer gegevens (N)'!$C$10,IF(C16=1,H15,0))</f>
        <v>0</v>
      </c>
      <c r="G16" s="83">
        <f ca="1">IF(E16='Invoer gegevens (N)'!$C$17+15,H15,IF(C16&gt;=1,F16*'Reeksen (N)'!C16,0))</f>
        <v>0</v>
      </c>
      <c r="H16" s="84">
        <f ca="1">IF(E16&gt;='Invoer gegevens (N)'!$C$17+15,0,F16-G16)</f>
        <v>0</v>
      </c>
      <c r="I16" s="85">
        <v>0</v>
      </c>
      <c r="J16" s="86">
        <f ca="1">IF(E16='Invoer gegevens (N)'!$C$17+15,L15,IF(C16&lt;1,0,IF('Reeksen (N)'!AD16&lt;='Reeksen (N)'!AE16,I16*'Reeksen (N)'!C16,0)))</f>
        <v>0</v>
      </c>
      <c r="K16" s="86">
        <f ca="1">IF(E16='Invoer gegevens (N)'!$C$17+15,L15,IF(C16&lt;1,0,IF('Reeksen (N)'!AD16&gt;'Reeksen (N)'!AE16,I16*'Reeksen (N)'!C16,0)))</f>
        <v>0</v>
      </c>
      <c r="L16" s="86">
        <f ca="1">IF(E16&gt;='Invoer gegevens (N)'!$C$17+15,0,I16-J16-K16)</f>
        <v>0</v>
      </c>
      <c r="M16" s="85">
        <f ca="1">IF('Invoer gegevens (N)'!$C$17=E16,'Invoer gegevens (N)'!$C$10-'Invoer gegevens (N)'!$C$11,IF(C16=1,P15,0))</f>
        <v>0</v>
      </c>
      <c r="N16" s="86">
        <f ca="1">IF(E16='Invoer gegevens (N)'!$C$17+15,P15,IF(C16&lt;1,0,IF('Reeksen (N)'!AD16&lt;='Reeksen (N)'!AE16,M16*'Reeksen (N)'!C16,0)))</f>
        <v>0</v>
      </c>
      <c r="O16" s="86">
        <f ca="1">IF(E16='Invoer gegevens (N)'!$C$17+15,P15,IF(C16&lt;1,0,IF('Reeksen (N)'!AD16&gt;'Reeksen (N)'!AE16,M16*'Reeksen (N)'!C16,0)))</f>
        <v>0</v>
      </c>
      <c r="P16" s="86">
        <f ca="1">IF(E16&gt;='Invoer gegevens (N)'!$C$17+15,0,M16-N16-O16)</f>
        <v>0</v>
      </c>
      <c r="Q16" s="82">
        <f ca="1">IF('Invoer gegevens (N)'!$C$17=E16,I16,IF(C16=0,0,R15))</f>
        <v>0</v>
      </c>
      <c r="R16" s="84">
        <f t="shared" ca="1" si="0"/>
        <v>0</v>
      </c>
      <c r="S16" s="84">
        <f ca="1">IF('Invoer gegevens (N)'!$C$17=E16,M16,IF(C16=0,0,T15))</f>
        <v>0</v>
      </c>
      <c r="T16" s="84">
        <f t="shared" ca="1" si="1"/>
        <v>0</v>
      </c>
      <c r="AH16" s="70"/>
      <c r="AI16" s="71">
        <f ca="1">IF(C16=1,((F16+H16)/2*'Reeksen (N)'!AI16*12)+(('Invoer gegevens (N)'!$C$10-(F16+H16)/2)*'Reeksen (N)'!AD16*12),0)</f>
        <v>0</v>
      </c>
      <c r="AJ16" s="71">
        <f ca="1">-AI16*'Invoer gegevens (N)'!$F$28</f>
        <v>0</v>
      </c>
      <c r="AK16" s="71">
        <f t="shared" ca="1" si="2"/>
        <v>0</v>
      </c>
      <c r="AL16" s="71">
        <f ca="1">IF(C16=1,(12*((F16+H16)/2)*'Reeksen (N)'!AL16)+(12*('Invoer gegevens (N)'!$C$10-(F16+H16)/2)*'Reeksen (N)'!AM16),0)</f>
        <v>0</v>
      </c>
      <c r="AM16" s="71">
        <f ca="1">-AL16*'Invoer gegevens (N)'!$F$31</f>
        <v>0</v>
      </c>
      <c r="AN16" s="71">
        <f t="shared" ca="1" si="3"/>
        <v>0</v>
      </c>
      <c r="AO16" s="71"/>
      <c r="AP16" s="71"/>
      <c r="AQ16" s="71">
        <f ca="1">-IF(C16=1,('Invoer gegevens (N)'!$C$10*'Invoer gegevens (N)'!$F$35)*'Reeksen (N)'!J16,0)</f>
        <v>0</v>
      </c>
      <c r="AR16" s="71">
        <f ca="1">-IF(C16=1,(G16*'Invoer gegevens (N)'!$F$36)*'Reeksen (N)'!J16,0)</f>
        <v>0</v>
      </c>
      <c r="AS16" s="71">
        <f ca="1">-IF(C16=1,'Invoer gegevens (N)'!$C$10*'Invoer gegevens (N)'!$F$37*'Reeksen (N)'!L16,0)</f>
        <v>0</v>
      </c>
      <c r="AT16" s="71">
        <f ca="1">-IF(C16=1,IF(E16='Invoer gegevens (N)'!$C$17,'Invoer gegevens (N)'!$C$11,Q16)*'Reeksen (N)'!S16*'Invoer gegevens (N)'!$C$18*'Reeksen (N)'!P16,0)</f>
        <v>0</v>
      </c>
      <c r="AU16" s="71">
        <f ca="1">-IF(C16=1,'Invoer gegevens (N)'!$C$10*'Invoer gegevens (N)'!$F$38*'Reeksen (N)'!H16,0)</f>
        <v>0</v>
      </c>
      <c r="AV16" s="71">
        <v>0</v>
      </c>
      <c r="AW16" s="71">
        <f t="shared" ca="1" si="4"/>
        <v>0</v>
      </c>
      <c r="AX16" s="72">
        <f ca="1">IF(E16='Invoer gegevens (N)'!$C$17+14,IF('Invoer gegevens (N)'!$C$20="Ja",MAX('RW - MW - DE - DE (N)'!$AY$236,'RW - MW - DE - UP (N)'!$AY$236,'RW - MW - DE - DE (N)'!$AY$236)),0)</f>
        <v>0</v>
      </c>
      <c r="AY16" s="72">
        <f ca="1">IFERROR(IF(E16='Invoer gegevens (N)'!$C$17,-'Invoer gegevens (N)'!$C$10*'Invoer gegevens (N)'!$C$31*'Reeksen (N)'!H16,0),0)</f>
        <v>0</v>
      </c>
      <c r="AZ16" s="73">
        <f ca="1">IF('Invoer gegevens (N)'!$C$34=E16,'Invoer gegevens (N)'!$C$27*'Invoer gegevens (N)'!$C$10*'Invoer gegevens (N)'!$C$36*(IF('Invoer gegevens (N)'!$C$35="ja",1,'Reeksen (N)'!J16)),IF('Invoer gegevens (N)'!$C$34+1=E16,'Invoer gegevens (N)'!$C$27*'Invoer gegevens (N)'!$C$10*'Invoer gegevens (N)'!$C$37*(IF('Invoer gegevens (N)'!$C$35="ja",1,'Reeksen (N)'!J16)),0))+IF(AND(E16='Invoer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6" s="73">
        <f ca="1">AW16/(1+'Invoer gegevens (N)'!$F$13)^($D16-('Invoer gegevens (N)'!$C$17-'Invoer gegevens (N)'!$C$16))/(1+'Invoer gegevens (N)'!$C$39)^('Invoer gegevens (N)'!$C$17-'Invoer gegevens (N)'!$C$16)</f>
        <v>0</v>
      </c>
      <c r="BB16" s="73">
        <f ca="1">AX16/(1+'Invoer gegevens (N)'!$F$13)^(E16-('Invoer gegevens (N)'!$C$17-1))/(1+'Invoer gegevens (N)'!$C$39)^('Invoer gegevens (N)'!$C$17-'Invoer gegevens (N)'!$C$16)</f>
        <v>0</v>
      </c>
      <c r="BC16" s="73">
        <f ca="1">AY16/(1+'Invoer gegevens (N)'!$C$39)^('Invoer gegevens (N)'!$C$17-'Invoer gegevens (N)'!$C$16)</f>
        <v>0</v>
      </c>
      <c r="BD16" s="72">
        <f t="shared" ca="1" si="5"/>
        <v>0</v>
      </c>
      <c r="BE16" s="72">
        <f ca="1">IF(AND(E16='Invoer gegevens (N)'!$C$16,'Invoer gegevens (N)'!$C$34&lt;'Invoer gegevens (N)'!$C$16),AZ16,AZ16/(1+'Invoer gegevens (N)'!$C$39)^D16)</f>
        <v>0</v>
      </c>
      <c r="BF16" s="72">
        <f ca="1">IF(E16='Invoer gegevens (N)'!$C$34,-'Invoer gegevens (N)'!$F$40,0)</f>
        <v>0</v>
      </c>
      <c r="BG16" s="72">
        <f ca="1">IF(E16='Invoer gegevens (N)'!$C$17,-'Invoer gegevens (N)'!$C$19*$BD$31,0)</f>
        <v>0</v>
      </c>
      <c r="BH16" s="72">
        <f ca="1">AW16/(1+$BH$4)^($D16-('Invoer gegevens (N)'!$C$17-'Invoer gegevens (N)'!$C$16))/(1+'Invoer gegevens (N)'!$C$39)^('Invoer gegevens (N)'!$C$17-'Invoer gegevens (N)'!$C$16)+AX16/(1+$BH$4)^(E16-('Invoer gegevens (N)'!$C$17-1))/(1+'Invoer gegevens (N)'!$C$39)^('Invoer gegevens (N)'!$C$17-'Invoer gegevens (N)'!$C$16)+AY16/(1+'Invoer gegevens (N)'!$C$39)^('Invoer gegevens (N)'!$C$17-'Invoer gegevens (N)'!$C$16)+(-AZ16/(1+'Invoer gegevens (N)'!$C$39)^D16)+BF16+BG16</f>
        <v>0</v>
      </c>
      <c r="BI16" s="59"/>
    </row>
    <row r="17" spans="1:67" x14ac:dyDescent="0.25">
      <c r="A17" s="59"/>
      <c r="B17" s="70">
        <f t="shared" si="6"/>
        <v>13</v>
      </c>
      <c r="C17" s="67">
        <f ca="1">IF(AND(E17&gt;='Invoer gegevens (N)'!$C$17,E17&lt;'Invoer gegevens (N)'!$C$17+15),1,0)</f>
        <v>1</v>
      </c>
      <c r="D17" s="68">
        <f t="shared" si="7"/>
        <v>12.5</v>
      </c>
      <c r="E17" s="69">
        <f ca="1">IF('Invoer gegevens (N)'!$C$16="","",E16+1)</f>
        <v>2031</v>
      </c>
      <c r="F17" s="82">
        <f ca="1">IF('Invoer gegevens (N)'!$C$17=E17,'Invoer gegevens (N)'!$C$10,IF(C17=1,H16,0))</f>
        <v>0</v>
      </c>
      <c r="G17" s="83">
        <f ca="1">IF(E17='Invoer gegevens (N)'!$C$17+15,H16,IF(C17&gt;=1,F17*'Reeksen (N)'!C17,0))</f>
        <v>0</v>
      </c>
      <c r="H17" s="84">
        <f ca="1">IF(E17&gt;='Invoer gegevens (N)'!$C$17+15,0,F17-G17)</f>
        <v>0</v>
      </c>
      <c r="I17" s="85">
        <v>0</v>
      </c>
      <c r="J17" s="86">
        <f ca="1">IF(E17='Invoer gegevens (N)'!$C$17+15,L16,IF(C17&lt;1,0,IF('Reeksen (N)'!AD17&lt;='Reeksen (N)'!AE17,I17*'Reeksen (N)'!C17,0)))</f>
        <v>0</v>
      </c>
      <c r="K17" s="86">
        <f ca="1">IF(E17='Invoer gegevens (N)'!$C$17+15,L16,IF(C17&lt;1,0,IF('Reeksen (N)'!AD17&gt;'Reeksen (N)'!AE17,I17*'Reeksen (N)'!C17,0)))</f>
        <v>0</v>
      </c>
      <c r="L17" s="86">
        <f ca="1">IF(E17&gt;='Invoer gegevens (N)'!$C$17+15,0,I17-J17-K17)</f>
        <v>0</v>
      </c>
      <c r="M17" s="85">
        <f ca="1">IF('Invoer gegevens (N)'!$C$17=E17,'Invoer gegevens (N)'!$C$10-'Invoer gegevens (N)'!$C$11,IF(C17=1,P16,0))</f>
        <v>0</v>
      </c>
      <c r="N17" s="86">
        <f ca="1">IF(E17='Invoer gegevens (N)'!$C$17+15,P16,IF(C17&lt;1,0,IF('Reeksen (N)'!AD17&lt;='Reeksen (N)'!AE17,M17*'Reeksen (N)'!C17,0)))</f>
        <v>0</v>
      </c>
      <c r="O17" s="86">
        <f ca="1">IF(E17='Invoer gegevens (N)'!$C$17+15,P16,IF(C17&lt;1,0,IF('Reeksen (N)'!AD17&gt;'Reeksen (N)'!AE17,M17*'Reeksen (N)'!C17,0)))</f>
        <v>0</v>
      </c>
      <c r="P17" s="86">
        <f ca="1">IF(E17&gt;='Invoer gegevens (N)'!$C$17+15,0,M17-N17-O17)</f>
        <v>0</v>
      </c>
      <c r="Q17" s="82">
        <f ca="1">IF('Invoer gegevens (N)'!$C$17=E17,I17,IF(C17=0,0,R16))</f>
        <v>0</v>
      </c>
      <c r="R17" s="84">
        <f t="shared" ca="1" si="0"/>
        <v>0</v>
      </c>
      <c r="S17" s="84">
        <f ca="1">IF('Invoer gegevens (N)'!$C$17=E17,M17,IF(C17=0,0,T16))</f>
        <v>0</v>
      </c>
      <c r="T17" s="84">
        <f t="shared" ca="1" si="1"/>
        <v>0</v>
      </c>
      <c r="AH17" s="70"/>
      <c r="AI17" s="71">
        <f ca="1">IF(C17=1,((F17+H17)/2*'Reeksen (N)'!AI17*12)+(('Invoer gegevens (N)'!$C$10-(F17+H17)/2)*'Reeksen (N)'!AD17*12),0)</f>
        <v>0</v>
      </c>
      <c r="AJ17" s="71">
        <f ca="1">-AI17*'Invoer gegevens (N)'!$F$28</f>
        <v>0</v>
      </c>
      <c r="AK17" s="71">
        <f t="shared" ca="1" si="2"/>
        <v>0</v>
      </c>
      <c r="AL17" s="71">
        <f ca="1">IF(C17=1,(12*((F17+H17)/2)*'Reeksen (N)'!AL17)+(12*('Invoer gegevens (N)'!$C$10-(F17+H17)/2)*'Reeksen (N)'!AM17),0)</f>
        <v>0</v>
      </c>
      <c r="AM17" s="71">
        <f ca="1">-AL17*'Invoer gegevens (N)'!$F$31</f>
        <v>0</v>
      </c>
      <c r="AN17" s="71">
        <f t="shared" ca="1" si="3"/>
        <v>0</v>
      </c>
      <c r="AO17" s="71"/>
      <c r="AP17" s="71"/>
      <c r="AQ17" s="71">
        <f ca="1">-IF(C17=1,('Invoer gegevens (N)'!$C$10*'Invoer gegevens (N)'!$F$35)*'Reeksen (N)'!J17,0)</f>
        <v>0</v>
      </c>
      <c r="AR17" s="71">
        <f ca="1">-IF(C17=1,(G17*'Invoer gegevens (N)'!$F$36)*'Reeksen (N)'!J17,0)</f>
        <v>0</v>
      </c>
      <c r="AS17" s="71">
        <f ca="1">-IF(C17=1,'Invoer gegevens (N)'!$C$10*'Invoer gegevens (N)'!$F$37*'Reeksen (N)'!L17,0)</f>
        <v>0</v>
      </c>
      <c r="AT17" s="71">
        <f ca="1">-IF(C17=1,IF(E17='Invoer gegevens (N)'!$C$17,'Invoer gegevens (N)'!$C$11,Q17)*'Reeksen (N)'!S17*'Invoer gegevens (N)'!$C$18*'Reeksen (N)'!P17,0)</f>
        <v>0</v>
      </c>
      <c r="AU17" s="71">
        <f ca="1">-IF(C17=1,'Invoer gegevens (N)'!$C$10*'Invoer gegevens (N)'!$F$38*'Reeksen (N)'!H17,0)</f>
        <v>0</v>
      </c>
      <c r="AV17" s="71">
        <v>0</v>
      </c>
      <c r="AW17" s="71">
        <f t="shared" ca="1" si="4"/>
        <v>0</v>
      </c>
      <c r="AX17" s="72">
        <f ca="1">IF(E17='Invoer gegevens (N)'!$C$17+14,IF('Invoer gegevens (N)'!$C$20="Ja",MAX('RW - MW - DE - DE (N)'!$AY$236,'RW - MW - DE - UP (N)'!$AY$236,'RW - MW - DE - DE (N)'!$AY$236)),0)</f>
        <v>0</v>
      </c>
      <c r="AY17" s="72">
        <f ca="1">IFERROR(IF(E17='Invoer gegevens (N)'!$C$17,-'Invoer gegevens (N)'!$C$10*'Invoer gegevens (N)'!$C$31*'Reeksen (N)'!H17,0),0)</f>
        <v>0</v>
      </c>
      <c r="AZ17" s="73">
        <f ca="1">IF('Invoer gegevens (N)'!$C$34=E17,'Invoer gegevens (N)'!$C$27*'Invoer gegevens (N)'!$C$10*'Invoer gegevens (N)'!$C$36*(IF('Invoer gegevens (N)'!$C$35="ja",1,'Reeksen (N)'!J17)),IF('Invoer gegevens (N)'!$C$34+1=E17,'Invoer gegevens (N)'!$C$27*'Invoer gegevens (N)'!$C$10*'Invoer gegevens (N)'!$C$37*(IF('Invoer gegevens (N)'!$C$35="ja",1,'Reeksen (N)'!J17)),0))+IF(AND(E17='Invoer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7" s="73">
        <f ca="1">AW17/(1+'Invoer gegevens (N)'!$F$13)^($D17-('Invoer gegevens (N)'!$C$17-'Invoer gegevens (N)'!$C$16))/(1+'Invoer gegevens (N)'!$C$39)^('Invoer gegevens (N)'!$C$17-'Invoer gegevens (N)'!$C$16)</f>
        <v>0</v>
      </c>
      <c r="BB17" s="73">
        <f ca="1">AX17/(1+'Invoer gegevens (N)'!$F$13)^(E17-('Invoer gegevens (N)'!$C$17-1))/(1+'Invoer gegevens (N)'!$C$39)^('Invoer gegevens (N)'!$C$17-'Invoer gegevens (N)'!$C$16)</f>
        <v>0</v>
      </c>
      <c r="BC17" s="73">
        <f ca="1">AY17/(1+'Invoer gegevens (N)'!$C$39)^('Invoer gegevens (N)'!$C$17-'Invoer gegevens (N)'!$C$16)</f>
        <v>0</v>
      </c>
      <c r="BD17" s="72">
        <f t="shared" ca="1" si="5"/>
        <v>0</v>
      </c>
      <c r="BE17" s="72">
        <f ca="1">IF(AND(E17='Invoer gegevens (N)'!$C$16,'Invoer gegevens (N)'!$C$34&lt;'Invoer gegevens (N)'!$C$16),AZ17,AZ17/(1+'Invoer gegevens (N)'!$C$39)^D17)</f>
        <v>0</v>
      </c>
      <c r="BF17" s="72">
        <f ca="1">IF(E17='Invoer gegevens (N)'!$C$34,-'Invoer gegevens (N)'!$F$40,0)</f>
        <v>0</v>
      </c>
      <c r="BG17" s="72">
        <f ca="1">IF(E17='Invoer gegevens (N)'!$C$17,-'Invoer gegevens (N)'!$C$19*$BD$31,0)</f>
        <v>0</v>
      </c>
      <c r="BH17" s="72">
        <f ca="1">AW17/(1+$BH$4)^($D17-('Invoer gegevens (N)'!$C$17-'Invoer gegevens (N)'!$C$16))/(1+'Invoer gegevens (N)'!$C$39)^('Invoer gegevens (N)'!$C$17-'Invoer gegevens (N)'!$C$16)+AX17/(1+$BH$4)^(E17-('Invoer gegevens (N)'!$C$17-1))/(1+'Invoer gegevens (N)'!$C$39)^('Invoer gegevens (N)'!$C$17-'Invoer gegevens (N)'!$C$16)+AY17/(1+'Invoer gegevens (N)'!$C$39)^('Invoer gegevens (N)'!$C$17-'Invoer gegevens (N)'!$C$16)+(-AZ17/(1+'Invoer gegevens (N)'!$C$39)^D17)+BF17+BG17</f>
        <v>0</v>
      </c>
      <c r="BI17" s="59"/>
    </row>
    <row r="18" spans="1:67" x14ac:dyDescent="0.25">
      <c r="A18" s="59"/>
      <c r="B18" s="70">
        <f t="shared" si="6"/>
        <v>14</v>
      </c>
      <c r="C18" s="67">
        <f ca="1">IF(AND(E18&gt;='Invoer gegevens (N)'!$C$17,E18&lt;'Invoer gegevens (N)'!$C$17+15),1,0)</f>
        <v>1</v>
      </c>
      <c r="D18" s="68">
        <f t="shared" si="7"/>
        <v>13.5</v>
      </c>
      <c r="E18" s="69">
        <f ca="1">IF('Invoer gegevens (N)'!$C$16="","",E17+1)</f>
        <v>2032</v>
      </c>
      <c r="F18" s="82">
        <f ca="1">IF('Invoer gegevens (N)'!$C$17=E18,'Invoer gegevens (N)'!$C$10,IF(C18=1,H17,0))</f>
        <v>0</v>
      </c>
      <c r="G18" s="83">
        <f ca="1">IF(E18='Invoer gegevens (N)'!$C$17+15,H17,IF(C18&gt;=1,F18*'Reeksen (N)'!C18,0))</f>
        <v>0</v>
      </c>
      <c r="H18" s="84">
        <f ca="1">IF(E18&gt;='Invoer gegevens (N)'!$C$17+15,0,F18-G18)</f>
        <v>0</v>
      </c>
      <c r="I18" s="85">
        <v>0</v>
      </c>
      <c r="J18" s="86">
        <f ca="1">IF(E18='Invoer gegevens (N)'!$C$17+15,L17,IF(C18&lt;1,0,IF('Reeksen (N)'!AD18&lt;='Reeksen (N)'!AE18,I18*'Reeksen (N)'!C18,0)))</f>
        <v>0</v>
      </c>
      <c r="K18" s="86">
        <f ca="1">IF(E18='Invoer gegevens (N)'!$C$17+15,L17,IF(C18&lt;1,0,IF('Reeksen (N)'!AD18&gt;'Reeksen (N)'!AE18,I18*'Reeksen (N)'!C18,0)))</f>
        <v>0</v>
      </c>
      <c r="L18" s="86">
        <f ca="1">IF(E18&gt;='Invoer gegevens (N)'!$C$17+15,0,I18-J18-K18)</f>
        <v>0</v>
      </c>
      <c r="M18" s="85">
        <f ca="1">IF('Invoer gegevens (N)'!$C$17=E18,'Invoer gegevens (N)'!$C$10-'Invoer gegevens (N)'!$C$11,IF(C18=1,P17,0))</f>
        <v>0</v>
      </c>
      <c r="N18" s="86">
        <f ca="1">IF(E18='Invoer gegevens (N)'!$C$17+15,P17,IF(C18&lt;1,0,IF('Reeksen (N)'!AD18&lt;='Reeksen (N)'!AE18,M18*'Reeksen (N)'!C18,0)))</f>
        <v>0</v>
      </c>
      <c r="O18" s="86">
        <f ca="1">IF(E18='Invoer gegevens (N)'!$C$17+15,P17,IF(C18&lt;1,0,IF('Reeksen (N)'!AD18&gt;'Reeksen (N)'!AE18,M18*'Reeksen (N)'!C18,0)))</f>
        <v>0</v>
      </c>
      <c r="P18" s="86">
        <f ca="1">IF(E18&gt;='Invoer gegevens (N)'!$C$17+15,0,M18-N18-O18)</f>
        <v>0</v>
      </c>
      <c r="Q18" s="82">
        <f ca="1">IF('Invoer gegevens (N)'!$C$17=E18,I18,IF(C18=0,0,R17))</f>
        <v>0</v>
      </c>
      <c r="R18" s="84">
        <f t="shared" ca="1" si="0"/>
        <v>0</v>
      </c>
      <c r="S18" s="84">
        <f ca="1">IF('Invoer gegevens (N)'!$C$17=E18,M18,IF(C18=0,0,T17))</f>
        <v>0</v>
      </c>
      <c r="T18" s="84">
        <f t="shared" ca="1" si="1"/>
        <v>0</v>
      </c>
      <c r="AH18" s="70"/>
      <c r="AI18" s="71">
        <f ca="1">IF(C18=1,((F18+H18)/2*'Reeksen (N)'!AI18*12)+(('Invoer gegevens (N)'!$C$10-(F18+H18)/2)*'Reeksen (N)'!AD18*12),0)</f>
        <v>0</v>
      </c>
      <c r="AJ18" s="71">
        <f ca="1">-AI18*'Invoer gegevens (N)'!$F$28</f>
        <v>0</v>
      </c>
      <c r="AK18" s="71">
        <f t="shared" ca="1" si="2"/>
        <v>0</v>
      </c>
      <c r="AL18" s="71">
        <f ca="1">IF(C18=1,(12*((F18+H18)/2)*'Reeksen (N)'!AL18)+(12*('Invoer gegevens (N)'!$C$10-(F18+H18)/2)*'Reeksen (N)'!AM18),0)</f>
        <v>0</v>
      </c>
      <c r="AM18" s="71">
        <f ca="1">-AL18*'Invoer gegevens (N)'!$F$31</f>
        <v>0</v>
      </c>
      <c r="AN18" s="71">
        <f t="shared" ca="1" si="3"/>
        <v>0</v>
      </c>
      <c r="AO18" s="71"/>
      <c r="AP18" s="71"/>
      <c r="AQ18" s="71">
        <f ca="1">-IF(C18=1,('Invoer gegevens (N)'!$C$10*'Invoer gegevens (N)'!$F$35)*'Reeksen (N)'!J18,0)</f>
        <v>0</v>
      </c>
      <c r="AR18" s="71">
        <f ca="1">-IF(C18=1,(G18*'Invoer gegevens (N)'!$F$36)*'Reeksen (N)'!J18,0)</f>
        <v>0</v>
      </c>
      <c r="AS18" s="71">
        <f ca="1">-IF(C18=1,'Invoer gegevens (N)'!$C$10*'Invoer gegevens (N)'!$F$37*'Reeksen (N)'!L18,0)</f>
        <v>0</v>
      </c>
      <c r="AT18" s="71">
        <f ca="1">-IF(C18=1,IF(E18='Invoer gegevens (N)'!$C$17,'Invoer gegevens (N)'!$C$11,Q18)*'Reeksen (N)'!S18*'Invoer gegevens (N)'!$C$18*'Reeksen (N)'!P18,0)</f>
        <v>0</v>
      </c>
      <c r="AU18" s="71">
        <f ca="1">-IF(C18=1,'Invoer gegevens (N)'!$C$10*'Invoer gegevens (N)'!$F$38*'Reeksen (N)'!H18,0)</f>
        <v>0</v>
      </c>
      <c r="AV18" s="71">
        <v>0</v>
      </c>
      <c r="AW18" s="71">
        <f t="shared" ca="1" si="4"/>
        <v>0</v>
      </c>
      <c r="AX18" s="72">
        <f ca="1">IF(E18='Invoer gegevens (N)'!$C$17+14,IF('Invoer gegevens (N)'!$C$20="Ja",MAX('RW - MW - DE - DE (N)'!$AY$236,'RW - MW - DE - UP (N)'!$AY$236,'RW - MW - DE - DE (N)'!$AY$236)),0)</f>
        <v>0</v>
      </c>
      <c r="AY18" s="72">
        <f ca="1">IFERROR(IF(E18='Invoer gegevens (N)'!$C$17,-'Invoer gegevens (N)'!$C$10*'Invoer gegevens (N)'!$C$31*'Reeksen (N)'!H18,0),0)</f>
        <v>0</v>
      </c>
      <c r="AZ18" s="73">
        <f ca="1">IF('Invoer gegevens (N)'!$C$34=E18,'Invoer gegevens (N)'!$C$27*'Invoer gegevens (N)'!$C$10*'Invoer gegevens (N)'!$C$36*(IF('Invoer gegevens (N)'!$C$35="ja",1,'Reeksen (N)'!J18)),IF('Invoer gegevens (N)'!$C$34+1=E18,'Invoer gegevens (N)'!$C$27*'Invoer gegevens (N)'!$C$10*'Invoer gegevens (N)'!$C$37*(IF('Invoer gegevens (N)'!$C$35="ja",1,'Reeksen (N)'!J18)),0))+IF(AND(E18='Invoer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8" s="73">
        <f ca="1">AW18/(1+'Invoer gegevens (N)'!$F$13)^($D18-('Invoer gegevens (N)'!$C$17-'Invoer gegevens (N)'!$C$16))/(1+'Invoer gegevens (N)'!$C$39)^('Invoer gegevens (N)'!$C$17-'Invoer gegevens (N)'!$C$16)</f>
        <v>0</v>
      </c>
      <c r="BB18" s="73">
        <f ca="1">AX18/(1+'Invoer gegevens (N)'!$F$13)^(E18-('Invoer gegevens (N)'!$C$17-1))/(1+'Invoer gegevens (N)'!$C$39)^('Invoer gegevens (N)'!$C$17-'Invoer gegevens (N)'!$C$16)</f>
        <v>0</v>
      </c>
      <c r="BC18" s="73">
        <f ca="1">AY18/(1+'Invoer gegevens (N)'!$C$39)^('Invoer gegevens (N)'!$C$17-'Invoer gegevens (N)'!$C$16)</f>
        <v>0</v>
      </c>
      <c r="BD18" s="72">
        <f t="shared" ca="1" si="5"/>
        <v>0</v>
      </c>
      <c r="BE18" s="72">
        <f ca="1">IF(AND(E18='Invoer gegevens (N)'!$C$16,'Invoer gegevens (N)'!$C$34&lt;'Invoer gegevens (N)'!$C$16),AZ18,AZ18/(1+'Invoer gegevens (N)'!$C$39)^D18)</f>
        <v>0</v>
      </c>
      <c r="BF18" s="72">
        <f ca="1">IF(E18='Invoer gegevens (N)'!$C$34,-'Invoer gegevens (N)'!$F$40,0)</f>
        <v>0</v>
      </c>
      <c r="BG18" s="72">
        <f ca="1">IF(E18='Invoer gegevens (N)'!$C$17,-'Invoer gegevens (N)'!$C$19*$BD$31,0)</f>
        <v>0</v>
      </c>
      <c r="BH18" s="72">
        <f ca="1">AW18/(1+$BH$4)^($D18-('Invoer gegevens (N)'!$C$17-'Invoer gegevens (N)'!$C$16))/(1+'Invoer gegevens (N)'!$C$39)^('Invoer gegevens (N)'!$C$17-'Invoer gegevens (N)'!$C$16)+AX18/(1+$BH$4)^(E18-('Invoer gegevens (N)'!$C$17-1))/(1+'Invoer gegevens (N)'!$C$39)^('Invoer gegevens (N)'!$C$17-'Invoer gegevens (N)'!$C$16)+AY18/(1+'Invoer gegevens (N)'!$C$39)^('Invoer gegevens (N)'!$C$17-'Invoer gegevens (N)'!$C$16)+(-AZ18/(1+'Invoer gegevens (N)'!$C$39)^D18)+BF18+BG18</f>
        <v>0</v>
      </c>
      <c r="BI18" s="59"/>
    </row>
    <row r="19" spans="1:67" x14ac:dyDescent="0.25">
      <c r="A19" s="59"/>
      <c r="B19" s="70">
        <f t="shared" si="6"/>
        <v>15</v>
      </c>
      <c r="C19" s="67">
        <f ca="1">IF(AND(E19&gt;='Invoer gegevens (N)'!$C$17,E19&lt;'Invoer gegevens (N)'!$C$17+15),1,0)</f>
        <v>1</v>
      </c>
      <c r="D19" s="68">
        <f t="shared" si="7"/>
        <v>14.5</v>
      </c>
      <c r="E19" s="69">
        <f ca="1">IF('Invoer gegevens (N)'!$C$16="","",E18+1)</f>
        <v>2033</v>
      </c>
      <c r="F19" s="82">
        <f ca="1">IF('Invoer gegevens (N)'!$C$17=E19,'Invoer gegevens (N)'!$C$10,IF(C19=1,H18,0))</f>
        <v>0</v>
      </c>
      <c r="G19" s="83">
        <f ca="1">IF(E19='Invoer gegevens (N)'!$C$17+15,H18,IF(C19&gt;=1,F19*'Reeksen (N)'!C19,0))</f>
        <v>0</v>
      </c>
      <c r="H19" s="84">
        <f ca="1">IF(E19&gt;='Invoer gegevens (N)'!$C$17+15,0,F19-G19)</f>
        <v>0</v>
      </c>
      <c r="I19" s="85">
        <v>0</v>
      </c>
      <c r="J19" s="86">
        <f ca="1">IF(E19='Invoer gegevens (N)'!$C$17+15,L18,IF(C19&lt;1,0,IF('Reeksen (N)'!AD19&lt;='Reeksen (N)'!AE19,I19*'Reeksen (N)'!C19,0)))</f>
        <v>0</v>
      </c>
      <c r="K19" s="86">
        <f ca="1">IF(E19='Invoer gegevens (N)'!$C$17+15,L18,IF(C19&lt;1,0,IF('Reeksen (N)'!AD19&gt;'Reeksen (N)'!AE19,I19*'Reeksen (N)'!C19,0)))</f>
        <v>0</v>
      </c>
      <c r="L19" s="86">
        <f ca="1">IF(E19&gt;='Invoer gegevens (N)'!$C$17+15,0,I19-J19-K19)</f>
        <v>0</v>
      </c>
      <c r="M19" s="85">
        <f ca="1">IF('Invoer gegevens (N)'!$C$17=E19,'Invoer gegevens (N)'!$C$10-'Invoer gegevens (N)'!$C$11,IF(C19=1,P18,0))</f>
        <v>0</v>
      </c>
      <c r="N19" s="86">
        <f ca="1">IF(E19='Invoer gegevens (N)'!$C$17+15,P18,IF(C19&lt;1,0,IF('Reeksen (N)'!AD19&lt;='Reeksen (N)'!AE19,M19*'Reeksen (N)'!C19,0)))</f>
        <v>0</v>
      </c>
      <c r="O19" s="86">
        <f ca="1">IF(E19='Invoer gegevens (N)'!$C$17+15,P18,IF(C19&lt;1,0,IF('Reeksen (N)'!AD19&gt;'Reeksen (N)'!AE19,M19*'Reeksen (N)'!C19,0)))</f>
        <v>0</v>
      </c>
      <c r="P19" s="86">
        <f ca="1">IF(E19&gt;='Invoer gegevens (N)'!$C$17+15,0,M19-N19-O19)</f>
        <v>0</v>
      </c>
      <c r="Q19" s="82">
        <f ca="1">IF('Invoer gegevens (N)'!$C$17=E19,I19,IF(C19=0,0,R18))</f>
        <v>0</v>
      </c>
      <c r="R19" s="84">
        <f t="shared" ca="1" si="0"/>
        <v>0</v>
      </c>
      <c r="S19" s="84">
        <f ca="1">IF('Invoer gegevens (N)'!$C$17=E19,M19,IF(C19=0,0,T18))</f>
        <v>0</v>
      </c>
      <c r="T19" s="84">
        <f t="shared" ca="1" si="1"/>
        <v>0</v>
      </c>
      <c r="AH19" s="70"/>
      <c r="AI19" s="71">
        <f ca="1">IF(C19=1,((F19+H19)/2*'Reeksen (N)'!AI19*12)+(('Invoer gegevens (N)'!$C$10-(F19+H19)/2)*'Reeksen (N)'!AD19*12),0)</f>
        <v>0</v>
      </c>
      <c r="AJ19" s="71">
        <f ca="1">-AI19*'Invoer gegevens (N)'!$F$28</f>
        <v>0</v>
      </c>
      <c r="AK19" s="71">
        <f t="shared" ca="1" si="2"/>
        <v>0</v>
      </c>
      <c r="AL19" s="71">
        <f ca="1">IF(C19=1,(12*((F19+H19)/2)*'Reeksen (N)'!AL19)+(12*('Invoer gegevens (N)'!$C$10-(F19+H19)/2)*'Reeksen (N)'!AM19),0)</f>
        <v>0</v>
      </c>
      <c r="AM19" s="71">
        <f ca="1">-AL19*'Invoer gegevens (N)'!$F$31</f>
        <v>0</v>
      </c>
      <c r="AN19" s="71">
        <f t="shared" ca="1" si="3"/>
        <v>0</v>
      </c>
      <c r="AO19" s="71"/>
      <c r="AP19" s="71"/>
      <c r="AQ19" s="71">
        <f ca="1">-IF(C19=1,('Invoer gegevens (N)'!$C$10*'Invoer gegevens (N)'!$F$35)*'Reeksen (N)'!J19,0)</f>
        <v>0</v>
      </c>
      <c r="AR19" s="71">
        <f ca="1">-IF(C19=1,(G19*'Invoer gegevens (N)'!$F$36)*'Reeksen (N)'!J19,0)</f>
        <v>0</v>
      </c>
      <c r="AS19" s="71">
        <f ca="1">-IF(C19=1,'Invoer gegevens (N)'!$C$10*'Invoer gegevens (N)'!$F$37*'Reeksen (N)'!L19,0)</f>
        <v>0</v>
      </c>
      <c r="AT19" s="71">
        <f ca="1">-IF(C19=1,IF(E19='Invoer gegevens (N)'!$C$17,'Invoer gegevens (N)'!$C$11,Q19)*'Reeksen (N)'!S19*'Invoer gegevens (N)'!$C$18*'Reeksen (N)'!P19,0)</f>
        <v>0</v>
      </c>
      <c r="AU19" s="71">
        <f ca="1">-IF(C19=1,'Invoer gegevens (N)'!$C$10*'Invoer gegevens (N)'!$F$38*'Reeksen (N)'!H19,0)</f>
        <v>0</v>
      </c>
      <c r="AV19" s="71">
        <v>0</v>
      </c>
      <c r="AW19" s="71">
        <f t="shared" ca="1" si="4"/>
        <v>0</v>
      </c>
      <c r="AX19" s="72">
        <f ca="1">IF(E19='Invoer gegevens (N)'!$C$17+14,IF('Invoer gegevens (N)'!$C$20="Ja",MAX('RW - MW - DE - DE (N)'!$AY$236,'RW - MW - DE - UP (N)'!$AY$236),'RW - MW - DE - DE (N)'!$AY$236),0)</f>
        <v>0</v>
      </c>
      <c r="AY19" s="72">
        <f ca="1">IFERROR(IF(E19='Invoer gegevens (N)'!$C$17,-'Invoer gegevens (N)'!$C$10*'Invoer gegevens (N)'!$C$31*'Reeksen (N)'!H19,0),0)</f>
        <v>0</v>
      </c>
      <c r="AZ19" s="73">
        <f ca="1">IF('Invoer gegevens (N)'!$C$34=E19,'Invoer gegevens (N)'!$C$27*'Invoer gegevens (N)'!$C$10*'Invoer gegevens (N)'!$C$36*(IF('Invoer gegevens (N)'!$C$35="ja",1,'Reeksen (N)'!J19)),IF('Invoer gegevens (N)'!$C$34+1=E19,'Invoer gegevens (N)'!$C$27*'Invoer gegevens (N)'!$C$10*'Invoer gegevens (N)'!$C$37*(IF('Invoer gegevens (N)'!$C$35="ja",1,'Reeksen (N)'!J19)),0))+IF(AND(E19='Invoer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9" s="73">
        <f ca="1">AW19/(1+'Invoer gegevens (N)'!$F$13)^($D19-('Invoer gegevens (N)'!$C$17-'Invoer gegevens (N)'!$C$16))/(1+'Invoer gegevens (N)'!$C$39)^('Invoer gegevens (N)'!$C$17-'Invoer gegevens (N)'!$C$16)</f>
        <v>0</v>
      </c>
      <c r="BB19" s="73">
        <f ca="1">AX19/(1+'Invoer gegevens (N)'!$F$13)^(E19-('Invoer gegevens (N)'!$C$17-1))/(1+'Invoer gegevens (N)'!$C$39)^('Invoer gegevens (N)'!$C$17-'Invoer gegevens (N)'!$C$16)</f>
        <v>0</v>
      </c>
      <c r="BC19" s="73">
        <f ca="1">AY19/(1+'Invoer gegevens (N)'!$C$39)^('Invoer gegevens (N)'!$C$17-'Invoer gegevens (N)'!$C$16)</f>
        <v>0</v>
      </c>
      <c r="BD19" s="72">
        <f ca="1">SUM(BA19:BC19)</f>
        <v>0</v>
      </c>
      <c r="BE19" s="72">
        <f ca="1">IF(AND(E19='Invoer gegevens (N)'!$C$16,'Invoer gegevens (N)'!$C$34&lt;'Invoer gegevens (N)'!$C$16),AZ19,AZ19/(1+'Invoer gegevens (N)'!$C$39)^D19)</f>
        <v>0</v>
      </c>
      <c r="BF19" s="72">
        <f ca="1">IF(E19='Invoer gegevens (N)'!$C$34,-'Invoer gegevens (N)'!$F$40,0)</f>
        <v>0</v>
      </c>
      <c r="BG19" s="72">
        <f ca="1">IF(E19='Invoer gegevens (N)'!$C$17,-'Invoer gegevens (N)'!$C$19*$BD$31,0)</f>
        <v>0</v>
      </c>
      <c r="BH19" s="72">
        <f ca="1">AW19/(1+$BH$4)^($D19-('Invoer gegevens (N)'!$C$17-'Invoer gegevens (N)'!$C$16))/(1+'Invoer gegevens (N)'!$C$39)^('Invoer gegevens (N)'!$C$17-'Invoer gegevens (N)'!$C$16)+AX19/(1+$BH$4)^(E19-('Invoer gegevens (N)'!$C$17-1))/(1+'Invoer gegevens (N)'!$C$39)^('Invoer gegevens (N)'!$C$17-'Invoer gegevens (N)'!$C$16)+AY19/(1+'Invoer gegevens (N)'!$C$39)^('Invoer gegevens (N)'!$C$17-'Invoer gegevens (N)'!$C$16)+(-AZ19/(1+'Invoer gegevens (N)'!$C$39)^D19)+BF19+BG19</f>
        <v>0</v>
      </c>
      <c r="BI19" s="59"/>
    </row>
    <row r="20" spans="1:67" x14ac:dyDescent="0.25">
      <c r="A20" s="59"/>
      <c r="B20" s="70">
        <f t="shared" si="6"/>
        <v>16</v>
      </c>
      <c r="C20" s="67">
        <f ca="1">IF(AND(E20&gt;='Invoer gegevens (N)'!$C$17,E20&lt;'Invoer gegevens (N)'!$C$17+15),1,0)</f>
        <v>0</v>
      </c>
      <c r="D20" s="68">
        <f t="shared" si="7"/>
        <v>15.5</v>
      </c>
      <c r="E20" s="69">
        <f ca="1">IF('Invoer gegevens (N)'!$C$16="","",E19+1)</f>
        <v>2034</v>
      </c>
      <c r="F20" s="82">
        <f ca="1">IF('Invoer gegevens (N)'!$C$17=E20,'Invoer gegevens (N)'!$C$10,IF(C20=1,H19,0))</f>
        <v>0</v>
      </c>
      <c r="G20" s="83">
        <f ca="1">IF(E20='Invoer gegevens (N)'!$C$17+15,H19,IF(C20&gt;=1,F20*'Reeksen (N)'!C20,0))</f>
        <v>0</v>
      </c>
      <c r="H20" s="84">
        <f ca="1">IF(E20&gt;='Invoer gegevens (N)'!$C$17+15,0,F20-G20)</f>
        <v>0</v>
      </c>
      <c r="I20" s="85">
        <v>0</v>
      </c>
      <c r="J20" s="86">
        <f ca="1">IF(E20='Invoer gegevens (N)'!$C$17+15,L19,IF(C20&lt;1,0,IF('Reeksen (N)'!AD20&lt;='Reeksen (N)'!AE20,I20*'Reeksen (N)'!C20,0)))</f>
        <v>0</v>
      </c>
      <c r="K20" s="86">
        <f ca="1">IF(E20='Invoer gegevens (N)'!$C$17+15,L19,IF(C20&lt;1,0,IF('Reeksen (N)'!AD20&gt;'Reeksen (N)'!AE20,I20*'Reeksen (N)'!C20,0)))</f>
        <v>0</v>
      </c>
      <c r="L20" s="86">
        <f ca="1">IF(E20&gt;='Invoer gegevens (N)'!$C$17+15,0,I20-J20-K20)</f>
        <v>0</v>
      </c>
      <c r="M20" s="85">
        <f ca="1">IF('Invoer gegevens (N)'!$C$17=E20,'Invoer gegevens (N)'!$C$10-'Invoer gegevens (N)'!$C$11,IF(C20=1,P19,0))</f>
        <v>0</v>
      </c>
      <c r="N20" s="86">
        <f ca="1">IF(E20='Invoer gegevens (N)'!$C$17+15,P19,IF(C20&lt;1,0,IF('Reeksen (N)'!AD20&lt;='Reeksen (N)'!AE20,M20*'Reeksen (N)'!C20,0)))</f>
        <v>0</v>
      </c>
      <c r="O20" s="86">
        <f ca="1">IF(E20='Invoer gegevens (N)'!$C$17+15,P19,IF(C20&lt;1,0,IF('Reeksen (N)'!AD20&gt;'Reeksen (N)'!AE20,M20*'Reeksen (N)'!C20,0)))</f>
        <v>0</v>
      </c>
      <c r="P20" s="86">
        <f ca="1">IF(E20&gt;='Invoer gegevens (N)'!$C$17+15,0,M20-N20-O20)</f>
        <v>0</v>
      </c>
      <c r="Q20" s="82">
        <f ca="1">IF('Invoer gegevens (N)'!$C$17=E20,I20,IF(C20=0,0,R19))</f>
        <v>0</v>
      </c>
      <c r="R20" s="84">
        <f t="shared" ca="1" si="0"/>
        <v>0</v>
      </c>
      <c r="S20" s="84">
        <f ca="1">IF('Invoer gegevens (N)'!$C$17=E20,M20,IF(C20=0,0,T19))</f>
        <v>0</v>
      </c>
      <c r="T20" s="84">
        <f t="shared" ca="1" si="1"/>
        <v>0</v>
      </c>
      <c r="AH20" s="70"/>
      <c r="AI20" s="71">
        <f ca="1">IF(C20=1,((F20+H20)/2*'Reeksen (N)'!AI20*12)+(('Invoer gegevens (N)'!$C$10-(F20+H20)/2)*'Reeksen (N)'!AD20*12),0)</f>
        <v>0</v>
      </c>
      <c r="AJ20" s="71">
        <f ca="1">-AI20*'Invoer gegevens (N)'!$F$28</f>
        <v>0</v>
      </c>
      <c r="AK20" s="71">
        <f t="shared" ca="1" si="2"/>
        <v>0</v>
      </c>
      <c r="AL20" s="71">
        <f ca="1">IF(C20=1,(12*((F20+H20)/2)*'Reeksen (N)'!AL20)+(12*('Invoer gegevens (N)'!$C$10-(F20+H20)/2)*'Reeksen (N)'!AM20),0)</f>
        <v>0</v>
      </c>
      <c r="AM20" s="71">
        <f ca="1">-AL20*'Invoer gegevens (N)'!$F$31</f>
        <v>0</v>
      </c>
      <c r="AN20" s="71">
        <f t="shared" ca="1" si="3"/>
        <v>0</v>
      </c>
      <c r="AO20" s="71"/>
      <c r="AP20" s="71"/>
      <c r="AQ20" s="71">
        <f ca="1">-IF(C20=1,('Invoer gegevens (N)'!$C$10*'Invoer gegevens (N)'!$F$35)*'Reeksen (N)'!J20,0)</f>
        <v>0</v>
      </c>
      <c r="AR20" s="71">
        <f ca="1">-IF(C20=1,(G20*'Invoer gegevens (N)'!$F$36)*'Reeksen (N)'!J20,0)</f>
        <v>0</v>
      </c>
      <c r="AS20" s="71">
        <f ca="1">-IF(C20=1,'Invoer gegevens (N)'!$C$10*'Invoer gegevens (N)'!$F$37*'Reeksen (N)'!L20,0)</f>
        <v>0</v>
      </c>
      <c r="AT20" s="71">
        <f ca="1">-IF(C20=1,IF(E20='Invoer gegevens (N)'!$C$17,'Invoer gegevens (N)'!$C$11,Q20)*'Reeksen (N)'!S20*'Invoer gegevens (N)'!$C$18*'Reeksen (N)'!P20,0)</f>
        <v>0</v>
      </c>
      <c r="AU20" s="71">
        <f ca="1">-IF(C20=1,'Invoer gegevens (N)'!$C$10*'Invoer gegevens (N)'!$F$38*'Reeksen (N)'!H20,0)</f>
        <v>0</v>
      </c>
      <c r="AV20" s="71">
        <v>0</v>
      </c>
      <c r="AW20" s="71">
        <f t="shared" ca="1" si="4"/>
        <v>0</v>
      </c>
      <c r="AX20" s="72">
        <f ca="1">IF(E20='Invoer gegevens (N)'!$C$17+14,IF('Invoer gegevens (N)'!$C$20="Ja",MAX('RW - MW - DE - DE (N)'!$AY$236,'RW - MW - DE - UP (N)'!$AY$236,'RW - MW - DE - DE'!$AY$236)),0)</f>
        <v>0</v>
      </c>
      <c r="AY20" s="72">
        <f ca="1">IFERROR(IF(E20='Invoer gegevens (N)'!$C$17,-'Invoer gegevens (N)'!$C$10*'Invoer gegevens (N)'!$C$31*'Reeksen (N)'!H20,0),0)</f>
        <v>0</v>
      </c>
      <c r="AZ20" s="73">
        <f ca="1">IF('Invoer gegevens (N)'!$C$34=E20,'Invoer gegevens (N)'!$C$27*'Invoer gegevens (N)'!$C$10*'Invoer gegevens (N)'!$C$36*(IF('Invoer gegevens (N)'!$C$35="ja",1,'Reeksen (N)'!J20)),IF('Invoer gegevens (N)'!$C$34+1=E20,'Invoer gegevens (N)'!$C$27*'Invoer gegevens (N)'!$C$10*'Invoer gegevens (N)'!$C$37*(IF('Invoer gegevens (N)'!$C$35="ja",1,'Reeksen (N)'!J20)),0))+IF(AND(E20='Invoer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0" s="73">
        <f ca="1">AW20/(1+'Invoer gegevens (N)'!$F$13)^($D20-('Invoer gegevens (N)'!$C$17-'Invoer gegevens (N)'!$C$16))/(1+'Invoer gegevens (N)'!$C$39)^('Invoer gegevens (N)'!$C$17-'Invoer gegevens (N)'!$C$16)</f>
        <v>0</v>
      </c>
      <c r="BB20" s="73">
        <f ca="1">AX20/(1+'Invoer gegevens (N)'!$F$13)^(E20-('Invoer gegevens (N)'!$C$17-1))/(1+'Invoer gegevens (N)'!$C$39)^('Invoer gegevens (N)'!$C$17-'Invoer gegevens (N)'!$C$16)</f>
        <v>0</v>
      </c>
      <c r="BC20" s="73">
        <f ca="1">AY20/(1+'Invoer gegevens (N)'!$C$39)^('Invoer gegevens (N)'!$C$17-'Invoer gegevens (N)'!$C$16)</f>
        <v>0</v>
      </c>
      <c r="BD20" s="72">
        <f t="shared" ca="1" si="5"/>
        <v>0</v>
      </c>
      <c r="BE20" s="72">
        <f ca="1">IF(AND(E20='Invoer gegevens (N)'!$C$16,'Invoer gegevens (N)'!$C$34&lt;'Invoer gegevens (N)'!$C$16),AZ20,AZ20/(1+'Invoer gegevens (N)'!$C$39)^D20)</f>
        <v>0</v>
      </c>
      <c r="BF20" s="72">
        <f ca="1">IF(E20='Invoer gegevens (N)'!$C$34,-'Invoer gegevens (N)'!$F$40,0)</f>
        <v>0</v>
      </c>
      <c r="BG20" s="72">
        <f ca="1">IF(E20='Invoer gegevens (N)'!$C$17,-'Invoer gegevens (N)'!$C$19*$BD$31,0)</f>
        <v>0</v>
      </c>
      <c r="BH20" s="72">
        <f ca="1">AW20/(1+$BH$4)^($D20-('Invoer gegevens (N)'!$C$17-'Invoer gegevens (N)'!$C$16))/(1+'Invoer gegevens (N)'!$C$39)^('Invoer gegevens (N)'!$C$17-'Invoer gegevens (N)'!$C$16)+AX20/(1+$BH$4)^(E20-('Invoer gegevens (N)'!$C$17-1))/(1+'Invoer gegevens (N)'!$C$39)^('Invoer gegevens (N)'!$C$17-'Invoer gegevens (N)'!$C$16)+AY20/(1+'Invoer gegevens (N)'!$C$39)^('Invoer gegevens (N)'!$C$17-'Invoer gegevens (N)'!$C$16)+(-AZ20/(1+'Invoer gegevens (N)'!$C$39)^D20)+BF20+BG20</f>
        <v>0</v>
      </c>
      <c r="BI20" s="59"/>
    </row>
    <row r="21" spans="1:67" x14ac:dyDescent="0.25">
      <c r="A21" s="59"/>
      <c r="B21" s="70">
        <f t="shared" si="6"/>
        <v>17</v>
      </c>
      <c r="C21" s="67">
        <f ca="1">IF(AND(E21&gt;='Invoer gegevens (N)'!$C$17,E21&lt;'Invoer gegevens (N)'!$C$17+15),1,0)</f>
        <v>0</v>
      </c>
      <c r="D21" s="68">
        <f t="shared" si="7"/>
        <v>16.5</v>
      </c>
      <c r="E21" s="69">
        <f ca="1">IF('Invoer gegevens (N)'!$C$16="","",E20+1)</f>
        <v>2035</v>
      </c>
      <c r="F21" s="82">
        <f ca="1">IF('Invoer gegevens (N)'!$C$17=E21,'Invoer gegevens (N)'!$C$10,IF(C21=1,H20,0))</f>
        <v>0</v>
      </c>
      <c r="G21" s="83">
        <f ca="1">IF(E21='Invoer gegevens (N)'!$C$17+15,H20,IF(C21&gt;=1,F21*'Reeksen (N)'!C21,0))</f>
        <v>0</v>
      </c>
      <c r="H21" s="84">
        <f ca="1">IF(E21&gt;='Invoer gegevens (N)'!$C$17+15,0,F21-G21)</f>
        <v>0</v>
      </c>
      <c r="I21" s="85">
        <v>0</v>
      </c>
      <c r="J21" s="86">
        <f ca="1">IF(E21='Invoer gegevens (N)'!$C$17+15,L20,IF(C21&lt;1,0,IF('Reeksen (N)'!AD21&lt;='Reeksen (N)'!AE21,I21*'Reeksen (N)'!C21,0)))</f>
        <v>0</v>
      </c>
      <c r="K21" s="86">
        <f ca="1">IF(E21='Invoer gegevens (N)'!$C$17+15,L20,IF(C21&lt;1,0,IF('Reeksen (N)'!AD21&gt;'Reeksen (N)'!AE21,I21*'Reeksen (N)'!C21,0)))</f>
        <v>0</v>
      </c>
      <c r="L21" s="86">
        <f ca="1">IF(E21&gt;='Invoer gegevens (N)'!$C$17+15,0,I21-J21-K21)</f>
        <v>0</v>
      </c>
      <c r="M21" s="85">
        <f ca="1">IF('Invoer gegevens (N)'!$C$17=E21,'Invoer gegevens (N)'!$C$10-'Invoer gegevens (N)'!$C$11,IF(C21=1,P20,0))</f>
        <v>0</v>
      </c>
      <c r="N21" s="86">
        <f ca="1">IF(E21='Invoer gegevens (N)'!$C$17+15,P20,IF(C21&lt;1,0,IF('Reeksen (N)'!AD21&lt;='Reeksen (N)'!AE21,M21*'Reeksen (N)'!C21,0)))</f>
        <v>0</v>
      </c>
      <c r="O21" s="86">
        <f ca="1">IF(E21='Invoer gegevens (N)'!$C$17+15,P20,IF(C21&lt;1,0,IF('Reeksen (N)'!AD21&gt;'Reeksen (N)'!AE21,M21*'Reeksen (N)'!C21,0)))</f>
        <v>0</v>
      </c>
      <c r="P21" s="86">
        <f ca="1">IF(E21&gt;='Invoer gegevens (N)'!$C$17+15,0,M21-N21-O21)</f>
        <v>0</v>
      </c>
      <c r="Q21" s="82">
        <f ca="1">IF('Invoer gegevens (N)'!$C$17=E21,I21,IF(C21=0,0,R20))</f>
        <v>0</v>
      </c>
      <c r="R21" s="84">
        <f t="shared" ca="1" si="0"/>
        <v>0</v>
      </c>
      <c r="S21" s="84">
        <f ca="1">IF('Invoer gegevens (N)'!$C$17=E21,M21,IF(C21=0,0,T20))</f>
        <v>0</v>
      </c>
      <c r="T21" s="84">
        <f t="shared" ca="1" si="1"/>
        <v>0</v>
      </c>
      <c r="AH21" s="70"/>
      <c r="AI21" s="71">
        <f ca="1">IF(C21=1,((F21+H21)/2*'Reeksen (N)'!AI21*12)+(('Invoer gegevens (N)'!$C$10-(F21+H21)/2)*'Reeksen (N)'!AD21*12),0)</f>
        <v>0</v>
      </c>
      <c r="AJ21" s="71">
        <f ca="1">-AI21*'Invoer gegevens (N)'!$F$28</f>
        <v>0</v>
      </c>
      <c r="AK21" s="71">
        <f t="shared" ca="1" si="2"/>
        <v>0</v>
      </c>
      <c r="AL21" s="71">
        <f ca="1">IF(C21=1,(12*((F21+H21)/2)*'Reeksen (N)'!AL21)+(12*('Invoer gegevens (N)'!$C$10-(F21+H21)/2)*'Reeksen (N)'!AM21),0)</f>
        <v>0</v>
      </c>
      <c r="AM21" s="71">
        <f ca="1">-AL21*'Invoer gegevens (N)'!$F$31</f>
        <v>0</v>
      </c>
      <c r="AN21" s="71">
        <f t="shared" ca="1" si="3"/>
        <v>0</v>
      </c>
      <c r="AO21" s="71"/>
      <c r="AP21" s="71"/>
      <c r="AQ21" s="71">
        <f ca="1">-IF(C21=1,('Invoer gegevens (N)'!$C$10*'Invoer gegevens (N)'!$F$35)*'Reeksen (N)'!J21,0)</f>
        <v>0</v>
      </c>
      <c r="AR21" s="71">
        <f ca="1">-IF(C21=1,(G21*'Invoer gegevens (N)'!$F$36)*'Reeksen (N)'!J21,0)</f>
        <v>0</v>
      </c>
      <c r="AS21" s="71">
        <f ca="1">-IF(C21=1,'Invoer gegevens (N)'!$C$10*'Invoer gegevens (N)'!$F$37*'Reeksen (N)'!L21,0)</f>
        <v>0</v>
      </c>
      <c r="AT21" s="71">
        <f ca="1">-IF(C21=1,IF(E21='Invoer gegevens (N)'!$C$17,'Invoer gegevens (N)'!$C$11,Q21)*'Reeksen (N)'!S21*'Invoer gegevens (N)'!$C$18*'Reeksen (N)'!P21,0)</f>
        <v>0</v>
      </c>
      <c r="AU21" s="71">
        <f ca="1">-IF(C21=1,'Invoer gegevens (N)'!$C$10*'Invoer gegevens (N)'!$F$38*'Reeksen (N)'!H21,0)</f>
        <v>0</v>
      </c>
      <c r="AV21" s="71">
        <v>0</v>
      </c>
      <c r="AW21" s="71">
        <f t="shared" ca="1" si="4"/>
        <v>0</v>
      </c>
      <c r="AX21" s="72">
        <f ca="1">IF(E21='Invoer gegevens (N)'!$C$17+14,IF('Invoer gegevens (N)'!$C$20="Ja",MAX('RW - MW - DE - DE (N)'!$AY$236,'RW - MW - DE - UP (N)'!$AY$236,'RW - MW - DE - DE (N)'!$AY$236)),0)</f>
        <v>0</v>
      </c>
      <c r="AY21" s="72">
        <f ca="1">IFERROR(IF(E21='Invoer gegevens (N)'!$C$17,-'Invoer gegevens (N)'!$C$10*'Invoer gegevens (N)'!$C$31*'Reeksen (N)'!H21,0),0)</f>
        <v>0</v>
      </c>
      <c r="AZ21" s="73">
        <f ca="1">IF('Invoer gegevens (N)'!$C$34=E21,'Invoer gegevens (N)'!$C$27*'Invoer gegevens (N)'!$C$10*'Invoer gegevens (N)'!$C$36*(IF('Invoer gegevens (N)'!$C$35="ja",1,'Reeksen (N)'!J21)),IF('Invoer gegevens (N)'!$C$34+1=E21,'Invoer gegevens (N)'!$C$27*'Invoer gegevens (N)'!$C$10*'Invoer gegevens (N)'!$C$37*(IF('Invoer gegevens (N)'!$C$35="ja",1,'Reeksen (N)'!J21)),0))+IF(AND(E21='Invoer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1" s="73">
        <f ca="1">AW21/(1+'Invoer gegevens (N)'!$F$13)^($D21-('Invoer gegevens (N)'!$C$17-'Invoer gegevens (N)'!$C$16))/(1+'Invoer gegevens (N)'!$C$39)^('Invoer gegevens (N)'!$C$17-'Invoer gegevens (N)'!$C$16)</f>
        <v>0</v>
      </c>
      <c r="BB21" s="73">
        <f ca="1">AX21/(1+'Invoer gegevens (N)'!$F$13)^(E21-('Invoer gegevens (N)'!$C$17-1))/(1+'Invoer gegevens (N)'!$C$39)^('Invoer gegevens (N)'!$C$17-'Invoer gegevens (N)'!$C$16)</f>
        <v>0</v>
      </c>
      <c r="BC21" s="73">
        <f ca="1">AY21/(1+'Invoer gegevens (N)'!$C$39)^('Invoer gegevens (N)'!$C$17-'Invoer gegevens (N)'!$C$16)</f>
        <v>0</v>
      </c>
      <c r="BD21" s="72">
        <f t="shared" ca="1" si="5"/>
        <v>0</v>
      </c>
      <c r="BE21" s="72">
        <f ca="1">IF(AND(E21='Invoer gegevens (N)'!$C$16,'Invoer gegevens (N)'!$C$34&lt;'Invoer gegevens (N)'!$C$16),AZ21,AZ21/(1+'Invoer gegevens (N)'!$C$39)^D21)</f>
        <v>0</v>
      </c>
      <c r="BF21" s="72">
        <f ca="1">IF(E21='Invoer gegevens (N)'!$C$34,-'Invoer gegevens (N)'!$F$40,0)</f>
        <v>0</v>
      </c>
      <c r="BG21" s="72">
        <f ca="1">IF(E21='Invoer gegevens (N)'!$C$17,-'Invoer gegevens (N)'!$C$19*$BD$31,0)</f>
        <v>0</v>
      </c>
      <c r="BH21" s="72">
        <f ca="1">AW21/(1+$BH$4)^($D21-('Invoer gegevens (N)'!$C$17-'Invoer gegevens (N)'!$C$16))/(1+'Invoer gegevens (N)'!$C$39)^('Invoer gegevens (N)'!$C$17-'Invoer gegevens (N)'!$C$16)+AX21/(1+$BH$4)^(E21-('Invoer gegevens (N)'!$C$17-1))/(1+'Invoer gegevens (N)'!$C$39)^('Invoer gegevens (N)'!$C$17-'Invoer gegevens (N)'!$C$16)+AY21/(1+'Invoer gegevens (N)'!$C$39)^('Invoer gegevens (N)'!$C$17-'Invoer gegevens (N)'!$C$16)+(-AZ21/(1+'Invoer gegevens (N)'!$C$39)^D21)+BF21+BG21</f>
        <v>0</v>
      </c>
      <c r="BI21" s="59"/>
    </row>
    <row r="22" spans="1:67" x14ac:dyDescent="0.25">
      <c r="A22" s="59"/>
      <c r="B22" s="70">
        <f t="shared" si="6"/>
        <v>18</v>
      </c>
      <c r="C22" s="67">
        <f ca="1">IF(AND(E22&gt;='Invoer gegevens (N)'!$C$17,E22&lt;'Invoer gegevens (N)'!$C$17+15),1,0)</f>
        <v>0</v>
      </c>
      <c r="D22" s="68">
        <f t="shared" si="7"/>
        <v>17.5</v>
      </c>
      <c r="E22" s="69">
        <f ca="1">IF('Invoer gegevens (N)'!$C$16="","",E21+1)</f>
        <v>2036</v>
      </c>
      <c r="F22" s="82">
        <f ca="1">IF('Invoer gegevens (N)'!$C$17=E22,'Invoer gegevens (N)'!$C$10,IF(C22=1,H21,0))</f>
        <v>0</v>
      </c>
      <c r="G22" s="83">
        <f ca="1">IF(E22='Invoer gegevens (N)'!$C$17+15,H21,IF(C22&gt;=1,F22*'Reeksen (N)'!C22,0))</f>
        <v>0</v>
      </c>
      <c r="H22" s="84">
        <f ca="1">IF(E22&gt;='Invoer gegevens (N)'!$C$17+15,0,F22-G22)</f>
        <v>0</v>
      </c>
      <c r="I22" s="85">
        <v>0</v>
      </c>
      <c r="J22" s="86">
        <f ca="1">IF(E22='Invoer gegevens (N)'!$C$17+15,L21,IF(C22&lt;1,0,IF('Reeksen (N)'!AD22&lt;='Reeksen (N)'!AE22,I22*'Reeksen (N)'!C22,0)))</f>
        <v>0</v>
      </c>
      <c r="K22" s="86">
        <f ca="1">IF(E22='Invoer gegevens (N)'!$C$17+15,L21,IF(C22&lt;1,0,IF('Reeksen (N)'!AD22&gt;'Reeksen (N)'!AE22,I22*'Reeksen (N)'!C22,0)))</f>
        <v>0</v>
      </c>
      <c r="L22" s="86">
        <f ca="1">IF(E22&gt;='Invoer gegevens (N)'!$C$17+15,0,I22-J22-K22)</f>
        <v>0</v>
      </c>
      <c r="M22" s="85">
        <f ca="1">IF('Invoer gegevens (N)'!$C$17=E22,'Invoer gegevens (N)'!$C$10-'Invoer gegevens (N)'!$C$11,IF(C22=1,P21,0))</f>
        <v>0</v>
      </c>
      <c r="N22" s="86">
        <f ca="1">IF(E22='Invoer gegevens (N)'!$C$17+15,P21,IF(C22&lt;1,0,IF('Reeksen (N)'!AD22&lt;='Reeksen (N)'!AE22,M22*'Reeksen (N)'!C22,0)))</f>
        <v>0</v>
      </c>
      <c r="O22" s="86">
        <f ca="1">IF(E22='Invoer gegevens (N)'!$C$17+15,P21,IF(C22&lt;1,0,IF('Reeksen (N)'!AD22&gt;'Reeksen (N)'!AE22,M22*'Reeksen (N)'!C22,0)))</f>
        <v>0</v>
      </c>
      <c r="P22" s="86">
        <f ca="1">IF(E22&gt;='Invoer gegevens (N)'!$C$17+15,0,M22-N22-O22)</f>
        <v>0</v>
      </c>
      <c r="Q22" s="82">
        <f ca="1">IF('Invoer gegevens (N)'!$C$17=E22,I22,IF(C22=0,0,R21))</f>
        <v>0</v>
      </c>
      <c r="R22" s="84">
        <f t="shared" ca="1" si="0"/>
        <v>0</v>
      </c>
      <c r="S22" s="84">
        <f ca="1">IF('Invoer gegevens (N)'!$C$17=E22,M22,IF(C22=0,0,T21))</f>
        <v>0</v>
      </c>
      <c r="T22" s="84">
        <f t="shared" ca="1" si="1"/>
        <v>0</v>
      </c>
      <c r="AH22" s="70"/>
      <c r="AI22" s="71">
        <f ca="1">IF(C22=1,((F22+H22)/2*'Reeksen (N)'!AI22*12)+(('Invoer gegevens (N)'!$C$10-(F22+H22)/2)*'Reeksen (N)'!AD22*12),0)</f>
        <v>0</v>
      </c>
      <c r="AJ22" s="71">
        <f ca="1">-AI22*'Invoer gegevens (N)'!$F$28</f>
        <v>0</v>
      </c>
      <c r="AK22" s="71">
        <f t="shared" ca="1" si="2"/>
        <v>0</v>
      </c>
      <c r="AL22" s="71">
        <f ca="1">IF(C22=1,(12*((F22+H22)/2)*'Reeksen (N)'!AL22)+(12*('Invoer gegevens (N)'!$C$10-(F22+H22)/2)*'Reeksen (N)'!AM22),0)</f>
        <v>0</v>
      </c>
      <c r="AM22" s="71">
        <f ca="1">-AL22*'Invoer gegevens (N)'!$F$31</f>
        <v>0</v>
      </c>
      <c r="AN22" s="71">
        <f t="shared" ca="1" si="3"/>
        <v>0</v>
      </c>
      <c r="AO22" s="71"/>
      <c r="AP22" s="71"/>
      <c r="AQ22" s="71">
        <f ca="1">-IF(C22=1,('Invoer gegevens (N)'!$C$10*'Invoer gegevens (N)'!$F$35)*'Reeksen (N)'!J22,0)</f>
        <v>0</v>
      </c>
      <c r="AR22" s="71">
        <f ca="1">-IF(C22=1,(G22*'Invoer gegevens (N)'!$F$36)*'Reeksen (N)'!J22,0)</f>
        <v>0</v>
      </c>
      <c r="AS22" s="71">
        <f ca="1">-IF(C22=1,'Invoer gegevens (N)'!$C$10*'Invoer gegevens (N)'!$F$37*'Reeksen (N)'!L22,0)</f>
        <v>0</v>
      </c>
      <c r="AT22" s="71">
        <f ca="1">-IF(C22=1,IF(E22='Invoer gegevens (N)'!$C$17,'Invoer gegevens (N)'!$C$11,Q22)*'Reeksen (N)'!S22*'Invoer gegevens (N)'!$C$18*'Reeksen (N)'!P22,0)</f>
        <v>0</v>
      </c>
      <c r="AU22" s="71">
        <f ca="1">-IF(C22=1,'Invoer gegevens (N)'!$C$10*'Invoer gegevens (N)'!$F$38*'Reeksen (N)'!H22,0)</f>
        <v>0</v>
      </c>
      <c r="AV22" s="71">
        <v>0</v>
      </c>
      <c r="AW22" s="71">
        <f t="shared" ca="1" si="4"/>
        <v>0</v>
      </c>
      <c r="AX22" s="72">
        <f ca="1">IF(E22='Invoer gegevens (N)'!$C$17+14,IF('Invoer gegevens (N)'!$C$20="Ja",MAX('RW - MW - DE - DE (N)'!$AY$236,'RW - MW - DE - UP (N)'!$AY$236,'RW - MW - DE - DE (N)'!$AY$236)),0)</f>
        <v>0</v>
      </c>
      <c r="AY22" s="72">
        <f ca="1">IFERROR(IF(E22='Invoer gegevens (N)'!$C$17,-'Invoer gegevens (N)'!$C$10*'Invoer gegevens (N)'!$C$31*'Reeksen (N)'!H22,0),0)</f>
        <v>0</v>
      </c>
      <c r="AZ22" s="73">
        <f ca="1">IF('Invoer gegevens (N)'!$C$34=E22,'Invoer gegevens (N)'!$C$27*'Invoer gegevens (N)'!$C$10*'Invoer gegevens (N)'!$C$36*(IF('Invoer gegevens (N)'!$C$35="ja",1,'Reeksen (N)'!J22)),IF('Invoer gegevens (N)'!$C$34+1=E22,'Invoer gegevens (N)'!$C$27*'Invoer gegevens (N)'!$C$10*'Invoer gegevens (N)'!$C$37*(IF('Invoer gegevens (N)'!$C$35="ja",1,'Reeksen (N)'!J22)),0))+IF(AND(E22='Invoer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2" s="73">
        <f ca="1">AW22/(1+'Invoer gegevens (N)'!$F$13)^($D22-('Invoer gegevens (N)'!$C$17-'Invoer gegevens (N)'!$C$16))/(1+'Invoer gegevens (N)'!$C$39)^('Invoer gegevens (N)'!$C$17-'Invoer gegevens (N)'!$C$16)</f>
        <v>0</v>
      </c>
      <c r="BB22" s="73">
        <f ca="1">AX22/(1+'Invoer gegevens (N)'!$F$13)^(E22-('Invoer gegevens (N)'!$C$17-1))/(1+'Invoer gegevens (N)'!$C$39)^('Invoer gegevens (N)'!$C$17-'Invoer gegevens (N)'!$C$16)</f>
        <v>0</v>
      </c>
      <c r="BC22" s="73">
        <f ca="1">AY22/(1+'Invoer gegevens (N)'!$C$39)^('Invoer gegevens (N)'!$C$17-'Invoer gegevens (N)'!$C$16)</f>
        <v>0</v>
      </c>
      <c r="BD22" s="72">
        <f t="shared" ca="1" si="5"/>
        <v>0</v>
      </c>
      <c r="BE22" s="72">
        <f ca="1">IF(AND(E22='Invoer gegevens (N)'!$C$16,'Invoer gegevens (N)'!$C$34&lt;'Invoer gegevens (N)'!$C$16),AZ22,AZ22/(1+'Invoer gegevens (N)'!$C$39)^D22)</f>
        <v>0</v>
      </c>
      <c r="BF22" s="72">
        <f ca="1">IF(E22='Invoer gegevens (N)'!$C$34,-'Invoer gegevens (N)'!$F$40,0)</f>
        <v>0</v>
      </c>
      <c r="BG22" s="72">
        <f ca="1">IF(E22='Invoer gegevens (N)'!$C$17,-'Invoer gegevens (N)'!$C$19*$BD$31,0)</f>
        <v>0</v>
      </c>
      <c r="BH22" s="72">
        <f ca="1">AW22/(1+$BH$4)^($D22-('Invoer gegevens (N)'!$C$17-'Invoer gegevens (N)'!$C$16))/(1+'Invoer gegevens (N)'!$C$39)^('Invoer gegevens (N)'!$C$17-'Invoer gegevens (N)'!$C$16)+AX22/(1+$BH$4)^(E22-('Invoer gegevens (N)'!$C$17-1))/(1+'Invoer gegevens (N)'!$C$39)^('Invoer gegevens (N)'!$C$17-'Invoer gegevens (N)'!$C$16)+AY22/(1+'Invoer gegevens (N)'!$C$39)^('Invoer gegevens (N)'!$C$17-'Invoer gegevens (N)'!$C$16)+(-AZ22/(1+'Invoer gegevens (N)'!$C$39)^D22)+BF22+BG22</f>
        <v>0</v>
      </c>
      <c r="BI22" s="59"/>
    </row>
    <row r="23" spans="1:67" x14ac:dyDescent="0.25">
      <c r="A23" s="59"/>
      <c r="B23" s="70">
        <f t="shared" si="6"/>
        <v>19</v>
      </c>
      <c r="C23" s="67">
        <f ca="1">IF(AND(E23&gt;='Invoer gegevens (N)'!$C$17,E23&lt;'Invoer gegevens (N)'!$C$17+15),1,0)</f>
        <v>0</v>
      </c>
      <c r="D23" s="68">
        <f t="shared" si="7"/>
        <v>18.5</v>
      </c>
      <c r="E23" s="69">
        <f ca="1">IF('Invoer gegevens (N)'!$C$16="","",E22+1)</f>
        <v>2037</v>
      </c>
      <c r="F23" s="82">
        <f ca="1">IF('Invoer gegevens (N)'!$C$17=E23,'Invoer gegevens (N)'!$C$10,IF(C23=1,H22,0))</f>
        <v>0</v>
      </c>
      <c r="G23" s="83">
        <f ca="1">IF(E23='Invoer gegevens (N)'!$C$17+15,H22,IF(C23&gt;=1,F23*'Reeksen (N)'!C23,0))</f>
        <v>0</v>
      </c>
      <c r="H23" s="84">
        <f ca="1">IF(E23&gt;='Invoer gegevens (N)'!$C$17+15,0,F23-G23)</f>
        <v>0</v>
      </c>
      <c r="I23" s="85">
        <v>0</v>
      </c>
      <c r="J23" s="86">
        <f ca="1">IF(E23='Invoer gegevens (N)'!$C$17+15,L22,IF(C23&lt;1,0,IF('Reeksen (N)'!AD23&lt;='Reeksen (N)'!AE23,I23*'Reeksen (N)'!C23,0)))</f>
        <v>0</v>
      </c>
      <c r="K23" s="86">
        <f ca="1">IF(E23='Invoer gegevens (N)'!$C$17+15,L22,IF(C23&lt;1,0,IF('Reeksen (N)'!AD23&gt;'Reeksen (N)'!AE23,I23*'Reeksen (N)'!C23,0)))</f>
        <v>0</v>
      </c>
      <c r="L23" s="86">
        <f ca="1">IF(E23&gt;='Invoer gegevens (N)'!$C$17+15,0,I23-J23-K23)</f>
        <v>0</v>
      </c>
      <c r="M23" s="85">
        <f ca="1">IF('Invoer gegevens (N)'!$C$17=E23,'Invoer gegevens (N)'!$C$10-'Invoer gegevens (N)'!$C$11,IF(C23=1,P22,0))</f>
        <v>0</v>
      </c>
      <c r="N23" s="86">
        <f ca="1">IF(E23='Invoer gegevens (N)'!$C$17+15,P22,IF(C23&lt;1,0,IF('Reeksen (N)'!AD23&lt;='Reeksen (N)'!AE23,M23*'Reeksen (N)'!C23,0)))</f>
        <v>0</v>
      </c>
      <c r="O23" s="86">
        <f ca="1">IF(E23='Invoer gegevens (N)'!$C$17+15,P22,IF(C23&lt;1,0,IF('Reeksen (N)'!AD23&gt;'Reeksen (N)'!AE23,M23*'Reeksen (N)'!C23,0)))</f>
        <v>0</v>
      </c>
      <c r="P23" s="86">
        <f ca="1">IF(E23&gt;='Invoer gegevens (N)'!$C$17+15,0,M23-N23-O23)</f>
        <v>0</v>
      </c>
      <c r="Q23" s="82">
        <f ca="1">IF('Invoer gegevens (N)'!$C$17=E23,I23,IF(C23=0,0,R22))</f>
        <v>0</v>
      </c>
      <c r="R23" s="84">
        <f t="shared" ca="1" si="0"/>
        <v>0</v>
      </c>
      <c r="S23" s="84">
        <f ca="1">IF('Invoer gegevens (N)'!$C$17=E23,M23,IF(C23=0,0,T22))</f>
        <v>0</v>
      </c>
      <c r="T23" s="84">
        <f t="shared" ca="1" si="1"/>
        <v>0</v>
      </c>
      <c r="AH23" s="70"/>
      <c r="AI23" s="71">
        <f ca="1">IF(C23=1,((F23+H23)/2*'Reeksen (N)'!AI23*12)+(('Invoer gegevens (N)'!$C$10-(F23+H23)/2)*'Reeksen (N)'!AD23*12),0)</f>
        <v>0</v>
      </c>
      <c r="AJ23" s="71">
        <f ca="1">-AI23*'Invoer gegevens (N)'!$F$28</f>
        <v>0</v>
      </c>
      <c r="AK23" s="71">
        <f t="shared" ca="1" si="2"/>
        <v>0</v>
      </c>
      <c r="AL23" s="71">
        <f ca="1">IF(C23=1,(12*((F23+H23)/2)*'Reeksen (N)'!AL23)+(12*('Invoer gegevens (N)'!$C$10-(F23+H23)/2)*'Reeksen (N)'!AM23),0)</f>
        <v>0</v>
      </c>
      <c r="AM23" s="71">
        <f ca="1">-AL23*'Invoer gegevens (N)'!$F$31</f>
        <v>0</v>
      </c>
      <c r="AN23" s="71">
        <f t="shared" ca="1" si="3"/>
        <v>0</v>
      </c>
      <c r="AO23" s="71"/>
      <c r="AP23" s="71"/>
      <c r="AQ23" s="71">
        <f ca="1">-IF(C23=1,('Invoer gegevens (N)'!$C$10*'Invoer gegevens (N)'!$F$35)*'Reeksen (N)'!J23,0)</f>
        <v>0</v>
      </c>
      <c r="AR23" s="71">
        <f ca="1">-IF(C23=1,(G23*'Invoer gegevens (N)'!$F$36)*'Reeksen (N)'!J23,0)</f>
        <v>0</v>
      </c>
      <c r="AS23" s="71">
        <f ca="1">-IF(C23=1,'Invoer gegevens (N)'!$C$10*'Invoer gegevens (N)'!$F$37*'Reeksen (N)'!L23,0)</f>
        <v>0</v>
      </c>
      <c r="AT23" s="71">
        <f ca="1">-IF(C23=1,IF(E23='Invoer gegevens (N)'!$C$17,'Invoer gegevens (N)'!$C$11,Q23)*'Reeksen (N)'!S23*'Invoer gegevens (N)'!$C$18*'Reeksen (N)'!P23,0)</f>
        <v>0</v>
      </c>
      <c r="AU23" s="71">
        <f ca="1">-IF(C23=1,'Invoer gegevens (N)'!$C$10*'Invoer gegevens (N)'!$F$38*'Reeksen (N)'!H23,0)</f>
        <v>0</v>
      </c>
      <c r="AV23" s="71">
        <v>0</v>
      </c>
      <c r="AW23" s="71">
        <f t="shared" ca="1" si="4"/>
        <v>0</v>
      </c>
      <c r="AX23" s="72">
        <f ca="1">IF(E23='Invoer gegevens (N)'!$C$17+14,IF('Invoer gegevens (N)'!$C$20="Ja",MAX('RW - MW - DE - DE (N)'!$AY$236,'RW - MW - DE - UP (N)'!$AY$236,'RW - MW - DE - DE (N)'!$AY$236)),0)</f>
        <v>0</v>
      </c>
      <c r="AY23" s="72">
        <f ca="1">IFERROR(IF(E23='Invoer gegevens (N)'!$C$17,-'Invoer gegevens (N)'!$C$10*'Invoer gegevens (N)'!$C$31*'Reeksen (N)'!H23,0),0)</f>
        <v>0</v>
      </c>
      <c r="AZ23" s="73">
        <f ca="1">IF('Invoer gegevens (N)'!$C$34=E23,'Invoer gegevens (N)'!$C$27*'Invoer gegevens (N)'!$C$10*'Invoer gegevens (N)'!$C$36*(IF('Invoer gegevens (N)'!$C$35="ja",1,'Reeksen (N)'!J23)),IF('Invoer gegevens (N)'!$C$34+1=E23,'Invoer gegevens (N)'!$C$27*'Invoer gegevens (N)'!$C$10*'Invoer gegevens (N)'!$C$37*(IF('Invoer gegevens (N)'!$C$35="ja",1,'Reeksen (N)'!J23)),0))+IF(AND(E23='Invoer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3" s="73">
        <f ca="1">AW23/(1+'Invoer gegevens (N)'!$F$13)^($D23-('Invoer gegevens (N)'!$C$17-'Invoer gegevens (N)'!$C$16))/(1+'Invoer gegevens (N)'!$C$39)^('Invoer gegevens (N)'!$C$17-'Invoer gegevens (N)'!$C$16)</f>
        <v>0</v>
      </c>
      <c r="BB23" s="73">
        <f ca="1">AX23/(1+'Invoer gegevens (N)'!$F$13)^(E23-('Invoer gegevens (N)'!$C$17-1))/(1+'Invoer gegevens (N)'!$C$39)^('Invoer gegevens (N)'!$C$17-'Invoer gegevens (N)'!$C$16)</f>
        <v>0</v>
      </c>
      <c r="BC23" s="73">
        <f ca="1">AY23/(1+'Invoer gegevens (N)'!$C$39)^('Invoer gegevens (N)'!$C$17-'Invoer gegevens (N)'!$C$16)</f>
        <v>0</v>
      </c>
      <c r="BD23" s="72">
        <f t="shared" ca="1" si="5"/>
        <v>0</v>
      </c>
      <c r="BE23" s="72">
        <f ca="1">IF(AND(E23='Invoer gegevens (N)'!$C$16,'Invoer gegevens (N)'!$C$34&lt;'Invoer gegevens (N)'!$C$16),AZ23,AZ23/(1+'Invoer gegevens (N)'!$C$39)^D23)</f>
        <v>0</v>
      </c>
      <c r="BF23" s="72">
        <f ca="1">IF(E23='Invoer gegevens (N)'!$C$34,-'Invoer gegevens (N)'!$F$40,0)</f>
        <v>0</v>
      </c>
      <c r="BG23" s="72">
        <f ca="1">IF(E23='Invoer gegevens (N)'!$C$17,-'Invoer gegevens (N)'!$C$19*$BD$31,0)</f>
        <v>0</v>
      </c>
      <c r="BH23" s="72">
        <f ca="1">AW23/(1+$BH$4)^($D23-('Invoer gegevens (N)'!$C$17-'Invoer gegevens (N)'!$C$16))/(1+'Invoer gegevens (N)'!$C$39)^('Invoer gegevens (N)'!$C$17-'Invoer gegevens (N)'!$C$16)+AX23/(1+$BH$4)^(E23-('Invoer gegevens (N)'!$C$17-1))/(1+'Invoer gegevens (N)'!$C$39)^('Invoer gegevens (N)'!$C$17-'Invoer gegevens (N)'!$C$16)+AY23/(1+'Invoer gegevens (N)'!$C$39)^('Invoer gegevens (N)'!$C$17-'Invoer gegevens (N)'!$C$16)+(-AZ23/(1+'Invoer gegevens (N)'!$C$39)^D23)+BF23+BG23</f>
        <v>0</v>
      </c>
      <c r="BI23" s="59"/>
    </row>
    <row r="24" spans="1:67" x14ac:dyDescent="0.25">
      <c r="A24" s="59"/>
      <c r="B24" s="70">
        <f t="shared" si="6"/>
        <v>20</v>
      </c>
      <c r="C24" s="67">
        <f ca="1">IF(AND(E24&gt;='Invoer gegevens (N)'!$C$17,E24&lt;'Invoer gegevens (N)'!$C$17+15),1,0)</f>
        <v>0</v>
      </c>
      <c r="D24" s="68">
        <f t="shared" si="7"/>
        <v>19.5</v>
      </c>
      <c r="E24" s="69">
        <f ca="1">IF('Invoer gegevens (N)'!$C$16="","",E23+1)</f>
        <v>2038</v>
      </c>
      <c r="F24" s="82">
        <f ca="1">IF('Invoer gegevens (N)'!$C$17=E24,'Invoer gegevens (N)'!$C$10,IF(C24=1,H23,0))</f>
        <v>0</v>
      </c>
      <c r="G24" s="83">
        <f ca="1">IF(E24='Invoer gegevens (N)'!$C$17+15,H23,IF(C24&gt;=1,F24*'Reeksen (N)'!C24,0))</f>
        <v>0</v>
      </c>
      <c r="H24" s="84">
        <f ca="1">IF(E24&gt;='Invoer gegevens (N)'!$C$17+15,0,F24-G24)</f>
        <v>0</v>
      </c>
      <c r="I24" s="85">
        <v>0</v>
      </c>
      <c r="J24" s="86">
        <f ca="1">IF(E24='Invoer gegevens (N)'!$C$17+15,L23,IF(C24&lt;1,0,IF('Reeksen (N)'!AD24&lt;='Reeksen (N)'!AE24,I24*'Reeksen (N)'!C24,0)))</f>
        <v>0</v>
      </c>
      <c r="K24" s="86">
        <f ca="1">IF(E24='Invoer gegevens (N)'!$C$17+15,L23,IF(C24&lt;1,0,IF('Reeksen (N)'!AD24&gt;'Reeksen (N)'!AE24,I24*'Reeksen (N)'!C24,0)))</f>
        <v>0</v>
      </c>
      <c r="L24" s="86">
        <f ca="1">IF(E24&gt;='Invoer gegevens (N)'!$C$17+15,0,I24-J24-K24)</f>
        <v>0</v>
      </c>
      <c r="M24" s="85">
        <f ca="1">IF('Invoer gegevens (N)'!$C$17=E24,'Invoer gegevens (N)'!$C$10-'Invoer gegevens (N)'!$C$11,IF(C24=1,P23,0))</f>
        <v>0</v>
      </c>
      <c r="N24" s="86">
        <f ca="1">IF(E24='Invoer gegevens (N)'!$C$17+15,P23,IF(C24&lt;1,0,IF('Reeksen (N)'!AD24&lt;='Reeksen (N)'!AE24,M24*'Reeksen (N)'!C24,0)))</f>
        <v>0</v>
      </c>
      <c r="O24" s="86">
        <f ca="1">IF(E24='Invoer gegevens (N)'!$C$17+15,P23,IF(C24&lt;1,0,IF('Reeksen (N)'!AD24&gt;'Reeksen (N)'!AE24,M24*'Reeksen (N)'!C24,0)))</f>
        <v>0</v>
      </c>
      <c r="P24" s="86">
        <f ca="1">IF(E24&gt;='Invoer gegevens (N)'!$C$17+15,0,M24-N24-O24)</f>
        <v>0</v>
      </c>
      <c r="Q24" s="82">
        <f ca="1">IF('Invoer gegevens (N)'!$C$17=E24,I24,IF(C24=0,0,R23))</f>
        <v>0</v>
      </c>
      <c r="R24" s="84">
        <f t="shared" ca="1" si="0"/>
        <v>0</v>
      </c>
      <c r="S24" s="84">
        <f ca="1">IF('Invoer gegevens (N)'!$C$17=E24,M24,IF(C24=0,0,T23))</f>
        <v>0</v>
      </c>
      <c r="T24" s="84">
        <f t="shared" ca="1" si="1"/>
        <v>0</v>
      </c>
      <c r="AH24" s="70"/>
      <c r="AI24" s="71">
        <f ca="1">IF(C24=1,((F24+H24)/2*'Reeksen (N)'!AI24*12)+(('Invoer gegevens (N)'!$C$10-(F24+H24)/2)*'Reeksen (N)'!AD24*12),0)</f>
        <v>0</v>
      </c>
      <c r="AJ24" s="71">
        <f ca="1">-AI24*'Invoer gegevens (N)'!$F$28</f>
        <v>0</v>
      </c>
      <c r="AK24" s="71">
        <f t="shared" ca="1" si="2"/>
        <v>0</v>
      </c>
      <c r="AL24" s="71">
        <f ca="1">IF(C24=1,(12*((F24+H24)/2)*'Reeksen (N)'!AL24)+(12*('Invoer gegevens (N)'!$C$10-(F24+H24)/2)*'Reeksen (N)'!AM24),0)</f>
        <v>0</v>
      </c>
      <c r="AM24" s="71">
        <f ca="1">-AL24*'Invoer gegevens (N)'!$F$31</f>
        <v>0</v>
      </c>
      <c r="AN24" s="71">
        <f t="shared" ca="1" si="3"/>
        <v>0</v>
      </c>
      <c r="AO24" s="71"/>
      <c r="AP24" s="71"/>
      <c r="AQ24" s="71">
        <f ca="1">-IF(C24=1,('Invoer gegevens (N)'!$C$10*'Invoer gegevens (N)'!$F$35)*'Reeksen (N)'!J24,0)</f>
        <v>0</v>
      </c>
      <c r="AR24" s="71">
        <f ca="1">-IF(C24=1,(G24*'Invoer gegevens (N)'!$F$36)*'Reeksen (N)'!J24,0)</f>
        <v>0</v>
      </c>
      <c r="AS24" s="71">
        <f ca="1">-IF(C24=1,'Invoer gegevens (N)'!$C$10*'Invoer gegevens (N)'!$F$37*'Reeksen (N)'!L24,0)</f>
        <v>0</v>
      </c>
      <c r="AT24" s="71">
        <f ca="1">-IF(C24=1,IF(E24='Invoer gegevens (N)'!$C$17,'Invoer gegevens (N)'!$C$11,Q24)*'Reeksen (N)'!S24*'Invoer gegevens (N)'!$C$18*'Reeksen (N)'!P24,0)</f>
        <v>0</v>
      </c>
      <c r="AU24" s="71">
        <f ca="1">-IF(C24=1,'Invoer gegevens (N)'!$C$10*'Invoer gegevens (N)'!$F$38*'Reeksen (N)'!H24,0)</f>
        <v>0</v>
      </c>
      <c r="AV24" s="71">
        <v>0</v>
      </c>
      <c r="AW24" s="71">
        <f t="shared" ca="1" si="4"/>
        <v>0</v>
      </c>
      <c r="AX24" s="72">
        <f ca="1">IF(E24='Invoer gegevens (N)'!$C$17+14,IF('Invoer gegevens (N)'!$C$20="Ja",MAX('RW - MW - DE - DE (N)'!$AY$236,'RW - MW - DE - UP (N)'!$AY$236,'RW - MW - DE - DE (N)'!$AY$236)),0)</f>
        <v>0</v>
      </c>
      <c r="AY24" s="72">
        <f ca="1">IFERROR(IF(E24='Invoer gegevens (N)'!$C$17,-'Invoer gegevens (N)'!$C$10*'Invoer gegevens (N)'!$C$31*'Reeksen (N)'!H24,0),0)</f>
        <v>0</v>
      </c>
      <c r="AZ24" s="73">
        <f ca="1">IF('Invoer gegevens (N)'!$C$34=E24,'Invoer gegevens (N)'!$C$27*'Invoer gegevens (N)'!$C$10*'Invoer gegevens (N)'!$C$36*(IF('Invoer gegevens (N)'!$C$35="ja",1,'Reeksen (N)'!J24)),IF('Invoer gegevens (N)'!$C$34+1=E24,'Invoer gegevens (N)'!$C$27*'Invoer gegevens (N)'!$C$10*'Invoer gegevens (N)'!$C$37*(IF('Invoer gegevens (N)'!$C$35="ja",1,'Reeksen (N)'!J24)),0))+IF(AND(E24='Invoer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4" s="73">
        <f ca="1">AW24/(1+'Invoer gegevens (N)'!$F$13)^($D24-('Invoer gegevens (N)'!$C$17-'Invoer gegevens (N)'!$C$16))/(1+'Invoer gegevens (N)'!$C$39)^('Invoer gegevens (N)'!$C$17-'Invoer gegevens (N)'!$C$16)</f>
        <v>0</v>
      </c>
      <c r="BB24" s="73">
        <f ca="1">AX24/(1+'Invoer gegevens (N)'!$F$13)^(E24-('Invoer gegevens (N)'!$C$17-1))/(1+'Invoer gegevens (N)'!$C$39)^('Invoer gegevens (N)'!$C$17-'Invoer gegevens (N)'!$C$16)</f>
        <v>0</v>
      </c>
      <c r="BC24" s="73">
        <f ca="1">AY24/(1+'Invoer gegevens (N)'!$C$39)^('Invoer gegevens (N)'!$C$17-'Invoer gegevens (N)'!$C$16)</f>
        <v>0</v>
      </c>
      <c r="BD24" s="72">
        <f t="shared" ca="1" si="5"/>
        <v>0</v>
      </c>
      <c r="BE24" s="72">
        <f ca="1">IF(AND(E24='Invoer gegevens (N)'!$C$16,'Invoer gegevens (N)'!$C$34&lt;'Invoer gegevens (N)'!$C$16),AZ24,AZ24/(1+'Invoer gegevens (N)'!$C$39)^D24)</f>
        <v>0</v>
      </c>
      <c r="BF24" s="72">
        <f ca="1">IF(E24='Invoer gegevens (N)'!$C$34,-'Invoer gegevens (N)'!$F$40,0)</f>
        <v>0</v>
      </c>
      <c r="BG24" s="72">
        <f ca="1">IF(E24='Invoer gegevens (N)'!$C$17,-'Invoer gegevens (N)'!$C$19*$BD$31,0)</f>
        <v>0</v>
      </c>
      <c r="BH24" s="72">
        <f ca="1">AW24/(1+$BH$4)^($D24-('Invoer gegevens (N)'!$C$17-'Invoer gegevens (N)'!$C$16))/(1+'Invoer gegevens (N)'!$C$39)^('Invoer gegevens (N)'!$C$17-'Invoer gegevens (N)'!$C$16)+AX24/(1+$BH$4)^(E24-('Invoer gegevens (N)'!$C$17-1))/(1+'Invoer gegevens (N)'!$C$39)^('Invoer gegevens (N)'!$C$17-'Invoer gegevens (N)'!$C$16)+AY24/(1+'Invoer gegevens (N)'!$C$39)^('Invoer gegevens (N)'!$C$17-'Invoer gegevens (N)'!$C$16)+(-AZ24/(1+'Invoer gegevens (N)'!$C$39)^D24)+BF24+BG24</f>
        <v>0</v>
      </c>
      <c r="BI24" s="59"/>
    </row>
    <row r="25" spans="1:67" x14ac:dyDescent="0.25">
      <c r="A25" s="59"/>
      <c r="B25" s="70">
        <f t="shared" si="6"/>
        <v>21</v>
      </c>
      <c r="C25" s="67">
        <f ca="1">IF(AND(E25&gt;='Invoer gegevens (N)'!$C$17,E25&lt;'Invoer gegevens (N)'!$C$17+15),1,0)</f>
        <v>0</v>
      </c>
      <c r="D25" s="68">
        <f t="shared" si="7"/>
        <v>20.5</v>
      </c>
      <c r="E25" s="69">
        <f ca="1">IF('Invoer gegevens (N)'!$C$16="","",E24+1)</f>
        <v>2039</v>
      </c>
      <c r="F25" s="82">
        <f ca="1">IF('Invoer gegevens (N)'!$C$17=E25,'Invoer gegevens (N)'!$C$10,IF(C25=1,H24,0))</f>
        <v>0</v>
      </c>
      <c r="G25" s="83">
        <f ca="1">IF(E25='Invoer gegevens (N)'!$C$17+15,H24,IF(C25&gt;=1,F25*'Reeksen (N)'!C25,0))</f>
        <v>0</v>
      </c>
      <c r="H25" s="84">
        <f ca="1">IF(E25&gt;='Invoer gegevens (N)'!$C$17+15,0,F25-G25)</f>
        <v>0</v>
      </c>
      <c r="I25" s="85">
        <v>0</v>
      </c>
      <c r="J25" s="86">
        <f ca="1">IF(E25='Invoer gegevens (N)'!$C$17+15,L24,IF(C25&lt;1,0,IF('Reeksen (N)'!AD25&lt;='Reeksen (N)'!AE25,I25*'Reeksen (N)'!C25,0)))</f>
        <v>0</v>
      </c>
      <c r="K25" s="86">
        <f ca="1">IF(E25='Invoer gegevens (N)'!$C$17+15,L24,IF(C25&lt;1,0,IF('Reeksen (N)'!AD25&gt;'Reeksen (N)'!AE25,I25*'Reeksen (N)'!C25,0)))</f>
        <v>0</v>
      </c>
      <c r="L25" s="86">
        <f ca="1">IF(E25&gt;='Invoer gegevens (N)'!$C$17+15,0,I25-J25-K25)</f>
        <v>0</v>
      </c>
      <c r="M25" s="85">
        <f ca="1">IF('Invoer gegevens (N)'!$C$17=E25,'Invoer gegevens (N)'!$C$10-'Invoer gegevens (N)'!$C$11,IF(C25=1,P24,0))</f>
        <v>0</v>
      </c>
      <c r="N25" s="86">
        <f ca="1">IF(E25='Invoer gegevens (N)'!$C$17+15,P24,IF(C25&lt;1,0,IF('Reeksen (N)'!AD25&lt;='Reeksen (N)'!AE25,M25*'Reeksen (N)'!C25,0)))</f>
        <v>0</v>
      </c>
      <c r="O25" s="86">
        <f ca="1">IF(E25='Invoer gegevens (N)'!$C$17+15,P24,IF(C25&lt;1,0,IF('Reeksen (N)'!AD25&gt;'Reeksen (N)'!AE25,M25*'Reeksen (N)'!C25,0)))</f>
        <v>0</v>
      </c>
      <c r="P25" s="86">
        <f ca="1">IF(E25&gt;='Invoer gegevens (N)'!$C$17+15,0,M25-N25-O25)</f>
        <v>0</v>
      </c>
      <c r="Q25" s="82">
        <f ca="1">IF('Invoer gegevens (N)'!$C$17=E25,I25,IF(C25=0,0,R24))</f>
        <v>0</v>
      </c>
      <c r="R25" s="84">
        <f t="shared" ca="1" si="0"/>
        <v>0</v>
      </c>
      <c r="S25" s="84">
        <f ca="1">IF('Invoer gegevens (N)'!$C$17=E25,M25,IF(C25=0,0,T24))</f>
        <v>0</v>
      </c>
      <c r="T25" s="84">
        <f t="shared" ca="1" si="1"/>
        <v>0</v>
      </c>
      <c r="AH25" s="70"/>
      <c r="AI25" s="71">
        <f ca="1">IF(C25=1,((F25+H25)/2*'Reeksen (N)'!AI25*12)+(('Invoer gegevens (N)'!$C$10-(F25+H25)/2)*'Reeksen (N)'!AD25*12),0)</f>
        <v>0</v>
      </c>
      <c r="AJ25" s="71">
        <f ca="1">-AI25*'Invoer gegevens (N)'!$F$28</f>
        <v>0</v>
      </c>
      <c r="AK25" s="71">
        <f t="shared" ca="1" si="2"/>
        <v>0</v>
      </c>
      <c r="AL25" s="71">
        <f ca="1">IF(C25=1,(12*((F25+H25)/2)*'Reeksen (N)'!AL25)+(12*('Invoer gegevens (N)'!$C$10-(F25+H25)/2)*'Reeksen (N)'!AM25),0)</f>
        <v>0</v>
      </c>
      <c r="AM25" s="71">
        <f ca="1">-AL25*'Invoer gegevens (N)'!$F$31</f>
        <v>0</v>
      </c>
      <c r="AN25" s="71">
        <f t="shared" ca="1" si="3"/>
        <v>0</v>
      </c>
      <c r="AO25" s="71"/>
      <c r="AP25" s="71"/>
      <c r="AQ25" s="71">
        <f ca="1">-IF(C25=1,('Invoer gegevens (N)'!$C$10*'Invoer gegevens (N)'!$F$35)*'Reeksen (N)'!J25,0)</f>
        <v>0</v>
      </c>
      <c r="AR25" s="71">
        <f ca="1">-IF(C25=1,(G25*'Invoer gegevens (N)'!$F$36)*'Reeksen (N)'!J25,0)</f>
        <v>0</v>
      </c>
      <c r="AS25" s="71">
        <f ca="1">-IF(C25=1,'Invoer gegevens (N)'!$C$10*'Invoer gegevens (N)'!$F$37*'Reeksen (N)'!L25,0)</f>
        <v>0</v>
      </c>
      <c r="AT25" s="71">
        <f ca="1">-IF(C25=1,IF(E25='Invoer gegevens (N)'!$C$17,'Invoer gegevens (N)'!$C$11,Q25)*'Reeksen (N)'!S25*'Invoer gegevens (N)'!$C$18*'Reeksen (N)'!P25,0)</f>
        <v>0</v>
      </c>
      <c r="AU25" s="71">
        <f ca="1">-IF(C25=1,'Invoer gegevens (N)'!$C$10*'Invoer gegevens (N)'!$F$38*'Reeksen (N)'!H25,0)</f>
        <v>0</v>
      </c>
      <c r="AV25" s="71">
        <v>0</v>
      </c>
      <c r="AW25" s="71">
        <f t="shared" ca="1" si="4"/>
        <v>0</v>
      </c>
      <c r="AX25" s="72">
        <f ca="1">IF(E25='Invoer gegevens (N)'!$C$17+14,IF('Invoer gegevens (N)'!$C$20="Ja",MAX('RW - MW - DE - DE (N)'!$AY$236,'RW - MW - DE - UP (N)'!$AY$236,'RW - MW - DE - DE (N)'!$AY$236)),0)</f>
        <v>0</v>
      </c>
      <c r="AY25" s="72">
        <f ca="1">IFERROR(IF(E25='Invoer gegevens (N)'!$C$17,-'Invoer gegevens (N)'!$C$10*'Invoer gegevens (N)'!$C$31*'Reeksen (N)'!H25,0),0)</f>
        <v>0</v>
      </c>
      <c r="AZ25" s="73">
        <f ca="1">IF('Invoer gegevens (N)'!$C$34=E25,'Invoer gegevens (N)'!$C$27*'Invoer gegevens (N)'!$C$10*'Invoer gegevens (N)'!$C$36*(IF('Invoer gegevens (N)'!$C$35="ja",1,'Reeksen (N)'!J25)),IF('Invoer gegevens (N)'!$C$34+1=E25,'Invoer gegevens (N)'!$C$27*'Invoer gegevens (N)'!$C$10*'Invoer gegevens (N)'!$C$37*(IF('Invoer gegevens (N)'!$C$35="ja",1,'Reeksen (N)'!J25)),0))+IF(AND(E25='Invoer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5" s="73">
        <f ca="1">AW25/(1+'Invoer gegevens (N)'!$F$13)^($D25-('Invoer gegevens (N)'!$C$17-'Invoer gegevens (N)'!$C$16))/(1+'Invoer gegevens (N)'!$C$39)^('Invoer gegevens (N)'!$C$17-'Invoer gegevens (N)'!$C$16)</f>
        <v>0</v>
      </c>
      <c r="BB25" s="73">
        <f ca="1">AX25/(1+'Invoer gegevens (N)'!$F$13)^(E25-('Invoer gegevens (N)'!$C$17-1))/(1+'Invoer gegevens (N)'!$C$39)^('Invoer gegevens (N)'!$C$17-'Invoer gegevens (N)'!$C$16)</f>
        <v>0</v>
      </c>
      <c r="BC25" s="73">
        <f ca="1">AY25/(1+'Invoer gegevens (N)'!$C$39)^('Invoer gegevens (N)'!$C$17-'Invoer gegevens (N)'!$C$16)</f>
        <v>0</v>
      </c>
      <c r="BD25" s="72">
        <f t="shared" ca="1" si="5"/>
        <v>0</v>
      </c>
      <c r="BE25" s="72">
        <f ca="1">IF(AND(E25='Invoer gegevens (N)'!$C$16,'Invoer gegevens (N)'!$C$34&lt;'Invoer gegevens (N)'!$C$16),AZ25,AZ25/(1+'Invoer gegevens (N)'!$C$39)^D25)</f>
        <v>0</v>
      </c>
      <c r="BF25" s="72">
        <f ca="1">IF(E25='Invoer gegevens (N)'!$C$34,-'Invoer gegevens (N)'!$F$40,0)</f>
        <v>0</v>
      </c>
      <c r="BG25" s="72">
        <f ca="1">IF(E25='Invoer gegevens (N)'!$C$17,-'Invoer gegevens (N)'!$C$19*$BD$31,0)</f>
        <v>0</v>
      </c>
      <c r="BH25" s="72">
        <f ca="1">AW25/(1+$BH$4)^($D25-('Invoer gegevens (N)'!$C$17-'Invoer gegevens (N)'!$C$16))/(1+'Invoer gegevens (N)'!$C$39)^('Invoer gegevens (N)'!$C$17-'Invoer gegevens (N)'!$C$16)+AX25/(1+$BH$4)^(E25-('Invoer gegevens (N)'!$C$17-1))/(1+'Invoer gegevens (N)'!$C$39)^('Invoer gegevens (N)'!$C$17-'Invoer gegevens (N)'!$C$16)+AY25/(1+'Invoer gegevens (N)'!$C$39)^('Invoer gegevens (N)'!$C$17-'Invoer gegevens (N)'!$C$16)+(-AZ25/(1+'Invoer gegevens (N)'!$C$39)^D25)+BF25+BG25</f>
        <v>0</v>
      </c>
      <c r="BI25" s="59"/>
    </row>
    <row r="26" spans="1:67" x14ac:dyDescent="0.25">
      <c r="A26" s="59"/>
      <c r="B26" s="70">
        <f>B25+1</f>
        <v>22</v>
      </c>
      <c r="C26" s="67">
        <f ca="1">IF(AND(E26&gt;='Invoer gegevens (N)'!$C$17,E26&lt;'Invoer gegevens (N)'!$C$17+15),1,0)</f>
        <v>0</v>
      </c>
      <c r="D26" s="68">
        <f t="shared" si="7"/>
        <v>21.5</v>
      </c>
      <c r="E26" s="69">
        <f ca="1">IF('Invoer gegevens (N)'!$C$16="","",E25+1)</f>
        <v>2040</v>
      </c>
      <c r="F26" s="82">
        <f ca="1">IF('Invoer gegevens (N)'!$C$17=E26,'Invoer gegevens (N)'!$C$10,IF(C26=1,H25,0))</f>
        <v>0</v>
      </c>
      <c r="G26" s="83">
        <f ca="1">IF(E26='Invoer gegevens (N)'!$C$17+15,H25,IF(C26&gt;=1,F26*'Reeksen (N)'!C26,0))</f>
        <v>0</v>
      </c>
      <c r="H26" s="84">
        <f ca="1">IF(E26&gt;='Invoer gegevens (N)'!$C$17+15,0,F26-G26)</f>
        <v>0</v>
      </c>
      <c r="I26" s="85">
        <v>0</v>
      </c>
      <c r="J26" s="86">
        <f ca="1">IF(E26='Invoer gegevens (N)'!$C$17+15,L25,IF(C26&lt;1,0,IF('Reeksen (N)'!AD26&lt;='Reeksen (N)'!AE26,I26*'Reeksen (N)'!C26,0)))</f>
        <v>0</v>
      </c>
      <c r="K26" s="86">
        <f ca="1">IF(E26='Invoer gegevens (N)'!$C$17+15,L25,IF(C26&lt;1,0,IF('Reeksen (N)'!AD26&gt;'Reeksen (N)'!AE26,I26*'Reeksen (N)'!C26,0)))</f>
        <v>0</v>
      </c>
      <c r="L26" s="86">
        <f ca="1">IF(E26&gt;='Invoer gegevens (N)'!$C$17+15,0,I26-J26-K26)</f>
        <v>0</v>
      </c>
      <c r="M26" s="85">
        <f ca="1">IF('Invoer gegevens (N)'!$C$17=E26,'Invoer gegevens (N)'!$C$10-'Invoer gegevens (N)'!$C$11,IF(C26=1,P25,0))</f>
        <v>0</v>
      </c>
      <c r="N26" s="86">
        <f ca="1">IF(E26='Invoer gegevens (N)'!$C$17+15,P25,IF(C26&lt;1,0,IF('Reeksen (N)'!AD26&lt;='Reeksen (N)'!AE26,M26*'Reeksen (N)'!C26,0)))</f>
        <v>0</v>
      </c>
      <c r="O26" s="86">
        <f ca="1">IF(E26='Invoer gegevens (N)'!$C$17+15,P25,IF(C26&lt;1,0,IF('Reeksen (N)'!AD26&gt;'Reeksen (N)'!AE26,M26*'Reeksen (N)'!C26,0)))</f>
        <v>0</v>
      </c>
      <c r="P26" s="86">
        <f ca="1">IF(E26&gt;='Invoer gegevens (N)'!$C$17+15,0,M26-N26-O26)</f>
        <v>0</v>
      </c>
      <c r="Q26" s="82">
        <f ca="1">IF('Invoer gegevens (N)'!$C$17=E26,I26,IF(C26=0,0,R25))</f>
        <v>0</v>
      </c>
      <c r="R26" s="84">
        <f t="shared" ca="1" si="0"/>
        <v>0</v>
      </c>
      <c r="S26" s="84">
        <f ca="1">IF('Invoer gegevens (N)'!$C$17=E26,M26,IF(C26=0,0,T25))</f>
        <v>0</v>
      </c>
      <c r="T26" s="84">
        <f t="shared" ca="1" si="1"/>
        <v>0</v>
      </c>
      <c r="AH26" s="70"/>
      <c r="AI26" s="71">
        <f ca="1">IF(C26=1,((F26+H26)/2*'Reeksen (N)'!AI26*12)+(('Invoer gegevens (N)'!$C$10-(F26+H26)/2)*'Reeksen (N)'!AD26*12),0)</f>
        <v>0</v>
      </c>
      <c r="AJ26" s="71">
        <f ca="1">-AI26*'Invoer gegevens (N)'!$F$28</f>
        <v>0</v>
      </c>
      <c r="AK26" s="71">
        <f t="shared" ca="1" si="2"/>
        <v>0</v>
      </c>
      <c r="AL26" s="71">
        <f ca="1">IF(C26=1,(12*((F26+H26)/2)*'Reeksen (N)'!AL26)+(12*('Invoer gegevens (N)'!$C$10-(F26+H26)/2)*'Reeksen (N)'!AM26),0)</f>
        <v>0</v>
      </c>
      <c r="AM26" s="71">
        <f ca="1">-AL26*'Invoer gegevens (N)'!$F$31</f>
        <v>0</v>
      </c>
      <c r="AN26" s="71">
        <f t="shared" ca="1" si="3"/>
        <v>0</v>
      </c>
      <c r="AO26" s="71"/>
      <c r="AP26" s="71"/>
      <c r="AQ26" s="71">
        <f ca="1">-IF(C26=1,('Invoer gegevens (N)'!$C$10*'Invoer gegevens (N)'!$F$35)*'Reeksen (N)'!J26,0)</f>
        <v>0</v>
      </c>
      <c r="AR26" s="71">
        <f ca="1">-IF(C26=1,(G26*'Invoer gegevens (N)'!$F$36)*'Reeksen (N)'!J26,0)</f>
        <v>0</v>
      </c>
      <c r="AS26" s="71">
        <f ca="1">-IF(C26=1,'Invoer gegevens (N)'!$C$10*'Invoer gegevens (N)'!$F$37*'Reeksen (N)'!L26,0)</f>
        <v>0</v>
      </c>
      <c r="AT26" s="71">
        <f ca="1">-IF(C26=1,IF(E26='Invoer gegevens (N)'!$C$17,'Invoer gegevens (N)'!$C$11,Q26)*'Reeksen (N)'!S26*'Invoer gegevens (N)'!$C$18*'Reeksen (N)'!P26,0)</f>
        <v>0</v>
      </c>
      <c r="AU26" s="71">
        <f ca="1">-IF(C26=1,'Invoer gegevens (N)'!$C$10*'Invoer gegevens (N)'!$F$38*'Reeksen (N)'!H26,0)</f>
        <v>0</v>
      </c>
      <c r="AV26" s="71">
        <v>0</v>
      </c>
      <c r="AW26" s="71">
        <f t="shared" ca="1" si="4"/>
        <v>0</v>
      </c>
      <c r="AX26" s="72">
        <f ca="1">IF(E26='Invoer gegevens (N)'!$C$17+14,IF('Invoer gegevens (N)'!$C$20="Ja",MAX('RW - MW - DE - DE (N)'!$AY$236,'RW - MW - DE - UP (N)'!$AY$236,'RW - MW - DE - DE (N)'!$AY$236)),0)</f>
        <v>0</v>
      </c>
      <c r="AY26" s="72">
        <f ca="1">IFERROR(IF(E26='Invoer gegevens (N)'!$C$17,-'Invoer gegevens (N)'!$C$10*'Invoer gegevens (N)'!$C$31*'Reeksen (N)'!H26,0),0)</f>
        <v>0</v>
      </c>
      <c r="AZ26" s="73">
        <f ca="1">IF('Invoer gegevens (N)'!$C$34=E26,'Invoer gegevens (N)'!$C$27*'Invoer gegevens (N)'!$C$10*'Invoer gegevens (N)'!$C$36*(IF('Invoer gegevens (N)'!$C$35="ja",1,'Reeksen (N)'!J26)),IF('Invoer gegevens (N)'!$C$34+1=E26,'Invoer gegevens (N)'!$C$27*'Invoer gegevens (N)'!$C$10*'Invoer gegevens (N)'!$C$37*(IF('Invoer gegevens (N)'!$C$35="ja",1,'Reeksen (N)'!J26)),0))+IF(AND(E26='Invoer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6" s="73">
        <f ca="1">AW26/(1+'Invoer gegevens (N)'!$F$13)^($D26-('Invoer gegevens (N)'!$C$17-'Invoer gegevens (N)'!$C$16))/(1+'Invoer gegevens (N)'!$C$39)^('Invoer gegevens (N)'!$C$17-'Invoer gegevens (N)'!$C$16)</f>
        <v>0</v>
      </c>
      <c r="BB26" s="73">
        <f ca="1">AX26/(1+'Invoer gegevens (N)'!$F$13)^(E26-('Invoer gegevens (N)'!$C$17-1))/(1+'Invoer gegevens (N)'!$C$39)^('Invoer gegevens (N)'!$C$17-'Invoer gegevens (N)'!$C$16)</f>
        <v>0</v>
      </c>
      <c r="BC26" s="73">
        <f ca="1">AY26/(1+'Invoer gegevens (N)'!$C$39)^('Invoer gegevens (N)'!$C$17-'Invoer gegevens (N)'!$C$16)</f>
        <v>0</v>
      </c>
      <c r="BD26" s="72">
        <f t="shared" ca="1" si="5"/>
        <v>0</v>
      </c>
      <c r="BE26" s="72">
        <f ca="1">IF(AND(E26='Invoer gegevens (N)'!$C$16,'Invoer gegevens (N)'!$C$34&lt;'Invoer gegevens (N)'!$C$16),AZ26,AZ26/(1+'Invoer gegevens (N)'!$C$39)^D26)</f>
        <v>0</v>
      </c>
      <c r="BF26" s="72">
        <f ca="1">IF(E26='Invoer gegevens (N)'!$C$34,-'Invoer gegevens (N)'!$F$40,0)</f>
        <v>0</v>
      </c>
      <c r="BG26" s="72">
        <f ca="1">IF(E26='Invoer gegevens (N)'!$C$17,-'Invoer gegevens (N)'!$C$19*$BD$31,0)</f>
        <v>0</v>
      </c>
      <c r="BH26" s="72">
        <f ca="1">AW26/(1+$BH$4)^($D26-('Invoer gegevens (N)'!$C$17-'Invoer gegevens (N)'!$C$16))/(1+'Invoer gegevens (N)'!$C$39)^('Invoer gegevens (N)'!$C$17-'Invoer gegevens (N)'!$C$16)+AX26/(1+$BH$4)^(E26-('Invoer gegevens (N)'!$C$17-1))/(1+'Invoer gegevens (N)'!$C$39)^('Invoer gegevens (N)'!$C$17-'Invoer gegevens (N)'!$C$16)+AY26/(1+'Invoer gegevens (N)'!$C$39)^('Invoer gegevens (N)'!$C$17-'Invoer gegevens (N)'!$C$16)+(-AZ26/(1+'Invoer gegevens (N)'!$C$39)^D26)+BF26+BG26</f>
        <v>0</v>
      </c>
      <c r="BI26" s="59"/>
    </row>
    <row r="27" spans="1:67" x14ac:dyDescent="0.25">
      <c r="A27" s="59"/>
      <c r="B27" s="70">
        <f t="shared" si="6"/>
        <v>23</v>
      </c>
      <c r="C27" s="67">
        <f ca="1">IF(AND(E27&gt;='Invoer gegevens (N)'!$C$17,E27&lt;'Invoer gegevens (N)'!$C$17+15),1,0)</f>
        <v>0</v>
      </c>
      <c r="D27" s="68">
        <f t="shared" si="7"/>
        <v>22.5</v>
      </c>
      <c r="E27" s="69">
        <f ca="1">IF('Invoer gegevens (N)'!$C$16="","",E26+1)</f>
        <v>2041</v>
      </c>
      <c r="F27" s="82">
        <f ca="1">IF('Invoer gegevens (N)'!$C$17=E27,'Invoer gegevens (N)'!$C$10,IF(C27=1,H26,0))</f>
        <v>0</v>
      </c>
      <c r="G27" s="83">
        <f ca="1">IF(E27='Invoer gegevens (N)'!$C$17+15,H26,IF(C27&gt;=1,F27*'Reeksen (N)'!C27,0))</f>
        <v>0</v>
      </c>
      <c r="H27" s="84">
        <f ca="1">IF(E27&gt;='Invoer gegevens (N)'!$C$17+15,0,F27-G27)</f>
        <v>0</v>
      </c>
      <c r="I27" s="85">
        <v>0</v>
      </c>
      <c r="J27" s="86">
        <f ca="1">IF(E27='Invoer gegevens (N)'!$C$17+15,L26,IF(C27&lt;1,0,IF('Reeksen (N)'!AD27&lt;='Reeksen (N)'!AE27,I27*'Reeksen (N)'!C27,0)))</f>
        <v>0</v>
      </c>
      <c r="K27" s="86">
        <f ca="1">IF(E27='Invoer gegevens (N)'!$C$17+15,L26,IF(C27&lt;1,0,IF('Reeksen (N)'!AD27&gt;'Reeksen (N)'!AE27,I27*'Reeksen (N)'!C27,0)))</f>
        <v>0</v>
      </c>
      <c r="L27" s="86">
        <f ca="1">IF(E27&gt;='Invoer gegevens (N)'!$C$17+15,0,I27-J27-K27)</f>
        <v>0</v>
      </c>
      <c r="M27" s="85">
        <f ca="1">IF('Invoer gegevens (N)'!$C$17=E27,'Invoer gegevens (N)'!$C$10-'Invoer gegevens (N)'!$C$11,IF(C27=1,P26,0))</f>
        <v>0</v>
      </c>
      <c r="N27" s="86">
        <f ca="1">IF(E27='Invoer gegevens (N)'!$C$17+15,P26,IF(C27&lt;1,0,IF('Reeksen (N)'!AD27&lt;='Reeksen (N)'!AE27,M27*'Reeksen (N)'!C27,0)))</f>
        <v>0</v>
      </c>
      <c r="O27" s="86">
        <f ca="1">IF(E27='Invoer gegevens (N)'!$C$17+15,P26,IF(C27&lt;1,0,IF('Reeksen (N)'!AD27&gt;'Reeksen (N)'!AE27,M27*'Reeksen (N)'!C27,0)))</f>
        <v>0</v>
      </c>
      <c r="P27" s="86">
        <f ca="1">IF(E27&gt;='Invoer gegevens (N)'!$C$17+15,0,M27-N27-O27)</f>
        <v>0</v>
      </c>
      <c r="Q27" s="82">
        <f ca="1">IF('Invoer gegevens (N)'!$C$17=E27,I27,IF(C27=0,0,R26))</f>
        <v>0</v>
      </c>
      <c r="R27" s="84">
        <f t="shared" ca="1" si="0"/>
        <v>0</v>
      </c>
      <c r="S27" s="84">
        <f ca="1">IF('Invoer gegevens (N)'!$C$17=E27,M27,IF(C27=0,0,T26))</f>
        <v>0</v>
      </c>
      <c r="T27" s="84">
        <f t="shared" ca="1" si="1"/>
        <v>0</v>
      </c>
      <c r="AH27" s="70"/>
      <c r="AI27" s="71">
        <f ca="1">IF(C27=1,((F27+H27)/2*'Reeksen (N)'!AI27*12)+(('Invoer gegevens (N)'!$C$10-(F27+H27)/2)*'Reeksen (N)'!AD27*12),0)</f>
        <v>0</v>
      </c>
      <c r="AJ27" s="71">
        <f ca="1">-AI27*'Invoer gegevens (N)'!$F$28</f>
        <v>0</v>
      </c>
      <c r="AK27" s="71">
        <f t="shared" ca="1" si="2"/>
        <v>0</v>
      </c>
      <c r="AL27" s="71">
        <f ca="1">IF(C27=1,(12*((F27+H27)/2)*'Reeksen (N)'!AL27)+(12*('Invoer gegevens (N)'!$C$10-(F27+H27)/2)*'Reeksen (N)'!AM27),0)</f>
        <v>0</v>
      </c>
      <c r="AM27" s="71">
        <f ca="1">-AL27*'Invoer gegevens (N)'!$F$31</f>
        <v>0</v>
      </c>
      <c r="AN27" s="71">
        <f t="shared" ca="1" si="3"/>
        <v>0</v>
      </c>
      <c r="AO27" s="71"/>
      <c r="AP27" s="71"/>
      <c r="AQ27" s="71">
        <f ca="1">-IF(C27=1,('Invoer gegevens (N)'!$C$10*'Invoer gegevens (N)'!$F$35)*'Reeksen (N)'!J27,0)</f>
        <v>0</v>
      </c>
      <c r="AR27" s="71">
        <f ca="1">-IF(C27=1,(G27*'Invoer gegevens (N)'!$F$36)*'Reeksen (N)'!J27,0)</f>
        <v>0</v>
      </c>
      <c r="AS27" s="71">
        <f ca="1">-IF(C27=1,'Invoer gegevens (N)'!$C$10*'Invoer gegevens (N)'!$F$37*'Reeksen (N)'!L27,0)</f>
        <v>0</v>
      </c>
      <c r="AT27" s="71">
        <f ca="1">-IF(C27=1,IF(E27='Invoer gegevens (N)'!$C$17,'Invoer gegevens (N)'!$C$11,Q27)*'Reeksen (N)'!S27*'Invoer gegevens (N)'!$C$18*'Reeksen (N)'!P27,0)</f>
        <v>0</v>
      </c>
      <c r="AU27" s="71">
        <f ca="1">-IF(C27=1,'Invoer gegevens (N)'!$C$10*'Invoer gegevens (N)'!$F$38*'Reeksen (N)'!H27,0)</f>
        <v>0</v>
      </c>
      <c r="AV27" s="71">
        <v>0</v>
      </c>
      <c r="AW27" s="71">
        <f t="shared" ca="1" si="4"/>
        <v>0</v>
      </c>
      <c r="AX27" s="72">
        <f ca="1">IF(E27='Invoer gegevens (N)'!$C$17+14,IF('Invoer gegevens (N)'!$C$20="Ja",MAX('RW - MW - DE - DE (N)'!$AY$236,'RW - MW - DE - UP (N)'!$AY$236,'RW - MW - DE - DE (N)'!$AY$236)),0)</f>
        <v>0</v>
      </c>
      <c r="AY27" s="72">
        <f ca="1">IFERROR(IF(E27='Invoer gegevens (N)'!$C$17,-'Invoer gegevens (N)'!$C$10*'Invoer gegevens (N)'!$C$31*'Reeksen (N)'!H27,0),0)</f>
        <v>0</v>
      </c>
      <c r="AZ27" s="73">
        <f ca="1">IF('Invoer gegevens (N)'!$C$34=E27,'Invoer gegevens (N)'!$C$27*'Invoer gegevens (N)'!$C$10*'Invoer gegevens (N)'!$C$36*(IF('Invoer gegevens (N)'!$C$35="ja",1,'Reeksen (N)'!J27)),IF('Invoer gegevens (N)'!$C$34+1=E27,'Invoer gegevens (N)'!$C$27*'Invoer gegevens (N)'!$C$10*'Invoer gegevens (N)'!$C$37*(IF('Invoer gegevens (N)'!$C$35="ja",1,'Reeksen (N)'!J27)),0))+IF(AND(E27='Invoer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7" s="73">
        <f ca="1">AW27/(1+'Invoer gegevens (N)'!$F$13)^($D27-('Invoer gegevens (N)'!$C$17-'Invoer gegevens (N)'!$C$16))/(1+'Invoer gegevens (N)'!$C$39)^('Invoer gegevens (N)'!$C$17-'Invoer gegevens (N)'!$C$16)</f>
        <v>0</v>
      </c>
      <c r="BB27" s="73">
        <f ca="1">AX27/(1+'Invoer gegevens (N)'!$F$13)^(E27-('Invoer gegevens (N)'!$C$17-1))/(1+'Invoer gegevens (N)'!$C$39)^('Invoer gegevens (N)'!$C$17-'Invoer gegevens (N)'!$C$16)</f>
        <v>0</v>
      </c>
      <c r="BC27" s="73">
        <f ca="1">AY27/(1+'Invoer gegevens (N)'!$C$39)^('Invoer gegevens (N)'!$C$17-'Invoer gegevens (N)'!$C$16)</f>
        <v>0</v>
      </c>
      <c r="BD27" s="72">
        <f t="shared" ca="1" si="5"/>
        <v>0</v>
      </c>
      <c r="BE27" s="72">
        <f ca="1">IF(AND(E27='Invoer gegevens (N)'!$C$16,'Invoer gegevens (N)'!$C$34&lt;'Invoer gegevens (N)'!$C$16),AZ27,AZ27/(1+'Invoer gegevens (N)'!$C$39)^D27)</f>
        <v>0</v>
      </c>
      <c r="BF27" s="72">
        <f ca="1">IF(E27='Invoer gegevens (N)'!$C$34,-'Invoer gegevens (N)'!$F$40,0)</f>
        <v>0</v>
      </c>
      <c r="BG27" s="72">
        <f ca="1">IF(E27='Invoer gegevens (N)'!$C$17,-'Invoer gegevens (N)'!$C$19*$BD$31,0)</f>
        <v>0</v>
      </c>
      <c r="BH27" s="72">
        <f ca="1">AW27/(1+$BH$4)^($D27-('Invoer gegevens (N)'!$C$17-'Invoer gegevens (N)'!$C$16))/(1+'Invoer gegevens (N)'!$C$39)^('Invoer gegevens (N)'!$C$17-'Invoer gegevens (N)'!$C$16)+AX27/(1+$BH$4)^(E27-('Invoer gegevens (N)'!$C$17-1))/(1+'Invoer gegevens (N)'!$C$39)^('Invoer gegevens (N)'!$C$17-'Invoer gegevens (N)'!$C$16)+AY27/(1+'Invoer gegevens (N)'!$C$39)^('Invoer gegevens (N)'!$C$17-'Invoer gegevens (N)'!$C$16)+(-AZ27/(1+'Invoer gegevens (N)'!$C$39)^D27)+BF27+BG27</f>
        <v>0</v>
      </c>
      <c r="BI27" s="59"/>
    </row>
    <row r="28" spans="1:67" x14ac:dyDescent="0.25">
      <c r="A28" s="59"/>
      <c r="B28" s="70">
        <f t="shared" si="6"/>
        <v>24</v>
      </c>
      <c r="C28" s="67">
        <f ca="1">IF(AND(E28&gt;='Invoer gegevens (N)'!$C$17,E28&lt;'Invoer gegevens (N)'!$C$17+15),1,0)</f>
        <v>0</v>
      </c>
      <c r="D28" s="68">
        <f t="shared" si="7"/>
        <v>23.5</v>
      </c>
      <c r="E28" s="69">
        <f ca="1">IF('Invoer gegevens (N)'!$C$16="","",E27+1)</f>
        <v>2042</v>
      </c>
      <c r="F28" s="82">
        <f ca="1">IF('Invoer gegevens (N)'!$C$17=E28,'Invoer gegevens (N)'!$C$10,IF(C28=1,H27,0))</f>
        <v>0</v>
      </c>
      <c r="G28" s="83">
        <f ca="1">IF(E28='Invoer gegevens (N)'!$C$17+15,H27,IF(C28&gt;=1,F28*'Reeksen (N)'!C28,0))</f>
        <v>0</v>
      </c>
      <c r="H28" s="84">
        <f ca="1">IF(E28&gt;='Invoer gegevens (N)'!$C$17+15,0,F28-G28)</f>
        <v>0</v>
      </c>
      <c r="I28" s="85">
        <v>0</v>
      </c>
      <c r="J28" s="86">
        <f ca="1">IF(E28='Invoer gegevens (N)'!$C$17+15,L27,IF(C28&lt;1,0,IF('Reeksen (N)'!AD28&lt;='Reeksen (N)'!AE28,I28*'Reeksen (N)'!C28,0)))</f>
        <v>0</v>
      </c>
      <c r="K28" s="86">
        <f ca="1">IF(E28='Invoer gegevens (N)'!$C$17+15,L27,IF(C28&lt;1,0,IF('Reeksen (N)'!AD28&gt;'Reeksen (N)'!AE28,I28*'Reeksen (N)'!C28,0)))</f>
        <v>0</v>
      </c>
      <c r="L28" s="86">
        <f ca="1">IF(E28&gt;='Invoer gegevens (N)'!$C$17+15,0,I28-J28-K28)</f>
        <v>0</v>
      </c>
      <c r="M28" s="85">
        <f ca="1">IF('Invoer gegevens (N)'!$C$17=E28,'Invoer gegevens (N)'!$C$10-'Invoer gegevens (N)'!$C$11,IF(C28=1,P27,0))</f>
        <v>0</v>
      </c>
      <c r="N28" s="86">
        <f ca="1">IF(E28='Invoer gegevens (N)'!$C$17+15,P27,IF(C28&lt;1,0,IF('Reeksen (N)'!AD28&lt;='Reeksen (N)'!AE28,M28*'Reeksen (N)'!C28,0)))</f>
        <v>0</v>
      </c>
      <c r="O28" s="86">
        <f ca="1">IF(E28='Invoer gegevens (N)'!$C$17+15,P27,IF(C28&lt;1,0,IF('Reeksen (N)'!AD28&gt;'Reeksen (N)'!AE28,M28*'Reeksen (N)'!C28,0)))</f>
        <v>0</v>
      </c>
      <c r="P28" s="86">
        <f ca="1">IF(E28&gt;='Invoer gegevens (N)'!$C$17+15,0,M28-N28-O28)</f>
        <v>0</v>
      </c>
      <c r="Q28" s="82">
        <f ca="1">IF('Invoer gegevens (N)'!$C$17=E28,I28,IF(C28=0,0,R27))</f>
        <v>0</v>
      </c>
      <c r="R28" s="84">
        <f t="shared" ca="1" si="0"/>
        <v>0</v>
      </c>
      <c r="S28" s="84">
        <f ca="1">IF('Invoer gegevens (N)'!$C$17=E28,M28,IF(C28=0,0,T27))</f>
        <v>0</v>
      </c>
      <c r="T28" s="84">
        <f t="shared" ca="1" si="1"/>
        <v>0</v>
      </c>
      <c r="AH28" s="70"/>
      <c r="AI28" s="71">
        <f ca="1">IF(C28=1,((F28+H28)/2*'Reeksen (N)'!AI28*12)+(('Invoer gegevens (N)'!$C$10-(F28+H28)/2)*'Reeksen (N)'!AD28*12),0)</f>
        <v>0</v>
      </c>
      <c r="AJ28" s="71">
        <f ca="1">-AI28*'Invoer gegevens (N)'!$F$28</f>
        <v>0</v>
      </c>
      <c r="AK28" s="71">
        <f t="shared" ca="1" si="2"/>
        <v>0</v>
      </c>
      <c r="AL28" s="71">
        <f ca="1">IF(C28=1,(12*((F28+H28)/2)*'Reeksen (N)'!AL28)+(12*('Invoer gegevens (N)'!$C$10-(F28+H28)/2)*'Reeksen (N)'!AM28),0)</f>
        <v>0</v>
      </c>
      <c r="AM28" s="71">
        <f ca="1">-AL28*'Invoer gegevens (N)'!$F$31</f>
        <v>0</v>
      </c>
      <c r="AN28" s="71">
        <f t="shared" ca="1" si="3"/>
        <v>0</v>
      </c>
      <c r="AO28" s="71"/>
      <c r="AP28" s="71"/>
      <c r="AQ28" s="71">
        <f ca="1">-IF(C28=1,('Invoer gegevens (N)'!$C$10*'Invoer gegevens (N)'!$F$35)*'Reeksen (N)'!J28,0)</f>
        <v>0</v>
      </c>
      <c r="AR28" s="71">
        <f ca="1">-IF(C28=1,(G28*'Invoer gegevens (N)'!$F$36)*'Reeksen (N)'!J28,0)</f>
        <v>0</v>
      </c>
      <c r="AS28" s="71">
        <f ca="1">-IF(C28=1,'Invoer gegevens (N)'!$C$10*'Invoer gegevens (N)'!$F$37*'Reeksen (N)'!L28,0)</f>
        <v>0</v>
      </c>
      <c r="AT28" s="71">
        <f ca="1">-IF(C28=1,IF(E28='Invoer gegevens (N)'!$C$17,'Invoer gegevens (N)'!$C$11,Q28)*'Reeksen (N)'!S28*'Invoer gegevens (N)'!$C$18*'Reeksen (N)'!P28,0)</f>
        <v>0</v>
      </c>
      <c r="AU28" s="71">
        <f ca="1">-IF(C28=1,'Invoer gegevens (N)'!$C$10*'Invoer gegevens (N)'!$F$38*'Reeksen (N)'!H28,0)</f>
        <v>0</v>
      </c>
      <c r="AV28" s="71">
        <v>0</v>
      </c>
      <c r="AW28" s="71">
        <f t="shared" ca="1" si="4"/>
        <v>0</v>
      </c>
      <c r="AX28" s="72">
        <f ca="1">IF(E28='Invoer gegevens (N)'!$C$17+14,IF('Invoer gegevens (N)'!$C$20="Ja",MAX('RW - MW - DE - DE (N)'!$AY$236,'RW - MW - DE - UP (N)'!$AY$236,'RW - MW - DE - DE (N)'!$AY$236)),0)</f>
        <v>0</v>
      </c>
      <c r="AY28" s="72">
        <f ca="1">IFERROR(IF(E28='Invoer gegevens (N)'!$C$17,-'Invoer gegevens (N)'!$C$10*'Invoer gegevens (N)'!$C$31*'Reeksen (N)'!H28,0),0)</f>
        <v>0</v>
      </c>
      <c r="AZ28" s="73">
        <f ca="1">IF('Invoer gegevens (N)'!$C$34=E28,'Invoer gegevens (N)'!$C$27*'Invoer gegevens (N)'!$C$10*'Invoer gegevens (N)'!$C$36*(IF('Invoer gegevens (N)'!$C$35="ja",1,'Reeksen (N)'!J28)),IF('Invoer gegevens (N)'!$C$34+1=E28,'Invoer gegevens (N)'!$C$27*'Invoer gegevens (N)'!$C$10*'Invoer gegevens (N)'!$C$37*(IF('Invoer gegevens (N)'!$C$35="ja",1,'Reeksen (N)'!J28)),0))+IF(AND(E28='Invoer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8" s="73">
        <f ca="1">AW28/(1+'Invoer gegevens (N)'!$F$13)^($D28-('Invoer gegevens (N)'!$C$17-'Invoer gegevens (N)'!$C$16))/(1+'Invoer gegevens (N)'!$C$39)^('Invoer gegevens (N)'!$C$17-'Invoer gegevens (N)'!$C$16)</f>
        <v>0</v>
      </c>
      <c r="BB28" s="73">
        <f ca="1">AX28/(1+'Invoer gegevens (N)'!$F$13)^(E28-('Invoer gegevens (N)'!$C$17-1))/(1+'Invoer gegevens (N)'!$C$39)^('Invoer gegevens (N)'!$C$17-'Invoer gegevens (N)'!$C$16)</f>
        <v>0</v>
      </c>
      <c r="BC28" s="73">
        <f ca="1">AY28/(1+'Invoer gegevens (N)'!$C$39)^('Invoer gegevens (N)'!$C$17-'Invoer gegevens (N)'!$C$16)</f>
        <v>0</v>
      </c>
      <c r="BD28" s="72">
        <f t="shared" ca="1" si="5"/>
        <v>0</v>
      </c>
      <c r="BE28" s="72">
        <f ca="1">IF(AND(E28='Invoer gegevens (N)'!$C$16,'Invoer gegevens (N)'!$C$34&lt;'Invoer gegevens (N)'!$C$16),AZ28,AZ28/(1+'Invoer gegevens (N)'!$C$39)^D28)</f>
        <v>0</v>
      </c>
      <c r="BF28" s="72">
        <f ca="1">IF(E28='Invoer gegevens (N)'!$C$34,-'Invoer gegevens (N)'!$F$40,0)</f>
        <v>0</v>
      </c>
      <c r="BG28" s="72">
        <f ca="1">IF(E28='Invoer gegevens (N)'!$C$17,-'Invoer gegevens (N)'!$C$19*$BD$31,0)</f>
        <v>0</v>
      </c>
      <c r="BH28" s="72">
        <f ca="1">AW28/(1+$BH$4)^($D28-('Invoer gegevens (N)'!$C$17-'Invoer gegevens (N)'!$C$16))/(1+'Invoer gegevens (N)'!$C$39)^('Invoer gegevens (N)'!$C$17-'Invoer gegevens (N)'!$C$16)+AX28/(1+$BH$4)^(E28-('Invoer gegevens (N)'!$C$17-1))/(1+'Invoer gegevens (N)'!$C$39)^('Invoer gegevens (N)'!$C$17-'Invoer gegevens (N)'!$C$16)+AY28/(1+'Invoer gegevens (N)'!$C$39)^('Invoer gegevens (N)'!$C$17-'Invoer gegevens (N)'!$C$16)+(-AZ28/(1+'Invoer gegevens (N)'!$C$39)^D28)+BF28+BG28</f>
        <v>0</v>
      </c>
      <c r="BI28" s="59"/>
    </row>
    <row r="29" spans="1:67" x14ac:dyDescent="0.25">
      <c r="A29" s="59"/>
      <c r="B29" s="70">
        <f t="shared" si="6"/>
        <v>25</v>
      </c>
      <c r="C29" s="67">
        <f ca="1">IF(AND(E29&gt;='Invoer gegevens (N)'!$C$17,E29&lt;'Invoer gegevens (N)'!$C$17+15),1,0)</f>
        <v>0</v>
      </c>
      <c r="D29" s="68">
        <f t="shared" si="7"/>
        <v>24.5</v>
      </c>
      <c r="E29" s="69">
        <f ca="1">IF('Invoer gegevens (N)'!$C$16="","",E28+1)</f>
        <v>2043</v>
      </c>
      <c r="F29" s="82">
        <f ca="1">IF('Invoer gegevens (N)'!$C$17=E29,'Invoer gegevens (N)'!$C$10,IF(C29=1,H28,0))</f>
        <v>0</v>
      </c>
      <c r="G29" s="83">
        <f ca="1">IF(E29='Invoer gegevens (N)'!$C$17+15,H28,IF(C29&gt;=1,F29*'Reeksen (N)'!C29,0))</f>
        <v>0</v>
      </c>
      <c r="H29" s="84">
        <f ca="1">IF(E29&gt;='Invoer gegevens (N)'!$C$17+15,0,F29-G29)</f>
        <v>0</v>
      </c>
      <c r="I29" s="85">
        <v>0</v>
      </c>
      <c r="J29" s="86">
        <f ca="1">IF(E29='Invoer gegevens (N)'!$C$17+15,L28,IF(C29&lt;1,0,IF('Reeksen (N)'!AD29&lt;='Reeksen (N)'!AE29,I29*'Reeksen (N)'!C29,0)))</f>
        <v>0</v>
      </c>
      <c r="K29" s="86">
        <f ca="1">IF(E29='Invoer gegevens (N)'!$C$17+15,L28,IF(C29&lt;1,0,IF('Reeksen (N)'!AD29&gt;'Reeksen (N)'!AE29,I29*'Reeksen (N)'!C29,0)))</f>
        <v>0</v>
      </c>
      <c r="L29" s="86">
        <f ca="1">IF(E29&gt;='Invoer gegevens (N)'!$C$17+15,0,I29-J29-K29)</f>
        <v>0</v>
      </c>
      <c r="M29" s="85">
        <f ca="1">IF('Invoer gegevens (N)'!$C$17=E29,'Invoer gegevens (N)'!$C$10-'Invoer gegevens (N)'!$C$11,IF(C29=1,P28,0))</f>
        <v>0</v>
      </c>
      <c r="N29" s="86">
        <f ca="1">IF(E29='Invoer gegevens (N)'!$C$17+15,P28,IF(C29&lt;1,0,IF('Reeksen (N)'!AD29&lt;='Reeksen (N)'!AE29,M29*'Reeksen (N)'!C29,0)))</f>
        <v>0</v>
      </c>
      <c r="O29" s="86">
        <f ca="1">IF(E29='Invoer gegevens (N)'!$C$17+15,P28,IF(C29&lt;1,0,IF('Reeksen (N)'!AD29&gt;'Reeksen (N)'!AE29,M29*'Reeksen (N)'!C29,0)))</f>
        <v>0</v>
      </c>
      <c r="P29" s="86">
        <f ca="1">IF(E29&gt;='Invoer gegevens (N)'!$C$17+15,0,M29-N29-O29)</f>
        <v>0</v>
      </c>
      <c r="Q29" s="82">
        <f ca="1">IF('Invoer gegevens (N)'!$C$17=E29,I29,IF(C29=0,0,R28))</f>
        <v>0</v>
      </c>
      <c r="R29" s="84">
        <f t="shared" ca="1" si="0"/>
        <v>0</v>
      </c>
      <c r="S29" s="84">
        <f ca="1">IF('Invoer gegevens (N)'!$C$17=E29,M29,IF(C29=0,0,T28))</f>
        <v>0</v>
      </c>
      <c r="T29" s="84">
        <f t="shared" ca="1" si="1"/>
        <v>0</v>
      </c>
      <c r="AH29" s="70"/>
      <c r="AI29" s="71">
        <f ca="1">IF(C29=1,((F29+H29)/2*'Reeksen (N)'!AI29*12)+(('Invoer gegevens (N)'!$C$10-(F29+H29)/2)*'Reeksen (N)'!AD29*12),0)</f>
        <v>0</v>
      </c>
      <c r="AJ29" s="71">
        <f ca="1">-AI29*'Invoer gegevens (N)'!$F$28</f>
        <v>0</v>
      </c>
      <c r="AK29" s="71">
        <f t="shared" ca="1" si="2"/>
        <v>0</v>
      </c>
      <c r="AL29" s="71">
        <f ca="1">IF(C29=1,(12*((F29+H29)/2)*'Reeksen (N)'!AL29)+(12*('Invoer gegevens (N)'!$C$10-(F29+H29)/2)*'Reeksen (N)'!AM29),0)</f>
        <v>0</v>
      </c>
      <c r="AM29" s="71">
        <f ca="1">-AL29*'Invoer gegevens (N)'!$F$31</f>
        <v>0</v>
      </c>
      <c r="AN29" s="71">
        <f t="shared" ca="1" si="3"/>
        <v>0</v>
      </c>
      <c r="AO29" s="71"/>
      <c r="AP29" s="71"/>
      <c r="AQ29" s="71">
        <f ca="1">-IF(C29=1,('Invoer gegevens (N)'!$C$10*'Invoer gegevens (N)'!$F$35)*'Reeksen (N)'!J29,0)</f>
        <v>0</v>
      </c>
      <c r="AR29" s="71">
        <f ca="1">-IF(C29=1,(G29*'Invoer gegevens (N)'!$F$36)*'Reeksen (N)'!J29,0)</f>
        <v>0</v>
      </c>
      <c r="AS29" s="71">
        <f ca="1">-IF(C29=1,'Invoer gegevens (N)'!$C$10*'Invoer gegevens (N)'!$F$37*'Reeksen (N)'!L29,0)</f>
        <v>0</v>
      </c>
      <c r="AT29" s="71">
        <f ca="1">-IF(C29=1,IF(E29='Invoer gegevens (N)'!$C$17,'Invoer gegevens (N)'!$C$11,Q29)*'Reeksen (N)'!S29*'Invoer gegevens (N)'!$C$18*'Reeksen (N)'!P29,0)</f>
        <v>0</v>
      </c>
      <c r="AU29" s="71">
        <f ca="1">-IF(C29=1,'Invoer gegevens (N)'!$C$10*'Invoer gegevens (N)'!$F$38*'Reeksen (N)'!H29,0)</f>
        <v>0</v>
      </c>
      <c r="AV29" s="71">
        <v>0</v>
      </c>
      <c r="AW29" s="71">
        <f t="shared" ca="1" si="4"/>
        <v>0</v>
      </c>
      <c r="AX29" s="72">
        <f ca="1">IF(E29='Invoer gegevens (N)'!$C$17+14,IF('Invoer gegevens (N)'!$C$20="Ja",MAX('RW - MW - DE - DE (N)'!$AY$236,'RW - MW - DE - UP (N)'!$AY$236,'RW - MW - DE - DE (N)'!$AY$236)),0)</f>
        <v>0</v>
      </c>
      <c r="AY29" s="72">
        <f ca="1">IFERROR(IF(E29='Invoer gegevens (N)'!$C$17,-'Invoer gegevens (N)'!$C$10*'Invoer gegevens (N)'!$C$31*'Reeksen (N)'!H29,0),0)</f>
        <v>0</v>
      </c>
      <c r="AZ29" s="73">
        <f ca="1">IF('Invoer gegevens (N)'!$C$34=E29,'Invoer gegevens (N)'!$C$27*'Invoer gegevens (N)'!$C$10*'Invoer gegevens (N)'!$C$36*(IF('Invoer gegevens (N)'!$C$35="ja",1,'Reeksen (N)'!J29)),IF('Invoer gegevens (N)'!$C$34+1=E29,'Invoer gegevens (N)'!$C$27*'Invoer gegevens (N)'!$C$10*'Invoer gegevens (N)'!$C$37*(IF('Invoer gegevens (N)'!$C$35="ja",1,'Reeksen (N)'!J29)),0))+IF(AND(E29='Invoer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9" s="73">
        <f ca="1">AW29/(1+'Invoer gegevens (N)'!$F$13)^($D29-('Invoer gegevens (N)'!$C$17-'Invoer gegevens (N)'!$C$16))/(1+'Invoer gegevens (N)'!$C$39)^('Invoer gegevens (N)'!$C$17-'Invoer gegevens (N)'!$C$16)</f>
        <v>0</v>
      </c>
      <c r="BB29" s="73">
        <f ca="1">AX29/(1+'Invoer gegevens (N)'!$F$13)^(E29-('Invoer gegevens (N)'!$C$17-1))/(1+'Invoer gegevens (N)'!$C$39)^('Invoer gegevens (N)'!$C$17-'Invoer gegevens (N)'!$C$16)</f>
        <v>0</v>
      </c>
      <c r="BC29" s="73">
        <f ca="1">AY29/(1+'Invoer gegevens (N)'!$C$39)^('Invoer gegevens (N)'!$C$17-'Invoer gegevens (N)'!$C$16)</f>
        <v>0</v>
      </c>
      <c r="BD29" s="72">
        <f t="shared" ca="1" si="5"/>
        <v>0</v>
      </c>
      <c r="BE29" s="72">
        <f ca="1">IF(AND(E29='Invoer gegevens (N)'!$C$16,'Invoer gegevens (N)'!$C$34&lt;'Invoer gegevens (N)'!$C$16),AZ29,AZ29/(1+'Invoer gegevens (N)'!$C$39)^D29)</f>
        <v>0</v>
      </c>
      <c r="BF29" s="72">
        <f ca="1">IF(E29='Invoer gegevens (N)'!$C$34,-'Invoer gegevens (N)'!$F$40,0)</f>
        <v>0</v>
      </c>
      <c r="BG29" s="72">
        <f ca="1">IF(E29='Invoer gegevens (N)'!$C$17,-'Invoer gegevens (N)'!$C$19*$BD$31,0)</f>
        <v>0</v>
      </c>
      <c r="BH29" s="72">
        <f ca="1">AW29/(1+$BH$4)^($D29-('Invoer gegevens (N)'!$C$17-'Invoer gegevens (N)'!$C$16))/(1+'Invoer gegevens (N)'!$C$39)^('Invoer gegevens (N)'!$C$17-'Invoer gegevens (N)'!$C$16)+AX29/(1+$BH$4)^(E29-('Invoer gegevens (N)'!$C$17-1))/(1+'Invoer gegevens (N)'!$C$39)^('Invoer gegevens (N)'!$C$17-'Invoer gegevens (N)'!$C$16)+AY29/(1+'Invoer gegevens (N)'!$C$39)^('Invoer gegevens (N)'!$C$17-'Invoer gegevens (N)'!$C$16)+(-AZ29/(1+'Invoer gegevens (N)'!$C$39)^D29)+BF29+BG29</f>
        <v>0</v>
      </c>
      <c r="BI29" s="59"/>
    </row>
    <row r="30" spans="1:67" x14ac:dyDescent="0.25">
      <c r="A30" s="59"/>
      <c r="AC30" s="68"/>
      <c r="AD30" s="68"/>
      <c r="AE30" s="68"/>
      <c r="AF30" s="68"/>
      <c r="AG30" s="68"/>
      <c r="BJ30" s="59"/>
      <c r="BK30" s="59"/>
      <c r="BL30" s="59"/>
      <c r="BM30" s="59"/>
      <c r="BN30" s="59"/>
      <c r="BO30" s="59"/>
    </row>
    <row r="31" spans="1:67" x14ac:dyDescent="0.25">
      <c r="A31" s="59"/>
      <c r="B31" s="70"/>
      <c r="C31" s="70"/>
      <c r="D31" s="70"/>
      <c r="E31" s="70"/>
      <c r="F31" s="70"/>
      <c r="G31" s="68"/>
      <c r="H31" s="75"/>
      <c r="I31" s="75"/>
      <c r="J31" s="75"/>
      <c r="K31" s="75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7"/>
      <c r="AI31" s="78">
        <f ca="1">SUM(AI5:AI29)</f>
        <v>0</v>
      </c>
      <c r="AJ31" s="78">
        <f t="shared" ref="AJ31:BH31" ca="1" si="8">SUM(AJ5:AJ29)</f>
        <v>0</v>
      </c>
      <c r="AK31" s="78">
        <f t="shared" ca="1" si="8"/>
        <v>0</v>
      </c>
      <c r="AL31" s="78">
        <f t="shared" ca="1" si="8"/>
        <v>0</v>
      </c>
      <c r="AM31" s="78">
        <f t="shared" ca="1" si="8"/>
        <v>0</v>
      </c>
      <c r="AN31" s="78">
        <f t="shared" ca="1" si="8"/>
        <v>0</v>
      </c>
      <c r="AO31" s="78">
        <f t="shared" si="8"/>
        <v>0</v>
      </c>
      <c r="AP31" s="78">
        <f t="shared" si="8"/>
        <v>0</v>
      </c>
      <c r="AQ31" s="78">
        <f t="shared" ca="1" si="8"/>
        <v>0</v>
      </c>
      <c r="AR31" s="78">
        <f t="shared" ca="1" si="8"/>
        <v>0</v>
      </c>
      <c r="AS31" s="78">
        <f t="shared" ca="1" si="8"/>
        <v>0</v>
      </c>
      <c r="AT31" s="78">
        <f t="shared" ca="1" si="8"/>
        <v>0</v>
      </c>
      <c r="AU31" s="78">
        <f t="shared" ca="1" si="8"/>
        <v>0</v>
      </c>
      <c r="AV31" s="78">
        <f t="shared" si="8"/>
        <v>0</v>
      </c>
      <c r="AW31" s="78">
        <f t="shared" ca="1" si="8"/>
        <v>0</v>
      </c>
      <c r="AX31" s="78">
        <f t="shared" ca="1" si="8"/>
        <v>0</v>
      </c>
      <c r="AY31" s="78">
        <f t="shared" ca="1" si="8"/>
        <v>0</v>
      </c>
      <c r="AZ31" s="78">
        <f t="shared" ca="1" si="8"/>
        <v>0</v>
      </c>
      <c r="BA31" s="78">
        <f ca="1">SUM(BA5:BA29)</f>
        <v>0</v>
      </c>
      <c r="BB31" s="78">
        <f t="shared" ca="1" si="8"/>
        <v>0</v>
      </c>
      <c r="BC31" s="78">
        <f t="shared" ca="1" si="8"/>
        <v>0</v>
      </c>
      <c r="BD31" s="78">
        <f t="shared" ca="1" si="8"/>
        <v>0</v>
      </c>
      <c r="BE31" s="78">
        <f t="shared" ca="1" si="8"/>
        <v>0</v>
      </c>
      <c r="BF31" s="78">
        <f t="shared" ca="1" si="8"/>
        <v>0</v>
      </c>
      <c r="BG31" s="78">
        <f t="shared" ca="1" si="8"/>
        <v>0</v>
      </c>
      <c r="BH31" s="78">
        <f t="shared" ca="1" si="8"/>
        <v>0</v>
      </c>
      <c r="BI31" s="59"/>
    </row>
    <row r="32" spans="1:67" x14ac:dyDescent="0.25">
      <c r="A32" s="59"/>
      <c r="B32" s="66"/>
      <c r="C32" s="66"/>
      <c r="D32" s="66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88"/>
      <c r="BE32" s="66"/>
      <c r="BF32" s="66"/>
      <c r="BG32" s="66"/>
      <c r="BH32" s="66"/>
      <c r="BI32" s="59"/>
    </row>
    <row r="33" spans="1:61" ht="15.75" x14ac:dyDescent="0.25">
      <c r="A33" s="89" t="s">
        <v>720</v>
      </c>
      <c r="B33" s="8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59"/>
    </row>
    <row r="34" spans="1:61" x14ac:dyDescent="0.25">
      <c r="A34" s="59"/>
      <c r="B34" s="70"/>
      <c r="C34" s="70"/>
      <c r="D34" s="70"/>
      <c r="E34" s="70"/>
      <c r="F34" s="397" t="s">
        <v>721</v>
      </c>
      <c r="G34" s="398"/>
      <c r="H34" s="398"/>
      <c r="I34" s="398"/>
      <c r="J34" s="398"/>
      <c r="K34" s="399"/>
      <c r="L34" s="400" t="s">
        <v>722</v>
      </c>
      <c r="M34" s="401"/>
      <c r="N34" s="401"/>
      <c r="O34" s="401"/>
      <c r="P34" s="401"/>
      <c r="Q34" s="402"/>
      <c r="R34" s="397" t="s">
        <v>666</v>
      </c>
      <c r="S34" s="398"/>
      <c r="T34" s="398"/>
      <c r="U34" s="398"/>
      <c r="V34" s="398"/>
      <c r="W34" s="399"/>
      <c r="X34" s="397" t="s">
        <v>667</v>
      </c>
      <c r="Y34" s="398"/>
      <c r="Z34" s="398"/>
      <c r="AA34" s="398"/>
      <c r="AB34" s="398"/>
      <c r="AC34" s="399"/>
      <c r="AD34" s="397" t="s">
        <v>700</v>
      </c>
      <c r="AE34" s="398"/>
      <c r="AF34" s="398"/>
      <c r="AG34" s="398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</row>
    <row r="35" spans="1:61" ht="15" customHeight="1" x14ac:dyDescent="0.25">
      <c r="A35" s="59"/>
      <c r="B35" s="91" t="s">
        <v>668</v>
      </c>
      <c r="C35" s="91" t="s">
        <v>669</v>
      </c>
      <c r="D35" s="91" t="s">
        <v>669</v>
      </c>
      <c r="E35" s="91" t="s">
        <v>670</v>
      </c>
      <c r="F35" s="404" t="s">
        <v>723</v>
      </c>
      <c r="G35" s="403" t="s">
        <v>724</v>
      </c>
      <c r="H35" s="403" t="s">
        <v>725</v>
      </c>
      <c r="I35" s="403" t="s">
        <v>726</v>
      </c>
      <c r="J35" s="403" t="s">
        <v>727</v>
      </c>
      <c r="K35" s="93" t="s">
        <v>671</v>
      </c>
      <c r="L35" s="405" t="s">
        <v>723</v>
      </c>
      <c r="M35" s="406" t="s">
        <v>724</v>
      </c>
      <c r="N35" s="406" t="s">
        <v>725</v>
      </c>
      <c r="O35" s="406" t="s">
        <v>726</v>
      </c>
      <c r="P35" s="406" t="s">
        <v>728</v>
      </c>
      <c r="Q35" s="407" t="s">
        <v>729</v>
      </c>
      <c r="R35" s="405" t="s">
        <v>730</v>
      </c>
      <c r="S35" s="403" t="s">
        <v>724</v>
      </c>
      <c r="T35" s="403" t="s">
        <v>731</v>
      </c>
      <c r="U35" s="403" t="s">
        <v>732</v>
      </c>
      <c r="V35" s="403" t="s">
        <v>733</v>
      </c>
      <c r="W35" s="407" t="s">
        <v>730</v>
      </c>
      <c r="X35" s="406" t="s">
        <v>734</v>
      </c>
      <c r="Y35" s="406" t="s">
        <v>724</v>
      </c>
      <c r="Z35" s="406" t="s">
        <v>731</v>
      </c>
      <c r="AA35" s="406" t="s">
        <v>732</v>
      </c>
      <c r="AB35" s="406" t="s">
        <v>733</v>
      </c>
      <c r="AC35" s="407" t="s">
        <v>734</v>
      </c>
      <c r="AD35" s="408" t="s">
        <v>703</v>
      </c>
      <c r="AE35" s="403" t="s">
        <v>735</v>
      </c>
      <c r="AF35" s="403" t="s">
        <v>736</v>
      </c>
      <c r="AG35" s="81" t="s">
        <v>667</v>
      </c>
      <c r="AH35" s="95"/>
      <c r="AI35" s="91" t="s">
        <v>16</v>
      </c>
      <c r="AJ35" s="91" t="s">
        <v>16</v>
      </c>
      <c r="AK35" s="91" t="s">
        <v>672</v>
      </c>
      <c r="AL35" s="27" t="s">
        <v>704</v>
      </c>
      <c r="AM35" s="27" t="s">
        <v>704</v>
      </c>
      <c r="AN35" s="27" t="s">
        <v>672</v>
      </c>
      <c r="AO35" s="91" t="s">
        <v>673</v>
      </c>
      <c r="AP35" s="91" t="s">
        <v>705</v>
      </c>
      <c r="AQ35" s="91" t="s">
        <v>674</v>
      </c>
      <c r="AR35" s="91" t="s">
        <v>706</v>
      </c>
      <c r="AS35" s="91" t="s">
        <v>675</v>
      </c>
      <c r="AT35" s="91" t="s">
        <v>676</v>
      </c>
      <c r="AU35" s="62" t="s">
        <v>588</v>
      </c>
      <c r="AV35" s="62" t="s">
        <v>707</v>
      </c>
      <c r="AW35" s="62" t="s">
        <v>677</v>
      </c>
      <c r="AX35" s="91" t="s">
        <v>673</v>
      </c>
      <c r="AY35" s="62" t="s">
        <v>708</v>
      </c>
      <c r="AZ35" s="91" t="s">
        <v>690</v>
      </c>
      <c r="BA35" s="91" t="s">
        <v>679</v>
      </c>
      <c r="BB35" s="91" t="s">
        <v>679</v>
      </c>
      <c r="BC35" s="91" t="s">
        <v>679</v>
      </c>
      <c r="BD35" s="91" t="s">
        <v>679</v>
      </c>
      <c r="BE35" s="91" t="s">
        <v>679</v>
      </c>
      <c r="BF35" s="91" t="s">
        <v>680</v>
      </c>
      <c r="BG35" s="91" t="s">
        <v>680</v>
      </c>
      <c r="BH35" s="91" t="s">
        <v>681</v>
      </c>
      <c r="BI35" s="59"/>
    </row>
    <row r="36" spans="1:61" x14ac:dyDescent="0.25">
      <c r="A36" s="59"/>
      <c r="B36" s="91"/>
      <c r="C36" s="91" t="s">
        <v>682</v>
      </c>
      <c r="D36" s="91" t="s">
        <v>682</v>
      </c>
      <c r="E36" s="91"/>
      <c r="F36" s="404"/>
      <c r="G36" s="403"/>
      <c r="H36" s="403"/>
      <c r="I36" s="403"/>
      <c r="J36" s="403"/>
      <c r="K36" s="93" t="s">
        <v>737</v>
      </c>
      <c r="L36" s="405"/>
      <c r="M36" s="406"/>
      <c r="N36" s="406"/>
      <c r="O36" s="406"/>
      <c r="P36" s="406"/>
      <c r="Q36" s="407"/>
      <c r="R36" s="405"/>
      <c r="S36" s="403"/>
      <c r="T36" s="403"/>
      <c r="U36" s="403"/>
      <c r="V36" s="403"/>
      <c r="W36" s="407"/>
      <c r="X36" s="406"/>
      <c r="Y36" s="406"/>
      <c r="Z36" s="406"/>
      <c r="AA36" s="406"/>
      <c r="AB36" s="406"/>
      <c r="AC36" s="407"/>
      <c r="AD36" s="408"/>
      <c r="AE36" s="403"/>
      <c r="AF36" s="403"/>
      <c r="AG36" s="81" t="s">
        <v>711</v>
      </c>
      <c r="AH36" s="95"/>
      <c r="AI36" s="91" t="s">
        <v>712</v>
      </c>
      <c r="AJ36" s="91" t="s">
        <v>683</v>
      </c>
      <c r="AK36" s="91" t="s">
        <v>684</v>
      </c>
      <c r="AL36" s="27" t="s">
        <v>713</v>
      </c>
      <c r="AM36" s="27" t="s">
        <v>683</v>
      </c>
      <c r="AN36" s="27" t="s">
        <v>714</v>
      </c>
      <c r="AO36" s="91" t="s">
        <v>715</v>
      </c>
      <c r="AP36" s="91" t="s">
        <v>685</v>
      </c>
      <c r="AQ36" s="91" t="s">
        <v>685</v>
      </c>
      <c r="AR36" s="91" t="s">
        <v>716</v>
      </c>
      <c r="AS36" s="91" t="s">
        <v>685</v>
      </c>
      <c r="AT36" s="91" t="s">
        <v>686</v>
      </c>
      <c r="AU36" s="62" t="s">
        <v>687</v>
      </c>
      <c r="AV36" s="62" t="s">
        <v>717</v>
      </c>
      <c r="AW36" s="62" t="s">
        <v>688</v>
      </c>
      <c r="AX36" s="91" t="s">
        <v>689</v>
      </c>
      <c r="AY36" s="62" t="s">
        <v>685</v>
      </c>
      <c r="AZ36" s="91"/>
      <c r="BA36" s="91" t="s">
        <v>691</v>
      </c>
      <c r="BB36" s="91" t="s">
        <v>689</v>
      </c>
      <c r="BC36" s="91" t="s">
        <v>718</v>
      </c>
      <c r="BD36" s="91" t="s">
        <v>692</v>
      </c>
      <c r="BE36" s="91" t="s">
        <v>719</v>
      </c>
      <c r="BF36" s="91" t="s">
        <v>693</v>
      </c>
      <c r="BG36" s="91" t="s">
        <v>694</v>
      </c>
      <c r="BH36" s="65">
        <v>5.2895145445561821E-2</v>
      </c>
      <c r="BI36" s="59"/>
    </row>
    <row r="37" spans="1:61" x14ac:dyDescent="0.25">
      <c r="A37" s="59"/>
      <c r="B37" s="66">
        <v>1</v>
      </c>
      <c r="C37" s="67">
        <f ca="1">IF(AND(E37&gt;='Invoer gegevens (N)'!$C$17,E37&lt;'Invoer gegevens (N)'!$C$17+15),1,0)</f>
        <v>1</v>
      </c>
      <c r="D37" s="68">
        <v>0.5</v>
      </c>
      <c r="E37" s="69">
        <f ca="1">IF('Invoer gegevens (N)'!$C$16="","",'Invoer gegevens (N)'!$C$16)</f>
        <v>2019</v>
      </c>
      <c r="F37" s="84">
        <f ca="1">IF('Invoer gegevens (N)'!$C$17=E37,'Invoer gegevens (N)'!$C$10,IF(C37=1,K36,0))</f>
        <v>0</v>
      </c>
      <c r="G37" s="96">
        <f ca="1">IF(E37='Invoer gegevens (N)'!$C$17+15,K36,IF(C37&gt;=1,F37*VLOOKUP(E37,'Reeksen (N)'!$A$5:$B$76,2),0))</f>
        <v>0</v>
      </c>
      <c r="H37" s="84">
        <f ca="1">IF(E37='Invoer gegevens (N)'!$C$17+15,K36,(1-('Invoer gegevens (N)'!$F$20/12))*F37*MIN('Reeksen (N)'!B5,'Reeksen (N)'!D5))</f>
        <v>0</v>
      </c>
      <c r="I37" s="84">
        <f>IF('Reeksen (N)'!D5&lt;'Reeksen (N)'!B5,('Reeksen (N)'!B5-'Reeksen (N)'!D5)*F37,0)</f>
        <v>0</v>
      </c>
      <c r="J37" s="84">
        <f ca="1">IF(E37='Invoer gegevens (N)'!$C$17+16,0,('Invoer gegevens (N)'!$F$20/12)*F36*MIN('Reeksen (N)'!B4,'Reeksen (N)'!D4))</f>
        <v>0</v>
      </c>
      <c r="K37" s="97">
        <f ca="1">IF(E37&gt;='Invoer gegevens (N)'!$C$17+15,0,F37-G37)</f>
        <v>0</v>
      </c>
      <c r="L37" s="84">
        <f ca="1">IF('Invoer gegevens (N)'!$C$17=E37,0,IF(C37=1,Q36,0))</f>
        <v>0</v>
      </c>
      <c r="M37" s="96">
        <f ca="1">IF(E37='Invoer gegevens (N)'!$C$17+15,Q36,IF(C37&gt;=1,L37*VLOOKUP(E37,'Reeksen (N)'!$A$5:$B$76,2),0))</f>
        <v>0</v>
      </c>
      <c r="N37" s="84">
        <f ca="1">IF(C37='Invoer gegevens (N)'!$C$17+15,Q36,(1-('Invoer gegevens (N)'!$F$20/12))*L37*MIN('Reeksen (N)'!B5,'Reeksen (N)'!D5))</f>
        <v>0</v>
      </c>
      <c r="O37" s="84">
        <f>IF('Reeksen (N)'!D5&lt;'Reeksen (N)'!B5,('Reeksen (N)'!B5-'Reeksen (N)'!D5)*L37,0)</f>
        <v>0</v>
      </c>
      <c r="P37" s="84">
        <f ca="1">IF(E37='Invoer gegevens (N)'!$C$17+16,0,('Invoer gegevens (N)'!$F$20/12)*L36*MIN('Reeksen (N)'!B4,'Reeksen (N)'!D4))</f>
        <v>0</v>
      </c>
      <c r="Q37" s="84">
        <f ca="1">IF(E37&gt;='Invoer gegevens (N)'!$C$17+15,0,L37-M37+I37+O37)</f>
        <v>0</v>
      </c>
      <c r="R37" s="82">
        <f ca="1">IF('Invoer gegevens (N)'!$C$17=E37,'Invoer gegevens (N)'!$C$11,IF(C37=1,W36,0))</f>
        <v>0</v>
      </c>
      <c r="S37" s="86">
        <f ca="1">IF(E37='Invoer gegevens (N)'!$C$17+15,W36,IF(C37&gt;=1,R37*VLOOKUP(E37,'Reeksen (N)'!$A$5:$B$76,2),0))</f>
        <v>0</v>
      </c>
      <c r="T37" s="84">
        <f ca="1">IF(E37='Invoer gegevens (N)'!$C$17+15,W36,(1-('Invoer gegevens (N)'!$F$20/12))*R37*MIN('Reeksen (N)'!B5,'Reeksen (N)'!D5))</f>
        <v>0</v>
      </c>
      <c r="U37" s="84">
        <f>IF('Reeksen (N)'!D5&gt;='Reeksen (N)'!B5,0,IF('Reeksen (N)'!AD5&lt;='Reeksen (N)'!AE5,('Reeksen (N)'!B5-'Reeksen (N)'!D5)*R37,0))</f>
        <v>0</v>
      </c>
      <c r="V37" s="86">
        <f>IF('Reeksen (N)'!D5&gt;='Reeksen (N)'!B5,0,IF('Reeksen (N)'!AD5&gt;'Reeksen (N)'!AE5,('Reeksen (N)'!B5-'Reeksen (N)'!D5)*R37,0))</f>
        <v>0</v>
      </c>
      <c r="W37" s="97">
        <f ca="1">IF(E37&gt;='Invoer gegevens (N)'!$C$17+15,0,R37-S37)</f>
        <v>0</v>
      </c>
      <c r="X37" s="98">
        <f ca="1">IF('Invoer gegevens (N)'!$C$17=E37,'Invoer gegevens (N)'!$C$10-'Invoer gegevens (N)'!$C$11,IF(C37=1,AC36,0))</f>
        <v>0</v>
      </c>
      <c r="Y37" s="98">
        <f ca="1">IF(E37='Invoer gegevens (N)'!$C$17+15,AC36,IF(C37&gt;=1,X37*VLOOKUP(E37,'Reeksen (N)'!$A$5:$B$76,2),0))</f>
        <v>0</v>
      </c>
      <c r="Z37" s="98">
        <f ca="1">IF(E37='Invoer gegevens (N)'!$C$17+15,AC36,(1-('Invoer gegevens (N)'!$F$20/12))*X37*MIN('Reeksen (N)'!B5,'Reeksen (N)'!D5))</f>
        <v>0</v>
      </c>
      <c r="AA37" s="98">
        <f>IF('Reeksen (N)'!D5&gt;='Reeksen (N)'!B5,0,IF('Reeksen (N)'!AD5&lt;='Reeksen (N)'!AE5,('Reeksen (N)'!B5-'Reeksen (N)'!D5)*X37,0))</f>
        <v>0</v>
      </c>
      <c r="AB37" s="98">
        <f>IF('Reeksen (N)'!D5&gt;='Reeksen (N)'!B5,0,IF('Reeksen (N)'!AD5&gt;'Reeksen (N)'!AE5,('Reeksen (N)'!B5-'Reeksen (N)'!D5)*X37,0))</f>
        <v>0</v>
      </c>
      <c r="AC37" s="99">
        <f ca="1">IF(E37&gt;='Invoer gegevens (N)'!$C$17+15,0,X37-Y37)</f>
        <v>0</v>
      </c>
      <c r="AD37" s="98">
        <f ca="1">IF('Invoer gegevens (N)'!$C$17=E5,R37,IF(C5=0,0,AE36))</f>
        <v>0</v>
      </c>
      <c r="AE37" s="98">
        <f ca="1">IF(C5=0,0,AD37-S37-V37+AA37)</f>
        <v>0</v>
      </c>
      <c r="AF37" s="98">
        <f ca="1">IF('Invoer gegevens (N)'!$C$17=E5,X37,IF(C5=0,0,AG36))</f>
        <v>0</v>
      </c>
      <c r="AG37" s="98">
        <f ca="1">IF(C5=0,0,AF37-Y37-AA37+V37)</f>
        <v>0</v>
      </c>
      <c r="AH37" s="66"/>
      <c r="AI37" s="71">
        <f ca="1">IF(C37=1,'Reeksen (N)'!AI5*((F37-G37+F37)/2)*12+'Reeksen (N)'!AD5*((L37-M37+L37)/2)*12,0)</f>
        <v>0</v>
      </c>
      <c r="AJ37" s="71">
        <f ca="1">-AI37*'Invoer gegevens (N)'!$F$26</f>
        <v>0</v>
      </c>
      <c r="AK37" s="71">
        <f ca="1">AI37+AJ37</f>
        <v>0</v>
      </c>
      <c r="AL37" s="71">
        <f ca="1">IF(C37=1,'Reeksen (N)'!AL5*((F37-G37+F37)/2)*12+'Reeksen (N)'!AM5*((L37-M37+L37)/2)*12,0)</f>
        <v>0</v>
      </c>
      <c r="AM37" s="71">
        <f ca="1">-AL37*'Invoer gegevens (N)'!$F$31</f>
        <v>0</v>
      </c>
      <c r="AN37" s="71">
        <f ca="1">AL37+AM37</f>
        <v>0</v>
      </c>
      <c r="AO37" s="71">
        <f ca="1">IF(E37&gt;='Invoer gegevens (N)'!$C$17+15,0,IF(C37=1,(H37+J37+N37+P37)*'Reeksen (N)'!AN5,0))</f>
        <v>0</v>
      </c>
      <c r="AP37" s="71">
        <f ca="1">-IF(C37=1,(H37+J37+N37+P37)*'Hulp - basis'!$O$550*'Reeksen (N)'!H5,0)</f>
        <v>0</v>
      </c>
      <c r="AQ37" s="71">
        <f ca="1">-IF(C37=1,(F37+K37+L37+Q37)/2*'Invoer gegevens (N)'!$F$35*'Reeksen (N)'!J5,0)</f>
        <v>0</v>
      </c>
      <c r="AR37" s="71"/>
      <c r="AS37" s="71">
        <f ca="1">-IF(C37=1,(F37+K37+L37+Q37)/2*'Invoer gegevens (N)'!$F$37*'Reeksen (N)'!L5,0)</f>
        <v>0</v>
      </c>
      <c r="AT37" s="71">
        <f ca="1">-IF(C37=1,IF(E37='Invoer gegevens (N)'!$C$17,'Invoer gegevens (N)'!$C$11,AD37)*'Reeksen (N)'!S5*'Invoer gegevens (N)'!$C$18*'Reeksen (N)'!P5,0)</f>
        <v>0</v>
      </c>
      <c r="AU37" s="71">
        <f ca="1">-IF(C37=1,(F37+K37+L37+Q37)/2*'Invoer gegevens (N)'!$F$38*'Reeksen (N)'!H5,0)</f>
        <v>0</v>
      </c>
      <c r="AV37" s="71">
        <v>0</v>
      </c>
      <c r="AW37" s="71">
        <f ca="1">SUM(AK37,AN37:AV37)</f>
        <v>0</v>
      </c>
      <c r="AX37" s="72">
        <f ca="1">IF(E37='Invoer gegevens (N)'!$C$17+14,'RW - MW - UP (N)'!$AY$236,0)</f>
        <v>0</v>
      </c>
      <c r="AY37" s="72">
        <f ca="1">IFERROR(IF(E37='Invoer gegevens (N)'!$C$17,-'Invoer gegevens (N)'!$C$10*('Invoer gegevens (N)'!$C$30+'Invoer gegevens (N)'!$C$31)*'Reeksen (N)'!H5,0),0)</f>
        <v>0</v>
      </c>
      <c r="AZ37" s="73">
        <f ca="1">IF('Invoer gegevens (N)'!$C$34=E37,'Invoer gegevens (N)'!$C$27*'Invoer gegevens (N)'!$C$10*'Invoer gegevens (N)'!$C$36*(IF('Invoer gegevens (N)'!$C$35="ja",1,'Reeksen (N)'!J5)),IF('Invoer gegevens (N)'!$C$34+1=E37,'Invoer gegevens (N)'!$C$27*'Invoer gegevens (N)'!$C$10*'Invoer gegevens (N)'!$C$37*(IF('Invoer gegevens (N)'!$C$35="ja",1,'Reeksen (N)'!J5)),0))+IF(AND(E37='Invoer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37" s="73">
        <f ca="1">AW37/(1+'Invoer gegevens (N)'!$F$18)^($D37-('Invoer gegevens (N)'!$C$17-'Invoer gegevens (N)'!$C$16))/(1+'Invoer gegevens (N)'!$C$39)^('Invoer gegevens (N)'!$C$17-'Invoer gegevens (N)'!$C$16)</f>
        <v>0</v>
      </c>
      <c r="BB37" s="73">
        <f ca="1">AX37/(1+'Invoer gegevens (N)'!$F$18)^(E37-('Invoer gegevens (N)'!$C$17-1))/(1+'Invoer gegevens (N)'!$C$39)^('Invoer gegevens (N)'!$C$17-'Invoer gegevens (N)'!$C$16)</f>
        <v>0</v>
      </c>
      <c r="BC37" s="73">
        <f ca="1">AY37/(1+'Invoer gegevens (N)'!$C$39)^('Invoer gegevens (N)'!$C$17-'Invoer gegevens (N)'!$C$16)</f>
        <v>0</v>
      </c>
      <c r="BD37" s="72">
        <f ca="1">SUM(BA37:BC37)</f>
        <v>0</v>
      </c>
      <c r="BE37" s="72">
        <f ca="1">IF(AND(E37='Invoer gegevens (N)'!$C$16,'Invoer gegevens (N)'!$C$34&lt;'Invoer gegevens (N)'!$C$16),AZ37,AZ37/(1+'Invoer gegevens (N)'!$C$39)^D37)</f>
        <v>0</v>
      </c>
      <c r="BF37" s="72">
        <f ca="1">IF(E37='Invoer gegevens (N)'!$C$34,-'Invoer gegevens (N)'!$F$40,0)</f>
        <v>0</v>
      </c>
      <c r="BG37" s="72">
        <f ca="1">IF(E37='Invoer gegevens (N)'!$C$17,-'Invoer gegevens (N)'!$C$19*$BD$63,0)</f>
        <v>0</v>
      </c>
      <c r="BH37" s="72">
        <f ca="1">AW37/(1+$BH$36)^($D37-('Invoer gegevens (N)'!$C$17-'Invoer gegevens (N)'!$C$16))/(1+'Invoer gegevens (N)'!$C$39)^('Invoer gegevens (N)'!$C$17-'Invoer gegevens (N)'!$C$16)+AX37/(1+$BH$36)^(E37-('Invoer gegevens (N)'!$C$17-1))/(1+'Invoer gegevens (N)'!$C$39)^('Invoer gegevens (N)'!$C$17-'Invoer gegevens (N)'!$C$16)+AY37/(1+'Invoer gegevens (N)'!$C$39)^('Invoer gegevens (N)'!$C$17-'Invoer gegevens (N)'!$C$16)+(-AZ37/(1+'Invoer gegevens (N)'!$C$39)^D37)+BF37+BG37</f>
        <v>0</v>
      </c>
      <c r="BI37" s="59"/>
    </row>
    <row r="38" spans="1:61" x14ac:dyDescent="0.25">
      <c r="A38" s="59"/>
      <c r="B38" s="70">
        <f>B37+1</f>
        <v>2</v>
      </c>
      <c r="C38" s="67">
        <f ca="1">IF(AND(E38&gt;='Invoer gegevens (N)'!$C$17,E38&lt;'Invoer gegevens (N)'!$C$17+15),1,0)</f>
        <v>1</v>
      </c>
      <c r="D38" s="68">
        <f>D37+1</f>
        <v>1.5</v>
      </c>
      <c r="E38" s="69">
        <f ca="1">IF('Invoer gegevens (N)'!$C$16="","",E37+1)</f>
        <v>2020</v>
      </c>
      <c r="F38" s="84">
        <f ca="1">IF('Invoer gegevens (N)'!$C$17=E38,'Invoer gegevens (N)'!$C$10,IF(C38=1,K37,0))</f>
        <v>0</v>
      </c>
      <c r="G38" s="96">
        <f ca="1">IF(E38='Invoer gegevens (N)'!$C$17+15,K37,IF(C38&gt;=1,F38*VLOOKUP(E38,'Reeksen (N)'!$A$5:$B$76,2),0))</f>
        <v>0</v>
      </c>
      <c r="H38" s="84">
        <f ca="1">IF(E38='Invoer gegevens (N)'!$C$17+15,K37,(1-('Invoer gegevens (N)'!$F$20/12))*F38*MIN('Reeksen (N)'!B6,'Reeksen (N)'!D6))</f>
        <v>0</v>
      </c>
      <c r="I38" s="84">
        <f>IF('Reeksen (N)'!D6&lt;'Reeksen (N)'!B6,('Reeksen (N)'!B6-'Reeksen (N)'!D6)*F38,0)</f>
        <v>0</v>
      </c>
      <c r="J38" s="84">
        <f ca="1">IF(E38='Invoer gegevens (N)'!$C$17+16,0,('Invoer gegevens (N)'!$F$20/12)*F37*MIN('Reeksen (N)'!B5,'Reeksen (N)'!D5))</f>
        <v>0</v>
      </c>
      <c r="K38" s="97">
        <f ca="1">IF(E38&gt;='Invoer gegevens (N)'!$C$17+15,0,F38-G38)</f>
        <v>0</v>
      </c>
      <c r="L38" s="84">
        <f ca="1">IF('Invoer gegevens (N)'!$C$17=E38,0,IF(C38=1,Q37,0))</f>
        <v>0</v>
      </c>
      <c r="M38" s="96">
        <f ca="1">IF(E38='Invoer gegevens (N)'!$C$17+15,Q37,IF(C38&gt;=1,L38*VLOOKUP(E38,'Reeksen (N)'!$A$5:$B$76,2),0))</f>
        <v>0</v>
      </c>
      <c r="N38" s="84">
        <f ca="1">IF(C38='Invoer gegevens (N)'!$C$17+15,Q37,(1-('Invoer gegevens (N)'!$F$20/12))*L38*MIN('Reeksen (N)'!B6,'Reeksen (N)'!D6))</f>
        <v>0</v>
      </c>
      <c r="O38" s="84">
        <f>IF('Reeksen (N)'!D6&lt;'Reeksen (N)'!B6,('Reeksen (N)'!B6-'Reeksen (N)'!D6)*L38,0)</f>
        <v>0</v>
      </c>
      <c r="P38" s="84">
        <f ca="1">IF(E38='Invoer gegevens (N)'!$C$17+16,0,('Invoer gegevens (N)'!$F$20/12)*L37*MIN('Reeksen (N)'!B5,'Reeksen (N)'!D5))</f>
        <v>0</v>
      </c>
      <c r="Q38" s="84">
        <f ca="1">IF(E38&gt;='Invoer gegevens (N)'!$C$17+15,0,L38-M38+I38+O38)</f>
        <v>0</v>
      </c>
      <c r="R38" s="82">
        <f ca="1">IF('Invoer gegevens (N)'!$C$17=E38,'Invoer gegevens (N)'!$C$11,IF(C38=1,W37,0))</f>
        <v>0</v>
      </c>
      <c r="S38" s="86">
        <f ca="1">IF(E38='Invoer gegevens (N)'!$C$17+15,W37,IF(C38&gt;=1,R38*VLOOKUP(E38,'Reeksen (N)'!$A$5:$B$76,2),0))</f>
        <v>0</v>
      </c>
      <c r="T38" s="84">
        <f ca="1">IF(E38='Invoer gegevens (N)'!$C$17+15,W37,(1-('Invoer gegevens (N)'!$F$20/12))*R38*MIN('Reeksen (N)'!B6,'Reeksen (N)'!D6))</f>
        <v>0</v>
      </c>
      <c r="U38" s="84">
        <f>IF('Reeksen (N)'!D6&gt;='Reeksen (N)'!B6,0,IF('Reeksen (N)'!AD6&lt;='Reeksen (N)'!AE6,('Reeksen (N)'!B6-'Reeksen (N)'!D6)*R38,0))</f>
        <v>0</v>
      </c>
      <c r="V38" s="86">
        <f>IF('Reeksen (N)'!D6&gt;='Reeksen (N)'!B6,0,IF('Reeksen (N)'!AD6&gt;'Reeksen (N)'!AE6,('Reeksen (N)'!B6-'Reeksen (N)'!D6)*R38,0))</f>
        <v>0</v>
      </c>
      <c r="W38" s="97">
        <f ca="1">IF(E38&gt;='Invoer gegevens (N)'!$C$17+15,0,R38-S38)</f>
        <v>0</v>
      </c>
      <c r="X38" s="98">
        <f ca="1">IF('Invoer gegevens (N)'!$C$17=E38,'Invoer gegevens (N)'!$C$10-'Invoer gegevens (N)'!$C$11,IF(C38=1,AC37,0))</f>
        <v>0</v>
      </c>
      <c r="Y38" s="98">
        <f ca="1">IF(E38='Invoer gegevens (N)'!$C$17+15,AC37,IF(C38&gt;=1,X38*VLOOKUP(E38,'Reeksen (N)'!$A$5:$B$76,2),0))</f>
        <v>0</v>
      </c>
      <c r="Z38" s="98">
        <f ca="1">IF(E38='Invoer gegevens (N)'!$C$17+15,AC37,(1-('Invoer gegevens (N)'!$F$20/12))*X38*MIN('Reeksen (N)'!B6,'Reeksen (N)'!D6))</f>
        <v>0</v>
      </c>
      <c r="AA38" s="98">
        <f>IF('Reeksen (N)'!D6&gt;='Reeksen (N)'!B6,0,IF('Reeksen (N)'!AD6&lt;='Reeksen (N)'!AE6,('Reeksen (N)'!B6-'Reeksen (N)'!D6)*X38,0))</f>
        <v>0</v>
      </c>
      <c r="AB38" s="98">
        <f>IF('Reeksen (N)'!D6&gt;='Reeksen (N)'!B6,0,IF('Reeksen (N)'!AD6&gt;'Reeksen (N)'!AE6,('Reeksen (N)'!B6-'Reeksen (N)'!D6)*X38,0))</f>
        <v>0</v>
      </c>
      <c r="AC38" s="99">
        <f ca="1">IF(E38&gt;='Invoer gegevens (N)'!$C$17+15,0,X38-Y38)</f>
        <v>0</v>
      </c>
      <c r="AD38" s="98">
        <f ca="1">IF('Invoer gegevens (N)'!$C$17=E6,R38,IF(C6=0,0,AE37))</f>
        <v>0</v>
      </c>
      <c r="AE38" s="98">
        <f t="shared" ref="AE38:AE61" ca="1" si="9">IF(C6=0,0,AD38-S38-V38+AA38)</f>
        <v>0</v>
      </c>
      <c r="AF38" s="98">
        <f ca="1">IF('Invoer gegevens (N)'!$C$17=E6,X38,IF(C6=0,0,AG37))</f>
        <v>0</v>
      </c>
      <c r="AG38" s="98">
        <f t="shared" ref="AG38:AG61" ca="1" si="10">IF(C6=0,0,AF38-Y38-AA38+V38)</f>
        <v>0</v>
      </c>
      <c r="AH38" s="66"/>
      <c r="AI38" s="71">
        <f ca="1">IF(C38=1,'Reeksen (N)'!AI6*((F38-G38+F38)/2)*12+'Reeksen (N)'!AD6*((L38-M38+L38)/2)*12,0)</f>
        <v>0</v>
      </c>
      <c r="AJ38" s="71">
        <f ca="1">-AI38*'Invoer gegevens (N)'!$F$27</f>
        <v>0</v>
      </c>
      <c r="AK38" s="71">
        <f t="shared" ref="AK38:AK61" ca="1" si="11">AI38+AJ38</f>
        <v>0</v>
      </c>
      <c r="AL38" s="71">
        <f ca="1">IF(C38=1,'Reeksen (N)'!AL6*((F38-G38+F38)/2)*12+'Reeksen (N)'!AM6*((L38-M38+L38)/2)*12,0)</f>
        <v>0</v>
      </c>
      <c r="AM38" s="71">
        <f ca="1">-AL38*'Invoer gegevens (N)'!$F$31</f>
        <v>0</v>
      </c>
      <c r="AN38" s="71">
        <f t="shared" ref="AN38:AN61" ca="1" si="12">AL38+AM38</f>
        <v>0</v>
      </c>
      <c r="AO38" s="71">
        <f ca="1">IF(E38&gt;='Invoer gegevens (N)'!$C$17+15,0,IF(C38=1,(H38+J38+N38+P38)*'Reeksen (N)'!AN6,0))</f>
        <v>0</v>
      </c>
      <c r="AP38" s="71">
        <f ca="1">-IF(C38=1,(H38+J38+N38+P38)*'Hulp - basis'!$O$550*'Reeksen (N)'!H6,0)</f>
        <v>0</v>
      </c>
      <c r="AQ38" s="71">
        <f ca="1">-IF(C38=1,(F38+K38+L38+Q38)/2*'Invoer gegevens (N)'!$F$35*'Reeksen (N)'!J6,0)</f>
        <v>0</v>
      </c>
      <c r="AR38" s="71"/>
      <c r="AS38" s="71">
        <f ca="1">-IF(C38=1,(F38+K38+L38+Q38)/2*'Invoer gegevens (N)'!$F$37*'Reeksen (N)'!L6,0)</f>
        <v>0</v>
      </c>
      <c r="AT38" s="71">
        <f ca="1">-IF(C38=1,IF(E38='Invoer gegevens (N)'!$C$17,'Invoer gegevens (N)'!$C$11,AD38)*'Reeksen (N)'!S6*'Invoer gegevens (N)'!$C$18*'Reeksen (N)'!P6,0)</f>
        <v>0</v>
      </c>
      <c r="AU38" s="71">
        <f ca="1">-IF(C38=1,(F38+K38+L38+Q38)/2*'Invoer gegevens (N)'!$F$38*'Reeksen (N)'!H6,0)</f>
        <v>0</v>
      </c>
      <c r="AV38" s="71">
        <v>0</v>
      </c>
      <c r="AW38" s="71">
        <f t="shared" ref="AW38:AW61" ca="1" si="13">SUM(AK38,AN38:AV38)</f>
        <v>0</v>
      </c>
      <c r="AX38" s="72">
        <f ca="1">IF(E38='Invoer gegevens (N)'!$C$17+14,'RW - MW - UP (N)'!$AY$236,0)</f>
        <v>0</v>
      </c>
      <c r="AY38" s="72">
        <f ca="1">IFERROR(IF(E38='Invoer gegevens (N)'!$C$17,-'Invoer gegevens (N)'!$C$10*('Invoer gegevens (N)'!$C$30+'Invoer gegevens (N)'!$C$31)*'Reeksen (N)'!H6,0),0)</f>
        <v>0</v>
      </c>
      <c r="AZ38" s="73">
        <f ca="1">IF('Invoer gegevens (N)'!$C$34=E38,'Invoer gegevens (N)'!$C$27*'Invoer gegevens (N)'!$C$10*'Invoer gegevens (N)'!$C$36*(IF('Invoer gegevens (N)'!$C$35="ja",1,'Reeksen (N)'!J6)),IF('Invoer gegevens (N)'!$C$34+1=E38,'Invoer gegevens (N)'!$C$27*'Invoer gegevens (N)'!$C$10*'Invoer gegevens (N)'!$C$37*(IF('Invoer gegevens (N)'!$C$35="ja",1,'Reeksen (N)'!J6)),0))+IF(AND(E38='Invoer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38" s="73">
        <f ca="1">AW38/(1+'Invoer gegevens (N)'!$F$18)^($D38-('Invoer gegevens (N)'!$C$17-'Invoer gegevens (N)'!$C$16))/(1+'Invoer gegevens (N)'!$C$39)^('Invoer gegevens (N)'!$C$17-'Invoer gegevens (N)'!$C$16)</f>
        <v>0</v>
      </c>
      <c r="BB38" s="73">
        <f ca="1">AX38/(1+'Invoer gegevens (N)'!$F$18)^(E38-('Invoer gegevens (N)'!$C$17-1))/(1+'Invoer gegevens (N)'!$C$39)^('Invoer gegevens (N)'!$C$17-'Invoer gegevens (N)'!$C$16)</f>
        <v>0</v>
      </c>
      <c r="BC38" s="73">
        <f ca="1">AY38/(1+'Invoer gegevens (N)'!$C$39)^('Invoer gegevens (N)'!$C$17-'Invoer gegevens (N)'!$C$16)</f>
        <v>0</v>
      </c>
      <c r="BD38" s="72">
        <f t="shared" ref="BD38:BD61" ca="1" si="14">SUM(BA38:BC38)</f>
        <v>0</v>
      </c>
      <c r="BE38" s="72">
        <f ca="1">IF(AND(E38='Invoer gegevens (N)'!$C$16,'Invoer gegevens (N)'!$C$34&lt;'Invoer gegevens (N)'!$C$16),AZ38,AZ38/(1+'Invoer gegevens (N)'!$C$39)^D38)</f>
        <v>0</v>
      </c>
      <c r="BF38" s="72">
        <f ca="1">IF(E38='Invoer gegevens (N)'!$C$34,-'Invoer gegevens (N)'!$F$40,0)</f>
        <v>0</v>
      </c>
      <c r="BG38" s="72">
        <f ca="1">IF(E38='Invoer gegevens (N)'!$C$17,-'Invoer gegevens (N)'!$C$19*$BD$63,0)</f>
        <v>0</v>
      </c>
      <c r="BH38" s="72">
        <f ca="1">AW38/(1+$BH$36)^($D38-('Invoer gegevens (N)'!$C$17-'Invoer gegevens (N)'!$C$16))/(1+'Invoer gegevens (N)'!$C$39)^('Invoer gegevens (N)'!$C$17-'Invoer gegevens (N)'!$C$16)+AX38/(1+$BH$36)^(E38-('Invoer gegevens (N)'!$C$17-1))/(1+'Invoer gegevens (N)'!$C$39)^('Invoer gegevens (N)'!$C$17-'Invoer gegevens (N)'!$C$16)+AY38/(1+'Invoer gegevens (N)'!$C$39)^('Invoer gegevens (N)'!$C$17-'Invoer gegevens (N)'!$C$16)+(-AZ38/(1+'Invoer gegevens (N)'!$C$39)^D38)+BF38+BG38</f>
        <v>0</v>
      </c>
      <c r="BI38" s="59"/>
    </row>
    <row r="39" spans="1:61" x14ac:dyDescent="0.25">
      <c r="A39" s="59"/>
      <c r="B39" s="70">
        <f>B38+1</f>
        <v>3</v>
      </c>
      <c r="C39" s="67">
        <f ca="1">IF(AND(E39&gt;='Invoer gegevens (N)'!$C$17,E39&lt;'Invoer gegevens (N)'!$C$17+15),1,0)</f>
        <v>1</v>
      </c>
      <c r="D39" s="68">
        <f>D38+1</f>
        <v>2.5</v>
      </c>
      <c r="E39" s="69">
        <f ca="1">IF('Invoer gegevens (N)'!$C$16="","",E38+1)</f>
        <v>2021</v>
      </c>
      <c r="F39" s="84">
        <f ca="1">IF('Invoer gegevens (N)'!$C$17=E39,'Invoer gegevens (N)'!$C$10,IF(C39=1,K38,0))</f>
        <v>0</v>
      </c>
      <c r="G39" s="96">
        <f ca="1">IF(E39='Invoer gegevens (N)'!$C$17+15,K38,IF(C39&gt;=1,F39*VLOOKUP(E39,'Reeksen (N)'!$A$5:$B$76,2),0))</f>
        <v>0</v>
      </c>
      <c r="H39" s="84">
        <f ca="1">IF(E39='Invoer gegevens (N)'!$C$17+15,K38,(1-('Invoer gegevens (N)'!$F$20/12))*F39*MIN('Reeksen (N)'!B7,'Reeksen (N)'!D7))</f>
        <v>0</v>
      </c>
      <c r="I39" s="84">
        <f>IF('Reeksen (N)'!D7&lt;'Reeksen (N)'!B7,('Reeksen (N)'!B7-'Reeksen (N)'!D7)*F39,0)</f>
        <v>0</v>
      </c>
      <c r="J39" s="84">
        <f ca="1">IF(E39='Invoer gegevens (N)'!$C$17+16,0,('Invoer gegevens (N)'!$F$20/12)*F38*MIN('Reeksen (N)'!B6,'Reeksen (N)'!D6))</f>
        <v>0</v>
      </c>
      <c r="K39" s="97">
        <f ca="1">IF(E39&gt;='Invoer gegevens (N)'!$C$17+15,0,F39-G39)</f>
        <v>0</v>
      </c>
      <c r="L39" s="84">
        <f ca="1">IF('Invoer gegevens (N)'!$C$17=E39,0,IF(C39=1,Q38,0))</f>
        <v>0</v>
      </c>
      <c r="M39" s="96">
        <f ca="1">IF(E39='Invoer gegevens (N)'!$C$17+15,Q38,IF(C39&gt;=1,L39*VLOOKUP(E39,'Reeksen (N)'!$A$5:$B$76,2),0))</f>
        <v>0</v>
      </c>
      <c r="N39" s="84">
        <f ca="1">IF(C39='Invoer gegevens (N)'!$C$17+15,Q38,(1-('Invoer gegevens (N)'!$F$20/12))*L39*MIN('Reeksen (N)'!B7,'Reeksen (N)'!D7))</f>
        <v>0</v>
      </c>
      <c r="O39" s="84">
        <f>IF('Reeksen (N)'!D7&lt;'Reeksen (N)'!B7,('Reeksen (N)'!B7-'Reeksen (N)'!D7)*L39,0)</f>
        <v>0</v>
      </c>
      <c r="P39" s="84">
        <f ca="1">IF(E39='Invoer gegevens (N)'!$C$17+16,0,('Invoer gegevens (N)'!$F$20/12)*L38*MIN('Reeksen (N)'!B6,'Reeksen (N)'!D6))</f>
        <v>0</v>
      </c>
      <c r="Q39" s="84">
        <f ca="1">IF(E39&gt;='Invoer gegevens (N)'!$C$17+15,0,L39-M39+I39+O39)</f>
        <v>0</v>
      </c>
      <c r="R39" s="82">
        <f ca="1">IF('Invoer gegevens (N)'!$C$17=E39,'Invoer gegevens (N)'!$C$11,IF(C39=1,W38,0))</f>
        <v>0</v>
      </c>
      <c r="S39" s="86">
        <f ca="1">IF(E39='Invoer gegevens (N)'!$C$17+15,W38,IF(C39&gt;=1,R39*VLOOKUP(E39,'Reeksen (N)'!$A$5:$B$76,2),0))</f>
        <v>0</v>
      </c>
      <c r="T39" s="84">
        <f ca="1">IF(E39='Invoer gegevens (N)'!$C$17+15,W38,(1-('Invoer gegevens (N)'!$F$20/12))*R39*MIN('Reeksen (N)'!B7,'Reeksen (N)'!D7))</f>
        <v>0</v>
      </c>
      <c r="U39" s="84">
        <f>IF('Reeksen (N)'!D7&gt;='Reeksen (N)'!B7,0,IF('Reeksen (N)'!AD7&lt;='Reeksen (N)'!AE7,('Reeksen (N)'!B7-'Reeksen (N)'!D7)*R39,0))</f>
        <v>0</v>
      </c>
      <c r="V39" s="86">
        <f>IF('Reeksen (N)'!D7&gt;='Reeksen (N)'!B7,0,IF('Reeksen (N)'!AD7&gt;'Reeksen (N)'!AE7,('Reeksen (N)'!B7-'Reeksen (N)'!D7)*R39,0))</f>
        <v>0</v>
      </c>
      <c r="W39" s="97">
        <f ca="1">IF(E39&gt;='Invoer gegevens (N)'!$C$17+15,0,R39-S39)</f>
        <v>0</v>
      </c>
      <c r="X39" s="98">
        <f ca="1">IF('Invoer gegevens (N)'!$C$17=E39,'Invoer gegevens (N)'!$C$10-'Invoer gegevens (N)'!$C$11,IF(C39=1,AC38,0))</f>
        <v>0</v>
      </c>
      <c r="Y39" s="98">
        <f ca="1">IF(E39='Invoer gegevens (N)'!$C$17+15,AC38,IF(C39&gt;=1,X39*VLOOKUP(E39,'Reeksen (N)'!$A$5:$B$76,2),0))</f>
        <v>0</v>
      </c>
      <c r="Z39" s="98">
        <f ca="1">IF(E39='Invoer gegevens (N)'!$C$17+15,AC38,(1-('Invoer gegevens (N)'!$F$20/12))*X39*MIN('Reeksen (N)'!B7,'Reeksen (N)'!D7))</f>
        <v>0</v>
      </c>
      <c r="AA39" s="98">
        <f>IF('Reeksen (N)'!D7&gt;='Reeksen (N)'!B7,0,IF('Reeksen (N)'!AD7&lt;='Reeksen (N)'!AE7,('Reeksen (N)'!B7-'Reeksen (N)'!D7)*X39,0))</f>
        <v>0</v>
      </c>
      <c r="AB39" s="98">
        <f>IF('Reeksen (N)'!D7&gt;='Reeksen (N)'!B7,0,IF('Reeksen (N)'!AD7&gt;'Reeksen (N)'!AE7,('Reeksen (N)'!B7-'Reeksen (N)'!D7)*X39,0))</f>
        <v>0</v>
      </c>
      <c r="AC39" s="99">
        <f ca="1">IF(E39&gt;='Invoer gegevens (N)'!$C$17+15,0,X39-Y39)</f>
        <v>0</v>
      </c>
      <c r="AD39" s="98">
        <f ca="1">IF('Invoer gegevens (N)'!$C$17=E7,R39,IF(C7=0,0,AE38))</f>
        <v>0</v>
      </c>
      <c r="AE39" s="98">
        <f t="shared" ca="1" si="9"/>
        <v>0</v>
      </c>
      <c r="AF39" s="98">
        <f ca="1">IF('Invoer gegevens (N)'!$C$17=E7,X39,IF(C7=0,0,AG38))</f>
        <v>0</v>
      </c>
      <c r="AG39" s="98">
        <f t="shared" ca="1" si="10"/>
        <v>0</v>
      </c>
      <c r="AH39" s="66"/>
      <c r="AI39" s="71">
        <f ca="1">IF(C39=1,'Reeksen (N)'!AI7*((F39-G39+F39)/2)*12+'Reeksen (N)'!AD7*((L39-M39+L39)/2)*12,0)</f>
        <v>0</v>
      </c>
      <c r="AJ39" s="71">
        <f ca="1">-AI39*'Invoer gegevens (N)'!$F$28</f>
        <v>0</v>
      </c>
      <c r="AK39" s="71">
        <f t="shared" ca="1" si="11"/>
        <v>0</v>
      </c>
      <c r="AL39" s="71">
        <f ca="1">IF(C39=1,'Reeksen (N)'!AL7*((F39-G39+F39)/2)*12+'Reeksen (N)'!AM7*((L39-M39+L39)/2)*12,0)</f>
        <v>0</v>
      </c>
      <c r="AM39" s="71">
        <f ca="1">-AL39*'Invoer gegevens (N)'!$F$31</f>
        <v>0</v>
      </c>
      <c r="AN39" s="71">
        <f t="shared" ca="1" si="12"/>
        <v>0</v>
      </c>
      <c r="AO39" s="71">
        <f ca="1">IF(E39&gt;='Invoer gegevens (N)'!$C$17+15,0,IF(C39=1,(H39+J39+N39+P39)*'Reeksen (N)'!AN7,0))</f>
        <v>0</v>
      </c>
      <c r="AP39" s="71">
        <f ca="1">-IF(C39=1,(H39+J39+N39+P39)*'Hulp - basis'!$O$550*'Reeksen (N)'!H7,0)</f>
        <v>0</v>
      </c>
      <c r="AQ39" s="71">
        <f ca="1">-IF(C39=1,(F39+K39+L39+Q39)/2*'Invoer gegevens (N)'!$F$35*'Reeksen (N)'!J7,0)</f>
        <v>0</v>
      </c>
      <c r="AR39" s="71"/>
      <c r="AS39" s="71">
        <f ca="1">-IF(C39=1,(F39+K39+L39+Q39)/2*'Invoer gegevens (N)'!$F$37*'Reeksen (N)'!L7,0)</f>
        <v>0</v>
      </c>
      <c r="AT39" s="71">
        <f ca="1">-IF(C39=1,IF(E39='Invoer gegevens (N)'!$C$17,'Invoer gegevens (N)'!$C$11,AD39)*'Reeksen (N)'!S7*'Invoer gegevens (N)'!$C$18*'Reeksen (N)'!P7,0)</f>
        <v>0</v>
      </c>
      <c r="AU39" s="71">
        <f ca="1">-IF(C39=1,(F39+K39+L39+Q39)/2*'Invoer gegevens (N)'!$F$38*'Reeksen (N)'!H7,0)</f>
        <v>0</v>
      </c>
      <c r="AV39" s="71">
        <v>0</v>
      </c>
      <c r="AW39" s="71">
        <f t="shared" ca="1" si="13"/>
        <v>0</v>
      </c>
      <c r="AX39" s="72">
        <f ca="1">IF(E39='Invoer gegevens (N)'!$C$17+14,'RW - MW - UP (N)'!$AY$236,0)</f>
        <v>0</v>
      </c>
      <c r="AY39" s="72">
        <f ca="1">IFERROR(IF(E39='Invoer gegevens (N)'!$C$17,-'Invoer gegevens (N)'!$C$10*('Invoer gegevens (N)'!$C$30+'Invoer gegevens (N)'!$C$31)*'Reeksen (N)'!H7,0),0)</f>
        <v>0</v>
      </c>
      <c r="AZ39" s="73">
        <f ca="1">IF('Invoer gegevens (N)'!$C$34=E39,'Invoer gegevens (N)'!$C$27*'Invoer gegevens (N)'!$C$10*'Invoer gegevens (N)'!$C$36*(IF('Invoer gegevens (N)'!$C$35="ja",1,'Reeksen (N)'!J7)),IF('Invoer gegevens (N)'!$C$34+1=E39,'Invoer gegevens (N)'!$C$27*'Invoer gegevens (N)'!$C$10*'Invoer gegevens (N)'!$C$37*(IF('Invoer gegevens (N)'!$C$35="ja",1,'Reeksen (N)'!J7)),0))+IF(AND(E39='Invoer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39" s="73">
        <f ca="1">AW39/(1+'Invoer gegevens (N)'!$F$18)^($D39-('Invoer gegevens (N)'!$C$17-'Invoer gegevens (N)'!$C$16))/(1+'Invoer gegevens (N)'!$C$39)^('Invoer gegevens (N)'!$C$17-'Invoer gegevens (N)'!$C$16)</f>
        <v>0</v>
      </c>
      <c r="BB39" s="73">
        <f ca="1">AX39/(1+'Invoer gegevens (N)'!$F$18)^(E39-('Invoer gegevens (N)'!$C$17-1))/(1+'Invoer gegevens (N)'!$C$39)^('Invoer gegevens (N)'!$C$17-'Invoer gegevens (N)'!$C$16)</f>
        <v>0</v>
      </c>
      <c r="BC39" s="73">
        <f ca="1">AY39/(1+'Invoer gegevens (N)'!$C$39)^('Invoer gegevens (N)'!$C$17-'Invoer gegevens (N)'!$C$16)</f>
        <v>0</v>
      </c>
      <c r="BD39" s="72">
        <f t="shared" ca="1" si="14"/>
        <v>0</v>
      </c>
      <c r="BE39" s="72">
        <f ca="1">IF(AND(E39='Invoer gegevens (N)'!$C$16,'Invoer gegevens (N)'!$C$34&lt;'Invoer gegevens (N)'!$C$16),AZ39,AZ39/(1+'Invoer gegevens (N)'!$C$39)^D39)</f>
        <v>0</v>
      </c>
      <c r="BF39" s="72">
        <f ca="1">IF(E39='Invoer gegevens (N)'!$C$34,-'Invoer gegevens (N)'!$F$40,0)</f>
        <v>0</v>
      </c>
      <c r="BG39" s="72">
        <f ca="1">IF(E39='Invoer gegevens (N)'!$C$17,-'Invoer gegevens (N)'!$C$19*$BD$63,0)</f>
        <v>0</v>
      </c>
      <c r="BH39" s="72">
        <f ca="1">AW39/(1+$BH$36)^($D39-('Invoer gegevens (N)'!$C$17-'Invoer gegevens (N)'!$C$16))/(1+'Invoer gegevens (N)'!$C$39)^('Invoer gegevens (N)'!$C$17-'Invoer gegevens (N)'!$C$16)+AX39/(1+$BH$36)^(E39-('Invoer gegevens (N)'!$C$17-1))/(1+'Invoer gegevens (N)'!$C$39)^('Invoer gegevens (N)'!$C$17-'Invoer gegevens (N)'!$C$16)+AY39/(1+'Invoer gegevens (N)'!$C$39)^('Invoer gegevens (N)'!$C$17-'Invoer gegevens (N)'!$C$16)+(-AZ39/(1+'Invoer gegevens (N)'!$C$39)^D39)+BF39+BG39</f>
        <v>0</v>
      </c>
      <c r="BI39" s="59"/>
    </row>
    <row r="40" spans="1:61" x14ac:dyDescent="0.25">
      <c r="A40" s="59"/>
      <c r="B40" s="70">
        <f t="shared" ref="B40:B61" si="15">B39+1</f>
        <v>4</v>
      </c>
      <c r="C40" s="67">
        <f ca="1">IF(AND(E40&gt;='Invoer gegevens (N)'!$C$17,E40&lt;'Invoer gegevens (N)'!$C$17+15),1,0)</f>
        <v>1</v>
      </c>
      <c r="D40" s="68">
        <f t="shared" ref="D40:D61" si="16">D39+1</f>
        <v>3.5</v>
      </c>
      <c r="E40" s="69">
        <f ca="1">IF('Invoer gegevens (N)'!$C$16="","",E39+1)</f>
        <v>2022</v>
      </c>
      <c r="F40" s="84">
        <f ca="1">IF('Invoer gegevens (N)'!$C$17=E40,'Invoer gegevens (N)'!$C$10,IF(C40=1,K39,0))</f>
        <v>0</v>
      </c>
      <c r="G40" s="96">
        <f ca="1">IF(E40='Invoer gegevens (N)'!$C$17+15,K39,IF(C40&gt;=1,F40*VLOOKUP(E40,'Reeksen (N)'!$A$5:$B$76,2),0))</f>
        <v>0</v>
      </c>
      <c r="H40" s="84">
        <f ca="1">IF(E40='Invoer gegevens (N)'!$C$17+15,K39,(1-('Invoer gegevens (N)'!$F$20/12))*F40*MIN('Reeksen (N)'!B8,'Reeksen (N)'!D8))</f>
        <v>0</v>
      </c>
      <c r="I40" s="84">
        <f>IF('Reeksen (N)'!D8&lt;'Reeksen (N)'!B8,('Reeksen (N)'!B8-'Reeksen (N)'!D8)*F40,0)</f>
        <v>0</v>
      </c>
      <c r="J40" s="84">
        <f ca="1">IF(E40='Invoer gegevens (N)'!$C$17+16,0,('Invoer gegevens (N)'!$F$20/12)*F39*MIN('Reeksen (N)'!B7,'Reeksen (N)'!D7))</f>
        <v>0</v>
      </c>
      <c r="K40" s="97">
        <f ca="1">IF(E40&gt;='Invoer gegevens (N)'!$C$17+15,0,F40-G40)</f>
        <v>0</v>
      </c>
      <c r="L40" s="84">
        <f ca="1">IF('Invoer gegevens (N)'!$C$17=E40,0,IF(C40=1,Q39,0))</f>
        <v>0</v>
      </c>
      <c r="M40" s="96">
        <f ca="1">IF(E40='Invoer gegevens (N)'!$C$17+15,Q39,IF(C40&gt;=1,L40*VLOOKUP(E40,'Reeksen (N)'!$A$5:$B$76,2),0))</f>
        <v>0</v>
      </c>
      <c r="N40" s="84">
        <f ca="1">IF(C40='Invoer gegevens (N)'!$C$17+15,Q39,(1-('Invoer gegevens (N)'!$F$20/12))*L40*MIN('Reeksen (N)'!B8,'Reeksen (N)'!D8))</f>
        <v>0</v>
      </c>
      <c r="O40" s="84">
        <f>IF('Reeksen (N)'!D8&lt;'Reeksen (N)'!B8,('Reeksen (N)'!B8-'Reeksen (N)'!D8)*L40,0)</f>
        <v>0</v>
      </c>
      <c r="P40" s="84">
        <f ca="1">IF(E40='Invoer gegevens (N)'!$C$17+16,0,('Invoer gegevens (N)'!$F$20/12)*L39*MIN('Reeksen (N)'!B7,'Reeksen (N)'!D7))</f>
        <v>0</v>
      </c>
      <c r="Q40" s="84">
        <f ca="1">IF(E40&gt;='Invoer gegevens (N)'!$C$17+15,0,L40-M40+I40+O40)</f>
        <v>0</v>
      </c>
      <c r="R40" s="82">
        <f ca="1">IF('Invoer gegevens (N)'!$C$17=E40,'Invoer gegevens (N)'!$C$11,IF(C40=1,W39,0))</f>
        <v>0</v>
      </c>
      <c r="S40" s="86">
        <f ca="1">IF(E40='Invoer gegevens (N)'!$C$17+15,W39,IF(C40&gt;=1,R40*VLOOKUP(E40,'Reeksen (N)'!$A$5:$B$76,2),0))</f>
        <v>0</v>
      </c>
      <c r="T40" s="84">
        <f ca="1">IF(E40='Invoer gegevens (N)'!$C$17+15,W39,(1-('Invoer gegevens (N)'!$F$20/12))*R40*MIN('Reeksen (N)'!B8,'Reeksen (N)'!D8))</f>
        <v>0</v>
      </c>
      <c r="U40" s="84">
        <f>IF('Reeksen (N)'!D8&gt;='Reeksen (N)'!B8,0,IF('Reeksen (N)'!AD8&lt;='Reeksen (N)'!AE8,('Reeksen (N)'!B8-'Reeksen (N)'!D8)*R40,0))</f>
        <v>0</v>
      </c>
      <c r="V40" s="86">
        <f>IF('Reeksen (N)'!D8&gt;='Reeksen (N)'!B8,0,IF('Reeksen (N)'!AD8&gt;'Reeksen (N)'!AE8,('Reeksen (N)'!B8-'Reeksen (N)'!D8)*R40,0))</f>
        <v>0</v>
      </c>
      <c r="W40" s="97">
        <f ca="1">IF(E40&gt;='Invoer gegevens (N)'!$C$17+15,0,R40-S40)</f>
        <v>0</v>
      </c>
      <c r="X40" s="98">
        <f ca="1">IF('Invoer gegevens (N)'!$C$17=E40,'Invoer gegevens (N)'!$C$10-'Invoer gegevens (N)'!$C$11,IF(C40=1,AC39,0))</f>
        <v>0</v>
      </c>
      <c r="Y40" s="98">
        <f ca="1">IF(E40='Invoer gegevens (N)'!$C$17+15,AC39,IF(C40&gt;=1,X40*VLOOKUP(E40,'Reeksen (N)'!$A$5:$B$76,2),0))</f>
        <v>0</v>
      </c>
      <c r="Z40" s="98">
        <f ca="1">IF(E40='Invoer gegevens (N)'!$C$17+15,AC39,(1-('Invoer gegevens (N)'!$F$20/12))*X40*MIN('Reeksen (N)'!B8,'Reeksen (N)'!D8))</f>
        <v>0</v>
      </c>
      <c r="AA40" s="98">
        <f>IF('Reeksen (N)'!D8&gt;='Reeksen (N)'!B8,0,IF('Reeksen (N)'!AD8&lt;='Reeksen (N)'!AE8,('Reeksen (N)'!B8-'Reeksen (N)'!D8)*X40,0))</f>
        <v>0</v>
      </c>
      <c r="AB40" s="98">
        <f>IF('Reeksen (N)'!D8&gt;='Reeksen (N)'!B8,0,IF('Reeksen (N)'!AD8&gt;'Reeksen (N)'!AE8,('Reeksen (N)'!B8-'Reeksen (N)'!D8)*X40,0))</f>
        <v>0</v>
      </c>
      <c r="AC40" s="99">
        <f ca="1">IF(E40&gt;='Invoer gegevens (N)'!$C$17+15,0,X40-Y40)</f>
        <v>0</v>
      </c>
      <c r="AD40" s="98">
        <f ca="1">IF('Invoer gegevens (N)'!$C$17=E8,R40,IF(C8=0,0,AE39))</f>
        <v>0</v>
      </c>
      <c r="AE40" s="98">
        <f t="shared" ca="1" si="9"/>
        <v>0</v>
      </c>
      <c r="AF40" s="98">
        <f ca="1">IF('Invoer gegevens (N)'!$C$17=E8,X40,IF(C8=0,0,AG39))</f>
        <v>0</v>
      </c>
      <c r="AG40" s="98">
        <f t="shared" ca="1" si="10"/>
        <v>0</v>
      </c>
      <c r="AH40" s="66"/>
      <c r="AI40" s="71">
        <f ca="1">IF(C40=1,'Reeksen (N)'!AI8*((F40-G40+F40)/2)*12+'Reeksen (N)'!AD8*((L40-M40+L40)/2)*12,0)</f>
        <v>0</v>
      </c>
      <c r="AJ40" s="71">
        <f ca="1">-AI40*'Invoer gegevens (N)'!$F$28</f>
        <v>0</v>
      </c>
      <c r="AK40" s="71">
        <f t="shared" ca="1" si="11"/>
        <v>0</v>
      </c>
      <c r="AL40" s="71">
        <f ca="1">IF(C40=1,'Reeksen (N)'!AL8*((F40-G40+F40)/2)*12+'Reeksen (N)'!AM8*((L40-M40+L40)/2)*12,0)</f>
        <v>0</v>
      </c>
      <c r="AM40" s="71">
        <f ca="1">-AL40*'Invoer gegevens (N)'!$F$31</f>
        <v>0</v>
      </c>
      <c r="AN40" s="71">
        <f t="shared" ca="1" si="12"/>
        <v>0</v>
      </c>
      <c r="AO40" s="71">
        <f ca="1">IF(E40&gt;='Invoer gegevens (N)'!$C$17+15,0,IF(C40=1,(H40+J40+N40+P40)*'Reeksen (N)'!AN8,0))</f>
        <v>0</v>
      </c>
      <c r="AP40" s="71">
        <f ca="1">-IF(C40=1,(H40+J40+N40+P40)*'Hulp - basis'!$O$550*'Reeksen (N)'!H8,0)</f>
        <v>0</v>
      </c>
      <c r="AQ40" s="71">
        <f ca="1">-IF(C40=1,(F40+K40+L40+Q40)/2*'Invoer gegevens (N)'!$F$35*'Reeksen (N)'!J8,0)</f>
        <v>0</v>
      </c>
      <c r="AR40" s="71"/>
      <c r="AS40" s="71">
        <f ca="1">-IF(C40=1,(F40+K40+L40+Q40)/2*'Invoer gegevens (N)'!$F$37*'Reeksen (N)'!L8,0)</f>
        <v>0</v>
      </c>
      <c r="AT40" s="71">
        <f ca="1">-IF(C40=1,IF(E40='Invoer gegevens (N)'!$C$17,'Invoer gegevens (N)'!$C$11,AD40)*'Reeksen (N)'!S8*'Invoer gegevens (N)'!$C$18*'Reeksen (N)'!P8,0)</f>
        <v>0</v>
      </c>
      <c r="AU40" s="71">
        <f ca="1">-IF(C40=1,(F40+K40+L40+Q40)/2*'Invoer gegevens (N)'!$F$38*'Reeksen (N)'!H8,0)</f>
        <v>0</v>
      </c>
      <c r="AV40" s="71">
        <v>0</v>
      </c>
      <c r="AW40" s="71">
        <f t="shared" ca="1" si="13"/>
        <v>0</v>
      </c>
      <c r="AX40" s="72">
        <f ca="1">IF(E40='Invoer gegevens (N)'!$C$17+14,'RW - MW - UP (N)'!$AY$236,0)</f>
        <v>0</v>
      </c>
      <c r="AY40" s="72">
        <f ca="1">IFERROR(IF(E40='Invoer gegevens (N)'!$C$17,-'Invoer gegevens (N)'!$C$10*('Invoer gegevens (N)'!$C$30+'Invoer gegevens (N)'!$C$31)*'Reeksen (N)'!H8,0),0)</f>
        <v>0</v>
      </c>
      <c r="AZ40" s="73">
        <f ca="1">IF('Invoer gegevens (N)'!$C$34=E40,'Invoer gegevens (N)'!$C$27*'Invoer gegevens (N)'!$C$10*'Invoer gegevens (N)'!$C$36*(IF('Invoer gegevens (N)'!$C$35="ja",1,'Reeksen (N)'!J8)),IF('Invoer gegevens (N)'!$C$34+1=E40,'Invoer gegevens (N)'!$C$27*'Invoer gegevens (N)'!$C$10*'Invoer gegevens (N)'!$C$37*(IF('Invoer gegevens (N)'!$C$35="ja",1,'Reeksen (N)'!J8)),0))+IF(AND(E40='Invoer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0" s="73">
        <f ca="1">AW40/(1+'Invoer gegevens (N)'!$F$18)^($D40-('Invoer gegevens (N)'!$C$17-'Invoer gegevens (N)'!$C$16))/(1+'Invoer gegevens (N)'!$C$39)^('Invoer gegevens (N)'!$C$17-'Invoer gegevens (N)'!$C$16)</f>
        <v>0</v>
      </c>
      <c r="BB40" s="73">
        <f ca="1">AX40/(1+'Invoer gegevens (N)'!$F$18)^(E40-('Invoer gegevens (N)'!$C$17-1))/(1+'Invoer gegevens (N)'!$C$39)^('Invoer gegevens (N)'!$C$17-'Invoer gegevens (N)'!$C$16)</f>
        <v>0</v>
      </c>
      <c r="BC40" s="73">
        <f ca="1">AY40/(1+'Invoer gegevens (N)'!$C$39)^('Invoer gegevens (N)'!$C$17-'Invoer gegevens (N)'!$C$16)</f>
        <v>0</v>
      </c>
      <c r="BD40" s="72">
        <f t="shared" ca="1" si="14"/>
        <v>0</v>
      </c>
      <c r="BE40" s="72">
        <f ca="1">IF(AND(E40='Invoer gegevens (N)'!$C$16,'Invoer gegevens (N)'!$C$34&lt;'Invoer gegevens (N)'!$C$16),AZ40,AZ40/(1+'Invoer gegevens (N)'!$C$39)^D40)</f>
        <v>0</v>
      </c>
      <c r="BF40" s="72">
        <f ca="1">IF(E40='Invoer gegevens (N)'!$C$34,-'Invoer gegevens (N)'!$F$40,0)</f>
        <v>0</v>
      </c>
      <c r="BG40" s="72">
        <f ca="1">IF(E40='Invoer gegevens (N)'!$C$17,-'Invoer gegevens (N)'!$C$19*$BD$63,0)</f>
        <v>0</v>
      </c>
      <c r="BH40" s="72">
        <f ca="1">AW40/(1+$BH$36)^($D40-('Invoer gegevens (N)'!$C$17-'Invoer gegevens (N)'!$C$16))/(1+'Invoer gegevens (N)'!$C$39)^('Invoer gegevens (N)'!$C$17-'Invoer gegevens (N)'!$C$16)+AX40/(1+$BH$36)^(E40-('Invoer gegevens (N)'!$C$17-1))/(1+'Invoer gegevens (N)'!$C$39)^('Invoer gegevens (N)'!$C$17-'Invoer gegevens (N)'!$C$16)+AY40/(1+'Invoer gegevens (N)'!$C$39)^('Invoer gegevens (N)'!$C$17-'Invoer gegevens (N)'!$C$16)+(-AZ40/(1+'Invoer gegevens (N)'!$C$39)^D40)+BF40+BG40</f>
        <v>0</v>
      </c>
      <c r="BI40" s="59"/>
    </row>
    <row r="41" spans="1:61" x14ac:dyDescent="0.25">
      <c r="A41" s="59"/>
      <c r="B41" s="70">
        <f t="shared" si="15"/>
        <v>5</v>
      </c>
      <c r="C41" s="67">
        <f ca="1">IF(AND(E41&gt;='Invoer gegevens (N)'!$C$17,E41&lt;'Invoer gegevens (N)'!$C$17+15),1,0)</f>
        <v>1</v>
      </c>
      <c r="D41" s="68">
        <f t="shared" si="16"/>
        <v>4.5</v>
      </c>
      <c r="E41" s="69">
        <f ca="1">IF('Invoer gegevens (N)'!$C$16="","",E40+1)</f>
        <v>2023</v>
      </c>
      <c r="F41" s="84">
        <f ca="1">IF('Invoer gegevens (N)'!$C$17=E41,'Invoer gegevens (N)'!$C$10,IF(C41=1,K40,0))</f>
        <v>0</v>
      </c>
      <c r="G41" s="96">
        <f ca="1">IF(E41='Invoer gegevens (N)'!$C$17+15,K40,IF(C41&gt;=1,F41*VLOOKUP(E41,'Reeksen (N)'!$A$5:$B$76,2),0))</f>
        <v>0</v>
      </c>
      <c r="H41" s="84">
        <f ca="1">IF(E41='Invoer gegevens (N)'!$C$17+15,K40,(1-('Invoer gegevens (N)'!$F$20/12))*F41*MIN('Reeksen (N)'!B9,'Reeksen (N)'!D9))</f>
        <v>0</v>
      </c>
      <c r="I41" s="84">
        <f>IF('Reeksen (N)'!D9&lt;'Reeksen (N)'!B9,('Reeksen (N)'!B9-'Reeksen (N)'!D9)*F41,0)</f>
        <v>0</v>
      </c>
      <c r="J41" s="84">
        <f ca="1">IF(E41='Invoer gegevens (N)'!$C$17+16,0,('Invoer gegevens (N)'!$F$20/12)*F40*MIN('Reeksen (N)'!B8,'Reeksen (N)'!D8))</f>
        <v>0</v>
      </c>
      <c r="K41" s="97">
        <f ca="1">IF(E41&gt;='Invoer gegevens (N)'!$C$17+15,0,F41-G41)</f>
        <v>0</v>
      </c>
      <c r="L41" s="84">
        <f ca="1">IF('Invoer gegevens (N)'!$C$17=E41,0,IF(C41=1,Q40,0))</f>
        <v>0</v>
      </c>
      <c r="M41" s="96">
        <f ca="1">IF(E41='Invoer gegevens (N)'!$C$17+15,Q40,IF(C41&gt;=1,L41*VLOOKUP(E41,'Reeksen (N)'!$A$5:$B$76,2),0))</f>
        <v>0</v>
      </c>
      <c r="N41" s="84">
        <f ca="1">IF(C41='Invoer gegevens (N)'!$C$17+15,Q40,(1-('Invoer gegevens (N)'!$F$20/12))*L41*MIN('Reeksen (N)'!B9,'Reeksen (N)'!D9))</f>
        <v>0</v>
      </c>
      <c r="O41" s="84">
        <f>IF('Reeksen (N)'!D9&lt;'Reeksen (N)'!B9,('Reeksen (N)'!B9-'Reeksen (N)'!D9)*L41,0)</f>
        <v>0</v>
      </c>
      <c r="P41" s="84">
        <f ca="1">IF(E41='Invoer gegevens (N)'!$C$17+16,0,('Invoer gegevens (N)'!$F$20/12)*L40*MIN('Reeksen (N)'!B8,'Reeksen (N)'!D8))</f>
        <v>0</v>
      </c>
      <c r="Q41" s="84">
        <f ca="1">IF(E41&gt;='Invoer gegevens (N)'!$C$17+15,0,L41-M41+I41+O41)</f>
        <v>0</v>
      </c>
      <c r="R41" s="82">
        <f ca="1">IF('Invoer gegevens (N)'!$C$17=E41,'Invoer gegevens (N)'!$C$11,IF(C41=1,W40,0))</f>
        <v>0</v>
      </c>
      <c r="S41" s="86">
        <f ca="1">IF(E41='Invoer gegevens (N)'!$C$17+15,W40,IF(C41&gt;=1,R41*VLOOKUP(E41,'Reeksen (N)'!$A$5:$B$76,2),0))</f>
        <v>0</v>
      </c>
      <c r="T41" s="84">
        <f ca="1">IF(E41='Invoer gegevens (N)'!$C$17+15,W40,(1-('Invoer gegevens (N)'!$F$20/12))*R41*MIN('Reeksen (N)'!B9,'Reeksen (N)'!D9))</f>
        <v>0</v>
      </c>
      <c r="U41" s="84">
        <f>IF('Reeksen (N)'!D9&gt;='Reeksen (N)'!B9,0,IF('Reeksen (N)'!AD9&lt;='Reeksen (N)'!AE9,('Reeksen (N)'!B9-'Reeksen (N)'!D9)*R41,0))</f>
        <v>0</v>
      </c>
      <c r="V41" s="86">
        <f>IF('Reeksen (N)'!D9&gt;='Reeksen (N)'!B9,0,IF('Reeksen (N)'!AD9&gt;'Reeksen (N)'!AE9,('Reeksen (N)'!B9-'Reeksen (N)'!D9)*R41,0))</f>
        <v>0</v>
      </c>
      <c r="W41" s="97">
        <f ca="1">IF(E41&gt;='Invoer gegevens (N)'!$C$17+15,0,R41-S41)</f>
        <v>0</v>
      </c>
      <c r="X41" s="98">
        <f ca="1">IF('Invoer gegevens (N)'!$C$17=E41,'Invoer gegevens (N)'!$C$10-'Invoer gegevens (N)'!$C$11,IF(C41=1,AC40,0))</f>
        <v>0</v>
      </c>
      <c r="Y41" s="98">
        <f ca="1">IF(E41='Invoer gegevens (N)'!$C$17+15,AC40,IF(C41&gt;=1,X41*VLOOKUP(E41,'Reeksen (N)'!$A$5:$B$76,2),0))</f>
        <v>0</v>
      </c>
      <c r="Z41" s="98">
        <f ca="1">IF(E41='Invoer gegevens (N)'!$C$17+15,AC40,(1-('Invoer gegevens (N)'!$F$20/12))*X41*MIN('Reeksen (N)'!B9,'Reeksen (N)'!D9))</f>
        <v>0</v>
      </c>
      <c r="AA41" s="98">
        <f>IF('Reeksen (N)'!D9&gt;='Reeksen (N)'!B9,0,IF('Reeksen (N)'!AD9&lt;='Reeksen (N)'!AE9,('Reeksen (N)'!B9-'Reeksen (N)'!D9)*X41,0))</f>
        <v>0</v>
      </c>
      <c r="AB41" s="98">
        <f>IF('Reeksen (N)'!D9&gt;='Reeksen (N)'!B9,0,IF('Reeksen (N)'!AD9&gt;'Reeksen (N)'!AE9,('Reeksen (N)'!B9-'Reeksen (N)'!D9)*X41,0))</f>
        <v>0</v>
      </c>
      <c r="AC41" s="99">
        <f ca="1">IF(E41&gt;='Invoer gegevens (N)'!$C$17+15,0,X41-Y41)</f>
        <v>0</v>
      </c>
      <c r="AD41" s="98">
        <f ca="1">IF('Invoer gegevens (N)'!$C$17=E9,R41,IF(C9=0,0,AE40))</f>
        <v>0</v>
      </c>
      <c r="AE41" s="98">
        <f t="shared" ca="1" si="9"/>
        <v>0</v>
      </c>
      <c r="AF41" s="98">
        <f ca="1">IF('Invoer gegevens (N)'!$C$17=E9,X41,IF(C9=0,0,AG40))</f>
        <v>0</v>
      </c>
      <c r="AG41" s="98">
        <f t="shared" ca="1" si="10"/>
        <v>0</v>
      </c>
      <c r="AH41" s="66"/>
      <c r="AI41" s="71">
        <f ca="1">IF(C41=1,'Reeksen (N)'!AI9*((F41-G41+F41)/2)*12+'Reeksen (N)'!AD9*((L41-M41+L41)/2)*12,0)</f>
        <v>0</v>
      </c>
      <c r="AJ41" s="71">
        <f ca="1">-AI41*'Invoer gegevens (N)'!$F$28</f>
        <v>0</v>
      </c>
      <c r="AK41" s="71">
        <f t="shared" ca="1" si="11"/>
        <v>0</v>
      </c>
      <c r="AL41" s="71">
        <f ca="1">IF(C41=1,'Reeksen (N)'!AL9*((F41-G41+F41)/2)*12+'Reeksen (N)'!AM9*((L41-M41+L41)/2)*12,0)</f>
        <v>0</v>
      </c>
      <c r="AM41" s="71">
        <f ca="1">-AL41*'Invoer gegevens (N)'!$F$31</f>
        <v>0</v>
      </c>
      <c r="AN41" s="71">
        <f t="shared" ca="1" si="12"/>
        <v>0</v>
      </c>
      <c r="AO41" s="71">
        <f ca="1">IF(E41&gt;='Invoer gegevens (N)'!$C$17+15,0,IF(C41=1,(H41+J41+N41+P41)*'Reeksen (N)'!AN9,0))</f>
        <v>0</v>
      </c>
      <c r="AP41" s="71">
        <f ca="1">-IF(C41=1,(H41+J41+N41+P41)*'Hulp - basis'!$O$550*'Reeksen (N)'!H9,0)</f>
        <v>0</v>
      </c>
      <c r="AQ41" s="71">
        <f ca="1">-IF(C41=1,(F41+K41+L41+Q41)/2*'Invoer gegevens (N)'!$F$35*'Reeksen (N)'!J9,0)</f>
        <v>0</v>
      </c>
      <c r="AR41" s="71"/>
      <c r="AS41" s="71">
        <f ca="1">-IF(C41=1,(F41+K41+L41+Q41)/2*'Invoer gegevens (N)'!$F$37*'Reeksen (N)'!L9,0)</f>
        <v>0</v>
      </c>
      <c r="AT41" s="71">
        <f ca="1">-IF(C41=1,IF(E41='Invoer gegevens (N)'!$C$17,'Invoer gegevens (N)'!$C$11,AD41)*'Reeksen (N)'!S9*'Invoer gegevens (N)'!$C$18*'Reeksen (N)'!P9,0)</f>
        <v>0</v>
      </c>
      <c r="AU41" s="71">
        <f ca="1">-IF(C41=1,(F41+K41+L41+Q41)/2*'Invoer gegevens (N)'!$F$38*'Reeksen (N)'!H9,0)</f>
        <v>0</v>
      </c>
      <c r="AV41" s="71">
        <v>0</v>
      </c>
      <c r="AW41" s="71">
        <f t="shared" ca="1" si="13"/>
        <v>0</v>
      </c>
      <c r="AX41" s="72">
        <f ca="1">IF(E41='Invoer gegevens (N)'!$C$17+14,'RW - MW - UP (N)'!$AY$236,0)</f>
        <v>0</v>
      </c>
      <c r="AY41" s="72">
        <f ca="1">IFERROR(IF(E41='Invoer gegevens (N)'!$C$17,-'Invoer gegevens (N)'!$C$10*('Invoer gegevens (N)'!$C$30+'Invoer gegevens (N)'!$C$31)*'Reeksen (N)'!H9,0),0)</f>
        <v>0</v>
      </c>
      <c r="AZ41" s="73">
        <f ca="1">IF('Invoer gegevens (N)'!$C$34=E41,'Invoer gegevens (N)'!$C$27*'Invoer gegevens (N)'!$C$10*'Invoer gegevens (N)'!$C$36*(IF('Invoer gegevens (N)'!$C$35="ja",1,'Reeksen (N)'!J9)),IF('Invoer gegevens (N)'!$C$34+1=E41,'Invoer gegevens (N)'!$C$27*'Invoer gegevens (N)'!$C$10*'Invoer gegevens (N)'!$C$37*(IF('Invoer gegevens (N)'!$C$35="ja",1,'Reeksen (N)'!J9)),0))+IF(AND(E41='Invoer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1" s="73">
        <f ca="1">AW41/(1+'Invoer gegevens (N)'!$F$18)^($D41-('Invoer gegevens (N)'!$C$17-'Invoer gegevens (N)'!$C$16))/(1+'Invoer gegevens (N)'!$C$39)^('Invoer gegevens (N)'!$C$17-'Invoer gegevens (N)'!$C$16)</f>
        <v>0</v>
      </c>
      <c r="BB41" s="73">
        <f ca="1">AX41/(1+'Invoer gegevens (N)'!$F$18)^(E41-('Invoer gegevens (N)'!$C$17-1))/(1+'Invoer gegevens (N)'!$C$39)^('Invoer gegevens (N)'!$C$17-'Invoer gegevens (N)'!$C$16)</f>
        <v>0</v>
      </c>
      <c r="BC41" s="73">
        <f ca="1">AY41/(1+'Invoer gegevens (N)'!$C$39)^('Invoer gegevens (N)'!$C$17-'Invoer gegevens (N)'!$C$16)</f>
        <v>0</v>
      </c>
      <c r="BD41" s="72">
        <f t="shared" ca="1" si="14"/>
        <v>0</v>
      </c>
      <c r="BE41" s="72">
        <f ca="1">IF(AND(E41='Invoer gegevens (N)'!$C$16,'Invoer gegevens (N)'!$C$34&lt;'Invoer gegevens (N)'!$C$16),AZ41,AZ41/(1+'Invoer gegevens (N)'!$C$39)^D41)</f>
        <v>0</v>
      </c>
      <c r="BF41" s="72">
        <f ca="1">IF(E41='Invoer gegevens (N)'!$C$34,-'Invoer gegevens (N)'!$F$40,0)</f>
        <v>0</v>
      </c>
      <c r="BG41" s="72">
        <f ca="1">IF(E41='Invoer gegevens (N)'!$C$17,-'Invoer gegevens (N)'!$C$19*$BD$63,0)</f>
        <v>0</v>
      </c>
      <c r="BH41" s="72">
        <f ca="1">AW41/(1+$BH$36)^($D41-('Invoer gegevens (N)'!$C$17-'Invoer gegevens (N)'!$C$16))/(1+'Invoer gegevens (N)'!$C$39)^('Invoer gegevens (N)'!$C$17-'Invoer gegevens (N)'!$C$16)+AX41/(1+$BH$36)^(E41-('Invoer gegevens (N)'!$C$17-1))/(1+'Invoer gegevens (N)'!$C$39)^('Invoer gegevens (N)'!$C$17-'Invoer gegevens (N)'!$C$16)+AY41/(1+'Invoer gegevens (N)'!$C$39)^('Invoer gegevens (N)'!$C$17-'Invoer gegevens (N)'!$C$16)+(-AZ41/(1+'Invoer gegevens (N)'!$C$39)^D41)+BF41+BG41</f>
        <v>0</v>
      </c>
      <c r="BI41" s="59"/>
    </row>
    <row r="42" spans="1:61" x14ac:dyDescent="0.25">
      <c r="A42" s="59"/>
      <c r="B42" s="70">
        <f t="shared" si="15"/>
        <v>6</v>
      </c>
      <c r="C42" s="67">
        <f ca="1">IF(AND(E42&gt;='Invoer gegevens (N)'!$C$17,E42&lt;'Invoer gegevens (N)'!$C$17+15),1,0)</f>
        <v>1</v>
      </c>
      <c r="D42" s="68">
        <f t="shared" si="16"/>
        <v>5.5</v>
      </c>
      <c r="E42" s="69">
        <f ca="1">IF('Invoer gegevens (N)'!$C$16="","",E41+1)</f>
        <v>2024</v>
      </c>
      <c r="F42" s="84">
        <f ca="1">IF('Invoer gegevens (N)'!$C$17=E42,'Invoer gegevens (N)'!$C$10,IF(C42=1,K41,0))</f>
        <v>0</v>
      </c>
      <c r="G42" s="96">
        <f ca="1">IF(E42='Invoer gegevens (N)'!$C$17+15,K41,IF(C42&gt;=1,F42*VLOOKUP(E42,'Reeksen (N)'!$A$5:$B$76,2),0))</f>
        <v>0</v>
      </c>
      <c r="H42" s="84">
        <f ca="1">IF(E42='Invoer gegevens (N)'!$C$17+15,K41,(1-('Invoer gegevens (N)'!$F$20/12))*F42*MIN('Reeksen (N)'!B10,'Reeksen (N)'!D10))</f>
        <v>0</v>
      </c>
      <c r="I42" s="84">
        <f>IF('Reeksen (N)'!D10&lt;'Reeksen (N)'!B10,('Reeksen (N)'!B10-'Reeksen (N)'!D10)*F42,0)</f>
        <v>0</v>
      </c>
      <c r="J42" s="84">
        <f ca="1">IF(E42='Invoer gegevens (N)'!$C$17+16,0,('Invoer gegevens (N)'!$F$20/12)*F41*MIN('Reeksen (N)'!B9,'Reeksen (N)'!D9))</f>
        <v>0</v>
      </c>
      <c r="K42" s="97">
        <f ca="1">IF(E42&gt;='Invoer gegevens (N)'!$C$17+15,0,F42-G42)</f>
        <v>0</v>
      </c>
      <c r="L42" s="84">
        <f ca="1">IF('Invoer gegevens (N)'!$C$17=E42,0,IF(C42=1,Q41,0))</f>
        <v>0</v>
      </c>
      <c r="M42" s="96">
        <f ca="1">IF(E42='Invoer gegevens (N)'!$C$17+15,Q41,IF(C42&gt;=1,L42*VLOOKUP(E42,'Reeksen (N)'!$A$5:$B$76,2),0))</f>
        <v>0</v>
      </c>
      <c r="N42" s="84">
        <f ca="1">IF(C42='Invoer gegevens (N)'!$C$17+15,Q41,(1-('Invoer gegevens (N)'!$F$20/12))*L42*MIN('Reeksen (N)'!B10,'Reeksen (N)'!D10))</f>
        <v>0</v>
      </c>
      <c r="O42" s="84">
        <f>IF('Reeksen (N)'!D10&lt;'Reeksen (N)'!B10,('Reeksen (N)'!B10-'Reeksen (N)'!D10)*L42,0)</f>
        <v>0</v>
      </c>
      <c r="P42" s="84">
        <f ca="1">IF(E42='Invoer gegevens (N)'!$C$17+16,0,('Invoer gegevens (N)'!$F$20/12)*L41*MIN('Reeksen (N)'!B9,'Reeksen (N)'!D9))</f>
        <v>0</v>
      </c>
      <c r="Q42" s="84">
        <f ca="1">IF(E42&gt;='Invoer gegevens (N)'!$C$17+15,0,L42-M42+I42+O42)</f>
        <v>0</v>
      </c>
      <c r="R42" s="82">
        <f ca="1">IF('Invoer gegevens (N)'!$C$17=E42,'Invoer gegevens (N)'!$C$11,IF(C42=1,W41,0))</f>
        <v>0</v>
      </c>
      <c r="S42" s="86">
        <f ca="1">IF(E42='Invoer gegevens (N)'!$C$17+15,W41,IF(C42&gt;=1,R42*VLOOKUP(E42,'Reeksen (N)'!$A$5:$B$76,2),0))</f>
        <v>0</v>
      </c>
      <c r="T42" s="84">
        <f ca="1">IF(E42='Invoer gegevens (N)'!$C$17+15,W41,(1-('Invoer gegevens (N)'!$F$20/12))*R42*MIN('Reeksen (N)'!B10,'Reeksen (N)'!D10))</f>
        <v>0</v>
      </c>
      <c r="U42" s="84">
        <f>IF('Reeksen (N)'!D10&gt;='Reeksen (N)'!B10,0,IF('Reeksen (N)'!AD10&lt;='Reeksen (N)'!AE10,('Reeksen (N)'!B10-'Reeksen (N)'!D10)*R42,0))</f>
        <v>0</v>
      </c>
      <c r="V42" s="86">
        <f>IF('Reeksen (N)'!D10&gt;='Reeksen (N)'!B10,0,IF('Reeksen (N)'!AD10&gt;'Reeksen (N)'!AE10,('Reeksen (N)'!B10-'Reeksen (N)'!D10)*R42,0))</f>
        <v>0</v>
      </c>
      <c r="W42" s="97">
        <f ca="1">IF(E42&gt;='Invoer gegevens (N)'!$C$17+15,0,R42-S42)</f>
        <v>0</v>
      </c>
      <c r="X42" s="98">
        <f ca="1">IF('Invoer gegevens (N)'!$C$17=E42,'Invoer gegevens (N)'!$C$10-'Invoer gegevens (N)'!$C$11,IF(C42=1,AC41,0))</f>
        <v>0</v>
      </c>
      <c r="Y42" s="98">
        <f ca="1">IF(E42='Invoer gegevens (N)'!$C$17+15,AC41,IF(C42&gt;=1,X42*VLOOKUP(E42,'Reeksen (N)'!$A$5:$B$76,2),0))</f>
        <v>0</v>
      </c>
      <c r="Z42" s="98">
        <f ca="1">IF(E42='Invoer gegevens (N)'!$C$17+15,AC41,(1-('Invoer gegevens (N)'!$F$20/12))*X42*MIN('Reeksen (N)'!B10,'Reeksen (N)'!D10))</f>
        <v>0</v>
      </c>
      <c r="AA42" s="98">
        <f>IF('Reeksen (N)'!D10&gt;='Reeksen (N)'!B10,0,IF('Reeksen (N)'!AD10&lt;='Reeksen (N)'!AE10,('Reeksen (N)'!B10-'Reeksen (N)'!D10)*X42,0))</f>
        <v>0</v>
      </c>
      <c r="AB42" s="98">
        <f>IF('Reeksen (N)'!D10&gt;='Reeksen (N)'!B10,0,IF('Reeksen (N)'!AD10&gt;'Reeksen (N)'!AE10,('Reeksen (N)'!B10-'Reeksen (N)'!D10)*X42,0))</f>
        <v>0</v>
      </c>
      <c r="AC42" s="99">
        <f ca="1">IF(E42&gt;='Invoer gegevens (N)'!$C$17+15,0,X42-Y42)</f>
        <v>0</v>
      </c>
      <c r="AD42" s="98">
        <f ca="1">IF('Invoer gegevens (N)'!$C$17=E10,R42,IF(C10=0,0,AE41))</f>
        <v>0</v>
      </c>
      <c r="AE42" s="98">
        <f t="shared" ca="1" si="9"/>
        <v>0</v>
      </c>
      <c r="AF42" s="98">
        <f ca="1">IF('Invoer gegevens (N)'!$C$17=E10,X42,IF(C10=0,0,AG41))</f>
        <v>0</v>
      </c>
      <c r="AG42" s="98">
        <f t="shared" ca="1" si="10"/>
        <v>0</v>
      </c>
      <c r="AH42" s="66"/>
      <c r="AI42" s="71">
        <f ca="1">IF(C42=1,'Reeksen (N)'!AI10*((F42-G42+F42)/2)*12+'Reeksen (N)'!AD10*((L42-M42+L42)/2)*12,0)</f>
        <v>0</v>
      </c>
      <c r="AJ42" s="71">
        <f ca="1">-AI42*'Invoer gegevens (N)'!$F$28</f>
        <v>0</v>
      </c>
      <c r="AK42" s="71">
        <f t="shared" ca="1" si="11"/>
        <v>0</v>
      </c>
      <c r="AL42" s="71">
        <f ca="1">IF(C42=1,'Reeksen (N)'!AL10*((F42-G42+F42)/2)*12+'Reeksen (N)'!AM10*((L42-M42+L42)/2)*12,0)</f>
        <v>0</v>
      </c>
      <c r="AM42" s="71">
        <f ca="1">-AL42*'Invoer gegevens (N)'!$F$31</f>
        <v>0</v>
      </c>
      <c r="AN42" s="71">
        <f t="shared" ca="1" si="12"/>
        <v>0</v>
      </c>
      <c r="AO42" s="71">
        <f ca="1">IF(E42&gt;='Invoer gegevens (N)'!$C$17+15,0,IF(C42=1,(H42+J42+N42+P42)*'Reeksen (N)'!AN10,0))</f>
        <v>0</v>
      </c>
      <c r="AP42" s="71">
        <f ca="1">-IF(C42=1,(H42+J42+N42+P42)*'Hulp - basis'!$O$550*'Reeksen (N)'!H10,0)</f>
        <v>0</v>
      </c>
      <c r="AQ42" s="71">
        <f ca="1">-IF(C42=1,(F42+K42+L42+Q42)/2*'Invoer gegevens (N)'!$F$35*'Reeksen (N)'!J10,0)</f>
        <v>0</v>
      </c>
      <c r="AR42" s="71"/>
      <c r="AS42" s="71">
        <f ca="1">-IF(C42=1,(F42+K42+L42+Q42)/2*'Invoer gegevens (N)'!$F$37*'Reeksen (N)'!L10,0)</f>
        <v>0</v>
      </c>
      <c r="AT42" s="71">
        <f ca="1">-IF(C42=1,IF(E42='Invoer gegevens (N)'!$C$17,'Invoer gegevens (N)'!$C$11,AD42)*'Reeksen (N)'!S10*'Invoer gegevens (N)'!$C$18*'Reeksen (N)'!P10,0)</f>
        <v>0</v>
      </c>
      <c r="AU42" s="71">
        <f ca="1">-IF(C42=1,(F42+K42+L42+Q42)/2*'Invoer gegevens (N)'!$F$38*'Reeksen (N)'!H10,0)</f>
        <v>0</v>
      </c>
      <c r="AV42" s="71">
        <v>0</v>
      </c>
      <c r="AW42" s="71">
        <f t="shared" ca="1" si="13"/>
        <v>0</v>
      </c>
      <c r="AX42" s="72">
        <f ca="1">IF(E42='Invoer gegevens (N)'!$C$17+14,'RW - MW - UP (N)'!$AY$236,0)</f>
        <v>0</v>
      </c>
      <c r="AY42" s="72">
        <f ca="1">IFERROR(IF(E42='Invoer gegevens (N)'!$C$17,-'Invoer gegevens (N)'!$C$10*('Invoer gegevens (N)'!$C$30+'Invoer gegevens (N)'!$C$31)*'Reeksen (N)'!H10,0),0)</f>
        <v>0</v>
      </c>
      <c r="AZ42" s="73">
        <f ca="1">IF('Invoer gegevens (N)'!$C$34=E42,'Invoer gegevens (N)'!$C$27*'Invoer gegevens (N)'!$C$10*'Invoer gegevens (N)'!$C$36*(IF('Invoer gegevens (N)'!$C$35="ja",1,'Reeksen (N)'!J10)),IF('Invoer gegevens (N)'!$C$34+1=E42,'Invoer gegevens (N)'!$C$27*'Invoer gegevens (N)'!$C$10*'Invoer gegevens (N)'!$C$37*(IF('Invoer gegevens (N)'!$C$35="ja",1,'Reeksen (N)'!J10)),0))+IF(AND(E42='Invoer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2" s="73">
        <f ca="1">AW42/(1+'Invoer gegevens (N)'!$F$18)^($D42-('Invoer gegevens (N)'!$C$17-'Invoer gegevens (N)'!$C$16))/(1+'Invoer gegevens (N)'!$C$39)^('Invoer gegevens (N)'!$C$17-'Invoer gegevens (N)'!$C$16)</f>
        <v>0</v>
      </c>
      <c r="BB42" s="73">
        <f ca="1">AX42/(1+'Invoer gegevens (N)'!$F$18)^(E42-('Invoer gegevens (N)'!$C$17-1))/(1+'Invoer gegevens (N)'!$C$39)^('Invoer gegevens (N)'!$C$17-'Invoer gegevens (N)'!$C$16)</f>
        <v>0</v>
      </c>
      <c r="BC42" s="73">
        <f ca="1">AY42/(1+'Invoer gegevens (N)'!$C$39)^('Invoer gegevens (N)'!$C$17-'Invoer gegevens (N)'!$C$16)</f>
        <v>0</v>
      </c>
      <c r="BD42" s="72">
        <f t="shared" ca="1" si="14"/>
        <v>0</v>
      </c>
      <c r="BE42" s="72">
        <f ca="1">IF(AND(E42='Invoer gegevens (N)'!$C$16,'Invoer gegevens (N)'!$C$34&lt;'Invoer gegevens (N)'!$C$16),AZ42,AZ42/(1+'Invoer gegevens (N)'!$C$39)^D42)</f>
        <v>0</v>
      </c>
      <c r="BF42" s="72">
        <f ca="1">IF(E42='Invoer gegevens (N)'!$C$34,-'Invoer gegevens (N)'!$F$40,0)</f>
        <v>0</v>
      </c>
      <c r="BG42" s="72">
        <f ca="1">IF(E42='Invoer gegevens (N)'!$C$17,-'Invoer gegevens (N)'!$C$19*$BD$63,0)</f>
        <v>0</v>
      </c>
      <c r="BH42" s="72">
        <f ca="1">AW42/(1+$BH$36)^($D42-('Invoer gegevens (N)'!$C$17-'Invoer gegevens (N)'!$C$16))/(1+'Invoer gegevens (N)'!$C$39)^('Invoer gegevens (N)'!$C$17-'Invoer gegevens (N)'!$C$16)+AX42/(1+$BH$36)^(E42-('Invoer gegevens (N)'!$C$17-1))/(1+'Invoer gegevens (N)'!$C$39)^('Invoer gegevens (N)'!$C$17-'Invoer gegevens (N)'!$C$16)+AY42/(1+'Invoer gegevens (N)'!$C$39)^('Invoer gegevens (N)'!$C$17-'Invoer gegevens (N)'!$C$16)+(-AZ42/(1+'Invoer gegevens (N)'!$C$39)^D42)+BF42+BG42</f>
        <v>0</v>
      </c>
      <c r="BI42" s="59"/>
    </row>
    <row r="43" spans="1:61" x14ac:dyDescent="0.25">
      <c r="A43" s="59"/>
      <c r="B43" s="70">
        <f t="shared" si="15"/>
        <v>7</v>
      </c>
      <c r="C43" s="67">
        <f ca="1">IF(AND(E43&gt;='Invoer gegevens (N)'!$C$17,E43&lt;'Invoer gegevens (N)'!$C$17+15),1,0)</f>
        <v>1</v>
      </c>
      <c r="D43" s="68">
        <f t="shared" si="16"/>
        <v>6.5</v>
      </c>
      <c r="E43" s="69">
        <f ca="1">IF('Invoer gegevens (N)'!$C$16="","",E42+1)</f>
        <v>2025</v>
      </c>
      <c r="F43" s="84">
        <f ca="1">IF('Invoer gegevens (N)'!$C$17=E43,'Invoer gegevens (N)'!$C$10,IF(C43=1,K42,0))</f>
        <v>0</v>
      </c>
      <c r="G43" s="96">
        <f ca="1">IF(E43='Invoer gegevens (N)'!$C$17+15,K42,IF(C43&gt;=1,F43*VLOOKUP(E43,'Reeksen (N)'!$A$5:$B$76,2),0))</f>
        <v>0</v>
      </c>
      <c r="H43" s="84">
        <f ca="1">IF(E43='Invoer gegevens (N)'!$C$17+15,K42,(1-('Invoer gegevens (N)'!$F$20/12))*F43*MIN('Reeksen (N)'!B11,'Reeksen (N)'!D11))</f>
        <v>0</v>
      </c>
      <c r="I43" s="84">
        <f>IF('Reeksen (N)'!D11&lt;'Reeksen (N)'!B11,('Reeksen (N)'!B11-'Reeksen (N)'!D11)*F43,0)</f>
        <v>0</v>
      </c>
      <c r="J43" s="84">
        <f ca="1">IF(E43='Invoer gegevens (N)'!$C$17+16,0,('Invoer gegevens (N)'!$F$20/12)*F42*MIN('Reeksen (N)'!B10,'Reeksen (N)'!D10))</f>
        <v>0</v>
      </c>
      <c r="K43" s="97">
        <f ca="1">IF(E43&gt;='Invoer gegevens (N)'!$C$17+15,0,F43-G43)</f>
        <v>0</v>
      </c>
      <c r="L43" s="84">
        <f ca="1">IF('Invoer gegevens (N)'!$C$17=E43,0,IF(C43=1,Q42,0))</f>
        <v>0</v>
      </c>
      <c r="M43" s="96">
        <f ca="1">IF(E43='Invoer gegevens (N)'!$C$17+15,Q42,IF(C43&gt;=1,L43*VLOOKUP(E43,'Reeksen (N)'!$A$5:$B$76,2),0))</f>
        <v>0</v>
      </c>
      <c r="N43" s="84">
        <f ca="1">IF(C43='Invoer gegevens (N)'!$C$17+15,Q42,(1-('Invoer gegevens (N)'!$F$20/12))*L43*MIN('Reeksen (N)'!B11,'Reeksen (N)'!D11))</f>
        <v>0</v>
      </c>
      <c r="O43" s="84">
        <f>IF('Reeksen (N)'!D11&lt;'Reeksen (N)'!B11,('Reeksen (N)'!B11-'Reeksen (N)'!D11)*L43,0)</f>
        <v>0</v>
      </c>
      <c r="P43" s="84">
        <f ca="1">IF(E43='Invoer gegevens (N)'!$C$17+16,0,('Invoer gegevens (N)'!$F$20/12)*L42*MIN('Reeksen (N)'!B10,'Reeksen (N)'!D10))</f>
        <v>0</v>
      </c>
      <c r="Q43" s="84">
        <f ca="1">IF(E43&gt;='Invoer gegevens (N)'!$C$17+15,0,L43-M43+I43+O43)</f>
        <v>0</v>
      </c>
      <c r="R43" s="82">
        <f ca="1">IF('Invoer gegevens (N)'!$C$17=E43,'Invoer gegevens (N)'!$C$11,IF(C43=1,W42,0))</f>
        <v>0</v>
      </c>
      <c r="S43" s="86">
        <f ca="1">IF(E43='Invoer gegevens (N)'!$C$17+15,W42,IF(C43&gt;=1,R43*VLOOKUP(E43,'Reeksen (N)'!$A$5:$B$76,2),0))</f>
        <v>0</v>
      </c>
      <c r="T43" s="84">
        <f ca="1">IF(E43='Invoer gegevens (N)'!$C$17+15,W42,(1-('Invoer gegevens (N)'!$F$20/12))*R43*MIN('Reeksen (N)'!B11,'Reeksen (N)'!D11))</f>
        <v>0</v>
      </c>
      <c r="U43" s="84">
        <f>IF('Reeksen (N)'!D11&gt;='Reeksen (N)'!B11,0,IF('Reeksen (N)'!AD11&lt;='Reeksen (N)'!AE11,('Reeksen (N)'!B11-'Reeksen (N)'!D11)*R43,0))</f>
        <v>0</v>
      </c>
      <c r="V43" s="86">
        <f>IF('Reeksen (N)'!D11&gt;='Reeksen (N)'!B11,0,IF('Reeksen (N)'!AD11&gt;'Reeksen (N)'!AE11,('Reeksen (N)'!B11-'Reeksen (N)'!D11)*R43,0))</f>
        <v>0</v>
      </c>
      <c r="W43" s="97">
        <f ca="1">IF(E43&gt;='Invoer gegevens (N)'!$C$17+15,0,R43-S43)</f>
        <v>0</v>
      </c>
      <c r="X43" s="98">
        <f ca="1">IF('Invoer gegevens (N)'!$C$17=E43,'Invoer gegevens (N)'!$C$10-'Invoer gegevens (N)'!$C$11,IF(C43=1,AC42,0))</f>
        <v>0</v>
      </c>
      <c r="Y43" s="98">
        <f ca="1">IF(E43='Invoer gegevens (N)'!$C$17+15,AC42,IF(C43&gt;=1,X43*VLOOKUP(E43,'Reeksen (N)'!$A$5:$B$76,2),0))</f>
        <v>0</v>
      </c>
      <c r="Z43" s="98">
        <f ca="1">IF(E43='Invoer gegevens (N)'!$C$17+15,AC42,(1-('Invoer gegevens (N)'!$F$20/12))*X43*MIN('Reeksen (N)'!B11,'Reeksen (N)'!D11))</f>
        <v>0</v>
      </c>
      <c r="AA43" s="98">
        <f>IF('Reeksen (N)'!D11&gt;='Reeksen (N)'!B11,0,IF('Reeksen (N)'!AD11&lt;='Reeksen (N)'!AE11,('Reeksen (N)'!B11-'Reeksen (N)'!D11)*X43,0))</f>
        <v>0</v>
      </c>
      <c r="AB43" s="98">
        <f>IF('Reeksen (N)'!D11&gt;='Reeksen (N)'!B11,0,IF('Reeksen (N)'!AD11&gt;'Reeksen (N)'!AE11,('Reeksen (N)'!B11-'Reeksen (N)'!D11)*X43,0))</f>
        <v>0</v>
      </c>
      <c r="AC43" s="99">
        <f ca="1">IF(E43&gt;='Invoer gegevens (N)'!$C$17+15,0,X43-Y43)</f>
        <v>0</v>
      </c>
      <c r="AD43" s="98">
        <f ca="1">IF('Invoer gegevens (N)'!$C$17=E11,R43,IF(C11=0,0,AE42))</f>
        <v>0</v>
      </c>
      <c r="AE43" s="98">
        <f t="shared" ca="1" si="9"/>
        <v>0</v>
      </c>
      <c r="AF43" s="98">
        <f ca="1">IF('Invoer gegevens (N)'!$C$17=E11,X43,IF(C11=0,0,AG42))</f>
        <v>0</v>
      </c>
      <c r="AG43" s="98">
        <f t="shared" ca="1" si="10"/>
        <v>0</v>
      </c>
      <c r="AH43" s="66"/>
      <c r="AI43" s="71">
        <f ca="1">IF(C43=1,'Reeksen (N)'!AI11*((F43-G43+F43)/2)*12+'Reeksen (N)'!AD11*((L43-M43+L43)/2)*12,0)</f>
        <v>0</v>
      </c>
      <c r="AJ43" s="71">
        <f ca="1">-AI43*'Invoer gegevens (N)'!$F$28</f>
        <v>0</v>
      </c>
      <c r="AK43" s="71">
        <f t="shared" ca="1" si="11"/>
        <v>0</v>
      </c>
      <c r="AL43" s="71">
        <f ca="1">IF(C43=1,'Reeksen (N)'!AL11*((F43-G43+F43)/2)*12+'Reeksen (N)'!AM11*((L43-M43+L43)/2)*12,0)</f>
        <v>0</v>
      </c>
      <c r="AM43" s="71">
        <f ca="1">-AL43*'Invoer gegevens (N)'!$F$31</f>
        <v>0</v>
      </c>
      <c r="AN43" s="71">
        <f t="shared" ca="1" si="12"/>
        <v>0</v>
      </c>
      <c r="AO43" s="71">
        <f ca="1">IF(E43&gt;='Invoer gegevens (N)'!$C$17+15,0,IF(C43=1,(H43+J43+N43+P43)*'Reeksen (N)'!AN11,0))</f>
        <v>0</v>
      </c>
      <c r="AP43" s="71">
        <f ca="1">-IF(C43=1,(H43+J43+N43+P43)*'Hulp - basis'!$O$550*'Reeksen (N)'!H11,0)</f>
        <v>0</v>
      </c>
      <c r="AQ43" s="71">
        <f ca="1">-IF(C43=1,(F43+K43+L43+Q43)/2*'Invoer gegevens (N)'!$F$35*'Reeksen (N)'!J11,0)</f>
        <v>0</v>
      </c>
      <c r="AR43" s="71"/>
      <c r="AS43" s="71">
        <f ca="1">-IF(C43=1,(F43+K43+L43+Q43)/2*'Invoer gegevens (N)'!$F$37*'Reeksen (N)'!L11,0)</f>
        <v>0</v>
      </c>
      <c r="AT43" s="71">
        <f ca="1">-IF(C43=1,IF(E43='Invoer gegevens (N)'!$C$17,'Invoer gegevens (N)'!$C$11,AD43)*'Reeksen (N)'!S11*'Invoer gegevens (N)'!$C$18*'Reeksen (N)'!P11,0)</f>
        <v>0</v>
      </c>
      <c r="AU43" s="71">
        <f ca="1">-IF(C43=1,(F43+K43+L43+Q43)/2*'Invoer gegevens (N)'!$F$38*'Reeksen (N)'!H11,0)</f>
        <v>0</v>
      </c>
      <c r="AV43" s="71">
        <v>0</v>
      </c>
      <c r="AW43" s="71">
        <f t="shared" ca="1" si="13"/>
        <v>0</v>
      </c>
      <c r="AX43" s="72">
        <f ca="1">IF(E43='Invoer gegevens (N)'!$C$17+14,'RW - MW - UP (N)'!$AY$236,0)</f>
        <v>0</v>
      </c>
      <c r="AY43" s="72">
        <f ca="1">IFERROR(IF(E43='Invoer gegevens (N)'!$C$17,-'Invoer gegevens (N)'!$C$10*('Invoer gegevens (N)'!$C$30+'Invoer gegevens (N)'!$C$31)*'Reeksen (N)'!H11,0),0)</f>
        <v>0</v>
      </c>
      <c r="AZ43" s="73">
        <f ca="1">IF('Invoer gegevens (N)'!$C$34=E43,'Invoer gegevens (N)'!$C$27*'Invoer gegevens (N)'!$C$10*'Invoer gegevens (N)'!$C$36*(IF('Invoer gegevens (N)'!$C$35="ja",1,'Reeksen (N)'!J11)),IF('Invoer gegevens (N)'!$C$34+1=E43,'Invoer gegevens (N)'!$C$27*'Invoer gegevens (N)'!$C$10*'Invoer gegevens (N)'!$C$37*(IF('Invoer gegevens (N)'!$C$35="ja",1,'Reeksen (N)'!J11)),0))+IF(AND(E43='Invoer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3" s="73">
        <f ca="1">AW43/(1+'Invoer gegevens (N)'!$F$18)^($D43-('Invoer gegevens (N)'!$C$17-'Invoer gegevens (N)'!$C$16))/(1+'Invoer gegevens (N)'!$C$39)^('Invoer gegevens (N)'!$C$17-'Invoer gegevens (N)'!$C$16)</f>
        <v>0</v>
      </c>
      <c r="BB43" s="73">
        <f ca="1">AX43/(1+'Invoer gegevens (N)'!$F$18)^(E43-('Invoer gegevens (N)'!$C$17-1))/(1+'Invoer gegevens (N)'!$C$39)^('Invoer gegevens (N)'!$C$17-'Invoer gegevens (N)'!$C$16)</f>
        <v>0</v>
      </c>
      <c r="BC43" s="73">
        <f ca="1">AY43/(1+'Invoer gegevens (N)'!$C$39)^('Invoer gegevens (N)'!$C$17-'Invoer gegevens (N)'!$C$16)</f>
        <v>0</v>
      </c>
      <c r="BD43" s="72">
        <f t="shared" ca="1" si="14"/>
        <v>0</v>
      </c>
      <c r="BE43" s="72">
        <f ca="1">IF(AND(E43='Invoer gegevens (N)'!$C$16,'Invoer gegevens (N)'!$C$34&lt;'Invoer gegevens (N)'!$C$16),AZ43,AZ43/(1+'Invoer gegevens (N)'!$C$39)^D43)</f>
        <v>0</v>
      </c>
      <c r="BF43" s="72">
        <f ca="1">IF(E43='Invoer gegevens (N)'!$C$34,-'Invoer gegevens (N)'!$F$40,0)</f>
        <v>0</v>
      </c>
      <c r="BG43" s="72">
        <f ca="1">IF(E43='Invoer gegevens (N)'!$C$17,-'Invoer gegevens (N)'!$C$19*$BD$63,0)</f>
        <v>0</v>
      </c>
      <c r="BH43" s="72">
        <f ca="1">AW43/(1+$BH$36)^($D43-('Invoer gegevens (N)'!$C$17-'Invoer gegevens (N)'!$C$16))/(1+'Invoer gegevens (N)'!$C$39)^('Invoer gegevens (N)'!$C$17-'Invoer gegevens (N)'!$C$16)+AX43/(1+$BH$36)^(E43-('Invoer gegevens (N)'!$C$17-1))/(1+'Invoer gegevens (N)'!$C$39)^('Invoer gegevens (N)'!$C$17-'Invoer gegevens (N)'!$C$16)+AY43/(1+'Invoer gegevens (N)'!$C$39)^('Invoer gegevens (N)'!$C$17-'Invoer gegevens (N)'!$C$16)+(-AZ43/(1+'Invoer gegevens (N)'!$C$39)^D43)+BF43+BG43</f>
        <v>0</v>
      </c>
      <c r="BI43" s="59"/>
    </row>
    <row r="44" spans="1:61" x14ac:dyDescent="0.25">
      <c r="A44" s="59"/>
      <c r="B44" s="70">
        <f t="shared" si="15"/>
        <v>8</v>
      </c>
      <c r="C44" s="67">
        <f ca="1">IF(AND(E44&gt;='Invoer gegevens (N)'!$C$17,E44&lt;'Invoer gegevens (N)'!$C$17+15),1,0)</f>
        <v>1</v>
      </c>
      <c r="D44" s="68">
        <f t="shared" si="16"/>
        <v>7.5</v>
      </c>
      <c r="E44" s="69">
        <f ca="1">IF('Invoer gegevens (N)'!$C$16="","",E43+1)</f>
        <v>2026</v>
      </c>
      <c r="F44" s="84">
        <f ca="1">IF('Invoer gegevens (N)'!$C$17=E44,'Invoer gegevens (N)'!$C$10,IF(C44=1,K43,0))</f>
        <v>0</v>
      </c>
      <c r="G44" s="96">
        <f ca="1">IF(E44='Invoer gegevens (N)'!$C$17+15,K43,IF(C44&gt;=1,F44*VLOOKUP(E44,'Reeksen (N)'!$A$5:$B$76,2),0))</f>
        <v>0</v>
      </c>
      <c r="H44" s="84">
        <f ca="1">IF(E44='Invoer gegevens (N)'!$C$17+15,K43,(1-('Invoer gegevens (N)'!$F$20/12))*F44*MIN('Reeksen (N)'!B12,'Reeksen (N)'!D12))</f>
        <v>0</v>
      </c>
      <c r="I44" s="84">
        <f>IF('Reeksen (N)'!D12&lt;'Reeksen (N)'!B12,('Reeksen (N)'!B12-'Reeksen (N)'!D12)*F44,0)</f>
        <v>0</v>
      </c>
      <c r="J44" s="84">
        <f ca="1">IF(E44='Invoer gegevens (N)'!$C$17+16,0,('Invoer gegevens (N)'!$F$20/12)*F43*MIN('Reeksen (N)'!B11,'Reeksen (N)'!D11))</f>
        <v>0</v>
      </c>
      <c r="K44" s="97">
        <f ca="1">IF(E44&gt;='Invoer gegevens (N)'!$C$17+15,0,F44-G44)</f>
        <v>0</v>
      </c>
      <c r="L44" s="84">
        <f ca="1">IF('Invoer gegevens (N)'!$C$17=E44,0,IF(C44=1,Q43,0))</f>
        <v>0</v>
      </c>
      <c r="M44" s="96">
        <f ca="1">IF(E44='Invoer gegevens (N)'!$C$17+15,Q43,IF(C44&gt;=1,L44*VLOOKUP(E44,'Reeksen (N)'!$A$5:$B$76,2),0))</f>
        <v>0</v>
      </c>
      <c r="N44" s="84">
        <f ca="1">IF(C44='Invoer gegevens (N)'!$C$17+15,Q43,(1-('Invoer gegevens (N)'!$F$20/12))*L44*MIN('Reeksen (N)'!B12,'Reeksen (N)'!D12))</f>
        <v>0</v>
      </c>
      <c r="O44" s="84">
        <f>IF('Reeksen (N)'!D12&lt;'Reeksen (N)'!B12,('Reeksen (N)'!B12-'Reeksen (N)'!D12)*L44,0)</f>
        <v>0</v>
      </c>
      <c r="P44" s="84">
        <f ca="1">IF(E44='Invoer gegevens (N)'!$C$17+16,0,('Invoer gegevens (N)'!$F$20/12)*L43*MIN('Reeksen (N)'!B11,'Reeksen (N)'!D11))</f>
        <v>0</v>
      </c>
      <c r="Q44" s="84">
        <f ca="1">IF(E44&gt;='Invoer gegevens (N)'!$C$17+15,0,L44-M44+I44+O44)</f>
        <v>0</v>
      </c>
      <c r="R44" s="82">
        <f ca="1">IF('Invoer gegevens (N)'!$C$17=E44,'Invoer gegevens (N)'!$C$11,IF(C44=1,W43,0))</f>
        <v>0</v>
      </c>
      <c r="S44" s="86">
        <f ca="1">IF(E44='Invoer gegevens (N)'!$C$17+15,W43,IF(C44&gt;=1,R44*VLOOKUP(E44,'Reeksen (N)'!$A$5:$B$76,2),0))</f>
        <v>0</v>
      </c>
      <c r="T44" s="84">
        <f ca="1">IF(E44='Invoer gegevens (N)'!$C$17+15,W43,(1-('Invoer gegevens (N)'!$F$20/12))*R44*MIN('Reeksen (N)'!B12,'Reeksen (N)'!D12))</f>
        <v>0</v>
      </c>
      <c r="U44" s="84">
        <f>IF('Reeksen (N)'!D12&gt;='Reeksen (N)'!B12,0,IF('Reeksen (N)'!AD12&lt;='Reeksen (N)'!AE12,('Reeksen (N)'!B12-'Reeksen (N)'!D12)*R44,0))</f>
        <v>0</v>
      </c>
      <c r="V44" s="86">
        <f>IF('Reeksen (N)'!D12&gt;='Reeksen (N)'!B12,0,IF('Reeksen (N)'!AD12&gt;'Reeksen (N)'!AE12,('Reeksen (N)'!B12-'Reeksen (N)'!D12)*R44,0))</f>
        <v>0</v>
      </c>
      <c r="W44" s="97">
        <f ca="1">IF(E44&gt;='Invoer gegevens (N)'!$C$17+15,0,R44-S44)</f>
        <v>0</v>
      </c>
      <c r="X44" s="98">
        <f ca="1">IF('Invoer gegevens (N)'!$C$17=E44,'Invoer gegevens (N)'!$C$10-'Invoer gegevens (N)'!$C$11,IF(C44=1,AC43,0))</f>
        <v>0</v>
      </c>
      <c r="Y44" s="98">
        <f ca="1">IF(E44='Invoer gegevens (N)'!$C$17+15,AC43,IF(C44&gt;=1,X44*VLOOKUP(E44,'Reeksen (N)'!$A$5:$B$76,2),0))</f>
        <v>0</v>
      </c>
      <c r="Z44" s="98">
        <f ca="1">IF(E44='Invoer gegevens (N)'!$C$17+15,AC43,(1-('Invoer gegevens (N)'!$F$20/12))*X44*MIN('Reeksen (N)'!B12,'Reeksen (N)'!D12))</f>
        <v>0</v>
      </c>
      <c r="AA44" s="98">
        <f>IF('Reeksen (N)'!D12&gt;='Reeksen (N)'!B12,0,IF('Reeksen (N)'!AD12&lt;='Reeksen (N)'!AE12,('Reeksen (N)'!B12-'Reeksen (N)'!D12)*X44,0))</f>
        <v>0</v>
      </c>
      <c r="AB44" s="98">
        <f>IF('Reeksen (N)'!D12&gt;='Reeksen (N)'!B12,0,IF('Reeksen (N)'!AD12&gt;'Reeksen (N)'!AE12,('Reeksen (N)'!B12-'Reeksen (N)'!D12)*X44,0))</f>
        <v>0</v>
      </c>
      <c r="AC44" s="99">
        <f ca="1">IF(E44&gt;='Invoer gegevens (N)'!$C$17+15,0,X44-Y44)</f>
        <v>0</v>
      </c>
      <c r="AD44" s="98">
        <f ca="1">IF('Invoer gegevens (N)'!$C$17=E12,R44,IF(C12=0,0,AE43))</f>
        <v>0</v>
      </c>
      <c r="AE44" s="98">
        <f t="shared" ca="1" si="9"/>
        <v>0</v>
      </c>
      <c r="AF44" s="98">
        <f ca="1">IF('Invoer gegevens (N)'!$C$17=E12,X44,IF(C12=0,0,AG43))</f>
        <v>0</v>
      </c>
      <c r="AG44" s="98">
        <f t="shared" ca="1" si="10"/>
        <v>0</v>
      </c>
      <c r="AH44" s="66"/>
      <c r="AI44" s="71">
        <f ca="1">IF(C44=1,'Reeksen (N)'!AI12*((F44-G44+F44)/2)*12+'Reeksen (N)'!AD12*((L44-M44+L44)/2)*12,0)</f>
        <v>0</v>
      </c>
      <c r="AJ44" s="71">
        <f ca="1">-AI44*'Invoer gegevens (N)'!$F$28</f>
        <v>0</v>
      </c>
      <c r="AK44" s="71">
        <f t="shared" ca="1" si="11"/>
        <v>0</v>
      </c>
      <c r="AL44" s="71">
        <f ca="1">IF(C44=1,'Reeksen (N)'!AL12*((F44-G44+F44)/2)*12+'Reeksen (N)'!AM12*((L44-M44+L44)/2)*12,0)</f>
        <v>0</v>
      </c>
      <c r="AM44" s="71">
        <f ca="1">-AL44*'Invoer gegevens (N)'!$F$31</f>
        <v>0</v>
      </c>
      <c r="AN44" s="71">
        <f t="shared" ca="1" si="12"/>
        <v>0</v>
      </c>
      <c r="AO44" s="71">
        <f ca="1">IF(E44&gt;='Invoer gegevens (N)'!$C$17+15,0,IF(C44=1,(H44+J44+N44+P44)*'Reeksen (N)'!AN12,0))</f>
        <v>0</v>
      </c>
      <c r="AP44" s="71">
        <f ca="1">-IF(C44=1,(H44+J44+N44+P44)*'Hulp - basis'!$O$550*'Reeksen (N)'!H12,0)</f>
        <v>0</v>
      </c>
      <c r="AQ44" s="71">
        <f ca="1">-IF(C44=1,(F44+K44+L44+Q44)/2*'Invoer gegevens (N)'!$F$35*'Reeksen (N)'!J12,0)</f>
        <v>0</v>
      </c>
      <c r="AR44" s="71"/>
      <c r="AS44" s="71">
        <f ca="1">-IF(C44=1,(F44+K44+L44+Q44)/2*'Invoer gegevens (N)'!$F$37*'Reeksen (N)'!L12,0)</f>
        <v>0</v>
      </c>
      <c r="AT44" s="71">
        <f ca="1">-IF(C44=1,IF(E44='Invoer gegevens (N)'!$C$17,'Invoer gegevens (N)'!$C$11,AD44)*'Reeksen (N)'!S12*'Invoer gegevens (N)'!$C$18*'Reeksen (N)'!P12,0)</f>
        <v>0</v>
      </c>
      <c r="AU44" s="71">
        <f ca="1">-IF(C44=1,(F44+K44+L44+Q44)/2*'Invoer gegevens (N)'!$F$38*'Reeksen (N)'!H12,0)</f>
        <v>0</v>
      </c>
      <c r="AV44" s="71">
        <v>0</v>
      </c>
      <c r="AW44" s="71">
        <f t="shared" ca="1" si="13"/>
        <v>0</v>
      </c>
      <c r="AX44" s="72">
        <f ca="1">IF(E44='Invoer gegevens (N)'!$C$17+14,'RW - MW - UP (N)'!$AY$236,0)</f>
        <v>0</v>
      </c>
      <c r="AY44" s="72">
        <f ca="1">IFERROR(IF(E44='Invoer gegevens (N)'!$C$17,-'Invoer gegevens (N)'!$C$10*('Invoer gegevens (N)'!$C$30+'Invoer gegevens (N)'!$C$31)*'Reeksen (N)'!H12,0),0)</f>
        <v>0</v>
      </c>
      <c r="AZ44" s="73">
        <f ca="1">IF('Invoer gegevens (N)'!$C$34=E44,'Invoer gegevens (N)'!$C$27*'Invoer gegevens (N)'!$C$10*'Invoer gegevens (N)'!$C$36*(IF('Invoer gegevens (N)'!$C$35="ja",1,'Reeksen (N)'!J12)),IF('Invoer gegevens (N)'!$C$34+1=E44,'Invoer gegevens (N)'!$C$27*'Invoer gegevens (N)'!$C$10*'Invoer gegevens (N)'!$C$37*(IF('Invoer gegevens (N)'!$C$35="ja",1,'Reeksen (N)'!J12)),0))+IF(AND(E44='Invoer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4" s="73">
        <f ca="1">AW44/(1+'Invoer gegevens (N)'!$F$18)^($D44-('Invoer gegevens (N)'!$C$17-'Invoer gegevens (N)'!$C$16))/(1+'Invoer gegevens (N)'!$C$39)^('Invoer gegevens (N)'!$C$17-'Invoer gegevens (N)'!$C$16)</f>
        <v>0</v>
      </c>
      <c r="BB44" s="73">
        <f ca="1">AX44/(1+'Invoer gegevens (N)'!$F$18)^(E44-('Invoer gegevens (N)'!$C$17-1))/(1+'Invoer gegevens (N)'!$C$39)^('Invoer gegevens (N)'!$C$17-'Invoer gegevens (N)'!$C$16)</f>
        <v>0</v>
      </c>
      <c r="BC44" s="73">
        <f ca="1">AY44/(1+'Invoer gegevens (N)'!$C$39)^('Invoer gegevens (N)'!$C$17-'Invoer gegevens (N)'!$C$16)</f>
        <v>0</v>
      </c>
      <c r="BD44" s="72">
        <f t="shared" ca="1" si="14"/>
        <v>0</v>
      </c>
      <c r="BE44" s="72">
        <f ca="1">IF(AND(E44='Invoer gegevens (N)'!$C$16,'Invoer gegevens (N)'!$C$34&lt;'Invoer gegevens (N)'!$C$16),AZ44,AZ44/(1+'Invoer gegevens (N)'!$C$39)^D44)</f>
        <v>0</v>
      </c>
      <c r="BF44" s="72">
        <f ca="1">IF(E44='Invoer gegevens (N)'!$C$34,-'Invoer gegevens (N)'!$F$40,0)</f>
        <v>0</v>
      </c>
      <c r="BG44" s="72">
        <f ca="1">IF(E44='Invoer gegevens (N)'!$C$17,-'Invoer gegevens (N)'!$C$19*$BD$63,0)</f>
        <v>0</v>
      </c>
      <c r="BH44" s="72">
        <f ca="1">AW44/(1+$BH$36)^($D44-('Invoer gegevens (N)'!$C$17-'Invoer gegevens (N)'!$C$16))/(1+'Invoer gegevens (N)'!$C$39)^('Invoer gegevens (N)'!$C$17-'Invoer gegevens (N)'!$C$16)+AX44/(1+$BH$36)^(E44-('Invoer gegevens (N)'!$C$17-1))/(1+'Invoer gegevens (N)'!$C$39)^('Invoer gegevens (N)'!$C$17-'Invoer gegevens (N)'!$C$16)+AY44/(1+'Invoer gegevens (N)'!$C$39)^('Invoer gegevens (N)'!$C$17-'Invoer gegevens (N)'!$C$16)+(-AZ44/(1+'Invoer gegevens (N)'!$C$39)^D44)+BF44+BG44</f>
        <v>0</v>
      </c>
      <c r="BI44" s="59"/>
    </row>
    <row r="45" spans="1:61" x14ac:dyDescent="0.25">
      <c r="A45" s="59"/>
      <c r="B45" s="70">
        <f t="shared" si="15"/>
        <v>9</v>
      </c>
      <c r="C45" s="67">
        <f ca="1">IF(AND(E45&gt;='Invoer gegevens (N)'!$C$17,E45&lt;'Invoer gegevens (N)'!$C$17+15),1,0)</f>
        <v>1</v>
      </c>
      <c r="D45" s="68">
        <f t="shared" si="16"/>
        <v>8.5</v>
      </c>
      <c r="E45" s="69">
        <f ca="1">IF('Invoer gegevens (N)'!$C$16="","",E44+1)</f>
        <v>2027</v>
      </c>
      <c r="F45" s="84">
        <f ca="1">IF('Invoer gegevens (N)'!$C$17=E45,'Invoer gegevens (N)'!$C$10,IF(C45=1,K44,0))</f>
        <v>0</v>
      </c>
      <c r="G45" s="96">
        <f ca="1">IF(E45='Invoer gegevens (N)'!$C$17+15,K44,IF(C45&gt;=1,F45*VLOOKUP(E45,'Reeksen (N)'!$A$5:$B$76,2),0))</f>
        <v>0</v>
      </c>
      <c r="H45" s="84">
        <f ca="1">IF(E45='Invoer gegevens (N)'!$C$17+15,K44,(1-('Invoer gegevens (N)'!$F$20/12))*F45*MIN('Reeksen (N)'!B13,'Reeksen (N)'!D13))</f>
        <v>0</v>
      </c>
      <c r="I45" s="84">
        <f>IF('Reeksen (N)'!D13&lt;'Reeksen (N)'!B13,('Reeksen (N)'!B13-'Reeksen (N)'!D13)*F45,0)</f>
        <v>0</v>
      </c>
      <c r="J45" s="84">
        <f ca="1">IF(E45='Invoer gegevens (N)'!$C$17+16,0,('Invoer gegevens (N)'!$F$20/12)*F44*MIN('Reeksen (N)'!B12,'Reeksen (N)'!D12))</f>
        <v>0</v>
      </c>
      <c r="K45" s="97">
        <f ca="1">IF(E45&gt;='Invoer gegevens (N)'!$C$17+15,0,F45-G45)</f>
        <v>0</v>
      </c>
      <c r="L45" s="84">
        <f ca="1">IF('Invoer gegevens (N)'!$C$17=E45,0,IF(C45=1,Q44,0))</f>
        <v>0</v>
      </c>
      <c r="M45" s="96">
        <f ca="1">IF(E45='Invoer gegevens (N)'!$C$17+15,Q44,IF(C45&gt;=1,L45*VLOOKUP(E45,'Reeksen (N)'!$A$5:$B$76,2),0))</f>
        <v>0</v>
      </c>
      <c r="N45" s="84">
        <f ca="1">IF(C45='Invoer gegevens (N)'!$C$17+15,Q44,(1-('Invoer gegevens (N)'!$F$20/12))*L45*MIN('Reeksen (N)'!B13,'Reeksen (N)'!D13))</f>
        <v>0</v>
      </c>
      <c r="O45" s="84">
        <f>IF('Reeksen (N)'!D13&lt;'Reeksen (N)'!B13,('Reeksen (N)'!B13-'Reeksen (N)'!D13)*L45,0)</f>
        <v>0</v>
      </c>
      <c r="P45" s="84">
        <f ca="1">IF(E45='Invoer gegevens (N)'!$C$17+16,0,('Invoer gegevens (N)'!$F$20/12)*L44*MIN('Reeksen (N)'!B12,'Reeksen (N)'!D12))</f>
        <v>0</v>
      </c>
      <c r="Q45" s="84">
        <f ca="1">IF(E45&gt;='Invoer gegevens (N)'!$C$17+15,0,L45-M45+I45+O45)</f>
        <v>0</v>
      </c>
      <c r="R45" s="82">
        <f ca="1">IF('Invoer gegevens (N)'!$C$17=E45,'Invoer gegevens (N)'!$C$11,IF(C45=1,W44,0))</f>
        <v>0</v>
      </c>
      <c r="S45" s="86">
        <f ca="1">IF(E45='Invoer gegevens (N)'!$C$17+15,W44,IF(C45&gt;=1,R45*VLOOKUP(E45,'Reeksen (N)'!$A$5:$B$76,2),0))</f>
        <v>0</v>
      </c>
      <c r="T45" s="84">
        <f ca="1">IF(E45='Invoer gegevens (N)'!$C$17+15,W44,(1-('Invoer gegevens (N)'!$F$20/12))*R45*MIN('Reeksen (N)'!B13,'Reeksen (N)'!D13))</f>
        <v>0</v>
      </c>
      <c r="U45" s="84">
        <f>IF('Reeksen (N)'!D13&gt;='Reeksen (N)'!B13,0,IF('Reeksen (N)'!AD13&lt;='Reeksen (N)'!AE13,('Reeksen (N)'!B13-'Reeksen (N)'!D13)*R45,0))</f>
        <v>0</v>
      </c>
      <c r="V45" s="86">
        <f>IF('Reeksen (N)'!D13&gt;='Reeksen (N)'!B13,0,IF('Reeksen (N)'!AD13&gt;'Reeksen (N)'!AE13,('Reeksen (N)'!B13-'Reeksen (N)'!D13)*R45,0))</f>
        <v>0</v>
      </c>
      <c r="W45" s="97">
        <f ca="1">IF(E45&gt;='Invoer gegevens (N)'!$C$17+15,0,R45-S45)</f>
        <v>0</v>
      </c>
      <c r="X45" s="98">
        <f ca="1">IF('Invoer gegevens (N)'!$C$17=E45,'Invoer gegevens (N)'!$C$10-'Invoer gegevens (N)'!$C$11,IF(C45=1,AC44,0))</f>
        <v>0</v>
      </c>
      <c r="Y45" s="98">
        <f ca="1">IF(E45='Invoer gegevens (N)'!$C$17+15,AC44,IF(C45&gt;=1,X45*VLOOKUP(E45,'Reeksen (N)'!$A$5:$B$76,2),0))</f>
        <v>0</v>
      </c>
      <c r="Z45" s="98">
        <f ca="1">IF(E45='Invoer gegevens (N)'!$C$17+15,AC44,(1-('Invoer gegevens (N)'!$F$20/12))*X45*MIN('Reeksen (N)'!B13,'Reeksen (N)'!D13))</f>
        <v>0</v>
      </c>
      <c r="AA45" s="98">
        <f>IF('Reeksen (N)'!D13&gt;='Reeksen (N)'!B13,0,IF('Reeksen (N)'!AD13&lt;='Reeksen (N)'!AE13,('Reeksen (N)'!B13-'Reeksen (N)'!D13)*X45,0))</f>
        <v>0</v>
      </c>
      <c r="AB45" s="98">
        <f>IF('Reeksen (N)'!D13&gt;='Reeksen (N)'!B13,0,IF('Reeksen (N)'!AD13&gt;'Reeksen (N)'!AE13,('Reeksen (N)'!B13-'Reeksen (N)'!D13)*X45,0))</f>
        <v>0</v>
      </c>
      <c r="AC45" s="99">
        <f ca="1">IF(E45&gt;='Invoer gegevens (N)'!$C$17+15,0,X45-Y45)</f>
        <v>0</v>
      </c>
      <c r="AD45" s="98">
        <f ca="1">IF('Invoer gegevens (N)'!$C$17=E13,R45,IF(C13=0,0,AE44))</f>
        <v>0</v>
      </c>
      <c r="AE45" s="98">
        <f t="shared" ca="1" si="9"/>
        <v>0</v>
      </c>
      <c r="AF45" s="98">
        <f ca="1">IF('Invoer gegevens (N)'!$C$17=E13,X45,IF(C13=0,0,AG44))</f>
        <v>0</v>
      </c>
      <c r="AG45" s="98">
        <f t="shared" ca="1" si="10"/>
        <v>0</v>
      </c>
      <c r="AH45" s="66"/>
      <c r="AI45" s="71">
        <f ca="1">IF(C45=1,'Reeksen (N)'!AI13*((F45-G45+F45)/2)*12+'Reeksen (N)'!AD13*((L45-M45+L45)/2)*12,0)</f>
        <v>0</v>
      </c>
      <c r="AJ45" s="71">
        <f ca="1">-AI45*'Invoer gegevens (N)'!$F$28</f>
        <v>0</v>
      </c>
      <c r="AK45" s="71">
        <f t="shared" ca="1" si="11"/>
        <v>0</v>
      </c>
      <c r="AL45" s="71">
        <f ca="1">IF(C45=1,'Reeksen (N)'!AL13*((F45-G45+F45)/2)*12+'Reeksen (N)'!AM13*((L45-M45+L45)/2)*12,0)</f>
        <v>0</v>
      </c>
      <c r="AM45" s="71">
        <f ca="1">-AL45*'Invoer gegevens (N)'!$F$31</f>
        <v>0</v>
      </c>
      <c r="AN45" s="71">
        <f t="shared" ca="1" si="12"/>
        <v>0</v>
      </c>
      <c r="AO45" s="71">
        <f ca="1">IF(E45&gt;='Invoer gegevens (N)'!$C$17+15,0,IF(C45=1,(H45+J45+N45+P45)*'Reeksen (N)'!AN13,0))</f>
        <v>0</v>
      </c>
      <c r="AP45" s="71">
        <f ca="1">-IF(C45=1,(H45+J45+N45+P45)*'Hulp - basis'!$O$550*'Reeksen (N)'!H13,0)</f>
        <v>0</v>
      </c>
      <c r="AQ45" s="71">
        <f ca="1">-IF(C45=1,(F45+K45+L45+Q45)/2*'Invoer gegevens (N)'!$F$35*'Reeksen (N)'!J13,0)</f>
        <v>0</v>
      </c>
      <c r="AR45" s="71"/>
      <c r="AS45" s="71">
        <f ca="1">-IF(C45=1,(F45+K45+L45+Q45)/2*'Invoer gegevens (N)'!$F$37*'Reeksen (N)'!L13,0)</f>
        <v>0</v>
      </c>
      <c r="AT45" s="71">
        <f ca="1">-IF(C45=1,IF(E45='Invoer gegevens (N)'!$C$17,'Invoer gegevens (N)'!$C$11,AD45)*'Reeksen (N)'!S13*'Invoer gegevens (N)'!$C$18*'Reeksen (N)'!P13,0)</f>
        <v>0</v>
      </c>
      <c r="AU45" s="71">
        <f ca="1">-IF(C45=1,(F45+K45+L45+Q45)/2*'Invoer gegevens (N)'!$F$38*'Reeksen (N)'!H13,0)</f>
        <v>0</v>
      </c>
      <c r="AV45" s="71">
        <v>0</v>
      </c>
      <c r="AW45" s="71">
        <f t="shared" ca="1" si="13"/>
        <v>0</v>
      </c>
      <c r="AX45" s="72">
        <f ca="1">IF(E45='Invoer gegevens (N)'!$C$17+14,'RW - MW - UP (N)'!$AY$236,0)</f>
        <v>0</v>
      </c>
      <c r="AY45" s="72">
        <f ca="1">IFERROR(IF(E45='Invoer gegevens (N)'!$C$17,-'Invoer gegevens (N)'!$C$10*('Invoer gegevens (N)'!$C$30+'Invoer gegevens (N)'!$C$31)*'Reeksen (N)'!H13,0),0)</f>
        <v>0</v>
      </c>
      <c r="AZ45" s="73">
        <f ca="1">IF('Invoer gegevens (N)'!$C$34=E45,'Invoer gegevens (N)'!$C$27*'Invoer gegevens (N)'!$C$10*'Invoer gegevens (N)'!$C$36*(IF('Invoer gegevens (N)'!$C$35="ja",1,'Reeksen (N)'!J13)),IF('Invoer gegevens (N)'!$C$34+1=E45,'Invoer gegevens (N)'!$C$27*'Invoer gegevens (N)'!$C$10*'Invoer gegevens (N)'!$C$37*(IF('Invoer gegevens (N)'!$C$35="ja",1,'Reeksen (N)'!J13)),0))+IF(AND(E45='Invoer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5" s="73">
        <f ca="1">AW45/(1+'Invoer gegevens (N)'!$F$18)^($D45-('Invoer gegevens (N)'!$C$17-'Invoer gegevens (N)'!$C$16))/(1+'Invoer gegevens (N)'!$C$39)^('Invoer gegevens (N)'!$C$17-'Invoer gegevens (N)'!$C$16)</f>
        <v>0</v>
      </c>
      <c r="BB45" s="73">
        <f ca="1">AX45/(1+'Invoer gegevens (N)'!$F$18)^(E45-('Invoer gegevens (N)'!$C$17-1))/(1+'Invoer gegevens (N)'!$C$39)^('Invoer gegevens (N)'!$C$17-'Invoer gegevens (N)'!$C$16)</f>
        <v>0</v>
      </c>
      <c r="BC45" s="73">
        <f ca="1">AY45/(1+'Invoer gegevens (N)'!$C$39)^('Invoer gegevens (N)'!$C$17-'Invoer gegevens (N)'!$C$16)</f>
        <v>0</v>
      </c>
      <c r="BD45" s="72">
        <f t="shared" ca="1" si="14"/>
        <v>0</v>
      </c>
      <c r="BE45" s="72">
        <f ca="1">IF(AND(E45='Invoer gegevens (N)'!$C$16,'Invoer gegevens (N)'!$C$34&lt;'Invoer gegevens (N)'!$C$16),AZ45,AZ45/(1+'Invoer gegevens (N)'!$C$39)^D45)</f>
        <v>0</v>
      </c>
      <c r="BF45" s="72">
        <f ca="1">IF(E45='Invoer gegevens (N)'!$C$34,-'Invoer gegevens (N)'!$F$40,0)</f>
        <v>0</v>
      </c>
      <c r="BG45" s="72">
        <f ca="1">IF(E45='Invoer gegevens (N)'!$C$17,-'Invoer gegevens (N)'!$C$19*$BD$63,0)</f>
        <v>0</v>
      </c>
      <c r="BH45" s="72">
        <f ca="1">AW45/(1+$BH$36)^($D45-('Invoer gegevens (N)'!$C$17-'Invoer gegevens (N)'!$C$16))/(1+'Invoer gegevens (N)'!$C$39)^('Invoer gegevens (N)'!$C$17-'Invoer gegevens (N)'!$C$16)+AX45/(1+$BH$36)^(E45-('Invoer gegevens (N)'!$C$17-1))/(1+'Invoer gegevens (N)'!$C$39)^('Invoer gegevens (N)'!$C$17-'Invoer gegevens (N)'!$C$16)+AY45/(1+'Invoer gegevens (N)'!$C$39)^('Invoer gegevens (N)'!$C$17-'Invoer gegevens (N)'!$C$16)+(-AZ45/(1+'Invoer gegevens (N)'!$C$39)^D45)+BF45+BG45</f>
        <v>0</v>
      </c>
      <c r="BI45" s="59"/>
    </row>
    <row r="46" spans="1:61" x14ac:dyDescent="0.25">
      <c r="A46" s="59"/>
      <c r="B46" s="70">
        <f t="shared" si="15"/>
        <v>10</v>
      </c>
      <c r="C46" s="67">
        <f ca="1">IF(AND(E46&gt;='Invoer gegevens (N)'!$C$17,E46&lt;'Invoer gegevens (N)'!$C$17+15),1,0)</f>
        <v>1</v>
      </c>
      <c r="D46" s="68">
        <f t="shared" si="16"/>
        <v>9.5</v>
      </c>
      <c r="E46" s="69">
        <f ca="1">IF('Invoer gegevens (N)'!$C$16="","",E45+1)</f>
        <v>2028</v>
      </c>
      <c r="F46" s="84">
        <f ca="1">IF('Invoer gegevens (N)'!$C$17=E46,'Invoer gegevens (N)'!$C$10,IF(C46=1,K45,0))</f>
        <v>0</v>
      </c>
      <c r="G46" s="96">
        <f ca="1">IF(E46='Invoer gegevens (N)'!$C$17+15,K45,IF(C46&gt;=1,F46*VLOOKUP(E46,'Reeksen (N)'!$A$5:$B$76,2),0))</f>
        <v>0</v>
      </c>
      <c r="H46" s="84">
        <f ca="1">IF(E46='Invoer gegevens (N)'!$C$17+15,K45,(1-('Invoer gegevens (N)'!$F$20/12))*F46*MIN('Reeksen (N)'!B14,'Reeksen (N)'!D14))</f>
        <v>0</v>
      </c>
      <c r="I46" s="84">
        <f>IF('Reeksen (N)'!D14&lt;'Reeksen (N)'!B14,('Reeksen (N)'!B14-'Reeksen (N)'!D14)*F46,0)</f>
        <v>0</v>
      </c>
      <c r="J46" s="84">
        <f ca="1">IF(E46='Invoer gegevens (N)'!$C$17+16,0,('Invoer gegevens (N)'!$F$20/12)*F45*MIN('Reeksen (N)'!B13,'Reeksen (N)'!D13))</f>
        <v>0</v>
      </c>
      <c r="K46" s="97">
        <f ca="1">IF(E46&gt;='Invoer gegevens (N)'!$C$17+15,0,F46-G46)</f>
        <v>0</v>
      </c>
      <c r="L46" s="84">
        <f ca="1">IF('Invoer gegevens (N)'!$C$17=E46,0,IF(C46=1,Q45,0))</f>
        <v>0</v>
      </c>
      <c r="M46" s="96">
        <f ca="1">IF(E46='Invoer gegevens (N)'!$C$17+15,Q45,IF(C46&gt;=1,L46*VLOOKUP(E46,'Reeksen (N)'!$A$5:$B$76,2),0))</f>
        <v>0</v>
      </c>
      <c r="N46" s="84">
        <f ca="1">IF(C46='Invoer gegevens (N)'!$C$17+15,Q45,(1-('Invoer gegevens (N)'!$F$20/12))*L46*MIN('Reeksen (N)'!B14,'Reeksen (N)'!D14))</f>
        <v>0</v>
      </c>
      <c r="O46" s="84">
        <f>IF('Reeksen (N)'!D14&lt;'Reeksen (N)'!B14,('Reeksen (N)'!B14-'Reeksen (N)'!D14)*L46,0)</f>
        <v>0</v>
      </c>
      <c r="P46" s="84">
        <f ca="1">IF(E46='Invoer gegevens (N)'!$C$17+16,0,('Invoer gegevens (N)'!$F$20/12)*L45*MIN('Reeksen (N)'!B13,'Reeksen (N)'!D13))</f>
        <v>0</v>
      </c>
      <c r="Q46" s="84">
        <f ca="1">IF(E46&gt;='Invoer gegevens (N)'!$C$17+15,0,L46-M46+I46+O46)</f>
        <v>0</v>
      </c>
      <c r="R46" s="82">
        <f ca="1">IF('Invoer gegevens (N)'!$C$17=E46,'Invoer gegevens (N)'!$C$11,IF(C46=1,W45,0))</f>
        <v>0</v>
      </c>
      <c r="S46" s="86">
        <f ca="1">IF(E46='Invoer gegevens (N)'!$C$17+15,W45,IF(C46&gt;=1,R46*VLOOKUP(E46,'Reeksen (N)'!$A$5:$B$76,2),0))</f>
        <v>0</v>
      </c>
      <c r="T46" s="84">
        <f ca="1">IF(E46='Invoer gegevens (N)'!$C$17+15,W45,(1-('Invoer gegevens (N)'!$F$20/12))*R46*MIN('Reeksen (N)'!B14,'Reeksen (N)'!D14))</f>
        <v>0</v>
      </c>
      <c r="U46" s="84">
        <f>IF('Reeksen (N)'!D14&gt;='Reeksen (N)'!B14,0,IF('Reeksen (N)'!AD14&lt;='Reeksen (N)'!AE14,('Reeksen (N)'!B14-'Reeksen (N)'!D14)*R46,0))</f>
        <v>0</v>
      </c>
      <c r="V46" s="86">
        <f>IF('Reeksen (N)'!D14&gt;='Reeksen (N)'!B14,0,IF('Reeksen (N)'!AD14&gt;'Reeksen (N)'!AE14,('Reeksen (N)'!B14-'Reeksen (N)'!D14)*R46,0))</f>
        <v>0</v>
      </c>
      <c r="W46" s="97">
        <f ca="1">IF(E46&gt;='Invoer gegevens (N)'!$C$17+15,0,R46-S46)</f>
        <v>0</v>
      </c>
      <c r="X46" s="98">
        <f ca="1">IF('Invoer gegevens (N)'!$C$17=E46,'Invoer gegevens (N)'!$C$10-'Invoer gegevens (N)'!$C$11,IF(C46=1,AC45,0))</f>
        <v>0</v>
      </c>
      <c r="Y46" s="98">
        <f ca="1">IF(E46='Invoer gegevens (N)'!$C$17+15,AC45,IF(C46&gt;=1,X46*VLOOKUP(E46,'Reeksen (N)'!$A$5:$B$76,2),0))</f>
        <v>0</v>
      </c>
      <c r="Z46" s="98">
        <f ca="1">IF(E46='Invoer gegevens (N)'!$C$17+15,AC45,(1-('Invoer gegevens (N)'!$F$20/12))*X46*MIN('Reeksen (N)'!B14,'Reeksen (N)'!D14))</f>
        <v>0</v>
      </c>
      <c r="AA46" s="98">
        <f>IF('Reeksen (N)'!D14&gt;='Reeksen (N)'!B14,0,IF('Reeksen (N)'!AD14&lt;='Reeksen (N)'!AE14,('Reeksen (N)'!B14-'Reeksen (N)'!D14)*X46,0))</f>
        <v>0</v>
      </c>
      <c r="AB46" s="98">
        <f>IF('Reeksen (N)'!D14&gt;='Reeksen (N)'!B14,0,IF('Reeksen (N)'!AD14&gt;'Reeksen (N)'!AE14,('Reeksen (N)'!B14-'Reeksen (N)'!D14)*X46,0))</f>
        <v>0</v>
      </c>
      <c r="AC46" s="99">
        <f ca="1">IF(E46&gt;='Invoer gegevens (N)'!$C$17+15,0,X46-Y46)</f>
        <v>0</v>
      </c>
      <c r="AD46" s="98">
        <f ca="1">IF('Invoer gegevens (N)'!$C$17=E14,R46,IF(C14=0,0,AE45))</f>
        <v>0</v>
      </c>
      <c r="AE46" s="98">
        <f t="shared" ca="1" si="9"/>
        <v>0</v>
      </c>
      <c r="AF46" s="98">
        <f ca="1">IF('Invoer gegevens (N)'!$C$17=E14,X46,IF(C14=0,0,AG45))</f>
        <v>0</v>
      </c>
      <c r="AG46" s="98">
        <f t="shared" ca="1" si="10"/>
        <v>0</v>
      </c>
      <c r="AH46" s="66"/>
      <c r="AI46" s="71">
        <f ca="1">IF(C46=1,'Reeksen (N)'!AI14*((F46-G46+F46)/2)*12+'Reeksen (N)'!AD14*((L46-M46+L46)/2)*12,0)</f>
        <v>0</v>
      </c>
      <c r="AJ46" s="71">
        <f ca="1">-AI46*'Invoer gegevens (N)'!$F$28</f>
        <v>0</v>
      </c>
      <c r="AK46" s="71">
        <f t="shared" ca="1" si="11"/>
        <v>0</v>
      </c>
      <c r="AL46" s="71">
        <f ca="1">IF(C46=1,'Reeksen (N)'!AL14*((F46-G46+F46)/2)*12+'Reeksen (N)'!AM14*((L46-M46+L46)/2)*12,0)</f>
        <v>0</v>
      </c>
      <c r="AM46" s="71">
        <f ca="1">-AL46*'Invoer gegevens (N)'!$F$31</f>
        <v>0</v>
      </c>
      <c r="AN46" s="71">
        <f t="shared" ca="1" si="12"/>
        <v>0</v>
      </c>
      <c r="AO46" s="71">
        <f ca="1">IF(E46&gt;='Invoer gegevens (N)'!$C$17+15,0,IF(C46=1,(H46+J46+N46+P46)*'Reeksen (N)'!AN14,0))</f>
        <v>0</v>
      </c>
      <c r="AP46" s="71">
        <f ca="1">-IF(C46=1,(H46+J46+N46+P46)*'Hulp - basis'!$O$550*'Reeksen (N)'!H14,0)</f>
        <v>0</v>
      </c>
      <c r="AQ46" s="71">
        <f ca="1">-IF(C46=1,(F46+K46+L46+Q46)/2*'Invoer gegevens (N)'!$F$35*'Reeksen (N)'!J14,0)</f>
        <v>0</v>
      </c>
      <c r="AR46" s="71"/>
      <c r="AS46" s="71">
        <f ca="1">-IF(C46=1,(F46+K46+L46+Q46)/2*'Invoer gegevens (N)'!$F$37*'Reeksen (N)'!L14,0)</f>
        <v>0</v>
      </c>
      <c r="AT46" s="71">
        <f ca="1">-IF(C46=1,IF(E46='Invoer gegevens (N)'!$C$17,'Invoer gegevens (N)'!$C$11,AD46)*'Reeksen (N)'!S14*'Invoer gegevens (N)'!$C$18*'Reeksen (N)'!P14,0)</f>
        <v>0</v>
      </c>
      <c r="AU46" s="71">
        <f ca="1">-IF(C46=1,(F46+K46+L46+Q46)/2*'Invoer gegevens (N)'!$F$38*'Reeksen (N)'!H14,0)</f>
        <v>0</v>
      </c>
      <c r="AV46" s="71">
        <v>0</v>
      </c>
      <c r="AW46" s="71">
        <f t="shared" ca="1" si="13"/>
        <v>0</v>
      </c>
      <c r="AX46" s="72">
        <f ca="1">IF(E46='Invoer gegevens (N)'!$C$17+14,'RW - MW - UP (N)'!$AY$236,0)</f>
        <v>0</v>
      </c>
      <c r="AY46" s="72">
        <f ca="1">IFERROR(IF(E46='Invoer gegevens (N)'!$C$17,-'Invoer gegevens (N)'!$C$10*('Invoer gegevens (N)'!$C$30+'Invoer gegevens (N)'!$C$31)*'Reeksen (N)'!H14,0),0)</f>
        <v>0</v>
      </c>
      <c r="AZ46" s="73">
        <f ca="1">IF('Invoer gegevens (N)'!$C$34=E46,'Invoer gegevens (N)'!$C$27*'Invoer gegevens (N)'!$C$10*'Invoer gegevens (N)'!$C$36*(IF('Invoer gegevens (N)'!$C$35="ja",1,'Reeksen (N)'!J14)),IF('Invoer gegevens (N)'!$C$34+1=E46,'Invoer gegevens (N)'!$C$27*'Invoer gegevens (N)'!$C$10*'Invoer gegevens (N)'!$C$37*(IF('Invoer gegevens (N)'!$C$35="ja",1,'Reeksen (N)'!J14)),0))+IF(AND(E46='Invoer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6" s="73">
        <f ca="1">AW46/(1+'Invoer gegevens (N)'!$F$18)^($D46-('Invoer gegevens (N)'!$C$17-'Invoer gegevens (N)'!$C$16))/(1+'Invoer gegevens (N)'!$C$39)^('Invoer gegevens (N)'!$C$17-'Invoer gegevens (N)'!$C$16)</f>
        <v>0</v>
      </c>
      <c r="BB46" s="73">
        <f ca="1">AX46/(1+'Invoer gegevens (N)'!$F$18)^(E46-('Invoer gegevens (N)'!$C$17-1))/(1+'Invoer gegevens (N)'!$C$39)^('Invoer gegevens (N)'!$C$17-'Invoer gegevens (N)'!$C$16)</f>
        <v>0</v>
      </c>
      <c r="BC46" s="73">
        <f ca="1">AY46/(1+'Invoer gegevens (N)'!$C$39)^('Invoer gegevens (N)'!$C$17-'Invoer gegevens (N)'!$C$16)</f>
        <v>0</v>
      </c>
      <c r="BD46" s="72">
        <f t="shared" ca="1" si="14"/>
        <v>0</v>
      </c>
      <c r="BE46" s="72">
        <f ca="1">IF(AND(E46='Invoer gegevens (N)'!$C$16,'Invoer gegevens (N)'!$C$34&lt;'Invoer gegevens (N)'!$C$16),AZ46,AZ46/(1+'Invoer gegevens (N)'!$C$39)^D46)</f>
        <v>0</v>
      </c>
      <c r="BF46" s="72">
        <f ca="1">IF(E46='Invoer gegevens (N)'!$C$34,-'Invoer gegevens (N)'!$F$40,0)</f>
        <v>0</v>
      </c>
      <c r="BG46" s="72">
        <f ca="1">IF(E46='Invoer gegevens (N)'!$C$17,-'Invoer gegevens (N)'!$C$19*$BD$63,0)</f>
        <v>0</v>
      </c>
      <c r="BH46" s="72">
        <f ca="1">AW46/(1+$BH$36)^($D46-('Invoer gegevens (N)'!$C$17-'Invoer gegevens (N)'!$C$16))/(1+'Invoer gegevens (N)'!$C$39)^('Invoer gegevens (N)'!$C$17-'Invoer gegevens (N)'!$C$16)+AX46/(1+$BH$36)^(E46-('Invoer gegevens (N)'!$C$17-1))/(1+'Invoer gegevens (N)'!$C$39)^('Invoer gegevens (N)'!$C$17-'Invoer gegevens (N)'!$C$16)+AY46/(1+'Invoer gegevens (N)'!$C$39)^('Invoer gegevens (N)'!$C$17-'Invoer gegevens (N)'!$C$16)+(-AZ46/(1+'Invoer gegevens (N)'!$C$39)^D46)+BF46+BG46</f>
        <v>0</v>
      </c>
      <c r="BI46" s="59"/>
    </row>
    <row r="47" spans="1:61" x14ac:dyDescent="0.25">
      <c r="A47" s="59"/>
      <c r="B47" s="70">
        <f t="shared" si="15"/>
        <v>11</v>
      </c>
      <c r="C47" s="67">
        <f ca="1">IF(AND(E47&gt;='Invoer gegevens (N)'!$C$17,E47&lt;'Invoer gegevens (N)'!$C$17+15),1,0)</f>
        <v>1</v>
      </c>
      <c r="D47" s="68">
        <f t="shared" si="16"/>
        <v>10.5</v>
      </c>
      <c r="E47" s="69">
        <f ca="1">IF('Invoer gegevens (N)'!$C$16="","",E46+1)</f>
        <v>2029</v>
      </c>
      <c r="F47" s="84">
        <f ca="1">IF('Invoer gegevens (N)'!$C$17=E47,'Invoer gegevens (N)'!$C$10,IF(C47=1,K46,0))</f>
        <v>0</v>
      </c>
      <c r="G47" s="96">
        <f ca="1">IF(E47='Invoer gegevens (N)'!$C$17+15,K46,IF(C47&gt;=1,F47*VLOOKUP(E47,'Reeksen (N)'!$A$5:$B$76,2),0))</f>
        <v>0</v>
      </c>
      <c r="H47" s="84">
        <f ca="1">IF(E47='Invoer gegevens (N)'!$C$17+15,K46,(1-('Invoer gegevens (N)'!$F$20/12))*F47*MIN('Reeksen (N)'!B15,'Reeksen (N)'!D15))</f>
        <v>0</v>
      </c>
      <c r="I47" s="84">
        <f>IF('Reeksen (N)'!D15&lt;'Reeksen (N)'!B15,('Reeksen (N)'!B15-'Reeksen (N)'!D15)*F47,0)</f>
        <v>0</v>
      </c>
      <c r="J47" s="84">
        <f ca="1">IF(E47='Invoer gegevens (N)'!$C$17+16,0,('Invoer gegevens (N)'!$F$20/12)*F46*MIN('Reeksen (N)'!B14,'Reeksen (N)'!D14))</f>
        <v>0</v>
      </c>
      <c r="K47" s="97">
        <f ca="1">IF(E47&gt;='Invoer gegevens (N)'!$C$17+15,0,F47-G47)</f>
        <v>0</v>
      </c>
      <c r="L47" s="84">
        <f ca="1">IF('Invoer gegevens (N)'!$C$17=E47,0,IF(C47=1,Q46,0))</f>
        <v>0</v>
      </c>
      <c r="M47" s="96">
        <f ca="1">IF(E47='Invoer gegevens (N)'!$C$17+15,Q46,IF(C47&gt;=1,L47*VLOOKUP(E47,'Reeksen (N)'!$A$5:$B$76,2),0))</f>
        <v>0</v>
      </c>
      <c r="N47" s="84">
        <f ca="1">IF(C47='Invoer gegevens (N)'!$C$17+15,Q46,(1-('Invoer gegevens (N)'!$F$20/12))*L47*MIN('Reeksen (N)'!B15,'Reeksen (N)'!D15))</f>
        <v>0</v>
      </c>
      <c r="O47" s="84">
        <f>IF('Reeksen (N)'!D15&lt;'Reeksen (N)'!B15,('Reeksen (N)'!B15-'Reeksen (N)'!D15)*L47,0)</f>
        <v>0</v>
      </c>
      <c r="P47" s="84">
        <f ca="1">IF(E47='Invoer gegevens (N)'!$C$17+16,0,('Invoer gegevens (N)'!$F$20/12)*L46*MIN('Reeksen (N)'!B14,'Reeksen (N)'!D14))</f>
        <v>0</v>
      </c>
      <c r="Q47" s="84">
        <f ca="1">IF(E47&gt;='Invoer gegevens (N)'!$C$17+15,0,L47-M47+I47+O47)</f>
        <v>0</v>
      </c>
      <c r="R47" s="82">
        <f ca="1">IF('Invoer gegevens (N)'!$C$17=E47,'Invoer gegevens (N)'!$C$11,IF(C47=1,W46,0))</f>
        <v>0</v>
      </c>
      <c r="S47" s="86">
        <f ca="1">IF(E47='Invoer gegevens (N)'!$C$17+15,W46,IF(C47&gt;=1,R47*VLOOKUP(E47,'Reeksen (N)'!$A$5:$B$76,2),0))</f>
        <v>0</v>
      </c>
      <c r="T47" s="84">
        <f ca="1">IF(E47='Invoer gegevens (N)'!$C$17+15,W46,(1-('Invoer gegevens (N)'!$F$20/12))*R47*MIN('Reeksen (N)'!B15,'Reeksen (N)'!D15))</f>
        <v>0</v>
      </c>
      <c r="U47" s="84">
        <f>IF('Reeksen (N)'!D15&gt;='Reeksen (N)'!B15,0,IF('Reeksen (N)'!AD15&lt;='Reeksen (N)'!AE15,('Reeksen (N)'!B15-'Reeksen (N)'!D15)*R47,0))</f>
        <v>0</v>
      </c>
      <c r="V47" s="86">
        <f>IF('Reeksen (N)'!D15&gt;='Reeksen (N)'!B15,0,IF('Reeksen (N)'!AD15&gt;'Reeksen (N)'!AE15,('Reeksen (N)'!B15-'Reeksen (N)'!D15)*R47,0))</f>
        <v>0</v>
      </c>
      <c r="W47" s="97">
        <f ca="1">IF(E47&gt;='Invoer gegevens (N)'!$C$17+15,0,R47-S47)</f>
        <v>0</v>
      </c>
      <c r="X47" s="98">
        <f ca="1">IF('Invoer gegevens (N)'!$C$17=E47,'Invoer gegevens (N)'!$C$10-'Invoer gegevens (N)'!$C$11,IF(C47=1,AC46,0))</f>
        <v>0</v>
      </c>
      <c r="Y47" s="98">
        <f ca="1">IF(E47='Invoer gegevens (N)'!$C$17+15,AC46,IF(C47&gt;=1,X47*VLOOKUP(E47,'Reeksen (N)'!$A$5:$B$76,2),0))</f>
        <v>0</v>
      </c>
      <c r="Z47" s="98">
        <f ca="1">IF(E47='Invoer gegevens (N)'!$C$17+15,AC46,(1-('Invoer gegevens (N)'!$F$20/12))*X47*MIN('Reeksen (N)'!B15,'Reeksen (N)'!D15))</f>
        <v>0</v>
      </c>
      <c r="AA47" s="98">
        <f>IF('Reeksen (N)'!D15&gt;='Reeksen (N)'!B15,0,IF('Reeksen (N)'!AD15&lt;='Reeksen (N)'!AE15,('Reeksen (N)'!B15-'Reeksen (N)'!D15)*X47,0))</f>
        <v>0</v>
      </c>
      <c r="AB47" s="98">
        <f>IF('Reeksen (N)'!D15&gt;='Reeksen (N)'!B15,0,IF('Reeksen (N)'!AD15&gt;'Reeksen (N)'!AE15,('Reeksen (N)'!B15-'Reeksen (N)'!D15)*X47,0))</f>
        <v>0</v>
      </c>
      <c r="AC47" s="99">
        <f ca="1">IF(E47&gt;='Invoer gegevens (N)'!$C$17+15,0,X47-Y47)</f>
        <v>0</v>
      </c>
      <c r="AD47" s="98">
        <f ca="1">IF('Invoer gegevens (N)'!$C$17=E15,R47,IF(C15=0,0,AE46))</f>
        <v>0</v>
      </c>
      <c r="AE47" s="98">
        <f t="shared" ca="1" si="9"/>
        <v>0</v>
      </c>
      <c r="AF47" s="98">
        <f ca="1">IF('Invoer gegevens (N)'!$C$17=E15,X47,IF(C15=0,0,AG46))</f>
        <v>0</v>
      </c>
      <c r="AG47" s="98">
        <f t="shared" ca="1" si="10"/>
        <v>0</v>
      </c>
      <c r="AH47" s="66"/>
      <c r="AI47" s="71">
        <f ca="1">IF(C47=1,'Reeksen (N)'!AI15*((F47-G47+F47)/2)*12+'Reeksen (N)'!AD15*((L47-M47+L47)/2)*12,0)</f>
        <v>0</v>
      </c>
      <c r="AJ47" s="71">
        <f ca="1">-AI47*'Invoer gegevens (N)'!$F$28</f>
        <v>0</v>
      </c>
      <c r="AK47" s="71">
        <f t="shared" ca="1" si="11"/>
        <v>0</v>
      </c>
      <c r="AL47" s="71">
        <f ca="1">IF(C47=1,'Reeksen (N)'!AL15*((F47-G47+F47)/2)*12+'Reeksen (N)'!AM15*((L47-M47+L47)/2)*12,0)</f>
        <v>0</v>
      </c>
      <c r="AM47" s="71">
        <f ca="1">-AL47*'Invoer gegevens (N)'!$F$31</f>
        <v>0</v>
      </c>
      <c r="AN47" s="71">
        <f t="shared" ca="1" si="12"/>
        <v>0</v>
      </c>
      <c r="AO47" s="71">
        <f ca="1">IF(E47&gt;='Invoer gegevens (N)'!$C$17+15,0,IF(C47=1,(H47+J47+N47+P47)*'Reeksen (N)'!AN15,0))</f>
        <v>0</v>
      </c>
      <c r="AP47" s="71">
        <f ca="1">-IF(C47=1,(H47+J47+N47+P47)*'Hulp - basis'!$O$550*'Reeksen (N)'!H15,0)</f>
        <v>0</v>
      </c>
      <c r="AQ47" s="71">
        <f ca="1">-IF(C47=1,(F47+K47+L47+Q47)/2*'Invoer gegevens (N)'!$F$35*'Reeksen (N)'!J15,0)</f>
        <v>0</v>
      </c>
      <c r="AR47" s="71"/>
      <c r="AS47" s="71">
        <f ca="1">-IF(C47=1,(F47+K47+L47+Q47)/2*'Invoer gegevens (N)'!$F$37*'Reeksen (N)'!L15,0)</f>
        <v>0</v>
      </c>
      <c r="AT47" s="71">
        <f ca="1">-IF(C47=1,IF(E47='Invoer gegevens (N)'!$C$17,'Invoer gegevens (N)'!$C$11,AD47)*'Reeksen (N)'!S15*'Invoer gegevens (N)'!$C$18*'Reeksen (N)'!P15,0)</f>
        <v>0</v>
      </c>
      <c r="AU47" s="71">
        <f ca="1">-IF(C47=1,(F47+K47+L47+Q47)/2*'Invoer gegevens (N)'!$F$38*'Reeksen (N)'!H15,0)</f>
        <v>0</v>
      </c>
      <c r="AV47" s="71">
        <v>0</v>
      </c>
      <c r="AW47" s="71">
        <f t="shared" ca="1" si="13"/>
        <v>0</v>
      </c>
      <c r="AX47" s="72">
        <f ca="1">IF(E47='Invoer gegevens (N)'!$C$17+14,'RW - MW - UP (N)'!$AY$236,0)</f>
        <v>0</v>
      </c>
      <c r="AY47" s="72">
        <f ca="1">IFERROR(IF(E47='Invoer gegevens (N)'!$C$17,-'Invoer gegevens (N)'!$C$10*('Invoer gegevens (N)'!$C$30+'Invoer gegevens (N)'!$C$31)*'Reeksen (N)'!H15,0),0)</f>
        <v>0</v>
      </c>
      <c r="AZ47" s="73">
        <f ca="1">IF('Invoer gegevens (N)'!$C$34=E47,'Invoer gegevens (N)'!$C$27*'Invoer gegevens (N)'!$C$10*'Invoer gegevens (N)'!$C$36*(IF('Invoer gegevens (N)'!$C$35="ja",1,'Reeksen (N)'!J15)),IF('Invoer gegevens (N)'!$C$34+1=E47,'Invoer gegevens (N)'!$C$27*'Invoer gegevens (N)'!$C$10*'Invoer gegevens (N)'!$C$37*(IF('Invoer gegevens (N)'!$C$35="ja",1,'Reeksen (N)'!J15)),0))+IF(AND(E47='Invoer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7" s="73">
        <f ca="1">AW47/(1+'Invoer gegevens (N)'!$F$18)^($D47-('Invoer gegevens (N)'!$C$17-'Invoer gegevens (N)'!$C$16))/(1+'Invoer gegevens (N)'!$C$39)^('Invoer gegevens (N)'!$C$17-'Invoer gegevens (N)'!$C$16)</f>
        <v>0</v>
      </c>
      <c r="BB47" s="73">
        <f ca="1">AX47/(1+'Invoer gegevens (N)'!$F$18)^(E47-('Invoer gegevens (N)'!$C$17-1))/(1+'Invoer gegevens (N)'!$C$39)^('Invoer gegevens (N)'!$C$17-'Invoer gegevens (N)'!$C$16)</f>
        <v>0</v>
      </c>
      <c r="BC47" s="73">
        <f ca="1">AY47/(1+'Invoer gegevens (N)'!$C$39)^('Invoer gegevens (N)'!$C$17-'Invoer gegevens (N)'!$C$16)</f>
        <v>0</v>
      </c>
      <c r="BD47" s="72">
        <f t="shared" ca="1" si="14"/>
        <v>0</v>
      </c>
      <c r="BE47" s="72">
        <f ca="1">IF(AND(E47='Invoer gegevens (N)'!$C$16,'Invoer gegevens (N)'!$C$34&lt;'Invoer gegevens (N)'!$C$16),AZ47,AZ47/(1+'Invoer gegevens (N)'!$C$39)^D47)</f>
        <v>0</v>
      </c>
      <c r="BF47" s="72">
        <f ca="1">IF(E47='Invoer gegevens (N)'!$C$34,-'Invoer gegevens (N)'!$F$40,0)</f>
        <v>0</v>
      </c>
      <c r="BG47" s="72">
        <f ca="1">IF(E47='Invoer gegevens (N)'!$C$17,-'Invoer gegevens (N)'!$C$19*$BD$63,0)</f>
        <v>0</v>
      </c>
      <c r="BH47" s="72">
        <f ca="1">AW47/(1+$BH$36)^($D47-('Invoer gegevens (N)'!$C$17-'Invoer gegevens (N)'!$C$16))/(1+'Invoer gegevens (N)'!$C$39)^('Invoer gegevens (N)'!$C$17-'Invoer gegevens (N)'!$C$16)+AX47/(1+$BH$36)^(E47-('Invoer gegevens (N)'!$C$17-1))/(1+'Invoer gegevens (N)'!$C$39)^('Invoer gegevens (N)'!$C$17-'Invoer gegevens (N)'!$C$16)+AY47/(1+'Invoer gegevens (N)'!$C$39)^('Invoer gegevens (N)'!$C$17-'Invoer gegevens (N)'!$C$16)+(-AZ47/(1+'Invoer gegevens (N)'!$C$39)^D47)+BF47+BG47</f>
        <v>0</v>
      </c>
      <c r="BI47" s="59"/>
    </row>
    <row r="48" spans="1:61" x14ac:dyDescent="0.25">
      <c r="A48" s="59"/>
      <c r="B48" s="70">
        <f t="shared" si="15"/>
        <v>12</v>
      </c>
      <c r="C48" s="67">
        <f ca="1">IF(AND(E48&gt;='Invoer gegevens (N)'!$C$17,E48&lt;'Invoer gegevens (N)'!$C$17+15),1,0)</f>
        <v>1</v>
      </c>
      <c r="D48" s="68">
        <f t="shared" si="16"/>
        <v>11.5</v>
      </c>
      <c r="E48" s="69">
        <f ca="1">IF('Invoer gegevens (N)'!$C$16="","",E47+1)</f>
        <v>2030</v>
      </c>
      <c r="F48" s="84">
        <f ca="1">IF('Invoer gegevens (N)'!$C$17=E48,'Invoer gegevens (N)'!$C$10,IF(C48=1,K47,0))</f>
        <v>0</v>
      </c>
      <c r="G48" s="96">
        <f ca="1">IF(E48='Invoer gegevens (N)'!$C$17+15,K47,IF(C48&gt;=1,F48*VLOOKUP(E48,'Reeksen (N)'!$A$5:$B$76,2),0))</f>
        <v>0</v>
      </c>
      <c r="H48" s="84">
        <f ca="1">IF(E48='Invoer gegevens (N)'!$C$17+15,K47,(1-('Invoer gegevens (N)'!$F$20/12))*F48*MIN('Reeksen (N)'!B16,'Reeksen (N)'!D16))</f>
        <v>0</v>
      </c>
      <c r="I48" s="84">
        <f>IF('Reeksen (N)'!D16&lt;'Reeksen (N)'!B16,('Reeksen (N)'!B16-'Reeksen (N)'!D16)*F48,0)</f>
        <v>0</v>
      </c>
      <c r="J48" s="84">
        <f ca="1">IF(E48='Invoer gegevens (N)'!$C$17+16,0,('Invoer gegevens (N)'!$F$20/12)*F47*MIN('Reeksen (N)'!B15,'Reeksen (N)'!D15))</f>
        <v>0</v>
      </c>
      <c r="K48" s="97">
        <f ca="1">IF(E48&gt;='Invoer gegevens (N)'!$C$17+15,0,F48-G48)</f>
        <v>0</v>
      </c>
      <c r="L48" s="84">
        <f ca="1">IF('Invoer gegevens (N)'!$C$17=E48,0,IF(C48=1,Q47,0))</f>
        <v>0</v>
      </c>
      <c r="M48" s="96">
        <f ca="1">IF(E48='Invoer gegevens (N)'!$C$17+15,Q47,IF(C48&gt;=1,L48*VLOOKUP(E48,'Reeksen (N)'!$A$5:$B$76,2),0))</f>
        <v>0</v>
      </c>
      <c r="N48" s="84">
        <f ca="1">IF(C48='Invoer gegevens (N)'!$C$17+15,Q47,(1-('Invoer gegevens (N)'!$F$20/12))*L48*MIN('Reeksen (N)'!B16,'Reeksen (N)'!D16))</f>
        <v>0</v>
      </c>
      <c r="O48" s="84">
        <f>IF('Reeksen (N)'!D16&lt;'Reeksen (N)'!B16,('Reeksen (N)'!B16-'Reeksen (N)'!D16)*L48,0)</f>
        <v>0</v>
      </c>
      <c r="P48" s="84">
        <f ca="1">IF(E48='Invoer gegevens (N)'!$C$17+16,0,('Invoer gegevens (N)'!$F$20/12)*L47*MIN('Reeksen (N)'!B15,'Reeksen (N)'!D15))</f>
        <v>0</v>
      </c>
      <c r="Q48" s="84">
        <f ca="1">IF(E48&gt;='Invoer gegevens (N)'!$C$17+15,0,L48-M48+I48+O48)</f>
        <v>0</v>
      </c>
      <c r="R48" s="82">
        <f ca="1">IF('Invoer gegevens (N)'!$C$17=E48,'Invoer gegevens (N)'!$C$11,IF(C48=1,W47,0))</f>
        <v>0</v>
      </c>
      <c r="S48" s="86">
        <f ca="1">IF(E48='Invoer gegevens (N)'!$C$17+15,W47,IF(C48&gt;=1,R48*VLOOKUP(E48,'Reeksen (N)'!$A$5:$B$76,2),0))</f>
        <v>0</v>
      </c>
      <c r="T48" s="84">
        <f ca="1">IF(E48='Invoer gegevens (N)'!$C$17+15,W47,(1-('Invoer gegevens (N)'!$F$20/12))*R48*MIN('Reeksen (N)'!B16,'Reeksen (N)'!D16))</f>
        <v>0</v>
      </c>
      <c r="U48" s="84">
        <f>IF('Reeksen (N)'!D16&gt;='Reeksen (N)'!B16,0,IF('Reeksen (N)'!AD16&lt;='Reeksen (N)'!AE16,('Reeksen (N)'!B16-'Reeksen (N)'!D16)*R48,0))</f>
        <v>0</v>
      </c>
      <c r="V48" s="86">
        <f>IF('Reeksen (N)'!D16&gt;='Reeksen (N)'!B16,0,IF('Reeksen (N)'!AD16&gt;'Reeksen (N)'!AE16,('Reeksen (N)'!B16-'Reeksen (N)'!D16)*R48,0))</f>
        <v>0</v>
      </c>
      <c r="W48" s="97">
        <f ca="1">IF(E48&gt;='Invoer gegevens (N)'!$C$17+15,0,R48-S48)</f>
        <v>0</v>
      </c>
      <c r="X48" s="98">
        <f ca="1">IF('Invoer gegevens (N)'!$C$17=E48,'Invoer gegevens (N)'!$C$10-'Invoer gegevens (N)'!$C$11,IF(C48=1,AC47,0))</f>
        <v>0</v>
      </c>
      <c r="Y48" s="98">
        <f ca="1">IF(E48='Invoer gegevens (N)'!$C$17+15,AC47,IF(C48&gt;=1,X48*VLOOKUP(E48,'Reeksen (N)'!$A$5:$B$76,2),0))</f>
        <v>0</v>
      </c>
      <c r="Z48" s="98">
        <f ca="1">IF(E48='Invoer gegevens (N)'!$C$17+15,AC47,(1-('Invoer gegevens (N)'!$F$20/12))*X48*MIN('Reeksen (N)'!B16,'Reeksen (N)'!D16))</f>
        <v>0</v>
      </c>
      <c r="AA48" s="98">
        <f>IF('Reeksen (N)'!D16&gt;='Reeksen (N)'!B16,0,IF('Reeksen (N)'!AD16&lt;='Reeksen (N)'!AE16,('Reeksen (N)'!B16-'Reeksen (N)'!D16)*X48,0))</f>
        <v>0</v>
      </c>
      <c r="AB48" s="98">
        <f>IF('Reeksen (N)'!D16&gt;='Reeksen (N)'!B16,0,IF('Reeksen (N)'!AD16&gt;'Reeksen (N)'!AE16,('Reeksen (N)'!B16-'Reeksen (N)'!D16)*X48,0))</f>
        <v>0</v>
      </c>
      <c r="AC48" s="99">
        <f ca="1">IF(E48&gt;='Invoer gegevens (N)'!$C$17+15,0,X48-Y48)</f>
        <v>0</v>
      </c>
      <c r="AD48" s="98">
        <f ca="1">IF('Invoer gegevens (N)'!$C$17=E16,R48,IF(C16=0,0,AE47))</f>
        <v>0</v>
      </c>
      <c r="AE48" s="98">
        <f t="shared" ca="1" si="9"/>
        <v>0</v>
      </c>
      <c r="AF48" s="98">
        <f ca="1">IF('Invoer gegevens (N)'!$C$17=E16,X48,IF(C16=0,0,AG47))</f>
        <v>0</v>
      </c>
      <c r="AG48" s="98">
        <f t="shared" ca="1" si="10"/>
        <v>0</v>
      </c>
      <c r="AH48" s="66"/>
      <c r="AI48" s="71">
        <f ca="1">IF(C48=1,'Reeksen (N)'!AI16*((F48-G48+F48)/2)*12+'Reeksen (N)'!AD16*((L48-M48+L48)/2)*12,0)</f>
        <v>0</v>
      </c>
      <c r="AJ48" s="71">
        <f ca="1">-AI48*'Invoer gegevens (N)'!$F$28</f>
        <v>0</v>
      </c>
      <c r="AK48" s="71">
        <f t="shared" ca="1" si="11"/>
        <v>0</v>
      </c>
      <c r="AL48" s="71">
        <f ca="1">IF(C48=1,'Reeksen (N)'!AL16*((F48-G48+F48)/2)*12+'Reeksen (N)'!AM16*((L48-M48+L48)/2)*12,0)</f>
        <v>0</v>
      </c>
      <c r="AM48" s="71">
        <f ca="1">-AL48*'Invoer gegevens (N)'!$F$31</f>
        <v>0</v>
      </c>
      <c r="AN48" s="71">
        <f t="shared" ca="1" si="12"/>
        <v>0</v>
      </c>
      <c r="AO48" s="71">
        <f ca="1">IF(E48&gt;='Invoer gegevens (N)'!$C$17+15,0,IF(C48=1,(H48+J48+N48+P48)*'Reeksen (N)'!AN16,0))</f>
        <v>0</v>
      </c>
      <c r="AP48" s="71">
        <f ca="1">-IF(C48=1,(H48+J48+N48+P48)*'Hulp - basis'!$O$550*'Reeksen (N)'!H16,0)</f>
        <v>0</v>
      </c>
      <c r="AQ48" s="71">
        <f ca="1">-IF(C48=1,(F48+K48+L48+Q48)/2*'Invoer gegevens (N)'!$F$35*'Reeksen (N)'!J16,0)</f>
        <v>0</v>
      </c>
      <c r="AR48" s="71"/>
      <c r="AS48" s="71">
        <f ca="1">-IF(C48=1,(F48+K48+L48+Q48)/2*'Invoer gegevens (N)'!$F$37*'Reeksen (N)'!L16,0)</f>
        <v>0</v>
      </c>
      <c r="AT48" s="71">
        <f ca="1">-IF(C48=1,IF(E48='Invoer gegevens (N)'!$C$17,'Invoer gegevens (N)'!$C$11,AD48)*'Reeksen (N)'!S16*'Invoer gegevens (N)'!$C$18*'Reeksen (N)'!P16,0)</f>
        <v>0</v>
      </c>
      <c r="AU48" s="71">
        <f ca="1">-IF(C48=1,(F48+K48+L48+Q48)/2*'Invoer gegevens (N)'!$F$38*'Reeksen (N)'!H16,0)</f>
        <v>0</v>
      </c>
      <c r="AV48" s="71">
        <v>0</v>
      </c>
      <c r="AW48" s="71">
        <f t="shared" ca="1" si="13"/>
        <v>0</v>
      </c>
      <c r="AX48" s="72">
        <f ca="1">IF(E48='Invoer gegevens (N)'!$C$17+14,'RW - MW - UP (N)'!$AY$236,0)</f>
        <v>0</v>
      </c>
      <c r="AY48" s="72">
        <f ca="1">IFERROR(IF(E48='Invoer gegevens (N)'!$C$17,-'Invoer gegevens (N)'!$C$10*('Invoer gegevens (N)'!$C$30+'Invoer gegevens (N)'!$C$31)*'Reeksen (N)'!H16,0),0)</f>
        <v>0</v>
      </c>
      <c r="AZ48" s="73">
        <f ca="1">IF('Invoer gegevens (N)'!$C$34=E48,'Invoer gegevens (N)'!$C$27*'Invoer gegevens (N)'!$C$10*'Invoer gegevens (N)'!$C$36*(IF('Invoer gegevens (N)'!$C$35="ja",1,'Reeksen (N)'!J16)),IF('Invoer gegevens (N)'!$C$34+1=E48,'Invoer gegevens (N)'!$C$27*'Invoer gegevens (N)'!$C$10*'Invoer gegevens (N)'!$C$37*(IF('Invoer gegevens (N)'!$C$35="ja",1,'Reeksen (N)'!J16)),0))+IF(AND(E48='Invoer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8" s="73">
        <f ca="1">AW48/(1+'Invoer gegevens (N)'!$F$18)^($D48-('Invoer gegevens (N)'!$C$17-'Invoer gegevens (N)'!$C$16))/(1+'Invoer gegevens (N)'!$C$39)^('Invoer gegevens (N)'!$C$17-'Invoer gegevens (N)'!$C$16)</f>
        <v>0</v>
      </c>
      <c r="BB48" s="73">
        <f ca="1">AX48/(1+'Invoer gegevens (N)'!$F$18)^(E48-('Invoer gegevens (N)'!$C$17-1))/(1+'Invoer gegevens (N)'!$C$39)^('Invoer gegevens (N)'!$C$17-'Invoer gegevens (N)'!$C$16)</f>
        <v>0</v>
      </c>
      <c r="BC48" s="73">
        <f ca="1">AY48/(1+'Invoer gegevens (N)'!$C$39)^('Invoer gegevens (N)'!$C$17-'Invoer gegevens (N)'!$C$16)</f>
        <v>0</v>
      </c>
      <c r="BD48" s="72">
        <f t="shared" ca="1" si="14"/>
        <v>0</v>
      </c>
      <c r="BE48" s="72">
        <f ca="1">IF(AND(E48='Invoer gegevens (N)'!$C$16,'Invoer gegevens (N)'!$C$34&lt;'Invoer gegevens (N)'!$C$16),AZ48,AZ48/(1+'Invoer gegevens (N)'!$C$39)^D48)</f>
        <v>0</v>
      </c>
      <c r="BF48" s="72">
        <f ca="1">IF(E48='Invoer gegevens (N)'!$C$34,-'Invoer gegevens (N)'!$F$40,0)</f>
        <v>0</v>
      </c>
      <c r="BG48" s="72">
        <f ca="1">IF(E48='Invoer gegevens (N)'!$C$17,-'Invoer gegevens (N)'!$C$19*$BD$63,0)</f>
        <v>0</v>
      </c>
      <c r="BH48" s="72">
        <f ca="1">AW48/(1+$BH$36)^($D48-('Invoer gegevens (N)'!$C$17-'Invoer gegevens (N)'!$C$16))/(1+'Invoer gegevens (N)'!$C$39)^('Invoer gegevens (N)'!$C$17-'Invoer gegevens (N)'!$C$16)+AX48/(1+$BH$36)^(E48-('Invoer gegevens (N)'!$C$17-1))/(1+'Invoer gegevens (N)'!$C$39)^('Invoer gegevens (N)'!$C$17-'Invoer gegevens (N)'!$C$16)+AY48/(1+'Invoer gegevens (N)'!$C$39)^('Invoer gegevens (N)'!$C$17-'Invoer gegevens (N)'!$C$16)+(-AZ48/(1+'Invoer gegevens (N)'!$C$39)^D48)+BF48+BG48</f>
        <v>0</v>
      </c>
      <c r="BI48" s="59"/>
    </row>
    <row r="49" spans="1:61" x14ac:dyDescent="0.25">
      <c r="A49" s="59"/>
      <c r="B49" s="70">
        <f t="shared" si="15"/>
        <v>13</v>
      </c>
      <c r="C49" s="67">
        <f ca="1">IF(AND(E49&gt;='Invoer gegevens (N)'!$C$17,E49&lt;'Invoer gegevens (N)'!$C$17+15),1,0)</f>
        <v>1</v>
      </c>
      <c r="D49" s="68">
        <f t="shared" si="16"/>
        <v>12.5</v>
      </c>
      <c r="E49" s="69">
        <f ca="1">IF('Invoer gegevens (N)'!$C$16="","",E48+1)</f>
        <v>2031</v>
      </c>
      <c r="F49" s="84">
        <f ca="1">IF('Invoer gegevens (N)'!$C$17=E49,'Invoer gegevens (N)'!$C$10,IF(C49=1,K48,0))</f>
        <v>0</v>
      </c>
      <c r="G49" s="96">
        <f ca="1">IF(E49='Invoer gegevens (N)'!$C$17+15,K48,IF(C49&gt;=1,F49*VLOOKUP(E49,'Reeksen (N)'!$A$5:$B$76,2),0))</f>
        <v>0</v>
      </c>
      <c r="H49" s="84">
        <f ca="1">IF(E49='Invoer gegevens (N)'!$C$17+15,K48,(1-('Invoer gegevens (N)'!$F$20/12))*F49*MIN('Reeksen (N)'!B17,'Reeksen (N)'!D17))</f>
        <v>0</v>
      </c>
      <c r="I49" s="84">
        <f>IF('Reeksen (N)'!D17&lt;'Reeksen (N)'!B17,('Reeksen (N)'!B17-'Reeksen (N)'!D17)*F49,0)</f>
        <v>0</v>
      </c>
      <c r="J49" s="84">
        <f ca="1">IF(E49='Invoer gegevens (N)'!$C$17+16,0,('Invoer gegevens (N)'!$F$20/12)*F48*MIN('Reeksen (N)'!B16,'Reeksen (N)'!D16))</f>
        <v>0</v>
      </c>
      <c r="K49" s="97">
        <f ca="1">IF(E49&gt;='Invoer gegevens (N)'!$C$17+15,0,F49-G49)</f>
        <v>0</v>
      </c>
      <c r="L49" s="84">
        <f ca="1">IF('Invoer gegevens (N)'!$C$17=E49,0,IF(C49=1,Q48,0))</f>
        <v>0</v>
      </c>
      <c r="M49" s="96">
        <f ca="1">IF(E49='Invoer gegevens (N)'!$C$17+15,Q48,IF(C49&gt;=1,L49*VLOOKUP(E49,'Reeksen (N)'!$A$5:$B$76,2),0))</f>
        <v>0</v>
      </c>
      <c r="N49" s="84">
        <f ca="1">IF(C49='Invoer gegevens (N)'!$C$17+15,Q48,(1-('Invoer gegevens (N)'!$F$20/12))*L49*MIN('Reeksen (N)'!B17,'Reeksen (N)'!D17))</f>
        <v>0</v>
      </c>
      <c r="O49" s="84">
        <f>IF('Reeksen (N)'!D17&lt;'Reeksen (N)'!B17,('Reeksen (N)'!B17-'Reeksen (N)'!D17)*L49,0)</f>
        <v>0</v>
      </c>
      <c r="P49" s="84">
        <f ca="1">IF(E49='Invoer gegevens (N)'!$C$17+16,0,('Invoer gegevens (N)'!$F$20/12)*L48*MIN('Reeksen (N)'!B16,'Reeksen (N)'!D16))</f>
        <v>0</v>
      </c>
      <c r="Q49" s="84">
        <f ca="1">IF(E49&gt;='Invoer gegevens (N)'!$C$17+15,0,L49-M49+I49+O49)</f>
        <v>0</v>
      </c>
      <c r="R49" s="82">
        <f ca="1">IF('Invoer gegevens (N)'!$C$17=E49,'Invoer gegevens (N)'!$C$11,IF(C49=1,W48,0))</f>
        <v>0</v>
      </c>
      <c r="S49" s="86">
        <f ca="1">IF(E49='Invoer gegevens (N)'!$C$17+15,W48,IF(C49&gt;=1,R49*VLOOKUP(E49,'Reeksen (N)'!$A$5:$B$76,2),0))</f>
        <v>0</v>
      </c>
      <c r="T49" s="84">
        <f ca="1">IF(E49='Invoer gegevens (N)'!$C$17+15,W48,(1-('Invoer gegevens (N)'!$F$20/12))*R49*MIN('Reeksen (N)'!B17,'Reeksen (N)'!D17))</f>
        <v>0</v>
      </c>
      <c r="U49" s="84">
        <f>IF('Reeksen (N)'!D17&gt;='Reeksen (N)'!B17,0,IF('Reeksen (N)'!AD17&lt;='Reeksen (N)'!AE17,('Reeksen (N)'!B17-'Reeksen (N)'!D17)*R49,0))</f>
        <v>0</v>
      </c>
      <c r="V49" s="86">
        <f>IF('Reeksen (N)'!D17&gt;='Reeksen (N)'!B17,0,IF('Reeksen (N)'!AD17&gt;'Reeksen (N)'!AE17,('Reeksen (N)'!B17-'Reeksen (N)'!D17)*R49,0))</f>
        <v>0</v>
      </c>
      <c r="W49" s="97">
        <f ca="1">IF(E49&gt;='Invoer gegevens (N)'!$C$17+15,0,R49-S49)</f>
        <v>0</v>
      </c>
      <c r="X49" s="98">
        <f ca="1">IF('Invoer gegevens (N)'!$C$17=E49,'Invoer gegevens (N)'!$C$10-'Invoer gegevens (N)'!$C$11,IF(C49=1,AC48,0))</f>
        <v>0</v>
      </c>
      <c r="Y49" s="98">
        <f ca="1">IF(E49='Invoer gegevens (N)'!$C$17+15,AC48,IF(C49&gt;=1,X49*VLOOKUP(E49,'Reeksen (N)'!$A$5:$B$76,2),0))</f>
        <v>0</v>
      </c>
      <c r="Z49" s="98">
        <f ca="1">IF(E49='Invoer gegevens (N)'!$C$17+15,AC48,(1-('Invoer gegevens (N)'!$F$20/12))*X49*MIN('Reeksen (N)'!B17,'Reeksen (N)'!D17))</f>
        <v>0</v>
      </c>
      <c r="AA49" s="98">
        <f>IF('Reeksen (N)'!D17&gt;='Reeksen (N)'!B17,0,IF('Reeksen (N)'!AD17&lt;='Reeksen (N)'!AE17,('Reeksen (N)'!B17-'Reeksen (N)'!D17)*X49,0))</f>
        <v>0</v>
      </c>
      <c r="AB49" s="98">
        <f>IF('Reeksen (N)'!D17&gt;='Reeksen (N)'!B17,0,IF('Reeksen (N)'!AD17&gt;'Reeksen (N)'!AE17,('Reeksen (N)'!B17-'Reeksen (N)'!D17)*X49,0))</f>
        <v>0</v>
      </c>
      <c r="AC49" s="99">
        <f ca="1">IF(E49&gt;='Invoer gegevens (N)'!$C$17+15,0,X49-Y49)</f>
        <v>0</v>
      </c>
      <c r="AD49" s="98">
        <f ca="1">IF('Invoer gegevens (N)'!$C$17=E17,R49,IF(C17=0,0,AE48))</f>
        <v>0</v>
      </c>
      <c r="AE49" s="98">
        <f t="shared" ca="1" si="9"/>
        <v>0</v>
      </c>
      <c r="AF49" s="98">
        <f ca="1">IF('Invoer gegevens (N)'!$C$17=E17,X49,IF(C17=0,0,AG48))</f>
        <v>0</v>
      </c>
      <c r="AG49" s="98">
        <f t="shared" ca="1" si="10"/>
        <v>0</v>
      </c>
      <c r="AH49" s="66"/>
      <c r="AI49" s="71">
        <f ca="1">IF(C49=1,'Reeksen (N)'!AI17*((F49-G49+F49)/2)*12+'Reeksen (N)'!AD17*((L49-M49+L49)/2)*12,0)</f>
        <v>0</v>
      </c>
      <c r="AJ49" s="71">
        <f ca="1">-AI49*'Invoer gegevens (N)'!$F$28</f>
        <v>0</v>
      </c>
      <c r="AK49" s="71">
        <f t="shared" ca="1" si="11"/>
        <v>0</v>
      </c>
      <c r="AL49" s="71">
        <f ca="1">IF(C49=1,'Reeksen (N)'!AL17*((F49-G49+F49)/2)*12+'Reeksen (N)'!AM17*((L49-M49+L49)/2)*12,0)</f>
        <v>0</v>
      </c>
      <c r="AM49" s="71">
        <f ca="1">-AL49*'Invoer gegevens (N)'!$F$31</f>
        <v>0</v>
      </c>
      <c r="AN49" s="71">
        <f t="shared" ca="1" si="12"/>
        <v>0</v>
      </c>
      <c r="AO49" s="71">
        <f ca="1">IF(E49&gt;='Invoer gegevens (N)'!$C$17+15,0,IF(C49=1,(H49+J49+N49+P49)*'Reeksen (N)'!AN17,0))</f>
        <v>0</v>
      </c>
      <c r="AP49" s="71">
        <f ca="1">-IF(C49=1,(H49+J49+N49+P49)*'Hulp - basis'!$O$550*'Reeksen (N)'!H17,0)</f>
        <v>0</v>
      </c>
      <c r="AQ49" s="71">
        <f ca="1">-IF(C49=1,(F49+K49+L49+Q49)/2*'Invoer gegevens (N)'!$F$35*'Reeksen (N)'!J17,0)</f>
        <v>0</v>
      </c>
      <c r="AR49" s="71"/>
      <c r="AS49" s="71">
        <f ca="1">-IF(C49=1,(F49+K49+L49+Q49)/2*'Invoer gegevens (N)'!$F$37*'Reeksen (N)'!L17,0)</f>
        <v>0</v>
      </c>
      <c r="AT49" s="71">
        <f ca="1">-IF(C49=1,IF(E49='Invoer gegevens (N)'!$C$17,'Invoer gegevens (N)'!$C$11,AD49)*'Reeksen (N)'!S17*'Invoer gegevens (N)'!$C$18*'Reeksen (N)'!P17,0)</f>
        <v>0</v>
      </c>
      <c r="AU49" s="71">
        <f ca="1">-IF(C49=1,(F49+K49+L49+Q49)/2*'Invoer gegevens (N)'!$F$38*'Reeksen (N)'!H17,0)</f>
        <v>0</v>
      </c>
      <c r="AV49" s="71">
        <v>0</v>
      </c>
      <c r="AW49" s="71">
        <f t="shared" ca="1" si="13"/>
        <v>0</v>
      </c>
      <c r="AX49" s="72">
        <f ca="1">IF(E49='Invoer gegevens (N)'!$C$17+14,'RW - MW - UP (N)'!$AY$236,0)</f>
        <v>0</v>
      </c>
      <c r="AY49" s="72">
        <f ca="1">IFERROR(IF(E49='Invoer gegevens (N)'!$C$17,-'Invoer gegevens (N)'!$C$10*('Invoer gegevens (N)'!$C$30+'Invoer gegevens (N)'!$C$31)*'Reeksen (N)'!H17,0),0)</f>
        <v>0</v>
      </c>
      <c r="AZ49" s="73">
        <f ca="1">IF('Invoer gegevens (N)'!$C$34=E49,'Invoer gegevens (N)'!$C$27*'Invoer gegevens (N)'!$C$10*'Invoer gegevens (N)'!$C$36*(IF('Invoer gegevens (N)'!$C$35="ja",1,'Reeksen (N)'!J17)),IF('Invoer gegevens (N)'!$C$34+1=E49,'Invoer gegevens (N)'!$C$27*'Invoer gegevens (N)'!$C$10*'Invoer gegevens (N)'!$C$37*(IF('Invoer gegevens (N)'!$C$35="ja",1,'Reeksen (N)'!J17)),0))+IF(AND(E49='Invoer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9" s="73">
        <f ca="1">AW49/(1+'Invoer gegevens (N)'!$F$18)^($D49-('Invoer gegevens (N)'!$C$17-'Invoer gegevens (N)'!$C$16))/(1+'Invoer gegevens (N)'!$C$39)^('Invoer gegevens (N)'!$C$17-'Invoer gegevens (N)'!$C$16)</f>
        <v>0</v>
      </c>
      <c r="BB49" s="73">
        <f ca="1">AX49/(1+'Invoer gegevens (N)'!$F$18)^(E49-('Invoer gegevens (N)'!$C$17-1))/(1+'Invoer gegevens (N)'!$C$39)^('Invoer gegevens (N)'!$C$17-'Invoer gegevens (N)'!$C$16)</f>
        <v>0</v>
      </c>
      <c r="BC49" s="73">
        <f ca="1">AY49/(1+'Invoer gegevens (N)'!$C$39)^('Invoer gegevens (N)'!$C$17-'Invoer gegevens (N)'!$C$16)</f>
        <v>0</v>
      </c>
      <c r="BD49" s="72">
        <f t="shared" ca="1" si="14"/>
        <v>0</v>
      </c>
      <c r="BE49" s="72">
        <f ca="1">IF(AND(E49='Invoer gegevens (N)'!$C$16,'Invoer gegevens (N)'!$C$34&lt;'Invoer gegevens (N)'!$C$16),AZ49,AZ49/(1+'Invoer gegevens (N)'!$C$39)^D49)</f>
        <v>0</v>
      </c>
      <c r="BF49" s="72">
        <f ca="1">IF(E49='Invoer gegevens (N)'!$C$34,-'Invoer gegevens (N)'!$F$40,0)</f>
        <v>0</v>
      </c>
      <c r="BG49" s="72">
        <f ca="1">IF(E49='Invoer gegevens (N)'!$C$17,-'Invoer gegevens (N)'!$C$19*$BD$63,0)</f>
        <v>0</v>
      </c>
      <c r="BH49" s="72">
        <f ca="1">AW49/(1+$BH$36)^($D49-('Invoer gegevens (N)'!$C$17-'Invoer gegevens (N)'!$C$16))/(1+'Invoer gegevens (N)'!$C$39)^('Invoer gegevens (N)'!$C$17-'Invoer gegevens (N)'!$C$16)+AX49/(1+$BH$36)^(E49-('Invoer gegevens (N)'!$C$17-1))/(1+'Invoer gegevens (N)'!$C$39)^('Invoer gegevens (N)'!$C$17-'Invoer gegevens (N)'!$C$16)+AY49/(1+'Invoer gegevens (N)'!$C$39)^('Invoer gegevens (N)'!$C$17-'Invoer gegevens (N)'!$C$16)+(-AZ49/(1+'Invoer gegevens (N)'!$C$39)^D49)+BF49+BG49</f>
        <v>0</v>
      </c>
      <c r="BI49" s="59"/>
    </row>
    <row r="50" spans="1:61" x14ac:dyDescent="0.25">
      <c r="A50" s="59"/>
      <c r="B50" s="70">
        <f t="shared" si="15"/>
        <v>14</v>
      </c>
      <c r="C50" s="67">
        <f ca="1">IF(AND(E50&gt;='Invoer gegevens (N)'!$C$17,E50&lt;'Invoer gegevens (N)'!$C$17+15),1,0)</f>
        <v>1</v>
      </c>
      <c r="D50" s="68">
        <f t="shared" si="16"/>
        <v>13.5</v>
      </c>
      <c r="E50" s="69">
        <f ca="1">IF('Invoer gegevens (N)'!$C$16="","",E49+1)</f>
        <v>2032</v>
      </c>
      <c r="F50" s="84">
        <f ca="1">IF('Invoer gegevens (N)'!$C$17=E50,'Invoer gegevens (N)'!$C$10,IF(C50=1,K49,0))</f>
        <v>0</v>
      </c>
      <c r="G50" s="96">
        <f ca="1">IF(E50='Invoer gegevens (N)'!$C$17+15,K49,IF(C50&gt;=1,F50*VLOOKUP(E50,'Reeksen (N)'!$A$5:$B$76,2),0))</f>
        <v>0</v>
      </c>
      <c r="H50" s="84">
        <f ca="1">IF(E50='Invoer gegevens (N)'!$C$17+15,K49,(1-('Invoer gegevens (N)'!$F$20/12))*F50*MIN('Reeksen (N)'!B18,'Reeksen (N)'!D18))</f>
        <v>0</v>
      </c>
      <c r="I50" s="84">
        <f>IF('Reeksen (N)'!D18&lt;'Reeksen (N)'!B18,('Reeksen (N)'!B18-'Reeksen (N)'!D18)*F50,0)</f>
        <v>0</v>
      </c>
      <c r="J50" s="84">
        <f ca="1">IF(E50='Invoer gegevens (N)'!$C$17+16,0,('Invoer gegevens (N)'!$F$20/12)*F49*MIN('Reeksen (N)'!B17,'Reeksen (N)'!D17))</f>
        <v>0</v>
      </c>
      <c r="K50" s="97">
        <f ca="1">IF(E50&gt;='Invoer gegevens (N)'!$C$17+15,0,F50-G50)</f>
        <v>0</v>
      </c>
      <c r="L50" s="84">
        <f ca="1">IF('Invoer gegevens (N)'!$C$17=E50,0,IF(C50=1,Q49,0))</f>
        <v>0</v>
      </c>
      <c r="M50" s="96">
        <f ca="1">IF(E50='Invoer gegevens (N)'!$C$17+15,Q49,IF(C50&gt;=1,L50*VLOOKUP(E50,'Reeksen (N)'!$A$5:$B$76,2),0))</f>
        <v>0</v>
      </c>
      <c r="N50" s="84">
        <f ca="1">IF(C50='Invoer gegevens (N)'!$C$17+15,Q49,(1-('Invoer gegevens (N)'!$F$20/12))*L50*MIN('Reeksen (N)'!B18,'Reeksen (N)'!D18))</f>
        <v>0</v>
      </c>
      <c r="O50" s="84">
        <f>IF('Reeksen (N)'!D18&lt;'Reeksen (N)'!B18,('Reeksen (N)'!B18-'Reeksen (N)'!D18)*L50,0)</f>
        <v>0</v>
      </c>
      <c r="P50" s="84">
        <f ca="1">IF(E50='Invoer gegevens (N)'!$C$17+16,0,('Invoer gegevens (N)'!$F$20/12)*L49*MIN('Reeksen (N)'!B17,'Reeksen (N)'!D17))</f>
        <v>0</v>
      </c>
      <c r="Q50" s="84">
        <f ca="1">IF(E50&gt;='Invoer gegevens (N)'!$C$17+15,0,L50-M50+I50+O50)</f>
        <v>0</v>
      </c>
      <c r="R50" s="82">
        <f ca="1">IF('Invoer gegevens (N)'!$C$17=E50,'Invoer gegevens (N)'!$C$11,IF(C50=1,W49,0))</f>
        <v>0</v>
      </c>
      <c r="S50" s="86">
        <f ca="1">IF(E50='Invoer gegevens (N)'!$C$17+15,W49,IF(C50&gt;=1,R50*VLOOKUP(E50,'Reeksen (N)'!$A$5:$B$76,2),0))</f>
        <v>0</v>
      </c>
      <c r="T50" s="84">
        <f ca="1">IF(E50='Invoer gegevens (N)'!$C$17+15,W49,(1-('Invoer gegevens (N)'!$F$20/12))*R50*MIN('Reeksen (N)'!B18,'Reeksen (N)'!D18))</f>
        <v>0</v>
      </c>
      <c r="U50" s="84">
        <f>IF('Reeksen (N)'!D18&gt;='Reeksen (N)'!B18,0,IF('Reeksen (N)'!AD18&lt;='Reeksen (N)'!AE18,('Reeksen (N)'!B18-'Reeksen (N)'!D18)*R50,0))</f>
        <v>0</v>
      </c>
      <c r="V50" s="86">
        <f>IF('Reeksen (N)'!D18&gt;='Reeksen (N)'!B18,0,IF('Reeksen (N)'!AD18&gt;'Reeksen (N)'!AE18,('Reeksen (N)'!B18-'Reeksen (N)'!D18)*R50,0))</f>
        <v>0</v>
      </c>
      <c r="W50" s="97">
        <f ca="1">IF(E50&gt;='Invoer gegevens (N)'!$C$17+15,0,R50-S50)</f>
        <v>0</v>
      </c>
      <c r="X50" s="98">
        <f ca="1">IF('Invoer gegevens (N)'!$C$17=E50,'Invoer gegevens (N)'!$C$10-'Invoer gegevens (N)'!$C$11,IF(C50=1,AC49,0))</f>
        <v>0</v>
      </c>
      <c r="Y50" s="98">
        <f ca="1">IF(E50='Invoer gegevens (N)'!$C$17+15,AC49,IF(C50&gt;=1,X50*VLOOKUP(E50,'Reeksen (N)'!$A$5:$B$76,2),0))</f>
        <v>0</v>
      </c>
      <c r="Z50" s="98">
        <f ca="1">IF(E50='Invoer gegevens (N)'!$C$17+15,AC49,(1-('Invoer gegevens (N)'!$F$20/12))*X50*MIN('Reeksen (N)'!B18,'Reeksen (N)'!D18))</f>
        <v>0</v>
      </c>
      <c r="AA50" s="98">
        <f>IF('Reeksen (N)'!D18&gt;='Reeksen (N)'!B18,0,IF('Reeksen (N)'!AD18&lt;='Reeksen (N)'!AE18,('Reeksen (N)'!B18-'Reeksen (N)'!D18)*X50,0))</f>
        <v>0</v>
      </c>
      <c r="AB50" s="98">
        <f>IF('Reeksen (N)'!D18&gt;='Reeksen (N)'!B18,0,IF('Reeksen (N)'!AD18&gt;'Reeksen (N)'!AE18,('Reeksen (N)'!B18-'Reeksen (N)'!D18)*X50,0))</f>
        <v>0</v>
      </c>
      <c r="AC50" s="99">
        <f ca="1">IF(E50&gt;='Invoer gegevens (N)'!$C$17+15,0,X50-Y50)</f>
        <v>0</v>
      </c>
      <c r="AD50" s="98">
        <f ca="1">IF('Invoer gegevens (N)'!$C$17=E18,R50,IF(C18=0,0,AE49))</f>
        <v>0</v>
      </c>
      <c r="AE50" s="98">
        <f t="shared" ca="1" si="9"/>
        <v>0</v>
      </c>
      <c r="AF50" s="98">
        <f ca="1">IF('Invoer gegevens (N)'!$C$17=E18,X50,IF(C18=0,0,AG49))</f>
        <v>0</v>
      </c>
      <c r="AG50" s="98">
        <f t="shared" ca="1" si="10"/>
        <v>0</v>
      </c>
      <c r="AH50" s="66"/>
      <c r="AI50" s="71">
        <f ca="1">IF(C50=1,'Reeksen (N)'!AI18*((F50-G50+F50)/2)*12+'Reeksen (N)'!AD18*((L50-M50+L50)/2)*12,0)</f>
        <v>0</v>
      </c>
      <c r="AJ50" s="71">
        <f ca="1">-AI50*'Invoer gegevens (N)'!$F$28</f>
        <v>0</v>
      </c>
      <c r="AK50" s="71">
        <f t="shared" ca="1" si="11"/>
        <v>0</v>
      </c>
      <c r="AL50" s="71">
        <f ca="1">IF(C50=1,'Reeksen (N)'!AL18*((F50-G50+F50)/2)*12+'Reeksen (N)'!AM18*((L50-M50+L50)/2)*12,0)</f>
        <v>0</v>
      </c>
      <c r="AM50" s="71">
        <f ca="1">-AL50*'Invoer gegevens (N)'!$F$31</f>
        <v>0</v>
      </c>
      <c r="AN50" s="71">
        <f t="shared" ca="1" si="12"/>
        <v>0</v>
      </c>
      <c r="AO50" s="71">
        <f ca="1">IF(E50&gt;='Invoer gegevens (N)'!$C$17+15,0,IF(C50=1,(H50+J50+N50+P50)*'Reeksen (N)'!AN18,0))</f>
        <v>0</v>
      </c>
      <c r="AP50" s="71">
        <f ca="1">-IF(C50=1,(H50+J50+N50+P50)*'Hulp - basis'!$O$550*'Reeksen (N)'!H18,0)</f>
        <v>0</v>
      </c>
      <c r="AQ50" s="71">
        <f ca="1">-IF(C50=1,(F50+K50+L50+Q50)/2*'Invoer gegevens (N)'!$F$35*'Reeksen (N)'!J18,0)</f>
        <v>0</v>
      </c>
      <c r="AR50" s="71"/>
      <c r="AS50" s="71">
        <f ca="1">-IF(C50=1,(F50+K50+L50+Q50)/2*'Invoer gegevens (N)'!$F$37*'Reeksen (N)'!L18,0)</f>
        <v>0</v>
      </c>
      <c r="AT50" s="71">
        <f ca="1">-IF(C50=1,IF(E50='Invoer gegevens (N)'!$C$17,'Invoer gegevens (N)'!$C$11,AD50)*'Reeksen (N)'!S18*'Invoer gegevens (N)'!$C$18*'Reeksen (N)'!P18,0)</f>
        <v>0</v>
      </c>
      <c r="AU50" s="71">
        <f ca="1">-IF(C50=1,(F50+K50+L50+Q50)/2*'Invoer gegevens (N)'!$F$38*'Reeksen (N)'!H18,0)</f>
        <v>0</v>
      </c>
      <c r="AV50" s="71">
        <v>0</v>
      </c>
      <c r="AW50" s="71">
        <f t="shared" ca="1" si="13"/>
        <v>0</v>
      </c>
      <c r="AX50" s="72">
        <f ca="1">IF(E50='Invoer gegevens (N)'!$C$17+14,'RW - MW - UP (N)'!$AY$236,0)</f>
        <v>0</v>
      </c>
      <c r="AY50" s="72">
        <f ca="1">IFERROR(IF(E50='Invoer gegevens (N)'!$C$17,-'Invoer gegevens (N)'!$C$10*('Invoer gegevens (N)'!$C$30+'Invoer gegevens (N)'!$C$31)*'Reeksen (N)'!H18,0),0)</f>
        <v>0</v>
      </c>
      <c r="AZ50" s="73">
        <f ca="1">IF('Invoer gegevens (N)'!$C$34=E50,'Invoer gegevens (N)'!$C$27*'Invoer gegevens (N)'!$C$10*'Invoer gegevens (N)'!$C$36*(IF('Invoer gegevens (N)'!$C$35="ja",1,'Reeksen (N)'!J18)),IF('Invoer gegevens (N)'!$C$34+1=E50,'Invoer gegevens (N)'!$C$27*'Invoer gegevens (N)'!$C$10*'Invoer gegevens (N)'!$C$37*(IF('Invoer gegevens (N)'!$C$35="ja",1,'Reeksen (N)'!J18)),0))+IF(AND(E50='Invoer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0" s="73">
        <f ca="1">AW50/(1+'Invoer gegevens (N)'!$F$18)^($D50-('Invoer gegevens (N)'!$C$17-'Invoer gegevens (N)'!$C$16))/(1+'Invoer gegevens (N)'!$C$39)^('Invoer gegevens (N)'!$C$17-'Invoer gegevens (N)'!$C$16)</f>
        <v>0</v>
      </c>
      <c r="BB50" s="73">
        <f ca="1">AX50/(1+'Invoer gegevens (N)'!$F$18)^(E50-('Invoer gegevens (N)'!$C$17-1))/(1+'Invoer gegevens (N)'!$C$39)^('Invoer gegevens (N)'!$C$17-'Invoer gegevens (N)'!$C$16)</f>
        <v>0</v>
      </c>
      <c r="BC50" s="73">
        <f ca="1">AY50/(1+'Invoer gegevens (N)'!$C$39)^('Invoer gegevens (N)'!$C$17-'Invoer gegevens (N)'!$C$16)</f>
        <v>0</v>
      </c>
      <c r="BD50" s="72">
        <f t="shared" ca="1" si="14"/>
        <v>0</v>
      </c>
      <c r="BE50" s="72">
        <f ca="1">IF(AND(E50='Invoer gegevens (N)'!$C$16,'Invoer gegevens (N)'!$C$34&lt;'Invoer gegevens (N)'!$C$16),AZ50,AZ50/(1+'Invoer gegevens (N)'!$C$39)^D50)</f>
        <v>0</v>
      </c>
      <c r="BF50" s="72">
        <f ca="1">IF(E50='Invoer gegevens (N)'!$C$34,-'Invoer gegevens (N)'!$F$40,0)</f>
        <v>0</v>
      </c>
      <c r="BG50" s="72">
        <f ca="1">IF(E50='Invoer gegevens (N)'!$C$17,-'Invoer gegevens (N)'!$C$19*$BD$63,0)</f>
        <v>0</v>
      </c>
      <c r="BH50" s="72">
        <f ca="1">AW50/(1+$BH$36)^($D50-('Invoer gegevens (N)'!$C$17-'Invoer gegevens (N)'!$C$16))/(1+'Invoer gegevens (N)'!$C$39)^('Invoer gegevens (N)'!$C$17-'Invoer gegevens (N)'!$C$16)+AX50/(1+$BH$36)^(E50-('Invoer gegevens (N)'!$C$17-1))/(1+'Invoer gegevens (N)'!$C$39)^('Invoer gegevens (N)'!$C$17-'Invoer gegevens (N)'!$C$16)+AY50/(1+'Invoer gegevens (N)'!$C$39)^('Invoer gegevens (N)'!$C$17-'Invoer gegevens (N)'!$C$16)+(-AZ50/(1+'Invoer gegevens (N)'!$C$39)^D50)+BF50+BG50</f>
        <v>0</v>
      </c>
      <c r="BI50" s="59"/>
    </row>
    <row r="51" spans="1:61" x14ac:dyDescent="0.25">
      <c r="A51" s="59"/>
      <c r="B51" s="70">
        <f t="shared" si="15"/>
        <v>15</v>
      </c>
      <c r="C51" s="67">
        <f ca="1">IF(AND(E51&gt;='Invoer gegevens (N)'!$C$17,E51&lt;'Invoer gegevens (N)'!$C$17+15),1,0)</f>
        <v>1</v>
      </c>
      <c r="D51" s="68">
        <f t="shared" si="16"/>
        <v>14.5</v>
      </c>
      <c r="E51" s="69">
        <f ca="1">IF('Invoer gegevens (N)'!$C$16="","",E50+1)</f>
        <v>2033</v>
      </c>
      <c r="F51" s="84">
        <f ca="1">IF('Invoer gegevens (N)'!$C$17=E51,'Invoer gegevens (N)'!$C$10,IF(C51=1,K50,0))</f>
        <v>0</v>
      </c>
      <c r="G51" s="96">
        <f ca="1">IF(E51='Invoer gegevens (N)'!$C$17+15,K50,IF(C51&gt;=1,F51*VLOOKUP(E51,'Reeksen (N)'!$A$5:$B$76,2),0))</f>
        <v>0</v>
      </c>
      <c r="H51" s="84">
        <f ca="1">IF(E51='Invoer gegevens (N)'!$C$17+15,K50,(1-('Invoer gegevens (N)'!$F$20/12))*F51*MIN('Reeksen (N)'!B19,'Reeksen (N)'!D19))</f>
        <v>0</v>
      </c>
      <c r="I51" s="84">
        <f>IF('Reeksen (N)'!D19&lt;'Reeksen (N)'!B19,('Reeksen (N)'!B19-'Reeksen (N)'!D19)*F51,0)</f>
        <v>0</v>
      </c>
      <c r="J51" s="84">
        <f ca="1">IF(E51='Invoer gegevens (N)'!$C$17+16,0,('Invoer gegevens (N)'!$F$20/12)*F50*MIN('Reeksen (N)'!B18,'Reeksen (N)'!D18))</f>
        <v>0</v>
      </c>
      <c r="K51" s="97">
        <f ca="1">IF(E51&gt;='Invoer gegevens (N)'!$C$17+15,0,F51-G51)</f>
        <v>0</v>
      </c>
      <c r="L51" s="84">
        <f ca="1">IF('Invoer gegevens (N)'!$C$17=E51,0,IF(C51=1,Q50,0))</f>
        <v>0</v>
      </c>
      <c r="M51" s="96">
        <f ca="1">IF(E51='Invoer gegevens (N)'!$C$17+15,Q50,IF(C51&gt;=1,L51*VLOOKUP(E51,'Reeksen (N)'!$A$5:$B$76,2),0))</f>
        <v>0</v>
      </c>
      <c r="N51" s="84">
        <f ca="1">IF(C51='Invoer gegevens (N)'!$C$17+15,Q50,(1-('Invoer gegevens (N)'!$F$20/12))*L51*MIN('Reeksen (N)'!B19,'Reeksen (N)'!D19))</f>
        <v>0</v>
      </c>
      <c r="O51" s="84">
        <f>IF('Reeksen (N)'!D19&lt;'Reeksen (N)'!B19,('Reeksen (N)'!B19-'Reeksen (N)'!D19)*L51,0)</f>
        <v>0</v>
      </c>
      <c r="P51" s="84">
        <f ca="1">IF(E51='Invoer gegevens (N)'!$C$17+16,0,('Invoer gegevens (N)'!$F$20/12)*L50*MIN('Reeksen (N)'!B18,'Reeksen (N)'!D18))</f>
        <v>0</v>
      </c>
      <c r="Q51" s="84">
        <f ca="1">IF(E51&gt;='Invoer gegevens (N)'!$C$17+15,0,L51-M51+I51+O51)</f>
        <v>0</v>
      </c>
      <c r="R51" s="82">
        <f ca="1">IF('Invoer gegevens (N)'!$C$17=E51,'Invoer gegevens (N)'!$C$11,IF(C51=1,W50,0))</f>
        <v>0</v>
      </c>
      <c r="S51" s="86">
        <f ca="1">IF(E51='Invoer gegevens (N)'!$C$17+15,W50,IF(C51&gt;=1,R51*VLOOKUP(E51,'Reeksen (N)'!$A$5:$B$76,2),0))</f>
        <v>0</v>
      </c>
      <c r="T51" s="84">
        <f ca="1">IF(E51='Invoer gegevens (N)'!$C$17+15,W50,(1-('Invoer gegevens (N)'!$F$20/12))*R51*MIN('Reeksen (N)'!B19,'Reeksen (N)'!D19))</f>
        <v>0</v>
      </c>
      <c r="U51" s="84">
        <f>IF('Reeksen (N)'!D19&gt;='Reeksen (N)'!B19,0,IF('Reeksen (N)'!AD19&lt;='Reeksen (N)'!AE19,('Reeksen (N)'!B19-'Reeksen (N)'!D19)*R51,0))</f>
        <v>0</v>
      </c>
      <c r="V51" s="86">
        <f>IF('Reeksen (N)'!D19&gt;='Reeksen (N)'!B19,0,IF('Reeksen (N)'!AD19&gt;'Reeksen (N)'!AE19,('Reeksen (N)'!B19-'Reeksen (N)'!D19)*R51,0))</f>
        <v>0</v>
      </c>
      <c r="W51" s="97">
        <f ca="1">IF(E51&gt;='Invoer gegevens (N)'!$C$17+15,0,R51-S51)</f>
        <v>0</v>
      </c>
      <c r="X51" s="98">
        <f ca="1">IF('Invoer gegevens (N)'!$C$17=E51,'Invoer gegevens (N)'!$C$10-'Invoer gegevens (N)'!$C$11,IF(C51=1,AC50,0))</f>
        <v>0</v>
      </c>
      <c r="Y51" s="98">
        <f ca="1">IF(E51='Invoer gegevens (N)'!$C$17+15,AC50,IF(C51&gt;=1,X51*VLOOKUP(E51,'Reeksen (N)'!$A$5:$B$76,2),0))</f>
        <v>0</v>
      </c>
      <c r="Z51" s="98">
        <f ca="1">IF(E51='Invoer gegevens (N)'!$C$17+15,AC50,(1-('Invoer gegevens (N)'!$F$20/12))*X51*MIN('Reeksen (N)'!B19,'Reeksen (N)'!D19))</f>
        <v>0</v>
      </c>
      <c r="AA51" s="98">
        <f>IF('Reeksen (N)'!D19&gt;='Reeksen (N)'!B19,0,IF('Reeksen (N)'!AD19&lt;='Reeksen (N)'!AE19,('Reeksen (N)'!B19-'Reeksen (N)'!D19)*X51,0))</f>
        <v>0</v>
      </c>
      <c r="AB51" s="98">
        <f>IF('Reeksen (N)'!D19&gt;='Reeksen (N)'!B19,0,IF('Reeksen (N)'!AD19&gt;'Reeksen (N)'!AE19,('Reeksen (N)'!B19-'Reeksen (N)'!D19)*X51,0))</f>
        <v>0</v>
      </c>
      <c r="AC51" s="99">
        <f ca="1">IF(E51&gt;='Invoer gegevens (N)'!$C$17+15,0,X51-Y51)</f>
        <v>0</v>
      </c>
      <c r="AD51" s="98">
        <f ca="1">IF('Invoer gegevens (N)'!$C$17=E19,R51,IF(C19=0,0,AE50))</f>
        <v>0</v>
      </c>
      <c r="AE51" s="98">
        <f t="shared" ca="1" si="9"/>
        <v>0</v>
      </c>
      <c r="AF51" s="98">
        <f ca="1">IF('Invoer gegevens (N)'!$C$17=E19,X51,IF(C19=0,0,AG50))</f>
        <v>0</v>
      </c>
      <c r="AG51" s="98">
        <f t="shared" ca="1" si="10"/>
        <v>0</v>
      </c>
      <c r="AH51" s="66"/>
      <c r="AI51" s="71">
        <f ca="1">IF(C51=1,'Reeksen (N)'!AI19*((F51-G51+F51)/2)*12+'Reeksen (N)'!AD19*((L51-M51+L51)/2)*12,0)</f>
        <v>0</v>
      </c>
      <c r="AJ51" s="71">
        <f ca="1">-AI51*'Invoer gegevens (N)'!$F$28</f>
        <v>0</v>
      </c>
      <c r="AK51" s="71">
        <f t="shared" ca="1" si="11"/>
        <v>0</v>
      </c>
      <c r="AL51" s="71">
        <f ca="1">IF(C51=1,'Reeksen (N)'!AL19*((F51-G51+F51)/2)*12+'Reeksen (N)'!AM19*((L51-M51+L51)/2)*12,0)</f>
        <v>0</v>
      </c>
      <c r="AM51" s="71">
        <f ca="1">-AL51*'Invoer gegevens (N)'!$F$31</f>
        <v>0</v>
      </c>
      <c r="AN51" s="71">
        <f t="shared" ca="1" si="12"/>
        <v>0</v>
      </c>
      <c r="AO51" s="71">
        <f ca="1">IF(E51&gt;='Invoer gegevens (N)'!$C$17+15,0,IF(C51=1,(H51+J51+N51+P51)*'Reeksen (N)'!AN19,0))</f>
        <v>0</v>
      </c>
      <c r="AP51" s="71">
        <f ca="1">-IF(C51=1,(H51+J51+N51+P51)*'Hulp - basis'!$O$550*'Reeksen (N)'!H19,0)</f>
        <v>0</v>
      </c>
      <c r="AQ51" s="71">
        <f ca="1">-IF(C51=1,(F51+K51+L51+Q51)/2*'Invoer gegevens (N)'!$F$35*'Reeksen (N)'!J19,0)</f>
        <v>0</v>
      </c>
      <c r="AR51" s="71"/>
      <c r="AS51" s="71">
        <f ca="1">-IF(C51=1,(F51+K51+L51+Q51)/2*'Invoer gegevens (N)'!$F$37*'Reeksen (N)'!L19,0)</f>
        <v>0</v>
      </c>
      <c r="AT51" s="71">
        <f ca="1">-IF(C51=1,IF(E51='Invoer gegevens (N)'!$C$17,'Invoer gegevens (N)'!$C$11,AD51)*'Reeksen (N)'!S19*'Invoer gegevens (N)'!$C$18*'Reeksen (N)'!P19,0)</f>
        <v>0</v>
      </c>
      <c r="AU51" s="71">
        <f ca="1">-IF(C51=1,(F51+K51+L51+Q51)/2*'Invoer gegevens (N)'!$F$38*'Reeksen (N)'!H19,0)</f>
        <v>0</v>
      </c>
      <c r="AV51" s="71">
        <v>0</v>
      </c>
      <c r="AW51" s="71">
        <f t="shared" ca="1" si="13"/>
        <v>0</v>
      </c>
      <c r="AX51" s="72">
        <f ca="1">IF(E51='Invoer gegevens (N)'!$C$17+14,'RW - MW - UP (N)'!$AY$236,0)</f>
        <v>0</v>
      </c>
      <c r="AY51" s="72">
        <f ca="1">IFERROR(IF(E51='Invoer gegevens (N)'!$C$17,-'Invoer gegevens (N)'!$C$10*('Invoer gegevens (N)'!$C$30+'Invoer gegevens (N)'!$C$31)*'Reeksen (N)'!H19,0),0)</f>
        <v>0</v>
      </c>
      <c r="AZ51" s="73">
        <f ca="1">IF('Invoer gegevens (N)'!$C$34=E51,'Invoer gegevens (N)'!$C$27*'Invoer gegevens (N)'!$C$10*'Invoer gegevens (N)'!$C$36*(IF('Invoer gegevens (N)'!$C$35="ja",1,'Reeksen (N)'!J19)),IF('Invoer gegevens (N)'!$C$34+1=E51,'Invoer gegevens (N)'!$C$27*'Invoer gegevens (N)'!$C$10*'Invoer gegevens (N)'!$C$37*(IF('Invoer gegevens (N)'!$C$35="ja",1,'Reeksen (N)'!J19)),0))+IF(AND(E51='Invoer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1" s="73">
        <f ca="1">AW51/(1+'Invoer gegevens (N)'!$F$18)^($D51-('Invoer gegevens (N)'!$C$17-'Invoer gegevens (N)'!$C$16))/(1+'Invoer gegevens (N)'!$C$39)^('Invoer gegevens (N)'!$C$17-'Invoer gegevens (N)'!$C$16)</f>
        <v>0</v>
      </c>
      <c r="BB51" s="73">
        <f ca="1">AX51/(1+'Invoer gegevens (N)'!$F$18)^(E51-('Invoer gegevens (N)'!$C$17-1))/(1+'Invoer gegevens (N)'!$C$39)^('Invoer gegevens (N)'!$C$17-'Invoer gegevens (N)'!$C$16)</f>
        <v>0</v>
      </c>
      <c r="BC51" s="73">
        <f ca="1">AY51/(1+'Invoer gegevens (N)'!$C$39)^('Invoer gegevens (N)'!$C$17-'Invoer gegevens (N)'!$C$16)</f>
        <v>0</v>
      </c>
      <c r="BD51" s="72">
        <f t="shared" ca="1" si="14"/>
        <v>0</v>
      </c>
      <c r="BE51" s="72">
        <f ca="1">IF(AND(E51='Invoer gegevens (N)'!$C$16,'Invoer gegevens (N)'!$C$34&lt;'Invoer gegevens (N)'!$C$16),AZ51,AZ51/(1+'Invoer gegevens (N)'!$C$39)^D51)</f>
        <v>0</v>
      </c>
      <c r="BF51" s="72">
        <f ca="1">IF(E51='Invoer gegevens (N)'!$C$34,-'Invoer gegevens (N)'!$F$40,0)</f>
        <v>0</v>
      </c>
      <c r="BG51" s="72">
        <f ca="1">IF(E51='Invoer gegevens (N)'!$C$17,-'Invoer gegevens (N)'!$C$19*$BD$63,0)</f>
        <v>0</v>
      </c>
      <c r="BH51" s="72">
        <f ca="1">AW51/(1+$BH$36)^($D51-('Invoer gegevens (N)'!$C$17-'Invoer gegevens (N)'!$C$16))/(1+'Invoer gegevens (N)'!$C$39)^('Invoer gegevens (N)'!$C$17-'Invoer gegevens (N)'!$C$16)+AX51/(1+$BH$36)^(E51-('Invoer gegevens (N)'!$C$17-1))/(1+'Invoer gegevens (N)'!$C$39)^('Invoer gegevens (N)'!$C$17-'Invoer gegevens (N)'!$C$16)+AY51/(1+'Invoer gegevens (N)'!$C$39)^('Invoer gegevens (N)'!$C$17-'Invoer gegevens (N)'!$C$16)+(-AZ51/(1+'Invoer gegevens (N)'!$C$39)^D51)+BF51+BG51</f>
        <v>0</v>
      </c>
      <c r="BI51" s="59"/>
    </row>
    <row r="52" spans="1:61" x14ac:dyDescent="0.25">
      <c r="A52" s="59"/>
      <c r="B52" s="70">
        <f t="shared" si="15"/>
        <v>16</v>
      </c>
      <c r="C52" s="67">
        <f ca="1">IF(AND(E52&gt;='Invoer gegevens (N)'!$C$17,E52&lt;'Invoer gegevens (N)'!$C$17+15),1,0)</f>
        <v>0</v>
      </c>
      <c r="D52" s="68">
        <f t="shared" si="16"/>
        <v>15.5</v>
      </c>
      <c r="E52" s="69">
        <f ca="1">IF('Invoer gegevens (N)'!$C$16="","",E51+1)</f>
        <v>2034</v>
      </c>
      <c r="F52" s="84">
        <f ca="1">IF('Invoer gegevens (N)'!$C$17=E52,'Invoer gegevens (N)'!$C$10,IF(C52=1,K51,0))</f>
        <v>0</v>
      </c>
      <c r="G52" s="96">
        <f ca="1">IF(E52='Invoer gegevens (N)'!$C$17+15,K51,IF(C52&gt;=1,F52*VLOOKUP(E52,'Reeksen (N)'!$A$5:$B$76,2),0))</f>
        <v>0</v>
      </c>
      <c r="H52" s="84">
        <f ca="1">IF(E52='Invoer gegevens (N)'!$C$17+15,K51,(1-('Invoer gegevens (N)'!$F$20/12))*F52*MIN('Reeksen (N)'!B20,'Reeksen (N)'!D20))</f>
        <v>0</v>
      </c>
      <c r="I52" s="84">
        <f>IF('Reeksen (N)'!D20&lt;'Reeksen (N)'!B20,('Reeksen (N)'!B20-'Reeksen (N)'!D20)*F52,0)</f>
        <v>0</v>
      </c>
      <c r="J52" s="84">
        <f ca="1">IF(E52='Invoer gegevens (N)'!$C$17+16,0,('Invoer gegevens (N)'!$F$20/12)*F51*MIN('Reeksen (N)'!B19,'Reeksen (N)'!D19))</f>
        <v>0</v>
      </c>
      <c r="K52" s="97">
        <f ca="1">IF(E52&gt;='Invoer gegevens (N)'!$C$17+15,0,F52-G52)</f>
        <v>0</v>
      </c>
      <c r="L52" s="84">
        <f ca="1">IF('Invoer gegevens (N)'!$C$17=E52,0,IF(C52=1,Q51,0))</f>
        <v>0</v>
      </c>
      <c r="M52" s="96">
        <f ca="1">IF(E52='Invoer gegevens (N)'!$C$17+15,Q51,IF(C52&gt;=1,L52*VLOOKUP(E52,'Reeksen (N)'!$A$5:$B$76,2),0))</f>
        <v>0</v>
      </c>
      <c r="N52" s="84">
        <f ca="1">IF(C52='Invoer gegevens (N)'!$C$17+15,Q51,(1-('Invoer gegevens (N)'!$F$20/12))*L52*MIN('Reeksen (N)'!B20,'Reeksen (N)'!D20))</f>
        <v>0</v>
      </c>
      <c r="O52" s="84">
        <f>IF('Reeksen (N)'!D20&lt;'Reeksen (N)'!B20,('Reeksen (N)'!B20-'Reeksen (N)'!D20)*L52,0)</f>
        <v>0</v>
      </c>
      <c r="P52" s="84">
        <f ca="1">IF(E52='Invoer gegevens (N)'!$C$17+16,0,('Invoer gegevens (N)'!$F$20/12)*L51*MIN('Reeksen (N)'!B19,'Reeksen (N)'!D19))</f>
        <v>0</v>
      </c>
      <c r="Q52" s="84">
        <f ca="1">IF(E52&gt;='Invoer gegevens (N)'!$C$17+15,0,L52-M52+I52+O52)</f>
        <v>0</v>
      </c>
      <c r="R52" s="82">
        <f ca="1">IF('Invoer gegevens (N)'!$C$17=E52,'Invoer gegevens (N)'!$C$11,IF(C52=1,W51,0))</f>
        <v>0</v>
      </c>
      <c r="S52" s="86">
        <f ca="1">IF(E52='Invoer gegevens (N)'!$C$17+15,W51,IF(C52&gt;=1,R52*VLOOKUP(E52,'Reeksen (N)'!$A$5:$B$76,2),0))</f>
        <v>0</v>
      </c>
      <c r="T52" s="84">
        <f ca="1">IF(E52='Invoer gegevens (N)'!$C$17+15,W51,(1-('Invoer gegevens (N)'!$F$20/12))*R52*MIN('Reeksen (N)'!B20,'Reeksen (N)'!D20))</f>
        <v>0</v>
      </c>
      <c r="U52" s="84">
        <f>IF('Reeksen (N)'!D20&gt;='Reeksen (N)'!B20,0,IF('Reeksen (N)'!AD20&lt;='Reeksen (N)'!AE20,('Reeksen (N)'!B20-'Reeksen (N)'!D20)*R52,0))</f>
        <v>0</v>
      </c>
      <c r="V52" s="86">
        <f>IF('Reeksen (N)'!D20&gt;='Reeksen (N)'!B20,0,IF('Reeksen (N)'!AD20&gt;'Reeksen (N)'!AE20,('Reeksen (N)'!B20-'Reeksen (N)'!D20)*R52,0))</f>
        <v>0</v>
      </c>
      <c r="W52" s="97">
        <f ca="1">IF(E52&gt;='Invoer gegevens (N)'!$C$17+15,0,R52-S52)</f>
        <v>0</v>
      </c>
      <c r="X52" s="98">
        <f ca="1">IF('Invoer gegevens (N)'!$C$17=E52,'Invoer gegevens (N)'!$C$10-'Invoer gegevens (N)'!$C$11,IF(C52=1,AC51,0))</f>
        <v>0</v>
      </c>
      <c r="Y52" s="98">
        <f ca="1">IF(E52='Invoer gegevens (N)'!$C$17+15,AC51,IF(C52&gt;=1,X52*VLOOKUP(E52,'Reeksen (N)'!$A$5:$B$76,2),0))</f>
        <v>0</v>
      </c>
      <c r="Z52" s="98">
        <f ca="1">IF(E52='Invoer gegevens (N)'!$C$17+15,AC51,(1-('Invoer gegevens (N)'!$F$20/12))*X52*MIN('Reeksen (N)'!B20,'Reeksen (N)'!D20))</f>
        <v>0</v>
      </c>
      <c r="AA52" s="98">
        <f>IF('Reeksen (N)'!D20&gt;='Reeksen (N)'!B20,0,IF('Reeksen (N)'!AD20&lt;='Reeksen (N)'!AE20,('Reeksen (N)'!B20-'Reeksen (N)'!D20)*X52,0))</f>
        <v>0</v>
      </c>
      <c r="AB52" s="98">
        <f>IF('Reeksen (N)'!D20&gt;='Reeksen (N)'!B20,0,IF('Reeksen (N)'!AD20&gt;'Reeksen (N)'!AE20,('Reeksen (N)'!B20-'Reeksen (N)'!D20)*X52,0))</f>
        <v>0</v>
      </c>
      <c r="AC52" s="99">
        <f ca="1">IF(E52&gt;='Invoer gegevens (N)'!$C$17+15,0,X52-Y52)</f>
        <v>0</v>
      </c>
      <c r="AD52" s="98">
        <f ca="1">IF('Invoer gegevens (N)'!$C$17=E20,R52,IF(C20=0,0,AE51))</f>
        <v>0</v>
      </c>
      <c r="AE52" s="98">
        <f t="shared" ca="1" si="9"/>
        <v>0</v>
      </c>
      <c r="AF52" s="98">
        <f ca="1">IF('Invoer gegevens (N)'!$C$17=E20,X52,IF(C20=0,0,AG51))</f>
        <v>0</v>
      </c>
      <c r="AG52" s="98">
        <f t="shared" ca="1" si="10"/>
        <v>0</v>
      </c>
      <c r="AH52" s="66"/>
      <c r="AI52" s="71">
        <f ca="1">IF(C52=1,'Reeksen (N)'!AI20*((F52-G52+F52)/2)*12+'Reeksen (N)'!AD20*((L52-M52+L52)/2)*12,0)</f>
        <v>0</v>
      </c>
      <c r="AJ52" s="71">
        <f ca="1">-AI52*'Invoer gegevens (N)'!$F$28</f>
        <v>0</v>
      </c>
      <c r="AK52" s="71">
        <f t="shared" ca="1" si="11"/>
        <v>0</v>
      </c>
      <c r="AL52" s="71">
        <f ca="1">IF(C52=1,'Reeksen (N)'!AL20*((F52-G52+F52)/2)*12+'Reeksen (N)'!AM20*((L52-M52+L52)/2)*12,0)</f>
        <v>0</v>
      </c>
      <c r="AM52" s="71">
        <f ca="1">-AL52*'Invoer gegevens (N)'!$F$31</f>
        <v>0</v>
      </c>
      <c r="AN52" s="71">
        <f t="shared" ca="1" si="12"/>
        <v>0</v>
      </c>
      <c r="AO52" s="71">
        <f ca="1">IF(E52&gt;='Invoer gegevens (N)'!$C$17+15,0,IF(C52=1,(H52+J52+N52+P52)*'Reeksen (N)'!AN20,0))</f>
        <v>0</v>
      </c>
      <c r="AP52" s="71">
        <f ca="1">-IF(C52=1,(H52+J52+N52+P52)*'Hulp - basis'!$O$550*'Reeksen (N)'!H20,0)</f>
        <v>0</v>
      </c>
      <c r="AQ52" s="71">
        <f ca="1">-IF(C52=1,(F52+K52+L52+Q52)/2*'Invoer gegevens (N)'!$F$35*'Reeksen (N)'!J20,0)</f>
        <v>0</v>
      </c>
      <c r="AR52" s="71"/>
      <c r="AS52" s="71">
        <f ca="1">-IF(C52=1,(F52+K52+L52+Q52)/2*'Invoer gegevens (N)'!$F$37*'Reeksen (N)'!L20,0)</f>
        <v>0</v>
      </c>
      <c r="AT52" s="71">
        <f ca="1">-IF(C52=1,IF(E52='Invoer gegevens (N)'!$C$17,'Invoer gegevens (N)'!$C$11,AD52)*'Reeksen (N)'!S20*'Invoer gegevens (N)'!$C$18*'Reeksen (N)'!P20,0)</f>
        <v>0</v>
      </c>
      <c r="AU52" s="71">
        <f ca="1">-IF(C52=1,(F52+K52+L52+Q52)/2*'Invoer gegevens (N)'!$F$38*'Reeksen (N)'!H20,0)</f>
        <v>0</v>
      </c>
      <c r="AV52" s="71">
        <v>0</v>
      </c>
      <c r="AW52" s="71">
        <f t="shared" ca="1" si="13"/>
        <v>0</v>
      </c>
      <c r="AX52" s="72">
        <f ca="1">IF(E52='Invoer gegevens (N)'!$C$17+14,'RW - MW - UP (N)'!$AY$236,0)</f>
        <v>0</v>
      </c>
      <c r="AY52" s="72">
        <f ca="1">IFERROR(IF(E52='Invoer gegevens (N)'!$C$17,-'Invoer gegevens (N)'!$C$10*('Invoer gegevens (N)'!$C$30+'Invoer gegevens (N)'!$C$31)*'Reeksen (N)'!H20,0),0)</f>
        <v>0</v>
      </c>
      <c r="AZ52" s="73">
        <f ca="1">IF('Invoer gegevens (N)'!$C$34=E52,'Invoer gegevens (N)'!$C$27*'Invoer gegevens (N)'!$C$10*'Invoer gegevens (N)'!$C$36*(IF('Invoer gegevens (N)'!$C$35="ja",1,'Reeksen (N)'!J20)),IF('Invoer gegevens (N)'!$C$34+1=E52,'Invoer gegevens (N)'!$C$27*'Invoer gegevens (N)'!$C$10*'Invoer gegevens (N)'!$C$37*(IF('Invoer gegevens (N)'!$C$35="ja",1,'Reeksen (N)'!J20)),0))+IF(AND(E52='Invoer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2" s="73">
        <f ca="1">AW52/(1+'Invoer gegevens (N)'!$F$18)^($D52-('Invoer gegevens (N)'!$C$17-'Invoer gegevens (N)'!$C$16))/(1+'Invoer gegevens (N)'!$C$39)^('Invoer gegevens (N)'!$C$17-'Invoer gegevens (N)'!$C$16)</f>
        <v>0</v>
      </c>
      <c r="BB52" s="73">
        <f ca="1">AX52/(1+'Invoer gegevens (N)'!$F$18)^(E52-('Invoer gegevens (N)'!$C$17-1))/(1+'Invoer gegevens (N)'!$C$39)^('Invoer gegevens (N)'!$C$17-'Invoer gegevens (N)'!$C$16)</f>
        <v>0</v>
      </c>
      <c r="BC52" s="73">
        <f ca="1">AY52/(1+'Invoer gegevens (N)'!$C$39)^('Invoer gegevens (N)'!$C$17-'Invoer gegevens (N)'!$C$16)</f>
        <v>0</v>
      </c>
      <c r="BD52" s="72">
        <f t="shared" ca="1" si="14"/>
        <v>0</v>
      </c>
      <c r="BE52" s="72">
        <f ca="1">IF(AND(E52='Invoer gegevens (N)'!$C$16,'Invoer gegevens (N)'!$C$34&lt;'Invoer gegevens (N)'!$C$16),AZ52,AZ52/(1+'Invoer gegevens (N)'!$C$39)^D52)</f>
        <v>0</v>
      </c>
      <c r="BF52" s="72">
        <f ca="1">IF(E52='Invoer gegevens (N)'!$C$34,-'Invoer gegevens (N)'!$F$40,0)</f>
        <v>0</v>
      </c>
      <c r="BG52" s="72">
        <f ca="1">IF(E52='Invoer gegevens (N)'!$C$17,-'Invoer gegevens (N)'!$C$19*$BD$63,0)</f>
        <v>0</v>
      </c>
      <c r="BH52" s="72">
        <f ca="1">AW52/(1+$BH$36)^($D52-('Invoer gegevens (N)'!$C$17-'Invoer gegevens (N)'!$C$16))/(1+'Invoer gegevens (N)'!$C$39)^('Invoer gegevens (N)'!$C$17-'Invoer gegevens (N)'!$C$16)+AX52/(1+$BH$36)^(E52-('Invoer gegevens (N)'!$C$17-1))/(1+'Invoer gegevens (N)'!$C$39)^('Invoer gegevens (N)'!$C$17-'Invoer gegevens (N)'!$C$16)+AY52/(1+'Invoer gegevens (N)'!$C$39)^('Invoer gegevens (N)'!$C$17-'Invoer gegevens (N)'!$C$16)+(-AZ52/(1+'Invoer gegevens (N)'!$C$39)^D52)+BF52+BG52</f>
        <v>0</v>
      </c>
      <c r="BI52" s="59"/>
    </row>
    <row r="53" spans="1:61" x14ac:dyDescent="0.25">
      <c r="A53" s="59"/>
      <c r="B53" s="70">
        <f t="shared" si="15"/>
        <v>17</v>
      </c>
      <c r="C53" s="67">
        <f ca="1">IF(AND(E53&gt;='Invoer gegevens (N)'!$C$17,E53&lt;'Invoer gegevens (N)'!$C$17+15),1,0)</f>
        <v>0</v>
      </c>
      <c r="D53" s="68">
        <f t="shared" si="16"/>
        <v>16.5</v>
      </c>
      <c r="E53" s="69">
        <f ca="1">IF('Invoer gegevens (N)'!$C$16="","",E52+1)</f>
        <v>2035</v>
      </c>
      <c r="F53" s="84">
        <f ca="1">IF('Invoer gegevens (N)'!$C$17=E53,'Invoer gegevens (N)'!$C$10,IF(C53=1,K52,0))</f>
        <v>0</v>
      </c>
      <c r="G53" s="96">
        <f ca="1">IF(E53='Invoer gegevens (N)'!$C$17+15,K52,IF(C53&gt;=1,F53*VLOOKUP(E53,'Reeksen (N)'!$A$5:$B$76,2),0))</f>
        <v>0</v>
      </c>
      <c r="H53" s="84">
        <f ca="1">IF(E53='Invoer gegevens (N)'!$C$17+15,K52,(1-('Invoer gegevens (N)'!$F$20/12))*F53*MIN('Reeksen (N)'!B21,'Reeksen (N)'!D21))</f>
        <v>0</v>
      </c>
      <c r="I53" s="84">
        <f>IF('Reeksen (N)'!D21&lt;'Reeksen (N)'!B21,('Reeksen (N)'!B21-'Reeksen (N)'!D21)*F53,0)</f>
        <v>0</v>
      </c>
      <c r="J53" s="84">
        <f ca="1">IF(E53='Invoer gegevens (N)'!$C$17+16,0,('Invoer gegevens (N)'!$F$20/12)*F52*MIN('Reeksen (N)'!B20,'Reeksen (N)'!D20))</f>
        <v>0</v>
      </c>
      <c r="K53" s="97">
        <f ca="1">IF(E53&gt;='Invoer gegevens (N)'!$C$17+15,0,F53-G53)</f>
        <v>0</v>
      </c>
      <c r="L53" s="84">
        <f ca="1">IF('Invoer gegevens (N)'!$C$17=E53,0,IF(C53=1,Q52,0))</f>
        <v>0</v>
      </c>
      <c r="M53" s="96">
        <f ca="1">IF(E53='Invoer gegevens (N)'!$C$17+15,Q52,IF(C53&gt;=1,L53*VLOOKUP(E53,'Reeksen (N)'!$A$5:$B$76,2),0))</f>
        <v>0</v>
      </c>
      <c r="N53" s="84">
        <f ca="1">IF(C53='Invoer gegevens (N)'!$C$17+15,Q52,(1-('Invoer gegevens (N)'!$F$20/12))*L53*MIN('Reeksen (N)'!B21,'Reeksen (N)'!D21))</f>
        <v>0</v>
      </c>
      <c r="O53" s="84">
        <f>IF('Reeksen (N)'!D21&lt;'Reeksen (N)'!B21,('Reeksen (N)'!B21-'Reeksen (N)'!D21)*L53,0)</f>
        <v>0</v>
      </c>
      <c r="P53" s="84">
        <f ca="1">IF(E53='Invoer gegevens (N)'!$C$17+16,0,('Invoer gegevens (N)'!$F$20/12)*L52*MIN('Reeksen (N)'!B20,'Reeksen (N)'!D20))</f>
        <v>0</v>
      </c>
      <c r="Q53" s="84">
        <f ca="1">IF(E53&gt;='Invoer gegevens (N)'!$C$17+15,0,L53-M53+I53+O53)</f>
        <v>0</v>
      </c>
      <c r="R53" s="82">
        <f ca="1">IF('Invoer gegevens (N)'!$C$17=E53,'Invoer gegevens (N)'!$C$11,IF(C53=1,W52,0))</f>
        <v>0</v>
      </c>
      <c r="S53" s="86">
        <f ca="1">IF(E53='Invoer gegevens (N)'!$C$17+15,W52,IF(C53&gt;=1,R53*VLOOKUP(E53,'Reeksen (N)'!$A$5:$B$76,2),0))</f>
        <v>0</v>
      </c>
      <c r="T53" s="84">
        <f ca="1">IF(E53='Invoer gegevens (N)'!$C$17+15,W52,(1-('Invoer gegevens (N)'!$F$20/12))*R53*MIN('Reeksen (N)'!B21,'Reeksen (N)'!D21))</f>
        <v>0</v>
      </c>
      <c r="U53" s="84">
        <f>IF('Reeksen (N)'!D21&gt;='Reeksen (N)'!B21,0,IF('Reeksen (N)'!AD21&lt;='Reeksen (N)'!AE21,('Reeksen (N)'!B21-'Reeksen (N)'!D21)*R53,0))</f>
        <v>0</v>
      </c>
      <c r="V53" s="86">
        <f>IF('Reeksen (N)'!D21&gt;='Reeksen (N)'!B21,0,IF('Reeksen (N)'!AD21&gt;'Reeksen (N)'!AE21,('Reeksen (N)'!B21-'Reeksen (N)'!D21)*R53,0))</f>
        <v>0</v>
      </c>
      <c r="W53" s="97">
        <f ca="1">IF(E53&gt;='Invoer gegevens (N)'!$C$17+15,0,R53-S53)</f>
        <v>0</v>
      </c>
      <c r="X53" s="98">
        <f ca="1">IF('Invoer gegevens (N)'!$C$17=E53,'Invoer gegevens (N)'!$C$10-'Invoer gegevens (N)'!$C$11,IF(C53=1,AC52,0))</f>
        <v>0</v>
      </c>
      <c r="Y53" s="98">
        <f ca="1">IF(E53='Invoer gegevens (N)'!$C$17+15,AC52,IF(C53&gt;=1,X53*VLOOKUP(E53,'Reeksen (N)'!$A$5:$B$76,2),0))</f>
        <v>0</v>
      </c>
      <c r="Z53" s="98">
        <f ca="1">IF(E53='Invoer gegevens (N)'!$C$17+15,AC52,(1-('Invoer gegevens (N)'!$F$20/12))*X53*MIN('Reeksen (N)'!B21,'Reeksen (N)'!D21))</f>
        <v>0</v>
      </c>
      <c r="AA53" s="98">
        <f>IF('Reeksen (N)'!D21&gt;='Reeksen (N)'!B21,0,IF('Reeksen (N)'!AD21&lt;='Reeksen (N)'!AE21,('Reeksen (N)'!B21-'Reeksen (N)'!D21)*X53,0))</f>
        <v>0</v>
      </c>
      <c r="AB53" s="98">
        <f>IF('Reeksen (N)'!D21&gt;='Reeksen (N)'!B21,0,IF('Reeksen (N)'!AD21&gt;'Reeksen (N)'!AE21,('Reeksen (N)'!B21-'Reeksen (N)'!D21)*X53,0))</f>
        <v>0</v>
      </c>
      <c r="AC53" s="99">
        <f ca="1">IF(E53&gt;='Invoer gegevens (N)'!$C$17+15,0,X53-Y53)</f>
        <v>0</v>
      </c>
      <c r="AD53" s="98">
        <f ca="1">IF('Invoer gegevens (N)'!$C$17=E21,R53,IF(C21=0,0,AE52))</f>
        <v>0</v>
      </c>
      <c r="AE53" s="98">
        <f t="shared" ca="1" si="9"/>
        <v>0</v>
      </c>
      <c r="AF53" s="98">
        <f ca="1">IF('Invoer gegevens (N)'!$C$17=E21,X53,IF(C21=0,0,AG52))</f>
        <v>0</v>
      </c>
      <c r="AG53" s="98">
        <f t="shared" ca="1" si="10"/>
        <v>0</v>
      </c>
      <c r="AH53" s="66"/>
      <c r="AI53" s="71">
        <f ca="1">IF(C53=1,'Reeksen (N)'!AI21*((F53-G53+F53)/2)*12+'Reeksen (N)'!AD21*((L53-M53+L53)/2)*12,0)</f>
        <v>0</v>
      </c>
      <c r="AJ53" s="71">
        <f ca="1">-AI53*'Invoer gegevens (N)'!$F$28</f>
        <v>0</v>
      </c>
      <c r="AK53" s="71">
        <f t="shared" ca="1" si="11"/>
        <v>0</v>
      </c>
      <c r="AL53" s="71">
        <f ca="1">IF(C53=1,'Reeksen (N)'!AL21*((F53-G53+F53)/2)*12+'Reeksen (N)'!AM21*((L53-M53+L53)/2)*12,0)</f>
        <v>0</v>
      </c>
      <c r="AM53" s="71">
        <f ca="1">-AL53*'Invoer gegevens (N)'!$F$31</f>
        <v>0</v>
      </c>
      <c r="AN53" s="71">
        <f t="shared" ca="1" si="12"/>
        <v>0</v>
      </c>
      <c r="AO53" s="71">
        <f ca="1">IF(E53&gt;='Invoer gegevens (N)'!$C$17+15,0,IF(C53=1,(H53+J53+N53+P53)*'Reeksen (N)'!AN21,0))</f>
        <v>0</v>
      </c>
      <c r="AP53" s="71">
        <f ca="1">-IF(C53=1,(H53+J53+N53+P53)*'Hulp - basis'!$O$550*'Reeksen (N)'!H21,0)</f>
        <v>0</v>
      </c>
      <c r="AQ53" s="71">
        <f ca="1">-IF(C53=1,(F53+K53+L53+Q53)/2*'Invoer gegevens (N)'!$F$35*'Reeksen (N)'!J21,0)</f>
        <v>0</v>
      </c>
      <c r="AR53" s="71"/>
      <c r="AS53" s="71">
        <f ca="1">-IF(C53=1,(F53+K53+L53+Q53)/2*'Invoer gegevens (N)'!$F$37*'Reeksen (N)'!L21,0)</f>
        <v>0</v>
      </c>
      <c r="AT53" s="71">
        <f ca="1">-IF(C53=1,IF(E53='Invoer gegevens (N)'!$C$17,'Invoer gegevens (N)'!$C$11,AD53)*'Reeksen (N)'!S21*'Invoer gegevens (N)'!$C$18*'Reeksen (N)'!P21,0)</f>
        <v>0</v>
      </c>
      <c r="AU53" s="71">
        <f ca="1">-IF(C53=1,(F53+K53+L53+Q53)/2*'Invoer gegevens (N)'!$F$38*'Reeksen (N)'!H21,0)</f>
        <v>0</v>
      </c>
      <c r="AV53" s="71">
        <v>0</v>
      </c>
      <c r="AW53" s="71">
        <f t="shared" ca="1" si="13"/>
        <v>0</v>
      </c>
      <c r="AX53" s="72">
        <f ca="1">IF(E53='Invoer gegevens (N)'!$C$17+14,'RW - MW - UP (N)'!$AY$236,0)</f>
        <v>0</v>
      </c>
      <c r="AY53" s="72">
        <f ca="1">IFERROR(IF(E53='Invoer gegevens (N)'!$C$17,-'Invoer gegevens (N)'!$C$10*('Invoer gegevens (N)'!$C$30+'Invoer gegevens (N)'!$C$31)*'Reeksen (N)'!H21,0),0)</f>
        <v>0</v>
      </c>
      <c r="AZ53" s="73">
        <f ca="1">IF('Invoer gegevens (N)'!$C$34=E53,'Invoer gegevens (N)'!$C$27*'Invoer gegevens (N)'!$C$10*'Invoer gegevens (N)'!$C$36*(IF('Invoer gegevens (N)'!$C$35="ja",1,'Reeksen (N)'!J21)),IF('Invoer gegevens (N)'!$C$34+1=E53,'Invoer gegevens (N)'!$C$27*'Invoer gegevens (N)'!$C$10*'Invoer gegevens (N)'!$C$37*(IF('Invoer gegevens (N)'!$C$35="ja",1,'Reeksen (N)'!J21)),0))+IF(AND(E53='Invoer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3" s="73">
        <f ca="1">AW53/(1+'Invoer gegevens (N)'!$F$18)^($D53-('Invoer gegevens (N)'!$C$17-'Invoer gegevens (N)'!$C$16))/(1+'Invoer gegevens (N)'!$C$39)^('Invoer gegevens (N)'!$C$17-'Invoer gegevens (N)'!$C$16)</f>
        <v>0</v>
      </c>
      <c r="BB53" s="73">
        <f ca="1">AX53/(1+'Invoer gegevens (N)'!$F$18)^(E53-('Invoer gegevens (N)'!$C$17-1))/(1+'Invoer gegevens (N)'!$C$39)^('Invoer gegevens (N)'!$C$17-'Invoer gegevens (N)'!$C$16)</f>
        <v>0</v>
      </c>
      <c r="BC53" s="73">
        <f ca="1">AY53/(1+'Invoer gegevens (N)'!$C$39)^('Invoer gegevens (N)'!$C$17-'Invoer gegevens (N)'!$C$16)</f>
        <v>0</v>
      </c>
      <c r="BD53" s="72">
        <f t="shared" ca="1" si="14"/>
        <v>0</v>
      </c>
      <c r="BE53" s="72">
        <f ca="1">IF(AND(E53='Invoer gegevens (N)'!$C$16,'Invoer gegevens (N)'!$C$34&lt;'Invoer gegevens (N)'!$C$16),AZ53,AZ53/(1+'Invoer gegevens (N)'!$C$39)^D53)</f>
        <v>0</v>
      </c>
      <c r="BF53" s="72">
        <f ca="1">IF(E53='Invoer gegevens (N)'!$C$34,-'Invoer gegevens (N)'!$F$40,0)</f>
        <v>0</v>
      </c>
      <c r="BG53" s="72">
        <f ca="1">IF(E53='Invoer gegevens (N)'!$C$17,-'Invoer gegevens (N)'!$C$19*$BD$63,0)</f>
        <v>0</v>
      </c>
      <c r="BH53" s="72">
        <f ca="1">AW53/(1+$BH$36)^($D53-('Invoer gegevens (N)'!$C$17-'Invoer gegevens (N)'!$C$16))/(1+'Invoer gegevens (N)'!$C$39)^('Invoer gegevens (N)'!$C$17-'Invoer gegevens (N)'!$C$16)+AX53/(1+$BH$36)^(E53-('Invoer gegevens (N)'!$C$17-1))/(1+'Invoer gegevens (N)'!$C$39)^('Invoer gegevens (N)'!$C$17-'Invoer gegevens (N)'!$C$16)+AY53/(1+'Invoer gegevens (N)'!$C$39)^('Invoer gegevens (N)'!$C$17-'Invoer gegevens (N)'!$C$16)+(-AZ53/(1+'Invoer gegevens (N)'!$C$39)^D53)+BF53+BG53</f>
        <v>0</v>
      </c>
      <c r="BI53" s="59"/>
    </row>
    <row r="54" spans="1:61" x14ac:dyDescent="0.25">
      <c r="A54" s="59"/>
      <c r="B54" s="70">
        <f t="shared" si="15"/>
        <v>18</v>
      </c>
      <c r="C54" s="67">
        <f ca="1">IF(AND(E54&gt;='Invoer gegevens (N)'!$C$17,E54&lt;'Invoer gegevens (N)'!$C$17+15),1,0)</f>
        <v>0</v>
      </c>
      <c r="D54" s="68">
        <f t="shared" si="16"/>
        <v>17.5</v>
      </c>
      <c r="E54" s="69">
        <f ca="1">IF('Invoer gegevens (N)'!$C$16="","",E53+1)</f>
        <v>2036</v>
      </c>
      <c r="F54" s="84">
        <f ca="1">IF('Invoer gegevens (N)'!$C$17=E54,'Invoer gegevens (N)'!$C$10,IF(C54=1,K53,0))</f>
        <v>0</v>
      </c>
      <c r="G54" s="96">
        <f ca="1">IF(E54='Invoer gegevens (N)'!$C$17+15,K53,IF(C54&gt;=1,F54*VLOOKUP(E54,'Reeksen (N)'!$A$5:$B$76,2),0))</f>
        <v>0</v>
      </c>
      <c r="H54" s="84">
        <f ca="1">IF(E54='Invoer gegevens (N)'!$C$17+15,K53,(1-('Invoer gegevens (N)'!$F$20/12))*F54*MIN('Reeksen (N)'!B22,'Reeksen (N)'!D22))</f>
        <v>0</v>
      </c>
      <c r="I54" s="84">
        <f>IF('Reeksen (N)'!D22&lt;'Reeksen (N)'!B22,('Reeksen (N)'!B22-'Reeksen (N)'!D22)*F54,0)</f>
        <v>0</v>
      </c>
      <c r="J54" s="84">
        <f ca="1">IF(E54='Invoer gegevens (N)'!$C$17+16,0,('Invoer gegevens (N)'!$F$20/12)*F53*MIN('Reeksen (N)'!B21,'Reeksen (N)'!D21))</f>
        <v>0</v>
      </c>
      <c r="K54" s="97">
        <f ca="1">IF(E54&gt;='Invoer gegevens (N)'!$C$17+15,0,F54-G54)</f>
        <v>0</v>
      </c>
      <c r="L54" s="84">
        <f ca="1">IF('Invoer gegevens (N)'!$C$17=E54,0,IF(C54=1,Q53,0))</f>
        <v>0</v>
      </c>
      <c r="M54" s="96">
        <f ca="1">IF(E54='Invoer gegevens (N)'!$C$17+15,Q53,IF(C54&gt;=1,L54*VLOOKUP(E54,'Reeksen (N)'!$A$5:$B$76,2),0))</f>
        <v>0</v>
      </c>
      <c r="N54" s="84">
        <f ca="1">IF(C54='Invoer gegevens (N)'!$C$17+15,Q53,(1-('Invoer gegevens (N)'!$F$20/12))*L54*MIN('Reeksen (N)'!B22,'Reeksen (N)'!D22))</f>
        <v>0</v>
      </c>
      <c r="O54" s="84">
        <f>IF('Reeksen (N)'!D22&lt;'Reeksen (N)'!B22,('Reeksen (N)'!B22-'Reeksen (N)'!D22)*L54,0)</f>
        <v>0</v>
      </c>
      <c r="P54" s="84">
        <f ca="1">IF(E54='Invoer gegevens (N)'!$C$17+16,0,('Invoer gegevens (N)'!$F$20/12)*L53*MIN('Reeksen (N)'!B21,'Reeksen (N)'!D21))</f>
        <v>0</v>
      </c>
      <c r="Q54" s="84">
        <f ca="1">IF(E54&gt;='Invoer gegevens (N)'!$C$17+15,0,L54-M54+I54+O54)</f>
        <v>0</v>
      </c>
      <c r="R54" s="82">
        <f ca="1">IF('Invoer gegevens (N)'!$C$17=E54,'Invoer gegevens (N)'!$C$11,IF(C54=1,W53,0))</f>
        <v>0</v>
      </c>
      <c r="S54" s="86">
        <f ca="1">IF(E54='Invoer gegevens (N)'!$C$17+15,W53,IF(C54&gt;=1,R54*VLOOKUP(E54,'Reeksen (N)'!$A$5:$B$76,2),0))</f>
        <v>0</v>
      </c>
      <c r="T54" s="84">
        <f ca="1">IF(E54='Invoer gegevens (N)'!$C$17+15,W53,(1-('Invoer gegevens (N)'!$F$20/12))*R54*MIN('Reeksen (N)'!B22,'Reeksen (N)'!D22))</f>
        <v>0</v>
      </c>
      <c r="U54" s="84">
        <f>IF('Reeksen (N)'!D22&gt;='Reeksen (N)'!B22,0,IF('Reeksen (N)'!AD22&lt;='Reeksen (N)'!AE22,('Reeksen (N)'!B22-'Reeksen (N)'!D22)*R54,0))</f>
        <v>0</v>
      </c>
      <c r="V54" s="86">
        <f>IF('Reeksen (N)'!D22&gt;='Reeksen (N)'!B22,0,IF('Reeksen (N)'!AD22&gt;'Reeksen (N)'!AE22,('Reeksen (N)'!B22-'Reeksen (N)'!D22)*R54,0))</f>
        <v>0</v>
      </c>
      <c r="W54" s="97">
        <f ca="1">IF(E54&gt;='Invoer gegevens (N)'!$C$17+15,0,R54-S54)</f>
        <v>0</v>
      </c>
      <c r="X54" s="98">
        <f ca="1">IF('Invoer gegevens (N)'!$C$17=E54,'Invoer gegevens (N)'!$C$10-'Invoer gegevens (N)'!$C$11,IF(C54=1,AC53,0))</f>
        <v>0</v>
      </c>
      <c r="Y54" s="98">
        <f ca="1">IF(E54='Invoer gegevens (N)'!$C$17+15,AC53,IF(C54&gt;=1,X54*VLOOKUP(E54,'Reeksen (N)'!$A$5:$B$76,2),0))</f>
        <v>0</v>
      </c>
      <c r="Z54" s="98">
        <f ca="1">IF(E54='Invoer gegevens (N)'!$C$17+15,AC53,(1-('Invoer gegevens (N)'!$F$20/12))*X54*MIN('Reeksen (N)'!B22,'Reeksen (N)'!D22))</f>
        <v>0</v>
      </c>
      <c r="AA54" s="98">
        <f>IF('Reeksen (N)'!D22&gt;='Reeksen (N)'!B22,0,IF('Reeksen (N)'!AD22&lt;='Reeksen (N)'!AE22,('Reeksen (N)'!B22-'Reeksen (N)'!D22)*X54,0))</f>
        <v>0</v>
      </c>
      <c r="AB54" s="98">
        <f>IF('Reeksen (N)'!D22&gt;='Reeksen (N)'!B22,0,IF('Reeksen (N)'!AD22&gt;'Reeksen (N)'!AE22,('Reeksen (N)'!B22-'Reeksen (N)'!D22)*X54,0))</f>
        <v>0</v>
      </c>
      <c r="AC54" s="99">
        <f ca="1">IF(E54&gt;='Invoer gegevens (N)'!$C$17+15,0,X54-Y54)</f>
        <v>0</v>
      </c>
      <c r="AD54" s="98">
        <f ca="1">IF('Invoer gegevens (N)'!$C$17=E22,R54,IF(C22=0,0,AE53))</f>
        <v>0</v>
      </c>
      <c r="AE54" s="98">
        <f t="shared" ca="1" si="9"/>
        <v>0</v>
      </c>
      <c r="AF54" s="98">
        <f ca="1">IF('Invoer gegevens (N)'!$C$17=E22,X54,IF(C22=0,0,AG53))</f>
        <v>0</v>
      </c>
      <c r="AG54" s="98">
        <f t="shared" ca="1" si="10"/>
        <v>0</v>
      </c>
      <c r="AH54" s="66"/>
      <c r="AI54" s="71">
        <f ca="1">IF(C54=1,'Reeksen (N)'!AI22*((F54-G54+F54)/2)*12+'Reeksen (N)'!AD22*((L54-M54+L54)/2)*12,0)</f>
        <v>0</v>
      </c>
      <c r="AJ54" s="71">
        <f ca="1">-AI54*'Invoer gegevens (N)'!$F$28</f>
        <v>0</v>
      </c>
      <c r="AK54" s="71">
        <f t="shared" ca="1" si="11"/>
        <v>0</v>
      </c>
      <c r="AL54" s="71">
        <f ca="1">IF(C54=1,'Reeksen (N)'!AL22*((F54-G54+F54)/2)*12+'Reeksen (N)'!AM22*((L54-M54+L54)/2)*12,0)</f>
        <v>0</v>
      </c>
      <c r="AM54" s="71">
        <f ca="1">-AL54*'Invoer gegevens (N)'!$F$31</f>
        <v>0</v>
      </c>
      <c r="AN54" s="71">
        <f t="shared" ca="1" si="12"/>
        <v>0</v>
      </c>
      <c r="AO54" s="71">
        <f ca="1">IF(E54&gt;='Invoer gegevens (N)'!$C$17+15,0,IF(C54=1,(H54+J54+N54+P54)*'Reeksen (N)'!AN22,0))</f>
        <v>0</v>
      </c>
      <c r="AP54" s="71">
        <f ca="1">-IF(C54=1,(H54+J54+N54+P54)*'Hulp - basis'!$O$550*'Reeksen (N)'!H22,0)</f>
        <v>0</v>
      </c>
      <c r="AQ54" s="71">
        <f ca="1">-IF(C54=1,(F54+K54+L54+Q54)/2*'Invoer gegevens (N)'!$F$35*'Reeksen (N)'!J22,0)</f>
        <v>0</v>
      </c>
      <c r="AR54" s="71"/>
      <c r="AS54" s="71">
        <f ca="1">-IF(C54=1,(F54+K54+L54+Q54)/2*'Invoer gegevens (N)'!$F$37*'Reeksen (N)'!L22,0)</f>
        <v>0</v>
      </c>
      <c r="AT54" s="71">
        <f ca="1">-IF(C54=1,IF(E54='Invoer gegevens (N)'!$C$17,'Invoer gegevens (N)'!$C$11,AD54)*'Reeksen (N)'!S22*'Invoer gegevens (N)'!$C$18*'Reeksen (N)'!P22,0)</f>
        <v>0</v>
      </c>
      <c r="AU54" s="71">
        <f ca="1">-IF(C54=1,(F54+K54+L54+Q54)/2*'Invoer gegevens (N)'!$F$38*'Reeksen (N)'!H22,0)</f>
        <v>0</v>
      </c>
      <c r="AV54" s="71">
        <v>0</v>
      </c>
      <c r="AW54" s="71">
        <f t="shared" ca="1" si="13"/>
        <v>0</v>
      </c>
      <c r="AX54" s="72">
        <f ca="1">IF(E54='Invoer gegevens (N)'!$C$17+14,'RW - MW - UP (N)'!$AY$236,0)</f>
        <v>0</v>
      </c>
      <c r="AY54" s="72">
        <f ca="1">IFERROR(IF(E54='Invoer gegevens (N)'!$C$17,-'Invoer gegevens (N)'!$C$10*('Invoer gegevens (N)'!$C$30+'Invoer gegevens (N)'!$C$31)*'Reeksen (N)'!H22,0),0)</f>
        <v>0</v>
      </c>
      <c r="AZ54" s="73">
        <f ca="1">IF('Invoer gegevens (N)'!$C$34=E54,'Invoer gegevens (N)'!$C$27*'Invoer gegevens (N)'!$C$10*'Invoer gegevens (N)'!$C$36*(IF('Invoer gegevens (N)'!$C$35="ja",1,'Reeksen (N)'!J22)),IF('Invoer gegevens (N)'!$C$34+1=E54,'Invoer gegevens (N)'!$C$27*'Invoer gegevens (N)'!$C$10*'Invoer gegevens (N)'!$C$37*(IF('Invoer gegevens (N)'!$C$35="ja",1,'Reeksen (N)'!J22)),0))+IF(AND(E54='Invoer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4" s="73">
        <f ca="1">AW54/(1+'Invoer gegevens (N)'!$F$18)^($D54-('Invoer gegevens (N)'!$C$17-'Invoer gegevens (N)'!$C$16))/(1+'Invoer gegevens (N)'!$C$39)^('Invoer gegevens (N)'!$C$17-'Invoer gegevens (N)'!$C$16)</f>
        <v>0</v>
      </c>
      <c r="BB54" s="73">
        <f ca="1">AX54/(1+'Invoer gegevens (N)'!$F$18)^(E54-('Invoer gegevens (N)'!$C$17-1))/(1+'Invoer gegevens (N)'!$C$39)^('Invoer gegevens (N)'!$C$17-'Invoer gegevens (N)'!$C$16)</f>
        <v>0</v>
      </c>
      <c r="BC54" s="73">
        <f ca="1">AY54/(1+'Invoer gegevens (N)'!$C$39)^('Invoer gegevens (N)'!$C$17-'Invoer gegevens (N)'!$C$16)</f>
        <v>0</v>
      </c>
      <c r="BD54" s="72">
        <f t="shared" ca="1" si="14"/>
        <v>0</v>
      </c>
      <c r="BE54" s="72">
        <f ca="1">IF(AND(E54='Invoer gegevens (N)'!$C$16,'Invoer gegevens (N)'!$C$34&lt;'Invoer gegevens (N)'!$C$16),AZ54,AZ54/(1+'Invoer gegevens (N)'!$C$39)^D54)</f>
        <v>0</v>
      </c>
      <c r="BF54" s="72">
        <f ca="1">IF(E54='Invoer gegevens (N)'!$C$34,-'Invoer gegevens (N)'!$F$40,0)</f>
        <v>0</v>
      </c>
      <c r="BG54" s="72">
        <f ca="1">IF(E54='Invoer gegevens (N)'!$C$17,-'Invoer gegevens (N)'!$C$19*$BD$63,0)</f>
        <v>0</v>
      </c>
      <c r="BH54" s="72">
        <f ca="1">AW54/(1+$BH$36)^($D54-('Invoer gegevens (N)'!$C$17-'Invoer gegevens (N)'!$C$16))/(1+'Invoer gegevens (N)'!$C$39)^('Invoer gegevens (N)'!$C$17-'Invoer gegevens (N)'!$C$16)+AX54/(1+$BH$36)^(E54-('Invoer gegevens (N)'!$C$17-1))/(1+'Invoer gegevens (N)'!$C$39)^('Invoer gegevens (N)'!$C$17-'Invoer gegevens (N)'!$C$16)+AY54/(1+'Invoer gegevens (N)'!$C$39)^('Invoer gegevens (N)'!$C$17-'Invoer gegevens (N)'!$C$16)+(-AZ54/(1+'Invoer gegevens (N)'!$C$39)^D54)+BF54+BG54</f>
        <v>0</v>
      </c>
      <c r="BI54" s="59"/>
    </row>
    <row r="55" spans="1:61" x14ac:dyDescent="0.25">
      <c r="A55" s="59"/>
      <c r="B55" s="70">
        <f t="shared" si="15"/>
        <v>19</v>
      </c>
      <c r="C55" s="67">
        <f ca="1">IF(AND(E55&gt;='Invoer gegevens (N)'!$C$17,E55&lt;'Invoer gegevens (N)'!$C$17+15),1,0)</f>
        <v>0</v>
      </c>
      <c r="D55" s="68">
        <f t="shared" si="16"/>
        <v>18.5</v>
      </c>
      <c r="E55" s="69">
        <f ca="1">IF('Invoer gegevens (N)'!$C$16="","",E54+1)</f>
        <v>2037</v>
      </c>
      <c r="F55" s="84">
        <f ca="1">IF('Invoer gegevens (N)'!$C$17=E55,'Invoer gegevens (N)'!$C$10,IF(C55=1,K54,0))</f>
        <v>0</v>
      </c>
      <c r="G55" s="96">
        <f ca="1">IF(E55='Invoer gegevens (N)'!$C$17+15,K54,IF(C55&gt;=1,F55*VLOOKUP(E55,'Reeksen (N)'!$A$5:$B$76,2),0))</f>
        <v>0</v>
      </c>
      <c r="H55" s="84">
        <f ca="1">IF(E55='Invoer gegevens (N)'!$C$17+15,K54,(1-('Invoer gegevens (N)'!$F$20/12))*F55*MIN('Reeksen (N)'!B23,'Reeksen (N)'!D23))</f>
        <v>0</v>
      </c>
      <c r="I55" s="84">
        <f>IF('Reeksen (N)'!D23&lt;'Reeksen (N)'!B23,('Reeksen (N)'!B23-'Reeksen (N)'!D23)*F55,0)</f>
        <v>0</v>
      </c>
      <c r="J55" s="84">
        <f ca="1">IF(E55='Invoer gegevens (N)'!$C$17+16,0,('Invoer gegevens (N)'!$F$20/12)*F54*MIN('Reeksen (N)'!B22,'Reeksen (N)'!D22))</f>
        <v>0</v>
      </c>
      <c r="K55" s="97">
        <f ca="1">IF(E55&gt;='Invoer gegevens (N)'!$C$17+15,0,F55-G55)</f>
        <v>0</v>
      </c>
      <c r="L55" s="84">
        <f ca="1">IF('Invoer gegevens (N)'!$C$17=E55,0,IF(C55=1,Q54,0))</f>
        <v>0</v>
      </c>
      <c r="M55" s="96">
        <f ca="1">IF(E55='Invoer gegevens (N)'!$C$17+15,Q54,IF(C55&gt;=1,L55*VLOOKUP(E55,'Reeksen (N)'!$A$5:$B$76,2),0))</f>
        <v>0</v>
      </c>
      <c r="N55" s="84">
        <f ca="1">IF(C55='Invoer gegevens (N)'!$C$17+15,Q54,(1-('Invoer gegevens (N)'!$F$20/12))*L55*MIN('Reeksen (N)'!B23,'Reeksen (N)'!D23))</f>
        <v>0</v>
      </c>
      <c r="O55" s="84">
        <f>IF('Reeksen (N)'!D23&lt;'Reeksen (N)'!B23,('Reeksen (N)'!B23-'Reeksen (N)'!D23)*L55,0)</f>
        <v>0</v>
      </c>
      <c r="P55" s="84">
        <f ca="1">IF(E55='Invoer gegevens (N)'!$C$17+16,0,('Invoer gegevens (N)'!$F$20/12)*L54*MIN('Reeksen (N)'!B22,'Reeksen (N)'!D22))</f>
        <v>0</v>
      </c>
      <c r="Q55" s="84">
        <f ca="1">IF(E55&gt;='Invoer gegevens (N)'!$C$17+15,0,L55-M55+I55+O55)</f>
        <v>0</v>
      </c>
      <c r="R55" s="82">
        <f ca="1">IF('Invoer gegevens (N)'!$C$17=E55,'Invoer gegevens (N)'!$C$11,IF(C55=1,W54,0))</f>
        <v>0</v>
      </c>
      <c r="S55" s="86">
        <f ca="1">IF(E55='Invoer gegevens (N)'!$C$17+15,W54,IF(C55&gt;=1,R55*VLOOKUP(E55,'Reeksen (N)'!$A$5:$B$76,2),0))</f>
        <v>0</v>
      </c>
      <c r="T55" s="84">
        <f ca="1">IF(E55='Invoer gegevens (N)'!$C$17+15,W54,(1-('Invoer gegevens (N)'!$F$20/12))*R55*MIN('Reeksen (N)'!B23,'Reeksen (N)'!D23))</f>
        <v>0</v>
      </c>
      <c r="U55" s="84">
        <f>IF('Reeksen (N)'!D23&gt;='Reeksen (N)'!B23,0,IF('Reeksen (N)'!AD23&lt;='Reeksen (N)'!AE23,('Reeksen (N)'!B23-'Reeksen (N)'!D23)*R55,0))</f>
        <v>0</v>
      </c>
      <c r="V55" s="86">
        <f>IF('Reeksen (N)'!D23&gt;='Reeksen (N)'!B23,0,IF('Reeksen (N)'!AD23&gt;'Reeksen (N)'!AE23,('Reeksen (N)'!B23-'Reeksen (N)'!D23)*R55,0))</f>
        <v>0</v>
      </c>
      <c r="W55" s="97">
        <f ca="1">IF(E55&gt;='Invoer gegevens (N)'!$C$17+15,0,R55-S55)</f>
        <v>0</v>
      </c>
      <c r="X55" s="98">
        <f ca="1">IF('Invoer gegevens (N)'!$C$17=E55,'Invoer gegevens (N)'!$C$10-'Invoer gegevens (N)'!$C$11,IF(C55=1,AC54,0))</f>
        <v>0</v>
      </c>
      <c r="Y55" s="98">
        <f ca="1">IF(E55='Invoer gegevens (N)'!$C$17+15,AC54,IF(C55&gt;=1,X55*VLOOKUP(E55,'Reeksen (N)'!$A$5:$B$76,2),0))</f>
        <v>0</v>
      </c>
      <c r="Z55" s="98">
        <f ca="1">IF(E55='Invoer gegevens (N)'!$C$17+15,AC54,(1-('Invoer gegevens (N)'!$F$20/12))*X55*MIN('Reeksen (N)'!B23,'Reeksen (N)'!D23))</f>
        <v>0</v>
      </c>
      <c r="AA55" s="98">
        <f>IF('Reeksen (N)'!D23&gt;='Reeksen (N)'!B23,0,IF('Reeksen (N)'!AD23&lt;='Reeksen (N)'!AE23,('Reeksen (N)'!B23-'Reeksen (N)'!D23)*X55,0))</f>
        <v>0</v>
      </c>
      <c r="AB55" s="98">
        <f>IF('Reeksen (N)'!D23&gt;='Reeksen (N)'!B23,0,IF('Reeksen (N)'!AD23&gt;'Reeksen (N)'!AE23,('Reeksen (N)'!B23-'Reeksen (N)'!D23)*X55,0))</f>
        <v>0</v>
      </c>
      <c r="AC55" s="99">
        <f ca="1">IF(E55&gt;='Invoer gegevens (N)'!$C$17+15,0,X55-Y55)</f>
        <v>0</v>
      </c>
      <c r="AD55" s="98">
        <f ca="1">IF('Invoer gegevens (N)'!$C$17=E23,R55,IF(C23=0,0,AE54))</f>
        <v>0</v>
      </c>
      <c r="AE55" s="98">
        <f t="shared" ca="1" si="9"/>
        <v>0</v>
      </c>
      <c r="AF55" s="98">
        <f ca="1">IF('Invoer gegevens (N)'!$C$17=E23,X55,IF(C23=0,0,AG54))</f>
        <v>0</v>
      </c>
      <c r="AG55" s="98">
        <f t="shared" ca="1" si="10"/>
        <v>0</v>
      </c>
      <c r="AH55" s="66"/>
      <c r="AI55" s="71">
        <f ca="1">IF(C55=1,'Reeksen (N)'!AI23*((F55-G55+F55)/2)*12+'Reeksen (N)'!AD23*((L55-M55+L55)/2)*12,0)</f>
        <v>0</v>
      </c>
      <c r="AJ55" s="71">
        <f ca="1">-AI55*'Invoer gegevens (N)'!$F$28</f>
        <v>0</v>
      </c>
      <c r="AK55" s="71">
        <f t="shared" ca="1" si="11"/>
        <v>0</v>
      </c>
      <c r="AL55" s="71">
        <f ca="1">IF(C55=1,'Reeksen (N)'!AL23*((F55-G55+F55)/2)*12+'Reeksen (N)'!AM23*((L55-M55+L55)/2)*12,0)</f>
        <v>0</v>
      </c>
      <c r="AM55" s="71">
        <f ca="1">-AL55*'Invoer gegevens (N)'!$F$31</f>
        <v>0</v>
      </c>
      <c r="AN55" s="71">
        <f t="shared" ca="1" si="12"/>
        <v>0</v>
      </c>
      <c r="AO55" s="71">
        <f ca="1">IF(E55&gt;='Invoer gegevens (N)'!$C$17+15,0,IF(C55=1,(H55+J55+N55+P55)*'Reeksen (N)'!AN23,0))</f>
        <v>0</v>
      </c>
      <c r="AP55" s="71">
        <f ca="1">-IF(C55=1,(H55+J55+N55+P55)*'Hulp - basis'!$O$550*'Reeksen (N)'!H23,0)</f>
        <v>0</v>
      </c>
      <c r="AQ55" s="71">
        <f ca="1">-IF(C55=1,(F55+K55+L55+Q55)/2*'Invoer gegevens (N)'!$F$35*'Reeksen (N)'!J23,0)</f>
        <v>0</v>
      </c>
      <c r="AR55" s="71"/>
      <c r="AS55" s="71">
        <f ca="1">-IF(C55=1,(F55+K55+L55+Q55)/2*'Invoer gegevens (N)'!$F$37*'Reeksen (N)'!L23,0)</f>
        <v>0</v>
      </c>
      <c r="AT55" s="71">
        <f ca="1">-IF(C55=1,IF(E55='Invoer gegevens (N)'!$C$17,'Invoer gegevens (N)'!$C$11,AD55)*'Reeksen (N)'!S23*'Invoer gegevens (N)'!$C$18*'Reeksen (N)'!P23,0)</f>
        <v>0</v>
      </c>
      <c r="AU55" s="71">
        <f ca="1">-IF(C55=1,(F55+K55+L55+Q55)/2*'Invoer gegevens (N)'!$F$38*'Reeksen (N)'!H23,0)</f>
        <v>0</v>
      </c>
      <c r="AV55" s="71">
        <v>0</v>
      </c>
      <c r="AW55" s="71">
        <f t="shared" ca="1" si="13"/>
        <v>0</v>
      </c>
      <c r="AX55" s="72">
        <f ca="1">IF(E55='Invoer gegevens (N)'!$C$17+14,'RW - MW - UP (N)'!$AY$236,0)</f>
        <v>0</v>
      </c>
      <c r="AY55" s="72">
        <f ca="1">IFERROR(IF(E55='Invoer gegevens (N)'!$C$17,-'Invoer gegevens (N)'!$C$10*('Invoer gegevens (N)'!$C$30+'Invoer gegevens (N)'!$C$31)*'Reeksen (N)'!H23,0),0)</f>
        <v>0</v>
      </c>
      <c r="AZ55" s="73">
        <f ca="1">IF('Invoer gegevens (N)'!$C$34=E55,'Invoer gegevens (N)'!$C$27*'Invoer gegevens (N)'!$C$10*'Invoer gegevens (N)'!$C$36*(IF('Invoer gegevens (N)'!$C$35="ja",1,'Reeksen (N)'!J23)),IF('Invoer gegevens (N)'!$C$34+1=E55,'Invoer gegevens (N)'!$C$27*'Invoer gegevens (N)'!$C$10*'Invoer gegevens (N)'!$C$37*(IF('Invoer gegevens (N)'!$C$35="ja",1,'Reeksen (N)'!J23)),0))+IF(AND(E55='Invoer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5" s="73">
        <f ca="1">AW55/(1+'Invoer gegevens (N)'!$F$18)^($D55-('Invoer gegevens (N)'!$C$17-'Invoer gegevens (N)'!$C$16))/(1+'Invoer gegevens (N)'!$C$39)^('Invoer gegevens (N)'!$C$17-'Invoer gegevens (N)'!$C$16)</f>
        <v>0</v>
      </c>
      <c r="BB55" s="73">
        <f ca="1">AX55/(1+'Invoer gegevens (N)'!$F$18)^(E55-('Invoer gegevens (N)'!$C$17-1))/(1+'Invoer gegevens (N)'!$C$39)^('Invoer gegevens (N)'!$C$17-'Invoer gegevens (N)'!$C$16)</f>
        <v>0</v>
      </c>
      <c r="BC55" s="73">
        <f ca="1">AY55/(1+'Invoer gegevens (N)'!$C$39)^('Invoer gegevens (N)'!$C$17-'Invoer gegevens (N)'!$C$16)</f>
        <v>0</v>
      </c>
      <c r="BD55" s="72">
        <f t="shared" ca="1" si="14"/>
        <v>0</v>
      </c>
      <c r="BE55" s="72">
        <f ca="1">IF(AND(E55='Invoer gegevens (N)'!$C$16,'Invoer gegevens (N)'!$C$34&lt;'Invoer gegevens (N)'!$C$16),AZ55,AZ55/(1+'Invoer gegevens (N)'!$C$39)^D55)</f>
        <v>0</v>
      </c>
      <c r="BF55" s="72">
        <f ca="1">IF(E55='Invoer gegevens (N)'!$C$34,-'Invoer gegevens (N)'!$F$40,0)</f>
        <v>0</v>
      </c>
      <c r="BG55" s="72">
        <f ca="1">IF(E55='Invoer gegevens (N)'!$C$17,-'Invoer gegevens (N)'!$C$19*$BD$63,0)</f>
        <v>0</v>
      </c>
      <c r="BH55" s="72">
        <f ca="1">AW55/(1+$BH$36)^($D55-('Invoer gegevens (N)'!$C$17-'Invoer gegevens (N)'!$C$16))/(1+'Invoer gegevens (N)'!$C$39)^('Invoer gegevens (N)'!$C$17-'Invoer gegevens (N)'!$C$16)+AX55/(1+$BH$36)^(E55-('Invoer gegevens (N)'!$C$17-1))/(1+'Invoer gegevens (N)'!$C$39)^('Invoer gegevens (N)'!$C$17-'Invoer gegevens (N)'!$C$16)+AY55/(1+'Invoer gegevens (N)'!$C$39)^('Invoer gegevens (N)'!$C$17-'Invoer gegevens (N)'!$C$16)+(-AZ55/(1+'Invoer gegevens (N)'!$C$39)^D55)+BF55+BG55</f>
        <v>0</v>
      </c>
      <c r="BI55" s="59"/>
    </row>
    <row r="56" spans="1:61" x14ac:dyDescent="0.25">
      <c r="A56" s="59"/>
      <c r="B56" s="70">
        <f t="shared" si="15"/>
        <v>20</v>
      </c>
      <c r="C56" s="67">
        <f ca="1">IF(AND(E56&gt;='Invoer gegevens (N)'!$C$17,E56&lt;'Invoer gegevens (N)'!$C$17+15),1,0)</f>
        <v>0</v>
      </c>
      <c r="D56" s="68">
        <f t="shared" si="16"/>
        <v>19.5</v>
      </c>
      <c r="E56" s="69">
        <f ca="1">IF('Invoer gegevens (N)'!$C$16="","",E55+1)</f>
        <v>2038</v>
      </c>
      <c r="F56" s="84">
        <f ca="1">IF('Invoer gegevens (N)'!$C$17=E56,'Invoer gegevens (N)'!$C$10,IF(C56=1,K55,0))</f>
        <v>0</v>
      </c>
      <c r="G56" s="96">
        <f ca="1">IF(E56='Invoer gegevens (N)'!$C$17+15,K55,IF(C56&gt;=1,F56*VLOOKUP(E56,'Reeksen (N)'!$A$5:$B$76,2),0))</f>
        <v>0</v>
      </c>
      <c r="H56" s="84">
        <f ca="1">IF(E56='Invoer gegevens (N)'!$C$17+15,K55,(1-('Invoer gegevens (N)'!$F$20/12))*F56*MIN('Reeksen (N)'!B24,'Reeksen (N)'!D24))</f>
        <v>0</v>
      </c>
      <c r="I56" s="84">
        <f>IF('Reeksen (N)'!D24&lt;'Reeksen (N)'!B24,('Reeksen (N)'!B24-'Reeksen (N)'!D24)*F56,0)</f>
        <v>0</v>
      </c>
      <c r="J56" s="84">
        <f ca="1">IF(E56='Invoer gegevens (N)'!$C$17+16,0,('Invoer gegevens (N)'!$F$20/12)*F55*MIN('Reeksen (N)'!B23,'Reeksen (N)'!D23))</f>
        <v>0</v>
      </c>
      <c r="K56" s="97">
        <f ca="1">IF(E56&gt;='Invoer gegevens (N)'!$C$17+15,0,F56-G56)</f>
        <v>0</v>
      </c>
      <c r="L56" s="84">
        <f ca="1">IF('Invoer gegevens (N)'!$C$17=E56,0,IF(C56=1,Q55,0))</f>
        <v>0</v>
      </c>
      <c r="M56" s="96">
        <f ca="1">IF(E56='Invoer gegevens (N)'!$C$17+15,Q55,IF(C56&gt;=1,L56*VLOOKUP(E56,'Reeksen (N)'!$A$5:$B$76,2),0))</f>
        <v>0</v>
      </c>
      <c r="N56" s="84">
        <f ca="1">IF(C56='Invoer gegevens (N)'!$C$17+15,Q55,(1-('Invoer gegevens (N)'!$F$20/12))*L56*MIN('Reeksen (N)'!B24,'Reeksen (N)'!D24))</f>
        <v>0</v>
      </c>
      <c r="O56" s="84">
        <f>IF('Reeksen (N)'!D24&lt;'Reeksen (N)'!B24,('Reeksen (N)'!B24-'Reeksen (N)'!D24)*L56,0)</f>
        <v>0</v>
      </c>
      <c r="P56" s="84">
        <f ca="1">IF(E56='Invoer gegevens (N)'!$C$17+16,0,('Invoer gegevens (N)'!$F$20/12)*L55*MIN('Reeksen (N)'!B23,'Reeksen (N)'!D23))</f>
        <v>0</v>
      </c>
      <c r="Q56" s="84">
        <f ca="1">IF(E56&gt;='Invoer gegevens (N)'!$C$17+15,0,L56-M56+I56+O56)</f>
        <v>0</v>
      </c>
      <c r="R56" s="82">
        <f ca="1">IF('Invoer gegevens (N)'!$C$17=E56,'Invoer gegevens (N)'!$C$11,IF(C56=1,W55,0))</f>
        <v>0</v>
      </c>
      <c r="S56" s="86">
        <f ca="1">IF(E56='Invoer gegevens (N)'!$C$17+15,W55,IF(C56&gt;=1,R56*VLOOKUP(E56,'Reeksen (N)'!$A$5:$B$76,2),0))</f>
        <v>0</v>
      </c>
      <c r="T56" s="84">
        <f ca="1">IF(E56='Invoer gegevens (N)'!$C$17+15,W55,(1-('Invoer gegevens (N)'!$F$20/12))*R56*MIN('Reeksen (N)'!B24,'Reeksen (N)'!D24))</f>
        <v>0</v>
      </c>
      <c r="U56" s="84">
        <f>IF('Reeksen (N)'!D24&gt;='Reeksen (N)'!B24,0,IF('Reeksen (N)'!AD24&lt;='Reeksen (N)'!AE24,('Reeksen (N)'!B24-'Reeksen (N)'!D24)*R56,0))</f>
        <v>0</v>
      </c>
      <c r="V56" s="86">
        <f>IF('Reeksen (N)'!D24&gt;='Reeksen (N)'!B24,0,IF('Reeksen (N)'!AD24&gt;'Reeksen (N)'!AE24,('Reeksen (N)'!B24-'Reeksen (N)'!D24)*R56,0))</f>
        <v>0</v>
      </c>
      <c r="W56" s="97">
        <f ca="1">IF(E56&gt;='Invoer gegevens (N)'!$C$17+15,0,R56-S56)</f>
        <v>0</v>
      </c>
      <c r="X56" s="98">
        <f ca="1">IF('Invoer gegevens (N)'!$C$17=E56,'Invoer gegevens (N)'!$C$10-'Invoer gegevens (N)'!$C$11,IF(C56=1,AC55,0))</f>
        <v>0</v>
      </c>
      <c r="Y56" s="98">
        <f ca="1">IF(E56='Invoer gegevens (N)'!$C$17+15,AC55,IF(C56&gt;=1,X56*VLOOKUP(E56,'Reeksen (N)'!$A$5:$B$76,2),0))</f>
        <v>0</v>
      </c>
      <c r="Z56" s="98">
        <f ca="1">IF(E56='Invoer gegevens (N)'!$C$17+15,AC55,(1-('Invoer gegevens (N)'!$F$20/12))*X56*MIN('Reeksen (N)'!B24,'Reeksen (N)'!D24))</f>
        <v>0</v>
      </c>
      <c r="AA56" s="98">
        <f>IF('Reeksen (N)'!D24&gt;='Reeksen (N)'!B24,0,IF('Reeksen (N)'!AD24&lt;='Reeksen (N)'!AE24,('Reeksen (N)'!B24-'Reeksen (N)'!D24)*X56,0))</f>
        <v>0</v>
      </c>
      <c r="AB56" s="98">
        <f>IF('Reeksen (N)'!D24&gt;='Reeksen (N)'!B24,0,IF('Reeksen (N)'!AD24&gt;'Reeksen (N)'!AE24,('Reeksen (N)'!B24-'Reeksen (N)'!D24)*X56,0))</f>
        <v>0</v>
      </c>
      <c r="AC56" s="99">
        <f ca="1">IF(E56&gt;='Invoer gegevens (N)'!$C$17+15,0,X56-Y56)</f>
        <v>0</v>
      </c>
      <c r="AD56" s="98">
        <f ca="1">IF('Invoer gegevens (N)'!$C$17=E24,R56,IF(C24=0,0,AE55))</f>
        <v>0</v>
      </c>
      <c r="AE56" s="98">
        <f t="shared" ca="1" si="9"/>
        <v>0</v>
      </c>
      <c r="AF56" s="98">
        <f ca="1">IF('Invoer gegevens (N)'!$C$17=E24,X56,IF(C24=0,0,AG55))</f>
        <v>0</v>
      </c>
      <c r="AG56" s="98">
        <f t="shared" ca="1" si="10"/>
        <v>0</v>
      </c>
      <c r="AH56" s="66"/>
      <c r="AI56" s="71">
        <f ca="1">IF(C56=1,'Reeksen (N)'!AI24*((F56-G56+F56)/2)*12+'Reeksen (N)'!AD24*((L56-M56+L56)/2)*12,0)</f>
        <v>0</v>
      </c>
      <c r="AJ56" s="71">
        <f ca="1">-AI56*'Invoer gegevens (N)'!$F$28</f>
        <v>0</v>
      </c>
      <c r="AK56" s="71">
        <f t="shared" ca="1" si="11"/>
        <v>0</v>
      </c>
      <c r="AL56" s="71">
        <f ca="1">IF(C56=1,'Reeksen (N)'!AL24*((F56-G56+F56)/2)*12+'Reeksen (N)'!AM24*((L56-M56+L56)/2)*12,0)</f>
        <v>0</v>
      </c>
      <c r="AM56" s="71">
        <f ca="1">-AL56*'Invoer gegevens (N)'!$F$31</f>
        <v>0</v>
      </c>
      <c r="AN56" s="71">
        <f t="shared" ca="1" si="12"/>
        <v>0</v>
      </c>
      <c r="AO56" s="71">
        <f ca="1">IF(E56&gt;='Invoer gegevens (N)'!$C$17+15,0,IF(C56=1,(H56+J56+N56+P56)*'Reeksen (N)'!AN24,0))</f>
        <v>0</v>
      </c>
      <c r="AP56" s="71">
        <f ca="1">-IF(C56=1,(H56+J56+N56+P56)*'Hulp - basis'!$O$550*'Reeksen (N)'!H24,0)</f>
        <v>0</v>
      </c>
      <c r="AQ56" s="71">
        <f ca="1">-IF(C56=1,(F56+K56+L56+Q56)/2*'Invoer gegevens (N)'!$F$35*'Reeksen (N)'!J24,0)</f>
        <v>0</v>
      </c>
      <c r="AR56" s="71"/>
      <c r="AS56" s="71">
        <f ca="1">-IF(C56=1,(F56+K56+L56+Q56)/2*'Invoer gegevens (N)'!$F$37*'Reeksen (N)'!L24,0)</f>
        <v>0</v>
      </c>
      <c r="AT56" s="71">
        <f ca="1">-IF(C56=1,IF(E56='Invoer gegevens (N)'!$C$17,'Invoer gegevens (N)'!$C$11,AD56)*'Reeksen (N)'!S24*'Invoer gegevens (N)'!$C$18*'Reeksen (N)'!P24,0)</f>
        <v>0</v>
      </c>
      <c r="AU56" s="71">
        <f ca="1">-IF(C56=1,(F56+K56+L56+Q56)/2*'Invoer gegevens (N)'!$F$38*'Reeksen (N)'!H24,0)</f>
        <v>0</v>
      </c>
      <c r="AV56" s="71">
        <v>0</v>
      </c>
      <c r="AW56" s="71">
        <f t="shared" ca="1" si="13"/>
        <v>0</v>
      </c>
      <c r="AX56" s="72">
        <f ca="1">IF(E56='Invoer gegevens (N)'!$C$17+14,'RW - MW - UP (N)'!$AY$236,0)</f>
        <v>0</v>
      </c>
      <c r="AY56" s="72">
        <f ca="1">IFERROR(IF(E56='Invoer gegevens (N)'!$C$17,-'Invoer gegevens (N)'!$C$10*('Invoer gegevens (N)'!$C$30+'Invoer gegevens (N)'!$C$31)*'Reeksen (N)'!H24,0),0)</f>
        <v>0</v>
      </c>
      <c r="AZ56" s="73">
        <f ca="1">IF('Invoer gegevens (N)'!$C$34=E56,'Invoer gegevens (N)'!$C$27*'Invoer gegevens (N)'!$C$10*'Invoer gegevens (N)'!$C$36*(IF('Invoer gegevens (N)'!$C$35="ja",1,'Reeksen (N)'!J24)),IF('Invoer gegevens (N)'!$C$34+1=E56,'Invoer gegevens (N)'!$C$27*'Invoer gegevens (N)'!$C$10*'Invoer gegevens (N)'!$C$37*(IF('Invoer gegevens (N)'!$C$35="ja",1,'Reeksen (N)'!J24)),0))+IF(AND(E56='Invoer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6" s="73">
        <f ca="1">AW56/(1+'Invoer gegevens (N)'!$F$18)^($D56-('Invoer gegevens (N)'!$C$17-'Invoer gegevens (N)'!$C$16))/(1+'Invoer gegevens (N)'!$C$39)^('Invoer gegevens (N)'!$C$17-'Invoer gegevens (N)'!$C$16)</f>
        <v>0</v>
      </c>
      <c r="BB56" s="73">
        <f ca="1">AX56/(1+'Invoer gegevens (N)'!$F$18)^(E56-('Invoer gegevens (N)'!$C$17-1))/(1+'Invoer gegevens (N)'!$C$39)^('Invoer gegevens (N)'!$C$17-'Invoer gegevens (N)'!$C$16)</f>
        <v>0</v>
      </c>
      <c r="BC56" s="73">
        <f ca="1">AY56/(1+'Invoer gegevens (N)'!$C$39)^('Invoer gegevens (N)'!$C$17-'Invoer gegevens (N)'!$C$16)</f>
        <v>0</v>
      </c>
      <c r="BD56" s="72">
        <f t="shared" ca="1" si="14"/>
        <v>0</v>
      </c>
      <c r="BE56" s="72">
        <f ca="1">IF(AND(E56='Invoer gegevens (N)'!$C$16,'Invoer gegevens (N)'!$C$34&lt;'Invoer gegevens (N)'!$C$16),AZ56,AZ56/(1+'Invoer gegevens (N)'!$C$39)^D56)</f>
        <v>0</v>
      </c>
      <c r="BF56" s="72">
        <f ca="1">IF(E56='Invoer gegevens (N)'!$C$34,-'Invoer gegevens (N)'!$F$40,0)</f>
        <v>0</v>
      </c>
      <c r="BG56" s="72">
        <f ca="1">IF(E56='Invoer gegevens (N)'!$C$17,-'Invoer gegevens (N)'!$C$19*$BD$63,0)</f>
        <v>0</v>
      </c>
      <c r="BH56" s="72">
        <f ca="1">AW56/(1+$BH$36)^($D56-('Invoer gegevens (N)'!$C$17-'Invoer gegevens (N)'!$C$16))/(1+'Invoer gegevens (N)'!$C$39)^('Invoer gegevens (N)'!$C$17-'Invoer gegevens (N)'!$C$16)+AX56/(1+$BH$36)^(E56-('Invoer gegevens (N)'!$C$17-1))/(1+'Invoer gegevens (N)'!$C$39)^('Invoer gegevens (N)'!$C$17-'Invoer gegevens (N)'!$C$16)+AY56/(1+'Invoer gegevens (N)'!$C$39)^('Invoer gegevens (N)'!$C$17-'Invoer gegevens (N)'!$C$16)+(-AZ56/(1+'Invoer gegevens (N)'!$C$39)^D56)+BF56+BG56</f>
        <v>0</v>
      </c>
      <c r="BI56" s="59"/>
    </row>
    <row r="57" spans="1:61" x14ac:dyDescent="0.25">
      <c r="A57" s="59"/>
      <c r="B57" s="70">
        <f t="shared" si="15"/>
        <v>21</v>
      </c>
      <c r="C57" s="67">
        <f ca="1">IF(AND(E57&gt;='Invoer gegevens (N)'!$C$17,E57&lt;'Invoer gegevens (N)'!$C$17+15),1,0)</f>
        <v>0</v>
      </c>
      <c r="D57" s="68">
        <f t="shared" si="16"/>
        <v>20.5</v>
      </c>
      <c r="E57" s="69">
        <f ca="1">IF('Invoer gegevens (N)'!$C$16="","",E56+1)</f>
        <v>2039</v>
      </c>
      <c r="F57" s="84">
        <f ca="1">IF('Invoer gegevens (N)'!$C$17=E57,'Invoer gegevens (N)'!$C$10,IF(C57=1,K56,0))</f>
        <v>0</v>
      </c>
      <c r="G57" s="96">
        <f ca="1">IF(E57='Invoer gegevens (N)'!$C$17+15,K56,IF(C57&gt;=1,F57*VLOOKUP(E57,'Reeksen (N)'!$A$5:$B$76,2),0))</f>
        <v>0</v>
      </c>
      <c r="H57" s="84">
        <f ca="1">IF(E57='Invoer gegevens (N)'!$C$17+15,K56,(1-('Invoer gegevens (N)'!$F$20/12))*F57*MIN('Reeksen (N)'!B25,'Reeksen (N)'!D25))</f>
        <v>0</v>
      </c>
      <c r="I57" s="84">
        <f>IF('Reeksen (N)'!D25&lt;'Reeksen (N)'!B25,('Reeksen (N)'!B25-'Reeksen (N)'!D25)*F57,0)</f>
        <v>0</v>
      </c>
      <c r="J57" s="84">
        <f ca="1">IF(E57='Invoer gegevens (N)'!$C$17+16,0,('Invoer gegevens (N)'!$F$20/12)*F56*MIN('Reeksen (N)'!B24,'Reeksen (N)'!D24))</f>
        <v>0</v>
      </c>
      <c r="K57" s="97">
        <f ca="1">IF(E57&gt;='Invoer gegevens (N)'!$C$17+15,0,F57-G57)</f>
        <v>0</v>
      </c>
      <c r="L57" s="84">
        <f ca="1">IF('Invoer gegevens (N)'!$C$17=E57,0,IF(C57=1,Q56,0))</f>
        <v>0</v>
      </c>
      <c r="M57" s="96">
        <f ca="1">IF(E57='Invoer gegevens (N)'!$C$17+15,Q56,IF(C57&gt;=1,L57*VLOOKUP(E57,'Reeksen (N)'!$A$5:$B$76,2),0))</f>
        <v>0</v>
      </c>
      <c r="N57" s="84">
        <f ca="1">IF(C57='Invoer gegevens (N)'!$C$17+15,Q56,(1-('Invoer gegevens (N)'!$F$20/12))*L57*MIN('Reeksen (N)'!B25,'Reeksen (N)'!D25))</f>
        <v>0</v>
      </c>
      <c r="O57" s="84">
        <f>IF('Reeksen (N)'!D25&lt;'Reeksen (N)'!B25,('Reeksen (N)'!B25-'Reeksen (N)'!D25)*L57,0)</f>
        <v>0</v>
      </c>
      <c r="P57" s="84">
        <f ca="1">IF(E57='Invoer gegevens (N)'!$C$17+16,0,('Invoer gegevens (N)'!$F$20/12)*L56*MIN('Reeksen (N)'!B24,'Reeksen (N)'!D24))</f>
        <v>0</v>
      </c>
      <c r="Q57" s="84">
        <f ca="1">IF(E57&gt;='Invoer gegevens (N)'!$C$17+15,0,L57-M57+I57+O57)</f>
        <v>0</v>
      </c>
      <c r="R57" s="82">
        <f ca="1">IF('Invoer gegevens (N)'!$C$17=E57,'Invoer gegevens (N)'!$C$11,IF(C57=1,W56,0))</f>
        <v>0</v>
      </c>
      <c r="S57" s="86">
        <f ca="1">IF(E57='Invoer gegevens (N)'!$C$17+15,W56,IF(C57&gt;=1,R57*VLOOKUP(E57,'Reeksen (N)'!$A$5:$B$76,2),0))</f>
        <v>0</v>
      </c>
      <c r="T57" s="84">
        <f ca="1">IF(E57='Invoer gegevens (N)'!$C$17+15,W56,(1-('Invoer gegevens (N)'!$F$20/12))*R57*MIN('Reeksen (N)'!B25,'Reeksen (N)'!D25))</f>
        <v>0</v>
      </c>
      <c r="U57" s="84">
        <f>IF('Reeksen (N)'!D25&gt;='Reeksen (N)'!B25,0,IF('Reeksen (N)'!AD25&lt;='Reeksen (N)'!AE25,('Reeksen (N)'!B25-'Reeksen (N)'!D25)*R57,0))</f>
        <v>0</v>
      </c>
      <c r="V57" s="86">
        <f>IF('Reeksen (N)'!D25&gt;='Reeksen (N)'!B25,0,IF('Reeksen (N)'!AD25&gt;'Reeksen (N)'!AE25,('Reeksen (N)'!B25-'Reeksen (N)'!D25)*R57,0))</f>
        <v>0</v>
      </c>
      <c r="W57" s="97">
        <f ca="1">IF(E57&gt;='Invoer gegevens (N)'!$C$17+15,0,R57-S57)</f>
        <v>0</v>
      </c>
      <c r="X57" s="98">
        <f ca="1">IF('Invoer gegevens (N)'!$C$17=E57,'Invoer gegevens (N)'!$C$10-'Invoer gegevens (N)'!$C$11,IF(C57=1,AC56,0))</f>
        <v>0</v>
      </c>
      <c r="Y57" s="98">
        <f ca="1">IF(E57='Invoer gegevens (N)'!$C$17+15,AC56,IF(C57&gt;=1,X57*VLOOKUP(E57,'Reeksen (N)'!$A$5:$B$76,2),0))</f>
        <v>0</v>
      </c>
      <c r="Z57" s="98">
        <f ca="1">IF(E57='Invoer gegevens (N)'!$C$17+15,AC56,(1-('Invoer gegevens (N)'!$F$20/12))*X57*MIN('Reeksen (N)'!B25,'Reeksen (N)'!D25))</f>
        <v>0</v>
      </c>
      <c r="AA57" s="98">
        <f>IF('Reeksen (N)'!D25&gt;='Reeksen (N)'!B25,0,IF('Reeksen (N)'!AD25&lt;='Reeksen (N)'!AE25,('Reeksen (N)'!B25-'Reeksen (N)'!D25)*X57,0))</f>
        <v>0</v>
      </c>
      <c r="AB57" s="98">
        <f>IF('Reeksen (N)'!D25&gt;='Reeksen (N)'!B25,0,IF('Reeksen (N)'!AD25&gt;'Reeksen (N)'!AE25,('Reeksen (N)'!B25-'Reeksen (N)'!D25)*X57,0))</f>
        <v>0</v>
      </c>
      <c r="AC57" s="99">
        <f ca="1">IF(E57&gt;='Invoer gegevens (N)'!$C$17+15,0,X57-Y57)</f>
        <v>0</v>
      </c>
      <c r="AD57" s="98">
        <f ca="1">IF('Invoer gegevens (N)'!$C$17=E25,R57,IF(C25=0,0,AE56))</f>
        <v>0</v>
      </c>
      <c r="AE57" s="98">
        <f t="shared" ca="1" si="9"/>
        <v>0</v>
      </c>
      <c r="AF57" s="98">
        <f ca="1">IF('Invoer gegevens (N)'!$C$17=E25,X57,IF(C25=0,0,AG56))</f>
        <v>0</v>
      </c>
      <c r="AG57" s="98">
        <f t="shared" ca="1" si="10"/>
        <v>0</v>
      </c>
      <c r="AH57" s="66"/>
      <c r="AI57" s="71">
        <f ca="1">IF(C57=1,'Reeksen (N)'!AI25*((F57-G57+F57)/2)*12+'Reeksen (N)'!AD25*((L57-M57+L57)/2)*12,0)</f>
        <v>0</v>
      </c>
      <c r="AJ57" s="71">
        <f ca="1">-AI57*'Invoer gegevens (N)'!$F$28</f>
        <v>0</v>
      </c>
      <c r="AK57" s="71">
        <f t="shared" ca="1" si="11"/>
        <v>0</v>
      </c>
      <c r="AL57" s="71">
        <f ca="1">IF(C57=1,'Reeksen (N)'!AL25*((F57-G57+F57)/2)*12+'Reeksen (N)'!AM25*((L57-M57+L57)/2)*12,0)</f>
        <v>0</v>
      </c>
      <c r="AM57" s="71">
        <f ca="1">-AL57*'Invoer gegevens (N)'!$F$31</f>
        <v>0</v>
      </c>
      <c r="AN57" s="71">
        <f t="shared" ca="1" si="12"/>
        <v>0</v>
      </c>
      <c r="AO57" s="71">
        <f ca="1">IF(E57&gt;='Invoer gegevens (N)'!$C$17+15,0,IF(C57=1,(H57+J57+N57+P57)*'Reeksen (N)'!AN25,0))</f>
        <v>0</v>
      </c>
      <c r="AP57" s="71">
        <f ca="1">-IF(C57=1,(H57+J57+N57+P57)*'Hulp - basis'!$O$550*'Reeksen (N)'!H25,0)</f>
        <v>0</v>
      </c>
      <c r="AQ57" s="71">
        <f ca="1">-IF(C57=1,(F57+K57+L57+Q57)/2*'Invoer gegevens (N)'!$F$35*'Reeksen (N)'!J25,0)</f>
        <v>0</v>
      </c>
      <c r="AR57" s="71"/>
      <c r="AS57" s="71">
        <f ca="1">-IF(C57=1,(F57+K57+L57+Q57)/2*'Invoer gegevens (N)'!$F$37*'Reeksen (N)'!L25,0)</f>
        <v>0</v>
      </c>
      <c r="AT57" s="71">
        <f ca="1">-IF(C57=1,IF(E57='Invoer gegevens (N)'!$C$17,'Invoer gegevens (N)'!$C$11,AD57)*'Reeksen (N)'!S25*'Invoer gegevens (N)'!$C$18*'Reeksen (N)'!P25,0)</f>
        <v>0</v>
      </c>
      <c r="AU57" s="71">
        <f ca="1">-IF(C57=1,(F57+K57+L57+Q57)/2*'Invoer gegevens (N)'!$F$38*'Reeksen (N)'!H25,0)</f>
        <v>0</v>
      </c>
      <c r="AV57" s="71">
        <v>0</v>
      </c>
      <c r="AW57" s="71">
        <f t="shared" ca="1" si="13"/>
        <v>0</v>
      </c>
      <c r="AX57" s="72">
        <f ca="1">IF(E57='Invoer gegevens (N)'!$C$17+14,'RW - MW - UP (N)'!$AY$236,0)</f>
        <v>0</v>
      </c>
      <c r="AY57" s="72">
        <f ca="1">IFERROR(IF(E57='Invoer gegevens (N)'!$C$17,-'Invoer gegevens (N)'!$C$10*('Invoer gegevens (N)'!$C$30+'Invoer gegevens (N)'!$C$31)*'Reeksen (N)'!H25,0),0)</f>
        <v>0</v>
      </c>
      <c r="AZ57" s="73">
        <f ca="1">IF('Invoer gegevens (N)'!$C$34=E57,'Invoer gegevens (N)'!$C$27*'Invoer gegevens (N)'!$C$10*'Invoer gegevens (N)'!$C$36*(IF('Invoer gegevens (N)'!$C$35="ja",1,'Reeksen (N)'!J25)),IF('Invoer gegevens (N)'!$C$34+1=E57,'Invoer gegevens (N)'!$C$27*'Invoer gegevens (N)'!$C$10*'Invoer gegevens (N)'!$C$37*(IF('Invoer gegevens (N)'!$C$35="ja",1,'Reeksen (N)'!J25)),0))+IF(AND(E57='Invoer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7" s="73">
        <f ca="1">AW57/(1+'Invoer gegevens (N)'!$F$18)^($D57-('Invoer gegevens (N)'!$C$17-'Invoer gegevens (N)'!$C$16))/(1+'Invoer gegevens (N)'!$C$39)^('Invoer gegevens (N)'!$C$17-'Invoer gegevens (N)'!$C$16)</f>
        <v>0</v>
      </c>
      <c r="BB57" s="73">
        <f ca="1">AX57/(1+'Invoer gegevens (N)'!$F$18)^(E57-('Invoer gegevens (N)'!$C$17-1))/(1+'Invoer gegevens (N)'!$C$39)^('Invoer gegevens (N)'!$C$17-'Invoer gegevens (N)'!$C$16)</f>
        <v>0</v>
      </c>
      <c r="BC57" s="73">
        <f ca="1">AY57/(1+'Invoer gegevens (N)'!$C$39)^('Invoer gegevens (N)'!$C$17-'Invoer gegevens (N)'!$C$16)</f>
        <v>0</v>
      </c>
      <c r="BD57" s="72">
        <f t="shared" ca="1" si="14"/>
        <v>0</v>
      </c>
      <c r="BE57" s="72">
        <f ca="1">IF(AND(E57='Invoer gegevens (N)'!$C$16,'Invoer gegevens (N)'!$C$34&lt;'Invoer gegevens (N)'!$C$16),AZ57,AZ57/(1+'Invoer gegevens (N)'!$C$39)^D57)</f>
        <v>0</v>
      </c>
      <c r="BF57" s="72">
        <f ca="1">IF(E57='Invoer gegevens (N)'!$C$34,-'Invoer gegevens (N)'!$F$40,0)</f>
        <v>0</v>
      </c>
      <c r="BG57" s="72">
        <f ca="1">IF(E57='Invoer gegevens (N)'!$C$17,-'Invoer gegevens (N)'!$C$19*$BD$63,0)</f>
        <v>0</v>
      </c>
      <c r="BH57" s="72">
        <f ca="1">AW57/(1+$BH$36)^($D57-('Invoer gegevens (N)'!$C$17-'Invoer gegevens (N)'!$C$16))/(1+'Invoer gegevens (N)'!$C$39)^('Invoer gegevens (N)'!$C$17-'Invoer gegevens (N)'!$C$16)+AX57/(1+$BH$36)^(E57-('Invoer gegevens (N)'!$C$17-1))/(1+'Invoer gegevens (N)'!$C$39)^('Invoer gegevens (N)'!$C$17-'Invoer gegevens (N)'!$C$16)+AY57/(1+'Invoer gegevens (N)'!$C$39)^('Invoer gegevens (N)'!$C$17-'Invoer gegevens (N)'!$C$16)+(-AZ57/(1+'Invoer gegevens (N)'!$C$39)^D57)+BF57+BG57</f>
        <v>0</v>
      </c>
      <c r="BI57" s="59"/>
    </row>
    <row r="58" spans="1:61" x14ac:dyDescent="0.25">
      <c r="A58" s="59"/>
      <c r="B58" s="70">
        <f>B57+1</f>
        <v>22</v>
      </c>
      <c r="C58" s="67">
        <f ca="1">IF(AND(E58&gt;='Invoer gegevens (N)'!$C$17,E58&lt;'Invoer gegevens (N)'!$C$17+15),1,0)</f>
        <v>0</v>
      </c>
      <c r="D58" s="68">
        <f t="shared" si="16"/>
        <v>21.5</v>
      </c>
      <c r="E58" s="69">
        <f ca="1">IF('Invoer gegevens (N)'!$C$16="","",E57+1)</f>
        <v>2040</v>
      </c>
      <c r="F58" s="84">
        <f ca="1">IF('Invoer gegevens (N)'!$C$17=E58,'Invoer gegevens (N)'!$C$10,IF(C58=1,K57,0))</f>
        <v>0</v>
      </c>
      <c r="G58" s="96">
        <f ca="1">IF(E58='Invoer gegevens (N)'!$C$17+15,K57,IF(C58&gt;=1,F58*VLOOKUP(E58,'Reeksen (N)'!$A$5:$B$76,2),0))</f>
        <v>0</v>
      </c>
      <c r="H58" s="84">
        <f ca="1">IF(E58='Invoer gegevens (N)'!$C$17+15,K57,(1-('Invoer gegevens (N)'!$F$20/12))*F58*MIN('Reeksen (N)'!B26,'Reeksen (N)'!D26))</f>
        <v>0</v>
      </c>
      <c r="I58" s="84">
        <f>IF('Reeksen (N)'!D26&lt;'Reeksen (N)'!B26,('Reeksen (N)'!B26-'Reeksen (N)'!D26)*F58,0)</f>
        <v>0</v>
      </c>
      <c r="J58" s="84">
        <f ca="1">IF(E58='Invoer gegevens (N)'!$C$17+16,0,('Invoer gegevens (N)'!$F$20/12)*F57*MIN('Reeksen (N)'!B25,'Reeksen (N)'!D25))</f>
        <v>0</v>
      </c>
      <c r="K58" s="97">
        <f ca="1">IF(E58&gt;='Invoer gegevens (N)'!$C$17+15,0,F58-G58)</f>
        <v>0</v>
      </c>
      <c r="L58" s="84">
        <f ca="1">IF('Invoer gegevens (N)'!$C$17=E58,0,IF(C58=1,Q57,0))</f>
        <v>0</v>
      </c>
      <c r="M58" s="96">
        <f ca="1">IF(E58='Invoer gegevens (N)'!$C$17+15,Q57,IF(C58&gt;=1,L58*VLOOKUP(E58,'Reeksen (N)'!$A$5:$B$76,2),0))</f>
        <v>0</v>
      </c>
      <c r="N58" s="84">
        <f ca="1">IF(C58='Invoer gegevens (N)'!$C$17+15,Q57,(1-('Invoer gegevens (N)'!$F$20/12))*L58*MIN('Reeksen (N)'!B26,'Reeksen (N)'!D26))</f>
        <v>0</v>
      </c>
      <c r="O58" s="84">
        <f>IF('Reeksen (N)'!D26&lt;'Reeksen (N)'!B26,('Reeksen (N)'!B26-'Reeksen (N)'!D26)*L58,0)</f>
        <v>0</v>
      </c>
      <c r="P58" s="84">
        <f ca="1">IF(E58='Invoer gegevens (N)'!$C$17+16,0,('Invoer gegevens (N)'!$F$20/12)*L57*MIN('Reeksen (N)'!B25,'Reeksen (N)'!D25))</f>
        <v>0</v>
      </c>
      <c r="Q58" s="84">
        <f ca="1">IF(E58&gt;='Invoer gegevens (N)'!$C$17+15,0,L58-M58+I58+O58)</f>
        <v>0</v>
      </c>
      <c r="R58" s="82">
        <f ca="1">IF('Invoer gegevens (N)'!$C$17=E58,'Invoer gegevens (N)'!$C$11,IF(C58=1,W57,0))</f>
        <v>0</v>
      </c>
      <c r="S58" s="86">
        <f ca="1">IF(E58='Invoer gegevens (N)'!$C$17+15,W57,IF(C58&gt;=1,R58*VLOOKUP(E58,'Reeksen (N)'!$A$5:$B$76,2),0))</f>
        <v>0</v>
      </c>
      <c r="T58" s="84">
        <f ca="1">IF(E58='Invoer gegevens (N)'!$C$17+15,W57,(1-('Invoer gegevens (N)'!$F$20/12))*R58*MIN('Reeksen (N)'!B26,'Reeksen (N)'!D26))</f>
        <v>0</v>
      </c>
      <c r="U58" s="84">
        <f>IF('Reeksen (N)'!D26&gt;='Reeksen (N)'!B26,0,IF('Reeksen (N)'!AD26&lt;='Reeksen (N)'!AE26,('Reeksen (N)'!B26-'Reeksen (N)'!D26)*R58,0))</f>
        <v>0</v>
      </c>
      <c r="V58" s="86">
        <f>IF('Reeksen (N)'!D26&gt;='Reeksen (N)'!B26,0,IF('Reeksen (N)'!AD26&gt;'Reeksen (N)'!AE26,('Reeksen (N)'!B26-'Reeksen (N)'!D26)*R58,0))</f>
        <v>0</v>
      </c>
      <c r="W58" s="97">
        <f ca="1">IF(E58&gt;='Invoer gegevens (N)'!$C$17+15,0,R58-S58)</f>
        <v>0</v>
      </c>
      <c r="X58" s="98">
        <f ca="1">IF('Invoer gegevens (N)'!$C$17=E58,'Invoer gegevens (N)'!$C$10-'Invoer gegevens (N)'!$C$11,IF(C58=1,AC57,0))</f>
        <v>0</v>
      </c>
      <c r="Y58" s="98">
        <f ca="1">IF(E58='Invoer gegevens (N)'!$C$17+15,AC57,IF(C58&gt;=1,X58*VLOOKUP(E58,'Reeksen (N)'!$A$5:$B$76,2),0))</f>
        <v>0</v>
      </c>
      <c r="Z58" s="98">
        <f ca="1">IF(E58='Invoer gegevens (N)'!$C$17+15,AC57,(1-('Invoer gegevens (N)'!$F$20/12))*X58*MIN('Reeksen (N)'!B26,'Reeksen (N)'!D26))</f>
        <v>0</v>
      </c>
      <c r="AA58" s="98">
        <f>IF('Reeksen (N)'!D26&gt;='Reeksen (N)'!B26,0,IF('Reeksen (N)'!AD26&lt;='Reeksen (N)'!AE26,('Reeksen (N)'!B26-'Reeksen (N)'!D26)*X58,0))</f>
        <v>0</v>
      </c>
      <c r="AB58" s="98">
        <f>IF('Reeksen (N)'!D26&gt;='Reeksen (N)'!B26,0,IF('Reeksen (N)'!AD26&gt;'Reeksen (N)'!AE26,('Reeksen (N)'!B26-'Reeksen (N)'!D26)*X58,0))</f>
        <v>0</v>
      </c>
      <c r="AC58" s="99">
        <f ca="1">IF(E58&gt;='Invoer gegevens (N)'!$C$17+15,0,X58-Y58)</f>
        <v>0</v>
      </c>
      <c r="AD58" s="98">
        <f ca="1">IF('Invoer gegevens (N)'!$C$17=E26,R58,IF(C26=0,0,AE57))</f>
        <v>0</v>
      </c>
      <c r="AE58" s="98">
        <f t="shared" ca="1" si="9"/>
        <v>0</v>
      </c>
      <c r="AF58" s="98">
        <f ca="1">IF('Invoer gegevens (N)'!$C$17=E26,X58,IF(C26=0,0,AG57))</f>
        <v>0</v>
      </c>
      <c r="AG58" s="98">
        <f t="shared" ca="1" si="10"/>
        <v>0</v>
      </c>
      <c r="AH58" s="66"/>
      <c r="AI58" s="71">
        <f ca="1">IF(C58=1,'Reeksen (N)'!AI26*((F58-G58+F58)/2)*12+'Reeksen (N)'!AD26*((L58-M58+L58)/2)*12,0)</f>
        <v>0</v>
      </c>
      <c r="AJ58" s="71">
        <f ca="1">-AI58*'Invoer gegevens (N)'!$F$28</f>
        <v>0</v>
      </c>
      <c r="AK58" s="71">
        <f t="shared" ca="1" si="11"/>
        <v>0</v>
      </c>
      <c r="AL58" s="71">
        <f ca="1">IF(C58=1,'Reeksen (N)'!AL26*((F58-G58+F58)/2)*12+'Reeksen (N)'!AM26*((L58-M58+L58)/2)*12,0)</f>
        <v>0</v>
      </c>
      <c r="AM58" s="71">
        <f ca="1">-AL58*'Invoer gegevens (N)'!$F$31</f>
        <v>0</v>
      </c>
      <c r="AN58" s="71">
        <f t="shared" ca="1" si="12"/>
        <v>0</v>
      </c>
      <c r="AO58" s="71">
        <f ca="1">IF(E58&gt;='Invoer gegevens (N)'!$C$17+15,0,IF(C58=1,(H58+J58+N58+P58)*'Reeksen (N)'!AN26,0))</f>
        <v>0</v>
      </c>
      <c r="AP58" s="71">
        <f ca="1">-IF(C58=1,(H58+J58+N58+P58)*'Hulp - basis'!$O$550*'Reeksen (N)'!H26,0)</f>
        <v>0</v>
      </c>
      <c r="AQ58" s="71">
        <f ca="1">-IF(C58=1,(F58+K58+L58+Q58)/2*'Invoer gegevens (N)'!$F$35*'Reeksen (N)'!J26,0)</f>
        <v>0</v>
      </c>
      <c r="AR58" s="71"/>
      <c r="AS58" s="71">
        <f ca="1">-IF(C58=1,(F58+K58+L58+Q58)/2*'Invoer gegevens (N)'!$F$37*'Reeksen (N)'!L26,0)</f>
        <v>0</v>
      </c>
      <c r="AT58" s="71">
        <f ca="1">-IF(C58=1,IF(E58='Invoer gegevens (N)'!$C$17,'Invoer gegevens (N)'!$C$11,AD58)*'Reeksen (N)'!S26*'Invoer gegevens (N)'!$C$18*'Reeksen (N)'!P26,0)</f>
        <v>0</v>
      </c>
      <c r="AU58" s="71">
        <f ca="1">-IF(C58=1,(F58+K58+L58+Q58)/2*'Invoer gegevens (N)'!$F$38*'Reeksen (N)'!H26,0)</f>
        <v>0</v>
      </c>
      <c r="AV58" s="71">
        <v>0</v>
      </c>
      <c r="AW58" s="71">
        <f t="shared" ca="1" si="13"/>
        <v>0</v>
      </c>
      <c r="AX58" s="72">
        <f ca="1">IF(E58='Invoer gegevens (N)'!$C$17+14,'RW - MW - UP (N)'!$AY$236,0)</f>
        <v>0</v>
      </c>
      <c r="AY58" s="72">
        <f ca="1">IFERROR(IF(E58='Invoer gegevens (N)'!$C$17,-'Invoer gegevens (N)'!$C$10*('Invoer gegevens (N)'!$C$30+'Invoer gegevens (N)'!$C$31)*'Reeksen (N)'!H26,0),0)</f>
        <v>0</v>
      </c>
      <c r="AZ58" s="73">
        <f ca="1">IF('Invoer gegevens (N)'!$C$34=E58,'Invoer gegevens (N)'!$C$27*'Invoer gegevens (N)'!$C$10*'Invoer gegevens (N)'!$C$36*(IF('Invoer gegevens (N)'!$C$35="ja",1,'Reeksen (N)'!J26)),IF('Invoer gegevens (N)'!$C$34+1=E58,'Invoer gegevens (N)'!$C$27*'Invoer gegevens (N)'!$C$10*'Invoer gegevens (N)'!$C$37*(IF('Invoer gegevens (N)'!$C$35="ja",1,'Reeksen (N)'!J26)),0))+IF(AND(E58='Invoer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8" s="73">
        <f ca="1">AW58/(1+'Invoer gegevens (N)'!$F$18)^($D58-('Invoer gegevens (N)'!$C$17-'Invoer gegevens (N)'!$C$16))/(1+'Invoer gegevens (N)'!$C$39)^('Invoer gegevens (N)'!$C$17-'Invoer gegevens (N)'!$C$16)</f>
        <v>0</v>
      </c>
      <c r="BB58" s="73">
        <f ca="1">AX58/(1+'Invoer gegevens (N)'!$F$18)^(E58-('Invoer gegevens (N)'!$C$17-1))/(1+'Invoer gegevens (N)'!$C$39)^('Invoer gegevens (N)'!$C$17-'Invoer gegevens (N)'!$C$16)</f>
        <v>0</v>
      </c>
      <c r="BC58" s="73">
        <f ca="1">AY58/(1+'Invoer gegevens (N)'!$C$39)^('Invoer gegevens (N)'!$C$17-'Invoer gegevens (N)'!$C$16)</f>
        <v>0</v>
      </c>
      <c r="BD58" s="72">
        <f t="shared" ca="1" si="14"/>
        <v>0</v>
      </c>
      <c r="BE58" s="72">
        <f ca="1">IF(AND(E58='Invoer gegevens (N)'!$C$16,'Invoer gegevens (N)'!$C$34&lt;'Invoer gegevens (N)'!$C$16),AZ58,AZ58/(1+'Invoer gegevens (N)'!$C$39)^D58)</f>
        <v>0</v>
      </c>
      <c r="BF58" s="72">
        <f ca="1">IF(E58='Invoer gegevens (N)'!$C$34,-'Invoer gegevens (N)'!$F$40,0)</f>
        <v>0</v>
      </c>
      <c r="BG58" s="72">
        <f ca="1">IF(E58='Invoer gegevens (N)'!$C$17,-'Invoer gegevens (N)'!$C$19*$BD$63,0)</f>
        <v>0</v>
      </c>
      <c r="BH58" s="72">
        <f ca="1">AW58/(1+$BH$36)^($D58-('Invoer gegevens (N)'!$C$17-'Invoer gegevens (N)'!$C$16))/(1+'Invoer gegevens (N)'!$C$39)^('Invoer gegevens (N)'!$C$17-'Invoer gegevens (N)'!$C$16)+AX58/(1+$BH$36)^(E58-('Invoer gegevens (N)'!$C$17-1))/(1+'Invoer gegevens (N)'!$C$39)^('Invoer gegevens (N)'!$C$17-'Invoer gegevens (N)'!$C$16)+AY58/(1+'Invoer gegevens (N)'!$C$39)^('Invoer gegevens (N)'!$C$17-'Invoer gegevens (N)'!$C$16)+(-AZ58/(1+'Invoer gegevens (N)'!$C$39)^D58)+BF58+BG58</f>
        <v>0</v>
      </c>
      <c r="BI58" s="59"/>
    </row>
    <row r="59" spans="1:61" x14ac:dyDescent="0.25">
      <c r="A59" s="59"/>
      <c r="B59" s="70">
        <f t="shared" si="15"/>
        <v>23</v>
      </c>
      <c r="C59" s="67">
        <f ca="1">IF(AND(E59&gt;='Invoer gegevens (N)'!$C$17,E59&lt;'Invoer gegevens (N)'!$C$17+15),1,0)</f>
        <v>0</v>
      </c>
      <c r="D59" s="68">
        <f t="shared" si="16"/>
        <v>22.5</v>
      </c>
      <c r="E59" s="69">
        <f ca="1">IF('Invoer gegevens (N)'!$C$16="","",E58+1)</f>
        <v>2041</v>
      </c>
      <c r="F59" s="84">
        <f ca="1">IF('Invoer gegevens (N)'!$C$17=E59,'Invoer gegevens (N)'!$C$10,IF(C59=1,K58,0))</f>
        <v>0</v>
      </c>
      <c r="G59" s="96">
        <f ca="1">IF(E59='Invoer gegevens (N)'!$C$17+15,K58,IF(C59&gt;=1,F59*VLOOKUP(E59,'Reeksen (N)'!$A$5:$B$76,2),0))</f>
        <v>0</v>
      </c>
      <c r="H59" s="84">
        <f ca="1">IF(E59='Invoer gegevens (N)'!$C$17+15,K58,(1-('Invoer gegevens (N)'!$F$20/12))*F59*MIN('Reeksen (N)'!B27,'Reeksen (N)'!D27))</f>
        <v>0</v>
      </c>
      <c r="I59" s="84">
        <f>IF('Reeksen (N)'!D27&lt;'Reeksen (N)'!B27,('Reeksen (N)'!B27-'Reeksen (N)'!D27)*F59,0)</f>
        <v>0</v>
      </c>
      <c r="J59" s="84">
        <f ca="1">IF(E59='Invoer gegevens (N)'!$C$17+16,0,('Invoer gegevens (N)'!$F$20/12)*F58*MIN('Reeksen (N)'!B26,'Reeksen (N)'!D26))</f>
        <v>0</v>
      </c>
      <c r="K59" s="97">
        <f ca="1">IF(E59&gt;='Invoer gegevens (N)'!$C$17+15,0,F59-G59)</f>
        <v>0</v>
      </c>
      <c r="L59" s="84">
        <f ca="1">IF('Invoer gegevens (N)'!$C$17=E59,0,IF(C59=1,Q58,0))</f>
        <v>0</v>
      </c>
      <c r="M59" s="96">
        <f ca="1">IF(E59='Invoer gegevens (N)'!$C$17+15,Q58,IF(C59&gt;=1,L59*VLOOKUP(E59,'Reeksen (N)'!$A$5:$B$76,2),0))</f>
        <v>0</v>
      </c>
      <c r="N59" s="84">
        <f ca="1">IF(C59='Invoer gegevens (N)'!$C$17+15,Q58,(1-('Invoer gegevens (N)'!$F$20/12))*L59*MIN('Reeksen (N)'!B27,'Reeksen (N)'!D27))</f>
        <v>0</v>
      </c>
      <c r="O59" s="84">
        <f>IF('Reeksen (N)'!D27&lt;'Reeksen (N)'!B27,('Reeksen (N)'!B27-'Reeksen (N)'!D27)*L59,0)</f>
        <v>0</v>
      </c>
      <c r="P59" s="84">
        <f ca="1">IF(E59='Invoer gegevens (N)'!$C$17+16,0,('Invoer gegevens (N)'!$F$20/12)*L58*MIN('Reeksen (N)'!B26,'Reeksen (N)'!D26))</f>
        <v>0</v>
      </c>
      <c r="Q59" s="84">
        <f ca="1">IF(E59&gt;='Invoer gegevens (N)'!$C$17+15,0,L59-M59+I59+O59)</f>
        <v>0</v>
      </c>
      <c r="R59" s="82">
        <f ca="1">IF('Invoer gegevens (N)'!$C$17=E59,'Invoer gegevens (N)'!$C$11,IF(C59=1,W58,0))</f>
        <v>0</v>
      </c>
      <c r="S59" s="86">
        <f ca="1">IF(E59='Invoer gegevens (N)'!$C$17+15,W58,IF(C59&gt;=1,R59*VLOOKUP(E59,'Reeksen (N)'!$A$5:$B$76,2),0))</f>
        <v>0</v>
      </c>
      <c r="T59" s="84">
        <f ca="1">IF(E59='Invoer gegevens (N)'!$C$17+15,W58,(1-('Invoer gegevens (N)'!$F$20/12))*R59*MIN('Reeksen (N)'!B27,'Reeksen (N)'!D27))</f>
        <v>0</v>
      </c>
      <c r="U59" s="84">
        <f>IF('Reeksen (N)'!D27&gt;='Reeksen (N)'!B27,0,IF('Reeksen (N)'!AD27&lt;='Reeksen (N)'!AE27,('Reeksen (N)'!B27-'Reeksen (N)'!D27)*R59,0))</f>
        <v>0</v>
      </c>
      <c r="V59" s="86">
        <f>IF('Reeksen (N)'!D27&gt;='Reeksen (N)'!B27,0,IF('Reeksen (N)'!AD27&gt;'Reeksen (N)'!AE27,('Reeksen (N)'!B27-'Reeksen (N)'!D27)*R59,0))</f>
        <v>0</v>
      </c>
      <c r="W59" s="97">
        <f ca="1">IF(E59&gt;='Invoer gegevens (N)'!$C$17+15,0,R59-S59)</f>
        <v>0</v>
      </c>
      <c r="X59" s="98">
        <f ca="1">IF('Invoer gegevens (N)'!$C$17=E59,'Invoer gegevens (N)'!$C$10-'Invoer gegevens (N)'!$C$11,IF(C59=1,AC58,0))</f>
        <v>0</v>
      </c>
      <c r="Y59" s="98">
        <f ca="1">IF(E59='Invoer gegevens (N)'!$C$17+15,AC58,IF(C59&gt;=1,X59*VLOOKUP(E59,'Reeksen (N)'!$A$5:$B$76,2),0))</f>
        <v>0</v>
      </c>
      <c r="Z59" s="98">
        <f ca="1">IF(E59='Invoer gegevens (N)'!$C$17+15,AC58,(1-('Invoer gegevens (N)'!$F$20/12))*X59*MIN('Reeksen (N)'!B27,'Reeksen (N)'!D27))</f>
        <v>0</v>
      </c>
      <c r="AA59" s="98">
        <f>IF('Reeksen (N)'!D27&gt;='Reeksen (N)'!B27,0,IF('Reeksen (N)'!AD27&lt;='Reeksen (N)'!AE27,('Reeksen (N)'!B27-'Reeksen (N)'!D27)*X59,0))</f>
        <v>0</v>
      </c>
      <c r="AB59" s="98">
        <f>IF('Reeksen (N)'!D27&gt;='Reeksen (N)'!B27,0,IF('Reeksen (N)'!AD27&gt;'Reeksen (N)'!AE27,('Reeksen (N)'!B27-'Reeksen (N)'!D27)*X59,0))</f>
        <v>0</v>
      </c>
      <c r="AC59" s="99">
        <f ca="1">IF(E59&gt;='Invoer gegevens (N)'!$C$17+15,0,X59-Y59)</f>
        <v>0</v>
      </c>
      <c r="AD59" s="98">
        <f ca="1">IF('Invoer gegevens (N)'!$C$17=E27,R59,IF(C27=0,0,AE58))</f>
        <v>0</v>
      </c>
      <c r="AE59" s="98">
        <f t="shared" ca="1" si="9"/>
        <v>0</v>
      </c>
      <c r="AF59" s="98">
        <f ca="1">IF('Invoer gegevens (N)'!$C$17=E27,X59,IF(C27=0,0,AG58))</f>
        <v>0</v>
      </c>
      <c r="AG59" s="98">
        <f t="shared" ca="1" si="10"/>
        <v>0</v>
      </c>
      <c r="AH59" s="66"/>
      <c r="AI59" s="71">
        <f ca="1">IF(C59=1,'Reeksen (N)'!AI27*((F59-G59+F59)/2)*12+'Reeksen (N)'!AD27*((L59-M59+L59)/2)*12,0)</f>
        <v>0</v>
      </c>
      <c r="AJ59" s="71">
        <f ca="1">-AI59*'Invoer gegevens (N)'!$F$28</f>
        <v>0</v>
      </c>
      <c r="AK59" s="71">
        <f t="shared" ca="1" si="11"/>
        <v>0</v>
      </c>
      <c r="AL59" s="71">
        <f ca="1">IF(C59=1,'Reeksen (N)'!AL27*((F59-G59+F59)/2)*12+'Reeksen (N)'!AM27*((L59-M59+L59)/2)*12,0)</f>
        <v>0</v>
      </c>
      <c r="AM59" s="71">
        <f ca="1">-AL59*'Invoer gegevens (N)'!$F$31</f>
        <v>0</v>
      </c>
      <c r="AN59" s="71">
        <f t="shared" ca="1" si="12"/>
        <v>0</v>
      </c>
      <c r="AO59" s="71">
        <f ca="1">IF(E59&gt;='Invoer gegevens (N)'!$C$17+15,0,IF(C59=1,(H59+J59+N59+P59)*'Reeksen (N)'!AN27,0))</f>
        <v>0</v>
      </c>
      <c r="AP59" s="71">
        <f ca="1">-IF(C59=1,(H59+J59+N59+P59)*'Hulp - basis'!$O$550*'Reeksen (N)'!H27,0)</f>
        <v>0</v>
      </c>
      <c r="AQ59" s="71">
        <f ca="1">-IF(C59=1,(F59+K59+L59+Q59)/2*'Invoer gegevens (N)'!$F$35*'Reeksen (N)'!J27,0)</f>
        <v>0</v>
      </c>
      <c r="AR59" s="71"/>
      <c r="AS59" s="71">
        <f ca="1">-IF(C59=1,(F59+K59+L59+Q59)/2*'Invoer gegevens (N)'!$F$37*'Reeksen (N)'!L27,0)</f>
        <v>0</v>
      </c>
      <c r="AT59" s="71">
        <f ca="1">-IF(C59=1,IF(E59='Invoer gegevens (N)'!$C$17,'Invoer gegevens (N)'!$C$11,AD59)*'Reeksen (N)'!S27*'Invoer gegevens (N)'!$C$18*'Reeksen (N)'!P27,0)</f>
        <v>0</v>
      </c>
      <c r="AU59" s="71">
        <f ca="1">-IF(C59=1,(F59+K59+L59+Q59)/2*'Invoer gegevens (N)'!$F$38*'Reeksen (N)'!H27,0)</f>
        <v>0</v>
      </c>
      <c r="AV59" s="71">
        <v>0</v>
      </c>
      <c r="AW59" s="71">
        <f t="shared" ca="1" si="13"/>
        <v>0</v>
      </c>
      <c r="AX59" s="72">
        <f ca="1">IF(E59='Invoer gegevens (N)'!$C$17+14,'RW - MW - UP (N)'!$AY$236,0)</f>
        <v>0</v>
      </c>
      <c r="AY59" s="72">
        <f ca="1">IFERROR(IF(E59='Invoer gegevens (N)'!$C$17,-'Invoer gegevens (N)'!$C$10*('Invoer gegevens (N)'!$C$30+'Invoer gegevens (N)'!$C$31)*'Reeksen (N)'!H27,0),0)</f>
        <v>0</v>
      </c>
      <c r="AZ59" s="73">
        <f ca="1">IF('Invoer gegevens (N)'!$C$34=E59,'Invoer gegevens (N)'!$C$27*'Invoer gegevens (N)'!$C$10*'Invoer gegevens (N)'!$C$36*(IF('Invoer gegevens (N)'!$C$35="ja",1,'Reeksen (N)'!J27)),IF('Invoer gegevens (N)'!$C$34+1=E59,'Invoer gegevens (N)'!$C$27*'Invoer gegevens (N)'!$C$10*'Invoer gegevens (N)'!$C$37*(IF('Invoer gegevens (N)'!$C$35="ja",1,'Reeksen (N)'!J27)),0))+IF(AND(E59='Invoer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9" s="73">
        <f ca="1">AW59/(1+'Invoer gegevens (N)'!$F$18)^($D59-('Invoer gegevens (N)'!$C$17-'Invoer gegevens (N)'!$C$16))/(1+'Invoer gegevens (N)'!$C$39)^('Invoer gegevens (N)'!$C$17-'Invoer gegevens (N)'!$C$16)</f>
        <v>0</v>
      </c>
      <c r="BB59" s="73">
        <f ca="1">AX59/(1+'Invoer gegevens (N)'!$F$18)^(E59-('Invoer gegevens (N)'!$C$17-1))/(1+'Invoer gegevens (N)'!$C$39)^('Invoer gegevens (N)'!$C$17-'Invoer gegevens (N)'!$C$16)</f>
        <v>0</v>
      </c>
      <c r="BC59" s="73">
        <f ca="1">AY59/(1+'Invoer gegevens (N)'!$C$39)^('Invoer gegevens (N)'!$C$17-'Invoer gegevens (N)'!$C$16)</f>
        <v>0</v>
      </c>
      <c r="BD59" s="72">
        <f t="shared" ca="1" si="14"/>
        <v>0</v>
      </c>
      <c r="BE59" s="72">
        <f ca="1">IF(AND(E59='Invoer gegevens (N)'!$C$16,'Invoer gegevens (N)'!$C$34&lt;'Invoer gegevens (N)'!$C$16),AZ59,AZ59/(1+'Invoer gegevens (N)'!$C$39)^D59)</f>
        <v>0</v>
      </c>
      <c r="BF59" s="72">
        <f ca="1">IF(E59='Invoer gegevens (N)'!$C$34,-'Invoer gegevens (N)'!$F$40,0)</f>
        <v>0</v>
      </c>
      <c r="BG59" s="72">
        <f ca="1">IF(E59='Invoer gegevens (N)'!$C$17,-'Invoer gegevens (N)'!$C$19*$BD$63,0)</f>
        <v>0</v>
      </c>
      <c r="BH59" s="72">
        <f ca="1">AW59/(1+$BH$36)^($D59-('Invoer gegevens (N)'!$C$17-'Invoer gegevens (N)'!$C$16))/(1+'Invoer gegevens (N)'!$C$39)^('Invoer gegevens (N)'!$C$17-'Invoer gegevens (N)'!$C$16)+AX59/(1+$BH$36)^(E59-('Invoer gegevens (N)'!$C$17-1))/(1+'Invoer gegevens (N)'!$C$39)^('Invoer gegevens (N)'!$C$17-'Invoer gegevens (N)'!$C$16)+AY59/(1+'Invoer gegevens (N)'!$C$39)^('Invoer gegevens (N)'!$C$17-'Invoer gegevens (N)'!$C$16)+(-AZ59/(1+'Invoer gegevens (N)'!$C$39)^D59)+BF59+BG59</f>
        <v>0</v>
      </c>
      <c r="BI59" s="59"/>
    </row>
    <row r="60" spans="1:61" x14ac:dyDescent="0.25">
      <c r="A60" s="59"/>
      <c r="B60" s="70">
        <f t="shared" si="15"/>
        <v>24</v>
      </c>
      <c r="C60" s="67">
        <f ca="1">IF(AND(E60&gt;='Invoer gegevens (N)'!$C$17,E60&lt;'Invoer gegevens (N)'!$C$17+15),1,0)</f>
        <v>0</v>
      </c>
      <c r="D60" s="68">
        <f t="shared" si="16"/>
        <v>23.5</v>
      </c>
      <c r="E60" s="69">
        <f ca="1">IF('Invoer gegevens (N)'!$C$16="","",E59+1)</f>
        <v>2042</v>
      </c>
      <c r="F60" s="84">
        <f ca="1">IF('Invoer gegevens (N)'!$C$17=E60,'Invoer gegevens (N)'!$C$10,IF(C60=1,K59,0))</f>
        <v>0</v>
      </c>
      <c r="G60" s="96">
        <f ca="1">IF(E60='Invoer gegevens (N)'!$C$17+15,K59,IF(C60&gt;=1,F60*VLOOKUP(E60,'Reeksen (N)'!$A$5:$B$76,2),0))</f>
        <v>0</v>
      </c>
      <c r="H60" s="84">
        <f ca="1">IF(E60='Invoer gegevens (N)'!$C$17+15,K59,(1-('Invoer gegevens (N)'!$F$20/12))*F60*MIN('Reeksen (N)'!B28,'Reeksen (N)'!D28))</f>
        <v>0</v>
      </c>
      <c r="I60" s="84">
        <f>IF('Reeksen (N)'!D28&lt;'Reeksen (N)'!B28,('Reeksen (N)'!B28-'Reeksen (N)'!D28)*F60,0)</f>
        <v>0</v>
      </c>
      <c r="J60" s="84">
        <f ca="1">IF(E60='Invoer gegevens (N)'!$C$17+16,0,('Invoer gegevens (N)'!$F$20/12)*F59*MIN('Reeksen (N)'!B27,'Reeksen (N)'!D27))</f>
        <v>0</v>
      </c>
      <c r="K60" s="97">
        <f ca="1">IF(E60&gt;='Invoer gegevens (N)'!$C$17+15,0,F60-G60)</f>
        <v>0</v>
      </c>
      <c r="L60" s="84">
        <f ca="1">IF('Invoer gegevens (N)'!$C$17=E60,0,IF(C60=1,Q59,0))</f>
        <v>0</v>
      </c>
      <c r="M60" s="96">
        <f ca="1">IF(E60='Invoer gegevens (N)'!$C$17+15,Q59,IF(C60&gt;=1,L60*VLOOKUP(E60,'Reeksen (N)'!$A$5:$B$76,2),0))</f>
        <v>0</v>
      </c>
      <c r="N60" s="84">
        <f ca="1">IF(C60='Invoer gegevens (N)'!$C$17+15,Q59,(1-('Invoer gegevens (N)'!$F$20/12))*L60*MIN('Reeksen (N)'!B28,'Reeksen (N)'!D28))</f>
        <v>0</v>
      </c>
      <c r="O60" s="84">
        <f>IF('Reeksen (N)'!D28&lt;'Reeksen (N)'!B28,('Reeksen (N)'!B28-'Reeksen (N)'!D28)*L60,0)</f>
        <v>0</v>
      </c>
      <c r="P60" s="84">
        <f ca="1">IF(E60='Invoer gegevens (N)'!$C$17+16,0,('Invoer gegevens (N)'!$F$20/12)*L59*MIN('Reeksen (N)'!B27,'Reeksen (N)'!D27))</f>
        <v>0</v>
      </c>
      <c r="Q60" s="84">
        <f ca="1">IF(E60&gt;='Invoer gegevens (N)'!$C$17+15,0,L60-M60+I60+O60)</f>
        <v>0</v>
      </c>
      <c r="R60" s="82">
        <f ca="1">IF('Invoer gegevens (N)'!$C$17=E60,'Invoer gegevens (N)'!$C$11,IF(C60=1,W59,0))</f>
        <v>0</v>
      </c>
      <c r="S60" s="86">
        <f ca="1">IF(E60='Invoer gegevens (N)'!$C$17+15,W59,IF(C60&gt;=1,R60*VLOOKUP(E60,'Reeksen (N)'!$A$5:$B$76,2),0))</f>
        <v>0</v>
      </c>
      <c r="T60" s="84">
        <f ca="1">IF(E60='Invoer gegevens (N)'!$C$17+15,W59,(1-('Invoer gegevens (N)'!$F$20/12))*R60*MIN('Reeksen (N)'!B28,'Reeksen (N)'!D28))</f>
        <v>0</v>
      </c>
      <c r="U60" s="84">
        <f>IF('Reeksen (N)'!D28&gt;='Reeksen (N)'!B28,0,IF('Reeksen (N)'!AD28&lt;='Reeksen (N)'!AE28,('Reeksen (N)'!B28-'Reeksen (N)'!D28)*R60,0))</f>
        <v>0</v>
      </c>
      <c r="V60" s="86">
        <f>IF('Reeksen (N)'!D28&gt;='Reeksen (N)'!B28,0,IF('Reeksen (N)'!AD28&gt;'Reeksen (N)'!AE28,('Reeksen (N)'!B28-'Reeksen (N)'!D28)*R60,0))</f>
        <v>0</v>
      </c>
      <c r="W60" s="97">
        <f ca="1">IF(E60&gt;='Invoer gegevens (N)'!$C$17+15,0,R60-S60)</f>
        <v>0</v>
      </c>
      <c r="X60" s="98">
        <f ca="1">IF('Invoer gegevens (N)'!$C$17=E60,'Invoer gegevens (N)'!$C$10-'Invoer gegevens (N)'!$C$11,IF(C60=1,AC59,0))</f>
        <v>0</v>
      </c>
      <c r="Y60" s="98">
        <f ca="1">IF(E60='Invoer gegevens (N)'!$C$17+15,AC59,IF(C60&gt;=1,X60*VLOOKUP(E60,'Reeksen (N)'!$A$5:$B$76,2),0))</f>
        <v>0</v>
      </c>
      <c r="Z60" s="98">
        <f ca="1">IF(E60='Invoer gegevens (N)'!$C$17+15,AC59,(1-('Invoer gegevens (N)'!$F$20/12))*X60*MIN('Reeksen (N)'!B28,'Reeksen (N)'!D28))</f>
        <v>0</v>
      </c>
      <c r="AA60" s="98">
        <f>IF('Reeksen (N)'!D28&gt;='Reeksen (N)'!B28,0,IF('Reeksen (N)'!AD28&lt;='Reeksen (N)'!AE28,('Reeksen (N)'!B28-'Reeksen (N)'!D28)*X60,0))</f>
        <v>0</v>
      </c>
      <c r="AB60" s="98">
        <f>IF('Reeksen (N)'!D28&gt;='Reeksen (N)'!B28,0,IF('Reeksen (N)'!AD28&gt;'Reeksen (N)'!AE28,('Reeksen (N)'!B28-'Reeksen (N)'!D28)*X60,0))</f>
        <v>0</v>
      </c>
      <c r="AC60" s="99">
        <f ca="1">IF(E60&gt;='Invoer gegevens (N)'!$C$17+15,0,X60-Y60)</f>
        <v>0</v>
      </c>
      <c r="AD60" s="98">
        <f ca="1">IF('Invoer gegevens (N)'!$C$17=E28,R60,IF(C28=0,0,AE59))</f>
        <v>0</v>
      </c>
      <c r="AE60" s="98">
        <f t="shared" ca="1" si="9"/>
        <v>0</v>
      </c>
      <c r="AF60" s="98">
        <f ca="1">IF('Invoer gegevens (N)'!$C$17=E28,X60,IF(C28=0,0,AG59))</f>
        <v>0</v>
      </c>
      <c r="AG60" s="98">
        <f t="shared" ca="1" si="10"/>
        <v>0</v>
      </c>
      <c r="AH60" s="66"/>
      <c r="AI60" s="71">
        <f ca="1">IF(C60=1,'Reeksen (N)'!AI28*((F60-G60+F60)/2)*12+'Reeksen (N)'!AD28*((L60-M60+L60)/2)*12,0)</f>
        <v>0</v>
      </c>
      <c r="AJ60" s="71">
        <f ca="1">-AI60*'Invoer gegevens (N)'!$F$28</f>
        <v>0</v>
      </c>
      <c r="AK60" s="71">
        <f t="shared" ca="1" si="11"/>
        <v>0</v>
      </c>
      <c r="AL60" s="71">
        <f ca="1">IF(C60=1,'Reeksen (N)'!AL28*((F60-G60+F60)/2)*12+'Reeksen (N)'!AM28*((L60-M60+L60)/2)*12,0)</f>
        <v>0</v>
      </c>
      <c r="AM60" s="71">
        <f ca="1">-AL60*'Invoer gegevens (N)'!$F$31</f>
        <v>0</v>
      </c>
      <c r="AN60" s="71">
        <f t="shared" ca="1" si="12"/>
        <v>0</v>
      </c>
      <c r="AO60" s="71">
        <f ca="1">IF(E60&gt;='Invoer gegevens (N)'!$C$17+15,0,IF(C60=1,(H60+J60+N60+P60)*'Reeksen (N)'!AN28,0))</f>
        <v>0</v>
      </c>
      <c r="AP60" s="71">
        <f ca="1">-IF(C60=1,(H60+J60+N60+P60)*'Hulp - basis'!$O$550*'Reeksen (N)'!H28,0)</f>
        <v>0</v>
      </c>
      <c r="AQ60" s="71">
        <f ca="1">-IF(C60=1,(F60+K60+L60+Q60)/2*'Invoer gegevens (N)'!$F$35*'Reeksen (N)'!J28,0)</f>
        <v>0</v>
      </c>
      <c r="AR60" s="71"/>
      <c r="AS60" s="71">
        <f ca="1">-IF(C60=1,(F60+K60+L60+Q60)/2*'Invoer gegevens (N)'!$F$37*'Reeksen (N)'!L28,0)</f>
        <v>0</v>
      </c>
      <c r="AT60" s="71">
        <f ca="1">-IF(C60=1,IF(E60='Invoer gegevens (N)'!$C$17,'Invoer gegevens (N)'!$C$11,AD60)*'Reeksen (N)'!S28*'Invoer gegevens (N)'!$C$18*'Reeksen (N)'!P28,0)</f>
        <v>0</v>
      </c>
      <c r="AU60" s="71">
        <f ca="1">-IF(C60=1,(F60+K60+L60+Q60)/2*'Invoer gegevens (N)'!$F$38*'Reeksen (N)'!H28,0)</f>
        <v>0</v>
      </c>
      <c r="AV60" s="71">
        <v>0</v>
      </c>
      <c r="AW60" s="71">
        <f t="shared" ca="1" si="13"/>
        <v>0</v>
      </c>
      <c r="AX60" s="72">
        <f ca="1">IF(E60='Invoer gegevens (N)'!$C$17+14,'RW - MW - UP (N)'!$AY$236,0)</f>
        <v>0</v>
      </c>
      <c r="AY60" s="72">
        <f ca="1">IFERROR(IF(E60='Invoer gegevens (N)'!$C$17,-'Invoer gegevens (N)'!$C$10*('Invoer gegevens (N)'!$C$30+'Invoer gegevens (N)'!$C$31)*'Reeksen (N)'!H28,0),0)</f>
        <v>0</v>
      </c>
      <c r="AZ60" s="73">
        <f ca="1">IF('Invoer gegevens (N)'!$C$34=E60,'Invoer gegevens (N)'!$C$27*'Invoer gegevens (N)'!$C$10*'Invoer gegevens (N)'!$C$36*(IF('Invoer gegevens (N)'!$C$35="ja",1,'Reeksen (N)'!J28)),IF('Invoer gegevens (N)'!$C$34+1=E60,'Invoer gegevens (N)'!$C$27*'Invoer gegevens (N)'!$C$10*'Invoer gegevens (N)'!$C$37*(IF('Invoer gegevens (N)'!$C$35="ja",1,'Reeksen (N)'!J28)),0))+IF(AND(E60='Invoer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60" s="73">
        <f ca="1">AW60/(1+'Invoer gegevens (N)'!$F$18)^($D60-('Invoer gegevens (N)'!$C$17-'Invoer gegevens (N)'!$C$16))/(1+'Invoer gegevens (N)'!$C$39)^('Invoer gegevens (N)'!$C$17-'Invoer gegevens (N)'!$C$16)</f>
        <v>0</v>
      </c>
      <c r="BB60" s="73">
        <f ca="1">AX60/(1+'Invoer gegevens (N)'!$F$18)^(E60-('Invoer gegevens (N)'!$C$17-1))/(1+'Invoer gegevens (N)'!$C$39)^('Invoer gegevens (N)'!$C$17-'Invoer gegevens (N)'!$C$16)</f>
        <v>0</v>
      </c>
      <c r="BC60" s="73">
        <f ca="1">AY60/(1+'Invoer gegevens (N)'!$C$39)^('Invoer gegevens (N)'!$C$17-'Invoer gegevens (N)'!$C$16)</f>
        <v>0</v>
      </c>
      <c r="BD60" s="72">
        <f t="shared" ca="1" si="14"/>
        <v>0</v>
      </c>
      <c r="BE60" s="72">
        <f ca="1">IF(AND(E60='Invoer gegevens (N)'!$C$16,'Invoer gegevens (N)'!$C$34&lt;'Invoer gegevens (N)'!$C$16),AZ60,AZ60/(1+'Invoer gegevens (N)'!$C$39)^D60)</f>
        <v>0</v>
      </c>
      <c r="BF60" s="72">
        <f ca="1">IF(E60='Invoer gegevens (N)'!$C$34,-'Invoer gegevens (N)'!$F$40,0)</f>
        <v>0</v>
      </c>
      <c r="BG60" s="72">
        <f ca="1">IF(E60='Invoer gegevens (N)'!$C$17,-'Invoer gegevens (N)'!$C$19*$BD$63,0)</f>
        <v>0</v>
      </c>
      <c r="BH60" s="72">
        <f ca="1">AW60/(1+$BH$36)^($D60-('Invoer gegevens (N)'!$C$17-'Invoer gegevens (N)'!$C$16))/(1+'Invoer gegevens (N)'!$C$39)^('Invoer gegevens (N)'!$C$17-'Invoer gegevens (N)'!$C$16)+AX60/(1+$BH$36)^(E60-('Invoer gegevens (N)'!$C$17-1))/(1+'Invoer gegevens (N)'!$C$39)^('Invoer gegevens (N)'!$C$17-'Invoer gegevens (N)'!$C$16)+AY60/(1+'Invoer gegevens (N)'!$C$39)^('Invoer gegevens (N)'!$C$17-'Invoer gegevens (N)'!$C$16)+(-AZ60/(1+'Invoer gegevens (N)'!$C$39)^D60)+BF60+BG60</f>
        <v>0</v>
      </c>
      <c r="BI60" s="59"/>
    </row>
    <row r="61" spans="1:61" x14ac:dyDescent="0.25">
      <c r="A61" s="59"/>
      <c r="B61" s="70">
        <f t="shared" si="15"/>
        <v>25</v>
      </c>
      <c r="C61" s="67">
        <f ca="1">IF(AND(E61&gt;='Invoer gegevens (N)'!$C$17,E61&lt;'Invoer gegevens (N)'!$C$17+15),1,0)</f>
        <v>0</v>
      </c>
      <c r="D61" s="68">
        <f t="shared" si="16"/>
        <v>24.5</v>
      </c>
      <c r="E61" s="69">
        <f ca="1">IF('Invoer gegevens (N)'!$C$16="","",E60+1)</f>
        <v>2043</v>
      </c>
      <c r="F61" s="84">
        <f ca="1">IF('Invoer gegevens (N)'!$C$17=E61,'Invoer gegevens (N)'!$C$10,IF(C61=1,K60,0))</f>
        <v>0</v>
      </c>
      <c r="G61" s="96">
        <f ca="1">IF(E61='Invoer gegevens (N)'!$C$17+15,K60,IF(C61&gt;=1,F61*VLOOKUP(E61,'Reeksen (N)'!$A$5:$B$76,2),0))</f>
        <v>0</v>
      </c>
      <c r="H61" s="84">
        <f ca="1">IF(E61='Invoer gegevens (N)'!$C$17+15,K60,(1-('Invoer gegevens (N)'!$F$20/12))*F61*MIN('Reeksen (N)'!B29,'Reeksen (N)'!D29))</f>
        <v>0</v>
      </c>
      <c r="I61" s="84">
        <f>IF('Reeksen (N)'!D29&lt;'Reeksen (N)'!B29,('Reeksen (N)'!B29-'Reeksen (N)'!D29)*F61,0)</f>
        <v>0</v>
      </c>
      <c r="J61" s="84">
        <f ca="1">IF(E61='Invoer gegevens (N)'!$C$17+16,0,('Invoer gegevens (N)'!$F$20/12)*F60*MIN('Reeksen (N)'!B28,'Reeksen (N)'!D28))</f>
        <v>0</v>
      </c>
      <c r="K61" s="97">
        <f ca="1">IF(E61&gt;='Invoer gegevens (N)'!$C$17+15,0,F61-G61)</f>
        <v>0</v>
      </c>
      <c r="L61" s="84">
        <f ca="1">IF('Invoer gegevens (N)'!$C$17=E61,0,IF(C61=1,Q60,0))</f>
        <v>0</v>
      </c>
      <c r="M61" s="96">
        <f ca="1">IF(E61='Invoer gegevens (N)'!$C$17+15,Q60,IF(C61&gt;=1,L61*VLOOKUP(E61,'Reeksen (N)'!$A$5:$B$76,2),0))</f>
        <v>0</v>
      </c>
      <c r="N61" s="84">
        <f ca="1">IF(C61='Invoer gegevens (N)'!$C$17+15,Q60,(1-('Invoer gegevens (N)'!$F$20/12))*L61*MIN('Reeksen (N)'!B29,'Reeksen (N)'!D29))</f>
        <v>0</v>
      </c>
      <c r="O61" s="84">
        <f>IF('Reeksen (N)'!D29&lt;'Reeksen (N)'!B29,('Reeksen (N)'!B29-'Reeksen (N)'!D29)*L61,0)</f>
        <v>0</v>
      </c>
      <c r="P61" s="84">
        <f ca="1">IF(E61='Invoer gegevens (N)'!$C$17+16,0,('Invoer gegevens (N)'!$F$20/12)*L60*MIN('Reeksen (N)'!B28,'Reeksen (N)'!D28))</f>
        <v>0</v>
      </c>
      <c r="Q61" s="84">
        <f ca="1">IF(E61&gt;='Invoer gegevens (N)'!$C$17+15,0,L61-M61+I61+O61)</f>
        <v>0</v>
      </c>
      <c r="R61" s="82">
        <f ca="1">IF('Invoer gegevens (N)'!$C$17=E61,'Invoer gegevens (N)'!$C$11,IF(C61=1,W60,0))</f>
        <v>0</v>
      </c>
      <c r="S61" s="86">
        <f ca="1">IF(E61='Invoer gegevens (N)'!$C$17+15,W60,IF(C61&gt;=1,R61*VLOOKUP(E61,'Reeksen (N)'!$A$5:$B$76,2),0))</f>
        <v>0</v>
      </c>
      <c r="T61" s="84">
        <f ca="1">IF(E61='Invoer gegevens (N)'!$C$17+15,W60,(1-('Invoer gegevens (N)'!$F$20/12))*R61*MIN('Reeksen (N)'!B29,'Reeksen (N)'!D29))</f>
        <v>0</v>
      </c>
      <c r="U61" s="84">
        <f>IF('Reeksen (N)'!D29&gt;='Reeksen (N)'!B29,0,IF('Reeksen (N)'!AD29&lt;='Reeksen (N)'!AE29,('Reeksen (N)'!B29-'Reeksen (N)'!D29)*R61,0))</f>
        <v>0</v>
      </c>
      <c r="V61" s="86">
        <f>IF('Reeksen (N)'!D29&gt;='Reeksen (N)'!B29,0,IF('Reeksen (N)'!AD29&gt;'Reeksen (N)'!AE29,('Reeksen (N)'!B29-'Reeksen (N)'!D29)*R61,0))</f>
        <v>0</v>
      </c>
      <c r="W61" s="97">
        <f ca="1">IF(E61&gt;='Invoer gegevens (N)'!$C$17+15,0,R61-S61)</f>
        <v>0</v>
      </c>
      <c r="X61" s="98">
        <f ca="1">IF('Invoer gegevens (N)'!$C$17=E61,'Invoer gegevens (N)'!$C$10-'Invoer gegevens (N)'!$C$11,IF(C61=1,AC60,0))</f>
        <v>0</v>
      </c>
      <c r="Y61" s="98">
        <f ca="1">IF(E61='Invoer gegevens (N)'!$C$17+15,AC60,IF(C61&gt;=1,X61*VLOOKUP(E61,'Reeksen (N)'!$A$5:$B$76,2),0))</f>
        <v>0</v>
      </c>
      <c r="Z61" s="98">
        <f ca="1">IF(E61='Invoer gegevens (N)'!$C$17+15,AC60,(1-('Invoer gegevens (N)'!$F$20/12))*X61*MIN('Reeksen (N)'!B29,'Reeksen (N)'!D29))</f>
        <v>0</v>
      </c>
      <c r="AA61" s="98">
        <f>IF('Reeksen (N)'!D29&gt;='Reeksen (N)'!B29,0,IF('Reeksen (N)'!AD29&lt;='Reeksen (N)'!AE29,('Reeksen (N)'!B29-'Reeksen (N)'!D29)*X61,0))</f>
        <v>0</v>
      </c>
      <c r="AB61" s="98">
        <f>IF('Reeksen (N)'!D29&gt;='Reeksen (N)'!B29,0,IF('Reeksen (N)'!AD29&gt;'Reeksen (N)'!AE29,('Reeksen (N)'!B29-'Reeksen (N)'!D29)*X61,0))</f>
        <v>0</v>
      </c>
      <c r="AC61" s="99">
        <f ca="1">IF(E61&gt;='Invoer gegevens (N)'!$C$17+15,0,X61-Y61)</f>
        <v>0</v>
      </c>
      <c r="AD61" s="98">
        <f ca="1">IF('Invoer gegevens (N)'!$C$17=E29,R61,IF(C29=0,0,AE60))</f>
        <v>0</v>
      </c>
      <c r="AE61" s="98">
        <f t="shared" ca="1" si="9"/>
        <v>0</v>
      </c>
      <c r="AF61" s="98">
        <f ca="1">IF('Invoer gegevens (N)'!$C$17=E29,X61,IF(C29=0,0,AG60))</f>
        <v>0</v>
      </c>
      <c r="AG61" s="98">
        <f t="shared" ca="1" si="10"/>
        <v>0</v>
      </c>
      <c r="AH61" s="66"/>
      <c r="AI61" s="71">
        <f ca="1">IF(C61=1,'Reeksen (N)'!AI29*((F61-G61+F61)/2)*12+'Reeksen (N)'!AD29*((L61-M61+L61)/2)*12,0)</f>
        <v>0</v>
      </c>
      <c r="AJ61" s="71">
        <f ca="1">-AI61*'Invoer gegevens (N)'!$F$28</f>
        <v>0</v>
      </c>
      <c r="AK61" s="71">
        <f t="shared" ca="1" si="11"/>
        <v>0</v>
      </c>
      <c r="AL61" s="71">
        <f ca="1">IF(C61=1,'Reeksen (N)'!AL29*((F61-G61+F61)/2)*12+'Reeksen (N)'!AM29*((L61-M61+L61)/2)*12,0)</f>
        <v>0</v>
      </c>
      <c r="AM61" s="71">
        <f ca="1">-AL61*'Invoer gegevens (N)'!$F$31</f>
        <v>0</v>
      </c>
      <c r="AN61" s="71">
        <f t="shared" ca="1" si="12"/>
        <v>0</v>
      </c>
      <c r="AO61" s="71">
        <f ca="1">IF(E61&gt;='Invoer gegevens (N)'!$C$17+15,0,IF(C61=1,(H61+J61+N61+P61)*'Reeksen (N)'!AN29,0))</f>
        <v>0</v>
      </c>
      <c r="AP61" s="71">
        <f ca="1">-IF(C61=1,(H61+J61+N61+P61)*'Hulp - basis'!$O$550*'Reeksen (N)'!H29,0)</f>
        <v>0</v>
      </c>
      <c r="AQ61" s="71">
        <f ca="1">-IF(C61=1,(F61+K61+L61+Q61)/2*'Invoer gegevens (N)'!$F$35*'Reeksen (N)'!J29,0)</f>
        <v>0</v>
      </c>
      <c r="AR61" s="71"/>
      <c r="AS61" s="71">
        <f ca="1">-IF(C61=1,(F61+K61+L61+Q61)/2*'Invoer gegevens (N)'!$F$37*'Reeksen (N)'!L29,0)</f>
        <v>0</v>
      </c>
      <c r="AT61" s="71">
        <f ca="1">-IF(C61=1,IF(E61='Invoer gegevens (N)'!$C$17,'Invoer gegevens (N)'!$C$11,AD61)*'Reeksen (N)'!S29*'Invoer gegevens (N)'!$C$18*'Reeksen (N)'!P29,0)</f>
        <v>0</v>
      </c>
      <c r="AU61" s="71">
        <f ca="1">-IF(C61=1,(F61+K61+L61+Q61)/2*'Invoer gegevens (N)'!$F$38*'Reeksen (N)'!H29,0)</f>
        <v>0</v>
      </c>
      <c r="AV61" s="71">
        <v>0</v>
      </c>
      <c r="AW61" s="71">
        <f t="shared" ca="1" si="13"/>
        <v>0</v>
      </c>
      <c r="AX61" s="72">
        <f ca="1">IF(E61='Invoer gegevens (N)'!$C$17+14,'RW - MW - UP (N)'!$AY$236,0)</f>
        <v>0</v>
      </c>
      <c r="AY61" s="72">
        <f ca="1">IFERROR(IF(E61='Invoer gegevens (N)'!$C$17,-'Invoer gegevens (N)'!$C$10*('Invoer gegevens (N)'!$C$30+'Invoer gegevens (N)'!$C$31)*'Reeksen (N)'!H29,0),0)</f>
        <v>0</v>
      </c>
      <c r="AZ61" s="73">
        <f ca="1">IF('Invoer gegevens (N)'!$C$34=E61,'Invoer gegevens (N)'!$C$27*'Invoer gegevens (N)'!$C$10*'Invoer gegevens (N)'!$C$36*(IF('Invoer gegevens (N)'!$C$35="ja",1,'Reeksen (N)'!J29)),IF('Invoer gegevens (N)'!$C$34+1=E61,'Invoer gegevens (N)'!$C$27*'Invoer gegevens (N)'!$C$10*'Invoer gegevens (N)'!$C$37*(IF('Invoer gegevens (N)'!$C$35="ja",1,'Reeksen (N)'!J29)),0))+IF(AND(E61='Invoer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61" s="73">
        <f ca="1">AW61/(1+'Invoer gegevens (N)'!$F$18)^($D61-('Invoer gegevens (N)'!$C$17-'Invoer gegevens (N)'!$C$16))/(1+'Invoer gegevens (N)'!$C$39)^('Invoer gegevens (N)'!$C$17-'Invoer gegevens (N)'!$C$16)</f>
        <v>0</v>
      </c>
      <c r="BB61" s="73">
        <f ca="1">AX61/(1+'Invoer gegevens (N)'!$F$18)^(E61-('Invoer gegevens (N)'!$C$17-1))/(1+'Invoer gegevens (N)'!$C$39)^('Invoer gegevens (N)'!$C$17-'Invoer gegevens (N)'!$C$16)</f>
        <v>0</v>
      </c>
      <c r="BC61" s="73">
        <f ca="1">AY61/(1+'Invoer gegevens (N)'!$C$39)^('Invoer gegevens (N)'!$C$17-'Invoer gegevens (N)'!$C$16)</f>
        <v>0</v>
      </c>
      <c r="BD61" s="72">
        <f t="shared" ca="1" si="14"/>
        <v>0</v>
      </c>
      <c r="BE61" s="72">
        <f ca="1">IF(AND(E61='Invoer gegevens (N)'!$C$16,'Invoer gegevens (N)'!$C$34&lt;'Invoer gegevens (N)'!$C$16),AZ61,AZ61/(1+'Invoer gegevens (N)'!$C$39)^D61)</f>
        <v>0</v>
      </c>
      <c r="BF61" s="72">
        <f ca="1">IF(E61='Invoer gegevens (N)'!$C$34,-'Invoer gegevens (N)'!$F$40,0)</f>
        <v>0</v>
      </c>
      <c r="BG61" s="72">
        <f ca="1">IF(E61='Invoer gegevens (N)'!$C$17,-'Invoer gegevens (N)'!$C$19*$BD$63,0)</f>
        <v>0</v>
      </c>
      <c r="BH61" s="72">
        <f ca="1">AW61/(1+$BH$36)^($D61-('Invoer gegevens (N)'!$C$17-'Invoer gegevens (N)'!$C$16))/(1+'Invoer gegevens (N)'!$C$39)^('Invoer gegevens (N)'!$C$17-'Invoer gegevens (N)'!$C$16)+AX61/(1+$BH$36)^(E61-('Invoer gegevens (N)'!$C$17-1))/(1+'Invoer gegevens (N)'!$C$39)^('Invoer gegevens (N)'!$C$17-'Invoer gegevens (N)'!$C$16)+AY61/(1+'Invoer gegevens (N)'!$C$39)^('Invoer gegevens (N)'!$C$17-'Invoer gegevens (N)'!$C$16)+(-AZ61/(1+'Invoer gegevens (N)'!$C$39)^D61)+BF61+BG61</f>
        <v>0</v>
      </c>
      <c r="BI61" s="59"/>
    </row>
    <row r="62" spans="1:61" x14ac:dyDescent="0.25">
      <c r="A62" s="59"/>
      <c r="B62" s="70"/>
      <c r="C62" s="70"/>
      <c r="D62" s="70"/>
      <c r="E62" s="70"/>
      <c r="F62" s="70"/>
      <c r="G62" s="68"/>
      <c r="H62" s="70"/>
      <c r="I62" s="70"/>
      <c r="J62" s="68"/>
      <c r="K62" s="68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68"/>
      <c r="AC62" s="70"/>
      <c r="AD62" s="70"/>
      <c r="AE62" s="70"/>
      <c r="AF62" s="70"/>
      <c r="AG62" s="70"/>
      <c r="AH62" s="70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</row>
    <row r="63" spans="1:61" x14ac:dyDescent="0.25">
      <c r="A63" s="59"/>
      <c r="B63" s="70"/>
      <c r="C63" s="70"/>
      <c r="D63" s="70"/>
      <c r="E63" s="70"/>
      <c r="F63" s="70"/>
      <c r="G63" s="70"/>
      <c r="H63" s="75"/>
      <c r="I63" s="75"/>
      <c r="J63" s="75"/>
      <c r="K63" s="75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95"/>
      <c r="AI63" s="78">
        <f t="shared" ref="AI63:BG63" ca="1" si="17">SUM(AI37:AI61)</f>
        <v>0</v>
      </c>
      <c r="AJ63" s="78">
        <f t="shared" ca="1" si="17"/>
        <v>0</v>
      </c>
      <c r="AK63" s="78">
        <f t="shared" ca="1" si="17"/>
        <v>0</v>
      </c>
      <c r="AL63" s="78">
        <f t="shared" ca="1" si="17"/>
        <v>0</v>
      </c>
      <c r="AM63" s="78">
        <f t="shared" ca="1" si="17"/>
        <v>0</v>
      </c>
      <c r="AN63" s="78">
        <f t="shared" ca="1" si="17"/>
        <v>0</v>
      </c>
      <c r="AO63" s="78">
        <f t="shared" ca="1" si="17"/>
        <v>0</v>
      </c>
      <c r="AP63" s="78">
        <f t="shared" ca="1" si="17"/>
        <v>0</v>
      </c>
      <c r="AQ63" s="78">
        <f t="shared" ca="1" si="17"/>
        <v>0</v>
      </c>
      <c r="AR63" s="78">
        <f t="shared" si="17"/>
        <v>0</v>
      </c>
      <c r="AS63" s="78">
        <f t="shared" ca="1" si="17"/>
        <v>0</v>
      </c>
      <c r="AT63" s="78">
        <f t="shared" ca="1" si="17"/>
        <v>0</v>
      </c>
      <c r="AU63" s="78">
        <f t="shared" ca="1" si="17"/>
        <v>0</v>
      </c>
      <c r="AV63" s="78">
        <f t="shared" si="17"/>
        <v>0</v>
      </c>
      <c r="AW63" s="78">
        <f t="shared" ca="1" si="17"/>
        <v>0</v>
      </c>
      <c r="AX63" s="78">
        <f t="shared" ca="1" si="17"/>
        <v>0</v>
      </c>
      <c r="AY63" s="78">
        <f t="shared" ca="1" si="17"/>
        <v>0</v>
      </c>
      <c r="AZ63" s="78">
        <f t="shared" ca="1" si="17"/>
        <v>0</v>
      </c>
      <c r="BA63" s="78">
        <f t="shared" ca="1" si="17"/>
        <v>0</v>
      </c>
      <c r="BB63" s="78">
        <f t="shared" ca="1" si="17"/>
        <v>0</v>
      </c>
      <c r="BC63" s="78">
        <f t="shared" ca="1" si="17"/>
        <v>0</v>
      </c>
      <c r="BD63" s="78">
        <f t="shared" ca="1" si="17"/>
        <v>0</v>
      </c>
      <c r="BE63" s="78">
        <f t="shared" ca="1" si="17"/>
        <v>0</v>
      </c>
      <c r="BF63" s="78">
        <f t="shared" ca="1" si="17"/>
        <v>0</v>
      </c>
      <c r="BG63" s="78">
        <f t="shared" ca="1" si="17"/>
        <v>0</v>
      </c>
      <c r="BH63" s="78">
        <f ca="1">SUM(BH37:BH61)</f>
        <v>0</v>
      </c>
      <c r="BI63" s="59"/>
    </row>
    <row r="64" spans="1:61" x14ac:dyDescent="0.25">
      <c r="A64" s="59"/>
      <c r="BI64" s="59"/>
    </row>
    <row r="65" spans="1:61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64"/>
      <c r="BG65" s="64"/>
      <c r="BH65" s="64"/>
      <c r="BI65" s="64"/>
    </row>
    <row r="66" spans="1:61" x14ac:dyDescent="0.25">
      <c r="AI66" s="100"/>
    </row>
    <row r="67" spans="1:61" x14ac:dyDescent="0.25">
      <c r="AK67" s="101"/>
    </row>
  </sheetData>
  <mergeCells count="35">
    <mergeCell ref="AF35:AF36"/>
    <mergeCell ref="U35:U36"/>
    <mergeCell ref="V35:V36"/>
    <mergeCell ref="W35:W36"/>
    <mergeCell ref="X35:X36"/>
    <mergeCell ref="Y35:Y36"/>
    <mergeCell ref="Z35:Z36"/>
    <mergeCell ref="AA35:AA36"/>
    <mergeCell ref="AB35:AB36"/>
    <mergeCell ref="AC35:AC36"/>
    <mergeCell ref="AD35:AD36"/>
    <mergeCell ref="AE35:AE36"/>
    <mergeCell ref="T35:T36"/>
    <mergeCell ref="X34:AC34"/>
    <mergeCell ref="AD34:AG34"/>
    <mergeCell ref="F35:F36"/>
    <mergeCell ref="G35:G36"/>
    <mergeCell ref="H35:H36"/>
    <mergeCell ref="I35:I36"/>
    <mergeCell ref="J35:J36"/>
    <mergeCell ref="L35:L36"/>
    <mergeCell ref="M35:M36"/>
    <mergeCell ref="N35:N36"/>
    <mergeCell ref="O35:O36"/>
    <mergeCell ref="P35:P36"/>
    <mergeCell ref="Q35:Q36"/>
    <mergeCell ref="R35:R36"/>
    <mergeCell ref="S35:S36"/>
    <mergeCell ref="F2:H2"/>
    <mergeCell ref="I2:L2"/>
    <mergeCell ref="M2:P2"/>
    <mergeCell ref="Q2:T2"/>
    <mergeCell ref="F34:K34"/>
    <mergeCell ref="L34:Q34"/>
    <mergeCell ref="R34:W34"/>
  </mergeCells>
  <pageMargins left="0.7" right="0.7" top="0.75" bottom="0.75" header="0.3" footer="0.3"/>
  <pageSetup paperSize="0" orientation="portrait" horizontalDpi="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BP79"/>
  <sheetViews>
    <sheetView showGridLines="0" topLeftCell="A17" workbookViewId="0">
      <selection activeCell="AJ39" sqref="AJ39"/>
    </sheetView>
  </sheetViews>
  <sheetFormatPr defaultRowHeight="15" outlineLevelRow="1" outlineLevelCol="1" x14ac:dyDescent="0.25"/>
  <cols>
    <col min="1" max="1" width="1.5703125" style="60" customWidth="1"/>
    <col min="2" max="2" width="4.85546875" style="60" hidden="1" customWidth="1" outlineLevel="1"/>
    <col min="3" max="4" width="6" style="60" hidden="1" customWidth="1" outlineLevel="1"/>
    <col min="5" max="6" width="6.5703125" style="60" hidden="1" customWidth="1" outlineLevel="1"/>
    <col min="7" max="7" width="8.7109375" style="60" hidden="1" customWidth="1" outlineLevel="1"/>
    <col min="8" max="8" width="11.5703125" style="60" hidden="1" customWidth="1" outlineLevel="1"/>
    <col min="9" max="9" width="9.28515625" style="60" hidden="1" customWidth="1" outlineLevel="1"/>
    <col min="10" max="10" width="9.7109375" style="60" hidden="1" customWidth="1" outlineLevel="1"/>
    <col min="11" max="11" width="10.42578125" style="60" hidden="1" customWidth="1" outlineLevel="1"/>
    <col min="12" max="12" width="8.7109375" style="60" hidden="1" customWidth="1" outlineLevel="1"/>
    <col min="13" max="13" width="9.42578125" style="60" hidden="1" customWidth="1" outlineLevel="1"/>
    <col min="14" max="14" width="8.7109375" style="60" hidden="1" customWidth="1" outlineLevel="1"/>
    <col min="15" max="15" width="10.5703125" style="60" hidden="1" customWidth="1" outlineLevel="1"/>
    <col min="16" max="16" width="9.85546875" style="60" hidden="1" customWidth="1" outlineLevel="1"/>
    <col min="17" max="17" width="8.7109375" style="60" hidden="1" customWidth="1" outlineLevel="1"/>
    <col min="18" max="18" width="10.28515625" style="60" hidden="1" customWidth="1" outlineLevel="1"/>
    <col min="19" max="19" width="9.140625" style="60" hidden="1" customWidth="1" outlineLevel="1"/>
    <col min="20" max="21" width="10.42578125" style="60" hidden="1" customWidth="1" outlineLevel="1"/>
    <col min="22" max="22" width="14.140625" style="60" hidden="1" customWidth="1" outlineLevel="1"/>
    <col min="23" max="28" width="8.85546875" style="60" hidden="1" customWidth="1" outlineLevel="1"/>
    <col min="29" max="29" width="9.7109375" style="60" hidden="1" customWidth="1" outlineLevel="1"/>
    <col min="30" max="31" width="9.5703125" style="60" hidden="1" customWidth="1" outlineLevel="1"/>
    <col min="32" max="32" width="10.7109375" style="60" hidden="1" customWidth="1" outlineLevel="1"/>
    <col min="33" max="33" width="9.5703125" style="60" hidden="1" customWidth="1" outlineLevel="1"/>
    <col min="34" max="34" width="2.85546875" style="60" hidden="1" customWidth="1" outlineLevel="1"/>
    <col min="35" max="35" width="12" style="60" bestFit="1" customWidth="1" collapsed="1"/>
    <col min="36" max="36" width="9.85546875" style="60" bestFit="1" customWidth="1"/>
    <col min="37" max="37" width="12" style="60" bestFit="1" customWidth="1"/>
    <col min="38" max="40" width="12" style="60" customWidth="1"/>
    <col min="41" max="41" width="11.85546875" style="60" bestFit="1" customWidth="1"/>
    <col min="42" max="42" width="9.85546875" style="60" bestFit="1" customWidth="1"/>
    <col min="43" max="43" width="11.7109375" style="60" bestFit="1" customWidth="1"/>
    <col min="44" max="44" width="10.140625" style="60" bestFit="1" customWidth="1"/>
    <col min="45" max="45" width="11.7109375" style="60" bestFit="1" customWidth="1"/>
    <col min="46" max="46" width="11.85546875" style="60" bestFit="1" customWidth="1"/>
    <col min="47" max="47" width="16.42578125" style="60" bestFit="1" customWidth="1"/>
    <col min="48" max="48" width="16.42578125" style="60" customWidth="1"/>
    <col min="49" max="49" width="13" style="60" customWidth="1"/>
    <col min="50" max="50" width="13.7109375" style="60" customWidth="1"/>
    <col min="51" max="51" width="11" style="60" bestFit="1" customWidth="1"/>
    <col min="52" max="52" width="12" style="60" bestFit="1" customWidth="1"/>
    <col min="53" max="53" width="13.42578125" style="60" bestFit="1" customWidth="1"/>
    <col min="54" max="54" width="11.5703125" style="60" bestFit="1" customWidth="1"/>
    <col min="55" max="55" width="9.85546875" style="60" customWidth="1"/>
    <col min="56" max="56" width="14" style="60" customWidth="1"/>
    <col min="57" max="57" width="12" style="60" bestFit="1" customWidth="1"/>
    <col min="58" max="58" width="13.7109375" style="60" customWidth="1"/>
    <col min="59" max="59" width="12.7109375" style="60" customWidth="1"/>
    <col min="60" max="60" width="12.7109375" style="60" bestFit="1" customWidth="1"/>
    <col min="61" max="61" width="1.85546875" style="60" customWidth="1"/>
    <col min="62" max="16384" width="9.140625" style="60"/>
  </cols>
  <sheetData>
    <row r="1" spans="1:61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59"/>
    </row>
    <row r="2" spans="1:61" x14ac:dyDescent="0.25">
      <c r="A2" s="61"/>
      <c r="E2" s="80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</row>
    <row r="3" spans="1:61" ht="30" customHeight="1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94" t="s">
        <v>666</v>
      </c>
      <c r="R3" s="81" t="s">
        <v>666</v>
      </c>
      <c r="S3" s="92" t="s">
        <v>667</v>
      </c>
      <c r="T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91" t="s">
        <v>677</v>
      </c>
      <c r="AX3" s="91" t="s">
        <v>673</v>
      </c>
      <c r="AY3" s="62" t="s">
        <v>708</v>
      </c>
      <c r="AZ3" s="91" t="s">
        <v>828</v>
      </c>
      <c r="BA3" s="91" t="s">
        <v>679</v>
      </c>
      <c r="BB3" s="91" t="s">
        <v>679</v>
      </c>
      <c r="BC3" s="91" t="s">
        <v>679</v>
      </c>
      <c r="BD3" s="91" t="s">
        <v>679</v>
      </c>
      <c r="BE3" s="91" t="s">
        <v>679</v>
      </c>
      <c r="BF3" s="91" t="s">
        <v>680</v>
      </c>
      <c r="BG3" s="91" t="s">
        <v>680</v>
      </c>
      <c r="BH3" s="91" t="s">
        <v>681</v>
      </c>
      <c r="BI3" s="59"/>
    </row>
    <row r="4" spans="1:61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94" t="s">
        <v>710</v>
      </c>
      <c r="R4" s="81" t="s">
        <v>711</v>
      </c>
      <c r="S4" s="92" t="s">
        <v>710</v>
      </c>
      <c r="T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91" t="s">
        <v>688</v>
      </c>
      <c r="AX4" s="91" t="s">
        <v>689</v>
      </c>
      <c r="AY4" s="62" t="s">
        <v>685</v>
      </c>
      <c r="AZ4" s="91"/>
      <c r="BA4" s="91" t="s">
        <v>691</v>
      </c>
      <c r="BB4" s="91" t="s">
        <v>689</v>
      </c>
      <c r="BC4" s="91" t="s">
        <v>718</v>
      </c>
      <c r="BD4" s="91" t="s">
        <v>692</v>
      </c>
      <c r="BE4" s="91" t="s">
        <v>719</v>
      </c>
      <c r="BF4" s="91" t="s">
        <v>693</v>
      </c>
      <c r="BG4" s="91" t="s">
        <v>694</v>
      </c>
      <c r="BH4" s="65">
        <v>1.1300400949626397E-2</v>
      </c>
      <c r="BI4" s="59"/>
    </row>
    <row r="5" spans="1:61" x14ac:dyDescent="0.25">
      <c r="A5" s="59"/>
      <c r="B5" s="66">
        <v>1</v>
      </c>
      <c r="C5" s="67">
        <f ca="1">IF(AND(E5&gt;='Invoer gegevens'!$C$17,E5&lt;'Invoer gegevens'!$C$17+15),1,0)</f>
        <v>1</v>
      </c>
      <c r="D5" s="68">
        <v>0.5</v>
      </c>
      <c r="E5" s="69">
        <f ca="1">IF('Invoer gegevens'!$C$16="","",'Invoer gegevens'!$C$16)</f>
        <v>2019</v>
      </c>
      <c r="F5" s="82">
        <f ca="1">IF('Invoer gegevens'!$C$17=E5,'Invoer gegevens'!$C$10,IF(C5=1,H4,0))</f>
        <v>0</v>
      </c>
      <c r="G5" s="83">
        <f ca="1">IF(E5='Invoer gegevens'!$C$17+15,H4,IF(C5&gt;=1,F5*Reeksen!C5,0))</f>
        <v>0</v>
      </c>
      <c r="H5" s="84">
        <f ca="1">IF(E5&gt;='Invoer gegevens'!$C$17+15,0,F5-G5)</f>
        <v>0</v>
      </c>
      <c r="I5" s="85">
        <f ca="1">IF('Invoer gegevens'!$C$17=E5,'Invoer gegevens'!$C$11,IF(C5=1,L4,0))</f>
        <v>0</v>
      </c>
      <c r="J5" s="86">
        <f ca="1">IF(E5='Invoer gegevens'!$C$17+15,L4,IF(C5&lt;1,0,IF(Reeksen!AK5&lt;=Reeksen!AE5,I5*Reeksen!C5,0)))</f>
        <v>0</v>
      </c>
      <c r="K5" s="86">
        <f ca="1">IF(E5='Invoer gegevens'!$C$17+15,L4,IF(C5&lt;1,0,IF(Reeksen!AK5&gt;Reeksen!AE5,I5*Reeksen!C5,0)))</f>
        <v>0</v>
      </c>
      <c r="L5" s="86">
        <f ca="1">IF(E5&gt;='Invoer gegevens'!$C$17+15,0,I5-J5-K5)</f>
        <v>0</v>
      </c>
      <c r="M5" s="85">
        <f ca="1">IF('Invoer gegevens'!$C$17=E5,'Invoer gegevens'!$C$10-'Invoer gegevens'!$C$11,IF(C5=1,P4,0))</f>
        <v>0</v>
      </c>
      <c r="N5" s="86">
        <f ca="1">IF(E5='Invoer gegevens'!$C$17+15,P4,IF(C5&lt;1,0,IF(Reeksen!AK5&lt;=Reeksen!AE5,M5*Reeksen!C5,0)))</f>
        <v>0</v>
      </c>
      <c r="O5" s="86">
        <f ca="1">IF(E5='Invoer gegevens'!$C$17+15,P4,IF(C5&lt;1,0,IF(Reeksen!AK5&gt;Reeksen!AE5,M5*Reeksen!C5,0)))</f>
        <v>0</v>
      </c>
      <c r="P5" s="86">
        <f ca="1">IF(E5&gt;='Invoer gegevens'!$C$17+15,0,M5-N5-O5)</f>
        <v>0</v>
      </c>
      <c r="Q5" s="82">
        <f ca="1">IF('Invoer gegevens'!$C$17=E5,I5,IF(C5=0,0,R4))</f>
        <v>0</v>
      </c>
      <c r="R5" s="84">
        <f t="shared" ref="R5:R29" ca="1" si="0">IF(C5=0,0,Q5-K5+N5)</f>
        <v>0</v>
      </c>
      <c r="S5" s="84">
        <f ca="1">IF('Invoer gegevens'!$C$17=E5,M5,IF(C5=0,0,T4))</f>
        <v>0</v>
      </c>
      <c r="T5" s="84">
        <f t="shared" ref="T5:T29" ca="1" si="1">IF(C5=0,0,S5-N5+K5)</f>
        <v>0</v>
      </c>
      <c r="AH5" s="68"/>
      <c r="AI5" s="71">
        <f ca="1">IF(C5=1,((F5+H5)/2*Reeksen!AJ5*12)+(('Invoer gegevens'!$C$10-(F5+H5)/2)*Reeksen!AK5*12),0)</f>
        <v>0</v>
      </c>
      <c r="AJ5" s="71">
        <f ca="1">-AI5*'Invoer gegevens'!$F$26</f>
        <v>0</v>
      </c>
      <c r="AK5" s="71">
        <f t="shared" ref="AK5:AK29" ca="1" si="2">AI5+AJ5</f>
        <v>0</v>
      </c>
      <c r="AL5" s="71">
        <f ca="1">IF(C5=1,(12*((F5+H5)/2)*Reeksen!AL5)+(12*('Invoer gegevens'!$C$10-(F5+H5)/2)*Reeksen!AM5),0)</f>
        <v>0</v>
      </c>
      <c r="AM5" s="71">
        <f ca="1">-AL5*'Invoer gegevens'!$F$31</f>
        <v>0</v>
      </c>
      <c r="AN5" s="71">
        <f ca="1">AL5+AM5</f>
        <v>0</v>
      </c>
      <c r="AO5" s="71"/>
      <c r="AP5" s="71"/>
      <c r="AQ5" s="71">
        <f ca="1">-IF(C5=1,('Invoer gegevens'!$C$10*'Invoer gegevens'!$I$33)*Reeksen!J5,0)</f>
        <v>0</v>
      </c>
      <c r="AR5" s="71">
        <f ca="1">-IF(C5=1,(G5*'Invoer gegevens'!$I$34)*Reeksen!J5,0)</f>
        <v>0</v>
      </c>
      <c r="AS5" s="71">
        <f ca="1">-IF(C5=1,'Invoer gegevens'!$C$10*'Invoer gegevens'!$I$35*Reeksen!L5,0)</f>
        <v>0</v>
      </c>
      <c r="AT5" s="71">
        <f ca="1">-IF(C5=1,IF(E5='Invoer gegevens'!$C$17,'Invoer gegevens'!$C$11,Q5)*Reeksen!S5*'Invoer gegevens'!$C$18*Reeksen!P5,0)</f>
        <v>0</v>
      </c>
      <c r="AU5" s="71">
        <f ca="1">-IF(C5=1,'Invoer gegevens'!$C$10*'Invoer gegevens'!$I$36*Reeksen!H5,0)</f>
        <v>0</v>
      </c>
      <c r="AV5" s="71">
        <v>0</v>
      </c>
      <c r="AW5" s="71">
        <f ca="1">SUM(AK5,AN5:AV5)</f>
        <v>0</v>
      </c>
      <c r="AX5" s="72">
        <f ca="1">IF(E5='Invoer gegevens'!$C$17+14,'RW - BW - DE'!$AY$236,0)</f>
        <v>0</v>
      </c>
      <c r="AY5" s="72">
        <f ca="1">IFERROR(IF(E5='Invoer gegevens'!$C$17,-'Invoer gegevens'!$C$10*'Invoer gegevens'!$C$31*Reeksen!H5,0),0)</f>
        <v>0</v>
      </c>
      <c r="AZ5" s="73">
        <f ca="1">IF('Invoer gegevens'!$C$34=E5,'Invoer gegevens'!$C$27*'Invoer gegevens'!$C$10*'Invoer gegevens'!$C$36*(IF('Invoer gegevens'!$C$35="ja",1,Reeksen!J5)),IF('Invoer gegevens'!$C$34+1=E5,'Invoer gegevens'!$C$27*'Invoer gegevens'!$C$10*'Invoer gegevens'!$C$37*(IF('Invoer gegevens'!$C$35="ja",1,Reeksen!J5)),0))+IF(AND(E5='Invoer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" s="73">
        <f ca="1">AW5/(1+'Invoer gegevens'!$F$13)^($D5-('Invoer gegevens'!$C$17-'Invoer gegevens'!$C$16))/(1+'Invoer gegevens'!$C$39)^('Invoer gegevens'!$C$17-'Invoer gegevens'!$C$16)</f>
        <v>0</v>
      </c>
      <c r="BB5" s="73">
        <f ca="1">AX5/(1+'Invoer gegevens'!$F$13)^(E5-('Invoer gegevens'!$C$17-1))/(1+'Invoer gegevens'!$C$39)^('Invoer gegevens'!$C$17-'Invoer gegevens'!$C$16)</f>
        <v>0</v>
      </c>
      <c r="BC5" s="73">
        <f ca="1">AY5/(1+'Invoer gegevens'!$C$39)^('Invoer gegevens'!$C$17-'Invoer gegevens'!$C$16)</f>
        <v>0</v>
      </c>
      <c r="BD5" s="72">
        <f ca="1">SUM(BA5:BC5)</f>
        <v>0</v>
      </c>
      <c r="BE5" s="72">
        <f ca="1">IF(AND(E5='Invoer gegevens'!$C$16,'Invoer gegevens'!$C$34&lt;'Invoer gegevens'!$C$16),AZ5,AZ5/(1+'Invoer gegevens'!$C$39)^D5)</f>
        <v>0</v>
      </c>
      <c r="BF5" s="72">
        <f ca="1">IF(E5='Invoer gegevens'!$C$34,-'Invoer gegevens'!$F$40,0)</f>
        <v>0</v>
      </c>
      <c r="BG5" s="72">
        <f ca="1">IF(E5='Invoer gegevens'!$C$17,-'Invoer gegevens'!$C$19*$BD$31,0)</f>
        <v>0</v>
      </c>
      <c r="BH5" s="72">
        <f ca="1">AW5/(1+$BH$4)^($D5-('Invoer gegevens'!$C$17-'Invoer gegevens'!$C$16))/(1+'Invoer gegevens'!$C$39)^('Invoer gegevens'!$C$17-'Invoer gegevens'!$C$16)+AX5/(1+$BH$4)^(E5-('Invoer gegevens'!$C$17-1))/(1+'Invoer gegevens'!$C$39)^('Invoer gegevens'!$C$17-'Invoer gegevens'!$C$16)+AY5/(1+'Invoer gegevens'!$C$39)^('Invoer gegevens'!$C$17-'Invoer gegevens'!$C$16)+(-AZ5/(1+'Invoer gegevens'!$C$39)^D5)+BF5+BG5</f>
        <v>0</v>
      </c>
      <c r="BI5" s="59"/>
    </row>
    <row r="6" spans="1:61" x14ac:dyDescent="0.25">
      <c r="A6" s="59"/>
      <c r="B6" s="70">
        <f>B5+1</f>
        <v>2</v>
      </c>
      <c r="C6" s="67">
        <f ca="1">IF(AND(E6&gt;='Invoer gegevens'!$C$17,E6&lt;'Invoer gegevens'!$C$17+15),1,0)</f>
        <v>1</v>
      </c>
      <c r="D6" s="68">
        <f>D5+1</f>
        <v>1.5</v>
      </c>
      <c r="E6" s="69">
        <f ca="1">IF('Invoer gegevens'!$C$16="","",E5+1)</f>
        <v>2020</v>
      </c>
      <c r="F6" s="82">
        <f ca="1">IF('Invoer gegevens'!$C$17=E6,'Invoer gegevens'!$C$10,IF(C6=1,H5,0))</f>
        <v>0</v>
      </c>
      <c r="G6" s="83">
        <f ca="1">IF(E6='Invoer gegevens'!$C$17+15,H5,IF(C6&gt;=1,F6*Reeksen!C6,0))</f>
        <v>0</v>
      </c>
      <c r="H6" s="84">
        <f ca="1">IF(E6&gt;='Invoer gegevens'!$C$17+15,0,F6-G6)</f>
        <v>0</v>
      </c>
      <c r="I6" s="85">
        <f ca="1">IF('Invoer gegevens'!$C$17=E6,'Invoer gegevens'!$C$11,IF(C6=1,L5,0))</f>
        <v>0</v>
      </c>
      <c r="J6" s="86">
        <f ca="1">IF(E6='Invoer gegevens'!$C$17+15,L5,IF(C6&lt;1,0,IF(Reeksen!AK6&lt;=Reeksen!AE6,I6*Reeksen!C6,0)))</f>
        <v>0</v>
      </c>
      <c r="K6" s="86">
        <f ca="1">IF(E6='Invoer gegevens'!$C$17+15,L5,IF(C6&lt;1,0,IF(Reeksen!AK6&gt;Reeksen!AE6,I6*Reeksen!C6,0)))</f>
        <v>0</v>
      </c>
      <c r="L6" s="86">
        <f ca="1">IF(E6&gt;='Invoer gegevens'!$C$17+15,0,I6-J6-K6)</f>
        <v>0</v>
      </c>
      <c r="M6" s="85">
        <f ca="1">IF('Invoer gegevens'!$C$17=E6,'Invoer gegevens'!$C$10-'Invoer gegevens'!$C$11,IF(C6=1,P5,0))</f>
        <v>0</v>
      </c>
      <c r="N6" s="86">
        <f ca="1">IF(E6='Invoer gegevens'!$C$17+15,P5,IF(C6&lt;1,0,IF(Reeksen!AK6&lt;=Reeksen!AE6,M6*Reeksen!C6,0)))</f>
        <v>0</v>
      </c>
      <c r="O6" s="86">
        <f ca="1">IF(E6='Invoer gegevens'!$C$17+15,P5,IF(C6&lt;1,0,IF(Reeksen!AK6&gt;Reeksen!AE6,M6*Reeksen!C6,0)))</f>
        <v>0</v>
      </c>
      <c r="P6" s="86">
        <f ca="1">IF(E6&gt;='Invoer gegevens'!$C$17+15,0,M6-N6-O6)</f>
        <v>0</v>
      </c>
      <c r="Q6" s="82">
        <f ca="1">IF('Invoer gegevens'!$C$17=E6,I6,IF(C6=0,0,R5))</f>
        <v>0</v>
      </c>
      <c r="R6" s="84">
        <f t="shared" ca="1" si="0"/>
        <v>0</v>
      </c>
      <c r="S6" s="84">
        <f ca="1">IF('Invoer gegevens'!$C$17=E6,M6,IF(C6=0,0,T5))</f>
        <v>0</v>
      </c>
      <c r="T6" s="84">
        <f t="shared" ca="1" si="1"/>
        <v>0</v>
      </c>
      <c r="AH6" s="68"/>
      <c r="AI6" s="71">
        <f ca="1">IF(C6=1,((F6+H6)/2*Reeksen!AJ6*12)+(('Invoer gegevens'!$C$10-(F6+H6)/2)*Reeksen!AK6*12),0)</f>
        <v>0</v>
      </c>
      <c r="AJ6" s="71">
        <f ca="1">-AI6*'Invoer gegevens'!$F$27</f>
        <v>0</v>
      </c>
      <c r="AK6" s="71">
        <f t="shared" ca="1" si="2"/>
        <v>0</v>
      </c>
      <c r="AL6" s="71">
        <f ca="1">IF(C6=1,(12*((F6+H6)/2)*Reeksen!AL6)+(12*('Invoer gegevens'!$C$10-(F6+H6)/2)*Reeksen!AM6),0)</f>
        <v>0</v>
      </c>
      <c r="AM6" s="71">
        <f ca="1">-AL6*'Invoer gegevens'!$F$31</f>
        <v>0</v>
      </c>
      <c r="AN6" s="71">
        <f t="shared" ref="AN6:AN29" ca="1" si="3">AL6+AM6</f>
        <v>0</v>
      </c>
      <c r="AO6" s="71"/>
      <c r="AP6" s="71"/>
      <c r="AQ6" s="71">
        <f ca="1">-IF(C6=1,('Invoer gegevens'!$C$10*'Invoer gegevens'!$I$33)*Reeksen!J6,0)</f>
        <v>0</v>
      </c>
      <c r="AR6" s="71">
        <f ca="1">-IF(C6=1,(G6*'Invoer gegevens'!$I$34)*Reeksen!J6,0)</f>
        <v>0</v>
      </c>
      <c r="AS6" s="71">
        <f ca="1">-IF(C6=1,'Invoer gegevens'!$C$10*'Invoer gegevens'!$I$35*Reeksen!L6,0)</f>
        <v>0</v>
      </c>
      <c r="AT6" s="71">
        <f ca="1">-IF(C6=1,IF(E6='Invoer gegevens'!$C$17,'Invoer gegevens'!$C$11,Q6)*Reeksen!S6*'Invoer gegevens'!$C$18*Reeksen!P6,0)</f>
        <v>0</v>
      </c>
      <c r="AU6" s="71">
        <f ca="1">-IF(C6=1,'Invoer gegevens'!$C$10*'Invoer gegevens'!$I$36*Reeksen!H6,0)</f>
        <v>0</v>
      </c>
      <c r="AV6" s="71">
        <v>0</v>
      </c>
      <c r="AW6" s="71">
        <f t="shared" ref="AW6:AW29" ca="1" si="4">SUM(AK6,AN6:AV6)</f>
        <v>0</v>
      </c>
      <c r="AX6" s="72">
        <f ca="1">IF(E6='Invoer gegevens'!$C$17+14,'RW - BW - DE'!$AY$236,0)</f>
        <v>0</v>
      </c>
      <c r="AY6" s="72">
        <f ca="1">IFERROR(IF(E6='Invoer gegevens'!$C$17,-'Invoer gegevens'!$C$10*'Invoer gegevens'!$C$31*Reeksen!H6,0),0)</f>
        <v>0</v>
      </c>
      <c r="AZ6" s="73">
        <f ca="1">IF('Invoer gegevens'!$C$34=E6,'Invoer gegevens'!$C$27*'Invoer gegevens'!$C$10*'Invoer gegevens'!$C$36*(IF('Invoer gegevens'!$C$35="ja",1,Reeksen!J6)),IF('Invoer gegevens'!$C$34+1=E6,'Invoer gegevens'!$C$27*'Invoer gegevens'!$C$10*'Invoer gegevens'!$C$37*(IF('Invoer gegevens'!$C$35="ja",1,Reeksen!J6)),0))+IF(AND(E6='Invoer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6" s="73">
        <f ca="1">AW6/(1+'Invoer gegevens'!$F$13)^($D6-('Invoer gegevens'!$C$17-'Invoer gegevens'!$C$16))/(1+'Invoer gegevens'!$C$39)^('Invoer gegevens'!$C$17-'Invoer gegevens'!$C$16)</f>
        <v>0</v>
      </c>
      <c r="BB6" s="73">
        <f ca="1">AX6/(1+'Invoer gegevens'!$F$13)^(E6-('Invoer gegevens'!$C$17-1))/(1+'Invoer gegevens'!$C$39)^('Invoer gegevens'!$C$17-'Invoer gegevens'!$C$16)</f>
        <v>0</v>
      </c>
      <c r="BC6" s="73">
        <f ca="1">AY6/(1+'Invoer gegevens'!$C$39)^('Invoer gegevens'!$C$17-'Invoer gegevens'!$C$16)</f>
        <v>0</v>
      </c>
      <c r="BD6" s="72">
        <f t="shared" ref="BD6:BD29" ca="1" si="5">SUM(BA6:BC6)</f>
        <v>0</v>
      </c>
      <c r="BE6" s="72">
        <f ca="1">IF(AND(E6='Invoer gegevens'!$C$16,'Invoer gegevens'!$C$34&lt;'Invoer gegevens'!$C$16),AZ6,AZ6/(1+'Invoer gegevens'!$C$39)^D6)</f>
        <v>0</v>
      </c>
      <c r="BF6" s="72">
        <f ca="1">IF(E6='Invoer gegevens'!$C$34,-'Invoer gegevens'!$F$40,0)</f>
        <v>0</v>
      </c>
      <c r="BG6" s="72">
        <f ca="1">IF(E6='Invoer gegevens'!$C$17,-'Invoer gegevens'!$C$19*$BD$31,0)</f>
        <v>0</v>
      </c>
      <c r="BH6" s="72">
        <f ca="1">AW6/(1+$BH$4)^($D6-('Invoer gegevens'!$C$17-'Invoer gegevens'!$C$16))/(1+'Invoer gegevens'!$C$39)^('Invoer gegevens'!$C$17-'Invoer gegevens'!$C$16)+AX6/(1+$BH$4)^(E6-('Invoer gegevens'!$C$17-1))/(1+'Invoer gegevens'!$C$39)^('Invoer gegevens'!$C$17-'Invoer gegevens'!$C$16)+AY6/(1+'Invoer gegevens'!$C$39)^('Invoer gegevens'!$C$17-'Invoer gegevens'!$C$16)+(-AZ6/(1+'Invoer gegevens'!$C$39)^D6)+BF6+BG6</f>
        <v>0</v>
      </c>
      <c r="BI6" s="59"/>
    </row>
    <row r="7" spans="1:61" x14ac:dyDescent="0.25">
      <c r="A7" s="59"/>
      <c r="B7" s="70">
        <f t="shared" ref="B7:B29" si="6">B6+1</f>
        <v>3</v>
      </c>
      <c r="C7" s="67">
        <f ca="1">IF(AND(E7&gt;='Invoer gegevens'!$C$17,E7&lt;'Invoer gegevens'!$C$17+15),1,0)</f>
        <v>1</v>
      </c>
      <c r="D7" s="68">
        <f t="shared" ref="D7:D29" si="7">D6+1</f>
        <v>2.5</v>
      </c>
      <c r="E7" s="69">
        <f ca="1">IF('Invoer gegevens'!$C$16="","",E6+1)</f>
        <v>2021</v>
      </c>
      <c r="F7" s="82">
        <f ca="1">IF('Invoer gegevens'!$C$17=E7,'Invoer gegevens'!$C$10,IF(C7=1,H6,0))</f>
        <v>0</v>
      </c>
      <c r="G7" s="83">
        <f ca="1">IF(E7='Invoer gegevens'!$C$17+15,H6,IF(C7&gt;=1,F7*Reeksen!C7,0))</f>
        <v>0</v>
      </c>
      <c r="H7" s="84">
        <f ca="1">IF(E7&gt;='Invoer gegevens'!$C$17+15,0,F7-G7)</f>
        <v>0</v>
      </c>
      <c r="I7" s="85">
        <v>28.8</v>
      </c>
      <c r="J7" s="86">
        <f ca="1">IF(E7='Invoer gegevens'!$C$17+15,L6,IF(C7&lt;1,0,IF(Reeksen!AK7&lt;=Reeksen!AE7,I7*Reeksen!C7,0)))</f>
        <v>1.4400000000000002</v>
      </c>
      <c r="K7" s="86">
        <f ca="1">IF(E7='Invoer gegevens'!$C$17+15,L6,IF(C7&lt;1,0,IF(Reeksen!AK7&gt;Reeksen!AE7,I7*Reeksen!C7,0)))</f>
        <v>0</v>
      </c>
      <c r="L7" s="86">
        <f ca="1">IF(E7&gt;='Invoer gegevens'!$C$17+15,0,I7-J7-K7)</f>
        <v>27.36</v>
      </c>
      <c r="M7" s="85">
        <f ca="1">IF('Invoer gegevens'!$C$17=E7,'Invoer gegevens'!$C$10-'Invoer gegevens'!$C$11,IF(C7=1,P6,0))</f>
        <v>0</v>
      </c>
      <c r="N7" s="86">
        <f ca="1">IF(E7='Invoer gegevens'!$C$17+15,P6,IF(C7&lt;1,0,IF(Reeksen!AK7&lt;=Reeksen!AE7,M7*Reeksen!C7,0)))</f>
        <v>0</v>
      </c>
      <c r="O7" s="86">
        <f ca="1">IF(E7='Invoer gegevens'!$C$17+15,P6,IF(C7&lt;1,0,IF(Reeksen!AK7&gt;Reeksen!AE7,M7*Reeksen!C7,0)))</f>
        <v>0</v>
      </c>
      <c r="P7" s="86">
        <f ca="1">IF(E7&gt;='Invoer gegevens'!$C$17+15,0,M7-N7-O7)</f>
        <v>0</v>
      </c>
      <c r="Q7" s="82">
        <f ca="1">IF('Invoer gegevens'!$C$17=E7,I7,IF(C7=0,0,R6))</f>
        <v>0</v>
      </c>
      <c r="R7" s="84">
        <f t="shared" ca="1" si="0"/>
        <v>0</v>
      </c>
      <c r="S7" s="84">
        <f ca="1">IF('Invoer gegevens'!$C$17=E7,M7,IF(C7=0,0,T6))</f>
        <v>0</v>
      </c>
      <c r="T7" s="84">
        <f t="shared" ca="1" si="1"/>
        <v>0</v>
      </c>
      <c r="AH7" s="68"/>
      <c r="AI7" s="71">
        <f ca="1">IF(C7=1,((F7+H7)/2*Reeksen!AJ7*12)+(('Invoer gegevens'!$C$10-(F7+H7)/2)*Reeksen!AK7*12),0)</f>
        <v>0</v>
      </c>
      <c r="AJ7" s="71">
        <f ca="1">-AI7*'Invoer gegevens'!$F$28</f>
        <v>0</v>
      </c>
      <c r="AK7" s="71">
        <f t="shared" ca="1" si="2"/>
        <v>0</v>
      </c>
      <c r="AL7" s="71">
        <f ca="1">IF(C7=1,(12*((F7+H7)/2)*Reeksen!AL7)+(12*('Invoer gegevens'!$C$10-(F7+H7)/2)*Reeksen!AM7),0)</f>
        <v>0</v>
      </c>
      <c r="AM7" s="71">
        <f ca="1">-AL7*'Invoer gegevens'!$F$31</f>
        <v>0</v>
      </c>
      <c r="AN7" s="71">
        <f t="shared" ca="1" si="3"/>
        <v>0</v>
      </c>
      <c r="AO7" s="71"/>
      <c r="AP7" s="71"/>
      <c r="AQ7" s="71">
        <f ca="1">-IF(C7=1,('Invoer gegevens'!$C$10*'Invoer gegevens'!$I$33)*Reeksen!J7,0)</f>
        <v>0</v>
      </c>
      <c r="AR7" s="71">
        <f ca="1">-IF(C7=1,(G7*'Invoer gegevens'!$I$34)*Reeksen!J7,0)</f>
        <v>0</v>
      </c>
      <c r="AS7" s="71">
        <f ca="1">-IF(C7=1,'Invoer gegevens'!$C$10*'Invoer gegevens'!$I$35*Reeksen!L7,0)</f>
        <v>0</v>
      </c>
      <c r="AT7" s="71">
        <f ca="1">-IF(C7=1,IF(E7='Invoer gegevens'!$C$17,'Invoer gegevens'!$C$11,Q7)*Reeksen!S7*'Invoer gegevens'!$C$18*Reeksen!P7,0)</f>
        <v>0</v>
      </c>
      <c r="AU7" s="71">
        <f ca="1">-IF(C7=1,'Invoer gegevens'!$C$10*'Invoer gegevens'!$I$36*Reeksen!H7,0)</f>
        <v>0</v>
      </c>
      <c r="AV7" s="71">
        <v>0</v>
      </c>
      <c r="AW7" s="71">
        <f t="shared" ca="1" si="4"/>
        <v>0</v>
      </c>
      <c r="AX7" s="72">
        <f ca="1">IF(E7='Invoer gegevens'!$C$17+14,'RW - BW - DE'!$AY$236,0)</f>
        <v>0</v>
      </c>
      <c r="AY7" s="72">
        <f ca="1">IFERROR(IF(E7='Invoer gegevens'!$C$17,-'Invoer gegevens'!$C$10*'Invoer gegevens'!$C$31*Reeksen!H7,0),0)</f>
        <v>0</v>
      </c>
      <c r="AZ7" s="73">
        <f ca="1">IF('Invoer gegevens'!$C$34=E7,'Invoer gegevens'!$C$27*'Invoer gegevens'!$C$10*'Invoer gegevens'!$C$36*(IF('Invoer gegevens'!$C$35="ja",1,Reeksen!J7)),IF('Invoer gegevens'!$C$34+1=E7,'Invoer gegevens'!$C$27*'Invoer gegevens'!$C$10*'Invoer gegevens'!$C$37*(IF('Invoer gegevens'!$C$35="ja",1,Reeksen!J7)),0))+IF(AND(E7='Invoer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7" s="73">
        <f ca="1">AW7/(1+'Invoer gegevens'!$F$13)^($D7-('Invoer gegevens'!$C$17-'Invoer gegevens'!$C$16))/(1+'Invoer gegevens'!$C$39)^('Invoer gegevens'!$C$17-'Invoer gegevens'!$C$16)</f>
        <v>0</v>
      </c>
      <c r="BB7" s="73">
        <f ca="1">AX7/(1+'Invoer gegevens'!$F$13)^(E7-('Invoer gegevens'!$C$17-1))/(1+'Invoer gegevens'!$C$39)^('Invoer gegevens'!$C$17-'Invoer gegevens'!$C$16)</f>
        <v>0</v>
      </c>
      <c r="BC7" s="73">
        <f ca="1">AY7/(1+'Invoer gegevens'!$C$39)^('Invoer gegevens'!$C$17-'Invoer gegevens'!$C$16)</f>
        <v>0</v>
      </c>
      <c r="BD7" s="72">
        <f t="shared" ca="1" si="5"/>
        <v>0</v>
      </c>
      <c r="BE7" s="72">
        <f ca="1">IF(AND(E7='Invoer gegevens'!$C$16,'Invoer gegevens'!$C$34&lt;'Invoer gegevens'!$C$16),AZ7,AZ7/(1+'Invoer gegevens'!$C$39)^D7)</f>
        <v>0</v>
      </c>
      <c r="BF7" s="72">
        <f ca="1">IF(E7='Invoer gegevens'!$C$34,-'Invoer gegevens'!$F$40,0)</f>
        <v>0</v>
      </c>
      <c r="BG7" s="72">
        <f ca="1">IF(E7='Invoer gegevens'!$C$17,-'Invoer gegevens'!$C$19*$BD$31,0)</f>
        <v>0</v>
      </c>
      <c r="BH7" s="72">
        <f ca="1">AW7/(1+$BH$4)^($D7-('Invoer gegevens'!$C$17-'Invoer gegevens'!$C$16))/(1+'Invoer gegevens'!$C$39)^('Invoer gegevens'!$C$17-'Invoer gegevens'!$C$16)+AX7/(1+$BH$4)^(E7-('Invoer gegevens'!$C$17-1))/(1+'Invoer gegevens'!$C$39)^('Invoer gegevens'!$C$17-'Invoer gegevens'!$C$16)+AY7/(1+'Invoer gegevens'!$C$39)^('Invoer gegevens'!$C$17-'Invoer gegevens'!$C$16)+(-AZ7/(1+'Invoer gegevens'!$C$39)^D7)+BF7+BG7</f>
        <v>0</v>
      </c>
      <c r="BI7" s="59"/>
    </row>
    <row r="8" spans="1:61" x14ac:dyDescent="0.25">
      <c r="A8" s="59"/>
      <c r="B8" s="70">
        <f t="shared" si="6"/>
        <v>4</v>
      </c>
      <c r="C8" s="67">
        <f ca="1">IF(AND(E8&gt;='Invoer gegevens'!$C$17,E8&lt;'Invoer gegevens'!$C$17+15),1,0)</f>
        <v>1</v>
      </c>
      <c r="D8" s="68">
        <f t="shared" si="7"/>
        <v>3.5</v>
      </c>
      <c r="E8" s="69">
        <f ca="1">IF('Invoer gegevens'!$C$16="","",E7+1)</f>
        <v>2022</v>
      </c>
      <c r="F8" s="82">
        <f ca="1">IF('Invoer gegevens'!$C$17=E8,'Invoer gegevens'!$C$10,IF(C8=1,H7,0))</f>
        <v>0</v>
      </c>
      <c r="G8" s="83">
        <f ca="1">IF(E8='Invoer gegevens'!$C$17+15,H7,IF(C8&gt;=1,F8*Reeksen!C8,0))</f>
        <v>0</v>
      </c>
      <c r="H8" s="84">
        <f ca="1">IF(E8&gt;='Invoer gegevens'!$C$17+15,0,F8-G8)</f>
        <v>0</v>
      </c>
      <c r="I8" s="85">
        <f ca="1">IF('Invoer gegevens'!$C$17=E8,'Invoer gegevens'!$C$11,IF(C8=1,L7,0))</f>
        <v>27.36</v>
      </c>
      <c r="J8" s="86">
        <f ca="1">IF(E8='Invoer gegevens'!$C$17+15,L7,IF(C8&lt;1,0,IF(Reeksen!AK8&lt;=Reeksen!AE8,I8*Reeksen!C8,0)))</f>
        <v>1.3680000000000001</v>
      </c>
      <c r="K8" s="86">
        <f ca="1">IF(E8='Invoer gegevens'!$C$17+15,L7,IF(C8&lt;1,0,IF(Reeksen!AK8&gt;Reeksen!AE8,I8*Reeksen!C8,0)))</f>
        <v>0</v>
      </c>
      <c r="L8" s="86">
        <f ca="1">IF(E8&gt;='Invoer gegevens'!$C$17+15,0,I8-J8-K8)</f>
        <v>25.992000000000001</v>
      </c>
      <c r="M8" s="85">
        <f ca="1">IF('Invoer gegevens'!$C$17=E8,'Invoer gegevens'!$C$10-'Invoer gegevens'!$C$11,IF(C8=1,P7,0))</f>
        <v>0</v>
      </c>
      <c r="N8" s="86">
        <f ca="1">IF(E8='Invoer gegevens'!$C$17+15,P7,IF(C8&lt;1,0,IF(Reeksen!AK8&lt;=Reeksen!AE8,M8*Reeksen!C8,0)))</f>
        <v>0</v>
      </c>
      <c r="O8" s="86">
        <f ca="1">IF(E8='Invoer gegevens'!$C$17+15,P7,IF(C8&lt;1,0,IF(Reeksen!AK8&gt;Reeksen!AE8,M8*Reeksen!C8,0)))</f>
        <v>0</v>
      </c>
      <c r="P8" s="86">
        <f ca="1">IF(E8&gt;='Invoer gegevens'!$C$17+15,0,M8-N8-O8)</f>
        <v>0</v>
      </c>
      <c r="Q8" s="82">
        <f ca="1">IF('Invoer gegevens'!$C$17=E8,I8,IF(C8=0,0,R7))</f>
        <v>0</v>
      </c>
      <c r="R8" s="84">
        <f t="shared" ca="1" si="0"/>
        <v>0</v>
      </c>
      <c r="S8" s="84">
        <f ca="1">IF('Invoer gegevens'!$C$17=E8,M8,IF(C8=0,0,T7))</f>
        <v>0</v>
      </c>
      <c r="T8" s="84">
        <f t="shared" ca="1" si="1"/>
        <v>0</v>
      </c>
      <c r="AH8" s="68"/>
      <c r="AI8" s="71">
        <f ca="1">IF(C8=1,((F8+H8)/2*Reeksen!AJ8*12)+(('Invoer gegevens'!$C$10-(F8+H8)/2)*Reeksen!AK8*12),0)</f>
        <v>0</v>
      </c>
      <c r="AJ8" s="71">
        <f ca="1">-AI8*'Invoer gegevens'!$F$28</f>
        <v>0</v>
      </c>
      <c r="AK8" s="71">
        <f t="shared" ca="1" si="2"/>
        <v>0</v>
      </c>
      <c r="AL8" s="71">
        <f ca="1">IF(C8=1,(12*((F8+H8)/2)*Reeksen!AL8)+(12*('Invoer gegevens'!$C$10-(F8+H8)/2)*Reeksen!AM8),0)</f>
        <v>0</v>
      </c>
      <c r="AM8" s="71">
        <f ca="1">-AL8*'Invoer gegevens'!$F$31</f>
        <v>0</v>
      </c>
      <c r="AN8" s="71">
        <f t="shared" ca="1" si="3"/>
        <v>0</v>
      </c>
      <c r="AO8" s="71"/>
      <c r="AP8" s="71"/>
      <c r="AQ8" s="71">
        <f ca="1">-IF(C8=1,('Invoer gegevens'!$C$10*'Invoer gegevens'!$I$33)*Reeksen!J8,0)</f>
        <v>0</v>
      </c>
      <c r="AR8" s="71">
        <f ca="1">-IF(C8=1,(G8*'Invoer gegevens'!$I$34)*Reeksen!J8,0)</f>
        <v>0</v>
      </c>
      <c r="AS8" s="71">
        <f ca="1">-IF(C8=1,'Invoer gegevens'!$C$10*'Invoer gegevens'!$I$35*Reeksen!L8,0)</f>
        <v>0</v>
      </c>
      <c r="AT8" s="71">
        <f ca="1">-IF(C8=1,IF(E8='Invoer gegevens'!$C$17,'Invoer gegevens'!$C$11,Q8)*Reeksen!S8*'Invoer gegevens'!$C$18*Reeksen!P8,0)</f>
        <v>0</v>
      </c>
      <c r="AU8" s="71">
        <f ca="1">-IF(C8=1,'Invoer gegevens'!$C$10*'Invoer gegevens'!$I$36*Reeksen!H8,0)</f>
        <v>0</v>
      </c>
      <c r="AV8" s="71">
        <v>0</v>
      </c>
      <c r="AW8" s="71">
        <f t="shared" ca="1" si="4"/>
        <v>0</v>
      </c>
      <c r="AX8" s="72">
        <f ca="1">IF(E8='Invoer gegevens'!$C$17+14,'RW - BW - DE'!$AY$236,0)</f>
        <v>0</v>
      </c>
      <c r="AY8" s="72">
        <f ca="1">IFERROR(IF(E8='Invoer gegevens'!$C$17,-'Invoer gegevens'!$C$10*'Invoer gegevens'!$C$31*Reeksen!H8,0),0)</f>
        <v>0</v>
      </c>
      <c r="AZ8" s="73">
        <f ca="1">IF('Invoer gegevens'!$C$34=E8,'Invoer gegevens'!$C$27*'Invoer gegevens'!$C$10*'Invoer gegevens'!$C$36*(IF('Invoer gegevens'!$C$35="ja",1,Reeksen!J8)),IF('Invoer gegevens'!$C$34+1=E8,'Invoer gegevens'!$C$27*'Invoer gegevens'!$C$10*'Invoer gegevens'!$C$37*(IF('Invoer gegevens'!$C$35="ja",1,Reeksen!J8)),0))+IF(AND(E8='Invoer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8" s="73">
        <f ca="1">AW8/(1+'Invoer gegevens'!$F$13)^($D8-('Invoer gegevens'!$C$17-'Invoer gegevens'!$C$16))/(1+'Invoer gegevens'!$C$39)^('Invoer gegevens'!$C$17-'Invoer gegevens'!$C$16)</f>
        <v>0</v>
      </c>
      <c r="BB8" s="73">
        <f ca="1">AX8/(1+'Invoer gegevens'!$F$13)^(E8-('Invoer gegevens'!$C$17-1))/(1+'Invoer gegevens'!$C$39)^('Invoer gegevens'!$C$17-'Invoer gegevens'!$C$16)</f>
        <v>0</v>
      </c>
      <c r="BC8" s="73">
        <f ca="1">AY8/(1+'Invoer gegevens'!$C$39)^('Invoer gegevens'!$C$17-'Invoer gegevens'!$C$16)</f>
        <v>0</v>
      </c>
      <c r="BD8" s="72">
        <f t="shared" ca="1" si="5"/>
        <v>0</v>
      </c>
      <c r="BE8" s="72">
        <f ca="1">IF(AND(E8='Invoer gegevens'!$C$16,'Invoer gegevens'!$C$34&lt;'Invoer gegevens'!$C$16),AZ8,AZ8/(1+'Invoer gegevens'!$C$39)^D8)</f>
        <v>0</v>
      </c>
      <c r="BF8" s="72">
        <f ca="1">IF(E8='Invoer gegevens'!$C$34,-'Invoer gegevens'!$F$40,0)</f>
        <v>0</v>
      </c>
      <c r="BG8" s="72">
        <f ca="1">IF(E8='Invoer gegevens'!$C$17,-'Invoer gegevens'!$C$19*$BD$31,0)</f>
        <v>0</v>
      </c>
      <c r="BH8" s="72">
        <f ca="1">AW8/(1+$BH$4)^($D8-('Invoer gegevens'!$C$17-'Invoer gegevens'!$C$16))/(1+'Invoer gegevens'!$C$39)^('Invoer gegevens'!$C$17-'Invoer gegevens'!$C$16)+AX8/(1+$BH$4)^(E8-('Invoer gegevens'!$C$17-1))/(1+'Invoer gegevens'!$C$39)^('Invoer gegevens'!$C$17-'Invoer gegevens'!$C$16)+AY8/(1+'Invoer gegevens'!$C$39)^('Invoer gegevens'!$C$17-'Invoer gegevens'!$C$16)+(-AZ8/(1+'Invoer gegevens'!$C$39)^D8)+BF8+BG8</f>
        <v>0</v>
      </c>
      <c r="BI8" s="59"/>
    </row>
    <row r="9" spans="1:61" x14ac:dyDescent="0.25">
      <c r="A9" s="59"/>
      <c r="B9" s="70">
        <f t="shared" si="6"/>
        <v>5</v>
      </c>
      <c r="C9" s="67">
        <f ca="1">IF(AND(E9&gt;='Invoer gegevens'!$C$17,E9&lt;'Invoer gegevens'!$C$17+15),1,0)</f>
        <v>1</v>
      </c>
      <c r="D9" s="68">
        <f t="shared" si="7"/>
        <v>4.5</v>
      </c>
      <c r="E9" s="69">
        <f ca="1">IF('Invoer gegevens'!$C$16="","",E8+1)</f>
        <v>2023</v>
      </c>
      <c r="F9" s="82">
        <f ca="1">IF('Invoer gegevens'!$C$17=E9,'Invoer gegevens'!$C$10,IF(C9=1,H8,0))</f>
        <v>0</v>
      </c>
      <c r="G9" s="83">
        <f ca="1">IF(E9='Invoer gegevens'!$C$17+15,H8,IF(C9&gt;=1,F9*Reeksen!C9,0))</f>
        <v>0</v>
      </c>
      <c r="H9" s="84">
        <f ca="1">IF(E9&gt;='Invoer gegevens'!$C$17+15,0,F9-G9)</f>
        <v>0</v>
      </c>
      <c r="I9" s="85">
        <f ca="1">IF('Invoer gegevens'!$C$17=E9,'Invoer gegevens'!$C$11,IF(C9=1,L8,0))</f>
        <v>25.992000000000001</v>
      </c>
      <c r="J9" s="86">
        <f ca="1">IF(E9='Invoer gegevens'!$C$17+15,L8,IF(C9&lt;1,0,IF(Reeksen!AK9&lt;=Reeksen!AE9,I9*Reeksen!C9,0)))</f>
        <v>1.2996000000000001</v>
      </c>
      <c r="K9" s="86">
        <f ca="1">IF(E9='Invoer gegevens'!$C$17+15,L8,IF(C9&lt;1,0,IF(Reeksen!AK9&gt;Reeksen!AE9,I9*Reeksen!C9,0)))</f>
        <v>0</v>
      </c>
      <c r="L9" s="86">
        <f ca="1">IF(E9&gt;='Invoer gegevens'!$C$17+15,0,I9-J9-K9)</f>
        <v>24.692399999999999</v>
      </c>
      <c r="M9" s="85">
        <f ca="1">IF('Invoer gegevens'!$C$17=E9,'Invoer gegevens'!$C$10-'Invoer gegevens'!$C$11,IF(C9=1,P8,0))</f>
        <v>0</v>
      </c>
      <c r="N9" s="86">
        <f ca="1">IF(E9='Invoer gegevens'!$C$17+15,P8,IF(C9&lt;1,0,IF(Reeksen!AK9&lt;=Reeksen!AE9,M9*Reeksen!C9,0)))</f>
        <v>0</v>
      </c>
      <c r="O9" s="86">
        <f ca="1">IF(E9='Invoer gegevens'!$C$17+15,P8,IF(C9&lt;1,0,IF(Reeksen!AK9&gt;Reeksen!AE9,M9*Reeksen!C9,0)))</f>
        <v>0</v>
      </c>
      <c r="P9" s="86">
        <f ca="1">IF(E9&gt;='Invoer gegevens'!$C$17+15,0,M9-N9-O9)</f>
        <v>0</v>
      </c>
      <c r="Q9" s="82">
        <f ca="1">IF('Invoer gegevens'!$C$17=E9,I9,IF(C9=0,0,R8))</f>
        <v>0</v>
      </c>
      <c r="R9" s="84">
        <f t="shared" ca="1" si="0"/>
        <v>0</v>
      </c>
      <c r="S9" s="84">
        <f ca="1">IF('Invoer gegevens'!$C$17=E9,M9,IF(C9=0,0,T8))</f>
        <v>0</v>
      </c>
      <c r="T9" s="84">
        <f t="shared" ca="1" si="1"/>
        <v>0</v>
      </c>
      <c r="AH9" s="68"/>
      <c r="AI9" s="71">
        <f ca="1">IF(C9=1,((F9+H9)/2*Reeksen!AJ9*12)+(('Invoer gegevens'!$C$10-(F9+H9)/2)*Reeksen!AK9*12),0)</f>
        <v>0</v>
      </c>
      <c r="AJ9" s="71">
        <f ca="1">-AI9*'Invoer gegevens'!$F$28</f>
        <v>0</v>
      </c>
      <c r="AK9" s="71">
        <f t="shared" ca="1" si="2"/>
        <v>0</v>
      </c>
      <c r="AL9" s="71">
        <f ca="1">IF(C9=1,(12*((F9+H9)/2)*Reeksen!AL9)+(12*('Invoer gegevens'!$C$10-(F9+H9)/2)*Reeksen!AM9),0)</f>
        <v>0</v>
      </c>
      <c r="AM9" s="71">
        <f ca="1">-AL9*'Invoer gegevens'!$F$31</f>
        <v>0</v>
      </c>
      <c r="AN9" s="71">
        <f t="shared" ca="1" si="3"/>
        <v>0</v>
      </c>
      <c r="AO9" s="71"/>
      <c r="AP9" s="71"/>
      <c r="AQ9" s="71">
        <f ca="1">-IF(C9=1,('Invoer gegevens'!$C$10*'Invoer gegevens'!$I$33)*Reeksen!J9,0)</f>
        <v>0</v>
      </c>
      <c r="AR9" s="71">
        <f ca="1">-IF(C9=1,(G9*'Invoer gegevens'!$I$34)*Reeksen!J9,0)</f>
        <v>0</v>
      </c>
      <c r="AS9" s="71">
        <f ca="1">-IF(C9=1,'Invoer gegevens'!$C$10*'Invoer gegevens'!$I$35*Reeksen!L9,0)</f>
        <v>0</v>
      </c>
      <c r="AT9" s="71">
        <f ca="1">-IF(C9=1,IF(E9='Invoer gegevens'!$C$17,'Invoer gegevens'!$C$11,Q9)*Reeksen!S9*'Invoer gegevens'!$C$18*Reeksen!P9,0)</f>
        <v>0</v>
      </c>
      <c r="AU9" s="71">
        <f ca="1">-IF(C9=1,'Invoer gegevens'!$C$10*'Invoer gegevens'!$I$36*Reeksen!H9,0)</f>
        <v>0</v>
      </c>
      <c r="AV9" s="71">
        <v>0</v>
      </c>
      <c r="AW9" s="71">
        <f t="shared" ca="1" si="4"/>
        <v>0</v>
      </c>
      <c r="AX9" s="72">
        <f ca="1">IF(E9='Invoer gegevens'!$C$17+14,'RW - BW - DE'!$AY$236,0)</f>
        <v>0</v>
      </c>
      <c r="AY9" s="72">
        <f ca="1">IFERROR(IF(E9='Invoer gegevens'!$C$17,-'Invoer gegevens'!$C$10*'Invoer gegevens'!$C$31*Reeksen!H9,0),0)</f>
        <v>0</v>
      </c>
      <c r="AZ9" s="73">
        <f ca="1">IF('Invoer gegevens'!$C$34=E9,'Invoer gegevens'!$C$27*'Invoer gegevens'!$C$10*'Invoer gegevens'!$C$36*(IF('Invoer gegevens'!$C$35="ja",1,Reeksen!J9)),IF('Invoer gegevens'!$C$34+1=E9,'Invoer gegevens'!$C$27*'Invoer gegevens'!$C$10*'Invoer gegevens'!$C$37*(IF('Invoer gegevens'!$C$35="ja",1,Reeksen!J9)),0))+IF(AND(E9='Invoer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9" s="73">
        <f ca="1">AW9/(1+'Invoer gegevens'!$F$13)^($D9-('Invoer gegevens'!$C$17-'Invoer gegevens'!$C$16))/(1+'Invoer gegevens'!$C$39)^('Invoer gegevens'!$C$17-'Invoer gegevens'!$C$16)</f>
        <v>0</v>
      </c>
      <c r="BB9" s="73">
        <f ca="1">AX9/(1+'Invoer gegevens'!$F$13)^(E9-('Invoer gegevens'!$C$17-1))/(1+'Invoer gegevens'!$C$39)^('Invoer gegevens'!$C$17-'Invoer gegevens'!$C$16)</f>
        <v>0</v>
      </c>
      <c r="BC9" s="73">
        <f ca="1">AY9/(1+'Invoer gegevens'!$C$39)^('Invoer gegevens'!$C$17-'Invoer gegevens'!$C$16)</f>
        <v>0</v>
      </c>
      <c r="BD9" s="72">
        <f t="shared" ca="1" si="5"/>
        <v>0</v>
      </c>
      <c r="BE9" s="72">
        <f ca="1">IF(AND(E9='Invoer gegevens'!$C$16,'Invoer gegevens'!$C$34&lt;'Invoer gegevens'!$C$16),AZ9,AZ9/(1+'Invoer gegevens'!$C$39)^D9)</f>
        <v>0</v>
      </c>
      <c r="BF9" s="72">
        <f ca="1">IF(E9='Invoer gegevens'!$C$34,-'Invoer gegevens'!$F$40,0)</f>
        <v>0</v>
      </c>
      <c r="BG9" s="72">
        <f ca="1">IF(E9='Invoer gegevens'!$C$17,-'Invoer gegevens'!$C$19*$BD$31,0)</f>
        <v>0</v>
      </c>
      <c r="BH9" s="72">
        <f ca="1">AW9/(1+$BH$4)^($D9-('Invoer gegevens'!$C$17-'Invoer gegevens'!$C$16))/(1+'Invoer gegevens'!$C$39)^('Invoer gegevens'!$C$17-'Invoer gegevens'!$C$16)+AX9/(1+$BH$4)^(E9-('Invoer gegevens'!$C$17-1))/(1+'Invoer gegevens'!$C$39)^('Invoer gegevens'!$C$17-'Invoer gegevens'!$C$16)+AY9/(1+'Invoer gegevens'!$C$39)^('Invoer gegevens'!$C$17-'Invoer gegevens'!$C$16)+(-AZ9/(1+'Invoer gegevens'!$C$39)^D9)+BF9+BG9</f>
        <v>0</v>
      </c>
      <c r="BI9" s="59"/>
    </row>
    <row r="10" spans="1:61" x14ac:dyDescent="0.25">
      <c r="A10" s="59"/>
      <c r="B10" s="70">
        <f t="shared" si="6"/>
        <v>6</v>
      </c>
      <c r="C10" s="67">
        <f ca="1">IF(AND(E10&gt;='Invoer gegevens'!$C$17,E10&lt;'Invoer gegevens'!$C$17+15),1,0)</f>
        <v>1</v>
      </c>
      <c r="D10" s="68">
        <f t="shared" si="7"/>
        <v>5.5</v>
      </c>
      <c r="E10" s="69">
        <f ca="1">IF('Invoer gegevens'!$C$16="","",E9+1)</f>
        <v>2024</v>
      </c>
      <c r="F10" s="82">
        <f ca="1">IF('Invoer gegevens'!$C$17=E10,'Invoer gegevens'!$C$10,IF(C10=1,H9,0))</f>
        <v>0</v>
      </c>
      <c r="G10" s="83">
        <f ca="1">IF(E10='Invoer gegevens'!$C$17+15,H9,IF(C10&gt;=1,F10*Reeksen!C10,0))</f>
        <v>0</v>
      </c>
      <c r="H10" s="84">
        <f ca="1">IF(E10&gt;='Invoer gegevens'!$C$17+15,0,F10-G10)</f>
        <v>0</v>
      </c>
      <c r="I10" s="85">
        <f ca="1">IF('Invoer gegevens'!$C$17=E10,'Invoer gegevens'!$C$11,IF(C10=1,L9,0))</f>
        <v>24.692399999999999</v>
      </c>
      <c r="J10" s="86">
        <f ca="1">IF(E10='Invoer gegevens'!$C$17+15,L9,IF(C10&lt;1,0,IF(Reeksen!AK10&lt;=Reeksen!AE10,I10*Reeksen!C10,0)))</f>
        <v>1.2346200000000001</v>
      </c>
      <c r="K10" s="86">
        <f ca="1">IF(E10='Invoer gegevens'!$C$17+15,L9,IF(C10&lt;1,0,IF(Reeksen!AK10&gt;Reeksen!AE10,I10*Reeksen!C10,0)))</f>
        <v>0</v>
      </c>
      <c r="L10" s="86">
        <f ca="1">IF(E10&gt;='Invoer gegevens'!$C$17+15,0,I10-J10-K10)</f>
        <v>23.45778</v>
      </c>
      <c r="M10" s="85">
        <f ca="1">IF('Invoer gegevens'!$C$17=E10,'Invoer gegevens'!$C$10-'Invoer gegevens'!$C$11,IF(C10=1,P9,0))</f>
        <v>0</v>
      </c>
      <c r="N10" s="86">
        <f ca="1">IF(E10='Invoer gegevens'!$C$17+15,P9,IF(C10&lt;1,0,IF(Reeksen!AK10&lt;=Reeksen!AE10,M10*Reeksen!C10,0)))</f>
        <v>0</v>
      </c>
      <c r="O10" s="86">
        <f ca="1">IF(E10='Invoer gegevens'!$C$17+15,P9,IF(C10&lt;1,0,IF(Reeksen!AK10&gt;Reeksen!AE10,M10*Reeksen!C10,0)))</f>
        <v>0</v>
      </c>
      <c r="P10" s="86">
        <f ca="1">IF(E10&gt;='Invoer gegevens'!$C$17+15,0,M10-N10-O10)</f>
        <v>0</v>
      </c>
      <c r="Q10" s="82">
        <f ca="1">IF('Invoer gegevens'!$C$17=E10,I10,IF(C10=0,0,R9))</f>
        <v>0</v>
      </c>
      <c r="R10" s="84">
        <f t="shared" ca="1" si="0"/>
        <v>0</v>
      </c>
      <c r="S10" s="84">
        <f ca="1">IF('Invoer gegevens'!$C$17=E10,M10,IF(C10=0,0,T9))</f>
        <v>0</v>
      </c>
      <c r="T10" s="84">
        <f t="shared" ca="1" si="1"/>
        <v>0</v>
      </c>
      <c r="AH10" s="68"/>
      <c r="AI10" s="71">
        <f ca="1">IF(C10=1,((F10+H10)/2*Reeksen!AJ10*12)+(('Invoer gegevens'!$C$10-(F10+H10)/2)*Reeksen!AK10*12),0)</f>
        <v>0</v>
      </c>
      <c r="AJ10" s="71">
        <f ca="1">-AI10*'Invoer gegevens'!$F$28</f>
        <v>0</v>
      </c>
      <c r="AK10" s="71">
        <f t="shared" ca="1" si="2"/>
        <v>0</v>
      </c>
      <c r="AL10" s="71">
        <f ca="1">IF(C10=1,(12*((F10+H10)/2)*Reeksen!AL10)+(12*('Invoer gegevens'!$C$10-(F10+H10)/2)*Reeksen!AM10),0)</f>
        <v>0</v>
      </c>
      <c r="AM10" s="71">
        <f ca="1">-AL10*'Invoer gegevens'!$F$31</f>
        <v>0</v>
      </c>
      <c r="AN10" s="71">
        <f t="shared" ca="1" si="3"/>
        <v>0</v>
      </c>
      <c r="AO10" s="71"/>
      <c r="AP10" s="71"/>
      <c r="AQ10" s="71">
        <f ca="1">-IF(C10=1,('Invoer gegevens'!$C$10*'Invoer gegevens'!$I$33)*Reeksen!J10,0)</f>
        <v>0</v>
      </c>
      <c r="AR10" s="71">
        <f ca="1">-IF(C10=1,(G10*'Invoer gegevens'!$I$34)*Reeksen!J10,0)</f>
        <v>0</v>
      </c>
      <c r="AS10" s="71">
        <f ca="1">-IF(C10=1,'Invoer gegevens'!$C$10*'Invoer gegevens'!$I$35*Reeksen!L10,0)</f>
        <v>0</v>
      </c>
      <c r="AT10" s="71">
        <f ca="1">-IF(C10=1,IF(E10='Invoer gegevens'!$C$17,'Invoer gegevens'!$C$11,Q10)*Reeksen!S10*'Invoer gegevens'!$C$18*Reeksen!P10,0)</f>
        <v>0</v>
      </c>
      <c r="AU10" s="71">
        <f ca="1">-IF(C10=1,'Invoer gegevens'!$C$10*'Invoer gegevens'!$I$36*Reeksen!H10,0)</f>
        <v>0</v>
      </c>
      <c r="AV10" s="71">
        <v>0</v>
      </c>
      <c r="AW10" s="71">
        <f t="shared" ca="1" si="4"/>
        <v>0</v>
      </c>
      <c r="AX10" s="72">
        <f ca="1">IF(E10='Invoer gegevens'!$C$17+14,'RW - BW - DE'!$AY$236,0)</f>
        <v>0</v>
      </c>
      <c r="AY10" s="72">
        <f ca="1">IFERROR(IF(E10='Invoer gegevens'!$C$17,-'Invoer gegevens'!$C$10*'Invoer gegevens'!$C$31*Reeksen!H10,0),0)</f>
        <v>0</v>
      </c>
      <c r="AZ10" s="73">
        <f ca="1">IF('Invoer gegevens'!$C$34=E10,'Invoer gegevens'!$C$27*'Invoer gegevens'!$C$10*'Invoer gegevens'!$C$36*(IF('Invoer gegevens'!$C$35="ja",1,Reeksen!J10)),IF('Invoer gegevens'!$C$34+1=E10,'Invoer gegevens'!$C$27*'Invoer gegevens'!$C$10*'Invoer gegevens'!$C$37*(IF('Invoer gegevens'!$C$35="ja",1,Reeksen!J10)),0))+IF(AND(E10='Invoer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0" s="73">
        <f ca="1">AW10/(1+'Invoer gegevens'!$F$13)^($D10-('Invoer gegevens'!$C$17-'Invoer gegevens'!$C$16))/(1+'Invoer gegevens'!$C$39)^('Invoer gegevens'!$C$17-'Invoer gegevens'!$C$16)</f>
        <v>0</v>
      </c>
      <c r="BB10" s="73">
        <f ca="1">AX10/(1+'Invoer gegevens'!$F$13)^(E10-('Invoer gegevens'!$C$17-1))/(1+'Invoer gegevens'!$C$39)^('Invoer gegevens'!$C$17-'Invoer gegevens'!$C$16)</f>
        <v>0</v>
      </c>
      <c r="BC10" s="73">
        <f ca="1">AY10/(1+'Invoer gegevens'!$C$39)^('Invoer gegevens'!$C$17-'Invoer gegevens'!$C$16)</f>
        <v>0</v>
      </c>
      <c r="BD10" s="72">
        <f t="shared" ca="1" si="5"/>
        <v>0</v>
      </c>
      <c r="BE10" s="72">
        <f ca="1">IF(AND(E10='Invoer gegevens'!$C$16,'Invoer gegevens'!$C$34&lt;'Invoer gegevens'!$C$16),AZ10,AZ10/(1+'Invoer gegevens'!$C$39)^D10)</f>
        <v>0</v>
      </c>
      <c r="BF10" s="72">
        <f ca="1">IF(E10='Invoer gegevens'!$C$34,-'Invoer gegevens'!$F$40,0)</f>
        <v>0</v>
      </c>
      <c r="BG10" s="72">
        <f ca="1">IF(E10='Invoer gegevens'!$C$17,-'Invoer gegevens'!$C$19*$BD$31,0)</f>
        <v>0</v>
      </c>
      <c r="BH10" s="72">
        <f ca="1">AW10/(1+$BH$4)^($D10-('Invoer gegevens'!$C$17-'Invoer gegevens'!$C$16))/(1+'Invoer gegevens'!$C$39)^('Invoer gegevens'!$C$17-'Invoer gegevens'!$C$16)+AX10/(1+$BH$4)^(E10-('Invoer gegevens'!$C$17-1))/(1+'Invoer gegevens'!$C$39)^('Invoer gegevens'!$C$17-'Invoer gegevens'!$C$16)+AY10/(1+'Invoer gegevens'!$C$39)^('Invoer gegevens'!$C$17-'Invoer gegevens'!$C$16)+(-AZ10/(1+'Invoer gegevens'!$C$39)^D10)+BF10+BG10</f>
        <v>0</v>
      </c>
      <c r="BI10" s="59"/>
    </row>
    <row r="11" spans="1:61" x14ac:dyDescent="0.25">
      <c r="A11" s="59"/>
      <c r="B11" s="70">
        <f t="shared" si="6"/>
        <v>7</v>
      </c>
      <c r="C11" s="67">
        <f ca="1">IF(AND(E11&gt;='Invoer gegevens'!$C$17,E11&lt;'Invoer gegevens'!$C$17+15),1,0)</f>
        <v>1</v>
      </c>
      <c r="D11" s="68">
        <f t="shared" si="7"/>
        <v>6.5</v>
      </c>
      <c r="E11" s="69">
        <f ca="1">IF('Invoer gegevens'!$C$16="","",E10+1)</f>
        <v>2025</v>
      </c>
      <c r="F11" s="82">
        <f ca="1">IF('Invoer gegevens'!$C$17=E11,'Invoer gegevens'!$C$10,IF(C11=1,H10,0))</f>
        <v>0</v>
      </c>
      <c r="G11" s="83">
        <f ca="1">IF(E11='Invoer gegevens'!$C$17+15,H10,IF(C11&gt;=1,F11*Reeksen!C11,0))</f>
        <v>0</v>
      </c>
      <c r="H11" s="84">
        <f ca="1">IF(E11&gt;='Invoer gegevens'!$C$17+15,0,F11-G11)</f>
        <v>0</v>
      </c>
      <c r="I11" s="85">
        <f ca="1">IF('Invoer gegevens'!$C$17=E11,'Invoer gegevens'!$C$11,IF(C11=1,L10,0))</f>
        <v>23.45778</v>
      </c>
      <c r="J11" s="86">
        <f ca="1">IF(E11='Invoer gegevens'!$C$17+15,L10,IF(C11&lt;1,0,IF(Reeksen!AK11&lt;=Reeksen!AE11,I11*Reeksen!C11,0)))</f>
        <v>1.1728890000000001</v>
      </c>
      <c r="K11" s="86">
        <f ca="1">IF(E11='Invoer gegevens'!$C$17+15,L10,IF(C11&lt;1,0,IF(Reeksen!AK11&gt;Reeksen!AE11,I11*Reeksen!C11,0)))</f>
        <v>0</v>
      </c>
      <c r="L11" s="86">
        <f ca="1">IF(E11&gt;='Invoer gegevens'!$C$17+15,0,I11-J11-K11)</f>
        <v>22.284890999999998</v>
      </c>
      <c r="M11" s="85">
        <f ca="1">IF('Invoer gegevens'!$C$17=E11,'Invoer gegevens'!$C$10-'Invoer gegevens'!$C$11,IF(C11=1,P10,0))</f>
        <v>0</v>
      </c>
      <c r="N11" s="86">
        <f ca="1">IF(E11='Invoer gegevens'!$C$17+15,P10,IF(C11&lt;1,0,IF(Reeksen!AK11&lt;=Reeksen!AE11,M11*Reeksen!C11,0)))</f>
        <v>0</v>
      </c>
      <c r="O11" s="86">
        <f ca="1">IF(E11='Invoer gegevens'!$C$17+15,P10,IF(C11&lt;1,0,IF(Reeksen!AK11&gt;Reeksen!AE11,M11*Reeksen!C11,0)))</f>
        <v>0</v>
      </c>
      <c r="P11" s="86">
        <f ca="1">IF(E11&gt;='Invoer gegevens'!$C$17+15,0,M11-N11-O11)</f>
        <v>0</v>
      </c>
      <c r="Q11" s="82">
        <f ca="1">IF('Invoer gegevens'!$C$17=E11,I11,IF(C11=0,0,R10))</f>
        <v>0</v>
      </c>
      <c r="R11" s="84">
        <f t="shared" ca="1" si="0"/>
        <v>0</v>
      </c>
      <c r="S11" s="84">
        <f ca="1">IF('Invoer gegevens'!$C$17=E11,M11,IF(C11=0,0,T10))</f>
        <v>0</v>
      </c>
      <c r="T11" s="84">
        <f t="shared" ca="1" si="1"/>
        <v>0</v>
      </c>
      <c r="AH11" s="68"/>
      <c r="AI11" s="71">
        <f ca="1">IF(C11=1,((F11+H11)/2*Reeksen!AJ11*12)+(('Invoer gegevens'!$C$10-(F11+H11)/2)*Reeksen!AK11*12),0)</f>
        <v>0</v>
      </c>
      <c r="AJ11" s="71">
        <f ca="1">-AI11*'Invoer gegevens'!$F$28</f>
        <v>0</v>
      </c>
      <c r="AK11" s="71">
        <f t="shared" ca="1" si="2"/>
        <v>0</v>
      </c>
      <c r="AL11" s="71">
        <f ca="1">IF(C11=1,(12*((F11+H11)/2)*Reeksen!AL11)+(12*('Invoer gegevens'!$C$10-(F11+H11)/2)*Reeksen!AM11),0)</f>
        <v>0</v>
      </c>
      <c r="AM11" s="71">
        <f ca="1">-AL11*'Invoer gegevens'!$F$31</f>
        <v>0</v>
      </c>
      <c r="AN11" s="71">
        <f t="shared" ca="1" si="3"/>
        <v>0</v>
      </c>
      <c r="AO11" s="71"/>
      <c r="AP11" s="71"/>
      <c r="AQ11" s="71">
        <f ca="1">-IF(C11=1,('Invoer gegevens'!$C$10*'Invoer gegevens'!$I$33)*Reeksen!J11,0)</f>
        <v>0</v>
      </c>
      <c r="AR11" s="71">
        <f ca="1">-IF(C11=1,(G11*'Invoer gegevens'!$I$34)*Reeksen!J11,0)</f>
        <v>0</v>
      </c>
      <c r="AS11" s="71">
        <f ca="1">-IF(C11=1,'Invoer gegevens'!$C$10*'Invoer gegevens'!$I$35*Reeksen!L11,0)</f>
        <v>0</v>
      </c>
      <c r="AT11" s="71">
        <f ca="1">-IF(C11=1,IF(E11='Invoer gegevens'!$C$17,'Invoer gegevens'!$C$11,Q11)*Reeksen!S11*'Invoer gegevens'!$C$18*Reeksen!P11,0)</f>
        <v>0</v>
      </c>
      <c r="AU11" s="71">
        <f ca="1">-IF(C11=1,'Invoer gegevens'!$C$10*'Invoer gegevens'!$I$36*Reeksen!H11,0)</f>
        <v>0</v>
      </c>
      <c r="AV11" s="71">
        <v>0</v>
      </c>
      <c r="AW11" s="71">
        <f t="shared" ca="1" si="4"/>
        <v>0</v>
      </c>
      <c r="AX11" s="72">
        <f ca="1">IF(E11='Invoer gegevens'!$C$17+14,'RW - BW - DE'!$AY$236,0)</f>
        <v>0</v>
      </c>
      <c r="AY11" s="72">
        <f ca="1">IFERROR(IF(E11='Invoer gegevens'!$C$17,-'Invoer gegevens'!$C$10*'Invoer gegevens'!$C$31*Reeksen!H11,0),0)</f>
        <v>0</v>
      </c>
      <c r="AZ11" s="73">
        <f ca="1">IF('Invoer gegevens'!$C$34=E11,'Invoer gegevens'!$C$27*'Invoer gegevens'!$C$10*'Invoer gegevens'!$C$36*(IF('Invoer gegevens'!$C$35="ja",1,Reeksen!J11)),IF('Invoer gegevens'!$C$34+1=E11,'Invoer gegevens'!$C$27*'Invoer gegevens'!$C$10*'Invoer gegevens'!$C$37*(IF('Invoer gegevens'!$C$35="ja",1,Reeksen!J11)),0))+IF(AND(E11='Invoer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1" s="73">
        <f ca="1">AW11/(1+'Invoer gegevens'!$F$13)^($D11-('Invoer gegevens'!$C$17-'Invoer gegevens'!$C$16))/(1+'Invoer gegevens'!$C$39)^('Invoer gegevens'!$C$17-'Invoer gegevens'!$C$16)</f>
        <v>0</v>
      </c>
      <c r="BB11" s="73">
        <f ca="1">AX11/(1+'Invoer gegevens'!$F$13)^(E11-('Invoer gegevens'!$C$17-1))/(1+'Invoer gegevens'!$C$39)^('Invoer gegevens'!$C$17-'Invoer gegevens'!$C$16)</f>
        <v>0</v>
      </c>
      <c r="BC11" s="73">
        <f ca="1">AY11/(1+'Invoer gegevens'!$C$39)^('Invoer gegevens'!$C$17-'Invoer gegevens'!$C$16)</f>
        <v>0</v>
      </c>
      <c r="BD11" s="72">
        <f t="shared" ca="1" si="5"/>
        <v>0</v>
      </c>
      <c r="BE11" s="72">
        <f ca="1">IF(AND(E11='Invoer gegevens'!$C$16,'Invoer gegevens'!$C$34&lt;'Invoer gegevens'!$C$16),AZ11,AZ11/(1+'Invoer gegevens'!$C$39)^D11)</f>
        <v>0</v>
      </c>
      <c r="BF11" s="72">
        <f ca="1">IF(E11='Invoer gegevens'!$C$34,-'Invoer gegevens'!$F$40,0)</f>
        <v>0</v>
      </c>
      <c r="BG11" s="72">
        <f ca="1">IF(E11='Invoer gegevens'!$C$17,-'Invoer gegevens'!$C$19*$BD$31,0)</f>
        <v>0</v>
      </c>
      <c r="BH11" s="72">
        <f ca="1">AW11/(1+$BH$4)^($D11-('Invoer gegevens'!$C$17-'Invoer gegevens'!$C$16))/(1+'Invoer gegevens'!$C$39)^('Invoer gegevens'!$C$17-'Invoer gegevens'!$C$16)+AX11/(1+$BH$4)^(E11-('Invoer gegevens'!$C$17-1))/(1+'Invoer gegevens'!$C$39)^('Invoer gegevens'!$C$17-'Invoer gegevens'!$C$16)+AY11/(1+'Invoer gegevens'!$C$39)^('Invoer gegevens'!$C$17-'Invoer gegevens'!$C$16)+(-AZ11/(1+'Invoer gegevens'!$C$39)^D11)+BF11+BG11</f>
        <v>0</v>
      </c>
      <c r="BI11" s="59"/>
    </row>
    <row r="12" spans="1:61" x14ac:dyDescent="0.25">
      <c r="A12" s="59"/>
      <c r="B12" s="70">
        <f t="shared" si="6"/>
        <v>8</v>
      </c>
      <c r="C12" s="67">
        <f ca="1">IF(AND(E12&gt;='Invoer gegevens'!$C$17,E12&lt;'Invoer gegevens'!$C$17+15),1,0)</f>
        <v>1</v>
      </c>
      <c r="D12" s="68">
        <f t="shared" si="7"/>
        <v>7.5</v>
      </c>
      <c r="E12" s="69">
        <f ca="1">IF('Invoer gegevens'!$C$16="","",E11+1)</f>
        <v>2026</v>
      </c>
      <c r="F12" s="82">
        <f ca="1">IF('Invoer gegevens'!$C$17=E12,'Invoer gegevens'!$C$10,IF(C12=1,H11,0))</f>
        <v>0</v>
      </c>
      <c r="G12" s="83">
        <f ca="1">IF(E12='Invoer gegevens'!$C$17+15,H11,IF(C12&gt;=1,F12*Reeksen!C12,0))</f>
        <v>0</v>
      </c>
      <c r="H12" s="84">
        <f ca="1">IF(E12&gt;='Invoer gegevens'!$C$17+15,0,F12-G12)</f>
        <v>0</v>
      </c>
      <c r="I12" s="85">
        <f ca="1">IF('Invoer gegevens'!$C$17=E12,'Invoer gegevens'!$C$11,IF(C12=1,L11,0))</f>
        <v>22.284890999999998</v>
      </c>
      <c r="J12" s="86">
        <f ca="1">IF(E12='Invoer gegevens'!$C$17+15,L11,IF(C12&lt;1,0,IF(Reeksen!AK12&lt;=Reeksen!AE12,I12*Reeksen!C12,0)))</f>
        <v>1.11424455</v>
      </c>
      <c r="K12" s="86">
        <f ca="1">IF(E12='Invoer gegevens'!$C$17+15,L11,IF(C12&lt;1,0,IF(Reeksen!AK12&gt;Reeksen!AE12,I12*Reeksen!C12,0)))</f>
        <v>0</v>
      </c>
      <c r="L12" s="86">
        <f ca="1">IF(E12&gt;='Invoer gegevens'!$C$17+15,0,I12-J12-K12)</f>
        <v>21.17064645</v>
      </c>
      <c r="M12" s="85">
        <f ca="1">IF('Invoer gegevens'!$C$17=E12,'Invoer gegevens'!$C$10-'Invoer gegevens'!$C$11,IF(C12=1,P11,0))</f>
        <v>0</v>
      </c>
      <c r="N12" s="86">
        <f ca="1">IF(E12='Invoer gegevens'!$C$17+15,P11,IF(C12&lt;1,0,IF(Reeksen!AK12&lt;=Reeksen!AE12,M12*Reeksen!C12,0)))</f>
        <v>0</v>
      </c>
      <c r="O12" s="86">
        <f ca="1">IF(E12='Invoer gegevens'!$C$17+15,P11,IF(C12&lt;1,0,IF(Reeksen!AK12&gt;Reeksen!AE12,M12*Reeksen!C12,0)))</f>
        <v>0</v>
      </c>
      <c r="P12" s="86">
        <f ca="1">IF(E12&gt;='Invoer gegevens'!$C$17+15,0,M12-N12-O12)</f>
        <v>0</v>
      </c>
      <c r="Q12" s="82">
        <f ca="1">IF('Invoer gegevens'!$C$17=E12,I12,IF(C12=0,0,R11))</f>
        <v>0</v>
      </c>
      <c r="R12" s="84">
        <f t="shared" ca="1" si="0"/>
        <v>0</v>
      </c>
      <c r="S12" s="84">
        <f ca="1">IF('Invoer gegevens'!$C$17=E12,M12,IF(C12=0,0,T11))</f>
        <v>0</v>
      </c>
      <c r="T12" s="84">
        <f t="shared" ca="1" si="1"/>
        <v>0</v>
      </c>
      <c r="AH12" s="68"/>
      <c r="AI12" s="71">
        <f ca="1">IF(C12=1,((F12+H12)/2*Reeksen!AJ12*12)+(('Invoer gegevens'!$C$10-(F12+H12)/2)*Reeksen!AK12*12),0)</f>
        <v>0</v>
      </c>
      <c r="AJ12" s="71">
        <f ca="1">-AI12*'Invoer gegevens'!$F$28</f>
        <v>0</v>
      </c>
      <c r="AK12" s="71">
        <f t="shared" ca="1" si="2"/>
        <v>0</v>
      </c>
      <c r="AL12" s="71">
        <f ca="1">IF(C12=1,(12*((F12+H12)/2)*Reeksen!AL12)+(12*('Invoer gegevens'!$C$10-(F12+H12)/2)*Reeksen!AM12),0)</f>
        <v>0</v>
      </c>
      <c r="AM12" s="71">
        <f ca="1">-AL12*'Invoer gegevens'!$F$31</f>
        <v>0</v>
      </c>
      <c r="AN12" s="71">
        <f t="shared" ca="1" si="3"/>
        <v>0</v>
      </c>
      <c r="AO12" s="71"/>
      <c r="AP12" s="71"/>
      <c r="AQ12" s="71">
        <f ca="1">-IF(C12=1,('Invoer gegevens'!$C$10*'Invoer gegevens'!$I$33)*Reeksen!J12,0)</f>
        <v>0</v>
      </c>
      <c r="AR12" s="71">
        <f ca="1">-IF(C12=1,(G12*'Invoer gegevens'!$I$34)*Reeksen!J12,0)</f>
        <v>0</v>
      </c>
      <c r="AS12" s="71">
        <f ca="1">-IF(C12=1,'Invoer gegevens'!$C$10*'Invoer gegevens'!$I$35*Reeksen!L12,0)</f>
        <v>0</v>
      </c>
      <c r="AT12" s="71">
        <f ca="1">-IF(C12=1,IF(E12='Invoer gegevens'!$C$17,'Invoer gegevens'!$C$11,Q12)*Reeksen!S12*'Invoer gegevens'!$C$18*Reeksen!P12,0)</f>
        <v>0</v>
      </c>
      <c r="AU12" s="71">
        <f ca="1">-IF(C12=1,'Invoer gegevens'!$C$10*'Invoer gegevens'!$I$36*Reeksen!H12,0)</f>
        <v>0</v>
      </c>
      <c r="AV12" s="71">
        <v>0</v>
      </c>
      <c r="AW12" s="71">
        <f t="shared" ca="1" si="4"/>
        <v>0</v>
      </c>
      <c r="AX12" s="72">
        <f ca="1">IF(E12='Invoer gegevens'!$C$17+14,'RW - BW - DE'!$AY$236,0)</f>
        <v>0</v>
      </c>
      <c r="AY12" s="72">
        <f ca="1">IFERROR(IF(E12='Invoer gegevens'!$C$17,-'Invoer gegevens'!$C$10*'Invoer gegevens'!$C$31*Reeksen!H12,0),0)</f>
        <v>0</v>
      </c>
      <c r="AZ12" s="73">
        <f ca="1">IF('Invoer gegevens'!$C$34=E12,'Invoer gegevens'!$C$27*'Invoer gegevens'!$C$10*'Invoer gegevens'!$C$36*(IF('Invoer gegevens'!$C$35="ja",1,Reeksen!J12)),IF('Invoer gegevens'!$C$34+1=E12,'Invoer gegevens'!$C$27*'Invoer gegevens'!$C$10*'Invoer gegevens'!$C$37*(IF('Invoer gegevens'!$C$35="ja",1,Reeksen!J12)),0))+IF(AND(E12='Invoer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2" s="73">
        <f ca="1">AW12/(1+'Invoer gegevens'!$F$13)^($D12-('Invoer gegevens'!$C$17-'Invoer gegevens'!$C$16))/(1+'Invoer gegevens'!$C$39)^('Invoer gegevens'!$C$17-'Invoer gegevens'!$C$16)</f>
        <v>0</v>
      </c>
      <c r="BB12" s="73">
        <f ca="1">AX12/(1+'Invoer gegevens'!$F$13)^(E12-('Invoer gegevens'!$C$17-1))/(1+'Invoer gegevens'!$C$39)^('Invoer gegevens'!$C$17-'Invoer gegevens'!$C$16)</f>
        <v>0</v>
      </c>
      <c r="BC12" s="73">
        <f ca="1">AY12/(1+'Invoer gegevens'!$C$39)^('Invoer gegevens'!$C$17-'Invoer gegevens'!$C$16)</f>
        <v>0</v>
      </c>
      <c r="BD12" s="72">
        <f t="shared" ca="1" si="5"/>
        <v>0</v>
      </c>
      <c r="BE12" s="72">
        <f ca="1">IF(AND(E12='Invoer gegevens'!$C$16,'Invoer gegevens'!$C$34&lt;'Invoer gegevens'!$C$16),AZ12,AZ12/(1+'Invoer gegevens'!$C$39)^D12)</f>
        <v>0</v>
      </c>
      <c r="BF12" s="72">
        <f ca="1">IF(E12='Invoer gegevens'!$C$34,-'Invoer gegevens'!$F$40,0)</f>
        <v>0</v>
      </c>
      <c r="BG12" s="72">
        <f ca="1">IF(E12='Invoer gegevens'!$C$17,-'Invoer gegevens'!$C$19*$BD$31,0)</f>
        <v>0</v>
      </c>
      <c r="BH12" s="72">
        <f ca="1">AW12/(1+$BH$4)^($D12-('Invoer gegevens'!$C$17-'Invoer gegevens'!$C$16))/(1+'Invoer gegevens'!$C$39)^('Invoer gegevens'!$C$17-'Invoer gegevens'!$C$16)+AX12/(1+$BH$4)^(E12-('Invoer gegevens'!$C$17-1))/(1+'Invoer gegevens'!$C$39)^('Invoer gegevens'!$C$17-'Invoer gegevens'!$C$16)+AY12/(1+'Invoer gegevens'!$C$39)^('Invoer gegevens'!$C$17-'Invoer gegevens'!$C$16)+(-AZ12/(1+'Invoer gegevens'!$C$39)^D12)+BF12+BG12</f>
        <v>0</v>
      </c>
      <c r="BI12" s="59"/>
    </row>
    <row r="13" spans="1:61" x14ac:dyDescent="0.25">
      <c r="A13" s="59"/>
      <c r="B13" s="70">
        <f t="shared" si="6"/>
        <v>9</v>
      </c>
      <c r="C13" s="67">
        <f ca="1">IF(AND(E13&gt;='Invoer gegevens'!$C$17,E13&lt;'Invoer gegevens'!$C$17+15),1,0)</f>
        <v>1</v>
      </c>
      <c r="D13" s="68">
        <f t="shared" si="7"/>
        <v>8.5</v>
      </c>
      <c r="E13" s="69">
        <f ca="1">IF('Invoer gegevens'!$C$16="","",E12+1)</f>
        <v>2027</v>
      </c>
      <c r="F13" s="82">
        <f ca="1">IF('Invoer gegevens'!$C$17=E13,'Invoer gegevens'!$C$10,IF(C13=1,H12,0))</f>
        <v>0</v>
      </c>
      <c r="G13" s="83">
        <f ca="1">IF(E13='Invoer gegevens'!$C$17+15,H12,IF(C13&gt;=1,F13*Reeksen!C13,0))</f>
        <v>0</v>
      </c>
      <c r="H13" s="84">
        <f ca="1">IF(E13&gt;='Invoer gegevens'!$C$17+15,0,F13-G13)</f>
        <v>0</v>
      </c>
      <c r="I13" s="85">
        <f ca="1">IF('Invoer gegevens'!$C$17=E13,'Invoer gegevens'!$C$11,IF(C13=1,L12,0))</f>
        <v>21.17064645</v>
      </c>
      <c r="J13" s="86">
        <f ca="1">IF(E13='Invoer gegevens'!$C$17+15,L12,IF(C13&lt;1,0,IF(Reeksen!AK13&lt;=Reeksen!AE13,I13*Reeksen!C13,0)))</f>
        <v>1.0585323225000001</v>
      </c>
      <c r="K13" s="86">
        <f ca="1">IF(E13='Invoer gegevens'!$C$17+15,L12,IF(C13&lt;1,0,IF(Reeksen!AK13&gt;Reeksen!AE13,I13*Reeksen!C13,0)))</f>
        <v>0</v>
      </c>
      <c r="L13" s="86">
        <f ca="1">IF(E13&gt;='Invoer gegevens'!$C$17+15,0,I13-J13-K13)</f>
        <v>20.1121141275</v>
      </c>
      <c r="M13" s="85">
        <f ca="1">IF('Invoer gegevens'!$C$17=E13,'Invoer gegevens'!$C$10-'Invoer gegevens'!$C$11,IF(C13=1,P12,0))</f>
        <v>0</v>
      </c>
      <c r="N13" s="86">
        <f ca="1">IF(E13='Invoer gegevens'!$C$17+15,P12,IF(C13&lt;1,0,IF(Reeksen!AK13&lt;=Reeksen!AE13,M13*Reeksen!C13,0)))</f>
        <v>0</v>
      </c>
      <c r="O13" s="86">
        <f ca="1">IF(E13='Invoer gegevens'!$C$17+15,P12,IF(C13&lt;1,0,IF(Reeksen!AK13&gt;Reeksen!AE13,M13*Reeksen!C13,0)))</f>
        <v>0</v>
      </c>
      <c r="P13" s="86">
        <f ca="1">IF(E13&gt;='Invoer gegevens'!$C$17+15,0,M13-N13-O13)</f>
        <v>0</v>
      </c>
      <c r="Q13" s="82">
        <f ca="1">IF('Invoer gegevens'!$C$17=E13,I13,IF(C13=0,0,R12))</f>
        <v>0</v>
      </c>
      <c r="R13" s="84">
        <f t="shared" ca="1" si="0"/>
        <v>0</v>
      </c>
      <c r="S13" s="84">
        <f ca="1">IF('Invoer gegevens'!$C$17=E13,M13,IF(C13=0,0,T12))</f>
        <v>0</v>
      </c>
      <c r="T13" s="84">
        <f t="shared" ca="1" si="1"/>
        <v>0</v>
      </c>
      <c r="AH13" s="68"/>
      <c r="AI13" s="71">
        <f ca="1">IF(C13=1,((F13+H13)/2*Reeksen!AJ13*12)+(('Invoer gegevens'!$C$10-(F13+H13)/2)*Reeksen!AK13*12),0)</f>
        <v>0</v>
      </c>
      <c r="AJ13" s="71">
        <f ca="1">-AI13*'Invoer gegevens'!$F$28</f>
        <v>0</v>
      </c>
      <c r="AK13" s="71">
        <f t="shared" ca="1" si="2"/>
        <v>0</v>
      </c>
      <c r="AL13" s="71">
        <f ca="1">IF(C13=1,(12*((F13+H13)/2)*Reeksen!AL13)+(12*('Invoer gegevens'!$C$10-(F13+H13)/2)*Reeksen!AM13),0)</f>
        <v>0</v>
      </c>
      <c r="AM13" s="71">
        <f ca="1">-AL13*'Invoer gegevens'!$F$31</f>
        <v>0</v>
      </c>
      <c r="AN13" s="71">
        <f t="shared" ca="1" si="3"/>
        <v>0</v>
      </c>
      <c r="AO13" s="71"/>
      <c r="AP13" s="71"/>
      <c r="AQ13" s="71">
        <f ca="1">-IF(C13=1,('Invoer gegevens'!$C$10*'Invoer gegevens'!$I$33)*Reeksen!J13,0)</f>
        <v>0</v>
      </c>
      <c r="AR13" s="71">
        <f ca="1">-IF(C13=1,(G13*'Invoer gegevens'!$I$34)*Reeksen!J13,0)</f>
        <v>0</v>
      </c>
      <c r="AS13" s="71">
        <f ca="1">-IF(C13=1,'Invoer gegevens'!$C$10*'Invoer gegevens'!$I$35*Reeksen!L13,0)</f>
        <v>0</v>
      </c>
      <c r="AT13" s="71">
        <f ca="1">-IF(C13=1,IF(E13='Invoer gegevens'!$C$17,'Invoer gegevens'!$C$11,Q13)*Reeksen!S13*'Invoer gegevens'!$C$18*Reeksen!P13,0)</f>
        <v>0</v>
      </c>
      <c r="AU13" s="71">
        <f ca="1">-IF(C13=1,'Invoer gegevens'!$C$10*'Invoer gegevens'!$I$36*Reeksen!H13,0)</f>
        <v>0</v>
      </c>
      <c r="AV13" s="71">
        <v>0</v>
      </c>
      <c r="AW13" s="71">
        <f t="shared" ca="1" si="4"/>
        <v>0</v>
      </c>
      <c r="AX13" s="72">
        <f ca="1">IF(E13='Invoer gegevens'!$C$17+14,'RW - BW - DE'!$AY$236,0)</f>
        <v>0</v>
      </c>
      <c r="AY13" s="72">
        <f ca="1">IFERROR(IF(E13='Invoer gegevens'!$C$17,-'Invoer gegevens'!$C$10*'Invoer gegevens'!$C$31*Reeksen!H13,0),0)</f>
        <v>0</v>
      </c>
      <c r="AZ13" s="73">
        <f ca="1">IF('Invoer gegevens'!$C$34=E13,'Invoer gegevens'!$C$27*'Invoer gegevens'!$C$10*'Invoer gegevens'!$C$36*(IF('Invoer gegevens'!$C$35="ja",1,Reeksen!J13)),IF('Invoer gegevens'!$C$34+1=E13,'Invoer gegevens'!$C$27*'Invoer gegevens'!$C$10*'Invoer gegevens'!$C$37*(IF('Invoer gegevens'!$C$35="ja",1,Reeksen!J13)),0))+IF(AND(E13='Invoer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3" s="73">
        <f ca="1">AW13/(1+'Invoer gegevens'!$F$13)^($D13-('Invoer gegevens'!$C$17-'Invoer gegevens'!$C$16))/(1+'Invoer gegevens'!$C$39)^('Invoer gegevens'!$C$17-'Invoer gegevens'!$C$16)</f>
        <v>0</v>
      </c>
      <c r="BB13" s="73">
        <f ca="1">AX13/(1+'Invoer gegevens'!$F$13)^(E13-('Invoer gegevens'!$C$17-1))/(1+'Invoer gegevens'!$C$39)^('Invoer gegevens'!$C$17-'Invoer gegevens'!$C$16)</f>
        <v>0</v>
      </c>
      <c r="BC13" s="73">
        <f ca="1">AY13/(1+'Invoer gegevens'!$C$39)^('Invoer gegevens'!$C$17-'Invoer gegevens'!$C$16)</f>
        <v>0</v>
      </c>
      <c r="BD13" s="72">
        <f t="shared" ca="1" si="5"/>
        <v>0</v>
      </c>
      <c r="BE13" s="72">
        <f ca="1">IF(AND(E13='Invoer gegevens'!$C$16,'Invoer gegevens'!$C$34&lt;'Invoer gegevens'!$C$16),AZ13,AZ13/(1+'Invoer gegevens'!$C$39)^D13)</f>
        <v>0</v>
      </c>
      <c r="BF13" s="72">
        <f ca="1">IF(E13='Invoer gegevens'!$C$34,-'Invoer gegevens'!$F$40,0)</f>
        <v>0</v>
      </c>
      <c r="BG13" s="72">
        <f ca="1">IF(E13='Invoer gegevens'!$C$17,-'Invoer gegevens'!$C$19*$BD$31,0)</f>
        <v>0</v>
      </c>
      <c r="BH13" s="72">
        <f ca="1">AW13/(1+$BH$4)^($D13-('Invoer gegevens'!$C$17-'Invoer gegevens'!$C$16))/(1+'Invoer gegevens'!$C$39)^('Invoer gegevens'!$C$17-'Invoer gegevens'!$C$16)+AX13/(1+$BH$4)^(E13-('Invoer gegevens'!$C$17-1))/(1+'Invoer gegevens'!$C$39)^('Invoer gegevens'!$C$17-'Invoer gegevens'!$C$16)+AY13/(1+'Invoer gegevens'!$C$39)^('Invoer gegevens'!$C$17-'Invoer gegevens'!$C$16)+(-AZ13/(1+'Invoer gegevens'!$C$39)^D13)+BF13+BG13</f>
        <v>0</v>
      </c>
      <c r="BI13" s="59"/>
    </row>
    <row r="14" spans="1:61" x14ac:dyDescent="0.25">
      <c r="A14" s="59"/>
      <c r="B14" s="70">
        <f t="shared" si="6"/>
        <v>10</v>
      </c>
      <c r="C14" s="67">
        <f ca="1">IF(AND(E14&gt;='Invoer gegevens'!$C$17,E14&lt;'Invoer gegevens'!$C$17+15),1,0)</f>
        <v>1</v>
      </c>
      <c r="D14" s="68">
        <f t="shared" si="7"/>
        <v>9.5</v>
      </c>
      <c r="E14" s="69">
        <f ca="1">IF('Invoer gegevens'!$C$16="","",E13+1)</f>
        <v>2028</v>
      </c>
      <c r="F14" s="82">
        <f ca="1">IF('Invoer gegevens'!$C$17=E14,'Invoer gegevens'!$C$10,IF(C14=1,H13,0))</f>
        <v>0</v>
      </c>
      <c r="G14" s="83">
        <f ca="1">IF(E14='Invoer gegevens'!$C$17+15,H13,IF(C14&gt;=1,F14*Reeksen!C14,0))</f>
        <v>0</v>
      </c>
      <c r="H14" s="84">
        <f ca="1">IF(E14&gt;='Invoer gegevens'!$C$17+15,0,F14-G14)</f>
        <v>0</v>
      </c>
      <c r="I14" s="85">
        <f ca="1">IF('Invoer gegevens'!$C$17=E14,'Invoer gegevens'!$C$11,IF(C14=1,L13,0))</f>
        <v>20.1121141275</v>
      </c>
      <c r="J14" s="86">
        <f ca="1">IF(E14='Invoer gegevens'!$C$17+15,L13,IF(C14&lt;1,0,IF(Reeksen!AK14&lt;=Reeksen!AE14,I14*Reeksen!C14,0)))</f>
        <v>1.0056057063750001</v>
      </c>
      <c r="K14" s="86">
        <f ca="1">IF(E14='Invoer gegevens'!$C$17+15,L13,IF(C14&lt;1,0,IF(Reeksen!AK14&gt;Reeksen!AE14,I14*Reeksen!C14,0)))</f>
        <v>0</v>
      </c>
      <c r="L14" s="86">
        <f ca="1">IF(E14&gt;='Invoer gegevens'!$C$17+15,0,I14-J14-K14)</f>
        <v>19.106508421125</v>
      </c>
      <c r="M14" s="85">
        <f ca="1">IF('Invoer gegevens'!$C$17=E14,'Invoer gegevens'!$C$10-'Invoer gegevens'!$C$11,IF(C14=1,P13,0))</f>
        <v>0</v>
      </c>
      <c r="N14" s="86">
        <f ca="1">IF(E14='Invoer gegevens'!$C$17+15,P13,IF(C14&lt;1,0,IF(Reeksen!AK14&lt;=Reeksen!AE14,M14*Reeksen!C14,0)))</f>
        <v>0</v>
      </c>
      <c r="O14" s="86">
        <f ca="1">IF(E14='Invoer gegevens'!$C$17+15,P13,IF(C14&lt;1,0,IF(Reeksen!AK14&gt;Reeksen!AE14,M14*Reeksen!C14,0)))</f>
        <v>0</v>
      </c>
      <c r="P14" s="86">
        <f ca="1">IF(E14&gt;='Invoer gegevens'!$C$17+15,0,M14-N14-O14)</f>
        <v>0</v>
      </c>
      <c r="Q14" s="82">
        <f ca="1">IF('Invoer gegevens'!$C$17=E14,I14,IF(C14=0,0,R13))</f>
        <v>0</v>
      </c>
      <c r="R14" s="84">
        <f t="shared" ca="1" si="0"/>
        <v>0</v>
      </c>
      <c r="S14" s="84">
        <f ca="1">IF('Invoer gegevens'!$C$17=E14,M14,IF(C14=0,0,T13))</f>
        <v>0</v>
      </c>
      <c r="T14" s="84">
        <f t="shared" ca="1" si="1"/>
        <v>0</v>
      </c>
      <c r="AH14" s="68"/>
      <c r="AI14" s="71">
        <f ca="1">IF(C14=1,((F14+H14)/2*Reeksen!AJ14*12)+(('Invoer gegevens'!$C$10-(F14+H14)/2)*Reeksen!AK14*12),0)</f>
        <v>0</v>
      </c>
      <c r="AJ14" s="71">
        <f ca="1">-AI14*'Invoer gegevens'!$F$28</f>
        <v>0</v>
      </c>
      <c r="AK14" s="71">
        <f t="shared" ca="1" si="2"/>
        <v>0</v>
      </c>
      <c r="AL14" s="71">
        <f ca="1">IF(C14=1,(12*((F14+H14)/2)*Reeksen!AL14)+(12*('Invoer gegevens'!$C$10-(F14+H14)/2)*Reeksen!AM14),0)</f>
        <v>0</v>
      </c>
      <c r="AM14" s="71">
        <f ca="1">-AL14*'Invoer gegevens'!$F$31</f>
        <v>0</v>
      </c>
      <c r="AN14" s="71">
        <f t="shared" ca="1" si="3"/>
        <v>0</v>
      </c>
      <c r="AO14" s="71"/>
      <c r="AP14" s="71"/>
      <c r="AQ14" s="71">
        <f ca="1">-IF(C14=1,('Invoer gegevens'!$C$10*'Invoer gegevens'!$I$33)*Reeksen!J14,0)</f>
        <v>0</v>
      </c>
      <c r="AR14" s="71">
        <f ca="1">-IF(C14=1,(G14*'Invoer gegevens'!$I$34)*Reeksen!J14,0)</f>
        <v>0</v>
      </c>
      <c r="AS14" s="71">
        <f ca="1">-IF(C14=1,'Invoer gegevens'!$C$10*'Invoer gegevens'!$I$35*Reeksen!L14,0)</f>
        <v>0</v>
      </c>
      <c r="AT14" s="71">
        <f ca="1">-IF(C14=1,IF(E14='Invoer gegevens'!$C$17,'Invoer gegevens'!$C$11,Q14)*Reeksen!S14*'Invoer gegevens'!$C$18*Reeksen!P14,0)</f>
        <v>0</v>
      </c>
      <c r="AU14" s="71">
        <f ca="1">-IF(C14=1,'Invoer gegevens'!$C$10*'Invoer gegevens'!$I$36*Reeksen!H14,0)</f>
        <v>0</v>
      </c>
      <c r="AV14" s="71">
        <v>0</v>
      </c>
      <c r="AW14" s="71">
        <f t="shared" ca="1" si="4"/>
        <v>0</v>
      </c>
      <c r="AX14" s="72">
        <f ca="1">IF(E14='Invoer gegevens'!$C$17+14,'RW - BW - DE'!$AY$236,0)</f>
        <v>0</v>
      </c>
      <c r="AY14" s="72">
        <f ca="1">IFERROR(IF(E14='Invoer gegevens'!$C$17,-'Invoer gegevens'!$C$10*'Invoer gegevens'!$C$31*Reeksen!H14,0),0)</f>
        <v>0</v>
      </c>
      <c r="AZ14" s="73">
        <f ca="1">IF('Invoer gegevens'!$C$34=E14,'Invoer gegevens'!$C$27*'Invoer gegevens'!$C$10*'Invoer gegevens'!$C$36*(IF('Invoer gegevens'!$C$35="ja",1,Reeksen!J14)),IF('Invoer gegevens'!$C$34+1=E14,'Invoer gegevens'!$C$27*'Invoer gegevens'!$C$10*'Invoer gegevens'!$C$37*(IF('Invoer gegevens'!$C$35="ja",1,Reeksen!J14)),0))+IF(AND(E14='Invoer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4" s="73">
        <f ca="1">AW14/(1+'Invoer gegevens'!$F$13)^($D14-('Invoer gegevens'!$C$17-'Invoer gegevens'!$C$16))/(1+'Invoer gegevens'!$C$39)^('Invoer gegevens'!$C$17-'Invoer gegevens'!$C$16)</f>
        <v>0</v>
      </c>
      <c r="BB14" s="73">
        <f ca="1">AX14/(1+'Invoer gegevens'!$F$13)^(E14-('Invoer gegevens'!$C$17-1))/(1+'Invoer gegevens'!$C$39)^('Invoer gegevens'!$C$17-'Invoer gegevens'!$C$16)</f>
        <v>0</v>
      </c>
      <c r="BC14" s="73">
        <f ca="1">AY14/(1+'Invoer gegevens'!$C$39)^('Invoer gegevens'!$C$17-'Invoer gegevens'!$C$16)</f>
        <v>0</v>
      </c>
      <c r="BD14" s="72">
        <f t="shared" ca="1" si="5"/>
        <v>0</v>
      </c>
      <c r="BE14" s="72">
        <f ca="1">IF(AND(E14='Invoer gegevens'!$C$16,'Invoer gegevens'!$C$34&lt;'Invoer gegevens'!$C$16),AZ14,AZ14/(1+'Invoer gegevens'!$C$39)^D14)</f>
        <v>0</v>
      </c>
      <c r="BF14" s="72">
        <f ca="1">IF(E14='Invoer gegevens'!$C$34,-'Invoer gegevens'!$F$40,0)</f>
        <v>0</v>
      </c>
      <c r="BG14" s="72">
        <f ca="1">IF(E14='Invoer gegevens'!$C$17,-'Invoer gegevens'!$C$19*$BD$31,0)</f>
        <v>0</v>
      </c>
      <c r="BH14" s="72">
        <f ca="1">AW14/(1+$BH$4)^($D14-('Invoer gegevens'!$C$17-'Invoer gegevens'!$C$16))/(1+'Invoer gegevens'!$C$39)^('Invoer gegevens'!$C$17-'Invoer gegevens'!$C$16)+AX14/(1+$BH$4)^(E14-('Invoer gegevens'!$C$17-1))/(1+'Invoer gegevens'!$C$39)^('Invoer gegevens'!$C$17-'Invoer gegevens'!$C$16)+AY14/(1+'Invoer gegevens'!$C$39)^('Invoer gegevens'!$C$17-'Invoer gegevens'!$C$16)+(-AZ14/(1+'Invoer gegevens'!$C$39)^D14)+BF14+BG14</f>
        <v>0</v>
      </c>
      <c r="BI14" s="59"/>
    </row>
    <row r="15" spans="1:61" x14ac:dyDescent="0.25">
      <c r="A15" s="59"/>
      <c r="B15" s="70">
        <f t="shared" si="6"/>
        <v>11</v>
      </c>
      <c r="C15" s="67">
        <f ca="1">IF(AND(E15&gt;='Invoer gegevens'!$C$17,E15&lt;'Invoer gegevens'!$C$17+15),1,0)</f>
        <v>1</v>
      </c>
      <c r="D15" s="68">
        <f t="shared" si="7"/>
        <v>10.5</v>
      </c>
      <c r="E15" s="69">
        <f ca="1">IF('Invoer gegevens'!$C$16="","",E14+1)</f>
        <v>2029</v>
      </c>
      <c r="F15" s="82">
        <f ca="1">IF('Invoer gegevens'!$C$17=E15,'Invoer gegevens'!$C$10,IF(C15=1,H14,0))</f>
        <v>0</v>
      </c>
      <c r="G15" s="83">
        <f ca="1">IF(E15='Invoer gegevens'!$C$17+15,H14,IF(C15&gt;=1,F15*Reeksen!C15,0))</f>
        <v>0</v>
      </c>
      <c r="H15" s="84">
        <f ca="1">IF(E15&gt;='Invoer gegevens'!$C$17+15,0,F15-G15)</f>
        <v>0</v>
      </c>
      <c r="I15" s="85">
        <f ca="1">IF('Invoer gegevens'!$C$17=E15,'Invoer gegevens'!$C$11,IF(C15=1,L14,0))</f>
        <v>19.106508421125</v>
      </c>
      <c r="J15" s="86">
        <f ca="1">IF(E15='Invoer gegevens'!$C$17+15,L14,IF(C15&lt;1,0,IF(Reeksen!AK15&lt;=Reeksen!AE15,I15*Reeksen!C15,0)))</f>
        <v>0.95532542105625007</v>
      </c>
      <c r="K15" s="86">
        <f ca="1">IF(E15='Invoer gegevens'!$C$17+15,L14,IF(C15&lt;1,0,IF(Reeksen!AK15&gt;Reeksen!AE15,I15*Reeksen!C15,0)))</f>
        <v>0</v>
      </c>
      <c r="L15" s="86">
        <f ca="1">IF(E15&gt;='Invoer gegevens'!$C$17+15,0,I15-J15-K15)</f>
        <v>18.151183000068748</v>
      </c>
      <c r="M15" s="85">
        <f ca="1">IF('Invoer gegevens'!$C$17=E15,'Invoer gegevens'!$C$10-'Invoer gegevens'!$C$11,IF(C15=1,P14,0))</f>
        <v>0</v>
      </c>
      <c r="N15" s="86">
        <f ca="1">IF(E15='Invoer gegevens'!$C$17+15,P14,IF(C15&lt;1,0,IF(Reeksen!AK15&lt;=Reeksen!AE15,M15*Reeksen!C15,0)))</f>
        <v>0</v>
      </c>
      <c r="O15" s="86">
        <f ca="1">IF(E15='Invoer gegevens'!$C$17+15,P14,IF(C15&lt;1,0,IF(Reeksen!AK15&gt;Reeksen!AE15,M15*Reeksen!C15,0)))</f>
        <v>0</v>
      </c>
      <c r="P15" s="86">
        <f ca="1">IF(E15&gt;='Invoer gegevens'!$C$17+15,0,M15-N15-O15)</f>
        <v>0</v>
      </c>
      <c r="Q15" s="82">
        <f ca="1">IF('Invoer gegevens'!$C$17=E15,I15,IF(C15=0,0,R14))</f>
        <v>0</v>
      </c>
      <c r="R15" s="84">
        <f t="shared" ca="1" si="0"/>
        <v>0</v>
      </c>
      <c r="S15" s="84">
        <f ca="1">IF('Invoer gegevens'!$C$17=E15,M15,IF(C15=0,0,T14))</f>
        <v>0</v>
      </c>
      <c r="T15" s="84">
        <f t="shared" ca="1" si="1"/>
        <v>0</v>
      </c>
      <c r="AH15" s="68"/>
      <c r="AI15" s="71">
        <f ca="1">IF(C15=1,((F15+H15)/2*Reeksen!AJ15*12)+(('Invoer gegevens'!$C$10-(F15+H15)/2)*Reeksen!AK15*12),0)</f>
        <v>0</v>
      </c>
      <c r="AJ15" s="71">
        <f ca="1">-AI15*'Invoer gegevens'!$F$28</f>
        <v>0</v>
      </c>
      <c r="AK15" s="71">
        <f t="shared" ca="1" si="2"/>
        <v>0</v>
      </c>
      <c r="AL15" s="71">
        <f ca="1">IF(C15=1,(12*((F15+H15)/2)*Reeksen!AL15)+(12*('Invoer gegevens'!$C$10-(F15+H15)/2)*Reeksen!AM15),0)</f>
        <v>0</v>
      </c>
      <c r="AM15" s="71">
        <f ca="1">-AL15*'Invoer gegevens'!$F$31</f>
        <v>0</v>
      </c>
      <c r="AN15" s="71">
        <f t="shared" ca="1" si="3"/>
        <v>0</v>
      </c>
      <c r="AO15" s="71"/>
      <c r="AP15" s="71"/>
      <c r="AQ15" s="71">
        <f ca="1">-IF(C15=1,('Invoer gegevens'!$C$10*'Invoer gegevens'!$I$33)*Reeksen!J15,0)</f>
        <v>0</v>
      </c>
      <c r="AR15" s="71">
        <f ca="1">-IF(C15=1,(G15*'Invoer gegevens'!$I$34)*Reeksen!J15,0)</f>
        <v>0</v>
      </c>
      <c r="AS15" s="71">
        <f ca="1">-IF(C15=1,'Invoer gegevens'!$C$10*'Invoer gegevens'!$I$35*Reeksen!L15,0)</f>
        <v>0</v>
      </c>
      <c r="AT15" s="71">
        <f ca="1">-IF(C15=1,IF(E15='Invoer gegevens'!$C$17,'Invoer gegevens'!$C$11,Q15)*Reeksen!S15*'Invoer gegevens'!$C$18*Reeksen!P15,0)</f>
        <v>0</v>
      </c>
      <c r="AU15" s="71">
        <f ca="1">-IF(C15=1,'Invoer gegevens'!$C$10*'Invoer gegevens'!$I$36*Reeksen!H15,0)</f>
        <v>0</v>
      </c>
      <c r="AV15" s="71">
        <v>0</v>
      </c>
      <c r="AW15" s="71">
        <f t="shared" ca="1" si="4"/>
        <v>0</v>
      </c>
      <c r="AX15" s="72">
        <f ca="1">IF(E15='Invoer gegevens'!$C$17+14,'RW - BW - DE'!$AY$236,0)</f>
        <v>0</v>
      </c>
      <c r="AY15" s="72">
        <f ca="1">IFERROR(IF(E15='Invoer gegevens'!$C$17,-'Invoer gegevens'!$C$10*'Invoer gegevens'!$C$31*Reeksen!H15,0),0)</f>
        <v>0</v>
      </c>
      <c r="AZ15" s="73">
        <f ca="1">IF('Invoer gegevens'!$C$34=E15,'Invoer gegevens'!$C$27*'Invoer gegevens'!$C$10*'Invoer gegevens'!$C$36*(IF('Invoer gegevens'!$C$35="ja",1,Reeksen!J15)),IF('Invoer gegevens'!$C$34+1=E15,'Invoer gegevens'!$C$27*'Invoer gegevens'!$C$10*'Invoer gegevens'!$C$37*(IF('Invoer gegevens'!$C$35="ja",1,Reeksen!J15)),0))+IF(AND(E15='Invoer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5" s="73">
        <f ca="1">AW15/(1+'Invoer gegevens'!$F$13)^($D15-('Invoer gegevens'!$C$17-'Invoer gegevens'!$C$16))/(1+'Invoer gegevens'!$C$39)^('Invoer gegevens'!$C$17-'Invoer gegevens'!$C$16)</f>
        <v>0</v>
      </c>
      <c r="BB15" s="73">
        <f ca="1">AX15/(1+'Invoer gegevens'!$F$13)^(E15-('Invoer gegevens'!$C$17-1))/(1+'Invoer gegevens'!$C$39)^('Invoer gegevens'!$C$17-'Invoer gegevens'!$C$16)</f>
        <v>0</v>
      </c>
      <c r="BC15" s="73">
        <f ca="1">AY15/(1+'Invoer gegevens'!$C$39)^('Invoer gegevens'!$C$17-'Invoer gegevens'!$C$16)</f>
        <v>0</v>
      </c>
      <c r="BD15" s="72">
        <f t="shared" ca="1" si="5"/>
        <v>0</v>
      </c>
      <c r="BE15" s="72">
        <f ca="1">IF(AND(E15='Invoer gegevens'!$C$16,'Invoer gegevens'!$C$34&lt;'Invoer gegevens'!$C$16),AZ15,AZ15/(1+'Invoer gegevens'!$C$39)^D15)</f>
        <v>0</v>
      </c>
      <c r="BF15" s="72">
        <f ca="1">IF(E15='Invoer gegevens'!$C$34,-'Invoer gegevens'!$F$40,0)</f>
        <v>0</v>
      </c>
      <c r="BG15" s="72">
        <f ca="1">IF(E15='Invoer gegevens'!$C$17,-'Invoer gegevens'!$C$19*$BD$31,0)</f>
        <v>0</v>
      </c>
      <c r="BH15" s="72">
        <f ca="1">AW15/(1+$BH$4)^($D15-('Invoer gegevens'!$C$17-'Invoer gegevens'!$C$16))/(1+'Invoer gegevens'!$C$39)^('Invoer gegevens'!$C$17-'Invoer gegevens'!$C$16)+AX15/(1+$BH$4)^(E15-('Invoer gegevens'!$C$17-1))/(1+'Invoer gegevens'!$C$39)^('Invoer gegevens'!$C$17-'Invoer gegevens'!$C$16)+AY15/(1+'Invoer gegevens'!$C$39)^('Invoer gegevens'!$C$17-'Invoer gegevens'!$C$16)+(-AZ15/(1+'Invoer gegevens'!$C$39)^D15)+BF15+BG15</f>
        <v>0</v>
      </c>
      <c r="BI15" s="59"/>
    </row>
    <row r="16" spans="1:61" x14ac:dyDescent="0.25">
      <c r="A16" s="59"/>
      <c r="B16" s="70">
        <f t="shared" si="6"/>
        <v>12</v>
      </c>
      <c r="C16" s="67">
        <f ca="1">IF(AND(E16&gt;='Invoer gegevens'!$C$17,E16&lt;'Invoer gegevens'!$C$17+15),1,0)</f>
        <v>1</v>
      </c>
      <c r="D16" s="68">
        <f t="shared" si="7"/>
        <v>11.5</v>
      </c>
      <c r="E16" s="69">
        <f ca="1">IF('Invoer gegevens'!$C$16="","",E15+1)</f>
        <v>2030</v>
      </c>
      <c r="F16" s="82">
        <f ca="1">IF('Invoer gegevens'!$C$17=E16,'Invoer gegevens'!$C$10,IF(C16=1,H15,0))</f>
        <v>0</v>
      </c>
      <c r="G16" s="83">
        <f ca="1">IF(E16='Invoer gegevens'!$C$17+15,H15,IF(C16&gt;=1,F16*Reeksen!C16,0))</f>
        <v>0</v>
      </c>
      <c r="H16" s="84">
        <f ca="1">IF(E16&gt;='Invoer gegevens'!$C$17+15,0,F16-G16)</f>
        <v>0</v>
      </c>
      <c r="I16" s="85">
        <f ca="1">IF('Invoer gegevens'!$C$17=E16,'Invoer gegevens'!$C$11,IF(C16=1,L15,0))</f>
        <v>18.151183000068748</v>
      </c>
      <c r="J16" s="86">
        <f ca="1">IF(E16='Invoer gegevens'!$C$17+15,L15,IF(C16&lt;1,0,IF(Reeksen!AK16&lt;=Reeksen!AE16,I16*Reeksen!C16,0)))</f>
        <v>0.90755915000343745</v>
      </c>
      <c r="K16" s="86">
        <f ca="1">IF(E16='Invoer gegevens'!$C$17+15,L15,IF(C16&lt;1,0,IF(Reeksen!AK16&gt;Reeksen!AE16,I16*Reeksen!C16,0)))</f>
        <v>0</v>
      </c>
      <c r="L16" s="86">
        <f ca="1">IF(E16&gt;='Invoer gegevens'!$C$17+15,0,I16-J16-K16)</f>
        <v>17.243623850065312</v>
      </c>
      <c r="M16" s="85">
        <f ca="1">IF('Invoer gegevens'!$C$17=E16,'Invoer gegevens'!$C$10-'Invoer gegevens'!$C$11,IF(C16=1,P15,0))</f>
        <v>0</v>
      </c>
      <c r="N16" s="86">
        <f ca="1">IF(E16='Invoer gegevens'!$C$17+15,P15,IF(C16&lt;1,0,IF(Reeksen!AK16&lt;=Reeksen!AE16,M16*Reeksen!C16,0)))</f>
        <v>0</v>
      </c>
      <c r="O16" s="86">
        <f ca="1">IF(E16='Invoer gegevens'!$C$17+15,P15,IF(C16&lt;1,0,IF(Reeksen!AK16&gt;Reeksen!AE16,M16*Reeksen!C16,0)))</f>
        <v>0</v>
      </c>
      <c r="P16" s="86">
        <f ca="1">IF(E16&gt;='Invoer gegevens'!$C$17+15,0,M16-N16-O16)</f>
        <v>0</v>
      </c>
      <c r="Q16" s="82">
        <f ca="1">IF('Invoer gegevens'!$C$17=E16,I16,IF(C16=0,0,R15))</f>
        <v>0</v>
      </c>
      <c r="R16" s="84">
        <f t="shared" ca="1" si="0"/>
        <v>0</v>
      </c>
      <c r="S16" s="84">
        <f ca="1">IF('Invoer gegevens'!$C$17=E16,M16,IF(C16=0,0,T15))</f>
        <v>0</v>
      </c>
      <c r="T16" s="84">
        <f t="shared" ca="1" si="1"/>
        <v>0</v>
      </c>
      <c r="AH16" s="68"/>
      <c r="AI16" s="71">
        <f ca="1">IF(C16=1,((F16+H16)/2*Reeksen!AJ16*12)+(('Invoer gegevens'!$C$10-(F16+H16)/2)*Reeksen!AK16*12),0)</f>
        <v>0</v>
      </c>
      <c r="AJ16" s="71">
        <f ca="1">-AI16*'Invoer gegevens'!$F$28</f>
        <v>0</v>
      </c>
      <c r="AK16" s="71">
        <f t="shared" ca="1" si="2"/>
        <v>0</v>
      </c>
      <c r="AL16" s="71">
        <f ca="1">IF(C16=1,(12*((F16+H16)/2)*Reeksen!AL16)+(12*('Invoer gegevens'!$C$10-(F16+H16)/2)*Reeksen!AM16),0)</f>
        <v>0</v>
      </c>
      <c r="AM16" s="71">
        <f ca="1">-AL16*'Invoer gegevens'!$F$31</f>
        <v>0</v>
      </c>
      <c r="AN16" s="71">
        <f t="shared" ca="1" si="3"/>
        <v>0</v>
      </c>
      <c r="AO16" s="71"/>
      <c r="AP16" s="71"/>
      <c r="AQ16" s="71">
        <f ca="1">-IF(C16=1,('Invoer gegevens'!$C$10*'Invoer gegevens'!$I$33)*Reeksen!J16,0)</f>
        <v>0</v>
      </c>
      <c r="AR16" s="71">
        <f ca="1">-IF(C16=1,(G16*'Invoer gegevens'!$I$34)*Reeksen!J16,0)</f>
        <v>0</v>
      </c>
      <c r="AS16" s="71">
        <f ca="1">-IF(C16=1,'Invoer gegevens'!$C$10*'Invoer gegevens'!$I$35*Reeksen!L16,0)</f>
        <v>0</v>
      </c>
      <c r="AT16" s="71">
        <f ca="1">-IF(C16=1,IF(E16='Invoer gegevens'!$C$17,'Invoer gegevens'!$C$11,Q16)*Reeksen!S16*'Invoer gegevens'!$C$18*Reeksen!P16,0)</f>
        <v>0</v>
      </c>
      <c r="AU16" s="71">
        <f ca="1">-IF(C16=1,'Invoer gegevens'!$C$10*'Invoer gegevens'!$I$36*Reeksen!H16,0)</f>
        <v>0</v>
      </c>
      <c r="AV16" s="71">
        <v>0</v>
      </c>
      <c r="AW16" s="71">
        <f t="shared" ca="1" si="4"/>
        <v>0</v>
      </c>
      <c r="AX16" s="72">
        <f ca="1">IF(E16='Invoer gegevens'!$C$17+14,'RW - BW - DE'!$AY$236,0)</f>
        <v>0</v>
      </c>
      <c r="AY16" s="72">
        <f ca="1">IFERROR(IF(E16='Invoer gegevens'!$C$17,-'Invoer gegevens'!$C$10*'Invoer gegevens'!$C$31*Reeksen!H16,0),0)</f>
        <v>0</v>
      </c>
      <c r="AZ16" s="73">
        <f ca="1">IF('Invoer gegevens'!$C$34=E16,'Invoer gegevens'!$C$27*'Invoer gegevens'!$C$10*'Invoer gegevens'!$C$36*(IF('Invoer gegevens'!$C$35="ja",1,Reeksen!J16)),IF('Invoer gegevens'!$C$34+1=E16,'Invoer gegevens'!$C$27*'Invoer gegevens'!$C$10*'Invoer gegevens'!$C$37*(IF('Invoer gegevens'!$C$35="ja",1,Reeksen!J16)),0))+IF(AND(E16='Invoer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6" s="73">
        <f ca="1">AW16/(1+'Invoer gegevens'!$F$13)^($D16-('Invoer gegevens'!$C$17-'Invoer gegevens'!$C$16))/(1+'Invoer gegevens'!$C$39)^('Invoer gegevens'!$C$17-'Invoer gegevens'!$C$16)</f>
        <v>0</v>
      </c>
      <c r="BB16" s="73">
        <f ca="1">AX16/(1+'Invoer gegevens'!$F$13)^(E16-('Invoer gegevens'!$C$17-1))/(1+'Invoer gegevens'!$C$39)^('Invoer gegevens'!$C$17-'Invoer gegevens'!$C$16)</f>
        <v>0</v>
      </c>
      <c r="BC16" s="73">
        <f ca="1">AY16/(1+'Invoer gegevens'!$C$39)^('Invoer gegevens'!$C$17-'Invoer gegevens'!$C$16)</f>
        <v>0</v>
      </c>
      <c r="BD16" s="72">
        <f t="shared" ca="1" si="5"/>
        <v>0</v>
      </c>
      <c r="BE16" s="72">
        <f ca="1">IF(AND(E16='Invoer gegevens'!$C$16,'Invoer gegevens'!$C$34&lt;'Invoer gegevens'!$C$16),AZ16,AZ16/(1+'Invoer gegevens'!$C$39)^D16)</f>
        <v>0</v>
      </c>
      <c r="BF16" s="72">
        <f ca="1">IF(E16='Invoer gegevens'!$C$34,-'Invoer gegevens'!$F$40,0)</f>
        <v>0</v>
      </c>
      <c r="BG16" s="72">
        <f ca="1">IF(E16='Invoer gegevens'!$C$17,-'Invoer gegevens'!$C$19*$BD$31,0)</f>
        <v>0</v>
      </c>
      <c r="BH16" s="72">
        <f ca="1">AW16/(1+$BH$4)^($D16-('Invoer gegevens'!$C$17-'Invoer gegevens'!$C$16))/(1+'Invoer gegevens'!$C$39)^('Invoer gegevens'!$C$17-'Invoer gegevens'!$C$16)+AX16/(1+$BH$4)^(E16-('Invoer gegevens'!$C$17-1))/(1+'Invoer gegevens'!$C$39)^('Invoer gegevens'!$C$17-'Invoer gegevens'!$C$16)+AY16/(1+'Invoer gegevens'!$C$39)^('Invoer gegevens'!$C$17-'Invoer gegevens'!$C$16)+(-AZ16/(1+'Invoer gegevens'!$C$39)^D16)+BF16+BG16</f>
        <v>0</v>
      </c>
      <c r="BI16" s="59"/>
    </row>
    <row r="17" spans="1:68" x14ac:dyDescent="0.25">
      <c r="A17" s="59"/>
      <c r="B17" s="70">
        <f t="shared" si="6"/>
        <v>13</v>
      </c>
      <c r="C17" s="67">
        <f ca="1">IF(AND(E17&gt;='Invoer gegevens'!$C$17,E17&lt;'Invoer gegevens'!$C$17+15),1,0)</f>
        <v>1</v>
      </c>
      <c r="D17" s="68">
        <f t="shared" si="7"/>
        <v>12.5</v>
      </c>
      <c r="E17" s="69">
        <f ca="1">IF('Invoer gegevens'!$C$16="","",E16+1)</f>
        <v>2031</v>
      </c>
      <c r="F17" s="82">
        <f ca="1">IF('Invoer gegevens'!$C$17=E17,'Invoer gegevens'!$C$10,IF(C17=1,H16,0))</f>
        <v>0</v>
      </c>
      <c r="G17" s="83">
        <f ca="1">IF(E17='Invoer gegevens'!$C$17+15,H16,IF(C17&gt;=1,F17*Reeksen!C17,0))</f>
        <v>0</v>
      </c>
      <c r="H17" s="84">
        <f ca="1">IF(E17&gt;='Invoer gegevens'!$C$17+15,0,F17-G17)</f>
        <v>0</v>
      </c>
      <c r="I17" s="85">
        <f ca="1">IF('Invoer gegevens'!$C$17=E17,'Invoer gegevens'!$C$11,IF(C17=1,L16,0))</f>
        <v>17.243623850065312</v>
      </c>
      <c r="J17" s="86">
        <f ca="1">IF(E17='Invoer gegevens'!$C$17+15,L16,IF(C17&lt;1,0,IF(Reeksen!AK17&lt;=Reeksen!AE17,I17*Reeksen!C17,0)))</f>
        <v>0.86218119250326564</v>
      </c>
      <c r="K17" s="86">
        <f ca="1">IF(E17='Invoer gegevens'!$C$17+15,L16,IF(C17&lt;1,0,IF(Reeksen!AK17&gt;Reeksen!AE17,I17*Reeksen!C17,0)))</f>
        <v>0</v>
      </c>
      <c r="L17" s="86">
        <f ca="1">IF(E17&gt;='Invoer gegevens'!$C$17+15,0,I17-J17-K17)</f>
        <v>16.381442657562047</v>
      </c>
      <c r="M17" s="85">
        <f ca="1">IF('Invoer gegevens'!$C$17=E17,'Invoer gegevens'!$C$10-'Invoer gegevens'!$C$11,IF(C17=1,P16,0))</f>
        <v>0</v>
      </c>
      <c r="N17" s="86">
        <f ca="1">IF(E17='Invoer gegevens'!$C$17+15,P16,IF(C17&lt;1,0,IF(Reeksen!AK17&lt;=Reeksen!AE17,M17*Reeksen!C17,0)))</f>
        <v>0</v>
      </c>
      <c r="O17" s="86">
        <f ca="1">IF(E17='Invoer gegevens'!$C$17+15,P16,IF(C17&lt;1,0,IF(Reeksen!AK17&gt;Reeksen!AE17,M17*Reeksen!C17,0)))</f>
        <v>0</v>
      </c>
      <c r="P17" s="86">
        <f ca="1">IF(E17&gt;='Invoer gegevens'!$C$17+15,0,M17-N17-O17)</f>
        <v>0</v>
      </c>
      <c r="Q17" s="82">
        <f ca="1">IF('Invoer gegevens'!$C$17=E17,I17,IF(C17=0,0,R16))</f>
        <v>0</v>
      </c>
      <c r="R17" s="84">
        <f t="shared" ca="1" si="0"/>
        <v>0</v>
      </c>
      <c r="S17" s="84">
        <f ca="1">IF('Invoer gegevens'!$C$17=E17,M17,IF(C17=0,0,T16))</f>
        <v>0</v>
      </c>
      <c r="T17" s="84">
        <f t="shared" ca="1" si="1"/>
        <v>0</v>
      </c>
      <c r="AH17" s="68"/>
      <c r="AI17" s="71">
        <f ca="1">IF(C17=1,((F17+H17)/2*Reeksen!AJ17*12)+(('Invoer gegevens'!$C$10-(F17+H17)/2)*Reeksen!AK17*12),0)</f>
        <v>0</v>
      </c>
      <c r="AJ17" s="71">
        <f ca="1">-AI17*'Invoer gegevens'!$F$28</f>
        <v>0</v>
      </c>
      <c r="AK17" s="71">
        <f t="shared" ca="1" si="2"/>
        <v>0</v>
      </c>
      <c r="AL17" s="71">
        <f ca="1">IF(C17=1,(12*((F17+H17)/2)*Reeksen!AL17)+(12*('Invoer gegevens'!$C$10-(F17+H17)/2)*Reeksen!AM17),0)</f>
        <v>0</v>
      </c>
      <c r="AM17" s="71">
        <f ca="1">-AL17*'Invoer gegevens'!$F$31</f>
        <v>0</v>
      </c>
      <c r="AN17" s="71">
        <f t="shared" ca="1" si="3"/>
        <v>0</v>
      </c>
      <c r="AO17" s="71"/>
      <c r="AP17" s="71"/>
      <c r="AQ17" s="71">
        <f ca="1">-IF(C17=1,('Invoer gegevens'!$C$10*'Invoer gegevens'!$I$33)*Reeksen!J17,0)</f>
        <v>0</v>
      </c>
      <c r="AR17" s="71">
        <f ca="1">-IF(C17=1,(G17*'Invoer gegevens'!$I$34)*Reeksen!J17,0)</f>
        <v>0</v>
      </c>
      <c r="AS17" s="71">
        <f ca="1">-IF(C17=1,'Invoer gegevens'!$C$10*'Invoer gegevens'!$I$35*Reeksen!L17,0)</f>
        <v>0</v>
      </c>
      <c r="AT17" s="71">
        <f ca="1">-IF(C17=1,IF(E17='Invoer gegevens'!$C$17,'Invoer gegevens'!$C$11,Q17)*Reeksen!S17*'Invoer gegevens'!$C$18*Reeksen!P17,0)</f>
        <v>0</v>
      </c>
      <c r="AU17" s="71">
        <f ca="1">-IF(C17=1,'Invoer gegevens'!$C$10*'Invoer gegevens'!$I$36*Reeksen!H17,0)</f>
        <v>0</v>
      </c>
      <c r="AV17" s="71">
        <v>0</v>
      </c>
      <c r="AW17" s="71">
        <f t="shared" ca="1" si="4"/>
        <v>0</v>
      </c>
      <c r="AX17" s="72">
        <f ca="1">IF(E17='Invoer gegevens'!$C$17+14,'RW - BW - DE'!$AY$236,0)</f>
        <v>0</v>
      </c>
      <c r="AY17" s="72">
        <f ca="1">IFERROR(IF(E17='Invoer gegevens'!$C$17,-'Invoer gegevens'!$C$10*'Invoer gegevens'!$C$31*Reeksen!H17,0),0)</f>
        <v>0</v>
      </c>
      <c r="AZ17" s="73">
        <f ca="1">IF('Invoer gegevens'!$C$34=E17,'Invoer gegevens'!$C$27*'Invoer gegevens'!$C$10*'Invoer gegevens'!$C$36*(IF('Invoer gegevens'!$C$35="ja",1,Reeksen!J17)),IF('Invoer gegevens'!$C$34+1=E17,'Invoer gegevens'!$C$27*'Invoer gegevens'!$C$10*'Invoer gegevens'!$C$37*(IF('Invoer gegevens'!$C$35="ja",1,Reeksen!J17)),0))+IF(AND(E17='Invoer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7" s="73">
        <f ca="1">AW17/(1+'Invoer gegevens'!$F$13)^($D17-('Invoer gegevens'!$C$17-'Invoer gegevens'!$C$16))/(1+'Invoer gegevens'!$C$39)^('Invoer gegevens'!$C$17-'Invoer gegevens'!$C$16)</f>
        <v>0</v>
      </c>
      <c r="BB17" s="73">
        <f ca="1">AX17/(1+'Invoer gegevens'!$F$13)^(E17-('Invoer gegevens'!$C$17-1))/(1+'Invoer gegevens'!$C$39)^('Invoer gegevens'!$C$17-'Invoer gegevens'!$C$16)</f>
        <v>0</v>
      </c>
      <c r="BC17" s="73">
        <f ca="1">AY17/(1+'Invoer gegevens'!$C$39)^('Invoer gegevens'!$C$17-'Invoer gegevens'!$C$16)</f>
        <v>0</v>
      </c>
      <c r="BD17" s="72">
        <f t="shared" ca="1" si="5"/>
        <v>0</v>
      </c>
      <c r="BE17" s="72">
        <f ca="1">IF(AND(E17='Invoer gegevens'!$C$16,'Invoer gegevens'!$C$34&lt;'Invoer gegevens'!$C$16),AZ17,AZ17/(1+'Invoer gegevens'!$C$39)^D17)</f>
        <v>0</v>
      </c>
      <c r="BF17" s="72">
        <f ca="1">IF(E17='Invoer gegevens'!$C$34,-'Invoer gegevens'!$F$40,0)</f>
        <v>0</v>
      </c>
      <c r="BG17" s="72">
        <f ca="1">IF(E17='Invoer gegevens'!$C$17,-'Invoer gegevens'!$C$19*$BD$31,0)</f>
        <v>0</v>
      </c>
      <c r="BH17" s="72">
        <f ca="1">AW17/(1+$BH$4)^($D17-('Invoer gegevens'!$C$17-'Invoer gegevens'!$C$16))/(1+'Invoer gegevens'!$C$39)^('Invoer gegevens'!$C$17-'Invoer gegevens'!$C$16)+AX17/(1+$BH$4)^(E17-('Invoer gegevens'!$C$17-1))/(1+'Invoer gegevens'!$C$39)^('Invoer gegevens'!$C$17-'Invoer gegevens'!$C$16)+AY17/(1+'Invoer gegevens'!$C$39)^('Invoer gegevens'!$C$17-'Invoer gegevens'!$C$16)+(-AZ17/(1+'Invoer gegevens'!$C$39)^D17)+BF17+BG17</f>
        <v>0</v>
      </c>
      <c r="BI17" s="59"/>
    </row>
    <row r="18" spans="1:68" x14ac:dyDescent="0.25">
      <c r="A18" s="59"/>
      <c r="B18" s="70">
        <f t="shared" si="6"/>
        <v>14</v>
      </c>
      <c r="C18" s="67">
        <f ca="1">IF(AND(E18&gt;='Invoer gegevens'!$C$17,E18&lt;'Invoer gegevens'!$C$17+15),1,0)</f>
        <v>1</v>
      </c>
      <c r="D18" s="68">
        <f t="shared" si="7"/>
        <v>13.5</v>
      </c>
      <c r="E18" s="69">
        <f ca="1">IF('Invoer gegevens'!$C$16="","",E17+1)</f>
        <v>2032</v>
      </c>
      <c r="F18" s="82">
        <f ca="1">IF('Invoer gegevens'!$C$17=E18,'Invoer gegevens'!$C$10,IF(C18=1,H17,0))</f>
        <v>0</v>
      </c>
      <c r="G18" s="83">
        <f ca="1">IF(E18='Invoer gegevens'!$C$17+15,H17,IF(C18&gt;=1,F18*Reeksen!C18,0))</f>
        <v>0</v>
      </c>
      <c r="H18" s="84">
        <f ca="1">IF(E18&gt;='Invoer gegevens'!$C$17+15,0,F18-G18)</f>
        <v>0</v>
      </c>
      <c r="I18" s="85">
        <f ca="1">IF('Invoer gegevens'!$C$17=E18,'Invoer gegevens'!$C$11,IF(C18=1,L17,0))</f>
        <v>16.381442657562047</v>
      </c>
      <c r="J18" s="86">
        <f ca="1">IF(E18='Invoer gegevens'!$C$17+15,L17,IF(C18&lt;1,0,IF(Reeksen!AK18&lt;=Reeksen!AE18,I18*Reeksen!C18,0)))</f>
        <v>0.81907213287810243</v>
      </c>
      <c r="K18" s="86">
        <f ca="1">IF(E18='Invoer gegevens'!$C$17+15,L17,IF(C18&lt;1,0,IF(Reeksen!AK18&gt;Reeksen!AE18,I18*Reeksen!C18,0)))</f>
        <v>0</v>
      </c>
      <c r="L18" s="86">
        <f ca="1">IF(E18&gt;='Invoer gegevens'!$C$17+15,0,I18-J18-K18)</f>
        <v>15.562370524683946</v>
      </c>
      <c r="M18" s="85">
        <f ca="1">IF('Invoer gegevens'!$C$17=E18,'Invoer gegevens'!$C$10-'Invoer gegevens'!$C$11,IF(C18=1,P17,0))</f>
        <v>0</v>
      </c>
      <c r="N18" s="86">
        <f ca="1">IF(E18='Invoer gegevens'!$C$17+15,P17,IF(C18&lt;1,0,IF(Reeksen!AK18&lt;=Reeksen!AE18,M18*Reeksen!C18,0)))</f>
        <v>0</v>
      </c>
      <c r="O18" s="86">
        <f ca="1">IF(E18='Invoer gegevens'!$C$17+15,P17,IF(C18&lt;1,0,IF(Reeksen!AK18&gt;Reeksen!AE18,M18*Reeksen!C18,0)))</f>
        <v>0</v>
      </c>
      <c r="P18" s="86">
        <f ca="1">IF(E18&gt;='Invoer gegevens'!$C$17+15,0,M18-N18-O18)</f>
        <v>0</v>
      </c>
      <c r="Q18" s="82">
        <f ca="1">IF('Invoer gegevens'!$C$17=E18,I18,IF(C18=0,0,R17))</f>
        <v>0</v>
      </c>
      <c r="R18" s="84">
        <f t="shared" ca="1" si="0"/>
        <v>0</v>
      </c>
      <c r="S18" s="84">
        <f ca="1">IF('Invoer gegevens'!$C$17=E18,M18,IF(C18=0,0,T17))</f>
        <v>0</v>
      </c>
      <c r="T18" s="84">
        <f t="shared" ca="1" si="1"/>
        <v>0</v>
      </c>
      <c r="AH18" s="68"/>
      <c r="AI18" s="71">
        <f ca="1">IF(C18=1,((F18+H18)/2*Reeksen!AJ18*12)+(('Invoer gegevens'!$C$10-(F18+H18)/2)*Reeksen!AK18*12),0)</f>
        <v>0</v>
      </c>
      <c r="AJ18" s="71">
        <f ca="1">-AI18*'Invoer gegevens'!$F$28</f>
        <v>0</v>
      </c>
      <c r="AK18" s="71">
        <f t="shared" ca="1" si="2"/>
        <v>0</v>
      </c>
      <c r="AL18" s="71">
        <f ca="1">IF(C18=1,(12*((F18+H18)/2)*Reeksen!AL18)+(12*('Invoer gegevens'!$C$10-(F18+H18)/2)*Reeksen!AM18),0)</f>
        <v>0</v>
      </c>
      <c r="AM18" s="71">
        <f ca="1">-AL18*'Invoer gegevens'!$F$31</f>
        <v>0</v>
      </c>
      <c r="AN18" s="71">
        <f t="shared" ca="1" si="3"/>
        <v>0</v>
      </c>
      <c r="AO18" s="71"/>
      <c r="AP18" s="71"/>
      <c r="AQ18" s="71">
        <f ca="1">-IF(C18=1,('Invoer gegevens'!$C$10*'Invoer gegevens'!$I$33)*Reeksen!J18,0)</f>
        <v>0</v>
      </c>
      <c r="AR18" s="71">
        <f ca="1">-IF(C18=1,(G18*'Invoer gegevens'!$I$34)*Reeksen!J18,0)</f>
        <v>0</v>
      </c>
      <c r="AS18" s="71">
        <f ca="1">-IF(C18=1,'Invoer gegevens'!$C$10*'Invoer gegevens'!$I$35*Reeksen!L18,0)</f>
        <v>0</v>
      </c>
      <c r="AT18" s="71">
        <f ca="1">-IF(C18=1,IF(E18='Invoer gegevens'!$C$17,'Invoer gegevens'!$C$11,Q18)*Reeksen!S18*'Invoer gegevens'!$C$18*Reeksen!P18,0)</f>
        <v>0</v>
      </c>
      <c r="AU18" s="71">
        <f ca="1">-IF(C18=1,'Invoer gegevens'!$C$10*'Invoer gegevens'!$I$36*Reeksen!H18,0)</f>
        <v>0</v>
      </c>
      <c r="AV18" s="71">
        <v>0</v>
      </c>
      <c r="AW18" s="71">
        <f t="shared" ca="1" si="4"/>
        <v>0</v>
      </c>
      <c r="AX18" s="72">
        <f ca="1">IF(E18='Invoer gegevens'!$C$17+14,'RW - BW - DE'!$AY$236,0)</f>
        <v>0</v>
      </c>
      <c r="AY18" s="72">
        <f ca="1">IFERROR(IF(E18='Invoer gegevens'!$C$17,-'Invoer gegevens'!$C$10*'Invoer gegevens'!$C$31*Reeksen!H18,0),0)</f>
        <v>0</v>
      </c>
      <c r="AZ18" s="73">
        <f ca="1">IF('Invoer gegevens'!$C$34=E18,'Invoer gegevens'!$C$27*'Invoer gegevens'!$C$10*'Invoer gegevens'!$C$36*(IF('Invoer gegevens'!$C$35="ja",1,Reeksen!J18)),IF('Invoer gegevens'!$C$34+1=E18,'Invoer gegevens'!$C$27*'Invoer gegevens'!$C$10*'Invoer gegevens'!$C$37*(IF('Invoer gegevens'!$C$35="ja",1,Reeksen!J18)),0))+IF(AND(E18='Invoer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8" s="73">
        <f ca="1">AW18/(1+'Invoer gegevens'!$F$13)^($D18-('Invoer gegevens'!$C$17-'Invoer gegevens'!$C$16))/(1+'Invoer gegevens'!$C$39)^('Invoer gegevens'!$C$17-'Invoer gegevens'!$C$16)</f>
        <v>0</v>
      </c>
      <c r="BB18" s="73">
        <f ca="1">AX18/(1+'Invoer gegevens'!$F$13)^(E18-('Invoer gegevens'!$C$17-1))/(1+'Invoer gegevens'!$C$39)^('Invoer gegevens'!$C$17-'Invoer gegevens'!$C$16)</f>
        <v>0</v>
      </c>
      <c r="BC18" s="73">
        <f ca="1">AY18/(1+'Invoer gegevens'!$C$39)^('Invoer gegevens'!$C$17-'Invoer gegevens'!$C$16)</f>
        <v>0</v>
      </c>
      <c r="BD18" s="72">
        <f t="shared" ca="1" si="5"/>
        <v>0</v>
      </c>
      <c r="BE18" s="72">
        <f ca="1">IF(AND(E18='Invoer gegevens'!$C$16,'Invoer gegevens'!$C$34&lt;'Invoer gegevens'!$C$16),AZ18,AZ18/(1+'Invoer gegevens'!$C$39)^D18)</f>
        <v>0</v>
      </c>
      <c r="BF18" s="72">
        <f ca="1">IF(E18='Invoer gegevens'!$C$34,-'Invoer gegevens'!$F$40,0)</f>
        <v>0</v>
      </c>
      <c r="BG18" s="72">
        <f ca="1">IF(E18='Invoer gegevens'!$C$17,-'Invoer gegevens'!$C$19*$BD$31,0)</f>
        <v>0</v>
      </c>
      <c r="BH18" s="72">
        <f ca="1">AW18/(1+$BH$4)^($D18-('Invoer gegevens'!$C$17-'Invoer gegevens'!$C$16))/(1+'Invoer gegevens'!$C$39)^('Invoer gegevens'!$C$17-'Invoer gegevens'!$C$16)+AX18/(1+$BH$4)^(E18-('Invoer gegevens'!$C$17-1))/(1+'Invoer gegevens'!$C$39)^('Invoer gegevens'!$C$17-'Invoer gegevens'!$C$16)+AY18/(1+'Invoer gegevens'!$C$39)^('Invoer gegevens'!$C$17-'Invoer gegevens'!$C$16)+(-AZ18/(1+'Invoer gegevens'!$C$39)^D18)+BF18+BG18</f>
        <v>0</v>
      </c>
      <c r="BI18" s="59"/>
    </row>
    <row r="19" spans="1:68" x14ac:dyDescent="0.25">
      <c r="A19" s="59"/>
      <c r="B19" s="70">
        <f t="shared" si="6"/>
        <v>15</v>
      </c>
      <c r="C19" s="67">
        <f ca="1">IF(AND(E19&gt;='Invoer gegevens'!$C$17,E19&lt;'Invoer gegevens'!$C$17+15),1,0)</f>
        <v>1</v>
      </c>
      <c r="D19" s="68">
        <f t="shared" si="7"/>
        <v>14.5</v>
      </c>
      <c r="E19" s="69">
        <f ca="1">IF('Invoer gegevens'!$C$16="","",E18+1)</f>
        <v>2033</v>
      </c>
      <c r="F19" s="82">
        <f ca="1">IF('Invoer gegevens'!$C$17=E19,'Invoer gegevens'!$C$10,IF(C19=1,H18,0))</f>
        <v>0</v>
      </c>
      <c r="G19" s="83">
        <f ca="1">IF(E19='Invoer gegevens'!$C$17+15,H18,IF(C19&gt;=1,F19*Reeksen!C19,0))</f>
        <v>0</v>
      </c>
      <c r="H19" s="84">
        <f ca="1">IF(E19&gt;='Invoer gegevens'!$C$17+15,0,F19-G19)</f>
        <v>0</v>
      </c>
      <c r="I19" s="85">
        <f ca="1">IF('Invoer gegevens'!$C$17=E19,'Invoer gegevens'!$C$11,IF(C19=1,L18,0))</f>
        <v>15.562370524683946</v>
      </c>
      <c r="J19" s="86">
        <f ca="1">IF(E19='Invoer gegevens'!$C$17+15,L18,IF(C19&lt;1,0,IF(Reeksen!AK19&lt;=Reeksen!AE19,I19*Reeksen!C19,0)))</f>
        <v>0.77811852623419731</v>
      </c>
      <c r="K19" s="86">
        <f ca="1">IF(E19='Invoer gegevens'!$C$17+15,L18,IF(C19&lt;1,0,IF(Reeksen!AK19&gt;Reeksen!AE19,I19*Reeksen!C19,0)))</f>
        <v>0</v>
      </c>
      <c r="L19" s="86">
        <f ca="1">IF(E19&gt;='Invoer gegevens'!$C$17+15,0,I19-J19-K19)</f>
        <v>14.784251998449749</v>
      </c>
      <c r="M19" s="85">
        <f ca="1">IF('Invoer gegevens'!$C$17=E19,'Invoer gegevens'!$C$10-'Invoer gegevens'!$C$11,IF(C19=1,P18,0))</f>
        <v>0</v>
      </c>
      <c r="N19" s="86">
        <f ca="1">IF(E19='Invoer gegevens'!$C$17+15,P18,IF(C19&lt;1,0,IF(Reeksen!AK19&lt;=Reeksen!AE19,M19*Reeksen!C19,0)))</f>
        <v>0</v>
      </c>
      <c r="O19" s="86">
        <f ca="1">IF(E19='Invoer gegevens'!$C$17+15,P18,IF(C19&lt;1,0,IF(Reeksen!AK19&gt;Reeksen!AE19,M19*Reeksen!C19,0)))</f>
        <v>0</v>
      </c>
      <c r="P19" s="86">
        <f ca="1">IF(E19&gt;='Invoer gegevens'!$C$17+15,0,M19-N19-O19)</f>
        <v>0</v>
      </c>
      <c r="Q19" s="82">
        <f ca="1">IF('Invoer gegevens'!$C$17=E19,I19,IF(C19=0,0,R18))</f>
        <v>0</v>
      </c>
      <c r="R19" s="84">
        <f t="shared" ca="1" si="0"/>
        <v>0</v>
      </c>
      <c r="S19" s="84">
        <f ca="1">IF('Invoer gegevens'!$C$17=E19,M19,IF(C19=0,0,T18))</f>
        <v>0</v>
      </c>
      <c r="T19" s="84">
        <f t="shared" ca="1" si="1"/>
        <v>0</v>
      </c>
      <c r="AH19" s="68"/>
      <c r="AI19" s="71">
        <f ca="1">IF(C19=1,((F19+H19)/2*Reeksen!AJ19*12)+(('Invoer gegevens'!$C$10-(F19+H19)/2)*Reeksen!AK19*12),0)</f>
        <v>0</v>
      </c>
      <c r="AJ19" s="71">
        <f ca="1">-AI19*'Invoer gegevens'!$F$28</f>
        <v>0</v>
      </c>
      <c r="AK19" s="71">
        <f t="shared" ca="1" si="2"/>
        <v>0</v>
      </c>
      <c r="AL19" s="71">
        <f ca="1">IF(C19=1,(12*((F19+H19)/2)*Reeksen!AL19)+(12*('Invoer gegevens'!$C$10-(F19+H19)/2)*Reeksen!AM19),0)</f>
        <v>0</v>
      </c>
      <c r="AM19" s="71">
        <f ca="1">-AL19*'Invoer gegevens'!$F$31</f>
        <v>0</v>
      </c>
      <c r="AN19" s="71">
        <f t="shared" ca="1" si="3"/>
        <v>0</v>
      </c>
      <c r="AO19" s="71"/>
      <c r="AP19" s="71"/>
      <c r="AQ19" s="71">
        <f ca="1">-IF(C19=1,('Invoer gegevens'!$C$10*'Invoer gegevens'!$I$33)*Reeksen!J19,0)</f>
        <v>0</v>
      </c>
      <c r="AR19" s="71">
        <f ca="1">-IF(C19=1,(G19*'Invoer gegevens'!$I$34)*Reeksen!J19,0)</f>
        <v>0</v>
      </c>
      <c r="AS19" s="71">
        <f ca="1">-IF(C19=1,'Invoer gegevens'!$C$10*'Invoer gegevens'!$I$35*Reeksen!L19,0)</f>
        <v>0</v>
      </c>
      <c r="AT19" s="71">
        <f ca="1">-IF(C19=1,IF(E19='Invoer gegevens'!$C$17,'Invoer gegevens'!$C$11,Q19)*Reeksen!S19*'Invoer gegevens'!$C$18*Reeksen!P19,0)</f>
        <v>0</v>
      </c>
      <c r="AU19" s="71">
        <f ca="1">-IF(C19=1,'Invoer gegevens'!$C$10*'Invoer gegevens'!$I$36*Reeksen!H19,0)</f>
        <v>0</v>
      </c>
      <c r="AV19" s="71">
        <v>0</v>
      </c>
      <c r="AW19" s="71">
        <f t="shared" ca="1" si="4"/>
        <v>0</v>
      </c>
      <c r="AX19" s="72">
        <f ca="1">IF(E19='Invoer gegevens'!$C$17+14,'RW - BW - DE'!$AY$236,0)</f>
        <v>0</v>
      </c>
      <c r="AY19" s="72">
        <f ca="1">IFERROR(IF(E19='Invoer gegevens'!$C$17,-'Invoer gegevens'!$C$10*'Invoer gegevens'!$C$31*Reeksen!H19,0),0)</f>
        <v>0</v>
      </c>
      <c r="AZ19" s="73">
        <f ca="1">IF('Invoer gegevens'!$C$34=E19,'Invoer gegevens'!$C$27*'Invoer gegevens'!$C$10*'Invoer gegevens'!$C$36*(IF('Invoer gegevens'!$C$35="ja",1,Reeksen!J19)),IF('Invoer gegevens'!$C$34+1=E19,'Invoer gegevens'!$C$27*'Invoer gegevens'!$C$10*'Invoer gegevens'!$C$37*(IF('Invoer gegevens'!$C$35="ja",1,Reeksen!J19)),0))+IF(AND(E19='Invoer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19" s="73">
        <f ca="1">AW19/(1+'Invoer gegevens'!$F$13)^($D19-('Invoer gegevens'!$C$17-'Invoer gegevens'!$C$16))/(1+'Invoer gegevens'!$C$39)^('Invoer gegevens'!$C$17-'Invoer gegevens'!$C$16)</f>
        <v>0</v>
      </c>
      <c r="BB19" s="73">
        <f ca="1">AX19/(1+'Invoer gegevens'!$F$13)^(E19-('Invoer gegevens'!$C$17-1))/(1+'Invoer gegevens'!$C$39)^('Invoer gegevens'!$C$17-'Invoer gegevens'!$C$16)</f>
        <v>0</v>
      </c>
      <c r="BC19" s="73">
        <f ca="1">AY19/(1+'Invoer gegevens'!$C$39)^('Invoer gegevens'!$C$17-'Invoer gegevens'!$C$16)</f>
        <v>0</v>
      </c>
      <c r="BD19" s="72">
        <f t="shared" ca="1" si="5"/>
        <v>0</v>
      </c>
      <c r="BE19" s="72">
        <f ca="1">IF(AND(E19='Invoer gegevens'!$C$16,'Invoer gegevens'!$C$34&lt;'Invoer gegevens'!$C$16),AZ19,AZ19/(1+'Invoer gegevens'!$C$39)^D19)</f>
        <v>0</v>
      </c>
      <c r="BF19" s="72">
        <f ca="1">IF(E19='Invoer gegevens'!$C$34,-'Invoer gegevens'!$F$40,0)</f>
        <v>0</v>
      </c>
      <c r="BG19" s="72">
        <f ca="1">IF(E19='Invoer gegevens'!$C$17,-'Invoer gegevens'!$C$19*$BD$31,0)</f>
        <v>0</v>
      </c>
      <c r="BH19" s="72">
        <f ca="1">AW19/(1+$BH$4)^($D19-('Invoer gegevens'!$C$17-'Invoer gegevens'!$C$16))/(1+'Invoer gegevens'!$C$39)^('Invoer gegevens'!$C$17-'Invoer gegevens'!$C$16)+AX19/(1+$BH$4)^(E19-('Invoer gegevens'!$C$17-1))/(1+'Invoer gegevens'!$C$39)^('Invoer gegevens'!$C$17-'Invoer gegevens'!$C$16)+AY19/(1+'Invoer gegevens'!$C$39)^('Invoer gegevens'!$C$17-'Invoer gegevens'!$C$16)+(-AZ19/(1+'Invoer gegevens'!$C$39)^D19)+BF19+BG19</f>
        <v>0</v>
      </c>
      <c r="BI19" s="59"/>
    </row>
    <row r="20" spans="1:68" x14ac:dyDescent="0.25">
      <c r="A20" s="59"/>
      <c r="B20" s="70">
        <f t="shared" si="6"/>
        <v>16</v>
      </c>
      <c r="C20" s="67">
        <f ca="1">IF(AND(E20&gt;='Invoer gegevens'!$C$17,E20&lt;'Invoer gegevens'!$C$17+15),1,0)</f>
        <v>0</v>
      </c>
      <c r="D20" s="68">
        <f t="shared" si="7"/>
        <v>15.5</v>
      </c>
      <c r="E20" s="69">
        <f ca="1">IF('Invoer gegevens'!$C$16="","",E19+1)</f>
        <v>2034</v>
      </c>
      <c r="F20" s="82">
        <f ca="1">IF('Invoer gegevens'!$C$17=E20,'Invoer gegevens'!$C$10,IF(C20=1,H19,0))</f>
        <v>0</v>
      </c>
      <c r="G20" s="83">
        <f ca="1">IF(E20='Invoer gegevens'!$C$17+15,H19,IF(C20&gt;=1,F20*Reeksen!C20,0))</f>
        <v>0</v>
      </c>
      <c r="H20" s="84">
        <f ca="1">IF(E20&gt;='Invoer gegevens'!$C$17+15,0,F20-G20)</f>
        <v>0</v>
      </c>
      <c r="I20" s="85">
        <f ca="1">IF('Invoer gegevens'!$C$17=E20,'Invoer gegevens'!$C$11,IF(C20=1,L19,0))</f>
        <v>0</v>
      </c>
      <c r="J20" s="86">
        <f ca="1">IF(E20='Invoer gegevens'!$C$17+15,L19,IF(C20&lt;1,0,IF(Reeksen!AK20&lt;=Reeksen!AE20,I20*Reeksen!C20,0)))</f>
        <v>14.784251998449749</v>
      </c>
      <c r="K20" s="86">
        <f ca="1">IF(E20='Invoer gegevens'!$C$17+15,L19,IF(C20&lt;1,0,IF(Reeksen!AK20&gt;Reeksen!AE20,I20*Reeksen!C20,0)))</f>
        <v>14.784251998449749</v>
      </c>
      <c r="L20" s="86">
        <f ca="1">IF(E20&gt;='Invoer gegevens'!$C$17+15,0,I20-J20-K20)</f>
        <v>0</v>
      </c>
      <c r="M20" s="85">
        <f ca="1">IF('Invoer gegevens'!$C$17=E20,'Invoer gegevens'!$C$10-'Invoer gegevens'!$C$11,IF(C20=1,P19,0))</f>
        <v>0</v>
      </c>
      <c r="N20" s="86">
        <f ca="1">IF(E20='Invoer gegevens'!$C$17+15,P19,IF(C20&lt;1,0,IF(Reeksen!AK20&lt;=Reeksen!AE20,M20*Reeksen!C20,0)))</f>
        <v>0</v>
      </c>
      <c r="O20" s="86">
        <f ca="1">IF(E20='Invoer gegevens'!$C$17+15,P19,IF(C20&lt;1,0,IF(Reeksen!AK20&gt;Reeksen!AE20,M20*Reeksen!C20,0)))</f>
        <v>0</v>
      </c>
      <c r="P20" s="86">
        <f ca="1">IF(E20&gt;='Invoer gegevens'!$C$17+15,0,M20-N20-O20)</f>
        <v>0</v>
      </c>
      <c r="Q20" s="82">
        <f ca="1">IF('Invoer gegevens'!$C$17=E20,I20,IF(C20=0,0,R19))</f>
        <v>0</v>
      </c>
      <c r="R20" s="84">
        <f t="shared" ca="1" si="0"/>
        <v>0</v>
      </c>
      <c r="S20" s="84">
        <f ca="1">IF('Invoer gegevens'!$C$17=E20,M20,IF(C20=0,0,T19))</f>
        <v>0</v>
      </c>
      <c r="T20" s="84">
        <f t="shared" ca="1" si="1"/>
        <v>0</v>
      </c>
      <c r="AH20" s="68"/>
      <c r="AI20" s="71">
        <f ca="1">IF(C20=1,((F20+H20)/2*Reeksen!AJ20*12)+(('Invoer gegevens'!$C$10-(F20+H20)/2)*Reeksen!AK20*12),0)</f>
        <v>0</v>
      </c>
      <c r="AJ20" s="71">
        <f ca="1">-AI20*'Invoer gegevens'!$F$28</f>
        <v>0</v>
      </c>
      <c r="AK20" s="71">
        <f t="shared" ca="1" si="2"/>
        <v>0</v>
      </c>
      <c r="AL20" s="71">
        <f ca="1">IF(C20=1,(12*((F20+H20)/2)*Reeksen!AL20)+(12*('Invoer gegevens'!$C$10-(F20+H20)/2)*Reeksen!AM20),0)</f>
        <v>0</v>
      </c>
      <c r="AM20" s="71">
        <f ca="1">-AL20*'Invoer gegevens'!$F$31</f>
        <v>0</v>
      </c>
      <c r="AN20" s="71">
        <f t="shared" ca="1" si="3"/>
        <v>0</v>
      </c>
      <c r="AO20" s="71"/>
      <c r="AP20" s="71"/>
      <c r="AQ20" s="71">
        <f ca="1">-IF(C20=1,('Invoer gegevens'!$C$10*'Invoer gegevens'!$I$33)*Reeksen!J20,0)</f>
        <v>0</v>
      </c>
      <c r="AR20" s="71">
        <f ca="1">-IF(C20=1,(G20*'Invoer gegevens'!$I$34)*Reeksen!J20,0)</f>
        <v>0</v>
      </c>
      <c r="AS20" s="71">
        <f ca="1">-IF(C20=1,'Invoer gegevens'!$C$10*'Invoer gegevens'!$I$35*Reeksen!L20,0)</f>
        <v>0</v>
      </c>
      <c r="AT20" s="71">
        <f ca="1">-IF(C20=1,IF(E20='Invoer gegevens'!$C$17,'Invoer gegevens'!$C$11,Q20)*Reeksen!S20*'Invoer gegevens'!$C$18*Reeksen!P20,0)</f>
        <v>0</v>
      </c>
      <c r="AU20" s="71">
        <f ca="1">-IF(C20=1,'Invoer gegevens'!$C$10*'Invoer gegevens'!$I$36*Reeksen!H20,0)</f>
        <v>0</v>
      </c>
      <c r="AV20" s="71">
        <v>0</v>
      </c>
      <c r="AW20" s="71">
        <f t="shared" ca="1" si="4"/>
        <v>0</v>
      </c>
      <c r="AX20" s="72">
        <f ca="1">IF(E20='Invoer gegevens'!$C$17+14,'RW - BW - DE'!$AY$236,0)</f>
        <v>0</v>
      </c>
      <c r="AY20" s="72">
        <f ca="1">IFERROR(IF(E20='Invoer gegevens'!$C$17,-'Invoer gegevens'!$C$10*'Invoer gegevens'!$C$31*Reeksen!H20,0),0)</f>
        <v>0</v>
      </c>
      <c r="AZ20" s="73">
        <f ca="1">IF('Invoer gegevens'!$C$34=E20,'Invoer gegevens'!$C$27*'Invoer gegevens'!$C$10*'Invoer gegevens'!$C$36*(IF('Invoer gegevens'!$C$35="ja",1,Reeksen!J20)),IF('Invoer gegevens'!$C$34+1=E20,'Invoer gegevens'!$C$27*'Invoer gegevens'!$C$10*'Invoer gegevens'!$C$37*(IF('Invoer gegevens'!$C$35="ja",1,Reeksen!J20)),0))+IF(AND(E20='Invoer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0" s="73">
        <f ca="1">AW20/(1+'Invoer gegevens'!$F$13)^($D20-('Invoer gegevens'!$C$17-'Invoer gegevens'!$C$16))/(1+'Invoer gegevens'!$C$39)^('Invoer gegevens'!$C$17-'Invoer gegevens'!$C$16)</f>
        <v>0</v>
      </c>
      <c r="BB20" s="73">
        <f ca="1">AX20/(1+'Invoer gegevens'!$F$13)^(E20-('Invoer gegevens'!$C$17-1))/(1+'Invoer gegevens'!$C$39)^('Invoer gegevens'!$C$17-'Invoer gegevens'!$C$16)</f>
        <v>0</v>
      </c>
      <c r="BC20" s="73">
        <f ca="1">AY20/(1+'Invoer gegevens'!$C$39)^('Invoer gegevens'!$C$17-'Invoer gegevens'!$C$16)</f>
        <v>0</v>
      </c>
      <c r="BD20" s="72">
        <f t="shared" ca="1" si="5"/>
        <v>0</v>
      </c>
      <c r="BE20" s="72">
        <f ca="1">IF(AND(E20='Invoer gegevens'!$C$16,'Invoer gegevens'!$C$34&lt;'Invoer gegevens'!$C$16),AZ20,AZ20/(1+'Invoer gegevens'!$C$39)^D20)</f>
        <v>0</v>
      </c>
      <c r="BF20" s="72">
        <f ca="1">IF(E20='Invoer gegevens'!$C$34,-'Invoer gegevens'!$F$40,0)</f>
        <v>0</v>
      </c>
      <c r="BG20" s="72">
        <f ca="1">IF(E20='Invoer gegevens'!$C$17,-'Invoer gegevens'!$C$19*$BD$31,0)</f>
        <v>0</v>
      </c>
      <c r="BH20" s="72">
        <f ca="1">AW20/(1+$BH$4)^($D20-('Invoer gegevens'!$C$17-'Invoer gegevens'!$C$16))/(1+'Invoer gegevens'!$C$39)^('Invoer gegevens'!$C$17-'Invoer gegevens'!$C$16)+AX20/(1+$BH$4)^(E20-('Invoer gegevens'!$C$17-1))/(1+'Invoer gegevens'!$C$39)^('Invoer gegevens'!$C$17-'Invoer gegevens'!$C$16)+AY20/(1+'Invoer gegevens'!$C$39)^('Invoer gegevens'!$C$17-'Invoer gegevens'!$C$16)+(-AZ20/(1+'Invoer gegevens'!$C$39)^D20)+BF20+BG20</f>
        <v>0</v>
      </c>
      <c r="BI20" s="59"/>
    </row>
    <row r="21" spans="1:68" x14ac:dyDescent="0.25">
      <c r="A21" s="59"/>
      <c r="B21" s="70">
        <f t="shared" si="6"/>
        <v>17</v>
      </c>
      <c r="C21" s="67">
        <f ca="1">IF(AND(E21&gt;='Invoer gegevens'!$C$17,E21&lt;'Invoer gegevens'!$C$17+15),1,0)</f>
        <v>0</v>
      </c>
      <c r="D21" s="68">
        <f t="shared" si="7"/>
        <v>16.5</v>
      </c>
      <c r="E21" s="69">
        <f ca="1">IF('Invoer gegevens'!$C$16="","",E20+1)</f>
        <v>2035</v>
      </c>
      <c r="F21" s="82">
        <f ca="1">IF('Invoer gegevens'!$C$17=E21,'Invoer gegevens'!$C$10,IF(C21=1,H20,0))</f>
        <v>0</v>
      </c>
      <c r="G21" s="83">
        <f ca="1">IF(E21='Invoer gegevens'!$C$17+15,H20,IF(C21&gt;=1,F21*Reeksen!C21,0))</f>
        <v>0</v>
      </c>
      <c r="H21" s="84">
        <f ca="1">IF(E21&gt;='Invoer gegevens'!$C$17+15,0,F21-G21)</f>
        <v>0</v>
      </c>
      <c r="I21" s="85">
        <f ca="1">IF('Invoer gegevens'!$C$17=E21,'Invoer gegevens'!$C$11,IF(C21=1,L20,0))</f>
        <v>0</v>
      </c>
      <c r="J21" s="86">
        <f ca="1">IF(E21='Invoer gegevens'!$C$17+15,L20,IF(C21&lt;1,0,IF(Reeksen!AK21&lt;=Reeksen!AE21,I21*Reeksen!C21,0)))</f>
        <v>0</v>
      </c>
      <c r="K21" s="86">
        <f ca="1">IF(E21='Invoer gegevens'!$C$17+15,L20,IF(C21&lt;1,0,IF(Reeksen!AK21&gt;Reeksen!AE21,I21*Reeksen!C21,0)))</f>
        <v>0</v>
      </c>
      <c r="L21" s="86">
        <f ca="1">IF(E21&gt;='Invoer gegevens'!$C$17+15,0,I21-J21-K21)</f>
        <v>0</v>
      </c>
      <c r="M21" s="85">
        <f ca="1">IF('Invoer gegevens'!$C$17=E21,'Invoer gegevens'!$C$10-'Invoer gegevens'!$C$11,IF(C21=1,P20,0))</f>
        <v>0</v>
      </c>
      <c r="N21" s="86">
        <f ca="1">IF(E21='Invoer gegevens'!$C$17+15,P20,IF(C21&lt;1,0,IF(Reeksen!AK21&lt;=Reeksen!AE21,M21*Reeksen!C21,0)))</f>
        <v>0</v>
      </c>
      <c r="O21" s="86">
        <f ca="1">IF(E21='Invoer gegevens'!$C$17+15,P20,IF(C21&lt;1,0,IF(Reeksen!AK21&gt;Reeksen!AE21,M21*Reeksen!C21,0)))</f>
        <v>0</v>
      </c>
      <c r="P21" s="86">
        <f ca="1">IF(E21&gt;='Invoer gegevens'!$C$17+15,0,M21-N21-O21)</f>
        <v>0</v>
      </c>
      <c r="Q21" s="82">
        <f ca="1">IF('Invoer gegevens'!$C$17=E21,I21,IF(C21=0,0,R20))</f>
        <v>0</v>
      </c>
      <c r="R21" s="84">
        <f t="shared" ca="1" si="0"/>
        <v>0</v>
      </c>
      <c r="S21" s="84">
        <f ca="1">IF('Invoer gegevens'!$C$17=E21,M21,IF(C21=0,0,T20))</f>
        <v>0</v>
      </c>
      <c r="T21" s="84">
        <f t="shared" ca="1" si="1"/>
        <v>0</v>
      </c>
      <c r="AH21" s="68"/>
      <c r="AI21" s="71">
        <f ca="1">IF(C21=1,((F21+H21)/2*Reeksen!AJ21*12)+(('Invoer gegevens'!$C$10-(F21+H21)/2)*Reeksen!AK21*12),0)</f>
        <v>0</v>
      </c>
      <c r="AJ21" s="71">
        <f ca="1">-AI21*'Invoer gegevens'!$F$28</f>
        <v>0</v>
      </c>
      <c r="AK21" s="71">
        <f t="shared" ca="1" si="2"/>
        <v>0</v>
      </c>
      <c r="AL21" s="71">
        <f ca="1">IF(C21=1,(12*((F21+H21)/2)*Reeksen!AL21)+(12*('Invoer gegevens'!$C$10-(F21+H21)/2)*Reeksen!AM21),0)</f>
        <v>0</v>
      </c>
      <c r="AM21" s="71">
        <f ca="1">-AL21*'Invoer gegevens'!$F$31</f>
        <v>0</v>
      </c>
      <c r="AN21" s="71">
        <f t="shared" ca="1" si="3"/>
        <v>0</v>
      </c>
      <c r="AO21" s="71"/>
      <c r="AP21" s="71"/>
      <c r="AQ21" s="71">
        <f ca="1">-IF(C21=1,('Invoer gegevens'!$C$10*'Invoer gegevens'!$I$33)*Reeksen!J21,0)</f>
        <v>0</v>
      </c>
      <c r="AR21" s="71">
        <f ca="1">-IF(C21=1,(G21*'Invoer gegevens'!$I$34)*Reeksen!J21,0)</f>
        <v>0</v>
      </c>
      <c r="AS21" s="71">
        <f ca="1">-IF(C21=1,'Invoer gegevens'!$C$10*'Invoer gegevens'!$I$35*Reeksen!L21,0)</f>
        <v>0</v>
      </c>
      <c r="AT21" s="71">
        <f ca="1">-IF(C21=1,IF(E21='Invoer gegevens'!$C$17,'Invoer gegevens'!$C$11,Q21)*Reeksen!S21*'Invoer gegevens'!$C$18*Reeksen!P21,0)</f>
        <v>0</v>
      </c>
      <c r="AU21" s="71">
        <f ca="1">-IF(C21=1,'Invoer gegevens'!$C$10*'Invoer gegevens'!$I$36*Reeksen!H21,0)</f>
        <v>0</v>
      </c>
      <c r="AV21" s="71">
        <v>0</v>
      </c>
      <c r="AW21" s="71">
        <f t="shared" ca="1" si="4"/>
        <v>0</v>
      </c>
      <c r="AX21" s="72">
        <f ca="1">IF(E21='Invoer gegevens'!$C$17+14,'RW - BW - DE'!$AY$236,0)</f>
        <v>0</v>
      </c>
      <c r="AY21" s="72">
        <f ca="1">IFERROR(IF(E21='Invoer gegevens'!$C$17,-'Invoer gegevens'!$C$10*'Invoer gegevens'!$C$31*Reeksen!H21,0),0)</f>
        <v>0</v>
      </c>
      <c r="AZ21" s="73">
        <f ca="1">IF('Invoer gegevens'!$C$34=E21,'Invoer gegevens'!$C$27*'Invoer gegevens'!$C$10*'Invoer gegevens'!$C$36*(IF('Invoer gegevens'!$C$35="ja",1,Reeksen!J21)),IF('Invoer gegevens'!$C$34+1=E21,'Invoer gegevens'!$C$27*'Invoer gegevens'!$C$10*'Invoer gegevens'!$C$37*(IF('Invoer gegevens'!$C$35="ja",1,Reeksen!J21)),0))+IF(AND(E21='Invoer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1" s="73">
        <f ca="1">AW21/(1+'Invoer gegevens'!$F$13)^($D21-('Invoer gegevens'!$C$17-'Invoer gegevens'!$C$16))/(1+'Invoer gegevens'!$C$39)^('Invoer gegevens'!$C$17-'Invoer gegevens'!$C$16)</f>
        <v>0</v>
      </c>
      <c r="BB21" s="73">
        <f ca="1">AX21/(1+'Invoer gegevens'!$F$13)^(E21-('Invoer gegevens'!$C$17-1))/(1+'Invoer gegevens'!$C$39)^('Invoer gegevens'!$C$17-'Invoer gegevens'!$C$16)</f>
        <v>0</v>
      </c>
      <c r="BC21" s="73">
        <f ca="1">AY21/(1+'Invoer gegevens'!$C$39)^('Invoer gegevens'!$C$17-'Invoer gegevens'!$C$16)</f>
        <v>0</v>
      </c>
      <c r="BD21" s="72">
        <f t="shared" ca="1" si="5"/>
        <v>0</v>
      </c>
      <c r="BE21" s="72">
        <f ca="1">IF(AND(E21='Invoer gegevens'!$C$16,'Invoer gegevens'!$C$34&lt;'Invoer gegevens'!$C$16),AZ21,AZ21/(1+'Invoer gegevens'!$C$39)^D21)</f>
        <v>0</v>
      </c>
      <c r="BF21" s="72">
        <f ca="1">IF(E21='Invoer gegevens'!$C$34,-'Invoer gegevens'!$F$40,0)</f>
        <v>0</v>
      </c>
      <c r="BG21" s="72">
        <f ca="1">IF(E21='Invoer gegevens'!$C$17,-'Invoer gegevens'!$C$19*$BD$31,0)</f>
        <v>0</v>
      </c>
      <c r="BH21" s="72">
        <f ca="1">AW21/(1+$BH$4)^($D21-('Invoer gegevens'!$C$17-'Invoer gegevens'!$C$16))/(1+'Invoer gegevens'!$C$39)^('Invoer gegevens'!$C$17-'Invoer gegevens'!$C$16)+AX21/(1+$BH$4)^(E21-('Invoer gegevens'!$C$17-1))/(1+'Invoer gegevens'!$C$39)^('Invoer gegevens'!$C$17-'Invoer gegevens'!$C$16)+AY21/(1+'Invoer gegevens'!$C$39)^('Invoer gegevens'!$C$17-'Invoer gegevens'!$C$16)+(-AZ21/(1+'Invoer gegevens'!$C$39)^D21)+BF21+BG21</f>
        <v>0</v>
      </c>
      <c r="BI21" s="59"/>
    </row>
    <row r="22" spans="1:68" x14ac:dyDescent="0.25">
      <c r="A22" s="59"/>
      <c r="B22" s="70">
        <f t="shared" si="6"/>
        <v>18</v>
      </c>
      <c r="C22" s="67">
        <f ca="1">IF(AND(E22&gt;='Invoer gegevens'!$C$17,E22&lt;'Invoer gegevens'!$C$17+15),1,0)</f>
        <v>0</v>
      </c>
      <c r="D22" s="68">
        <f t="shared" si="7"/>
        <v>17.5</v>
      </c>
      <c r="E22" s="69">
        <f ca="1">IF('Invoer gegevens'!$C$16="","",E21+1)</f>
        <v>2036</v>
      </c>
      <c r="F22" s="82">
        <f ca="1">IF('Invoer gegevens'!$C$17=E22,'Invoer gegevens'!$C$10,IF(C22=1,H21,0))</f>
        <v>0</v>
      </c>
      <c r="G22" s="83">
        <f ca="1">IF(E22='Invoer gegevens'!$C$17+15,H21,IF(C22&gt;=1,F22*Reeksen!C22,0))</f>
        <v>0</v>
      </c>
      <c r="H22" s="84">
        <f ca="1">IF(E22&gt;='Invoer gegevens'!$C$17+15,0,F22-G22)</f>
        <v>0</v>
      </c>
      <c r="I22" s="85">
        <f ca="1">IF('Invoer gegevens'!$C$17=E22,'Invoer gegevens'!$C$11,IF(C22=1,L21,0))</f>
        <v>0</v>
      </c>
      <c r="J22" s="86">
        <f ca="1">IF(E22='Invoer gegevens'!$C$17+15,L21,IF(C22&lt;1,0,IF(Reeksen!AK22&lt;=Reeksen!AE22,I22*Reeksen!C22,0)))</f>
        <v>0</v>
      </c>
      <c r="K22" s="86">
        <f ca="1">IF(E22='Invoer gegevens'!$C$17+15,L21,IF(C22&lt;1,0,IF(Reeksen!AK22&gt;Reeksen!AE22,I22*Reeksen!C22,0)))</f>
        <v>0</v>
      </c>
      <c r="L22" s="86">
        <f ca="1">IF(E22&gt;='Invoer gegevens'!$C$17+15,0,I22-J22-K22)</f>
        <v>0</v>
      </c>
      <c r="M22" s="85">
        <f ca="1">IF('Invoer gegevens'!$C$17=E22,'Invoer gegevens'!$C$10-'Invoer gegevens'!$C$11,IF(C22=1,P21,0))</f>
        <v>0</v>
      </c>
      <c r="N22" s="86">
        <f ca="1">IF(E22='Invoer gegevens'!$C$17+15,P21,IF(C22&lt;1,0,IF(Reeksen!AK22&lt;=Reeksen!AE22,M22*Reeksen!C22,0)))</f>
        <v>0</v>
      </c>
      <c r="O22" s="86">
        <f ca="1">IF(E22='Invoer gegevens'!$C$17+15,P21,IF(C22&lt;1,0,IF(Reeksen!AK22&gt;Reeksen!AE22,M22*Reeksen!C22,0)))</f>
        <v>0</v>
      </c>
      <c r="P22" s="86">
        <f ca="1">IF(E22&gt;='Invoer gegevens'!$C$17+15,0,M22-N22-O22)</f>
        <v>0</v>
      </c>
      <c r="Q22" s="82">
        <f ca="1">IF('Invoer gegevens'!$C$17=E22,I22,IF(C22=0,0,R21))</f>
        <v>0</v>
      </c>
      <c r="R22" s="84">
        <f t="shared" ca="1" si="0"/>
        <v>0</v>
      </c>
      <c r="S22" s="84">
        <f ca="1">IF('Invoer gegevens'!$C$17=E22,M22,IF(C22=0,0,T21))</f>
        <v>0</v>
      </c>
      <c r="T22" s="84">
        <f t="shared" ca="1" si="1"/>
        <v>0</v>
      </c>
      <c r="AH22" s="68"/>
      <c r="AI22" s="71">
        <f ca="1">IF(C22=1,((F22+H22)/2*Reeksen!AJ22*12)+(('Invoer gegevens'!$C$10-(F22+H22)/2)*Reeksen!AK22*12),0)</f>
        <v>0</v>
      </c>
      <c r="AJ22" s="71">
        <f ca="1">-AI22*'Invoer gegevens'!$F$28</f>
        <v>0</v>
      </c>
      <c r="AK22" s="71">
        <f t="shared" ca="1" si="2"/>
        <v>0</v>
      </c>
      <c r="AL22" s="71">
        <f ca="1">IF(C22=1,(12*((F22+H22)/2)*Reeksen!AL22)+(12*('Invoer gegevens'!$C$10-(F22+H22)/2)*Reeksen!AM22),0)</f>
        <v>0</v>
      </c>
      <c r="AM22" s="71">
        <f ca="1">-AL22*'Invoer gegevens'!$F$31</f>
        <v>0</v>
      </c>
      <c r="AN22" s="71">
        <f t="shared" ca="1" si="3"/>
        <v>0</v>
      </c>
      <c r="AO22" s="71"/>
      <c r="AP22" s="71"/>
      <c r="AQ22" s="71">
        <f ca="1">-IF(C22=1,('Invoer gegevens'!$C$10*'Invoer gegevens'!$I$33)*Reeksen!J22,0)</f>
        <v>0</v>
      </c>
      <c r="AR22" s="71">
        <f ca="1">-IF(C22=1,(G22*'Invoer gegevens'!$I$34)*Reeksen!J22,0)</f>
        <v>0</v>
      </c>
      <c r="AS22" s="71">
        <f ca="1">-IF(C22=1,'Invoer gegevens'!$C$10*'Invoer gegevens'!$I$35*Reeksen!L22,0)</f>
        <v>0</v>
      </c>
      <c r="AT22" s="71">
        <f ca="1">-IF(C22=1,IF(E22='Invoer gegevens'!$C$17,'Invoer gegevens'!$C$11,Q22)*Reeksen!S22*'Invoer gegevens'!$C$18*Reeksen!P22,0)</f>
        <v>0</v>
      </c>
      <c r="AU22" s="71">
        <f ca="1">-IF(C22=1,'Invoer gegevens'!$C$10*'Invoer gegevens'!$I$36*Reeksen!H22,0)</f>
        <v>0</v>
      </c>
      <c r="AV22" s="71">
        <v>0</v>
      </c>
      <c r="AW22" s="71">
        <f t="shared" ca="1" si="4"/>
        <v>0</v>
      </c>
      <c r="AX22" s="72">
        <f ca="1">IF(E22='Invoer gegevens'!$C$17+14,'RW - BW - DE'!$AY$236,0)</f>
        <v>0</v>
      </c>
      <c r="AY22" s="72">
        <f ca="1">IFERROR(IF(E22='Invoer gegevens'!$C$17,-'Invoer gegevens'!$C$10*'Invoer gegevens'!$C$31*Reeksen!H22,0),0)</f>
        <v>0</v>
      </c>
      <c r="AZ22" s="73">
        <f ca="1">IF('Invoer gegevens'!$C$34=E22,'Invoer gegevens'!$C$27*'Invoer gegevens'!$C$10*'Invoer gegevens'!$C$36*(IF('Invoer gegevens'!$C$35="ja",1,Reeksen!J22)),IF('Invoer gegevens'!$C$34+1=E22,'Invoer gegevens'!$C$27*'Invoer gegevens'!$C$10*'Invoer gegevens'!$C$37*(IF('Invoer gegevens'!$C$35="ja",1,Reeksen!J22)),0))+IF(AND(E22='Invoer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2" s="73">
        <f ca="1">AW22/(1+'Invoer gegevens'!$F$13)^($D22-('Invoer gegevens'!$C$17-'Invoer gegevens'!$C$16))/(1+'Invoer gegevens'!$C$39)^('Invoer gegevens'!$C$17-'Invoer gegevens'!$C$16)</f>
        <v>0</v>
      </c>
      <c r="BB22" s="73">
        <f ca="1">AX22/(1+'Invoer gegevens'!$F$13)^(E22-('Invoer gegevens'!$C$17-1))/(1+'Invoer gegevens'!$C$39)^('Invoer gegevens'!$C$17-'Invoer gegevens'!$C$16)</f>
        <v>0</v>
      </c>
      <c r="BC22" s="73">
        <f ca="1">AY22/(1+'Invoer gegevens'!$C$39)^('Invoer gegevens'!$C$17-'Invoer gegevens'!$C$16)</f>
        <v>0</v>
      </c>
      <c r="BD22" s="72">
        <f t="shared" ca="1" si="5"/>
        <v>0</v>
      </c>
      <c r="BE22" s="72">
        <f ca="1">IF(AND(E22='Invoer gegevens'!$C$16,'Invoer gegevens'!$C$34&lt;'Invoer gegevens'!$C$16),AZ22,AZ22/(1+'Invoer gegevens'!$C$39)^D22)</f>
        <v>0</v>
      </c>
      <c r="BF22" s="72">
        <f ca="1">IF(E22='Invoer gegevens'!$C$34,-'Invoer gegevens'!$F$40,0)</f>
        <v>0</v>
      </c>
      <c r="BG22" s="72">
        <f ca="1">IF(E22='Invoer gegevens'!$C$17,-'Invoer gegevens'!$C$19*$BD$31,0)</f>
        <v>0</v>
      </c>
      <c r="BH22" s="72">
        <f ca="1">AW22/(1+$BH$4)^($D22-('Invoer gegevens'!$C$17-'Invoer gegevens'!$C$16))/(1+'Invoer gegevens'!$C$39)^('Invoer gegevens'!$C$17-'Invoer gegevens'!$C$16)+AX22/(1+$BH$4)^(E22-('Invoer gegevens'!$C$17-1))/(1+'Invoer gegevens'!$C$39)^('Invoer gegevens'!$C$17-'Invoer gegevens'!$C$16)+AY22/(1+'Invoer gegevens'!$C$39)^('Invoer gegevens'!$C$17-'Invoer gegevens'!$C$16)+(-AZ22/(1+'Invoer gegevens'!$C$39)^D22)+BF22+BG22</f>
        <v>0</v>
      </c>
      <c r="BI22" s="59"/>
    </row>
    <row r="23" spans="1:68" x14ac:dyDescent="0.25">
      <c r="A23" s="59"/>
      <c r="B23" s="70">
        <f t="shared" si="6"/>
        <v>19</v>
      </c>
      <c r="C23" s="67">
        <f ca="1">IF(AND(E23&gt;='Invoer gegevens'!$C$17,E23&lt;'Invoer gegevens'!$C$17+15),1,0)</f>
        <v>0</v>
      </c>
      <c r="D23" s="68">
        <f t="shared" si="7"/>
        <v>18.5</v>
      </c>
      <c r="E23" s="69">
        <f ca="1">IF('Invoer gegevens'!$C$16="","",E22+1)</f>
        <v>2037</v>
      </c>
      <c r="F23" s="82">
        <f ca="1">IF('Invoer gegevens'!$C$17=E23,'Invoer gegevens'!$C$10,IF(C23=1,H22,0))</f>
        <v>0</v>
      </c>
      <c r="G23" s="83">
        <f ca="1">IF(E23='Invoer gegevens'!$C$17+15,H22,IF(C23&gt;=1,F23*Reeksen!C23,0))</f>
        <v>0</v>
      </c>
      <c r="H23" s="84">
        <f ca="1">IF(E23&gt;='Invoer gegevens'!$C$17+15,0,F23-G23)</f>
        <v>0</v>
      </c>
      <c r="I23" s="85">
        <f ca="1">IF('Invoer gegevens'!$C$17=E23,'Invoer gegevens'!$C$11,IF(C23=1,L22,0))</f>
        <v>0</v>
      </c>
      <c r="J23" s="86">
        <f ca="1">IF(E23='Invoer gegevens'!$C$17+15,L22,IF(C23&lt;1,0,IF(Reeksen!AK23&lt;=Reeksen!AE23,I23*Reeksen!C23,0)))</f>
        <v>0</v>
      </c>
      <c r="K23" s="86">
        <f ca="1">IF(E23='Invoer gegevens'!$C$17+15,L22,IF(C23&lt;1,0,IF(Reeksen!AK23&gt;Reeksen!AE23,I23*Reeksen!C23,0)))</f>
        <v>0</v>
      </c>
      <c r="L23" s="86">
        <f ca="1">IF(E23&gt;='Invoer gegevens'!$C$17+15,0,I23-J23-K23)</f>
        <v>0</v>
      </c>
      <c r="M23" s="85">
        <f ca="1">IF('Invoer gegevens'!$C$17=E23,'Invoer gegevens'!$C$10-'Invoer gegevens'!$C$11,IF(C23=1,P22,0))</f>
        <v>0</v>
      </c>
      <c r="N23" s="86">
        <f ca="1">IF(E23='Invoer gegevens'!$C$17+15,P22,IF(C23&lt;1,0,IF(Reeksen!AK23&lt;=Reeksen!AE23,M23*Reeksen!C23,0)))</f>
        <v>0</v>
      </c>
      <c r="O23" s="86">
        <f ca="1">IF(E23='Invoer gegevens'!$C$17+15,P22,IF(C23&lt;1,0,IF(Reeksen!AK23&gt;Reeksen!AE23,M23*Reeksen!C23,0)))</f>
        <v>0</v>
      </c>
      <c r="P23" s="86">
        <f ca="1">IF(E23&gt;='Invoer gegevens'!$C$17+15,0,M23-N23-O23)</f>
        <v>0</v>
      </c>
      <c r="Q23" s="82">
        <f ca="1">IF('Invoer gegevens'!$C$17=E23,I23,IF(C23=0,0,R22))</f>
        <v>0</v>
      </c>
      <c r="R23" s="84">
        <f t="shared" ca="1" si="0"/>
        <v>0</v>
      </c>
      <c r="S23" s="84">
        <f ca="1">IF('Invoer gegevens'!$C$17=E23,M23,IF(C23=0,0,T22))</f>
        <v>0</v>
      </c>
      <c r="T23" s="84">
        <f t="shared" ca="1" si="1"/>
        <v>0</v>
      </c>
      <c r="AH23" s="68"/>
      <c r="AI23" s="71">
        <f ca="1">IF(C23=1,((F23+H23)/2*Reeksen!AJ23*12)+(('Invoer gegevens'!$C$10-(F23+H23)/2)*Reeksen!AK23*12),0)</f>
        <v>0</v>
      </c>
      <c r="AJ23" s="71">
        <f ca="1">-AI23*'Invoer gegevens'!$F$28</f>
        <v>0</v>
      </c>
      <c r="AK23" s="71">
        <f t="shared" ca="1" si="2"/>
        <v>0</v>
      </c>
      <c r="AL23" s="71">
        <f ca="1">IF(C23=1,(12*((F23+H23)/2)*Reeksen!AL23)+(12*('Invoer gegevens'!$C$10-(F23+H23)/2)*Reeksen!AM23),0)</f>
        <v>0</v>
      </c>
      <c r="AM23" s="71">
        <f ca="1">-AL23*'Invoer gegevens'!$F$31</f>
        <v>0</v>
      </c>
      <c r="AN23" s="71">
        <f t="shared" ca="1" si="3"/>
        <v>0</v>
      </c>
      <c r="AO23" s="71"/>
      <c r="AP23" s="71"/>
      <c r="AQ23" s="71">
        <f ca="1">-IF(C23=1,('Invoer gegevens'!$C$10*'Invoer gegevens'!$I$33)*Reeksen!J23,0)</f>
        <v>0</v>
      </c>
      <c r="AR23" s="71">
        <f ca="1">-IF(C23=1,(G23*'Invoer gegevens'!$I$34)*Reeksen!J23,0)</f>
        <v>0</v>
      </c>
      <c r="AS23" s="71">
        <f ca="1">-IF(C23=1,'Invoer gegevens'!$C$10*'Invoer gegevens'!$I$35*Reeksen!L23,0)</f>
        <v>0</v>
      </c>
      <c r="AT23" s="71">
        <f ca="1">-IF(C23=1,IF(E23='Invoer gegevens'!$C$17,'Invoer gegevens'!$C$11,Q23)*Reeksen!S23*'Invoer gegevens'!$C$18*Reeksen!P23,0)</f>
        <v>0</v>
      </c>
      <c r="AU23" s="71">
        <f ca="1">-IF(C23=1,'Invoer gegevens'!$C$10*'Invoer gegevens'!$I$36*Reeksen!H23,0)</f>
        <v>0</v>
      </c>
      <c r="AV23" s="71">
        <v>0</v>
      </c>
      <c r="AW23" s="71">
        <f t="shared" ca="1" si="4"/>
        <v>0</v>
      </c>
      <c r="AX23" s="72">
        <f ca="1">IF(E23='Invoer gegevens'!$C$17+14,'RW - BW - DE'!$AY$236,0)</f>
        <v>0</v>
      </c>
      <c r="AY23" s="72">
        <f ca="1">IFERROR(IF(E23='Invoer gegevens'!$C$17,-'Invoer gegevens'!$C$10*'Invoer gegevens'!$C$31*Reeksen!H23,0),0)</f>
        <v>0</v>
      </c>
      <c r="AZ23" s="73">
        <f ca="1">IF('Invoer gegevens'!$C$34=E23,'Invoer gegevens'!$C$27*'Invoer gegevens'!$C$10*'Invoer gegevens'!$C$36*(IF('Invoer gegevens'!$C$35="ja",1,Reeksen!J23)),IF('Invoer gegevens'!$C$34+1=E23,'Invoer gegevens'!$C$27*'Invoer gegevens'!$C$10*'Invoer gegevens'!$C$37*(IF('Invoer gegevens'!$C$35="ja",1,Reeksen!J23)),0))+IF(AND(E23='Invoer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3" s="73">
        <f ca="1">AW23/(1+'Invoer gegevens'!$F$13)^($D23-('Invoer gegevens'!$C$17-'Invoer gegevens'!$C$16))/(1+'Invoer gegevens'!$C$39)^('Invoer gegevens'!$C$17-'Invoer gegevens'!$C$16)</f>
        <v>0</v>
      </c>
      <c r="BB23" s="73">
        <f ca="1">AX23/(1+'Invoer gegevens'!$F$13)^(E23-('Invoer gegevens'!$C$17-1))/(1+'Invoer gegevens'!$C$39)^('Invoer gegevens'!$C$17-'Invoer gegevens'!$C$16)</f>
        <v>0</v>
      </c>
      <c r="BC23" s="73">
        <f ca="1">AY23/(1+'Invoer gegevens'!$C$39)^('Invoer gegevens'!$C$17-'Invoer gegevens'!$C$16)</f>
        <v>0</v>
      </c>
      <c r="BD23" s="72">
        <f t="shared" ca="1" si="5"/>
        <v>0</v>
      </c>
      <c r="BE23" s="72">
        <f ca="1">IF(AND(E23='Invoer gegevens'!$C$16,'Invoer gegevens'!$C$34&lt;'Invoer gegevens'!$C$16),AZ23,AZ23/(1+'Invoer gegevens'!$C$39)^D23)</f>
        <v>0</v>
      </c>
      <c r="BF23" s="72">
        <f ca="1">IF(E23='Invoer gegevens'!$C$34,-'Invoer gegevens'!$F$40,0)</f>
        <v>0</v>
      </c>
      <c r="BG23" s="72">
        <f ca="1">IF(E23='Invoer gegevens'!$C$17,-'Invoer gegevens'!$C$19*$BD$31,0)</f>
        <v>0</v>
      </c>
      <c r="BH23" s="72">
        <f ca="1">AW23/(1+$BH$4)^($D23-('Invoer gegevens'!$C$17-'Invoer gegevens'!$C$16))/(1+'Invoer gegevens'!$C$39)^('Invoer gegevens'!$C$17-'Invoer gegevens'!$C$16)+AX23/(1+$BH$4)^(E23-('Invoer gegevens'!$C$17-1))/(1+'Invoer gegevens'!$C$39)^('Invoer gegevens'!$C$17-'Invoer gegevens'!$C$16)+AY23/(1+'Invoer gegevens'!$C$39)^('Invoer gegevens'!$C$17-'Invoer gegevens'!$C$16)+(-AZ23/(1+'Invoer gegevens'!$C$39)^D23)+BF23+BG23</f>
        <v>0</v>
      </c>
      <c r="BI23" s="59"/>
    </row>
    <row r="24" spans="1:68" x14ac:dyDescent="0.25">
      <c r="A24" s="59"/>
      <c r="B24" s="70">
        <f t="shared" si="6"/>
        <v>20</v>
      </c>
      <c r="C24" s="67">
        <f ca="1">IF(AND(E24&gt;='Invoer gegevens'!$C$17,E24&lt;'Invoer gegevens'!$C$17+15),1,0)</f>
        <v>0</v>
      </c>
      <c r="D24" s="68">
        <f t="shared" si="7"/>
        <v>19.5</v>
      </c>
      <c r="E24" s="69">
        <f ca="1">IF('Invoer gegevens'!$C$16="","",E23+1)</f>
        <v>2038</v>
      </c>
      <c r="F24" s="82">
        <f ca="1">IF('Invoer gegevens'!$C$17=E24,'Invoer gegevens'!$C$10,IF(C24=1,H23,0))</f>
        <v>0</v>
      </c>
      <c r="G24" s="83">
        <f ca="1">IF(E24='Invoer gegevens'!$C$17+15,H23,IF(C24&gt;=1,F24*Reeksen!C24,0))</f>
        <v>0</v>
      </c>
      <c r="H24" s="84">
        <f ca="1">IF(E24&gt;='Invoer gegevens'!$C$17+15,0,F24-G24)</f>
        <v>0</v>
      </c>
      <c r="I24" s="85">
        <f ca="1">IF('Invoer gegevens'!$C$17=E24,'Invoer gegevens'!$C$11,IF(C24=1,L23,0))</f>
        <v>0</v>
      </c>
      <c r="J24" s="86">
        <f ca="1">IF(E24='Invoer gegevens'!$C$17+15,L23,IF(C24&lt;1,0,IF(Reeksen!AK24&lt;=Reeksen!AE24,I24*Reeksen!C24,0)))</f>
        <v>0</v>
      </c>
      <c r="K24" s="86">
        <f ca="1">IF(E24='Invoer gegevens'!$C$17+15,L23,IF(C24&lt;1,0,IF(Reeksen!AK24&gt;Reeksen!AE24,I24*Reeksen!C24,0)))</f>
        <v>0</v>
      </c>
      <c r="L24" s="86">
        <f ca="1">IF(E24&gt;='Invoer gegevens'!$C$17+15,0,I24-J24-K24)</f>
        <v>0</v>
      </c>
      <c r="M24" s="85">
        <f ca="1">IF('Invoer gegevens'!$C$17=E24,'Invoer gegevens'!$C$10-'Invoer gegevens'!$C$11,IF(C24=1,P23,0))</f>
        <v>0</v>
      </c>
      <c r="N24" s="86">
        <f ca="1">IF(E24='Invoer gegevens'!$C$17+15,P23,IF(C24&lt;1,0,IF(Reeksen!AK24&lt;=Reeksen!AE24,M24*Reeksen!C24,0)))</f>
        <v>0</v>
      </c>
      <c r="O24" s="86">
        <f ca="1">IF(E24='Invoer gegevens'!$C$17+15,P23,IF(C24&lt;1,0,IF(Reeksen!AK24&gt;Reeksen!AE24,M24*Reeksen!C24,0)))</f>
        <v>0</v>
      </c>
      <c r="P24" s="86">
        <f ca="1">IF(E24&gt;='Invoer gegevens'!$C$17+15,0,M24-N24-O24)</f>
        <v>0</v>
      </c>
      <c r="Q24" s="82">
        <f ca="1">IF('Invoer gegevens'!$C$17=E24,I24,IF(C24=0,0,R23))</f>
        <v>0</v>
      </c>
      <c r="R24" s="84">
        <f t="shared" ca="1" si="0"/>
        <v>0</v>
      </c>
      <c r="S24" s="84">
        <f ca="1">IF('Invoer gegevens'!$C$17=E24,M24,IF(C24=0,0,T23))</f>
        <v>0</v>
      </c>
      <c r="T24" s="84">
        <f t="shared" ca="1" si="1"/>
        <v>0</v>
      </c>
      <c r="AH24" s="68"/>
      <c r="AI24" s="71">
        <f ca="1">IF(C24=1,((F24+H24)/2*Reeksen!AJ24*12)+(('Invoer gegevens'!$C$10-(F24+H24)/2)*Reeksen!AK24*12),0)</f>
        <v>0</v>
      </c>
      <c r="AJ24" s="71">
        <f ca="1">-AI24*'Invoer gegevens'!$F$28</f>
        <v>0</v>
      </c>
      <c r="AK24" s="71">
        <f t="shared" ca="1" si="2"/>
        <v>0</v>
      </c>
      <c r="AL24" s="71">
        <f ca="1">IF(C24=1,(12*((F24+H24)/2)*Reeksen!AL24)+(12*('Invoer gegevens'!$C$10-(F24+H24)/2)*Reeksen!AM24),0)</f>
        <v>0</v>
      </c>
      <c r="AM24" s="71">
        <f ca="1">-AL24*'Invoer gegevens'!$F$31</f>
        <v>0</v>
      </c>
      <c r="AN24" s="71">
        <f t="shared" ca="1" si="3"/>
        <v>0</v>
      </c>
      <c r="AO24" s="71"/>
      <c r="AP24" s="71"/>
      <c r="AQ24" s="71">
        <f ca="1">-IF(C24=1,('Invoer gegevens'!$C$10*'Invoer gegevens'!$I$33)*Reeksen!J24,0)</f>
        <v>0</v>
      </c>
      <c r="AR24" s="71">
        <f ca="1">-IF(C24=1,(G24*'Invoer gegevens'!$I$34)*Reeksen!J24,0)</f>
        <v>0</v>
      </c>
      <c r="AS24" s="71">
        <f ca="1">-IF(C24=1,'Invoer gegevens'!$C$10*'Invoer gegevens'!$I$35*Reeksen!L24,0)</f>
        <v>0</v>
      </c>
      <c r="AT24" s="71">
        <f ca="1">-IF(C24=1,IF(E24='Invoer gegevens'!$C$17,'Invoer gegevens'!$C$11,Q24)*Reeksen!S24*'Invoer gegevens'!$C$18*Reeksen!P24,0)</f>
        <v>0</v>
      </c>
      <c r="AU24" s="71">
        <f ca="1">-IF(C24=1,'Invoer gegevens'!$C$10*'Invoer gegevens'!$I$36*Reeksen!H24,0)</f>
        <v>0</v>
      </c>
      <c r="AV24" s="71">
        <v>0</v>
      </c>
      <c r="AW24" s="71">
        <f t="shared" ca="1" si="4"/>
        <v>0</v>
      </c>
      <c r="AX24" s="72">
        <f ca="1">IF(E24='Invoer gegevens'!$C$17+14,'RW - BW - DE'!$AY$236,0)</f>
        <v>0</v>
      </c>
      <c r="AY24" s="72">
        <f ca="1">IFERROR(IF(E24='Invoer gegevens'!$C$17,-'Invoer gegevens'!$C$10*'Invoer gegevens'!$C$31*Reeksen!H24,0),0)</f>
        <v>0</v>
      </c>
      <c r="AZ24" s="73">
        <f ca="1">IF('Invoer gegevens'!$C$34=E24,'Invoer gegevens'!$C$27*'Invoer gegevens'!$C$10*'Invoer gegevens'!$C$36*(IF('Invoer gegevens'!$C$35="ja",1,Reeksen!J24)),IF('Invoer gegevens'!$C$34+1=E24,'Invoer gegevens'!$C$27*'Invoer gegevens'!$C$10*'Invoer gegevens'!$C$37*(IF('Invoer gegevens'!$C$35="ja",1,Reeksen!J24)),0))+IF(AND(E24='Invoer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4" s="73">
        <f ca="1">AW24/(1+'Invoer gegevens'!$F$13)^($D24-('Invoer gegevens'!$C$17-'Invoer gegevens'!$C$16))/(1+'Invoer gegevens'!$C$39)^('Invoer gegevens'!$C$17-'Invoer gegevens'!$C$16)</f>
        <v>0</v>
      </c>
      <c r="BB24" s="73">
        <f ca="1">AX24/(1+'Invoer gegevens'!$F$13)^(E24-('Invoer gegevens'!$C$17-1))/(1+'Invoer gegevens'!$C$39)^('Invoer gegevens'!$C$17-'Invoer gegevens'!$C$16)</f>
        <v>0</v>
      </c>
      <c r="BC24" s="73">
        <f ca="1">AY24/(1+'Invoer gegevens'!$C$39)^('Invoer gegevens'!$C$17-'Invoer gegevens'!$C$16)</f>
        <v>0</v>
      </c>
      <c r="BD24" s="72">
        <f t="shared" ca="1" si="5"/>
        <v>0</v>
      </c>
      <c r="BE24" s="72">
        <f ca="1">IF(AND(E24='Invoer gegevens'!$C$16,'Invoer gegevens'!$C$34&lt;'Invoer gegevens'!$C$16),AZ24,AZ24/(1+'Invoer gegevens'!$C$39)^D24)</f>
        <v>0</v>
      </c>
      <c r="BF24" s="72">
        <f ca="1">IF(E24='Invoer gegevens'!$C$34,-'Invoer gegevens'!$F$40,0)</f>
        <v>0</v>
      </c>
      <c r="BG24" s="72">
        <f ca="1">IF(E24='Invoer gegevens'!$C$17,-'Invoer gegevens'!$C$19*$BD$31,0)</f>
        <v>0</v>
      </c>
      <c r="BH24" s="72">
        <f ca="1">AW24/(1+$BH$4)^($D24-('Invoer gegevens'!$C$17-'Invoer gegevens'!$C$16))/(1+'Invoer gegevens'!$C$39)^('Invoer gegevens'!$C$17-'Invoer gegevens'!$C$16)+AX24/(1+$BH$4)^(E24-('Invoer gegevens'!$C$17-1))/(1+'Invoer gegevens'!$C$39)^('Invoer gegevens'!$C$17-'Invoer gegevens'!$C$16)+AY24/(1+'Invoer gegevens'!$C$39)^('Invoer gegevens'!$C$17-'Invoer gegevens'!$C$16)+(-AZ24/(1+'Invoer gegevens'!$C$39)^D24)+BF24+BG24</f>
        <v>0</v>
      </c>
      <c r="BI24" s="59"/>
    </row>
    <row r="25" spans="1:68" x14ac:dyDescent="0.25">
      <c r="A25" s="59"/>
      <c r="B25" s="70">
        <f t="shared" si="6"/>
        <v>21</v>
      </c>
      <c r="C25" s="67">
        <f ca="1">IF(AND(E25&gt;='Invoer gegevens'!$C$17,E25&lt;'Invoer gegevens'!$C$17+15),1,0)</f>
        <v>0</v>
      </c>
      <c r="D25" s="68">
        <f t="shared" si="7"/>
        <v>20.5</v>
      </c>
      <c r="E25" s="69">
        <f ca="1">IF('Invoer gegevens'!$C$16="","",E24+1)</f>
        <v>2039</v>
      </c>
      <c r="F25" s="82">
        <f ca="1">IF('Invoer gegevens'!$C$17=E25,'Invoer gegevens'!$C$10,IF(C25=1,H24,0))</f>
        <v>0</v>
      </c>
      <c r="G25" s="83">
        <f ca="1">IF(E25='Invoer gegevens'!$C$17+15,H24,IF(C25&gt;=1,F25*Reeksen!C25,0))</f>
        <v>0</v>
      </c>
      <c r="H25" s="84">
        <f ca="1">IF(E25&gt;='Invoer gegevens'!$C$17+15,0,F25-G25)</f>
        <v>0</v>
      </c>
      <c r="I25" s="85">
        <f ca="1">IF('Invoer gegevens'!$C$17=E25,'Invoer gegevens'!$C$11,IF(C25=1,L24,0))</f>
        <v>0</v>
      </c>
      <c r="J25" s="86">
        <f ca="1">IF(E25='Invoer gegevens'!$C$17+15,L24,IF(C25&lt;1,0,IF(Reeksen!AK25&lt;=Reeksen!AE25,I25*Reeksen!C25,0)))</f>
        <v>0</v>
      </c>
      <c r="K25" s="86">
        <f ca="1">IF(E25='Invoer gegevens'!$C$17+15,L24,IF(C25&lt;1,0,IF(Reeksen!AK25&gt;Reeksen!AE25,I25*Reeksen!C25,0)))</f>
        <v>0</v>
      </c>
      <c r="L25" s="86">
        <f ca="1">IF(E25&gt;='Invoer gegevens'!$C$17+15,0,I25-J25-K25)</f>
        <v>0</v>
      </c>
      <c r="M25" s="85">
        <f ca="1">IF('Invoer gegevens'!$C$17=E25,'Invoer gegevens'!$C$10-'Invoer gegevens'!$C$11,IF(C25=1,P24,0))</f>
        <v>0</v>
      </c>
      <c r="N25" s="86">
        <f ca="1">IF(E25='Invoer gegevens'!$C$17+15,P24,IF(C25&lt;1,0,IF(Reeksen!AK25&lt;=Reeksen!AE25,M25*Reeksen!C25,0)))</f>
        <v>0</v>
      </c>
      <c r="O25" s="86">
        <f ca="1">IF(E25='Invoer gegevens'!$C$17+15,P24,IF(C25&lt;1,0,IF(Reeksen!AK25&gt;Reeksen!AE25,M25*Reeksen!C25,0)))</f>
        <v>0</v>
      </c>
      <c r="P25" s="86">
        <f ca="1">IF(E25&gt;='Invoer gegevens'!$C$17+15,0,M25-N25-O25)</f>
        <v>0</v>
      </c>
      <c r="Q25" s="82">
        <f ca="1">IF('Invoer gegevens'!$C$17=E25,I25,IF(C25=0,0,R24))</f>
        <v>0</v>
      </c>
      <c r="R25" s="84">
        <f t="shared" ca="1" si="0"/>
        <v>0</v>
      </c>
      <c r="S25" s="84">
        <f ca="1">IF('Invoer gegevens'!$C$17=E25,M25,IF(C25=0,0,T24))</f>
        <v>0</v>
      </c>
      <c r="T25" s="84">
        <f t="shared" ca="1" si="1"/>
        <v>0</v>
      </c>
      <c r="AH25" s="68"/>
      <c r="AI25" s="71">
        <f ca="1">IF(C25=1,((F25+H25)/2*Reeksen!AJ25*12)+(('Invoer gegevens'!$C$10-(F25+H25)/2)*Reeksen!AK25*12),0)</f>
        <v>0</v>
      </c>
      <c r="AJ25" s="71">
        <f ca="1">-AI25*'Invoer gegevens'!$F$28</f>
        <v>0</v>
      </c>
      <c r="AK25" s="71">
        <f t="shared" ca="1" si="2"/>
        <v>0</v>
      </c>
      <c r="AL25" s="71">
        <f ca="1">IF(C25=1,(12*((F25+H25)/2)*Reeksen!AL25)+(12*('Invoer gegevens'!$C$10-(F25+H25)/2)*Reeksen!AM25),0)</f>
        <v>0</v>
      </c>
      <c r="AM25" s="71">
        <f ca="1">-AL25*'Invoer gegevens'!$F$31</f>
        <v>0</v>
      </c>
      <c r="AN25" s="71">
        <f t="shared" ca="1" si="3"/>
        <v>0</v>
      </c>
      <c r="AO25" s="71"/>
      <c r="AP25" s="71"/>
      <c r="AQ25" s="71">
        <f ca="1">-IF(C25=1,('Invoer gegevens'!$C$10*'Invoer gegevens'!$I$33)*Reeksen!J25,0)</f>
        <v>0</v>
      </c>
      <c r="AR25" s="71">
        <f ca="1">-IF(C25=1,(G25*'Invoer gegevens'!$I$34)*Reeksen!J25,0)</f>
        <v>0</v>
      </c>
      <c r="AS25" s="71">
        <f ca="1">-IF(C25=1,'Invoer gegevens'!$C$10*'Invoer gegevens'!$I$35*Reeksen!L25,0)</f>
        <v>0</v>
      </c>
      <c r="AT25" s="71">
        <f ca="1">-IF(C25=1,IF(E25='Invoer gegevens'!$C$17,'Invoer gegevens'!$C$11,Q25)*Reeksen!S25*'Invoer gegevens'!$C$18*Reeksen!P25,0)</f>
        <v>0</v>
      </c>
      <c r="AU25" s="71">
        <f ca="1">-IF(C25=1,'Invoer gegevens'!$C$10*'Invoer gegevens'!$I$36*Reeksen!H25,0)</f>
        <v>0</v>
      </c>
      <c r="AV25" s="71">
        <v>0</v>
      </c>
      <c r="AW25" s="71">
        <f t="shared" ca="1" si="4"/>
        <v>0</v>
      </c>
      <c r="AX25" s="72">
        <f ca="1">IF(E25='Invoer gegevens'!$C$17+14,'RW - BW - DE'!$AY$236,0)</f>
        <v>0</v>
      </c>
      <c r="AY25" s="72">
        <f ca="1">IFERROR(IF(E25='Invoer gegevens'!$C$17,-'Invoer gegevens'!$C$10*'Invoer gegevens'!$C$31*Reeksen!H25,0),0)</f>
        <v>0</v>
      </c>
      <c r="AZ25" s="73">
        <f ca="1">IF('Invoer gegevens'!$C$34=E25,'Invoer gegevens'!$C$27*'Invoer gegevens'!$C$10*'Invoer gegevens'!$C$36*(IF('Invoer gegevens'!$C$35="ja",1,Reeksen!J25)),IF('Invoer gegevens'!$C$34+1=E25,'Invoer gegevens'!$C$27*'Invoer gegevens'!$C$10*'Invoer gegevens'!$C$37*(IF('Invoer gegevens'!$C$35="ja",1,Reeksen!J25)),0))+IF(AND(E25='Invoer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5" s="73">
        <f ca="1">AW25/(1+'Invoer gegevens'!$F$13)^($D25-('Invoer gegevens'!$C$17-'Invoer gegevens'!$C$16))/(1+'Invoer gegevens'!$C$39)^('Invoer gegevens'!$C$17-'Invoer gegevens'!$C$16)</f>
        <v>0</v>
      </c>
      <c r="BB25" s="73">
        <f ca="1">AX25/(1+'Invoer gegevens'!$F$13)^(E25-('Invoer gegevens'!$C$17-1))/(1+'Invoer gegevens'!$C$39)^('Invoer gegevens'!$C$17-'Invoer gegevens'!$C$16)</f>
        <v>0</v>
      </c>
      <c r="BC25" s="73">
        <f ca="1">AY25/(1+'Invoer gegevens'!$C$39)^('Invoer gegevens'!$C$17-'Invoer gegevens'!$C$16)</f>
        <v>0</v>
      </c>
      <c r="BD25" s="72">
        <f t="shared" ca="1" si="5"/>
        <v>0</v>
      </c>
      <c r="BE25" s="72">
        <f ca="1">IF(AND(E25='Invoer gegevens'!$C$16,'Invoer gegevens'!$C$34&lt;'Invoer gegevens'!$C$16),AZ25,AZ25/(1+'Invoer gegevens'!$C$39)^D25)</f>
        <v>0</v>
      </c>
      <c r="BF25" s="72">
        <f ca="1">IF(E25='Invoer gegevens'!$C$34,-'Invoer gegevens'!$F$40,0)</f>
        <v>0</v>
      </c>
      <c r="BG25" s="72">
        <f ca="1">IF(E25='Invoer gegevens'!$C$17,-'Invoer gegevens'!$C$19*$BD$31,0)</f>
        <v>0</v>
      </c>
      <c r="BH25" s="72">
        <f ca="1">AW25/(1+$BH$4)^($D25-('Invoer gegevens'!$C$17-'Invoer gegevens'!$C$16))/(1+'Invoer gegevens'!$C$39)^('Invoer gegevens'!$C$17-'Invoer gegevens'!$C$16)+AX25/(1+$BH$4)^(E25-('Invoer gegevens'!$C$17-1))/(1+'Invoer gegevens'!$C$39)^('Invoer gegevens'!$C$17-'Invoer gegevens'!$C$16)+AY25/(1+'Invoer gegevens'!$C$39)^('Invoer gegevens'!$C$17-'Invoer gegevens'!$C$16)+(-AZ25/(1+'Invoer gegevens'!$C$39)^D25)+BF25+BG25</f>
        <v>0</v>
      </c>
      <c r="BI25" s="59"/>
    </row>
    <row r="26" spans="1:68" x14ac:dyDescent="0.25">
      <c r="A26" s="59"/>
      <c r="B26" s="70">
        <f>B25+1</f>
        <v>22</v>
      </c>
      <c r="C26" s="67">
        <f ca="1">IF(AND(E26&gt;='Invoer gegevens'!$C$17,E26&lt;'Invoer gegevens'!$C$17+15),1,0)</f>
        <v>0</v>
      </c>
      <c r="D26" s="68">
        <f t="shared" si="7"/>
        <v>21.5</v>
      </c>
      <c r="E26" s="69">
        <f ca="1">IF('Invoer gegevens'!$C$16="","",E25+1)</f>
        <v>2040</v>
      </c>
      <c r="F26" s="82">
        <f ca="1">IF('Invoer gegevens'!$C$17=E26,'Invoer gegevens'!$C$10,IF(C26=1,H25,0))</f>
        <v>0</v>
      </c>
      <c r="G26" s="83">
        <f ca="1">IF(E26='Invoer gegevens'!$C$17+15,H25,IF(C26&gt;=1,F26*Reeksen!C26,0))</f>
        <v>0</v>
      </c>
      <c r="H26" s="84">
        <f ca="1">IF(E26&gt;='Invoer gegevens'!$C$17+15,0,F26-G26)</f>
        <v>0</v>
      </c>
      <c r="I26" s="85">
        <f ca="1">IF('Invoer gegevens'!$C$17=E26,'Invoer gegevens'!$C$11,IF(C26=1,L25,0))</f>
        <v>0</v>
      </c>
      <c r="J26" s="86">
        <f ca="1">IF(E26='Invoer gegevens'!$C$17+15,L25,IF(C26&lt;1,0,IF(Reeksen!AK26&lt;=Reeksen!AE26,I26*Reeksen!C26,0)))</f>
        <v>0</v>
      </c>
      <c r="K26" s="86">
        <f ca="1">IF(E26='Invoer gegevens'!$C$17+15,L25,IF(C26&lt;1,0,IF(Reeksen!AK26&gt;Reeksen!AE26,I26*Reeksen!C26,0)))</f>
        <v>0</v>
      </c>
      <c r="L26" s="86">
        <f ca="1">IF(E26&gt;='Invoer gegevens'!$C$17+15,0,I26-J26-K26)</f>
        <v>0</v>
      </c>
      <c r="M26" s="85">
        <f ca="1">IF('Invoer gegevens'!$C$17=E26,'Invoer gegevens'!$C$10-'Invoer gegevens'!$C$11,IF(C26=1,P25,0))</f>
        <v>0</v>
      </c>
      <c r="N26" s="86">
        <f ca="1">IF(E26='Invoer gegevens'!$C$17+15,P25,IF(C26&lt;1,0,IF(Reeksen!AK26&lt;=Reeksen!AE26,M26*Reeksen!C26,0)))</f>
        <v>0</v>
      </c>
      <c r="O26" s="86">
        <f ca="1">IF(E26='Invoer gegevens'!$C$17+15,P25,IF(C26&lt;1,0,IF(Reeksen!AK26&gt;Reeksen!AE26,M26*Reeksen!C26,0)))</f>
        <v>0</v>
      </c>
      <c r="P26" s="86">
        <f ca="1">IF(E26&gt;='Invoer gegevens'!$C$17+15,0,M26-N26-O26)</f>
        <v>0</v>
      </c>
      <c r="Q26" s="82">
        <f ca="1">IF('Invoer gegevens'!$C$17=E26,I26,IF(C26=0,0,R25))</f>
        <v>0</v>
      </c>
      <c r="R26" s="84">
        <f t="shared" ca="1" si="0"/>
        <v>0</v>
      </c>
      <c r="S26" s="84">
        <f ca="1">IF('Invoer gegevens'!$C$17=E26,M26,IF(C26=0,0,T25))</f>
        <v>0</v>
      </c>
      <c r="T26" s="84">
        <f t="shared" ca="1" si="1"/>
        <v>0</v>
      </c>
      <c r="AH26" s="68"/>
      <c r="AI26" s="71">
        <f ca="1">IF(C26=1,((F26+H26)/2*Reeksen!AJ26*12)+(('Invoer gegevens'!$C$10-(F26+H26)/2)*Reeksen!AK26*12),0)</f>
        <v>0</v>
      </c>
      <c r="AJ26" s="71">
        <f ca="1">-AI26*'Invoer gegevens'!$F$28</f>
        <v>0</v>
      </c>
      <c r="AK26" s="71">
        <f t="shared" ca="1" si="2"/>
        <v>0</v>
      </c>
      <c r="AL26" s="71">
        <f ca="1">IF(C26=1,(12*((F26+H26)/2)*Reeksen!AL26)+(12*('Invoer gegevens'!$C$10-(F26+H26)/2)*Reeksen!AM26),0)</f>
        <v>0</v>
      </c>
      <c r="AM26" s="71">
        <f ca="1">-AL26*'Invoer gegevens'!$F$31</f>
        <v>0</v>
      </c>
      <c r="AN26" s="71">
        <f t="shared" ca="1" si="3"/>
        <v>0</v>
      </c>
      <c r="AO26" s="71"/>
      <c r="AP26" s="71"/>
      <c r="AQ26" s="71">
        <f ca="1">-IF(C26=1,('Invoer gegevens'!$C$10*'Invoer gegevens'!$I$33)*Reeksen!J26,0)</f>
        <v>0</v>
      </c>
      <c r="AR26" s="71">
        <f ca="1">-IF(C26=1,(G26*'Invoer gegevens'!$I$34)*Reeksen!J26,0)</f>
        <v>0</v>
      </c>
      <c r="AS26" s="71">
        <f ca="1">-IF(C26=1,'Invoer gegevens'!$C$10*'Invoer gegevens'!$I$35*Reeksen!L26,0)</f>
        <v>0</v>
      </c>
      <c r="AT26" s="71">
        <f ca="1">-IF(C26=1,IF(E26='Invoer gegevens'!$C$17,'Invoer gegevens'!$C$11,Q26)*Reeksen!S26*'Invoer gegevens'!$C$18*Reeksen!P26,0)</f>
        <v>0</v>
      </c>
      <c r="AU26" s="71">
        <f ca="1">-IF(C26=1,'Invoer gegevens'!$C$10*'Invoer gegevens'!$I$36*Reeksen!H26,0)</f>
        <v>0</v>
      </c>
      <c r="AV26" s="71">
        <v>0</v>
      </c>
      <c r="AW26" s="71">
        <f t="shared" ca="1" si="4"/>
        <v>0</v>
      </c>
      <c r="AX26" s="72">
        <f ca="1">IF(E26='Invoer gegevens'!$C$17+14,'RW - BW - DE'!$AY$236,0)</f>
        <v>0</v>
      </c>
      <c r="AY26" s="72">
        <f ca="1">IFERROR(IF(E26='Invoer gegevens'!$C$17,-'Invoer gegevens'!$C$10*'Invoer gegevens'!$C$31*Reeksen!H26,0),0)</f>
        <v>0</v>
      </c>
      <c r="AZ26" s="73">
        <f ca="1">IF('Invoer gegevens'!$C$34=E26,'Invoer gegevens'!$C$27*'Invoer gegevens'!$C$10*'Invoer gegevens'!$C$36*(IF('Invoer gegevens'!$C$35="ja",1,Reeksen!J26)),IF('Invoer gegevens'!$C$34+1=E26,'Invoer gegevens'!$C$27*'Invoer gegevens'!$C$10*'Invoer gegevens'!$C$37*(IF('Invoer gegevens'!$C$35="ja",1,Reeksen!J26)),0))+IF(AND(E26='Invoer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6" s="73">
        <f ca="1">AW26/(1+'Invoer gegevens'!$F$13)^($D26-('Invoer gegevens'!$C$17-'Invoer gegevens'!$C$16))/(1+'Invoer gegevens'!$C$39)^('Invoer gegevens'!$C$17-'Invoer gegevens'!$C$16)</f>
        <v>0</v>
      </c>
      <c r="BB26" s="73">
        <f ca="1">AX26/(1+'Invoer gegevens'!$F$13)^(E26-('Invoer gegevens'!$C$17-1))/(1+'Invoer gegevens'!$C$39)^('Invoer gegevens'!$C$17-'Invoer gegevens'!$C$16)</f>
        <v>0</v>
      </c>
      <c r="BC26" s="73">
        <f ca="1">AY26/(1+'Invoer gegevens'!$C$39)^('Invoer gegevens'!$C$17-'Invoer gegevens'!$C$16)</f>
        <v>0</v>
      </c>
      <c r="BD26" s="72">
        <f t="shared" ca="1" si="5"/>
        <v>0</v>
      </c>
      <c r="BE26" s="72">
        <f ca="1">IF(AND(E26='Invoer gegevens'!$C$16,'Invoer gegevens'!$C$34&lt;'Invoer gegevens'!$C$16),AZ26,AZ26/(1+'Invoer gegevens'!$C$39)^D26)</f>
        <v>0</v>
      </c>
      <c r="BF26" s="72">
        <f ca="1">IF(E26='Invoer gegevens'!$C$34,-'Invoer gegevens'!$F$40,0)</f>
        <v>0</v>
      </c>
      <c r="BG26" s="72">
        <f ca="1">IF(E26='Invoer gegevens'!$C$17,-'Invoer gegevens'!$C$19*$BD$31,0)</f>
        <v>0</v>
      </c>
      <c r="BH26" s="72">
        <f ca="1">AW26/(1+$BH$4)^($D26-('Invoer gegevens'!$C$17-'Invoer gegevens'!$C$16))/(1+'Invoer gegevens'!$C$39)^('Invoer gegevens'!$C$17-'Invoer gegevens'!$C$16)+AX26/(1+$BH$4)^(E26-('Invoer gegevens'!$C$17-1))/(1+'Invoer gegevens'!$C$39)^('Invoer gegevens'!$C$17-'Invoer gegevens'!$C$16)+AY26/(1+'Invoer gegevens'!$C$39)^('Invoer gegevens'!$C$17-'Invoer gegevens'!$C$16)+(-AZ26/(1+'Invoer gegevens'!$C$39)^D26)+BF26+BG26</f>
        <v>0</v>
      </c>
      <c r="BI26" s="59"/>
    </row>
    <row r="27" spans="1:68" x14ac:dyDescent="0.25">
      <c r="A27" s="59"/>
      <c r="B27" s="70">
        <f t="shared" si="6"/>
        <v>23</v>
      </c>
      <c r="C27" s="67">
        <f ca="1">IF(AND(E27&gt;='Invoer gegevens'!$C$17,E27&lt;'Invoer gegevens'!$C$17+15),1,0)</f>
        <v>0</v>
      </c>
      <c r="D27" s="68">
        <f t="shared" si="7"/>
        <v>22.5</v>
      </c>
      <c r="E27" s="69">
        <f ca="1">IF('Invoer gegevens'!$C$16="","",E26+1)</f>
        <v>2041</v>
      </c>
      <c r="F27" s="82">
        <f ca="1">IF('Invoer gegevens'!$C$17=E27,'Invoer gegevens'!$C$10,IF(C27=1,H26,0))</f>
        <v>0</v>
      </c>
      <c r="G27" s="83">
        <f ca="1">IF(E27='Invoer gegevens'!$C$17+15,H26,IF(C27&gt;=1,F27*Reeksen!C27,0))</f>
        <v>0</v>
      </c>
      <c r="H27" s="84">
        <f ca="1">IF(E27&gt;='Invoer gegevens'!$C$17+15,0,F27-G27)</f>
        <v>0</v>
      </c>
      <c r="I27" s="85">
        <f ca="1">IF('Invoer gegevens'!$C$17=E27,'Invoer gegevens'!$C$11,IF(C27=1,L26,0))</f>
        <v>0</v>
      </c>
      <c r="J27" s="86">
        <f ca="1">IF(E27='Invoer gegevens'!$C$17+15,L26,IF(C27&lt;1,0,IF(Reeksen!AK27&lt;=Reeksen!AE27,I27*Reeksen!C27,0)))</f>
        <v>0</v>
      </c>
      <c r="K27" s="86">
        <f ca="1">IF(E27='Invoer gegevens'!$C$17+15,L26,IF(C27&lt;1,0,IF(Reeksen!AK27&gt;Reeksen!AE27,I27*Reeksen!C27,0)))</f>
        <v>0</v>
      </c>
      <c r="L27" s="86">
        <f ca="1">IF(E27&gt;='Invoer gegevens'!$C$17+15,0,I27-J27-K27)</f>
        <v>0</v>
      </c>
      <c r="M27" s="85">
        <f ca="1">IF('Invoer gegevens'!$C$17=E27,'Invoer gegevens'!$C$10-'Invoer gegevens'!$C$11,IF(C27=1,P26,0))</f>
        <v>0</v>
      </c>
      <c r="N27" s="86">
        <f ca="1">IF(E27='Invoer gegevens'!$C$17+15,P26,IF(C27&lt;1,0,IF(Reeksen!AK27&lt;=Reeksen!AE27,M27*Reeksen!C27,0)))</f>
        <v>0</v>
      </c>
      <c r="O27" s="86">
        <f ca="1">IF(E27='Invoer gegevens'!$C$17+15,P26,IF(C27&lt;1,0,IF(Reeksen!AK27&gt;Reeksen!AE27,M27*Reeksen!C27,0)))</f>
        <v>0</v>
      </c>
      <c r="P27" s="86">
        <f ca="1">IF(E27&gt;='Invoer gegevens'!$C$17+15,0,M27-N27-O27)</f>
        <v>0</v>
      </c>
      <c r="Q27" s="82">
        <f ca="1">IF('Invoer gegevens'!$C$17=E27,I27,IF(C27=0,0,R26))</f>
        <v>0</v>
      </c>
      <c r="R27" s="84">
        <f t="shared" ca="1" si="0"/>
        <v>0</v>
      </c>
      <c r="S27" s="84">
        <f ca="1">IF('Invoer gegevens'!$C$17=E27,M27,IF(C27=0,0,T26))</f>
        <v>0</v>
      </c>
      <c r="T27" s="84">
        <f t="shared" ca="1" si="1"/>
        <v>0</v>
      </c>
      <c r="AH27" s="68"/>
      <c r="AI27" s="71">
        <f ca="1">IF(C27=1,((F27+H27)/2*Reeksen!AJ27*12)+(('Invoer gegevens'!$C$10-(F27+H27)/2)*Reeksen!AK27*12),0)</f>
        <v>0</v>
      </c>
      <c r="AJ27" s="71">
        <f ca="1">-AI27*'Invoer gegevens'!$F$28</f>
        <v>0</v>
      </c>
      <c r="AK27" s="71">
        <f t="shared" ca="1" si="2"/>
        <v>0</v>
      </c>
      <c r="AL27" s="71">
        <f ca="1">IF(C27=1,(12*((F27+H27)/2)*Reeksen!AL27)+(12*('Invoer gegevens'!$C$10-(F27+H27)/2)*Reeksen!AM27),0)</f>
        <v>0</v>
      </c>
      <c r="AM27" s="71">
        <f ca="1">-AL27*'Invoer gegevens'!$F$31</f>
        <v>0</v>
      </c>
      <c r="AN27" s="71">
        <f t="shared" ca="1" si="3"/>
        <v>0</v>
      </c>
      <c r="AO27" s="71"/>
      <c r="AP27" s="71"/>
      <c r="AQ27" s="71">
        <f ca="1">-IF(C27=1,('Invoer gegevens'!$C$10*'Invoer gegevens'!$I$33)*Reeksen!J27,0)</f>
        <v>0</v>
      </c>
      <c r="AR27" s="71">
        <f ca="1">-IF(C27=1,(G27*'Invoer gegevens'!$I$34)*Reeksen!J27,0)</f>
        <v>0</v>
      </c>
      <c r="AS27" s="71">
        <f ca="1">-IF(C27=1,'Invoer gegevens'!$C$10*'Invoer gegevens'!$I$35*Reeksen!L27,0)</f>
        <v>0</v>
      </c>
      <c r="AT27" s="71">
        <f ca="1">-IF(C27=1,IF(E27='Invoer gegevens'!$C$17,'Invoer gegevens'!$C$11,Q27)*Reeksen!S27*'Invoer gegevens'!$C$18*Reeksen!P27,0)</f>
        <v>0</v>
      </c>
      <c r="AU27" s="71">
        <f ca="1">-IF(C27=1,'Invoer gegevens'!$C$10*'Invoer gegevens'!$I$36*Reeksen!H27,0)</f>
        <v>0</v>
      </c>
      <c r="AV27" s="71">
        <v>0</v>
      </c>
      <c r="AW27" s="71">
        <f t="shared" ca="1" si="4"/>
        <v>0</v>
      </c>
      <c r="AX27" s="72">
        <f ca="1">IF(E27='Invoer gegevens'!$C$17+14,'RW - BW - DE'!$AY$236,0)</f>
        <v>0</v>
      </c>
      <c r="AY27" s="72">
        <f ca="1">IFERROR(IF(E27='Invoer gegevens'!$C$17,-'Invoer gegevens'!$C$10*'Invoer gegevens'!$C$31*Reeksen!H27,0),0)</f>
        <v>0</v>
      </c>
      <c r="AZ27" s="73">
        <f ca="1">IF('Invoer gegevens'!$C$34=E27,'Invoer gegevens'!$C$27*'Invoer gegevens'!$C$10*'Invoer gegevens'!$C$36*(IF('Invoer gegevens'!$C$35="ja",1,Reeksen!J27)),IF('Invoer gegevens'!$C$34+1=E27,'Invoer gegevens'!$C$27*'Invoer gegevens'!$C$10*'Invoer gegevens'!$C$37*(IF('Invoer gegevens'!$C$35="ja",1,Reeksen!J27)),0))+IF(AND(E27='Invoer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7" s="73">
        <f ca="1">AW27/(1+'Invoer gegevens'!$F$13)^($D27-('Invoer gegevens'!$C$17-'Invoer gegevens'!$C$16))/(1+'Invoer gegevens'!$C$39)^('Invoer gegevens'!$C$17-'Invoer gegevens'!$C$16)</f>
        <v>0</v>
      </c>
      <c r="BB27" s="73">
        <f ca="1">AX27/(1+'Invoer gegevens'!$F$13)^(E27-('Invoer gegevens'!$C$17-1))/(1+'Invoer gegevens'!$C$39)^('Invoer gegevens'!$C$17-'Invoer gegevens'!$C$16)</f>
        <v>0</v>
      </c>
      <c r="BC27" s="73">
        <f ca="1">AY27/(1+'Invoer gegevens'!$C$39)^('Invoer gegevens'!$C$17-'Invoer gegevens'!$C$16)</f>
        <v>0</v>
      </c>
      <c r="BD27" s="72">
        <f t="shared" ca="1" si="5"/>
        <v>0</v>
      </c>
      <c r="BE27" s="72">
        <f ca="1">IF(AND(E27='Invoer gegevens'!$C$16,'Invoer gegevens'!$C$34&lt;'Invoer gegevens'!$C$16),AZ27,AZ27/(1+'Invoer gegevens'!$C$39)^D27)</f>
        <v>0</v>
      </c>
      <c r="BF27" s="72">
        <f ca="1">IF(E27='Invoer gegevens'!$C$34,-'Invoer gegevens'!$F$40,0)</f>
        <v>0</v>
      </c>
      <c r="BG27" s="72">
        <f ca="1">IF(E27='Invoer gegevens'!$C$17,-'Invoer gegevens'!$C$19*$BD$31,0)</f>
        <v>0</v>
      </c>
      <c r="BH27" s="72">
        <f ca="1">AW27/(1+$BH$4)^($D27-('Invoer gegevens'!$C$17-'Invoer gegevens'!$C$16))/(1+'Invoer gegevens'!$C$39)^('Invoer gegevens'!$C$17-'Invoer gegevens'!$C$16)+AX27/(1+$BH$4)^(E27-('Invoer gegevens'!$C$17-1))/(1+'Invoer gegevens'!$C$39)^('Invoer gegevens'!$C$17-'Invoer gegevens'!$C$16)+AY27/(1+'Invoer gegevens'!$C$39)^('Invoer gegevens'!$C$17-'Invoer gegevens'!$C$16)+(-AZ27/(1+'Invoer gegevens'!$C$39)^D27)+BF27+BG27</f>
        <v>0</v>
      </c>
      <c r="BI27" s="59"/>
    </row>
    <row r="28" spans="1:68" x14ac:dyDescent="0.25">
      <c r="A28" s="59"/>
      <c r="B28" s="70">
        <f t="shared" si="6"/>
        <v>24</v>
      </c>
      <c r="C28" s="67">
        <f ca="1">IF(AND(E28&gt;='Invoer gegevens'!$C$17,E28&lt;'Invoer gegevens'!$C$17+15),1,0)</f>
        <v>0</v>
      </c>
      <c r="D28" s="68">
        <f t="shared" si="7"/>
        <v>23.5</v>
      </c>
      <c r="E28" s="69">
        <f ca="1">IF('Invoer gegevens'!$C$16="","",E27+1)</f>
        <v>2042</v>
      </c>
      <c r="F28" s="82">
        <f ca="1">IF('Invoer gegevens'!$C$17=E28,'Invoer gegevens'!$C$10,IF(C28=1,H27,0))</f>
        <v>0</v>
      </c>
      <c r="G28" s="83">
        <f ca="1">IF(E28='Invoer gegevens'!$C$17+15,H27,IF(C28&gt;=1,F28*Reeksen!C28,0))</f>
        <v>0</v>
      </c>
      <c r="H28" s="84">
        <f ca="1">IF(E28&gt;='Invoer gegevens'!$C$17+15,0,F28-G28)</f>
        <v>0</v>
      </c>
      <c r="I28" s="85">
        <f ca="1">IF('Invoer gegevens'!$C$17=E28,'Invoer gegevens'!$C$11,IF(C28=1,L27,0))</f>
        <v>0</v>
      </c>
      <c r="J28" s="86">
        <f ca="1">IF(E28='Invoer gegevens'!$C$17+15,L27,IF(C28&lt;1,0,IF(Reeksen!AK28&lt;=Reeksen!AE28,I28*Reeksen!C28,0)))</f>
        <v>0</v>
      </c>
      <c r="K28" s="86">
        <f ca="1">IF(E28='Invoer gegevens'!$C$17+15,L27,IF(C28&lt;1,0,IF(Reeksen!AK28&gt;Reeksen!AE28,I28*Reeksen!C28,0)))</f>
        <v>0</v>
      </c>
      <c r="L28" s="86">
        <f ca="1">IF(E28&gt;='Invoer gegevens'!$C$17+15,0,I28-J28-K28)</f>
        <v>0</v>
      </c>
      <c r="M28" s="85">
        <f ca="1">IF('Invoer gegevens'!$C$17=E28,'Invoer gegevens'!$C$10-'Invoer gegevens'!$C$11,IF(C28=1,P27,0))</f>
        <v>0</v>
      </c>
      <c r="N28" s="86">
        <f ca="1">IF(E28='Invoer gegevens'!$C$17+15,P27,IF(C28&lt;1,0,IF(Reeksen!AK28&lt;=Reeksen!AE28,M28*Reeksen!C28,0)))</f>
        <v>0</v>
      </c>
      <c r="O28" s="86">
        <f ca="1">IF(E28='Invoer gegevens'!$C$17+15,P27,IF(C28&lt;1,0,IF(Reeksen!AK28&gt;Reeksen!AE28,M28*Reeksen!C28,0)))</f>
        <v>0</v>
      </c>
      <c r="P28" s="86">
        <f ca="1">IF(E28&gt;='Invoer gegevens'!$C$17+15,0,M28-N28-O28)</f>
        <v>0</v>
      </c>
      <c r="Q28" s="82">
        <f ca="1">IF('Invoer gegevens'!$C$17=E28,I28,IF(C28=0,0,R27))</f>
        <v>0</v>
      </c>
      <c r="R28" s="84">
        <f t="shared" ca="1" si="0"/>
        <v>0</v>
      </c>
      <c r="S28" s="84">
        <f ca="1">IF('Invoer gegevens'!$C$17=E28,M28,IF(C28=0,0,T27))</f>
        <v>0</v>
      </c>
      <c r="T28" s="84">
        <f t="shared" ca="1" si="1"/>
        <v>0</v>
      </c>
      <c r="AH28" s="68"/>
      <c r="AI28" s="71">
        <f ca="1">IF(C28=1,((F28+H28)/2*Reeksen!AJ28*12)+(('Invoer gegevens'!$C$10-(F28+H28)/2)*Reeksen!AK28*12),0)</f>
        <v>0</v>
      </c>
      <c r="AJ28" s="71">
        <f ca="1">-AI28*'Invoer gegevens'!$F$28</f>
        <v>0</v>
      </c>
      <c r="AK28" s="71">
        <f t="shared" ca="1" si="2"/>
        <v>0</v>
      </c>
      <c r="AL28" s="71">
        <f ca="1">IF(C28=1,(12*((F28+H28)/2)*Reeksen!AL28)+(12*('Invoer gegevens'!$C$10-(F28+H28)/2)*Reeksen!AM28),0)</f>
        <v>0</v>
      </c>
      <c r="AM28" s="71">
        <f ca="1">-AL28*'Invoer gegevens'!$F$31</f>
        <v>0</v>
      </c>
      <c r="AN28" s="71">
        <f t="shared" ca="1" si="3"/>
        <v>0</v>
      </c>
      <c r="AO28" s="71"/>
      <c r="AP28" s="71"/>
      <c r="AQ28" s="71">
        <f ca="1">-IF(C28=1,('Invoer gegevens'!$C$10*'Invoer gegevens'!$I$33)*Reeksen!J28,0)</f>
        <v>0</v>
      </c>
      <c r="AR28" s="71">
        <f ca="1">-IF(C28=1,(G28*'Invoer gegevens'!$I$34)*Reeksen!J28,0)</f>
        <v>0</v>
      </c>
      <c r="AS28" s="71">
        <f ca="1">-IF(C28=1,'Invoer gegevens'!$C$10*'Invoer gegevens'!$I$35*Reeksen!L28,0)</f>
        <v>0</v>
      </c>
      <c r="AT28" s="71">
        <f ca="1">-IF(C28=1,IF(E28='Invoer gegevens'!$C$17,'Invoer gegevens'!$C$11,Q28)*Reeksen!S28*'Invoer gegevens'!$C$18*Reeksen!P28,0)</f>
        <v>0</v>
      </c>
      <c r="AU28" s="71">
        <f ca="1">-IF(C28=1,'Invoer gegevens'!$C$10*'Invoer gegevens'!$I$36*Reeksen!H28,0)</f>
        <v>0</v>
      </c>
      <c r="AV28" s="71">
        <v>0</v>
      </c>
      <c r="AW28" s="71">
        <f t="shared" ca="1" si="4"/>
        <v>0</v>
      </c>
      <c r="AX28" s="72">
        <f ca="1">IF(E28='Invoer gegevens'!$C$17+14,'RW - BW - DE'!$AY$236,0)</f>
        <v>0</v>
      </c>
      <c r="AY28" s="72">
        <f ca="1">IFERROR(IF(E28='Invoer gegevens'!$C$17,-'Invoer gegevens'!$C$10*'Invoer gegevens'!$C$31*Reeksen!H28,0),0)</f>
        <v>0</v>
      </c>
      <c r="AZ28" s="73">
        <f ca="1">IF('Invoer gegevens'!$C$34=E28,'Invoer gegevens'!$C$27*'Invoer gegevens'!$C$10*'Invoer gegevens'!$C$36*(IF('Invoer gegevens'!$C$35="ja",1,Reeksen!J28)),IF('Invoer gegevens'!$C$34+1=E28,'Invoer gegevens'!$C$27*'Invoer gegevens'!$C$10*'Invoer gegevens'!$C$37*(IF('Invoer gegevens'!$C$35="ja",1,Reeksen!J28)),0))+IF(AND(E28='Invoer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8" s="73">
        <f ca="1">AW28/(1+'Invoer gegevens'!$F$13)^($D28-('Invoer gegevens'!$C$17-'Invoer gegevens'!$C$16))/(1+'Invoer gegevens'!$C$39)^('Invoer gegevens'!$C$17-'Invoer gegevens'!$C$16)</f>
        <v>0</v>
      </c>
      <c r="BB28" s="73">
        <f ca="1">AX28/(1+'Invoer gegevens'!$F$13)^(E28-('Invoer gegevens'!$C$17-1))/(1+'Invoer gegevens'!$C$39)^('Invoer gegevens'!$C$17-'Invoer gegevens'!$C$16)</f>
        <v>0</v>
      </c>
      <c r="BC28" s="73">
        <f ca="1">AY28/(1+'Invoer gegevens'!$C$39)^('Invoer gegevens'!$C$17-'Invoer gegevens'!$C$16)</f>
        <v>0</v>
      </c>
      <c r="BD28" s="72">
        <f t="shared" ca="1" si="5"/>
        <v>0</v>
      </c>
      <c r="BE28" s="72">
        <f ca="1">IF(AND(E28='Invoer gegevens'!$C$16,'Invoer gegevens'!$C$34&lt;'Invoer gegevens'!$C$16),AZ28,AZ28/(1+'Invoer gegevens'!$C$39)^D28)</f>
        <v>0</v>
      </c>
      <c r="BF28" s="72">
        <f ca="1">IF(E28='Invoer gegevens'!$C$34,-'Invoer gegevens'!$F$40,0)</f>
        <v>0</v>
      </c>
      <c r="BG28" s="72">
        <f ca="1">IF(E28='Invoer gegevens'!$C$17,-'Invoer gegevens'!$C$19*$BD$31,0)</f>
        <v>0</v>
      </c>
      <c r="BH28" s="72">
        <f ca="1">AW28/(1+$BH$4)^($D28-('Invoer gegevens'!$C$17-'Invoer gegevens'!$C$16))/(1+'Invoer gegevens'!$C$39)^('Invoer gegevens'!$C$17-'Invoer gegevens'!$C$16)+AX28/(1+$BH$4)^(E28-('Invoer gegevens'!$C$17-1))/(1+'Invoer gegevens'!$C$39)^('Invoer gegevens'!$C$17-'Invoer gegevens'!$C$16)+AY28/(1+'Invoer gegevens'!$C$39)^('Invoer gegevens'!$C$17-'Invoer gegevens'!$C$16)+(-AZ28/(1+'Invoer gegevens'!$C$39)^D28)+BF28+BG28</f>
        <v>0</v>
      </c>
      <c r="BI28" s="59"/>
    </row>
    <row r="29" spans="1:68" x14ac:dyDescent="0.25">
      <c r="A29" s="59"/>
      <c r="B29" s="70">
        <f t="shared" si="6"/>
        <v>25</v>
      </c>
      <c r="C29" s="67">
        <f ca="1">IF(AND(E29&gt;='Invoer gegevens'!$C$17,E29&lt;'Invoer gegevens'!$C$17+15),1,0)</f>
        <v>0</v>
      </c>
      <c r="D29" s="68">
        <f t="shared" si="7"/>
        <v>24.5</v>
      </c>
      <c r="E29" s="69">
        <f ca="1">IF('Invoer gegevens'!$C$16="","",E28+1)</f>
        <v>2043</v>
      </c>
      <c r="F29" s="82">
        <f ca="1">IF('Invoer gegevens'!$C$17=E29,'Invoer gegevens'!$C$10,IF(C29=1,H28,0))</f>
        <v>0</v>
      </c>
      <c r="G29" s="83">
        <f ca="1">IF(E29='Invoer gegevens'!$C$17+15,H28,IF(C29&gt;=1,F29*Reeksen!C29,0))</f>
        <v>0</v>
      </c>
      <c r="H29" s="84">
        <f ca="1">IF(E29&gt;='Invoer gegevens'!$C$17+15,0,F29-G29)</f>
        <v>0</v>
      </c>
      <c r="I29" s="85">
        <f ca="1">IF('Invoer gegevens'!$C$17=E29,'Invoer gegevens'!$C$11,IF(C29=1,L28,0))</f>
        <v>0</v>
      </c>
      <c r="J29" s="86">
        <f ca="1">IF(E29='Invoer gegevens'!$C$17+15,L28,IF(C29&lt;1,0,IF(Reeksen!AK29&lt;=Reeksen!AE29,I29*Reeksen!C29,0)))</f>
        <v>0</v>
      </c>
      <c r="K29" s="86">
        <f ca="1">IF(E29='Invoer gegevens'!$C$17+15,L28,IF(C29&lt;1,0,IF(Reeksen!AK29&gt;Reeksen!AE29,I29*Reeksen!C29,0)))</f>
        <v>0</v>
      </c>
      <c r="L29" s="86">
        <f ca="1">IF(E29&gt;='Invoer gegevens'!$C$17+15,0,I29-J29-K29)</f>
        <v>0</v>
      </c>
      <c r="M29" s="85">
        <f ca="1">IF('Invoer gegevens'!$C$17=E29,'Invoer gegevens'!$C$10-'Invoer gegevens'!$C$11,IF(C29=1,P28,0))</f>
        <v>0</v>
      </c>
      <c r="N29" s="86">
        <f ca="1">IF(E29='Invoer gegevens'!$C$17+15,P28,IF(C29&lt;1,0,IF(Reeksen!AK29&lt;=Reeksen!AE29,M29*Reeksen!C29,0)))</f>
        <v>0</v>
      </c>
      <c r="O29" s="86">
        <f ca="1">IF(E29='Invoer gegevens'!$C$17+15,P28,IF(C29&lt;1,0,IF(Reeksen!AK29&gt;Reeksen!AE29,M29*Reeksen!C29,0)))</f>
        <v>0</v>
      </c>
      <c r="P29" s="86">
        <f ca="1">IF(E29&gt;='Invoer gegevens'!$C$17+15,0,M29-N29-O29)</f>
        <v>0</v>
      </c>
      <c r="Q29" s="82">
        <f ca="1">IF('Invoer gegevens'!$C$17=E29,I29,IF(C29=0,0,R28))</f>
        <v>0</v>
      </c>
      <c r="R29" s="84">
        <f t="shared" ca="1" si="0"/>
        <v>0</v>
      </c>
      <c r="S29" s="84">
        <f ca="1">IF('Invoer gegevens'!$C$17=E29,M29,IF(C29=0,0,T28))</f>
        <v>0</v>
      </c>
      <c r="T29" s="84">
        <f t="shared" ca="1" si="1"/>
        <v>0</v>
      </c>
      <c r="AH29" s="68"/>
      <c r="AI29" s="71">
        <f ca="1">IF(C29=1,((F29+H29)/2*Reeksen!AJ29*12)+(('Invoer gegevens'!$C$10-(F29+H29)/2)*Reeksen!AK29*12),0)</f>
        <v>0</v>
      </c>
      <c r="AJ29" s="71">
        <f ca="1">-AI29*'Invoer gegevens'!$F$28</f>
        <v>0</v>
      </c>
      <c r="AK29" s="71">
        <f t="shared" ca="1" si="2"/>
        <v>0</v>
      </c>
      <c r="AL29" s="71">
        <f ca="1">IF(C29=1,(12*((F29+H29)/2)*Reeksen!AL29)+(12*('Invoer gegevens'!$C$10-(F29+H29)/2)*Reeksen!AM29),0)</f>
        <v>0</v>
      </c>
      <c r="AM29" s="71">
        <f ca="1">-AL29*'Invoer gegevens'!$F$31</f>
        <v>0</v>
      </c>
      <c r="AN29" s="71">
        <f t="shared" ca="1" si="3"/>
        <v>0</v>
      </c>
      <c r="AO29" s="71"/>
      <c r="AP29" s="71"/>
      <c r="AQ29" s="71">
        <f ca="1">-IF(C29=1,('Invoer gegevens'!$C$10*'Invoer gegevens'!$I$33)*Reeksen!J29,0)</f>
        <v>0</v>
      </c>
      <c r="AR29" s="71">
        <f ca="1">-IF(C29=1,(G29*'Invoer gegevens'!$I$34)*Reeksen!J29,0)</f>
        <v>0</v>
      </c>
      <c r="AS29" s="71">
        <f ca="1">-IF(C29=1,'Invoer gegevens'!$C$10*'Invoer gegevens'!$I$35*Reeksen!L29,0)</f>
        <v>0</v>
      </c>
      <c r="AT29" s="71">
        <f ca="1">-IF(C29=1,IF(E29='Invoer gegevens'!$C$17,'Invoer gegevens'!$C$11,Q29)*Reeksen!S29*'Invoer gegevens'!$C$18*Reeksen!P29,0)</f>
        <v>0</v>
      </c>
      <c r="AU29" s="71">
        <f ca="1">-IF(C29=1,'Invoer gegevens'!$C$10*'Invoer gegevens'!$I$36*Reeksen!H29,0)</f>
        <v>0</v>
      </c>
      <c r="AV29" s="71">
        <v>0</v>
      </c>
      <c r="AW29" s="71">
        <f t="shared" ca="1" si="4"/>
        <v>0</v>
      </c>
      <c r="AX29" s="72">
        <f ca="1">IF(E29='Invoer gegevens'!$C$17+14,'RW - BW - DE'!$AY$236,0)</f>
        <v>0</v>
      </c>
      <c r="AY29" s="72">
        <f ca="1">IFERROR(IF(E29='Invoer gegevens'!$C$17,-'Invoer gegevens'!$C$10*'Invoer gegevens'!$C$31*Reeksen!H29,0),0)</f>
        <v>0</v>
      </c>
      <c r="AZ29" s="73">
        <f ca="1">IF('Invoer gegevens'!$C$34=E29,'Invoer gegevens'!$C$27*'Invoer gegevens'!$C$10*'Invoer gegevens'!$C$36*(IF('Invoer gegevens'!$C$35="ja",1,Reeksen!J29)),IF('Invoer gegevens'!$C$34+1=E29,'Invoer gegevens'!$C$27*'Invoer gegevens'!$C$10*'Invoer gegevens'!$C$37*(IF('Invoer gegevens'!$C$35="ja",1,Reeksen!J29)),0))+IF(AND(E29='Invoer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29" s="73">
        <f ca="1">AW29/(1+'Invoer gegevens'!$F$13)^($D29-('Invoer gegevens'!$C$17-'Invoer gegevens'!$C$16))/(1+'Invoer gegevens'!$C$39)^('Invoer gegevens'!$C$17-'Invoer gegevens'!$C$16)</f>
        <v>0</v>
      </c>
      <c r="BB29" s="73">
        <f ca="1">AX29/(1+'Invoer gegevens'!$F$13)^(E29-('Invoer gegevens'!$C$17-1))/(1+'Invoer gegevens'!$C$39)^('Invoer gegevens'!$C$17-'Invoer gegevens'!$C$16)</f>
        <v>0</v>
      </c>
      <c r="BC29" s="73">
        <f ca="1">AY29/(1+'Invoer gegevens'!$C$39)^('Invoer gegevens'!$C$17-'Invoer gegevens'!$C$16)</f>
        <v>0</v>
      </c>
      <c r="BD29" s="72">
        <f t="shared" ca="1" si="5"/>
        <v>0</v>
      </c>
      <c r="BE29" s="72">
        <f ca="1">IF(AND(E29='Invoer gegevens'!$C$16,'Invoer gegevens'!$C$34&lt;'Invoer gegevens'!$C$16),AZ29,AZ29/(1+'Invoer gegevens'!$C$39)^D29)</f>
        <v>0</v>
      </c>
      <c r="BF29" s="72">
        <f ca="1">IF(E29='Invoer gegevens'!$C$34,-'Invoer gegevens'!$F$40,0)</f>
        <v>0</v>
      </c>
      <c r="BG29" s="72">
        <f ca="1">IF(E29='Invoer gegevens'!$C$17,-'Invoer gegevens'!$C$19*$BD$31,0)</f>
        <v>0</v>
      </c>
      <c r="BH29" s="72">
        <f ca="1">AW29/(1+$BH$4)^($D29-('Invoer gegevens'!$C$17-'Invoer gegevens'!$C$16))/(1+'Invoer gegevens'!$C$39)^('Invoer gegevens'!$C$17-'Invoer gegevens'!$C$16)+AX29/(1+$BH$4)^(E29-('Invoer gegevens'!$C$17-1))/(1+'Invoer gegevens'!$C$39)^('Invoer gegevens'!$C$17-'Invoer gegevens'!$C$16)+AY29/(1+'Invoer gegevens'!$C$39)^('Invoer gegevens'!$C$17-'Invoer gegevens'!$C$16)+(-AZ29/(1+'Invoer gegevens'!$C$39)^D29)+BF29+BG29</f>
        <v>0</v>
      </c>
      <c r="BI29" s="59"/>
    </row>
    <row r="30" spans="1:68" x14ac:dyDescent="0.25">
      <c r="A30" s="59"/>
      <c r="AC30" s="68"/>
      <c r="AD30" s="68"/>
      <c r="AE30" s="68"/>
      <c r="AF30" s="68"/>
      <c r="AG30" s="68"/>
      <c r="AV30" s="71"/>
      <c r="BJ30" s="59"/>
      <c r="BK30" s="59"/>
      <c r="BL30" s="59"/>
      <c r="BM30" s="59"/>
      <c r="BN30" s="59"/>
      <c r="BO30" s="59"/>
      <c r="BP30" s="59"/>
    </row>
    <row r="31" spans="1:68" x14ac:dyDescent="0.25">
      <c r="A31" s="59"/>
      <c r="B31" s="70"/>
      <c r="C31" s="70"/>
      <c r="D31" s="70"/>
      <c r="E31" s="70"/>
      <c r="F31" s="70"/>
      <c r="G31" s="68"/>
      <c r="H31" s="75"/>
      <c r="I31" s="75"/>
      <c r="J31" s="75"/>
      <c r="K31" s="75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8">
        <f t="shared" ref="AI31:BH31" ca="1" si="8">SUM(AI5:AI29)</f>
        <v>0</v>
      </c>
      <c r="AJ31" s="78">
        <f t="shared" ca="1" si="8"/>
        <v>0</v>
      </c>
      <c r="AK31" s="78">
        <f t="shared" ca="1" si="8"/>
        <v>0</v>
      </c>
      <c r="AL31" s="78">
        <f t="shared" ca="1" si="8"/>
        <v>0</v>
      </c>
      <c r="AM31" s="78">
        <f t="shared" ca="1" si="8"/>
        <v>0</v>
      </c>
      <c r="AN31" s="78">
        <f t="shared" ca="1" si="8"/>
        <v>0</v>
      </c>
      <c r="AO31" s="78">
        <f t="shared" si="8"/>
        <v>0</v>
      </c>
      <c r="AP31" s="78">
        <f t="shared" si="8"/>
        <v>0</v>
      </c>
      <c r="AQ31" s="78">
        <f t="shared" ca="1" si="8"/>
        <v>0</v>
      </c>
      <c r="AR31" s="78">
        <f t="shared" ca="1" si="8"/>
        <v>0</v>
      </c>
      <c r="AS31" s="78">
        <f t="shared" ca="1" si="8"/>
        <v>0</v>
      </c>
      <c r="AT31" s="78">
        <f t="shared" ca="1" si="8"/>
        <v>0</v>
      </c>
      <c r="AU31" s="78">
        <f t="shared" ca="1" si="8"/>
        <v>0</v>
      </c>
      <c r="AV31" s="78">
        <f t="shared" si="8"/>
        <v>0</v>
      </c>
      <c r="AW31" s="78">
        <f t="shared" ca="1" si="8"/>
        <v>0</v>
      </c>
      <c r="AX31" s="78">
        <f t="shared" ca="1" si="8"/>
        <v>0</v>
      </c>
      <c r="AY31" s="78">
        <f t="shared" ca="1" si="8"/>
        <v>0</v>
      </c>
      <c r="AZ31" s="78">
        <f t="shared" ca="1" si="8"/>
        <v>0</v>
      </c>
      <c r="BA31" s="78">
        <f t="shared" ca="1" si="8"/>
        <v>0</v>
      </c>
      <c r="BB31" s="78">
        <f t="shared" ca="1" si="8"/>
        <v>0</v>
      </c>
      <c r="BC31" s="78">
        <f t="shared" ca="1" si="8"/>
        <v>0</v>
      </c>
      <c r="BD31" s="78">
        <f t="shared" ca="1" si="8"/>
        <v>0</v>
      </c>
      <c r="BE31" s="78">
        <f t="shared" ca="1" si="8"/>
        <v>0</v>
      </c>
      <c r="BF31" s="78">
        <f t="shared" ca="1" si="8"/>
        <v>0</v>
      </c>
      <c r="BG31" s="78">
        <f t="shared" ca="1" si="8"/>
        <v>0</v>
      </c>
      <c r="BH31" s="78">
        <f t="shared" ca="1" si="8"/>
        <v>0</v>
      </c>
      <c r="BI31" s="59"/>
    </row>
    <row r="32" spans="1:68" x14ac:dyDescent="0.25">
      <c r="A32" s="59"/>
      <c r="B32" s="66"/>
      <c r="C32" s="66"/>
      <c r="D32" s="66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59"/>
    </row>
    <row r="33" spans="1:61" ht="15.75" x14ac:dyDescent="0.25">
      <c r="A33" s="89" t="s">
        <v>720</v>
      </c>
      <c r="B33" s="8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59"/>
    </row>
    <row r="34" spans="1:61" x14ac:dyDescent="0.25">
      <c r="A34" s="59"/>
      <c r="B34" s="70"/>
      <c r="C34" s="70"/>
      <c r="D34" s="70"/>
      <c r="E34" s="70"/>
      <c r="F34" s="397" t="s">
        <v>721</v>
      </c>
      <c r="G34" s="398"/>
      <c r="H34" s="398"/>
      <c r="I34" s="398"/>
      <c r="J34" s="398"/>
      <c r="K34" s="399"/>
      <c r="L34" s="400" t="s">
        <v>814</v>
      </c>
      <c r="M34" s="401"/>
      <c r="N34" s="401"/>
      <c r="O34" s="401"/>
      <c r="P34" s="401"/>
      <c r="Q34" s="402"/>
      <c r="R34" s="397" t="s">
        <v>666</v>
      </c>
      <c r="S34" s="398"/>
      <c r="T34" s="398"/>
      <c r="U34" s="398"/>
      <c r="V34" s="398"/>
      <c r="W34" s="399"/>
      <c r="X34" s="397" t="s">
        <v>667</v>
      </c>
      <c r="Y34" s="398"/>
      <c r="Z34" s="398"/>
      <c r="AA34" s="398"/>
      <c r="AB34" s="398"/>
      <c r="AC34" s="399"/>
      <c r="AD34" s="397" t="s">
        <v>700</v>
      </c>
      <c r="AE34" s="398"/>
      <c r="AF34" s="398"/>
      <c r="AG34" s="398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</row>
    <row r="35" spans="1:61" ht="15" customHeight="1" x14ac:dyDescent="0.25">
      <c r="A35" s="59"/>
      <c r="B35" s="91" t="s">
        <v>668</v>
      </c>
      <c r="C35" s="91" t="s">
        <v>669</v>
      </c>
      <c r="D35" s="91" t="s">
        <v>669</v>
      </c>
      <c r="E35" s="91" t="s">
        <v>670</v>
      </c>
      <c r="F35" s="404" t="s">
        <v>723</v>
      </c>
      <c r="G35" s="403" t="s">
        <v>724</v>
      </c>
      <c r="H35" s="403" t="s">
        <v>725</v>
      </c>
      <c r="I35" s="403" t="s">
        <v>726</v>
      </c>
      <c r="J35" s="403" t="s">
        <v>727</v>
      </c>
      <c r="K35" s="93" t="s">
        <v>671</v>
      </c>
      <c r="L35" s="405" t="s">
        <v>723</v>
      </c>
      <c r="M35" s="406" t="s">
        <v>724</v>
      </c>
      <c r="N35" s="406" t="s">
        <v>725</v>
      </c>
      <c r="O35" s="406" t="s">
        <v>726</v>
      </c>
      <c r="P35" s="406" t="s">
        <v>728</v>
      </c>
      <c r="Q35" s="407" t="s">
        <v>729</v>
      </c>
      <c r="R35" s="405" t="s">
        <v>730</v>
      </c>
      <c r="S35" s="403" t="s">
        <v>724</v>
      </c>
      <c r="T35" s="403" t="s">
        <v>731</v>
      </c>
      <c r="U35" s="403" t="s">
        <v>732</v>
      </c>
      <c r="V35" s="403" t="s">
        <v>733</v>
      </c>
      <c r="W35" s="407" t="s">
        <v>730</v>
      </c>
      <c r="X35" s="406" t="s">
        <v>734</v>
      </c>
      <c r="Y35" s="406" t="s">
        <v>724</v>
      </c>
      <c r="Z35" s="406" t="s">
        <v>731</v>
      </c>
      <c r="AA35" s="406" t="s">
        <v>732</v>
      </c>
      <c r="AB35" s="406" t="s">
        <v>733</v>
      </c>
      <c r="AC35" s="407" t="s">
        <v>734</v>
      </c>
      <c r="AD35" s="408" t="s">
        <v>703</v>
      </c>
      <c r="AE35" s="403" t="s">
        <v>735</v>
      </c>
      <c r="AF35" s="403" t="s">
        <v>736</v>
      </c>
      <c r="AG35" s="81" t="s">
        <v>667</v>
      </c>
      <c r="AH35" s="95"/>
      <c r="AI35" s="91" t="s">
        <v>16</v>
      </c>
      <c r="AJ35" s="91" t="s">
        <v>16</v>
      </c>
      <c r="AK35" s="91" t="s">
        <v>672</v>
      </c>
      <c r="AL35" s="27" t="s">
        <v>704</v>
      </c>
      <c r="AM35" s="27" t="s">
        <v>704</v>
      </c>
      <c r="AN35" s="27" t="s">
        <v>672</v>
      </c>
      <c r="AO35" s="91" t="s">
        <v>673</v>
      </c>
      <c r="AP35" s="91" t="s">
        <v>705</v>
      </c>
      <c r="AQ35" s="91" t="s">
        <v>674</v>
      </c>
      <c r="AR35" s="91" t="s">
        <v>706</v>
      </c>
      <c r="AS35" s="91" t="s">
        <v>675</v>
      </c>
      <c r="AT35" s="91" t="s">
        <v>676</v>
      </c>
      <c r="AU35" s="62" t="s">
        <v>588</v>
      </c>
      <c r="AV35" s="62" t="s">
        <v>707</v>
      </c>
      <c r="AW35" s="91" t="s">
        <v>677</v>
      </c>
      <c r="AX35" s="91" t="s">
        <v>673</v>
      </c>
      <c r="AY35" s="62" t="s">
        <v>708</v>
      </c>
      <c r="AZ35" s="91" t="s">
        <v>828</v>
      </c>
      <c r="BA35" s="91" t="s">
        <v>679</v>
      </c>
      <c r="BB35" s="91" t="s">
        <v>679</v>
      </c>
      <c r="BC35" s="91" t="s">
        <v>679</v>
      </c>
      <c r="BD35" s="91" t="s">
        <v>679</v>
      </c>
      <c r="BE35" s="91" t="s">
        <v>679</v>
      </c>
      <c r="BF35" s="91" t="s">
        <v>680</v>
      </c>
      <c r="BG35" s="91" t="s">
        <v>680</v>
      </c>
      <c r="BH35" s="91" t="s">
        <v>681</v>
      </c>
      <c r="BI35" s="59"/>
    </row>
    <row r="36" spans="1:61" x14ac:dyDescent="0.25">
      <c r="A36" s="59"/>
      <c r="B36" s="91"/>
      <c r="C36" s="91" t="s">
        <v>682</v>
      </c>
      <c r="D36" s="91" t="s">
        <v>682</v>
      </c>
      <c r="E36" s="91"/>
      <c r="F36" s="404"/>
      <c r="G36" s="403"/>
      <c r="H36" s="403"/>
      <c r="I36" s="403"/>
      <c r="J36" s="403"/>
      <c r="K36" s="93" t="s">
        <v>737</v>
      </c>
      <c r="L36" s="405"/>
      <c r="M36" s="406"/>
      <c r="N36" s="406"/>
      <c r="O36" s="406"/>
      <c r="P36" s="406"/>
      <c r="Q36" s="407"/>
      <c r="R36" s="405"/>
      <c r="S36" s="403"/>
      <c r="T36" s="403"/>
      <c r="U36" s="403"/>
      <c r="V36" s="403"/>
      <c r="W36" s="407"/>
      <c r="X36" s="406"/>
      <c r="Y36" s="406"/>
      <c r="Z36" s="406"/>
      <c r="AA36" s="406"/>
      <c r="AB36" s="406"/>
      <c r="AC36" s="407"/>
      <c r="AD36" s="408"/>
      <c r="AE36" s="403"/>
      <c r="AF36" s="403"/>
      <c r="AG36" s="81" t="s">
        <v>711</v>
      </c>
      <c r="AH36" s="95"/>
      <c r="AI36" s="91" t="s">
        <v>712</v>
      </c>
      <c r="AJ36" s="91" t="s">
        <v>683</v>
      </c>
      <c r="AK36" s="91" t="s">
        <v>684</v>
      </c>
      <c r="AL36" s="27" t="s">
        <v>713</v>
      </c>
      <c r="AM36" s="27" t="s">
        <v>683</v>
      </c>
      <c r="AN36" s="27" t="s">
        <v>714</v>
      </c>
      <c r="AO36" s="91" t="s">
        <v>715</v>
      </c>
      <c r="AP36" s="91" t="s">
        <v>685</v>
      </c>
      <c r="AQ36" s="91" t="s">
        <v>685</v>
      </c>
      <c r="AR36" s="91" t="s">
        <v>716</v>
      </c>
      <c r="AS36" s="91" t="s">
        <v>685</v>
      </c>
      <c r="AT36" s="91" t="s">
        <v>686</v>
      </c>
      <c r="AU36" s="62" t="s">
        <v>687</v>
      </c>
      <c r="AV36" s="62" t="s">
        <v>717</v>
      </c>
      <c r="AW36" s="91"/>
      <c r="AX36" s="91" t="s">
        <v>689</v>
      </c>
      <c r="AY36" s="62" t="s">
        <v>685</v>
      </c>
      <c r="AZ36" s="91"/>
      <c r="BA36" s="91" t="s">
        <v>691</v>
      </c>
      <c r="BB36" s="91" t="s">
        <v>689</v>
      </c>
      <c r="BC36" s="91" t="s">
        <v>718</v>
      </c>
      <c r="BD36" s="91" t="s">
        <v>692</v>
      </c>
      <c r="BE36" s="91" t="s">
        <v>719</v>
      </c>
      <c r="BF36" s="91" t="s">
        <v>693</v>
      </c>
      <c r="BG36" s="91" t="s">
        <v>694</v>
      </c>
      <c r="BH36" s="65">
        <v>4.332698656706447E-2</v>
      </c>
      <c r="BI36" s="59"/>
    </row>
    <row r="37" spans="1:61" x14ac:dyDescent="0.25">
      <c r="A37" s="59"/>
      <c r="B37" s="66">
        <v>1</v>
      </c>
      <c r="C37" s="67">
        <f ca="1">IF(AND(E37&gt;='Invoer gegevens'!$C$17,E37&lt;'Invoer gegevens'!$C$17+15),1,0)</f>
        <v>1</v>
      </c>
      <c r="D37" s="68">
        <v>0.5</v>
      </c>
      <c r="E37" s="69">
        <f ca="1">IF('Invoer gegevens'!$C$16="","",'Invoer gegevens'!$C$16)</f>
        <v>2019</v>
      </c>
      <c r="F37" s="84">
        <f ca="1">IF('Invoer gegevens'!$C$17=E37,'Invoer gegevens'!$C$10,IF(C37=1,K36,0))</f>
        <v>0</v>
      </c>
      <c r="G37" s="96">
        <f ca="1">IF(E37='Invoer gegevens'!$C$17+15,K36,IF(C37&gt;=1,F37*VLOOKUP(E37,Reeksen!$A$5:$B$76,2),0))</f>
        <v>0</v>
      </c>
      <c r="H37" s="84">
        <f ca="1">IF(E37='Invoer gegevens'!$C$17+15,K36,(1-('Invoer gegevens'!$F$20/12))*F37*MIN(Reeksen!B5,Reeksen!D5))</f>
        <v>0</v>
      </c>
      <c r="I37" s="84">
        <f>IF(Reeksen!D5&lt;Reeksen!B5,(Reeksen!B5-Reeksen!D5)*F37,0)</f>
        <v>0</v>
      </c>
      <c r="J37" s="84">
        <f ca="1">IF(E37='Invoer gegevens'!$C$17+16,0,('Invoer gegevens'!$F$20/12)*F36*MIN(Reeksen!B4,Reeksen!D4))</f>
        <v>0</v>
      </c>
      <c r="K37" s="97">
        <f ca="1">IF(E37&gt;='Invoer gegevens'!$C$17+15,0,F37-G37)</f>
        <v>0</v>
      </c>
      <c r="L37" s="84">
        <f ca="1">IF('Invoer gegevens'!$C$17=E37,0,IF(C37=1,Q36,0))</f>
        <v>0</v>
      </c>
      <c r="M37" s="96">
        <f ca="1">IF(E37='Invoer gegevens'!$C$17+15,Q36,IF(C37&gt;=1,L37*VLOOKUP(E37,Reeksen!$A$5:$B$76,2),0))</f>
        <v>0</v>
      </c>
      <c r="N37" s="84">
        <f ca="1">IF(C37='Invoer gegevens'!$C$17+15,Q36,(1-('Invoer gegevens'!$F$20/12))*L37*MIN(Reeksen!B5,Reeksen!D5))</f>
        <v>0</v>
      </c>
      <c r="O37" s="84">
        <f>IF(Reeksen!D5&lt;Reeksen!B5,(Reeksen!B5-Reeksen!D5)*L37,0)</f>
        <v>0</v>
      </c>
      <c r="P37" s="84">
        <f ca="1">IF(E37='Invoer gegevens'!$C$17+16,0,('Invoer gegevens'!$F$20/12)*L36*MIN(Reeksen!B4,Reeksen!D4))</f>
        <v>0</v>
      </c>
      <c r="Q37" s="84">
        <f ca="1">IF(E37&gt;='Invoer gegevens'!$C$17+15,0,L37-M37+I37+O37)</f>
        <v>0</v>
      </c>
      <c r="R37" s="82">
        <f ca="1">IF('Invoer gegevens'!$C$17=E37,'Invoer gegevens'!$C$11,IF(C37=1,W36,0))</f>
        <v>0</v>
      </c>
      <c r="S37" s="86">
        <f ca="1">IF(E37='Invoer gegevens'!$C$17+15,W36,IF(C37&gt;=1,R37*VLOOKUP(E37,Reeksen!$A$5:$B$76,2),0))</f>
        <v>0</v>
      </c>
      <c r="T37" s="84">
        <f ca="1">IF(E37='Invoer gegevens'!$C$17+15,W36,(1-('Invoer gegevens'!$F$20/12))*R37*MIN(Reeksen!B5,Reeksen!D5))</f>
        <v>0</v>
      </c>
      <c r="U37" s="84">
        <f>IF(Reeksen!D5&gt;=Reeksen!B5,0,IF(Reeksen!AK5&lt;=Reeksen!AE5,(Reeksen!B5-Reeksen!D5)*R37,0))</f>
        <v>0</v>
      </c>
      <c r="V37" s="86">
        <f>IF(Reeksen!D5&gt;=Reeksen!B5,0,IF(Reeksen!AK5&gt;Reeksen!AE5,(Reeksen!B5-Reeksen!D5)*R37,0))</f>
        <v>0</v>
      </c>
      <c r="W37" s="97">
        <f ca="1">IF(E37&gt;='Invoer gegevens'!$C$17+15,0,R37-S37)</f>
        <v>0</v>
      </c>
      <c r="X37" s="98">
        <f ca="1">IF('Invoer gegevens'!$C$17=E37,'Invoer gegevens'!$C$10-'Invoer gegevens'!$C$11,IF(C37=1,AC36,0))</f>
        <v>0</v>
      </c>
      <c r="Y37" s="98">
        <f ca="1">IF(E37='Invoer gegevens'!$C$17+15,AC36,IF(C37&gt;=1,X37*VLOOKUP(E37,Reeksen!$A$5:$B$76,2),0))</f>
        <v>0</v>
      </c>
      <c r="Z37" s="98">
        <f ca="1">IF(E37='Invoer gegevens'!$C$17+15,AC36,(1-('Invoer gegevens'!$F$20/12))*X37*MIN(Reeksen!B5,Reeksen!D5))</f>
        <v>0</v>
      </c>
      <c r="AA37" s="98">
        <f>IF(Reeksen!D5&gt;=Reeksen!B5,0,IF(Reeksen!AK5&lt;=Reeksen!AE5,(Reeksen!B5-Reeksen!D5)*X37,0))</f>
        <v>0</v>
      </c>
      <c r="AB37" s="98">
        <f>IF(Reeksen!D5&gt;=Reeksen!B5,0,IF(Reeksen!AK5&gt;Reeksen!AE5,(Reeksen!B5-Reeksen!D5)*X37,0))</f>
        <v>0</v>
      </c>
      <c r="AC37" s="99">
        <f ca="1">IF(E37&gt;='Invoer gegevens'!$C$17+15,0,X37-Y37)</f>
        <v>0</v>
      </c>
      <c r="AD37" s="98">
        <f ca="1">IF('Invoer gegevens'!$C$17=E5,R37,IF(C5=0,0,AE36))</f>
        <v>0</v>
      </c>
      <c r="AE37" s="98">
        <f ca="1">IF(C5=0,0,AD37-S37-V37+AA37)</f>
        <v>0</v>
      </c>
      <c r="AF37" s="98">
        <f ca="1">IF('Invoer gegevens'!$C$17=E5,X37,IF(C5=0,0,AG36))</f>
        <v>0</v>
      </c>
      <c r="AG37" s="98">
        <f ca="1">IF(C5=0,0,AF37-Y37-AA37+V37)</f>
        <v>0</v>
      </c>
      <c r="AH37" s="68"/>
      <c r="AI37" s="71">
        <f ca="1">IF(C37=1,Reeksen!AJ5*((F37-G37+F37)/2)*12+Reeksen!AK5*((L37-M37+L37)/2)*12,0)</f>
        <v>0</v>
      </c>
      <c r="AJ37" s="71">
        <f ca="1">-AI37*'Invoer gegevens'!$F$26</f>
        <v>0</v>
      </c>
      <c r="AK37" s="71">
        <f t="shared" ref="AK37:AK61" ca="1" si="9">AI37+AJ37</f>
        <v>0</v>
      </c>
      <c r="AL37" s="71">
        <f ca="1">IF(C37=1,Reeksen!AL5*((F37-G37+F37)/2)*12+Reeksen!AM5*((L37-M37+L37)/2)*12,0)</f>
        <v>0</v>
      </c>
      <c r="AM37" s="71">
        <f ca="1">-AL37*'Invoer gegevens'!$F$31</f>
        <v>0</v>
      </c>
      <c r="AN37" s="71">
        <f ca="1">AL37+AM37</f>
        <v>0</v>
      </c>
      <c r="AO37" s="71">
        <f ca="1">IF(E37&gt;='Invoer gegevens'!$C$17+15,0,IF(C37=1,(H37+J37+N37+P37)*Reeksen!AN5,0))</f>
        <v>0</v>
      </c>
      <c r="AP37" s="71">
        <f ca="1">-IF(C37=1,(H37+J37+N37+P37)*'Hulp - basis'!$G$550*Reeksen!H5,0)</f>
        <v>0</v>
      </c>
      <c r="AQ37" s="71">
        <f ca="1">-IF(C37=1,(F37+K37+L37+Q37)/2*'Invoer gegevens'!$I$33*Reeksen!J5,0)</f>
        <v>0</v>
      </c>
      <c r="AR37" s="71">
        <f ca="1">-IF(C37=1,(I37*'Invoer gegevens'!$I$34)*Reeksen!J5,0)</f>
        <v>0</v>
      </c>
      <c r="AS37" s="71">
        <f ca="1">-IF(C37=1,(F37+K37+L37+Q37)/2*'Invoer gegevens'!$I$35*Reeksen!L5,0)</f>
        <v>0</v>
      </c>
      <c r="AT37" s="71">
        <f ca="1">-IF(C37=1,IF(E37='Invoer gegevens'!$C$17,'Invoer gegevens'!$C$11,AD37)*Reeksen!S5*'Invoer gegevens'!$C$18*Reeksen!P5,0)</f>
        <v>0</v>
      </c>
      <c r="AU37" s="71">
        <f ca="1">-IF(C37=1,(F37+K37+L37+Q37)/2*'Invoer gegevens'!$I$36*Reeksen!H5,0)</f>
        <v>0</v>
      </c>
      <c r="AV37" s="71">
        <v>0</v>
      </c>
      <c r="AW37" s="71">
        <f ca="1">SUM(AK37,AN37:AV37)</f>
        <v>0</v>
      </c>
      <c r="AX37" s="72">
        <f ca="1">IF(E37='Invoer gegevens'!$C$17+14,'RW - BW - UP'!$AY$236,0)</f>
        <v>0</v>
      </c>
      <c r="AY37" s="72">
        <f ca="1">IFERROR(IF(E37='Invoer gegevens'!$C$17,-'Invoer gegevens'!$C$10*('Invoer gegevens'!$C$30+'Invoer gegevens'!$C$31)*Reeksen!H5,0),0)</f>
        <v>0</v>
      </c>
      <c r="AZ37" s="73">
        <f ca="1">IF('Invoer gegevens'!$C$34=E37,'Invoer gegevens'!$C$27*'Invoer gegevens'!$C$10*'Invoer gegevens'!$C$36*(IF('Invoer gegevens'!$C$35="ja",1,Reeksen!J5)),IF('Invoer gegevens'!$C$34+1=E37,'Invoer gegevens'!$C$27*'Invoer gegevens'!$C$10*'Invoer gegevens'!$C$37*(IF('Invoer gegevens'!$C$35="ja",1,Reeksen!J5)),0))+IF(AND(E37='Invoer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37" s="73">
        <f ca="1">AW37/(1+'Invoer gegevens'!$F$18)^($D37-('Invoer gegevens'!$C$17-'Invoer gegevens'!$C$16))/(1+'Invoer gegevens'!$C$39)^('Invoer gegevens'!$C$17-'Invoer gegevens'!$C$16)</f>
        <v>0</v>
      </c>
      <c r="BB37" s="73">
        <f ca="1">AX37/(1+'Invoer gegevens'!$F$18)^(E37-('Invoer gegevens'!$C$17-1))/(1+'Invoer gegevens'!$C$39)^('Invoer gegevens'!$C$17-'Invoer gegevens'!$C$16)</f>
        <v>0</v>
      </c>
      <c r="BC37" s="73">
        <f ca="1">AY37/(1+'Invoer gegevens'!$C$39)^('Invoer gegevens'!$C$17-'Invoer gegevens'!$C$16)</f>
        <v>0</v>
      </c>
      <c r="BD37" s="72">
        <f ca="1">SUM(BA37:BC37)</f>
        <v>0</v>
      </c>
      <c r="BE37" s="72">
        <f ca="1">IF(AND(E37='Invoer gegevens'!$C$16,'Invoer gegevens'!$C$34&lt;'Invoer gegevens'!$C$16),AZ37,AZ37/(1+'Invoer gegevens'!$C$39)^D37)</f>
        <v>0</v>
      </c>
      <c r="BF37" s="72">
        <f ca="1">IF(E37='Invoer gegevens'!$C$34,-'Invoer gegevens'!$F$40,0)</f>
        <v>0</v>
      </c>
      <c r="BG37" s="72">
        <f ca="1">IF(E37='Invoer gegevens'!$C$17,-'Invoer gegevens'!$C$19*$BD$63,0)</f>
        <v>0</v>
      </c>
      <c r="BH37" s="72">
        <f ca="1">AW37/(1+$BH$36)^($D37-('Invoer gegevens'!$C$17-'Invoer gegevens'!$C$16))/(1+'Invoer gegevens'!$C$39)^('Invoer gegevens'!$C$17-'Invoer gegevens'!$C$16)+AX37/(1+$BH$36)^(E37-('Invoer gegevens'!$C$17-1))/(1+'Invoer gegevens'!$C$39)^('Invoer gegevens'!$C$17-'Invoer gegevens'!$C$16)+AY37/(1+'Invoer gegevens'!$C$39)^('Invoer gegevens'!$C$17-'Invoer gegevens'!$C$16)+(-AZ37/(1+'Invoer gegevens'!$C$39)^D37)+BF37+BG37</f>
        <v>0</v>
      </c>
      <c r="BI37" s="59"/>
    </row>
    <row r="38" spans="1:61" x14ac:dyDescent="0.25">
      <c r="A38" s="59"/>
      <c r="B38" s="70">
        <f>B37+1</f>
        <v>2</v>
      </c>
      <c r="C38" s="67">
        <f ca="1">IF(AND(E38&gt;='Invoer gegevens'!$C$17,E38&lt;'Invoer gegevens'!$C$17+15),1,0)</f>
        <v>1</v>
      </c>
      <c r="D38" s="68">
        <f>D37+1</f>
        <v>1.5</v>
      </c>
      <c r="E38" s="69">
        <f ca="1">IF('Invoer gegevens'!$C$16="","",E37+1)</f>
        <v>2020</v>
      </c>
      <c r="F38" s="84">
        <f ca="1">IF('Invoer gegevens'!$C$17=E38,'Invoer gegevens'!$C$10,IF(C38=1,K37,0))</f>
        <v>0</v>
      </c>
      <c r="G38" s="96">
        <f ca="1">IF(E38='Invoer gegevens'!$C$17+15,K37,IF(C38&gt;=1,F38*VLOOKUP(E38,Reeksen!$A$5:$B$76,2),0))</f>
        <v>0</v>
      </c>
      <c r="H38" s="84">
        <f ca="1">IF(E38='Invoer gegevens'!$C$17+15,K37,(1-('Invoer gegevens'!$F$20/12))*F38*MIN(Reeksen!B6,Reeksen!D6))</f>
        <v>0</v>
      </c>
      <c r="I38" s="84">
        <f>IF(Reeksen!D6&lt;Reeksen!B6,(Reeksen!B6-Reeksen!D6)*F38,0)</f>
        <v>0</v>
      </c>
      <c r="J38" s="84">
        <f ca="1">IF(E38='Invoer gegevens'!$C$17+16,0,('Invoer gegevens'!$F$20/12)*F37*MIN(Reeksen!B5,Reeksen!D5))</f>
        <v>0</v>
      </c>
      <c r="K38" s="97">
        <f ca="1">IF(E38&gt;='Invoer gegevens'!$C$17+15,0,F38-G38)</f>
        <v>0</v>
      </c>
      <c r="L38" s="84">
        <f ca="1">IF('Invoer gegevens'!$C$17=E38,0,IF(C38=1,Q37,0))</f>
        <v>0</v>
      </c>
      <c r="M38" s="96">
        <f ca="1">IF(E38='Invoer gegevens'!$C$17+15,Q37,IF(C38&gt;=1,L38*VLOOKUP(E38,Reeksen!$A$5:$B$76,2),0))</f>
        <v>0</v>
      </c>
      <c r="N38" s="84">
        <f ca="1">IF(C38='Invoer gegevens'!$C$17+15,Q37,(1-('Invoer gegevens'!$F$20/12))*L38*MIN(Reeksen!B6,Reeksen!D6))</f>
        <v>0</v>
      </c>
      <c r="O38" s="84">
        <f>IF(Reeksen!D6&lt;Reeksen!B6,(Reeksen!B6-Reeksen!D6)*L38,0)</f>
        <v>0</v>
      </c>
      <c r="P38" s="84">
        <f ca="1">IF(E38='Invoer gegevens'!$C$17+16,0,('Invoer gegevens'!$F$20/12)*L37*MIN(Reeksen!B5,Reeksen!D5))</f>
        <v>0</v>
      </c>
      <c r="Q38" s="84">
        <f ca="1">IF(E38&gt;='Invoer gegevens'!$C$17+15,0,L38-M38+I38+O38)</f>
        <v>0</v>
      </c>
      <c r="R38" s="82">
        <f ca="1">IF('Invoer gegevens'!$C$17=E38,'Invoer gegevens'!$C$11,IF(C38=1,W37,0))</f>
        <v>0</v>
      </c>
      <c r="S38" s="86">
        <f ca="1">IF(E38='Invoer gegevens'!$C$17+15,W37,IF(C38&gt;=1,R38*VLOOKUP(E38,Reeksen!$A$5:$B$76,2),0))</f>
        <v>0</v>
      </c>
      <c r="T38" s="84">
        <f ca="1">IF(E38='Invoer gegevens'!$C$17+15,W37,(1-('Invoer gegevens'!$F$20/12))*R38*MIN(Reeksen!B6,Reeksen!D6))</f>
        <v>0</v>
      </c>
      <c r="U38" s="84">
        <f>IF(Reeksen!D6&gt;=Reeksen!B6,0,IF(Reeksen!AK6&lt;=Reeksen!AE6,(Reeksen!B6-Reeksen!D6)*R38,0))</f>
        <v>0</v>
      </c>
      <c r="V38" s="86">
        <f>IF(Reeksen!D6&gt;=Reeksen!B6,0,IF(Reeksen!AK6&gt;Reeksen!AE6,(Reeksen!B6-Reeksen!D6)*R38,0))</f>
        <v>0</v>
      </c>
      <c r="W38" s="97">
        <f ca="1">IF(E38&gt;='Invoer gegevens'!$C$17+15,0,R38-S38)</f>
        <v>0</v>
      </c>
      <c r="X38" s="98">
        <f ca="1">IF('Invoer gegevens'!$C$17=E38,'Invoer gegevens'!$C$10-'Invoer gegevens'!$C$11,IF(C38=1,AC37,0))</f>
        <v>0</v>
      </c>
      <c r="Y38" s="98">
        <f ca="1">IF(E38='Invoer gegevens'!$C$17+15,AC37,IF(C38&gt;=1,X38*VLOOKUP(E38,Reeksen!$A$5:$B$76,2),0))</f>
        <v>0</v>
      </c>
      <c r="Z38" s="98">
        <f ca="1">IF(E38='Invoer gegevens'!$C$17+15,AC37,(1-('Invoer gegevens'!$F$20/12))*X38*MIN(Reeksen!B6,Reeksen!D6))</f>
        <v>0</v>
      </c>
      <c r="AA38" s="98">
        <f>IF(Reeksen!D6&gt;=Reeksen!B6,0,IF(Reeksen!AK6&lt;=Reeksen!AE6,(Reeksen!B6-Reeksen!D6)*X38,0))</f>
        <v>0</v>
      </c>
      <c r="AB38" s="98">
        <f>IF(Reeksen!D6&gt;=Reeksen!B6,0,IF(Reeksen!AK6&gt;Reeksen!AE6,(Reeksen!B6-Reeksen!D6)*X38,0))</f>
        <v>0</v>
      </c>
      <c r="AC38" s="99">
        <f ca="1">IF(E38&gt;='Invoer gegevens'!$C$17+15,0,X38-Y38)</f>
        <v>0</v>
      </c>
      <c r="AD38" s="98">
        <f ca="1">IF('Invoer gegevens'!$C$17=E6,R38,IF(C6=0,0,AE37))</f>
        <v>0</v>
      </c>
      <c r="AE38" s="98">
        <f t="shared" ref="AE38:AE61" ca="1" si="10">IF(C6=0,0,AD38-S38-V38+AA38)</f>
        <v>0</v>
      </c>
      <c r="AF38" s="98">
        <f ca="1">IF('Invoer gegevens'!$C$17=E6,X38,IF(C6=0,0,AG37))</f>
        <v>0</v>
      </c>
      <c r="AG38" s="98">
        <f t="shared" ref="AG38:AG61" ca="1" si="11">IF(C6=0,0,AF38-Y38-AA38+V38)</f>
        <v>0</v>
      </c>
      <c r="AH38" s="68"/>
      <c r="AI38" s="71">
        <f ca="1">IF(C38=1,Reeksen!AJ6*((F38-G38+F38)/2)*12+Reeksen!AK6*((L38-M38+L38)/2)*12,0)</f>
        <v>0</v>
      </c>
      <c r="AJ38" s="71">
        <f ca="1">-AI38*'Invoer gegevens'!$F$27</f>
        <v>0</v>
      </c>
      <c r="AK38" s="71">
        <f t="shared" ca="1" si="9"/>
        <v>0</v>
      </c>
      <c r="AL38" s="71">
        <f ca="1">IF(C38=1,Reeksen!AL6*((F38-G38+F38)/2)*12+Reeksen!AM6*((L38-M38+L38)/2)*12,0)</f>
        <v>0</v>
      </c>
      <c r="AM38" s="71">
        <f ca="1">-AL38*'Invoer gegevens'!$F$31</f>
        <v>0</v>
      </c>
      <c r="AN38" s="71">
        <f t="shared" ref="AN38:AN61" ca="1" si="12">AL38+AM38</f>
        <v>0</v>
      </c>
      <c r="AO38" s="71">
        <f ca="1">IF(E38&gt;='Invoer gegevens'!$C$17+15,0,IF(C38=1,(H38+J38+N38+P38)*Reeksen!AN6,0))</f>
        <v>0</v>
      </c>
      <c r="AP38" s="71">
        <f ca="1">-IF(C38=1,(H38+J38+N38+P38)*'Hulp - basis'!$G$550*Reeksen!H6,0)</f>
        <v>0</v>
      </c>
      <c r="AQ38" s="71">
        <f ca="1">-IF(C38=1,(F38+K38+L38+Q38)/2*'Invoer gegevens'!$I$33*Reeksen!J6,0)</f>
        <v>0</v>
      </c>
      <c r="AR38" s="71">
        <f ca="1">-IF(C38=1,(I38*'Invoer gegevens'!$I$34)*Reeksen!J6,0)</f>
        <v>0</v>
      </c>
      <c r="AS38" s="71">
        <f ca="1">-IF(C38=1,(F38+K38+L38+Q38)/2*'Invoer gegevens'!$I$35*Reeksen!L6,0)</f>
        <v>0</v>
      </c>
      <c r="AT38" s="71">
        <f ca="1">-IF(C38=1,IF(E38='Invoer gegevens'!$C$17,'Invoer gegevens'!$C$11,AD38)*Reeksen!S6*'Invoer gegevens'!$C$18*Reeksen!P6,0)</f>
        <v>0</v>
      </c>
      <c r="AU38" s="71">
        <f ca="1">-IF(C38=1,(F38+K38+L38+Q38)/2*'Invoer gegevens'!$I$36*Reeksen!H6,0)</f>
        <v>0</v>
      </c>
      <c r="AV38" s="71">
        <f>IF('Invoer gegevens'!$C$3="Basis",0,#REF!)</f>
        <v>0</v>
      </c>
      <c r="AW38" s="71">
        <f t="shared" ref="AW38:AW61" ca="1" si="13">SUM(AK38,AN38:AV38)</f>
        <v>0</v>
      </c>
      <c r="AX38" s="72">
        <f ca="1">IF(E38='Invoer gegevens'!$C$17+14,'RW - BW - UP'!$AY$236,0)</f>
        <v>0</v>
      </c>
      <c r="AY38" s="72">
        <f ca="1">IFERROR(IF(E38='Invoer gegevens'!$C$17,-'Invoer gegevens'!$C$10*('Invoer gegevens'!$C$30+'Invoer gegevens'!$C$31)*Reeksen!H6,0),0)</f>
        <v>0</v>
      </c>
      <c r="AZ38" s="73">
        <f ca="1">IF('Invoer gegevens'!$C$34=E38,'Invoer gegevens'!$C$27*'Invoer gegevens'!$C$10*'Invoer gegevens'!$C$36*(IF('Invoer gegevens'!$C$35="ja",1,Reeksen!J6)),IF('Invoer gegevens'!$C$34+1=E38,'Invoer gegevens'!$C$27*'Invoer gegevens'!$C$10*'Invoer gegevens'!$C$37*(IF('Invoer gegevens'!$C$35="ja",1,Reeksen!J6)),0))+IF(AND(E38='Invoer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38" s="73">
        <f ca="1">AW38/(1+'Invoer gegevens'!$F$18)^($D38-('Invoer gegevens'!$C$17-'Invoer gegevens'!$C$16))/(1+'Invoer gegevens'!$C$39)^('Invoer gegevens'!$C$17-'Invoer gegevens'!$C$16)</f>
        <v>0</v>
      </c>
      <c r="BB38" s="73">
        <f ca="1">AX38/(1+'Invoer gegevens'!$F$18)^(E38-('Invoer gegevens'!$C$17-1))/(1+'Invoer gegevens'!$C$39)^('Invoer gegevens'!$C$17-'Invoer gegevens'!$C$16)</f>
        <v>0</v>
      </c>
      <c r="BC38" s="73">
        <f ca="1">AY38/(1+'Invoer gegevens'!$C$39)^('Invoer gegevens'!$C$17-'Invoer gegevens'!$C$16)</f>
        <v>0</v>
      </c>
      <c r="BD38" s="72">
        <f t="shared" ref="BD38:BD61" ca="1" si="14">SUM(BA38:BC38)</f>
        <v>0</v>
      </c>
      <c r="BE38" s="72">
        <f ca="1">IF(AND(E38='Invoer gegevens'!$C$16,'Invoer gegevens'!$C$34&lt;'Invoer gegevens'!$C$16),AZ38,AZ38/(1+'Invoer gegevens'!$C$39)^D38)</f>
        <v>0</v>
      </c>
      <c r="BF38" s="72">
        <f ca="1">IF(E38='Invoer gegevens'!$C$34,-'Invoer gegevens'!$F$40,0)</f>
        <v>0</v>
      </c>
      <c r="BG38" s="72">
        <f ca="1">IF(E38='Invoer gegevens'!$C$17,-'Invoer gegevens'!$C$19*$BD$63,0)</f>
        <v>0</v>
      </c>
      <c r="BH38" s="72">
        <f ca="1">AW38/(1+$BH$36)^($D38-('Invoer gegevens'!$C$17-'Invoer gegevens'!$C$16))/(1+'Invoer gegevens'!$C$39)^('Invoer gegevens'!$C$17-'Invoer gegevens'!$C$16)+AX38/(1+$BH$36)^(E38-('Invoer gegevens'!$C$17-1))/(1+'Invoer gegevens'!$C$39)^('Invoer gegevens'!$C$17-'Invoer gegevens'!$C$16)+AY38/(1+'Invoer gegevens'!$C$39)^('Invoer gegevens'!$C$17-'Invoer gegevens'!$C$16)+(-AZ38/(1+'Invoer gegevens'!$C$39)^D38)+BF38+BG38</f>
        <v>0</v>
      </c>
      <c r="BI38" s="59"/>
    </row>
    <row r="39" spans="1:61" x14ac:dyDescent="0.25">
      <c r="A39" s="59"/>
      <c r="B39" s="70">
        <f>B38+1</f>
        <v>3</v>
      </c>
      <c r="C39" s="67">
        <f ca="1">IF(AND(E39&gt;='Invoer gegevens'!$C$17,E39&lt;'Invoer gegevens'!$C$17+15),1,0)</f>
        <v>1</v>
      </c>
      <c r="D39" s="68">
        <f>D38+1</f>
        <v>2.5</v>
      </c>
      <c r="E39" s="69">
        <f ca="1">IF('Invoer gegevens'!$C$16="","",E38+1)</f>
        <v>2021</v>
      </c>
      <c r="F39" s="84">
        <f ca="1">IF('Invoer gegevens'!$C$17=E39,'Invoer gegevens'!$C$10,IF(C39=1,K38,0))</f>
        <v>0</v>
      </c>
      <c r="G39" s="96">
        <f ca="1">IF(E39='Invoer gegevens'!$C$17+15,K38,IF(C39&gt;=1,F39*VLOOKUP(E39,Reeksen!$A$5:$B$76,2),0))</f>
        <v>0</v>
      </c>
      <c r="H39" s="84">
        <f ca="1">IF(E39='Invoer gegevens'!$C$17+15,K38,(1-('Invoer gegevens'!$F$20/12))*F39*MIN(Reeksen!B7,Reeksen!D7))</f>
        <v>0</v>
      </c>
      <c r="I39" s="84">
        <f>IF(Reeksen!D7&lt;Reeksen!B7,(Reeksen!B7-Reeksen!D7)*F39,0)</f>
        <v>0</v>
      </c>
      <c r="J39" s="84">
        <f ca="1">IF(E39='Invoer gegevens'!$C$17+16,0,('Invoer gegevens'!$F$20/12)*F38*MIN(Reeksen!B6,Reeksen!D6))</f>
        <v>0</v>
      </c>
      <c r="K39" s="97">
        <f ca="1">IF(E39&gt;='Invoer gegevens'!$C$17+15,0,F39-G39)</f>
        <v>0</v>
      </c>
      <c r="L39" s="84">
        <f ca="1">IF('Invoer gegevens'!$C$17=E39,0,IF(C39=1,Q38,0))</f>
        <v>0</v>
      </c>
      <c r="M39" s="96">
        <f ca="1">IF(E39='Invoer gegevens'!$C$17+15,Q38,IF(C39&gt;=1,L39*VLOOKUP(E39,Reeksen!$A$5:$B$76,2),0))</f>
        <v>0</v>
      </c>
      <c r="N39" s="84">
        <f ca="1">IF(C39='Invoer gegevens'!$C$17+15,Q38,(1-('Invoer gegevens'!$F$20/12))*L39*MIN(Reeksen!B7,Reeksen!D7))</f>
        <v>0</v>
      </c>
      <c r="O39" s="84">
        <f>IF(Reeksen!D7&lt;Reeksen!B7,(Reeksen!B7-Reeksen!D7)*L39,0)</f>
        <v>0</v>
      </c>
      <c r="P39" s="84">
        <f ca="1">IF(E39='Invoer gegevens'!$C$17+16,0,('Invoer gegevens'!$F$20/12)*L38*MIN(Reeksen!B6,Reeksen!D6))</f>
        <v>0</v>
      </c>
      <c r="Q39" s="84">
        <f ca="1">IF(E39&gt;='Invoer gegevens'!$C$17+15,0,L39-M39+I39+O39)</f>
        <v>0</v>
      </c>
      <c r="R39" s="82">
        <f ca="1">IF('Invoer gegevens'!$C$17=E39,'Invoer gegevens'!$C$11,IF(C39=1,W38,0))</f>
        <v>0</v>
      </c>
      <c r="S39" s="86">
        <f ca="1">IF(E39='Invoer gegevens'!$C$17+15,W38,IF(C39&gt;=1,R39*VLOOKUP(E39,Reeksen!$A$5:$B$76,2),0))</f>
        <v>0</v>
      </c>
      <c r="T39" s="84">
        <f ca="1">IF(E39='Invoer gegevens'!$C$17+15,W38,(1-('Invoer gegevens'!$F$20/12))*R39*MIN(Reeksen!B7,Reeksen!D7))</f>
        <v>0</v>
      </c>
      <c r="U39" s="84">
        <f>IF(Reeksen!D7&gt;=Reeksen!B7,0,IF(Reeksen!AK7&lt;=Reeksen!AE7,(Reeksen!B7-Reeksen!D7)*R39,0))</f>
        <v>0</v>
      </c>
      <c r="V39" s="86">
        <f>IF(Reeksen!D7&gt;=Reeksen!B7,0,IF(Reeksen!AK7&gt;Reeksen!AE7,(Reeksen!B7-Reeksen!D7)*R39,0))</f>
        <v>0</v>
      </c>
      <c r="W39" s="97">
        <f ca="1">IF(E39&gt;='Invoer gegevens'!$C$17+15,0,R39-S39)</f>
        <v>0</v>
      </c>
      <c r="X39" s="98">
        <f ca="1">IF('Invoer gegevens'!$C$17=E39,'Invoer gegevens'!$C$10-'Invoer gegevens'!$C$11,IF(C39=1,AC38,0))</f>
        <v>0</v>
      </c>
      <c r="Y39" s="98">
        <f ca="1">IF(E39='Invoer gegevens'!$C$17+15,AC38,IF(C39&gt;=1,X39*VLOOKUP(E39,Reeksen!$A$5:$B$76,2),0))</f>
        <v>0</v>
      </c>
      <c r="Z39" s="98">
        <f ca="1">IF(E39='Invoer gegevens'!$C$17+15,AC38,(1-('Invoer gegevens'!$F$20/12))*X39*MIN(Reeksen!B7,Reeksen!D7))</f>
        <v>0</v>
      </c>
      <c r="AA39" s="98">
        <f>IF(Reeksen!D7&gt;=Reeksen!B7,0,IF(Reeksen!AK7&lt;=Reeksen!AE7,(Reeksen!B7-Reeksen!D7)*X39,0))</f>
        <v>0</v>
      </c>
      <c r="AB39" s="98">
        <f>IF(Reeksen!D7&gt;=Reeksen!B7,0,IF(Reeksen!AK7&gt;Reeksen!AE7,(Reeksen!B7-Reeksen!D7)*X39,0))</f>
        <v>0</v>
      </c>
      <c r="AC39" s="99">
        <f ca="1">IF(E39&gt;='Invoer gegevens'!$C$17+15,0,X39-Y39)</f>
        <v>0</v>
      </c>
      <c r="AD39" s="98">
        <f ca="1">IF('Invoer gegevens'!$C$17=E7,R39,IF(C7=0,0,AE38))</f>
        <v>0</v>
      </c>
      <c r="AE39" s="98">
        <f t="shared" ca="1" si="10"/>
        <v>0</v>
      </c>
      <c r="AF39" s="98">
        <f ca="1">IF('Invoer gegevens'!$C$17=E7,X39,IF(C7=0,0,AG38))</f>
        <v>0</v>
      </c>
      <c r="AG39" s="98">
        <f t="shared" ca="1" si="11"/>
        <v>0</v>
      </c>
      <c r="AH39" s="68"/>
      <c r="AI39" s="71">
        <f ca="1">IF(C39=1,Reeksen!AJ7*((F39-G39+F39)/2)*12+Reeksen!AK7*((L39-M39+L39)/2)*12,0)</f>
        <v>0</v>
      </c>
      <c r="AJ39" s="71">
        <f ca="1">-AI39*'Invoer gegevens'!$F$28</f>
        <v>0</v>
      </c>
      <c r="AK39" s="71">
        <f t="shared" ca="1" si="9"/>
        <v>0</v>
      </c>
      <c r="AL39" s="71">
        <f ca="1">IF(C39=1,Reeksen!AL7*((F39-G39+F39)/2)*12+Reeksen!AM7*((L39-M39+L39)/2)*12,0)</f>
        <v>0</v>
      </c>
      <c r="AM39" s="71">
        <f ca="1">-AL39*'Invoer gegevens'!$F$31</f>
        <v>0</v>
      </c>
      <c r="AN39" s="71">
        <f t="shared" ca="1" si="12"/>
        <v>0</v>
      </c>
      <c r="AO39" s="71">
        <f ca="1">IF(E39&gt;='Invoer gegevens'!$C$17+15,0,IF(C39=1,(H39+J39+N39+P39)*Reeksen!AN7,0))</f>
        <v>0</v>
      </c>
      <c r="AP39" s="71">
        <f ca="1">-IF(C39=1,(H39+J39+N39+P39)*'Hulp - basis'!$G$550*Reeksen!H7,0)</f>
        <v>0</v>
      </c>
      <c r="AQ39" s="71">
        <f ca="1">-IF(C39=1,(F39+K39+L39+Q39)/2*'Invoer gegevens'!$I$33*Reeksen!J7,0)</f>
        <v>0</v>
      </c>
      <c r="AR39" s="71">
        <f ca="1">-IF(C39=1,(I39*'Invoer gegevens'!$I$34)*Reeksen!J7,0)</f>
        <v>0</v>
      </c>
      <c r="AS39" s="71">
        <f ca="1">-IF(C39=1,(F39+K39+L39+Q39)/2*'Invoer gegevens'!$I$35*Reeksen!L7,0)</f>
        <v>0</v>
      </c>
      <c r="AT39" s="71">
        <f ca="1">-IF(C39=1,IF(E39='Invoer gegevens'!$C$17,'Invoer gegevens'!$C$11,AD39)*Reeksen!S7*'Invoer gegevens'!$C$18*Reeksen!P7,0)</f>
        <v>0</v>
      </c>
      <c r="AU39" s="71">
        <f ca="1">-IF(C39=1,(F39+K39+L39+Q39)/2*'Invoer gegevens'!$I$36*Reeksen!H7,0)</f>
        <v>0</v>
      </c>
      <c r="AV39" s="71">
        <f>IF('Invoer gegevens'!$C$3="Basis",0,#REF!)</f>
        <v>0</v>
      </c>
      <c r="AW39" s="71">
        <f t="shared" ca="1" si="13"/>
        <v>0</v>
      </c>
      <c r="AX39" s="72">
        <f ca="1">IF(E39='Invoer gegevens'!$C$17+14,'RW - BW - UP'!$AY$236,0)</f>
        <v>0</v>
      </c>
      <c r="AY39" s="72">
        <f ca="1">IFERROR(IF(E39='Invoer gegevens'!$C$17,-'Invoer gegevens'!$C$10*('Invoer gegevens'!$C$30+'Invoer gegevens'!$C$31)*Reeksen!H7,0),0)</f>
        <v>0</v>
      </c>
      <c r="AZ39" s="73">
        <f ca="1">IF('Invoer gegevens'!$C$34=E39,'Invoer gegevens'!$C$27*'Invoer gegevens'!$C$10*'Invoer gegevens'!$C$36*(IF('Invoer gegevens'!$C$35="ja",1,Reeksen!J7)),IF('Invoer gegevens'!$C$34+1=E39,'Invoer gegevens'!$C$27*'Invoer gegevens'!$C$10*'Invoer gegevens'!$C$37*(IF('Invoer gegevens'!$C$35="ja",1,Reeksen!J7)),0))+IF(AND(E39='Invoer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39" s="73">
        <f ca="1">AW39/(1+'Invoer gegevens'!$F$18)^($D39-('Invoer gegevens'!$C$17-'Invoer gegevens'!$C$16))/(1+'Invoer gegevens'!$C$39)^('Invoer gegevens'!$C$17-'Invoer gegevens'!$C$16)</f>
        <v>0</v>
      </c>
      <c r="BB39" s="73">
        <f ca="1">AX39/(1+'Invoer gegevens'!$F$18)^(E39-('Invoer gegevens'!$C$17-1))/(1+'Invoer gegevens'!$C$39)^('Invoer gegevens'!$C$17-'Invoer gegevens'!$C$16)</f>
        <v>0</v>
      </c>
      <c r="BC39" s="73">
        <f ca="1">AY39/(1+'Invoer gegevens'!$C$39)^('Invoer gegevens'!$C$17-'Invoer gegevens'!$C$16)</f>
        <v>0</v>
      </c>
      <c r="BD39" s="72">
        <f t="shared" ca="1" si="14"/>
        <v>0</v>
      </c>
      <c r="BE39" s="72">
        <f ca="1">IF(AND(E39='Invoer gegevens'!$C$16,'Invoer gegevens'!$C$34&lt;'Invoer gegevens'!$C$16),AZ39,AZ39/(1+'Invoer gegevens'!$C$39)^D39)</f>
        <v>0</v>
      </c>
      <c r="BF39" s="72">
        <f ca="1">IF(E39='Invoer gegevens'!$C$34,-'Invoer gegevens'!$F$40,0)</f>
        <v>0</v>
      </c>
      <c r="BG39" s="72">
        <f ca="1">IF(E39='Invoer gegevens'!$C$17,-'Invoer gegevens'!$C$19*$BD$63,0)</f>
        <v>0</v>
      </c>
      <c r="BH39" s="72">
        <f ca="1">AW39/(1+$BH$36)^($D39-('Invoer gegevens'!$C$17-'Invoer gegevens'!$C$16))/(1+'Invoer gegevens'!$C$39)^('Invoer gegevens'!$C$17-'Invoer gegevens'!$C$16)+AX39/(1+$BH$36)^(E39-('Invoer gegevens'!$C$17-1))/(1+'Invoer gegevens'!$C$39)^('Invoer gegevens'!$C$17-'Invoer gegevens'!$C$16)+AY39/(1+'Invoer gegevens'!$C$39)^('Invoer gegevens'!$C$17-'Invoer gegevens'!$C$16)+(-AZ39/(1+'Invoer gegevens'!$C$39)^D39)+BF39+BG39</f>
        <v>0</v>
      </c>
      <c r="BI39" s="59"/>
    </row>
    <row r="40" spans="1:61" x14ac:dyDescent="0.25">
      <c r="A40" s="59"/>
      <c r="B40" s="70">
        <f t="shared" ref="B40:B61" si="15">B39+1</f>
        <v>4</v>
      </c>
      <c r="C40" s="67">
        <f ca="1">IF(AND(E40&gt;='Invoer gegevens'!$C$17,E40&lt;'Invoer gegevens'!$C$17+15),1,0)</f>
        <v>1</v>
      </c>
      <c r="D40" s="68">
        <f t="shared" ref="D40:D61" si="16">D39+1</f>
        <v>3.5</v>
      </c>
      <c r="E40" s="69">
        <f ca="1">IF('Invoer gegevens'!$C$16="","",E39+1)</f>
        <v>2022</v>
      </c>
      <c r="F40" s="84">
        <f ca="1">IF('Invoer gegevens'!$C$17=E40,'Invoer gegevens'!$C$10,IF(C40=1,K39,0))</f>
        <v>0</v>
      </c>
      <c r="G40" s="96">
        <f ca="1">IF(E40='Invoer gegevens'!$C$17+15,K39,IF(C40&gt;=1,F40*VLOOKUP(E40,Reeksen!$A$5:$B$76,2),0))</f>
        <v>0</v>
      </c>
      <c r="H40" s="84">
        <f ca="1">IF(E40='Invoer gegevens'!$C$17+15,K39,(1-('Invoer gegevens'!$F$20/12))*F40*MIN(Reeksen!B8,Reeksen!D8))</f>
        <v>0</v>
      </c>
      <c r="I40" s="84">
        <f>IF(Reeksen!D8&lt;Reeksen!B8,(Reeksen!B8-Reeksen!D8)*F40,0)</f>
        <v>0</v>
      </c>
      <c r="J40" s="84">
        <f ca="1">IF(E40='Invoer gegevens'!$C$17+16,0,('Invoer gegevens'!$F$20/12)*F39*MIN(Reeksen!B7,Reeksen!D7))</f>
        <v>0</v>
      </c>
      <c r="K40" s="97">
        <f ca="1">IF(E40&gt;='Invoer gegevens'!$C$17+15,0,F40-G40)</f>
        <v>0</v>
      </c>
      <c r="L40" s="84">
        <f ca="1">IF('Invoer gegevens'!$C$17=E40,0,IF(C40=1,Q39,0))</f>
        <v>0</v>
      </c>
      <c r="M40" s="96">
        <f ca="1">IF(E40='Invoer gegevens'!$C$17+15,Q39,IF(C40&gt;=1,L40*VLOOKUP(E40,Reeksen!$A$5:$B$76,2),0))</f>
        <v>0</v>
      </c>
      <c r="N40" s="84">
        <f ca="1">IF(C40='Invoer gegevens'!$C$17+15,Q39,(1-('Invoer gegevens'!$F$20/12))*L40*MIN(Reeksen!B8,Reeksen!D8))</f>
        <v>0</v>
      </c>
      <c r="O40" s="84">
        <f>IF(Reeksen!D8&lt;Reeksen!B8,(Reeksen!B8-Reeksen!D8)*L40,0)</f>
        <v>0</v>
      </c>
      <c r="P40" s="84">
        <f ca="1">IF(E40='Invoer gegevens'!$C$17+16,0,('Invoer gegevens'!$F$20/12)*L39*MIN(Reeksen!B7,Reeksen!D7))</f>
        <v>0</v>
      </c>
      <c r="Q40" s="84">
        <f ca="1">IF(E40&gt;='Invoer gegevens'!$C$17+15,0,L40-M40+I40+O40)</f>
        <v>0</v>
      </c>
      <c r="R40" s="82">
        <f ca="1">IF('Invoer gegevens'!$C$17=E40,'Invoer gegevens'!$C$11,IF(C40=1,W39,0))</f>
        <v>0</v>
      </c>
      <c r="S40" s="86">
        <f ca="1">IF(E40='Invoer gegevens'!$C$17+15,W39,IF(C40&gt;=1,R40*VLOOKUP(E40,Reeksen!$A$5:$B$76,2),0))</f>
        <v>0</v>
      </c>
      <c r="T40" s="84">
        <f ca="1">IF(E40='Invoer gegevens'!$C$17+15,W39,(1-('Invoer gegevens'!$F$20/12))*R40*MIN(Reeksen!B8,Reeksen!D8))</f>
        <v>0</v>
      </c>
      <c r="U40" s="84">
        <f>IF(Reeksen!D8&gt;=Reeksen!B8,0,IF(Reeksen!AK8&lt;=Reeksen!AE8,(Reeksen!B8-Reeksen!D8)*R40,0))</f>
        <v>0</v>
      </c>
      <c r="V40" s="86">
        <f>IF(Reeksen!D8&gt;=Reeksen!B8,0,IF(Reeksen!AK8&gt;Reeksen!AE8,(Reeksen!B8-Reeksen!D8)*R40,0))</f>
        <v>0</v>
      </c>
      <c r="W40" s="97">
        <f ca="1">IF(E40&gt;='Invoer gegevens'!$C$17+15,0,R40-S40)</f>
        <v>0</v>
      </c>
      <c r="X40" s="98">
        <f ca="1">IF('Invoer gegevens'!$C$17=E40,'Invoer gegevens'!$C$10-'Invoer gegevens'!$C$11,IF(C40=1,AC39,0))</f>
        <v>0</v>
      </c>
      <c r="Y40" s="98">
        <f ca="1">IF(E40='Invoer gegevens'!$C$17+15,AC39,IF(C40&gt;=1,X40*VLOOKUP(E40,Reeksen!$A$5:$B$76,2),0))</f>
        <v>0</v>
      </c>
      <c r="Z40" s="98">
        <f ca="1">IF(E40='Invoer gegevens'!$C$17+15,AC39,(1-('Invoer gegevens'!$F$20/12))*X40*MIN(Reeksen!B8,Reeksen!D8))</f>
        <v>0</v>
      </c>
      <c r="AA40" s="98">
        <f>IF(Reeksen!D8&gt;=Reeksen!B8,0,IF(Reeksen!AK8&lt;=Reeksen!AE8,(Reeksen!B8-Reeksen!D8)*X40,0))</f>
        <v>0</v>
      </c>
      <c r="AB40" s="98">
        <f>IF(Reeksen!D8&gt;=Reeksen!B8,0,IF(Reeksen!AK8&gt;Reeksen!AE8,(Reeksen!B8-Reeksen!D8)*X40,0))</f>
        <v>0</v>
      </c>
      <c r="AC40" s="99">
        <f ca="1">IF(E40&gt;='Invoer gegevens'!$C$17+15,0,X40-Y40)</f>
        <v>0</v>
      </c>
      <c r="AD40" s="98">
        <f ca="1">IF('Invoer gegevens'!$C$17=E8,R40,IF(C8=0,0,AE39))</f>
        <v>0</v>
      </c>
      <c r="AE40" s="98">
        <f t="shared" ca="1" si="10"/>
        <v>0</v>
      </c>
      <c r="AF40" s="98">
        <f ca="1">IF('Invoer gegevens'!$C$17=E8,X40,IF(C8=0,0,AG39))</f>
        <v>0</v>
      </c>
      <c r="AG40" s="98">
        <f t="shared" ca="1" si="11"/>
        <v>0</v>
      </c>
      <c r="AH40" s="68"/>
      <c r="AI40" s="71">
        <f ca="1">IF(C40=1,Reeksen!AJ8*((F40-G40+F40)/2)*12+Reeksen!AK8*((L40-M40+L40)/2)*12,0)</f>
        <v>0</v>
      </c>
      <c r="AJ40" s="71">
        <f ca="1">-AI40*'Invoer gegevens'!$F$28</f>
        <v>0</v>
      </c>
      <c r="AK40" s="71">
        <f t="shared" ca="1" si="9"/>
        <v>0</v>
      </c>
      <c r="AL40" s="71">
        <f ca="1">IF(C40=1,Reeksen!AL8*((F40-G40+F40)/2)*12+Reeksen!AM8*((L40-M40+L40)/2)*12,0)</f>
        <v>0</v>
      </c>
      <c r="AM40" s="71">
        <f ca="1">-AL40*'Invoer gegevens'!$F$31</f>
        <v>0</v>
      </c>
      <c r="AN40" s="71">
        <f t="shared" ca="1" si="12"/>
        <v>0</v>
      </c>
      <c r="AO40" s="71">
        <f ca="1">IF(E40&gt;='Invoer gegevens'!$C$17+15,0,IF(C40=1,(H40+J40+N40+P40)*Reeksen!AN8,0))</f>
        <v>0</v>
      </c>
      <c r="AP40" s="71">
        <f ca="1">-IF(C40=1,(H40+J40+N40+P40)*'Hulp - basis'!$G$550*Reeksen!H8,0)</f>
        <v>0</v>
      </c>
      <c r="AQ40" s="71">
        <f ca="1">-IF(C40=1,(F40+K40+L40+Q40)/2*'Invoer gegevens'!$I$33*Reeksen!J8,0)</f>
        <v>0</v>
      </c>
      <c r="AR40" s="71">
        <f ca="1">-IF(C40=1,(I40*'Invoer gegevens'!$I$34)*Reeksen!J8,0)</f>
        <v>0</v>
      </c>
      <c r="AS40" s="71">
        <f ca="1">-IF(C40=1,(F40+K40+L40+Q40)/2*'Invoer gegevens'!$I$35*Reeksen!L8,0)</f>
        <v>0</v>
      </c>
      <c r="AT40" s="71">
        <f ca="1">-IF(C40=1,IF(E40='Invoer gegevens'!$C$17,'Invoer gegevens'!$C$11,AD40)*Reeksen!S8*'Invoer gegevens'!$C$18*Reeksen!P8,0)</f>
        <v>0</v>
      </c>
      <c r="AU40" s="71">
        <f ca="1">-IF(C40=1,(F40+K40+L40+Q40)/2*'Invoer gegevens'!$I$36*Reeksen!H8,0)</f>
        <v>0</v>
      </c>
      <c r="AV40" s="71">
        <f>IF('Invoer gegevens'!$C$3="Basis",0,#REF!)</f>
        <v>0</v>
      </c>
      <c r="AW40" s="71">
        <f t="shared" ca="1" si="13"/>
        <v>0</v>
      </c>
      <c r="AX40" s="72">
        <f ca="1">IF(E40='Invoer gegevens'!$C$17+14,'RW - BW - UP'!$AY$236,0)</f>
        <v>0</v>
      </c>
      <c r="AY40" s="72">
        <f ca="1">IFERROR(IF(E40='Invoer gegevens'!$C$17,-'Invoer gegevens'!$C$10*('Invoer gegevens'!$C$30+'Invoer gegevens'!$C$31)*Reeksen!H8,0),0)</f>
        <v>0</v>
      </c>
      <c r="AZ40" s="73">
        <f ca="1">IF('Invoer gegevens'!$C$34=E40,'Invoer gegevens'!$C$27*'Invoer gegevens'!$C$10*'Invoer gegevens'!$C$36*(IF('Invoer gegevens'!$C$35="ja",1,Reeksen!J8)),IF('Invoer gegevens'!$C$34+1=E40,'Invoer gegevens'!$C$27*'Invoer gegevens'!$C$10*'Invoer gegevens'!$C$37*(IF('Invoer gegevens'!$C$35="ja",1,Reeksen!J8)),0))+IF(AND(E40='Invoer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0" s="73">
        <f ca="1">AW40/(1+'Invoer gegevens'!$F$18)^($D40-('Invoer gegevens'!$C$17-'Invoer gegevens'!$C$16))/(1+'Invoer gegevens'!$C$39)^('Invoer gegevens'!$C$17-'Invoer gegevens'!$C$16)</f>
        <v>0</v>
      </c>
      <c r="BB40" s="73">
        <f ca="1">AX40/(1+'Invoer gegevens'!$F$18)^(E40-('Invoer gegevens'!$C$17-1))/(1+'Invoer gegevens'!$C$39)^('Invoer gegevens'!$C$17-'Invoer gegevens'!$C$16)</f>
        <v>0</v>
      </c>
      <c r="BC40" s="73">
        <f ca="1">AY40/(1+'Invoer gegevens'!$C$39)^('Invoer gegevens'!$C$17-'Invoer gegevens'!$C$16)</f>
        <v>0</v>
      </c>
      <c r="BD40" s="72">
        <f t="shared" ca="1" si="14"/>
        <v>0</v>
      </c>
      <c r="BE40" s="72">
        <f ca="1">IF(AND(E40='Invoer gegevens'!$C$16,'Invoer gegevens'!$C$34&lt;'Invoer gegevens'!$C$16),AZ40,AZ40/(1+'Invoer gegevens'!$C$39)^D40)</f>
        <v>0</v>
      </c>
      <c r="BF40" s="72">
        <f ca="1">IF(E40='Invoer gegevens'!$C$34,-'Invoer gegevens'!$F$40,0)</f>
        <v>0</v>
      </c>
      <c r="BG40" s="72">
        <f ca="1">IF(E40='Invoer gegevens'!$C$17,-'Invoer gegevens'!$C$19*$BD$63,0)</f>
        <v>0</v>
      </c>
      <c r="BH40" s="72">
        <f ca="1">AW40/(1+$BH$36)^($D40-('Invoer gegevens'!$C$17-'Invoer gegevens'!$C$16))/(1+'Invoer gegevens'!$C$39)^('Invoer gegevens'!$C$17-'Invoer gegevens'!$C$16)+AX40/(1+$BH$36)^(E40-('Invoer gegevens'!$C$17-1))/(1+'Invoer gegevens'!$C$39)^('Invoer gegevens'!$C$17-'Invoer gegevens'!$C$16)+AY40/(1+'Invoer gegevens'!$C$39)^('Invoer gegevens'!$C$17-'Invoer gegevens'!$C$16)+(-AZ40/(1+'Invoer gegevens'!$C$39)^D40)+BF40+BG40</f>
        <v>0</v>
      </c>
      <c r="BI40" s="59"/>
    </row>
    <row r="41" spans="1:61" x14ac:dyDescent="0.25">
      <c r="A41" s="59"/>
      <c r="B41" s="70">
        <f t="shared" si="15"/>
        <v>5</v>
      </c>
      <c r="C41" s="67">
        <f ca="1">IF(AND(E41&gt;='Invoer gegevens'!$C$17,E41&lt;'Invoer gegevens'!$C$17+15),1,0)</f>
        <v>1</v>
      </c>
      <c r="D41" s="68">
        <f t="shared" si="16"/>
        <v>4.5</v>
      </c>
      <c r="E41" s="69">
        <f ca="1">IF('Invoer gegevens'!$C$16="","",E40+1)</f>
        <v>2023</v>
      </c>
      <c r="F41" s="84">
        <f ca="1">IF('Invoer gegevens'!$C$17=E41,'Invoer gegevens'!$C$10,IF(C41=1,K40,0))</f>
        <v>0</v>
      </c>
      <c r="G41" s="96">
        <f ca="1">IF(E41='Invoer gegevens'!$C$17+15,K40,IF(C41&gt;=1,F41*VLOOKUP(E41,Reeksen!$A$5:$B$76,2),0))</f>
        <v>0</v>
      </c>
      <c r="H41" s="84">
        <f ca="1">IF(E41='Invoer gegevens'!$C$17+15,K40,(1-('Invoer gegevens'!$F$20/12))*F41*MIN(Reeksen!B9,Reeksen!D9))</f>
        <v>0</v>
      </c>
      <c r="I41" s="84">
        <f>IF(Reeksen!D9&lt;Reeksen!B9,(Reeksen!B9-Reeksen!D9)*F41,0)</f>
        <v>0</v>
      </c>
      <c r="J41" s="84">
        <f ca="1">IF(E41='Invoer gegevens'!$C$17+16,0,('Invoer gegevens'!$F$20/12)*F40*MIN(Reeksen!B8,Reeksen!D8))</f>
        <v>0</v>
      </c>
      <c r="K41" s="97">
        <f ca="1">IF(E41&gt;='Invoer gegevens'!$C$17+15,0,F41-G41)</f>
        <v>0</v>
      </c>
      <c r="L41" s="84">
        <f ca="1">IF('Invoer gegevens'!$C$17=E41,0,IF(C41=1,Q40,0))</f>
        <v>0</v>
      </c>
      <c r="M41" s="96">
        <f ca="1">IF(E41='Invoer gegevens'!$C$17+15,Q40,IF(C41&gt;=1,L41*VLOOKUP(E41,Reeksen!$A$5:$B$76,2),0))</f>
        <v>0</v>
      </c>
      <c r="N41" s="84">
        <f ca="1">IF(C41='Invoer gegevens'!$C$17+15,Q40,(1-('Invoer gegevens'!$F$20/12))*L41*MIN(Reeksen!B9,Reeksen!D9))</f>
        <v>0</v>
      </c>
      <c r="O41" s="84">
        <f>IF(Reeksen!D9&lt;Reeksen!B9,(Reeksen!B9-Reeksen!D9)*L41,0)</f>
        <v>0</v>
      </c>
      <c r="P41" s="84">
        <f ca="1">IF(E41='Invoer gegevens'!$C$17+16,0,('Invoer gegevens'!$F$20/12)*L40*MIN(Reeksen!B8,Reeksen!D8))</f>
        <v>0</v>
      </c>
      <c r="Q41" s="84">
        <f ca="1">IF(E41&gt;='Invoer gegevens'!$C$17+15,0,L41-M41+I41+O41)</f>
        <v>0</v>
      </c>
      <c r="R41" s="82">
        <f ca="1">IF('Invoer gegevens'!$C$17=E41,'Invoer gegevens'!$C$11,IF(C41=1,W40,0))</f>
        <v>0</v>
      </c>
      <c r="S41" s="86">
        <f ca="1">IF(E41='Invoer gegevens'!$C$17+15,W40,IF(C41&gt;=1,R41*VLOOKUP(E41,Reeksen!$A$5:$B$76,2),0))</f>
        <v>0</v>
      </c>
      <c r="T41" s="84">
        <f ca="1">IF(E41='Invoer gegevens'!$C$17+15,W40,(1-('Invoer gegevens'!$F$20/12))*R41*MIN(Reeksen!B9,Reeksen!D9))</f>
        <v>0</v>
      </c>
      <c r="U41" s="84">
        <f>IF(Reeksen!D9&gt;=Reeksen!B9,0,IF(Reeksen!AK9&lt;=Reeksen!AE9,(Reeksen!B9-Reeksen!D9)*R41,0))</f>
        <v>0</v>
      </c>
      <c r="V41" s="86">
        <f>IF(Reeksen!D9&gt;=Reeksen!B9,0,IF(Reeksen!AK9&gt;Reeksen!AE9,(Reeksen!B9-Reeksen!D9)*R41,0))</f>
        <v>0</v>
      </c>
      <c r="W41" s="97">
        <f ca="1">IF(E41&gt;='Invoer gegevens'!$C$17+15,0,R41-S41)</f>
        <v>0</v>
      </c>
      <c r="X41" s="98">
        <f ca="1">IF('Invoer gegevens'!$C$17=E41,'Invoer gegevens'!$C$10-'Invoer gegevens'!$C$11,IF(C41=1,AC40,0))</f>
        <v>0</v>
      </c>
      <c r="Y41" s="98">
        <f ca="1">IF(E41='Invoer gegevens'!$C$17+15,AC40,IF(C41&gt;=1,X41*VLOOKUP(E41,Reeksen!$A$5:$B$76,2),0))</f>
        <v>0</v>
      </c>
      <c r="Z41" s="98">
        <f ca="1">IF(E41='Invoer gegevens'!$C$17+15,AC40,(1-('Invoer gegevens'!$F$20/12))*X41*MIN(Reeksen!B9,Reeksen!D9))</f>
        <v>0</v>
      </c>
      <c r="AA41" s="98">
        <f>IF(Reeksen!D9&gt;=Reeksen!B9,0,IF(Reeksen!AK9&lt;=Reeksen!AE9,(Reeksen!B9-Reeksen!D9)*X41,0))</f>
        <v>0</v>
      </c>
      <c r="AB41" s="98">
        <f>IF(Reeksen!D9&gt;=Reeksen!B9,0,IF(Reeksen!AK9&gt;Reeksen!AE9,(Reeksen!B9-Reeksen!D9)*X41,0))</f>
        <v>0</v>
      </c>
      <c r="AC41" s="99">
        <f ca="1">IF(E41&gt;='Invoer gegevens'!$C$17+15,0,X41-Y41)</f>
        <v>0</v>
      </c>
      <c r="AD41" s="98">
        <f ca="1">IF('Invoer gegevens'!$C$17=E9,R41,IF(C9=0,0,AE40))</f>
        <v>0</v>
      </c>
      <c r="AE41" s="98">
        <f t="shared" ca="1" si="10"/>
        <v>0</v>
      </c>
      <c r="AF41" s="98">
        <f ca="1">IF('Invoer gegevens'!$C$17=E9,X41,IF(C9=0,0,AG40))</f>
        <v>0</v>
      </c>
      <c r="AG41" s="98">
        <f t="shared" ca="1" si="11"/>
        <v>0</v>
      </c>
      <c r="AH41" s="68"/>
      <c r="AI41" s="71">
        <f ca="1">IF(C41=1,Reeksen!AJ9*((F41-G41+F41)/2)*12+Reeksen!AK9*((L41-M41+L41)/2)*12,0)</f>
        <v>0</v>
      </c>
      <c r="AJ41" s="71">
        <f ca="1">-AI41*'Invoer gegevens'!$F$28</f>
        <v>0</v>
      </c>
      <c r="AK41" s="71">
        <f t="shared" ca="1" si="9"/>
        <v>0</v>
      </c>
      <c r="AL41" s="71">
        <f ca="1">IF(C41=1,Reeksen!AL9*((F41-G41+F41)/2)*12+Reeksen!AM9*((L41-M41+L41)/2)*12,0)</f>
        <v>0</v>
      </c>
      <c r="AM41" s="71">
        <f ca="1">-AL41*'Invoer gegevens'!$F$31</f>
        <v>0</v>
      </c>
      <c r="AN41" s="71">
        <f t="shared" ca="1" si="12"/>
        <v>0</v>
      </c>
      <c r="AO41" s="71">
        <f ca="1">IF(E41&gt;='Invoer gegevens'!$C$17+15,0,IF(C41=1,(H41+J41+N41+P41)*Reeksen!AN9,0))</f>
        <v>0</v>
      </c>
      <c r="AP41" s="71">
        <f ca="1">-IF(C41=1,(H41+J41+N41+P41)*'Hulp - basis'!$G$550*Reeksen!H9,0)</f>
        <v>0</v>
      </c>
      <c r="AQ41" s="71">
        <f ca="1">-IF(C41=1,(F41+K41+L41+Q41)/2*'Invoer gegevens'!$I$33*Reeksen!J9,0)</f>
        <v>0</v>
      </c>
      <c r="AR41" s="71">
        <f ca="1">-IF(C41=1,(I41*'Invoer gegevens'!$I$34)*Reeksen!J9,0)</f>
        <v>0</v>
      </c>
      <c r="AS41" s="71">
        <f ca="1">-IF(C41=1,(F41+K41+L41+Q41)/2*'Invoer gegevens'!$I$35*Reeksen!L9,0)</f>
        <v>0</v>
      </c>
      <c r="AT41" s="71">
        <f ca="1">-IF(C41=1,IF(E41='Invoer gegevens'!$C$17,'Invoer gegevens'!$C$11,AD41)*Reeksen!S9*'Invoer gegevens'!$C$18*Reeksen!P9,0)</f>
        <v>0</v>
      </c>
      <c r="AU41" s="71">
        <f ca="1">-IF(C41=1,(F41+K41+L41+Q41)/2*'Invoer gegevens'!$I$36*Reeksen!H9,0)</f>
        <v>0</v>
      </c>
      <c r="AV41" s="71">
        <f>IF('Invoer gegevens'!$C$3="Basis",0,#REF!)</f>
        <v>0</v>
      </c>
      <c r="AW41" s="71">
        <f t="shared" ca="1" si="13"/>
        <v>0</v>
      </c>
      <c r="AX41" s="72">
        <f ca="1">IF(E41='Invoer gegevens'!$C$17+14,'RW - BW - UP'!$AY$236,0)</f>
        <v>0</v>
      </c>
      <c r="AY41" s="72">
        <f ca="1">IFERROR(IF(E41='Invoer gegevens'!$C$17,-'Invoer gegevens'!$C$10*('Invoer gegevens'!$C$30+'Invoer gegevens'!$C$31)*Reeksen!H9,0),0)</f>
        <v>0</v>
      </c>
      <c r="AZ41" s="73">
        <f ca="1">IF('Invoer gegevens'!$C$34=E41,'Invoer gegevens'!$C$27*'Invoer gegevens'!$C$10*'Invoer gegevens'!$C$36*(IF('Invoer gegevens'!$C$35="ja",1,Reeksen!J9)),IF('Invoer gegevens'!$C$34+1=E41,'Invoer gegevens'!$C$27*'Invoer gegevens'!$C$10*'Invoer gegevens'!$C$37*(IF('Invoer gegevens'!$C$35="ja",1,Reeksen!J9)),0))+IF(AND(E41='Invoer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1" s="73">
        <f ca="1">AW41/(1+'Invoer gegevens'!$F$18)^($D41-('Invoer gegevens'!$C$17-'Invoer gegevens'!$C$16))/(1+'Invoer gegevens'!$C$39)^('Invoer gegevens'!$C$17-'Invoer gegevens'!$C$16)</f>
        <v>0</v>
      </c>
      <c r="BB41" s="73">
        <f ca="1">AX41/(1+'Invoer gegevens'!$F$18)^(E41-('Invoer gegevens'!$C$17-1))/(1+'Invoer gegevens'!$C$39)^('Invoer gegevens'!$C$17-'Invoer gegevens'!$C$16)</f>
        <v>0</v>
      </c>
      <c r="BC41" s="73">
        <f ca="1">AY41/(1+'Invoer gegevens'!$C$39)^('Invoer gegevens'!$C$17-'Invoer gegevens'!$C$16)</f>
        <v>0</v>
      </c>
      <c r="BD41" s="72">
        <f t="shared" ca="1" si="14"/>
        <v>0</v>
      </c>
      <c r="BE41" s="72">
        <f ca="1">IF(AND(E41='Invoer gegevens'!$C$16,'Invoer gegevens'!$C$34&lt;'Invoer gegevens'!$C$16),AZ41,AZ41/(1+'Invoer gegevens'!$C$39)^D41)</f>
        <v>0</v>
      </c>
      <c r="BF41" s="72">
        <f ca="1">IF(E41='Invoer gegevens'!$C$34,-'Invoer gegevens'!$F$40,0)</f>
        <v>0</v>
      </c>
      <c r="BG41" s="72">
        <f ca="1">IF(E41='Invoer gegevens'!$C$17,-'Invoer gegevens'!$C$19*$BD$63,0)</f>
        <v>0</v>
      </c>
      <c r="BH41" s="72">
        <f ca="1">AW41/(1+$BH$36)^($D41-('Invoer gegevens'!$C$17-'Invoer gegevens'!$C$16))/(1+'Invoer gegevens'!$C$39)^('Invoer gegevens'!$C$17-'Invoer gegevens'!$C$16)+AX41/(1+$BH$36)^(E41-('Invoer gegevens'!$C$17-1))/(1+'Invoer gegevens'!$C$39)^('Invoer gegevens'!$C$17-'Invoer gegevens'!$C$16)+AY41/(1+'Invoer gegevens'!$C$39)^('Invoer gegevens'!$C$17-'Invoer gegevens'!$C$16)+(-AZ41/(1+'Invoer gegevens'!$C$39)^D41)+BF41+BG41</f>
        <v>0</v>
      </c>
      <c r="BI41" s="59"/>
    </row>
    <row r="42" spans="1:61" x14ac:dyDescent="0.25">
      <c r="A42" s="59"/>
      <c r="B42" s="70">
        <f t="shared" si="15"/>
        <v>6</v>
      </c>
      <c r="C42" s="67">
        <f ca="1">IF(AND(E42&gt;='Invoer gegevens'!$C$17,E42&lt;'Invoer gegevens'!$C$17+15),1,0)</f>
        <v>1</v>
      </c>
      <c r="D42" s="68">
        <f t="shared" si="16"/>
        <v>5.5</v>
      </c>
      <c r="E42" s="69">
        <f ca="1">IF('Invoer gegevens'!$C$16="","",E41+1)</f>
        <v>2024</v>
      </c>
      <c r="F42" s="84">
        <f ca="1">IF('Invoer gegevens'!$C$17=E42,'Invoer gegevens'!$C$10,IF(C42=1,K41,0))</f>
        <v>0</v>
      </c>
      <c r="G42" s="96">
        <f ca="1">IF(E42='Invoer gegevens'!$C$17+15,K41,IF(C42&gt;=1,F42*VLOOKUP(E42,Reeksen!$A$5:$B$76,2),0))</f>
        <v>0</v>
      </c>
      <c r="H42" s="84">
        <f ca="1">IF(E42='Invoer gegevens'!$C$17+15,K41,(1-('Invoer gegevens'!$F$20/12))*F42*MIN(Reeksen!B10,Reeksen!D10))</f>
        <v>0</v>
      </c>
      <c r="I42" s="84">
        <f>IF(Reeksen!D10&lt;Reeksen!B10,(Reeksen!B10-Reeksen!D10)*F42,0)</f>
        <v>0</v>
      </c>
      <c r="J42" s="84">
        <f ca="1">IF(E42='Invoer gegevens'!$C$17+16,0,('Invoer gegevens'!$F$20/12)*F41*MIN(Reeksen!B9,Reeksen!D9))</f>
        <v>0</v>
      </c>
      <c r="K42" s="97">
        <f ca="1">IF(E42&gt;='Invoer gegevens'!$C$17+15,0,F42-G42)</f>
        <v>0</v>
      </c>
      <c r="L42" s="84">
        <f ca="1">IF('Invoer gegevens'!$C$17=E42,0,IF(C42=1,Q41,0))</f>
        <v>0</v>
      </c>
      <c r="M42" s="96">
        <f ca="1">IF(E42='Invoer gegevens'!$C$17+15,Q41,IF(C42&gt;=1,L42*VLOOKUP(E42,Reeksen!$A$5:$B$76,2),0))</f>
        <v>0</v>
      </c>
      <c r="N42" s="84">
        <f ca="1">IF(C42='Invoer gegevens'!$C$17+15,Q41,(1-('Invoer gegevens'!$F$20/12))*L42*MIN(Reeksen!B10,Reeksen!D10))</f>
        <v>0</v>
      </c>
      <c r="O42" s="84">
        <f>IF(Reeksen!D10&lt;Reeksen!B10,(Reeksen!B10-Reeksen!D10)*L42,0)</f>
        <v>0</v>
      </c>
      <c r="P42" s="84">
        <f ca="1">IF(E42='Invoer gegevens'!$C$17+16,0,('Invoer gegevens'!$F$20/12)*L41*MIN(Reeksen!B9,Reeksen!D9))</f>
        <v>0</v>
      </c>
      <c r="Q42" s="84">
        <f ca="1">IF(E42&gt;='Invoer gegevens'!$C$17+15,0,L42-M42+I42+O42)</f>
        <v>0</v>
      </c>
      <c r="R42" s="82">
        <f ca="1">IF('Invoer gegevens'!$C$17=E42,'Invoer gegevens'!$C$11,IF(C42=1,W41,0))</f>
        <v>0</v>
      </c>
      <c r="S42" s="86">
        <f ca="1">IF(E42='Invoer gegevens'!$C$17+15,W41,IF(C42&gt;=1,R42*VLOOKUP(E42,Reeksen!$A$5:$B$76,2),0))</f>
        <v>0</v>
      </c>
      <c r="T42" s="84">
        <f ca="1">IF(E42='Invoer gegevens'!$C$17+15,W41,(1-('Invoer gegevens'!$F$20/12))*R42*MIN(Reeksen!B10,Reeksen!D10))</f>
        <v>0</v>
      </c>
      <c r="U42" s="84">
        <f>IF(Reeksen!D10&gt;=Reeksen!B10,0,IF(Reeksen!AK10&lt;=Reeksen!AE10,(Reeksen!B10-Reeksen!D10)*R42,0))</f>
        <v>0</v>
      </c>
      <c r="V42" s="86">
        <f>IF(Reeksen!D10&gt;=Reeksen!B10,0,IF(Reeksen!AK10&gt;Reeksen!AE10,(Reeksen!B10-Reeksen!D10)*R42,0))</f>
        <v>0</v>
      </c>
      <c r="W42" s="97">
        <f ca="1">IF(E42&gt;='Invoer gegevens'!$C$17+15,0,R42-S42)</f>
        <v>0</v>
      </c>
      <c r="X42" s="98">
        <f ca="1">IF('Invoer gegevens'!$C$17=E42,'Invoer gegevens'!$C$10-'Invoer gegevens'!$C$11,IF(C42=1,AC41,0))</f>
        <v>0</v>
      </c>
      <c r="Y42" s="98">
        <f ca="1">IF(E42='Invoer gegevens'!$C$17+15,AC41,IF(C42&gt;=1,X42*VLOOKUP(E42,Reeksen!$A$5:$B$76,2),0))</f>
        <v>0</v>
      </c>
      <c r="Z42" s="98">
        <f ca="1">IF(E42='Invoer gegevens'!$C$17+15,AC41,(1-('Invoer gegevens'!$F$20/12))*X42*MIN(Reeksen!B10,Reeksen!D10))</f>
        <v>0</v>
      </c>
      <c r="AA42" s="98">
        <f>IF(Reeksen!D10&gt;=Reeksen!B10,0,IF(Reeksen!AK10&lt;=Reeksen!AE10,(Reeksen!B10-Reeksen!D10)*X42,0))</f>
        <v>0</v>
      </c>
      <c r="AB42" s="98">
        <f>IF(Reeksen!D10&gt;=Reeksen!B10,0,IF(Reeksen!AK10&gt;Reeksen!AE10,(Reeksen!B10-Reeksen!D10)*X42,0))</f>
        <v>0</v>
      </c>
      <c r="AC42" s="99">
        <f ca="1">IF(E42&gt;='Invoer gegevens'!$C$17+15,0,X42-Y42)</f>
        <v>0</v>
      </c>
      <c r="AD42" s="98">
        <f ca="1">IF('Invoer gegevens'!$C$17=E10,R42,IF(C10=0,0,AE41))</f>
        <v>0</v>
      </c>
      <c r="AE42" s="98">
        <f t="shared" ca="1" si="10"/>
        <v>0</v>
      </c>
      <c r="AF42" s="98">
        <f ca="1">IF('Invoer gegevens'!$C$17=E10,X42,IF(C10=0,0,AG41))</f>
        <v>0</v>
      </c>
      <c r="AG42" s="98">
        <f t="shared" ca="1" si="11"/>
        <v>0</v>
      </c>
      <c r="AH42" s="68"/>
      <c r="AI42" s="71">
        <f ca="1">IF(C42=1,Reeksen!AJ10*((F42-G42+F42)/2)*12+Reeksen!AK10*((L42-M42+L42)/2)*12,0)</f>
        <v>0</v>
      </c>
      <c r="AJ42" s="71">
        <f ca="1">-AI42*'Invoer gegevens'!$F$28</f>
        <v>0</v>
      </c>
      <c r="AK42" s="71">
        <f t="shared" ca="1" si="9"/>
        <v>0</v>
      </c>
      <c r="AL42" s="71">
        <f ca="1">IF(C42=1,Reeksen!AL10*((F42-G42+F42)/2)*12+Reeksen!AM10*((L42-M42+L42)/2)*12,0)</f>
        <v>0</v>
      </c>
      <c r="AM42" s="71">
        <f ca="1">-AL42*'Invoer gegevens'!$F$31</f>
        <v>0</v>
      </c>
      <c r="AN42" s="71">
        <f t="shared" ca="1" si="12"/>
        <v>0</v>
      </c>
      <c r="AO42" s="71">
        <f ca="1">IF(E42&gt;='Invoer gegevens'!$C$17+15,0,IF(C42=1,(H42+J42+N42+P42)*Reeksen!AN10,0))</f>
        <v>0</v>
      </c>
      <c r="AP42" s="71">
        <f ca="1">-IF(C42=1,(H42+J42+N42+P42)*'Hulp - basis'!$G$550*Reeksen!H10,0)</f>
        <v>0</v>
      </c>
      <c r="AQ42" s="71">
        <f ca="1">-IF(C42=1,(F42+K42+L42+Q42)/2*'Invoer gegevens'!$I$33*Reeksen!J10,0)</f>
        <v>0</v>
      </c>
      <c r="AR42" s="71">
        <f ca="1">-IF(C42=1,(I42*'Invoer gegevens'!$I$34)*Reeksen!J10,0)</f>
        <v>0</v>
      </c>
      <c r="AS42" s="71">
        <f ca="1">-IF(C42=1,(F42+K42+L42+Q42)/2*'Invoer gegevens'!$I$35*Reeksen!L10,0)</f>
        <v>0</v>
      </c>
      <c r="AT42" s="71">
        <f ca="1">-IF(C42=1,IF(E42='Invoer gegevens'!$C$17,'Invoer gegevens'!$C$11,AD42)*Reeksen!S10*'Invoer gegevens'!$C$18*Reeksen!P10,0)</f>
        <v>0</v>
      </c>
      <c r="AU42" s="71">
        <f ca="1">-IF(C42=1,(F42+K42+L42+Q42)/2*'Invoer gegevens'!$I$36*Reeksen!H10,0)</f>
        <v>0</v>
      </c>
      <c r="AV42" s="71">
        <f>IF('Invoer gegevens'!$C$3="Basis",0,#REF!)</f>
        <v>0</v>
      </c>
      <c r="AW42" s="71">
        <f t="shared" ca="1" si="13"/>
        <v>0</v>
      </c>
      <c r="AX42" s="72">
        <f ca="1">IF(E42='Invoer gegevens'!$C$17+14,'RW - BW - UP'!$AY$236,0)</f>
        <v>0</v>
      </c>
      <c r="AY42" s="72">
        <f ca="1">IFERROR(IF(E42='Invoer gegevens'!$C$17,-'Invoer gegevens'!$C$10*('Invoer gegevens'!$C$30+'Invoer gegevens'!$C$31)*Reeksen!H10,0),0)</f>
        <v>0</v>
      </c>
      <c r="AZ42" s="73">
        <f ca="1">IF('Invoer gegevens'!$C$34=E42,'Invoer gegevens'!$C$27*'Invoer gegevens'!$C$10*'Invoer gegevens'!$C$36*(IF('Invoer gegevens'!$C$35="ja",1,Reeksen!J10)),IF('Invoer gegevens'!$C$34+1=E42,'Invoer gegevens'!$C$27*'Invoer gegevens'!$C$10*'Invoer gegevens'!$C$37*(IF('Invoer gegevens'!$C$35="ja",1,Reeksen!J10)),0))+IF(AND(E42='Invoer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2" s="73">
        <f ca="1">AW42/(1+'Invoer gegevens'!$F$18)^($D42-('Invoer gegevens'!$C$17-'Invoer gegevens'!$C$16))/(1+'Invoer gegevens'!$C$39)^('Invoer gegevens'!$C$17-'Invoer gegevens'!$C$16)</f>
        <v>0</v>
      </c>
      <c r="BB42" s="73">
        <f ca="1">AX42/(1+'Invoer gegevens'!$F$18)^(E42-('Invoer gegevens'!$C$17-1))/(1+'Invoer gegevens'!$C$39)^('Invoer gegevens'!$C$17-'Invoer gegevens'!$C$16)</f>
        <v>0</v>
      </c>
      <c r="BC42" s="73">
        <f ca="1">AY42/(1+'Invoer gegevens'!$C$39)^('Invoer gegevens'!$C$17-'Invoer gegevens'!$C$16)</f>
        <v>0</v>
      </c>
      <c r="BD42" s="72">
        <f t="shared" ca="1" si="14"/>
        <v>0</v>
      </c>
      <c r="BE42" s="72">
        <f ca="1">IF(AND(E42='Invoer gegevens'!$C$16,'Invoer gegevens'!$C$34&lt;'Invoer gegevens'!$C$16),AZ42,AZ42/(1+'Invoer gegevens'!$C$39)^D42)</f>
        <v>0</v>
      </c>
      <c r="BF42" s="72">
        <f ca="1">IF(E42='Invoer gegevens'!$C$34,-'Invoer gegevens'!$F$40,0)</f>
        <v>0</v>
      </c>
      <c r="BG42" s="72">
        <f ca="1">IF(E42='Invoer gegevens'!$C$17,-'Invoer gegevens'!$C$19*$BD$63,0)</f>
        <v>0</v>
      </c>
      <c r="BH42" s="72">
        <f ca="1">AW42/(1+$BH$36)^($D42-('Invoer gegevens'!$C$17-'Invoer gegevens'!$C$16))/(1+'Invoer gegevens'!$C$39)^('Invoer gegevens'!$C$17-'Invoer gegevens'!$C$16)+AX42/(1+$BH$36)^(E42-('Invoer gegevens'!$C$17-1))/(1+'Invoer gegevens'!$C$39)^('Invoer gegevens'!$C$17-'Invoer gegevens'!$C$16)+AY42/(1+'Invoer gegevens'!$C$39)^('Invoer gegevens'!$C$17-'Invoer gegevens'!$C$16)+(-AZ42/(1+'Invoer gegevens'!$C$39)^D42)+BF42+BG42</f>
        <v>0</v>
      </c>
      <c r="BI42" s="59"/>
    </row>
    <row r="43" spans="1:61" x14ac:dyDescent="0.25">
      <c r="A43" s="59"/>
      <c r="B43" s="70">
        <f t="shared" si="15"/>
        <v>7</v>
      </c>
      <c r="C43" s="67">
        <f ca="1">IF(AND(E43&gt;='Invoer gegevens'!$C$17,E43&lt;'Invoer gegevens'!$C$17+15),1,0)</f>
        <v>1</v>
      </c>
      <c r="D43" s="68">
        <f t="shared" si="16"/>
        <v>6.5</v>
      </c>
      <c r="E43" s="69">
        <f ca="1">IF('Invoer gegevens'!$C$16="","",E42+1)</f>
        <v>2025</v>
      </c>
      <c r="F43" s="84">
        <f ca="1">IF('Invoer gegevens'!$C$17=E43,'Invoer gegevens'!$C$10,IF(C43=1,K42,0))</f>
        <v>0</v>
      </c>
      <c r="G43" s="96">
        <f ca="1">IF(E43='Invoer gegevens'!$C$17+15,K42,IF(C43&gt;=1,F43*VLOOKUP(E43,Reeksen!$A$5:$B$76,2),0))</f>
        <v>0</v>
      </c>
      <c r="H43" s="84">
        <f ca="1">IF(E43='Invoer gegevens'!$C$17+15,K42,(1-('Invoer gegevens'!$F$20/12))*F43*MIN(Reeksen!B11,Reeksen!D11))</f>
        <v>0</v>
      </c>
      <c r="I43" s="84">
        <f>IF(Reeksen!D11&lt;Reeksen!B11,(Reeksen!B11-Reeksen!D11)*F43,0)</f>
        <v>0</v>
      </c>
      <c r="J43" s="84">
        <f ca="1">IF(E43='Invoer gegevens'!$C$17+16,0,('Invoer gegevens'!$F$20/12)*F42*MIN(Reeksen!B10,Reeksen!D10))</f>
        <v>0</v>
      </c>
      <c r="K43" s="97">
        <f ca="1">IF(E43&gt;='Invoer gegevens'!$C$17+15,0,F43-G43)</f>
        <v>0</v>
      </c>
      <c r="L43" s="84">
        <f ca="1">IF('Invoer gegevens'!$C$17=E43,0,IF(C43=1,Q42,0))</f>
        <v>0</v>
      </c>
      <c r="M43" s="96">
        <f ca="1">IF(E43='Invoer gegevens'!$C$17+15,Q42,IF(C43&gt;=1,L43*VLOOKUP(E43,Reeksen!$A$5:$B$76,2),0))</f>
        <v>0</v>
      </c>
      <c r="N43" s="84">
        <f ca="1">IF(C43='Invoer gegevens'!$C$17+15,Q42,(1-('Invoer gegevens'!$F$20/12))*L43*MIN(Reeksen!B11,Reeksen!D11))</f>
        <v>0</v>
      </c>
      <c r="O43" s="84">
        <f>IF(Reeksen!D11&lt;Reeksen!B11,(Reeksen!B11-Reeksen!D11)*L43,0)</f>
        <v>0</v>
      </c>
      <c r="P43" s="84">
        <f ca="1">IF(E43='Invoer gegevens'!$C$17+16,0,('Invoer gegevens'!$F$20/12)*L42*MIN(Reeksen!B10,Reeksen!D10))</f>
        <v>0</v>
      </c>
      <c r="Q43" s="84">
        <f ca="1">IF(E43&gt;='Invoer gegevens'!$C$17+15,0,L43-M43+I43+O43)</f>
        <v>0</v>
      </c>
      <c r="R43" s="82">
        <f ca="1">IF('Invoer gegevens'!$C$17=E43,'Invoer gegevens'!$C$11,IF(C43=1,W42,0))</f>
        <v>0</v>
      </c>
      <c r="S43" s="86">
        <f ca="1">IF(E43='Invoer gegevens'!$C$17+15,W42,IF(C43&gt;=1,R43*VLOOKUP(E43,Reeksen!$A$5:$B$76,2),0))</f>
        <v>0</v>
      </c>
      <c r="T43" s="84">
        <f ca="1">IF(E43='Invoer gegevens'!$C$17+15,W42,(1-('Invoer gegevens'!$F$20/12))*R43*MIN(Reeksen!B11,Reeksen!D11))</f>
        <v>0</v>
      </c>
      <c r="U43" s="84">
        <f>IF(Reeksen!D11&gt;=Reeksen!B11,0,IF(Reeksen!AK11&lt;=Reeksen!AE11,(Reeksen!B11-Reeksen!D11)*R43,0))</f>
        <v>0</v>
      </c>
      <c r="V43" s="86">
        <f>IF(Reeksen!D11&gt;=Reeksen!B11,0,IF(Reeksen!AK11&gt;Reeksen!AE11,(Reeksen!B11-Reeksen!D11)*R43,0))</f>
        <v>0</v>
      </c>
      <c r="W43" s="97">
        <f ca="1">IF(E43&gt;='Invoer gegevens'!$C$17+15,0,R43-S43)</f>
        <v>0</v>
      </c>
      <c r="X43" s="98">
        <f ca="1">IF('Invoer gegevens'!$C$17=E43,'Invoer gegevens'!$C$10-'Invoer gegevens'!$C$11,IF(C43=1,AC42,0))</f>
        <v>0</v>
      </c>
      <c r="Y43" s="98">
        <f ca="1">IF(E43='Invoer gegevens'!$C$17+15,AC42,IF(C43&gt;=1,X43*VLOOKUP(E43,Reeksen!$A$5:$B$76,2),0))</f>
        <v>0</v>
      </c>
      <c r="Z43" s="98">
        <f ca="1">IF(E43='Invoer gegevens'!$C$17+15,AC42,(1-('Invoer gegevens'!$F$20/12))*X43*MIN(Reeksen!B11,Reeksen!D11))</f>
        <v>0</v>
      </c>
      <c r="AA43" s="98">
        <f>IF(Reeksen!D11&gt;=Reeksen!B11,0,IF(Reeksen!AK11&lt;=Reeksen!AE11,(Reeksen!B11-Reeksen!D11)*X43,0))</f>
        <v>0</v>
      </c>
      <c r="AB43" s="98">
        <f>IF(Reeksen!D11&gt;=Reeksen!B11,0,IF(Reeksen!AK11&gt;Reeksen!AE11,(Reeksen!B11-Reeksen!D11)*X43,0))</f>
        <v>0</v>
      </c>
      <c r="AC43" s="99">
        <f ca="1">IF(E43&gt;='Invoer gegevens'!$C$17+15,0,X43-Y43)</f>
        <v>0</v>
      </c>
      <c r="AD43" s="98">
        <f ca="1">IF('Invoer gegevens'!$C$17=E11,R43,IF(C11=0,0,AE42))</f>
        <v>0</v>
      </c>
      <c r="AE43" s="98">
        <f t="shared" ca="1" si="10"/>
        <v>0</v>
      </c>
      <c r="AF43" s="98">
        <f ca="1">IF('Invoer gegevens'!$C$17=E11,X43,IF(C11=0,0,AG42))</f>
        <v>0</v>
      </c>
      <c r="AG43" s="98">
        <f t="shared" ca="1" si="11"/>
        <v>0</v>
      </c>
      <c r="AH43" s="68"/>
      <c r="AI43" s="71">
        <f ca="1">IF(C43=1,Reeksen!AJ11*((F43-G43+F43)/2)*12+Reeksen!AK11*((L43-M43+L43)/2)*12,0)</f>
        <v>0</v>
      </c>
      <c r="AJ43" s="71">
        <f ca="1">-AI43*'Invoer gegevens'!$F$28</f>
        <v>0</v>
      </c>
      <c r="AK43" s="71">
        <f t="shared" ca="1" si="9"/>
        <v>0</v>
      </c>
      <c r="AL43" s="71">
        <f ca="1">IF(C43=1,Reeksen!AL11*((F43-G43+F43)/2)*12+Reeksen!AM11*((L43-M43+L43)/2)*12,0)</f>
        <v>0</v>
      </c>
      <c r="AM43" s="71">
        <f ca="1">-AL43*'Invoer gegevens'!$F$31</f>
        <v>0</v>
      </c>
      <c r="AN43" s="71">
        <f t="shared" ca="1" si="12"/>
        <v>0</v>
      </c>
      <c r="AO43" s="71">
        <f ca="1">IF(E43&gt;='Invoer gegevens'!$C$17+15,0,IF(C43=1,(H43+J43+N43+P43)*Reeksen!AN11,0))</f>
        <v>0</v>
      </c>
      <c r="AP43" s="71">
        <f ca="1">-IF(C43=1,(H43+J43+N43+P43)*'Hulp - basis'!$G$550*Reeksen!H11,0)</f>
        <v>0</v>
      </c>
      <c r="AQ43" s="71">
        <f ca="1">-IF(C43=1,(F43+K43+L43+Q43)/2*'Invoer gegevens'!$I$33*Reeksen!J11,0)</f>
        <v>0</v>
      </c>
      <c r="AR43" s="71">
        <f ca="1">-IF(C43=1,(I43*'Invoer gegevens'!$I$34)*Reeksen!J11,0)</f>
        <v>0</v>
      </c>
      <c r="AS43" s="71">
        <f ca="1">-IF(C43=1,(F43+K43+L43+Q43)/2*'Invoer gegevens'!$I$35*Reeksen!L11,0)</f>
        <v>0</v>
      </c>
      <c r="AT43" s="71">
        <f ca="1">-IF(C43=1,IF(E43='Invoer gegevens'!$C$17,'Invoer gegevens'!$C$11,AD43)*Reeksen!S11*'Invoer gegevens'!$C$18*Reeksen!P11,0)</f>
        <v>0</v>
      </c>
      <c r="AU43" s="71">
        <f ca="1">-IF(C43=1,(F43+K43+L43+Q43)/2*'Invoer gegevens'!$I$36*Reeksen!H11,0)</f>
        <v>0</v>
      </c>
      <c r="AV43" s="71">
        <f>IF('Invoer gegevens'!$C$3="Basis",0,#REF!)</f>
        <v>0</v>
      </c>
      <c r="AW43" s="71">
        <f t="shared" ca="1" si="13"/>
        <v>0</v>
      </c>
      <c r="AX43" s="72">
        <f ca="1">IF(E43='Invoer gegevens'!$C$17+14,'RW - BW - UP'!$AY$236,0)</f>
        <v>0</v>
      </c>
      <c r="AY43" s="72">
        <f ca="1">IFERROR(IF(E43='Invoer gegevens'!$C$17,-'Invoer gegevens'!$C$10*('Invoer gegevens'!$C$30+'Invoer gegevens'!$C$31)*Reeksen!H11,0),0)</f>
        <v>0</v>
      </c>
      <c r="AZ43" s="73">
        <f ca="1">IF('Invoer gegevens'!$C$34=E43,'Invoer gegevens'!$C$27*'Invoer gegevens'!$C$10*'Invoer gegevens'!$C$36*(IF('Invoer gegevens'!$C$35="ja",1,Reeksen!J11)),IF('Invoer gegevens'!$C$34+1=E43,'Invoer gegevens'!$C$27*'Invoer gegevens'!$C$10*'Invoer gegevens'!$C$37*(IF('Invoer gegevens'!$C$35="ja",1,Reeksen!J11)),0))+IF(AND(E43='Invoer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3" s="73">
        <f ca="1">AW43/(1+'Invoer gegevens'!$F$18)^($D43-('Invoer gegevens'!$C$17-'Invoer gegevens'!$C$16))/(1+'Invoer gegevens'!$C$39)^('Invoer gegevens'!$C$17-'Invoer gegevens'!$C$16)</f>
        <v>0</v>
      </c>
      <c r="BB43" s="73">
        <f ca="1">AX43/(1+'Invoer gegevens'!$F$18)^(E43-('Invoer gegevens'!$C$17-1))/(1+'Invoer gegevens'!$C$39)^('Invoer gegevens'!$C$17-'Invoer gegevens'!$C$16)</f>
        <v>0</v>
      </c>
      <c r="BC43" s="73">
        <f ca="1">AY43/(1+'Invoer gegevens'!$C$39)^('Invoer gegevens'!$C$17-'Invoer gegevens'!$C$16)</f>
        <v>0</v>
      </c>
      <c r="BD43" s="72">
        <f t="shared" ca="1" si="14"/>
        <v>0</v>
      </c>
      <c r="BE43" s="72">
        <f ca="1">IF(AND(E43='Invoer gegevens'!$C$16,'Invoer gegevens'!$C$34&lt;'Invoer gegevens'!$C$16),AZ43,AZ43/(1+'Invoer gegevens'!$C$39)^D43)</f>
        <v>0</v>
      </c>
      <c r="BF43" s="72">
        <f ca="1">IF(E43='Invoer gegevens'!$C$34,-'Invoer gegevens'!$F$40,0)</f>
        <v>0</v>
      </c>
      <c r="BG43" s="72">
        <f ca="1">IF(E43='Invoer gegevens'!$C$17,-'Invoer gegevens'!$C$19*$BD$63,0)</f>
        <v>0</v>
      </c>
      <c r="BH43" s="72">
        <f ca="1">AW43/(1+$BH$36)^($D43-('Invoer gegevens'!$C$17-'Invoer gegevens'!$C$16))/(1+'Invoer gegevens'!$C$39)^('Invoer gegevens'!$C$17-'Invoer gegevens'!$C$16)+AX43/(1+$BH$36)^(E43-('Invoer gegevens'!$C$17-1))/(1+'Invoer gegevens'!$C$39)^('Invoer gegevens'!$C$17-'Invoer gegevens'!$C$16)+AY43/(1+'Invoer gegevens'!$C$39)^('Invoer gegevens'!$C$17-'Invoer gegevens'!$C$16)+(-AZ43/(1+'Invoer gegevens'!$C$39)^D43)+BF43+BG43</f>
        <v>0</v>
      </c>
      <c r="BI43" s="59"/>
    </row>
    <row r="44" spans="1:61" x14ac:dyDescent="0.25">
      <c r="A44" s="59"/>
      <c r="B44" s="70">
        <f t="shared" si="15"/>
        <v>8</v>
      </c>
      <c r="C44" s="67">
        <f ca="1">IF(AND(E44&gt;='Invoer gegevens'!$C$17,E44&lt;'Invoer gegevens'!$C$17+15),1,0)</f>
        <v>1</v>
      </c>
      <c r="D44" s="68">
        <f t="shared" si="16"/>
        <v>7.5</v>
      </c>
      <c r="E44" s="69">
        <f ca="1">IF('Invoer gegevens'!$C$16="","",E43+1)</f>
        <v>2026</v>
      </c>
      <c r="F44" s="84">
        <f ca="1">IF('Invoer gegevens'!$C$17=E44,'Invoer gegevens'!$C$10,IF(C44=1,K43,0))</f>
        <v>0</v>
      </c>
      <c r="G44" s="96">
        <f ca="1">IF(E44='Invoer gegevens'!$C$17+15,K43,IF(C44&gt;=1,F44*VLOOKUP(E44,Reeksen!$A$5:$B$76,2),0))</f>
        <v>0</v>
      </c>
      <c r="H44" s="84">
        <f ca="1">IF(E44='Invoer gegevens'!$C$17+15,K43,(1-('Invoer gegevens'!$F$20/12))*F44*MIN(Reeksen!B12,Reeksen!D12))</f>
        <v>0</v>
      </c>
      <c r="I44" s="84">
        <f>IF(Reeksen!D12&lt;Reeksen!B12,(Reeksen!B12-Reeksen!D12)*F44,0)</f>
        <v>0</v>
      </c>
      <c r="J44" s="84">
        <f ca="1">IF(E44='Invoer gegevens'!$C$17+16,0,('Invoer gegevens'!$F$20/12)*F43*MIN(Reeksen!B11,Reeksen!D11))</f>
        <v>0</v>
      </c>
      <c r="K44" s="97">
        <f ca="1">IF(E44&gt;='Invoer gegevens'!$C$17+15,0,F44-G44)</f>
        <v>0</v>
      </c>
      <c r="L44" s="84">
        <f ca="1">IF('Invoer gegevens'!$C$17=E44,0,IF(C44=1,Q43,0))</f>
        <v>0</v>
      </c>
      <c r="M44" s="96">
        <f ca="1">IF(E44='Invoer gegevens'!$C$17+15,Q43,IF(C44&gt;=1,L44*VLOOKUP(E44,Reeksen!$A$5:$B$76,2),0))</f>
        <v>0</v>
      </c>
      <c r="N44" s="84">
        <f ca="1">IF(C44='Invoer gegevens'!$C$17+15,Q43,(1-('Invoer gegevens'!$F$20/12))*L44*MIN(Reeksen!B12,Reeksen!D12))</f>
        <v>0</v>
      </c>
      <c r="O44" s="84">
        <f>IF(Reeksen!D12&lt;Reeksen!B12,(Reeksen!B12-Reeksen!D12)*L44,0)</f>
        <v>0</v>
      </c>
      <c r="P44" s="84">
        <f ca="1">IF(E44='Invoer gegevens'!$C$17+16,0,('Invoer gegevens'!$F$20/12)*L43*MIN(Reeksen!B11,Reeksen!D11))</f>
        <v>0</v>
      </c>
      <c r="Q44" s="84">
        <f ca="1">IF(E44&gt;='Invoer gegevens'!$C$17+15,0,L44-M44+I44+O44)</f>
        <v>0</v>
      </c>
      <c r="R44" s="82">
        <f ca="1">IF('Invoer gegevens'!$C$17=E44,'Invoer gegevens'!$C$11,IF(C44=1,W43,0))</f>
        <v>0</v>
      </c>
      <c r="S44" s="86">
        <f ca="1">IF(E44='Invoer gegevens'!$C$17+15,W43,IF(C44&gt;=1,R44*VLOOKUP(E44,Reeksen!$A$5:$B$76,2),0))</f>
        <v>0</v>
      </c>
      <c r="T44" s="84">
        <f ca="1">IF(E44='Invoer gegevens'!$C$17+15,W43,(1-('Invoer gegevens'!$F$20/12))*R44*MIN(Reeksen!B12,Reeksen!D12))</f>
        <v>0</v>
      </c>
      <c r="U44" s="84">
        <f>IF(Reeksen!D12&gt;=Reeksen!B12,0,IF(Reeksen!AK12&lt;=Reeksen!AE12,(Reeksen!B12-Reeksen!D12)*R44,0))</f>
        <v>0</v>
      </c>
      <c r="V44" s="86">
        <f>IF(Reeksen!D12&gt;=Reeksen!B12,0,IF(Reeksen!AK12&gt;Reeksen!AE12,(Reeksen!B12-Reeksen!D12)*R44,0))</f>
        <v>0</v>
      </c>
      <c r="W44" s="97">
        <f ca="1">IF(E44&gt;='Invoer gegevens'!$C$17+15,0,R44-S44)</f>
        <v>0</v>
      </c>
      <c r="X44" s="98">
        <f ca="1">IF('Invoer gegevens'!$C$17=E44,'Invoer gegevens'!$C$10-'Invoer gegevens'!$C$11,IF(C44=1,AC43,0))</f>
        <v>0</v>
      </c>
      <c r="Y44" s="98">
        <f ca="1">IF(E44='Invoer gegevens'!$C$17+15,AC43,IF(C44&gt;=1,X44*VLOOKUP(E44,Reeksen!$A$5:$B$76,2),0))</f>
        <v>0</v>
      </c>
      <c r="Z44" s="98">
        <f ca="1">IF(E44='Invoer gegevens'!$C$17+15,AC43,(1-('Invoer gegevens'!$F$20/12))*X44*MIN(Reeksen!B12,Reeksen!D12))</f>
        <v>0</v>
      </c>
      <c r="AA44" s="98">
        <f>IF(Reeksen!D12&gt;=Reeksen!B12,0,IF(Reeksen!AK12&lt;=Reeksen!AE12,(Reeksen!B12-Reeksen!D12)*X44,0))</f>
        <v>0</v>
      </c>
      <c r="AB44" s="98">
        <f>IF(Reeksen!D12&gt;=Reeksen!B12,0,IF(Reeksen!AK12&gt;Reeksen!AE12,(Reeksen!B12-Reeksen!D12)*X44,0))</f>
        <v>0</v>
      </c>
      <c r="AC44" s="99">
        <f ca="1">IF(E44&gt;='Invoer gegevens'!$C$17+15,0,X44-Y44)</f>
        <v>0</v>
      </c>
      <c r="AD44" s="98">
        <f ca="1">IF('Invoer gegevens'!$C$17=E12,R44,IF(C12=0,0,AE43))</f>
        <v>0</v>
      </c>
      <c r="AE44" s="98">
        <f t="shared" ca="1" si="10"/>
        <v>0</v>
      </c>
      <c r="AF44" s="98">
        <f ca="1">IF('Invoer gegevens'!$C$17=E12,X44,IF(C12=0,0,AG43))</f>
        <v>0</v>
      </c>
      <c r="AG44" s="98">
        <f t="shared" ca="1" si="11"/>
        <v>0</v>
      </c>
      <c r="AH44" s="68"/>
      <c r="AI44" s="71">
        <f ca="1">IF(C44=1,Reeksen!AJ12*((F44-G44+F44)/2)*12+Reeksen!AK12*((L44-M44+L44)/2)*12,0)</f>
        <v>0</v>
      </c>
      <c r="AJ44" s="71">
        <f ca="1">-AI44*'Invoer gegevens'!$F$28</f>
        <v>0</v>
      </c>
      <c r="AK44" s="71">
        <f t="shared" ca="1" si="9"/>
        <v>0</v>
      </c>
      <c r="AL44" s="71">
        <f ca="1">IF(C44=1,Reeksen!AL12*((F44-G44+F44)/2)*12+Reeksen!AM12*((L44-M44+L44)/2)*12,0)</f>
        <v>0</v>
      </c>
      <c r="AM44" s="71">
        <f ca="1">-AL44*'Invoer gegevens'!$F$31</f>
        <v>0</v>
      </c>
      <c r="AN44" s="71">
        <f t="shared" ca="1" si="12"/>
        <v>0</v>
      </c>
      <c r="AO44" s="71">
        <f ca="1">IF(E44&gt;='Invoer gegevens'!$C$17+15,0,IF(C44=1,(H44+J44+N44+P44)*Reeksen!AN12,0))</f>
        <v>0</v>
      </c>
      <c r="AP44" s="71">
        <f ca="1">-IF(C44=1,(H44+J44+N44+P44)*'Hulp - basis'!$G$550*Reeksen!H12,0)</f>
        <v>0</v>
      </c>
      <c r="AQ44" s="71">
        <f ca="1">-IF(C44=1,(F44+K44+L44+Q44)/2*'Invoer gegevens'!$I$33*Reeksen!J12,0)</f>
        <v>0</v>
      </c>
      <c r="AR44" s="71">
        <f ca="1">-IF(C44=1,(I44*'Invoer gegevens'!$I$34)*Reeksen!J12,0)</f>
        <v>0</v>
      </c>
      <c r="AS44" s="71">
        <f ca="1">-IF(C44=1,(F44+K44+L44+Q44)/2*'Invoer gegevens'!$I$35*Reeksen!L12,0)</f>
        <v>0</v>
      </c>
      <c r="AT44" s="71">
        <f ca="1">-IF(C44=1,IF(E44='Invoer gegevens'!$C$17,'Invoer gegevens'!$C$11,AD44)*Reeksen!S12*'Invoer gegevens'!$C$18*Reeksen!P12,0)</f>
        <v>0</v>
      </c>
      <c r="AU44" s="71">
        <f ca="1">-IF(C44=1,(F44+K44+L44+Q44)/2*'Invoer gegevens'!$I$36*Reeksen!H12,0)</f>
        <v>0</v>
      </c>
      <c r="AV44" s="71">
        <f>IF('Invoer gegevens'!$C$3="Basis",0,#REF!)</f>
        <v>0</v>
      </c>
      <c r="AW44" s="71">
        <f t="shared" ca="1" si="13"/>
        <v>0</v>
      </c>
      <c r="AX44" s="72">
        <f ca="1">IF(E44='Invoer gegevens'!$C$17+14,'RW - BW - UP'!$AY$236,0)</f>
        <v>0</v>
      </c>
      <c r="AY44" s="72">
        <f ca="1">IFERROR(IF(E44='Invoer gegevens'!$C$17,-'Invoer gegevens'!$C$10*('Invoer gegevens'!$C$30+'Invoer gegevens'!$C$31)*Reeksen!H12,0),0)</f>
        <v>0</v>
      </c>
      <c r="AZ44" s="73">
        <f ca="1">IF('Invoer gegevens'!$C$34=E44,'Invoer gegevens'!$C$27*'Invoer gegevens'!$C$10*'Invoer gegevens'!$C$36*(IF('Invoer gegevens'!$C$35="ja",1,Reeksen!J12)),IF('Invoer gegevens'!$C$34+1=E44,'Invoer gegevens'!$C$27*'Invoer gegevens'!$C$10*'Invoer gegevens'!$C$37*(IF('Invoer gegevens'!$C$35="ja",1,Reeksen!J12)),0))+IF(AND(E44='Invoer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4" s="73">
        <f ca="1">AW44/(1+'Invoer gegevens'!$F$18)^($D44-('Invoer gegevens'!$C$17-'Invoer gegevens'!$C$16))/(1+'Invoer gegevens'!$C$39)^('Invoer gegevens'!$C$17-'Invoer gegevens'!$C$16)</f>
        <v>0</v>
      </c>
      <c r="BB44" s="73">
        <f ca="1">AX44/(1+'Invoer gegevens'!$F$18)^(E44-('Invoer gegevens'!$C$17-1))/(1+'Invoer gegevens'!$C$39)^('Invoer gegevens'!$C$17-'Invoer gegevens'!$C$16)</f>
        <v>0</v>
      </c>
      <c r="BC44" s="73">
        <f ca="1">AY44/(1+'Invoer gegevens'!$C$39)^('Invoer gegevens'!$C$17-'Invoer gegevens'!$C$16)</f>
        <v>0</v>
      </c>
      <c r="BD44" s="72">
        <f t="shared" ca="1" si="14"/>
        <v>0</v>
      </c>
      <c r="BE44" s="72">
        <f ca="1">IF(AND(E44='Invoer gegevens'!$C$16,'Invoer gegevens'!$C$34&lt;'Invoer gegevens'!$C$16),AZ44,AZ44/(1+'Invoer gegevens'!$C$39)^D44)</f>
        <v>0</v>
      </c>
      <c r="BF44" s="72">
        <f ca="1">IF(E44='Invoer gegevens'!$C$34,-'Invoer gegevens'!$F$40,0)</f>
        <v>0</v>
      </c>
      <c r="BG44" s="72">
        <f ca="1">IF(E44='Invoer gegevens'!$C$17,-'Invoer gegevens'!$C$19*$BD$63,0)</f>
        <v>0</v>
      </c>
      <c r="BH44" s="72">
        <f ca="1">AW44/(1+$BH$36)^($D44-('Invoer gegevens'!$C$17-'Invoer gegevens'!$C$16))/(1+'Invoer gegevens'!$C$39)^('Invoer gegevens'!$C$17-'Invoer gegevens'!$C$16)+AX44/(1+$BH$36)^(E44-('Invoer gegevens'!$C$17-1))/(1+'Invoer gegevens'!$C$39)^('Invoer gegevens'!$C$17-'Invoer gegevens'!$C$16)+AY44/(1+'Invoer gegevens'!$C$39)^('Invoer gegevens'!$C$17-'Invoer gegevens'!$C$16)+(-AZ44/(1+'Invoer gegevens'!$C$39)^D44)+BF44+BG44</f>
        <v>0</v>
      </c>
      <c r="BI44" s="59"/>
    </row>
    <row r="45" spans="1:61" x14ac:dyDescent="0.25">
      <c r="A45" s="59"/>
      <c r="B45" s="70">
        <f t="shared" si="15"/>
        <v>9</v>
      </c>
      <c r="C45" s="67">
        <f ca="1">IF(AND(E45&gt;='Invoer gegevens'!$C$17,E45&lt;'Invoer gegevens'!$C$17+15),1,0)</f>
        <v>1</v>
      </c>
      <c r="D45" s="68">
        <f t="shared" si="16"/>
        <v>8.5</v>
      </c>
      <c r="E45" s="69">
        <f ca="1">IF('Invoer gegevens'!$C$16="","",E44+1)</f>
        <v>2027</v>
      </c>
      <c r="F45" s="84">
        <f ca="1">IF('Invoer gegevens'!$C$17=E45,'Invoer gegevens'!$C$10,IF(C45=1,K44,0))</f>
        <v>0</v>
      </c>
      <c r="G45" s="96">
        <f ca="1">IF(E45='Invoer gegevens'!$C$17+15,K44,IF(C45&gt;=1,F45*VLOOKUP(E45,Reeksen!$A$5:$B$76,2),0))</f>
        <v>0</v>
      </c>
      <c r="H45" s="84">
        <f ca="1">IF(E45='Invoer gegevens'!$C$17+15,K44,(1-('Invoer gegevens'!$F$20/12))*F45*MIN(Reeksen!B13,Reeksen!D13))</f>
        <v>0</v>
      </c>
      <c r="I45" s="84">
        <f>IF(Reeksen!D13&lt;Reeksen!B13,(Reeksen!B13-Reeksen!D13)*F45,0)</f>
        <v>0</v>
      </c>
      <c r="J45" s="84">
        <f ca="1">IF(E45='Invoer gegevens'!$C$17+16,0,('Invoer gegevens'!$F$20/12)*F44*MIN(Reeksen!B12,Reeksen!D12))</f>
        <v>0</v>
      </c>
      <c r="K45" s="97">
        <f ca="1">IF(E45&gt;='Invoer gegevens'!$C$17+15,0,F45-G45)</f>
        <v>0</v>
      </c>
      <c r="L45" s="84">
        <f ca="1">IF('Invoer gegevens'!$C$17=E45,0,IF(C45=1,Q44,0))</f>
        <v>0</v>
      </c>
      <c r="M45" s="96">
        <f ca="1">IF(E45='Invoer gegevens'!$C$17+15,Q44,IF(C45&gt;=1,L45*VLOOKUP(E45,Reeksen!$A$5:$B$76,2),0))</f>
        <v>0</v>
      </c>
      <c r="N45" s="84">
        <f ca="1">IF(C45='Invoer gegevens'!$C$17+15,Q44,(1-('Invoer gegevens'!$F$20/12))*L45*MIN(Reeksen!B13,Reeksen!D13))</f>
        <v>0</v>
      </c>
      <c r="O45" s="84">
        <f>IF(Reeksen!D13&lt;Reeksen!B13,(Reeksen!B13-Reeksen!D13)*L45,0)</f>
        <v>0</v>
      </c>
      <c r="P45" s="84">
        <f ca="1">IF(E45='Invoer gegevens'!$C$17+16,0,('Invoer gegevens'!$F$20/12)*L44*MIN(Reeksen!B12,Reeksen!D12))</f>
        <v>0</v>
      </c>
      <c r="Q45" s="84">
        <f ca="1">IF(E45&gt;='Invoer gegevens'!$C$17+15,0,L45-M45+I45+O45)</f>
        <v>0</v>
      </c>
      <c r="R45" s="82">
        <f ca="1">IF('Invoer gegevens'!$C$17=E45,'Invoer gegevens'!$C$11,IF(C45=1,W44,0))</f>
        <v>0</v>
      </c>
      <c r="S45" s="86">
        <f ca="1">IF(E45='Invoer gegevens'!$C$17+15,W44,IF(C45&gt;=1,R45*VLOOKUP(E45,Reeksen!$A$5:$B$76,2),0))</f>
        <v>0</v>
      </c>
      <c r="T45" s="84">
        <f ca="1">IF(E45='Invoer gegevens'!$C$17+15,W44,(1-('Invoer gegevens'!$F$20/12))*R45*MIN(Reeksen!B13,Reeksen!D13))</f>
        <v>0</v>
      </c>
      <c r="U45" s="84">
        <f>IF(Reeksen!D13&gt;=Reeksen!B13,0,IF(Reeksen!AK13&lt;=Reeksen!AE13,(Reeksen!B13-Reeksen!D13)*R45,0))</f>
        <v>0</v>
      </c>
      <c r="V45" s="86">
        <f>IF(Reeksen!D13&gt;=Reeksen!B13,0,IF(Reeksen!AK13&gt;Reeksen!AE13,(Reeksen!B13-Reeksen!D13)*R45,0))</f>
        <v>0</v>
      </c>
      <c r="W45" s="97">
        <f ca="1">IF(E45&gt;='Invoer gegevens'!$C$17+15,0,R45-S45)</f>
        <v>0</v>
      </c>
      <c r="X45" s="98">
        <f ca="1">IF('Invoer gegevens'!$C$17=E45,'Invoer gegevens'!$C$10-'Invoer gegevens'!$C$11,IF(C45=1,AC44,0))</f>
        <v>0</v>
      </c>
      <c r="Y45" s="98">
        <f ca="1">IF(E45='Invoer gegevens'!$C$17+15,AC44,IF(C45&gt;=1,X45*VLOOKUP(E45,Reeksen!$A$5:$B$76,2),0))</f>
        <v>0</v>
      </c>
      <c r="Z45" s="98">
        <f ca="1">IF(E45='Invoer gegevens'!$C$17+15,AC44,(1-('Invoer gegevens'!$F$20/12))*X45*MIN(Reeksen!B13,Reeksen!D13))</f>
        <v>0</v>
      </c>
      <c r="AA45" s="98">
        <f>IF(Reeksen!D13&gt;=Reeksen!B13,0,IF(Reeksen!AK13&lt;=Reeksen!AE13,(Reeksen!B13-Reeksen!D13)*X45,0))</f>
        <v>0</v>
      </c>
      <c r="AB45" s="98">
        <f>IF(Reeksen!D13&gt;=Reeksen!B13,0,IF(Reeksen!AK13&gt;Reeksen!AE13,(Reeksen!B13-Reeksen!D13)*X45,0))</f>
        <v>0</v>
      </c>
      <c r="AC45" s="99">
        <f ca="1">IF(E45&gt;='Invoer gegevens'!$C$17+15,0,X45-Y45)</f>
        <v>0</v>
      </c>
      <c r="AD45" s="98">
        <f ca="1">IF('Invoer gegevens'!$C$17=E13,R45,IF(C13=0,0,AE44))</f>
        <v>0</v>
      </c>
      <c r="AE45" s="98">
        <f t="shared" ca="1" si="10"/>
        <v>0</v>
      </c>
      <c r="AF45" s="98">
        <f ca="1">IF('Invoer gegevens'!$C$17=E13,X45,IF(C13=0,0,AG44))</f>
        <v>0</v>
      </c>
      <c r="AG45" s="98">
        <f t="shared" ca="1" si="11"/>
        <v>0</v>
      </c>
      <c r="AH45" s="68"/>
      <c r="AI45" s="71">
        <f ca="1">IF(C45=1,Reeksen!AJ13*((F45-G45+F45)/2)*12+Reeksen!AK13*((L45-M45+L45)/2)*12,0)</f>
        <v>0</v>
      </c>
      <c r="AJ45" s="71">
        <f ca="1">-AI45*'Invoer gegevens'!$F$28</f>
        <v>0</v>
      </c>
      <c r="AK45" s="71">
        <f t="shared" ca="1" si="9"/>
        <v>0</v>
      </c>
      <c r="AL45" s="71">
        <f ca="1">IF(C45=1,Reeksen!AL13*((F45-G45+F45)/2)*12+Reeksen!AM13*((L45-M45+L45)/2)*12,0)</f>
        <v>0</v>
      </c>
      <c r="AM45" s="71">
        <f ca="1">-AL45*'Invoer gegevens'!$F$31</f>
        <v>0</v>
      </c>
      <c r="AN45" s="71">
        <f t="shared" ca="1" si="12"/>
        <v>0</v>
      </c>
      <c r="AO45" s="71">
        <f ca="1">IF(E45&gt;='Invoer gegevens'!$C$17+15,0,IF(C45=1,(H45+J45+N45+P45)*Reeksen!AN13,0))</f>
        <v>0</v>
      </c>
      <c r="AP45" s="71">
        <f ca="1">-IF(C45=1,(H45+J45+N45+P45)*'Hulp - basis'!$G$550*Reeksen!H13,0)</f>
        <v>0</v>
      </c>
      <c r="AQ45" s="71">
        <f ca="1">-IF(C45=1,(F45+K45+L45+Q45)/2*'Invoer gegevens'!$I$33*Reeksen!J13,0)</f>
        <v>0</v>
      </c>
      <c r="AR45" s="71">
        <f ca="1">-IF(C45=1,(I45*'Invoer gegevens'!$I$34)*Reeksen!J13,0)</f>
        <v>0</v>
      </c>
      <c r="AS45" s="71">
        <f ca="1">-IF(C45=1,(F45+K45+L45+Q45)/2*'Invoer gegevens'!$I$35*Reeksen!L13,0)</f>
        <v>0</v>
      </c>
      <c r="AT45" s="71">
        <f ca="1">-IF(C45=1,IF(E45='Invoer gegevens'!$C$17,'Invoer gegevens'!$C$11,AD45)*Reeksen!S13*'Invoer gegevens'!$C$18*Reeksen!P13,0)</f>
        <v>0</v>
      </c>
      <c r="AU45" s="71">
        <f ca="1">-IF(C45=1,(F45+K45+L45+Q45)/2*'Invoer gegevens'!$I$36*Reeksen!H13,0)</f>
        <v>0</v>
      </c>
      <c r="AV45" s="71">
        <f>IF('Invoer gegevens'!$C$3="Basis",0,#REF!)</f>
        <v>0</v>
      </c>
      <c r="AW45" s="71">
        <f t="shared" ca="1" si="13"/>
        <v>0</v>
      </c>
      <c r="AX45" s="72">
        <f ca="1">IF(E45='Invoer gegevens'!$C$17+14,'RW - BW - UP'!$AY$236,0)</f>
        <v>0</v>
      </c>
      <c r="AY45" s="72">
        <f ca="1">IFERROR(IF(E45='Invoer gegevens'!$C$17,-'Invoer gegevens'!$C$10*('Invoer gegevens'!$C$30+'Invoer gegevens'!$C$31)*Reeksen!H13,0),0)</f>
        <v>0</v>
      </c>
      <c r="AZ45" s="73">
        <f ca="1">IF('Invoer gegevens'!$C$34=E45,'Invoer gegevens'!$C$27*'Invoer gegevens'!$C$10*'Invoer gegevens'!$C$36*(IF('Invoer gegevens'!$C$35="ja",1,Reeksen!J13)),IF('Invoer gegevens'!$C$34+1=E45,'Invoer gegevens'!$C$27*'Invoer gegevens'!$C$10*'Invoer gegevens'!$C$37*(IF('Invoer gegevens'!$C$35="ja",1,Reeksen!J13)),0))+IF(AND(E45='Invoer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5" s="73">
        <f ca="1">AW45/(1+'Invoer gegevens'!$F$18)^($D45-('Invoer gegevens'!$C$17-'Invoer gegevens'!$C$16))/(1+'Invoer gegevens'!$C$39)^('Invoer gegevens'!$C$17-'Invoer gegevens'!$C$16)</f>
        <v>0</v>
      </c>
      <c r="BB45" s="73">
        <f ca="1">AX45/(1+'Invoer gegevens'!$F$18)^(E45-('Invoer gegevens'!$C$17-1))/(1+'Invoer gegevens'!$C$39)^('Invoer gegevens'!$C$17-'Invoer gegevens'!$C$16)</f>
        <v>0</v>
      </c>
      <c r="BC45" s="73">
        <f ca="1">AY45/(1+'Invoer gegevens'!$C$39)^('Invoer gegevens'!$C$17-'Invoer gegevens'!$C$16)</f>
        <v>0</v>
      </c>
      <c r="BD45" s="72">
        <f t="shared" ca="1" si="14"/>
        <v>0</v>
      </c>
      <c r="BE45" s="72">
        <f ca="1">IF(AND(E45='Invoer gegevens'!$C$16,'Invoer gegevens'!$C$34&lt;'Invoer gegevens'!$C$16),AZ45,AZ45/(1+'Invoer gegevens'!$C$39)^D45)</f>
        <v>0</v>
      </c>
      <c r="BF45" s="72">
        <f ca="1">IF(E45='Invoer gegevens'!$C$34,-'Invoer gegevens'!$F$40,0)</f>
        <v>0</v>
      </c>
      <c r="BG45" s="72">
        <f ca="1">IF(E45='Invoer gegevens'!$C$17,-'Invoer gegevens'!$C$19*$BD$63,0)</f>
        <v>0</v>
      </c>
      <c r="BH45" s="72">
        <f ca="1">AW45/(1+$BH$36)^($D45-('Invoer gegevens'!$C$17-'Invoer gegevens'!$C$16))/(1+'Invoer gegevens'!$C$39)^('Invoer gegevens'!$C$17-'Invoer gegevens'!$C$16)+AX45/(1+$BH$36)^(E45-('Invoer gegevens'!$C$17-1))/(1+'Invoer gegevens'!$C$39)^('Invoer gegevens'!$C$17-'Invoer gegevens'!$C$16)+AY45/(1+'Invoer gegevens'!$C$39)^('Invoer gegevens'!$C$17-'Invoer gegevens'!$C$16)+(-AZ45/(1+'Invoer gegevens'!$C$39)^D45)+BF45+BG45</f>
        <v>0</v>
      </c>
      <c r="BI45" s="59"/>
    </row>
    <row r="46" spans="1:61" x14ac:dyDescent="0.25">
      <c r="A46" s="59"/>
      <c r="B46" s="70">
        <f t="shared" si="15"/>
        <v>10</v>
      </c>
      <c r="C46" s="67">
        <f ca="1">IF(AND(E46&gt;='Invoer gegevens'!$C$17,E46&lt;'Invoer gegevens'!$C$17+15),1,0)</f>
        <v>1</v>
      </c>
      <c r="D46" s="68">
        <f t="shared" si="16"/>
        <v>9.5</v>
      </c>
      <c r="E46" s="69">
        <f ca="1">IF('Invoer gegevens'!$C$16="","",E45+1)</f>
        <v>2028</v>
      </c>
      <c r="F46" s="84">
        <f ca="1">IF('Invoer gegevens'!$C$17=E46,'Invoer gegevens'!$C$10,IF(C46=1,K45,0))</f>
        <v>0</v>
      </c>
      <c r="G46" s="96">
        <f ca="1">IF(E46='Invoer gegevens'!$C$17+15,K45,IF(C46&gt;=1,F46*VLOOKUP(E46,Reeksen!$A$5:$B$76,2),0))</f>
        <v>0</v>
      </c>
      <c r="H46" s="84">
        <f ca="1">IF(E46='Invoer gegevens'!$C$17+15,K45,(1-('Invoer gegevens'!$F$20/12))*F46*MIN(Reeksen!B14,Reeksen!D14))</f>
        <v>0</v>
      </c>
      <c r="I46" s="84">
        <f>IF(Reeksen!D14&lt;Reeksen!B14,(Reeksen!B14-Reeksen!D14)*F46,0)</f>
        <v>0</v>
      </c>
      <c r="J46" s="84">
        <f ca="1">IF(E46='Invoer gegevens'!$C$17+16,0,('Invoer gegevens'!$F$20/12)*F45*MIN(Reeksen!B13,Reeksen!D13))</f>
        <v>0</v>
      </c>
      <c r="K46" s="97">
        <f ca="1">IF(E46&gt;='Invoer gegevens'!$C$17+15,0,F46-G46)</f>
        <v>0</v>
      </c>
      <c r="L46" s="84">
        <f ca="1">IF('Invoer gegevens'!$C$17=E46,0,IF(C46=1,Q45,0))</f>
        <v>0</v>
      </c>
      <c r="M46" s="96">
        <f ca="1">IF(E46='Invoer gegevens'!$C$17+15,Q45,IF(C46&gt;=1,L46*VLOOKUP(E46,Reeksen!$A$5:$B$76,2),0))</f>
        <v>0</v>
      </c>
      <c r="N46" s="84">
        <f ca="1">IF(C46='Invoer gegevens'!$C$17+15,Q45,(1-('Invoer gegevens'!$F$20/12))*L46*MIN(Reeksen!B14,Reeksen!D14))</f>
        <v>0</v>
      </c>
      <c r="O46" s="84">
        <f>IF(Reeksen!D14&lt;Reeksen!B14,(Reeksen!B14-Reeksen!D14)*L46,0)</f>
        <v>0</v>
      </c>
      <c r="P46" s="84">
        <f ca="1">IF(E46='Invoer gegevens'!$C$17+16,0,('Invoer gegevens'!$F$20/12)*L45*MIN(Reeksen!B13,Reeksen!D13))</f>
        <v>0</v>
      </c>
      <c r="Q46" s="84">
        <f ca="1">IF(E46&gt;='Invoer gegevens'!$C$17+15,0,L46-M46+I46+O46)</f>
        <v>0</v>
      </c>
      <c r="R46" s="82">
        <f ca="1">IF('Invoer gegevens'!$C$17=E46,'Invoer gegevens'!$C$11,IF(C46=1,W45,0))</f>
        <v>0</v>
      </c>
      <c r="S46" s="86">
        <f ca="1">IF(E46='Invoer gegevens'!$C$17+15,W45,IF(C46&gt;=1,R46*VLOOKUP(E46,Reeksen!$A$5:$B$76,2),0))</f>
        <v>0</v>
      </c>
      <c r="T46" s="84">
        <f ca="1">IF(E46='Invoer gegevens'!$C$17+15,W45,(1-('Invoer gegevens'!$F$20/12))*R46*MIN(Reeksen!B14,Reeksen!D14))</f>
        <v>0</v>
      </c>
      <c r="U46" s="84">
        <f>IF(Reeksen!D14&gt;=Reeksen!B14,0,IF(Reeksen!AK14&lt;=Reeksen!AE14,(Reeksen!B14-Reeksen!D14)*R46,0))</f>
        <v>0</v>
      </c>
      <c r="V46" s="86">
        <f>IF(Reeksen!D14&gt;=Reeksen!B14,0,IF(Reeksen!AK14&gt;Reeksen!AE14,(Reeksen!B14-Reeksen!D14)*R46,0))</f>
        <v>0</v>
      </c>
      <c r="W46" s="97">
        <f ca="1">IF(E46&gt;='Invoer gegevens'!$C$17+15,0,R46-S46)</f>
        <v>0</v>
      </c>
      <c r="X46" s="98">
        <f ca="1">IF('Invoer gegevens'!$C$17=E46,'Invoer gegevens'!$C$10-'Invoer gegevens'!$C$11,IF(C46=1,AC45,0))</f>
        <v>0</v>
      </c>
      <c r="Y46" s="98">
        <f ca="1">IF(E46='Invoer gegevens'!$C$17+15,AC45,IF(C46&gt;=1,X46*VLOOKUP(E46,Reeksen!$A$5:$B$76,2),0))</f>
        <v>0</v>
      </c>
      <c r="Z46" s="98">
        <f ca="1">IF(E46='Invoer gegevens'!$C$17+15,AC45,(1-('Invoer gegevens'!$F$20/12))*X46*MIN(Reeksen!B14,Reeksen!D14))</f>
        <v>0</v>
      </c>
      <c r="AA46" s="98">
        <f>IF(Reeksen!D14&gt;=Reeksen!B14,0,IF(Reeksen!AK14&lt;=Reeksen!AE14,(Reeksen!B14-Reeksen!D14)*X46,0))</f>
        <v>0</v>
      </c>
      <c r="AB46" s="98">
        <f>IF(Reeksen!D14&gt;=Reeksen!B14,0,IF(Reeksen!AK14&gt;Reeksen!AE14,(Reeksen!B14-Reeksen!D14)*X46,0))</f>
        <v>0</v>
      </c>
      <c r="AC46" s="99">
        <f ca="1">IF(E46&gt;='Invoer gegevens'!$C$17+15,0,X46-Y46)</f>
        <v>0</v>
      </c>
      <c r="AD46" s="98">
        <f ca="1">IF('Invoer gegevens'!$C$17=E14,R46,IF(C14=0,0,AE45))</f>
        <v>0</v>
      </c>
      <c r="AE46" s="98">
        <f t="shared" ca="1" si="10"/>
        <v>0</v>
      </c>
      <c r="AF46" s="98">
        <f ca="1">IF('Invoer gegevens'!$C$17=E14,X46,IF(C14=0,0,AG45))</f>
        <v>0</v>
      </c>
      <c r="AG46" s="98">
        <f t="shared" ca="1" si="11"/>
        <v>0</v>
      </c>
      <c r="AH46" s="68"/>
      <c r="AI46" s="71">
        <f ca="1">IF(C46=1,Reeksen!AJ14*((F46-G46+F46)/2)*12+Reeksen!AK14*((L46-M46+L46)/2)*12,0)</f>
        <v>0</v>
      </c>
      <c r="AJ46" s="71">
        <f ca="1">-AI46*'Invoer gegevens'!$F$28</f>
        <v>0</v>
      </c>
      <c r="AK46" s="71">
        <f t="shared" ca="1" si="9"/>
        <v>0</v>
      </c>
      <c r="AL46" s="71">
        <f ca="1">IF(C46=1,Reeksen!AL14*((F46-G46+F46)/2)*12+Reeksen!AM14*((L46-M46+L46)/2)*12,0)</f>
        <v>0</v>
      </c>
      <c r="AM46" s="71">
        <f ca="1">-AL46*'Invoer gegevens'!$F$31</f>
        <v>0</v>
      </c>
      <c r="AN46" s="71">
        <f t="shared" ca="1" si="12"/>
        <v>0</v>
      </c>
      <c r="AO46" s="71">
        <f ca="1">IF(E46&gt;='Invoer gegevens'!$C$17+15,0,IF(C46=1,(H46+J46+N46+P46)*Reeksen!AN14,0))</f>
        <v>0</v>
      </c>
      <c r="AP46" s="71">
        <f ca="1">-IF(C46=1,(H46+J46+N46+P46)*'Hulp - basis'!$G$550*Reeksen!H14,0)</f>
        <v>0</v>
      </c>
      <c r="AQ46" s="71">
        <f ca="1">-IF(C46=1,(F46+K46+L46+Q46)/2*'Invoer gegevens'!$I$33*Reeksen!J14,0)</f>
        <v>0</v>
      </c>
      <c r="AR46" s="71">
        <f ca="1">-IF(C46=1,(I46*'Invoer gegevens'!$I$34)*Reeksen!J14,0)</f>
        <v>0</v>
      </c>
      <c r="AS46" s="71">
        <f ca="1">-IF(C46=1,(F46+K46+L46+Q46)/2*'Invoer gegevens'!$I$35*Reeksen!L14,0)</f>
        <v>0</v>
      </c>
      <c r="AT46" s="71">
        <f ca="1">-IF(C46=1,IF(E46='Invoer gegevens'!$C$17,'Invoer gegevens'!$C$11,AD46)*Reeksen!S14*'Invoer gegevens'!$C$18*Reeksen!P14,0)</f>
        <v>0</v>
      </c>
      <c r="AU46" s="71">
        <f ca="1">-IF(C46=1,(F46+K46+L46+Q46)/2*'Invoer gegevens'!$I$36*Reeksen!H14,0)</f>
        <v>0</v>
      </c>
      <c r="AV46" s="71">
        <f>IF('Invoer gegevens'!$C$3="Basis",0,#REF!)</f>
        <v>0</v>
      </c>
      <c r="AW46" s="71">
        <f t="shared" ca="1" si="13"/>
        <v>0</v>
      </c>
      <c r="AX46" s="72">
        <f ca="1">IF(E46='Invoer gegevens'!$C$17+14,'RW - BW - UP'!$AY$236,0)</f>
        <v>0</v>
      </c>
      <c r="AY46" s="72">
        <f ca="1">IFERROR(IF(E46='Invoer gegevens'!$C$17,-'Invoer gegevens'!$C$10*('Invoer gegevens'!$C$30+'Invoer gegevens'!$C$31)*Reeksen!H14,0),0)</f>
        <v>0</v>
      </c>
      <c r="AZ46" s="73">
        <f ca="1">IF('Invoer gegevens'!$C$34=E46,'Invoer gegevens'!$C$27*'Invoer gegevens'!$C$10*'Invoer gegevens'!$C$36*(IF('Invoer gegevens'!$C$35="ja",1,Reeksen!J14)),IF('Invoer gegevens'!$C$34+1=E46,'Invoer gegevens'!$C$27*'Invoer gegevens'!$C$10*'Invoer gegevens'!$C$37*(IF('Invoer gegevens'!$C$35="ja",1,Reeksen!J14)),0))+IF(AND(E46='Invoer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6" s="73">
        <f ca="1">AW46/(1+'Invoer gegevens'!$F$18)^($D46-('Invoer gegevens'!$C$17-'Invoer gegevens'!$C$16))/(1+'Invoer gegevens'!$C$39)^('Invoer gegevens'!$C$17-'Invoer gegevens'!$C$16)</f>
        <v>0</v>
      </c>
      <c r="BB46" s="73">
        <f ca="1">AX46/(1+'Invoer gegevens'!$F$18)^(E46-('Invoer gegevens'!$C$17-1))/(1+'Invoer gegevens'!$C$39)^('Invoer gegevens'!$C$17-'Invoer gegevens'!$C$16)</f>
        <v>0</v>
      </c>
      <c r="BC46" s="73">
        <f ca="1">AY46/(1+'Invoer gegevens'!$C$39)^('Invoer gegevens'!$C$17-'Invoer gegevens'!$C$16)</f>
        <v>0</v>
      </c>
      <c r="BD46" s="72">
        <f t="shared" ca="1" si="14"/>
        <v>0</v>
      </c>
      <c r="BE46" s="72">
        <f ca="1">IF(AND(E46='Invoer gegevens'!$C$16,'Invoer gegevens'!$C$34&lt;'Invoer gegevens'!$C$16),AZ46,AZ46/(1+'Invoer gegevens'!$C$39)^D46)</f>
        <v>0</v>
      </c>
      <c r="BF46" s="72">
        <f ca="1">IF(E46='Invoer gegevens'!$C$34,-'Invoer gegevens'!$F$40,0)</f>
        <v>0</v>
      </c>
      <c r="BG46" s="72">
        <f ca="1">IF(E46='Invoer gegevens'!$C$17,-'Invoer gegevens'!$C$19*$BD$63,0)</f>
        <v>0</v>
      </c>
      <c r="BH46" s="72">
        <f ca="1">AW46/(1+$BH$36)^($D46-('Invoer gegevens'!$C$17-'Invoer gegevens'!$C$16))/(1+'Invoer gegevens'!$C$39)^('Invoer gegevens'!$C$17-'Invoer gegevens'!$C$16)+AX46/(1+$BH$36)^(E46-('Invoer gegevens'!$C$17-1))/(1+'Invoer gegevens'!$C$39)^('Invoer gegevens'!$C$17-'Invoer gegevens'!$C$16)+AY46/(1+'Invoer gegevens'!$C$39)^('Invoer gegevens'!$C$17-'Invoer gegevens'!$C$16)+(-AZ46/(1+'Invoer gegevens'!$C$39)^D46)+BF46+BG46</f>
        <v>0</v>
      </c>
      <c r="BI46" s="59"/>
    </row>
    <row r="47" spans="1:61" x14ac:dyDescent="0.25">
      <c r="A47" s="59"/>
      <c r="B47" s="70">
        <f t="shared" si="15"/>
        <v>11</v>
      </c>
      <c r="C47" s="67">
        <f ca="1">IF(AND(E47&gt;='Invoer gegevens'!$C$17,E47&lt;'Invoer gegevens'!$C$17+15),1,0)</f>
        <v>1</v>
      </c>
      <c r="D47" s="68">
        <f t="shared" si="16"/>
        <v>10.5</v>
      </c>
      <c r="E47" s="69">
        <f ca="1">IF('Invoer gegevens'!$C$16="","",E46+1)</f>
        <v>2029</v>
      </c>
      <c r="F47" s="84">
        <f ca="1">IF('Invoer gegevens'!$C$17=E47,'Invoer gegevens'!$C$10,IF(C47=1,K46,0))</f>
        <v>0</v>
      </c>
      <c r="G47" s="96">
        <f ca="1">IF(E47='Invoer gegevens'!$C$17+15,K46,IF(C47&gt;=1,F47*VLOOKUP(E47,Reeksen!$A$5:$B$76,2),0))</f>
        <v>0</v>
      </c>
      <c r="H47" s="84">
        <f ca="1">IF(E47='Invoer gegevens'!$C$17+15,K46,(1-('Invoer gegevens'!$F$20/12))*F47*MIN(Reeksen!B15,Reeksen!D15))</f>
        <v>0</v>
      </c>
      <c r="I47" s="84">
        <f>IF(Reeksen!D15&lt;Reeksen!B15,(Reeksen!B15-Reeksen!D15)*F47,0)</f>
        <v>0</v>
      </c>
      <c r="J47" s="84">
        <f ca="1">IF(E47='Invoer gegevens'!$C$17+16,0,('Invoer gegevens'!$F$20/12)*F46*MIN(Reeksen!B14,Reeksen!D14))</f>
        <v>0</v>
      </c>
      <c r="K47" s="97">
        <f ca="1">IF(E47&gt;='Invoer gegevens'!$C$17+15,0,F47-G47)</f>
        <v>0</v>
      </c>
      <c r="L47" s="84">
        <f ca="1">IF('Invoer gegevens'!$C$17=E47,0,IF(C47=1,Q46,0))</f>
        <v>0</v>
      </c>
      <c r="M47" s="96">
        <f ca="1">IF(E47='Invoer gegevens'!$C$17+15,Q46,IF(C47&gt;=1,L47*VLOOKUP(E47,Reeksen!$A$5:$B$76,2),0))</f>
        <v>0</v>
      </c>
      <c r="N47" s="84">
        <f ca="1">IF(C47='Invoer gegevens'!$C$17+15,Q46,(1-('Invoer gegevens'!$F$20/12))*L47*MIN(Reeksen!B15,Reeksen!D15))</f>
        <v>0</v>
      </c>
      <c r="O47" s="84">
        <f>IF(Reeksen!D15&lt;Reeksen!B15,(Reeksen!B15-Reeksen!D15)*L47,0)</f>
        <v>0</v>
      </c>
      <c r="P47" s="84">
        <f ca="1">IF(E47='Invoer gegevens'!$C$17+16,0,('Invoer gegevens'!$F$20/12)*L46*MIN(Reeksen!B14,Reeksen!D14))</f>
        <v>0</v>
      </c>
      <c r="Q47" s="84">
        <f ca="1">IF(E47&gt;='Invoer gegevens'!$C$17+15,0,L47-M47+I47+O47)</f>
        <v>0</v>
      </c>
      <c r="R47" s="82">
        <f ca="1">IF('Invoer gegevens'!$C$17=E47,'Invoer gegevens'!$C$11,IF(C47=1,W46,0))</f>
        <v>0</v>
      </c>
      <c r="S47" s="86">
        <f ca="1">IF(E47='Invoer gegevens'!$C$17+15,W46,IF(C47&gt;=1,R47*VLOOKUP(E47,Reeksen!$A$5:$B$76,2),0))</f>
        <v>0</v>
      </c>
      <c r="T47" s="84">
        <f ca="1">IF(E47='Invoer gegevens'!$C$17+15,W46,(1-('Invoer gegevens'!$F$20/12))*R47*MIN(Reeksen!B15,Reeksen!D15))</f>
        <v>0</v>
      </c>
      <c r="U47" s="84">
        <f>IF(Reeksen!D15&gt;=Reeksen!B15,0,IF(Reeksen!AK15&lt;=Reeksen!AE15,(Reeksen!B15-Reeksen!D15)*R47,0))</f>
        <v>0</v>
      </c>
      <c r="V47" s="86">
        <f>IF(Reeksen!D15&gt;=Reeksen!B15,0,IF(Reeksen!AK15&gt;Reeksen!AE15,(Reeksen!B15-Reeksen!D15)*R47,0))</f>
        <v>0</v>
      </c>
      <c r="W47" s="97">
        <f ca="1">IF(E47&gt;='Invoer gegevens'!$C$17+15,0,R47-S47)</f>
        <v>0</v>
      </c>
      <c r="X47" s="98">
        <f ca="1">IF('Invoer gegevens'!$C$17=E47,'Invoer gegevens'!$C$10-'Invoer gegevens'!$C$11,IF(C47=1,AC46,0))</f>
        <v>0</v>
      </c>
      <c r="Y47" s="98">
        <f ca="1">IF(E47='Invoer gegevens'!$C$17+15,AC46,IF(C47&gt;=1,X47*VLOOKUP(E47,Reeksen!$A$5:$B$76,2),0))</f>
        <v>0</v>
      </c>
      <c r="Z47" s="98">
        <f ca="1">IF(E47='Invoer gegevens'!$C$17+15,AC46,(1-('Invoer gegevens'!$F$20/12))*X47*MIN(Reeksen!B15,Reeksen!D15))</f>
        <v>0</v>
      </c>
      <c r="AA47" s="98">
        <f>IF(Reeksen!D15&gt;=Reeksen!B15,0,IF(Reeksen!AK15&lt;=Reeksen!AE15,(Reeksen!B15-Reeksen!D15)*X47,0))</f>
        <v>0</v>
      </c>
      <c r="AB47" s="98">
        <f>IF(Reeksen!D15&gt;=Reeksen!B15,0,IF(Reeksen!AK15&gt;Reeksen!AE15,(Reeksen!B15-Reeksen!D15)*X47,0))</f>
        <v>0</v>
      </c>
      <c r="AC47" s="99">
        <f ca="1">IF(E47&gt;='Invoer gegevens'!$C$17+15,0,X47-Y47)</f>
        <v>0</v>
      </c>
      <c r="AD47" s="98">
        <f ca="1">IF('Invoer gegevens'!$C$17=E15,R47,IF(C15=0,0,AE46))</f>
        <v>0</v>
      </c>
      <c r="AE47" s="98">
        <f t="shared" ca="1" si="10"/>
        <v>0</v>
      </c>
      <c r="AF47" s="98">
        <f ca="1">IF('Invoer gegevens'!$C$17=E15,X47,IF(C15=0,0,AG46))</f>
        <v>0</v>
      </c>
      <c r="AG47" s="98">
        <f t="shared" ca="1" si="11"/>
        <v>0</v>
      </c>
      <c r="AH47" s="68"/>
      <c r="AI47" s="71">
        <f ca="1">IF(C47=1,Reeksen!AJ15*((F47-G47+F47)/2)*12+Reeksen!AK15*((L47-M47+L47)/2)*12,0)</f>
        <v>0</v>
      </c>
      <c r="AJ47" s="71">
        <f ca="1">-AI47*'Invoer gegevens'!$F$28</f>
        <v>0</v>
      </c>
      <c r="AK47" s="71">
        <f t="shared" ca="1" si="9"/>
        <v>0</v>
      </c>
      <c r="AL47" s="71">
        <f ca="1">IF(C47=1,Reeksen!AL15*((F47-G47+F47)/2)*12+Reeksen!AM15*((L47-M47+L47)/2)*12,0)</f>
        <v>0</v>
      </c>
      <c r="AM47" s="71">
        <f ca="1">-AL47*'Invoer gegevens'!$F$31</f>
        <v>0</v>
      </c>
      <c r="AN47" s="71">
        <f t="shared" ca="1" si="12"/>
        <v>0</v>
      </c>
      <c r="AO47" s="71">
        <f ca="1">IF(E47&gt;='Invoer gegevens'!$C$17+15,0,IF(C47=1,(H47+J47+N47+P47)*Reeksen!AN15,0))</f>
        <v>0</v>
      </c>
      <c r="AP47" s="71">
        <f ca="1">-IF(C47=1,(H47+J47+N47+P47)*'Hulp - basis'!$G$550*Reeksen!H15,0)</f>
        <v>0</v>
      </c>
      <c r="AQ47" s="71">
        <f ca="1">-IF(C47=1,(F47+K47+L47+Q47)/2*'Invoer gegevens'!$I$33*Reeksen!J15,0)</f>
        <v>0</v>
      </c>
      <c r="AR47" s="71">
        <f ca="1">-IF(C47=1,(I47*'Invoer gegevens'!$I$34)*Reeksen!J15,0)</f>
        <v>0</v>
      </c>
      <c r="AS47" s="71">
        <f ca="1">-IF(C47=1,(F47+K47+L47+Q47)/2*'Invoer gegevens'!$I$35*Reeksen!L15,0)</f>
        <v>0</v>
      </c>
      <c r="AT47" s="71">
        <f ca="1">-IF(C47=1,IF(E47='Invoer gegevens'!$C$17,'Invoer gegevens'!$C$11,AD47)*Reeksen!S15*'Invoer gegevens'!$C$18*Reeksen!P15,0)</f>
        <v>0</v>
      </c>
      <c r="AU47" s="71">
        <f ca="1">-IF(C47=1,(F47+K47+L47+Q47)/2*'Invoer gegevens'!$I$36*Reeksen!H15,0)</f>
        <v>0</v>
      </c>
      <c r="AV47" s="71">
        <f>IF('Invoer gegevens'!$C$3="Basis",0,#REF!)</f>
        <v>0</v>
      </c>
      <c r="AW47" s="71">
        <f t="shared" ca="1" si="13"/>
        <v>0</v>
      </c>
      <c r="AX47" s="72">
        <f ca="1">IF(E47='Invoer gegevens'!$C$17+14,'RW - BW - UP'!$AY$236,0)</f>
        <v>0</v>
      </c>
      <c r="AY47" s="72">
        <f ca="1">IFERROR(IF(E47='Invoer gegevens'!$C$17,-'Invoer gegevens'!$C$10*('Invoer gegevens'!$C$30+'Invoer gegevens'!$C$31)*Reeksen!H15,0),0)</f>
        <v>0</v>
      </c>
      <c r="AZ47" s="73">
        <f ca="1">IF('Invoer gegevens'!$C$34=E47,'Invoer gegevens'!$C$27*'Invoer gegevens'!$C$10*'Invoer gegevens'!$C$36*(IF('Invoer gegevens'!$C$35="ja",1,Reeksen!J15)),IF('Invoer gegevens'!$C$34+1=E47,'Invoer gegevens'!$C$27*'Invoer gegevens'!$C$10*'Invoer gegevens'!$C$37*(IF('Invoer gegevens'!$C$35="ja",1,Reeksen!J15)),0))+IF(AND(E47='Invoer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7" s="73">
        <f ca="1">AW47/(1+'Invoer gegevens'!$F$18)^($D47-('Invoer gegevens'!$C$17-'Invoer gegevens'!$C$16))/(1+'Invoer gegevens'!$C$39)^('Invoer gegevens'!$C$17-'Invoer gegevens'!$C$16)</f>
        <v>0</v>
      </c>
      <c r="BB47" s="73">
        <f ca="1">AX47/(1+'Invoer gegevens'!$F$18)^(E47-('Invoer gegevens'!$C$17-1))/(1+'Invoer gegevens'!$C$39)^('Invoer gegevens'!$C$17-'Invoer gegevens'!$C$16)</f>
        <v>0</v>
      </c>
      <c r="BC47" s="73">
        <f ca="1">AY47/(1+'Invoer gegevens'!$C$39)^('Invoer gegevens'!$C$17-'Invoer gegevens'!$C$16)</f>
        <v>0</v>
      </c>
      <c r="BD47" s="72">
        <f t="shared" ca="1" si="14"/>
        <v>0</v>
      </c>
      <c r="BE47" s="72">
        <f ca="1">IF(AND(E47='Invoer gegevens'!$C$16,'Invoer gegevens'!$C$34&lt;'Invoer gegevens'!$C$16),AZ47,AZ47/(1+'Invoer gegevens'!$C$39)^D47)</f>
        <v>0</v>
      </c>
      <c r="BF47" s="72">
        <f ca="1">IF(E47='Invoer gegevens'!$C$34,-'Invoer gegevens'!$F$40,0)</f>
        <v>0</v>
      </c>
      <c r="BG47" s="72">
        <f ca="1">IF(E47='Invoer gegevens'!$C$17,-'Invoer gegevens'!$C$19*$BD$63,0)</f>
        <v>0</v>
      </c>
      <c r="BH47" s="72">
        <f ca="1">AW47/(1+$BH$36)^($D47-('Invoer gegevens'!$C$17-'Invoer gegevens'!$C$16))/(1+'Invoer gegevens'!$C$39)^('Invoer gegevens'!$C$17-'Invoer gegevens'!$C$16)+AX47/(1+$BH$36)^(E47-('Invoer gegevens'!$C$17-1))/(1+'Invoer gegevens'!$C$39)^('Invoer gegevens'!$C$17-'Invoer gegevens'!$C$16)+AY47/(1+'Invoer gegevens'!$C$39)^('Invoer gegevens'!$C$17-'Invoer gegevens'!$C$16)+(-AZ47/(1+'Invoer gegevens'!$C$39)^D47)+BF47+BG47</f>
        <v>0</v>
      </c>
      <c r="BI47" s="59"/>
    </row>
    <row r="48" spans="1:61" x14ac:dyDescent="0.25">
      <c r="A48" s="59"/>
      <c r="B48" s="70">
        <f t="shared" si="15"/>
        <v>12</v>
      </c>
      <c r="C48" s="67">
        <f ca="1">IF(AND(E48&gt;='Invoer gegevens'!$C$17,E48&lt;'Invoer gegevens'!$C$17+15),1,0)</f>
        <v>1</v>
      </c>
      <c r="D48" s="68">
        <f t="shared" si="16"/>
        <v>11.5</v>
      </c>
      <c r="E48" s="69">
        <f ca="1">IF('Invoer gegevens'!$C$16="","",E47+1)</f>
        <v>2030</v>
      </c>
      <c r="F48" s="84">
        <f ca="1">IF('Invoer gegevens'!$C$17=E48,'Invoer gegevens'!$C$10,IF(C48=1,K47,0))</f>
        <v>0</v>
      </c>
      <c r="G48" s="96">
        <f ca="1">IF(E48='Invoer gegevens'!$C$17+15,K47,IF(C48&gt;=1,F48*VLOOKUP(E48,Reeksen!$A$5:$B$76,2),0))</f>
        <v>0</v>
      </c>
      <c r="H48" s="84">
        <f ca="1">IF(E48='Invoer gegevens'!$C$17+15,K47,(1-('Invoer gegevens'!$F$20/12))*F48*MIN(Reeksen!B16,Reeksen!D16))</f>
        <v>0</v>
      </c>
      <c r="I48" s="84">
        <f>IF(Reeksen!D16&lt;Reeksen!B16,(Reeksen!B16-Reeksen!D16)*F48,0)</f>
        <v>0</v>
      </c>
      <c r="J48" s="84">
        <f ca="1">IF(E48='Invoer gegevens'!$C$17+16,0,('Invoer gegevens'!$F$20/12)*F47*MIN(Reeksen!B15,Reeksen!D15))</f>
        <v>0</v>
      </c>
      <c r="K48" s="97">
        <f ca="1">IF(E48&gt;='Invoer gegevens'!$C$17+15,0,F48-G48)</f>
        <v>0</v>
      </c>
      <c r="L48" s="84">
        <f ca="1">IF('Invoer gegevens'!$C$17=E48,0,IF(C48=1,Q47,0))</f>
        <v>0</v>
      </c>
      <c r="M48" s="96">
        <f ca="1">IF(E48='Invoer gegevens'!$C$17+15,Q47,IF(C48&gt;=1,L48*VLOOKUP(E48,Reeksen!$A$5:$B$76,2),0))</f>
        <v>0</v>
      </c>
      <c r="N48" s="84">
        <f ca="1">IF(C48='Invoer gegevens'!$C$17+15,Q47,(1-('Invoer gegevens'!$F$20/12))*L48*MIN(Reeksen!B16,Reeksen!D16))</f>
        <v>0</v>
      </c>
      <c r="O48" s="84">
        <f>IF(Reeksen!D16&lt;Reeksen!B16,(Reeksen!B16-Reeksen!D16)*L48,0)</f>
        <v>0</v>
      </c>
      <c r="P48" s="84">
        <f ca="1">IF(E48='Invoer gegevens'!$C$17+16,0,('Invoer gegevens'!$F$20/12)*L47*MIN(Reeksen!B15,Reeksen!D15))</f>
        <v>0</v>
      </c>
      <c r="Q48" s="84">
        <f ca="1">IF(E48&gt;='Invoer gegevens'!$C$17+15,0,L48-M48+I48+O48)</f>
        <v>0</v>
      </c>
      <c r="R48" s="82">
        <f ca="1">IF('Invoer gegevens'!$C$17=E48,'Invoer gegevens'!$C$11,IF(C48=1,W47,0))</f>
        <v>0</v>
      </c>
      <c r="S48" s="86">
        <f ca="1">IF(E48='Invoer gegevens'!$C$17+15,W47,IF(C48&gt;=1,R48*VLOOKUP(E48,Reeksen!$A$5:$B$76,2),0))</f>
        <v>0</v>
      </c>
      <c r="T48" s="84">
        <f ca="1">IF(E48='Invoer gegevens'!$C$17+15,W47,(1-('Invoer gegevens'!$F$20/12))*R48*MIN(Reeksen!B16,Reeksen!D16))</f>
        <v>0</v>
      </c>
      <c r="U48" s="84">
        <f>IF(Reeksen!D16&gt;=Reeksen!B16,0,IF(Reeksen!AK16&lt;=Reeksen!AE16,(Reeksen!B16-Reeksen!D16)*R48,0))</f>
        <v>0</v>
      </c>
      <c r="V48" s="86">
        <f>IF(Reeksen!D16&gt;=Reeksen!B16,0,IF(Reeksen!AK16&gt;Reeksen!AE16,(Reeksen!B16-Reeksen!D16)*R48,0))</f>
        <v>0</v>
      </c>
      <c r="W48" s="97">
        <f ca="1">IF(E48&gt;='Invoer gegevens'!$C$17+15,0,R48-S48)</f>
        <v>0</v>
      </c>
      <c r="X48" s="98">
        <f ca="1">IF('Invoer gegevens'!$C$17=E48,'Invoer gegevens'!$C$10-'Invoer gegevens'!$C$11,IF(C48=1,AC47,0))</f>
        <v>0</v>
      </c>
      <c r="Y48" s="98">
        <f ca="1">IF(E48='Invoer gegevens'!$C$17+15,AC47,IF(C48&gt;=1,X48*VLOOKUP(E48,Reeksen!$A$5:$B$76,2),0))</f>
        <v>0</v>
      </c>
      <c r="Z48" s="98">
        <f ca="1">IF(E48='Invoer gegevens'!$C$17+15,AC47,(1-('Invoer gegevens'!$F$20/12))*X48*MIN(Reeksen!B16,Reeksen!D16))</f>
        <v>0</v>
      </c>
      <c r="AA48" s="98">
        <f>IF(Reeksen!D16&gt;=Reeksen!B16,0,IF(Reeksen!AK16&lt;=Reeksen!AE16,(Reeksen!B16-Reeksen!D16)*X48,0))</f>
        <v>0</v>
      </c>
      <c r="AB48" s="98">
        <f>IF(Reeksen!D16&gt;=Reeksen!B16,0,IF(Reeksen!AK16&gt;Reeksen!AE16,(Reeksen!B16-Reeksen!D16)*X48,0))</f>
        <v>0</v>
      </c>
      <c r="AC48" s="99">
        <f ca="1">IF(E48&gt;='Invoer gegevens'!$C$17+15,0,X48-Y48)</f>
        <v>0</v>
      </c>
      <c r="AD48" s="98">
        <f ca="1">IF('Invoer gegevens'!$C$17=E16,R48,IF(C16=0,0,AE47))</f>
        <v>0</v>
      </c>
      <c r="AE48" s="98">
        <f t="shared" ca="1" si="10"/>
        <v>0</v>
      </c>
      <c r="AF48" s="98">
        <f ca="1">IF('Invoer gegevens'!$C$17=E16,X48,IF(C16=0,0,AG47))</f>
        <v>0</v>
      </c>
      <c r="AG48" s="98">
        <f t="shared" ca="1" si="11"/>
        <v>0</v>
      </c>
      <c r="AH48" s="68"/>
      <c r="AI48" s="71">
        <f ca="1">IF(C48=1,Reeksen!AJ16*((F48-G48+F48)/2)*12+Reeksen!AK16*((L48-M48+L48)/2)*12,0)</f>
        <v>0</v>
      </c>
      <c r="AJ48" s="71">
        <f ca="1">-AI48*'Invoer gegevens'!$F$28</f>
        <v>0</v>
      </c>
      <c r="AK48" s="71">
        <f t="shared" ca="1" si="9"/>
        <v>0</v>
      </c>
      <c r="AL48" s="71">
        <f ca="1">IF(C48=1,Reeksen!AL16*((F48-G48+F48)/2)*12+Reeksen!AM16*((L48-M48+L48)/2)*12,0)</f>
        <v>0</v>
      </c>
      <c r="AM48" s="71">
        <f ca="1">-AL48*'Invoer gegevens'!$F$31</f>
        <v>0</v>
      </c>
      <c r="AN48" s="71">
        <f t="shared" ca="1" si="12"/>
        <v>0</v>
      </c>
      <c r="AO48" s="71">
        <f ca="1">IF(E48&gt;='Invoer gegevens'!$C$17+15,0,IF(C48=1,(H48+J48+N48+P48)*Reeksen!AN16,0))</f>
        <v>0</v>
      </c>
      <c r="AP48" s="71">
        <f ca="1">-IF(C48=1,(H48+J48+N48+P48)*'Hulp - basis'!$G$550*Reeksen!H16,0)</f>
        <v>0</v>
      </c>
      <c r="AQ48" s="71">
        <f ca="1">-IF(C48=1,(F48+K48+L48+Q48)/2*'Invoer gegevens'!$I$33*Reeksen!J16,0)</f>
        <v>0</v>
      </c>
      <c r="AR48" s="71">
        <f ca="1">-IF(C48=1,(I48*'Invoer gegevens'!$I$34)*Reeksen!J16,0)</f>
        <v>0</v>
      </c>
      <c r="AS48" s="71">
        <f ca="1">-IF(C48=1,(F48+K48+L48+Q48)/2*'Invoer gegevens'!$I$35*Reeksen!L16,0)</f>
        <v>0</v>
      </c>
      <c r="AT48" s="71">
        <f ca="1">-IF(C48=1,IF(E48='Invoer gegevens'!$C$17,'Invoer gegevens'!$C$11,AD48)*Reeksen!S16*'Invoer gegevens'!$C$18*Reeksen!P16,0)</f>
        <v>0</v>
      </c>
      <c r="AU48" s="71">
        <f ca="1">-IF(C48=1,(F48+K48+L48+Q48)/2*'Invoer gegevens'!$I$36*Reeksen!H16,0)</f>
        <v>0</v>
      </c>
      <c r="AV48" s="71">
        <f>IF('Invoer gegevens'!$C$3="Basis",0,#REF!)</f>
        <v>0</v>
      </c>
      <c r="AW48" s="71">
        <f t="shared" ca="1" si="13"/>
        <v>0</v>
      </c>
      <c r="AX48" s="72">
        <f ca="1">IF(E48='Invoer gegevens'!$C$17+14,'RW - BW - UP'!$AY$236,0)</f>
        <v>0</v>
      </c>
      <c r="AY48" s="72">
        <f ca="1">IFERROR(IF(E48='Invoer gegevens'!$C$17,-'Invoer gegevens'!$C$10*('Invoer gegevens'!$C$30+'Invoer gegevens'!$C$31)*Reeksen!H16,0),0)</f>
        <v>0</v>
      </c>
      <c r="AZ48" s="73">
        <f ca="1">IF('Invoer gegevens'!$C$34=E48,'Invoer gegevens'!$C$27*'Invoer gegevens'!$C$10*'Invoer gegevens'!$C$36*(IF('Invoer gegevens'!$C$35="ja",1,Reeksen!J16)),IF('Invoer gegevens'!$C$34+1=E48,'Invoer gegevens'!$C$27*'Invoer gegevens'!$C$10*'Invoer gegevens'!$C$37*(IF('Invoer gegevens'!$C$35="ja",1,Reeksen!J16)),0))+IF(AND(E48='Invoer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8" s="73">
        <f ca="1">AW48/(1+'Invoer gegevens'!$F$18)^($D48-('Invoer gegevens'!$C$17-'Invoer gegevens'!$C$16))/(1+'Invoer gegevens'!$C$39)^('Invoer gegevens'!$C$17-'Invoer gegevens'!$C$16)</f>
        <v>0</v>
      </c>
      <c r="BB48" s="73">
        <f ca="1">AX48/(1+'Invoer gegevens'!$F$18)^(E48-('Invoer gegevens'!$C$17-1))/(1+'Invoer gegevens'!$C$39)^('Invoer gegevens'!$C$17-'Invoer gegevens'!$C$16)</f>
        <v>0</v>
      </c>
      <c r="BC48" s="73">
        <f ca="1">AY48/(1+'Invoer gegevens'!$C$39)^('Invoer gegevens'!$C$17-'Invoer gegevens'!$C$16)</f>
        <v>0</v>
      </c>
      <c r="BD48" s="72">
        <f t="shared" ca="1" si="14"/>
        <v>0</v>
      </c>
      <c r="BE48" s="72">
        <f ca="1">IF(AND(E48='Invoer gegevens'!$C$16,'Invoer gegevens'!$C$34&lt;'Invoer gegevens'!$C$16),AZ48,AZ48/(1+'Invoer gegevens'!$C$39)^D48)</f>
        <v>0</v>
      </c>
      <c r="BF48" s="72">
        <f ca="1">IF(E48='Invoer gegevens'!$C$34,-'Invoer gegevens'!$F$40,0)</f>
        <v>0</v>
      </c>
      <c r="BG48" s="72">
        <f ca="1">IF(E48='Invoer gegevens'!$C$17,-'Invoer gegevens'!$C$19*$BD$63,0)</f>
        <v>0</v>
      </c>
      <c r="BH48" s="72">
        <f ca="1">AW48/(1+$BH$36)^($D48-('Invoer gegevens'!$C$17-'Invoer gegevens'!$C$16))/(1+'Invoer gegevens'!$C$39)^('Invoer gegevens'!$C$17-'Invoer gegevens'!$C$16)+AX48/(1+$BH$36)^(E48-('Invoer gegevens'!$C$17-1))/(1+'Invoer gegevens'!$C$39)^('Invoer gegevens'!$C$17-'Invoer gegevens'!$C$16)+AY48/(1+'Invoer gegevens'!$C$39)^('Invoer gegevens'!$C$17-'Invoer gegevens'!$C$16)+(-AZ48/(1+'Invoer gegevens'!$C$39)^D48)+BF48+BG48</f>
        <v>0</v>
      </c>
      <c r="BI48" s="59"/>
    </row>
    <row r="49" spans="1:61" x14ac:dyDescent="0.25">
      <c r="A49" s="59"/>
      <c r="B49" s="70">
        <f t="shared" si="15"/>
        <v>13</v>
      </c>
      <c r="C49" s="67">
        <f ca="1">IF(AND(E49&gt;='Invoer gegevens'!$C$17,E49&lt;'Invoer gegevens'!$C$17+15),1,0)</f>
        <v>1</v>
      </c>
      <c r="D49" s="68">
        <f t="shared" si="16"/>
        <v>12.5</v>
      </c>
      <c r="E49" s="69">
        <f ca="1">IF('Invoer gegevens'!$C$16="","",E48+1)</f>
        <v>2031</v>
      </c>
      <c r="F49" s="84">
        <f ca="1">IF('Invoer gegevens'!$C$17=E49,'Invoer gegevens'!$C$10,IF(C49=1,K48,0))</f>
        <v>0</v>
      </c>
      <c r="G49" s="96">
        <f ca="1">IF(E49='Invoer gegevens'!$C$17+15,K48,IF(C49&gt;=1,F49*VLOOKUP(E49,Reeksen!$A$5:$B$76,2),0))</f>
        <v>0</v>
      </c>
      <c r="H49" s="84">
        <f ca="1">IF(E49='Invoer gegevens'!$C$17+15,K48,(1-('Invoer gegevens'!$F$20/12))*F49*MIN(Reeksen!B17,Reeksen!D17))</f>
        <v>0</v>
      </c>
      <c r="I49" s="84">
        <f>IF(Reeksen!D17&lt;Reeksen!B17,(Reeksen!B17-Reeksen!D17)*F49,0)</f>
        <v>0</v>
      </c>
      <c r="J49" s="84">
        <f ca="1">IF(E49='Invoer gegevens'!$C$17+16,0,('Invoer gegevens'!$F$20/12)*F48*MIN(Reeksen!B16,Reeksen!D16))</f>
        <v>0</v>
      </c>
      <c r="K49" s="97">
        <f ca="1">IF(E49&gt;='Invoer gegevens'!$C$17+15,0,F49-G49)</f>
        <v>0</v>
      </c>
      <c r="L49" s="84">
        <f ca="1">IF('Invoer gegevens'!$C$17=E49,0,IF(C49=1,Q48,0))</f>
        <v>0</v>
      </c>
      <c r="M49" s="96">
        <f ca="1">IF(E49='Invoer gegevens'!$C$17+15,Q48,IF(C49&gt;=1,L49*VLOOKUP(E49,Reeksen!$A$5:$B$76,2),0))</f>
        <v>0</v>
      </c>
      <c r="N49" s="84">
        <f ca="1">IF(C49='Invoer gegevens'!$C$17+15,Q48,(1-('Invoer gegevens'!$F$20/12))*L49*MIN(Reeksen!B17,Reeksen!D17))</f>
        <v>0</v>
      </c>
      <c r="O49" s="84">
        <f>IF(Reeksen!D17&lt;Reeksen!B17,(Reeksen!B17-Reeksen!D17)*L49,0)</f>
        <v>0</v>
      </c>
      <c r="P49" s="84">
        <f ca="1">IF(E49='Invoer gegevens'!$C$17+16,0,('Invoer gegevens'!$F$20/12)*L48*MIN(Reeksen!B16,Reeksen!D16))</f>
        <v>0</v>
      </c>
      <c r="Q49" s="84">
        <f ca="1">IF(E49&gt;='Invoer gegevens'!$C$17+15,0,L49-M49+I49+O49)</f>
        <v>0</v>
      </c>
      <c r="R49" s="82">
        <f ca="1">IF('Invoer gegevens'!$C$17=E49,'Invoer gegevens'!$C$11,IF(C49=1,W48,0))</f>
        <v>0</v>
      </c>
      <c r="S49" s="86">
        <f ca="1">IF(E49='Invoer gegevens'!$C$17+15,W48,IF(C49&gt;=1,R49*VLOOKUP(E49,Reeksen!$A$5:$B$76,2),0))</f>
        <v>0</v>
      </c>
      <c r="T49" s="84">
        <f ca="1">IF(E49='Invoer gegevens'!$C$17+15,W48,(1-('Invoer gegevens'!$F$20/12))*R49*MIN(Reeksen!B17,Reeksen!D17))</f>
        <v>0</v>
      </c>
      <c r="U49" s="84">
        <f>IF(Reeksen!D17&gt;=Reeksen!B17,0,IF(Reeksen!AK17&lt;=Reeksen!AE17,(Reeksen!B17-Reeksen!D17)*R49,0))</f>
        <v>0</v>
      </c>
      <c r="V49" s="86">
        <f>IF(Reeksen!D17&gt;=Reeksen!B17,0,IF(Reeksen!AK17&gt;Reeksen!AE17,(Reeksen!B17-Reeksen!D17)*R49,0))</f>
        <v>0</v>
      </c>
      <c r="W49" s="97">
        <f ca="1">IF(E49&gt;='Invoer gegevens'!$C$17+15,0,R49-S49)</f>
        <v>0</v>
      </c>
      <c r="X49" s="98">
        <f ca="1">IF('Invoer gegevens'!$C$17=E49,'Invoer gegevens'!$C$10-'Invoer gegevens'!$C$11,IF(C49=1,AC48,0))</f>
        <v>0</v>
      </c>
      <c r="Y49" s="98">
        <f ca="1">IF(E49='Invoer gegevens'!$C$17+15,AC48,IF(C49&gt;=1,X49*VLOOKUP(E49,Reeksen!$A$5:$B$76,2),0))</f>
        <v>0</v>
      </c>
      <c r="Z49" s="98">
        <f ca="1">IF(E49='Invoer gegevens'!$C$17+15,AC48,(1-('Invoer gegevens'!$F$20/12))*X49*MIN(Reeksen!B17,Reeksen!D17))</f>
        <v>0</v>
      </c>
      <c r="AA49" s="98">
        <f>IF(Reeksen!D17&gt;=Reeksen!B17,0,IF(Reeksen!AK17&lt;=Reeksen!AE17,(Reeksen!B17-Reeksen!D17)*X49,0))</f>
        <v>0</v>
      </c>
      <c r="AB49" s="98">
        <f>IF(Reeksen!D17&gt;=Reeksen!B17,0,IF(Reeksen!AK17&gt;Reeksen!AE17,(Reeksen!B17-Reeksen!D17)*X49,0))</f>
        <v>0</v>
      </c>
      <c r="AC49" s="99">
        <f ca="1">IF(E49&gt;='Invoer gegevens'!$C$17+15,0,X49-Y49)</f>
        <v>0</v>
      </c>
      <c r="AD49" s="98">
        <f ca="1">IF('Invoer gegevens'!$C$17=E17,R49,IF(C17=0,0,AE48))</f>
        <v>0</v>
      </c>
      <c r="AE49" s="98">
        <f t="shared" ca="1" si="10"/>
        <v>0</v>
      </c>
      <c r="AF49" s="98">
        <f ca="1">IF('Invoer gegevens'!$C$17=E17,X49,IF(C17=0,0,AG48))</f>
        <v>0</v>
      </c>
      <c r="AG49" s="98">
        <f t="shared" ca="1" si="11"/>
        <v>0</v>
      </c>
      <c r="AH49" s="68"/>
      <c r="AI49" s="71">
        <f ca="1">IF(C49=1,Reeksen!AJ17*((F49-G49+F49)/2)*12+Reeksen!AK17*((L49-M49+L49)/2)*12,0)</f>
        <v>0</v>
      </c>
      <c r="AJ49" s="71">
        <f ca="1">-AI49*'Invoer gegevens'!$F$28</f>
        <v>0</v>
      </c>
      <c r="AK49" s="71">
        <f t="shared" ca="1" si="9"/>
        <v>0</v>
      </c>
      <c r="AL49" s="71">
        <f ca="1">IF(C49=1,Reeksen!AL17*((F49-G49+F49)/2)*12+Reeksen!AM17*((L49-M49+L49)/2)*12,0)</f>
        <v>0</v>
      </c>
      <c r="AM49" s="71">
        <f ca="1">-AL49*'Invoer gegevens'!$F$31</f>
        <v>0</v>
      </c>
      <c r="AN49" s="71">
        <f t="shared" ca="1" si="12"/>
        <v>0</v>
      </c>
      <c r="AO49" s="71">
        <f ca="1">IF(E49&gt;='Invoer gegevens'!$C$17+15,0,IF(C49=1,(H49+J49+N49+P49)*Reeksen!AN17,0))</f>
        <v>0</v>
      </c>
      <c r="AP49" s="71">
        <f ca="1">-IF(C49=1,(H49+J49+N49+P49)*'Hulp - basis'!$G$550*Reeksen!H17,0)</f>
        <v>0</v>
      </c>
      <c r="AQ49" s="71">
        <f ca="1">-IF(C49=1,(F49+K49+L49+Q49)/2*'Invoer gegevens'!$I$33*Reeksen!J17,0)</f>
        <v>0</v>
      </c>
      <c r="AR49" s="71">
        <f ca="1">-IF(C49=1,(I49*'Invoer gegevens'!$I$34)*Reeksen!J17,0)</f>
        <v>0</v>
      </c>
      <c r="AS49" s="71">
        <f ca="1">-IF(C49=1,(F49+K49+L49+Q49)/2*'Invoer gegevens'!$I$35*Reeksen!L17,0)</f>
        <v>0</v>
      </c>
      <c r="AT49" s="71">
        <f ca="1">-IF(C49=1,IF(E49='Invoer gegevens'!$C$17,'Invoer gegevens'!$C$11,AD49)*Reeksen!S17*'Invoer gegevens'!$C$18*Reeksen!P17,0)</f>
        <v>0</v>
      </c>
      <c r="AU49" s="71">
        <f ca="1">-IF(C49=1,(F49+K49+L49+Q49)/2*'Invoer gegevens'!$I$36*Reeksen!H17,0)</f>
        <v>0</v>
      </c>
      <c r="AV49" s="71">
        <f>IF('Invoer gegevens'!$C$3="Basis",0,#REF!)</f>
        <v>0</v>
      </c>
      <c r="AW49" s="71">
        <f t="shared" ca="1" si="13"/>
        <v>0</v>
      </c>
      <c r="AX49" s="72">
        <f ca="1">IF(E49='Invoer gegevens'!$C$17+14,'RW - BW - UP'!$AY$236,0)</f>
        <v>0</v>
      </c>
      <c r="AY49" s="72">
        <f ca="1">IFERROR(IF(E49='Invoer gegevens'!$C$17,-'Invoer gegevens'!$C$10*('Invoer gegevens'!$C$30+'Invoer gegevens'!$C$31)*Reeksen!H17,0),0)</f>
        <v>0</v>
      </c>
      <c r="AZ49" s="73">
        <f ca="1">IF('Invoer gegevens'!$C$34=E49,'Invoer gegevens'!$C$27*'Invoer gegevens'!$C$10*'Invoer gegevens'!$C$36*(IF('Invoer gegevens'!$C$35="ja",1,Reeksen!J17)),IF('Invoer gegevens'!$C$34+1=E49,'Invoer gegevens'!$C$27*'Invoer gegevens'!$C$10*'Invoer gegevens'!$C$37*(IF('Invoer gegevens'!$C$35="ja",1,Reeksen!J17)),0))+IF(AND(E49='Invoer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49" s="73">
        <f ca="1">AW49/(1+'Invoer gegevens'!$F$18)^($D49-('Invoer gegevens'!$C$17-'Invoer gegevens'!$C$16))/(1+'Invoer gegevens'!$C$39)^('Invoer gegevens'!$C$17-'Invoer gegevens'!$C$16)</f>
        <v>0</v>
      </c>
      <c r="BB49" s="73">
        <f ca="1">AX49/(1+'Invoer gegevens'!$F$18)^(E49-('Invoer gegevens'!$C$17-1))/(1+'Invoer gegevens'!$C$39)^('Invoer gegevens'!$C$17-'Invoer gegevens'!$C$16)</f>
        <v>0</v>
      </c>
      <c r="BC49" s="73">
        <f ca="1">AY49/(1+'Invoer gegevens'!$C$39)^('Invoer gegevens'!$C$17-'Invoer gegevens'!$C$16)</f>
        <v>0</v>
      </c>
      <c r="BD49" s="72">
        <f t="shared" ca="1" si="14"/>
        <v>0</v>
      </c>
      <c r="BE49" s="72">
        <f ca="1">IF(AND(E49='Invoer gegevens'!$C$16,'Invoer gegevens'!$C$34&lt;'Invoer gegevens'!$C$16),AZ49,AZ49/(1+'Invoer gegevens'!$C$39)^D49)</f>
        <v>0</v>
      </c>
      <c r="BF49" s="72">
        <f ca="1">IF(E49='Invoer gegevens'!$C$34,-'Invoer gegevens'!$F$40,0)</f>
        <v>0</v>
      </c>
      <c r="BG49" s="72">
        <f ca="1">IF(E49='Invoer gegevens'!$C$17,-'Invoer gegevens'!$C$19*$BD$63,0)</f>
        <v>0</v>
      </c>
      <c r="BH49" s="72">
        <f ca="1">AW49/(1+$BH$36)^($D49-('Invoer gegevens'!$C$17-'Invoer gegevens'!$C$16))/(1+'Invoer gegevens'!$C$39)^('Invoer gegevens'!$C$17-'Invoer gegevens'!$C$16)+AX49/(1+$BH$36)^(E49-('Invoer gegevens'!$C$17-1))/(1+'Invoer gegevens'!$C$39)^('Invoer gegevens'!$C$17-'Invoer gegevens'!$C$16)+AY49/(1+'Invoer gegevens'!$C$39)^('Invoer gegevens'!$C$17-'Invoer gegevens'!$C$16)+(-AZ49/(1+'Invoer gegevens'!$C$39)^D49)+BF49+BG49</f>
        <v>0</v>
      </c>
      <c r="BI49" s="59"/>
    </row>
    <row r="50" spans="1:61" x14ac:dyDescent="0.25">
      <c r="A50" s="59"/>
      <c r="B50" s="70">
        <f t="shared" si="15"/>
        <v>14</v>
      </c>
      <c r="C50" s="67">
        <f ca="1">IF(AND(E50&gt;='Invoer gegevens'!$C$17,E50&lt;'Invoer gegevens'!$C$17+15),1,0)</f>
        <v>1</v>
      </c>
      <c r="D50" s="68">
        <f t="shared" si="16"/>
        <v>13.5</v>
      </c>
      <c r="E50" s="69">
        <f ca="1">IF('Invoer gegevens'!$C$16="","",E49+1)</f>
        <v>2032</v>
      </c>
      <c r="F50" s="84">
        <f ca="1">IF('Invoer gegevens'!$C$17=E50,'Invoer gegevens'!$C$10,IF(C50=1,K49,0))</f>
        <v>0</v>
      </c>
      <c r="G50" s="96">
        <f ca="1">IF(E50='Invoer gegevens'!$C$17+15,K49,IF(C50&gt;=1,F50*VLOOKUP(E50,Reeksen!$A$5:$B$76,2),0))</f>
        <v>0</v>
      </c>
      <c r="H50" s="84">
        <f ca="1">IF(E50='Invoer gegevens'!$C$17+15,K49,(1-('Invoer gegevens'!$F$20/12))*F50*MIN(Reeksen!B18,Reeksen!D18))</f>
        <v>0</v>
      </c>
      <c r="I50" s="84">
        <f>IF(Reeksen!D18&lt;Reeksen!B18,(Reeksen!B18-Reeksen!D18)*F50,0)</f>
        <v>0</v>
      </c>
      <c r="J50" s="84">
        <f ca="1">IF(E50='Invoer gegevens'!$C$17+16,0,('Invoer gegevens'!$F$20/12)*F49*MIN(Reeksen!B17,Reeksen!D17))</f>
        <v>0</v>
      </c>
      <c r="K50" s="97">
        <f ca="1">IF(E50&gt;='Invoer gegevens'!$C$17+15,0,F50-G50)</f>
        <v>0</v>
      </c>
      <c r="L50" s="84">
        <f ca="1">IF('Invoer gegevens'!$C$17=E50,0,IF(C50=1,Q49,0))</f>
        <v>0</v>
      </c>
      <c r="M50" s="96">
        <f ca="1">IF(E50='Invoer gegevens'!$C$17+15,Q49,IF(C50&gt;=1,L50*VLOOKUP(E50,Reeksen!$A$5:$B$76,2),0))</f>
        <v>0</v>
      </c>
      <c r="N50" s="84">
        <f ca="1">IF(C50='Invoer gegevens'!$C$17+15,Q49,(1-('Invoer gegevens'!$F$20/12))*L50*MIN(Reeksen!B18,Reeksen!D18))</f>
        <v>0</v>
      </c>
      <c r="O50" s="84">
        <f>IF(Reeksen!D18&lt;Reeksen!B18,(Reeksen!B18-Reeksen!D18)*L50,0)</f>
        <v>0</v>
      </c>
      <c r="P50" s="84">
        <f ca="1">IF(E50='Invoer gegevens'!$C$17+16,0,('Invoer gegevens'!$F$20/12)*L49*MIN(Reeksen!B17,Reeksen!D17))</f>
        <v>0</v>
      </c>
      <c r="Q50" s="84">
        <f ca="1">IF(E50&gt;='Invoer gegevens'!$C$17+15,0,L50-M50+I50+O50)</f>
        <v>0</v>
      </c>
      <c r="R50" s="82">
        <f ca="1">IF('Invoer gegevens'!$C$17=E50,'Invoer gegevens'!$C$11,IF(C50=1,W49,0))</f>
        <v>0</v>
      </c>
      <c r="S50" s="86">
        <f ca="1">IF(E50='Invoer gegevens'!$C$17+15,W49,IF(C50&gt;=1,R50*VLOOKUP(E50,Reeksen!$A$5:$B$76,2),0))</f>
        <v>0</v>
      </c>
      <c r="T50" s="84">
        <f ca="1">IF(E50='Invoer gegevens'!$C$17+15,W49,(1-('Invoer gegevens'!$F$20/12))*R50*MIN(Reeksen!B18,Reeksen!D18))</f>
        <v>0</v>
      </c>
      <c r="U50" s="84">
        <f>IF(Reeksen!D18&gt;=Reeksen!B18,0,IF(Reeksen!AK18&lt;=Reeksen!AE18,(Reeksen!B18-Reeksen!D18)*R50,0))</f>
        <v>0</v>
      </c>
      <c r="V50" s="86">
        <f>IF(Reeksen!D18&gt;=Reeksen!B18,0,IF(Reeksen!AK18&gt;Reeksen!AE18,(Reeksen!B18-Reeksen!D18)*R50,0))</f>
        <v>0</v>
      </c>
      <c r="W50" s="97">
        <f ca="1">IF(E50&gt;='Invoer gegevens'!$C$17+15,0,R50-S50)</f>
        <v>0</v>
      </c>
      <c r="X50" s="98">
        <f ca="1">IF('Invoer gegevens'!$C$17=E50,'Invoer gegevens'!$C$10-'Invoer gegevens'!$C$11,IF(C50=1,AC49,0))</f>
        <v>0</v>
      </c>
      <c r="Y50" s="98">
        <f ca="1">IF(E50='Invoer gegevens'!$C$17+15,AC49,IF(C50&gt;=1,X50*VLOOKUP(E50,Reeksen!$A$5:$B$76,2),0))</f>
        <v>0</v>
      </c>
      <c r="Z50" s="98">
        <f ca="1">IF(E50='Invoer gegevens'!$C$17+15,AC49,(1-('Invoer gegevens'!$F$20/12))*X50*MIN(Reeksen!B18,Reeksen!D18))</f>
        <v>0</v>
      </c>
      <c r="AA50" s="98">
        <f>IF(Reeksen!D18&gt;=Reeksen!B18,0,IF(Reeksen!AK18&lt;=Reeksen!AE18,(Reeksen!B18-Reeksen!D18)*X50,0))</f>
        <v>0</v>
      </c>
      <c r="AB50" s="98">
        <f>IF(Reeksen!D18&gt;=Reeksen!B18,0,IF(Reeksen!AK18&gt;Reeksen!AE18,(Reeksen!B18-Reeksen!D18)*X50,0))</f>
        <v>0</v>
      </c>
      <c r="AC50" s="99">
        <f ca="1">IF(E50&gt;='Invoer gegevens'!$C$17+15,0,X50-Y50)</f>
        <v>0</v>
      </c>
      <c r="AD50" s="98">
        <f ca="1">IF('Invoer gegevens'!$C$17=E18,R50,IF(C18=0,0,AE49))</f>
        <v>0</v>
      </c>
      <c r="AE50" s="98">
        <f t="shared" ca="1" si="10"/>
        <v>0</v>
      </c>
      <c r="AF50" s="98">
        <f ca="1">IF('Invoer gegevens'!$C$17=E18,X50,IF(C18=0,0,AG49))</f>
        <v>0</v>
      </c>
      <c r="AG50" s="98">
        <f t="shared" ca="1" si="11"/>
        <v>0</v>
      </c>
      <c r="AH50" s="68"/>
      <c r="AI50" s="71">
        <f ca="1">IF(C50=1,Reeksen!AJ18*((F50-G50+F50)/2)*12+Reeksen!AK18*((L50-M50+L50)/2)*12,0)</f>
        <v>0</v>
      </c>
      <c r="AJ50" s="71">
        <f ca="1">-AI50*'Invoer gegevens'!$F$28</f>
        <v>0</v>
      </c>
      <c r="AK50" s="71">
        <f t="shared" ca="1" si="9"/>
        <v>0</v>
      </c>
      <c r="AL50" s="71">
        <f ca="1">IF(C50=1,Reeksen!AL18*((F50-G50+F50)/2)*12+Reeksen!AM18*((L50-M50+L50)/2)*12,0)</f>
        <v>0</v>
      </c>
      <c r="AM50" s="71">
        <f ca="1">-AL50*'Invoer gegevens'!$F$31</f>
        <v>0</v>
      </c>
      <c r="AN50" s="71">
        <f t="shared" ca="1" si="12"/>
        <v>0</v>
      </c>
      <c r="AO50" s="71">
        <f ca="1">IF(E50&gt;='Invoer gegevens'!$C$17+15,0,IF(C50=1,(H50+J50+N50+P50)*Reeksen!AN18,0))</f>
        <v>0</v>
      </c>
      <c r="AP50" s="71">
        <f ca="1">-IF(C50=1,(H50+J50+N50+P50)*'Hulp - basis'!$G$550*Reeksen!H18,0)</f>
        <v>0</v>
      </c>
      <c r="AQ50" s="71">
        <f ca="1">-IF(C50=1,(F50+K50+L50+Q50)/2*'Invoer gegevens'!$I$33*Reeksen!J18,0)</f>
        <v>0</v>
      </c>
      <c r="AR50" s="71">
        <f ca="1">-IF(C50=1,(I50*'Invoer gegevens'!$I$34)*Reeksen!J18,0)</f>
        <v>0</v>
      </c>
      <c r="AS50" s="71">
        <f ca="1">-IF(C50=1,(F50+K50+L50+Q50)/2*'Invoer gegevens'!$I$35*Reeksen!L18,0)</f>
        <v>0</v>
      </c>
      <c r="AT50" s="71">
        <f ca="1">-IF(C50=1,IF(E50='Invoer gegevens'!$C$17,'Invoer gegevens'!$C$11,AD50)*Reeksen!S18*'Invoer gegevens'!$C$18*Reeksen!P18,0)</f>
        <v>0</v>
      </c>
      <c r="AU50" s="71">
        <f ca="1">-IF(C50=1,(F50+K50+L50+Q50)/2*'Invoer gegevens'!$I$36*Reeksen!H18,0)</f>
        <v>0</v>
      </c>
      <c r="AV50" s="71">
        <f>IF('Invoer gegevens'!$C$3="Basis",0,#REF!)</f>
        <v>0</v>
      </c>
      <c r="AW50" s="71">
        <f t="shared" ca="1" si="13"/>
        <v>0</v>
      </c>
      <c r="AX50" s="72">
        <f ca="1">IF(E50='Invoer gegevens'!$C$17+14,'RW - BW - UP'!$AY$236,0)</f>
        <v>0</v>
      </c>
      <c r="AY50" s="72">
        <f ca="1">IFERROR(IF(E50='Invoer gegevens'!$C$17,-'Invoer gegevens'!$C$10*('Invoer gegevens'!$C$30+'Invoer gegevens'!$C$31)*Reeksen!H18,0),0)</f>
        <v>0</v>
      </c>
      <c r="AZ50" s="73">
        <f ca="1">IF('Invoer gegevens'!$C$34=E50,'Invoer gegevens'!$C$27*'Invoer gegevens'!$C$10*'Invoer gegevens'!$C$36*(IF('Invoer gegevens'!$C$35="ja",1,Reeksen!J18)),IF('Invoer gegevens'!$C$34+1=E50,'Invoer gegevens'!$C$27*'Invoer gegevens'!$C$10*'Invoer gegevens'!$C$37*(IF('Invoer gegevens'!$C$35="ja",1,Reeksen!J18)),0))+IF(AND(E50='Invoer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0" s="73">
        <f ca="1">AW50/(1+'Invoer gegevens'!$F$18)^($D50-('Invoer gegevens'!$C$17-'Invoer gegevens'!$C$16))/(1+'Invoer gegevens'!$C$39)^('Invoer gegevens'!$C$17-'Invoer gegevens'!$C$16)</f>
        <v>0</v>
      </c>
      <c r="BB50" s="73">
        <f ca="1">AX50/(1+'Invoer gegevens'!$F$18)^(E50-('Invoer gegevens'!$C$17-1))/(1+'Invoer gegevens'!$C$39)^('Invoer gegevens'!$C$17-'Invoer gegevens'!$C$16)</f>
        <v>0</v>
      </c>
      <c r="BC50" s="73">
        <f ca="1">AY50/(1+'Invoer gegevens'!$C$39)^('Invoer gegevens'!$C$17-'Invoer gegevens'!$C$16)</f>
        <v>0</v>
      </c>
      <c r="BD50" s="72">
        <f t="shared" ca="1" si="14"/>
        <v>0</v>
      </c>
      <c r="BE50" s="72">
        <f ca="1">IF(AND(E50='Invoer gegevens'!$C$16,'Invoer gegevens'!$C$34&lt;'Invoer gegevens'!$C$16),AZ50,AZ50/(1+'Invoer gegevens'!$C$39)^D50)</f>
        <v>0</v>
      </c>
      <c r="BF50" s="72">
        <f ca="1">IF(E50='Invoer gegevens'!$C$34,-'Invoer gegevens'!$F$40,0)</f>
        <v>0</v>
      </c>
      <c r="BG50" s="72">
        <f ca="1">IF(E50='Invoer gegevens'!$C$17,-'Invoer gegevens'!$C$19*$BD$63,0)</f>
        <v>0</v>
      </c>
      <c r="BH50" s="72">
        <f ca="1">AW50/(1+$BH$36)^($D50-('Invoer gegevens'!$C$17-'Invoer gegevens'!$C$16))/(1+'Invoer gegevens'!$C$39)^('Invoer gegevens'!$C$17-'Invoer gegevens'!$C$16)+AX50/(1+$BH$36)^(E50-('Invoer gegevens'!$C$17-1))/(1+'Invoer gegevens'!$C$39)^('Invoer gegevens'!$C$17-'Invoer gegevens'!$C$16)+AY50/(1+'Invoer gegevens'!$C$39)^('Invoer gegevens'!$C$17-'Invoer gegevens'!$C$16)+(-AZ50/(1+'Invoer gegevens'!$C$39)^D50)+BF50+BG50</f>
        <v>0</v>
      </c>
      <c r="BI50" s="59"/>
    </row>
    <row r="51" spans="1:61" x14ac:dyDescent="0.25">
      <c r="A51" s="59"/>
      <c r="B51" s="70">
        <f t="shared" si="15"/>
        <v>15</v>
      </c>
      <c r="C51" s="67">
        <f ca="1">IF(AND(E51&gt;='Invoer gegevens'!$C$17,E51&lt;'Invoer gegevens'!$C$17+15),1,0)</f>
        <v>1</v>
      </c>
      <c r="D51" s="68">
        <f t="shared" si="16"/>
        <v>14.5</v>
      </c>
      <c r="E51" s="69">
        <f ca="1">IF('Invoer gegevens'!$C$16="","",E50+1)</f>
        <v>2033</v>
      </c>
      <c r="F51" s="84">
        <f ca="1">IF('Invoer gegevens'!$C$17=E51,'Invoer gegevens'!$C$10,IF(C51=1,K50,0))</f>
        <v>0</v>
      </c>
      <c r="G51" s="96">
        <f ca="1">IF(E51='Invoer gegevens'!$C$17+15,K50,IF(C51&gt;=1,F51*VLOOKUP(E51,Reeksen!$A$5:$B$76,2),0))</f>
        <v>0</v>
      </c>
      <c r="H51" s="84">
        <f ca="1">IF(E51='Invoer gegevens'!$C$17+15,K50,(1-('Invoer gegevens'!$F$20/12))*F51*MIN(Reeksen!B19,Reeksen!D19))</f>
        <v>0</v>
      </c>
      <c r="I51" s="84">
        <f>IF(Reeksen!D19&lt;Reeksen!B19,(Reeksen!B19-Reeksen!D19)*F51,0)</f>
        <v>0</v>
      </c>
      <c r="J51" s="84">
        <f ca="1">IF(E51='Invoer gegevens'!$C$17+16,0,('Invoer gegevens'!$F$20/12)*F50*MIN(Reeksen!B18,Reeksen!D18))</f>
        <v>0</v>
      </c>
      <c r="K51" s="97">
        <f ca="1">IF(E51&gt;='Invoer gegevens'!$C$17+15,0,F51-G51)</f>
        <v>0</v>
      </c>
      <c r="L51" s="84">
        <f ca="1">IF('Invoer gegevens'!$C$17=E51,0,IF(C51=1,Q50,0))</f>
        <v>0</v>
      </c>
      <c r="M51" s="96">
        <f ca="1">IF(E51='Invoer gegevens'!$C$17+15,Q50,IF(C51&gt;=1,L51*VLOOKUP(E51,Reeksen!$A$5:$B$76,2),0))</f>
        <v>0</v>
      </c>
      <c r="N51" s="84">
        <f ca="1">IF(C51='Invoer gegevens'!$C$17+15,Q50,(1-('Invoer gegevens'!$F$20/12))*L51*MIN(Reeksen!B19,Reeksen!D19))</f>
        <v>0</v>
      </c>
      <c r="O51" s="84">
        <f>IF(Reeksen!D19&lt;Reeksen!B19,(Reeksen!B19-Reeksen!D19)*L51,0)</f>
        <v>0</v>
      </c>
      <c r="P51" s="84">
        <f ca="1">IF(E51='Invoer gegevens'!$C$17+16,0,('Invoer gegevens'!$F$20/12)*L50*MIN(Reeksen!B18,Reeksen!D18))</f>
        <v>0</v>
      </c>
      <c r="Q51" s="84">
        <f ca="1">IF(E51&gt;='Invoer gegevens'!$C$17+15,0,L51-M51+I51+O51)</f>
        <v>0</v>
      </c>
      <c r="R51" s="82">
        <f ca="1">IF('Invoer gegevens'!$C$17=E51,'Invoer gegevens'!$C$11,IF(C51=1,W50,0))</f>
        <v>0</v>
      </c>
      <c r="S51" s="86">
        <f ca="1">IF(E51='Invoer gegevens'!$C$17+15,W50,IF(C51&gt;=1,R51*VLOOKUP(E51,Reeksen!$A$5:$B$76,2),0))</f>
        <v>0</v>
      </c>
      <c r="T51" s="84">
        <f ca="1">IF(E51='Invoer gegevens'!$C$17+15,W50,(1-('Invoer gegevens'!$F$20/12))*R51*MIN(Reeksen!B19,Reeksen!D19))</f>
        <v>0</v>
      </c>
      <c r="U51" s="84">
        <f>IF(Reeksen!D19&gt;=Reeksen!B19,0,IF(Reeksen!AK19&lt;=Reeksen!AE19,(Reeksen!B19-Reeksen!D19)*R51,0))</f>
        <v>0</v>
      </c>
      <c r="V51" s="86">
        <f>IF(Reeksen!D19&gt;=Reeksen!B19,0,IF(Reeksen!AK19&gt;Reeksen!AE19,(Reeksen!B19-Reeksen!D19)*R51,0))</f>
        <v>0</v>
      </c>
      <c r="W51" s="97">
        <f ca="1">IF(E51&gt;='Invoer gegevens'!$C$17+15,0,R51-S51)</f>
        <v>0</v>
      </c>
      <c r="X51" s="98">
        <f ca="1">IF('Invoer gegevens'!$C$17=E51,'Invoer gegevens'!$C$10-'Invoer gegevens'!$C$11,IF(C51=1,AC50,0))</f>
        <v>0</v>
      </c>
      <c r="Y51" s="98">
        <f ca="1">IF(E51='Invoer gegevens'!$C$17+15,AC50,IF(C51&gt;=1,X51*VLOOKUP(E51,Reeksen!$A$5:$B$76,2),0))</f>
        <v>0</v>
      </c>
      <c r="Z51" s="98">
        <f ca="1">IF(E51='Invoer gegevens'!$C$17+15,AC50,(1-('Invoer gegevens'!$F$20/12))*X51*MIN(Reeksen!B19,Reeksen!D19))</f>
        <v>0</v>
      </c>
      <c r="AA51" s="98">
        <f>IF(Reeksen!D19&gt;=Reeksen!B19,0,IF(Reeksen!AK19&lt;=Reeksen!AE19,(Reeksen!B19-Reeksen!D19)*X51,0))</f>
        <v>0</v>
      </c>
      <c r="AB51" s="98">
        <f>IF(Reeksen!D19&gt;=Reeksen!B19,0,IF(Reeksen!AK19&gt;Reeksen!AE19,(Reeksen!B19-Reeksen!D19)*X51,0))</f>
        <v>0</v>
      </c>
      <c r="AC51" s="99">
        <f ca="1">IF(E51&gt;='Invoer gegevens'!$C$17+15,0,X51-Y51)</f>
        <v>0</v>
      </c>
      <c r="AD51" s="98">
        <f ca="1">IF('Invoer gegevens'!$C$17=E19,R51,IF(C19=0,0,AE50))</f>
        <v>0</v>
      </c>
      <c r="AE51" s="98">
        <f t="shared" ca="1" si="10"/>
        <v>0</v>
      </c>
      <c r="AF51" s="98">
        <f ca="1">IF('Invoer gegevens'!$C$17=E19,X51,IF(C19=0,0,AG50))</f>
        <v>0</v>
      </c>
      <c r="AG51" s="98">
        <f t="shared" ca="1" si="11"/>
        <v>0</v>
      </c>
      <c r="AH51" s="68"/>
      <c r="AI51" s="71">
        <f ca="1">IF(C51=1,Reeksen!AJ19*((F51-G51+F51)/2)*12+Reeksen!AK19*((L51-M51+L51)/2)*12,0)</f>
        <v>0</v>
      </c>
      <c r="AJ51" s="71">
        <f ca="1">-AI51*'Invoer gegevens'!$F$28</f>
        <v>0</v>
      </c>
      <c r="AK51" s="71">
        <f t="shared" ca="1" si="9"/>
        <v>0</v>
      </c>
      <c r="AL51" s="71">
        <f ca="1">IF(C51=1,Reeksen!AL19*((F51-G51+F51)/2)*12+Reeksen!AM19*((L51-M51+L51)/2)*12,0)</f>
        <v>0</v>
      </c>
      <c r="AM51" s="71">
        <f ca="1">-AL51*'Invoer gegevens'!$F$31</f>
        <v>0</v>
      </c>
      <c r="AN51" s="71">
        <f t="shared" ca="1" si="12"/>
        <v>0</v>
      </c>
      <c r="AO51" s="71">
        <f ca="1">IF(E51&gt;='Invoer gegevens'!$C$17+15,0,IF(C51=1,(H51+J51+N51+P51)*Reeksen!AN19,0))</f>
        <v>0</v>
      </c>
      <c r="AP51" s="71">
        <f ca="1">-IF(C51=1,(H51+J51+N51+P51)*'Hulp - basis'!$G$550*Reeksen!H19,0)</f>
        <v>0</v>
      </c>
      <c r="AQ51" s="71">
        <f ca="1">-IF(C51=1,(F51+K51+L51+Q51)/2*'Invoer gegevens'!$I$33*Reeksen!J19,0)</f>
        <v>0</v>
      </c>
      <c r="AR51" s="71">
        <f ca="1">-IF(C51=1,(I51*'Invoer gegevens'!$I$34)*Reeksen!J19,0)</f>
        <v>0</v>
      </c>
      <c r="AS51" s="71">
        <f ca="1">-IF(C51=1,(F51+K51+L51+Q51)/2*'Invoer gegevens'!$I$35*Reeksen!L19,0)</f>
        <v>0</v>
      </c>
      <c r="AT51" s="71">
        <f ca="1">-IF(C51=1,IF(E51='Invoer gegevens'!$C$17,'Invoer gegevens'!$C$11,AD51)*Reeksen!S19*'Invoer gegevens'!$C$18*Reeksen!P19,0)</f>
        <v>0</v>
      </c>
      <c r="AU51" s="71">
        <f ca="1">-IF(C51=1,(F51+K51+L51+Q51)/2*'Invoer gegevens'!$I$36*Reeksen!H19,0)</f>
        <v>0</v>
      </c>
      <c r="AV51" s="71">
        <f>IF('Invoer gegevens'!$C$3="Basis",0,#REF!)</f>
        <v>0</v>
      </c>
      <c r="AW51" s="71">
        <f t="shared" ca="1" si="13"/>
        <v>0</v>
      </c>
      <c r="AX51" s="72">
        <f ca="1">IF(E51='Invoer gegevens'!$C$17+14,'RW - BW - UP'!$AY$236,0)</f>
        <v>0</v>
      </c>
      <c r="AY51" s="72">
        <f ca="1">IFERROR(IF(E51='Invoer gegevens'!$C$17,-'Invoer gegevens'!$C$10*('Invoer gegevens'!$C$30+'Invoer gegevens'!$C$31)*Reeksen!H19,0),0)</f>
        <v>0</v>
      </c>
      <c r="AZ51" s="73">
        <f ca="1">IF('Invoer gegevens'!$C$34=E51,'Invoer gegevens'!$C$27*'Invoer gegevens'!$C$10*'Invoer gegevens'!$C$36*(IF('Invoer gegevens'!$C$35="ja",1,Reeksen!J19)),IF('Invoer gegevens'!$C$34+1=E51,'Invoer gegevens'!$C$27*'Invoer gegevens'!$C$10*'Invoer gegevens'!$C$37*(IF('Invoer gegevens'!$C$35="ja",1,Reeksen!J19)),0))+IF(AND(E51='Invoer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1" s="73">
        <f ca="1">AW51/(1+'Invoer gegevens'!$F$18)^($D51-('Invoer gegevens'!$C$17-'Invoer gegevens'!$C$16))/(1+'Invoer gegevens'!$C$39)^('Invoer gegevens'!$C$17-'Invoer gegevens'!$C$16)</f>
        <v>0</v>
      </c>
      <c r="BB51" s="73">
        <f ca="1">AX51/(1+'Invoer gegevens'!$F$18)^(E51-('Invoer gegevens'!$C$17-1))/(1+'Invoer gegevens'!$C$39)^('Invoer gegevens'!$C$17-'Invoer gegevens'!$C$16)</f>
        <v>0</v>
      </c>
      <c r="BC51" s="73">
        <f ca="1">AY51/(1+'Invoer gegevens'!$C$39)^('Invoer gegevens'!$C$17-'Invoer gegevens'!$C$16)</f>
        <v>0</v>
      </c>
      <c r="BD51" s="72">
        <f t="shared" ca="1" si="14"/>
        <v>0</v>
      </c>
      <c r="BE51" s="72">
        <f ca="1">IF(AND(E51='Invoer gegevens'!$C$16,'Invoer gegevens'!$C$34&lt;'Invoer gegevens'!$C$16),AZ51,AZ51/(1+'Invoer gegevens'!$C$39)^D51)</f>
        <v>0</v>
      </c>
      <c r="BF51" s="72">
        <f ca="1">IF(E51='Invoer gegevens'!$C$34,-'Invoer gegevens'!$F$40,0)</f>
        <v>0</v>
      </c>
      <c r="BG51" s="72">
        <f ca="1">IF(E51='Invoer gegevens'!$C$17,-'Invoer gegevens'!$C$19*$BD$63,0)</f>
        <v>0</v>
      </c>
      <c r="BH51" s="72">
        <f ca="1">AW51/(1+$BH$36)^($D51-('Invoer gegevens'!$C$17-'Invoer gegevens'!$C$16))/(1+'Invoer gegevens'!$C$39)^('Invoer gegevens'!$C$17-'Invoer gegevens'!$C$16)+AX51/(1+$BH$36)^(E51-('Invoer gegevens'!$C$17-1))/(1+'Invoer gegevens'!$C$39)^('Invoer gegevens'!$C$17-'Invoer gegevens'!$C$16)+AY51/(1+'Invoer gegevens'!$C$39)^('Invoer gegevens'!$C$17-'Invoer gegevens'!$C$16)+(-AZ51/(1+'Invoer gegevens'!$C$39)^D51)+BF51+BG51</f>
        <v>0</v>
      </c>
      <c r="BI51" s="59"/>
    </row>
    <row r="52" spans="1:61" x14ac:dyDescent="0.25">
      <c r="A52" s="59"/>
      <c r="B52" s="70">
        <f t="shared" si="15"/>
        <v>16</v>
      </c>
      <c r="C52" s="67">
        <f ca="1">IF(AND(E52&gt;='Invoer gegevens'!$C$17,E52&lt;'Invoer gegevens'!$C$17+15),1,0)</f>
        <v>0</v>
      </c>
      <c r="D52" s="68">
        <f t="shared" si="16"/>
        <v>15.5</v>
      </c>
      <c r="E52" s="69">
        <f ca="1">IF('Invoer gegevens'!$C$16="","",E51+1)</f>
        <v>2034</v>
      </c>
      <c r="F52" s="84">
        <f ca="1">IF('Invoer gegevens'!$C$17=E52,'Invoer gegevens'!$C$10,IF(C52=1,K51,0))</f>
        <v>0</v>
      </c>
      <c r="G52" s="96">
        <f ca="1">IF(E52='Invoer gegevens'!$C$17+15,K51,IF(C52&gt;=1,F52*VLOOKUP(E52,Reeksen!$A$5:$B$76,2),0))</f>
        <v>0</v>
      </c>
      <c r="H52" s="84">
        <f ca="1">IF(E52='Invoer gegevens'!$C$17+15,K51,(1-('Invoer gegevens'!$F$20/12))*F52*MIN(Reeksen!B20,Reeksen!D20))</f>
        <v>0</v>
      </c>
      <c r="I52" s="84">
        <f>IF(Reeksen!D20&lt;Reeksen!B20,(Reeksen!B20-Reeksen!D20)*F52,0)</f>
        <v>0</v>
      </c>
      <c r="J52" s="84">
        <f ca="1">IF(E52='Invoer gegevens'!$C$17+16,0,('Invoer gegevens'!$F$20/12)*F51*MIN(Reeksen!B19,Reeksen!D19))</f>
        <v>0</v>
      </c>
      <c r="K52" s="97">
        <f ca="1">IF(E52&gt;='Invoer gegevens'!$C$17+15,0,F52-G52)</f>
        <v>0</v>
      </c>
      <c r="L52" s="84">
        <f ca="1">IF('Invoer gegevens'!$C$17=E52,0,IF(C52=1,Q51,0))</f>
        <v>0</v>
      </c>
      <c r="M52" s="96">
        <f ca="1">IF(E52='Invoer gegevens'!$C$17+15,Q51,IF(C52&gt;=1,L52*VLOOKUP(E52,Reeksen!$A$5:$B$76,2),0))</f>
        <v>0</v>
      </c>
      <c r="N52" s="84">
        <f ca="1">IF(C52='Invoer gegevens'!$C$17+15,Q51,(1-('Invoer gegevens'!$F$20/12))*L52*MIN(Reeksen!B20,Reeksen!D20))</f>
        <v>0</v>
      </c>
      <c r="O52" s="84">
        <f>IF(Reeksen!D20&lt;Reeksen!B20,(Reeksen!B20-Reeksen!D20)*L52,0)</f>
        <v>0</v>
      </c>
      <c r="P52" s="84">
        <f ca="1">IF(E52='Invoer gegevens'!$C$17+16,0,('Invoer gegevens'!$F$20/12)*L51*MIN(Reeksen!B19,Reeksen!D19))</f>
        <v>0</v>
      </c>
      <c r="Q52" s="84">
        <f ca="1">IF(E52&gt;='Invoer gegevens'!$C$17+15,0,L52-M52+I52+O52)</f>
        <v>0</v>
      </c>
      <c r="R52" s="82">
        <f ca="1">IF('Invoer gegevens'!$C$17=E52,'Invoer gegevens'!$C$11,IF(C52=1,W51,0))</f>
        <v>0</v>
      </c>
      <c r="S52" s="86">
        <f ca="1">IF(E52='Invoer gegevens'!$C$17+15,W51,IF(C52&gt;=1,R52*VLOOKUP(E52,Reeksen!$A$5:$B$76,2),0))</f>
        <v>0</v>
      </c>
      <c r="T52" s="84">
        <f ca="1">IF(E52='Invoer gegevens'!$C$17+15,W51,(1-('Invoer gegevens'!$F$20/12))*R52*MIN(Reeksen!B20,Reeksen!D20))</f>
        <v>0</v>
      </c>
      <c r="U52" s="84">
        <f>IF(Reeksen!D20&gt;=Reeksen!B20,0,IF(Reeksen!AK20&lt;=Reeksen!AE20,(Reeksen!B20-Reeksen!D20)*R52,0))</f>
        <v>0</v>
      </c>
      <c r="V52" s="86">
        <f>IF(Reeksen!D20&gt;=Reeksen!B20,0,IF(Reeksen!AK20&gt;Reeksen!AE20,(Reeksen!B20-Reeksen!D20)*R52,0))</f>
        <v>0</v>
      </c>
      <c r="W52" s="97">
        <f ca="1">IF(E52&gt;='Invoer gegevens'!$C$17+15,0,R52-S52)</f>
        <v>0</v>
      </c>
      <c r="X52" s="98">
        <f ca="1">IF('Invoer gegevens'!$C$17=E52,'Invoer gegevens'!$C$10-'Invoer gegevens'!$C$11,IF(C52=1,AC51,0))</f>
        <v>0</v>
      </c>
      <c r="Y52" s="98">
        <f ca="1">IF(E52='Invoer gegevens'!$C$17+15,AC51,IF(C52&gt;=1,X52*VLOOKUP(E52,Reeksen!$A$5:$B$76,2),0))</f>
        <v>0</v>
      </c>
      <c r="Z52" s="98">
        <f ca="1">IF(E52='Invoer gegevens'!$C$17+15,AC51,(1-('Invoer gegevens'!$F$20/12))*X52*MIN(Reeksen!B20,Reeksen!D20))</f>
        <v>0</v>
      </c>
      <c r="AA52" s="98">
        <f>IF(Reeksen!D20&gt;=Reeksen!B20,0,IF(Reeksen!AK20&lt;=Reeksen!AE20,(Reeksen!B20-Reeksen!D20)*X52,0))</f>
        <v>0</v>
      </c>
      <c r="AB52" s="98">
        <f>IF(Reeksen!D20&gt;=Reeksen!B20,0,IF(Reeksen!AK20&gt;Reeksen!AE20,(Reeksen!B20-Reeksen!D20)*X52,0))</f>
        <v>0</v>
      </c>
      <c r="AC52" s="99">
        <f ca="1">IF(E52&gt;='Invoer gegevens'!$C$17+15,0,X52-Y52)</f>
        <v>0</v>
      </c>
      <c r="AD52" s="98">
        <f ca="1">IF('Invoer gegevens'!$C$17=E20,R52,IF(C20=0,0,AE51))</f>
        <v>0</v>
      </c>
      <c r="AE52" s="98">
        <f t="shared" ca="1" si="10"/>
        <v>0</v>
      </c>
      <c r="AF52" s="98">
        <f ca="1">IF('Invoer gegevens'!$C$17=E20,X52,IF(C20=0,0,AG51))</f>
        <v>0</v>
      </c>
      <c r="AG52" s="98">
        <f t="shared" ca="1" si="11"/>
        <v>0</v>
      </c>
      <c r="AH52" s="68"/>
      <c r="AI52" s="71">
        <f ca="1">IF(C52=1,Reeksen!AJ20*((F52-G52+F52)/2)*12+Reeksen!AK20*((L52-M52+L52)/2)*12,0)</f>
        <v>0</v>
      </c>
      <c r="AJ52" s="71">
        <f ca="1">-AI52*'Invoer gegevens'!$F$28</f>
        <v>0</v>
      </c>
      <c r="AK52" s="71">
        <f t="shared" ca="1" si="9"/>
        <v>0</v>
      </c>
      <c r="AL52" s="71">
        <f ca="1">IF(C52=1,Reeksen!AL20*((F52-G52+F52)/2)*12+Reeksen!AM20*((L52-M52+L52)/2)*12,0)</f>
        <v>0</v>
      </c>
      <c r="AM52" s="71">
        <f ca="1">-AL52*'Invoer gegevens'!$F$31</f>
        <v>0</v>
      </c>
      <c r="AN52" s="71">
        <f t="shared" ca="1" si="12"/>
        <v>0</v>
      </c>
      <c r="AO52" s="71">
        <f ca="1">IF(E52&gt;='Invoer gegevens'!$C$17+15,0,IF(C52=1,(H52+J52+N52+P52)*Reeksen!AN20,0))</f>
        <v>0</v>
      </c>
      <c r="AP52" s="71">
        <f ca="1">-IF(C52=1,(H52+J52+N52+P52)*'Hulp - basis'!$G$550*Reeksen!H20,0)</f>
        <v>0</v>
      </c>
      <c r="AQ52" s="71">
        <f ca="1">-IF(C52=1,(F52+K52+L52+Q52)/2*'Invoer gegevens'!$I$33*Reeksen!J20,0)</f>
        <v>0</v>
      </c>
      <c r="AR52" s="71">
        <f ca="1">-IF(C52=1,(I52*'Invoer gegevens'!$I$34)*Reeksen!J20,0)</f>
        <v>0</v>
      </c>
      <c r="AS52" s="71">
        <f ca="1">-IF(C52=1,(F52+K52+L52+Q52)/2*'Invoer gegevens'!$I$35*Reeksen!L20,0)</f>
        <v>0</v>
      </c>
      <c r="AT52" s="71">
        <f ca="1">-IF(C52=1,IF(E52='Invoer gegevens'!$C$17,'Invoer gegevens'!$C$11,AD52)*Reeksen!S20*'Invoer gegevens'!$C$18*Reeksen!P20,0)</f>
        <v>0</v>
      </c>
      <c r="AU52" s="71">
        <f ca="1">-IF(C52=1,(F52+K52+L52+Q52)/2*'Invoer gegevens'!$I$36*Reeksen!H20,0)</f>
        <v>0</v>
      </c>
      <c r="AV52" s="71">
        <f>IF('Invoer gegevens'!$C$3="Basis",0,#REF!)</f>
        <v>0</v>
      </c>
      <c r="AW52" s="71">
        <f t="shared" ca="1" si="13"/>
        <v>0</v>
      </c>
      <c r="AX52" s="72">
        <f ca="1">IF(E52='Invoer gegevens'!$C$17+14,'RW - BW - UP'!$AY$236,0)</f>
        <v>0</v>
      </c>
      <c r="AY52" s="72">
        <f ca="1">IFERROR(IF(E52='Invoer gegevens'!$C$17,-'Invoer gegevens'!$C$10*('Invoer gegevens'!$C$30+'Invoer gegevens'!$C$31)*Reeksen!H20,0),0)</f>
        <v>0</v>
      </c>
      <c r="AZ52" s="73">
        <f ca="1">IF('Invoer gegevens'!$C$34=E52,'Invoer gegevens'!$C$27*'Invoer gegevens'!$C$10*'Invoer gegevens'!$C$36*(IF('Invoer gegevens'!$C$35="ja",1,Reeksen!J20)),IF('Invoer gegevens'!$C$34+1=E52,'Invoer gegevens'!$C$27*'Invoer gegevens'!$C$10*'Invoer gegevens'!$C$37*(IF('Invoer gegevens'!$C$35="ja",1,Reeksen!J20)),0))+IF(AND(E52='Invoer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2" s="73">
        <f ca="1">AW52/(1+'Invoer gegevens'!$F$18)^($D52-('Invoer gegevens'!$C$17-'Invoer gegevens'!$C$16))/(1+'Invoer gegevens'!$C$39)^('Invoer gegevens'!$C$17-'Invoer gegevens'!$C$16)</f>
        <v>0</v>
      </c>
      <c r="BB52" s="73">
        <f ca="1">AX52/(1+'Invoer gegevens'!$F$18)^(E52-('Invoer gegevens'!$C$17-1))/(1+'Invoer gegevens'!$C$39)^('Invoer gegevens'!$C$17-'Invoer gegevens'!$C$16)</f>
        <v>0</v>
      </c>
      <c r="BC52" s="73">
        <f ca="1">AY52/(1+'Invoer gegevens'!$C$39)^('Invoer gegevens'!$C$17-'Invoer gegevens'!$C$16)</f>
        <v>0</v>
      </c>
      <c r="BD52" s="72">
        <f t="shared" ca="1" si="14"/>
        <v>0</v>
      </c>
      <c r="BE52" s="72">
        <f ca="1">IF(AND(E52='Invoer gegevens'!$C$16,'Invoer gegevens'!$C$34&lt;'Invoer gegevens'!$C$16),AZ52,AZ52/(1+'Invoer gegevens'!$C$39)^D52)</f>
        <v>0</v>
      </c>
      <c r="BF52" s="72">
        <f ca="1">IF(E52='Invoer gegevens'!$C$34,-'Invoer gegevens'!$F$40,0)</f>
        <v>0</v>
      </c>
      <c r="BG52" s="72">
        <f ca="1">IF(E52='Invoer gegevens'!$C$17,-'Invoer gegevens'!$C$19*$BD$63,0)</f>
        <v>0</v>
      </c>
      <c r="BH52" s="72">
        <f ca="1">AW52/(1+$BH$36)^($D52-('Invoer gegevens'!$C$17-'Invoer gegevens'!$C$16))/(1+'Invoer gegevens'!$C$39)^('Invoer gegevens'!$C$17-'Invoer gegevens'!$C$16)+AX52/(1+$BH$36)^(E52-('Invoer gegevens'!$C$17-1))/(1+'Invoer gegevens'!$C$39)^('Invoer gegevens'!$C$17-'Invoer gegevens'!$C$16)+AY52/(1+'Invoer gegevens'!$C$39)^('Invoer gegevens'!$C$17-'Invoer gegevens'!$C$16)+(-AZ52/(1+'Invoer gegevens'!$C$39)^D52)+BF52+BG52</f>
        <v>0</v>
      </c>
      <c r="BI52" s="59"/>
    </row>
    <row r="53" spans="1:61" x14ac:dyDescent="0.25">
      <c r="A53" s="59"/>
      <c r="B53" s="70">
        <f t="shared" si="15"/>
        <v>17</v>
      </c>
      <c r="C53" s="67">
        <f ca="1">IF(AND(E53&gt;='Invoer gegevens'!$C$17,E53&lt;'Invoer gegevens'!$C$17+15),1,0)</f>
        <v>0</v>
      </c>
      <c r="D53" s="68">
        <f t="shared" si="16"/>
        <v>16.5</v>
      </c>
      <c r="E53" s="69">
        <f ca="1">IF('Invoer gegevens'!$C$16="","",E52+1)</f>
        <v>2035</v>
      </c>
      <c r="F53" s="84">
        <f ca="1">IF('Invoer gegevens'!$C$17=E53,'Invoer gegevens'!$C$10,IF(C53=1,K52,0))</f>
        <v>0</v>
      </c>
      <c r="G53" s="96">
        <f ca="1">IF(E53='Invoer gegevens'!$C$17+15,K52,IF(C53&gt;=1,F53*VLOOKUP(E53,Reeksen!$A$5:$B$76,2),0))</f>
        <v>0</v>
      </c>
      <c r="H53" s="84">
        <f ca="1">IF(E53='Invoer gegevens'!$C$17+15,K52,(1-('Invoer gegevens'!$F$20/12))*F53*MIN(Reeksen!B21,Reeksen!D21))</f>
        <v>0</v>
      </c>
      <c r="I53" s="84">
        <f>IF(Reeksen!D21&lt;Reeksen!B21,(Reeksen!B21-Reeksen!D21)*F53,0)</f>
        <v>0</v>
      </c>
      <c r="J53" s="84">
        <f ca="1">IF(E53='Invoer gegevens'!$C$17+16,0,('Invoer gegevens'!$F$20/12)*F52*MIN(Reeksen!B20,Reeksen!D20))</f>
        <v>0</v>
      </c>
      <c r="K53" s="97">
        <f ca="1">IF(E53&gt;='Invoer gegevens'!$C$17+15,0,F53-G53)</f>
        <v>0</v>
      </c>
      <c r="L53" s="84">
        <f ca="1">IF('Invoer gegevens'!$C$17=E53,0,IF(C53=1,Q52,0))</f>
        <v>0</v>
      </c>
      <c r="M53" s="96">
        <f ca="1">IF(E53='Invoer gegevens'!$C$17+15,Q52,IF(C53&gt;=1,L53*VLOOKUP(E53,Reeksen!$A$5:$B$76,2),0))</f>
        <v>0</v>
      </c>
      <c r="N53" s="84">
        <f ca="1">IF(C53='Invoer gegevens'!$C$17+15,Q52,(1-('Invoer gegevens'!$F$20/12))*L53*MIN(Reeksen!B21,Reeksen!D21))</f>
        <v>0</v>
      </c>
      <c r="O53" s="84">
        <f>IF(Reeksen!D21&lt;Reeksen!B21,(Reeksen!B21-Reeksen!D21)*L53,0)</f>
        <v>0</v>
      </c>
      <c r="P53" s="84">
        <f ca="1">IF(E53='Invoer gegevens'!$C$17+16,0,('Invoer gegevens'!$F$20/12)*L52*MIN(Reeksen!B20,Reeksen!D20))</f>
        <v>0</v>
      </c>
      <c r="Q53" s="84">
        <f ca="1">IF(E53&gt;='Invoer gegevens'!$C$17+15,0,L53-M53+I53+O53)</f>
        <v>0</v>
      </c>
      <c r="R53" s="82">
        <f ca="1">IF('Invoer gegevens'!$C$17=E53,'Invoer gegevens'!$C$11,IF(C53=1,W52,0))</f>
        <v>0</v>
      </c>
      <c r="S53" s="86">
        <f ca="1">IF(E53='Invoer gegevens'!$C$17+15,W52,IF(C53&gt;=1,R53*VLOOKUP(E53,Reeksen!$A$5:$B$76,2),0))</f>
        <v>0</v>
      </c>
      <c r="T53" s="84">
        <f ca="1">IF(E53='Invoer gegevens'!$C$17+15,W52,(1-('Invoer gegevens'!$F$20/12))*R53*MIN(Reeksen!B21,Reeksen!D21))</f>
        <v>0</v>
      </c>
      <c r="U53" s="84">
        <f>IF(Reeksen!D21&gt;=Reeksen!B21,0,IF(Reeksen!AK21&lt;=Reeksen!AE21,(Reeksen!B21-Reeksen!D21)*R53,0))</f>
        <v>0</v>
      </c>
      <c r="V53" s="86">
        <f>IF(Reeksen!D21&gt;=Reeksen!B21,0,IF(Reeksen!AK21&gt;Reeksen!AE21,(Reeksen!B21-Reeksen!D21)*R53,0))</f>
        <v>0</v>
      </c>
      <c r="W53" s="97">
        <f ca="1">IF(E53&gt;='Invoer gegevens'!$C$17+15,0,R53-S53)</f>
        <v>0</v>
      </c>
      <c r="X53" s="98">
        <f ca="1">IF('Invoer gegevens'!$C$17=E53,'Invoer gegevens'!$C$10-'Invoer gegevens'!$C$11,IF(C53=1,AC52,0))</f>
        <v>0</v>
      </c>
      <c r="Y53" s="98">
        <f ca="1">IF(E53='Invoer gegevens'!$C$17+15,AC52,IF(C53&gt;=1,X53*VLOOKUP(E53,Reeksen!$A$5:$B$76,2),0))</f>
        <v>0</v>
      </c>
      <c r="Z53" s="98">
        <f ca="1">IF(E53='Invoer gegevens'!$C$17+15,AC52,(1-('Invoer gegevens'!$F$20/12))*X53*MIN(Reeksen!B21,Reeksen!D21))</f>
        <v>0</v>
      </c>
      <c r="AA53" s="98">
        <f>IF(Reeksen!D21&gt;=Reeksen!B21,0,IF(Reeksen!AK21&lt;=Reeksen!AE21,(Reeksen!B21-Reeksen!D21)*X53,0))</f>
        <v>0</v>
      </c>
      <c r="AB53" s="98">
        <f>IF(Reeksen!D21&gt;=Reeksen!B21,0,IF(Reeksen!AK21&gt;Reeksen!AE21,(Reeksen!B21-Reeksen!D21)*X53,0))</f>
        <v>0</v>
      </c>
      <c r="AC53" s="99">
        <f ca="1">IF(E53&gt;='Invoer gegevens'!$C$17+15,0,X53-Y53)</f>
        <v>0</v>
      </c>
      <c r="AD53" s="98">
        <f ca="1">IF('Invoer gegevens'!$C$17=E21,R53,IF(C21=0,0,AE52))</f>
        <v>0</v>
      </c>
      <c r="AE53" s="98">
        <f t="shared" ca="1" si="10"/>
        <v>0</v>
      </c>
      <c r="AF53" s="98">
        <f ca="1">IF('Invoer gegevens'!$C$17=E21,X53,IF(C21=0,0,AG52))</f>
        <v>0</v>
      </c>
      <c r="AG53" s="98">
        <f t="shared" ca="1" si="11"/>
        <v>0</v>
      </c>
      <c r="AH53" s="68"/>
      <c r="AI53" s="71">
        <f ca="1">IF(C53=1,Reeksen!AJ21*((F53-G53+F53)/2)*12+Reeksen!AK21*((L53-M53+L53)/2)*12,0)</f>
        <v>0</v>
      </c>
      <c r="AJ53" s="71">
        <f ca="1">-AI53*'Invoer gegevens'!$F$28</f>
        <v>0</v>
      </c>
      <c r="AK53" s="71">
        <f t="shared" ca="1" si="9"/>
        <v>0</v>
      </c>
      <c r="AL53" s="71">
        <f ca="1">IF(C53=1,Reeksen!AL21*((F53-G53+F53)/2)*12+Reeksen!AM21*((L53-M53+L53)/2)*12,0)</f>
        <v>0</v>
      </c>
      <c r="AM53" s="71">
        <f ca="1">-AL53*'Invoer gegevens'!$F$31</f>
        <v>0</v>
      </c>
      <c r="AN53" s="71">
        <f t="shared" ca="1" si="12"/>
        <v>0</v>
      </c>
      <c r="AO53" s="71">
        <f ca="1">IF(E53&gt;='Invoer gegevens'!$C$17+15,0,IF(C53=1,(H53+J53+N53+P53)*Reeksen!AN21,0))</f>
        <v>0</v>
      </c>
      <c r="AP53" s="71">
        <f ca="1">-IF(C53=1,(H53+J53+N53+P53)*'Hulp - basis'!$G$550*Reeksen!H21,0)</f>
        <v>0</v>
      </c>
      <c r="AQ53" s="71">
        <f ca="1">-IF(C53=1,(F53+K53+L53+Q53)/2*'Invoer gegevens'!$I$33*Reeksen!J21,0)</f>
        <v>0</v>
      </c>
      <c r="AR53" s="71">
        <f ca="1">-IF(C53=1,(I53*'Invoer gegevens'!$I$34)*Reeksen!J21,0)</f>
        <v>0</v>
      </c>
      <c r="AS53" s="71">
        <f ca="1">-IF(C53=1,(F53+K53+L53+Q53)/2*'Invoer gegevens'!$I$35*Reeksen!L21,0)</f>
        <v>0</v>
      </c>
      <c r="AT53" s="71">
        <f ca="1">-IF(C53=1,IF(E53='Invoer gegevens'!$C$17,'Invoer gegevens'!$C$11,AD53)*Reeksen!S21*'Invoer gegevens'!$C$18*Reeksen!P21,0)</f>
        <v>0</v>
      </c>
      <c r="AU53" s="71">
        <f ca="1">-IF(C53=1,(F53+K53+L53+Q53)/2*'Invoer gegevens'!$I$36*Reeksen!H21,0)</f>
        <v>0</v>
      </c>
      <c r="AV53" s="71">
        <f>IF('Invoer gegevens'!$C$3="Basis",0,#REF!)</f>
        <v>0</v>
      </c>
      <c r="AW53" s="71">
        <f t="shared" ca="1" si="13"/>
        <v>0</v>
      </c>
      <c r="AX53" s="72">
        <f ca="1">IF(E53='Invoer gegevens'!$C$17+14,'RW - BW - UP'!$AY$236,0)</f>
        <v>0</v>
      </c>
      <c r="AY53" s="72">
        <f ca="1">IFERROR(IF(E53='Invoer gegevens'!$C$17,-'Invoer gegevens'!$C$10*('Invoer gegevens'!$C$30+'Invoer gegevens'!$C$31)*Reeksen!H21,0),0)</f>
        <v>0</v>
      </c>
      <c r="AZ53" s="73">
        <f ca="1">IF('Invoer gegevens'!$C$34=E53,'Invoer gegevens'!$C$27*'Invoer gegevens'!$C$10*'Invoer gegevens'!$C$36*(IF('Invoer gegevens'!$C$35="ja",1,Reeksen!J21)),IF('Invoer gegevens'!$C$34+1=E53,'Invoer gegevens'!$C$27*'Invoer gegevens'!$C$10*'Invoer gegevens'!$C$37*(IF('Invoer gegevens'!$C$35="ja",1,Reeksen!J21)),0))+IF(AND(E53='Invoer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3" s="73">
        <f ca="1">AW53/(1+'Invoer gegevens'!$F$18)^($D53-('Invoer gegevens'!$C$17-'Invoer gegevens'!$C$16))/(1+'Invoer gegevens'!$C$39)^('Invoer gegevens'!$C$17-'Invoer gegevens'!$C$16)</f>
        <v>0</v>
      </c>
      <c r="BB53" s="73">
        <f ca="1">AX53/(1+'Invoer gegevens'!$F$18)^(E53-('Invoer gegevens'!$C$17-1))/(1+'Invoer gegevens'!$C$39)^('Invoer gegevens'!$C$17-'Invoer gegevens'!$C$16)</f>
        <v>0</v>
      </c>
      <c r="BC53" s="73">
        <f ca="1">AY53/(1+'Invoer gegevens'!$C$39)^('Invoer gegevens'!$C$17-'Invoer gegevens'!$C$16)</f>
        <v>0</v>
      </c>
      <c r="BD53" s="72">
        <f t="shared" ca="1" si="14"/>
        <v>0</v>
      </c>
      <c r="BE53" s="72">
        <f ca="1">IF(AND(E53='Invoer gegevens'!$C$16,'Invoer gegevens'!$C$34&lt;'Invoer gegevens'!$C$16),AZ53,AZ53/(1+'Invoer gegevens'!$C$39)^D53)</f>
        <v>0</v>
      </c>
      <c r="BF53" s="72">
        <f ca="1">IF(E53='Invoer gegevens'!$C$34,-'Invoer gegevens'!$F$40,0)</f>
        <v>0</v>
      </c>
      <c r="BG53" s="72">
        <f ca="1">IF(E53='Invoer gegevens'!$C$17,-'Invoer gegevens'!$C$19*$BD$63,0)</f>
        <v>0</v>
      </c>
      <c r="BH53" s="72">
        <f ca="1">AW53/(1+$BH$36)^($D53-('Invoer gegevens'!$C$17-'Invoer gegevens'!$C$16))/(1+'Invoer gegevens'!$C$39)^('Invoer gegevens'!$C$17-'Invoer gegevens'!$C$16)+AX53/(1+$BH$36)^(E53-('Invoer gegevens'!$C$17-1))/(1+'Invoer gegevens'!$C$39)^('Invoer gegevens'!$C$17-'Invoer gegevens'!$C$16)+AY53/(1+'Invoer gegevens'!$C$39)^('Invoer gegevens'!$C$17-'Invoer gegevens'!$C$16)+(-AZ53/(1+'Invoer gegevens'!$C$39)^D53)+BF53+BG53</f>
        <v>0</v>
      </c>
      <c r="BI53" s="59"/>
    </row>
    <row r="54" spans="1:61" x14ac:dyDescent="0.25">
      <c r="A54" s="59"/>
      <c r="B54" s="70">
        <f t="shared" si="15"/>
        <v>18</v>
      </c>
      <c r="C54" s="67">
        <f ca="1">IF(AND(E54&gt;='Invoer gegevens'!$C$17,E54&lt;'Invoer gegevens'!$C$17+15),1,0)</f>
        <v>0</v>
      </c>
      <c r="D54" s="68">
        <f t="shared" si="16"/>
        <v>17.5</v>
      </c>
      <c r="E54" s="69">
        <f ca="1">IF('Invoer gegevens'!$C$16="","",E53+1)</f>
        <v>2036</v>
      </c>
      <c r="F54" s="84">
        <f ca="1">IF('Invoer gegevens'!$C$17=E54,'Invoer gegevens'!$C$10,IF(C54=1,K53,0))</f>
        <v>0</v>
      </c>
      <c r="G54" s="96">
        <f ca="1">IF(E54='Invoer gegevens'!$C$17+15,K53,IF(C54&gt;=1,F54*VLOOKUP(E54,Reeksen!$A$5:$B$76,2),0))</f>
        <v>0</v>
      </c>
      <c r="H54" s="84">
        <f ca="1">IF(E54='Invoer gegevens'!$C$17+15,K53,(1-('Invoer gegevens'!$F$20/12))*F54*MIN(Reeksen!B22,Reeksen!D22))</f>
        <v>0</v>
      </c>
      <c r="I54" s="84">
        <f>IF(Reeksen!D22&lt;Reeksen!B22,(Reeksen!B22-Reeksen!D22)*F54,0)</f>
        <v>0</v>
      </c>
      <c r="J54" s="84">
        <f ca="1">IF(E54='Invoer gegevens'!$C$17+16,0,('Invoer gegevens'!$F$20/12)*F53*MIN(Reeksen!B21,Reeksen!D21))</f>
        <v>0</v>
      </c>
      <c r="K54" s="97">
        <f ca="1">IF(E54&gt;='Invoer gegevens'!$C$17+15,0,F54-G54)</f>
        <v>0</v>
      </c>
      <c r="L54" s="84">
        <f ca="1">IF('Invoer gegevens'!$C$17=E54,0,IF(C54=1,Q53,0))</f>
        <v>0</v>
      </c>
      <c r="M54" s="96">
        <f ca="1">IF(E54='Invoer gegevens'!$C$17+15,Q53,IF(C54&gt;=1,L54*VLOOKUP(E54,Reeksen!$A$5:$B$76,2),0))</f>
        <v>0</v>
      </c>
      <c r="N54" s="84">
        <f ca="1">IF(C54='Invoer gegevens'!$C$17+15,Q53,(1-('Invoer gegevens'!$F$20/12))*L54*MIN(Reeksen!B22,Reeksen!D22))</f>
        <v>0</v>
      </c>
      <c r="O54" s="84">
        <f>IF(Reeksen!D22&lt;Reeksen!B22,(Reeksen!B22-Reeksen!D22)*L54,0)</f>
        <v>0</v>
      </c>
      <c r="P54" s="84">
        <f ca="1">IF(E54='Invoer gegevens'!$C$17+16,0,('Invoer gegevens'!$F$20/12)*L53*MIN(Reeksen!B21,Reeksen!D21))</f>
        <v>0</v>
      </c>
      <c r="Q54" s="84">
        <f ca="1">IF(E54&gt;='Invoer gegevens'!$C$17+15,0,L54-M54+I54+O54)</f>
        <v>0</v>
      </c>
      <c r="R54" s="82">
        <f ca="1">IF('Invoer gegevens'!$C$17=E54,'Invoer gegevens'!$C$11,IF(C54=1,W53,0))</f>
        <v>0</v>
      </c>
      <c r="S54" s="86">
        <f ca="1">IF(E54='Invoer gegevens'!$C$17+15,W53,IF(C54&gt;=1,R54*VLOOKUP(E54,Reeksen!$A$5:$B$76,2),0))</f>
        <v>0</v>
      </c>
      <c r="T54" s="84">
        <f ca="1">IF(E54='Invoer gegevens'!$C$17+15,W53,(1-('Invoer gegevens'!$F$20/12))*R54*MIN(Reeksen!B22,Reeksen!D22))</f>
        <v>0</v>
      </c>
      <c r="U54" s="84">
        <f>IF(Reeksen!D22&gt;=Reeksen!B22,0,IF(Reeksen!AK22&lt;=Reeksen!AE22,(Reeksen!B22-Reeksen!D22)*R54,0))</f>
        <v>0</v>
      </c>
      <c r="V54" s="86">
        <f>IF(Reeksen!D22&gt;=Reeksen!B22,0,IF(Reeksen!AK22&gt;Reeksen!AE22,(Reeksen!B22-Reeksen!D22)*R54,0))</f>
        <v>0</v>
      </c>
      <c r="W54" s="97">
        <f ca="1">IF(E54&gt;='Invoer gegevens'!$C$17+15,0,R54-S54)</f>
        <v>0</v>
      </c>
      <c r="X54" s="98">
        <f ca="1">IF('Invoer gegevens'!$C$17=E54,'Invoer gegevens'!$C$10-'Invoer gegevens'!$C$11,IF(C54=1,AC53,0))</f>
        <v>0</v>
      </c>
      <c r="Y54" s="98">
        <f ca="1">IF(E54='Invoer gegevens'!$C$17+15,AC53,IF(C54&gt;=1,X54*VLOOKUP(E54,Reeksen!$A$5:$B$76,2),0))</f>
        <v>0</v>
      </c>
      <c r="Z54" s="98">
        <f ca="1">IF(E54='Invoer gegevens'!$C$17+15,AC53,(1-('Invoer gegevens'!$F$20/12))*X54*MIN(Reeksen!B22,Reeksen!D22))</f>
        <v>0</v>
      </c>
      <c r="AA54" s="98">
        <f>IF(Reeksen!D22&gt;=Reeksen!B22,0,IF(Reeksen!AK22&lt;=Reeksen!AE22,(Reeksen!B22-Reeksen!D22)*X54,0))</f>
        <v>0</v>
      </c>
      <c r="AB54" s="98">
        <f>IF(Reeksen!D22&gt;=Reeksen!B22,0,IF(Reeksen!AK22&gt;Reeksen!AE22,(Reeksen!B22-Reeksen!D22)*X54,0))</f>
        <v>0</v>
      </c>
      <c r="AC54" s="99">
        <f ca="1">IF(E54&gt;='Invoer gegevens'!$C$17+15,0,X54-Y54)</f>
        <v>0</v>
      </c>
      <c r="AD54" s="98">
        <f ca="1">IF('Invoer gegevens'!$C$17=E22,R54,IF(C22=0,0,AE53))</f>
        <v>0</v>
      </c>
      <c r="AE54" s="98">
        <f t="shared" ca="1" si="10"/>
        <v>0</v>
      </c>
      <c r="AF54" s="98">
        <f ca="1">IF('Invoer gegevens'!$C$17=E22,X54,IF(C22=0,0,AG53))</f>
        <v>0</v>
      </c>
      <c r="AG54" s="98">
        <f t="shared" ca="1" si="11"/>
        <v>0</v>
      </c>
      <c r="AH54" s="68"/>
      <c r="AI54" s="71">
        <f ca="1">IF(C54=1,Reeksen!AJ22*((F54-G54+F54)/2)*12+Reeksen!AK22*((L54-M54+L54)/2)*12,0)</f>
        <v>0</v>
      </c>
      <c r="AJ54" s="71">
        <f ca="1">-AI54*'Invoer gegevens'!$F$28</f>
        <v>0</v>
      </c>
      <c r="AK54" s="71">
        <f t="shared" ca="1" si="9"/>
        <v>0</v>
      </c>
      <c r="AL54" s="71">
        <f ca="1">IF(C54=1,Reeksen!AL22*((F54-G54+F54)/2)*12+Reeksen!AM22*((L54-M54+L54)/2)*12,0)</f>
        <v>0</v>
      </c>
      <c r="AM54" s="71">
        <f ca="1">-AL54*'Invoer gegevens'!$F$31</f>
        <v>0</v>
      </c>
      <c r="AN54" s="71">
        <f t="shared" ca="1" si="12"/>
        <v>0</v>
      </c>
      <c r="AO54" s="71">
        <f ca="1">IF(E54&gt;='Invoer gegevens'!$C$17+15,0,IF(C54=1,(H54+J54+N54+P54)*Reeksen!AN22,0))</f>
        <v>0</v>
      </c>
      <c r="AP54" s="71">
        <f ca="1">-IF(C54=1,(H54+J54+N54+P54)*'Hulp - basis'!$G$550*Reeksen!H22,0)</f>
        <v>0</v>
      </c>
      <c r="AQ54" s="71">
        <f ca="1">-IF(C54=1,(F54+K54+L54+Q54)/2*'Invoer gegevens'!$I$33*Reeksen!J22,0)</f>
        <v>0</v>
      </c>
      <c r="AR54" s="71">
        <f ca="1">-IF(C54=1,(I54*'Invoer gegevens'!$I$34)*Reeksen!J22,0)</f>
        <v>0</v>
      </c>
      <c r="AS54" s="71">
        <f ca="1">-IF(C54=1,(F54+K54+L54+Q54)/2*'Invoer gegevens'!$I$35*Reeksen!L22,0)</f>
        <v>0</v>
      </c>
      <c r="AT54" s="71">
        <f ca="1">-IF(C54=1,IF(E54='Invoer gegevens'!$C$17,'Invoer gegevens'!$C$11,AD54)*Reeksen!S22*'Invoer gegevens'!$C$18*Reeksen!P22,0)</f>
        <v>0</v>
      </c>
      <c r="AU54" s="71">
        <f ca="1">-IF(C54=1,(F54+K54+L54+Q54)/2*'Invoer gegevens'!$I$36*Reeksen!H22,0)</f>
        <v>0</v>
      </c>
      <c r="AV54" s="71">
        <f>IF('Invoer gegevens'!$C$3="Basis",0,#REF!)</f>
        <v>0</v>
      </c>
      <c r="AW54" s="71">
        <f t="shared" ca="1" si="13"/>
        <v>0</v>
      </c>
      <c r="AX54" s="72">
        <f ca="1">IF(E54='Invoer gegevens'!$C$17+14,'RW - BW - UP'!$AY$236,0)</f>
        <v>0</v>
      </c>
      <c r="AY54" s="72">
        <f ca="1">IFERROR(IF(E54='Invoer gegevens'!$C$17,-'Invoer gegevens'!$C$10*('Invoer gegevens'!$C$30+'Invoer gegevens'!$C$31)*Reeksen!H22,0),0)</f>
        <v>0</v>
      </c>
      <c r="AZ54" s="73">
        <f ca="1">IF('Invoer gegevens'!$C$34=E54,'Invoer gegevens'!$C$27*'Invoer gegevens'!$C$10*'Invoer gegevens'!$C$36*(IF('Invoer gegevens'!$C$35="ja",1,Reeksen!J22)),IF('Invoer gegevens'!$C$34+1=E54,'Invoer gegevens'!$C$27*'Invoer gegevens'!$C$10*'Invoer gegevens'!$C$37*(IF('Invoer gegevens'!$C$35="ja",1,Reeksen!J22)),0))+IF(AND(E54='Invoer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4" s="73">
        <f ca="1">AW54/(1+'Invoer gegevens'!$F$18)^($D54-('Invoer gegevens'!$C$17-'Invoer gegevens'!$C$16))/(1+'Invoer gegevens'!$C$39)^('Invoer gegevens'!$C$17-'Invoer gegevens'!$C$16)</f>
        <v>0</v>
      </c>
      <c r="BB54" s="73">
        <f ca="1">AX54/(1+'Invoer gegevens'!$F$18)^(E54-('Invoer gegevens'!$C$17-1))/(1+'Invoer gegevens'!$C$39)^('Invoer gegevens'!$C$17-'Invoer gegevens'!$C$16)</f>
        <v>0</v>
      </c>
      <c r="BC54" s="73">
        <f ca="1">AY54/(1+'Invoer gegevens'!$C$39)^('Invoer gegevens'!$C$17-'Invoer gegevens'!$C$16)</f>
        <v>0</v>
      </c>
      <c r="BD54" s="72">
        <f t="shared" ca="1" si="14"/>
        <v>0</v>
      </c>
      <c r="BE54" s="72">
        <f ca="1">IF(AND(E54='Invoer gegevens'!$C$16,'Invoer gegevens'!$C$34&lt;'Invoer gegevens'!$C$16),AZ54,AZ54/(1+'Invoer gegevens'!$C$39)^D54)</f>
        <v>0</v>
      </c>
      <c r="BF54" s="72">
        <f ca="1">IF(E54='Invoer gegevens'!$C$34,-'Invoer gegevens'!$F$40,0)</f>
        <v>0</v>
      </c>
      <c r="BG54" s="72">
        <f ca="1">IF(E54='Invoer gegevens'!$C$17,-'Invoer gegevens'!$C$19*$BD$63,0)</f>
        <v>0</v>
      </c>
      <c r="BH54" s="72">
        <f ca="1">AW54/(1+$BH$36)^($D54-('Invoer gegevens'!$C$17-'Invoer gegevens'!$C$16))/(1+'Invoer gegevens'!$C$39)^('Invoer gegevens'!$C$17-'Invoer gegevens'!$C$16)+AX54/(1+$BH$36)^(E54-('Invoer gegevens'!$C$17-1))/(1+'Invoer gegevens'!$C$39)^('Invoer gegevens'!$C$17-'Invoer gegevens'!$C$16)+AY54/(1+'Invoer gegevens'!$C$39)^('Invoer gegevens'!$C$17-'Invoer gegevens'!$C$16)+(-AZ54/(1+'Invoer gegevens'!$C$39)^D54)+BF54+BG54</f>
        <v>0</v>
      </c>
      <c r="BI54" s="59"/>
    </row>
    <row r="55" spans="1:61" x14ac:dyDescent="0.25">
      <c r="A55" s="59"/>
      <c r="B55" s="70">
        <f t="shared" si="15"/>
        <v>19</v>
      </c>
      <c r="C55" s="67">
        <f ca="1">IF(AND(E55&gt;='Invoer gegevens'!$C$17,E55&lt;'Invoer gegevens'!$C$17+15),1,0)</f>
        <v>0</v>
      </c>
      <c r="D55" s="68">
        <f t="shared" si="16"/>
        <v>18.5</v>
      </c>
      <c r="E55" s="69">
        <f ca="1">IF('Invoer gegevens'!$C$16="","",E54+1)</f>
        <v>2037</v>
      </c>
      <c r="F55" s="84">
        <f ca="1">IF('Invoer gegevens'!$C$17=E55,'Invoer gegevens'!$C$10,IF(C55=1,K54,0))</f>
        <v>0</v>
      </c>
      <c r="G55" s="96">
        <f ca="1">IF(E55='Invoer gegevens'!$C$17+15,K54,IF(C55&gt;=1,F55*VLOOKUP(E55,Reeksen!$A$5:$B$76,2),0))</f>
        <v>0</v>
      </c>
      <c r="H55" s="84">
        <f ca="1">IF(E55='Invoer gegevens'!$C$17+15,K54,(1-('Invoer gegevens'!$F$20/12))*F55*MIN(Reeksen!B23,Reeksen!D23))</f>
        <v>0</v>
      </c>
      <c r="I55" s="84">
        <f>IF(Reeksen!D23&lt;Reeksen!B23,(Reeksen!B23-Reeksen!D23)*F55,0)</f>
        <v>0</v>
      </c>
      <c r="J55" s="84">
        <f ca="1">IF(E55='Invoer gegevens'!$C$17+16,0,('Invoer gegevens'!$F$20/12)*F54*MIN(Reeksen!B22,Reeksen!D22))</f>
        <v>0</v>
      </c>
      <c r="K55" s="97">
        <f ca="1">IF(E55&gt;='Invoer gegevens'!$C$17+15,0,F55-G55)</f>
        <v>0</v>
      </c>
      <c r="L55" s="84">
        <f ca="1">IF('Invoer gegevens'!$C$17=E55,0,IF(C55=1,Q54,0))</f>
        <v>0</v>
      </c>
      <c r="M55" s="96">
        <f ca="1">IF(E55='Invoer gegevens'!$C$17+15,Q54,IF(C55&gt;=1,L55*VLOOKUP(E55,Reeksen!$A$5:$B$76,2),0))</f>
        <v>0</v>
      </c>
      <c r="N55" s="84">
        <f ca="1">IF(C55='Invoer gegevens'!$C$17+15,Q54,(1-('Invoer gegevens'!$F$20/12))*L55*MIN(Reeksen!B23,Reeksen!D23))</f>
        <v>0</v>
      </c>
      <c r="O55" s="84">
        <f>IF(Reeksen!D23&lt;Reeksen!B23,(Reeksen!B23-Reeksen!D23)*L55,0)</f>
        <v>0</v>
      </c>
      <c r="P55" s="84">
        <f ca="1">IF(E55='Invoer gegevens'!$C$17+16,0,('Invoer gegevens'!$F$20/12)*L54*MIN(Reeksen!B22,Reeksen!D22))</f>
        <v>0</v>
      </c>
      <c r="Q55" s="84">
        <f ca="1">IF(E55&gt;='Invoer gegevens'!$C$17+15,0,L55-M55+I55+O55)</f>
        <v>0</v>
      </c>
      <c r="R55" s="82">
        <f ca="1">IF('Invoer gegevens'!$C$17=E55,'Invoer gegevens'!$C$11,IF(C55=1,W54,0))</f>
        <v>0</v>
      </c>
      <c r="S55" s="86">
        <f ca="1">IF(E55='Invoer gegevens'!$C$17+15,W54,IF(C55&gt;=1,R55*VLOOKUP(E55,Reeksen!$A$5:$B$76,2),0))</f>
        <v>0</v>
      </c>
      <c r="T55" s="84">
        <f ca="1">IF(E55='Invoer gegevens'!$C$17+15,W54,(1-('Invoer gegevens'!$F$20/12))*R55*MIN(Reeksen!B23,Reeksen!D23))</f>
        <v>0</v>
      </c>
      <c r="U55" s="84">
        <f>IF(Reeksen!D23&gt;=Reeksen!B23,0,IF(Reeksen!AK23&lt;=Reeksen!AE23,(Reeksen!B23-Reeksen!D23)*R55,0))</f>
        <v>0</v>
      </c>
      <c r="V55" s="86">
        <f>IF(Reeksen!D23&gt;=Reeksen!B23,0,IF(Reeksen!AK23&gt;Reeksen!AE23,(Reeksen!B23-Reeksen!D23)*R55,0))</f>
        <v>0</v>
      </c>
      <c r="W55" s="97">
        <f ca="1">IF(E55&gt;='Invoer gegevens'!$C$17+15,0,R55-S55)</f>
        <v>0</v>
      </c>
      <c r="X55" s="98">
        <f ca="1">IF('Invoer gegevens'!$C$17=E55,'Invoer gegevens'!$C$10-'Invoer gegevens'!$C$11,IF(C55=1,AC54,0))</f>
        <v>0</v>
      </c>
      <c r="Y55" s="98">
        <f ca="1">IF(E55='Invoer gegevens'!$C$17+15,AC54,IF(C55&gt;=1,X55*VLOOKUP(E55,Reeksen!$A$5:$B$76,2),0))</f>
        <v>0</v>
      </c>
      <c r="Z55" s="98">
        <f ca="1">IF(E55='Invoer gegevens'!$C$17+15,AC54,(1-('Invoer gegevens'!$F$20/12))*X55*MIN(Reeksen!B23,Reeksen!D23))</f>
        <v>0</v>
      </c>
      <c r="AA55" s="98">
        <f>IF(Reeksen!D23&gt;=Reeksen!B23,0,IF(Reeksen!AK23&lt;=Reeksen!AE23,(Reeksen!B23-Reeksen!D23)*X55,0))</f>
        <v>0</v>
      </c>
      <c r="AB55" s="98">
        <f>IF(Reeksen!D23&gt;=Reeksen!B23,0,IF(Reeksen!AK23&gt;Reeksen!AE23,(Reeksen!B23-Reeksen!D23)*X55,0))</f>
        <v>0</v>
      </c>
      <c r="AC55" s="99">
        <f ca="1">IF(E55&gt;='Invoer gegevens'!$C$17+15,0,X55-Y55)</f>
        <v>0</v>
      </c>
      <c r="AD55" s="98">
        <f ca="1">IF('Invoer gegevens'!$C$17=E23,R55,IF(C23=0,0,AE54))</f>
        <v>0</v>
      </c>
      <c r="AE55" s="98">
        <f t="shared" ca="1" si="10"/>
        <v>0</v>
      </c>
      <c r="AF55" s="98">
        <f ca="1">IF('Invoer gegevens'!$C$17=E23,X55,IF(C23=0,0,AG54))</f>
        <v>0</v>
      </c>
      <c r="AG55" s="98">
        <f t="shared" ca="1" si="11"/>
        <v>0</v>
      </c>
      <c r="AH55" s="68"/>
      <c r="AI55" s="71">
        <f ca="1">IF(C55=1,Reeksen!AJ23*((F55-G55+F55)/2)*12+Reeksen!AK23*((L55-M55+L55)/2)*12,0)</f>
        <v>0</v>
      </c>
      <c r="AJ55" s="71">
        <f ca="1">-AI55*'Invoer gegevens'!$F$28</f>
        <v>0</v>
      </c>
      <c r="AK55" s="71">
        <f t="shared" ca="1" si="9"/>
        <v>0</v>
      </c>
      <c r="AL55" s="71">
        <f ca="1">IF(C55=1,Reeksen!AL23*((F55-G55+F55)/2)*12+Reeksen!AM23*((L55-M55+L55)/2)*12,0)</f>
        <v>0</v>
      </c>
      <c r="AM55" s="71">
        <f ca="1">-AL55*'Invoer gegevens'!$F$31</f>
        <v>0</v>
      </c>
      <c r="AN55" s="71">
        <f t="shared" ca="1" si="12"/>
        <v>0</v>
      </c>
      <c r="AO55" s="71">
        <f ca="1">IF(E55&gt;='Invoer gegevens'!$C$17+15,0,IF(C55=1,(H55+J55+N55+P55)*Reeksen!AN23,0))</f>
        <v>0</v>
      </c>
      <c r="AP55" s="71">
        <f ca="1">-IF(C55=1,(H55+J55+N55+P55)*'Hulp - basis'!$G$550*Reeksen!H23,0)</f>
        <v>0</v>
      </c>
      <c r="AQ55" s="71">
        <f ca="1">-IF(C55=1,(F55+K55+L55+Q55)/2*'Invoer gegevens'!$I$33*Reeksen!J23,0)</f>
        <v>0</v>
      </c>
      <c r="AR55" s="71">
        <f ca="1">-IF(C55=1,(I55*'Invoer gegevens'!$I$34)*Reeksen!J23,0)</f>
        <v>0</v>
      </c>
      <c r="AS55" s="71">
        <f ca="1">-IF(C55=1,(F55+K55+L55+Q55)/2*'Invoer gegevens'!$I$35*Reeksen!L23,0)</f>
        <v>0</v>
      </c>
      <c r="AT55" s="71">
        <f ca="1">-IF(C55=1,IF(E55='Invoer gegevens'!$C$17,'Invoer gegevens'!$C$11,AD55)*Reeksen!S23*'Invoer gegevens'!$C$18*Reeksen!P23,0)</f>
        <v>0</v>
      </c>
      <c r="AU55" s="71">
        <f ca="1">-IF(C55=1,(F55+K55+L55+Q55)/2*'Invoer gegevens'!$I$36*Reeksen!H23,0)</f>
        <v>0</v>
      </c>
      <c r="AV55" s="71">
        <f>IF('Invoer gegevens'!$C$3="Basis",0,#REF!)</f>
        <v>0</v>
      </c>
      <c r="AW55" s="71">
        <f t="shared" ca="1" si="13"/>
        <v>0</v>
      </c>
      <c r="AX55" s="72">
        <f ca="1">IF(E55='Invoer gegevens'!$C$17+14,'RW - BW - UP'!$AY$236,0)</f>
        <v>0</v>
      </c>
      <c r="AY55" s="72">
        <f ca="1">IFERROR(IF(E55='Invoer gegevens'!$C$17,-'Invoer gegevens'!$C$10*('Invoer gegevens'!$C$30+'Invoer gegevens'!$C$31)*Reeksen!H23,0),0)</f>
        <v>0</v>
      </c>
      <c r="AZ55" s="73">
        <f ca="1">IF('Invoer gegevens'!$C$34=E55,'Invoer gegevens'!$C$27*'Invoer gegevens'!$C$10*'Invoer gegevens'!$C$36*(IF('Invoer gegevens'!$C$35="ja",1,Reeksen!J23)),IF('Invoer gegevens'!$C$34+1=E55,'Invoer gegevens'!$C$27*'Invoer gegevens'!$C$10*'Invoer gegevens'!$C$37*(IF('Invoer gegevens'!$C$35="ja",1,Reeksen!J23)),0))+IF(AND(E55='Invoer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5" s="73">
        <f ca="1">AW55/(1+'Invoer gegevens'!$F$18)^($D55-('Invoer gegevens'!$C$17-'Invoer gegevens'!$C$16))/(1+'Invoer gegevens'!$C$39)^('Invoer gegevens'!$C$17-'Invoer gegevens'!$C$16)</f>
        <v>0</v>
      </c>
      <c r="BB55" s="73">
        <f ca="1">AX55/(1+'Invoer gegevens'!$F$18)^(E55-('Invoer gegevens'!$C$17-1))/(1+'Invoer gegevens'!$C$39)^('Invoer gegevens'!$C$17-'Invoer gegevens'!$C$16)</f>
        <v>0</v>
      </c>
      <c r="BC55" s="73">
        <f ca="1">AY55/(1+'Invoer gegevens'!$C$39)^('Invoer gegevens'!$C$17-'Invoer gegevens'!$C$16)</f>
        <v>0</v>
      </c>
      <c r="BD55" s="72">
        <f t="shared" ca="1" si="14"/>
        <v>0</v>
      </c>
      <c r="BE55" s="72">
        <f ca="1">IF(AND(E55='Invoer gegevens'!$C$16,'Invoer gegevens'!$C$34&lt;'Invoer gegevens'!$C$16),AZ55,AZ55/(1+'Invoer gegevens'!$C$39)^D55)</f>
        <v>0</v>
      </c>
      <c r="BF55" s="72">
        <f ca="1">IF(E55='Invoer gegevens'!$C$34,-'Invoer gegevens'!$F$40,0)</f>
        <v>0</v>
      </c>
      <c r="BG55" s="72">
        <f ca="1">IF(E55='Invoer gegevens'!$C$17,-'Invoer gegevens'!$C$19*$BD$63,0)</f>
        <v>0</v>
      </c>
      <c r="BH55" s="72">
        <f ca="1">AW55/(1+$BH$36)^($D55-('Invoer gegevens'!$C$17-'Invoer gegevens'!$C$16))/(1+'Invoer gegevens'!$C$39)^('Invoer gegevens'!$C$17-'Invoer gegevens'!$C$16)+AX55/(1+$BH$36)^(E55-('Invoer gegevens'!$C$17-1))/(1+'Invoer gegevens'!$C$39)^('Invoer gegevens'!$C$17-'Invoer gegevens'!$C$16)+AY55/(1+'Invoer gegevens'!$C$39)^('Invoer gegevens'!$C$17-'Invoer gegevens'!$C$16)+(-AZ55/(1+'Invoer gegevens'!$C$39)^D55)+BF55+BG55</f>
        <v>0</v>
      </c>
      <c r="BI55" s="59"/>
    </row>
    <row r="56" spans="1:61" x14ac:dyDescent="0.25">
      <c r="A56" s="59"/>
      <c r="B56" s="70">
        <f t="shared" si="15"/>
        <v>20</v>
      </c>
      <c r="C56" s="67">
        <f ca="1">IF(AND(E56&gt;='Invoer gegevens'!$C$17,E56&lt;'Invoer gegevens'!$C$17+15),1,0)</f>
        <v>0</v>
      </c>
      <c r="D56" s="68">
        <f t="shared" si="16"/>
        <v>19.5</v>
      </c>
      <c r="E56" s="69">
        <f ca="1">IF('Invoer gegevens'!$C$16="","",E55+1)</f>
        <v>2038</v>
      </c>
      <c r="F56" s="84">
        <f ca="1">IF('Invoer gegevens'!$C$17=E56,'Invoer gegevens'!$C$10,IF(C56=1,K55,0))</f>
        <v>0</v>
      </c>
      <c r="G56" s="96">
        <f ca="1">IF(E56='Invoer gegevens'!$C$17+15,K55,IF(C56&gt;=1,F56*VLOOKUP(E56,Reeksen!$A$5:$B$76,2),0))</f>
        <v>0</v>
      </c>
      <c r="H56" s="84">
        <f ca="1">IF(E56='Invoer gegevens'!$C$17+15,K55,(1-('Invoer gegevens'!$F$20/12))*F56*MIN(Reeksen!B24,Reeksen!D24))</f>
        <v>0</v>
      </c>
      <c r="I56" s="84">
        <f>IF(Reeksen!D24&lt;Reeksen!B24,(Reeksen!B24-Reeksen!D24)*F56,0)</f>
        <v>0</v>
      </c>
      <c r="J56" s="84">
        <f ca="1">IF(E56='Invoer gegevens'!$C$17+16,0,('Invoer gegevens'!$F$20/12)*F55*MIN(Reeksen!B23,Reeksen!D23))</f>
        <v>0</v>
      </c>
      <c r="K56" s="97">
        <f ca="1">IF(E56&gt;='Invoer gegevens'!$C$17+15,0,F56-G56)</f>
        <v>0</v>
      </c>
      <c r="L56" s="84">
        <f ca="1">IF('Invoer gegevens'!$C$17=E56,0,IF(C56=1,Q55,0))</f>
        <v>0</v>
      </c>
      <c r="M56" s="96">
        <f ca="1">IF(E56='Invoer gegevens'!$C$17+15,Q55,IF(C56&gt;=1,L56*VLOOKUP(E56,Reeksen!$A$5:$B$76,2),0))</f>
        <v>0</v>
      </c>
      <c r="N56" s="84">
        <f ca="1">IF(C56='Invoer gegevens'!$C$17+15,Q55,(1-('Invoer gegevens'!$F$20/12))*L56*MIN(Reeksen!B24,Reeksen!D24))</f>
        <v>0</v>
      </c>
      <c r="O56" s="84">
        <f>IF(Reeksen!D24&lt;Reeksen!B24,(Reeksen!B24-Reeksen!D24)*L56,0)</f>
        <v>0</v>
      </c>
      <c r="P56" s="84">
        <f ca="1">IF(E56='Invoer gegevens'!$C$17+16,0,('Invoer gegevens'!$F$20/12)*L55*MIN(Reeksen!B23,Reeksen!D23))</f>
        <v>0</v>
      </c>
      <c r="Q56" s="84">
        <f ca="1">IF(E56&gt;='Invoer gegevens'!$C$17+15,0,L56-M56+I56+O56)</f>
        <v>0</v>
      </c>
      <c r="R56" s="82">
        <f ca="1">IF('Invoer gegevens'!$C$17=E56,'Invoer gegevens'!$C$11,IF(C56=1,W55,0))</f>
        <v>0</v>
      </c>
      <c r="S56" s="86">
        <f ca="1">IF(E56='Invoer gegevens'!$C$17+15,W55,IF(C56&gt;=1,R56*VLOOKUP(E56,Reeksen!$A$5:$B$76,2),0))</f>
        <v>0</v>
      </c>
      <c r="T56" s="84">
        <f ca="1">IF(E56='Invoer gegevens'!$C$17+15,W55,(1-('Invoer gegevens'!$F$20/12))*R56*MIN(Reeksen!B24,Reeksen!D24))</f>
        <v>0</v>
      </c>
      <c r="U56" s="84">
        <f>IF(Reeksen!D24&gt;=Reeksen!B24,0,IF(Reeksen!AK24&lt;=Reeksen!AE24,(Reeksen!B24-Reeksen!D24)*R56,0))</f>
        <v>0</v>
      </c>
      <c r="V56" s="86">
        <f>IF(Reeksen!D24&gt;=Reeksen!B24,0,IF(Reeksen!AK24&gt;Reeksen!AE24,(Reeksen!B24-Reeksen!D24)*R56,0))</f>
        <v>0</v>
      </c>
      <c r="W56" s="97">
        <f ca="1">IF(E56&gt;='Invoer gegevens'!$C$17+15,0,R56-S56)</f>
        <v>0</v>
      </c>
      <c r="X56" s="98">
        <f ca="1">IF('Invoer gegevens'!$C$17=E56,'Invoer gegevens'!$C$10-'Invoer gegevens'!$C$11,IF(C56=1,AC55,0))</f>
        <v>0</v>
      </c>
      <c r="Y56" s="98">
        <f ca="1">IF(E56='Invoer gegevens'!$C$17+15,AC55,IF(C56&gt;=1,X56*VLOOKUP(E56,Reeksen!$A$5:$B$76,2),0))</f>
        <v>0</v>
      </c>
      <c r="Z56" s="98">
        <f ca="1">IF(E56='Invoer gegevens'!$C$17+15,AC55,(1-('Invoer gegevens'!$F$20/12))*X56*MIN(Reeksen!B24,Reeksen!D24))</f>
        <v>0</v>
      </c>
      <c r="AA56" s="98">
        <f>IF(Reeksen!D24&gt;=Reeksen!B24,0,IF(Reeksen!AK24&lt;=Reeksen!AE24,(Reeksen!B24-Reeksen!D24)*X56,0))</f>
        <v>0</v>
      </c>
      <c r="AB56" s="98">
        <f>IF(Reeksen!D24&gt;=Reeksen!B24,0,IF(Reeksen!AK24&gt;Reeksen!AE24,(Reeksen!B24-Reeksen!D24)*X56,0))</f>
        <v>0</v>
      </c>
      <c r="AC56" s="99">
        <f ca="1">IF(E56&gt;='Invoer gegevens'!$C$17+15,0,X56-Y56)</f>
        <v>0</v>
      </c>
      <c r="AD56" s="98">
        <f ca="1">IF('Invoer gegevens'!$C$17=E24,R56,IF(C24=0,0,AE55))</f>
        <v>0</v>
      </c>
      <c r="AE56" s="98">
        <f t="shared" ca="1" si="10"/>
        <v>0</v>
      </c>
      <c r="AF56" s="98">
        <f ca="1">IF('Invoer gegevens'!$C$17=E24,X56,IF(C24=0,0,AG55))</f>
        <v>0</v>
      </c>
      <c r="AG56" s="98">
        <f t="shared" ca="1" si="11"/>
        <v>0</v>
      </c>
      <c r="AH56" s="68"/>
      <c r="AI56" s="71">
        <f ca="1">IF(C56=1,Reeksen!AJ24*((F56-G56+F56)/2)*12+Reeksen!AK24*((L56-M56+L56)/2)*12,0)</f>
        <v>0</v>
      </c>
      <c r="AJ56" s="71">
        <f ca="1">-AI56*'Invoer gegevens'!$F$28</f>
        <v>0</v>
      </c>
      <c r="AK56" s="71">
        <f t="shared" ca="1" si="9"/>
        <v>0</v>
      </c>
      <c r="AL56" s="71">
        <f ca="1">IF(C56=1,Reeksen!AL24*((F56-G56+F56)/2)*12+Reeksen!AM24*((L56-M56+L56)/2)*12,0)</f>
        <v>0</v>
      </c>
      <c r="AM56" s="71">
        <f ca="1">-AL56*'Invoer gegevens'!$F$31</f>
        <v>0</v>
      </c>
      <c r="AN56" s="71">
        <f t="shared" ca="1" si="12"/>
        <v>0</v>
      </c>
      <c r="AO56" s="71">
        <f ca="1">IF(E56&gt;='Invoer gegevens'!$C$17+15,0,IF(C56=1,(H56+J56+N56+P56)*Reeksen!AN24,0))</f>
        <v>0</v>
      </c>
      <c r="AP56" s="71">
        <f ca="1">-IF(C56=1,(H56+J56+N56+P56)*'Hulp - basis'!$G$550*Reeksen!H24,0)</f>
        <v>0</v>
      </c>
      <c r="AQ56" s="71">
        <f ca="1">-IF(C56=1,(F56+K56+L56+Q56)/2*'Invoer gegevens'!$I$33*Reeksen!J24,0)</f>
        <v>0</v>
      </c>
      <c r="AR56" s="71">
        <f ca="1">-IF(C56=1,(I56*'Invoer gegevens'!$I$34)*Reeksen!J24,0)</f>
        <v>0</v>
      </c>
      <c r="AS56" s="71">
        <f ca="1">-IF(C56=1,(F56+K56+L56+Q56)/2*'Invoer gegevens'!$I$35*Reeksen!L24,0)</f>
        <v>0</v>
      </c>
      <c r="AT56" s="71">
        <f ca="1">-IF(C56=1,IF(E56='Invoer gegevens'!$C$17,'Invoer gegevens'!$C$11,AD56)*Reeksen!S24*'Invoer gegevens'!$C$18*Reeksen!P24,0)</f>
        <v>0</v>
      </c>
      <c r="AU56" s="71">
        <f ca="1">-IF(C56=1,(F56+K56+L56+Q56)/2*'Invoer gegevens'!$I$36*Reeksen!H24,0)</f>
        <v>0</v>
      </c>
      <c r="AV56" s="71">
        <f>IF('Invoer gegevens'!$C$3="Basis",0,#REF!)</f>
        <v>0</v>
      </c>
      <c r="AW56" s="71">
        <f t="shared" ca="1" si="13"/>
        <v>0</v>
      </c>
      <c r="AX56" s="72">
        <f ca="1">IF(E56='Invoer gegevens'!$C$17+14,'RW - BW - UP'!$AY$236,0)</f>
        <v>0</v>
      </c>
      <c r="AY56" s="72">
        <f ca="1">IFERROR(IF(E56='Invoer gegevens'!$C$17,-'Invoer gegevens'!$C$10*('Invoer gegevens'!$C$30+'Invoer gegevens'!$C$31)*Reeksen!H24,0),0)</f>
        <v>0</v>
      </c>
      <c r="AZ56" s="73">
        <f ca="1">IF('Invoer gegevens'!$C$34=E56,'Invoer gegevens'!$C$27*'Invoer gegevens'!$C$10*'Invoer gegevens'!$C$36*(IF('Invoer gegevens'!$C$35="ja",1,Reeksen!J24)),IF('Invoer gegevens'!$C$34+1=E56,'Invoer gegevens'!$C$27*'Invoer gegevens'!$C$10*'Invoer gegevens'!$C$37*(IF('Invoer gegevens'!$C$35="ja",1,Reeksen!J24)),0))+IF(AND(E56='Invoer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6" s="73">
        <f ca="1">AW56/(1+'Invoer gegevens'!$F$18)^($D56-('Invoer gegevens'!$C$17-'Invoer gegevens'!$C$16))/(1+'Invoer gegevens'!$C$39)^('Invoer gegevens'!$C$17-'Invoer gegevens'!$C$16)</f>
        <v>0</v>
      </c>
      <c r="BB56" s="73">
        <f ca="1">AX56/(1+'Invoer gegevens'!$F$18)^(E56-('Invoer gegevens'!$C$17-1))/(1+'Invoer gegevens'!$C$39)^('Invoer gegevens'!$C$17-'Invoer gegevens'!$C$16)</f>
        <v>0</v>
      </c>
      <c r="BC56" s="73">
        <f ca="1">AY56/(1+'Invoer gegevens'!$C$39)^('Invoer gegevens'!$C$17-'Invoer gegevens'!$C$16)</f>
        <v>0</v>
      </c>
      <c r="BD56" s="72">
        <f t="shared" ca="1" si="14"/>
        <v>0</v>
      </c>
      <c r="BE56" s="72">
        <f ca="1">IF(AND(E56='Invoer gegevens'!$C$16,'Invoer gegevens'!$C$34&lt;'Invoer gegevens'!$C$16),AZ56,AZ56/(1+'Invoer gegevens'!$C$39)^D56)</f>
        <v>0</v>
      </c>
      <c r="BF56" s="72">
        <f ca="1">IF(E56='Invoer gegevens'!$C$34,-'Invoer gegevens'!$F$40,0)</f>
        <v>0</v>
      </c>
      <c r="BG56" s="72">
        <f ca="1">IF(E56='Invoer gegevens'!$C$17,-'Invoer gegevens'!$C$19*$BD$63,0)</f>
        <v>0</v>
      </c>
      <c r="BH56" s="72">
        <f ca="1">AW56/(1+$BH$36)^($D56-('Invoer gegevens'!$C$17-'Invoer gegevens'!$C$16))/(1+'Invoer gegevens'!$C$39)^('Invoer gegevens'!$C$17-'Invoer gegevens'!$C$16)+AX56/(1+$BH$36)^(E56-('Invoer gegevens'!$C$17-1))/(1+'Invoer gegevens'!$C$39)^('Invoer gegevens'!$C$17-'Invoer gegevens'!$C$16)+AY56/(1+'Invoer gegevens'!$C$39)^('Invoer gegevens'!$C$17-'Invoer gegevens'!$C$16)+(-AZ56/(1+'Invoer gegevens'!$C$39)^D56)+BF56+BG56</f>
        <v>0</v>
      </c>
      <c r="BI56" s="59"/>
    </row>
    <row r="57" spans="1:61" x14ac:dyDescent="0.25">
      <c r="A57" s="59"/>
      <c r="B57" s="70">
        <f t="shared" si="15"/>
        <v>21</v>
      </c>
      <c r="C57" s="67">
        <f ca="1">IF(AND(E57&gt;='Invoer gegevens'!$C$17,E57&lt;'Invoer gegevens'!$C$17+15),1,0)</f>
        <v>0</v>
      </c>
      <c r="D57" s="68">
        <f t="shared" si="16"/>
        <v>20.5</v>
      </c>
      <c r="E57" s="69">
        <f ca="1">IF('Invoer gegevens'!$C$16="","",E56+1)</f>
        <v>2039</v>
      </c>
      <c r="F57" s="84">
        <f ca="1">IF('Invoer gegevens'!$C$17=E57,'Invoer gegevens'!$C$10,IF(C57=1,K56,0))</f>
        <v>0</v>
      </c>
      <c r="G57" s="96">
        <f ca="1">IF(E57='Invoer gegevens'!$C$17+15,K56,IF(C57&gt;=1,F57*VLOOKUP(E57,Reeksen!$A$5:$B$76,2),0))</f>
        <v>0</v>
      </c>
      <c r="H57" s="84">
        <f ca="1">IF(E57='Invoer gegevens'!$C$17+15,K56,(1-('Invoer gegevens'!$F$20/12))*F57*MIN(Reeksen!B25,Reeksen!D25))</f>
        <v>0</v>
      </c>
      <c r="I57" s="84">
        <f>IF(Reeksen!D25&lt;Reeksen!B25,(Reeksen!B25-Reeksen!D25)*F57,0)</f>
        <v>0</v>
      </c>
      <c r="J57" s="84">
        <f ca="1">IF(E57='Invoer gegevens'!$C$17+16,0,('Invoer gegevens'!$F$20/12)*F56*MIN(Reeksen!B24,Reeksen!D24))</f>
        <v>0</v>
      </c>
      <c r="K57" s="97">
        <f ca="1">IF(E57&gt;='Invoer gegevens'!$C$17+15,0,F57-G57)</f>
        <v>0</v>
      </c>
      <c r="L57" s="84">
        <f ca="1">IF('Invoer gegevens'!$C$17=E57,0,IF(C57=1,Q56,0))</f>
        <v>0</v>
      </c>
      <c r="M57" s="96">
        <f ca="1">IF(E57='Invoer gegevens'!$C$17+15,Q56,IF(C57&gt;=1,L57*VLOOKUP(E57,Reeksen!$A$5:$B$76,2),0))</f>
        <v>0</v>
      </c>
      <c r="N57" s="84">
        <f ca="1">IF(C57='Invoer gegevens'!$C$17+15,Q56,(1-('Invoer gegevens'!$F$20/12))*L57*MIN(Reeksen!B25,Reeksen!D25))</f>
        <v>0</v>
      </c>
      <c r="O57" s="84">
        <f>IF(Reeksen!D25&lt;Reeksen!B25,(Reeksen!B25-Reeksen!D25)*L57,0)</f>
        <v>0</v>
      </c>
      <c r="P57" s="84">
        <f ca="1">IF(E57='Invoer gegevens'!$C$17+16,0,('Invoer gegevens'!$F$20/12)*L56*MIN(Reeksen!B24,Reeksen!D24))</f>
        <v>0</v>
      </c>
      <c r="Q57" s="84">
        <f ca="1">IF(E57&gt;='Invoer gegevens'!$C$17+15,0,L57-M57+I57+O57)</f>
        <v>0</v>
      </c>
      <c r="R57" s="82">
        <f ca="1">IF('Invoer gegevens'!$C$17=E57,'Invoer gegevens'!$C$11,IF(C57=1,W56,0))</f>
        <v>0</v>
      </c>
      <c r="S57" s="86">
        <f ca="1">IF(E57='Invoer gegevens'!$C$17+15,W56,IF(C57&gt;=1,R57*VLOOKUP(E57,Reeksen!$A$5:$B$76,2),0))</f>
        <v>0</v>
      </c>
      <c r="T57" s="84">
        <f ca="1">IF(E57='Invoer gegevens'!$C$17+15,W56,(1-('Invoer gegevens'!$F$20/12))*R57*MIN(Reeksen!B25,Reeksen!D25))</f>
        <v>0</v>
      </c>
      <c r="U57" s="84">
        <f>IF(Reeksen!D25&gt;=Reeksen!B25,0,IF(Reeksen!AK25&lt;=Reeksen!AE25,(Reeksen!B25-Reeksen!D25)*R57,0))</f>
        <v>0</v>
      </c>
      <c r="V57" s="86">
        <f>IF(Reeksen!D25&gt;=Reeksen!B25,0,IF(Reeksen!AK25&gt;Reeksen!AE25,(Reeksen!B25-Reeksen!D25)*R57,0))</f>
        <v>0</v>
      </c>
      <c r="W57" s="97">
        <f ca="1">IF(E57&gt;='Invoer gegevens'!$C$17+15,0,R57-S57)</f>
        <v>0</v>
      </c>
      <c r="X57" s="98">
        <f ca="1">IF('Invoer gegevens'!$C$17=E57,'Invoer gegevens'!$C$10-'Invoer gegevens'!$C$11,IF(C57=1,AC56,0))</f>
        <v>0</v>
      </c>
      <c r="Y57" s="98">
        <f ca="1">IF(E57='Invoer gegevens'!$C$17+15,AC56,IF(C57&gt;=1,X57*VLOOKUP(E57,Reeksen!$A$5:$B$76,2),0))</f>
        <v>0</v>
      </c>
      <c r="Z57" s="98">
        <f ca="1">IF(E57='Invoer gegevens'!$C$17+15,AC56,(1-('Invoer gegevens'!$F$20/12))*X57*MIN(Reeksen!B25,Reeksen!D25))</f>
        <v>0</v>
      </c>
      <c r="AA57" s="98">
        <f>IF(Reeksen!D25&gt;=Reeksen!B25,0,IF(Reeksen!AK25&lt;=Reeksen!AE25,(Reeksen!B25-Reeksen!D25)*X57,0))</f>
        <v>0</v>
      </c>
      <c r="AB57" s="98">
        <f>IF(Reeksen!D25&gt;=Reeksen!B25,0,IF(Reeksen!AK25&gt;Reeksen!AE25,(Reeksen!B25-Reeksen!D25)*X57,0))</f>
        <v>0</v>
      </c>
      <c r="AC57" s="99">
        <f ca="1">IF(E57&gt;='Invoer gegevens'!$C$17+15,0,X57-Y57)</f>
        <v>0</v>
      </c>
      <c r="AD57" s="98">
        <f ca="1">IF('Invoer gegevens'!$C$17=E25,R57,IF(C25=0,0,AE56))</f>
        <v>0</v>
      </c>
      <c r="AE57" s="98">
        <f t="shared" ca="1" si="10"/>
        <v>0</v>
      </c>
      <c r="AF57" s="98">
        <f ca="1">IF('Invoer gegevens'!$C$17=E25,X57,IF(C25=0,0,AG56))</f>
        <v>0</v>
      </c>
      <c r="AG57" s="98">
        <f t="shared" ca="1" si="11"/>
        <v>0</v>
      </c>
      <c r="AH57" s="68"/>
      <c r="AI57" s="71">
        <f ca="1">IF(C57=1,Reeksen!AJ25*((F57-G57+F57)/2)*12+Reeksen!AK25*((L57-M57+L57)/2)*12,0)</f>
        <v>0</v>
      </c>
      <c r="AJ57" s="71">
        <f ca="1">-AI57*'Invoer gegevens'!$F$28</f>
        <v>0</v>
      </c>
      <c r="AK57" s="71">
        <f t="shared" ca="1" si="9"/>
        <v>0</v>
      </c>
      <c r="AL57" s="71">
        <f ca="1">IF(C57=1,Reeksen!AL25*((F57-G57+F57)/2)*12+Reeksen!AM25*((L57-M57+L57)/2)*12,0)</f>
        <v>0</v>
      </c>
      <c r="AM57" s="71">
        <f ca="1">-AL57*'Invoer gegevens'!$F$31</f>
        <v>0</v>
      </c>
      <c r="AN57" s="71">
        <f t="shared" ca="1" si="12"/>
        <v>0</v>
      </c>
      <c r="AO57" s="71">
        <f ca="1">IF(E57&gt;='Invoer gegevens'!$C$17+15,0,IF(C57=1,(H57+J57+N57+P57)*Reeksen!AN25,0))</f>
        <v>0</v>
      </c>
      <c r="AP57" s="71">
        <f ca="1">-IF(C57=1,(H57+J57+N57+P57)*'Hulp - basis'!$G$550*Reeksen!H25,0)</f>
        <v>0</v>
      </c>
      <c r="AQ57" s="71">
        <f ca="1">-IF(C57=1,(F57+K57+L57+Q57)/2*'Invoer gegevens'!$I$33*Reeksen!J25,0)</f>
        <v>0</v>
      </c>
      <c r="AR57" s="71">
        <f ca="1">-IF(C57=1,(I57*'Invoer gegevens'!$I$34)*Reeksen!J25,0)</f>
        <v>0</v>
      </c>
      <c r="AS57" s="71">
        <f ca="1">-IF(C57=1,(F57+K57+L57+Q57)/2*'Invoer gegevens'!$I$35*Reeksen!L25,0)</f>
        <v>0</v>
      </c>
      <c r="AT57" s="71">
        <f ca="1">-IF(C57=1,IF(E57='Invoer gegevens'!$C$17,'Invoer gegevens'!$C$11,AD57)*Reeksen!S25*'Invoer gegevens'!$C$18*Reeksen!P25,0)</f>
        <v>0</v>
      </c>
      <c r="AU57" s="71">
        <f ca="1">-IF(C57=1,(F57+K57+L57+Q57)/2*'Invoer gegevens'!$I$36*Reeksen!H25,0)</f>
        <v>0</v>
      </c>
      <c r="AV57" s="71">
        <f>IF('Invoer gegevens'!$C$3="Basis",0,#REF!)</f>
        <v>0</v>
      </c>
      <c r="AW57" s="71">
        <f t="shared" ca="1" si="13"/>
        <v>0</v>
      </c>
      <c r="AX57" s="72">
        <f ca="1">IF(E57='Invoer gegevens'!$C$17+14,'RW - BW - UP'!$AY$236,0)</f>
        <v>0</v>
      </c>
      <c r="AY57" s="72">
        <f ca="1">IFERROR(IF(E57='Invoer gegevens'!$C$17,-'Invoer gegevens'!$C$10*('Invoer gegevens'!$C$30+'Invoer gegevens'!$C$31)*Reeksen!H25,0),0)</f>
        <v>0</v>
      </c>
      <c r="AZ57" s="73">
        <f ca="1">IF('Invoer gegevens'!$C$34=E57,'Invoer gegevens'!$C$27*'Invoer gegevens'!$C$10*'Invoer gegevens'!$C$36*(IF('Invoer gegevens'!$C$35="ja",1,Reeksen!J25)),IF('Invoer gegevens'!$C$34+1=E57,'Invoer gegevens'!$C$27*'Invoer gegevens'!$C$10*'Invoer gegevens'!$C$37*(IF('Invoer gegevens'!$C$35="ja",1,Reeksen!J25)),0))+IF(AND(E57='Invoer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7" s="73">
        <f ca="1">AW57/(1+'Invoer gegevens'!$F$18)^($D57-('Invoer gegevens'!$C$17-'Invoer gegevens'!$C$16))/(1+'Invoer gegevens'!$C$39)^('Invoer gegevens'!$C$17-'Invoer gegevens'!$C$16)</f>
        <v>0</v>
      </c>
      <c r="BB57" s="73">
        <f ca="1">AX57/(1+'Invoer gegevens'!$F$18)^(E57-('Invoer gegevens'!$C$17-1))/(1+'Invoer gegevens'!$C$39)^('Invoer gegevens'!$C$17-'Invoer gegevens'!$C$16)</f>
        <v>0</v>
      </c>
      <c r="BC57" s="73">
        <f ca="1">AY57/(1+'Invoer gegevens'!$C$39)^('Invoer gegevens'!$C$17-'Invoer gegevens'!$C$16)</f>
        <v>0</v>
      </c>
      <c r="BD57" s="72">
        <f t="shared" ca="1" si="14"/>
        <v>0</v>
      </c>
      <c r="BE57" s="72">
        <f ca="1">IF(AND(E57='Invoer gegevens'!$C$16,'Invoer gegevens'!$C$34&lt;'Invoer gegevens'!$C$16),AZ57,AZ57/(1+'Invoer gegevens'!$C$39)^D57)</f>
        <v>0</v>
      </c>
      <c r="BF57" s="72">
        <f ca="1">IF(E57='Invoer gegevens'!$C$34,-'Invoer gegevens'!$F$40,0)</f>
        <v>0</v>
      </c>
      <c r="BG57" s="72">
        <f ca="1">IF(E57='Invoer gegevens'!$C$17,-'Invoer gegevens'!$C$19*$BD$63,0)</f>
        <v>0</v>
      </c>
      <c r="BH57" s="72">
        <f ca="1">AW57/(1+$BH$36)^($D57-('Invoer gegevens'!$C$17-'Invoer gegevens'!$C$16))/(1+'Invoer gegevens'!$C$39)^('Invoer gegevens'!$C$17-'Invoer gegevens'!$C$16)+AX57/(1+$BH$36)^(E57-('Invoer gegevens'!$C$17-1))/(1+'Invoer gegevens'!$C$39)^('Invoer gegevens'!$C$17-'Invoer gegevens'!$C$16)+AY57/(1+'Invoer gegevens'!$C$39)^('Invoer gegevens'!$C$17-'Invoer gegevens'!$C$16)+(-AZ57/(1+'Invoer gegevens'!$C$39)^D57)+BF57+BG57</f>
        <v>0</v>
      </c>
      <c r="BI57" s="59"/>
    </row>
    <row r="58" spans="1:61" x14ac:dyDescent="0.25">
      <c r="A58" s="59"/>
      <c r="B58" s="70">
        <f>B57+1</f>
        <v>22</v>
      </c>
      <c r="C58" s="67">
        <f ca="1">IF(AND(E58&gt;='Invoer gegevens'!$C$17,E58&lt;'Invoer gegevens'!$C$17+15),1,0)</f>
        <v>0</v>
      </c>
      <c r="D58" s="68">
        <f t="shared" si="16"/>
        <v>21.5</v>
      </c>
      <c r="E58" s="69">
        <f ca="1">IF('Invoer gegevens'!$C$16="","",E57+1)</f>
        <v>2040</v>
      </c>
      <c r="F58" s="84">
        <f ca="1">IF('Invoer gegevens'!$C$17=E58,'Invoer gegevens'!$C$10,IF(C58=1,K57,0))</f>
        <v>0</v>
      </c>
      <c r="G58" s="96">
        <f ca="1">IF(E58='Invoer gegevens'!$C$17+15,K57,IF(C58&gt;=1,F58*VLOOKUP(E58,Reeksen!$A$5:$B$76,2),0))</f>
        <v>0</v>
      </c>
      <c r="H58" s="84">
        <f ca="1">IF(E58='Invoer gegevens'!$C$17+15,K57,(1-('Invoer gegevens'!$F$20/12))*F58*MIN(Reeksen!B26,Reeksen!D26))</f>
        <v>0</v>
      </c>
      <c r="I58" s="84">
        <f>IF(Reeksen!D26&lt;Reeksen!B26,(Reeksen!B26-Reeksen!D26)*F58,0)</f>
        <v>0</v>
      </c>
      <c r="J58" s="84">
        <f ca="1">IF(E58='Invoer gegevens'!$C$17+16,0,('Invoer gegevens'!$F$20/12)*F57*MIN(Reeksen!B25,Reeksen!D25))</f>
        <v>0</v>
      </c>
      <c r="K58" s="97">
        <f ca="1">IF(E58&gt;='Invoer gegevens'!$C$17+15,0,F58-G58)</f>
        <v>0</v>
      </c>
      <c r="L58" s="84">
        <f ca="1">IF('Invoer gegevens'!$C$17=E58,0,IF(C58=1,Q57,0))</f>
        <v>0</v>
      </c>
      <c r="M58" s="96">
        <f ca="1">IF(E58='Invoer gegevens'!$C$17+15,Q57,IF(C58&gt;=1,L58*VLOOKUP(E58,Reeksen!$A$5:$B$76,2),0))</f>
        <v>0</v>
      </c>
      <c r="N58" s="84">
        <f ca="1">IF(C58='Invoer gegevens'!$C$17+15,Q57,(1-('Invoer gegevens'!$F$20/12))*L58*MIN(Reeksen!B26,Reeksen!D26))</f>
        <v>0</v>
      </c>
      <c r="O58" s="84">
        <f>IF(Reeksen!D26&lt;Reeksen!B26,(Reeksen!B26-Reeksen!D26)*L58,0)</f>
        <v>0</v>
      </c>
      <c r="P58" s="84">
        <f ca="1">IF(E58='Invoer gegevens'!$C$17+16,0,('Invoer gegevens'!$F$20/12)*L57*MIN(Reeksen!B25,Reeksen!D25))</f>
        <v>0</v>
      </c>
      <c r="Q58" s="84">
        <f ca="1">IF(E58&gt;='Invoer gegevens'!$C$17+15,0,L58-M58+I58+O58)</f>
        <v>0</v>
      </c>
      <c r="R58" s="82">
        <f ca="1">IF('Invoer gegevens'!$C$17=E58,'Invoer gegevens'!$C$11,IF(C58=1,W57,0))</f>
        <v>0</v>
      </c>
      <c r="S58" s="86">
        <f ca="1">IF(E58='Invoer gegevens'!$C$17+15,W57,IF(C58&gt;=1,R58*VLOOKUP(E58,Reeksen!$A$5:$B$76,2),0))</f>
        <v>0</v>
      </c>
      <c r="T58" s="84">
        <f ca="1">IF(E58='Invoer gegevens'!$C$17+15,W57,(1-('Invoer gegevens'!$F$20/12))*R58*MIN(Reeksen!B26,Reeksen!D26))</f>
        <v>0</v>
      </c>
      <c r="U58" s="84">
        <f>IF(Reeksen!D26&gt;=Reeksen!B26,0,IF(Reeksen!AK26&lt;=Reeksen!AE26,(Reeksen!B26-Reeksen!D26)*R58,0))</f>
        <v>0</v>
      </c>
      <c r="V58" s="86">
        <f>IF(Reeksen!D26&gt;=Reeksen!B26,0,IF(Reeksen!AK26&gt;Reeksen!AE26,(Reeksen!B26-Reeksen!D26)*R58,0))</f>
        <v>0</v>
      </c>
      <c r="W58" s="97">
        <f ca="1">IF(E58&gt;='Invoer gegevens'!$C$17+15,0,R58-S58)</f>
        <v>0</v>
      </c>
      <c r="X58" s="98">
        <f ca="1">IF('Invoer gegevens'!$C$17=E58,'Invoer gegevens'!$C$10-'Invoer gegevens'!$C$11,IF(C58=1,AC57,0))</f>
        <v>0</v>
      </c>
      <c r="Y58" s="98">
        <f ca="1">IF(E58='Invoer gegevens'!$C$17+15,AC57,IF(C58&gt;=1,X58*VLOOKUP(E58,Reeksen!$A$5:$B$76,2),0))</f>
        <v>0</v>
      </c>
      <c r="Z58" s="98">
        <f ca="1">IF(E58='Invoer gegevens'!$C$17+15,AC57,(1-('Invoer gegevens'!$F$20/12))*X58*MIN(Reeksen!B26,Reeksen!D26))</f>
        <v>0</v>
      </c>
      <c r="AA58" s="98">
        <f>IF(Reeksen!D26&gt;=Reeksen!B26,0,IF(Reeksen!AK26&lt;=Reeksen!AE26,(Reeksen!B26-Reeksen!D26)*X58,0))</f>
        <v>0</v>
      </c>
      <c r="AB58" s="98">
        <f>IF(Reeksen!D26&gt;=Reeksen!B26,0,IF(Reeksen!AK26&gt;Reeksen!AE26,(Reeksen!B26-Reeksen!D26)*X58,0))</f>
        <v>0</v>
      </c>
      <c r="AC58" s="99">
        <f ca="1">IF(E58&gt;='Invoer gegevens'!$C$17+15,0,X58-Y58)</f>
        <v>0</v>
      </c>
      <c r="AD58" s="98">
        <f ca="1">IF('Invoer gegevens'!$C$17=E26,R58,IF(C26=0,0,AE57))</f>
        <v>0</v>
      </c>
      <c r="AE58" s="98">
        <f t="shared" ca="1" si="10"/>
        <v>0</v>
      </c>
      <c r="AF58" s="98">
        <f ca="1">IF('Invoer gegevens'!$C$17=E26,X58,IF(C26=0,0,AG57))</f>
        <v>0</v>
      </c>
      <c r="AG58" s="98">
        <f t="shared" ca="1" si="11"/>
        <v>0</v>
      </c>
      <c r="AH58" s="68"/>
      <c r="AI58" s="71">
        <f ca="1">IF(C58=1,Reeksen!AJ26*((F58-G58+F58)/2)*12+Reeksen!AK26*((L58-M58+L58)/2)*12,0)</f>
        <v>0</v>
      </c>
      <c r="AJ58" s="71">
        <f ca="1">-AI58*'Invoer gegevens'!$F$28</f>
        <v>0</v>
      </c>
      <c r="AK58" s="71">
        <f t="shared" ca="1" si="9"/>
        <v>0</v>
      </c>
      <c r="AL58" s="71">
        <f ca="1">IF(C58=1,Reeksen!AL26*((F58-G58+F58)/2)*12+Reeksen!AM26*((L58-M58+L58)/2)*12,0)</f>
        <v>0</v>
      </c>
      <c r="AM58" s="71">
        <f ca="1">-AL58*'Invoer gegevens'!$F$31</f>
        <v>0</v>
      </c>
      <c r="AN58" s="71">
        <f t="shared" ca="1" si="12"/>
        <v>0</v>
      </c>
      <c r="AO58" s="71">
        <f ca="1">IF(E58&gt;='Invoer gegevens'!$C$17+15,0,IF(C58=1,(H58+J58+N58+P58)*Reeksen!AN26,0))</f>
        <v>0</v>
      </c>
      <c r="AP58" s="71">
        <f ca="1">-IF(C58=1,(H58+J58+N58+P58)*'Hulp - basis'!$G$550*Reeksen!H26,0)</f>
        <v>0</v>
      </c>
      <c r="AQ58" s="71">
        <f ca="1">-IF(C58=1,(F58+K58+L58+Q58)/2*'Invoer gegevens'!$I$33*Reeksen!J26,0)</f>
        <v>0</v>
      </c>
      <c r="AR58" s="71">
        <f ca="1">-IF(C58=1,(I58*'Invoer gegevens'!$I$34)*Reeksen!J26,0)</f>
        <v>0</v>
      </c>
      <c r="AS58" s="71">
        <f ca="1">-IF(C58=1,(F58+K58+L58+Q58)/2*'Invoer gegevens'!$I$35*Reeksen!L26,0)</f>
        <v>0</v>
      </c>
      <c r="AT58" s="71">
        <f ca="1">-IF(C58=1,IF(E58='Invoer gegevens'!$C$17,'Invoer gegevens'!$C$11,AD58)*Reeksen!S26*'Invoer gegevens'!$C$18*Reeksen!P26,0)</f>
        <v>0</v>
      </c>
      <c r="AU58" s="71">
        <f ca="1">-IF(C58=1,(F58+K58+L58+Q58)/2*'Invoer gegevens'!$I$36*Reeksen!H26,0)</f>
        <v>0</v>
      </c>
      <c r="AV58" s="71">
        <f>IF('Invoer gegevens'!$C$3="Basis",0,#REF!)</f>
        <v>0</v>
      </c>
      <c r="AW58" s="71">
        <f t="shared" ca="1" si="13"/>
        <v>0</v>
      </c>
      <c r="AX58" s="72">
        <f ca="1">IF(E58='Invoer gegevens'!$C$17+14,'RW - BW - UP'!$AY$236,0)</f>
        <v>0</v>
      </c>
      <c r="AY58" s="72">
        <f ca="1">IFERROR(IF(E58='Invoer gegevens'!$C$17,-'Invoer gegevens'!$C$10*('Invoer gegevens'!$C$30+'Invoer gegevens'!$C$31)*Reeksen!H26,0),0)</f>
        <v>0</v>
      </c>
      <c r="AZ58" s="73">
        <f ca="1">IF('Invoer gegevens'!$C$34=E58,'Invoer gegevens'!$C$27*'Invoer gegevens'!$C$10*'Invoer gegevens'!$C$36*(IF('Invoer gegevens'!$C$35="ja",1,Reeksen!J26)),IF('Invoer gegevens'!$C$34+1=E58,'Invoer gegevens'!$C$27*'Invoer gegevens'!$C$10*'Invoer gegevens'!$C$37*(IF('Invoer gegevens'!$C$35="ja",1,Reeksen!J26)),0))+IF(AND(E58='Invoer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8" s="73">
        <f ca="1">AW58/(1+'Invoer gegevens'!$F$18)^($D58-('Invoer gegevens'!$C$17-'Invoer gegevens'!$C$16))/(1+'Invoer gegevens'!$C$39)^('Invoer gegevens'!$C$17-'Invoer gegevens'!$C$16)</f>
        <v>0</v>
      </c>
      <c r="BB58" s="73">
        <f ca="1">AX58/(1+'Invoer gegevens'!$F$18)^(E58-('Invoer gegevens'!$C$17-1))/(1+'Invoer gegevens'!$C$39)^('Invoer gegevens'!$C$17-'Invoer gegevens'!$C$16)</f>
        <v>0</v>
      </c>
      <c r="BC58" s="73">
        <f ca="1">AY58/(1+'Invoer gegevens'!$C$39)^('Invoer gegevens'!$C$17-'Invoer gegevens'!$C$16)</f>
        <v>0</v>
      </c>
      <c r="BD58" s="72">
        <f t="shared" ca="1" si="14"/>
        <v>0</v>
      </c>
      <c r="BE58" s="72">
        <f ca="1">IF(AND(E58='Invoer gegevens'!$C$16,'Invoer gegevens'!$C$34&lt;'Invoer gegevens'!$C$16),AZ58,AZ58/(1+'Invoer gegevens'!$C$39)^D58)</f>
        <v>0</v>
      </c>
      <c r="BF58" s="72">
        <f ca="1">IF(E58='Invoer gegevens'!$C$34,-'Invoer gegevens'!$F$40,0)</f>
        <v>0</v>
      </c>
      <c r="BG58" s="72">
        <f ca="1">IF(E58='Invoer gegevens'!$C$17,-'Invoer gegevens'!$C$19*$BD$63,0)</f>
        <v>0</v>
      </c>
      <c r="BH58" s="72">
        <f ca="1">AW58/(1+$BH$36)^($D58-('Invoer gegevens'!$C$17-'Invoer gegevens'!$C$16))/(1+'Invoer gegevens'!$C$39)^('Invoer gegevens'!$C$17-'Invoer gegevens'!$C$16)+AX58/(1+$BH$36)^(E58-('Invoer gegevens'!$C$17-1))/(1+'Invoer gegevens'!$C$39)^('Invoer gegevens'!$C$17-'Invoer gegevens'!$C$16)+AY58/(1+'Invoer gegevens'!$C$39)^('Invoer gegevens'!$C$17-'Invoer gegevens'!$C$16)+(-AZ58/(1+'Invoer gegevens'!$C$39)^D58)+BF58+BG58</f>
        <v>0</v>
      </c>
      <c r="BI58" s="59"/>
    </row>
    <row r="59" spans="1:61" ht="15" customHeight="1" x14ac:dyDescent="0.25">
      <c r="A59" s="59"/>
      <c r="B59" s="70">
        <f t="shared" si="15"/>
        <v>23</v>
      </c>
      <c r="C59" s="67">
        <f ca="1">IF(AND(E59&gt;='Invoer gegevens'!$C$17,E59&lt;'Invoer gegevens'!$C$17+15),1,0)</f>
        <v>0</v>
      </c>
      <c r="D59" s="68">
        <f t="shared" si="16"/>
        <v>22.5</v>
      </c>
      <c r="E59" s="69">
        <f ca="1">IF('Invoer gegevens'!$C$16="","",E58+1)</f>
        <v>2041</v>
      </c>
      <c r="F59" s="84">
        <f ca="1">IF('Invoer gegevens'!$C$17=E59,'Invoer gegevens'!$C$10,IF(C59=1,K58,0))</f>
        <v>0</v>
      </c>
      <c r="G59" s="96">
        <f ca="1">IF(E59='Invoer gegevens'!$C$17+15,K58,IF(C59&gt;=1,F59*VLOOKUP(E59,Reeksen!$A$5:$B$76,2),0))</f>
        <v>0</v>
      </c>
      <c r="H59" s="84">
        <f ca="1">IF(E59='Invoer gegevens'!$C$17+15,K58,(1-('Invoer gegevens'!$F$20/12))*F59*MIN(Reeksen!B27,Reeksen!D27))</f>
        <v>0</v>
      </c>
      <c r="I59" s="84">
        <f>IF(Reeksen!D27&lt;Reeksen!B27,(Reeksen!B27-Reeksen!D27)*F59,0)</f>
        <v>0</v>
      </c>
      <c r="J59" s="84">
        <f ca="1">IF(E59='Invoer gegevens'!$C$17+16,0,('Invoer gegevens'!$F$20/12)*F58*MIN(Reeksen!B26,Reeksen!D26))</f>
        <v>0</v>
      </c>
      <c r="K59" s="97">
        <f ca="1">IF(E59&gt;='Invoer gegevens'!$C$17+15,0,F59-G59)</f>
        <v>0</v>
      </c>
      <c r="L59" s="84">
        <f ca="1">IF('Invoer gegevens'!$C$17=E59,0,IF(C59=1,Q58,0))</f>
        <v>0</v>
      </c>
      <c r="M59" s="96">
        <f ca="1">IF(E59='Invoer gegevens'!$C$17+15,Q58,IF(C59&gt;=1,L59*VLOOKUP(E59,Reeksen!$A$5:$B$76,2),0))</f>
        <v>0</v>
      </c>
      <c r="N59" s="84">
        <f ca="1">IF(C59='Invoer gegevens'!$C$17+15,Q58,(1-('Invoer gegevens'!$F$20/12))*L59*MIN(Reeksen!B27,Reeksen!D27))</f>
        <v>0</v>
      </c>
      <c r="O59" s="84">
        <f>IF(Reeksen!D27&lt;Reeksen!B27,(Reeksen!B27-Reeksen!D27)*L59,0)</f>
        <v>0</v>
      </c>
      <c r="P59" s="84">
        <f ca="1">IF(E59='Invoer gegevens'!$C$17+16,0,('Invoer gegevens'!$F$20/12)*L58*MIN(Reeksen!B26,Reeksen!D26))</f>
        <v>0</v>
      </c>
      <c r="Q59" s="84">
        <f ca="1">IF(E59&gt;='Invoer gegevens'!$C$17+15,0,L59-M59+I59+O59)</f>
        <v>0</v>
      </c>
      <c r="R59" s="82">
        <f ca="1">IF('Invoer gegevens'!$C$17=E59,'Invoer gegevens'!$C$11,IF(C59=1,W58,0))</f>
        <v>0</v>
      </c>
      <c r="S59" s="86">
        <f ca="1">IF(E59='Invoer gegevens'!$C$17+15,W58,IF(C59&gt;=1,R59*VLOOKUP(E59,Reeksen!$A$5:$B$76,2),0))</f>
        <v>0</v>
      </c>
      <c r="T59" s="84">
        <f ca="1">IF(E59='Invoer gegevens'!$C$17+15,W58,(1-('Invoer gegevens'!$F$20/12))*R59*MIN(Reeksen!B27,Reeksen!D27))</f>
        <v>0</v>
      </c>
      <c r="U59" s="84">
        <f>IF(Reeksen!D27&gt;=Reeksen!B27,0,IF(Reeksen!AK27&lt;=Reeksen!AE27,(Reeksen!B27-Reeksen!D27)*R59,0))</f>
        <v>0</v>
      </c>
      <c r="V59" s="86">
        <f>IF(Reeksen!D27&gt;=Reeksen!B27,0,IF(Reeksen!AK27&gt;Reeksen!AE27,(Reeksen!B27-Reeksen!D27)*R59,0))</f>
        <v>0</v>
      </c>
      <c r="W59" s="97">
        <f ca="1">IF(E59&gt;='Invoer gegevens'!$C$17+15,0,R59-S59)</f>
        <v>0</v>
      </c>
      <c r="X59" s="98">
        <f ca="1">IF('Invoer gegevens'!$C$17=E59,'Invoer gegevens'!$C$10-'Invoer gegevens'!$C$11,IF(C59=1,AC58,0))</f>
        <v>0</v>
      </c>
      <c r="Y59" s="98">
        <f ca="1">IF(E59='Invoer gegevens'!$C$17+15,AC58,IF(C59&gt;=1,X59*VLOOKUP(E59,Reeksen!$A$5:$B$76,2),0))</f>
        <v>0</v>
      </c>
      <c r="Z59" s="98">
        <f ca="1">IF(E59='Invoer gegevens'!$C$17+15,AC58,(1-('Invoer gegevens'!$F$20/12))*X59*MIN(Reeksen!B27,Reeksen!D27))</f>
        <v>0</v>
      </c>
      <c r="AA59" s="98">
        <f>IF(Reeksen!D27&gt;=Reeksen!B27,0,IF(Reeksen!AK27&lt;=Reeksen!AE27,(Reeksen!B27-Reeksen!D27)*X59,0))</f>
        <v>0</v>
      </c>
      <c r="AB59" s="98">
        <f>IF(Reeksen!D27&gt;=Reeksen!B27,0,IF(Reeksen!AK27&gt;Reeksen!AE27,(Reeksen!B27-Reeksen!D27)*X59,0))</f>
        <v>0</v>
      </c>
      <c r="AC59" s="99">
        <f ca="1">IF(E59&gt;='Invoer gegevens'!$C$17+15,0,X59-Y59)</f>
        <v>0</v>
      </c>
      <c r="AD59" s="98">
        <f ca="1">IF('Invoer gegevens'!$C$17=E27,R59,IF(C27=0,0,AE58))</f>
        <v>0</v>
      </c>
      <c r="AE59" s="98">
        <f t="shared" ca="1" si="10"/>
        <v>0</v>
      </c>
      <c r="AF59" s="98">
        <f ca="1">IF('Invoer gegevens'!$C$17=E27,X59,IF(C27=0,0,AG58))</f>
        <v>0</v>
      </c>
      <c r="AG59" s="98">
        <f t="shared" ca="1" si="11"/>
        <v>0</v>
      </c>
      <c r="AH59" s="68"/>
      <c r="AI59" s="71">
        <f ca="1">IF(C59=1,Reeksen!AJ27*((F59-G59+F59)/2)*12+Reeksen!AK27*((L59-M59+L59)/2)*12,0)</f>
        <v>0</v>
      </c>
      <c r="AJ59" s="71">
        <f ca="1">-AI59*'Invoer gegevens'!$F$28</f>
        <v>0</v>
      </c>
      <c r="AK59" s="71">
        <f t="shared" ca="1" si="9"/>
        <v>0</v>
      </c>
      <c r="AL59" s="71">
        <f ca="1">IF(C59=1,Reeksen!AL27*((F59-G59+F59)/2)*12+Reeksen!AM27*((L59-M59+L59)/2)*12,0)</f>
        <v>0</v>
      </c>
      <c r="AM59" s="71">
        <f ca="1">-AL59*'Invoer gegevens'!$F$31</f>
        <v>0</v>
      </c>
      <c r="AN59" s="71">
        <f t="shared" ca="1" si="12"/>
        <v>0</v>
      </c>
      <c r="AO59" s="71">
        <f ca="1">IF(E59&gt;='Invoer gegevens'!$C$17+15,0,IF(C59=1,(H59+J59+N59+P59)*Reeksen!AN27,0))</f>
        <v>0</v>
      </c>
      <c r="AP59" s="71">
        <f ca="1">-IF(C59=1,(H59+J59+N59+P59)*'Hulp - basis'!$G$550*Reeksen!H27,0)</f>
        <v>0</v>
      </c>
      <c r="AQ59" s="71">
        <f ca="1">-IF(C59=1,(F59+K59+L59+Q59)/2*'Invoer gegevens'!$I$33*Reeksen!J27,0)</f>
        <v>0</v>
      </c>
      <c r="AR59" s="71">
        <f ca="1">-IF(C59=1,(I59*'Invoer gegevens'!$I$34)*Reeksen!J27,0)</f>
        <v>0</v>
      </c>
      <c r="AS59" s="71">
        <f ca="1">-IF(C59=1,(F59+K59+L59+Q59)/2*'Invoer gegevens'!$I$35*Reeksen!L27,0)</f>
        <v>0</v>
      </c>
      <c r="AT59" s="71">
        <f ca="1">-IF(C59=1,IF(E59='Invoer gegevens'!$C$17,'Invoer gegevens'!$C$11,AD59)*Reeksen!S27*'Invoer gegevens'!$C$18*Reeksen!P27,0)</f>
        <v>0</v>
      </c>
      <c r="AU59" s="71">
        <f ca="1">-IF(C59=1,(F59+K59+L59+Q59)/2*'Invoer gegevens'!$I$36*Reeksen!H27,0)</f>
        <v>0</v>
      </c>
      <c r="AV59" s="71">
        <f>IF('Invoer gegevens'!$C$3="Basis",0,#REF!)</f>
        <v>0</v>
      </c>
      <c r="AW59" s="71">
        <f t="shared" ca="1" si="13"/>
        <v>0</v>
      </c>
      <c r="AX59" s="72">
        <f ca="1">IF(E59='Invoer gegevens'!$C$17+14,'RW - BW - UP'!$AY$236,0)</f>
        <v>0</v>
      </c>
      <c r="AY59" s="72">
        <f ca="1">IFERROR(IF(E59='Invoer gegevens'!$C$17,-'Invoer gegevens'!$C$10*('Invoer gegevens'!$C$30+'Invoer gegevens'!$C$31)*Reeksen!H27,0),0)</f>
        <v>0</v>
      </c>
      <c r="AZ59" s="73">
        <f ca="1">IF('Invoer gegevens'!$C$34=E59,'Invoer gegevens'!$C$27*'Invoer gegevens'!$C$10*'Invoer gegevens'!$C$36*(IF('Invoer gegevens'!$C$35="ja",1,Reeksen!J27)),IF('Invoer gegevens'!$C$34+1=E59,'Invoer gegevens'!$C$27*'Invoer gegevens'!$C$10*'Invoer gegevens'!$C$37*(IF('Invoer gegevens'!$C$35="ja",1,Reeksen!J27)),0))+IF(AND(E59='Invoer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59" s="73">
        <f ca="1">AW59/(1+'Invoer gegevens'!$F$18)^($D59-('Invoer gegevens'!$C$17-'Invoer gegevens'!$C$16))/(1+'Invoer gegevens'!$C$39)^('Invoer gegevens'!$C$17-'Invoer gegevens'!$C$16)</f>
        <v>0</v>
      </c>
      <c r="BB59" s="73">
        <f ca="1">AX59/(1+'Invoer gegevens'!$F$18)^(E59-('Invoer gegevens'!$C$17-1))/(1+'Invoer gegevens'!$C$39)^('Invoer gegevens'!$C$17-'Invoer gegevens'!$C$16)</f>
        <v>0</v>
      </c>
      <c r="BC59" s="73">
        <f ca="1">AY59/(1+'Invoer gegevens'!$C$39)^('Invoer gegevens'!$C$17-'Invoer gegevens'!$C$16)</f>
        <v>0</v>
      </c>
      <c r="BD59" s="72">
        <f t="shared" ca="1" si="14"/>
        <v>0</v>
      </c>
      <c r="BE59" s="72">
        <f ca="1">IF(AND(E59='Invoer gegevens'!$C$16,'Invoer gegevens'!$C$34&lt;'Invoer gegevens'!$C$16),AZ59,AZ59/(1+'Invoer gegevens'!$C$39)^D59)</f>
        <v>0</v>
      </c>
      <c r="BF59" s="72">
        <f ca="1">IF(E59='Invoer gegevens'!$C$34,-'Invoer gegevens'!$F$40,0)</f>
        <v>0</v>
      </c>
      <c r="BG59" s="72">
        <f ca="1">IF(E59='Invoer gegevens'!$C$17,-'Invoer gegevens'!$C$19*$BD$63,0)</f>
        <v>0</v>
      </c>
      <c r="BH59" s="72">
        <f ca="1">AW59/(1+$BH$36)^($D59-('Invoer gegevens'!$C$17-'Invoer gegevens'!$C$16))/(1+'Invoer gegevens'!$C$39)^('Invoer gegevens'!$C$17-'Invoer gegevens'!$C$16)+AX59/(1+$BH$36)^(E59-('Invoer gegevens'!$C$17-1))/(1+'Invoer gegevens'!$C$39)^('Invoer gegevens'!$C$17-'Invoer gegevens'!$C$16)+AY59/(1+'Invoer gegevens'!$C$39)^('Invoer gegevens'!$C$17-'Invoer gegevens'!$C$16)+(-AZ59/(1+'Invoer gegevens'!$C$39)^D59)+BF59+BG59</f>
        <v>0</v>
      </c>
      <c r="BI59" s="59"/>
    </row>
    <row r="60" spans="1:61" ht="15" customHeight="1" x14ac:dyDescent="0.25">
      <c r="A60" s="59"/>
      <c r="B60" s="70">
        <f t="shared" si="15"/>
        <v>24</v>
      </c>
      <c r="C60" s="67">
        <f ca="1">IF(AND(E60&gt;='Invoer gegevens'!$C$17,E60&lt;'Invoer gegevens'!$C$17+15),1,0)</f>
        <v>0</v>
      </c>
      <c r="D60" s="68">
        <f t="shared" si="16"/>
        <v>23.5</v>
      </c>
      <c r="E60" s="69">
        <f ca="1">IF('Invoer gegevens'!$C$16="","",E59+1)</f>
        <v>2042</v>
      </c>
      <c r="F60" s="84">
        <f ca="1">IF('Invoer gegevens'!$C$17=E60,'Invoer gegevens'!$C$10,IF(C60=1,K59,0))</f>
        <v>0</v>
      </c>
      <c r="G60" s="96">
        <f ca="1">IF(E60='Invoer gegevens'!$C$17+15,K59,IF(C60&gt;=1,F60*VLOOKUP(E60,Reeksen!$A$5:$B$76,2),0))</f>
        <v>0</v>
      </c>
      <c r="H60" s="84">
        <f ca="1">IF(E60='Invoer gegevens'!$C$17+15,K59,(1-('Invoer gegevens'!$F$20/12))*F60*MIN(Reeksen!B28,Reeksen!D28))</f>
        <v>0</v>
      </c>
      <c r="I60" s="84">
        <f>IF(Reeksen!D28&lt;Reeksen!B28,(Reeksen!B28-Reeksen!D28)*F60,0)</f>
        <v>0</v>
      </c>
      <c r="J60" s="84">
        <f ca="1">IF(E60='Invoer gegevens'!$C$17+16,0,('Invoer gegevens'!$F$20/12)*F59*MIN(Reeksen!B27,Reeksen!D27))</f>
        <v>0</v>
      </c>
      <c r="K60" s="97">
        <f ca="1">IF(E60&gt;='Invoer gegevens'!$C$17+15,0,F60-G60)</f>
        <v>0</v>
      </c>
      <c r="L60" s="84">
        <f ca="1">IF('Invoer gegevens'!$C$17=E60,0,IF(C60=1,Q59,0))</f>
        <v>0</v>
      </c>
      <c r="M60" s="96">
        <f ca="1">IF(E60='Invoer gegevens'!$C$17+15,Q59,IF(C60&gt;=1,L60*VLOOKUP(E60,Reeksen!$A$5:$B$76,2),0))</f>
        <v>0</v>
      </c>
      <c r="N60" s="84">
        <f ca="1">IF(C60='Invoer gegevens'!$C$17+15,Q59,(1-('Invoer gegevens'!$F$20/12))*L60*MIN(Reeksen!B28,Reeksen!D28))</f>
        <v>0</v>
      </c>
      <c r="O60" s="84">
        <f>IF(Reeksen!D28&lt;Reeksen!B28,(Reeksen!B28-Reeksen!D28)*L60,0)</f>
        <v>0</v>
      </c>
      <c r="P60" s="84">
        <f ca="1">IF(E60='Invoer gegevens'!$C$17+16,0,('Invoer gegevens'!$F$20/12)*L59*MIN(Reeksen!B27,Reeksen!D27))</f>
        <v>0</v>
      </c>
      <c r="Q60" s="84">
        <f ca="1">IF(E60&gt;='Invoer gegevens'!$C$17+15,0,L60-M60+I60+O60)</f>
        <v>0</v>
      </c>
      <c r="R60" s="82">
        <f ca="1">IF('Invoer gegevens'!$C$17=E60,'Invoer gegevens'!$C$11,IF(C60=1,W59,0))</f>
        <v>0</v>
      </c>
      <c r="S60" s="86">
        <f ca="1">IF(E60='Invoer gegevens'!$C$17+15,W59,IF(C60&gt;=1,R60*VLOOKUP(E60,Reeksen!$A$5:$B$76,2),0))</f>
        <v>0</v>
      </c>
      <c r="T60" s="84">
        <f ca="1">IF(E60='Invoer gegevens'!$C$17+15,W59,(1-('Invoer gegevens'!$F$20/12))*R60*MIN(Reeksen!B28,Reeksen!D28))</f>
        <v>0</v>
      </c>
      <c r="U60" s="84">
        <f>IF(Reeksen!D28&gt;=Reeksen!B28,0,IF(Reeksen!AK28&lt;=Reeksen!AE28,(Reeksen!B28-Reeksen!D28)*R60,0))</f>
        <v>0</v>
      </c>
      <c r="V60" s="86">
        <f>IF(Reeksen!D28&gt;=Reeksen!B28,0,IF(Reeksen!AK28&gt;Reeksen!AE28,(Reeksen!B28-Reeksen!D28)*R60,0))</f>
        <v>0</v>
      </c>
      <c r="W60" s="97">
        <f ca="1">IF(E60&gt;='Invoer gegevens'!$C$17+15,0,R60-S60)</f>
        <v>0</v>
      </c>
      <c r="X60" s="98">
        <f ca="1">IF('Invoer gegevens'!$C$17=E60,'Invoer gegevens'!$C$10-'Invoer gegevens'!$C$11,IF(C60=1,AC59,0))</f>
        <v>0</v>
      </c>
      <c r="Y60" s="98">
        <f ca="1">IF(E60='Invoer gegevens'!$C$17+15,AC59,IF(C60&gt;=1,X60*VLOOKUP(E60,Reeksen!$A$5:$B$76,2),0))</f>
        <v>0</v>
      </c>
      <c r="Z60" s="98">
        <f ca="1">IF(E60='Invoer gegevens'!$C$17+15,AC59,(1-('Invoer gegevens'!$F$20/12))*X60*MIN(Reeksen!B28,Reeksen!D28))</f>
        <v>0</v>
      </c>
      <c r="AA60" s="98">
        <f>IF(Reeksen!D28&gt;=Reeksen!B28,0,IF(Reeksen!AK28&lt;=Reeksen!AE28,(Reeksen!B28-Reeksen!D28)*X60,0))</f>
        <v>0</v>
      </c>
      <c r="AB60" s="98">
        <f>IF(Reeksen!D28&gt;=Reeksen!B28,0,IF(Reeksen!AK28&gt;Reeksen!AE28,(Reeksen!B28-Reeksen!D28)*X60,0))</f>
        <v>0</v>
      </c>
      <c r="AC60" s="99">
        <f ca="1">IF(E60&gt;='Invoer gegevens'!$C$17+15,0,X60-Y60)</f>
        <v>0</v>
      </c>
      <c r="AD60" s="98">
        <f ca="1">IF('Invoer gegevens'!$C$17=E28,R60,IF(C28=0,0,AE59))</f>
        <v>0</v>
      </c>
      <c r="AE60" s="98">
        <f t="shared" ca="1" si="10"/>
        <v>0</v>
      </c>
      <c r="AF60" s="98">
        <f ca="1">IF('Invoer gegevens'!$C$17=E28,X60,IF(C28=0,0,AG59))</f>
        <v>0</v>
      </c>
      <c r="AG60" s="98">
        <f t="shared" ca="1" si="11"/>
        <v>0</v>
      </c>
      <c r="AH60" s="68"/>
      <c r="AI60" s="71">
        <f ca="1">IF(C60=1,Reeksen!AJ28*((F60-G60+F60)/2)*12+Reeksen!AK28*((L60-M60+L60)/2)*12,0)</f>
        <v>0</v>
      </c>
      <c r="AJ60" s="71">
        <f ca="1">-AI60*'Invoer gegevens'!$F$28</f>
        <v>0</v>
      </c>
      <c r="AK60" s="71">
        <f t="shared" ca="1" si="9"/>
        <v>0</v>
      </c>
      <c r="AL60" s="71">
        <f ca="1">IF(C60=1,Reeksen!AL28*((F60-G60+F60)/2)*12+Reeksen!AM28*((L60-M60+L60)/2)*12,0)</f>
        <v>0</v>
      </c>
      <c r="AM60" s="71">
        <f ca="1">-AL60*'Invoer gegevens'!$F$31</f>
        <v>0</v>
      </c>
      <c r="AN60" s="71">
        <f t="shared" ca="1" si="12"/>
        <v>0</v>
      </c>
      <c r="AO60" s="71">
        <f ca="1">IF(E60&gt;='Invoer gegevens'!$C$17+15,0,IF(C60=1,(H60+J60+N60+P60)*Reeksen!AN28,0))</f>
        <v>0</v>
      </c>
      <c r="AP60" s="71">
        <f ca="1">-IF(C60=1,(H60+J60+N60+P60)*'Hulp - basis'!$G$550*Reeksen!H28,0)</f>
        <v>0</v>
      </c>
      <c r="AQ60" s="71">
        <f ca="1">-IF(C60=1,(F60+K60+L60+Q60)/2*'Invoer gegevens'!$I$33*Reeksen!J28,0)</f>
        <v>0</v>
      </c>
      <c r="AR60" s="71">
        <f ca="1">-IF(C60=1,(I60*'Invoer gegevens'!$I$34)*Reeksen!J28,0)</f>
        <v>0</v>
      </c>
      <c r="AS60" s="71">
        <f ca="1">-IF(C60=1,(F60+K60+L60+Q60)/2*'Invoer gegevens'!$I$35*Reeksen!L28,0)</f>
        <v>0</v>
      </c>
      <c r="AT60" s="71">
        <f ca="1">-IF(C60=1,IF(E60='Invoer gegevens'!$C$17,'Invoer gegevens'!$C$11,AD60)*Reeksen!S28*'Invoer gegevens'!$C$18*Reeksen!P28,0)</f>
        <v>0</v>
      </c>
      <c r="AU60" s="71">
        <f ca="1">-IF(C60=1,(F60+K60+L60+Q60)/2*'Invoer gegevens'!$I$36*Reeksen!H28,0)</f>
        <v>0</v>
      </c>
      <c r="AV60" s="71">
        <f>IF('Invoer gegevens'!$C$3="Basis",0,#REF!)</f>
        <v>0</v>
      </c>
      <c r="AW60" s="71">
        <f t="shared" ca="1" si="13"/>
        <v>0</v>
      </c>
      <c r="AX60" s="72">
        <f ca="1">IF(E60='Invoer gegevens'!$C$17+14,'RW - BW - UP'!$AY$236,0)</f>
        <v>0</v>
      </c>
      <c r="AY60" s="72">
        <f ca="1">IFERROR(IF(E60='Invoer gegevens'!$C$17,-'Invoer gegevens'!$C$10*('Invoer gegevens'!$C$30+'Invoer gegevens'!$C$31)*Reeksen!H28,0),0)</f>
        <v>0</v>
      </c>
      <c r="AZ60" s="73">
        <f ca="1">IF('Invoer gegevens'!$C$34=E60,'Invoer gegevens'!$C$27*'Invoer gegevens'!$C$10*'Invoer gegevens'!$C$36*(IF('Invoer gegevens'!$C$35="ja",1,Reeksen!J28)),IF('Invoer gegevens'!$C$34+1=E60,'Invoer gegevens'!$C$27*'Invoer gegevens'!$C$10*'Invoer gegevens'!$C$37*(IF('Invoer gegevens'!$C$35="ja",1,Reeksen!J28)),0))+IF(AND(E60='Invoer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60" s="73">
        <f ca="1">AW60/(1+'Invoer gegevens'!$F$18)^($D60-('Invoer gegevens'!$C$17-'Invoer gegevens'!$C$16))/(1+'Invoer gegevens'!$C$39)^('Invoer gegevens'!$C$17-'Invoer gegevens'!$C$16)</f>
        <v>0</v>
      </c>
      <c r="BB60" s="73">
        <f ca="1">AX60/(1+'Invoer gegevens'!$F$18)^(E60-('Invoer gegevens'!$C$17-1))/(1+'Invoer gegevens'!$C$39)^('Invoer gegevens'!$C$17-'Invoer gegevens'!$C$16)</f>
        <v>0</v>
      </c>
      <c r="BC60" s="73">
        <f ca="1">AY60/(1+'Invoer gegevens'!$C$39)^('Invoer gegevens'!$C$17-'Invoer gegevens'!$C$16)</f>
        <v>0</v>
      </c>
      <c r="BD60" s="72">
        <f t="shared" ca="1" si="14"/>
        <v>0</v>
      </c>
      <c r="BE60" s="72">
        <f ca="1">IF(AND(E60='Invoer gegevens'!$C$16,'Invoer gegevens'!$C$34&lt;'Invoer gegevens'!$C$16),AZ60,AZ60/(1+'Invoer gegevens'!$C$39)^D60)</f>
        <v>0</v>
      </c>
      <c r="BF60" s="72">
        <f ca="1">IF(E60='Invoer gegevens'!$C$34,-'Invoer gegevens'!$F$40,0)</f>
        <v>0</v>
      </c>
      <c r="BG60" s="72">
        <f ca="1">IF(E60='Invoer gegevens'!$C$17,-'Invoer gegevens'!$C$19*$BD$63,0)</f>
        <v>0</v>
      </c>
      <c r="BH60" s="72">
        <f ca="1">AW60/(1+$BH$36)^($D60-('Invoer gegevens'!$C$17-'Invoer gegevens'!$C$16))/(1+'Invoer gegevens'!$C$39)^('Invoer gegevens'!$C$17-'Invoer gegevens'!$C$16)+AX60/(1+$BH$36)^(E60-('Invoer gegevens'!$C$17-1))/(1+'Invoer gegevens'!$C$39)^('Invoer gegevens'!$C$17-'Invoer gegevens'!$C$16)+AY60/(1+'Invoer gegevens'!$C$39)^('Invoer gegevens'!$C$17-'Invoer gegevens'!$C$16)+(-AZ60/(1+'Invoer gegevens'!$C$39)^D60)+BF60+BG60</f>
        <v>0</v>
      </c>
      <c r="BI60" s="59"/>
    </row>
    <row r="61" spans="1:61" ht="15" customHeight="1" x14ac:dyDescent="0.25">
      <c r="A61" s="59"/>
      <c r="B61" s="70">
        <f t="shared" si="15"/>
        <v>25</v>
      </c>
      <c r="C61" s="67">
        <f ca="1">IF(AND(E61&gt;='Invoer gegevens'!$C$17,E61&lt;'Invoer gegevens'!$C$17+15),1,0)</f>
        <v>0</v>
      </c>
      <c r="D61" s="68">
        <f t="shared" si="16"/>
        <v>24.5</v>
      </c>
      <c r="E61" s="69">
        <f ca="1">IF('Invoer gegevens'!$C$16="","",E60+1)</f>
        <v>2043</v>
      </c>
      <c r="F61" s="84">
        <f ca="1">IF('Invoer gegevens'!$C$17=E61,'Invoer gegevens'!$C$10,IF(C61=1,K60,0))</f>
        <v>0</v>
      </c>
      <c r="G61" s="96">
        <f ca="1">IF(E61='Invoer gegevens'!$C$17+15,K60,IF(C61&gt;=1,F61*VLOOKUP(E61,Reeksen!$A$5:$B$76,2),0))</f>
        <v>0</v>
      </c>
      <c r="H61" s="84">
        <f ca="1">IF(E61='Invoer gegevens'!$C$17+15,K60,(1-('Invoer gegevens'!$F$20/12))*F61*MIN(Reeksen!B29,Reeksen!D29))</f>
        <v>0</v>
      </c>
      <c r="I61" s="84">
        <f>IF(Reeksen!D29&lt;Reeksen!B29,(Reeksen!B29-Reeksen!D29)*F61,0)</f>
        <v>0</v>
      </c>
      <c r="J61" s="84">
        <f ca="1">IF(E61='Invoer gegevens'!$C$17+16,0,('Invoer gegevens'!$F$20/12)*F60*MIN(Reeksen!B28,Reeksen!D28))</f>
        <v>0</v>
      </c>
      <c r="K61" s="97">
        <f ca="1">IF(E61&gt;='Invoer gegevens'!$C$17+15,0,F61-G61)</f>
        <v>0</v>
      </c>
      <c r="L61" s="84">
        <f ca="1">IF('Invoer gegevens'!$C$17=E61,0,IF(C61=1,Q60,0))</f>
        <v>0</v>
      </c>
      <c r="M61" s="96">
        <f ca="1">IF(E61='Invoer gegevens'!$C$17+15,Q60,IF(C61&gt;=1,L61*VLOOKUP(E61,Reeksen!$A$5:$B$76,2),0))</f>
        <v>0</v>
      </c>
      <c r="N61" s="84">
        <f ca="1">IF(C61='Invoer gegevens'!$C$17+15,Q60,(1-('Invoer gegevens'!$F$20/12))*L61*MIN(Reeksen!B29,Reeksen!D29))</f>
        <v>0</v>
      </c>
      <c r="O61" s="84">
        <f>IF(Reeksen!D29&lt;Reeksen!B29,(Reeksen!B29-Reeksen!D29)*L61,0)</f>
        <v>0</v>
      </c>
      <c r="P61" s="84">
        <f ca="1">IF(E61='Invoer gegevens'!$C$17+16,0,('Invoer gegevens'!$F$20/12)*L60*MIN(Reeksen!B28,Reeksen!D28))</f>
        <v>0</v>
      </c>
      <c r="Q61" s="84">
        <f ca="1">IF(E61&gt;='Invoer gegevens'!$C$17+15,0,L61-M61+I61+O61)</f>
        <v>0</v>
      </c>
      <c r="R61" s="82">
        <f ca="1">IF('Invoer gegevens'!$C$17=E61,'Invoer gegevens'!$C$11,IF(C61=1,W60,0))</f>
        <v>0</v>
      </c>
      <c r="S61" s="86">
        <f ca="1">IF(E61='Invoer gegevens'!$C$17+15,W60,IF(C61&gt;=1,R61*VLOOKUP(E61,Reeksen!$A$5:$B$76,2),0))</f>
        <v>0</v>
      </c>
      <c r="T61" s="84">
        <f ca="1">IF(E61='Invoer gegevens'!$C$17+15,W60,(1-('Invoer gegevens'!$F$20/12))*R61*MIN(Reeksen!B29,Reeksen!D29))</f>
        <v>0</v>
      </c>
      <c r="U61" s="84">
        <f>IF(Reeksen!D29&gt;=Reeksen!B29,0,IF(Reeksen!AK29&lt;=Reeksen!AE29,(Reeksen!B29-Reeksen!D29)*R61,0))</f>
        <v>0</v>
      </c>
      <c r="V61" s="86">
        <f>IF(Reeksen!D29&gt;=Reeksen!B29,0,IF(Reeksen!AK29&gt;Reeksen!AE29,(Reeksen!B29-Reeksen!D29)*R61,0))</f>
        <v>0</v>
      </c>
      <c r="W61" s="97">
        <f ca="1">IF(E61&gt;='Invoer gegevens'!$C$17+15,0,R61-S61)</f>
        <v>0</v>
      </c>
      <c r="X61" s="98">
        <f ca="1">IF('Invoer gegevens'!$C$17=E61,'Invoer gegevens'!$C$10-'Invoer gegevens'!$C$11,IF(C61=1,AC60,0))</f>
        <v>0</v>
      </c>
      <c r="Y61" s="98">
        <f ca="1">IF(E61='Invoer gegevens'!$C$17+15,AC60,IF(C61&gt;=1,X61*VLOOKUP(E61,Reeksen!$A$5:$B$76,2),0))</f>
        <v>0</v>
      </c>
      <c r="Z61" s="98">
        <f ca="1">IF(E61='Invoer gegevens'!$C$17+15,AC60,(1-('Invoer gegevens'!$F$20/12))*X61*MIN(Reeksen!B29,Reeksen!D29))</f>
        <v>0</v>
      </c>
      <c r="AA61" s="98">
        <f>IF(Reeksen!D29&gt;=Reeksen!B29,0,IF(Reeksen!AK29&lt;=Reeksen!AE29,(Reeksen!B29-Reeksen!D29)*X61,0))</f>
        <v>0</v>
      </c>
      <c r="AB61" s="98">
        <f>IF(Reeksen!D29&gt;=Reeksen!B29,0,IF(Reeksen!AK29&gt;Reeksen!AE29,(Reeksen!B29-Reeksen!D29)*X61,0))</f>
        <v>0</v>
      </c>
      <c r="AC61" s="99">
        <f ca="1">IF(E61&gt;='Invoer gegevens'!$C$17+15,0,X61-Y61)</f>
        <v>0</v>
      </c>
      <c r="AD61" s="98">
        <f ca="1">IF('Invoer gegevens'!$C$17=E29,R61,IF(C29=0,0,AE60))</f>
        <v>0</v>
      </c>
      <c r="AE61" s="98">
        <f t="shared" ca="1" si="10"/>
        <v>0</v>
      </c>
      <c r="AF61" s="98">
        <f ca="1">IF('Invoer gegevens'!$C$17=E29,X61,IF(C29=0,0,AG60))</f>
        <v>0</v>
      </c>
      <c r="AG61" s="98">
        <f t="shared" ca="1" si="11"/>
        <v>0</v>
      </c>
      <c r="AH61" s="68"/>
      <c r="AI61" s="71">
        <f ca="1">IF(C61=1,Reeksen!AJ29*((F61-G61+F61)/2)*12+Reeksen!AK29*((L61-M61+L61)/2)*12,0)</f>
        <v>0</v>
      </c>
      <c r="AJ61" s="71">
        <f ca="1">-AI61*'Invoer gegevens'!$F$28</f>
        <v>0</v>
      </c>
      <c r="AK61" s="71">
        <f t="shared" ca="1" si="9"/>
        <v>0</v>
      </c>
      <c r="AL61" s="71">
        <f ca="1">IF(C61=1,Reeksen!AL29*((F61-G61+F61)/2)*12+Reeksen!AM29*((L61-M61+L61)/2)*12,0)</f>
        <v>0</v>
      </c>
      <c r="AM61" s="71">
        <f ca="1">-AL61*'Invoer gegevens'!$F$31</f>
        <v>0</v>
      </c>
      <c r="AN61" s="71">
        <f t="shared" ca="1" si="12"/>
        <v>0</v>
      </c>
      <c r="AO61" s="71">
        <f ca="1">IF(E61&gt;='Invoer gegevens'!$C$17+15,0,IF(C61=1,(H61+J61+N61+P61)*Reeksen!AN29,0))</f>
        <v>0</v>
      </c>
      <c r="AP61" s="71">
        <f ca="1">-IF(C61=1,(H61+J61+N61+P61)*'Hulp - basis'!$G$550*Reeksen!H29,0)</f>
        <v>0</v>
      </c>
      <c r="AQ61" s="71">
        <f ca="1">-IF(C61=1,(F61+K61+L61+Q61)/2*'Invoer gegevens'!$I$33*Reeksen!J29,0)</f>
        <v>0</v>
      </c>
      <c r="AR61" s="71">
        <f ca="1">-IF(C61=1,(I61*'Invoer gegevens'!$I$34)*Reeksen!J29,0)</f>
        <v>0</v>
      </c>
      <c r="AS61" s="71">
        <f ca="1">-IF(C61=1,(F61+K61+L61+Q61)/2*'Invoer gegevens'!$I$35*Reeksen!L29,0)</f>
        <v>0</v>
      </c>
      <c r="AT61" s="71">
        <f ca="1">-IF(C61=1,IF(E61='Invoer gegevens'!$C$17,'Invoer gegevens'!$C$11,AD61)*Reeksen!S29*'Invoer gegevens'!$C$18*Reeksen!P29,0)</f>
        <v>0</v>
      </c>
      <c r="AU61" s="71">
        <f ca="1">-IF(C61=1,(F61+K61+L61+Q61)/2*'Invoer gegevens'!$I$36*Reeksen!H29,0)</f>
        <v>0</v>
      </c>
      <c r="AV61" s="71">
        <f>IF('Invoer gegevens'!$C$3="Basis",0,#REF!)</f>
        <v>0</v>
      </c>
      <c r="AW61" s="71">
        <f t="shared" ca="1" si="13"/>
        <v>0</v>
      </c>
      <c r="AX61" s="72">
        <f ca="1">IF(E61='Invoer gegevens'!$C$17+14,'RW - BW - UP'!$AY$236,0)</f>
        <v>0</v>
      </c>
      <c r="AY61" s="72">
        <f ca="1">IFERROR(IF(E61='Invoer gegevens'!$C$17,-'Invoer gegevens'!$C$10*('Invoer gegevens'!$C$30+'Invoer gegevens'!$C$31)*Reeksen!H29,0),0)</f>
        <v>0</v>
      </c>
      <c r="AZ61" s="73">
        <f ca="1">IF('Invoer gegevens'!$C$34=E61,'Invoer gegevens'!$C$27*'Invoer gegevens'!$C$10*'Invoer gegevens'!$C$36*(IF('Invoer gegevens'!$C$35="ja",1,Reeksen!J29)),IF('Invoer gegevens'!$C$34+1=E61,'Invoer gegevens'!$C$27*'Invoer gegevens'!$C$10*'Invoer gegevens'!$C$37*(IF('Invoer gegevens'!$C$35="ja",1,Reeksen!J29)),0))+IF(AND(E61='Invoer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BA61" s="73">
        <f ca="1">AW61/(1+'Invoer gegevens'!$F$18)^($D61-('Invoer gegevens'!$C$17-'Invoer gegevens'!$C$16))/(1+'Invoer gegevens'!$C$39)^('Invoer gegevens'!$C$17-'Invoer gegevens'!$C$16)</f>
        <v>0</v>
      </c>
      <c r="BB61" s="73">
        <f ca="1">AX61/(1+'Invoer gegevens'!$F$18)^(E61-('Invoer gegevens'!$C$17-1))/(1+'Invoer gegevens'!$C$39)^('Invoer gegevens'!$C$17-'Invoer gegevens'!$C$16)</f>
        <v>0</v>
      </c>
      <c r="BC61" s="73">
        <f ca="1">AY61/(1+'Invoer gegevens'!$C$39)^('Invoer gegevens'!$C$17-'Invoer gegevens'!$C$16)</f>
        <v>0</v>
      </c>
      <c r="BD61" s="72">
        <f t="shared" ca="1" si="14"/>
        <v>0</v>
      </c>
      <c r="BE61" s="72">
        <f ca="1">IF(AND(E61='Invoer gegevens'!$C$16,'Invoer gegevens'!$C$34&lt;'Invoer gegevens'!$C$16),AZ61,AZ61/(1+'Invoer gegevens'!$C$39)^D61)</f>
        <v>0</v>
      </c>
      <c r="BF61" s="72">
        <f ca="1">IF(E61='Invoer gegevens'!$C$34,-'Invoer gegevens'!$F$40,0)</f>
        <v>0</v>
      </c>
      <c r="BG61" s="72">
        <f ca="1">IF(E61='Invoer gegevens'!$C$17,-'Invoer gegevens'!$C$19*$BD$63,0)</f>
        <v>0</v>
      </c>
      <c r="BH61" s="72">
        <f ca="1">AW61/(1+$BH$36)^($D61-('Invoer gegevens'!$C$17-'Invoer gegevens'!$C$16))/(1+'Invoer gegevens'!$C$39)^('Invoer gegevens'!$C$17-'Invoer gegevens'!$C$16)+AX61/(1+$BH$36)^(E61-('Invoer gegevens'!$C$17-1))/(1+'Invoer gegevens'!$C$39)^('Invoer gegevens'!$C$17-'Invoer gegevens'!$C$16)+AY61/(1+'Invoer gegevens'!$C$39)^('Invoer gegevens'!$C$17-'Invoer gegevens'!$C$16)+(-AZ61/(1+'Invoer gegevens'!$C$39)^D61)+BF61+BG61</f>
        <v>0</v>
      </c>
      <c r="BI61" s="59"/>
    </row>
    <row r="62" spans="1:61" x14ac:dyDescent="0.25">
      <c r="A62" s="59"/>
      <c r="B62" s="70"/>
      <c r="C62" s="70"/>
      <c r="D62" s="70"/>
      <c r="E62" s="70"/>
      <c r="F62" s="70"/>
      <c r="G62" s="68"/>
      <c r="H62" s="70"/>
      <c r="I62" s="70"/>
      <c r="J62" s="68"/>
      <c r="K62" s="68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68"/>
      <c r="AC62" s="70"/>
      <c r="AD62" s="70"/>
      <c r="AE62" s="70"/>
      <c r="AF62" s="70"/>
      <c r="AG62" s="70"/>
    </row>
    <row r="63" spans="1:61" x14ac:dyDescent="0.25">
      <c r="A63" s="59"/>
      <c r="B63" s="70"/>
      <c r="C63" s="70"/>
      <c r="D63" s="70"/>
      <c r="E63" s="70"/>
      <c r="F63" s="70"/>
      <c r="G63" s="70"/>
      <c r="H63" s="75"/>
      <c r="I63" s="75"/>
      <c r="J63" s="75"/>
      <c r="K63" s="75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8">
        <f t="shared" ref="AI63:BH63" ca="1" si="17">SUM(AI37:AI61)</f>
        <v>0</v>
      </c>
      <c r="AJ63" s="78">
        <f t="shared" ca="1" si="17"/>
        <v>0</v>
      </c>
      <c r="AK63" s="78">
        <f t="shared" ca="1" si="17"/>
        <v>0</v>
      </c>
      <c r="AL63" s="78">
        <f t="shared" ca="1" si="17"/>
        <v>0</v>
      </c>
      <c r="AM63" s="78">
        <f t="shared" ca="1" si="17"/>
        <v>0</v>
      </c>
      <c r="AN63" s="78">
        <f t="shared" ca="1" si="17"/>
        <v>0</v>
      </c>
      <c r="AO63" s="78">
        <f t="shared" ca="1" si="17"/>
        <v>0</v>
      </c>
      <c r="AP63" s="78">
        <f t="shared" ca="1" si="17"/>
        <v>0</v>
      </c>
      <c r="AQ63" s="78">
        <f t="shared" ca="1" si="17"/>
        <v>0</v>
      </c>
      <c r="AR63" s="78">
        <f t="shared" ca="1" si="17"/>
        <v>0</v>
      </c>
      <c r="AS63" s="78">
        <f t="shared" ca="1" si="17"/>
        <v>0</v>
      </c>
      <c r="AT63" s="78">
        <f t="shared" ca="1" si="17"/>
        <v>0</v>
      </c>
      <c r="AU63" s="78">
        <f t="shared" ca="1" si="17"/>
        <v>0</v>
      </c>
      <c r="AV63" s="78">
        <f t="shared" si="17"/>
        <v>0</v>
      </c>
      <c r="AW63" s="78">
        <f t="shared" ca="1" si="17"/>
        <v>0</v>
      </c>
      <c r="AX63" s="78">
        <f t="shared" ca="1" si="17"/>
        <v>0</v>
      </c>
      <c r="AY63" s="78">
        <f t="shared" ca="1" si="17"/>
        <v>0</v>
      </c>
      <c r="AZ63" s="78">
        <f t="shared" ca="1" si="17"/>
        <v>0</v>
      </c>
      <c r="BA63" s="78">
        <f t="shared" ca="1" si="17"/>
        <v>0</v>
      </c>
      <c r="BB63" s="78">
        <f t="shared" ca="1" si="17"/>
        <v>0</v>
      </c>
      <c r="BC63" s="78">
        <f t="shared" ca="1" si="17"/>
        <v>0</v>
      </c>
      <c r="BD63" s="78">
        <f t="shared" ca="1" si="17"/>
        <v>0</v>
      </c>
      <c r="BE63" s="78">
        <f t="shared" ca="1" si="17"/>
        <v>0</v>
      </c>
      <c r="BF63" s="78">
        <f t="shared" ca="1" si="17"/>
        <v>0</v>
      </c>
      <c r="BG63" s="78">
        <f t="shared" ca="1" si="17"/>
        <v>0</v>
      </c>
      <c r="BH63" s="78">
        <f t="shared" ca="1" si="17"/>
        <v>0</v>
      </c>
      <c r="BI63" s="59"/>
    </row>
    <row r="64" spans="1:61" x14ac:dyDescent="0.25">
      <c r="A64" s="59"/>
      <c r="BI64" s="59"/>
    </row>
    <row r="65" spans="1:61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</row>
    <row r="73" spans="1:61" hidden="1" outlineLevel="1" x14ac:dyDescent="0.25"/>
    <row r="74" spans="1:61" hidden="1" outlineLevel="1" x14ac:dyDescent="0.25"/>
    <row r="75" spans="1:61" hidden="1" outlineLevel="1" x14ac:dyDescent="0.25"/>
    <row r="76" spans="1:61" hidden="1" outlineLevel="1" x14ac:dyDescent="0.25"/>
    <row r="77" spans="1:61" hidden="1" outlineLevel="1" x14ac:dyDescent="0.25"/>
    <row r="78" spans="1:61" hidden="1" outlineLevel="1" x14ac:dyDescent="0.25"/>
    <row r="79" spans="1:61" collapsed="1" x14ac:dyDescent="0.25"/>
  </sheetData>
  <mergeCells count="35">
    <mergeCell ref="AF35:AF36"/>
    <mergeCell ref="U35:U36"/>
    <mergeCell ref="V35:V36"/>
    <mergeCell ref="W35:W36"/>
    <mergeCell ref="X35:X36"/>
    <mergeCell ref="Y35:Y36"/>
    <mergeCell ref="Z35:Z36"/>
    <mergeCell ref="AA35:AA36"/>
    <mergeCell ref="AB35:AB36"/>
    <mergeCell ref="AC35:AC36"/>
    <mergeCell ref="AD35:AD36"/>
    <mergeCell ref="AE35:AE36"/>
    <mergeCell ref="T35:T36"/>
    <mergeCell ref="X34:AC34"/>
    <mergeCell ref="AD34:AG34"/>
    <mergeCell ref="F35:F36"/>
    <mergeCell ref="G35:G36"/>
    <mergeCell ref="H35:H36"/>
    <mergeCell ref="I35:I36"/>
    <mergeCell ref="J35:J36"/>
    <mergeCell ref="L35:L36"/>
    <mergeCell ref="M35:M36"/>
    <mergeCell ref="N35:N36"/>
    <mergeCell ref="O35:O36"/>
    <mergeCell ref="P35:P36"/>
    <mergeCell ref="Q35:Q36"/>
    <mergeCell ref="R35:R36"/>
    <mergeCell ref="S35:S36"/>
    <mergeCell ref="F2:H2"/>
    <mergeCell ref="I2:L2"/>
    <mergeCell ref="M2:P2"/>
    <mergeCell ref="Q2:T2"/>
    <mergeCell ref="F34:K34"/>
    <mergeCell ref="L34:Q34"/>
    <mergeCell ref="R34:W34"/>
  </mergeCells>
  <pageMargins left="0.7" right="0.7" top="0.75" bottom="0.75" header="0.3" footer="0.3"/>
  <pageSetup paperSize="0" orientation="portrait" horizontalDpi="0" verticalDpi="0" copies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BP79"/>
  <sheetViews>
    <sheetView showGridLines="0" topLeftCell="A35" workbookViewId="0">
      <selection activeCell="AJ39" sqref="AJ39"/>
    </sheetView>
  </sheetViews>
  <sheetFormatPr defaultRowHeight="15" outlineLevelRow="1" outlineLevelCol="1" x14ac:dyDescent="0.25"/>
  <cols>
    <col min="1" max="1" width="1.5703125" style="60" customWidth="1"/>
    <col min="2" max="2" width="4.85546875" style="60" hidden="1" customWidth="1" outlineLevel="1"/>
    <col min="3" max="4" width="6" style="60" hidden="1" customWidth="1" outlineLevel="1"/>
    <col min="5" max="6" width="6.5703125" style="60" hidden="1" customWidth="1" outlineLevel="1"/>
    <col min="7" max="7" width="8.7109375" style="60" hidden="1" customWidth="1" outlineLevel="1"/>
    <col min="8" max="8" width="11.5703125" style="60" hidden="1" customWidth="1" outlineLevel="1"/>
    <col min="9" max="9" width="9.28515625" style="60" hidden="1" customWidth="1" outlineLevel="1"/>
    <col min="10" max="10" width="9.7109375" style="60" hidden="1" customWidth="1" outlineLevel="1"/>
    <col min="11" max="11" width="10.42578125" style="60" hidden="1" customWidth="1" outlineLevel="1"/>
    <col min="12" max="12" width="8.7109375" style="60" hidden="1" customWidth="1" outlineLevel="1"/>
    <col min="13" max="13" width="9.42578125" style="60" hidden="1" customWidth="1" outlineLevel="1"/>
    <col min="14" max="14" width="8.7109375" style="60" hidden="1" customWidth="1" outlineLevel="1"/>
    <col min="15" max="15" width="10.5703125" style="60" hidden="1" customWidth="1" outlineLevel="1"/>
    <col min="16" max="16" width="9.85546875" style="60" hidden="1" customWidth="1" outlineLevel="1"/>
    <col min="17" max="17" width="8.7109375" style="60" hidden="1" customWidth="1" outlineLevel="1"/>
    <col min="18" max="18" width="10.28515625" style="60" hidden="1" customWidth="1" outlineLevel="1"/>
    <col min="19" max="19" width="9.140625" style="60" hidden="1" customWidth="1" outlineLevel="1"/>
    <col min="20" max="21" width="10.42578125" style="60" hidden="1" customWidth="1" outlineLevel="1"/>
    <col min="22" max="22" width="14.140625" style="60" hidden="1" customWidth="1" outlineLevel="1"/>
    <col min="23" max="28" width="8.85546875" style="60" hidden="1" customWidth="1" outlineLevel="1"/>
    <col min="29" max="29" width="9.7109375" style="60" hidden="1" customWidth="1" outlineLevel="1"/>
    <col min="30" max="31" width="9.5703125" style="60" hidden="1" customWidth="1" outlineLevel="1"/>
    <col min="32" max="32" width="10.7109375" style="60" hidden="1" customWidth="1" outlineLevel="1"/>
    <col min="33" max="33" width="9.5703125" style="60" hidden="1" customWidth="1" outlineLevel="1"/>
    <col min="34" max="34" width="2.85546875" style="60" hidden="1" customWidth="1" outlineLevel="1"/>
    <col min="35" max="35" width="12" style="60" bestFit="1" customWidth="1" collapsed="1"/>
    <col min="36" max="36" width="9.85546875" style="60" bestFit="1" customWidth="1"/>
    <col min="37" max="37" width="12" style="60" bestFit="1" customWidth="1"/>
    <col min="38" max="40" width="12" style="60" customWidth="1"/>
    <col min="41" max="41" width="11.85546875" style="60" bestFit="1" customWidth="1"/>
    <col min="42" max="42" width="9.85546875" style="60" bestFit="1" customWidth="1"/>
    <col min="43" max="43" width="11.7109375" style="60" bestFit="1" customWidth="1"/>
    <col min="44" max="44" width="10.140625" style="60" bestFit="1" customWidth="1"/>
    <col min="45" max="45" width="11.7109375" style="60" bestFit="1" customWidth="1"/>
    <col min="46" max="46" width="11.85546875" style="60" bestFit="1" customWidth="1"/>
    <col min="47" max="47" width="16.42578125" style="60" bestFit="1" customWidth="1"/>
    <col min="48" max="48" width="16.42578125" style="60" customWidth="1"/>
    <col min="49" max="49" width="13" style="60" customWidth="1"/>
    <col min="50" max="50" width="13.7109375" style="60" customWidth="1"/>
    <col min="51" max="51" width="11" style="60" bestFit="1" customWidth="1"/>
    <col min="52" max="52" width="12" style="60" bestFit="1" customWidth="1"/>
    <col min="53" max="53" width="13.42578125" style="60" bestFit="1" customWidth="1"/>
    <col min="54" max="54" width="11.5703125" style="60" bestFit="1" customWidth="1"/>
    <col min="55" max="55" width="9.85546875" style="60" customWidth="1"/>
    <col min="56" max="56" width="14" style="60" customWidth="1"/>
    <col min="57" max="57" width="12" style="60" bestFit="1" customWidth="1"/>
    <col min="58" max="58" width="13.7109375" style="60" customWidth="1"/>
    <col min="59" max="59" width="12.7109375" style="60" customWidth="1"/>
    <col min="60" max="60" width="12.7109375" style="60" bestFit="1" customWidth="1"/>
    <col min="61" max="61" width="1.85546875" style="60" customWidth="1"/>
    <col min="62" max="16384" width="9.140625" style="60"/>
  </cols>
  <sheetData>
    <row r="1" spans="1:61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59"/>
    </row>
    <row r="2" spans="1:61" x14ac:dyDescent="0.25">
      <c r="A2" s="61"/>
      <c r="E2" s="233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</row>
    <row r="3" spans="1:61" ht="30" customHeight="1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231" t="s">
        <v>666</v>
      </c>
      <c r="R3" s="81" t="s">
        <v>666</v>
      </c>
      <c r="S3" s="232" t="s">
        <v>667</v>
      </c>
      <c r="T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91" t="s">
        <v>677</v>
      </c>
      <c r="AX3" s="91" t="s">
        <v>673</v>
      </c>
      <c r="AY3" s="62" t="s">
        <v>708</v>
      </c>
      <c r="AZ3" s="91" t="s">
        <v>828</v>
      </c>
      <c r="BA3" s="91" t="s">
        <v>679</v>
      </c>
      <c r="BB3" s="91" t="s">
        <v>679</v>
      </c>
      <c r="BC3" s="91" t="s">
        <v>679</v>
      </c>
      <c r="BD3" s="91" t="s">
        <v>679</v>
      </c>
      <c r="BE3" s="91" t="s">
        <v>679</v>
      </c>
      <c r="BF3" s="91" t="s">
        <v>680</v>
      </c>
      <c r="BG3" s="91" t="s">
        <v>680</v>
      </c>
      <c r="BH3" s="91" t="s">
        <v>681</v>
      </c>
      <c r="BI3" s="59"/>
    </row>
    <row r="4" spans="1:61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231" t="s">
        <v>710</v>
      </c>
      <c r="R4" s="81" t="s">
        <v>711</v>
      </c>
      <c r="S4" s="232" t="s">
        <v>710</v>
      </c>
      <c r="T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91" t="s">
        <v>688</v>
      </c>
      <c r="AX4" s="91" t="s">
        <v>689</v>
      </c>
      <c r="AY4" s="62" t="s">
        <v>685</v>
      </c>
      <c r="AZ4" s="91"/>
      <c r="BA4" s="91" t="s">
        <v>691</v>
      </c>
      <c r="BB4" s="91" t="s">
        <v>689</v>
      </c>
      <c r="BC4" s="91" t="s">
        <v>718</v>
      </c>
      <c r="BD4" s="91" t="s">
        <v>692</v>
      </c>
      <c r="BE4" s="91" t="s">
        <v>719</v>
      </c>
      <c r="BF4" s="91" t="s">
        <v>693</v>
      </c>
      <c r="BG4" s="91" t="s">
        <v>694</v>
      </c>
      <c r="BH4" s="65">
        <v>1.1300400949626397E-2</v>
      </c>
      <c r="BI4" s="59"/>
    </row>
    <row r="5" spans="1:61" x14ac:dyDescent="0.25">
      <c r="A5" s="59"/>
      <c r="B5" s="66">
        <v>1</v>
      </c>
      <c r="C5" s="67">
        <f ca="1">IF(AND(E5&gt;='Invoer gegevens (N)'!$C$17,E5&lt;'Invoer gegevens (N)'!$C$17+15),1,0)</f>
        <v>1</v>
      </c>
      <c r="D5" s="68">
        <v>0.5</v>
      </c>
      <c r="E5" s="69">
        <f ca="1">IF('Invoer gegevens (N)'!$C$16="","",'Invoer gegevens (N)'!$C$16)</f>
        <v>2019</v>
      </c>
      <c r="F5" s="82">
        <f ca="1">IF('Invoer gegevens (N)'!$C$17=E5,'Invoer gegevens (N)'!$C$10,IF(C5=1,H4,0))</f>
        <v>0</v>
      </c>
      <c r="G5" s="83">
        <f ca="1">IF(E5='Invoer gegevens (N)'!$C$17+15,H4,IF(C5&gt;=1,F5*'Reeksen (N)'!C5,0))</f>
        <v>0</v>
      </c>
      <c r="H5" s="84">
        <f ca="1">IF(E5&gt;='Invoer gegevens (N)'!$C$17+15,0,F5-G5)</f>
        <v>0</v>
      </c>
      <c r="I5" s="85">
        <f ca="1">IF('Invoer gegevens (N)'!$C$17=E5,'Invoer gegevens (N)'!$C$11,IF(C5=1,L4,0))</f>
        <v>0</v>
      </c>
      <c r="J5" s="86">
        <f ca="1">IF(E5='Invoer gegevens (N)'!$C$17+15,L4,IF(C5&lt;1,0,IF('Reeksen (N)'!AK5&lt;='Reeksen (N)'!AE5,I5*'Reeksen (N)'!C5,0)))</f>
        <v>0</v>
      </c>
      <c r="K5" s="86">
        <f ca="1">IF(E5='Invoer gegevens (N)'!$C$17+15,L4,IF(C5&lt;1,0,IF('Reeksen (N)'!AK5&gt;'Reeksen (N)'!AE5,I5*'Reeksen (N)'!C5,0)))</f>
        <v>0</v>
      </c>
      <c r="L5" s="86">
        <f ca="1">IF(E5&gt;='Invoer gegevens (N)'!$C$17+15,0,I5-J5-K5)</f>
        <v>0</v>
      </c>
      <c r="M5" s="85">
        <f ca="1">IF('Invoer gegevens (N)'!$C$17=E5,'Invoer gegevens (N)'!$C$10-'Invoer gegevens (N)'!$C$11,IF(C5=1,P4,0))</f>
        <v>0</v>
      </c>
      <c r="N5" s="86">
        <f ca="1">IF(E5='Invoer gegevens (N)'!$C$17+15,P4,IF(C5&lt;1,0,IF('Reeksen (N)'!AK5&lt;='Reeksen (N)'!AE5,M5*'Reeksen (N)'!C5,0)))</f>
        <v>0</v>
      </c>
      <c r="O5" s="86">
        <f ca="1">IF(E5='Invoer gegevens (N)'!$C$17+15,P4,IF(C5&lt;1,0,IF('Reeksen (N)'!AK5&gt;'Reeksen (N)'!AE5,M5*'Reeksen (N)'!C5,0)))</f>
        <v>0</v>
      </c>
      <c r="P5" s="86">
        <f ca="1">IF(E5&gt;='Invoer gegevens (N)'!$C$17+15,0,M5-N5-O5)</f>
        <v>0</v>
      </c>
      <c r="Q5" s="82">
        <f ca="1">IF('Invoer gegevens (N)'!$C$17=E5,I5,IF(C5=0,0,R4))</f>
        <v>0</v>
      </c>
      <c r="R5" s="84">
        <f t="shared" ref="R5:R29" ca="1" si="0">IF(C5=0,0,Q5-K5+N5)</f>
        <v>0</v>
      </c>
      <c r="S5" s="84">
        <f ca="1">IF('Invoer gegevens (N)'!$C$17=E5,M5,IF(C5=0,0,T4))</f>
        <v>0</v>
      </c>
      <c r="T5" s="84">
        <f t="shared" ref="T5:T29" ca="1" si="1">IF(C5=0,0,S5-N5+K5)</f>
        <v>0</v>
      </c>
      <c r="AH5" s="68"/>
      <c r="AI5" s="71">
        <f ca="1">IF(C5=1,((F5+H5)/2*'Reeksen (N)'!AJ5*12)+(('Invoer gegevens (N)'!$C$10-(F5+H5)/2)*'Reeksen (N)'!AK5*12),0)</f>
        <v>0</v>
      </c>
      <c r="AJ5" s="71">
        <f ca="1">-AI5*'Invoer gegevens (N)'!$F$26</f>
        <v>0</v>
      </c>
      <c r="AK5" s="71">
        <f t="shared" ref="AK5:AK29" ca="1" si="2">AI5+AJ5</f>
        <v>0</v>
      </c>
      <c r="AL5" s="71">
        <f ca="1">IF(C5=1,(12*((F5+H5)/2)*'Reeksen (N)'!AL5)+(12*('Invoer gegevens (N)'!$C$10-(F5+H5)/2)*'Reeksen (N)'!AM5),0)</f>
        <v>0</v>
      </c>
      <c r="AM5" s="71">
        <f ca="1">-AL5*'Invoer gegevens (N)'!$F$31</f>
        <v>0</v>
      </c>
      <c r="AN5" s="71">
        <f ca="1">AL5+AM5</f>
        <v>0</v>
      </c>
      <c r="AO5" s="71"/>
      <c r="AP5" s="71"/>
      <c r="AQ5" s="71">
        <f ca="1">-IF(C5=1,('Invoer gegevens (N)'!$C$10*'Invoer gegevens (N)'!$I$33)*'Reeksen (N)'!J5,0)</f>
        <v>0</v>
      </c>
      <c r="AR5" s="71">
        <f ca="1">-IF(C5=1,(G5*'Invoer gegevens (N)'!$I$34)*'Reeksen (N)'!J5,0)</f>
        <v>0</v>
      </c>
      <c r="AS5" s="71">
        <f ca="1">-IF(C5=1,'Invoer gegevens (N)'!$C$10*'Invoer gegevens (N)'!$I$35*'Reeksen (N)'!L5,0)</f>
        <v>0</v>
      </c>
      <c r="AT5" s="71">
        <f ca="1">-IF(C5=1,IF(E5='Invoer gegevens (N)'!$C$17,'Invoer gegevens (N)'!$C$11,Q5)*'Reeksen (N)'!S5*'Invoer gegevens (N)'!$C$18*'Reeksen (N)'!P5,0)</f>
        <v>0</v>
      </c>
      <c r="AU5" s="71">
        <f ca="1">-IF(C5=1,'Invoer gegevens (N)'!$C$10*'Invoer gegevens (N)'!$I$36*'Reeksen (N)'!H5,0)</f>
        <v>0</v>
      </c>
      <c r="AV5" s="71">
        <v>0</v>
      </c>
      <c r="AW5" s="71">
        <f ca="1">SUM(AK5,AN5:AV5)</f>
        <v>0</v>
      </c>
      <c r="AX5" s="72">
        <f ca="1">IF(E5='Invoer gegevens (N)'!$C$17+14,'RW - BW - DE (N)'!$AY$236,0)</f>
        <v>0</v>
      </c>
      <c r="AY5" s="72">
        <f ca="1">IFERROR(IF(E5='Invoer gegevens (N)'!$C$17,-'Invoer gegevens (N)'!$C$10*'Invoer gegevens (N)'!$C$31*'Reeksen (N)'!H5,0),0)</f>
        <v>0</v>
      </c>
      <c r="AZ5" s="73">
        <f ca="1">IF('Invoer gegevens (N)'!$C$34=E5,'Invoer gegevens (N)'!$C$27*'Invoer gegevens (N)'!$C$10*'Invoer gegevens (N)'!$C$36*(IF('Invoer gegevens (N)'!$C$35="ja",1,'Reeksen (N)'!J5)),IF('Invoer gegevens (N)'!$C$34+1=E5,'Invoer gegevens (N)'!$C$27*'Invoer gegevens (N)'!$C$10*'Invoer gegevens (N)'!$C$37*(IF('Invoer gegevens (N)'!$C$35="ja",1,'Reeksen (N)'!J5)),0))+IF(AND(E5='Invoer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" s="73">
        <f ca="1">AW5/(1+'Invoer gegevens (N)'!$F$13)^($D5-('Invoer gegevens (N)'!$C$17-'Invoer gegevens (N)'!$C$16))/(1+'Invoer gegevens (N)'!$C$39)^('Invoer gegevens (N)'!$C$17-'Invoer gegevens (N)'!$C$16)</f>
        <v>0</v>
      </c>
      <c r="BB5" s="73">
        <f ca="1">AX5/(1+'Invoer gegevens (N)'!$F$13)^(E5-('Invoer gegevens (N)'!$C$17-1))/(1+'Invoer gegevens (N)'!$C$39)^('Invoer gegevens (N)'!$C$17-'Invoer gegevens (N)'!$C$16)</f>
        <v>0</v>
      </c>
      <c r="BC5" s="73">
        <f ca="1">AY5/(1+'Invoer gegevens (N)'!$C$39)^('Invoer gegevens (N)'!$C$17-'Invoer gegevens (N)'!$C$16)</f>
        <v>0</v>
      </c>
      <c r="BD5" s="72">
        <f ca="1">SUM(BA5:BC5)</f>
        <v>0</v>
      </c>
      <c r="BE5" s="72">
        <f ca="1">IF(AND(E5='Invoer gegevens (N)'!$C$16,'Invoer gegevens (N)'!$C$34&lt;'Invoer gegevens (N)'!$C$16),AZ5,AZ5/(1+'Invoer gegevens (N)'!$C$39)^D5)</f>
        <v>0</v>
      </c>
      <c r="BF5" s="72">
        <f ca="1">IF(E5='Invoer gegevens (N)'!$C$34,-'Invoer gegevens (N)'!$F$40,0)</f>
        <v>0</v>
      </c>
      <c r="BG5" s="72">
        <f ca="1">IF(E5='Invoer gegevens (N)'!$C$17,-'Invoer gegevens (N)'!$C$19*$BD$31,0)</f>
        <v>0</v>
      </c>
      <c r="BH5" s="72">
        <f ca="1">AW5/(1+$BH$4)^($D5-('Invoer gegevens (N)'!$C$17-'Invoer gegevens (N)'!$C$16))/(1+'Invoer gegevens (N)'!$C$39)^('Invoer gegevens (N)'!$C$17-'Invoer gegevens (N)'!$C$16)+AX5/(1+$BH$4)^(E5-('Invoer gegevens (N)'!$C$17-1))/(1+'Invoer gegevens (N)'!$C$39)^('Invoer gegevens (N)'!$C$17-'Invoer gegevens (N)'!$C$16)+AY5/(1+'Invoer gegevens (N)'!$C$39)^('Invoer gegevens (N)'!$C$17-'Invoer gegevens (N)'!$C$16)+(-AZ5/(1+'Invoer gegevens (N)'!$C$39)^D5)+BF5+BG5</f>
        <v>0</v>
      </c>
      <c r="BI5" s="59"/>
    </row>
    <row r="6" spans="1:61" x14ac:dyDescent="0.25">
      <c r="A6" s="59"/>
      <c r="B6" s="70">
        <f>B5+1</f>
        <v>2</v>
      </c>
      <c r="C6" s="67">
        <f ca="1">IF(AND(E6&gt;='Invoer gegevens (N)'!$C$17,E6&lt;'Invoer gegevens (N)'!$C$17+15),1,0)</f>
        <v>1</v>
      </c>
      <c r="D6" s="68">
        <f>D5+1</f>
        <v>1.5</v>
      </c>
      <c r="E6" s="69">
        <f ca="1">IF('Invoer gegevens (N)'!$C$16="","",E5+1)</f>
        <v>2020</v>
      </c>
      <c r="F6" s="82">
        <f ca="1">IF('Invoer gegevens (N)'!$C$17=E6,'Invoer gegevens (N)'!$C$10,IF(C6=1,H5,0))</f>
        <v>0</v>
      </c>
      <c r="G6" s="83">
        <f ca="1">IF(E6='Invoer gegevens (N)'!$C$17+15,H5,IF(C6&gt;=1,F6*'Reeksen (N)'!C6,0))</f>
        <v>0</v>
      </c>
      <c r="H6" s="84">
        <f ca="1">IF(E6&gt;='Invoer gegevens (N)'!$C$17+15,0,F6-G6)</f>
        <v>0</v>
      </c>
      <c r="I6" s="85">
        <f ca="1">IF('Invoer gegevens (N)'!$C$17=E6,'Invoer gegevens (N)'!$C$11,IF(C6=1,L5,0))</f>
        <v>0</v>
      </c>
      <c r="J6" s="86">
        <f ca="1">IF(E6='Invoer gegevens (N)'!$C$17+15,L5,IF(C6&lt;1,0,IF('Reeksen (N)'!AK6&lt;='Reeksen (N)'!AE6,I6*'Reeksen (N)'!C6,0)))</f>
        <v>0</v>
      </c>
      <c r="K6" s="86">
        <f ca="1">IF(E6='Invoer gegevens (N)'!$C$17+15,L5,IF(C6&lt;1,0,IF('Reeksen (N)'!AK6&gt;'Reeksen (N)'!AE6,I6*'Reeksen (N)'!C6,0)))</f>
        <v>0</v>
      </c>
      <c r="L6" s="86">
        <f ca="1">IF(E6&gt;='Invoer gegevens (N)'!$C$17+15,0,I6-J6-K6)</f>
        <v>0</v>
      </c>
      <c r="M6" s="85">
        <f ca="1">IF('Invoer gegevens (N)'!$C$17=E6,'Invoer gegevens (N)'!$C$10-'Invoer gegevens (N)'!$C$11,IF(C6=1,P5,0))</f>
        <v>0</v>
      </c>
      <c r="N6" s="86">
        <f ca="1">IF(E6='Invoer gegevens (N)'!$C$17+15,P5,IF(C6&lt;1,0,IF('Reeksen (N)'!AK6&lt;='Reeksen (N)'!AE6,M6*'Reeksen (N)'!C6,0)))</f>
        <v>0</v>
      </c>
      <c r="O6" s="86">
        <f ca="1">IF(E6='Invoer gegevens (N)'!$C$17+15,P5,IF(C6&lt;1,0,IF('Reeksen (N)'!AK6&gt;'Reeksen (N)'!AE6,M6*'Reeksen (N)'!C6,0)))</f>
        <v>0</v>
      </c>
      <c r="P6" s="86">
        <f ca="1">IF(E6&gt;='Invoer gegevens (N)'!$C$17+15,0,M6-N6-O6)</f>
        <v>0</v>
      </c>
      <c r="Q6" s="82">
        <f ca="1">IF('Invoer gegevens (N)'!$C$17=E6,I6,IF(C6=0,0,R5))</f>
        <v>0</v>
      </c>
      <c r="R6" s="84">
        <f t="shared" ca="1" si="0"/>
        <v>0</v>
      </c>
      <c r="S6" s="84">
        <f ca="1">IF('Invoer gegevens (N)'!$C$17=E6,M6,IF(C6=0,0,T5))</f>
        <v>0</v>
      </c>
      <c r="T6" s="84">
        <f t="shared" ca="1" si="1"/>
        <v>0</v>
      </c>
      <c r="AH6" s="68"/>
      <c r="AI6" s="71">
        <f ca="1">IF(C6=1,((F6+H6)/2*'Reeksen (N)'!AJ6*12)+(('Invoer gegevens (N)'!$C$10-(F6+H6)/2)*'Reeksen (N)'!AK6*12),0)</f>
        <v>0</v>
      </c>
      <c r="AJ6" s="71">
        <f ca="1">-AI6*'Invoer gegevens (N)'!$F$27</f>
        <v>0</v>
      </c>
      <c r="AK6" s="71">
        <f t="shared" ca="1" si="2"/>
        <v>0</v>
      </c>
      <c r="AL6" s="71">
        <f ca="1">IF(C6=1,(12*((F6+H6)/2)*'Reeksen (N)'!AL6)+(12*('Invoer gegevens (N)'!$C$10-(F6+H6)/2)*'Reeksen (N)'!AM6),0)</f>
        <v>0</v>
      </c>
      <c r="AM6" s="71">
        <f ca="1">-AL6*'Invoer gegevens (N)'!$F$31</f>
        <v>0</v>
      </c>
      <c r="AN6" s="71">
        <f t="shared" ref="AN6:AN29" ca="1" si="3">AL6+AM6</f>
        <v>0</v>
      </c>
      <c r="AO6" s="71"/>
      <c r="AP6" s="71"/>
      <c r="AQ6" s="71">
        <f ca="1">-IF(C6=1,('Invoer gegevens (N)'!$C$10*'Invoer gegevens (N)'!$I$33)*'Reeksen (N)'!J6,0)</f>
        <v>0</v>
      </c>
      <c r="AR6" s="71">
        <f ca="1">-IF(C6=1,(G6*'Invoer gegevens (N)'!$I$34)*'Reeksen (N)'!J6,0)</f>
        <v>0</v>
      </c>
      <c r="AS6" s="71">
        <f ca="1">-IF(C6=1,'Invoer gegevens (N)'!$C$10*'Invoer gegevens (N)'!$I$35*'Reeksen (N)'!L6,0)</f>
        <v>0</v>
      </c>
      <c r="AT6" s="71">
        <f ca="1">-IF(C6=1,IF(E6='Invoer gegevens (N)'!$C$17,'Invoer gegevens (N)'!$C$11,Q6)*'Reeksen (N)'!S6*'Invoer gegevens (N)'!$C$18*'Reeksen (N)'!P6,0)</f>
        <v>0</v>
      </c>
      <c r="AU6" s="71">
        <f ca="1">-IF(C6=1,'Invoer gegevens (N)'!$C$10*'Invoer gegevens (N)'!$I$36*'Reeksen (N)'!H6,0)</f>
        <v>0</v>
      </c>
      <c r="AV6" s="71">
        <v>0</v>
      </c>
      <c r="AW6" s="71">
        <f t="shared" ref="AW6:AW29" ca="1" si="4">SUM(AK6,AN6:AV6)</f>
        <v>0</v>
      </c>
      <c r="AX6" s="72">
        <f ca="1">IF(E6='Invoer gegevens (N)'!$C$17+14,'RW - BW - DE (N)'!$AY$236,0)</f>
        <v>0</v>
      </c>
      <c r="AY6" s="72">
        <f ca="1">IFERROR(IF(E6='Invoer gegevens (N)'!$C$17,-'Invoer gegevens (N)'!$C$10*'Invoer gegevens (N)'!$C$31*'Reeksen (N)'!H6,0),0)</f>
        <v>0</v>
      </c>
      <c r="AZ6" s="73">
        <f ca="1">IF('Invoer gegevens (N)'!$C$34=E6,'Invoer gegevens (N)'!$C$27*'Invoer gegevens (N)'!$C$10*'Invoer gegevens (N)'!$C$36*(IF('Invoer gegevens (N)'!$C$35="ja",1,'Reeksen (N)'!J6)),IF('Invoer gegevens (N)'!$C$34+1=E6,'Invoer gegevens (N)'!$C$27*'Invoer gegevens (N)'!$C$10*'Invoer gegevens (N)'!$C$37*(IF('Invoer gegevens (N)'!$C$35="ja",1,'Reeksen (N)'!J6)),0))+IF(AND(E6='Invoer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6" s="73">
        <f ca="1">AW6/(1+'Invoer gegevens (N)'!$F$13)^($D6-('Invoer gegevens (N)'!$C$17-'Invoer gegevens (N)'!$C$16))/(1+'Invoer gegevens (N)'!$C$39)^('Invoer gegevens (N)'!$C$17-'Invoer gegevens (N)'!$C$16)</f>
        <v>0</v>
      </c>
      <c r="BB6" s="73">
        <f ca="1">AX6/(1+'Invoer gegevens (N)'!$F$13)^(E6-('Invoer gegevens (N)'!$C$17-1))/(1+'Invoer gegevens (N)'!$C$39)^('Invoer gegevens (N)'!$C$17-'Invoer gegevens (N)'!$C$16)</f>
        <v>0</v>
      </c>
      <c r="BC6" s="73">
        <f ca="1">AY6/(1+'Invoer gegevens (N)'!$C$39)^('Invoer gegevens (N)'!$C$17-'Invoer gegevens (N)'!$C$16)</f>
        <v>0</v>
      </c>
      <c r="BD6" s="72">
        <f t="shared" ref="BD6:BD29" ca="1" si="5">SUM(BA6:BC6)</f>
        <v>0</v>
      </c>
      <c r="BE6" s="72">
        <f ca="1">IF(AND(E6='Invoer gegevens (N)'!$C$16,'Invoer gegevens (N)'!$C$34&lt;'Invoer gegevens (N)'!$C$16),AZ6,AZ6/(1+'Invoer gegevens (N)'!$C$39)^D6)</f>
        <v>0</v>
      </c>
      <c r="BF6" s="72">
        <f ca="1">IF(E6='Invoer gegevens (N)'!$C$34,-'Invoer gegevens (N)'!$F$40,0)</f>
        <v>0</v>
      </c>
      <c r="BG6" s="72">
        <f ca="1">IF(E6='Invoer gegevens (N)'!$C$17,-'Invoer gegevens (N)'!$C$19*$BD$31,0)</f>
        <v>0</v>
      </c>
      <c r="BH6" s="72">
        <f ca="1">AW6/(1+$BH$4)^($D6-('Invoer gegevens (N)'!$C$17-'Invoer gegevens (N)'!$C$16))/(1+'Invoer gegevens (N)'!$C$39)^('Invoer gegevens (N)'!$C$17-'Invoer gegevens (N)'!$C$16)+AX6/(1+$BH$4)^(E6-('Invoer gegevens (N)'!$C$17-1))/(1+'Invoer gegevens (N)'!$C$39)^('Invoer gegevens (N)'!$C$17-'Invoer gegevens (N)'!$C$16)+AY6/(1+'Invoer gegevens (N)'!$C$39)^('Invoer gegevens (N)'!$C$17-'Invoer gegevens (N)'!$C$16)+(-AZ6/(1+'Invoer gegevens (N)'!$C$39)^D6)+BF6+BG6</f>
        <v>0</v>
      </c>
      <c r="BI6" s="59"/>
    </row>
    <row r="7" spans="1:61" x14ac:dyDescent="0.25">
      <c r="A7" s="59"/>
      <c r="B7" s="70">
        <f t="shared" ref="B7:B29" si="6">B6+1</f>
        <v>3</v>
      </c>
      <c r="C7" s="67">
        <f ca="1">IF(AND(E7&gt;='Invoer gegevens (N)'!$C$17,E7&lt;'Invoer gegevens (N)'!$C$17+15),1,0)</f>
        <v>1</v>
      </c>
      <c r="D7" s="68">
        <f t="shared" ref="D7:D29" si="7">D6+1</f>
        <v>2.5</v>
      </c>
      <c r="E7" s="69">
        <f ca="1">IF('Invoer gegevens (N)'!$C$16="","",E6+1)</f>
        <v>2021</v>
      </c>
      <c r="F7" s="82">
        <f ca="1">IF('Invoer gegevens (N)'!$C$17=E7,'Invoer gegevens (N)'!$C$10,IF(C7=1,H6,0))</f>
        <v>0</v>
      </c>
      <c r="G7" s="83">
        <f ca="1">IF(E7='Invoer gegevens (N)'!$C$17+15,H6,IF(C7&gt;=1,F7*'Reeksen (N)'!C7,0))</f>
        <v>0</v>
      </c>
      <c r="H7" s="84">
        <f ca="1">IF(E7&gt;='Invoer gegevens (N)'!$C$17+15,0,F7-G7)</f>
        <v>0</v>
      </c>
      <c r="I7" s="85">
        <v>28.8</v>
      </c>
      <c r="J7" s="86">
        <f ca="1">IF(E7='Invoer gegevens (N)'!$C$17+15,L6,IF(C7&lt;1,0,IF('Reeksen (N)'!AK7&lt;='Reeksen (N)'!AE7,I7*'Reeksen (N)'!C7,0)))</f>
        <v>0</v>
      </c>
      <c r="K7" s="86">
        <f ca="1">IF(E7='Invoer gegevens (N)'!$C$17+15,L6,IF(C7&lt;1,0,IF('Reeksen (N)'!AK7&gt;'Reeksen (N)'!AE7,I7*'Reeksen (N)'!C7,0)))</f>
        <v>0</v>
      </c>
      <c r="L7" s="86">
        <f ca="1">IF(E7&gt;='Invoer gegevens (N)'!$C$17+15,0,I7-J7-K7)</f>
        <v>28.8</v>
      </c>
      <c r="M7" s="85">
        <f ca="1">IF('Invoer gegevens (N)'!$C$17=E7,'Invoer gegevens (N)'!$C$10-'Invoer gegevens (N)'!$C$11,IF(C7=1,P6,0))</f>
        <v>0</v>
      </c>
      <c r="N7" s="86">
        <f ca="1">IF(E7='Invoer gegevens (N)'!$C$17+15,P6,IF(C7&lt;1,0,IF('Reeksen (N)'!AK7&lt;='Reeksen (N)'!AE7,M7*'Reeksen (N)'!C7,0)))</f>
        <v>0</v>
      </c>
      <c r="O7" s="86">
        <f ca="1">IF(E7='Invoer gegevens (N)'!$C$17+15,P6,IF(C7&lt;1,0,IF('Reeksen (N)'!AK7&gt;'Reeksen (N)'!AE7,M7*'Reeksen (N)'!C7,0)))</f>
        <v>0</v>
      </c>
      <c r="P7" s="86">
        <f ca="1">IF(E7&gt;='Invoer gegevens (N)'!$C$17+15,0,M7-N7-O7)</f>
        <v>0</v>
      </c>
      <c r="Q7" s="82">
        <f ca="1">IF('Invoer gegevens (N)'!$C$17=E7,I7,IF(C7=0,0,R6))</f>
        <v>0</v>
      </c>
      <c r="R7" s="84">
        <f t="shared" ca="1" si="0"/>
        <v>0</v>
      </c>
      <c r="S7" s="84">
        <f ca="1">IF('Invoer gegevens (N)'!$C$17=E7,M7,IF(C7=0,0,T6))</f>
        <v>0</v>
      </c>
      <c r="T7" s="84">
        <f t="shared" ca="1" si="1"/>
        <v>0</v>
      </c>
      <c r="AH7" s="68"/>
      <c r="AI7" s="71">
        <f ca="1">IF(C7=1,((F7+H7)/2*'Reeksen (N)'!AJ7*12)+(('Invoer gegevens (N)'!$C$10-(F7+H7)/2)*'Reeksen (N)'!AK7*12),0)</f>
        <v>0</v>
      </c>
      <c r="AJ7" s="71">
        <f ca="1">-AI7*'Invoer gegevens (N)'!$F$28</f>
        <v>0</v>
      </c>
      <c r="AK7" s="71">
        <f t="shared" ca="1" si="2"/>
        <v>0</v>
      </c>
      <c r="AL7" s="71">
        <f ca="1">IF(C7=1,(12*((F7+H7)/2)*'Reeksen (N)'!AL7)+(12*('Invoer gegevens (N)'!$C$10-(F7+H7)/2)*'Reeksen (N)'!AM7),0)</f>
        <v>0</v>
      </c>
      <c r="AM7" s="71">
        <f ca="1">-AL7*'Invoer gegevens (N)'!$F$31</f>
        <v>0</v>
      </c>
      <c r="AN7" s="71">
        <f t="shared" ca="1" si="3"/>
        <v>0</v>
      </c>
      <c r="AO7" s="71"/>
      <c r="AP7" s="71"/>
      <c r="AQ7" s="71">
        <f ca="1">-IF(C7=1,('Invoer gegevens (N)'!$C$10*'Invoer gegevens (N)'!$I$33)*'Reeksen (N)'!J7,0)</f>
        <v>0</v>
      </c>
      <c r="AR7" s="71">
        <f ca="1">-IF(C7=1,(G7*'Invoer gegevens (N)'!$I$34)*'Reeksen (N)'!J7,0)</f>
        <v>0</v>
      </c>
      <c r="AS7" s="71">
        <f ca="1">-IF(C7=1,'Invoer gegevens (N)'!$C$10*'Invoer gegevens (N)'!$I$35*'Reeksen (N)'!L7,0)</f>
        <v>0</v>
      </c>
      <c r="AT7" s="71">
        <f ca="1">-IF(C7=1,IF(E7='Invoer gegevens (N)'!$C$17,'Invoer gegevens (N)'!$C$11,Q7)*'Reeksen (N)'!S7*'Invoer gegevens (N)'!$C$18*'Reeksen (N)'!P7,0)</f>
        <v>0</v>
      </c>
      <c r="AU7" s="71">
        <f ca="1">-IF(C7=1,'Invoer gegevens (N)'!$C$10*'Invoer gegevens (N)'!$I$36*'Reeksen (N)'!H7,0)</f>
        <v>0</v>
      </c>
      <c r="AV7" s="71">
        <v>0</v>
      </c>
      <c r="AW7" s="71">
        <f t="shared" ca="1" si="4"/>
        <v>0</v>
      </c>
      <c r="AX7" s="72">
        <f ca="1">IF(E7='Invoer gegevens (N)'!$C$17+14,'RW - BW - DE (N)'!$AY$236,0)</f>
        <v>0</v>
      </c>
      <c r="AY7" s="72">
        <f ca="1">IFERROR(IF(E7='Invoer gegevens (N)'!$C$17,-'Invoer gegevens (N)'!$C$10*'Invoer gegevens (N)'!$C$31*'Reeksen (N)'!H7,0),0)</f>
        <v>0</v>
      </c>
      <c r="AZ7" s="73">
        <f ca="1">IF('Invoer gegevens (N)'!$C$34=E7,'Invoer gegevens (N)'!$C$27*'Invoer gegevens (N)'!$C$10*'Invoer gegevens (N)'!$C$36*(IF('Invoer gegevens (N)'!$C$35="ja",1,'Reeksen (N)'!J7)),IF('Invoer gegevens (N)'!$C$34+1=E7,'Invoer gegevens (N)'!$C$27*'Invoer gegevens (N)'!$C$10*'Invoer gegevens (N)'!$C$37*(IF('Invoer gegevens (N)'!$C$35="ja",1,'Reeksen (N)'!J7)),0))+IF(AND(E7='Invoer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7" s="73">
        <f ca="1">AW7/(1+'Invoer gegevens (N)'!$F$13)^($D7-('Invoer gegevens (N)'!$C$17-'Invoer gegevens (N)'!$C$16))/(1+'Invoer gegevens (N)'!$C$39)^('Invoer gegevens (N)'!$C$17-'Invoer gegevens (N)'!$C$16)</f>
        <v>0</v>
      </c>
      <c r="BB7" s="73">
        <f ca="1">AX7/(1+'Invoer gegevens (N)'!$F$13)^(E7-('Invoer gegevens (N)'!$C$17-1))/(1+'Invoer gegevens (N)'!$C$39)^('Invoer gegevens (N)'!$C$17-'Invoer gegevens (N)'!$C$16)</f>
        <v>0</v>
      </c>
      <c r="BC7" s="73">
        <f ca="1">AY7/(1+'Invoer gegevens (N)'!$C$39)^('Invoer gegevens (N)'!$C$17-'Invoer gegevens (N)'!$C$16)</f>
        <v>0</v>
      </c>
      <c r="BD7" s="72">
        <f t="shared" ca="1" si="5"/>
        <v>0</v>
      </c>
      <c r="BE7" s="72">
        <f ca="1">IF(AND(E7='Invoer gegevens (N)'!$C$16,'Invoer gegevens (N)'!$C$34&lt;'Invoer gegevens (N)'!$C$16),AZ7,AZ7/(1+'Invoer gegevens (N)'!$C$39)^D7)</f>
        <v>0</v>
      </c>
      <c r="BF7" s="72">
        <f ca="1">IF(E7='Invoer gegevens (N)'!$C$34,-'Invoer gegevens (N)'!$F$40,0)</f>
        <v>0</v>
      </c>
      <c r="BG7" s="72">
        <f ca="1">IF(E7='Invoer gegevens (N)'!$C$17,-'Invoer gegevens (N)'!$C$19*$BD$31,0)</f>
        <v>0</v>
      </c>
      <c r="BH7" s="72">
        <f ca="1">AW7/(1+$BH$4)^($D7-('Invoer gegevens (N)'!$C$17-'Invoer gegevens (N)'!$C$16))/(1+'Invoer gegevens (N)'!$C$39)^('Invoer gegevens (N)'!$C$17-'Invoer gegevens (N)'!$C$16)+AX7/(1+$BH$4)^(E7-('Invoer gegevens (N)'!$C$17-1))/(1+'Invoer gegevens (N)'!$C$39)^('Invoer gegevens (N)'!$C$17-'Invoer gegevens (N)'!$C$16)+AY7/(1+'Invoer gegevens (N)'!$C$39)^('Invoer gegevens (N)'!$C$17-'Invoer gegevens (N)'!$C$16)+(-AZ7/(1+'Invoer gegevens (N)'!$C$39)^D7)+BF7+BG7</f>
        <v>0</v>
      </c>
      <c r="BI7" s="59"/>
    </row>
    <row r="8" spans="1:61" x14ac:dyDescent="0.25">
      <c r="A8" s="59"/>
      <c r="B8" s="70">
        <f t="shared" si="6"/>
        <v>4</v>
      </c>
      <c r="C8" s="67">
        <f ca="1">IF(AND(E8&gt;='Invoer gegevens (N)'!$C$17,E8&lt;'Invoer gegevens (N)'!$C$17+15),1,0)</f>
        <v>1</v>
      </c>
      <c r="D8" s="68">
        <f t="shared" si="7"/>
        <v>3.5</v>
      </c>
      <c r="E8" s="69">
        <f ca="1">IF('Invoer gegevens (N)'!$C$16="","",E7+1)</f>
        <v>2022</v>
      </c>
      <c r="F8" s="82">
        <f ca="1">IF('Invoer gegevens (N)'!$C$17=E8,'Invoer gegevens (N)'!$C$10,IF(C8=1,H7,0))</f>
        <v>0</v>
      </c>
      <c r="G8" s="83">
        <f ca="1">IF(E8='Invoer gegevens (N)'!$C$17+15,H7,IF(C8&gt;=1,F8*'Reeksen (N)'!C8,0))</f>
        <v>0</v>
      </c>
      <c r="H8" s="84">
        <f ca="1">IF(E8&gt;='Invoer gegevens (N)'!$C$17+15,0,F8-G8)</f>
        <v>0</v>
      </c>
      <c r="I8" s="85">
        <f ca="1">IF('Invoer gegevens (N)'!$C$17=E8,'Invoer gegevens (N)'!$C$11,IF(C8=1,L7,0))</f>
        <v>28.8</v>
      </c>
      <c r="J8" s="86">
        <f ca="1">IF(E8='Invoer gegevens (N)'!$C$17+15,L7,IF(C8&lt;1,0,IF('Reeksen (N)'!AK8&lt;='Reeksen (N)'!AE8,I8*'Reeksen (N)'!C8,0)))</f>
        <v>0</v>
      </c>
      <c r="K8" s="86">
        <f ca="1">IF(E8='Invoer gegevens (N)'!$C$17+15,L7,IF(C8&lt;1,0,IF('Reeksen (N)'!AK8&gt;'Reeksen (N)'!AE8,I8*'Reeksen (N)'!C8,0)))</f>
        <v>0</v>
      </c>
      <c r="L8" s="86">
        <f ca="1">IF(E8&gt;='Invoer gegevens (N)'!$C$17+15,0,I8-J8-K8)</f>
        <v>28.8</v>
      </c>
      <c r="M8" s="85">
        <f ca="1">IF('Invoer gegevens (N)'!$C$17=E8,'Invoer gegevens (N)'!$C$10-'Invoer gegevens (N)'!$C$11,IF(C8=1,P7,0))</f>
        <v>0</v>
      </c>
      <c r="N8" s="86">
        <f ca="1">IF(E8='Invoer gegevens (N)'!$C$17+15,P7,IF(C8&lt;1,0,IF('Reeksen (N)'!AK8&lt;='Reeksen (N)'!AE8,M8*'Reeksen (N)'!C8,0)))</f>
        <v>0</v>
      </c>
      <c r="O8" s="86">
        <f ca="1">IF(E8='Invoer gegevens (N)'!$C$17+15,P7,IF(C8&lt;1,0,IF('Reeksen (N)'!AK8&gt;'Reeksen (N)'!AE8,M8*'Reeksen (N)'!C8,0)))</f>
        <v>0</v>
      </c>
      <c r="P8" s="86">
        <f ca="1">IF(E8&gt;='Invoer gegevens (N)'!$C$17+15,0,M8-N8-O8)</f>
        <v>0</v>
      </c>
      <c r="Q8" s="82">
        <f ca="1">IF('Invoer gegevens (N)'!$C$17=E8,I8,IF(C8=0,0,R7))</f>
        <v>0</v>
      </c>
      <c r="R8" s="84">
        <f t="shared" ca="1" si="0"/>
        <v>0</v>
      </c>
      <c r="S8" s="84">
        <f ca="1">IF('Invoer gegevens (N)'!$C$17=E8,M8,IF(C8=0,0,T7))</f>
        <v>0</v>
      </c>
      <c r="T8" s="84">
        <f t="shared" ca="1" si="1"/>
        <v>0</v>
      </c>
      <c r="AH8" s="68"/>
      <c r="AI8" s="71">
        <f ca="1">IF(C8=1,((F8+H8)/2*'Reeksen (N)'!AJ8*12)+(('Invoer gegevens (N)'!$C$10-(F8+H8)/2)*'Reeksen (N)'!AK8*12),0)</f>
        <v>0</v>
      </c>
      <c r="AJ8" s="71">
        <f ca="1">-AI8*'Invoer gegevens (N)'!$F$28</f>
        <v>0</v>
      </c>
      <c r="AK8" s="71">
        <f t="shared" ca="1" si="2"/>
        <v>0</v>
      </c>
      <c r="AL8" s="71">
        <f ca="1">IF(C8=1,(12*((F8+H8)/2)*'Reeksen (N)'!AL8)+(12*('Invoer gegevens (N)'!$C$10-(F8+H8)/2)*'Reeksen (N)'!AM8),0)</f>
        <v>0</v>
      </c>
      <c r="AM8" s="71">
        <f ca="1">-AL8*'Invoer gegevens (N)'!$F$31</f>
        <v>0</v>
      </c>
      <c r="AN8" s="71">
        <f t="shared" ca="1" si="3"/>
        <v>0</v>
      </c>
      <c r="AO8" s="71"/>
      <c r="AP8" s="71"/>
      <c r="AQ8" s="71">
        <f ca="1">-IF(C8=1,('Invoer gegevens (N)'!$C$10*'Invoer gegevens (N)'!$I$33)*'Reeksen (N)'!J8,0)</f>
        <v>0</v>
      </c>
      <c r="AR8" s="71">
        <f ca="1">-IF(C8=1,(G8*'Invoer gegevens (N)'!$I$34)*'Reeksen (N)'!J8,0)</f>
        <v>0</v>
      </c>
      <c r="AS8" s="71">
        <f ca="1">-IF(C8=1,'Invoer gegevens (N)'!$C$10*'Invoer gegevens (N)'!$I$35*'Reeksen (N)'!L8,0)</f>
        <v>0</v>
      </c>
      <c r="AT8" s="71">
        <f ca="1">-IF(C8=1,IF(E8='Invoer gegevens (N)'!$C$17,'Invoer gegevens (N)'!$C$11,Q8)*'Reeksen (N)'!S8*'Invoer gegevens (N)'!$C$18*'Reeksen (N)'!P8,0)</f>
        <v>0</v>
      </c>
      <c r="AU8" s="71">
        <f ca="1">-IF(C8=1,'Invoer gegevens (N)'!$C$10*'Invoer gegevens (N)'!$I$36*'Reeksen (N)'!H8,0)</f>
        <v>0</v>
      </c>
      <c r="AV8" s="71">
        <v>0</v>
      </c>
      <c r="AW8" s="71">
        <f t="shared" ca="1" si="4"/>
        <v>0</v>
      </c>
      <c r="AX8" s="72">
        <f ca="1">IF(E8='Invoer gegevens (N)'!$C$17+14,'RW - BW - DE (N)'!$AY$236,0)</f>
        <v>0</v>
      </c>
      <c r="AY8" s="72">
        <f ca="1">IFERROR(IF(E8='Invoer gegevens (N)'!$C$17,-'Invoer gegevens (N)'!$C$10*'Invoer gegevens (N)'!$C$31*'Reeksen (N)'!H8,0),0)</f>
        <v>0</v>
      </c>
      <c r="AZ8" s="73">
        <f ca="1">IF('Invoer gegevens (N)'!$C$34=E8,'Invoer gegevens (N)'!$C$27*'Invoer gegevens (N)'!$C$10*'Invoer gegevens (N)'!$C$36*(IF('Invoer gegevens (N)'!$C$35="ja",1,'Reeksen (N)'!J8)),IF('Invoer gegevens (N)'!$C$34+1=E8,'Invoer gegevens (N)'!$C$27*'Invoer gegevens (N)'!$C$10*'Invoer gegevens (N)'!$C$37*(IF('Invoer gegevens (N)'!$C$35="ja",1,'Reeksen (N)'!J8)),0))+IF(AND(E8='Invoer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8" s="73">
        <f ca="1">AW8/(1+'Invoer gegevens (N)'!$F$13)^($D8-('Invoer gegevens (N)'!$C$17-'Invoer gegevens (N)'!$C$16))/(1+'Invoer gegevens (N)'!$C$39)^('Invoer gegevens (N)'!$C$17-'Invoer gegevens (N)'!$C$16)</f>
        <v>0</v>
      </c>
      <c r="BB8" s="73">
        <f ca="1">AX8/(1+'Invoer gegevens (N)'!$F$13)^(E8-('Invoer gegevens (N)'!$C$17-1))/(1+'Invoer gegevens (N)'!$C$39)^('Invoer gegevens (N)'!$C$17-'Invoer gegevens (N)'!$C$16)</f>
        <v>0</v>
      </c>
      <c r="BC8" s="73">
        <f ca="1">AY8/(1+'Invoer gegevens (N)'!$C$39)^('Invoer gegevens (N)'!$C$17-'Invoer gegevens (N)'!$C$16)</f>
        <v>0</v>
      </c>
      <c r="BD8" s="72">
        <f t="shared" ca="1" si="5"/>
        <v>0</v>
      </c>
      <c r="BE8" s="72">
        <f ca="1">IF(AND(E8='Invoer gegevens (N)'!$C$16,'Invoer gegevens (N)'!$C$34&lt;'Invoer gegevens (N)'!$C$16),AZ8,AZ8/(1+'Invoer gegevens (N)'!$C$39)^D8)</f>
        <v>0</v>
      </c>
      <c r="BF8" s="72">
        <f ca="1">IF(E8='Invoer gegevens (N)'!$C$34,-'Invoer gegevens (N)'!$F$40,0)</f>
        <v>0</v>
      </c>
      <c r="BG8" s="72">
        <f ca="1">IF(E8='Invoer gegevens (N)'!$C$17,-'Invoer gegevens (N)'!$C$19*$BD$31,0)</f>
        <v>0</v>
      </c>
      <c r="BH8" s="72">
        <f ca="1">AW8/(1+$BH$4)^($D8-('Invoer gegevens (N)'!$C$17-'Invoer gegevens (N)'!$C$16))/(1+'Invoer gegevens (N)'!$C$39)^('Invoer gegevens (N)'!$C$17-'Invoer gegevens (N)'!$C$16)+AX8/(1+$BH$4)^(E8-('Invoer gegevens (N)'!$C$17-1))/(1+'Invoer gegevens (N)'!$C$39)^('Invoer gegevens (N)'!$C$17-'Invoer gegevens (N)'!$C$16)+AY8/(1+'Invoer gegevens (N)'!$C$39)^('Invoer gegevens (N)'!$C$17-'Invoer gegevens (N)'!$C$16)+(-AZ8/(1+'Invoer gegevens (N)'!$C$39)^D8)+BF8+BG8</f>
        <v>0</v>
      </c>
      <c r="BI8" s="59"/>
    </row>
    <row r="9" spans="1:61" x14ac:dyDescent="0.25">
      <c r="A9" s="59"/>
      <c r="B9" s="70">
        <f t="shared" si="6"/>
        <v>5</v>
      </c>
      <c r="C9" s="67">
        <f ca="1">IF(AND(E9&gt;='Invoer gegevens (N)'!$C$17,E9&lt;'Invoer gegevens (N)'!$C$17+15),1,0)</f>
        <v>1</v>
      </c>
      <c r="D9" s="68">
        <f t="shared" si="7"/>
        <v>4.5</v>
      </c>
      <c r="E9" s="69">
        <f ca="1">IF('Invoer gegevens (N)'!$C$16="","",E8+1)</f>
        <v>2023</v>
      </c>
      <c r="F9" s="82">
        <f ca="1">IF('Invoer gegevens (N)'!$C$17=E9,'Invoer gegevens (N)'!$C$10,IF(C9=1,H8,0))</f>
        <v>0</v>
      </c>
      <c r="G9" s="83">
        <f ca="1">IF(E9='Invoer gegevens (N)'!$C$17+15,H8,IF(C9&gt;=1,F9*'Reeksen (N)'!C9,0))</f>
        <v>0</v>
      </c>
      <c r="H9" s="84">
        <f ca="1">IF(E9&gt;='Invoer gegevens (N)'!$C$17+15,0,F9-G9)</f>
        <v>0</v>
      </c>
      <c r="I9" s="85">
        <f ca="1">IF('Invoer gegevens (N)'!$C$17=E9,'Invoer gegevens (N)'!$C$11,IF(C9=1,L8,0))</f>
        <v>28.8</v>
      </c>
      <c r="J9" s="86">
        <f ca="1">IF(E9='Invoer gegevens (N)'!$C$17+15,L8,IF(C9&lt;1,0,IF('Reeksen (N)'!AK9&lt;='Reeksen (N)'!AE9,I9*'Reeksen (N)'!C9,0)))</f>
        <v>0</v>
      </c>
      <c r="K9" s="86">
        <f ca="1">IF(E9='Invoer gegevens (N)'!$C$17+15,L8,IF(C9&lt;1,0,IF('Reeksen (N)'!AK9&gt;'Reeksen (N)'!AE9,I9*'Reeksen (N)'!C9,0)))</f>
        <v>0</v>
      </c>
      <c r="L9" s="86">
        <f ca="1">IF(E9&gt;='Invoer gegevens (N)'!$C$17+15,0,I9-J9-K9)</f>
        <v>28.8</v>
      </c>
      <c r="M9" s="85">
        <f ca="1">IF('Invoer gegevens (N)'!$C$17=E9,'Invoer gegevens (N)'!$C$10-'Invoer gegevens (N)'!$C$11,IF(C9=1,P8,0))</f>
        <v>0</v>
      </c>
      <c r="N9" s="86">
        <f ca="1">IF(E9='Invoer gegevens (N)'!$C$17+15,P8,IF(C9&lt;1,0,IF('Reeksen (N)'!AK9&lt;='Reeksen (N)'!AE9,M9*'Reeksen (N)'!C9,0)))</f>
        <v>0</v>
      </c>
      <c r="O9" s="86">
        <f ca="1">IF(E9='Invoer gegevens (N)'!$C$17+15,P8,IF(C9&lt;1,0,IF('Reeksen (N)'!AK9&gt;'Reeksen (N)'!AE9,M9*'Reeksen (N)'!C9,0)))</f>
        <v>0</v>
      </c>
      <c r="P9" s="86">
        <f ca="1">IF(E9&gt;='Invoer gegevens (N)'!$C$17+15,0,M9-N9-O9)</f>
        <v>0</v>
      </c>
      <c r="Q9" s="82">
        <f ca="1">IF('Invoer gegevens (N)'!$C$17=E9,I9,IF(C9=0,0,R8))</f>
        <v>0</v>
      </c>
      <c r="R9" s="84">
        <f t="shared" ca="1" si="0"/>
        <v>0</v>
      </c>
      <c r="S9" s="84">
        <f ca="1">IF('Invoer gegevens (N)'!$C$17=E9,M9,IF(C9=0,0,T8))</f>
        <v>0</v>
      </c>
      <c r="T9" s="84">
        <f t="shared" ca="1" si="1"/>
        <v>0</v>
      </c>
      <c r="AH9" s="68"/>
      <c r="AI9" s="71">
        <f ca="1">IF(C9=1,((F9+H9)/2*'Reeksen (N)'!AJ9*12)+(('Invoer gegevens (N)'!$C$10-(F9+H9)/2)*'Reeksen (N)'!AK9*12),0)</f>
        <v>0</v>
      </c>
      <c r="AJ9" s="71">
        <f ca="1">-AI9*'Invoer gegevens (N)'!$F$28</f>
        <v>0</v>
      </c>
      <c r="AK9" s="71">
        <f t="shared" ca="1" si="2"/>
        <v>0</v>
      </c>
      <c r="AL9" s="71">
        <f ca="1">IF(C9=1,(12*((F9+H9)/2)*'Reeksen (N)'!AL9)+(12*('Invoer gegevens (N)'!$C$10-(F9+H9)/2)*'Reeksen (N)'!AM9),0)</f>
        <v>0</v>
      </c>
      <c r="AM9" s="71">
        <f ca="1">-AL9*'Invoer gegevens (N)'!$F$31</f>
        <v>0</v>
      </c>
      <c r="AN9" s="71">
        <f t="shared" ca="1" si="3"/>
        <v>0</v>
      </c>
      <c r="AO9" s="71"/>
      <c r="AP9" s="71"/>
      <c r="AQ9" s="71">
        <f ca="1">-IF(C9=1,('Invoer gegevens (N)'!$C$10*'Invoer gegevens (N)'!$I$33)*'Reeksen (N)'!J9,0)</f>
        <v>0</v>
      </c>
      <c r="AR9" s="71">
        <f ca="1">-IF(C9=1,(G9*'Invoer gegevens (N)'!$I$34)*'Reeksen (N)'!J9,0)</f>
        <v>0</v>
      </c>
      <c r="AS9" s="71">
        <f ca="1">-IF(C9=1,'Invoer gegevens (N)'!$C$10*'Invoer gegevens (N)'!$I$35*'Reeksen (N)'!L9,0)</f>
        <v>0</v>
      </c>
      <c r="AT9" s="71">
        <f ca="1">-IF(C9=1,IF(E9='Invoer gegevens (N)'!$C$17,'Invoer gegevens (N)'!$C$11,Q9)*'Reeksen (N)'!S9*'Invoer gegevens (N)'!$C$18*'Reeksen (N)'!P9,0)</f>
        <v>0</v>
      </c>
      <c r="AU9" s="71">
        <f ca="1">-IF(C9=1,'Invoer gegevens (N)'!$C$10*'Invoer gegevens (N)'!$I$36*'Reeksen (N)'!H9,0)</f>
        <v>0</v>
      </c>
      <c r="AV9" s="71">
        <v>0</v>
      </c>
      <c r="AW9" s="71">
        <f t="shared" ca="1" si="4"/>
        <v>0</v>
      </c>
      <c r="AX9" s="72">
        <f ca="1">IF(E9='Invoer gegevens (N)'!$C$17+14,'RW - BW - DE (N)'!$AY$236,0)</f>
        <v>0</v>
      </c>
      <c r="AY9" s="72">
        <f ca="1">IFERROR(IF(E9='Invoer gegevens (N)'!$C$17,-'Invoer gegevens (N)'!$C$10*'Invoer gegevens (N)'!$C$31*'Reeksen (N)'!H9,0),0)</f>
        <v>0</v>
      </c>
      <c r="AZ9" s="73">
        <f ca="1">IF('Invoer gegevens (N)'!$C$34=E9,'Invoer gegevens (N)'!$C$27*'Invoer gegevens (N)'!$C$10*'Invoer gegevens (N)'!$C$36*(IF('Invoer gegevens (N)'!$C$35="ja",1,'Reeksen (N)'!J9)),IF('Invoer gegevens (N)'!$C$34+1=E9,'Invoer gegevens (N)'!$C$27*'Invoer gegevens (N)'!$C$10*'Invoer gegevens (N)'!$C$37*(IF('Invoer gegevens (N)'!$C$35="ja",1,'Reeksen (N)'!J9)),0))+IF(AND(E9='Invoer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9" s="73">
        <f ca="1">AW9/(1+'Invoer gegevens (N)'!$F$13)^($D9-('Invoer gegevens (N)'!$C$17-'Invoer gegevens (N)'!$C$16))/(1+'Invoer gegevens (N)'!$C$39)^('Invoer gegevens (N)'!$C$17-'Invoer gegevens (N)'!$C$16)</f>
        <v>0</v>
      </c>
      <c r="BB9" s="73">
        <f ca="1">AX9/(1+'Invoer gegevens (N)'!$F$13)^(E9-('Invoer gegevens (N)'!$C$17-1))/(1+'Invoer gegevens (N)'!$C$39)^('Invoer gegevens (N)'!$C$17-'Invoer gegevens (N)'!$C$16)</f>
        <v>0</v>
      </c>
      <c r="BC9" s="73">
        <f ca="1">AY9/(1+'Invoer gegevens (N)'!$C$39)^('Invoer gegevens (N)'!$C$17-'Invoer gegevens (N)'!$C$16)</f>
        <v>0</v>
      </c>
      <c r="BD9" s="72">
        <f t="shared" ca="1" si="5"/>
        <v>0</v>
      </c>
      <c r="BE9" s="72">
        <f ca="1">IF(AND(E9='Invoer gegevens (N)'!$C$16,'Invoer gegevens (N)'!$C$34&lt;'Invoer gegevens (N)'!$C$16),AZ9,AZ9/(1+'Invoer gegevens (N)'!$C$39)^D9)</f>
        <v>0</v>
      </c>
      <c r="BF9" s="72">
        <f ca="1">IF(E9='Invoer gegevens (N)'!$C$34,-'Invoer gegevens (N)'!$F$40,0)</f>
        <v>0</v>
      </c>
      <c r="BG9" s="72">
        <f ca="1">IF(E9='Invoer gegevens (N)'!$C$17,-'Invoer gegevens (N)'!$C$19*$BD$31,0)</f>
        <v>0</v>
      </c>
      <c r="BH9" s="72">
        <f ca="1">AW9/(1+$BH$4)^($D9-('Invoer gegevens (N)'!$C$17-'Invoer gegevens (N)'!$C$16))/(1+'Invoer gegevens (N)'!$C$39)^('Invoer gegevens (N)'!$C$17-'Invoer gegevens (N)'!$C$16)+AX9/(1+$BH$4)^(E9-('Invoer gegevens (N)'!$C$17-1))/(1+'Invoer gegevens (N)'!$C$39)^('Invoer gegevens (N)'!$C$17-'Invoer gegevens (N)'!$C$16)+AY9/(1+'Invoer gegevens (N)'!$C$39)^('Invoer gegevens (N)'!$C$17-'Invoer gegevens (N)'!$C$16)+(-AZ9/(1+'Invoer gegevens (N)'!$C$39)^D9)+BF9+BG9</f>
        <v>0</v>
      </c>
      <c r="BI9" s="59"/>
    </row>
    <row r="10" spans="1:61" x14ac:dyDescent="0.25">
      <c r="A10" s="59"/>
      <c r="B10" s="70">
        <f t="shared" si="6"/>
        <v>6</v>
      </c>
      <c r="C10" s="67">
        <f ca="1">IF(AND(E10&gt;='Invoer gegevens (N)'!$C$17,E10&lt;'Invoer gegevens (N)'!$C$17+15),1,0)</f>
        <v>1</v>
      </c>
      <c r="D10" s="68">
        <f t="shared" si="7"/>
        <v>5.5</v>
      </c>
      <c r="E10" s="69">
        <f ca="1">IF('Invoer gegevens (N)'!$C$16="","",E9+1)</f>
        <v>2024</v>
      </c>
      <c r="F10" s="82">
        <f ca="1">IF('Invoer gegevens (N)'!$C$17=E10,'Invoer gegevens (N)'!$C$10,IF(C10=1,H9,0))</f>
        <v>0</v>
      </c>
      <c r="G10" s="83">
        <f ca="1">IF(E10='Invoer gegevens (N)'!$C$17+15,H9,IF(C10&gt;=1,F10*'Reeksen (N)'!C10,0))</f>
        <v>0</v>
      </c>
      <c r="H10" s="84">
        <f ca="1">IF(E10&gt;='Invoer gegevens (N)'!$C$17+15,0,F10-G10)</f>
        <v>0</v>
      </c>
      <c r="I10" s="85">
        <f ca="1">IF('Invoer gegevens (N)'!$C$17=E10,'Invoer gegevens (N)'!$C$11,IF(C10=1,L9,0))</f>
        <v>28.8</v>
      </c>
      <c r="J10" s="86">
        <f ca="1">IF(E10='Invoer gegevens (N)'!$C$17+15,L9,IF(C10&lt;1,0,IF('Reeksen (N)'!AK10&lt;='Reeksen (N)'!AE10,I10*'Reeksen (N)'!C10,0)))</f>
        <v>0</v>
      </c>
      <c r="K10" s="86">
        <f ca="1">IF(E10='Invoer gegevens (N)'!$C$17+15,L9,IF(C10&lt;1,0,IF('Reeksen (N)'!AK10&gt;'Reeksen (N)'!AE10,I10*'Reeksen (N)'!C10,0)))</f>
        <v>0</v>
      </c>
      <c r="L10" s="86">
        <f ca="1">IF(E10&gt;='Invoer gegevens (N)'!$C$17+15,0,I10-J10-K10)</f>
        <v>28.8</v>
      </c>
      <c r="M10" s="85">
        <f ca="1">IF('Invoer gegevens (N)'!$C$17=E10,'Invoer gegevens (N)'!$C$10-'Invoer gegevens (N)'!$C$11,IF(C10=1,P9,0))</f>
        <v>0</v>
      </c>
      <c r="N10" s="86">
        <f ca="1">IF(E10='Invoer gegevens (N)'!$C$17+15,P9,IF(C10&lt;1,0,IF('Reeksen (N)'!AK10&lt;='Reeksen (N)'!AE10,M10*'Reeksen (N)'!C10,0)))</f>
        <v>0</v>
      </c>
      <c r="O10" s="86">
        <f ca="1">IF(E10='Invoer gegevens (N)'!$C$17+15,P9,IF(C10&lt;1,0,IF('Reeksen (N)'!AK10&gt;'Reeksen (N)'!AE10,M10*'Reeksen (N)'!C10,0)))</f>
        <v>0</v>
      </c>
      <c r="P10" s="86">
        <f ca="1">IF(E10&gt;='Invoer gegevens (N)'!$C$17+15,0,M10-N10-O10)</f>
        <v>0</v>
      </c>
      <c r="Q10" s="82">
        <f ca="1">IF('Invoer gegevens (N)'!$C$17=E10,I10,IF(C10=0,0,R9))</f>
        <v>0</v>
      </c>
      <c r="R10" s="84">
        <f t="shared" ca="1" si="0"/>
        <v>0</v>
      </c>
      <c r="S10" s="84">
        <f ca="1">IF('Invoer gegevens (N)'!$C$17=E10,M10,IF(C10=0,0,T9))</f>
        <v>0</v>
      </c>
      <c r="T10" s="84">
        <f t="shared" ca="1" si="1"/>
        <v>0</v>
      </c>
      <c r="AH10" s="68"/>
      <c r="AI10" s="71">
        <f ca="1">IF(C10=1,((F10+H10)/2*'Reeksen (N)'!AJ10*12)+(('Invoer gegevens (N)'!$C$10-(F10+H10)/2)*'Reeksen (N)'!AK10*12),0)</f>
        <v>0</v>
      </c>
      <c r="AJ10" s="71">
        <f ca="1">-AI10*'Invoer gegevens (N)'!$F$28</f>
        <v>0</v>
      </c>
      <c r="AK10" s="71">
        <f t="shared" ca="1" si="2"/>
        <v>0</v>
      </c>
      <c r="AL10" s="71">
        <f ca="1">IF(C10=1,(12*((F10+H10)/2)*'Reeksen (N)'!AL10)+(12*('Invoer gegevens (N)'!$C$10-(F10+H10)/2)*'Reeksen (N)'!AM10),0)</f>
        <v>0</v>
      </c>
      <c r="AM10" s="71">
        <f ca="1">-AL10*'Invoer gegevens (N)'!$F$31</f>
        <v>0</v>
      </c>
      <c r="AN10" s="71">
        <f t="shared" ca="1" si="3"/>
        <v>0</v>
      </c>
      <c r="AO10" s="71"/>
      <c r="AP10" s="71"/>
      <c r="AQ10" s="71">
        <f ca="1">-IF(C10=1,('Invoer gegevens (N)'!$C$10*'Invoer gegevens (N)'!$I$33)*'Reeksen (N)'!J10,0)</f>
        <v>0</v>
      </c>
      <c r="AR10" s="71">
        <f ca="1">-IF(C10=1,(G10*'Invoer gegevens (N)'!$I$34)*'Reeksen (N)'!J10,0)</f>
        <v>0</v>
      </c>
      <c r="AS10" s="71">
        <f ca="1">-IF(C10=1,'Invoer gegevens (N)'!$C$10*'Invoer gegevens (N)'!$I$35*'Reeksen (N)'!L10,0)</f>
        <v>0</v>
      </c>
      <c r="AT10" s="71">
        <f ca="1">-IF(C10=1,IF(E10='Invoer gegevens (N)'!$C$17,'Invoer gegevens (N)'!$C$11,Q10)*'Reeksen (N)'!S10*'Invoer gegevens (N)'!$C$18*'Reeksen (N)'!P10,0)</f>
        <v>0</v>
      </c>
      <c r="AU10" s="71">
        <f ca="1">-IF(C10=1,'Invoer gegevens (N)'!$C$10*'Invoer gegevens (N)'!$I$36*'Reeksen (N)'!H10,0)</f>
        <v>0</v>
      </c>
      <c r="AV10" s="71">
        <v>0</v>
      </c>
      <c r="AW10" s="71">
        <f t="shared" ca="1" si="4"/>
        <v>0</v>
      </c>
      <c r="AX10" s="72">
        <f ca="1">IF(E10='Invoer gegevens (N)'!$C$17+14,'RW - BW - DE (N)'!$AY$236,0)</f>
        <v>0</v>
      </c>
      <c r="AY10" s="72">
        <f ca="1">IFERROR(IF(E10='Invoer gegevens (N)'!$C$17,-'Invoer gegevens (N)'!$C$10*'Invoer gegevens (N)'!$C$31*'Reeksen (N)'!H10,0),0)</f>
        <v>0</v>
      </c>
      <c r="AZ10" s="73">
        <f ca="1">IF('Invoer gegevens (N)'!$C$34=E10,'Invoer gegevens (N)'!$C$27*'Invoer gegevens (N)'!$C$10*'Invoer gegevens (N)'!$C$36*(IF('Invoer gegevens (N)'!$C$35="ja",1,'Reeksen (N)'!J10)),IF('Invoer gegevens (N)'!$C$34+1=E10,'Invoer gegevens (N)'!$C$27*'Invoer gegevens (N)'!$C$10*'Invoer gegevens (N)'!$C$37*(IF('Invoer gegevens (N)'!$C$35="ja",1,'Reeksen (N)'!J10)),0))+IF(AND(E10='Invoer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0" s="73">
        <f ca="1">AW10/(1+'Invoer gegevens (N)'!$F$13)^($D10-('Invoer gegevens (N)'!$C$17-'Invoer gegevens (N)'!$C$16))/(1+'Invoer gegevens (N)'!$C$39)^('Invoer gegevens (N)'!$C$17-'Invoer gegevens (N)'!$C$16)</f>
        <v>0</v>
      </c>
      <c r="BB10" s="73">
        <f ca="1">AX10/(1+'Invoer gegevens (N)'!$F$13)^(E10-('Invoer gegevens (N)'!$C$17-1))/(1+'Invoer gegevens (N)'!$C$39)^('Invoer gegevens (N)'!$C$17-'Invoer gegevens (N)'!$C$16)</f>
        <v>0</v>
      </c>
      <c r="BC10" s="73">
        <f ca="1">AY10/(1+'Invoer gegevens (N)'!$C$39)^('Invoer gegevens (N)'!$C$17-'Invoer gegevens (N)'!$C$16)</f>
        <v>0</v>
      </c>
      <c r="BD10" s="72">
        <f t="shared" ca="1" si="5"/>
        <v>0</v>
      </c>
      <c r="BE10" s="72">
        <f ca="1">IF(AND(E10='Invoer gegevens (N)'!$C$16,'Invoer gegevens (N)'!$C$34&lt;'Invoer gegevens (N)'!$C$16),AZ10,AZ10/(1+'Invoer gegevens (N)'!$C$39)^D10)</f>
        <v>0</v>
      </c>
      <c r="BF10" s="72">
        <f ca="1">IF(E10='Invoer gegevens (N)'!$C$34,-'Invoer gegevens (N)'!$F$40,0)</f>
        <v>0</v>
      </c>
      <c r="BG10" s="72">
        <f ca="1">IF(E10='Invoer gegevens (N)'!$C$17,-'Invoer gegevens (N)'!$C$19*$BD$31,0)</f>
        <v>0</v>
      </c>
      <c r="BH10" s="72">
        <f ca="1">AW10/(1+$BH$4)^($D10-('Invoer gegevens (N)'!$C$17-'Invoer gegevens (N)'!$C$16))/(1+'Invoer gegevens (N)'!$C$39)^('Invoer gegevens (N)'!$C$17-'Invoer gegevens (N)'!$C$16)+AX10/(1+$BH$4)^(E10-('Invoer gegevens (N)'!$C$17-1))/(1+'Invoer gegevens (N)'!$C$39)^('Invoer gegevens (N)'!$C$17-'Invoer gegevens (N)'!$C$16)+AY10/(1+'Invoer gegevens (N)'!$C$39)^('Invoer gegevens (N)'!$C$17-'Invoer gegevens (N)'!$C$16)+(-AZ10/(1+'Invoer gegevens (N)'!$C$39)^D10)+BF10+BG10</f>
        <v>0</v>
      </c>
      <c r="BI10" s="59"/>
    </row>
    <row r="11" spans="1:61" x14ac:dyDescent="0.25">
      <c r="A11" s="59"/>
      <c r="B11" s="70">
        <f t="shared" si="6"/>
        <v>7</v>
      </c>
      <c r="C11" s="67">
        <f ca="1">IF(AND(E11&gt;='Invoer gegevens (N)'!$C$17,E11&lt;'Invoer gegevens (N)'!$C$17+15),1,0)</f>
        <v>1</v>
      </c>
      <c r="D11" s="68">
        <f t="shared" si="7"/>
        <v>6.5</v>
      </c>
      <c r="E11" s="69">
        <f ca="1">IF('Invoer gegevens (N)'!$C$16="","",E10+1)</f>
        <v>2025</v>
      </c>
      <c r="F11" s="82">
        <f ca="1">IF('Invoer gegevens (N)'!$C$17=E11,'Invoer gegevens (N)'!$C$10,IF(C11=1,H10,0))</f>
        <v>0</v>
      </c>
      <c r="G11" s="83">
        <f ca="1">IF(E11='Invoer gegevens (N)'!$C$17+15,H10,IF(C11&gt;=1,F11*'Reeksen (N)'!C11,0))</f>
        <v>0</v>
      </c>
      <c r="H11" s="84">
        <f ca="1">IF(E11&gt;='Invoer gegevens (N)'!$C$17+15,0,F11-G11)</f>
        <v>0</v>
      </c>
      <c r="I11" s="85">
        <f ca="1">IF('Invoer gegevens (N)'!$C$17=E11,'Invoer gegevens (N)'!$C$11,IF(C11=1,L10,0))</f>
        <v>28.8</v>
      </c>
      <c r="J11" s="86">
        <f ca="1">IF(E11='Invoer gegevens (N)'!$C$17+15,L10,IF(C11&lt;1,0,IF('Reeksen (N)'!AK11&lt;='Reeksen (N)'!AE11,I11*'Reeksen (N)'!C11,0)))</f>
        <v>0</v>
      </c>
      <c r="K11" s="86">
        <f ca="1">IF(E11='Invoer gegevens (N)'!$C$17+15,L10,IF(C11&lt;1,0,IF('Reeksen (N)'!AK11&gt;'Reeksen (N)'!AE11,I11*'Reeksen (N)'!C11,0)))</f>
        <v>0</v>
      </c>
      <c r="L11" s="86">
        <f ca="1">IF(E11&gt;='Invoer gegevens (N)'!$C$17+15,0,I11-J11-K11)</f>
        <v>28.8</v>
      </c>
      <c r="M11" s="85">
        <f ca="1">IF('Invoer gegevens (N)'!$C$17=E11,'Invoer gegevens (N)'!$C$10-'Invoer gegevens (N)'!$C$11,IF(C11=1,P10,0))</f>
        <v>0</v>
      </c>
      <c r="N11" s="86">
        <f ca="1">IF(E11='Invoer gegevens (N)'!$C$17+15,P10,IF(C11&lt;1,0,IF('Reeksen (N)'!AK11&lt;='Reeksen (N)'!AE11,M11*'Reeksen (N)'!C11,0)))</f>
        <v>0</v>
      </c>
      <c r="O11" s="86">
        <f ca="1">IF(E11='Invoer gegevens (N)'!$C$17+15,P10,IF(C11&lt;1,0,IF('Reeksen (N)'!AK11&gt;'Reeksen (N)'!AE11,M11*'Reeksen (N)'!C11,0)))</f>
        <v>0</v>
      </c>
      <c r="P11" s="86">
        <f ca="1">IF(E11&gt;='Invoer gegevens (N)'!$C$17+15,0,M11-N11-O11)</f>
        <v>0</v>
      </c>
      <c r="Q11" s="82">
        <f ca="1">IF('Invoer gegevens (N)'!$C$17=E11,I11,IF(C11=0,0,R10))</f>
        <v>0</v>
      </c>
      <c r="R11" s="84">
        <f t="shared" ca="1" si="0"/>
        <v>0</v>
      </c>
      <c r="S11" s="84">
        <f ca="1">IF('Invoer gegevens (N)'!$C$17=E11,M11,IF(C11=0,0,T10))</f>
        <v>0</v>
      </c>
      <c r="T11" s="84">
        <f t="shared" ca="1" si="1"/>
        <v>0</v>
      </c>
      <c r="AH11" s="68"/>
      <c r="AI11" s="71">
        <f ca="1">IF(C11=1,((F11+H11)/2*'Reeksen (N)'!AJ11*12)+(('Invoer gegevens (N)'!$C$10-(F11+H11)/2)*'Reeksen (N)'!AK11*12),0)</f>
        <v>0</v>
      </c>
      <c r="AJ11" s="71">
        <f ca="1">-AI11*'Invoer gegevens (N)'!$F$28</f>
        <v>0</v>
      </c>
      <c r="AK11" s="71">
        <f t="shared" ca="1" si="2"/>
        <v>0</v>
      </c>
      <c r="AL11" s="71">
        <f ca="1">IF(C11=1,(12*((F11+H11)/2)*'Reeksen (N)'!AL11)+(12*('Invoer gegevens (N)'!$C$10-(F11+H11)/2)*'Reeksen (N)'!AM11),0)</f>
        <v>0</v>
      </c>
      <c r="AM11" s="71">
        <f ca="1">-AL11*'Invoer gegevens (N)'!$F$31</f>
        <v>0</v>
      </c>
      <c r="AN11" s="71">
        <f t="shared" ca="1" si="3"/>
        <v>0</v>
      </c>
      <c r="AO11" s="71"/>
      <c r="AP11" s="71"/>
      <c r="AQ11" s="71">
        <f ca="1">-IF(C11=1,('Invoer gegevens (N)'!$C$10*'Invoer gegevens (N)'!$I$33)*'Reeksen (N)'!J11,0)</f>
        <v>0</v>
      </c>
      <c r="AR11" s="71">
        <f ca="1">-IF(C11=1,(G11*'Invoer gegevens (N)'!$I$34)*'Reeksen (N)'!J11,0)</f>
        <v>0</v>
      </c>
      <c r="AS11" s="71">
        <f ca="1">-IF(C11=1,'Invoer gegevens (N)'!$C$10*'Invoer gegevens (N)'!$I$35*'Reeksen (N)'!L11,0)</f>
        <v>0</v>
      </c>
      <c r="AT11" s="71">
        <f ca="1">-IF(C11=1,IF(E11='Invoer gegevens (N)'!$C$17,'Invoer gegevens (N)'!$C$11,Q11)*'Reeksen (N)'!S11*'Invoer gegevens (N)'!$C$18*'Reeksen (N)'!P11,0)</f>
        <v>0</v>
      </c>
      <c r="AU11" s="71">
        <f ca="1">-IF(C11=1,'Invoer gegevens (N)'!$C$10*'Invoer gegevens (N)'!$I$36*'Reeksen (N)'!H11,0)</f>
        <v>0</v>
      </c>
      <c r="AV11" s="71">
        <v>0</v>
      </c>
      <c r="AW11" s="71">
        <f t="shared" ca="1" si="4"/>
        <v>0</v>
      </c>
      <c r="AX11" s="72">
        <f ca="1">IF(E11='Invoer gegevens (N)'!$C$17+14,'RW - BW - DE (N)'!$AY$236,0)</f>
        <v>0</v>
      </c>
      <c r="AY11" s="72">
        <f ca="1">IFERROR(IF(E11='Invoer gegevens (N)'!$C$17,-'Invoer gegevens (N)'!$C$10*'Invoer gegevens (N)'!$C$31*'Reeksen (N)'!H11,0),0)</f>
        <v>0</v>
      </c>
      <c r="AZ11" s="73">
        <f ca="1">IF('Invoer gegevens (N)'!$C$34=E11,'Invoer gegevens (N)'!$C$27*'Invoer gegevens (N)'!$C$10*'Invoer gegevens (N)'!$C$36*(IF('Invoer gegevens (N)'!$C$35="ja",1,'Reeksen (N)'!J11)),IF('Invoer gegevens (N)'!$C$34+1=E11,'Invoer gegevens (N)'!$C$27*'Invoer gegevens (N)'!$C$10*'Invoer gegevens (N)'!$C$37*(IF('Invoer gegevens (N)'!$C$35="ja",1,'Reeksen (N)'!J11)),0))+IF(AND(E11='Invoer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1" s="73">
        <f ca="1">AW11/(1+'Invoer gegevens (N)'!$F$13)^($D11-('Invoer gegevens (N)'!$C$17-'Invoer gegevens (N)'!$C$16))/(1+'Invoer gegevens (N)'!$C$39)^('Invoer gegevens (N)'!$C$17-'Invoer gegevens (N)'!$C$16)</f>
        <v>0</v>
      </c>
      <c r="BB11" s="73">
        <f ca="1">AX11/(1+'Invoer gegevens (N)'!$F$13)^(E11-('Invoer gegevens (N)'!$C$17-1))/(1+'Invoer gegevens (N)'!$C$39)^('Invoer gegevens (N)'!$C$17-'Invoer gegevens (N)'!$C$16)</f>
        <v>0</v>
      </c>
      <c r="BC11" s="73">
        <f ca="1">AY11/(1+'Invoer gegevens (N)'!$C$39)^('Invoer gegevens (N)'!$C$17-'Invoer gegevens (N)'!$C$16)</f>
        <v>0</v>
      </c>
      <c r="BD11" s="72">
        <f t="shared" ca="1" si="5"/>
        <v>0</v>
      </c>
      <c r="BE11" s="72">
        <f ca="1">IF(AND(E11='Invoer gegevens (N)'!$C$16,'Invoer gegevens (N)'!$C$34&lt;'Invoer gegevens (N)'!$C$16),AZ11,AZ11/(1+'Invoer gegevens (N)'!$C$39)^D11)</f>
        <v>0</v>
      </c>
      <c r="BF11" s="72">
        <f ca="1">IF(E11='Invoer gegevens (N)'!$C$34,-'Invoer gegevens (N)'!$F$40,0)</f>
        <v>0</v>
      </c>
      <c r="BG11" s="72">
        <f ca="1">IF(E11='Invoer gegevens (N)'!$C$17,-'Invoer gegevens (N)'!$C$19*$BD$31,0)</f>
        <v>0</v>
      </c>
      <c r="BH11" s="72">
        <f ca="1">AW11/(1+$BH$4)^($D11-('Invoer gegevens (N)'!$C$17-'Invoer gegevens (N)'!$C$16))/(1+'Invoer gegevens (N)'!$C$39)^('Invoer gegevens (N)'!$C$17-'Invoer gegevens (N)'!$C$16)+AX11/(1+$BH$4)^(E11-('Invoer gegevens (N)'!$C$17-1))/(1+'Invoer gegevens (N)'!$C$39)^('Invoer gegevens (N)'!$C$17-'Invoer gegevens (N)'!$C$16)+AY11/(1+'Invoer gegevens (N)'!$C$39)^('Invoer gegevens (N)'!$C$17-'Invoer gegevens (N)'!$C$16)+(-AZ11/(1+'Invoer gegevens (N)'!$C$39)^D11)+BF11+BG11</f>
        <v>0</v>
      </c>
      <c r="BI11" s="59"/>
    </row>
    <row r="12" spans="1:61" x14ac:dyDescent="0.25">
      <c r="A12" s="59"/>
      <c r="B12" s="70">
        <f t="shared" si="6"/>
        <v>8</v>
      </c>
      <c r="C12" s="67">
        <f ca="1">IF(AND(E12&gt;='Invoer gegevens (N)'!$C$17,E12&lt;'Invoer gegevens (N)'!$C$17+15),1,0)</f>
        <v>1</v>
      </c>
      <c r="D12" s="68">
        <f t="shared" si="7"/>
        <v>7.5</v>
      </c>
      <c r="E12" s="69">
        <f ca="1">IF('Invoer gegevens (N)'!$C$16="","",E11+1)</f>
        <v>2026</v>
      </c>
      <c r="F12" s="82">
        <f ca="1">IF('Invoer gegevens (N)'!$C$17=E12,'Invoer gegevens (N)'!$C$10,IF(C12=1,H11,0))</f>
        <v>0</v>
      </c>
      <c r="G12" s="83">
        <f ca="1">IF(E12='Invoer gegevens (N)'!$C$17+15,H11,IF(C12&gt;=1,F12*'Reeksen (N)'!C12,0))</f>
        <v>0</v>
      </c>
      <c r="H12" s="84">
        <f ca="1">IF(E12&gt;='Invoer gegevens (N)'!$C$17+15,0,F12-G12)</f>
        <v>0</v>
      </c>
      <c r="I12" s="85">
        <f ca="1">IF('Invoer gegevens (N)'!$C$17=E12,'Invoer gegevens (N)'!$C$11,IF(C12=1,L11,0))</f>
        <v>28.8</v>
      </c>
      <c r="J12" s="86">
        <f ca="1">IF(E12='Invoer gegevens (N)'!$C$17+15,L11,IF(C12&lt;1,0,IF('Reeksen (N)'!AK12&lt;='Reeksen (N)'!AE12,I12*'Reeksen (N)'!C12,0)))</f>
        <v>0</v>
      </c>
      <c r="K12" s="86">
        <f ca="1">IF(E12='Invoer gegevens (N)'!$C$17+15,L11,IF(C12&lt;1,0,IF('Reeksen (N)'!AK12&gt;'Reeksen (N)'!AE12,I12*'Reeksen (N)'!C12,0)))</f>
        <v>0</v>
      </c>
      <c r="L12" s="86">
        <f ca="1">IF(E12&gt;='Invoer gegevens (N)'!$C$17+15,0,I12-J12-K12)</f>
        <v>28.8</v>
      </c>
      <c r="M12" s="85">
        <f ca="1">IF('Invoer gegevens (N)'!$C$17=E12,'Invoer gegevens (N)'!$C$10-'Invoer gegevens (N)'!$C$11,IF(C12=1,P11,0))</f>
        <v>0</v>
      </c>
      <c r="N12" s="86">
        <f ca="1">IF(E12='Invoer gegevens (N)'!$C$17+15,P11,IF(C12&lt;1,0,IF('Reeksen (N)'!AK12&lt;='Reeksen (N)'!AE12,M12*'Reeksen (N)'!C12,0)))</f>
        <v>0</v>
      </c>
      <c r="O12" s="86">
        <f ca="1">IF(E12='Invoer gegevens (N)'!$C$17+15,P11,IF(C12&lt;1,0,IF('Reeksen (N)'!AK12&gt;'Reeksen (N)'!AE12,M12*'Reeksen (N)'!C12,0)))</f>
        <v>0</v>
      </c>
      <c r="P12" s="86">
        <f ca="1">IF(E12&gt;='Invoer gegevens (N)'!$C$17+15,0,M12-N12-O12)</f>
        <v>0</v>
      </c>
      <c r="Q12" s="82">
        <f ca="1">IF('Invoer gegevens (N)'!$C$17=E12,I12,IF(C12=0,0,R11))</f>
        <v>0</v>
      </c>
      <c r="R12" s="84">
        <f t="shared" ca="1" si="0"/>
        <v>0</v>
      </c>
      <c r="S12" s="84">
        <f ca="1">IF('Invoer gegevens (N)'!$C$17=E12,M12,IF(C12=0,0,T11))</f>
        <v>0</v>
      </c>
      <c r="T12" s="84">
        <f t="shared" ca="1" si="1"/>
        <v>0</v>
      </c>
      <c r="AH12" s="68"/>
      <c r="AI12" s="71">
        <f ca="1">IF(C12=1,((F12+H12)/2*'Reeksen (N)'!AJ12*12)+(('Invoer gegevens (N)'!$C$10-(F12+H12)/2)*'Reeksen (N)'!AK12*12),0)</f>
        <v>0</v>
      </c>
      <c r="AJ12" s="71">
        <f ca="1">-AI12*'Invoer gegevens (N)'!$F$28</f>
        <v>0</v>
      </c>
      <c r="AK12" s="71">
        <f t="shared" ca="1" si="2"/>
        <v>0</v>
      </c>
      <c r="AL12" s="71">
        <f ca="1">IF(C12=1,(12*((F12+H12)/2)*'Reeksen (N)'!AL12)+(12*('Invoer gegevens (N)'!$C$10-(F12+H12)/2)*'Reeksen (N)'!AM12),0)</f>
        <v>0</v>
      </c>
      <c r="AM12" s="71">
        <f ca="1">-AL12*'Invoer gegevens (N)'!$F$31</f>
        <v>0</v>
      </c>
      <c r="AN12" s="71">
        <f t="shared" ca="1" si="3"/>
        <v>0</v>
      </c>
      <c r="AO12" s="71"/>
      <c r="AP12" s="71"/>
      <c r="AQ12" s="71">
        <f ca="1">-IF(C12=1,('Invoer gegevens (N)'!$C$10*'Invoer gegevens (N)'!$I$33)*'Reeksen (N)'!J12,0)</f>
        <v>0</v>
      </c>
      <c r="AR12" s="71">
        <f ca="1">-IF(C12=1,(G12*'Invoer gegevens (N)'!$I$34)*'Reeksen (N)'!J12,0)</f>
        <v>0</v>
      </c>
      <c r="AS12" s="71">
        <f ca="1">-IF(C12=1,'Invoer gegevens (N)'!$C$10*'Invoer gegevens (N)'!$I$35*'Reeksen (N)'!L12,0)</f>
        <v>0</v>
      </c>
      <c r="AT12" s="71">
        <f ca="1">-IF(C12=1,IF(E12='Invoer gegevens (N)'!$C$17,'Invoer gegevens (N)'!$C$11,Q12)*'Reeksen (N)'!S12*'Invoer gegevens (N)'!$C$18*'Reeksen (N)'!P12,0)</f>
        <v>0</v>
      </c>
      <c r="AU12" s="71">
        <f ca="1">-IF(C12=1,'Invoer gegevens (N)'!$C$10*'Invoer gegevens (N)'!$I$36*'Reeksen (N)'!H12,0)</f>
        <v>0</v>
      </c>
      <c r="AV12" s="71">
        <v>0</v>
      </c>
      <c r="AW12" s="71">
        <f t="shared" ca="1" si="4"/>
        <v>0</v>
      </c>
      <c r="AX12" s="72">
        <f ca="1">IF(E12='Invoer gegevens (N)'!$C$17+14,'RW - BW - DE (N)'!$AY$236,0)</f>
        <v>0</v>
      </c>
      <c r="AY12" s="72">
        <f ca="1">IFERROR(IF(E12='Invoer gegevens (N)'!$C$17,-'Invoer gegevens (N)'!$C$10*'Invoer gegevens (N)'!$C$31*'Reeksen (N)'!H12,0),0)</f>
        <v>0</v>
      </c>
      <c r="AZ12" s="73">
        <f ca="1">IF('Invoer gegevens (N)'!$C$34=E12,'Invoer gegevens (N)'!$C$27*'Invoer gegevens (N)'!$C$10*'Invoer gegevens (N)'!$C$36*(IF('Invoer gegevens (N)'!$C$35="ja",1,'Reeksen (N)'!J12)),IF('Invoer gegevens (N)'!$C$34+1=E12,'Invoer gegevens (N)'!$C$27*'Invoer gegevens (N)'!$C$10*'Invoer gegevens (N)'!$C$37*(IF('Invoer gegevens (N)'!$C$35="ja",1,'Reeksen (N)'!J12)),0))+IF(AND(E12='Invoer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2" s="73">
        <f ca="1">AW12/(1+'Invoer gegevens (N)'!$F$13)^($D12-('Invoer gegevens (N)'!$C$17-'Invoer gegevens (N)'!$C$16))/(1+'Invoer gegevens (N)'!$C$39)^('Invoer gegevens (N)'!$C$17-'Invoer gegevens (N)'!$C$16)</f>
        <v>0</v>
      </c>
      <c r="BB12" s="73">
        <f ca="1">AX12/(1+'Invoer gegevens (N)'!$F$13)^(E12-('Invoer gegevens (N)'!$C$17-1))/(1+'Invoer gegevens (N)'!$C$39)^('Invoer gegevens (N)'!$C$17-'Invoer gegevens (N)'!$C$16)</f>
        <v>0</v>
      </c>
      <c r="BC12" s="73">
        <f ca="1">AY12/(1+'Invoer gegevens (N)'!$C$39)^('Invoer gegevens (N)'!$C$17-'Invoer gegevens (N)'!$C$16)</f>
        <v>0</v>
      </c>
      <c r="BD12" s="72">
        <f t="shared" ca="1" si="5"/>
        <v>0</v>
      </c>
      <c r="BE12" s="72">
        <f ca="1">IF(AND(E12='Invoer gegevens (N)'!$C$16,'Invoer gegevens (N)'!$C$34&lt;'Invoer gegevens (N)'!$C$16),AZ12,AZ12/(1+'Invoer gegevens (N)'!$C$39)^D12)</f>
        <v>0</v>
      </c>
      <c r="BF12" s="72">
        <f ca="1">IF(E12='Invoer gegevens (N)'!$C$34,-'Invoer gegevens (N)'!$F$40,0)</f>
        <v>0</v>
      </c>
      <c r="BG12" s="72">
        <f ca="1">IF(E12='Invoer gegevens (N)'!$C$17,-'Invoer gegevens (N)'!$C$19*$BD$31,0)</f>
        <v>0</v>
      </c>
      <c r="BH12" s="72">
        <f ca="1">AW12/(1+$BH$4)^($D12-('Invoer gegevens (N)'!$C$17-'Invoer gegevens (N)'!$C$16))/(1+'Invoer gegevens (N)'!$C$39)^('Invoer gegevens (N)'!$C$17-'Invoer gegevens (N)'!$C$16)+AX12/(1+$BH$4)^(E12-('Invoer gegevens (N)'!$C$17-1))/(1+'Invoer gegevens (N)'!$C$39)^('Invoer gegevens (N)'!$C$17-'Invoer gegevens (N)'!$C$16)+AY12/(1+'Invoer gegevens (N)'!$C$39)^('Invoer gegevens (N)'!$C$17-'Invoer gegevens (N)'!$C$16)+(-AZ12/(1+'Invoer gegevens (N)'!$C$39)^D12)+BF12+BG12</f>
        <v>0</v>
      </c>
      <c r="BI12" s="59"/>
    </row>
    <row r="13" spans="1:61" x14ac:dyDescent="0.25">
      <c r="A13" s="59"/>
      <c r="B13" s="70">
        <f t="shared" si="6"/>
        <v>9</v>
      </c>
      <c r="C13" s="67">
        <f ca="1">IF(AND(E13&gt;='Invoer gegevens (N)'!$C$17,E13&lt;'Invoer gegevens (N)'!$C$17+15),1,0)</f>
        <v>1</v>
      </c>
      <c r="D13" s="68">
        <f t="shared" si="7"/>
        <v>8.5</v>
      </c>
      <c r="E13" s="69">
        <f ca="1">IF('Invoer gegevens (N)'!$C$16="","",E12+1)</f>
        <v>2027</v>
      </c>
      <c r="F13" s="82">
        <f ca="1">IF('Invoer gegevens (N)'!$C$17=E13,'Invoer gegevens (N)'!$C$10,IF(C13=1,H12,0))</f>
        <v>0</v>
      </c>
      <c r="G13" s="83">
        <f ca="1">IF(E13='Invoer gegevens (N)'!$C$17+15,H12,IF(C13&gt;=1,F13*'Reeksen (N)'!C13,0))</f>
        <v>0</v>
      </c>
      <c r="H13" s="84">
        <f ca="1">IF(E13&gt;='Invoer gegevens (N)'!$C$17+15,0,F13-G13)</f>
        <v>0</v>
      </c>
      <c r="I13" s="85">
        <f ca="1">IF('Invoer gegevens (N)'!$C$17=E13,'Invoer gegevens (N)'!$C$11,IF(C13=1,L12,0))</f>
        <v>28.8</v>
      </c>
      <c r="J13" s="86">
        <f ca="1">IF(E13='Invoer gegevens (N)'!$C$17+15,L12,IF(C13&lt;1,0,IF('Reeksen (N)'!AK13&lt;='Reeksen (N)'!AE13,I13*'Reeksen (N)'!C13,0)))</f>
        <v>0</v>
      </c>
      <c r="K13" s="86">
        <f ca="1">IF(E13='Invoer gegevens (N)'!$C$17+15,L12,IF(C13&lt;1,0,IF('Reeksen (N)'!AK13&gt;'Reeksen (N)'!AE13,I13*'Reeksen (N)'!C13,0)))</f>
        <v>0</v>
      </c>
      <c r="L13" s="86">
        <f ca="1">IF(E13&gt;='Invoer gegevens (N)'!$C$17+15,0,I13-J13-K13)</f>
        <v>28.8</v>
      </c>
      <c r="M13" s="85">
        <f ca="1">IF('Invoer gegevens (N)'!$C$17=E13,'Invoer gegevens (N)'!$C$10-'Invoer gegevens (N)'!$C$11,IF(C13=1,P12,0))</f>
        <v>0</v>
      </c>
      <c r="N13" s="86">
        <f ca="1">IF(E13='Invoer gegevens (N)'!$C$17+15,P12,IF(C13&lt;1,0,IF('Reeksen (N)'!AK13&lt;='Reeksen (N)'!AE13,M13*'Reeksen (N)'!C13,0)))</f>
        <v>0</v>
      </c>
      <c r="O13" s="86">
        <f ca="1">IF(E13='Invoer gegevens (N)'!$C$17+15,P12,IF(C13&lt;1,0,IF('Reeksen (N)'!AK13&gt;'Reeksen (N)'!AE13,M13*'Reeksen (N)'!C13,0)))</f>
        <v>0</v>
      </c>
      <c r="P13" s="86">
        <f ca="1">IF(E13&gt;='Invoer gegevens (N)'!$C$17+15,0,M13-N13-O13)</f>
        <v>0</v>
      </c>
      <c r="Q13" s="82">
        <f ca="1">IF('Invoer gegevens (N)'!$C$17=E13,I13,IF(C13=0,0,R12))</f>
        <v>0</v>
      </c>
      <c r="R13" s="84">
        <f t="shared" ca="1" si="0"/>
        <v>0</v>
      </c>
      <c r="S13" s="84">
        <f ca="1">IF('Invoer gegevens (N)'!$C$17=E13,M13,IF(C13=0,0,T12))</f>
        <v>0</v>
      </c>
      <c r="T13" s="84">
        <f t="shared" ca="1" si="1"/>
        <v>0</v>
      </c>
      <c r="AH13" s="68"/>
      <c r="AI13" s="71">
        <f ca="1">IF(C13=1,((F13+H13)/2*'Reeksen (N)'!AJ13*12)+(('Invoer gegevens (N)'!$C$10-(F13+H13)/2)*'Reeksen (N)'!AK13*12),0)</f>
        <v>0</v>
      </c>
      <c r="AJ13" s="71">
        <f ca="1">-AI13*'Invoer gegevens (N)'!$F$28</f>
        <v>0</v>
      </c>
      <c r="AK13" s="71">
        <f t="shared" ca="1" si="2"/>
        <v>0</v>
      </c>
      <c r="AL13" s="71">
        <f ca="1">IF(C13=1,(12*((F13+H13)/2)*'Reeksen (N)'!AL13)+(12*('Invoer gegevens (N)'!$C$10-(F13+H13)/2)*'Reeksen (N)'!AM13),0)</f>
        <v>0</v>
      </c>
      <c r="AM13" s="71">
        <f ca="1">-AL13*'Invoer gegevens (N)'!$F$31</f>
        <v>0</v>
      </c>
      <c r="AN13" s="71">
        <f t="shared" ca="1" si="3"/>
        <v>0</v>
      </c>
      <c r="AO13" s="71"/>
      <c r="AP13" s="71"/>
      <c r="AQ13" s="71">
        <f ca="1">-IF(C13=1,('Invoer gegevens (N)'!$C$10*'Invoer gegevens (N)'!$I$33)*'Reeksen (N)'!J13,0)</f>
        <v>0</v>
      </c>
      <c r="AR13" s="71">
        <f ca="1">-IF(C13=1,(G13*'Invoer gegevens (N)'!$I$34)*'Reeksen (N)'!J13,0)</f>
        <v>0</v>
      </c>
      <c r="AS13" s="71">
        <f ca="1">-IF(C13=1,'Invoer gegevens (N)'!$C$10*'Invoer gegevens (N)'!$I$35*'Reeksen (N)'!L13,0)</f>
        <v>0</v>
      </c>
      <c r="AT13" s="71">
        <f ca="1">-IF(C13=1,IF(E13='Invoer gegevens (N)'!$C$17,'Invoer gegevens (N)'!$C$11,Q13)*'Reeksen (N)'!S13*'Invoer gegevens (N)'!$C$18*'Reeksen (N)'!P13,0)</f>
        <v>0</v>
      </c>
      <c r="AU13" s="71">
        <f ca="1">-IF(C13=1,'Invoer gegevens (N)'!$C$10*'Invoer gegevens (N)'!$I$36*'Reeksen (N)'!H13,0)</f>
        <v>0</v>
      </c>
      <c r="AV13" s="71">
        <v>0</v>
      </c>
      <c r="AW13" s="71">
        <f t="shared" ca="1" si="4"/>
        <v>0</v>
      </c>
      <c r="AX13" s="72">
        <f ca="1">IF(E13='Invoer gegevens (N)'!$C$17+14,'RW - BW - DE (N)'!$AY$236,0)</f>
        <v>0</v>
      </c>
      <c r="AY13" s="72">
        <f ca="1">IFERROR(IF(E13='Invoer gegevens (N)'!$C$17,-'Invoer gegevens (N)'!$C$10*'Invoer gegevens (N)'!$C$31*'Reeksen (N)'!H13,0),0)</f>
        <v>0</v>
      </c>
      <c r="AZ13" s="73">
        <f ca="1">IF('Invoer gegevens (N)'!$C$34=E13,'Invoer gegevens (N)'!$C$27*'Invoer gegevens (N)'!$C$10*'Invoer gegevens (N)'!$C$36*(IF('Invoer gegevens (N)'!$C$35="ja",1,'Reeksen (N)'!J13)),IF('Invoer gegevens (N)'!$C$34+1=E13,'Invoer gegevens (N)'!$C$27*'Invoer gegevens (N)'!$C$10*'Invoer gegevens (N)'!$C$37*(IF('Invoer gegevens (N)'!$C$35="ja",1,'Reeksen (N)'!J13)),0))+IF(AND(E13='Invoer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3" s="73">
        <f ca="1">AW13/(1+'Invoer gegevens (N)'!$F$13)^($D13-('Invoer gegevens (N)'!$C$17-'Invoer gegevens (N)'!$C$16))/(1+'Invoer gegevens (N)'!$C$39)^('Invoer gegevens (N)'!$C$17-'Invoer gegevens (N)'!$C$16)</f>
        <v>0</v>
      </c>
      <c r="BB13" s="73">
        <f ca="1">AX13/(1+'Invoer gegevens (N)'!$F$13)^(E13-('Invoer gegevens (N)'!$C$17-1))/(1+'Invoer gegevens (N)'!$C$39)^('Invoer gegevens (N)'!$C$17-'Invoer gegevens (N)'!$C$16)</f>
        <v>0</v>
      </c>
      <c r="BC13" s="73">
        <f ca="1">AY13/(1+'Invoer gegevens (N)'!$C$39)^('Invoer gegevens (N)'!$C$17-'Invoer gegevens (N)'!$C$16)</f>
        <v>0</v>
      </c>
      <c r="BD13" s="72">
        <f t="shared" ca="1" si="5"/>
        <v>0</v>
      </c>
      <c r="BE13" s="72">
        <f ca="1">IF(AND(E13='Invoer gegevens (N)'!$C$16,'Invoer gegevens (N)'!$C$34&lt;'Invoer gegevens (N)'!$C$16),AZ13,AZ13/(1+'Invoer gegevens (N)'!$C$39)^D13)</f>
        <v>0</v>
      </c>
      <c r="BF13" s="72">
        <f ca="1">IF(E13='Invoer gegevens (N)'!$C$34,-'Invoer gegevens (N)'!$F$40,0)</f>
        <v>0</v>
      </c>
      <c r="BG13" s="72">
        <f ca="1">IF(E13='Invoer gegevens (N)'!$C$17,-'Invoer gegevens (N)'!$C$19*$BD$31,0)</f>
        <v>0</v>
      </c>
      <c r="BH13" s="72">
        <f ca="1">AW13/(1+$BH$4)^($D13-('Invoer gegevens (N)'!$C$17-'Invoer gegevens (N)'!$C$16))/(1+'Invoer gegevens (N)'!$C$39)^('Invoer gegevens (N)'!$C$17-'Invoer gegevens (N)'!$C$16)+AX13/(1+$BH$4)^(E13-('Invoer gegevens (N)'!$C$17-1))/(1+'Invoer gegevens (N)'!$C$39)^('Invoer gegevens (N)'!$C$17-'Invoer gegevens (N)'!$C$16)+AY13/(1+'Invoer gegevens (N)'!$C$39)^('Invoer gegevens (N)'!$C$17-'Invoer gegevens (N)'!$C$16)+(-AZ13/(1+'Invoer gegevens (N)'!$C$39)^D13)+BF13+BG13</f>
        <v>0</v>
      </c>
      <c r="BI13" s="59"/>
    </row>
    <row r="14" spans="1:61" x14ac:dyDescent="0.25">
      <c r="A14" s="59"/>
      <c r="B14" s="70">
        <f t="shared" si="6"/>
        <v>10</v>
      </c>
      <c r="C14" s="67">
        <f ca="1">IF(AND(E14&gt;='Invoer gegevens (N)'!$C$17,E14&lt;'Invoer gegevens (N)'!$C$17+15),1,0)</f>
        <v>1</v>
      </c>
      <c r="D14" s="68">
        <f t="shared" si="7"/>
        <v>9.5</v>
      </c>
      <c r="E14" s="69">
        <f ca="1">IF('Invoer gegevens (N)'!$C$16="","",E13+1)</f>
        <v>2028</v>
      </c>
      <c r="F14" s="82">
        <f ca="1">IF('Invoer gegevens (N)'!$C$17=E14,'Invoer gegevens (N)'!$C$10,IF(C14=1,H13,0))</f>
        <v>0</v>
      </c>
      <c r="G14" s="83">
        <f ca="1">IF(E14='Invoer gegevens (N)'!$C$17+15,H13,IF(C14&gt;=1,F14*'Reeksen (N)'!C14,0))</f>
        <v>0</v>
      </c>
      <c r="H14" s="84">
        <f ca="1">IF(E14&gt;='Invoer gegevens (N)'!$C$17+15,0,F14-G14)</f>
        <v>0</v>
      </c>
      <c r="I14" s="85">
        <f ca="1">IF('Invoer gegevens (N)'!$C$17=E14,'Invoer gegevens (N)'!$C$11,IF(C14=1,L13,0))</f>
        <v>28.8</v>
      </c>
      <c r="J14" s="86">
        <f ca="1">IF(E14='Invoer gegevens (N)'!$C$17+15,L13,IF(C14&lt;1,0,IF('Reeksen (N)'!AK14&lt;='Reeksen (N)'!AE14,I14*'Reeksen (N)'!C14,0)))</f>
        <v>0</v>
      </c>
      <c r="K14" s="86">
        <f ca="1">IF(E14='Invoer gegevens (N)'!$C$17+15,L13,IF(C14&lt;1,0,IF('Reeksen (N)'!AK14&gt;'Reeksen (N)'!AE14,I14*'Reeksen (N)'!C14,0)))</f>
        <v>0</v>
      </c>
      <c r="L14" s="86">
        <f ca="1">IF(E14&gt;='Invoer gegevens (N)'!$C$17+15,0,I14-J14-K14)</f>
        <v>28.8</v>
      </c>
      <c r="M14" s="85">
        <f ca="1">IF('Invoer gegevens (N)'!$C$17=E14,'Invoer gegevens (N)'!$C$10-'Invoer gegevens (N)'!$C$11,IF(C14=1,P13,0))</f>
        <v>0</v>
      </c>
      <c r="N14" s="86">
        <f ca="1">IF(E14='Invoer gegevens (N)'!$C$17+15,P13,IF(C14&lt;1,0,IF('Reeksen (N)'!AK14&lt;='Reeksen (N)'!AE14,M14*'Reeksen (N)'!C14,0)))</f>
        <v>0</v>
      </c>
      <c r="O14" s="86">
        <f ca="1">IF(E14='Invoer gegevens (N)'!$C$17+15,P13,IF(C14&lt;1,0,IF('Reeksen (N)'!AK14&gt;'Reeksen (N)'!AE14,M14*'Reeksen (N)'!C14,0)))</f>
        <v>0</v>
      </c>
      <c r="P14" s="86">
        <f ca="1">IF(E14&gt;='Invoer gegevens (N)'!$C$17+15,0,M14-N14-O14)</f>
        <v>0</v>
      </c>
      <c r="Q14" s="82">
        <f ca="1">IF('Invoer gegevens (N)'!$C$17=E14,I14,IF(C14=0,0,R13))</f>
        <v>0</v>
      </c>
      <c r="R14" s="84">
        <f t="shared" ca="1" si="0"/>
        <v>0</v>
      </c>
      <c r="S14" s="84">
        <f ca="1">IF('Invoer gegevens (N)'!$C$17=E14,M14,IF(C14=0,0,T13))</f>
        <v>0</v>
      </c>
      <c r="T14" s="84">
        <f t="shared" ca="1" si="1"/>
        <v>0</v>
      </c>
      <c r="AH14" s="68"/>
      <c r="AI14" s="71">
        <f ca="1">IF(C14=1,((F14+H14)/2*'Reeksen (N)'!AJ14*12)+(('Invoer gegevens (N)'!$C$10-(F14+H14)/2)*'Reeksen (N)'!AK14*12),0)</f>
        <v>0</v>
      </c>
      <c r="AJ14" s="71">
        <f ca="1">-AI14*'Invoer gegevens (N)'!$F$28</f>
        <v>0</v>
      </c>
      <c r="AK14" s="71">
        <f t="shared" ca="1" si="2"/>
        <v>0</v>
      </c>
      <c r="AL14" s="71">
        <f ca="1">IF(C14=1,(12*((F14+H14)/2)*'Reeksen (N)'!AL14)+(12*('Invoer gegevens (N)'!$C$10-(F14+H14)/2)*'Reeksen (N)'!AM14),0)</f>
        <v>0</v>
      </c>
      <c r="AM14" s="71">
        <f ca="1">-AL14*'Invoer gegevens (N)'!$F$31</f>
        <v>0</v>
      </c>
      <c r="AN14" s="71">
        <f t="shared" ca="1" si="3"/>
        <v>0</v>
      </c>
      <c r="AO14" s="71"/>
      <c r="AP14" s="71"/>
      <c r="AQ14" s="71">
        <f ca="1">-IF(C14=1,('Invoer gegevens (N)'!$C$10*'Invoer gegevens (N)'!$I$33)*'Reeksen (N)'!J14,0)</f>
        <v>0</v>
      </c>
      <c r="AR14" s="71">
        <f ca="1">-IF(C14=1,(G14*'Invoer gegevens (N)'!$I$34)*'Reeksen (N)'!J14,0)</f>
        <v>0</v>
      </c>
      <c r="AS14" s="71">
        <f ca="1">-IF(C14=1,'Invoer gegevens (N)'!$C$10*'Invoer gegevens (N)'!$I$35*'Reeksen (N)'!L14,0)</f>
        <v>0</v>
      </c>
      <c r="AT14" s="71">
        <f ca="1">-IF(C14=1,IF(E14='Invoer gegevens (N)'!$C$17,'Invoer gegevens (N)'!$C$11,Q14)*'Reeksen (N)'!S14*'Invoer gegevens (N)'!$C$18*'Reeksen (N)'!P14,0)</f>
        <v>0</v>
      </c>
      <c r="AU14" s="71">
        <f ca="1">-IF(C14=1,'Invoer gegevens (N)'!$C$10*'Invoer gegevens (N)'!$I$36*'Reeksen (N)'!H14,0)</f>
        <v>0</v>
      </c>
      <c r="AV14" s="71">
        <v>0</v>
      </c>
      <c r="AW14" s="71">
        <f t="shared" ca="1" si="4"/>
        <v>0</v>
      </c>
      <c r="AX14" s="72">
        <f ca="1">IF(E14='Invoer gegevens (N)'!$C$17+14,'RW - BW - DE (N)'!$AY$236,0)</f>
        <v>0</v>
      </c>
      <c r="AY14" s="72">
        <f ca="1">IFERROR(IF(E14='Invoer gegevens (N)'!$C$17,-'Invoer gegevens (N)'!$C$10*'Invoer gegevens (N)'!$C$31*'Reeksen (N)'!H14,0),0)</f>
        <v>0</v>
      </c>
      <c r="AZ14" s="73">
        <f ca="1">IF('Invoer gegevens (N)'!$C$34=E14,'Invoer gegevens (N)'!$C$27*'Invoer gegevens (N)'!$C$10*'Invoer gegevens (N)'!$C$36*(IF('Invoer gegevens (N)'!$C$35="ja",1,'Reeksen (N)'!J14)),IF('Invoer gegevens (N)'!$C$34+1=E14,'Invoer gegevens (N)'!$C$27*'Invoer gegevens (N)'!$C$10*'Invoer gegevens (N)'!$C$37*(IF('Invoer gegevens (N)'!$C$35="ja",1,'Reeksen (N)'!J14)),0))+IF(AND(E14='Invoer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4" s="73">
        <f ca="1">AW14/(1+'Invoer gegevens (N)'!$F$13)^($D14-('Invoer gegevens (N)'!$C$17-'Invoer gegevens (N)'!$C$16))/(1+'Invoer gegevens (N)'!$C$39)^('Invoer gegevens (N)'!$C$17-'Invoer gegevens (N)'!$C$16)</f>
        <v>0</v>
      </c>
      <c r="BB14" s="73">
        <f ca="1">AX14/(1+'Invoer gegevens (N)'!$F$13)^(E14-('Invoer gegevens (N)'!$C$17-1))/(1+'Invoer gegevens (N)'!$C$39)^('Invoer gegevens (N)'!$C$17-'Invoer gegevens (N)'!$C$16)</f>
        <v>0</v>
      </c>
      <c r="BC14" s="73">
        <f ca="1">AY14/(1+'Invoer gegevens (N)'!$C$39)^('Invoer gegevens (N)'!$C$17-'Invoer gegevens (N)'!$C$16)</f>
        <v>0</v>
      </c>
      <c r="BD14" s="72">
        <f t="shared" ca="1" si="5"/>
        <v>0</v>
      </c>
      <c r="BE14" s="72">
        <f ca="1">IF(AND(E14='Invoer gegevens (N)'!$C$16,'Invoer gegevens (N)'!$C$34&lt;'Invoer gegevens (N)'!$C$16),AZ14,AZ14/(1+'Invoer gegevens (N)'!$C$39)^D14)</f>
        <v>0</v>
      </c>
      <c r="BF14" s="72">
        <f ca="1">IF(E14='Invoer gegevens (N)'!$C$34,-'Invoer gegevens (N)'!$F$40,0)</f>
        <v>0</v>
      </c>
      <c r="BG14" s="72">
        <f ca="1">IF(E14='Invoer gegevens (N)'!$C$17,-'Invoer gegevens (N)'!$C$19*$BD$31,0)</f>
        <v>0</v>
      </c>
      <c r="BH14" s="72">
        <f ca="1">AW14/(1+$BH$4)^($D14-('Invoer gegevens (N)'!$C$17-'Invoer gegevens (N)'!$C$16))/(1+'Invoer gegevens (N)'!$C$39)^('Invoer gegevens (N)'!$C$17-'Invoer gegevens (N)'!$C$16)+AX14/(1+$BH$4)^(E14-('Invoer gegevens (N)'!$C$17-1))/(1+'Invoer gegevens (N)'!$C$39)^('Invoer gegevens (N)'!$C$17-'Invoer gegevens (N)'!$C$16)+AY14/(1+'Invoer gegevens (N)'!$C$39)^('Invoer gegevens (N)'!$C$17-'Invoer gegevens (N)'!$C$16)+(-AZ14/(1+'Invoer gegevens (N)'!$C$39)^D14)+BF14+BG14</f>
        <v>0</v>
      </c>
      <c r="BI14" s="59"/>
    </row>
    <row r="15" spans="1:61" x14ac:dyDescent="0.25">
      <c r="A15" s="59"/>
      <c r="B15" s="70">
        <f t="shared" si="6"/>
        <v>11</v>
      </c>
      <c r="C15" s="67">
        <f ca="1">IF(AND(E15&gt;='Invoer gegevens (N)'!$C$17,E15&lt;'Invoer gegevens (N)'!$C$17+15),1,0)</f>
        <v>1</v>
      </c>
      <c r="D15" s="68">
        <f t="shared" si="7"/>
        <v>10.5</v>
      </c>
      <c r="E15" s="69">
        <f ca="1">IF('Invoer gegevens (N)'!$C$16="","",E14+1)</f>
        <v>2029</v>
      </c>
      <c r="F15" s="82">
        <f ca="1">IF('Invoer gegevens (N)'!$C$17=E15,'Invoer gegevens (N)'!$C$10,IF(C15=1,H14,0))</f>
        <v>0</v>
      </c>
      <c r="G15" s="83">
        <f ca="1">IF(E15='Invoer gegevens (N)'!$C$17+15,H14,IF(C15&gt;=1,F15*'Reeksen (N)'!C15,0))</f>
        <v>0</v>
      </c>
      <c r="H15" s="84">
        <f ca="1">IF(E15&gt;='Invoer gegevens (N)'!$C$17+15,0,F15-G15)</f>
        <v>0</v>
      </c>
      <c r="I15" s="85">
        <f ca="1">IF('Invoer gegevens (N)'!$C$17=E15,'Invoer gegevens (N)'!$C$11,IF(C15=1,L14,0))</f>
        <v>28.8</v>
      </c>
      <c r="J15" s="86">
        <f ca="1">IF(E15='Invoer gegevens (N)'!$C$17+15,L14,IF(C15&lt;1,0,IF('Reeksen (N)'!AK15&lt;='Reeksen (N)'!AE15,I15*'Reeksen (N)'!C15,0)))</f>
        <v>0</v>
      </c>
      <c r="K15" s="86">
        <f ca="1">IF(E15='Invoer gegevens (N)'!$C$17+15,L14,IF(C15&lt;1,0,IF('Reeksen (N)'!AK15&gt;'Reeksen (N)'!AE15,I15*'Reeksen (N)'!C15,0)))</f>
        <v>0</v>
      </c>
      <c r="L15" s="86">
        <f ca="1">IF(E15&gt;='Invoer gegevens (N)'!$C$17+15,0,I15-J15-K15)</f>
        <v>28.8</v>
      </c>
      <c r="M15" s="85">
        <f ca="1">IF('Invoer gegevens (N)'!$C$17=E15,'Invoer gegevens (N)'!$C$10-'Invoer gegevens (N)'!$C$11,IF(C15=1,P14,0))</f>
        <v>0</v>
      </c>
      <c r="N15" s="86">
        <f ca="1">IF(E15='Invoer gegevens (N)'!$C$17+15,P14,IF(C15&lt;1,0,IF('Reeksen (N)'!AK15&lt;='Reeksen (N)'!AE15,M15*'Reeksen (N)'!C15,0)))</f>
        <v>0</v>
      </c>
      <c r="O15" s="86">
        <f ca="1">IF(E15='Invoer gegevens (N)'!$C$17+15,P14,IF(C15&lt;1,0,IF('Reeksen (N)'!AK15&gt;'Reeksen (N)'!AE15,M15*'Reeksen (N)'!C15,0)))</f>
        <v>0</v>
      </c>
      <c r="P15" s="86">
        <f ca="1">IF(E15&gt;='Invoer gegevens (N)'!$C$17+15,0,M15-N15-O15)</f>
        <v>0</v>
      </c>
      <c r="Q15" s="82">
        <f ca="1">IF('Invoer gegevens (N)'!$C$17=E15,I15,IF(C15=0,0,R14))</f>
        <v>0</v>
      </c>
      <c r="R15" s="84">
        <f t="shared" ca="1" si="0"/>
        <v>0</v>
      </c>
      <c r="S15" s="84">
        <f ca="1">IF('Invoer gegevens (N)'!$C$17=E15,M15,IF(C15=0,0,T14))</f>
        <v>0</v>
      </c>
      <c r="T15" s="84">
        <f t="shared" ca="1" si="1"/>
        <v>0</v>
      </c>
      <c r="AH15" s="68"/>
      <c r="AI15" s="71">
        <f ca="1">IF(C15=1,((F15+H15)/2*'Reeksen (N)'!AJ15*12)+(('Invoer gegevens (N)'!$C$10-(F15+H15)/2)*'Reeksen (N)'!AK15*12),0)</f>
        <v>0</v>
      </c>
      <c r="AJ15" s="71">
        <f ca="1">-AI15*'Invoer gegevens (N)'!$F$28</f>
        <v>0</v>
      </c>
      <c r="AK15" s="71">
        <f t="shared" ca="1" si="2"/>
        <v>0</v>
      </c>
      <c r="AL15" s="71">
        <f ca="1">IF(C15=1,(12*((F15+H15)/2)*'Reeksen (N)'!AL15)+(12*('Invoer gegevens (N)'!$C$10-(F15+H15)/2)*'Reeksen (N)'!AM15),0)</f>
        <v>0</v>
      </c>
      <c r="AM15" s="71">
        <f ca="1">-AL15*'Invoer gegevens (N)'!$F$31</f>
        <v>0</v>
      </c>
      <c r="AN15" s="71">
        <f t="shared" ca="1" si="3"/>
        <v>0</v>
      </c>
      <c r="AO15" s="71"/>
      <c r="AP15" s="71"/>
      <c r="AQ15" s="71">
        <f ca="1">-IF(C15=1,('Invoer gegevens (N)'!$C$10*'Invoer gegevens (N)'!$I$33)*'Reeksen (N)'!J15,0)</f>
        <v>0</v>
      </c>
      <c r="AR15" s="71">
        <f ca="1">-IF(C15=1,(G15*'Invoer gegevens (N)'!$I$34)*'Reeksen (N)'!J15,0)</f>
        <v>0</v>
      </c>
      <c r="AS15" s="71">
        <f ca="1">-IF(C15=1,'Invoer gegevens (N)'!$C$10*'Invoer gegevens (N)'!$I$35*'Reeksen (N)'!L15,0)</f>
        <v>0</v>
      </c>
      <c r="AT15" s="71">
        <f ca="1">-IF(C15=1,IF(E15='Invoer gegevens (N)'!$C$17,'Invoer gegevens (N)'!$C$11,Q15)*'Reeksen (N)'!S15*'Invoer gegevens (N)'!$C$18*'Reeksen (N)'!P15,0)</f>
        <v>0</v>
      </c>
      <c r="AU15" s="71">
        <f ca="1">-IF(C15=1,'Invoer gegevens (N)'!$C$10*'Invoer gegevens (N)'!$I$36*'Reeksen (N)'!H15,0)</f>
        <v>0</v>
      </c>
      <c r="AV15" s="71">
        <v>0</v>
      </c>
      <c r="AW15" s="71">
        <f t="shared" ca="1" si="4"/>
        <v>0</v>
      </c>
      <c r="AX15" s="72">
        <f ca="1">IF(E15='Invoer gegevens (N)'!$C$17+14,'RW - BW - DE (N)'!$AY$236,0)</f>
        <v>0</v>
      </c>
      <c r="AY15" s="72">
        <f ca="1">IFERROR(IF(E15='Invoer gegevens (N)'!$C$17,-'Invoer gegevens (N)'!$C$10*'Invoer gegevens (N)'!$C$31*'Reeksen (N)'!H15,0),0)</f>
        <v>0</v>
      </c>
      <c r="AZ15" s="73">
        <f ca="1">IF('Invoer gegevens (N)'!$C$34=E15,'Invoer gegevens (N)'!$C$27*'Invoer gegevens (N)'!$C$10*'Invoer gegevens (N)'!$C$36*(IF('Invoer gegevens (N)'!$C$35="ja",1,'Reeksen (N)'!J15)),IF('Invoer gegevens (N)'!$C$34+1=E15,'Invoer gegevens (N)'!$C$27*'Invoer gegevens (N)'!$C$10*'Invoer gegevens (N)'!$C$37*(IF('Invoer gegevens (N)'!$C$35="ja",1,'Reeksen (N)'!J15)),0))+IF(AND(E15='Invoer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5" s="73">
        <f ca="1">AW15/(1+'Invoer gegevens (N)'!$F$13)^($D15-('Invoer gegevens (N)'!$C$17-'Invoer gegevens (N)'!$C$16))/(1+'Invoer gegevens (N)'!$C$39)^('Invoer gegevens (N)'!$C$17-'Invoer gegevens (N)'!$C$16)</f>
        <v>0</v>
      </c>
      <c r="BB15" s="73">
        <f ca="1">AX15/(1+'Invoer gegevens (N)'!$F$13)^(E15-('Invoer gegevens (N)'!$C$17-1))/(1+'Invoer gegevens (N)'!$C$39)^('Invoer gegevens (N)'!$C$17-'Invoer gegevens (N)'!$C$16)</f>
        <v>0</v>
      </c>
      <c r="BC15" s="73">
        <f ca="1">AY15/(1+'Invoer gegevens (N)'!$C$39)^('Invoer gegevens (N)'!$C$17-'Invoer gegevens (N)'!$C$16)</f>
        <v>0</v>
      </c>
      <c r="BD15" s="72">
        <f t="shared" ca="1" si="5"/>
        <v>0</v>
      </c>
      <c r="BE15" s="72">
        <f ca="1">IF(AND(E15='Invoer gegevens (N)'!$C$16,'Invoer gegevens (N)'!$C$34&lt;'Invoer gegevens (N)'!$C$16),AZ15,AZ15/(1+'Invoer gegevens (N)'!$C$39)^D15)</f>
        <v>0</v>
      </c>
      <c r="BF15" s="72">
        <f ca="1">IF(E15='Invoer gegevens (N)'!$C$34,-'Invoer gegevens (N)'!$F$40,0)</f>
        <v>0</v>
      </c>
      <c r="BG15" s="72">
        <f ca="1">IF(E15='Invoer gegevens (N)'!$C$17,-'Invoer gegevens (N)'!$C$19*$BD$31,0)</f>
        <v>0</v>
      </c>
      <c r="BH15" s="72">
        <f ca="1">AW15/(1+$BH$4)^($D15-('Invoer gegevens (N)'!$C$17-'Invoer gegevens (N)'!$C$16))/(1+'Invoer gegevens (N)'!$C$39)^('Invoer gegevens (N)'!$C$17-'Invoer gegevens (N)'!$C$16)+AX15/(1+$BH$4)^(E15-('Invoer gegevens (N)'!$C$17-1))/(1+'Invoer gegevens (N)'!$C$39)^('Invoer gegevens (N)'!$C$17-'Invoer gegevens (N)'!$C$16)+AY15/(1+'Invoer gegevens (N)'!$C$39)^('Invoer gegevens (N)'!$C$17-'Invoer gegevens (N)'!$C$16)+(-AZ15/(1+'Invoer gegevens (N)'!$C$39)^D15)+BF15+BG15</f>
        <v>0</v>
      </c>
      <c r="BI15" s="59"/>
    </row>
    <row r="16" spans="1:61" x14ac:dyDescent="0.25">
      <c r="A16" s="59"/>
      <c r="B16" s="70">
        <f t="shared" si="6"/>
        <v>12</v>
      </c>
      <c r="C16" s="67">
        <f ca="1">IF(AND(E16&gt;='Invoer gegevens (N)'!$C$17,E16&lt;'Invoer gegevens (N)'!$C$17+15),1,0)</f>
        <v>1</v>
      </c>
      <c r="D16" s="68">
        <f t="shared" si="7"/>
        <v>11.5</v>
      </c>
      <c r="E16" s="69">
        <f ca="1">IF('Invoer gegevens (N)'!$C$16="","",E15+1)</f>
        <v>2030</v>
      </c>
      <c r="F16" s="82">
        <f ca="1">IF('Invoer gegevens (N)'!$C$17=E16,'Invoer gegevens (N)'!$C$10,IF(C16=1,H15,0))</f>
        <v>0</v>
      </c>
      <c r="G16" s="83">
        <f ca="1">IF(E16='Invoer gegevens (N)'!$C$17+15,H15,IF(C16&gt;=1,F16*'Reeksen (N)'!C16,0))</f>
        <v>0</v>
      </c>
      <c r="H16" s="84">
        <f ca="1">IF(E16&gt;='Invoer gegevens (N)'!$C$17+15,0,F16-G16)</f>
        <v>0</v>
      </c>
      <c r="I16" s="85">
        <f ca="1">IF('Invoer gegevens (N)'!$C$17=E16,'Invoer gegevens (N)'!$C$11,IF(C16=1,L15,0))</f>
        <v>28.8</v>
      </c>
      <c r="J16" s="86">
        <f ca="1">IF(E16='Invoer gegevens (N)'!$C$17+15,L15,IF(C16&lt;1,0,IF('Reeksen (N)'!AK16&lt;='Reeksen (N)'!AE16,I16*'Reeksen (N)'!C16,0)))</f>
        <v>0</v>
      </c>
      <c r="K16" s="86">
        <f ca="1">IF(E16='Invoer gegevens (N)'!$C$17+15,L15,IF(C16&lt;1,0,IF('Reeksen (N)'!AK16&gt;'Reeksen (N)'!AE16,I16*'Reeksen (N)'!C16,0)))</f>
        <v>0</v>
      </c>
      <c r="L16" s="86">
        <f ca="1">IF(E16&gt;='Invoer gegevens (N)'!$C$17+15,0,I16-J16-K16)</f>
        <v>28.8</v>
      </c>
      <c r="M16" s="85">
        <f ca="1">IF('Invoer gegevens (N)'!$C$17=E16,'Invoer gegevens (N)'!$C$10-'Invoer gegevens (N)'!$C$11,IF(C16=1,P15,0))</f>
        <v>0</v>
      </c>
      <c r="N16" s="86">
        <f ca="1">IF(E16='Invoer gegevens (N)'!$C$17+15,P15,IF(C16&lt;1,0,IF('Reeksen (N)'!AK16&lt;='Reeksen (N)'!AE16,M16*'Reeksen (N)'!C16,0)))</f>
        <v>0</v>
      </c>
      <c r="O16" s="86">
        <f ca="1">IF(E16='Invoer gegevens (N)'!$C$17+15,P15,IF(C16&lt;1,0,IF('Reeksen (N)'!AK16&gt;'Reeksen (N)'!AE16,M16*'Reeksen (N)'!C16,0)))</f>
        <v>0</v>
      </c>
      <c r="P16" s="86">
        <f ca="1">IF(E16&gt;='Invoer gegevens (N)'!$C$17+15,0,M16-N16-O16)</f>
        <v>0</v>
      </c>
      <c r="Q16" s="82">
        <f ca="1">IF('Invoer gegevens (N)'!$C$17=E16,I16,IF(C16=0,0,R15))</f>
        <v>0</v>
      </c>
      <c r="R16" s="84">
        <f t="shared" ca="1" si="0"/>
        <v>0</v>
      </c>
      <c r="S16" s="84">
        <f ca="1">IF('Invoer gegevens (N)'!$C$17=E16,M16,IF(C16=0,0,T15))</f>
        <v>0</v>
      </c>
      <c r="T16" s="84">
        <f t="shared" ca="1" si="1"/>
        <v>0</v>
      </c>
      <c r="AH16" s="68"/>
      <c r="AI16" s="71">
        <f ca="1">IF(C16=1,((F16+H16)/2*'Reeksen (N)'!AJ16*12)+(('Invoer gegevens (N)'!$C$10-(F16+H16)/2)*'Reeksen (N)'!AK16*12),0)</f>
        <v>0</v>
      </c>
      <c r="AJ16" s="71">
        <f ca="1">-AI16*'Invoer gegevens (N)'!$F$28</f>
        <v>0</v>
      </c>
      <c r="AK16" s="71">
        <f t="shared" ca="1" si="2"/>
        <v>0</v>
      </c>
      <c r="AL16" s="71">
        <f ca="1">IF(C16=1,(12*((F16+H16)/2)*'Reeksen (N)'!AL16)+(12*('Invoer gegevens (N)'!$C$10-(F16+H16)/2)*'Reeksen (N)'!AM16),0)</f>
        <v>0</v>
      </c>
      <c r="AM16" s="71">
        <f ca="1">-AL16*'Invoer gegevens (N)'!$F$31</f>
        <v>0</v>
      </c>
      <c r="AN16" s="71">
        <f t="shared" ca="1" si="3"/>
        <v>0</v>
      </c>
      <c r="AO16" s="71"/>
      <c r="AP16" s="71"/>
      <c r="AQ16" s="71">
        <f ca="1">-IF(C16=1,('Invoer gegevens (N)'!$C$10*'Invoer gegevens (N)'!$I$33)*'Reeksen (N)'!J16,0)</f>
        <v>0</v>
      </c>
      <c r="AR16" s="71">
        <f ca="1">-IF(C16=1,(G16*'Invoer gegevens (N)'!$I$34)*'Reeksen (N)'!J16,0)</f>
        <v>0</v>
      </c>
      <c r="AS16" s="71">
        <f ca="1">-IF(C16=1,'Invoer gegevens (N)'!$C$10*'Invoer gegevens (N)'!$I$35*'Reeksen (N)'!L16,0)</f>
        <v>0</v>
      </c>
      <c r="AT16" s="71">
        <f ca="1">-IF(C16=1,IF(E16='Invoer gegevens (N)'!$C$17,'Invoer gegevens (N)'!$C$11,Q16)*'Reeksen (N)'!S16*'Invoer gegevens (N)'!$C$18*'Reeksen (N)'!P16,0)</f>
        <v>0</v>
      </c>
      <c r="AU16" s="71">
        <f ca="1">-IF(C16=1,'Invoer gegevens (N)'!$C$10*'Invoer gegevens (N)'!$I$36*'Reeksen (N)'!H16,0)</f>
        <v>0</v>
      </c>
      <c r="AV16" s="71">
        <v>0</v>
      </c>
      <c r="AW16" s="71">
        <f t="shared" ca="1" si="4"/>
        <v>0</v>
      </c>
      <c r="AX16" s="72">
        <f ca="1">IF(E16='Invoer gegevens (N)'!$C$17+14,'RW - BW - DE (N)'!$AY$236,0)</f>
        <v>0</v>
      </c>
      <c r="AY16" s="72">
        <f ca="1">IFERROR(IF(E16='Invoer gegevens (N)'!$C$17,-'Invoer gegevens (N)'!$C$10*'Invoer gegevens (N)'!$C$31*'Reeksen (N)'!H16,0),0)</f>
        <v>0</v>
      </c>
      <c r="AZ16" s="73">
        <f ca="1">IF('Invoer gegevens (N)'!$C$34=E16,'Invoer gegevens (N)'!$C$27*'Invoer gegevens (N)'!$C$10*'Invoer gegevens (N)'!$C$36*(IF('Invoer gegevens (N)'!$C$35="ja",1,'Reeksen (N)'!J16)),IF('Invoer gegevens (N)'!$C$34+1=E16,'Invoer gegevens (N)'!$C$27*'Invoer gegevens (N)'!$C$10*'Invoer gegevens (N)'!$C$37*(IF('Invoer gegevens (N)'!$C$35="ja",1,'Reeksen (N)'!J16)),0))+IF(AND(E16='Invoer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6" s="73">
        <f ca="1">AW16/(1+'Invoer gegevens (N)'!$F$13)^($D16-('Invoer gegevens (N)'!$C$17-'Invoer gegevens (N)'!$C$16))/(1+'Invoer gegevens (N)'!$C$39)^('Invoer gegevens (N)'!$C$17-'Invoer gegevens (N)'!$C$16)</f>
        <v>0</v>
      </c>
      <c r="BB16" s="73">
        <f ca="1">AX16/(1+'Invoer gegevens (N)'!$F$13)^(E16-('Invoer gegevens (N)'!$C$17-1))/(1+'Invoer gegevens (N)'!$C$39)^('Invoer gegevens (N)'!$C$17-'Invoer gegevens (N)'!$C$16)</f>
        <v>0</v>
      </c>
      <c r="BC16" s="73">
        <f ca="1">AY16/(1+'Invoer gegevens (N)'!$C$39)^('Invoer gegevens (N)'!$C$17-'Invoer gegevens (N)'!$C$16)</f>
        <v>0</v>
      </c>
      <c r="BD16" s="72">
        <f t="shared" ca="1" si="5"/>
        <v>0</v>
      </c>
      <c r="BE16" s="72">
        <f ca="1">IF(AND(E16='Invoer gegevens (N)'!$C$16,'Invoer gegevens (N)'!$C$34&lt;'Invoer gegevens (N)'!$C$16),AZ16,AZ16/(1+'Invoer gegevens (N)'!$C$39)^D16)</f>
        <v>0</v>
      </c>
      <c r="BF16" s="72">
        <f ca="1">IF(E16='Invoer gegevens (N)'!$C$34,-'Invoer gegevens (N)'!$F$40,0)</f>
        <v>0</v>
      </c>
      <c r="BG16" s="72">
        <f ca="1">IF(E16='Invoer gegevens (N)'!$C$17,-'Invoer gegevens (N)'!$C$19*$BD$31,0)</f>
        <v>0</v>
      </c>
      <c r="BH16" s="72">
        <f ca="1">AW16/(1+$BH$4)^($D16-('Invoer gegevens (N)'!$C$17-'Invoer gegevens (N)'!$C$16))/(1+'Invoer gegevens (N)'!$C$39)^('Invoer gegevens (N)'!$C$17-'Invoer gegevens (N)'!$C$16)+AX16/(1+$BH$4)^(E16-('Invoer gegevens (N)'!$C$17-1))/(1+'Invoer gegevens (N)'!$C$39)^('Invoer gegevens (N)'!$C$17-'Invoer gegevens (N)'!$C$16)+AY16/(1+'Invoer gegevens (N)'!$C$39)^('Invoer gegevens (N)'!$C$17-'Invoer gegevens (N)'!$C$16)+(-AZ16/(1+'Invoer gegevens (N)'!$C$39)^D16)+BF16+BG16</f>
        <v>0</v>
      </c>
      <c r="BI16" s="59"/>
    </row>
    <row r="17" spans="1:68" x14ac:dyDescent="0.25">
      <c r="A17" s="59"/>
      <c r="B17" s="70">
        <f t="shared" si="6"/>
        <v>13</v>
      </c>
      <c r="C17" s="67">
        <f ca="1">IF(AND(E17&gt;='Invoer gegevens (N)'!$C$17,E17&lt;'Invoer gegevens (N)'!$C$17+15),1,0)</f>
        <v>1</v>
      </c>
      <c r="D17" s="68">
        <f t="shared" si="7"/>
        <v>12.5</v>
      </c>
      <c r="E17" s="69">
        <f ca="1">IF('Invoer gegevens (N)'!$C$16="","",E16+1)</f>
        <v>2031</v>
      </c>
      <c r="F17" s="82">
        <f ca="1">IF('Invoer gegevens (N)'!$C$17=E17,'Invoer gegevens (N)'!$C$10,IF(C17=1,H16,0))</f>
        <v>0</v>
      </c>
      <c r="G17" s="83">
        <f ca="1">IF(E17='Invoer gegevens (N)'!$C$17+15,H16,IF(C17&gt;=1,F17*'Reeksen (N)'!C17,0))</f>
        <v>0</v>
      </c>
      <c r="H17" s="84">
        <f ca="1">IF(E17&gt;='Invoer gegevens (N)'!$C$17+15,0,F17-G17)</f>
        <v>0</v>
      </c>
      <c r="I17" s="85">
        <f ca="1">IF('Invoer gegevens (N)'!$C$17=E17,'Invoer gegevens (N)'!$C$11,IF(C17=1,L16,0))</f>
        <v>28.8</v>
      </c>
      <c r="J17" s="86">
        <f ca="1">IF(E17='Invoer gegevens (N)'!$C$17+15,L16,IF(C17&lt;1,0,IF('Reeksen (N)'!AK17&lt;='Reeksen (N)'!AE17,I17*'Reeksen (N)'!C17,0)))</f>
        <v>0</v>
      </c>
      <c r="K17" s="86">
        <f ca="1">IF(E17='Invoer gegevens (N)'!$C$17+15,L16,IF(C17&lt;1,0,IF('Reeksen (N)'!AK17&gt;'Reeksen (N)'!AE17,I17*'Reeksen (N)'!C17,0)))</f>
        <v>0</v>
      </c>
      <c r="L17" s="86">
        <f ca="1">IF(E17&gt;='Invoer gegevens (N)'!$C$17+15,0,I17-J17-K17)</f>
        <v>28.8</v>
      </c>
      <c r="M17" s="85">
        <f ca="1">IF('Invoer gegevens (N)'!$C$17=E17,'Invoer gegevens (N)'!$C$10-'Invoer gegevens (N)'!$C$11,IF(C17=1,P16,0))</f>
        <v>0</v>
      </c>
      <c r="N17" s="86">
        <f ca="1">IF(E17='Invoer gegevens (N)'!$C$17+15,P16,IF(C17&lt;1,0,IF('Reeksen (N)'!AK17&lt;='Reeksen (N)'!AE17,M17*'Reeksen (N)'!C17,0)))</f>
        <v>0</v>
      </c>
      <c r="O17" s="86">
        <f ca="1">IF(E17='Invoer gegevens (N)'!$C$17+15,P16,IF(C17&lt;1,0,IF('Reeksen (N)'!AK17&gt;'Reeksen (N)'!AE17,M17*'Reeksen (N)'!C17,0)))</f>
        <v>0</v>
      </c>
      <c r="P17" s="86">
        <f ca="1">IF(E17&gt;='Invoer gegevens (N)'!$C$17+15,0,M17-N17-O17)</f>
        <v>0</v>
      </c>
      <c r="Q17" s="82">
        <f ca="1">IF('Invoer gegevens (N)'!$C$17=E17,I17,IF(C17=0,0,R16))</f>
        <v>0</v>
      </c>
      <c r="R17" s="84">
        <f t="shared" ca="1" si="0"/>
        <v>0</v>
      </c>
      <c r="S17" s="84">
        <f ca="1">IF('Invoer gegevens (N)'!$C$17=E17,M17,IF(C17=0,0,T16))</f>
        <v>0</v>
      </c>
      <c r="T17" s="84">
        <f t="shared" ca="1" si="1"/>
        <v>0</v>
      </c>
      <c r="AH17" s="68"/>
      <c r="AI17" s="71">
        <f ca="1">IF(C17=1,((F17+H17)/2*'Reeksen (N)'!AJ17*12)+(('Invoer gegevens (N)'!$C$10-(F17+H17)/2)*'Reeksen (N)'!AK17*12),0)</f>
        <v>0</v>
      </c>
      <c r="AJ17" s="71">
        <f ca="1">-AI17*'Invoer gegevens (N)'!$F$28</f>
        <v>0</v>
      </c>
      <c r="AK17" s="71">
        <f t="shared" ca="1" si="2"/>
        <v>0</v>
      </c>
      <c r="AL17" s="71">
        <f ca="1">IF(C17=1,(12*((F17+H17)/2)*'Reeksen (N)'!AL17)+(12*('Invoer gegevens (N)'!$C$10-(F17+H17)/2)*'Reeksen (N)'!AM17),0)</f>
        <v>0</v>
      </c>
      <c r="AM17" s="71">
        <f ca="1">-AL17*'Invoer gegevens (N)'!$F$31</f>
        <v>0</v>
      </c>
      <c r="AN17" s="71">
        <f t="shared" ca="1" si="3"/>
        <v>0</v>
      </c>
      <c r="AO17" s="71"/>
      <c r="AP17" s="71"/>
      <c r="AQ17" s="71">
        <f ca="1">-IF(C17=1,('Invoer gegevens (N)'!$C$10*'Invoer gegevens (N)'!$I$33)*'Reeksen (N)'!J17,0)</f>
        <v>0</v>
      </c>
      <c r="AR17" s="71">
        <f ca="1">-IF(C17=1,(G17*'Invoer gegevens (N)'!$I$34)*'Reeksen (N)'!J17,0)</f>
        <v>0</v>
      </c>
      <c r="AS17" s="71">
        <f ca="1">-IF(C17=1,'Invoer gegevens (N)'!$C$10*'Invoer gegevens (N)'!$I$35*'Reeksen (N)'!L17,0)</f>
        <v>0</v>
      </c>
      <c r="AT17" s="71">
        <f ca="1">-IF(C17=1,IF(E17='Invoer gegevens (N)'!$C$17,'Invoer gegevens (N)'!$C$11,Q17)*'Reeksen (N)'!S17*'Invoer gegevens (N)'!$C$18*'Reeksen (N)'!P17,0)</f>
        <v>0</v>
      </c>
      <c r="AU17" s="71">
        <f ca="1">-IF(C17=1,'Invoer gegevens (N)'!$C$10*'Invoer gegevens (N)'!$I$36*'Reeksen (N)'!H17,0)</f>
        <v>0</v>
      </c>
      <c r="AV17" s="71">
        <v>0</v>
      </c>
      <c r="AW17" s="71">
        <f t="shared" ca="1" si="4"/>
        <v>0</v>
      </c>
      <c r="AX17" s="72">
        <f ca="1">IF(E17='Invoer gegevens (N)'!$C$17+14,'RW - BW - DE (N)'!$AY$236,0)</f>
        <v>0</v>
      </c>
      <c r="AY17" s="72">
        <f ca="1">IFERROR(IF(E17='Invoer gegevens (N)'!$C$17,-'Invoer gegevens (N)'!$C$10*'Invoer gegevens (N)'!$C$31*'Reeksen (N)'!H17,0),0)</f>
        <v>0</v>
      </c>
      <c r="AZ17" s="73">
        <f ca="1">IF('Invoer gegevens (N)'!$C$34=E17,'Invoer gegevens (N)'!$C$27*'Invoer gegevens (N)'!$C$10*'Invoer gegevens (N)'!$C$36*(IF('Invoer gegevens (N)'!$C$35="ja",1,'Reeksen (N)'!J17)),IF('Invoer gegevens (N)'!$C$34+1=E17,'Invoer gegevens (N)'!$C$27*'Invoer gegevens (N)'!$C$10*'Invoer gegevens (N)'!$C$37*(IF('Invoer gegevens (N)'!$C$35="ja",1,'Reeksen (N)'!J17)),0))+IF(AND(E17='Invoer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7" s="73">
        <f ca="1">AW17/(1+'Invoer gegevens (N)'!$F$13)^($D17-('Invoer gegevens (N)'!$C$17-'Invoer gegevens (N)'!$C$16))/(1+'Invoer gegevens (N)'!$C$39)^('Invoer gegevens (N)'!$C$17-'Invoer gegevens (N)'!$C$16)</f>
        <v>0</v>
      </c>
      <c r="BB17" s="73">
        <f ca="1">AX17/(1+'Invoer gegevens (N)'!$F$13)^(E17-('Invoer gegevens (N)'!$C$17-1))/(1+'Invoer gegevens (N)'!$C$39)^('Invoer gegevens (N)'!$C$17-'Invoer gegevens (N)'!$C$16)</f>
        <v>0</v>
      </c>
      <c r="BC17" s="73">
        <f ca="1">AY17/(1+'Invoer gegevens (N)'!$C$39)^('Invoer gegevens (N)'!$C$17-'Invoer gegevens (N)'!$C$16)</f>
        <v>0</v>
      </c>
      <c r="BD17" s="72">
        <f t="shared" ca="1" si="5"/>
        <v>0</v>
      </c>
      <c r="BE17" s="72">
        <f ca="1">IF(AND(E17='Invoer gegevens (N)'!$C$16,'Invoer gegevens (N)'!$C$34&lt;'Invoer gegevens (N)'!$C$16),AZ17,AZ17/(1+'Invoer gegevens (N)'!$C$39)^D17)</f>
        <v>0</v>
      </c>
      <c r="BF17" s="72">
        <f ca="1">IF(E17='Invoer gegevens (N)'!$C$34,-'Invoer gegevens (N)'!$F$40,0)</f>
        <v>0</v>
      </c>
      <c r="BG17" s="72">
        <f ca="1">IF(E17='Invoer gegevens (N)'!$C$17,-'Invoer gegevens (N)'!$C$19*$BD$31,0)</f>
        <v>0</v>
      </c>
      <c r="BH17" s="72">
        <f ca="1">AW17/(1+$BH$4)^($D17-('Invoer gegevens (N)'!$C$17-'Invoer gegevens (N)'!$C$16))/(1+'Invoer gegevens (N)'!$C$39)^('Invoer gegevens (N)'!$C$17-'Invoer gegevens (N)'!$C$16)+AX17/(1+$BH$4)^(E17-('Invoer gegevens (N)'!$C$17-1))/(1+'Invoer gegevens (N)'!$C$39)^('Invoer gegevens (N)'!$C$17-'Invoer gegevens (N)'!$C$16)+AY17/(1+'Invoer gegevens (N)'!$C$39)^('Invoer gegevens (N)'!$C$17-'Invoer gegevens (N)'!$C$16)+(-AZ17/(1+'Invoer gegevens (N)'!$C$39)^D17)+BF17+BG17</f>
        <v>0</v>
      </c>
      <c r="BI17" s="59"/>
    </row>
    <row r="18" spans="1:68" x14ac:dyDescent="0.25">
      <c r="A18" s="59"/>
      <c r="B18" s="70">
        <f t="shared" si="6"/>
        <v>14</v>
      </c>
      <c r="C18" s="67">
        <f ca="1">IF(AND(E18&gt;='Invoer gegevens (N)'!$C$17,E18&lt;'Invoer gegevens (N)'!$C$17+15),1,0)</f>
        <v>1</v>
      </c>
      <c r="D18" s="68">
        <f t="shared" si="7"/>
        <v>13.5</v>
      </c>
      <c r="E18" s="69">
        <f ca="1">IF('Invoer gegevens (N)'!$C$16="","",E17+1)</f>
        <v>2032</v>
      </c>
      <c r="F18" s="82">
        <f ca="1">IF('Invoer gegevens (N)'!$C$17=E18,'Invoer gegevens (N)'!$C$10,IF(C18=1,H17,0))</f>
        <v>0</v>
      </c>
      <c r="G18" s="83">
        <f ca="1">IF(E18='Invoer gegevens (N)'!$C$17+15,H17,IF(C18&gt;=1,F18*'Reeksen (N)'!C18,0))</f>
        <v>0</v>
      </c>
      <c r="H18" s="84">
        <f ca="1">IF(E18&gt;='Invoer gegevens (N)'!$C$17+15,0,F18-G18)</f>
        <v>0</v>
      </c>
      <c r="I18" s="85">
        <f ca="1">IF('Invoer gegevens (N)'!$C$17=E18,'Invoer gegevens (N)'!$C$11,IF(C18=1,L17,0))</f>
        <v>28.8</v>
      </c>
      <c r="J18" s="86">
        <f ca="1">IF(E18='Invoer gegevens (N)'!$C$17+15,L17,IF(C18&lt;1,0,IF('Reeksen (N)'!AK18&lt;='Reeksen (N)'!AE18,I18*'Reeksen (N)'!C18,0)))</f>
        <v>0</v>
      </c>
      <c r="K18" s="86">
        <f ca="1">IF(E18='Invoer gegevens (N)'!$C$17+15,L17,IF(C18&lt;1,0,IF('Reeksen (N)'!AK18&gt;'Reeksen (N)'!AE18,I18*'Reeksen (N)'!C18,0)))</f>
        <v>0</v>
      </c>
      <c r="L18" s="86">
        <f ca="1">IF(E18&gt;='Invoer gegevens (N)'!$C$17+15,0,I18-J18-K18)</f>
        <v>28.8</v>
      </c>
      <c r="M18" s="85">
        <f ca="1">IF('Invoer gegevens (N)'!$C$17=E18,'Invoer gegevens (N)'!$C$10-'Invoer gegevens (N)'!$C$11,IF(C18=1,P17,0))</f>
        <v>0</v>
      </c>
      <c r="N18" s="86">
        <f ca="1">IF(E18='Invoer gegevens (N)'!$C$17+15,P17,IF(C18&lt;1,0,IF('Reeksen (N)'!AK18&lt;='Reeksen (N)'!AE18,M18*'Reeksen (N)'!C18,0)))</f>
        <v>0</v>
      </c>
      <c r="O18" s="86">
        <f ca="1">IF(E18='Invoer gegevens (N)'!$C$17+15,P17,IF(C18&lt;1,0,IF('Reeksen (N)'!AK18&gt;'Reeksen (N)'!AE18,M18*'Reeksen (N)'!C18,0)))</f>
        <v>0</v>
      </c>
      <c r="P18" s="86">
        <f ca="1">IF(E18&gt;='Invoer gegevens (N)'!$C$17+15,0,M18-N18-O18)</f>
        <v>0</v>
      </c>
      <c r="Q18" s="82">
        <f ca="1">IF('Invoer gegevens (N)'!$C$17=E18,I18,IF(C18=0,0,R17))</f>
        <v>0</v>
      </c>
      <c r="R18" s="84">
        <f t="shared" ca="1" si="0"/>
        <v>0</v>
      </c>
      <c r="S18" s="84">
        <f ca="1">IF('Invoer gegevens (N)'!$C$17=E18,M18,IF(C18=0,0,T17))</f>
        <v>0</v>
      </c>
      <c r="T18" s="84">
        <f t="shared" ca="1" si="1"/>
        <v>0</v>
      </c>
      <c r="AH18" s="68"/>
      <c r="AI18" s="71">
        <f ca="1">IF(C18=1,((F18+H18)/2*'Reeksen (N)'!AJ18*12)+(('Invoer gegevens (N)'!$C$10-(F18+H18)/2)*'Reeksen (N)'!AK18*12),0)</f>
        <v>0</v>
      </c>
      <c r="AJ18" s="71">
        <f ca="1">-AI18*'Invoer gegevens (N)'!$F$28</f>
        <v>0</v>
      </c>
      <c r="AK18" s="71">
        <f t="shared" ca="1" si="2"/>
        <v>0</v>
      </c>
      <c r="AL18" s="71">
        <f ca="1">IF(C18=1,(12*((F18+H18)/2)*'Reeksen (N)'!AL18)+(12*('Invoer gegevens (N)'!$C$10-(F18+H18)/2)*'Reeksen (N)'!AM18),0)</f>
        <v>0</v>
      </c>
      <c r="AM18" s="71">
        <f ca="1">-AL18*'Invoer gegevens (N)'!$F$31</f>
        <v>0</v>
      </c>
      <c r="AN18" s="71">
        <f t="shared" ca="1" si="3"/>
        <v>0</v>
      </c>
      <c r="AO18" s="71"/>
      <c r="AP18" s="71"/>
      <c r="AQ18" s="71">
        <f ca="1">-IF(C18=1,('Invoer gegevens (N)'!$C$10*'Invoer gegevens (N)'!$I$33)*'Reeksen (N)'!J18,0)</f>
        <v>0</v>
      </c>
      <c r="AR18" s="71">
        <f ca="1">-IF(C18=1,(G18*'Invoer gegevens (N)'!$I$34)*'Reeksen (N)'!J18,0)</f>
        <v>0</v>
      </c>
      <c r="AS18" s="71">
        <f ca="1">-IF(C18=1,'Invoer gegevens (N)'!$C$10*'Invoer gegevens (N)'!$I$35*'Reeksen (N)'!L18,0)</f>
        <v>0</v>
      </c>
      <c r="AT18" s="71">
        <f ca="1">-IF(C18=1,IF(E18='Invoer gegevens (N)'!$C$17,'Invoer gegevens (N)'!$C$11,Q18)*'Reeksen (N)'!S18*'Invoer gegevens (N)'!$C$18*'Reeksen (N)'!P18,0)</f>
        <v>0</v>
      </c>
      <c r="AU18" s="71">
        <f ca="1">-IF(C18=1,'Invoer gegevens (N)'!$C$10*'Invoer gegevens (N)'!$I$36*'Reeksen (N)'!H18,0)</f>
        <v>0</v>
      </c>
      <c r="AV18" s="71">
        <v>0</v>
      </c>
      <c r="AW18" s="71">
        <f t="shared" ca="1" si="4"/>
        <v>0</v>
      </c>
      <c r="AX18" s="72">
        <f ca="1">IF(E18='Invoer gegevens (N)'!$C$17+14,'RW - BW - DE (N)'!$AY$236,0)</f>
        <v>0</v>
      </c>
      <c r="AY18" s="72">
        <f ca="1">IFERROR(IF(E18='Invoer gegevens (N)'!$C$17,-'Invoer gegevens (N)'!$C$10*'Invoer gegevens (N)'!$C$31*'Reeksen (N)'!H18,0),0)</f>
        <v>0</v>
      </c>
      <c r="AZ18" s="73">
        <f ca="1">IF('Invoer gegevens (N)'!$C$34=E18,'Invoer gegevens (N)'!$C$27*'Invoer gegevens (N)'!$C$10*'Invoer gegevens (N)'!$C$36*(IF('Invoer gegevens (N)'!$C$35="ja",1,'Reeksen (N)'!J18)),IF('Invoer gegevens (N)'!$C$34+1=E18,'Invoer gegevens (N)'!$C$27*'Invoer gegevens (N)'!$C$10*'Invoer gegevens (N)'!$C$37*(IF('Invoer gegevens (N)'!$C$35="ja",1,'Reeksen (N)'!J18)),0))+IF(AND(E18='Invoer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8" s="73">
        <f ca="1">AW18/(1+'Invoer gegevens (N)'!$F$13)^($D18-('Invoer gegevens (N)'!$C$17-'Invoer gegevens (N)'!$C$16))/(1+'Invoer gegevens (N)'!$C$39)^('Invoer gegevens (N)'!$C$17-'Invoer gegevens (N)'!$C$16)</f>
        <v>0</v>
      </c>
      <c r="BB18" s="73">
        <f ca="1">AX18/(1+'Invoer gegevens (N)'!$F$13)^(E18-('Invoer gegevens (N)'!$C$17-1))/(1+'Invoer gegevens (N)'!$C$39)^('Invoer gegevens (N)'!$C$17-'Invoer gegevens (N)'!$C$16)</f>
        <v>0</v>
      </c>
      <c r="BC18" s="73">
        <f ca="1">AY18/(1+'Invoer gegevens (N)'!$C$39)^('Invoer gegevens (N)'!$C$17-'Invoer gegevens (N)'!$C$16)</f>
        <v>0</v>
      </c>
      <c r="BD18" s="72">
        <f t="shared" ca="1" si="5"/>
        <v>0</v>
      </c>
      <c r="BE18" s="72">
        <f ca="1">IF(AND(E18='Invoer gegevens (N)'!$C$16,'Invoer gegevens (N)'!$C$34&lt;'Invoer gegevens (N)'!$C$16),AZ18,AZ18/(1+'Invoer gegevens (N)'!$C$39)^D18)</f>
        <v>0</v>
      </c>
      <c r="BF18" s="72">
        <f ca="1">IF(E18='Invoer gegevens (N)'!$C$34,-'Invoer gegevens (N)'!$F$40,0)</f>
        <v>0</v>
      </c>
      <c r="BG18" s="72">
        <f ca="1">IF(E18='Invoer gegevens (N)'!$C$17,-'Invoer gegevens (N)'!$C$19*$BD$31,0)</f>
        <v>0</v>
      </c>
      <c r="BH18" s="72">
        <f ca="1">AW18/(1+$BH$4)^($D18-('Invoer gegevens (N)'!$C$17-'Invoer gegevens (N)'!$C$16))/(1+'Invoer gegevens (N)'!$C$39)^('Invoer gegevens (N)'!$C$17-'Invoer gegevens (N)'!$C$16)+AX18/(1+$BH$4)^(E18-('Invoer gegevens (N)'!$C$17-1))/(1+'Invoer gegevens (N)'!$C$39)^('Invoer gegevens (N)'!$C$17-'Invoer gegevens (N)'!$C$16)+AY18/(1+'Invoer gegevens (N)'!$C$39)^('Invoer gegevens (N)'!$C$17-'Invoer gegevens (N)'!$C$16)+(-AZ18/(1+'Invoer gegevens (N)'!$C$39)^D18)+BF18+BG18</f>
        <v>0</v>
      </c>
      <c r="BI18" s="59"/>
    </row>
    <row r="19" spans="1:68" x14ac:dyDescent="0.25">
      <c r="A19" s="59"/>
      <c r="B19" s="70">
        <f t="shared" si="6"/>
        <v>15</v>
      </c>
      <c r="C19" s="67">
        <f ca="1">IF(AND(E19&gt;='Invoer gegevens (N)'!$C$17,E19&lt;'Invoer gegevens (N)'!$C$17+15),1,0)</f>
        <v>1</v>
      </c>
      <c r="D19" s="68">
        <f t="shared" si="7"/>
        <v>14.5</v>
      </c>
      <c r="E19" s="69">
        <f ca="1">IF('Invoer gegevens (N)'!$C$16="","",E18+1)</f>
        <v>2033</v>
      </c>
      <c r="F19" s="82">
        <f ca="1">IF('Invoer gegevens (N)'!$C$17=E19,'Invoer gegevens (N)'!$C$10,IF(C19=1,H18,0))</f>
        <v>0</v>
      </c>
      <c r="G19" s="83">
        <f ca="1">IF(E19='Invoer gegevens (N)'!$C$17+15,H18,IF(C19&gt;=1,F19*'Reeksen (N)'!C19,0))</f>
        <v>0</v>
      </c>
      <c r="H19" s="84">
        <f ca="1">IF(E19&gt;='Invoer gegevens (N)'!$C$17+15,0,F19-G19)</f>
        <v>0</v>
      </c>
      <c r="I19" s="85">
        <f ca="1">IF('Invoer gegevens (N)'!$C$17=E19,'Invoer gegevens (N)'!$C$11,IF(C19=1,L18,0))</f>
        <v>28.8</v>
      </c>
      <c r="J19" s="86">
        <f ca="1">IF(E19='Invoer gegevens (N)'!$C$17+15,L18,IF(C19&lt;1,0,IF('Reeksen (N)'!AK19&lt;='Reeksen (N)'!AE19,I19*'Reeksen (N)'!C19,0)))</f>
        <v>0</v>
      </c>
      <c r="K19" s="86">
        <f ca="1">IF(E19='Invoer gegevens (N)'!$C$17+15,L18,IF(C19&lt;1,0,IF('Reeksen (N)'!AK19&gt;'Reeksen (N)'!AE19,I19*'Reeksen (N)'!C19,0)))</f>
        <v>0</v>
      </c>
      <c r="L19" s="86">
        <f ca="1">IF(E19&gt;='Invoer gegevens (N)'!$C$17+15,0,I19-J19-K19)</f>
        <v>28.8</v>
      </c>
      <c r="M19" s="85">
        <f ca="1">IF('Invoer gegevens (N)'!$C$17=E19,'Invoer gegevens (N)'!$C$10-'Invoer gegevens (N)'!$C$11,IF(C19=1,P18,0))</f>
        <v>0</v>
      </c>
      <c r="N19" s="86">
        <f ca="1">IF(E19='Invoer gegevens (N)'!$C$17+15,P18,IF(C19&lt;1,0,IF('Reeksen (N)'!AK19&lt;='Reeksen (N)'!AE19,M19*'Reeksen (N)'!C19,0)))</f>
        <v>0</v>
      </c>
      <c r="O19" s="86">
        <f ca="1">IF(E19='Invoer gegevens (N)'!$C$17+15,P18,IF(C19&lt;1,0,IF('Reeksen (N)'!AK19&gt;'Reeksen (N)'!AE19,M19*'Reeksen (N)'!C19,0)))</f>
        <v>0</v>
      </c>
      <c r="P19" s="86">
        <f ca="1">IF(E19&gt;='Invoer gegevens (N)'!$C$17+15,0,M19-N19-O19)</f>
        <v>0</v>
      </c>
      <c r="Q19" s="82">
        <f ca="1">IF('Invoer gegevens (N)'!$C$17=E19,I19,IF(C19=0,0,R18))</f>
        <v>0</v>
      </c>
      <c r="R19" s="84">
        <f t="shared" ca="1" si="0"/>
        <v>0</v>
      </c>
      <c r="S19" s="84">
        <f ca="1">IF('Invoer gegevens (N)'!$C$17=E19,M19,IF(C19=0,0,T18))</f>
        <v>0</v>
      </c>
      <c r="T19" s="84">
        <f t="shared" ca="1" si="1"/>
        <v>0</v>
      </c>
      <c r="AH19" s="68"/>
      <c r="AI19" s="71">
        <f ca="1">IF(C19=1,((F19+H19)/2*'Reeksen (N)'!AJ19*12)+(('Invoer gegevens (N)'!$C$10-(F19+H19)/2)*'Reeksen (N)'!AK19*12),0)</f>
        <v>0</v>
      </c>
      <c r="AJ19" s="71">
        <f ca="1">-AI19*'Invoer gegevens (N)'!$F$28</f>
        <v>0</v>
      </c>
      <c r="AK19" s="71">
        <f t="shared" ca="1" si="2"/>
        <v>0</v>
      </c>
      <c r="AL19" s="71">
        <f ca="1">IF(C19=1,(12*((F19+H19)/2)*'Reeksen (N)'!AL19)+(12*('Invoer gegevens (N)'!$C$10-(F19+H19)/2)*'Reeksen (N)'!AM19),0)</f>
        <v>0</v>
      </c>
      <c r="AM19" s="71">
        <f ca="1">-AL19*'Invoer gegevens (N)'!$F$31</f>
        <v>0</v>
      </c>
      <c r="AN19" s="71">
        <f t="shared" ca="1" si="3"/>
        <v>0</v>
      </c>
      <c r="AO19" s="71"/>
      <c r="AP19" s="71"/>
      <c r="AQ19" s="71">
        <f ca="1">-IF(C19=1,('Invoer gegevens (N)'!$C$10*'Invoer gegevens (N)'!$I$33)*'Reeksen (N)'!J19,0)</f>
        <v>0</v>
      </c>
      <c r="AR19" s="71">
        <f ca="1">-IF(C19=1,(G19*'Invoer gegevens (N)'!$I$34)*'Reeksen (N)'!J19,0)</f>
        <v>0</v>
      </c>
      <c r="AS19" s="71">
        <f ca="1">-IF(C19=1,'Invoer gegevens (N)'!$C$10*'Invoer gegevens (N)'!$I$35*'Reeksen (N)'!L19,0)</f>
        <v>0</v>
      </c>
      <c r="AT19" s="71">
        <f ca="1">-IF(C19=1,IF(E19='Invoer gegevens (N)'!$C$17,'Invoer gegevens (N)'!$C$11,Q19)*'Reeksen (N)'!S19*'Invoer gegevens (N)'!$C$18*'Reeksen (N)'!P19,0)</f>
        <v>0</v>
      </c>
      <c r="AU19" s="71">
        <f ca="1">-IF(C19=1,'Invoer gegevens (N)'!$C$10*'Invoer gegevens (N)'!$I$36*'Reeksen (N)'!H19,0)</f>
        <v>0</v>
      </c>
      <c r="AV19" s="71">
        <v>0</v>
      </c>
      <c r="AW19" s="71">
        <f t="shared" ca="1" si="4"/>
        <v>0</v>
      </c>
      <c r="AX19" s="72">
        <f ca="1">IF(E19='Invoer gegevens (N)'!$C$17+14,'RW - BW - DE (N)'!$AY$236,0)</f>
        <v>0</v>
      </c>
      <c r="AY19" s="72">
        <f ca="1">IFERROR(IF(E19='Invoer gegevens (N)'!$C$17,-'Invoer gegevens (N)'!$C$10*'Invoer gegevens (N)'!$C$31*'Reeksen (N)'!H19,0),0)</f>
        <v>0</v>
      </c>
      <c r="AZ19" s="73">
        <f ca="1">IF('Invoer gegevens (N)'!$C$34=E19,'Invoer gegevens (N)'!$C$27*'Invoer gegevens (N)'!$C$10*'Invoer gegevens (N)'!$C$36*(IF('Invoer gegevens (N)'!$C$35="ja",1,'Reeksen (N)'!J19)),IF('Invoer gegevens (N)'!$C$34+1=E19,'Invoer gegevens (N)'!$C$27*'Invoer gegevens (N)'!$C$10*'Invoer gegevens (N)'!$C$37*(IF('Invoer gegevens (N)'!$C$35="ja",1,'Reeksen (N)'!J19)),0))+IF(AND(E19='Invoer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19" s="73">
        <f ca="1">AW19/(1+'Invoer gegevens (N)'!$F$13)^($D19-('Invoer gegevens (N)'!$C$17-'Invoer gegevens (N)'!$C$16))/(1+'Invoer gegevens (N)'!$C$39)^('Invoer gegevens (N)'!$C$17-'Invoer gegevens (N)'!$C$16)</f>
        <v>0</v>
      </c>
      <c r="BB19" s="73">
        <f ca="1">AX19/(1+'Invoer gegevens (N)'!$F$13)^(E19-('Invoer gegevens (N)'!$C$17-1))/(1+'Invoer gegevens (N)'!$C$39)^('Invoer gegevens (N)'!$C$17-'Invoer gegevens (N)'!$C$16)</f>
        <v>0</v>
      </c>
      <c r="BC19" s="73">
        <f ca="1">AY19/(1+'Invoer gegevens (N)'!$C$39)^('Invoer gegevens (N)'!$C$17-'Invoer gegevens (N)'!$C$16)</f>
        <v>0</v>
      </c>
      <c r="BD19" s="72">
        <f t="shared" ca="1" si="5"/>
        <v>0</v>
      </c>
      <c r="BE19" s="72">
        <f ca="1">IF(AND(E19='Invoer gegevens (N)'!$C$16,'Invoer gegevens (N)'!$C$34&lt;'Invoer gegevens (N)'!$C$16),AZ19,AZ19/(1+'Invoer gegevens (N)'!$C$39)^D19)</f>
        <v>0</v>
      </c>
      <c r="BF19" s="72">
        <f ca="1">IF(E19='Invoer gegevens (N)'!$C$34,-'Invoer gegevens (N)'!$F$40,0)</f>
        <v>0</v>
      </c>
      <c r="BG19" s="72">
        <f ca="1">IF(E19='Invoer gegevens (N)'!$C$17,-'Invoer gegevens (N)'!$C$19*$BD$31,0)</f>
        <v>0</v>
      </c>
      <c r="BH19" s="72">
        <f ca="1">AW19/(1+$BH$4)^($D19-('Invoer gegevens (N)'!$C$17-'Invoer gegevens (N)'!$C$16))/(1+'Invoer gegevens (N)'!$C$39)^('Invoer gegevens (N)'!$C$17-'Invoer gegevens (N)'!$C$16)+AX19/(1+$BH$4)^(E19-('Invoer gegevens (N)'!$C$17-1))/(1+'Invoer gegevens (N)'!$C$39)^('Invoer gegevens (N)'!$C$17-'Invoer gegevens (N)'!$C$16)+AY19/(1+'Invoer gegevens (N)'!$C$39)^('Invoer gegevens (N)'!$C$17-'Invoer gegevens (N)'!$C$16)+(-AZ19/(1+'Invoer gegevens (N)'!$C$39)^D19)+BF19+BG19</f>
        <v>0</v>
      </c>
      <c r="BI19" s="59"/>
    </row>
    <row r="20" spans="1:68" x14ac:dyDescent="0.25">
      <c r="A20" s="59"/>
      <c r="B20" s="70">
        <f t="shared" si="6"/>
        <v>16</v>
      </c>
      <c r="C20" s="67">
        <f ca="1">IF(AND(E20&gt;='Invoer gegevens (N)'!$C$17,E20&lt;'Invoer gegevens (N)'!$C$17+15),1,0)</f>
        <v>0</v>
      </c>
      <c r="D20" s="68">
        <f t="shared" si="7"/>
        <v>15.5</v>
      </c>
      <c r="E20" s="69">
        <f ca="1">IF('Invoer gegevens (N)'!$C$16="","",E19+1)</f>
        <v>2034</v>
      </c>
      <c r="F20" s="82">
        <f ca="1">IF('Invoer gegevens (N)'!$C$17=E20,'Invoer gegevens (N)'!$C$10,IF(C20=1,H19,0))</f>
        <v>0</v>
      </c>
      <c r="G20" s="83">
        <f ca="1">IF(E20='Invoer gegevens (N)'!$C$17+15,H19,IF(C20&gt;=1,F20*'Reeksen (N)'!C20,0))</f>
        <v>0</v>
      </c>
      <c r="H20" s="84">
        <f ca="1">IF(E20&gt;='Invoer gegevens (N)'!$C$17+15,0,F20-G20)</f>
        <v>0</v>
      </c>
      <c r="I20" s="85">
        <f ca="1">IF('Invoer gegevens (N)'!$C$17=E20,'Invoer gegevens (N)'!$C$11,IF(C20=1,L19,0))</f>
        <v>0</v>
      </c>
      <c r="J20" s="86">
        <f ca="1">IF(E20='Invoer gegevens (N)'!$C$17+15,L19,IF(C20&lt;1,0,IF('Reeksen (N)'!AK20&lt;='Reeksen (N)'!AE20,I20*'Reeksen (N)'!C20,0)))</f>
        <v>28.8</v>
      </c>
      <c r="K20" s="86">
        <f ca="1">IF(E20='Invoer gegevens (N)'!$C$17+15,L19,IF(C20&lt;1,0,IF('Reeksen (N)'!AK20&gt;'Reeksen (N)'!AE20,I20*'Reeksen (N)'!C20,0)))</f>
        <v>28.8</v>
      </c>
      <c r="L20" s="86">
        <f ca="1">IF(E20&gt;='Invoer gegevens (N)'!$C$17+15,0,I20-J20-K20)</f>
        <v>0</v>
      </c>
      <c r="M20" s="85">
        <f ca="1">IF('Invoer gegevens (N)'!$C$17=E20,'Invoer gegevens (N)'!$C$10-'Invoer gegevens (N)'!$C$11,IF(C20=1,P19,0))</f>
        <v>0</v>
      </c>
      <c r="N20" s="86">
        <f ca="1">IF(E20='Invoer gegevens (N)'!$C$17+15,P19,IF(C20&lt;1,0,IF('Reeksen (N)'!AK20&lt;='Reeksen (N)'!AE20,M20*'Reeksen (N)'!C20,0)))</f>
        <v>0</v>
      </c>
      <c r="O20" s="86">
        <f ca="1">IF(E20='Invoer gegevens (N)'!$C$17+15,P19,IF(C20&lt;1,0,IF('Reeksen (N)'!AK20&gt;'Reeksen (N)'!AE20,M20*'Reeksen (N)'!C20,0)))</f>
        <v>0</v>
      </c>
      <c r="P20" s="86">
        <f ca="1">IF(E20&gt;='Invoer gegevens (N)'!$C$17+15,0,M20-N20-O20)</f>
        <v>0</v>
      </c>
      <c r="Q20" s="82">
        <f ca="1">IF('Invoer gegevens (N)'!$C$17=E20,I20,IF(C20=0,0,R19))</f>
        <v>0</v>
      </c>
      <c r="R20" s="84">
        <f t="shared" ca="1" si="0"/>
        <v>0</v>
      </c>
      <c r="S20" s="84">
        <f ca="1">IF('Invoer gegevens (N)'!$C$17=E20,M20,IF(C20=0,0,T19))</f>
        <v>0</v>
      </c>
      <c r="T20" s="84">
        <f t="shared" ca="1" si="1"/>
        <v>0</v>
      </c>
      <c r="AH20" s="68"/>
      <c r="AI20" s="71">
        <f ca="1">IF(C20=1,((F20+H20)/2*'Reeksen (N)'!AJ20*12)+(('Invoer gegevens (N)'!$C$10-(F20+H20)/2)*'Reeksen (N)'!AK20*12),0)</f>
        <v>0</v>
      </c>
      <c r="AJ20" s="71">
        <f ca="1">-AI20*'Invoer gegevens (N)'!$F$28</f>
        <v>0</v>
      </c>
      <c r="AK20" s="71">
        <f t="shared" ca="1" si="2"/>
        <v>0</v>
      </c>
      <c r="AL20" s="71">
        <f ca="1">IF(C20=1,(12*((F20+H20)/2)*'Reeksen (N)'!AL20)+(12*('Invoer gegevens (N)'!$C$10-(F20+H20)/2)*'Reeksen (N)'!AM20),0)</f>
        <v>0</v>
      </c>
      <c r="AM20" s="71">
        <f ca="1">-AL20*'Invoer gegevens (N)'!$F$31</f>
        <v>0</v>
      </c>
      <c r="AN20" s="71">
        <f t="shared" ca="1" si="3"/>
        <v>0</v>
      </c>
      <c r="AO20" s="71"/>
      <c r="AP20" s="71"/>
      <c r="AQ20" s="71">
        <f ca="1">-IF(C20=1,('Invoer gegevens (N)'!$C$10*'Invoer gegevens (N)'!$I$33)*'Reeksen (N)'!J20,0)</f>
        <v>0</v>
      </c>
      <c r="AR20" s="71">
        <f ca="1">-IF(C20=1,(G20*'Invoer gegevens (N)'!$I$34)*'Reeksen (N)'!J20,0)</f>
        <v>0</v>
      </c>
      <c r="AS20" s="71">
        <f ca="1">-IF(C20=1,'Invoer gegevens (N)'!$C$10*'Invoer gegevens (N)'!$I$35*'Reeksen (N)'!L20,0)</f>
        <v>0</v>
      </c>
      <c r="AT20" s="71">
        <f ca="1">-IF(C20=1,IF(E20='Invoer gegevens (N)'!$C$17,'Invoer gegevens (N)'!$C$11,Q20)*'Reeksen (N)'!S20*'Invoer gegevens (N)'!$C$18*'Reeksen (N)'!P20,0)</f>
        <v>0</v>
      </c>
      <c r="AU20" s="71">
        <f ca="1">-IF(C20=1,'Invoer gegevens (N)'!$C$10*'Invoer gegevens (N)'!$I$36*'Reeksen (N)'!H20,0)</f>
        <v>0</v>
      </c>
      <c r="AV20" s="71">
        <v>0</v>
      </c>
      <c r="AW20" s="71">
        <f t="shared" ca="1" si="4"/>
        <v>0</v>
      </c>
      <c r="AX20" s="72">
        <f ca="1">IF(E20='Invoer gegevens (N)'!$C$17+14,'RW - BW - DE (N)'!$AY$236,0)</f>
        <v>0</v>
      </c>
      <c r="AY20" s="72">
        <f ca="1">IFERROR(IF(E20='Invoer gegevens (N)'!$C$17,-'Invoer gegevens (N)'!$C$10*'Invoer gegevens (N)'!$C$31*'Reeksen (N)'!H20,0),0)</f>
        <v>0</v>
      </c>
      <c r="AZ20" s="73">
        <f ca="1">IF('Invoer gegevens (N)'!$C$34=E20,'Invoer gegevens (N)'!$C$27*'Invoer gegevens (N)'!$C$10*'Invoer gegevens (N)'!$C$36*(IF('Invoer gegevens (N)'!$C$35="ja",1,'Reeksen (N)'!J20)),IF('Invoer gegevens (N)'!$C$34+1=E20,'Invoer gegevens (N)'!$C$27*'Invoer gegevens (N)'!$C$10*'Invoer gegevens (N)'!$C$37*(IF('Invoer gegevens (N)'!$C$35="ja",1,'Reeksen (N)'!J20)),0))+IF(AND(E20='Invoer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0" s="73">
        <f ca="1">AW20/(1+'Invoer gegevens (N)'!$F$13)^($D20-('Invoer gegevens (N)'!$C$17-'Invoer gegevens (N)'!$C$16))/(1+'Invoer gegevens (N)'!$C$39)^('Invoer gegevens (N)'!$C$17-'Invoer gegevens (N)'!$C$16)</f>
        <v>0</v>
      </c>
      <c r="BB20" s="73">
        <f ca="1">AX20/(1+'Invoer gegevens (N)'!$F$13)^(E20-('Invoer gegevens (N)'!$C$17-1))/(1+'Invoer gegevens (N)'!$C$39)^('Invoer gegevens (N)'!$C$17-'Invoer gegevens (N)'!$C$16)</f>
        <v>0</v>
      </c>
      <c r="BC20" s="73">
        <f ca="1">AY20/(1+'Invoer gegevens (N)'!$C$39)^('Invoer gegevens (N)'!$C$17-'Invoer gegevens (N)'!$C$16)</f>
        <v>0</v>
      </c>
      <c r="BD20" s="72">
        <f t="shared" ca="1" si="5"/>
        <v>0</v>
      </c>
      <c r="BE20" s="72">
        <f ca="1">IF(AND(E20='Invoer gegevens (N)'!$C$16,'Invoer gegevens (N)'!$C$34&lt;'Invoer gegevens (N)'!$C$16),AZ20,AZ20/(1+'Invoer gegevens (N)'!$C$39)^D20)</f>
        <v>0</v>
      </c>
      <c r="BF20" s="72">
        <f ca="1">IF(E20='Invoer gegevens (N)'!$C$34,-'Invoer gegevens (N)'!$F$40,0)</f>
        <v>0</v>
      </c>
      <c r="BG20" s="72">
        <f ca="1">IF(E20='Invoer gegevens (N)'!$C$17,-'Invoer gegevens (N)'!$C$19*$BD$31,0)</f>
        <v>0</v>
      </c>
      <c r="BH20" s="72">
        <f ca="1">AW20/(1+$BH$4)^($D20-('Invoer gegevens (N)'!$C$17-'Invoer gegevens (N)'!$C$16))/(1+'Invoer gegevens (N)'!$C$39)^('Invoer gegevens (N)'!$C$17-'Invoer gegevens (N)'!$C$16)+AX20/(1+$BH$4)^(E20-('Invoer gegevens (N)'!$C$17-1))/(1+'Invoer gegevens (N)'!$C$39)^('Invoer gegevens (N)'!$C$17-'Invoer gegevens (N)'!$C$16)+AY20/(1+'Invoer gegevens (N)'!$C$39)^('Invoer gegevens (N)'!$C$17-'Invoer gegevens (N)'!$C$16)+(-AZ20/(1+'Invoer gegevens (N)'!$C$39)^D20)+BF20+BG20</f>
        <v>0</v>
      </c>
      <c r="BI20" s="59"/>
    </row>
    <row r="21" spans="1:68" x14ac:dyDescent="0.25">
      <c r="A21" s="59"/>
      <c r="B21" s="70">
        <f t="shared" si="6"/>
        <v>17</v>
      </c>
      <c r="C21" s="67">
        <f ca="1">IF(AND(E21&gt;='Invoer gegevens (N)'!$C$17,E21&lt;'Invoer gegevens (N)'!$C$17+15),1,0)</f>
        <v>0</v>
      </c>
      <c r="D21" s="68">
        <f t="shared" si="7"/>
        <v>16.5</v>
      </c>
      <c r="E21" s="69">
        <f ca="1">IF('Invoer gegevens (N)'!$C$16="","",E20+1)</f>
        <v>2035</v>
      </c>
      <c r="F21" s="82">
        <f ca="1">IF('Invoer gegevens (N)'!$C$17=E21,'Invoer gegevens (N)'!$C$10,IF(C21=1,H20,0))</f>
        <v>0</v>
      </c>
      <c r="G21" s="83">
        <f ca="1">IF(E21='Invoer gegevens (N)'!$C$17+15,H20,IF(C21&gt;=1,F21*'Reeksen (N)'!C21,0))</f>
        <v>0</v>
      </c>
      <c r="H21" s="84">
        <f ca="1">IF(E21&gt;='Invoer gegevens (N)'!$C$17+15,0,F21-G21)</f>
        <v>0</v>
      </c>
      <c r="I21" s="85">
        <f ca="1">IF('Invoer gegevens (N)'!$C$17=E21,'Invoer gegevens (N)'!$C$11,IF(C21=1,L20,0))</f>
        <v>0</v>
      </c>
      <c r="J21" s="86">
        <f ca="1">IF(E21='Invoer gegevens (N)'!$C$17+15,L20,IF(C21&lt;1,0,IF('Reeksen (N)'!AK21&lt;='Reeksen (N)'!AE21,I21*'Reeksen (N)'!C21,0)))</f>
        <v>0</v>
      </c>
      <c r="K21" s="86">
        <f ca="1">IF(E21='Invoer gegevens (N)'!$C$17+15,L20,IF(C21&lt;1,0,IF('Reeksen (N)'!AK21&gt;'Reeksen (N)'!AE21,I21*'Reeksen (N)'!C21,0)))</f>
        <v>0</v>
      </c>
      <c r="L21" s="86">
        <f ca="1">IF(E21&gt;='Invoer gegevens (N)'!$C$17+15,0,I21-J21-K21)</f>
        <v>0</v>
      </c>
      <c r="M21" s="85">
        <f ca="1">IF('Invoer gegevens (N)'!$C$17=E21,'Invoer gegevens (N)'!$C$10-'Invoer gegevens (N)'!$C$11,IF(C21=1,P20,0))</f>
        <v>0</v>
      </c>
      <c r="N21" s="86">
        <f ca="1">IF(E21='Invoer gegevens (N)'!$C$17+15,P20,IF(C21&lt;1,0,IF('Reeksen (N)'!AK21&lt;='Reeksen (N)'!AE21,M21*'Reeksen (N)'!C21,0)))</f>
        <v>0</v>
      </c>
      <c r="O21" s="86">
        <f ca="1">IF(E21='Invoer gegevens (N)'!$C$17+15,P20,IF(C21&lt;1,0,IF('Reeksen (N)'!AK21&gt;'Reeksen (N)'!AE21,M21*'Reeksen (N)'!C21,0)))</f>
        <v>0</v>
      </c>
      <c r="P21" s="86">
        <f ca="1">IF(E21&gt;='Invoer gegevens (N)'!$C$17+15,0,M21-N21-O21)</f>
        <v>0</v>
      </c>
      <c r="Q21" s="82">
        <f ca="1">IF('Invoer gegevens (N)'!$C$17=E21,I21,IF(C21=0,0,R20))</f>
        <v>0</v>
      </c>
      <c r="R21" s="84">
        <f t="shared" ca="1" si="0"/>
        <v>0</v>
      </c>
      <c r="S21" s="84">
        <f ca="1">IF('Invoer gegevens (N)'!$C$17=E21,M21,IF(C21=0,0,T20))</f>
        <v>0</v>
      </c>
      <c r="T21" s="84">
        <f t="shared" ca="1" si="1"/>
        <v>0</v>
      </c>
      <c r="AH21" s="68"/>
      <c r="AI21" s="71">
        <f ca="1">IF(C21=1,((F21+H21)/2*'Reeksen (N)'!AJ21*12)+(('Invoer gegevens (N)'!$C$10-(F21+H21)/2)*'Reeksen (N)'!AK21*12),0)</f>
        <v>0</v>
      </c>
      <c r="AJ21" s="71">
        <f ca="1">-AI21*'Invoer gegevens (N)'!$F$28</f>
        <v>0</v>
      </c>
      <c r="AK21" s="71">
        <f t="shared" ca="1" si="2"/>
        <v>0</v>
      </c>
      <c r="AL21" s="71">
        <f ca="1">IF(C21=1,(12*((F21+H21)/2)*'Reeksen (N)'!AL21)+(12*('Invoer gegevens (N)'!$C$10-(F21+H21)/2)*'Reeksen (N)'!AM21),0)</f>
        <v>0</v>
      </c>
      <c r="AM21" s="71">
        <f ca="1">-AL21*'Invoer gegevens (N)'!$F$31</f>
        <v>0</v>
      </c>
      <c r="AN21" s="71">
        <f t="shared" ca="1" si="3"/>
        <v>0</v>
      </c>
      <c r="AO21" s="71"/>
      <c r="AP21" s="71"/>
      <c r="AQ21" s="71">
        <f ca="1">-IF(C21=1,('Invoer gegevens (N)'!$C$10*'Invoer gegevens (N)'!$I$33)*'Reeksen (N)'!J21,0)</f>
        <v>0</v>
      </c>
      <c r="AR21" s="71">
        <f ca="1">-IF(C21=1,(G21*'Invoer gegevens (N)'!$I$34)*'Reeksen (N)'!J21,0)</f>
        <v>0</v>
      </c>
      <c r="AS21" s="71">
        <f ca="1">-IF(C21=1,'Invoer gegevens (N)'!$C$10*'Invoer gegevens (N)'!$I$35*'Reeksen (N)'!L21,0)</f>
        <v>0</v>
      </c>
      <c r="AT21" s="71">
        <f ca="1">-IF(C21=1,IF(E21='Invoer gegevens (N)'!$C$17,'Invoer gegevens (N)'!$C$11,Q21)*'Reeksen (N)'!S21*'Invoer gegevens (N)'!$C$18*'Reeksen (N)'!P21,0)</f>
        <v>0</v>
      </c>
      <c r="AU21" s="71">
        <f ca="1">-IF(C21=1,'Invoer gegevens (N)'!$C$10*'Invoer gegevens (N)'!$I$36*'Reeksen (N)'!H21,0)</f>
        <v>0</v>
      </c>
      <c r="AV21" s="71">
        <v>0</v>
      </c>
      <c r="AW21" s="71">
        <f t="shared" ca="1" si="4"/>
        <v>0</v>
      </c>
      <c r="AX21" s="72">
        <f ca="1">IF(E21='Invoer gegevens (N)'!$C$17+14,'RW - BW - DE (N)'!$AY$236,0)</f>
        <v>0</v>
      </c>
      <c r="AY21" s="72">
        <f ca="1">IFERROR(IF(E21='Invoer gegevens (N)'!$C$17,-'Invoer gegevens (N)'!$C$10*'Invoer gegevens (N)'!$C$31*'Reeksen (N)'!H21,0),0)</f>
        <v>0</v>
      </c>
      <c r="AZ21" s="73">
        <f ca="1">IF('Invoer gegevens (N)'!$C$34=E21,'Invoer gegevens (N)'!$C$27*'Invoer gegevens (N)'!$C$10*'Invoer gegevens (N)'!$C$36*(IF('Invoer gegevens (N)'!$C$35="ja",1,'Reeksen (N)'!J21)),IF('Invoer gegevens (N)'!$C$34+1=E21,'Invoer gegevens (N)'!$C$27*'Invoer gegevens (N)'!$C$10*'Invoer gegevens (N)'!$C$37*(IF('Invoer gegevens (N)'!$C$35="ja",1,'Reeksen (N)'!J21)),0))+IF(AND(E21='Invoer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1" s="73">
        <f ca="1">AW21/(1+'Invoer gegevens (N)'!$F$13)^($D21-('Invoer gegevens (N)'!$C$17-'Invoer gegevens (N)'!$C$16))/(1+'Invoer gegevens (N)'!$C$39)^('Invoer gegevens (N)'!$C$17-'Invoer gegevens (N)'!$C$16)</f>
        <v>0</v>
      </c>
      <c r="BB21" s="73">
        <f ca="1">AX21/(1+'Invoer gegevens (N)'!$F$13)^(E21-('Invoer gegevens (N)'!$C$17-1))/(1+'Invoer gegevens (N)'!$C$39)^('Invoer gegevens (N)'!$C$17-'Invoer gegevens (N)'!$C$16)</f>
        <v>0</v>
      </c>
      <c r="BC21" s="73">
        <f ca="1">AY21/(1+'Invoer gegevens (N)'!$C$39)^('Invoer gegevens (N)'!$C$17-'Invoer gegevens (N)'!$C$16)</f>
        <v>0</v>
      </c>
      <c r="BD21" s="72">
        <f t="shared" ca="1" si="5"/>
        <v>0</v>
      </c>
      <c r="BE21" s="72">
        <f ca="1">IF(AND(E21='Invoer gegevens (N)'!$C$16,'Invoer gegevens (N)'!$C$34&lt;'Invoer gegevens (N)'!$C$16),AZ21,AZ21/(1+'Invoer gegevens (N)'!$C$39)^D21)</f>
        <v>0</v>
      </c>
      <c r="BF21" s="72">
        <f ca="1">IF(E21='Invoer gegevens (N)'!$C$34,-'Invoer gegevens (N)'!$F$40,0)</f>
        <v>0</v>
      </c>
      <c r="BG21" s="72">
        <f ca="1">IF(E21='Invoer gegevens (N)'!$C$17,-'Invoer gegevens (N)'!$C$19*$BD$31,0)</f>
        <v>0</v>
      </c>
      <c r="BH21" s="72">
        <f ca="1">AW21/(1+$BH$4)^($D21-('Invoer gegevens (N)'!$C$17-'Invoer gegevens (N)'!$C$16))/(1+'Invoer gegevens (N)'!$C$39)^('Invoer gegevens (N)'!$C$17-'Invoer gegevens (N)'!$C$16)+AX21/(1+$BH$4)^(E21-('Invoer gegevens (N)'!$C$17-1))/(1+'Invoer gegevens (N)'!$C$39)^('Invoer gegevens (N)'!$C$17-'Invoer gegevens (N)'!$C$16)+AY21/(1+'Invoer gegevens (N)'!$C$39)^('Invoer gegevens (N)'!$C$17-'Invoer gegevens (N)'!$C$16)+(-AZ21/(1+'Invoer gegevens (N)'!$C$39)^D21)+BF21+BG21</f>
        <v>0</v>
      </c>
      <c r="BI21" s="59"/>
    </row>
    <row r="22" spans="1:68" x14ac:dyDescent="0.25">
      <c r="A22" s="59"/>
      <c r="B22" s="70">
        <f t="shared" si="6"/>
        <v>18</v>
      </c>
      <c r="C22" s="67">
        <f ca="1">IF(AND(E22&gt;='Invoer gegevens (N)'!$C$17,E22&lt;'Invoer gegevens (N)'!$C$17+15),1,0)</f>
        <v>0</v>
      </c>
      <c r="D22" s="68">
        <f t="shared" si="7"/>
        <v>17.5</v>
      </c>
      <c r="E22" s="69">
        <f ca="1">IF('Invoer gegevens (N)'!$C$16="","",E21+1)</f>
        <v>2036</v>
      </c>
      <c r="F22" s="82">
        <f ca="1">IF('Invoer gegevens (N)'!$C$17=E22,'Invoer gegevens (N)'!$C$10,IF(C22=1,H21,0))</f>
        <v>0</v>
      </c>
      <c r="G22" s="83">
        <f ca="1">IF(E22='Invoer gegevens (N)'!$C$17+15,H21,IF(C22&gt;=1,F22*'Reeksen (N)'!C22,0))</f>
        <v>0</v>
      </c>
      <c r="H22" s="84">
        <f ca="1">IF(E22&gt;='Invoer gegevens (N)'!$C$17+15,0,F22-G22)</f>
        <v>0</v>
      </c>
      <c r="I22" s="85">
        <f ca="1">IF('Invoer gegevens (N)'!$C$17=E22,'Invoer gegevens (N)'!$C$11,IF(C22=1,L21,0))</f>
        <v>0</v>
      </c>
      <c r="J22" s="86">
        <f ca="1">IF(E22='Invoer gegevens (N)'!$C$17+15,L21,IF(C22&lt;1,0,IF('Reeksen (N)'!AK22&lt;='Reeksen (N)'!AE22,I22*'Reeksen (N)'!C22,0)))</f>
        <v>0</v>
      </c>
      <c r="K22" s="86">
        <f ca="1">IF(E22='Invoer gegevens (N)'!$C$17+15,L21,IF(C22&lt;1,0,IF('Reeksen (N)'!AK22&gt;'Reeksen (N)'!AE22,I22*'Reeksen (N)'!C22,0)))</f>
        <v>0</v>
      </c>
      <c r="L22" s="86">
        <f ca="1">IF(E22&gt;='Invoer gegevens (N)'!$C$17+15,0,I22-J22-K22)</f>
        <v>0</v>
      </c>
      <c r="M22" s="85">
        <f ca="1">IF('Invoer gegevens (N)'!$C$17=E22,'Invoer gegevens (N)'!$C$10-'Invoer gegevens (N)'!$C$11,IF(C22=1,P21,0))</f>
        <v>0</v>
      </c>
      <c r="N22" s="86">
        <f ca="1">IF(E22='Invoer gegevens (N)'!$C$17+15,P21,IF(C22&lt;1,0,IF('Reeksen (N)'!AK22&lt;='Reeksen (N)'!AE22,M22*'Reeksen (N)'!C22,0)))</f>
        <v>0</v>
      </c>
      <c r="O22" s="86">
        <f ca="1">IF(E22='Invoer gegevens (N)'!$C$17+15,P21,IF(C22&lt;1,0,IF('Reeksen (N)'!AK22&gt;'Reeksen (N)'!AE22,M22*'Reeksen (N)'!C22,0)))</f>
        <v>0</v>
      </c>
      <c r="P22" s="86">
        <f ca="1">IF(E22&gt;='Invoer gegevens (N)'!$C$17+15,0,M22-N22-O22)</f>
        <v>0</v>
      </c>
      <c r="Q22" s="82">
        <f ca="1">IF('Invoer gegevens (N)'!$C$17=E22,I22,IF(C22=0,0,R21))</f>
        <v>0</v>
      </c>
      <c r="R22" s="84">
        <f t="shared" ca="1" si="0"/>
        <v>0</v>
      </c>
      <c r="S22" s="84">
        <f ca="1">IF('Invoer gegevens (N)'!$C$17=E22,M22,IF(C22=0,0,T21))</f>
        <v>0</v>
      </c>
      <c r="T22" s="84">
        <f t="shared" ca="1" si="1"/>
        <v>0</v>
      </c>
      <c r="AH22" s="68"/>
      <c r="AI22" s="71">
        <f ca="1">IF(C22=1,((F22+H22)/2*'Reeksen (N)'!AJ22*12)+(('Invoer gegevens (N)'!$C$10-(F22+H22)/2)*'Reeksen (N)'!AK22*12),0)</f>
        <v>0</v>
      </c>
      <c r="AJ22" s="71">
        <f ca="1">-AI22*'Invoer gegevens (N)'!$F$28</f>
        <v>0</v>
      </c>
      <c r="AK22" s="71">
        <f t="shared" ca="1" si="2"/>
        <v>0</v>
      </c>
      <c r="AL22" s="71">
        <f ca="1">IF(C22=1,(12*((F22+H22)/2)*'Reeksen (N)'!AL22)+(12*('Invoer gegevens (N)'!$C$10-(F22+H22)/2)*'Reeksen (N)'!AM22),0)</f>
        <v>0</v>
      </c>
      <c r="AM22" s="71">
        <f ca="1">-AL22*'Invoer gegevens (N)'!$F$31</f>
        <v>0</v>
      </c>
      <c r="AN22" s="71">
        <f t="shared" ca="1" si="3"/>
        <v>0</v>
      </c>
      <c r="AO22" s="71"/>
      <c r="AP22" s="71"/>
      <c r="AQ22" s="71">
        <f ca="1">-IF(C22=1,('Invoer gegevens (N)'!$C$10*'Invoer gegevens (N)'!$I$33)*'Reeksen (N)'!J22,0)</f>
        <v>0</v>
      </c>
      <c r="AR22" s="71">
        <f ca="1">-IF(C22=1,(G22*'Invoer gegevens (N)'!$I$34)*'Reeksen (N)'!J22,0)</f>
        <v>0</v>
      </c>
      <c r="AS22" s="71">
        <f ca="1">-IF(C22=1,'Invoer gegevens (N)'!$C$10*'Invoer gegevens (N)'!$I$35*'Reeksen (N)'!L22,0)</f>
        <v>0</v>
      </c>
      <c r="AT22" s="71">
        <f ca="1">-IF(C22=1,IF(E22='Invoer gegevens (N)'!$C$17,'Invoer gegevens (N)'!$C$11,Q22)*'Reeksen (N)'!S22*'Invoer gegevens (N)'!$C$18*'Reeksen (N)'!P22,0)</f>
        <v>0</v>
      </c>
      <c r="AU22" s="71">
        <f ca="1">-IF(C22=1,'Invoer gegevens (N)'!$C$10*'Invoer gegevens (N)'!$I$36*'Reeksen (N)'!H22,0)</f>
        <v>0</v>
      </c>
      <c r="AV22" s="71">
        <v>0</v>
      </c>
      <c r="AW22" s="71">
        <f t="shared" ca="1" si="4"/>
        <v>0</v>
      </c>
      <c r="AX22" s="72">
        <f ca="1">IF(E22='Invoer gegevens (N)'!$C$17+14,'RW - BW - DE (N)'!$AY$236,0)</f>
        <v>0</v>
      </c>
      <c r="AY22" s="72">
        <f ca="1">IFERROR(IF(E22='Invoer gegevens (N)'!$C$17,-'Invoer gegevens (N)'!$C$10*'Invoer gegevens (N)'!$C$31*'Reeksen (N)'!H22,0),0)</f>
        <v>0</v>
      </c>
      <c r="AZ22" s="73">
        <f ca="1">IF('Invoer gegevens (N)'!$C$34=E22,'Invoer gegevens (N)'!$C$27*'Invoer gegevens (N)'!$C$10*'Invoer gegevens (N)'!$C$36*(IF('Invoer gegevens (N)'!$C$35="ja",1,'Reeksen (N)'!J22)),IF('Invoer gegevens (N)'!$C$34+1=E22,'Invoer gegevens (N)'!$C$27*'Invoer gegevens (N)'!$C$10*'Invoer gegevens (N)'!$C$37*(IF('Invoer gegevens (N)'!$C$35="ja",1,'Reeksen (N)'!J22)),0))+IF(AND(E22='Invoer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2" s="73">
        <f ca="1">AW22/(1+'Invoer gegevens (N)'!$F$13)^($D22-('Invoer gegevens (N)'!$C$17-'Invoer gegevens (N)'!$C$16))/(1+'Invoer gegevens (N)'!$C$39)^('Invoer gegevens (N)'!$C$17-'Invoer gegevens (N)'!$C$16)</f>
        <v>0</v>
      </c>
      <c r="BB22" s="73">
        <f ca="1">AX22/(1+'Invoer gegevens (N)'!$F$13)^(E22-('Invoer gegevens (N)'!$C$17-1))/(1+'Invoer gegevens (N)'!$C$39)^('Invoer gegevens (N)'!$C$17-'Invoer gegevens (N)'!$C$16)</f>
        <v>0</v>
      </c>
      <c r="BC22" s="73">
        <f ca="1">AY22/(1+'Invoer gegevens (N)'!$C$39)^('Invoer gegevens (N)'!$C$17-'Invoer gegevens (N)'!$C$16)</f>
        <v>0</v>
      </c>
      <c r="BD22" s="72">
        <f t="shared" ca="1" si="5"/>
        <v>0</v>
      </c>
      <c r="BE22" s="72">
        <f ca="1">IF(AND(E22='Invoer gegevens (N)'!$C$16,'Invoer gegevens (N)'!$C$34&lt;'Invoer gegevens (N)'!$C$16),AZ22,AZ22/(1+'Invoer gegevens (N)'!$C$39)^D22)</f>
        <v>0</v>
      </c>
      <c r="BF22" s="72">
        <f ca="1">IF(E22='Invoer gegevens (N)'!$C$34,-'Invoer gegevens (N)'!$F$40,0)</f>
        <v>0</v>
      </c>
      <c r="BG22" s="72">
        <f ca="1">IF(E22='Invoer gegevens (N)'!$C$17,-'Invoer gegevens (N)'!$C$19*$BD$31,0)</f>
        <v>0</v>
      </c>
      <c r="BH22" s="72">
        <f ca="1">AW22/(1+$BH$4)^($D22-('Invoer gegevens (N)'!$C$17-'Invoer gegevens (N)'!$C$16))/(1+'Invoer gegevens (N)'!$C$39)^('Invoer gegevens (N)'!$C$17-'Invoer gegevens (N)'!$C$16)+AX22/(1+$BH$4)^(E22-('Invoer gegevens (N)'!$C$17-1))/(1+'Invoer gegevens (N)'!$C$39)^('Invoer gegevens (N)'!$C$17-'Invoer gegevens (N)'!$C$16)+AY22/(1+'Invoer gegevens (N)'!$C$39)^('Invoer gegevens (N)'!$C$17-'Invoer gegevens (N)'!$C$16)+(-AZ22/(1+'Invoer gegevens (N)'!$C$39)^D22)+BF22+BG22</f>
        <v>0</v>
      </c>
      <c r="BI22" s="59"/>
    </row>
    <row r="23" spans="1:68" x14ac:dyDescent="0.25">
      <c r="A23" s="59"/>
      <c r="B23" s="70">
        <f t="shared" si="6"/>
        <v>19</v>
      </c>
      <c r="C23" s="67">
        <f ca="1">IF(AND(E23&gt;='Invoer gegevens (N)'!$C$17,E23&lt;'Invoer gegevens (N)'!$C$17+15),1,0)</f>
        <v>0</v>
      </c>
      <c r="D23" s="68">
        <f t="shared" si="7"/>
        <v>18.5</v>
      </c>
      <c r="E23" s="69">
        <f ca="1">IF('Invoer gegevens (N)'!$C$16="","",E22+1)</f>
        <v>2037</v>
      </c>
      <c r="F23" s="82">
        <f ca="1">IF('Invoer gegevens (N)'!$C$17=E23,'Invoer gegevens (N)'!$C$10,IF(C23=1,H22,0))</f>
        <v>0</v>
      </c>
      <c r="G23" s="83">
        <f ca="1">IF(E23='Invoer gegevens (N)'!$C$17+15,H22,IF(C23&gt;=1,F23*'Reeksen (N)'!C23,0))</f>
        <v>0</v>
      </c>
      <c r="H23" s="84">
        <f ca="1">IF(E23&gt;='Invoer gegevens (N)'!$C$17+15,0,F23-G23)</f>
        <v>0</v>
      </c>
      <c r="I23" s="85">
        <f ca="1">IF('Invoer gegevens (N)'!$C$17=E23,'Invoer gegevens (N)'!$C$11,IF(C23=1,L22,0))</f>
        <v>0</v>
      </c>
      <c r="J23" s="86">
        <f ca="1">IF(E23='Invoer gegevens (N)'!$C$17+15,L22,IF(C23&lt;1,0,IF('Reeksen (N)'!AK23&lt;='Reeksen (N)'!AE23,I23*'Reeksen (N)'!C23,0)))</f>
        <v>0</v>
      </c>
      <c r="K23" s="86">
        <f ca="1">IF(E23='Invoer gegevens (N)'!$C$17+15,L22,IF(C23&lt;1,0,IF('Reeksen (N)'!AK23&gt;'Reeksen (N)'!AE23,I23*'Reeksen (N)'!C23,0)))</f>
        <v>0</v>
      </c>
      <c r="L23" s="86">
        <f ca="1">IF(E23&gt;='Invoer gegevens (N)'!$C$17+15,0,I23-J23-K23)</f>
        <v>0</v>
      </c>
      <c r="M23" s="85">
        <f ca="1">IF('Invoer gegevens (N)'!$C$17=E23,'Invoer gegevens (N)'!$C$10-'Invoer gegevens (N)'!$C$11,IF(C23=1,P22,0))</f>
        <v>0</v>
      </c>
      <c r="N23" s="86">
        <f ca="1">IF(E23='Invoer gegevens (N)'!$C$17+15,P22,IF(C23&lt;1,0,IF('Reeksen (N)'!AK23&lt;='Reeksen (N)'!AE23,M23*'Reeksen (N)'!C23,0)))</f>
        <v>0</v>
      </c>
      <c r="O23" s="86">
        <f ca="1">IF(E23='Invoer gegevens (N)'!$C$17+15,P22,IF(C23&lt;1,0,IF('Reeksen (N)'!AK23&gt;'Reeksen (N)'!AE23,M23*'Reeksen (N)'!C23,0)))</f>
        <v>0</v>
      </c>
      <c r="P23" s="86">
        <f ca="1">IF(E23&gt;='Invoer gegevens (N)'!$C$17+15,0,M23-N23-O23)</f>
        <v>0</v>
      </c>
      <c r="Q23" s="82">
        <f ca="1">IF('Invoer gegevens (N)'!$C$17=E23,I23,IF(C23=0,0,R22))</f>
        <v>0</v>
      </c>
      <c r="R23" s="84">
        <f t="shared" ca="1" si="0"/>
        <v>0</v>
      </c>
      <c r="S23" s="84">
        <f ca="1">IF('Invoer gegevens (N)'!$C$17=E23,M23,IF(C23=0,0,T22))</f>
        <v>0</v>
      </c>
      <c r="T23" s="84">
        <f t="shared" ca="1" si="1"/>
        <v>0</v>
      </c>
      <c r="AH23" s="68"/>
      <c r="AI23" s="71">
        <f ca="1">IF(C23=1,((F23+H23)/2*'Reeksen (N)'!AJ23*12)+(('Invoer gegevens (N)'!$C$10-(F23+H23)/2)*'Reeksen (N)'!AK23*12),0)</f>
        <v>0</v>
      </c>
      <c r="AJ23" s="71">
        <f ca="1">-AI23*'Invoer gegevens (N)'!$F$28</f>
        <v>0</v>
      </c>
      <c r="AK23" s="71">
        <f t="shared" ca="1" si="2"/>
        <v>0</v>
      </c>
      <c r="AL23" s="71">
        <f ca="1">IF(C23=1,(12*((F23+H23)/2)*'Reeksen (N)'!AL23)+(12*('Invoer gegevens (N)'!$C$10-(F23+H23)/2)*'Reeksen (N)'!AM23),0)</f>
        <v>0</v>
      </c>
      <c r="AM23" s="71">
        <f ca="1">-AL23*'Invoer gegevens (N)'!$F$31</f>
        <v>0</v>
      </c>
      <c r="AN23" s="71">
        <f t="shared" ca="1" si="3"/>
        <v>0</v>
      </c>
      <c r="AO23" s="71"/>
      <c r="AP23" s="71"/>
      <c r="AQ23" s="71">
        <f ca="1">-IF(C23=1,('Invoer gegevens (N)'!$C$10*'Invoer gegevens (N)'!$I$33)*'Reeksen (N)'!J23,0)</f>
        <v>0</v>
      </c>
      <c r="AR23" s="71">
        <f ca="1">-IF(C23=1,(G23*'Invoer gegevens (N)'!$I$34)*'Reeksen (N)'!J23,0)</f>
        <v>0</v>
      </c>
      <c r="AS23" s="71">
        <f ca="1">-IF(C23=1,'Invoer gegevens (N)'!$C$10*'Invoer gegevens (N)'!$I$35*'Reeksen (N)'!L23,0)</f>
        <v>0</v>
      </c>
      <c r="AT23" s="71">
        <f ca="1">-IF(C23=1,IF(E23='Invoer gegevens (N)'!$C$17,'Invoer gegevens (N)'!$C$11,Q23)*'Reeksen (N)'!S23*'Invoer gegevens (N)'!$C$18*'Reeksen (N)'!P23,0)</f>
        <v>0</v>
      </c>
      <c r="AU23" s="71">
        <f ca="1">-IF(C23=1,'Invoer gegevens (N)'!$C$10*'Invoer gegevens (N)'!$I$36*'Reeksen (N)'!H23,0)</f>
        <v>0</v>
      </c>
      <c r="AV23" s="71">
        <v>0</v>
      </c>
      <c r="AW23" s="71">
        <f t="shared" ca="1" si="4"/>
        <v>0</v>
      </c>
      <c r="AX23" s="72">
        <f ca="1">IF(E23='Invoer gegevens (N)'!$C$17+14,'RW - BW - DE (N)'!$AY$236,0)</f>
        <v>0</v>
      </c>
      <c r="AY23" s="72">
        <f ca="1">IFERROR(IF(E23='Invoer gegevens (N)'!$C$17,-'Invoer gegevens (N)'!$C$10*'Invoer gegevens (N)'!$C$31*'Reeksen (N)'!H23,0),0)</f>
        <v>0</v>
      </c>
      <c r="AZ23" s="73">
        <f ca="1">IF('Invoer gegevens (N)'!$C$34=E23,'Invoer gegevens (N)'!$C$27*'Invoer gegevens (N)'!$C$10*'Invoer gegevens (N)'!$C$36*(IF('Invoer gegevens (N)'!$C$35="ja",1,'Reeksen (N)'!J23)),IF('Invoer gegevens (N)'!$C$34+1=E23,'Invoer gegevens (N)'!$C$27*'Invoer gegevens (N)'!$C$10*'Invoer gegevens (N)'!$C$37*(IF('Invoer gegevens (N)'!$C$35="ja",1,'Reeksen (N)'!J23)),0))+IF(AND(E23='Invoer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3" s="73">
        <f ca="1">AW23/(1+'Invoer gegevens (N)'!$F$13)^($D23-('Invoer gegevens (N)'!$C$17-'Invoer gegevens (N)'!$C$16))/(1+'Invoer gegevens (N)'!$C$39)^('Invoer gegevens (N)'!$C$17-'Invoer gegevens (N)'!$C$16)</f>
        <v>0</v>
      </c>
      <c r="BB23" s="73">
        <f ca="1">AX23/(1+'Invoer gegevens (N)'!$F$13)^(E23-('Invoer gegevens (N)'!$C$17-1))/(1+'Invoer gegevens (N)'!$C$39)^('Invoer gegevens (N)'!$C$17-'Invoer gegevens (N)'!$C$16)</f>
        <v>0</v>
      </c>
      <c r="BC23" s="73">
        <f ca="1">AY23/(1+'Invoer gegevens (N)'!$C$39)^('Invoer gegevens (N)'!$C$17-'Invoer gegevens (N)'!$C$16)</f>
        <v>0</v>
      </c>
      <c r="BD23" s="72">
        <f t="shared" ca="1" si="5"/>
        <v>0</v>
      </c>
      <c r="BE23" s="72">
        <f ca="1">IF(AND(E23='Invoer gegevens (N)'!$C$16,'Invoer gegevens (N)'!$C$34&lt;'Invoer gegevens (N)'!$C$16),AZ23,AZ23/(1+'Invoer gegevens (N)'!$C$39)^D23)</f>
        <v>0</v>
      </c>
      <c r="BF23" s="72">
        <f ca="1">IF(E23='Invoer gegevens (N)'!$C$34,-'Invoer gegevens (N)'!$F$40,0)</f>
        <v>0</v>
      </c>
      <c r="BG23" s="72">
        <f ca="1">IF(E23='Invoer gegevens (N)'!$C$17,-'Invoer gegevens (N)'!$C$19*$BD$31,0)</f>
        <v>0</v>
      </c>
      <c r="BH23" s="72">
        <f ca="1">AW23/(1+$BH$4)^($D23-('Invoer gegevens (N)'!$C$17-'Invoer gegevens (N)'!$C$16))/(1+'Invoer gegevens (N)'!$C$39)^('Invoer gegevens (N)'!$C$17-'Invoer gegevens (N)'!$C$16)+AX23/(1+$BH$4)^(E23-('Invoer gegevens (N)'!$C$17-1))/(1+'Invoer gegevens (N)'!$C$39)^('Invoer gegevens (N)'!$C$17-'Invoer gegevens (N)'!$C$16)+AY23/(1+'Invoer gegevens (N)'!$C$39)^('Invoer gegevens (N)'!$C$17-'Invoer gegevens (N)'!$C$16)+(-AZ23/(1+'Invoer gegevens (N)'!$C$39)^D23)+BF23+BG23</f>
        <v>0</v>
      </c>
      <c r="BI23" s="59"/>
    </row>
    <row r="24" spans="1:68" x14ac:dyDescent="0.25">
      <c r="A24" s="59"/>
      <c r="B24" s="70">
        <f t="shared" si="6"/>
        <v>20</v>
      </c>
      <c r="C24" s="67">
        <f ca="1">IF(AND(E24&gt;='Invoer gegevens (N)'!$C$17,E24&lt;'Invoer gegevens (N)'!$C$17+15),1,0)</f>
        <v>0</v>
      </c>
      <c r="D24" s="68">
        <f t="shared" si="7"/>
        <v>19.5</v>
      </c>
      <c r="E24" s="69">
        <f ca="1">IF('Invoer gegevens (N)'!$C$16="","",E23+1)</f>
        <v>2038</v>
      </c>
      <c r="F24" s="82">
        <f ca="1">IF('Invoer gegevens (N)'!$C$17=E24,'Invoer gegevens (N)'!$C$10,IF(C24=1,H23,0))</f>
        <v>0</v>
      </c>
      <c r="G24" s="83">
        <f ca="1">IF(E24='Invoer gegevens (N)'!$C$17+15,H23,IF(C24&gt;=1,F24*'Reeksen (N)'!C24,0))</f>
        <v>0</v>
      </c>
      <c r="H24" s="84">
        <f ca="1">IF(E24&gt;='Invoer gegevens (N)'!$C$17+15,0,F24-G24)</f>
        <v>0</v>
      </c>
      <c r="I24" s="85">
        <f ca="1">IF('Invoer gegevens (N)'!$C$17=E24,'Invoer gegevens (N)'!$C$11,IF(C24=1,L23,0))</f>
        <v>0</v>
      </c>
      <c r="J24" s="86">
        <f ca="1">IF(E24='Invoer gegevens (N)'!$C$17+15,L23,IF(C24&lt;1,0,IF('Reeksen (N)'!AK24&lt;='Reeksen (N)'!AE24,I24*'Reeksen (N)'!C24,0)))</f>
        <v>0</v>
      </c>
      <c r="K24" s="86">
        <f ca="1">IF(E24='Invoer gegevens (N)'!$C$17+15,L23,IF(C24&lt;1,0,IF('Reeksen (N)'!AK24&gt;'Reeksen (N)'!AE24,I24*'Reeksen (N)'!C24,0)))</f>
        <v>0</v>
      </c>
      <c r="L24" s="86">
        <f ca="1">IF(E24&gt;='Invoer gegevens (N)'!$C$17+15,0,I24-J24-K24)</f>
        <v>0</v>
      </c>
      <c r="M24" s="85">
        <f ca="1">IF('Invoer gegevens (N)'!$C$17=E24,'Invoer gegevens (N)'!$C$10-'Invoer gegevens (N)'!$C$11,IF(C24=1,P23,0))</f>
        <v>0</v>
      </c>
      <c r="N24" s="86">
        <f ca="1">IF(E24='Invoer gegevens (N)'!$C$17+15,P23,IF(C24&lt;1,0,IF('Reeksen (N)'!AK24&lt;='Reeksen (N)'!AE24,M24*'Reeksen (N)'!C24,0)))</f>
        <v>0</v>
      </c>
      <c r="O24" s="86">
        <f ca="1">IF(E24='Invoer gegevens (N)'!$C$17+15,P23,IF(C24&lt;1,0,IF('Reeksen (N)'!AK24&gt;'Reeksen (N)'!AE24,M24*'Reeksen (N)'!C24,0)))</f>
        <v>0</v>
      </c>
      <c r="P24" s="86">
        <f ca="1">IF(E24&gt;='Invoer gegevens (N)'!$C$17+15,0,M24-N24-O24)</f>
        <v>0</v>
      </c>
      <c r="Q24" s="82">
        <f ca="1">IF('Invoer gegevens (N)'!$C$17=E24,I24,IF(C24=0,0,R23))</f>
        <v>0</v>
      </c>
      <c r="R24" s="84">
        <f t="shared" ca="1" si="0"/>
        <v>0</v>
      </c>
      <c r="S24" s="84">
        <f ca="1">IF('Invoer gegevens (N)'!$C$17=E24,M24,IF(C24=0,0,T23))</f>
        <v>0</v>
      </c>
      <c r="T24" s="84">
        <f t="shared" ca="1" si="1"/>
        <v>0</v>
      </c>
      <c r="AH24" s="68"/>
      <c r="AI24" s="71">
        <f ca="1">IF(C24=1,((F24+H24)/2*'Reeksen (N)'!AJ24*12)+(('Invoer gegevens (N)'!$C$10-(F24+H24)/2)*'Reeksen (N)'!AK24*12),0)</f>
        <v>0</v>
      </c>
      <c r="AJ24" s="71">
        <f ca="1">-AI24*'Invoer gegevens (N)'!$F$28</f>
        <v>0</v>
      </c>
      <c r="AK24" s="71">
        <f t="shared" ca="1" si="2"/>
        <v>0</v>
      </c>
      <c r="AL24" s="71">
        <f ca="1">IF(C24=1,(12*((F24+H24)/2)*'Reeksen (N)'!AL24)+(12*('Invoer gegevens (N)'!$C$10-(F24+H24)/2)*'Reeksen (N)'!AM24),0)</f>
        <v>0</v>
      </c>
      <c r="AM24" s="71">
        <f ca="1">-AL24*'Invoer gegevens (N)'!$F$31</f>
        <v>0</v>
      </c>
      <c r="AN24" s="71">
        <f t="shared" ca="1" si="3"/>
        <v>0</v>
      </c>
      <c r="AO24" s="71"/>
      <c r="AP24" s="71"/>
      <c r="AQ24" s="71">
        <f ca="1">-IF(C24=1,('Invoer gegevens (N)'!$C$10*'Invoer gegevens (N)'!$I$33)*'Reeksen (N)'!J24,0)</f>
        <v>0</v>
      </c>
      <c r="AR24" s="71">
        <f ca="1">-IF(C24=1,(G24*'Invoer gegevens (N)'!$I$34)*'Reeksen (N)'!J24,0)</f>
        <v>0</v>
      </c>
      <c r="AS24" s="71">
        <f ca="1">-IF(C24=1,'Invoer gegevens (N)'!$C$10*'Invoer gegevens (N)'!$I$35*'Reeksen (N)'!L24,0)</f>
        <v>0</v>
      </c>
      <c r="AT24" s="71">
        <f ca="1">-IF(C24=1,IF(E24='Invoer gegevens (N)'!$C$17,'Invoer gegevens (N)'!$C$11,Q24)*'Reeksen (N)'!S24*'Invoer gegevens (N)'!$C$18*'Reeksen (N)'!P24,0)</f>
        <v>0</v>
      </c>
      <c r="AU24" s="71">
        <f ca="1">-IF(C24=1,'Invoer gegevens (N)'!$C$10*'Invoer gegevens (N)'!$I$36*'Reeksen (N)'!H24,0)</f>
        <v>0</v>
      </c>
      <c r="AV24" s="71">
        <v>0</v>
      </c>
      <c r="AW24" s="71">
        <f t="shared" ca="1" si="4"/>
        <v>0</v>
      </c>
      <c r="AX24" s="72">
        <f ca="1">IF(E24='Invoer gegevens (N)'!$C$17+14,'RW - BW - DE (N)'!$AY$236,0)</f>
        <v>0</v>
      </c>
      <c r="AY24" s="72">
        <f ca="1">IFERROR(IF(E24='Invoer gegevens (N)'!$C$17,-'Invoer gegevens (N)'!$C$10*'Invoer gegevens (N)'!$C$31*'Reeksen (N)'!H24,0),0)</f>
        <v>0</v>
      </c>
      <c r="AZ24" s="73">
        <f ca="1">IF('Invoer gegevens (N)'!$C$34=E24,'Invoer gegevens (N)'!$C$27*'Invoer gegevens (N)'!$C$10*'Invoer gegevens (N)'!$C$36*(IF('Invoer gegevens (N)'!$C$35="ja",1,'Reeksen (N)'!J24)),IF('Invoer gegevens (N)'!$C$34+1=E24,'Invoer gegevens (N)'!$C$27*'Invoer gegevens (N)'!$C$10*'Invoer gegevens (N)'!$C$37*(IF('Invoer gegevens (N)'!$C$35="ja",1,'Reeksen (N)'!J24)),0))+IF(AND(E24='Invoer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4" s="73">
        <f ca="1">AW24/(1+'Invoer gegevens (N)'!$F$13)^($D24-('Invoer gegevens (N)'!$C$17-'Invoer gegevens (N)'!$C$16))/(1+'Invoer gegevens (N)'!$C$39)^('Invoer gegevens (N)'!$C$17-'Invoer gegevens (N)'!$C$16)</f>
        <v>0</v>
      </c>
      <c r="BB24" s="73">
        <f ca="1">AX24/(1+'Invoer gegevens (N)'!$F$13)^(E24-('Invoer gegevens (N)'!$C$17-1))/(1+'Invoer gegevens (N)'!$C$39)^('Invoer gegevens (N)'!$C$17-'Invoer gegevens (N)'!$C$16)</f>
        <v>0</v>
      </c>
      <c r="BC24" s="73">
        <f ca="1">AY24/(1+'Invoer gegevens (N)'!$C$39)^('Invoer gegevens (N)'!$C$17-'Invoer gegevens (N)'!$C$16)</f>
        <v>0</v>
      </c>
      <c r="BD24" s="72">
        <f t="shared" ca="1" si="5"/>
        <v>0</v>
      </c>
      <c r="BE24" s="72">
        <f ca="1">IF(AND(E24='Invoer gegevens (N)'!$C$16,'Invoer gegevens (N)'!$C$34&lt;'Invoer gegevens (N)'!$C$16),AZ24,AZ24/(1+'Invoer gegevens (N)'!$C$39)^D24)</f>
        <v>0</v>
      </c>
      <c r="BF24" s="72">
        <f ca="1">IF(E24='Invoer gegevens (N)'!$C$34,-'Invoer gegevens (N)'!$F$40,0)</f>
        <v>0</v>
      </c>
      <c r="BG24" s="72">
        <f ca="1">IF(E24='Invoer gegevens (N)'!$C$17,-'Invoer gegevens (N)'!$C$19*$BD$31,0)</f>
        <v>0</v>
      </c>
      <c r="BH24" s="72">
        <f ca="1">AW24/(1+$BH$4)^($D24-('Invoer gegevens (N)'!$C$17-'Invoer gegevens (N)'!$C$16))/(1+'Invoer gegevens (N)'!$C$39)^('Invoer gegevens (N)'!$C$17-'Invoer gegevens (N)'!$C$16)+AX24/(1+$BH$4)^(E24-('Invoer gegevens (N)'!$C$17-1))/(1+'Invoer gegevens (N)'!$C$39)^('Invoer gegevens (N)'!$C$17-'Invoer gegevens (N)'!$C$16)+AY24/(1+'Invoer gegevens (N)'!$C$39)^('Invoer gegevens (N)'!$C$17-'Invoer gegevens (N)'!$C$16)+(-AZ24/(1+'Invoer gegevens (N)'!$C$39)^D24)+BF24+BG24</f>
        <v>0</v>
      </c>
      <c r="BI24" s="59"/>
    </row>
    <row r="25" spans="1:68" x14ac:dyDescent="0.25">
      <c r="A25" s="59"/>
      <c r="B25" s="70">
        <f t="shared" si="6"/>
        <v>21</v>
      </c>
      <c r="C25" s="67">
        <f ca="1">IF(AND(E25&gt;='Invoer gegevens (N)'!$C$17,E25&lt;'Invoer gegevens (N)'!$C$17+15),1,0)</f>
        <v>0</v>
      </c>
      <c r="D25" s="68">
        <f t="shared" si="7"/>
        <v>20.5</v>
      </c>
      <c r="E25" s="69">
        <f ca="1">IF('Invoer gegevens (N)'!$C$16="","",E24+1)</f>
        <v>2039</v>
      </c>
      <c r="F25" s="82">
        <f ca="1">IF('Invoer gegevens (N)'!$C$17=E25,'Invoer gegevens (N)'!$C$10,IF(C25=1,H24,0))</f>
        <v>0</v>
      </c>
      <c r="G25" s="83">
        <f ca="1">IF(E25='Invoer gegevens (N)'!$C$17+15,H24,IF(C25&gt;=1,F25*'Reeksen (N)'!C25,0))</f>
        <v>0</v>
      </c>
      <c r="H25" s="84">
        <f ca="1">IF(E25&gt;='Invoer gegevens (N)'!$C$17+15,0,F25-G25)</f>
        <v>0</v>
      </c>
      <c r="I25" s="85">
        <f ca="1">IF('Invoer gegevens (N)'!$C$17=E25,'Invoer gegevens (N)'!$C$11,IF(C25=1,L24,0))</f>
        <v>0</v>
      </c>
      <c r="J25" s="86">
        <f ca="1">IF(E25='Invoer gegevens (N)'!$C$17+15,L24,IF(C25&lt;1,0,IF('Reeksen (N)'!AK25&lt;='Reeksen (N)'!AE25,I25*'Reeksen (N)'!C25,0)))</f>
        <v>0</v>
      </c>
      <c r="K25" s="86">
        <f ca="1">IF(E25='Invoer gegevens (N)'!$C$17+15,L24,IF(C25&lt;1,0,IF('Reeksen (N)'!AK25&gt;'Reeksen (N)'!AE25,I25*'Reeksen (N)'!C25,0)))</f>
        <v>0</v>
      </c>
      <c r="L25" s="86">
        <f ca="1">IF(E25&gt;='Invoer gegevens (N)'!$C$17+15,0,I25-J25-K25)</f>
        <v>0</v>
      </c>
      <c r="M25" s="85">
        <f ca="1">IF('Invoer gegevens (N)'!$C$17=E25,'Invoer gegevens (N)'!$C$10-'Invoer gegevens (N)'!$C$11,IF(C25=1,P24,0))</f>
        <v>0</v>
      </c>
      <c r="N25" s="86">
        <f ca="1">IF(E25='Invoer gegevens (N)'!$C$17+15,P24,IF(C25&lt;1,0,IF('Reeksen (N)'!AK25&lt;='Reeksen (N)'!AE25,M25*'Reeksen (N)'!C25,0)))</f>
        <v>0</v>
      </c>
      <c r="O25" s="86">
        <f ca="1">IF(E25='Invoer gegevens (N)'!$C$17+15,P24,IF(C25&lt;1,0,IF('Reeksen (N)'!AK25&gt;'Reeksen (N)'!AE25,M25*'Reeksen (N)'!C25,0)))</f>
        <v>0</v>
      </c>
      <c r="P25" s="86">
        <f ca="1">IF(E25&gt;='Invoer gegevens (N)'!$C$17+15,0,M25-N25-O25)</f>
        <v>0</v>
      </c>
      <c r="Q25" s="82">
        <f ca="1">IF('Invoer gegevens (N)'!$C$17=E25,I25,IF(C25=0,0,R24))</f>
        <v>0</v>
      </c>
      <c r="R25" s="84">
        <f t="shared" ca="1" si="0"/>
        <v>0</v>
      </c>
      <c r="S25" s="84">
        <f ca="1">IF('Invoer gegevens (N)'!$C$17=E25,M25,IF(C25=0,0,T24))</f>
        <v>0</v>
      </c>
      <c r="T25" s="84">
        <f t="shared" ca="1" si="1"/>
        <v>0</v>
      </c>
      <c r="AH25" s="68"/>
      <c r="AI25" s="71">
        <f ca="1">IF(C25=1,((F25+H25)/2*'Reeksen (N)'!AJ25*12)+(('Invoer gegevens (N)'!$C$10-(F25+H25)/2)*'Reeksen (N)'!AK25*12),0)</f>
        <v>0</v>
      </c>
      <c r="AJ25" s="71">
        <f ca="1">-AI25*'Invoer gegevens (N)'!$F$28</f>
        <v>0</v>
      </c>
      <c r="AK25" s="71">
        <f t="shared" ca="1" si="2"/>
        <v>0</v>
      </c>
      <c r="AL25" s="71">
        <f ca="1">IF(C25=1,(12*((F25+H25)/2)*'Reeksen (N)'!AL25)+(12*('Invoer gegevens (N)'!$C$10-(F25+H25)/2)*'Reeksen (N)'!AM25),0)</f>
        <v>0</v>
      </c>
      <c r="AM25" s="71">
        <f ca="1">-AL25*'Invoer gegevens (N)'!$F$31</f>
        <v>0</v>
      </c>
      <c r="AN25" s="71">
        <f t="shared" ca="1" si="3"/>
        <v>0</v>
      </c>
      <c r="AO25" s="71"/>
      <c r="AP25" s="71"/>
      <c r="AQ25" s="71">
        <f ca="1">-IF(C25=1,('Invoer gegevens (N)'!$C$10*'Invoer gegevens (N)'!$I$33)*'Reeksen (N)'!J25,0)</f>
        <v>0</v>
      </c>
      <c r="AR25" s="71">
        <f ca="1">-IF(C25=1,(G25*'Invoer gegevens (N)'!$I$34)*'Reeksen (N)'!J25,0)</f>
        <v>0</v>
      </c>
      <c r="AS25" s="71">
        <f ca="1">-IF(C25=1,'Invoer gegevens (N)'!$C$10*'Invoer gegevens (N)'!$I$35*'Reeksen (N)'!L25,0)</f>
        <v>0</v>
      </c>
      <c r="AT25" s="71">
        <f ca="1">-IF(C25=1,IF(E25='Invoer gegevens (N)'!$C$17,'Invoer gegevens (N)'!$C$11,Q25)*'Reeksen (N)'!S25*'Invoer gegevens (N)'!$C$18*'Reeksen (N)'!P25,0)</f>
        <v>0</v>
      </c>
      <c r="AU25" s="71">
        <f ca="1">-IF(C25=1,'Invoer gegevens (N)'!$C$10*'Invoer gegevens (N)'!$I$36*'Reeksen (N)'!H25,0)</f>
        <v>0</v>
      </c>
      <c r="AV25" s="71">
        <v>0</v>
      </c>
      <c r="AW25" s="71">
        <f t="shared" ca="1" si="4"/>
        <v>0</v>
      </c>
      <c r="AX25" s="72">
        <f ca="1">IF(E25='Invoer gegevens (N)'!$C$17+14,'RW - BW - DE (N)'!$AY$236,0)</f>
        <v>0</v>
      </c>
      <c r="AY25" s="72">
        <f ca="1">IFERROR(IF(E25='Invoer gegevens (N)'!$C$17,-'Invoer gegevens (N)'!$C$10*'Invoer gegevens (N)'!$C$31*'Reeksen (N)'!H25,0),0)</f>
        <v>0</v>
      </c>
      <c r="AZ25" s="73">
        <f ca="1">IF('Invoer gegevens (N)'!$C$34=E25,'Invoer gegevens (N)'!$C$27*'Invoer gegevens (N)'!$C$10*'Invoer gegevens (N)'!$C$36*(IF('Invoer gegevens (N)'!$C$35="ja",1,'Reeksen (N)'!J25)),IF('Invoer gegevens (N)'!$C$34+1=E25,'Invoer gegevens (N)'!$C$27*'Invoer gegevens (N)'!$C$10*'Invoer gegevens (N)'!$C$37*(IF('Invoer gegevens (N)'!$C$35="ja",1,'Reeksen (N)'!J25)),0))+IF(AND(E25='Invoer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5" s="73">
        <f ca="1">AW25/(1+'Invoer gegevens (N)'!$F$13)^($D25-('Invoer gegevens (N)'!$C$17-'Invoer gegevens (N)'!$C$16))/(1+'Invoer gegevens (N)'!$C$39)^('Invoer gegevens (N)'!$C$17-'Invoer gegevens (N)'!$C$16)</f>
        <v>0</v>
      </c>
      <c r="BB25" s="73">
        <f ca="1">AX25/(1+'Invoer gegevens (N)'!$F$13)^(E25-('Invoer gegevens (N)'!$C$17-1))/(1+'Invoer gegevens (N)'!$C$39)^('Invoer gegevens (N)'!$C$17-'Invoer gegevens (N)'!$C$16)</f>
        <v>0</v>
      </c>
      <c r="BC25" s="73">
        <f ca="1">AY25/(1+'Invoer gegevens (N)'!$C$39)^('Invoer gegevens (N)'!$C$17-'Invoer gegevens (N)'!$C$16)</f>
        <v>0</v>
      </c>
      <c r="BD25" s="72">
        <f t="shared" ca="1" si="5"/>
        <v>0</v>
      </c>
      <c r="BE25" s="72">
        <f ca="1">IF(AND(E25='Invoer gegevens (N)'!$C$16,'Invoer gegevens (N)'!$C$34&lt;'Invoer gegevens (N)'!$C$16),AZ25,AZ25/(1+'Invoer gegevens (N)'!$C$39)^D25)</f>
        <v>0</v>
      </c>
      <c r="BF25" s="72">
        <f ca="1">IF(E25='Invoer gegevens (N)'!$C$34,-'Invoer gegevens (N)'!$F$40,0)</f>
        <v>0</v>
      </c>
      <c r="BG25" s="72">
        <f ca="1">IF(E25='Invoer gegevens (N)'!$C$17,-'Invoer gegevens (N)'!$C$19*$BD$31,0)</f>
        <v>0</v>
      </c>
      <c r="BH25" s="72">
        <f ca="1">AW25/(1+$BH$4)^($D25-('Invoer gegevens (N)'!$C$17-'Invoer gegevens (N)'!$C$16))/(1+'Invoer gegevens (N)'!$C$39)^('Invoer gegevens (N)'!$C$17-'Invoer gegevens (N)'!$C$16)+AX25/(1+$BH$4)^(E25-('Invoer gegevens (N)'!$C$17-1))/(1+'Invoer gegevens (N)'!$C$39)^('Invoer gegevens (N)'!$C$17-'Invoer gegevens (N)'!$C$16)+AY25/(1+'Invoer gegevens (N)'!$C$39)^('Invoer gegevens (N)'!$C$17-'Invoer gegevens (N)'!$C$16)+(-AZ25/(1+'Invoer gegevens (N)'!$C$39)^D25)+BF25+BG25</f>
        <v>0</v>
      </c>
      <c r="BI25" s="59"/>
    </row>
    <row r="26" spans="1:68" x14ac:dyDescent="0.25">
      <c r="A26" s="59"/>
      <c r="B26" s="70">
        <f>B25+1</f>
        <v>22</v>
      </c>
      <c r="C26" s="67">
        <f ca="1">IF(AND(E26&gt;='Invoer gegevens (N)'!$C$17,E26&lt;'Invoer gegevens (N)'!$C$17+15),1,0)</f>
        <v>0</v>
      </c>
      <c r="D26" s="68">
        <f t="shared" si="7"/>
        <v>21.5</v>
      </c>
      <c r="E26" s="69">
        <f ca="1">IF('Invoer gegevens (N)'!$C$16="","",E25+1)</f>
        <v>2040</v>
      </c>
      <c r="F26" s="82">
        <f ca="1">IF('Invoer gegevens (N)'!$C$17=E26,'Invoer gegevens (N)'!$C$10,IF(C26=1,H25,0))</f>
        <v>0</v>
      </c>
      <c r="G26" s="83">
        <f ca="1">IF(E26='Invoer gegevens (N)'!$C$17+15,H25,IF(C26&gt;=1,F26*'Reeksen (N)'!C26,0))</f>
        <v>0</v>
      </c>
      <c r="H26" s="84">
        <f ca="1">IF(E26&gt;='Invoer gegevens (N)'!$C$17+15,0,F26-G26)</f>
        <v>0</v>
      </c>
      <c r="I26" s="85">
        <f ca="1">IF('Invoer gegevens (N)'!$C$17=E26,'Invoer gegevens (N)'!$C$11,IF(C26=1,L25,0))</f>
        <v>0</v>
      </c>
      <c r="J26" s="86">
        <f ca="1">IF(E26='Invoer gegevens (N)'!$C$17+15,L25,IF(C26&lt;1,0,IF('Reeksen (N)'!AK26&lt;='Reeksen (N)'!AE26,I26*'Reeksen (N)'!C26,0)))</f>
        <v>0</v>
      </c>
      <c r="K26" s="86">
        <f ca="1">IF(E26='Invoer gegevens (N)'!$C$17+15,L25,IF(C26&lt;1,0,IF('Reeksen (N)'!AK26&gt;'Reeksen (N)'!AE26,I26*'Reeksen (N)'!C26,0)))</f>
        <v>0</v>
      </c>
      <c r="L26" s="86">
        <f ca="1">IF(E26&gt;='Invoer gegevens (N)'!$C$17+15,0,I26-J26-K26)</f>
        <v>0</v>
      </c>
      <c r="M26" s="85">
        <f ca="1">IF('Invoer gegevens (N)'!$C$17=E26,'Invoer gegevens (N)'!$C$10-'Invoer gegevens (N)'!$C$11,IF(C26=1,P25,0))</f>
        <v>0</v>
      </c>
      <c r="N26" s="86">
        <f ca="1">IF(E26='Invoer gegevens (N)'!$C$17+15,P25,IF(C26&lt;1,0,IF('Reeksen (N)'!AK26&lt;='Reeksen (N)'!AE26,M26*'Reeksen (N)'!C26,0)))</f>
        <v>0</v>
      </c>
      <c r="O26" s="86">
        <f ca="1">IF(E26='Invoer gegevens (N)'!$C$17+15,P25,IF(C26&lt;1,0,IF('Reeksen (N)'!AK26&gt;'Reeksen (N)'!AE26,M26*'Reeksen (N)'!C26,0)))</f>
        <v>0</v>
      </c>
      <c r="P26" s="86">
        <f ca="1">IF(E26&gt;='Invoer gegevens (N)'!$C$17+15,0,M26-N26-O26)</f>
        <v>0</v>
      </c>
      <c r="Q26" s="82">
        <f ca="1">IF('Invoer gegevens (N)'!$C$17=E26,I26,IF(C26=0,0,R25))</f>
        <v>0</v>
      </c>
      <c r="R26" s="84">
        <f t="shared" ca="1" si="0"/>
        <v>0</v>
      </c>
      <c r="S26" s="84">
        <f ca="1">IF('Invoer gegevens (N)'!$C$17=E26,M26,IF(C26=0,0,T25))</f>
        <v>0</v>
      </c>
      <c r="T26" s="84">
        <f t="shared" ca="1" si="1"/>
        <v>0</v>
      </c>
      <c r="AH26" s="68"/>
      <c r="AI26" s="71">
        <f ca="1">IF(C26=1,((F26+H26)/2*'Reeksen (N)'!AJ26*12)+(('Invoer gegevens (N)'!$C$10-(F26+H26)/2)*'Reeksen (N)'!AK26*12),0)</f>
        <v>0</v>
      </c>
      <c r="AJ26" s="71">
        <f ca="1">-AI26*'Invoer gegevens (N)'!$F$28</f>
        <v>0</v>
      </c>
      <c r="AK26" s="71">
        <f t="shared" ca="1" si="2"/>
        <v>0</v>
      </c>
      <c r="AL26" s="71">
        <f ca="1">IF(C26=1,(12*((F26+H26)/2)*'Reeksen (N)'!AL26)+(12*('Invoer gegevens (N)'!$C$10-(F26+H26)/2)*'Reeksen (N)'!AM26),0)</f>
        <v>0</v>
      </c>
      <c r="AM26" s="71">
        <f ca="1">-AL26*'Invoer gegevens (N)'!$F$31</f>
        <v>0</v>
      </c>
      <c r="AN26" s="71">
        <f t="shared" ca="1" si="3"/>
        <v>0</v>
      </c>
      <c r="AO26" s="71"/>
      <c r="AP26" s="71"/>
      <c r="AQ26" s="71">
        <f ca="1">-IF(C26=1,('Invoer gegevens (N)'!$C$10*'Invoer gegevens (N)'!$I$33)*'Reeksen (N)'!J26,0)</f>
        <v>0</v>
      </c>
      <c r="AR26" s="71">
        <f ca="1">-IF(C26=1,(G26*'Invoer gegevens (N)'!$I$34)*'Reeksen (N)'!J26,0)</f>
        <v>0</v>
      </c>
      <c r="AS26" s="71">
        <f ca="1">-IF(C26=1,'Invoer gegevens (N)'!$C$10*'Invoer gegevens (N)'!$I$35*'Reeksen (N)'!L26,0)</f>
        <v>0</v>
      </c>
      <c r="AT26" s="71">
        <f ca="1">-IF(C26=1,IF(E26='Invoer gegevens (N)'!$C$17,'Invoer gegevens (N)'!$C$11,Q26)*'Reeksen (N)'!S26*'Invoer gegevens (N)'!$C$18*'Reeksen (N)'!P26,0)</f>
        <v>0</v>
      </c>
      <c r="AU26" s="71">
        <f ca="1">-IF(C26=1,'Invoer gegevens (N)'!$C$10*'Invoer gegevens (N)'!$I$36*'Reeksen (N)'!H26,0)</f>
        <v>0</v>
      </c>
      <c r="AV26" s="71">
        <v>0</v>
      </c>
      <c r="AW26" s="71">
        <f t="shared" ca="1" si="4"/>
        <v>0</v>
      </c>
      <c r="AX26" s="72">
        <f ca="1">IF(E26='Invoer gegevens (N)'!$C$17+14,'RW - BW - DE (N)'!$AY$236,0)</f>
        <v>0</v>
      </c>
      <c r="AY26" s="72">
        <f ca="1">IFERROR(IF(E26='Invoer gegevens (N)'!$C$17,-'Invoer gegevens (N)'!$C$10*'Invoer gegevens (N)'!$C$31*'Reeksen (N)'!H26,0),0)</f>
        <v>0</v>
      </c>
      <c r="AZ26" s="73">
        <f ca="1">IF('Invoer gegevens (N)'!$C$34=E26,'Invoer gegevens (N)'!$C$27*'Invoer gegevens (N)'!$C$10*'Invoer gegevens (N)'!$C$36*(IF('Invoer gegevens (N)'!$C$35="ja",1,'Reeksen (N)'!J26)),IF('Invoer gegevens (N)'!$C$34+1=E26,'Invoer gegevens (N)'!$C$27*'Invoer gegevens (N)'!$C$10*'Invoer gegevens (N)'!$C$37*(IF('Invoer gegevens (N)'!$C$35="ja",1,'Reeksen (N)'!J26)),0))+IF(AND(E26='Invoer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6" s="73">
        <f ca="1">AW26/(1+'Invoer gegevens (N)'!$F$13)^($D26-('Invoer gegevens (N)'!$C$17-'Invoer gegevens (N)'!$C$16))/(1+'Invoer gegevens (N)'!$C$39)^('Invoer gegevens (N)'!$C$17-'Invoer gegevens (N)'!$C$16)</f>
        <v>0</v>
      </c>
      <c r="BB26" s="73">
        <f ca="1">AX26/(1+'Invoer gegevens (N)'!$F$13)^(E26-('Invoer gegevens (N)'!$C$17-1))/(1+'Invoer gegevens (N)'!$C$39)^('Invoer gegevens (N)'!$C$17-'Invoer gegevens (N)'!$C$16)</f>
        <v>0</v>
      </c>
      <c r="BC26" s="73">
        <f ca="1">AY26/(1+'Invoer gegevens (N)'!$C$39)^('Invoer gegevens (N)'!$C$17-'Invoer gegevens (N)'!$C$16)</f>
        <v>0</v>
      </c>
      <c r="BD26" s="72">
        <f t="shared" ca="1" si="5"/>
        <v>0</v>
      </c>
      <c r="BE26" s="72">
        <f ca="1">IF(AND(E26='Invoer gegevens (N)'!$C$16,'Invoer gegevens (N)'!$C$34&lt;'Invoer gegevens (N)'!$C$16),AZ26,AZ26/(1+'Invoer gegevens (N)'!$C$39)^D26)</f>
        <v>0</v>
      </c>
      <c r="BF26" s="72">
        <f ca="1">IF(E26='Invoer gegevens (N)'!$C$34,-'Invoer gegevens (N)'!$F$40,0)</f>
        <v>0</v>
      </c>
      <c r="BG26" s="72">
        <f ca="1">IF(E26='Invoer gegevens (N)'!$C$17,-'Invoer gegevens (N)'!$C$19*$BD$31,0)</f>
        <v>0</v>
      </c>
      <c r="BH26" s="72">
        <f ca="1">AW26/(1+$BH$4)^($D26-('Invoer gegevens (N)'!$C$17-'Invoer gegevens (N)'!$C$16))/(1+'Invoer gegevens (N)'!$C$39)^('Invoer gegevens (N)'!$C$17-'Invoer gegevens (N)'!$C$16)+AX26/(1+$BH$4)^(E26-('Invoer gegevens (N)'!$C$17-1))/(1+'Invoer gegevens (N)'!$C$39)^('Invoer gegevens (N)'!$C$17-'Invoer gegevens (N)'!$C$16)+AY26/(1+'Invoer gegevens (N)'!$C$39)^('Invoer gegevens (N)'!$C$17-'Invoer gegevens (N)'!$C$16)+(-AZ26/(1+'Invoer gegevens (N)'!$C$39)^D26)+BF26+BG26</f>
        <v>0</v>
      </c>
      <c r="BI26" s="59"/>
    </row>
    <row r="27" spans="1:68" x14ac:dyDescent="0.25">
      <c r="A27" s="59"/>
      <c r="B27" s="70">
        <f t="shared" si="6"/>
        <v>23</v>
      </c>
      <c r="C27" s="67">
        <f ca="1">IF(AND(E27&gt;='Invoer gegevens (N)'!$C$17,E27&lt;'Invoer gegevens (N)'!$C$17+15),1,0)</f>
        <v>0</v>
      </c>
      <c r="D27" s="68">
        <f t="shared" si="7"/>
        <v>22.5</v>
      </c>
      <c r="E27" s="69">
        <f ca="1">IF('Invoer gegevens (N)'!$C$16="","",E26+1)</f>
        <v>2041</v>
      </c>
      <c r="F27" s="82">
        <f ca="1">IF('Invoer gegevens (N)'!$C$17=E27,'Invoer gegevens (N)'!$C$10,IF(C27=1,H26,0))</f>
        <v>0</v>
      </c>
      <c r="G27" s="83">
        <f ca="1">IF(E27='Invoer gegevens (N)'!$C$17+15,H26,IF(C27&gt;=1,F27*'Reeksen (N)'!C27,0))</f>
        <v>0</v>
      </c>
      <c r="H27" s="84">
        <f ca="1">IF(E27&gt;='Invoer gegevens (N)'!$C$17+15,0,F27-G27)</f>
        <v>0</v>
      </c>
      <c r="I27" s="85">
        <f ca="1">IF('Invoer gegevens (N)'!$C$17=E27,'Invoer gegevens (N)'!$C$11,IF(C27=1,L26,0))</f>
        <v>0</v>
      </c>
      <c r="J27" s="86">
        <f ca="1">IF(E27='Invoer gegevens (N)'!$C$17+15,L26,IF(C27&lt;1,0,IF('Reeksen (N)'!AK27&lt;='Reeksen (N)'!AE27,I27*'Reeksen (N)'!C27,0)))</f>
        <v>0</v>
      </c>
      <c r="K27" s="86">
        <f ca="1">IF(E27='Invoer gegevens (N)'!$C$17+15,L26,IF(C27&lt;1,0,IF('Reeksen (N)'!AK27&gt;'Reeksen (N)'!AE27,I27*'Reeksen (N)'!C27,0)))</f>
        <v>0</v>
      </c>
      <c r="L27" s="86">
        <f ca="1">IF(E27&gt;='Invoer gegevens (N)'!$C$17+15,0,I27-J27-K27)</f>
        <v>0</v>
      </c>
      <c r="M27" s="85">
        <f ca="1">IF('Invoer gegevens (N)'!$C$17=E27,'Invoer gegevens (N)'!$C$10-'Invoer gegevens (N)'!$C$11,IF(C27=1,P26,0))</f>
        <v>0</v>
      </c>
      <c r="N27" s="86">
        <f ca="1">IF(E27='Invoer gegevens (N)'!$C$17+15,P26,IF(C27&lt;1,0,IF('Reeksen (N)'!AK27&lt;='Reeksen (N)'!AE27,M27*'Reeksen (N)'!C27,0)))</f>
        <v>0</v>
      </c>
      <c r="O27" s="86">
        <f ca="1">IF(E27='Invoer gegevens (N)'!$C$17+15,P26,IF(C27&lt;1,0,IF('Reeksen (N)'!AK27&gt;'Reeksen (N)'!AE27,M27*'Reeksen (N)'!C27,0)))</f>
        <v>0</v>
      </c>
      <c r="P27" s="86">
        <f ca="1">IF(E27&gt;='Invoer gegevens (N)'!$C$17+15,0,M27-N27-O27)</f>
        <v>0</v>
      </c>
      <c r="Q27" s="82">
        <f ca="1">IF('Invoer gegevens (N)'!$C$17=E27,I27,IF(C27=0,0,R26))</f>
        <v>0</v>
      </c>
      <c r="R27" s="84">
        <f t="shared" ca="1" si="0"/>
        <v>0</v>
      </c>
      <c r="S27" s="84">
        <f ca="1">IF('Invoer gegevens (N)'!$C$17=E27,M27,IF(C27=0,0,T26))</f>
        <v>0</v>
      </c>
      <c r="T27" s="84">
        <f t="shared" ca="1" si="1"/>
        <v>0</v>
      </c>
      <c r="AH27" s="68"/>
      <c r="AI27" s="71">
        <f ca="1">IF(C27=1,((F27+H27)/2*'Reeksen (N)'!AJ27*12)+(('Invoer gegevens (N)'!$C$10-(F27+H27)/2)*'Reeksen (N)'!AK27*12),0)</f>
        <v>0</v>
      </c>
      <c r="AJ27" s="71">
        <f ca="1">-AI27*'Invoer gegevens (N)'!$F$28</f>
        <v>0</v>
      </c>
      <c r="AK27" s="71">
        <f t="shared" ca="1" si="2"/>
        <v>0</v>
      </c>
      <c r="AL27" s="71">
        <f ca="1">IF(C27=1,(12*((F27+H27)/2)*'Reeksen (N)'!AL27)+(12*('Invoer gegevens (N)'!$C$10-(F27+H27)/2)*'Reeksen (N)'!AM27),0)</f>
        <v>0</v>
      </c>
      <c r="AM27" s="71">
        <f ca="1">-AL27*'Invoer gegevens (N)'!$F$31</f>
        <v>0</v>
      </c>
      <c r="AN27" s="71">
        <f t="shared" ca="1" si="3"/>
        <v>0</v>
      </c>
      <c r="AO27" s="71"/>
      <c r="AP27" s="71"/>
      <c r="AQ27" s="71">
        <f ca="1">-IF(C27=1,('Invoer gegevens (N)'!$C$10*'Invoer gegevens (N)'!$I$33)*'Reeksen (N)'!J27,0)</f>
        <v>0</v>
      </c>
      <c r="AR27" s="71">
        <f ca="1">-IF(C27=1,(G27*'Invoer gegevens (N)'!$I$34)*'Reeksen (N)'!J27,0)</f>
        <v>0</v>
      </c>
      <c r="AS27" s="71">
        <f ca="1">-IF(C27=1,'Invoer gegevens (N)'!$C$10*'Invoer gegevens (N)'!$I$35*'Reeksen (N)'!L27,0)</f>
        <v>0</v>
      </c>
      <c r="AT27" s="71">
        <f ca="1">-IF(C27=1,IF(E27='Invoer gegevens (N)'!$C$17,'Invoer gegevens (N)'!$C$11,Q27)*'Reeksen (N)'!S27*'Invoer gegevens (N)'!$C$18*'Reeksen (N)'!P27,0)</f>
        <v>0</v>
      </c>
      <c r="AU27" s="71">
        <f ca="1">-IF(C27=1,'Invoer gegevens (N)'!$C$10*'Invoer gegevens (N)'!$I$36*'Reeksen (N)'!H27,0)</f>
        <v>0</v>
      </c>
      <c r="AV27" s="71">
        <v>0</v>
      </c>
      <c r="AW27" s="71">
        <f t="shared" ca="1" si="4"/>
        <v>0</v>
      </c>
      <c r="AX27" s="72">
        <f ca="1">IF(E27='Invoer gegevens (N)'!$C$17+14,'RW - BW - DE (N)'!$AY$236,0)</f>
        <v>0</v>
      </c>
      <c r="AY27" s="72">
        <f ca="1">IFERROR(IF(E27='Invoer gegevens (N)'!$C$17,-'Invoer gegevens (N)'!$C$10*'Invoer gegevens (N)'!$C$31*'Reeksen (N)'!H27,0),0)</f>
        <v>0</v>
      </c>
      <c r="AZ27" s="73">
        <f ca="1">IF('Invoer gegevens (N)'!$C$34=E27,'Invoer gegevens (N)'!$C$27*'Invoer gegevens (N)'!$C$10*'Invoer gegevens (N)'!$C$36*(IF('Invoer gegevens (N)'!$C$35="ja",1,'Reeksen (N)'!J27)),IF('Invoer gegevens (N)'!$C$34+1=E27,'Invoer gegevens (N)'!$C$27*'Invoer gegevens (N)'!$C$10*'Invoer gegevens (N)'!$C$37*(IF('Invoer gegevens (N)'!$C$35="ja",1,'Reeksen (N)'!J27)),0))+IF(AND(E27='Invoer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7" s="73">
        <f ca="1">AW27/(1+'Invoer gegevens (N)'!$F$13)^($D27-('Invoer gegevens (N)'!$C$17-'Invoer gegevens (N)'!$C$16))/(1+'Invoer gegevens (N)'!$C$39)^('Invoer gegevens (N)'!$C$17-'Invoer gegevens (N)'!$C$16)</f>
        <v>0</v>
      </c>
      <c r="BB27" s="73">
        <f ca="1">AX27/(1+'Invoer gegevens (N)'!$F$13)^(E27-('Invoer gegevens (N)'!$C$17-1))/(1+'Invoer gegevens (N)'!$C$39)^('Invoer gegevens (N)'!$C$17-'Invoer gegevens (N)'!$C$16)</f>
        <v>0</v>
      </c>
      <c r="BC27" s="73">
        <f ca="1">AY27/(1+'Invoer gegevens (N)'!$C$39)^('Invoer gegevens (N)'!$C$17-'Invoer gegevens (N)'!$C$16)</f>
        <v>0</v>
      </c>
      <c r="BD27" s="72">
        <f t="shared" ca="1" si="5"/>
        <v>0</v>
      </c>
      <c r="BE27" s="72">
        <f ca="1">IF(AND(E27='Invoer gegevens (N)'!$C$16,'Invoer gegevens (N)'!$C$34&lt;'Invoer gegevens (N)'!$C$16),AZ27,AZ27/(1+'Invoer gegevens (N)'!$C$39)^D27)</f>
        <v>0</v>
      </c>
      <c r="BF27" s="72">
        <f ca="1">IF(E27='Invoer gegevens (N)'!$C$34,-'Invoer gegevens (N)'!$F$40,0)</f>
        <v>0</v>
      </c>
      <c r="BG27" s="72">
        <f ca="1">IF(E27='Invoer gegevens (N)'!$C$17,-'Invoer gegevens (N)'!$C$19*$BD$31,0)</f>
        <v>0</v>
      </c>
      <c r="BH27" s="72">
        <f ca="1">AW27/(1+$BH$4)^($D27-('Invoer gegevens (N)'!$C$17-'Invoer gegevens (N)'!$C$16))/(1+'Invoer gegevens (N)'!$C$39)^('Invoer gegevens (N)'!$C$17-'Invoer gegevens (N)'!$C$16)+AX27/(1+$BH$4)^(E27-('Invoer gegevens (N)'!$C$17-1))/(1+'Invoer gegevens (N)'!$C$39)^('Invoer gegevens (N)'!$C$17-'Invoer gegevens (N)'!$C$16)+AY27/(1+'Invoer gegevens (N)'!$C$39)^('Invoer gegevens (N)'!$C$17-'Invoer gegevens (N)'!$C$16)+(-AZ27/(1+'Invoer gegevens (N)'!$C$39)^D27)+BF27+BG27</f>
        <v>0</v>
      </c>
      <c r="BI27" s="59"/>
    </row>
    <row r="28" spans="1:68" x14ac:dyDescent="0.25">
      <c r="A28" s="59"/>
      <c r="B28" s="70">
        <f t="shared" si="6"/>
        <v>24</v>
      </c>
      <c r="C28" s="67">
        <f ca="1">IF(AND(E28&gt;='Invoer gegevens (N)'!$C$17,E28&lt;'Invoer gegevens (N)'!$C$17+15),1,0)</f>
        <v>0</v>
      </c>
      <c r="D28" s="68">
        <f t="shared" si="7"/>
        <v>23.5</v>
      </c>
      <c r="E28" s="69">
        <f ca="1">IF('Invoer gegevens (N)'!$C$16="","",E27+1)</f>
        <v>2042</v>
      </c>
      <c r="F28" s="82">
        <f ca="1">IF('Invoer gegevens (N)'!$C$17=E28,'Invoer gegevens (N)'!$C$10,IF(C28=1,H27,0))</f>
        <v>0</v>
      </c>
      <c r="G28" s="83">
        <f ca="1">IF(E28='Invoer gegevens (N)'!$C$17+15,H27,IF(C28&gt;=1,F28*'Reeksen (N)'!C28,0))</f>
        <v>0</v>
      </c>
      <c r="H28" s="84">
        <f ca="1">IF(E28&gt;='Invoer gegevens (N)'!$C$17+15,0,F28-G28)</f>
        <v>0</v>
      </c>
      <c r="I28" s="85">
        <f ca="1">IF('Invoer gegevens (N)'!$C$17=E28,'Invoer gegevens (N)'!$C$11,IF(C28=1,L27,0))</f>
        <v>0</v>
      </c>
      <c r="J28" s="86">
        <f ca="1">IF(E28='Invoer gegevens (N)'!$C$17+15,L27,IF(C28&lt;1,0,IF('Reeksen (N)'!AK28&lt;='Reeksen (N)'!AE28,I28*'Reeksen (N)'!C28,0)))</f>
        <v>0</v>
      </c>
      <c r="K28" s="86">
        <f ca="1">IF(E28='Invoer gegevens (N)'!$C$17+15,L27,IF(C28&lt;1,0,IF('Reeksen (N)'!AK28&gt;'Reeksen (N)'!AE28,I28*'Reeksen (N)'!C28,0)))</f>
        <v>0</v>
      </c>
      <c r="L28" s="86">
        <f ca="1">IF(E28&gt;='Invoer gegevens (N)'!$C$17+15,0,I28-J28-K28)</f>
        <v>0</v>
      </c>
      <c r="M28" s="85">
        <f ca="1">IF('Invoer gegevens (N)'!$C$17=E28,'Invoer gegevens (N)'!$C$10-'Invoer gegevens (N)'!$C$11,IF(C28=1,P27,0))</f>
        <v>0</v>
      </c>
      <c r="N28" s="86">
        <f ca="1">IF(E28='Invoer gegevens (N)'!$C$17+15,P27,IF(C28&lt;1,0,IF('Reeksen (N)'!AK28&lt;='Reeksen (N)'!AE28,M28*'Reeksen (N)'!C28,0)))</f>
        <v>0</v>
      </c>
      <c r="O28" s="86">
        <f ca="1">IF(E28='Invoer gegevens (N)'!$C$17+15,P27,IF(C28&lt;1,0,IF('Reeksen (N)'!AK28&gt;'Reeksen (N)'!AE28,M28*'Reeksen (N)'!C28,0)))</f>
        <v>0</v>
      </c>
      <c r="P28" s="86">
        <f ca="1">IF(E28&gt;='Invoer gegevens (N)'!$C$17+15,0,M28-N28-O28)</f>
        <v>0</v>
      </c>
      <c r="Q28" s="82">
        <f ca="1">IF('Invoer gegevens (N)'!$C$17=E28,I28,IF(C28=0,0,R27))</f>
        <v>0</v>
      </c>
      <c r="R28" s="84">
        <f t="shared" ca="1" si="0"/>
        <v>0</v>
      </c>
      <c r="S28" s="84">
        <f ca="1">IF('Invoer gegevens (N)'!$C$17=E28,M28,IF(C28=0,0,T27))</f>
        <v>0</v>
      </c>
      <c r="T28" s="84">
        <f t="shared" ca="1" si="1"/>
        <v>0</v>
      </c>
      <c r="AH28" s="68"/>
      <c r="AI28" s="71">
        <f ca="1">IF(C28=1,((F28+H28)/2*'Reeksen (N)'!AJ28*12)+(('Invoer gegevens (N)'!$C$10-(F28+H28)/2)*'Reeksen (N)'!AK28*12),0)</f>
        <v>0</v>
      </c>
      <c r="AJ28" s="71">
        <f ca="1">-AI28*'Invoer gegevens (N)'!$F$28</f>
        <v>0</v>
      </c>
      <c r="AK28" s="71">
        <f t="shared" ca="1" si="2"/>
        <v>0</v>
      </c>
      <c r="AL28" s="71">
        <f ca="1">IF(C28=1,(12*((F28+H28)/2)*'Reeksen (N)'!AL28)+(12*('Invoer gegevens (N)'!$C$10-(F28+H28)/2)*'Reeksen (N)'!AM28),0)</f>
        <v>0</v>
      </c>
      <c r="AM28" s="71">
        <f ca="1">-AL28*'Invoer gegevens (N)'!$F$31</f>
        <v>0</v>
      </c>
      <c r="AN28" s="71">
        <f t="shared" ca="1" si="3"/>
        <v>0</v>
      </c>
      <c r="AO28" s="71"/>
      <c r="AP28" s="71"/>
      <c r="AQ28" s="71">
        <f ca="1">-IF(C28=1,('Invoer gegevens (N)'!$C$10*'Invoer gegevens (N)'!$I$33)*'Reeksen (N)'!J28,0)</f>
        <v>0</v>
      </c>
      <c r="AR28" s="71">
        <f ca="1">-IF(C28=1,(G28*'Invoer gegevens (N)'!$I$34)*'Reeksen (N)'!J28,0)</f>
        <v>0</v>
      </c>
      <c r="AS28" s="71">
        <f ca="1">-IF(C28=1,'Invoer gegevens (N)'!$C$10*'Invoer gegevens (N)'!$I$35*'Reeksen (N)'!L28,0)</f>
        <v>0</v>
      </c>
      <c r="AT28" s="71">
        <f ca="1">-IF(C28=1,IF(E28='Invoer gegevens (N)'!$C$17,'Invoer gegevens (N)'!$C$11,Q28)*'Reeksen (N)'!S28*'Invoer gegevens (N)'!$C$18*'Reeksen (N)'!P28,0)</f>
        <v>0</v>
      </c>
      <c r="AU28" s="71">
        <f ca="1">-IF(C28=1,'Invoer gegevens (N)'!$C$10*'Invoer gegevens (N)'!$I$36*'Reeksen (N)'!H28,0)</f>
        <v>0</v>
      </c>
      <c r="AV28" s="71">
        <v>0</v>
      </c>
      <c r="AW28" s="71">
        <f t="shared" ca="1" si="4"/>
        <v>0</v>
      </c>
      <c r="AX28" s="72">
        <f ca="1">IF(E28='Invoer gegevens (N)'!$C$17+14,'RW - BW - DE (N)'!$AY$236,0)</f>
        <v>0</v>
      </c>
      <c r="AY28" s="72">
        <f ca="1">IFERROR(IF(E28='Invoer gegevens (N)'!$C$17,-'Invoer gegevens (N)'!$C$10*'Invoer gegevens (N)'!$C$31*'Reeksen (N)'!H28,0),0)</f>
        <v>0</v>
      </c>
      <c r="AZ28" s="73">
        <f ca="1">IF('Invoer gegevens (N)'!$C$34=E28,'Invoer gegevens (N)'!$C$27*'Invoer gegevens (N)'!$C$10*'Invoer gegevens (N)'!$C$36*(IF('Invoer gegevens (N)'!$C$35="ja",1,'Reeksen (N)'!J28)),IF('Invoer gegevens (N)'!$C$34+1=E28,'Invoer gegevens (N)'!$C$27*'Invoer gegevens (N)'!$C$10*'Invoer gegevens (N)'!$C$37*(IF('Invoer gegevens (N)'!$C$35="ja",1,'Reeksen (N)'!J28)),0))+IF(AND(E28='Invoer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8" s="73">
        <f ca="1">AW28/(1+'Invoer gegevens (N)'!$F$13)^($D28-('Invoer gegevens (N)'!$C$17-'Invoer gegevens (N)'!$C$16))/(1+'Invoer gegevens (N)'!$C$39)^('Invoer gegevens (N)'!$C$17-'Invoer gegevens (N)'!$C$16)</f>
        <v>0</v>
      </c>
      <c r="BB28" s="73">
        <f ca="1">AX28/(1+'Invoer gegevens (N)'!$F$13)^(E28-('Invoer gegevens (N)'!$C$17-1))/(1+'Invoer gegevens (N)'!$C$39)^('Invoer gegevens (N)'!$C$17-'Invoer gegevens (N)'!$C$16)</f>
        <v>0</v>
      </c>
      <c r="BC28" s="73">
        <f ca="1">AY28/(1+'Invoer gegevens (N)'!$C$39)^('Invoer gegevens (N)'!$C$17-'Invoer gegevens (N)'!$C$16)</f>
        <v>0</v>
      </c>
      <c r="BD28" s="72">
        <f t="shared" ca="1" si="5"/>
        <v>0</v>
      </c>
      <c r="BE28" s="72">
        <f ca="1">IF(AND(E28='Invoer gegevens (N)'!$C$16,'Invoer gegevens (N)'!$C$34&lt;'Invoer gegevens (N)'!$C$16),AZ28,AZ28/(1+'Invoer gegevens (N)'!$C$39)^D28)</f>
        <v>0</v>
      </c>
      <c r="BF28" s="72">
        <f ca="1">IF(E28='Invoer gegevens (N)'!$C$34,-'Invoer gegevens (N)'!$F$40,0)</f>
        <v>0</v>
      </c>
      <c r="BG28" s="72">
        <f ca="1">IF(E28='Invoer gegevens (N)'!$C$17,-'Invoer gegevens (N)'!$C$19*$BD$31,0)</f>
        <v>0</v>
      </c>
      <c r="BH28" s="72">
        <f ca="1">AW28/(1+$BH$4)^($D28-('Invoer gegevens (N)'!$C$17-'Invoer gegevens (N)'!$C$16))/(1+'Invoer gegevens (N)'!$C$39)^('Invoer gegevens (N)'!$C$17-'Invoer gegevens (N)'!$C$16)+AX28/(1+$BH$4)^(E28-('Invoer gegevens (N)'!$C$17-1))/(1+'Invoer gegevens (N)'!$C$39)^('Invoer gegevens (N)'!$C$17-'Invoer gegevens (N)'!$C$16)+AY28/(1+'Invoer gegevens (N)'!$C$39)^('Invoer gegevens (N)'!$C$17-'Invoer gegevens (N)'!$C$16)+(-AZ28/(1+'Invoer gegevens (N)'!$C$39)^D28)+BF28+BG28</f>
        <v>0</v>
      </c>
      <c r="BI28" s="59"/>
    </row>
    <row r="29" spans="1:68" x14ac:dyDescent="0.25">
      <c r="A29" s="59"/>
      <c r="B29" s="70">
        <f t="shared" si="6"/>
        <v>25</v>
      </c>
      <c r="C29" s="67">
        <f ca="1">IF(AND(E29&gt;='Invoer gegevens (N)'!$C$17,E29&lt;'Invoer gegevens (N)'!$C$17+15),1,0)</f>
        <v>0</v>
      </c>
      <c r="D29" s="68">
        <f t="shared" si="7"/>
        <v>24.5</v>
      </c>
      <c r="E29" s="69">
        <f ca="1">IF('Invoer gegevens (N)'!$C$16="","",E28+1)</f>
        <v>2043</v>
      </c>
      <c r="F29" s="82">
        <f ca="1">IF('Invoer gegevens (N)'!$C$17=E29,'Invoer gegevens (N)'!$C$10,IF(C29=1,H28,0))</f>
        <v>0</v>
      </c>
      <c r="G29" s="83">
        <f ca="1">IF(E29='Invoer gegevens (N)'!$C$17+15,H28,IF(C29&gt;=1,F29*'Reeksen (N)'!C29,0))</f>
        <v>0</v>
      </c>
      <c r="H29" s="84">
        <f ca="1">IF(E29&gt;='Invoer gegevens (N)'!$C$17+15,0,F29-G29)</f>
        <v>0</v>
      </c>
      <c r="I29" s="85">
        <f ca="1">IF('Invoer gegevens (N)'!$C$17=E29,'Invoer gegevens (N)'!$C$11,IF(C29=1,L28,0))</f>
        <v>0</v>
      </c>
      <c r="J29" s="86">
        <f ca="1">IF(E29='Invoer gegevens (N)'!$C$17+15,L28,IF(C29&lt;1,0,IF('Reeksen (N)'!AK29&lt;='Reeksen (N)'!AE29,I29*'Reeksen (N)'!C29,0)))</f>
        <v>0</v>
      </c>
      <c r="K29" s="86">
        <f ca="1">IF(E29='Invoer gegevens (N)'!$C$17+15,L28,IF(C29&lt;1,0,IF('Reeksen (N)'!AK29&gt;'Reeksen (N)'!AE29,I29*'Reeksen (N)'!C29,0)))</f>
        <v>0</v>
      </c>
      <c r="L29" s="86">
        <f ca="1">IF(E29&gt;='Invoer gegevens (N)'!$C$17+15,0,I29-J29-K29)</f>
        <v>0</v>
      </c>
      <c r="M29" s="85">
        <f ca="1">IF('Invoer gegevens (N)'!$C$17=E29,'Invoer gegevens (N)'!$C$10-'Invoer gegevens (N)'!$C$11,IF(C29=1,P28,0))</f>
        <v>0</v>
      </c>
      <c r="N29" s="86">
        <f ca="1">IF(E29='Invoer gegevens (N)'!$C$17+15,P28,IF(C29&lt;1,0,IF('Reeksen (N)'!AK29&lt;='Reeksen (N)'!AE29,M29*'Reeksen (N)'!C29,0)))</f>
        <v>0</v>
      </c>
      <c r="O29" s="86">
        <f ca="1">IF(E29='Invoer gegevens (N)'!$C$17+15,P28,IF(C29&lt;1,0,IF('Reeksen (N)'!AK29&gt;'Reeksen (N)'!AE29,M29*'Reeksen (N)'!C29,0)))</f>
        <v>0</v>
      </c>
      <c r="P29" s="86">
        <f ca="1">IF(E29&gt;='Invoer gegevens (N)'!$C$17+15,0,M29-N29-O29)</f>
        <v>0</v>
      </c>
      <c r="Q29" s="82">
        <f ca="1">IF('Invoer gegevens (N)'!$C$17=E29,I29,IF(C29=0,0,R28))</f>
        <v>0</v>
      </c>
      <c r="R29" s="84">
        <f t="shared" ca="1" si="0"/>
        <v>0</v>
      </c>
      <c r="S29" s="84">
        <f ca="1">IF('Invoer gegevens (N)'!$C$17=E29,M29,IF(C29=0,0,T28))</f>
        <v>0</v>
      </c>
      <c r="T29" s="84">
        <f t="shared" ca="1" si="1"/>
        <v>0</v>
      </c>
      <c r="AH29" s="68"/>
      <c r="AI29" s="71">
        <f ca="1">IF(C29=1,((F29+H29)/2*'Reeksen (N)'!AJ29*12)+(('Invoer gegevens (N)'!$C$10-(F29+H29)/2)*'Reeksen (N)'!AK29*12),0)</f>
        <v>0</v>
      </c>
      <c r="AJ29" s="71">
        <f ca="1">-AI29*'Invoer gegevens (N)'!$F$28</f>
        <v>0</v>
      </c>
      <c r="AK29" s="71">
        <f t="shared" ca="1" si="2"/>
        <v>0</v>
      </c>
      <c r="AL29" s="71">
        <f ca="1">IF(C29=1,(12*((F29+H29)/2)*'Reeksen (N)'!AL29)+(12*('Invoer gegevens (N)'!$C$10-(F29+H29)/2)*'Reeksen (N)'!AM29),0)</f>
        <v>0</v>
      </c>
      <c r="AM29" s="71">
        <f ca="1">-AL29*'Invoer gegevens (N)'!$F$31</f>
        <v>0</v>
      </c>
      <c r="AN29" s="71">
        <f t="shared" ca="1" si="3"/>
        <v>0</v>
      </c>
      <c r="AO29" s="71"/>
      <c r="AP29" s="71"/>
      <c r="AQ29" s="71">
        <f ca="1">-IF(C29=1,('Invoer gegevens (N)'!$C$10*'Invoer gegevens (N)'!$I$33)*'Reeksen (N)'!J29,0)</f>
        <v>0</v>
      </c>
      <c r="AR29" s="71">
        <f ca="1">-IF(C29=1,(G29*'Invoer gegevens (N)'!$I$34)*'Reeksen (N)'!J29,0)</f>
        <v>0</v>
      </c>
      <c r="AS29" s="71">
        <f ca="1">-IF(C29=1,'Invoer gegevens (N)'!$C$10*'Invoer gegevens (N)'!$I$35*'Reeksen (N)'!L29,0)</f>
        <v>0</v>
      </c>
      <c r="AT29" s="71">
        <f ca="1">-IF(C29=1,IF(E29='Invoer gegevens (N)'!$C$17,'Invoer gegevens (N)'!$C$11,Q29)*'Reeksen (N)'!S29*'Invoer gegevens (N)'!$C$18*'Reeksen (N)'!P29,0)</f>
        <v>0</v>
      </c>
      <c r="AU29" s="71">
        <f ca="1">-IF(C29=1,'Invoer gegevens (N)'!$C$10*'Invoer gegevens (N)'!$I$36*'Reeksen (N)'!H29,0)</f>
        <v>0</v>
      </c>
      <c r="AV29" s="71">
        <v>0</v>
      </c>
      <c r="AW29" s="71">
        <f t="shared" ca="1" si="4"/>
        <v>0</v>
      </c>
      <c r="AX29" s="72">
        <f ca="1">IF(E29='Invoer gegevens (N)'!$C$17+14,'RW - BW - DE (N)'!$AY$236,0)</f>
        <v>0</v>
      </c>
      <c r="AY29" s="72">
        <f ca="1">IFERROR(IF(E29='Invoer gegevens (N)'!$C$17,-'Invoer gegevens (N)'!$C$10*'Invoer gegevens (N)'!$C$31*'Reeksen (N)'!H29,0),0)</f>
        <v>0</v>
      </c>
      <c r="AZ29" s="73">
        <f ca="1">IF('Invoer gegevens (N)'!$C$34=E29,'Invoer gegevens (N)'!$C$27*'Invoer gegevens (N)'!$C$10*'Invoer gegevens (N)'!$C$36*(IF('Invoer gegevens (N)'!$C$35="ja",1,'Reeksen (N)'!J29)),IF('Invoer gegevens (N)'!$C$34+1=E29,'Invoer gegevens (N)'!$C$27*'Invoer gegevens (N)'!$C$10*'Invoer gegevens (N)'!$C$37*(IF('Invoer gegevens (N)'!$C$35="ja",1,'Reeksen (N)'!J29)),0))+IF(AND(E29='Invoer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29" s="73">
        <f ca="1">AW29/(1+'Invoer gegevens (N)'!$F$13)^($D29-('Invoer gegevens (N)'!$C$17-'Invoer gegevens (N)'!$C$16))/(1+'Invoer gegevens (N)'!$C$39)^('Invoer gegevens (N)'!$C$17-'Invoer gegevens (N)'!$C$16)</f>
        <v>0</v>
      </c>
      <c r="BB29" s="73">
        <f ca="1">AX29/(1+'Invoer gegevens (N)'!$F$13)^(E29-('Invoer gegevens (N)'!$C$17-1))/(1+'Invoer gegevens (N)'!$C$39)^('Invoer gegevens (N)'!$C$17-'Invoer gegevens (N)'!$C$16)</f>
        <v>0</v>
      </c>
      <c r="BC29" s="73">
        <f ca="1">AY29/(1+'Invoer gegevens (N)'!$C$39)^('Invoer gegevens (N)'!$C$17-'Invoer gegevens (N)'!$C$16)</f>
        <v>0</v>
      </c>
      <c r="BD29" s="72">
        <f t="shared" ca="1" si="5"/>
        <v>0</v>
      </c>
      <c r="BE29" s="72">
        <f ca="1">IF(AND(E29='Invoer gegevens (N)'!$C$16,'Invoer gegevens (N)'!$C$34&lt;'Invoer gegevens (N)'!$C$16),AZ29,AZ29/(1+'Invoer gegevens (N)'!$C$39)^D29)</f>
        <v>0</v>
      </c>
      <c r="BF29" s="72">
        <f ca="1">IF(E29='Invoer gegevens (N)'!$C$34,-'Invoer gegevens (N)'!$F$40,0)</f>
        <v>0</v>
      </c>
      <c r="BG29" s="72">
        <f ca="1">IF(E29='Invoer gegevens (N)'!$C$17,-'Invoer gegevens (N)'!$C$19*$BD$31,0)</f>
        <v>0</v>
      </c>
      <c r="BH29" s="72">
        <f ca="1">AW29/(1+$BH$4)^($D29-('Invoer gegevens (N)'!$C$17-'Invoer gegevens (N)'!$C$16))/(1+'Invoer gegevens (N)'!$C$39)^('Invoer gegevens (N)'!$C$17-'Invoer gegevens (N)'!$C$16)+AX29/(1+$BH$4)^(E29-('Invoer gegevens (N)'!$C$17-1))/(1+'Invoer gegevens (N)'!$C$39)^('Invoer gegevens (N)'!$C$17-'Invoer gegevens (N)'!$C$16)+AY29/(1+'Invoer gegevens (N)'!$C$39)^('Invoer gegevens (N)'!$C$17-'Invoer gegevens (N)'!$C$16)+(-AZ29/(1+'Invoer gegevens (N)'!$C$39)^D29)+BF29+BG29</f>
        <v>0</v>
      </c>
      <c r="BI29" s="59"/>
    </row>
    <row r="30" spans="1:68" x14ac:dyDescent="0.25">
      <c r="A30" s="59"/>
      <c r="AC30" s="68"/>
      <c r="AD30" s="68"/>
      <c r="AE30" s="68"/>
      <c r="AF30" s="68"/>
      <c r="AG30" s="68"/>
      <c r="AV30" s="71"/>
      <c r="BJ30" s="59"/>
      <c r="BK30" s="59"/>
      <c r="BL30" s="59"/>
      <c r="BM30" s="59"/>
      <c r="BN30" s="59"/>
      <c r="BO30" s="59"/>
      <c r="BP30" s="59"/>
    </row>
    <row r="31" spans="1:68" x14ac:dyDescent="0.25">
      <c r="A31" s="59"/>
      <c r="B31" s="70"/>
      <c r="C31" s="70"/>
      <c r="D31" s="70"/>
      <c r="E31" s="70"/>
      <c r="F31" s="70"/>
      <c r="G31" s="68"/>
      <c r="H31" s="75"/>
      <c r="I31" s="75"/>
      <c r="J31" s="75"/>
      <c r="K31" s="75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8">
        <f t="shared" ref="AI31:BH31" ca="1" si="8">SUM(AI5:AI29)</f>
        <v>0</v>
      </c>
      <c r="AJ31" s="78">
        <f t="shared" ca="1" si="8"/>
        <v>0</v>
      </c>
      <c r="AK31" s="78">
        <f t="shared" ca="1" si="8"/>
        <v>0</v>
      </c>
      <c r="AL31" s="78">
        <f t="shared" ca="1" si="8"/>
        <v>0</v>
      </c>
      <c r="AM31" s="78">
        <f t="shared" ca="1" si="8"/>
        <v>0</v>
      </c>
      <c r="AN31" s="78">
        <f t="shared" ca="1" si="8"/>
        <v>0</v>
      </c>
      <c r="AO31" s="78">
        <f t="shared" si="8"/>
        <v>0</v>
      </c>
      <c r="AP31" s="78">
        <f t="shared" si="8"/>
        <v>0</v>
      </c>
      <c r="AQ31" s="78">
        <f t="shared" ca="1" si="8"/>
        <v>0</v>
      </c>
      <c r="AR31" s="78">
        <f t="shared" ca="1" si="8"/>
        <v>0</v>
      </c>
      <c r="AS31" s="78">
        <f t="shared" ca="1" si="8"/>
        <v>0</v>
      </c>
      <c r="AT31" s="78">
        <f t="shared" ca="1" si="8"/>
        <v>0</v>
      </c>
      <c r="AU31" s="78">
        <f t="shared" ca="1" si="8"/>
        <v>0</v>
      </c>
      <c r="AV31" s="78">
        <f t="shared" si="8"/>
        <v>0</v>
      </c>
      <c r="AW31" s="78">
        <f t="shared" ca="1" si="8"/>
        <v>0</v>
      </c>
      <c r="AX31" s="78">
        <f t="shared" ca="1" si="8"/>
        <v>0</v>
      </c>
      <c r="AY31" s="78">
        <f t="shared" ca="1" si="8"/>
        <v>0</v>
      </c>
      <c r="AZ31" s="78">
        <f t="shared" ca="1" si="8"/>
        <v>0</v>
      </c>
      <c r="BA31" s="78">
        <f t="shared" ca="1" si="8"/>
        <v>0</v>
      </c>
      <c r="BB31" s="78">
        <f t="shared" ca="1" si="8"/>
        <v>0</v>
      </c>
      <c r="BC31" s="78">
        <f t="shared" ca="1" si="8"/>
        <v>0</v>
      </c>
      <c r="BD31" s="78">
        <f t="shared" ca="1" si="8"/>
        <v>0</v>
      </c>
      <c r="BE31" s="78">
        <f t="shared" ca="1" si="8"/>
        <v>0</v>
      </c>
      <c r="BF31" s="78">
        <f t="shared" ca="1" si="8"/>
        <v>0</v>
      </c>
      <c r="BG31" s="78">
        <f t="shared" ca="1" si="8"/>
        <v>0</v>
      </c>
      <c r="BH31" s="78">
        <f t="shared" ca="1" si="8"/>
        <v>0</v>
      </c>
      <c r="BI31" s="59"/>
    </row>
    <row r="32" spans="1:68" x14ac:dyDescent="0.25">
      <c r="A32" s="59"/>
      <c r="B32" s="66"/>
      <c r="C32" s="66"/>
      <c r="D32" s="66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59"/>
    </row>
    <row r="33" spans="1:61" ht="15.75" x14ac:dyDescent="0.25">
      <c r="A33" s="89" t="s">
        <v>720</v>
      </c>
      <c r="B33" s="8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59"/>
    </row>
    <row r="34" spans="1:61" x14ac:dyDescent="0.25">
      <c r="A34" s="59"/>
      <c r="B34" s="70"/>
      <c r="C34" s="70"/>
      <c r="D34" s="70"/>
      <c r="E34" s="70"/>
      <c r="F34" s="397" t="s">
        <v>721</v>
      </c>
      <c r="G34" s="398"/>
      <c r="H34" s="398"/>
      <c r="I34" s="398"/>
      <c r="J34" s="398"/>
      <c r="K34" s="399"/>
      <c r="L34" s="400" t="s">
        <v>814</v>
      </c>
      <c r="M34" s="401"/>
      <c r="N34" s="401"/>
      <c r="O34" s="401"/>
      <c r="P34" s="401"/>
      <c r="Q34" s="402"/>
      <c r="R34" s="397" t="s">
        <v>666</v>
      </c>
      <c r="S34" s="398"/>
      <c r="T34" s="398"/>
      <c r="U34" s="398"/>
      <c r="V34" s="398"/>
      <c r="W34" s="399"/>
      <c r="X34" s="397" t="s">
        <v>667</v>
      </c>
      <c r="Y34" s="398"/>
      <c r="Z34" s="398"/>
      <c r="AA34" s="398"/>
      <c r="AB34" s="398"/>
      <c r="AC34" s="399"/>
      <c r="AD34" s="397" t="s">
        <v>700</v>
      </c>
      <c r="AE34" s="398"/>
      <c r="AF34" s="398"/>
      <c r="AG34" s="398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</row>
    <row r="35" spans="1:61" ht="15" customHeight="1" x14ac:dyDescent="0.25">
      <c r="A35" s="59"/>
      <c r="B35" s="91" t="s">
        <v>668</v>
      </c>
      <c r="C35" s="91" t="s">
        <v>669</v>
      </c>
      <c r="D35" s="91" t="s">
        <v>669</v>
      </c>
      <c r="E35" s="91" t="s">
        <v>670</v>
      </c>
      <c r="F35" s="404" t="s">
        <v>723</v>
      </c>
      <c r="G35" s="403" t="s">
        <v>724</v>
      </c>
      <c r="H35" s="403" t="s">
        <v>725</v>
      </c>
      <c r="I35" s="403" t="s">
        <v>726</v>
      </c>
      <c r="J35" s="403" t="s">
        <v>727</v>
      </c>
      <c r="K35" s="93" t="s">
        <v>671</v>
      </c>
      <c r="L35" s="405" t="s">
        <v>723</v>
      </c>
      <c r="M35" s="406" t="s">
        <v>724</v>
      </c>
      <c r="N35" s="406" t="s">
        <v>725</v>
      </c>
      <c r="O35" s="406" t="s">
        <v>726</v>
      </c>
      <c r="P35" s="406" t="s">
        <v>728</v>
      </c>
      <c r="Q35" s="407" t="s">
        <v>729</v>
      </c>
      <c r="R35" s="405" t="s">
        <v>730</v>
      </c>
      <c r="S35" s="403" t="s">
        <v>724</v>
      </c>
      <c r="T35" s="403" t="s">
        <v>731</v>
      </c>
      <c r="U35" s="403" t="s">
        <v>732</v>
      </c>
      <c r="V35" s="403" t="s">
        <v>733</v>
      </c>
      <c r="W35" s="407" t="s">
        <v>730</v>
      </c>
      <c r="X35" s="406" t="s">
        <v>734</v>
      </c>
      <c r="Y35" s="406" t="s">
        <v>724</v>
      </c>
      <c r="Z35" s="406" t="s">
        <v>731</v>
      </c>
      <c r="AA35" s="406" t="s">
        <v>732</v>
      </c>
      <c r="AB35" s="406" t="s">
        <v>733</v>
      </c>
      <c r="AC35" s="407" t="s">
        <v>734</v>
      </c>
      <c r="AD35" s="408" t="s">
        <v>703</v>
      </c>
      <c r="AE35" s="403" t="s">
        <v>735</v>
      </c>
      <c r="AF35" s="403" t="s">
        <v>736</v>
      </c>
      <c r="AG35" s="81" t="s">
        <v>667</v>
      </c>
      <c r="AH35" s="95"/>
      <c r="AI35" s="91" t="s">
        <v>16</v>
      </c>
      <c r="AJ35" s="91" t="s">
        <v>16</v>
      </c>
      <c r="AK35" s="91" t="s">
        <v>672</v>
      </c>
      <c r="AL35" s="27" t="s">
        <v>704</v>
      </c>
      <c r="AM35" s="27" t="s">
        <v>704</v>
      </c>
      <c r="AN35" s="27" t="s">
        <v>672</v>
      </c>
      <c r="AO35" s="91" t="s">
        <v>673</v>
      </c>
      <c r="AP35" s="91" t="s">
        <v>705</v>
      </c>
      <c r="AQ35" s="91" t="s">
        <v>674</v>
      </c>
      <c r="AR35" s="91" t="s">
        <v>706</v>
      </c>
      <c r="AS35" s="91" t="s">
        <v>675</v>
      </c>
      <c r="AT35" s="91" t="s">
        <v>676</v>
      </c>
      <c r="AU35" s="62" t="s">
        <v>588</v>
      </c>
      <c r="AV35" s="62" t="s">
        <v>707</v>
      </c>
      <c r="AW35" s="91" t="s">
        <v>677</v>
      </c>
      <c r="AX35" s="91" t="s">
        <v>673</v>
      </c>
      <c r="AY35" s="62" t="s">
        <v>708</v>
      </c>
      <c r="AZ35" s="91" t="s">
        <v>828</v>
      </c>
      <c r="BA35" s="91" t="s">
        <v>679</v>
      </c>
      <c r="BB35" s="91" t="s">
        <v>679</v>
      </c>
      <c r="BC35" s="91" t="s">
        <v>679</v>
      </c>
      <c r="BD35" s="91" t="s">
        <v>679</v>
      </c>
      <c r="BE35" s="91" t="s">
        <v>679</v>
      </c>
      <c r="BF35" s="91" t="s">
        <v>680</v>
      </c>
      <c r="BG35" s="91" t="s">
        <v>680</v>
      </c>
      <c r="BH35" s="91" t="s">
        <v>681</v>
      </c>
      <c r="BI35" s="59"/>
    </row>
    <row r="36" spans="1:61" x14ac:dyDescent="0.25">
      <c r="A36" s="59"/>
      <c r="B36" s="91"/>
      <c r="C36" s="91" t="s">
        <v>682</v>
      </c>
      <c r="D36" s="91" t="s">
        <v>682</v>
      </c>
      <c r="E36" s="91"/>
      <c r="F36" s="404"/>
      <c r="G36" s="403"/>
      <c r="H36" s="403"/>
      <c r="I36" s="403"/>
      <c r="J36" s="403"/>
      <c r="K36" s="93" t="s">
        <v>737</v>
      </c>
      <c r="L36" s="405"/>
      <c r="M36" s="406"/>
      <c r="N36" s="406"/>
      <c r="O36" s="406"/>
      <c r="P36" s="406"/>
      <c r="Q36" s="407"/>
      <c r="R36" s="405"/>
      <c r="S36" s="403"/>
      <c r="T36" s="403"/>
      <c r="U36" s="403"/>
      <c r="V36" s="403"/>
      <c r="W36" s="407"/>
      <c r="X36" s="406"/>
      <c r="Y36" s="406"/>
      <c r="Z36" s="406"/>
      <c r="AA36" s="406"/>
      <c r="AB36" s="406"/>
      <c r="AC36" s="407"/>
      <c r="AD36" s="408"/>
      <c r="AE36" s="403"/>
      <c r="AF36" s="403"/>
      <c r="AG36" s="81" t="s">
        <v>711</v>
      </c>
      <c r="AH36" s="95"/>
      <c r="AI36" s="91" t="s">
        <v>712</v>
      </c>
      <c r="AJ36" s="91" t="s">
        <v>683</v>
      </c>
      <c r="AK36" s="91" t="s">
        <v>684</v>
      </c>
      <c r="AL36" s="27" t="s">
        <v>713</v>
      </c>
      <c r="AM36" s="27" t="s">
        <v>683</v>
      </c>
      <c r="AN36" s="27" t="s">
        <v>714</v>
      </c>
      <c r="AO36" s="91" t="s">
        <v>715</v>
      </c>
      <c r="AP36" s="91" t="s">
        <v>685</v>
      </c>
      <c r="AQ36" s="91" t="s">
        <v>685</v>
      </c>
      <c r="AR36" s="91" t="s">
        <v>716</v>
      </c>
      <c r="AS36" s="91" t="s">
        <v>685</v>
      </c>
      <c r="AT36" s="91" t="s">
        <v>686</v>
      </c>
      <c r="AU36" s="62" t="s">
        <v>687</v>
      </c>
      <c r="AV36" s="62" t="s">
        <v>717</v>
      </c>
      <c r="AW36" s="91"/>
      <c r="AX36" s="91" t="s">
        <v>689</v>
      </c>
      <c r="AY36" s="62" t="s">
        <v>685</v>
      </c>
      <c r="AZ36" s="91"/>
      <c r="BA36" s="91" t="s">
        <v>691</v>
      </c>
      <c r="BB36" s="91" t="s">
        <v>689</v>
      </c>
      <c r="BC36" s="91" t="s">
        <v>718</v>
      </c>
      <c r="BD36" s="91" t="s">
        <v>692</v>
      </c>
      <c r="BE36" s="91" t="s">
        <v>719</v>
      </c>
      <c r="BF36" s="91" t="s">
        <v>693</v>
      </c>
      <c r="BG36" s="91" t="s">
        <v>694</v>
      </c>
      <c r="BH36" s="65">
        <v>4.332698656706447E-2</v>
      </c>
      <c r="BI36" s="59"/>
    </row>
    <row r="37" spans="1:61" x14ac:dyDescent="0.25">
      <c r="A37" s="59"/>
      <c r="B37" s="66">
        <v>1</v>
      </c>
      <c r="C37" s="67">
        <f ca="1">IF(AND(E37&gt;='Invoer gegevens (N)'!$C$17,E37&lt;'Invoer gegevens (N)'!$C$17+15),1,0)</f>
        <v>1</v>
      </c>
      <c r="D37" s="68">
        <v>0.5</v>
      </c>
      <c r="E37" s="69">
        <f ca="1">IF('Invoer gegevens (N)'!$C$16="","",'Invoer gegevens (N)'!$C$16)</f>
        <v>2019</v>
      </c>
      <c r="F37" s="84">
        <f ca="1">IF('Invoer gegevens (N)'!$C$17=E37,'Invoer gegevens (N)'!$C$10,IF(C37=1,K36,0))</f>
        <v>0</v>
      </c>
      <c r="G37" s="96">
        <f ca="1">IF(E37='Invoer gegevens (N)'!$C$17+15,K36,IF(C37&gt;=1,F37*VLOOKUP(E37,'Reeksen (N)'!$A$5:$B$76,2),0))</f>
        <v>0</v>
      </c>
      <c r="H37" s="84">
        <f ca="1">IF(E37='Invoer gegevens (N)'!$C$17+15,K36,(1-('Invoer gegevens (N)'!$F$20/12))*F37*MIN('Reeksen (N)'!B5,'Reeksen (N)'!D5))</f>
        <v>0</v>
      </c>
      <c r="I37" s="84">
        <f>IF('Reeksen (N)'!D5&lt;'Reeksen (N)'!B5,('Reeksen (N)'!B5-'Reeksen (N)'!D5)*F37,0)</f>
        <v>0</v>
      </c>
      <c r="J37" s="84">
        <f ca="1">IF(E37='Invoer gegevens (N)'!$C$17+16,0,('Invoer gegevens (N)'!$F$20/12)*F36*MIN('Reeksen (N)'!B4,'Reeksen (N)'!D4))</f>
        <v>0</v>
      </c>
      <c r="K37" s="97">
        <f ca="1">IF(E37&gt;='Invoer gegevens (N)'!$C$17+15,0,F37-G37)</f>
        <v>0</v>
      </c>
      <c r="L37" s="84">
        <f ca="1">IF('Invoer gegevens (N)'!$C$17=E37,0,IF(C37=1,Q36,0))</f>
        <v>0</v>
      </c>
      <c r="M37" s="96">
        <f ca="1">IF(E37='Invoer gegevens (N)'!$C$17+15,Q36,IF(C37&gt;=1,L37*VLOOKUP(E37,'Reeksen (N)'!$A$5:$B$76,2),0))</f>
        <v>0</v>
      </c>
      <c r="N37" s="84">
        <f ca="1">IF(C37='Invoer gegevens (N)'!$C$17+15,Q36,(1-('Invoer gegevens (N)'!$F$20/12))*L37*MIN('Reeksen (N)'!B5,'Reeksen (N)'!D5))</f>
        <v>0</v>
      </c>
      <c r="O37" s="84">
        <f>IF('Reeksen (N)'!D5&lt;'Reeksen (N)'!B5,('Reeksen (N)'!B5-'Reeksen (N)'!D5)*L37,0)</f>
        <v>0</v>
      </c>
      <c r="P37" s="84">
        <f ca="1">IF(E37='Invoer gegevens (N)'!$C$17+16,0,('Invoer gegevens (N)'!$F$20/12)*L36*MIN('Reeksen (N)'!B4,'Reeksen (N)'!D4))</f>
        <v>0</v>
      </c>
      <c r="Q37" s="84">
        <f ca="1">IF(E37&gt;='Invoer gegevens (N)'!$C$17+15,0,L37-M37+I37+O37)</f>
        <v>0</v>
      </c>
      <c r="R37" s="82">
        <f ca="1">IF('Invoer gegevens (N)'!$C$17=E37,'Invoer gegevens (N)'!$C$11,IF(C37=1,W36,0))</f>
        <v>0</v>
      </c>
      <c r="S37" s="86">
        <f ca="1">IF(E37='Invoer gegevens (N)'!$C$17+15,W36,IF(C37&gt;=1,R37*VLOOKUP(E37,'Reeksen (N)'!$A$5:$B$76,2),0))</f>
        <v>0</v>
      </c>
      <c r="T37" s="84">
        <f ca="1">IF(E37='Invoer gegevens (N)'!$C$17+15,W36,(1-('Invoer gegevens (N)'!$F$20/12))*R37*MIN('Reeksen (N)'!B5,'Reeksen (N)'!D5))</f>
        <v>0</v>
      </c>
      <c r="U37" s="84">
        <f>IF('Reeksen (N)'!D5&gt;='Reeksen (N)'!B5,0,IF('Reeksen (N)'!AK5&lt;='Reeksen (N)'!AE5,('Reeksen (N)'!B5-'Reeksen (N)'!D5)*R37,0))</f>
        <v>0</v>
      </c>
      <c r="V37" s="86">
        <f>IF('Reeksen (N)'!D5&gt;='Reeksen (N)'!B5,0,IF('Reeksen (N)'!AK5&gt;'Reeksen (N)'!AE5,('Reeksen (N)'!B5-'Reeksen (N)'!D5)*R37,0))</f>
        <v>0</v>
      </c>
      <c r="W37" s="97">
        <f ca="1">IF(E37&gt;='Invoer gegevens (N)'!$C$17+15,0,R37-S37)</f>
        <v>0</v>
      </c>
      <c r="X37" s="98">
        <f ca="1">IF('Invoer gegevens (N)'!$C$17=E37,'Invoer gegevens (N)'!$C$10-'Invoer gegevens (N)'!$C$11,IF(C37=1,AC36,0))</f>
        <v>0</v>
      </c>
      <c r="Y37" s="98">
        <f ca="1">IF(E37='Invoer gegevens (N)'!$C$17+15,AC36,IF(C37&gt;=1,X37*VLOOKUP(E37,'Reeksen (N)'!$A$5:$B$76,2),0))</f>
        <v>0</v>
      </c>
      <c r="Z37" s="98">
        <f ca="1">IF(E37='Invoer gegevens (N)'!$C$17+15,AC36,(1-('Invoer gegevens (N)'!$F$20/12))*X37*MIN('Reeksen (N)'!B5,'Reeksen (N)'!D5))</f>
        <v>0</v>
      </c>
      <c r="AA37" s="98">
        <f>IF('Reeksen (N)'!D5&gt;='Reeksen (N)'!B5,0,IF('Reeksen (N)'!AK5&lt;='Reeksen (N)'!AE5,('Reeksen (N)'!B5-'Reeksen (N)'!D5)*X37,0))</f>
        <v>0</v>
      </c>
      <c r="AB37" s="98">
        <f>IF('Reeksen (N)'!D5&gt;='Reeksen (N)'!B5,0,IF('Reeksen (N)'!AK5&gt;'Reeksen (N)'!AE5,('Reeksen (N)'!B5-'Reeksen (N)'!D5)*X37,0))</f>
        <v>0</v>
      </c>
      <c r="AC37" s="99">
        <f ca="1">IF(E37&gt;='Invoer gegevens (N)'!$C$17+15,0,X37-Y37)</f>
        <v>0</v>
      </c>
      <c r="AD37" s="98">
        <f ca="1">IF('Invoer gegevens (N)'!$C$17=E5,R37,IF(C5=0,0,AE36))</f>
        <v>0</v>
      </c>
      <c r="AE37" s="98">
        <f ca="1">IF(C5=0,0,AD37-S37-V37+AA37)</f>
        <v>0</v>
      </c>
      <c r="AF37" s="98">
        <f ca="1">IF('Invoer gegevens (N)'!$C$17=E5,X37,IF(C5=0,0,AG36))</f>
        <v>0</v>
      </c>
      <c r="AG37" s="98">
        <f ca="1">IF(C5=0,0,AF37-Y37-AA37+V37)</f>
        <v>0</v>
      </c>
      <c r="AH37" s="68"/>
      <c r="AI37" s="71">
        <f ca="1">IF(C37=1,'Reeksen (N)'!AJ5*((F37-G37+F37)/2)*12+'Reeksen (N)'!AK5*((L37-M37+L37)/2)*12,0)</f>
        <v>0</v>
      </c>
      <c r="AJ37" s="71">
        <f ca="1">-AI37*'Invoer gegevens (N)'!$F$26</f>
        <v>0</v>
      </c>
      <c r="AK37" s="71">
        <f t="shared" ref="AK37:AK61" ca="1" si="9">AI37+AJ37</f>
        <v>0</v>
      </c>
      <c r="AL37" s="71">
        <f ca="1">IF(C37=1,'Reeksen (N)'!AL5*((F37-G37+F37)/2)*12+'Reeksen (N)'!AM5*((L37-M37+L37)/2)*12,0)</f>
        <v>0</v>
      </c>
      <c r="AM37" s="71">
        <f ca="1">-AL37*'Invoer gegevens (N)'!$F$31</f>
        <v>0</v>
      </c>
      <c r="AN37" s="71">
        <f ca="1">AL37+AM37</f>
        <v>0</v>
      </c>
      <c r="AO37" s="71">
        <f ca="1">IF(E37&gt;='Invoer gegevens (N)'!$C$17+15,0,IF(C37=1,(H37+J37+N37+P37)*'Reeksen (N)'!AN5,0))</f>
        <v>0</v>
      </c>
      <c r="AP37" s="71">
        <f ca="1">-IF(C37=1,(H37+J37+N37+P37)*'Hulp - basis'!$O$550*'Reeksen (N)'!H5,0)</f>
        <v>0</v>
      </c>
      <c r="AQ37" s="71">
        <f ca="1">-IF(C37=1,(F37+K37+L37+Q37)/2*'Invoer gegevens (N)'!$I$33*'Reeksen (N)'!J5,0)</f>
        <v>0</v>
      </c>
      <c r="AR37" s="71">
        <f ca="1">-IF(C37=1,(I37*'Invoer gegevens (N)'!$I$34)*'Reeksen (N)'!J5,0)</f>
        <v>0</v>
      </c>
      <c r="AS37" s="71">
        <f ca="1">-IF(C37=1,(F37+K37+L37+Q37)/2*'Invoer gegevens (N)'!$I$35*'Reeksen (N)'!L5,0)</f>
        <v>0</v>
      </c>
      <c r="AT37" s="71">
        <f ca="1">-IF(C37=1,IF(E37='Invoer gegevens (N)'!$C$17,'Invoer gegevens (N)'!$C$11,AD37)*'Reeksen (N)'!S5*'Invoer gegevens (N)'!$C$18*'Reeksen (N)'!P5,0)</f>
        <v>0</v>
      </c>
      <c r="AU37" s="71">
        <f ca="1">-IF(C37=1,(F37+K37+L37+Q37)/2*'Invoer gegevens (N)'!$I$36*'Reeksen (N)'!H5,0)</f>
        <v>0</v>
      </c>
      <c r="AV37" s="71">
        <v>0</v>
      </c>
      <c r="AW37" s="71">
        <f ca="1">SUM(AK37,AN37:AV37)</f>
        <v>0</v>
      </c>
      <c r="AX37" s="72">
        <f ca="1">IF(E37='Invoer gegevens (N)'!$C$17+14,'RW - BW - UP (N)'!$AY$236,0)</f>
        <v>0</v>
      </c>
      <c r="AY37" s="72">
        <f ca="1">IFERROR(IF(E37='Invoer gegevens (N)'!$C$17,-'Invoer gegevens (N)'!$C$10*('Invoer gegevens (N)'!$C$30+'Invoer gegevens (N)'!$C$31)*'Reeksen (N)'!H5,0),0)</f>
        <v>0</v>
      </c>
      <c r="AZ37" s="73">
        <f ca="1">IF('Invoer gegevens (N)'!$C$34=E37,'Invoer gegevens (N)'!$C$27*'Invoer gegevens (N)'!$C$10*'Invoer gegevens (N)'!$C$36*(IF('Invoer gegevens (N)'!$C$35="ja",1,'Reeksen (N)'!J5)),IF('Invoer gegevens (N)'!$C$34+1=E37,'Invoer gegevens (N)'!$C$27*'Invoer gegevens (N)'!$C$10*'Invoer gegevens (N)'!$C$37*(IF('Invoer gegevens (N)'!$C$35="ja",1,'Reeksen (N)'!J5)),0))+IF(AND(E37='Invoer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37" s="73">
        <f ca="1">AW37/(1+'Invoer gegevens (N)'!$F$18)^($D37-('Invoer gegevens (N)'!$C$17-'Invoer gegevens (N)'!$C$16))/(1+'Invoer gegevens (N)'!$C$39)^('Invoer gegevens (N)'!$C$17-'Invoer gegevens (N)'!$C$16)</f>
        <v>0</v>
      </c>
      <c r="BB37" s="73">
        <f ca="1">AX37/(1+'Invoer gegevens (N)'!$F$18)^(E37-('Invoer gegevens (N)'!$C$17-1))/(1+'Invoer gegevens (N)'!$C$39)^('Invoer gegevens (N)'!$C$17-'Invoer gegevens (N)'!$C$16)</f>
        <v>0</v>
      </c>
      <c r="BC37" s="73">
        <f ca="1">AY37/(1+'Invoer gegevens (N)'!$C$39)^('Invoer gegevens (N)'!$C$17-'Invoer gegevens (N)'!$C$16)</f>
        <v>0</v>
      </c>
      <c r="BD37" s="72">
        <f ca="1">SUM(BA37:BC37)</f>
        <v>0</v>
      </c>
      <c r="BE37" s="72">
        <f ca="1">IF(AND(E37='Invoer gegevens (N)'!$C$16,'Invoer gegevens (N)'!$C$34&lt;'Invoer gegevens (N)'!$C$16),AZ37,AZ37/(1+'Invoer gegevens (N)'!$C$39)^D37)</f>
        <v>0</v>
      </c>
      <c r="BF37" s="72">
        <f ca="1">IF(E37='Invoer gegevens (N)'!$C$34,-'Invoer gegevens (N)'!$F$40,0)</f>
        <v>0</v>
      </c>
      <c r="BG37" s="72">
        <f ca="1">IF(E37='Invoer gegevens (N)'!$C$17,-'Invoer gegevens (N)'!$C$19*$BD$63,0)</f>
        <v>0</v>
      </c>
      <c r="BH37" s="72">
        <f ca="1">AW37/(1+$BH$36)^($D37-('Invoer gegevens (N)'!$C$17-'Invoer gegevens (N)'!$C$16))/(1+'Invoer gegevens (N)'!$C$39)^('Invoer gegevens (N)'!$C$17-'Invoer gegevens (N)'!$C$16)+AX37/(1+$BH$36)^(E37-('Invoer gegevens (N)'!$C$17-1))/(1+'Invoer gegevens (N)'!$C$39)^('Invoer gegevens (N)'!$C$17-'Invoer gegevens (N)'!$C$16)+AY37/(1+'Invoer gegevens (N)'!$C$39)^('Invoer gegevens (N)'!$C$17-'Invoer gegevens (N)'!$C$16)+(-AZ37/(1+'Invoer gegevens (N)'!$C$39)^D37)+BF37+BG37</f>
        <v>0</v>
      </c>
      <c r="BI37" s="59"/>
    </row>
    <row r="38" spans="1:61" x14ac:dyDescent="0.25">
      <c r="A38" s="59"/>
      <c r="B38" s="70">
        <f>B37+1</f>
        <v>2</v>
      </c>
      <c r="C38" s="67">
        <f ca="1">IF(AND(E38&gt;='Invoer gegevens (N)'!$C$17,E38&lt;'Invoer gegevens (N)'!$C$17+15),1,0)</f>
        <v>1</v>
      </c>
      <c r="D38" s="68">
        <f>D37+1</f>
        <v>1.5</v>
      </c>
      <c r="E38" s="69">
        <f ca="1">IF('Invoer gegevens (N)'!$C$16="","",E37+1)</f>
        <v>2020</v>
      </c>
      <c r="F38" s="84">
        <f ca="1">IF('Invoer gegevens (N)'!$C$17=E38,'Invoer gegevens (N)'!$C$10,IF(C38=1,K37,0))</f>
        <v>0</v>
      </c>
      <c r="G38" s="96">
        <f ca="1">IF(E38='Invoer gegevens (N)'!$C$17+15,K37,IF(C38&gt;=1,F38*VLOOKUP(E38,'Reeksen (N)'!$A$5:$B$76,2),0))</f>
        <v>0</v>
      </c>
      <c r="H38" s="84">
        <f ca="1">IF(E38='Invoer gegevens (N)'!$C$17+15,K37,(1-('Invoer gegevens (N)'!$F$20/12))*F38*MIN('Reeksen (N)'!B6,'Reeksen (N)'!D6))</f>
        <v>0</v>
      </c>
      <c r="I38" s="84">
        <f>IF('Reeksen (N)'!D6&lt;'Reeksen (N)'!B6,('Reeksen (N)'!B6-'Reeksen (N)'!D6)*F38,0)</f>
        <v>0</v>
      </c>
      <c r="J38" s="84">
        <f ca="1">IF(E38='Invoer gegevens (N)'!$C$17+16,0,('Invoer gegevens (N)'!$F$20/12)*F37*MIN('Reeksen (N)'!B5,'Reeksen (N)'!D5))</f>
        <v>0</v>
      </c>
      <c r="K38" s="97">
        <f ca="1">IF(E38&gt;='Invoer gegevens (N)'!$C$17+15,0,F38-G38)</f>
        <v>0</v>
      </c>
      <c r="L38" s="84">
        <f ca="1">IF('Invoer gegevens (N)'!$C$17=E38,0,IF(C38=1,Q37,0))</f>
        <v>0</v>
      </c>
      <c r="M38" s="96">
        <f ca="1">IF(E38='Invoer gegevens (N)'!$C$17+15,Q37,IF(C38&gt;=1,L38*VLOOKUP(E38,'Reeksen (N)'!$A$5:$B$76,2),0))</f>
        <v>0</v>
      </c>
      <c r="N38" s="84">
        <f ca="1">IF(C38='Invoer gegevens (N)'!$C$17+15,Q37,(1-('Invoer gegevens (N)'!$F$20/12))*L38*MIN('Reeksen (N)'!B6,'Reeksen (N)'!D6))</f>
        <v>0</v>
      </c>
      <c r="O38" s="84">
        <f>IF('Reeksen (N)'!D6&lt;'Reeksen (N)'!B6,('Reeksen (N)'!B6-'Reeksen (N)'!D6)*L38,0)</f>
        <v>0</v>
      </c>
      <c r="P38" s="84">
        <f ca="1">IF(E38='Invoer gegevens (N)'!$C$17+16,0,('Invoer gegevens (N)'!$F$20/12)*L37*MIN('Reeksen (N)'!B5,'Reeksen (N)'!D5))</f>
        <v>0</v>
      </c>
      <c r="Q38" s="84">
        <f ca="1">IF(E38&gt;='Invoer gegevens (N)'!$C$17+15,0,L38-M38+I38+O38)</f>
        <v>0</v>
      </c>
      <c r="R38" s="82">
        <f ca="1">IF('Invoer gegevens (N)'!$C$17=E38,'Invoer gegevens (N)'!$C$11,IF(C38=1,W37,0))</f>
        <v>0</v>
      </c>
      <c r="S38" s="86">
        <f ca="1">IF(E38='Invoer gegevens (N)'!$C$17+15,W37,IF(C38&gt;=1,R38*VLOOKUP(E38,'Reeksen (N)'!$A$5:$B$76,2),0))</f>
        <v>0</v>
      </c>
      <c r="T38" s="84">
        <f ca="1">IF(E38='Invoer gegevens (N)'!$C$17+15,W37,(1-('Invoer gegevens (N)'!$F$20/12))*R38*MIN('Reeksen (N)'!B6,'Reeksen (N)'!D6))</f>
        <v>0</v>
      </c>
      <c r="U38" s="84">
        <f>IF('Reeksen (N)'!D6&gt;='Reeksen (N)'!B6,0,IF('Reeksen (N)'!AK6&lt;='Reeksen (N)'!AE6,('Reeksen (N)'!B6-'Reeksen (N)'!D6)*R38,0))</f>
        <v>0</v>
      </c>
      <c r="V38" s="86">
        <f>IF('Reeksen (N)'!D6&gt;='Reeksen (N)'!B6,0,IF('Reeksen (N)'!AK6&gt;'Reeksen (N)'!AE6,('Reeksen (N)'!B6-'Reeksen (N)'!D6)*R38,0))</f>
        <v>0</v>
      </c>
      <c r="W38" s="97">
        <f ca="1">IF(E38&gt;='Invoer gegevens (N)'!$C$17+15,0,R38-S38)</f>
        <v>0</v>
      </c>
      <c r="X38" s="98">
        <f ca="1">IF('Invoer gegevens (N)'!$C$17=E38,'Invoer gegevens (N)'!$C$10-'Invoer gegevens (N)'!$C$11,IF(C38=1,AC37,0))</f>
        <v>0</v>
      </c>
      <c r="Y38" s="98">
        <f ca="1">IF(E38='Invoer gegevens (N)'!$C$17+15,AC37,IF(C38&gt;=1,X38*VLOOKUP(E38,'Reeksen (N)'!$A$5:$B$76,2),0))</f>
        <v>0</v>
      </c>
      <c r="Z38" s="98">
        <f ca="1">IF(E38='Invoer gegevens (N)'!$C$17+15,AC37,(1-('Invoer gegevens (N)'!$F$20/12))*X38*MIN('Reeksen (N)'!B6,'Reeksen (N)'!D6))</f>
        <v>0</v>
      </c>
      <c r="AA38" s="98">
        <f>IF('Reeksen (N)'!D6&gt;='Reeksen (N)'!B6,0,IF('Reeksen (N)'!AK6&lt;='Reeksen (N)'!AE6,('Reeksen (N)'!B6-'Reeksen (N)'!D6)*X38,0))</f>
        <v>0</v>
      </c>
      <c r="AB38" s="98">
        <f>IF('Reeksen (N)'!D6&gt;='Reeksen (N)'!B6,0,IF('Reeksen (N)'!AK6&gt;'Reeksen (N)'!AE6,('Reeksen (N)'!B6-'Reeksen (N)'!D6)*X38,0))</f>
        <v>0</v>
      </c>
      <c r="AC38" s="99">
        <f ca="1">IF(E38&gt;='Invoer gegevens (N)'!$C$17+15,0,X38-Y38)</f>
        <v>0</v>
      </c>
      <c r="AD38" s="98">
        <f ca="1">IF('Invoer gegevens (N)'!$C$17=E6,R38,IF(C6=0,0,AE37))</f>
        <v>0</v>
      </c>
      <c r="AE38" s="98">
        <f t="shared" ref="AE38:AE61" ca="1" si="10">IF(C6=0,0,AD38-S38-V38+AA38)</f>
        <v>0</v>
      </c>
      <c r="AF38" s="98">
        <f ca="1">IF('Invoer gegevens (N)'!$C$17=E6,X38,IF(C6=0,0,AG37))</f>
        <v>0</v>
      </c>
      <c r="AG38" s="98">
        <f t="shared" ref="AG38:AG61" ca="1" si="11">IF(C6=0,0,AF38-Y38-AA38+V38)</f>
        <v>0</v>
      </c>
      <c r="AH38" s="68"/>
      <c r="AI38" s="71">
        <f ca="1">IF(C38=1,'Reeksen (N)'!AJ6*((F38-G38+F38)/2)*12+'Reeksen (N)'!AK6*((L38-M38+L38)/2)*12,0)</f>
        <v>0</v>
      </c>
      <c r="AJ38" s="71">
        <f ca="1">-AI38*'Invoer gegevens (N)'!$F$27</f>
        <v>0</v>
      </c>
      <c r="AK38" s="71">
        <f t="shared" ca="1" si="9"/>
        <v>0</v>
      </c>
      <c r="AL38" s="71">
        <f ca="1">IF(C38=1,'Reeksen (N)'!AL6*((F38-G38+F38)/2)*12+'Reeksen (N)'!AM6*((L38-M38+L38)/2)*12,0)</f>
        <v>0</v>
      </c>
      <c r="AM38" s="71">
        <f ca="1">-AL38*'Invoer gegevens (N)'!$F$31</f>
        <v>0</v>
      </c>
      <c r="AN38" s="71">
        <f t="shared" ref="AN38:AN61" ca="1" si="12">AL38+AM38</f>
        <v>0</v>
      </c>
      <c r="AO38" s="71">
        <f ca="1">IF(E38&gt;='Invoer gegevens (N)'!$C$17+15,0,IF(C38=1,(H38+J38+N38+P38)*'Reeksen (N)'!AN6,0))</f>
        <v>0</v>
      </c>
      <c r="AP38" s="71">
        <f ca="1">-IF(C38=1,(H38+J38+N38+P38)*'Hulp - basis'!$O$550*'Reeksen (N)'!H6,0)</f>
        <v>0</v>
      </c>
      <c r="AQ38" s="71">
        <f ca="1">-IF(C38=1,(F38+K38+L38+Q38)/2*'Invoer gegevens (N)'!$I$33*'Reeksen (N)'!J6,0)</f>
        <v>0</v>
      </c>
      <c r="AR38" s="71">
        <f ca="1">-IF(C38=1,(I38*'Invoer gegevens (N)'!$I$34)*'Reeksen (N)'!J6,0)</f>
        <v>0</v>
      </c>
      <c r="AS38" s="71">
        <f ca="1">-IF(C38=1,(F38+K38+L38+Q38)/2*'Invoer gegevens (N)'!$I$35*'Reeksen (N)'!L6,0)</f>
        <v>0</v>
      </c>
      <c r="AT38" s="71">
        <f ca="1">-IF(C38=1,IF(E38='Invoer gegevens (N)'!$C$17,'Invoer gegevens (N)'!$C$11,AD38)*'Reeksen (N)'!S6*'Invoer gegevens (N)'!$C$18*'Reeksen (N)'!P6,0)</f>
        <v>0</v>
      </c>
      <c r="AU38" s="71">
        <f ca="1">-IF(C38=1,(F38+K38+L38+Q38)/2*'Invoer gegevens (N)'!$I$36*'Reeksen (N)'!H6,0)</f>
        <v>0</v>
      </c>
      <c r="AV38" s="71">
        <v>0</v>
      </c>
      <c r="AW38" s="71">
        <f t="shared" ref="AW38:AW61" ca="1" si="13">SUM(AK38,AN38:AV38)</f>
        <v>0</v>
      </c>
      <c r="AX38" s="72">
        <f ca="1">IF(E38='Invoer gegevens (N)'!$C$17+14,'RW - BW - UP (N)'!$AY$236,0)</f>
        <v>0</v>
      </c>
      <c r="AY38" s="72">
        <f ca="1">IFERROR(IF(E38='Invoer gegevens (N)'!$C$17,-'Invoer gegevens (N)'!$C$10*('Invoer gegevens (N)'!$C$30+'Invoer gegevens (N)'!$C$31)*'Reeksen (N)'!H6,0),0)</f>
        <v>0</v>
      </c>
      <c r="AZ38" s="73">
        <f ca="1">IF('Invoer gegevens (N)'!$C$34=E38,'Invoer gegevens (N)'!$C$27*'Invoer gegevens (N)'!$C$10*'Invoer gegevens (N)'!$C$36*(IF('Invoer gegevens (N)'!$C$35="ja",1,'Reeksen (N)'!J6)),IF('Invoer gegevens (N)'!$C$34+1=E38,'Invoer gegevens (N)'!$C$27*'Invoer gegevens (N)'!$C$10*'Invoer gegevens (N)'!$C$37*(IF('Invoer gegevens (N)'!$C$35="ja",1,'Reeksen (N)'!J6)),0))+IF(AND(E38='Invoer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38" s="73">
        <f ca="1">AW38/(1+'Invoer gegevens (N)'!$F$18)^($D38-('Invoer gegevens (N)'!$C$17-'Invoer gegevens (N)'!$C$16))/(1+'Invoer gegevens (N)'!$C$39)^('Invoer gegevens (N)'!$C$17-'Invoer gegevens (N)'!$C$16)</f>
        <v>0</v>
      </c>
      <c r="BB38" s="73">
        <f ca="1">AX38/(1+'Invoer gegevens (N)'!$F$18)^(E38-('Invoer gegevens (N)'!$C$17-1))/(1+'Invoer gegevens (N)'!$C$39)^('Invoer gegevens (N)'!$C$17-'Invoer gegevens (N)'!$C$16)</f>
        <v>0</v>
      </c>
      <c r="BC38" s="73">
        <f ca="1">AY38/(1+'Invoer gegevens (N)'!$C$39)^('Invoer gegevens (N)'!$C$17-'Invoer gegevens (N)'!$C$16)</f>
        <v>0</v>
      </c>
      <c r="BD38" s="72">
        <f t="shared" ref="BD38:BD61" ca="1" si="14">SUM(BA38:BC38)</f>
        <v>0</v>
      </c>
      <c r="BE38" s="72">
        <f ca="1">IF(AND(E38='Invoer gegevens (N)'!$C$16,'Invoer gegevens (N)'!$C$34&lt;'Invoer gegevens (N)'!$C$16),AZ38,AZ38/(1+'Invoer gegevens (N)'!$C$39)^D38)</f>
        <v>0</v>
      </c>
      <c r="BF38" s="72">
        <f ca="1">IF(E38='Invoer gegevens (N)'!$C$34,-'Invoer gegevens (N)'!$F$40,0)</f>
        <v>0</v>
      </c>
      <c r="BG38" s="72">
        <f ca="1">IF(E38='Invoer gegevens (N)'!$C$17,-'Invoer gegevens (N)'!$C$19*$BD$63,0)</f>
        <v>0</v>
      </c>
      <c r="BH38" s="72">
        <f ca="1">AW38/(1+$BH$36)^($D38-('Invoer gegevens (N)'!$C$17-'Invoer gegevens (N)'!$C$16))/(1+'Invoer gegevens (N)'!$C$39)^('Invoer gegevens (N)'!$C$17-'Invoer gegevens (N)'!$C$16)+AX38/(1+$BH$36)^(E38-('Invoer gegevens (N)'!$C$17-1))/(1+'Invoer gegevens (N)'!$C$39)^('Invoer gegevens (N)'!$C$17-'Invoer gegevens (N)'!$C$16)+AY38/(1+'Invoer gegevens (N)'!$C$39)^('Invoer gegevens (N)'!$C$17-'Invoer gegevens (N)'!$C$16)+(-AZ38/(1+'Invoer gegevens (N)'!$C$39)^D38)+BF38+BG38</f>
        <v>0</v>
      </c>
      <c r="BI38" s="59"/>
    </row>
    <row r="39" spans="1:61" x14ac:dyDescent="0.25">
      <c r="A39" s="59"/>
      <c r="B39" s="70">
        <f>B38+1</f>
        <v>3</v>
      </c>
      <c r="C39" s="67">
        <f ca="1">IF(AND(E39&gt;='Invoer gegevens (N)'!$C$17,E39&lt;'Invoer gegevens (N)'!$C$17+15),1,0)</f>
        <v>1</v>
      </c>
      <c r="D39" s="68">
        <f>D38+1</f>
        <v>2.5</v>
      </c>
      <c r="E39" s="69">
        <f ca="1">IF('Invoer gegevens (N)'!$C$16="","",E38+1)</f>
        <v>2021</v>
      </c>
      <c r="F39" s="84">
        <f ca="1">IF('Invoer gegevens (N)'!$C$17=E39,'Invoer gegevens (N)'!$C$10,IF(C39=1,K38,0))</f>
        <v>0</v>
      </c>
      <c r="G39" s="96">
        <f ca="1">IF(E39='Invoer gegevens (N)'!$C$17+15,K38,IF(C39&gt;=1,F39*VLOOKUP(E39,'Reeksen (N)'!$A$5:$B$76,2),0))</f>
        <v>0</v>
      </c>
      <c r="H39" s="84">
        <f ca="1">IF(E39='Invoer gegevens (N)'!$C$17+15,K38,(1-('Invoer gegevens (N)'!$F$20/12))*F39*MIN('Reeksen (N)'!B7,'Reeksen (N)'!D7))</f>
        <v>0</v>
      </c>
      <c r="I39" s="84">
        <f>IF('Reeksen (N)'!D7&lt;'Reeksen (N)'!B7,('Reeksen (N)'!B7-'Reeksen (N)'!D7)*F39,0)</f>
        <v>0</v>
      </c>
      <c r="J39" s="84">
        <f ca="1">IF(E39='Invoer gegevens (N)'!$C$17+16,0,('Invoer gegevens (N)'!$F$20/12)*F38*MIN('Reeksen (N)'!B6,'Reeksen (N)'!D6))</f>
        <v>0</v>
      </c>
      <c r="K39" s="97">
        <f ca="1">IF(E39&gt;='Invoer gegevens (N)'!$C$17+15,0,F39-G39)</f>
        <v>0</v>
      </c>
      <c r="L39" s="84">
        <f ca="1">IF('Invoer gegevens (N)'!$C$17=E39,0,IF(C39=1,Q38,0))</f>
        <v>0</v>
      </c>
      <c r="M39" s="96">
        <f ca="1">IF(E39='Invoer gegevens (N)'!$C$17+15,Q38,IF(C39&gt;=1,L39*VLOOKUP(E39,'Reeksen (N)'!$A$5:$B$76,2),0))</f>
        <v>0</v>
      </c>
      <c r="N39" s="84">
        <f ca="1">IF(C39='Invoer gegevens (N)'!$C$17+15,Q38,(1-('Invoer gegevens (N)'!$F$20/12))*L39*MIN('Reeksen (N)'!B7,'Reeksen (N)'!D7))</f>
        <v>0</v>
      </c>
      <c r="O39" s="84">
        <f>IF('Reeksen (N)'!D7&lt;'Reeksen (N)'!B7,('Reeksen (N)'!B7-'Reeksen (N)'!D7)*L39,0)</f>
        <v>0</v>
      </c>
      <c r="P39" s="84">
        <f ca="1">IF(E39='Invoer gegevens (N)'!$C$17+16,0,('Invoer gegevens (N)'!$F$20/12)*L38*MIN('Reeksen (N)'!B6,'Reeksen (N)'!D6))</f>
        <v>0</v>
      </c>
      <c r="Q39" s="84">
        <f ca="1">IF(E39&gt;='Invoer gegevens (N)'!$C$17+15,0,L39-M39+I39+O39)</f>
        <v>0</v>
      </c>
      <c r="R39" s="82">
        <f ca="1">IF('Invoer gegevens (N)'!$C$17=E39,'Invoer gegevens (N)'!$C$11,IF(C39=1,W38,0))</f>
        <v>0</v>
      </c>
      <c r="S39" s="86">
        <f ca="1">IF(E39='Invoer gegevens (N)'!$C$17+15,W38,IF(C39&gt;=1,R39*VLOOKUP(E39,'Reeksen (N)'!$A$5:$B$76,2),0))</f>
        <v>0</v>
      </c>
      <c r="T39" s="84">
        <f ca="1">IF(E39='Invoer gegevens (N)'!$C$17+15,W38,(1-('Invoer gegevens (N)'!$F$20/12))*R39*MIN('Reeksen (N)'!B7,'Reeksen (N)'!D7))</f>
        <v>0</v>
      </c>
      <c r="U39" s="84">
        <f>IF('Reeksen (N)'!D7&gt;='Reeksen (N)'!B7,0,IF('Reeksen (N)'!AK7&lt;='Reeksen (N)'!AE7,('Reeksen (N)'!B7-'Reeksen (N)'!D7)*R39,0))</f>
        <v>0</v>
      </c>
      <c r="V39" s="86">
        <f>IF('Reeksen (N)'!D7&gt;='Reeksen (N)'!B7,0,IF('Reeksen (N)'!AK7&gt;'Reeksen (N)'!AE7,('Reeksen (N)'!B7-'Reeksen (N)'!D7)*R39,0))</f>
        <v>0</v>
      </c>
      <c r="W39" s="97">
        <f ca="1">IF(E39&gt;='Invoer gegevens (N)'!$C$17+15,0,R39-S39)</f>
        <v>0</v>
      </c>
      <c r="X39" s="98">
        <f ca="1">IF('Invoer gegevens (N)'!$C$17=E39,'Invoer gegevens (N)'!$C$10-'Invoer gegevens (N)'!$C$11,IF(C39=1,AC38,0))</f>
        <v>0</v>
      </c>
      <c r="Y39" s="98">
        <f ca="1">IF(E39='Invoer gegevens (N)'!$C$17+15,AC38,IF(C39&gt;=1,X39*VLOOKUP(E39,'Reeksen (N)'!$A$5:$B$76,2),0))</f>
        <v>0</v>
      </c>
      <c r="Z39" s="98">
        <f ca="1">IF(E39='Invoer gegevens (N)'!$C$17+15,AC38,(1-('Invoer gegevens (N)'!$F$20/12))*X39*MIN('Reeksen (N)'!B7,'Reeksen (N)'!D7))</f>
        <v>0</v>
      </c>
      <c r="AA39" s="98">
        <f>IF('Reeksen (N)'!D7&gt;='Reeksen (N)'!B7,0,IF('Reeksen (N)'!AK7&lt;='Reeksen (N)'!AE7,('Reeksen (N)'!B7-'Reeksen (N)'!D7)*X39,0))</f>
        <v>0</v>
      </c>
      <c r="AB39" s="98">
        <f>IF('Reeksen (N)'!D7&gt;='Reeksen (N)'!B7,0,IF('Reeksen (N)'!AK7&gt;'Reeksen (N)'!AE7,('Reeksen (N)'!B7-'Reeksen (N)'!D7)*X39,0))</f>
        <v>0</v>
      </c>
      <c r="AC39" s="99">
        <f ca="1">IF(E39&gt;='Invoer gegevens (N)'!$C$17+15,0,X39-Y39)</f>
        <v>0</v>
      </c>
      <c r="AD39" s="98">
        <f ca="1">IF('Invoer gegevens (N)'!$C$17=E7,R39,IF(C7=0,0,AE38))</f>
        <v>0</v>
      </c>
      <c r="AE39" s="98">
        <f t="shared" ca="1" si="10"/>
        <v>0</v>
      </c>
      <c r="AF39" s="98">
        <f ca="1">IF('Invoer gegevens (N)'!$C$17=E7,X39,IF(C7=0,0,AG38))</f>
        <v>0</v>
      </c>
      <c r="AG39" s="98">
        <f t="shared" ca="1" si="11"/>
        <v>0</v>
      </c>
      <c r="AH39" s="68"/>
      <c r="AI39" s="71">
        <f ca="1">IF(C39=1,'Reeksen (N)'!AJ7*((F39-G39+F39)/2)*12+'Reeksen (N)'!AK7*((L39-M39+L39)/2)*12,0)</f>
        <v>0</v>
      </c>
      <c r="AJ39" s="71">
        <f ca="1">-AI39*'Invoer gegevens (N)'!$F$28</f>
        <v>0</v>
      </c>
      <c r="AK39" s="71">
        <f t="shared" ca="1" si="9"/>
        <v>0</v>
      </c>
      <c r="AL39" s="71">
        <f ca="1">IF(C39=1,'Reeksen (N)'!AL7*((F39-G39+F39)/2)*12+'Reeksen (N)'!AM7*((L39-M39+L39)/2)*12,0)</f>
        <v>0</v>
      </c>
      <c r="AM39" s="71">
        <f ca="1">-AL39*'Invoer gegevens (N)'!$F$31</f>
        <v>0</v>
      </c>
      <c r="AN39" s="71">
        <f t="shared" ca="1" si="12"/>
        <v>0</v>
      </c>
      <c r="AO39" s="71">
        <f ca="1">IF(E39&gt;='Invoer gegevens (N)'!$C$17+15,0,IF(C39=1,(H39+J39+N39+P39)*'Reeksen (N)'!AN7,0))</f>
        <v>0</v>
      </c>
      <c r="AP39" s="71">
        <f ca="1">-IF(C39=1,(H39+J39+N39+P39)*'Hulp - basis'!$O$550*'Reeksen (N)'!H7,0)</f>
        <v>0</v>
      </c>
      <c r="AQ39" s="71">
        <f ca="1">-IF(C39=1,(F39+K39+L39+Q39)/2*'Invoer gegevens (N)'!$I$33*'Reeksen (N)'!J7,0)</f>
        <v>0</v>
      </c>
      <c r="AR39" s="71">
        <f ca="1">-IF(C39=1,(I39*'Invoer gegevens (N)'!$I$34)*'Reeksen (N)'!J7,0)</f>
        <v>0</v>
      </c>
      <c r="AS39" s="71">
        <f ca="1">-IF(C39=1,(F39+K39+L39+Q39)/2*'Invoer gegevens (N)'!$I$35*'Reeksen (N)'!L7,0)</f>
        <v>0</v>
      </c>
      <c r="AT39" s="71">
        <f ca="1">-IF(C39=1,IF(E39='Invoer gegevens (N)'!$C$17,'Invoer gegevens (N)'!$C$11,AD39)*'Reeksen (N)'!S7*'Invoer gegevens (N)'!$C$18*'Reeksen (N)'!P7,0)</f>
        <v>0</v>
      </c>
      <c r="AU39" s="71">
        <f ca="1">-IF(C39=1,(F39+K39+L39+Q39)/2*'Invoer gegevens (N)'!$I$36*'Reeksen (N)'!H7,0)</f>
        <v>0</v>
      </c>
      <c r="AV39" s="71">
        <v>0</v>
      </c>
      <c r="AW39" s="71">
        <f t="shared" ca="1" si="13"/>
        <v>0</v>
      </c>
      <c r="AX39" s="72">
        <f ca="1">IF(E39='Invoer gegevens (N)'!$C$17+14,'RW - BW - UP (N)'!$AY$236,0)</f>
        <v>0</v>
      </c>
      <c r="AY39" s="72">
        <f ca="1">IFERROR(IF(E39='Invoer gegevens (N)'!$C$17,-'Invoer gegevens (N)'!$C$10*('Invoer gegevens (N)'!$C$30+'Invoer gegevens (N)'!$C$31)*'Reeksen (N)'!H7,0),0)</f>
        <v>0</v>
      </c>
      <c r="AZ39" s="73">
        <f ca="1">IF('Invoer gegevens (N)'!$C$34=E39,'Invoer gegevens (N)'!$C$27*'Invoer gegevens (N)'!$C$10*'Invoer gegevens (N)'!$C$36*(IF('Invoer gegevens (N)'!$C$35="ja",1,'Reeksen (N)'!J7)),IF('Invoer gegevens (N)'!$C$34+1=E39,'Invoer gegevens (N)'!$C$27*'Invoer gegevens (N)'!$C$10*'Invoer gegevens (N)'!$C$37*(IF('Invoer gegevens (N)'!$C$35="ja",1,'Reeksen (N)'!J7)),0))+IF(AND(E39='Invoer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39" s="73">
        <f ca="1">AW39/(1+'Invoer gegevens (N)'!$F$18)^($D39-('Invoer gegevens (N)'!$C$17-'Invoer gegevens (N)'!$C$16))/(1+'Invoer gegevens (N)'!$C$39)^('Invoer gegevens (N)'!$C$17-'Invoer gegevens (N)'!$C$16)</f>
        <v>0</v>
      </c>
      <c r="BB39" s="73">
        <f ca="1">AX39/(1+'Invoer gegevens (N)'!$F$18)^(E39-('Invoer gegevens (N)'!$C$17-1))/(1+'Invoer gegevens (N)'!$C$39)^('Invoer gegevens (N)'!$C$17-'Invoer gegevens (N)'!$C$16)</f>
        <v>0</v>
      </c>
      <c r="BC39" s="73">
        <f ca="1">AY39/(1+'Invoer gegevens (N)'!$C$39)^('Invoer gegevens (N)'!$C$17-'Invoer gegevens (N)'!$C$16)</f>
        <v>0</v>
      </c>
      <c r="BD39" s="72">
        <f t="shared" ca="1" si="14"/>
        <v>0</v>
      </c>
      <c r="BE39" s="72">
        <f ca="1">IF(AND(E39='Invoer gegevens (N)'!$C$16,'Invoer gegevens (N)'!$C$34&lt;'Invoer gegevens (N)'!$C$16),AZ39,AZ39/(1+'Invoer gegevens (N)'!$C$39)^D39)</f>
        <v>0</v>
      </c>
      <c r="BF39" s="72">
        <f ca="1">IF(E39='Invoer gegevens (N)'!$C$34,-'Invoer gegevens (N)'!$F$40,0)</f>
        <v>0</v>
      </c>
      <c r="BG39" s="72">
        <f ca="1">IF(E39='Invoer gegevens (N)'!$C$17,-'Invoer gegevens (N)'!$C$19*$BD$63,0)</f>
        <v>0</v>
      </c>
      <c r="BH39" s="72">
        <f ca="1">AW39/(1+$BH$36)^($D39-('Invoer gegevens (N)'!$C$17-'Invoer gegevens (N)'!$C$16))/(1+'Invoer gegevens (N)'!$C$39)^('Invoer gegevens (N)'!$C$17-'Invoer gegevens (N)'!$C$16)+AX39/(1+$BH$36)^(E39-('Invoer gegevens (N)'!$C$17-1))/(1+'Invoer gegevens (N)'!$C$39)^('Invoer gegevens (N)'!$C$17-'Invoer gegevens (N)'!$C$16)+AY39/(1+'Invoer gegevens (N)'!$C$39)^('Invoer gegevens (N)'!$C$17-'Invoer gegevens (N)'!$C$16)+(-AZ39/(1+'Invoer gegevens (N)'!$C$39)^D39)+BF39+BG39</f>
        <v>0</v>
      </c>
      <c r="BI39" s="59"/>
    </row>
    <row r="40" spans="1:61" x14ac:dyDescent="0.25">
      <c r="A40" s="59"/>
      <c r="B40" s="70">
        <f t="shared" ref="B40:B61" si="15">B39+1</f>
        <v>4</v>
      </c>
      <c r="C40" s="67">
        <f ca="1">IF(AND(E40&gt;='Invoer gegevens (N)'!$C$17,E40&lt;'Invoer gegevens (N)'!$C$17+15),1,0)</f>
        <v>1</v>
      </c>
      <c r="D40" s="68">
        <f t="shared" ref="D40:D61" si="16">D39+1</f>
        <v>3.5</v>
      </c>
      <c r="E40" s="69">
        <f ca="1">IF('Invoer gegevens (N)'!$C$16="","",E39+1)</f>
        <v>2022</v>
      </c>
      <c r="F40" s="84">
        <f ca="1">IF('Invoer gegevens (N)'!$C$17=E40,'Invoer gegevens (N)'!$C$10,IF(C40=1,K39,0))</f>
        <v>0</v>
      </c>
      <c r="G40" s="96">
        <f ca="1">IF(E40='Invoer gegevens (N)'!$C$17+15,K39,IF(C40&gt;=1,F40*VLOOKUP(E40,'Reeksen (N)'!$A$5:$B$76,2),0))</f>
        <v>0</v>
      </c>
      <c r="H40" s="84">
        <f ca="1">IF(E40='Invoer gegevens (N)'!$C$17+15,K39,(1-('Invoer gegevens (N)'!$F$20/12))*F40*MIN('Reeksen (N)'!B8,'Reeksen (N)'!D8))</f>
        <v>0</v>
      </c>
      <c r="I40" s="84">
        <f>IF('Reeksen (N)'!D8&lt;'Reeksen (N)'!B8,('Reeksen (N)'!B8-'Reeksen (N)'!D8)*F40,0)</f>
        <v>0</v>
      </c>
      <c r="J40" s="84">
        <f ca="1">IF(E40='Invoer gegevens (N)'!$C$17+16,0,('Invoer gegevens (N)'!$F$20/12)*F39*MIN('Reeksen (N)'!B7,'Reeksen (N)'!D7))</f>
        <v>0</v>
      </c>
      <c r="K40" s="97">
        <f ca="1">IF(E40&gt;='Invoer gegevens (N)'!$C$17+15,0,F40-G40)</f>
        <v>0</v>
      </c>
      <c r="L40" s="84">
        <f ca="1">IF('Invoer gegevens (N)'!$C$17=E40,0,IF(C40=1,Q39,0))</f>
        <v>0</v>
      </c>
      <c r="M40" s="96">
        <f ca="1">IF(E40='Invoer gegevens (N)'!$C$17+15,Q39,IF(C40&gt;=1,L40*VLOOKUP(E40,'Reeksen (N)'!$A$5:$B$76,2),0))</f>
        <v>0</v>
      </c>
      <c r="N40" s="84">
        <f ca="1">IF(C40='Invoer gegevens (N)'!$C$17+15,Q39,(1-('Invoer gegevens (N)'!$F$20/12))*L40*MIN('Reeksen (N)'!B8,'Reeksen (N)'!D8))</f>
        <v>0</v>
      </c>
      <c r="O40" s="84">
        <f>IF('Reeksen (N)'!D8&lt;'Reeksen (N)'!B8,('Reeksen (N)'!B8-'Reeksen (N)'!D8)*L40,0)</f>
        <v>0</v>
      </c>
      <c r="P40" s="84">
        <f ca="1">IF(E40='Invoer gegevens (N)'!$C$17+16,0,('Invoer gegevens (N)'!$F$20/12)*L39*MIN('Reeksen (N)'!B7,'Reeksen (N)'!D7))</f>
        <v>0</v>
      </c>
      <c r="Q40" s="84">
        <f ca="1">IF(E40&gt;='Invoer gegevens (N)'!$C$17+15,0,L40-M40+I40+O40)</f>
        <v>0</v>
      </c>
      <c r="R40" s="82">
        <f ca="1">IF('Invoer gegevens (N)'!$C$17=E40,'Invoer gegevens (N)'!$C$11,IF(C40=1,W39,0))</f>
        <v>0</v>
      </c>
      <c r="S40" s="86">
        <f ca="1">IF(E40='Invoer gegevens (N)'!$C$17+15,W39,IF(C40&gt;=1,R40*VLOOKUP(E40,'Reeksen (N)'!$A$5:$B$76,2),0))</f>
        <v>0</v>
      </c>
      <c r="T40" s="84">
        <f ca="1">IF(E40='Invoer gegevens (N)'!$C$17+15,W39,(1-('Invoer gegevens (N)'!$F$20/12))*R40*MIN('Reeksen (N)'!B8,'Reeksen (N)'!D8))</f>
        <v>0</v>
      </c>
      <c r="U40" s="84">
        <f>IF('Reeksen (N)'!D8&gt;='Reeksen (N)'!B8,0,IF('Reeksen (N)'!AK8&lt;='Reeksen (N)'!AE8,('Reeksen (N)'!B8-'Reeksen (N)'!D8)*R40,0))</f>
        <v>0</v>
      </c>
      <c r="V40" s="86">
        <f>IF('Reeksen (N)'!D8&gt;='Reeksen (N)'!B8,0,IF('Reeksen (N)'!AK8&gt;'Reeksen (N)'!AE8,('Reeksen (N)'!B8-'Reeksen (N)'!D8)*R40,0))</f>
        <v>0</v>
      </c>
      <c r="W40" s="97">
        <f ca="1">IF(E40&gt;='Invoer gegevens (N)'!$C$17+15,0,R40-S40)</f>
        <v>0</v>
      </c>
      <c r="X40" s="98">
        <f ca="1">IF('Invoer gegevens (N)'!$C$17=E40,'Invoer gegevens (N)'!$C$10-'Invoer gegevens (N)'!$C$11,IF(C40=1,AC39,0))</f>
        <v>0</v>
      </c>
      <c r="Y40" s="98">
        <f ca="1">IF(E40='Invoer gegevens (N)'!$C$17+15,AC39,IF(C40&gt;=1,X40*VLOOKUP(E40,'Reeksen (N)'!$A$5:$B$76,2),0))</f>
        <v>0</v>
      </c>
      <c r="Z40" s="98">
        <f ca="1">IF(E40='Invoer gegevens (N)'!$C$17+15,AC39,(1-('Invoer gegevens (N)'!$F$20/12))*X40*MIN('Reeksen (N)'!B8,'Reeksen (N)'!D8))</f>
        <v>0</v>
      </c>
      <c r="AA40" s="98">
        <f>IF('Reeksen (N)'!D8&gt;='Reeksen (N)'!B8,0,IF('Reeksen (N)'!AK8&lt;='Reeksen (N)'!AE8,('Reeksen (N)'!B8-'Reeksen (N)'!D8)*X40,0))</f>
        <v>0</v>
      </c>
      <c r="AB40" s="98">
        <f>IF('Reeksen (N)'!D8&gt;='Reeksen (N)'!B8,0,IF('Reeksen (N)'!AK8&gt;'Reeksen (N)'!AE8,('Reeksen (N)'!B8-'Reeksen (N)'!D8)*X40,0))</f>
        <v>0</v>
      </c>
      <c r="AC40" s="99">
        <f ca="1">IF(E40&gt;='Invoer gegevens (N)'!$C$17+15,0,X40-Y40)</f>
        <v>0</v>
      </c>
      <c r="AD40" s="98">
        <f ca="1">IF('Invoer gegevens (N)'!$C$17=E8,R40,IF(C8=0,0,AE39))</f>
        <v>0</v>
      </c>
      <c r="AE40" s="98">
        <f t="shared" ca="1" si="10"/>
        <v>0</v>
      </c>
      <c r="AF40" s="98">
        <f ca="1">IF('Invoer gegevens (N)'!$C$17=E8,X40,IF(C8=0,0,AG39))</f>
        <v>0</v>
      </c>
      <c r="AG40" s="98">
        <f t="shared" ca="1" si="11"/>
        <v>0</v>
      </c>
      <c r="AH40" s="68"/>
      <c r="AI40" s="71">
        <f ca="1">IF(C40=1,'Reeksen (N)'!AJ8*((F40-G40+F40)/2)*12+'Reeksen (N)'!AK8*((L40-M40+L40)/2)*12,0)</f>
        <v>0</v>
      </c>
      <c r="AJ40" s="71">
        <f ca="1">-AI40*'Invoer gegevens (N)'!$F$28</f>
        <v>0</v>
      </c>
      <c r="AK40" s="71">
        <f t="shared" ca="1" si="9"/>
        <v>0</v>
      </c>
      <c r="AL40" s="71">
        <f ca="1">IF(C40=1,'Reeksen (N)'!AL8*((F40-G40+F40)/2)*12+'Reeksen (N)'!AM8*((L40-M40+L40)/2)*12,0)</f>
        <v>0</v>
      </c>
      <c r="AM40" s="71">
        <f ca="1">-AL40*'Invoer gegevens (N)'!$F$31</f>
        <v>0</v>
      </c>
      <c r="AN40" s="71">
        <f t="shared" ca="1" si="12"/>
        <v>0</v>
      </c>
      <c r="AO40" s="71">
        <f ca="1">IF(E40&gt;='Invoer gegevens (N)'!$C$17+15,0,IF(C40=1,(H40+J40+N40+P40)*'Reeksen (N)'!AN8,0))</f>
        <v>0</v>
      </c>
      <c r="AP40" s="71">
        <f ca="1">-IF(C40=1,(H40+J40+N40+P40)*'Hulp - basis'!$O$550*'Reeksen (N)'!H8,0)</f>
        <v>0</v>
      </c>
      <c r="AQ40" s="71">
        <f ca="1">-IF(C40=1,(F40+K40+L40+Q40)/2*'Invoer gegevens (N)'!$I$33*'Reeksen (N)'!J8,0)</f>
        <v>0</v>
      </c>
      <c r="AR40" s="71">
        <f ca="1">-IF(C40=1,(I40*'Invoer gegevens (N)'!$I$34)*'Reeksen (N)'!J8,0)</f>
        <v>0</v>
      </c>
      <c r="AS40" s="71">
        <f ca="1">-IF(C40=1,(F40+K40+L40+Q40)/2*'Invoer gegevens (N)'!$I$35*'Reeksen (N)'!L8,0)</f>
        <v>0</v>
      </c>
      <c r="AT40" s="71">
        <f ca="1">-IF(C40=1,IF(E40='Invoer gegevens (N)'!$C$17,'Invoer gegevens (N)'!$C$11,AD40)*'Reeksen (N)'!S8*'Invoer gegevens (N)'!$C$18*'Reeksen (N)'!P8,0)</f>
        <v>0</v>
      </c>
      <c r="AU40" s="71">
        <f ca="1">-IF(C40=1,(F40+K40+L40+Q40)/2*'Invoer gegevens (N)'!$I$36*'Reeksen (N)'!H8,0)</f>
        <v>0</v>
      </c>
      <c r="AV40" s="71">
        <v>0</v>
      </c>
      <c r="AW40" s="71">
        <f t="shared" ca="1" si="13"/>
        <v>0</v>
      </c>
      <c r="AX40" s="72">
        <f ca="1">IF(E40='Invoer gegevens (N)'!$C$17+14,'RW - BW - UP (N)'!$AY$236,0)</f>
        <v>0</v>
      </c>
      <c r="AY40" s="72">
        <f ca="1">IFERROR(IF(E40='Invoer gegevens (N)'!$C$17,-'Invoer gegevens (N)'!$C$10*('Invoer gegevens (N)'!$C$30+'Invoer gegevens (N)'!$C$31)*'Reeksen (N)'!H8,0),0)</f>
        <v>0</v>
      </c>
      <c r="AZ40" s="73">
        <f ca="1">IF('Invoer gegevens (N)'!$C$34=E40,'Invoer gegevens (N)'!$C$27*'Invoer gegevens (N)'!$C$10*'Invoer gegevens (N)'!$C$36*(IF('Invoer gegevens (N)'!$C$35="ja",1,'Reeksen (N)'!J8)),IF('Invoer gegevens (N)'!$C$34+1=E40,'Invoer gegevens (N)'!$C$27*'Invoer gegevens (N)'!$C$10*'Invoer gegevens (N)'!$C$37*(IF('Invoer gegevens (N)'!$C$35="ja",1,'Reeksen (N)'!J8)),0))+IF(AND(E40='Invoer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0" s="73">
        <f ca="1">AW40/(1+'Invoer gegevens (N)'!$F$18)^($D40-('Invoer gegevens (N)'!$C$17-'Invoer gegevens (N)'!$C$16))/(1+'Invoer gegevens (N)'!$C$39)^('Invoer gegevens (N)'!$C$17-'Invoer gegevens (N)'!$C$16)</f>
        <v>0</v>
      </c>
      <c r="BB40" s="73">
        <f ca="1">AX40/(1+'Invoer gegevens (N)'!$F$18)^(E40-('Invoer gegevens (N)'!$C$17-1))/(1+'Invoer gegevens (N)'!$C$39)^('Invoer gegevens (N)'!$C$17-'Invoer gegevens (N)'!$C$16)</f>
        <v>0</v>
      </c>
      <c r="BC40" s="73">
        <f ca="1">AY40/(1+'Invoer gegevens (N)'!$C$39)^('Invoer gegevens (N)'!$C$17-'Invoer gegevens (N)'!$C$16)</f>
        <v>0</v>
      </c>
      <c r="BD40" s="72">
        <f t="shared" ca="1" si="14"/>
        <v>0</v>
      </c>
      <c r="BE40" s="72">
        <f ca="1">IF(AND(E40='Invoer gegevens (N)'!$C$16,'Invoer gegevens (N)'!$C$34&lt;'Invoer gegevens (N)'!$C$16),AZ40,AZ40/(1+'Invoer gegevens (N)'!$C$39)^D40)</f>
        <v>0</v>
      </c>
      <c r="BF40" s="72">
        <f ca="1">IF(E40='Invoer gegevens (N)'!$C$34,-'Invoer gegevens (N)'!$F$40,0)</f>
        <v>0</v>
      </c>
      <c r="BG40" s="72">
        <f ca="1">IF(E40='Invoer gegevens (N)'!$C$17,-'Invoer gegevens (N)'!$C$19*$BD$63,0)</f>
        <v>0</v>
      </c>
      <c r="BH40" s="72">
        <f ca="1">AW40/(1+$BH$36)^($D40-('Invoer gegevens (N)'!$C$17-'Invoer gegevens (N)'!$C$16))/(1+'Invoer gegevens (N)'!$C$39)^('Invoer gegevens (N)'!$C$17-'Invoer gegevens (N)'!$C$16)+AX40/(1+$BH$36)^(E40-('Invoer gegevens (N)'!$C$17-1))/(1+'Invoer gegevens (N)'!$C$39)^('Invoer gegevens (N)'!$C$17-'Invoer gegevens (N)'!$C$16)+AY40/(1+'Invoer gegevens (N)'!$C$39)^('Invoer gegevens (N)'!$C$17-'Invoer gegevens (N)'!$C$16)+(-AZ40/(1+'Invoer gegevens (N)'!$C$39)^D40)+BF40+BG40</f>
        <v>0</v>
      </c>
      <c r="BI40" s="59"/>
    </row>
    <row r="41" spans="1:61" x14ac:dyDescent="0.25">
      <c r="A41" s="59"/>
      <c r="B41" s="70">
        <f t="shared" si="15"/>
        <v>5</v>
      </c>
      <c r="C41" s="67">
        <f ca="1">IF(AND(E41&gt;='Invoer gegevens (N)'!$C$17,E41&lt;'Invoer gegevens (N)'!$C$17+15),1,0)</f>
        <v>1</v>
      </c>
      <c r="D41" s="68">
        <f t="shared" si="16"/>
        <v>4.5</v>
      </c>
      <c r="E41" s="69">
        <f ca="1">IF('Invoer gegevens (N)'!$C$16="","",E40+1)</f>
        <v>2023</v>
      </c>
      <c r="F41" s="84">
        <f ca="1">IF('Invoer gegevens (N)'!$C$17=E41,'Invoer gegevens (N)'!$C$10,IF(C41=1,K40,0))</f>
        <v>0</v>
      </c>
      <c r="G41" s="96">
        <f ca="1">IF(E41='Invoer gegevens (N)'!$C$17+15,K40,IF(C41&gt;=1,F41*VLOOKUP(E41,'Reeksen (N)'!$A$5:$B$76,2),0))</f>
        <v>0</v>
      </c>
      <c r="H41" s="84">
        <f ca="1">IF(E41='Invoer gegevens (N)'!$C$17+15,K40,(1-('Invoer gegevens (N)'!$F$20/12))*F41*MIN('Reeksen (N)'!B9,'Reeksen (N)'!D9))</f>
        <v>0</v>
      </c>
      <c r="I41" s="84">
        <f>IF('Reeksen (N)'!D9&lt;'Reeksen (N)'!B9,('Reeksen (N)'!B9-'Reeksen (N)'!D9)*F41,0)</f>
        <v>0</v>
      </c>
      <c r="J41" s="84">
        <f ca="1">IF(E41='Invoer gegevens (N)'!$C$17+16,0,('Invoer gegevens (N)'!$F$20/12)*F40*MIN('Reeksen (N)'!B8,'Reeksen (N)'!D8))</f>
        <v>0</v>
      </c>
      <c r="K41" s="97">
        <f ca="1">IF(E41&gt;='Invoer gegevens (N)'!$C$17+15,0,F41-G41)</f>
        <v>0</v>
      </c>
      <c r="L41" s="84">
        <f ca="1">IF('Invoer gegevens (N)'!$C$17=E41,0,IF(C41=1,Q40,0))</f>
        <v>0</v>
      </c>
      <c r="M41" s="96">
        <f ca="1">IF(E41='Invoer gegevens (N)'!$C$17+15,Q40,IF(C41&gt;=1,L41*VLOOKUP(E41,'Reeksen (N)'!$A$5:$B$76,2),0))</f>
        <v>0</v>
      </c>
      <c r="N41" s="84">
        <f ca="1">IF(C41='Invoer gegevens (N)'!$C$17+15,Q40,(1-('Invoer gegevens (N)'!$F$20/12))*L41*MIN('Reeksen (N)'!B9,'Reeksen (N)'!D9))</f>
        <v>0</v>
      </c>
      <c r="O41" s="84">
        <f>IF('Reeksen (N)'!D9&lt;'Reeksen (N)'!B9,('Reeksen (N)'!B9-'Reeksen (N)'!D9)*L41,0)</f>
        <v>0</v>
      </c>
      <c r="P41" s="84">
        <f ca="1">IF(E41='Invoer gegevens (N)'!$C$17+16,0,('Invoer gegevens (N)'!$F$20/12)*L40*MIN('Reeksen (N)'!B8,'Reeksen (N)'!D8))</f>
        <v>0</v>
      </c>
      <c r="Q41" s="84">
        <f ca="1">IF(E41&gt;='Invoer gegevens (N)'!$C$17+15,0,L41-M41+I41+O41)</f>
        <v>0</v>
      </c>
      <c r="R41" s="82">
        <f ca="1">IF('Invoer gegevens (N)'!$C$17=E41,'Invoer gegevens (N)'!$C$11,IF(C41=1,W40,0))</f>
        <v>0</v>
      </c>
      <c r="S41" s="86">
        <f ca="1">IF(E41='Invoer gegevens (N)'!$C$17+15,W40,IF(C41&gt;=1,R41*VLOOKUP(E41,'Reeksen (N)'!$A$5:$B$76,2),0))</f>
        <v>0</v>
      </c>
      <c r="T41" s="84">
        <f ca="1">IF(E41='Invoer gegevens (N)'!$C$17+15,W40,(1-('Invoer gegevens (N)'!$F$20/12))*R41*MIN('Reeksen (N)'!B9,'Reeksen (N)'!D9))</f>
        <v>0</v>
      </c>
      <c r="U41" s="84">
        <f>IF('Reeksen (N)'!D9&gt;='Reeksen (N)'!B9,0,IF('Reeksen (N)'!AK9&lt;='Reeksen (N)'!AE9,('Reeksen (N)'!B9-'Reeksen (N)'!D9)*R41,0))</f>
        <v>0</v>
      </c>
      <c r="V41" s="86">
        <f>IF('Reeksen (N)'!D9&gt;='Reeksen (N)'!B9,0,IF('Reeksen (N)'!AK9&gt;'Reeksen (N)'!AE9,('Reeksen (N)'!B9-'Reeksen (N)'!D9)*R41,0))</f>
        <v>0</v>
      </c>
      <c r="W41" s="97">
        <f ca="1">IF(E41&gt;='Invoer gegevens (N)'!$C$17+15,0,R41-S41)</f>
        <v>0</v>
      </c>
      <c r="X41" s="98">
        <f ca="1">IF('Invoer gegevens (N)'!$C$17=E41,'Invoer gegevens (N)'!$C$10-'Invoer gegevens (N)'!$C$11,IF(C41=1,AC40,0))</f>
        <v>0</v>
      </c>
      <c r="Y41" s="98">
        <f ca="1">IF(E41='Invoer gegevens (N)'!$C$17+15,AC40,IF(C41&gt;=1,X41*VLOOKUP(E41,'Reeksen (N)'!$A$5:$B$76,2),0))</f>
        <v>0</v>
      </c>
      <c r="Z41" s="98">
        <f ca="1">IF(E41='Invoer gegevens (N)'!$C$17+15,AC40,(1-('Invoer gegevens (N)'!$F$20/12))*X41*MIN('Reeksen (N)'!B9,'Reeksen (N)'!D9))</f>
        <v>0</v>
      </c>
      <c r="AA41" s="98">
        <f>IF('Reeksen (N)'!D9&gt;='Reeksen (N)'!B9,0,IF('Reeksen (N)'!AK9&lt;='Reeksen (N)'!AE9,('Reeksen (N)'!B9-'Reeksen (N)'!D9)*X41,0))</f>
        <v>0</v>
      </c>
      <c r="AB41" s="98">
        <f>IF('Reeksen (N)'!D9&gt;='Reeksen (N)'!B9,0,IF('Reeksen (N)'!AK9&gt;'Reeksen (N)'!AE9,('Reeksen (N)'!B9-'Reeksen (N)'!D9)*X41,0))</f>
        <v>0</v>
      </c>
      <c r="AC41" s="99">
        <f ca="1">IF(E41&gt;='Invoer gegevens (N)'!$C$17+15,0,X41-Y41)</f>
        <v>0</v>
      </c>
      <c r="AD41" s="98">
        <f ca="1">IF('Invoer gegevens (N)'!$C$17=E9,R41,IF(C9=0,0,AE40))</f>
        <v>0</v>
      </c>
      <c r="AE41" s="98">
        <f t="shared" ca="1" si="10"/>
        <v>0</v>
      </c>
      <c r="AF41" s="98">
        <f ca="1">IF('Invoer gegevens (N)'!$C$17=E9,X41,IF(C9=0,0,AG40))</f>
        <v>0</v>
      </c>
      <c r="AG41" s="98">
        <f t="shared" ca="1" si="11"/>
        <v>0</v>
      </c>
      <c r="AH41" s="68"/>
      <c r="AI41" s="71">
        <f ca="1">IF(C41=1,'Reeksen (N)'!AJ9*((F41-G41+F41)/2)*12+'Reeksen (N)'!AK9*((L41-M41+L41)/2)*12,0)</f>
        <v>0</v>
      </c>
      <c r="AJ41" s="71">
        <f ca="1">-AI41*'Invoer gegevens (N)'!$F$28</f>
        <v>0</v>
      </c>
      <c r="AK41" s="71">
        <f t="shared" ca="1" si="9"/>
        <v>0</v>
      </c>
      <c r="AL41" s="71">
        <f ca="1">IF(C41=1,'Reeksen (N)'!AL9*((F41-G41+F41)/2)*12+'Reeksen (N)'!AM9*((L41-M41+L41)/2)*12,0)</f>
        <v>0</v>
      </c>
      <c r="AM41" s="71">
        <f ca="1">-AL41*'Invoer gegevens (N)'!$F$31</f>
        <v>0</v>
      </c>
      <c r="AN41" s="71">
        <f t="shared" ca="1" si="12"/>
        <v>0</v>
      </c>
      <c r="AO41" s="71">
        <f ca="1">IF(E41&gt;='Invoer gegevens (N)'!$C$17+15,0,IF(C41=1,(H41+J41+N41+P41)*'Reeksen (N)'!AN9,0))</f>
        <v>0</v>
      </c>
      <c r="AP41" s="71">
        <f ca="1">-IF(C41=1,(H41+J41+N41+P41)*'Hulp - basis'!$O$550*'Reeksen (N)'!H9,0)</f>
        <v>0</v>
      </c>
      <c r="AQ41" s="71">
        <f ca="1">-IF(C41=1,(F41+K41+L41+Q41)/2*'Invoer gegevens (N)'!$I$33*'Reeksen (N)'!J9,0)</f>
        <v>0</v>
      </c>
      <c r="AR41" s="71">
        <f ca="1">-IF(C41=1,(I41*'Invoer gegevens (N)'!$I$34)*'Reeksen (N)'!J9,0)</f>
        <v>0</v>
      </c>
      <c r="AS41" s="71">
        <f ca="1">-IF(C41=1,(F41+K41+L41+Q41)/2*'Invoer gegevens (N)'!$I$35*'Reeksen (N)'!L9,0)</f>
        <v>0</v>
      </c>
      <c r="AT41" s="71">
        <f ca="1">-IF(C41=1,IF(E41='Invoer gegevens (N)'!$C$17,'Invoer gegevens (N)'!$C$11,AD41)*'Reeksen (N)'!S9*'Invoer gegevens (N)'!$C$18*'Reeksen (N)'!P9,0)</f>
        <v>0</v>
      </c>
      <c r="AU41" s="71">
        <f ca="1">-IF(C41=1,(F41+K41+L41+Q41)/2*'Invoer gegevens (N)'!$I$36*'Reeksen (N)'!H9,0)</f>
        <v>0</v>
      </c>
      <c r="AV41" s="71">
        <v>0</v>
      </c>
      <c r="AW41" s="71">
        <f t="shared" ca="1" si="13"/>
        <v>0</v>
      </c>
      <c r="AX41" s="72">
        <f ca="1">IF(E41='Invoer gegevens (N)'!$C$17+14,'RW - BW - UP (N)'!$AY$236,0)</f>
        <v>0</v>
      </c>
      <c r="AY41" s="72">
        <f ca="1">IFERROR(IF(E41='Invoer gegevens (N)'!$C$17,-'Invoer gegevens (N)'!$C$10*('Invoer gegevens (N)'!$C$30+'Invoer gegevens (N)'!$C$31)*'Reeksen (N)'!H9,0),0)</f>
        <v>0</v>
      </c>
      <c r="AZ41" s="73">
        <f ca="1">IF('Invoer gegevens (N)'!$C$34=E41,'Invoer gegevens (N)'!$C$27*'Invoer gegevens (N)'!$C$10*'Invoer gegevens (N)'!$C$36*(IF('Invoer gegevens (N)'!$C$35="ja",1,'Reeksen (N)'!J9)),IF('Invoer gegevens (N)'!$C$34+1=E41,'Invoer gegevens (N)'!$C$27*'Invoer gegevens (N)'!$C$10*'Invoer gegevens (N)'!$C$37*(IF('Invoer gegevens (N)'!$C$35="ja",1,'Reeksen (N)'!J9)),0))+IF(AND(E41='Invoer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1" s="73">
        <f ca="1">AW41/(1+'Invoer gegevens (N)'!$F$18)^($D41-('Invoer gegevens (N)'!$C$17-'Invoer gegevens (N)'!$C$16))/(1+'Invoer gegevens (N)'!$C$39)^('Invoer gegevens (N)'!$C$17-'Invoer gegevens (N)'!$C$16)</f>
        <v>0</v>
      </c>
      <c r="BB41" s="73">
        <f ca="1">AX41/(1+'Invoer gegevens (N)'!$F$18)^(E41-('Invoer gegevens (N)'!$C$17-1))/(1+'Invoer gegevens (N)'!$C$39)^('Invoer gegevens (N)'!$C$17-'Invoer gegevens (N)'!$C$16)</f>
        <v>0</v>
      </c>
      <c r="BC41" s="73">
        <f ca="1">AY41/(1+'Invoer gegevens (N)'!$C$39)^('Invoer gegevens (N)'!$C$17-'Invoer gegevens (N)'!$C$16)</f>
        <v>0</v>
      </c>
      <c r="BD41" s="72">
        <f t="shared" ca="1" si="14"/>
        <v>0</v>
      </c>
      <c r="BE41" s="72">
        <f ca="1">IF(AND(E41='Invoer gegevens (N)'!$C$16,'Invoer gegevens (N)'!$C$34&lt;'Invoer gegevens (N)'!$C$16),AZ41,AZ41/(1+'Invoer gegevens (N)'!$C$39)^D41)</f>
        <v>0</v>
      </c>
      <c r="BF41" s="72">
        <f ca="1">IF(E41='Invoer gegevens (N)'!$C$34,-'Invoer gegevens (N)'!$F$40,0)</f>
        <v>0</v>
      </c>
      <c r="BG41" s="72">
        <f ca="1">IF(E41='Invoer gegevens (N)'!$C$17,-'Invoer gegevens (N)'!$C$19*$BD$63,0)</f>
        <v>0</v>
      </c>
      <c r="BH41" s="72">
        <f ca="1">AW41/(1+$BH$36)^($D41-('Invoer gegevens (N)'!$C$17-'Invoer gegevens (N)'!$C$16))/(1+'Invoer gegevens (N)'!$C$39)^('Invoer gegevens (N)'!$C$17-'Invoer gegevens (N)'!$C$16)+AX41/(1+$BH$36)^(E41-('Invoer gegevens (N)'!$C$17-1))/(1+'Invoer gegevens (N)'!$C$39)^('Invoer gegevens (N)'!$C$17-'Invoer gegevens (N)'!$C$16)+AY41/(1+'Invoer gegevens (N)'!$C$39)^('Invoer gegevens (N)'!$C$17-'Invoer gegevens (N)'!$C$16)+(-AZ41/(1+'Invoer gegevens (N)'!$C$39)^D41)+BF41+BG41</f>
        <v>0</v>
      </c>
      <c r="BI41" s="59"/>
    </row>
    <row r="42" spans="1:61" x14ac:dyDescent="0.25">
      <c r="A42" s="59"/>
      <c r="B42" s="70">
        <f t="shared" si="15"/>
        <v>6</v>
      </c>
      <c r="C42" s="67">
        <f ca="1">IF(AND(E42&gt;='Invoer gegevens (N)'!$C$17,E42&lt;'Invoer gegevens (N)'!$C$17+15),1,0)</f>
        <v>1</v>
      </c>
      <c r="D42" s="68">
        <f t="shared" si="16"/>
        <v>5.5</v>
      </c>
      <c r="E42" s="69">
        <f ca="1">IF('Invoer gegevens (N)'!$C$16="","",E41+1)</f>
        <v>2024</v>
      </c>
      <c r="F42" s="84">
        <f ca="1">IF('Invoer gegevens (N)'!$C$17=E42,'Invoer gegevens (N)'!$C$10,IF(C42=1,K41,0))</f>
        <v>0</v>
      </c>
      <c r="G42" s="96">
        <f ca="1">IF(E42='Invoer gegevens (N)'!$C$17+15,K41,IF(C42&gt;=1,F42*VLOOKUP(E42,'Reeksen (N)'!$A$5:$B$76,2),0))</f>
        <v>0</v>
      </c>
      <c r="H42" s="84">
        <f ca="1">IF(E42='Invoer gegevens (N)'!$C$17+15,K41,(1-('Invoer gegevens (N)'!$F$20/12))*F42*MIN('Reeksen (N)'!B10,'Reeksen (N)'!D10))</f>
        <v>0</v>
      </c>
      <c r="I42" s="84">
        <f>IF('Reeksen (N)'!D10&lt;'Reeksen (N)'!B10,('Reeksen (N)'!B10-'Reeksen (N)'!D10)*F42,0)</f>
        <v>0</v>
      </c>
      <c r="J42" s="84">
        <f ca="1">IF(E42='Invoer gegevens (N)'!$C$17+16,0,('Invoer gegevens (N)'!$F$20/12)*F41*MIN('Reeksen (N)'!B9,'Reeksen (N)'!D9))</f>
        <v>0</v>
      </c>
      <c r="K42" s="97">
        <f ca="1">IF(E42&gt;='Invoer gegevens (N)'!$C$17+15,0,F42-G42)</f>
        <v>0</v>
      </c>
      <c r="L42" s="84">
        <f ca="1">IF('Invoer gegevens (N)'!$C$17=E42,0,IF(C42=1,Q41,0))</f>
        <v>0</v>
      </c>
      <c r="M42" s="96">
        <f ca="1">IF(E42='Invoer gegevens (N)'!$C$17+15,Q41,IF(C42&gt;=1,L42*VLOOKUP(E42,'Reeksen (N)'!$A$5:$B$76,2),0))</f>
        <v>0</v>
      </c>
      <c r="N42" s="84">
        <f ca="1">IF(C42='Invoer gegevens (N)'!$C$17+15,Q41,(1-('Invoer gegevens (N)'!$F$20/12))*L42*MIN('Reeksen (N)'!B10,'Reeksen (N)'!D10))</f>
        <v>0</v>
      </c>
      <c r="O42" s="84">
        <f>IF('Reeksen (N)'!D10&lt;'Reeksen (N)'!B10,('Reeksen (N)'!B10-'Reeksen (N)'!D10)*L42,0)</f>
        <v>0</v>
      </c>
      <c r="P42" s="84">
        <f ca="1">IF(E42='Invoer gegevens (N)'!$C$17+16,0,('Invoer gegevens (N)'!$F$20/12)*L41*MIN('Reeksen (N)'!B9,'Reeksen (N)'!D9))</f>
        <v>0</v>
      </c>
      <c r="Q42" s="84">
        <f ca="1">IF(E42&gt;='Invoer gegevens (N)'!$C$17+15,0,L42-M42+I42+O42)</f>
        <v>0</v>
      </c>
      <c r="R42" s="82">
        <f ca="1">IF('Invoer gegevens (N)'!$C$17=E42,'Invoer gegevens (N)'!$C$11,IF(C42=1,W41,0))</f>
        <v>0</v>
      </c>
      <c r="S42" s="86">
        <f ca="1">IF(E42='Invoer gegevens (N)'!$C$17+15,W41,IF(C42&gt;=1,R42*VLOOKUP(E42,'Reeksen (N)'!$A$5:$B$76,2),0))</f>
        <v>0</v>
      </c>
      <c r="T42" s="84">
        <f ca="1">IF(E42='Invoer gegevens (N)'!$C$17+15,W41,(1-('Invoer gegevens (N)'!$F$20/12))*R42*MIN('Reeksen (N)'!B10,'Reeksen (N)'!D10))</f>
        <v>0</v>
      </c>
      <c r="U42" s="84">
        <f>IF('Reeksen (N)'!D10&gt;='Reeksen (N)'!B10,0,IF('Reeksen (N)'!AK10&lt;='Reeksen (N)'!AE10,('Reeksen (N)'!B10-'Reeksen (N)'!D10)*R42,0))</f>
        <v>0</v>
      </c>
      <c r="V42" s="86">
        <f>IF('Reeksen (N)'!D10&gt;='Reeksen (N)'!B10,0,IF('Reeksen (N)'!AK10&gt;'Reeksen (N)'!AE10,('Reeksen (N)'!B10-'Reeksen (N)'!D10)*R42,0))</f>
        <v>0</v>
      </c>
      <c r="W42" s="97">
        <f ca="1">IF(E42&gt;='Invoer gegevens (N)'!$C$17+15,0,R42-S42)</f>
        <v>0</v>
      </c>
      <c r="X42" s="98">
        <f ca="1">IF('Invoer gegevens (N)'!$C$17=E42,'Invoer gegevens (N)'!$C$10-'Invoer gegevens (N)'!$C$11,IF(C42=1,AC41,0))</f>
        <v>0</v>
      </c>
      <c r="Y42" s="98">
        <f ca="1">IF(E42='Invoer gegevens (N)'!$C$17+15,AC41,IF(C42&gt;=1,X42*VLOOKUP(E42,'Reeksen (N)'!$A$5:$B$76,2),0))</f>
        <v>0</v>
      </c>
      <c r="Z42" s="98">
        <f ca="1">IF(E42='Invoer gegevens (N)'!$C$17+15,AC41,(1-('Invoer gegevens (N)'!$F$20/12))*X42*MIN('Reeksen (N)'!B10,'Reeksen (N)'!D10))</f>
        <v>0</v>
      </c>
      <c r="AA42" s="98">
        <f>IF('Reeksen (N)'!D10&gt;='Reeksen (N)'!B10,0,IF('Reeksen (N)'!AK10&lt;='Reeksen (N)'!AE10,('Reeksen (N)'!B10-'Reeksen (N)'!D10)*X42,0))</f>
        <v>0</v>
      </c>
      <c r="AB42" s="98">
        <f>IF('Reeksen (N)'!D10&gt;='Reeksen (N)'!B10,0,IF('Reeksen (N)'!AK10&gt;'Reeksen (N)'!AE10,('Reeksen (N)'!B10-'Reeksen (N)'!D10)*X42,0))</f>
        <v>0</v>
      </c>
      <c r="AC42" s="99">
        <f ca="1">IF(E42&gt;='Invoer gegevens (N)'!$C$17+15,0,X42-Y42)</f>
        <v>0</v>
      </c>
      <c r="AD42" s="98">
        <f ca="1">IF('Invoer gegevens (N)'!$C$17=E10,R42,IF(C10=0,0,AE41))</f>
        <v>0</v>
      </c>
      <c r="AE42" s="98">
        <f t="shared" ca="1" si="10"/>
        <v>0</v>
      </c>
      <c r="AF42" s="98">
        <f ca="1">IF('Invoer gegevens (N)'!$C$17=E10,X42,IF(C10=0,0,AG41))</f>
        <v>0</v>
      </c>
      <c r="AG42" s="98">
        <f t="shared" ca="1" si="11"/>
        <v>0</v>
      </c>
      <c r="AH42" s="68"/>
      <c r="AI42" s="71">
        <f ca="1">IF(C42=1,'Reeksen (N)'!AJ10*((F42-G42+F42)/2)*12+'Reeksen (N)'!AK10*((L42-M42+L42)/2)*12,0)</f>
        <v>0</v>
      </c>
      <c r="AJ42" s="71">
        <f ca="1">-AI42*'Invoer gegevens (N)'!$F$28</f>
        <v>0</v>
      </c>
      <c r="AK42" s="71">
        <f t="shared" ca="1" si="9"/>
        <v>0</v>
      </c>
      <c r="AL42" s="71">
        <f ca="1">IF(C42=1,'Reeksen (N)'!AL10*((F42-G42+F42)/2)*12+'Reeksen (N)'!AM10*((L42-M42+L42)/2)*12,0)</f>
        <v>0</v>
      </c>
      <c r="AM42" s="71">
        <f ca="1">-AL42*'Invoer gegevens (N)'!$F$31</f>
        <v>0</v>
      </c>
      <c r="AN42" s="71">
        <f t="shared" ca="1" si="12"/>
        <v>0</v>
      </c>
      <c r="AO42" s="71">
        <f ca="1">IF(E42&gt;='Invoer gegevens (N)'!$C$17+15,0,IF(C42=1,(H42+J42+N42+P42)*'Reeksen (N)'!AN10,0))</f>
        <v>0</v>
      </c>
      <c r="AP42" s="71">
        <f ca="1">-IF(C42=1,(H42+J42+N42+P42)*'Hulp - basis'!$O$550*'Reeksen (N)'!H10,0)</f>
        <v>0</v>
      </c>
      <c r="AQ42" s="71">
        <f ca="1">-IF(C42=1,(F42+K42+L42+Q42)/2*'Invoer gegevens (N)'!$I$33*'Reeksen (N)'!J10,0)</f>
        <v>0</v>
      </c>
      <c r="AR42" s="71">
        <f ca="1">-IF(C42=1,(I42*'Invoer gegevens (N)'!$I$34)*'Reeksen (N)'!J10,0)</f>
        <v>0</v>
      </c>
      <c r="AS42" s="71">
        <f ca="1">-IF(C42=1,(F42+K42+L42+Q42)/2*'Invoer gegevens (N)'!$I$35*'Reeksen (N)'!L10,0)</f>
        <v>0</v>
      </c>
      <c r="AT42" s="71">
        <f ca="1">-IF(C42=1,IF(E42='Invoer gegevens (N)'!$C$17,'Invoer gegevens (N)'!$C$11,AD42)*'Reeksen (N)'!S10*'Invoer gegevens (N)'!$C$18*'Reeksen (N)'!P10,0)</f>
        <v>0</v>
      </c>
      <c r="AU42" s="71">
        <f ca="1">-IF(C42=1,(F42+K42+L42+Q42)/2*'Invoer gegevens (N)'!$I$36*'Reeksen (N)'!H10,0)</f>
        <v>0</v>
      </c>
      <c r="AV42" s="71">
        <v>0</v>
      </c>
      <c r="AW42" s="71">
        <f t="shared" ca="1" si="13"/>
        <v>0</v>
      </c>
      <c r="AX42" s="72">
        <f ca="1">IF(E42='Invoer gegevens (N)'!$C$17+14,'RW - BW - UP (N)'!$AY$236,0)</f>
        <v>0</v>
      </c>
      <c r="AY42" s="72">
        <f ca="1">IFERROR(IF(E42='Invoer gegevens (N)'!$C$17,-'Invoer gegevens (N)'!$C$10*('Invoer gegevens (N)'!$C$30+'Invoer gegevens (N)'!$C$31)*'Reeksen (N)'!H10,0),0)</f>
        <v>0</v>
      </c>
      <c r="AZ42" s="73">
        <f ca="1">IF('Invoer gegevens (N)'!$C$34=E42,'Invoer gegevens (N)'!$C$27*'Invoer gegevens (N)'!$C$10*'Invoer gegevens (N)'!$C$36*(IF('Invoer gegevens (N)'!$C$35="ja",1,'Reeksen (N)'!J10)),IF('Invoer gegevens (N)'!$C$34+1=E42,'Invoer gegevens (N)'!$C$27*'Invoer gegevens (N)'!$C$10*'Invoer gegevens (N)'!$C$37*(IF('Invoer gegevens (N)'!$C$35="ja",1,'Reeksen (N)'!J10)),0))+IF(AND(E42='Invoer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2" s="73">
        <f ca="1">AW42/(1+'Invoer gegevens (N)'!$F$18)^($D42-('Invoer gegevens (N)'!$C$17-'Invoer gegevens (N)'!$C$16))/(1+'Invoer gegevens (N)'!$C$39)^('Invoer gegevens (N)'!$C$17-'Invoer gegevens (N)'!$C$16)</f>
        <v>0</v>
      </c>
      <c r="BB42" s="73">
        <f ca="1">AX42/(1+'Invoer gegevens (N)'!$F$18)^(E42-('Invoer gegevens (N)'!$C$17-1))/(1+'Invoer gegevens (N)'!$C$39)^('Invoer gegevens (N)'!$C$17-'Invoer gegevens (N)'!$C$16)</f>
        <v>0</v>
      </c>
      <c r="BC42" s="73">
        <f ca="1">AY42/(1+'Invoer gegevens (N)'!$C$39)^('Invoer gegevens (N)'!$C$17-'Invoer gegevens (N)'!$C$16)</f>
        <v>0</v>
      </c>
      <c r="BD42" s="72">
        <f t="shared" ca="1" si="14"/>
        <v>0</v>
      </c>
      <c r="BE42" s="72">
        <f ca="1">IF(AND(E42='Invoer gegevens (N)'!$C$16,'Invoer gegevens (N)'!$C$34&lt;'Invoer gegevens (N)'!$C$16),AZ42,AZ42/(1+'Invoer gegevens (N)'!$C$39)^D42)</f>
        <v>0</v>
      </c>
      <c r="BF42" s="72">
        <f ca="1">IF(E42='Invoer gegevens (N)'!$C$34,-'Invoer gegevens (N)'!$F$40,0)</f>
        <v>0</v>
      </c>
      <c r="BG42" s="72">
        <f ca="1">IF(E42='Invoer gegevens (N)'!$C$17,-'Invoer gegevens (N)'!$C$19*$BD$63,0)</f>
        <v>0</v>
      </c>
      <c r="BH42" s="72">
        <f ca="1">AW42/(1+$BH$36)^($D42-('Invoer gegevens (N)'!$C$17-'Invoer gegevens (N)'!$C$16))/(1+'Invoer gegevens (N)'!$C$39)^('Invoer gegevens (N)'!$C$17-'Invoer gegevens (N)'!$C$16)+AX42/(1+$BH$36)^(E42-('Invoer gegevens (N)'!$C$17-1))/(1+'Invoer gegevens (N)'!$C$39)^('Invoer gegevens (N)'!$C$17-'Invoer gegevens (N)'!$C$16)+AY42/(1+'Invoer gegevens (N)'!$C$39)^('Invoer gegevens (N)'!$C$17-'Invoer gegevens (N)'!$C$16)+(-AZ42/(1+'Invoer gegevens (N)'!$C$39)^D42)+BF42+BG42</f>
        <v>0</v>
      </c>
      <c r="BI42" s="59"/>
    </row>
    <row r="43" spans="1:61" x14ac:dyDescent="0.25">
      <c r="A43" s="59"/>
      <c r="B43" s="70">
        <f t="shared" si="15"/>
        <v>7</v>
      </c>
      <c r="C43" s="67">
        <f ca="1">IF(AND(E43&gt;='Invoer gegevens (N)'!$C$17,E43&lt;'Invoer gegevens (N)'!$C$17+15),1,0)</f>
        <v>1</v>
      </c>
      <c r="D43" s="68">
        <f t="shared" si="16"/>
        <v>6.5</v>
      </c>
      <c r="E43" s="69">
        <f ca="1">IF('Invoer gegevens (N)'!$C$16="","",E42+1)</f>
        <v>2025</v>
      </c>
      <c r="F43" s="84">
        <f ca="1">IF('Invoer gegevens (N)'!$C$17=E43,'Invoer gegevens (N)'!$C$10,IF(C43=1,K42,0))</f>
        <v>0</v>
      </c>
      <c r="G43" s="96">
        <f ca="1">IF(E43='Invoer gegevens (N)'!$C$17+15,K42,IF(C43&gt;=1,F43*VLOOKUP(E43,'Reeksen (N)'!$A$5:$B$76,2),0))</f>
        <v>0</v>
      </c>
      <c r="H43" s="84">
        <f ca="1">IF(E43='Invoer gegevens (N)'!$C$17+15,K42,(1-('Invoer gegevens (N)'!$F$20/12))*F43*MIN('Reeksen (N)'!B11,'Reeksen (N)'!D11))</f>
        <v>0</v>
      </c>
      <c r="I43" s="84">
        <f>IF('Reeksen (N)'!D11&lt;'Reeksen (N)'!B11,('Reeksen (N)'!B11-'Reeksen (N)'!D11)*F43,0)</f>
        <v>0</v>
      </c>
      <c r="J43" s="84">
        <f ca="1">IF(E43='Invoer gegevens (N)'!$C$17+16,0,('Invoer gegevens (N)'!$F$20/12)*F42*MIN('Reeksen (N)'!B10,'Reeksen (N)'!D10))</f>
        <v>0</v>
      </c>
      <c r="K43" s="97">
        <f ca="1">IF(E43&gt;='Invoer gegevens (N)'!$C$17+15,0,F43-G43)</f>
        <v>0</v>
      </c>
      <c r="L43" s="84">
        <f ca="1">IF('Invoer gegevens (N)'!$C$17=E43,0,IF(C43=1,Q42,0))</f>
        <v>0</v>
      </c>
      <c r="M43" s="96">
        <f ca="1">IF(E43='Invoer gegevens (N)'!$C$17+15,Q42,IF(C43&gt;=1,L43*VLOOKUP(E43,'Reeksen (N)'!$A$5:$B$76,2),0))</f>
        <v>0</v>
      </c>
      <c r="N43" s="84">
        <f ca="1">IF(C43='Invoer gegevens (N)'!$C$17+15,Q42,(1-('Invoer gegevens (N)'!$F$20/12))*L43*MIN('Reeksen (N)'!B11,'Reeksen (N)'!D11))</f>
        <v>0</v>
      </c>
      <c r="O43" s="84">
        <f>IF('Reeksen (N)'!D11&lt;'Reeksen (N)'!B11,('Reeksen (N)'!B11-'Reeksen (N)'!D11)*L43,0)</f>
        <v>0</v>
      </c>
      <c r="P43" s="84">
        <f ca="1">IF(E43='Invoer gegevens (N)'!$C$17+16,0,('Invoer gegevens (N)'!$F$20/12)*L42*MIN('Reeksen (N)'!B10,'Reeksen (N)'!D10))</f>
        <v>0</v>
      </c>
      <c r="Q43" s="84">
        <f ca="1">IF(E43&gt;='Invoer gegevens (N)'!$C$17+15,0,L43-M43+I43+O43)</f>
        <v>0</v>
      </c>
      <c r="R43" s="82">
        <f ca="1">IF('Invoer gegevens (N)'!$C$17=E43,'Invoer gegevens (N)'!$C$11,IF(C43=1,W42,0))</f>
        <v>0</v>
      </c>
      <c r="S43" s="86">
        <f ca="1">IF(E43='Invoer gegevens (N)'!$C$17+15,W42,IF(C43&gt;=1,R43*VLOOKUP(E43,'Reeksen (N)'!$A$5:$B$76,2),0))</f>
        <v>0</v>
      </c>
      <c r="T43" s="84">
        <f ca="1">IF(E43='Invoer gegevens (N)'!$C$17+15,W42,(1-('Invoer gegevens (N)'!$F$20/12))*R43*MIN('Reeksen (N)'!B11,'Reeksen (N)'!D11))</f>
        <v>0</v>
      </c>
      <c r="U43" s="84">
        <f>IF('Reeksen (N)'!D11&gt;='Reeksen (N)'!B11,0,IF('Reeksen (N)'!AK11&lt;='Reeksen (N)'!AE11,('Reeksen (N)'!B11-'Reeksen (N)'!D11)*R43,0))</f>
        <v>0</v>
      </c>
      <c r="V43" s="86">
        <f>IF('Reeksen (N)'!D11&gt;='Reeksen (N)'!B11,0,IF('Reeksen (N)'!AK11&gt;'Reeksen (N)'!AE11,('Reeksen (N)'!B11-'Reeksen (N)'!D11)*R43,0))</f>
        <v>0</v>
      </c>
      <c r="W43" s="97">
        <f ca="1">IF(E43&gt;='Invoer gegevens (N)'!$C$17+15,0,R43-S43)</f>
        <v>0</v>
      </c>
      <c r="X43" s="98">
        <f ca="1">IF('Invoer gegevens (N)'!$C$17=E43,'Invoer gegevens (N)'!$C$10-'Invoer gegevens (N)'!$C$11,IF(C43=1,AC42,0))</f>
        <v>0</v>
      </c>
      <c r="Y43" s="98">
        <f ca="1">IF(E43='Invoer gegevens (N)'!$C$17+15,AC42,IF(C43&gt;=1,X43*VLOOKUP(E43,'Reeksen (N)'!$A$5:$B$76,2),0))</f>
        <v>0</v>
      </c>
      <c r="Z43" s="98">
        <f ca="1">IF(E43='Invoer gegevens (N)'!$C$17+15,AC42,(1-('Invoer gegevens (N)'!$F$20/12))*X43*MIN('Reeksen (N)'!B11,'Reeksen (N)'!D11))</f>
        <v>0</v>
      </c>
      <c r="AA43" s="98">
        <f>IF('Reeksen (N)'!D11&gt;='Reeksen (N)'!B11,0,IF('Reeksen (N)'!AK11&lt;='Reeksen (N)'!AE11,('Reeksen (N)'!B11-'Reeksen (N)'!D11)*X43,0))</f>
        <v>0</v>
      </c>
      <c r="AB43" s="98">
        <f>IF('Reeksen (N)'!D11&gt;='Reeksen (N)'!B11,0,IF('Reeksen (N)'!AK11&gt;'Reeksen (N)'!AE11,('Reeksen (N)'!B11-'Reeksen (N)'!D11)*X43,0))</f>
        <v>0</v>
      </c>
      <c r="AC43" s="99">
        <f ca="1">IF(E43&gt;='Invoer gegevens (N)'!$C$17+15,0,X43-Y43)</f>
        <v>0</v>
      </c>
      <c r="AD43" s="98">
        <f ca="1">IF('Invoer gegevens (N)'!$C$17=E11,R43,IF(C11=0,0,AE42))</f>
        <v>0</v>
      </c>
      <c r="AE43" s="98">
        <f t="shared" ca="1" si="10"/>
        <v>0</v>
      </c>
      <c r="AF43" s="98">
        <f ca="1">IF('Invoer gegevens (N)'!$C$17=E11,X43,IF(C11=0,0,AG42))</f>
        <v>0</v>
      </c>
      <c r="AG43" s="98">
        <f t="shared" ca="1" si="11"/>
        <v>0</v>
      </c>
      <c r="AH43" s="68"/>
      <c r="AI43" s="71">
        <f ca="1">IF(C43=1,'Reeksen (N)'!AJ11*((F43-G43+F43)/2)*12+'Reeksen (N)'!AK11*((L43-M43+L43)/2)*12,0)</f>
        <v>0</v>
      </c>
      <c r="AJ43" s="71">
        <f ca="1">-AI43*'Invoer gegevens (N)'!$F$28</f>
        <v>0</v>
      </c>
      <c r="AK43" s="71">
        <f t="shared" ca="1" si="9"/>
        <v>0</v>
      </c>
      <c r="AL43" s="71">
        <f ca="1">IF(C43=1,'Reeksen (N)'!AL11*((F43-G43+F43)/2)*12+'Reeksen (N)'!AM11*((L43-M43+L43)/2)*12,0)</f>
        <v>0</v>
      </c>
      <c r="AM43" s="71">
        <f ca="1">-AL43*'Invoer gegevens (N)'!$F$31</f>
        <v>0</v>
      </c>
      <c r="AN43" s="71">
        <f t="shared" ca="1" si="12"/>
        <v>0</v>
      </c>
      <c r="AO43" s="71">
        <f ca="1">IF(E43&gt;='Invoer gegevens (N)'!$C$17+15,0,IF(C43=1,(H43+J43+N43+P43)*'Reeksen (N)'!AN11,0))</f>
        <v>0</v>
      </c>
      <c r="AP43" s="71">
        <f ca="1">-IF(C43=1,(H43+J43+N43+P43)*'Hulp - basis'!$O$550*'Reeksen (N)'!H11,0)</f>
        <v>0</v>
      </c>
      <c r="AQ43" s="71">
        <f ca="1">-IF(C43=1,(F43+K43+L43+Q43)/2*'Invoer gegevens (N)'!$I$33*'Reeksen (N)'!J11,0)</f>
        <v>0</v>
      </c>
      <c r="AR43" s="71">
        <f ca="1">-IF(C43=1,(I43*'Invoer gegevens (N)'!$I$34)*'Reeksen (N)'!J11,0)</f>
        <v>0</v>
      </c>
      <c r="AS43" s="71">
        <f ca="1">-IF(C43=1,(F43+K43+L43+Q43)/2*'Invoer gegevens (N)'!$I$35*'Reeksen (N)'!L11,0)</f>
        <v>0</v>
      </c>
      <c r="AT43" s="71">
        <f ca="1">-IF(C43=1,IF(E43='Invoer gegevens (N)'!$C$17,'Invoer gegevens (N)'!$C$11,AD43)*'Reeksen (N)'!S11*'Invoer gegevens (N)'!$C$18*'Reeksen (N)'!P11,0)</f>
        <v>0</v>
      </c>
      <c r="AU43" s="71">
        <f ca="1">-IF(C43=1,(F43+K43+L43+Q43)/2*'Invoer gegevens (N)'!$I$36*'Reeksen (N)'!H11,0)</f>
        <v>0</v>
      </c>
      <c r="AV43" s="71">
        <v>0</v>
      </c>
      <c r="AW43" s="71">
        <f t="shared" ca="1" si="13"/>
        <v>0</v>
      </c>
      <c r="AX43" s="72">
        <f ca="1">IF(E43='Invoer gegevens (N)'!$C$17+14,'RW - BW - UP (N)'!$AY$236,0)</f>
        <v>0</v>
      </c>
      <c r="AY43" s="72">
        <f ca="1">IFERROR(IF(E43='Invoer gegevens (N)'!$C$17,-'Invoer gegevens (N)'!$C$10*('Invoer gegevens (N)'!$C$30+'Invoer gegevens (N)'!$C$31)*'Reeksen (N)'!H11,0),0)</f>
        <v>0</v>
      </c>
      <c r="AZ43" s="73">
        <f ca="1">IF('Invoer gegevens (N)'!$C$34=E43,'Invoer gegevens (N)'!$C$27*'Invoer gegevens (N)'!$C$10*'Invoer gegevens (N)'!$C$36*(IF('Invoer gegevens (N)'!$C$35="ja",1,'Reeksen (N)'!J11)),IF('Invoer gegevens (N)'!$C$34+1=E43,'Invoer gegevens (N)'!$C$27*'Invoer gegevens (N)'!$C$10*'Invoer gegevens (N)'!$C$37*(IF('Invoer gegevens (N)'!$C$35="ja",1,'Reeksen (N)'!J11)),0))+IF(AND(E43='Invoer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3" s="73">
        <f ca="1">AW43/(1+'Invoer gegevens (N)'!$F$18)^($D43-('Invoer gegevens (N)'!$C$17-'Invoer gegevens (N)'!$C$16))/(1+'Invoer gegevens (N)'!$C$39)^('Invoer gegevens (N)'!$C$17-'Invoer gegevens (N)'!$C$16)</f>
        <v>0</v>
      </c>
      <c r="BB43" s="73">
        <f ca="1">AX43/(1+'Invoer gegevens (N)'!$F$18)^(E43-('Invoer gegevens (N)'!$C$17-1))/(1+'Invoer gegevens (N)'!$C$39)^('Invoer gegevens (N)'!$C$17-'Invoer gegevens (N)'!$C$16)</f>
        <v>0</v>
      </c>
      <c r="BC43" s="73">
        <f ca="1">AY43/(1+'Invoer gegevens (N)'!$C$39)^('Invoer gegevens (N)'!$C$17-'Invoer gegevens (N)'!$C$16)</f>
        <v>0</v>
      </c>
      <c r="BD43" s="72">
        <f t="shared" ca="1" si="14"/>
        <v>0</v>
      </c>
      <c r="BE43" s="72">
        <f ca="1">IF(AND(E43='Invoer gegevens (N)'!$C$16,'Invoer gegevens (N)'!$C$34&lt;'Invoer gegevens (N)'!$C$16),AZ43,AZ43/(1+'Invoer gegevens (N)'!$C$39)^D43)</f>
        <v>0</v>
      </c>
      <c r="BF43" s="72">
        <f ca="1">IF(E43='Invoer gegevens (N)'!$C$34,-'Invoer gegevens (N)'!$F$40,0)</f>
        <v>0</v>
      </c>
      <c r="BG43" s="72">
        <f ca="1">IF(E43='Invoer gegevens (N)'!$C$17,-'Invoer gegevens (N)'!$C$19*$BD$63,0)</f>
        <v>0</v>
      </c>
      <c r="BH43" s="72">
        <f ca="1">AW43/(1+$BH$36)^($D43-('Invoer gegevens (N)'!$C$17-'Invoer gegevens (N)'!$C$16))/(1+'Invoer gegevens (N)'!$C$39)^('Invoer gegevens (N)'!$C$17-'Invoer gegevens (N)'!$C$16)+AX43/(1+$BH$36)^(E43-('Invoer gegevens (N)'!$C$17-1))/(1+'Invoer gegevens (N)'!$C$39)^('Invoer gegevens (N)'!$C$17-'Invoer gegevens (N)'!$C$16)+AY43/(1+'Invoer gegevens (N)'!$C$39)^('Invoer gegevens (N)'!$C$17-'Invoer gegevens (N)'!$C$16)+(-AZ43/(1+'Invoer gegevens (N)'!$C$39)^D43)+BF43+BG43</f>
        <v>0</v>
      </c>
      <c r="BI43" s="59"/>
    </row>
    <row r="44" spans="1:61" x14ac:dyDescent="0.25">
      <c r="A44" s="59"/>
      <c r="B44" s="70">
        <f t="shared" si="15"/>
        <v>8</v>
      </c>
      <c r="C44" s="67">
        <f ca="1">IF(AND(E44&gt;='Invoer gegevens (N)'!$C$17,E44&lt;'Invoer gegevens (N)'!$C$17+15),1,0)</f>
        <v>1</v>
      </c>
      <c r="D44" s="68">
        <f t="shared" si="16"/>
        <v>7.5</v>
      </c>
      <c r="E44" s="69">
        <f ca="1">IF('Invoer gegevens (N)'!$C$16="","",E43+1)</f>
        <v>2026</v>
      </c>
      <c r="F44" s="84">
        <f ca="1">IF('Invoer gegevens (N)'!$C$17=E44,'Invoer gegevens (N)'!$C$10,IF(C44=1,K43,0))</f>
        <v>0</v>
      </c>
      <c r="G44" s="96">
        <f ca="1">IF(E44='Invoer gegevens (N)'!$C$17+15,K43,IF(C44&gt;=1,F44*VLOOKUP(E44,'Reeksen (N)'!$A$5:$B$76,2),0))</f>
        <v>0</v>
      </c>
      <c r="H44" s="84">
        <f ca="1">IF(E44='Invoer gegevens (N)'!$C$17+15,K43,(1-('Invoer gegevens (N)'!$F$20/12))*F44*MIN('Reeksen (N)'!B12,'Reeksen (N)'!D12))</f>
        <v>0</v>
      </c>
      <c r="I44" s="84">
        <f>IF('Reeksen (N)'!D12&lt;'Reeksen (N)'!B12,('Reeksen (N)'!B12-'Reeksen (N)'!D12)*F44,0)</f>
        <v>0</v>
      </c>
      <c r="J44" s="84">
        <f ca="1">IF(E44='Invoer gegevens (N)'!$C$17+16,0,('Invoer gegevens (N)'!$F$20/12)*F43*MIN('Reeksen (N)'!B11,'Reeksen (N)'!D11))</f>
        <v>0</v>
      </c>
      <c r="K44" s="97">
        <f ca="1">IF(E44&gt;='Invoer gegevens (N)'!$C$17+15,0,F44-G44)</f>
        <v>0</v>
      </c>
      <c r="L44" s="84">
        <f ca="1">IF('Invoer gegevens (N)'!$C$17=E44,0,IF(C44=1,Q43,0))</f>
        <v>0</v>
      </c>
      <c r="M44" s="96">
        <f ca="1">IF(E44='Invoer gegevens (N)'!$C$17+15,Q43,IF(C44&gt;=1,L44*VLOOKUP(E44,'Reeksen (N)'!$A$5:$B$76,2),0))</f>
        <v>0</v>
      </c>
      <c r="N44" s="84">
        <f ca="1">IF(C44='Invoer gegevens (N)'!$C$17+15,Q43,(1-('Invoer gegevens (N)'!$F$20/12))*L44*MIN('Reeksen (N)'!B12,'Reeksen (N)'!D12))</f>
        <v>0</v>
      </c>
      <c r="O44" s="84">
        <f>IF('Reeksen (N)'!D12&lt;'Reeksen (N)'!B12,('Reeksen (N)'!B12-'Reeksen (N)'!D12)*L44,0)</f>
        <v>0</v>
      </c>
      <c r="P44" s="84">
        <f ca="1">IF(E44='Invoer gegevens (N)'!$C$17+16,0,('Invoer gegevens (N)'!$F$20/12)*L43*MIN('Reeksen (N)'!B11,'Reeksen (N)'!D11))</f>
        <v>0</v>
      </c>
      <c r="Q44" s="84">
        <f ca="1">IF(E44&gt;='Invoer gegevens (N)'!$C$17+15,0,L44-M44+I44+O44)</f>
        <v>0</v>
      </c>
      <c r="R44" s="82">
        <f ca="1">IF('Invoer gegevens (N)'!$C$17=E44,'Invoer gegevens (N)'!$C$11,IF(C44=1,W43,0))</f>
        <v>0</v>
      </c>
      <c r="S44" s="86">
        <f ca="1">IF(E44='Invoer gegevens (N)'!$C$17+15,W43,IF(C44&gt;=1,R44*VLOOKUP(E44,'Reeksen (N)'!$A$5:$B$76,2),0))</f>
        <v>0</v>
      </c>
      <c r="T44" s="84">
        <f ca="1">IF(E44='Invoer gegevens (N)'!$C$17+15,W43,(1-('Invoer gegevens (N)'!$F$20/12))*R44*MIN('Reeksen (N)'!B12,'Reeksen (N)'!D12))</f>
        <v>0</v>
      </c>
      <c r="U44" s="84">
        <f>IF('Reeksen (N)'!D12&gt;='Reeksen (N)'!B12,0,IF('Reeksen (N)'!AK12&lt;='Reeksen (N)'!AE12,('Reeksen (N)'!B12-'Reeksen (N)'!D12)*R44,0))</f>
        <v>0</v>
      </c>
      <c r="V44" s="86">
        <f>IF('Reeksen (N)'!D12&gt;='Reeksen (N)'!B12,0,IF('Reeksen (N)'!AK12&gt;'Reeksen (N)'!AE12,('Reeksen (N)'!B12-'Reeksen (N)'!D12)*R44,0))</f>
        <v>0</v>
      </c>
      <c r="W44" s="97">
        <f ca="1">IF(E44&gt;='Invoer gegevens (N)'!$C$17+15,0,R44-S44)</f>
        <v>0</v>
      </c>
      <c r="X44" s="98">
        <f ca="1">IF('Invoer gegevens (N)'!$C$17=E44,'Invoer gegevens (N)'!$C$10-'Invoer gegevens (N)'!$C$11,IF(C44=1,AC43,0))</f>
        <v>0</v>
      </c>
      <c r="Y44" s="98">
        <f ca="1">IF(E44='Invoer gegevens (N)'!$C$17+15,AC43,IF(C44&gt;=1,X44*VLOOKUP(E44,'Reeksen (N)'!$A$5:$B$76,2),0))</f>
        <v>0</v>
      </c>
      <c r="Z44" s="98">
        <f ca="1">IF(E44='Invoer gegevens (N)'!$C$17+15,AC43,(1-('Invoer gegevens (N)'!$F$20/12))*X44*MIN('Reeksen (N)'!B12,'Reeksen (N)'!D12))</f>
        <v>0</v>
      </c>
      <c r="AA44" s="98">
        <f>IF('Reeksen (N)'!D12&gt;='Reeksen (N)'!B12,0,IF('Reeksen (N)'!AK12&lt;='Reeksen (N)'!AE12,('Reeksen (N)'!B12-'Reeksen (N)'!D12)*X44,0))</f>
        <v>0</v>
      </c>
      <c r="AB44" s="98">
        <f>IF('Reeksen (N)'!D12&gt;='Reeksen (N)'!B12,0,IF('Reeksen (N)'!AK12&gt;'Reeksen (N)'!AE12,('Reeksen (N)'!B12-'Reeksen (N)'!D12)*X44,0))</f>
        <v>0</v>
      </c>
      <c r="AC44" s="99">
        <f ca="1">IF(E44&gt;='Invoer gegevens (N)'!$C$17+15,0,X44-Y44)</f>
        <v>0</v>
      </c>
      <c r="AD44" s="98">
        <f ca="1">IF('Invoer gegevens (N)'!$C$17=E12,R44,IF(C12=0,0,AE43))</f>
        <v>0</v>
      </c>
      <c r="AE44" s="98">
        <f t="shared" ca="1" si="10"/>
        <v>0</v>
      </c>
      <c r="AF44" s="98">
        <f ca="1">IF('Invoer gegevens (N)'!$C$17=E12,X44,IF(C12=0,0,AG43))</f>
        <v>0</v>
      </c>
      <c r="AG44" s="98">
        <f t="shared" ca="1" si="11"/>
        <v>0</v>
      </c>
      <c r="AH44" s="68"/>
      <c r="AI44" s="71">
        <f ca="1">IF(C44=1,'Reeksen (N)'!AJ12*((F44-G44+F44)/2)*12+'Reeksen (N)'!AK12*((L44-M44+L44)/2)*12,0)</f>
        <v>0</v>
      </c>
      <c r="AJ44" s="71">
        <f ca="1">-AI44*'Invoer gegevens (N)'!$F$28</f>
        <v>0</v>
      </c>
      <c r="AK44" s="71">
        <f t="shared" ca="1" si="9"/>
        <v>0</v>
      </c>
      <c r="AL44" s="71">
        <f ca="1">IF(C44=1,'Reeksen (N)'!AL12*((F44-G44+F44)/2)*12+'Reeksen (N)'!AM12*((L44-M44+L44)/2)*12,0)</f>
        <v>0</v>
      </c>
      <c r="AM44" s="71">
        <f ca="1">-AL44*'Invoer gegevens (N)'!$F$31</f>
        <v>0</v>
      </c>
      <c r="AN44" s="71">
        <f t="shared" ca="1" si="12"/>
        <v>0</v>
      </c>
      <c r="AO44" s="71">
        <f ca="1">IF(E44&gt;='Invoer gegevens (N)'!$C$17+15,0,IF(C44=1,(H44+J44+N44+P44)*'Reeksen (N)'!AN12,0))</f>
        <v>0</v>
      </c>
      <c r="AP44" s="71">
        <f ca="1">-IF(C44=1,(H44+J44+N44+P44)*'Hulp - basis'!$O$550*'Reeksen (N)'!H12,0)</f>
        <v>0</v>
      </c>
      <c r="AQ44" s="71">
        <f ca="1">-IF(C44=1,(F44+K44+L44+Q44)/2*'Invoer gegevens (N)'!$I$33*'Reeksen (N)'!J12,0)</f>
        <v>0</v>
      </c>
      <c r="AR44" s="71">
        <f ca="1">-IF(C44=1,(I44*'Invoer gegevens (N)'!$I$34)*'Reeksen (N)'!J12,0)</f>
        <v>0</v>
      </c>
      <c r="AS44" s="71">
        <f ca="1">-IF(C44=1,(F44+K44+L44+Q44)/2*'Invoer gegevens (N)'!$I$35*'Reeksen (N)'!L12,0)</f>
        <v>0</v>
      </c>
      <c r="AT44" s="71">
        <f ca="1">-IF(C44=1,IF(E44='Invoer gegevens (N)'!$C$17,'Invoer gegevens (N)'!$C$11,AD44)*'Reeksen (N)'!S12*'Invoer gegevens (N)'!$C$18*'Reeksen (N)'!P12,0)</f>
        <v>0</v>
      </c>
      <c r="AU44" s="71">
        <f ca="1">-IF(C44=1,(F44+K44+L44+Q44)/2*'Invoer gegevens (N)'!$I$36*'Reeksen (N)'!H12,0)</f>
        <v>0</v>
      </c>
      <c r="AV44" s="71">
        <v>0</v>
      </c>
      <c r="AW44" s="71">
        <f t="shared" ca="1" si="13"/>
        <v>0</v>
      </c>
      <c r="AX44" s="72">
        <f ca="1">IF(E44='Invoer gegevens (N)'!$C$17+14,'RW - BW - UP (N)'!$AY$236,0)</f>
        <v>0</v>
      </c>
      <c r="AY44" s="72">
        <f ca="1">IFERROR(IF(E44='Invoer gegevens (N)'!$C$17,-'Invoer gegevens (N)'!$C$10*('Invoer gegevens (N)'!$C$30+'Invoer gegevens (N)'!$C$31)*'Reeksen (N)'!H12,0),0)</f>
        <v>0</v>
      </c>
      <c r="AZ44" s="73">
        <f ca="1">IF('Invoer gegevens (N)'!$C$34=E44,'Invoer gegevens (N)'!$C$27*'Invoer gegevens (N)'!$C$10*'Invoer gegevens (N)'!$C$36*(IF('Invoer gegevens (N)'!$C$35="ja",1,'Reeksen (N)'!J12)),IF('Invoer gegevens (N)'!$C$34+1=E44,'Invoer gegevens (N)'!$C$27*'Invoer gegevens (N)'!$C$10*'Invoer gegevens (N)'!$C$37*(IF('Invoer gegevens (N)'!$C$35="ja",1,'Reeksen (N)'!J12)),0))+IF(AND(E44='Invoer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4" s="73">
        <f ca="1">AW44/(1+'Invoer gegevens (N)'!$F$18)^($D44-('Invoer gegevens (N)'!$C$17-'Invoer gegevens (N)'!$C$16))/(1+'Invoer gegevens (N)'!$C$39)^('Invoer gegevens (N)'!$C$17-'Invoer gegevens (N)'!$C$16)</f>
        <v>0</v>
      </c>
      <c r="BB44" s="73">
        <f ca="1">AX44/(1+'Invoer gegevens (N)'!$F$18)^(E44-('Invoer gegevens (N)'!$C$17-1))/(1+'Invoer gegevens (N)'!$C$39)^('Invoer gegevens (N)'!$C$17-'Invoer gegevens (N)'!$C$16)</f>
        <v>0</v>
      </c>
      <c r="BC44" s="73">
        <f ca="1">AY44/(1+'Invoer gegevens (N)'!$C$39)^('Invoer gegevens (N)'!$C$17-'Invoer gegevens (N)'!$C$16)</f>
        <v>0</v>
      </c>
      <c r="BD44" s="72">
        <f t="shared" ca="1" si="14"/>
        <v>0</v>
      </c>
      <c r="BE44" s="72">
        <f ca="1">IF(AND(E44='Invoer gegevens (N)'!$C$16,'Invoer gegevens (N)'!$C$34&lt;'Invoer gegevens (N)'!$C$16),AZ44,AZ44/(1+'Invoer gegevens (N)'!$C$39)^D44)</f>
        <v>0</v>
      </c>
      <c r="BF44" s="72">
        <f ca="1">IF(E44='Invoer gegevens (N)'!$C$34,-'Invoer gegevens (N)'!$F$40,0)</f>
        <v>0</v>
      </c>
      <c r="BG44" s="72">
        <f ca="1">IF(E44='Invoer gegevens (N)'!$C$17,-'Invoer gegevens (N)'!$C$19*$BD$63,0)</f>
        <v>0</v>
      </c>
      <c r="BH44" s="72">
        <f ca="1">AW44/(1+$BH$36)^($D44-('Invoer gegevens (N)'!$C$17-'Invoer gegevens (N)'!$C$16))/(1+'Invoer gegevens (N)'!$C$39)^('Invoer gegevens (N)'!$C$17-'Invoer gegevens (N)'!$C$16)+AX44/(1+$BH$36)^(E44-('Invoer gegevens (N)'!$C$17-1))/(1+'Invoer gegevens (N)'!$C$39)^('Invoer gegevens (N)'!$C$17-'Invoer gegevens (N)'!$C$16)+AY44/(1+'Invoer gegevens (N)'!$C$39)^('Invoer gegevens (N)'!$C$17-'Invoer gegevens (N)'!$C$16)+(-AZ44/(1+'Invoer gegevens (N)'!$C$39)^D44)+BF44+BG44</f>
        <v>0</v>
      </c>
      <c r="BI44" s="59"/>
    </row>
    <row r="45" spans="1:61" x14ac:dyDescent="0.25">
      <c r="A45" s="59"/>
      <c r="B45" s="70">
        <f t="shared" si="15"/>
        <v>9</v>
      </c>
      <c r="C45" s="67">
        <f ca="1">IF(AND(E45&gt;='Invoer gegevens (N)'!$C$17,E45&lt;'Invoer gegevens (N)'!$C$17+15),1,0)</f>
        <v>1</v>
      </c>
      <c r="D45" s="68">
        <f t="shared" si="16"/>
        <v>8.5</v>
      </c>
      <c r="E45" s="69">
        <f ca="1">IF('Invoer gegevens (N)'!$C$16="","",E44+1)</f>
        <v>2027</v>
      </c>
      <c r="F45" s="84">
        <f ca="1">IF('Invoer gegevens (N)'!$C$17=E45,'Invoer gegevens (N)'!$C$10,IF(C45=1,K44,0))</f>
        <v>0</v>
      </c>
      <c r="G45" s="96">
        <f ca="1">IF(E45='Invoer gegevens (N)'!$C$17+15,K44,IF(C45&gt;=1,F45*VLOOKUP(E45,'Reeksen (N)'!$A$5:$B$76,2),0))</f>
        <v>0</v>
      </c>
      <c r="H45" s="84">
        <f ca="1">IF(E45='Invoer gegevens (N)'!$C$17+15,K44,(1-('Invoer gegevens (N)'!$F$20/12))*F45*MIN('Reeksen (N)'!B13,'Reeksen (N)'!D13))</f>
        <v>0</v>
      </c>
      <c r="I45" s="84">
        <f>IF('Reeksen (N)'!D13&lt;'Reeksen (N)'!B13,('Reeksen (N)'!B13-'Reeksen (N)'!D13)*F45,0)</f>
        <v>0</v>
      </c>
      <c r="J45" s="84">
        <f ca="1">IF(E45='Invoer gegevens (N)'!$C$17+16,0,('Invoer gegevens (N)'!$F$20/12)*F44*MIN('Reeksen (N)'!B12,'Reeksen (N)'!D12))</f>
        <v>0</v>
      </c>
      <c r="K45" s="97">
        <f ca="1">IF(E45&gt;='Invoer gegevens (N)'!$C$17+15,0,F45-G45)</f>
        <v>0</v>
      </c>
      <c r="L45" s="84">
        <f ca="1">IF('Invoer gegevens (N)'!$C$17=E45,0,IF(C45=1,Q44,0))</f>
        <v>0</v>
      </c>
      <c r="M45" s="96">
        <f ca="1">IF(E45='Invoer gegevens (N)'!$C$17+15,Q44,IF(C45&gt;=1,L45*VLOOKUP(E45,'Reeksen (N)'!$A$5:$B$76,2),0))</f>
        <v>0</v>
      </c>
      <c r="N45" s="84">
        <f ca="1">IF(C45='Invoer gegevens (N)'!$C$17+15,Q44,(1-('Invoer gegevens (N)'!$F$20/12))*L45*MIN('Reeksen (N)'!B13,'Reeksen (N)'!D13))</f>
        <v>0</v>
      </c>
      <c r="O45" s="84">
        <f>IF('Reeksen (N)'!D13&lt;'Reeksen (N)'!B13,('Reeksen (N)'!B13-'Reeksen (N)'!D13)*L45,0)</f>
        <v>0</v>
      </c>
      <c r="P45" s="84">
        <f ca="1">IF(E45='Invoer gegevens (N)'!$C$17+16,0,('Invoer gegevens (N)'!$F$20/12)*L44*MIN('Reeksen (N)'!B12,'Reeksen (N)'!D12))</f>
        <v>0</v>
      </c>
      <c r="Q45" s="84">
        <f ca="1">IF(E45&gt;='Invoer gegevens (N)'!$C$17+15,0,L45-M45+I45+O45)</f>
        <v>0</v>
      </c>
      <c r="R45" s="82">
        <f ca="1">IF('Invoer gegevens (N)'!$C$17=E45,'Invoer gegevens (N)'!$C$11,IF(C45=1,W44,0))</f>
        <v>0</v>
      </c>
      <c r="S45" s="86">
        <f ca="1">IF(E45='Invoer gegevens (N)'!$C$17+15,W44,IF(C45&gt;=1,R45*VLOOKUP(E45,'Reeksen (N)'!$A$5:$B$76,2),0))</f>
        <v>0</v>
      </c>
      <c r="T45" s="84">
        <f ca="1">IF(E45='Invoer gegevens (N)'!$C$17+15,W44,(1-('Invoer gegevens (N)'!$F$20/12))*R45*MIN('Reeksen (N)'!B13,'Reeksen (N)'!D13))</f>
        <v>0</v>
      </c>
      <c r="U45" s="84">
        <f>IF('Reeksen (N)'!D13&gt;='Reeksen (N)'!B13,0,IF('Reeksen (N)'!AK13&lt;='Reeksen (N)'!AE13,('Reeksen (N)'!B13-'Reeksen (N)'!D13)*R45,0))</f>
        <v>0</v>
      </c>
      <c r="V45" s="86">
        <f>IF('Reeksen (N)'!D13&gt;='Reeksen (N)'!B13,0,IF('Reeksen (N)'!AK13&gt;'Reeksen (N)'!AE13,('Reeksen (N)'!B13-'Reeksen (N)'!D13)*R45,0))</f>
        <v>0</v>
      </c>
      <c r="W45" s="97">
        <f ca="1">IF(E45&gt;='Invoer gegevens (N)'!$C$17+15,0,R45-S45)</f>
        <v>0</v>
      </c>
      <c r="X45" s="98">
        <f ca="1">IF('Invoer gegevens (N)'!$C$17=E45,'Invoer gegevens (N)'!$C$10-'Invoer gegevens (N)'!$C$11,IF(C45=1,AC44,0))</f>
        <v>0</v>
      </c>
      <c r="Y45" s="98">
        <f ca="1">IF(E45='Invoer gegevens (N)'!$C$17+15,AC44,IF(C45&gt;=1,X45*VLOOKUP(E45,'Reeksen (N)'!$A$5:$B$76,2),0))</f>
        <v>0</v>
      </c>
      <c r="Z45" s="98">
        <f ca="1">IF(E45='Invoer gegevens (N)'!$C$17+15,AC44,(1-('Invoer gegevens (N)'!$F$20/12))*X45*MIN('Reeksen (N)'!B13,'Reeksen (N)'!D13))</f>
        <v>0</v>
      </c>
      <c r="AA45" s="98">
        <f>IF('Reeksen (N)'!D13&gt;='Reeksen (N)'!B13,0,IF('Reeksen (N)'!AK13&lt;='Reeksen (N)'!AE13,('Reeksen (N)'!B13-'Reeksen (N)'!D13)*X45,0))</f>
        <v>0</v>
      </c>
      <c r="AB45" s="98">
        <f>IF('Reeksen (N)'!D13&gt;='Reeksen (N)'!B13,0,IF('Reeksen (N)'!AK13&gt;'Reeksen (N)'!AE13,('Reeksen (N)'!B13-'Reeksen (N)'!D13)*X45,0))</f>
        <v>0</v>
      </c>
      <c r="AC45" s="99">
        <f ca="1">IF(E45&gt;='Invoer gegevens (N)'!$C$17+15,0,X45-Y45)</f>
        <v>0</v>
      </c>
      <c r="AD45" s="98">
        <f ca="1">IF('Invoer gegevens (N)'!$C$17=E13,R45,IF(C13=0,0,AE44))</f>
        <v>0</v>
      </c>
      <c r="AE45" s="98">
        <f t="shared" ca="1" si="10"/>
        <v>0</v>
      </c>
      <c r="AF45" s="98">
        <f ca="1">IF('Invoer gegevens (N)'!$C$17=E13,X45,IF(C13=0,0,AG44))</f>
        <v>0</v>
      </c>
      <c r="AG45" s="98">
        <f t="shared" ca="1" si="11"/>
        <v>0</v>
      </c>
      <c r="AH45" s="68"/>
      <c r="AI45" s="71">
        <f ca="1">IF(C45=1,'Reeksen (N)'!AJ13*((F45-G45+F45)/2)*12+'Reeksen (N)'!AK13*((L45-M45+L45)/2)*12,0)</f>
        <v>0</v>
      </c>
      <c r="AJ45" s="71">
        <f ca="1">-AI45*'Invoer gegevens (N)'!$F$28</f>
        <v>0</v>
      </c>
      <c r="AK45" s="71">
        <f t="shared" ca="1" si="9"/>
        <v>0</v>
      </c>
      <c r="AL45" s="71">
        <f ca="1">IF(C45=1,'Reeksen (N)'!AL13*((F45-G45+F45)/2)*12+'Reeksen (N)'!AM13*((L45-M45+L45)/2)*12,0)</f>
        <v>0</v>
      </c>
      <c r="AM45" s="71">
        <f ca="1">-AL45*'Invoer gegevens (N)'!$F$31</f>
        <v>0</v>
      </c>
      <c r="AN45" s="71">
        <f t="shared" ca="1" si="12"/>
        <v>0</v>
      </c>
      <c r="AO45" s="71">
        <f ca="1">IF(E45&gt;='Invoer gegevens (N)'!$C$17+15,0,IF(C45=1,(H45+J45+N45+P45)*'Reeksen (N)'!AN13,0))</f>
        <v>0</v>
      </c>
      <c r="AP45" s="71">
        <f ca="1">-IF(C45=1,(H45+J45+N45+P45)*'Hulp - basis'!$O$550*'Reeksen (N)'!H13,0)</f>
        <v>0</v>
      </c>
      <c r="AQ45" s="71">
        <f ca="1">-IF(C45=1,(F45+K45+L45+Q45)/2*'Invoer gegevens (N)'!$I$33*'Reeksen (N)'!J13,0)</f>
        <v>0</v>
      </c>
      <c r="AR45" s="71">
        <f ca="1">-IF(C45=1,(I45*'Invoer gegevens (N)'!$I$34)*'Reeksen (N)'!J13,0)</f>
        <v>0</v>
      </c>
      <c r="AS45" s="71">
        <f ca="1">-IF(C45=1,(F45+K45+L45+Q45)/2*'Invoer gegevens (N)'!$I$35*'Reeksen (N)'!L13,0)</f>
        <v>0</v>
      </c>
      <c r="AT45" s="71">
        <f ca="1">-IF(C45=1,IF(E45='Invoer gegevens (N)'!$C$17,'Invoer gegevens (N)'!$C$11,AD45)*'Reeksen (N)'!S13*'Invoer gegevens (N)'!$C$18*'Reeksen (N)'!P13,0)</f>
        <v>0</v>
      </c>
      <c r="AU45" s="71">
        <f ca="1">-IF(C45=1,(F45+K45+L45+Q45)/2*'Invoer gegevens (N)'!$I$36*'Reeksen (N)'!H13,0)</f>
        <v>0</v>
      </c>
      <c r="AV45" s="71">
        <v>0</v>
      </c>
      <c r="AW45" s="71">
        <f t="shared" ca="1" si="13"/>
        <v>0</v>
      </c>
      <c r="AX45" s="72">
        <f ca="1">IF(E45='Invoer gegevens (N)'!$C$17+14,'RW - BW - UP (N)'!$AY$236,0)</f>
        <v>0</v>
      </c>
      <c r="AY45" s="72">
        <f ca="1">IFERROR(IF(E45='Invoer gegevens (N)'!$C$17,-'Invoer gegevens (N)'!$C$10*('Invoer gegevens (N)'!$C$30+'Invoer gegevens (N)'!$C$31)*'Reeksen (N)'!H13,0),0)</f>
        <v>0</v>
      </c>
      <c r="AZ45" s="73">
        <f ca="1">IF('Invoer gegevens (N)'!$C$34=E45,'Invoer gegevens (N)'!$C$27*'Invoer gegevens (N)'!$C$10*'Invoer gegevens (N)'!$C$36*(IF('Invoer gegevens (N)'!$C$35="ja",1,'Reeksen (N)'!J13)),IF('Invoer gegevens (N)'!$C$34+1=E45,'Invoer gegevens (N)'!$C$27*'Invoer gegevens (N)'!$C$10*'Invoer gegevens (N)'!$C$37*(IF('Invoer gegevens (N)'!$C$35="ja",1,'Reeksen (N)'!J13)),0))+IF(AND(E45='Invoer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5" s="73">
        <f ca="1">AW45/(1+'Invoer gegevens (N)'!$F$18)^($D45-('Invoer gegevens (N)'!$C$17-'Invoer gegevens (N)'!$C$16))/(1+'Invoer gegevens (N)'!$C$39)^('Invoer gegevens (N)'!$C$17-'Invoer gegevens (N)'!$C$16)</f>
        <v>0</v>
      </c>
      <c r="BB45" s="73">
        <f ca="1">AX45/(1+'Invoer gegevens (N)'!$F$18)^(E45-('Invoer gegevens (N)'!$C$17-1))/(1+'Invoer gegevens (N)'!$C$39)^('Invoer gegevens (N)'!$C$17-'Invoer gegevens (N)'!$C$16)</f>
        <v>0</v>
      </c>
      <c r="BC45" s="73">
        <f ca="1">AY45/(1+'Invoer gegevens (N)'!$C$39)^('Invoer gegevens (N)'!$C$17-'Invoer gegevens (N)'!$C$16)</f>
        <v>0</v>
      </c>
      <c r="BD45" s="72">
        <f t="shared" ca="1" si="14"/>
        <v>0</v>
      </c>
      <c r="BE45" s="72">
        <f ca="1">IF(AND(E45='Invoer gegevens (N)'!$C$16,'Invoer gegevens (N)'!$C$34&lt;'Invoer gegevens (N)'!$C$16),AZ45,AZ45/(1+'Invoer gegevens (N)'!$C$39)^D45)</f>
        <v>0</v>
      </c>
      <c r="BF45" s="72">
        <f ca="1">IF(E45='Invoer gegevens (N)'!$C$34,-'Invoer gegevens (N)'!$F$40,0)</f>
        <v>0</v>
      </c>
      <c r="BG45" s="72">
        <f ca="1">IF(E45='Invoer gegevens (N)'!$C$17,-'Invoer gegevens (N)'!$C$19*$BD$63,0)</f>
        <v>0</v>
      </c>
      <c r="BH45" s="72">
        <f ca="1">AW45/(1+$BH$36)^($D45-('Invoer gegevens (N)'!$C$17-'Invoer gegevens (N)'!$C$16))/(1+'Invoer gegevens (N)'!$C$39)^('Invoer gegevens (N)'!$C$17-'Invoer gegevens (N)'!$C$16)+AX45/(1+$BH$36)^(E45-('Invoer gegevens (N)'!$C$17-1))/(1+'Invoer gegevens (N)'!$C$39)^('Invoer gegevens (N)'!$C$17-'Invoer gegevens (N)'!$C$16)+AY45/(1+'Invoer gegevens (N)'!$C$39)^('Invoer gegevens (N)'!$C$17-'Invoer gegevens (N)'!$C$16)+(-AZ45/(1+'Invoer gegevens (N)'!$C$39)^D45)+BF45+BG45</f>
        <v>0</v>
      </c>
      <c r="BI45" s="59"/>
    </row>
    <row r="46" spans="1:61" x14ac:dyDescent="0.25">
      <c r="A46" s="59"/>
      <c r="B46" s="70">
        <f t="shared" si="15"/>
        <v>10</v>
      </c>
      <c r="C46" s="67">
        <f ca="1">IF(AND(E46&gt;='Invoer gegevens (N)'!$C$17,E46&lt;'Invoer gegevens (N)'!$C$17+15),1,0)</f>
        <v>1</v>
      </c>
      <c r="D46" s="68">
        <f t="shared" si="16"/>
        <v>9.5</v>
      </c>
      <c r="E46" s="69">
        <f ca="1">IF('Invoer gegevens (N)'!$C$16="","",E45+1)</f>
        <v>2028</v>
      </c>
      <c r="F46" s="84">
        <f ca="1">IF('Invoer gegevens (N)'!$C$17=E46,'Invoer gegevens (N)'!$C$10,IF(C46=1,K45,0))</f>
        <v>0</v>
      </c>
      <c r="G46" s="96">
        <f ca="1">IF(E46='Invoer gegevens (N)'!$C$17+15,K45,IF(C46&gt;=1,F46*VLOOKUP(E46,'Reeksen (N)'!$A$5:$B$76,2),0))</f>
        <v>0</v>
      </c>
      <c r="H46" s="84">
        <f ca="1">IF(E46='Invoer gegevens (N)'!$C$17+15,K45,(1-('Invoer gegevens (N)'!$F$20/12))*F46*MIN('Reeksen (N)'!B14,'Reeksen (N)'!D14))</f>
        <v>0</v>
      </c>
      <c r="I46" s="84">
        <f>IF('Reeksen (N)'!D14&lt;'Reeksen (N)'!B14,('Reeksen (N)'!B14-'Reeksen (N)'!D14)*F46,0)</f>
        <v>0</v>
      </c>
      <c r="J46" s="84">
        <f ca="1">IF(E46='Invoer gegevens (N)'!$C$17+16,0,('Invoer gegevens (N)'!$F$20/12)*F45*MIN('Reeksen (N)'!B13,'Reeksen (N)'!D13))</f>
        <v>0</v>
      </c>
      <c r="K46" s="97">
        <f ca="1">IF(E46&gt;='Invoer gegevens (N)'!$C$17+15,0,F46-G46)</f>
        <v>0</v>
      </c>
      <c r="L46" s="84">
        <f ca="1">IF('Invoer gegevens (N)'!$C$17=E46,0,IF(C46=1,Q45,0))</f>
        <v>0</v>
      </c>
      <c r="M46" s="96">
        <f ca="1">IF(E46='Invoer gegevens (N)'!$C$17+15,Q45,IF(C46&gt;=1,L46*VLOOKUP(E46,'Reeksen (N)'!$A$5:$B$76,2),0))</f>
        <v>0</v>
      </c>
      <c r="N46" s="84">
        <f ca="1">IF(C46='Invoer gegevens (N)'!$C$17+15,Q45,(1-('Invoer gegevens (N)'!$F$20/12))*L46*MIN('Reeksen (N)'!B14,'Reeksen (N)'!D14))</f>
        <v>0</v>
      </c>
      <c r="O46" s="84">
        <f>IF('Reeksen (N)'!D14&lt;'Reeksen (N)'!B14,('Reeksen (N)'!B14-'Reeksen (N)'!D14)*L46,0)</f>
        <v>0</v>
      </c>
      <c r="P46" s="84">
        <f ca="1">IF(E46='Invoer gegevens (N)'!$C$17+16,0,('Invoer gegevens (N)'!$F$20/12)*L45*MIN('Reeksen (N)'!B13,'Reeksen (N)'!D13))</f>
        <v>0</v>
      </c>
      <c r="Q46" s="84">
        <f ca="1">IF(E46&gt;='Invoer gegevens (N)'!$C$17+15,0,L46-M46+I46+O46)</f>
        <v>0</v>
      </c>
      <c r="R46" s="82">
        <f ca="1">IF('Invoer gegevens (N)'!$C$17=E46,'Invoer gegevens (N)'!$C$11,IF(C46=1,W45,0))</f>
        <v>0</v>
      </c>
      <c r="S46" s="86">
        <f ca="1">IF(E46='Invoer gegevens (N)'!$C$17+15,W45,IF(C46&gt;=1,R46*VLOOKUP(E46,'Reeksen (N)'!$A$5:$B$76,2),0))</f>
        <v>0</v>
      </c>
      <c r="T46" s="84">
        <f ca="1">IF(E46='Invoer gegevens (N)'!$C$17+15,W45,(1-('Invoer gegevens (N)'!$F$20/12))*R46*MIN('Reeksen (N)'!B14,'Reeksen (N)'!D14))</f>
        <v>0</v>
      </c>
      <c r="U46" s="84">
        <f>IF('Reeksen (N)'!D14&gt;='Reeksen (N)'!B14,0,IF('Reeksen (N)'!AK14&lt;='Reeksen (N)'!AE14,('Reeksen (N)'!B14-'Reeksen (N)'!D14)*R46,0))</f>
        <v>0</v>
      </c>
      <c r="V46" s="86">
        <f>IF('Reeksen (N)'!D14&gt;='Reeksen (N)'!B14,0,IF('Reeksen (N)'!AK14&gt;'Reeksen (N)'!AE14,('Reeksen (N)'!B14-'Reeksen (N)'!D14)*R46,0))</f>
        <v>0</v>
      </c>
      <c r="W46" s="97">
        <f ca="1">IF(E46&gt;='Invoer gegevens (N)'!$C$17+15,0,R46-S46)</f>
        <v>0</v>
      </c>
      <c r="X46" s="98">
        <f ca="1">IF('Invoer gegevens (N)'!$C$17=E46,'Invoer gegevens (N)'!$C$10-'Invoer gegevens (N)'!$C$11,IF(C46=1,AC45,0))</f>
        <v>0</v>
      </c>
      <c r="Y46" s="98">
        <f ca="1">IF(E46='Invoer gegevens (N)'!$C$17+15,AC45,IF(C46&gt;=1,X46*VLOOKUP(E46,'Reeksen (N)'!$A$5:$B$76,2),0))</f>
        <v>0</v>
      </c>
      <c r="Z46" s="98">
        <f ca="1">IF(E46='Invoer gegevens (N)'!$C$17+15,AC45,(1-('Invoer gegevens (N)'!$F$20/12))*X46*MIN('Reeksen (N)'!B14,'Reeksen (N)'!D14))</f>
        <v>0</v>
      </c>
      <c r="AA46" s="98">
        <f>IF('Reeksen (N)'!D14&gt;='Reeksen (N)'!B14,0,IF('Reeksen (N)'!AK14&lt;='Reeksen (N)'!AE14,('Reeksen (N)'!B14-'Reeksen (N)'!D14)*X46,0))</f>
        <v>0</v>
      </c>
      <c r="AB46" s="98">
        <f>IF('Reeksen (N)'!D14&gt;='Reeksen (N)'!B14,0,IF('Reeksen (N)'!AK14&gt;'Reeksen (N)'!AE14,('Reeksen (N)'!B14-'Reeksen (N)'!D14)*X46,0))</f>
        <v>0</v>
      </c>
      <c r="AC46" s="99">
        <f ca="1">IF(E46&gt;='Invoer gegevens (N)'!$C$17+15,0,X46-Y46)</f>
        <v>0</v>
      </c>
      <c r="AD46" s="98">
        <f ca="1">IF('Invoer gegevens (N)'!$C$17=E14,R46,IF(C14=0,0,AE45))</f>
        <v>0</v>
      </c>
      <c r="AE46" s="98">
        <f t="shared" ca="1" si="10"/>
        <v>0</v>
      </c>
      <c r="AF46" s="98">
        <f ca="1">IF('Invoer gegevens (N)'!$C$17=E14,X46,IF(C14=0,0,AG45))</f>
        <v>0</v>
      </c>
      <c r="AG46" s="98">
        <f t="shared" ca="1" si="11"/>
        <v>0</v>
      </c>
      <c r="AH46" s="68"/>
      <c r="AI46" s="71">
        <f ca="1">IF(C46=1,'Reeksen (N)'!AJ14*((F46-G46+F46)/2)*12+'Reeksen (N)'!AK14*((L46-M46+L46)/2)*12,0)</f>
        <v>0</v>
      </c>
      <c r="AJ46" s="71">
        <f ca="1">-AI46*'Invoer gegevens (N)'!$F$28</f>
        <v>0</v>
      </c>
      <c r="AK46" s="71">
        <f t="shared" ca="1" si="9"/>
        <v>0</v>
      </c>
      <c r="AL46" s="71">
        <f ca="1">IF(C46=1,'Reeksen (N)'!AL14*((F46-G46+F46)/2)*12+'Reeksen (N)'!AM14*((L46-M46+L46)/2)*12,0)</f>
        <v>0</v>
      </c>
      <c r="AM46" s="71">
        <f ca="1">-AL46*'Invoer gegevens (N)'!$F$31</f>
        <v>0</v>
      </c>
      <c r="AN46" s="71">
        <f t="shared" ca="1" si="12"/>
        <v>0</v>
      </c>
      <c r="AO46" s="71">
        <f ca="1">IF(E46&gt;='Invoer gegevens (N)'!$C$17+15,0,IF(C46=1,(H46+J46+N46+P46)*'Reeksen (N)'!AN14,0))</f>
        <v>0</v>
      </c>
      <c r="AP46" s="71">
        <f ca="1">-IF(C46=1,(H46+J46+N46+P46)*'Hulp - basis'!$O$550*'Reeksen (N)'!H14,0)</f>
        <v>0</v>
      </c>
      <c r="AQ46" s="71">
        <f ca="1">-IF(C46=1,(F46+K46+L46+Q46)/2*'Invoer gegevens (N)'!$I$33*'Reeksen (N)'!J14,0)</f>
        <v>0</v>
      </c>
      <c r="AR46" s="71">
        <f ca="1">-IF(C46=1,(I46*'Invoer gegevens (N)'!$I$34)*'Reeksen (N)'!J14,0)</f>
        <v>0</v>
      </c>
      <c r="AS46" s="71">
        <f ca="1">-IF(C46=1,(F46+K46+L46+Q46)/2*'Invoer gegevens (N)'!$I$35*'Reeksen (N)'!L14,0)</f>
        <v>0</v>
      </c>
      <c r="AT46" s="71">
        <f ca="1">-IF(C46=1,IF(E46='Invoer gegevens (N)'!$C$17,'Invoer gegevens (N)'!$C$11,AD46)*'Reeksen (N)'!S14*'Invoer gegevens (N)'!$C$18*'Reeksen (N)'!P14,0)</f>
        <v>0</v>
      </c>
      <c r="AU46" s="71">
        <f ca="1">-IF(C46=1,(F46+K46+L46+Q46)/2*'Invoer gegevens (N)'!$I$36*'Reeksen (N)'!H14,0)</f>
        <v>0</v>
      </c>
      <c r="AV46" s="71">
        <v>0</v>
      </c>
      <c r="AW46" s="71">
        <f t="shared" ca="1" si="13"/>
        <v>0</v>
      </c>
      <c r="AX46" s="72">
        <f ca="1">IF(E46='Invoer gegevens (N)'!$C$17+14,'RW - BW - UP (N)'!$AY$236,0)</f>
        <v>0</v>
      </c>
      <c r="AY46" s="72">
        <f ca="1">IFERROR(IF(E46='Invoer gegevens (N)'!$C$17,-'Invoer gegevens (N)'!$C$10*('Invoer gegevens (N)'!$C$30+'Invoer gegevens (N)'!$C$31)*'Reeksen (N)'!H14,0),0)</f>
        <v>0</v>
      </c>
      <c r="AZ46" s="73">
        <f ca="1">IF('Invoer gegevens (N)'!$C$34=E46,'Invoer gegevens (N)'!$C$27*'Invoer gegevens (N)'!$C$10*'Invoer gegevens (N)'!$C$36*(IF('Invoer gegevens (N)'!$C$35="ja",1,'Reeksen (N)'!J14)),IF('Invoer gegevens (N)'!$C$34+1=E46,'Invoer gegevens (N)'!$C$27*'Invoer gegevens (N)'!$C$10*'Invoer gegevens (N)'!$C$37*(IF('Invoer gegevens (N)'!$C$35="ja",1,'Reeksen (N)'!J14)),0))+IF(AND(E46='Invoer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6" s="73">
        <f ca="1">AW46/(1+'Invoer gegevens (N)'!$F$18)^($D46-('Invoer gegevens (N)'!$C$17-'Invoer gegevens (N)'!$C$16))/(1+'Invoer gegevens (N)'!$C$39)^('Invoer gegevens (N)'!$C$17-'Invoer gegevens (N)'!$C$16)</f>
        <v>0</v>
      </c>
      <c r="BB46" s="73">
        <f ca="1">AX46/(1+'Invoer gegevens (N)'!$F$18)^(E46-('Invoer gegevens (N)'!$C$17-1))/(1+'Invoer gegevens (N)'!$C$39)^('Invoer gegevens (N)'!$C$17-'Invoer gegevens (N)'!$C$16)</f>
        <v>0</v>
      </c>
      <c r="BC46" s="73">
        <f ca="1">AY46/(1+'Invoer gegevens (N)'!$C$39)^('Invoer gegevens (N)'!$C$17-'Invoer gegevens (N)'!$C$16)</f>
        <v>0</v>
      </c>
      <c r="BD46" s="72">
        <f t="shared" ca="1" si="14"/>
        <v>0</v>
      </c>
      <c r="BE46" s="72">
        <f ca="1">IF(AND(E46='Invoer gegevens (N)'!$C$16,'Invoer gegevens (N)'!$C$34&lt;'Invoer gegevens (N)'!$C$16),AZ46,AZ46/(1+'Invoer gegevens (N)'!$C$39)^D46)</f>
        <v>0</v>
      </c>
      <c r="BF46" s="72">
        <f ca="1">IF(E46='Invoer gegevens (N)'!$C$34,-'Invoer gegevens (N)'!$F$40,0)</f>
        <v>0</v>
      </c>
      <c r="BG46" s="72">
        <f ca="1">IF(E46='Invoer gegevens (N)'!$C$17,-'Invoer gegevens (N)'!$C$19*$BD$63,0)</f>
        <v>0</v>
      </c>
      <c r="BH46" s="72">
        <f ca="1">AW46/(1+$BH$36)^($D46-('Invoer gegevens (N)'!$C$17-'Invoer gegevens (N)'!$C$16))/(1+'Invoer gegevens (N)'!$C$39)^('Invoer gegevens (N)'!$C$17-'Invoer gegevens (N)'!$C$16)+AX46/(1+$BH$36)^(E46-('Invoer gegevens (N)'!$C$17-1))/(1+'Invoer gegevens (N)'!$C$39)^('Invoer gegevens (N)'!$C$17-'Invoer gegevens (N)'!$C$16)+AY46/(1+'Invoer gegevens (N)'!$C$39)^('Invoer gegevens (N)'!$C$17-'Invoer gegevens (N)'!$C$16)+(-AZ46/(1+'Invoer gegevens (N)'!$C$39)^D46)+BF46+BG46</f>
        <v>0</v>
      </c>
      <c r="BI46" s="59"/>
    </row>
    <row r="47" spans="1:61" x14ac:dyDescent="0.25">
      <c r="A47" s="59"/>
      <c r="B47" s="70">
        <f t="shared" si="15"/>
        <v>11</v>
      </c>
      <c r="C47" s="67">
        <f ca="1">IF(AND(E47&gt;='Invoer gegevens (N)'!$C$17,E47&lt;'Invoer gegevens (N)'!$C$17+15),1,0)</f>
        <v>1</v>
      </c>
      <c r="D47" s="68">
        <f t="shared" si="16"/>
        <v>10.5</v>
      </c>
      <c r="E47" s="69">
        <f ca="1">IF('Invoer gegevens (N)'!$C$16="","",E46+1)</f>
        <v>2029</v>
      </c>
      <c r="F47" s="84">
        <f ca="1">IF('Invoer gegevens (N)'!$C$17=E47,'Invoer gegevens (N)'!$C$10,IF(C47=1,K46,0))</f>
        <v>0</v>
      </c>
      <c r="G47" s="96">
        <f ca="1">IF(E47='Invoer gegevens (N)'!$C$17+15,K46,IF(C47&gt;=1,F47*VLOOKUP(E47,'Reeksen (N)'!$A$5:$B$76,2),0))</f>
        <v>0</v>
      </c>
      <c r="H47" s="84">
        <f ca="1">IF(E47='Invoer gegevens (N)'!$C$17+15,K46,(1-('Invoer gegevens (N)'!$F$20/12))*F47*MIN('Reeksen (N)'!B15,'Reeksen (N)'!D15))</f>
        <v>0</v>
      </c>
      <c r="I47" s="84">
        <f>IF('Reeksen (N)'!D15&lt;'Reeksen (N)'!B15,('Reeksen (N)'!B15-'Reeksen (N)'!D15)*F47,0)</f>
        <v>0</v>
      </c>
      <c r="J47" s="84">
        <f ca="1">IF(E47='Invoer gegevens (N)'!$C$17+16,0,('Invoer gegevens (N)'!$F$20/12)*F46*MIN('Reeksen (N)'!B14,'Reeksen (N)'!D14))</f>
        <v>0</v>
      </c>
      <c r="K47" s="97">
        <f ca="1">IF(E47&gt;='Invoer gegevens (N)'!$C$17+15,0,F47-G47)</f>
        <v>0</v>
      </c>
      <c r="L47" s="84">
        <f ca="1">IF('Invoer gegevens (N)'!$C$17=E47,0,IF(C47=1,Q46,0))</f>
        <v>0</v>
      </c>
      <c r="M47" s="96">
        <f ca="1">IF(E47='Invoer gegevens (N)'!$C$17+15,Q46,IF(C47&gt;=1,L47*VLOOKUP(E47,'Reeksen (N)'!$A$5:$B$76,2),0))</f>
        <v>0</v>
      </c>
      <c r="N47" s="84">
        <f ca="1">IF(C47='Invoer gegevens (N)'!$C$17+15,Q46,(1-('Invoer gegevens (N)'!$F$20/12))*L47*MIN('Reeksen (N)'!B15,'Reeksen (N)'!D15))</f>
        <v>0</v>
      </c>
      <c r="O47" s="84">
        <f>IF('Reeksen (N)'!D15&lt;'Reeksen (N)'!B15,('Reeksen (N)'!B15-'Reeksen (N)'!D15)*L47,0)</f>
        <v>0</v>
      </c>
      <c r="P47" s="84">
        <f ca="1">IF(E47='Invoer gegevens (N)'!$C$17+16,0,('Invoer gegevens (N)'!$F$20/12)*L46*MIN('Reeksen (N)'!B14,'Reeksen (N)'!D14))</f>
        <v>0</v>
      </c>
      <c r="Q47" s="84">
        <f ca="1">IF(E47&gt;='Invoer gegevens (N)'!$C$17+15,0,L47-M47+I47+O47)</f>
        <v>0</v>
      </c>
      <c r="R47" s="82">
        <f ca="1">IF('Invoer gegevens (N)'!$C$17=E47,'Invoer gegevens (N)'!$C$11,IF(C47=1,W46,0))</f>
        <v>0</v>
      </c>
      <c r="S47" s="86">
        <f ca="1">IF(E47='Invoer gegevens (N)'!$C$17+15,W46,IF(C47&gt;=1,R47*VLOOKUP(E47,'Reeksen (N)'!$A$5:$B$76,2),0))</f>
        <v>0</v>
      </c>
      <c r="T47" s="84">
        <f ca="1">IF(E47='Invoer gegevens (N)'!$C$17+15,W46,(1-('Invoer gegevens (N)'!$F$20/12))*R47*MIN('Reeksen (N)'!B15,'Reeksen (N)'!D15))</f>
        <v>0</v>
      </c>
      <c r="U47" s="84">
        <f>IF('Reeksen (N)'!D15&gt;='Reeksen (N)'!B15,0,IF('Reeksen (N)'!AK15&lt;='Reeksen (N)'!AE15,('Reeksen (N)'!B15-'Reeksen (N)'!D15)*R47,0))</f>
        <v>0</v>
      </c>
      <c r="V47" s="86">
        <f>IF('Reeksen (N)'!D15&gt;='Reeksen (N)'!B15,0,IF('Reeksen (N)'!AK15&gt;'Reeksen (N)'!AE15,('Reeksen (N)'!B15-'Reeksen (N)'!D15)*R47,0))</f>
        <v>0</v>
      </c>
      <c r="W47" s="97">
        <f ca="1">IF(E47&gt;='Invoer gegevens (N)'!$C$17+15,0,R47-S47)</f>
        <v>0</v>
      </c>
      <c r="X47" s="98">
        <f ca="1">IF('Invoer gegevens (N)'!$C$17=E47,'Invoer gegevens (N)'!$C$10-'Invoer gegevens (N)'!$C$11,IF(C47=1,AC46,0))</f>
        <v>0</v>
      </c>
      <c r="Y47" s="98">
        <f ca="1">IF(E47='Invoer gegevens (N)'!$C$17+15,AC46,IF(C47&gt;=1,X47*VLOOKUP(E47,'Reeksen (N)'!$A$5:$B$76,2),0))</f>
        <v>0</v>
      </c>
      <c r="Z47" s="98">
        <f ca="1">IF(E47='Invoer gegevens (N)'!$C$17+15,AC46,(1-('Invoer gegevens (N)'!$F$20/12))*X47*MIN('Reeksen (N)'!B15,'Reeksen (N)'!D15))</f>
        <v>0</v>
      </c>
      <c r="AA47" s="98">
        <f>IF('Reeksen (N)'!D15&gt;='Reeksen (N)'!B15,0,IF('Reeksen (N)'!AK15&lt;='Reeksen (N)'!AE15,('Reeksen (N)'!B15-'Reeksen (N)'!D15)*X47,0))</f>
        <v>0</v>
      </c>
      <c r="AB47" s="98">
        <f>IF('Reeksen (N)'!D15&gt;='Reeksen (N)'!B15,0,IF('Reeksen (N)'!AK15&gt;'Reeksen (N)'!AE15,('Reeksen (N)'!B15-'Reeksen (N)'!D15)*X47,0))</f>
        <v>0</v>
      </c>
      <c r="AC47" s="99">
        <f ca="1">IF(E47&gt;='Invoer gegevens (N)'!$C$17+15,0,X47-Y47)</f>
        <v>0</v>
      </c>
      <c r="AD47" s="98">
        <f ca="1">IF('Invoer gegevens (N)'!$C$17=E15,R47,IF(C15=0,0,AE46))</f>
        <v>0</v>
      </c>
      <c r="AE47" s="98">
        <f t="shared" ca="1" si="10"/>
        <v>0</v>
      </c>
      <c r="AF47" s="98">
        <f ca="1">IF('Invoer gegevens (N)'!$C$17=E15,X47,IF(C15=0,0,AG46))</f>
        <v>0</v>
      </c>
      <c r="AG47" s="98">
        <f t="shared" ca="1" si="11"/>
        <v>0</v>
      </c>
      <c r="AH47" s="68"/>
      <c r="AI47" s="71">
        <f ca="1">IF(C47=1,'Reeksen (N)'!AJ15*((F47-G47+F47)/2)*12+'Reeksen (N)'!AK15*((L47-M47+L47)/2)*12,0)</f>
        <v>0</v>
      </c>
      <c r="AJ47" s="71">
        <f ca="1">-AI47*'Invoer gegevens (N)'!$F$28</f>
        <v>0</v>
      </c>
      <c r="AK47" s="71">
        <f t="shared" ca="1" si="9"/>
        <v>0</v>
      </c>
      <c r="AL47" s="71">
        <f ca="1">IF(C47=1,'Reeksen (N)'!AL15*((F47-G47+F47)/2)*12+'Reeksen (N)'!AM15*((L47-M47+L47)/2)*12,0)</f>
        <v>0</v>
      </c>
      <c r="AM47" s="71">
        <f ca="1">-AL47*'Invoer gegevens (N)'!$F$31</f>
        <v>0</v>
      </c>
      <c r="AN47" s="71">
        <f t="shared" ca="1" si="12"/>
        <v>0</v>
      </c>
      <c r="AO47" s="71">
        <f ca="1">IF(E47&gt;='Invoer gegevens (N)'!$C$17+15,0,IF(C47=1,(H47+J47+N47+P47)*'Reeksen (N)'!AN15,0))</f>
        <v>0</v>
      </c>
      <c r="AP47" s="71">
        <f ca="1">-IF(C47=1,(H47+J47+N47+P47)*'Hulp - basis'!$O$550*'Reeksen (N)'!H15,0)</f>
        <v>0</v>
      </c>
      <c r="AQ47" s="71">
        <f ca="1">-IF(C47=1,(F47+K47+L47+Q47)/2*'Invoer gegevens (N)'!$I$33*'Reeksen (N)'!J15,0)</f>
        <v>0</v>
      </c>
      <c r="AR47" s="71">
        <f ca="1">-IF(C47=1,(I47*'Invoer gegevens (N)'!$I$34)*'Reeksen (N)'!J15,0)</f>
        <v>0</v>
      </c>
      <c r="AS47" s="71">
        <f ca="1">-IF(C47=1,(F47+K47+L47+Q47)/2*'Invoer gegevens (N)'!$I$35*'Reeksen (N)'!L15,0)</f>
        <v>0</v>
      </c>
      <c r="AT47" s="71">
        <f ca="1">-IF(C47=1,IF(E47='Invoer gegevens (N)'!$C$17,'Invoer gegevens (N)'!$C$11,AD47)*'Reeksen (N)'!S15*'Invoer gegevens (N)'!$C$18*'Reeksen (N)'!P15,0)</f>
        <v>0</v>
      </c>
      <c r="AU47" s="71">
        <f ca="1">-IF(C47=1,(F47+K47+L47+Q47)/2*'Invoer gegevens (N)'!$I$36*'Reeksen (N)'!H15,0)</f>
        <v>0</v>
      </c>
      <c r="AV47" s="71">
        <v>0</v>
      </c>
      <c r="AW47" s="71">
        <f t="shared" ca="1" si="13"/>
        <v>0</v>
      </c>
      <c r="AX47" s="72">
        <f ca="1">IF(E47='Invoer gegevens (N)'!$C$17+14,'RW - BW - UP (N)'!$AY$236,0)</f>
        <v>0</v>
      </c>
      <c r="AY47" s="72">
        <f ca="1">IFERROR(IF(E47='Invoer gegevens (N)'!$C$17,-'Invoer gegevens (N)'!$C$10*('Invoer gegevens (N)'!$C$30+'Invoer gegevens (N)'!$C$31)*'Reeksen (N)'!H15,0),0)</f>
        <v>0</v>
      </c>
      <c r="AZ47" s="73">
        <f ca="1">IF('Invoer gegevens (N)'!$C$34=E47,'Invoer gegevens (N)'!$C$27*'Invoer gegevens (N)'!$C$10*'Invoer gegevens (N)'!$C$36*(IF('Invoer gegevens (N)'!$C$35="ja",1,'Reeksen (N)'!J15)),IF('Invoer gegevens (N)'!$C$34+1=E47,'Invoer gegevens (N)'!$C$27*'Invoer gegevens (N)'!$C$10*'Invoer gegevens (N)'!$C$37*(IF('Invoer gegevens (N)'!$C$35="ja",1,'Reeksen (N)'!J15)),0))+IF(AND(E47='Invoer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7" s="73">
        <f ca="1">AW47/(1+'Invoer gegevens (N)'!$F$18)^($D47-('Invoer gegevens (N)'!$C$17-'Invoer gegevens (N)'!$C$16))/(1+'Invoer gegevens (N)'!$C$39)^('Invoer gegevens (N)'!$C$17-'Invoer gegevens (N)'!$C$16)</f>
        <v>0</v>
      </c>
      <c r="BB47" s="73">
        <f ca="1">AX47/(1+'Invoer gegevens (N)'!$F$18)^(E47-('Invoer gegevens (N)'!$C$17-1))/(1+'Invoer gegevens (N)'!$C$39)^('Invoer gegevens (N)'!$C$17-'Invoer gegevens (N)'!$C$16)</f>
        <v>0</v>
      </c>
      <c r="BC47" s="73">
        <f ca="1">AY47/(1+'Invoer gegevens (N)'!$C$39)^('Invoer gegevens (N)'!$C$17-'Invoer gegevens (N)'!$C$16)</f>
        <v>0</v>
      </c>
      <c r="BD47" s="72">
        <f t="shared" ca="1" si="14"/>
        <v>0</v>
      </c>
      <c r="BE47" s="72">
        <f ca="1">IF(AND(E47='Invoer gegevens (N)'!$C$16,'Invoer gegevens (N)'!$C$34&lt;'Invoer gegevens (N)'!$C$16),AZ47,AZ47/(1+'Invoer gegevens (N)'!$C$39)^D47)</f>
        <v>0</v>
      </c>
      <c r="BF47" s="72">
        <f ca="1">IF(E47='Invoer gegevens (N)'!$C$34,-'Invoer gegevens (N)'!$F$40,0)</f>
        <v>0</v>
      </c>
      <c r="BG47" s="72">
        <f ca="1">IF(E47='Invoer gegevens (N)'!$C$17,-'Invoer gegevens (N)'!$C$19*$BD$63,0)</f>
        <v>0</v>
      </c>
      <c r="BH47" s="72">
        <f ca="1">AW47/(1+$BH$36)^($D47-('Invoer gegevens (N)'!$C$17-'Invoer gegevens (N)'!$C$16))/(1+'Invoer gegevens (N)'!$C$39)^('Invoer gegevens (N)'!$C$17-'Invoer gegevens (N)'!$C$16)+AX47/(1+$BH$36)^(E47-('Invoer gegevens (N)'!$C$17-1))/(1+'Invoer gegevens (N)'!$C$39)^('Invoer gegevens (N)'!$C$17-'Invoer gegevens (N)'!$C$16)+AY47/(1+'Invoer gegevens (N)'!$C$39)^('Invoer gegevens (N)'!$C$17-'Invoer gegevens (N)'!$C$16)+(-AZ47/(1+'Invoer gegevens (N)'!$C$39)^D47)+BF47+BG47</f>
        <v>0</v>
      </c>
      <c r="BI47" s="59"/>
    </row>
    <row r="48" spans="1:61" x14ac:dyDescent="0.25">
      <c r="A48" s="59"/>
      <c r="B48" s="70">
        <f t="shared" si="15"/>
        <v>12</v>
      </c>
      <c r="C48" s="67">
        <f ca="1">IF(AND(E48&gt;='Invoer gegevens (N)'!$C$17,E48&lt;'Invoer gegevens (N)'!$C$17+15),1,0)</f>
        <v>1</v>
      </c>
      <c r="D48" s="68">
        <f t="shared" si="16"/>
        <v>11.5</v>
      </c>
      <c r="E48" s="69">
        <f ca="1">IF('Invoer gegevens (N)'!$C$16="","",E47+1)</f>
        <v>2030</v>
      </c>
      <c r="F48" s="84">
        <f ca="1">IF('Invoer gegevens (N)'!$C$17=E48,'Invoer gegevens (N)'!$C$10,IF(C48=1,K47,0))</f>
        <v>0</v>
      </c>
      <c r="G48" s="96">
        <f ca="1">IF(E48='Invoer gegevens (N)'!$C$17+15,K47,IF(C48&gt;=1,F48*VLOOKUP(E48,'Reeksen (N)'!$A$5:$B$76,2),0))</f>
        <v>0</v>
      </c>
      <c r="H48" s="84">
        <f ca="1">IF(E48='Invoer gegevens (N)'!$C$17+15,K47,(1-('Invoer gegevens (N)'!$F$20/12))*F48*MIN('Reeksen (N)'!B16,'Reeksen (N)'!D16))</f>
        <v>0</v>
      </c>
      <c r="I48" s="84">
        <f>IF('Reeksen (N)'!D16&lt;'Reeksen (N)'!B16,('Reeksen (N)'!B16-'Reeksen (N)'!D16)*F48,0)</f>
        <v>0</v>
      </c>
      <c r="J48" s="84">
        <f ca="1">IF(E48='Invoer gegevens (N)'!$C$17+16,0,('Invoer gegevens (N)'!$F$20/12)*F47*MIN('Reeksen (N)'!B15,'Reeksen (N)'!D15))</f>
        <v>0</v>
      </c>
      <c r="K48" s="97">
        <f ca="1">IF(E48&gt;='Invoer gegevens (N)'!$C$17+15,0,F48-G48)</f>
        <v>0</v>
      </c>
      <c r="L48" s="84">
        <f ca="1">IF('Invoer gegevens (N)'!$C$17=E48,0,IF(C48=1,Q47,0))</f>
        <v>0</v>
      </c>
      <c r="M48" s="96">
        <f ca="1">IF(E48='Invoer gegevens (N)'!$C$17+15,Q47,IF(C48&gt;=1,L48*VLOOKUP(E48,'Reeksen (N)'!$A$5:$B$76,2),0))</f>
        <v>0</v>
      </c>
      <c r="N48" s="84">
        <f ca="1">IF(C48='Invoer gegevens (N)'!$C$17+15,Q47,(1-('Invoer gegevens (N)'!$F$20/12))*L48*MIN('Reeksen (N)'!B16,'Reeksen (N)'!D16))</f>
        <v>0</v>
      </c>
      <c r="O48" s="84">
        <f>IF('Reeksen (N)'!D16&lt;'Reeksen (N)'!B16,('Reeksen (N)'!B16-'Reeksen (N)'!D16)*L48,0)</f>
        <v>0</v>
      </c>
      <c r="P48" s="84">
        <f ca="1">IF(E48='Invoer gegevens (N)'!$C$17+16,0,('Invoer gegevens (N)'!$F$20/12)*L47*MIN('Reeksen (N)'!B15,'Reeksen (N)'!D15))</f>
        <v>0</v>
      </c>
      <c r="Q48" s="84">
        <f ca="1">IF(E48&gt;='Invoer gegevens (N)'!$C$17+15,0,L48-M48+I48+O48)</f>
        <v>0</v>
      </c>
      <c r="R48" s="82">
        <f ca="1">IF('Invoer gegevens (N)'!$C$17=E48,'Invoer gegevens (N)'!$C$11,IF(C48=1,W47,0))</f>
        <v>0</v>
      </c>
      <c r="S48" s="86">
        <f ca="1">IF(E48='Invoer gegevens (N)'!$C$17+15,W47,IF(C48&gt;=1,R48*VLOOKUP(E48,'Reeksen (N)'!$A$5:$B$76,2),0))</f>
        <v>0</v>
      </c>
      <c r="T48" s="84">
        <f ca="1">IF(E48='Invoer gegevens (N)'!$C$17+15,W47,(1-('Invoer gegevens (N)'!$F$20/12))*R48*MIN('Reeksen (N)'!B16,'Reeksen (N)'!D16))</f>
        <v>0</v>
      </c>
      <c r="U48" s="84">
        <f>IF('Reeksen (N)'!D16&gt;='Reeksen (N)'!B16,0,IF('Reeksen (N)'!AK16&lt;='Reeksen (N)'!AE16,('Reeksen (N)'!B16-'Reeksen (N)'!D16)*R48,0))</f>
        <v>0</v>
      </c>
      <c r="V48" s="86">
        <f>IF('Reeksen (N)'!D16&gt;='Reeksen (N)'!B16,0,IF('Reeksen (N)'!AK16&gt;'Reeksen (N)'!AE16,('Reeksen (N)'!B16-'Reeksen (N)'!D16)*R48,0))</f>
        <v>0</v>
      </c>
      <c r="W48" s="97">
        <f ca="1">IF(E48&gt;='Invoer gegevens (N)'!$C$17+15,0,R48-S48)</f>
        <v>0</v>
      </c>
      <c r="X48" s="98">
        <f ca="1">IF('Invoer gegevens (N)'!$C$17=E48,'Invoer gegevens (N)'!$C$10-'Invoer gegevens (N)'!$C$11,IF(C48=1,AC47,0))</f>
        <v>0</v>
      </c>
      <c r="Y48" s="98">
        <f ca="1">IF(E48='Invoer gegevens (N)'!$C$17+15,AC47,IF(C48&gt;=1,X48*VLOOKUP(E48,'Reeksen (N)'!$A$5:$B$76,2),0))</f>
        <v>0</v>
      </c>
      <c r="Z48" s="98">
        <f ca="1">IF(E48='Invoer gegevens (N)'!$C$17+15,AC47,(1-('Invoer gegevens (N)'!$F$20/12))*X48*MIN('Reeksen (N)'!B16,'Reeksen (N)'!D16))</f>
        <v>0</v>
      </c>
      <c r="AA48" s="98">
        <f>IF('Reeksen (N)'!D16&gt;='Reeksen (N)'!B16,0,IF('Reeksen (N)'!AK16&lt;='Reeksen (N)'!AE16,('Reeksen (N)'!B16-'Reeksen (N)'!D16)*X48,0))</f>
        <v>0</v>
      </c>
      <c r="AB48" s="98">
        <f>IF('Reeksen (N)'!D16&gt;='Reeksen (N)'!B16,0,IF('Reeksen (N)'!AK16&gt;'Reeksen (N)'!AE16,('Reeksen (N)'!B16-'Reeksen (N)'!D16)*X48,0))</f>
        <v>0</v>
      </c>
      <c r="AC48" s="99">
        <f ca="1">IF(E48&gt;='Invoer gegevens (N)'!$C$17+15,0,X48-Y48)</f>
        <v>0</v>
      </c>
      <c r="AD48" s="98">
        <f ca="1">IF('Invoer gegevens (N)'!$C$17=E16,R48,IF(C16=0,0,AE47))</f>
        <v>0</v>
      </c>
      <c r="AE48" s="98">
        <f t="shared" ca="1" si="10"/>
        <v>0</v>
      </c>
      <c r="AF48" s="98">
        <f ca="1">IF('Invoer gegevens (N)'!$C$17=E16,X48,IF(C16=0,0,AG47))</f>
        <v>0</v>
      </c>
      <c r="AG48" s="98">
        <f t="shared" ca="1" si="11"/>
        <v>0</v>
      </c>
      <c r="AH48" s="68"/>
      <c r="AI48" s="71">
        <f ca="1">IF(C48=1,'Reeksen (N)'!AJ16*((F48-G48+F48)/2)*12+'Reeksen (N)'!AK16*((L48-M48+L48)/2)*12,0)</f>
        <v>0</v>
      </c>
      <c r="AJ48" s="71">
        <f ca="1">-AI48*'Invoer gegevens (N)'!$F$28</f>
        <v>0</v>
      </c>
      <c r="AK48" s="71">
        <f t="shared" ca="1" si="9"/>
        <v>0</v>
      </c>
      <c r="AL48" s="71">
        <f ca="1">IF(C48=1,'Reeksen (N)'!AL16*((F48-G48+F48)/2)*12+'Reeksen (N)'!AM16*((L48-M48+L48)/2)*12,0)</f>
        <v>0</v>
      </c>
      <c r="AM48" s="71">
        <f ca="1">-AL48*'Invoer gegevens (N)'!$F$31</f>
        <v>0</v>
      </c>
      <c r="AN48" s="71">
        <f t="shared" ca="1" si="12"/>
        <v>0</v>
      </c>
      <c r="AO48" s="71">
        <f ca="1">IF(E48&gt;='Invoer gegevens (N)'!$C$17+15,0,IF(C48=1,(H48+J48+N48+P48)*'Reeksen (N)'!AN16,0))</f>
        <v>0</v>
      </c>
      <c r="AP48" s="71">
        <f ca="1">-IF(C48=1,(H48+J48+N48+P48)*'Hulp - basis'!$O$550*'Reeksen (N)'!H16,0)</f>
        <v>0</v>
      </c>
      <c r="AQ48" s="71">
        <f ca="1">-IF(C48=1,(F48+K48+L48+Q48)/2*'Invoer gegevens (N)'!$I$33*'Reeksen (N)'!J16,0)</f>
        <v>0</v>
      </c>
      <c r="AR48" s="71">
        <f ca="1">-IF(C48=1,(I48*'Invoer gegevens (N)'!$I$34)*'Reeksen (N)'!J16,0)</f>
        <v>0</v>
      </c>
      <c r="AS48" s="71">
        <f ca="1">-IF(C48=1,(F48+K48+L48+Q48)/2*'Invoer gegevens (N)'!$I$35*'Reeksen (N)'!L16,0)</f>
        <v>0</v>
      </c>
      <c r="AT48" s="71">
        <f ca="1">-IF(C48=1,IF(E48='Invoer gegevens (N)'!$C$17,'Invoer gegevens (N)'!$C$11,AD48)*'Reeksen (N)'!S16*'Invoer gegevens (N)'!$C$18*'Reeksen (N)'!P16,0)</f>
        <v>0</v>
      </c>
      <c r="AU48" s="71">
        <f ca="1">-IF(C48=1,(F48+K48+L48+Q48)/2*'Invoer gegevens (N)'!$I$36*'Reeksen (N)'!H16,0)</f>
        <v>0</v>
      </c>
      <c r="AV48" s="71">
        <v>0</v>
      </c>
      <c r="AW48" s="71">
        <f t="shared" ca="1" si="13"/>
        <v>0</v>
      </c>
      <c r="AX48" s="72">
        <f ca="1">IF(E48='Invoer gegevens (N)'!$C$17+14,'RW - BW - UP (N)'!$AY$236,0)</f>
        <v>0</v>
      </c>
      <c r="AY48" s="72">
        <f ca="1">IFERROR(IF(E48='Invoer gegevens (N)'!$C$17,-'Invoer gegevens (N)'!$C$10*('Invoer gegevens (N)'!$C$30+'Invoer gegevens (N)'!$C$31)*'Reeksen (N)'!H16,0),0)</f>
        <v>0</v>
      </c>
      <c r="AZ48" s="73">
        <f ca="1">IF('Invoer gegevens (N)'!$C$34=E48,'Invoer gegevens (N)'!$C$27*'Invoer gegevens (N)'!$C$10*'Invoer gegevens (N)'!$C$36*(IF('Invoer gegevens (N)'!$C$35="ja",1,'Reeksen (N)'!J16)),IF('Invoer gegevens (N)'!$C$34+1=E48,'Invoer gegevens (N)'!$C$27*'Invoer gegevens (N)'!$C$10*'Invoer gegevens (N)'!$C$37*(IF('Invoer gegevens (N)'!$C$35="ja",1,'Reeksen (N)'!J16)),0))+IF(AND(E48='Invoer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8" s="73">
        <f ca="1">AW48/(1+'Invoer gegevens (N)'!$F$18)^($D48-('Invoer gegevens (N)'!$C$17-'Invoer gegevens (N)'!$C$16))/(1+'Invoer gegevens (N)'!$C$39)^('Invoer gegevens (N)'!$C$17-'Invoer gegevens (N)'!$C$16)</f>
        <v>0</v>
      </c>
      <c r="BB48" s="73">
        <f ca="1">AX48/(1+'Invoer gegevens (N)'!$F$18)^(E48-('Invoer gegevens (N)'!$C$17-1))/(1+'Invoer gegevens (N)'!$C$39)^('Invoer gegevens (N)'!$C$17-'Invoer gegevens (N)'!$C$16)</f>
        <v>0</v>
      </c>
      <c r="BC48" s="73">
        <f ca="1">AY48/(1+'Invoer gegevens (N)'!$C$39)^('Invoer gegevens (N)'!$C$17-'Invoer gegevens (N)'!$C$16)</f>
        <v>0</v>
      </c>
      <c r="BD48" s="72">
        <f t="shared" ca="1" si="14"/>
        <v>0</v>
      </c>
      <c r="BE48" s="72">
        <f ca="1">IF(AND(E48='Invoer gegevens (N)'!$C$16,'Invoer gegevens (N)'!$C$34&lt;'Invoer gegevens (N)'!$C$16),AZ48,AZ48/(1+'Invoer gegevens (N)'!$C$39)^D48)</f>
        <v>0</v>
      </c>
      <c r="BF48" s="72">
        <f ca="1">IF(E48='Invoer gegevens (N)'!$C$34,-'Invoer gegevens (N)'!$F$40,0)</f>
        <v>0</v>
      </c>
      <c r="BG48" s="72">
        <f ca="1">IF(E48='Invoer gegevens (N)'!$C$17,-'Invoer gegevens (N)'!$C$19*$BD$63,0)</f>
        <v>0</v>
      </c>
      <c r="BH48" s="72">
        <f ca="1">AW48/(1+$BH$36)^($D48-('Invoer gegevens (N)'!$C$17-'Invoer gegevens (N)'!$C$16))/(1+'Invoer gegevens (N)'!$C$39)^('Invoer gegevens (N)'!$C$17-'Invoer gegevens (N)'!$C$16)+AX48/(1+$BH$36)^(E48-('Invoer gegevens (N)'!$C$17-1))/(1+'Invoer gegevens (N)'!$C$39)^('Invoer gegevens (N)'!$C$17-'Invoer gegevens (N)'!$C$16)+AY48/(1+'Invoer gegevens (N)'!$C$39)^('Invoer gegevens (N)'!$C$17-'Invoer gegevens (N)'!$C$16)+(-AZ48/(1+'Invoer gegevens (N)'!$C$39)^D48)+BF48+BG48</f>
        <v>0</v>
      </c>
      <c r="BI48" s="59"/>
    </row>
    <row r="49" spans="1:61" x14ac:dyDescent="0.25">
      <c r="A49" s="59"/>
      <c r="B49" s="70">
        <f t="shared" si="15"/>
        <v>13</v>
      </c>
      <c r="C49" s="67">
        <f ca="1">IF(AND(E49&gt;='Invoer gegevens (N)'!$C$17,E49&lt;'Invoer gegevens (N)'!$C$17+15),1,0)</f>
        <v>1</v>
      </c>
      <c r="D49" s="68">
        <f t="shared" si="16"/>
        <v>12.5</v>
      </c>
      <c r="E49" s="69">
        <f ca="1">IF('Invoer gegevens (N)'!$C$16="","",E48+1)</f>
        <v>2031</v>
      </c>
      <c r="F49" s="84">
        <f ca="1">IF('Invoer gegevens (N)'!$C$17=E49,'Invoer gegevens (N)'!$C$10,IF(C49=1,K48,0))</f>
        <v>0</v>
      </c>
      <c r="G49" s="96">
        <f ca="1">IF(E49='Invoer gegevens (N)'!$C$17+15,K48,IF(C49&gt;=1,F49*VLOOKUP(E49,'Reeksen (N)'!$A$5:$B$76,2),0))</f>
        <v>0</v>
      </c>
      <c r="H49" s="84">
        <f ca="1">IF(E49='Invoer gegevens (N)'!$C$17+15,K48,(1-('Invoer gegevens (N)'!$F$20/12))*F49*MIN('Reeksen (N)'!B17,'Reeksen (N)'!D17))</f>
        <v>0</v>
      </c>
      <c r="I49" s="84">
        <f>IF('Reeksen (N)'!D17&lt;'Reeksen (N)'!B17,('Reeksen (N)'!B17-'Reeksen (N)'!D17)*F49,0)</f>
        <v>0</v>
      </c>
      <c r="J49" s="84">
        <f ca="1">IF(E49='Invoer gegevens (N)'!$C$17+16,0,('Invoer gegevens (N)'!$F$20/12)*F48*MIN('Reeksen (N)'!B16,'Reeksen (N)'!D16))</f>
        <v>0</v>
      </c>
      <c r="K49" s="97">
        <f ca="1">IF(E49&gt;='Invoer gegevens (N)'!$C$17+15,0,F49-G49)</f>
        <v>0</v>
      </c>
      <c r="L49" s="84">
        <f ca="1">IF('Invoer gegevens (N)'!$C$17=E49,0,IF(C49=1,Q48,0))</f>
        <v>0</v>
      </c>
      <c r="M49" s="96">
        <f ca="1">IF(E49='Invoer gegevens (N)'!$C$17+15,Q48,IF(C49&gt;=1,L49*VLOOKUP(E49,'Reeksen (N)'!$A$5:$B$76,2),0))</f>
        <v>0</v>
      </c>
      <c r="N49" s="84">
        <f ca="1">IF(C49='Invoer gegevens (N)'!$C$17+15,Q48,(1-('Invoer gegevens (N)'!$F$20/12))*L49*MIN('Reeksen (N)'!B17,'Reeksen (N)'!D17))</f>
        <v>0</v>
      </c>
      <c r="O49" s="84">
        <f>IF('Reeksen (N)'!D17&lt;'Reeksen (N)'!B17,('Reeksen (N)'!B17-'Reeksen (N)'!D17)*L49,0)</f>
        <v>0</v>
      </c>
      <c r="P49" s="84">
        <f ca="1">IF(E49='Invoer gegevens (N)'!$C$17+16,0,('Invoer gegevens (N)'!$F$20/12)*L48*MIN('Reeksen (N)'!B16,'Reeksen (N)'!D16))</f>
        <v>0</v>
      </c>
      <c r="Q49" s="84">
        <f ca="1">IF(E49&gt;='Invoer gegevens (N)'!$C$17+15,0,L49-M49+I49+O49)</f>
        <v>0</v>
      </c>
      <c r="R49" s="82">
        <f ca="1">IF('Invoer gegevens (N)'!$C$17=E49,'Invoer gegevens (N)'!$C$11,IF(C49=1,W48,0))</f>
        <v>0</v>
      </c>
      <c r="S49" s="86">
        <f ca="1">IF(E49='Invoer gegevens (N)'!$C$17+15,W48,IF(C49&gt;=1,R49*VLOOKUP(E49,'Reeksen (N)'!$A$5:$B$76,2),0))</f>
        <v>0</v>
      </c>
      <c r="T49" s="84">
        <f ca="1">IF(E49='Invoer gegevens (N)'!$C$17+15,W48,(1-('Invoer gegevens (N)'!$F$20/12))*R49*MIN('Reeksen (N)'!B17,'Reeksen (N)'!D17))</f>
        <v>0</v>
      </c>
      <c r="U49" s="84">
        <f>IF('Reeksen (N)'!D17&gt;='Reeksen (N)'!B17,0,IF('Reeksen (N)'!AK17&lt;='Reeksen (N)'!AE17,('Reeksen (N)'!B17-'Reeksen (N)'!D17)*R49,0))</f>
        <v>0</v>
      </c>
      <c r="V49" s="86">
        <f>IF('Reeksen (N)'!D17&gt;='Reeksen (N)'!B17,0,IF('Reeksen (N)'!AK17&gt;'Reeksen (N)'!AE17,('Reeksen (N)'!B17-'Reeksen (N)'!D17)*R49,0))</f>
        <v>0</v>
      </c>
      <c r="W49" s="97">
        <f ca="1">IF(E49&gt;='Invoer gegevens (N)'!$C$17+15,0,R49-S49)</f>
        <v>0</v>
      </c>
      <c r="X49" s="98">
        <f ca="1">IF('Invoer gegevens (N)'!$C$17=E49,'Invoer gegevens (N)'!$C$10-'Invoer gegevens (N)'!$C$11,IF(C49=1,AC48,0))</f>
        <v>0</v>
      </c>
      <c r="Y49" s="98">
        <f ca="1">IF(E49='Invoer gegevens (N)'!$C$17+15,AC48,IF(C49&gt;=1,X49*VLOOKUP(E49,'Reeksen (N)'!$A$5:$B$76,2),0))</f>
        <v>0</v>
      </c>
      <c r="Z49" s="98">
        <f ca="1">IF(E49='Invoer gegevens (N)'!$C$17+15,AC48,(1-('Invoer gegevens (N)'!$F$20/12))*X49*MIN('Reeksen (N)'!B17,'Reeksen (N)'!D17))</f>
        <v>0</v>
      </c>
      <c r="AA49" s="98">
        <f>IF('Reeksen (N)'!D17&gt;='Reeksen (N)'!B17,0,IF('Reeksen (N)'!AK17&lt;='Reeksen (N)'!AE17,('Reeksen (N)'!B17-'Reeksen (N)'!D17)*X49,0))</f>
        <v>0</v>
      </c>
      <c r="AB49" s="98">
        <f>IF('Reeksen (N)'!D17&gt;='Reeksen (N)'!B17,0,IF('Reeksen (N)'!AK17&gt;'Reeksen (N)'!AE17,('Reeksen (N)'!B17-'Reeksen (N)'!D17)*X49,0))</f>
        <v>0</v>
      </c>
      <c r="AC49" s="99">
        <f ca="1">IF(E49&gt;='Invoer gegevens (N)'!$C$17+15,0,X49-Y49)</f>
        <v>0</v>
      </c>
      <c r="AD49" s="98">
        <f ca="1">IF('Invoer gegevens (N)'!$C$17=E17,R49,IF(C17=0,0,AE48))</f>
        <v>0</v>
      </c>
      <c r="AE49" s="98">
        <f t="shared" ca="1" si="10"/>
        <v>0</v>
      </c>
      <c r="AF49" s="98">
        <f ca="1">IF('Invoer gegevens (N)'!$C$17=E17,X49,IF(C17=0,0,AG48))</f>
        <v>0</v>
      </c>
      <c r="AG49" s="98">
        <f t="shared" ca="1" si="11"/>
        <v>0</v>
      </c>
      <c r="AH49" s="68"/>
      <c r="AI49" s="71">
        <f ca="1">IF(C49=1,'Reeksen (N)'!AJ17*((F49-G49+F49)/2)*12+'Reeksen (N)'!AK17*((L49-M49+L49)/2)*12,0)</f>
        <v>0</v>
      </c>
      <c r="AJ49" s="71">
        <f ca="1">-AI49*'Invoer gegevens (N)'!$F$28</f>
        <v>0</v>
      </c>
      <c r="AK49" s="71">
        <f t="shared" ca="1" si="9"/>
        <v>0</v>
      </c>
      <c r="AL49" s="71">
        <f ca="1">IF(C49=1,'Reeksen (N)'!AL17*((F49-G49+F49)/2)*12+'Reeksen (N)'!AM17*((L49-M49+L49)/2)*12,0)</f>
        <v>0</v>
      </c>
      <c r="AM49" s="71">
        <f ca="1">-AL49*'Invoer gegevens (N)'!$F$31</f>
        <v>0</v>
      </c>
      <c r="AN49" s="71">
        <f t="shared" ca="1" si="12"/>
        <v>0</v>
      </c>
      <c r="AO49" s="71">
        <f ca="1">IF(E49&gt;='Invoer gegevens (N)'!$C$17+15,0,IF(C49=1,(H49+J49+N49+P49)*'Reeksen (N)'!AN17,0))</f>
        <v>0</v>
      </c>
      <c r="AP49" s="71">
        <f ca="1">-IF(C49=1,(H49+J49+N49+P49)*'Hulp - basis'!$O$550*'Reeksen (N)'!H17,0)</f>
        <v>0</v>
      </c>
      <c r="AQ49" s="71">
        <f ca="1">-IF(C49=1,(F49+K49+L49+Q49)/2*'Invoer gegevens (N)'!$I$33*'Reeksen (N)'!J17,0)</f>
        <v>0</v>
      </c>
      <c r="AR49" s="71">
        <f ca="1">-IF(C49=1,(I49*'Invoer gegevens (N)'!$I$34)*'Reeksen (N)'!J17,0)</f>
        <v>0</v>
      </c>
      <c r="AS49" s="71">
        <f ca="1">-IF(C49=1,(F49+K49+L49+Q49)/2*'Invoer gegevens (N)'!$I$35*'Reeksen (N)'!L17,0)</f>
        <v>0</v>
      </c>
      <c r="AT49" s="71">
        <f ca="1">-IF(C49=1,IF(E49='Invoer gegevens (N)'!$C$17,'Invoer gegevens (N)'!$C$11,AD49)*'Reeksen (N)'!S17*'Invoer gegevens (N)'!$C$18*'Reeksen (N)'!P17,0)</f>
        <v>0</v>
      </c>
      <c r="AU49" s="71">
        <f ca="1">-IF(C49=1,(F49+K49+L49+Q49)/2*'Invoer gegevens (N)'!$I$36*'Reeksen (N)'!H17,0)</f>
        <v>0</v>
      </c>
      <c r="AV49" s="71">
        <v>0</v>
      </c>
      <c r="AW49" s="71">
        <f t="shared" ca="1" si="13"/>
        <v>0</v>
      </c>
      <c r="AX49" s="72">
        <f ca="1">IF(E49='Invoer gegevens (N)'!$C$17+14,'RW - BW - UP (N)'!$AY$236,0)</f>
        <v>0</v>
      </c>
      <c r="AY49" s="72">
        <f ca="1">IFERROR(IF(E49='Invoer gegevens (N)'!$C$17,-'Invoer gegevens (N)'!$C$10*('Invoer gegevens (N)'!$C$30+'Invoer gegevens (N)'!$C$31)*'Reeksen (N)'!H17,0),0)</f>
        <v>0</v>
      </c>
      <c r="AZ49" s="73">
        <f ca="1">IF('Invoer gegevens (N)'!$C$34=E49,'Invoer gegevens (N)'!$C$27*'Invoer gegevens (N)'!$C$10*'Invoer gegevens (N)'!$C$36*(IF('Invoer gegevens (N)'!$C$35="ja",1,'Reeksen (N)'!J17)),IF('Invoer gegevens (N)'!$C$34+1=E49,'Invoer gegevens (N)'!$C$27*'Invoer gegevens (N)'!$C$10*'Invoer gegevens (N)'!$C$37*(IF('Invoer gegevens (N)'!$C$35="ja",1,'Reeksen (N)'!J17)),0))+IF(AND(E49='Invoer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49" s="73">
        <f ca="1">AW49/(1+'Invoer gegevens (N)'!$F$18)^($D49-('Invoer gegevens (N)'!$C$17-'Invoer gegevens (N)'!$C$16))/(1+'Invoer gegevens (N)'!$C$39)^('Invoer gegevens (N)'!$C$17-'Invoer gegevens (N)'!$C$16)</f>
        <v>0</v>
      </c>
      <c r="BB49" s="73">
        <f ca="1">AX49/(1+'Invoer gegevens (N)'!$F$18)^(E49-('Invoer gegevens (N)'!$C$17-1))/(1+'Invoer gegevens (N)'!$C$39)^('Invoer gegevens (N)'!$C$17-'Invoer gegevens (N)'!$C$16)</f>
        <v>0</v>
      </c>
      <c r="BC49" s="73">
        <f ca="1">AY49/(1+'Invoer gegevens (N)'!$C$39)^('Invoer gegevens (N)'!$C$17-'Invoer gegevens (N)'!$C$16)</f>
        <v>0</v>
      </c>
      <c r="BD49" s="72">
        <f t="shared" ca="1" si="14"/>
        <v>0</v>
      </c>
      <c r="BE49" s="72">
        <f ca="1">IF(AND(E49='Invoer gegevens (N)'!$C$16,'Invoer gegevens (N)'!$C$34&lt;'Invoer gegevens (N)'!$C$16),AZ49,AZ49/(1+'Invoer gegevens (N)'!$C$39)^D49)</f>
        <v>0</v>
      </c>
      <c r="BF49" s="72">
        <f ca="1">IF(E49='Invoer gegevens (N)'!$C$34,-'Invoer gegevens (N)'!$F$40,0)</f>
        <v>0</v>
      </c>
      <c r="BG49" s="72">
        <f ca="1">IF(E49='Invoer gegevens (N)'!$C$17,-'Invoer gegevens (N)'!$C$19*$BD$63,0)</f>
        <v>0</v>
      </c>
      <c r="BH49" s="72">
        <f ca="1">AW49/(1+$BH$36)^($D49-('Invoer gegevens (N)'!$C$17-'Invoer gegevens (N)'!$C$16))/(1+'Invoer gegevens (N)'!$C$39)^('Invoer gegevens (N)'!$C$17-'Invoer gegevens (N)'!$C$16)+AX49/(1+$BH$36)^(E49-('Invoer gegevens (N)'!$C$17-1))/(1+'Invoer gegevens (N)'!$C$39)^('Invoer gegevens (N)'!$C$17-'Invoer gegevens (N)'!$C$16)+AY49/(1+'Invoer gegevens (N)'!$C$39)^('Invoer gegevens (N)'!$C$17-'Invoer gegevens (N)'!$C$16)+(-AZ49/(1+'Invoer gegevens (N)'!$C$39)^D49)+BF49+BG49</f>
        <v>0</v>
      </c>
      <c r="BI49" s="59"/>
    </row>
    <row r="50" spans="1:61" x14ac:dyDescent="0.25">
      <c r="A50" s="59"/>
      <c r="B50" s="70">
        <f t="shared" si="15"/>
        <v>14</v>
      </c>
      <c r="C50" s="67">
        <f ca="1">IF(AND(E50&gt;='Invoer gegevens (N)'!$C$17,E50&lt;'Invoer gegevens (N)'!$C$17+15),1,0)</f>
        <v>1</v>
      </c>
      <c r="D50" s="68">
        <f t="shared" si="16"/>
        <v>13.5</v>
      </c>
      <c r="E50" s="69">
        <f ca="1">IF('Invoer gegevens (N)'!$C$16="","",E49+1)</f>
        <v>2032</v>
      </c>
      <c r="F50" s="84">
        <f ca="1">IF('Invoer gegevens (N)'!$C$17=E50,'Invoer gegevens (N)'!$C$10,IF(C50=1,K49,0))</f>
        <v>0</v>
      </c>
      <c r="G50" s="96">
        <f ca="1">IF(E50='Invoer gegevens (N)'!$C$17+15,K49,IF(C50&gt;=1,F50*VLOOKUP(E50,'Reeksen (N)'!$A$5:$B$76,2),0))</f>
        <v>0</v>
      </c>
      <c r="H50" s="84">
        <f ca="1">IF(E50='Invoer gegevens (N)'!$C$17+15,K49,(1-('Invoer gegevens (N)'!$F$20/12))*F50*MIN('Reeksen (N)'!B18,'Reeksen (N)'!D18))</f>
        <v>0</v>
      </c>
      <c r="I50" s="84">
        <f>IF('Reeksen (N)'!D18&lt;'Reeksen (N)'!B18,('Reeksen (N)'!B18-'Reeksen (N)'!D18)*F50,0)</f>
        <v>0</v>
      </c>
      <c r="J50" s="84">
        <f ca="1">IF(E50='Invoer gegevens (N)'!$C$17+16,0,('Invoer gegevens (N)'!$F$20/12)*F49*MIN('Reeksen (N)'!B17,'Reeksen (N)'!D17))</f>
        <v>0</v>
      </c>
      <c r="K50" s="97">
        <f ca="1">IF(E50&gt;='Invoer gegevens (N)'!$C$17+15,0,F50-G50)</f>
        <v>0</v>
      </c>
      <c r="L50" s="84">
        <f ca="1">IF('Invoer gegevens (N)'!$C$17=E50,0,IF(C50=1,Q49,0))</f>
        <v>0</v>
      </c>
      <c r="M50" s="96">
        <f ca="1">IF(E50='Invoer gegevens (N)'!$C$17+15,Q49,IF(C50&gt;=1,L50*VLOOKUP(E50,'Reeksen (N)'!$A$5:$B$76,2),0))</f>
        <v>0</v>
      </c>
      <c r="N50" s="84">
        <f ca="1">IF(C50='Invoer gegevens (N)'!$C$17+15,Q49,(1-('Invoer gegevens (N)'!$F$20/12))*L50*MIN('Reeksen (N)'!B18,'Reeksen (N)'!D18))</f>
        <v>0</v>
      </c>
      <c r="O50" s="84">
        <f>IF('Reeksen (N)'!D18&lt;'Reeksen (N)'!B18,('Reeksen (N)'!B18-'Reeksen (N)'!D18)*L50,0)</f>
        <v>0</v>
      </c>
      <c r="P50" s="84">
        <f ca="1">IF(E50='Invoer gegevens (N)'!$C$17+16,0,('Invoer gegevens (N)'!$F$20/12)*L49*MIN('Reeksen (N)'!B17,'Reeksen (N)'!D17))</f>
        <v>0</v>
      </c>
      <c r="Q50" s="84">
        <f ca="1">IF(E50&gt;='Invoer gegevens (N)'!$C$17+15,0,L50-M50+I50+O50)</f>
        <v>0</v>
      </c>
      <c r="R50" s="82">
        <f ca="1">IF('Invoer gegevens (N)'!$C$17=E50,'Invoer gegevens (N)'!$C$11,IF(C50=1,W49,0))</f>
        <v>0</v>
      </c>
      <c r="S50" s="86">
        <f ca="1">IF(E50='Invoer gegevens (N)'!$C$17+15,W49,IF(C50&gt;=1,R50*VLOOKUP(E50,'Reeksen (N)'!$A$5:$B$76,2),0))</f>
        <v>0</v>
      </c>
      <c r="T50" s="84">
        <f ca="1">IF(E50='Invoer gegevens (N)'!$C$17+15,W49,(1-('Invoer gegevens (N)'!$F$20/12))*R50*MIN('Reeksen (N)'!B18,'Reeksen (N)'!D18))</f>
        <v>0</v>
      </c>
      <c r="U50" s="84">
        <f>IF('Reeksen (N)'!D18&gt;='Reeksen (N)'!B18,0,IF('Reeksen (N)'!AK18&lt;='Reeksen (N)'!AE18,('Reeksen (N)'!B18-'Reeksen (N)'!D18)*R50,0))</f>
        <v>0</v>
      </c>
      <c r="V50" s="86">
        <f>IF('Reeksen (N)'!D18&gt;='Reeksen (N)'!B18,0,IF('Reeksen (N)'!AK18&gt;'Reeksen (N)'!AE18,('Reeksen (N)'!B18-'Reeksen (N)'!D18)*R50,0))</f>
        <v>0</v>
      </c>
      <c r="W50" s="97">
        <f ca="1">IF(E50&gt;='Invoer gegevens (N)'!$C$17+15,0,R50-S50)</f>
        <v>0</v>
      </c>
      <c r="X50" s="98">
        <f ca="1">IF('Invoer gegevens (N)'!$C$17=E50,'Invoer gegevens (N)'!$C$10-'Invoer gegevens (N)'!$C$11,IF(C50=1,AC49,0))</f>
        <v>0</v>
      </c>
      <c r="Y50" s="98">
        <f ca="1">IF(E50='Invoer gegevens (N)'!$C$17+15,AC49,IF(C50&gt;=1,X50*VLOOKUP(E50,'Reeksen (N)'!$A$5:$B$76,2),0))</f>
        <v>0</v>
      </c>
      <c r="Z50" s="98">
        <f ca="1">IF(E50='Invoer gegevens (N)'!$C$17+15,AC49,(1-('Invoer gegevens (N)'!$F$20/12))*X50*MIN('Reeksen (N)'!B18,'Reeksen (N)'!D18))</f>
        <v>0</v>
      </c>
      <c r="AA50" s="98">
        <f>IF('Reeksen (N)'!D18&gt;='Reeksen (N)'!B18,0,IF('Reeksen (N)'!AK18&lt;='Reeksen (N)'!AE18,('Reeksen (N)'!B18-'Reeksen (N)'!D18)*X50,0))</f>
        <v>0</v>
      </c>
      <c r="AB50" s="98">
        <f>IF('Reeksen (N)'!D18&gt;='Reeksen (N)'!B18,0,IF('Reeksen (N)'!AK18&gt;'Reeksen (N)'!AE18,('Reeksen (N)'!B18-'Reeksen (N)'!D18)*X50,0))</f>
        <v>0</v>
      </c>
      <c r="AC50" s="99">
        <f ca="1">IF(E50&gt;='Invoer gegevens (N)'!$C$17+15,0,X50-Y50)</f>
        <v>0</v>
      </c>
      <c r="AD50" s="98">
        <f ca="1">IF('Invoer gegevens (N)'!$C$17=E18,R50,IF(C18=0,0,AE49))</f>
        <v>0</v>
      </c>
      <c r="AE50" s="98">
        <f t="shared" ca="1" si="10"/>
        <v>0</v>
      </c>
      <c r="AF50" s="98">
        <f ca="1">IF('Invoer gegevens (N)'!$C$17=E18,X50,IF(C18=0,0,AG49))</f>
        <v>0</v>
      </c>
      <c r="AG50" s="98">
        <f t="shared" ca="1" si="11"/>
        <v>0</v>
      </c>
      <c r="AH50" s="68"/>
      <c r="AI50" s="71">
        <f ca="1">IF(C50=1,'Reeksen (N)'!AJ18*((F50-G50+F50)/2)*12+'Reeksen (N)'!AK18*((L50-M50+L50)/2)*12,0)</f>
        <v>0</v>
      </c>
      <c r="AJ50" s="71">
        <f ca="1">-AI50*'Invoer gegevens (N)'!$F$28</f>
        <v>0</v>
      </c>
      <c r="AK50" s="71">
        <f t="shared" ca="1" si="9"/>
        <v>0</v>
      </c>
      <c r="AL50" s="71">
        <f ca="1">IF(C50=1,'Reeksen (N)'!AL18*((F50-G50+F50)/2)*12+'Reeksen (N)'!AM18*((L50-M50+L50)/2)*12,0)</f>
        <v>0</v>
      </c>
      <c r="AM50" s="71">
        <f ca="1">-AL50*'Invoer gegevens (N)'!$F$31</f>
        <v>0</v>
      </c>
      <c r="AN50" s="71">
        <f t="shared" ca="1" si="12"/>
        <v>0</v>
      </c>
      <c r="AO50" s="71">
        <f ca="1">IF(E50&gt;='Invoer gegevens (N)'!$C$17+15,0,IF(C50=1,(H50+J50+N50+P50)*'Reeksen (N)'!AN18,0))</f>
        <v>0</v>
      </c>
      <c r="AP50" s="71">
        <f ca="1">-IF(C50=1,(H50+J50+N50+P50)*'Hulp - basis'!$O$550*'Reeksen (N)'!H18,0)</f>
        <v>0</v>
      </c>
      <c r="AQ50" s="71">
        <f ca="1">-IF(C50=1,(F50+K50+L50+Q50)/2*'Invoer gegevens (N)'!$I$33*'Reeksen (N)'!J18,0)</f>
        <v>0</v>
      </c>
      <c r="AR50" s="71">
        <f ca="1">-IF(C50=1,(I50*'Invoer gegevens (N)'!$I$34)*'Reeksen (N)'!J18,0)</f>
        <v>0</v>
      </c>
      <c r="AS50" s="71">
        <f ca="1">-IF(C50=1,(F50+K50+L50+Q50)/2*'Invoer gegevens (N)'!$I$35*'Reeksen (N)'!L18,0)</f>
        <v>0</v>
      </c>
      <c r="AT50" s="71">
        <f ca="1">-IF(C50=1,IF(E50='Invoer gegevens (N)'!$C$17,'Invoer gegevens (N)'!$C$11,AD50)*'Reeksen (N)'!S18*'Invoer gegevens (N)'!$C$18*'Reeksen (N)'!P18,0)</f>
        <v>0</v>
      </c>
      <c r="AU50" s="71">
        <f ca="1">-IF(C50=1,(F50+K50+L50+Q50)/2*'Invoer gegevens (N)'!$I$36*'Reeksen (N)'!H18,0)</f>
        <v>0</v>
      </c>
      <c r="AV50" s="71">
        <v>0</v>
      </c>
      <c r="AW50" s="71">
        <f t="shared" ca="1" si="13"/>
        <v>0</v>
      </c>
      <c r="AX50" s="72">
        <f ca="1">IF(E50='Invoer gegevens (N)'!$C$17+14,'RW - BW - UP (N)'!$AY$236,0)</f>
        <v>0</v>
      </c>
      <c r="AY50" s="72">
        <f ca="1">IFERROR(IF(E50='Invoer gegevens (N)'!$C$17,-'Invoer gegevens (N)'!$C$10*('Invoer gegevens (N)'!$C$30+'Invoer gegevens (N)'!$C$31)*'Reeksen (N)'!H18,0),0)</f>
        <v>0</v>
      </c>
      <c r="AZ50" s="73">
        <f ca="1">IF('Invoer gegevens (N)'!$C$34=E50,'Invoer gegevens (N)'!$C$27*'Invoer gegevens (N)'!$C$10*'Invoer gegevens (N)'!$C$36*(IF('Invoer gegevens (N)'!$C$35="ja",1,'Reeksen (N)'!J18)),IF('Invoer gegevens (N)'!$C$34+1=E50,'Invoer gegevens (N)'!$C$27*'Invoer gegevens (N)'!$C$10*'Invoer gegevens (N)'!$C$37*(IF('Invoer gegevens (N)'!$C$35="ja",1,'Reeksen (N)'!J18)),0))+IF(AND(E50='Invoer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0" s="73">
        <f ca="1">AW50/(1+'Invoer gegevens (N)'!$F$18)^($D50-('Invoer gegevens (N)'!$C$17-'Invoer gegevens (N)'!$C$16))/(1+'Invoer gegevens (N)'!$C$39)^('Invoer gegevens (N)'!$C$17-'Invoer gegevens (N)'!$C$16)</f>
        <v>0</v>
      </c>
      <c r="BB50" s="73">
        <f ca="1">AX50/(1+'Invoer gegevens (N)'!$F$18)^(E50-('Invoer gegevens (N)'!$C$17-1))/(1+'Invoer gegevens (N)'!$C$39)^('Invoer gegevens (N)'!$C$17-'Invoer gegevens (N)'!$C$16)</f>
        <v>0</v>
      </c>
      <c r="BC50" s="73">
        <f ca="1">AY50/(1+'Invoer gegevens (N)'!$C$39)^('Invoer gegevens (N)'!$C$17-'Invoer gegevens (N)'!$C$16)</f>
        <v>0</v>
      </c>
      <c r="BD50" s="72">
        <f t="shared" ca="1" si="14"/>
        <v>0</v>
      </c>
      <c r="BE50" s="72">
        <f ca="1">IF(AND(E50='Invoer gegevens (N)'!$C$16,'Invoer gegevens (N)'!$C$34&lt;'Invoer gegevens (N)'!$C$16),AZ50,AZ50/(1+'Invoer gegevens (N)'!$C$39)^D50)</f>
        <v>0</v>
      </c>
      <c r="BF50" s="72">
        <f ca="1">IF(E50='Invoer gegevens (N)'!$C$34,-'Invoer gegevens (N)'!$F$40,0)</f>
        <v>0</v>
      </c>
      <c r="BG50" s="72">
        <f ca="1">IF(E50='Invoer gegevens (N)'!$C$17,-'Invoer gegevens (N)'!$C$19*$BD$63,0)</f>
        <v>0</v>
      </c>
      <c r="BH50" s="72">
        <f ca="1">AW50/(1+$BH$36)^($D50-('Invoer gegevens (N)'!$C$17-'Invoer gegevens (N)'!$C$16))/(1+'Invoer gegevens (N)'!$C$39)^('Invoer gegevens (N)'!$C$17-'Invoer gegevens (N)'!$C$16)+AX50/(1+$BH$36)^(E50-('Invoer gegevens (N)'!$C$17-1))/(1+'Invoer gegevens (N)'!$C$39)^('Invoer gegevens (N)'!$C$17-'Invoer gegevens (N)'!$C$16)+AY50/(1+'Invoer gegevens (N)'!$C$39)^('Invoer gegevens (N)'!$C$17-'Invoer gegevens (N)'!$C$16)+(-AZ50/(1+'Invoer gegevens (N)'!$C$39)^D50)+BF50+BG50</f>
        <v>0</v>
      </c>
      <c r="BI50" s="59"/>
    </row>
    <row r="51" spans="1:61" x14ac:dyDescent="0.25">
      <c r="A51" s="59"/>
      <c r="B51" s="70">
        <f t="shared" si="15"/>
        <v>15</v>
      </c>
      <c r="C51" s="67">
        <f ca="1">IF(AND(E51&gt;='Invoer gegevens (N)'!$C$17,E51&lt;'Invoer gegevens (N)'!$C$17+15),1,0)</f>
        <v>1</v>
      </c>
      <c r="D51" s="68">
        <f t="shared" si="16"/>
        <v>14.5</v>
      </c>
      <c r="E51" s="69">
        <f ca="1">IF('Invoer gegevens (N)'!$C$16="","",E50+1)</f>
        <v>2033</v>
      </c>
      <c r="F51" s="84">
        <f ca="1">IF('Invoer gegevens (N)'!$C$17=E51,'Invoer gegevens (N)'!$C$10,IF(C51=1,K50,0))</f>
        <v>0</v>
      </c>
      <c r="G51" s="96">
        <f ca="1">IF(E51='Invoer gegevens (N)'!$C$17+15,K50,IF(C51&gt;=1,F51*VLOOKUP(E51,'Reeksen (N)'!$A$5:$B$76,2),0))</f>
        <v>0</v>
      </c>
      <c r="H51" s="84">
        <f ca="1">IF(E51='Invoer gegevens (N)'!$C$17+15,K50,(1-('Invoer gegevens (N)'!$F$20/12))*F51*MIN('Reeksen (N)'!B19,'Reeksen (N)'!D19))</f>
        <v>0</v>
      </c>
      <c r="I51" s="84">
        <f>IF('Reeksen (N)'!D19&lt;'Reeksen (N)'!B19,('Reeksen (N)'!B19-'Reeksen (N)'!D19)*F51,0)</f>
        <v>0</v>
      </c>
      <c r="J51" s="84">
        <f ca="1">IF(E51='Invoer gegevens (N)'!$C$17+16,0,('Invoer gegevens (N)'!$F$20/12)*F50*MIN('Reeksen (N)'!B18,'Reeksen (N)'!D18))</f>
        <v>0</v>
      </c>
      <c r="K51" s="97">
        <f ca="1">IF(E51&gt;='Invoer gegevens (N)'!$C$17+15,0,F51-G51)</f>
        <v>0</v>
      </c>
      <c r="L51" s="84">
        <f ca="1">IF('Invoer gegevens (N)'!$C$17=E51,0,IF(C51=1,Q50,0))</f>
        <v>0</v>
      </c>
      <c r="M51" s="96">
        <f ca="1">IF(E51='Invoer gegevens (N)'!$C$17+15,Q50,IF(C51&gt;=1,L51*VLOOKUP(E51,'Reeksen (N)'!$A$5:$B$76,2),0))</f>
        <v>0</v>
      </c>
      <c r="N51" s="84">
        <f ca="1">IF(C51='Invoer gegevens (N)'!$C$17+15,Q50,(1-('Invoer gegevens (N)'!$F$20/12))*L51*MIN('Reeksen (N)'!B19,'Reeksen (N)'!D19))</f>
        <v>0</v>
      </c>
      <c r="O51" s="84">
        <f>IF('Reeksen (N)'!D19&lt;'Reeksen (N)'!B19,('Reeksen (N)'!B19-'Reeksen (N)'!D19)*L51,0)</f>
        <v>0</v>
      </c>
      <c r="P51" s="84">
        <f ca="1">IF(E51='Invoer gegevens (N)'!$C$17+16,0,('Invoer gegevens (N)'!$F$20/12)*L50*MIN('Reeksen (N)'!B18,'Reeksen (N)'!D18))</f>
        <v>0</v>
      </c>
      <c r="Q51" s="84">
        <f ca="1">IF(E51&gt;='Invoer gegevens (N)'!$C$17+15,0,L51-M51+I51+O51)</f>
        <v>0</v>
      </c>
      <c r="R51" s="82">
        <f ca="1">IF('Invoer gegevens (N)'!$C$17=E51,'Invoer gegevens (N)'!$C$11,IF(C51=1,W50,0))</f>
        <v>0</v>
      </c>
      <c r="S51" s="86">
        <f ca="1">IF(E51='Invoer gegevens (N)'!$C$17+15,W50,IF(C51&gt;=1,R51*VLOOKUP(E51,'Reeksen (N)'!$A$5:$B$76,2),0))</f>
        <v>0</v>
      </c>
      <c r="T51" s="84">
        <f ca="1">IF(E51='Invoer gegevens (N)'!$C$17+15,W50,(1-('Invoer gegevens (N)'!$F$20/12))*R51*MIN('Reeksen (N)'!B19,'Reeksen (N)'!D19))</f>
        <v>0</v>
      </c>
      <c r="U51" s="84">
        <f>IF('Reeksen (N)'!D19&gt;='Reeksen (N)'!B19,0,IF('Reeksen (N)'!AK19&lt;='Reeksen (N)'!AE19,('Reeksen (N)'!B19-'Reeksen (N)'!D19)*R51,0))</f>
        <v>0</v>
      </c>
      <c r="V51" s="86">
        <f>IF('Reeksen (N)'!D19&gt;='Reeksen (N)'!B19,0,IF('Reeksen (N)'!AK19&gt;'Reeksen (N)'!AE19,('Reeksen (N)'!B19-'Reeksen (N)'!D19)*R51,0))</f>
        <v>0</v>
      </c>
      <c r="W51" s="97">
        <f ca="1">IF(E51&gt;='Invoer gegevens (N)'!$C$17+15,0,R51-S51)</f>
        <v>0</v>
      </c>
      <c r="X51" s="98">
        <f ca="1">IF('Invoer gegevens (N)'!$C$17=E51,'Invoer gegevens (N)'!$C$10-'Invoer gegevens (N)'!$C$11,IF(C51=1,AC50,0))</f>
        <v>0</v>
      </c>
      <c r="Y51" s="98">
        <f ca="1">IF(E51='Invoer gegevens (N)'!$C$17+15,AC50,IF(C51&gt;=1,X51*VLOOKUP(E51,'Reeksen (N)'!$A$5:$B$76,2),0))</f>
        <v>0</v>
      </c>
      <c r="Z51" s="98">
        <f ca="1">IF(E51='Invoer gegevens (N)'!$C$17+15,AC50,(1-('Invoer gegevens (N)'!$F$20/12))*X51*MIN('Reeksen (N)'!B19,'Reeksen (N)'!D19))</f>
        <v>0</v>
      </c>
      <c r="AA51" s="98">
        <f>IF('Reeksen (N)'!D19&gt;='Reeksen (N)'!B19,0,IF('Reeksen (N)'!AK19&lt;='Reeksen (N)'!AE19,('Reeksen (N)'!B19-'Reeksen (N)'!D19)*X51,0))</f>
        <v>0</v>
      </c>
      <c r="AB51" s="98">
        <f>IF('Reeksen (N)'!D19&gt;='Reeksen (N)'!B19,0,IF('Reeksen (N)'!AK19&gt;'Reeksen (N)'!AE19,('Reeksen (N)'!B19-'Reeksen (N)'!D19)*X51,0))</f>
        <v>0</v>
      </c>
      <c r="AC51" s="99">
        <f ca="1">IF(E51&gt;='Invoer gegevens (N)'!$C$17+15,0,X51-Y51)</f>
        <v>0</v>
      </c>
      <c r="AD51" s="98">
        <f ca="1">IF('Invoer gegevens (N)'!$C$17=E19,R51,IF(C19=0,0,AE50))</f>
        <v>0</v>
      </c>
      <c r="AE51" s="98">
        <f t="shared" ca="1" si="10"/>
        <v>0</v>
      </c>
      <c r="AF51" s="98">
        <f ca="1">IF('Invoer gegevens (N)'!$C$17=E19,X51,IF(C19=0,0,AG50))</f>
        <v>0</v>
      </c>
      <c r="AG51" s="98">
        <f t="shared" ca="1" si="11"/>
        <v>0</v>
      </c>
      <c r="AH51" s="68"/>
      <c r="AI51" s="71">
        <f ca="1">IF(C51=1,'Reeksen (N)'!AJ19*((F51-G51+F51)/2)*12+'Reeksen (N)'!AK19*((L51-M51+L51)/2)*12,0)</f>
        <v>0</v>
      </c>
      <c r="AJ51" s="71">
        <f ca="1">-AI51*'Invoer gegevens (N)'!$F$28</f>
        <v>0</v>
      </c>
      <c r="AK51" s="71">
        <f t="shared" ca="1" si="9"/>
        <v>0</v>
      </c>
      <c r="AL51" s="71">
        <f ca="1">IF(C51=1,'Reeksen (N)'!AL19*((F51-G51+F51)/2)*12+'Reeksen (N)'!AM19*((L51-M51+L51)/2)*12,0)</f>
        <v>0</v>
      </c>
      <c r="AM51" s="71">
        <f ca="1">-AL51*'Invoer gegevens (N)'!$F$31</f>
        <v>0</v>
      </c>
      <c r="AN51" s="71">
        <f t="shared" ca="1" si="12"/>
        <v>0</v>
      </c>
      <c r="AO51" s="71">
        <f ca="1">IF(E51&gt;='Invoer gegevens (N)'!$C$17+15,0,IF(C51=1,(H51+J51+N51+P51)*'Reeksen (N)'!AN19,0))</f>
        <v>0</v>
      </c>
      <c r="AP51" s="71">
        <f ca="1">-IF(C51=1,(H51+J51+N51+P51)*'Hulp - basis'!$O$550*'Reeksen (N)'!H19,0)</f>
        <v>0</v>
      </c>
      <c r="AQ51" s="71">
        <f ca="1">-IF(C51=1,(F51+K51+L51+Q51)/2*'Invoer gegevens (N)'!$I$33*'Reeksen (N)'!J19,0)</f>
        <v>0</v>
      </c>
      <c r="AR51" s="71">
        <f ca="1">-IF(C51=1,(I51*'Invoer gegevens (N)'!$I$34)*'Reeksen (N)'!J19,0)</f>
        <v>0</v>
      </c>
      <c r="AS51" s="71">
        <f ca="1">-IF(C51=1,(F51+K51+L51+Q51)/2*'Invoer gegevens (N)'!$I$35*'Reeksen (N)'!L19,0)</f>
        <v>0</v>
      </c>
      <c r="AT51" s="71">
        <f ca="1">-IF(C51=1,IF(E51='Invoer gegevens (N)'!$C$17,'Invoer gegevens (N)'!$C$11,AD51)*'Reeksen (N)'!S19*'Invoer gegevens (N)'!$C$18*'Reeksen (N)'!P19,0)</f>
        <v>0</v>
      </c>
      <c r="AU51" s="71">
        <f ca="1">-IF(C51=1,(F51+K51+L51+Q51)/2*'Invoer gegevens (N)'!$I$36*'Reeksen (N)'!H19,0)</f>
        <v>0</v>
      </c>
      <c r="AV51" s="71">
        <v>0</v>
      </c>
      <c r="AW51" s="71">
        <f t="shared" ca="1" si="13"/>
        <v>0</v>
      </c>
      <c r="AX51" s="72">
        <f ca="1">IF(E51='Invoer gegevens (N)'!$C$17+14,'RW - BW - UP (N)'!$AY$236,0)</f>
        <v>0</v>
      </c>
      <c r="AY51" s="72">
        <f ca="1">IFERROR(IF(E51='Invoer gegevens (N)'!$C$17,-'Invoer gegevens (N)'!$C$10*('Invoer gegevens (N)'!$C$30+'Invoer gegevens (N)'!$C$31)*'Reeksen (N)'!H19,0),0)</f>
        <v>0</v>
      </c>
      <c r="AZ51" s="73">
        <f ca="1">IF('Invoer gegevens (N)'!$C$34=E51,'Invoer gegevens (N)'!$C$27*'Invoer gegevens (N)'!$C$10*'Invoer gegevens (N)'!$C$36*(IF('Invoer gegevens (N)'!$C$35="ja",1,'Reeksen (N)'!J19)),IF('Invoer gegevens (N)'!$C$34+1=E51,'Invoer gegevens (N)'!$C$27*'Invoer gegevens (N)'!$C$10*'Invoer gegevens (N)'!$C$37*(IF('Invoer gegevens (N)'!$C$35="ja",1,'Reeksen (N)'!J19)),0))+IF(AND(E51='Invoer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1" s="73">
        <f ca="1">AW51/(1+'Invoer gegevens (N)'!$F$18)^($D51-('Invoer gegevens (N)'!$C$17-'Invoer gegevens (N)'!$C$16))/(1+'Invoer gegevens (N)'!$C$39)^('Invoer gegevens (N)'!$C$17-'Invoer gegevens (N)'!$C$16)</f>
        <v>0</v>
      </c>
      <c r="BB51" s="73">
        <f ca="1">AX51/(1+'Invoer gegevens (N)'!$F$18)^(E51-('Invoer gegevens (N)'!$C$17-1))/(1+'Invoer gegevens (N)'!$C$39)^('Invoer gegevens (N)'!$C$17-'Invoer gegevens (N)'!$C$16)</f>
        <v>0</v>
      </c>
      <c r="BC51" s="73">
        <f ca="1">AY51/(1+'Invoer gegevens (N)'!$C$39)^('Invoer gegevens (N)'!$C$17-'Invoer gegevens (N)'!$C$16)</f>
        <v>0</v>
      </c>
      <c r="BD51" s="72">
        <f t="shared" ca="1" si="14"/>
        <v>0</v>
      </c>
      <c r="BE51" s="72">
        <f ca="1">IF(AND(E51='Invoer gegevens (N)'!$C$16,'Invoer gegevens (N)'!$C$34&lt;'Invoer gegevens (N)'!$C$16),AZ51,AZ51/(1+'Invoer gegevens (N)'!$C$39)^D51)</f>
        <v>0</v>
      </c>
      <c r="BF51" s="72">
        <f ca="1">IF(E51='Invoer gegevens (N)'!$C$34,-'Invoer gegevens (N)'!$F$40,0)</f>
        <v>0</v>
      </c>
      <c r="BG51" s="72">
        <f ca="1">IF(E51='Invoer gegevens (N)'!$C$17,-'Invoer gegevens (N)'!$C$19*$BD$63,0)</f>
        <v>0</v>
      </c>
      <c r="BH51" s="72">
        <f ca="1">AW51/(1+$BH$36)^($D51-('Invoer gegevens (N)'!$C$17-'Invoer gegevens (N)'!$C$16))/(1+'Invoer gegevens (N)'!$C$39)^('Invoer gegevens (N)'!$C$17-'Invoer gegevens (N)'!$C$16)+AX51/(1+$BH$36)^(E51-('Invoer gegevens (N)'!$C$17-1))/(1+'Invoer gegevens (N)'!$C$39)^('Invoer gegevens (N)'!$C$17-'Invoer gegevens (N)'!$C$16)+AY51/(1+'Invoer gegevens (N)'!$C$39)^('Invoer gegevens (N)'!$C$17-'Invoer gegevens (N)'!$C$16)+(-AZ51/(1+'Invoer gegevens (N)'!$C$39)^D51)+BF51+BG51</f>
        <v>0</v>
      </c>
      <c r="BI51" s="59"/>
    </row>
    <row r="52" spans="1:61" x14ac:dyDescent="0.25">
      <c r="A52" s="59"/>
      <c r="B52" s="70">
        <f t="shared" si="15"/>
        <v>16</v>
      </c>
      <c r="C52" s="67">
        <f ca="1">IF(AND(E52&gt;='Invoer gegevens (N)'!$C$17,E52&lt;'Invoer gegevens (N)'!$C$17+15),1,0)</f>
        <v>0</v>
      </c>
      <c r="D52" s="68">
        <f t="shared" si="16"/>
        <v>15.5</v>
      </c>
      <c r="E52" s="69">
        <f ca="1">IF('Invoer gegevens (N)'!$C$16="","",E51+1)</f>
        <v>2034</v>
      </c>
      <c r="F52" s="84">
        <f ca="1">IF('Invoer gegevens (N)'!$C$17=E52,'Invoer gegevens (N)'!$C$10,IF(C52=1,K51,0))</f>
        <v>0</v>
      </c>
      <c r="G52" s="96">
        <f ca="1">IF(E52='Invoer gegevens (N)'!$C$17+15,K51,IF(C52&gt;=1,F52*VLOOKUP(E52,'Reeksen (N)'!$A$5:$B$76,2),0))</f>
        <v>0</v>
      </c>
      <c r="H52" s="84">
        <f ca="1">IF(E52='Invoer gegevens (N)'!$C$17+15,K51,(1-('Invoer gegevens (N)'!$F$20/12))*F52*MIN('Reeksen (N)'!B20,'Reeksen (N)'!D20))</f>
        <v>0</v>
      </c>
      <c r="I52" s="84">
        <f>IF('Reeksen (N)'!D20&lt;'Reeksen (N)'!B20,('Reeksen (N)'!B20-'Reeksen (N)'!D20)*F52,0)</f>
        <v>0</v>
      </c>
      <c r="J52" s="84">
        <f ca="1">IF(E52='Invoer gegevens (N)'!$C$17+16,0,('Invoer gegevens (N)'!$F$20/12)*F51*MIN('Reeksen (N)'!B19,'Reeksen (N)'!D19))</f>
        <v>0</v>
      </c>
      <c r="K52" s="97">
        <f ca="1">IF(E52&gt;='Invoer gegevens (N)'!$C$17+15,0,F52-G52)</f>
        <v>0</v>
      </c>
      <c r="L52" s="84">
        <f ca="1">IF('Invoer gegevens (N)'!$C$17=E52,0,IF(C52=1,Q51,0))</f>
        <v>0</v>
      </c>
      <c r="M52" s="96">
        <f ca="1">IF(E52='Invoer gegevens (N)'!$C$17+15,Q51,IF(C52&gt;=1,L52*VLOOKUP(E52,'Reeksen (N)'!$A$5:$B$76,2),0))</f>
        <v>0</v>
      </c>
      <c r="N52" s="84">
        <f ca="1">IF(C52='Invoer gegevens (N)'!$C$17+15,Q51,(1-('Invoer gegevens (N)'!$F$20/12))*L52*MIN('Reeksen (N)'!B20,'Reeksen (N)'!D20))</f>
        <v>0</v>
      </c>
      <c r="O52" s="84">
        <f>IF('Reeksen (N)'!D20&lt;'Reeksen (N)'!B20,('Reeksen (N)'!B20-'Reeksen (N)'!D20)*L52,0)</f>
        <v>0</v>
      </c>
      <c r="P52" s="84">
        <f ca="1">IF(E52='Invoer gegevens (N)'!$C$17+16,0,('Invoer gegevens (N)'!$F$20/12)*L51*MIN('Reeksen (N)'!B19,'Reeksen (N)'!D19))</f>
        <v>0</v>
      </c>
      <c r="Q52" s="84">
        <f ca="1">IF(E52&gt;='Invoer gegevens (N)'!$C$17+15,0,L52-M52+I52+O52)</f>
        <v>0</v>
      </c>
      <c r="R52" s="82">
        <f ca="1">IF('Invoer gegevens (N)'!$C$17=E52,'Invoer gegevens (N)'!$C$11,IF(C52=1,W51,0))</f>
        <v>0</v>
      </c>
      <c r="S52" s="86">
        <f ca="1">IF(E52='Invoer gegevens (N)'!$C$17+15,W51,IF(C52&gt;=1,R52*VLOOKUP(E52,'Reeksen (N)'!$A$5:$B$76,2),0))</f>
        <v>0</v>
      </c>
      <c r="T52" s="84">
        <f ca="1">IF(E52='Invoer gegevens (N)'!$C$17+15,W51,(1-('Invoer gegevens (N)'!$F$20/12))*R52*MIN('Reeksen (N)'!B20,'Reeksen (N)'!D20))</f>
        <v>0</v>
      </c>
      <c r="U52" s="84">
        <f>IF('Reeksen (N)'!D20&gt;='Reeksen (N)'!B20,0,IF('Reeksen (N)'!AK20&lt;='Reeksen (N)'!AE20,('Reeksen (N)'!B20-'Reeksen (N)'!D20)*R52,0))</f>
        <v>0</v>
      </c>
      <c r="V52" s="86">
        <f>IF('Reeksen (N)'!D20&gt;='Reeksen (N)'!B20,0,IF('Reeksen (N)'!AK20&gt;'Reeksen (N)'!AE20,('Reeksen (N)'!B20-'Reeksen (N)'!D20)*R52,0))</f>
        <v>0</v>
      </c>
      <c r="W52" s="97">
        <f ca="1">IF(E52&gt;='Invoer gegevens (N)'!$C$17+15,0,R52-S52)</f>
        <v>0</v>
      </c>
      <c r="X52" s="98">
        <f ca="1">IF('Invoer gegevens (N)'!$C$17=E52,'Invoer gegevens (N)'!$C$10-'Invoer gegevens (N)'!$C$11,IF(C52=1,AC51,0))</f>
        <v>0</v>
      </c>
      <c r="Y52" s="98">
        <f ca="1">IF(E52='Invoer gegevens (N)'!$C$17+15,AC51,IF(C52&gt;=1,X52*VLOOKUP(E52,'Reeksen (N)'!$A$5:$B$76,2),0))</f>
        <v>0</v>
      </c>
      <c r="Z52" s="98">
        <f ca="1">IF(E52='Invoer gegevens (N)'!$C$17+15,AC51,(1-('Invoer gegevens (N)'!$F$20/12))*X52*MIN('Reeksen (N)'!B20,'Reeksen (N)'!D20))</f>
        <v>0</v>
      </c>
      <c r="AA52" s="98">
        <f>IF('Reeksen (N)'!D20&gt;='Reeksen (N)'!B20,0,IF('Reeksen (N)'!AK20&lt;='Reeksen (N)'!AE20,('Reeksen (N)'!B20-'Reeksen (N)'!D20)*X52,0))</f>
        <v>0</v>
      </c>
      <c r="AB52" s="98">
        <f>IF('Reeksen (N)'!D20&gt;='Reeksen (N)'!B20,0,IF('Reeksen (N)'!AK20&gt;'Reeksen (N)'!AE20,('Reeksen (N)'!B20-'Reeksen (N)'!D20)*X52,0))</f>
        <v>0</v>
      </c>
      <c r="AC52" s="99">
        <f ca="1">IF(E52&gt;='Invoer gegevens (N)'!$C$17+15,0,X52-Y52)</f>
        <v>0</v>
      </c>
      <c r="AD52" s="98">
        <f ca="1">IF('Invoer gegevens (N)'!$C$17=E20,R52,IF(C20=0,0,AE51))</f>
        <v>0</v>
      </c>
      <c r="AE52" s="98">
        <f t="shared" ca="1" si="10"/>
        <v>0</v>
      </c>
      <c r="AF52" s="98">
        <f ca="1">IF('Invoer gegevens (N)'!$C$17=E20,X52,IF(C20=0,0,AG51))</f>
        <v>0</v>
      </c>
      <c r="AG52" s="98">
        <f t="shared" ca="1" si="11"/>
        <v>0</v>
      </c>
      <c r="AH52" s="68"/>
      <c r="AI52" s="71">
        <f ca="1">IF(C52=1,'Reeksen (N)'!AJ20*((F52-G52+F52)/2)*12+'Reeksen (N)'!AK20*((L52-M52+L52)/2)*12,0)</f>
        <v>0</v>
      </c>
      <c r="AJ52" s="71">
        <f ca="1">-AI52*'Invoer gegevens (N)'!$F$28</f>
        <v>0</v>
      </c>
      <c r="AK52" s="71">
        <f t="shared" ca="1" si="9"/>
        <v>0</v>
      </c>
      <c r="AL52" s="71">
        <f ca="1">IF(C52=1,'Reeksen (N)'!AL20*((F52-G52+F52)/2)*12+'Reeksen (N)'!AM20*((L52-M52+L52)/2)*12,0)</f>
        <v>0</v>
      </c>
      <c r="AM52" s="71">
        <f ca="1">-AL52*'Invoer gegevens (N)'!$F$31</f>
        <v>0</v>
      </c>
      <c r="AN52" s="71">
        <f t="shared" ca="1" si="12"/>
        <v>0</v>
      </c>
      <c r="AO52" s="71">
        <f ca="1">IF(E52&gt;='Invoer gegevens (N)'!$C$17+15,0,IF(C52=1,(H52+J52+N52+P52)*'Reeksen (N)'!AN20,0))</f>
        <v>0</v>
      </c>
      <c r="AP52" s="71">
        <f ca="1">-IF(C52=1,(H52+J52+N52+P52)*'Hulp - basis'!$O$550*'Reeksen (N)'!H20,0)</f>
        <v>0</v>
      </c>
      <c r="AQ52" s="71">
        <f ca="1">-IF(C52=1,(F52+K52+L52+Q52)/2*'Invoer gegevens (N)'!$I$33*'Reeksen (N)'!J20,0)</f>
        <v>0</v>
      </c>
      <c r="AR52" s="71">
        <f ca="1">-IF(C52=1,(I52*'Invoer gegevens (N)'!$I$34)*'Reeksen (N)'!J20,0)</f>
        <v>0</v>
      </c>
      <c r="AS52" s="71">
        <f ca="1">-IF(C52=1,(F52+K52+L52+Q52)/2*'Invoer gegevens (N)'!$I$35*'Reeksen (N)'!L20,0)</f>
        <v>0</v>
      </c>
      <c r="AT52" s="71">
        <f ca="1">-IF(C52=1,IF(E52='Invoer gegevens (N)'!$C$17,'Invoer gegevens (N)'!$C$11,AD52)*'Reeksen (N)'!S20*'Invoer gegevens (N)'!$C$18*'Reeksen (N)'!P20,0)</f>
        <v>0</v>
      </c>
      <c r="AU52" s="71">
        <f ca="1">-IF(C52=1,(F52+K52+L52+Q52)/2*'Invoer gegevens (N)'!$I$36*'Reeksen (N)'!H20,0)</f>
        <v>0</v>
      </c>
      <c r="AV52" s="71">
        <v>0</v>
      </c>
      <c r="AW52" s="71">
        <f t="shared" ca="1" si="13"/>
        <v>0</v>
      </c>
      <c r="AX52" s="72">
        <f ca="1">IF(E52='Invoer gegevens (N)'!$C$17+14,'RW - BW - UP (N)'!$AY$236,0)</f>
        <v>0</v>
      </c>
      <c r="AY52" s="72">
        <f ca="1">IFERROR(IF(E52='Invoer gegevens (N)'!$C$17,-'Invoer gegevens (N)'!$C$10*('Invoer gegevens (N)'!$C$30+'Invoer gegevens (N)'!$C$31)*'Reeksen (N)'!H20,0),0)</f>
        <v>0</v>
      </c>
      <c r="AZ52" s="73">
        <f ca="1">IF('Invoer gegevens (N)'!$C$34=E52,'Invoer gegevens (N)'!$C$27*'Invoer gegevens (N)'!$C$10*'Invoer gegevens (N)'!$C$36*(IF('Invoer gegevens (N)'!$C$35="ja",1,'Reeksen (N)'!J20)),IF('Invoer gegevens (N)'!$C$34+1=E52,'Invoer gegevens (N)'!$C$27*'Invoer gegevens (N)'!$C$10*'Invoer gegevens (N)'!$C$37*(IF('Invoer gegevens (N)'!$C$35="ja",1,'Reeksen (N)'!J20)),0))+IF(AND(E52='Invoer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2" s="73">
        <f ca="1">AW52/(1+'Invoer gegevens (N)'!$F$18)^($D52-('Invoer gegevens (N)'!$C$17-'Invoer gegevens (N)'!$C$16))/(1+'Invoer gegevens (N)'!$C$39)^('Invoer gegevens (N)'!$C$17-'Invoer gegevens (N)'!$C$16)</f>
        <v>0</v>
      </c>
      <c r="BB52" s="73">
        <f ca="1">AX52/(1+'Invoer gegevens (N)'!$F$18)^(E52-('Invoer gegevens (N)'!$C$17-1))/(1+'Invoer gegevens (N)'!$C$39)^('Invoer gegevens (N)'!$C$17-'Invoer gegevens (N)'!$C$16)</f>
        <v>0</v>
      </c>
      <c r="BC52" s="73">
        <f ca="1">AY52/(1+'Invoer gegevens (N)'!$C$39)^('Invoer gegevens (N)'!$C$17-'Invoer gegevens (N)'!$C$16)</f>
        <v>0</v>
      </c>
      <c r="BD52" s="72">
        <f t="shared" ca="1" si="14"/>
        <v>0</v>
      </c>
      <c r="BE52" s="72">
        <f ca="1">IF(AND(E52='Invoer gegevens (N)'!$C$16,'Invoer gegevens (N)'!$C$34&lt;'Invoer gegevens (N)'!$C$16),AZ52,AZ52/(1+'Invoer gegevens (N)'!$C$39)^D52)</f>
        <v>0</v>
      </c>
      <c r="BF52" s="72">
        <f ca="1">IF(E52='Invoer gegevens (N)'!$C$34,-'Invoer gegevens (N)'!$F$40,0)</f>
        <v>0</v>
      </c>
      <c r="BG52" s="72">
        <f ca="1">IF(E52='Invoer gegevens (N)'!$C$17,-'Invoer gegevens (N)'!$C$19*$BD$63,0)</f>
        <v>0</v>
      </c>
      <c r="BH52" s="72">
        <f ca="1">AW52/(1+$BH$36)^($D52-('Invoer gegevens (N)'!$C$17-'Invoer gegevens (N)'!$C$16))/(1+'Invoer gegevens (N)'!$C$39)^('Invoer gegevens (N)'!$C$17-'Invoer gegevens (N)'!$C$16)+AX52/(1+$BH$36)^(E52-('Invoer gegevens (N)'!$C$17-1))/(1+'Invoer gegevens (N)'!$C$39)^('Invoer gegevens (N)'!$C$17-'Invoer gegevens (N)'!$C$16)+AY52/(1+'Invoer gegevens (N)'!$C$39)^('Invoer gegevens (N)'!$C$17-'Invoer gegevens (N)'!$C$16)+(-AZ52/(1+'Invoer gegevens (N)'!$C$39)^D52)+BF52+BG52</f>
        <v>0</v>
      </c>
      <c r="BI52" s="59"/>
    </row>
    <row r="53" spans="1:61" x14ac:dyDescent="0.25">
      <c r="A53" s="59"/>
      <c r="B53" s="70">
        <f t="shared" si="15"/>
        <v>17</v>
      </c>
      <c r="C53" s="67">
        <f ca="1">IF(AND(E53&gt;='Invoer gegevens (N)'!$C$17,E53&lt;'Invoer gegevens (N)'!$C$17+15),1,0)</f>
        <v>0</v>
      </c>
      <c r="D53" s="68">
        <f t="shared" si="16"/>
        <v>16.5</v>
      </c>
      <c r="E53" s="69">
        <f ca="1">IF('Invoer gegevens (N)'!$C$16="","",E52+1)</f>
        <v>2035</v>
      </c>
      <c r="F53" s="84">
        <f ca="1">IF('Invoer gegevens (N)'!$C$17=E53,'Invoer gegevens (N)'!$C$10,IF(C53=1,K52,0))</f>
        <v>0</v>
      </c>
      <c r="G53" s="96">
        <f ca="1">IF(E53='Invoer gegevens (N)'!$C$17+15,K52,IF(C53&gt;=1,F53*VLOOKUP(E53,'Reeksen (N)'!$A$5:$B$76,2),0))</f>
        <v>0</v>
      </c>
      <c r="H53" s="84">
        <f ca="1">IF(E53='Invoer gegevens (N)'!$C$17+15,K52,(1-('Invoer gegevens (N)'!$F$20/12))*F53*MIN('Reeksen (N)'!B21,'Reeksen (N)'!D21))</f>
        <v>0</v>
      </c>
      <c r="I53" s="84">
        <f>IF('Reeksen (N)'!D21&lt;'Reeksen (N)'!B21,('Reeksen (N)'!B21-'Reeksen (N)'!D21)*F53,0)</f>
        <v>0</v>
      </c>
      <c r="J53" s="84">
        <f ca="1">IF(E53='Invoer gegevens (N)'!$C$17+16,0,('Invoer gegevens (N)'!$F$20/12)*F52*MIN('Reeksen (N)'!B20,'Reeksen (N)'!D20))</f>
        <v>0</v>
      </c>
      <c r="K53" s="97">
        <f ca="1">IF(E53&gt;='Invoer gegevens (N)'!$C$17+15,0,F53-G53)</f>
        <v>0</v>
      </c>
      <c r="L53" s="84">
        <f ca="1">IF('Invoer gegevens (N)'!$C$17=E53,0,IF(C53=1,Q52,0))</f>
        <v>0</v>
      </c>
      <c r="M53" s="96">
        <f ca="1">IF(E53='Invoer gegevens (N)'!$C$17+15,Q52,IF(C53&gt;=1,L53*VLOOKUP(E53,'Reeksen (N)'!$A$5:$B$76,2),0))</f>
        <v>0</v>
      </c>
      <c r="N53" s="84">
        <f ca="1">IF(C53='Invoer gegevens (N)'!$C$17+15,Q52,(1-('Invoer gegevens (N)'!$F$20/12))*L53*MIN('Reeksen (N)'!B21,'Reeksen (N)'!D21))</f>
        <v>0</v>
      </c>
      <c r="O53" s="84">
        <f>IF('Reeksen (N)'!D21&lt;'Reeksen (N)'!B21,('Reeksen (N)'!B21-'Reeksen (N)'!D21)*L53,0)</f>
        <v>0</v>
      </c>
      <c r="P53" s="84">
        <f ca="1">IF(E53='Invoer gegevens (N)'!$C$17+16,0,('Invoer gegevens (N)'!$F$20/12)*L52*MIN('Reeksen (N)'!B20,'Reeksen (N)'!D20))</f>
        <v>0</v>
      </c>
      <c r="Q53" s="84">
        <f ca="1">IF(E53&gt;='Invoer gegevens (N)'!$C$17+15,0,L53-M53+I53+O53)</f>
        <v>0</v>
      </c>
      <c r="R53" s="82">
        <f ca="1">IF('Invoer gegevens (N)'!$C$17=E53,'Invoer gegevens (N)'!$C$11,IF(C53=1,W52,0))</f>
        <v>0</v>
      </c>
      <c r="S53" s="86">
        <f ca="1">IF(E53='Invoer gegevens (N)'!$C$17+15,W52,IF(C53&gt;=1,R53*VLOOKUP(E53,'Reeksen (N)'!$A$5:$B$76,2),0))</f>
        <v>0</v>
      </c>
      <c r="T53" s="84">
        <f ca="1">IF(E53='Invoer gegevens (N)'!$C$17+15,W52,(1-('Invoer gegevens (N)'!$F$20/12))*R53*MIN('Reeksen (N)'!B21,'Reeksen (N)'!D21))</f>
        <v>0</v>
      </c>
      <c r="U53" s="84">
        <f>IF('Reeksen (N)'!D21&gt;='Reeksen (N)'!B21,0,IF('Reeksen (N)'!AK21&lt;='Reeksen (N)'!AE21,('Reeksen (N)'!B21-'Reeksen (N)'!D21)*R53,0))</f>
        <v>0</v>
      </c>
      <c r="V53" s="86">
        <f>IF('Reeksen (N)'!D21&gt;='Reeksen (N)'!B21,0,IF('Reeksen (N)'!AK21&gt;'Reeksen (N)'!AE21,('Reeksen (N)'!B21-'Reeksen (N)'!D21)*R53,0))</f>
        <v>0</v>
      </c>
      <c r="W53" s="97">
        <f ca="1">IF(E53&gt;='Invoer gegevens (N)'!$C$17+15,0,R53-S53)</f>
        <v>0</v>
      </c>
      <c r="X53" s="98">
        <f ca="1">IF('Invoer gegevens (N)'!$C$17=E53,'Invoer gegevens (N)'!$C$10-'Invoer gegevens (N)'!$C$11,IF(C53=1,AC52,0))</f>
        <v>0</v>
      </c>
      <c r="Y53" s="98">
        <f ca="1">IF(E53='Invoer gegevens (N)'!$C$17+15,AC52,IF(C53&gt;=1,X53*VLOOKUP(E53,'Reeksen (N)'!$A$5:$B$76,2),0))</f>
        <v>0</v>
      </c>
      <c r="Z53" s="98">
        <f ca="1">IF(E53='Invoer gegevens (N)'!$C$17+15,AC52,(1-('Invoer gegevens (N)'!$F$20/12))*X53*MIN('Reeksen (N)'!B21,'Reeksen (N)'!D21))</f>
        <v>0</v>
      </c>
      <c r="AA53" s="98">
        <f>IF('Reeksen (N)'!D21&gt;='Reeksen (N)'!B21,0,IF('Reeksen (N)'!AK21&lt;='Reeksen (N)'!AE21,('Reeksen (N)'!B21-'Reeksen (N)'!D21)*X53,0))</f>
        <v>0</v>
      </c>
      <c r="AB53" s="98">
        <f>IF('Reeksen (N)'!D21&gt;='Reeksen (N)'!B21,0,IF('Reeksen (N)'!AK21&gt;'Reeksen (N)'!AE21,('Reeksen (N)'!B21-'Reeksen (N)'!D21)*X53,0))</f>
        <v>0</v>
      </c>
      <c r="AC53" s="99">
        <f ca="1">IF(E53&gt;='Invoer gegevens (N)'!$C$17+15,0,X53-Y53)</f>
        <v>0</v>
      </c>
      <c r="AD53" s="98">
        <f ca="1">IF('Invoer gegevens (N)'!$C$17=E21,R53,IF(C21=0,0,AE52))</f>
        <v>0</v>
      </c>
      <c r="AE53" s="98">
        <f t="shared" ca="1" si="10"/>
        <v>0</v>
      </c>
      <c r="AF53" s="98">
        <f ca="1">IF('Invoer gegevens (N)'!$C$17=E21,X53,IF(C21=0,0,AG52))</f>
        <v>0</v>
      </c>
      <c r="AG53" s="98">
        <f t="shared" ca="1" si="11"/>
        <v>0</v>
      </c>
      <c r="AH53" s="68"/>
      <c r="AI53" s="71">
        <f ca="1">IF(C53=1,'Reeksen (N)'!AJ21*((F53-G53+F53)/2)*12+'Reeksen (N)'!AK21*((L53-M53+L53)/2)*12,0)</f>
        <v>0</v>
      </c>
      <c r="AJ53" s="71">
        <f ca="1">-AI53*'Invoer gegevens (N)'!$F$28</f>
        <v>0</v>
      </c>
      <c r="AK53" s="71">
        <f t="shared" ca="1" si="9"/>
        <v>0</v>
      </c>
      <c r="AL53" s="71">
        <f ca="1">IF(C53=1,'Reeksen (N)'!AL21*((F53-G53+F53)/2)*12+'Reeksen (N)'!AM21*((L53-M53+L53)/2)*12,0)</f>
        <v>0</v>
      </c>
      <c r="AM53" s="71">
        <f ca="1">-AL53*'Invoer gegevens (N)'!$F$31</f>
        <v>0</v>
      </c>
      <c r="AN53" s="71">
        <f t="shared" ca="1" si="12"/>
        <v>0</v>
      </c>
      <c r="AO53" s="71">
        <f ca="1">IF(E53&gt;='Invoer gegevens (N)'!$C$17+15,0,IF(C53=1,(H53+J53+N53+P53)*'Reeksen (N)'!AN21,0))</f>
        <v>0</v>
      </c>
      <c r="AP53" s="71">
        <f ca="1">-IF(C53=1,(H53+J53+N53+P53)*'Hulp - basis'!$O$550*'Reeksen (N)'!H21,0)</f>
        <v>0</v>
      </c>
      <c r="AQ53" s="71">
        <f ca="1">-IF(C53=1,(F53+K53+L53+Q53)/2*'Invoer gegevens (N)'!$I$33*'Reeksen (N)'!J21,0)</f>
        <v>0</v>
      </c>
      <c r="AR53" s="71">
        <f ca="1">-IF(C53=1,(I53*'Invoer gegevens (N)'!$I$34)*'Reeksen (N)'!J21,0)</f>
        <v>0</v>
      </c>
      <c r="AS53" s="71">
        <f ca="1">-IF(C53=1,(F53+K53+L53+Q53)/2*'Invoer gegevens (N)'!$I$35*'Reeksen (N)'!L21,0)</f>
        <v>0</v>
      </c>
      <c r="AT53" s="71">
        <f ca="1">-IF(C53=1,IF(E53='Invoer gegevens (N)'!$C$17,'Invoer gegevens (N)'!$C$11,AD53)*'Reeksen (N)'!S21*'Invoer gegevens (N)'!$C$18*'Reeksen (N)'!P21,0)</f>
        <v>0</v>
      </c>
      <c r="AU53" s="71">
        <f ca="1">-IF(C53=1,(F53+K53+L53+Q53)/2*'Invoer gegevens (N)'!$I$36*'Reeksen (N)'!H21,0)</f>
        <v>0</v>
      </c>
      <c r="AV53" s="71">
        <v>0</v>
      </c>
      <c r="AW53" s="71">
        <f t="shared" ca="1" si="13"/>
        <v>0</v>
      </c>
      <c r="AX53" s="72">
        <f ca="1">IF(E53='Invoer gegevens (N)'!$C$17+14,'RW - BW - UP (N)'!$AY$236,0)</f>
        <v>0</v>
      </c>
      <c r="AY53" s="72">
        <f ca="1">IFERROR(IF(E53='Invoer gegevens (N)'!$C$17,-'Invoer gegevens (N)'!$C$10*('Invoer gegevens (N)'!$C$30+'Invoer gegevens (N)'!$C$31)*'Reeksen (N)'!H21,0),0)</f>
        <v>0</v>
      </c>
      <c r="AZ53" s="73">
        <f ca="1">IF('Invoer gegevens (N)'!$C$34=E53,'Invoer gegevens (N)'!$C$27*'Invoer gegevens (N)'!$C$10*'Invoer gegevens (N)'!$C$36*(IF('Invoer gegevens (N)'!$C$35="ja",1,'Reeksen (N)'!J21)),IF('Invoer gegevens (N)'!$C$34+1=E53,'Invoer gegevens (N)'!$C$27*'Invoer gegevens (N)'!$C$10*'Invoer gegevens (N)'!$C$37*(IF('Invoer gegevens (N)'!$C$35="ja",1,'Reeksen (N)'!J21)),0))+IF(AND(E53='Invoer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3" s="73">
        <f ca="1">AW53/(1+'Invoer gegevens (N)'!$F$18)^($D53-('Invoer gegevens (N)'!$C$17-'Invoer gegevens (N)'!$C$16))/(1+'Invoer gegevens (N)'!$C$39)^('Invoer gegevens (N)'!$C$17-'Invoer gegevens (N)'!$C$16)</f>
        <v>0</v>
      </c>
      <c r="BB53" s="73">
        <f ca="1">AX53/(1+'Invoer gegevens (N)'!$F$18)^(E53-('Invoer gegevens (N)'!$C$17-1))/(1+'Invoer gegevens (N)'!$C$39)^('Invoer gegevens (N)'!$C$17-'Invoer gegevens (N)'!$C$16)</f>
        <v>0</v>
      </c>
      <c r="BC53" s="73">
        <f ca="1">AY53/(1+'Invoer gegevens (N)'!$C$39)^('Invoer gegevens (N)'!$C$17-'Invoer gegevens (N)'!$C$16)</f>
        <v>0</v>
      </c>
      <c r="BD53" s="72">
        <f t="shared" ca="1" si="14"/>
        <v>0</v>
      </c>
      <c r="BE53" s="72">
        <f ca="1">IF(AND(E53='Invoer gegevens (N)'!$C$16,'Invoer gegevens (N)'!$C$34&lt;'Invoer gegevens (N)'!$C$16),AZ53,AZ53/(1+'Invoer gegevens (N)'!$C$39)^D53)</f>
        <v>0</v>
      </c>
      <c r="BF53" s="72">
        <f ca="1">IF(E53='Invoer gegevens (N)'!$C$34,-'Invoer gegevens (N)'!$F$40,0)</f>
        <v>0</v>
      </c>
      <c r="BG53" s="72">
        <f ca="1">IF(E53='Invoer gegevens (N)'!$C$17,-'Invoer gegevens (N)'!$C$19*$BD$63,0)</f>
        <v>0</v>
      </c>
      <c r="BH53" s="72">
        <f ca="1">AW53/(1+$BH$36)^($D53-('Invoer gegevens (N)'!$C$17-'Invoer gegevens (N)'!$C$16))/(1+'Invoer gegevens (N)'!$C$39)^('Invoer gegevens (N)'!$C$17-'Invoer gegevens (N)'!$C$16)+AX53/(1+$BH$36)^(E53-('Invoer gegevens (N)'!$C$17-1))/(1+'Invoer gegevens (N)'!$C$39)^('Invoer gegevens (N)'!$C$17-'Invoer gegevens (N)'!$C$16)+AY53/(1+'Invoer gegevens (N)'!$C$39)^('Invoer gegevens (N)'!$C$17-'Invoer gegevens (N)'!$C$16)+(-AZ53/(1+'Invoer gegevens (N)'!$C$39)^D53)+BF53+BG53</f>
        <v>0</v>
      </c>
      <c r="BI53" s="59"/>
    </row>
    <row r="54" spans="1:61" x14ac:dyDescent="0.25">
      <c r="A54" s="59"/>
      <c r="B54" s="70">
        <f t="shared" si="15"/>
        <v>18</v>
      </c>
      <c r="C54" s="67">
        <f ca="1">IF(AND(E54&gt;='Invoer gegevens (N)'!$C$17,E54&lt;'Invoer gegevens (N)'!$C$17+15),1,0)</f>
        <v>0</v>
      </c>
      <c r="D54" s="68">
        <f t="shared" si="16"/>
        <v>17.5</v>
      </c>
      <c r="E54" s="69">
        <f ca="1">IF('Invoer gegevens (N)'!$C$16="","",E53+1)</f>
        <v>2036</v>
      </c>
      <c r="F54" s="84">
        <f ca="1">IF('Invoer gegevens (N)'!$C$17=E54,'Invoer gegevens (N)'!$C$10,IF(C54=1,K53,0))</f>
        <v>0</v>
      </c>
      <c r="G54" s="96">
        <f ca="1">IF(E54='Invoer gegevens (N)'!$C$17+15,K53,IF(C54&gt;=1,F54*VLOOKUP(E54,'Reeksen (N)'!$A$5:$B$76,2),0))</f>
        <v>0</v>
      </c>
      <c r="H54" s="84">
        <f ca="1">IF(E54='Invoer gegevens (N)'!$C$17+15,K53,(1-('Invoer gegevens (N)'!$F$20/12))*F54*MIN('Reeksen (N)'!B22,'Reeksen (N)'!D22))</f>
        <v>0</v>
      </c>
      <c r="I54" s="84">
        <f>IF('Reeksen (N)'!D22&lt;'Reeksen (N)'!B22,('Reeksen (N)'!B22-'Reeksen (N)'!D22)*F54,0)</f>
        <v>0</v>
      </c>
      <c r="J54" s="84">
        <f ca="1">IF(E54='Invoer gegevens (N)'!$C$17+16,0,('Invoer gegevens (N)'!$F$20/12)*F53*MIN('Reeksen (N)'!B21,'Reeksen (N)'!D21))</f>
        <v>0</v>
      </c>
      <c r="K54" s="97">
        <f ca="1">IF(E54&gt;='Invoer gegevens (N)'!$C$17+15,0,F54-G54)</f>
        <v>0</v>
      </c>
      <c r="L54" s="84">
        <f ca="1">IF('Invoer gegevens (N)'!$C$17=E54,0,IF(C54=1,Q53,0))</f>
        <v>0</v>
      </c>
      <c r="M54" s="96">
        <f ca="1">IF(E54='Invoer gegevens (N)'!$C$17+15,Q53,IF(C54&gt;=1,L54*VLOOKUP(E54,'Reeksen (N)'!$A$5:$B$76,2),0))</f>
        <v>0</v>
      </c>
      <c r="N54" s="84">
        <f ca="1">IF(C54='Invoer gegevens (N)'!$C$17+15,Q53,(1-('Invoer gegevens (N)'!$F$20/12))*L54*MIN('Reeksen (N)'!B22,'Reeksen (N)'!D22))</f>
        <v>0</v>
      </c>
      <c r="O54" s="84">
        <f>IF('Reeksen (N)'!D22&lt;'Reeksen (N)'!B22,('Reeksen (N)'!B22-'Reeksen (N)'!D22)*L54,0)</f>
        <v>0</v>
      </c>
      <c r="P54" s="84">
        <f ca="1">IF(E54='Invoer gegevens (N)'!$C$17+16,0,('Invoer gegevens (N)'!$F$20/12)*L53*MIN('Reeksen (N)'!B21,'Reeksen (N)'!D21))</f>
        <v>0</v>
      </c>
      <c r="Q54" s="84">
        <f ca="1">IF(E54&gt;='Invoer gegevens (N)'!$C$17+15,0,L54-M54+I54+O54)</f>
        <v>0</v>
      </c>
      <c r="R54" s="82">
        <f ca="1">IF('Invoer gegevens (N)'!$C$17=E54,'Invoer gegevens (N)'!$C$11,IF(C54=1,W53,0))</f>
        <v>0</v>
      </c>
      <c r="S54" s="86">
        <f ca="1">IF(E54='Invoer gegevens (N)'!$C$17+15,W53,IF(C54&gt;=1,R54*VLOOKUP(E54,'Reeksen (N)'!$A$5:$B$76,2),0))</f>
        <v>0</v>
      </c>
      <c r="T54" s="84">
        <f ca="1">IF(E54='Invoer gegevens (N)'!$C$17+15,W53,(1-('Invoer gegevens (N)'!$F$20/12))*R54*MIN('Reeksen (N)'!B22,'Reeksen (N)'!D22))</f>
        <v>0</v>
      </c>
      <c r="U54" s="84">
        <f>IF('Reeksen (N)'!D22&gt;='Reeksen (N)'!B22,0,IF('Reeksen (N)'!AK22&lt;='Reeksen (N)'!AE22,('Reeksen (N)'!B22-'Reeksen (N)'!D22)*R54,0))</f>
        <v>0</v>
      </c>
      <c r="V54" s="86">
        <f>IF('Reeksen (N)'!D22&gt;='Reeksen (N)'!B22,0,IF('Reeksen (N)'!AK22&gt;'Reeksen (N)'!AE22,('Reeksen (N)'!B22-'Reeksen (N)'!D22)*R54,0))</f>
        <v>0</v>
      </c>
      <c r="W54" s="97">
        <f ca="1">IF(E54&gt;='Invoer gegevens (N)'!$C$17+15,0,R54-S54)</f>
        <v>0</v>
      </c>
      <c r="X54" s="98">
        <f ca="1">IF('Invoer gegevens (N)'!$C$17=E54,'Invoer gegevens (N)'!$C$10-'Invoer gegevens (N)'!$C$11,IF(C54=1,AC53,0))</f>
        <v>0</v>
      </c>
      <c r="Y54" s="98">
        <f ca="1">IF(E54='Invoer gegevens (N)'!$C$17+15,AC53,IF(C54&gt;=1,X54*VLOOKUP(E54,'Reeksen (N)'!$A$5:$B$76,2),0))</f>
        <v>0</v>
      </c>
      <c r="Z54" s="98">
        <f ca="1">IF(E54='Invoer gegevens (N)'!$C$17+15,AC53,(1-('Invoer gegevens (N)'!$F$20/12))*X54*MIN('Reeksen (N)'!B22,'Reeksen (N)'!D22))</f>
        <v>0</v>
      </c>
      <c r="AA54" s="98">
        <f>IF('Reeksen (N)'!D22&gt;='Reeksen (N)'!B22,0,IF('Reeksen (N)'!AK22&lt;='Reeksen (N)'!AE22,('Reeksen (N)'!B22-'Reeksen (N)'!D22)*X54,0))</f>
        <v>0</v>
      </c>
      <c r="AB54" s="98">
        <f>IF('Reeksen (N)'!D22&gt;='Reeksen (N)'!B22,0,IF('Reeksen (N)'!AK22&gt;'Reeksen (N)'!AE22,('Reeksen (N)'!B22-'Reeksen (N)'!D22)*X54,0))</f>
        <v>0</v>
      </c>
      <c r="AC54" s="99">
        <f ca="1">IF(E54&gt;='Invoer gegevens (N)'!$C$17+15,0,X54-Y54)</f>
        <v>0</v>
      </c>
      <c r="AD54" s="98">
        <f ca="1">IF('Invoer gegevens (N)'!$C$17=E22,R54,IF(C22=0,0,AE53))</f>
        <v>0</v>
      </c>
      <c r="AE54" s="98">
        <f t="shared" ca="1" si="10"/>
        <v>0</v>
      </c>
      <c r="AF54" s="98">
        <f ca="1">IF('Invoer gegevens (N)'!$C$17=E22,X54,IF(C22=0,0,AG53))</f>
        <v>0</v>
      </c>
      <c r="AG54" s="98">
        <f t="shared" ca="1" si="11"/>
        <v>0</v>
      </c>
      <c r="AH54" s="68"/>
      <c r="AI54" s="71">
        <f ca="1">IF(C54=1,'Reeksen (N)'!AJ22*((F54-G54+F54)/2)*12+'Reeksen (N)'!AK22*((L54-M54+L54)/2)*12,0)</f>
        <v>0</v>
      </c>
      <c r="AJ54" s="71">
        <f ca="1">-AI54*'Invoer gegevens (N)'!$F$28</f>
        <v>0</v>
      </c>
      <c r="AK54" s="71">
        <f t="shared" ca="1" si="9"/>
        <v>0</v>
      </c>
      <c r="AL54" s="71">
        <f ca="1">IF(C54=1,'Reeksen (N)'!AL22*((F54-G54+F54)/2)*12+'Reeksen (N)'!AM22*((L54-M54+L54)/2)*12,0)</f>
        <v>0</v>
      </c>
      <c r="AM54" s="71">
        <f ca="1">-AL54*'Invoer gegevens (N)'!$F$31</f>
        <v>0</v>
      </c>
      <c r="AN54" s="71">
        <f t="shared" ca="1" si="12"/>
        <v>0</v>
      </c>
      <c r="AO54" s="71">
        <f ca="1">IF(E54&gt;='Invoer gegevens (N)'!$C$17+15,0,IF(C54=1,(H54+J54+N54+P54)*'Reeksen (N)'!AN22,0))</f>
        <v>0</v>
      </c>
      <c r="AP54" s="71">
        <f ca="1">-IF(C54=1,(H54+J54+N54+P54)*'Hulp - basis'!$O$550*'Reeksen (N)'!H22,0)</f>
        <v>0</v>
      </c>
      <c r="AQ54" s="71">
        <f ca="1">-IF(C54=1,(F54+K54+L54+Q54)/2*'Invoer gegevens (N)'!$I$33*'Reeksen (N)'!J22,0)</f>
        <v>0</v>
      </c>
      <c r="AR54" s="71">
        <f ca="1">-IF(C54=1,(I54*'Invoer gegevens (N)'!$I$34)*'Reeksen (N)'!J22,0)</f>
        <v>0</v>
      </c>
      <c r="AS54" s="71">
        <f ca="1">-IF(C54=1,(F54+K54+L54+Q54)/2*'Invoer gegevens (N)'!$I$35*'Reeksen (N)'!L22,0)</f>
        <v>0</v>
      </c>
      <c r="AT54" s="71">
        <f ca="1">-IF(C54=1,IF(E54='Invoer gegevens (N)'!$C$17,'Invoer gegevens (N)'!$C$11,AD54)*'Reeksen (N)'!S22*'Invoer gegevens (N)'!$C$18*'Reeksen (N)'!P22,0)</f>
        <v>0</v>
      </c>
      <c r="AU54" s="71">
        <f ca="1">-IF(C54=1,(F54+K54+L54+Q54)/2*'Invoer gegevens (N)'!$I$36*'Reeksen (N)'!H22,0)</f>
        <v>0</v>
      </c>
      <c r="AV54" s="71">
        <v>0</v>
      </c>
      <c r="AW54" s="71">
        <f t="shared" ca="1" si="13"/>
        <v>0</v>
      </c>
      <c r="AX54" s="72">
        <f ca="1">IF(E54='Invoer gegevens (N)'!$C$17+14,'RW - BW - UP (N)'!$AY$236,0)</f>
        <v>0</v>
      </c>
      <c r="AY54" s="72">
        <f ca="1">IFERROR(IF(E54='Invoer gegevens (N)'!$C$17,-'Invoer gegevens (N)'!$C$10*('Invoer gegevens (N)'!$C$30+'Invoer gegevens (N)'!$C$31)*'Reeksen (N)'!H22,0),0)</f>
        <v>0</v>
      </c>
      <c r="AZ54" s="73">
        <f ca="1">IF('Invoer gegevens (N)'!$C$34=E54,'Invoer gegevens (N)'!$C$27*'Invoer gegevens (N)'!$C$10*'Invoer gegevens (N)'!$C$36*(IF('Invoer gegevens (N)'!$C$35="ja",1,'Reeksen (N)'!J22)),IF('Invoer gegevens (N)'!$C$34+1=E54,'Invoer gegevens (N)'!$C$27*'Invoer gegevens (N)'!$C$10*'Invoer gegevens (N)'!$C$37*(IF('Invoer gegevens (N)'!$C$35="ja",1,'Reeksen (N)'!J22)),0))+IF(AND(E54='Invoer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4" s="73">
        <f ca="1">AW54/(1+'Invoer gegevens (N)'!$F$18)^($D54-('Invoer gegevens (N)'!$C$17-'Invoer gegevens (N)'!$C$16))/(1+'Invoer gegevens (N)'!$C$39)^('Invoer gegevens (N)'!$C$17-'Invoer gegevens (N)'!$C$16)</f>
        <v>0</v>
      </c>
      <c r="BB54" s="73">
        <f ca="1">AX54/(1+'Invoer gegevens (N)'!$F$18)^(E54-('Invoer gegevens (N)'!$C$17-1))/(1+'Invoer gegevens (N)'!$C$39)^('Invoer gegevens (N)'!$C$17-'Invoer gegevens (N)'!$C$16)</f>
        <v>0</v>
      </c>
      <c r="BC54" s="73">
        <f ca="1">AY54/(1+'Invoer gegevens (N)'!$C$39)^('Invoer gegevens (N)'!$C$17-'Invoer gegevens (N)'!$C$16)</f>
        <v>0</v>
      </c>
      <c r="BD54" s="72">
        <f t="shared" ca="1" si="14"/>
        <v>0</v>
      </c>
      <c r="BE54" s="72">
        <f ca="1">IF(AND(E54='Invoer gegevens (N)'!$C$16,'Invoer gegevens (N)'!$C$34&lt;'Invoer gegevens (N)'!$C$16),AZ54,AZ54/(1+'Invoer gegevens (N)'!$C$39)^D54)</f>
        <v>0</v>
      </c>
      <c r="BF54" s="72">
        <f ca="1">IF(E54='Invoer gegevens (N)'!$C$34,-'Invoer gegevens (N)'!$F$40,0)</f>
        <v>0</v>
      </c>
      <c r="BG54" s="72">
        <f ca="1">IF(E54='Invoer gegevens (N)'!$C$17,-'Invoer gegevens (N)'!$C$19*$BD$63,0)</f>
        <v>0</v>
      </c>
      <c r="BH54" s="72">
        <f ca="1">AW54/(1+$BH$36)^($D54-('Invoer gegevens (N)'!$C$17-'Invoer gegevens (N)'!$C$16))/(1+'Invoer gegevens (N)'!$C$39)^('Invoer gegevens (N)'!$C$17-'Invoer gegevens (N)'!$C$16)+AX54/(1+$BH$36)^(E54-('Invoer gegevens (N)'!$C$17-1))/(1+'Invoer gegevens (N)'!$C$39)^('Invoer gegevens (N)'!$C$17-'Invoer gegevens (N)'!$C$16)+AY54/(1+'Invoer gegevens (N)'!$C$39)^('Invoer gegevens (N)'!$C$17-'Invoer gegevens (N)'!$C$16)+(-AZ54/(1+'Invoer gegevens (N)'!$C$39)^D54)+BF54+BG54</f>
        <v>0</v>
      </c>
      <c r="BI54" s="59"/>
    </row>
    <row r="55" spans="1:61" x14ac:dyDescent="0.25">
      <c r="A55" s="59"/>
      <c r="B55" s="70">
        <f t="shared" si="15"/>
        <v>19</v>
      </c>
      <c r="C55" s="67">
        <f ca="1">IF(AND(E55&gt;='Invoer gegevens (N)'!$C$17,E55&lt;'Invoer gegevens (N)'!$C$17+15),1,0)</f>
        <v>0</v>
      </c>
      <c r="D55" s="68">
        <f t="shared" si="16"/>
        <v>18.5</v>
      </c>
      <c r="E55" s="69">
        <f ca="1">IF('Invoer gegevens (N)'!$C$16="","",E54+1)</f>
        <v>2037</v>
      </c>
      <c r="F55" s="84">
        <f ca="1">IF('Invoer gegevens (N)'!$C$17=E55,'Invoer gegevens (N)'!$C$10,IF(C55=1,K54,0))</f>
        <v>0</v>
      </c>
      <c r="G55" s="96">
        <f ca="1">IF(E55='Invoer gegevens (N)'!$C$17+15,K54,IF(C55&gt;=1,F55*VLOOKUP(E55,'Reeksen (N)'!$A$5:$B$76,2),0))</f>
        <v>0</v>
      </c>
      <c r="H55" s="84">
        <f ca="1">IF(E55='Invoer gegevens (N)'!$C$17+15,K54,(1-('Invoer gegevens (N)'!$F$20/12))*F55*MIN('Reeksen (N)'!B23,'Reeksen (N)'!D23))</f>
        <v>0</v>
      </c>
      <c r="I55" s="84">
        <f>IF('Reeksen (N)'!D23&lt;'Reeksen (N)'!B23,('Reeksen (N)'!B23-'Reeksen (N)'!D23)*F55,0)</f>
        <v>0</v>
      </c>
      <c r="J55" s="84">
        <f ca="1">IF(E55='Invoer gegevens (N)'!$C$17+16,0,('Invoer gegevens (N)'!$F$20/12)*F54*MIN('Reeksen (N)'!B22,'Reeksen (N)'!D22))</f>
        <v>0</v>
      </c>
      <c r="K55" s="97">
        <f ca="1">IF(E55&gt;='Invoer gegevens (N)'!$C$17+15,0,F55-G55)</f>
        <v>0</v>
      </c>
      <c r="L55" s="84">
        <f ca="1">IF('Invoer gegevens (N)'!$C$17=E55,0,IF(C55=1,Q54,0))</f>
        <v>0</v>
      </c>
      <c r="M55" s="96">
        <f ca="1">IF(E55='Invoer gegevens (N)'!$C$17+15,Q54,IF(C55&gt;=1,L55*VLOOKUP(E55,'Reeksen (N)'!$A$5:$B$76,2),0))</f>
        <v>0</v>
      </c>
      <c r="N55" s="84">
        <f ca="1">IF(C55='Invoer gegevens (N)'!$C$17+15,Q54,(1-('Invoer gegevens (N)'!$F$20/12))*L55*MIN('Reeksen (N)'!B23,'Reeksen (N)'!D23))</f>
        <v>0</v>
      </c>
      <c r="O55" s="84">
        <f>IF('Reeksen (N)'!D23&lt;'Reeksen (N)'!B23,('Reeksen (N)'!B23-'Reeksen (N)'!D23)*L55,0)</f>
        <v>0</v>
      </c>
      <c r="P55" s="84">
        <f ca="1">IF(E55='Invoer gegevens (N)'!$C$17+16,0,('Invoer gegevens (N)'!$F$20/12)*L54*MIN('Reeksen (N)'!B22,'Reeksen (N)'!D22))</f>
        <v>0</v>
      </c>
      <c r="Q55" s="84">
        <f ca="1">IF(E55&gt;='Invoer gegevens (N)'!$C$17+15,0,L55-M55+I55+O55)</f>
        <v>0</v>
      </c>
      <c r="R55" s="82">
        <f ca="1">IF('Invoer gegevens (N)'!$C$17=E55,'Invoer gegevens (N)'!$C$11,IF(C55=1,W54,0))</f>
        <v>0</v>
      </c>
      <c r="S55" s="86">
        <f ca="1">IF(E55='Invoer gegevens (N)'!$C$17+15,W54,IF(C55&gt;=1,R55*VLOOKUP(E55,'Reeksen (N)'!$A$5:$B$76,2),0))</f>
        <v>0</v>
      </c>
      <c r="T55" s="84">
        <f ca="1">IF(E55='Invoer gegevens (N)'!$C$17+15,W54,(1-('Invoer gegevens (N)'!$F$20/12))*R55*MIN('Reeksen (N)'!B23,'Reeksen (N)'!D23))</f>
        <v>0</v>
      </c>
      <c r="U55" s="84">
        <f>IF('Reeksen (N)'!D23&gt;='Reeksen (N)'!B23,0,IF('Reeksen (N)'!AK23&lt;='Reeksen (N)'!AE23,('Reeksen (N)'!B23-'Reeksen (N)'!D23)*R55,0))</f>
        <v>0</v>
      </c>
      <c r="V55" s="86">
        <f>IF('Reeksen (N)'!D23&gt;='Reeksen (N)'!B23,0,IF('Reeksen (N)'!AK23&gt;'Reeksen (N)'!AE23,('Reeksen (N)'!B23-'Reeksen (N)'!D23)*R55,0))</f>
        <v>0</v>
      </c>
      <c r="W55" s="97">
        <f ca="1">IF(E55&gt;='Invoer gegevens (N)'!$C$17+15,0,R55-S55)</f>
        <v>0</v>
      </c>
      <c r="X55" s="98">
        <f ca="1">IF('Invoer gegevens (N)'!$C$17=E55,'Invoer gegevens (N)'!$C$10-'Invoer gegevens (N)'!$C$11,IF(C55=1,AC54,0))</f>
        <v>0</v>
      </c>
      <c r="Y55" s="98">
        <f ca="1">IF(E55='Invoer gegevens (N)'!$C$17+15,AC54,IF(C55&gt;=1,X55*VLOOKUP(E55,'Reeksen (N)'!$A$5:$B$76,2),0))</f>
        <v>0</v>
      </c>
      <c r="Z55" s="98">
        <f ca="1">IF(E55='Invoer gegevens (N)'!$C$17+15,AC54,(1-('Invoer gegevens (N)'!$F$20/12))*X55*MIN('Reeksen (N)'!B23,'Reeksen (N)'!D23))</f>
        <v>0</v>
      </c>
      <c r="AA55" s="98">
        <f>IF('Reeksen (N)'!D23&gt;='Reeksen (N)'!B23,0,IF('Reeksen (N)'!AK23&lt;='Reeksen (N)'!AE23,('Reeksen (N)'!B23-'Reeksen (N)'!D23)*X55,0))</f>
        <v>0</v>
      </c>
      <c r="AB55" s="98">
        <f>IF('Reeksen (N)'!D23&gt;='Reeksen (N)'!B23,0,IF('Reeksen (N)'!AK23&gt;'Reeksen (N)'!AE23,('Reeksen (N)'!B23-'Reeksen (N)'!D23)*X55,0))</f>
        <v>0</v>
      </c>
      <c r="AC55" s="99">
        <f ca="1">IF(E55&gt;='Invoer gegevens (N)'!$C$17+15,0,X55-Y55)</f>
        <v>0</v>
      </c>
      <c r="AD55" s="98">
        <f ca="1">IF('Invoer gegevens (N)'!$C$17=E23,R55,IF(C23=0,0,AE54))</f>
        <v>0</v>
      </c>
      <c r="AE55" s="98">
        <f t="shared" ca="1" si="10"/>
        <v>0</v>
      </c>
      <c r="AF55" s="98">
        <f ca="1">IF('Invoer gegevens (N)'!$C$17=E23,X55,IF(C23=0,0,AG54))</f>
        <v>0</v>
      </c>
      <c r="AG55" s="98">
        <f t="shared" ca="1" si="11"/>
        <v>0</v>
      </c>
      <c r="AH55" s="68"/>
      <c r="AI55" s="71">
        <f ca="1">IF(C55=1,'Reeksen (N)'!AJ23*((F55-G55+F55)/2)*12+'Reeksen (N)'!AK23*((L55-M55+L55)/2)*12,0)</f>
        <v>0</v>
      </c>
      <c r="AJ55" s="71">
        <f ca="1">-AI55*'Invoer gegevens (N)'!$F$28</f>
        <v>0</v>
      </c>
      <c r="AK55" s="71">
        <f t="shared" ca="1" si="9"/>
        <v>0</v>
      </c>
      <c r="AL55" s="71">
        <f ca="1">IF(C55=1,'Reeksen (N)'!AL23*((F55-G55+F55)/2)*12+'Reeksen (N)'!AM23*((L55-M55+L55)/2)*12,0)</f>
        <v>0</v>
      </c>
      <c r="AM55" s="71">
        <f ca="1">-AL55*'Invoer gegevens (N)'!$F$31</f>
        <v>0</v>
      </c>
      <c r="AN55" s="71">
        <f t="shared" ca="1" si="12"/>
        <v>0</v>
      </c>
      <c r="AO55" s="71">
        <f ca="1">IF(E55&gt;='Invoer gegevens (N)'!$C$17+15,0,IF(C55=1,(H55+J55+N55+P55)*'Reeksen (N)'!AN23,0))</f>
        <v>0</v>
      </c>
      <c r="AP55" s="71">
        <f ca="1">-IF(C55=1,(H55+J55+N55+P55)*'Hulp - basis'!$O$550*'Reeksen (N)'!H23,0)</f>
        <v>0</v>
      </c>
      <c r="AQ55" s="71">
        <f ca="1">-IF(C55=1,(F55+K55+L55+Q55)/2*'Invoer gegevens (N)'!$I$33*'Reeksen (N)'!J23,0)</f>
        <v>0</v>
      </c>
      <c r="AR55" s="71">
        <f ca="1">-IF(C55=1,(I55*'Invoer gegevens (N)'!$I$34)*'Reeksen (N)'!J23,0)</f>
        <v>0</v>
      </c>
      <c r="AS55" s="71">
        <f ca="1">-IF(C55=1,(F55+K55+L55+Q55)/2*'Invoer gegevens (N)'!$I$35*'Reeksen (N)'!L23,0)</f>
        <v>0</v>
      </c>
      <c r="AT55" s="71">
        <f ca="1">-IF(C55=1,IF(E55='Invoer gegevens (N)'!$C$17,'Invoer gegevens (N)'!$C$11,AD55)*'Reeksen (N)'!S23*'Invoer gegevens (N)'!$C$18*'Reeksen (N)'!P23,0)</f>
        <v>0</v>
      </c>
      <c r="AU55" s="71">
        <f ca="1">-IF(C55=1,(F55+K55+L55+Q55)/2*'Invoer gegevens (N)'!$I$36*'Reeksen (N)'!H23,0)</f>
        <v>0</v>
      </c>
      <c r="AV55" s="71">
        <v>0</v>
      </c>
      <c r="AW55" s="71">
        <f t="shared" ca="1" si="13"/>
        <v>0</v>
      </c>
      <c r="AX55" s="72">
        <f ca="1">IF(E55='Invoer gegevens (N)'!$C$17+14,'RW - BW - UP (N)'!$AY$236,0)</f>
        <v>0</v>
      </c>
      <c r="AY55" s="72">
        <f ca="1">IFERROR(IF(E55='Invoer gegevens (N)'!$C$17,-'Invoer gegevens (N)'!$C$10*('Invoer gegevens (N)'!$C$30+'Invoer gegevens (N)'!$C$31)*'Reeksen (N)'!H23,0),0)</f>
        <v>0</v>
      </c>
      <c r="AZ55" s="73">
        <f ca="1">IF('Invoer gegevens (N)'!$C$34=E55,'Invoer gegevens (N)'!$C$27*'Invoer gegevens (N)'!$C$10*'Invoer gegevens (N)'!$C$36*(IF('Invoer gegevens (N)'!$C$35="ja",1,'Reeksen (N)'!J23)),IF('Invoer gegevens (N)'!$C$34+1=E55,'Invoer gegevens (N)'!$C$27*'Invoer gegevens (N)'!$C$10*'Invoer gegevens (N)'!$C$37*(IF('Invoer gegevens (N)'!$C$35="ja",1,'Reeksen (N)'!J23)),0))+IF(AND(E55='Invoer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5" s="73">
        <f ca="1">AW55/(1+'Invoer gegevens (N)'!$F$18)^($D55-('Invoer gegevens (N)'!$C$17-'Invoer gegevens (N)'!$C$16))/(1+'Invoer gegevens (N)'!$C$39)^('Invoer gegevens (N)'!$C$17-'Invoer gegevens (N)'!$C$16)</f>
        <v>0</v>
      </c>
      <c r="BB55" s="73">
        <f ca="1">AX55/(1+'Invoer gegevens (N)'!$F$18)^(E55-('Invoer gegevens (N)'!$C$17-1))/(1+'Invoer gegevens (N)'!$C$39)^('Invoer gegevens (N)'!$C$17-'Invoer gegevens (N)'!$C$16)</f>
        <v>0</v>
      </c>
      <c r="BC55" s="73">
        <f ca="1">AY55/(1+'Invoer gegevens (N)'!$C$39)^('Invoer gegevens (N)'!$C$17-'Invoer gegevens (N)'!$C$16)</f>
        <v>0</v>
      </c>
      <c r="BD55" s="72">
        <f t="shared" ca="1" si="14"/>
        <v>0</v>
      </c>
      <c r="BE55" s="72">
        <f ca="1">IF(AND(E55='Invoer gegevens (N)'!$C$16,'Invoer gegevens (N)'!$C$34&lt;'Invoer gegevens (N)'!$C$16),AZ55,AZ55/(1+'Invoer gegevens (N)'!$C$39)^D55)</f>
        <v>0</v>
      </c>
      <c r="BF55" s="72">
        <f ca="1">IF(E55='Invoer gegevens (N)'!$C$34,-'Invoer gegevens (N)'!$F$40,0)</f>
        <v>0</v>
      </c>
      <c r="BG55" s="72">
        <f ca="1">IF(E55='Invoer gegevens (N)'!$C$17,-'Invoer gegevens (N)'!$C$19*$BD$63,0)</f>
        <v>0</v>
      </c>
      <c r="BH55" s="72">
        <f ca="1">AW55/(1+$BH$36)^($D55-('Invoer gegevens (N)'!$C$17-'Invoer gegevens (N)'!$C$16))/(1+'Invoer gegevens (N)'!$C$39)^('Invoer gegevens (N)'!$C$17-'Invoer gegevens (N)'!$C$16)+AX55/(1+$BH$36)^(E55-('Invoer gegevens (N)'!$C$17-1))/(1+'Invoer gegevens (N)'!$C$39)^('Invoer gegevens (N)'!$C$17-'Invoer gegevens (N)'!$C$16)+AY55/(1+'Invoer gegevens (N)'!$C$39)^('Invoer gegevens (N)'!$C$17-'Invoer gegevens (N)'!$C$16)+(-AZ55/(1+'Invoer gegevens (N)'!$C$39)^D55)+BF55+BG55</f>
        <v>0</v>
      </c>
      <c r="BI55" s="59"/>
    </row>
    <row r="56" spans="1:61" x14ac:dyDescent="0.25">
      <c r="A56" s="59"/>
      <c r="B56" s="70">
        <f t="shared" si="15"/>
        <v>20</v>
      </c>
      <c r="C56" s="67">
        <f ca="1">IF(AND(E56&gt;='Invoer gegevens (N)'!$C$17,E56&lt;'Invoer gegevens (N)'!$C$17+15),1,0)</f>
        <v>0</v>
      </c>
      <c r="D56" s="68">
        <f t="shared" si="16"/>
        <v>19.5</v>
      </c>
      <c r="E56" s="69">
        <f ca="1">IF('Invoer gegevens (N)'!$C$16="","",E55+1)</f>
        <v>2038</v>
      </c>
      <c r="F56" s="84">
        <f ca="1">IF('Invoer gegevens (N)'!$C$17=E56,'Invoer gegevens (N)'!$C$10,IF(C56=1,K55,0))</f>
        <v>0</v>
      </c>
      <c r="G56" s="96">
        <f ca="1">IF(E56='Invoer gegevens (N)'!$C$17+15,K55,IF(C56&gt;=1,F56*VLOOKUP(E56,'Reeksen (N)'!$A$5:$B$76,2),0))</f>
        <v>0</v>
      </c>
      <c r="H56" s="84">
        <f ca="1">IF(E56='Invoer gegevens (N)'!$C$17+15,K55,(1-('Invoer gegevens (N)'!$F$20/12))*F56*MIN('Reeksen (N)'!B24,'Reeksen (N)'!D24))</f>
        <v>0</v>
      </c>
      <c r="I56" s="84">
        <f>IF('Reeksen (N)'!D24&lt;'Reeksen (N)'!B24,('Reeksen (N)'!B24-'Reeksen (N)'!D24)*F56,0)</f>
        <v>0</v>
      </c>
      <c r="J56" s="84">
        <f ca="1">IF(E56='Invoer gegevens (N)'!$C$17+16,0,('Invoer gegevens (N)'!$F$20/12)*F55*MIN('Reeksen (N)'!B23,'Reeksen (N)'!D23))</f>
        <v>0</v>
      </c>
      <c r="K56" s="97">
        <f ca="1">IF(E56&gt;='Invoer gegevens (N)'!$C$17+15,0,F56-G56)</f>
        <v>0</v>
      </c>
      <c r="L56" s="84">
        <f ca="1">IF('Invoer gegevens (N)'!$C$17=E56,0,IF(C56=1,Q55,0))</f>
        <v>0</v>
      </c>
      <c r="M56" s="96">
        <f ca="1">IF(E56='Invoer gegevens (N)'!$C$17+15,Q55,IF(C56&gt;=1,L56*VLOOKUP(E56,'Reeksen (N)'!$A$5:$B$76,2),0))</f>
        <v>0</v>
      </c>
      <c r="N56" s="84">
        <f ca="1">IF(C56='Invoer gegevens (N)'!$C$17+15,Q55,(1-('Invoer gegevens (N)'!$F$20/12))*L56*MIN('Reeksen (N)'!B24,'Reeksen (N)'!D24))</f>
        <v>0</v>
      </c>
      <c r="O56" s="84">
        <f>IF('Reeksen (N)'!D24&lt;'Reeksen (N)'!B24,('Reeksen (N)'!B24-'Reeksen (N)'!D24)*L56,0)</f>
        <v>0</v>
      </c>
      <c r="P56" s="84">
        <f ca="1">IF(E56='Invoer gegevens (N)'!$C$17+16,0,('Invoer gegevens (N)'!$F$20/12)*L55*MIN('Reeksen (N)'!B23,'Reeksen (N)'!D23))</f>
        <v>0</v>
      </c>
      <c r="Q56" s="84">
        <f ca="1">IF(E56&gt;='Invoer gegevens (N)'!$C$17+15,0,L56-M56+I56+O56)</f>
        <v>0</v>
      </c>
      <c r="R56" s="82">
        <f ca="1">IF('Invoer gegevens (N)'!$C$17=E56,'Invoer gegevens (N)'!$C$11,IF(C56=1,W55,0))</f>
        <v>0</v>
      </c>
      <c r="S56" s="86">
        <f ca="1">IF(E56='Invoer gegevens (N)'!$C$17+15,W55,IF(C56&gt;=1,R56*VLOOKUP(E56,'Reeksen (N)'!$A$5:$B$76,2),0))</f>
        <v>0</v>
      </c>
      <c r="T56" s="84">
        <f ca="1">IF(E56='Invoer gegevens (N)'!$C$17+15,W55,(1-('Invoer gegevens (N)'!$F$20/12))*R56*MIN('Reeksen (N)'!B24,'Reeksen (N)'!D24))</f>
        <v>0</v>
      </c>
      <c r="U56" s="84">
        <f>IF('Reeksen (N)'!D24&gt;='Reeksen (N)'!B24,0,IF('Reeksen (N)'!AK24&lt;='Reeksen (N)'!AE24,('Reeksen (N)'!B24-'Reeksen (N)'!D24)*R56,0))</f>
        <v>0</v>
      </c>
      <c r="V56" s="86">
        <f>IF('Reeksen (N)'!D24&gt;='Reeksen (N)'!B24,0,IF('Reeksen (N)'!AK24&gt;'Reeksen (N)'!AE24,('Reeksen (N)'!B24-'Reeksen (N)'!D24)*R56,0))</f>
        <v>0</v>
      </c>
      <c r="W56" s="97">
        <f ca="1">IF(E56&gt;='Invoer gegevens (N)'!$C$17+15,0,R56-S56)</f>
        <v>0</v>
      </c>
      <c r="X56" s="98">
        <f ca="1">IF('Invoer gegevens (N)'!$C$17=E56,'Invoer gegevens (N)'!$C$10-'Invoer gegevens (N)'!$C$11,IF(C56=1,AC55,0))</f>
        <v>0</v>
      </c>
      <c r="Y56" s="98">
        <f ca="1">IF(E56='Invoer gegevens (N)'!$C$17+15,AC55,IF(C56&gt;=1,X56*VLOOKUP(E56,'Reeksen (N)'!$A$5:$B$76,2),0))</f>
        <v>0</v>
      </c>
      <c r="Z56" s="98">
        <f ca="1">IF(E56='Invoer gegevens (N)'!$C$17+15,AC55,(1-('Invoer gegevens (N)'!$F$20/12))*X56*MIN('Reeksen (N)'!B24,'Reeksen (N)'!D24))</f>
        <v>0</v>
      </c>
      <c r="AA56" s="98">
        <f>IF('Reeksen (N)'!D24&gt;='Reeksen (N)'!B24,0,IF('Reeksen (N)'!AK24&lt;='Reeksen (N)'!AE24,('Reeksen (N)'!B24-'Reeksen (N)'!D24)*X56,0))</f>
        <v>0</v>
      </c>
      <c r="AB56" s="98">
        <f>IF('Reeksen (N)'!D24&gt;='Reeksen (N)'!B24,0,IF('Reeksen (N)'!AK24&gt;'Reeksen (N)'!AE24,('Reeksen (N)'!B24-'Reeksen (N)'!D24)*X56,0))</f>
        <v>0</v>
      </c>
      <c r="AC56" s="99">
        <f ca="1">IF(E56&gt;='Invoer gegevens (N)'!$C$17+15,0,X56-Y56)</f>
        <v>0</v>
      </c>
      <c r="AD56" s="98">
        <f ca="1">IF('Invoer gegevens (N)'!$C$17=E24,R56,IF(C24=0,0,AE55))</f>
        <v>0</v>
      </c>
      <c r="AE56" s="98">
        <f t="shared" ca="1" si="10"/>
        <v>0</v>
      </c>
      <c r="AF56" s="98">
        <f ca="1">IF('Invoer gegevens (N)'!$C$17=E24,X56,IF(C24=0,0,AG55))</f>
        <v>0</v>
      </c>
      <c r="AG56" s="98">
        <f t="shared" ca="1" si="11"/>
        <v>0</v>
      </c>
      <c r="AH56" s="68"/>
      <c r="AI56" s="71">
        <f ca="1">IF(C56=1,'Reeksen (N)'!AJ24*((F56-G56+F56)/2)*12+'Reeksen (N)'!AK24*((L56-M56+L56)/2)*12,0)</f>
        <v>0</v>
      </c>
      <c r="AJ56" s="71">
        <f ca="1">-AI56*'Invoer gegevens (N)'!$F$28</f>
        <v>0</v>
      </c>
      <c r="AK56" s="71">
        <f t="shared" ca="1" si="9"/>
        <v>0</v>
      </c>
      <c r="AL56" s="71">
        <f ca="1">IF(C56=1,'Reeksen (N)'!AL24*((F56-G56+F56)/2)*12+'Reeksen (N)'!AM24*((L56-M56+L56)/2)*12,0)</f>
        <v>0</v>
      </c>
      <c r="AM56" s="71">
        <f ca="1">-AL56*'Invoer gegevens (N)'!$F$31</f>
        <v>0</v>
      </c>
      <c r="AN56" s="71">
        <f t="shared" ca="1" si="12"/>
        <v>0</v>
      </c>
      <c r="AO56" s="71">
        <f ca="1">IF(E56&gt;='Invoer gegevens (N)'!$C$17+15,0,IF(C56=1,(H56+J56+N56+P56)*'Reeksen (N)'!AN24,0))</f>
        <v>0</v>
      </c>
      <c r="AP56" s="71">
        <f ca="1">-IF(C56=1,(H56+J56+N56+P56)*'Hulp - basis'!$O$550*'Reeksen (N)'!H24,0)</f>
        <v>0</v>
      </c>
      <c r="AQ56" s="71">
        <f ca="1">-IF(C56=1,(F56+K56+L56+Q56)/2*'Invoer gegevens (N)'!$I$33*'Reeksen (N)'!J24,0)</f>
        <v>0</v>
      </c>
      <c r="AR56" s="71">
        <f ca="1">-IF(C56=1,(I56*'Invoer gegevens (N)'!$I$34)*'Reeksen (N)'!J24,0)</f>
        <v>0</v>
      </c>
      <c r="AS56" s="71">
        <f ca="1">-IF(C56=1,(F56+K56+L56+Q56)/2*'Invoer gegevens (N)'!$I$35*'Reeksen (N)'!L24,0)</f>
        <v>0</v>
      </c>
      <c r="AT56" s="71">
        <f ca="1">-IF(C56=1,IF(E56='Invoer gegevens (N)'!$C$17,'Invoer gegevens (N)'!$C$11,AD56)*'Reeksen (N)'!S24*'Invoer gegevens (N)'!$C$18*'Reeksen (N)'!P24,0)</f>
        <v>0</v>
      </c>
      <c r="AU56" s="71">
        <f ca="1">-IF(C56=1,(F56+K56+L56+Q56)/2*'Invoer gegevens (N)'!$I$36*'Reeksen (N)'!H24,0)</f>
        <v>0</v>
      </c>
      <c r="AV56" s="71">
        <v>0</v>
      </c>
      <c r="AW56" s="71">
        <f t="shared" ca="1" si="13"/>
        <v>0</v>
      </c>
      <c r="AX56" s="72">
        <f ca="1">IF(E56='Invoer gegevens (N)'!$C$17+14,'RW - BW - UP (N)'!$AY$236,0)</f>
        <v>0</v>
      </c>
      <c r="AY56" s="72">
        <f ca="1">IFERROR(IF(E56='Invoer gegevens (N)'!$C$17,-'Invoer gegevens (N)'!$C$10*('Invoer gegevens (N)'!$C$30+'Invoer gegevens (N)'!$C$31)*'Reeksen (N)'!H24,0),0)</f>
        <v>0</v>
      </c>
      <c r="AZ56" s="73">
        <f ca="1">IF('Invoer gegevens (N)'!$C$34=E56,'Invoer gegevens (N)'!$C$27*'Invoer gegevens (N)'!$C$10*'Invoer gegevens (N)'!$C$36*(IF('Invoer gegevens (N)'!$C$35="ja",1,'Reeksen (N)'!J24)),IF('Invoer gegevens (N)'!$C$34+1=E56,'Invoer gegevens (N)'!$C$27*'Invoer gegevens (N)'!$C$10*'Invoer gegevens (N)'!$C$37*(IF('Invoer gegevens (N)'!$C$35="ja",1,'Reeksen (N)'!J24)),0))+IF(AND(E56='Invoer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6" s="73">
        <f ca="1">AW56/(1+'Invoer gegevens (N)'!$F$18)^($D56-('Invoer gegevens (N)'!$C$17-'Invoer gegevens (N)'!$C$16))/(1+'Invoer gegevens (N)'!$C$39)^('Invoer gegevens (N)'!$C$17-'Invoer gegevens (N)'!$C$16)</f>
        <v>0</v>
      </c>
      <c r="BB56" s="73">
        <f ca="1">AX56/(1+'Invoer gegevens (N)'!$F$18)^(E56-('Invoer gegevens (N)'!$C$17-1))/(1+'Invoer gegevens (N)'!$C$39)^('Invoer gegevens (N)'!$C$17-'Invoer gegevens (N)'!$C$16)</f>
        <v>0</v>
      </c>
      <c r="BC56" s="73">
        <f ca="1">AY56/(1+'Invoer gegevens (N)'!$C$39)^('Invoer gegevens (N)'!$C$17-'Invoer gegevens (N)'!$C$16)</f>
        <v>0</v>
      </c>
      <c r="BD56" s="72">
        <f t="shared" ca="1" si="14"/>
        <v>0</v>
      </c>
      <c r="BE56" s="72">
        <f ca="1">IF(AND(E56='Invoer gegevens (N)'!$C$16,'Invoer gegevens (N)'!$C$34&lt;'Invoer gegevens (N)'!$C$16),AZ56,AZ56/(1+'Invoer gegevens (N)'!$C$39)^D56)</f>
        <v>0</v>
      </c>
      <c r="BF56" s="72">
        <f ca="1">IF(E56='Invoer gegevens (N)'!$C$34,-'Invoer gegevens (N)'!$F$40,0)</f>
        <v>0</v>
      </c>
      <c r="BG56" s="72">
        <f ca="1">IF(E56='Invoer gegevens (N)'!$C$17,-'Invoer gegevens (N)'!$C$19*$BD$63,0)</f>
        <v>0</v>
      </c>
      <c r="BH56" s="72">
        <f ca="1">AW56/(1+$BH$36)^($D56-('Invoer gegevens (N)'!$C$17-'Invoer gegevens (N)'!$C$16))/(1+'Invoer gegevens (N)'!$C$39)^('Invoer gegevens (N)'!$C$17-'Invoer gegevens (N)'!$C$16)+AX56/(1+$BH$36)^(E56-('Invoer gegevens (N)'!$C$17-1))/(1+'Invoer gegevens (N)'!$C$39)^('Invoer gegevens (N)'!$C$17-'Invoer gegevens (N)'!$C$16)+AY56/(1+'Invoer gegevens (N)'!$C$39)^('Invoer gegevens (N)'!$C$17-'Invoer gegevens (N)'!$C$16)+(-AZ56/(1+'Invoer gegevens (N)'!$C$39)^D56)+BF56+BG56</f>
        <v>0</v>
      </c>
      <c r="BI56" s="59"/>
    </row>
    <row r="57" spans="1:61" x14ac:dyDescent="0.25">
      <c r="A57" s="59"/>
      <c r="B57" s="70">
        <f t="shared" si="15"/>
        <v>21</v>
      </c>
      <c r="C57" s="67">
        <f ca="1">IF(AND(E57&gt;='Invoer gegevens (N)'!$C$17,E57&lt;'Invoer gegevens (N)'!$C$17+15),1,0)</f>
        <v>0</v>
      </c>
      <c r="D57" s="68">
        <f t="shared" si="16"/>
        <v>20.5</v>
      </c>
      <c r="E57" s="69">
        <f ca="1">IF('Invoer gegevens (N)'!$C$16="","",E56+1)</f>
        <v>2039</v>
      </c>
      <c r="F57" s="84">
        <f ca="1">IF('Invoer gegevens (N)'!$C$17=E57,'Invoer gegevens (N)'!$C$10,IF(C57=1,K56,0))</f>
        <v>0</v>
      </c>
      <c r="G57" s="96">
        <f ca="1">IF(E57='Invoer gegevens (N)'!$C$17+15,K56,IF(C57&gt;=1,F57*VLOOKUP(E57,'Reeksen (N)'!$A$5:$B$76,2),0))</f>
        <v>0</v>
      </c>
      <c r="H57" s="84">
        <f ca="1">IF(E57='Invoer gegevens (N)'!$C$17+15,K56,(1-('Invoer gegevens (N)'!$F$20/12))*F57*MIN('Reeksen (N)'!B25,'Reeksen (N)'!D25))</f>
        <v>0</v>
      </c>
      <c r="I57" s="84">
        <f>IF('Reeksen (N)'!D25&lt;'Reeksen (N)'!B25,('Reeksen (N)'!B25-'Reeksen (N)'!D25)*F57,0)</f>
        <v>0</v>
      </c>
      <c r="J57" s="84">
        <f ca="1">IF(E57='Invoer gegevens (N)'!$C$17+16,0,('Invoer gegevens (N)'!$F$20/12)*F56*MIN('Reeksen (N)'!B24,'Reeksen (N)'!D24))</f>
        <v>0</v>
      </c>
      <c r="K57" s="97">
        <f ca="1">IF(E57&gt;='Invoer gegevens (N)'!$C$17+15,0,F57-G57)</f>
        <v>0</v>
      </c>
      <c r="L57" s="84">
        <f ca="1">IF('Invoer gegevens (N)'!$C$17=E57,0,IF(C57=1,Q56,0))</f>
        <v>0</v>
      </c>
      <c r="M57" s="96">
        <f ca="1">IF(E57='Invoer gegevens (N)'!$C$17+15,Q56,IF(C57&gt;=1,L57*VLOOKUP(E57,'Reeksen (N)'!$A$5:$B$76,2),0))</f>
        <v>0</v>
      </c>
      <c r="N57" s="84">
        <f ca="1">IF(C57='Invoer gegevens (N)'!$C$17+15,Q56,(1-('Invoer gegevens (N)'!$F$20/12))*L57*MIN('Reeksen (N)'!B25,'Reeksen (N)'!D25))</f>
        <v>0</v>
      </c>
      <c r="O57" s="84">
        <f>IF('Reeksen (N)'!D25&lt;'Reeksen (N)'!B25,('Reeksen (N)'!B25-'Reeksen (N)'!D25)*L57,0)</f>
        <v>0</v>
      </c>
      <c r="P57" s="84">
        <f ca="1">IF(E57='Invoer gegevens (N)'!$C$17+16,0,('Invoer gegevens (N)'!$F$20/12)*L56*MIN('Reeksen (N)'!B24,'Reeksen (N)'!D24))</f>
        <v>0</v>
      </c>
      <c r="Q57" s="84">
        <f ca="1">IF(E57&gt;='Invoer gegevens (N)'!$C$17+15,0,L57-M57+I57+O57)</f>
        <v>0</v>
      </c>
      <c r="R57" s="82">
        <f ca="1">IF('Invoer gegevens (N)'!$C$17=E57,'Invoer gegevens (N)'!$C$11,IF(C57=1,W56,0))</f>
        <v>0</v>
      </c>
      <c r="S57" s="86">
        <f ca="1">IF(E57='Invoer gegevens (N)'!$C$17+15,W56,IF(C57&gt;=1,R57*VLOOKUP(E57,'Reeksen (N)'!$A$5:$B$76,2),0))</f>
        <v>0</v>
      </c>
      <c r="T57" s="84">
        <f ca="1">IF(E57='Invoer gegevens (N)'!$C$17+15,W56,(1-('Invoer gegevens (N)'!$F$20/12))*R57*MIN('Reeksen (N)'!B25,'Reeksen (N)'!D25))</f>
        <v>0</v>
      </c>
      <c r="U57" s="84">
        <f>IF('Reeksen (N)'!D25&gt;='Reeksen (N)'!B25,0,IF('Reeksen (N)'!AK25&lt;='Reeksen (N)'!AE25,('Reeksen (N)'!B25-'Reeksen (N)'!D25)*R57,0))</f>
        <v>0</v>
      </c>
      <c r="V57" s="86">
        <f>IF('Reeksen (N)'!D25&gt;='Reeksen (N)'!B25,0,IF('Reeksen (N)'!AK25&gt;'Reeksen (N)'!AE25,('Reeksen (N)'!B25-'Reeksen (N)'!D25)*R57,0))</f>
        <v>0</v>
      </c>
      <c r="W57" s="97">
        <f ca="1">IF(E57&gt;='Invoer gegevens (N)'!$C$17+15,0,R57-S57)</f>
        <v>0</v>
      </c>
      <c r="X57" s="98">
        <f ca="1">IF('Invoer gegevens (N)'!$C$17=E57,'Invoer gegevens (N)'!$C$10-'Invoer gegevens (N)'!$C$11,IF(C57=1,AC56,0))</f>
        <v>0</v>
      </c>
      <c r="Y57" s="98">
        <f ca="1">IF(E57='Invoer gegevens (N)'!$C$17+15,AC56,IF(C57&gt;=1,X57*VLOOKUP(E57,'Reeksen (N)'!$A$5:$B$76,2),0))</f>
        <v>0</v>
      </c>
      <c r="Z57" s="98">
        <f ca="1">IF(E57='Invoer gegevens (N)'!$C$17+15,AC56,(1-('Invoer gegevens (N)'!$F$20/12))*X57*MIN('Reeksen (N)'!B25,'Reeksen (N)'!D25))</f>
        <v>0</v>
      </c>
      <c r="AA57" s="98">
        <f>IF('Reeksen (N)'!D25&gt;='Reeksen (N)'!B25,0,IF('Reeksen (N)'!AK25&lt;='Reeksen (N)'!AE25,('Reeksen (N)'!B25-'Reeksen (N)'!D25)*X57,0))</f>
        <v>0</v>
      </c>
      <c r="AB57" s="98">
        <f>IF('Reeksen (N)'!D25&gt;='Reeksen (N)'!B25,0,IF('Reeksen (N)'!AK25&gt;'Reeksen (N)'!AE25,('Reeksen (N)'!B25-'Reeksen (N)'!D25)*X57,0))</f>
        <v>0</v>
      </c>
      <c r="AC57" s="99">
        <f ca="1">IF(E57&gt;='Invoer gegevens (N)'!$C$17+15,0,X57-Y57)</f>
        <v>0</v>
      </c>
      <c r="AD57" s="98">
        <f ca="1">IF('Invoer gegevens (N)'!$C$17=E25,R57,IF(C25=0,0,AE56))</f>
        <v>0</v>
      </c>
      <c r="AE57" s="98">
        <f t="shared" ca="1" si="10"/>
        <v>0</v>
      </c>
      <c r="AF57" s="98">
        <f ca="1">IF('Invoer gegevens (N)'!$C$17=E25,X57,IF(C25=0,0,AG56))</f>
        <v>0</v>
      </c>
      <c r="AG57" s="98">
        <f t="shared" ca="1" si="11"/>
        <v>0</v>
      </c>
      <c r="AH57" s="68"/>
      <c r="AI57" s="71">
        <f ca="1">IF(C57=1,'Reeksen (N)'!AJ25*((F57-G57+F57)/2)*12+'Reeksen (N)'!AK25*((L57-M57+L57)/2)*12,0)</f>
        <v>0</v>
      </c>
      <c r="AJ57" s="71">
        <f ca="1">-AI57*'Invoer gegevens (N)'!$F$28</f>
        <v>0</v>
      </c>
      <c r="AK57" s="71">
        <f t="shared" ca="1" si="9"/>
        <v>0</v>
      </c>
      <c r="AL57" s="71">
        <f ca="1">IF(C57=1,'Reeksen (N)'!AL25*((F57-G57+F57)/2)*12+'Reeksen (N)'!AM25*((L57-M57+L57)/2)*12,0)</f>
        <v>0</v>
      </c>
      <c r="AM57" s="71">
        <f ca="1">-AL57*'Invoer gegevens (N)'!$F$31</f>
        <v>0</v>
      </c>
      <c r="AN57" s="71">
        <f t="shared" ca="1" si="12"/>
        <v>0</v>
      </c>
      <c r="AO57" s="71">
        <f ca="1">IF(E57&gt;='Invoer gegevens (N)'!$C$17+15,0,IF(C57=1,(H57+J57+N57+P57)*'Reeksen (N)'!AN25,0))</f>
        <v>0</v>
      </c>
      <c r="AP57" s="71">
        <f ca="1">-IF(C57=1,(H57+J57+N57+P57)*'Hulp - basis'!$O$550*'Reeksen (N)'!H25,0)</f>
        <v>0</v>
      </c>
      <c r="AQ57" s="71">
        <f ca="1">-IF(C57=1,(F57+K57+L57+Q57)/2*'Invoer gegevens (N)'!$I$33*'Reeksen (N)'!J25,0)</f>
        <v>0</v>
      </c>
      <c r="AR57" s="71">
        <f ca="1">-IF(C57=1,(I57*'Invoer gegevens (N)'!$I$34)*'Reeksen (N)'!J25,0)</f>
        <v>0</v>
      </c>
      <c r="AS57" s="71">
        <f ca="1">-IF(C57=1,(F57+K57+L57+Q57)/2*'Invoer gegevens (N)'!$I$35*'Reeksen (N)'!L25,0)</f>
        <v>0</v>
      </c>
      <c r="AT57" s="71">
        <f ca="1">-IF(C57=1,IF(E57='Invoer gegevens (N)'!$C$17,'Invoer gegevens (N)'!$C$11,AD57)*'Reeksen (N)'!S25*'Invoer gegevens (N)'!$C$18*'Reeksen (N)'!P25,0)</f>
        <v>0</v>
      </c>
      <c r="AU57" s="71">
        <f ca="1">-IF(C57=1,(F57+K57+L57+Q57)/2*'Invoer gegevens (N)'!$I$36*'Reeksen (N)'!H25,0)</f>
        <v>0</v>
      </c>
      <c r="AV57" s="71">
        <v>0</v>
      </c>
      <c r="AW57" s="71">
        <f t="shared" ca="1" si="13"/>
        <v>0</v>
      </c>
      <c r="AX57" s="72">
        <f ca="1">IF(E57='Invoer gegevens (N)'!$C$17+14,'RW - BW - UP (N)'!$AY$236,0)</f>
        <v>0</v>
      </c>
      <c r="AY57" s="72">
        <f ca="1">IFERROR(IF(E57='Invoer gegevens (N)'!$C$17,-'Invoer gegevens (N)'!$C$10*('Invoer gegevens (N)'!$C$30+'Invoer gegevens (N)'!$C$31)*'Reeksen (N)'!H25,0),0)</f>
        <v>0</v>
      </c>
      <c r="AZ57" s="73">
        <f ca="1">IF('Invoer gegevens (N)'!$C$34=E57,'Invoer gegevens (N)'!$C$27*'Invoer gegevens (N)'!$C$10*'Invoer gegevens (N)'!$C$36*(IF('Invoer gegevens (N)'!$C$35="ja",1,'Reeksen (N)'!J25)),IF('Invoer gegevens (N)'!$C$34+1=E57,'Invoer gegevens (N)'!$C$27*'Invoer gegevens (N)'!$C$10*'Invoer gegevens (N)'!$C$37*(IF('Invoer gegevens (N)'!$C$35="ja",1,'Reeksen (N)'!J25)),0))+IF(AND(E57='Invoer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7" s="73">
        <f ca="1">AW57/(1+'Invoer gegevens (N)'!$F$18)^($D57-('Invoer gegevens (N)'!$C$17-'Invoer gegevens (N)'!$C$16))/(1+'Invoer gegevens (N)'!$C$39)^('Invoer gegevens (N)'!$C$17-'Invoer gegevens (N)'!$C$16)</f>
        <v>0</v>
      </c>
      <c r="BB57" s="73">
        <f ca="1">AX57/(1+'Invoer gegevens (N)'!$F$18)^(E57-('Invoer gegevens (N)'!$C$17-1))/(1+'Invoer gegevens (N)'!$C$39)^('Invoer gegevens (N)'!$C$17-'Invoer gegevens (N)'!$C$16)</f>
        <v>0</v>
      </c>
      <c r="BC57" s="73">
        <f ca="1">AY57/(1+'Invoer gegevens (N)'!$C$39)^('Invoer gegevens (N)'!$C$17-'Invoer gegevens (N)'!$C$16)</f>
        <v>0</v>
      </c>
      <c r="BD57" s="72">
        <f t="shared" ca="1" si="14"/>
        <v>0</v>
      </c>
      <c r="BE57" s="72">
        <f ca="1">IF(AND(E57='Invoer gegevens (N)'!$C$16,'Invoer gegevens (N)'!$C$34&lt;'Invoer gegevens (N)'!$C$16),AZ57,AZ57/(1+'Invoer gegevens (N)'!$C$39)^D57)</f>
        <v>0</v>
      </c>
      <c r="BF57" s="72">
        <f ca="1">IF(E57='Invoer gegevens (N)'!$C$34,-'Invoer gegevens (N)'!$F$40,0)</f>
        <v>0</v>
      </c>
      <c r="BG57" s="72">
        <f ca="1">IF(E57='Invoer gegevens (N)'!$C$17,-'Invoer gegevens (N)'!$C$19*$BD$63,0)</f>
        <v>0</v>
      </c>
      <c r="BH57" s="72">
        <f ca="1">AW57/(1+$BH$36)^($D57-('Invoer gegevens (N)'!$C$17-'Invoer gegevens (N)'!$C$16))/(1+'Invoer gegevens (N)'!$C$39)^('Invoer gegevens (N)'!$C$17-'Invoer gegevens (N)'!$C$16)+AX57/(1+$BH$36)^(E57-('Invoer gegevens (N)'!$C$17-1))/(1+'Invoer gegevens (N)'!$C$39)^('Invoer gegevens (N)'!$C$17-'Invoer gegevens (N)'!$C$16)+AY57/(1+'Invoer gegevens (N)'!$C$39)^('Invoer gegevens (N)'!$C$17-'Invoer gegevens (N)'!$C$16)+(-AZ57/(1+'Invoer gegevens (N)'!$C$39)^D57)+BF57+BG57</f>
        <v>0</v>
      </c>
      <c r="BI57" s="59"/>
    </row>
    <row r="58" spans="1:61" x14ac:dyDescent="0.25">
      <c r="A58" s="59"/>
      <c r="B58" s="70">
        <f>B57+1</f>
        <v>22</v>
      </c>
      <c r="C58" s="67">
        <f ca="1">IF(AND(E58&gt;='Invoer gegevens (N)'!$C$17,E58&lt;'Invoer gegevens (N)'!$C$17+15),1,0)</f>
        <v>0</v>
      </c>
      <c r="D58" s="68">
        <f t="shared" si="16"/>
        <v>21.5</v>
      </c>
      <c r="E58" s="69">
        <f ca="1">IF('Invoer gegevens (N)'!$C$16="","",E57+1)</f>
        <v>2040</v>
      </c>
      <c r="F58" s="84">
        <f ca="1">IF('Invoer gegevens (N)'!$C$17=E58,'Invoer gegevens (N)'!$C$10,IF(C58=1,K57,0))</f>
        <v>0</v>
      </c>
      <c r="G58" s="96">
        <f ca="1">IF(E58='Invoer gegevens (N)'!$C$17+15,K57,IF(C58&gt;=1,F58*VLOOKUP(E58,'Reeksen (N)'!$A$5:$B$76,2),0))</f>
        <v>0</v>
      </c>
      <c r="H58" s="84">
        <f ca="1">IF(E58='Invoer gegevens (N)'!$C$17+15,K57,(1-('Invoer gegevens (N)'!$F$20/12))*F58*MIN('Reeksen (N)'!B26,'Reeksen (N)'!D26))</f>
        <v>0</v>
      </c>
      <c r="I58" s="84">
        <f>IF('Reeksen (N)'!D26&lt;'Reeksen (N)'!B26,('Reeksen (N)'!B26-'Reeksen (N)'!D26)*F58,0)</f>
        <v>0</v>
      </c>
      <c r="J58" s="84">
        <f ca="1">IF(E58='Invoer gegevens (N)'!$C$17+16,0,('Invoer gegevens (N)'!$F$20/12)*F57*MIN('Reeksen (N)'!B25,'Reeksen (N)'!D25))</f>
        <v>0</v>
      </c>
      <c r="K58" s="97">
        <f ca="1">IF(E58&gt;='Invoer gegevens (N)'!$C$17+15,0,F58-G58)</f>
        <v>0</v>
      </c>
      <c r="L58" s="84">
        <f ca="1">IF('Invoer gegevens (N)'!$C$17=E58,0,IF(C58=1,Q57,0))</f>
        <v>0</v>
      </c>
      <c r="M58" s="96">
        <f ca="1">IF(E58='Invoer gegevens (N)'!$C$17+15,Q57,IF(C58&gt;=1,L58*VLOOKUP(E58,'Reeksen (N)'!$A$5:$B$76,2),0))</f>
        <v>0</v>
      </c>
      <c r="N58" s="84">
        <f ca="1">IF(C58='Invoer gegevens (N)'!$C$17+15,Q57,(1-('Invoer gegevens (N)'!$F$20/12))*L58*MIN('Reeksen (N)'!B26,'Reeksen (N)'!D26))</f>
        <v>0</v>
      </c>
      <c r="O58" s="84">
        <f>IF('Reeksen (N)'!D26&lt;'Reeksen (N)'!B26,('Reeksen (N)'!B26-'Reeksen (N)'!D26)*L58,0)</f>
        <v>0</v>
      </c>
      <c r="P58" s="84">
        <f ca="1">IF(E58='Invoer gegevens (N)'!$C$17+16,0,('Invoer gegevens (N)'!$F$20/12)*L57*MIN('Reeksen (N)'!B25,'Reeksen (N)'!D25))</f>
        <v>0</v>
      </c>
      <c r="Q58" s="84">
        <f ca="1">IF(E58&gt;='Invoer gegevens (N)'!$C$17+15,0,L58-M58+I58+O58)</f>
        <v>0</v>
      </c>
      <c r="R58" s="82">
        <f ca="1">IF('Invoer gegevens (N)'!$C$17=E58,'Invoer gegevens (N)'!$C$11,IF(C58=1,W57,0))</f>
        <v>0</v>
      </c>
      <c r="S58" s="86">
        <f ca="1">IF(E58='Invoer gegevens (N)'!$C$17+15,W57,IF(C58&gt;=1,R58*VLOOKUP(E58,'Reeksen (N)'!$A$5:$B$76,2),0))</f>
        <v>0</v>
      </c>
      <c r="T58" s="84">
        <f ca="1">IF(E58='Invoer gegevens (N)'!$C$17+15,W57,(1-('Invoer gegevens (N)'!$F$20/12))*R58*MIN('Reeksen (N)'!B26,'Reeksen (N)'!D26))</f>
        <v>0</v>
      </c>
      <c r="U58" s="84">
        <f>IF('Reeksen (N)'!D26&gt;='Reeksen (N)'!B26,0,IF('Reeksen (N)'!AK26&lt;='Reeksen (N)'!AE26,('Reeksen (N)'!B26-'Reeksen (N)'!D26)*R58,0))</f>
        <v>0</v>
      </c>
      <c r="V58" s="86">
        <f>IF('Reeksen (N)'!D26&gt;='Reeksen (N)'!B26,0,IF('Reeksen (N)'!AK26&gt;'Reeksen (N)'!AE26,('Reeksen (N)'!B26-'Reeksen (N)'!D26)*R58,0))</f>
        <v>0</v>
      </c>
      <c r="W58" s="97">
        <f ca="1">IF(E58&gt;='Invoer gegevens (N)'!$C$17+15,0,R58-S58)</f>
        <v>0</v>
      </c>
      <c r="X58" s="98">
        <f ca="1">IF('Invoer gegevens (N)'!$C$17=E58,'Invoer gegevens (N)'!$C$10-'Invoer gegevens (N)'!$C$11,IF(C58=1,AC57,0))</f>
        <v>0</v>
      </c>
      <c r="Y58" s="98">
        <f ca="1">IF(E58='Invoer gegevens (N)'!$C$17+15,AC57,IF(C58&gt;=1,X58*VLOOKUP(E58,'Reeksen (N)'!$A$5:$B$76,2),0))</f>
        <v>0</v>
      </c>
      <c r="Z58" s="98">
        <f ca="1">IF(E58='Invoer gegevens (N)'!$C$17+15,AC57,(1-('Invoer gegevens (N)'!$F$20/12))*X58*MIN('Reeksen (N)'!B26,'Reeksen (N)'!D26))</f>
        <v>0</v>
      </c>
      <c r="AA58" s="98">
        <f>IF('Reeksen (N)'!D26&gt;='Reeksen (N)'!B26,0,IF('Reeksen (N)'!AK26&lt;='Reeksen (N)'!AE26,('Reeksen (N)'!B26-'Reeksen (N)'!D26)*X58,0))</f>
        <v>0</v>
      </c>
      <c r="AB58" s="98">
        <f>IF('Reeksen (N)'!D26&gt;='Reeksen (N)'!B26,0,IF('Reeksen (N)'!AK26&gt;'Reeksen (N)'!AE26,('Reeksen (N)'!B26-'Reeksen (N)'!D26)*X58,0))</f>
        <v>0</v>
      </c>
      <c r="AC58" s="99">
        <f ca="1">IF(E58&gt;='Invoer gegevens (N)'!$C$17+15,0,X58-Y58)</f>
        <v>0</v>
      </c>
      <c r="AD58" s="98">
        <f ca="1">IF('Invoer gegevens (N)'!$C$17=E26,R58,IF(C26=0,0,AE57))</f>
        <v>0</v>
      </c>
      <c r="AE58" s="98">
        <f t="shared" ca="1" si="10"/>
        <v>0</v>
      </c>
      <c r="AF58" s="98">
        <f ca="1">IF('Invoer gegevens (N)'!$C$17=E26,X58,IF(C26=0,0,AG57))</f>
        <v>0</v>
      </c>
      <c r="AG58" s="98">
        <f t="shared" ca="1" si="11"/>
        <v>0</v>
      </c>
      <c r="AH58" s="68"/>
      <c r="AI58" s="71">
        <f ca="1">IF(C58=1,'Reeksen (N)'!AJ26*((F58-G58+F58)/2)*12+'Reeksen (N)'!AK26*((L58-M58+L58)/2)*12,0)</f>
        <v>0</v>
      </c>
      <c r="AJ58" s="71">
        <f ca="1">-AI58*'Invoer gegevens (N)'!$F$28</f>
        <v>0</v>
      </c>
      <c r="AK58" s="71">
        <f t="shared" ca="1" si="9"/>
        <v>0</v>
      </c>
      <c r="AL58" s="71">
        <f ca="1">IF(C58=1,'Reeksen (N)'!AL26*((F58-G58+F58)/2)*12+'Reeksen (N)'!AM26*((L58-M58+L58)/2)*12,0)</f>
        <v>0</v>
      </c>
      <c r="AM58" s="71">
        <f ca="1">-AL58*'Invoer gegevens (N)'!$F$31</f>
        <v>0</v>
      </c>
      <c r="AN58" s="71">
        <f t="shared" ca="1" si="12"/>
        <v>0</v>
      </c>
      <c r="AO58" s="71">
        <f ca="1">IF(E58&gt;='Invoer gegevens (N)'!$C$17+15,0,IF(C58=1,(H58+J58+N58+P58)*'Reeksen (N)'!AN26,0))</f>
        <v>0</v>
      </c>
      <c r="AP58" s="71">
        <f ca="1">-IF(C58=1,(H58+J58+N58+P58)*'Hulp - basis'!$O$550*'Reeksen (N)'!H26,0)</f>
        <v>0</v>
      </c>
      <c r="AQ58" s="71">
        <f ca="1">-IF(C58=1,(F58+K58+L58+Q58)/2*'Invoer gegevens (N)'!$I$33*'Reeksen (N)'!J26,0)</f>
        <v>0</v>
      </c>
      <c r="AR58" s="71">
        <f ca="1">-IF(C58=1,(I58*'Invoer gegevens (N)'!$I$34)*'Reeksen (N)'!J26,0)</f>
        <v>0</v>
      </c>
      <c r="AS58" s="71">
        <f ca="1">-IF(C58=1,(F58+K58+L58+Q58)/2*'Invoer gegevens (N)'!$I$35*'Reeksen (N)'!L26,0)</f>
        <v>0</v>
      </c>
      <c r="AT58" s="71">
        <f ca="1">-IF(C58=1,IF(E58='Invoer gegevens (N)'!$C$17,'Invoer gegevens (N)'!$C$11,AD58)*'Reeksen (N)'!S26*'Invoer gegevens (N)'!$C$18*'Reeksen (N)'!P26,0)</f>
        <v>0</v>
      </c>
      <c r="AU58" s="71">
        <f ca="1">-IF(C58=1,(F58+K58+L58+Q58)/2*'Invoer gegevens (N)'!$I$36*'Reeksen (N)'!H26,0)</f>
        <v>0</v>
      </c>
      <c r="AV58" s="71">
        <v>0</v>
      </c>
      <c r="AW58" s="71">
        <f t="shared" ca="1" si="13"/>
        <v>0</v>
      </c>
      <c r="AX58" s="72">
        <f ca="1">IF(E58='Invoer gegevens (N)'!$C$17+14,'RW - BW - UP (N)'!$AY$236,0)</f>
        <v>0</v>
      </c>
      <c r="AY58" s="72">
        <f ca="1">IFERROR(IF(E58='Invoer gegevens (N)'!$C$17,-'Invoer gegevens (N)'!$C$10*('Invoer gegevens (N)'!$C$30+'Invoer gegevens (N)'!$C$31)*'Reeksen (N)'!H26,0),0)</f>
        <v>0</v>
      </c>
      <c r="AZ58" s="73">
        <f ca="1">IF('Invoer gegevens (N)'!$C$34=E58,'Invoer gegevens (N)'!$C$27*'Invoer gegevens (N)'!$C$10*'Invoer gegevens (N)'!$C$36*(IF('Invoer gegevens (N)'!$C$35="ja",1,'Reeksen (N)'!J26)),IF('Invoer gegevens (N)'!$C$34+1=E58,'Invoer gegevens (N)'!$C$27*'Invoer gegevens (N)'!$C$10*'Invoer gegevens (N)'!$C$37*(IF('Invoer gegevens (N)'!$C$35="ja",1,'Reeksen (N)'!J26)),0))+IF(AND(E58='Invoer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8" s="73">
        <f ca="1">AW58/(1+'Invoer gegevens (N)'!$F$18)^($D58-('Invoer gegevens (N)'!$C$17-'Invoer gegevens (N)'!$C$16))/(1+'Invoer gegevens (N)'!$C$39)^('Invoer gegevens (N)'!$C$17-'Invoer gegevens (N)'!$C$16)</f>
        <v>0</v>
      </c>
      <c r="BB58" s="73">
        <f ca="1">AX58/(1+'Invoer gegevens (N)'!$F$18)^(E58-('Invoer gegevens (N)'!$C$17-1))/(1+'Invoer gegevens (N)'!$C$39)^('Invoer gegevens (N)'!$C$17-'Invoer gegevens (N)'!$C$16)</f>
        <v>0</v>
      </c>
      <c r="BC58" s="73">
        <f ca="1">AY58/(1+'Invoer gegevens (N)'!$C$39)^('Invoer gegevens (N)'!$C$17-'Invoer gegevens (N)'!$C$16)</f>
        <v>0</v>
      </c>
      <c r="BD58" s="72">
        <f t="shared" ca="1" si="14"/>
        <v>0</v>
      </c>
      <c r="BE58" s="72">
        <f ca="1">IF(AND(E58='Invoer gegevens (N)'!$C$16,'Invoer gegevens (N)'!$C$34&lt;'Invoer gegevens (N)'!$C$16),AZ58,AZ58/(1+'Invoer gegevens (N)'!$C$39)^D58)</f>
        <v>0</v>
      </c>
      <c r="BF58" s="72">
        <f ca="1">IF(E58='Invoer gegevens (N)'!$C$34,-'Invoer gegevens (N)'!$F$40,0)</f>
        <v>0</v>
      </c>
      <c r="BG58" s="72">
        <f ca="1">IF(E58='Invoer gegevens (N)'!$C$17,-'Invoer gegevens (N)'!$C$19*$BD$63,0)</f>
        <v>0</v>
      </c>
      <c r="BH58" s="72">
        <f ca="1">AW58/(1+$BH$36)^($D58-('Invoer gegevens (N)'!$C$17-'Invoer gegevens (N)'!$C$16))/(1+'Invoer gegevens (N)'!$C$39)^('Invoer gegevens (N)'!$C$17-'Invoer gegevens (N)'!$C$16)+AX58/(1+$BH$36)^(E58-('Invoer gegevens (N)'!$C$17-1))/(1+'Invoer gegevens (N)'!$C$39)^('Invoer gegevens (N)'!$C$17-'Invoer gegevens (N)'!$C$16)+AY58/(1+'Invoer gegevens (N)'!$C$39)^('Invoer gegevens (N)'!$C$17-'Invoer gegevens (N)'!$C$16)+(-AZ58/(1+'Invoer gegevens (N)'!$C$39)^D58)+BF58+BG58</f>
        <v>0</v>
      </c>
      <c r="BI58" s="59"/>
    </row>
    <row r="59" spans="1:61" ht="15" customHeight="1" x14ac:dyDescent="0.25">
      <c r="A59" s="59"/>
      <c r="B59" s="70">
        <f t="shared" si="15"/>
        <v>23</v>
      </c>
      <c r="C59" s="67">
        <f ca="1">IF(AND(E59&gt;='Invoer gegevens (N)'!$C$17,E59&lt;'Invoer gegevens (N)'!$C$17+15),1,0)</f>
        <v>0</v>
      </c>
      <c r="D59" s="68">
        <f t="shared" si="16"/>
        <v>22.5</v>
      </c>
      <c r="E59" s="69">
        <f ca="1">IF('Invoer gegevens (N)'!$C$16="","",E58+1)</f>
        <v>2041</v>
      </c>
      <c r="F59" s="84">
        <f ca="1">IF('Invoer gegevens (N)'!$C$17=E59,'Invoer gegevens (N)'!$C$10,IF(C59=1,K58,0))</f>
        <v>0</v>
      </c>
      <c r="G59" s="96">
        <f ca="1">IF(E59='Invoer gegevens (N)'!$C$17+15,K58,IF(C59&gt;=1,F59*VLOOKUP(E59,'Reeksen (N)'!$A$5:$B$76,2),0))</f>
        <v>0</v>
      </c>
      <c r="H59" s="84">
        <f ca="1">IF(E59='Invoer gegevens (N)'!$C$17+15,K58,(1-('Invoer gegevens (N)'!$F$20/12))*F59*MIN('Reeksen (N)'!B27,'Reeksen (N)'!D27))</f>
        <v>0</v>
      </c>
      <c r="I59" s="84">
        <f>IF('Reeksen (N)'!D27&lt;'Reeksen (N)'!B27,('Reeksen (N)'!B27-'Reeksen (N)'!D27)*F59,0)</f>
        <v>0</v>
      </c>
      <c r="J59" s="84">
        <f ca="1">IF(E59='Invoer gegevens (N)'!$C$17+16,0,('Invoer gegevens (N)'!$F$20/12)*F58*MIN('Reeksen (N)'!B26,'Reeksen (N)'!D26))</f>
        <v>0</v>
      </c>
      <c r="K59" s="97">
        <f ca="1">IF(E59&gt;='Invoer gegevens (N)'!$C$17+15,0,F59-G59)</f>
        <v>0</v>
      </c>
      <c r="L59" s="84">
        <f ca="1">IF('Invoer gegevens (N)'!$C$17=E59,0,IF(C59=1,Q58,0))</f>
        <v>0</v>
      </c>
      <c r="M59" s="96">
        <f ca="1">IF(E59='Invoer gegevens (N)'!$C$17+15,Q58,IF(C59&gt;=1,L59*VLOOKUP(E59,'Reeksen (N)'!$A$5:$B$76,2),0))</f>
        <v>0</v>
      </c>
      <c r="N59" s="84">
        <f ca="1">IF(C59='Invoer gegevens (N)'!$C$17+15,Q58,(1-('Invoer gegevens (N)'!$F$20/12))*L59*MIN('Reeksen (N)'!B27,'Reeksen (N)'!D27))</f>
        <v>0</v>
      </c>
      <c r="O59" s="84">
        <f>IF('Reeksen (N)'!D27&lt;'Reeksen (N)'!B27,('Reeksen (N)'!B27-'Reeksen (N)'!D27)*L59,0)</f>
        <v>0</v>
      </c>
      <c r="P59" s="84">
        <f ca="1">IF(E59='Invoer gegevens (N)'!$C$17+16,0,('Invoer gegevens (N)'!$F$20/12)*L58*MIN('Reeksen (N)'!B26,'Reeksen (N)'!D26))</f>
        <v>0</v>
      </c>
      <c r="Q59" s="84">
        <f ca="1">IF(E59&gt;='Invoer gegevens (N)'!$C$17+15,0,L59-M59+I59+O59)</f>
        <v>0</v>
      </c>
      <c r="R59" s="82">
        <f ca="1">IF('Invoer gegevens (N)'!$C$17=E59,'Invoer gegevens (N)'!$C$11,IF(C59=1,W58,0))</f>
        <v>0</v>
      </c>
      <c r="S59" s="86">
        <f ca="1">IF(E59='Invoer gegevens (N)'!$C$17+15,W58,IF(C59&gt;=1,R59*VLOOKUP(E59,'Reeksen (N)'!$A$5:$B$76,2),0))</f>
        <v>0</v>
      </c>
      <c r="T59" s="84">
        <f ca="1">IF(E59='Invoer gegevens (N)'!$C$17+15,W58,(1-('Invoer gegevens (N)'!$F$20/12))*R59*MIN('Reeksen (N)'!B27,'Reeksen (N)'!D27))</f>
        <v>0</v>
      </c>
      <c r="U59" s="84">
        <f>IF('Reeksen (N)'!D27&gt;='Reeksen (N)'!B27,0,IF('Reeksen (N)'!AK27&lt;='Reeksen (N)'!AE27,('Reeksen (N)'!B27-'Reeksen (N)'!D27)*R59,0))</f>
        <v>0</v>
      </c>
      <c r="V59" s="86">
        <f>IF('Reeksen (N)'!D27&gt;='Reeksen (N)'!B27,0,IF('Reeksen (N)'!AK27&gt;'Reeksen (N)'!AE27,('Reeksen (N)'!B27-'Reeksen (N)'!D27)*R59,0))</f>
        <v>0</v>
      </c>
      <c r="W59" s="97">
        <f ca="1">IF(E59&gt;='Invoer gegevens (N)'!$C$17+15,0,R59-S59)</f>
        <v>0</v>
      </c>
      <c r="X59" s="98">
        <f ca="1">IF('Invoer gegevens (N)'!$C$17=E59,'Invoer gegevens (N)'!$C$10-'Invoer gegevens (N)'!$C$11,IF(C59=1,AC58,0))</f>
        <v>0</v>
      </c>
      <c r="Y59" s="98">
        <f ca="1">IF(E59='Invoer gegevens (N)'!$C$17+15,AC58,IF(C59&gt;=1,X59*VLOOKUP(E59,'Reeksen (N)'!$A$5:$B$76,2),0))</f>
        <v>0</v>
      </c>
      <c r="Z59" s="98">
        <f ca="1">IF(E59='Invoer gegevens (N)'!$C$17+15,AC58,(1-('Invoer gegevens (N)'!$F$20/12))*X59*MIN('Reeksen (N)'!B27,'Reeksen (N)'!D27))</f>
        <v>0</v>
      </c>
      <c r="AA59" s="98">
        <f>IF('Reeksen (N)'!D27&gt;='Reeksen (N)'!B27,0,IF('Reeksen (N)'!AK27&lt;='Reeksen (N)'!AE27,('Reeksen (N)'!B27-'Reeksen (N)'!D27)*X59,0))</f>
        <v>0</v>
      </c>
      <c r="AB59" s="98">
        <f>IF('Reeksen (N)'!D27&gt;='Reeksen (N)'!B27,0,IF('Reeksen (N)'!AK27&gt;'Reeksen (N)'!AE27,('Reeksen (N)'!B27-'Reeksen (N)'!D27)*X59,0))</f>
        <v>0</v>
      </c>
      <c r="AC59" s="99">
        <f ca="1">IF(E59&gt;='Invoer gegevens (N)'!$C$17+15,0,X59-Y59)</f>
        <v>0</v>
      </c>
      <c r="AD59" s="98">
        <f ca="1">IF('Invoer gegevens (N)'!$C$17=E27,R59,IF(C27=0,0,AE58))</f>
        <v>0</v>
      </c>
      <c r="AE59" s="98">
        <f t="shared" ca="1" si="10"/>
        <v>0</v>
      </c>
      <c r="AF59" s="98">
        <f ca="1">IF('Invoer gegevens (N)'!$C$17=E27,X59,IF(C27=0,0,AG58))</f>
        <v>0</v>
      </c>
      <c r="AG59" s="98">
        <f t="shared" ca="1" si="11"/>
        <v>0</v>
      </c>
      <c r="AH59" s="68"/>
      <c r="AI59" s="71">
        <f ca="1">IF(C59=1,'Reeksen (N)'!AJ27*((F59-G59+F59)/2)*12+'Reeksen (N)'!AK27*((L59-M59+L59)/2)*12,0)</f>
        <v>0</v>
      </c>
      <c r="AJ59" s="71">
        <f ca="1">-AI59*'Invoer gegevens (N)'!$F$28</f>
        <v>0</v>
      </c>
      <c r="AK59" s="71">
        <f t="shared" ca="1" si="9"/>
        <v>0</v>
      </c>
      <c r="AL59" s="71">
        <f ca="1">IF(C59=1,'Reeksen (N)'!AL27*((F59-G59+F59)/2)*12+'Reeksen (N)'!AM27*((L59-M59+L59)/2)*12,0)</f>
        <v>0</v>
      </c>
      <c r="AM59" s="71">
        <f ca="1">-AL59*'Invoer gegevens (N)'!$F$31</f>
        <v>0</v>
      </c>
      <c r="AN59" s="71">
        <f t="shared" ca="1" si="12"/>
        <v>0</v>
      </c>
      <c r="AO59" s="71">
        <f ca="1">IF(E59&gt;='Invoer gegevens (N)'!$C$17+15,0,IF(C59=1,(H59+J59+N59+P59)*'Reeksen (N)'!AN27,0))</f>
        <v>0</v>
      </c>
      <c r="AP59" s="71">
        <f ca="1">-IF(C59=1,(H59+J59+N59+P59)*'Hulp - basis'!$O$550*'Reeksen (N)'!H27,0)</f>
        <v>0</v>
      </c>
      <c r="AQ59" s="71">
        <f ca="1">-IF(C59=1,(F59+K59+L59+Q59)/2*'Invoer gegevens (N)'!$I$33*'Reeksen (N)'!J27,0)</f>
        <v>0</v>
      </c>
      <c r="AR59" s="71">
        <f ca="1">-IF(C59=1,(I59*'Invoer gegevens (N)'!$I$34)*'Reeksen (N)'!J27,0)</f>
        <v>0</v>
      </c>
      <c r="AS59" s="71">
        <f ca="1">-IF(C59=1,(F59+K59+L59+Q59)/2*'Invoer gegevens (N)'!$I$35*'Reeksen (N)'!L27,0)</f>
        <v>0</v>
      </c>
      <c r="AT59" s="71">
        <f ca="1">-IF(C59=1,IF(E59='Invoer gegevens (N)'!$C$17,'Invoer gegevens (N)'!$C$11,AD59)*'Reeksen (N)'!S27*'Invoer gegevens (N)'!$C$18*'Reeksen (N)'!P27,0)</f>
        <v>0</v>
      </c>
      <c r="AU59" s="71">
        <f ca="1">-IF(C59=1,(F59+K59+L59+Q59)/2*'Invoer gegevens (N)'!$I$36*'Reeksen (N)'!H27,0)</f>
        <v>0</v>
      </c>
      <c r="AV59" s="71">
        <v>0</v>
      </c>
      <c r="AW59" s="71">
        <f t="shared" ca="1" si="13"/>
        <v>0</v>
      </c>
      <c r="AX59" s="72">
        <f ca="1">IF(E59='Invoer gegevens (N)'!$C$17+14,'RW - BW - UP (N)'!$AY$236,0)</f>
        <v>0</v>
      </c>
      <c r="AY59" s="72">
        <f ca="1">IFERROR(IF(E59='Invoer gegevens (N)'!$C$17,-'Invoer gegevens (N)'!$C$10*('Invoer gegevens (N)'!$C$30+'Invoer gegevens (N)'!$C$31)*'Reeksen (N)'!H27,0),0)</f>
        <v>0</v>
      </c>
      <c r="AZ59" s="73">
        <f ca="1">IF('Invoer gegevens (N)'!$C$34=E59,'Invoer gegevens (N)'!$C$27*'Invoer gegevens (N)'!$C$10*'Invoer gegevens (N)'!$C$36*(IF('Invoer gegevens (N)'!$C$35="ja",1,'Reeksen (N)'!J27)),IF('Invoer gegevens (N)'!$C$34+1=E59,'Invoer gegevens (N)'!$C$27*'Invoer gegevens (N)'!$C$10*'Invoer gegevens (N)'!$C$37*(IF('Invoer gegevens (N)'!$C$35="ja",1,'Reeksen (N)'!J27)),0))+IF(AND(E59='Invoer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59" s="73">
        <f ca="1">AW59/(1+'Invoer gegevens (N)'!$F$18)^($D59-('Invoer gegevens (N)'!$C$17-'Invoer gegevens (N)'!$C$16))/(1+'Invoer gegevens (N)'!$C$39)^('Invoer gegevens (N)'!$C$17-'Invoer gegevens (N)'!$C$16)</f>
        <v>0</v>
      </c>
      <c r="BB59" s="73">
        <f ca="1">AX59/(1+'Invoer gegevens (N)'!$F$18)^(E59-('Invoer gegevens (N)'!$C$17-1))/(1+'Invoer gegevens (N)'!$C$39)^('Invoer gegevens (N)'!$C$17-'Invoer gegevens (N)'!$C$16)</f>
        <v>0</v>
      </c>
      <c r="BC59" s="73">
        <f ca="1">AY59/(1+'Invoer gegevens (N)'!$C$39)^('Invoer gegevens (N)'!$C$17-'Invoer gegevens (N)'!$C$16)</f>
        <v>0</v>
      </c>
      <c r="BD59" s="72">
        <f t="shared" ca="1" si="14"/>
        <v>0</v>
      </c>
      <c r="BE59" s="72">
        <f ca="1">IF(AND(E59='Invoer gegevens (N)'!$C$16,'Invoer gegevens (N)'!$C$34&lt;'Invoer gegevens (N)'!$C$16),AZ59,AZ59/(1+'Invoer gegevens (N)'!$C$39)^D59)</f>
        <v>0</v>
      </c>
      <c r="BF59" s="72">
        <f ca="1">IF(E59='Invoer gegevens (N)'!$C$34,-'Invoer gegevens (N)'!$F$40,0)</f>
        <v>0</v>
      </c>
      <c r="BG59" s="72">
        <f ca="1">IF(E59='Invoer gegevens (N)'!$C$17,-'Invoer gegevens (N)'!$C$19*$BD$63,0)</f>
        <v>0</v>
      </c>
      <c r="BH59" s="72">
        <f ca="1">AW59/(1+$BH$36)^($D59-('Invoer gegevens (N)'!$C$17-'Invoer gegevens (N)'!$C$16))/(1+'Invoer gegevens (N)'!$C$39)^('Invoer gegevens (N)'!$C$17-'Invoer gegevens (N)'!$C$16)+AX59/(1+$BH$36)^(E59-('Invoer gegevens (N)'!$C$17-1))/(1+'Invoer gegevens (N)'!$C$39)^('Invoer gegevens (N)'!$C$17-'Invoer gegevens (N)'!$C$16)+AY59/(1+'Invoer gegevens (N)'!$C$39)^('Invoer gegevens (N)'!$C$17-'Invoer gegevens (N)'!$C$16)+(-AZ59/(1+'Invoer gegevens (N)'!$C$39)^D59)+BF59+BG59</f>
        <v>0</v>
      </c>
      <c r="BI59" s="59"/>
    </row>
    <row r="60" spans="1:61" ht="15" customHeight="1" x14ac:dyDescent="0.25">
      <c r="A60" s="59"/>
      <c r="B60" s="70">
        <f t="shared" si="15"/>
        <v>24</v>
      </c>
      <c r="C60" s="67">
        <f ca="1">IF(AND(E60&gt;='Invoer gegevens (N)'!$C$17,E60&lt;'Invoer gegevens (N)'!$C$17+15),1,0)</f>
        <v>0</v>
      </c>
      <c r="D60" s="68">
        <f t="shared" si="16"/>
        <v>23.5</v>
      </c>
      <c r="E60" s="69">
        <f ca="1">IF('Invoer gegevens (N)'!$C$16="","",E59+1)</f>
        <v>2042</v>
      </c>
      <c r="F60" s="84">
        <f ca="1">IF('Invoer gegevens (N)'!$C$17=E60,'Invoer gegevens (N)'!$C$10,IF(C60=1,K59,0))</f>
        <v>0</v>
      </c>
      <c r="G60" s="96">
        <f ca="1">IF(E60='Invoer gegevens (N)'!$C$17+15,K59,IF(C60&gt;=1,F60*VLOOKUP(E60,'Reeksen (N)'!$A$5:$B$76,2),0))</f>
        <v>0</v>
      </c>
      <c r="H60" s="84">
        <f ca="1">IF(E60='Invoer gegevens (N)'!$C$17+15,K59,(1-('Invoer gegevens (N)'!$F$20/12))*F60*MIN('Reeksen (N)'!B28,'Reeksen (N)'!D28))</f>
        <v>0</v>
      </c>
      <c r="I60" s="84">
        <f>IF('Reeksen (N)'!D28&lt;'Reeksen (N)'!B28,('Reeksen (N)'!B28-'Reeksen (N)'!D28)*F60,0)</f>
        <v>0</v>
      </c>
      <c r="J60" s="84">
        <f ca="1">IF(E60='Invoer gegevens (N)'!$C$17+16,0,('Invoer gegevens (N)'!$F$20/12)*F59*MIN('Reeksen (N)'!B27,'Reeksen (N)'!D27))</f>
        <v>0</v>
      </c>
      <c r="K60" s="97">
        <f ca="1">IF(E60&gt;='Invoer gegevens (N)'!$C$17+15,0,F60-G60)</f>
        <v>0</v>
      </c>
      <c r="L60" s="84">
        <f ca="1">IF('Invoer gegevens (N)'!$C$17=E60,0,IF(C60=1,Q59,0))</f>
        <v>0</v>
      </c>
      <c r="M60" s="96">
        <f ca="1">IF(E60='Invoer gegevens (N)'!$C$17+15,Q59,IF(C60&gt;=1,L60*VLOOKUP(E60,'Reeksen (N)'!$A$5:$B$76,2),0))</f>
        <v>0</v>
      </c>
      <c r="N60" s="84">
        <f ca="1">IF(C60='Invoer gegevens (N)'!$C$17+15,Q59,(1-('Invoer gegevens (N)'!$F$20/12))*L60*MIN('Reeksen (N)'!B28,'Reeksen (N)'!D28))</f>
        <v>0</v>
      </c>
      <c r="O60" s="84">
        <f>IF('Reeksen (N)'!D28&lt;'Reeksen (N)'!B28,('Reeksen (N)'!B28-'Reeksen (N)'!D28)*L60,0)</f>
        <v>0</v>
      </c>
      <c r="P60" s="84">
        <f ca="1">IF(E60='Invoer gegevens (N)'!$C$17+16,0,('Invoer gegevens (N)'!$F$20/12)*L59*MIN('Reeksen (N)'!B27,'Reeksen (N)'!D27))</f>
        <v>0</v>
      </c>
      <c r="Q60" s="84">
        <f ca="1">IF(E60&gt;='Invoer gegevens (N)'!$C$17+15,0,L60-M60+I60+O60)</f>
        <v>0</v>
      </c>
      <c r="R60" s="82">
        <f ca="1">IF('Invoer gegevens (N)'!$C$17=E60,'Invoer gegevens (N)'!$C$11,IF(C60=1,W59,0))</f>
        <v>0</v>
      </c>
      <c r="S60" s="86">
        <f ca="1">IF(E60='Invoer gegevens (N)'!$C$17+15,W59,IF(C60&gt;=1,R60*VLOOKUP(E60,'Reeksen (N)'!$A$5:$B$76,2),0))</f>
        <v>0</v>
      </c>
      <c r="T60" s="84">
        <f ca="1">IF(E60='Invoer gegevens (N)'!$C$17+15,W59,(1-('Invoer gegevens (N)'!$F$20/12))*R60*MIN('Reeksen (N)'!B28,'Reeksen (N)'!D28))</f>
        <v>0</v>
      </c>
      <c r="U60" s="84">
        <f>IF('Reeksen (N)'!D28&gt;='Reeksen (N)'!B28,0,IF('Reeksen (N)'!AK28&lt;='Reeksen (N)'!AE28,('Reeksen (N)'!B28-'Reeksen (N)'!D28)*R60,0))</f>
        <v>0</v>
      </c>
      <c r="V60" s="86">
        <f>IF('Reeksen (N)'!D28&gt;='Reeksen (N)'!B28,0,IF('Reeksen (N)'!AK28&gt;'Reeksen (N)'!AE28,('Reeksen (N)'!B28-'Reeksen (N)'!D28)*R60,0))</f>
        <v>0</v>
      </c>
      <c r="W60" s="97">
        <f ca="1">IF(E60&gt;='Invoer gegevens (N)'!$C$17+15,0,R60-S60)</f>
        <v>0</v>
      </c>
      <c r="X60" s="98">
        <f ca="1">IF('Invoer gegevens (N)'!$C$17=E60,'Invoer gegevens (N)'!$C$10-'Invoer gegevens (N)'!$C$11,IF(C60=1,AC59,0))</f>
        <v>0</v>
      </c>
      <c r="Y60" s="98">
        <f ca="1">IF(E60='Invoer gegevens (N)'!$C$17+15,AC59,IF(C60&gt;=1,X60*VLOOKUP(E60,'Reeksen (N)'!$A$5:$B$76,2),0))</f>
        <v>0</v>
      </c>
      <c r="Z60" s="98">
        <f ca="1">IF(E60='Invoer gegevens (N)'!$C$17+15,AC59,(1-('Invoer gegevens (N)'!$F$20/12))*X60*MIN('Reeksen (N)'!B28,'Reeksen (N)'!D28))</f>
        <v>0</v>
      </c>
      <c r="AA60" s="98">
        <f>IF('Reeksen (N)'!D28&gt;='Reeksen (N)'!B28,0,IF('Reeksen (N)'!AK28&lt;='Reeksen (N)'!AE28,('Reeksen (N)'!B28-'Reeksen (N)'!D28)*X60,0))</f>
        <v>0</v>
      </c>
      <c r="AB60" s="98">
        <f>IF('Reeksen (N)'!D28&gt;='Reeksen (N)'!B28,0,IF('Reeksen (N)'!AK28&gt;'Reeksen (N)'!AE28,('Reeksen (N)'!B28-'Reeksen (N)'!D28)*X60,0))</f>
        <v>0</v>
      </c>
      <c r="AC60" s="99">
        <f ca="1">IF(E60&gt;='Invoer gegevens (N)'!$C$17+15,0,X60-Y60)</f>
        <v>0</v>
      </c>
      <c r="AD60" s="98">
        <f ca="1">IF('Invoer gegevens (N)'!$C$17=E28,R60,IF(C28=0,0,AE59))</f>
        <v>0</v>
      </c>
      <c r="AE60" s="98">
        <f t="shared" ca="1" si="10"/>
        <v>0</v>
      </c>
      <c r="AF60" s="98">
        <f ca="1">IF('Invoer gegevens (N)'!$C$17=E28,X60,IF(C28=0,0,AG59))</f>
        <v>0</v>
      </c>
      <c r="AG60" s="98">
        <f t="shared" ca="1" si="11"/>
        <v>0</v>
      </c>
      <c r="AH60" s="68"/>
      <c r="AI60" s="71">
        <f ca="1">IF(C60=1,'Reeksen (N)'!AJ28*((F60-G60+F60)/2)*12+'Reeksen (N)'!AK28*((L60-M60+L60)/2)*12,0)</f>
        <v>0</v>
      </c>
      <c r="AJ60" s="71">
        <f ca="1">-AI60*'Invoer gegevens (N)'!$F$28</f>
        <v>0</v>
      </c>
      <c r="AK60" s="71">
        <f t="shared" ca="1" si="9"/>
        <v>0</v>
      </c>
      <c r="AL60" s="71">
        <f ca="1">IF(C60=1,'Reeksen (N)'!AL28*((F60-G60+F60)/2)*12+'Reeksen (N)'!AM28*((L60-M60+L60)/2)*12,0)</f>
        <v>0</v>
      </c>
      <c r="AM60" s="71">
        <f ca="1">-AL60*'Invoer gegevens (N)'!$F$31</f>
        <v>0</v>
      </c>
      <c r="AN60" s="71">
        <f t="shared" ca="1" si="12"/>
        <v>0</v>
      </c>
      <c r="AO60" s="71">
        <f ca="1">IF(E60&gt;='Invoer gegevens (N)'!$C$17+15,0,IF(C60=1,(H60+J60+N60+P60)*'Reeksen (N)'!AN28,0))</f>
        <v>0</v>
      </c>
      <c r="AP60" s="71">
        <f ca="1">-IF(C60=1,(H60+J60+N60+P60)*'Hulp - basis'!$O$550*'Reeksen (N)'!H28,0)</f>
        <v>0</v>
      </c>
      <c r="AQ60" s="71">
        <f ca="1">-IF(C60=1,(F60+K60+L60+Q60)/2*'Invoer gegevens (N)'!$I$33*'Reeksen (N)'!J28,0)</f>
        <v>0</v>
      </c>
      <c r="AR60" s="71">
        <f ca="1">-IF(C60=1,(I60*'Invoer gegevens (N)'!$I$34)*'Reeksen (N)'!J28,0)</f>
        <v>0</v>
      </c>
      <c r="AS60" s="71">
        <f ca="1">-IF(C60=1,(F60+K60+L60+Q60)/2*'Invoer gegevens (N)'!$I$35*'Reeksen (N)'!L28,0)</f>
        <v>0</v>
      </c>
      <c r="AT60" s="71">
        <f ca="1">-IF(C60=1,IF(E60='Invoer gegevens (N)'!$C$17,'Invoer gegevens (N)'!$C$11,AD60)*'Reeksen (N)'!S28*'Invoer gegevens (N)'!$C$18*'Reeksen (N)'!P28,0)</f>
        <v>0</v>
      </c>
      <c r="AU60" s="71">
        <f ca="1">-IF(C60=1,(F60+K60+L60+Q60)/2*'Invoer gegevens (N)'!$I$36*'Reeksen (N)'!H28,0)</f>
        <v>0</v>
      </c>
      <c r="AV60" s="71">
        <v>0</v>
      </c>
      <c r="AW60" s="71">
        <f t="shared" ca="1" si="13"/>
        <v>0</v>
      </c>
      <c r="AX60" s="72">
        <f ca="1">IF(E60='Invoer gegevens (N)'!$C$17+14,'RW - BW - UP (N)'!$AY$236,0)</f>
        <v>0</v>
      </c>
      <c r="AY60" s="72">
        <f ca="1">IFERROR(IF(E60='Invoer gegevens (N)'!$C$17,-'Invoer gegevens (N)'!$C$10*('Invoer gegevens (N)'!$C$30+'Invoer gegevens (N)'!$C$31)*'Reeksen (N)'!H28,0),0)</f>
        <v>0</v>
      </c>
      <c r="AZ60" s="73">
        <f ca="1">IF('Invoer gegevens (N)'!$C$34=E60,'Invoer gegevens (N)'!$C$27*'Invoer gegevens (N)'!$C$10*'Invoer gegevens (N)'!$C$36*(IF('Invoer gegevens (N)'!$C$35="ja",1,'Reeksen (N)'!J28)),IF('Invoer gegevens (N)'!$C$34+1=E60,'Invoer gegevens (N)'!$C$27*'Invoer gegevens (N)'!$C$10*'Invoer gegevens (N)'!$C$37*(IF('Invoer gegevens (N)'!$C$35="ja",1,'Reeksen (N)'!J28)),0))+IF(AND(E60='Invoer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60" s="73">
        <f ca="1">AW60/(1+'Invoer gegevens (N)'!$F$18)^($D60-('Invoer gegevens (N)'!$C$17-'Invoer gegevens (N)'!$C$16))/(1+'Invoer gegevens (N)'!$C$39)^('Invoer gegevens (N)'!$C$17-'Invoer gegevens (N)'!$C$16)</f>
        <v>0</v>
      </c>
      <c r="BB60" s="73">
        <f ca="1">AX60/(1+'Invoer gegevens (N)'!$F$18)^(E60-('Invoer gegevens (N)'!$C$17-1))/(1+'Invoer gegevens (N)'!$C$39)^('Invoer gegevens (N)'!$C$17-'Invoer gegevens (N)'!$C$16)</f>
        <v>0</v>
      </c>
      <c r="BC60" s="73">
        <f ca="1">AY60/(1+'Invoer gegevens (N)'!$C$39)^('Invoer gegevens (N)'!$C$17-'Invoer gegevens (N)'!$C$16)</f>
        <v>0</v>
      </c>
      <c r="BD60" s="72">
        <f t="shared" ca="1" si="14"/>
        <v>0</v>
      </c>
      <c r="BE60" s="72">
        <f ca="1">IF(AND(E60='Invoer gegevens (N)'!$C$16,'Invoer gegevens (N)'!$C$34&lt;'Invoer gegevens (N)'!$C$16),AZ60,AZ60/(1+'Invoer gegevens (N)'!$C$39)^D60)</f>
        <v>0</v>
      </c>
      <c r="BF60" s="72">
        <f ca="1">IF(E60='Invoer gegevens (N)'!$C$34,-'Invoer gegevens (N)'!$F$40,0)</f>
        <v>0</v>
      </c>
      <c r="BG60" s="72">
        <f ca="1">IF(E60='Invoer gegevens (N)'!$C$17,-'Invoer gegevens (N)'!$C$19*$BD$63,0)</f>
        <v>0</v>
      </c>
      <c r="BH60" s="72">
        <f ca="1">AW60/(1+$BH$36)^($D60-('Invoer gegevens (N)'!$C$17-'Invoer gegevens (N)'!$C$16))/(1+'Invoer gegevens (N)'!$C$39)^('Invoer gegevens (N)'!$C$17-'Invoer gegevens (N)'!$C$16)+AX60/(1+$BH$36)^(E60-('Invoer gegevens (N)'!$C$17-1))/(1+'Invoer gegevens (N)'!$C$39)^('Invoer gegevens (N)'!$C$17-'Invoer gegevens (N)'!$C$16)+AY60/(1+'Invoer gegevens (N)'!$C$39)^('Invoer gegevens (N)'!$C$17-'Invoer gegevens (N)'!$C$16)+(-AZ60/(1+'Invoer gegevens (N)'!$C$39)^D60)+BF60+BG60</f>
        <v>0</v>
      </c>
      <c r="BI60" s="59"/>
    </row>
    <row r="61" spans="1:61" ht="15" customHeight="1" x14ac:dyDescent="0.25">
      <c r="A61" s="59"/>
      <c r="B61" s="70">
        <f t="shared" si="15"/>
        <v>25</v>
      </c>
      <c r="C61" s="67">
        <f ca="1">IF(AND(E61&gt;='Invoer gegevens (N)'!$C$17,E61&lt;'Invoer gegevens (N)'!$C$17+15),1,0)</f>
        <v>0</v>
      </c>
      <c r="D61" s="68">
        <f t="shared" si="16"/>
        <v>24.5</v>
      </c>
      <c r="E61" s="69">
        <f ca="1">IF('Invoer gegevens (N)'!$C$16="","",E60+1)</f>
        <v>2043</v>
      </c>
      <c r="F61" s="84">
        <f ca="1">IF('Invoer gegevens (N)'!$C$17=E61,'Invoer gegevens (N)'!$C$10,IF(C61=1,K60,0))</f>
        <v>0</v>
      </c>
      <c r="G61" s="96">
        <f ca="1">IF(E61='Invoer gegevens (N)'!$C$17+15,K60,IF(C61&gt;=1,F61*VLOOKUP(E61,'Reeksen (N)'!$A$5:$B$76,2),0))</f>
        <v>0</v>
      </c>
      <c r="H61" s="84">
        <f ca="1">IF(E61='Invoer gegevens (N)'!$C$17+15,K60,(1-('Invoer gegevens (N)'!$F$20/12))*F61*MIN('Reeksen (N)'!B29,'Reeksen (N)'!D29))</f>
        <v>0</v>
      </c>
      <c r="I61" s="84">
        <f>IF('Reeksen (N)'!D29&lt;'Reeksen (N)'!B29,('Reeksen (N)'!B29-'Reeksen (N)'!D29)*F61,0)</f>
        <v>0</v>
      </c>
      <c r="J61" s="84">
        <f ca="1">IF(E61='Invoer gegevens (N)'!$C$17+16,0,('Invoer gegevens (N)'!$F$20/12)*F60*MIN('Reeksen (N)'!B28,'Reeksen (N)'!D28))</f>
        <v>0</v>
      </c>
      <c r="K61" s="97">
        <f ca="1">IF(E61&gt;='Invoer gegevens (N)'!$C$17+15,0,F61-G61)</f>
        <v>0</v>
      </c>
      <c r="L61" s="84">
        <f ca="1">IF('Invoer gegevens (N)'!$C$17=E61,0,IF(C61=1,Q60,0))</f>
        <v>0</v>
      </c>
      <c r="M61" s="96">
        <f ca="1">IF(E61='Invoer gegevens (N)'!$C$17+15,Q60,IF(C61&gt;=1,L61*VLOOKUP(E61,'Reeksen (N)'!$A$5:$B$76,2),0))</f>
        <v>0</v>
      </c>
      <c r="N61" s="84">
        <f ca="1">IF(C61='Invoer gegevens (N)'!$C$17+15,Q60,(1-('Invoer gegevens (N)'!$F$20/12))*L61*MIN('Reeksen (N)'!B29,'Reeksen (N)'!D29))</f>
        <v>0</v>
      </c>
      <c r="O61" s="84">
        <f>IF('Reeksen (N)'!D29&lt;'Reeksen (N)'!B29,('Reeksen (N)'!B29-'Reeksen (N)'!D29)*L61,0)</f>
        <v>0</v>
      </c>
      <c r="P61" s="84">
        <f ca="1">IF(E61='Invoer gegevens (N)'!$C$17+16,0,('Invoer gegevens (N)'!$F$20/12)*L60*MIN('Reeksen (N)'!B28,'Reeksen (N)'!D28))</f>
        <v>0</v>
      </c>
      <c r="Q61" s="84">
        <f ca="1">IF(E61&gt;='Invoer gegevens (N)'!$C$17+15,0,L61-M61+I61+O61)</f>
        <v>0</v>
      </c>
      <c r="R61" s="82">
        <f ca="1">IF('Invoer gegevens (N)'!$C$17=E61,'Invoer gegevens (N)'!$C$11,IF(C61=1,W60,0))</f>
        <v>0</v>
      </c>
      <c r="S61" s="86">
        <f ca="1">IF(E61='Invoer gegevens (N)'!$C$17+15,W60,IF(C61&gt;=1,R61*VLOOKUP(E61,'Reeksen (N)'!$A$5:$B$76,2),0))</f>
        <v>0</v>
      </c>
      <c r="T61" s="84">
        <f ca="1">IF(E61='Invoer gegevens (N)'!$C$17+15,W60,(1-('Invoer gegevens (N)'!$F$20/12))*R61*MIN('Reeksen (N)'!B29,'Reeksen (N)'!D29))</f>
        <v>0</v>
      </c>
      <c r="U61" s="84">
        <f>IF('Reeksen (N)'!D29&gt;='Reeksen (N)'!B29,0,IF('Reeksen (N)'!AK29&lt;='Reeksen (N)'!AE29,('Reeksen (N)'!B29-'Reeksen (N)'!D29)*R61,0))</f>
        <v>0</v>
      </c>
      <c r="V61" s="86">
        <f>IF('Reeksen (N)'!D29&gt;='Reeksen (N)'!B29,0,IF('Reeksen (N)'!AK29&gt;'Reeksen (N)'!AE29,('Reeksen (N)'!B29-'Reeksen (N)'!D29)*R61,0))</f>
        <v>0</v>
      </c>
      <c r="W61" s="97">
        <f ca="1">IF(E61&gt;='Invoer gegevens (N)'!$C$17+15,0,R61-S61)</f>
        <v>0</v>
      </c>
      <c r="X61" s="98">
        <f ca="1">IF('Invoer gegevens (N)'!$C$17=E61,'Invoer gegevens (N)'!$C$10-'Invoer gegevens (N)'!$C$11,IF(C61=1,AC60,0))</f>
        <v>0</v>
      </c>
      <c r="Y61" s="98">
        <f ca="1">IF(E61='Invoer gegevens (N)'!$C$17+15,AC60,IF(C61&gt;=1,X61*VLOOKUP(E61,'Reeksen (N)'!$A$5:$B$76,2),0))</f>
        <v>0</v>
      </c>
      <c r="Z61" s="98">
        <f ca="1">IF(E61='Invoer gegevens (N)'!$C$17+15,AC60,(1-('Invoer gegevens (N)'!$F$20/12))*X61*MIN('Reeksen (N)'!B29,'Reeksen (N)'!D29))</f>
        <v>0</v>
      </c>
      <c r="AA61" s="98">
        <f>IF('Reeksen (N)'!D29&gt;='Reeksen (N)'!B29,0,IF('Reeksen (N)'!AK29&lt;='Reeksen (N)'!AE29,('Reeksen (N)'!B29-'Reeksen (N)'!D29)*X61,0))</f>
        <v>0</v>
      </c>
      <c r="AB61" s="98">
        <f>IF('Reeksen (N)'!D29&gt;='Reeksen (N)'!B29,0,IF('Reeksen (N)'!AK29&gt;'Reeksen (N)'!AE29,('Reeksen (N)'!B29-'Reeksen (N)'!D29)*X61,0))</f>
        <v>0</v>
      </c>
      <c r="AC61" s="99">
        <f ca="1">IF(E61&gt;='Invoer gegevens (N)'!$C$17+15,0,X61-Y61)</f>
        <v>0</v>
      </c>
      <c r="AD61" s="98">
        <f ca="1">IF('Invoer gegevens (N)'!$C$17=E29,R61,IF(C29=0,0,AE60))</f>
        <v>0</v>
      </c>
      <c r="AE61" s="98">
        <f t="shared" ca="1" si="10"/>
        <v>0</v>
      </c>
      <c r="AF61" s="98">
        <f ca="1">IF('Invoer gegevens (N)'!$C$17=E29,X61,IF(C29=0,0,AG60))</f>
        <v>0</v>
      </c>
      <c r="AG61" s="98">
        <f t="shared" ca="1" si="11"/>
        <v>0</v>
      </c>
      <c r="AH61" s="68"/>
      <c r="AI61" s="71">
        <f ca="1">IF(C61=1,'Reeksen (N)'!AJ29*((F61-G61+F61)/2)*12+'Reeksen (N)'!AK29*((L61-M61+L61)/2)*12,0)</f>
        <v>0</v>
      </c>
      <c r="AJ61" s="71">
        <f ca="1">-AI61*'Invoer gegevens (N)'!$F$28</f>
        <v>0</v>
      </c>
      <c r="AK61" s="71">
        <f t="shared" ca="1" si="9"/>
        <v>0</v>
      </c>
      <c r="AL61" s="71">
        <f ca="1">IF(C61=1,'Reeksen (N)'!AL29*((F61-G61+F61)/2)*12+'Reeksen (N)'!AM29*((L61-M61+L61)/2)*12,0)</f>
        <v>0</v>
      </c>
      <c r="AM61" s="71">
        <f ca="1">-AL61*'Invoer gegevens (N)'!$F$31</f>
        <v>0</v>
      </c>
      <c r="AN61" s="71">
        <f t="shared" ca="1" si="12"/>
        <v>0</v>
      </c>
      <c r="AO61" s="71">
        <f ca="1">IF(E61&gt;='Invoer gegevens (N)'!$C$17+15,0,IF(C61=1,(H61+J61+N61+P61)*'Reeksen (N)'!AN29,0))</f>
        <v>0</v>
      </c>
      <c r="AP61" s="71">
        <f ca="1">-IF(C61=1,(H61+J61+N61+P61)*'Hulp - basis'!$O$550*'Reeksen (N)'!H29,0)</f>
        <v>0</v>
      </c>
      <c r="AQ61" s="71">
        <f ca="1">-IF(C61=1,(F61+K61+L61+Q61)/2*'Invoer gegevens (N)'!$I$33*'Reeksen (N)'!J29,0)</f>
        <v>0</v>
      </c>
      <c r="AR61" s="71">
        <f ca="1">-IF(C61=1,(I61*'Invoer gegevens (N)'!$I$34)*'Reeksen (N)'!J29,0)</f>
        <v>0</v>
      </c>
      <c r="AS61" s="71">
        <f ca="1">-IF(C61=1,(F61+K61+L61+Q61)/2*'Invoer gegevens (N)'!$I$35*'Reeksen (N)'!L29,0)</f>
        <v>0</v>
      </c>
      <c r="AT61" s="71">
        <f ca="1">-IF(C61=1,IF(E61='Invoer gegevens (N)'!$C$17,'Invoer gegevens (N)'!$C$11,AD61)*'Reeksen (N)'!S29*'Invoer gegevens (N)'!$C$18*'Reeksen (N)'!P29,0)</f>
        <v>0</v>
      </c>
      <c r="AU61" s="71">
        <f ca="1">-IF(C61=1,(F61+K61+L61+Q61)/2*'Invoer gegevens (N)'!$I$36*'Reeksen (N)'!H29,0)</f>
        <v>0</v>
      </c>
      <c r="AV61" s="71">
        <v>0</v>
      </c>
      <c r="AW61" s="71">
        <f t="shared" ca="1" si="13"/>
        <v>0</v>
      </c>
      <c r="AX61" s="72">
        <f ca="1">IF(E61='Invoer gegevens (N)'!$C$17+14,'RW - BW - UP (N)'!$AY$236,0)</f>
        <v>0</v>
      </c>
      <c r="AY61" s="72">
        <f ca="1">IFERROR(IF(E61='Invoer gegevens (N)'!$C$17,-'Invoer gegevens (N)'!$C$10*('Invoer gegevens (N)'!$C$30+'Invoer gegevens (N)'!$C$31)*'Reeksen (N)'!H29,0),0)</f>
        <v>0</v>
      </c>
      <c r="AZ61" s="73">
        <f ca="1">IF('Invoer gegevens (N)'!$C$34=E61,'Invoer gegevens (N)'!$C$27*'Invoer gegevens (N)'!$C$10*'Invoer gegevens (N)'!$C$36*(IF('Invoer gegevens (N)'!$C$35="ja",1,'Reeksen (N)'!J29)),IF('Invoer gegevens (N)'!$C$34+1=E61,'Invoer gegevens (N)'!$C$27*'Invoer gegevens (N)'!$C$10*'Invoer gegevens (N)'!$C$37*(IF('Invoer gegevens (N)'!$C$35="ja",1,'Reeksen (N)'!J29)),0))+IF(AND(E61='Invoer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BA61" s="73">
        <f ca="1">AW61/(1+'Invoer gegevens (N)'!$F$18)^($D61-('Invoer gegevens (N)'!$C$17-'Invoer gegevens (N)'!$C$16))/(1+'Invoer gegevens (N)'!$C$39)^('Invoer gegevens (N)'!$C$17-'Invoer gegevens (N)'!$C$16)</f>
        <v>0</v>
      </c>
      <c r="BB61" s="73">
        <f ca="1">AX61/(1+'Invoer gegevens (N)'!$F$18)^(E61-('Invoer gegevens (N)'!$C$17-1))/(1+'Invoer gegevens (N)'!$C$39)^('Invoer gegevens (N)'!$C$17-'Invoer gegevens (N)'!$C$16)</f>
        <v>0</v>
      </c>
      <c r="BC61" s="73">
        <f ca="1">AY61/(1+'Invoer gegevens (N)'!$C$39)^('Invoer gegevens (N)'!$C$17-'Invoer gegevens (N)'!$C$16)</f>
        <v>0</v>
      </c>
      <c r="BD61" s="72">
        <f t="shared" ca="1" si="14"/>
        <v>0</v>
      </c>
      <c r="BE61" s="72">
        <f ca="1">IF(AND(E61='Invoer gegevens (N)'!$C$16,'Invoer gegevens (N)'!$C$34&lt;'Invoer gegevens (N)'!$C$16),AZ61,AZ61/(1+'Invoer gegevens (N)'!$C$39)^D61)</f>
        <v>0</v>
      </c>
      <c r="BF61" s="72">
        <f ca="1">IF(E61='Invoer gegevens (N)'!$C$34,-'Invoer gegevens (N)'!$F$40,0)</f>
        <v>0</v>
      </c>
      <c r="BG61" s="72">
        <f ca="1">IF(E61='Invoer gegevens (N)'!$C$17,-'Invoer gegevens (N)'!$C$19*$BD$63,0)</f>
        <v>0</v>
      </c>
      <c r="BH61" s="72">
        <f ca="1">AW61/(1+$BH$36)^($D61-('Invoer gegevens (N)'!$C$17-'Invoer gegevens (N)'!$C$16))/(1+'Invoer gegevens (N)'!$C$39)^('Invoer gegevens (N)'!$C$17-'Invoer gegevens (N)'!$C$16)+AX61/(1+$BH$36)^(E61-('Invoer gegevens (N)'!$C$17-1))/(1+'Invoer gegevens (N)'!$C$39)^('Invoer gegevens (N)'!$C$17-'Invoer gegevens (N)'!$C$16)+AY61/(1+'Invoer gegevens (N)'!$C$39)^('Invoer gegevens (N)'!$C$17-'Invoer gegevens (N)'!$C$16)+(-AZ61/(1+'Invoer gegevens (N)'!$C$39)^D61)+BF61+BG61</f>
        <v>0</v>
      </c>
      <c r="BI61" s="59"/>
    </row>
    <row r="62" spans="1:61" x14ac:dyDescent="0.25">
      <c r="A62" s="59"/>
      <c r="B62" s="70"/>
      <c r="C62" s="70"/>
      <c r="D62" s="70"/>
      <c r="E62" s="70"/>
      <c r="F62" s="70"/>
      <c r="G62" s="68"/>
      <c r="H62" s="70"/>
      <c r="I62" s="70"/>
      <c r="J62" s="68"/>
      <c r="K62" s="68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68"/>
      <c r="AC62" s="70"/>
      <c r="AD62" s="70"/>
      <c r="AE62" s="70"/>
      <c r="AF62" s="70"/>
      <c r="AG62" s="70"/>
    </row>
    <row r="63" spans="1:61" x14ac:dyDescent="0.25">
      <c r="A63" s="59"/>
      <c r="B63" s="70"/>
      <c r="C63" s="70"/>
      <c r="D63" s="70"/>
      <c r="E63" s="70"/>
      <c r="F63" s="70"/>
      <c r="G63" s="70"/>
      <c r="H63" s="75"/>
      <c r="I63" s="75"/>
      <c r="J63" s="75"/>
      <c r="K63" s="75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8">
        <f t="shared" ref="AI63:BH63" ca="1" si="17">SUM(AI37:AI61)</f>
        <v>0</v>
      </c>
      <c r="AJ63" s="78">
        <f t="shared" ca="1" si="17"/>
        <v>0</v>
      </c>
      <c r="AK63" s="78">
        <f t="shared" ca="1" si="17"/>
        <v>0</v>
      </c>
      <c r="AL63" s="78">
        <f t="shared" ca="1" si="17"/>
        <v>0</v>
      </c>
      <c r="AM63" s="78">
        <f t="shared" ca="1" si="17"/>
        <v>0</v>
      </c>
      <c r="AN63" s="78">
        <f t="shared" ca="1" si="17"/>
        <v>0</v>
      </c>
      <c r="AO63" s="78">
        <f t="shared" ca="1" si="17"/>
        <v>0</v>
      </c>
      <c r="AP63" s="78">
        <f t="shared" ca="1" si="17"/>
        <v>0</v>
      </c>
      <c r="AQ63" s="78">
        <f t="shared" ca="1" si="17"/>
        <v>0</v>
      </c>
      <c r="AR63" s="78">
        <f t="shared" ca="1" si="17"/>
        <v>0</v>
      </c>
      <c r="AS63" s="78">
        <f t="shared" ca="1" si="17"/>
        <v>0</v>
      </c>
      <c r="AT63" s="78">
        <f t="shared" ca="1" si="17"/>
        <v>0</v>
      </c>
      <c r="AU63" s="78">
        <f t="shared" ca="1" si="17"/>
        <v>0</v>
      </c>
      <c r="AV63" s="78">
        <f t="shared" si="17"/>
        <v>0</v>
      </c>
      <c r="AW63" s="78">
        <f t="shared" ca="1" si="17"/>
        <v>0</v>
      </c>
      <c r="AX63" s="78">
        <f t="shared" ca="1" si="17"/>
        <v>0</v>
      </c>
      <c r="AY63" s="78">
        <f t="shared" ca="1" si="17"/>
        <v>0</v>
      </c>
      <c r="AZ63" s="78">
        <f t="shared" ca="1" si="17"/>
        <v>0</v>
      </c>
      <c r="BA63" s="78">
        <f t="shared" ca="1" si="17"/>
        <v>0</v>
      </c>
      <c r="BB63" s="78">
        <f t="shared" ca="1" si="17"/>
        <v>0</v>
      </c>
      <c r="BC63" s="78">
        <f t="shared" ca="1" si="17"/>
        <v>0</v>
      </c>
      <c r="BD63" s="78">
        <f t="shared" ca="1" si="17"/>
        <v>0</v>
      </c>
      <c r="BE63" s="78">
        <f t="shared" ca="1" si="17"/>
        <v>0</v>
      </c>
      <c r="BF63" s="78">
        <f t="shared" ca="1" si="17"/>
        <v>0</v>
      </c>
      <c r="BG63" s="78">
        <f t="shared" ca="1" si="17"/>
        <v>0</v>
      </c>
      <c r="BH63" s="78">
        <f t="shared" ca="1" si="17"/>
        <v>0</v>
      </c>
      <c r="BI63" s="59"/>
    </row>
    <row r="64" spans="1:61" x14ac:dyDescent="0.25">
      <c r="A64" s="59"/>
      <c r="BI64" s="59"/>
    </row>
    <row r="65" spans="1:61" x14ac:dyDescent="0.2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</row>
    <row r="73" spans="1:61" hidden="1" outlineLevel="1" x14ac:dyDescent="0.25"/>
    <row r="74" spans="1:61" hidden="1" outlineLevel="1" x14ac:dyDescent="0.25"/>
    <row r="75" spans="1:61" hidden="1" outlineLevel="1" x14ac:dyDescent="0.25"/>
    <row r="76" spans="1:61" hidden="1" outlineLevel="1" x14ac:dyDescent="0.25"/>
    <row r="77" spans="1:61" hidden="1" outlineLevel="1" x14ac:dyDescent="0.25"/>
    <row r="78" spans="1:61" hidden="1" outlineLevel="1" x14ac:dyDescent="0.25"/>
    <row r="79" spans="1:61" collapsed="1" x14ac:dyDescent="0.25"/>
  </sheetData>
  <mergeCells count="35">
    <mergeCell ref="AF35:AF36"/>
    <mergeCell ref="U35:U36"/>
    <mergeCell ref="V35:V36"/>
    <mergeCell ref="W35:W36"/>
    <mergeCell ref="X35:X36"/>
    <mergeCell ref="Y35:Y36"/>
    <mergeCell ref="Z35:Z36"/>
    <mergeCell ref="AA35:AA36"/>
    <mergeCell ref="AB35:AB36"/>
    <mergeCell ref="AC35:AC36"/>
    <mergeCell ref="AD35:AD36"/>
    <mergeCell ref="AE35:AE36"/>
    <mergeCell ref="T35:T36"/>
    <mergeCell ref="X34:AC34"/>
    <mergeCell ref="AD34:AG34"/>
    <mergeCell ref="F35:F36"/>
    <mergeCell ref="G35:G36"/>
    <mergeCell ref="H35:H36"/>
    <mergeCell ref="I35:I36"/>
    <mergeCell ref="J35:J36"/>
    <mergeCell ref="L35:L36"/>
    <mergeCell ref="M35:M36"/>
    <mergeCell ref="N35:N36"/>
    <mergeCell ref="O35:O36"/>
    <mergeCell ref="P35:P36"/>
    <mergeCell ref="Q35:Q36"/>
    <mergeCell ref="R35:R36"/>
    <mergeCell ref="S35:S36"/>
    <mergeCell ref="F2:H2"/>
    <mergeCell ref="I2:L2"/>
    <mergeCell ref="M2:P2"/>
    <mergeCell ref="Q2:T2"/>
    <mergeCell ref="F34:K34"/>
    <mergeCell ref="L34:Q34"/>
    <mergeCell ref="R34:W34"/>
  </mergeCells>
  <pageMargins left="0.7" right="0.7" top="0.75" bottom="0.75" header="0.3" footer="0.3"/>
  <pageSetup paperSize="0" orientation="portrait" horizontalDpi="0" verticalDpi="0" copies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CM134"/>
  <sheetViews>
    <sheetView showGridLines="0" topLeftCell="X1" workbookViewId="0">
      <selection activeCell="AJ5" sqref="AJ5"/>
    </sheetView>
  </sheetViews>
  <sheetFormatPr defaultRowHeight="15" outlineLevelCol="1" x14ac:dyDescent="0.25"/>
  <cols>
    <col min="1" max="1" width="1.5703125" style="60" customWidth="1"/>
    <col min="2" max="2" width="4.85546875" style="60" customWidth="1" outlineLevel="1"/>
    <col min="3" max="4" width="6" style="60" customWidth="1" outlineLevel="1"/>
    <col min="5" max="6" width="6.5703125" style="60" customWidth="1" outlineLevel="1"/>
    <col min="7" max="7" width="8.7109375" style="60" customWidth="1" outlineLevel="1"/>
    <col min="8" max="8" width="11.5703125" style="60" customWidth="1" outlineLevel="1"/>
    <col min="9" max="9" width="9.28515625" style="60" customWidth="1" outlineLevel="1"/>
    <col min="10" max="10" width="9.7109375" style="60" customWidth="1" outlineLevel="1"/>
    <col min="11" max="11" width="10.42578125" style="60" customWidth="1" outlineLevel="1"/>
    <col min="12" max="12" width="8.7109375" style="60" customWidth="1" outlineLevel="1"/>
    <col min="13" max="13" width="9.42578125" style="60" customWidth="1" outlineLevel="1"/>
    <col min="14" max="14" width="8.7109375" style="60" customWidth="1" outlineLevel="1"/>
    <col min="15" max="15" width="10.5703125" style="60" customWidth="1" outlineLevel="1"/>
    <col min="16" max="16" width="9.85546875" style="60" customWidth="1" outlineLevel="1"/>
    <col min="17" max="17" width="8.7109375" style="60" customWidth="1" outlineLevel="1"/>
    <col min="18" max="18" width="10.28515625" style="60" customWidth="1" outlineLevel="1"/>
    <col min="19" max="19" width="9.140625" style="60" customWidth="1" outlineLevel="1"/>
    <col min="20" max="21" width="10.42578125" style="60" customWidth="1" outlineLevel="1"/>
    <col min="22" max="22" width="14.140625" style="60" customWidth="1" outlineLevel="1"/>
    <col min="23" max="28" width="8.85546875" style="60" customWidth="1" outlineLevel="1"/>
    <col min="29" max="29" width="9.7109375" style="60" customWidth="1" outlineLevel="1"/>
    <col min="30" max="31" width="9.5703125" style="60" customWidth="1" outlineLevel="1"/>
    <col min="32" max="32" width="10.7109375" style="60" customWidth="1" outlineLevel="1"/>
    <col min="33" max="33" width="9.5703125" style="60" customWidth="1" outlineLevel="1"/>
    <col min="34" max="34" width="3.140625" style="60" customWidth="1" outlineLevel="1"/>
    <col min="35" max="35" width="11.85546875" style="60" bestFit="1" customWidth="1"/>
    <col min="36" max="36" width="9.85546875" style="60" bestFit="1" customWidth="1"/>
    <col min="37" max="37" width="11.85546875" style="60" bestFit="1" customWidth="1"/>
    <col min="38" max="40" width="11.85546875" style="60" customWidth="1"/>
    <col min="41" max="41" width="11.85546875" style="60" bestFit="1" customWidth="1"/>
    <col min="42" max="42" width="9.85546875" style="60" bestFit="1" customWidth="1"/>
    <col min="43" max="43" width="12.5703125" style="60" bestFit="1" customWidth="1"/>
    <col min="44" max="44" width="11" style="60" bestFit="1" customWidth="1"/>
    <col min="45" max="45" width="12.5703125" style="60" bestFit="1" customWidth="1"/>
    <col min="46" max="46" width="12.85546875" style="60" bestFit="1" customWidth="1"/>
    <col min="47" max="47" width="16.42578125" style="60" bestFit="1" customWidth="1"/>
    <col min="48" max="48" width="11.85546875" style="60" bestFit="1" customWidth="1"/>
    <col min="49" max="49" width="11.140625" style="60" bestFit="1" customWidth="1"/>
    <col min="50" max="50" width="12.140625" style="60" bestFit="1" customWidth="1"/>
    <col min="51" max="51" width="12.7109375" style="60" bestFit="1" customWidth="1"/>
    <col min="52" max="52" width="15" style="60" bestFit="1" customWidth="1"/>
    <col min="53" max="53" width="11.140625" style="60" bestFit="1" customWidth="1"/>
    <col min="54" max="54" width="9.28515625" style="60" bestFit="1" customWidth="1"/>
    <col min="55" max="55" width="11.85546875" style="60" customWidth="1"/>
    <col min="56" max="56" width="11.85546875" style="60" bestFit="1" customWidth="1"/>
    <col min="57" max="57" width="15.42578125" style="60" customWidth="1"/>
    <col min="58" max="58" width="11.85546875" style="60" customWidth="1"/>
    <col min="59" max="59" width="12.85546875" style="60" bestFit="1" customWidth="1"/>
    <col min="60" max="60" width="1.85546875" style="60" customWidth="1"/>
    <col min="61" max="61" width="10.7109375" style="60" bestFit="1" customWidth="1"/>
    <col min="62" max="62" width="10.28515625" style="60" bestFit="1" customWidth="1"/>
    <col min="63" max="63" width="9.140625" style="60"/>
    <col min="64" max="64" width="10.28515625" style="60" bestFit="1" customWidth="1"/>
    <col min="65" max="16384" width="9.140625" style="60"/>
  </cols>
  <sheetData>
    <row r="1" spans="1:91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59"/>
      <c r="BI1" s="150"/>
    </row>
    <row r="2" spans="1:91" x14ac:dyDescent="0.25">
      <c r="A2" s="61"/>
      <c r="E2" s="80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</row>
    <row r="3" spans="1:91" ht="15" customHeight="1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94" t="s">
        <v>666</v>
      </c>
      <c r="R3" s="81" t="s">
        <v>666</v>
      </c>
      <c r="S3" s="92" t="s">
        <v>667</v>
      </c>
      <c r="T3" s="81" t="s">
        <v>667</v>
      </c>
      <c r="AH3" s="64"/>
      <c r="AI3" s="62" t="s">
        <v>16</v>
      </c>
      <c r="AJ3" s="62" t="s">
        <v>16</v>
      </c>
      <c r="AK3" s="62" t="s">
        <v>672</v>
      </c>
      <c r="AL3" s="27" t="s">
        <v>704</v>
      </c>
      <c r="AM3" s="27" t="s">
        <v>704</v>
      </c>
      <c r="AN3" s="27" t="s">
        <v>672</v>
      </c>
      <c r="AO3" s="62" t="s">
        <v>673</v>
      </c>
      <c r="AP3" s="62" t="s">
        <v>705</v>
      </c>
      <c r="AQ3" s="62" t="s">
        <v>674</v>
      </c>
      <c r="AR3" s="62" t="s">
        <v>706</v>
      </c>
      <c r="AS3" s="62" t="s">
        <v>675</v>
      </c>
      <c r="AT3" s="62" t="s">
        <v>676</v>
      </c>
      <c r="AU3" s="62" t="s">
        <v>588</v>
      </c>
      <c r="AV3" s="62" t="s">
        <v>677</v>
      </c>
      <c r="AW3" s="62" t="s">
        <v>673</v>
      </c>
      <c r="AX3" s="62" t="s">
        <v>708</v>
      </c>
      <c r="AY3" s="62" t="s">
        <v>828</v>
      </c>
      <c r="AZ3" s="62" t="s">
        <v>679</v>
      </c>
      <c r="BA3" s="62" t="s">
        <v>679</v>
      </c>
      <c r="BB3" s="62" t="s">
        <v>679</v>
      </c>
      <c r="BC3" s="62" t="s">
        <v>679</v>
      </c>
      <c r="BD3" s="62" t="s">
        <v>679</v>
      </c>
      <c r="BE3" s="62" t="s">
        <v>680</v>
      </c>
      <c r="BF3" s="62" t="s">
        <v>680</v>
      </c>
      <c r="BG3" s="62" t="s">
        <v>681</v>
      </c>
      <c r="BH3" s="64"/>
      <c r="BI3" s="64"/>
      <c r="BJ3" s="211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</row>
    <row r="4" spans="1:91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94" t="s">
        <v>710</v>
      </c>
      <c r="R4" s="81" t="s">
        <v>711</v>
      </c>
      <c r="S4" s="92" t="s">
        <v>710</v>
      </c>
      <c r="T4" s="81" t="s">
        <v>711</v>
      </c>
      <c r="AH4" s="64"/>
      <c r="AI4" s="62" t="s">
        <v>712</v>
      </c>
      <c r="AJ4" s="62" t="s">
        <v>683</v>
      </c>
      <c r="AK4" s="62" t="s">
        <v>684</v>
      </c>
      <c r="AL4" s="27" t="s">
        <v>713</v>
      </c>
      <c r="AM4" s="27" t="s">
        <v>683</v>
      </c>
      <c r="AN4" s="27" t="s">
        <v>714</v>
      </c>
      <c r="AO4" s="62" t="s">
        <v>715</v>
      </c>
      <c r="AP4" s="62" t="s">
        <v>685</v>
      </c>
      <c r="AQ4" s="62" t="s">
        <v>685</v>
      </c>
      <c r="AR4" s="62" t="s">
        <v>716</v>
      </c>
      <c r="AS4" s="62" t="s">
        <v>685</v>
      </c>
      <c r="AT4" s="62" t="s">
        <v>686</v>
      </c>
      <c r="AU4" s="62" t="s">
        <v>687</v>
      </c>
      <c r="AV4" s="62" t="s">
        <v>688</v>
      </c>
      <c r="AW4" s="62" t="s">
        <v>689</v>
      </c>
      <c r="AX4" s="62" t="s">
        <v>685</v>
      </c>
      <c r="AY4" s="62"/>
      <c r="AZ4" s="62" t="s">
        <v>691</v>
      </c>
      <c r="BA4" s="62" t="s">
        <v>689</v>
      </c>
      <c r="BB4" s="62" t="s">
        <v>718</v>
      </c>
      <c r="BC4" s="62" t="s">
        <v>692</v>
      </c>
      <c r="BD4" s="62" t="s">
        <v>719</v>
      </c>
      <c r="BE4" s="62" t="s">
        <v>693</v>
      </c>
      <c r="BF4" s="62" t="s">
        <v>694</v>
      </c>
      <c r="BG4" s="212">
        <v>4.0095207211495343E-2</v>
      </c>
      <c r="BH4" s="59"/>
      <c r="BJ4" s="213"/>
    </row>
    <row r="5" spans="1:91" x14ac:dyDescent="0.25">
      <c r="A5" s="59"/>
      <c r="B5" s="66">
        <v>1</v>
      </c>
      <c r="C5" s="67">
        <f ca="1">IF(AND(E5&gt;='Invoer gegevens'!$C$17,E5&lt;'Invoer gegevens'!$C$17+'Invoer gegevens'!$I$14),1,0)</f>
        <v>1</v>
      </c>
      <c r="D5" s="68">
        <v>0.5</v>
      </c>
      <c r="E5" s="69">
        <f ca="1">IF('Invoer gegevens'!$C$16="","",'Invoer gegevens'!$C$16)</f>
        <v>2019</v>
      </c>
      <c r="F5" s="82">
        <f ca="1">IF('Invoer gegevens'!$C$17=E5,'Invoer gegevens'!$C$10,IF(C5=1,H4,0))</f>
        <v>0</v>
      </c>
      <c r="G5" s="83">
        <f ca="1">IF(E5='Invoer gegevens'!$C$17+'Invoer gegevens'!$I$14,H4,IF(C5&gt;=1,F5*Reeksen!C5,0))</f>
        <v>0</v>
      </c>
      <c r="H5" s="84">
        <f ca="1">IF(E5&gt;='Invoer gegevens'!$C$17+'Invoer gegevens'!$I$14,0,F5-G5)</f>
        <v>0</v>
      </c>
      <c r="I5" s="85">
        <f ca="1">IF('Invoer gegevens'!$C$17=E5,'Invoer gegevens'!$C$11,IF(C5=1,L4,0))</f>
        <v>0</v>
      </c>
      <c r="J5" s="86">
        <f ca="1">IF(E5='Invoer gegevens'!$C$17+'Invoer gegevens'!$I$14,L4,IF(C5&lt;1,0,IF(Reeksen!BG5&lt;=Reeksen!AE5,I5*Reeksen!C5,0)))</f>
        <v>0</v>
      </c>
      <c r="K5" s="86">
        <f ca="1">IF(E5='Invoer gegevens'!$C$17+'Invoer gegevens'!$I$14,L4,IF(C5&lt;1,0,IF(Reeksen!BG5&gt;Reeksen!AE5,I5*Reeksen!C5,0)))</f>
        <v>0</v>
      </c>
      <c r="L5" s="86">
        <f ca="1">IF(E5&gt;='Invoer gegevens'!$C$17+'Invoer gegevens'!$I$14,0,I5-J5-K5)</f>
        <v>0</v>
      </c>
      <c r="M5" s="85">
        <f ca="1">IF('Invoer gegevens'!$C$17=E5,'Invoer gegevens'!$C$10-'Invoer gegevens'!$C$11,IF(C5=1,P4,0))</f>
        <v>0</v>
      </c>
      <c r="N5" s="86">
        <f ca="1">IF(E5='Invoer gegevens'!$C$17+'Invoer gegevens'!$I$14,P4,IF(C5&lt;1,0,IF(Reeksen!BG5&lt;=Reeksen!AE5,M5*Reeksen!C5,0)))</f>
        <v>0</v>
      </c>
      <c r="O5" s="86">
        <f ca="1">IF(E5='Invoer gegevens'!$C$17+'Invoer gegevens'!$I$14,P4,IF(C5&lt;1,0,IF(Reeksen!BG5&gt;Reeksen!AE5,M5*Reeksen!C5,0)))</f>
        <v>0</v>
      </c>
      <c r="P5" s="86">
        <f ca="1">IF(E5&gt;='Invoer gegevens'!$C$17+'Invoer gegevens'!$I$14,0,M5-N5-O5)</f>
        <v>0</v>
      </c>
      <c r="Q5" s="82">
        <f ca="1">IF('Invoer gegevens'!$C$17=E5,I5,IF(C5=0,0,R4))</f>
        <v>0</v>
      </c>
      <c r="R5" s="84">
        <f ca="1">IF(C5=0,0,Q5-K5+N5)</f>
        <v>0</v>
      </c>
      <c r="S5" s="84">
        <f ca="1">IF('Invoer gegevens'!$C$17=E5,M5,IF(C5=0,0,T4))</f>
        <v>0</v>
      </c>
      <c r="T5" s="84">
        <f ca="1">IF(C5=0,0,S5-N5+K5)</f>
        <v>0</v>
      </c>
      <c r="AH5" s="70"/>
      <c r="AI5" s="71">
        <f ca="1">IF(C5=1,((F5+H5)/2*Reeksen!BF5*12)+(('Invoer gegevens'!$C$10-(F5+H5)/2)*Reeksen!BG5*12),0)</f>
        <v>0</v>
      </c>
      <c r="AJ5" s="71">
        <f ca="1">-AI5*'Invoer gegevens'!$I$26</f>
        <v>0</v>
      </c>
      <c r="AK5" s="71">
        <f ca="1">AI5+AJ5</f>
        <v>0</v>
      </c>
      <c r="AL5" s="71">
        <f ca="1">IF(C5=1,(12*((F5+H5)/2)*Reeksen!AL5)+(12*('Invoer gegevens'!$C$10-(F5+H5)/2)*Reeksen!AM5),0)</f>
        <v>0</v>
      </c>
      <c r="AM5" s="71">
        <f ca="1">-AL5*'Invoer gegevens'!$F$31</f>
        <v>0</v>
      </c>
      <c r="AN5" s="71">
        <f ca="1">AL5+AM5</f>
        <v>0</v>
      </c>
      <c r="AO5" s="71"/>
      <c r="AP5" s="71"/>
      <c r="AQ5" s="71">
        <f ca="1">-IF(C5=1,('Invoer gegevens'!$C$10*'Invoer gegevens'!$I$33)*Reeksen!J5,0)</f>
        <v>0</v>
      </c>
      <c r="AR5" s="71">
        <f ca="1">-IF(C5=1,(G5*'Invoer gegevens'!$I$34)*Reeksen!J5,0)</f>
        <v>0</v>
      </c>
      <c r="AS5" s="71">
        <f ca="1">-IF(C5=1,'Invoer gegevens'!$C$10*'Invoer gegevens'!$I$35*Reeksen!L5,0)</f>
        <v>0</v>
      </c>
      <c r="AT5" s="71">
        <f ca="1">-IF(C5=1,IF(E5='Invoer gegevens'!$C$17,'Invoer gegevens'!$C$11,Q5)*Reeksen!S5*'Invoer gegevens'!$C$18*Reeksen!P5,0)</f>
        <v>0</v>
      </c>
      <c r="AU5" s="71">
        <f ca="1">-IF(C5=1,'Invoer gegevens'!$C$10*'Invoer gegevens'!$I$36*Reeksen!H5,0)</f>
        <v>0</v>
      </c>
      <c r="AV5" s="71">
        <f ca="1">SUM(AK5,AN5:AU5)</f>
        <v>0</v>
      </c>
      <c r="AW5" s="72">
        <f ca="1">IFERROR(IF(E5='Invoer gegevens'!$C$17+'Invoer gegevens'!$I$14-1,'Invoer gegevens'!$I$13*'Invoer gegevens'!$C$10*Reeksen!H5,0),0)</f>
        <v>0</v>
      </c>
      <c r="AX5" s="72">
        <f ca="1">IFERROR(IF(E5='Invoer gegevens'!$C$17,-'Invoer gegevens'!$C$10*'Invoer gegevens'!$C$31*Reeksen!H5,0),0)</f>
        <v>0</v>
      </c>
      <c r="AY5" s="73">
        <f ca="1">IF('Invoer gegevens'!$C$34=E5,'Invoer gegevens'!$C$27*'Invoer gegevens'!$C$10*'Invoer gegevens'!$C$36*(IF('Invoer gegevens'!$C$35="ja",1,Reeksen!J5)),IF('Invoer gegevens'!$C$34+1=E5,'Invoer gegevens'!$C$27*'Invoer gegevens'!$C$10*'Invoer gegevens'!$C$37*(IF('Invoer gegevens'!$C$35="ja",1,Reeksen!J5)),0))+IF(AND(E5='Invoer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" s="73">
        <f ca="1">AV5/(1+'Invoer gegevens'!$I$12)^($D5-('Invoer gegevens'!$C$17-'Invoer gegevens'!$C$16))/(1+'Invoer gegevens'!$C$39)^('Invoer gegevens'!$C$17-'Invoer gegevens'!$C$16)</f>
        <v>0</v>
      </c>
      <c r="BA5" s="73">
        <f ca="1">AW5/(1+'Invoer gegevens'!$I$12)^(E5-('Invoer gegevens'!$C$17-1))/(1+'Invoer gegevens'!$C$39)^('Invoer gegevens'!$C$17-'Invoer gegevens'!$C$16)</f>
        <v>0</v>
      </c>
      <c r="BB5" s="73">
        <f ca="1">AX5/(1+'Invoer gegevens'!$C$39)^('Invoer gegevens'!$C$17-'Invoer gegevens'!$C$16)</f>
        <v>0</v>
      </c>
      <c r="BC5" s="72">
        <f ca="1">SUM(AZ5:BA5)</f>
        <v>0</v>
      </c>
      <c r="BD5" s="72">
        <f ca="1">IF(AND(E5='Invoer gegevens'!$C$16,'Invoer gegevens'!$C$34&lt;'Invoer gegevens'!$C$16),AY5,AY5/(1+'Invoer gegevens'!$C$39)^D5)</f>
        <v>0</v>
      </c>
      <c r="BE5" s="72">
        <f ca="1">IF(E5='Invoer gegevens'!$C$34,-'Invoer gegevens'!$I$38,0)</f>
        <v>0</v>
      </c>
      <c r="BF5" s="72">
        <f ca="1">IF(E5='Invoer gegevens'!$C$17,-'Invoer gegevens'!$C$19*$BC$66,0)</f>
        <v>0</v>
      </c>
      <c r="BG5" s="72">
        <f ca="1">AV5/(1+$BG$4)^($D5-('Invoer gegevens'!$C$17-'Invoer gegevens'!$C$16))/(1+'Invoer gegevens'!$C$39)^('Invoer gegevens'!$C$17-'Invoer gegevens'!$C$16)+AW5/(1+$BG$4)^(E5-('Invoer gegevens'!$C$17-1))/(1+'Invoer gegevens'!$C$39)^('Invoer gegevens'!$C$17-'Invoer gegevens'!$C$16)+AX5/(1+'Invoer gegevens'!$C$39)^('Invoer gegevens'!$C$17-'Invoer gegevens'!$C$16)+(-AY5/(1+'Invoer gegevens'!$C$39)^D5)+BE5+BF5</f>
        <v>0</v>
      </c>
      <c r="BH5" s="59"/>
      <c r="BJ5" s="214"/>
      <c r="BL5" s="214"/>
    </row>
    <row r="6" spans="1:91" x14ac:dyDescent="0.25">
      <c r="A6" s="59"/>
      <c r="B6" s="70">
        <f>B5+1</f>
        <v>2</v>
      </c>
      <c r="C6" s="67">
        <f ca="1">IF(AND(E6&gt;='Invoer gegevens'!$C$17,E6&lt;'Invoer gegevens'!$C$17+'Invoer gegevens'!$I$14),1,0)</f>
        <v>1</v>
      </c>
      <c r="D6" s="68">
        <f>D5+1</f>
        <v>1.5</v>
      </c>
      <c r="E6" s="69">
        <f ca="1">IF('Invoer gegevens'!$C$16="","",E5+1)</f>
        <v>2020</v>
      </c>
      <c r="F6" s="82">
        <f ca="1">IF('Invoer gegevens'!$C$17=E6,'Invoer gegevens'!$C$10,IF(C6=1,H5,0))</f>
        <v>0</v>
      </c>
      <c r="G6" s="83">
        <f ca="1">IF(E6='Invoer gegevens'!$C$17+'Invoer gegevens'!$I$14,H5,IF(C6&gt;=1,F6*Reeksen!C6,0))</f>
        <v>0</v>
      </c>
      <c r="H6" s="84">
        <f ca="1">IF(E6&gt;='Invoer gegevens'!$C$17+'Invoer gegevens'!$I$14,0,F6-G6)</f>
        <v>0</v>
      </c>
      <c r="I6" s="85">
        <f ca="1">IF('Invoer gegevens'!$C$17=E6,'Invoer gegevens'!$C$11,IF(C6=1,L5,0))</f>
        <v>0</v>
      </c>
      <c r="J6" s="86">
        <f ca="1">IF(E6='Invoer gegevens'!$C$17+'Invoer gegevens'!$I$14,L5,IF(C6&lt;1,0,IF(Reeksen!BG6&lt;=Reeksen!AE6,I6*Reeksen!C6,0)))</f>
        <v>0</v>
      </c>
      <c r="K6" s="86">
        <f ca="1">IF(E6='Invoer gegevens'!$C$17+'Invoer gegevens'!$I$14,L5,IF(C6&lt;1,0,IF(Reeksen!BG6&gt;Reeksen!AE6,I6*Reeksen!C6,0)))</f>
        <v>0</v>
      </c>
      <c r="L6" s="86">
        <f ca="1">IF(E6&gt;='Invoer gegevens'!$C$17+'Invoer gegevens'!$I$14,0,I6-J6-K6)</f>
        <v>0</v>
      </c>
      <c r="M6" s="85">
        <f ca="1">IF('Invoer gegevens'!$C$17=E6,'Invoer gegevens'!$C$10-'Invoer gegevens'!$C$11,IF(C6=1,P5,0))</f>
        <v>0</v>
      </c>
      <c r="N6" s="86">
        <f ca="1">IF(E6='Invoer gegevens'!$C$17+'Invoer gegevens'!$I$14,P5,IF(C6&lt;1,0,IF(Reeksen!BG6&lt;=Reeksen!AE6,M6*Reeksen!C6,0)))</f>
        <v>0</v>
      </c>
      <c r="O6" s="86">
        <f ca="1">IF(E6='Invoer gegevens'!$C$17+'Invoer gegevens'!$I$14,P5,IF(C6&lt;1,0,IF(Reeksen!BG6&gt;Reeksen!AE6,M6*Reeksen!C6,0)))</f>
        <v>0</v>
      </c>
      <c r="P6" s="86">
        <f ca="1">IF(E6&gt;='Invoer gegevens'!$C$17+'Invoer gegevens'!$I$14,0,M6-N6-O6)</f>
        <v>0</v>
      </c>
      <c r="Q6" s="82">
        <f ca="1">IF('Invoer gegevens'!$C$17=E6,I6,IF(C6=0,0,R5))</f>
        <v>0</v>
      </c>
      <c r="R6" s="84">
        <f t="shared" ref="R6:R64" ca="1" si="0">IF(C6=0,0,Q6-K6+N6)</f>
        <v>0</v>
      </c>
      <c r="S6" s="84">
        <f ca="1">IF('Invoer gegevens'!$C$17=E6,M6,IF(C6=0,0,T5))</f>
        <v>0</v>
      </c>
      <c r="T6" s="84">
        <f t="shared" ref="T6:T64" ca="1" si="1">IF(C6=0,0,S6-N6+K6)</f>
        <v>0</v>
      </c>
      <c r="AH6" s="70"/>
      <c r="AI6" s="71">
        <f ca="1">IF(C6=1,((F6+H6)/2*Reeksen!BF6*12)+(('Invoer gegevens'!$C$10-(F6+H6)/2)*Reeksen!BG6*12),0)</f>
        <v>0</v>
      </c>
      <c r="AJ6" s="71">
        <f ca="1">-AI6*'Invoer gegevens'!$I$26</f>
        <v>0</v>
      </c>
      <c r="AK6" s="71">
        <f t="shared" ref="AK6:AK64" ca="1" si="2">AI6+AJ6</f>
        <v>0</v>
      </c>
      <c r="AL6" s="71">
        <f ca="1">IF(C6=1,(12*((F6+H6)/2)*Reeksen!AL6)+(12*('Invoer gegevens'!$C$10-(F6+H6)/2)*Reeksen!AM6),0)</f>
        <v>0</v>
      </c>
      <c r="AM6" s="71">
        <f ca="1">-AL6*'Invoer gegevens'!$F$31</f>
        <v>0</v>
      </c>
      <c r="AN6" s="71">
        <f t="shared" ref="AN6:AN64" ca="1" si="3">AL6+AM6</f>
        <v>0</v>
      </c>
      <c r="AO6" s="71"/>
      <c r="AP6" s="71"/>
      <c r="AQ6" s="71">
        <f ca="1">-IF(C6=1,('Invoer gegevens'!$C$10*'Invoer gegevens'!$I$33)*Reeksen!J6,0)</f>
        <v>0</v>
      </c>
      <c r="AR6" s="71">
        <f ca="1">-IF(C6=1,(G6*'Invoer gegevens'!$I$34)*Reeksen!J6,0)</f>
        <v>0</v>
      </c>
      <c r="AS6" s="71">
        <f ca="1">-IF(C6=1,'Invoer gegevens'!$C$10*'Invoer gegevens'!$I$35*Reeksen!L6,0)</f>
        <v>0</v>
      </c>
      <c r="AT6" s="71">
        <f ca="1">-IF(C6=1,IF(E6='Invoer gegevens'!$C$17,'Invoer gegevens'!$C$11,Q6)*Reeksen!S6*'Invoer gegevens'!$C$18*Reeksen!P6,0)</f>
        <v>0</v>
      </c>
      <c r="AU6" s="71">
        <f ca="1">-IF(C6=1,'Invoer gegevens'!$C$10*'Invoer gegevens'!$I$36*Reeksen!H6,0)</f>
        <v>0</v>
      </c>
      <c r="AV6" s="71">
        <f t="shared" ref="AV6:AV64" ca="1" si="4">SUM(AK6,AN6:AU6)</f>
        <v>0</v>
      </c>
      <c r="AW6" s="72">
        <f ca="1">IFERROR(IF(E6='Invoer gegevens'!$C$17+'Invoer gegevens'!$I$14-1,'Invoer gegevens'!$I$13*'Invoer gegevens'!$C$10*Reeksen!H6,0),0)</f>
        <v>0</v>
      </c>
      <c r="AX6" s="72">
        <f ca="1">IFERROR(IF(E6='Invoer gegevens'!$C$17,-'Invoer gegevens'!$C$10*'Invoer gegevens'!$C$31*Reeksen!H6,0),0)</f>
        <v>0</v>
      </c>
      <c r="AY6" s="73">
        <f ca="1">IF('Invoer gegevens'!$C$34=E6,'Invoer gegevens'!$C$27*'Invoer gegevens'!$C$10*'Invoer gegevens'!$C$36*(IF('Invoer gegevens'!$C$35="ja",1,Reeksen!J6)),IF('Invoer gegevens'!$C$34+1=E6,'Invoer gegevens'!$C$27*'Invoer gegevens'!$C$10*'Invoer gegevens'!$C$37*(IF('Invoer gegevens'!$C$35="ja",1,Reeksen!J6)),0))+IF(AND(E6='Invoer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6" s="73">
        <f ca="1">AV6/(1+'Invoer gegevens'!$I$12)^($D6-('Invoer gegevens'!$C$17-'Invoer gegevens'!$C$16))/(1+'Invoer gegevens'!$C$39)^('Invoer gegevens'!$C$17-'Invoer gegevens'!$C$16)</f>
        <v>0</v>
      </c>
      <c r="BA6" s="73">
        <f ca="1">AW6/(1+'Invoer gegevens'!$I$12)^(E6-('Invoer gegevens'!$C$17-1))/(1+'Invoer gegevens'!$C$39)^('Invoer gegevens'!$C$17-'Invoer gegevens'!$C$16)</f>
        <v>0</v>
      </c>
      <c r="BB6" s="73">
        <f ca="1">AX6/(1+'Invoer gegevens'!$C$39)^('Invoer gegevens'!$C$17-'Invoer gegevens'!$C$16)</f>
        <v>0</v>
      </c>
      <c r="BC6" s="72">
        <f t="shared" ref="BC6:BC64" ca="1" si="5">SUM(AZ6:BA6)</f>
        <v>0</v>
      </c>
      <c r="BD6" s="72">
        <f ca="1">IF(AND(E6='Invoer gegevens'!$C$16,'Invoer gegevens'!$C$34&lt;'Invoer gegevens'!$C$16),AY6,AY6/(1+'Invoer gegevens'!$C$39)^D6)</f>
        <v>0</v>
      </c>
      <c r="BE6" s="72">
        <f ca="1">IF(E6='Invoer gegevens'!$C$34,-'Invoer gegevens'!$I$38,0)</f>
        <v>0</v>
      </c>
      <c r="BF6" s="72">
        <f ca="1">IF(E6='Invoer gegevens'!$C$17,-'Invoer gegevens'!$C$19*$BC$66,0)</f>
        <v>0</v>
      </c>
      <c r="BG6" s="72">
        <f ca="1">AV6/(1+$BG$4)^($D6-('Invoer gegevens'!$C$17-'Invoer gegevens'!$C$16))/(1+'Invoer gegevens'!$C$39)^('Invoer gegevens'!$C$17-'Invoer gegevens'!$C$16)+AW6/(1+$BG$4)^(E6-('Invoer gegevens'!$C$17-1))/(1+'Invoer gegevens'!$C$39)^('Invoer gegevens'!$C$17-'Invoer gegevens'!$C$16)+AX6/(1+'Invoer gegevens'!$C$39)^('Invoer gegevens'!$C$17-'Invoer gegevens'!$C$16)+(-AY6/(1+'Invoer gegevens'!$C$39)^D6)+BE6+BF6</f>
        <v>0</v>
      </c>
      <c r="BH6" s="59"/>
      <c r="BJ6" s="214"/>
      <c r="BL6" s="214"/>
    </row>
    <row r="7" spans="1:91" x14ac:dyDescent="0.25">
      <c r="A7" s="59"/>
      <c r="B7" s="70">
        <f t="shared" ref="B7:B64" si="6">B6+1</f>
        <v>3</v>
      </c>
      <c r="C7" s="67">
        <f ca="1">IF(AND(E7&gt;='Invoer gegevens'!$C$17,E7&lt;'Invoer gegevens'!$C$17+'Invoer gegevens'!$I$14),1,0)</f>
        <v>1</v>
      </c>
      <c r="D7" s="68">
        <f t="shared" ref="D7:D64" si="7">D6+1</f>
        <v>2.5</v>
      </c>
      <c r="E7" s="69">
        <f ca="1">IF('Invoer gegevens'!$C$16="","",E6+1)</f>
        <v>2021</v>
      </c>
      <c r="F7" s="82">
        <f ca="1">IF('Invoer gegevens'!$C$17=E7,'Invoer gegevens'!$C$10,IF(C7=1,H6,0))</f>
        <v>0</v>
      </c>
      <c r="G7" s="83">
        <f ca="1">IF(E7='Invoer gegevens'!$C$17+'Invoer gegevens'!$I$14,H6,IF(C7&gt;=1,F7*Reeksen!C7,0))</f>
        <v>0</v>
      </c>
      <c r="H7" s="84">
        <f ca="1">IF(E7&gt;='Invoer gegevens'!$C$17+'Invoer gegevens'!$I$14,0,F7-G7)</f>
        <v>0</v>
      </c>
      <c r="I7" s="85">
        <f ca="1">IF('Invoer gegevens'!$C$17=E7,'Invoer gegevens'!$C$11,IF(C7=1,L6,0))</f>
        <v>0</v>
      </c>
      <c r="J7" s="86">
        <f ca="1">IF(E7='Invoer gegevens'!$C$17+'Invoer gegevens'!$I$14,L6,IF(C7&lt;1,0,IF(Reeksen!BG7&lt;=Reeksen!AE7,I7*Reeksen!C7,0)))</f>
        <v>0</v>
      </c>
      <c r="K7" s="86">
        <f ca="1">IF(E7='Invoer gegevens'!$C$17+'Invoer gegevens'!$I$14,L6,IF(C7&lt;1,0,IF(Reeksen!BG7&gt;Reeksen!AE7,I7*Reeksen!C7,0)))</f>
        <v>0</v>
      </c>
      <c r="L7" s="86">
        <f ca="1">IF(E7&gt;='Invoer gegevens'!$C$17+'Invoer gegevens'!$I$14,0,I7-J7-K7)</f>
        <v>0</v>
      </c>
      <c r="M7" s="85">
        <f ca="1">IF('Invoer gegevens'!$C$17=E7,'Invoer gegevens'!$C$10-'Invoer gegevens'!$C$11,IF(C7=1,P6,0))</f>
        <v>0</v>
      </c>
      <c r="N7" s="86">
        <f ca="1">IF(E7='Invoer gegevens'!$C$17+'Invoer gegevens'!$I$14,P6,IF(C7&lt;1,0,IF(Reeksen!BG7&lt;=Reeksen!AE7,M7*Reeksen!C7,0)))</f>
        <v>0</v>
      </c>
      <c r="O7" s="86">
        <f ca="1">IF(E7='Invoer gegevens'!$C$17+'Invoer gegevens'!$I$14,P6,IF(C7&lt;1,0,IF(Reeksen!BG7&gt;Reeksen!AE7,M7*Reeksen!C7,0)))</f>
        <v>0</v>
      </c>
      <c r="P7" s="86">
        <f ca="1">IF(E7&gt;='Invoer gegevens'!$C$17+'Invoer gegevens'!$I$14,0,M7-N7-O7)</f>
        <v>0</v>
      </c>
      <c r="Q7" s="82">
        <f ca="1">IF('Invoer gegevens'!$C$17=E7,I7,IF(C7=0,0,R6))</f>
        <v>0</v>
      </c>
      <c r="R7" s="84">
        <f t="shared" ca="1" si="0"/>
        <v>0</v>
      </c>
      <c r="S7" s="84">
        <f ca="1">IF('Invoer gegevens'!$C$17=E7,M7,IF(C7=0,0,T6))</f>
        <v>0</v>
      </c>
      <c r="T7" s="84">
        <f t="shared" ca="1" si="1"/>
        <v>0</v>
      </c>
      <c r="AH7" s="70"/>
      <c r="AI7" s="71">
        <f ca="1">IF(C7=1,((F7+H7)/2*Reeksen!BF7*12)+(('Invoer gegevens'!$C$10-(F7+H7)/2)*Reeksen!BG7*12),0)</f>
        <v>0</v>
      </c>
      <c r="AJ7" s="71">
        <f ca="1">-AI7*'Invoer gegevens'!$I$26</f>
        <v>0</v>
      </c>
      <c r="AK7" s="71">
        <f t="shared" ca="1" si="2"/>
        <v>0</v>
      </c>
      <c r="AL7" s="71">
        <f ca="1">IF(C7=1,(12*((F7+H7)/2)*Reeksen!AL7)+(12*('Invoer gegevens'!$C$10-(F7+H7)/2)*Reeksen!AM7),0)</f>
        <v>0</v>
      </c>
      <c r="AM7" s="71">
        <f ca="1">-AL7*'Invoer gegevens'!$F$31</f>
        <v>0</v>
      </c>
      <c r="AN7" s="71">
        <f t="shared" ca="1" si="3"/>
        <v>0</v>
      </c>
      <c r="AO7" s="71"/>
      <c r="AP7" s="71"/>
      <c r="AQ7" s="71">
        <f ca="1">-IF(C7=1,('Invoer gegevens'!$C$10*'Invoer gegevens'!$I$33)*Reeksen!J7,0)</f>
        <v>0</v>
      </c>
      <c r="AR7" s="71">
        <f ca="1">-IF(C7=1,(G7*'Invoer gegevens'!$I$34)*Reeksen!J7,0)</f>
        <v>0</v>
      </c>
      <c r="AS7" s="71">
        <f ca="1">-IF(C7=1,'Invoer gegevens'!$C$10*'Invoer gegevens'!$I$35*Reeksen!L7,0)</f>
        <v>0</v>
      </c>
      <c r="AT7" s="71">
        <f ca="1">-IF(C7=1,IF(E7='Invoer gegevens'!$C$17,'Invoer gegevens'!$C$11,Q7)*Reeksen!S7*'Invoer gegevens'!$C$18*Reeksen!P7,0)</f>
        <v>0</v>
      </c>
      <c r="AU7" s="71">
        <f ca="1">-IF(C7=1,'Invoer gegevens'!$C$10*'Invoer gegevens'!$I$36*Reeksen!H7,0)</f>
        <v>0</v>
      </c>
      <c r="AV7" s="71">
        <f t="shared" ca="1" si="4"/>
        <v>0</v>
      </c>
      <c r="AW7" s="72">
        <f ca="1">IFERROR(IF(E7='Invoer gegevens'!$C$17+'Invoer gegevens'!$I$14-1,'Invoer gegevens'!$I$13*'Invoer gegevens'!$C$10*Reeksen!H7,0),0)</f>
        <v>0</v>
      </c>
      <c r="AX7" s="72">
        <f ca="1">IFERROR(IF(E7='Invoer gegevens'!$C$17,-'Invoer gegevens'!$C$10*'Invoer gegevens'!$C$31*Reeksen!H7,0),0)</f>
        <v>0</v>
      </c>
      <c r="AY7" s="73">
        <f ca="1">IF('Invoer gegevens'!$C$34=E7,'Invoer gegevens'!$C$27*'Invoer gegevens'!$C$10*'Invoer gegevens'!$C$36*(IF('Invoer gegevens'!$C$35="ja",1,Reeksen!J7)),IF('Invoer gegevens'!$C$34+1=E7,'Invoer gegevens'!$C$27*'Invoer gegevens'!$C$10*'Invoer gegevens'!$C$37*(IF('Invoer gegevens'!$C$35="ja",1,Reeksen!J7)),0))+IF(AND(E7='Invoer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" s="73">
        <f ca="1">AV7/(1+'Invoer gegevens'!$I$12)^($D7-('Invoer gegevens'!$C$17-'Invoer gegevens'!$C$16))/(1+'Invoer gegevens'!$C$39)^('Invoer gegevens'!$C$17-'Invoer gegevens'!$C$16)</f>
        <v>0</v>
      </c>
      <c r="BA7" s="73">
        <f ca="1">AW7/(1+'Invoer gegevens'!$I$12)^(E7-('Invoer gegevens'!$C$17-1))/(1+'Invoer gegevens'!$C$39)^('Invoer gegevens'!$C$17-'Invoer gegevens'!$C$16)</f>
        <v>0</v>
      </c>
      <c r="BB7" s="73">
        <f ca="1">AX7/(1+'Invoer gegevens'!$C$39)^('Invoer gegevens'!$C$17-'Invoer gegevens'!$C$16)</f>
        <v>0</v>
      </c>
      <c r="BC7" s="72">
        <f t="shared" ca="1" si="5"/>
        <v>0</v>
      </c>
      <c r="BD7" s="72">
        <f ca="1">IF(AND(E7='Invoer gegevens'!$C$16,'Invoer gegevens'!$C$34&lt;'Invoer gegevens'!$C$16),AY7,AY7/(1+'Invoer gegevens'!$C$39)^D7)</f>
        <v>0</v>
      </c>
      <c r="BE7" s="72">
        <f ca="1">IF(E7='Invoer gegevens'!$C$34,-'Invoer gegevens'!$I$38,0)</f>
        <v>0</v>
      </c>
      <c r="BF7" s="72">
        <f ca="1">IF(E7='Invoer gegevens'!$C$17,-'Invoer gegevens'!$C$19*$BC$66,0)</f>
        <v>0</v>
      </c>
      <c r="BG7" s="72">
        <f ca="1">AV7/(1+$BG$4)^($D7-('Invoer gegevens'!$C$17-'Invoer gegevens'!$C$16))/(1+'Invoer gegevens'!$C$39)^('Invoer gegevens'!$C$17-'Invoer gegevens'!$C$16)+AW7/(1+$BG$4)^(E7-('Invoer gegevens'!$C$17-1))/(1+'Invoer gegevens'!$C$39)^('Invoer gegevens'!$C$17-'Invoer gegevens'!$C$16)+AX7/(1+'Invoer gegevens'!$C$39)^('Invoer gegevens'!$C$17-'Invoer gegevens'!$C$16)+(-AY7/(1+'Invoer gegevens'!$C$39)^D7)+BE7+BF7</f>
        <v>0</v>
      </c>
      <c r="BH7" s="59"/>
      <c r="BJ7" s="214"/>
    </row>
    <row r="8" spans="1:91" x14ac:dyDescent="0.25">
      <c r="A8" s="59"/>
      <c r="B8" s="70">
        <f t="shared" si="6"/>
        <v>4</v>
      </c>
      <c r="C8" s="67">
        <f ca="1">IF(AND(E8&gt;='Invoer gegevens'!$C$17,E8&lt;'Invoer gegevens'!$C$17+'Invoer gegevens'!$I$14),1,0)</f>
        <v>1</v>
      </c>
      <c r="D8" s="68">
        <f t="shared" si="7"/>
        <v>3.5</v>
      </c>
      <c r="E8" s="69">
        <f ca="1">IF('Invoer gegevens'!$C$16="","",E7+1)</f>
        <v>2022</v>
      </c>
      <c r="F8" s="82">
        <f ca="1">IF('Invoer gegevens'!$C$17=E8,'Invoer gegevens'!$C$10,IF(C8=1,H7,0))</f>
        <v>0</v>
      </c>
      <c r="G8" s="83">
        <f ca="1">IF(E8='Invoer gegevens'!$C$17+'Invoer gegevens'!$I$14,H7,IF(C8&gt;=1,F8*Reeksen!C8,0))</f>
        <v>0</v>
      </c>
      <c r="H8" s="84">
        <f ca="1">IF(E8&gt;='Invoer gegevens'!$C$17+'Invoer gegevens'!$I$14,0,F8-G8)</f>
        <v>0</v>
      </c>
      <c r="I8" s="85">
        <f ca="1">IF('Invoer gegevens'!$C$17=E8,'Invoer gegevens'!$C$11,IF(C8=1,L7,0))</f>
        <v>0</v>
      </c>
      <c r="J8" s="86">
        <f ca="1">IF(E8='Invoer gegevens'!$C$17+'Invoer gegevens'!$I$14,L7,IF(C8&lt;1,0,IF(Reeksen!BG8&lt;=Reeksen!AE8,I8*Reeksen!C8,0)))</f>
        <v>0</v>
      </c>
      <c r="K8" s="86">
        <f ca="1">IF(E8='Invoer gegevens'!$C$17+'Invoer gegevens'!$I$14,L7,IF(C8&lt;1,0,IF(Reeksen!BG8&gt;Reeksen!AE8,I8*Reeksen!C8,0)))</f>
        <v>0</v>
      </c>
      <c r="L8" s="86">
        <f ca="1">IF(E8&gt;='Invoer gegevens'!$C$17+'Invoer gegevens'!$I$14,0,I8-J8-K8)</f>
        <v>0</v>
      </c>
      <c r="M8" s="85">
        <f ca="1">IF('Invoer gegevens'!$C$17=E8,'Invoer gegevens'!$C$10-'Invoer gegevens'!$C$11,IF(C8=1,P7,0))</f>
        <v>0</v>
      </c>
      <c r="N8" s="86">
        <f ca="1">IF(E8='Invoer gegevens'!$C$17+'Invoer gegevens'!$I$14,P7,IF(C8&lt;1,0,IF(Reeksen!BG8&lt;=Reeksen!AE8,M8*Reeksen!C8,0)))</f>
        <v>0</v>
      </c>
      <c r="O8" s="86">
        <f ca="1">IF(E8='Invoer gegevens'!$C$17+'Invoer gegevens'!$I$14,P7,IF(C8&lt;1,0,IF(Reeksen!BG8&gt;Reeksen!AE8,M8*Reeksen!C8,0)))</f>
        <v>0</v>
      </c>
      <c r="P8" s="86">
        <f ca="1">IF(E8&gt;='Invoer gegevens'!$C$17+'Invoer gegevens'!$I$14,0,M8-N8-O8)</f>
        <v>0</v>
      </c>
      <c r="Q8" s="82">
        <f ca="1">IF('Invoer gegevens'!$C$17=E8,I8,IF(C8=0,0,R7))</f>
        <v>0</v>
      </c>
      <c r="R8" s="84">
        <f t="shared" ca="1" si="0"/>
        <v>0</v>
      </c>
      <c r="S8" s="84">
        <f ca="1">IF('Invoer gegevens'!$C$17=E8,M8,IF(C8=0,0,T7))</f>
        <v>0</v>
      </c>
      <c r="T8" s="84">
        <f t="shared" ca="1" si="1"/>
        <v>0</v>
      </c>
      <c r="AH8" s="70"/>
      <c r="AI8" s="71">
        <f ca="1">IF(C8=1,((F8+H8)/2*Reeksen!BF8*12)+(('Invoer gegevens'!$C$10-(F8+H8)/2)*Reeksen!BG8*12),0)</f>
        <v>0</v>
      </c>
      <c r="AJ8" s="71">
        <f ca="1">-AI8*'Invoer gegevens'!$I$26</f>
        <v>0</v>
      </c>
      <c r="AK8" s="71">
        <f t="shared" ca="1" si="2"/>
        <v>0</v>
      </c>
      <c r="AL8" s="71">
        <f ca="1">IF(C8=1,(12*((F8+H8)/2)*Reeksen!AL8)+(12*('Invoer gegevens'!$C$10-(F8+H8)/2)*Reeksen!AM8),0)</f>
        <v>0</v>
      </c>
      <c r="AM8" s="71">
        <f ca="1">-AL8*'Invoer gegevens'!$F$31</f>
        <v>0</v>
      </c>
      <c r="AN8" s="71">
        <f t="shared" ca="1" si="3"/>
        <v>0</v>
      </c>
      <c r="AO8" s="71"/>
      <c r="AP8" s="71"/>
      <c r="AQ8" s="71">
        <f ca="1">-IF(C8=1,('Invoer gegevens'!$C$10*'Invoer gegevens'!$I$33)*Reeksen!J8,0)</f>
        <v>0</v>
      </c>
      <c r="AR8" s="71">
        <f ca="1">-IF(C8=1,(G8*'Invoer gegevens'!$I$34)*Reeksen!J8,0)</f>
        <v>0</v>
      </c>
      <c r="AS8" s="71">
        <f ca="1">-IF(C8=1,'Invoer gegevens'!$C$10*'Invoer gegevens'!$I$35*Reeksen!L8,0)</f>
        <v>0</v>
      </c>
      <c r="AT8" s="71">
        <f ca="1">-IF(C8=1,IF(E8='Invoer gegevens'!$C$17,'Invoer gegevens'!$C$11,Q8)*Reeksen!S8*'Invoer gegevens'!$C$18*Reeksen!P8,0)</f>
        <v>0</v>
      </c>
      <c r="AU8" s="71">
        <f ca="1">-IF(C8=1,'Invoer gegevens'!$C$10*'Invoer gegevens'!$I$36*Reeksen!H8,0)</f>
        <v>0</v>
      </c>
      <c r="AV8" s="71">
        <f t="shared" ca="1" si="4"/>
        <v>0</v>
      </c>
      <c r="AW8" s="72">
        <f ca="1">IFERROR(IF(E8='Invoer gegevens'!$C$17+'Invoer gegevens'!$I$14-1,'Invoer gegevens'!$I$13*'Invoer gegevens'!$C$10*Reeksen!H8,0),0)</f>
        <v>0</v>
      </c>
      <c r="AX8" s="72">
        <f ca="1">IFERROR(IF(E8='Invoer gegevens'!$C$17,-'Invoer gegevens'!$C$10*'Invoer gegevens'!$C$31*Reeksen!H8,0),0)</f>
        <v>0</v>
      </c>
      <c r="AY8" s="73">
        <f ca="1">IF('Invoer gegevens'!$C$34=E8,'Invoer gegevens'!$C$27*'Invoer gegevens'!$C$10*'Invoer gegevens'!$C$36*(IF('Invoer gegevens'!$C$35="ja",1,Reeksen!J8)),IF('Invoer gegevens'!$C$34+1=E8,'Invoer gegevens'!$C$27*'Invoer gegevens'!$C$10*'Invoer gegevens'!$C$37*(IF('Invoer gegevens'!$C$35="ja",1,Reeksen!J8)),0))+IF(AND(E8='Invoer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" s="73">
        <f ca="1">AV8/(1+'Invoer gegevens'!$I$12)^($D8-('Invoer gegevens'!$C$17-'Invoer gegevens'!$C$16))/(1+'Invoer gegevens'!$C$39)^('Invoer gegevens'!$C$17-'Invoer gegevens'!$C$16)</f>
        <v>0</v>
      </c>
      <c r="BA8" s="73">
        <f ca="1">AW8/(1+'Invoer gegevens'!$I$12)^(E8-('Invoer gegevens'!$C$17-1))/(1+'Invoer gegevens'!$C$39)^('Invoer gegevens'!$C$17-'Invoer gegevens'!$C$16)</f>
        <v>0</v>
      </c>
      <c r="BB8" s="73">
        <f ca="1">AX8/(1+'Invoer gegevens'!$C$39)^('Invoer gegevens'!$C$17-'Invoer gegevens'!$C$16)</f>
        <v>0</v>
      </c>
      <c r="BC8" s="72">
        <f t="shared" ca="1" si="5"/>
        <v>0</v>
      </c>
      <c r="BD8" s="72">
        <f ca="1">IF(AND(E8='Invoer gegevens'!$C$16,'Invoer gegevens'!$C$34&lt;'Invoer gegevens'!$C$16),AY8,AY8/(1+'Invoer gegevens'!$C$39)^D8)</f>
        <v>0</v>
      </c>
      <c r="BE8" s="72">
        <f ca="1">IF(E8='Invoer gegevens'!$C$34,-'Invoer gegevens'!$I$38,0)</f>
        <v>0</v>
      </c>
      <c r="BF8" s="72">
        <f ca="1">IF(E8='Invoer gegevens'!$C$17,-'Invoer gegevens'!$C$19*$BC$66,0)</f>
        <v>0</v>
      </c>
      <c r="BG8" s="72">
        <f ca="1">AV8/(1+$BG$4)^($D8-('Invoer gegevens'!$C$17-'Invoer gegevens'!$C$16))/(1+'Invoer gegevens'!$C$39)^('Invoer gegevens'!$C$17-'Invoer gegevens'!$C$16)+AW8/(1+$BG$4)^(E8-('Invoer gegevens'!$C$17-1))/(1+'Invoer gegevens'!$C$39)^('Invoer gegevens'!$C$17-'Invoer gegevens'!$C$16)+AX8/(1+'Invoer gegevens'!$C$39)^('Invoer gegevens'!$C$17-'Invoer gegevens'!$C$16)+(-AY8/(1+'Invoer gegevens'!$C$39)^D8)+BE8+BF8</f>
        <v>0</v>
      </c>
      <c r="BH8" s="59"/>
      <c r="BJ8" s="214"/>
    </row>
    <row r="9" spans="1:91" x14ac:dyDescent="0.25">
      <c r="A9" s="59"/>
      <c r="B9" s="70">
        <f t="shared" si="6"/>
        <v>5</v>
      </c>
      <c r="C9" s="67">
        <f ca="1">IF(AND(E9&gt;='Invoer gegevens'!$C$17,E9&lt;'Invoer gegevens'!$C$17+'Invoer gegevens'!$I$14),1,0)</f>
        <v>1</v>
      </c>
      <c r="D9" s="68">
        <f t="shared" si="7"/>
        <v>4.5</v>
      </c>
      <c r="E9" s="69">
        <f ca="1">IF('Invoer gegevens'!$C$16="","",E8+1)</f>
        <v>2023</v>
      </c>
      <c r="F9" s="82">
        <f ca="1">IF('Invoer gegevens'!$C$17=E9,'Invoer gegevens'!$C$10,IF(C9=1,H8,0))</f>
        <v>0</v>
      </c>
      <c r="G9" s="83">
        <f ca="1">IF(E9='Invoer gegevens'!$C$17+'Invoer gegevens'!$I$14,H8,IF(C9&gt;=1,F9*Reeksen!C9,0))</f>
        <v>0</v>
      </c>
      <c r="H9" s="84">
        <f ca="1">IF(E9&gt;='Invoer gegevens'!$C$17+'Invoer gegevens'!$I$14,0,F9-G9)</f>
        <v>0</v>
      </c>
      <c r="I9" s="85">
        <f ca="1">IF('Invoer gegevens'!$C$17=E9,'Invoer gegevens'!$C$11,IF(C9=1,L8,0))</f>
        <v>0</v>
      </c>
      <c r="J9" s="86">
        <f ca="1">IF(E9='Invoer gegevens'!$C$17+'Invoer gegevens'!$I$14,L8,IF(C9&lt;1,0,IF(Reeksen!BG9&lt;=Reeksen!AE9,I9*Reeksen!C9,0)))</f>
        <v>0</v>
      </c>
      <c r="K9" s="86">
        <f ca="1">IF(E9='Invoer gegevens'!$C$17+'Invoer gegevens'!$I$14,L8,IF(C9&lt;1,0,IF(Reeksen!BG9&gt;Reeksen!AE9,I9*Reeksen!C9,0)))</f>
        <v>0</v>
      </c>
      <c r="L9" s="86">
        <f ca="1">IF(E9&gt;='Invoer gegevens'!$C$17+'Invoer gegevens'!$I$14,0,I9-J9-K9)</f>
        <v>0</v>
      </c>
      <c r="M9" s="85">
        <f ca="1">IF('Invoer gegevens'!$C$17=E9,'Invoer gegevens'!$C$10-'Invoer gegevens'!$C$11,IF(C9=1,P8,0))</f>
        <v>0</v>
      </c>
      <c r="N9" s="86">
        <f ca="1">IF(E9='Invoer gegevens'!$C$17+'Invoer gegevens'!$I$14,P8,IF(C9&lt;1,0,IF(Reeksen!BG9&lt;=Reeksen!AE9,M9*Reeksen!C9,0)))</f>
        <v>0</v>
      </c>
      <c r="O9" s="86">
        <f ca="1">IF(E9='Invoer gegevens'!$C$17+'Invoer gegevens'!$I$14,P8,IF(C9&lt;1,0,IF(Reeksen!BG9&gt;Reeksen!AE9,M9*Reeksen!C9,0)))</f>
        <v>0</v>
      </c>
      <c r="P9" s="86">
        <f ca="1">IF(E9&gt;='Invoer gegevens'!$C$17+'Invoer gegevens'!$I$14,0,M9-N9-O9)</f>
        <v>0</v>
      </c>
      <c r="Q9" s="82">
        <f ca="1">IF('Invoer gegevens'!$C$17=E9,I9,IF(C9=0,0,R8))</f>
        <v>0</v>
      </c>
      <c r="R9" s="84">
        <f t="shared" ca="1" si="0"/>
        <v>0</v>
      </c>
      <c r="S9" s="84">
        <f ca="1">IF('Invoer gegevens'!$C$17=E9,M9,IF(C9=0,0,T8))</f>
        <v>0</v>
      </c>
      <c r="T9" s="84">
        <f t="shared" ca="1" si="1"/>
        <v>0</v>
      </c>
      <c r="AH9" s="70"/>
      <c r="AI9" s="71">
        <f ca="1">IF(C9=1,((F9+H9)/2*Reeksen!BF9*12)+(('Invoer gegevens'!$C$10-(F9+H9)/2)*Reeksen!BG9*12),0)</f>
        <v>0</v>
      </c>
      <c r="AJ9" s="71">
        <f ca="1">-AI9*'Invoer gegevens'!$I$26</f>
        <v>0</v>
      </c>
      <c r="AK9" s="71">
        <f t="shared" ca="1" si="2"/>
        <v>0</v>
      </c>
      <c r="AL9" s="71">
        <f ca="1">IF(C9=1,(12*((F9+H9)/2)*Reeksen!AL9)+(12*('Invoer gegevens'!$C$10-(F9+H9)/2)*Reeksen!AM9),0)</f>
        <v>0</v>
      </c>
      <c r="AM9" s="71">
        <f ca="1">-AL9*'Invoer gegevens'!$F$31</f>
        <v>0</v>
      </c>
      <c r="AN9" s="71">
        <f t="shared" ca="1" si="3"/>
        <v>0</v>
      </c>
      <c r="AO9" s="71"/>
      <c r="AP9" s="71"/>
      <c r="AQ9" s="71">
        <f ca="1">-IF(C9=1,('Invoer gegevens'!$C$10*'Invoer gegevens'!$I$33)*Reeksen!J9,0)</f>
        <v>0</v>
      </c>
      <c r="AR9" s="71">
        <f ca="1">-IF(C9=1,(G9*'Invoer gegevens'!$I$34)*Reeksen!J9,0)</f>
        <v>0</v>
      </c>
      <c r="AS9" s="71">
        <f ca="1">-IF(C9=1,'Invoer gegevens'!$C$10*'Invoer gegevens'!$I$35*Reeksen!L9,0)</f>
        <v>0</v>
      </c>
      <c r="AT9" s="71">
        <f ca="1">-IF(C9=1,IF(E9='Invoer gegevens'!$C$17,'Invoer gegevens'!$C$11,Q9)*Reeksen!S9*'Invoer gegevens'!$C$18*Reeksen!P9,0)</f>
        <v>0</v>
      </c>
      <c r="AU9" s="71">
        <f ca="1">-IF(C9=1,'Invoer gegevens'!$C$10*'Invoer gegevens'!$I$36*Reeksen!H9,0)</f>
        <v>0</v>
      </c>
      <c r="AV9" s="71">
        <f t="shared" ca="1" si="4"/>
        <v>0</v>
      </c>
      <c r="AW9" s="72">
        <f ca="1">IFERROR(IF(E9='Invoer gegevens'!$C$17+'Invoer gegevens'!$I$14-1,'Invoer gegevens'!$I$13*'Invoer gegevens'!$C$10*Reeksen!H9,0),0)</f>
        <v>0</v>
      </c>
      <c r="AX9" s="72">
        <f ca="1">IFERROR(IF(E9='Invoer gegevens'!$C$17,-'Invoer gegevens'!$C$10*'Invoer gegevens'!$C$31*Reeksen!H9,0),0)</f>
        <v>0</v>
      </c>
      <c r="AY9" s="73">
        <f ca="1">IF('Invoer gegevens'!$C$34=E9,'Invoer gegevens'!$C$27*'Invoer gegevens'!$C$10*'Invoer gegevens'!$C$36*(IF('Invoer gegevens'!$C$35="ja",1,Reeksen!J9)),IF('Invoer gegevens'!$C$34+1=E9,'Invoer gegevens'!$C$27*'Invoer gegevens'!$C$10*'Invoer gegevens'!$C$37*(IF('Invoer gegevens'!$C$35="ja",1,Reeksen!J9)),0))+IF(AND(E9='Invoer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" s="73">
        <f ca="1">AV9/(1+'Invoer gegevens'!$I$12)^($D9-('Invoer gegevens'!$C$17-'Invoer gegevens'!$C$16))/(1+'Invoer gegevens'!$C$39)^('Invoer gegevens'!$C$17-'Invoer gegevens'!$C$16)</f>
        <v>0</v>
      </c>
      <c r="BA9" s="73">
        <f ca="1">AW9/(1+'Invoer gegevens'!$I$12)^(E9-('Invoer gegevens'!$C$17-1))/(1+'Invoer gegevens'!$C$39)^('Invoer gegevens'!$C$17-'Invoer gegevens'!$C$16)</f>
        <v>0</v>
      </c>
      <c r="BB9" s="73">
        <f ca="1">AX9/(1+'Invoer gegevens'!$C$39)^('Invoer gegevens'!$C$17-'Invoer gegevens'!$C$16)</f>
        <v>0</v>
      </c>
      <c r="BC9" s="72">
        <f t="shared" ca="1" si="5"/>
        <v>0</v>
      </c>
      <c r="BD9" s="72">
        <f ca="1">IF(AND(E9='Invoer gegevens'!$C$16,'Invoer gegevens'!$C$34&lt;'Invoer gegevens'!$C$16),AY9,AY9/(1+'Invoer gegevens'!$C$39)^D9)</f>
        <v>0</v>
      </c>
      <c r="BE9" s="72">
        <f ca="1">IF(E9='Invoer gegevens'!$C$34,-'Invoer gegevens'!$I$38,0)</f>
        <v>0</v>
      </c>
      <c r="BF9" s="72">
        <f ca="1">IF(E9='Invoer gegevens'!$C$17,-'Invoer gegevens'!$C$19*$BC$66,0)</f>
        <v>0</v>
      </c>
      <c r="BG9" s="72">
        <f ca="1">AV9/(1+$BG$4)^($D9-('Invoer gegevens'!$C$17-'Invoer gegevens'!$C$16))/(1+'Invoer gegevens'!$C$39)^('Invoer gegevens'!$C$17-'Invoer gegevens'!$C$16)+AW9/(1+$BG$4)^(E9-('Invoer gegevens'!$C$17-1))/(1+'Invoer gegevens'!$C$39)^('Invoer gegevens'!$C$17-'Invoer gegevens'!$C$16)+AX9/(1+'Invoer gegevens'!$C$39)^('Invoer gegevens'!$C$17-'Invoer gegevens'!$C$16)+(-AY9/(1+'Invoer gegevens'!$C$39)^D9)+BE9+BF9</f>
        <v>0</v>
      </c>
      <c r="BH9" s="59"/>
      <c r="BJ9" s="214"/>
    </row>
    <row r="10" spans="1:91" x14ac:dyDescent="0.25">
      <c r="A10" s="59"/>
      <c r="B10" s="70">
        <f t="shared" si="6"/>
        <v>6</v>
      </c>
      <c r="C10" s="67">
        <f ca="1">IF(AND(E10&gt;='Invoer gegevens'!$C$17,E10&lt;'Invoer gegevens'!$C$17+'Invoer gegevens'!$I$14),1,0)</f>
        <v>1</v>
      </c>
      <c r="D10" s="68">
        <f t="shared" si="7"/>
        <v>5.5</v>
      </c>
      <c r="E10" s="69">
        <f ca="1">IF('Invoer gegevens'!$C$16="","",E9+1)</f>
        <v>2024</v>
      </c>
      <c r="F10" s="82">
        <f ca="1">IF('Invoer gegevens'!$C$17=E10,'Invoer gegevens'!$C$10,IF(C10=1,H9,0))</f>
        <v>0</v>
      </c>
      <c r="G10" s="83">
        <f ca="1">IF(E10='Invoer gegevens'!$C$17+'Invoer gegevens'!$I$14,H9,IF(C10&gt;=1,F10*Reeksen!C10,0))</f>
        <v>0</v>
      </c>
      <c r="H10" s="84">
        <f ca="1">IF(E10&gt;='Invoer gegevens'!$C$17+'Invoer gegevens'!$I$14,0,F10-G10)</f>
        <v>0</v>
      </c>
      <c r="I10" s="85">
        <f ca="1">IF('Invoer gegevens'!$C$17=E10,'Invoer gegevens'!$C$11,IF(C10=1,L9,0))</f>
        <v>0</v>
      </c>
      <c r="J10" s="86">
        <f ca="1">IF(E10='Invoer gegevens'!$C$17+'Invoer gegevens'!$I$14,L9,IF(C10&lt;1,0,IF(Reeksen!BG10&lt;=Reeksen!AE10,I10*Reeksen!C10,0)))</f>
        <v>0</v>
      </c>
      <c r="K10" s="86">
        <f ca="1">IF(E10='Invoer gegevens'!$C$17+'Invoer gegevens'!$I$14,L9,IF(C10&lt;1,0,IF(Reeksen!BG10&gt;Reeksen!AE10,I10*Reeksen!C10,0)))</f>
        <v>0</v>
      </c>
      <c r="L10" s="86">
        <f ca="1">IF(E10&gt;='Invoer gegevens'!$C$17+'Invoer gegevens'!$I$14,0,I10-J10-K10)</f>
        <v>0</v>
      </c>
      <c r="M10" s="85">
        <f ca="1">IF('Invoer gegevens'!$C$17=E10,'Invoer gegevens'!$C$10-'Invoer gegevens'!$C$11,IF(C10=1,P9,0))</f>
        <v>0</v>
      </c>
      <c r="N10" s="86">
        <f ca="1">IF(E10='Invoer gegevens'!$C$17+'Invoer gegevens'!$I$14,P9,IF(C10&lt;1,0,IF(Reeksen!BG10&lt;=Reeksen!AE10,M10*Reeksen!C10,0)))</f>
        <v>0</v>
      </c>
      <c r="O10" s="86">
        <f ca="1">IF(E10='Invoer gegevens'!$C$17+'Invoer gegevens'!$I$14,P9,IF(C10&lt;1,0,IF(Reeksen!BG10&gt;Reeksen!AE10,M10*Reeksen!C10,0)))</f>
        <v>0</v>
      </c>
      <c r="P10" s="86">
        <f ca="1">IF(E10&gt;='Invoer gegevens'!$C$17+'Invoer gegevens'!$I$14,0,M10-N10-O10)</f>
        <v>0</v>
      </c>
      <c r="Q10" s="82">
        <f ca="1">IF('Invoer gegevens'!$C$17=E10,I10,IF(C10=0,0,R9))</f>
        <v>0</v>
      </c>
      <c r="R10" s="84">
        <f t="shared" ca="1" si="0"/>
        <v>0</v>
      </c>
      <c r="S10" s="84">
        <f ca="1">IF('Invoer gegevens'!$C$17=E10,M10,IF(C10=0,0,T9))</f>
        <v>0</v>
      </c>
      <c r="T10" s="84">
        <f t="shared" ca="1" si="1"/>
        <v>0</v>
      </c>
      <c r="AH10" s="70"/>
      <c r="AI10" s="71">
        <f ca="1">IF(C10=1,((F10+H10)/2*Reeksen!BF10*12)+(('Invoer gegevens'!$C$10-(F10+H10)/2)*Reeksen!BG10*12),0)</f>
        <v>0</v>
      </c>
      <c r="AJ10" s="71">
        <f ca="1">-AI10*'Invoer gegevens'!$I$26</f>
        <v>0</v>
      </c>
      <c r="AK10" s="71">
        <f t="shared" ca="1" si="2"/>
        <v>0</v>
      </c>
      <c r="AL10" s="71">
        <f ca="1">IF(C10=1,(12*((F10+H10)/2)*Reeksen!AL10)+(12*('Invoer gegevens'!$C$10-(F10+H10)/2)*Reeksen!AM10),0)</f>
        <v>0</v>
      </c>
      <c r="AM10" s="71">
        <f ca="1">-AL10*'Invoer gegevens'!$F$31</f>
        <v>0</v>
      </c>
      <c r="AN10" s="71">
        <f t="shared" ca="1" si="3"/>
        <v>0</v>
      </c>
      <c r="AO10" s="71"/>
      <c r="AP10" s="71"/>
      <c r="AQ10" s="71">
        <f ca="1">-IF(C10=1,('Invoer gegevens'!$C$10*'Invoer gegevens'!$I$33)*Reeksen!J10,0)</f>
        <v>0</v>
      </c>
      <c r="AR10" s="71">
        <f ca="1">-IF(C10=1,(G10*'Invoer gegevens'!$I$34)*Reeksen!J10,0)</f>
        <v>0</v>
      </c>
      <c r="AS10" s="71">
        <f ca="1">-IF(C10=1,'Invoer gegevens'!$C$10*'Invoer gegevens'!$I$35*Reeksen!L10,0)</f>
        <v>0</v>
      </c>
      <c r="AT10" s="71">
        <f ca="1">-IF(C10=1,IF(E10='Invoer gegevens'!$C$17,'Invoer gegevens'!$C$11,Q10)*Reeksen!S10*'Invoer gegevens'!$C$18*Reeksen!P10,0)</f>
        <v>0</v>
      </c>
      <c r="AU10" s="71">
        <f ca="1">-IF(C10=1,'Invoer gegevens'!$C$10*'Invoer gegevens'!$I$36*Reeksen!H10,0)</f>
        <v>0</v>
      </c>
      <c r="AV10" s="71">
        <f t="shared" ca="1" si="4"/>
        <v>0</v>
      </c>
      <c r="AW10" s="72">
        <f ca="1">IFERROR(IF(E10='Invoer gegevens'!$C$17+'Invoer gegevens'!$I$14-1,'Invoer gegevens'!$I$13*'Invoer gegevens'!$C$10*Reeksen!H10,0),0)</f>
        <v>0</v>
      </c>
      <c r="AX10" s="72">
        <f ca="1">IFERROR(IF(E10='Invoer gegevens'!$C$17,-'Invoer gegevens'!$C$10*'Invoer gegevens'!$C$31*Reeksen!H10,0),0)</f>
        <v>0</v>
      </c>
      <c r="AY10" s="73">
        <f ca="1">IF('Invoer gegevens'!$C$34=E10,'Invoer gegevens'!$C$27*'Invoer gegevens'!$C$10*'Invoer gegevens'!$C$36*(IF('Invoer gegevens'!$C$35="ja",1,Reeksen!J10)),IF('Invoer gegevens'!$C$34+1=E10,'Invoer gegevens'!$C$27*'Invoer gegevens'!$C$10*'Invoer gegevens'!$C$37*(IF('Invoer gegevens'!$C$35="ja",1,Reeksen!J10)),0))+IF(AND(E10='Invoer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" s="73">
        <f ca="1">AV10/(1+'Invoer gegevens'!$I$12)^($D10-('Invoer gegevens'!$C$17-'Invoer gegevens'!$C$16))/(1+'Invoer gegevens'!$C$39)^('Invoer gegevens'!$C$17-'Invoer gegevens'!$C$16)</f>
        <v>0</v>
      </c>
      <c r="BA10" s="73">
        <f ca="1">AW10/(1+'Invoer gegevens'!$I$12)^(E10-('Invoer gegevens'!$C$17-1))/(1+'Invoer gegevens'!$C$39)^('Invoer gegevens'!$C$17-'Invoer gegevens'!$C$16)</f>
        <v>0</v>
      </c>
      <c r="BB10" s="73">
        <f ca="1">AX10/(1+'Invoer gegevens'!$C$39)^('Invoer gegevens'!$C$17-'Invoer gegevens'!$C$16)</f>
        <v>0</v>
      </c>
      <c r="BC10" s="72">
        <f t="shared" ca="1" si="5"/>
        <v>0</v>
      </c>
      <c r="BD10" s="72">
        <f ca="1">IF(AND(E10='Invoer gegevens'!$C$16,'Invoer gegevens'!$C$34&lt;'Invoer gegevens'!$C$16),AY10,AY10/(1+'Invoer gegevens'!$C$39)^D10)</f>
        <v>0</v>
      </c>
      <c r="BE10" s="72">
        <f ca="1">IF(E10='Invoer gegevens'!$C$34,-'Invoer gegevens'!$I$38,0)</f>
        <v>0</v>
      </c>
      <c r="BF10" s="72">
        <f ca="1">IF(E10='Invoer gegevens'!$C$17,-'Invoer gegevens'!$C$19*$BC$66,0)</f>
        <v>0</v>
      </c>
      <c r="BG10" s="72">
        <f ca="1">AV10/(1+$BG$4)^($D10-('Invoer gegevens'!$C$17-'Invoer gegevens'!$C$16))/(1+'Invoer gegevens'!$C$39)^('Invoer gegevens'!$C$17-'Invoer gegevens'!$C$16)+AW10/(1+$BG$4)^(E10-('Invoer gegevens'!$C$17-1))/(1+'Invoer gegevens'!$C$39)^('Invoer gegevens'!$C$17-'Invoer gegevens'!$C$16)+AX10/(1+'Invoer gegevens'!$C$39)^('Invoer gegevens'!$C$17-'Invoer gegevens'!$C$16)+(-AY10/(1+'Invoer gegevens'!$C$39)^D10)+BE10+BF10</f>
        <v>0</v>
      </c>
      <c r="BH10" s="59"/>
      <c r="BJ10" s="214"/>
    </row>
    <row r="11" spans="1:91" x14ac:dyDescent="0.25">
      <c r="A11" s="59"/>
      <c r="B11" s="70">
        <f t="shared" si="6"/>
        <v>7</v>
      </c>
      <c r="C11" s="67">
        <f ca="1">IF(AND(E11&gt;='Invoer gegevens'!$C$17,E11&lt;'Invoer gegevens'!$C$17+'Invoer gegevens'!$I$14),1,0)</f>
        <v>1</v>
      </c>
      <c r="D11" s="68">
        <f t="shared" si="7"/>
        <v>6.5</v>
      </c>
      <c r="E11" s="69">
        <f ca="1">IF('Invoer gegevens'!$C$16="","",E10+1)</f>
        <v>2025</v>
      </c>
      <c r="F11" s="82">
        <f ca="1">IF('Invoer gegevens'!$C$17=E11,'Invoer gegevens'!$C$10,IF(C11=1,H10,0))</f>
        <v>0</v>
      </c>
      <c r="G11" s="83">
        <f ca="1">IF(E11='Invoer gegevens'!$C$17+'Invoer gegevens'!$I$14,H10,IF(C11&gt;=1,F11*Reeksen!C11,0))</f>
        <v>0</v>
      </c>
      <c r="H11" s="84">
        <f ca="1">IF(E11&gt;='Invoer gegevens'!$C$17+'Invoer gegevens'!$I$14,0,F11-G11)</f>
        <v>0</v>
      </c>
      <c r="I11" s="85">
        <f ca="1">IF('Invoer gegevens'!$C$17=E11,'Invoer gegevens'!$C$11,IF(C11=1,L10,0))</f>
        <v>0</v>
      </c>
      <c r="J11" s="86">
        <f ca="1">IF(E11='Invoer gegevens'!$C$17+'Invoer gegevens'!$I$14,L10,IF(C11&lt;1,0,IF(Reeksen!BG11&lt;=Reeksen!AE11,I11*Reeksen!C11,0)))</f>
        <v>0</v>
      </c>
      <c r="K11" s="86">
        <f ca="1">IF(E11='Invoer gegevens'!$C$17+'Invoer gegevens'!$I$14,L10,IF(C11&lt;1,0,IF(Reeksen!BG11&gt;Reeksen!AE11,I11*Reeksen!C11,0)))</f>
        <v>0</v>
      </c>
      <c r="L11" s="86">
        <f ca="1">IF(E11&gt;='Invoer gegevens'!$C$17+'Invoer gegevens'!$I$14,0,I11-J11-K11)</f>
        <v>0</v>
      </c>
      <c r="M11" s="85">
        <f ca="1">IF('Invoer gegevens'!$C$17=E11,'Invoer gegevens'!$C$10-'Invoer gegevens'!$C$11,IF(C11=1,P10,0))</f>
        <v>0</v>
      </c>
      <c r="N11" s="86">
        <f ca="1">IF(E11='Invoer gegevens'!$C$17+'Invoer gegevens'!$I$14,P10,IF(C11&lt;1,0,IF(Reeksen!BG11&lt;=Reeksen!AE11,M11*Reeksen!C11,0)))</f>
        <v>0</v>
      </c>
      <c r="O11" s="86">
        <f ca="1">IF(E11='Invoer gegevens'!$C$17+'Invoer gegevens'!$I$14,P10,IF(C11&lt;1,0,IF(Reeksen!BG11&gt;Reeksen!AE11,M11*Reeksen!C11,0)))</f>
        <v>0</v>
      </c>
      <c r="P11" s="86">
        <f ca="1">IF(E11&gt;='Invoer gegevens'!$C$17+'Invoer gegevens'!$I$14,0,M11-N11-O11)</f>
        <v>0</v>
      </c>
      <c r="Q11" s="82">
        <f ca="1">IF('Invoer gegevens'!$C$17=E11,I11,IF(C11=0,0,R10))</f>
        <v>0</v>
      </c>
      <c r="R11" s="84">
        <f t="shared" ca="1" si="0"/>
        <v>0</v>
      </c>
      <c r="S11" s="84">
        <f ca="1">IF('Invoer gegevens'!$C$17=E11,M11,IF(C11=0,0,T10))</f>
        <v>0</v>
      </c>
      <c r="T11" s="84">
        <f t="shared" ca="1" si="1"/>
        <v>0</v>
      </c>
      <c r="AH11" s="70"/>
      <c r="AI11" s="71">
        <f ca="1">IF(C11=1,((F11+H11)/2*Reeksen!BF11*12)+(('Invoer gegevens'!$C$10-(F11+H11)/2)*Reeksen!BG11*12),0)</f>
        <v>0</v>
      </c>
      <c r="AJ11" s="71">
        <f ca="1">-AI11*'Invoer gegevens'!$I$26</f>
        <v>0</v>
      </c>
      <c r="AK11" s="71">
        <f t="shared" ca="1" si="2"/>
        <v>0</v>
      </c>
      <c r="AL11" s="71">
        <f ca="1">IF(C11=1,(12*((F11+H11)/2)*Reeksen!AL11)+(12*('Invoer gegevens'!$C$10-(F11+H11)/2)*Reeksen!AM11),0)</f>
        <v>0</v>
      </c>
      <c r="AM11" s="71">
        <f ca="1">-AL11*'Invoer gegevens'!$F$31</f>
        <v>0</v>
      </c>
      <c r="AN11" s="71">
        <f t="shared" ca="1" si="3"/>
        <v>0</v>
      </c>
      <c r="AO11" s="71"/>
      <c r="AP11" s="71"/>
      <c r="AQ11" s="71">
        <f ca="1">-IF(C11=1,('Invoer gegevens'!$C$10*'Invoer gegevens'!$I$33)*Reeksen!J11,0)</f>
        <v>0</v>
      </c>
      <c r="AR11" s="71">
        <f ca="1">-IF(C11=1,(G11*'Invoer gegevens'!$I$34)*Reeksen!J11,0)</f>
        <v>0</v>
      </c>
      <c r="AS11" s="71">
        <f ca="1">-IF(C11=1,'Invoer gegevens'!$C$10*'Invoer gegevens'!$I$35*Reeksen!L11,0)</f>
        <v>0</v>
      </c>
      <c r="AT11" s="71">
        <f ca="1">-IF(C11=1,IF(E11='Invoer gegevens'!$C$17,'Invoer gegevens'!$C$11,Q11)*Reeksen!S11*'Invoer gegevens'!$C$18*Reeksen!P11,0)</f>
        <v>0</v>
      </c>
      <c r="AU11" s="71">
        <f ca="1">-IF(C11=1,'Invoer gegevens'!$C$10*'Invoer gegevens'!$I$36*Reeksen!H11,0)</f>
        <v>0</v>
      </c>
      <c r="AV11" s="71">
        <f t="shared" ca="1" si="4"/>
        <v>0</v>
      </c>
      <c r="AW11" s="72">
        <f ca="1">IFERROR(IF(E11='Invoer gegevens'!$C$17+'Invoer gegevens'!$I$14-1,'Invoer gegevens'!$I$13*'Invoer gegevens'!$C$10*Reeksen!H11,0),0)</f>
        <v>0</v>
      </c>
      <c r="AX11" s="72">
        <f ca="1">IFERROR(IF(E11='Invoer gegevens'!$C$17,-'Invoer gegevens'!$C$10*'Invoer gegevens'!$C$31*Reeksen!H11,0),0)</f>
        <v>0</v>
      </c>
      <c r="AY11" s="73">
        <f ca="1">IF('Invoer gegevens'!$C$34=E11,'Invoer gegevens'!$C$27*'Invoer gegevens'!$C$10*'Invoer gegevens'!$C$36*(IF('Invoer gegevens'!$C$35="ja",1,Reeksen!J11)),IF('Invoer gegevens'!$C$34+1=E11,'Invoer gegevens'!$C$27*'Invoer gegevens'!$C$10*'Invoer gegevens'!$C$37*(IF('Invoer gegevens'!$C$35="ja",1,Reeksen!J11)),0))+IF(AND(E11='Invoer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" s="73">
        <f ca="1">AV11/(1+'Invoer gegevens'!$I$12)^($D11-('Invoer gegevens'!$C$17-'Invoer gegevens'!$C$16))/(1+'Invoer gegevens'!$C$39)^('Invoer gegevens'!$C$17-'Invoer gegevens'!$C$16)</f>
        <v>0</v>
      </c>
      <c r="BA11" s="73">
        <f ca="1">AW11/(1+'Invoer gegevens'!$I$12)^(E11-('Invoer gegevens'!$C$17-1))/(1+'Invoer gegevens'!$C$39)^('Invoer gegevens'!$C$17-'Invoer gegevens'!$C$16)</f>
        <v>0</v>
      </c>
      <c r="BB11" s="73">
        <f ca="1">AX11/(1+'Invoer gegevens'!$C$39)^('Invoer gegevens'!$C$17-'Invoer gegevens'!$C$16)</f>
        <v>0</v>
      </c>
      <c r="BC11" s="72">
        <f t="shared" ca="1" si="5"/>
        <v>0</v>
      </c>
      <c r="BD11" s="72">
        <f ca="1">IF(AND(E11='Invoer gegevens'!$C$16,'Invoer gegevens'!$C$34&lt;'Invoer gegevens'!$C$16),AY11,AY11/(1+'Invoer gegevens'!$C$39)^D11)</f>
        <v>0</v>
      </c>
      <c r="BE11" s="72">
        <f ca="1">IF(E11='Invoer gegevens'!$C$34,-'Invoer gegevens'!$I$38,0)</f>
        <v>0</v>
      </c>
      <c r="BF11" s="72">
        <f ca="1">IF(E11='Invoer gegevens'!$C$17,-'Invoer gegevens'!$C$19*$BC$66,0)</f>
        <v>0</v>
      </c>
      <c r="BG11" s="72">
        <f ca="1">AV11/(1+$BG$4)^($D11-('Invoer gegevens'!$C$17-'Invoer gegevens'!$C$16))/(1+'Invoer gegevens'!$C$39)^('Invoer gegevens'!$C$17-'Invoer gegevens'!$C$16)+AW11/(1+$BG$4)^(E11-('Invoer gegevens'!$C$17-1))/(1+'Invoer gegevens'!$C$39)^('Invoer gegevens'!$C$17-'Invoer gegevens'!$C$16)+AX11/(1+'Invoer gegevens'!$C$39)^('Invoer gegevens'!$C$17-'Invoer gegevens'!$C$16)+(-AY11/(1+'Invoer gegevens'!$C$39)^D11)+BE11+BF11</f>
        <v>0</v>
      </c>
      <c r="BH11" s="59"/>
      <c r="BJ11" s="214"/>
      <c r="BL11" s="214"/>
    </row>
    <row r="12" spans="1:91" x14ac:dyDescent="0.25">
      <c r="A12" s="59"/>
      <c r="B12" s="70">
        <f t="shared" si="6"/>
        <v>8</v>
      </c>
      <c r="C12" s="67">
        <f ca="1">IF(AND(E12&gt;='Invoer gegevens'!$C$17,E12&lt;'Invoer gegevens'!$C$17+'Invoer gegevens'!$I$14),1,0)</f>
        <v>1</v>
      </c>
      <c r="D12" s="68">
        <f t="shared" si="7"/>
        <v>7.5</v>
      </c>
      <c r="E12" s="69">
        <f ca="1">IF('Invoer gegevens'!$C$16="","",E11+1)</f>
        <v>2026</v>
      </c>
      <c r="F12" s="82">
        <f ca="1">IF('Invoer gegevens'!$C$17=E12,'Invoer gegevens'!$C$10,IF(C12=1,H11,0))</f>
        <v>0</v>
      </c>
      <c r="G12" s="83">
        <f ca="1">IF(E12='Invoer gegevens'!$C$17+'Invoer gegevens'!$I$14,H11,IF(C12&gt;=1,F12*Reeksen!C12,0))</f>
        <v>0</v>
      </c>
      <c r="H12" s="84">
        <f ca="1">IF(E12&gt;='Invoer gegevens'!$C$17+'Invoer gegevens'!$I$14,0,F12-G12)</f>
        <v>0</v>
      </c>
      <c r="I12" s="85">
        <f ca="1">IF('Invoer gegevens'!$C$17=E12,'Invoer gegevens'!$C$11,IF(C12=1,L11,0))</f>
        <v>0</v>
      </c>
      <c r="J12" s="86">
        <f ca="1">IF(E12='Invoer gegevens'!$C$17+'Invoer gegevens'!$I$14,L11,IF(C12&lt;1,0,IF(Reeksen!BG12&lt;=Reeksen!AE12,I12*Reeksen!C12,0)))</f>
        <v>0</v>
      </c>
      <c r="K12" s="86">
        <f ca="1">IF(E12='Invoer gegevens'!$C$17+'Invoer gegevens'!$I$14,L11,IF(C12&lt;1,0,IF(Reeksen!BG12&gt;Reeksen!AE12,I12*Reeksen!C12,0)))</f>
        <v>0</v>
      </c>
      <c r="L12" s="86">
        <f ca="1">IF(E12&gt;='Invoer gegevens'!$C$17+'Invoer gegevens'!$I$14,0,I12-J12-K12)</f>
        <v>0</v>
      </c>
      <c r="M12" s="85">
        <f ca="1">IF('Invoer gegevens'!$C$17=E12,'Invoer gegevens'!$C$10-'Invoer gegevens'!$C$11,IF(C12=1,P11,0))</f>
        <v>0</v>
      </c>
      <c r="N12" s="86">
        <f ca="1">IF(E12='Invoer gegevens'!$C$17+'Invoer gegevens'!$I$14,P11,IF(C12&lt;1,0,IF(Reeksen!BG12&lt;=Reeksen!AE12,M12*Reeksen!C12,0)))</f>
        <v>0</v>
      </c>
      <c r="O12" s="86">
        <f ca="1">IF(E12='Invoer gegevens'!$C$17+'Invoer gegevens'!$I$14,P11,IF(C12&lt;1,0,IF(Reeksen!BG12&gt;Reeksen!AE12,M12*Reeksen!C12,0)))</f>
        <v>0</v>
      </c>
      <c r="P12" s="86">
        <f ca="1">IF(E12&gt;='Invoer gegevens'!$C$17+'Invoer gegevens'!$I$14,0,M12-N12-O12)</f>
        <v>0</v>
      </c>
      <c r="Q12" s="82">
        <f ca="1">IF('Invoer gegevens'!$C$17=E12,I12,IF(C12=0,0,R11))</f>
        <v>0</v>
      </c>
      <c r="R12" s="84">
        <f t="shared" ca="1" si="0"/>
        <v>0</v>
      </c>
      <c r="S12" s="84">
        <f ca="1">IF('Invoer gegevens'!$C$17=E12,M12,IF(C12=0,0,T11))</f>
        <v>0</v>
      </c>
      <c r="T12" s="84">
        <f t="shared" ca="1" si="1"/>
        <v>0</v>
      </c>
      <c r="AH12" s="70"/>
      <c r="AI12" s="71">
        <f ca="1">IF(C12=1,((F12+H12)/2*Reeksen!BF12*12)+(('Invoer gegevens'!$C$10-(F12+H12)/2)*Reeksen!BG12*12),0)</f>
        <v>0</v>
      </c>
      <c r="AJ12" s="71">
        <f ca="1">-AI12*'Invoer gegevens'!$I$26</f>
        <v>0</v>
      </c>
      <c r="AK12" s="71">
        <f t="shared" ca="1" si="2"/>
        <v>0</v>
      </c>
      <c r="AL12" s="71">
        <f ca="1">IF(C12=1,(12*((F12+H12)/2)*Reeksen!AL12)+(12*('Invoer gegevens'!$C$10-(F12+H12)/2)*Reeksen!AM12),0)</f>
        <v>0</v>
      </c>
      <c r="AM12" s="71">
        <f ca="1">-AL12*'Invoer gegevens'!$F$31</f>
        <v>0</v>
      </c>
      <c r="AN12" s="71">
        <f t="shared" ca="1" si="3"/>
        <v>0</v>
      </c>
      <c r="AO12" s="71"/>
      <c r="AP12" s="71"/>
      <c r="AQ12" s="71">
        <f ca="1">-IF(C12=1,('Invoer gegevens'!$C$10*'Invoer gegevens'!$I$33)*Reeksen!J12,0)</f>
        <v>0</v>
      </c>
      <c r="AR12" s="71">
        <f ca="1">-IF(C12=1,(G12*'Invoer gegevens'!$I$34)*Reeksen!J12,0)</f>
        <v>0</v>
      </c>
      <c r="AS12" s="71">
        <f ca="1">-IF(C12=1,'Invoer gegevens'!$C$10*'Invoer gegevens'!$I$35*Reeksen!L12,0)</f>
        <v>0</v>
      </c>
      <c r="AT12" s="71">
        <f ca="1">-IF(C12=1,IF(E12='Invoer gegevens'!$C$17,'Invoer gegevens'!$C$11,Q12)*Reeksen!S12*'Invoer gegevens'!$C$18*Reeksen!P12,0)</f>
        <v>0</v>
      </c>
      <c r="AU12" s="71">
        <f ca="1">-IF(C12=1,'Invoer gegevens'!$C$10*'Invoer gegevens'!$I$36*Reeksen!H12,0)</f>
        <v>0</v>
      </c>
      <c r="AV12" s="71">
        <f t="shared" ca="1" si="4"/>
        <v>0</v>
      </c>
      <c r="AW12" s="72">
        <f ca="1">IFERROR(IF(E12='Invoer gegevens'!$C$17+'Invoer gegevens'!$I$14-1,'Invoer gegevens'!$I$13*'Invoer gegevens'!$C$10*Reeksen!H12,0),0)</f>
        <v>0</v>
      </c>
      <c r="AX12" s="72">
        <f ca="1">IFERROR(IF(E12='Invoer gegevens'!$C$17,-'Invoer gegevens'!$C$10*'Invoer gegevens'!$C$31*Reeksen!H12,0),0)</f>
        <v>0</v>
      </c>
      <c r="AY12" s="73">
        <f ca="1">IF('Invoer gegevens'!$C$34=E12,'Invoer gegevens'!$C$27*'Invoer gegevens'!$C$10*'Invoer gegevens'!$C$36*(IF('Invoer gegevens'!$C$35="ja",1,Reeksen!J12)),IF('Invoer gegevens'!$C$34+1=E12,'Invoer gegevens'!$C$27*'Invoer gegevens'!$C$10*'Invoer gegevens'!$C$37*(IF('Invoer gegevens'!$C$35="ja",1,Reeksen!J12)),0))+IF(AND(E12='Invoer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" s="73">
        <f ca="1">AV12/(1+'Invoer gegevens'!$I$12)^($D12-('Invoer gegevens'!$C$17-'Invoer gegevens'!$C$16))/(1+'Invoer gegevens'!$C$39)^('Invoer gegevens'!$C$17-'Invoer gegevens'!$C$16)</f>
        <v>0</v>
      </c>
      <c r="BA12" s="73">
        <f ca="1">AW12/(1+'Invoer gegevens'!$I$12)^(E12-('Invoer gegevens'!$C$17-1))/(1+'Invoer gegevens'!$C$39)^('Invoer gegevens'!$C$17-'Invoer gegevens'!$C$16)</f>
        <v>0</v>
      </c>
      <c r="BB12" s="73">
        <f ca="1">AX12/(1+'Invoer gegevens'!$C$39)^('Invoer gegevens'!$C$17-'Invoer gegevens'!$C$16)</f>
        <v>0</v>
      </c>
      <c r="BC12" s="72">
        <f t="shared" ca="1" si="5"/>
        <v>0</v>
      </c>
      <c r="BD12" s="72">
        <f ca="1">IF(AND(E12='Invoer gegevens'!$C$16,'Invoer gegevens'!$C$34&lt;'Invoer gegevens'!$C$16),AY12,AY12/(1+'Invoer gegevens'!$C$39)^D12)</f>
        <v>0</v>
      </c>
      <c r="BE12" s="72">
        <f ca="1">IF(E12='Invoer gegevens'!$C$34,-'Invoer gegevens'!$I$38,0)</f>
        <v>0</v>
      </c>
      <c r="BF12" s="72">
        <f ca="1">IF(E12='Invoer gegevens'!$C$17,-'Invoer gegevens'!$C$19*$BC$66,0)</f>
        <v>0</v>
      </c>
      <c r="BG12" s="72">
        <f ca="1">AV12/(1+$BG$4)^($D12-('Invoer gegevens'!$C$17-'Invoer gegevens'!$C$16))/(1+'Invoer gegevens'!$C$39)^('Invoer gegevens'!$C$17-'Invoer gegevens'!$C$16)+AW12/(1+$BG$4)^(E12-('Invoer gegevens'!$C$17-1))/(1+'Invoer gegevens'!$C$39)^('Invoer gegevens'!$C$17-'Invoer gegevens'!$C$16)+AX12/(1+'Invoer gegevens'!$C$39)^('Invoer gegevens'!$C$17-'Invoer gegevens'!$C$16)+(-AY12/(1+'Invoer gegevens'!$C$39)^D12)+BE12+BF12</f>
        <v>0</v>
      </c>
      <c r="BH12" s="59"/>
      <c r="BJ12" s="214"/>
    </row>
    <row r="13" spans="1:91" x14ac:dyDescent="0.25">
      <c r="A13" s="59"/>
      <c r="B13" s="70">
        <f t="shared" si="6"/>
        <v>9</v>
      </c>
      <c r="C13" s="67">
        <f ca="1">IF(AND(E13&gt;='Invoer gegevens'!$C$17,E13&lt;'Invoer gegevens'!$C$17+'Invoer gegevens'!$I$14),1,0)</f>
        <v>1</v>
      </c>
      <c r="D13" s="68">
        <f t="shared" si="7"/>
        <v>8.5</v>
      </c>
      <c r="E13" s="69">
        <f ca="1">IF('Invoer gegevens'!$C$16="","",E12+1)</f>
        <v>2027</v>
      </c>
      <c r="F13" s="82">
        <f ca="1">IF('Invoer gegevens'!$C$17=E13,'Invoer gegevens'!$C$10,IF(C13=1,H12,0))</f>
        <v>0</v>
      </c>
      <c r="G13" s="83">
        <f ca="1">IF(E13='Invoer gegevens'!$C$17+'Invoer gegevens'!$I$14,H12,IF(C13&gt;=1,F13*Reeksen!C13,0))</f>
        <v>0</v>
      </c>
      <c r="H13" s="84">
        <f ca="1">IF(E13&gt;='Invoer gegevens'!$C$17+'Invoer gegevens'!$I$14,0,F13-G13)</f>
        <v>0</v>
      </c>
      <c r="I13" s="85">
        <f ca="1">IF('Invoer gegevens'!$C$17=E13,'Invoer gegevens'!$C$11,IF(C13=1,L12,0))</f>
        <v>0</v>
      </c>
      <c r="J13" s="86">
        <f ca="1">IF(E13='Invoer gegevens'!$C$17+'Invoer gegevens'!$I$14,L12,IF(C13&lt;1,0,IF(Reeksen!BG13&lt;=Reeksen!AE13,I13*Reeksen!C13,0)))</f>
        <v>0</v>
      </c>
      <c r="K13" s="86">
        <f ca="1">IF(E13='Invoer gegevens'!$C$17+'Invoer gegevens'!$I$14,L12,IF(C13&lt;1,0,IF(Reeksen!BG13&gt;Reeksen!AE13,I13*Reeksen!C13,0)))</f>
        <v>0</v>
      </c>
      <c r="L13" s="86">
        <f ca="1">IF(E13&gt;='Invoer gegevens'!$C$17+'Invoer gegevens'!$I$14,0,I13-J13-K13)</f>
        <v>0</v>
      </c>
      <c r="M13" s="85">
        <f ca="1">IF('Invoer gegevens'!$C$17=E13,'Invoer gegevens'!$C$10-'Invoer gegevens'!$C$11,IF(C13=1,P12,0))</f>
        <v>0</v>
      </c>
      <c r="N13" s="86">
        <f ca="1">IF(E13='Invoer gegevens'!$C$17+'Invoer gegevens'!$I$14,P12,IF(C13&lt;1,0,IF(Reeksen!BG13&lt;=Reeksen!AE13,M13*Reeksen!C13,0)))</f>
        <v>0</v>
      </c>
      <c r="O13" s="86">
        <f ca="1">IF(E13='Invoer gegevens'!$C$17+'Invoer gegevens'!$I$14,P12,IF(C13&lt;1,0,IF(Reeksen!BG13&gt;Reeksen!AE13,M13*Reeksen!C13,0)))</f>
        <v>0</v>
      </c>
      <c r="P13" s="86">
        <f ca="1">IF(E13&gt;='Invoer gegevens'!$C$17+'Invoer gegevens'!$I$14,0,M13-N13-O13)</f>
        <v>0</v>
      </c>
      <c r="Q13" s="82">
        <f ca="1">IF('Invoer gegevens'!$C$17=E13,I13,IF(C13=0,0,R12))</f>
        <v>0</v>
      </c>
      <c r="R13" s="84">
        <f t="shared" ca="1" si="0"/>
        <v>0</v>
      </c>
      <c r="S13" s="84">
        <f ca="1">IF('Invoer gegevens'!$C$17=E13,M13,IF(C13=0,0,T12))</f>
        <v>0</v>
      </c>
      <c r="T13" s="84">
        <f t="shared" ca="1" si="1"/>
        <v>0</v>
      </c>
      <c r="AH13" s="70"/>
      <c r="AI13" s="71">
        <f ca="1">IF(C13=1,((F13+H13)/2*Reeksen!BF13*12)+(('Invoer gegevens'!$C$10-(F13+H13)/2)*Reeksen!BG13*12),0)</f>
        <v>0</v>
      </c>
      <c r="AJ13" s="71">
        <f ca="1">-AI13*'Invoer gegevens'!$I$26</f>
        <v>0</v>
      </c>
      <c r="AK13" s="71">
        <f t="shared" ca="1" si="2"/>
        <v>0</v>
      </c>
      <c r="AL13" s="71">
        <f ca="1">IF(C13=1,(12*((F13+H13)/2)*Reeksen!AL13)+(12*('Invoer gegevens'!$C$10-(F13+H13)/2)*Reeksen!AM13),0)</f>
        <v>0</v>
      </c>
      <c r="AM13" s="71">
        <f ca="1">-AL13*'Invoer gegevens'!$F$31</f>
        <v>0</v>
      </c>
      <c r="AN13" s="71">
        <f t="shared" ca="1" si="3"/>
        <v>0</v>
      </c>
      <c r="AO13" s="71"/>
      <c r="AP13" s="71"/>
      <c r="AQ13" s="71">
        <f ca="1">-IF(C13=1,('Invoer gegevens'!$C$10*'Invoer gegevens'!$I$33)*Reeksen!J13,0)</f>
        <v>0</v>
      </c>
      <c r="AR13" s="71">
        <f ca="1">-IF(C13=1,(G13*'Invoer gegevens'!$I$34)*Reeksen!J13,0)</f>
        <v>0</v>
      </c>
      <c r="AS13" s="71">
        <f ca="1">-IF(C13=1,'Invoer gegevens'!$C$10*'Invoer gegevens'!$I$35*Reeksen!L13,0)</f>
        <v>0</v>
      </c>
      <c r="AT13" s="71">
        <f ca="1">-IF(C13=1,IF(E13='Invoer gegevens'!$C$17,'Invoer gegevens'!$C$11,Q13)*Reeksen!S13*'Invoer gegevens'!$C$18*Reeksen!P13,0)</f>
        <v>0</v>
      </c>
      <c r="AU13" s="71">
        <f ca="1">-IF(C13=1,'Invoer gegevens'!$C$10*'Invoer gegevens'!$I$36*Reeksen!H13,0)</f>
        <v>0</v>
      </c>
      <c r="AV13" s="71">
        <f t="shared" ca="1" si="4"/>
        <v>0</v>
      </c>
      <c r="AW13" s="72">
        <f ca="1">IFERROR(IF(E13='Invoer gegevens'!$C$17+'Invoer gegevens'!$I$14-1,'Invoer gegevens'!$I$13*'Invoer gegevens'!$C$10*Reeksen!H13,0),0)</f>
        <v>0</v>
      </c>
      <c r="AX13" s="72">
        <f ca="1">IFERROR(IF(E13='Invoer gegevens'!$C$17,-'Invoer gegevens'!$C$10*'Invoer gegevens'!$C$31*Reeksen!H13,0),0)</f>
        <v>0</v>
      </c>
      <c r="AY13" s="73">
        <f ca="1">IF('Invoer gegevens'!$C$34=E13,'Invoer gegevens'!$C$27*'Invoer gegevens'!$C$10*'Invoer gegevens'!$C$36*(IF('Invoer gegevens'!$C$35="ja",1,Reeksen!J13)),IF('Invoer gegevens'!$C$34+1=E13,'Invoer gegevens'!$C$27*'Invoer gegevens'!$C$10*'Invoer gegevens'!$C$37*(IF('Invoer gegevens'!$C$35="ja",1,Reeksen!J13)),0))+IF(AND(E13='Invoer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3" s="73">
        <f ca="1">AV13/(1+'Invoer gegevens'!$I$12)^($D13-('Invoer gegevens'!$C$17-'Invoer gegevens'!$C$16))/(1+'Invoer gegevens'!$C$39)^('Invoer gegevens'!$C$17-'Invoer gegevens'!$C$16)</f>
        <v>0</v>
      </c>
      <c r="BA13" s="73">
        <f ca="1">AW13/(1+'Invoer gegevens'!$I$12)^(E13-('Invoer gegevens'!$C$17-1))/(1+'Invoer gegevens'!$C$39)^('Invoer gegevens'!$C$17-'Invoer gegevens'!$C$16)</f>
        <v>0</v>
      </c>
      <c r="BB13" s="73">
        <f ca="1">AX13/(1+'Invoer gegevens'!$C$39)^('Invoer gegevens'!$C$17-'Invoer gegevens'!$C$16)</f>
        <v>0</v>
      </c>
      <c r="BC13" s="72">
        <f t="shared" ca="1" si="5"/>
        <v>0</v>
      </c>
      <c r="BD13" s="72">
        <f ca="1">IF(AND(E13='Invoer gegevens'!$C$16,'Invoer gegevens'!$C$34&lt;'Invoer gegevens'!$C$16),AY13,AY13/(1+'Invoer gegevens'!$C$39)^D13)</f>
        <v>0</v>
      </c>
      <c r="BE13" s="72">
        <f ca="1">IF(E13='Invoer gegevens'!$C$34,-'Invoer gegevens'!$I$38,0)</f>
        <v>0</v>
      </c>
      <c r="BF13" s="72">
        <f ca="1">IF(E13='Invoer gegevens'!$C$17,-'Invoer gegevens'!$C$19*$BC$66,0)</f>
        <v>0</v>
      </c>
      <c r="BG13" s="72">
        <f ca="1">AV13/(1+$BG$4)^($D13-('Invoer gegevens'!$C$17-'Invoer gegevens'!$C$16))/(1+'Invoer gegevens'!$C$39)^('Invoer gegevens'!$C$17-'Invoer gegevens'!$C$16)+AW13/(1+$BG$4)^(E13-('Invoer gegevens'!$C$17-1))/(1+'Invoer gegevens'!$C$39)^('Invoer gegevens'!$C$17-'Invoer gegevens'!$C$16)+AX13/(1+'Invoer gegevens'!$C$39)^('Invoer gegevens'!$C$17-'Invoer gegevens'!$C$16)+(-AY13/(1+'Invoer gegevens'!$C$39)^D13)+BE13+BF13</f>
        <v>0</v>
      </c>
      <c r="BH13" s="59"/>
      <c r="BJ13" s="214"/>
    </row>
    <row r="14" spans="1:91" x14ac:dyDescent="0.25">
      <c r="A14" s="59"/>
      <c r="B14" s="70">
        <f t="shared" si="6"/>
        <v>10</v>
      </c>
      <c r="C14" s="67">
        <f ca="1">IF(AND(E14&gt;='Invoer gegevens'!$C$17,E14&lt;'Invoer gegevens'!$C$17+'Invoer gegevens'!$I$14),1,0)</f>
        <v>1</v>
      </c>
      <c r="D14" s="68">
        <f t="shared" si="7"/>
        <v>9.5</v>
      </c>
      <c r="E14" s="69">
        <f ca="1">IF('Invoer gegevens'!$C$16="","",E13+1)</f>
        <v>2028</v>
      </c>
      <c r="F14" s="82">
        <f ca="1">IF('Invoer gegevens'!$C$17=E14,'Invoer gegevens'!$C$10,IF(C14=1,H13,0))</f>
        <v>0</v>
      </c>
      <c r="G14" s="83">
        <f ca="1">IF(E14='Invoer gegevens'!$C$17+'Invoer gegevens'!$I$14,H13,IF(C14&gt;=1,F14*Reeksen!C14,0))</f>
        <v>0</v>
      </c>
      <c r="H14" s="84">
        <f ca="1">IF(E14&gt;='Invoer gegevens'!$C$17+'Invoer gegevens'!$I$14,0,F14-G14)</f>
        <v>0</v>
      </c>
      <c r="I14" s="85">
        <f ca="1">IF('Invoer gegevens'!$C$17=E14,'Invoer gegevens'!$C$11,IF(C14=1,L13,0))</f>
        <v>0</v>
      </c>
      <c r="J14" s="86">
        <f ca="1">IF(E14='Invoer gegevens'!$C$17+'Invoer gegevens'!$I$14,L13,IF(C14&lt;1,0,IF(Reeksen!BG14&lt;=Reeksen!AE14,I14*Reeksen!C14,0)))</f>
        <v>0</v>
      </c>
      <c r="K14" s="86">
        <f ca="1">IF(E14='Invoer gegevens'!$C$17+'Invoer gegevens'!$I$14,L13,IF(C14&lt;1,0,IF(Reeksen!BG14&gt;Reeksen!AE14,I14*Reeksen!C14,0)))</f>
        <v>0</v>
      </c>
      <c r="L14" s="86">
        <f ca="1">IF(E14&gt;='Invoer gegevens'!$C$17+'Invoer gegevens'!$I$14,0,I14-J14-K14)</f>
        <v>0</v>
      </c>
      <c r="M14" s="85">
        <f ca="1">IF('Invoer gegevens'!$C$17=E14,'Invoer gegevens'!$C$10-'Invoer gegevens'!$C$11,IF(C14=1,P13,0))</f>
        <v>0</v>
      </c>
      <c r="N14" s="86">
        <f ca="1">IF(E14='Invoer gegevens'!$C$17+'Invoer gegevens'!$I$14,P13,IF(C14&lt;1,0,IF(Reeksen!BG14&lt;=Reeksen!AE14,M14*Reeksen!C14,0)))</f>
        <v>0</v>
      </c>
      <c r="O14" s="86">
        <f ca="1">IF(E14='Invoer gegevens'!$C$17+'Invoer gegevens'!$I$14,P13,IF(C14&lt;1,0,IF(Reeksen!BG14&gt;Reeksen!AE14,M14*Reeksen!C14,0)))</f>
        <v>0</v>
      </c>
      <c r="P14" s="86">
        <f ca="1">IF(E14&gt;='Invoer gegevens'!$C$17+'Invoer gegevens'!$I$14,0,M14-N14-O14)</f>
        <v>0</v>
      </c>
      <c r="Q14" s="82">
        <f ca="1">IF('Invoer gegevens'!$C$17=E14,I14,IF(C14=0,0,R13))</f>
        <v>0</v>
      </c>
      <c r="R14" s="84">
        <f t="shared" ca="1" si="0"/>
        <v>0</v>
      </c>
      <c r="S14" s="84">
        <f ca="1">IF('Invoer gegevens'!$C$17=E14,M14,IF(C14=0,0,T13))</f>
        <v>0</v>
      </c>
      <c r="T14" s="84">
        <f t="shared" ca="1" si="1"/>
        <v>0</v>
      </c>
      <c r="AH14" s="70"/>
      <c r="AI14" s="71">
        <f ca="1">IF(C14=1,((F14+H14)/2*Reeksen!BF14*12)+(('Invoer gegevens'!$C$10-(F14+H14)/2)*Reeksen!BG14*12),0)</f>
        <v>0</v>
      </c>
      <c r="AJ14" s="71">
        <f ca="1">-AI14*'Invoer gegevens'!$I$26</f>
        <v>0</v>
      </c>
      <c r="AK14" s="71">
        <f t="shared" ca="1" si="2"/>
        <v>0</v>
      </c>
      <c r="AL14" s="71">
        <f ca="1">IF(C14=1,(12*((F14+H14)/2)*Reeksen!AL14)+(12*('Invoer gegevens'!$C$10-(F14+H14)/2)*Reeksen!AM14),0)</f>
        <v>0</v>
      </c>
      <c r="AM14" s="71">
        <f ca="1">-AL14*'Invoer gegevens'!$F$31</f>
        <v>0</v>
      </c>
      <c r="AN14" s="71">
        <f t="shared" ca="1" si="3"/>
        <v>0</v>
      </c>
      <c r="AO14" s="71"/>
      <c r="AP14" s="71"/>
      <c r="AQ14" s="71">
        <f ca="1">-IF(C14=1,('Invoer gegevens'!$C$10*'Invoer gegevens'!$I$33)*Reeksen!J14,0)</f>
        <v>0</v>
      </c>
      <c r="AR14" s="71">
        <f ca="1">-IF(C14=1,(G14*'Invoer gegevens'!$I$34)*Reeksen!J14,0)</f>
        <v>0</v>
      </c>
      <c r="AS14" s="71">
        <f ca="1">-IF(C14=1,'Invoer gegevens'!$C$10*'Invoer gegevens'!$I$35*Reeksen!L14,0)</f>
        <v>0</v>
      </c>
      <c r="AT14" s="71">
        <f ca="1">-IF(C14=1,IF(E14='Invoer gegevens'!$C$17,'Invoer gegevens'!$C$11,Q14)*Reeksen!S14*'Invoer gegevens'!$C$18*Reeksen!P14,0)</f>
        <v>0</v>
      </c>
      <c r="AU14" s="71">
        <f ca="1">-IF(C14=1,'Invoer gegevens'!$C$10*'Invoer gegevens'!$I$36*Reeksen!H14,0)</f>
        <v>0</v>
      </c>
      <c r="AV14" s="71">
        <f t="shared" ca="1" si="4"/>
        <v>0</v>
      </c>
      <c r="AW14" s="72">
        <f ca="1">IFERROR(IF(E14='Invoer gegevens'!$C$17+'Invoer gegevens'!$I$14-1,'Invoer gegevens'!$I$13*'Invoer gegevens'!$C$10*Reeksen!H14,0),0)</f>
        <v>0</v>
      </c>
      <c r="AX14" s="72">
        <f ca="1">IFERROR(IF(E14='Invoer gegevens'!$C$17,-'Invoer gegevens'!$C$10*'Invoer gegevens'!$C$31*Reeksen!H14,0),0)</f>
        <v>0</v>
      </c>
      <c r="AY14" s="73">
        <f ca="1">IF('Invoer gegevens'!$C$34=E14,'Invoer gegevens'!$C$27*'Invoer gegevens'!$C$10*'Invoer gegevens'!$C$36*(IF('Invoer gegevens'!$C$35="ja",1,Reeksen!J14)),IF('Invoer gegevens'!$C$34+1=E14,'Invoer gegevens'!$C$27*'Invoer gegevens'!$C$10*'Invoer gegevens'!$C$37*(IF('Invoer gegevens'!$C$35="ja",1,Reeksen!J14)),0))+IF(AND(E14='Invoer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4" s="73">
        <f ca="1">AV14/(1+'Invoer gegevens'!$I$12)^($D14-('Invoer gegevens'!$C$17-'Invoer gegevens'!$C$16))/(1+'Invoer gegevens'!$C$39)^('Invoer gegevens'!$C$17-'Invoer gegevens'!$C$16)</f>
        <v>0</v>
      </c>
      <c r="BA14" s="73">
        <f ca="1">AW14/(1+'Invoer gegevens'!$I$12)^(E14-('Invoer gegevens'!$C$17-1))/(1+'Invoer gegevens'!$C$39)^('Invoer gegevens'!$C$17-'Invoer gegevens'!$C$16)</f>
        <v>0</v>
      </c>
      <c r="BB14" s="73">
        <f ca="1">AX14/(1+'Invoer gegevens'!$C$39)^('Invoer gegevens'!$C$17-'Invoer gegevens'!$C$16)</f>
        <v>0</v>
      </c>
      <c r="BC14" s="72">
        <f t="shared" ca="1" si="5"/>
        <v>0</v>
      </c>
      <c r="BD14" s="72">
        <f ca="1">IF(AND(E14='Invoer gegevens'!$C$16,'Invoer gegevens'!$C$34&lt;'Invoer gegevens'!$C$16),AY14,AY14/(1+'Invoer gegevens'!$C$39)^D14)</f>
        <v>0</v>
      </c>
      <c r="BE14" s="72">
        <f ca="1">IF(E14='Invoer gegevens'!$C$34,-'Invoer gegevens'!$I$38,0)</f>
        <v>0</v>
      </c>
      <c r="BF14" s="72">
        <f ca="1">IF(E14='Invoer gegevens'!$C$17,-'Invoer gegevens'!$C$19*$BC$66,0)</f>
        <v>0</v>
      </c>
      <c r="BG14" s="72">
        <f ca="1">AV14/(1+$BG$4)^($D14-('Invoer gegevens'!$C$17-'Invoer gegevens'!$C$16))/(1+'Invoer gegevens'!$C$39)^('Invoer gegevens'!$C$17-'Invoer gegevens'!$C$16)+AW14/(1+$BG$4)^(E14-('Invoer gegevens'!$C$17-1))/(1+'Invoer gegevens'!$C$39)^('Invoer gegevens'!$C$17-'Invoer gegevens'!$C$16)+AX14/(1+'Invoer gegevens'!$C$39)^('Invoer gegevens'!$C$17-'Invoer gegevens'!$C$16)+(-AY14/(1+'Invoer gegevens'!$C$39)^D14)+BE14+BF14</f>
        <v>0</v>
      </c>
      <c r="BH14" s="59"/>
      <c r="BJ14" s="214"/>
    </row>
    <row r="15" spans="1:91" x14ac:dyDescent="0.25">
      <c r="A15" s="59"/>
      <c r="B15" s="70">
        <f t="shared" si="6"/>
        <v>11</v>
      </c>
      <c r="C15" s="67">
        <f ca="1">IF(AND(E15&gt;='Invoer gegevens'!$C$17,E15&lt;'Invoer gegevens'!$C$17+'Invoer gegevens'!$I$14),1,0)</f>
        <v>1</v>
      </c>
      <c r="D15" s="68">
        <f t="shared" si="7"/>
        <v>10.5</v>
      </c>
      <c r="E15" s="69">
        <f ca="1">IF('Invoer gegevens'!$C$16="","",E14+1)</f>
        <v>2029</v>
      </c>
      <c r="F15" s="82">
        <f ca="1">IF('Invoer gegevens'!$C$17=E15,'Invoer gegevens'!$C$10,IF(C15=1,H14,0))</f>
        <v>0</v>
      </c>
      <c r="G15" s="83">
        <f ca="1">IF(E15='Invoer gegevens'!$C$17+'Invoer gegevens'!$I$14,H14,IF(C15&gt;=1,F15*Reeksen!C15,0))</f>
        <v>0</v>
      </c>
      <c r="H15" s="84">
        <f ca="1">IF(E15&gt;='Invoer gegevens'!$C$17+'Invoer gegevens'!$I$14,0,F15-G15)</f>
        <v>0</v>
      </c>
      <c r="I15" s="85">
        <f ca="1">IF('Invoer gegevens'!$C$17=E15,'Invoer gegevens'!$C$11,IF(C15=1,L14,0))</f>
        <v>0</v>
      </c>
      <c r="J15" s="86">
        <f ca="1">IF(E15='Invoer gegevens'!$C$17+'Invoer gegevens'!$I$14,L14,IF(C15&lt;1,0,IF(Reeksen!BG15&lt;=Reeksen!AE15,I15*Reeksen!C15,0)))</f>
        <v>0</v>
      </c>
      <c r="K15" s="86">
        <f ca="1">IF(E15='Invoer gegevens'!$C$17+'Invoer gegevens'!$I$14,L14,IF(C15&lt;1,0,IF(Reeksen!BG15&gt;Reeksen!AE15,I15*Reeksen!C15,0)))</f>
        <v>0</v>
      </c>
      <c r="L15" s="86">
        <f ca="1">IF(E15&gt;='Invoer gegevens'!$C$17+'Invoer gegevens'!$I$14,0,I15-J15-K15)</f>
        <v>0</v>
      </c>
      <c r="M15" s="85">
        <f ca="1">IF('Invoer gegevens'!$C$17=E15,'Invoer gegevens'!$C$10-'Invoer gegevens'!$C$11,IF(C15=1,P14,0))</f>
        <v>0</v>
      </c>
      <c r="N15" s="86">
        <f ca="1">IF(E15='Invoer gegevens'!$C$17+'Invoer gegevens'!$I$14,P14,IF(C15&lt;1,0,IF(Reeksen!BG15&lt;=Reeksen!AE15,M15*Reeksen!C15,0)))</f>
        <v>0</v>
      </c>
      <c r="O15" s="86">
        <f ca="1">IF(E15='Invoer gegevens'!$C$17+'Invoer gegevens'!$I$14,P14,IF(C15&lt;1,0,IF(Reeksen!BG15&gt;Reeksen!AE15,M15*Reeksen!C15,0)))</f>
        <v>0</v>
      </c>
      <c r="P15" s="86">
        <f ca="1">IF(E15&gt;='Invoer gegevens'!$C$17+'Invoer gegevens'!$I$14,0,M15-N15-O15)</f>
        <v>0</v>
      </c>
      <c r="Q15" s="82">
        <f ca="1">IF('Invoer gegevens'!$C$17=E15,I15,IF(C15=0,0,R14))</f>
        <v>0</v>
      </c>
      <c r="R15" s="84">
        <f t="shared" ca="1" si="0"/>
        <v>0</v>
      </c>
      <c r="S15" s="84">
        <f ca="1">IF('Invoer gegevens'!$C$17=E15,M15,IF(C15=0,0,T14))</f>
        <v>0</v>
      </c>
      <c r="T15" s="84">
        <f t="shared" ca="1" si="1"/>
        <v>0</v>
      </c>
      <c r="AH15" s="70"/>
      <c r="AI15" s="71">
        <f ca="1">IF(C15=1,((F15+H15)/2*Reeksen!BF15*12)+(('Invoer gegevens'!$C$10-(F15+H15)/2)*Reeksen!BG15*12),0)</f>
        <v>0</v>
      </c>
      <c r="AJ15" s="71">
        <f ca="1">-AI15*'Invoer gegevens'!$I$26</f>
        <v>0</v>
      </c>
      <c r="AK15" s="71">
        <f t="shared" ca="1" si="2"/>
        <v>0</v>
      </c>
      <c r="AL15" s="71">
        <f ca="1">IF(C15=1,(12*((F15+H15)/2)*Reeksen!AL15)+(12*('Invoer gegevens'!$C$10-(F15+H15)/2)*Reeksen!AM15),0)</f>
        <v>0</v>
      </c>
      <c r="AM15" s="71">
        <f ca="1">-AL15*'Invoer gegevens'!$F$31</f>
        <v>0</v>
      </c>
      <c r="AN15" s="71">
        <f t="shared" ca="1" si="3"/>
        <v>0</v>
      </c>
      <c r="AO15" s="71"/>
      <c r="AP15" s="71"/>
      <c r="AQ15" s="71">
        <f ca="1">-IF(C15=1,('Invoer gegevens'!$C$10*'Invoer gegevens'!$I$33)*Reeksen!J15,0)</f>
        <v>0</v>
      </c>
      <c r="AR15" s="71">
        <f ca="1">-IF(C15=1,(G15*'Invoer gegevens'!$I$34)*Reeksen!J15,0)</f>
        <v>0</v>
      </c>
      <c r="AS15" s="71">
        <f ca="1">-IF(C15=1,'Invoer gegevens'!$C$10*'Invoer gegevens'!$I$35*Reeksen!L15,0)</f>
        <v>0</v>
      </c>
      <c r="AT15" s="71">
        <f ca="1">-IF(C15=1,IF(E15='Invoer gegevens'!$C$17,'Invoer gegevens'!$C$11,Q15)*Reeksen!S15*'Invoer gegevens'!$C$18*Reeksen!P15,0)</f>
        <v>0</v>
      </c>
      <c r="AU15" s="71">
        <f ca="1">-IF(C15=1,'Invoer gegevens'!$C$10*'Invoer gegevens'!$I$36*Reeksen!H15,0)</f>
        <v>0</v>
      </c>
      <c r="AV15" s="71">
        <f t="shared" ca="1" si="4"/>
        <v>0</v>
      </c>
      <c r="AW15" s="72">
        <f ca="1">IFERROR(IF(E15='Invoer gegevens'!$C$17+'Invoer gegevens'!$I$14-1,'Invoer gegevens'!$I$13*'Invoer gegevens'!$C$10*Reeksen!H15,0),0)</f>
        <v>0</v>
      </c>
      <c r="AX15" s="72">
        <f ca="1">IFERROR(IF(E15='Invoer gegevens'!$C$17,-'Invoer gegevens'!$C$10*'Invoer gegevens'!$C$31*Reeksen!H15,0),0)</f>
        <v>0</v>
      </c>
      <c r="AY15" s="73">
        <f ca="1">IF('Invoer gegevens'!$C$34=E15,'Invoer gegevens'!$C$27*'Invoer gegevens'!$C$10*'Invoer gegevens'!$C$36*(IF('Invoer gegevens'!$C$35="ja",1,Reeksen!J15)),IF('Invoer gegevens'!$C$34+1=E15,'Invoer gegevens'!$C$27*'Invoer gegevens'!$C$10*'Invoer gegevens'!$C$37*(IF('Invoer gegevens'!$C$35="ja",1,Reeksen!J15)),0))+IF(AND(E15='Invoer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5" s="73">
        <f ca="1">AV15/(1+'Invoer gegevens'!$I$12)^($D15-('Invoer gegevens'!$C$17-'Invoer gegevens'!$C$16))/(1+'Invoer gegevens'!$C$39)^('Invoer gegevens'!$C$17-'Invoer gegevens'!$C$16)</f>
        <v>0</v>
      </c>
      <c r="BA15" s="73">
        <f ca="1">AW15/(1+'Invoer gegevens'!$I$12)^(E15-('Invoer gegevens'!$C$17-1))/(1+'Invoer gegevens'!$C$39)^('Invoer gegevens'!$C$17-'Invoer gegevens'!$C$16)</f>
        <v>0</v>
      </c>
      <c r="BB15" s="73">
        <f ca="1">AX15/(1+'Invoer gegevens'!$C$39)^('Invoer gegevens'!$C$17-'Invoer gegevens'!$C$16)</f>
        <v>0</v>
      </c>
      <c r="BC15" s="72">
        <f t="shared" ca="1" si="5"/>
        <v>0</v>
      </c>
      <c r="BD15" s="72">
        <f ca="1">IF(AND(E15='Invoer gegevens'!$C$16,'Invoer gegevens'!$C$34&lt;'Invoer gegevens'!$C$16),AY15,AY15/(1+'Invoer gegevens'!$C$39)^D15)</f>
        <v>0</v>
      </c>
      <c r="BE15" s="72">
        <f ca="1">IF(E15='Invoer gegevens'!$C$34,-'Invoer gegevens'!$I$38,0)</f>
        <v>0</v>
      </c>
      <c r="BF15" s="72">
        <f ca="1">IF(E15='Invoer gegevens'!$C$17,-'Invoer gegevens'!$C$19*$BC$66,0)</f>
        <v>0</v>
      </c>
      <c r="BG15" s="72">
        <f ca="1">AV15/(1+$BG$4)^($D15-('Invoer gegevens'!$C$17-'Invoer gegevens'!$C$16))/(1+'Invoer gegevens'!$C$39)^('Invoer gegevens'!$C$17-'Invoer gegevens'!$C$16)+AW15/(1+$BG$4)^(E15-('Invoer gegevens'!$C$17-1))/(1+'Invoer gegevens'!$C$39)^('Invoer gegevens'!$C$17-'Invoer gegevens'!$C$16)+AX15/(1+'Invoer gegevens'!$C$39)^('Invoer gegevens'!$C$17-'Invoer gegevens'!$C$16)+(-AY15/(1+'Invoer gegevens'!$C$39)^D15)+BE15+BF15</f>
        <v>0</v>
      </c>
      <c r="BH15" s="59"/>
      <c r="BJ15" s="214"/>
    </row>
    <row r="16" spans="1:91" x14ac:dyDescent="0.25">
      <c r="A16" s="59"/>
      <c r="B16" s="70">
        <f t="shared" si="6"/>
        <v>12</v>
      </c>
      <c r="C16" s="67">
        <f ca="1">IF(AND(E16&gt;='Invoer gegevens'!$C$17,E16&lt;'Invoer gegevens'!$C$17+'Invoer gegevens'!$I$14),1,0)</f>
        <v>1</v>
      </c>
      <c r="D16" s="68">
        <f t="shared" si="7"/>
        <v>11.5</v>
      </c>
      <c r="E16" s="69">
        <f ca="1">IF('Invoer gegevens'!$C$16="","",E15+1)</f>
        <v>2030</v>
      </c>
      <c r="F16" s="82">
        <f ca="1">IF('Invoer gegevens'!$C$17=E16,'Invoer gegevens'!$C$10,IF(C16=1,H15,0))</f>
        <v>0</v>
      </c>
      <c r="G16" s="83">
        <f ca="1">IF(E16='Invoer gegevens'!$C$17+'Invoer gegevens'!$I$14,H15,IF(C16&gt;=1,F16*Reeksen!C16,0))</f>
        <v>0</v>
      </c>
      <c r="H16" s="84">
        <f ca="1">IF(E16&gt;='Invoer gegevens'!$C$17+'Invoer gegevens'!$I$14,0,F16-G16)</f>
        <v>0</v>
      </c>
      <c r="I16" s="85">
        <f ca="1">IF('Invoer gegevens'!$C$17=E16,'Invoer gegevens'!$C$11,IF(C16=1,L15,0))</f>
        <v>0</v>
      </c>
      <c r="J16" s="86">
        <f ca="1">IF(E16='Invoer gegevens'!$C$17+'Invoer gegevens'!$I$14,L15,IF(C16&lt;1,0,IF(Reeksen!BG16&lt;=Reeksen!AE16,I16*Reeksen!C16,0)))</f>
        <v>0</v>
      </c>
      <c r="K16" s="86">
        <f ca="1">IF(E16='Invoer gegevens'!$C$17+'Invoer gegevens'!$I$14,L15,IF(C16&lt;1,0,IF(Reeksen!BG16&gt;Reeksen!AE16,I16*Reeksen!C16,0)))</f>
        <v>0</v>
      </c>
      <c r="L16" s="86">
        <f ca="1">IF(E16&gt;='Invoer gegevens'!$C$17+'Invoer gegevens'!$I$14,0,I16-J16-K16)</f>
        <v>0</v>
      </c>
      <c r="M16" s="85">
        <f ca="1">IF('Invoer gegevens'!$C$17=E16,'Invoer gegevens'!$C$10-'Invoer gegevens'!$C$11,IF(C16=1,P15,0))</f>
        <v>0</v>
      </c>
      <c r="N16" s="86">
        <f ca="1">IF(E16='Invoer gegevens'!$C$17+'Invoer gegevens'!$I$14,P15,IF(C16&lt;1,0,IF(Reeksen!BG16&lt;=Reeksen!AE16,M16*Reeksen!C16,0)))</f>
        <v>0</v>
      </c>
      <c r="O16" s="86">
        <f ca="1">IF(E16='Invoer gegevens'!$C$17+'Invoer gegevens'!$I$14,P15,IF(C16&lt;1,0,IF(Reeksen!BG16&gt;Reeksen!AE16,M16*Reeksen!C16,0)))</f>
        <v>0</v>
      </c>
      <c r="P16" s="86">
        <f ca="1">IF(E16&gt;='Invoer gegevens'!$C$17+'Invoer gegevens'!$I$14,0,M16-N16-O16)</f>
        <v>0</v>
      </c>
      <c r="Q16" s="82">
        <f ca="1">IF('Invoer gegevens'!$C$17=E16,I16,IF(C16=0,0,R15))</f>
        <v>0</v>
      </c>
      <c r="R16" s="84">
        <f t="shared" ca="1" si="0"/>
        <v>0</v>
      </c>
      <c r="S16" s="84">
        <f ca="1">IF('Invoer gegevens'!$C$17=E16,M16,IF(C16=0,0,T15))</f>
        <v>0</v>
      </c>
      <c r="T16" s="84">
        <f t="shared" ca="1" si="1"/>
        <v>0</v>
      </c>
      <c r="AH16" s="70"/>
      <c r="AI16" s="71">
        <f ca="1">IF(C16=1,((F16+H16)/2*Reeksen!BF16*12)+(('Invoer gegevens'!$C$10-(F16+H16)/2)*Reeksen!BG16*12),0)</f>
        <v>0</v>
      </c>
      <c r="AJ16" s="71">
        <f ca="1">-AI16*'Invoer gegevens'!$I$26</f>
        <v>0</v>
      </c>
      <c r="AK16" s="71">
        <f t="shared" ca="1" si="2"/>
        <v>0</v>
      </c>
      <c r="AL16" s="71">
        <f ca="1">IF(C16=1,(12*((F16+H16)/2)*Reeksen!AL16)+(12*('Invoer gegevens'!$C$10-(F16+H16)/2)*Reeksen!AM16),0)</f>
        <v>0</v>
      </c>
      <c r="AM16" s="71">
        <f ca="1">-AL16*'Invoer gegevens'!$F$31</f>
        <v>0</v>
      </c>
      <c r="AN16" s="71">
        <f t="shared" ca="1" si="3"/>
        <v>0</v>
      </c>
      <c r="AO16" s="71"/>
      <c r="AP16" s="71"/>
      <c r="AQ16" s="71">
        <f ca="1">-IF(C16=1,('Invoer gegevens'!$C$10*'Invoer gegevens'!$I$33)*Reeksen!J16,0)</f>
        <v>0</v>
      </c>
      <c r="AR16" s="71">
        <f ca="1">-IF(C16=1,(G16*'Invoer gegevens'!$I$34)*Reeksen!J16,0)</f>
        <v>0</v>
      </c>
      <c r="AS16" s="71">
        <f ca="1">-IF(C16=1,'Invoer gegevens'!$C$10*'Invoer gegevens'!$I$35*Reeksen!L16,0)</f>
        <v>0</v>
      </c>
      <c r="AT16" s="71">
        <f ca="1">-IF(C16=1,IF(E16='Invoer gegevens'!$C$17,'Invoer gegevens'!$C$11,Q16)*Reeksen!S16*'Invoer gegevens'!$C$18*Reeksen!P16,0)</f>
        <v>0</v>
      </c>
      <c r="AU16" s="71">
        <f ca="1">-IF(C16=1,'Invoer gegevens'!$C$10*'Invoer gegevens'!$I$36*Reeksen!H16,0)</f>
        <v>0</v>
      </c>
      <c r="AV16" s="71">
        <f t="shared" ca="1" si="4"/>
        <v>0</v>
      </c>
      <c r="AW16" s="72">
        <f ca="1">IFERROR(IF(E16='Invoer gegevens'!$C$17+'Invoer gegevens'!$I$14-1,'Invoer gegevens'!$I$13*'Invoer gegevens'!$C$10*Reeksen!H16,0),0)</f>
        <v>0</v>
      </c>
      <c r="AX16" s="72">
        <f ca="1">IFERROR(IF(E16='Invoer gegevens'!$C$17,-'Invoer gegevens'!$C$10*'Invoer gegevens'!$C$31*Reeksen!H16,0),0)</f>
        <v>0</v>
      </c>
      <c r="AY16" s="73">
        <f ca="1">IF('Invoer gegevens'!$C$34=E16,'Invoer gegevens'!$C$27*'Invoer gegevens'!$C$10*'Invoer gegevens'!$C$36*(IF('Invoer gegevens'!$C$35="ja",1,Reeksen!J16)),IF('Invoer gegevens'!$C$34+1=E16,'Invoer gegevens'!$C$27*'Invoer gegevens'!$C$10*'Invoer gegevens'!$C$37*(IF('Invoer gegevens'!$C$35="ja",1,Reeksen!J16)),0))+IF(AND(E16='Invoer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6" s="73">
        <f ca="1">AV16/(1+'Invoer gegevens'!$I$12)^($D16-('Invoer gegevens'!$C$17-'Invoer gegevens'!$C$16))/(1+'Invoer gegevens'!$C$39)^('Invoer gegevens'!$C$17-'Invoer gegevens'!$C$16)</f>
        <v>0</v>
      </c>
      <c r="BA16" s="73">
        <f ca="1">AW16/(1+'Invoer gegevens'!$I$12)^(E16-('Invoer gegevens'!$C$17-1))/(1+'Invoer gegevens'!$C$39)^('Invoer gegevens'!$C$17-'Invoer gegevens'!$C$16)</f>
        <v>0</v>
      </c>
      <c r="BB16" s="73">
        <f ca="1">AX16/(1+'Invoer gegevens'!$C$39)^('Invoer gegevens'!$C$17-'Invoer gegevens'!$C$16)</f>
        <v>0</v>
      </c>
      <c r="BC16" s="72">
        <f t="shared" ca="1" si="5"/>
        <v>0</v>
      </c>
      <c r="BD16" s="72">
        <f ca="1">IF(AND(E16='Invoer gegevens'!$C$16,'Invoer gegevens'!$C$34&lt;'Invoer gegevens'!$C$16),AY16,AY16/(1+'Invoer gegevens'!$C$39)^D16)</f>
        <v>0</v>
      </c>
      <c r="BE16" s="72">
        <f ca="1">IF(E16='Invoer gegevens'!$C$34,-'Invoer gegevens'!$I$38,0)</f>
        <v>0</v>
      </c>
      <c r="BF16" s="72">
        <f ca="1">IF(E16='Invoer gegevens'!$C$17,-'Invoer gegevens'!$C$19*$BC$66,0)</f>
        <v>0</v>
      </c>
      <c r="BG16" s="72">
        <f ca="1">AV16/(1+$BG$4)^($D16-('Invoer gegevens'!$C$17-'Invoer gegevens'!$C$16))/(1+'Invoer gegevens'!$C$39)^('Invoer gegevens'!$C$17-'Invoer gegevens'!$C$16)+AW16/(1+$BG$4)^(E16-('Invoer gegevens'!$C$17-1))/(1+'Invoer gegevens'!$C$39)^('Invoer gegevens'!$C$17-'Invoer gegevens'!$C$16)+AX16/(1+'Invoer gegevens'!$C$39)^('Invoer gegevens'!$C$17-'Invoer gegevens'!$C$16)+(-AY16/(1+'Invoer gegevens'!$C$39)^D16)+BE16+BF16</f>
        <v>0</v>
      </c>
      <c r="BH16" s="59"/>
      <c r="BJ16" s="214"/>
    </row>
    <row r="17" spans="1:68" x14ac:dyDescent="0.25">
      <c r="A17" s="59"/>
      <c r="B17" s="70">
        <f t="shared" si="6"/>
        <v>13</v>
      </c>
      <c r="C17" s="67">
        <f ca="1">IF(AND(E17&gt;='Invoer gegevens'!$C$17,E17&lt;'Invoer gegevens'!$C$17+'Invoer gegevens'!$I$14),1,0)</f>
        <v>1</v>
      </c>
      <c r="D17" s="68">
        <f t="shared" si="7"/>
        <v>12.5</v>
      </c>
      <c r="E17" s="69">
        <f ca="1">IF('Invoer gegevens'!$C$16="","",E16+1)</f>
        <v>2031</v>
      </c>
      <c r="F17" s="82">
        <f ca="1">IF('Invoer gegevens'!$C$17=E17,'Invoer gegevens'!$C$10,IF(C17=1,H16,0))</f>
        <v>0</v>
      </c>
      <c r="G17" s="83">
        <f ca="1">IF(E17='Invoer gegevens'!$C$17+'Invoer gegevens'!$I$14,H16,IF(C17&gt;=1,F17*Reeksen!C17,0))</f>
        <v>0</v>
      </c>
      <c r="H17" s="84">
        <f ca="1">IF(E17&gt;='Invoer gegevens'!$C$17+'Invoer gegevens'!$I$14,0,F17-G17)</f>
        <v>0</v>
      </c>
      <c r="I17" s="85">
        <f ca="1">IF('Invoer gegevens'!$C$17=E17,'Invoer gegevens'!$C$11,IF(C17=1,L16,0))</f>
        <v>0</v>
      </c>
      <c r="J17" s="86">
        <f ca="1">IF(E17='Invoer gegevens'!$C$17+'Invoer gegevens'!$I$14,L16,IF(C17&lt;1,0,IF(Reeksen!BG17&lt;=Reeksen!AE17,I17*Reeksen!C17,0)))</f>
        <v>0</v>
      </c>
      <c r="K17" s="86">
        <f ca="1">IF(E17='Invoer gegevens'!$C$17+'Invoer gegevens'!$I$14,L16,IF(C17&lt;1,0,IF(Reeksen!BG17&gt;Reeksen!AE17,I17*Reeksen!C17,0)))</f>
        <v>0</v>
      </c>
      <c r="L17" s="86">
        <f ca="1">IF(E17&gt;='Invoer gegevens'!$C$17+'Invoer gegevens'!$I$14,0,I17-J17-K17)</f>
        <v>0</v>
      </c>
      <c r="M17" s="85">
        <f ca="1">IF('Invoer gegevens'!$C$17=E17,'Invoer gegevens'!$C$10-'Invoer gegevens'!$C$11,IF(C17=1,P16,0))</f>
        <v>0</v>
      </c>
      <c r="N17" s="86">
        <f ca="1">IF(E17='Invoer gegevens'!$C$17+'Invoer gegevens'!$I$14,P16,IF(C17&lt;1,0,IF(Reeksen!BG17&lt;=Reeksen!AE17,M17*Reeksen!C17,0)))</f>
        <v>0</v>
      </c>
      <c r="O17" s="86">
        <f ca="1">IF(E17='Invoer gegevens'!$C$17+'Invoer gegevens'!$I$14,P16,IF(C17&lt;1,0,IF(Reeksen!BG17&gt;Reeksen!AE17,M17*Reeksen!C17,0)))</f>
        <v>0</v>
      </c>
      <c r="P17" s="86">
        <f ca="1">IF(E17&gt;='Invoer gegevens'!$C$17+'Invoer gegevens'!$I$14,0,M17-N17-O17)</f>
        <v>0</v>
      </c>
      <c r="Q17" s="82">
        <f ca="1">IF('Invoer gegevens'!$C$17=E17,I17,IF(C17=0,0,R16))</f>
        <v>0</v>
      </c>
      <c r="R17" s="84">
        <f t="shared" ca="1" si="0"/>
        <v>0</v>
      </c>
      <c r="S17" s="84">
        <f ca="1">IF('Invoer gegevens'!$C$17=E17,M17,IF(C17=0,0,T16))</f>
        <v>0</v>
      </c>
      <c r="T17" s="84">
        <f t="shared" ca="1" si="1"/>
        <v>0</v>
      </c>
      <c r="AH17" s="70"/>
      <c r="AI17" s="71">
        <f ca="1">IF(C17=1,((F17+H17)/2*Reeksen!BF17*12)+(('Invoer gegevens'!$C$10-(F17+H17)/2)*Reeksen!BG17*12),0)</f>
        <v>0</v>
      </c>
      <c r="AJ17" s="71">
        <f ca="1">-AI17*'Invoer gegevens'!$I$26</f>
        <v>0</v>
      </c>
      <c r="AK17" s="71">
        <f t="shared" ca="1" si="2"/>
        <v>0</v>
      </c>
      <c r="AL17" s="71">
        <f ca="1">IF(C17=1,(12*((F17+H17)/2)*Reeksen!AL17)+(12*('Invoer gegevens'!$C$10-(F17+H17)/2)*Reeksen!AM17),0)</f>
        <v>0</v>
      </c>
      <c r="AM17" s="71">
        <f ca="1">-AL17*'Invoer gegevens'!$F$31</f>
        <v>0</v>
      </c>
      <c r="AN17" s="71">
        <f t="shared" ca="1" si="3"/>
        <v>0</v>
      </c>
      <c r="AO17" s="71"/>
      <c r="AP17" s="71"/>
      <c r="AQ17" s="71">
        <f ca="1">-IF(C17=1,('Invoer gegevens'!$C$10*'Invoer gegevens'!$I$33)*Reeksen!J17,0)</f>
        <v>0</v>
      </c>
      <c r="AR17" s="71">
        <f ca="1">-IF(C17=1,(G17*'Invoer gegevens'!$I$34)*Reeksen!J17,0)</f>
        <v>0</v>
      </c>
      <c r="AS17" s="71">
        <f ca="1">-IF(C17=1,'Invoer gegevens'!$C$10*'Invoer gegevens'!$I$35*Reeksen!L17,0)</f>
        <v>0</v>
      </c>
      <c r="AT17" s="71">
        <f ca="1">-IF(C17=1,IF(E17='Invoer gegevens'!$C$17,'Invoer gegevens'!$C$11,Q17)*Reeksen!S17*'Invoer gegevens'!$C$18*Reeksen!P17,0)</f>
        <v>0</v>
      </c>
      <c r="AU17" s="71">
        <f ca="1">-IF(C17=1,'Invoer gegevens'!$C$10*'Invoer gegevens'!$I$36*Reeksen!H17,0)</f>
        <v>0</v>
      </c>
      <c r="AV17" s="71">
        <f t="shared" ca="1" si="4"/>
        <v>0</v>
      </c>
      <c r="AW17" s="72">
        <f ca="1">IFERROR(IF(E17='Invoer gegevens'!$C$17+'Invoer gegevens'!$I$14-1,'Invoer gegevens'!$I$13*'Invoer gegevens'!$C$10*Reeksen!H17,0),0)</f>
        <v>0</v>
      </c>
      <c r="AX17" s="72">
        <f ca="1">IFERROR(IF(E17='Invoer gegevens'!$C$17,-'Invoer gegevens'!$C$10*'Invoer gegevens'!$C$31*Reeksen!H17,0),0)</f>
        <v>0</v>
      </c>
      <c r="AY17" s="73">
        <f ca="1">IF('Invoer gegevens'!$C$34=E17,'Invoer gegevens'!$C$27*'Invoer gegevens'!$C$10*'Invoer gegevens'!$C$36*(IF('Invoer gegevens'!$C$35="ja",1,Reeksen!J17)),IF('Invoer gegevens'!$C$34+1=E17,'Invoer gegevens'!$C$27*'Invoer gegevens'!$C$10*'Invoer gegevens'!$C$37*(IF('Invoer gegevens'!$C$35="ja",1,Reeksen!J17)),0))+IF(AND(E17='Invoer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7" s="73">
        <f ca="1">AV17/(1+'Invoer gegevens'!$I$12)^($D17-('Invoer gegevens'!$C$17-'Invoer gegevens'!$C$16))/(1+'Invoer gegevens'!$C$39)^('Invoer gegevens'!$C$17-'Invoer gegevens'!$C$16)</f>
        <v>0</v>
      </c>
      <c r="BA17" s="73">
        <f ca="1">AW17/(1+'Invoer gegevens'!$I$12)^(E17-('Invoer gegevens'!$C$17-1))/(1+'Invoer gegevens'!$C$39)^('Invoer gegevens'!$C$17-'Invoer gegevens'!$C$16)</f>
        <v>0</v>
      </c>
      <c r="BB17" s="73">
        <f ca="1">AX17/(1+'Invoer gegevens'!$C$39)^('Invoer gegevens'!$C$17-'Invoer gegevens'!$C$16)</f>
        <v>0</v>
      </c>
      <c r="BC17" s="72">
        <f t="shared" ca="1" si="5"/>
        <v>0</v>
      </c>
      <c r="BD17" s="72">
        <f ca="1">IF(AND(E17='Invoer gegevens'!$C$16,'Invoer gegevens'!$C$34&lt;'Invoer gegevens'!$C$16),AY17,AY17/(1+'Invoer gegevens'!$C$39)^D17)</f>
        <v>0</v>
      </c>
      <c r="BE17" s="72">
        <f ca="1">IF(E17='Invoer gegevens'!$C$34,-'Invoer gegevens'!$I$38,0)</f>
        <v>0</v>
      </c>
      <c r="BF17" s="72">
        <f ca="1">IF(E17='Invoer gegevens'!$C$17,-'Invoer gegevens'!$C$19*$BC$66,0)</f>
        <v>0</v>
      </c>
      <c r="BG17" s="72">
        <f ca="1">AV17/(1+$BG$4)^($D17-('Invoer gegevens'!$C$17-'Invoer gegevens'!$C$16))/(1+'Invoer gegevens'!$C$39)^('Invoer gegevens'!$C$17-'Invoer gegevens'!$C$16)+AW17/(1+$BG$4)^(E17-('Invoer gegevens'!$C$17-1))/(1+'Invoer gegevens'!$C$39)^('Invoer gegevens'!$C$17-'Invoer gegevens'!$C$16)+AX17/(1+'Invoer gegevens'!$C$39)^('Invoer gegevens'!$C$17-'Invoer gegevens'!$C$16)+(-AY17/(1+'Invoer gegevens'!$C$39)^D17)+BE17+BF17</f>
        <v>0</v>
      </c>
      <c r="BH17" s="59"/>
      <c r="BJ17" s="214"/>
    </row>
    <row r="18" spans="1:68" x14ac:dyDescent="0.25">
      <c r="A18" s="59"/>
      <c r="B18" s="70">
        <f t="shared" si="6"/>
        <v>14</v>
      </c>
      <c r="C18" s="67">
        <f ca="1">IF(AND(E18&gt;='Invoer gegevens'!$C$17,E18&lt;'Invoer gegevens'!$C$17+'Invoer gegevens'!$I$14),1,0)</f>
        <v>1</v>
      </c>
      <c r="D18" s="68">
        <f t="shared" si="7"/>
        <v>13.5</v>
      </c>
      <c r="E18" s="69">
        <f ca="1">IF('Invoer gegevens'!$C$16="","",E17+1)</f>
        <v>2032</v>
      </c>
      <c r="F18" s="82">
        <f ca="1">IF('Invoer gegevens'!$C$17=E18,'Invoer gegevens'!$C$10,IF(C18=1,H17,0))</f>
        <v>0</v>
      </c>
      <c r="G18" s="83">
        <f ca="1">IF(E18='Invoer gegevens'!$C$17+'Invoer gegevens'!$I$14,H17,IF(C18&gt;=1,F18*Reeksen!C18,0))</f>
        <v>0</v>
      </c>
      <c r="H18" s="84">
        <f ca="1">IF(E18&gt;='Invoer gegevens'!$C$17+'Invoer gegevens'!$I$14,0,F18-G18)</f>
        <v>0</v>
      </c>
      <c r="I18" s="85">
        <f ca="1">IF('Invoer gegevens'!$C$17=E18,'Invoer gegevens'!$C$11,IF(C18=1,L17,0))</f>
        <v>0</v>
      </c>
      <c r="J18" s="86">
        <f ca="1">IF(E18='Invoer gegevens'!$C$17+'Invoer gegevens'!$I$14,L17,IF(C18&lt;1,0,IF(Reeksen!BG18&lt;=Reeksen!AE18,I18*Reeksen!C18,0)))</f>
        <v>0</v>
      </c>
      <c r="K18" s="86">
        <f ca="1">IF(E18='Invoer gegevens'!$C$17+'Invoer gegevens'!$I$14,L17,IF(C18&lt;1,0,IF(Reeksen!BG18&gt;Reeksen!AE18,I18*Reeksen!C18,0)))</f>
        <v>0</v>
      </c>
      <c r="L18" s="86">
        <f ca="1">IF(E18&gt;='Invoer gegevens'!$C$17+'Invoer gegevens'!$I$14,0,I18-J18-K18)</f>
        <v>0</v>
      </c>
      <c r="M18" s="85">
        <f ca="1">IF('Invoer gegevens'!$C$17=E18,'Invoer gegevens'!$C$10-'Invoer gegevens'!$C$11,IF(C18=1,P17,0))</f>
        <v>0</v>
      </c>
      <c r="N18" s="86">
        <f ca="1">IF(E18='Invoer gegevens'!$C$17+'Invoer gegevens'!$I$14,P17,IF(C18&lt;1,0,IF(Reeksen!BG18&lt;=Reeksen!AE18,M18*Reeksen!C18,0)))</f>
        <v>0</v>
      </c>
      <c r="O18" s="86">
        <f ca="1">IF(E18='Invoer gegevens'!$C$17+'Invoer gegevens'!$I$14,P17,IF(C18&lt;1,0,IF(Reeksen!BG18&gt;Reeksen!AE18,M18*Reeksen!C18,0)))</f>
        <v>0</v>
      </c>
      <c r="P18" s="86">
        <f ca="1">IF(E18&gt;='Invoer gegevens'!$C$17+'Invoer gegevens'!$I$14,0,M18-N18-O18)</f>
        <v>0</v>
      </c>
      <c r="Q18" s="82">
        <f ca="1">IF('Invoer gegevens'!$C$17=E18,I18,IF(C18=0,0,R17))</f>
        <v>0</v>
      </c>
      <c r="R18" s="84">
        <f t="shared" ca="1" si="0"/>
        <v>0</v>
      </c>
      <c r="S18" s="84">
        <f ca="1">IF('Invoer gegevens'!$C$17=E18,M18,IF(C18=0,0,T17))</f>
        <v>0</v>
      </c>
      <c r="T18" s="84">
        <f t="shared" ca="1" si="1"/>
        <v>0</v>
      </c>
      <c r="AH18" s="70"/>
      <c r="AI18" s="71">
        <f ca="1">IF(C18=1,((F18+H18)/2*Reeksen!BF18*12)+(('Invoer gegevens'!$C$10-(F18+H18)/2)*Reeksen!BG18*12),0)</f>
        <v>0</v>
      </c>
      <c r="AJ18" s="71">
        <f ca="1">-AI18*'Invoer gegevens'!$I$26</f>
        <v>0</v>
      </c>
      <c r="AK18" s="71">
        <f t="shared" ca="1" si="2"/>
        <v>0</v>
      </c>
      <c r="AL18" s="71">
        <f ca="1">IF(C18=1,(12*((F18+H18)/2)*Reeksen!AL18)+(12*('Invoer gegevens'!$C$10-(F18+H18)/2)*Reeksen!AM18),0)</f>
        <v>0</v>
      </c>
      <c r="AM18" s="71">
        <f ca="1">-AL18*'Invoer gegevens'!$F$31</f>
        <v>0</v>
      </c>
      <c r="AN18" s="71">
        <f t="shared" ca="1" si="3"/>
        <v>0</v>
      </c>
      <c r="AO18" s="71"/>
      <c r="AP18" s="71"/>
      <c r="AQ18" s="71">
        <f ca="1">-IF(C18=1,('Invoer gegevens'!$C$10*'Invoer gegevens'!$I$33)*Reeksen!J18,0)</f>
        <v>0</v>
      </c>
      <c r="AR18" s="71">
        <f ca="1">-IF(C18=1,(G18*'Invoer gegevens'!$I$34)*Reeksen!J18,0)</f>
        <v>0</v>
      </c>
      <c r="AS18" s="71">
        <f ca="1">-IF(C18=1,'Invoer gegevens'!$C$10*'Invoer gegevens'!$I$35*Reeksen!L18,0)</f>
        <v>0</v>
      </c>
      <c r="AT18" s="71">
        <f ca="1">-IF(C18=1,IF(E18='Invoer gegevens'!$C$17,'Invoer gegevens'!$C$11,Q18)*Reeksen!S18*'Invoer gegevens'!$C$18*Reeksen!P18,0)</f>
        <v>0</v>
      </c>
      <c r="AU18" s="71">
        <f ca="1">-IF(C18=1,'Invoer gegevens'!$C$10*'Invoer gegevens'!$I$36*Reeksen!H18,0)</f>
        <v>0</v>
      </c>
      <c r="AV18" s="71">
        <f t="shared" ca="1" si="4"/>
        <v>0</v>
      </c>
      <c r="AW18" s="72">
        <f ca="1">IFERROR(IF(E18='Invoer gegevens'!$C$17+'Invoer gegevens'!$I$14-1,'Invoer gegevens'!$I$13*'Invoer gegevens'!$C$10*Reeksen!H18,0),0)</f>
        <v>0</v>
      </c>
      <c r="AX18" s="72">
        <f ca="1">IFERROR(IF(E18='Invoer gegevens'!$C$17,-'Invoer gegevens'!$C$10*'Invoer gegevens'!$C$31*Reeksen!H18,0),0)</f>
        <v>0</v>
      </c>
      <c r="AY18" s="73">
        <f ca="1">IF('Invoer gegevens'!$C$34=E18,'Invoer gegevens'!$C$27*'Invoer gegevens'!$C$10*'Invoer gegevens'!$C$36*(IF('Invoer gegevens'!$C$35="ja",1,Reeksen!J18)),IF('Invoer gegevens'!$C$34+1=E18,'Invoer gegevens'!$C$27*'Invoer gegevens'!$C$10*'Invoer gegevens'!$C$37*(IF('Invoer gegevens'!$C$35="ja",1,Reeksen!J18)),0))+IF(AND(E18='Invoer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8" s="73">
        <f ca="1">AV18/(1+'Invoer gegevens'!$I$12)^($D18-('Invoer gegevens'!$C$17-'Invoer gegevens'!$C$16))/(1+'Invoer gegevens'!$C$39)^('Invoer gegevens'!$C$17-'Invoer gegevens'!$C$16)</f>
        <v>0</v>
      </c>
      <c r="BA18" s="73">
        <f ca="1">AW18/(1+'Invoer gegevens'!$I$12)^(E18-('Invoer gegevens'!$C$17-1))/(1+'Invoer gegevens'!$C$39)^('Invoer gegevens'!$C$17-'Invoer gegevens'!$C$16)</f>
        <v>0</v>
      </c>
      <c r="BB18" s="73">
        <f ca="1">AX18/(1+'Invoer gegevens'!$C$39)^('Invoer gegevens'!$C$17-'Invoer gegevens'!$C$16)</f>
        <v>0</v>
      </c>
      <c r="BC18" s="72">
        <f t="shared" ca="1" si="5"/>
        <v>0</v>
      </c>
      <c r="BD18" s="72">
        <f ca="1">IF(AND(E18='Invoer gegevens'!$C$16,'Invoer gegevens'!$C$34&lt;'Invoer gegevens'!$C$16),AY18,AY18/(1+'Invoer gegevens'!$C$39)^D18)</f>
        <v>0</v>
      </c>
      <c r="BE18" s="72">
        <f ca="1">IF(E18='Invoer gegevens'!$C$34,-'Invoer gegevens'!$I$38,0)</f>
        <v>0</v>
      </c>
      <c r="BF18" s="72">
        <f ca="1">IF(E18='Invoer gegevens'!$C$17,-'Invoer gegevens'!$C$19*$BC$66,0)</f>
        <v>0</v>
      </c>
      <c r="BG18" s="72">
        <f ca="1">AV18/(1+$BG$4)^($D18-('Invoer gegevens'!$C$17-'Invoer gegevens'!$C$16))/(1+'Invoer gegevens'!$C$39)^('Invoer gegevens'!$C$17-'Invoer gegevens'!$C$16)+AW18/(1+$BG$4)^(E18-('Invoer gegevens'!$C$17-1))/(1+'Invoer gegevens'!$C$39)^('Invoer gegevens'!$C$17-'Invoer gegevens'!$C$16)+AX18/(1+'Invoer gegevens'!$C$39)^('Invoer gegevens'!$C$17-'Invoer gegevens'!$C$16)+(-AY18/(1+'Invoer gegevens'!$C$39)^D18)+BE18+BF18</f>
        <v>0</v>
      </c>
      <c r="BH18" s="59"/>
      <c r="BJ18" s="214"/>
    </row>
    <row r="19" spans="1:68" x14ac:dyDescent="0.25">
      <c r="A19" s="59"/>
      <c r="B19" s="70">
        <f t="shared" si="6"/>
        <v>15</v>
      </c>
      <c r="C19" s="67">
        <f ca="1">IF(AND(E19&gt;='Invoer gegevens'!$C$17,E19&lt;'Invoer gegevens'!$C$17+'Invoer gegevens'!$I$14),1,0)</f>
        <v>1</v>
      </c>
      <c r="D19" s="68">
        <f t="shared" si="7"/>
        <v>14.5</v>
      </c>
      <c r="E19" s="69">
        <f ca="1">IF('Invoer gegevens'!$C$16="","",E18+1)</f>
        <v>2033</v>
      </c>
      <c r="F19" s="82">
        <f ca="1">IF('Invoer gegevens'!$C$17=E19,'Invoer gegevens'!$C$10,IF(C19=1,H18,0))</f>
        <v>0</v>
      </c>
      <c r="G19" s="83">
        <f ca="1">IF(E19='Invoer gegevens'!$C$17+'Invoer gegevens'!$I$14,H18,IF(C19&gt;=1,F19*Reeksen!C19,0))</f>
        <v>0</v>
      </c>
      <c r="H19" s="84">
        <f ca="1">IF(E19&gt;='Invoer gegevens'!$C$17+'Invoer gegevens'!$I$14,0,F19-G19)</f>
        <v>0</v>
      </c>
      <c r="I19" s="85">
        <f ca="1">IF('Invoer gegevens'!$C$17=E19,'Invoer gegevens'!$C$11,IF(C19=1,L18,0))</f>
        <v>0</v>
      </c>
      <c r="J19" s="86">
        <f ca="1">IF(E19='Invoer gegevens'!$C$17+'Invoer gegevens'!$I$14,L18,IF(C19&lt;1,0,IF(Reeksen!BG19&lt;=Reeksen!AE19,I19*Reeksen!C19,0)))</f>
        <v>0</v>
      </c>
      <c r="K19" s="86">
        <f ca="1">IF(E19='Invoer gegevens'!$C$17+'Invoer gegevens'!$I$14,L18,IF(C19&lt;1,0,IF(Reeksen!BG19&gt;Reeksen!AE19,I19*Reeksen!C19,0)))</f>
        <v>0</v>
      </c>
      <c r="L19" s="86">
        <f ca="1">IF(E19&gt;='Invoer gegevens'!$C$17+'Invoer gegevens'!$I$14,0,I19-J19-K19)</f>
        <v>0</v>
      </c>
      <c r="M19" s="85">
        <f ca="1">IF('Invoer gegevens'!$C$17=E19,'Invoer gegevens'!$C$10-'Invoer gegevens'!$C$11,IF(C19=1,P18,0))</f>
        <v>0</v>
      </c>
      <c r="N19" s="86">
        <f ca="1">IF(E19='Invoer gegevens'!$C$17+'Invoer gegevens'!$I$14,P18,IF(C19&lt;1,0,IF(Reeksen!BG19&lt;=Reeksen!AE19,M19*Reeksen!C19,0)))</f>
        <v>0</v>
      </c>
      <c r="O19" s="86">
        <f ca="1">IF(E19='Invoer gegevens'!$C$17+'Invoer gegevens'!$I$14,P18,IF(C19&lt;1,0,IF(Reeksen!BG19&gt;Reeksen!AE19,M19*Reeksen!C19,0)))</f>
        <v>0</v>
      </c>
      <c r="P19" s="86">
        <f ca="1">IF(E19&gt;='Invoer gegevens'!$C$17+'Invoer gegevens'!$I$14,0,M19-N19-O19)</f>
        <v>0</v>
      </c>
      <c r="Q19" s="82">
        <f ca="1">IF('Invoer gegevens'!$C$17=E19,I19,IF(C19=0,0,R18))</f>
        <v>0</v>
      </c>
      <c r="R19" s="84">
        <f t="shared" ca="1" si="0"/>
        <v>0</v>
      </c>
      <c r="S19" s="84">
        <f ca="1">IF('Invoer gegevens'!$C$17=E19,M19,IF(C19=0,0,T18))</f>
        <v>0</v>
      </c>
      <c r="T19" s="84">
        <f t="shared" ca="1" si="1"/>
        <v>0</v>
      </c>
      <c r="AH19" s="70"/>
      <c r="AI19" s="71">
        <f ca="1">IF(C19=1,((F19+H19)/2*Reeksen!BF19*12)+(('Invoer gegevens'!$C$10-(F19+H19)/2)*Reeksen!BG19*12),0)</f>
        <v>0</v>
      </c>
      <c r="AJ19" s="71">
        <f ca="1">-AI19*'Invoer gegevens'!$I$26</f>
        <v>0</v>
      </c>
      <c r="AK19" s="71">
        <f t="shared" ca="1" si="2"/>
        <v>0</v>
      </c>
      <c r="AL19" s="71">
        <f ca="1">IF(C19=1,(12*((F19+H19)/2)*Reeksen!AL19)+(12*('Invoer gegevens'!$C$10-(F19+H19)/2)*Reeksen!AM19),0)</f>
        <v>0</v>
      </c>
      <c r="AM19" s="71">
        <f ca="1">-AL19*'Invoer gegevens'!$F$31</f>
        <v>0</v>
      </c>
      <c r="AN19" s="71">
        <f t="shared" ca="1" si="3"/>
        <v>0</v>
      </c>
      <c r="AO19" s="71"/>
      <c r="AP19" s="71"/>
      <c r="AQ19" s="71">
        <f ca="1">-IF(C19=1,('Invoer gegevens'!$C$10*'Invoer gegevens'!$I$33)*Reeksen!J19,0)</f>
        <v>0</v>
      </c>
      <c r="AR19" s="71">
        <f ca="1">-IF(C19=1,(G19*'Invoer gegevens'!$I$34)*Reeksen!J19,0)</f>
        <v>0</v>
      </c>
      <c r="AS19" s="71">
        <f ca="1">-IF(C19=1,'Invoer gegevens'!$C$10*'Invoer gegevens'!$I$35*Reeksen!L19,0)</f>
        <v>0</v>
      </c>
      <c r="AT19" s="71">
        <f ca="1">-IF(C19=1,IF(E19='Invoer gegevens'!$C$17,'Invoer gegevens'!$C$11,Q19)*Reeksen!S19*'Invoer gegevens'!$C$18*Reeksen!P19,0)</f>
        <v>0</v>
      </c>
      <c r="AU19" s="71">
        <f ca="1">-IF(C19=1,'Invoer gegevens'!$C$10*'Invoer gegevens'!$I$36*Reeksen!H19,0)</f>
        <v>0</v>
      </c>
      <c r="AV19" s="71">
        <f t="shared" ca="1" si="4"/>
        <v>0</v>
      </c>
      <c r="AW19" s="72">
        <f ca="1">IFERROR(IF(E19='Invoer gegevens'!$C$17+'Invoer gegevens'!$I$14-1,'Invoer gegevens'!$I$13*'Invoer gegevens'!$C$10*Reeksen!H19,0),0)</f>
        <v>0</v>
      </c>
      <c r="AX19" s="72">
        <f ca="1">IFERROR(IF(E19='Invoer gegevens'!$C$17,-'Invoer gegevens'!$C$10*'Invoer gegevens'!$C$31*Reeksen!H19,0),0)</f>
        <v>0</v>
      </c>
      <c r="AY19" s="73">
        <f ca="1">IF('Invoer gegevens'!$C$34=E19,'Invoer gegevens'!$C$27*'Invoer gegevens'!$C$10*'Invoer gegevens'!$C$36*(IF('Invoer gegevens'!$C$35="ja",1,Reeksen!J19)),IF('Invoer gegevens'!$C$34+1=E19,'Invoer gegevens'!$C$27*'Invoer gegevens'!$C$10*'Invoer gegevens'!$C$37*(IF('Invoer gegevens'!$C$35="ja",1,Reeksen!J19)),0))+IF(AND(E19='Invoer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9" s="73">
        <f ca="1">AV19/(1+'Invoer gegevens'!$I$12)^($D19-('Invoer gegevens'!$C$17-'Invoer gegevens'!$C$16))/(1+'Invoer gegevens'!$C$39)^('Invoer gegevens'!$C$17-'Invoer gegevens'!$C$16)</f>
        <v>0</v>
      </c>
      <c r="BA19" s="73">
        <f ca="1">AW19/(1+'Invoer gegevens'!$I$12)^(E19-('Invoer gegevens'!$C$17-1))/(1+'Invoer gegevens'!$C$39)^('Invoer gegevens'!$C$17-'Invoer gegevens'!$C$16)</f>
        <v>0</v>
      </c>
      <c r="BB19" s="73">
        <f ca="1">AX19/(1+'Invoer gegevens'!$C$39)^('Invoer gegevens'!$C$17-'Invoer gegevens'!$C$16)</f>
        <v>0</v>
      </c>
      <c r="BC19" s="72">
        <f t="shared" ca="1" si="5"/>
        <v>0</v>
      </c>
      <c r="BD19" s="72">
        <f ca="1">IF(AND(E19='Invoer gegevens'!$C$16,'Invoer gegevens'!$C$34&lt;'Invoer gegevens'!$C$16),AY19,AY19/(1+'Invoer gegevens'!$C$39)^D19)</f>
        <v>0</v>
      </c>
      <c r="BE19" s="72">
        <f ca="1">IF(E19='Invoer gegevens'!$C$34,-'Invoer gegevens'!$I$38,0)</f>
        <v>0</v>
      </c>
      <c r="BF19" s="72">
        <f ca="1">IF(E19='Invoer gegevens'!$C$17,-'Invoer gegevens'!$C$19*$BC$66,0)</f>
        <v>0</v>
      </c>
      <c r="BG19" s="72">
        <f ca="1">AV19/(1+$BG$4)^($D19-('Invoer gegevens'!$C$17-'Invoer gegevens'!$C$16))/(1+'Invoer gegevens'!$C$39)^('Invoer gegevens'!$C$17-'Invoer gegevens'!$C$16)+AW19/(1+$BG$4)^(E19-('Invoer gegevens'!$C$17-1))/(1+'Invoer gegevens'!$C$39)^('Invoer gegevens'!$C$17-'Invoer gegevens'!$C$16)+AX19/(1+'Invoer gegevens'!$C$39)^('Invoer gegevens'!$C$17-'Invoer gegevens'!$C$16)+(-AY19/(1+'Invoer gegevens'!$C$39)^D19)+BE19+BF19</f>
        <v>0</v>
      </c>
      <c r="BH19" s="59"/>
      <c r="BJ19" s="214"/>
    </row>
    <row r="20" spans="1:68" x14ac:dyDescent="0.25">
      <c r="A20" s="59"/>
      <c r="B20" s="70">
        <f t="shared" si="6"/>
        <v>16</v>
      </c>
      <c r="C20" s="67">
        <f ca="1">IF(AND(E20&gt;='Invoer gegevens'!$C$17,E20&lt;'Invoer gegevens'!$C$17+'Invoer gegevens'!$I$14),1,0)</f>
        <v>1</v>
      </c>
      <c r="D20" s="68">
        <f t="shared" si="7"/>
        <v>15.5</v>
      </c>
      <c r="E20" s="69">
        <f ca="1">IF('Invoer gegevens'!$C$16="","",E19+1)</f>
        <v>2034</v>
      </c>
      <c r="F20" s="82">
        <f ca="1">IF('Invoer gegevens'!$C$17=E20,'Invoer gegevens'!$C$10,IF(C20=1,H19,0))</f>
        <v>0</v>
      </c>
      <c r="G20" s="83">
        <f ca="1">IF(E20='Invoer gegevens'!$C$17+'Invoer gegevens'!$I$14,H19,IF(C20&gt;=1,F20*Reeksen!C20,0))</f>
        <v>0</v>
      </c>
      <c r="H20" s="84">
        <f ca="1">IF(E20&gt;='Invoer gegevens'!$C$17+'Invoer gegevens'!$I$14,0,F20-G20)</f>
        <v>0</v>
      </c>
      <c r="I20" s="85">
        <f ca="1">IF('Invoer gegevens'!$C$17=E20,'Invoer gegevens'!$C$11,IF(C20=1,L19,0))</f>
        <v>0</v>
      </c>
      <c r="J20" s="86">
        <f ca="1">IF(E20='Invoer gegevens'!$C$17+'Invoer gegevens'!$I$14,L19,IF(C20&lt;1,0,IF(Reeksen!BG20&lt;=Reeksen!AE20,I20*Reeksen!C20,0)))</f>
        <v>0</v>
      </c>
      <c r="K20" s="86">
        <f ca="1">IF(E20='Invoer gegevens'!$C$17+'Invoer gegevens'!$I$14,L19,IF(C20&lt;1,0,IF(Reeksen!BG20&gt;Reeksen!AE20,I20*Reeksen!C20,0)))</f>
        <v>0</v>
      </c>
      <c r="L20" s="86">
        <f ca="1">IF(E20&gt;='Invoer gegevens'!$C$17+'Invoer gegevens'!$I$14,0,I20-J20-K20)</f>
        <v>0</v>
      </c>
      <c r="M20" s="85">
        <f ca="1">IF('Invoer gegevens'!$C$17=E20,'Invoer gegevens'!$C$10-'Invoer gegevens'!$C$11,IF(C20=1,P19,0))</f>
        <v>0</v>
      </c>
      <c r="N20" s="86">
        <f ca="1">IF(E20='Invoer gegevens'!$C$17+'Invoer gegevens'!$I$14,P19,IF(C20&lt;1,0,IF(Reeksen!BG20&lt;=Reeksen!AE20,M20*Reeksen!C20,0)))</f>
        <v>0</v>
      </c>
      <c r="O20" s="86">
        <f ca="1">IF(E20='Invoer gegevens'!$C$17+'Invoer gegevens'!$I$14,P19,IF(C20&lt;1,0,IF(Reeksen!BG20&gt;Reeksen!AE20,M20*Reeksen!C20,0)))</f>
        <v>0</v>
      </c>
      <c r="P20" s="86">
        <f ca="1">IF(E20&gt;='Invoer gegevens'!$C$17+'Invoer gegevens'!$I$14,0,M20-N20-O20)</f>
        <v>0</v>
      </c>
      <c r="Q20" s="82">
        <f ca="1">IF('Invoer gegevens'!$C$17=E20,I20,IF(C20=0,0,R19))</f>
        <v>0</v>
      </c>
      <c r="R20" s="84">
        <f t="shared" ca="1" si="0"/>
        <v>0</v>
      </c>
      <c r="S20" s="84">
        <f ca="1">IF('Invoer gegevens'!$C$17=E20,M20,IF(C20=0,0,T19))</f>
        <v>0</v>
      </c>
      <c r="T20" s="84">
        <f t="shared" ca="1" si="1"/>
        <v>0</v>
      </c>
      <c r="AH20" s="70"/>
      <c r="AI20" s="71">
        <f ca="1">IF(C20=1,((F20+H20)/2*Reeksen!BF20*12)+(('Invoer gegevens'!$C$10-(F20+H20)/2)*Reeksen!BG20*12),0)</f>
        <v>0</v>
      </c>
      <c r="AJ20" s="71">
        <f ca="1">-AI20*'Invoer gegevens'!$I$26</f>
        <v>0</v>
      </c>
      <c r="AK20" s="71">
        <f t="shared" ca="1" si="2"/>
        <v>0</v>
      </c>
      <c r="AL20" s="71">
        <f ca="1">IF(C20=1,(12*((F20+H20)/2)*Reeksen!AL20)+(12*('Invoer gegevens'!$C$10-(F20+H20)/2)*Reeksen!AM20),0)</f>
        <v>0</v>
      </c>
      <c r="AM20" s="71">
        <f ca="1">-AL20*'Invoer gegevens'!$F$31</f>
        <v>0</v>
      </c>
      <c r="AN20" s="71">
        <f t="shared" ca="1" si="3"/>
        <v>0</v>
      </c>
      <c r="AO20" s="71"/>
      <c r="AP20" s="71"/>
      <c r="AQ20" s="71">
        <f ca="1">-IF(C20=1,('Invoer gegevens'!$C$10*'Invoer gegevens'!$I$33)*Reeksen!J20,0)</f>
        <v>0</v>
      </c>
      <c r="AR20" s="71">
        <f ca="1">-IF(C20=1,(G20*'Invoer gegevens'!$I$34)*Reeksen!J20,0)</f>
        <v>0</v>
      </c>
      <c r="AS20" s="71">
        <f ca="1">-IF(C20=1,'Invoer gegevens'!$C$10*'Invoer gegevens'!$I$35*Reeksen!L20,0)</f>
        <v>0</v>
      </c>
      <c r="AT20" s="71">
        <f ca="1">-IF(C20=1,IF(E20='Invoer gegevens'!$C$17,'Invoer gegevens'!$C$11,Q20)*Reeksen!S20*'Invoer gegevens'!$C$18*Reeksen!P20,0)</f>
        <v>0</v>
      </c>
      <c r="AU20" s="71">
        <f ca="1">-IF(C20=1,'Invoer gegevens'!$C$10*'Invoer gegevens'!$I$36*Reeksen!H20,0)</f>
        <v>0</v>
      </c>
      <c r="AV20" s="71">
        <f t="shared" ca="1" si="4"/>
        <v>0</v>
      </c>
      <c r="AW20" s="72">
        <f ca="1">IFERROR(IF(E20='Invoer gegevens'!$C$17+'Invoer gegevens'!$I$14-1,'Invoer gegevens'!$I$13*'Invoer gegevens'!$C$10*Reeksen!H20,0),0)</f>
        <v>0</v>
      </c>
      <c r="AX20" s="72">
        <f ca="1">IFERROR(IF(E20='Invoer gegevens'!$C$17,-'Invoer gegevens'!$C$10*'Invoer gegevens'!$C$31*Reeksen!H20,0),0)</f>
        <v>0</v>
      </c>
      <c r="AY20" s="73">
        <f ca="1">IF('Invoer gegevens'!$C$34=E20,'Invoer gegevens'!$C$27*'Invoer gegevens'!$C$10*'Invoer gegevens'!$C$36*(IF('Invoer gegevens'!$C$35="ja",1,Reeksen!J20)),IF('Invoer gegevens'!$C$34+1=E20,'Invoer gegevens'!$C$27*'Invoer gegevens'!$C$10*'Invoer gegevens'!$C$37*(IF('Invoer gegevens'!$C$35="ja",1,Reeksen!J20)),0))+IF(AND(E20='Invoer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0" s="73">
        <f ca="1">AV20/(1+'Invoer gegevens'!$I$12)^($D20-('Invoer gegevens'!$C$17-'Invoer gegevens'!$C$16))/(1+'Invoer gegevens'!$C$39)^('Invoer gegevens'!$C$17-'Invoer gegevens'!$C$16)</f>
        <v>0</v>
      </c>
      <c r="BA20" s="73">
        <f ca="1">AW20/(1+'Invoer gegevens'!$I$12)^(E20-('Invoer gegevens'!$C$17-1))/(1+'Invoer gegevens'!$C$39)^('Invoer gegevens'!$C$17-'Invoer gegevens'!$C$16)</f>
        <v>0</v>
      </c>
      <c r="BB20" s="73">
        <f ca="1">AX20/(1+'Invoer gegevens'!$C$39)^('Invoer gegevens'!$C$17-'Invoer gegevens'!$C$16)</f>
        <v>0</v>
      </c>
      <c r="BC20" s="72">
        <f t="shared" ca="1" si="5"/>
        <v>0</v>
      </c>
      <c r="BD20" s="72">
        <f ca="1">IF(AND(E20='Invoer gegevens'!$C$16,'Invoer gegevens'!$C$34&lt;'Invoer gegevens'!$C$16),AY20,AY20/(1+'Invoer gegevens'!$C$39)^D20)</f>
        <v>0</v>
      </c>
      <c r="BE20" s="72">
        <f ca="1">IF(E20='Invoer gegevens'!$C$34,-'Invoer gegevens'!$I$38,0)</f>
        <v>0</v>
      </c>
      <c r="BF20" s="72">
        <f ca="1">IF(E20='Invoer gegevens'!$C$17,-'Invoer gegevens'!$C$19*$BC$66,0)</f>
        <v>0</v>
      </c>
      <c r="BG20" s="72">
        <f ca="1">AV20/(1+$BG$4)^($D20-('Invoer gegevens'!$C$17-'Invoer gegevens'!$C$16))/(1+'Invoer gegevens'!$C$39)^('Invoer gegevens'!$C$17-'Invoer gegevens'!$C$16)+AW20/(1+$BG$4)^(E20-('Invoer gegevens'!$C$17-1))/(1+'Invoer gegevens'!$C$39)^('Invoer gegevens'!$C$17-'Invoer gegevens'!$C$16)+AX20/(1+'Invoer gegevens'!$C$39)^('Invoer gegevens'!$C$17-'Invoer gegevens'!$C$16)+(-AY20/(1+'Invoer gegevens'!$C$39)^D20)+BE20+BF20</f>
        <v>0</v>
      </c>
      <c r="BH20" s="59"/>
      <c r="BJ20" s="214"/>
    </row>
    <row r="21" spans="1:68" x14ac:dyDescent="0.25">
      <c r="A21" s="59"/>
      <c r="B21" s="70">
        <f t="shared" si="6"/>
        <v>17</v>
      </c>
      <c r="C21" s="67">
        <f ca="1">IF(AND(E21&gt;='Invoer gegevens'!$C$17,E21&lt;'Invoer gegevens'!$C$17+'Invoer gegevens'!$I$14),1,0)</f>
        <v>1</v>
      </c>
      <c r="D21" s="68">
        <f t="shared" si="7"/>
        <v>16.5</v>
      </c>
      <c r="E21" s="69">
        <f ca="1">IF('Invoer gegevens'!$C$16="","",E20+1)</f>
        <v>2035</v>
      </c>
      <c r="F21" s="82">
        <f ca="1">IF('Invoer gegevens'!$C$17=E21,'Invoer gegevens'!$C$10,IF(C21=1,H20,0))</f>
        <v>0</v>
      </c>
      <c r="G21" s="83">
        <f ca="1">IF(E21='Invoer gegevens'!$C$17+'Invoer gegevens'!$I$14,H20,IF(C21&gt;=1,F21*Reeksen!C21,0))</f>
        <v>0</v>
      </c>
      <c r="H21" s="84">
        <f ca="1">IF(E21&gt;='Invoer gegevens'!$C$17+'Invoer gegevens'!$I$14,0,F21-G21)</f>
        <v>0</v>
      </c>
      <c r="I21" s="85">
        <f ca="1">IF('Invoer gegevens'!$C$17=E21,'Invoer gegevens'!$C$11,IF(C21=1,L20,0))</f>
        <v>0</v>
      </c>
      <c r="J21" s="86">
        <f ca="1">IF(E21='Invoer gegevens'!$C$17+'Invoer gegevens'!$I$14,L20,IF(C21&lt;1,0,IF(Reeksen!BG21&lt;=Reeksen!AE21,I21*Reeksen!C21,0)))</f>
        <v>0</v>
      </c>
      <c r="K21" s="86">
        <f ca="1">IF(E21='Invoer gegevens'!$C$17+'Invoer gegevens'!$I$14,L20,IF(C21&lt;1,0,IF(Reeksen!BG21&gt;Reeksen!AE21,I21*Reeksen!C21,0)))</f>
        <v>0</v>
      </c>
      <c r="L21" s="86">
        <f ca="1">IF(E21&gt;='Invoer gegevens'!$C$17+'Invoer gegevens'!$I$14,0,I21-J21-K21)</f>
        <v>0</v>
      </c>
      <c r="M21" s="85">
        <f ca="1">IF('Invoer gegevens'!$C$17=E21,'Invoer gegevens'!$C$10-'Invoer gegevens'!$C$11,IF(C21=1,P20,0))</f>
        <v>0</v>
      </c>
      <c r="N21" s="86">
        <f ca="1">IF(E21='Invoer gegevens'!$C$17+'Invoer gegevens'!$I$14,P20,IF(C21&lt;1,0,IF(Reeksen!BG21&lt;=Reeksen!AE21,M21*Reeksen!C21,0)))</f>
        <v>0</v>
      </c>
      <c r="O21" s="86">
        <f ca="1">IF(E21='Invoer gegevens'!$C$17+'Invoer gegevens'!$I$14,P20,IF(C21&lt;1,0,IF(Reeksen!BG21&gt;Reeksen!AE21,M21*Reeksen!C21,0)))</f>
        <v>0</v>
      </c>
      <c r="P21" s="86">
        <f ca="1">IF(E21&gt;='Invoer gegevens'!$C$17+'Invoer gegevens'!$I$14,0,M21-N21-O21)</f>
        <v>0</v>
      </c>
      <c r="Q21" s="82">
        <f ca="1">IF('Invoer gegevens'!$C$17=E21,I21,IF(C21=0,0,R20))</f>
        <v>0</v>
      </c>
      <c r="R21" s="84">
        <f t="shared" ca="1" si="0"/>
        <v>0</v>
      </c>
      <c r="S21" s="84">
        <f ca="1">IF('Invoer gegevens'!$C$17=E21,M21,IF(C21=0,0,T20))</f>
        <v>0</v>
      </c>
      <c r="T21" s="84">
        <f t="shared" ca="1" si="1"/>
        <v>0</v>
      </c>
      <c r="AH21" s="70"/>
      <c r="AI21" s="71">
        <f ca="1">IF(C21=1,((F21+H21)/2*Reeksen!BF21*12)+(('Invoer gegevens'!$C$10-(F21+H21)/2)*Reeksen!BG21*12),0)</f>
        <v>0</v>
      </c>
      <c r="AJ21" s="71">
        <f ca="1">-AI21*'Invoer gegevens'!$I$26</f>
        <v>0</v>
      </c>
      <c r="AK21" s="71">
        <f t="shared" ca="1" si="2"/>
        <v>0</v>
      </c>
      <c r="AL21" s="71">
        <f ca="1">IF(C21=1,(12*((F21+H21)/2)*Reeksen!AL21)+(12*('Invoer gegevens'!$C$10-(F21+H21)/2)*Reeksen!AM21),0)</f>
        <v>0</v>
      </c>
      <c r="AM21" s="71">
        <f ca="1">-AL21*'Invoer gegevens'!$F$31</f>
        <v>0</v>
      </c>
      <c r="AN21" s="71">
        <f t="shared" ca="1" si="3"/>
        <v>0</v>
      </c>
      <c r="AO21" s="71"/>
      <c r="AP21" s="71"/>
      <c r="AQ21" s="71">
        <f ca="1">-IF(C21=1,('Invoer gegevens'!$C$10*'Invoer gegevens'!$I$33)*Reeksen!J21,0)</f>
        <v>0</v>
      </c>
      <c r="AR21" s="71">
        <f ca="1">-IF(C21=1,(G21*'Invoer gegevens'!$I$34)*Reeksen!J21,0)</f>
        <v>0</v>
      </c>
      <c r="AS21" s="71">
        <f ca="1">-IF(C21=1,'Invoer gegevens'!$C$10*'Invoer gegevens'!$I$35*Reeksen!L21,0)</f>
        <v>0</v>
      </c>
      <c r="AT21" s="71">
        <f ca="1">-IF(C21=1,IF(E21='Invoer gegevens'!$C$17,'Invoer gegevens'!$C$11,Q21)*Reeksen!S21*'Invoer gegevens'!$C$18*Reeksen!P21,0)</f>
        <v>0</v>
      </c>
      <c r="AU21" s="71">
        <f ca="1">-IF(C21=1,'Invoer gegevens'!$C$10*'Invoer gegevens'!$I$36*Reeksen!H21,0)</f>
        <v>0</v>
      </c>
      <c r="AV21" s="71">
        <f t="shared" ca="1" si="4"/>
        <v>0</v>
      </c>
      <c r="AW21" s="72">
        <f ca="1">IFERROR(IF(E21='Invoer gegevens'!$C$17+'Invoer gegevens'!$I$14-1,'Invoer gegevens'!$I$13*'Invoer gegevens'!$C$10*Reeksen!H21,0),0)</f>
        <v>0</v>
      </c>
      <c r="AX21" s="72">
        <f ca="1">IFERROR(IF(E21='Invoer gegevens'!$C$17,-'Invoer gegevens'!$C$10*'Invoer gegevens'!$C$31*Reeksen!H21,0),0)</f>
        <v>0</v>
      </c>
      <c r="AY21" s="73">
        <f ca="1">IF('Invoer gegevens'!$C$34=E21,'Invoer gegevens'!$C$27*'Invoer gegevens'!$C$10*'Invoer gegevens'!$C$36*(IF('Invoer gegevens'!$C$35="ja",1,Reeksen!J21)),IF('Invoer gegevens'!$C$34+1=E21,'Invoer gegevens'!$C$27*'Invoer gegevens'!$C$10*'Invoer gegevens'!$C$37*(IF('Invoer gegevens'!$C$35="ja",1,Reeksen!J21)),0))+IF(AND(E21='Invoer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1" s="73">
        <f ca="1">AV21/(1+'Invoer gegevens'!$I$12)^($D21-('Invoer gegevens'!$C$17-'Invoer gegevens'!$C$16))/(1+'Invoer gegevens'!$C$39)^('Invoer gegevens'!$C$17-'Invoer gegevens'!$C$16)</f>
        <v>0</v>
      </c>
      <c r="BA21" s="73">
        <f ca="1">AW21/(1+'Invoer gegevens'!$I$12)^(E21-('Invoer gegevens'!$C$17-1))/(1+'Invoer gegevens'!$C$39)^('Invoer gegevens'!$C$17-'Invoer gegevens'!$C$16)</f>
        <v>0</v>
      </c>
      <c r="BB21" s="73">
        <f ca="1">AX21/(1+'Invoer gegevens'!$C$39)^('Invoer gegevens'!$C$17-'Invoer gegevens'!$C$16)</f>
        <v>0</v>
      </c>
      <c r="BC21" s="72">
        <f t="shared" ca="1" si="5"/>
        <v>0</v>
      </c>
      <c r="BD21" s="72">
        <f ca="1">IF(AND(E21='Invoer gegevens'!$C$16,'Invoer gegevens'!$C$34&lt;'Invoer gegevens'!$C$16),AY21,AY21/(1+'Invoer gegevens'!$C$39)^D21)</f>
        <v>0</v>
      </c>
      <c r="BE21" s="72">
        <f ca="1">IF(E21='Invoer gegevens'!$C$34,-'Invoer gegevens'!$I$38,0)</f>
        <v>0</v>
      </c>
      <c r="BF21" s="72">
        <f ca="1">IF(E21='Invoer gegevens'!$C$17,-'Invoer gegevens'!$C$19*$BC$66,0)</f>
        <v>0</v>
      </c>
      <c r="BG21" s="72">
        <f ca="1">AV21/(1+$BG$4)^($D21-('Invoer gegevens'!$C$17-'Invoer gegevens'!$C$16))/(1+'Invoer gegevens'!$C$39)^('Invoer gegevens'!$C$17-'Invoer gegevens'!$C$16)+AW21/(1+$BG$4)^(E21-('Invoer gegevens'!$C$17-1))/(1+'Invoer gegevens'!$C$39)^('Invoer gegevens'!$C$17-'Invoer gegevens'!$C$16)+AX21/(1+'Invoer gegevens'!$C$39)^('Invoer gegevens'!$C$17-'Invoer gegevens'!$C$16)+(-AY21/(1+'Invoer gegevens'!$C$39)^D21)+BE21+BF21</f>
        <v>0</v>
      </c>
      <c r="BH21" s="59"/>
      <c r="BJ21" s="214"/>
    </row>
    <row r="22" spans="1:68" x14ac:dyDescent="0.25">
      <c r="A22" s="59"/>
      <c r="B22" s="70">
        <f t="shared" si="6"/>
        <v>18</v>
      </c>
      <c r="C22" s="67">
        <f ca="1">IF(AND(E22&gt;='Invoer gegevens'!$C$17,E22&lt;'Invoer gegevens'!$C$17+'Invoer gegevens'!$I$14),1,0)</f>
        <v>1</v>
      </c>
      <c r="D22" s="68">
        <f t="shared" si="7"/>
        <v>17.5</v>
      </c>
      <c r="E22" s="69">
        <f ca="1">IF('Invoer gegevens'!$C$16="","",E21+1)</f>
        <v>2036</v>
      </c>
      <c r="F22" s="82">
        <f ca="1">IF('Invoer gegevens'!$C$17=E22,'Invoer gegevens'!$C$10,IF(C22=1,H21,0))</f>
        <v>0</v>
      </c>
      <c r="G22" s="83">
        <f ca="1">IF(E22='Invoer gegevens'!$C$17+'Invoer gegevens'!$I$14,H21,IF(C22&gt;=1,F22*Reeksen!C22,0))</f>
        <v>0</v>
      </c>
      <c r="H22" s="84">
        <f ca="1">IF(E22&gt;='Invoer gegevens'!$C$17+'Invoer gegevens'!$I$14,0,F22-G22)</f>
        <v>0</v>
      </c>
      <c r="I22" s="85">
        <f ca="1">IF('Invoer gegevens'!$C$17=E22,'Invoer gegevens'!$C$11,IF(C22=1,L21,0))</f>
        <v>0</v>
      </c>
      <c r="J22" s="86">
        <f ca="1">IF(E22='Invoer gegevens'!$C$17+'Invoer gegevens'!$I$14,L21,IF(C22&lt;1,0,IF(Reeksen!BG22&lt;=Reeksen!AE22,I22*Reeksen!C22,0)))</f>
        <v>0</v>
      </c>
      <c r="K22" s="86">
        <f ca="1">IF(E22='Invoer gegevens'!$C$17+'Invoer gegevens'!$I$14,L21,IF(C22&lt;1,0,IF(Reeksen!BG22&gt;Reeksen!AE22,I22*Reeksen!C22,0)))</f>
        <v>0</v>
      </c>
      <c r="L22" s="86">
        <f ca="1">IF(E22&gt;='Invoer gegevens'!$C$17+'Invoer gegevens'!$I$14,0,I22-J22-K22)</f>
        <v>0</v>
      </c>
      <c r="M22" s="85">
        <f ca="1">IF('Invoer gegevens'!$C$17=E22,'Invoer gegevens'!$C$10-'Invoer gegevens'!$C$11,IF(C22=1,P21,0))</f>
        <v>0</v>
      </c>
      <c r="N22" s="86">
        <f ca="1">IF(E22='Invoer gegevens'!$C$17+'Invoer gegevens'!$I$14,P21,IF(C22&lt;1,0,IF(Reeksen!BG22&lt;=Reeksen!AE22,M22*Reeksen!C22,0)))</f>
        <v>0</v>
      </c>
      <c r="O22" s="86">
        <f ca="1">IF(E22='Invoer gegevens'!$C$17+'Invoer gegevens'!$I$14,P21,IF(C22&lt;1,0,IF(Reeksen!BG22&gt;Reeksen!AE22,M22*Reeksen!C22,0)))</f>
        <v>0</v>
      </c>
      <c r="P22" s="86">
        <f ca="1">IF(E22&gt;='Invoer gegevens'!$C$17+'Invoer gegevens'!$I$14,0,M22-N22-O22)</f>
        <v>0</v>
      </c>
      <c r="Q22" s="82">
        <f ca="1">IF('Invoer gegevens'!$C$17=E22,I22,IF(C22=0,0,R21))</f>
        <v>0</v>
      </c>
      <c r="R22" s="84">
        <f t="shared" ca="1" si="0"/>
        <v>0</v>
      </c>
      <c r="S22" s="84">
        <f ca="1">IF('Invoer gegevens'!$C$17=E22,M22,IF(C22=0,0,T21))</f>
        <v>0</v>
      </c>
      <c r="T22" s="84">
        <f t="shared" ca="1" si="1"/>
        <v>0</v>
      </c>
      <c r="AH22" s="70"/>
      <c r="AI22" s="71">
        <f ca="1">IF(C22=1,((F22+H22)/2*Reeksen!BF22*12)+(('Invoer gegevens'!$C$10-(F22+H22)/2)*Reeksen!BG22*12),0)</f>
        <v>0</v>
      </c>
      <c r="AJ22" s="71">
        <f ca="1">-AI22*'Invoer gegevens'!$I$26</f>
        <v>0</v>
      </c>
      <c r="AK22" s="71">
        <f t="shared" ca="1" si="2"/>
        <v>0</v>
      </c>
      <c r="AL22" s="71">
        <f ca="1">IF(C22=1,(12*((F22+H22)/2)*Reeksen!AL22)+(12*('Invoer gegevens'!$C$10-(F22+H22)/2)*Reeksen!AM22),0)</f>
        <v>0</v>
      </c>
      <c r="AM22" s="71">
        <f ca="1">-AL22*'Invoer gegevens'!$F$31</f>
        <v>0</v>
      </c>
      <c r="AN22" s="71">
        <f t="shared" ca="1" si="3"/>
        <v>0</v>
      </c>
      <c r="AO22" s="71"/>
      <c r="AP22" s="71"/>
      <c r="AQ22" s="71">
        <f ca="1">-IF(C22=1,('Invoer gegevens'!$C$10*'Invoer gegevens'!$I$33)*Reeksen!J22,0)</f>
        <v>0</v>
      </c>
      <c r="AR22" s="71">
        <f ca="1">-IF(C22=1,(G22*'Invoer gegevens'!$I$34)*Reeksen!J22,0)</f>
        <v>0</v>
      </c>
      <c r="AS22" s="71">
        <f ca="1">-IF(C22=1,'Invoer gegevens'!$C$10*'Invoer gegevens'!$I$35*Reeksen!L22,0)</f>
        <v>0</v>
      </c>
      <c r="AT22" s="71">
        <f ca="1">-IF(C22=1,IF(E22='Invoer gegevens'!$C$17,'Invoer gegevens'!$C$11,Q22)*Reeksen!S22*'Invoer gegevens'!$C$18*Reeksen!P22,0)</f>
        <v>0</v>
      </c>
      <c r="AU22" s="71">
        <f ca="1">-IF(C22=1,'Invoer gegevens'!$C$10*'Invoer gegevens'!$I$36*Reeksen!H22,0)</f>
        <v>0</v>
      </c>
      <c r="AV22" s="71">
        <f t="shared" ca="1" si="4"/>
        <v>0</v>
      </c>
      <c r="AW22" s="72">
        <f ca="1">IFERROR(IF(E22='Invoer gegevens'!$C$17+'Invoer gegevens'!$I$14-1,'Invoer gegevens'!$I$13*'Invoer gegevens'!$C$10*Reeksen!H22,0),0)</f>
        <v>0</v>
      </c>
      <c r="AX22" s="72">
        <f ca="1">IFERROR(IF(E22='Invoer gegevens'!$C$17,-'Invoer gegevens'!$C$10*'Invoer gegevens'!$C$31*Reeksen!H22,0),0)</f>
        <v>0</v>
      </c>
      <c r="AY22" s="73">
        <f ca="1">IF('Invoer gegevens'!$C$34=E22,'Invoer gegevens'!$C$27*'Invoer gegevens'!$C$10*'Invoer gegevens'!$C$36*(IF('Invoer gegevens'!$C$35="ja",1,Reeksen!J22)),IF('Invoer gegevens'!$C$34+1=E22,'Invoer gegevens'!$C$27*'Invoer gegevens'!$C$10*'Invoer gegevens'!$C$37*(IF('Invoer gegevens'!$C$35="ja",1,Reeksen!J22)),0))+IF(AND(E22='Invoer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2" s="73">
        <f ca="1">AV22/(1+'Invoer gegevens'!$I$12)^($D22-('Invoer gegevens'!$C$17-'Invoer gegevens'!$C$16))/(1+'Invoer gegevens'!$C$39)^('Invoer gegevens'!$C$17-'Invoer gegevens'!$C$16)</f>
        <v>0</v>
      </c>
      <c r="BA22" s="73">
        <f ca="1">AW22/(1+'Invoer gegevens'!$I$12)^(E22-('Invoer gegevens'!$C$17-1))/(1+'Invoer gegevens'!$C$39)^('Invoer gegevens'!$C$17-'Invoer gegevens'!$C$16)</f>
        <v>0</v>
      </c>
      <c r="BB22" s="73">
        <f ca="1">AX22/(1+'Invoer gegevens'!$C$39)^('Invoer gegevens'!$C$17-'Invoer gegevens'!$C$16)</f>
        <v>0</v>
      </c>
      <c r="BC22" s="72">
        <f t="shared" ca="1" si="5"/>
        <v>0</v>
      </c>
      <c r="BD22" s="72">
        <f ca="1">IF(AND(E22='Invoer gegevens'!$C$16,'Invoer gegevens'!$C$34&lt;'Invoer gegevens'!$C$16),AY22,AY22/(1+'Invoer gegevens'!$C$39)^D22)</f>
        <v>0</v>
      </c>
      <c r="BE22" s="72">
        <f ca="1">IF(E22='Invoer gegevens'!$C$34,-'Invoer gegevens'!$I$38,0)</f>
        <v>0</v>
      </c>
      <c r="BF22" s="72">
        <f ca="1">IF(E22='Invoer gegevens'!$C$17,-'Invoer gegevens'!$C$19*$BC$66,0)</f>
        <v>0</v>
      </c>
      <c r="BG22" s="72">
        <f ca="1">AV22/(1+$BG$4)^($D22-('Invoer gegevens'!$C$17-'Invoer gegevens'!$C$16))/(1+'Invoer gegevens'!$C$39)^('Invoer gegevens'!$C$17-'Invoer gegevens'!$C$16)+AW22/(1+$BG$4)^(E22-('Invoer gegevens'!$C$17-1))/(1+'Invoer gegevens'!$C$39)^('Invoer gegevens'!$C$17-'Invoer gegevens'!$C$16)+AX22/(1+'Invoer gegevens'!$C$39)^('Invoer gegevens'!$C$17-'Invoer gegevens'!$C$16)+(-AY22/(1+'Invoer gegevens'!$C$39)^D22)+BE22+BF22</f>
        <v>0</v>
      </c>
      <c r="BH22" s="59"/>
      <c r="BJ22" s="214"/>
    </row>
    <row r="23" spans="1:68" x14ac:dyDescent="0.25">
      <c r="A23" s="59"/>
      <c r="B23" s="70">
        <f t="shared" si="6"/>
        <v>19</v>
      </c>
      <c r="C23" s="67">
        <f ca="1">IF(AND(E23&gt;='Invoer gegevens'!$C$17,E23&lt;'Invoer gegevens'!$C$17+'Invoer gegevens'!$I$14),1,0)</f>
        <v>1</v>
      </c>
      <c r="D23" s="68">
        <f t="shared" si="7"/>
        <v>18.5</v>
      </c>
      <c r="E23" s="69">
        <f ca="1">IF('Invoer gegevens'!$C$16="","",E22+1)</f>
        <v>2037</v>
      </c>
      <c r="F23" s="82">
        <f ca="1">IF('Invoer gegevens'!$C$17=E23,'Invoer gegevens'!$C$10,IF(C23=1,H22,0))</f>
        <v>0</v>
      </c>
      <c r="G23" s="83">
        <f ca="1">IF(E23='Invoer gegevens'!$C$17+'Invoer gegevens'!$I$14,H22,IF(C23&gt;=1,F23*Reeksen!C23,0))</f>
        <v>0</v>
      </c>
      <c r="H23" s="84">
        <f ca="1">IF(E23&gt;='Invoer gegevens'!$C$17+'Invoer gegevens'!$I$14,0,F23-G23)</f>
        <v>0</v>
      </c>
      <c r="I23" s="85">
        <f ca="1">IF('Invoer gegevens'!$C$17=E23,'Invoer gegevens'!$C$11,IF(C23=1,L22,0))</f>
        <v>0</v>
      </c>
      <c r="J23" s="86">
        <f ca="1">IF(E23='Invoer gegevens'!$C$17+'Invoer gegevens'!$I$14,L22,IF(C23&lt;1,0,IF(Reeksen!BG23&lt;=Reeksen!AE23,I23*Reeksen!C23,0)))</f>
        <v>0</v>
      </c>
      <c r="K23" s="86">
        <f ca="1">IF(E23='Invoer gegevens'!$C$17+'Invoer gegevens'!$I$14,L22,IF(C23&lt;1,0,IF(Reeksen!BG23&gt;Reeksen!AE23,I23*Reeksen!C23,0)))</f>
        <v>0</v>
      </c>
      <c r="L23" s="86">
        <f ca="1">IF(E23&gt;='Invoer gegevens'!$C$17+'Invoer gegevens'!$I$14,0,I23-J23-K23)</f>
        <v>0</v>
      </c>
      <c r="M23" s="85">
        <f ca="1">IF('Invoer gegevens'!$C$17=E23,'Invoer gegevens'!$C$10-'Invoer gegevens'!$C$11,IF(C23=1,P22,0))</f>
        <v>0</v>
      </c>
      <c r="N23" s="86">
        <f ca="1">IF(E23='Invoer gegevens'!$C$17+'Invoer gegevens'!$I$14,P22,IF(C23&lt;1,0,IF(Reeksen!BG23&lt;=Reeksen!AE23,M23*Reeksen!C23,0)))</f>
        <v>0</v>
      </c>
      <c r="O23" s="86">
        <f ca="1">IF(E23='Invoer gegevens'!$C$17+'Invoer gegevens'!$I$14,P22,IF(C23&lt;1,0,IF(Reeksen!BG23&gt;Reeksen!AE23,M23*Reeksen!C23,0)))</f>
        <v>0</v>
      </c>
      <c r="P23" s="86">
        <f ca="1">IF(E23&gt;='Invoer gegevens'!$C$17+'Invoer gegevens'!$I$14,0,M23-N23-O23)</f>
        <v>0</v>
      </c>
      <c r="Q23" s="82">
        <f ca="1">IF('Invoer gegevens'!$C$17=E23,I23,IF(C23=0,0,R22))</f>
        <v>0</v>
      </c>
      <c r="R23" s="84">
        <f t="shared" ca="1" si="0"/>
        <v>0</v>
      </c>
      <c r="S23" s="84">
        <f ca="1">IF('Invoer gegevens'!$C$17=E23,M23,IF(C23=0,0,T22))</f>
        <v>0</v>
      </c>
      <c r="T23" s="84">
        <f t="shared" ca="1" si="1"/>
        <v>0</v>
      </c>
      <c r="AH23" s="70"/>
      <c r="AI23" s="71">
        <f ca="1">IF(C23=1,((F23+H23)/2*Reeksen!BF23*12)+(('Invoer gegevens'!$C$10-(F23+H23)/2)*Reeksen!BG23*12),0)</f>
        <v>0</v>
      </c>
      <c r="AJ23" s="71">
        <f ca="1">-AI23*'Invoer gegevens'!$I$26</f>
        <v>0</v>
      </c>
      <c r="AK23" s="71">
        <f t="shared" ca="1" si="2"/>
        <v>0</v>
      </c>
      <c r="AL23" s="71">
        <f ca="1">IF(C23=1,(12*((F23+H23)/2)*Reeksen!AL23)+(12*('Invoer gegevens'!$C$10-(F23+H23)/2)*Reeksen!AM23),0)</f>
        <v>0</v>
      </c>
      <c r="AM23" s="71">
        <f ca="1">-AL23*'Invoer gegevens'!$F$31</f>
        <v>0</v>
      </c>
      <c r="AN23" s="71">
        <f t="shared" ca="1" si="3"/>
        <v>0</v>
      </c>
      <c r="AO23" s="71"/>
      <c r="AP23" s="71"/>
      <c r="AQ23" s="71">
        <f ca="1">-IF(C23=1,('Invoer gegevens'!$C$10*'Invoer gegevens'!$I$33)*Reeksen!J23,0)</f>
        <v>0</v>
      </c>
      <c r="AR23" s="71">
        <f ca="1">-IF(C23=1,(G23*'Invoer gegevens'!$I$34)*Reeksen!J23,0)</f>
        <v>0</v>
      </c>
      <c r="AS23" s="71">
        <f ca="1">-IF(C23=1,'Invoer gegevens'!$C$10*'Invoer gegevens'!$I$35*Reeksen!L23,0)</f>
        <v>0</v>
      </c>
      <c r="AT23" s="71">
        <f ca="1">-IF(C23=1,IF(E23='Invoer gegevens'!$C$17,'Invoer gegevens'!$C$11,Q23)*Reeksen!S23*'Invoer gegevens'!$C$18*Reeksen!P23,0)</f>
        <v>0</v>
      </c>
      <c r="AU23" s="71">
        <f ca="1">-IF(C23=1,'Invoer gegevens'!$C$10*'Invoer gegevens'!$I$36*Reeksen!H23,0)</f>
        <v>0</v>
      </c>
      <c r="AV23" s="71">
        <f t="shared" ca="1" si="4"/>
        <v>0</v>
      </c>
      <c r="AW23" s="72">
        <f ca="1">IFERROR(IF(E23='Invoer gegevens'!$C$17+'Invoer gegevens'!$I$14-1,'Invoer gegevens'!$I$13*'Invoer gegevens'!$C$10*Reeksen!H23,0),0)</f>
        <v>0</v>
      </c>
      <c r="AX23" s="72">
        <f ca="1">IFERROR(IF(E23='Invoer gegevens'!$C$17,-'Invoer gegevens'!$C$10*'Invoer gegevens'!$C$31*Reeksen!H23,0),0)</f>
        <v>0</v>
      </c>
      <c r="AY23" s="73">
        <f ca="1">IF('Invoer gegevens'!$C$34=E23,'Invoer gegevens'!$C$27*'Invoer gegevens'!$C$10*'Invoer gegevens'!$C$36*(IF('Invoer gegevens'!$C$35="ja",1,Reeksen!J23)),IF('Invoer gegevens'!$C$34+1=E23,'Invoer gegevens'!$C$27*'Invoer gegevens'!$C$10*'Invoer gegevens'!$C$37*(IF('Invoer gegevens'!$C$35="ja",1,Reeksen!J23)),0))+IF(AND(E23='Invoer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3" s="73">
        <f ca="1">AV23/(1+'Invoer gegevens'!$I$12)^($D23-('Invoer gegevens'!$C$17-'Invoer gegevens'!$C$16))/(1+'Invoer gegevens'!$C$39)^('Invoer gegevens'!$C$17-'Invoer gegevens'!$C$16)</f>
        <v>0</v>
      </c>
      <c r="BA23" s="73">
        <f ca="1">AW23/(1+'Invoer gegevens'!$I$12)^(E23-('Invoer gegevens'!$C$17-1))/(1+'Invoer gegevens'!$C$39)^('Invoer gegevens'!$C$17-'Invoer gegevens'!$C$16)</f>
        <v>0</v>
      </c>
      <c r="BB23" s="73">
        <f ca="1">AX23/(1+'Invoer gegevens'!$C$39)^('Invoer gegevens'!$C$17-'Invoer gegevens'!$C$16)</f>
        <v>0</v>
      </c>
      <c r="BC23" s="72">
        <f t="shared" ca="1" si="5"/>
        <v>0</v>
      </c>
      <c r="BD23" s="72">
        <f ca="1">IF(AND(E23='Invoer gegevens'!$C$16,'Invoer gegevens'!$C$34&lt;'Invoer gegevens'!$C$16),AY23,AY23/(1+'Invoer gegevens'!$C$39)^D23)</f>
        <v>0</v>
      </c>
      <c r="BE23" s="72">
        <f ca="1">IF(E23='Invoer gegevens'!$C$34,-'Invoer gegevens'!$I$38,0)</f>
        <v>0</v>
      </c>
      <c r="BF23" s="72">
        <f ca="1">IF(E23='Invoer gegevens'!$C$17,-'Invoer gegevens'!$C$19*$BC$66,0)</f>
        <v>0</v>
      </c>
      <c r="BG23" s="72">
        <f ca="1">AV23/(1+$BG$4)^($D23-('Invoer gegevens'!$C$17-'Invoer gegevens'!$C$16))/(1+'Invoer gegevens'!$C$39)^('Invoer gegevens'!$C$17-'Invoer gegevens'!$C$16)+AW23/(1+$BG$4)^(E23-('Invoer gegevens'!$C$17-1))/(1+'Invoer gegevens'!$C$39)^('Invoer gegevens'!$C$17-'Invoer gegevens'!$C$16)+AX23/(1+'Invoer gegevens'!$C$39)^('Invoer gegevens'!$C$17-'Invoer gegevens'!$C$16)+(-AY23/(1+'Invoer gegevens'!$C$39)^D23)+BE23+BF23</f>
        <v>0</v>
      </c>
      <c r="BH23" s="59"/>
      <c r="BJ23" s="214"/>
    </row>
    <row r="24" spans="1:68" x14ac:dyDescent="0.25">
      <c r="A24" s="59"/>
      <c r="B24" s="70">
        <f t="shared" si="6"/>
        <v>20</v>
      </c>
      <c r="C24" s="67">
        <f ca="1">IF(AND(E24&gt;='Invoer gegevens'!$C$17,E24&lt;'Invoer gegevens'!$C$17+'Invoer gegevens'!$I$14),1,0)</f>
        <v>1</v>
      </c>
      <c r="D24" s="68">
        <f t="shared" si="7"/>
        <v>19.5</v>
      </c>
      <c r="E24" s="69">
        <f ca="1">IF('Invoer gegevens'!$C$16="","",E23+1)</f>
        <v>2038</v>
      </c>
      <c r="F24" s="82">
        <f ca="1">IF('Invoer gegevens'!$C$17=E24,'Invoer gegevens'!$C$10,IF(C24=1,H23,0))</f>
        <v>0</v>
      </c>
      <c r="G24" s="83">
        <f ca="1">IF(E24='Invoer gegevens'!$C$17+'Invoer gegevens'!$I$14,H23,IF(C24&gt;=1,F24*Reeksen!C24,0))</f>
        <v>0</v>
      </c>
      <c r="H24" s="84">
        <f ca="1">IF(E24&gt;='Invoer gegevens'!$C$17+'Invoer gegevens'!$I$14,0,F24-G24)</f>
        <v>0</v>
      </c>
      <c r="I24" s="85">
        <f ca="1">IF('Invoer gegevens'!$C$17=E24,'Invoer gegevens'!$C$11,IF(C24=1,L23,0))</f>
        <v>0</v>
      </c>
      <c r="J24" s="86">
        <f ca="1">IF(E24='Invoer gegevens'!$C$17+'Invoer gegevens'!$I$14,L23,IF(C24&lt;1,0,IF(Reeksen!BG24&lt;=Reeksen!AE24,I24*Reeksen!C24,0)))</f>
        <v>0</v>
      </c>
      <c r="K24" s="86">
        <f ca="1">IF(E24='Invoer gegevens'!$C$17+'Invoer gegevens'!$I$14,L23,IF(C24&lt;1,0,IF(Reeksen!BG24&gt;Reeksen!AE24,I24*Reeksen!C24,0)))</f>
        <v>0</v>
      </c>
      <c r="L24" s="86">
        <f ca="1">IF(E24&gt;='Invoer gegevens'!$C$17+'Invoer gegevens'!$I$14,0,I24-J24-K24)</f>
        <v>0</v>
      </c>
      <c r="M24" s="85">
        <f ca="1">IF('Invoer gegevens'!$C$17=E24,'Invoer gegevens'!$C$10-'Invoer gegevens'!$C$11,IF(C24=1,P23,0))</f>
        <v>0</v>
      </c>
      <c r="N24" s="86">
        <f ca="1">IF(E24='Invoer gegevens'!$C$17+'Invoer gegevens'!$I$14,P23,IF(C24&lt;1,0,IF(Reeksen!BG24&lt;=Reeksen!AE24,M24*Reeksen!C24,0)))</f>
        <v>0</v>
      </c>
      <c r="O24" s="86">
        <f ca="1">IF(E24='Invoer gegevens'!$C$17+'Invoer gegevens'!$I$14,P23,IF(C24&lt;1,0,IF(Reeksen!BG24&gt;Reeksen!AE24,M24*Reeksen!C24,0)))</f>
        <v>0</v>
      </c>
      <c r="P24" s="86">
        <f ca="1">IF(E24&gt;='Invoer gegevens'!$C$17+'Invoer gegevens'!$I$14,0,M24-N24-O24)</f>
        <v>0</v>
      </c>
      <c r="Q24" s="82">
        <f ca="1">IF('Invoer gegevens'!$C$17=E24,I24,IF(C24=0,0,R23))</f>
        <v>0</v>
      </c>
      <c r="R24" s="84">
        <f t="shared" ca="1" si="0"/>
        <v>0</v>
      </c>
      <c r="S24" s="84">
        <f ca="1">IF('Invoer gegevens'!$C$17=E24,M24,IF(C24=0,0,T23))</f>
        <v>0</v>
      </c>
      <c r="T24" s="84">
        <f t="shared" ca="1" si="1"/>
        <v>0</v>
      </c>
      <c r="AH24" s="70"/>
      <c r="AI24" s="71">
        <f ca="1">IF(C24=1,((F24+H24)/2*Reeksen!BF24*12)+(('Invoer gegevens'!$C$10-(F24+H24)/2)*Reeksen!BG24*12),0)</f>
        <v>0</v>
      </c>
      <c r="AJ24" s="71">
        <f ca="1">-AI24*'Invoer gegevens'!$I$26</f>
        <v>0</v>
      </c>
      <c r="AK24" s="71">
        <f t="shared" ca="1" si="2"/>
        <v>0</v>
      </c>
      <c r="AL24" s="71">
        <f ca="1">IF(C24=1,(12*((F24+H24)/2)*Reeksen!AL24)+(12*('Invoer gegevens'!$C$10-(F24+H24)/2)*Reeksen!AM24),0)</f>
        <v>0</v>
      </c>
      <c r="AM24" s="71">
        <f ca="1">-AL24*'Invoer gegevens'!$F$31</f>
        <v>0</v>
      </c>
      <c r="AN24" s="71">
        <f t="shared" ca="1" si="3"/>
        <v>0</v>
      </c>
      <c r="AO24" s="71"/>
      <c r="AP24" s="71"/>
      <c r="AQ24" s="71">
        <f ca="1">-IF(C24=1,('Invoer gegevens'!$C$10*'Invoer gegevens'!$I$33)*Reeksen!J24,0)</f>
        <v>0</v>
      </c>
      <c r="AR24" s="71">
        <f ca="1">-IF(C24=1,(G24*'Invoer gegevens'!$I$34)*Reeksen!J24,0)</f>
        <v>0</v>
      </c>
      <c r="AS24" s="71">
        <f ca="1">-IF(C24=1,'Invoer gegevens'!$C$10*'Invoer gegevens'!$I$35*Reeksen!L24,0)</f>
        <v>0</v>
      </c>
      <c r="AT24" s="71">
        <f ca="1">-IF(C24=1,IF(E24='Invoer gegevens'!$C$17,'Invoer gegevens'!$C$11,Q24)*Reeksen!S24*'Invoer gegevens'!$C$18*Reeksen!P24,0)</f>
        <v>0</v>
      </c>
      <c r="AU24" s="71">
        <f ca="1">-IF(C24=1,'Invoer gegevens'!$C$10*'Invoer gegevens'!$I$36*Reeksen!H24,0)</f>
        <v>0</v>
      </c>
      <c r="AV24" s="71">
        <f t="shared" ca="1" si="4"/>
        <v>0</v>
      </c>
      <c r="AW24" s="72">
        <f ca="1">IFERROR(IF(E24='Invoer gegevens'!$C$17+'Invoer gegevens'!$I$14-1,'Invoer gegevens'!$I$13*'Invoer gegevens'!$C$10*Reeksen!H24,0),0)</f>
        <v>0</v>
      </c>
      <c r="AX24" s="72">
        <f ca="1">IFERROR(IF(E24='Invoer gegevens'!$C$17,-'Invoer gegevens'!$C$10*'Invoer gegevens'!$C$31*Reeksen!H24,0),0)</f>
        <v>0</v>
      </c>
      <c r="AY24" s="73">
        <f ca="1">IF('Invoer gegevens'!$C$34=E24,'Invoer gegevens'!$C$27*'Invoer gegevens'!$C$10*'Invoer gegevens'!$C$36*(IF('Invoer gegevens'!$C$35="ja",1,Reeksen!J24)),IF('Invoer gegevens'!$C$34+1=E24,'Invoer gegevens'!$C$27*'Invoer gegevens'!$C$10*'Invoer gegevens'!$C$37*(IF('Invoer gegevens'!$C$35="ja",1,Reeksen!J24)),0))+IF(AND(E24='Invoer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4" s="73">
        <f ca="1">AV24/(1+'Invoer gegevens'!$I$12)^($D24-('Invoer gegevens'!$C$17-'Invoer gegevens'!$C$16))/(1+'Invoer gegevens'!$C$39)^('Invoer gegevens'!$C$17-'Invoer gegevens'!$C$16)</f>
        <v>0</v>
      </c>
      <c r="BA24" s="73">
        <f ca="1">AW24/(1+'Invoer gegevens'!$I$12)^(E24-('Invoer gegevens'!$C$17-1))/(1+'Invoer gegevens'!$C$39)^('Invoer gegevens'!$C$17-'Invoer gegevens'!$C$16)</f>
        <v>0</v>
      </c>
      <c r="BB24" s="73">
        <f ca="1">AX24/(1+'Invoer gegevens'!$C$39)^('Invoer gegevens'!$C$17-'Invoer gegevens'!$C$16)</f>
        <v>0</v>
      </c>
      <c r="BC24" s="72">
        <f t="shared" ca="1" si="5"/>
        <v>0</v>
      </c>
      <c r="BD24" s="72">
        <f ca="1">IF(AND(E24='Invoer gegevens'!$C$16,'Invoer gegevens'!$C$34&lt;'Invoer gegevens'!$C$16),AY24,AY24/(1+'Invoer gegevens'!$C$39)^D24)</f>
        <v>0</v>
      </c>
      <c r="BE24" s="72">
        <f ca="1">IF(E24='Invoer gegevens'!$C$34,-'Invoer gegevens'!$I$38,0)</f>
        <v>0</v>
      </c>
      <c r="BF24" s="72">
        <f ca="1">IF(E24='Invoer gegevens'!$C$17,-'Invoer gegevens'!$C$19*$BC$66,0)</f>
        <v>0</v>
      </c>
      <c r="BG24" s="72">
        <f ca="1">AV24/(1+$BG$4)^($D24-('Invoer gegevens'!$C$17-'Invoer gegevens'!$C$16))/(1+'Invoer gegevens'!$C$39)^('Invoer gegevens'!$C$17-'Invoer gegevens'!$C$16)+AW24/(1+$BG$4)^(E24-('Invoer gegevens'!$C$17-1))/(1+'Invoer gegevens'!$C$39)^('Invoer gegevens'!$C$17-'Invoer gegevens'!$C$16)+AX24/(1+'Invoer gegevens'!$C$39)^('Invoer gegevens'!$C$17-'Invoer gegevens'!$C$16)+(-AY24/(1+'Invoer gegevens'!$C$39)^D24)+BE24+BF24</f>
        <v>0</v>
      </c>
      <c r="BH24" s="59"/>
      <c r="BJ24" s="214"/>
    </row>
    <row r="25" spans="1:68" x14ac:dyDescent="0.25">
      <c r="A25" s="59"/>
      <c r="B25" s="70">
        <f t="shared" si="6"/>
        <v>21</v>
      </c>
      <c r="C25" s="67">
        <f ca="1">IF(AND(E25&gt;='Invoer gegevens'!$C$17,E25&lt;'Invoer gegevens'!$C$17+'Invoer gegevens'!$I$14),1,0)</f>
        <v>1</v>
      </c>
      <c r="D25" s="68">
        <f t="shared" si="7"/>
        <v>20.5</v>
      </c>
      <c r="E25" s="69">
        <f ca="1">IF('Invoer gegevens'!$C$16="","",E24+1)</f>
        <v>2039</v>
      </c>
      <c r="F25" s="82">
        <f ca="1">IF('Invoer gegevens'!$C$17=E25,'Invoer gegevens'!$C$10,IF(C25=1,H24,0))</f>
        <v>0</v>
      </c>
      <c r="G25" s="83">
        <f ca="1">IF(E25='Invoer gegevens'!$C$17+'Invoer gegevens'!$I$14,H24,IF(C25&gt;=1,F25*Reeksen!C25,0))</f>
        <v>0</v>
      </c>
      <c r="H25" s="84">
        <f ca="1">IF(E25&gt;='Invoer gegevens'!$C$17+'Invoer gegevens'!$I$14,0,F25-G25)</f>
        <v>0</v>
      </c>
      <c r="I25" s="85">
        <f ca="1">IF('Invoer gegevens'!$C$17=E25,'Invoer gegevens'!$C$11,IF(C25=1,L24,0))</f>
        <v>0</v>
      </c>
      <c r="J25" s="86">
        <f ca="1">IF(E25='Invoer gegevens'!$C$17+'Invoer gegevens'!$I$14,L24,IF(C25&lt;1,0,IF(Reeksen!BG25&lt;=Reeksen!AE25,I25*Reeksen!C25,0)))</f>
        <v>0</v>
      </c>
      <c r="K25" s="86">
        <f ca="1">IF(E25='Invoer gegevens'!$C$17+'Invoer gegevens'!$I$14,L24,IF(C25&lt;1,0,IF(Reeksen!BG25&gt;Reeksen!AE25,I25*Reeksen!C25,0)))</f>
        <v>0</v>
      </c>
      <c r="L25" s="86">
        <f ca="1">IF(E25&gt;='Invoer gegevens'!$C$17+'Invoer gegevens'!$I$14,0,I25-J25-K25)</f>
        <v>0</v>
      </c>
      <c r="M25" s="85">
        <f ca="1">IF('Invoer gegevens'!$C$17=E25,'Invoer gegevens'!$C$10-'Invoer gegevens'!$C$11,IF(C25=1,P24,0))</f>
        <v>0</v>
      </c>
      <c r="N25" s="86">
        <f ca="1">IF(E25='Invoer gegevens'!$C$17+'Invoer gegevens'!$I$14,P24,IF(C25&lt;1,0,IF(Reeksen!BG25&lt;=Reeksen!AE25,M25*Reeksen!C25,0)))</f>
        <v>0</v>
      </c>
      <c r="O25" s="86">
        <f ca="1">IF(E25='Invoer gegevens'!$C$17+'Invoer gegevens'!$I$14,P24,IF(C25&lt;1,0,IF(Reeksen!BG25&gt;Reeksen!AE25,M25*Reeksen!C25,0)))</f>
        <v>0</v>
      </c>
      <c r="P25" s="86">
        <f ca="1">IF(E25&gt;='Invoer gegevens'!$C$17+'Invoer gegevens'!$I$14,0,M25-N25-O25)</f>
        <v>0</v>
      </c>
      <c r="Q25" s="82">
        <f ca="1">IF('Invoer gegevens'!$C$17=E25,I25,IF(C25=0,0,R24))</f>
        <v>0</v>
      </c>
      <c r="R25" s="84">
        <f t="shared" ca="1" si="0"/>
        <v>0</v>
      </c>
      <c r="S25" s="84">
        <f ca="1">IF('Invoer gegevens'!$C$17=E25,M25,IF(C25=0,0,T24))</f>
        <v>0</v>
      </c>
      <c r="T25" s="84">
        <f t="shared" ca="1" si="1"/>
        <v>0</v>
      </c>
      <c r="AH25" s="70"/>
      <c r="AI25" s="71">
        <f ca="1">IF(C25=1,((F25+H25)/2*Reeksen!BF25*12)+(('Invoer gegevens'!$C$10-(F25+H25)/2)*Reeksen!BG25*12),0)</f>
        <v>0</v>
      </c>
      <c r="AJ25" s="71">
        <f ca="1">-AI25*'Invoer gegevens'!$I$26</f>
        <v>0</v>
      </c>
      <c r="AK25" s="71">
        <f t="shared" ca="1" si="2"/>
        <v>0</v>
      </c>
      <c r="AL25" s="71">
        <f ca="1">IF(C25=1,(12*((F25+H25)/2)*Reeksen!AL25)+(12*('Invoer gegevens'!$C$10-(F25+H25)/2)*Reeksen!AM25),0)</f>
        <v>0</v>
      </c>
      <c r="AM25" s="71">
        <f ca="1">-AL25*'Invoer gegevens'!$F$31</f>
        <v>0</v>
      </c>
      <c r="AN25" s="71">
        <f t="shared" ca="1" si="3"/>
        <v>0</v>
      </c>
      <c r="AO25" s="71"/>
      <c r="AP25" s="71"/>
      <c r="AQ25" s="71">
        <f ca="1">-IF(C25=1,('Invoer gegevens'!$C$10*'Invoer gegevens'!$I$33)*Reeksen!J25,0)</f>
        <v>0</v>
      </c>
      <c r="AR25" s="71">
        <f ca="1">-IF(C25=1,(G25*'Invoer gegevens'!$I$34)*Reeksen!J25,0)</f>
        <v>0</v>
      </c>
      <c r="AS25" s="71">
        <f ca="1">-IF(C25=1,'Invoer gegevens'!$C$10*'Invoer gegevens'!$I$35*Reeksen!L25,0)</f>
        <v>0</v>
      </c>
      <c r="AT25" s="71">
        <f ca="1">-IF(C25=1,IF(E25='Invoer gegevens'!$C$17,'Invoer gegevens'!$C$11,Q25)*Reeksen!S25*'Invoer gegevens'!$C$18*Reeksen!P25,0)</f>
        <v>0</v>
      </c>
      <c r="AU25" s="71">
        <f ca="1">-IF(C25=1,'Invoer gegevens'!$C$10*'Invoer gegevens'!$I$36*Reeksen!H25,0)</f>
        <v>0</v>
      </c>
      <c r="AV25" s="71">
        <f t="shared" ca="1" si="4"/>
        <v>0</v>
      </c>
      <c r="AW25" s="72">
        <f ca="1">IFERROR(IF(E25='Invoer gegevens'!$C$17+'Invoer gegevens'!$I$14-1,'Invoer gegevens'!$I$13*'Invoer gegevens'!$C$10*Reeksen!H25,0),0)</f>
        <v>0</v>
      </c>
      <c r="AX25" s="72">
        <f ca="1">IFERROR(IF(E25='Invoer gegevens'!$C$17,-'Invoer gegevens'!$C$10*'Invoer gegevens'!$C$31*Reeksen!H25,0),0)</f>
        <v>0</v>
      </c>
      <c r="AY25" s="73">
        <f ca="1">IF('Invoer gegevens'!$C$34=E25,'Invoer gegevens'!$C$27*'Invoer gegevens'!$C$10*'Invoer gegevens'!$C$36*(IF('Invoer gegevens'!$C$35="ja",1,Reeksen!J25)),IF('Invoer gegevens'!$C$34+1=E25,'Invoer gegevens'!$C$27*'Invoer gegevens'!$C$10*'Invoer gegevens'!$C$37*(IF('Invoer gegevens'!$C$35="ja",1,Reeksen!J25)),0))+IF(AND(E25='Invoer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5" s="73">
        <f ca="1">AV25/(1+'Invoer gegevens'!$I$12)^($D25-('Invoer gegevens'!$C$17-'Invoer gegevens'!$C$16))/(1+'Invoer gegevens'!$C$39)^('Invoer gegevens'!$C$17-'Invoer gegevens'!$C$16)</f>
        <v>0</v>
      </c>
      <c r="BA25" s="73">
        <f ca="1">AW25/(1+'Invoer gegevens'!$I$12)^(E25-('Invoer gegevens'!$C$17-1))/(1+'Invoer gegevens'!$C$39)^('Invoer gegevens'!$C$17-'Invoer gegevens'!$C$16)</f>
        <v>0</v>
      </c>
      <c r="BB25" s="73">
        <f ca="1">AX25/(1+'Invoer gegevens'!$C$39)^('Invoer gegevens'!$C$17-'Invoer gegevens'!$C$16)</f>
        <v>0</v>
      </c>
      <c r="BC25" s="72">
        <f t="shared" ca="1" si="5"/>
        <v>0</v>
      </c>
      <c r="BD25" s="72">
        <f ca="1">IF(AND(E25='Invoer gegevens'!$C$16,'Invoer gegevens'!$C$34&lt;'Invoer gegevens'!$C$16),AY25,AY25/(1+'Invoer gegevens'!$C$39)^D25)</f>
        <v>0</v>
      </c>
      <c r="BE25" s="72">
        <f ca="1">IF(E25='Invoer gegevens'!$C$34,-'Invoer gegevens'!$I$38,0)</f>
        <v>0</v>
      </c>
      <c r="BF25" s="72">
        <f ca="1">IF(E25='Invoer gegevens'!$C$17,-'Invoer gegevens'!$C$19*$BC$66,0)</f>
        <v>0</v>
      </c>
      <c r="BG25" s="72">
        <f ca="1">AV25/(1+$BG$4)^($D25-('Invoer gegevens'!$C$17-'Invoer gegevens'!$C$16))/(1+'Invoer gegevens'!$C$39)^('Invoer gegevens'!$C$17-'Invoer gegevens'!$C$16)+AW25/(1+$BG$4)^(E25-('Invoer gegevens'!$C$17-1))/(1+'Invoer gegevens'!$C$39)^('Invoer gegevens'!$C$17-'Invoer gegevens'!$C$16)+AX25/(1+'Invoer gegevens'!$C$39)^('Invoer gegevens'!$C$17-'Invoer gegevens'!$C$16)+(-AY25/(1+'Invoer gegevens'!$C$39)^D25)+BE25+BF25</f>
        <v>0</v>
      </c>
      <c r="BH25" s="59"/>
      <c r="BJ25" s="214"/>
    </row>
    <row r="26" spans="1:68" x14ac:dyDescent="0.25">
      <c r="A26" s="59"/>
      <c r="B26" s="70">
        <f>B25+1</f>
        <v>22</v>
      </c>
      <c r="C26" s="67">
        <f ca="1">IF(AND(E26&gt;='Invoer gegevens'!$C$17,E26&lt;'Invoer gegevens'!$C$17+'Invoer gegevens'!$I$14),1,0)</f>
        <v>1</v>
      </c>
      <c r="D26" s="68">
        <f t="shared" si="7"/>
        <v>21.5</v>
      </c>
      <c r="E26" s="69">
        <f ca="1">IF('Invoer gegevens'!$C$16="","",E25+1)</f>
        <v>2040</v>
      </c>
      <c r="F26" s="82">
        <f ca="1">IF('Invoer gegevens'!$C$17=E26,'Invoer gegevens'!$C$10,IF(C26=1,H25,0))</f>
        <v>0</v>
      </c>
      <c r="G26" s="83">
        <f ca="1">IF(E26='Invoer gegevens'!$C$17+'Invoer gegevens'!$I$14,H25,IF(C26&gt;=1,F26*Reeksen!C26,0))</f>
        <v>0</v>
      </c>
      <c r="H26" s="84">
        <f ca="1">IF(E26&gt;='Invoer gegevens'!$C$17+'Invoer gegevens'!$I$14,0,F26-G26)</f>
        <v>0</v>
      </c>
      <c r="I26" s="85">
        <f ca="1">IF('Invoer gegevens'!$C$17=E26,'Invoer gegevens'!$C$11,IF(C26=1,L25,0))</f>
        <v>0</v>
      </c>
      <c r="J26" s="86">
        <f ca="1">IF(E26='Invoer gegevens'!$C$17+'Invoer gegevens'!$I$14,L25,IF(C26&lt;1,0,IF(Reeksen!BG26&lt;=Reeksen!AE26,I26*Reeksen!C26,0)))</f>
        <v>0</v>
      </c>
      <c r="K26" s="86">
        <f ca="1">IF(E26='Invoer gegevens'!$C$17+'Invoer gegevens'!$I$14,L25,IF(C26&lt;1,0,IF(Reeksen!BG26&gt;Reeksen!AE26,I26*Reeksen!C26,0)))</f>
        <v>0</v>
      </c>
      <c r="L26" s="86">
        <f ca="1">IF(E26&gt;='Invoer gegevens'!$C$17+'Invoer gegevens'!$I$14,0,I26-J26-K26)</f>
        <v>0</v>
      </c>
      <c r="M26" s="85">
        <f ca="1">IF('Invoer gegevens'!$C$17=E26,'Invoer gegevens'!$C$10-'Invoer gegevens'!$C$11,IF(C26=1,P25,0))</f>
        <v>0</v>
      </c>
      <c r="N26" s="86">
        <f ca="1">IF(E26='Invoer gegevens'!$C$17+'Invoer gegevens'!$I$14,P25,IF(C26&lt;1,0,IF(Reeksen!BG26&lt;=Reeksen!AE26,M26*Reeksen!C26,0)))</f>
        <v>0</v>
      </c>
      <c r="O26" s="86">
        <f ca="1">IF(E26='Invoer gegevens'!$C$17+'Invoer gegevens'!$I$14,P25,IF(C26&lt;1,0,IF(Reeksen!BG26&gt;Reeksen!AE26,M26*Reeksen!C26,0)))</f>
        <v>0</v>
      </c>
      <c r="P26" s="86">
        <f ca="1">IF(E26&gt;='Invoer gegevens'!$C$17+'Invoer gegevens'!$I$14,0,M26-N26-O26)</f>
        <v>0</v>
      </c>
      <c r="Q26" s="82">
        <f ca="1">IF('Invoer gegevens'!$C$17=E26,I26,IF(C26=0,0,R25))</f>
        <v>0</v>
      </c>
      <c r="R26" s="84">
        <f t="shared" ca="1" si="0"/>
        <v>0</v>
      </c>
      <c r="S26" s="84">
        <f ca="1">IF('Invoer gegevens'!$C$17=E26,M26,IF(C26=0,0,T25))</f>
        <v>0</v>
      </c>
      <c r="T26" s="84">
        <f t="shared" ca="1" si="1"/>
        <v>0</v>
      </c>
      <c r="AH26" s="70"/>
      <c r="AI26" s="71">
        <f ca="1">IF(C26=1,((F26+H26)/2*Reeksen!BF26*12)+(('Invoer gegevens'!$C$10-(F26+H26)/2)*Reeksen!BG26*12),0)</f>
        <v>0</v>
      </c>
      <c r="AJ26" s="71">
        <f ca="1">-AI26*'Invoer gegevens'!$I$26</f>
        <v>0</v>
      </c>
      <c r="AK26" s="71">
        <f t="shared" ca="1" si="2"/>
        <v>0</v>
      </c>
      <c r="AL26" s="71">
        <f ca="1">IF(C26=1,(12*((F26+H26)/2)*Reeksen!AL26)+(12*('Invoer gegevens'!$C$10-(F26+H26)/2)*Reeksen!AM26),0)</f>
        <v>0</v>
      </c>
      <c r="AM26" s="71">
        <f ca="1">-AL26*'Invoer gegevens'!$F$31</f>
        <v>0</v>
      </c>
      <c r="AN26" s="71">
        <f t="shared" ca="1" si="3"/>
        <v>0</v>
      </c>
      <c r="AO26" s="71"/>
      <c r="AP26" s="71"/>
      <c r="AQ26" s="71">
        <f ca="1">-IF(C26=1,('Invoer gegevens'!$C$10*'Invoer gegevens'!$I$33)*Reeksen!J26,0)</f>
        <v>0</v>
      </c>
      <c r="AR26" s="71">
        <f ca="1">-IF(C26=1,(G26*'Invoer gegevens'!$I$34)*Reeksen!J26,0)</f>
        <v>0</v>
      </c>
      <c r="AS26" s="71">
        <f ca="1">-IF(C26=1,'Invoer gegevens'!$C$10*'Invoer gegevens'!$I$35*Reeksen!L26,0)</f>
        <v>0</v>
      </c>
      <c r="AT26" s="71">
        <f ca="1">-IF(C26=1,IF(E26='Invoer gegevens'!$C$17,'Invoer gegevens'!$C$11,Q26)*Reeksen!S26*'Invoer gegevens'!$C$18*Reeksen!P26,0)</f>
        <v>0</v>
      </c>
      <c r="AU26" s="71">
        <f ca="1">-IF(C26=1,'Invoer gegevens'!$C$10*'Invoer gegevens'!$I$36*Reeksen!H26,0)</f>
        <v>0</v>
      </c>
      <c r="AV26" s="71">
        <f t="shared" ca="1" si="4"/>
        <v>0</v>
      </c>
      <c r="AW26" s="72">
        <f ca="1">IFERROR(IF(E26='Invoer gegevens'!$C$17+'Invoer gegevens'!$I$14-1,'Invoer gegevens'!$I$13*'Invoer gegevens'!$C$10*Reeksen!H26,0),0)</f>
        <v>0</v>
      </c>
      <c r="AX26" s="72">
        <f ca="1">IFERROR(IF(E26='Invoer gegevens'!$C$17,-'Invoer gegevens'!$C$10*'Invoer gegevens'!$C$31*Reeksen!H26,0),0)</f>
        <v>0</v>
      </c>
      <c r="AY26" s="73">
        <f ca="1">IF('Invoer gegevens'!$C$34=E26,'Invoer gegevens'!$C$27*'Invoer gegevens'!$C$10*'Invoer gegevens'!$C$36*(IF('Invoer gegevens'!$C$35="ja",1,Reeksen!J26)),IF('Invoer gegevens'!$C$34+1=E26,'Invoer gegevens'!$C$27*'Invoer gegevens'!$C$10*'Invoer gegevens'!$C$37*(IF('Invoer gegevens'!$C$35="ja",1,Reeksen!J26)),0))+IF(AND(E26='Invoer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6" s="73">
        <f ca="1">AV26/(1+'Invoer gegevens'!$I$12)^($D26-('Invoer gegevens'!$C$17-'Invoer gegevens'!$C$16))/(1+'Invoer gegevens'!$C$39)^('Invoer gegevens'!$C$17-'Invoer gegevens'!$C$16)</f>
        <v>0</v>
      </c>
      <c r="BA26" s="73">
        <f ca="1">AW26/(1+'Invoer gegevens'!$I$12)^(E26-('Invoer gegevens'!$C$17-1))/(1+'Invoer gegevens'!$C$39)^('Invoer gegevens'!$C$17-'Invoer gegevens'!$C$16)</f>
        <v>0</v>
      </c>
      <c r="BB26" s="73">
        <f ca="1">AX26/(1+'Invoer gegevens'!$C$39)^('Invoer gegevens'!$C$17-'Invoer gegevens'!$C$16)</f>
        <v>0</v>
      </c>
      <c r="BC26" s="72">
        <f t="shared" ca="1" si="5"/>
        <v>0</v>
      </c>
      <c r="BD26" s="72">
        <f ca="1">IF(AND(E26='Invoer gegevens'!$C$16,'Invoer gegevens'!$C$34&lt;'Invoer gegevens'!$C$16),AY26,AY26/(1+'Invoer gegevens'!$C$39)^D26)</f>
        <v>0</v>
      </c>
      <c r="BE26" s="72">
        <f ca="1">IF(E26='Invoer gegevens'!$C$34,-'Invoer gegevens'!$I$38,0)</f>
        <v>0</v>
      </c>
      <c r="BF26" s="72">
        <f ca="1">IF(E26='Invoer gegevens'!$C$17,-'Invoer gegevens'!$C$19*$BC$66,0)</f>
        <v>0</v>
      </c>
      <c r="BG26" s="72">
        <f ca="1">AV26/(1+$BG$4)^($D26-('Invoer gegevens'!$C$17-'Invoer gegevens'!$C$16))/(1+'Invoer gegevens'!$C$39)^('Invoer gegevens'!$C$17-'Invoer gegevens'!$C$16)+AW26/(1+$BG$4)^(E26-('Invoer gegevens'!$C$17-1))/(1+'Invoer gegevens'!$C$39)^('Invoer gegevens'!$C$17-'Invoer gegevens'!$C$16)+AX26/(1+'Invoer gegevens'!$C$39)^('Invoer gegevens'!$C$17-'Invoer gegevens'!$C$16)+(-AY26/(1+'Invoer gegevens'!$C$39)^D26)+BE26+BF26</f>
        <v>0</v>
      </c>
      <c r="BH26" s="59"/>
      <c r="BJ26" s="214"/>
    </row>
    <row r="27" spans="1:68" x14ac:dyDescent="0.25">
      <c r="A27" s="59"/>
      <c r="B27" s="70">
        <f t="shared" si="6"/>
        <v>23</v>
      </c>
      <c r="C27" s="67">
        <f ca="1">IF(AND(E27&gt;='Invoer gegevens'!$C$17,E27&lt;'Invoer gegevens'!$C$17+'Invoer gegevens'!$I$14),1,0)</f>
        <v>1</v>
      </c>
      <c r="D27" s="68">
        <f t="shared" si="7"/>
        <v>22.5</v>
      </c>
      <c r="E27" s="69">
        <f ca="1">IF('Invoer gegevens'!$C$16="","",E26+1)</f>
        <v>2041</v>
      </c>
      <c r="F27" s="82">
        <f ca="1">IF('Invoer gegevens'!$C$17=E27,'Invoer gegevens'!$C$10,IF(C27=1,H26,0))</f>
        <v>0</v>
      </c>
      <c r="G27" s="83">
        <f ca="1">IF(E27='Invoer gegevens'!$C$17+'Invoer gegevens'!$I$14,H26,IF(C27&gt;=1,F27*Reeksen!C27,0))</f>
        <v>0</v>
      </c>
      <c r="H27" s="84">
        <f ca="1">IF(E27&gt;='Invoer gegevens'!$C$17+'Invoer gegevens'!$I$14,0,F27-G27)</f>
        <v>0</v>
      </c>
      <c r="I27" s="85">
        <f ca="1">IF('Invoer gegevens'!$C$17=E27,'Invoer gegevens'!$C$11,IF(C27=1,L26,0))</f>
        <v>0</v>
      </c>
      <c r="J27" s="86">
        <f ca="1">IF(E27='Invoer gegevens'!$C$17+'Invoer gegevens'!$I$14,L26,IF(C27&lt;1,0,IF(Reeksen!BG27&lt;=Reeksen!AE27,I27*Reeksen!C27,0)))</f>
        <v>0</v>
      </c>
      <c r="K27" s="86">
        <f ca="1">IF(E27='Invoer gegevens'!$C$17+'Invoer gegevens'!$I$14,L26,IF(C27&lt;1,0,IF(Reeksen!BG27&gt;Reeksen!AE27,I27*Reeksen!C27,0)))</f>
        <v>0</v>
      </c>
      <c r="L27" s="86">
        <f ca="1">IF(E27&gt;='Invoer gegevens'!$C$17+'Invoer gegevens'!$I$14,0,I27-J27-K27)</f>
        <v>0</v>
      </c>
      <c r="M27" s="85">
        <f ca="1">IF('Invoer gegevens'!$C$17=E27,'Invoer gegevens'!$C$10-'Invoer gegevens'!$C$11,IF(C27=1,P26,0))</f>
        <v>0</v>
      </c>
      <c r="N27" s="86">
        <f ca="1">IF(E27='Invoer gegevens'!$C$17+'Invoer gegevens'!$I$14,P26,IF(C27&lt;1,0,IF(Reeksen!BG27&lt;=Reeksen!AE27,M27*Reeksen!C27,0)))</f>
        <v>0</v>
      </c>
      <c r="O27" s="86">
        <f ca="1">IF(E27='Invoer gegevens'!$C$17+'Invoer gegevens'!$I$14,P26,IF(C27&lt;1,0,IF(Reeksen!BG27&gt;Reeksen!AE27,M27*Reeksen!C27,0)))</f>
        <v>0</v>
      </c>
      <c r="P27" s="86">
        <f ca="1">IF(E27&gt;='Invoer gegevens'!$C$17+'Invoer gegevens'!$I$14,0,M27-N27-O27)</f>
        <v>0</v>
      </c>
      <c r="Q27" s="82">
        <f ca="1">IF('Invoer gegevens'!$C$17=E27,I27,IF(C27=0,0,R26))</f>
        <v>0</v>
      </c>
      <c r="R27" s="84">
        <f t="shared" ca="1" si="0"/>
        <v>0</v>
      </c>
      <c r="S27" s="84">
        <f ca="1">IF('Invoer gegevens'!$C$17=E27,M27,IF(C27=0,0,T26))</f>
        <v>0</v>
      </c>
      <c r="T27" s="84">
        <f t="shared" ca="1" si="1"/>
        <v>0</v>
      </c>
      <c r="AH27" s="70"/>
      <c r="AI27" s="71">
        <f ca="1">IF(C27=1,((F27+H27)/2*Reeksen!BF27*12)+(('Invoer gegevens'!$C$10-(F27+H27)/2)*Reeksen!BG27*12),0)</f>
        <v>0</v>
      </c>
      <c r="AJ27" s="71">
        <f ca="1">-AI27*'Invoer gegevens'!$I$26</f>
        <v>0</v>
      </c>
      <c r="AK27" s="71">
        <f t="shared" ca="1" si="2"/>
        <v>0</v>
      </c>
      <c r="AL27" s="71">
        <f ca="1">IF(C27=1,(12*((F27+H27)/2)*Reeksen!AL27)+(12*('Invoer gegevens'!$C$10-(F27+H27)/2)*Reeksen!AM27),0)</f>
        <v>0</v>
      </c>
      <c r="AM27" s="71">
        <f ca="1">-AL27*'Invoer gegevens'!$F$31</f>
        <v>0</v>
      </c>
      <c r="AN27" s="71">
        <f t="shared" ca="1" si="3"/>
        <v>0</v>
      </c>
      <c r="AO27" s="71"/>
      <c r="AP27" s="71"/>
      <c r="AQ27" s="71">
        <f ca="1">-IF(C27=1,('Invoer gegevens'!$C$10*'Invoer gegevens'!$I$33)*Reeksen!J27,0)</f>
        <v>0</v>
      </c>
      <c r="AR27" s="71">
        <f ca="1">-IF(C27=1,(G27*'Invoer gegevens'!$I$34)*Reeksen!J27,0)</f>
        <v>0</v>
      </c>
      <c r="AS27" s="71">
        <f ca="1">-IF(C27=1,'Invoer gegevens'!$C$10*'Invoer gegevens'!$I$35*Reeksen!L27,0)</f>
        <v>0</v>
      </c>
      <c r="AT27" s="71">
        <f ca="1">-IF(C27=1,IF(E27='Invoer gegevens'!$C$17,'Invoer gegevens'!$C$11,Q27)*Reeksen!S27*'Invoer gegevens'!$C$18*Reeksen!P27,0)</f>
        <v>0</v>
      </c>
      <c r="AU27" s="71">
        <f ca="1">-IF(C27=1,'Invoer gegevens'!$C$10*'Invoer gegevens'!$I$36*Reeksen!H27,0)</f>
        <v>0</v>
      </c>
      <c r="AV27" s="71">
        <f t="shared" ca="1" si="4"/>
        <v>0</v>
      </c>
      <c r="AW27" s="72">
        <f ca="1">IFERROR(IF(E27='Invoer gegevens'!$C$17+'Invoer gegevens'!$I$14-1,'Invoer gegevens'!$I$13*'Invoer gegevens'!$C$10*Reeksen!H27,0),0)</f>
        <v>0</v>
      </c>
      <c r="AX27" s="72">
        <f ca="1">IFERROR(IF(E27='Invoer gegevens'!$C$17,-'Invoer gegevens'!$C$10*'Invoer gegevens'!$C$31*Reeksen!H27,0),0)</f>
        <v>0</v>
      </c>
      <c r="AY27" s="73">
        <f ca="1">IF('Invoer gegevens'!$C$34=E27,'Invoer gegevens'!$C$27*'Invoer gegevens'!$C$10*'Invoer gegevens'!$C$36*(IF('Invoer gegevens'!$C$35="ja",1,Reeksen!J27)),IF('Invoer gegevens'!$C$34+1=E27,'Invoer gegevens'!$C$27*'Invoer gegevens'!$C$10*'Invoer gegevens'!$C$37*(IF('Invoer gegevens'!$C$35="ja",1,Reeksen!J27)),0))+IF(AND(E27='Invoer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7" s="73">
        <f ca="1">AV27/(1+'Invoer gegevens'!$I$12)^($D27-('Invoer gegevens'!$C$17-'Invoer gegevens'!$C$16))/(1+'Invoer gegevens'!$C$39)^('Invoer gegevens'!$C$17-'Invoer gegevens'!$C$16)</f>
        <v>0</v>
      </c>
      <c r="BA27" s="73">
        <f ca="1">AW27/(1+'Invoer gegevens'!$I$12)^(E27-('Invoer gegevens'!$C$17-1))/(1+'Invoer gegevens'!$C$39)^('Invoer gegevens'!$C$17-'Invoer gegevens'!$C$16)</f>
        <v>0</v>
      </c>
      <c r="BB27" s="73">
        <f ca="1">AX27/(1+'Invoer gegevens'!$C$39)^('Invoer gegevens'!$C$17-'Invoer gegevens'!$C$16)</f>
        <v>0</v>
      </c>
      <c r="BC27" s="72">
        <f t="shared" ca="1" si="5"/>
        <v>0</v>
      </c>
      <c r="BD27" s="72">
        <f ca="1">IF(AND(E27='Invoer gegevens'!$C$16,'Invoer gegevens'!$C$34&lt;'Invoer gegevens'!$C$16),AY27,AY27/(1+'Invoer gegevens'!$C$39)^D27)</f>
        <v>0</v>
      </c>
      <c r="BE27" s="72">
        <f ca="1">IF(E27='Invoer gegevens'!$C$34,-'Invoer gegevens'!$I$38,0)</f>
        <v>0</v>
      </c>
      <c r="BF27" s="72">
        <f ca="1">IF(E27='Invoer gegevens'!$C$17,-'Invoer gegevens'!$C$19*$BC$66,0)</f>
        <v>0</v>
      </c>
      <c r="BG27" s="72">
        <f ca="1">AV27/(1+$BG$4)^($D27-('Invoer gegevens'!$C$17-'Invoer gegevens'!$C$16))/(1+'Invoer gegevens'!$C$39)^('Invoer gegevens'!$C$17-'Invoer gegevens'!$C$16)+AW27/(1+$BG$4)^(E27-('Invoer gegevens'!$C$17-1))/(1+'Invoer gegevens'!$C$39)^('Invoer gegevens'!$C$17-'Invoer gegevens'!$C$16)+AX27/(1+'Invoer gegevens'!$C$39)^('Invoer gegevens'!$C$17-'Invoer gegevens'!$C$16)+(-AY27/(1+'Invoer gegevens'!$C$39)^D27)+BE27+BF27</f>
        <v>0</v>
      </c>
      <c r="BH27" s="59"/>
      <c r="BJ27" s="214"/>
    </row>
    <row r="28" spans="1:68" x14ac:dyDescent="0.25">
      <c r="A28" s="59"/>
      <c r="B28" s="70">
        <f t="shared" si="6"/>
        <v>24</v>
      </c>
      <c r="C28" s="67">
        <f ca="1">IF(AND(E28&gt;='Invoer gegevens'!$C$17,E28&lt;'Invoer gegevens'!$C$17+'Invoer gegevens'!$I$14),1,0)</f>
        <v>1</v>
      </c>
      <c r="D28" s="68">
        <f t="shared" si="7"/>
        <v>23.5</v>
      </c>
      <c r="E28" s="69">
        <f ca="1">IF('Invoer gegevens'!$C$16="","",E27+1)</f>
        <v>2042</v>
      </c>
      <c r="F28" s="82">
        <f ca="1">IF('Invoer gegevens'!$C$17=E28,'Invoer gegevens'!$C$10,IF(C28=1,H27,0))</f>
        <v>0</v>
      </c>
      <c r="G28" s="83">
        <f ca="1">IF(E28='Invoer gegevens'!$C$17+'Invoer gegevens'!$I$14,H27,IF(C28&gt;=1,F28*Reeksen!C28,0))</f>
        <v>0</v>
      </c>
      <c r="H28" s="84">
        <f ca="1">IF(E28&gt;='Invoer gegevens'!$C$17+'Invoer gegevens'!$I$14,0,F28-G28)</f>
        <v>0</v>
      </c>
      <c r="I28" s="85">
        <f ca="1">IF('Invoer gegevens'!$C$17=E28,'Invoer gegevens'!$C$11,IF(C28=1,L27,0))</f>
        <v>0</v>
      </c>
      <c r="J28" s="86">
        <f ca="1">IF(E28='Invoer gegevens'!$C$17+'Invoer gegevens'!$I$14,L27,IF(C28&lt;1,0,IF(Reeksen!BG28&lt;=Reeksen!AE28,I28*Reeksen!C28,0)))</f>
        <v>0</v>
      </c>
      <c r="K28" s="86">
        <f ca="1">IF(E28='Invoer gegevens'!$C$17+'Invoer gegevens'!$I$14,L27,IF(C28&lt;1,0,IF(Reeksen!BG28&gt;Reeksen!AE28,I28*Reeksen!C28,0)))</f>
        <v>0</v>
      </c>
      <c r="L28" s="86">
        <f ca="1">IF(E28&gt;='Invoer gegevens'!$C$17+'Invoer gegevens'!$I$14,0,I28-J28-K28)</f>
        <v>0</v>
      </c>
      <c r="M28" s="85">
        <f ca="1">IF('Invoer gegevens'!$C$17=E28,'Invoer gegevens'!$C$10-'Invoer gegevens'!$C$11,IF(C28=1,P27,0))</f>
        <v>0</v>
      </c>
      <c r="N28" s="86">
        <f ca="1">IF(E28='Invoer gegevens'!$C$17+'Invoer gegevens'!$I$14,P27,IF(C28&lt;1,0,IF(Reeksen!BG28&lt;=Reeksen!AE28,M28*Reeksen!C28,0)))</f>
        <v>0</v>
      </c>
      <c r="O28" s="86">
        <f ca="1">IF(E28='Invoer gegevens'!$C$17+'Invoer gegevens'!$I$14,P27,IF(C28&lt;1,0,IF(Reeksen!BG28&gt;Reeksen!AE28,M28*Reeksen!C28,0)))</f>
        <v>0</v>
      </c>
      <c r="P28" s="86">
        <f ca="1">IF(E28&gt;='Invoer gegevens'!$C$17+'Invoer gegevens'!$I$14,0,M28-N28-O28)</f>
        <v>0</v>
      </c>
      <c r="Q28" s="82">
        <f ca="1">IF('Invoer gegevens'!$C$17=E28,I28,IF(C28=0,0,R27))</f>
        <v>0</v>
      </c>
      <c r="R28" s="84">
        <f t="shared" ca="1" si="0"/>
        <v>0</v>
      </c>
      <c r="S28" s="84">
        <f ca="1">IF('Invoer gegevens'!$C$17=E28,M28,IF(C28=0,0,T27))</f>
        <v>0</v>
      </c>
      <c r="T28" s="84">
        <f t="shared" ca="1" si="1"/>
        <v>0</v>
      </c>
      <c r="AH28" s="70"/>
      <c r="AI28" s="71">
        <f ca="1">IF(C28=1,((F28+H28)/2*Reeksen!BF28*12)+(('Invoer gegevens'!$C$10-(F28+H28)/2)*Reeksen!BG28*12),0)</f>
        <v>0</v>
      </c>
      <c r="AJ28" s="71">
        <f ca="1">-AI28*'Invoer gegevens'!$I$26</f>
        <v>0</v>
      </c>
      <c r="AK28" s="71">
        <f t="shared" ca="1" si="2"/>
        <v>0</v>
      </c>
      <c r="AL28" s="71">
        <f ca="1">IF(C28=1,(12*((F28+H28)/2)*Reeksen!AL28)+(12*('Invoer gegevens'!$C$10-(F28+H28)/2)*Reeksen!AM28),0)</f>
        <v>0</v>
      </c>
      <c r="AM28" s="71">
        <f ca="1">-AL28*'Invoer gegevens'!$F$31</f>
        <v>0</v>
      </c>
      <c r="AN28" s="71">
        <f t="shared" ca="1" si="3"/>
        <v>0</v>
      </c>
      <c r="AO28" s="71"/>
      <c r="AP28" s="71"/>
      <c r="AQ28" s="71">
        <f ca="1">-IF(C28=1,('Invoer gegevens'!$C$10*'Invoer gegevens'!$I$33)*Reeksen!J28,0)</f>
        <v>0</v>
      </c>
      <c r="AR28" s="71">
        <f ca="1">-IF(C28=1,(G28*'Invoer gegevens'!$I$34)*Reeksen!J28,0)</f>
        <v>0</v>
      </c>
      <c r="AS28" s="71">
        <f ca="1">-IF(C28=1,'Invoer gegevens'!$C$10*'Invoer gegevens'!$I$35*Reeksen!L28,0)</f>
        <v>0</v>
      </c>
      <c r="AT28" s="71">
        <f ca="1">-IF(C28=1,IF(E28='Invoer gegevens'!$C$17,'Invoer gegevens'!$C$11,Q28)*Reeksen!S28*'Invoer gegevens'!$C$18*Reeksen!P28,0)</f>
        <v>0</v>
      </c>
      <c r="AU28" s="71">
        <f ca="1">-IF(C28=1,'Invoer gegevens'!$C$10*'Invoer gegevens'!$I$36*Reeksen!H28,0)</f>
        <v>0</v>
      </c>
      <c r="AV28" s="71">
        <f t="shared" ca="1" si="4"/>
        <v>0</v>
      </c>
      <c r="AW28" s="72">
        <f ca="1">IFERROR(IF(E28='Invoer gegevens'!$C$17+'Invoer gegevens'!$I$14-1,'Invoer gegevens'!$I$13*'Invoer gegevens'!$C$10*Reeksen!H28,0),0)</f>
        <v>0</v>
      </c>
      <c r="AX28" s="72">
        <f ca="1">IFERROR(IF(E28='Invoer gegevens'!$C$17,-'Invoer gegevens'!$C$10*'Invoer gegevens'!$C$31*Reeksen!H28,0),0)</f>
        <v>0</v>
      </c>
      <c r="AY28" s="73">
        <f ca="1">IF('Invoer gegevens'!$C$34=E28,'Invoer gegevens'!$C$27*'Invoer gegevens'!$C$10*'Invoer gegevens'!$C$36*(IF('Invoer gegevens'!$C$35="ja",1,Reeksen!J28)),IF('Invoer gegevens'!$C$34+1=E28,'Invoer gegevens'!$C$27*'Invoer gegevens'!$C$10*'Invoer gegevens'!$C$37*(IF('Invoer gegevens'!$C$35="ja",1,Reeksen!J28)),0))+IF(AND(E28='Invoer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8" s="73">
        <f ca="1">AV28/(1+'Invoer gegevens'!$I$12)^($D28-('Invoer gegevens'!$C$17-'Invoer gegevens'!$C$16))/(1+'Invoer gegevens'!$C$39)^('Invoer gegevens'!$C$17-'Invoer gegevens'!$C$16)</f>
        <v>0</v>
      </c>
      <c r="BA28" s="73">
        <f ca="1">AW28/(1+'Invoer gegevens'!$I$12)^(E28-('Invoer gegevens'!$C$17-1))/(1+'Invoer gegevens'!$C$39)^('Invoer gegevens'!$C$17-'Invoer gegevens'!$C$16)</f>
        <v>0</v>
      </c>
      <c r="BB28" s="73">
        <f ca="1">AX28/(1+'Invoer gegevens'!$C$39)^('Invoer gegevens'!$C$17-'Invoer gegevens'!$C$16)</f>
        <v>0</v>
      </c>
      <c r="BC28" s="72">
        <f t="shared" ca="1" si="5"/>
        <v>0</v>
      </c>
      <c r="BD28" s="72">
        <f ca="1">IF(AND(E28='Invoer gegevens'!$C$16,'Invoer gegevens'!$C$34&lt;'Invoer gegevens'!$C$16),AY28,AY28/(1+'Invoer gegevens'!$C$39)^D28)</f>
        <v>0</v>
      </c>
      <c r="BE28" s="72">
        <f ca="1">IF(E28='Invoer gegevens'!$C$34,-'Invoer gegevens'!$I$38,0)</f>
        <v>0</v>
      </c>
      <c r="BF28" s="72">
        <f ca="1">IF(E28='Invoer gegevens'!$C$17,-'Invoer gegevens'!$C$19*$BC$66,0)</f>
        <v>0</v>
      </c>
      <c r="BG28" s="72">
        <f ca="1">AV28/(1+$BG$4)^($D28-('Invoer gegevens'!$C$17-'Invoer gegevens'!$C$16))/(1+'Invoer gegevens'!$C$39)^('Invoer gegevens'!$C$17-'Invoer gegevens'!$C$16)+AW28/(1+$BG$4)^(E28-('Invoer gegevens'!$C$17-1))/(1+'Invoer gegevens'!$C$39)^('Invoer gegevens'!$C$17-'Invoer gegevens'!$C$16)+AX28/(1+'Invoer gegevens'!$C$39)^('Invoer gegevens'!$C$17-'Invoer gegevens'!$C$16)+(-AY28/(1+'Invoer gegevens'!$C$39)^D28)+BE28+BF28</f>
        <v>0</v>
      </c>
      <c r="BH28" s="59"/>
      <c r="BJ28" s="214"/>
    </row>
    <row r="29" spans="1:68" x14ac:dyDescent="0.25">
      <c r="A29" s="59"/>
      <c r="B29" s="70">
        <f t="shared" si="6"/>
        <v>25</v>
      </c>
      <c r="C29" s="67">
        <f ca="1">IF(AND(E29&gt;='Invoer gegevens'!$C$17,E29&lt;'Invoer gegevens'!$C$17+'Invoer gegevens'!$I$14),1,0)</f>
        <v>1</v>
      </c>
      <c r="D29" s="68">
        <f t="shared" si="7"/>
        <v>24.5</v>
      </c>
      <c r="E29" s="69">
        <f ca="1">IF('Invoer gegevens'!$C$16="","",E28+1)</f>
        <v>2043</v>
      </c>
      <c r="F29" s="82">
        <f ca="1">IF('Invoer gegevens'!$C$17=E29,'Invoer gegevens'!$C$10,IF(C29=1,H28,0))</f>
        <v>0</v>
      </c>
      <c r="G29" s="83">
        <f ca="1">IF(E29='Invoer gegevens'!$C$17+'Invoer gegevens'!$I$14,H28,IF(C29&gt;=1,F29*Reeksen!C29,0))</f>
        <v>0</v>
      </c>
      <c r="H29" s="84">
        <f ca="1">IF(E29&gt;='Invoer gegevens'!$C$17+'Invoer gegevens'!$I$14,0,F29-G29)</f>
        <v>0</v>
      </c>
      <c r="I29" s="85">
        <f ca="1">IF('Invoer gegevens'!$C$17=E29,'Invoer gegevens'!$C$11,IF(C29=1,L28,0))</f>
        <v>0</v>
      </c>
      <c r="J29" s="86">
        <f ca="1">IF(E29='Invoer gegevens'!$C$17+'Invoer gegevens'!$I$14,L28,IF(C29&lt;1,0,IF(Reeksen!BG29&lt;=Reeksen!AE29,I29*Reeksen!C29,0)))</f>
        <v>0</v>
      </c>
      <c r="K29" s="86">
        <f ca="1">IF(E29='Invoer gegevens'!$C$17+'Invoer gegevens'!$I$14,L28,IF(C29&lt;1,0,IF(Reeksen!BG29&gt;Reeksen!AE29,I29*Reeksen!C29,0)))</f>
        <v>0</v>
      </c>
      <c r="L29" s="86">
        <f ca="1">IF(E29&gt;='Invoer gegevens'!$C$17+'Invoer gegevens'!$I$14,0,I29-J29-K29)</f>
        <v>0</v>
      </c>
      <c r="M29" s="85">
        <f ca="1">IF('Invoer gegevens'!$C$17=E29,'Invoer gegevens'!$C$10-'Invoer gegevens'!$C$11,IF(C29=1,P28,0))</f>
        <v>0</v>
      </c>
      <c r="N29" s="86">
        <f ca="1">IF(E29='Invoer gegevens'!$C$17+'Invoer gegevens'!$I$14,P28,IF(C29&lt;1,0,IF(Reeksen!BG29&lt;=Reeksen!AE29,M29*Reeksen!C29,0)))</f>
        <v>0</v>
      </c>
      <c r="O29" s="86">
        <f ca="1">IF(E29='Invoer gegevens'!$C$17+'Invoer gegevens'!$I$14,P28,IF(C29&lt;1,0,IF(Reeksen!BG29&gt;Reeksen!AE29,M29*Reeksen!C29,0)))</f>
        <v>0</v>
      </c>
      <c r="P29" s="86">
        <f ca="1">IF(E29&gt;='Invoer gegevens'!$C$17+'Invoer gegevens'!$I$14,0,M29-N29-O29)</f>
        <v>0</v>
      </c>
      <c r="Q29" s="82">
        <f ca="1">IF('Invoer gegevens'!$C$17=E29,I29,IF(C29=0,0,R28))</f>
        <v>0</v>
      </c>
      <c r="R29" s="84">
        <f t="shared" ca="1" si="0"/>
        <v>0</v>
      </c>
      <c r="S29" s="84">
        <f ca="1">IF('Invoer gegevens'!$C$17=E29,M29,IF(C29=0,0,T28))</f>
        <v>0</v>
      </c>
      <c r="T29" s="84">
        <f t="shared" ca="1" si="1"/>
        <v>0</v>
      </c>
      <c r="AH29" s="70"/>
      <c r="AI29" s="71">
        <f ca="1">IF(C29=1,((F29+H29)/2*Reeksen!BF29*12)+(('Invoer gegevens'!$C$10-(F29+H29)/2)*Reeksen!BG29*12),0)</f>
        <v>0</v>
      </c>
      <c r="AJ29" s="71">
        <f ca="1">-AI29*'Invoer gegevens'!$I$26</f>
        <v>0</v>
      </c>
      <c r="AK29" s="71">
        <f t="shared" ca="1" si="2"/>
        <v>0</v>
      </c>
      <c r="AL29" s="71">
        <f ca="1">IF(C29=1,(12*((F29+H29)/2)*Reeksen!AL29)+(12*('Invoer gegevens'!$C$10-(F29+H29)/2)*Reeksen!AM29),0)</f>
        <v>0</v>
      </c>
      <c r="AM29" s="71">
        <f ca="1">-AL29*'Invoer gegevens'!$F$31</f>
        <v>0</v>
      </c>
      <c r="AN29" s="71">
        <f t="shared" ca="1" si="3"/>
        <v>0</v>
      </c>
      <c r="AO29" s="71"/>
      <c r="AP29" s="71"/>
      <c r="AQ29" s="71">
        <f ca="1">-IF(C29=1,('Invoer gegevens'!$C$10*'Invoer gegevens'!$I$33)*Reeksen!J29,0)</f>
        <v>0</v>
      </c>
      <c r="AR29" s="71">
        <f ca="1">-IF(C29=1,(G29*'Invoer gegevens'!$I$34)*Reeksen!J29,0)</f>
        <v>0</v>
      </c>
      <c r="AS29" s="71">
        <f ca="1">-IF(C29=1,'Invoer gegevens'!$C$10*'Invoer gegevens'!$I$35*Reeksen!L29,0)</f>
        <v>0</v>
      </c>
      <c r="AT29" s="71">
        <f ca="1">-IF(C29=1,IF(E29='Invoer gegevens'!$C$17,'Invoer gegevens'!$C$11,Q29)*Reeksen!S29*'Invoer gegevens'!$C$18*Reeksen!P29,0)</f>
        <v>0</v>
      </c>
      <c r="AU29" s="71">
        <f ca="1">-IF(C29=1,'Invoer gegevens'!$C$10*'Invoer gegevens'!$I$36*Reeksen!H29,0)</f>
        <v>0</v>
      </c>
      <c r="AV29" s="71">
        <f t="shared" ca="1" si="4"/>
        <v>0</v>
      </c>
      <c r="AW29" s="72">
        <f ca="1">IFERROR(IF(E29='Invoer gegevens'!$C$17+'Invoer gegevens'!$I$14-1,'Invoer gegevens'!$I$13*'Invoer gegevens'!$C$10*Reeksen!H29,0),0)</f>
        <v>0</v>
      </c>
      <c r="AX29" s="72">
        <f ca="1">IFERROR(IF(E29='Invoer gegevens'!$C$17,-'Invoer gegevens'!$C$10*'Invoer gegevens'!$C$31*Reeksen!H29,0),0)</f>
        <v>0</v>
      </c>
      <c r="AY29" s="73">
        <f ca="1">IF('Invoer gegevens'!$C$34=E29,'Invoer gegevens'!$C$27*'Invoer gegevens'!$C$10*'Invoer gegevens'!$C$36*(IF('Invoer gegevens'!$C$35="ja",1,Reeksen!J29)),IF('Invoer gegevens'!$C$34+1=E29,'Invoer gegevens'!$C$27*'Invoer gegevens'!$C$10*'Invoer gegevens'!$C$37*(IF('Invoer gegevens'!$C$35="ja",1,Reeksen!J29)),0))+IF(AND(E29='Invoer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29" s="73">
        <f ca="1">AV29/(1+'Invoer gegevens'!$I$12)^($D29-('Invoer gegevens'!$C$17-'Invoer gegevens'!$C$16))/(1+'Invoer gegevens'!$C$39)^('Invoer gegevens'!$C$17-'Invoer gegevens'!$C$16)</f>
        <v>0</v>
      </c>
      <c r="BA29" s="73">
        <f ca="1">AW29/(1+'Invoer gegevens'!$I$12)^(E29-('Invoer gegevens'!$C$17-1))/(1+'Invoer gegevens'!$C$39)^('Invoer gegevens'!$C$17-'Invoer gegevens'!$C$16)</f>
        <v>0</v>
      </c>
      <c r="BB29" s="73">
        <f ca="1">AX29/(1+'Invoer gegevens'!$C$39)^('Invoer gegevens'!$C$17-'Invoer gegevens'!$C$16)</f>
        <v>0</v>
      </c>
      <c r="BC29" s="72">
        <f t="shared" ca="1" si="5"/>
        <v>0</v>
      </c>
      <c r="BD29" s="72">
        <f ca="1">IF(AND(E29='Invoer gegevens'!$C$16,'Invoer gegevens'!$C$34&lt;'Invoer gegevens'!$C$16),AY29,AY29/(1+'Invoer gegevens'!$C$39)^D29)</f>
        <v>0</v>
      </c>
      <c r="BE29" s="72">
        <f ca="1">IF(E29='Invoer gegevens'!$C$34,-'Invoer gegevens'!$I$38,0)</f>
        <v>0</v>
      </c>
      <c r="BF29" s="72">
        <f ca="1">IF(E29='Invoer gegevens'!$C$17,-'Invoer gegevens'!$C$19*$BC$66,0)</f>
        <v>0</v>
      </c>
      <c r="BG29" s="72">
        <f ca="1">AV29/(1+$BG$4)^($D29-('Invoer gegevens'!$C$17-'Invoer gegevens'!$C$16))/(1+'Invoer gegevens'!$C$39)^('Invoer gegevens'!$C$17-'Invoer gegevens'!$C$16)+AW29/(1+$BG$4)^(E29-('Invoer gegevens'!$C$17-1))/(1+'Invoer gegevens'!$C$39)^('Invoer gegevens'!$C$17-'Invoer gegevens'!$C$16)+AX29/(1+'Invoer gegevens'!$C$39)^('Invoer gegevens'!$C$17-'Invoer gegevens'!$C$16)+(-AY29/(1+'Invoer gegevens'!$C$39)^D29)+BE29+BF29</f>
        <v>0</v>
      </c>
      <c r="BH29" s="59"/>
      <c r="BI29" s="215"/>
      <c r="BJ29" s="214"/>
    </row>
    <row r="30" spans="1:68" x14ac:dyDescent="0.25">
      <c r="A30" s="59"/>
      <c r="B30" s="70">
        <f t="shared" si="6"/>
        <v>26</v>
      </c>
      <c r="C30" s="67">
        <f ca="1">IF(AND(E30&gt;='Invoer gegevens'!$C$17,E30&lt;'Invoer gegevens'!$C$17+'Invoer gegevens'!$I$14),1,0)</f>
        <v>1</v>
      </c>
      <c r="D30" s="68">
        <f t="shared" si="7"/>
        <v>25.5</v>
      </c>
      <c r="E30" s="69">
        <f ca="1">IF('Invoer gegevens'!$C$16="","",E29+1)</f>
        <v>2044</v>
      </c>
      <c r="F30" s="82">
        <f ca="1">IF('Invoer gegevens'!$C$17=E30,'Invoer gegevens'!$C$10,IF(C30=1,H29,0))</f>
        <v>0</v>
      </c>
      <c r="G30" s="83">
        <f ca="1">IF(E30='Invoer gegevens'!$C$17+'Invoer gegevens'!$I$14,H29,IF(C30&gt;=1,F30*Reeksen!C30,0))</f>
        <v>0</v>
      </c>
      <c r="H30" s="84">
        <f ca="1">IF(E30&gt;='Invoer gegevens'!$C$17+'Invoer gegevens'!$I$14,0,F30-G30)</f>
        <v>0</v>
      </c>
      <c r="I30" s="85">
        <f ca="1">IF('Invoer gegevens'!$C$17=E30,'Invoer gegevens'!$C$11,IF(C30=1,L29,0))</f>
        <v>0</v>
      </c>
      <c r="J30" s="86">
        <f ca="1">IF(E30='Invoer gegevens'!$C$17+'Invoer gegevens'!$I$14,L29,IF(C30&lt;1,0,IF(Reeksen!BG30&lt;=Reeksen!AE30,I30*Reeksen!C30,0)))</f>
        <v>0</v>
      </c>
      <c r="K30" s="86">
        <f ca="1">IF(E30='Invoer gegevens'!$C$17+'Invoer gegevens'!$I$14,L29,IF(C30&lt;1,0,IF(Reeksen!BG30&gt;Reeksen!AE30,I30*Reeksen!C30,0)))</f>
        <v>0</v>
      </c>
      <c r="L30" s="86">
        <f ca="1">IF(E30&gt;='Invoer gegevens'!$C$17+'Invoer gegevens'!$I$14,0,I30-J30-K30)</f>
        <v>0</v>
      </c>
      <c r="M30" s="85">
        <f ca="1">IF('Invoer gegevens'!$C$17=E30,'Invoer gegevens'!$C$10-'Invoer gegevens'!$C$11,IF(C30=1,P29,0))</f>
        <v>0</v>
      </c>
      <c r="N30" s="86">
        <f ca="1">IF(E30='Invoer gegevens'!$C$17+'Invoer gegevens'!$I$14,P29,IF(C30&lt;1,0,IF(Reeksen!BG30&lt;=Reeksen!AE30,M30*Reeksen!C30,0)))</f>
        <v>0</v>
      </c>
      <c r="O30" s="86">
        <f ca="1">IF(E30='Invoer gegevens'!$C$17+'Invoer gegevens'!$I$14,P29,IF(C30&lt;1,0,IF(Reeksen!BG30&gt;Reeksen!AE30,M30*Reeksen!C30,0)))</f>
        <v>0</v>
      </c>
      <c r="P30" s="86">
        <f ca="1">IF(E30&gt;='Invoer gegevens'!$C$17+'Invoer gegevens'!$I$14,0,M30-N30-O30)</f>
        <v>0</v>
      </c>
      <c r="Q30" s="82">
        <f ca="1">IF('Invoer gegevens'!$C$17=E30,I30,IF(C30=0,0,R29))</f>
        <v>0</v>
      </c>
      <c r="R30" s="84">
        <f t="shared" ca="1" si="0"/>
        <v>0</v>
      </c>
      <c r="S30" s="84">
        <f ca="1">IF('Invoer gegevens'!$C$17=E30,M30,IF(C30=0,0,T29))</f>
        <v>0</v>
      </c>
      <c r="T30" s="84">
        <f t="shared" ca="1" si="1"/>
        <v>0</v>
      </c>
      <c r="AC30" s="68"/>
      <c r="AD30" s="68"/>
      <c r="AE30" s="68"/>
      <c r="AF30" s="68"/>
      <c r="AG30" s="68"/>
      <c r="AH30" s="70"/>
      <c r="AI30" s="71">
        <f ca="1">IF(C30=1,((F30+H30)/2*Reeksen!BF30*12)+(('Invoer gegevens'!$C$10-(F30+H30)/2)*Reeksen!BG30*12),0)</f>
        <v>0</v>
      </c>
      <c r="AJ30" s="71">
        <f ca="1">-AI30*'Invoer gegevens'!$I$26</f>
        <v>0</v>
      </c>
      <c r="AK30" s="71">
        <f t="shared" ca="1" si="2"/>
        <v>0</v>
      </c>
      <c r="AL30" s="71">
        <f ca="1">IF(C30=1,(12*((F30+H30)/2)*Reeksen!AL30)+(12*('Invoer gegevens'!$C$10-(F30+H30)/2)*Reeksen!AM30),0)</f>
        <v>0</v>
      </c>
      <c r="AM30" s="71">
        <f ca="1">-AL30*'Invoer gegevens'!$F$31</f>
        <v>0</v>
      </c>
      <c r="AN30" s="71">
        <f t="shared" ca="1" si="3"/>
        <v>0</v>
      </c>
      <c r="AO30" s="71"/>
      <c r="AP30" s="71"/>
      <c r="AQ30" s="71">
        <f ca="1">-IF(C30=1,('Invoer gegevens'!$C$10*'Invoer gegevens'!$I$33)*Reeksen!J30,0)</f>
        <v>0</v>
      </c>
      <c r="AR30" s="71">
        <f ca="1">-IF(C30=1,(G30*'Invoer gegevens'!$I$34)*Reeksen!J30,0)</f>
        <v>0</v>
      </c>
      <c r="AS30" s="71">
        <f ca="1">-IF(C30=1,'Invoer gegevens'!$C$10*'Invoer gegevens'!$I$35*Reeksen!L30,0)</f>
        <v>0</v>
      </c>
      <c r="AT30" s="71">
        <f ca="1">-IF(C30=1,IF(E30='Invoer gegevens'!$C$17,'Invoer gegevens'!$C$11,Q30)*Reeksen!S30*'Invoer gegevens'!$C$18*Reeksen!P30,0)</f>
        <v>0</v>
      </c>
      <c r="AU30" s="71">
        <f ca="1">-IF(C30=1,'Invoer gegevens'!$C$10*'Invoer gegevens'!$I$36*Reeksen!H30,0)</f>
        <v>0</v>
      </c>
      <c r="AV30" s="71">
        <f t="shared" ca="1" si="4"/>
        <v>0</v>
      </c>
      <c r="AW30" s="72">
        <f ca="1">IFERROR(IF(E30='Invoer gegevens'!$C$17+'Invoer gegevens'!$I$14-1,'Invoer gegevens'!$I$13*'Invoer gegevens'!$C$10*Reeksen!H30,0),0)</f>
        <v>0</v>
      </c>
      <c r="AX30" s="72">
        <f ca="1">IFERROR(IF(E30='Invoer gegevens'!$C$17,-'Invoer gegevens'!$C$10*'Invoer gegevens'!$C$31*Reeksen!H30,0),0)</f>
        <v>0</v>
      </c>
      <c r="AY30" s="73">
        <f ca="1">IF('Invoer gegevens'!$C$34=E30,'Invoer gegevens'!$C$27*'Invoer gegevens'!$C$10*'Invoer gegevens'!$C$36*(IF('Invoer gegevens'!$C$35="ja",1,Reeksen!J30)),IF('Invoer gegevens'!$C$34+1=E30,'Invoer gegevens'!$C$27*'Invoer gegevens'!$C$10*'Invoer gegevens'!$C$37*(IF('Invoer gegevens'!$C$35="ja",1,Reeksen!J30)),0))+IF(AND(E30='Invoer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0" s="73">
        <f ca="1">AV30/(1+'Invoer gegevens'!$I$12)^($D30-('Invoer gegevens'!$C$17-'Invoer gegevens'!$C$16))/(1+'Invoer gegevens'!$C$39)^('Invoer gegevens'!$C$17-'Invoer gegevens'!$C$16)</f>
        <v>0</v>
      </c>
      <c r="BA30" s="73">
        <f ca="1">AW30/(1+'Invoer gegevens'!$I$12)^(E30-('Invoer gegevens'!$C$17-1))/(1+'Invoer gegevens'!$C$39)^('Invoer gegevens'!$C$17-'Invoer gegevens'!$C$16)</f>
        <v>0</v>
      </c>
      <c r="BB30" s="73">
        <f ca="1">AX30/(1+'Invoer gegevens'!$C$39)^('Invoer gegevens'!$C$17-'Invoer gegevens'!$C$16)</f>
        <v>0</v>
      </c>
      <c r="BC30" s="72">
        <f t="shared" ca="1" si="5"/>
        <v>0</v>
      </c>
      <c r="BD30" s="72">
        <f ca="1">IF(AND(E30='Invoer gegevens'!$C$16,'Invoer gegevens'!$C$34&lt;'Invoer gegevens'!$C$16),AY30,AY30/(1+'Invoer gegevens'!$C$39)^D30)</f>
        <v>0</v>
      </c>
      <c r="BE30" s="72">
        <f ca="1">IF(E30='Invoer gegevens'!$C$34,-'Invoer gegevens'!$I$38,0)</f>
        <v>0</v>
      </c>
      <c r="BF30" s="72">
        <f ca="1">IF(E30='Invoer gegevens'!$C$17,-'Invoer gegevens'!$C$19*$BC$66,0)</f>
        <v>0</v>
      </c>
      <c r="BG30" s="72">
        <f ca="1">AV30/(1+$BG$4)^($D30-('Invoer gegevens'!$C$17-'Invoer gegevens'!$C$16))/(1+'Invoer gegevens'!$C$39)^('Invoer gegevens'!$C$17-'Invoer gegevens'!$C$16)+AW30/(1+$BG$4)^(E30-('Invoer gegevens'!$C$17-1))/(1+'Invoer gegevens'!$C$39)^('Invoer gegevens'!$C$17-'Invoer gegevens'!$C$16)+AX30/(1+'Invoer gegevens'!$C$39)^('Invoer gegevens'!$C$17-'Invoer gegevens'!$C$16)+(-AY30/(1+'Invoer gegevens'!$C$39)^D30)+BE30+BF30</f>
        <v>0</v>
      </c>
      <c r="BH30" s="59"/>
      <c r="BI30" s="59"/>
      <c r="BJ30" s="216"/>
      <c r="BL30" s="59"/>
      <c r="BM30" s="59"/>
      <c r="BN30" s="59"/>
      <c r="BO30" s="59"/>
      <c r="BP30" s="59"/>
    </row>
    <row r="31" spans="1:68" x14ac:dyDescent="0.25">
      <c r="A31" s="59"/>
      <c r="B31" s="70">
        <f t="shared" si="6"/>
        <v>27</v>
      </c>
      <c r="C31" s="67">
        <f ca="1">IF(AND(E31&gt;='Invoer gegevens'!$C$17,E31&lt;'Invoer gegevens'!$C$17+'Invoer gegevens'!$I$14),1,0)</f>
        <v>1</v>
      </c>
      <c r="D31" s="68">
        <f t="shared" si="7"/>
        <v>26.5</v>
      </c>
      <c r="E31" s="69">
        <f ca="1">IF('Invoer gegevens'!$C$16="","",E30+1)</f>
        <v>2045</v>
      </c>
      <c r="F31" s="82">
        <f ca="1">IF('Invoer gegevens'!$C$17=E31,'Invoer gegevens'!$C$10,IF(C31=1,H30,0))</f>
        <v>0</v>
      </c>
      <c r="G31" s="83">
        <f ca="1">IF(E31='Invoer gegevens'!$C$17+'Invoer gegevens'!$I$14,H30,IF(C31&gt;=1,F31*Reeksen!C31,0))</f>
        <v>0</v>
      </c>
      <c r="H31" s="84">
        <f ca="1">IF(E31&gt;='Invoer gegevens'!$C$17+'Invoer gegevens'!$I$14,0,F31-G31)</f>
        <v>0</v>
      </c>
      <c r="I31" s="85">
        <f ca="1">IF('Invoer gegevens'!$C$17=E31,'Invoer gegevens'!$C$11,IF(C31=1,L30,0))</f>
        <v>0</v>
      </c>
      <c r="J31" s="86">
        <f ca="1">IF(E31='Invoer gegevens'!$C$17+'Invoer gegevens'!$I$14,L30,IF(C31&lt;1,0,IF(Reeksen!BG31&lt;=Reeksen!AE31,I31*Reeksen!C31,0)))</f>
        <v>0</v>
      </c>
      <c r="K31" s="86">
        <f ca="1">IF(E31='Invoer gegevens'!$C$17+'Invoer gegevens'!$I$14,L30,IF(C31&lt;1,0,IF(Reeksen!BG31&gt;Reeksen!AE31,I31*Reeksen!C31,0)))</f>
        <v>0</v>
      </c>
      <c r="L31" s="86">
        <f ca="1">IF(E31&gt;='Invoer gegevens'!$C$17+'Invoer gegevens'!$I$14,0,I31-J31-K31)</f>
        <v>0</v>
      </c>
      <c r="M31" s="85">
        <f ca="1">IF('Invoer gegevens'!$C$17=E31,'Invoer gegevens'!$C$10-'Invoer gegevens'!$C$11,IF(C31=1,P30,0))</f>
        <v>0</v>
      </c>
      <c r="N31" s="86">
        <f ca="1">IF(E31='Invoer gegevens'!$C$17+'Invoer gegevens'!$I$14,P30,IF(C31&lt;1,0,IF(Reeksen!BG31&lt;=Reeksen!AE31,M31*Reeksen!C31,0)))</f>
        <v>0</v>
      </c>
      <c r="O31" s="86">
        <f ca="1">IF(E31='Invoer gegevens'!$C$17+'Invoer gegevens'!$I$14,P30,IF(C31&lt;1,0,IF(Reeksen!BG31&gt;Reeksen!AE31,M31*Reeksen!C31,0)))</f>
        <v>0</v>
      </c>
      <c r="P31" s="86">
        <f ca="1">IF(E31&gt;='Invoer gegevens'!$C$17+'Invoer gegevens'!$I$14,0,M31-N31-O31)</f>
        <v>0</v>
      </c>
      <c r="Q31" s="82">
        <f ca="1">IF('Invoer gegevens'!$C$17=E31,I31,IF(C31=0,0,R30))</f>
        <v>0</v>
      </c>
      <c r="R31" s="84">
        <f t="shared" ca="1" si="0"/>
        <v>0</v>
      </c>
      <c r="S31" s="84">
        <f ca="1">IF('Invoer gegevens'!$C$17=E31,M31,IF(C31=0,0,T30))</f>
        <v>0</v>
      </c>
      <c r="T31" s="84">
        <f t="shared" ca="1" si="1"/>
        <v>0</v>
      </c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0"/>
      <c r="AI31" s="71">
        <f ca="1">IF(C31=1,((F31+H31)/2*Reeksen!BF31*12)+(('Invoer gegevens'!$C$10-(F31+H31)/2)*Reeksen!BG31*12),0)</f>
        <v>0</v>
      </c>
      <c r="AJ31" s="71">
        <f ca="1">-AI31*'Invoer gegevens'!$I$26</f>
        <v>0</v>
      </c>
      <c r="AK31" s="71">
        <f t="shared" ca="1" si="2"/>
        <v>0</v>
      </c>
      <c r="AL31" s="71">
        <f ca="1">IF(C31=1,(12*((F31+H31)/2)*Reeksen!AL31)+(12*('Invoer gegevens'!$C$10-(F31+H31)/2)*Reeksen!AM31),0)</f>
        <v>0</v>
      </c>
      <c r="AM31" s="71">
        <f ca="1">-AL31*'Invoer gegevens'!$F$31</f>
        <v>0</v>
      </c>
      <c r="AN31" s="71">
        <f t="shared" ca="1" si="3"/>
        <v>0</v>
      </c>
      <c r="AO31" s="71"/>
      <c r="AP31" s="71"/>
      <c r="AQ31" s="71">
        <f ca="1">-IF(C31=1,('Invoer gegevens'!$C$10*'Invoer gegevens'!$I$33)*Reeksen!J31,0)</f>
        <v>0</v>
      </c>
      <c r="AR31" s="71">
        <f ca="1">-IF(C31=1,(G31*'Invoer gegevens'!$I$34)*Reeksen!J31,0)</f>
        <v>0</v>
      </c>
      <c r="AS31" s="71">
        <f ca="1">-IF(C31=1,'Invoer gegevens'!$C$10*'Invoer gegevens'!$I$35*Reeksen!L31,0)</f>
        <v>0</v>
      </c>
      <c r="AT31" s="71">
        <f ca="1">-IF(C31=1,IF(E31='Invoer gegevens'!$C$17,'Invoer gegevens'!$C$11,Q31)*Reeksen!S31*'Invoer gegevens'!$C$18*Reeksen!P31,0)</f>
        <v>0</v>
      </c>
      <c r="AU31" s="71">
        <f ca="1">-IF(C31=1,'Invoer gegevens'!$C$10*'Invoer gegevens'!$I$36*Reeksen!H31,0)</f>
        <v>0</v>
      </c>
      <c r="AV31" s="71">
        <f t="shared" ca="1" si="4"/>
        <v>0</v>
      </c>
      <c r="AW31" s="72">
        <f ca="1">IFERROR(IF(E31='Invoer gegevens'!$C$17+'Invoer gegevens'!$I$14-1,'Invoer gegevens'!$I$13*'Invoer gegevens'!$C$10*Reeksen!H31,0),0)</f>
        <v>0</v>
      </c>
      <c r="AX31" s="72">
        <f ca="1">IFERROR(IF(E31='Invoer gegevens'!$C$17,-'Invoer gegevens'!$C$10*'Invoer gegevens'!$C$31*Reeksen!H31,0),0)</f>
        <v>0</v>
      </c>
      <c r="AY31" s="73">
        <f ca="1">IF('Invoer gegevens'!$C$34=E31,'Invoer gegevens'!$C$27*'Invoer gegevens'!$C$10*'Invoer gegevens'!$C$36*(IF('Invoer gegevens'!$C$35="ja",1,Reeksen!J31)),IF('Invoer gegevens'!$C$34+1=E31,'Invoer gegevens'!$C$27*'Invoer gegevens'!$C$10*'Invoer gegevens'!$C$37*(IF('Invoer gegevens'!$C$35="ja",1,Reeksen!J31)),0))+IF(AND(E31='Invoer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1" s="73">
        <f ca="1">AV31/(1+'Invoer gegevens'!$I$12)^($D31-('Invoer gegevens'!$C$17-'Invoer gegevens'!$C$16))/(1+'Invoer gegevens'!$C$39)^('Invoer gegevens'!$C$17-'Invoer gegevens'!$C$16)</f>
        <v>0</v>
      </c>
      <c r="BA31" s="73">
        <f ca="1">AW31/(1+'Invoer gegevens'!$I$12)^(E31-('Invoer gegevens'!$C$17-1))/(1+'Invoer gegevens'!$C$39)^('Invoer gegevens'!$C$17-'Invoer gegevens'!$C$16)</f>
        <v>0</v>
      </c>
      <c r="BB31" s="73">
        <f ca="1">AX31/(1+'Invoer gegevens'!$C$39)^('Invoer gegevens'!$C$17-'Invoer gegevens'!$C$16)</f>
        <v>0</v>
      </c>
      <c r="BC31" s="72">
        <f t="shared" ca="1" si="5"/>
        <v>0</v>
      </c>
      <c r="BD31" s="72">
        <f ca="1">IF(AND(E31='Invoer gegevens'!$C$16,'Invoer gegevens'!$C$34&lt;'Invoer gegevens'!$C$16),AY31,AY31/(1+'Invoer gegevens'!$C$39)^D31)</f>
        <v>0</v>
      </c>
      <c r="BE31" s="72">
        <f ca="1">IF(E31='Invoer gegevens'!$C$34,-'Invoer gegevens'!$I$38,0)</f>
        <v>0</v>
      </c>
      <c r="BF31" s="72">
        <f ca="1">IF(E31='Invoer gegevens'!$C$17,-'Invoer gegevens'!$C$19*$BC$66,0)</f>
        <v>0</v>
      </c>
      <c r="BG31" s="72">
        <f ca="1">AV31/(1+$BG$4)^($D31-('Invoer gegevens'!$C$17-'Invoer gegevens'!$C$16))/(1+'Invoer gegevens'!$C$39)^('Invoer gegevens'!$C$17-'Invoer gegevens'!$C$16)+AW31/(1+$BG$4)^(E31-('Invoer gegevens'!$C$17-1))/(1+'Invoer gegevens'!$C$39)^('Invoer gegevens'!$C$17-'Invoer gegevens'!$C$16)+AX31/(1+'Invoer gegevens'!$C$39)^('Invoer gegevens'!$C$17-'Invoer gegevens'!$C$16)+(-AY31/(1+'Invoer gegevens'!$C$39)^D31)+BE31+BF31</f>
        <v>0</v>
      </c>
      <c r="BH31" s="59"/>
      <c r="BI31" s="215"/>
      <c r="BJ31" s="214"/>
    </row>
    <row r="32" spans="1:68" x14ac:dyDescent="0.25">
      <c r="A32" s="59"/>
      <c r="B32" s="70">
        <f t="shared" si="6"/>
        <v>28</v>
      </c>
      <c r="C32" s="67">
        <f ca="1">IF(AND(E32&gt;='Invoer gegevens'!$C$17,E32&lt;'Invoer gegevens'!$C$17+'Invoer gegevens'!$I$14),1,0)</f>
        <v>1</v>
      </c>
      <c r="D32" s="68">
        <f t="shared" si="7"/>
        <v>27.5</v>
      </c>
      <c r="E32" s="69">
        <f ca="1">IF('Invoer gegevens'!$C$16="","",E31+1)</f>
        <v>2046</v>
      </c>
      <c r="F32" s="82">
        <f ca="1">IF('Invoer gegevens'!$C$17=E32,'Invoer gegevens'!$C$10,IF(C32=1,H31,0))</f>
        <v>0</v>
      </c>
      <c r="G32" s="83">
        <f ca="1">IF(E32='Invoer gegevens'!$C$17+'Invoer gegevens'!$I$14,H31,IF(C32&gt;=1,F32*Reeksen!C32,0))</f>
        <v>0</v>
      </c>
      <c r="H32" s="84">
        <f ca="1">IF(E32&gt;='Invoer gegevens'!$C$17+'Invoer gegevens'!$I$14,0,F32-G32)</f>
        <v>0</v>
      </c>
      <c r="I32" s="85">
        <f ca="1">IF('Invoer gegevens'!$C$17=E32,'Invoer gegevens'!$C$11,IF(C32=1,L31,0))</f>
        <v>0</v>
      </c>
      <c r="J32" s="86">
        <f ca="1">IF(E32='Invoer gegevens'!$C$17+'Invoer gegevens'!$I$14,L31,IF(C32&lt;1,0,IF(Reeksen!BG32&lt;=Reeksen!AE32,I32*Reeksen!C32,0)))</f>
        <v>0</v>
      </c>
      <c r="K32" s="86">
        <f ca="1">IF(E32='Invoer gegevens'!$C$17+'Invoer gegevens'!$I$14,L31,IF(C32&lt;1,0,IF(Reeksen!BG32&gt;Reeksen!AE32,I32*Reeksen!C32,0)))</f>
        <v>0</v>
      </c>
      <c r="L32" s="86">
        <f ca="1">IF(E32&gt;='Invoer gegevens'!$C$17+'Invoer gegevens'!$I$14,0,I32-J32-K32)</f>
        <v>0</v>
      </c>
      <c r="M32" s="85">
        <f ca="1">IF('Invoer gegevens'!$C$17=E32,'Invoer gegevens'!$C$10-'Invoer gegevens'!$C$11,IF(C32=1,P31,0))</f>
        <v>0</v>
      </c>
      <c r="N32" s="86">
        <f ca="1">IF(E32='Invoer gegevens'!$C$17+'Invoer gegevens'!$I$14,P31,IF(C32&lt;1,0,IF(Reeksen!BG32&lt;=Reeksen!AE32,M32*Reeksen!C32,0)))</f>
        <v>0</v>
      </c>
      <c r="O32" s="86">
        <f ca="1">IF(E32='Invoer gegevens'!$C$17+'Invoer gegevens'!$I$14,P31,IF(C32&lt;1,0,IF(Reeksen!BG32&gt;Reeksen!AE32,M32*Reeksen!C32,0)))</f>
        <v>0</v>
      </c>
      <c r="P32" s="86">
        <f ca="1">IF(E32&gt;='Invoer gegevens'!$C$17+'Invoer gegevens'!$I$14,0,M32-N32-O32)</f>
        <v>0</v>
      </c>
      <c r="Q32" s="82">
        <f ca="1">IF('Invoer gegevens'!$C$17=E32,I32,IF(C32=0,0,R31))</f>
        <v>0</v>
      </c>
      <c r="R32" s="84">
        <f t="shared" ca="1" si="0"/>
        <v>0</v>
      </c>
      <c r="S32" s="84">
        <f ca="1">IF('Invoer gegevens'!$C$17=E32,M32,IF(C32=0,0,T31))</f>
        <v>0</v>
      </c>
      <c r="T32" s="84">
        <f t="shared" ca="1" si="1"/>
        <v>0</v>
      </c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70"/>
      <c r="AI32" s="71">
        <f ca="1">IF(C32=1,((F32+H32)/2*Reeksen!BF32*12)+(('Invoer gegevens'!$C$10-(F32+H32)/2)*Reeksen!BG32*12),0)</f>
        <v>0</v>
      </c>
      <c r="AJ32" s="71">
        <f ca="1">-AI32*'Invoer gegevens'!$I$26</f>
        <v>0</v>
      </c>
      <c r="AK32" s="71">
        <f t="shared" ca="1" si="2"/>
        <v>0</v>
      </c>
      <c r="AL32" s="71">
        <f ca="1">IF(C32=1,(12*((F32+H32)/2)*Reeksen!AL32)+(12*('Invoer gegevens'!$C$10-(F32+H32)/2)*Reeksen!AM32),0)</f>
        <v>0</v>
      </c>
      <c r="AM32" s="71">
        <f ca="1">-AL32*'Invoer gegevens'!$F$31</f>
        <v>0</v>
      </c>
      <c r="AN32" s="71">
        <f t="shared" ca="1" si="3"/>
        <v>0</v>
      </c>
      <c r="AO32" s="71"/>
      <c r="AP32" s="71"/>
      <c r="AQ32" s="71">
        <f ca="1">-IF(C32=1,('Invoer gegevens'!$C$10*'Invoer gegevens'!$I$33)*Reeksen!J32,0)</f>
        <v>0</v>
      </c>
      <c r="AR32" s="71">
        <f ca="1">-IF(C32=1,(G32*'Invoer gegevens'!$I$34)*Reeksen!J32,0)</f>
        <v>0</v>
      </c>
      <c r="AS32" s="71">
        <f ca="1">-IF(C32=1,'Invoer gegevens'!$C$10*'Invoer gegevens'!$I$35*Reeksen!L32,0)</f>
        <v>0</v>
      </c>
      <c r="AT32" s="71">
        <f ca="1">-IF(C32=1,IF(E32='Invoer gegevens'!$C$17,'Invoer gegevens'!$C$11,Q32)*Reeksen!S32*'Invoer gegevens'!$C$18*Reeksen!P32,0)</f>
        <v>0</v>
      </c>
      <c r="AU32" s="71">
        <f ca="1">-IF(C32=1,'Invoer gegevens'!$C$10*'Invoer gegevens'!$I$36*Reeksen!H32,0)</f>
        <v>0</v>
      </c>
      <c r="AV32" s="71">
        <f t="shared" ca="1" si="4"/>
        <v>0</v>
      </c>
      <c r="AW32" s="72">
        <f ca="1">IFERROR(IF(E32='Invoer gegevens'!$C$17+'Invoer gegevens'!$I$14-1,'Invoer gegevens'!$I$13*'Invoer gegevens'!$C$10*Reeksen!H32,0),0)</f>
        <v>0</v>
      </c>
      <c r="AX32" s="72">
        <f ca="1">IFERROR(IF(E32='Invoer gegevens'!$C$17,-'Invoer gegevens'!$C$10*'Invoer gegevens'!$C$31*Reeksen!H32,0),0)</f>
        <v>0</v>
      </c>
      <c r="AY32" s="73">
        <f ca="1">IF('Invoer gegevens'!$C$34=E32,'Invoer gegevens'!$C$27*'Invoer gegevens'!$C$10*'Invoer gegevens'!$C$36*(IF('Invoer gegevens'!$C$35="ja",1,Reeksen!J32)),IF('Invoer gegevens'!$C$34+1=E32,'Invoer gegevens'!$C$27*'Invoer gegevens'!$C$10*'Invoer gegevens'!$C$37*(IF('Invoer gegevens'!$C$35="ja",1,Reeksen!J32)),0))+IF(AND(E32='Invoer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2" s="73">
        <f ca="1">AV32/(1+'Invoer gegevens'!$I$12)^($D32-('Invoer gegevens'!$C$17-'Invoer gegevens'!$C$16))/(1+'Invoer gegevens'!$C$39)^('Invoer gegevens'!$C$17-'Invoer gegevens'!$C$16)</f>
        <v>0</v>
      </c>
      <c r="BA32" s="73">
        <f ca="1">AW32/(1+'Invoer gegevens'!$I$12)^(E32-('Invoer gegevens'!$C$17-1))/(1+'Invoer gegevens'!$C$39)^('Invoer gegevens'!$C$17-'Invoer gegevens'!$C$16)</f>
        <v>0</v>
      </c>
      <c r="BB32" s="73">
        <f ca="1">AX32/(1+'Invoer gegevens'!$C$39)^('Invoer gegevens'!$C$17-'Invoer gegevens'!$C$16)</f>
        <v>0</v>
      </c>
      <c r="BC32" s="72">
        <f t="shared" ca="1" si="5"/>
        <v>0</v>
      </c>
      <c r="BD32" s="72">
        <f ca="1">IF(AND(E32='Invoer gegevens'!$C$16,'Invoer gegevens'!$C$34&lt;'Invoer gegevens'!$C$16),AY32,AY32/(1+'Invoer gegevens'!$C$39)^D32)</f>
        <v>0</v>
      </c>
      <c r="BE32" s="72">
        <f ca="1">IF(E32='Invoer gegevens'!$C$34,-'Invoer gegevens'!$I$38,0)</f>
        <v>0</v>
      </c>
      <c r="BF32" s="72">
        <f ca="1">IF(E32='Invoer gegevens'!$C$17,-'Invoer gegevens'!$C$19*$BC$66,0)</f>
        <v>0</v>
      </c>
      <c r="BG32" s="72">
        <f ca="1">AV32/(1+$BG$4)^($D32-('Invoer gegevens'!$C$17-'Invoer gegevens'!$C$16))/(1+'Invoer gegevens'!$C$39)^('Invoer gegevens'!$C$17-'Invoer gegevens'!$C$16)+AW32/(1+$BG$4)^(E32-('Invoer gegevens'!$C$17-1))/(1+'Invoer gegevens'!$C$39)^('Invoer gegevens'!$C$17-'Invoer gegevens'!$C$16)+AX32/(1+'Invoer gegevens'!$C$39)^('Invoer gegevens'!$C$17-'Invoer gegevens'!$C$16)+(-AY32/(1+'Invoer gegevens'!$C$39)^D32)+BE32+BF32</f>
        <v>0</v>
      </c>
      <c r="BH32" s="59"/>
      <c r="BI32" s="215"/>
      <c r="BJ32" s="214"/>
    </row>
    <row r="33" spans="2:62" x14ac:dyDescent="0.25">
      <c r="B33" s="70">
        <f t="shared" si="6"/>
        <v>29</v>
      </c>
      <c r="C33" s="67">
        <f ca="1">IF(AND(E33&gt;='Invoer gegevens'!$C$17,E33&lt;'Invoer gegevens'!$C$17+'Invoer gegevens'!$I$14),1,0)</f>
        <v>1</v>
      </c>
      <c r="D33" s="68">
        <f t="shared" si="7"/>
        <v>28.5</v>
      </c>
      <c r="E33" s="69">
        <f ca="1">IF('Invoer gegevens'!$C$16="","",E32+1)</f>
        <v>2047</v>
      </c>
      <c r="F33" s="82">
        <f ca="1">IF('Invoer gegevens'!$C$17=E33,'Invoer gegevens'!$C$10,IF(C33=1,H32,0))</f>
        <v>0</v>
      </c>
      <c r="G33" s="83">
        <f ca="1">IF(E33='Invoer gegevens'!$C$17+'Invoer gegevens'!$I$14,H32,IF(C33&gt;=1,F33*Reeksen!C33,0))</f>
        <v>0</v>
      </c>
      <c r="H33" s="84">
        <f ca="1">IF(E33&gt;='Invoer gegevens'!$C$17+'Invoer gegevens'!$I$14,0,F33-G33)</f>
        <v>0</v>
      </c>
      <c r="I33" s="85">
        <f ca="1">IF('Invoer gegevens'!$C$17=E33,'Invoer gegevens'!$C$11,IF(C33=1,L32,0))</f>
        <v>0</v>
      </c>
      <c r="J33" s="86">
        <f ca="1">IF(E33='Invoer gegevens'!$C$17+'Invoer gegevens'!$I$14,L32,IF(C33&lt;1,0,IF(Reeksen!BG33&lt;=Reeksen!AE33,I33*Reeksen!C33,0)))</f>
        <v>0</v>
      </c>
      <c r="K33" s="86">
        <f ca="1">IF(E33='Invoer gegevens'!$C$17+'Invoer gegevens'!$I$14,L32,IF(C33&lt;1,0,IF(Reeksen!BG33&gt;Reeksen!AE33,I33*Reeksen!C33,0)))</f>
        <v>0</v>
      </c>
      <c r="L33" s="86">
        <f ca="1">IF(E33&gt;='Invoer gegevens'!$C$17+'Invoer gegevens'!$I$14,0,I33-J33-K33)</f>
        <v>0</v>
      </c>
      <c r="M33" s="85">
        <f ca="1">IF('Invoer gegevens'!$C$17=E33,'Invoer gegevens'!$C$10-'Invoer gegevens'!$C$11,IF(C33=1,P32,0))</f>
        <v>0</v>
      </c>
      <c r="N33" s="86">
        <f ca="1">IF(E33='Invoer gegevens'!$C$17+'Invoer gegevens'!$I$14,P32,IF(C33&lt;1,0,IF(Reeksen!BG33&lt;=Reeksen!AE33,M33*Reeksen!C33,0)))</f>
        <v>0</v>
      </c>
      <c r="O33" s="86">
        <f ca="1">IF(E33='Invoer gegevens'!$C$17+'Invoer gegevens'!$I$14,P32,IF(C33&lt;1,0,IF(Reeksen!BG33&gt;Reeksen!AE33,M33*Reeksen!C33,0)))</f>
        <v>0</v>
      </c>
      <c r="P33" s="86">
        <f ca="1">IF(E33&gt;='Invoer gegevens'!$C$17+'Invoer gegevens'!$I$14,0,M33-N33-O33)</f>
        <v>0</v>
      </c>
      <c r="Q33" s="82">
        <f ca="1">IF('Invoer gegevens'!$C$17=E33,I33,IF(C33=0,0,R32))</f>
        <v>0</v>
      </c>
      <c r="R33" s="84">
        <f t="shared" ca="1" si="0"/>
        <v>0</v>
      </c>
      <c r="S33" s="84">
        <f ca="1">IF('Invoer gegevens'!$C$17=E33,M33,IF(C33=0,0,T32))</f>
        <v>0</v>
      </c>
      <c r="T33" s="84">
        <f t="shared" ca="1" si="1"/>
        <v>0</v>
      </c>
      <c r="AH33" s="70"/>
      <c r="AI33" s="71">
        <f ca="1">IF(C33=1,((F33+H33)/2*Reeksen!BF33*12)+(('Invoer gegevens'!$C$10-(F33+H33)/2)*Reeksen!BG33*12),0)</f>
        <v>0</v>
      </c>
      <c r="AJ33" s="71">
        <f ca="1">-AI33*'Invoer gegevens'!$I$26</f>
        <v>0</v>
      </c>
      <c r="AK33" s="71">
        <f t="shared" ca="1" si="2"/>
        <v>0</v>
      </c>
      <c r="AL33" s="71">
        <f ca="1">IF(C33=1,(12*((F33+H33)/2)*Reeksen!AL33)+(12*('Invoer gegevens'!$C$10-(F33+H33)/2)*Reeksen!AM33),0)</f>
        <v>0</v>
      </c>
      <c r="AM33" s="71">
        <f ca="1">-AL33*'Invoer gegevens'!$F$31</f>
        <v>0</v>
      </c>
      <c r="AN33" s="71">
        <f t="shared" ca="1" si="3"/>
        <v>0</v>
      </c>
      <c r="AO33" s="71"/>
      <c r="AP33" s="71"/>
      <c r="AQ33" s="71">
        <f ca="1">-IF(C33=1,('Invoer gegevens'!$C$10*'Invoer gegevens'!$I$33)*Reeksen!J33,0)</f>
        <v>0</v>
      </c>
      <c r="AR33" s="71">
        <f ca="1">-IF(C33=1,(G33*'Invoer gegevens'!$I$34)*Reeksen!J33,0)</f>
        <v>0</v>
      </c>
      <c r="AS33" s="71">
        <f ca="1">-IF(C33=1,'Invoer gegevens'!$C$10*'Invoer gegevens'!$I$35*Reeksen!L33,0)</f>
        <v>0</v>
      </c>
      <c r="AT33" s="71">
        <f ca="1">-IF(C33=1,IF(E33='Invoer gegevens'!$C$17,'Invoer gegevens'!$C$11,Q33)*Reeksen!S33*'Invoer gegevens'!$C$18*Reeksen!P33,0)</f>
        <v>0</v>
      </c>
      <c r="AU33" s="71">
        <f ca="1">-IF(C33=1,'Invoer gegevens'!$C$10*'Invoer gegevens'!$I$36*Reeksen!H33,0)</f>
        <v>0</v>
      </c>
      <c r="AV33" s="71">
        <f t="shared" ca="1" si="4"/>
        <v>0</v>
      </c>
      <c r="AW33" s="72">
        <f ca="1">IFERROR(IF(E33='Invoer gegevens'!$C$17+'Invoer gegevens'!$I$14-1,'Invoer gegevens'!$I$13*'Invoer gegevens'!$C$10*Reeksen!H33,0),0)</f>
        <v>0</v>
      </c>
      <c r="AX33" s="72">
        <f ca="1">IFERROR(IF(E33='Invoer gegevens'!$C$17,-'Invoer gegevens'!$C$10*'Invoer gegevens'!$C$31*Reeksen!H33,0),0)</f>
        <v>0</v>
      </c>
      <c r="AY33" s="73">
        <f ca="1">IF('Invoer gegevens'!$C$34=E33,'Invoer gegevens'!$C$27*'Invoer gegevens'!$C$10*'Invoer gegevens'!$C$36*(IF('Invoer gegevens'!$C$35="ja",1,Reeksen!J33)),IF('Invoer gegevens'!$C$34+1=E33,'Invoer gegevens'!$C$27*'Invoer gegevens'!$C$10*'Invoer gegevens'!$C$37*(IF('Invoer gegevens'!$C$35="ja",1,Reeksen!J33)),0))+IF(AND(E33='Invoer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3" s="73">
        <f ca="1">AV33/(1+'Invoer gegevens'!$I$12)^($D33-('Invoer gegevens'!$C$17-'Invoer gegevens'!$C$16))/(1+'Invoer gegevens'!$C$39)^('Invoer gegevens'!$C$17-'Invoer gegevens'!$C$16)</f>
        <v>0</v>
      </c>
      <c r="BA33" s="73">
        <f ca="1">AW33/(1+'Invoer gegevens'!$I$12)^(E33-('Invoer gegevens'!$C$17-1))/(1+'Invoer gegevens'!$C$39)^('Invoer gegevens'!$C$17-'Invoer gegevens'!$C$16)</f>
        <v>0</v>
      </c>
      <c r="BB33" s="73">
        <f ca="1">AX33/(1+'Invoer gegevens'!$C$39)^('Invoer gegevens'!$C$17-'Invoer gegevens'!$C$16)</f>
        <v>0</v>
      </c>
      <c r="BC33" s="72">
        <f t="shared" ca="1" si="5"/>
        <v>0</v>
      </c>
      <c r="BD33" s="72">
        <f ca="1">IF(AND(E33='Invoer gegevens'!$C$16,'Invoer gegevens'!$C$34&lt;'Invoer gegevens'!$C$16),AY33,AY33/(1+'Invoer gegevens'!$C$39)^D33)</f>
        <v>0</v>
      </c>
      <c r="BE33" s="72">
        <f ca="1">IF(E33='Invoer gegevens'!$C$34,-'Invoer gegevens'!$I$38,0)</f>
        <v>0</v>
      </c>
      <c r="BF33" s="72">
        <f ca="1">IF(E33='Invoer gegevens'!$C$17,-'Invoer gegevens'!$C$19*$BC$66,0)</f>
        <v>0</v>
      </c>
      <c r="BG33" s="72">
        <f ca="1">AV33/(1+$BG$4)^($D33-('Invoer gegevens'!$C$17-'Invoer gegevens'!$C$16))/(1+'Invoer gegevens'!$C$39)^('Invoer gegevens'!$C$17-'Invoer gegevens'!$C$16)+AW33/(1+$BG$4)^(E33-('Invoer gegevens'!$C$17-1))/(1+'Invoer gegevens'!$C$39)^('Invoer gegevens'!$C$17-'Invoer gegevens'!$C$16)+AX33/(1+'Invoer gegevens'!$C$39)^('Invoer gegevens'!$C$17-'Invoer gegevens'!$C$16)+(-AY33/(1+'Invoer gegevens'!$C$39)^D33)+BE33+BF33</f>
        <v>0</v>
      </c>
      <c r="BH33" s="59"/>
      <c r="BI33" s="215"/>
      <c r="BJ33" s="214"/>
    </row>
    <row r="34" spans="2:62" x14ac:dyDescent="0.25">
      <c r="B34" s="70">
        <f t="shared" si="6"/>
        <v>30</v>
      </c>
      <c r="C34" s="67">
        <f ca="1">IF(AND(E34&gt;='Invoer gegevens'!$C$17,E34&lt;'Invoer gegevens'!$C$17+'Invoer gegevens'!$I$14),1,0)</f>
        <v>1</v>
      </c>
      <c r="D34" s="68">
        <f t="shared" si="7"/>
        <v>29.5</v>
      </c>
      <c r="E34" s="69">
        <f ca="1">IF('Invoer gegevens'!$C$16="","",E33+1)</f>
        <v>2048</v>
      </c>
      <c r="F34" s="82">
        <f ca="1">IF('Invoer gegevens'!$C$17=E34,'Invoer gegevens'!$C$10,IF(C34=1,H33,0))</f>
        <v>0</v>
      </c>
      <c r="G34" s="83">
        <f ca="1">IF(E34='Invoer gegevens'!$C$17+'Invoer gegevens'!$I$14,H33,IF(C34&gt;=1,F34*Reeksen!C34,0))</f>
        <v>0</v>
      </c>
      <c r="H34" s="84">
        <f ca="1">IF(E34&gt;='Invoer gegevens'!$C$17+'Invoer gegevens'!$I$14,0,F34-G34)</f>
        <v>0</v>
      </c>
      <c r="I34" s="85">
        <f ca="1">IF('Invoer gegevens'!$C$17=E34,'Invoer gegevens'!$C$11,IF(C34=1,L33,0))</f>
        <v>0</v>
      </c>
      <c r="J34" s="86">
        <f ca="1">IF(E34='Invoer gegevens'!$C$17+'Invoer gegevens'!$I$14,L33,IF(C34&lt;1,0,IF(Reeksen!BG34&lt;=Reeksen!AE34,I34*Reeksen!C34,0)))</f>
        <v>0</v>
      </c>
      <c r="K34" s="86">
        <f ca="1">IF(E34='Invoer gegevens'!$C$17+'Invoer gegevens'!$I$14,L33,IF(C34&lt;1,0,IF(Reeksen!BG34&gt;Reeksen!AE34,I34*Reeksen!C34,0)))</f>
        <v>0</v>
      </c>
      <c r="L34" s="86">
        <f ca="1">IF(E34&gt;='Invoer gegevens'!$C$17+'Invoer gegevens'!$I$14,0,I34-J34-K34)</f>
        <v>0</v>
      </c>
      <c r="M34" s="85">
        <f ca="1">IF('Invoer gegevens'!$C$17=E34,'Invoer gegevens'!$C$10-'Invoer gegevens'!$C$11,IF(C34=1,P33,0))</f>
        <v>0</v>
      </c>
      <c r="N34" s="86">
        <f ca="1">IF(E34='Invoer gegevens'!$C$17+'Invoer gegevens'!$I$14,P33,IF(C34&lt;1,0,IF(Reeksen!BG34&lt;=Reeksen!AE34,M34*Reeksen!C34,0)))</f>
        <v>0</v>
      </c>
      <c r="O34" s="86">
        <f ca="1">IF(E34='Invoer gegevens'!$C$17+'Invoer gegevens'!$I$14,P33,IF(C34&lt;1,0,IF(Reeksen!BG34&gt;Reeksen!AE34,M34*Reeksen!C34,0)))</f>
        <v>0</v>
      </c>
      <c r="P34" s="86">
        <f ca="1">IF(E34&gt;='Invoer gegevens'!$C$17+'Invoer gegevens'!$I$14,0,M34-N34-O34)</f>
        <v>0</v>
      </c>
      <c r="Q34" s="82">
        <f ca="1">IF('Invoer gegevens'!$C$17=E34,I34,IF(C34=0,0,R33))</f>
        <v>0</v>
      </c>
      <c r="R34" s="84">
        <f t="shared" ca="1" si="0"/>
        <v>0</v>
      </c>
      <c r="S34" s="84">
        <f ca="1">IF('Invoer gegevens'!$C$17=E34,M34,IF(C34=0,0,T33))</f>
        <v>0</v>
      </c>
      <c r="T34" s="84">
        <f t="shared" ca="1" si="1"/>
        <v>0</v>
      </c>
      <c r="AH34" s="70"/>
      <c r="AI34" s="71">
        <f ca="1">IF(C34=1,((F34+H34)/2*Reeksen!BF34*12)+(('Invoer gegevens'!$C$10-(F34+H34)/2)*Reeksen!BG34*12),0)</f>
        <v>0</v>
      </c>
      <c r="AJ34" s="71">
        <f ca="1">-AI34*'Invoer gegevens'!$I$26</f>
        <v>0</v>
      </c>
      <c r="AK34" s="71">
        <f t="shared" ca="1" si="2"/>
        <v>0</v>
      </c>
      <c r="AL34" s="71">
        <f ca="1">IF(C34=1,(12*((F34+H34)/2)*Reeksen!AL34)+(12*('Invoer gegevens'!$C$10-(F34+H34)/2)*Reeksen!AM34),0)</f>
        <v>0</v>
      </c>
      <c r="AM34" s="71">
        <f ca="1">-AL34*'Invoer gegevens'!$F$31</f>
        <v>0</v>
      </c>
      <c r="AN34" s="71">
        <f t="shared" ca="1" si="3"/>
        <v>0</v>
      </c>
      <c r="AO34" s="71"/>
      <c r="AP34" s="71"/>
      <c r="AQ34" s="71">
        <f ca="1">-IF(C34=1,('Invoer gegevens'!$C$10*'Invoer gegevens'!$I$33)*Reeksen!J34,0)</f>
        <v>0</v>
      </c>
      <c r="AR34" s="71">
        <f ca="1">-IF(C34=1,(G34*'Invoer gegevens'!$I$34)*Reeksen!J34,0)</f>
        <v>0</v>
      </c>
      <c r="AS34" s="71">
        <f ca="1">-IF(C34=1,'Invoer gegevens'!$C$10*'Invoer gegevens'!$I$35*Reeksen!L34,0)</f>
        <v>0</v>
      </c>
      <c r="AT34" s="71">
        <f ca="1">-IF(C34=1,IF(E34='Invoer gegevens'!$C$17,'Invoer gegevens'!$C$11,Q34)*Reeksen!S34*'Invoer gegevens'!$C$18*Reeksen!P34,0)</f>
        <v>0</v>
      </c>
      <c r="AU34" s="71">
        <f ca="1">-IF(C34=1,'Invoer gegevens'!$C$10*'Invoer gegevens'!$I$36*Reeksen!H34,0)</f>
        <v>0</v>
      </c>
      <c r="AV34" s="71">
        <f t="shared" ca="1" si="4"/>
        <v>0</v>
      </c>
      <c r="AW34" s="72">
        <f ca="1">IFERROR(IF(E34='Invoer gegevens'!$C$17+'Invoer gegevens'!$I$14-1,'Invoer gegevens'!$I$13*'Invoer gegevens'!$C$10*Reeksen!H34,0),0)</f>
        <v>0</v>
      </c>
      <c r="AX34" s="72">
        <f ca="1">IFERROR(IF(E34='Invoer gegevens'!$C$17,-'Invoer gegevens'!$C$10*'Invoer gegevens'!$C$31*Reeksen!H34,0),0)</f>
        <v>0</v>
      </c>
      <c r="AY34" s="73">
        <f ca="1">IF('Invoer gegevens'!$C$34=E34,'Invoer gegevens'!$C$27*'Invoer gegevens'!$C$10*'Invoer gegevens'!$C$36*(IF('Invoer gegevens'!$C$35="ja",1,Reeksen!J34)),IF('Invoer gegevens'!$C$34+1=E34,'Invoer gegevens'!$C$27*'Invoer gegevens'!$C$10*'Invoer gegevens'!$C$37*(IF('Invoer gegevens'!$C$35="ja",1,Reeksen!J34)),0))+IF(AND(E34='Invoer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4" s="73">
        <f ca="1">AV34/(1+'Invoer gegevens'!$I$12)^($D34-('Invoer gegevens'!$C$17-'Invoer gegevens'!$C$16))/(1+'Invoer gegevens'!$C$39)^('Invoer gegevens'!$C$17-'Invoer gegevens'!$C$16)</f>
        <v>0</v>
      </c>
      <c r="BA34" s="73">
        <f ca="1">AW34/(1+'Invoer gegevens'!$I$12)^(E34-('Invoer gegevens'!$C$17-1))/(1+'Invoer gegevens'!$C$39)^('Invoer gegevens'!$C$17-'Invoer gegevens'!$C$16)</f>
        <v>0</v>
      </c>
      <c r="BB34" s="73">
        <f ca="1">AX34/(1+'Invoer gegevens'!$C$39)^('Invoer gegevens'!$C$17-'Invoer gegevens'!$C$16)</f>
        <v>0</v>
      </c>
      <c r="BC34" s="72">
        <f t="shared" ca="1" si="5"/>
        <v>0</v>
      </c>
      <c r="BD34" s="72">
        <f ca="1">IF(AND(E34='Invoer gegevens'!$C$16,'Invoer gegevens'!$C$34&lt;'Invoer gegevens'!$C$16),AY34,AY34/(1+'Invoer gegevens'!$C$39)^D34)</f>
        <v>0</v>
      </c>
      <c r="BE34" s="72">
        <f ca="1">IF(E34='Invoer gegevens'!$C$34,-'Invoer gegevens'!$I$38,0)</f>
        <v>0</v>
      </c>
      <c r="BF34" s="72">
        <f ca="1">IF(E34='Invoer gegevens'!$C$17,-'Invoer gegevens'!$C$19*$BC$66,0)</f>
        <v>0</v>
      </c>
      <c r="BG34" s="72">
        <f ca="1">AV34/(1+$BG$4)^($D34-('Invoer gegevens'!$C$17-'Invoer gegevens'!$C$16))/(1+'Invoer gegevens'!$C$39)^('Invoer gegevens'!$C$17-'Invoer gegevens'!$C$16)+AW34/(1+$BG$4)^(E34-('Invoer gegevens'!$C$17-1))/(1+'Invoer gegevens'!$C$39)^('Invoer gegevens'!$C$17-'Invoer gegevens'!$C$16)+AX34/(1+'Invoer gegevens'!$C$39)^('Invoer gegevens'!$C$17-'Invoer gegevens'!$C$16)+(-AY34/(1+'Invoer gegevens'!$C$39)^D34)+BE34+BF34</f>
        <v>0</v>
      </c>
      <c r="BH34" s="59"/>
      <c r="BI34" s="215"/>
      <c r="BJ34" s="214"/>
    </row>
    <row r="35" spans="2:62" ht="15" customHeight="1" x14ac:dyDescent="0.25">
      <c r="B35" s="70">
        <f t="shared" si="6"/>
        <v>31</v>
      </c>
      <c r="C35" s="67">
        <f ca="1">IF(AND(E35&gt;='Invoer gegevens'!$C$17,E35&lt;'Invoer gegevens'!$C$17+'Invoer gegevens'!$I$14),1,0)</f>
        <v>1</v>
      </c>
      <c r="D35" s="68">
        <f t="shared" si="7"/>
        <v>30.5</v>
      </c>
      <c r="E35" s="69">
        <f ca="1">IF('Invoer gegevens'!$C$16="","",E34+1)</f>
        <v>2049</v>
      </c>
      <c r="F35" s="82">
        <f ca="1">IF('Invoer gegevens'!$C$17=E35,'Invoer gegevens'!$C$10,IF(C35=1,H34,0))</f>
        <v>0</v>
      </c>
      <c r="G35" s="83">
        <f ca="1">IF(E35='Invoer gegevens'!$C$17+'Invoer gegevens'!$I$14,H34,IF(C35&gt;=1,F35*Reeksen!C35,0))</f>
        <v>0</v>
      </c>
      <c r="H35" s="84">
        <f ca="1">IF(E35&gt;='Invoer gegevens'!$C$17+'Invoer gegevens'!$I$14,0,F35-G35)</f>
        <v>0</v>
      </c>
      <c r="I35" s="85">
        <f ca="1">IF('Invoer gegevens'!$C$17=E35,'Invoer gegevens'!$C$11,IF(C35=1,L34,0))</f>
        <v>0</v>
      </c>
      <c r="J35" s="86">
        <f ca="1">IF(E35='Invoer gegevens'!$C$17+'Invoer gegevens'!$I$14,L34,IF(C35&lt;1,0,IF(Reeksen!BG35&lt;=Reeksen!AE35,I35*Reeksen!C35,0)))</f>
        <v>0</v>
      </c>
      <c r="K35" s="86">
        <f ca="1">IF(E35='Invoer gegevens'!$C$17+'Invoer gegevens'!$I$14,L34,IF(C35&lt;1,0,IF(Reeksen!BG35&gt;Reeksen!AE35,I35*Reeksen!C35,0)))</f>
        <v>0</v>
      </c>
      <c r="L35" s="86">
        <f ca="1">IF(E35&gt;='Invoer gegevens'!$C$17+'Invoer gegevens'!$I$14,0,I35-J35-K35)</f>
        <v>0</v>
      </c>
      <c r="M35" s="85">
        <f ca="1">IF('Invoer gegevens'!$C$17=E35,'Invoer gegevens'!$C$10-'Invoer gegevens'!$C$11,IF(C35=1,P34,0))</f>
        <v>0</v>
      </c>
      <c r="N35" s="86">
        <f ca="1">IF(E35='Invoer gegevens'!$C$17+'Invoer gegevens'!$I$14,P34,IF(C35&lt;1,0,IF(Reeksen!BG35&lt;=Reeksen!AE35,M35*Reeksen!C35,0)))</f>
        <v>0</v>
      </c>
      <c r="O35" s="86">
        <f ca="1">IF(E35='Invoer gegevens'!$C$17+'Invoer gegevens'!$I$14,P34,IF(C35&lt;1,0,IF(Reeksen!BG35&gt;Reeksen!AE35,M35*Reeksen!C35,0)))</f>
        <v>0</v>
      </c>
      <c r="P35" s="86">
        <f ca="1">IF(E35&gt;='Invoer gegevens'!$C$17+'Invoer gegevens'!$I$14,0,M35-N35-O35)</f>
        <v>0</v>
      </c>
      <c r="Q35" s="82">
        <f ca="1">IF('Invoer gegevens'!$C$17=E35,I35,IF(C35=0,0,R34))</f>
        <v>0</v>
      </c>
      <c r="R35" s="84">
        <f t="shared" ca="1" si="0"/>
        <v>0</v>
      </c>
      <c r="S35" s="84">
        <f ca="1">IF('Invoer gegevens'!$C$17=E35,M35,IF(C35=0,0,T34))</f>
        <v>0</v>
      </c>
      <c r="T35" s="84">
        <f t="shared" ca="1" si="1"/>
        <v>0</v>
      </c>
      <c r="AH35" s="66"/>
      <c r="AI35" s="71">
        <f ca="1">IF(C35=1,((F35+H35)/2*Reeksen!BF35*12)+(('Invoer gegevens'!$C$10-(F35+H35)/2)*Reeksen!BG35*12),0)</f>
        <v>0</v>
      </c>
      <c r="AJ35" s="71">
        <f ca="1">-AI35*'Invoer gegevens'!$I$26</f>
        <v>0</v>
      </c>
      <c r="AK35" s="71">
        <f t="shared" ca="1" si="2"/>
        <v>0</v>
      </c>
      <c r="AL35" s="71">
        <f ca="1">IF(C35=1,(12*((F35+H35)/2)*Reeksen!AL35)+(12*('Invoer gegevens'!$C$10-(F35+H35)/2)*Reeksen!AM35),0)</f>
        <v>0</v>
      </c>
      <c r="AM35" s="71">
        <f ca="1">-AL35*'Invoer gegevens'!$F$31</f>
        <v>0</v>
      </c>
      <c r="AN35" s="71">
        <f t="shared" ca="1" si="3"/>
        <v>0</v>
      </c>
      <c r="AO35" s="71"/>
      <c r="AP35" s="71"/>
      <c r="AQ35" s="71">
        <f ca="1">-IF(C35=1,('Invoer gegevens'!$C$10*'Invoer gegevens'!$I$33)*Reeksen!J35,0)</f>
        <v>0</v>
      </c>
      <c r="AR35" s="71">
        <f ca="1">-IF(C35=1,(G35*'Invoer gegevens'!$I$34)*Reeksen!J35,0)</f>
        <v>0</v>
      </c>
      <c r="AS35" s="71">
        <f ca="1">-IF(C35=1,'Invoer gegevens'!$C$10*'Invoer gegevens'!$I$35*Reeksen!L35,0)</f>
        <v>0</v>
      </c>
      <c r="AT35" s="71">
        <f ca="1">-IF(C35=1,IF(E35='Invoer gegevens'!$C$17,'Invoer gegevens'!$C$11,Q35)*Reeksen!S35*'Invoer gegevens'!$C$18*Reeksen!P35,0)</f>
        <v>0</v>
      </c>
      <c r="AU35" s="71">
        <f ca="1">-IF(C35=1,'Invoer gegevens'!$C$10*'Invoer gegevens'!$I$36*Reeksen!H35,0)</f>
        <v>0</v>
      </c>
      <c r="AV35" s="71">
        <f t="shared" ca="1" si="4"/>
        <v>0</v>
      </c>
      <c r="AW35" s="72">
        <f ca="1">IFERROR(IF(E35='Invoer gegevens'!$C$17+'Invoer gegevens'!$I$14-1,'Invoer gegevens'!$I$13*'Invoer gegevens'!$C$10*Reeksen!H35,0),0)</f>
        <v>0</v>
      </c>
      <c r="AX35" s="72">
        <f ca="1">IFERROR(IF(E35='Invoer gegevens'!$C$17,-'Invoer gegevens'!$C$10*'Invoer gegevens'!$C$31*Reeksen!H35,0),0)</f>
        <v>0</v>
      </c>
      <c r="AY35" s="73">
        <f ca="1">IF('Invoer gegevens'!$C$34=E35,'Invoer gegevens'!$C$27*'Invoer gegevens'!$C$10*'Invoer gegevens'!$C$36*(IF('Invoer gegevens'!$C$35="ja",1,Reeksen!J35)),IF('Invoer gegevens'!$C$34+1=E35,'Invoer gegevens'!$C$27*'Invoer gegevens'!$C$10*'Invoer gegevens'!$C$37*(IF('Invoer gegevens'!$C$35="ja",1,Reeksen!J35)),0))+IF(AND(E35='Invoer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5" s="73">
        <f ca="1">AV35/(1+'Invoer gegevens'!$I$12)^($D35-('Invoer gegevens'!$C$17-'Invoer gegevens'!$C$16))/(1+'Invoer gegevens'!$C$39)^('Invoer gegevens'!$C$17-'Invoer gegevens'!$C$16)</f>
        <v>0</v>
      </c>
      <c r="BA35" s="73">
        <f ca="1">AW35/(1+'Invoer gegevens'!$I$12)^(E35-('Invoer gegevens'!$C$17-1))/(1+'Invoer gegevens'!$C$39)^('Invoer gegevens'!$C$17-'Invoer gegevens'!$C$16)</f>
        <v>0</v>
      </c>
      <c r="BB35" s="73">
        <f ca="1">AX35/(1+'Invoer gegevens'!$C$39)^('Invoer gegevens'!$C$17-'Invoer gegevens'!$C$16)</f>
        <v>0</v>
      </c>
      <c r="BC35" s="72">
        <f t="shared" ca="1" si="5"/>
        <v>0</v>
      </c>
      <c r="BD35" s="72">
        <f ca="1">IF(AND(E35='Invoer gegevens'!$C$16,'Invoer gegevens'!$C$34&lt;'Invoer gegevens'!$C$16),AY35,AY35/(1+'Invoer gegevens'!$C$39)^D35)</f>
        <v>0</v>
      </c>
      <c r="BE35" s="72">
        <f ca="1">IF(E35='Invoer gegevens'!$C$34,-'Invoer gegevens'!$I$38,0)</f>
        <v>0</v>
      </c>
      <c r="BF35" s="72">
        <f ca="1">IF(E35='Invoer gegevens'!$C$17,-'Invoer gegevens'!$C$19*$BC$66,0)</f>
        <v>0</v>
      </c>
      <c r="BG35" s="72">
        <f ca="1">AV35/(1+$BG$4)^($D35-('Invoer gegevens'!$C$17-'Invoer gegevens'!$C$16))/(1+'Invoer gegevens'!$C$39)^('Invoer gegevens'!$C$17-'Invoer gegevens'!$C$16)+AW35/(1+$BG$4)^(E35-('Invoer gegevens'!$C$17-1))/(1+'Invoer gegevens'!$C$39)^('Invoer gegevens'!$C$17-'Invoer gegevens'!$C$16)+AX35/(1+'Invoer gegevens'!$C$39)^('Invoer gegevens'!$C$17-'Invoer gegevens'!$C$16)+(-AY35/(1+'Invoer gegevens'!$C$39)^D35)+BE35+BF35</f>
        <v>0</v>
      </c>
      <c r="BH35" s="59"/>
      <c r="BI35" s="215"/>
      <c r="BJ35" s="214"/>
    </row>
    <row r="36" spans="2:62" x14ac:dyDescent="0.25">
      <c r="B36" s="70">
        <f t="shared" si="6"/>
        <v>32</v>
      </c>
      <c r="C36" s="67">
        <f ca="1">IF(AND(E36&gt;='Invoer gegevens'!$C$17,E36&lt;'Invoer gegevens'!$C$17+'Invoer gegevens'!$I$14),1,0)</f>
        <v>1</v>
      </c>
      <c r="D36" s="68">
        <f t="shared" si="7"/>
        <v>31.5</v>
      </c>
      <c r="E36" s="69">
        <f ca="1">IF('Invoer gegevens'!$C$16="","",E35+1)</f>
        <v>2050</v>
      </c>
      <c r="F36" s="82">
        <f ca="1">IF('Invoer gegevens'!$C$17=E36,'Invoer gegevens'!$C$10,IF(C36=1,H35,0))</f>
        <v>0</v>
      </c>
      <c r="G36" s="83">
        <f ca="1">IF(E36='Invoer gegevens'!$C$17+'Invoer gegevens'!$I$14,H35,IF(C36&gt;=1,F36*Reeksen!C36,0))</f>
        <v>0</v>
      </c>
      <c r="H36" s="84">
        <f ca="1">IF(E36&gt;='Invoer gegevens'!$C$17+'Invoer gegevens'!$I$14,0,F36-G36)</f>
        <v>0</v>
      </c>
      <c r="I36" s="85">
        <f ca="1">IF('Invoer gegevens'!$C$17=E36,'Invoer gegevens'!$C$11,IF(C36=1,L35,0))</f>
        <v>0</v>
      </c>
      <c r="J36" s="86">
        <f ca="1">IF(E36='Invoer gegevens'!$C$17+'Invoer gegevens'!$I$14,L35,IF(C36&lt;1,0,IF(Reeksen!BG36&lt;=Reeksen!AE36,I36*Reeksen!C36,0)))</f>
        <v>0</v>
      </c>
      <c r="K36" s="86">
        <f ca="1">IF(E36='Invoer gegevens'!$C$17+'Invoer gegevens'!$I$14,L35,IF(C36&lt;1,0,IF(Reeksen!BG36&gt;Reeksen!AE36,I36*Reeksen!C36,0)))</f>
        <v>0</v>
      </c>
      <c r="L36" s="86">
        <f ca="1">IF(E36&gt;='Invoer gegevens'!$C$17+'Invoer gegevens'!$I$14,0,I36-J36-K36)</f>
        <v>0</v>
      </c>
      <c r="M36" s="85">
        <f ca="1">IF('Invoer gegevens'!$C$17=E36,'Invoer gegevens'!$C$10-'Invoer gegevens'!$C$11,IF(C36=1,P35,0))</f>
        <v>0</v>
      </c>
      <c r="N36" s="86">
        <f ca="1">IF(E36='Invoer gegevens'!$C$17+'Invoer gegevens'!$I$14,P35,IF(C36&lt;1,0,IF(Reeksen!BG36&lt;=Reeksen!AE36,M36*Reeksen!C36,0)))</f>
        <v>0</v>
      </c>
      <c r="O36" s="86">
        <f ca="1">IF(E36='Invoer gegevens'!$C$17+'Invoer gegevens'!$I$14,P35,IF(C36&lt;1,0,IF(Reeksen!BG36&gt;Reeksen!AE36,M36*Reeksen!C36,0)))</f>
        <v>0</v>
      </c>
      <c r="P36" s="86">
        <f ca="1">IF(E36&gt;='Invoer gegevens'!$C$17+'Invoer gegevens'!$I$14,0,M36-N36-O36)</f>
        <v>0</v>
      </c>
      <c r="Q36" s="82">
        <f ca="1">IF('Invoer gegevens'!$C$17=E36,I36,IF(C36=0,0,R35))</f>
        <v>0</v>
      </c>
      <c r="R36" s="84">
        <f t="shared" ca="1" si="0"/>
        <v>0</v>
      </c>
      <c r="S36" s="84">
        <f ca="1">IF('Invoer gegevens'!$C$17=E36,M36,IF(C36=0,0,T35))</f>
        <v>0</v>
      </c>
      <c r="T36" s="84">
        <f t="shared" ca="1" si="1"/>
        <v>0</v>
      </c>
      <c r="AH36" s="66"/>
      <c r="AI36" s="71">
        <f ca="1">IF(C36=1,((F36+H36)/2*Reeksen!BF36*12)+(('Invoer gegevens'!$C$10-(F36+H36)/2)*Reeksen!BG36*12),0)</f>
        <v>0</v>
      </c>
      <c r="AJ36" s="71">
        <f ca="1">-AI36*'Invoer gegevens'!$I$26</f>
        <v>0</v>
      </c>
      <c r="AK36" s="71">
        <f t="shared" ca="1" si="2"/>
        <v>0</v>
      </c>
      <c r="AL36" s="71">
        <f ca="1">IF(C36=1,(12*((F36+H36)/2)*Reeksen!AL36)+(12*('Invoer gegevens'!$C$10-(F36+H36)/2)*Reeksen!AM36),0)</f>
        <v>0</v>
      </c>
      <c r="AM36" s="71">
        <f ca="1">-AL36*'Invoer gegevens'!$F$31</f>
        <v>0</v>
      </c>
      <c r="AN36" s="71">
        <f t="shared" ca="1" si="3"/>
        <v>0</v>
      </c>
      <c r="AO36" s="71"/>
      <c r="AP36" s="71"/>
      <c r="AQ36" s="71">
        <f ca="1">-IF(C36=1,('Invoer gegevens'!$C$10*'Invoer gegevens'!$I$33)*Reeksen!J36,0)</f>
        <v>0</v>
      </c>
      <c r="AR36" s="71">
        <f ca="1">-IF(C36=1,(G36*'Invoer gegevens'!$I$34)*Reeksen!J36,0)</f>
        <v>0</v>
      </c>
      <c r="AS36" s="71">
        <f ca="1">-IF(C36=1,'Invoer gegevens'!$C$10*'Invoer gegevens'!$I$35*Reeksen!L36,0)</f>
        <v>0</v>
      </c>
      <c r="AT36" s="71">
        <f ca="1">-IF(C36=1,IF(E36='Invoer gegevens'!$C$17,'Invoer gegevens'!$C$11,Q36)*Reeksen!S36*'Invoer gegevens'!$C$18*Reeksen!P36,0)</f>
        <v>0</v>
      </c>
      <c r="AU36" s="71">
        <f ca="1">-IF(C36=1,'Invoer gegevens'!$C$10*'Invoer gegevens'!$I$36*Reeksen!H36,0)</f>
        <v>0</v>
      </c>
      <c r="AV36" s="71">
        <f t="shared" ca="1" si="4"/>
        <v>0</v>
      </c>
      <c r="AW36" s="72">
        <f ca="1">IFERROR(IF(E36='Invoer gegevens'!$C$17+'Invoer gegevens'!$I$14-1,'Invoer gegevens'!$I$13*'Invoer gegevens'!$C$10*Reeksen!H36,0),0)</f>
        <v>0</v>
      </c>
      <c r="AX36" s="72">
        <f ca="1">IFERROR(IF(E36='Invoer gegevens'!$C$17,-'Invoer gegevens'!$C$10*'Invoer gegevens'!$C$31*Reeksen!H36,0),0)</f>
        <v>0</v>
      </c>
      <c r="AY36" s="73">
        <f ca="1">IF('Invoer gegevens'!$C$34=E36,'Invoer gegevens'!$C$27*'Invoer gegevens'!$C$10*'Invoer gegevens'!$C$36*(IF('Invoer gegevens'!$C$35="ja",1,Reeksen!J36)),IF('Invoer gegevens'!$C$34+1=E36,'Invoer gegevens'!$C$27*'Invoer gegevens'!$C$10*'Invoer gegevens'!$C$37*(IF('Invoer gegevens'!$C$35="ja",1,Reeksen!J36)),0))+IF(AND(E36='Invoer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6" s="73">
        <f ca="1">AV36/(1+'Invoer gegevens'!$I$12)^($D36-('Invoer gegevens'!$C$17-'Invoer gegevens'!$C$16))/(1+'Invoer gegevens'!$C$39)^('Invoer gegevens'!$C$17-'Invoer gegevens'!$C$16)</f>
        <v>0</v>
      </c>
      <c r="BA36" s="73">
        <f ca="1">AW36/(1+'Invoer gegevens'!$I$12)^(E36-('Invoer gegevens'!$C$17-1))/(1+'Invoer gegevens'!$C$39)^('Invoer gegevens'!$C$17-'Invoer gegevens'!$C$16)</f>
        <v>0</v>
      </c>
      <c r="BB36" s="73">
        <f ca="1">AX36/(1+'Invoer gegevens'!$C$39)^('Invoer gegevens'!$C$17-'Invoer gegevens'!$C$16)</f>
        <v>0</v>
      </c>
      <c r="BC36" s="72">
        <f t="shared" ca="1" si="5"/>
        <v>0</v>
      </c>
      <c r="BD36" s="72">
        <f ca="1">IF(AND(E36='Invoer gegevens'!$C$16,'Invoer gegevens'!$C$34&lt;'Invoer gegevens'!$C$16),AY36,AY36/(1+'Invoer gegevens'!$C$39)^D36)</f>
        <v>0</v>
      </c>
      <c r="BE36" s="72">
        <f ca="1">IF(E36='Invoer gegevens'!$C$34,-'Invoer gegevens'!$I$38,0)</f>
        <v>0</v>
      </c>
      <c r="BF36" s="72">
        <f ca="1">IF(E36='Invoer gegevens'!$C$17,-'Invoer gegevens'!$C$19*$BC$66,0)</f>
        <v>0</v>
      </c>
      <c r="BG36" s="72">
        <f ca="1">AV36/(1+$BG$4)^($D36-('Invoer gegevens'!$C$17-'Invoer gegevens'!$C$16))/(1+'Invoer gegevens'!$C$39)^('Invoer gegevens'!$C$17-'Invoer gegevens'!$C$16)+AW36/(1+$BG$4)^(E36-('Invoer gegevens'!$C$17-1))/(1+'Invoer gegevens'!$C$39)^('Invoer gegevens'!$C$17-'Invoer gegevens'!$C$16)+AX36/(1+'Invoer gegevens'!$C$39)^('Invoer gegevens'!$C$17-'Invoer gegevens'!$C$16)+(-AY36/(1+'Invoer gegevens'!$C$39)^D36)+BE36+BF36</f>
        <v>0</v>
      </c>
      <c r="BH36" s="59"/>
      <c r="BI36" s="215"/>
      <c r="BJ36" s="214"/>
    </row>
    <row r="37" spans="2:62" x14ac:dyDescent="0.25">
      <c r="B37" s="70">
        <f t="shared" si="6"/>
        <v>33</v>
      </c>
      <c r="C37" s="67">
        <f ca="1">IF(AND(E37&gt;='Invoer gegevens'!$C$17,E37&lt;'Invoer gegevens'!$C$17+'Invoer gegevens'!$I$14),1,0)</f>
        <v>1</v>
      </c>
      <c r="D37" s="68">
        <f t="shared" si="7"/>
        <v>32.5</v>
      </c>
      <c r="E37" s="69">
        <f ca="1">IF('Invoer gegevens'!$C$16="","",E36+1)</f>
        <v>2051</v>
      </c>
      <c r="F37" s="82">
        <f ca="1">IF('Invoer gegevens'!$C$17=E37,'Invoer gegevens'!$C$10,IF(C37=1,H36,0))</f>
        <v>0</v>
      </c>
      <c r="G37" s="83">
        <f ca="1">IF(E37='Invoer gegevens'!$C$17+'Invoer gegevens'!$I$14,H36,IF(C37&gt;=1,F37*Reeksen!C37,0))</f>
        <v>0</v>
      </c>
      <c r="H37" s="84">
        <f ca="1">IF(E37&gt;='Invoer gegevens'!$C$17+'Invoer gegevens'!$I$14,0,F37-G37)</f>
        <v>0</v>
      </c>
      <c r="I37" s="85">
        <f ca="1">IF('Invoer gegevens'!$C$17=E37,'Invoer gegevens'!$C$11,IF(C37=1,L36,0))</f>
        <v>0</v>
      </c>
      <c r="J37" s="86">
        <f ca="1">IF(E37='Invoer gegevens'!$C$17+'Invoer gegevens'!$I$14,L36,IF(C37&lt;1,0,IF(Reeksen!BG37&lt;=Reeksen!AE37,I37*Reeksen!C37,0)))</f>
        <v>0</v>
      </c>
      <c r="K37" s="86">
        <f ca="1">IF(E37='Invoer gegevens'!$C$17+'Invoer gegevens'!$I$14,L36,IF(C37&lt;1,0,IF(Reeksen!BG37&gt;Reeksen!AE37,I37*Reeksen!C37,0)))</f>
        <v>0</v>
      </c>
      <c r="L37" s="86">
        <f ca="1">IF(E37&gt;='Invoer gegevens'!$C$17+'Invoer gegevens'!$I$14,0,I37-J37-K37)</f>
        <v>0</v>
      </c>
      <c r="M37" s="85">
        <f ca="1">IF('Invoer gegevens'!$C$17=E37,'Invoer gegevens'!$C$10-'Invoer gegevens'!$C$11,IF(C37=1,P36,0))</f>
        <v>0</v>
      </c>
      <c r="N37" s="86">
        <f ca="1">IF(E37='Invoer gegevens'!$C$17+'Invoer gegevens'!$I$14,P36,IF(C37&lt;1,0,IF(Reeksen!BG37&lt;=Reeksen!AE37,M37*Reeksen!C37,0)))</f>
        <v>0</v>
      </c>
      <c r="O37" s="86">
        <f ca="1">IF(E37='Invoer gegevens'!$C$17+'Invoer gegevens'!$I$14,P36,IF(C37&lt;1,0,IF(Reeksen!BG37&gt;Reeksen!AE37,M37*Reeksen!C37,0)))</f>
        <v>0</v>
      </c>
      <c r="P37" s="86">
        <f ca="1">IF(E37&gt;='Invoer gegevens'!$C$17+'Invoer gegevens'!$I$14,0,M37-N37-O37)</f>
        <v>0</v>
      </c>
      <c r="Q37" s="82">
        <f ca="1">IF('Invoer gegevens'!$C$17=E37,I37,IF(C37=0,0,R36))</f>
        <v>0</v>
      </c>
      <c r="R37" s="84">
        <f t="shared" ca="1" si="0"/>
        <v>0</v>
      </c>
      <c r="S37" s="84">
        <f ca="1">IF('Invoer gegevens'!$C$17=E37,M37,IF(C37=0,0,T36))</f>
        <v>0</v>
      </c>
      <c r="T37" s="84">
        <f t="shared" ca="1" si="1"/>
        <v>0</v>
      </c>
      <c r="AH37" s="66"/>
      <c r="AI37" s="71">
        <f ca="1">IF(C37=1,((F37+H37)/2*Reeksen!BF37*12)+(('Invoer gegevens'!$C$10-(F37+H37)/2)*Reeksen!BG37*12),0)</f>
        <v>0</v>
      </c>
      <c r="AJ37" s="71">
        <f ca="1">-AI37*'Invoer gegevens'!$I$26</f>
        <v>0</v>
      </c>
      <c r="AK37" s="71">
        <f t="shared" ca="1" si="2"/>
        <v>0</v>
      </c>
      <c r="AL37" s="71">
        <f ca="1">IF(C37=1,(12*((F37+H37)/2)*Reeksen!AL37)+(12*('Invoer gegevens'!$C$10-(F37+H37)/2)*Reeksen!AM37),0)</f>
        <v>0</v>
      </c>
      <c r="AM37" s="71">
        <f ca="1">-AL37*'Invoer gegevens'!$F$31</f>
        <v>0</v>
      </c>
      <c r="AN37" s="71">
        <f t="shared" ca="1" si="3"/>
        <v>0</v>
      </c>
      <c r="AO37" s="71"/>
      <c r="AP37" s="71"/>
      <c r="AQ37" s="71">
        <f ca="1">-IF(C37=1,('Invoer gegevens'!$C$10*'Invoer gegevens'!$I$33)*Reeksen!J37,0)</f>
        <v>0</v>
      </c>
      <c r="AR37" s="71">
        <f ca="1">-IF(C37=1,(G37*'Invoer gegevens'!$I$34)*Reeksen!J37,0)</f>
        <v>0</v>
      </c>
      <c r="AS37" s="71">
        <f ca="1">-IF(C37=1,'Invoer gegevens'!$C$10*'Invoer gegevens'!$I$35*Reeksen!L37,0)</f>
        <v>0</v>
      </c>
      <c r="AT37" s="71">
        <f ca="1">-IF(C37=1,IF(E37='Invoer gegevens'!$C$17,'Invoer gegevens'!$C$11,Q37)*Reeksen!S37*'Invoer gegevens'!$C$18*Reeksen!P37,0)</f>
        <v>0</v>
      </c>
      <c r="AU37" s="71">
        <f ca="1">-IF(C37=1,'Invoer gegevens'!$C$10*'Invoer gegevens'!$I$36*Reeksen!H37,0)</f>
        <v>0</v>
      </c>
      <c r="AV37" s="71">
        <f t="shared" ca="1" si="4"/>
        <v>0</v>
      </c>
      <c r="AW37" s="72">
        <f ca="1">IFERROR(IF(E37='Invoer gegevens'!$C$17+'Invoer gegevens'!$I$14-1,'Invoer gegevens'!$I$13*'Invoer gegevens'!$C$10*Reeksen!H37,0),0)</f>
        <v>0</v>
      </c>
      <c r="AX37" s="72">
        <f ca="1">IFERROR(IF(E37='Invoer gegevens'!$C$17,-'Invoer gegevens'!$C$10*'Invoer gegevens'!$C$31*Reeksen!H37,0),0)</f>
        <v>0</v>
      </c>
      <c r="AY37" s="73">
        <f ca="1">IF('Invoer gegevens'!$C$34=E37,'Invoer gegevens'!$C$27*'Invoer gegevens'!$C$10*'Invoer gegevens'!$C$36*(IF('Invoer gegevens'!$C$35="ja",1,Reeksen!J37)),IF('Invoer gegevens'!$C$34+1=E37,'Invoer gegevens'!$C$27*'Invoer gegevens'!$C$10*'Invoer gegevens'!$C$37*(IF('Invoer gegevens'!$C$35="ja",1,Reeksen!J37)),0))+IF(AND(E37='Invoer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7" s="73">
        <f ca="1">AV37/(1+'Invoer gegevens'!$I$12)^($D37-('Invoer gegevens'!$C$17-'Invoer gegevens'!$C$16))/(1+'Invoer gegevens'!$C$39)^('Invoer gegevens'!$C$17-'Invoer gegevens'!$C$16)</f>
        <v>0</v>
      </c>
      <c r="BA37" s="73">
        <f ca="1">AW37/(1+'Invoer gegevens'!$I$12)^(E37-('Invoer gegevens'!$C$17-1))/(1+'Invoer gegevens'!$C$39)^('Invoer gegevens'!$C$17-'Invoer gegevens'!$C$16)</f>
        <v>0</v>
      </c>
      <c r="BB37" s="73">
        <f ca="1">AX37/(1+'Invoer gegevens'!$C$39)^('Invoer gegevens'!$C$17-'Invoer gegevens'!$C$16)</f>
        <v>0</v>
      </c>
      <c r="BC37" s="72">
        <f t="shared" ca="1" si="5"/>
        <v>0</v>
      </c>
      <c r="BD37" s="72">
        <f ca="1">IF(AND(E37='Invoer gegevens'!$C$16,'Invoer gegevens'!$C$34&lt;'Invoer gegevens'!$C$16),AY37,AY37/(1+'Invoer gegevens'!$C$39)^D37)</f>
        <v>0</v>
      </c>
      <c r="BE37" s="72">
        <f ca="1">IF(E37='Invoer gegevens'!$C$34,-'Invoer gegevens'!$I$38,0)</f>
        <v>0</v>
      </c>
      <c r="BF37" s="72">
        <f ca="1">IF(E37='Invoer gegevens'!$C$17,-'Invoer gegevens'!$C$19*$BC$66,0)</f>
        <v>0</v>
      </c>
      <c r="BG37" s="72">
        <f ca="1">AV37/(1+$BG$4)^($D37-('Invoer gegevens'!$C$17-'Invoer gegevens'!$C$16))/(1+'Invoer gegevens'!$C$39)^('Invoer gegevens'!$C$17-'Invoer gegevens'!$C$16)+AW37/(1+$BG$4)^(E37-('Invoer gegevens'!$C$17-1))/(1+'Invoer gegevens'!$C$39)^('Invoer gegevens'!$C$17-'Invoer gegevens'!$C$16)+AX37/(1+'Invoer gegevens'!$C$39)^('Invoer gegevens'!$C$17-'Invoer gegevens'!$C$16)+(-AY37/(1+'Invoer gegevens'!$C$39)^D37)+BE37+BF37</f>
        <v>0</v>
      </c>
      <c r="BH37" s="59"/>
      <c r="BI37" s="215"/>
      <c r="BJ37" s="214"/>
    </row>
    <row r="38" spans="2:62" x14ac:dyDescent="0.25">
      <c r="B38" s="70">
        <f t="shared" si="6"/>
        <v>34</v>
      </c>
      <c r="C38" s="67">
        <f ca="1">IF(AND(E38&gt;='Invoer gegevens'!$C$17,E38&lt;'Invoer gegevens'!$C$17+'Invoer gegevens'!$I$14),1,0)</f>
        <v>1</v>
      </c>
      <c r="D38" s="68">
        <f t="shared" si="7"/>
        <v>33.5</v>
      </c>
      <c r="E38" s="69">
        <f ca="1">IF('Invoer gegevens'!$C$16="","",E37+1)</f>
        <v>2052</v>
      </c>
      <c r="F38" s="82">
        <f ca="1">IF('Invoer gegevens'!$C$17=E38,'Invoer gegevens'!$C$10,IF(C38=1,H37,0))</f>
        <v>0</v>
      </c>
      <c r="G38" s="83">
        <f ca="1">IF(E38='Invoer gegevens'!$C$17+'Invoer gegevens'!$I$14,H37,IF(C38&gt;=1,F38*Reeksen!C38,0))</f>
        <v>0</v>
      </c>
      <c r="H38" s="84">
        <f ca="1">IF(E38&gt;='Invoer gegevens'!$C$17+'Invoer gegevens'!$I$14,0,F38-G38)</f>
        <v>0</v>
      </c>
      <c r="I38" s="85">
        <f ca="1">IF('Invoer gegevens'!$C$17=E38,'Invoer gegevens'!$C$11,IF(C38=1,L37,0))</f>
        <v>0</v>
      </c>
      <c r="J38" s="86">
        <f ca="1">IF(E38='Invoer gegevens'!$C$17+'Invoer gegevens'!$I$14,L37,IF(C38&lt;1,0,IF(Reeksen!BG38&lt;=Reeksen!AE38,I38*Reeksen!C38,0)))</f>
        <v>0</v>
      </c>
      <c r="K38" s="86">
        <f ca="1">IF(E38='Invoer gegevens'!$C$17+'Invoer gegevens'!$I$14,L37,IF(C38&lt;1,0,IF(Reeksen!BG38&gt;Reeksen!AE38,I38*Reeksen!C38,0)))</f>
        <v>0</v>
      </c>
      <c r="L38" s="86">
        <f ca="1">IF(E38&gt;='Invoer gegevens'!$C$17+'Invoer gegevens'!$I$14,0,I38-J38-K38)</f>
        <v>0</v>
      </c>
      <c r="M38" s="85">
        <f ca="1">IF('Invoer gegevens'!$C$17=E38,'Invoer gegevens'!$C$10-'Invoer gegevens'!$C$11,IF(C38=1,P37,0))</f>
        <v>0</v>
      </c>
      <c r="N38" s="86">
        <f ca="1">IF(E38='Invoer gegevens'!$C$17+'Invoer gegevens'!$I$14,P37,IF(C38&lt;1,0,IF(Reeksen!BG38&lt;=Reeksen!AE38,M38*Reeksen!C38,0)))</f>
        <v>0</v>
      </c>
      <c r="O38" s="86">
        <f ca="1">IF(E38='Invoer gegevens'!$C$17+'Invoer gegevens'!$I$14,P37,IF(C38&lt;1,0,IF(Reeksen!BG38&gt;Reeksen!AE38,M38*Reeksen!C38,0)))</f>
        <v>0</v>
      </c>
      <c r="P38" s="86">
        <f ca="1">IF(E38&gt;='Invoer gegevens'!$C$17+'Invoer gegevens'!$I$14,0,M38-N38-O38)</f>
        <v>0</v>
      </c>
      <c r="Q38" s="82">
        <f ca="1">IF('Invoer gegevens'!$C$17=E38,I38,IF(C38=0,0,R37))</f>
        <v>0</v>
      </c>
      <c r="R38" s="84">
        <f t="shared" ca="1" si="0"/>
        <v>0</v>
      </c>
      <c r="S38" s="84">
        <f ca="1">IF('Invoer gegevens'!$C$17=E38,M38,IF(C38=0,0,T37))</f>
        <v>0</v>
      </c>
      <c r="T38" s="84">
        <f t="shared" ca="1" si="1"/>
        <v>0</v>
      </c>
      <c r="AH38" s="66"/>
      <c r="AI38" s="71">
        <f ca="1">IF(C38=1,((F38+H38)/2*Reeksen!BF38*12)+(('Invoer gegevens'!$C$10-(F38+H38)/2)*Reeksen!BG38*12),0)</f>
        <v>0</v>
      </c>
      <c r="AJ38" s="71">
        <f ca="1">-AI38*'Invoer gegevens'!$I$26</f>
        <v>0</v>
      </c>
      <c r="AK38" s="71">
        <f t="shared" ca="1" si="2"/>
        <v>0</v>
      </c>
      <c r="AL38" s="71">
        <f ca="1">IF(C38=1,(12*((F38+H38)/2)*Reeksen!AL38)+(12*('Invoer gegevens'!$C$10-(F38+H38)/2)*Reeksen!AM38),0)</f>
        <v>0</v>
      </c>
      <c r="AM38" s="71">
        <f ca="1">-AL38*'Invoer gegevens'!$F$31</f>
        <v>0</v>
      </c>
      <c r="AN38" s="71">
        <f t="shared" ca="1" si="3"/>
        <v>0</v>
      </c>
      <c r="AO38" s="71"/>
      <c r="AP38" s="71"/>
      <c r="AQ38" s="71">
        <f ca="1">-IF(C38=1,('Invoer gegevens'!$C$10*'Invoer gegevens'!$I$33)*Reeksen!J38,0)</f>
        <v>0</v>
      </c>
      <c r="AR38" s="71">
        <f ca="1">-IF(C38=1,(G38*'Invoer gegevens'!$I$34)*Reeksen!J38,0)</f>
        <v>0</v>
      </c>
      <c r="AS38" s="71">
        <f ca="1">-IF(C38=1,'Invoer gegevens'!$C$10*'Invoer gegevens'!$I$35*Reeksen!L38,0)</f>
        <v>0</v>
      </c>
      <c r="AT38" s="71">
        <f ca="1">-IF(C38=1,IF(E38='Invoer gegevens'!$C$17,'Invoer gegevens'!$C$11,Q38)*Reeksen!S38*'Invoer gegevens'!$C$18*Reeksen!P38,0)</f>
        <v>0</v>
      </c>
      <c r="AU38" s="71">
        <f ca="1">-IF(C38=1,'Invoer gegevens'!$C$10*'Invoer gegevens'!$I$36*Reeksen!H38,0)</f>
        <v>0</v>
      </c>
      <c r="AV38" s="71">
        <f t="shared" ca="1" si="4"/>
        <v>0</v>
      </c>
      <c r="AW38" s="72">
        <f ca="1">IFERROR(IF(E38='Invoer gegevens'!$C$17+'Invoer gegevens'!$I$14-1,'Invoer gegevens'!$I$13*'Invoer gegevens'!$C$10*Reeksen!H38,0),0)</f>
        <v>0</v>
      </c>
      <c r="AX38" s="72">
        <f ca="1">IFERROR(IF(E38='Invoer gegevens'!$C$17,-'Invoer gegevens'!$C$10*'Invoer gegevens'!$C$31*Reeksen!H38,0),0)</f>
        <v>0</v>
      </c>
      <c r="AY38" s="73">
        <f ca="1">IF('Invoer gegevens'!$C$34=E38,'Invoer gegevens'!$C$27*'Invoer gegevens'!$C$10*'Invoer gegevens'!$C$36*(IF('Invoer gegevens'!$C$35="ja",1,Reeksen!J38)),IF('Invoer gegevens'!$C$34+1=E38,'Invoer gegevens'!$C$27*'Invoer gegevens'!$C$10*'Invoer gegevens'!$C$37*(IF('Invoer gegevens'!$C$35="ja",1,Reeksen!J38)),0))+IF(AND(E38='Invoer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8" s="73">
        <f ca="1">AV38/(1+'Invoer gegevens'!$I$12)^($D38-('Invoer gegevens'!$C$17-'Invoer gegevens'!$C$16))/(1+'Invoer gegevens'!$C$39)^('Invoer gegevens'!$C$17-'Invoer gegevens'!$C$16)</f>
        <v>0</v>
      </c>
      <c r="BA38" s="73">
        <f ca="1">AW38/(1+'Invoer gegevens'!$I$12)^(E38-('Invoer gegevens'!$C$17-1))/(1+'Invoer gegevens'!$C$39)^('Invoer gegevens'!$C$17-'Invoer gegevens'!$C$16)</f>
        <v>0</v>
      </c>
      <c r="BB38" s="73">
        <f ca="1">AX38/(1+'Invoer gegevens'!$C$39)^('Invoer gegevens'!$C$17-'Invoer gegevens'!$C$16)</f>
        <v>0</v>
      </c>
      <c r="BC38" s="72">
        <f t="shared" ca="1" si="5"/>
        <v>0</v>
      </c>
      <c r="BD38" s="72">
        <f ca="1">IF(AND(E38='Invoer gegevens'!$C$16,'Invoer gegevens'!$C$34&lt;'Invoer gegevens'!$C$16),AY38,AY38/(1+'Invoer gegevens'!$C$39)^D38)</f>
        <v>0</v>
      </c>
      <c r="BE38" s="72">
        <f ca="1">IF(E38='Invoer gegevens'!$C$34,-'Invoer gegevens'!$I$38,0)</f>
        <v>0</v>
      </c>
      <c r="BF38" s="72">
        <f ca="1">IF(E38='Invoer gegevens'!$C$17,-'Invoer gegevens'!$C$19*$BC$66,0)</f>
        <v>0</v>
      </c>
      <c r="BG38" s="72">
        <f ca="1">AV38/(1+$BG$4)^($D38-('Invoer gegevens'!$C$17-'Invoer gegevens'!$C$16))/(1+'Invoer gegevens'!$C$39)^('Invoer gegevens'!$C$17-'Invoer gegevens'!$C$16)+AW38/(1+$BG$4)^(E38-('Invoer gegevens'!$C$17-1))/(1+'Invoer gegevens'!$C$39)^('Invoer gegevens'!$C$17-'Invoer gegevens'!$C$16)+AX38/(1+'Invoer gegevens'!$C$39)^('Invoer gegevens'!$C$17-'Invoer gegevens'!$C$16)+(-AY38/(1+'Invoer gegevens'!$C$39)^D38)+BE38+BF38</f>
        <v>0</v>
      </c>
      <c r="BH38" s="59"/>
      <c r="BI38" s="215"/>
      <c r="BJ38" s="214"/>
    </row>
    <row r="39" spans="2:62" x14ac:dyDescent="0.25">
      <c r="B39" s="70">
        <f t="shared" si="6"/>
        <v>35</v>
      </c>
      <c r="C39" s="67">
        <f ca="1">IF(AND(E39&gt;='Invoer gegevens'!$C$17,E39&lt;'Invoer gegevens'!$C$17+'Invoer gegevens'!$I$14),1,0)</f>
        <v>1</v>
      </c>
      <c r="D39" s="68">
        <f t="shared" si="7"/>
        <v>34.5</v>
      </c>
      <c r="E39" s="69">
        <f ca="1">IF('Invoer gegevens'!$C$16="","",E38+1)</f>
        <v>2053</v>
      </c>
      <c r="F39" s="82">
        <f ca="1">IF('Invoer gegevens'!$C$17=E39,'Invoer gegevens'!$C$10,IF(C39=1,H38,0))</f>
        <v>0</v>
      </c>
      <c r="G39" s="83">
        <f ca="1">IF(E39='Invoer gegevens'!$C$17+'Invoer gegevens'!$I$14,H38,IF(C39&gt;=1,F39*Reeksen!C39,0))</f>
        <v>0</v>
      </c>
      <c r="H39" s="84">
        <f ca="1">IF(E39&gt;='Invoer gegevens'!$C$17+'Invoer gegevens'!$I$14,0,F39-G39)</f>
        <v>0</v>
      </c>
      <c r="I39" s="85">
        <f ca="1">IF('Invoer gegevens'!$C$17=E39,'Invoer gegevens'!$C$11,IF(C39=1,L38,0))</f>
        <v>0</v>
      </c>
      <c r="J39" s="86">
        <f ca="1">IF(E39='Invoer gegevens'!$C$17+'Invoer gegevens'!$I$14,L38,IF(C39&lt;1,0,IF(Reeksen!BG39&lt;=Reeksen!AE39,I39*Reeksen!C39,0)))</f>
        <v>0</v>
      </c>
      <c r="K39" s="86">
        <f ca="1">IF(E39='Invoer gegevens'!$C$17+'Invoer gegevens'!$I$14,L38,IF(C39&lt;1,0,IF(Reeksen!BG39&gt;Reeksen!AE39,I39*Reeksen!C39,0)))</f>
        <v>0</v>
      </c>
      <c r="L39" s="86">
        <f ca="1">IF(E39&gt;='Invoer gegevens'!$C$17+'Invoer gegevens'!$I$14,0,I39-J39-K39)</f>
        <v>0</v>
      </c>
      <c r="M39" s="85">
        <f ca="1">IF('Invoer gegevens'!$C$17=E39,'Invoer gegevens'!$C$10-'Invoer gegevens'!$C$11,IF(C39=1,P38,0))</f>
        <v>0</v>
      </c>
      <c r="N39" s="86">
        <f ca="1">IF(E39='Invoer gegevens'!$C$17+'Invoer gegevens'!$I$14,P38,IF(C39&lt;1,0,IF(Reeksen!BG39&lt;=Reeksen!AE39,M39*Reeksen!C39,0)))</f>
        <v>0</v>
      </c>
      <c r="O39" s="86">
        <f ca="1">IF(E39='Invoer gegevens'!$C$17+'Invoer gegevens'!$I$14,P38,IF(C39&lt;1,0,IF(Reeksen!BG39&gt;Reeksen!AE39,M39*Reeksen!C39,0)))</f>
        <v>0</v>
      </c>
      <c r="P39" s="86">
        <f ca="1">IF(E39&gt;='Invoer gegevens'!$C$17+'Invoer gegevens'!$I$14,0,M39-N39-O39)</f>
        <v>0</v>
      </c>
      <c r="Q39" s="82">
        <f ca="1">IF('Invoer gegevens'!$C$17=E39,I39,IF(C39=0,0,R38))</f>
        <v>0</v>
      </c>
      <c r="R39" s="84">
        <f t="shared" ca="1" si="0"/>
        <v>0</v>
      </c>
      <c r="S39" s="84">
        <f ca="1">IF('Invoer gegevens'!$C$17=E39,M39,IF(C39=0,0,T38))</f>
        <v>0</v>
      </c>
      <c r="T39" s="84">
        <f t="shared" ca="1" si="1"/>
        <v>0</v>
      </c>
      <c r="AH39" s="66"/>
      <c r="AI39" s="71">
        <f ca="1">IF(C39=1,((F39+H39)/2*Reeksen!BF39*12)+(('Invoer gegevens'!$C$10-(F39+H39)/2)*Reeksen!BG39*12),0)</f>
        <v>0</v>
      </c>
      <c r="AJ39" s="71">
        <f ca="1">-AI39*'Invoer gegevens'!$I$26</f>
        <v>0</v>
      </c>
      <c r="AK39" s="71">
        <f t="shared" ca="1" si="2"/>
        <v>0</v>
      </c>
      <c r="AL39" s="71">
        <f ca="1">IF(C39=1,(12*((F39+H39)/2)*Reeksen!AL39)+(12*('Invoer gegevens'!$C$10-(F39+H39)/2)*Reeksen!AM39),0)</f>
        <v>0</v>
      </c>
      <c r="AM39" s="71">
        <f ca="1">-AL39*'Invoer gegevens'!$F$31</f>
        <v>0</v>
      </c>
      <c r="AN39" s="71">
        <f t="shared" ca="1" si="3"/>
        <v>0</v>
      </c>
      <c r="AO39" s="71"/>
      <c r="AP39" s="71"/>
      <c r="AQ39" s="71">
        <f ca="1">-IF(C39=1,('Invoer gegevens'!$C$10*'Invoer gegevens'!$I$33)*Reeksen!J39,0)</f>
        <v>0</v>
      </c>
      <c r="AR39" s="71">
        <f ca="1">-IF(C39=1,(G39*'Invoer gegevens'!$I$34)*Reeksen!J39,0)</f>
        <v>0</v>
      </c>
      <c r="AS39" s="71">
        <f ca="1">-IF(C39=1,'Invoer gegevens'!$C$10*'Invoer gegevens'!$I$35*Reeksen!L39,0)</f>
        <v>0</v>
      </c>
      <c r="AT39" s="71">
        <f ca="1">-IF(C39=1,IF(E39='Invoer gegevens'!$C$17,'Invoer gegevens'!$C$11,Q39)*Reeksen!S39*'Invoer gegevens'!$C$18*Reeksen!P39,0)</f>
        <v>0</v>
      </c>
      <c r="AU39" s="71">
        <f ca="1">-IF(C39=1,'Invoer gegevens'!$C$10*'Invoer gegevens'!$I$36*Reeksen!H39,0)</f>
        <v>0</v>
      </c>
      <c r="AV39" s="71">
        <f t="shared" ca="1" si="4"/>
        <v>0</v>
      </c>
      <c r="AW39" s="72">
        <f ca="1">IFERROR(IF(E39='Invoer gegevens'!$C$17+'Invoer gegevens'!$I$14-1,'Invoer gegevens'!$I$13*'Invoer gegevens'!$C$10*Reeksen!H39,0),0)</f>
        <v>0</v>
      </c>
      <c r="AX39" s="72">
        <f ca="1">IFERROR(IF(E39='Invoer gegevens'!$C$17,-'Invoer gegevens'!$C$10*'Invoer gegevens'!$C$31*Reeksen!H39,0),0)</f>
        <v>0</v>
      </c>
      <c r="AY39" s="73">
        <f ca="1">IF('Invoer gegevens'!$C$34=E39,'Invoer gegevens'!$C$27*'Invoer gegevens'!$C$10*'Invoer gegevens'!$C$36*(IF('Invoer gegevens'!$C$35="ja",1,Reeksen!J39)),IF('Invoer gegevens'!$C$34+1=E39,'Invoer gegevens'!$C$27*'Invoer gegevens'!$C$10*'Invoer gegevens'!$C$37*(IF('Invoer gegevens'!$C$35="ja",1,Reeksen!J39)),0))+IF(AND(E39='Invoer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39" s="73">
        <f ca="1">AV39/(1+'Invoer gegevens'!$I$12)^($D39-('Invoer gegevens'!$C$17-'Invoer gegevens'!$C$16))/(1+'Invoer gegevens'!$C$39)^('Invoer gegevens'!$C$17-'Invoer gegevens'!$C$16)</f>
        <v>0</v>
      </c>
      <c r="BA39" s="73">
        <f ca="1">AW39/(1+'Invoer gegevens'!$I$12)^(E39-('Invoer gegevens'!$C$17-1))/(1+'Invoer gegevens'!$C$39)^('Invoer gegevens'!$C$17-'Invoer gegevens'!$C$16)</f>
        <v>0</v>
      </c>
      <c r="BB39" s="73">
        <f ca="1">AX39/(1+'Invoer gegevens'!$C$39)^('Invoer gegevens'!$C$17-'Invoer gegevens'!$C$16)</f>
        <v>0</v>
      </c>
      <c r="BC39" s="72">
        <f t="shared" ca="1" si="5"/>
        <v>0</v>
      </c>
      <c r="BD39" s="72">
        <f ca="1">IF(AND(E39='Invoer gegevens'!$C$16,'Invoer gegevens'!$C$34&lt;'Invoer gegevens'!$C$16),AY39,AY39/(1+'Invoer gegevens'!$C$39)^D39)</f>
        <v>0</v>
      </c>
      <c r="BE39" s="72">
        <f ca="1">IF(E39='Invoer gegevens'!$C$34,-'Invoer gegevens'!$I$38,0)</f>
        <v>0</v>
      </c>
      <c r="BF39" s="72">
        <f ca="1">IF(E39='Invoer gegevens'!$C$17,-'Invoer gegevens'!$C$19*$BC$66,0)</f>
        <v>0</v>
      </c>
      <c r="BG39" s="72">
        <f ca="1">AV39/(1+$BG$4)^($D39-('Invoer gegevens'!$C$17-'Invoer gegevens'!$C$16))/(1+'Invoer gegevens'!$C$39)^('Invoer gegevens'!$C$17-'Invoer gegevens'!$C$16)+AW39/(1+$BG$4)^(E39-('Invoer gegevens'!$C$17-1))/(1+'Invoer gegevens'!$C$39)^('Invoer gegevens'!$C$17-'Invoer gegevens'!$C$16)+AX39/(1+'Invoer gegevens'!$C$39)^('Invoer gegevens'!$C$17-'Invoer gegevens'!$C$16)+(-AY39/(1+'Invoer gegevens'!$C$39)^D39)+BE39+BF39</f>
        <v>0</v>
      </c>
      <c r="BH39" s="59"/>
      <c r="BI39" s="215"/>
      <c r="BJ39" s="214"/>
    </row>
    <row r="40" spans="2:62" x14ac:dyDescent="0.25">
      <c r="B40" s="70">
        <f t="shared" si="6"/>
        <v>36</v>
      </c>
      <c r="C40" s="67">
        <f ca="1">IF(AND(E40&gt;='Invoer gegevens'!$C$17,E40&lt;'Invoer gegevens'!$C$17+'Invoer gegevens'!$I$14),1,0)</f>
        <v>1</v>
      </c>
      <c r="D40" s="68">
        <f t="shared" si="7"/>
        <v>35.5</v>
      </c>
      <c r="E40" s="69">
        <f ca="1">IF('Invoer gegevens'!$C$16="","",E39+1)</f>
        <v>2054</v>
      </c>
      <c r="F40" s="82">
        <f ca="1">IF('Invoer gegevens'!$C$17=E40,'Invoer gegevens'!$C$10,IF(C40=1,H39,0))</f>
        <v>0</v>
      </c>
      <c r="G40" s="83">
        <f ca="1">IF(E40='Invoer gegevens'!$C$17+'Invoer gegevens'!$I$14,H39,IF(C40&gt;=1,F40*Reeksen!C40,0))</f>
        <v>0</v>
      </c>
      <c r="H40" s="84">
        <f ca="1">IF(E40&gt;='Invoer gegevens'!$C$17+'Invoer gegevens'!$I$14,0,F40-G40)</f>
        <v>0</v>
      </c>
      <c r="I40" s="85">
        <f ca="1">IF('Invoer gegevens'!$C$17=E40,'Invoer gegevens'!$C$11,IF(C40=1,L39,0))</f>
        <v>0</v>
      </c>
      <c r="J40" s="86">
        <f ca="1">IF(E40='Invoer gegevens'!$C$17+'Invoer gegevens'!$I$14,L39,IF(C40&lt;1,0,IF(Reeksen!BG40&lt;=Reeksen!AE40,I40*Reeksen!C40,0)))</f>
        <v>0</v>
      </c>
      <c r="K40" s="86">
        <f ca="1">IF(E40='Invoer gegevens'!$C$17+'Invoer gegevens'!$I$14,L39,IF(C40&lt;1,0,IF(Reeksen!BG40&gt;Reeksen!AE40,I40*Reeksen!C40,0)))</f>
        <v>0</v>
      </c>
      <c r="L40" s="86">
        <f ca="1">IF(E40&gt;='Invoer gegevens'!$C$17+'Invoer gegevens'!$I$14,0,I40-J40-K40)</f>
        <v>0</v>
      </c>
      <c r="M40" s="85">
        <f ca="1">IF('Invoer gegevens'!$C$17=E40,'Invoer gegevens'!$C$10-'Invoer gegevens'!$C$11,IF(C40=1,P39,0))</f>
        <v>0</v>
      </c>
      <c r="N40" s="86">
        <f ca="1">IF(E40='Invoer gegevens'!$C$17+'Invoer gegevens'!$I$14,P39,IF(C40&lt;1,0,IF(Reeksen!BG40&lt;=Reeksen!AE40,M40*Reeksen!C40,0)))</f>
        <v>0</v>
      </c>
      <c r="O40" s="86">
        <f ca="1">IF(E40='Invoer gegevens'!$C$17+'Invoer gegevens'!$I$14,P39,IF(C40&lt;1,0,IF(Reeksen!BG40&gt;Reeksen!AE40,M40*Reeksen!C40,0)))</f>
        <v>0</v>
      </c>
      <c r="P40" s="86">
        <f ca="1">IF(E40&gt;='Invoer gegevens'!$C$17+'Invoer gegevens'!$I$14,0,M40-N40-O40)</f>
        <v>0</v>
      </c>
      <c r="Q40" s="82">
        <f ca="1">IF('Invoer gegevens'!$C$17=E40,I40,IF(C40=0,0,R39))</f>
        <v>0</v>
      </c>
      <c r="R40" s="84">
        <f t="shared" ca="1" si="0"/>
        <v>0</v>
      </c>
      <c r="S40" s="84">
        <f ca="1">IF('Invoer gegevens'!$C$17=E40,M40,IF(C40=0,0,T39))</f>
        <v>0</v>
      </c>
      <c r="T40" s="84">
        <f t="shared" ca="1" si="1"/>
        <v>0</v>
      </c>
      <c r="AH40" s="66"/>
      <c r="AI40" s="71">
        <f ca="1">IF(C40=1,((F40+H40)/2*Reeksen!BF40*12)+(('Invoer gegevens'!$C$10-(F40+H40)/2)*Reeksen!BG40*12),0)</f>
        <v>0</v>
      </c>
      <c r="AJ40" s="71">
        <f ca="1">-AI40*'Invoer gegevens'!$I$26</f>
        <v>0</v>
      </c>
      <c r="AK40" s="71">
        <f t="shared" ca="1" si="2"/>
        <v>0</v>
      </c>
      <c r="AL40" s="71">
        <f ca="1">IF(C40=1,(12*((F40+H40)/2)*Reeksen!AL40)+(12*('Invoer gegevens'!$C$10-(F40+H40)/2)*Reeksen!AM40),0)</f>
        <v>0</v>
      </c>
      <c r="AM40" s="71">
        <f ca="1">-AL40*'Invoer gegevens'!$F$31</f>
        <v>0</v>
      </c>
      <c r="AN40" s="71">
        <f t="shared" ca="1" si="3"/>
        <v>0</v>
      </c>
      <c r="AO40" s="71"/>
      <c r="AP40" s="71"/>
      <c r="AQ40" s="71">
        <f ca="1">-IF(C40=1,('Invoer gegevens'!$C$10*'Invoer gegevens'!$I$33)*Reeksen!J40,0)</f>
        <v>0</v>
      </c>
      <c r="AR40" s="71">
        <f ca="1">-IF(C40=1,(G40*'Invoer gegevens'!$I$34)*Reeksen!J40,0)</f>
        <v>0</v>
      </c>
      <c r="AS40" s="71">
        <f ca="1">-IF(C40=1,'Invoer gegevens'!$C$10*'Invoer gegevens'!$I$35*Reeksen!L40,0)</f>
        <v>0</v>
      </c>
      <c r="AT40" s="71">
        <f ca="1">-IF(C40=1,IF(E40='Invoer gegevens'!$C$17,'Invoer gegevens'!$C$11,Q40)*Reeksen!S40*'Invoer gegevens'!$C$18*Reeksen!P40,0)</f>
        <v>0</v>
      </c>
      <c r="AU40" s="71">
        <f ca="1">-IF(C40=1,'Invoer gegevens'!$C$10*'Invoer gegevens'!$I$36*Reeksen!H40,0)</f>
        <v>0</v>
      </c>
      <c r="AV40" s="71">
        <f t="shared" ca="1" si="4"/>
        <v>0</v>
      </c>
      <c r="AW40" s="72">
        <f ca="1">IFERROR(IF(E40='Invoer gegevens'!$C$17+'Invoer gegevens'!$I$14-1,'Invoer gegevens'!$I$13*'Invoer gegevens'!$C$10*Reeksen!H40,0),0)</f>
        <v>0</v>
      </c>
      <c r="AX40" s="72">
        <f ca="1">IFERROR(IF(E40='Invoer gegevens'!$C$17,-'Invoer gegevens'!$C$10*'Invoer gegevens'!$C$31*Reeksen!H40,0),0)</f>
        <v>0</v>
      </c>
      <c r="AY40" s="73">
        <f ca="1">IF('Invoer gegevens'!$C$34=E40,'Invoer gegevens'!$C$27*'Invoer gegevens'!$C$10*'Invoer gegevens'!$C$36*(IF('Invoer gegevens'!$C$35="ja",1,Reeksen!J40)),IF('Invoer gegevens'!$C$34+1=E40,'Invoer gegevens'!$C$27*'Invoer gegevens'!$C$10*'Invoer gegevens'!$C$37*(IF('Invoer gegevens'!$C$35="ja",1,Reeksen!J40)),0))+IF(AND(E40='Invoer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0" s="73">
        <f ca="1">AV40/(1+'Invoer gegevens'!$I$12)^($D40-('Invoer gegevens'!$C$17-'Invoer gegevens'!$C$16))/(1+'Invoer gegevens'!$C$39)^('Invoer gegevens'!$C$17-'Invoer gegevens'!$C$16)</f>
        <v>0</v>
      </c>
      <c r="BA40" s="73">
        <f ca="1">AW40/(1+'Invoer gegevens'!$I$12)^(E40-('Invoer gegevens'!$C$17-1))/(1+'Invoer gegevens'!$C$39)^('Invoer gegevens'!$C$17-'Invoer gegevens'!$C$16)</f>
        <v>0</v>
      </c>
      <c r="BB40" s="73">
        <f ca="1">AX40/(1+'Invoer gegevens'!$C$39)^('Invoer gegevens'!$C$17-'Invoer gegevens'!$C$16)</f>
        <v>0</v>
      </c>
      <c r="BC40" s="72">
        <f t="shared" ca="1" si="5"/>
        <v>0</v>
      </c>
      <c r="BD40" s="72">
        <f ca="1">IF(AND(E40='Invoer gegevens'!$C$16,'Invoer gegevens'!$C$34&lt;'Invoer gegevens'!$C$16),AY40,AY40/(1+'Invoer gegevens'!$C$39)^D40)</f>
        <v>0</v>
      </c>
      <c r="BE40" s="72">
        <f ca="1">IF(E40='Invoer gegevens'!$C$34,-'Invoer gegevens'!$I$38,0)</f>
        <v>0</v>
      </c>
      <c r="BF40" s="72">
        <f ca="1">IF(E40='Invoer gegevens'!$C$17,-'Invoer gegevens'!$C$19*$BC$66,0)</f>
        <v>0</v>
      </c>
      <c r="BG40" s="72">
        <f ca="1">AV40/(1+$BG$4)^($D40-('Invoer gegevens'!$C$17-'Invoer gegevens'!$C$16))/(1+'Invoer gegevens'!$C$39)^('Invoer gegevens'!$C$17-'Invoer gegevens'!$C$16)+AW40/(1+$BG$4)^(E40-('Invoer gegevens'!$C$17-1))/(1+'Invoer gegevens'!$C$39)^('Invoer gegevens'!$C$17-'Invoer gegevens'!$C$16)+AX40/(1+'Invoer gegevens'!$C$39)^('Invoer gegevens'!$C$17-'Invoer gegevens'!$C$16)+(-AY40/(1+'Invoer gegevens'!$C$39)^D40)+BE40+BF40</f>
        <v>0</v>
      </c>
      <c r="BH40" s="59"/>
      <c r="BI40" s="215"/>
      <c r="BJ40" s="214"/>
    </row>
    <row r="41" spans="2:62" x14ac:dyDescent="0.25">
      <c r="B41" s="70">
        <f t="shared" si="6"/>
        <v>37</v>
      </c>
      <c r="C41" s="67">
        <f ca="1">IF(AND(E41&gt;='Invoer gegevens'!$C$17,E41&lt;'Invoer gegevens'!$C$17+'Invoer gegevens'!$I$14),1,0)</f>
        <v>1</v>
      </c>
      <c r="D41" s="68">
        <f t="shared" si="7"/>
        <v>36.5</v>
      </c>
      <c r="E41" s="69">
        <f ca="1">IF('Invoer gegevens'!$C$16="","",E40+1)</f>
        <v>2055</v>
      </c>
      <c r="F41" s="82">
        <f ca="1">IF('Invoer gegevens'!$C$17=E41,'Invoer gegevens'!$C$10,IF(C41=1,H40,0))</f>
        <v>0</v>
      </c>
      <c r="G41" s="83">
        <f ca="1">IF(E41='Invoer gegevens'!$C$17+'Invoer gegevens'!$I$14,H40,IF(C41&gt;=1,F41*Reeksen!C41,0))</f>
        <v>0</v>
      </c>
      <c r="H41" s="84">
        <f ca="1">IF(E41&gt;='Invoer gegevens'!$C$17+'Invoer gegevens'!$I$14,0,F41-G41)</f>
        <v>0</v>
      </c>
      <c r="I41" s="85">
        <f ca="1">IF('Invoer gegevens'!$C$17=E41,'Invoer gegevens'!$C$11,IF(C41=1,L40,0))</f>
        <v>0</v>
      </c>
      <c r="J41" s="86">
        <f ca="1">IF(E41='Invoer gegevens'!$C$17+'Invoer gegevens'!$I$14,L40,IF(C41&lt;1,0,IF(Reeksen!BG41&lt;=Reeksen!AE41,I41*Reeksen!C41,0)))</f>
        <v>0</v>
      </c>
      <c r="K41" s="86">
        <f ca="1">IF(E41='Invoer gegevens'!$C$17+'Invoer gegevens'!$I$14,L40,IF(C41&lt;1,0,IF(Reeksen!BG41&gt;Reeksen!AE41,I41*Reeksen!C41,0)))</f>
        <v>0</v>
      </c>
      <c r="L41" s="86">
        <f ca="1">IF(E41&gt;='Invoer gegevens'!$C$17+'Invoer gegevens'!$I$14,0,I41-J41-K41)</f>
        <v>0</v>
      </c>
      <c r="M41" s="85">
        <f ca="1">IF('Invoer gegevens'!$C$17=E41,'Invoer gegevens'!$C$10-'Invoer gegevens'!$C$11,IF(C41=1,P40,0))</f>
        <v>0</v>
      </c>
      <c r="N41" s="86">
        <f ca="1">IF(E41='Invoer gegevens'!$C$17+'Invoer gegevens'!$I$14,P40,IF(C41&lt;1,0,IF(Reeksen!BG41&lt;=Reeksen!AE41,M41*Reeksen!C41,0)))</f>
        <v>0</v>
      </c>
      <c r="O41" s="86">
        <f ca="1">IF(E41='Invoer gegevens'!$C$17+'Invoer gegevens'!$I$14,P40,IF(C41&lt;1,0,IF(Reeksen!BG41&gt;Reeksen!AE41,M41*Reeksen!C41,0)))</f>
        <v>0</v>
      </c>
      <c r="P41" s="86">
        <f ca="1">IF(E41&gt;='Invoer gegevens'!$C$17+'Invoer gegevens'!$I$14,0,M41-N41-O41)</f>
        <v>0</v>
      </c>
      <c r="Q41" s="82">
        <f ca="1">IF('Invoer gegevens'!$C$17=E41,I41,IF(C41=0,0,R40))</f>
        <v>0</v>
      </c>
      <c r="R41" s="84">
        <f t="shared" ca="1" si="0"/>
        <v>0</v>
      </c>
      <c r="S41" s="84">
        <f ca="1">IF('Invoer gegevens'!$C$17=E41,M41,IF(C41=0,0,T40))</f>
        <v>0</v>
      </c>
      <c r="T41" s="84">
        <f t="shared" ca="1" si="1"/>
        <v>0</v>
      </c>
      <c r="AH41" s="66"/>
      <c r="AI41" s="71">
        <f ca="1">IF(C41=1,((F41+H41)/2*Reeksen!BF41*12)+(('Invoer gegevens'!$C$10-(F41+H41)/2)*Reeksen!BG41*12),0)</f>
        <v>0</v>
      </c>
      <c r="AJ41" s="71">
        <f ca="1">-AI41*'Invoer gegevens'!$I$26</f>
        <v>0</v>
      </c>
      <c r="AK41" s="71">
        <f t="shared" ca="1" si="2"/>
        <v>0</v>
      </c>
      <c r="AL41" s="71">
        <f ca="1">IF(C41=1,(12*((F41+H41)/2)*Reeksen!AL41)+(12*('Invoer gegevens'!$C$10-(F41+H41)/2)*Reeksen!AM41),0)</f>
        <v>0</v>
      </c>
      <c r="AM41" s="71">
        <f ca="1">-AL41*'Invoer gegevens'!$F$31</f>
        <v>0</v>
      </c>
      <c r="AN41" s="71">
        <f t="shared" ca="1" si="3"/>
        <v>0</v>
      </c>
      <c r="AO41" s="71"/>
      <c r="AP41" s="71"/>
      <c r="AQ41" s="71">
        <f ca="1">-IF(C41=1,('Invoer gegevens'!$C$10*'Invoer gegevens'!$I$33)*Reeksen!J41,0)</f>
        <v>0</v>
      </c>
      <c r="AR41" s="71">
        <f ca="1">-IF(C41=1,(G41*'Invoer gegevens'!$I$34)*Reeksen!J41,0)</f>
        <v>0</v>
      </c>
      <c r="AS41" s="71">
        <f ca="1">-IF(C41=1,'Invoer gegevens'!$C$10*'Invoer gegevens'!$I$35*Reeksen!L41,0)</f>
        <v>0</v>
      </c>
      <c r="AT41" s="71">
        <f ca="1">-IF(C41=1,IF(E41='Invoer gegevens'!$C$17,'Invoer gegevens'!$C$11,Q41)*Reeksen!S41*'Invoer gegevens'!$C$18*Reeksen!P41,0)</f>
        <v>0</v>
      </c>
      <c r="AU41" s="71">
        <f ca="1">-IF(C41=1,'Invoer gegevens'!$C$10*'Invoer gegevens'!$I$36*Reeksen!H41,0)</f>
        <v>0</v>
      </c>
      <c r="AV41" s="71">
        <f t="shared" ca="1" si="4"/>
        <v>0</v>
      </c>
      <c r="AW41" s="72">
        <f ca="1">IFERROR(IF(E41='Invoer gegevens'!$C$17+'Invoer gegevens'!$I$14-1,'Invoer gegevens'!$I$13*'Invoer gegevens'!$C$10*Reeksen!H41,0),0)</f>
        <v>0</v>
      </c>
      <c r="AX41" s="72">
        <f ca="1">IFERROR(IF(E41='Invoer gegevens'!$C$17,-'Invoer gegevens'!$C$10*'Invoer gegevens'!$C$31*Reeksen!H41,0),0)</f>
        <v>0</v>
      </c>
      <c r="AY41" s="73">
        <f ca="1">IF('Invoer gegevens'!$C$34=E41,'Invoer gegevens'!$C$27*'Invoer gegevens'!$C$10*'Invoer gegevens'!$C$36*(IF('Invoer gegevens'!$C$35="ja",1,Reeksen!J41)),IF('Invoer gegevens'!$C$34+1=E41,'Invoer gegevens'!$C$27*'Invoer gegevens'!$C$10*'Invoer gegevens'!$C$37*(IF('Invoer gegevens'!$C$35="ja",1,Reeksen!J41)),0))+IF(AND(E41='Invoer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1" s="73">
        <f ca="1">AV41/(1+'Invoer gegevens'!$I$12)^($D41-('Invoer gegevens'!$C$17-'Invoer gegevens'!$C$16))/(1+'Invoer gegevens'!$C$39)^('Invoer gegevens'!$C$17-'Invoer gegevens'!$C$16)</f>
        <v>0</v>
      </c>
      <c r="BA41" s="73">
        <f ca="1">AW41/(1+'Invoer gegevens'!$I$12)^(E41-('Invoer gegevens'!$C$17-1))/(1+'Invoer gegevens'!$C$39)^('Invoer gegevens'!$C$17-'Invoer gegevens'!$C$16)</f>
        <v>0</v>
      </c>
      <c r="BB41" s="73">
        <f ca="1">AX41/(1+'Invoer gegevens'!$C$39)^('Invoer gegevens'!$C$17-'Invoer gegevens'!$C$16)</f>
        <v>0</v>
      </c>
      <c r="BC41" s="72">
        <f t="shared" ca="1" si="5"/>
        <v>0</v>
      </c>
      <c r="BD41" s="72">
        <f ca="1">IF(AND(E41='Invoer gegevens'!$C$16,'Invoer gegevens'!$C$34&lt;'Invoer gegevens'!$C$16),AY41,AY41/(1+'Invoer gegevens'!$C$39)^D41)</f>
        <v>0</v>
      </c>
      <c r="BE41" s="72">
        <f ca="1">IF(E41='Invoer gegevens'!$C$34,-'Invoer gegevens'!$I$38,0)</f>
        <v>0</v>
      </c>
      <c r="BF41" s="72">
        <f ca="1">IF(E41='Invoer gegevens'!$C$17,-'Invoer gegevens'!$C$19*$BC$66,0)</f>
        <v>0</v>
      </c>
      <c r="BG41" s="72">
        <f ca="1">AV41/(1+$BG$4)^($D41-('Invoer gegevens'!$C$17-'Invoer gegevens'!$C$16))/(1+'Invoer gegevens'!$C$39)^('Invoer gegevens'!$C$17-'Invoer gegevens'!$C$16)+AW41/(1+$BG$4)^(E41-('Invoer gegevens'!$C$17-1))/(1+'Invoer gegevens'!$C$39)^('Invoer gegevens'!$C$17-'Invoer gegevens'!$C$16)+AX41/(1+'Invoer gegevens'!$C$39)^('Invoer gegevens'!$C$17-'Invoer gegevens'!$C$16)+(-AY41/(1+'Invoer gegevens'!$C$39)^D41)+BE41+BF41</f>
        <v>0</v>
      </c>
      <c r="BH41" s="59"/>
      <c r="BI41" s="215"/>
      <c r="BJ41" s="214"/>
    </row>
    <row r="42" spans="2:62" x14ac:dyDescent="0.25">
      <c r="B42" s="70">
        <f t="shared" si="6"/>
        <v>38</v>
      </c>
      <c r="C42" s="67">
        <f ca="1">IF(AND(E42&gt;='Invoer gegevens'!$C$17,E42&lt;'Invoer gegevens'!$C$17+'Invoer gegevens'!$I$14),1,0)</f>
        <v>1</v>
      </c>
      <c r="D42" s="68">
        <f t="shared" si="7"/>
        <v>37.5</v>
      </c>
      <c r="E42" s="69">
        <f ca="1">IF('Invoer gegevens'!$C$16="","",E41+1)</f>
        <v>2056</v>
      </c>
      <c r="F42" s="82">
        <f ca="1">IF('Invoer gegevens'!$C$17=E42,'Invoer gegevens'!$C$10,IF(C42=1,H41,0))</f>
        <v>0</v>
      </c>
      <c r="G42" s="83">
        <f ca="1">IF(E42='Invoer gegevens'!$C$17+'Invoer gegevens'!$I$14,H41,IF(C42&gt;=1,F42*Reeksen!C42,0))</f>
        <v>0</v>
      </c>
      <c r="H42" s="84">
        <f ca="1">IF(E42&gt;='Invoer gegevens'!$C$17+'Invoer gegevens'!$I$14,0,F42-G42)</f>
        <v>0</v>
      </c>
      <c r="I42" s="85">
        <f ca="1">IF('Invoer gegevens'!$C$17=E42,'Invoer gegevens'!$C$11,IF(C42=1,L41,0))</f>
        <v>0</v>
      </c>
      <c r="J42" s="86">
        <f ca="1">IF(E42='Invoer gegevens'!$C$17+'Invoer gegevens'!$I$14,L41,IF(C42&lt;1,0,IF(Reeksen!BG42&lt;=Reeksen!AE42,I42*Reeksen!C42,0)))</f>
        <v>0</v>
      </c>
      <c r="K42" s="86">
        <f ca="1">IF(E42='Invoer gegevens'!$C$17+'Invoer gegevens'!$I$14,L41,IF(C42&lt;1,0,IF(Reeksen!BG42&gt;Reeksen!AE42,I42*Reeksen!C42,0)))</f>
        <v>0</v>
      </c>
      <c r="L42" s="86">
        <f ca="1">IF(E42&gt;='Invoer gegevens'!$C$17+'Invoer gegevens'!$I$14,0,I42-J42-K42)</f>
        <v>0</v>
      </c>
      <c r="M42" s="85">
        <f ca="1">IF('Invoer gegevens'!$C$17=E42,'Invoer gegevens'!$C$10-'Invoer gegevens'!$C$11,IF(C42=1,P41,0))</f>
        <v>0</v>
      </c>
      <c r="N42" s="86">
        <f ca="1">IF(E42='Invoer gegevens'!$C$17+'Invoer gegevens'!$I$14,P41,IF(C42&lt;1,0,IF(Reeksen!BG42&lt;=Reeksen!AE42,M42*Reeksen!C42,0)))</f>
        <v>0</v>
      </c>
      <c r="O42" s="86">
        <f ca="1">IF(E42='Invoer gegevens'!$C$17+'Invoer gegevens'!$I$14,P41,IF(C42&lt;1,0,IF(Reeksen!BG42&gt;Reeksen!AE42,M42*Reeksen!C42,0)))</f>
        <v>0</v>
      </c>
      <c r="P42" s="86">
        <f ca="1">IF(E42&gt;='Invoer gegevens'!$C$17+'Invoer gegevens'!$I$14,0,M42-N42-O42)</f>
        <v>0</v>
      </c>
      <c r="Q42" s="82">
        <f ca="1">IF('Invoer gegevens'!$C$17=E42,I42,IF(C42=0,0,R41))</f>
        <v>0</v>
      </c>
      <c r="R42" s="84">
        <f t="shared" ca="1" si="0"/>
        <v>0</v>
      </c>
      <c r="S42" s="84">
        <f ca="1">IF('Invoer gegevens'!$C$17=E42,M42,IF(C42=0,0,T41))</f>
        <v>0</v>
      </c>
      <c r="T42" s="84">
        <f t="shared" ca="1" si="1"/>
        <v>0</v>
      </c>
      <c r="AH42" s="66"/>
      <c r="AI42" s="71">
        <f ca="1">IF(C42=1,((F42+H42)/2*Reeksen!BF42*12)+(('Invoer gegevens'!$C$10-(F42+H42)/2)*Reeksen!BG42*12),0)</f>
        <v>0</v>
      </c>
      <c r="AJ42" s="71">
        <f ca="1">-AI42*'Invoer gegevens'!$I$26</f>
        <v>0</v>
      </c>
      <c r="AK42" s="71">
        <f t="shared" ca="1" si="2"/>
        <v>0</v>
      </c>
      <c r="AL42" s="71">
        <f ca="1">IF(C42=1,(12*((F42+H42)/2)*Reeksen!AL42)+(12*('Invoer gegevens'!$C$10-(F42+H42)/2)*Reeksen!AM42),0)</f>
        <v>0</v>
      </c>
      <c r="AM42" s="71">
        <f ca="1">-AL42*'Invoer gegevens'!$F$31</f>
        <v>0</v>
      </c>
      <c r="AN42" s="71">
        <f t="shared" ca="1" si="3"/>
        <v>0</v>
      </c>
      <c r="AO42" s="71"/>
      <c r="AP42" s="71"/>
      <c r="AQ42" s="71">
        <f ca="1">-IF(C42=1,('Invoer gegevens'!$C$10*'Invoer gegevens'!$I$33)*Reeksen!J42,0)</f>
        <v>0</v>
      </c>
      <c r="AR42" s="71">
        <f ca="1">-IF(C42=1,(G42*'Invoer gegevens'!$I$34)*Reeksen!J42,0)</f>
        <v>0</v>
      </c>
      <c r="AS42" s="71">
        <f ca="1">-IF(C42=1,'Invoer gegevens'!$C$10*'Invoer gegevens'!$I$35*Reeksen!L42,0)</f>
        <v>0</v>
      </c>
      <c r="AT42" s="71">
        <f ca="1">-IF(C42=1,IF(E42='Invoer gegevens'!$C$17,'Invoer gegevens'!$C$11,Q42)*Reeksen!S42*'Invoer gegevens'!$C$18*Reeksen!P42,0)</f>
        <v>0</v>
      </c>
      <c r="AU42" s="71">
        <f ca="1">-IF(C42=1,'Invoer gegevens'!$C$10*'Invoer gegevens'!$I$36*Reeksen!H42,0)</f>
        <v>0</v>
      </c>
      <c r="AV42" s="71">
        <f t="shared" ca="1" si="4"/>
        <v>0</v>
      </c>
      <c r="AW42" s="72">
        <f ca="1">IFERROR(IF(E42='Invoer gegevens'!$C$17+'Invoer gegevens'!$I$14-1,'Invoer gegevens'!$I$13*'Invoer gegevens'!$C$10*Reeksen!H42,0),0)</f>
        <v>0</v>
      </c>
      <c r="AX42" s="72">
        <f ca="1">IFERROR(IF(E42='Invoer gegevens'!$C$17,-'Invoer gegevens'!$C$10*'Invoer gegevens'!$C$31*Reeksen!H42,0),0)</f>
        <v>0</v>
      </c>
      <c r="AY42" s="73">
        <f ca="1">IF('Invoer gegevens'!$C$34=E42,'Invoer gegevens'!$C$27*'Invoer gegevens'!$C$10*'Invoer gegevens'!$C$36*(IF('Invoer gegevens'!$C$35="ja",1,Reeksen!J42)),IF('Invoer gegevens'!$C$34+1=E42,'Invoer gegevens'!$C$27*'Invoer gegevens'!$C$10*'Invoer gegevens'!$C$37*(IF('Invoer gegevens'!$C$35="ja",1,Reeksen!J42)),0))+IF(AND(E42='Invoer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2" s="73">
        <f ca="1">AV42/(1+'Invoer gegevens'!$I$12)^($D42-('Invoer gegevens'!$C$17-'Invoer gegevens'!$C$16))/(1+'Invoer gegevens'!$C$39)^('Invoer gegevens'!$C$17-'Invoer gegevens'!$C$16)</f>
        <v>0</v>
      </c>
      <c r="BA42" s="73">
        <f ca="1">AW42/(1+'Invoer gegevens'!$I$12)^(E42-('Invoer gegevens'!$C$17-1))/(1+'Invoer gegevens'!$C$39)^('Invoer gegevens'!$C$17-'Invoer gegevens'!$C$16)</f>
        <v>0</v>
      </c>
      <c r="BB42" s="73">
        <f ca="1">AX42/(1+'Invoer gegevens'!$C$39)^('Invoer gegevens'!$C$17-'Invoer gegevens'!$C$16)</f>
        <v>0</v>
      </c>
      <c r="BC42" s="72">
        <f t="shared" ca="1" si="5"/>
        <v>0</v>
      </c>
      <c r="BD42" s="72">
        <f ca="1">IF(AND(E42='Invoer gegevens'!$C$16,'Invoer gegevens'!$C$34&lt;'Invoer gegevens'!$C$16),AY42,AY42/(1+'Invoer gegevens'!$C$39)^D42)</f>
        <v>0</v>
      </c>
      <c r="BE42" s="72">
        <f ca="1">IF(E42='Invoer gegevens'!$C$34,-'Invoer gegevens'!$I$38,0)</f>
        <v>0</v>
      </c>
      <c r="BF42" s="72">
        <f ca="1">IF(E42='Invoer gegevens'!$C$17,-'Invoer gegevens'!$C$19*$BC$66,0)</f>
        <v>0</v>
      </c>
      <c r="BG42" s="72">
        <f ca="1">AV42/(1+$BG$4)^($D42-('Invoer gegevens'!$C$17-'Invoer gegevens'!$C$16))/(1+'Invoer gegevens'!$C$39)^('Invoer gegevens'!$C$17-'Invoer gegevens'!$C$16)+AW42/(1+$BG$4)^(E42-('Invoer gegevens'!$C$17-1))/(1+'Invoer gegevens'!$C$39)^('Invoer gegevens'!$C$17-'Invoer gegevens'!$C$16)+AX42/(1+'Invoer gegevens'!$C$39)^('Invoer gegevens'!$C$17-'Invoer gegevens'!$C$16)+(-AY42/(1+'Invoer gegevens'!$C$39)^D42)+BE42+BF42</f>
        <v>0</v>
      </c>
      <c r="BH42" s="59"/>
      <c r="BI42" s="215"/>
      <c r="BJ42" s="214"/>
    </row>
    <row r="43" spans="2:62" x14ac:dyDescent="0.25">
      <c r="B43" s="70">
        <f t="shared" si="6"/>
        <v>39</v>
      </c>
      <c r="C43" s="67">
        <f ca="1">IF(AND(E43&gt;='Invoer gegevens'!$C$17,E43&lt;'Invoer gegevens'!$C$17+'Invoer gegevens'!$I$14),1,0)</f>
        <v>1</v>
      </c>
      <c r="D43" s="68">
        <f t="shared" si="7"/>
        <v>38.5</v>
      </c>
      <c r="E43" s="69">
        <f ca="1">IF('Invoer gegevens'!$C$16="","",E42+1)</f>
        <v>2057</v>
      </c>
      <c r="F43" s="82">
        <f ca="1">IF('Invoer gegevens'!$C$17=E43,'Invoer gegevens'!$C$10,IF(C43=1,H42,0))</f>
        <v>0</v>
      </c>
      <c r="G43" s="83">
        <f ca="1">IF(E43='Invoer gegevens'!$C$17+'Invoer gegevens'!$I$14,H42,IF(C43&gt;=1,F43*Reeksen!C43,0))</f>
        <v>0</v>
      </c>
      <c r="H43" s="84">
        <f ca="1">IF(E43&gt;='Invoer gegevens'!$C$17+'Invoer gegevens'!$I$14,0,F43-G43)</f>
        <v>0</v>
      </c>
      <c r="I43" s="85">
        <f ca="1">IF('Invoer gegevens'!$C$17=E43,'Invoer gegevens'!$C$11,IF(C43=1,L42,0))</f>
        <v>0</v>
      </c>
      <c r="J43" s="86">
        <f ca="1">IF(E43='Invoer gegevens'!$C$17+'Invoer gegevens'!$I$14,L42,IF(C43&lt;1,0,IF(Reeksen!BG43&lt;=Reeksen!AE43,I43*Reeksen!C43,0)))</f>
        <v>0</v>
      </c>
      <c r="K43" s="86">
        <f ca="1">IF(E43='Invoer gegevens'!$C$17+'Invoer gegevens'!$I$14,L42,IF(C43&lt;1,0,IF(Reeksen!BG43&gt;Reeksen!AE43,I43*Reeksen!C43,0)))</f>
        <v>0</v>
      </c>
      <c r="L43" s="86">
        <f ca="1">IF(E43&gt;='Invoer gegevens'!$C$17+'Invoer gegevens'!$I$14,0,I43-J43-K43)</f>
        <v>0</v>
      </c>
      <c r="M43" s="85">
        <f ca="1">IF('Invoer gegevens'!$C$17=E43,'Invoer gegevens'!$C$10-'Invoer gegevens'!$C$11,IF(C43=1,P42,0))</f>
        <v>0</v>
      </c>
      <c r="N43" s="86">
        <f ca="1">IF(E43='Invoer gegevens'!$C$17+'Invoer gegevens'!$I$14,P42,IF(C43&lt;1,0,IF(Reeksen!BG43&lt;=Reeksen!AE43,M43*Reeksen!C43,0)))</f>
        <v>0</v>
      </c>
      <c r="O43" s="86">
        <f ca="1">IF(E43='Invoer gegevens'!$C$17+'Invoer gegevens'!$I$14,P42,IF(C43&lt;1,0,IF(Reeksen!BG43&gt;Reeksen!AE43,M43*Reeksen!C43,0)))</f>
        <v>0</v>
      </c>
      <c r="P43" s="86">
        <f ca="1">IF(E43&gt;='Invoer gegevens'!$C$17+'Invoer gegevens'!$I$14,0,M43-N43-O43)</f>
        <v>0</v>
      </c>
      <c r="Q43" s="82">
        <f ca="1">IF('Invoer gegevens'!$C$17=E43,I43,IF(C43=0,0,R42))</f>
        <v>0</v>
      </c>
      <c r="R43" s="84">
        <f t="shared" ca="1" si="0"/>
        <v>0</v>
      </c>
      <c r="S43" s="84">
        <f ca="1">IF('Invoer gegevens'!$C$17=E43,M43,IF(C43=0,0,T42))</f>
        <v>0</v>
      </c>
      <c r="T43" s="84">
        <f t="shared" ca="1" si="1"/>
        <v>0</v>
      </c>
      <c r="AH43" s="66"/>
      <c r="AI43" s="71">
        <f ca="1">IF(C43=1,((F43+H43)/2*Reeksen!BF43*12)+(('Invoer gegevens'!$C$10-(F43+H43)/2)*Reeksen!BG43*12),0)</f>
        <v>0</v>
      </c>
      <c r="AJ43" s="71">
        <f ca="1">-AI43*'Invoer gegevens'!$I$26</f>
        <v>0</v>
      </c>
      <c r="AK43" s="71">
        <f t="shared" ca="1" si="2"/>
        <v>0</v>
      </c>
      <c r="AL43" s="71">
        <f ca="1">IF(C43=1,(12*((F43+H43)/2)*Reeksen!AL43)+(12*('Invoer gegevens'!$C$10-(F43+H43)/2)*Reeksen!AM43),0)</f>
        <v>0</v>
      </c>
      <c r="AM43" s="71">
        <f ca="1">-AL43*'Invoer gegevens'!$F$31</f>
        <v>0</v>
      </c>
      <c r="AN43" s="71">
        <f t="shared" ca="1" si="3"/>
        <v>0</v>
      </c>
      <c r="AO43" s="71"/>
      <c r="AP43" s="71"/>
      <c r="AQ43" s="71">
        <f ca="1">-IF(C43=1,('Invoer gegevens'!$C$10*'Invoer gegevens'!$I$33)*Reeksen!J43,0)</f>
        <v>0</v>
      </c>
      <c r="AR43" s="71">
        <f ca="1">-IF(C43=1,(G43*'Invoer gegevens'!$I$34)*Reeksen!J43,0)</f>
        <v>0</v>
      </c>
      <c r="AS43" s="71">
        <f ca="1">-IF(C43=1,'Invoer gegevens'!$C$10*'Invoer gegevens'!$I$35*Reeksen!L43,0)</f>
        <v>0</v>
      </c>
      <c r="AT43" s="71">
        <f ca="1">-IF(C43=1,IF(E43='Invoer gegevens'!$C$17,'Invoer gegevens'!$C$11,Q43)*Reeksen!S43*'Invoer gegevens'!$C$18*Reeksen!P43,0)</f>
        <v>0</v>
      </c>
      <c r="AU43" s="71">
        <f ca="1">-IF(C43=1,'Invoer gegevens'!$C$10*'Invoer gegevens'!$I$36*Reeksen!H43,0)</f>
        <v>0</v>
      </c>
      <c r="AV43" s="71">
        <f t="shared" ca="1" si="4"/>
        <v>0</v>
      </c>
      <c r="AW43" s="72">
        <f ca="1">IFERROR(IF(E43='Invoer gegevens'!$C$17+'Invoer gegevens'!$I$14-1,'Invoer gegevens'!$I$13*'Invoer gegevens'!$C$10*Reeksen!H43,0),0)</f>
        <v>0</v>
      </c>
      <c r="AX43" s="72">
        <f ca="1">IFERROR(IF(E43='Invoer gegevens'!$C$17,-'Invoer gegevens'!$C$10*'Invoer gegevens'!$C$31*Reeksen!H43,0),0)</f>
        <v>0</v>
      </c>
      <c r="AY43" s="73">
        <f ca="1">IF('Invoer gegevens'!$C$34=E43,'Invoer gegevens'!$C$27*'Invoer gegevens'!$C$10*'Invoer gegevens'!$C$36*(IF('Invoer gegevens'!$C$35="ja",1,Reeksen!J43)),IF('Invoer gegevens'!$C$34+1=E43,'Invoer gegevens'!$C$27*'Invoer gegevens'!$C$10*'Invoer gegevens'!$C$37*(IF('Invoer gegevens'!$C$35="ja",1,Reeksen!J43)),0))+IF(AND(E43='Invoer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3" s="73">
        <f ca="1">AV43/(1+'Invoer gegevens'!$I$12)^($D43-('Invoer gegevens'!$C$17-'Invoer gegevens'!$C$16))/(1+'Invoer gegevens'!$C$39)^('Invoer gegevens'!$C$17-'Invoer gegevens'!$C$16)</f>
        <v>0</v>
      </c>
      <c r="BA43" s="73">
        <f ca="1">AW43/(1+'Invoer gegevens'!$I$12)^(E43-('Invoer gegevens'!$C$17-1))/(1+'Invoer gegevens'!$C$39)^('Invoer gegevens'!$C$17-'Invoer gegevens'!$C$16)</f>
        <v>0</v>
      </c>
      <c r="BB43" s="73">
        <f ca="1">AX43/(1+'Invoer gegevens'!$C$39)^('Invoer gegevens'!$C$17-'Invoer gegevens'!$C$16)</f>
        <v>0</v>
      </c>
      <c r="BC43" s="72">
        <f t="shared" ca="1" si="5"/>
        <v>0</v>
      </c>
      <c r="BD43" s="72">
        <f ca="1">IF(AND(E43='Invoer gegevens'!$C$16,'Invoer gegevens'!$C$34&lt;'Invoer gegevens'!$C$16),AY43,AY43/(1+'Invoer gegevens'!$C$39)^D43)</f>
        <v>0</v>
      </c>
      <c r="BE43" s="72">
        <f ca="1">IF(E43='Invoer gegevens'!$C$34,-'Invoer gegevens'!$I$38,0)</f>
        <v>0</v>
      </c>
      <c r="BF43" s="72">
        <f ca="1">IF(E43='Invoer gegevens'!$C$17,-'Invoer gegevens'!$C$19*$BC$66,0)</f>
        <v>0</v>
      </c>
      <c r="BG43" s="72">
        <f ca="1">AV43/(1+$BG$4)^($D43-('Invoer gegevens'!$C$17-'Invoer gegevens'!$C$16))/(1+'Invoer gegevens'!$C$39)^('Invoer gegevens'!$C$17-'Invoer gegevens'!$C$16)+AW43/(1+$BG$4)^(E43-('Invoer gegevens'!$C$17-1))/(1+'Invoer gegevens'!$C$39)^('Invoer gegevens'!$C$17-'Invoer gegevens'!$C$16)+AX43/(1+'Invoer gegevens'!$C$39)^('Invoer gegevens'!$C$17-'Invoer gegevens'!$C$16)+(-AY43/(1+'Invoer gegevens'!$C$39)^D43)+BE43+BF43</f>
        <v>0</v>
      </c>
      <c r="BH43" s="59"/>
      <c r="BI43" s="215"/>
      <c r="BJ43" s="214"/>
    </row>
    <row r="44" spans="2:62" x14ac:dyDescent="0.25">
      <c r="B44" s="70">
        <f t="shared" si="6"/>
        <v>40</v>
      </c>
      <c r="C44" s="67">
        <f ca="1">IF(AND(E44&gt;='Invoer gegevens'!$C$17,E44&lt;'Invoer gegevens'!$C$17+'Invoer gegevens'!$I$14),1,0)</f>
        <v>1</v>
      </c>
      <c r="D44" s="68">
        <f t="shared" si="7"/>
        <v>39.5</v>
      </c>
      <c r="E44" s="69">
        <f ca="1">IF('Invoer gegevens'!$C$16="","",E43+1)</f>
        <v>2058</v>
      </c>
      <c r="F44" s="82">
        <f ca="1">IF('Invoer gegevens'!$C$17=E44,'Invoer gegevens'!$C$10,IF(C44=1,H43,0))</f>
        <v>0</v>
      </c>
      <c r="G44" s="83">
        <f ca="1">IF(E44='Invoer gegevens'!$C$17+'Invoer gegevens'!$I$14,H43,IF(C44&gt;=1,F44*Reeksen!C44,0))</f>
        <v>0</v>
      </c>
      <c r="H44" s="84">
        <f ca="1">IF(E44&gt;='Invoer gegevens'!$C$17+'Invoer gegevens'!$I$14,0,F44-G44)</f>
        <v>0</v>
      </c>
      <c r="I44" s="85">
        <f ca="1">IF('Invoer gegevens'!$C$17=E44,'Invoer gegevens'!$C$11,IF(C44=1,L43,0))</f>
        <v>0</v>
      </c>
      <c r="J44" s="86">
        <f ca="1">IF(E44='Invoer gegevens'!$C$17+'Invoer gegevens'!$I$14,L43,IF(C44&lt;1,0,IF(Reeksen!BG44&lt;=Reeksen!AE44,I44*Reeksen!C44,0)))</f>
        <v>0</v>
      </c>
      <c r="K44" s="86">
        <f ca="1">IF(E44='Invoer gegevens'!$C$17+'Invoer gegevens'!$I$14,L43,IF(C44&lt;1,0,IF(Reeksen!BG44&gt;Reeksen!AE44,I44*Reeksen!C44,0)))</f>
        <v>0</v>
      </c>
      <c r="L44" s="86">
        <f ca="1">IF(E44&gt;='Invoer gegevens'!$C$17+'Invoer gegevens'!$I$14,0,I44-J44-K44)</f>
        <v>0</v>
      </c>
      <c r="M44" s="85">
        <f ca="1">IF('Invoer gegevens'!$C$17=E44,'Invoer gegevens'!$C$10-'Invoer gegevens'!$C$11,IF(C44=1,P43,0))</f>
        <v>0</v>
      </c>
      <c r="N44" s="86">
        <f ca="1">IF(E44='Invoer gegevens'!$C$17+'Invoer gegevens'!$I$14,P43,IF(C44&lt;1,0,IF(Reeksen!BG44&lt;=Reeksen!AE44,M44*Reeksen!C44,0)))</f>
        <v>0</v>
      </c>
      <c r="O44" s="86">
        <f ca="1">IF(E44='Invoer gegevens'!$C$17+'Invoer gegevens'!$I$14,P43,IF(C44&lt;1,0,IF(Reeksen!BG44&gt;Reeksen!AE44,M44*Reeksen!C44,0)))</f>
        <v>0</v>
      </c>
      <c r="P44" s="86">
        <f ca="1">IF(E44&gt;='Invoer gegevens'!$C$17+'Invoer gegevens'!$I$14,0,M44-N44-O44)</f>
        <v>0</v>
      </c>
      <c r="Q44" s="82">
        <f ca="1">IF('Invoer gegevens'!$C$17=E44,I44,IF(C44=0,0,R43))</f>
        <v>0</v>
      </c>
      <c r="R44" s="84">
        <f t="shared" ca="1" si="0"/>
        <v>0</v>
      </c>
      <c r="S44" s="84">
        <f ca="1">IF('Invoer gegevens'!$C$17=E44,M44,IF(C44=0,0,T43))</f>
        <v>0</v>
      </c>
      <c r="T44" s="84">
        <f t="shared" ca="1" si="1"/>
        <v>0</v>
      </c>
      <c r="AH44" s="66"/>
      <c r="AI44" s="71">
        <f ca="1">IF(C44=1,((F44+H44)/2*Reeksen!BF44*12)+(('Invoer gegevens'!$C$10-(F44+H44)/2)*Reeksen!BG44*12),0)</f>
        <v>0</v>
      </c>
      <c r="AJ44" s="71">
        <f ca="1">-AI44*'Invoer gegevens'!$I$26</f>
        <v>0</v>
      </c>
      <c r="AK44" s="71">
        <f t="shared" ca="1" si="2"/>
        <v>0</v>
      </c>
      <c r="AL44" s="71">
        <f ca="1">IF(C44=1,(12*((F44+H44)/2)*Reeksen!AL44)+(12*('Invoer gegevens'!$C$10-(F44+H44)/2)*Reeksen!AM44),0)</f>
        <v>0</v>
      </c>
      <c r="AM44" s="71">
        <f ca="1">-AL44*'Invoer gegevens'!$F$31</f>
        <v>0</v>
      </c>
      <c r="AN44" s="71">
        <f t="shared" ca="1" si="3"/>
        <v>0</v>
      </c>
      <c r="AO44" s="71"/>
      <c r="AP44" s="71"/>
      <c r="AQ44" s="71">
        <f ca="1">-IF(C44=1,('Invoer gegevens'!$C$10*'Invoer gegevens'!$I$33)*Reeksen!J44,0)</f>
        <v>0</v>
      </c>
      <c r="AR44" s="71">
        <f ca="1">-IF(C44=1,(G44*'Invoer gegevens'!$I$34)*Reeksen!J44,0)</f>
        <v>0</v>
      </c>
      <c r="AS44" s="71">
        <f ca="1">-IF(C44=1,'Invoer gegevens'!$C$10*'Invoer gegevens'!$I$35*Reeksen!L44,0)</f>
        <v>0</v>
      </c>
      <c r="AT44" s="71">
        <f ca="1">-IF(C44=1,IF(E44='Invoer gegevens'!$C$17,'Invoer gegevens'!$C$11,Q44)*Reeksen!S44*'Invoer gegevens'!$C$18*Reeksen!P44,0)</f>
        <v>0</v>
      </c>
      <c r="AU44" s="71">
        <f ca="1">-IF(C44=1,'Invoer gegevens'!$C$10*'Invoer gegevens'!$I$36*Reeksen!H44,0)</f>
        <v>0</v>
      </c>
      <c r="AV44" s="71">
        <f t="shared" ca="1" si="4"/>
        <v>0</v>
      </c>
      <c r="AW44" s="72">
        <f ca="1">IFERROR(IF(E44='Invoer gegevens'!$C$17+'Invoer gegevens'!$I$14-1,'Invoer gegevens'!$I$13*'Invoer gegevens'!$C$10*Reeksen!H44,0),0)</f>
        <v>0</v>
      </c>
      <c r="AX44" s="72">
        <f ca="1">IFERROR(IF(E44='Invoer gegevens'!$C$17,-'Invoer gegevens'!$C$10*'Invoer gegevens'!$C$31*Reeksen!H44,0),0)</f>
        <v>0</v>
      </c>
      <c r="AY44" s="73">
        <f ca="1">IF('Invoer gegevens'!$C$34=E44,'Invoer gegevens'!$C$27*'Invoer gegevens'!$C$10*'Invoer gegevens'!$C$36*(IF('Invoer gegevens'!$C$35="ja",1,Reeksen!J44)),IF('Invoer gegevens'!$C$34+1=E44,'Invoer gegevens'!$C$27*'Invoer gegevens'!$C$10*'Invoer gegevens'!$C$37*(IF('Invoer gegevens'!$C$35="ja",1,Reeksen!J44)),0))+IF(AND(E44='Invoer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4" s="73">
        <f ca="1">AV44/(1+'Invoer gegevens'!$I$12)^($D44-('Invoer gegevens'!$C$17-'Invoer gegevens'!$C$16))/(1+'Invoer gegevens'!$C$39)^('Invoer gegevens'!$C$17-'Invoer gegevens'!$C$16)</f>
        <v>0</v>
      </c>
      <c r="BA44" s="73">
        <f ca="1">AW44/(1+'Invoer gegevens'!$I$12)^(E44-('Invoer gegevens'!$C$17-1))/(1+'Invoer gegevens'!$C$39)^('Invoer gegevens'!$C$17-'Invoer gegevens'!$C$16)</f>
        <v>0</v>
      </c>
      <c r="BB44" s="73">
        <f ca="1">AX44/(1+'Invoer gegevens'!$C$39)^('Invoer gegevens'!$C$17-'Invoer gegevens'!$C$16)</f>
        <v>0</v>
      </c>
      <c r="BC44" s="72">
        <f t="shared" ca="1" si="5"/>
        <v>0</v>
      </c>
      <c r="BD44" s="72">
        <f ca="1">IF(AND(E44='Invoer gegevens'!$C$16,'Invoer gegevens'!$C$34&lt;'Invoer gegevens'!$C$16),AY44,AY44/(1+'Invoer gegevens'!$C$39)^D44)</f>
        <v>0</v>
      </c>
      <c r="BE44" s="72">
        <f ca="1">IF(E44='Invoer gegevens'!$C$34,-'Invoer gegevens'!$I$38,0)</f>
        <v>0</v>
      </c>
      <c r="BF44" s="72">
        <f ca="1">IF(E44='Invoer gegevens'!$C$17,-'Invoer gegevens'!$C$19*$BC$66,0)</f>
        <v>0</v>
      </c>
      <c r="BG44" s="72">
        <f ca="1">AV44/(1+$BG$4)^($D44-('Invoer gegevens'!$C$17-'Invoer gegevens'!$C$16))/(1+'Invoer gegevens'!$C$39)^('Invoer gegevens'!$C$17-'Invoer gegevens'!$C$16)+AW44/(1+$BG$4)^(E44-('Invoer gegevens'!$C$17-1))/(1+'Invoer gegevens'!$C$39)^('Invoer gegevens'!$C$17-'Invoer gegevens'!$C$16)+AX44/(1+'Invoer gegevens'!$C$39)^('Invoer gegevens'!$C$17-'Invoer gegevens'!$C$16)+(-AY44/(1+'Invoer gegevens'!$C$39)^D44)+BE44+BF44</f>
        <v>0</v>
      </c>
      <c r="BH44" s="59"/>
      <c r="BI44" s="215"/>
      <c r="BJ44" s="214"/>
    </row>
    <row r="45" spans="2:62" x14ac:dyDescent="0.25">
      <c r="B45" s="70">
        <f t="shared" si="6"/>
        <v>41</v>
      </c>
      <c r="C45" s="67">
        <f ca="1">IF(AND(E45&gt;='Invoer gegevens'!$C$17,E45&lt;'Invoer gegevens'!$C$17+'Invoer gegevens'!$I$14),1,0)</f>
        <v>1</v>
      </c>
      <c r="D45" s="68">
        <f t="shared" si="7"/>
        <v>40.5</v>
      </c>
      <c r="E45" s="69">
        <f ca="1">IF('Invoer gegevens'!$C$16="","",E44+1)</f>
        <v>2059</v>
      </c>
      <c r="F45" s="82">
        <f ca="1">IF('Invoer gegevens'!$C$17=E45,'Invoer gegevens'!$C$10,IF(C45=1,H44,0))</f>
        <v>0</v>
      </c>
      <c r="G45" s="83">
        <f ca="1">IF(E45='Invoer gegevens'!$C$17+'Invoer gegevens'!$I$14,H44,IF(C45&gt;=1,F45*Reeksen!C45,0))</f>
        <v>0</v>
      </c>
      <c r="H45" s="84">
        <f ca="1">IF(E45&gt;='Invoer gegevens'!$C$17+'Invoer gegevens'!$I$14,0,F45-G45)</f>
        <v>0</v>
      </c>
      <c r="I45" s="85">
        <f ca="1">IF('Invoer gegevens'!$C$17=E45,'Invoer gegevens'!$C$11,IF(C45=1,L44,0))</f>
        <v>0</v>
      </c>
      <c r="J45" s="86">
        <f ca="1">IF(E45='Invoer gegevens'!$C$17+'Invoer gegevens'!$I$14,L44,IF(C45&lt;1,0,IF(Reeksen!BG45&lt;=Reeksen!AE45,I45*Reeksen!C45,0)))</f>
        <v>0</v>
      </c>
      <c r="K45" s="86">
        <f ca="1">IF(E45='Invoer gegevens'!$C$17+'Invoer gegevens'!$I$14,L44,IF(C45&lt;1,0,IF(Reeksen!BG45&gt;Reeksen!AE45,I45*Reeksen!C45,0)))</f>
        <v>0</v>
      </c>
      <c r="L45" s="86">
        <f ca="1">IF(E45&gt;='Invoer gegevens'!$C$17+'Invoer gegevens'!$I$14,0,I45-J45-K45)</f>
        <v>0</v>
      </c>
      <c r="M45" s="85">
        <f ca="1">IF('Invoer gegevens'!$C$17=E45,'Invoer gegevens'!$C$10-'Invoer gegevens'!$C$11,IF(C45=1,P44,0))</f>
        <v>0</v>
      </c>
      <c r="N45" s="86">
        <f ca="1">IF(E45='Invoer gegevens'!$C$17+'Invoer gegevens'!$I$14,P44,IF(C45&lt;1,0,IF(Reeksen!BG45&lt;=Reeksen!AE45,M45*Reeksen!C45,0)))</f>
        <v>0</v>
      </c>
      <c r="O45" s="86">
        <f ca="1">IF(E45='Invoer gegevens'!$C$17+'Invoer gegevens'!$I$14,P44,IF(C45&lt;1,0,IF(Reeksen!BG45&gt;Reeksen!AE45,M45*Reeksen!C45,0)))</f>
        <v>0</v>
      </c>
      <c r="P45" s="86">
        <f ca="1">IF(E45&gt;='Invoer gegevens'!$C$17+'Invoer gegevens'!$I$14,0,M45-N45-O45)</f>
        <v>0</v>
      </c>
      <c r="Q45" s="82">
        <f ca="1">IF('Invoer gegevens'!$C$17=E45,I45,IF(C45=0,0,R44))</f>
        <v>0</v>
      </c>
      <c r="R45" s="84">
        <f t="shared" ca="1" si="0"/>
        <v>0</v>
      </c>
      <c r="S45" s="84">
        <f ca="1">IF('Invoer gegevens'!$C$17=E45,M45,IF(C45=0,0,T44))</f>
        <v>0</v>
      </c>
      <c r="T45" s="84">
        <f t="shared" ca="1" si="1"/>
        <v>0</v>
      </c>
      <c r="AH45" s="66"/>
      <c r="AI45" s="71">
        <f ca="1">IF(C45=1,((F45+H45)/2*Reeksen!BF45*12)+(('Invoer gegevens'!$C$10-(F45+H45)/2)*Reeksen!BG45*12),0)</f>
        <v>0</v>
      </c>
      <c r="AJ45" s="71">
        <f ca="1">-AI45*'Invoer gegevens'!$I$26</f>
        <v>0</v>
      </c>
      <c r="AK45" s="71">
        <f t="shared" ca="1" si="2"/>
        <v>0</v>
      </c>
      <c r="AL45" s="71">
        <f ca="1">IF(C45=1,(12*((F45+H45)/2)*Reeksen!AL45)+(12*('Invoer gegevens'!$C$10-(F45+H45)/2)*Reeksen!AM45),0)</f>
        <v>0</v>
      </c>
      <c r="AM45" s="71">
        <f ca="1">-AL45*'Invoer gegevens'!$F$31</f>
        <v>0</v>
      </c>
      <c r="AN45" s="71">
        <f t="shared" ca="1" si="3"/>
        <v>0</v>
      </c>
      <c r="AO45" s="71"/>
      <c r="AP45" s="71"/>
      <c r="AQ45" s="71">
        <f ca="1">-IF(C45=1,('Invoer gegevens'!$C$10*'Invoer gegevens'!$I$33)*Reeksen!J45,0)</f>
        <v>0</v>
      </c>
      <c r="AR45" s="71">
        <f ca="1">-IF(C45=1,(G45*'Invoer gegevens'!$I$34)*Reeksen!J45,0)</f>
        <v>0</v>
      </c>
      <c r="AS45" s="71">
        <f ca="1">-IF(C45=1,'Invoer gegevens'!$C$10*'Invoer gegevens'!$I$35*Reeksen!L45,0)</f>
        <v>0</v>
      </c>
      <c r="AT45" s="71">
        <f ca="1">-IF(C45=1,IF(E45='Invoer gegevens'!$C$17,'Invoer gegevens'!$C$11,Q45)*Reeksen!S45*'Invoer gegevens'!$C$18*Reeksen!P45,0)</f>
        <v>0</v>
      </c>
      <c r="AU45" s="71">
        <f ca="1">-IF(C45=1,'Invoer gegevens'!$C$10*'Invoer gegevens'!$I$36*Reeksen!H45,0)</f>
        <v>0</v>
      </c>
      <c r="AV45" s="71">
        <f t="shared" ca="1" si="4"/>
        <v>0</v>
      </c>
      <c r="AW45" s="72">
        <f ca="1">IFERROR(IF(E45='Invoer gegevens'!$C$17+'Invoer gegevens'!$I$14-1,'Invoer gegevens'!$I$13*'Invoer gegevens'!$C$10*Reeksen!H45,0),0)</f>
        <v>0</v>
      </c>
      <c r="AX45" s="72">
        <f ca="1">IFERROR(IF(E45='Invoer gegevens'!$C$17,-'Invoer gegevens'!$C$10*'Invoer gegevens'!$C$31*Reeksen!H45,0),0)</f>
        <v>0</v>
      </c>
      <c r="AY45" s="73">
        <f ca="1">IF('Invoer gegevens'!$C$34=E45,'Invoer gegevens'!$C$27*'Invoer gegevens'!$C$10*'Invoer gegevens'!$C$36*(IF('Invoer gegevens'!$C$35="ja",1,Reeksen!J45)),IF('Invoer gegevens'!$C$34+1=E45,'Invoer gegevens'!$C$27*'Invoer gegevens'!$C$10*'Invoer gegevens'!$C$37*(IF('Invoer gegevens'!$C$35="ja",1,Reeksen!J45)),0))+IF(AND(E45='Invoer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5" s="73">
        <f ca="1">AV45/(1+'Invoer gegevens'!$I$12)^($D45-('Invoer gegevens'!$C$17-'Invoer gegevens'!$C$16))/(1+'Invoer gegevens'!$C$39)^('Invoer gegevens'!$C$17-'Invoer gegevens'!$C$16)</f>
        <v>0</v>
      </c>
      <c r="BA45" s="73">
        <f ca="1">AW45/(1+'Invoer gegevens'!$I$12)^(E45-('Invoer gegevens'!$C$17-1))/(1+'Invoer gegevens'!$C$39)^('Invoer gegevens'!$C$17-'Invoer gegevens'!$C$16)</f>
        <v>0</v>
      </c>
      <c r="BB45" s="73">
        <f ca="1">AX45/(1+'Invoer gegevens'!$C$39)^('Invoer gegevens'!$C$17-'Invoer gegevens'!$C$16)</f>
        <v>0</v>
      </c>
      <c r="BC45" s="72">
        <f t="shared" ca="1" si="5"/>
        <v>0</v>
      </c>
      <c r="BD45" s="72">
        <f ca="1">IF(AND(E45='Invoer gegevens'!$C$16,'Invoer gegevens'!$C$34&lt;'Invoer gegevens'!$C$16),AY45,AY45/(1+'Invoer gegevens'!$C$39)^D45)</f>
        <v>0</v>
      </c>
      <c r="BE45" s="72">
        <f ca="1">IF(E45='Invoer gegevens'!$C$34,-'Invoer gegevens'!$I$38,0)</f>
        <v>0</v>
      </c>
      <c r="BF45" s="72">
        <f ca="1">IF(E45='Invoer gegevens'!$C$17,-'Invoer gegevens'!$C$19*$BC$66,0)</f>
        <v>0</v>
      </c>
      <c r="BG45" s="72">
        <f ca="1">AV45/(1+$BG$4)^($D45-('Invoer gegevens'!$C$17-'Invoer gegevens'!$C$16))/(1+'Invoer gegevens'!$C$39)^('Invoer gegevens'!$C$17-'Invoer gegevens'!$C$16)+AW45/(1+$BG$4)^(E45-('Invoer gegevens'!$C$17-1))/(1+'Invoer gegevens'!$C$39)^('Invoer gegevens'!$C$17-'Invoer gegevens'!$C$16)+AX45/(1+'Invoer gegevens'!$C$39)^('Invoer gegevens'!$C$17-'Invoer gegevens'!$C$16)+(-AY45/(1+'Invoer gegevens'!$C$39)^D45)+BE45+BF45</f>
        <v>0</v>
      </c>
      <c r="BH45" s="59"/>
      <c r="BI45" s="215"/>
      <c r="BJ45" s="214"/>
    </row>
    <row r="46" spans="2:62" x14ac:dyDescent="0.25">
      <c r="B46" s="70">
        <f t="shared" si="6"/>
        <v>42</v>
      </c>
      <c r="C46" s="67">
        <f ca="1">IF(AND(E46&gt;='Invoer gegevens'!$C$17,E46&lt;'Invoer gegevens'!$C$17+'Invoer gegevens'!$I$14),1,0)</f>
        <v>1</v>
      </c>
      <c r="D46" s="68">
        <f t="shared" si="7"/>
        <v>41.5</v>
      </c>
      <c r="E46" s="69">
        <f ca="1">IF('Invoer gegevens'!$C$16="","",E45+1)</f>
        <v>2060</v>
      </c>
      <c r="F46" s="82">
        <f ca="1">IF('Invoer gegevens'!$C$17=E46,'Invoer gegevens'!$C$10,IF(C46=1,H45,0))</f>
        <v>0</v>
      </c>
      <c r="G46" s="83">
        <f ca="1">IF(E46='Invoer gegevens'!$C$17+'Invoer gegevens'!$I$14,H45,IF(C46&gt;=1,F46*Reeksen!C46,0))</f>
        <v>0</v>
      </c>
      <c r="H46" s="84">
        <f ca="1">IF(E46&gt;='Invoer gegevens'!$C$17+'Invoer gegevens'!$I$14,0,F46-G46)</f>
        <v>0</v>
      </c>
      <c r="I46" s="85">
        <f ca="1">IF('Invoer gegevens'!$C$17=E46,'Invoer gegevens'!$C$11,IF(C46=1,L45,0))</f>
        <v>0</v>
      </c>
      <c r="J46" s="86">
        <f ca="1">IF(E46='Invoer gegevens'!$C$17+'Invoer gegevens'!$I$14,L45,IF(C46&lt;1,0,IF(Reeksen!BG46&lt;=Reeksen!AE46,I46*Reeksen!C46,0)))</f>
        <v>0</v>
      </c>
      <c r="K46" s="86">
        <f ca="1">IF(E46='Invoer gegevens'!$C$17+'Invoer gegevens'!$I$14,L45,IF(C46&lt;1,0,IF(Reeksen!BG46&gt;Reeksen!AE46,I46*Reeksen!C46,0)))</f>
        <v>0</v>
      </c>
      <c r="L46" s="86">
        <f ca="1">IF(E46&gt;='Invoer gegevens'!$C$17+'Invoer gegevens'!$I$14,0,I46-J46-K46)</f>
        <v>0</v>
      </c>
      <c r="M46" s="85">
        <f ca="1">IF('Invoer gegevens'!$C$17=E46,'Invoer gegevens'!$C$10-'Invoer gegevens'!$C$11,IF(C46=1,P45,0))</f>
        <v>0</v>
      </c>
      <c r="N46" s="86">
        <f ca="1">IF(E46='Invoer gegevens'!$C$17+'Invoer gegevens'!$I$14,P45,IF(C46&lt;1,0,IF(Reeksen!BG46&lt;=Reeksen!AE46,M46*Reeksen!C46,0)))</f>
        <v>0</v>
      </c>
      <c r="O46" s="86">
        <f ca="1">IF(E46='Invoer gegevens'!$C$17+'Invoer gegevens'!$I$14,P45,IF(C46&lt;1,0,IF(Reeksen!BG46&gt;Reeksen!AE46,M46*Reeksen!C46,0)))</f>
        <v>0</v>
      </c>
      <c r="P46" s="86">
        <f ca="1">IF(E46&gt;='Invoer gegevens'!$C$17+'Invoer gegevens'!$I$14,0,M46-N46-O46)</f>
        <v>0</v>
      </c>
      <c r="Q46" s="82">
        <f ca="1">IF('Invoer gegevens'!$C$17=E46,I46,IF(C46=0,0,R45))</f>
        <v>0</v>
      </c>
      <c r="R46" s="84">
        <f t="shared" ca="1" si="0"/>
        <v>0</v>
      </c>
      <c r="S46" s="84">
        <f ca="1">IF('Invoer gegevens'!$C$17=E46,M46,IF(C46=0,0,T45))</f>
        <v>0</v>
      </c>
      <c r="T46" s="84">
        <f t="shared" ca="1" si="1"/>
        <v>0</v>
      </c>
      <c r="AH46" s="66"/>
      <c r="AI46" s="71">
        <f ca="1">IF(C46=1,((F46+H46)/2*Reeksen!BF46*12)+(('Invoer gegevens'!$C$10-(F46+H46)/2)*Reeksen!BG46*12),0)</f>
        <v>0</v>
      </c>
      <c r="AJ46" s="71">
        <f ca="1">-AI46*'Invoer gegevens'!$I$26</f>
        <v>0</v>
      </c>
      <c r="AK46" s="71">
        <f t="shared" ca="1" si="2"/>
        <v>0</v>
      </c>
      <c r="AL46" s="71">
        <f ca="1">IF(C46=1,(12*((F46+H46)/2)*Reeksen!AL46)+(12*('Invoer gegevens'!$C$10-(F46+H46)/2)*Reeksen!AM46),0)</f>
        <v>0</v>
      </c>
      <c r="AM46" s="71">
        <f ca="1">-AL46*'Invoer gegevens'!$F$31</f>
        <v>0</v>
      </c>
      <c r="AN46" s="71">
        <f t="shared" ca="1" si="3"/>
        <v>0</v>
      </c>
      <c r="AO46" s="71"/>
      <c r="AP46" s="71"/>
      <c r="AQ46" s="71">
        <f ca="1">-IF(C46=1,('Invoer gegevens'!$C$10*'Invoer gegevens'!$I$33)*Reeksen!J46,0)</f>
        <v>0</v>
      </c>
      <c r="AR46" s="71">
        <f ca="1">-IF(C46=1,(G46*'Invoer gegevens'!$I$34)*Reeksen!J46,0)</f>
        <v>0</v>
      </c>
      <c r="AS46" s="71">
        <f ca="1">-IF(C46=1,'Invoer gegevens'!$C$10*'Invoer gegevens'!$I$35*Reeksen!L46,0)</f>
        <v>0</v>
      </c>
      <c r="AT46" s="71">
        <f ca="1">-IF(C46=1,IF(E46='Invoer gegevens'!$C$17,'Invoer gegevens'!$C$11,Q46)*Reeksen!S46*'Invoer gegevens'!$C$18*Reeksen!P46,0)</f>
        <v>0</v>
      </c>
      <c r="AU46" s="71">
        <f ca="1">-IF(C46=1,'Invoer gegevens'!$C$10*'Invoer gegevens'!$I$36*Reeksen!H46,0)</f>
        <v>0</v>
      </c>
      <c r="AV46" s="71">
        <f t="shared" ca="1" si="4"/>
        <v>0</v>
      </c>
      <c r="AW46" s="72">
        <f ca="1">IFERROR(IF(E46='Invoer gegevens'!$C$17+'Invoer gegevens'!$I$14-1,'Invoer gegevens'!$I$13*'Invoer gegevens'!$C$10*Reeksen!H46,0),0)</f>
        <v>0</v>
      </c>
      <c r="AX46" s="72">
        <f ca="1">IFERROR(IF(E46='Invoer gegevens'!$C$17,-'Invoer gegevens'!$C$10*'Invoer gegevens'!$C$31*Reeksen!H46,0),0)</f>
        <v>0</v>
      </c>
      <c r="AY46" s="73">
        <f ca="1">IF('Invoer gegevens'!$C$34=E46,'Invoer gegevens'!$C$27*'Invoer gegevens'!$C$10*'Invoer gegevens'!$C$36*(IF('Invoer gegevens'!$C$35="ja",1,Reeksen!J46)),IF('Invoer gegevens'!$C$34+1=E46,'Invoer gegevens'!$C$27*'Invoer gegevens'!$C$10*'Invoer gegevens'!$C$37*(IF('Invoer gegevens'!$C$35="ja",1,Reeksen!J46)),0))+IF(AND(E46='Invoer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6" s="73">
        <f ca="1">AV46/(1+'Invoer gegevens'!$I$12)^($D46-('Invoer gegevens'!$C$17-'Invoer gegevens'!$C$16))/(1+'Invoer gegevens'!$C$39)^('Invoer gegevens'!$C$17-'Invoer gegevens'!$C$16)</f>
        <v>0</v>
      </c>
      <c r="BA46" s="73">
        <f ca="1">AW46/(1+'Invoer gegevens'!$I$12)^(E46-('Invoer gegevens'!$C$17-1))/(1+'Invoer gegevens'!$C$39)^('Invoer gegevens'!$C$17-'Invoer gegevens'!$C$16)</f>
        <v>0</v>
      </c>
      <c r="BB46" s="73">
        <f ca="1">AX46/(1+'Invoer gegevens'!$C$39)^('Invoer gegevens'!$C$17-'Invoer gegevens'!$C$16)</f>
        <v>0</v>
      </c>
      <c r="BC46" s="72">
        <f t="shared" ca="1" si="5"/>
        <v>0</v>
      </c>
      <c r="BD46" s="72">
        <f ca="1">IF(AND(E46='Invoer gegevens'!$C$16,'Invoer gegevens'!$C$34&lt;'Invoer gegevens'!$C$16),AY46,AY46/(1+'Invoer gegevens'!$C$39)^D46)</f>
        <v>0</v>
      </c>
      <c r="BE46" s="72">
        <f ca="1">IF(E46='Invoer gegevens'!$C$34,-'Invoer gegevens'!$I$38,0)</f>
        <v>0</v>
      </c>
      <c r="BF46" s="72">
        <f ca="1">IF(E46='Invoer gegevens'!$C$17,-'Invoer gegevens'!$C$19*$BC$66,0)</f>
        <v>0</v>
      </c>
      <c r="BG46" s="72">
        <f ca="1">AV46/(1+$BG$4)^($D46-('Invoer gegevens'!$C$17-'Invoer gegevens'!$C$16))/(1+'Invoer gegevens'!$C$39)^('Invoer gegevens'!$C$17-'Invoer gegevens'!$C$16)+AW46/(1+$BG$4)^(E46-('Invoer gegevens'!$C$17-1))/(1+'Invoer gegevens'!$C$39)^('Invoer gegevens'!$C$17-'Invoer gegevens'!$C$16)+AX46/(1+'Invoer gegevens'!$C$39)^('Invoer gegevens'!$C$17-'Invoer gegevens'!$C$16)+(-AY46/(1+'Invoer gegevens'!$C$39)^D46)+BE46+BF46</f>
        <v>0</v>
      </c>
      <c r="BH46" s="59"/>
      <c r="BI46" s="215"/>
      <c r="BJ46" s="214"/>
    </row>
    <row r="47" spans="2:62" x14ac:dyDescent="0.25">
      <c r="B47" s="70">
        <f t="shared" si="6"/>
        <v>43</v>
      </c>
      <c r="C47" s="67">
        <f ca="1">IF(AND(E47&gt;='Invoer gegevens'!$C$17,E47&lt;'Invoer gegevens'!$C$17+'Invoer gegevens'!$I$14),1,0)</f>
        <v>1</v>
      </c>
      <c r="D47" s="68">
        <f t="shared" si="7"/>
        <v>42.5</v>
      </c>
      <c r="E47" s="69">
        <f ca="1">IF('Invoer gegevens'!$C$16="","",E46+1)</f>
        <v>2061</v>
      </c>
      <c r="F47" s="82">
        <f ca="1">IF('Invoer gegevens'!$C$17=E47,'Invoer gegevens'!$C$10,IF(C47=1,H46,0))</f>
        <v>0</v>
      </c>
      <c r="G47" s="83">
        <f ca="1">IF(E47='Invoer gegevens'!$C$17+'Invoer gegevens'!$I$14,H46,IF(C47&gt;=1,F47*Reeksen!C47,0))</f>
        <v>0</v>
      </c>
      <c r="H47" s="84">
        <f ca="1">IF(E47&gt;='Invoer gegevens'!$C$17+'Invoer gegevens'!$I$14,0,F47-G47)</f>
        <v>0</v>
      </c>
      <c r="I47" s="85">
        <f ca="1">IF('Invoer gegevens'!$C$17=E47,'Invoer gegevens'!$C$11,IF(C47=1,L46,0))</f>
        <v>0</v>
      </c>
      <c r="J47" s="86">
        <f ca="1">IF(E47='Invoer gegevens'!$C$17+'Invoer gegevens'!$I$14,L46,IF(C47&lt;1,0,IF(Reeksen!BG47&lt;=Reeksen!AE47,I47*Reeksen!C47,0)))</f>
        <v>0</v>
      </c>
      <c r="K47" s="86">
        <f ca="1">IF(E47='Invoer gegevens'!$C$17+'Invoer gegevens'!$I$14,L46,IF(C47&lt;1,0,IF(Reeksen!BG47&gt;Reeksen!AE47,I47*Reeksen!C47,0)))</f>
        <v>0</v>
      </c>
      <c r="L47" s="86">
        <f ca="1">IF(E47&gt;='Invoer gegevens'!$C$17+'Invoer gegevens'!$I$14,0,I47-J47-K47)</f>
        <v>0</v>
      </c>
      <c r="M47" s="85">
        <f ca="1">IF('Invoer gegevens'!$C$17=E47,'Invoer gegevens'!$C$10-'Invoer gegevens'!$C$11,IF(C47=1,P46,0))</f>
        <v>0</v>
      </c>
      <c r="N47" s="86">
        <f ca="1">IF(E47='Invoer gegevens'!$C$17+'Invoer gegevens'!$I$14,P46,IF(C47&lt;1,0,IF(Reeksen!BG47&lt;=Reeksen!AE47,M47*Reeksen!C47,0)))</f>
        <v>0</v>
      </c>
      <c r="O47" s="86">
        <f ca="1">IF(E47='Invoer gegevens'!$C$17+'Invoer gegevens'!$I$14,P46,IF(C47&lt;1,0,IF(Reeksen!BG47&gt;Reeksen!AE47,M47*Reeksen!C47,0)))</f>
        <v>0</v>
      </c>
      <c r="P47" s="86">
        <f ca="1">IF(E47&gt;='Invoer gegevens'!$C$17+'Invoer gegevens'!$I$14,0,M47-N47-O47)</f>
        <v>0</v>
      </c>
      <c r="Q47" s="82">
        <f ca="1">IF('Invoer gegevens'!$C$17=E47,I47,IF(C47=0,0,R46))</f>
        <v>0</v>
      </c>
      <c r="R47" s="84">
        <f t="shared" ca="1" si="0"/>
        <v>0</v>
      </c>
      <c r="S47" s="84">
        <f ca="1">IF('Invoer gegevens'!$C$17=E47,M47,IF(C47=0,0,T46))</f>
        <v>0</v>
      </c>
      <c r="T47" s="84">
        <f t="shared" ca="1" si="1"/>
        <v>0</v>
      </c>
      <c r="AH47" s="66"/>
      <c r="AI47" s="71">
        <f ca="1">IF(C47=1,((F47+H47)/2*Reeksen!BF47*12)+(('Invoer gegevens'!$C$10-(F47+H47)/2)*Reeksen!BG47*12),0)</f>
        <v>0</v>
      </c>
      <c r="AJ47" s="71">
        <f ca="1">-AI47*'Invoer gegevens'!$I$26</f>
        <v>0</v>
      </c>
      <c r="AK47" s="71">
        <f t="shared" ca="1" si="2"/>
        <v>0</v>
      </c>
      <c r="AL47" s="71">
        <f ca="1">IF(C47=1,(12*((F47+H47)/2)*Reeksen!AL47)+(12*('Invoer gegevens'!$C$10-(F47+H47)/2)*Reeksen!AM47),0)</f>
        <v>0</v>
      </c>
      <c r="AM47" s="71">
        <f ca="1">-AL47*'Invoer gegevens'!$F$31</f>
        <v>0</v>
      </c>
      <c r="AN47" s="71">
        <f t="shared" ca="1" si="3"/>
        <v>0</v>
      </c>
      <c r="AO47" s="71"/>
      <c r="AP47" s="71"/>
      <c r="AQ47" s="71">
        <f ca="1">-IF(C47=1,('Invoer gegevens'!$C$10*'Invoer gegevens'!$I$33)*Reeksen!J47,0)</f>
        <v>0</v>
      </c>
      <c r="AR47" s="71">
        <f ca="1">-IF(C47=1,(G47*'Invoer gegevens'!$I$34)*Reeksen!J47,0)</f>
        <v>0</v>
      </c>
      <c r="AS47" s="71">
        <f ca="1">-IF(C47=1,'Invoer gegevens'!$C$10*'Invoer gegevens'!$I$35*Reeksen!L47,0)</f>
        <v>0</v>
      </c>
      <c r="AT47" s="71">
        <f ca="1">-IF(C47=1,IF(E47='Invoer gegevens'!$C$17,'Invoer gegevens'!$C$11,Q47)*Reeksen!S47*'Invoer gegevens'!$C$18*Reeksen!P47,0)</f>
        <v>0</v>
      </c>
      <c r="AU47" s="71">
        <f ca="1">-IF(C47=1,'Invoer gegevens'!$C$10*'Invoer gegevens'!$I$36*Reeksen!H47,0)</f>
        <v>0</v>
      </c>
      <c r="AV47" s="71">
        <f t="shared" ca="1" si="4"/>
        <v>0</v>
      </c>
      <c r="AW47" s="72">
        <f ca="1">IFERROR(IF(E47='Invoer gegevens'!$C$17+'Invoer gegevens'!$I$14-1,'Invoer gegevens'!$I$13*'Invoer gegevens'!$C$10*Reeksen!H47,0),0)</f>
        <v>0</v>
      </c>
      <c r="AX47" s="72">
        <f ca="1">IFERROR(IF(E47='Invoer gegevens'!$C$17,-'Invoer gegevens'!$C$10*'Invoer gegevens'!$C$31*Reeksen!H47,0),0)</f>
        <v>0</v>
      </c>
      <c r="AY47" s="73">
        <f ca="1">IF('Invoer gegevens'!$C$34=E47,'Invoer gegevens'!$C$27*'Invoer gegevens'!$C$10*'Invoer gegevens'!$C$36*(IF('Invoer gegevens'!$C$35="ja",1,Reeksen!J47)),IF('Invoer gegevens'!$C$34+1=E47,'Invoer gegevens'!$C$27*'Invoer gegevens'!$C$10*'Invoer gegevens'!$C$37*(IF('Invoer gegevens'!$C$35="ja",1,Reeksen!J47)),0))+IF(AND(E47='Invoer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7" s="73">
        <f ca="1">AV47/(1+'Invoer gegevens'!$I$12)^($D47-('Invoer gegevens'!$C$17-'Invoer gegevens'!$C$16))/(1+'Invoer gegevens'!$C$39)^('Invoer gegevens'!$C$17-'Invoer gegevens'!$C$16)</f>
        <v>0</v>
      </c>
      <c r="BA47" s="73">
        <f ca="1">AW47/(1+'Invoer gegevens'!$I$12)^(E47-('Invoer gegevens'!$C$17-1))/(1+'Invoer gegevens'!$C$39)^('Invoer gegevens'!$C$17-'Invoer gegevens'!$C$16)</f>
        <v>0</v>
      </c>
      <c r="BB47" s="73">
        <f ca="1">AX47/(1+'Invoer gegevens'!$C$39)^('Invoer gegevens'!$C$17-'Invoer gegevens'!$C$16)</f>
        <v>0</v>
      </c>
      <c r="BC47" s="72">
        <f t="shared" ca="1" si="5"/>
        <v>0</v>
      </c>
      <c r="BD47" s="72">
        <f ca="1">IF(AND(E47='Invoer gegevens'!$C$16,'Invoer gegevens'!$C$34&lt;'Invoer gegevens'!$C$16),AY47,AY47/(1+'Invoer gegevens'!$C$39)^D47)</f>
        <v>0</v>
      </c>
      <c r="BE47" s="72">
        <f ca="1">IF(E47='Invoer gegevens'!$C$34,-'Invoer gegevens'!$I$38,0)</f>
        <v>0</v>
      </c>
      <c r="BF47" s="72">
        <f ca="1">IF(E47='Invoer gegevens'!$C$17,-'Invoer gegevens'!$C$19*$BC$66,0)</f>
        <v>0</v>
      </c>
      <c r="BG47" s="72">
        <f ca="1">AV47/(1+$BG$4)^($D47-('Invoer gegevens'!$C$17-'Invoer gegevens'!$C$16))/(1+'Invoer gegevens'!$C$39)^('Invoer gegevens'!$C$17-'Invoer gegevens'!$C$16)+AW47/(1+$BG$4)^(E47-('Invoer gegevens'!$C$17-1))/(1+'Invoer gegevens'!$C$39)^('Invoer gegevens'!$C$17-'Invoer gegevens'!$C$16)+AX47/(1+'Invoer gegevens'!$C$39)^('Invoer gegevens'!$C$17-'Invoer gegevens'!$C$16)+(-AY47/(1+'Invoer gegevens'!$C$39)^D47)+BE47+BF47</f>
        <v>0</v>
      </c>
      <c r="BH47" s="59"/>
      <c r="BI47" s="215"/>
      <c r="BJ47" s="214"/>
    </row>
    <row r="48" spans="2:62" x14ac:dyDescent="0.25">
      <c r="B48" s="70">
        <f t="shared" si="6"/>
        <v>44</v>
      </c>
      <c r="C48" s="67">
        <f ca="1">IF(AND(E48&gt;='Invoer gegevens'!$C$17,E48&lt;'Invoer gegevens'!$C$17+'Invoer gegevens'!$I$14),1,0)</f>
        <v>1</v>
      </c>
      <c r="D48" s="68">
        <f t="shared" si="7"/>
        <v>43.5</v>
      </c>
      <c r="E48" s="69">
        <f ca="1">IF('Invoer gegevens'!$C$16="","",E47+1)</f>
        <v>2062</v>
      </c>
      <c r="F48" s="82">
        <f ca="1">IF('Invoer gegevens'!$C$17=E48,'Invoer gegevens'!$C$10,IF(C48=1,H47,0))</f>
        <v>0</v>
      </c>
      <c r="G48" s="83">
        <f ca="1">IF(E48='Invoer gegevens'!$C$17+'Invoer gegevens'!$I$14,H47,IF(C48&gt;=1,F48*Reeksen!C48,0))</f>
        <v>0</v>
      </c>
      <c r="H48" s="84">
        <f ca="1">IF(E48&gt;='Invoer gegevens'!$C$17+'Invoer gegevens'!$I$14,0,F48-G48)</f>
        <v>0</v>
      </c>
      <c r="I48" s="85">
        <f ca="1">IF('Invoer gegevens'!$C$17=E48,'Invoer gegevens'!$C$11,IF(C48=1,L47,0))</f>
        <v>0</v>
      </c>
      <c r="J48" s="86">
        <f ca="1">IF(E48='Invoer gegevens'!$C$17+'Invoer gegevens'!$I$14,L47,IF(C48&lt;1,0,IF(Reeksen!BG48&lt;=Reeksen!AE48,I48*Reeksen!C48,0)))</f>
        <v>0</v>
      </c>
      <c r="K48" s="86">
        <f ca="1">IF(E48='Invoer gegevens'!$C$17+'Invoer gegevens'!$I$14,L47,IF(C48&lt;1,0,IF(Reeksen!BG48&gt;Reeksen!AE48,I48*Reeksen!C48,0)))</f>
        <v>0</v>
      </c>
      <c r="L48" s="86">
        <f ca="1">IF(E48&gt;='Invoer gegevens'!$C$17+'Invoer gegevens'!$I$14,0,I48-J48-K48)</f>
        <v>0</v>
      </c>
      <c r="M48" s="85">
        <f ca="1">IF('Invoer gegevens'!$C$17=E48,'Invoer gegevens'!$C$10-'Invoer gegevens'!$C$11,IF(C48=1,P47,0))</f>
        <v>0</v>
      </c>
      <c r="N48" s="86">
        <f ca="1">IF(E48='Invoer gegevens'!$C$17+'Invoer gegevens'!$I$14,P47,IF(C48&lt;1,0,IF(Reeksen!BG48&lt;=Reeksen!AE48,M48*Reeksen!C48,0)))</f>
        <v>0</v>
      </c>
      <c r="O48" s="86">
        <f ca="1">IF(E48='Invoer gegevens'!$C$17+'Invoer gegevens'!$I$14,P47,IF(C48&lt;1,0,IF(Reeksen!BG48&gt;Reeksen!AE48,M48*Reeksen!C48,0)))</f>
        <v>0</v>
      </c>
      <c r="P48" s="86">
        <f ca="1">IF(E48&gt;='Invoer gegevens'!$C$17+'Invoer gegevens'!$I$14,0,M48-N48-O48)</f>
        <v>0</v>
      </c>
      <c r="Q48" s="82">
        <f ca="1">IF('Invoer gegevens'!$C$17=E48,I48,IF(C48=0,0,R47))</f>
        <v>0</v>
      </c>
      <c r="R48" s="84">
        <f t="shared" ca="1" si="0"/>
        <v>0</v>
      </c>
      <c r="S48" s="84">
        <f ca="1">IF('Invoer gegevens'!$C$17=E48,M48,IF(C48=0,0,T47))</f>
        <v>0</v>
      </c>
      <c r="T48" s="84">
        <f t="shared" ca="1" si="1"/>
        <v>0</v>
      </c>
      <c r="AH48" s="66"/>
      <c r="AI48" s="71">
        <f ca="1">IF(C48=1,((F48+H48)/2*Reeksen!BF48*12)+(('Invoer gegevens'!$C$10-(F48+H48)/2)*Reeksen!BG48*12),0)</f>
        <v>0</v>
      </c>
      <c r="AJ48" s="71">
        <f ca="1">-AI48*'Invoer gegevens'!$I$26</f>
        <v>0</v>
      </c>
      <c r="AK48" s="71">
        <f t="shared" ca="1" si="2"/>
        <v>0</v>
      </c>
      <c r="AL48" s="71">
        <f ca="1">IF(C48=1,(12*((F48+H48)/2)*Reeksen!AL48)+(12*('Invoer gegevens'!$C$10-(F48+H48)/2)*Reeksen!AM48),0)</f>
        <v>0</v>
      </c>
      <c r="AM48" s="71">
        <f ca="1">-AL48*'Invoer gegevens'!$F$31</f>
        <v>0</v>
      </c>
      <c r="AN48" s="71">
        <f t="shared" ca="1" si="3"/>
        <v>0</v>
      </c>
      <c r="AO48" s="71"/>
      <c r="AP48" s="71"/>
      <c r="AQ48" s="71">
        <f ca="1">-IF(C48=1,('Invoer gegevens'!$C$10*'Invoer gegevens'!$I$33)*Reeksen!J48,0)</f>
        <v>0</v>
      </c>
      <c r="AR48" s="71">
        <f ca="1">-IF(C48=1,(G48*'Invoer gegevens'!$I$34)*Reeksen!J48,0)</f>
        <v>0</v>
      </c>
      <c r="AS48" s="71">
        <f ca="1">-IF(C48=1,'Invoer gegevens'!$C$10*'Invoer gegevens'!$I$35*Reeksen!L48,0)</f>
        <v>0</v>
      </c>
      <c r="AT48" s="71">
        <f ca="1">-IF(C48=1,IF(E48='Invoer gegevens'!$C$17,'Invoer gegevens'!$C$11,Q48)*Reeksen!S48*'Invoer gegevens'!$C$18*Reeksen!P48,0)</f>
        <v>0</v>
      </c>
      <c r="AU48" s="71">
        <f ca="1">-IF(C48=1,'Invoer gegevens'!$C$10*'Invoer gegevens'!$I$36*Reeksen!H48,0)</f>
        <v>0</v>
      </c>
      <c r="AV48" s="71">
        <f t="shared" ca="1" si="4"/>
        <v>0</v>
      </c>
      <c r="AW48" s="72">
        <f ca="1">IFERROR(IF(E48='Invoer gegevens'!$C$17+'Invoer gegevens'!$I$14-1,'Invoer gegevens'!$I$13*'Invoer gegevens'!$C$10*Reeksen!H48,0),0)</f>
        <v>0</v>
      </c>
      <c r="AX48" s="72">
        <f ca="1">IFERROR(IF(E48='Invoer gegevens'!$C$17,-'Invoer gegevens'!$C$10*'Invoer gegevens'!$C$31*Reeksen!H48,0),0)</f>
        <v>0</v>
      </c>
      <c r="AY48" s="73">
        <f ca="1">IF('Invoer gegevens'!$C$34=E48,'Invoer gegevens'!$C$27*'Invoer gegevens'!$C$10*'Invoer gegevens'!$C$36*(IF('Invoer gegevens'!$C$35="ja",1,Reeksen!J48)),IF('Invoer gegevens'!$C$34+1=E48,'Invoer gegevens'!$C$27*'Invoer gegevens'!$C$10*'Invoer gegevens'!$C$37*(IF('Invoer gegevens'!$C$35="ja",1,Reeksen!J48)),0))+IF(AND(E48='Invoer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8" s="73">
        <f ca="1">AV48/(1+'Invoer gegevens'!$I$12)^($D48-('Invoer gegevens'!$C$17-'Invoer gegevens'!$C$16))/(1+'Invoer gegevens'!$C$39)^('Invoer gegevens'!$C$17-'Invoer gegevens'!$C$16)</f>
        <v>0</v>
      </c>
      <c r="BA48" s="73">
        <f ca="1">AW48/(1+'Invoer gegevens'!$I$12)^(E48-('Invoer gegevens'!$C$17-1))/(1+'Invoer gegevens'!$C$39)^('Invoer gegevens'!$C$17-'Invoer gegevens'!$C$16)</f>
        <v>0</v>
      </c>
      <c r="BB48" s="73">
        <f ca="1">AX48/(1+'Invoer gegevens'!$C$39)^('Invoer gegevens'!$C$17-'Invoer gegevens'!$C$16)</f>
        <v>0</v>
      </c>
      <c r="BC48" s="72">
        <f t="shared" ca="1" si="5"/>
        <v>0</v>
      </c>
      <c r="BD48" s="72">
        <f ca="1">IF(AND(E48='Invoer gegevens'!$C$16,'Invoer gegevens'!$C$34&lt;'Invoer gegevens'!$C$16),AY48,AY48/(1+'Invoer gegevens'!$C$39)^D48)</f>
        <v>0</v>
      </c>
      <c r="BE48" s="72">
        <f ca="1">IF(E48='Invoer gegevens'!$C$34,-'Invoer gegevens'!$I$38,0)</f>
        <v>0</v>
      </c>
      <c r="BF48" s="72">
        <f ca="1">IF(E48='Invoer gegevens'!$C$17,-'Invoer gegevens'!$C$19*$BC$66,0)</f>
        <v>0</v>
      </c>
      <c r="BG48" s="72">
        <f ca="1">AV48/(1+$BG$4)^($D48-('Invoer gegevens'!$C$17-'Invoer gegevens'!$C$16))/(1+'Invoer gegevens'!$C$39)^('Invoer gegevens'!$C$17-'Invoer gegevens'!$C$16)+AW48/(1+$BG$4)^(E48-('Invoer gegevens'!$C$17-1))/(1+'Invoer gegevens'!$C$39)^('Invoer gegevens'!$C$17-'Invoer gegevens'!$C$16)+AX48/(1+'Invoer gegevens'!$C$39)^('Invoer gegevens'!$C$17-'Invoer gegevens'!$C$16)+(-AY48/(1+'Invoer gegevens'!$C$39)^D48)+BE48+BF48</f>
        <v>0</v>
      </c>
      <c r="BH48" s="59"/>
      <c r="BI48" s="215"/>
      <c r="BJ48" s="214"/>
    </row>
    <row r="49" spans="1:62" x14ac:dyDescent="0.25">
      <c r="B49" s="70">
        <f t="shared" si="6"/>
        <v>45</v>
      </c>
      <c r="C49" s="67">
        <f ca="1">IF(AND(E49&gt;='Invoer gegevens'!$C$17,E49&lt;'Invoer gegevens'!$C$17+'Invoer gegevens'!$I$14),1,0)</f>
        <v>1</v>
      </c>
      <c r="D49" s="68">
        <f t="shared" si="7"/>
        <v>44.5</v>
      </c>
      <c r="E49" s="69">
        <f ca="1">IF('Invoer gegevens'!$C$16="","",E48+1)</f>
        <v>2063</v>
      </c>
      <c r="F49" s="82">
        <f ca="1">IF('Invoer gegevens'!$C$17=E49,'Invoer gegevens'!$C$10,IF(C49=1,H48,0))</f>
        <v>0</v>
      </c>
      <c r="G49" s="83">
        <f ca="1">IF(E49='Invoer gegevens'!$C$17+'Invoer gegevens'!$I$14,H48,IF(C49&gt;=1,F49*Reeksen!C49,0))</f>
        <v>0</v>
      </c>
      <c r="H49" s="84">
        <f ca="1">IF(E49&gt;='Invoer gegevens'!$C$17+'Invoer gegevens'!$I$14,0,F49-G49)</f>
        <v>0</v>
      </c>
      <c r="I49" s="85">
        <f ca="1">IF('Invoer gegevens'!$C$17=E49,'Invoer gegevens'!$C$11,IF(C49=1,L48,0))</f>
        <v>0</v>
      </c>
      <c r="J49" s="86">
        <f ca="1">IF(E49='Invoer gegevens'!$C$17+'Invoer gegevens'!$I$14,L48,IF(C49&lt;1,0,IF(Reeksen!BG49&lt;=Reeksen!AE49,I49*Reeksen!C49,0)))</f>
        <v>0</v>
      </c>
      <c r="K49" s="86">
        <f ca="1">IF(E49='Invoer gegevens'!$C$17+'Invoer gegevens'!$I$14,L48,IF(C49&lt;1,0,IF(Reeksen!BG49&gt;Reeksen!AE49,I49*Reeksen!C49,0)))</f>
        <v>0</v>
      </c>
      <c r="L49" s="86">
        <f ca="1">IF(E49&gt;='Invoer gegevens'!$C$17+'Invoer gegevens'!$I$14,0,I49-J49-K49)</f>
        <v>0</v>
      </c>
      <c r="M49" s="85">
        <f ca="1">IF('Invoer gegevens'!$C$17=E49,'Invoer gegevens'!$C$10-'Invoer gegevens'!$C$11,IF(C49=1,P48,0))</f>
        <v>0</v>
      </c>
      <c r="N49" s="86">
        <f ca="1">IF(E49='Invoer gegevens'!$C$17+'Invoer gegevens'!$I$14,P48,IF(C49&lt;1,0,IF(Reeksen!BG49&lt;=Reeksen!AE49,M49*Reeksen!C49,0)))</f>
        <v>0</v>
      </c>
      <c r="O49" s="86">
        <f ca="1">IF(E49='Invoer gegevens'!$C$17+'Invoer gegevens'!$I$14,P48,IF(C49&lt;1,0,IF(Reeksen!BG49&gt;Reeksen!AE49,M49*Reeksen!C49,0)))</f>
        <v>0</v>
      </c>
      <c r="P49" s="86">
        <f ca="1">IF(E49&gt;='Invoer gegevens'!$C$17+'Invoer gegevens'!$I$14,0,M49-N49-O49)</f>
        <v>0</v>
      </c>
      <c r="Q49" s="82">
        <f ca="1">IF('Invoer gegevens'!$C$17=E49,I49,IF(C49=0,0,R48))</f>
        <v>0</v>
      </c>
      <c r="R49" s="84">
        <f t="shared" ca="1" si="0"/>
        <v>0</v>
      </c>
      <c r="S49" s="84">
        <f ca="1">IF('Invoer gegevens'!$C$17=E49,M49,IF(C49=0,0,T48))</f>
        <v>0</v>
      </c>
      <c r="T49" s="84">
        <f t="shared" ca="1" si="1"/>
        <v>0</v>
      </c>
      <c r="AH49" s="66"/>
      <c r="AI49" s="71">
        <f ca="1">IF(C49=1,((F49+H49)/2*Reeksen!BF49*12)+(('Invoer gegevens'!$C$10-(F49+H49)/2)*Reeksen!BG49*12),0)</f>
        <v>0</v>
      </c>
      <c r="AJ49" s="71">
        <f ca="1">-AI49*'Invoer gegevens'!$I$26</f>
        <v>0</v>
      </c>
      <c r="AK49" s="71">
        <f t="shared" ca="1" si="2"/>
        <v>0</v>
      </c>
      <c r="AL49" s="71">
        <f ca="1">IF(C49=1,(12*((F49+H49)/2)*Reeksen!AL49)+(12*('Invoer gegevens'!$C$10-(F49+H49)/2)*Reeksen!AM49),0)</f>
        <v>0</v>
      </c>
      <c r="AM49" s="71">
        <f ca="1">-AL49*'Invoer gegevens'!$F$31</f>
        <v>0</v>
      </c>
      <c r="AN49" s="71">
        <f t="shared" ca="1" si="3"/>
        <v>0</v>
      </c>
      <c r="AO49" s="71"/>
      <c r="AP49" s="71"/>
      <c r="AQ49" s="71">
        <f ca="1">-IF(C49=1,('Invoer gegevens'!$C$10*'Invoer gegevens'!$I$33)*Reeksen!J49,0)</f>
        <v>0</v>
      </c>
      <c r="AR49" s="71">
        <f ca="1">-IF(C49=1,(G49*'Invoer gegevens'!$I$34)*Reeksen!J49,0)</f>
        <v>0</v>
      </c>
      <c r="AS49" s="71">
        <f ca="1">-IF(C49=1,'Invoer gegevens'!$C$10*'Invoer gegevens'!$I$35*Reeksen!L49,0)</f>
        <v>0</v>
      </c>
      <c r="AT49" s="71">
        <f ca="1">-IF(C49=1,IF(E49='Invoer gegevens'!$C$17,'Invoer gegevens'!$C$11,Q49)*Reeksen!S49*'Invoer gegevens'!$C$18*Reeksen!P49,0)</f>
        <v>0</v>
      </c>
      <c r="AU49" s="71">
        <f ca="1">-IF(C49=1,'Invoer gegevens'!$C$10*'Invoer gegevens'!$I$36*Reeksen!H49,0)</f>
        <v>0</v>
      </c>
      <c r="AV49" s="71">
        <f t="shared" ca="1" si="4"/>
        <v>0</v>
      </c>
      <c r="AW49" s="72">
        <f ca="1">IFERROR(IF(E49='Invoer gegevens'!$C$17+'Invoer gegevens'!$I$14-1,'Invoer gegevens'!$I$13*'Invoer gegevens'!$C$10*Reeksen!H49,0),0)</f>
        <v>0</v>
      </c>
      <c r="AX49" s="72">
        <f ca="1">IFERROR(IF(E49='Invoer gegevens'!$C$17,-'Invoer gegevens'!$C$10*'Invoer gegevens'!$C$31*Reeksen!H49,0),0)</f>
        <v>0</v>
      </c>
      <c r="AY49" s="73">
        <f ca="1">IF('Invoer gegevens'!$C$34=E49,'Invoer gegevens'!$C$27*'Invoer gegevens'!$C$10*'Invoer gegevens'!$C$36*(IF('Invoer gegevens'!$C$35="ja",1,Reeksen!J49)),IF('Invoer gegevens'!$C$34+1=E49,'Invoer gegevens'!$C$27*'Invoer gegevens'!$C$10*'Invoer gegevens'!$C$37*(IF('Invoer gegevens'!$C$35="ja",1,Reeksen!J49)),0))+IF(AND(E49='Invoer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49" s="73">
        <f ca="1">AV49/(1+'Invoer gegevens'!$I$12)^($D49-('Invoer gegevens'!$C$17-'Invoer gegevens'!$C$16))/(1+'Invoer gegevens'!$C$39)^('Invoer gegevens'!$C$17-'Invoer gegevens'!$C$16)</f>
        <v>0</v>
      </c>
      <c r="BA49" s="73">
        <f ca="1">AW49/(1+'Invoer gegevens'!$I$12)^(E49-('Invoer gegevens'!$C$17-1))/(1+'Invoer gegevens'!$C$39)^('Invoer gegevens'!$C$17-'Invoer gegevens'!$C$16)</f>
        <v>0</v>
      </c>
      <c r="BB49" s="73">
        <f ca="1">AX49/(1+'Invoer gegevens'!$C$39)^('Invoer gegevens'!$C$17-'Invoer gegevens'!$C$16)</f>
        <v>0</v>
      </c>
      <c r="BC49" s="72">
        <f t="shared" ca="1" si="5"/>
        <v>0</v>
      </c>
      <c r="BD49" s="72">
        <f ca="1">IF(AND(E49='Invoer gegevens'!$C$16,'Invoer gegevens'!$C$34&lt;'Invoer gegevens'!$C$16),AY49,AY49/(1+'Invoer gegevens'!$C$39)^D49)</f>
        <v>0</v>
      </c>
      <c r="BE49" s="72">
        <f ca="1">IF(E49='Invoer gegevens'!$C$34,-'Invoer gegevens'!$I$38,0)</f>
        <v>0</v>
      </c>
      <c r="BF49" s="72">
        <f ca="1">IF(E49='Invoer gegevens'!$C$17,-'Invoer gegevens'!$C$19*$BC$66,0)</f>
        <v>0</v>
      </c>
      <c r="BG49" s="72">
        <f ca="1">AV49/(1+$BG$4)^($D49-('Invoer gegevens'!$C$17-'Invoer gegevens'!$C$16))/(1+'Invoer gegevens'!$C$39)^('Invoer gegevens'!$C$17-'Invoer gegevens'!$C$16)+AW49/(1+$BG$4)^(E49-('Invoer gegevens'!$C$17-1))/(1+'Invoer gegevens'!$C$39)^('Invoer gegevens'!$C$17-'Invoer gegevens'!$C$16)+AX49/(1+'Invoer gegevens'!$C$39)^('Invoer gegevens'!$C$17-'Invoer gegevens'!$C$16)+(-AY49/(1+'Invoer gegevens'!$C$39)^D49)+BE49+BF49</f>
        <v>0</v>
      </c>
      <c r="BH49" s="59"/>
      <c r="BI49" s="215"/>
      <c r="BJ49" s="214"/>
    </row>
    <row r="50" spans="1:62" x14ac:dyDescent="0.25">
      <c r="B50" s="70">
        <f t="shared" si="6"/>
        <v>46</v>
      </c>
      <c r="C50" s="67">
        <f ca="1">IF(AND(E50&gt;='Invoer gegevens'!$C$17,E50&lt;'Invoer gegevens'!$C$17+'Invoer gegevens'!$I$14),1,0)</f>
        <v>1</v>
      </c>
      <c r="D50" s="68">
        <f t="shared" si="7"/>
        <v>45.5</v>
      </c>
      <c r="E50" s="69">
        <f ca="1">IF('Invoer gegevens'!$C$16="","",E49+1)</f>
        <v>2064</v>
      </c>
      <c r="F50" s="82">
        <f ca="1">IF('Invoer gegevens'!$C$17=E50,'Invoer gegevens'!$C$10,IF(C50=1,H49,0))</f>
        <v>0</v>
      </c>
      <c r="G50" s="83">
        <f ca="1">IF(E50='Invoer gegevens'!$C$17+'Invoer gegevens'!$I$14,H49,IF(C50&gt;=1,F50*Reeksen!C50,0))</f>
        <v>0</v>
      </c>
      <c r="H50" s="84">
        <f ca="1">IF(E50&gt;='Invoer gegevens'!$C$17+'Invoer gegevens'!$I$14,0,F50-G50)</f>
        <v>0</v>
      </c>
      <c r="I50" s="85">
        <f ca="1">IF('Invoer gegevens'!$C$17=E50,'Invoer gegevens'!$C$11,IF(C50=1,L49,0))</f>
        <v>0</v>
      </c>
      <c r="J50" s="86">
        <f ca="1">IF(E50='Invoer gegevens'!$C$17+'Invoer gegevens'!$I$14,L49,IF(C50&lt;1,0,IF(Reeksen!BG50&lt;=Reeksen!AE50,I50*Reeksen!C50,0)))</f>
        <v>0</v>
      </c>
      <c r="K50" s="86">
        <f ca="1">IF(E50='Invoer gegevens'!$C$17+'Invoer gegevens'!$I$14,L49,IF(C50&lt;1,0,IF(Reeksen!BG50&gt;Reeksen!AE50,I50*Reeksen!C50,0)))</f>
        <v>0</v>
      </c>
      <c r="L50" s="86">
        <f ca="1">IF(E50&gt;='Invoer gegevens'!$C$17+'Invoer gegevens'!$I$14,0,I50-J50-K50)</f>
        <v>0</v>
      </c>
      <c r="M50" s="85">
        <f ca="1">IF('Invoer gegevens'!$C$17=E50,'Invoer gegevens'!$C$10-'Invoer gegevens'!$C$11,IF(C50=1,P49,0))</f>
        <v>0</v>
      </c>
      <c r="N50" s="86">
        <f ca="1">IF(E50='Invoer gegevens'!$C$17+'Invoer gegevens'!$I$14,P49,IF(C50&lt;1,0,IF(Reeksen!BG50&lt;=Reeksen!AE50,M50*Reeksen!C50,0)))</f>
        <v>0</v>
      </c>
      <c r="O50" s="86">
        <f ca="1">IF(E50='Invoer gegevens'!$C$17+'Invoer gegevens'!$I$14,P49,IF(C50&lt;1,0,IF(Reeksen!BG50&gt;Reeksen!AE50,M50*Reeksen!C50,0)))</f>
        <v>0</v>
      </c>
      <c r="P50" s="86">
        <f ca="1">IF(E50&gt;='Invoer gegevens'!$C$17+'Invoer gegevens'!$I$14,0,M50-N50-O50)</f>
        <v>0</v>
      </c>
      <c r="Q50" s="82">
        <f ca="1">IF('Invoer gegevens'!$C$17=E50,I50,IF(C50=0,0,R49))</f>
        <v>0</v>
      </c>
      <c r="R50" s="84">
        <f t="shared" ca="1" si="0"/>
        <v>0</v>
      </c>
      <c r="S50" s="84">
        <f ca="1">IF('Invoer gegevens'!$C$17=E50,M50,IF(C50=0,0,T49))</f>
        <v>0</v>
      </c>
      <c r="T50" s="84">
        <f t="shared" ca="1" si="1"/>
        <v>0</v>
      </c>
      <c r="AH50" s="66"/>
      <c r="AI50" s="71">
        <f ca="1">IF(C50=1,((F50+H50)/2*Reeksen!BF50*12)+(('Invoer gegevens'!$C$10-(F50+H50)/2)*Reeksen!BG50*12),0)</f>
        <v>0</v>
      </c>
      <c r="AJ50" s="71">
        <f ca="1">-AI50*'Invoer gegevens'!$I$26</f>
        <v>0</v>
      </c>
      <c r="AK50" s="71">
        <f t="shared" ca="1" si="2"/>
        <v>0</v>
      </c>
      <c r="AL50" s="71">
        <f ca="1">IF(C50=1,(12*((F50+H50)/2)*Reeksen!AL50)+(12*('Invoer gegevens'!$C$10-(F50+H50)/2)*Reeksen!AM50),0)</f>
        <v>0</v>
      </c>
      <c r="AM50" s="71">
        <f ca="1">-AL50*'Invoer gegevens'!$F$31</f>
        <v>0</v>
      </c>
      <c r="AN50" s="71">
        <f t="shared" ca="1" si="3"/>
        <v>0</v>
      </c>
      <c r="AO50" s="71"/>
      <c r="AP50" s="71"/>
      <c r="AQ50" s="71">
        <f ca="1">-IF(C50=1,('Invoer gegevens'!$C$10*'Invoer gegevens'!$I$33)*Reeksen!J50,0)</f>
        <v>0</v>
      </c>
      <c r="AR50" s="71">
        <f ca="1">-IF(C50=1,(G50*'Invoer gegevens'!$I$34)*Reeksen!J50,0)</f>
        <v>0</v>
      </c>
      <c r="AS50" s="71">
        <f ca="1">-IF(C50=1,'Invoer gegevens'!$C$10*'Invoer gegevens'!$I$35*Reeksen!L50,0)</f>
        <v>0</v>
      </c>
      <c r="AT50" s="71">
        <f ca="1">-IF(C50=1,IF(E50='Invoer gegevens'!$C$17,'Invoer gegevens'!$C$11,Q50)*Reeksen!S50*'Invoer gegevens'!$C$18*Reeksen!P50,0)</f>
        <v>0</v>
      </c>
      <c r="AU50" s="71">
        <f ca="1">-IF(C50=1,'Invoer gegevens'!$C$10*'Invoer gegevens'!$I$36*Reeksen!H50,0)</f>
        <v>0</v>
      </c>
      <c r="AV50" s="71">
        <f t="shared" ca="1" si="4"/>
        <v>0</v>
      </c>
      <c r="AW50" s="72">
        <f ca="1">IFERROR(IF(E50='Invoer gegevens'!$C$17+'Invoer gegevens'!$I$14-1,'Invoer gegevens'!$I$13*'Invoer gegevens'!$C$10*Reeksen!H50,0),0)</f>
        <v>0</v>
      </c>
      <c r="AX50" s="72">
        <f ca="1">IFERROR(IF(E50='Invoer gegevens'!$C$17,-'Invoer gegevens'!$C$10*'Invoer gegevens'!$C$31*Reeksen!H50,0),0)</f>
        <v>0</v>
      </c>
      <c r="AY50" s="73">
        <f ca="1">IF('Invoer gegevens'!$C$34=E50,'Invoer gegevens'!$C$27*'Invoer gegevens'!$C$10*'Invoer gegevens'!$C$36*(IF('Invoer gegevens'!$C$35="ja",1,Reeksen!J50)),IF('Invoer gegevens'!$C$34+1=E50,'Invoer gegevens'!$C$27*'Invoer gegevens'!$C$10*'Invoer gegevens'!$C$37*(IF('Invoer gegevens'!$C$35="ja",1,Reeksen!J50)),0))+IF(AND(E50='Invoer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0" s="73">
        <f ca="1">AV50/(1+'Invoer gegevens'!$I$12)^($D50-('Invoer gegevens'!$C$17-'Invoer gegevens'!$C$16))/(1+'Invoer gegevens'!$C$39)^('Invoer gegevens'!$C$17-'Invoer gegevens'!$C$16)</f>
        <v>0</v>
      </c>
      <c r="BA50" s="73">
        <f ca="1">AW50/(1+'Invoer gegevens'!$I$12)^(E50-('Invoer gegevens'!$C$17-1))/(1+'Invoer gegevens'!$C$39)^('Invoer gegevens'!$C$17-'Invoer gegevens'!$C$16)</f>
        <v>0</v>
      </c>
      <c r="BB50" s="73">
        <f ca="1">AX50/(1+'Invoer gegevens'!$C$39)^('Invoer gegevens'!$C$17-'Invoer gegevens'!$C$16)</f>
        <v>0</v>
      </c>
      <c r="BC50" s="72">
        <f t="shared" ca="1" si="5"/>
        <v>0</v>
      </c>
      <c r="BD50" s="72">
        <f ca="1">IF(AND(E50='Invoer gegevens'!$C$16,'Invoer gegevens'!$C$34&lt;'Invoer gegevens'!$C$16),AY50,AY50/(1+'Invoer gegevens'!$C$39)^D50)</f>
        <v>0</v>
      </c>
      <c r="BE50" s="72">
        <f ca="1">IF(E50='Invoer gegevens'!$C$34,-'Invoer gegevens'!$I$38,0)</f>
        <v>0</v>
      </c>
      <c r="BF50" s="72">
        <f ca="1">IF(E50='Invoer gegevens'!$C$17,-'Invoer gegevens'!$C$19*$BC$66,0)</f>
        <v>0</v>
      </c>
      <c r="BG50" s="72">
        <f ca="1">AV50/(1+$BG$4)^($D50-('Invoer gegevens'!$C$17-'Invoer gegevens'!$C$16))/(1+'Invoer gegevens'!$C$39)^('Invoer gegevens'!$C$17-'Invoer gegevens'!$C$16)+AW50/(1+$BG$4)^(E50-('Invoer gegevens'!$C$17-1))/(1+'Invoer gegevens'!$C$39)^('Invoer gegevens'!$C$17-'Invoer gegevens'!$C$16)+AX50/(1+'Invoer gegevens'!$C$39)^('Invoer gegevens'!$C$17-'Invoer gegevens'!$C$16)+(-AY50/(1+'Invoer gegevens'!$C$39)^D50)+BE50+BF50</f>
        <v>0</v>
      </c>
      <c r="BH50" s="59"/>
      <c r="BI50" s="215"/>
      <c r="BJ50" s="214"/>
    </row>
    <row r="51" spans="1:62" x14ac:dyDescent="0.25">
      <c r="B51" s="70">
        <f t="shared" si="6"/>
        <v>47</v>
      </c>
      <c r="C51" s="67">
        <f ca="1">IF(AND(E51&gt;='Invoer gegevens'!$C$17,E51&lt;'Invoer gegevens'!$C$17+'Invoer gegevens'!$I$14),1,0)</f>
        <v>1</v>
      </c>
      <c r="D51" s="68">
        <f t="shared" si="7"/>
        <v>46.5</v>
      </c>
      <c r="E51" s="69">
        <f ca="1">IF('Invoer gegevens'!$C$16="","",E50+1)</f>
        <v>2065</v>
      </c>
      <c r="F51" s="82">
        <f ca="1">IF('Invoer gegevens'!$C$17=E51,'Invoer gegevens'!$C$10,IF(C51=1,H50,0))</f>
        <v>0</v>
      </c>
      <c r="G51" s="83">
        <f ca="1">IF(E51='Invoer gegevens'!$C$17+'Invoer gegevens'!$I$14,H50,IF(C51&gt;=1,F51*Reeksen!C51,0))</f>
        <v>0</v>
      </c>
      <c r="H51" s="84">
        <f ca="1">IF(E51&gt;='Invoer gegevens'!$C$17+'Invoer gegevens'!$I$14,0,F51-G51)</f>
        <v>0</v>
      </c>
      <c r="I51" s="85">
        <f ca="1">IF('Invoer gegevens'!$C$17=E51,'Invoer gegevens'!$C$11,IF(C51=1,L50,0))</f>
        <v>0</v>
      </c>
      <c r="J51" s="86">
        <f ca="1">IF(E51='Invoer gegevens'!$C$17+'Invoer gegevens'!$I$14,L50,IF(C51&lt;1,0,IF(Reeksen!BG51&lt;=Reeksen!AE51,I51*Reeksen!C51,0)))</f>
        <v>0</v>
      </c>
      <c r="K51" s="86">
        <f ca="1">IF(E51='Invoer gegevens'!$C$17+'Invoer gegevens'!$I$14,L50,IF(C51&lt;1,0,IF(Reeksen!BG51&gt;Reeksen!AE51,I51*Reeksen!C51,0)))</f>
        <v>0</v>
      </c>
      <c r="L51" s="86">
        <f ca="1">IF(E51&gt;='Invoer gegevens'!$C$17+'Invoer gegevens'!$I$14,0,I51-J51-K51)</f>
        <v>0</v>
      </c>
      <c r="M51" s="85">
        <f ca="1">IF('Invoer gegevens'!$C$17=E51,'Invoer gegevens'!$C$10-'Invoer gegevens'!$C$11,IF(C51=1,P50,0))</f>
        <v>0</v>
      </c>
      <c r="N51" s="86">
        <f ca="1">IF(E51='Invoer gegevens'!$C$17+'Invoer gegevens'!$I$14,P50,IF(C51&lt;1,0,IF(Reeksen!BG51&lt;=Reeksen!AE51,M51*Reeksen!C51,0)))</f>
        <v>0</v>
      </c>
      <c r="O51" s="86">
        <f ca="1">IF(E51='Invoer gegevens'!$C$17+'Invoer gegevens'!$I$14,P50,IF(C51&lt;1,0,IF(Reeksen!BG51&gt;Reeksen!AE51,M51*Reeksen!C51,0)))</f>
        <v>0</v>
      </c>
      <c r="P51" s="86">
        <f ca="1">IF(E51&gt;='Invoer gegevens'!$C$17+'Invoer gegevens'!$I$14,0,M51-N51-O51)</f>
        <v>0</v>
      </c>
      <c r="Q51" s="82">
        <f ca="1">IF('Invoer gegevens'!$C$17=E51,I51,IF(C51=0,0,R50))</f>
        <v>0</v>
      </c>
      <c r="R51" s="84">
        <f t="shared" ca="1" si="0"/>
        <v>0</v>
      </c>
      <c r="S51" s="84">
        <f ca="1">IF('Invoer gegevens'!$C$17=E51,M51,IF(C51=0,0,T50))</f>
        <v>0</v>
      </c>
      <c r="T51" s="84">
        <f t="shared" ca="1" si="1"/>
        <v>0</v>
      </c>
      <c r="AH51" s="66"/>
      <c r="AI51" s="71">
        <f ca="1">IF(C51=1,((F51+H51)/2*Reeksen!BF51*12)+(('Invoer gegevens'!$C$10-(F51+H51)/2)*Reeksen!BG51*12),0)</f>
        <v>0</v>
      </c>
      <c r="AJ51" s="71">
        <f ca="1">-AI51*'Invoer gegevens'!$I$26</f>
        <v>0</v>
      </c>
      <c r="AK51" s="71">
        <f t="shared" ca="1" si="2"/>
        <v>0</v>
      </c>
      <c r="AL51" s="71">
        <f ca="1">IF(C51=1,(12*((F51+H51)/2)*Reeksen!AL51)+(12*('Invoer gegevens'!$C$10-(F51+H51)/2)*Reeksen!AM51),0)</f>
        <v>0</v>
      </c>
      <c r="AM51" s="71">
        <f ca="1">-AL51*'Invoer gegevens'!$F$31</f>
        <v>0</v>
      </c>
      <c r="AN51" s="71">
        <f t="shared" ca="1" si="3"/>
        <v>0</v>
      </c>
      <c r="AO51" s="71"/>
      <c r="AP51" s="71"/>
      <c r="AQ51" s="71">
        <f ca="1">-IF(C51=1,('Invoer gegevens'!$C$10*'Invoer gegevens'!$I$33)*Reeksen!J51,0)</f>
        <v>0</v>
      </c>
      <c r="AR51" s="71">
        <f ca="1">-IF(C51=1,(G51*'Invoer gegevens'!$I$34)*Reeksen!J51,0)</f>
        <v>0</v>
      </c>
      <c r="AS51" s="71">
        <f ca="1">-IF(C51=1,'Invoer gegevens'!$C$10*'Invoer gegevens'!$I$35*Reeksen!L51,0)</f>
        <v>0</v>
      </c>
      <c r="AT51" s="71">
        <f ca="1">-IF(C51=1,IF(E51='Invoer gegevens'!$C$17,'Invoer gegevens'!$C$11,Q51)*Reeksen!S51*'Invoer gegevens'!$C$18*Reeksen!P51,0)</f>
        <v>0</v>
      </c>
      <c r="AU51" s="71">
        <f ca="1">-IF(C51=1,'Invoer gegevens'!$C$10*'Invoer gegevens'!$I$36*Reeksen!H51,0)</f>
        <v>0</v>
      </c>
      <c r="AV51" s="71">
        <f t="shared" ca="1" si="4"/>
        <v>0</v>
      </c>
      <c r="AW51" s="72">
        <f ca="1">IFERROR(IF(E51='Invoer gegevens'!$C$17+'Invoer gegevens'!$I$14-1,'Invoer gegevens'!$I$13*'Invoer gegevens'!$C$10*Reeksen!H51,0),0)</f>
        <v>0</v>
      </c>
      <c r="AX51" s="72">
        <f ca="1">IFERROR(IF(E51='Invoer gegevens'!$C$17,-'Invoer gegevens'!$C$10*'Invoer gegevens'!$C$31*Reeksen!H51,0),0)</f>
        <v>0</v>
      </c>
      <c r="AY51" s="73">
        <f ca="1">IF('Invoer gegevens'!$C$34=E51,'Invoer gegevens'!$C$27*'Invoer gegevens'!$C$10*'Invoer gegevens'!$C$36*(IF('Invoer gegevens'!$C$35="ja",1,Reeksen!J51)),IF('Invoer gegevens'!$C$34+1=E51,'Invoer gegevens'!$C$27*'Invoer gegevens'!$C$10*'Invoer gegevens'!$C$37*(IF('Invoer gegevens'!$C$35="ja",1,Reeksen!J51)),0))+IF(AND(E51='Invoer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1" s="73">
        <f ca="1">AV51/(1+'Invoer gegevens'!$I$12)^($D51-('Invoer gegevens'!$C$17-'Invoer gegevens'!$C$16))/(1+'Invoer gegevens'!$C$39)^('Invoer gegevens'!$C$17-'Invoer gegevens'!$C$16)</f>
        <v>0</v>
      </c>
      <c r="BA51" s="73">
        <f ca="1">AW51/(1+'Invoer gegevens'!$I$12)^(E51-('Invoer gegevens'!$C$17-1))/(1+'Invoer gegevens'!$C$39)^('Invoer gegevens'!$C$17-'Invoer gegevens'!$C$16)</f>
        <v>0</v>
      </c>
      <c r="BB51" s="73">
        <f ca="1">AX51/(1+'Invoer gegevens'!$C$39)^('Invoer gegevens'!$C$17-'Invoer gegevens'!$C$16)</f>
        <v>0</v>
      </c>
      <c r="BC51" s="72">
        <f t="shared" ca="1" si="5"/>
        <v>0</v>
      </c>
      <c r="BD51" s="72">
        <f ca="1">IF(AND(E51='Invoer gegevens'!$C$16,'Invoer gegevens'!$C$34&lt;'Invoer gegevens'!$C$16),AY51,AY51/(1+'Invoer gegevens'!$C$39)^D51)</f>
        <v>0</v>
      </c>
      <c r="BE51" s="72">
        <f ca="1">IF(E51='Invoer gegevens'!$C$34,-'Invoer gegevens'!$I$38,0)</f>
        <v>0</v>
      </c>
      <c r="BF51" s="72">
        <f ca="1">IF(E51='Invoer gegevens'!$C$17,-'Invoer gegevens'!$C$19*$BC$66,0)</f>
        <v>0</v>
      </c>
      <c r="BG51" s="72">
        <f ca="1">AV51/(1+$BG$4)^($D51-('Invoer gegevens'!$C$17-'Invoer gegevens'!$C$16))/(1+'Invoer gegevens'!$C$39)^('Invoer gegevens'!$C$17-'Invoer gegevens'!$C$16)+AW51/(1+$BG$4)^(E51-('Invoer gegevens'!$C$17-1))/(1+'Invoer gegevens'!$C$39)^('Invoer gegevens'!$C$17-'Invoer gegevens'!$C$16)+AX51/(1+'Invoer gegevens'!$C$39)^('Invoer gegevens'!$C$17-'Invoer gegevens'!$C$16)+(-AY51/(1+'Invoer gegevens'!$C$39)^D51)+BE51+BF51</f>
        <v>0</v>
      </c>
      <c r="BH51" s="59"/>
      <c r="BI51" s="215"/>
      <c r="BJ51" s="214"/>
    </row>
    <row r="52" spans="1:62" x14ac:dyDescent="0.25">
      <c r="B52" s="70">
        <f t="shared" si="6"/>
        <v>48</v>
      </c>
      <c r="C52" s="67">
        <f ca="1">IF(AND(E52&gt;='Invoer gegevens'!$C$17,E52&lt;'Invoer gegevens'!$C$17+'Invoer gegevens'!$I$14),1,0)</f>
        <v>1</v>
      </c>
      <c r="D52" s="68">
        <f t="shared" si="7"/>
        <v>47.5</v>
      </c>
      <c r="E52" s="69">
        <f ca="1">IF('Invoer gegevens'!$C$16="","",E51+1)</f>
        <v>2066</v>
      </c>
      <c r="F52" s="82">
        <f ca="1">IF('Invoer gegevens'!$C$17=E52,'Invoer gegevens'!$C$10,IF(C52=1,H51,0))</f>
        <v>0</v>
      </c>
      <c r="G52" s="83">
        <f ca="1">IF(E52='Invoer gegevens'!$C$17+'Invoer gegevens'!$I$14,H51,IF(C52&gt;=1,F52*Reeksen!C52,0))</f>
        <v>0</v>
      </c>
      <c r="H52" s="84">
        <f ca="1">IF(E52&gt;='Invoer gegevens'!$C$17+'Invoer gegevens'!$I$14,0,F52-G52)</f>
        <v>0</v>
      </c>
      <c r="I52" s="85">
        <f ca="1">IF('Invoer gegevens'!$C$17=E52,'Invoer gegevens'!$C$11,IF(C52=1,L51,0))</f>
        <v>0</v>
      </c>
      <c r="J52" s="86">
        <f ca="1">IF(E52='Invoer gegevens'!$C$17+'Invoer gegevens'!$I$14,L51,IF(C52&lt;1,0,IF(Reeksen!BG52&lt;=Reeksen!AE52,I52*Reeksen!C52,0)))</f>
        <v>0</v>
      </c>
      <c r="K52" s="86">
        <f ca="1">IF(E52='Invoer gegevens'!$C$17+'Invoer gegevens'!$I$14,L51,IF(C52&lt;1,0,IF(Reeksen!BG52&gt;Reeksen!AE52,I52*Reeksen!C52,0)))</f>
        <v>0</v>
      </c>
      <c r="L52" s="86">
        <f ca="1">IF(E52&gt;='Invoer gegevens'!$C$17+'Invoer gegevens'!$I$14,0,I52-J52-K52)</f>
        <v>0</v>
      </c>
      <c r="M52" s="85">
        <f ca="1">IF('Invoer gegevens'!$C$17=E52,'Invoer gegevens'!$C$10-'Invoer gegevens'!$C$11,IF(C52=1,P51,0))</f>
        <v>0</v>
      </c>
      <c r="N52" s="86">
        <f ca="1">IF(E52='Invoer gegevens'!$C$17+'Invoer gegevens'!$I$14,P51,IF(C52&lt;1,0,IF(Reeksen!BG52&lt;=Reeksen!AE52,M52*Reeksen!C52,0)))</f>
        <v>0</v>
      </c>
      <c r="O52" s="86">
        <f ca="1">IF(E52='Invoer gegevens'!$C$17+'Invoer gegevens'!$I$14,P51,IF(C52&lt;1,0,IF(Reeksen!BG52&gt;Reeksen!AE52,M52*Reeksen!C52,0)))</f>
        <v>0</v>
      </c>
      <c r="P52" s="86">
        <f ca="1">IF(E52&gt;='Invoer gegevens'!$C$17+'Invoer gegevens'!$I$14,0,M52-N52-O52)</f>
        <v>0</v>
      </c>
      <c r="Q52" s="82">
        <f ca="1">IF('Invoer gegevens'!$C$17=E52,I52,IF(C52=0,0,R51))</f>
        <v>0</v>
      </c>
      <c r="R52" s="84">
        <f t="shared" ca="1" si="0"/>
        <v>0</v>
      </c>
      <c r="S52" s="84">
        <f ca="1">IF('Invoer gegevens'!$C$17=E52,M52,IF(C52=0,0,T51))</f>
        <v>0</v>
      </c>
      <c r="T52" s="84">
        <f t="shared" ca="1" si="1"/>
        <v>0</v>
      </c>
      <c r="AH52" s="66"/>
      <c r="AI52" s="71">
        <f ca="1">IF(C52=1,((F52+H52)/2*Reeksen!BF52*12)+(('Invoer gegevens'!$C$10-(F52+H52)/2)*Reeksen!BG52*12),0)</f>
        <v>0</v>
      </c>
      <c r="AJ52" s="71">
        <f ca="1">-AI52*'Invoer gegevens'!$I$26</f>
        <v>0</v>
      </c>
      <c r="AK52" s="71">
        <f t="shared" ca="1" si="2"/>
        <v>0</v>
      </c>
      <c r="AL52" s="71">
        <f ca="1">IF(C52=1,(12*((F52+H52)/2)*Reeksen!AL52)+(12*('Invoer gegevens'!$C$10-(F52+H52)/2)*Reeksen!AM52),0)</f>
        <v>0</v>
      </c>
      <c r="AM52" s="71">
        <f ca="1">-AL52*'Invoer gegevens'!$F$31</f>
        <v>0</v>
      </c>
      <c r="AN52" s="71">
        <f t="shared" ca="1" si="3"/>
        <v>0</v>
      </c>
      <c r="AO52" s="71"/>
      <c r="AP52" s="71"/>
      <c r="AQ52" s="71">
        <f ca="1">-IF(C52=1,('Invoer gegevens'!$C$10*'Invoer gegevens'!$I$33)*Reeksen!J52,0)</f>
        <v>0</v>
      </c>
      <c r="AR52" s="71">
        <f ca="1">-IF(C52=1,(G52*'Invoer gegevens'!$I$34)*Reeksen!J52,0)</f>
        <v>0</v>
      </c>
      <c r="AS52" s="71">
        <f ca="1">-IF(C52=1,'Invoer gegevens'!$C$10*'Invoer gegevens'!$I$35*Reeksen!L52,0)</f>
        <v>0</v>
      </c>
      <c r="AT52" s="71">
        <f ca="1">-IF(C52=1,IF(E52='Invoer gegevens'!$C$17,'Invoer gegevens'!$C$11,Q52)*Reeksen!S52*'Invoer gegevens'!$C$18*Reeksen!P52,0)</f>
        <v>0</v>
      </c>
      <c r="AU52" s="71">
        <f ca="1">-IF(C52=1,'Invoer gegevens'!$C$10*'Invoer gegevens'!$I$36*Reeksen!H52,0)</f>
        <v>0</v>
      </c>
      <c r="AV52" s="71">
        <f t="shared" ca="1" si="4"/>
        <v>0</v>
      </c>
      <c r="AW52" s="72">
        <f ca="1">IFERROR(IF(E52='Invoer gegevens'!$C$17+'Invoer gegevens'!$I$14-1,'Invoer gegevens'!$I$13*'Invoer gegevens'!$C$10*Reeksen!H52,0),0)</f>
        <v>0</v>
      </c>
      <c r="AX52" s="72">
        <f ca="1">IFERROR(IF(E52='Invoer gegevens'!$C$17,-'Invoer gegevens'!$C$10*'Invoer gegevens'!$C$31*Reeksen!H52,0),0)</f>
        <v>0</v>
      </c>
      <c r="AY52" s="73">
        <f ca="1">IF('Invoer gegevens'!$C$34=E52,'Invoer gegevens'!$C$27*'Invoer gegevens'!$C$10*'Invoer gegevens'!$C$36*(IF('Invoer gegevens'!$C$35="ja",1,Reeksen!J52)),IF('Invoer gegevens'!$C$34+1=E52,'Invoer gegevens'!$C$27*'Invoer gegevens'!$C$10*'Invoer gegevens'!$C$37*(IF('Invoer gegevens'!$C$35="ja",1,Reeksen!J52)),0))+IF(AND(E52='Invoer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2" s="73">
        <f ca="1">AV52/(1+'Invoer gegevens'!$I$12)^($D52-('Invoer gegevens'!$C$17-'Invoer gegevens'!$C$16))/(1+'Invoer gegevens'!$C$39)^('Invoer gegevens'!$C$17-'Invoer gegevens'!$C$16)</f>
        <v>0</v>
      </c>
      <c r="BA52" s="73">
        <f ca="1">AW52/(1+'Invoer gegevens'!$I$12)^(E52-('Invoer gegevens'!$C$17-1))/(1+'Invoer gegevens'!$C$39)^('Invoer gegevens'!$C$17-'Invoer gegevens'!$C$16)</f>
        <v>0</v>
      </c>
      <c r="BB52" s="73">
        <f ca="1">AX52/(1+'Invoer gegevens'!$C$39)^('Invoer gegevens'!$C$17-'Invoer gegevens'!$C$16)</f>
        <v>0</v>
      </c>
      <c r="BC52" s="72">
        <f t="shared" ca="1" si="5"/>
        <v>0</v>
      </c>
      <c r="BD52" s="72">
        <f ca="1">IF(AND(E52='Invoer gegevens'!$C$16,'Invoer gegevens'!$C$34&lt;'Invoer gegevens'!$C$16),AY52,AY52/(1+'Invoer gegevens'!$C$39)^D52)</f>
        <v>0</v>
      </c>
      <c r="BE52" s="72">
        <f ca="1">IF(E52='Invoer gegevens'!$C$34,-'Invoer gegevens'!$I$38,0)</f>
        <v>0</v>
      </c>
      <c r="BF52" s="72">
        <f ca="1">IF(E52='Invoer gegevens'!$C$17,-'Invoer gegevens'!$C$19*$BC$66,0)</f>
        <v>0</v>
      </c>
      <c r="BG52" s="72">
        <f ca="1">AV52/(1+$BG$4)^($D52-('Invoer gegevens'!$C$17-'Invoer gegevens'!$C$16))/(1+'Invoer gegevens'!$C$39)^('Invoer gegevens'!$C$17-'Invoer gegevens'!$C$16)+AW52/(1+$BG$4)^(E52-('Invoer gegevens'!$C$17-1))/(1+'Invoer gegevens'!$C$39)^('Invoer gegevens'!$C$17-'Invoer gegevens'!$C$16)+AX52/(1+'Invoer gegevens'!$C$39)^('Invoer gegevens'!$C$17-'Invoer gegevens'!$C$16)+(-AY52/(1+'Invoer gegevens'!$C$39)^D52)+BE52+BF52</f>
        <v>0</v>
      </c>
      <c r="BH52" s="59"/>
      <c r="BI52" s="215"/>
      <c r="BJ52" s="214"/>
    </row>
    <row r="53" spans="1:62" x14ac:dyDescent="0.25">
      <c r="B53" s="70">
        <f t="shared" si="6"/>
        <v>49</v>
      </c>
      <c r="C53" s="67">
        <f ca="1">IF(AND(E53&gt;='Invoer gegevens'!$C$17,E53&lt;'Invoer gegevens'!$C$17+'Invoer gegevens'!$I$14),1,0)</f>
        <v>1</v>
      </c>
      <c r="D53" s="68">
        <f t="shared" si="7"/>
        <v>48.5</v>
      </c>
      <c r="E53" s="69">
        <f ca="1">IF('Invoer gegevens'!$C$16="","",E52+1)</f>
        <v>2067</v>
      </c>
      <c r="F53" s="82">
        <f ca="1">IF('Invoer gegevens'!$C$17=E53,'Invoer gegevens'!$C$10,IF(C53=1,H52,0))</f>
        <v>0</v>
      </c>
      <c r="G53" s="83">
        <f ca="1">IF(E53='Invoer gegevens'!$C$17+'Invoer gegevens'!$I$14,H52,IF(C53&gt;=1,F53*Reeksen!C53,0))</f>
        <v>0</v>
      </c>
      <c r="H53" s="84">
        <f ca="1">IF(E53&gt;='Invoer gegevens'!$C$17+'Invoer gegevens'!$I$14,0,F53-G53)</f>
        <v>0</v>
      </c>
      <c r="I53" s="85">
        <f ca="1">IF('Invoer gegevens'!$C$17=E53,'Invoer gegevens'!$C$11,IF(C53=1,L52,0))</f>
        <v>0</v>
      </c>
      <c r="J53" s="86">
        <f ca="1">IF(E53='Invoer gegevens'!$C$17+'Invoer gegevens'!$I$14,L52,IF(C53&lt;1,0,IF(Reeksen!BG53&lt;=Reeksen!AE53,I53*Reeksen!C53,0)))</f>
        <v>0</v>
      </c>
      <c r="K53" s="86">
        <f ca="1">IF(E53='Invoer gegevens'!$C$17+'Invoer gegevens'!$I$14,L52,IF(C53&lt;1,0,IF(Reeksen!BG53&gt;Reeksen!AE53,I53*Reeksen!C53,0)))</f>
        <v>0</v>
      </c>
      <c r="L53" s="86">
        <f ca="1">IF(E53&gt;='Invoer gegevens'!$C$17+'Invoer gegevens'!$I$14,0,I53-J53-K53)</f>
        <v>0</v>
      </c>
      <c r="M53" s="85">
        <f ca="1">IF('Invoer gegevens'!$C$17=E53,'Invoer gegevens'!$C$10-'Invoer gegevens'!$C$11,IF(C53=1,P52,0))</f>
        <v>0</v>
      </c>
      <c r="N53" s="86">
        <f ca="1">IF(E53='Invoer gegevens'!$C$17+'Invoer gegevens'!$I$14,P52,IF(C53&lt;1,0,IF(Reeksen!BG53&lt;=Reeksen!AE53,M53*Reeksen!C53,0)))</f>
        <v>0</v>
      </c>
      <c r="O53" s="86">
        <f ca="1">IF(E53='Invoer gegevens'!$C$17+'Invoer gegevens'!$I$14,P52,IF(C53&lt;1,0,IF(Reeksen!BG53&gt;Reeksen!AE53,M53*Reeksen!C53,0)))</f>
        <v>0</v>
      </c>
      <c r="P53" s="86">
        <f ca="1">IF(E53&gt;='Invoer gegevens'!$C$17+'Invoer gegevens'!$I$14,0,M53-N53-O53)</f>
        <v>0</v>
      </c>
      <c r="Q53" s="82">
        <f ca="1">IF('Invoer gegevens'!$C$17=E53,I53,IF(C53=0,0,R52))</f>
        <v>0</v>
      </c>
      <c r="R53" s="84">
        <f t="shared" ca="1" si="0"/>
        <v>0</v>
      </c>
      <c r="S53" s="84">
        <f ca="1">IF('Invoer gegevens'!$C$17=E53,M53,IF(C53=0,0,T52))</f>
        <v>0</v>
      </c>
      <c r="T53" s="84">
        <f t="shared" ca="1" si="1"/>
        <v>0</v>
      </c>
      <c r="AH53" s="66"/>
      <c r="AI53" s="71">
        <f ca="1">IF(C53=1,((F53+H53)/2*Reeksen!BF53*12)+(('Invoer gegevens'!$C$10-(F53+H53)/2)*Reeksen!BG53*12),0)</f>
        <v>0</v>
      </c>
      <c r="AJ53" s="71">
        <f ca="1">-AI53*'Invoer gegevens'!$I$26</f>
        <v>0</v>
      </c>
      <c r="AK53" s="71">
        <f t="shared" ca="1" si="2"/>
        <v>0</v>
      </c>
      <c r="AL53" s="71">
        <f ca="1">IF(C53=1,(12*((F53+H53)/2)*Reeksen!AL53)+(12*('Invoer gegevens'!$C$10-(F53+H53)/2)*Reeksen!AM53),0)</f>
        <v>0</v>
      </c>
      <c r="AM53" s="71">
        <f ca="1">-AL53*'Invoer gegevens'!$F$31</f>
        <v>0</v>
      </c>
      <c r="AN53" s="71">
        <f t="shared" ca="1" si="3"/>
        <v>0</v>
      </c>
      <c r="AO53" s="71"/>
      <c r="AP53" s="71"/>
      <c r="AQ53" s="71">
        <f ca="1">-IF(C53=1,('Invoer gegevens'!$C$10*'Invoer gegevens'!$I$33)*Reeksen!J53,0)</f>
        <v>0</v>
      </c>
      <c r="AR53" s="71">
        <f ca="1">-IF(C53=1,(G53*'Invoer gegevens'!$I$34)*Reeksen!J53,0)</f>
        <v>0</v>
      </c>
      <c r="AS53" s="71">
        <f ca="1">-IF(C53=1,'Invoer gegevens'!$C$10*'Invoer gegevens'!$I$35*Reeksen!L53,0)</f>
        <v>0</v>
      </c>
      <c r="AT53" s="71">
        <f ca="1">-IF(C53=1,IF(E53='Invoer gegevens'!$C$17,'Invoer gegevens'!$C$11,Q53)*Reeksen!S53*'Invoer gegevens'!$C$18*Reeksen!P53,0)</f>
        <v>0</v>
      </c>
      <c r="AU53" s="71">
        <f ca="1">-IF(C53=1,'Invoer gegevens'!$C$10*'Invoer gegevens'!$I$36*Reeksen!H53,0)</f>
        <v>0</v>
      </c>
      <c r="AV53" s="71">
        <f t="shared" ca="1" si="4"/>
        <v>0</v>
      </c>
      <c r="AW53" s="72">
        <f ca="1">IFERROR(IF(E53='Invoer gegevens'!$C$17+'Invoer gegevens'!$I$14-1,'Invoer gegevens'!$I$13*'Invoer gegevens'!$C$10*Reeksen!H53,0),0)</f>
        <v>0</v>
      </c>
      <c r="AX53" s="72">
        <f ca="1">IFERROR(IF(E53='Invoer gegevens'!$C$17,-'Invoer gegevens'!$C$10*'Invoer gegevens'!$C$31*Reeksen!H53,0),0)</f>
        <v>0</v>
      </c>
      <c r="AY53" s="73">
        <f ca="1">IF('Invoer gegevens'!$C$34=E53,'Invoer gegevens'!$C$27*'Invoer gegevens'!$C$10*'Invoer gegevens'!$C$36*(IF('Invoer gegevens'!$C$35="ja",1,Reeksen!J53)),IF('Invoer gegevens'!$C$34+1=E53,'Invoer gegevens'!$C$27*'Invoer gegevens'!$C$10*'Invoer gegevens'!$C$37*(IF('Invoer gegevens'!$C$35="ja",1,Reeksen!J53)),0))+IF(AND(E53='Invoer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3" s="73">
        <f ca="1">AV53/(1+'Invoer gegevens'!$I$12)^($D53-('Invoer gegevens'!$C$17-'Invoer gegevens'!$C$16))/(1+'Invoer gegevens'!$C$39)^('Invoer gegevens'!$C$17-'Invoer gegevens'!$C$16)</f>
        <v>0</v>
      </c>
      <c r="BA53" s="73">
        <f ca="1">AW53/(1+'Invoer gegevens'!$I$12)^(E53-('Invoer gegevens'!$C$17-1))/(1+'Invoer gegevens'!$C$39)^('Invoer gegevens'!$C$17-'Invoer gegevens'!$C$16)</f>
        <v>0</v>
      </c>
      <c r="BB53" s="73">
        <f ca="1">AX53/(1+'Invoer gegevens'!$C$39)^('Invoer gegevens'!$C$17-'Invoer gegevens'!$C$16)</f>
        <v>0</v>
      </c>
      <c r="BC53" s="72">
        <f t="shared" ca="1" si="5"/>
        <v>0</v>
      </c>
      <c r="BD53" s="72">
        <f ca="1">IF(AND(E53='Invoer gegevens'!$C$16,'Invoer gegevens'!$C$34&lt;'Invoer gegevens'!$C$16),AY53,AY53/(1+'Invoer gegevens'!$C$39)^D53)</f>
        <v>0</v>
      </c>
      <c r="BE53" s="72">
        <f ca="1">IF(E53='Invoer gegevens'!$C$34,-'Invoer gegevens'!$I$38,0)</f>
        <v>0</v>
      </c>
      <c r="BF53" s="72">
        <f ca="1">IF(E53='Invoer gegevens'!$C$17,-'Invoer gegevens'!$C$19*$BC$66,0)</f>
        <v>0</v>
      </c>
      <c r="BG53" s="72">
        <f ca="1">AV53/(1+$BG$4)^($D53-('Invoer gegevens'!$C$17-'Invoer gegevens'!$C$16))/(1+'Invoer gegevens'!$C$39)^('Invoer gegevens'!$C$17-'Invoer gegevens'!$C$16)+AW53/(1+$BG$4)^(E53-('Invoer gegevens'!$C$17-1))/(1+'Invoer gegevens'!$C$39)^('Invoer gegevens'!$C$17-'Invoer gegevens'!$C$16)+AX53/(1+'Invoer gegevens'!$C$39)^('Invoer gegevens'!$C$17-'Invoer gegevens'!$C$16)+(-AY53/(1+'Invoer gegevens'!$C$39)^D53)+BE53+BF53</f>
        <v>0</v>
      </c>
      <c r="BH53" s="59"/>
      <c r="BI53" s="215"/>
      <c r="BJ53" s="214"/>
    </row>
    <row r="54" spans="1:62" x14ac:dyDescent="0.25">
      <c r="B54" s="70">
        <f t="shared" si="6"/>
        <v>50</v>
      </c>
      <c r="C54" s="67">
        <f ca="1">IF(AND(E54&gt;='Invoer gegevens'!$C$17,E54&lt;'Invoer gegevens'!$C$17+'Invoer gegevens'!$I$14),1,0)</f>
        <v>1</v>
      </c>
      <c r="D54" s="68">
        <f t="shared" si="7"/>
        <v>49.5</v>
      </c>
      <c r="E54" s="69">
        <f ca="1">IF('Invoer gegevens'!$C$16="","",E53+1)</f>
        <v>2068</v>
      </c>
      <c r="F54" s="82">
        <f ca="1">IF('Invoer gegevens'!$C$17=E54,'Invoer gegevens'!$C$10,IF(C54=1,H53,0))</f>
        <v>0</v>
      </c>
      <c r="G54" s="83">
        <f ca="1">IF(E54='Invoer gegevens'!$C$17+'Invoer gegevens'!$I$14,H53,IF(C54&gt;=1,F54*Reeksen!C54,0))</f>
        <v>0</v>
      </c>
      <c r="H54" s="84">
        <f ca="1">IF(E54&gt;='Invoer gegevens'!$C$17+'Invoer gegevens'!$I$14,0,F54-G54)</f>
        <v>0</v>
      </c>
      <c r="I54" s="85">
        <f ca="1">IF('Invoer gegevens'!$C$17=E54,'Invoer gegevens'!$C$11,IF(C54=1,L53,0))</f>
        <v>0</v>
      </c>
      <c r="J54" s="86">
        <f ca="1">IF(E54='Invoer gegevens'!$C$17+'Invoer gegevens'!$I$14,L53,IF(C54&lt;1,0,IF(Reeksen!BG54&lt;=Reeksen!AE54,I54*Reeksen!C54,0)))</f>
        <v>0</v>
      </c>
      <c r="K54" s="86">
        <f ca="1">IF(E54='Invoer gegevens'!$C$17+'Invoer gegevens'!$I$14,L53,IF(C54&lt;1,0,IF(Reeksen!BG54&gt;Reeksen!AE54,I54*Reeksen!C54,0)))</f>
        <v>0</v>
      </c>
      <c r="L54" s="86">
        <f ca="1">IF(E54&gt;='Invoer gegevens'!$C$17+'Invoer gegevens'!$I$14,0,I54-J54-K54)</f>
        <v>0</v>
      </c>
      <c r="M54" s="85">
        <f ca="1">IF('Invoer gegevens'!$C$17=E54,'Invoer gegevens'!$C$10-'Invoer gegevens'!$C$11,IF(C54=1,P53,0))</f>
        <v>0</v>
      </c>
      <c r="N54" s="86">
        <f ca="1">IF(E54='Invoer gegevens'!$C$17+'Invoer gegevens'!$I$14,P53,IF(C54&lt;1,0,IF(Reeksen!BG54&lt;=Reeksen!AE54,M54*Reeksen!C54,0)))</f>
        <v>0</v>
      </c>
      <c r="O54" s="86">
        <f ca="1">IF(E54='Invoer gegevens'!$C$17+'Invoer gegevens'!$I$14,P53,IF(C54&lt;1,0,IF(Reeksen!BG54&gt;Reeksen!AE54,M54*Reeksen!C54,0)))</f>
        <v>0</v>
      </c>
      <c r="P54" s="86">
        <f ca="1">IF(E54&gt;='Invoer gegevens'!$C$17+'Invoer gegevens'!$I$14,0,M54-N54-O54)</f>
        <v>0</v>
      </c>
      <c r="Q54" s="82">
        <f ca="1">IF('Invoer gegevens'!$C$17=E54,I54,IF(C54=0,0,R53))</f>
        <v>0</v>
      </c>
      <c r="R54" s="84">
        <f t="shared" ca="1" si="0"/>
        <v>0</v>
      </c>
      <c r="S54" s="84">
        <f ca="1">IF('Invoer gegevens'!$C$17=E54,M54,IF(C54=0,0,T53))</f>
        <v>0</v>
      </c>
      <c r="T54" s="84">
        <f t="shared" ca="1" si="1"/>
        <v>0</v>
      </c>
      <c r="AH54" s="66"/>
      <c r="AI54" s="71">
        <f ca="1">IF(C54=1,((F54+H54)/2*Reeksen!BF54*12)+(('Invoer gegevens'!$C$10-(F54+H54)/2)*Reeksen!BG54*12),0)</f>
        <v>0</v>
      </c>
      <c r="AJ54" s="71">
        <f ca="1">-AI54*'Invoer gegevens'!$I$26</f>
        <v>0</v>
      </c>
      <c r="AK54" s="71">
        <f t="shared" ca="1" si="2"/>
        <v>0</v>
      </c>
      <c r="AL54" s="71">
        <f ca="1">IF(C54=1,(12*((F54+H54)/2)*Reeksen!AL54)+(12*('Invoer gegevens'!$C$10-(F54+H54)/2)*Reeksen!AM54),0)</f>
        <v>0</v>
      </c>
      <c r="AM54" s="71">
        <f ca="1">-AL54*'Invoer gegevens'!$F$31</f>
        <v>0</v>
      </c>
      <c r="AN54" s="71">
        <f t="shared" ca="1" si="3"/>
        <v>0</v>
      </c>
      <c r="AO54" s="71"/>
      <c r="AP54" s="71"/>
      <c r="AQ54" s="71">
        <f ca="1">-IF(C54=1,('Invoer gegevens'!$C$10*'Invoer gegevens'!$I$33)*Reeksen!J54,0)</f>
        <v>0</v>
      </c>
      <c r="AR54" s="71">
        <f ca="1">-IF(C54=1,(G54*'Invoer gegevens'!$I$34)*Reeksen!J54,0)</f>
        <v>0</v>
      </c>
      <c r="AS54" s="71">
        <f ca="1">-IF(C54=1,'Invoer gegevens'!$C$10*'Invoer gegevens'!$I$35*Reeksen!L54,0)</f>
        <v>0</v>
      </c>
      <c r="AT54" s="71">
        <f ca="1">-IF(C54=1,IF(E54='Invoer gegevens'!$C$17,'Invoer gegevens'!$C$11,Q54)*Reeksen!S54*'Invoer gegevens'!$C$18*Reeksen!P54,0)</f>
        <v>0</v>
      </c>
      <c r="AU54" s="71">
        <f ca="1">-IF(C54=1,'Invoer gegevens'!$C$10*'Invoer gegevens'!$I$36*Reeksen!H54,0)</f>
        <v>0</v>
      </c>
      <c r="AV54" s="71">
        <f t="shared" ca="1" si="4"/>
        <v>0</v>
      </c>
      <c r="AW54" s="72">
        <f ca="1">IFERROR(IF(E54='Invoer gegevens'!$C$17+'Invoer gegevens'!$I$14-1,'Invoer gegevens'!$I$13*'Invoer gegevens'!$C$10*Reeksen!H54,0),0)</f>
        <v>0</v>
      </c>
      <c r="AX54" s="72">
        <f ca="1">IFERROR(IF(E54='Invoer gegevens'!$C$17,-'Invoer gegevens'!$C$10*'Invoer gegevens'!$C$31*Reeksen!H54,0),0)</f>
        <v>0</v>
      </c>
      <c r="AY54" s="73">
        <f ca="1">IF('Invoer gegevens'!$C$34=E54,'Invoer gegevens'!$C$27*'Invoer gegevens'!$C$10*'Invoer gegevens'!$C$36*(IF('Invoer gegevens'!$C$35="ja",1,Reeksen!J54)),IF('Invoer gegevens'!$C$34+1=E54,'Invoer gegevens'!$C$27*'Invoer gegevens'!$C$10*'Invoer gegevens'!$C$37*(IF('Invoer gegevens'!$C$35="ja",1,Reeksen!J54)),0))+IF(AND(E54='Invoer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4" s="73">
        <f ca="1">AV54/(1+'Invoer gegevens'!$I$12)^($D54-('Invoer gegevens'!$C$17-'Invoer gegevens'!$C$16))/(1+'Invoer gegevens'!$C$39)^('Invoer gegevens'!$C$17-'Invoer gegevens'!$C$16)</f>
        <v>0</v>
      </c>
      <c r="BA54" s="73">
        <f ca="1">AW54/(1+'Invoer gegevens'!$I$12)^(E54-('Invoer gegevens'!$C$17-1))/(1+'Invoer gegevens'!$C$39)^('Invoer gegevens'!$C$17-'Invoer gegevens'!$C$16)</f>
        <v>0</v>
      </c>
      <c r="BB54" s="73">
        <f ca="1">AX54/(1+'Invoer gegevens'!$C$39)^('Invoer gegevens'!$C$17-'Invoer gegevens'!$C$16)</f>
        <v>0</v>
      </c>
      <c r="BC54" s="72">
        <f t="shared" ca="1" si="5"/>
        <v>0</v>
      </c>
      <c r="BD54" s="72">
        <f ca="1">IF(AND(E54='Invoer gegevens'!$C$16,'Invoer gegevens'!$C$34&lt;'Invoer gegevens'!$C$16),AY54,AY54/(1+'Invoer gegevens'!$C$39)^D54)</f>
        <v>0</v>
      </c>
      <c r="BE54" s="72">
        <f ca="1">IF(E54='Invoer gegevens'!$C$34,-'Invoer gegevens'!$I$38,0)</f>
        <v>0</v>
      </c>
      <c r="BF54" s="72">
        <f ca="1">IF(E54='Invoer gegevens'!$C$17,-'Invoer gegevens'!$C$19*$BC$66,0)</f>
        <v>0</v>
      </c>
      <c r="BG54" s="72">
        <f ca="1">AV54/(1+$BG$4)^($D54-('Invoer gegevens'!$C$17-'Invoer gegevens'!$C$16))/(1+'Invoer gegevens'!$C$39)^('Invoer gegevens'!$C$17-'Invoer gegevens'!$C$16)+AW54/(1+$BG$4)^(E54-('Invoer gegevens'!$C$17-1))/(1+'Invoer gegevens'!$C$39)^('Invoer gegevens'!$C$17-'Invoer gegevens'!$C$16)+AX54/(1+'Invoer gegevens'!$C$39)^('Invoer gegevens'!$C$17-'Invoer gegevens'!$C$16)+(-AY54/(1+'Invoer gegevens'!$C$39)^D54)+BE54+BF54</f>
        <v>0</v>
      </c>
      <c r="BH54" s="59"/>
      <c r="BI54" s="215"/>
      <c r="BJ54" s="214"/>
    </row>
    <row r="55" spans="1:62" x14ac:dyDescent="0.25">
      <c r="B55" s="70">
        <f t="shared" si="6"/>
        <v>51</v>
      </c>
      <c r="C55" s="67">
        <f ca="1">IF(AND(E55&gt;='Invoer gegevens'!$C$17,E55&lt;'Invoer gegevens'!$C$17+'Invoer gegevens'!$I$14),1,0)</f>
        <v>0</v>
      </c>
      <c r="D55" s="68">
        <f t="shared" si="7"/>
        <v>50.5</v>
      </c>
      <c r="E55" s="69">
        <f ca="1">IF('Invoer gegevens'!$C$16="","",E54+1)</f>
        <v>2069</v>
      </c>
      <c r="F55" s="82">
        <f ca="1">IF('Invoer gegevens'!$C$17=E55,'Invoer gegevens'!$C$10,IF(C55=1,H54,0))</f>
        <v>0</v>
      </c>
      <c r="G55" s="83">
        <f ca="1">IF(E55='Invoer gegevens'!$C$17+'Invoer gegevens'!$I$14,H54,IF(C55&gt;=1,F55*Reeksen!C55,0))</f>
        <v>0</v>
      </c>
      <c r="H55" s="84">
        <f ca="1">IF(E55&gt;='Invoer gegevens'!$C$17+'Invoer gegevens'!$I$14,0,F55-G55)</f>
        <v>0</v>
      </c>
      <c r="I55" s="85">
        <f ca="1">IF('Invoer gegevens'!$C$17=E55,'Invoer gegevens'!$C$11,IF(C55=1,L54,0))</f>
        <v>0</v>
      </c>
      <c r="J55" s="86">
        <f ca="1">IF(E55='Invoer gegevens'!$C$17+'Invoer gegevens'!$I$14,L54,IF(C55&lt;1,0,IF(Reeksen!BG55&lt;=Reeksen!AE55,I55*Reeksen!C55,0)))</f>
        <v>0</v>
      </c>
      <c r="K55" s="86">
        <f ca="1">IF(E55='Invoer gegevens'!$C$17+'Invoer gegevens'!$I$14,L54,IF(C55&lt;1,0,IF(Reeksen!BG55&gt;Reeksen!AE55,I55*Reeksen!C55,0)))</f>
        <v>0</v>
      </c>
      <c r="L55" s="86">
        <f ca="1">IF(E55&gt;='Invoer gegevens'!$C$17+'Invoer gegevens'!$I$14,0,I55-J55-K55)</f>
        <v>0</v>
      </c>
      <c r="M55" s="85">
        <f ca="1">IF('Invoer gegevens'!$C$17=E55,'Invoer gegevens'!$C$10-'Invoer gegevens'!$C$11,IF(C55=1,P54,0))</f>
        <v>0</v>
      </c>
      <c r="N55" s="86">
        <f ca="1">IF(E55='Invoer gegevens'!$C$17+'Invoer gegevens'!$I$14,P54,IF(C55&lt;1,0,IF(Reeksen!BG55&lt;=Reeksen!AE55,M55*Reeksen!C55,0)))</f>
        <v>0</v>
      </c>
      <c r="O55" s="86">
        <f ca="1">IF(E55='Invoer gegevens'!$C$17+'Invoer gegevens'!$I$14,P54,IF(C55&lt;1,0,IF(Reeksen!BG55&gt;Reeksen!AE55,M55*Reeksen!C55,0)))</f>
        <v>0</v>
      </c>
      <c r="P55" s="86">
        <f ca="1">IF(E55&gt;='Invoer gegevens'!$C$17+'Invoer gegevens'!$I$14,0,M55-N55-O55)</f>
        <v>0</v>
      </c>
      <c r="Q55" s="82">
        <f ca="1">IF('Invoer gegevens'!$C$17=E55,I55,IF(C55=0,0,R54))</f>
        <v>0</v>
      </c>
      <c r="R55" s="84">
        <f t="shared" ca="1" si="0"/>
        <v>0</v>
      </c>
      <c r="S55" s="84">
        <f ca="1">IF('Invoer gegevens'!$C$17=E55,M55,IF(C55=0,0,T54))</f>
        <v>0</v>
      </c>
      <c r="T55" s="84">
        <f t="shared" ca="1" si="1"/>
        <v>0</v>
      </c>
      <c r="AH55" s="66"/>
      <c r="AI55" s="71">
        <f ca="1">IF(C55=1,((F55+H55)/2*Reeksen!BF55*12)+(('Invoer gegevens'!$C$10-(F55+H55)/2)*Reeksen!BG55*12),0)</f>
        <v>0</v>
      </c>
      <c r="AJ55" s="71">
        <f ca="1">-AI55*'Invoer gegevens'!$I$26</f>
        <v>0</v>
      </c>
      <c r="AK55" s="71">
        <f t="shared" ca="1" si="2"/>
        <v>0</v>
      </c>
      <c r="AL55" s="71">
        <f ca="1">IF(C55=1,(12*((F55+H55)/2)*Reeksen!AL55)+(12*('Invoer gegevens'!$C$10-(F55+H55)/2)*Reeksen!AM55),0)</f>
        <v>0</v>
      </c>
      <c r="AM55" s="71">
        <f ca="1">-AL55*'Invoer gegevens'!$F$31</f>
        <v>0</v>
      </c>
      <c r="AN55" s="71">
        <f t="shared" ca="1" si="3"/>
        <v>0</v>
      </c>
      <c r="AO55" s="71"/>
      <c r="AP55" s="71"/>
      <c r="AQ55" s="71">
        <f ca="1">-IF(C55=1,('Invoer gegevens'!$C$10*'Invoer gegevens'!$I$33)*Reeksen!J55,0)</f>
        <v>0</v>
      </c>
      <c r="AR55" s="71">
        <f ca="1">-IF(C55=1,(G55*'Invoer gegevens'!$I$34)*Reeksen!J55,0)</f>
        <v>0</v>
      </c>
      <c r="AS55" s="71">
        <f ca="1">-IF(C55=1,'Invoer gegevens'!$C$10*'Invoer gegevens'!$I$35*Reeksen!L55,0)</f>
        <v>0</v>
      </c>
      <c r="AT55" s="71">
        <f ca="1">-IF(C55=1,IF(E55='Invoer gegevens'!$C$17,'Invoer gegevens'!$C$11,Q55)*Reeksen!S55*'Invoer gegevens'!$C$18*Reeksen!P55,0)</f>
        <v>0</v>
      </c>
      <c r="AU55" s="71">
        <f ca="1">-IF(C55=1,'Invoer gegevens'!$C$10*'Invoer gegevens'!$I$36*Reeksen!H55,0)</f>
        <v>0</v>
      </c>
      <c r="AV55" s="71">
        <f t="shared" ca="1" si="4"/>
        <v>0</v>
      </c>
      <c r="AW55" s="72">
        <f ca="1">IFERROR(IF(E55='Invoer gegevens'!$C$17+'Invoer gegevens'!$I$14-1,'Invoer gegevens'!$I$13*'Invoer gegevens'!$C$10*Reeksen!H55,0),0)</f>
        <v>0</v>
      </c>
      <c r="AX55" s="72">
        <f ca="1">IFERROR(IF(E55='Invoer gegevens'!$C$17,-'Invoer gegevens'!$C$10*'Invoer gegevens'!$C$31*Reeksen!H55,0),0)</f>
        <v>0</v>
      </c>
      <c r="AY55" s="73">
        <f ca="1">IF('Invoer gegevens'!$C$34=E55,'Invoer gegevens'!$C$27*'Invoer gegevens'!$C$10*'Invoer gegevens'!$C$36*(IF('Invoer gegevens'!$C$35="ja",1,Reeksen!J55)),IF('Invoer gegevens'!$C$34+1=E55,'Invoer gegevens'!$C$27*'Invoer gegevens'!$C$10*'Invoer gegevens'!$C$37*(IF('Invoer gegevens'!$C$35="ja",1,Reeksen!J55)),0))+IF(AND(E55='Invoer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5" s="73">
        <f ca="1">AV55/(1+'Invoer gegevens'!$I$12)^($D55-('Invoer gegevens'!$C$17-'Invoer gegevens'!$C$16))/(1+'Invoer gegevens'!$C$39)^('Invoer gegevens'!$C$17-'Invoer gegevens'!$C$16)</f>
        <v>0</v>
      </c>
      <c r="BA55" s="73">
        <f ca="1">AW55/(1+'Invoer gegevens'!$I$12)^(E55-('Invoer gegevens'!$C$17-1))/(1+'Invoer gegevens'!$C$39)^('Invoer gegevens'!$C$17-'Invoer gegevens'!$C$16)</f>
        <v>0</v>
      </c>
      <c r="BB55" s="73">
        <f ca="1">AX55/(1+'Invoer gegevens'!$C$39)^('Invoer gegevens'!$C$17-'Invoer gegevens'!$C$16)</f>
        <v>0</v>
      </c>
      <c r="BC55" s="72">
        <f t="shared" ca="1" si="5"/>
        <v>0</v>
      </c>
      <c r="BD55" s="72">
        <f ca="1">IF(AND(E55='Invoer gegevens'!$C$16,'Invoer gegevens'!$C$34&lt;'Invoer gegevens'!$C$16),AY55,AY55/(1+'Invoer gegevens'!$C$39)^D55)</f>
        <v>0</v>
      </c>
      <c r="BE55" s="72">
        <f ca="1">IF(E55='Invoer gegevens'!$C$34,-'Invoer gegevens'!$I$38,0)</f>
        <v>0</v>
      </c>
      <c r="BF55" s="72">
        <f ca="1">IF(E55='Invoer gegevens'!$C$17,-'Invoer gegevens'!$C$19*$BC$66,0)</f>
        <v>0</v>
      </c>
      <c r="BG55" s="72">
        <f ca="1">AV55/(1+$BG$4)^($D55-('Invoer gegevens'!$C$17-'Invoer gegevens'!$C$16))/(1+'Invoer gegevens'!$C$39)^('Invoer gegevens'!$C$17-'Invoer gegevens'!$C$16)+AW55/(1+$BG$4)^(E55-('Invoer gegevens'!$C$17-1))/(1+'Invoer gegevens'!$C$39)^('Invoer gegevens'!$C$17-'Invoer gegevens'!$C$16)+AX55/(1+'Invoer gegevens'!$C$39)^('Invoer gegevens'!$C$17-'Invoer gegevens'!$C$16)+(-AY55/(1+'Invoer gegevens'!$C$39)^D55)+BE55+BF55</f>
        <v>0</v>
      </c>
      <c r="BH55" s="59"/>
      <c r="BI55" s="215"/>
      <c r="BJ55" s="214"/>
    </row>
    <row r="56" spans="1:62" x14ac:dyDescent="0.25">
      <c r="B56" s="70">
        <f t="shared" si="6"/>
        <v>52</v>
      </c>
      <c r="C56" s="67">
        <f ca="1">IF(AND(E56&gt;='Invoer gegevens'!$C$17,E56&lt;'Invoer gegevens'!$C$17+'Invoer gegevens'!$I$14),1,0)</f>
        <v>0</v>
      </c>
      <c r="D56" s="68">
        <f t="shared" si="7"/>
        <v>51.5</v>
      </c>
      <c r="E56" s="69">
        <f ca="1">IF('Invoer gegevens'!$C$16="","",E55+1)</f>
        <v>2070</v>
      </c>
      <c r="F56" s="82">
        <f ca="1">IF('Invoer gegevens'!$C$17=E56,'Invoer gegevens'!$C$10,IF(C56=1,H55,0))</f>
        <v>0</v>
      </c>
      <c r="G56" s="83">
        <f ca="1">IF(E56='Invoer gegevens'!$C$17+'Invoer gegevens'!$I$14,H55,IF(C56&gt;=1,F56*Reeksen!C56,0))</f>
        <v>0</v>
      </c>
      <c r="H56" s="84">
        <f ca="1">IF(E56&gt;='Invoer gegevens'!$C$17+'Invoer gegevens'!$I$14,0,F56-G56)</f>
        <v>0</v>
      </c>
      <c r="I56" s="85">
        <f ca="1">IF('Invoer gegevens'!$C$17=E56,'Invoer gegevens'!$C$11,IF(C56=1,L55,0))</f>
        <v>0</v>
      </c>
      <c r="J56" s="86">
        <f ca="1">IF(E56='Invoer gegevens'!$C$17+'Invoer gegevens'!$I$14,L55,IF(C56&lt;1,0,IF(Reeksen!BG56&lt;=Reeksen!AE56,I56*Reeksen!C56,0)))</f>
        <v>0</v>
      </c>
      <c r="K56" s="86">
        <f ca="1">IF(E56='Invoer gegevens'!$C$17+'Invoer gegevens'!$I$14,L55,IF(C56&lt;1,0,IF(Reeksen!BG56&gt;Reeksen!AE56,I56*Reeksen!C56,0)))</f>
        <v>0</v>
      </c>
      <c r="L56" s="86">
        <f ca="1">IF(E56&gt;='Invoer gegevens'!$C$17+'Invoer gegevens'!$I$14,0,I56-J56-K56)</f>
        <v>0</v>
      </c>
      <c r="M56" s="85">
        <f ca="1">IF('Invoer gegevens'!$C$17=E56,'Invoer gegevens'!$C$10-'Invoer gegevens'!$C$11,IF(C56=1,P55,0))</f>
        <v>0</v>
      </c>
      <c r="N56" s="86">
        <f ca="1">IF(E56='Invoer gegevens'!$C$17+'Invoer gegevens'!$I$14,P55,IF(C56&lt;1,0,IF(Reeksen!BG56&lt;=Reeksen!AE56,M56*Reeksen!C56,0)))</f>
        <v>0</v>
      </c>
      <c r="O56" s="86">
        <f ca="1">IF(E56='Invoer gegevens'!$C$17+'Invoer gegevens'!$I$14,P55,IF(C56&lt;1,0,IF(Reeksen!BG56&gt;Reeksen!AE56,M56*Reeksen!C56,0)))</f>
        <v>0</v>
      </c>
      <c r="P56" s="86">
        <f ca="1">IF(E56&gt;='Invoer gegevens'!$C$17+'Invoer gegevens'!$I$14,0,M56-N56-O56)</f>
        <v>0</v>
      </c>
      <c r="Q56" s="82">
        <f ca="1">IF('Invoer gegevens'!$C$17=E56,I56,IF(C56=0,0,R55))</f>
        <v>0</v>
      </c>
      <c r="R56" s="84">
        <f t="shared" ca="1" si="0"/>
        <v>0</v>
      </c>
      <c r="S56" s="84">
        <f ca="1">IF('Invoer gegevens'!$C$17=E56,M56,IF(C56=0,0,T55))</f>
        <v>0</v>
      </c>
      <c r="T56" s="84">
        <f t="shared" ca="1" si="1"/>
        <v>0</v>
      </c>
      <c r="AH56" s="66"/>
      <c r="AI56" s="71">
        <f ca="1">IF(C56=1,((F56+H56)/2*Reeksen!BF56*12)+(('Invoer gegevens'!$C$10-(F56+H56)/2)*Reeksen!BG56*12),0)</f>
        <v>0</v>
      </c>
      <c r="AJ56" s="71">
        <f ca="1">-AI56*'Invoer gegevens'!$I$26</f>
        <v>0</v>
      </c>
      <c r="AK56" s="71">
        <f t="shared" ca="1" si="2"/>
        <v>0</v>
      </c>
      <c r="AL56" s="71">
        <f ca="1">IF(C56=1,(12*((F56+H56)/2)*Reeksen!AL56)+(12*('Invoer gegevens'!$C$10-(F56+H56)/2)*Reeksen!AM56),0)</f>
        <v>0</v>
      </c>
      <c r="AM56" s="71">
        <f ca="1">-AL56*'Invoer gegevens'!$F$31</f>
        <v>0</v>
      </c>
      <c r="AN56" s="71">
        <f t="shared" ca="1" si="3"/>
        <v>0</v>
      </c>
      <c r="AO56" s="71"/>
      <c r="AP56" s="71"/>
      <c r="AQ56" s="71">
        <f ca="1">-IF(C56=1,('Invoer gegevens'!$C$10*'Invoer gegevens'!$I$33)*Reeksen!J56,0)</f>
        <v>0</v>
      </c>
      <c r="AR56" s="71">
        <f ca="1">-IF(C56=1,(G56*'Invoer gegevens'!$I$34)*Reeksen!J56,0)</f>
        <v>0</v>
      </c>
      <c r="AS56" s="71">
        <f ca="1">-IF(C56=1,'Invoer gegevens'!$C$10*'Invoer gegevens'!$I$35*Reeksen!L56,0)</f>
        <v>0</v>
      </c>
      <c r="AT56" s="71">
        <f ca="1">-IF(C56=1,IF(E56='Invoer gegevens'!$C$17,'Invoer gegevens'!$C$11,Q56)*Reeksen!S56*'Invoer gegevens'!$C$18*Reeksen!P56,0)</f>
        <v>0</v>
      </c>
      <c r="AU56" s="71">
        <f ca="1">-IF(C56=1,'Invoer gegevens'!$C$10*'Invoer gegevens'!$I$36*Reeksen!H56,0)</f>
        <v>0</v>
      </c>
      <c r="AV56" s="71">
        <f t="shared" ca="1" si="4"/>
        <v>0</v>
      </c>
      <c r="AW56" s="72">
        <f ca="1">IFERROR(IF(E56='Invoer gegevens'!$C$17+'Invoer gegevens'!$I$14-1,'Invoer gegevens'!$I$13*'Invoer gegevens'!$C$10*Reeksen!H56,0),0)</f>
        <v>0</v>
      </c>
      <c r="AX56" s="72">
        <f ca="1">IFERROR(IF(E56='Invoer gegevens'!$C$17,-'Invoer gegevens'!$C$10*'Invoer gegevens'!$C$31*Reeksen!H56,0),0)</f>
        <v>0</v>
      </c>
      <c r="AY56" s="73">
        <f ca="1">IF('Invoer gegevens'!$C$34=E56,'Invoer gegevens'!$C$27*'Invoer gegevens'!$C$10*'Invoer gegevens'!$C$36*(IF('Invoer gegevens'!$C$35="ja",1,Reeksen!J56)),IF('Invoer gegevens'!$C$34+1=E56,'Invoer gegevens'!$C$27*'Invoer gegevens'!$C$10*'Invoer gegevens'!$C$37*(IF('Invoer gegevens'!$C$35="ja",1,Reeksen!J56)),0))+IF(AND(E56='Invoer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6" s="73">
        <f ca="1">AV56/(1+'Invoer gegevens'!$I$12)^($D56-('Invoer gegevens'!$C$17-'Invoer gegevens'!$C$16))/(1+'Invoer gegevens'!$C$39)^('Invoer gegevens'!$C$17-'Invoer gegevens'!$C$16)</f>
        <v>0</v>
      </c>
      <c r="BA56" s="73">
        <f ca="1">AW56/(1+'Invoer gegevens'!$I$12)^(E56-('Invoer gegevens'!$C$17-1))/(1+'Invoer gegevens'!$C$39)^('Invoer gegevens'!$C$17-'Invoer gegevens'!$C$16)</f>
        <v>0</v>
      </c>
      <c r="BB56" s="73">
        <f ca="1">AX56/(1+'Invoer gegevens'!$C$39)^('Invoer gegevens'!$C$17-'Invoer gegevens'!$C$16)</f>
        <v>0</v>
      </c>
      <c r="BC56" s="72">
        <f t="shared" ca="1" si="5"/>
        <v>0</v>
      </c>
      <c r="BD56" s="72">
        <f ca="1">IF(AND(E56='Invoer gegevens'!$C$16,'Invoer gegevens'!$C$34&lt;'Invoer gegevens'!$C$16),AY56,AY56/(1+'Invoer gegevens'!$C$39)^D56)</f>
        <v>0</v>
      </c>
      <c r="BE56" s="72">
        <f ca="1">IF(E56='Invoer gegevens'!$C$34,-'Invoer gegevens'!$I$38,0)</f>
        <v>0</v>
      </c>
      <c r="BF56" s="72">
        <f ca="1">IF(E56='Invoer gegevens'!$C$17,-'Invoer gegevens'!$C$19*$BC$66,0)</f>
        <v>0</v>
      </c>
      <c r="BG56" s="72">
        <f ca="1">AV56/(1+$BG$4)^($D56-('Invoer gegevens'!$C$17-'Invoer gegevens'!$C$16))/(1+'Invoer gegevens'!$C$39)^('Invoer gegevens'!$C$17-'Invoer gegevens'!$C$16)+AW56/(1+$BG$4)^(E56-('Invoer gegevens'!$C$17-1))/(1+'Invoer gegevens'!$C$39)^('Invoer gegevens'!$C$17-'Invoer gegevens'!$C$16)+AX56/(1+'Invoer gegevens'!$C$39)^('Invoer gegevens'!$C$17-'Invoer gegevens'!$C$16)+(-AY56/(1+'Invoer gegevens'!$C$39)^D56)+BE56+BF56</f>
        <v>0</v>
      </c>
      <c r="BH56" s="59"/>
      <c r="BI56" s="215"/>
      <c r="BJ56" s="214"/>
    </row>
    <row r="57" spans="1:62" x14ac:dyDescent="0.25">
      <c r="B57" s="70">
        <f t="shared" si="6"/>
        <v>53</v>
      </c>
      <c r="C57" s="67">
        <f ca="1">IF(AND(E57&gt;='Invoer gegevens'!$C$17,E57&lt;'Invoer gegevens'!$C$17+'Invoer gegevens'!$I$14),1,0)</f>
        <v>0</v>
      </c>
      <c r="D57" s="68">
        <f t="shared" si="7"/>
        <v>52.5</v>
      </c>
      <c r="E57" s="69">
        <f ca="1">IF('Invoer gegevens'!$C$16="","",E56+1)</f>
        <v>2071</v>
      </c>
      <c r="F57" s="82">
        <f ca="1">IF('Invoer gegevens'!$C$17=E57,'Invoer gegevens'!$C$10,IF(C57=1,H56,0))</f>
        <v>0</v>
      </c>
      <c r="G57" s="83">
        <f ca="1">IF(E57='Invoer gegevens'!$C$17+'Invoer gegevens'!$I$14,H56,IF(C57&gt;=1,F57*Reeksen!C57,0))</f>
        <v>0</v>
      </c>
      <c r="H57" s="84">
        <f ca="1">IF(E57&gt;='Invoer gegevens'!$C$17+'Invoer gegevens'!$I$14,0,F57-G57)</f>
        <v>0</v>
      </c>
      <c r="I57" s="85">
        <f ca="1">IF('Invoer gegevens'!$C$17=E57,'Invoer gegevens'!$C$11,IF(C57=1,L56,0))</f>
        <v>0</v>
      </c>
      <c r="J57" s="86">
        <f ca="1">IF(E57='Invoer gegevens'!$C$17+'Invoer gegevens'!$I$14,L56,IF(C57&lt;1,0,IF(Reeksen!BG57&lt;=Reeksen!AE57,I57*Reeksen!C57,0)))</f>
        <v>0</v>
      </c>
      <c r="K57" s="86">
        <f ca="1">IF(E57='Invoer gegevens'!$C$17+'Invoer gegevens'!$I$14,L56,IF(C57&lt;1,0,IF(Reeksen!BG57&gt;Reeksen!AE57,I57*Reeksen!C57,0)))</f>
        <v>0</v>
      </c>
      <c r="L57" s="86">
        <f ca="1">IF(E57&gt;='Invoer gegevens'!$C$17+'Invoer gegevens'!$I$14,0,I57-J57-K57)</f>
        <v>0</v>
      </c>
      <c r="M57" s="85">
        <f ca="1">IF('Invoer gegevens'!$C$17=E57,'Invoer gegevens'!$C$10-'Invoer gegevens'!$C$11,IF(C57=1,P56,0))</f>
        <v>0</v>
      </c>
      <c r="N57" s="86">
        <f ca="1">IF(E57='Invoer gegevens'!$C$17+'Invoer gegevens'!$I$14,P56,IF(C57&lt;1,0,IF(Reeksen!BG57&lt;=Reeksen!AE57,M57*Reeksen!C57,0)))</f>
        <v>0</v>
      </c>
      <c r="O57" s="86">
        <f ca="1">IF(E57='Invoer gegevens'!$C$17+'Invoer gegevens'!$I$14,P56,IF(C57&lt;1,0,IF(Reeksen!BG57&gt;Reeksen!AE57,M57*Reeksen!C57,0)))</f>
        <v>0</v>
      </c>
      <c r="P57" s="86">
        <f ca="1">IF(E57&gt;='Invoer gegevens'!$C$17+'Invoer gegevens'!$I$14,0,M57-N57-O57)</f>
        <v>0</v>
      </c>
      <c r="Q57" s="82">
        <f ca="1">IF('Invoer gegevens'!$C$17=E57,I57,IF(C57=0,0,R56))</f>
        <v>0</v>
      </c>
      <c r="R57" s="84">
        <f t="shared" ca="1" si="0"/>
        <v>0</v>
      </c>
      <c r="S57" s="84">
        <f ca="1">IF('Invoer gegevens'!$C$17=E57,M57,IF(C57=0,0,T56))</f>
        <v>0</v>
      </c>
      <c r="T57" s="84">
        <f t="shared" ca="1" si="1"/>
        <v>0</v>
      </c>
      <c r="AH57" s="66"/>
      <c r="AI57" s="71">
        <f ca="1">IF(C57=1,((F57+H57)/2*Reeksen!BF57*12)+(('Invoer gegevens'!$C$10-(F57+H57)/2)*Reeksen!BG57*12),0)</f>
        <v>0</v>
      </c>
      <c r="AJ57" s="71">
        <f ca="1">-AI57*'Invoer gegevens'!$I$26</f>
        <v>0</v>
      </c>
      <c r="AK57" s="71">
        <f t="shared" ca="1" si="2"/>
        <v>0</v>
      </c>
      <c r="AL57" s="71">
        <f ca="1">IF(C57=1,(12*((F57+H57)/2)*Reeksen!AL57)+(12*('Invoer gegevens'!$C$10-(F57+H57)/2)*Reeksen!AM57),0)</f>
        <v>0</v>
      </c>
      <c r="AM57" s="71">
        <f ca="1">-AL57*'Invoer gegevens'!$F$31</f>
        <v>0</v>
      </c>
      <c r="AN57" s="71">
        <f t="shared" ca="1" si="3"/>
        <v>0</v>
      </c>
      <c r="AO57" s="71"/>
      <c r="AP57" s="71"/>
      <c r="AQ57" s="71">
        <f ca="1">-IF(C57=1,('Invoer gegevens'!$C$10*'Invoer gegevens'!$I$33)*Reeksen!J57,0)</f>
        <v>0</v>
      </c>
      <c r="AR57" s="71">
        <f ca="1">-IF(C57=1,(G57*'Invoer gegevens'!$I$34)*Reeksen!J57,0)</f>
        <v>0</v>
      </c>
      <c r="AS57" s="71">
        <f ca="1">-IF(C57=1,'Invoer gegevens'!$C$10*'Invoer gegevens'!$I$35*Reeksen!L57,0)</f>
        <v>0</v>
      </c>
      <c r="AT57" s="71">
        <f ca="1">-IF(C57=1,IF(E57='Invoer gegevens'!$C$17,'Invoer gegevens'!$C$11,Q57)*Reeksen!S57*'Invoer gegevens'!$C$18*Reeksen!P57,0)</f>
        <v>0</v>
      </c>
      <c r="AU57" s="71">
        <f ca="1">-IF(C57=1,'Invoer gegevens'!$C$10*'Invoer gegevens'!$I$36*Reeksen!H57,0)</f>
        <v>0</v>
      </c>
      <c r="AV57" s="71">
        <f t="shared" ca="1" si="4"/>
        <v>0</v>
      </c>
      <c r="AW57" s="72">
        <f ca="1">IFERROR(IF(E57='Invoer gegevens'!$C$17+'Invoer gegevens'!$I$14-1,'Invoer gegevens'!$I$13*'Invoer gegevens'!$C$10*Reeksen!H57,0),0)</f>
        <v>0</v>
      </c>
      <c r="AX57" s="72">
        <f ca="1">IFERROR(IF(E57='Invoer gegevens'!$C$17,-'Invoer gegevens'!$C$10*'Invoer gegevens'!$C$31*Reeksen!H57,0),0)</f>
        <v>0</v>
      </c>
      <c r="AY57" s="73">
        <f ca="1">IF('Invoer gegevens'!$C$34=E57,'Invoer gegevens'!$C$27*'Invoer gegevens'!$C$10*'Invoer gegevens'!$C$36*(IF('Invoer gegevens'!$C$35="ja",1,Reeksen!J57)),IF('Invoer gegevens'!$C$34+1=E57,'Invoer gegevens'!$C$27*'Invoer gegevens'!$C$10*'Invoer gegevens'!$C$37*(IF('Invoer gegevens'!$C$35="ja",1,Reeksen!J57)),0))+IF(AND(E57='Invoer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7" s="73">
        <f ca="1">AV57/(1+'Invoer gegevens'!$I$12)^($D57-('Invoer gegevens'!$C$17-'Invoer gegevens'!$C$16))/(1+'Invoer gegevens'!$C$39)^('Invoer gegevens'!$C$17-'Invoer gegevens'!$C$16)</f>
        <v>0</v>
      </c>
      <c r="BA57" s="73">
        <f ca="1">AW57/(1+'Invoer gegevens'!$I$12)^(E57-('Invoer gegevens'!$C$17-1))/(1+'Invoer gegevens'!$C$39)^('Invoer gegevens'!$C$17-'Invoer gegevens'!$C$16)</f>
        <v>0</v>
      </c>
      <c r="BB57" s="73">
        <f ca="1">AX57/(1+'Invoer gegevens'!$C$39)^('Invoer gegevens'!$C$17-'Invoer gegevens'!$C$16)</f>
        <v>0</v>
      </c>
      <c r="BC57" s="72">
        <f t="shared" ca="1" si="5"/>
        <v>0</v>
      </c>
      <c r="BD57" s="72">
        <f ca="1">IF(AND(E57='Invoer gegevens'!$C$16,'Invoer gegevens'!$C$34&lt;'Invoer gegevens'!$C$16),AY57,AY57/(1+'Invoer gegevens'!$C$39)^D57)</f>
        <v>0</v>
      </c>
      <c r="BE57" s="72">
        <f ca="1">IF(E57='Invoer gegevens'!$C$34,-'Invoer gegevens'!$I$38,0)</f>
        <v>0</v>
      </c>
      <c r="BF57" s="72">
        <f ca="1">IF(E57='Invoer gegevens'!$C$17,-'Invoer gegevens'!$C$19*$BC$66,0)</f>
        <v>0</v>
      </c>
      <c r="BG57" s="72">
        <f ca="1">AV57/(1+$BG$4)^($D57-('Invoer gegevens'!$C$17-'Invoer gegevens'!$C$16))/(1+'Invoer gegevens'!$C$39)^('Invoer gegevens'!$C$17-'Invoer gegevens'!$C$16)+AW57/(1+$BG$4)^(E57-('Invoer gegevens'!$C$17-1))/(1+'Invoer gegevens'!$C$39)^('Invoer gegevens'!$C$17-'Invoer gegevens'!$C$16)+AX57/(1+'Invoer gegevens'!$C$39)^('Invoer gegevens'!$C$17-'Invoer gegevens'!$C$16)+(-AY57/(1+'Invoer gegevens'!$C$39)^D57)+BE57+BF57</f>
        <v>0</v>
      </c>
      <c r="BH57" s="59"/>
      <c r="BI57" s="215"/>
      <c r="BJ57" s="214"/>
    </row>
    <row r="58" spans="1:62" x14ac:dyDescent="0.25">
      <c r="B58" s="70">
        <f t="shared" si="6"/>
        <v>54</v>
      </c>
      <c r="C58" s="67">
        <f ca="1">IF(AND(E58&gt;='Invoer gegevens'!$C$17,E58&lt;'Invoer gegevens'!$C$17+'Invoer gegevens'!$I$14),1,0)</f>
        <v>0</v>
      </c>
      <c r="D58" s="68">
        <f t="shared" si="7"/>
        <v>53.5</v>
      </c>
      <c r="E58" s="69">
        <f ca="1">IF('Invoer gegevens'!$C$16="","",E57+1)</f>
        <v>2072</v>
      </c>
      <c r="F58" s="82">
        <f ca="1">IF('Invoer gegevens'!$C$17=E58,'Invoer gegevens'!$C$10,IF(C58=1,H57,0))</f>
        <v>0</v>
      </c>
      <c r="G58" s="83">
        <f ca="1">IF(E58='Invoer gegevens'!$C$17+'Invoer gegevens'!$I$14,H57,IF(C58&gt;=1,F58*Reeksen!C58,0))</f>
        <v>0</v>
      </c>
      <c r="H58" s="84">
        <f ca="1">IF(E58&gt;='Invoer gegevens'!$C$17+'Invoer gegevens'!$I$14,0,F58-G58)</f>
        <v>0</v>
      </c>
      <c r="I58" s="85">
        <f ca="1">IF('Invoer gegevens'!$C$17=E58,'Invoer gegevens'!$C$11,IF(C58=1,L57,0))</f>
        <v>0</v>
      </c>
      <c r="J58" s="86">
        <f ca="1">IF(E58='Invoer gegevens'!$C$17+'Invoer gegevens'!$I$14,L57,IF(C58&lt;1,0,IF(Reeksen!BG58&lt;=Reeksen!AE58,I58*Reeksen!C58,0)))</f>
        <v>0</v>
      </c>
      <c r="K58" s="86">
        <f ca="1">IF(E58='Invoer gegevens'!$C$17+'Invoer gegevens'!$I$14,L57,IF(C58&lt;1,0,IF(Reeksen!BG58&gt;Reeksen!AE58,I58*Reeksen!C58,0)))</f>
        <v>0</v>
      </c>
      <c r="L58" s="86">
        <f ca="1">IF(E58&gt;='Invoer gegevens'!$C$17+'Invoer gegevens'!$I$14,0,I58-J58-K58)</f>
        <v>0</v>
      </c>
      <c r="M58" s="85">
        <f ca="1">IF('Invoer gegevens'!$C$17=E58,'Invoer gegevens'!$C$10-'Invoer gegevens'!$C$11,IF(C58=1,P57,0))</f>
        <v>0</v>
      </c>
      <c r="N58" s="86">
        <f ca="1">IF(E58='Invoer gegevens'!$C$17+'Invoer gegevens'!$I$14,P57,IF(C58&lt;1,0,IF(Reeksen!BG58&lt;=Reeksen!AE58,M58*Reeksen!C58,0)))</f>
        <v>0</v>
      </c>
      <c r="O58" s="86">
        <f ca="1">IF(E58='Invoer gegevens'!$C$17+'Invoer gegevens'!$I$14,P57,IF(C58&lt;1,0,IF(Reeksen!BG58&gt;Reeksen!AE58,M58*Reeksen!C58,0)))</f>
        <v>0</v>
      </c>
      <c r="P58" s="86">
        <f ca="1">IF(E58&gt;='Invoer gegevens'!$C$17+'Invoer gegevens'!$I$14,0,M58-N58-O58)</f>
        <v>0</v>
      </c>
      <c r="Q58" s="82">
        <f ca="1">IF('Invoer gegevens'!$C$17=E58,I58,IF(C58=0,0,R57))</f>
        <v>0</v>
      </c>
      <c r="R58" s="84">
        <f t="shared" ca="1" si="0"/>
        <v>0</v>
      </c>
      <c r="S58" s="84">
        <f ca="1">IF('Invoer gegevens'!$C$17=E58,M58,IF(C58=0,0,T57))</f>
        <v>0</v>
      </c>
      <c r="T58" s="84">
        <f t="shared" ca="1" si="1"/>
        <v>0</v>
      </c>
      <c r="AH58" s="66"/>
      <c r="AI58" s="71">
        <f ca="1">IF(C58=1,((F58+H58)/2*Reeksen!BF58*12)+(('Invoer gegevens'!$C$10-(F58+H58)/2)*Reeksen!BG58*12),0)</f>
        <v>0</v>
      </c>
      <c r="AJ58" s="71">
        <f ca="1">-AI58*'Invoer gegevens'!$I$26</f>
        <v>0</v>
      </c>
      <c r="AK58" s="71">
        <f t="shared" ca="1" si="2"/>
        <v>0</v>
      </c>
      <c r="AL58" s="71">
        <f ca="1">IF(C58=1,(12*((F58+H58)/2)*Reeksen!AL58)+(12*('Invoer gegevens'!$C$10-(F58+H58)/2)*Reeksen!AM58),0)</f>
        <v>0</v>
      </c>
      <c r="AM58" s="71">
        <f ca="1">-AL58*'Invoer gegevens'!$F$31</f>
        <v>0</v>
      </c>
      <c r="AN58" s="71">
        <f t="shared" ca="1" si="3"/>
        <v>0</v>
      </c>
      <c r="AO58" s="71"/>
      <c r="AP58" s="71"/>
      <c r="AQ58" s="71">
        <f ca="1">-IF(C58=1,('Invoer gegevens'!$C$10*'Invoer gegevens'!$I$33)*Reeksen!J58,0)</f>
        <v>0</v>
      </c>
      <c r="AR58" s="71">
        <f ca="1">-IF(C58=1,(G58*'Invoer gegevens'!$I$34)*Reeksen!J58,0)</f>
        <v>0</v>
      </c>
      <c r="AS58" s="71">
        <f ca="1">-IF(C58=1,'Invoer gegevens'!$C$10*'Invoer gegevens'!$I$35*Reeksen!L58,0)</f>
        <v>0</v>
      </c>
      <c r="AT58" s="71">
        <f ca="1">-IF(C58=1,IF(E58='Invoer gegevens'!$C$17,'Invoer gegevens'!$C$11,Q58)*Reeksen!S58*'Invoer gegevens'!$C$18*Reeksen!P58,0)</f>
        <v>0</v>
      </c>
      <c r="AU58" s="71">
        <f ca="1">-IF(C58=1,'Invoer gegevens'!$C$10*'Invoer gegevens'!$I$36*Reeksen!H58,0)</f>
        <v>0</v>
      </c>
      <c r="AV58" s="71">
        <f t="shared" ca="1" si="4"/>
        <v>0</v>
      </c>
      <c r="AW58" s="72">
        <f ca="1">IFERROR(IF(E58='Invoer gegevens'!$C$17+'Invoer gegevens'!$I$14-1,'Invoer gegevens'!$I$13*'Invoer gegevens'!$C$10*Reeksen!H58,0),0)</f>
        <v>0</v>
      </c>
      <c r="AX58" s="72">
        <f ca="1">IFERROR(IF(E58='Invoer gegevens'!$C$17,-'Invoer gegevens'!$C$10*'Invoer gegevens'!$C$31*Reeksen!H58,0),0)</f>
        <v>0</v>
      </c>
      <c r="AY58" s="73">
        <f ca="1">IF('Invoer gegevens'!$C$34=E58,'Invoer gegevens'!$C$27*'Invoer gegevens'!$C$10*'Invoer gegevens'!$C$36*(IF('Invoer gegevens'!$C$35="ja",1,Reeksen!J58)),IF('Invoer gegevens'!$C$34+1=E58,'Invoer gegevens'!$C$27*'Invoer gegevens'!$C$10*'Invoer gegevens'!$C$37*(IF('Invoer gegevens'!$C$35="ja",1,Reeksen!J58)),0))+IF(AND(E58='Invoer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8" s="73">
        <f ca="1">AV58/(1+'Invoer gegevens'!$I$12)^($D58-('Invoer gegevens'!$C$17-'Invoer gegevens'!$C$16))/(1+'Invoer gegevens'!$C$39)^('Invoer gegevens'!$C$17-'Invoer gegevens'!$C$16)</f>
        <v>0</v>
      </c>
      <c r="BA58" s="73">
        <f ca="1">AW58/(1+'Invoer gegevens'!$I$12)^(E58-('Invoer gegevens'!$C$17-1))/(1+'Invoer gegevens'!$C$39)^('Invoer gegevens'!$C$17-'Invoer gegevens'!$C$16)</f>
        <v>0</v>
      </c>
      <c r="BB58" s="73">
        <f ca="1">AX58/(1+'Invoer gegevens'!$C$39)^('Invoer gegevens'!$C$17-'Invoer gegevens'!$C$16)</f>
        <v>0</v>
      </c>
      <c r="BC58" s="72">
        <f t="shared" ca="1" si="5"/>
        <v>0</v>
      </c>
      <c r="BD58" s="72">
        <f ca="1">IF(AND(E58='Invoer gegevens'!$C$16,'Invoer gegevens'!$C$34&lt;'Invoer gegevens'!$C$16),AY58,AY58/(1+'Invoer gegevens'!$C$39)^D58)</f>
        <v>0</v>
      </c>
      <c r="BE58" s="72">
        <f ca="1">IF(E58='Invoer gegevens'!$C$34,-'Invoer gegevens'!$I$38,0)</f>
        <v>0</v>
      </c>
      <c r="BF58" s="72">
        <f ca="1">IF(E58='Invoer gegevens'!$C$17,-'Invoer gegevens'!$C$19*$BC$66,0)</f>
        <v>0</v>
      </c>
      <c r="BG58" s="72">
        <f ca="1">AV58/(1+$BG$4)^($D58-('Invoer gegevens'!$C$17-'Invoer gegevens'!$C$16))/(1+'Invoer gegevens'!$C$39)^('Invoer gegevens'!$C$17-'Invoer gegevens'!$C$16)+AW58/(1+$BG$4)^(E58-('Invoer gegevens'!$C$17-1))/(1+'Invoer gegevens'!$C$39)^('Invoer gegevens'!$C$17-'Invoer gegevens'!$C$16)+AX58/(1+'Invoer gegevens'!$C$39)^('Invoer gegevens'!$C$17-'Invoer gegevens'!$C$16)+(-AY58/(1+'Invoer gegevens'!$C$39)^D58)+BE58+BF58</f>
        <v>0</v>
      </c>
      <c r="BH58" s="59"/>
      <c r="BI58" s="215"/>
      <c r="BJ58" s="214"/>
    </row>
    <row r="59" spans="1:62" x14ac:dyDescent="0.25">
      <c r="B59" s="70">
        <f t="shared" si="6"/>
        <v>55</v>
      </c>
      <c r="C59" s="67">
        <f ca="1">IF(AND(E59&gt;='Invoer gegevens'!$C$17,E59&lt;'Invoer gegevens'!$C$17+'Invoer gegevens'!$I$14),1,0)</f>
        <v>0</v>
      </c>
      <c r="D59" s="68">
        <f t="shared" si="7"/>
        <v>54.5</v>
      </c>
      <c r="E59" s="69">
        <f ca="1">IF('Invoer gegevens'!$C$16="","",E58+1)</f>
        <v>2073</v>
      </c>
      <c r="F59" s="82">
        <f ca="1">IF('Invoer gegevens'!$C$17=E59,'Invoer gegevens'!$C$10,IF(C59=1,H58,0))</f>
        <v>0</v>
      </c>
      <c r="G59" s="83">
        <f ca="1">IF(E59='Invoer gegevens'!$C$17+'Invoer gegevens'!$I$14,H58,IF(C59&gt;=1,F59*Reeksen!C59,0))</f>
        <v>0</v>
      </c>
      <c r="H59" s="84">
        <f ca="1">IF(E59&gt;='Invoer gegevens'!$C$17+'Invoer gegevens'!$I$14,0,F59-G59)</f>
        <v>0</v>
      </c>
      <c r="I59" s="85">
        <f ca="1">IF('Invoer gegevens'!$C$17=E59,'Invoer gegevens'!$C$11,IF(C59=1,L58,0))</f>
        <v>0</v>
      </c>
      <c r="J59" s="86">
        <f ca="1">IF(E59='Invoer gegevens'!$C$17+'Invoer gegevens'!$I$14,L58,IF(C59&lt;1,0,IF(Reeksen!BG59&lt;=Reeksen!AE59,I59*Reeksen!C59,0)))</f>
        <v>0</v>
      </c>
      <c r="K59" s="86">
        <f ca="1">IF(E59='Invoer gegevens'!$C$17+'Invoer gegevens'!$I$14,L58,IF(C59&lt;1,0,IF(Reeksen!BG59&gt;Reeksen!AE59,I59*Reeksen!C59,0)))</f>
        <v>0</v>
      </c>
      <c r="L59" s="86">
        <f ca="1">IF(E59&gt;='Invoer gegevens'!$C$17+'Invoer gegevens'!$I$14,0,I59-J59-K59)</f>
        <v>0</v>
      </c>
      <c r="M59" s="85">
        <f ca="1">IF('Invoer gegevens'!$C$17=E59,'Invoer gegevens'!$C$10-'Invoer gegevens'!$C$11,IF(C59=1,P58,0))</f>
        <v>0</v>
      </c>
      <c r="N59" s="86">
        <f ca="1">IF(E59='Invoer gegevens'!$C$17+'Invoer gegevens'!$I$14,P58,IF(C59&lt;1,0,IF(Reeksen!BG59&lt;=Reeksen!AE59,M59*Reeksen!C59,0)))</f>
        <v>0</v>
      </c>
      <c r="O59" s="86">
        <f ca="1">IF(E59='Invoer gegevens'!$C$17+'Invoer gegevens'!$I$14,P58,IF(C59&lt;1,0,IF(Reeksen!BG59&gt;Reeksen!AE59,M59*Reeksen!C59,0)))</f>
        <v>0</v>
      </c>
      <c r="P59" s="86">
        <f ca="1">IF(E59&gt;='Invoer gegevens'!$C$17+'Invoer gegevens'!$I$14,0,M59-N59-O59)</f>
        <v>0</v>
      </c>
      <c r="Q59" s="82">
        <f ca="1">IF('Invoer gegevens'!$C$17=E59,I59,IF(C59=0,0,R58))</f>
        <v>0</v>
      </c>
      <c r="R59" s="84">
        <f t="shared" ca="1" si="0"/>
        <v>0</v>
      </c>
      <c r="S59" s="84">
        <f ca="1">IF('Invoer gegevens'!$C$17=E59,M59,IF(C59=0,0,T58))</f>
        <v>0</v>
      </c>
      <c r="T59" s="84">
        <f t="shared" ca="1" si="1"/>
        <v>0</v>
      </c>
      <c r="AH59" s="66"/>
      <c r="AI59" s="71">
        <f ca="1">IF(C59=1,((F59+H59)/2*Reeksen!BF59*12)+(('Invoer gegevens'!$C$10-(F59+H59)/2)*Reeksen!BG59*12),0)</f>
        <v>0</v>
      </c>
      <c r="AJ59" s="71">
        <f ca="1">-AI59*'Invoer gegevens'!$I$26</f>
        <v>0</v>
      </c>
      <c r="AK59" s="71">
        <f t="shared" ca="1" si="2"/>
        <v>0</v>
      </c>
      <c r="AL59" s="71">
        <f ca="1">IF(C59=1,(12*((F59+H59)/2)*Reeksen!AL59)+(12*('Invoer gegevens'!$C$10-(F59+H59)/2)*Reeksen!AM59),0)</f>
        <v>0</v>
      </c>
      <c r="AM59" s="71">
        <f ca="1">-AL59*'Invoer gegevens'!$F$31</f>
        <v>0</v>
      </c>
      <c r="AN59" s="71">
        <f t="shared" ca="1" si="3"/>
        <v>0</v>
      </c>
      <c r="AO59" s="71"/>
      <c r="AP59" s="71"/>
      <c r="AQ59" s="71">
        <f ca="1">-IF(C59=1,('Invoer gegevens'!$C$10*'Invoer gegevens'!$I$33)*Reeksen!J59,0)</f>
        <v>0</v>
      </c>
      <c r="AR59" s="71">
        <f ca="1">-IF(C59=1,(G59*'Invoer gegevens'!$I$34)*Reeksen!J59,0)</f>
        <v>0</v>
      </c>
      <c r="AS59" s="71">
        <f ca="1">-IF(C59=1,'Invoer gegevens'!$C$10*'Invoer gegevens'!$I$35*Reeksen!L59,0)</f>
        <v>0</v>
      </c>
      <c r="AT59" s="71">
        <f ca="1">-IF(C59=1,IF(E59='Invoer gegevens'!$C$17,'Invoer gegevens'!$C$11,Q59)*Reeksen!S59*'Invoer gegevens'!$C$18*Reeksen!P59,0)</f>
        <v>0</v>
      </c>
      <c r="AU59" s="71">
        <f ca="1">-IF(C59=1,'Invoer gegevens'!$C$10*'Invoer gegevens'!$I$36*Reeksen!H59,0)</f>
        <v>0</v>
      </c>
      <c r="AV59" s="71">
        <f t="shared" ca="1" si="4"/>
        <v>0</v>
      </c>
      <c r="AW59" s="72">
        <f ca="1">IFERROR(IF(E59='Invoer gegevens'!$C$17+'Invoer gegevens'!$I$14-1,'Invoer gegevens'!$I$13*'Invoer gegevens'!$C$10*Reeksen!H59,0),0)</f>
        <v>0</v>
      </c>
      <c r="AX59" s="72">
        <f ca="1">IFERROR(IF(E59='Invoer gegevens'!$C$17,-'Invoer gegevens'!$C$10*'Invoer gegevens'!$C$31*Reeksen!H59,0),0)</f>
        <v>0</v>
      </c>
      <c r="AY59" s="73">
        <f ca="1">IF('Invoer gegevens'!$C$34=E59,'Invoer gegevens'!$C$27*'Invoer gegevens'!$C$10*'Invoer gegevens'!$C$36*(IF('Invoer gegevens'!$C$35="ja",1,Reeksen!J59)),IF('Invoer gegevens'!$C$34+1=E59,'Invoer gegevens'!$C$27*'Invoer gegevens'!$C$10*'Invoer gegevens'!$C$37*(IF('Invoer gegevens'!$C$35="ja",1,Reeksen!J59)),0))+IF(AND(E59='Invoer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59" s="73">
        <f ca="1">AV59/(1+'Invoer gegevens'!$I$12)^($D59-('Invoer gegevens'!$C$17-'Invoer gegevens'!$C$16))/(1+'Invoer gegevens'!$C$39)^('Invoer gegevens'!$C$17-'Invoer gegevens'!$C$16)</f>
        <v>0</v>
      </c>
      <c r="BA59" s="73">
        <f ca="1">AW59/(1+'Invoer gegevens'!$I$12)^(E59-('Invoer gegevens'!$C$17-1))/(1+'Invoer gegevens'!$C$39)^('Invoer gegevens'!$C$17-'Invoer gegevens'!$C$16)</f>
        <v>0</v>
      </c>
      <c r="BB59" s="73">
        <f ca="1">AX59/(1+'Invoer gegevens'!$C$39)^('Invoer gegevens'!$C$17-'Invoer gegevens'!$C$16)</f>
        <v>0</v>
      </c>
      <c r="BC59" s="72">
        <f t="shared" ca="1" si="5"/>
        <v>0</v>
      </c>
      <c r="BD59" s="72">
        <f ca="1">IF(AND(E59='Invoer gegevens'!$C$16,'Invoer gegevens'!$C$34&lt;'Invoer gegevens'!$C$16),AY59,AY59/(1+'Invoer gegevens'!$C$39)^D59)</f>
        <v>0</v>
      </c>
      <c r="BE59" s="72">
        <f ca="1">IF(E59='Invoer gegevens'!$C$34,-'Invoer gegevens'!$I$38,0)</f>
        <v>0</v>
      </c>
      <c r="BF59" s="72">
        <f ca="1">IF(E59='Invoer gegevens'!$C$17,-'Invoer gegevens'!$C$19*$BC$66,0)</f>
        <v>0</v>
      </c>
      <c r="BG59" s="72">
        <f ca="1">AV59/(1+$BG$4)^($D59-('Invoer gegevens'!$C$17-'Invoer gegevens'!$C$16))/(1+'Invoer gegevens'!$C$39)^('Invoer gegevens'!$C$17-'Invoer gegevens'!$C$16)+AW59/(1+$BG$4)^(E59-('Invoer gegevens'!$C$17-1))/(1+'Invoer gegevens'!$C$39)^('Invoer gegevens'!$C$17-'Invoer gegevens'!$C$16)+AX59/(1+'Invoer gegevens'!$C$39)^('Invoer gegevens'!$C$17-'Invoer gegevens'!$C$16)+(-AY59/(1+'Invoer gegevens'!$C$39)^D59)+BE59+BF59</f>
        <v>0</v>
      </c>
      <c r="BH59" s="59"/>
      <c r="BI59" s="215"/>
      <c r="BJ59" s="214"/>
    </row>
    <row r="60" spans="1:62" ht="15" customHeight="1" x14ac:dyDescent="0.25">
      <c r="B60" s="70">
        <f t="shared" si="6"/>
        <v>56</v>
      </c>
      <c r="C60" s="67">
        <f ca="1">IF(AND(E60&gt;='Invoer gegevens'!$C$17,E60&lt;'Invoer gegevens'!$C$17+'Invoer gegevens'!$I$14),1,0)</f>
        <v>0</v>
      </c>
      <c r="D60" s="68">
        <f t="shared" si="7"/>
        <v>55.5</v>
      </c>
      <c r="E60" s="69">
        <f ca="1">IF('Invoer gegevens'!$C$16="","",E59+1)</f>
        <v>2074</v>
      </c>
      <c r="F60" s="82">
        <f ca="1">IF('Invoer gegevens'!$C$17=E60,'Invoer gegevens'!$C$10,IF(C60=1,H59,0))</f>
        <v>0</v>
      </c>
      <c r="G60" s="83">
        <f ca="1">IF(E60='Invoer gegevens'!$C$17+'Invoer gegevens'!$I$14,H59,IF(C60&gt;=1,F60*Reeksen!C60,0))</f>
        <v>0</v>
      </c>
      <c r="H60" s="84">
        <f ca="1">IF(E60&gt;='Invoer gegevens'!$C$17+'Invoer gegevens'!$I$14,0,F60-G60)</f>
        <v>0</v>
      </c>
      <c r="I60" s="85">
        <f ca="1">IF('Invoer gegevens'!$C$17=E60,'Invoer gegevens'!$C$11,IF(C60=1,L59,0))</f>
        <v>0</v>
      </c>
      <c r="J60" s="86">
        <f ca="1">IF(E60='Invoer gegevens'!$C$17+'Invoer gegevens'!$I$14,L59,IF(C60&lt;1,0,IF(Reeksen!BG60&lt;=Reeksen!AE60,I60*Reeksen!C60,0)))</f>
        <v>0</v>
      </c>
      <c r="K60" s="86">
        <f ca="1">IF(E60='Invoer gegevens'!$C$17+'Invoer gegevens'!$I$14,L59,IF(C60&lt;1,0,IF(Reeksen!BG60&gt;Reeksen!AE60,I60*Reeksen!C60,0)))</f>
        <v>0</v>
      </c>
      <c r="L60" s="86">
        <f ca="1">IF(E60&gt;='Invoer gegevens'!$C$17+'Invoer gegevens'!$I$14,0,I60-J60-K60)</f>
        <v>0</v>
      </c>
      <c r="M60" s="85">
        <f ca="1">IF('Invoer gegevens'!$C$17=E60,'Invoer gegevens'!$C$10-'Invoer gegevens'!$C$11,IF(C60=1,P59,0))</f>
        <v>0</v>
      </c>
      <c r="N60" s="86">
        <f ca="1">IF(E60='Invoer gegevens'!$C$17+'Invoer gegevens'!$I$14,P59,IF(C60&lt;1,0,IF(Reeksen!BG60&lt;=Reeksen!AE60,M60*Reeksen!C60,0)))</f>
        <v>0</v>
      </c>
      <c r="O60" s="86">
        <f ca="1">IF(E60='Invoer gegevens'!$C$17+'Invoer gegevens'!$I$14,P59,IF(C60&lt;1,0,IF(Reeksen!BG60&gt;Reeksen!AE60,M60*Reeksen!C60,0)))</f>
        <v>0</v>
      </c>
      <c r="P60" s="86">
        <f ca="1">IF(E60&gt;='Invoer gegevens'!$C$17+'Invoer gegevens'!$I$14,0,M60-N60-O60)</f>
        <v>0</v>
      </c>
      <c r="Q60" s="82">
        <f ca="1">IF('Invoer gegevens'!$C$17=E60,I60,IF(C60=0,0,R59))</f>
        <v>0</v>
      </c>
      <c r="R60" s="84">
        <f t="shared" ca="1" si="0"/>
        <v>0</v>
      </c>
      <c r="S60" s="84">
        <f ca="1">IF('Invoer gegevens'!$C$17=E60,M60,IF(C60=0,0,T59))</f>
        <v>0</v>
      </c>
      <c r="T60" s="84">
        <f t="shared" ca="1" si="1"/>
        <v>0</v>
      </c>
      <c r="AH60" s="66"/>
      <c r="AI60" s="71">
        <f ca="1">IF(C60=1,((F60+H60)/2*Reeksen!BF60*12)+(('Invoer gegevens'!$C$10-(F60+H60)/2)*Reeksen!BG60*12),0)</f>
        <v>0</v>
      </c>
      <c r="AJ60" s="71">
        <f ca="1">-AI60*'Invoer gegevens'!$I$26</f>
        <v>0</v>
      </c>
      <c r="AK60" s="71">
        <f t="shared" ca="1" si="2"/>
        <v>0</v>
      </c>
      <c r="AL60" s="71">
        <f ca="1">IF(C60=1,(12*((F60+H60)/2)*Reeksen!AL60)+(12*('Invoer gegevens'!$C$10-(F60+H60)/2)*Reeksen!AM60),0)</f>
        <v>0</v>
      </c>
      <c r="AM60" s="71">
        <f ca="1">-AL60*'Invoer gegevens'!$F$31</f>
        <v>0</v>
      </c>
      <c r="AN60" s="71">
        <f t="shared" ca="1" si="3"/>
        <v>0</v>
      </c>
      <c r="AO60" s="71"/>
      <c r="AP60" s="71"/>
      <c r="AQ60" s="71">
        <f ca="1">-IF(C60=1,('Invoer gegevens'!$C$10*'Invoer gegevens'!$I$33)*Reeksen!J60,0)</f>
        <v>0</v>
      </c>
      <c r="AR60" s="71">
        <f ca="1">-IF(C60=1,(G60*'Invoer gegevens'!$I$34)*Reeksen!J60,0)</f>
        <v>0</v>
      </c>
      <c r="AS60" s="71">
        <f ca="1">-IF(C60=1,'Invoer gegevens'!$C$10*'Invoer gegevens'!$I$35*Reeksen!L60,0)</f>
        <v>0</v>
      </c>
      <c r="AT60" s="71">
        <f ca="1">-IF(C60=1,IF(E60='Invoer gegevens'!$C$17,'Invoer gegevens'!$C$11,Q60)*Reeksen!S60*'Invoer gegevens'!$C$18*Reeksen!P60,0)</f>
        <v>0</v>
      </c>
      <c r="AU60" s="71">
        <f ca="1">-IF(C60=1,'Invoer gegevens'!$C$10*'Invoer gegevens'!$I$36*Reeksen!H60,0)</f>
        <v>0</v>
      </c>
      <c r="AV60" s="71">
        <f t="shared" ca="1" si="4"/>
        <v>0</v>
      </c>
      <c r="AW60" s="72">
        <f ca="1">IFERROR(IF(E60='Invoer gegevens'!$C$17+'Invoer gegevens'!$I$14-1,'Invoer gegevens'!$I$13*'Invoer gegevens'!$C$10*Reeksen!H60,0),0)</f>
        <v>0</v>
      </c>
      <c r="AX60" s="72">
        <f ca="1">IFERROR(IF(E60='Invoer gegevens'!$C$17,-'Invoer gegevens'!$C$10*'Invoer gegevens'!$C$31*Reeksen!H60,0),0)</f>
        <v>0</v>
      </c>
      <c r="AY60" s="73">
        <f ca="1">IF('Invoer gegevens'!$C$34=E60,'Invoer gegevens'!$C$27*'Invoer gegevens'!$C$10*'Invoer gegevens'!$C$36*(IF('Invoer gegevens'!$C$35="ja",1,Reeksen!J60)),IF('Invoer gegevens'!$C$34+1=E60,'Invoer gegevens'!$C$27*'Invoer gegevens'!$C$10*'Invoer gegevens'!$C$37*(IF('Invoer gegevens'!$C$35="ja",1,Reeksen!J60)),0))+IF(AND(E60='Invoer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60" s="73">
        <f ca="1">AV60/(1+'Invoer gegevens'!$I$12)^($D60-('Invoer gegevens'!$C$17-'Invoer gegevens'!$C$16))/(1+'Invoer gegevens'!$C$39)^('Invoer gegevens'!$C$17-'Invoer gegevens'!$C$16)</f>
        <v>0</v>
      </c>
      <c r="BA60" s="73">
        <f ca="1">AW60/(1+'Invoer gegevens'!$I$12)^(E60-('Invoer gegevens'!$C$17-1))/(1+'Invoer gegevens'!$C$39)^('Invoer gegevens'!$C$17-'Invoer gegevens'!$C$16)</f>
        <v>0</v>
      </c>
      <c r="BB60" s="73">
        <f ca="1">AX60/(1+'Invoer gegevens'!$C$39)^('Invoer gegevens'!$C$17-'Invoer gegevens'!$C$16)</f>
        <v>0</v>
      </c>
      <c r="BC60" s="72">
        <f t="shared" ca="1" si="5"/>
        <v>0</v>
      </c>
      <c r="BD60" s="72">
        <f ca="1">IF(AND(E60='Invoer gegevens'!$C$16,'Invoer gegevens'!$C$34&lt;'Invoer gegevens'!$C$16),AY60,AY60/(1+'Invoer gegevens'!$C$39)^D60)</f>
        <v>0</v>
      </c>
      <c r="BE60" s="72">
        <f ca="1">IF(E60='Invoer gegevens'!$C$34,-'Invoer gegevens'!$I$38,0)</f>
        <v>0</v>
      </c>
      <c r="BF60" s="72">
        <f ca="1">IF(E60='Invoer gegevens'!$C$17,-'Invoer gegevens'!$C$19*$BC$66,0)</f>
        <v>0</v>
      </c>
      <c r="BG60" s="72">
        <f ca="1">AV60/(1+$BG$4)^($D60-('Invoer gegevens'!$C$17-'Invoer gegevens'!$C$16))/(1+'Invoer gegevens'!$C$39)^('Invoer gegevens'!$C$17-'Invoer gegevens'!$C$16)+AW60/(1+$BG$4)^(E60-('Invoer gegevens'!$C$17-1))/(1+'Invoer gegevens'!$C$39)^('Invoer gegevens'!$C$17-'Invoer gegevens'!$C$16)+AX60/(1+'Invoer gegevens'!$C$39)^('Invoer gegevens'!$C$17-'Invoer gegevens'!$C$16)+(-AY60/(1+'Invoer gegevens'!$C$39)^D60)+BE60+BF60</f>
        <v>0</v>
      </c>
      <c r="BH60" s="215"/>
      <c r="BI60" s="215"/>
      <c r="BJ60" s="214"/>
    </row>
    <row r="61" spans="1:62" ht="15" customHeight="1" x14ac:dyDescent="0.25">
      <c r="B61" s="70">
        <f t="shared" si="6"/>
        <v>57</v>
      </c>
      <c r="C61" s="67">
        <f ca="1">IF(AND(E61&gt;='Invoer gegevens'!$C$17,E61&lt;'Invoer gegevens'!$C$17+'Invoer gegevens'!$I$14),1,0)</f>
        <v>0</v>
      </c>
      <c r="D61" s="68">
        <f t="shared" si="7"/>
        <v>56.5</v>
      </c>
      <c r="E61" s="69">
        <f ca="1">IF('Invoer gegevens'!$C$16="","",E60+1)</f>
        <v>2075</v>
      </c>
      <c r="F61" s="82">
        <f ca="1">IF('Invoer gegevens'!$C$17=E61,'Invoer gegevens'!$C$10,IF(C61=1,H60,0))</f>
        <v>0</v>
      </c>
      <c r="G61" s="83">
        <f ca="1">IF(E61='Invoer gegevens'!$C$17+'Invoer gegevens'!$I$14,H60,IF(C61&gt;=1,F61*Reeksen!C61,0))</f>
        <v>0</v>
      </c>
      <c r="H61" s="84">
        <f ca="1">IF(E61&gt;='Invoer gegevens'!$C$17+'Invoer gegevens'!$I$14,0,F61-G61)</f>
        <v>0</v>
      </c>
      <c r="I61" s="85">
        <f ca="1">IF('Invoer gegevens'!$C$17=E61,'Invoer gegevens'!$C$11,IF(C61=1,L60,0))</f>
        <v>0</v>
      </c>
      <c r="J61" s="86">
        <f ca="1">IF(E61='Invoer gegevens'!$C$17+'Invoer gegevens'!$I$14,L60,IF(C61&lt;1,0,IF(Reeksen!BG61&lt;=Reeksen!AE61,I61*Reeksen!C61,0)))</f>
        <v>0</v>
      </c>
      <c r="K61" s="86">
        <f ca="1">IF(E61='Invoer gegevens'!$C$17+'Invoer gegevens'!$I$14,L60,IF(C61&lt;1,0,IF(Reeksen!BG61&gt;Reeksen!AE61,I61*Reeksen!C61,0)))</f>
        <v>0</v>
      </c>
      <c r="L61" s="86">
        <f ca="1">IF(E61&gt;='Invoer gegevens'!$C$17+'Invoer gegevens'!$I$14,0,I61-J61-K61)</f>
        <v>0</v>
      </c>
      <c r="M61" s="85">
        <f ca="1">IF('Invoer gegevens'!$C$17=E61,'Invoer gegevens'!$C$10-'Invoer gegevens'!$C$11,IF(C61=1,P60,0))</f>
        <v>0</v>
      </c>
      <c r="N61" s="86">
        <f ca="1">IF(E61='Invoer gegevens'!$C$17+'Invoer gegevens'!$I$14,P60,IF(C61&lt;1,0,IF(Reeksen!BG61&lt;=Reeksen!AE61,M61*Reeksen!C61,0)))</f>
        <v>0</v>
      </c>
      <c r="O61" s="86">
        <f ca="1">IF(E61='Invoer gegevens'!$C$17+'Invoer gegevens'!$I$14,P60,IF(C61&lt;1,0,IF(Reeksen!BG61&gt;Reeksen!AE61,M61*Reeksen!C61,0)))</f>
        <v>0</v>
      </c>
      <c r="P61" s="86">
        <f ca="1">IF(E61&gt;='Invoer gegevens'!$C$17+'Invoer gegevens'!$I$14,0,M61-N61-O61)</f>
        <v>0</v>
      </c>
      <c r="Q61" s="82">
        <f ca="1">IF('Invoer gegevens'!$C$17=E61,I61,IF(C61=0,0,R60))</f>
        <v>0</v>
      </c>
      <c r="R61" s="84">
        <f t="shared" ca="1" si="0"/>
        <v>0</v>
      </c>
      <c r="S61" s="84">
        <f ca="1">IF('Invoer gegevens'!$C$17=E61,M61,IF(C61=0,0,T60))</f>
        <v>0</v>
      </c>
      <c r="T61" s="84">
        <f t="shared" ca="1" si="1"/>
        <v>0</v>
      </c>
      <c r="AH61" s="66"/>
      <c r="AI61" s="71">
        <f ca="1">IF(C61=1,((F61+H61)/2*Reeksen!BF61*12)+(('Invoer gegevens'!$C$10-(F61+H61)/2)*Reeksen!BG61*12),0)</f>
        <v>0</v>
      </c>
      <c r="AJ61" s="71">
        <f ca="1">-AI61*'Invoer gegevens'!$I$26</f>
        <v>0</v>
      </c>
      <c r="AK61" s="71">
        <f t="shared" ca="1" si="2"/>
        <v>0</v>
      </c>
      <c r="AL61" s="71">
        <f ca="1">IF(C61=1,(12*((F61+H61)/2)*Reeksen!AL61)+(12*('Invoer gegevens'!$C$10-(F61+H61)/2)*Reeksen!AM61),0)</f>
        <v>0</v>
      </c>
      <c r="AM61" s="71">
        <f ca="1">-AL61*'Invoer gegevens'!$F$31</f>
        <v>0</v>
      </c>
      <c r="AN61" s="71">
        <f t="shared" ca="1" si="3"/>
        <v>0</v>
      </c>
      <c r="AO61" s="71"/>
      <c r="AP61" s="71"/>
      <c r="AQ61" s="71">
        <f ca="1">-IF(C61=1,('Invoer gegevens'!$C$10*'Invoer gegevens'!$I$33)*Reeksen!J61,0)</f>
        <v>0</v>
      </c>
      <c r="AR61" s="71">
        <f ca="1">-IF(C61=1,(G61*'Invoer gegevens'!$I$34)*Reeksen!J61,0)</f>
        <v>0</v>
      </c>
      <c r="AS61" s="71">
        <f ca="1">-IF(C61=1,'Invoer gegevens'!$C$10*'Invoer gegevens'!$I$35*Reeksen!L61,0)</f>
        <v>0</v>
      </c>
      <c r="AT61" s="71">
        <f ca="1">-IF(C61=1,IF(E61='Invoer gegevens'!$C$17,'Invoer gegevens'!$C$11,Q61)*Reeksen!S61*'Invoer gegevens'!$C$18*Reeksen!P61,0)</f>
        <v>0</v>
      </c>
      <c r="AU61" s="71">
        <f ca="1">-IF(C61=1,'Invoer gegevens'!$C$10*'Invoer gegevens'!$I$36*Reeksen!H61,0)</f>
        <v>0</v>
      </c>
      <c r="AV61" s="71">
        <f t="shared" ca="1" si="4"/>
        <v>0</v>
      </c>
      <c r="AW61" s="72">
        <f ca="1">IFERROR(IF(E61='Invoer gegevens'!$C$17+'Invoer gegevens'!$I$14-1,'Invoer gegevens'!$I$13*'Invoer gegevens'!$C$10*Reeksen!H61,0),0)</f>
        <v>0</v>
      </c>
      <c r="AX61" s="72">
        <f ca="1">IFERROR(IF(E61='Invoer gegevens'!$C$17,-'Invoer gegevens'!$C$10*'Invoer gegevens'!$C$31*Reeksen!H61,0),0)</f>
        <v>0</v>
      </c>
      <c r="AY61" s="73">
        <f ca="1">IF('Invoer gegevens'!$C$34=E61,'Invoer gegevens'!$C$27*'Invoer gegevens'!$C$10*'Invoer gegevens'!$C$36*(IF('Invoer gegevens'!$C$35="ja",1,Reeksen!J61)),IF('Invoer gegevens'!$C$34+1=E61,'Invoer gegevens'!$C$27*'Invoer gegevens'!$C$10*'Invoer gegevens'!$C$37*(IF('Invoer gegevens'!$C$35="ja",1,Reeksen!J61)),0))+IF(AND(E61='Invoer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61" s="73">
        <f ca="1">AV61/(1+'Invoer gegevens'!$I$12)^($D61-('Invoer gegevens'!$C$17-'Invoer gegevens'!$C$16))/(1+'Invoer gegevens'!$C$39)^('Invoer gegevens'!$C$17-'Invoer gegevens'!$C$16)</f>
        <v>0</v>
      </c>
      <c r="BA61" s="73">
        <f ca="1">AW61/(1+'Invoer gegevens'!$I$12)^(E61-('Invoer gegevens'!$C$17-1))/(1+'Invoer gegevens'!$C$39)^('Invoer gegevens'!$C$17-'Invoer gegevens'!$C$16)</f>
        <v>0</v>
      </c>
      <c r="BB61" s="73">
        <f ca="1">AX61/(1+'Invoer gegevens'!$C$39)^('Invoer gegevens'!$C$17-'Invoer gegevens'!$C$16)</f>
        <v>0</v>
      </c>
      <c r="BC61" s="72">
        <f t="shared" ca="1" si="5"/>
        <v>0</v>
      </c>
      <c r="BD61" s="72">
        <f ca="1">IF(AND(E61='Invoer gegevens'!$C$16,'Invoer gegevens'!$C$34&lt;'Invoer gegevens'!$C$16),AY61,AY61/(1+'Invoer gegevens'!$C$39)^D61)</f>
        <v>0</v>
      </c>
      <c r="BE61" s="72">
        <f ca="1">IF(E61='Invoer gegevens'!$C$34,-'Invoer gegevens'!$I$38,0)</f>
        <v>0</v>
      </c>
      <c r="BF61" s="72">
        <f ca="1">IF(E61='Invoer gegevens'!$C$17,-'Invoer gegevens'!$C$19*$BC$66,0)</f>
        <v>0</v>
      </c>
      <c r="BG61" s="72">
        <f ca="1">AV61/(1+$BG$4)^($D61-('Invoer gegevens'!$C$17-'Invoer gegevens'!$C$16))/(1+'Invoer gegevens'!$C$39)^('Invoer gegevens'!$C$17-'Invoer gegevens'!$C$16)+AW61/(1+$BG$4)^(E61-('Invoer gegevens'!$C$17-1))/(1+'Invoer gegevens'!$C$39)^('Invoer gegevens'!$C$17-'Invoer gegevens'!$C$16)+AX61/(1+'Invoer gegevens'!$C$39)^('Invoer gegevens'!$C$17-'Invoer gegevens'!$C$16)+(-AY61/(1+'Invoer gegevens'!$C$39)^D61)+BE61+BF61</f>
        <v>0</v>
      </c>
      <c r="BH61" s="59"/>
      <c r="BI61" s="215"/>
      <c r="BJ61" s="214"/>
    </row>
    <row r="62" spans="1:62" x14ac:dyDescent="0.25">
      <c r="A62" s="59"/>
      <c r="B62" s="70">
        <f t="shared" si="6"/>
        <v>58</v>
      </c>
      <c r="C62" s="67">
        <f ca="1">IF(AND(E62&gt;='Invoer gegevens'!$C$17,E62&lt;'Invoer gegevens'!$C$17+'Invoer gegevens'!$I$14),1,0)</f>
        <v>0</v>
      </c>
      <c r="D62" s="68">
        <f t="shared" si="7"/>
        <v>57.5</v>
      </c>
      <c r="E62" s="69">
        <f ca="1">IF('Invoer gegevens'!$C$16="","",E61+1)</f>
        <v>2076</v>
      </c>
      <c r="F62" s="82">
        <f ca="1">IF('Invoer gegevens'!$C$17=E62,'Invoer gegevens'!$C$10,IF(C62=1,H61,0))</f>
        <v>0</v>
      </c>
      <c r="G62" s="83">
        <f ca="1">IF(E62='Invoer gegevens'!$C$17+'Invoer gegevens'!$I$14,H61,IF(C62&gt;=1,F62*Reeksen!C62,0))</f>
        <v>0</v>
      </c>
      <c r="H62" s="84">
        <f ca="1">IF(E62&gt;='Invoer gegevens'!$C$17+'Invoer gegevens'!$I$14,0,F62-G62)</f>
        <v>0</v>
      </c>
      <c r="I62" s="85">
        <f ca="1">IF('Invoer gegevens'!$C$17=E62,'Invoer gegevens'!$C$11,IF(C62=1,L61,0))</f>
        <v>0</v>
      </c>
      <c r="J62" s="86">
        <f ca="1">IF(E62='Invoer gegevens'!$C$17+'Invoer gegevens'!$I$14,L61,IF(C62&lt;1,0,IF(Reeksen!BG62&lt;=Reeksen!AE62,I62*Reeksen!C62,0)))</f>
        <v>0</v>
      </c>
      <c r="K62" s="86">
        <f ca="1">IF(E62='Invoer gegevens'!$C$17+'Invoer gegevens'!$I$14,L61,IF(C62&lt;1,0,IF(Reeksen!BG62&gt;Reeksen!AE62,I62*Reeksen!C62,0)))</f>
        <v>0</v>
      </c>
      <c r="L62" s="86">
        <f ca="1">IF(E62&gt;='Invoer gegevens'!$C$17+'Invoer gegevens'!$I$14,0,I62-J62-K62)</f>
        <v>0</v>
      </c>
      <c r="M62" s="85">
        <f ca="1">IF('Invoer gegevens'!$C$17=E62,'Invoer gegevens'!$C$10-'Invoer gegevens'!$C$11,IF(C62=1,P61,0))</f>
        <v>0</v>
      </c>
      <c r="N62" s="86">
        <f ca="1">IF(E62='Invoer gegevens'!$C$17+'Invoer gegevens'!$I$14,P61,IF(C62&lt;1,0,IF(Reeksen!BG62&lt;=Reeksen!AE62,M62*Reeksen!C62,0)))</f>
        <v>0</v>
      </c>
      <c r="O62" s="86">
        <f ca="1">IF(E62='Invoer gegevens'!$C$17+'Invoer gegevens'!$I$14,P61,IF(C62&lt;1,0,IF(Reeksen!BG62&gt;Reeksen!AE62,M62*Reeksen!C62,0)))</f>
        <v>0</v>
      </c>
      <c r="P62" s="86">
        <f ca="1">IF(E62&gt;='Invoer gegevens'!$C$17+'Invoer gegevens'!$I$14,0,M62-N62-O62)</f>
        <v>0</v>
      </c>
      <c r="Q62" s="82">
        <f ca="1">IF('Invoer gegevens'!$C$17=E62,I62,IF(C62=0,0,R61))</f>
        <v>0</v>
      </c>
      <c r="R62" s="84">
        <f t="shared" ca="1" si="0"/>
        <v>0</v>
      </c>
      <c r="S62" s="84">
        <f ca="1">IF('Invoer gegevens'!$C$17=E62,M62,IF(C62=0,0,T61))</f>
        <v>0</v>
      </c>
      <c r="T62" s="84">
        <f t="shared" ca="1" si="1"/>
        <v>0</v>
      </c>
      <c r="U62" s="70"/>
      <c r="V62" s="70"/>
      <c r="W62" s="70"/>
      <c r="X62" s="70"/>
      <c r="Y62" s="70"/>
      <c r="Z62" s="70"/>
      <c r="AA62" s="70"/>
      <c r="AB62" s="68"/>
      <c r="AC62" s="70"/>
      <c r="AD62" s="70"/>
      <c r="AE62" s="70"/>
      <c r="AF62" s="70"/>
      <c r="AG62" s="70"/>
      <c r="AH62" s="66"/>
      <c r="AI62" s="71">
        <f ca="1">IF(C62=1,((F62+H62)/2*Reeksen!BF62*12)+(('Invoer gegevens'!$C$10-(F62+H62)/2)*Reeksen!BG62*12),0)</f>
        <v>0</v>
      </c>
      <c r="AJ62" s="71">
        <f ca="1">-AI62*'Invoer gegevens'!$I$26</f>
        <v>0</v>
      </c>
      <c r="AK62" s="71">
        <f t="shared" ca="1" si="2"/>
        <v>0</v>
      </c>
      <c r="AL62" s="71">
        <f ca="1">IF(C62=1,(12*((F62+H62)/2)*Reeksen!AL62)+(12*('Invoer gegevens'!$C$10-(F62+H62)/2)*Reeksen!AM62),0)</f>
        <v>0</v>
      </c>
      <c r="AM62" s="71">
        <f ca="1">-AL62*'Invoer gegevens'!$F$31</f>
        <v>0</v>
      </c>
      <c r="AN62" s="71">
        <f t="shared" ca="1" si="3"/>
        <v>0</v>
      </c>
      <c r="AO62" s="71"/>
      <c r="AP62" s="71"/>
      <c r="AQ62" s="71">
        <f ca="1">-IF(C62=1,('Invoer gegevens'!$C$10*'Invoer gegevens'!$I$33)*Reeksen!J62,0)</f>
        <v>0</v>
      </c>
      <c r="AR62" s="71">
        <f ca="1">-IF(C62=1,(G62*'Invoer gegevens'!$I$34)*Reeksen!J62,0)</f>
        <v>0</v>
      </c>
      <c r="AS62" s="71">
        <f ca="1">-IF(C62=1,'Invoer gegevens'!$C$10*'Invoer gegevens'!$I$35*Reeksen!L62,0)</f>
        <v>0</v>
      </c>
      <c r="AT62" s="71">
        <f ca="1">-IF(C62=1,IF(E62='Invoer gegevens'!$C$17,'Invoer gegevens'!$C$11,Q62)*Reeksen!S62*'Invoer gegevens'!$C$18*Reeksen!P62,0)</f>
        <v>0</v>
      </c>
      <c r="AU62" s="71">
        <f ca="1">-IF(C62=1,'Invoer gegevens'!$C$10*'Invoer gegevens'!$I$36*Reeksen!H62,0)</f>
        <v>0</v>
      </c>
      <c r="AV62" s="71">
        <f t="shared" ca="1" si="4"/>
        <v>0</v>
      </c>
      <c r="AW62" s="72">
        <f ca="1">IFERROR(IF(E62='Invoer gegevens'!$C$17+'Invoer gegevens'!$I$14-1,'Invoer gegevens'!$I$13*'Invoer gegevens'!$C$10*Reeksen!H62,0),0)</f>
        <v>0</v>
      </c>
      <c r="AX62" s="72">
        <f ca="1">IFERROR(IF(E62='Invoer gegevens'!$C$17,-'Invoer gegevens'!$C$10*'Invoer gegevens'!$C$31*Reeksen!H62,0),0)</f>
        <v>0</v>
      </c>
      <c r="AY62" s="73">
        <f ca="1">IF('Invoer gegevens'!$C$34=E62,'Invoer gegevens'!$C$27*'Invoer gegevens'!$C$10*'Invoer gegevens'!$C$36*(IF('Invoer gegevens'!$C$35="ja",1,Reeksen!J62)),IF('Invoer gegevens'!$C$34+1=E62,'Invoer gegevens'!$C$27*'Invoer gegevens'!$C$10*'Invoer gegevens'!$C$37*(IF('Invoer gegevens'!$C$35="ja",1,Reeksen!J62)),0))+IF(AND(E62='Invoer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62" s="73">
        <f ca="1">AV62/(1+'Invoer gegevens'!$I$12)^($D62-('Invoer gegevens'!$C$17-'Invoer gegevens'!$C$16))/(1+'Invoer gegevens'!$C$39)^('Invoer gegevens'!$C$17-'Invoer gegevens'!$C$16)</f>
        <v>0</v>
      </c>
      <c r="BA62" s="73">
        <f ca="1">AW62/(1+'Invoer gegevens'!$I$12)^(E62-('Invoer gegevens'!$C$17-1))/(1+'Invoer gegevens'!$C$39)^('Invoer gegevens'!$C$17-'Invoer gegevens'!$C$16)</f>
        <v>0</v>
      </c>
      <c r="BB62" s="73">
        <f ca="1">AX62/(1+'Invoer gegevens'!$C$39)^('Invoer gegevens'!$C$17-'Invoer gegevens'!$C$16)</f>
        <v>0</v>
      </c>
      <c r="BC62" s="72">
        <f t="shared" ca="1" si="5"/>
        <v>0</v>
      </c>
      <c r="BD62" s="72">
        <f ca="1">IF(AND(E62='Invoer gegevens'!$C$16,'Invoer gegevens'!$C$34&lt;'Invoer gegevens'!$C$16),AY62,AY62/(1+'Invoer gegevens'!$C$39)^D62)</f>
        <v>0</v>
      </c>
      <c r="BE62" s="72">
        <f ca="1">IF(E62='Invoer gegevens'!$C$34,-'Invoer gegevens'!$I$38,0)</f>
        <v>0</v>
      </c>
      <c r="BF62" s="72">
        <f ca="1">IF(E62='Invoer gegevens'!$C$17,-'Invoer gegevens'!$C$19*$BC$66,0)</f>
        <v>0</v>
      </c>
      <c r="BG62" s="72">
        <f ca="1">AV62/(1+$BG$4)^($D62-('Invoer gegevens'!$C$17-'Invoer gegevens'!$C$16))/(1+'Invoer gegevens'!$C$39)^('Invoer gegevens'!$C$17-'Invoer gegevens'!$C$16)+AW62/(1+$BG$4)^(E62-('Invoer gegevens'!$C$17-1))/(1+'Invoer gegevens'!$C$39)^('Invoer gegevens'!$C$17-'Invoer gegevens'!$C$16)+AX62/(1+'Invoer gegevens'!$C$39)^('Invoer gegevens'!$C$17-'Invoer gegevens'!$C$16)+(-AY62/(1+'Invoer gegevens'!$C$39)^D62)+BE62+BF62</f>
        <v>0</v>
      </c>
      <c r="BH62" s="59"/>
      <c r="BJ62" s="214"/>
    </row>
    <row r="63" spans="1:62" x14ac:dyDescent="0.25">
      <c r="A63" s="59"/>
      <c r="B63" s="70">
        <f t="shared" si="6"/>
        <v>59</v>
      </c>
      <c r="C63" s="67">
        <f ca="1">IF(AND(E63&gt;='Invoer gegevens'!$C$17,E63&lt;'Invoer gegevens'!$C$17+'Invoer gegevens'!$I$14),1,0)</f>
        <v>0</v>
      </c>
      <c r="D63" s="68">
        <f t="shared" si="7"/>
        <v>58.5</v>
      </c>
      <c r="E63" s="69">
        <f ca="1">IF('Invoer gegevens'!$C$16="","",E62+1)</f>
        <v>2077</v>
      </c>
      <c r="F63" s="82">
        <f ca="1">IF('Invoer gegevens'!$C$17=E63,'Invoer gegevens'!$C$10,IF(C63=1,H62,0))</f>
        <v>0</v>
      </c>
      <c r="G63" s="83">
        <f ca="1">IF(E63='Invoer gegevens'!$C$17+'Invoer gegevens'!$I$14,H62,IF(C63&gt;=1,F63*Reeksen!C63,0))</f>
        <v>0</v>
      </c>
      <c r="H63" s="84">
        <f ca="1">IF(E63&gt;='Invoer gegevens'!$C$17+'Invoer gegevens'!$I$14,0,F63-G63)</f>
        <v>0</v>
      </c>
      <c r="I63" s="85">
        <f ca="1">IF('Invoer gegevens'!$C$17=E63,'Invoer gegevens'!$C$11,IF(C63=1,L62,0))</f>
        <v>0</v>
      </c>
      <c r="J63" s="86">
        <f ca="1">IF(E63='Invoer gegevens'!$C$17+'Invoer gegevens'!$I$14,L62,IF(C63&lt;1,0,IF(Reeksen!BG63&lt;=Reeksen!AE63,I63*Reeksen!C63,0)))</f>
        <v>0</v>
      </c>
      <c r="K63" s="86">
        <f ca="1">IF(E63='Invoer gegevens'!$C$17+'Invoer gegevens'!$I$14,L62,IF(C63&lt;1,0,IF(Reeksen!BG63&gt;Reeksen!AE63,I63*Reeksen!C63,0)))</f>
        <v>0</v>
      </c>
      <c r="L63" s="86">
        <f ca="1">IF(E63&gt;='Invoer gegevens'!$C$17+'Invoer gegevens'!$I$14,0,I63-J63-K63)</f>
        <v>0</v>
      </c>
      <c r="M63" s="85">
        <f ca="1">IF('Invoer gegevens'!$C$17=E63,'Invoer gegevens'!$C$10-'Invoer gegevens'!$C$11,IF(C63=1,P62,0))</f>
        <v>0</v>
      </c>
      <c r="N63" s="86">
        <f ca="1">IF(E63='Invoer gegevens'!$C$17+'Invoer gegevens'!$I$14,P62,IF(C63&lt;1,0,IF(Reeksen!BG63&lt;=Reeksen!AE63,M63*Reeksen!C63,0)))</f>
        <v>0</v>
      </c>
      <c r="O63" s="86">
        <f ca="1">IF(E63='Invoer gegevens'!$C$17+'Invoer gegevens'!$I$14,P62,IF(C63&lt;1,0,IF(Reeksen!BG63&gt;Reeksen!AE63,M63*Reeksen!C63,0)))</f>
        <v>0</v>
      </c>
      <c r="P63" s="86">
        <f ca="1">IF(E63&gt;='Invoer gegevens'!$C$17+'Invoer gegevens'!$I$14,0,M63-N63-O63)</f>
        <v>0</v>
      </c>
      <c r="Q63" s="82">
        <f ca="1">IF('Invoer gegevens'!$C$17=E63,I63,IF(C63=0,0,R62))</f>
        <v>0</v>
      </c>
      <c r="R63" s="84">
        <f t="shared" ca="1" si="0"/>
        <v>0</v>
      </c>
      <c r="S63" s="84">
        <f ca="1">IF('Invoer gegevens'!$C$17=E63,M63,IF(C63=0,0,T62))</f>
        <v>0</v>
      </c>
      <c r="T63" s="84">
        <f t="shared" ca="1" si="1"/>
        <v>0</v>
      </c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66"/>
      <c r="AI63" s="71">
        <f ca="1">IF(C63=1,((F63+H63)/2*Reeksen!BF63*12)+(('Invoer gegevens'!$C$10-(F63+H63)/2)*Reeksen!BG63*12),0)</f>
        <v>0</v>
      </c>
      <c r="AJ63" s="71">
        <f ca="1">-AI63*'Invoer gegevens'!$I$26</f>
        <v>0</v>
      </c>
      <c r="AK63" s="71">
        <f t="shared" ca="1" si="2"/>
        <v>0</v>
      </c>
      <c r="AL63" s="71">
        <f ca="1">IF(C63=1,(12*((F63+H63)/2)*Reeksen!AL63)+(12*('Invoer gegevens'!$C$10-(F63+H63)/2)*Reeksen!AM63),0)</f>
        <v>0</v>
      </c>
      <c r="AM63" s="71">
        <f ca="1">-AL63*'Invoer gegevens'!$F$31</f>
        <v>0</v>
      </c>
      <c r="AN63" s="71">
        <f t="shared" ca="1" si="3"/>
        <v>0</v>
      </c>
      <c r="AO63" s="71"/>
      <c r="AP63" s="71"/>
      <c r="AQ63" s="71">
        <f ca="1">-IF(C63=1,('Invoer gegevens'!$C$10*'Invoer gegevens'!$I$33)*Reeksen!J63,0)</f>
        <v>0</v>
      </c>
      <c r="AR63" s="71">
        <f ca="1">-IF(C63=1,(G63*'Invoer gegevens'!$I$34)*Reeksen!J63,0)</f>
        <v>0</v>
      </c>
      <c r="AS63" s="71">
        <f ca="1">-IF(C63=1,'Invoer gegevens'!$C$10*'Invoer gegevens'!$I$35*Reeksen!L63,0)</f>
        <v>0</v>
      </c>
      <c r="AT63" s="71">
        <f ca="1">-IF(C63=1,IF(E63='Invoer gegevens'!$C$17,'Invoer gegevens'!$C$11,Q63)*Reeksen!S63*'Invoer gegevens'!$C$18*Reeksen!P63,0)</f>
        <v>0</v>
      </c>
      <c r="AU63" s="71">
        <f ca="1">-IF(C63=1,'Invoer gegevens'!$C$10*'Invoer gegevens'!$I$36*Reeksen!H63,0)</f>
        <v>0</v>
      </c>
      <c r="AV63" s="71">
        <f t="shared" ca="1" si="4"/>
        <v>0</v>
      </c>
      <c r="AW63" s="72">
        <f ca="1">IFERROR(IF(E63='Invoer gegevens'!$C$17+'Invoer gegevens'!$I$14-1,'Invoer gegevens'!$I$13*'Invoer gegevens'!$C$10*Reeksen!H63,0),0)</f>
        <v>0</v>
      </c>
      <c r="AX63" s="72">
        <f ca="1">IFERROR(IF(E63='Invoer gegevens'!$C$17,-'Invoer gegevens'!$C$10*'Invoer gegevens'!$C$31*Reeksen!H63,0),0)</f>
        <v>0</v>
      </c>
      <c r="AY63" s="73">
        <f ca="1">IF('Invoer gegevens'!$C$34=E63,'Invoer gegevens'!$C$27*'Invoer gegevens'!$C$10*'Invoer gegevens'!$C$36*(IF('Invoer gegevens'!$C$35="ja",1,Reeksen!J63)),IF('Invoer gegevens'!$C$34+1=E63,'Invoer gegevens'!$C$27*'Invoer gegevens'!$C$10*'Invoer gegevens'!$C$37*(IF('Invoer gegevens'!$C$35="ja",1,Reeksen!J63)),0))+IF(AND(E63='Invoer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63" s="73">
        <f ca="1">AV63/(1+'Invoer gegevens'!$I$12)^($D63-('Invoer gegevens'!$C$17-'Invoer gegevens'!$C$16))/(1+'Invoer gegevens'!$C$39)^('Invoer gegevens'!$C$17-'Invoer gegevens'!$C$16)</f>
        <v>0</v>
      </c>
      <c r="BA63" s="73">
        <f ca="1">AW63/(1+'Invoer gegevens'!$I$12)^(E63-('Invoer gegevens'!$C$17-1))/(1+'Invoer gegevens'!$C$39)^('Invoer gegevens'!$C$17-'Invoer gegevens'!$C$16)</f>
        <v>0</v>
      </c>
      <c r="BB63" s="73">
        <f ca="1">AX63/(1+'Invoer gegevens'!$C$39)^('Invoer gegevens'!$C$17-'Invoer gegevens'!$C$16)</f>
        <v>0</v>
      </c>
      <c r="BC63" s="72">
        <f t="shared" ca="1" si="5"/>
        <v>0</v>
      </c>
      <c r="BD63" s="72">
        <f ca="1">IF(AND(E63='Invoer gegevens'!$C$16,'Invoer gegevens'!$C$34&lt;'Invoer gegevens'!$C$16),AY63,AY63/(1+'Invoer gegevens'!$C$39)^D63)</f>
        <v>0</v>
      </c>
      <c r="BE63" s="72">
        <f ca="1">IF(E63='Invoer gegevens'!$C$34,-'Invoer gegevens'!$I$38,0)</f>
        <v>0</v>
      </c>
      <c r="BF63" s="72">
        <f ca="1">IF(E63='Invoer gegevens'!$C$17,-'Invoer gegevens'!$C$19*$BC$66,0)</f>
        <v>0</v>
      </c>
      <c r="BG63" s="72">
        <f ca="1">AV63/(1+$BG$4)^($D63-('Invoer gegevens'!$C$17-'Invoer gegevens'!$C$16))/(1+'Invoer gegevens'!$C$39)^('Invoer gegevens'!$C$17-'Invoer gegevens'!$C$16)+AW63/(1+$BG$4)^(E63-('Invoer gegevens'!$C$17-1))/(1+'Invoer gegevens'!$C$39)^('Invoer gegevens'!$C$17-'Invoer gegevens'!$C$16)+AX63/(1+'Invoer gegevens'!$C$39)^('Invoer gegevens'!$C$17-'Invoer gegevens'!$C$16)+(-AY63/(1+'Invoer gegevens'!$C$39)^D63)+BE63+BF63</f>
        <v>0</v>
      </c>
      <c r="BH63" s="59"/>
      <c r="BJ63" s="214"/>
    </row>
    <row r="64" spans="1:62" x14ac:dyDescent="0.25">
      <c r="A64" s="59"/>
      <c r="B64" s="70">
        <f t="shared" si="6"/>
        <v>60</v>
      </c>
      <c r="C64" s="67">
        <f ca="1">IF(AND(E64&gt;='Invoer gegevens'!$C$17,E64&lt;'Invoer gegevens'!$C$17+'Invoer gegevens'!$I$14),1,0)</f>
        <v>0</v>
      </c>
      <c r="D64" s="68">
        <f t="shared" si="7"/>
        <v>59.5</v>
      </c>
      <c r="E64" s="69">
        <f ca="1">IF('Invoer gegevens'!$C$16="","",E63+1)</f>
        <v>2078</v>
      </c>
      <c r="F64" s="82">
        <f ca="1">IF('Invoer gegevens'!$C$17=E64,'Invoer gegevens'!$C$10,IF(C64=1,H63,0))</f>
        <v>0</v>
      </c>
      <c r="G64" s="83">
        <f ca="1">IF(E64='Invoer gegevens'!$C$17+'Invoer gegevens'!$I$14,H63,IF(C64&gt;=1,F64*Reeksen!C64,0))</f>
        <v>0</v>
      </c>
      <c r="H64" s="84">
        <f ca="1">IF(E64&gt;='Invoer gegevens'!$C$17+'Invoer gegevens'!$I$14,0,F64-G64)</f>
        <v>0</v>
      </c>
      <c r="I64" s="85">
        <f ca="1">IF('Invoer gegevens'!$C$17=E64,'Invoer gegevens'!$C$11,IF(C64=1,L63,0))</f>
        <v>0</v>
      </c>
      <c r="J64" s="86">
        <f ca="1">IF(E64='Invoer gegevens'!$C$17+'Invoer gegevens'!$I$14,L63,IF(C64&lt;1,0,IF(Reeksen!BG64&lt;=Reeksen!AE64,I64*Reeksen!C64,0)))</f>
        <v>0</v>
      </c>
      <c r="K64" s="86">
        <f ca="1">IF(E64='Invoer gegevens'!$C$17+'Invoer gegevens'!$I$14,L63,IF(C64&lt;1,0,IF(Reeksen!BG64&gt;Reeksen!AE64,I64*Reeksen!C64,0)))</f>
        <v>0</v>
      </c>
      <c r="L64" s="86">
        <f ca="1">IF(E64&gt;='Invoer gegevens'!$C$17+'Invoer gegevens'!$I$14,0,I64-J64-K64)</f>
        <v>0</v>
      </c>
      <c r="M64" s="85">
        <f ca="1">IF('Invoer gegevens'!$C$17=E64,'Invoer gegevens'!$C$10-'Invoer gegevens'!$C$11,IF(C64=1,P63,0))</f>
        <v>0</v>
      </c>
      <c r="N64" s="86">
        <f ca="1">IF(E64='Invoer gegevens'!$C$17+'Invoer gegevens'!$I$14,P63,IF(C64&lt;1,0,IF(Reeksen!BG64&lt;=Reeksen!AE64,M64*Reeksen!C64,0)))</f>
        <v>0</v>
      </c>
      <c r="O64" s="86">
        <f ca="1">IF(E64='Invoer gegevens'!$C$17+'Invoer gegevens'!$I$14,P63,IF(C64&lt;1,0,IF(Reeksen!BG64&gt;Reeksen!AE64,M64*Reeksen!C64,0)))</f>
        <v>0</v>
      </c>
      <c r="P64" s="86">
        <f ca="1">IF(E64&gt;='Invoer gegevens'!$C$17+'Invoer gegevens'!$I$14,0,M64-N64-O64)</f>
        <v>0</v>
      </c>
      <c r="Q64" s="82">
        <f ca="1">IF('Invoer gegevens'!$C$17=E64,I64,IF(C64=0,0,R63))</f>
        <v>0</v>
      </c>
      <c r="R64" s="84">
        <f t="shared" ca="1" si="0"/>
        <v>0</v>
      </c>
      <c r="S64" s="84">
        <f ca="1">IF('Invoer gegevens'!$C$17=E64,M64,IF(C64=0,0,T63))</f>
        <v>0</v>
      </c>
      <c r="T64" s="84">
        <f t="shared" ca="1" si="1"/>
        <v>0</v>
      </c>
      <c r="AH64" s="66"/>
      <c r="AI64" s="71">
        <f ca="1">IF(C64=1,((F64+H64)/2*Reeksen!BF64*12)+(('Invoer gegevens'!$C$10-(F64+H64)/2)*Reeksen!BG64*12),0)</f>
        <v>0</v>
      </c>
      <c r="AJ64" s="71">
        <f ca="1">-AI64*'Invoer gegevens'!$I$26</f>
        <v>0</v>
      </c>
      <c r="AK64" s="71">
        <f t="shared" ca="1" si="2"/>
        <v>0</v>
      </c>
      <c r="AL64" s="71">
        <f ca="1">IF(C64=1,(12*((F64+H64)/2)*Reeksen!AL64)+(12*('Invoer gegevens'!$C$10-(F64+H64)/2)*Reeksen!AM64),0)</f>
        <v>0</v>
      </c>
      <c r="AM64" s="71">
        <f ca="1">-AL64*'Invoer gegevens'!$F$31</f>
        <v>0</v>
      </c>
      <c r="AN64" s="71">
        <f t="shared" ca="1" si="3"/>
        <v>0</v>
      </c>
      <c r="AO64" s="71"/>
      <c r="AP64" s="71"/>
      <c r="AQ64" s="71">
        <f ca="1">-IF(C64=1,('Invoer gegevens'!$C$10*'Invoer gegevens'!$I$33)*Reeksen!J64,0)</f>
        <v>0</v>
      </c>
      <c r="AR64" s="71">
        <f ca="1">-IF(C64=1,(G64*'Invoer gegevens'!$I$34)*Reeksen!J64,0)</f>
        <v>0</v>
      </c>
      <c r="AS64" s="71">
        <f ca="1">-IF(C64=1,'Invoer gegevens'!$C$10*'Invoer gegevens'!$I$35*Reeksen!L64,0)</f>
        <v>0</v>
      </c>
      <c r="AT64" s="71">
        <f ca="1">-IF(C64=1,IF(E64='Invoer gegevens'!$C$17,'Invoer gegevens'!$C$11,Q64)*Reeksen!S64*'Invoer gegevens'!$C$18*Reeksen!P64,0)</f>
        <v>0</v>
      </c>
      <c r="AU64" s="71">
        <f ca="1">-IF(C64=1,'Invoer gegevens'!$C$10*'Invoer gegevens'!$I$36*Reeksen!H64,0)</f>
        <v>0</v>
      </c>
      <c r="AV64" s="71">
        <f t="shared" ca="1" si="4"/>
        <v>0</v>
      </c>
      <c r="AW64" s="72">
        <f ca="1">IFERROR(IF(E64='Invoer gegevens'!$C$17+'Invoer gegevens'!$I$14-1,'Invoer gegevens'!$I$13*'Invoer gegevens'!$C$10*Reeksen!H64,0),0)</f>
        <v>0</v>
      </c>
      <c r="AX64" s="72">
        <f ca="1">IFERROR(IF(E64='Invoer gegevens'!$C$17,-'Invoer gegevens'!$C$10*'Invoer gegevens'!$C$31*Reeksen!H64,0),0)</f>
        <v>0</v>
      </c>
      <c r="AY64" s="73">
        <f ca="1">IF('Invoer gegevens'!$C$34=E64,'Invoer gegevens'!$C$27*'Invoer gegevens'!$C$10*'Invoer gegevens'!$C$36*(IF('Invoer gegevens'!$C$35="ja",1,Reeksen!J64)),IF('Invoer gegevens'!$C$34+1=E64,'Invoer gegevens'!$C$27*'Invoer gegevens'!$C$10*'Invoer gegevens'!$C$37*(IF('Invoer gegevens'!$C$35="ja",1,Reeksen!J64)),0))+IF(AND(E64='Invoer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64" s="73">
        <f ca="1">AV64/(1+'Invoer gegevens'!$I$12)^($D64-('Invoer gegevens'!$C$17-'Invoer gegevens'!$C$16))/(1+'Invoer gegevens'!$C$39)^('Invoer gegevens'!$C$17-'Invoer gegevens'!$C$16)</f>
        <v>0</v>
      </c>
      <c r="BA64" s="73">
        <f ca="1">AW64/(1+'Invoer gegevens'!$I$12)^(E64-('Invoer gegevens'!$C$17-1))/(1+'Invoer gegevens'!$C$39)^('Invoer gegevens'!$C$17-'Invoer gegevens'!$C$16)</f>
        <v>0</v>
      </c>
      <c r="BB64" s="73">
        <f ca="1">AX64/(1+'Invoer gegevens'!$C$39)^('Invoer gegevens'!$C$17-'Invoer gegevens'!$C$16)</f>
        <v>0</v>
      </c>
      <c r="BC64" s="72">
        <f t="shared" ca="1" si="5"/>
        <v>0</v>
      </c>
      <c r="BD64" s="72">
        <f ca="1">IF(AND(E64='Invoer gegevens'!$C$16,'Invoer gegevens'!$C$34&lt;'Invoer gegevens'!$C$16),AY64,AY64/(1+'Invoer gegevens'!$C$39)^D64)</f>
        <v>0</v>
      </c>
      <c r="BE64" s="72">
        <f ca="1">IF(E64='Invoer gegevens'!$C$34,-'Invoer gegevens'!$I$38,0)</f>
        <v>0</v>
      </c>
      <c r="BF64" s="72">
        <f ca="1">IF(E64='Invoer gegevens'!$C$17,-'Invoer gegevens'!$C$19*$BC$66,0)</f>
        <v>0</v>
      </c>
      <c r="BG64" s="72">
        <f ca="1">AV64/(1+$BG$4)^($D64-('Invoer gegevens'!$C$17-'Invoer gegevens'!$C$16))/(1+'Invoer gegevens'!$C$39)^('Invoer gegevens'!$C$17-'Invoer gegevens'!$C$16)+AW64/(1+$BG$4)^(E64-('Invoer gegevens'!$C$17-1))/(1+'Invoer gegevens'!$C$39)^('Invoer gegevens'!$C$17-'Invoer gegevens'!$C$16)+AX64/(1+'Invoer gegevens'!$C$39)^('Invoer gegevens'!$C$17-'Invoer gegevens'!$C$16)+(-AY64/(1+'Invoer gegevens'!$C$39)^D64)+BE64+BF64</f>
        <v>0</v>
      </c>
      <c r="BH64" s="64"/>
      <c r="BJ64" s="214"/>
    </row>
    <row r="65" spans="1:61" x14ac:dyDescent="0.25">
      <c r="A65" s="64"/>
      <c r="B65" s="70"/>
      <c r="C65" s="67"/>
      <c r="D65" s="68"/>
      <c r="E65" s="69"/>
      <c r="F65" s="82"/>
      <c r="G65" s="83"/>
      <c r="H65" s="84"/>
      <c r="I65" s="85"/>
      <c r="J65" s="86"/>
      <c r="K65" s="86"/>
      <c r="L65" s="86"/>
      <c r="M65" s="85"/>
      <c r="N65" s="86"/>
      <c r="O65" s="86"/>
      <c r="P65" s="86"/>
      <c r="Q65" s="82"/>
      <c r="R65" s="84"/>
      <c r="S65" s="84"/>
      <c r="T65" s="8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70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61" x14ac:dyDescent="0.25">
      <c r="AH66" s="77"/>
      <c r="AI66" s="78">
        <f t="shared" ref="AI66:BF66" ca="1" si="8">SUM(AI5:AI64)</f>
        <v>0</v>
      </c>
      <c r="AJ66" s="78">
        <f t="shared" ca="1" si="8"/>
        <v>0</v>
      </c>
      <c r="AK66" s="78">
        <f t="shared" ca="1" si="8"/>
        <v>0</v>
      </c>
      <c r="AL66" s="78">
        <f t="shared" ca="1" si="8"/>
        <v>0</v>
      </c>
      <c r="AM66" s="78">
        <f t="shared" ca="1" si="8"/>
        <v>0</v>
      </c>
      <c r="AN66" s="78">
        <f t="shared" ca="1" si="8"/>
        <v>0</v>
      </c>
      <c r="AO66" s="78">
        <f t="shared" si="8"/>
        <v>0</v>
      </c>
      <c r="AP66" s="78">
        <f t="shared" si="8"/>
        <v>0</v>
      </c>
      <c r="AQ66" s="78">
        <f t="shared" ca="1" si="8"/>
        <v>0</v>
      </c>
      <c r="AR66" s="78">
        <f t="shared" ca="1" si="8"/>
        <v>0</v>
      </c>
      <c r="AS66" s="78">
        <f t="shared" ca="1" si="8"/>
        <v>0</v>
      </c>
      <c r="AT66" s="78">
        <f t="shared" ca="1" si="8"/>
        <v>0</v>
      </c>
      <c r="AU66" s="78">
        <f t="shared" ca="1" si="8"/>
        <v>0</v>
      </c>
      <c r="AV66" s="78">
        <f t="shared" ca="1" si="8"/>
        <v>0</v>
      </c>
      <c r="AW66" s="78">
        <f t="shared" ca="1" si="8"/>
        <v>0</v>
      </c>
      <c r="AX66" s="78">
        <f t="shared" ca="1" si="8"/>
        <v>0</v>
      </c>
      <c r="AY66" s="78">
        <f t="shared" ca="1" si="8"/>
        <v>0</v>
      </c>
      <c r="AZ66" s="78">
        <f t="shared" ca="1" si="8"/>
        <v>0</v>
      </c>
      <c r="BA66" s="78">
        <f t="shared" ca="1" si="8"/>
        <v>0</v>
      </c>
      <c r="BB66" s="78">
        <f t="shared" ca="1" si="8"/>
        <v>0</v>
      </c>
      <c r="BC66" s="78">
        <f t="shared" ca="1" si="8"/>
        <v>0</v>
      </c>
      <c r="BD66" s="78">
        <f t="shared" ca="1" si="8"/>
        <v>0</v>
      </c>
      <c r="BE66" s="78">
        <f t="shared" ca="1" si="8"/>
        <v>0</v>
      </c>
      <c r="BF66" s="78">
        <f t="shared" ca="1" si="8"/>
        <v>0</v>
      </c>
      <c r="BG66" s="78">
        <f ca="1">SUM(BG5:BG64)</f>
        <v>0</v>
      </c>
    </row>
    <row r="67" spans="1:61" x14ac:dyDescent="0.25"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</row>
    <row r="69" spans="1:61" ht="15.75" x14ac:dyDescent="0.25">
      <c r="A69" s="89" t="s">
        <v>720</v>
      </c>
      <c r="B69" s="89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</row>
    <row r="70" spans="1:61" x14ac:dyDescent="0.25">
      <c r="A70" s="59"/>
      <c r="B70" s="70"/>
      <c r="C70" s="70"/>
      <c r="D70" s="70"/>
      <c r="E70" s="70"/>
      <c r="F70" s="397" t="s">
        <v>721</v>
      </c>
      <c r="G70" s="398"/>
      <c r="H70" s="398"/>
      <c r="I70" s="398"/>
      <c r="J70" s="398"/>
      <c r="K70" s="399"/>
      <c r="L70" s="400" t="s">
        <v>814</v>
      </c>
      <c r="M70" s="401"/>
      <c r="N70" s="401"/>
      <c r="O70" s="401"/>
      <c r="P70" s="401"/>
      <c r="Q70" s="402"/>
      <c r="R70" s="397" t="s">
        <v>666</v>
      </c>
      <c r="S70" s="398"/>
      <c r="T70" s="398"/>
      <c r="U70" s="398"/>
      <c r="V70" s="398"/>
      <c r="W70" s="399"/>
      <c r="X70" s="397" t="s">
        <v>667</v>
      </c>
      <c r="Y70" s="398"/>
      <c r="Z70" s="398"/>
      <c r="AA70" s="398"/>
      <c r="AB70" s="398"/>
      <c r="AC70" s="399"/>
      <c r="AD70" s="397" t="s">
        <v>700</v>
      </c>
      <c r="AE70" s="398"/>
      <c r="AF70" s="398"/>
      <c r="AG70" s="398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I70" s="80"/>
    </row>
    <row r="71" spans="1:61" ht="15" customHeight="1" x14ac:dyDescent="0.25">
      <c r="A71" s="59"/>
      <c r="B71" s="91" t="s">
        <v>668</v>
      </c>
      <c r="C71" s="91" t="s">
        <v>669</v>
      </c>
      <c r="D71" s="91" t="s">
        <v>669</v>
      </c>
      <c r="E71" s="91" t="s">
        <v>670</v>
      </c>
      <c r="F71" s="404" t="s">
        <v>723</v>
      </c>
      <c r="G71" s="403" t="s">
        <v>724</v>
      </c>
      <c r="H71" s="403" t="s">
        <v>725</v>
      </c>
      <c r="I71" s="403" t="s">
        <v>726</v>
      </c>
      <c r="J71" s="403" t="s">
        <v>727</v>
      </c>
      <c r="K71" s="93" t="s">
        <v>671</v>
      </c>
      <c r="L71" s="405" t="s">
        <v>723</v>
      </c>
      <c r="M71" s="406" t="s">
        <v>724</v>
      </c>
      <c r="N71" s="406" t="s">
        <v>725</v>
      </c>
      <c r="O71" s="406" t="s">
        <v>726</v>
      </c>
      <c r="P71" s="406" t="s">
        <v>728</v>
      </c>
      <c r="Q71" s="407" t="s">
        <v>729</v>
      </c>
      <c r="R71" s="405" t="s">
        <v>730</v>
      </c>
      <c r="S71" s="403" t="s">
        <v>724</v>
      </c>
      <c r="T71" s="403" t="s">
        <v>731</v>
      </c>
      <c r="U71" s="403" t="s">
        <v>732</v>
      </c>
      <c r="V71" s="403" t="s">
        <v>733</v>
      </c>
      <c r="W71" s="407" t="s">
        <v>730</v>
      </c>
      <c r="X71" s="406" t="s">
        <v>734</v>
      </c>
      <c r="Y71" s="406" t="s">
        <v>724</v>
      </c>
      <c r="Z71" s="406" t="s">
        <v>731</v>
      </c>
      <c r="AA71" s="406" t="s">
        <v>732</v>
      </c>
      <c r="AB71" s="406" t="s">
        <v>733</v>
      </c>
      <c r="AC71" s="407" t="s">
        <v>734</v>
      </c>
      <c r="AD71" s="408" t="s">
        <v>703</v>
      </c>
      <c r="AE71" s="403" t="s">
        <v>735</v>
      </c>
      <c r="AF71" s="403" t="s">
        <v>736</v>
      </c>
      <c r="AG71" s="81" t="s">
        <v>667</v>
      </c>
      <c r="AH71" s="95"/>
      <c r="AI71" s="91" t="s">
        <v>16</v>
      </c>
      <c r="AJ71" s="91" t="s">
        <v>16</v>
      </c>
      <c r="AK71" s="91" t="s">
        <v>672</v>
      </c>
      <c r="AL71" s="27" t="s">
        <v>704</v>
      </c>
      <c r="AM71" s="27" t="s">
        <v>704</v>
      </c>
      <c r="AN71" s="27" t="s">
        <v>672</v>
      </c>
      <c r="AO71" s="91" t="s">
        <v>673</v>
      </c>
      <c r="AP71" s="91" t="s">
        <v>705</v>
      </c>
      <c r="AQ71" s="91" t="s">
        <v>674</v>
      </c>
      <c r="AR71" s="91" t="s">
        <v>706</v>
      </c>
      <c r="AS71" s="91" t="s">
        <v>675</v>
      </c>
      <c r="AT71" s="91" t="s">
        <v>676</v>
      </c>
      <c r="AU71" s="62" t="s">
        <v>588</v>
      </c>
      <c r="AV71" s="91" t="s">
        <v>677</v>
      </c>
      <c r="AW71" s="91" t="s">
        <v>673</v>
      </c>
      <c r="AX71" s="62" t="s">
        <v>708</v>
      </c>
      <c r="AY71" s="91" t="s">
        <v>690</v>
      </c>
      <c r="AZ71" s="91" t="s">
        <v>679</v>
      </c>
      <c r="BA71" s="91" t="s">
        <v>679</v>
      </c>
      <c r="BB71" s="91" t="s">
        <v>679</v>
      </c>
      <c r="BC71" s="91" t="s">
        <v>679</v>
      </c>
      <c r="BD71" s="91" t="s">
        <v>679</v>
      </c>
      <c r="BE71" s="91" t="s">
        <v>680</v>
      </c>
      <c r="BF71" s="91" t="s">
        <v>680</v>
      </c>
      <c r="BG71" s="91" t="s">
        <v>681</v>
      </c>
      <c r="BI71" s="80"/>
    </row>
    <row r="72" spans="1:61" x14ac:dyDescent="0.25">
      <c r="A72" s="59"/>
      <c r="B72" s="91"/>
      <c r="C72" s="91" t="s">
        <v>682</v>
      </c>
      <c r="D72" s="91" t="s">
        <v>682</v>
      </c>
      <c r="E72" s="217"/>
      <c r="F72" s="403"/>
      <c r="G72" s="403"/>
      <c r="H72" s="403"/>
      <c r="I72" s="403"/>
      <c r="J72" s="403"/>
      <c r="K72" s="93" t="s">
        <v>737</v>
      </c>
      <c r="L72" s="405"/>
      <c r="M72" s="406"/>
      <c r="N72" s="406"/>
      <c r="O72" s="406"/>
      <c r="P72" s="406"/>
      <c r="Q72" s="407"/>
      <c r="R72" s="405"/>
      <c r="S72" s="403"/>
      <c r="T72" s="403"/>
      <c r="U72" s="403"/>
      <c r="V72" s="403"/>
      <c r="W72" s="407"/>
      <c r="X72" s="406"/>
      <c r="Y72" s="406"/>
      <c r="Z72" s="406"/>
      <c r="AA72" s="406"/>
      <c r="AB72" s="406"/>
      <c r="AC72" s="407"/>
      <c r="AD72" s="408"/>
      <c r="AE72" s="403"/>
      <c r="AF72" s="403"/>
      <c r="AG72" s="81" t="s">
        <v>711</v>
      </c>
      <c r="AH72" s="95"/>
      <c r="AI72" s="91" t="s">
        <v>712</v>
      </c>
      <c r="AJ72" s="91" t="s">
        <v>683</v>
      </c>
      <c r="AK72" s="91" t="s">
        <v>684</v>
      </c>
      <c r="AL72" s="27" t="s">
        <v>713</v>
      </c>
      <c r="AM72" s="27" t="s">
        <v>683</v>
      </c>
      <c r="AN72" s="27" t="s">
        <v>714</v>
      </c>
      <c r="AO72" s="91" t="s">
        <v>715</v>
      </c>
      <c r="AP72" s="91" t="s">
        <v>685</v>
      </c>
      <c r="AQ72" s="91" t="s">
        <v>685</v>
      </c>
      <c r="AR72" s="91" t="s">
        <v>716</v>
      </c>
      <c r="AS72" s="91" t="s">
        <v>685</v>
      </c>
      <c r="AT72" s="91" t="s">
        <v>686</v>
      </c>
      <c r="AU72" s="62" t="s">
        <v>687</v>
      </c>
      <c r="AV72" s="91"/>
      <c r="AW72" s="91" t="s">
        <v>689</v>
      </c>
      <c r="AX72" s="62" t="s">
        <v>685</v>
      </c>
      <c r="AY72" s="91"/>
      <c r="AZ72" s="91" t="s">
        <v>691</v>
      </c>
      <c r="BA72" s="91" t="s">
        <v>689</v>
      </c>
      <c r="BB72" s="91" t="s">
        <v>718</v>
      </c>
      <c r="BC72" s="91" t="s">
        <v>692</v>
      </c>
      <c r="BD72" s="91" t="s">
        <v>719</v>
      </c>
      <c r="BE72" s="91" t="s">
        <v>693</v>
      </c>
      <c r="BF72" s="91" t="s">
        <v>694</v>
      </c>
      <c r="BG72" s="212">
        <v>5.363312731346865E-2</v>
      </c>
      <c r="BI72" s="80"/>
    </row>
    <row r="73" spans="1:61" x14ac:dyDescent="0.25">
      <c r="A73" s="59"/>
      <c r="B73" s="66">
        <v>1</v>
      </c>
      <c r="C73" s="67">
        <f ca="1">IF(AND(E73&gt;='Invoer gegevens'!$C$17,E73&lt;'Invoer gegevens'!$C$17+'Invoer gegevens'!$I$14),1,0)</f>
        <v>1</v>
      </c>
      <c r="D73" s="68">
        <v>0.5</v>
      </c>
      <c r="E73" s="108">
        <f ca="1">IF('Invoer gegevens'!$C$16="","",'Invoer gegevens'!$C$16)</f>
        <v>2019</v>
      </c>
      <c r="F73" s="84">
        <f ca="1">IF('Invoer gegevens'!$C$17=E73,'Invoer gegevens'!$C$10,IF(C73=1,K72,0))</f>
        <v>0</v>
      </c>
      <c r="G73" s="96">
        <f ca="1">IF(E73='Invoer gegevens'!$C$17+'Invoer gegevens'!$I$14,K72,IF(C73&gt;=1,F73*VLOOKUP(E73,Reeksen!$A$5:$B$76,2),0))</f>
        <v>0</v>
      </c>
      <c r="H73" s="84">
        <f ca="1">IF(E73='Invoer gegevens'!$C$17+'Invoer gegevens'!$I$14,K72,(1-('Invoer gegevens'!$F$20/12))*F73*MIN(Reeksen!B5,Reeksen!D5))</f>
        <v>0</v>
      </c>
      <c r="I73" s="84">
        <f>IF(Reeksen!D5&lt;Reeksen!B5,(Reeksen!B5-Reeksen!D5)*F73,0)</f>
        <v>0</v>
      </c>
      <c r="J73" s="84">
        <f ca="1">IF(E73='Invoer gegevens'!$C$17+'Invoer gegevens'!$I$14+1,0,('Invoer gegevens'!$F$20/12)*F72*MIN(Reeksen!B4,Reeksen!D4))</f>
        <v>0</v>
      </c>
      <c r="K73" s="97">
        <f ca="1">IF(E73&gt;='Invoer gegevens'!$C$17+'Invoer gegevens'!$I$14,0,F73-G73)</f>
        <v>0</v>
      </c>
      <c r="L73" s="84">
        <f ca="1">IF('Invoer gegevens'!$C$17=E73,0,IF(C73=1,Q72,0))</f>
        <v>0</v>
      </c>
      <c r="M73" s="96">
        <f ca="1">IF(E73='Invoer gegevens'!$C$17+'Invoer gegevens'!$I$14,Q72,IF(C73&gt;=1,L73*VLOOKUP(E73,Reeksen!$A$5:$B$76,2),0))</f>
        <v>0</v>
      </c>
      <c r="N73" s="84">
        <f ca="1">IF(C73='Invoer gegevens'!$C$17+'Invoer gegevens'!$I$14,Q72,(1-('Invoer gegevens'!$F$20/12))*L73*MIN(Reeksen!B5,Reeksen!D5))</f>
        <v>0</v>
      </c>
      <c r="O73" s="84">
        <f>IF(Reeksen!D5&lt;Reeksen!B5,(Reeksen!B5-Reeksen!D5)*L73,0)</f>
        <v>0</v>
      </c>
      <c r="P73" s="84">
        <f ca="1">IF(E73='Invoer gegevens'!$C$17+'Invoer gegevens'!$I$14+1,0,('Invoer gegevens'!$F$20/12)*L72*MIN(Reeksen!B4,Reeksen!D4))</f>
        <v>0</v>
      </c>
      <c r="Q73" s="84">
        <f ca="1">IF(E73&gt;='Invoer gegevens'!$C$17+'Invoer gegevens'!$I$14,0,L73-M73+I73+O73)</f>
        <v>0</v>
      </c>
      <c r="R73" s="82">
        <f ca="1">IF('Invoer gegevens'!$C$17=E73,'Invoer gegevens'!$C$11,IF(C73=1,W72,0))</f>
        <v>0</v>
      </c>
      <c r="S73" s="86">
        <f ca="1">IF(E73='Invoer gegevens'!$C$17+'Invoer gegevens'!$I$14,W72,IF(C73&gt;=1,R73*VLOOKUP(E73,Reeksen!$A$5:$B$76,2),0))</f>
        <v>0</v>
      </c>
      <c r="T73" s="84">
        <f ca="1">IF(E73='Invoer gegevens'!$C$17+'Invoer gegevens'!$I$14,W72,(1-('Invoer gegevens'!$F$20/12))*R73*MIN(Reeksen!B5,Reeksen!D5))</f>
        <v>0</v>
      </c>
      <c r="U73" s="84">
        <f>IF(Reeksen!D5&gt;=Reeksen!B5,0,IF(Reeksen!AK5&lt;=Reeksen!AE5,(Reeksen!B5-Reeksen!D5)*R73,0))</f>
        <v>0</v>
      </c>
      <c r="V73" s="86">
        <f>IF(Reeksen!D5&gt;=Reeksen!B5,0,IF(Reeksen!AK5&gt;Reeksen!AE5,(Reeksen!B5-Reeksen!D5)*R73,0))</f>
        <v>0</v>
      </c>
      <c r="W73" s="97">
        <f ca="1">IF(E73&gt;='Invoer gegevens'!$C$17+'Invoer gegevens'!$I$14,0,R73-S73)</f>
        <v>0</v>
      </c>
      <c r="X73" s="98">
        <f ca="1">IF('Invoer gegevens'!$C$17=E73,'Invoer gegevens'!$C$10-'Invoer gegevens'!$C$11,IF(C73=1,AC72,0))</f>
        <v>0</v>
      </c>
      <c r="Y73" s="98">
        <f ca="1">IF(E73='Invoer gegevens'!$C$17+'Invoer gegevens'!$I$14,AC72,IF(C73&gt;=1,X73*VLOOKUP(E73,Reeksen!$A$5:$B$76,2),0))</f>
        <v>0</v>
      </c>
      <c r="Z73" s="98">
        <f ca="1">IF(E73='Invoer gegevens'!$C$17+'Invoer gegevens'!$I$14,AC72,(1-('Invoer gegevens'!$F$20/12))*X73*MIN(Reeksen!B5,Reeksen!D5))</f>
        <v>0</v>
      </c>
      <c r="AA73" s="98">
        <f>IF(Reeksen!D5&gt;=Reeksen!B5,0,IF(Reeksen!AK5&lt;=Reeksen!AE5,(Reeksen!B5-Reeksen!D5)*X73,0))</f>
        <v>0</v>
      </c>
      <c r="AB73" s="98">
        <f>IF(Reeksen!D5&gt;=Reeksen!B5,0,IF(Reeksen!AK5&gt;Reeksen!AE5,(Reeksen!B5-Reeksen!D5)*X73,0))</f>
        <v>0</v>
      </c>
      <c r="AC73" s="99">
        <f ca="1">IF(E73&gt;='Invoer gegevens'!$C$17+'Invoer gegevens'!$I$14,0,X73-Y73)</f>
        <v>0</v>
      </c>
      <c r="AD73" s="98">
        <f ca="1">IF('Invoer gegevens'!$C$17=E5,R73,IF(C5=0,0,AE72))</f>
        <v>0</v>
      </c>
      <c r="AE73" s="98">
        <f ca="1">IF(C5=0,0,AD73-S73-V73+AA73)</f>
        <v>0</v>
      </c>
      <c r="AF73" s="98">
        <f ca="1">IF('Invoer gegevens'!$C$17=E5,X73,IF(C5=0,0,AG72))</f>
        <v>0</v>
      </c>
      <c r="AG73" s="98">
        <f ca="1">IF(C5=0,0,AF73-Y73-AA73+V73)</f>
        <v>0</v>
      </c>
      <c r="AH73" s="70"/>
      <c r="AI73" s="71">
        <f ca="1">IF(C73=1,((Reeksen!BF5*(F73-G73+F73)/2)+((L73-M73+L73)/2*Reeksen!BG5))*12,0)</f>
        <v>0</v>
      </c>
      <c r="AJ73" s="71">
        <f ca="1">-AI73*'Invoer gegevens'!$I$26</f>
        <v>0</v>
      </c>
      <c r="AK73" s="71">
        <f ca="1">AI73+AJ73</f>
        <v>0</v>
      </c>
      <c r="AL73" s="71">
        <f ca="1">IF(C73=1,Reeksen!AL5*((F73-G73+F73)/2)*12+Reeksen!AM5*((L73-M73+L73)/2)*12,0)</f>
        <v>0</v>
      </c>
      <c r="AM73" s="71">
        <f ca="1">-AL73*'Invoer gegevens'!$F$31</f>
        <v>0</v>
      </c>
      <c r="AN73" s="71">
        <f ca="1">AL73+AM73</f>
        <v>0</v>
      </c>
      <c r="AO73" s="71">
        <f ca="1">IF(E73&gt;='Invoer gegevens'!$C$17+'Invoer gegevens'!$I$14,0,IF(C73=1,(H73+J73+N73+P73)*Reeksen!AN5,0))</f>
        <v>0</v>
      </c>
      <c r="AP73" s="71">
        <f ca="1">-IF(C73=1,(H73+J73+N73+P73)*Reeksen!AN4*'Hulp - basis'!$B$550,0)</f>
        <v>0</v>
      </c>
      <c r="AQ73" s="71">
        <f ca="1">-IF(C73=1,(F73+K73+L73+Q73)/2*'Invoer gegevens'!$I$33*Reeksen!J5,0)</f>
        <v>0</v>
      </c>
      <c r="AR73" s="71">
        <f ca="1">-IF(C73=1,(I73*'Invoer gegevens'!$I$34)*Reeksen!J5,0)</f>
        <v>0</v>
      </c>
      <c r="AS73" s="71">
        <f ca="1">-IF(C73=1,(F73+K73+L73+Q73)/2*'Invoer gegevens'!$I$35*Reeksen!L5,0)</f>
        <v>0</v>
      </c>
      <c r="AT73" s="71">
        <f ca="1">-IF(C73=1,IF(E73='Invoer gegevens'!$C$17,'Invoer gegevens'!$C$11,AD73)*Reeksen!S5*'Invoer gegevens'!$C$18*Reeksen!P5,0)</f>
        <v>0</v>
      </c>
      <c r="AU73" s="71">
        <f ca="1">-IF(C73=1,(F73+K73+L73+Q73)/2*'Invoer gegevens'!$I$36*Reeksen!H5,0)</f>
        <v>0</v>
      </c>
      <c r="AV73" s="71">
        <f ca="1">SUM(AK73,AN73:AU73)</f>
        <v>0</v>
      </c>
      <c r="AW73" s="72">
        <f ca="1">IFERROR(IF(E73='Invoer gegevens'!$C$17+'Invoer gegevens'!$I$14-1,'Invoer gegevens'!$I$13*K73*Reeksen!H5,0),0)</f>
        <v>0</v>
      </c>
      <c r="AX73" s="72">
        <f ca="1">IFERROR(IF(E73='Invoer gegevens'!$C$17,-'Invoer gegevens'!$C$10*('Invoer gegevens'!$C$30+'Invoer gegevens'!$C$31)*Reeksen!H5,0),0)</f>
        <v>0</v>
      </c>
      <c r="AY73" s="73">
        <f ca="1">IF('Invoer gegevens'!$C$34=E73,'Invoer gegevens'!$C$27*'Invoer gegevens'!$C$10*'Invoer gegevens'!$C$36*(IF('Invoer gegevens'!$C$35="ja",1,Reeksen!J5)),IF('Invoer gegevens'!$C$34+1=E73,'Invoer gegevens'!$C$27*'Invoer gegevens'!$C$10*'Invoer gegevens'!$C$37*(IF('Invoer gegevens'!$C$35="ja",1,Reeksen!J5)),0))+IF(AND(E73='Invoer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3" s="73">
        <f ca="1">AV73/(1+'Invoer gegevens'!$I$12)^($D73-('Invoer gegevens'!$C$17-'Invoer gegevens'!$C$16))/(1+'Invoer gegevens'!$C$39)^('Invoer gegevens'!$C$17-'Invoer gegevens'!$C$16)</f>
        <v>0</v>
      </c>
      <c r="BA73" s="73">
        <f ca="1">AW73/(1+'Invoer gegevens'!$I$12)^(E73-('Invoer gegevens'!$C$17-1))/(1+'Invoer gegevens'!$C$39)^('Invoer gegevens'!$C$17-'Invoer gegevens'!$C$16)</f>
        <v>0</v>
      </c>
      <c r="BB73" s="73">
        <f ca="1">AX73/(1+'Invoer gegevens'!$C$39)^('Invoer gegevens'!$C$17-'Invoer gegevens'!$C$16)</f>
        <v>0</v>
      </c>
      <c r="BC73" s="72">
        <f ca="1">SUM(AZ73:BA73)</f>
        <v>0</v>
      </c>
      <c r="BD73" s="72">
        <f ca="1">IF(AND(E73='Invoer gegevens'!$C$16,'Invoer gegevens'!$C$34&lt;'Invoer gegevens'!$C$16),AY73,AY73/(1+'Invoer gegevens'!$C$39)^D73)</f>
        <v>0</v>
      </c>
      <c r="BE73" s="72">
        <f ca="1">IF(E73='Invoer gegevens'!$C$34,-'Invoer gegevens'!$I$38,0)</f>
        <v>0</v>
      </c>
      <c r="BF73" s="72">
        <f ca="1">IF(E73='Invoer gegevens'!$C$17,-'Invoer gegevens'!$C$19*$BC$134,0)</f>
        <v>0</v>
      </c>
      <c r="BG73" s="72">
        <f ca="1">AV73/(1+$BG$72)^($D73-('Invoer gegevens'!$C$17-'Invoer gegevens'!$C$16))/(1+'Invoer gegevens'!$C$39)^('Invoer gegevens'!$C$17-'Invoer gegevens'!$C$16)+AW73/(1+$BG$72)^(E73-('Invoer gegevens'!$C$17-1))/(1+'Invoer gegevens'!$C$39)^('Invoer gegevens'!$C$17-'Invoer gegevens'!$C$16)+AX73/(1+'Invoer gegevens'!$C$39)^('Invoer gegevens'!$C$17-'Invoer gegevens'!$C$16)+(-AY73/(1+'Invoer gegevens'!$C$39)^D73)+BE73+BF73</f>
        <v>0</v>
      </c>
    </row>
    <row r="74" spans="1:61" x14ac:dyDescent="0.25">
      <c r="A74" s="59"/>
      <c r="B74" s="70">
        <f>B73+1</f>
        <v>2</v>
      </c>
      <c r="C74" s="67">
        <f ca="1">IF(AND(E74&gt;='Invoer gegevens'!$C$17,E74&lt;'Invoer gegevens'!$C$17+'Invoer gegevens'!$I$14),1,0)</f>
        <v>1</v>
      </c>
      <c r="D74" s="68">
        <f>D73+1</f>
        <v>1.5</v>
      </c>
      <c r="E74" s="108">
        <f ca="1">IF('Invoer gegevens'!$C$16="","",E73+1)</f>
        <v>2020</v>
      </c>
      <c r="F74" s="84">
        <f ca="1">IF('Invoer gegevens'!$C$17=E74,'Invoer gegevens'!$C$10,IF(C74=1,K73,0))</f>
        <v>0</v>
      </c>
      <c r="G74" s="96">
        <f ca="1">IF(E74='Invoer gegevens'!$C$17+'Invoer gegevens'!$I$14,K73,IF(C74&gt;=1,F74*VLOOKUP(E74,Reeksen!$A$5:$B$76,2),0))</f>
        <v>0</v>
      </c>
      <c r="H74" s="84">
        <f ca="1">IF(E74='Invoer gegevens'!$C$17+'Invoer gegevens'!$I$14,K73,(1-('Invoer gegevens'!$F$20/12))*F74*MIN(Reeksen!B6,Reeksen!D6))</f>
        <v>0</v>
      </c>
      <c r="I74" s="84">
        <f>IF(Reeksen!D6&lt;Reeksen!B6,(Reeksen!B6-Reeksen!D6)*F74,0)</f>
        <v>0</v>
      </c>
      <c r="J74" s="84">
        <f ca="1">IF(E74='Invoer gegevens'!$C$17+'Invoer gegevens'!$I$14+1,0,('Invoer gegevens'!$F$20/12)*F73*MIN(Reeksen!B5,Reeksen!D5))</f>
        <v>0</v>
      </c>
      <c r="K74" s="97">
        <f ca="1">IF(E74&gt;='Invoer gegevens'!$C$17+'Invoer gegevens'!$I$14,0,F74-G74)</f>
        <v>0</v>
      </c>
      <c r="L74" s="84">
        <f ca="1">IF('Invoer gegevens'!$C$17=E74,0,IF(C74=1,Q73,0))</f>
        <v>0</v>
      </c>
      <c r="M74" s="96">
        <f ca="1">IF(E74='Invoer gegevens'!$C$17+'Invoer gegevens'!$I$14,Q73,IF(C74&gt;=1,L74*VLOOKUP(E74,Reeksen!$A$5:$B$76,2),0))</f>
        <v>0</v>
      </c>
      <c r="N74" s="84">
        <f ca="1">IF(C74='Invoer gegevens'!$C$17+'Invoer gegevens'!$I$14,Q73,(1-('Invoer gegevens'!$F$20/12))*L74*MIN(Reeksen!B6,Reeksen!D6))</f>
        <v>0</v>
      </c>
      <c r="O74" s="84">
        <f>IF(Reeksen!D6&lt;Reeksen!B6,(Reeksen!B6-Reeksen!D6)*L74,0)</f>
        <v>0</v>
      </c>
      <c r="P74" s="84">
        <f ca="1">IF(E74='Invoer gegevens'!$C$17+'Invoer gegevens'!$I$14+1,0,('Invoer gegevens'!$F$20/12)*L73*MIN(Reeksen!B5,Reeksen!D5))</f>
        <v>0</v>
      </c>
      <c r="Q74" s="84">
        <f ca="1">IF(E74&gt;='Invoer gegevens'!$C$17+'Invoer gegevens'!$I$14,0,L74-M74+I74+O74)</f>
        <v>0</v>
      </c>
      <c r="R74" s="82">
        <f ca="1">IF('Invoer gegevens'!$C$17=E74,'Invoer gegevens'!$C$11,IF(C74=1,W73,0))</f>
        <v>0</v>
      </c>
      <c r="S74" s="86">
        <f ca="1">IF(E74='Invoer gegevens'!$C$17+'Invoer gegevens'!$I$14,W73,IF(C74&gt;=1,R74*VLOOKUP(E74,Reeksen!$A$5:$B$76,2),0))</f>
        <v>0</v>
      </c>
      <c r="T74" s="84">
        <f ca="1">IF(E74='Invoer gegevens'!$C$17+'Invoer gegevens'!$I$14,W73,(1-('Invoer gegevens'!$F$20/12))*R74*MIN(Reeksen!B6,Reeksen!D6))</f>
        <v>0</v>
      </c>
      <c r="U74" s="84">
        <f>IF(Reeksen!D6&gt;=Reeksen!B6,0,IF(Reeksen!AK6&lt;=Reeksen!AE6,(Reeksen!B6-Reeksen!D6)*R74,0))</f>
        <v>0</v>
      </c>
      <c r="V74" s="86">
        <f>IF(Reeksen!D6&gt;=Reeksen!B6,0,IF(Reeksen!AK6&gt;Reeksen!AE6,(Reeksen!B6-Reeksen!D6)*R74,0))</f>
        <v>0</v>
      </c>
      <c r="W74" s="97">
        <f ca="1">IF(E74&gt;='Invoer gegevens'!$C$17+'Invoer gegevens'!$I$14,0,R74-S74)</f>
        <v>0</v>
      </c>
      <c r="X74" s="98">
        <f ca="1">IF('Invoer gegevens'!$C$17=E74,'Invoer gegevens'!$C$10-'Invoer gegevens'!$C$11,IF(C74=1,AC73,0))</f>
        <v>0</v>
      </c>
      <c r="Y74" s="98">
        <f ca="1">IF(E74='Invoer gegevens'!$C$17+'Invoer gegevens'!$I$14,AC73,IF(C74&gt;=1,X74*VLOOKUP(E74,Reeksen!$A$5:$B$76,2),0))</f>
        <v>0</v>
      </c>
      <c r="Z74" s="98">
        <f ca="1">IF(E74='Invoer gegevens'!$C$17+'Invoer gegevens'!$I$14,AC73,(1-('Invoer gegevens'!$F$20/12))*X74*MIN(Reeksen!B6,Reeksen!D6))</f>
        <v>0</v>
      </c>
      <c r="AA74" s="98">
        <f>IF(Reeksen!D6&gt;=Reeksen!B6,0,IF(Reeksen!AK6&lt;=Reeksen!AE6,(Reeksen!B6-Reeksen!D6)*X74,0))</f>
        <v>0</v>
      </c>
      <c r="AB74" s="98">
        <f>IF(Reeksen!D6&gt;=Reeksen!B6,0,IF(Reeksen!AK6&gt;Reeksen!AE6,(Reeksen!B6-Reeksen!D6)*X74,0))</f>
        <v>0</v>
      </c>
      <c r="AC74" s="99">
        <f ca="1">IF(E74&gt;='Invoer gegevens'!$C$17+'Invoer gegevens'!$I$14,0,X74-Y74)</f>
        <v>0</v>
      </c>
      <c r="AD74" s="98">
        <f ca="1">IF('Invoer gegevens'!$C$17=E6,R74,IF(C6=0,0,AE73))</f>
        <v>0</v>
      </c>
      <c r="AE74" s="98">
        <f t="shared" ref="AE74:AE132" ca="1" si="9">IF(C6=0,0,AD74-S74-V74+AA74)</f>
        <v>0</v>
      </c>
      <c r="AF74" s="98">
        <f ca="1">IF('Invoer gegevens'!$C$17=E6,X74,IF(C6=0,0,AG73))</f>
        <v>0</v>
      </c>
      <c r="AG74" s="98">
        <f t="shared" ref="AG74:AG132" ca="1" si="10">IF(C6=0,0,AF74-Y74-AA74+V74)</f>
        <v>0</v>
      </c>
      <c r="AH74" s="70"/>
      <c r="AI74" s="71">
        <f ca="1">IF(C74=1,((Reeksen!BF6*(F74-G74+F74)/2)+((L74-M74+L74)/2*Reeksen!BG6))*12,0)</f>
        <v>0</v>
      </c>
      <c r="AJ74" s="71">
        <f ca="1">-AI74*'Invoer gegevens'!$I$26</f>
        <v>0</v>
      </c>
      <c r="AK74" s="71">
        <f t="shared" ref="AK74:AK132" ca="1" si="11">AI74+AJ74</f>
        <v>0</v>
      </c>
      <c r="AL74" s="71">
        <f ca="1">IF(C74=1,Reeksen!AL6*((F74-G74+F74)/2)*12+Reeksen!AM6*((L74-M74+L74)/2)*12,0)</f>
        <v>0</v>
      </c>
      <c r="AM74" s="71">
        <f ca="1">-AL74*'Invoer gegevens'!$F$31</f>
        <v>0</v>
      </c>
      <c r="AN74" s="71">
        <f t="shared" ref="AN74:AN132" ca="1" si="12">AL74+AM74</f>
        <v>0</v>
      </c>
      <c r="AO74" s="71">
        <f ca="1">IF(E74&gt;='Invoer gegevens'!$C$17+'Invoer gegevens'!$I$14,0,IF(C74=1,(H74+J74+N74+P74)*Reeksen!AN6,0))</f>
        <v>0</v>
      </c>
      <c r="AP74" s="71">
        <f ca="1">-IF(C74=1,(H74+J74+N74+P74)*Reeksen!AN5*'Hulp - basis'!$B$550,0)</f>
        <v>0</v>
      </c>
      <c r="AQ74" s="71">
        <f ca="1">-IF(C74=1,(F74+K74+L74+Q74)/2*'Invoer gegevens'!$I$33*Reeksen!J6,0)</f>
        <v>0</v>
      </c>
      <c r="AR74" s="71">
        <f ca="1">-IF(C74=1,(I74*'Invoer gegevens'!$I$34)*Reeksen!J6,0)</f>
        <v>0</v>
      </c>
      <c r="AS74" s="71">
        <f ca="1">-IF(C74=1,(F74+K74+L74+Q74)/2*'Invoer gegevens'!$I$35*Reeksen!L6,0)</f>
        <v>0</v>
      </c>
      <c r="AT74" s="71">
        <f ca="1">-IF(C74=1,IF(E74='Invoer gegevens'!$C$17,'Invoer gegevens'!$C$11,AD74)*Reeksen!S6*'Invoer gegevens'!$C$18*Reeksen!P6,0)</f>
        <v>0</v>
      </c>
      <c r="AU74" s="71">
        <f ca="1">-IF(C74=1,(F74+K74+L74+Q74)/2*'Invoer gegevens'!$I$36*Reeksen!H6,0)</f>
        <v>0</v>
      </c>
      <c r="AV74" s="71">
        <f t="shared" ref="AV74:AV132" ca="1" si="13">SUM(AK74,AN74:AU74)</f>
        <v>0</v>
      </c>
      <c r="AW74" s="72">
        <f ca="1">IFERROR(IF(E74='Invoer gegevens'!$C$17+'Invoer gegevens'!$I$14-1,'Invoer gegevens'!$I$13*K74*Reeksen!H6,0),0)</f>
        <v>0</v>
      </c>
      <c r="AX74" s="72">
        <f ca="1">IFERROR(IF(E74='Invoer gegevens'!$C$17,-'Invoer gegevens'!$C$10*('Invoer gegevens'!$C$30+'Invoer gegevens'!$C$31)*Reeksen!H6,0),0)</f>
        <v>0</v>
      </c>
      <c r="AY74" s="73">
        <f ca="1">IF('Invoer gegevens'!$C$34=E74,'Invoer gegevens'!$C$27*'Invoer gegevens'!$C$10*'Invoer gegevens'!$C$36*(IF('Invoer gegevens'!$C$35="ja",1,Reeksen!J6)),IF('Invoer gegevens'!$C$34+1=E74,'Invoer gegevens'!$C$27*'Invoer gegevens'!$C$10*'Invoer gegevens'!$C$37*(IF('Invoer gegevens'!$C$35="ja",1,Reeksen!J6)),0))+IF(AND(E74='Invoer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4" s="73">
        <f ca="1">AV74/(1+'Invoer gegevens'!$I$12)^($D74-('Invoer gegevens'!$C$17-'Invoer gegevens'!$C$16))/(1+'Invoer gegevens'!$C$39)^('Invoer gegevens'!$C$17-'Invoer gegevens'!$C$16)</f>
        <v>0</v>
      </c>
      <c r="BA74" s="73">
        <f ca="1">AW74/(1+'Invoer gegevens'!$I$12)^(E74-('Invoer gegevens'!$C$17-1))/(1+'Invoer gegevens'!$C$39)^('Invoer gegevens'!$C$17-'Invoer gegevens'!$C$16)</f>
        <v>0</v>
      </c>
      <c r="BB74" s="73">
        <f ca="1">AX74/(1+'Invoer gegevens'!$C$39)^('Invoer gegevens'!$C$17-'Invoer gegevens'!$C$16)</f>
        <v>0</v>
      </c>
      <c r="BC74" s="72">
        <f t="shared" ref="BC74:BC132" ca="1" si="14">SUM(AZ74:BA74)</f>
        <v>0</v>
      </c>
      <c r="BD74" s="72">
        <f ca="1">IF(AND(E74='Invoer gegevens'!$C$16,'Invoer gegevens'!$C$34&lt;'Invoer gegevens'!$C$16),AY74,AY74/(1+'Invoer gegevens'!$C$39)^D74)</f>
        <v>0</v>
      </c>
      <c r="BE74" s="72">
        <f ca="1">IF(E74='Invoer gegevens'!$C$34,-'Invoer gegevens'!$I$38,0)</f>
        <v>0</v>
      </c>
      <c r="BF74" s="72">
        <f ca="1">IF(E74='Invoer gegevens'!$C$17,-'Invoer gegevens'!$C$19*$BC$134,0)</f>
        <v>0</v>
      </c>
      <c r="BG74" s="72">
        <f ca="1">AV74/(1+$BG$72)^($D74-('Invoer gegevens'!$C$17-'Invoer gegevens'!$C$16))/(1+'Invoer gegevens'!$C$39)^('Invoer gegevens'!$C$17-'Invoer gegevens'!$C$16)+AW74/(1+$BG$72)^(E74-('Invoer gegevens'!$C$17-1))/(1+'Invoer gegevens'!$C$39)^('Invoer gegevens'!$C$17-'Invoer gegevens'!$C$16)+AX74/(1+'Invoer gegevens'!$C$39)^('Invoer gegevens'!$C$17-'Invoer gegevens'!$C$16)+(-AY74/(1+'Invoer gegevens'!$C$39)^D74)+BE74+BF74</f>
        <v>0</v>
      </c>
    </row>
    <row r="75" spans="1:61" x14ac:dyDescent="0.25">
      <c r="A75" s="59"/>
      <c r="B75" s="70">
        <f>B74+1</f>
        <v>3</v>
      </c>
      <c r="C75" s="67">
        <f ca="1">IF(AND(E75&gt;='Invoer gegevens'!$C$17,E75&lt;'Invoer gegevens'!$C$17+'Invoer gegevens'!$I$14),1,0)</f>
        <v>1</v>
      </c>
      <c r="D75" s="68">
        <f>D74+1</f>
        <v>2.5</v>
      </c>
      <c r="E75" s="108">
        <f ca="1">IF('Invoer gegevens'!$C$16="","",E74+1)</f>
        <v>2021</v>
      </c>
      <c r="F75" s="84">
        <f ca="1">IF('Invoer gegevens'!$C$17=E75,'Invoer gegevens'!$C$10,IF(C75=1,K74,0))</f>
        <v>0</v>
      </c>
      <c r="G75" s="96">
        <f ca="1">IF(E75='Invoer gegevens'!$C$17+'Invoer gegevens'!$I$14,K74,IF(C75&gt;=1,F75*VLOOKUP(E75,Reeksen!$A$5:$B$76,2),0))</f>
        <v>0</v>
      </c>
      <c r="H75" s="84">
        <f ca="1">IF(E75='Invoer gegevens'!$C$17+'Invoer gegevens'!$I$14,K74,(1-('Invoer gegevens'!$F$20/12))*F75*MIN(Reeksen!B7,Reeksen!D7))</f>
        <v>0</v>
      </c>
      <c r="I75" s="84">
        <f>IF(Reeksen!D7&lt;Reeksen!B7,(Reeksen!B7-Reeksen!D7)*F75,0)</f>
        <v>0</v>
      </c>
      <c r="J75" s="84">
        <f ca="1">IF(E75='Invoer gegevens'!$C$17+'Invoer gegevens'!$I$14+1,0,('Invoer gegevens'!$F$20/12)*F74*MIN(Reeksen!B6,Reeksen!D6))</f>
        <v>0</v>
      </c>
      <c r="K75" s="97">
        <f ca="1">IF(E75&gt;='Invoer gegevens'!$C$17+'Invoer gegevens'!$I$14,0,F75-G75)</f>
        <v>0</v>
      </c>
      <c r="L75" s="84">
        <f ca="1">IF('Invoer gegevens'!$C$17=E75,0,IF(C75=1,Q74,0))</f>
        <v>0</v>
      </c>
      <c r="M75" s="96">
        <f ca="1">IF(E75='Invoer gegevens'!$C$17+'Invoer gegevens'!$I$14,Q74,IF(C75&gt;=1,L75*VLOOKUP(E75,Reeksen!$A$5:$B$76,2),0))</f>
        <v>0</v>
      </c>
      <c r="N75" s="84">
        <f ca="1">IF(C75='Invoer gegevens'!$C$17+'Invoer gegevens'!$I$14,Q74,(1-('Invoer gegevens'!$F$20/12))*L75*MIN(Reeksen!B7,Reeksen!D7))</f>
        <v>0</v>
      </c>
      <c r="O75" s="84">
        <f>IF(Reeksen!D7&lt;Reeksen!B7,(Reeksen!B7-Reeksen!D7)*L75,0)</f>
        <v>0</v>
      </c>
      <c r="P75" s="84">
        <f ca="1">IF(E75='Invoer gegevens'!$C$17+'Invoer gegevens'!$I$14+1,0,('Invoer gegevens'!$F$20/12)*L74*MIN(Reeksen!B6,Reeksen!D6))</f>
        <v>0</v>
      </c>
      <c r="Q75" s="84">
        <f ca="1">IF(E75&gt;='Invoer gegevens'!$C$17+'Invoer gegevens'!$I$14,0,L75-M75+I75+O75)</f>
        <v>0</v>
      </c>
      <c r="R75" s="82">
        <f ca="1">IF('Invoer gegevens'!$C$17=E75,'Invoer gegevens'!$C$11,IF(C75=1,W74,0))</f>
        <v>0</v>
      </c>
      <c r="S75" s="86">
        <f ca="1">IF(E75='Invoer gegevens'!$C$17+'Invoer gegevens'!$I$14,W74,IF(C75&gt;=1,R75*VLOOKUP(E75,Reeksen!$A$5:$B$76,2),0))</f>
        <v>0</v>
      </c>
      <c r="T75" s="84">
        <f ca="1">IF(E75='Invoer gegevens'!$C$17+'Invoer gegevens'!$I$14,W74,(1-('Invoer gegevens'!$F$20/12))*R75*MIN(Reeksen!B7,Reeksen!D7))</f>
        <v>0</v>
      </c>
      <c r="U75" s="84">
        <f>IF(Reeksen!D7&gt;=Reeksen!B7,0,IF(Reeksen!AK7&lt;=Reeksen!AE7,(Reeksen!B7-Reeksen!D7)*R75,0))</f>
        <v>0</v>
      </c>
      <c r="V75" s="86">
        <f>IF(Reeksen!D7&gt;=Reeksen!B7,0,IF(Reeksen!AK7&gt;Reeksen!AE7,(Reeksen!B7-Reeksen!D7)*R75,0))</f>
        <v>0</v>
      </c>
      <c r="W75" s="97">
        <f ca="1">IF(E75&gt;='Invoer gegevens'!$C$17+'Invoer gegevens'!$I$14,0,R75-S75)</f>
        <v>0</v>
      </c>
      <c r="X75" s="98">
        <f ca="1">IF('Invoer gegevens'!$C$17=E75,'Invoer gegevens'!$C$10-'Invoer gegevens'!$C$11,IF(C75=1,AC74,0))</f>
        <v>0</v>
      </c>
      <c r="Y75" s="98">
        <f ca="1">IF(E75='Invoer gegevens'!$C$17+'Invoer gegevens'!$I$14,AC74,IF(C75&gt;=1,X75*VLOOKUP(E75,Reeksen!$A$5:$B$76,2),0))</f>
        <v>0</v>
      </c>
      <c r="Z75" s="98">
        <f ca="1">IF(E75='Invoer gegevens'!$C$17+'Invoer gegevens'!$I$14,AC74,(1-('Invoer gegevens'!$F$20/12))*X75*MIN(Reeksen!B7,Reeksen!D7))</f>
        <v>0</v>
      </c>
      <c r="AA75" s="98">
        <f>IF(Reeksen!D7&gt;=Reeksen!B7,0,IF(Reeksen!AK7&lt;=Reeksen!AE7,(Reeksen!B7-Reeksen!D7)*X75,0))</f>
        <v>0</v>
      </c>
      <c r="AB75" s="98">
        <f>IF(Reeksen!D7&gt;=Reeksen!B7,0,IF(Reeksen!AK7&gt;Reeksen!AE7,(Reeksen!B7-Reeksen!D7)*X75,0))</f>
        <v>0</v>
      </c>
      <c r="AC75" s="99">
        <f ca="1">IF(E75&gt;='Invoer gegevens'!$C$17+'Invoer gegevens'!$I$14,0,X75-Y75)</f>
        <v>0</v>
      </c>
      <c r="AD75" s="98">
        <f ca="1">IF('Invoer gegevens'!$C$17=E7,R75,IF(C7=0,0,AE74))</f>
        <v>0</v>
      </c>
      <c r="AE75" s="98">
        <f t="shared" ca="1" si="9"/>
        <v>0</v>
      </c>
      <c r="AF75" s="98">
        <f ca="1">IF('Invoer gegevens'!$C$17=E7,X75,IF(C7=0,0,AG74))</f>
        <v>0</v>
      </c>
      <c r="AG75" s="98">
        <f t="shared" ca="1" si="10"/>
        <v>0</v>
      </c>
      <c r="AH75" s="70"/>
      <c r="AI75" s="71">
        <f ca="1">IF(C75=1,((Reeksen!BF7*(F75-G75+F75)/2)+((L75-M75+L75)/2*Reeksen!BG7))*12,0)</f>
        <v>0</v>
      </c>
      <c r="AJ75" s="71">
        <f ca="1">-AI75*'Invoer gegevens'!$I$26</f>
        <v>0</v>
      </c>
      <c r="AK75" s="71">
        <f t="shared" ca="1" si="11"/>
        <v>0</v>
      </c>
      <c r="AL75" s="71">
        <f ca="1">IF(C75=1,Reeksen!AL7*((F75-G75+F75)/2)*12+Reeksen!AM7*((L75-M75+L75)/2)*12,0)</f>
        <v>0</v>
      </c>
      <c r="AM75" s="71">
        <f ca="1">-AL75*'Invoer gegevens'!$F$31</f>
        <v>0</v>
      </c>
      <c r="AN75" s="71">
        <f t="shared" ca="1" si="12"/>
        <v>0</v>
      </c>
      <c r="AO75" s="71">
        <f ca="1">IF(E75&gt;='Invoer gegevens'!$C$17+'Invoer gegevens'!$I$14,0,IF(C75=1,(H75+J75+N75+P75)*Reeksen!AN7,0))</f>
        <v>0</v>
      </c>
      <c r="AP75" s="71">
        <f ca="1">-IF(C75=1,(H75+J75+N75+P75)*Reeksen!AN6*'Hulp - basis'!$B$550,0)</f>
        <v>0</v>
      </c>
      <c r="AQ75" s="71">
        <f ca="1">-IF(C75=1,(F75+K75+L75+Q75)/2*'Invoer gegevens'!$I$33*Reeksen!J7,0)</f>
        <v>0</v>
      </c>
      <c r="AR75" s="71">
        <f ca="1">-IF(C75=1,(I75*'Invoer gegevens'!$I$34)*Reeksen!J7,0)</f>
        <v>0</v>
      </c>
      <c r="AS75" s="71">
        <f ca="1">-IF(C75=1,(F75+K75+L75+Q75)/2*'Invoer gegevens'!$I$35*Reeksen!L7,0)</f>
        <v>0</v>
      </c>
      <c r="AT75" s="71">
        <f ca="1">-IF(C75=1,IF(E75='Invoer gegevens'!$C$17,'Invoer gegevens'!$C$11,AD75)*Reeksen!S7*'Invoer gegevens'!$C$18*Reeksen!P7,0)</f>
        <v>0</v>
      </c>
      <c r="AU75" s="71">
        <f ca="1">-IF(C75=1,(F75+K75+L75+Q75)/2*'Invoer gegevens'!$I$36*Reeksen!H7,0)</f>
        <v>0</v>
      </c>
      <c r="AV75" s="71">
        <f t="shared" ca="1" si="13"/>
        <v>0</v>
      </c>
      <c r="AW75" s="72">
        <f ca="1">IFERROR(IF(E75='Invoer gegevens'!$C$17+'Invoer gegevens'!$I$14-1,'Invoer gegevens'!$I$13*K75*Reeksen!H7,0),0)</f>
        <v>0</v>
      </c>
      <c r="AX75" s="72">
        <f ca="1">IFERROR(IF(E75='Invoer gegevens'!$C$17,-'Invoer gegevens'!$C$10*('Invoer gegevens'!$C$30+'Invoer gegevens'!$C$31)*Reeksen!H7,0),0)</f>
        <v>0</v>
      </c>
      <c r="AY75" s="73">
        <f ca="1">IF('Invoer gegevens'!$C$34=E75,'Invoer gegevens'!$C$27*'Invoer gegevens'!$C$10*'Invoer gegevens'!$C$36*(IF('Invoer gegevens'!$C$35="ja",1,Reeksen!J7)),IF('Invoer gegevens'!$C$34+1=E75,'Invoer gegevens'!$C$27*'Invoer gegevens'!$C$10*'Invoer gegevens'!$C$37*(IF('Invoer gegevens'!$C$35="ja",1,Reeksen!J7)),0))+IF(AND(E75='Invoer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5" s="73">
        <f ca="1">AV75/(1+'Invoer gegevens'!$I$12)^($D75-('Invoer gegevens'!$C$17-'Invoer gegevens'!$C$16))/(1+'Invoer gegevens'!$C$39)^('Invoer gegevens'!$C$17-'Invoer gegevens'!$C$16)</f>
        <v>0</v>
      </c>
      <c r="BA75" s="73">
        <f ca="1">AW75/(1+'Invoer gegevens'!$I$12)^(E75-('Invoer gegevens'!$C$17-1))/(1+'Invoer gegevens'!$C$39)^('Invoer gegevens'!$C$17-'Invoer gegevens'!$C$16)</f>
        <v>0</v>
      </c>
      <c r="BB75" s="73">
        <f ca="1">AX75/(1+'Invoer gegevens'!$C$39)^('Invoer gegevens'!$C$17-'Invoer gegevens'!$C$16)</f>
        <v>0</v>
      </c>
      <c r="BC75" s="72">
        <f t="shared" ca="1" si="14"/>
        <v>0</v>
      </c>
      <c r="BD75" s="72">
        <f ca="1">IF(AND(E75='Invoer gegevens'!$C$16,'Invoer gegevens'!$C$34&lt;'Invoer gegevens'!$C$16),AY75,AY75/(1+'Invoer gegevens'!$C$39)^D75)</f>
        <v>0</v>
      </c>
      <c r="BE75" s="72">
        <f ca="1">IF(E75='Invoer gegevens'!$C$34,-'Invoer gegevens'!$I$38,0)</f>
        <v>0</v>
      </c>
      <c r="BF75" s="72">
        <f ca="1">IF(E75='Invoer gegevens'!$C$17,-'Invoer gegevens'!$C$19*$BC$134,0)</f>
        <v>0</v>
      </c>
      <c r="BG75" s="72">
        <f ca="1">AV75/(1+$BG$72)^($D75-('Invoer gegevens'!$C$17-'Invoer gegevens'!$C$16))/(1+'Invoer gegevens'!$C$39)^('Invoer gegevens'!$C$17-'Invoer gegevens'!$C$16)+AW75/(1+$BG$72)^(E75-('Invoer gegevens'!$C$17-1))/(1+'Invoer gegevens'!$C$39)^('Invoer gegevens'!$C$17-'Invoer gegevens'!$C$16)+AX75/(1+'Invoer gegevens'!$C$39)^('Invoer gegevens'!$C$17-'Invoer gegevens'!$C$16)+(-AY75/(1+'Invoer gegevens'!$C$39)^D75)+BE75+BF75</f>
        <v>0</v>
      </c>
    </row>
    <row r="76" spans="1:61" x14ac:dyDescent="0.25">
      <c r="A76" s="59"/>
      <c r="B76" s="70">
        <f t="shared" ref="B76:B132" si="15">B75+1</f>
        <v>4</v>
      </c>
      <c r="C76" s="67">
        <f ca="1">IF(AND(E76&gt;='Invoer gegevens'!$C$17,E76&lt;'Invoer gegevens'!$C$17+'Invoer gegevens'!$I$14),1,0)</f>
        <v>1</v>
      </c>
      <c r="D76" s="68">
        <f t="shared" ref="D76:D132" si="16">D75+1</f>
        <v>3.5</v>
      </c>
      <c r="E76" s="108">
        <f ca="1">IF('Invoer gegevens'!$C$16="","",E75+1)</f>
        <v>2022</v>
      </c>
      <c r="F76" s="84">
        <f ca="1">IF('Invoer gegevens'!$C$17=E76,'Invoer gegevens'!$C$10,IF(C76=1,K75,0))</f>
        <v>0</v>
      </c>
      <c r="G76" s="96">
        <f ca="1">IF(E76='Invoer gegevens'!$C$17+'Invoer gegevens'!$I$14,K75,IF(C76&gt;=1,F76*VLOOKUP(E76,Reeksen!$A$5:$B$76,2),0))</f>
        <v>0</v>
      </c>
      <c r="H76" s="84">
        <f ca="1">IF(E76='Invoer gegevens'!$C$17+'Invoer gegevens'!$I$14,K75,(1-('Invoer gegevens'!$F$20/12))*F76*MIN(Reeksen!B8,Reeksen!D8))</f>
        <v>0</v>
      </c>
      <c r="I76" s="84">
        <f>IF(Reeksen!D8&lt;Reeksen!B8,(Reeksen!B8-Reeksen!D8)*F76,0)</f>
        <v>0</v>
      </c>
      <c r="J76" s="84">
        <f ca="1">IF(E76='Invoer gegevens'!$C$17+'Invoer gegevens'!$I$14+1,0,('Invoer gegevens'!$F$20/12)*F75*MIN(Reeksen!B7,Reeksen!D7))</f>
        <v>0</v>
      </c>
      <c r="K76" s="97">
        <f ca="1">IF(E76&gt;='Invoer gegevens'!$C$17+'Invoer gegevens'!$I$14,0,F76-G76)</f>
        <v>0</v>
      </c>
      <c r="L76" s="84">
        <f ca="1">IF('Invoer gegevens'!$C$17=E76,0,IF(C76=1,Q75,0))</f>
        <v>0</v>
      </c>
      <c r="M76" s="96">
        <f ca="1">IF(E76='Invoer gegevens'!$C$17+'Invoer gegevens'!$I$14,Q75,IF(C76&gt;=1,L76*VLOOKUP(E76,Reeksen!$A$5:$B$76,2),0))</f>
        <v>0</v>
      </c>
      <c r="N76" s="84">
        <f ca="1">IF(C76='Invoer gegevens'!$C$17+'Invoer gegevens'!$I$14,Q75,(1-('Invoer gegevens'!$F$20/12))*L76*MIN(Reeksen!B8,Reeksen!D8))</f>
        <v>0</v>
      </c>
      <c r="O76" s="84">
        <f>IF(Reeksen!D8&lt;Reeksen!B8,(Reeksen!B8-Reeksen!D8)*L76,0)</f>
        <v>0</v>
      </c>
      <c r="P76" s="84">
        <f ca="1">IF(E76='Invoer gegevens'!$C$17+'Invoer gegevens'!$I$14+1,0,('Invoer gegevens'!$F$20/12)*L75*MIN(Reeksen!B7,Reeksen!D7))</f>
        <v>0</v>
      </c>
      <c r="Q76" s="84">
        <f ca="1">IF(E76&gt;='Invoer gegevens'!$C$17+'Invoer gegevens'!$I$14,0,L76-M76+I76+O76)</f>
        <v>0</v>
      </c>
      <c r="R76" s="82">
        <f ca="1">IF('Invoer gegevens'!$C$17=E76,'Invoer gegevens'!$C$11,IF(C76=1,W75,0))</f>
        <v>0</v>
      </c>
      <c r="S76" s="86">
        <f ca="1">IF(E76='Invoer gegevens'!$C$17+'Invoer gegevens'!$I$14,W75,IF(C76&gt;=1,R76*VLOOKUP(E76,Reeksen!$A$5:$B$76,2),0))</f>
        <v>0</v>
      </c>
      <c r="T76" s="84">
        <f ca="1">IF(E76='Invoer gegevens'!$C$17+'Invoer gegevens'!$I$14,W75,(1-('Invoer gegevens'!$F$20/12))*R76*MIN(Reeksen!B8,Reeksen!D8))</f>
        <v>0</v>
      </c>
      <c r="U76" s="84">
        <f>IF(Reeksen!D8&gt;=Reeksen!B8,0,IF(Reeksen!AK8&lt;=Reeksen!AE8,(Reeksen!B8-Reeksen!D8)*R76,0))</f>
        <v>0</v>
      </c>
      <c r="V76" s="86">
        <f>IF(Reeksen!D8&gt;=Reeksen!B8,0,IF(Reeksen!AK8&gt;Reeksen!AE8,(Reeksen!B8-Reeksen!D8)*R76,0))</f>
        <v>0</v>
      </c>
      <c r="W76" s="97">
        <f ca="1">IF(E76&gt;='Invoer gegevens'!$C$17+'Invoer gegevens'!$I$14,0,R76-S76)</f>
        <v>0</v>
      </c>
      <c r="X76" s="98">
        <f ca="1">IF('Invoer gegevens'!$C$17=E76,'Invoer gegevens'!$C$10-'Invoer gegevens'!$C$11,IF(C76=1,AC75,0))</f>
        <v>0</v>
      </c>
      <c r="Y76" s="98">
        <f ca="1">IF(E76='Invoer gegevens'!$C$17+'Invoer gegevens'!$I$14,AC75,IF(C76&gt;=1,X76*VLOOKUP(E76,Reeksen!$A$5:$B$76,2),0))</f>
        <v>0</v>
      </c>
      <c r="Z76" s="98">
        <f ca="1">IF(E76='Invoer gegevens'!$C$17+'Invoer gegevens'!$I$14,AC75,(1-('Invoer gegevens'!$F$20/12))*X76*MIN(Reeksen!B8,Reeksen!D8))</f>
        <v>0</v>
      </c>
      <c r="AA76" s="98">
        <f>IF(Reeksen!D8&gt;=Reeksen!B8,0,IF(Reeksen!AK8&lt;=Reeksen!AE8,(Reeksen!B8-Reeksen!D8)*X76,0))</f>
        <v>0</v>
      </c>
      <c r="AB76" s="98">
        <f>IF(Reeksen!D8&gt;=Reeksen!B8,0,IF(Reeksen!AK8&gt;Reeksen!AE8,(Reeksen!B8-Reeksen!D8)*X76,0))</f>
        <v>0</v>
      </c>
      <c r="AC76" s="99">
        <f ca="1">IF(E76&gt;='Invoer gegevens'!$C$17+'Invoer gegevens'!$I$14,0,X76-Y76)</f>
        <v>0</v>
      </c>
      <c r="AD76" s="98">
        <f ca="1">IF('Invoer gegevens'!$C$17=E8,R76,IF(C8=0,0,AE75))</f>
        <v>0</v>
      </c>
      <c r="AE76" s="98">
        <f t="shared" ca="1" si="9"/>
        <v>0</v>
      </c>
      <c r="AF76" s="98">
        <f ca="1">IF('Invoer gegevens'!$C$17=E8,X76,IF(C8=0,0,AG75))</f>
        <v>0</v>
      </c>
      <c r="AG76" s="98">
        <f t="shared" ca="1" si="10"/>
        <v>0</v>
      </c>
      <c r="AH76" s="70"/>
      <c r="AI76" s="71">
        <f ca="1">IF(C76=1,((Reeksen!BF8*(F76-G76+F76)/2)+((L76-M76+L76)/2*Reeksen!BG8))*12,0)</f>
        <v>0</v>
      </c>
      <c r="AJ76" s="71">
        <f ca="1">-AI76*'Invoer gegevens'!$I$26</f>
        <v>0</v>
      </c>
      <c r="AK76" s="71">
        <f t="shared" ca="1" si="11"/>
        <v>0</v>
      </c>
      <c r="AL76" s="71">
        <f ca="1">IF(C76=1,Reeksen!AL8*((F76-G76+F76)/2)*12+Reeksen!AM8*((L76-M76+L76)/2)*12,0)</f>
        <v>0</v>
      </c>
      <c r="AM76" s="71">
        <f ca="1">-AL76*'Invoer gegevens'!$F$31</f>
        <v>0</v>
      </c>
      <c r="AN76" s="71">
        <f t="shared" ca="1" si="12"/>
        <v>0</v>
      </c>
      <c r="AO76" s="71">
        <f ca="1">IF(E76&gt;='Invoer gegevens'!$C$17+'Invoer gegevens'!$I$14,0,IF(C76=1,(H76+J76+N76+P76)*Reeksen!AN8,0))</f>
        <v>0</v>
      </c>
      <c r="AP76" s="71">
        <f ca="1">-IF(C76=1,(H76+J76+N76+P76)*Reeksen!AN7*'Hulp - basis'!$B$550,0)</f>
        <v>0</v>
      </c>
      <c r="AQ76" s="71">
        <f ca="1">-IF(C76=1,(F76+K76+L76+Q76)/2*'Invoer gegevens'!$I$33*Reeksen!J8,0)</f>
        <v>0</v>
      </c>
      <c r="AR76" s="71">
        <f ca="1">-IF(C76=1,(I76*'Invoer gegevens'!$I$34)*Reeksen!J8,0)</f>
        <v>0</v>
      </c>
      <c r="AS76" s="71">
        <f ca="1">-IF(C76=1,(F76+K76+L76+Q76)/2*'Invoer gegevens'!$I$35*Reeksen!L8,0)</f>
        <v>0</v>
      </c>
      <c r="AT76" s="71">
        <f ca="1">-IF(C76=1,IF(E76='Invoer gegevens'!$C$17,'Invoer gegevens'!$C$11,AD76)*Reeksen!S8*'Invoer gegevens'!$C$18*Reeksen!P8,0)</f>
        <v>0</v>
      </c>
      <c r="AU76" s="71">
        <f ca="1">-IF(C76=1,(F76+K76+L76+Q76)/2*'Invoer gegevens'!$I$36*Reeksen!H8,0)</f>
        <v>0</v>
      </c>
      <c r="AV76" s="71">
        <f t="shared" ca="1" si="13"/>
        <v>0</v>
      </c>
      <c r="AW76" s="72">
        <f ca="1">IFERROR(IF(E76='Invoer gegevens'!$C$17+'Invoer gegevens'!$I$14-1,'Invoer gegevens'!$I$13*K76*Reeksen!H8,0),0)</f>
        <v>0</v>
      </c>
      <c r="AX76" s="72">
        <f ca="1">IFERROR(IF(E76='Invoer gegevens'!$C$17,-'Invoer gegevens'!$C$10*('Invoer gegevens'!$C$30+'Invoer gegevens'!$C$31)*Reeksen!H8,0),0)</f>
        <v>0</v>
      </c>
      <c r="AY76" s="73">
        <f ca="1">IF('Invoer gegevens'!$C$34=E76,'Invoer gegevens'!$C$27*'Invoer gegevens'!$C$10*'Invoer gegevens'!$C$36*(IF('Invoer gegevens'!$C$35="ja",1,Reeksen!J8)),IF('Invoer gegevens'!$C$34+1=E76,'Invoer gegevens'!$C$27*'Invoer gegevens'!$C$10*'Invoer gegevens'!$C$37*(IF('Invoer gegevens'!$C$35="ja",1,Reeksen!J8)),0))+IF(AND(E76='Invoer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6" s="73">
        <f ca="1">AV76/(1+'Invoer gegevens'!$I$12)^($D76-('Invoer gegevens'!$C$17-'Invoer gegevens'!$C$16))/(1+'Invoer gegevens'!$C$39)^('Invoer gegevens'!$C$17-'Invoer gegevens'!$C$16)</f>
        <v>0</v>
      </c>
      <c r="BA76" s="73">
        <f ca="1">AW76/(1+'Invoer gegevens'!$I$12)^(E76-('Invoer gegevens'!$C$17-1))/(1+'Invoer gegevens'!$C$39)^('Invoer gegevens'!$C$17-'Invoer gegevens'!$C$16)</f>
        <v>0</v>
      </c>
      <c r="BB76" s="73">
        <f ca="1">AX76/(1+'Invoer gegevens'!$C$39)^('Invoer gegevens'!$C$17-'Invoer gegevens'!$C$16)</f>
        <v>0</v>
      </c>
      <c r="BC76" s="72">
        <f t="shared" ca="1" si="14"/>
        <v>0</v>
      </c>
      <c r="BD76" s="72">
        <f ca="1">IF(AND(E76='Invoer gegevens'!$C$16,'Invoer gegevens'!$C$34&lt;'Invoer gegevens'!$C$16),AY76,AY76/(1+'Invoer gegevens'!$C$39)^D76)</f>
        <v>0</v>
      </c>
      <c r="BE76" s="72">
        <f ca="1">IF(E76='Invoer gegevens'!$C$34,-'Invoer gegevens'!$I$38,0)</f>
        <v>0</v>
      </c>
      <c r="BF76" s="72">
        <f ca="1">IF(E76='Invoer gegevens'!$C$17,-'Invoer gegevens'!$C$19*$BC$134,0)</f>
        <v>0</v>
      </c>
      <c r="BG76" s="72">
        <f ca="1">AV76/(1+$BG$72)^($D76-('Invoer gegevens'!$C$17-'Invoer gegevens'!$C$16))/(1+'Invoer gegevens'!$C$39)^('Invoer gegevens'!$C$17-'Invoer gegevens'!$C$16)+AW76/(1+$BG$72)^(E76-('Invoer gegevens'!$C$17-1))/(1+'Invoer gegevens'!$C$39)^('Invoer gegevens'!$C$17-'Invoer gegevens'!$C$16)+AX76/(1+'Invoer gegevens'!$C$39)^('Invoer gegevens'!$C$17-'Invoer gegevens'!$C$16)+(-AY76/(1+'Invoer gegevens'!$C$39)^D76)+BE76+BF76</f>
        <v>0</v>
      </c>
    </row>
    <row r="77" spans="1:61" x14ac:dyDescent="0.25">
      <c r="A77" s="59"/>
      <c r="B77" s="70">
        <f t="shared" si="15"/>
        <v>5</v>
      </c>
      <c r="C77" s="67">
        <f ca="1">IF(AND(E77&gt;='Invoer gegevens'!$C$17,E77&lt;'Invoer gegevens'!$C$17+'Invoer gegevens'!$I$14),1,0)</f>
        <v>1</v>
      </c>
      <c r="D77" s="68">
        <f t="shared" si="16"/>
        <v>4.5</v>
      </c>
      <c r="E77" s="108">
        <f ca="1">IF('Invoer gegevens'!$C$16="","",E76+1)</f>
        <v>2023</v>
      </c>
      <c r="F77" s="84">
        <f ca="1">IF('Invoer gegevens'!$C$17=E77,'Invoer gegevens'!$C$10,IF(C77=1,K76,0))</f>
        <v>0</v>
      </c>
      <c r="G77" s="96">
        <f ca="1">IF(E77='Invoer gegevens'!$C$17+'Invoer gegevens'!$I$14,K76,IF(C77&gt;=1,F77*VLOOKUP(E77,Reeksen!$A$5:$B$76,2),0))</f>
        <v>0</v>
      </c>
      <c r="H77" s="84">
        <f ca="1">IF(E77='Invoer gegevens'!$C$17+'Invoer gegevens'!$I$14,K76,(1-('Invoer gegevens'!$F$20/12))*F77*MIN(Reeksen!B9,Reeksen!D9))</f>
        <v>0</v>
      </c>
      <c r="I77" s="84">
        <f>IF(Reeksen!D9&lt;Reeksen!B9,(Reeksen!B9-Reeksen!D9)*F77,0)</f>
        <v>0</v>
      </c>
      <c r="J77" s="84">
        <f ca="1">IF(E77='Invoer gegevens'!$C$17+'Invoer gegevens'!$I$14+1,0,('Invoer gegevens'!$F$20/12)*F76*MIN(Reeksen!B8,Reeksen!D8))</f>
        <v>0</v>
      </c>
      <c r="K77" s="97">
        <f ca="1">IF(E77&gt;='Invoer gegevens'!$C$17+'Invoer gegevens'!$I$14,0,F77-G77)</f>
        <v>0</v>
      </c>
      <c r="L77" s="84">
        <f ca="1">IF('Invoer gegevens'!$C$17=E77,0,IF(C77=1,Q76,0))</f>
        <v>0</v>
      </c>
      <c r="M77" s="96">
        <f ca="1">IF(E77='Invoer gegevens'!$C$17+'Invoer gegevens'!$I$14,Q76,IF(C77&gt;=1,L77*VLOOKUP(E77,Reeksen!$A$5:$B$76,2),0))</f>
        <v>0</v>
      </c>
      <c r="N77" s="84">
        <f ca="1">IF(C77='Invoer gegevens'!$C$17+'Invoer gegevens'!$I$14,Q76,(1-('Invoer gegevens'!$F$20/12))*L77*MIN(Reeksen!B9,Reeksen!D9))</f>
        <v>0</v>
      </c>
      <c r="O77" s="84">
        <f>IF(Reeksen!D9&lt;Reeksen!B9,(Reeksen!B9-Reeksen!D9)*L77,0)</f>
        <v>0</v>
      </c>
      <c r="P77" s="84">
        <f ca="1">IF(E77='Invoer gegevens'!$C$17+'Invoer gegevens'!$I$14+1,0,('Invoer gegevens'!$F$20/12)*L76*MIN(Reeksen!B8,Reeksen!D8))</f>
        <v>0</v>
      </c>
      <c r="Q77" s="84">
        <f ca="1">IF(E77&gt;='Invoer gegevens'!$C$17+'Invoer gegevens'!$I$14,0,L77-M77+I77+O77)</f>
        <v>0</v>
      </c>
      <c r="R77" s="82">
        <f ca="1">IF('Invoer gegevens'!$C$17=E77,'Invoer gegevens'!$C$11,IF(C77=1,W76,0))</f>
        <v>0</v>
      </c>
      <c r="S77" s="86">
        <f ca="1">IF(E77='Invoer gegevens'!$C$17+'Invoer gegevens'!$I$14,W76,IF(C77&gt;=1,R77*VLOOKUP(E77,Reeksen!$A$5:$B$76,2),0))</f>
        <v>0</v>
      </c>
      <c r="T77" s="84">
        <f ca="1">IF(E77='Invoer gegevens'!$C$17+'Invoer gegevens'!$I$14,W76,(1-('Invoer gegevens'!$F$20/12))*R77*MIN(Reeksen!B9,Reeksen!D9))</f>
        <v>0</v>
      </c>
      <c r="U77" s="84">
        <f>IF(Reeksen!D9&gt;=Reeksen!B9,0,IF(Reeksen!AK9&lt;=Reeksen!AE9,(Reeksen!B9-Reeksen!D9)*R77,0))</f>
        <v>0</v>
      </c>
      <c r="V77" s="86">
        <f>IF(Reeksen!D9&gt;=Reeksen!B9,0,IF(Reeksen!AK9&gt;Reeksen!AE9,(Reeksen!B9-Reeksen!D9)*R77,0))</f>
        <v>0</v>
      </c>
      <c r="W77" s="97">
        <f ca="1">IF(E77&gt;='Invoer gegevens'!$C$17+'Invoer gegevens'!$I$14,0,R77-S77)</f>
        <v>0</v>
      </c>
      <c r="X77" s="98">
        <f ca="1">IF('Invoer gegevens'!$C$17=E77,'Invoer gegevens'!$C$10-'Invoer gegevens'!$C$11,IF(C77=1,AC76,0))</f>
        <v>0</v>
      </c>
      <c r="Y77" s="98">
        <f ca="1">IF(E77='Invoer gegevens'!$C$17+'Invoer gegevens'!$I$14,AC76,IF(C77&gt;=1,X77*VLOOKUP(E77,Reeksen!$A$5:$B$76,2),0))</f>
        <v>0</v>
      </c>
      <c r="Z77" s="98">
        <f ca="1">IF(E77='Invoer gegevens'!$C$17+'Invoer gegevens'!$I$14,AC76,(1-('Invoer gegevens'!$F$20/12))*X77*MIN(Reeksen!B9,Reeksen!D9))</f>
        <v>0</v>
      </c>
      <c r="AA77" s="98">
        <f>IF(Reeksen!D9&gt;=Reeksen!B9,0,IF(Reeksen!AK9&lt;=Reeksen!AE9,(Reeksen!B9-Reeksen!D9)*X77,0))</f>
        <v>0</v>
      </c>
      <c r="AB77" s="98">
        <f>IF(Reeksen!D9&gt;=Reeksen!B9,0,IF(Reeksen!AK9&gt;Reeksen!AE9,(Reeksen!B9-Reeksen!D9)*X77,0))</f>
        <v>0</v>
      </c>
      <c r="AC77" s="99">
        <f ca="1">IF(E77&gt;='Invoer gegevens'!$C$17+'Invoer gegevens'!$I$14,0,X77-Y77)</f>
        <v>0</v>
      </c>
      <c r="AD77" s="98">
        <f ca="1">IF('Invoer gegevens'!$C$17=E9,R77,IF(C9=0,0,AE76))</f>
        <v>0</v>
      </c>
      <c r="AE77" s="98">
        <f t="shared" ca="1" si="9"/>
        <v>0</v>
      </c>
      <c r="AF77" s="98">
        <f ca="1">IF('Invoer gegevens'!$C$17=E9,X77,IF(C9=0,0,AG76))</f>
        <v>0</v>
      </c>
      <c r="AG77" s="98">
        <f t="shared" ca="1" si="10"/>
        <v>0</v>
      </c>
      <c r="AH77" s="70"/>
      <c r="AI77" s="71">
        <f ca="1">IF(C77=1,((Reeksen!BF9*(F77-G77+F77)/2)+((L77-M77+L77)/2*Reeksen!BG9))*12,0)</f>
        <v>0</v>
      </c>
      <c r="AJ77" s="71">
        <f ca="1">-AI77*'Invoer gegevens'!$I$26</f>
        <v>0</v>
      </c>
      <c r="AK77" s="71">
        <f t="shared" ca="1" si="11"/>
        <v>0</v>
      </c>
      <c r="AL77" s="71">
        <f ca="1">IF(C77=1,Reeksen!AL9*((F77-G77+F77)/2)*12+Reeksen!AM9*((L77-M77+L77)/2)*12,0)</f>
        <v>0</v>
      </c>
      <c r="AM77" s="71">
        <f ca="1">-AL77*'Invoer gegevens'!$F$31</f>
        <v>0</v>
      </c>
      <c r="AN77" s="71">
        <f t="shared" ca="1" si="12"/>
        <v>0</v>
      </c>
      <c r="AO77" s="71">
        <f ca="1">IF(E77&gt;='Invoer gegevens'!$C$17+'Invoer gegevens'!$I$14,0,IF(C77=1,(H77+J77+N77+P77)*Reeksen!AN9,0))</f>
        <v>0</v>
      </c>
      <c r="AP77" s="71">
        <f ca="1">-IF(C77=1,(H77+J77+N77+P77)*Reeksen!AN8*'Hulp - basis'!$B$550,0)</f>
        <v>0</v>
      </c>
      <c r="AQ77" s="71">
        <f ca="1">-IF(C77=1,(F77+K77+L77+Q77)/2*'Invoer gegevens'!$I$33*Reeksen!J9,0)</f>
        <v>0</v>
      </c>
      <c r="AR77" s="71">
        <f ca="1">-IF(C77=1,(I77*'Invoer gegevens'!$I$34)*Reeksen!J9,0)</f>
        <v>0</v>
      </c>
      <c r="AS77" s="71">
        <f ca="1">-IF(C77=1,(F77+K77+L77+Q77)/2*'Invoer gegevens'!$I$35*Reeksen!L9,0)</f>
        <v>0</v>
      </c>
      <c r="AT77" s="71">
        <f ca="1">-IF(C77=1,IF(E77='Invoer gegevens'!$C$17,'Invoer gegevens'!$C$11,AD77)*Reeksen!S9*'Invoer gegevens'!$C$18*Reeksen!P9,0)</f>
        <v>0</v>
      </c>
      <c r="AU77" s="71">
        <f ca="1">-IF(C77=1,(F77+K77+L77+Q77)/2*'Invoer gegevens'!$I$36*Reeksen!H9,0)</f>
        <v>0</v>
      </c>
      <c r="AV77" s="71">
        <f t="shared" ca="1" si="13"/>
        <v>0</v>
      </c>
      <c r="AW77" s="72">
        <f ca="1">IFERROR(IF(E77='Invoer gegevens'!$C$17+'Invoer gegevens'!$I$14-1,'Invoer gegevens'!$I$13*K77*Reeksen!H9,0),0)</f>
        <v>0</v>
      </c>
      <c r="AX77" s="72">
        <f ca="1">IFERROR(IF(E77='Invoer gegevens'!$C$17,-'Invoer gegevens'!$C$10*('Invoer gegevens'!$C$30+'Invoer gegevens'!$C$31)*Reeksen!H9,0),0)</f>
        <v>0</v>
      </c>
      <c r="AY77" s="73">
        <f ca="1">IF('Invoer gegevens'!$C$34=E77,'Invoer gegevens'!$C$27*'Invoer gegevens'!$C$10*'Invoer gegevens'!$C$36*(IF('Invoer gegevens'!$C$35="ja",1,Reeksen!J9)),IF('Invoer gegevens'!$C$34+1=E77,'Invoer gegevens'!$C$27*'Invoer gegevens'!$C$10*'Invoer gegevens'!$C$37*(IF('Invoer gegevens'!$C$35="ja",1,Reeksen!J9)),0))+IF(AND(E77='Invoer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7" s="73">
        <f ca="1">AV77/(1+'Invoer gegevens'!$I$12)^($D77-('Invoer gegevens'!$C$17-'Invoer gegevens'!$C$16))/(1+'Invoer gegevens'!$C$39)^('Invoer gegevens'!$C$17-'Invoer gegevens'!$C$16)</f>
        <v>0</v>
      </c>
      <c r="BA77" s="73">
        <f ca="1">AW77/(1+'Invoer gegevens'!$I$12)^(E77-('Invoer gegevens'!$C$17-1))/(1+'Invoer gegevens'!$C$39)^('Invoer gegevens'!$C$17-'Invoer gegevens'!$C$16)</f>
        <v>0</v>
      </c>
      <c r="BB77" s="73">
        <f ca="1">AX77/(1+'Invoer gegevens'!$C$39)^('Invoer gegevens'!$C$17-'Invoer gegevens'!$C$16)</f>
        <v>0</v>
      </c>
      <c r="BC77" s="72">
        <f t="shared" ca="1" si="14"/>
        <v>0</v>
      </c>
      <c r="BD77" s="72">
        <f ca="1">IF(AND(E77='Invoer gegevens'!$C$16,'Invoer gegevens'!$C$34&lt;'Invoer gegevens'!$C$16),AY77,AY77/(1+'Invoer gegevens'!$C$39)^D77)</f>
        <v>0</v>
      </c>
      <c r="BE77" s="72">
        <f ca="1">IF(E77='Invoer gegevens'!$C$34,-'Invoer gegevens'!$I$38,0)</f>
        <v>0</v>
      </c>
      <c r="BF77" s="72">
        <f ca="1">IF(E77='Invoer gegevens'!$C$17,-'Invoer gegevens'!$C$19*$BC$134,0)</f>
        <v>0</v>
      </c>
      <c r="BG77" s="72">
        <f ca="1">AV77/(1+$BG$72)^($D77-('Invoer gegevens'!$C$17-'Invoer gegevens'!$C$16))/(1+'Invoer gegevens'!$C$39)^('Invoer gegevens'!$C$17-'Invoer gegevens'!$C$16)+AW77/(1+$BG$72)^(E77-('Invoer gegevens'!$C$17-1))/(1+'Invoer gegevens'!$C$39)^('Invoer gegevens'!$C$17-'Invoer gegevens'!$C$16)+AX77/(1+'Invoer gegevens'!$C$39)^('Invoer gegevens'!$C$17-'Invoer gegevens'!$C$16)+(-AY77/(1+'Invoer gegevens'!$C$39)^D77)+BE77+BF77</f>
        <v>0</v>
      </c>
    </row>
    <row r="78" spans="1:61" x14ac:dyDescent="0.25">
      <c r="A78" s="59"/>
      <c r="B78" s="70">
        <f t="shared" si="15"/>
        <v>6</v>
      </c>
      <c r="C78" s="67">
        <f ca="1">IF(AND(E78&gt;='Invoer gegevens'!$C$17,E78&lt;'Invoer gegevens'!$C$17+'Invoer gegevens'!$I$14),1,0)</f>
        <v>1</v>
      </c>
      <c r="D78" s="68">
        <f t="shared" si="16"/>
        <v>5.5</v>
      </c>
      <c r="E78" s="108">
        <f ca="1">IF('Invoer gegevens'!$C$16="","",E77+1)</f>
        <v>2024</v>
      </c>
      <c r="F78" s="84">
        <f ca="1">IF('Invoer gegevens'!$C$17=E78,'Invoer gegevens'!$C$10,IF(C78=1,K77,0))</f>
        <v>0</v>
      </c>
      <c r="G78" s="96">
        <f ca="1">IF(E78='Invoer gegevens'!$C$17+'Invoer gegevens'!$I$14,K77,IF(C78&gt;=1,F78*VLOOKUP(E78,Reeksen!$A$5:$B$76,2),0))</f>
        <v>0</v>
      </c>
      <c r="H78" s="84">
        <f ca="1">IF(E78='Invoer gegevens'!$C$17+'Invoer gegevens'!$I$14,K77,(1-('Invoer gegevens'!$F$20/12))*F78*MIN(Reeksen!B10,Reeksen!D10))</f>
        <v>0</v>
      </c>
      <c r="I78" s="84">
        <f>IF(Reeksen!D10&lt;Reeksen!B10,(Reeksen!B10-Reeksen!D10)*F78,0)</f>
        <v>0</v>
      </c>
      <c r="J78" s="84">
        <f ca="1">IF(E78='Invoer gegevens'!$C$17+'Invoer gegevens'!$I$14+1,0,('Invoer gegevens'!$F$20/12)*F77*MIN(Reeksen!B9,Reeksen!D9))</f>
        <v>0</v>
      </c>
      <c r="K78" s="97">
        <f ca="1">IF(E78&gt;='Invoer gegevens'!$C$17+'Invoer gegevens'!$I$14,0,F78-G78)</f>
        <v>0</v>
      </c>
      <c r="L78" s="84">
        <f ca="1">IF('Invoer gegevens'!$C$17=E78,0,IF(C78=1,Q77,0))</f>
        <v>0</v>
      </c>
      <c r="M78" s="96">
        <f ca="1">IF(E78='Invoer gegevens'!$C$17+'Invoer gegevens'!$I$14,Q77,IF(C78&gt;=1,L78*VLOOKUP(E78,Reeksen!$A$5:$B$76,2),0))</f>
        <v>0</v>
      </c>
      <c r="N78" s="84">
        <f ca="1">IF(C78='Invoer gegevens'!$C$17+'Invoer gegevens'!$I$14,Q77,(1-('Invoer gegevens'!$F$20/12))*L78*MIN(Reeksen!B10,Reeksen!D10))</f>
        <v>0</v>
      </c>
      <c r="O78" s="84">
        <f>IF(Reeksen!D10&lt;Reeksen!B10,(Reeksen!B10-Reeksen!D10)*L78,0)</f>
        <v>0</v>
      </c>
      <c r="P78" s="84">
        <f ca="1">IF(E78='Invoer gegevens'!$C$17+'Invoer gegevens'!$I$14+1,0,('Invoer gegevens'!$F$20/12)*L77*MIN(Reeksen!B9,Reeksen!D9))</f>
        <v>0</v>
      </c>
      <c r="Q78" s="84">
        <f ca="1">IF(E78&gt;='Invoer gegevens'!$C$17+'Invoer gegevens'!$I$14,0,L78-M78+I78+O78)</f>
        <v>0</v>
      </c>
      <c r="R78" s="82">
        <f ca="1">IF('Invoer gegevens'!$C$17=E78,'Invoer gegevens'!$C$11,IF(C78=1,W77,0))</f>
        <v>0</v>
      </c>
      <c r="S78" s="86">
        <f ca="1">IF(E78='Invoer gegevens'!$C$17+'Invoer gegevens'!$I$14,W77,IF(C78&gt;=1,R78*VLOOKUP(E78,Reeksen!$A$5:$B$76,2),0))</f>
        <v>0</v>
      </c>
      <c r="T78" s="84">
        <f ca="1">IF(E78='Invoer gegevens'!$C$17+'Invoer gegevens'!$I$14,W77,(1-('Invoer gegevens'!$F$20/12))*R78*MIN(Reeksen!B10,Reeksen!D10))</f>
        <v>0</v>
      </c>
      <c r="U78" s="84">
        <f>IF(Reeksen!D10&gt;=Reeksen!B10,0,IF(Reeksen!AK10&lt;=Reeksen!AE10,(Reeksen!B10-Reeksen!D10)*R78,0))</f>
        <v>0</v>
      </c>
      <c r="V78" s="86">
        <f>IF(Reeksen!D10&gt;=Reeksen!B10,0,IF(Reeksen!AK10&gt;Reeksen!AE10,(Reeksen!B10-Reeksen!D10)*R78,0))</f>
        <v>0</v>
      </c>
      <c r="W78" s="97">
        <f ca="1">IF(E78&gt;='Invoer gegevens'!$C$17+'Invoer gegevens'!$I$14,0,R78-S78)</f>
        <v>0</v>
      </c>
      <c r="X78" s="98">
        <f ca="1">IF('Invoer gegevens'!$C$17=E78,'Invoer gegevens'!$C$10-'Invoer gegevens'!$C$11,IF(C78=1,AC77,0))</f>
        <v>0</v>
      </c>
      <c r="Y78" s="98">
        <f ca="1">IF(E78='Invoer gegevens'!$C$17+'Invoer gegevens'!$I$14,AC77,IF(C78&gt;=1,X78*VLOOKUP(E78,Reeksen!$A$5:$B$76,2),0))</f>
        <v>0</v>
      </c>
      <c r="Z78" s="98">
        <f ca="1">IF(E78='Invoer gegevens'!$C$17+'Invoer gegevens'!$I$14,AC77,(1-('Invoer gegevens'!$F$20/12))*X78*MIN(Reeksen!B10,Reeksen!D10))</f>
        <v>0</v>
      </c>
      <c r="AA78" s="98">
        <f>IF(Reeksen!D10&gt;=Reeksen!B10,0,IF(Reeksen!AK10&lt;=Reeksen!AE10,(Reeksen!B10-Reeksen!D10)*X78,0))</f>
        <v>0</v>
      </c>
      <c r="AB78" s="98">
        <f>IF(Reeksen!D10&gt;=Reeksen!B10,0,IF(Reeksen!AK10&gt;Reeksen!AE10,(Reeksen!B10-Reeksen!D10)*X78,0))</f>
        <v>0</v>
      </c>
      <c r="AC78" s="99">
        <f ca="1">IF(E78&gt;='Invoer gegevens'!$C$17+'Invoer gegevens'!$I$14,0,X78-Y78)</f>
        <v>0</v>
      </c>
      <c r="AD78" s="98">
        <f ca="1">IF('Invoer gegevens'!$C$17=E10,R78,IF(C10=0,0,AE77))</f>
        <v>0</v>
      </c>
      <c r="AE78" s="98">
        <f t="shared" ca="1" si="9"/>
        <v>0</v>
      </c>
      <c r="AF78" s="98">
        <f ca="1">IF('Invoer gegevens'!$C$17=E10,X78,IF(C10=0,0,AG77))</f>
        <v>0</v>
      </c>
      <c r="AG78" s="98">
        <f t="shared" ca="1" si="10"/>
        <v>0</v>
      </c>
      <c r="AH78" s="70"/>
      <c r="AI78" s="71">
        <f ca="1">IF(C78=1,((Reeksen!BF10*(F78-G78+F78)/2)+((L78-M78+L78)/2*Reeksen!BG10))*12,0)</f>
        <v>0</v>
      </c>
      <c r="AJ78" s="71">
        <f ca="1">-AI78*'Invoer gegevens'!$I$26</f>
        <v>0</v>
      </c>
      <c r="AK78" s="71">
        <f t="shared" ca="1" si="11"/>
        <v>0</v>
      </c>
      <c r="AL78" s="71">
        <f ca="1">IF(C78=1,Reeksen!AL10*((F78-G78+F78)/2)*12+Reeksen!AM10*((L78-M78+L78)/2)*12,0)</f>
        <v>0</v>
      </c>
      <c r="AM78" s="71">
        <f ca="1">-AL78*'Invoer gegevens'!$F$31</f>
        <v>0</v>
      </c>
      <c r="AN78" s="71">
        <f t="shared" ca="1" si="12"/>
        <v>0</v>
      </c>
      <c r="AO78" s="71">
        <f ca="1">IF(E78&gt;='Invoer gegevens'!$C$17+'Invoer gegevens'!$I$14,0,IF(C78=1,(H78+J78+N78+P78)*Reeksen!AN10,0))</f>
        <v>0</v>
      </c>
      <c r="AP78" s="71">
        <f ca="1">-IF(C78=1,(H78+J78+N78+P78)*Reeksen!AN9*'Hulp - basis'!$B$550,0)</f>
        <v>0</v>
      </c>
      <c r="AQ78" s="71">
        <f ca="1">-IF(C78=1,(F78+K78+L78+Q78)/2*'Invoer gegevens'!$I$33*Reeksen!J10,0)</f>
        <v>0</v>
      </c>
      <c r="AR78" s="71">
        <f ca="1">-IF(C78=1,(I78*'Invoer gegevens'!$I$34)*Reeksen!J10,0)</f>
        <v>0</v>
      </c>
      <c r="AS78" s="71">
        <f ca="1">-IF(C78=1,(F78+K78+L78+Q78)/2*'Invoer gegevens'!$I$35*Reeksen!L10,0)</f>
        <v>0</v>
      </c>
      <c r="AT78" s="71">
        <f ca="1">-IF(C78=1,IF(E78='Invoer gegevens'!$C$17,'Invoer gegevens'!$C$11,AD78)*Reeksen!S10*'Invoer gegevens'!$C$18*Reeksen!P10,0)</f>
        <v>0</v>
      </c>
      <c r="AU78" s="71">
        <f ca="1">-IF(C78=1,(F78+K78+L78+Q78)/2*'Invoer gegevens'!$I$36*Reeksen!H10,0)</f>
        <v>0</v>
      </c>
      <c r="AV78" s="71">
        <f t="shared" ca="1" si="13"/>
        <v>0</v>
      </c>
      <c r="AW78" s="72">
        <f ca="1">IFERROR(IF(E78='Invoer gegevens'!$C$17+'Invoer gegevens'!$I$14-1,'Invoer gegevens'!$I$13*K78*Reeksen!H10,0),0)</f>
        <v>0</v>
      </c>
      <c r="AX78" s="72">
        <f ca="1">IFERROR(IF(E78='Invoer gegevens'!$C$17,-'Invoer gegevens'!$C$10*('Invoer gegevens'!$C$30+'Invoer gegevens'!$C$31)*Reeksen!H10,0),0)</f>
        <v>0</v>
      </c>
      <c r="AY78" s="73">
        <f ca="1">IF('Invoer gegevens'!$C$34=E78,'Invoer gegevens'!$C$27*'Invoer gegevens'!$C$10*'Invoer gegevens'!$C$36*(IF('Invoer gegevens'!$C$35="ja",1,Reeksen!J10)),IF('Invoer gegevens'!$C$34+1=E78,'Invoer gegevens'!$C$27*'Invoer gegevens'!$C$10*'Invoer gegevens'!$C$37*(IF('Invoer gegevens'!$C$35="ja",1,Reeksen!J10)),0))+IF(AND(E78='Invoer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8" s="73">
        <f ca="1">AV78/(1+'Invoer gegevens'!$I$12)^($D78-('Invoer gegevens'!$C$17-'Invoer gegevens'!$C$16))/(1+'Invoer gegevens'!$C$39)^('Invoer gegevens'!$C$17-'Invoer gegevens'!$C$16)</f>
        <v>0</v>
      </c>
      <c r="BA78" s="73">
        <f ca="1">AW78/(1+'Invoer gegevens'!$I$12)^(E78-('Invoer gegevens'!$C$17-1))/(1+'Invoer gegevens'!$C$39)^('Invoer gegevens'!$C$17-'Invoer gegevens'!$C$16)</f>
        <v>0</v>
      </c>
      <c r="BB78" s="73">
        <f ca="1">AX78/(1+'Invoer gegevens'!$C$39)^('Invoer gegevens'!$C$17-'Invoer gegevens'!$C$16)</f>
        <v>0</v>
      </c>
      <c r="BC78" s="72">
        <f t="shared" ca="1" si="14"/>
        <v>0</v>
      </c>
      <c r="BD78" s="72">
        <f ca="1">IF(AND(E78='Invoer gegevens'!$C$16,'Invoer gegevens'!$C$34&lt;'Invoer gegevens'!$C$16),AY78,AY78/(1+'Invoer gegevens'!$C$39)^D78)</f>
        <v>0</v>
      </c>
      <c r="BE78" s="72">
        <f ca="1">IF(E78='Invoer gegevens'!$C$34,-'Invoer gegevens'!$I$38,0)</f>
        <v>0</v>
      </c>
      <c r="BF78" s="72">
        <f ca="1">IF(E78='Invoer gegevens'!$C$17,-'Invoer gegevens'!$C$19*$BC$134,0)</f>
        <v>0</v>
      </c>
      <c r="BG78" s="72">
        <f ca="1">AV78/(1+$BG$72)^($D78-('Invoer gegevens'!$C$17-'Invoer gegevens'!$C$16))/(1+'Invoer gegevens'!$C$39)^('Invoer gegevens'!$C$17-'Invoer gegevens'!$C$16)+AW78/(1+$BG$72)^(E78-('Invoer gegevens'!$C$17-1))/(1+'Invoer gegevens'!$C$39)^('Invoer gegevens'!$C$17-'Invoer gegevens'!$C$16)+AX78/(1+'Invoer gegevens'!$C$39)^('Invoer gegevens'!$C$17-'Invoer gegevens'!$C$16)+(-AY78/(1+'Invoer gegevens'!$C$39)^D78)+BE78+BF78</f>
        <v>0</v>
      </c>
    </row>
    <row r="79" spans="1:61" x14ac:dyDescent="0.25">
      <c r="A79" s="59"/>
      <c r="B79" s="70">
        <f t="shared" si="15"/>
        <v>7</v>
      </c>
      <c r="C79" s="67">
        <f ca="1">IF(AND(E79&gt;='Invoer gegevens'!$C$17,E79&lt;'Invoer gegevens'!$C$17+'Invoer gegevens'!$I$14),1,0)</f>
        <v>1</v>
      </c>
      <c r="D79" s="68">
        <f t="shared" si="16"/>
        <v>6.5</v>
      </c>
      <c r="E79" s="108">
        <f ca="1">IF('Invoer gegevens'!$C$16="","",E78+1)</f>
        <v>2025</v>
      </c>
      <c r="F79" s="84">
        <f ca="1">IF('Invoer gegevens'!$C$17=E79,'Invoer gegevens'!$C$10,IF(C79=1,K78,0))</f>
        <v>0</v>
      </c>
      <c r="G79" s="96">
        <f ca="1">IF(E79='Invoer gegevens'!$C$17+'Invoer gegevens'!$I$14,K78,IF(C79&gt;=1,F79*VLOOKUP(E79,Reeksen!$A$5:$B$76,2),0))</f>
        <v>0</v>
      </c>
      <c r="H79" s="84">
        <f ca="1">IF(E79='Invoer gegevens'!$C$17+'Invoer gegevens'!$I$14,K78,(1-('Invoer gegevens'!$F$20/12))*F79*MIN(Reeksen!B11,Reeksen!D11))</f>
        <v>0</v>
      </c>
      <c r="I79" s="84">
        <f>IF(Reeksen!D11&lt;Reeksen!B11,(Reeksen!B11-Reeksen!D11)*F79,0)</f>
        <v>0</v>
      </c>
      <c r="J79" s="84">
        <f ca="1">IF(E79='Invoer gegevens'!$C$17+'Invoer gegevens'!$I$14+1,0,('Invoer gegevens'!$F$20/12)*F78*MIN(Reeksen!B10,Reeksen!D10))</f>
        <v>0</v>
      </c>
      <c r="K79" s="97">
        <f ca="1">IF(E79&gt;='Invoer gegevens'!$C$17+'Invoer gegevens'!$I$14,0,F79-G79)</f>
        <v>0</v>
      </c>
      <c r="L79" s="84">
        <f ca="1">IF('Invoer gegevens'!$C$17=E79,0,IF(C79=1,Q78,0))</f>
        <v>0</v>
      </c>
      <c r="M79" s="96">
        <f ca="1">IF(E79='Invoer gegevens'!$C$17+'Invoer gegevens'!$I$14,Q78,IF(C79&gt;=1,L79*VLOOKUP(E79,Reeksen!$A$5:$B$76,2),0))</f>
        <v>0</v>
      </c>
      <c r="N79" s="84">
        <f ca="1">IF(C79='Invoer gegevens'!$C$17+'Invoer gegevens'!$I$14,Q78,(1-('Invoer gegevens'!$F$20/12))*L79*MIN(Reeksen!B11,Reeksen!D11))</f>
        <v>0</v>
      </c>
      <c r="O79" s="84">
        <f>IF(Reeksen!D11&lt;Reeksen!B11,(Reeksen!B11-Reeksen!D11)*L79,0)</f>
        <v>0</v>
      </c>
      <c r="P79" s="84">
        <f ca="1">IF(E79='Invoer gegevens'!$C$17+'Invoer gegevens'!$I$14+1,0,('Invoer gegevens'!$F$20/12)*L78*MIN(Reeksen!B10,Reeksen!D10))</f>
        <v>0</v>
      </c>
      <c r="Q79" s="84">
        <f ca="1">IF(E79&gt;='Invoer gegevens'!$C$17+'Invoer gegevens'!$I$14,0,L79-M79+I79+O79)</f>
        <v>0</v>
      </c>
      <c r="R79" s="82">
        <f ca="1">IF('Invoer gegevens'!$C$17=E79,'Invoer gegevens'!$C$11,IF(C79=1,W78,0))</f>
        <v>0</v>
      </c>
      <c r="S79" s="86">
        <f ca="1">IF(E79='Invoer gegevens'!$C$17+'Invoer gegevens'!$I$14,W78,IF(C79&gt;=1,R79*VLOOKUP(E79,Reeksen!$A$5:$B$76,2),0))</f>
        <v>0</v>
      </c>
      <c r="T79" s="84">
        <f ca="1">IF(E79='Invoer gegevens'!$C$17+'Invoer gegevens'!$I$14,W78,(1-('Invoer gegevens'!$F$20/12))*R79*MIN(Reeksen!B11,Reeksen!D11))</f>
        <v>0</v>
      </c>
      <c r="U79" s="84">
        <f>IF(Reeksen!D11&gt;=Reeksen!B11,0,IF(Reeksen!AK11&lt;=Reeksen!AE11,(Reeksen!B11-Reeksen!D11)*R79,0))</f>
        <v>0</v>
      </c>
      <c r="V79" s="86">
        <f>IF(Reeksen!D11&gt;=Reeksen!B11,0,IF(Reeksen!AK11&gt;Reeksen!AE11,(Reeksen!B11-Reeksen!D11)*R79,0))</f>
        <v>0</v>
      </c>
      <c r="W79" s="97">
        <f ca="1">IF(E79&gt;='Invoer gegevens'!$C$17+'Invoer gegevens'!$I$14,0,R79-S79)</f>
        <v>0</v>
      </c>
      <c r="X79" s="98">
        <f ca="1">IF('Invoer gegevens'!$C$17=E79,'Invoer gegevens'!$C$10-'Invoer gegevens'!$C$11,IF(C79=1,AC78,0))</f>
        <v>0</v>
      </c>
      <c r="Y79" s="98">
        <f ca="1">IF(E79='Invoer gegevens'!$C$17+'Invoer gegevens'!$I$14,AC78,IF(C79&gt;=1,X79*VLOOKUP(E79,Reeksen!$A$5:$B$76,2),0))</f>
        <v>0</v>
      </c>
      <c r="Z79" s="98">
        <f ca="1">IF(E79='Invoer gegevens'!$C$17+'Invoer gegevens'!$I$14,AC78,(1-('Invoer gegevens'!$F$20/12))*X79*MIN(Reeksen!B11,Reeksen!D11))</f>
        <v>0</v>
      </c>
      <c r="AA79" s="98">
        <f>IF(Reeksen!D11&gt;=Reeksen!B11,0,IF(Reeksen!AK11&lt;=Reeksen!AE11,(Reeksen!B11-Reeksen!D11)*X79,0))</f>
        <v>0</v>
      </c>
      <c r="AB79" s="98">
        <f>IF(Reeksen!D11&gt;=Reeksen!B11,0,IF(Reeksen!AK11&gt;Reeksen!AE11,(Reeksen!B11-Reeksen!D11)*X79,0))</f>
        <v>0</v>
      </c>
      <c r="AC79" s="99">
        <f ca="1">IF(E79&gt;='Invoer gegevens'!$C$17+'Invoer gegevens'!$I$14,0,X79-Y79)</f>
        <v>0</v>
      </c>
      <c r="AD79" s="98">
        <f ca="1">IF('Invoer gegevens'!$C$17=E11,R79,IF(C11=0,0,AE78))</f>
        <v>0</v>
      </c>
      <c r="AE79" s="98">
        <f t="shared" ca="1" si="9"/>
        <v>0</v>
      </c>
      <c r="AF79" s="98">
        <f ca="1">IF('Invoer gegevens'!$C$17=E11,X79,IF(C11=0,0,AG78))</f>
        <v>0</v>
      </c>
      <c r="AG79" s="98">
        <f t="shared" ca="1" si="10"/>
        <v>0</v>
      </c>
      <c r="AH79" s="70"/>
      <c r="AI79" s="71">
        <f ca="1">IF(C79=1,((Reeksen!BF11*(F79-G79+F79)/2)+((L79-M79+L79)/2*Reeksen!BG11))*12,0)</f>
        <v>0</v>
      </c>
      <c r="AJ79" s="71">
        <f ca="1">-AI79*'Invoer gegevens'!$I$26</f>
        <v>0</v>
      </c>
      <c r="AK79" s="71">
        <f t="shared" ca="1" si="11"/>
        <v>0</v>
      </c>
      <c r="AL79" s="71">
        <f ca="1">IF(C79=1,Reeksen!AL11*((F79-G79+F79)/2)*12+Reeksen!AM11*((L79-M79+L79)/2)*12,0)</f>
        <v>0</v>
      </c>
      <c r="AM79" s="71">
        <f ca="1">-AL79*'Invoer gegevens'!$F$31</f>
        <v>0</v>
      </c>
      <c r="AN79" s="71">
        <f t="shared" ca="1" si="12"/>
        <v>0</v>
      </c>
      <c r="AO79" s="71">
        <f ca="1">IF(E79&gt;='Invoer gegevens'!$C$17+'Invoer gegevens'!$I$14,0,IF(C79=1,(H79+J79+N79+P79)*Reeksen!AN11,0))</f>
        <v>0</v>
      </c>
      <c r="AP79" s="71">
        <f ca="1">-IF(C79=1,(H79+J79+N79+P79)*Reeksen!AN10*'Hulp - basis'!$B$550,0)</f>
        <v>0</v>
      </c>
      <c r="AQ79" s="71">
        <f ca="1">-IF(C79=1,(F79+K79+L79+Q79)/2*'Invoer gegevens'!$I$33*Reeksen!J11,0)</f>
        <v>0</v>
      </c>
      <c r="AR79" s="71">
        <f ca="1">-IF(C79=1,(I79*'Invoer gegevens'!$I$34)*Reeksen!J11,0)</f>
        <v>0</v>
      </c>
      <c r="AS79" s="71">
        <f ca="1">-IF(C79=1,(F79+K79+L79+Q79)/2*'Invoer gegevens'!$I$35*Reeksen!L11,0)</f>
        <v>0</v>
      </c>
      <c r="AT79" s="71">
        <f ca="1">-IF(C79=1,IF(E79='Invoer gegevens'!$C$17,'Invoer gegevens'!$C$11,AD79)*Reeksen!S11*'Invoer gegevens'!$C$18*Reeksen!P11,0)</f>
        <v>0</v>
      </c>
      <c r="AU79" s="71">
        <f ca="1">-IF(C79=1,(F79+K79+L79+Q79)/2*'Invoer gegevens'!$I$36*Reeksen!H11,0)</f>
        <v>0</v>
      </c>
      <c r="AV79" s="71">
        <f t="shared" ca="1" si="13"/>
        <v>0</v>
      </c>
      <c r="AW79" s="72">
        <f ca="1">IFERROR(IF(E79='Invoer gegevens'!$C$17+'Invoer gegevens'!$I$14-1,'Invoer gegevens'!$I$13*K79*Reeksen!H11,0),0)</f>
        <v>0</v>
      </c>
      <c r="AX79" s="72">
        <f ca="1">IFERROR(IF(E79='Invoer gegevens'!$C$17,-'Invoer gegevens'!$C$10*('Invoer gegevens'!$C$30+'Invoer gegevens'!$C$31)*Reeksen!H11,0),0)</f>
        <v>0</v>
      </c>
      <c r="AY79" s="73">
        <f ca="1">IF('Invoer gegevens'!$C$34=E79,'Invoer gegevens'!$C$27*'Invoer gegevens'!$C$10*'Invoer gegevens'!$C$36*(IF('Invoer gegevens'!$C$35="ja",1,Reeksen!J11)),IF('Invoer gegevens'!$C$34+1=E79,'Invoer gegevens'!$C$27*'Invoer gegevens'!$C$10*'Invoer gegevens'!$C$37*(IF('Invoer gegevens'!$C$35="ja",1,Reeksen!J11)),0))+IF(AND(E79='Invoer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79" s="73">
        <f ca="1">AV79/(1+'Invoer gegevens'!$I$12)^($D79-('Invoer gegevens'!$C$17-'Invoer gegevens'!$C$16))/(1+'Invoer gegevens'!$C$39)^('Invoer gegevens'!$C$17-'Invoer gegevens'!$C$16)</f>
        <v>0</v>
      </c>
      <c r="BA79" s="73">
        <f ca="1">AW79/(1+'Invoer gegevens'!$I$12)^(E79-('Invoer gegevens'!$C$17-1))/(1+'Invoer gegevens'!$C$39)^('Invoer gegevens'!$C$17-'Invoer gegevens'!$C$16)</f>
        <v>0</v>
      </c>
      <c r="BB79" s="73">
        <f ca="1">AX79/(1+'Invoer gegevens'!$C$39)^('Invoer gegevens'!$C$17-'Invoer gegevens'!$C$16)</f>
        <v>0</v>
      </c>
      <c r="BC79" s="72">
        <f t="shared" ca="1" si="14"/>
        <v>0</v>
      </c>
      <c r="BD79" s="72">
        <f ca="1">IF(AND(E79='Invoer gegevens'!$C$16,'Invoer gegevens'!$C$34&lt;'Invoer gegevens'!$C$16),AY79,AY79/(1+'Invoer gegevens'!$C$39)^D79)</f>
        <v>0</v>
      </c>
      <c r="BE79" s="72">
        <f ca="1">IF(E79='Invoer gegevens'!$C$34,-'Invoer gegevens'!$I$38,0)</f>
        <v>0</v>
      </c>
      <c r="BF79" s="72">
        <f ca="1">IF(E79='Invoer gegevens'!$C$17,-'Invoer gegevens'!$C$19*$BC$134,0)</f>
        <v>0</v>
      </c>
      <c r="BG79" s="72">
        <f ca="1">AV79/(1+$BG$72)^($D79-('Invoer gegevens'!$C$17-'Invoer gegevens'!$C$16))/(1+'Invoer gegevens'!$C$39)^('Invoer gegevens'!$C$17-'Invoer gegevens'!$C$16)+AW79/(1+$BG$72)^(E79-('Invoer gegevens'!$C$17-1))/(1+'Invoer gegevens'!$C$39)^('Invoer gegevens'!$C$17-'Invoer gegevens'!$C$16)+AX79/(1+'Invoer gegevens'!$C$39)^('Invoer gegevens'!$C$17-'Invoer gegevens'!$C$16)+(-AY79/(1+'Invoer gegevens'!$C$39)^D79)+BE79+BF79</f>
        <v>0</v>
      </c>
    </row>
    <row r="80" spans="1:61" x14ac:dyDescent="0.25">
      <c r="A80" s="59"/>
      <c r="B80" s="70">
        <f t="shared" si="15"/>
        <v>8</v>
      </c>
      <c r="C80" s="67">
        <f ca="1">IF(AND(E80&gt;='Invoer gegevens'!$C$17,E80&lt;'Invoer gegevens'!$C$17+'Invoer gegevens'!$I$14),1,0)</f>
        <v>1</v>
      </c>
      <c r="D80" s="68">
        <f t="shared" si="16"/>
        <v>7.5</v>
      </c>
      <c r="E80" s="108">
        <f ca="1">IF('Invoer gegevens'!$C$16="","",E79+1)</f>
        <v>2026</v>
      </c>
      <c r="F80" s="84">
        <f ca="1">IF('Invoer gegevens'!$C$17=E80,'Invoer gegevens'!$C$10,IF(C80=1,K79,0))</f>
        <v>0</v>
      </c>
      <c r="G80" s="96">
        <f ca="1">IF(E80='Invoer gegevens'!$C$17+'Invoer gegevens'!$I$14,K79,IF(C80&gt;=1,F80*VLOOKUP(E80,Reeksen!$A$5:$B$76,2),0))</f>
        <v>0</v>
      </c>
      <c r="H80" s="84">
        <f ca="1">IF(E80='Invoer gegevens'!$C$17+'Invoer gegevens'!$I$14,K79,(1-('Invoer gegevens'!$F$20/12))*F80*MIN(Reeksen!B12,Reeksen!D12))</f>
        <v>0</v>
      </c>
      <c r="I80" s="84">
        <f>IF(Reeksen!D12&lt;Reeksen!B12,(Reeksen!B12-Reeksen!D12)*F80,0)</f>
        <v>0</v>
      </c>
      <c r="J80" s="84">
        <f ca="1">IF(E80='Invoer gegevens'!$C$17+'Invoer gegevens'!$I$14+1,0,('Invoer gegevens'!$F$20/12)*F79*MIN(Reeksen!B11,Reeksen!D11))</f>
        <v>0</v>
      </c>
      <c r="K80" s="97">
        <f ca="1">IF(E80&gt;='Invoer gegevens'!$C$17+'Invoer gegevens'!$I$14,0,F80-G80)</f>
        <v>0</v>
      </c>
      <c r="L80" s="84">
        <f ca="1">IF('Invoer gegevens'!$C$17=E80,0,IF(C80=1,Q79,0))</f>
        <v>0</v>
      </c>
      <c r="M80" s="96">
        <f ca="1">IF(E80='Invoer gegevens'!$C$17+'Invoer gegevens'!$I$14,Q79,IF(C80&gt;=1,L80*VLOOKUP(E80,Reeksen!$A$5:$B$76,2),0))</f>
        <v>0</v>
      </c>
      <c r="N80" s="84">
        <f ca="1">IF(C80='Invoer gegevens'!$C$17+'Invoer gegevens'!$I$14,Q79,(1-('Invoer gegevens'!$F$20/12))*L80*MIN(Reeksen!B12,Reeksen!D12))</f>
        <v>0</v>
      </c>
      <c r="O80" s="84">
        <f>IF(Reeksen!D12&lt;Reeksen!B12,(Reeksen!B12-Reeksen!D12)*L80,0)</f>
        <v>0</v>
      </c>
      <c r="P80" s="84">
        <f ca="1">IF(E80='Invoer gegevens'!$C$17+'Invoer gegevens'!$I$14+1,0,('Invoer gegevens'!$F$20/12)*L79*MIN(Reeksen!B11,Reeksen!D11))</f>
        <v>0</v>
      </c>
      <c r="Q80" s="84">
        <f ca="1">IF(E80&gt;='Invoer gegevens'!$C$17+'Invoer gegevens'!$I$14,0,L80-M80+I80+O80)</f>
        <v>0</v>
      </c>
      <c r="R80" s="82">
        <f ca="1">IF('Invoer gegevens'!$C$17=E80,'Invoer gegevens'!$C$11,IF(C80=1,W79,0))</f>
        <v>0</v>
      </c>
      <c r="S80" s="86">
        <f ca="1">IF(E80='Invoer gegevens'!$C$17+'Invoer gegevens'!$I$14,W79,IF(C80&gt;=1,R80*VLOOKUP(E80,Reeksen!$A$5:$B$76,2),0))</f>
        <v>0</v>
      </c>
      <c r="T80" s="84">
        <f ca="1">IF(E80='Invoer gegevens'!$C$17+'Invoer gegevens'!$I$14,W79,(1-('Invoer gegevens'!$F$20/12))*R80*MIN(Reeksen!B12,Reeksen!D12))</f>
        <v>0</v>
      </c>
      <c r="U80" s="84">
        <f>IF(Reeksen!D12&gt;=Reeksen!B12,0,IF(Reeksen!AK12&lt;=Reeksen!AE12,(Reeksen!B12-Reeksen!D12)*R80,0))</f>
        <v>0</v>
      </c>
      <c r="V80" s="86">
        <f>IF(Reeksen!D12&gt;=Reeksen!B12,0,IF(Reeksen!AK12&gt;Reeksen!AE12,(Reeksen!B12-Reeksen!D12)*R80,0))</f>
        <v>0</v>
      </c>
      <c r="W80" s="97">
        <f ca="1">IF(E80&gt;='Invoer gegevens'!$C$17+'Invoer gegevens'!$I$14,0,R80-S80)</f>
        <v>0</v>
      </c>
      <c r="X80" s="98">
        <f ca="1">IF('Invoer gegevens'!$C$17=E80,'Invoer gegevens'!$C$10-'Invoer gegevens'!$C$11,IF(C80=1,AC79,0))</f>
        <v>0</v>
      </c>
      <c r="Y80" s="98">
        <f ca="1">IF(E80='Invoer gegevens'!$C$17+'Invoer gegevens'!$I$14,AC79,IF(C80&gt;=1,X80*VLOOKUP(E80,Reeksen!$A$5:$B$76,2),0))</f>
        <v>0</v>
      </c>
      <c r="Z80" s="98">
        <f ca="1">IF(E80='Invoer gegevens'!$C$17+'Invoer gegevens'!$I$14,AC79,(1-('Invoer gegevens'!$F$20/12))*X80*MIN(Reeksen!B12,Reeksen!D12))</f>
        <v>0</v>
      </c>
      <c r="AA80" s="98">
        <f>IF(Reeksen!D12&gt;=Reeksen!B12,0,IF(Reeksen!AK12&lt;=Reeksen!AE12,(Reeksen!B12-Reeksen!D12)*X80,0))</f>
        <v>0</v>
      </c>
      <c r="AB80" s="98">
        <f>IF(Reeksen!D12&gt;=Reeksen!B12,0,IF(Reeksen!AK12&gt;Reeksen!AE12,(Reeksen!B12-Reeksen!D12)*X80,0))</f>
        <v>0</v>
      </c>
      <c r="AC80" s="99">
        <f ca="1">IF(E80&gt;='Invoer gegevens'!$C$17+'Invoer gegevens'!$I$14,0,X80-Y80)</f>
        <v>0</v>
      </c>
      <c r="AD80" s="98">
        <f ca="1">IF('Invoer gegevens'!$C$17=E12,R80,IF(C12=0,0,AE79))</f>
        <v>0</v>
      </c>
      <c r="AE80" s="98">
        <f t="shared" ca="1" si="9"/>
        <v>0</v>
      </c>
      <c r="AF80" s="98">
        <f ca="1">IF('Invoer gegevens'!$C$17=E12,X80,IF(C12=0,0,AG79))</f>
        <v>0</v>
      </c>
      <c r="AG80" s="98">
        <f t="shared" ca="1" si="10"/>
        <v>0</v>
      </c>
      <c r="AH80" s="70"/>
      <c r="AI80" s="71">
        <f ca="1">IF(C80=1,((Reeksen!BF12*(F80-G80+F80)/2)+((L80-M80+L80)/2*Reeksen!BG12))*12,0)</f>
        <v>0</v>
      </c>
      <c r="AJ80" s="71">
        <f ca="1">-AI80*'Invoer gegevens'!$I$26</f>
        <v>0</v>
      </c>
      <c r="AK80" s="71">
        <f t="shared" ca="1" si="11"/>
        <v>0</v>
      </c>
      <c r="AL80" s="71">
        <f ca="1">IF(C80=1,Reeksen!AL12*((F80-G80+F80)/2)*12+Reeksen!AM12*((L80-M80+L80)/2)*12,0)</f>
        <v>0</v>
      </c>
      <c r="AM80" s="71">
        <f ca="1">-AL80*'Invoer gegevens'!$F$31</f>
        <v>0</v>
      </c>
      <c r="AN80" s="71">
        <f t="shared" ca="1" si="12"/>
        <v>0</v>
      </c>
      <c r="AO80" s="71">
        <f ca="1">IF(E80&gt;='Invoer gegevens'!$C$17+'Invoer gegevens'!$I$14,0,IF(C80=1,(H80+J80+N80+P80)*Reeksen!AN12,0))</f>
        <v>0</v>
      </c>
      <c r="AP80" s="71">
        <f ca="1">-IF(C80=1,(H80+J80+N80+P80)*Reeksen!AN11*'Hulp - basis'!$B$550,0)</f>
        <v>0</v>
      </c>
      <c r="AQ80" s="71">
        <f ca="1">-IF(C80=1,(F80+K80+L80+Q80)/2*'Invoer gegevens'!$I$33*Reeksen!J12,0)</f>
        <v>0</v>
      </c>
      <c r="AR80" s="71">
        <f ca="1">-IF(C80=1,(I80*'Invoer gegevens'!$I$34)*Reeksen!J12,0)</f>
        <v>0</v>
      </c>
      <c r="AS80" s="71">
        <f ca="1">-IF(C80=1,(F80+K80+L80+Q80)/2*'Invoer gegevens'!$I$35*Reeksen!L12,0)</f>
        <v>0</v>
      </c>
      <c r="AT80" s="71">
        <f ca="1">-IF(C80=1,IF(E80='Invoer gegevens'!$C$17,'Invoer gegevens'!$C$11,AD80)*Reeksen!S12*'Invoer gegevens'!$C$18*Reeksen!P12,0)</f>
        <v>0</v>
      </c>
      <c r="AU80" s="71">
        <f ca="1">-IF(C80=1,(F80+K80+L80+Q80)/2*'Invoer gegevens'!$I$36*Reeksen!H12,0)</f>
        <v>0</v>
      </c>
      <c r="AV80" s="71">
        <f t="shared" ca="1" si="13"/>
        <v>0</v>
      </c>
      <c r="AW80" s="72">
        <f ca="1">IFERROR(IF(E80='Invoer gegevens'!$C$17+'Invoer gegevens'!$I$14-1,'Invoer gegevens'!$I$13*K80*Reeksen!H12,0),0)</f>
        <v>0</v>
      </c>
      <c r="AX80" s="72">
        <f ca="1">IFERROR(IF(E80='Invoer gegevens'!$C$17,-'Invoer gegevens'!$C$10*('Invoer gegevens'!$C$30+'Invoer gegevens'!$C$31)*Reeksen!H12,0),0)</f>
        <v>0</v>
      </c>
      <c r="AY80" s="73">
        <f ca="1">IF('Invoer gegevens'!$C$34=E80,'Invoer gegevens'!$C$27*'Invoer gegevens'!$C$10*'Invoer gegevens'!$C$36*(IF('Invoer gegevens'!$C$35="ja",1,Reeksen!J12)),IF('Invoer gegevens'!$C$34+1=E80,'Invoer gegevens'!$C$27*'Invoer gegevens'!$C$10*'Invoer gegevens'!$C$37*(IF('Invoer gegevens'!$C$35="ja",1,Reeksen!J12)),0))+IF(AND(E80='Invoer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0" s="73">
        <f ca="1">AV80/(1+'Invoer gegevens'!$I$12)^($D80-('Invoer gegevens'!$C$17-'Invoer gegevens'!$C$16))/(1+'Invoer gegevens'!$C$39)^('Invoer gegevens'!$C$17-'Invoer gegevens'!$C$16)</f>
        <v>0</v>
      </c>
      <c r="BA80" s="73">
        <f ca="1">AW80/(1+'Invoer gegevens'!$I$12)^(E80-('Invoer gegevens'!$C$17-1))/(1+'Invoer gegevens'!$C$39)^('Invoer gegevens'!$C$17-'Invoer gegevens'!$C$16)</f>
        <v>0</v>
      </c>
      <c r="BB80" s="73">
        <f ca="1">AX80/(1+'Invoer gegevens'!$C$39)^('Invoer gegevens'!$C$17-'Invoer gegevens'!$C$16)</f>
        <v>0</v>
      </c>
      <c r="BC80" s="72">
        <f t="shared" ca="1" si="14"/>
        <v>0</v>
      </c>
      <c r="BD80" s="72">
        <f ca="1">IF(AND(E80='Invoer gegevens'!$C$16,'Invoer gegevens'!$C$34&lt;'Invoer gegevens'!$C$16),AY80,AY80/(1+'Invoer gegevens'!$C$39)^D80)</f>
        <v>0</v>
      </c>
      <c r="BE80" s="72">
        <f ca="1">IF(E80='Invoer gegevens'!$C$34,-'Invoer gegevens'!$I$38,0)</f>
        <v>0</v>
      </c>
      <c r="BF80" s="72">
        <f ca="1">IF(E80='Invoer gegevens'!$C$17,-'Invoer gegevens'!$C$19*$BC$134,0)</f>
        <v>0</v>
      </c>
      <c r="BG80" s="72">
        <f ca="1">AV80/(1+$BG$72)^($D80-('Invoer gegevens'!$C$17-'Invoer gegevens'!$C$16))/(1+'Invoer gegevens'!$C$39)^('Invoer gegevens'!$C$17-'Invoer gegevens'!$C$16)+AW80/(1+$BG$72)^(E80-('Invoer gegevens'!$C$17-1))/(1+'Invoer gegevens'!$C$39)^('Invoer gegevens'!$C$17-'Invoer gegevens'!$C$16)+AX80/(1+'Invoer gegevens'!$C$39)^('Invoer gegevens'!$C$17-'Invoer gegevens'!$C$16)+(-AY80/(1+'Invoer gegevens'!$C$39)^D80)+BE80+BF80</f>
        <v>0</v>
      </c>
    </row>
    <row r="81" spans="1:59" x14ac:dyDescent="0.25">
      <c r="A81" s="59"/>
      <c r="B81" s="70">
        <f t="shared" si="15"/>
        <v>9</v>
      </c>
      <c r="C81" s="67">
        <f ca="1">IF(AND(E81&gt;='Invoer gegevens'!$C$17,E81&lt;'Invoer gegevens'!$C$17+'Invoer gegevens'!$I$14),1,0)</f>
        <v>1</v>
      </c>
      <c r="D81" s="68">
        <f t="shared" si="16"/>
        <v>8.5</v>
      </c>
      <c r="E81" s="108">
        <f ca="1">IF('Invoer gegevens'!$C$16="","",E80+1)</f>
        <v>2027</v>
      </c>
      <c r="F81" s="84">
        <f ca="1">IF('Invoer gegevens'!$C$17=E81,'Invoer gegevens'!$C$10,IF(C81=1,K80,0))</f>
        <v>0</v>
      </c>
      <c r="G81" s="96">
        <f ca="1">IF(E81='Invoer gegevens'!$C$17+'Invoer gegevens'!$I$14,K80,IF(C81&gt;=1,F81*VLOOKUP(E81,Reeksen!$A$5:$B$76,2),0))</f>
        <v>0</v>
      </c>
      <c r="H81" s="84">
        <f ca="1">IF(E81='Invoer gegevens'!$C$17+'Invoer gegevens'!$I$14,K80,(1-('Invoer gegevens'!$F$20/12))*F81*MIN(Reeksen!B13,Reeksen!D13))</f>
        <v>0</v>
      </c>
      <c r="I81" s="84">
        <f>IF(Reeksen!D13&lt;Reeksen!B13,(Reeksen!B13-Reeksen!D13)*F81,0)</f>
        <v>0</v>
      </c>
      <c r="J81" s="84">
        <f ca="1">IF(E81='Invoer gegevens'!$C$17+'Invoer gegevens'!$I$14+1,0,('Invoer gegevens'!$F$20/12)*F80*MIN(Reeksen!B12,Reeksen!D12))</f>
        <v>0</v>
      </c>
      <c r="K81" s="97">
        <f ca="1">IF(E81&gt;='Invoer gegevens'!$C$17+'Invoer gegevens'!$I$14,0,F81-G81)</f>
        <v>0</v>
      </c>
      <c r="L81" s="84">
        <f ca="1">IF('Invoer gegevens'!$C$17=E81,0,IF(C81=1,Q80,0))</f>
        <v>0</v>
      </c>
      <c r="M81" s="96">
        <f ca="1">IF(E81='Invoer gegevens'!$C$17+'Invoer gegevens'!$I$14,Q80,IF(C81&gt;=1,L81*VLOOKUP(E81,Reeksen!$A$5:$B$76,2),0))</f>
        <v>0</v>
      </c>
      <c r="N81" s="84">
        <f ca="1">IF(C81='Invoer gegevens'!$C$17+'Invoer gegevens'!$I$14,Q80,(1-('Invoer gegevens'!$F$20/12))*L81*MIN(Reeksen!B13,Reeksen!D13))</f>
        <v>0</v>
      </c>
      <c r="O81" s="84">
        <f>IF(Reeksen!D13&lt;Reeksen!B13,(Reeksen!B13-Reeksen!D13)*L81,0)</f>
        <v>0</v>
      </c>
      <c r="P81" s="84">
        <f ca="1">IF(E81='Invoer gegevens'!$C$17+'Invoer gegevens'!$I$14+1,0,('Invoer gegevens'!$F$20/12)*L80*MIN(Reeksen!B12,Reeksen!D12))</f>
        <v>0</v>
      </c>
      <c r="Q81" s="84">
        <f ca="1">IF(E81&gt;='Invoer gegevens'!$C$17+'Invoer gegevens'!$I$14,0,L81-M81+I81+O81)</f>
        <v>0</v>
      </c>
      <c r="R81" s="82">
        <f ca="1">IF('Invoer gegevens'!$C$17=E81,'Invoer gegevens'!$C$11,IF(C81=1,W80,0))</f>
        <v>0</v>
      </c>
      <c r="S81" s="86">
        <f ca="1">IF(E81='Invoer gegevens'!$C$17+'Invoer gegevens'!$I$14,W80,IF(C81&gt;=1,R81*VLOOKUP(E81,Reeksen!$A$5:$B$76,2),0))</f>
        <v>0</v>
      </c>
      <c r="T81" s="84">
        <f ca="1">IF(E81='Invoer gegevens'!$C$17+'Invoer gegevens'!$I$14,W80,(1-('Invoer gegevens'!$F$20/12))*R81*MIN(Reeksen!B13,Reeksen!D13))</f>
        <v>0</v>
      </c>
      <c r="U81" s="84">
        <f>IF(Reeksen!D13&gt;=Reeksen!B13,0,IF(Reeksen!AK13&lt;=Reeksen!AE13,(Reeksen!B13-Reeksen!D13)*R81,0))</f>
        <v>0</v>
      </c>
      <c r="V81" s="86">
        <f>IF(Reeksen!D13&gt;=Reeksen!B13,0,IF(Reeksen!AK13&gt;Reeksen!AE13,(Reeksen!B13-Reeksen!D13)*R81,0))</f>
        <v>0</v>
      </c>
      <c r="W81" s="97">
        <f ca="1">IF(E81&gt;='Invoer gegevens'!$C$17+'Invoer gegevens'!$I$14,0,R81-S81)</f>
        <v>0</v>
      </c>
      <c r="X81" s="98">
        <f ca="1">IF('Invoer gegevens'!$C$17=E81,'Invoer gegevens'!$C$10-'Invoer gegevens'!$C$11,IF(C81=1,AC80,0))</f>
        <v>0</v>
      </c>
      <c r="Y81" s="98">
        <f ca="1">IF(E81='Invoer gegevens'!$C$17+'Invoer gegevens'!$I$14,AC80,IF(C81&gt;=1,X81*VLOOKUP(E81,Reeksen!$A$5:$B$76,2),0))</f>
        <v>0</v>
      </c>
      <c r="Z81" s="98">
        <f ca="1">IF(E81='Invoer gegevens'!$C$17+'Invoer gegevens'!$I$14,AC80,(1-('Invoer gegevens'!$F$20/12))*X81*MIN(Reeksen!B13,Reeksen!D13))</f>
        <v>0</v>
      </c>
      <c r="AA81" s="98">
        <f>IF(Reeksen!D13&gt;=Reeksen!B13,0,IF(Reeksen!AK13&lt;=Reeksen!AE13,(Reeksen!B13-Reeksen!D13)*X81,0))</f>
        <v>0</v>
      </c>
      <c r="AB81" s="98">
        <f>IF(Reeksen!D13&gt;=Reeksen!B13,0,IF(Reeksen!AK13&gt;Reeksen!AE13,(Reeksen!B13-Reeksen!D13)*X81,0))</f>
        <v>0</v>
      </c>
      <c r="AC81" s="99">
        <f ca="1">IF(E81&gt;='Invoer gegevens'!$C$17+'Invoer gegevens'!$I$14,0,X81-Y81)</f>
        <v>0</v>
      </c>
      <c r="AD81" s="98">
        <f ca="1">IF('Invoer gegevens'!$C$17=E13,R81,IF(C13=0,0,AE80))</f>
        <v>0</v>
      </c>
      <c r="AE81" s="98">
        <f t="shared" ca="1" si="9"/>
        <v>0</v>
      </c>
      <c r="AF81" s="98">
        <f ca="1">IF('Invoer gegevens'!$C$17=E13,X81,IF(C13=0,0,AG80))</f>
        <v>0</v>
      </c>
      <c r="AG81" s="98">
        <f t="shared" ca="1" si="10"/>
        <v>0</v>
      </c>
      <c r="AH81" s="70"/>
      <c r="AI81" s="71">
        <f ca="1">IF(C81=1,((Reeksen!BF13*(F81-G81+F81)/2)+((L81-M81+L81)/2*Reeksen!BG13))*12,0)</f>
        <v>0</v>
      </c>
      <c r="AJ81" s="71">
        <f ca="1">-AI81*'Invoer gegevens'!$I$26</f>
        <v>0</v>
      </c>
      <c r="AK81" s="71">
        <f t="shared" ca="1" si="11"/>
        <v>0</v>
      </c>
      <c r="AL81" s="71">
        <f ca="1">IF(C81=1,Reeksen!AL13*((F81-G81+F81)/2)*12+Reeksen!AM13*((L81-M81+L81)/2)*12,0)</f>
        <v>0</v>
      </c>
      <c r="AM81" s="71">
        <f ca="1">-AL81*'Invoer gegevens'!$F$31</f>
        <v>0</v>
      </c>
      <c r="AN81" s="71">
        <f t="shared" ca="1" si="12"/>
        <v>0</v>
      </c>
      <c r="AO81" s="71">
        <f ca="1">IF(E81&gt;='Invoer gegevens'!$C$17+'Invoer gegevens'!$I$14,0,IF(C81=1,(H81+J81+N81+P81)*Reeksen!AN13,0))</f>
        <v>0</v>
      </c>
      <c r="AP81" s="71">
        <f ca="1">-IF(C81=1,(H81+J81+N81+P81)*Reeksen!AN12*'Hulp - basis'!$B$550,0)</f>
        <v>0</v>
      </c>
      <c r="AQ81" s="71">
        <f ca="1">-IF(C81=1,(F81+K81+L81+Q81)/2*'Invoer gegevens'!$I$33*Reeksen!J13,0)</f>
        <v>0</v>
      </c>
      <c r="AR81" s="71">
        <f ca="1">-IF(C81=1,(I81*'Invoer gegevens'!$I$34)*Reeksen!J13,0)</f>
        <v>0</v>
      </c>
      <c r="AS81" s="71">
        <f ca="1">-IF(C81=1,(F81+K81+L81+Q81)/2*'Invoer gegevens'!$I$35*Reeksen!L13,0)</f>
        <v>0</v>
      </c>
      <c r="AT81" s="71">
        <f ca="1">-IF(C81=1,IF(E81='Invoer gegevens'!$C$17,'Invoer gegevens'!$C$11,AD81)*Reeksen!S13*'Invoer gegevens'!$C$18*Reeksen!P13,0)</f>
        <v>0</v>
      </c>
      <c r="AU81" s="71">
        <f ca="1">-IF(C81=1,(F81+K81+L81+Q81)/2*'Invoer gegevens'!$I$36*Reeksen!H13,0)</f>
        <v>0</v>
      </c>
      <c r="AV81" s="71">
        <f t="shared" ca="1" si="13"/>
        <v>0</v>
      </c>
      <c r="AW81" s="72">
        <f ca="1">IFERROR(IF(E81='Invoer gegevens'!$C$17+'Invoer gegevens'!$I$14-1,'Invoer gegevens'!$I$13*K81*Reeksen!H13,0),0)</f>
        <v>0</v>
      </c>
      <c r="AX81" s="72">
        <f ca="1">IFERROR(IF(E81='Invoer gegevens'!$C$17,-'Invoer gegevens'!$C$10*('Invoer gegevens'!$C$30+'Invoer gegevens'!$C$31)*Reeksen!H13,0),0)</f>
        <v>0</v>
      </c>
      <c r="AY81" s="73">
        <f ca="1">IF('Invoer gegevens'!$C$34=E81,'Invoer gegevens'!$C$27*'Invoer gegevens'!$C$10*'Invoer gegevens'!$C$36*(IF('Invoer gegevens'!$C$35="ja",1,Reeksen!J13)),IF('Invoer gegevens'!$C$34+1=E81,'Invoer gegevens'!$C$27*'Invoer gegevens'!$C$10*'Invoer gegevens'!$C$37*(IF('Invoer gegevens'!$C$35="ja",1,Reeksen!J13)),0))+IF(AND(E81='Invoer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1" s="73">
        <f ca="1">AV81/(1+'Invoer gegevens'!$I$12)^($D81-('Invoer gegevens'!$C$17-'Invoer gegevens'!$C$16))/(1+'Invoer gegevens'!$C$39)^('Invoer gegevens'!$C$17-'Invoer gegevens'!$C$16)</f>
        <v>0</v>
      </c>
      <c r="BA81" s="73">
        <f ca="1">AW81/(1+'Invoer gegevens'!$I$12)^(E81-('Invoer gegevens'!$C$17-1))/(1+'Invoer gegevens'!$C$39)^('Invoer gegevens'!$C$17-'Invoer gegevens'!$C$16)</f>
        <v>0</v>
      </c>
      <c r="BB81" s="73">
        <f ca="1">AX81/(1+'Invoer gegevens'!$C$39)^('Invoer gegevens'!$C$17-'Invoer gegevens'!$C$16)</f>
        <v>0</v>
      </c>
      <c r="BC81" s="72">
        <f t="shared" ca="1" si="14"/>
        <v>0</v>
      </c>
      <c r="BD81" s="72">
        <f ca="1">IF(AND(E81='Invoer gegevens'!$C$16,'Invoer gegevens'!$C$34&lt;'Invoer gegevens'!$C$16),AY81,AY81/(1+'Invoer gegevens'!$C$39)^D81)</f>
        <v>0</v>
      </c>
      <c r="BE81" s="72">
        <f ca="1">IF(E81='Invoer gegevens'!$C$34,-'Invoer gegevens'!$I$38,0)</f>
        <v>0</v>
      </c>
      <c r="BF81" s="72">
        <f ca="1">IF(E81='Invoer gegevens'!$C$17,-'Invoer gegevens'!$C$19*$BC$134,0)</f>
        <v>0</v>
      </c>
      <c r="BG81" s="72">
        <f ca="1">AV81/(1+$BG$72)^($D81-('Invoer gegevens'!$C$17-'Invoer gegevens'!$C$16))/(1+'Invoer gegevens'!$C$39)^('Invoer gegevens'!$C$17-'Invoer gegevens'!$C$16)+AW81/(1+$BG$72)^(E81-('Invoer gegevens'!$C$17-1))/(1+'Invoer gegevens'!$C$39)^('Invoer gegevens'!$C$17-'Invoer gegevens'!$C$16)+AX81/(1+'Invoer gegevens'!$C$39)^('Invoer gegevens'!$C$17-'Invoer gegevens'!$C$16)+(-AY81/(1+'Invoer gegevens'!$C$39)^D81)+BE81+BF81</f>
        <v>0</v>
      </c>
    </row>
    <row r="82" spans="1:59" x14ac:dyDescent="0.25">
      <c r="A82" s="59"/>
      <c r="B82" s="70">
        <f t="shared" si="15"/>
        <v>10</v>
      </c>
      <c r="C82" s="67">
        <f ca="1">IF(AND(E82&gt;='Invoer gegevens'!$C$17,E82&lt;'Invoer gegevens'!$C$17+'Invoer gegevens'!$I$14),1,0)</f>
        <v>1</v>
      </c>
      <c r="D82" s="68">
        <f t="shared" si="16"/>
        <v>9.5</v>
      </c>
      <c r="E82" s="108">
        <f ca="1">IF('Invoer gegevens'!$C$16="","",E81+1)</f>
        <v>2028</v>
      </c>
      <c r="F82" s="84">
        <f ca="1">IF('Invoer gegevens'!$C$17=E82,'Invoer gegevens'!$C$10,IF(C82=1,K81,0))</f>
        <v>0</v>
      </c>
      <c r="G82" s="96">
        <f ca="1">IF(E82='Invoer gegevens'!$C$17+'Invoer gegevens'!$I$14,K81,IF(C82&gt;=1,F82*VLOOKUP(E82,Reeksen!$A$5:$B$76,2),0))</f>
        <v>0</v>
      </c>
      <c r="H82" s="84">
        <f ca="1">IF(E82='Invoer gegevens'!$C$17+'Invoer gegevens'!$I$14,K81,(1-('Invoer gegevens'!$F$20/12))*F82*MIN(Reeksen!B14,Reeksen!D14))</f>
        <v>0</v>
      </c>
      <c r="I82" s="84">
        <f>IF(Reeksen!D14&lt;Reeksen!B14,(Reeksen!B14-Reeksen!D14)*F82,0)</f>
        <v>0</v>
      </c>
      <c r="J82" s="84">
        <f ca="1">IF(E82='Invoer gegevens'!$C$17+'Invoer gegevens'!$I$14+1,0,('Invoer gegevens'!$F$20/12)*F81*MIN(Reeksen!B13,Reeksen!D13))</f>
        <v>0</v>
      </c>
      <c r="K82" s="97">
        <f ca="1">IF(E82&gt;='Invoer gegevens'!$C$17+'Invoer gegevens'!$I$14,0,F82-G82)</f>
        <v>0</v>
      </c>
      <c r="L82" s="84">
        <f ca="1">IF('Invoer gegevens'!$C$17=E82,0,IF(C82=1,Q81,0))</f>
        <v>0</v>
      </c>
      <c r="M82" s="96">
        <f ca="1">IF(E82='Invoer gegevens'!$C$17+'Invoer gegevens'!$I$14,Q81,IF(C82&gt;=1,L82*VLOOKUP(E82,Reeksen!$A$5:$B$76,2),0))</f>
        <v>0</v>
      </c>
      <c r="N82" s="84">
        <f ca="1">IF(C82='Invoer gegevens'!$C$17+'Invoer gegevens'!$I$14,Q81,(1-('Invoer gegevens'!$F$20/12))*L82*MIN(Reeksen!B14,Reeksen!D14))</f>
        <v>0</v>
      </c>
      <c r="O82" s="84">
        <f>IF(Reeksen!D14&lt;Reeksen!B14,(Reeksen!B14-Reeksen!D14)*L82,0)</f>
        <v>0</v>
      </c>
      <c r="P82" s="84">
        <f ca="1">IF(E82='Invoer gegevens'!$C$17+'Invoer gegevens'!$I$14+1,0,('Invoer gegevens'!$F$20/12)*L81*MIN(Reeksen!B13,Reeksen!D13))</f>
        <v>0</v>
      </c>
      <c r="Q82" s="84">
        <f ca="1">IF(E82&gt;='Invoer gegevens'!$C$17+'Invoer gegevens'!$I$14,0,L82-M82+I82+O82)</f>
        <v>0</v>
      </c>
      <c r="R82" s="82">
        <f ca="1">IF('Invoer gegevens'!$C$17=E82,'Invoer gegevens'!$C$11,IF(C82=1,W81,0))</f>
        <v>0</v>
      </c>
      <c r="S82" s="86">
        <f ca="1">IF(E82='Invoer gegevens'!$C$17+'Invoer gegevens'!$I$14,W81,IF(C82&gt;=1,R82*VLOOKUP(E82,Reeksen!$A$5:$B$76,2),0))</f>
        <v>0</v>
      </c>
      <c r="T82" s="84">
        <f ca="1">IF(E82='Invoer gegevens'!$C$17+'Invoer gegevens'!$I$14,W81,(1-('Invoer gegevens'!$F$20/12))*R82*MIN(Reeksen!B14,Reeksen!D14))</f>
        <v>0</v>
      </c>
      <c r="U82" s="84">
        <f>IF(Reeksen!D14&gt;=Reeksen!B14,0,IF(Reeksen!AK14&lt;=Reeksen!AE14,(Reeksen!B14-Reeksen!D14)*R82,0))</f>
        <v>0</v>
      </c>
      <c r="V82" s="86">
        <f>IF(Reeksen!D14&gt;=Reeksen!B14,0,IF(Reeksen!AK14&gt;Reeksen!AE14,(Reeksen!B14-Reeksen!D14)*R82,0))</f>
        <v>0</v>
      </c>
      <c r="W82" s="97">
        <f ca="1">IF(E82&gt;='Invoer gegevens'!$C$17+'Invoer gegevens'!$I$14,0,R82-S82)</f>
        <v>0</v>
      </c>
      <c r="X82" s="98">
        <f ca="1">IF('Invoer gegevens'!$C$17=E82,'Invoer gegevens'!$C$10-'Invoer gegevens'!$C$11,IF(C82=1,AC81,0))</f>
        <v>0</v>
      </c>
      <c r="Y82" s="98">
        <f ca="1">IF(E82='Invoer gegevens'!$C$17+'Invoer gegevens'!$I$14,AC81,IF(C82&gt;=1,X82*VLOOKUP(E82,Reeksen!$A$5:$B$76,2),0))</f>
        <v>0</v>
      </c>
      <c r="Z82" s="98">
        <f ca="1">IF(E82='Invoer gegevens'!$C$17+'Invoer gegevens'!$I$14,AC81,(1-('Invoer gegevens'!$F$20/12))*X82*MIN(Reeksen!B14,Reeksen!D14))</f>
        <v>0</v>
      </c>
      <c r="AA82" s="98">
        <f>IF(Reeksen!D14&gt;=Reeksen!B14,0,IF(Reeksen!AK14&lt;=Reeksen!AE14,(Reeksen!B14-Reeksen!D14)*X82,0))</f>
        <v>0</v>
      </c>
      <c r="AB82" s="98">
        <f>IF(Reeksen!D14&gt;=Reeksen!B14,0,IF(Reeksen!AK14&gt;Reeksen!AE14,(Reeksen!B14-Reeksen!D14)*X82,0))</f>
        <v>0</v>
      </c>
      <c r="AC82" s="99">
        <f ca="1">IF(E82&gt;='Invoer gegevens'!$C$17+'Invoer gegevens'!$I$14,0,X82-Y82)</f>
        <v>0</v>
      </c>
      <c r="AD82" s="98">
        <f ca="1">IF('Invoer gegevens'!$C$17=E14,R82,IF(C14=0,0,AE81))</f>
        <v>0</v>
      </c>
      <c r="AE82" s="98">
        <f t="shared" ca="1" si="9"/>
        <v>0</v>
      </c>
      <c r="AF82" s="98">
        <f ca="1">IF('Invoer gegevens'!$C$17=E14,X82,IF(C14=0,0,AG81))</f>
        <v>0</v>
      </c>
      <c r="AG82" s="98">
        <f t="shared" ca="1" si="10"/>
        <v>0</v>
      </c>
      <c r="AH82" s="70"/>
      <c r="AI82" s="71">
        <f ca="1">IF(C82=1,((Reeksen!BF14*(F82-G82+F82)/2)+((L82-M82+L82)/2*Reeksen!BG14))*12,0)</f>
        <v>0</v>
      </c>
      <c r="AJ82" s="71">
        <f ca="1">-AI82*'Invoer gegevens'!$I$26</f>
        <v>0</v>
      </c>
      <c r="AK82" s="71">
        <f t="shared" ca="1" si="11"/>
        <v>0</v>
      </c>
      <c r="AL82" s="71">
        <f ca="1">IF(C82=1,Reeksen!AL14*((F82-G82+F82)/2)*12+Reeksen!AM14*((L82-M82+L82)/2)*12,0)</f>
        <v>0</v>
      </c>
      <c r="AM82" s="71">
        <f ca="1">-AL82*'Invoer gegevens'!$F$31</f>
        <v>0</v>
      </c>
      <c r="AN82" s="71">
        <f t="shared" ca="1" si="12"/>
        <v>0</v>
      </c>
      <c r="AO82" s="71">
        <f ca="1">IF(E82&gt;='Invoer gegevens'!$C$17+'Invoer gegevens'!$I$14,0,IF(C82=1,(H82+J82+N82+P82)*Reeksen!AN14,0))</f>
        <v>0</v>
      </c>
      <c r="AP82" s="71">
        <f ca="1">-IF(C82=1,(H82+J82+N82+P82)*Reeksen!AN13*'Hulp - basis'!$B$550,0)</f>
        <v>0</v>
      </c>
      <c r="AQ82" s="71">
        <f ca="1">-IF(C82=1,(F82+K82+L82+Q82)/2*'Invoer gegevens'!$I$33*Reeksen!J14,0)</f>
        <v>0</v>
      </c>
      <c r="AR82" s="71">
        <f ca="1">-IF(C82=1,(I82*'Invoer gegevens'!$I$34)*Reeksen!J14,0)</f>
        <v>0</v>
      </c>
      <c r="AS82" s="71">
        <f ca="1">-IF(C82=1,(F82+K82+L82+Q82)/2*'Invoer gegevens'!$I$35*Reeksen!L14,0)</f>
        <v>0</v>
      </c>
      <c r="AT82" s="71">
        <f ca="1">-IF(C82=1,IF(E82='Invoer gegevens'!$C$17,'Invoer gegevens'!$C$11,AD82)*Reeksen!S14*'Invoer gegevens'!$C$18*Reeksen!P14,0)</f>
        <v>0</v>
      </c>
      <c r="AU82" s="71">
        <f ca="1">-IF(C82=1,(F82+K82+L82+Q82)/2*'Invoer gegevens'!$I$36*Reeksen!H14,0)</f>
        <v>0</v>
      </c>
      <c r="AV82" s="71">
        <f t="shared" ca="1" si="13"/>
        <v>0</v>
      </c>
      <c r="AW82" s="72">
        <f ca="1">IFERROR(IF(E82='Invoer gegevens'!$C$17+'Invoer gegevens'!$I$14-1,'Invoer gegevens'!$I$13*K82*Reeksen!H14,0),0)</f>
        <v>0</v>
      </c>
      <c r="AX82" s="72">
        <f ca="1">IFERROR(IF(E82='Invoer gegevens'!$C$17,-'Invoer gegevens'!$C$10*('Invoer gegevens'!$C$30+'Invoer gegevens'!$C$31)*Reeksen!H14,0),0)</f>
        <v>0</v>
      </c>
      <c r="AY82" s="73">
        <f ca="1">IF('Invoer gegevens'!$C$34=E82,'Invoer gegevens'!$C$27*'Invoer gegevens'!$C$10*'Invoer gegevens'!$C$36*(IF('Invoer gegevens'!$C$35="ja",1,Reeksen!J14)),IF('Invoer gegevens'!$C$34+1=E82,'Invoer gegevens'!$C$27*'Invoer gegevens'!$C$10*'Invoer gegevens'!$C$37*(IF('Invoer gegevens'!$C$35="ja",1,Reeksen!J14)),0))+IF(AND(E82='Invoer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2" s="73">
        <f ca="1">AV82/(1+'Invoer gegevens'!$I$12)^($D82-('Invoer gegevens'!$C$17-'Invoer gegevens'!$C$16))/(1+'Invoer gegevens'!$C$39)^('Invoer gegevens'!$C$17-'Invoer gegevens'!$C$16)</f>
        <v>0</v>
      </c>
      <c r="BA82" s="73">
        <f ca="1">AW82/(1+'Invoer gegevens'!$I$12)^(E82-('Invoer gegevens'!$C$17-1))/(1+'Invoer gegevens'!$C$39)^('Invoer gegevens'!$C$17-'Invoer gegevens'!$C$16)</f>
        <v>0</v>
      </c>
      <c r="BB82" s="73">
        <f ca="1">AX82/(1+'Invoer gegevens'!$C$39)^('Invoer gegevens'!$C$17-'Invoer gegevens'!$C$16)</f>
        <v>0</v>
      </c>
      <c r="BC82" s="72">
        <f t="shared" ca="1" si="14"/>
        <v>0</v>
      </c>
      <c r="BD82" s="72">
        <f ca="1">IF(AND(E82='Invoer gegevens'!$C$16,'Invoer gegevens'!$C$34&lt;'Invoer gegevens'!$C$16),AY82,AY82/(1+'Invoer gegevens'!$C$39)^D82)</f>
        <v>0</v>
      </c>
      <c r="BE82" s="72">
        <f ca="1">IF(E82='Invoer gegevens'!$C$34,-'Invoer gegevens'!$I$38,0)</f>
        <v>0</v>
      </c>
      <c r="BF82" s="72">
        <f ca="1">IF(E82='Invoer gegevens'!$C$17,-'Invoer gegevens'!$C$19*$BC$134,0)</f>
        <v>0</v>
      </c>
      <c r="BG82" s="72">
        <f ca="1">AV82/(1+$BG$72)^($D82-('Invoer gegevens'!$C$17-'Invoer gegevens'!$C$16))/(1+'Invoer gegevens'!$C$39)^('Invoer gegevens'!$C$17-'Invoer gegevens'!$C$16)+AW82/(1+$BG$72)^(E82-('Invoer gegevens'!$C$17-1))/(1+'Invoer gegevens'!$C$39)^('Invoer gegevens'!$C$17-'Invoer gegevens'!$C$16)+AX82/(1+'Invoer gegevens'!$C$39)^('Invoer gegevens'!$C$17-'Invoer gegevens'!$C$16)+(-AY82/(1+'Invoer gegevens'!$C$39)^D82)+BE82+BF82</f>
        <v>0</v>
      </c>
    </row>
    <row r="83" spans="1:59" x14ac:dyDescent="0.25">
      <c r="A83" s="59"/>
      <c r="B83" s="70">
        <f t="shared" si="15"/>
        <v>11</v>
      </c>
      <c r="C83" s="67">
        <f ca="1">IF(AND(E83&gt;='Invoer gegevens'!$C$17,E83&lt;'Invoer gegevens'!$C$17+'Invoer gegevens'!$I$14),1,0)</f>
        <v>1</v>
      </c>
      <c r="D83" s="68">
        <f t="shared" si="16"/>
        <v>10.5</v>
      </c>
      <c r="E83" s="108">
        <f ca="1">IF('Invoer gegevens'!$C$16="","",E82+1)</f>
        <v>2029</v>
      </c>
      <c r="F83" s="84">
        <f ca="1">IF('Invoer gegevens'!$C$17=E83,'Invoer gegevens'!$C$10,IF(C83=1,K82,0))</f>
        <v>0</v>
      </c>
      <c r="G83" s="96">
        <f ca="1">IF(E83='Invoer gegevens'!$C$17+'Invoer gegevens'!$I$14,K82,IF(C83&gt;=1,F83*VLOOKUP(E83,Reeksen!$A$5:$B$76,2),0))</f>
        <v>0</v>
      </c>
      <c r="H83" s="84">
        <f ca="1">IF(E83='Invoer gegevens'!$C$17+'Invoer gegevens'!$I$14,K82,(1-('Invoer gegevens'!$F$20/12))*F83*MIN(Reeksen!B15,Reeksen!D15))</f>
        <v>0</v>
      </c>
      <c r="I83" s="84">
        <f>IF(Reeksen!D15&lt;Reeksen!B15,(Reeksen!B15-Reeksen!D15)*F83,0)</f>
        <v>0</v>
      </c>
      <c r="J83" s="84">
        <f ca="1">IF(E83='Invoer gegevens'!$C$17+'Invoer gegevens'!$I$14+1,0,('Invoer gegevens'!$F$20/12)*F82*MIN(Reeksen!B14,Reeksen!D14))</f>
        <v>0</v>
      </c>
      <c r="K83" s="97">
        <f ca="1">IF(E83&gt;='Invoer gegevens'!$C$17+'Invoer gegevens'!$I$14,0,F83-G83)</f>
        <v>0</v>
      </c>
      <c r="L83" s="84">
        <f ca="1">IF('Invoer gegevens'!$C$17=E83,0,IF(C83=1,Q82,0))</f>
        <v>0</v>
      </c>
      <c r="M83" s="96">
        <f ca="1">IF(E83='Invoer gegevens'!$C$17+'Invoer gegevens'!$I$14,Q82,IF(C83&gt;=1,L83*VLOOKUP(E83,Reeksen!$A$5:$B$76,2),0))</f>
        <v>0</v>
      </c>
      <c r="N83" s="84">
        <f ca="1">IF(C83='Invoer gegevens'!$C$17+'Invoer gegevens'!$I$14,Q82,(1-('Invoer gegevens'!$F$20/12))*L83*MIN(Reeksen!B15,Reeksen!D15))</f>
        <v>0</v>
      </c>
      <c r="O83" s="84">
        <f>IF(Reeksen!D15&lt;Reeksen!B15,(Reeksen!B15-Reeksen!D15)*L83,0)</f>
        <v>0</v>
      </c>
      <c r="P83" s="84">
        <f ca="1">IF(E83='Invoer gegevens'!$C$17+'Invoer gegevens'!$I$14+1,0,('Invoer gegevens'!$F$20/12)*L82*MIN(Reeksen!B14,Reeksen!D14))</f>
        <v>0</v>
      </c>
      <c r="Q83" s="84">
        <f ca="1">IF(E83&gt;='Invoer gegevens'!$C$17+'Invoer gegevens'!$I$14,0,L83-M83+I83+O83)</f>
        <v>0</v>
      </c>
      <c r="R83" s="82">
        <f ca="1">IF('Invoer gegevens'!$C$17=E83,'Invoer gegevens'!$C$11,IF(C83=1,W82,0))</f>
        <v>0</v>
      </c>
      <c r="S83" s="86">
        <f ca="1">IF(E83='Invoer gegevens'!$C$17+'Invoer gegevens'!$I$14,W82,IF(C83&gt;=1,R83*VLOOKUP(E83,Reeksen!$A$5:$B$76,2),0))</f>
        <v>0</v>
      </c>
      <c r="T83" s="84">
        <f ca="1">IF(E83='Invoer gegevens'!$C$17+'Invoer gegevens'!$I$14,W82,(1-('Invoer gegevens'!$F$20/12))*R83*MIN(Reeksen!B15,Reeksen!D15))</f>
        <v>0</v>
      </c>
      <c r="U83" s="84">
        <f>IF(Reeksen!D15&gt;=Reeksen!B15,0,IF(Reeksen!AK15&lt;=Reeksen!AE15,(Reeksen!B15-Reeksen!D15)*R83,0))</f>
        <v>0</v>
      </c>
      <c r="V83" s="86">
        <f>IF(Reeksen!D15&gt;=Reeksen!B15,0,IF(Reeksen!AK15&gt;Reeksen!AE15,(Reeksen!B15-Reeksen!D15)*R83,0))</f>
        <v>0</v>
      </c>
      <c r="W83" s="97">
        <f ca="1">IF(E83&gt;='Invoer gegevens'!$C$17+'Invoer gegevens'!$I$14,0,R83-S83)</f>
        <v>0</v>
      </c>
      <c r="X83" s="98">
        <f ca="1">IF('Invoer gegevens'!$C$17=E83,'Invoer gegevens'!$C$10-'Invoer gegevens'!$C$11,IF(C83=1,AC82,0))</f>
        <v>0</v>
      </c>
      <c r="Y83" s="98">
        <f ca="1">IF(E83='Invoer gegevens'!$C$17+'Invoer gegevens'!$I$14,AC82,IF(C83&gt;=1,X83*VLOOKUP(E83,Reeksen!$A$5:$B$76,2),0))</f>
        <v>0</v>
      </c>
      <c r="Z83" s="98">
        <f ca="1">IF(E83='Invoer gegevens'!$C$17+'Invoer gegevens'!$I$14,AC82,(1-('Invoer gegevens'!$F$20/12))*X83*MIN(Reeksen!B15,Reeksen!D15))</f>
        <v>0</v>
      </c>
      <c r="AA83" s="98">
        <f>IF(Reeksen!D15&gt;=Reeksen!B15,0,IF(Reeksen!AK15&lt;=Reeksen!AE15,(Reeksen!B15-Reeksen!D15)*X83,0))</f>
        <v>0</v>
      </c>
      <c r="AB83" s="98">
        <f>IF(Reeksen!D15&gt;=Reeksen!B15,0,IF(Reeksen!AK15&gt;Reeksen!AE15,(Reeksen!B15-Reeksen!D15)*X83,0))</f>
        <v>0</v>
      </c>
      <c r="AC83" s="99">
        <f ca="1">IF(E83&gt;='Invoer gegevens'!$C$17+'Invoer gegevens'!$I$14,0,X83-Y83)</f>
        <v>0</v>
      </c>
      <c r="AD83" s="98">
        <f ca="1">IF('Invoer gegevens'!$C$17=E15,R83,IF(C15=0,0,AE82))</f>
        <v>0</v>
      </c>
      <c r="AE83" s="98">
        <f t="shared" ca="1" si="9"/>
        <v>0</v>
      </c>
      <c r="AF83" s="98">
        <f ca="1">IF('Invoer gegevens'!$C$17=E15,X83,IF(C15=0,0,AG82))</f>
        <v>0</v>
      </c>
      <c r="AG83" s="98">
        <f t="shared" ca="1" si="10"/>
        <v>0</v>
      </c>
      <c r="AH83" s="70"/>
      <c r="AI83" s="71">
        <f ca="1">IF(C83=1,((Reeksen!BF15*(F83-G83+F83)/2)+((L83-M83+L83)/2*Reeksen!BG15))*12,0)</f>
        <v>0</v>
      </c>
      <c r="AJ83" s="71">
        <f ca="1">-AI83*'Invoer gegevens'!$I$26</f>
        <v>0</v>
      </c>
      <c r="AK83" s="71">
        <f t="shared" ca="1" si="11"/>
        <v>0</v>
      </c>
      <c r="AL83" s="71">
        <f ca="1">IF(C83=1,Reeksen!AL15*((F83-G83+F83)/2)*12+Reeksen!AM15*((L83-M83+L83)/2)*12,0)</f>
        <v>0</v>
      </c>
      <c r="AM83" s="71">
        <f ca="1">-AL83*'Invoer gegevens'!$F$31</f>
        <v>0</v>
      </c>
      <c r="AN83" s="71">
        <f t="shared" ca="1" si="12"/>
        <v>0</v>
      </c>
      <c r="AO83" s="71">
        <f ca="1">IF(E83&gt;='Invoer gegevens'!$C$17+'Invoer gegevens'!$I$14,0,IF(C83=1,(H83+J83+N83+P83)*Reeksen!AN15,0))</f>
        <v>0</v>
      </c>
      <c r="AP83" s="71">
        <f ca="1">-IF(C83=1,(H83+J83+N83+P83)*Reeksen!AN14*'Hulp - basis'!$B$550,0)</f>
        <v>0</v>
      </c>
      <c r="AQ83" s="71">
        <f ca="1">-IF(C83=1,(F83+K83+L83+Q83)/2*'Invoer gegevens'!$I$33*Reeksen!J15,0)</f>
        <v>0</v>
      </c>
      <c r="AR83" s="71">
        <f ca="1">-IF(C83=1,(I83*'Invoer gegevens'!$I$34)*Reeksen!J15,0)</f>
        <v>0</v>
      </c>
      <c r="AS83" s="71">
        <f ca="1">-IF(C83=1,(F83+K83+L83+Q83)/2*'Invoer gegevens'!$I$35*Reeksen!L15,0)</f>
        <v>0</v>
      </c>
      <c r="AT83" s="71">
        <f ca="1">-IF(C83=1,IF(E83='Invoer gegevens'!$C$17,'Invoer gegevens'!$C$11,AD83)*Reeksen!S15*'Invoer gegevens'!$C$18*Reeksen!P15,0)</f>
        <v>0</v>
      </c>
      <c r="AU83" s="71">
        <f ca="1">-IF(C83=1,(F83+K83+L83+Q83)/2*'Invoer gegevens'!$I$36*Reeksen!H15,0)</f>
        <v>0</v>
      </c>
      <c r="AV83" s="71">
        <f t="shared" ca="1" si="13"/>
        <v>0</v>
      </c>
      <c r="AW83" s="72">
        <f ca="1">IFERROR(IF(E83='Invoer gegevens'!$C$17+'Invoer gegevens'!$I$14-1,'Invoer gegevens'!$I$13*K83*Reeksen!H15,0),0)</f>
        <v>0</v>
      </c>
      <c r="AX83" s="72">
        <f ca="1">IFERROR(IF(E83='Invoer gegevens'!$C$17,-'Invoer gegevens'!$C$10*('Invoer gegevens'!$C$30+'Invoer gegevens'!$C$31)*Reeksen!H15,0),0)</f>
        <v>0</v>
      </c>
      <c r="AY83" s="73">
        <f ca="1">IF('Invoer gegevens'!$C$34=E83,'Invoer gegevens'!$C$27*'Invoer gegevens'!$C$10*'Invoer gegevens'!$C$36*(IF('Invoer gegevens'!$C$35="ja",1,Reeksen!J15)),IF('Invoer gegevens'!$C$34+1=E83,'Invoer gegevens'!$C$27*'Invoer gegevens'!$C$10*'Invoer gegevens'!$C$37*(IF('Invoer gegevens'!$C$35="ja",1,Reeksen!J15)),0))+IF(AND(E83='Invoer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3" s="73">
        <f ca="1">AV83/(1+'Invoer gegevens'!$I$12)^($D83-('Invoer gegevens'!$C$17-'Invoer gegevens'!$C$16))/(1+'Invoer gegevens'!$C$39)^('Invoer gegevens'!$C$17-'Invoer gegevens'!$C$16)</f>
        <v>0</v>
      </c>
      <c r="BA83" s="73">
        <f ca="1">AW83/(1+'Invoer gegevens'!$I$12)^(E83-('Invoer gegevens'!$C$17-1))/(1+'Invoer gegevens'!$C$39)^('Invoer gegevens'!$C$17-'Invoer gegevens'!$C$16)</f>
        <v>0</v>
      </c>
      <c r="BB83" s="73">
        <f ca="1">AX83/(1+'Invoer gegevens'!$C$39)^('Invoer gegevens'!$C$17-'Invoer gegevens'!$C$16)</f>
        <v>0</v>
      </c>
      <c r="BC83" s="72">
        <f t="shared" ca="1" si="14"/>
        <v>0</v>
      </c>
      <c r="BD83" s="72">
        <f ca="1">IF(AND(E83='Invoer gegevens'!$C$16,'Invoer gegevens'!$C$34&lt;'Invoer gegevens'!$C$16),AY83,AY83/(1+'Invoer gegevens'!$C$39)^D83)</f>
        <v>0</v>
      </c>
      <c r="BE83" s="72">
        <f ca="1">IF(E83='Invoer gegevens'!$C$34,-'Invoer gegevens'!$I$38,0)</f>
        <v>0</v>
      </c>
      <c r="BF83" s="72">
        <f ca="1">IF(E83='Invoer gegevens'!$C$17,-'Invoer gegevens'!$C$19*$BC$134,0)</f>
        <v>0</v>
      </c>
      <c r="BG83" s="72">
        <f ca="1">AV83/(1+$BG$72)^($D83-('Invoer gegevens'!$C$17-'Invoer gegevens'!$C$16))/(1+'Invoer gegevens'!$C$39)^('Invoer gegevens'!$C$17-'Invoer gegevens'!$C$16)+AW83/(1+$BG$72)^(E83-('Invoer gegevens'!$C$17-1))/(1+'Invoer gegevens'!$C$39)^('Invoer gegevens'!$C$17-'Invoer gegevens'!$C$16)+AX83/(1+'Invoer gegevens'!$C$39)^('Invoer gegevens'!$C$17-'Invoer gegevens'!$C$16)+(-AY83/(1+'Invoer gegevens'!$C$39)^D83)+BE83+BF83</f>
        <v>0</v>
      </c>
    </row>
    <row r="84" spans="1:59" x14ac:dyDescent="0.25">
      <c r="A84" s="59"/>
      <c r="B84" s="70">
        <f t="shared" si="15"/>
        <v>12</v>
      </c>
      <c r="C84" s="67">
        <f ca="1">IF(AND(E84&gt;='Invoer gegevens'!$C$17,E84&lt;'Invoer gegevens'!$C$17+'Invoer gegevens'!$I$14),1,0)</f>
        <v>1</v>
      </c>
      <c r="D84" s="68">
        <f t="shared" si="16"/>
        <v>11.5</v>
      </c>
      <c r="E84" s="108">
        <f ca="1">IF('Invoer gegevens'!$C$16="","",E83+1)</f>
        <v>2030</v>
      </c>
      <c r="F84" s="84">
        <f ca="1">IF('Invoer gegevens'!$C$17=E84,'Invoer gegevens'!$C$10,IF(C84=1,K83,0))</f>
        <v>0</v>
      </c>
      <c r="G84" s="96">
        <f ca="1">IF(E84='Invoer gegevens'!$C$17+'Invoer gegevens'!$I$14,K83,IF(C84&gt;=1,F84*VLOOKUP(E84,Reeksen!$A$5:$B$76,2),0))</f>
        <v>0</v>
      </c>
      <c r="H84" s="84">
        <f ca="1">IF(E84='Invoer gegevens'!$C$17+'Invoer gegevens'!$I$14,K83,(1-('Invoer gegevens'!$F$20/12))*F84*MIN(Reeksen!B16,Reeksen!D16))</f>
        <v>0</v>
      </c>
      <c r="I84" s="84">
        <f>IF(Reeksen!D16&lt;Reeksen!B16,(Reeksen!B16-Reeksen!D16)*F84,0)</f>
        <v>0</v>
      </c>
      <c r="J84" s="84">
        <f ca="1">IF(E84='Invoer gegevens'!$C$17+'Invoer gegevens'!$I$14+1,0,('Invoer gegevens'!$F$20/12)*F83*MIN(Reeksen!B15,Reeksen!D15))</f>
        <v>0</v>
      </c>
      <c r="K84" s="97">
        <f ca="1">IF(E84&gt;='Invoer gegevens'!$C$17+'Invoer gegevens'!$I$14,0,F84-G84)</f>
        <v>0</v>
      </c>
      <c r="L84" s="84">
        <f ca="1">IF('Invoer gegevens'!$C$17=E84,0,IF(C84=1,Q83,0))</f>
        <v>0</v>
      </c>
      <c r="M84" s="96">
        <f ca="1">IF(E84='Invoer gegevens'!$C$17+'Invoer gegevens'!$I$14,Q83,IF(C84&gt;=1,L84*VLOOKUP(E84,Reeksen!$A$5:$B$76,2),0))</f>
        <v>0</v>
      </c>
      <c r="N84" s="84">
        <f ca="1">IF(C84='Invoer gegevens'!$C$17+'Invoer gegevens'!$I$14,Q83,(1-('Invoer gegevens'!$F$20/12))*L84*MIN(Reeksen!B16,Reeksen!D16))</f>
        <v>0</v>
      </c>
      <c r="O84" s="84">
        <f>IF(Reeksen!D16&lt;Reeksen!B16,(Reeksen!B16-Reeksen!D16)*L84,0)</f>
        <v>0</v>
      </c>
      <c r="P84" s="84">
        <f ca="1">IF(E84='Invoer gegevens'!$C$17+'Invoer gegevens'!$I$14+1,0,('Invoer gegevens'!$F$20/12)*L83*MIN(Reeksen!B15,Reeksen!D15))</f>
        <v>0</v>
      </c>
      <c r="Q84" s="84">
        <f ca="1">IF(E84&gt;='Invoer gegevens'!$C$17+'Invoer gegevens'!$I$14,0,L84-M84+I84+O84)</f>
        <v>0</v>
      </c>
      <c r="R84" s="82">
        <f ca="1">IF('Invoer gegevens'!$C$17=E84,'Invoer gegevens'!$C$11,IF(C84=1,W83,0))</f>
        <v>0</v>
      </c>
      <c r="S84" s="86">
        <f ca="1">IF(E84='Invoer gegevens'!$C$17+'Invoer gegevens'!$I$14,W83,IF(C84&gt;=1,R84*VLOOKUP(E84,Reeksen!$A$5:$B$76,2),0))</f>
        <v>0</v>
      </c>
      <c r="T84" s="84">
        <f ca="1">IF(E84='Invoer gegevens'!$C$17+'Invoer gegevens'!$I$14,W83,(1-('Invoer gegevens'!$F$20/12))*R84*MIN(Reeksen!B16,Reeksen!D16))</f>
        <v>0</v>
      </c>
      <c r="U84" s="84">
        <f>IF(Reeksen!D16&gt;=Reeksen!B16,0,IF(Reeksen!AK16&lt;=Reeksen!AE16,(Reeksen!B16-Reeksen!D16)*R84,0))</f>
        <v>0</v>
      </c>
      <c r="V84" s="86">
        <f>IF(Reeksen!D16&gt;=Reeksen!B16,0,IF(Reeksen!AK16&gt;Reeksen!AE16,(Reeksen!B16-Reeksen!D16)*R84,0))</f>
        <v>0</v>
      </c>
      <c r="W84" s="97">
        <f ca="1">IF(E84&gt;='Invoer gegevens'!$C$17+'Invoer gegevens'!$I$14,0,R84-S84)</f>
        <v>0</v>
      </c>
      <c r="X84" s="98">
        <f ca="1">IF('Invoer gegevens'!$C$17=E84,'Invoer gegevens'!$C$10-'Invoer gegevens'!$C$11,IF(C84=1,AC83,0))</f>
        <v>0</v>
      </c>
      <c r="Y84" s="98">
        <f ca="1">IF(E84='Invoer gegevens'!$C$17+'Invoer gegevens'!$I$14,AC83,IF(C84&gt;=1,X84*VLOOKUP(E84,Reeksen!$A$5:$B$76,2),0))</f>
        <v>0</v>
      </c>
      <c r="Z84" s="98">
        <f ca="1">IF(E84='Invoer gegevens'!$C$17+'Invoer gegevens'!$I$14,AC83,(1-('Invoer gegevens'!$F$20/12))*X84*MIN(Reeksen!B16,Reeksen!D16))</f>
        <v>0</v>
      </c>
      <c r="AA84" s="98">
        <f>IF(Reeksen!D16&gt;=Reeksen!B16,0,IF(Reeksen!AK16&lt;=Reeksen!AE16,(Reeksen!B16-Reeksen!D16)*X84,0))</f>
        <v>0</v>
      </c>
      <c r="AB84" s="98">
        <f>IF(Reeksen!D16&gt;=Reeksen!B16,0,IF(Reeksen!AK16&gt;Reeksen!AE16,(Reeksen!B16-Reeksen!D16)*X84,0))</f>
        <v>0</v>
      </c>
      <c r="AC84" s="99">
        <f ca="1">IF(E84&gt;='Invoer gegevens'!$C$17+'Invoer gegevens'!$I$14,0,X84-Y84)</f>
        <v>0</v>
      </c>
      <c r="AD84" s="98">
        <f ca="1">IF('Invoer gegevens'!$C$17=E16,R84,IF(C16=0,0,AE83))</f>
        <v>0</v>
      </c>
      <c r="AE84" s="98">
        <f t="shared" ca="1" si="9"/>
        <v>0</v>
      </c>
      <c r="AF84" s="98">
        <f ca="1">IF('Invoer gegevens'!$C$17=E16,X84,IF(C16=0,0,AG83))</f>
        <v>0</v>
      </c>
      <c r="AG84" s="98">
        <f t="shared" ca="1" si="10"/>
        <v>0</v>
      </c>
      <c r="AH84" s="70"/>
      <c r="AI84" s="71">
        <f ca="1">IF(C84=1,((Reeksen!BF16*(F84-G84+F84)/2)+((L84-M84+L84)/2*Reeksen!BG16))*12,0)</f>
        <v>0</v>
      </c>
      <c r="AJ84" s="71">
        <f ca="1">-AI84*'Invoer gegevens'!$I$26</f>
        <v>0</v>
      </c>
      <c r="AK84" s="71">
        <f t="shared" ca="1" si="11"/>
        <v>0</v>
      </c>
      <c r="AL84" s="71">
        <f ca="1">IF(C84=1,Reeksen!AL16*((F84-G84+F84)/2)*12+Reeksen!AM16*((L84-M84+L84)/2)*12,0)</f>
        <v>0</v>
      </c>
      <c r="AM84" s="71">
        <f ca="1">-AL84*'Invoer gegevens'!$F$31</f>
        <v>0</v>
      </c>
      <c r="AN84" s="71">
        <f t="shared" ca="1" si="12"/>
        <v>0</v>
      </c>
      <c r="AO84" s="71">
        <f ca="1">IF(E84&gt;='Invoer gegevens'!$C$17+'Invoer gegevens'!$I$14,0,IF(C84=1,(H84+J84+N84+P84)*Reeksen!AN16,0))</f>
        <v>0</v>
      </c>
      <c r="AP84" s="71">
        <f ca="1">-IF(C84=1,(H84+J84+N84+P84)*Reeksen!AN15*'Hulp - basis'!$B$550,0)</f>
        <v>0</v>
      </c>
      <c r="AQ84" s="71">
        <f ca="1">-IF(C84=1,(F84+K84+L84+Q84)/2*'Invoer gegevens'!$I$33*Reeksen!J16,0)</f>
        <v>0</v>
      </c>
      <c r="AR84" s="71">
        <f ca="1">-IF(C84=1,(I84*'Invoer gegevens'!$I$34)*Reeksen!J16,0)</f>
        <v>0</v>
      </c>
      <c r="AS84" s="71">
        <f ca="1">-IF(C84=1,(F84+K84+L84+Q84)/2*'Invoer gegevens'!$I$35*Reeksen!L16,0)</f>
        <v>0</v>
      </c>
      <c r="AT84" s="71">
        <f ca="1">-IF(C84=1,IF(E84='Invoer gegevens'!$C$17,'Invoer gegevens'!$C$11,AD84)*Reeksen!S16*'Invoer gegevens'!$C$18*Reeksen!P16,0)</f>
        <v>0</v>
      </c>
      <c r="AU84" s="71">
        <f ca="1">-IF(C84=1,(F84+K84+L84+Q84)/2*'Invoer gegevens'!$I$36*Reeksen!H16,0)</f>
        <v>0</v>
      </c>
      <c r="AV84" s="71">
        <f t="shared" ca="1" si="13"/>
        <v>0</v>
      </c>
      <c r="AW84" s="72">
        <f ca="1">IFERROR(IF(E84='Invoer gegevens'!$C$17+'Invoer gegevens'!$I$14-1,'Invoer gegevens'!$I$13*K84*Reeksen!H16,0),0)</f>
        <v>0</v>
      </c>
      <c r="AX84" s="72">
        <f ca="1">IFERROR(IF(E84='Invoer gegevens'!$C$17,-'Invoer gegevens'!$C$10*('Invoer gegevens'!$C$30+'Invoer gegevens'!$C$31)*Reeksen!H16,0),0)</f>
        <v>0</v>
      </c>
      <c r="AY84" s="73">
        <f ca="1">IF('Invoer gegevens'!$C$34=E84,'Invoer gegevens'!$C$27*'Invoer gegevens'!$C$10*'Invoer gegevens'!$C$36*(IF('Invoer gegevens'!$C$35="ja",1,Reeksen!J16)),IF('Invoer gegevens'!$C$34+1=E84,'Invoer gegevens'!$C$27*'Invoer gegevens'!$C$10*'Invoer gegevens'!$C$37*(IF('Invoer gegevens'!$C$35="ja",1,Reeksen!J16)),0))+IF(AND(E84='Invoer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4" s="73">
        <f ca="1">AV84/(1+'Invoer gegevens'!$I$12)^($D84-('Invoer gegevens'!$C$17-'Invoer gegevens'!$C$16))/(1+'Invoer gegevens'!$C$39)^('Invoer gegevens'!$C$17-'Invoer gegevens'!$C$16)</f>
        <v>0</v>
      </c>
      <c r="BA84" s="73">
        <f ca="1">AW84/(1+'Invoer gegevens'!$I$12)^(E84-('Invoer gegevens'!$C$17-1))/(1+'Invoer gegevens'!$C$39)^('Invoer gegevens'!$C$17-'Invoer gegevens'!$C$16)</f>
        <v>0</v>
      </c>
      <c r="BB84" s="73">
        <f ca="1">AX84/(1+'Invoer gegevens'!$C$39)^('Invoer gegevens'!$C$17-'Invoer gegevens'!$C$16)</f>
        <v>0</v>
      </c>
      <c r="BC84" s="72">
        <f t="shared" ca="1" si="14"/>
        <v>0</v>
      </c>
      <c r="BD84" s="72">
        <f ca="1">IF(AND(E84='Invoer gegevens'!$C$16,'Invoer gegevens'!$C$34&lt;'Invoer gegevens'!$C$16),AY84,AY84/(1+'Invoer gegevens'!$C$39)^D84)</f>
        <v>0</v>
      </c>
      <c r="BE84" s="72">
        <f ca="1">IF(E84='Invoer gegevens'!$C$34,-'Invoer gegevens'!$I$38,0)</f>
        <v>0</v>
      </c>
      <c r="BF84" s="72">
        <f ca="1">IF(E84='Invoer gegevens'!$C$17,-'Invoer gegevens'!$C$19*$BC$134,0)</f>
        <v>0</v>
      </c>
      <c r="BG84" s="72">
        <f ca="1">AV84/(1+$BG$72)^($D84-('Invoer gegevens'!$C$17-'Invoer gegevens'!$C$16))/(1+'Invoer gegevens'!$C$39)^('Invoer gegevens'!$C$17-'Invoer gegevens'!$C$16)+AW84/(1+$BG$72)^(E84-('Invoer gegevens'!$C$17-1))/(1+'Invoer gegevens'!$C$39)^('Invoer gegevens'!$C$17-'Invoer gegevens'!$C$16)+AX84/(1+'Invoer gegevens'!$C$39)^('Invoer gegevens'!$C$17-'Invoer gegevens'!$C$16)+(-AY84/(1+'Invoer gegevens'!$C$39)^D84)+BE84+BF84</f>
        <v>0</v>
      </c>
    </row>
    <row r="85" spans="1:59" x14ac:dyDescent="0.25">
      <c r="A85" s="59"/>
      <c r="B85" s="70">
        <f t="shared" si="15"/>
        <v>13</v>
      </c>
      <c r="C85" s="67">
        <f ca="1">IF(AND(E85&gt;='Invoer gegevens'!$C$17,E85&lt;'Invoer gegevens'!$C$17+'Invoer gegevens'!$I$14),1,0)</f>
        <v>1</v>
      </c>
      <c r="D85" s="68">
        <f t="shared" si="16"/>
        <v>12.5</v>
      </c>
      <c r="E85" s="108">
        <f ca="1">IF('Invoer gegevens'!$C$16="","",E84+1)</f>
        <v>2031</v>
      </c>
      <c r="F85" s="84">
        <f ca="1">IF('Invoer gegevens'!$C$17=E85,'Invoer gegevens'!$C$10,IF(C85=1,K84,0))</f>
        <v>0</v>
      </c>
      <c r="G85" s="96">
        <f ca="1">IF(E85='Invoer gegevens'!$C$17+'Invoer gegevens'!$I$14,K84,IF(C85&gt;=1,F85*VLOOKUP(E85,Reeksen!$A$5:$B$76,2),0))</f>
        <v>0</v>
      </c>
      <c r="H85" s="84">
        <f ca="1">IF(E85='Invoer gegevens'!$C$17+'Invoer gegevens'!$I$14,K84,(1-('Invoer gegevens'!$F$20/12))*F85*MIN(Reeksen!B17,Reeksen!D17))</f>
        <v>0</v>
      </c>
      <c r="I85" s="84">
        <f>IF(Reeksen!D17&lt;Reeksen!B17,(Reeksen!B17-Reeksen!D17)*F85,0)</f>
        <v>0</v>
      </c>
      <c r="J85" s="84">
        <f ca="1">IF(E85='Invoer gegevens'!$C$17+'Invoer gegevens'!$I$14+1,0,('Invoer gegevens'!$F$20/12)*F84*MIN(Reeksen!B16,Reeksen!D16))</f>
        <v>0</v>
      </c>
      <c r="K85" s="97">
        <f ca="1">IF(E85&gt;='Invoer gegevens'!$C$17+'Invoer gegevens'!$I$14,0,F85-G85)</f>
        <v>0</v>
      </c>
      <c r="L85" s="84">
        <f ca="1">IF('Invoer gegevens'!$C$17=E85,0,IF(C85=1,Q84,0))</f>
        <v>0</v>
      </c>
      <c r="M85" s="96">
        <f ca="1">IF(E85='Invoer gegevens'!$C$17+'Invoer gegevens'!$I$14,Q84,IF(C85&gt;=1,L85*VLOOKUP(E85,Reeksen!$A$5:$B$76,2),0))</f>
        <v>0</v>
      </c>
      <c r="N85" s="84">
        <f ca="1">IF(C85='Invoer gegevens'!$C$17+'Invoer gegevens'!$I$14,Q84,(1-('Invoer gegevens'!$F$20/12))*L85*MIN(Reeksen!B17,Reeksen!D17))</f>
        <v>0</v>
      </c>
      <c r="O85" s="84">
        <f>IF(Reeksen!D17&lt;Reeksen!B17,(Reeksen!B17-Reeksen!D17)*L85,0)</f>
        <v>0</v>
      </c>
      <c r="P85" s="84">
        <f ca="1">IF(E85='Invoer gegevens'!$C$17+'Invoer gegevens'!$I$14+1,0,('Invoer gegevens'!$F$20/12)*L84*MIN(Reeksen!B16,Reeksen!D16))</f>
        <v>0</v>
      </c>
      <c r="Q85" s="84">
        <f ca="1">IF(E85&gt;='Invoer gegevens'!$C$17+'Invoer gegevens'!$I$14,0,L85-M85+I85+O85)</f>
        <v>0</v>
      </c>
      <c r="R85" s="82">
        <f ca="1">IF('Invoer gegevens'!$C$17=E85,'Invoer gegevens'!$C$11,IF(C85=1,W84,0))</f>
        <v>0</v>
      </c>
      <c r="S85" s="86">
        <f ca="1">IF(E85='Invoer gegevens'!$C$17+'Invoer gegevens'!$I$14,W84,IF(C85&gt;=1,R85*VLOOKUP(E85,Reeksen!$A$5:$B$76,2),0))</f>
        <v>0</v>
      </c>
      <c r="T85" s="84">
        <f ca="1">IF(E85='Invoer gegevens'!$C$17+'Invoer gegevens'!$I$14,W84,(1-('Invoer gegevens'!$F$20/12))*R85*MIN(Reeksen!B17,Reeksen!D17))</f>
        <v>0</v>
      </c>
      <c r="U85" s="84">
        <f>IF(Reeksen!D17&gt;=Reeksen!B17,0,IF(Reeksen!AK17&lt;=Reeksen!AE17,(Reeksen!B17-Reeksen!D17)*R85,0))</f>
        <v>0</v>
      </c>
      <c r="V85" s="86">
        <f>IF(Reeksen!D17&gt;=Reeksen!B17,0,IF(Reeksen!AK17&gt;Reeksen!AE17,(Reeksen!B17-Reeksen!D17)*R85,0))</f>
        <v>0</v>
      </c>
      <c r="W85" s="97">
        <f ca="1">IF(E85&gt;='Invoer gegevens'!$C$17+'Invoer gegevens'!$I$14,0,R85-S85)</f>
        <v>0</v>
      </c>
      <c r="X85" s="98">
        <f ca="1">IF('Invoer gegevens'!$C$17=E85,'Invoer gegevens'!$C$10-'Invoer gegevens'!$C$11,IF(C85=1,AC84,0))</f>
        <v>0</v>
      </c>
      <c r="Y85" s="98">
        <f ca="1">IF(E85='Invoer gegevens'!$C$17+'Invoer gegevens'!$I$14,AC84,IF(C85&gt;=1,X85*VLOOKUP(E85,Reeksen!$A$5:$B$76,2),0))</f>
        <v>0</v>
      </c>
      <c r="Z85" s="98">
        <f ca="1">IF(E85='Invoer gegevens'!$C$17+'Invoer gegevens'!$I$14,AC84,(1-('Invoer gegevens'!$F$20/12))*X85*MIN(Reeksen!B17,Reeksen!D17))</f>
        <v>0</v>
      </c>
      <c r="AA85" s="98">
        <f>IF(Reeksen!D17&gt;=Reeksen!B17,0,IF(Reeksen!AK17&lt;=Reeksen!AE17,(Reeksen!B17-Reeksen!D17)*X85,0))</f>
        <v>0</v>
      </c>
      <c r="AB85" s="98">
        <f>IF(Reeksen!D17&gt;=Reeksen!B17,0,IF(Reeksen!AK17&gt;Reeksen!AE17,(Reeksen!B17-Reeksen!D17)*X85,0))</f>
        <v>0</v>
      </c>
      <c r="AC85" s="99">
        <f ca="1">IF(E85&gt;='Invoer gegevens'!$C$17+'Invoer gegevens'!$I$14,0,X85-Y85)</f>
        <v>0</v>
      </c>
      <c r="AD85" s="98">
        <f ca="1">IF('Invoer gegevens'!$C$17=E17,R85,IF(C17=0,0,AE84))</f>
        <v>0</v>
      </c>
      <c r="AE85" s="98">
        <f t="shared" ca="1" si="9"/>
        <v>0</v>
      </c>
      <c r="AF85" s="98">
        <f ca="1">IF('Invoer gegevens'!$C$17=E17,X85,IF(C17=0,0,AG84))</f>
        <v>0</v>
      </c>
      <c r="AG85" s="98">
        <f t="shared" ca="1" si="10"/>
        <v>0</v>
      </c>
      <c r="AH85" s="70"/>
      <c r="AI85" s="71">
        <f ca="1">IF(C85=1,((Reeksen!BF17*(F85-G85+F85)/2)+((L85-M85+L85)/2*Reeksen!BG17))*12,0)</f>
        <v>0</v>
      </c>
      <c r="AJ85" s="71">
        <f ca="1">-AI85*'Invoer gegevens'!$I$26</f>
        <v>0</v>
      </c>
      <c r="AK85" s="71">
        <f t="shared" ca="1" si="11"/>
        <v>0</v>
      </c>
      <c r="AL85" s="71">
        <f ca="1">IF(C85=1,Reeksen!AL17*((F85-G85+F85)/2)*12+Reeksen!AM17*((L85-M85+L85)/2)*12,0)</f>
        <v>0</v>
      </c>
      <c r="AM85" s="71">
        <f ca="1">-AL85*'Invoer gegevens'!$F$31</f>
        <v>0</v>
      </c>
      <c r="AN85" s="71">
        <f t="shared" ca="1" si="12"/>
        <v>0</v>
      </c>
      <c r="AO85" s="71">
        <f ca="1">IF(E85&gt;='Invoer gegevens'!$C$17+'Invoer gegevens'!$I$14,0,IF(C85=1,(H85+J85+N85+P85)*Reeksen!AN17,0))</f>
        <v>0</v>
      </c>
      <c r="AP85" s="71">
        <f ca="1">-IF(C85=1,(H85+J85+N85+P85)*Reeksen!AN16*'Hulp - basis'!$B$550,0)</f>
        <v>0</v>
      </c>
      <c r="AQ85" s="71">
        <f ca="1">-IF(C85=1,(F85+K85+L85+Q85)/2*'Invoer gegevens'!$I$33*Reeksen!J17,0)</f>
        <v>0</v>
      </c>
      <c r="AR85" s="71">
        <f ca="1">-IF(C85=1,(I85*'Invoer gegevens'!$I$34)*Reeksen!J17,0)</f>
        <v>0</v>
      </c>
      <c r="AS85" s="71">
        <f ca="1">-IF(C85=1,(F85+K85+L85+Q85)/2*'Invoer gegevens'!$I$35*Reeksen!L17,0)</f>
        <v>0</v>
      </c>
      <c r="AT85" s="71">
        <f ca="1">-IF(C85=1,IF(E85='Invoer gegevens'!$C$17,'Invoer gegevens'!$C$11,AD85)*Reeksen!S17*'Invoer gegevens'!$C$18*Reeksen!P17,0)</f>
        <v>0</v>
      </c>
      <c r="AU85" s="71">
        <f ca="1">-IF(C85=1,(F85+K85+L85+Q85)/2*'Invoer gegevens'!$I$36*Reeksen!H17,0)</f>
        <v>0</v>
      </c>
      <c r="AV85" s="71">
        <f t="shared" ca="1" si="13"/>
        <v>0</v>
      </c>
      <c r="AW85" s="72">
        <f ca="1">IFERROR(IF(E85='Invoer gegevens'!$C$17+'Invoer gegevens'!$I$14-1,'Invoer gegevens'!$I$13*K85*Reeksen!H17,0),0)</f>
        <v>0</v>
      </c>
      <c r="AX85" s="72">
        <f ca="1">IFERROR(IF(E85='Invoer gegevens'!$C$17,-'Invoer gegevens'!$C$10*('Invoer gegevens'!$C$30+'Invoer gegevens'!$C$31)*Reeksen!H17,0),0)</f>
        <v>0</v>
      </c>
      <c r="AY85" s="73">
        <f ca="1">IF('Invoer gegevens'!$C$34=E85,'Invoer gegevens'!$C$27*'Invoer gegevens'!$C$10*'Invoer gegevens'!$C$36*(IF('Invoer gegevens'!$C$35="ja",1,Reeksen!J17)),IF('Invoer gegevens'!$C$34+1=E85,'Invoer gegevens'!$C$27*'Invoer gegevens'!$C$10*'Invoer gegevens'!$C$37*(IF('Invoer gegevens'!$C$35="ja",1,Reeksen!J17)),0))+IF(AND(E85='Invoer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5" s="73">
        <f ca="1">AV85/(1+'Invoer gegevens'!$I$12)^($D85-('Invoer gegevens'!$C$17-'Invoer gegevens'!$C$16))/(1+'Invoer gegevens'!$C$39)^('Invoer gegevens'!$C$17-'Invoer gegevens'!$C$16)</f>
        <v>0</v>
      </c>
      <c r="BA85" s="73">
        <f ca="1">AW85/(1+'Invoer gegevens'!$I$12)^(E85-('Invoer gegevens'!$C$17-1))/(1+'Invoer gegevens'!$C$39)^('Invoer gegevens'!$C$17-'Invoer gegevens'!$C$16)</f>
        <v>0</v>
      </c>
      <c r="BB85" s="73">
        <f ca="1">AX85/(1+'Invoer gegevens'!$C$39)^('Invoer gegevens'!$C$17-'Invoer gegevens'!$C$16)</f>
        <v>0</v>
      </c>
      <c r="BC85" s="72">
        <f t="shared" ca="1" si="14"/>
        <v>0</v>
      </c>
      <c r="BD85" s="72">
        <f ca="1">IF(AND(E85='Invoer gegevens'!$C$16,'Invoer gegevens'!$C$34&lt;'Invoer gegevens'!$C$16),AY85,AY85/(1+'Invoer gegevens'!$C$39)^D85)</f>
        <v>0</v>
      </c>
      <c r="BE85" s="72">
        <f ca="1">IF(E85='Invoer gegevens'!$C$34,-'Invoer gegevens'!$I$38,0)</f>
        <v>0</v>
      </c>
      <c r="BF85" s="72">
        <f ca="1">IF(E85='Invoer gegevens'!$C$17,-'Invoer gegevens'!$C$19*$BC$134,0)</f>
        <v>0</v>
      </c>
      <c r="BG85" s="72">
        <f ca="1">AV85/(1+$BG$72)^($D85-('Invoer gegevens'!$C$17-'Invoer gegevens'!$C$16))/(1+'Invoer gegevens'!$C$39)^('Invoer gegevens'!$C$17-'Invoer gegevens'!$C$16)+AW85/(1+$BG$72)^(E85-('Invoer gegevens'!$C$17-1))/(1+'Invoer gegevens'!$C$39)^('Invoer gegevens'!$C$17-'Invoer gegevens'!$C$16)+AX85/(1+'Invoer gegevens'!$C$39)^('Invoer gegevens'!$C$17-'Invoer gegevens'!$C$16)+(-AY85/(1+'Invoer gegevens'!$C$39)^D85)+BE85+BF85</f>
        <v>0</v>
      </c>
    </row>
    <row r="86" spans="1:59" x14ac:dyDescent="0.25">
      <c r="A86" s="59"/>
      <c r="B86" s="70">
        <f t="shared" si="15"/>
        <v>14</v>
      </c>
      <c r="C86" s="67">
        <f ca="1">IF(AND(E86&gt;='Invoer gegevens'!$C$17,E86&lt;'Invoer gegevens'!$C$17+'Invoer gegevens'!$I$14),1,0)</f>
        <v>1</v>
      </c>
      <c r="D86" s="68">
        <f t="shared" si="16"/>
        <v>13.5</v>
      </c>
      <c r="E86" s="108">
        <f ca="1">IF('Invoer gegevens'!$C$16="","",E85+1)</f>
        <v>2032</v>
      </c>
      <c r="F86" s="84">
        <f ca="1">IF('Invoer gegevens'!$C$17=E86,'Invoer gegevens'!$C$10,IF(C86=1,K85,0))</f>
        <v>0</v>
      </c>
      <c r="G86" s="96">
        <f ca="1">IF(E86='Invoer gegevens'!$C$17+'Invoer gegevens'!$I$14,K85,IF(C86&gt;=1,F86*VLOOKUP(E86,Reeksen!$A$5:$B$76,2),0))</f>
        <v>0</v>
      </c>
      <c r="H86" s="84">
        <f ca="1">IF(E86='Invoer gegevens'!$C$17+'Invoer gegevens'!$I$14,K85,(1-('Invoer gegevens'!$F$20/12))*F86*MIN(Reeksen!B18,Reeksen!D18))</f>
        <v>0</v>
      </c>
      <c r="I86" s="84">
        <f>IF(Reeksen!D18&lt;Reeksen!B18,(Reeksen!B18-Reeksen!D18)*F86,0)</f>
        <v>0</v>
      </c>
      <c r="J86" s="84">
        <f ca="1">IF(E86='Invoer gegevens'!$C$17+'Invoer gegevens'!$I$14+1,0,('Invoer gegevens'!$F$20/12)*F85*MIN(Reeksen!B17,Reeksen!D17))</f>
        <v>0</v>
      </c>
      <c r="K86" s="97">
        <f ca="1">IF(E86&gt;='Invoer gegevens'!$C$17+'Invoer gegevens'!$I$14,0,F86-G86)</f>
        <v>0</v>
      </c>
      <c r="L86" s="84">
        <f ca="1">IF('Invoer gegevens'!$C$17=E86,0,IF(C86=1,Q85,0))</f>
        <v>0</v>
      </c>
      <c r="M86" s="96">
        <f ca="1">IF(E86='Invoer gegevens'!$C$17+'Invoer gegevens'!$I$14,Q85,IF(C86&gt;=1,L86*VLOOKUP(E86,Reeksen!$A$5:$B$76,2),0))</f>
        <v>0</v>
      </c>
      <c r="N86" s="84">
        <f ca="1">IF(C86='Invoer gegevens'!$C$17+'Invoer gegevens'!$I$14,Q85,(1-('Invoer gegevens'!$F$20/12))*L86*MIN(Reeksen!B18,Reeksen!D18))</f>
        <v>0</v>
      </c>
      <c r="O86" s="84">
        <f>IF(Reeksen!D18&lt;Reeksen!B18,(Reeksen!B18-Reeksen!D18)*L86,0)</f>
        <v>0</v>
      </c>
      <c r="P86" s="84">
        <f ca="1">IF(E86='Invoer gegevens'!$C$17+'Invoer gegevens'!$I$14+1,0,('Invoer gegevens'!$F$20/12)*L85*MIN(Reeksen!B17,Reeksen!D17))</f>
        <v>0</v>
      </c>
      <c r="Q86" s="84">
        <f ca="1">IF(E86&gt;='Invoer gegevens'!$C$17+'Invoer gegevens'!$I$14,0,L86-M86+I86+O86)</f>
        <v>0</v>
      </c>
      <c r="R86" s="82">
        <f ca="1">IF('Invoer gegevens'!$C$17=E86,'Invoer gegevens'!$C$11,IF(C86=1,W85,0))</f>
        <v>0</v>
      </c>
      <c r="S86" s="86">
        <f ca="1">IF(E86='Invoer gegevens'!$C$17+'Invoer gegevens'!$I$14,W85,IF(C86&gt;=1,R86*VLOOKUP(E86,Reeksen!$A$5:$B$76,2),0))</f>
        <v>0</v>
      </c>
      <c r="T86" s="84">
        <f ca="1">IF(E86='Invoer gegevens'!$C$17+'Invoer gegevens'!$I$14,W85,(1-('Invoer gegevens'!$F$20/12))*R86*MIN(Reeksen!B18,Reeksen!D18))</f>
        <v>0</v>
      </c>
      <c r="U86" s="84">
        <f>IF(Reeksen!D18&gt;=Reeksen!B18,0,IF(Reeksen!AK18&lt;=Reeksen!AE18,(Reeksen!B18-Reeksen!D18)*R86,0))</f>
        <v>0</v>
      </c>
      <c r="V86" s="86">
        <f>IF(Reeksen!D18&gt;=Reeksen!B18,0,IF(Reeksen!AK18&gt;Reeksen!AE18,(Reeksen!B18-Reeksen!D18)*R86,0))</f>
        <v>0</v>
      </c>
      <c r="W86" s="97">
        <f ca="1">IF(E86&gt;='Invoer gegevens'!$C$17+'Invoer gegevens'!$I$14,0,R86-S86)</f>
        <v>0</v>
      </c>
      <c r="X86" s="98">
        <f ca="1">IF('Invoer gegevens'!$C$17=E86,'Invoer gegevens'!$C$10-'Invoer gegevens'!$C$11,IF(C86=1,AC85,0))</f>
        <v>0</v>
      </c>
      <c r="Y86" s="98">
        <f ca="1">IF(E86='Invoer gegevens'!$C$17+'Invoer gegevens'!$I$14,AC85,IF(C86&gt;=1,X86*VLOOKUP(E86,Reeksen!$A$5:$B$76,2),0))</f>
        <v>0</v>
      </c>
      <c r="Z86" s="98">
        <f ca="1">IF(E86='Invoer gegevens'!$C$17+'Invoer gegevens'!$I$14,AC85,(1-('Invoer gegevens'!$F$20/12))*X86*MIN(Reeksen!B18,Reeksen!D18))</f>
        <v>0</v>
      </c>
      <c r="AA86" s="98">
        <f>IF(Reeksen!D18&gt;=Reeksen!B18,0,IF(Reeksen!AK18&lt;=Reeksen!AE18,(Reeksen!B18-Reeksen!D18)*X86,0))</f>
        <v>0</v>
      </c>
      <c r="AB86" s="98">
        <f>IF(Reeksen!D18&gt;=Reeksen!B18,0,IF(Reeksen!AK18&gt;Reeksen!AE18,(Reeksen!B18-Reeksen!D18)*X86,0))</f>
        <v>0</v>
      </c>
      <c r="AC86" s="99">
        <f ca="1">IF(E86&gt;='Invoer gegevens'!$C$17+'Invoer gegevens'!$I$14,0,X86-Y86)</f>
        <v>0</v>
      </c>
      <c r="AD86" s="98">
        <f ca="1">IF('Invoer gegevens'!$C$17=E18,R86,IF(C18=0,0,AE85))</f>
        <v>0</v>
      </c>
      <c r="AE86" s="98">
        <f t="shared" ca="1" si="9"/>
        <v>0</v>
      </c>
      <c r="AF86" s="98">
        <f ca="1">IF('Invoer gegevens'!$C$17=E18,X86,IF(C18=0,0,AG85))</f>
        <v>0</v>
      </c>
      <c r="AG86" s="98">
        <f t="shared" ca="1" si="10"/>
        <v>0</v>
      </c>
      <c r="AH86" s="70"/>
      <c r="AI86" s="71">
        <f ca="1">IF(C86=1,((Reeksen!BF18*(F86-G86+F86)/2)+((L86-M86+L86)/2*Reeksen!BG18))*12,0)</f>
        <v>0</v>
      </c>
      <c r="AJ86" s="71">
        <f ca="1">-AI86*'Invoer gegevens'!$I$26</f>
        <v>0</v>
      </c>
      <c r="AK86" s="71">
        <f t="shared" ca="1" si="11"/>
        <v>0</v>
      </c>
      <c r="AL86" s="71">
        <f ca="1">IF(C86=1,Reeksen!AL18*((F86-G86+F86)/2)*12+Reeksen!AM18*((L86-M86+L86)/2)*12,0)</f>
        <v>0</v>
      </c>
      <c r="AM86" s="71">
        <f ca="1">-AL86*'Invoer gegevens'!$F$31</f>
        <v>0</v>
      </c>
      <c r="AN86" s="71">
        <f t="shared" ca="1" si="12"/>
        <v>0</v>
      </c>
      <c r="AO86" s="71">
        <f ca="1">IF(E86&gt;='Invoer gegevens'!$C$17+'Invoer gegevens'!$I$14,0,IF(C86=1,(H86+J86+N86+P86)*Reeksen!AN18,0))</f>
        <v>0</v>
      </c>
      <c r="AP86" s="71">
        <f ca="1">-IF(C86=1,(H86+J86+N86+P86)*Reeksen!AN17*'Hulp - basis'!$B$550,0)</f>
        <v>0</v>
      </c>
      <c r="AQ86" s="71">
        <f ca="1">-IF(C86=1,(F86+K86+L86+Q86)/2*'Invoer gegevens'!$I$33*Reeksen!J18,0)</f>
        <v>0</v>
      </c>
      <c r="AR86" s="71">
        <f ca="1">-IF(C86=1,(I86*'Invoer gegevens'!$I$34)*Reeksen!J18,0)</f>
        <v>0</v>
      </c>
      <c r="AS86" s="71">
        <f ca="1">-IF(C86=1,(F86+K86+L86+Q86)/2*'Invoer gegevens'!$I$35*Reeksen!L18,0)</f>
        <v>0</v>
      </c>
      <c r="AT86" s="71">
        <f ca="1">-IF(C86=1,IF(E86='Invoer gegevens'!$C$17,'Invoer gegevens'!$C$11,AD86)*Reeksen!S18*'Invoer gegevens'!$C$18*Reeksen!P18,0)</f>
        <v>0</v>
      </c>
      <c r="AU86" s="71">
        <f ca="1">-IF(C86=1,(F86+K86+L86+Q86)/2*'Invoer gegevens'!$I$36*Reeksen!H18,0)</f>
        <v>0</v>
      </c>
      <c r="AV86" s="71">
        <f t="shared" ca="1" si="13"/>
        <v>0</v>
      </c>
      <c r="AW86" s="72">
        <f ca="1">IFERROR(IF(E86='Invoer gegevens'!$C$17+'Invoer gegevens'!$I$14-1,'Invoer gegevens'!$I$13*K86*Reeksen!H18,0),0)</f>
        <v>0</v>
      </c>
      <c r="AX86" s="72">
        <f ca="1">IFERROR(IF(E86='Invoer gegevens'!$C$17,-'Invoer gegevens'!$C$10*('Invoer gegevens'!$C$30+'Invoer gegevens'!$C$31)*Reeksen!H18,0),0)</f>
        <v>0</v>
      </c>
      <c r="AY86" s="73">
        <f ca="1">IF('Invoer gegevens'!$C$34=E86,'Invoer gegevens'!$C$27*'Invoer gegevens'!$C$10*'Invoer gegevens'!$C$36*(IF('Invoer gegevens'!$C$35="ja",1,Reeksen!J18)),IF('Invoer gegevens'!$C$34+1=E86,'Invoer gegevens'!$C$27*'Invoer gegevens'!$C$10*'Invoer gegevens'!$C$37*(IF('Invoer gegevens'!$C$35="ja",1,Reeksen!J18)),0))+IF(AND(E86='Invoer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6" s="73">
        <f ca="1">AV86/(1+'Invoer gegevens'!$I$12)^($D86-('Invoer gegevens'!$C$17-'Invoer gegevens'!$C$16))/(1+'Invoer gegevens'!$C$39)^('Invoer gegevens'!$C$17-'Invoer gegevens'!$C$16)</f>
        <v>0</v>
      </c>
      <c r="BA86" s="73">
        <f ca="1">AW86/(1+'Invoer gegevens'!$I$12)^(E86-('Invoer gegevens'!$C$17-1))/(1+'Invoer gegevens'!$C$39)^('Invoer gegevens'!$C$17-'Invoer gegevens'!$C$16)</f>
        <v>0</v>
      </c>
      <c r="BB86" s="73">
        <f ca="1">AX86/(1+'Invoer gegevens'!$C$39)^('Invoer gegevens'!$C$17-'Invoer gegevens'!$C$16)</f>
        <v>0</v>
      </c>
      <c r="BC86" s="72">
        <f t="shared" ca="1" si="14"/>
        <v>0</v>
      </c>
      <c r="BD86" s="72">
        <f ca="1">IF(AND(E86='Invoer gegevens'!$C$16,'Invoer gegevens'!$C$34&lt;'Invoer gegevens'!$C$16),AY86,AY86/(1+'Invoer gegevens'!$C$39)^D86)</f>
        <v>0</v>
      </c>
      <c r="BE86" s="72">
        <f ca="1">IF(E86='Invoer gegevens'!$C$34,-'Invoer gegevens'!$I$38,0)</f>
        <v>0</v>
      </c>
      <c r="BF86" s="72">
        <f ca="1">IF(E86='Invoer gegevens'!$C$17,-'Invoer gegevens'!$C$19*$BC$134,0)</f>
        <v>0</v>
      </c>
      <c r="BG86" s="72">
        <f ca="1">AV86/(1+$BG$72)^($D86-('Invoer gegevens'!$C$17-'Invoer gegevens'!$C$16))/(1+'Invoer gegevens'!$C$39)^('Invoer gegevens'!$C$17-'Invoer gegevens'!$C$16)+AW86/(1+$BG$72)^(E86-('Invoer gegevens'!$C$17-1))/(1+'Invoer gegevens'!$C$39)^('Invoer gegevens'!$C$17-'Invoer gegevens'!$C$16)+AX86/(1+'Invoer gegevens'!$C$39)^('Invoer gegevens'!$C$17-'Invoer gegevens'!$C$16)+(-AY86/(1+'Invoer gegevens'!$C$39)^D86)+BE86+BF86</f>
        <v>0</v>
      </c>
    </row>
    <row r="87" spans="1:59" x14ac:dyDescent="0.25">
      <c r="A87" s="59"/>
      <c r="B87" s="70">
        <f t="shared" si="15"/>
        <v>15</v>
      </c>
      <c r="C87" s="67">
        <f ca="1">IF(AND(E87&gt;='Invoer gegevens'!$C$17,E87&lt;'Invoer gegevens'!$C$17+'Invoer gegevens'!$I$14),1,0)</f>
        <v>1</v>
      </c>
      <c r="D87" s="68">
        <f t="shared" si="16"/>
        <v>14.5</v>
      </c>
      <c r="E87" s="108">
        <f ca="1">IF('Invoer gegevens'!$C$16="","",E86+1)</f>
        <v>2033</v>
      </c>
      <c r="F87" s="84">
        <f ca="1">IF('Invoer gegevens'!$C$17=E87,'Invoer gegevens'!$C$10,IF(C87=1,K86,0))</f>
        <v>0</v>
      </c>
      <c r="G87" s="96">
        <f ca="1">IF(E87='Invoer gegevens'!$C$17+'Invoer gegevens'!$I$14,K86,IF(C87&gt;=1,F87*VLOOKUP(E87,Reeksen!$A$5:$B$76,2),0))</f>
        <v>0</v>
      </c>
      <c r="H87" s="84">
        <f ca="1">IF(E87='Invoer gegevens'!$C$17+'Invoer gegevens'!$I$14,K86,(1-('Invoer gegevens'!$F$20/12))*F87*MIN(Reeksen!B19,Reeksen!D19))</f>
        <v>0</v>
      </c>
      <c r="I87" s="84">
        <f>IF(Reeksen!D19&lt;Reeksen!B19,(Reeksen!B19-Reeksen!D19)*F87,0)</f>
        <v>0</v>
      </c>
      <c r="J87" s="84">
        <f ca="1">IF(E87='Invoer gegevens'!$C$17+'Invoer gegevens'!$I$14+1,0,('Invoer gegevens'!$F$20/12)*F86*MIN(Reeksen!B18,Reeksen!D18))</f>
        <v>0</v>
      </c>
      <c r="K87" s="97">
        <f ca="1">IF(E87&gt;='Invoer gegevens'!$C$17+'Invoer gegevens'!$I$14,0,F87-G87)</f>
        <v>0</v>
      </c>
      <c r="L87" s="84">
        <f ca="1">IF('Invoer gegevens'!$C$17=E87,0,IF(C87=1,Q86,0))</f>
        <v>0</v>
      </c>
      <c r="M87" s="96">
        <f ca="1">IF(E87='Invoer gegevens'!$C$17+'Invoer gegevens'!$I$14,Q86,IF(C87&gt;=1,L87*VLOOKUP(E87,Reeksen!$A$5:$B$76,2),0))</f>
        <v>0</v>
      </c>
      <c r="N87" s="84">
        <f ca="1">IF(C87='Invoer gegevens'!$C$17+'Invoer gegevens'!$I$14,Q86,(1-('Invoer gegevens'!$F$20/12))*L87*MIN(Reeksen!B19,Reeksen!D19))</f>
        <v>0</v>
      </c>
      <c r="O87" s="84">
        <f>IF(Reeksen!D19&lt;Reeksen!B19,(Reeksen!B19-Reeksen!D19)*L87,0)</f>
        <v>0</v>
      </c>
      <c r="P87" s="84">
        <f ca="1">IF(E87='Invoer gegevens'!$C$17+'Invoer gegevens'!$I$14+1,0,('Invoer gegevens'!$F$20/12)*L86*MIN(Reeksen!B18,Reeksen!D18))</f>
        <v>0</v>
      </c>
      <c r="Q87" s="84">
        <f ca="1">IF(E87&gt;='Invoer gegevens'!$C$17+'Invoer gegevens'!$I$14,0,L87-M87+I87+O87)</f>
        <v>0</v>
      </c>
      <c r="R87" s="82">
        <f ca="1">IF('Invoer gegevens'!$C$17=E87,'Invoer gegevens'!$C$11,IF(C87=1,W86,0))</f>
        <v>0</v>
      </c>
      <c r="S87" s="86">
        <f ca="1">IF(E87='Invoer gegevens'!$C$17+'Invoer gegevens'!$I$14,W86,IF(C87&gt;=1,R87*VLOOKUP(E87,Reeksen!$A$5:$B$76,2),0))</f>
        <v>0</v>
      </c>
      <c r="T87" s="84">
        <f ca="1">IF(E87='Invoer gegevens'!$C$17+'Invoer gegevens'!$I$14,W86,(1-('Invoer gegevens'!$F$20/12))*R87*MIN(Reeksen!B19,Reeksen!D19))</f>
        <v>0</v>
      </c>
      <c r="U87" s="84">
        <f>IF(Reeksen!D19&gt;=Reeksen!B19,0,IF(Reeksen!AK19&lt;=Reeksen!AE19,(Reeksen!B19-Reeksen!D19)*R87,0))</f>
        <v>0</v>
      </c>
      <c r="V87" s="86">
        <f>IF(Reeksen!D19&gt;=Reeksen!B19,0,IF(Reeksen!AK19&gt;Reeksen!AE19,(Reeksen!B19-Reeksen!D19)*R87,0))</f>
        <v>0</v>
      </c>
      <c r="W87" s="97">
        <f ca="1">IF(E87&gt;='Invoer gegevens'!$C$17+'Invoer gegevens'!$I$14,0,R87-S87)</f>
        <v>0</v>
      </c>
      <c r="X87" s="98">
        <f ca="1">IF('Invoer gegevens'!$C$17=E87,'Invoer gegevens'!$C$10-'Invoer gegevens'!$C$11,IF(C87=1,AC86,0))</f>
        <v>0</v>
      </c>
      <c r="Y87" s="98">
        <f ca="1">IF(E87='Invoer gegevens'!$C$17+'Invoer gegevens'!$I$14,AC86,IF(C87&gt;=1,X87*VLOOKUP(E87,Reeksen!$A$5:$B$76,2),0))</f>
        <v>0</v>
      </c>
      <c r="Z87" s="98">
        <f ca="1">IF(E87='Invoer gegevens'!$C$17+'Invoer gegevens'!$I$14,AC86,(1-('Invoer gegevens'!$F$20/12))*X87*MIN(Reeksen!B19,Reeksen!D19))</f>
        <v>0</v>
      </c>
      <c r="AA87" s="98">
        <f>IF(Reeksen!D19&gt;=Reeksen!B19,0,IF(Reeksen!AK19&lt;=Reeksen!AE19,(Reeksen!B19-Reeksen!D19)*X87,0))</f>
        <v>0</v>
      </c>
      <c r="AB87" s="98">
        <f>IF(Reeksen!D19&gt;=Reeksen!B19,0,IF(Reeksen!AK19&gt;Reeksen!AE19,(Reeksen!B19-Reeksen!D19)*X87,0))</f>
        <v>0</v>
      </c>
      <c r="AC87" s="99">
        <f ca="1">IF(E87&gt;='Invoer gegevens'!$C$17+'Invoer gegevens'!$I$14,0,X87-Y87)</f>
        <v>0</v>
      </c>
      <c r="AD87" s="98">
        <f ca="1">IF('Invoer gegevens'!$C$17=E19,R87,IF(C19=0,0,AE86))</f>
        <v>0</v>
      </c>
      <c r="AE87" s="98">
        <f t="shared" ca="1" si="9"/>
        <v>0</v>
      </c>
      <c r="AF87" s="98">
        <f ca="1">IF('Invoer gegevens'!$C$17=E19,X87,IF(C19=0,0,AG86))</f>
        <v>0</v>
      </c>
      <c r="AG87" s="98">
        <f t="shared" ca="1" si="10"/>
        <v>0</v>
      </c>
      <c r="AH87" s="70"/>
      <c r="AI87" s="71">
        <f ca="1">IF(C87=1,((Reeksen!BF19*(F87-G87+F87)/2)+((L87-M87+L87)/2*Reeksen!BG19))*12,0)</f>
        <v>0</v>
      </c>
      <c r="AJ87" s="71">
        <f ca="1">-AI87*'Invoer gegevens'!$I$26</f>
        <v>0</v>
      </c>
      <c r="AK87" s="71">
        <f t="shared" ca="1" si="11"/>
        <v>0</v>
      </c>
      <c r="AL87" s="71">
        <f ca="1">IF(C87=1,Reeksen!AL19*((F87-G87+F87)/2)*12+Reeksen!AM19*((L87-M87+L87)/2)*12,0)</f>
        <v>0</v>
      </c>
      <c r="AM87" s="71">
        <f ca="1">-AL87*'Invoer gegevens'!$F$31</f>
        <v>0</v>
      </c>
      <c r="AN87" s="71">
        <f t="shared" ca="1" si="12"/>
        <v>0</v>
      </c>
      <c r="AO87" s="71">
        <f ca="1">IF(E87&gt;='Invoer gegevens'!$C$17+'Invoer gegevens'!$I$14,0,IF(C87=1,(H87+J87+N87+P87)*Reeksen!AN19,0))</f>
        <v>0</v>
      </c>
      <c r="AP87" s="71">
        <f ca="1">-IF(C87=1,(H87+J87+N87+P87)*Reeksen!AN18*'Hulp - basis'!$B$550,0)</f>
        <v>0</v>
      </c>
      <c r="AQ87" s="71">
        <f ca="1">-IF(C87=1,(F87+K87+L87+Q87)/2*'Invoer gegevens'!$I$33*Reeksen!J19,0)</f>
        <v>0</v>
      </c>
      <c r="AR87" s="71">
        <f ca="1">-IF(C87=1,(I87*'Invoer gegevens'!$I$34)*Reeksen!J19,0)</f>
        <v>0</v>
      </c>
      <c r="AS87" s="71">
        <f ca="1">-IF(C87=1,(F87+K87+L87+Q87)/2*'Invoer gegevens'!$I$35*Reeksen!L19,0)</f>
        <v>0</v>
      </c>
      <c r="AT87" s="71">
        <f ca="1">-IF(C87=1,IF(E87='Invoer gegevens'!$C$17,'Invoer gegevens'!$C$11,AD87)*Reeksen!S19*'Invoer gegevens'!$C$18*Reeksen!P19,0)</f>
        <v>0</v>
      </c>
      <c r="AU87" s="71">
        <f ca="1">-IF(C87=1,(F87+K87+L87+Q87)/2*'Invoer gegevens'!$I$36*Reeksen!H19,0)</f>
        <v>0</v>
      </c>
      <c r="AV87" s="71">
        <f t="shared" ca="1" si="13"/>
        <v>0</v>
      </c>
      <c r="AW87" s="72">
        <f ca="1">IFERROR(IF(E87='Invoer gegevens'!$C$17+'Invoer gegevens'!$I$14-1,'Invoer gegevens'!$I$13*K87*Reeksen!H19,0),0)</f>
        <v>0</v>
      </c>
      <c r="AX87" s="72">
        <f ca="1">IFERROR(IF(E87='Invoer gegevens'!$C$17,-'Invoer gegevens'!$C$10*('Invoer gegevens'!$C$30+'Invoer gegevens'!$C$31)*Reeksen!H19,0),0)</f>
        <v>0</v>
      </c>
      <c r="AY87" s="73">
        <f ca="1">IF('Invoer gegevens'!$C$34=E87,'Invoer gegevens'!$C$27*'Invoer gegevens'!$C$10*'Invoer gegevens'!$C$36*(IF('Invoer gegevens'!$C$35="ja",1,Reeksen!J19)),IF('Invoer gegevens'!$C$34+1=E87,'Invoer gegevens'!$C$27*'Invoer gegevens'!$C$10*'Invoer gegevens'!$C$37*(IF('Invoer gegevens'!$C$35="ja",1,Reeksen!J19)),0))+IF(AND(E87='Invoer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7" s="73">
        <f ca="1">AV87/(1+'Invoer gegevens'!$I$12)^($D87-('Invoer gegevens'!$C$17-'Invoer gegevens'!$C$16))/(1+'Invoer gegevens'!$C$39)^('Invoer gegevens'!$C$17-'Invoer gegevens'!$C$16)</f>
        <v>0</v>
      </c>
      <c r="BA87" s="73">
        <f ca="1">AW87/(1+'Invoer gegevens'!$I$12)^(E87-('Invoer gegevens'!$C$17-1))/(1+'Invoer gegevens'!$C$39)^('Invoer gegevens'!$C$17-'Invoer gegevens'!$C$16)</f>
        <v>0</v>
      </c>
      <c r="BB87" s="73">
        <f ca="1">AX87/(1+'Invoer gegevens'!$C$39)^('Invoer gegevens'!$C$17-'Invoer gegevens'!$C$16)</f>
        <v>0</v>
      </c>
      <c r="BC87" s="72">
        <f t="shared" ca="1" si="14"/>
        <v>0</v>
      </c>
      <c r="BD87" s="72">
        <f ca="1">IF(AND(E87='Invoer gegevens'!$C$16,'Invoer gegevens'!$C$34&lt;'Invoer gegevens'!$C$16),AY87,AY87/(1+'Invoer gegevens'!$C$39)^D87)</f>
        <v>0</v>
      </c>
      <c r="BE87" s="72">
        <f ca="1">IF(E87='Invoer gegevens'!$C$34,-'Invoer gegevens'!$I$38,0)</f>
        <v>0</v>
      </c>
      <c r="BF87" s="72">
        <f ca="1">IF(E87='Invoer gegevens'!$C$17,-'Invoer gegevens'!$C$19*$BC$134,0)</f>
        <v>0</v>
      </c>
      <c r="BG87" s="72">
        <f ca="1">AV87/(1+$BG$72)^($D87-('Invoer gegevens'!$C$17-'Invoer gegevens'!$C$16))/(1+'Invoer gegevens'!$C$39)^('Invoer gegevens'!$C$17-'Invoer gegevens'!$C$16)+AW87/(1+$BG$72)^(E87-('Invoer gegevens'!$C$17-1))/(1+'Invoer gegevens'!$C$39)^('Invoer gegevens'!$C$17-'Invoer gegevens'!$C$16)+AX87/(1+'Invoer gegevens'!$C$39)^('Invoer gegevens'!$C$17-'Invoer gegevens'!$C$16)+(-AY87/(1+'Invoer gegevens'!$C$39)^D87)+BE87+BF87</f>
        <v>0</v>
      </c>
    </row>
    <row r="88" spans="1:59" x14ac:dyDescent="0.25">
      <c r="A88" s="59"/>
      <c r="B88" s="70">
        <f t="shared" si="15"/>
        <v>16</v>
      </c>
      <c r="C88" s="67">
        <f ca="1">IF(AND(E88&gt;='Invoer gegevens'!$C$17,E88&lt;'Invoer gegevens'!$C$17+'Invoer gegevens'!$I$14),1,0)</f>
        <v>1</v>
      </c>
      <c r="D88" s="68">
        <f t="shared" si="16"/>
        <v>15.5</v>
      </c>
      <c r="E88" s="108">
        <f ca="1">IF('Invoer gegevens'!$C$16="","",E87+1)</f>
        <v>2034</v>
      </c>
      <c r="F88" s="84">
        <f ca="1">IF('Invoer gegevens'!$C$17=E88,'Invoer gegevens'!$C$10,IF(C88=1,K87,0))</f>
        <v>0</v>
      </c>
      <c r="G88" s="96">
        <f ca="1">IF(E88='Invoer gegevens'!$C$17+'Invoer gegevens'!$I$14,K87,IF(C88&gt;=1,F88*VLOOKUP(E88,Reeksen!$A$5:$B$76,2),0))</f>
        <v>0</v>
      </c>
      <c r="H88" s="84">
        <f ca="1">IF(E88='Invoer gegevens'!$C$17+'Invoer gegevens'!$I$14,K87,(1-('Invoer gegevens'!$F$20/12))*F88*MIN(Reeksen!B20,Reeksen!D20))</f>
        <v>0</v>
      </c>
      <c r="I88" s="84">
        <f>IF(Reeksen!D20&lt;Reeksen!B20,(Reeksen!B20-Reeksen!D20)*F88,0)</f>
        <v>0</v>
      </c>
      <c r="J88" s="84">
        <f ca="1">IF(E88='Invoer gegevens'!$C$17+'Invoer gegevens'!$I$14+1,0,('Invoer gegevens'!$F$20/12)*F87*MIN(Reeksen!B19,Reeksen!D19))</f>
        <v>0</v>
      </c>
      <c r="K88" s="97">
        <f ca="1">IF(E88&gt;='Invoer gegevens'!$C$17+'Invoer gegevens'!$I$14,0,F88-G88)</f>
        <v>0</v>
      </c>
      <c r="L88" s="84">
        <f ca="1">IF('Invoer gegevens'!$C$17=E88,0,IF(C88=1,Q87,0))</f>
        <v>0</v>
      </c>
      <c r="M88" s="96">
        <f ca="1">IF(E88='Invoer gegevens'!$C$17+'Invoer gegevens'!$I$14,Q87,IF(C88&gt;=1,L88*VLOOKUP(E88,Reeksen!$A$5:$B$76,2),0))</f>
        <v>0</v>
      </c>
      <c r="N88" s="84">
        <f ca="1">IF(C88='Invoer gegevens'!$C$17+'Invoer gegevens'!$I$14,Q87,(1-('Invoer gegevens'!$F$20/12))*L88*MIN(Reeksen!B20,Reeksen!D20))</f>
        <v>0</v>
      </c>
      <c r="O88" s="84">
        <f>IF(Reeksen!D20&lt;Reeksen!B20,(Reeksen!B20-Reeksen!D20)*L88,0)</f>
        <v>0</v>
      </c>
      <c r="P88" s="84">
        <f ca="1">IF(E88='Invoer gegevens'!$C$17+'Invoer gegevens'!$I$14+1,0,('Invoer gegevens'!$F$20/12)*L87*MIN(Reeksen!B19,Reeksen!D19))</f>
        <v>0</v>
      </c>
      <c r="Q88" s="84">
        <f ca="1">IF(E88&gt;='Invoer gegevens'!$C$17+'Invoer gegevens'!$I$14,0,L88-M88+I88+O88)</f>
        <v>0</v>
      </c>
      <c r="R88" s="82">
        <f ca="1">IF('Invoer gegevens'!$C$17=E88,'Invoer gegevens'!$C$11,IF(C88=1,W87,0))</f>
        <v>0</v>
      </c>
      <c r="S88" s="86">
        <f ca="1">IF(E88='Invoer gegevens'!$C$17+'Invoer gegevens'!$I$14,W87,IF(C88&gt;=1,R88*VLOOKUP(E88,Reeksen!$A$5:$B$76,2),0))</f>
        <v>0</v>
      </c>
      <c r="T88" s="84">
        <f ca="1">IF(E88='Invoer gegevens'!$C$17+'Invoer gegevens'!$I$14,W87,(1-('Invoer gegevens'!$F$20/12))*R88*MIN(Reeksen!B20,Reeksen!D20))</f>
        <v>0</v>
      </c>
      <c r="U88" s="84">
        <f>IF(Reeksen!D20&gt;=Reeksen!B20,0,IF(Reeksen!AK20&lt;=Reeksen!AE20,(Reeksen!B20-Reeksen!D20)*R88,0))</f>
        <v>0</v>
      </c>
      <c r="V88" s="86">
        <f>IF(Reeksen!D20&gt;=Reeksen!B20,0,IF(Reeksen!AK20&gt;Reeksen!AE20,(Reeksen!B20-Reeksen!D20)*R88,0))</f>
        <v>0</v>
      </c>
      <c r="W88" s="97">
        <f ca="1">IF(E88&gt;='Invoer gegevens'!$C$17+'Invoer gegevens'!$I$14,0,R88-S88)</f>
        <v>0</v>
      </c>
      <c r="X88" s="98">
        <f ca="1">IF('Invoer gegevens'!$C$17=E88,'Invoer gegevens'!$C$10-'Invoer gegevens'!$C$11,IF(C88=1,AC87,0))</f>
        <v>0</v>
      </c>
      <c r="Y88" s="98">
        <f ca="1">IF(E88='Invoer gegevens'!$C$17+'Invoer gegevens'!$I$14,AC87,IF(C88&gt;=1,X88*VLOOKUP(E88,Reeksen!$A$5:$B$76,2),0))</f>
        <v>0</v>
      </c>
      <c r="Z88" s="98">
        <f ca="1">IF(E88='Invoer gegevens'!$C$17+'Invoer gegevens'!$I$14,AC87,(1-('Invoer gegevens'!$F$20/12))*X88*MIN(Reeksen!B20,Reeksen!D20))</f>
        <v>0</v>
      </c>
      <c r="AA88" s="98">
        <f>IF(Reeksen!D20&gt;=Reeksen!B20,0,IF(Reeksen!AK20&lt;=Reeksen!AE20,(Reeksen!B20-Reeksen!D20)*X88,0))</f>
        <v>0</v>
      </c>
      <c r="AB88" s="98">
        <f>IF(Reeksen!D20&gt;=Reeksen!B20,0,IF(Reeksen!AK20&gt;Reeksen!AE20,(Reeksen!B20-Reeksen!D20)*X88,0))</f>
        <v>0</v>
      </c>
      <c r="AC88" s="99">
        <f ca="1">IF(E88&gt;='Invoer gegevens'!$C$17+'Invoer gegevens'!$I$14,0,X88-Y88)</f>
        <v>0</v>
      </c>
      <c r="AD88" s="98">
        <f ca="1">IF('Invoer gegevens'!$C$17=E20,R88,IF(C20=0,0,AE87))</f>
        <v>0</v>
      </c>
      <c r="AE88" s="98">
        <f t="shared" ca="1" si="9"/>
        <v>0</v>
      </c>
      <c r="AF88" s="98">
        <f ca="1">IF('Invoer gegevens'!$C$17=E20,X88,IF(C20=0,0,AG87))</f>
        <v>0</v>
      </c>
      <c r="AG88" s="98">
        <f t="shared" ca="1" si="10"/>
        <v>0</v>
      </c>
      <c r="AH88" s="70"/>
      <c r="AI88" s="71">
        <f ca="1">IF(C88=1,((Reeksen!BF20*(F88-G88+F88)/2)+((L88-M88+L88)/2*Reeksen!BG20))*12,0)</f>
        <v>0</v>
      </c>
      <c r="AJ88" s="71">
        <f ca="1">-AI88*'Invoer gegevens'!$I$26</f>
        <v>0</v>
      </c>
      <c r="AK88" s="71">
        <f t="shared" ca="1" si="11"/>
        <v>0</v>
      </c>
      <c r="AL88" s="71">
        <f ca="1">IF(C88=1,Reeksen!AL20*((F88-G88+F88)/2)*12+Reeksen!AM20*((L88-M88+L88)/2)*12,0)</f>
        <v>0</v>
      </c>
      <c r="AM88" s="71">
        <f ca="1">-AL88*'Invoer gegevens'!$F$31</f>
        <v>0</v>
      </c>
      <c r="AN88" s="71">
        <f t="shared" ca="1" si="12"/>
        <v>0</v>
      </c>
      <c r="AO88" s="71">
        <f ca="1">IF(E88&gt;='Invoer gegevens'!$C$17+'Invoer gegevens'!$I$14,0,IF(C88=1,(H88+J88+N88+P88)*Reeksen!AN20,0))</f>
        <v>0</v>
      </c>
      <c r="AP88" s="71">
        <f ca="1">-IF(C88=1,(H88+J88+N88+P88)*Reeksen!AN19*'Hulp - basis'!$B$550,0)</f>
        <v>0</v>
      </c>
      <c r="AQ88" s="71">
        <f ca="1">-IF(C88=1,(F88+K88+L88+Q88)/2*'Invoer gegevens'!$I$33*Reeksen!J20,0)</f>
        <v>0</v>
      </c>
      <c r="AR88" s="71">
        <f ca="1">-IF(C88=1,(I88*'Invoer gegevens'!$I$34)*Reeksen!J20,0)</f>
        <v>0</v>
      </c>
      <c r="AS88" s="71">
        <f ca="1">-IF(C88=1,(F88+K88+L88+Q88)/2*'Invoer gegevens'!$I$35*Reeksen!L20,0)</f>
        <v>0</v>
      </c>
      <c r="AT88" s="71">
        <f ca="1">-IF(C88=1,IF(E88='Invoer gegevens'!$C$17,'Invoer gegevens'!$C$11,AD88)*Reeksen!S20*'Invoer gegevens'!$C$18*Reeksen!P20,0)</f>
        <v>0</v>
      </c>
      <c r="AU88" s="71">
        <f ca="1">-IF(C88=1,(F88+K88+L88+Q88)/2*'Invoer gegevens'!$I$36*Reeksen!H20,0)</f>
        <v>0</v>
      </c>
      <c r="AV88" s="71">
        <f t="shared" ca="1" si="13"/>
        <v>0</v>
      </c>
      <c r="AW88" s="72">
        <f ca="1">IFERROR(IF(E88='Invoer gegevens'!$C$17+'Invoer gegevens'!$I$14-1,'Invoer gegevens'!$I$13*K88*Reeksen!H20,0),0)</f>
        <v>0</v>
      </c>
      <c r="AX88" s="72">
        <f ca="1">IFERROR(IF(E88='Invoer gegevens'!$C$17,-'Invoer gegevens'!$C$10*('Invoer gegevens'!$C$30+'Invoer gegevens'!$C$31)*Reeksen!H20,0),0)</f>
        <v>0</v>
      </c>
      <c r="AY88" s="73">
        <f ca="1">IF('Invoer gegevens'!$C$34=E88,'Invoer gegevens'!$C$27*'Invoer gegevens'!$C$10*'Invoer gegevens'!$C$36*(IF('Invoer gegevens'!$C$35="ja",1,Reeksen!J20)),IF('Invoer gegevens'!$C$34+1=E88,'Invoer gegevens'!$C$27*'Invoer gegevens'!$C$10*'Invoer gegevens'!$C$37*(IF('Invoer gegevens'!$C$35="ja",1,Reeksen!J20)),0))+IF(AND(E88='Invoer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8" s="73">
        <f ca="1">AV88/(1+'Invoer gegevens'!$I$12)^($D88-('Invoer gegevens'!$C$17-'Invoer gegevens'!$C$16))/(1+'Invoer gegevens'!$C$39)^('Invoer gegevens'!$C$17-'Invoer gegevens'!$C$16)</f>
        <v>0</v>
      </c>
      <c r="BA88" s="73">
        <f ca="1">AW88/(1+'Invoer gegevens'!$I$12)^(E88-('Invoer gegevens'!$C$17-1))/(1+'Invoer gegevens'!$C$39)^('Invoer gegevens'!$C$17-'Invoer gegevens'!$C$16)</f>
        <v>0</v>
      </c>
      <c r="BB88" s="73">
        <f ca="1">AX88/(1+'Invoer gegevens'!$C$39)^('Invoer gegevens'!$C$17-'Invoer gegevens'!$C$16)</f>
        <v>0</v>
      </c>
      <c r="BC88" s="72">
        <f t="shared" ca="1" si="14"/>
        <v>0</v>
      </c>
      <c r="BD88" s="72">
        <f ca="1">IF(AND(E88='Invoer gegevens'!$C$16,'Invoer gegevens'!$C$34&lt;'Invoer gegevens'!$C$16),AY88,AY88/(1+'Invoer gegevens'!$C$39)^D88)</f>
        <v>0</v>
      </c>
      <c r="BE88" s="72">
        <f ca="1">IF(E88='Invoer gegevens'!$C$34,-'Invoer gegevens'!$I$38,0)</f>
        <v>0</v>
      </c>
      <c r="BF88" s="72">
        <f ca="1">IF(E88='Invoer gegevens'!$C$17,-'Invoer gegevens'!$C$19*$BC$134,0)</f>
        <v>0</v>
      </c>
      <c r="BG88" s="72">
        <f ca="1">AV88/(1+$BG$72)^($D88-('Invoer gegevens'!$C$17-'Invoer gegevens'!$C$16))/(1+'Invoer gegevens'!$C$39)^('Invoer gegevens'!$C$17-'Invoer gegevens'!$C$16)+AW88/(1+$BG$72)^(E88-('Invoer gegevens'!$C$17-1))/(1+'Invoer gegevens'!$C$39)^('Invoer gegevens'!$C$17-'Invoer gegevens'!$C$16)+AX88/(1+'Invoer gegevens'!$C$39)^('Invoer gegevens'!$C$17-'Invoer gegevens'!$C$16)+(-AY88/(1+'Invoer gegevens'!$C$39)^D88)+BE88+BF88</f>
        <v>0</v>
      </c>
    </row>
    <row r="89" spans="1:59" x14ac:dyDescent="0.25">
      <c r="A89" s="59"/>
      <c r="B89" s="70">
        <f t="shared" si="15"/>
        <v>17</v>
      </c>
      <c r="C89" s="67">
        <f ca="1">IF(AND(E89&gt;='Invoer gegevens'!$C$17,E89&lt;'Invoer gegevens'!$C$17+'Invoer gegevens'!$I$14),1,0)</f>
        <v>1</v>
      </c>
      <c r="D89" s="68">
        <f t="shared" si="16"/>
        <v>16.5</v>
      </c>
      <c r="E89" s="108">
        <f ca="1">IF('Invoer gegevens'!$C$16="","",E88+1)</f>
        <v>2035</v>
      </c>
      <c r="F89" s="84">
        <f ca="1">IF('Invoer gegevens'!$C$17=E89,'Invoer gegevens'!$C$10,IF(C89=1,K88,0))</f>
        <v>0</v>
      </c>
      <c r="G89" s="96">
        <f ca="1">IF(E89='Invoer gegevens'!$C$17+'Invoer gegevens'!$I$14,K88,IF(C89&gt;=1,F89*VLOOKUP(E89,Reeksen!$A$5:$B$76,2),0))</f>
        <v>0</v>
      </c>
      <c r="H89" s="84">
        <f ca="1">IF(E89='Invoer gegevens'!$C$17+'Invoer gegevens'!$I$14,K88,(1-('Invoer gegevens'!$F$20/12))*F89*MIN(Reeksen!B21,Reeksen!D21))</f>
        <v>0</v>
      </c>
      <c r="I89" s="84">
        <f>IF(Reeksen!D21&lt;Reeksen!B21,(Reeksen!B21-Reeksen!D21)*F89,0)</f>
        <v>0</v>
      </c>
      <c r="J89" s="84">
        <f ca="1">IF(E89='Invoer gegevens'!$C$17+'Invoer gegevens'!$I$14+1,0,('Invoer gegevens'!$F$20/12)*F88*MIN(Reeksen!B20,Reeksen!D20))</f>
        <v>0</v>
      </c>
      <c r="K89" s="97">
        <f ca="1">IF(E89&gt;='Invoer gegevens'!$C$17+'Invoer gegevens'!$I$14,0,F89-G89)</f>
        <v>0</v>
      </c>
      <c r="L89" s="84">
        <f ca="1">IF('Invoer gegevens'!$C$17=E89,0,IF(C89=1,Q88,0))</f>
        <v>0</v>
      </c>
      <c r="M89" s="96">
        <f ca="1">IF(E89='Invoer gegevens'!$C$17+'Invoer gegevens'!$I$14,Q88,IF(C89&gt;=1,L89*VLOOKUP(E89,Reeksen!$A$5:$B$76,2),0))</f>
        <v>0</v>
      </c>
      <c r="N89" s="84">
        <f ca="1">IF(C89='Invoer gegevens'!$C$17+'Invoer gegevens'!$I$14,Q88,(1-('Invoer gegevens'!$F$20/12))*L89*MIN(Reeksen!B21,Reeksen!D21))</f>
        <v>0</v>
      </c>
      <c r="O89" s="84">
        <f>IF(Reeksen!D21&lt;Reeksen!B21,(Reeksen!B21-Reeksen!D21)*L89,0)</f>
        <v>0</v>
      </c>
      <c r="P89" s="84">
        <f ca="1">IF(E89='Invoer gegevens'!$C$17+'Invoer gegevens'!$I$14+1,0,('Invoer gegevens'!$F$20/12)*L88*MIN(Reeksen!B20,Reeksen!D20))</f>
        <v>0</v>
      </c>
      <c r="Q89" s="84">
        <f ca="1">IF(E89&gt;='Invoer gegevens'!$C$17+'Invoer gegevens'!$I$14,0,L89-M89+I89+O89)</f>
        <v>0</v>
      </c>
      <c r="R89" s="82">
        <f ca="1">IF('Invoer gegevens'!$C$17=E89,'Invoer gegevens'!$C$11,IF(C89=1,W88,0))</f>
        <v>0</v>
      </c>
      <c r="S89" s="86">
        <f ca="1">IF(E89='Invoer gegevens'!$C$17+'Invoer gegevens'!$I$14,W88,IF(C89&gt;=1,R89*VLOOKUP(E89,Reeksen!$A$5:$B$76,2),0))</f>
        <v>0</v>
      </c>
      <c r="T89" s="84">
        <f ca="1">IF(E89='Invoer gegevens'!$C$17+'Invoer gegevens'!$I$14,W88,(1-('Invoer gegevens'!$F$20/12))*R89*MIN(Reeksen!B21,Reeksen!D21))</f>
        <v>0</v>
      </c>
      <c r="U89" s="84">
        <f>IF(Reeksen!D21&gt;=Reeksen!B21,0,IF(Reeksen!AK21&lt;=Reeksen!AE21,(Reeksen!B21-Reeksen!D21)*R89,0))</f>
        <v>0</v>
      </c>
      <c r="V89" s="86">
        <f>IF(Reeksen!D21&gt;=Reeksen!B21,0,IF(Reeksen!AK21&gt;Reeksen!AE21,(Reeksen!B21-Reeksen!D21)*R89,0))</f>
        <v>0</v>
      </c>
      <c r="W89" s="97">
        <f ca="1">IF(E89&gt;='Invoer gegevens'!$C$17+'Invoer gegevens'!$I$14,0,R89-S89)</f>
        <v>0</v>
      </c>
      <c r="X89" s="98">
        <f ca="1">IF('Invoer gegevens'!$C$17=E89,'Invoer gegevens'!$C$10-'Invoer gegevens'!$C$11,IF(C89=1,AC88,0))</f>
        <v>0</v>
      </c>
      <c r="Y89" s="98">
        <f ca="1">IF(E89='Invoer gegevens'!$C$17+'Invoer gegevens'!$I$14,AC88,IF(C89&gt;=1,X89*VLOOKUP(E89,Reeksen!$A$5:$B$76,2),0))</f>
        <v>0</v>
      </c>
      <c r="Z89" s="98">
        <f ca="1">IF(E89='Invoer gegevens'!$C$17+'Invoer gegevens'!$I$14,AC88,(1-('Invoer gegevens'!$F$20/12))*X89*MIN(Reeksen!B21,Reeksen!D21))</f>
        <v>0</v>
      </c>
      <c r="AA89" s="98">
        <f>IF(Reeksen!D21&gt;=Reeksen!B21,0,IF(Reeksen!AK21&lt;=Reeksen!AE21,(Reeksen!B21-Reeksen!D21)*X89,0))</f>
        <v>0</v>
      </c>
      <c r="AB89" s="98">
        <f>IF(Reeksen!D21&gt;=Reeksen!B21,0,IF(Reeksen!AK21&gt;Reeksen!AE21,(Reeksen!B21-Reeksen!D21)*X89,0))</f>
        <v>0</v>
      </c>
      <c r="AC89" s="99">
        <f ca="1">IF(E89&gt;='Invoer gegevens'!$C$17+'Invoer gegevens'!$I$14,0,X89-Y89)</f>
        <v>0</v>
      </c>
      <c r="AD89" s="98">
        <f ca="1">IF('Invoer gegevens'!$C$17=E21,R89,IF(C21=0,0,AE88))</f>
        <v>0</v>
      </c>
      <c r="AE89" s="98">
        <f t="shared" ca="1" si="9"/>
        <v>0</v>
      </c>
      <c r="AF89" s="98">
        <f ca="1">IF('Invoer gegevens'!$C$17=E21,X89,IF(C21=0,0,AG88))</f>
        <v>0</v>
      </c>
      <c r="AG89" s="98">
        <f t="shared" ca="1" si="10"/>
        <v>0</v>
      </c>
      <c r="AH89" s="70"/>
      <c r="AI89" s="71">
        <f ca="1">IF(C89=1,((Reeksen!BF21*(F89-G89+F89)/2)+((L89-M89+L89)/2*Reeksen!BG21))*12,0)</f>
        <v>0</v>
      </c>
      <c r="AJ89" s="71">
        <f ca="1">-AI89*'Invoer gegevens'!$I$26</f>
        <v>0</v>
      </c>
      <c r="AK89" s="71">
        <f t="shared" ca="1" si="11"/>
        <v>0</v>
      </c>
      <c r="AL89" s="71">
        <f ca="1">IF(C89=1,Reeksen!AL21*((F89-G89+F89)/2)*12+Reeksen!AM21*((L89-M89+L89)/2)*12,0)</f>
        <v>0</v>
      </c>
      <c r="AM89" s="71">
        <f ca="1">-AL89*'Invoer gegevens'!$F$31</f>
        <v>0</v>
      </c>
      <c r="AN89" s="71">
        <f t="shared" ca="1" si="12"/>
        <v>0</v>
      </c>
      <c r="AO89" s="71">
        <f ca="1">IF(E89&gt;='Invoer gegevens'!$C$17+'Invoer gegevens'!$I$14,0,IF(C89=1,(H89+J89+N89+P89)*Reeksen!AN21,0))</f>
        <v>0</v>
      </c>
      <c r="AP89" s="71">
        <f ca="1">-IF(C89=1,(H89+J89+N89+P89)*Reeksen!AN20*'Hulp - basis'!$B$550,0)</f>
        <v>0</v>
      </c>
      <c r="AQ89" s="71">
        <f ca="1">-IF(C89=1,(F89+K89+L89+Q89)/2*'Invoer gegevens'!$I$33*Reeksen!J21,0)</f>
        <v>0</v>
      </c>
      <c r="AR89" s="71">
        <f ca="1">-IF(C89=1,(I89*'Invoer gegevens'!$I$34)*Reeksen!J21,0)</f>
        <v>0</v>
      </c>
      <c r="AS89" s="71">
        <f ca="1">-IF(C89=1,(F89+K89+L89+Q89)/2*'Invoer gegevens'!$I$35*Reeksen!L21,0)</f>
        <v>0</v>
      </c>
      <c r="AT89" s="71">
        <f ca="1">-IF(C89=1,IF(E89='Invoer gegevens'!$C$17,'Invoer gegevens'!$C$11,AD89)*Reeksen!S21*'Invoer gegevens'!$C$18*Reeksen!P21,0)</f>
        <v>0</v>
      </c>
      <c r="AU89" s="71">
        <f ca="1">-IF(C89=1,(F89+K89+L89+Q89)/2*'Invoer gegevens'!$I$36*Reeksen!H21,0)</f>
        <v>0</v>
      </c>
      <c r="AV89" s="71">
        <f t="shared" ca="1" si="13"/>
        <v>0</v>
      </c>
      <c r="AW89" s="72">
        <f ca="1">IFERROR(IF(E89='Invoer gegevens'!$C$17+'Invoer gegevens'!$I$14-1,'Invoer gegevens'!$I$13*K89*Reeksen!H21,0),0)</f>
        <v>0</v>
      </c>
      <c r="AX89" s="72">
        <f ca="1">IFERROR(IF(E89='Invoer gegevens'!$C$17,-'Invoer gegevens'!$C$10*('Invoer gegevens'!$C$30+'Invoer gegevens'!$C$31)*Reeksen!H21,0),0)</f>
        <v>0</v>
      </c>
      <c r="AY89" s="73">
        <f ca="1">IF('Invoer gegevens'!$C$34=E89,'Invoer gegevens'!$C$27*'Invoer gegevens'!$C$10*'Invoer gegevens'!$C$36*(IF('Invoer gegevens'!$C$35="ja",1,Reeksen!J21)),IF('Invoer gegevens'!$C$34+1=E89,'Invoer gegevens'!$C$27*'Invoer gegevens'!$C$10*'Invoer gegevens'!$C$37*(IF('Invoer gegevens'!$C$35="ja",1,Reeksen!J21)),0))+IF(AND(E89='Invoer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89" s="73">
        <f ca="1">AV89/(1+'Invoer gegevens'!$I$12)^($D89-('Invoer gegevens'!$C$17-'Invoer gegevens'!$C$16))/(1+'Invoer gegevens'!$C$39)^('Invoer gegevens'!$C$17-'Invoer gegevens'!$C$16)</f>
        <v>0</v>
      </c>
      <c r="BA89" s="73">
        <f ca="1">AW89/(1+'Invoer gegevens'!$I$12)^(E89-('Invoer gegevens'!$C$17-1))/(1+'Invoer gegevens'!$C$39)^('Invoer gegevens'!$C$17-'Invoer gegevens'!$C$16)</f>
        <v>0</v>
      </c>
      <c r="BB89" s="73">
        <f ca="1">AX89/(1+'Invoer gegevens'!$C$39)^('Invoer gegevens'!$C$17-'Invoer gegevens'!$C$16)</f>
        <v>0</v>
      </c>
      <c r="BC89" s="72">
        <f t="shared" ca="1" si="14"/>
        <v>0</v>
      </c>
      <c r="BD89" s="72">
        <f ca="1">IF(AND(E89='Invoer gegevens'!$C$16,'Invoer gegevens'!$C$34&lt;'Invoer gegevens'!$C$16),AY89,AY89/(1+'Invoer gegevens'!$C$39)^D89)</f>
        <v>0</v>
      </c>
      <c r="BE89" s="72">
        <f ca="1">IF(E89='Invoer gegevens'!$C$34,-'Invoer gegevens'!$I$38,0)</f>
        <v>0</v>
      </c>
      <c r="BF89" s="72">
        <f ca="1">IF(E89='Invoer gegevens'!$C$17,-'Invoer gegevens'!$C$19*$BC$134,0)</f>
        <v>0</v>
      </c>
      <c r="BG89" s="72">
        <f ca="1">AV89/(1+$BG$72)^($D89-('Invoer gegevens'!$C$17-'Invoer gegevens'!$C$16))/(1+'Invoer gegevens'!$C$39)^('Invoer gegevens'!$C$17-'Invoer gegevens'!$C$16)+AW89/(1+$BG$72)^(E89-('Invoer gegevens'!$C$17-1))/(1+'Invoer gegevens'!$C$39)^('Invoer gegevens'!$C$17-'Invoer gegevens'!$C$16)+AX89/(1+'Invoer gegevens'!$C$39)^('Invoer gegevens'!$C$17-'Invoer gegevens'!$C$16)+(-AY89/(1+'Invoer gegevens'!$C$39)^D89)+BE89+BF89</f>
        <v>0</v>
      </c>
    </row>
    <row r="90" spans="1:59" x14ac:dyDescent="0.25">
      <c r="A90" s="59"/>
      <c r="B90" s="70">
        <f t="shared" si="15"/>
        <v>18</v>
      </c>
      <c r="C90" s="67">
        <f ca="1">IF(AND(E90&gt;='Invoer gegevens'!$C$17,E90&lt;'Invoer gegevens'!$C$17+'Invoer gegevens'!$I$14),1,0)</f>
        <v>1</v>
      </c>
      <c r="D90" s="68">
        <f t="shared" si="16"/>
        <v>17.5</v>
      </c>
      <c r="E90" s="108">
        <f ca="1">IF('Invoer gegevens'!$C$16="","",E89+1)</f>
        <v>2036</v>
      </c>
      <c r="F90" s="84">
        <f ca="1">IF('Invoer gegevens'!$C$17=E90,'Invoer gegevens'!$C$10,IF(C90=1,K89,0))</f>
        <v>0</v>
      </c>
      <c r="G90" s="96">
        <f ca="1">IF(E90='Invoer gegevens'!$C$17+'Invoer gegevens'!$I$14,K89,IF(C90&gt;=1,F90*VLOOKUP(E90,Reeksen!$A$5:$B$76,2),0))</f>
        <v>0</v>
      </c>
      <c r="H90" s="84">
        <f ca="1">IF(E90='Invoer gegevens'!$C$17+'Invoer gegevens'!$I$14,K89,(1-('Invoer gegevens'!$F$20/12))*F90*MIN(Reeksen!B22,Reeksen!D22))</f>
        <v>0</v>
      </c>
      <c r="I90" s="84">
        <f>IF(Reeksen!D22&lt;Reeksen!B22,(Reeksen!B22-Reeksen!D22)*F90,0)</f>
        <v>0</v>
      </c>
      <c r="J90" s="84">
        <f ca="1">IF(E90='Invoer gegevens'!$C$17+'Invoer gegevens'!$I$14+1,0,('Invoer gegevens'!$F$20/12)*F89*MIN(Reeksen!B21,Reeksen!D21))</f>
        <v>0</v>
      </c>
      <c r="K90" s="97">
        <f ca="1">IF(E90&gt;='Invoer gegevens'!$C$17+'Invoer gegevens'!$I$14,0,F90-G90)</f>
        <v>0</v>
      </c>
      <c r="L90" s="84">
        <f ca="1">IF('Invoer gegevens'!$C$17=E90,0,IF(C90=1,Q89,0))</f>
        <v>0</v>
      </c>
      <c r="M90" s="96">
        <f ca="1">IF(E90='Invoer gegevens'!$C$17+'Invoer gegevens'!$I$14,Q89,IF(C90&gt;=1,L90*VLOOKUP(E90,Reeksen!$A$5:$B$76,2),0))</f>
        <v>0</v>
      </c>
      <c r="N90" s="84">
        <f ca="1">IF(C90='Invoer gegevens'!$C$17+'Invoer gegevens'!$I$14,Q89,(1-('Invoer gegevens'!$F$20/12))*L90*MIN(Reeksen!B22,Reeksen!D22))</f>
        <v>0</v>
      </c>
      <c r="O90" s="84">
        <f>IF(Reeksen!D22&lt;Reeksen!B22,(Reeksen!B22-Reeksen!D22)*L90,0)</f>
        <v>0</v>
      </c>
      <c r="P90" s="84">
        <f ca="1">IF(E90='Invoer gegevens'!$C$17+'Invoer gegevens'!$I$14+1,0,('Invoer gegevens'!$F$20/12)*L89*MIN(Reeksen!B21,Reeksen!D21))</f>
        <v>0</v>
      </c>
      <c r="Q90" s="84">
        <f ca="1">IF(E90&gt;='Invoer gegevens'!$C$17+'Invoer gegevens'!$I$14,0,L90-M90+I90+O90)</f>
        <v>0</v>
      </c>
      <c r="R90" s="82">
        <f ca="1">IF('Invoer gegevens'!$C$17=E90,'Invoer gegevens'!$C$11,IF(C90=1,W89,0))</f>
        <v>0</v>
      </c>
      <c r="S90" s="86">
        <f ca="1">IF(E90='Invoer gegevens'!$C$17+'Invoer gegevens'!$I$14,W89,IF(C90&gt;=1,R90*VLOOKUP(E90,Reeksen!$A$5:$B$76,2),0))</f>
        <v>0</v>
      </c>
      <c r="T90" s="84">
        <f ca="1">IF(E90='Invoer gegevens'!$C$17+'Invoer gegevens'!$I$14,W89,(1-('Invoer gegevens'!$F$20/12))*R90*MIN(Reeksen!B22,Reeksen!D22))</f>
        <v>0</v>
      </c>
      <c r="U90" s="84">
        <f>IF(Reeksen!D22&gt;=Reeksen!B22,0,IF(Reeksen!AK22&lt;=Reeksen!AE22,(Reeksen!B22-Reeksen!D22)*R90,0))</f>
        <v>0</v>
      </c>
      <c r="V90" s="86">
        <f>IF(Reeksen!D22&gt;=Reeksen!B22,0,IF(Reeksen!AK22&gt;Reeksen!AE22,(Reeksen!B22-Reeksen!D22)*R90,0))</f>
        <v>0</v>
      </c>
      <c r="W90" s="97">
        <f ca="1">IF(E90&gt;='Invoer gegevens'!$C$17+'Invoer gegevens'!$I$14,0,R90-S90)</f>
        <v>0</v>
      </c>
      <c r="X90" s="98">
        <f ca="1">IF('Invoer gegevens'!$C$17=E90,'Invoer gegevens'!$C$10-'Invoer gegevens'!$C$11,IF(C90=1,AC89,0))</f>
        <v>0</v>
      </c>
      <c r="Y90" s="98">
        <f ca="1">IF(E90='Invoer gegevens'!$C$17+'Invoer gegevens'!$I$14,AC89,IF(C90&gt;=1,X90*VLOOKUP(E90,Reeksen!$A$5:$B$76,2),0))</f>
        <v>0</v>
      </c>
      <c r="Z90" s="98">
        <f ca="1">IF(E90='Invoer gegevens'!$C$17+'Invoer gegevens'!$I$14,AC89,(1-('Invoer gegevens'!$F$20/12))*X90*MIN(Reeksen!B22,Reeksen!D22))</f>
        <v>0</v>
      </c>
      <c r="AA90" s="98">
        <f>IF(Reeksen!D22&gt;=Reeksen!B22,0,IF(Reeksen!AK22&lt;=Reeksen!AE22,(Reeksen!B22-Reeksen!D22)*X90,0))</f>
        <v>0</v>
      </c>
      <c r="AB90" s="98">
        <f>IF(Reeksen!D22&gt;=Reeksen!B22,0,IF(Reeksen!AK22&gt;Reeksen!AE22,(Reeksen!B22-Reeksen!D22)*X90,0))</f>
        <v>0</v>
      </c>
      <c r="AC90" s="99">
        <f ca="1">IF(E90&gt;='Invoer gegevens'!$C$17+'Invoer gegevens'!$I$14,0,X90-Y90)</f>
        <v>0</v>
      </c>
      <c r="AD90" s="98">
        <f ca="1">IF('Invoer gegevens'!$C$17=E22,R90,IF(C22=0,0,AE89))</f>
        <v>0</v>
      </c>
      <c r="AE90" s="98">
        <f t="shared" ca="1" si="9"/>
        <v>0</v>
      </c>
      <c r="AF90" s="98">
        <f ca="1">IF('Invoer gegevens'!$C$17=E22,X90,IF(C22=0,0,AG89))</f>
        <v>0</v>
      </c>
      <c r="AG90" s="98">
        <f t="shared" ca="1" si="10"/>
        <v>0</v>
      </c>
      <c r="AH90" s="70"/>
      <c r="AI90" s="71">
        <f ca="1">IF(C90=1,((Reeksen!BF22*(F90-G90+F90)/2)+((L90-M90+L90)/2*Reeksen!BG22))*12,0)</f>
        <v>0</v>
      </c>
      <c r="AJ90" s="71">
        <f ca="1">-AI90*'Invoer gegevens'!$I$26</f>
        <v>0</v>
      </c>
      <c r="AK90" s="71">
        <f t="shared" ca="1" si="11"/>
        <v>0</v>
      </c>
      <c r="AL90" s="71">
        <f ca="1">IF(C90=1,Reeksen!AL22*((F90-G90+F90)/2)*12+Reeksen!AM22*((L90-M90+L90)/2)*12,0)</f>
        <v>0</v>
      </c>
      <c r="AM90" s="71">
        <f ca="1">-AL90*'Invoer gegevens'!$F$31</f>
        <v>0</v>
      </c>
      <c r="AN90" s="71">
        <f t="shared" ca="1" si="12"/>
        <v>0</v>
      </c>
      <c r="AO90" s="71">
        <f ca="1">IF(E90&gt;='Invoer gegevens'!$C$17+'Invoer gegevens'!$I$14,0,IF(C90=1,(H90+J90+N90+P90)*Reeksen!AN22,0))</f>
        <v>0</v>
      </c>
      <c r="AP90" s="71">
        <f ca="1">-IF(C90=1,(H90+J90+N90+P90)*Reeksen!AN21*'Hulp - basis'!$B$550,0)</f>
        <v>0</v>
      </c>
      <c r="AQ90" s="71">
        <f ca="1">-IF(C90=1,(F90+K90+L90+Q90)/2*'Invoer gegevens'!$I$33*Reeksen!J22,0)</f>
        <v>0</v>
      </c>
      <c r="AR90" s="71">
        <f ca="1">-IF(C90=1,(I90*'Invoer gegevens'!$I$34)*Reeksen!J22,0)</f>
        <v>0</v>
      </c>
      <c r="AS90" s="71">
        <f ca="1">-IF(C90=1,(F90+K90+L90+Q90)/2*'Invoer gegevens'!$I$35*Reeksen!L22,0)</f>
        <v>0</v>
      </c>
      <c r="AT90" s="71">
        <f ca="1">-IF(C90=1,IF(E90='Invoer gegevens'!$C$17,'Invoer gegevens'!$C$11,AD90)*Reeksen!S22*'Invoer gegevens'!$C$18*Reeksen!P22,0)</f>
        <v>0</v>
      </c>
      <c r="AU90" s="71">
        <f ca="1">-IF(C90=1,(F90+K90+L90+Q90)/2*'Invoer gegevens'!$I$36*Reeksen!H22,0)</f>
        <v>0</v>
      </c>
      <c r="AV90" s="71">
        <f t="shared" ca="1" si="13"/>
        <v>0</v>
      </c>
      <c r="AW90" s="72">
        <f ca="1">IFERROR(IF(E90='Invoer gegevens'!$C$17+'Invoer gegevens'!$I$14-1,'Invoer gegevens'!$I$13*K90*Reeksen!H22,0),0)</f>
        <v>0</v>
      </c>
      <c r="AX90" s="72">
        <f ca="1">IFERROR(IF(E90='Invoer gegevens'!$C$17,-'Invoer gegevens'!$C$10*('Invoer gegevens'!$C$30+'Invoer gegevens'!$C$31)*Reeksen!H22,0),0)</f>
        <v>0</v>
      </c>
      <c r="AY90" s="73">
        <f ca="1">IF('Invoer gegevens'!$C$34=E90,'Invoer gegevens'!$C$27*'Invoer gegevens'!$C$10*'Invoer gegevens'!$C$36*(IF('Invoer gegevens'!$C$35="ja",1,Reeksen!J22)),IF('Invoer gegevens'!$C$34+1=E90,'Invoer gegevens'!$C$27*'Invoer gegevens'!$C$10*'Invoer gegevens'!$C$37*(IF('Invoer gegevens'!$C$35="ja",1,Reeksen!J22)),0))+IF(AND(E90='Invoer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0" s="73">
        <f ca="1">AV90/(1+'Invoer gegevens'!$I$12)^($D90-('Invoer gegevens'!$C$17-'Invoer gegevens'!$C$16))/(1+'Invoer gegevens'!$C$39)^('Invoer gegevens'!$C$17-'Invoer gegevens'!$C$16)</f>
        <v>0</v>
      </c>
      <c r="BA90" s="73">
        <f ca="1">AW90/(1+'Invoer gegevens'!$I$12)^(E90-('Invoer gegevens'!$C$17-1))/(1+'Invoer gegevens'!$C$39)^('Invoer gegevens'!$C$17-'Invoer gegevens'!$C$16)</f>
        <v>0</v>
      </c>
      <c r="BB90" s="73">
        <f ca="1">AX90/(1+'Invoer gegevens'!$C$39)^('Invoer gegevens'!$C$17-'Invoer gegevens'!$C$16)</f>
        <v>0</v>
      </c>
      <c r="BC90" s="72">
        <f t="shared" ca="1" si="14"/>
        <v>0</v>
      </c>
      <c r="BD90" s="72">
        <f ca="1">IF(AND(E90='Invoer gegevens'!$C$16,'Invoer gegevens'!$C$34&lt;'Invoer gegevens'!$C$16),AY90,AY90/(1+'Invoer gegevens'!$C$39)^D90)</f>
        <v>0</v>
      </c>
      <c r="BE90" s="72">
        <f ca="1">IF(E90='Invoer gegevens'!$C$34,-'Invoer gegevens'!$I$38,0)</f>
        <v>0</v>
      </c>
      <c r="BF90" s="72">
        <f ca="1">IF(E90='Invoer gegevens'!$C$17,-'Invoer gegevens'!$C$19*$BC$134,0)</f>
        <v>0</v>
      </c>
      <c r="BG90" s="72">
        <f ca="1">AV90/(1+$BG$72)^($D90-('Invoer gegevens'!$C$17-'Invoer gegevens'!$C$16))/(1+'Invoer gegevens'!$C$39)^('Invoer gegevens'!$C$17-'Invoer gegevens'!$C$16)+AW90/(1+$BG$72)^(E90-('Invoer gegevens'!$C$17-1))/(1+'Invoer gegevens'!$C$39)^('Invoer gegevens'!$C$17-'Invoer gegevens'!$C$16)+AX90/(1+'Invoer gegevens'!$C$39)^('Invoer gegevens'!$C$17-'Invoer gegevens'!$C$16)+(-AY90/(1+'Invoer gegevens'!$C$39)^D90)+BE90+BF90</f>
        <v>0</v>
      </c>
    </row>
    <row r="91" spans="1:59" x14ac:dyDescent="0.25">
      <c r="A91" s="59"/>
      <c r="B91" s="70">
        <f t="shared" si="15"/>
        <v>19</v>
      </c>
      <c r="C91" s="67">
        <f ca="1">IF(AND(E91&gt;='Invoer gegevens'!$C$17,E91&lt;'Invoer gegevens'!$C$17+'Invoer gegevens'!$I$14),1,0)</f>
        <v>1</v>
      </c>
      <c r="D91" s="68">
        <f t="shared" si="16"/>
        <v>18.5</v>
      </c>
      <c r="E91" s="108">
        <f ca="1">IF('Invoer gegevens'!$C$16="","",E90+1)</f>
        <v>2037</v>
      </c>
      <c r="F91" s="84">
        <f ca="1">IF('Invoer gegevens'!$C$17=E91,'Invoer gegevens'!$C$10,IF(C91=1,K90,0))</f>
        <v>0</v>
      </c>
      <c r="G91" s="96">
        <f ca="1">IF(E91='Invoer gegevens'!$C$17+'Invoer gegevens'!$I$14,K90,IF(C91&gt;=1,F91*VLOOKUP(E91,Reeksen!$A$5:$B$76,2),0))</f>
        <v>0</v>
      </c>
      <c r="H91" s="84">
        <f ca="1">IF(E91='Invoer gegevens'!$C$17+'Invoer gegevens'!$I$14,K90,(1-('Invoer gegevens'!$F$20/12))*F91*MIN(Reeksen!B23,Reeksen!D23))</f>
        <v>0</v>
      </c>
      <c r="I91" s="84">
        <f>IF(Reeksen!D23&lt;Reeksen!B23,(Reeksen!B23-Reeksen!D23)*F91,0)</f>
        <v>0</v>
      </c>
      <c r="J91" s="84">
        <f ca="1">IF(E91='Invoer gegevens'!$C$17+'Invoer gegevens'!$I$14+1,0,('Invoer gegevens'!$F$20/12)*F90*MIN(Reeksen!B22,Reeksen!D22))</f>
        <v>0</v>
      </c>
      <c r="K91" s="97">
        <f ca="1">IF(E91&gt;='Invoer gegevens'!$C$17+'Invoer gegevens'!$I$14,0,F91-G91)</f>
        <v>0</v>
      </c>
      <c r="L91" s="84">
        <f ca="1">IF('Invoer gegevens'!$C$17=E91,0,IF(C91=1,Q90,0))</f>
        <v>0</v>
      </c>
      <c r="M91" s="96">
        <f ca="1">IF(E91='Invoer gegevens'!$C$17+'Invoer gegevens'!$I$14,Q90,IF(C91&gt;=1,L91*VLOOKUP(E91,Reeksen!$A$5:$B$76,2),0))</f>
        <v>0</v>
      </c>
      <c r="N91" s="84">
        <f ca="1">IF(C91='Invoer gegevens'!$C$17+'Invoer gegevens'!$I$14,Q90,(1-('Invoer gegevens'!$F$20/12))*L91*MIN(Reeksen!B23,Reeksen!D23))</f>
        <v>0</v>
      </c>
      <c r="O91" s="84">
        <f>IF(Reeksen!D23&lt;Reeksen!B23,(Reeksen!B23-Reeksen!D23)*L91,0)</f>
        <v>0</v>
      </c>
      <c r="P91" s="84">
        <f ca="1">IF(E91='Invoer gegevens'!$C$17+'Invoer gegevens'!$I$14+1,0,('Invoer gegevens'!$F$20/12)*L90*MIN(Reeksen!B22,Reeksen!D22))</f>
        <v>0</v>
      </c>
      <c r="Q91" s="84">
        <f ca="1">IF(E91&gt;='Invoer gegevens'!$C$17+'Invoer gegevens'!$I$14,0,L91-M91+I91+O91)</f>
        <v>0</v>
      </c>
      <c r="R91" s="82">
        <f ca="1">IF('Invoer gegevens'!$C$17=E91,'Invoer gegevens'!$C$11,IF(C91=1,W90,0))</f>
        <v>0</v>
      </c>
      <c r="S91" s="86">
        <f ca="1">IF(E91='Invoer gegevens'!$C$17+'Invoer gegevens'!$I$14,W90,IF(C91&gt;=1,R91*VLOOKUP(E91,Reeksen!$A$5:$B$76,2),0))</f>
        <v>0</v>
      </c>
      <c r="T91" s="84">
        <f ca="1">IF(E91='Invoer gegevens'!$C$17+'Invoer gegevens'!$I$14,W90,(1-('Invoer gegevens'!$F$20/12))*R91*MIN(Reeksen!B23,Reeksen!D23))</f>
        <v>0</v>
      </c>
      <c r="U91" s="84">
        <f>IF(Reeksen!D23&gt;=Reeksen!B23,0,IF(Reeksen!AK23&lt;=Reeksen!AE23,(Reeksen!B23-Reeksen!D23)*R91,0))</f>
        <v>0</v>
      </c>
      <c r="V91" s="86">
        <f>IF(Reeksen!D23&gt;=Reeksen!B23,0,IF(Reeksen!AK23&gt;Reeksen!AE23,(Reeksen!B23-Reeksen!D23)*R91,0))</f>
        <v>0</v>
      </c>
      <c r="W91" s="97">
        <f ca="1">IF(E91&gt;='Invoer gegevens'!$C$17+'Invoer gegevens'!$I$14,0,R91-S91)</f>
        <v>0</v>
      </c>
      <c r="X91" s="98">
        <f ca="1">IF('Invoer gegevens'!$C$17=E91,'Invoer gegevens'!$C$10-'Invoer gegevens'!$C$11,IF(C91=1,AC90,0))</f>
        <v>0</v>
      </c>
      <c r="Y91" s="98">
        <f ca="1">IF(E91='Invoer gegevens'!$C$17+'Invoer gegevens'!$I$14,AC90,IF(C91&gt;=1,X91*VLOOKUP(E91,Reeksen!$A$5:$B$76,2),0))</f>
        <v>0</v>
      </c>
      <c r="Z91" s="98">
        <f ca="1">IF(E91='Invoer gegevens'!$C$17+'Invoer gegevens'!$I$14,AC90,(1-('Invoer gegevens'!$F$20/12))*X91*MIN(Reeksen!B23,Reeksen!D23))</f>
        <v>0</v>
      </c>
      <c r="AA91" s="98">
        <f>IF(Reeksen!D23&gt;=Reeksen!B23,0,IF(Reeksen!AK23&lt;=Reeksen!AE23,(Reeksen!B23-Reeksen!D23)*X91,0))</f>
        <v>0</v>
      </c>
      <c r="AB91" s="98">
        <f>IF(Reeksen!D23&gt;=Reeksen!B23,0,IF(Reeksen!AK23&gt;Reeksen!AE23,(Reeksen!B23-Reeksen!D23)*X91,0))</f>
        <v>0</v>
      </c>
      <c r="AC91" s="99">
        <f ca="1">IF(E91&gt;='Invoer gegevens'!$C$17+'Invoer gegevens'!$I$14,0,X91-Y91)</f>
        <v>0</v>
      </c>
      <c r="AD91" s="98">
        <f ca="1">IF('Invoer gegevens'!$C$17=E23,R91,IF(C23=0,0,AE90))</f>
        <v>0</v>
      </c>
      <c r="AE91" s="98">
        <f t="shared" ca="1" si="9"/>
        <v>0</v>
      </c>
      <c r="AF91" s="98">
        <f ca="1">IF('Invoer gegevens'!$C$17=E23,X91,IF(C23=0,0,AG90))</f>
        <v>0</v>
      </c>
      <c r="AG91" s="98">
        <f t="shared" ca="1" si="10"/>
        <v>0</v>
      </c>
      <c r="AH91" s="70"/>
      <c r="AI91" s="71">
        <f ca="1">IF(C91=1,((Reeksen!BF23*(F91-G91+F91)/2)+((L91-M91+L91)/2*Reeksen!BG23))*12,0)</f>
        <v>0</v>
      </c>
      <c r="AJ91" s="71">
        <f ca="1">-AI91*'Invoer gegevens'!$I$26</f>
        <v>0</v>
      </c>
      <c r="AK91" s="71">
        <f t="shared" ca="1" si="11"/>
        <v>0</v>
      </c>
      <c r="AL91" s="71">
        <f ca="1">IF(C91=1,Reeksen!AL23*((F91-G91+F91)/2)*12+Reeksen!AM23*((L91-M91+L91)/2)*12,0)</f>
        <v>0</v>
      </c>
      <c r="AM91" s="71">
        <f ca="1">-AL91*'Invoer gegevens'!$F$31</f>
        <v>0</v>
      </c>
      <c r="AN91" s="71">
        <f t="shared" ca="1" si="12"/>
        <v>0</v>
      </c>
      <c r="AO91" s="71">
        <f ca="1">IF(E91&gt;='Invoer gegevens'!$C$17+'Invoer gegevens'!$I$14,0,IF(C91=1,(H91+J91+N91+P91)*Reeksen!AN23,0))</f>
        <v>0</v>
      </c>
      <c r="AP91" s="71">
        <f ca="1">-IF(C91=1,(H91+J91+N91+P91)*Reeksen!AN22*'Hulp - basis'!$B$550,0)</f>
        <v>0</v>
      </c>
      <c r="AQ91" s="71">
        <f ca="1">-IF(C91=1,(F91+K91+L91+Q91)/2*'Invoer gegevens'!$I$33*Reeksen!J23,0)</f>
        <v>0</v>
      </c>
      <c r="AR91" s="71">
        <f ca="1">-IF(C91=1,(I91*'Invoer gegevens'!$I$34)*Reeksen!J23,0)</f>
        <v>0</v>
      </c>
      <c r="AS91" s="71">
        <f ca="1">-IF(C91=1,(F91+K91+L91+Q91)/2*'Invoer gegevens'!$I$35*Reeksen!L23,0)</f>
        <v>0</v>
      </c>
      <c r="AT91" s="71">
        <f ca="1">-IF(C91=1,IF(E91='Invoer gegevens'!$C$17,'Invoer gegevens'!$C$11,AD91)*Reeksen!S23*'Invoer gegevens'!$C$18*Reeksen!P23,0)</f>
        <v>0</v>
      </c>
      <c r="AU91" s="71">
        <f ca="1">-IF(C91=1,(F91+K91+L91+Q91)/2*'Invoer gegevens'!$I$36*Reeksen!H23,0)</f>
        <v>0</v>
      </c>
      <c r="AV91" s="71">
        <f t="shared" ca="1" si="13"/>
        <v>0</v>
      </c>
      <c r="AW91" s="72">
        <f ca="1">IFERROR(IF(E91='Invoer gegevens'!$C$17+'Invoer gegevens'!$I$14-1,'Invoer gegevens'!$I$13*K91*Reeksen!H23,0),0)</f>
        <v>0</v>
      </c>
      <c r="AX91" s="72">
        <f ca="1">IFERROR(IF(E91='Invoer gegevens'!$C$17,-'Invoer gegevens'!$C$10*('Invoer gegevens'!$C$30+'Invoer gegevens'!$C$31)*Reeksen!H23,0),0)</f>
        <v>0</v>
      </c>
      <c r="AY91" s="73">
        <f ca="1">IF('Invoer gegevens'!$C$34=E91,'Invoer gegevens'!$C$27*'Invoer gegevens'!$C$10*'Invoer gegevens'!$C$36*(IF('Invoer gegevens'!$C$35="ja",1,Reeksen!J23)),IF('Invoer gegevens'!$C$34+1=E91,'Invoer gegevens'!$C$27*'Invoer gegevens'!$C$10*'Invoer gegevens'!$C$37*(IF('Invoer gegevens'!$C$35="ja",1,Reeksen!J23)),0))+IF(AND(E91='Invoer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1" s="73">
        <f ca="1">AV91/(1+'Invoer gegevens'!$I$12)^($D91-('Invoer gegevens'!$C$17-'Invoer gegevens'!$C$16))/(1+'Invoer gegevens'!$C$39)^('Invoer gegevens'!$C$17-'Invoer gegevens'!$C$16)</f>
        <v>0</v>
      </c>
      <c r="BA91" s="73">
        <f ca="1">AW91/(1+'Invoer gegevens'!$I$12)^(E91-('Invoer gegevens'!$C$17-1))/(1+'Invoer gegevens'!$C$39)^('Invoer gegevens'!$C$17-'Invoer gegevens'!$C$16)</f>
        <v>0</v>
      </c>
      <c r="BB91" s="73">
        <f ca="1">AX91/(1+'Invoer gegevens'!$C$39)^('Invoer gegevens'!$C$17-'Invoer gegevens'!$C$16)</f>
        <v>0</v>
      </c>
      <c r="BC91" s="72">
        <f t="shared" ca="1" si="14"/>
        <v>0</v>
      </c>
      <c r="BD91" s="72">
        <f ca="1">IF(AND(E91='Invoer gegevens'!$C$16,'Invoer gegevens'!$C$34&lt;'Invoer gegevens'!$C$16),AY91,AY91/(1+'Invoer gegevens'!$C$39)^D91)</f>
        <v>0</v>
      </c>
      <c r="BE91" s="72">
        <f ca="1">IF(E91='Invoer gegevens'!$C$34,-'Invoer gegevens'!$I$38,0)</f>
        <v>0</v>
      </c>
      <c r="BF91" s="72">
        <f ca="1">IF(E91='Invoer gegevens'!$C$17,-'Invoer gegevens'!$C$19*$BC$134,0)</f>
        <v>0</v>
      </c>
      <c r="BG91" s="72">
        <f ca="1">AV91/(1+$BG$72)^($D91-('Invoer gegevens'!$C$17-'Invoer gegevens'!$C$16))/(1+'Invoer gegevens'!$C$39)^('Invoer gegevens'!$C$17-'Invoer gegevens'!$C$16)+AW91/(1+$BG$72)^(E91-('Invoer gegevens'!$C$17-1))/(1+'Invoer gegevens'!$C$39)^('Invoer gegevens'!$C$17-'Invoer gegevens'!$C$16)+AX91/(1+'Invoer gegevens'!$C$39)^('Invoer gegevens'!$C$17-'Invoer gegevens'!$C$16)+(-AY91/(1+'Invoer gegevens'!$C$39)^D91)+BE91+BF91</f>
        <v>0</v>
      </c>
    </row>
    <row r="92" spans="1:59" x14ac:dyDescent="0.25">
      <c r="A92" s="59"/>
      <c r="B92" s="70">
        <f t="shared" si="15"/>
        <v>20</v>
      </c>
      <c r="C92" s="67">
        <f ca="1">IF(AND(E92&gt;='Invoer gegevens'!$C$17,E92&lt;'Invoer gegevens'!$C$17+'Invoer gegevens'!$I$14),1,0)</f>
        <v>1</v>
      </c>
      <c r="D92" s="68">
        <f t="shared" si="16"/>
        <v>19.5</v>
      </c>
      <c r="E92" s="108">
        <f ca="1">IF('Invoer gegevens'!$C$16="","",E91+1)</f>
        <v>2038</v>
      </c>
      <c r="F92" s="84">
        <f ca="1">IF('Invoer gegevens'!$C$17=E92,'Invoer gegevens'!$C$10,IF(C92=1,K91,0))</f>
        <v>0</v>
      </c>
      <c r="G92" s="96">
        <f ca="1">IF(E92='Invoer gegevens'!$C$17+'Invoer gegevens'!$I$14,K91,IF(C92&gt;=1,F92*VLOOKUP(E92,Reeksen!$A$5:$B$76,2),0))</f>
        <v>0</v>
      </c>
      <c r="H92" s="84">
        <f ca="1">IF(E92='Invoer gegevens'!$C$17+'Invoer gegevens'!$I$14,K91,(1-('Invoer gegevens'!$F$20/12))*F92*MIN(Reeksen!B24,Reeksen!D24))</f>
        <v>0</v>
      </c>
      <c r="I92" s="84">
        <f>IF(Reeksen!D24&lt;Reeksen!B24,(Reeksen!B24-Reeksen!D24)*F92,0)</f>
        <v>0</v>
      </c>
      <c r="J92" s="84">
        <f ca="1">IF(E92='Invoer gegevens'!$C$17+'Invoer gegevens'!$I$14+1,0,('Invoer gegevens'!$F$20/12)*F91*MIN(Reeksen!B23,Reeksen!D23))</f>
        <v>0</v>
      </c>
      <c r="K92" s="97">
        <f ca="1">IF(E92&gt;='Invoer gegevens'!$C$17+'Invoer gegevens'!$I$14,0,F92-G92)</f>
        <v>0</v>
      </c>
      <c r="L92" s="84">
        <f ca="1">IF('Invoer gegevens'!$C$17=E92,0,IF(C92=1,Q91,0))</f>
        <v>0</v>
      </c>
      <c r="M92" s="96">
        <f ca="1">IF(E92='Invoer gegevens'!$C$17+'Invoer gegevens'!$I$14,Q91,IF(C92&gt;=1,L92*VLOOKUP(E92,Reeksen!$A$5:$B$76,2),0))</f>
        <v>0</v>
      </c>
      <c r="N92" s="84">
        <f ca="1">IF(C92='Invoer gegevens'!$C$17+'Invoer gegevens'!$I$14,Q91,(1-('Invoer gegevens'!$F$20/12))*L92*MIN(Reeksen!B24,Reeksen!D24))</f>
        <v>0</v>
      </c>
      <c r="O92" s="84">
        <f>IF(Reeksen!D24&lt;Reeksen!B24,(Reeksen!B24-Reeksen!D24)*L92,0)</f>
        <v>0</v>
      </c>
      <c r="P92" s="84">
        <f ca="1">IF(E92='Invoer gegevens'!$C$17+'Invoer gegevens'!$I$14+1,0,('Invoer gegevens'!$F$20/12)*L91*MIN(Reeksen!B23,Reeksen!D23))</f>
        <v>0</v>
      </c>
      <c r="Q92" s="84">
        <f ca="1">IF(E92&gt;='Invoer gegevens'!$C$17+'Invoer gegevens'!$I$14,0,L92-M92+I92+O92)</f>
        <v>0</v>
      </c>
      <c r="R92" s="82">
        <f ca="1">IF('Invoer gegevens'!$C$17=E92,'Invoer gegevens'!$C$11,IF(C92=1,W91,0))</f>
        <v>0</v>
      </c>
      <c r="S92" s="86">
        <f ca="1">IF(E92='Invoer gegevens'!$C$17+'Invoer gegevens'!$I$14,W91,IF(C92&gt;=1,R92*VLOOKUP(E92,Reeksen!$A$5:$B$76,2),0))</f>
        <v>0</v>
      </c>
      <c r="T92" s="84">
        <f ca="1">IF(E92='Invoer gegevens'!$C$17+'Invoer gegevens'!$I$14,W91,(1-('Invoer gegevens'!$F$20/12))*R92*MIN(Reeksen!B24,Reeksen!D24))</f>
        <v>0</v>
      </c>
      <c r="U92" s="84">
        <f>IF(Reeksen!D24&gt;=Reeksen!B24,0,IF(Reeksen!AK24&lt;=Reeksen!AE24,(Reeksen!B24-Reeksen!D24)*R92,0))</f>
        <v>0</v>
      </c>
      <c r="V92" s="86">
        <f>IF(Reeksen!D24&gt;=Reeksen!B24,0,IF(Reeksen!AK24&gt;Reeksen!AE24,(Reeksen!B24-Reeksen!D24)*R92,0))</f>
        <v>0</v>
      </c>
      <c r="W92" s="97">
        <f ca="1">IF(E92&gt;='Invoer gegevens'!$C$17+'Invoer gegevens'!$I$14,0,R92-S92)</f>
        <v>0</v>
      </c>
      <c r="X92" s="98">
        <f ca="1">IF('Invoer gegevens'!$C$17=E92,'Invoer gegevens'!$C$10-'Invoer gegevens'!$C$11,IF(C92=1,AC91,0))</f>
        <v>0</v>
      </c>
      <c r="Y92" s="98">
        <f ca="1">IF(E92='Invoer gegevens'!$C$17+'Invoer gegevens'!$I$14,AC91,IF(C92&gt;=1,X92*VLOOKUP(E92,Reeksen!$A$5:$B$76,2),0))</f>
        <v>0</v>
      </c>
      <c r="Z92" s="98">
        <f ca="1">IF(E92='Invoer gegevens'!$C$17+'Invoer gegevens'!$I$14,AC91,(1-('Invoer gegevens'!$F$20/12))*X92*MIN(Reeksen!B24,Reeksen!D24))</f>
        <v>0</v>
      </c>
      <c r="AA92" s="98">
        <f>IF(Reeksen!D24&gt;=Reeksen!B24,0,IF(Reeksen!AK24&lt;=Reeksen!AE24,(Reeksen!B24-Reeksen!D24)*X92,0))</f>
        <v>0</v>
      </c>
      <c r="AB92" s="98">
        <f>IF(Reeksen!D24&gt;=Reeksen!B24,0,IF(Reeksen!AK24&gt;Reeksen!AE24,(Reeksen!B24-Reeksen!D24)*X92,0))</f>
        <v>0</v>
      </c>
      <c r="AC92" s="99">
        <f ca="1">IF(E92&gt;='Invoer gegevens'!$C$17+'Invoer gegevens'!$I$14,0,X92-Y92)</f>
        <v>0</v>
      </c>
      <c r="AD92" s="98">
        <f ca="1">IF('Invoer gegevens'!$C$17=E24,R92,IF(C24=0,0,AE91))</f>
        <v>0</v>
      </c>
      <c r="AE92" s="98">
        <f t="shared" ca="1" si="9"/>
        <v>0</v>
      </c>
      <c r="AF92" s="98">
        <f ca="1">IF('Invoer gegevens'!$C$17=E24,X92,IF(C24=0,0,AG91))</f>
        <v>0</v>
      </c>
      <c r="AG92" s="98">
        <f t="shared" ca="1" si="10"/>
        <v>0</v>
      </c>
      <c r="AH92" s="70"/>
      <c r="AI92" s="71">
        <f ca="1">IF(C92=1,((Reeksen!BF24*(F92-G92+F92)/2)+((L92-M92+L92)/2*Reeksen!BG24))*12,0)</f>
        <v>0</v>
      </c>
      <c r="AJ92" s="71">
        <f ca="1">-AI92*'Invoer gegevens'!$I$26</f>
        <v>0</v>
      </c>
      <c r="AK92" s="71">
        <f t="shared" ca="1" si="11"/>
        <v>0</v>
      </c>
      <c r="AL92" s="71">
        <f ca="1">IF(C92=1,Reeksen!AL24*((F92-G92+F92)/2)*12+Reeksen!AM24*((L92-M92+L92)/2)*12,0)</f>
        <v>0</v>
      </c>
      <c r="AM92" s="71">
        <f ca="1">-AL92*'Invoer gegevens'!$F$31</f>
        <v>0</v>
      </c>
      <c r="AN92" s="71">
        <f t="shared" ca="1" si="12"/>
        <v>0</v>
      </c>
      <c r="AO92" s="71">
        <f ca="1">IF(E92&gt;='Invoer gegevens'!$C$17+'Invoer gegevens'!$I$14,0,IF(C92=1,(H92+J92+N92+P92)*Reeksen!AN24,0))</f>
        <v>0</v>
      </c>
      <c r="AP92" s="71">
        <f ca="1">-IF(C92=1,(H92+J92+N92+P92)*Reeksen!AN23*'Hulp - basis'!$B$550,0)</f>
        <v>0</v>
      </c>
      <c r="AQ92" s="71">
        <f ca="1">-IF(C92=1,(F92+K92+L92+Q92)/2*'Invoer gegevens'!$I$33*Reeksen!J24,0)</f>
        <v>0</v>
      </c>
      <c r="AR92" s="71">
        <f ca="1">-IF(C92=1,(I92*'Invoer gegevens'!$I$34)*Reeksen!J24,0)</f>
        <v>0</v>
      </c>
      <c r="AS92" s="71">
        <f ca="1">-IF(C92=1,(F92+K92+L92+Q92)/2*'Invoer gegevens'!$I$35*Reeksen!L24,0)</f>
        <v>0</v>
      </c>
      <c r="AT92" s="71">
        <f ca="1">-IF(C92=1,IF(E92='Invoer gegevens'!$C$17,'Invoer gegevens'!$C$11,AD92)*Reeksen!S24*'Invoer gegevens'!$C$18*Reeksen!P24,0)</f>
        <v>0</v>
      </c>
      <c r="AU92" s="71">
        <f ca="1">-IF(C92=1,(F92+K92+L92+Q92)/2*'Invoer gegevens'!$I$36*Reeksen!H24,0)</f>
        <v>0</v>
      </c>
      <c r="AV92" s="71">
        <f t="shared" ca="1" si="13"/>
        <v>0</v>
      </c>
      <c r="AW92" s="72">
        <f ca="1">IFERROR(IF(E92='Invoer gegevens'!$C$17+'Invoer gegevens'!$I$14-1,'Invoer gegevens'!$I$13*K92*Reeksen!H24,0),0)</f>
        <v>0</v>
      </c>
      <c r="AX92" s="72">
        <f ca="1">IFERROR(IF(E92='Invoer gegevens'!$C$17,-'Invoer gegevens'!$C$10*('Invoer gegevens'!$C$30+'Invoer gegevens'!$C$31)*Reeksen!H24,0),0)</f>
        <v>0</v>
      </c>
      <c r="AY92" s="73">
        <f ca="1">IF('Invoer gegevens'!$C$34=E92,'Invoer gegevens'!$C$27*'Invoer gegevens'!$C$10*'Invoer gegevens'!$C$36*(IF('Invoer gegevens'!$C$35="ja",1,Reeksen!J24)),IF('Invoer gegevens'!$C$34+1=E92,'Invoer gegevens'!$C$27*'Invoer gegevens'!$C$10*'Invoer gegevens'!$C$37*(IF('Invoer gegevens'!$C$35="ja",1,Reeksen!J24)),0))+IF(AND(E92='Invoer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2" s="73">
        <f ca="1">AV92/(1+'Invoer gegevens'!$I$12)^($D92-('Invoer gegevens'!$C$17-'Invoer gegevens'!$C$16))/(1+'Invoer gegevens'!$C$39)^('Invoer gegevens'!$C$17-'Invoer gegevens'!$C$16)</f>
        <v>0</v>
      </c>
      <c r="BA92" s="73">
        <f ca="1">AW92/(1+'Invoer gegevens'!$I$12)^(E92-('Invoer gegevens'!$C$17-1))/(1+'Invoer gegevens'!$C$39)^('Invoer gegevens'!$C$17-'Invoer gegevens'!$C$16)</f>
        <v>0</v>
      </c>
      <c r="BB92" s="73">
        <f ca="1">AX92/(1+'Invoer gegevens'!$C$39)^('Invoer gegevens'!$C$17-'Invoer gegevens'!$C$16)</f>
        <v>0</v>
      </c>
      <c r="BC92" s="72">
        <f t="shared" ca="1" si="14"/>
        <v>0</v>
      </c>
      <c r="BD92" s="72">
        <f ca="1">IF(AND(E92='Invoer gegevens'!$C$16,'Invoer gegevens'!$C$34&lt;'Invoer gegevens'!$C$16),AY92,AY92/(1+'Invoer gegevens'!$C$39)^D92)</f>
        <v>0</v>
      </c>
      <c r="BE92" s="72">
        <f ca="1">IF(E92='Invoer gegevens'!$C$34,-'Invoer gegevens'!$I$38,0)</f>
        <v>0</v>
      </c>
      <c r="BF92" s="72">
        <f ca="1">IF(E92='Invoer gegevens'!$C$17,-'Invoer gegevens'!$C$19*$BC$134,0)</f>
        <v>0</v>
      </c>
      <c r="BG92" s="72">
        <f ca="1">AV92/(1+$BG$72)^($D92-('Invoer gegevens'!$C$17-'Invoer gegevens'!$C$16))/(1+'Invoer gegevens'!$C$39)^('Invoer gegevens'!$C$17-'Invoer gegevens'!$C$16)+AW92/(1+$BG$72)^(E92-('Invoer gegevens'!$C$17-1))/(1+'Invoer gegevens'!$C$39)^('Invoer gegevens'!$C$17-'Invoer gegevens'!$C$16)+AX92/(1+'Invoer gegevens'!$C$39)^('Invoer gegevens'!$C$17-'Invoer gegevens'!$C$16)+(-AY92/(1+'Invoer gegevens'!$C$39)^D92)+BE92+BF92</f>
        <v>0</v>
      </c>
    </row>
    <row r="93" spans="1:59" x14ac:dyDescent="0.25">
      <c r="A93" s="59"/>
      <c r="B93" s="70">
        <f t="shared" si="15"/>
        <v>21</v>
      </c>
      <c r="C93" s="67">
        <f ca="1">IF(AND(E93&gt;='Invoer gegevens'!$C$17,E93&lt;'Invoer gegevens'!$C$17+'Invoer gegevens'!$I$14),1,0)</f>
        <v>1</v>
      </c>
      <c r="D93" s="68">
        <f t="shared" si="16"/>
        <v>20.5</v>
      </c>
      <c r="E93" s="108">
        <f ca="1">IF('Invoer gegevens'!$C$16="","",E92+1)</f>
        <v>2039</v>
      </c>
      <c r="F93" s="84">
        <f ca="1">IF('Invoer gegevens'!$C$17=E93,'Invoer gegevens'!$C$10,IF(C93=1,K92,0))</f>
        <v>0</v>
      </c>
      <c r="G93" s="96">
        <f ca="1">IF(E93='Invoer gegevens'!$C$17+'Invoer gegevens'!$I$14,K92,IF(C93&gt;=1,F93*VLOOKUP(E93,Reeksen!$A$5:$B$76,2),0))</f>
        <v>0</v>
      </c>
      <c r="H93" s="84">
        <f ca="1">IF(E93='Invoer gegevens'!$C$17+'Invoer gegevens'!$I$14,K92,(1-('Invoer gegevens'!$F$20/12))*F93*MIN(Reeksen!B25,Reeksen!D25))</f>
        <v>0</v>
      </c>
      <c r="I93" s="84">
        <f>IF(Reeksen!D25&lt;Reeksen!B25,(Reeksen!B25-Reeksen!D25)*F93,0)</f>
        <v>0</v>
      </c>
      <c r="J93" s="84">
        <f ca="1">IF(E93='Invoer gegevens'!$C$17+'Invoer gegevens'!$I$14+1,0,('Invoer gegevens'!$F$20/12)*F92*MIN(Reeksen!B24,Reeksen!D24))</f>
        <v>0</v>
      </c>
      <c r="K93" s="97">
        <f ca="1">IF(E93&gt;='Invoer gegevens'!$C$17+'Invoer gegevens'!$I$14,0,F93-G93)</f>
        <v>0</v>
      </c>
      <c r="L93" s="84">
        <f ca="1">IF('Invoer gegevens'!$C$17=E93,0,IF(C93=1,Q92,0))</f>
        <v>0</v>
      </c>
      <c r="M93" s="96">
        <f ca="1">IF(E93='Invoer gegevens'!$C$17+'Invoer gegevens'!$I$14,Q92,IF(C93&gt;=1,L93*VLOOKUP(E93,Reeksen!$A$5:$B$76,2),0))</f>
        <v>0</v>
      </c>
      <c r="N93" s="84">
        <f ca="1">IF(C93='Invoer gegevens'!$C$17+'Invoer gegevens'!$I$14,Q92,(1-('Invoer gegevens'!$F$20/12))*L93*MIN(Reeksen!B25,Reeksen!D25))</f>
        <v>0</v>
      </c>
      <c r="O93" s="84">
        <f>IF(Reeksen!D25&lt;Reeksen!B25,(Reeksen!B25-Reeksen!D25)*L93,0)</f>
        <v>0</v>
      </c>
      <c r="P93" s="84">
        <f ca="1">IF(E93='Invoer gegevens'!$C$17+'Invoer gegevens'!$I$14+1,0,('Invoer gegevens'!$F$20/12)*L92*MIN(Reeksen!B24,Reeksen!D24))</f>
        <v>0</v>
      </c>
      <c r="Q93" s="84">
        <f ca="1">IF(E93&gt;='Invoer gegevens'!$C$17+'Invoer gegevens'!$I$14,0,L93-M93+I93+O93)</f>
        <v>0</v>
      </c>
      <c r="R93" s="82">
        <f ca="1">IF('Invoer gegevens'!$C$17=E93,'Invoer gegevens'!$C$11,IF(C93=1,W92,0))</f>
        <v>0</v>
      </c>
      <c r="S93" s="86">
        <f ca="1">IF(E93='Invoer gegevens'!$C$17+'Invoer gegevens'!$I$14,W92,IF(C93&gt;=1,R93*VLOOKUP(E93,Reeksen!$A$5:$B$76,2),0))</f>
        <v>0</v>
      </c>
      <c r="T93" s="84">
        <f ca="1">IF(E93='Invoer gegevens'!$C$17+'Invoer gegevens'!$I$14,W92,(1-('Invoer gegevens'!$F$20/12))*R93*MIN(Reeksen!B25,Reeksen!D25))</f>
        <v>0</v>
      </c>
      <c r="U93" s="84">
        <f>IF(Reeksen!D25&gt;=Reeksen!B25,0,IF(Reeksen!AK25&lt;=Reeksen!AE25,(Reeksen!B25-Reeksen!D25)*R93,0))</f>
        <v>0</v>
      </c>
      <c r="V93" s="86">
        <f>IF(Reeksen!D25&gt;=Reeksen!B25,0,IF(Reeksen!AK25&gt;Reeksen!AE25,(Reeksen!B25-Reeksen!D25)*R93,0))</f>
        <v>0</v>
      </c>
      <c r="W93" s="97">
        <f ca="1">IF(E93&gt;='Invoer gegevens'!$C$17+'Invoer gegevens'!$I$14,0,R93-S93)</f>
        <v>0</v>
      </c>
      <c r="X93" s="98">
        <f ca="1">IF('Invoer gegevens'!$C$17=E93,'Invoer gegevens'!$C$10-'Invoer gegevens'!$C$11,IF(C93=1,AC92,0))</f>
        <v>0</v>
      </c>
      <c r="Y93" s="98">
        <f ca="1">IF(E93='Invoer gegevens'!$C$17+'Invoer gegevens'!$I$14,AC92,IF(C93&gt;=1,X93*VLOOKUP(E93,Reeksen!$A$5:$B$76,2),0))</f>
        <v>0</v>
      </c>
      <c r="Z93" s="98">
        <f ca="1">IF(E93='Invoer gegevens'!$C$17+'Invoer gegevens'!$I$14,AC92,(1-('Invoer gegevens'!$F$20/12))*X93*MIN(Reeksen!B25,Reeksen!D25))</f>
        <v>0</v>
      </c>
      <c r="AA93" s="98">
        <f>IF(Reeksen!D25&gt;=Reeksen!B25,0,IF(Reeksen!AK25&lt;=Reeksen!AE25,(Reeksen!B25-Reeksen!D25)*X93,0))</f>
        <v>0</v>
      </c>
      <c r="AB93" s="98">
        <f>IF(Reeksen!D25&gt;=Reeksen!B25,0,IF(Reeksen!AK25&gt;Reeksen!AE25,(Reeksen!B25-Reeksen!D25)*X93,0))</f>
        <v>0</v>
      </c>
      <c r="AC93" s="99">
        <f ca="1">IF(E93&gt;='Invoer gegevens'!$C$17+'Invoer gegevens'!$I$14,0,X93-Y93)</f>
        <v>0</v>
      </c>
      <c r="AD93" s="98">
        <f ca="1">IF('Invoer gegevens'!$C$17=E25,R93,IF(C25=0,0,AE92))</f>
        <v>0</v>
      </c>
      <c r="AE93" s="98">
        <f t="shared" ca="1" si="9"/>
        <v>0</v>
      </c>
      <c r="AF93" s="98">
        <f ca="1">IF('Invoer gegevens'!$C$17=E25,X93,IF(C25=0,0,AG92))</f>
        <v>0</v>
      </c>
      <c r="AG93" s="98">
        <f t="shared" ca="1" si="10"/>
        <v>0</v>
      </c>
      <c r="AH93" s="70"/>
      <c r="AI93" s="71">
        <f ca="1">IF(C93=1,((Reeksen!BF25*(F93-G93+F93)/2)+((L93-M93+L93)/2*Reeksen!BG25))*12,0)</f>
        <v>0</v>
      </c>
      <c r="AJ93" s="71">
        <f ca="1">-AI93*'Invoer gegevens'!$I$26</f>
        <v>0</v>
      </c>
      <c r="AK93" s="71">
        <f t="shared" ca="1" si="11"/>
        <v>0</v>
      </c>
      <c r="AL93" s="71">
        <f ca="1">IF(C93=1,Reeksen!AL25*((F93-G93+F93)/2)*12+Reeksen!AM25*((L93-M93+L93)/2)*12,0)</f>
        <v>0</v>
      </c>
      <c r="AM93" s="71">
        <f ca="1">-AL93*'Invoer gegevens'!$F$31</f>
        <v>0</v>
      </c>
      <c r="AN93" s="71">
        <f t="shared" ca="1" si="12"/>
        <v>0</v>
      </c>
      <c r="AO93" s="71">
        <f ca="1">IF(E93&gt;='Invoer gegevens'!$C$17+'Invoer gegevens'!$I$14,0,IF(C93=1,(H93+J93+N93+P93)*Reeksen!AN25,0))</f>
        <v>0</v>
      </c>
      <c r="AP93" s="71">
        <f ca="1">-IF(C93=1,(H93+J93+N93+P93)*Reeksen!AN24*'Hulp - basis'!$B$550,0)</f>
        <v>0</v>
      </c>
      <c r="AQ93" s="71">
        <f ca="1">-IF(C93=1,(F93+K93+L93+Q93)/2*'Invoer gegevens'!$I$33*Reeksen!J25,0)</f>
        <v>0</v>
      </c>
      <c r="AR93" s="71">
        <f ca="1">-IF(C93=1,(I93*'Invoer gegevens'!$I$34)*Reeksen!J25,0)</f>
        <v>0</v>
      </c>
      <c r="AS93" s="71">
        <f ca="1">-IF(C93=1,(F93+K93+L93+Q93)/2*'Invoer gegevens'!$I$35*Reeksen!L25,0)</f>
        <v>0</v>
      </c>
      <c r="AT93" s="71">
        <f ca="1">-IF(C93=1,IF(E93='Invoer gegevens'!$C$17,'Invoer gegevens'!$C$11,AD93)*Reeksen!S25*'Invoer gegevens'!$C$18*Reeksen!P25,0)</f>
        <v>0</v>
      </c>
      <c r="AU93" s="71">
        <f ca="1">-IF(C93=1,(F93+K93+L93+Q93)/2*'Invoer gegevens'!$I$36*Reeksen!H25,0)</f>
        <v>0</v>
      </c>
      <c r="AV93" s="71">
        <f t="shared" ca="1" si="13"/>
        <v>0</v>
      </c>
      <c r="AW93" s="72">
        <f ca="1">IFERROR(IF(E93='Invoer gegevens'!$C$17+'Invoer gegevens'!$I$14-1,'Invoer gegevens'!$I$13*K93*Reeksen!H25,0),0)</f>
        <v>0</v>
      </c>
      <c r="AX93" s="72">
        <f ca="1">IFERROR(IF(E93='Invoer gegevens'!$C$17,-'Invoer gegevens'!$C$10*('Invoer gegevens'!$C$30+'Invoer gegevens'!$C$31)*Reeksen!H25,0),0)</f>
        <v>0</v>
      </c>
      <c r="AY93" s="73">
        <f ca="1">IF('Invoer gegevens'!$C$34=E93,'Invoer gegevens'!$C$27*'Invoer gegevens'!$C$10*'Invoer gegevens'!$C$36*(IF('Invoer gegevens'!$C$35="ja",1,Reeksen!J25)),IF('Invoer gegevens'!$C$34+1=E93,'Invoer gegevens'!$C$27*'Invoer gegevens'!$C$10*'Invoer gegevens'!$C$37*(IF('Invoer gegevens'!$C$35="ja",1,Reeksen!J25)),0))+IF(AND(E93='Invoer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3" s="73">
        <f ca="1">AV93/(1+'Invoer gegevens'!$I$12)^($D93-('Invoer gegevens'!$C$17-'Invoer gegevens'!$C$16))/(1+'Invoer gegevens'!$C$39)^('Invoer gegevens'!$C$17-'Invoer gegevens'!$C$16)</f>
        <v>0</v>
      </c>
      <c r="BA93" s="73">
        <f ca="1">AW93/(1+'Invoer gegevens'!$I$12)^(E93-('Invoer gegevens'!$C$17-1))/(1+'Invoer gegevens'!$C$39)^('Invoer gegevens'!$C$17-'Invoer gegevens'!$C$16)</f>
        <v>0</v>
      </c>
      <c r="BB93" s="73">
        <f ca="1">AX93/(1+'Invoer gegevens'!$C$39)^('Invoer gegevens'!$C$17-'Invoer gegevens'!$C$16)</f>
        <v>0</v>
      </c>
      <c r="BC93" s="72">
        <f t="shared" ca="1" si="14"/>
        <v>0</v>
      </c>
      <c r="BD93" s="72">
        <f ca="1">IF(AND(E93='Invoer gegevens'!$C$16,'Invoer gegevens'!$C$34&lt;'Invoer gegevens'!$C$16),AY93,AY93/(1+'Invoer gegevens'!$C$39)^D93)</f>
        <v>0</v>
      </c>
      <c r="BE93" s="72">
        <f ca="1">IF(E93='Invoer gegevens'!$C$34,-'Invoer gegevens'!$I$38,0)</f>
        <v>0</v>
      </c>
      <c r="BF93" s="72">
        <f ca="1">IF(E93='Invoer gegevens'!$C$17,-'Invoer gegevens'!$C$19*$BC$134,0)</f>
        <v>0</v>
      </c>
      <c r="BG93" s="72">
        <f ca="1">AV93/(1+$BG$72)^($D93-('Invoer gegevens'!$C$17-'Invoer gegevens'!$C$16))/(1+'Invoer gegevens'!$C$39)^('Invoer gegevens'!$C$17-'Invoer gegevens'!$C$16)+AW93/(1+$BG$72)^(E93-('Invoer gegevens'!$C$17-1))/(1+'Invoer gegevens'!$C$39)^('Invoer gegevens'!$C$17-'Invoer gegevens'!$C$16)+AX93/(1+'Invoer gegevens'!$C$39)^('Invoer gegevens'!$C$17-'Invoer gegevens'!$C$16)+(-AY93/(1+'Invoer gegevens'!$C$39)^D93)+BE93+BF93</f>
        <v>0</v>
      </c>
    </row>
    <row r="94" spans="1:59" x14ac:dyDescent="0.25">
      <c r="A94" s="59"/>
      <c r="B94" s="70">
        <f>B93+1</f>
        <v>22</v>
      </c>
      <c r="C94" s="67">
        <f ca="1">IF(AND(E94&gt;='Invoer gegevens'!$C$17,E94&lt;'Invoer gegevens'!$C$17+'Invoer gegevens'!$I$14),1,0)</f>
        <v>1</v>
      </c>
      <c r="D94" s="68">
        <f t="shared" si="16"/>
        <v>21.5</v>
      </c>
      <c r="E94" s="108">
        <f ca="1">IF('Invoer gegevens'!$C$16="","",E93+1)</f>
        <v>2040</v>
      </c>
      <c r="F94" s="84">
        <f ca="1">IF('Invoer gegevens'!$C$17=E94,'Invoer gegevens'!$C$10,IF(C94=1,K93,0))</f>
        <v>0</v>
      </c>
      <c r="G94" s="96">
        <f ca="1">IF(E94='Invoer gegevens'!$C$17+'Invoer gegevens'!$I$14,K93,IF(C94&gt;=1,F94*VLOOKUP(E94,Reeksen!$A$5:$B$76,2),0))</f>
        <v>0</v>
      </c>
      <c r="H94" s="84">
        <f ca="1">IF(E94='Invoer gegevens'!$C$17+'Invoer gegevens'!$I$14,K93,(1-('Invoer gegevens'!$F$20/12))*F94*MIN(Reeksen!B26,Reeksen!D26))</f>
        <v>0</v>
      </c>
      <c r="I94" s="84">
        <f>IF(Reeksen!D26&lt;Reeksen!B26,(Reeksen!B26-Reeksen!D26)*F94,0)</f>
        <v>0</v>
      </c>
      <c r="J94" s="84">
        <f ca="1">IF(E94='Invoer gegevens'!$C$17+'Invoer gegevens'!$I$14+1,0,('Invoer gegevens'!$F$20/12)*F93*MIN(Reeksen!B25,Reeksen!D25))</f>
        <v>0</v>
      </c>
      <c r="K94" s="97">
        <f ca="1">IF(E94&gt;='Invoer gegevens'!$C$17+'Invoer gegevens'!$I$14,0,F94-G94)</f>
        <v>0</v>
      </c>
      <c r="L94" s="84">
        <f ca="1">IF('Invoer gegevens'!$C$17=E94,0,IF(C94=1,Q93,0))</f>
        <v>0</v>
      </c>
      <c r="M94" s="96">
        <f ca="1">IF(E94='Invoer gegevens'!$C$17+'Invoer gegevens'!$I$14,Q93,IF(C94&gt;=1,L94*VLOOKUP(E94,Reeksen!$A$5:$B$76,2),0))</f>
        <v>0</v>
      </c>
      <c r="N94" s="84">
        <f ca="1">IF(C94='Invoer gegevens'!$C$17+'Invoer gegevens'!$I$14,Q93,(1-('Invoer gegevens'!$F$20/12))*L94*MIN(Reeksen!B26,Reeksen!D26))</f>
        <v>0</v>
      </c>
      <c r="O94" s="84">
        <f>IF(Reeksen!D26&lt;Reeksen!B26,(Reeksen!B26-Reeksen!D26)*L94,0)</f>
        <v>0</v>
      </c>
      <c r="P94" s="84">
        <f ca="1">IF(E94='Invoer gegevens'!$C$17+'Invoer gegevens'!$I$14+1,0,('Invoer gegevens'!$F$20/12)*L93*MIN(Reeksen!B25,Reeksen!D25))</f>
        <v>0</v>
      </c>
      <c r="Q94" s="84">
        <f ca="1">IF(E94&gt;='Invoer gegevens'!$C$17+'Invoer gegevens'!$I$14,0,L94-M94+I94+O94)</f>
        <v>0</v>
      </c>
      <c r="R94" s="82">
        <f ca="1">IF('Invoer gegevens'!$C$17=E94,'Invoer gegevens'!$C$11,IF(C94=1,W93,0))</f>
        <v>0</v>
      </c>
      <c r="S94" s="86">
        <f ca="1">IF(E94='Invoer gegevens'!$C$17+'Invoer gegevens'!$I$14,W93,IF(C94&gt;=1,R94*VLOOKUP(E94,Reeksen!$A$5:$B$76,2),0))</f>
        <v>0</v>
      </c>
      <c r="T94" s="84">
        <f ca="1">IF(E94='Invoer gegevens'!$C$17+'Invoer gegevens'!$I$14,W93,(1-('Invoer gegevens'!$F$20/12))*R94*MIN(Reeksen!B26,Reeksen!D26))</f>
        <v>0</v>
      </c>
      <c r="U94" s="84">
        <f>IF(Reeksen!D26&gt;=Reeksen!B26,0,IF(Reeksen!AK26&lt;=Reeksen!AE26,(Reeksen!B26-Reeksen!D26)*R94,0))</f>
        <v>0</v>
      </c>
      <c r="V94" s="86">
        <f>IF(Reeksen!D26&gt;=Reeksen!B26,0,IF(Reeksen!AK26&gt;Reeksen!AE26,(Reeksen!B26-Reeksen!D26)*R94,0))</f>
        <v>0</v>
      </c>
      <c r="W94" s="97">
        <f ca="1">IF(E94&gt;='Invoer gegevens'!$C$17+'Invoer gegevens'!$I$14,0,R94-S94)</f>
        <v>0</v>
      </c>
      <c r="X94" s="98">
        <f ca="1">IF('Invoer gegevens'!$C$17=E94,'Invoer gegevens'!$C$10-'Invoer gegevens'!$C$11,IF(C94=1,AC93,0))</f>
        <v>0</v>
      </c>
      <c r="Y94" s="98">
        <f ca="1">IF(E94='Invoer gegevens'!$C$17+'Invoer gegevens'!$I$14,AC93,IF(C94&gt;=1,X94*VLOOKUP(E94,Reeksen!$A$5:$B$76,2),0))</f>
        <v>0</v>
      </c>
      <c r="Z94" s="98">
        <f ca="1">IF(E94='Invoer gegevens'!$C$17+'Invoer gegevens'!$I$14,AC93,(1-('Invoer gegevens'!$F$20/12))*X94*MIN(Reeksen!B26,Reeksen!D26))</f>
        <v>0</v>
      </c>
      <c r="AA94" s="98">
        <f>IF(Reeksen!D26&gt;=Reeksen!B26,0,IF(Reeksen!AK26&lt;=Reeksen!AE26,(Reeksen!B26-Reeksen!D26)*X94,0))</f>
        <v>0</v>
      </c>
      <c r="AB94" s="98">
        <f>IF(Reeksen!D26&gt;=Reeksen!B26,0,IF(Reeksen!AK26&gt;Reeksen!AE26,(Reeksen!B26-Reeksen!D26)*X94,0))</f>
        <v>0</v>
      </c>
      <c r="AC94" s="99">
        <f ca="1">IF(E94&gt;='Invoer gegevens'!$C$17+'Invoer gegevens'!$I$14,0,X94-Y94)</f>
        <v>0</v>
      </c>
      <c r="AD94" s="98">
        <f ca="1">IF('Invoer gegevens'!$C$17=E26,R94,IF(C26=0,0,AE93))</f>
        <v>0</v>
      </c>
      <c r="AE94" s="98">
        <f t="shared" ca="1" si="9"/>
        <v>0</v>
      </c>
      <c r="AF94" s="98">
        <f ca="1">IF('Invoer gegevens'!$C$17=E26,X94,IF(C26=0,0,AG93))</f>
        <v>0</v>
      </c>
      <c r="AG94" s="98">
        <f t="shared" ca="1" si="10"/>
        <v>0</v>
      </c>
      <c r="AH94" s="70"/>
      <c r="AI94" s="71">
        <f ca="1">IF(C94=1,((Reeksen!BF26*(F94-G94+F94)/2)+((L94-M94+L94)/2*Reeksen!BG26))*12,0)</f>
        <v>0</v>
      </c>
      <c r="AJ94" s="71">
        <f ca="1">-AI94*'Invoer gegevens'!$I$26</f>
        <v>0</v>
      </c>
      <c r="AK94" s="71">
        <f t="shared" ca="1" si="11"/>
        <v>0</v>
      </c>
      <c r="AL94" s="71">
        <f ca="1">IF(C94=1,Reeksen!AL26*((F94-G94+F94)/2)*12+Reeksen!AM26*((L94-M94+L94)/2)*12,0)</f>
        <v>0</v>
      </c>
      <c r="AM94" s="71">
        <f ca="1">-AL94*'Invoer gegevens'!$F$31</f>
        <v>0</v>
      </c>
      <c r="AN94" s="71">
        <f t="shared" ca="1" si="12"/>
        <v>0</v>
      </c>
      <c r="AO94" s="71">
        <f ca="1">IF(E94&gt;='Invoer gegevens'!$C$17+'Invoer gegevens'!$I$14,0,IF(C94=1,(H94+J94+N94+P94)*Reeksen!AN26,0))</f>
        <v>0</v>
      </c>
      <c r="AP94" s="71">
        <f ca="1">-IF(C94=1,(H94+J94+N94+P94)*Reeksen!AN25*'Hulp - basis'!$B$550,0)</f>
        <v>0</v>
      </c>
      <c r="AQ94" s="71">
        <f ca="1">-IF(C94=1,(F94+K94+L94+Q94)/2*'Invoer gegevens'!$I$33*Reeksen!J26,0)</f>
        <v>0</v>
      </c>
      <c r="AR94" s="71">
        <f ca="1">-IF(C94=1,(I94*'Invoer gegevens'!$I$34)*Reeksen!J26,0)</f>
        <v>0</v>
      </c>
      <c r="AS94" s="71">
        <f ca="1">-IF(C94=1,(F94+K94+L94+Q94)/2*'Invoer gegevens'!$I$35*Reeksen!L26,0)</f>
        <v>0</v>
      </c>
      <c r="AT94" s="71">
        <f ca="1">-IF(C94=1,IF(E94='Invoer gegevens'!$C$17,'Invoer gegevens'!$C$11,AD94)*Reeksen!S26*'Invoer gegevens'!$C$18*Reeksen!P26,0)</f>
        <v>0</v>
      </c>
      <c r="AU94" s="71">
        <f ca="1">-IF(C94=1,(F94+K94+L94+Q94)/2*'Invoer gegevens'!$I$36*Reeksen!H26,0)</f>
        <v>0</v>
      </c>
      <c r="AV94" s="71">
        <f t="shared" ca="1" si="13"/>
        <v>0</v>
      </c>
      <c r="AW94" s="72">
        <f ca="1">IFERROR(IF(E94='Invoer gegevens'!$C$17+'Invoer gegevens'!$I$14-1,'Invoer gegevens'!$I$13*K94*Reeksen!H26,0),0)</f>
        <v>0</v>
      </c>
      <c r="AX94" s="72">
        <f ca="1">IFERROR(IF(E94='Invoer gegevens'!$C$17,-'Invoer gegevens'!$C$10*('Invoer gegevens'!$C$30+'Invoer gegevens'!$C$31)*Reeksen!H26,0),0)</f>
        <v>0</v>
      </c>
      <c r="AY94" s="73">
        <f ca="1">IF('Invoer gegevens'!$C$34=E94,'Invoer gegevens'!$C$27*'Invoer gegevens'!$C$10*'Invoer gegevens'!$C$36*(IF('Invoer gegevens'!$C$35="ja",1,Reeksen!J26)),IF('Invoer gegevens'!$C$34+1=E94,'Invoer gegevens'!$C$27*'Invoer gegevens'!$C$10*'Invoer gegevens'!$C$37*(IF('Invoer gegevens'!$C$35="ja",1,Reeksen!J26)),0))+IF(AND(E94='Invoer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4" s="73">
        <f ca="1">AV94/(1+'Invoer gegevens'!$I$12)^($D94-('Invoer gegevens'!$C$17-'Invoer gegevens'!$C$16))/(1+'Invoer gegevens'!$C$39)^('Invoer gegevens'!$C$17-'Invoer gegevens'!$C$16)</f>
        <v>0</v>
      </c>
      <c r="BA94" s="73">
        <f ca="1">AW94/(1+'Invoer gegevens'!$I$12)^(E94-('Invoer gegevens'!$C$17-1))/(1+'Invoer gegevens'!$C$39)^('Invoer gegevens'!$C$17-'Invoer gegevens'!$C$16)</f>
        <v>0</v>
      </c>
      <c r="BB94" s="73">
        <f ca="1">AX94/(1+'Invoer gegevens'!$C$39)^('Invoer gegevens'!$C$17-'Invoer gegevens'!$C$16)</f>
        <v>0</v>
      </c>
      <c r="BC94" s="72">
        <f t="shared" ca="1" si="14"/>
        <v>0</v>
      </c>
      <c r="BD94" s="72">
        <f ca="1">IF(AND(E94='Invoer gegevens'!$C$16,'Invoer gegevens'!$C$34&lt;'Invoer gegevens'!$C$16),AY94,AY94/(1+'Invoer gegevens'!$C$39)^D94)</f>
        <v>0</v>
      </c>
      <c r="BE94" s="72">
        <f ca="1">IF(E94='Invoer gegevens'!$C$34,-'Invoer gegevens'!$I$38,0)</f>
        <v>0</v>
      </c>
      <c r="BF94" s="72">
        <f ca="1">IF(E94='Invoer gegevens'!$C$17,-'Invoer gegevens'!$C$19*$BC$134,0)</f>
        <v>0</v>
      </c>
      <c r="BG94" s="72">
        <f ca="1">AV94/(1+$BG$72)^($D94-('Invoer gegevens'!$C$17-'Invoer gegevens'!$C$16))/(1+'Invoer gegevens'!$C$39)^('Invoer gegevens'!$C$17-'Invoer gegevens'!$C$16)+AW94/(1+$BG$72)^(E94-('Invoer gegevens'!$C$17-1))/(1+'Invoer gegevens'!$C$39)^('Invoer gegevens'!$C$17-'Invoer gegevens'!$C$16)+AX94/(1+'Invoer gegevens'!$C$39)^('Invoer gegevens'!$C$17-'Invoer gegevens'!$C$16)+(-AY94/(1+'Invoer gegevens'!$C$39)^D94)+BE94+BF94</f>
        <v>0</v>
      </c>
    </row>
    <row r="95" spans="1:59" x14ac:dyDescent="0.25">
      <c r="A95" s="59"/>
      <c r="B95" s="70">
        <f t="shared" si="15"/>
        <v>23</v>
      </c>
      <c r="C95" s="67">
        <f ca="1">IF(AND(E95&gt;='Invoer gegevens'!$C$17,E95&lt;'Invoer gegevens'!$C$17+'Invoer gegevens'!$I$14),1,0)</f>
        <v>1</v>
      </c>
      <c r="D95" s="68">
        <f t="shared" si="16"/>
        <v>22.5</v>
      </c>
      <c r="E95" s="108">
        <f ca="1">IF('Invoer gegevens'!$C$16="","",E94+1)</f>
        <v>2041</v>
      </c>
      <c r="F95" s="84">
        <f ca="1">IF('Invoer gegevens'!$C$17=E95,'Invoer gegevens'!$C$10,IF(C95=1,K94,0))</f>
        <v>0</v>
      </c>
      <c r="G95" s="96">
        <f ca="1">IF(E95='Invoer gegevens'!$C$17+'Invoer gegevens'!$I$14,K94,IF(C95&gt;=1,F95*VLOOKUP(E95,Reeksen!$A$5:$B$76,2),0))</f>
        <v>0</v>
      </c>
      <c r="H95" s="84">
        <f ca="1">IF(E95='Invoer gegevens'!$C$17+'Invoer gegevens'!$I$14,K94,(1-('Invoer gegevens'!$F$20/12))*F95*MIN(Reeksen!B27,Reeksen!D27))</f>
        <v>0</v>
      </c>
      <c r="I95" s="84">
        <f>IF(Reeksen!D27&lt;Reeksen!B27,(Reeksen!B27-Reeksen!D27)*F95,0)</f>
        <v>0</v>
      </c>
      <c r="J95" s="84">
        <f ca="1">IF(E95='Invoer gegevens'!$C$17+'Invoer gegevens'!$I$14+1,0,('Invoer gegevens'!$F$20/12)*F94*MIN(Reeksen!B26,Reeksen!D26))</f>
        <v>0</v>
      </c>
      <c r="K95" s="97">
        <f ca="1">IF(E95&gt;='Invoer gegevens'!$C$17+'Invoer gegevens'!$I$14,0,F95-G95)</f>
        <v>0</v>
      </c>
      <c r="L95" s="84">
        <f ca="1">IF('Invoer gegevens'!$C$17=E95,0,IF(C95=1,Q94,0))</f>
        <v>0</v>
      </c>
      <c r="M95" s="96">
        <f ca="1">IF(E95='Invoer gegevens'!$C$17+'Invoer gegevens'!$I$14,Q94,IF(C95&gt;=1,L95*VLOOKUP(E95,Reeksen!$A$5:$B$76,2),0))</f>
        <v>0</v>
      </c>
      <c r="N95" s="84">
        <f ca="1">IF(C95='Invoer gegevens'!$C$17+'Invoer gegevens'!$I$14,Q94,(1-('Invoer gegevens'!$F$20/12))*L95*MIN(Reeksen!B27,Reeksen!D27))</f>
        <v>0</v>
      </c>
      <c r="O95" s="84">
        <f>IF(Reeksen!D27&lt;Reeksen!B27,(Reeksen!B27-Reeksen!D27)*L95,0)</f>
        <v>0</v>
      </c>
      <c r="P95" s="84">
        <f ca="1">IF(E95='Invoer gegevens'!$C$17+'Invoer gegevens'!$I$14+1,0,('Invoer gegevens'!$F$20/12)*L94*MIN(Reeksen!B26,Reeksen!D26))</f>
        <v>0</v>
      </c>
      <c r="Q95" s="84">
        <f ca="1">IF(E95&gt;='Invoer gegevens'!$C$17+'Invoer gegevens'!$I$14,0,L95-M95+I95+O95)</f>
        <v>0</v>
      </c>
      <c r="R95" s="82">
        <f ca="1">IF('Invoer gegevens'!$C$17=E95,'Invoer gegevens'!$C$11,IF(C95=1,W94,0))</f>
        <v>0</v>
      </c>
      <c r="S95" s="86">
        <f ca="1">IF(E95='Invoer gegevens'!$C$17+'Invoer gegevens'!$I$14,W94,IF(C95&gt;=1,R95*VLOOKUP(E95,Reeksen!$A$5:$B$76,2),0))</f>
        <v>0</v>
      </c>
      <c r="T95" s="84">
        <f ca="1">IF(E95='Invoer gegevens'!$C$17+'Invoer gegevens'!$I$14,W94,(1-('Invoer gegevens'!$F$20/12))*R95*MIN(Reeksen!B27,Reeksen!D27))</f>
        <v>0</v>
      </c>
      <c r="U95" s="84">
        <f>IF(Reeksen!D27&gt;=Reeksen!B27,0,IF(Reeksen!AK27&lt;=Reeksen!AE27,(Reeksen!B27-Reeksen!D27)*R95,0))</f>
        <v>0</v>
      </c>
      <c r="V95" s="86">
        <f>IF(Reeksen!D27&gt;=Reeksen!B27,0,IF(Reeksen!AK27&gt;Reeksen!AE27,(Reeksen!B27-Reeksen!D27)*R95,0))</f>
        <v>0</v>
      </c>
      <c r="W95" s="97">
        <f ca="1">IF(E95&gt;='Invoer gegevens'!$C$17+'Invoer gegevens'!$I$14,0,R95-S95)</f>
        <v>0</v>
      </c>
      <c r="X95" s="98">
        <f ca="1">IF('Invoer gegevens'!$C$17=E95,'Invoer gegevens'!$C$10-'Invoer gegevens'!$C$11,IF(C95=1,AC94,0))</f>
        <v>0</v>
      </c>
      <c r="Y95" s="98">
        <f ca="1">IF(E95='Invoer gegevens'!$C$17+'Invoer gegevens'!$I$14,AC94,IF(C95&gt;=1,X95*VLOOKUP(E95,Reeksen!$A$5:$B$76,2),0))</f>
        <v>0</v>
      </c>
      <c r="Z95" s="98">
        <f ca="1">IF(E95='Invoer gegevens'!$C$17+'Invoer gegevens'!$I$14,AC94,(1-('Invoer gegevens'!$F$20/12))*X95*MIN(Reeksen!B27,Reeksen!D27))</f>
        <v>0</v>
      </c>
      <c r="AA95" s="98">
        <f>IF(Reeksen!D27&gt;=Reeksen!B27,0,IF(Reeksen!AK27&lt;=Reeksen!AE27,(Reeksen!B27-Reeksen!D27)*X95,0))</f>
        <v>0</v>
      </c>
      <c r="AB95" s="98">
        <f>IF(Reeksen!D27&gt;=Reeksen!B27,0,IF(Reeksen!AK27&gt;Reeksen!AE27,(Reeksen!B27-Reeksen!D27)*X95,0))</f>
        <v>0</v>
      </c>
      <c r="AC95" s="99">
        <f ca="1">IF(E95&gt;='Invoer gegevens'!$C$17+'Invoer gegevens'!$I$14,0,X95-Y95)</f>
        <v>0</v>
      </c>
      <c r="AD95" s="98">
        <f ca="1">IF('Invoer gegevens'!$C$17=E27,R95,IF(C27=0,0,AE94))</f>
        <v>0</v>
      </c>
      <c r="AE95" s="98">
        <f t="shared" ca="1" si="9"/>
        <v>0</v>
      </c>
      <c r="AF95" s="98">
        <f ca="1">IF('Invoer gegevens'!$C$17=E27,X95,IF(C27=0,0,AG94))</f>
        <v>0</v>
      </c>
      <c r="AG95" s="98">
        <f t="shared" ca="1" si="10"/>
        <v>0</v>
      </c>
      <c r="AH95" s="70"/>
      <c r="AI95" s="71">
        <f ca="1">IF(C95=1,((Reeksen!BF27*(F95-G95+F95)/2)+((L95-M95+L95)/2*Reeksen!BG27))*12,0)</f>
        <v>0</v>
      </c>
      <c r="AJ95" s="71">
        <f ca="1">-AI95*'Invoer gegevens'!$I$26</f>
        <v>0</v>
      </c>
      <c r="AK95" s="71">
        <f t="shared" ca="1" si="11"/>
        <v>0</v>
      </c>
      <c r="AL95" s="71">
        <f ca="1">IF(C95=1,Reeksen!AL27*((F95-G95+F95)/2)*12+Reeksen!AM27*((L95-M95+L95)/2)*12,0)</f>
        <v>0</v>
      </c>
      <c r="AM95" s="71">
        <f ca="1">-AL95*'Invoer gegevens'!$F$31</f>
        <v>0</v>
      </c>
      <c r="AN95" s="71">
        <f t="shared" ca="1" si="12"/>
        <v>0</v>
      </c>
      <c r="AO95" s="71">
        <f ca="1">IF(E95&gt;='Invoer gegevens'!$C$17+'Invoer gegevens'!$I$14,0,IF(C95=1,(H95+J95+N95+P95)*Reeksen!AN27,0))</f>
        <v>0</v>
      </c>
      <c r="AP95" s="71">
        <f ca="1">-IF(C95=1,(H95+J95+N95+P95)*Reeksen!AN26*'Hulp - basis'!$B$550,0)</f>
        <v>0</v>
      </c>
      <c r="AQ95" s="71">
        <f ca="1">-IF(C95=1,(F95+K95+L95+Q95)/2*'Invoer gegevens'!$I$33*Reeksen!J27,0)</f>
        <v>0</v>
      </c>
      <c r="AR95" s="71">
        <f ca="1">-IF(C95=1,(I95*'Invoer gegevens'!$I$34)*Reeksen!J27,0)</f>
        <v>0</v>
      </c>
      <c r="AS95" s="71">
        <f ca="1">-IF(C95=1,(F95+K95+L95+Q95)/2*'Invoer gegevens'!$I$35*Reeksen!L27,0)</f>
        <v>0</v>
      </c>
      <c r="AT95" s="71">
        <f ca="1">-IF(C95=1,IF(E95='Invoer gegevens'!$C$17,'Invoer gegevens'!$C$11,AD95)*Reeksen!S27*'Invoer gegevens'!$C$18*Reeksen!P27,0)</f>
        <v>0</v>
      </c>
      <c r="AU95" s="71">
        <f ca="1">-IF(C95=1,(F95+K95+L95+Q95)/2*'Invoer gegevens'!$I$36*Reeksen!H27,0)</f>
        <v>0</v>
      </c>
      <c r="AV95" s="71">
        <f t="shared" ca="1" si="13"/>
        <v>0</v>
      </c>
      <c r="AW95" s="72">
        <f ca="1">IFERROR(IF(E95='Invoer gegevens'!$C$17+'Invoer gegevens'!$I$14-1,'Invoer gegevens'!$I$13*K95*Reeksen!H27,0),0)</f>
        <v>0</v>
      </c>
      <c r="AX95" s="72">
        <f ca="1">IFERROR(IF(E95='Invoer gegevens'!$C$17,-'Invoer gegevens'!$C$10*('Invoer gegevens'!$C$30+'Invoer gegevens'!$C$31)*Reeksen!H27,0),0)</f>
        <v>0</v>
      </c>
      <c r="AY95" s="73">
        <f ca="1">IF('Invoer gegevens'!$C$34=E95,'Invoer gegevens'!$C$27*'Invoer gegevens'!$C$10*'Invoer gegevens'!$C$36*(IF('Invoer gegevens'!$C$35="ja",1,Reeksen!J27)),IF('Invoer gegevens'!$C$34+1=E95,'Invoer gegevens'!$C$27*'Invoer gegevens'!$C$10*'Invoer gegevens'!$C$37*(IF('Invoer gegevens'!$C$35="ja",1,Reeksen!J27)),0))+IF(AND(E95='Invoer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5" s="73">
        <f ca="1">AV95/(1+'Invoer gegevens'!$I$12)^($D95-('Invoer gegevens'!$C$17-'Invoer gegevens'!$C$16))/(1+'Invoer gegevens'!$C$39)^('Invoer gegevens'!$C$17-'Invoer gegevens'!$C$16)</f>
        <v>0</v>
      </c>
      <c r="BA95" s="73">
        <f ca="1">AW95/(1+'Invoer gegevens'!$I$12)^(E95-('Invoer gegevens'!$C$17-1))/(1+'Invoer gegevens'!$C$39)^('Invoer gegevens'!$C$17-'Invoer gegevens'!$C$16)</f>
        <v>0</v>
      </c>
      <c r="BB95" s="73">
        <f ca="1">AX95/(1+'Invoer gegevens'!$C$39)^('Invoer gegevens'!$C$17-'Invoer gegevens'!$C$16)</f>
        <v>0</v>
      </c>
      <c r="BC95" s="72">
        <f t="shared" ca="1" si="14"/>
        <v>0</v>
      </c>
      <c r="BD95" s="72">
        <f ca="1">IF(AND(E95='Invoer gegevens'!$C$16,'Invoer gegevens'!$C$34&lt;'Invoer gegevens'!$C$16),AY95,AY95/(1+'Invoer gegevens'!$C$39)^D95)</f>
        <v>0</v>
      </c>
      <c r="BE95" s="72">
        <f ca="1">IF(E95='Invoer gegevens'!$C$34,-'Invoer gegevens'!$I$38,0)</f>
        <v>0</v>
      </c>
      <c r="BF95" s="72">
        <f ca="1">IF(E95='Invoer gegevens'!$C$17,-'Invoer gegevens'!$C$19*$BC$134,0)</f>
        <v>0</v>
      </c>
      <c r="BG95" s="72">
        <f ca="1">AV95/(1+$BG$72)^($D95-('Invoer gegevens'!$C$17-'Invoer gegevens'!$C$16))/(1+'Invoer gegevens'!$C$39)^('Invoer gegevens'!$C$17-'Invoer gegevens'!$C$16)+AW95/(1+$BG$72)^(E95-('Invoer gegevens'!$C$17-1))/(1+'Invoer gegevens'!$C$39)^('Invoer gegevens'!$C$17-'Invoer gegevens'!$C$16)+AX95/(1+'Invoer gegevens'!$C$39)^('Invoer gegevens'!$C$17-'Invoer gegevens'!$C$16)+(-AY95/(1+'Invoer gegevens'!$C$39)^D95)+BE95+BF95</f>
        <v>0</v>
      </c>
    </row>
    <row r="96" spans="1:59" x14ac:dyDescent="0.25">
      <c r="A96" s="59"/>
      <c r="B96" s="70">
        <f t="shared" si="15"/>
        <v>24</v>
      </c>
      <c r="C96" s="67">
        <f ca="1">IF(AND(E96&gt;='Invoer gegevens'!$C$17,E96&lt;'Invoer gegevens'!$C$17+'Invoer gegevens'!$I$14),1,0)</f>
        <v>1</v>
      </c>
      <c r="D96" s="68">
        <f t="shared" si="16"/>
        <v>23.5</v>
      </c>
      <c r="E96" s="108">
        <f ca="1">IF('Invoer gegevens'!$C$16="","",E95+1)</f>
        <v>2042</v>
      </c>
      <c r="F96" s="84">
        <f ca="1">IF('Invoer gegevens'!$C$17=E96,'Invoer gegevens'!$C$10,IF(C96=1,K95,0))</f>
        <v>0</v>
      </c>
      <c r="G96" s="96">
        <f ca="1">IF(E96='Invoer gegevens'!$C$17+'Invoer gegevens'!$I$14,K95,IF(C96&gt;=1,F96*VLOOKUP(E96,Reeksen!$A$5:$B$76,2),0))</f>
        <v>0</v>
      </c>
      <c r="H96" s="84">
        <f ca="1">IF(E96='Invoer gegevens'!$C$17+'Invoer gegevens'!$I$14,K95,(1-('Invoer gegevens'!$F$20/12))*F96*MIN(Reeksen!B28,Reeksen!D28))</f>
        <v>0</v>
      </c>
      <c r="I96" s="84">
        <f>IF(Reeksen!D28&lt;Reeksen!B28,(Reeksen!B28-Reeksen!D28)*F96,0)</f>
        <v>0</v>
      </c>
      <c r="J96" s="84">
        <f ca="1">IF(E96='Invoer gegevens'!$C$17+'Invoer gegevens'!$I$14+1,0,('Invoer gegevens'!$F$20/12)*F95*MIN(Reeksen!B27,Reeksen!D27))</f>
        <v>0</v>
      </c>
      <c r="K96" s="97">
        <f ca="1">IF(E96&gt;='Invoer gegevens'!$C$17+'Invoer gegevens'!$I$14,0,F96-G96)</f>
        <v>0</v>
      </c>
      <c r="L96" s="84">
        <f ca="1">IF('Invoer gegevens'!$C$17=E96,0,IF(C96=1,Q95,0))</f>
        <v>0</v>
      </c>
      <c r="M96" s="96">
        <f ca="1">IF(E96='Invoer gegevens'!$C$17+'Invoer gegevens'!$I$14,Q95,IF(C96&gt;=1,L96*VLOOKUP(E96,Reeksen!$A$5:$B$76,2),0))</f>
        <v>0</v>
      </c>
      <c r="N96" s="84">
        <f ca="1">IF(C96='Invoer gegevens'!$C$17+'Invoer gegevens'!$I$14,Q95,(1-('Invoer gegevens'!$F$20/12))*L96*MIN(Reeksen!B28,Reeksen!D28))</f>
        <v>0</v>
      </c>
      <c r="O96" s="84">
        <f>IF(Reeksen!D28&lt;Reeksen!B28,(Reeksen!B28-Reeksen!D28)*L96,0)</f>
        <v>0</v>
      </c>
      <c r="P96" s="84">
        <f ca="1">IF(E96='Invoer gegevens'!$C$17+'Invoer gegevens'!$I$14+1,0,('Invoer gegevens'!$F$20/12)*L95*MIN(Reeksen!B27,Reeksen!D27))</f>
        <v>0</v>
      </c>
      <c r="Q96" s="84">
        <f ca="1">IF(E96&gt;='Invoer gegevens'!$C$17+'Invoer gegevens'!$I$14,0,L96-M96+I96+O96)</f>
        <v>0</v>
      </c>
      <c r="R96" s="82">
        <f ca="1">IF('Invoer gegevens'!$C$17=E96,'Invoer gegevens'!$C$11,IF(C96=1,W95,0))</f>
        <v>0</v>
      </c>
      <c r="S96" s="86">
        <f ca="1">IF(E96='Invoer gegevens'!$C$17+'Invoer gegevens'!$I$14,W95,IF(C96&gt;=1,R96*VLOOKUP(E96,Reeksen!$A$5:$B$76,2),0))</f>
        <v>0</v>
      </c>
      <c r="T96" s="84">
        <f ca="1">IF(E96='Invoer gegevens'!$C$17+'Invoer gegevens'!$I$14,W95,(1-('Invoer gegevens'!$F$20/12))*R96*MIN(Reeksen!B28,Reeksen!D28))</f>
        <v>0</v>
      </c>
      <c r="U96" s="84">
        <f>IF(Reeksen!D28&gt;=Reeksen!B28,0,IF(Reeksen!AK28&lt;=Reeksen!AE28,(Reeksen!B28-Reeksen!D28)*R96,0))</f>
        <v>0</v>
      </c>
      <c r="V96" s="86">
        <f>IF(Reeksen!D28&gt;=Reeksen!B28,0,IF(Reeksen!AK28&gt;Reeksen!AE28,(Reeksen!B28-Reeksen!D28)*R96,0))</f>
        <v>0</v>
      </c>
      <c r="W96" s="97">
        <f ca="1">IF(E96&gt;='Invoer gegevens'!$C$17+'Invoer gegevens'!$I$14,0,R96-S96)</f>
        <v>0</v>
      </c>
      <c r="X96" s="98">
        <f ca="1">IF('Invoer gegevens'!$C$17=E96,'Invoer gegevens'!$C$10-'Invoer gegevens'!$C$11,IF(C96=1,AC95,0))</f>
        <v>0</v>
      </c>
      <c r="Y96" s="98">
        <f ca="1">IF(E96='Invoer gegevens'!$C$17+'Invoer gegevens'!$I$14,AC95,IF(C96&gt;=1,X96*VLOOKUP(E96,Reeksen!$A$5:$B$76,2),0))</f>
        <v>0</v>
      </c>
      <c r="Z96" s="98">
        <f ca="1">IF(E96='Invoer gegevens'!$C$17+'Invoer gegevens'!$I$14,AC95,(1-('Invoer gegevens'!$F$20/12))*X96*MIN(Reeksen!B28,Reeksen!D28))</f>
        <v>0</v>
      </c>
      <c r="AA96" s="98">
        <f>IF(Reeksen!D28&gt;=Reeksen!B28,0,IF(Reeksen!AK28&lt;=Reeksen!AE28,(Reeksen!B28-Reeksen!D28)*X96,0))</f>
        <v>0</v>
      </c>
      <c r="AB96" s="98">
        <f>IF(Reeksen!D28&gt;=Reeksen!B28,0,IF(Reeksen!AK28&gt;Reeksen!AE28,(Reeksen!B28-Reeksen!D28)*X96,0))</f>
        <v>0</v>
      </c>
      <c r="AC96" s="99">
        <f ca="1">IF(E96&gt;='Invoer gegevens'!$C$17+'Invoer gegevens'!$I$14,0,X96-Y96)</f>
        <v>0</v>
      </c>
      <c r="AD96" s="98">
        <f ca="1">IF('Invoer gegevens'!$C$17=E28,R96,IF(C28=0,0,AE95))</f>
        <v>0</v>
      </c>
      <c r="AE96" s="98">
        <f t="shared" ca="1" si="9"/>
        <v>0</v>
      </c>
      <c r="AF96" s="98">
        <f ca="1">IF('Invoer gegevens'!$C$17=E28,X96,IF(C28=0,0,AG95))</f>
        <v>0</v>
      </c>
      <c r="AG96" s="98">
        <f t="shared" ca="1" si="10"/>
        <v>0</v>
      </c>
      <c r="AH96" s="70"/>
      <c r="AI96" s="71">
        <f ca="1">IF(C96=1,((Reeksen!BF28*(F96-G96+F96)/2)+((L96-M96+L96)/2*Reeksen!BG28))*12,0)</f>
        <v>0</v>
      </c>
      <c r="AJ96" s="71">
        <f ca="1">-AI96*'Invoer gegevens'!$I$26</f>
        <v>0</v>
      </c>
      <c r="AK96" s="71">
        <f t="shared" ca="1" si="11"/>
        <v>0</v>
      </c>
      <c r="AL96" s="71">
        <f ca="1">IF(C96=1,Reeksen!AL28*((F96-G96+F96)/2)*12+Reeksen!AM28*((L96-M96+L96)/2)*12,0)</f>
        <v>0</v>
      </c>
      <c r="AM96" s="71">
        <f ca="1">-AL96*'Invoer gegevens'!$F$31</f>
        <v>0</v>
      </c>
      <c r="AN96" s="71">
        <f t="shared" ca="1" si="12"/>
        <v>0</v>
      </c>
      <c r="AO96" s="71">
        <f ca="1">IF(E96&gt;='Invoer gegevens'!$C$17+'Invoer gegevens'!$I$14,0,IF(C96=1,(H96+J96+N96+P96)*Reeksen!AN28,0))</f>
        <v>0</v>
      </c>
      <c r="AP96" s="71">
        <f ca="1">-IF(C96=1,(H96+J96+N96+P96)*Reeksen!AN27*'Hulp - basis'!$B$550,0)</f>
        <v>0</v>
      </c>
      <c r="AQ96" s="71">
        <f ca="1">-IF(C96=1,(F96+K96+L96+Q96)/2*'Invoer gegevens'!$I$33*Reeksen!J28,0)</f>
        <v>0</v>
      </c>
      <c r="AR96" s="71">
        <f ca="1">-IF(C96=1,(I96*'Invoer gegevens'!$I$34)*Reeksen!J28,0)</f>
        <v>0</v>
      </c>
      <c r="AS96" s="71">
        <f ca="1">-IF(C96=1,(F96+K96+L96+Q96)/2*'Invoer gegevens'!$I$35*Reeksen!L28,0)</f>
        <v>0</v>
      </c>
      <c r="AT96" s="71">
        <f ca="1">-IF(C96=1,IF(E96='Invoer gegevens'!$C$17,'Invoer gegevens'!$C$11,AD96)*Reeksen!S28*'Invoer gegevens'!$C$18*Reeksen!P28,0)</f>
        <v>0</v>
      </c>
      <c r="AU96" s="71">
        <f ca="1">-IF(C96=1,(F96+K96+L96+Q96)/2*'Invoer gegevens'!$I$36*Reeksen!H28,0)</f>
        <v>0</v>
      </c>
      <c r="AV96" s="71">
        <f t="shared" ca="1" si="13"/>
        <v>0</v>
      </c>
      <c r="AW96" s="72">
        <f ca="1">IFERROR(IF(E96='Invoer gegevens'!$C$17+'Invoer gegevens'!$I$14-1,'Invoer gegevens'!$I$13*K96*Reeksen!H28,0),0)</f>
        <v>0</v>
      </c>
      <c r="AX96" s="72">
        <f ca="1">IFERROR(IF(E96='Invoer gegevens'!$C$17,-'Invoer gegevens'!$C$10*('Invoer gegevens'!$C$30+'Invoer gegevens'!$C$31)*Reeksen!H28,0),0)</f>
        <v>0</v>
      </c>
      <c r="AY96" s="73">
        <f ca="1">IF('Invoer gegevens'!$C$34=E96,'Invoer gegevens'!$C$27*'Invoer gegevens'!$C$10*'Invoer gegevens'!$C$36*(IF('Invoer gegevens'!$C$35="ja",1,Reeksen!J28)),IF('Invoer gegevens'!$C$34+1=E96,'Invoer gegevens'!$C$27*'Invoer gegevens'!$C$10*'Invoer gegevens'!$C$37*(IF('Invoer gegevens'!$C$35="ja",1,Reeksen!J28)),0))+IF(AND(E96='Invoer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6" s="73">
        <f ca="1">AV96/(1+'Invoer gegevens'!$I$12)^($D96-('Invoer gegevens'!$C$17-'Invoer gegevens'!$C$16))/(1+'Invoer gegevens'!$C$39)^('Invoer gegevens'!$C$17-'Invoer gegevens'!$C$16)</f>
        <v>0</v>
      </c>
      <c r="BA96" s="73">
        <f ca="1">AW96/(1+'Invoer gegevens'!$I$12)^(E96-('Invoer gegevens'!$C$17-1))/(1+'Invoer gegevens'!$C$39)^('Invoer gegevens'!$C$17-'Invoer gegevens'!$C$16)</f>
        <v>0</v>
      </c>
      <c r="BB96" s="73">
        <f ca="1">AX96/(1+'Invoer gegevens'!$C$39)^('Invoer gegevens'!$C$17-'Invoer gegevens'!$C$16)</f>
        <v>0</v>
      </c>
      <c r="BC96" s="72">
        <f t="shared" ca="1" si="14"/>
        <v>0</v>
      </c>
      <c r="BD96" s="72">
        <f ca="1">IF(AND(E96='Invoer gegevens'!$C$16,'Invoer gegevens'!$C$34&lt;'Invoer gegevens'!$C$16),AY96,AY96/(1+'Invoer gegevens'!$C$39)^D96)</f>
        <v>0</v>
      </c>
      <c r="BE96" s="72">
        <f ca="1">IF(E96='Invoer gegevens'!$C$34,-'Invoer gegevens'!$I$38,0)</f>
        <v>0</v>
      </c>
      <c r="BF96" s="72">
        <f ca="1">IF(E96='Invoer gegevens'!$C$17,-'Invoer gegevens'!$C$19*$BC$134,0)</f>
        <v>0</v>
      </c>
      <c r="BG96" s="72">
        <f ca="1">AV96/(1+$BG$72)^($D96-('Invoer gegevens'!$C$17-'Invoer gegevens'!$C$16))/(1+'Invoer gegevens'!$C$39)^('Invoer gegevens'!$C$17-'Invoer gegevens'!$C$16)+AW96/(1+$BG$72)^(E96-('Invoer gegevens'!$C$17-1))/(1+'Invoer gegevens'!$C$39)^('Invoer gegevens'!$C$17-'Invoer gegevens'!$C$16)+AX96/(1+'Invoer gegevens'!$C$39)^('Invoer gegevens'!$C$17-'Invoer gegevens'!$C$16)+(-AY96/(1+'Invoer gegevens'!$C$39)^D96)+BE96+BF96</f>
        <v>0</v>
      </c>
    </row>
    <row r="97" spans="1:59" x14ac:dyDescent="0.25">
      <c r="A97" s="59"/>
      <c r="B97" s="70">
        <f t="shared" si="15"/>
        <v>25</v>
      </c>
      <c r="C97" s="67">
        <f ca="1">IF(AND(E97&gt;='Invoer gegevens'!$C$17,E97&lt;'Invoer gegevens'!$C$17+'Invoer gegevens'!$I$14),1,0)</f>
        <v>1</v>
      </c>
      <c r="D97" s="68">
        <f t="shared" si="16"/>
        <v>24.5</v>
      </c>
      <c r="E97" s="108">
        <f ca="1">IF('Invoer gegevens'!$C$16="","",E96+1)</f>
        <v>2043</v>
      </c>
      <c r="F97" s="84">
        <f ca="1">IF('Invoer gegevens'!$C$17=E97,'Invoer gegevens'!$C$10,IF(C97=1,K96,0))</f>
        <v>0</v>
      </c>
      <c r="G97" s="96">
        <f ca="1">IF(E97='Invoer gegevens'!$C$17+'Invoer gegevens'!$I$14,K96,IF(C97&gt;=1,F97*VLOOKUP(E97,Reeksen!$A$5:$B$76,2),0))</f>
        <v>0</v>
      </c>
      <c r="H97" s="84">
        <f ca="1">IF(E97='Invoer gegevens'!$C$17+'Invoer gegevens'!$I$14,K96,(1-('Invoer gegevens'!$F$20/12))*F97*MIN(Reeksen!B29,Reeksen!D29))</f>
        <v>0</v>
      </c>
      <c r="I97" s="84">
        <f>IF(Reeksen!D29&lt;Reeksen!B29,(Reeksen!B29-Reeksen!D29)*F97,0)</f>
        <v>0</v>
      </c>
      <c r="J97" s="84">
        <f ca="1">IF(E97='Invoer gegevens'!$C$17+'Invoer gegevens'!$I$14+1,0,('Invoer gegevens'!$F$20/12)*F96*MIN(Reeksen!B28,Reeksen!D28))</f>
        <v>0</v>
      </c>
      <c r="K97" s="97">
        <f ca="1">IF(E97&gt;='Invoer gegevens'!$C$17+'Invoer gegevens'!$I$14,0,F97-G97)</f>
        <v>0</v>
      </c>
      <c r="L97" s="84">
        <f ca="1">IF('Invoer gegevens'!$C$17=E97,0,IF(C97=1,Q96,0))</f>
        <v>0</v>
      </c>
      <c r="M97" s="96">
        <f ca="1">IF(E97='Invoer gegevens'!$C$17+'Invoer gegevens'!$I$14,Q96,IF(C97&gt;=1,L97*VLOOKUP(E97,Reeksen!$A$5:$B$76,2),0))</f>
        <v>0</v>
      </c>
      <c r="N97" s="84">
        <f ca="1">IF(C97='Invoer gegevens'!$C$17+'Invoer gegevens'!$I$14,Q96,(1-('Invoer gegevens'!$F$20/12))*L97*MIN(Reeksen!B29,Reeksen!D29))</f>
        <v>0</v>
      </c>
      <c r="O97" s="84">
        <f>IF(Reeksen!D29&lt;Reeksen!B29,(Reeksen!B29-Reeksen!D29)*L97,0)</f>
        <v>0</v>
      </c>
      <c r="P97" s="84">
        <f ca="1">IF(E97='Invoer gegevens'!$C$17+'Invoer gegevens'!$I$14+1,0,('Invoer gegevens'!$F$20/12)*L96*MIN(Reeksen!B28,Reeksen!D28))</f>
        <v>0</v>
      </c>
      <c r="Q97" s="84">
        <f ca="1">IF(E97&gt;='Invoer gegevens'!$C$17+'Invoer gegevens'!$I$14,0,L97-M97+I97+O97)</f>
        <v>0</v>
      </c>
      <c r="R97" s="82">
        <f ca="1">IF('Invoer gegevens'!$C$17=E97,'Invoer gegevens'!$C$11,IF(C97=1,W96,0))</f>
        <v>0</v>
      </c>
      <c r="S97" s="86">
        <f ca="1">IF(E97='Invoer gegevens'!$C$17+'Invoer gegevens'!$I$14,W96,IF(C97&gt;=1,R97*VLOOKUP(E97,Reeksen!$A$5:$B$76,2),0))</f>
        <v>0</v>
      </c>
      <c r="T97" s="84">
        <f ca="1">IF(E97='Invoer gegevens'!$C$17+'Invoer gegevens'!$I$14,W96,(1-('Invoer gegevens'!$F$20/12))*R97*MIN(Reeksen!B29,Reeksen!D29))</f>
        <v>0</v>
      </c>
      <c r="U97" s="84">
        <f>IF(Reeksen!D29&gt;=Reeksen!B29,0,IF(Reeksen!AK29&lt;=Reeksen!AE29,(Reeksen!B29-Reeksen!D29)*R97,0))</f>
        <v>0</v>
      </c>
      <c r="V97" s="86">
        <f>IF(Reeksen!D29&gt;=Reeksen!B29,0,IF(Reeksen!AK29&gt;Reeksen!AE29,(Reeksen!B29-Reeksen!D29)*R97,0))</f>
        <v>0</v>
      </c>
      <c r="W97" s="97">
        <f ca="1">IF(E97&gt;='Invoer gegevens'!$C$17+'Invoer gegevens'!$I$14,0,R97-S97)</f>
        <v>0</v>
      </c>
      <c r="X97" s="98">
        <f ca="1">IF('Invoer gegevens'!$C$17=E97,'Invoer gegevens'!$C$10-'Invoer gegevens'!$C$11,IF(C97=1,AC96,0))</f>
        <v>0</v>
      </c>
      <c r="Y97" s="98">
        <f ca="1">IF(E97='Invoer gegevens'!$C$17+'Invoer gegevens'!$I$14,AC96,IF(C97&gt;=1,X97*VLOOKUP(E97,Reeksen!$A$5:$B$76,2),0))</f>
        <v>0</v>
      </c>
      <c r="Z97" s="98">
        <f ca="1">IF(E97='Invoer gegevens'!$C$17+'Invoer gegevens'!$I$14,AC96,(1-('Invoer gegevens'!$F$20/12))*X97*MIN(Reeksen!B29,Reeksen!D29))</f>
        <v>0</v>
      </c>
      <c r="AA97" s="98">
        <f>IF(Reeksen!D29&gt;=Reeksen!B29,0,IF(Reeksen!AK29&lt;=Reeksen!AE29,(Reeksen!B29-Reeksen!D29)*X97,0))</f>
        <v>0</v>
      </c>
      <c r="AB97" s="98">
        <f>IF(Reeksen!D29&gt;=Reeksen!B29,0,IF(Reeksen!AK29&gt;Reeksen!AE29,(Reeksen!B29-Reeksen!D29)*X97,0))</f>
        <v>0</v>
      </c>
      <c r="AC97" s="99">
        <f ca="1">IF(E97&gt;='Invoer gegevens'!$C$17+'Invoer gegevens'!$I$14,0,X97-Y97)</f>
        <v>0</v>
      </c>
      <c r="AD97" s="98">
        <f ca="1">IF('Invoer gegevens'!$C$17=E29,R97,IF(C29=0,0,AE96))</f>
        <v>0</v>
      </c>
      <c r="AE97" s="98">
        <f t="shared" ca="1" si="9"/>
        <v>0</v>
      </c>
      <c r="AF97" s="98">
        <f ca="1">IF('Invoer gegevens'!$C$17=E29,X97,IF(C29=0,0,AG96))</f>
        <v>0</v>
      </c>
      <c r="AG97" s="98">
        <f t="shared" ca="1" si="10"/>
        <v>0</v>
      </c>
      <c r="AH97" s="70"/>
      <c r="AI97" s="71">
        <f ca="1">IF(C97=1,((Reeksen!BF29*(F97-G97+F97)/2)+((L97-M97+L97)/2*Reeksen!BG29))*12,0)</f>
        <v>0</v>
      </c>
      <c r="AJ97" s="71">
        <f ca="1">-AI97*'Invoer gegevens'!$I$26</f>
        <v>0</v>
      </c>
      <c r="AK97" s="71">
        <f t="shared" ca="1" si="11"/>
        <v>0</v>
      </c>
      <c r="AL97" s="71">
        <f ca="1">IF(C97=1,Reeksen!AL29*((F97-G97+F97)/2)*12+Reeksen!AM29*((L97-M97+L97)/2)*12,0)</f>
        <v>0</v>
      </c>
      <c r="AM97" s="71">
        <f ca="1">-AL97*'Invoer gegevens'!$F$31</f>
        <v>0</v>
      </c>
      <c r="AN97" s="71">
        <f t="shared" ca="1" si="12"/>
        <v>0</v>
      </c>
      <c r="AO97" s="71">
        <f ca="1">IF(E97&gt;='Invoer gegevens'!$C$17+'Invoer gegevens'!$I$14,0,IF(C97=1,(H97+J97+N97+P97)*Reeksen!AN29,0))</f>
        <v>0</v>
      </c>
      <c r="AP97" s="71">
        <f ca="1">-IF(C97=1,(H97+J97+N97+P97)*Reeksen!AN28*'Hulp - basis'!$B$550,0)</f>
        <v>0</v>
      </c>
      <c r="AQ97" s="71">
        <f ca="1">-IF(C97=1,(F97+K97+L97+Q97)/2*'Invoer gegevens'!$I$33*Reeksen!J29,0)</f>
        <v>0</v>
      </c>
      <c r="AR97" s="71">
        <f ca="1">-IF(C97=1,(I97*'Invoer gegevens'!$I$34)*Reeksen!J29,0)</f>
        <v>0</v>
      </c>
      <c r="AS97" s="71">
        <f ca="1">-IF(C97=1,(F97+K97+L97+Q97)/2*'Invoer gegevens'!$I$35*Reeksen!L29,0)</f>
        <v>0</v>
      </c>
      <c r="AT97" s="71">
        <f ca="1">-IF(C97=1,IF(E97='Invoer gegevens'!$C$17,'Invoer gegevens'!$C$11,AD97)*Reeksen!S29*'Invoer gegevens'!$C$18*Reeksen!P29,0)</f>
        <v>0</v>
      </c>
      <c r="AU97" s="71">
        <f ca="1">-IF(C97=1,(F97+K97+L97+Q97)/2*'Invoer gegevens'!$I$36*Reeksen!H29,0)</f>
        <v>0</v>
      </c>
      <c r="AV97" s="71">
        <f t="shared" ca="1" si="13"/>
        <v>0</v>
      </c>
      <c r="AW97" s="72">
        <f ca="1">IFERROR(IF(E97='Invoer gegevens'!$C$17+'Invoer gegevens'!$I$14-1,'Invoer gegevens'!$I$13*K97*Reeksen!H29,0),0)</f>
        <v>0</v>
      </c>
      <c r="AX97" s="72">
        <f ca="1">IFERROR(IF(E97='Invoer gegevens'!$C$17,-'Invoer gegevens'!$C$10*('Invoer gegevens'!$C$30+'Invoer gegevens'!$C$31)*Reeksen!H29,0),0)</f>
        <v>0</v>
      </c>
      <c r="AY97" s="73">
        <f ca="1">IF('Invoer gegevens'!$C$34=E97,'Invoer gegevens'!$C$27*'Invoer gegevens'!$C$10*'Invoer gegevens'!$C$36*(IF('Invoer gegevens'!$C$35="ja",1,Reeksen!J29)),IF('Invoer gegevens'!$C$34+1=E97,'Invoer gegevens'!$C$27*'Invoer gegevens'!$C$10*'Invoer gegevens'!$C$37*(IF('Invoer gegevens'!$C$35="ja",1,Reeksen!J29)),0))+IF(AND(E97='Invoer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7" s="73">
        <f ca="1">AV97/(1+'Invoer gegevens'!$I$12)^($D97-('Invoer gegevens'!$C$17-'Invoer gegevens'!$C$16))/(1+'Invoer gegevens'!$C$39)^('Invoer gegevens'!$C$17-'Invoer gegevens'!$C$16)</f>
        <v>0</v>
      </c>
      <c r="BA97" s="73">
        <f ca="1">AW97/(1+'Invoer gegevens'!$I$12)^(E97-('Invoer gegevens'!$C$17-1))/(1+'Invoer gegevens'!$C$39)^('Invoer gegevens'!$C$17-'Invoer gegevens'!$C$16)</f>
        <v>0</v>
      </c>
      <c r="BB97" s="73">
        <f ca="1">AX97/(1+'Invoer gegevens'!$C$39)^('Invoer gegevens'!$C$17-'Invoer gegevens'!$C$16)</f>
        <v>0</v>
      </c>
      <c r="BC97" s="72">
        <f t="shared" ca="1" si="14"/>
        <v>0</v>
      </c>
      <c r="BD97" s="72">
        <f ca="1">IF(AND(E97='Invoer gegevens'!$C$16,'Invoer gegevens'!$C$34&lt;'Invoer gegevens'!$C$16),AY97,AY97/(1+'Invoer gegevens'!$C$39)^D97)</f>
        <v>0</v>
      </c>
      <c r="BE97" s="72">
        <f ca="1">IF(E97='Invoer gegevens'!$C$34,-'Invoer gegevens'!$I$38,0)</f>
        <v>0</v>
      </c>
      <c r="BF97" s="72">
        <f ca="1">IF(E97='Invoer gegevens'!$C$17,-'Invoer gegevens'!$C$19*$BC$134,0)</f>
        <v>0</v>
      </c>
      <c r="BG97" s="72">
        <f ca="1">AV97/(1+$BG$72)^($D97-('Invoer gegevens'!$C$17-'Invoer gegevens'!$C$16))/(1+'Invoer gegevens'!$C$39)^('Invoer gegevens'!$C$17-'Invoer gegevens'!$C$16)+AW97/(1+$BG$72)^(E97-('Invoer gegevens'!$C$17-1))/(1+'Invoer gegevens'!$C$39)^('Invoer gegevens'!$C$17-'Invoer gegevens'!$C$16)+AX97/(1+'Invoer gegevens'!$C$39)^('Invoer gegevens'!$C$17-'Invoer gegevens'!$C$16)+(-AY97/(1+'Invoer gegevens'!$C$39)^D97)+BE97+BF97</f>
        <v>0</v>
      </c>
    </row>
    <row r="98" spans="1:59" x14ac:dyDescent="0.25">
      <c r="B98" s="70">
        <f t="shared" si="15"/>
        <v>26</v>
      </c>
      <c r="C98" s="67">
        <f ca="1">IF(AND(E98&gt;='Invoer gegevens'!$C$17,E98&lt;'Invoer gegevens'!$C$17+'Invoer gegevens'!$I$14),1,0)</f>
        <v>1</v>
      </c>
      <c r="D98" s="68">
        <f t="shared" si="16"/>
        <v>25.5</v>
      </c>
      <c r="E98" s="108">
        <f ca="1">IF('Invoer gegevens'!$C$16="","",E97+1)</f>
        <v>2044</v>
      </c>
      <c r="F98" s="84">
        <f ca="1">IF('Invoer gegevens'!$C$17=E98,'Invoer gegevens'!$C$10,IF(C98=1,K97,0))</f>
        <v>0</v>
      </c>
      <c r="G98" s="96">
        <f ca="1">IF(E98='Invoer gegevens'!$C$17+'Invoer gegevens'!$I$14,K97,IF(C98&gt;=1,F98*VLOOKUP(E98,Reeksen!$A$5:$B$76,2),0))</f>
        <v>0</v>
      </c>
      <c r="H98" s="84">
        <f ca="1">IF(E98='Invoer gegevens'!$C$17+'Invoer gegevens'!$I$14,K97,(1-('Invoer gegevens'!$F$20/12))*F98*MIN(Reeksen!B30,Reeksen!D30))</f>
        <v>0</v>
      </c>
      <c r="I98" s="84">
        <f>IF(Reeksen!D30&lt;Reeksen!B30,(Reeksen!B30-Reeksen!D30)*F98,0)</f>
        <v>0</v>
      </c>
      <c r="J98" s="84">
        <f ca="1">IF(E98='Invoer gegevens'!$C$17+'Invoer gegevens'!$I$14+1,0,('Invoer gegevens'!$F$20/12)*F97*MIN(Reeksen!B29,Reeksen!D29))</f>
        <v>0</v>
      </c>
      <c r="K98" s="97">
        <f ca="1">IF(E98&gt;='Invoer gegevens'!$C$17+'Invoer gegevens'!$I$14,0,F98-G98)</f>
        <v>0</v>
      </c>
      <c r="L98" s="84">
        <f ca="1">IF('Invoer gegevens'!$C$17=E98,0,IF(C98=1,Q97,0))</f>
        <v>0</v>
      </c>
      <c r="M98" s="96">
        <f ca="1">IF(E98='Invoer gegevens'!$C$17+'Invoer gegevens'!$I$14,Q97,IF(C98&gt;=1,L98*VLOOKUP(E98,Reeksen!$A$5:$B$76,2),0))</f>
        <v>0</v>
      </c>
      <c r="N98" s="84">
        <f ca="1">IF(C98='Invoer gegevens'!$C$17+'Invoer gegevens'!$I$14,Q97,(1-('Invoer gegevens'!$F$20/12))*L98*MIN(Reeksen!B30,Reeksen!D30))</f>
        <v>0</v>
      </c>
      <c r="O98" s="84">
        <f>IF(Reeksen!D30&lt;Reeksen!B30,(Reeksen!B30-Reeksen!D30)*L98,0)</f>
        <v>0</v>
      </c>
      <c r="P98" s="84">
        <f ca="1">IF(E98='Invoer gegevens'!$C$17+'Invoer gegevens'!$I$14+1,0,('Invoer gegevens'!$F$20/12)*L97*MIN(Reeksen!B29,Reeksen!D29))</f>
        <v>0</v>
      </c>
      <c r="Q98" s="84">
        <f ca="1">IF(E98&gt;='Invoer gegevens'!$C$17+'Invoer gegevens'!$I$14,0,L98-M98+I98+O98)</f>
        <v>0</v>
      </c>
      <c r="R98" s="82">
        <f ca="1">IF('Invoer gegevens'!$C$17=E98,'Invoer gegevens'!$C$11,IF(C98=1,W97,0))</f>
        <v>0</v>
      </c>
      <c r="S98" s="86">
        <f ca="1">IF(E98='Invoer gegevens'!$C$17+'Invoer gegevens'!$I$14,W97,IF(C98&gt;=1,R98*VLOOKUP(E98,Reeksen!$A$5:$B$76,2),0))</f>
        <v>0</v>
      </c>
      <c r="T98" s="84">
        <f ca="1">IF(E98='Invoer gegevens'!$C$17+'Invoer gegevens'!$I$14,W97,(1-('Invoer gegevens'!$F$20/12))*R98*MIN(Reeksen!B30,Reeksen!D30))</f>
        <v>0</v>
      </c>
      <c r="U98" s="84">
        <f>IF(Reeksen!D30&gt;=Reeksen!B30,0,IF(Reeksen!AK30&lt;=Reeksen!AE30,(Reeksen!B30-Reeksen!D30)*R98,0))</f>
        <v>0</v>
      </c>
      <c r="V98" s="86">
        <f>IF(Reeksen!D30&gt;=Reeksen!B30,0,IF(Reeksen!AK30&gt;Reeksen!AE30,(Reeksen!B30-Reeksen!D30)*R98,0))</f>
        <v>0</v>
      </c>
      <c r="W98" s="97">
        <f ca="1">IF(E98&gt;='Invoer gegevens'!$C$17+'Invoer gegevens'!$I$14,0,R98-S98)</f>
        <v>0</v>
      </c>
      <c r="X98" s="98">
        <f ca="1">IF('Invoer gegevens'!$C$17=E98,'Invoer gegevens'!$C$10-'Invoer gegevens'!$C$11,IF(C98=1,AC97,0))</f>
        <v>0</v>
      </c>
      <c r="Y98" s="98">
        <f ca="1">IF(E98='Invoer gegevens'!$C$17+'Invoer gegevens'!$I$14,AC97,IF(C98&gt;=1,X98*VLOOKUP(E98,Reeksen!$A$5:$B$76,2),0))</f>
        <v>0</v>
      </c>
      <c r="Z98" s="98">
        <f ca="1">IF(E98='Invoer gegevens'!$C$17+'Invoer gegevens'!$I$14,AC97,(1-('Invoer gegevens'!$F$20/12))*X98*MIN(Reeksen!B30,Reeksen!D30))</f>
        <v>0</v>
      </c>
      <c r="AA98" s="98">
        <f>IF(Reeksen!D30&gt;=Reeksen!B30,0,IF(Reeksen!AK30&lt;=Reeksen!AE30,(Reeksen!B30-Reeksen!D30)*X98,0))</f>
        <v>0</v>
      </c>
      <c r="AB98" s="98">
        <f>IF(Reeksen!D30&gt;=Reeksen!B30,0,IF(Reeksen!AK30&gt;Reeksen!AE30,(Reeksen!B30-Reeksen!D30)*X98,0))</f>
        <v>0</v>
      </c>
      <c r="AC98" s="99">
        <f ca="1">IF(E98&gt;='Invoer gegevens'!$C$17+'Invoer gegevens'!$I$14,0,X98-Y98)</f>
        <v>0</v>
      </c>
      <c r="AD98" s="98">
        <f ca="1">IF('Invoer gegevens'!$C$17=E30,R98,IF(C30=0,0,AE97))</f>
        <v>0</v>
      </c>
      <c r="AE98" s="98">
        <f t="shared" ca="1" si="9"/>
        <v>0</v>
      </c>
      <c r="AF98" s="98">
        <f ca="1">IF('Invoer gegevens'!$C$17=E30,X98,IF(C30=0,0,AG97))</f>
        <v>0</v>
      </c>
      <c r="AG98" s="98">
        <f t="shared" ca="1" si="10"/>
        <v>0</v>
      </c>
      <c r="AH98" s="70"/>
      <c r="AI98" s="71">
        <f ca="1">IF(C98=1,((Reeksen!BF30*(F98-G98+F98)/2)+((L98-M98+L98)/2*Reeksen!BG30))*12,0)</f>
        <v>0</v>
      </c>
      <c r="AJ98" s="71">
        <f ca="1">-AI98*'Invoer gegevens'!$I$26</f>
        <v>0</v>
      </c>
      <c r="AK98" s="71">
        <f t="shared" ca="1" si="11"/>
        <v>0</v>
      </c>
      <c r="AL98" s="71">
        <f ca="1">IF(C98=1,Reeksen!AL30*((F98-G98+F98)/2)*12+Reeksen!AM30*((L98-M98+L98)/2)*12,0)</f>
        <v>0</v>
      </c>
      <c r="AM98" s="71">
        <f ca="1">-AL98*'Invoer gegevens'!$F$31</f>
        <v>0</v>
      </c>
      <c r="AN98" s="71">
        <f t="shared" ca="1" si="12"/>
        <v>0</v>
      </c>
      <c r="AO98" s="71">
        <f ca="1">IF(E98&gt;='Invoer gegevens'!$C$17+'Invoer gegevens'!$I$14,0,IF(C98=1,(H98+J98+N98+P98)*Reeksen!AN30,0))</f>
        <v>0</v>
      </c>
      <c r="AP98" s="71">
        <f ca="1">-IF(C98=1,(H98+J98+N98+P98)*Reeksen!AN29*'Hulp - basis'!$B$550,0)</f>
        <v>0</v>
      </c>
      <c r="AQ98" s="71">
        <f ca="1">-IF(C98=1,(F98+K98+L98+Q98)/2*'Invoer gegevens'!$I$33*Reeksen!J30,0)</f>
        <v>0</v>
      </c>
      <c r="AR98" s="71">
        <f ca="1">-IF(C98=1,(I98*'Invoer gegevens'!$I$34)*Reeksen!J30,0)</f>
        <v>0</v>
      </c>
      <c r="AS98" s="71">
        <f ca="1">-IF(C98=1,(F98+K98+L98+Q98)/2*'Invoer gegevens'!$I$35*Reeksen!L30,0)</f>
        <v>0</v>
      </c>
      <c r="AT98" s="71">
        <f ca="1">-IF(C98=1,IF(E98='Invoer gegevens'!$C$17,'Invoer gegevens'!$C$11,AD98)*Reeksen!S30*'Invoer gegevens'!$C$18*Reeksen!P30,0)</f>
        <v>0</v>
      </c>
      <c r="AU98" s="71">
        <f ca="1">-IF(C98=1,(F98+K98+L98+Q98)/2*'Invoer gegevens'!$I$36*Reeksen!H30,0)</f>
        <v>0</v>
      </c>
      <c r="AV98" s="71">
        <f t="shared" ca="1" si="13"/>
        <v>0</v>
      </c>
      <c r="AW98" s="72">
        <f ca="1">IFERROR(IF(E98='Invoer gegevens'!$C$17+'Invoer gegevens'!$I$14-1,'Invoer gegevens'!$I$13*K98*Reeksen!H30,0),0)</f>
        <v>0</v>
      </c>
      <c r="AX98" s="72">
        <f ca="1">IFERROR(IF(E98='Invoer gegevens'!$C$17,-'Invoer gegevens'!$C$10*('Invoer gegevens'!$C$30+'Invoer gegevens'!$C$31)*Reeksen!H30,0),0)</f>
        <v>0</v>
      </c>
      <c r="AY98" s="73">
        <f ca="1">IF('Invoer gegevens'!$C$34=E98,'Invoer gegevens'!$C$27*'Invoer gegevens'!$C$10*'Invoer gegevens'!$C$36*(IF('Invoer gegevens'!$C$35="ja",1,Reeksen!J30)),IF('Invoer gegevens'!$C$34+1=E98,'Invoer gegevens'!$C$27*'Invoer gegevens'!$C$10*'Invoer gegevens'!$C$37*(IF('Invoer gegevens'!$C$35="ja",1,Reeksen!J30)),0))+IF(AND(E98='Invoer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8" s="73">
        <f ca="1">AV98/(1+'Invoer gegevens'!$I$12)^($D98-('Invoer gegevens'!$C$17-'Invoer gegevens'!$C$16))/(1+'Invoer gegevens'!$C$39)^('Invoer gegevens'!$C$17-'Invoer gegevens'!$C$16)</f>
        <v>0</v>
      </c>
      <c r="BA98" s="73">
        <f ca="1">AW98/(1+'Invoer gegevens'!$I$12)^(E98-('Invoer gegevens'!$C$17-1))/(1+'Invoer gegevens'!$C$39)^('Invoer gegevens'!$C$17-'Invoer gegevens'!$C$16)</f>
        <v>0</v>
      </c>
      <c r="BB98" s="73">
        <f ca="1">AX98/(1+'Invoer gegevens'!$C$39)^('Invoer gegevens'!$C$17-'Invoer gegevens'!$C$16)</f>
        <v>0</v>
      </c>
      <c r="BC98" s="72">
        <f t="shared" ca="1" si="14"/>
        <v>0</v>
      </c>
      <c r="BD98" s="72">
        <f ca="1">IF(AND(E98='Invoer gegevens'!$C$16,'Invoer gegevens'!$C$34&lt;'Invoer gegevens'!$C$16),AY98,AY98/(1+'Invoer gegevens'!$C$39)^D98)</f>
        <v>0</v>
      </c>
      <c r="BE98" s="72">
        <f ca="1">IF(E98='Invoer gegevens'!$C$34,-'Invoer gegevens'!$I$38,0)</f>
        <v>0</v>
      </c>
      <c r="BF98" s="72">
        <f ca="1">IF(E98='Invoer gegevens'!$C$17,-'Invoer gegevens'!$C$19*$BC$134,0)</f>
        <v>0</v>
      </c>
      <c r="BG98" s="72">
        <f ca="1">AV98/(1+$BG$72)^($D98-('Invoer gegevens'!$C$17-'Invoer gegevens'!$C$16))/(1+'Invoer gegevens'!$C$39)^('Invoer gegevens'!$C$17-'Invoer gegevens'!$C$16)+AW98/(1+$BG$72)^(E98-('Invoer gegevens'!$C$17-1))/(1+'Invoer gegevens'!$C$39)^('Invoer gegevens'!$C$17-'Invoer gegevens'!$C$16)+AX98/(1+'Invoer gegevens'!$C$39)^('Invoer gegevens'!$C$17-'Invoer gegevens'!$C$16)+(-AY98/(1+'Invoer gegevens'!$C$39)^D98)+BE98+BF98</f>
        <v>0</v>
      </c>
    </row>
    <row r="99" spans="1:59" x14ac:dyDescent="0.25">
      <c r="B99" s="70">
        <f t="shared" si="15"/>
        <v>27</v>
      </c>
      <c r="C99" s="67">
        <f ca="1">IF(AND(E99&gt;='Invoer gegevens'!$C$17,E99&lt;'Invoer gegevens'!$C$17+'Invoer gegevens'!$I$14),1,0)</f>
        <v>1</v>
      </c>
      <c r="D99" s="68">
        <f t="shared" si="16"/>
        <v>26.5</v>
      </c>
      <c r="E99" s="108">
        <f ca="1">IF('Invoer gegevens'!$C$16="","",E98+1)</f>
        <v>2045</v>
      </c>
      <c r="F99" s="84">
        <f ca="1">IF('Invoer gegevens'!$C$17=E99,'Invoer gegevens'!$C$10,IF(C99=1,K98,0))</f>
        <v>0</v>
      </c>
      <c r="G99" s="96">
        <f ca="1">IF(E99='Invoer gegevens'!$C$17+'Invoer gegevens'!$I$14,K98,IF(C99&gt;=1,F99*VLOOKUP(E99,Reeksen!$A$5:$B$76,2),0))</f>
        <v>0</v>
      </c>
      <c r="H99" s="84">
        <f ca="1">IF(E99='Invoer gegevens'!$C$17+'Invoer gegevens'!$I$14,K98,(1-('Invoer gegevens'!$F$20/12))*F99*MIN(Reeksen!B31,Reeksen!D31))</f>
        <v>0</v>
      </c>
      <c r="I99" s="84">
        <f>IF(Reeksen!D31&lt;Reeksen!B31,(Reeksen!B31-Reeksen!D31)*F99,0)</f>
        <v>0</v>
      </c>
      <c r="J99" s="84">
        <f ca="1">IF(E99='Invoer gegevens'!$C$17+'Invoer gegevens'!$I$14+1,0,('Invoer gegevens'!$F$20/12)*F98*MIN(Reeksen!B30,Reeksen!D30))</f>
        <v>0</v>
      </c>
      <c r="K99" s="97">
        <f ca="1">IF(E99&gt;='Invoer gegevens'!$C$17+'Invoer gegevens'!$I$14,0,F99-G99)</f>
        <v>0</v>
      </c>
      <c r="L99" s="84">
        <f ca="1">IF('Invoer gegevens'!$C$17=E99,0,IF(C99=1,Q98,0))</f>
        <v>0</v>
      </c>
      <c r="M99" s="96">
        <f ca="1">IF(E99='Invoer gegevens'!$C$17+'Invoer gegevens'!$I$14,Q98,IF(C99&gt;=1,L99*VLOOKUP(E99,Reeksen!$A$5:$B$76,2),0))</f>
        <v>0</v>
      </c>
      <c r="N99" s="84">
        <f ca="1">IF(C99='Invoer gegevens'!$C$17+'Invoer gegevens'!$I$14,Q98,(1-('Invoer gegevens'!$F$20/12))*L99*MIN(Reeksen!B31,Reeksen!D31))</f>
        <v>0</v>
      </c>
      <c r="O99" s="84">
        <f>IF(Reeksen!D31&lt;Reeksen!B31,(Reeksen!B31-Reeksen!D31)*L99,0)</f>
        <v>0</v>
      </c>
      <c r="P99" s="84">
        <f ca="1">IF(E99='Invoer gegevens'!$C$17+'Invoer gegevens'!$I$14+1,0,('Invoer gegevens'!$F$20/12)*L98*MIN(Reeksen!B30,Reeksen!D30))</f>
        <v>0</v>
      </c>
      <c r="Q99" s="84">
        <f ca="1">IF(E99&gt;='Invoer gegevens'!$C$17+'Invoer gegevens'!$I$14,0,L99-M99+I99+O99)</f>
        <v>0</v>
      </c>
      <c r="R99" s="82">
        <f ca="1">IF('Invoer gegevens'!$C$17=E99,'Invoer gegevens'!$C$11,IF(C99=1,W98,0))</f>
        <v>0</v>
      </c>
      <c r="S99" s="86">
        <f ca="1">IF(E99='Invoer gegevens'!$C$17+'Invoer gegevens'!$I$14,W98,IF(C99&gt;=1,R99*VLOOKUP(E99,Reeksen!$A$5:$B$76,2),0))</f>
        <v>0</v>
      </c>
      <c r="T99" s="84">
        <f ca="1">IF(E99='Invoer gegevens'!$C$17+'Invoer gegevens'!$I$14,W98,(1-('Invoer gegevens'!$F$20/12))*R99*MIN(Reeksen!B31,Reeksen!D31))</f>
        <v>0</v>
      </c>
      <c r="U99" s="84">
        <f>IF(Reeksen!D31&gt;=Reeksen!B31,0,IF(Reeksen!AK31&lt;=Reeksen!AE31,(Reeksen!B31-Reeksen!D31)*R99,0))</f>
        <v>0</v>
      </c>
      <c r="V99" s="86">
        <f>IF(Reeksen!D31&gt;=Reeksen!B31,0,IF(Reeksen!AK31&gt;Reeksen!AE31,(Reeksen!B31-Reeksen!D31)*R99,0))</f>
        <v>0</v>
      </c>
      <c r="W99" s="97">
        <f ca="1">IF(E99&gt;='Invoer gegevens'!$C$17+'Invoer gegevens'!$I$14,0,R99-S99)</f>
        <v>0</v>
      </c>
      <c r="X99" s="98">
        <f ca="1">IF('Invoer gegevens'!$C$17=E99,'Invoer gegevens'!$C$10-'Invoer gegevens'!$C$11,IF(C99=1,AC98,0))</f>
        <v>0</v>
      </c>
      <c r="Y99" s="98">
        <f ca="1">IF(E99='Invoer gegevens'!$C$17+'Invoer gegevens'!$I$14,AC98,IF(C99&gt;=1,X99*VLOOKUP(E99,Reeksen!$A$5:$B$76,2),0))</f>
        <v>0</v>
      </c>
      <c r="Z99" s="98">
        <f ca="1">IF(E99='Invoer gegevens'!$C$17+'Invoer gegevens'!$I$14,AC98,(1-('Invoer gegevens'!$F$20/12))*X99*MIN(Reeksen!B31,Reeksen!D31))</f>
        <v>0</v>
      </c>
      <c r="AA99" s="98">
        <f>IF(Reeksen!D31&gt;=Reeksen!B31,0,IF(Reeksen!AK31&lt;=Reeksen!AE31,(Reeksen!B31-Reeksen!D31)*X99,0))</f>
        <v>0</v>
      </c>
      <c r="AB99" s="98">
        <f>IF(Reeksen!D31&gt;=Reeksen!B31,0,IF(Reeksen!AK31&gt;Reeksen!AE31,(Reeksen!B31-Reeksen!D31)*X99,0))</f>
        <v>0</v>
      </c>
      <c r="AC99" s="99">
        <f ca="1">IF(E99&gt;='Invoer gegevens'!$C$17+'Invoer gegevens'!$I$14,0,X99-Y99)</f>
        <v>0</v>
      </c>
      <c r="AD99" s="98">
        <f ca="1">IF('Invoer gegevens'!$C$17=E31,R99,IF(C31=0,0,AE98))</f>
        <v>0</v>
      </c>
      <c r="AE99" s="98">
        <f t="shared" ca="1" si="9"/>
        <v>0</v>
      </c>
      <c r="AF99" s="98">
        <f ca="1">IF('Invoer gegevens'!$C$17=E31,X99,IF(C31=0,0,AG98))</f>
        <v>0</v>
      </c>
      <c r="AG99" s="98">
        <f t="shared" ca="1" si="10"/>
        <v>0</v>
      </c>
      <c r="AH99" s="70"/>
      <c r="AI99" s="71">
        <f ca="1">IF(C99=1,((Reeksen!BF31*(F99-G99+F99)/2)+((L99-M99+L99)/2*Reeksen!BG31))*12,0)</f>
        <v>0</v>
      </c>
      <c r="AJ99" s="71">
        <f ca="1">-AI99*'Invoer gegevens'!$I$26</f>
        <v>0</v>
      </c>
      <c r="AK99" s="71">
        <f t="shared" ca="1" si="11"/>
        <v>0</v>
      </c>
      <c r="AL99" s="71">
        <f ca="1">IF(C99=1,Reeksen!AL31*((F99-G99+F99)/2)*12+Reeksen!AM31*((L99-M99+L99)/2)*12,0)</f>
        <v>0</v>
      </c>
      <c r="AM99" s="71">
        <f ca="1">-AL99*'Invoer gegevens'!$F$31</f>
        <v>0</v>
      </c>
      <c r="AN99" s="71">
        <f t="shared" ca="1" si="12"/>
        <v>0</v>
      </c>
      <c r="AO99" s="71">
        <f ca="1">IF(E99&gt;='Invoer gegevens'!$C$17+'Invoer gegevens'!$I$14,0,IF(C99=1,(H99+J99+N99+P99)*Reeksen!AN31,0))</f>
        <v>0</v>
      </c>
      <c r="AP99" s="71">
        <f ca="1">-IF(C99=1,(H99+J99+N99+P99)*Reeksen!AN30*'Hulp - basis'!$B$550,0)</f>
        <v>0</v>
      </c>
      <c r="AQ99" s="71">
        <f ca="1">-IF(C99=1,(F99+K99+L99+Q99)/2*'Invoer gegevens'!$I$33*Reeksen!J31,0)</f>
        <v>0</v>
      </c>
      <c r="AR99" s="71">
        <f ca="1">-IF(C99=1,(I99*'Invoer gegevens'!$I$34)*Reeksen!J31,0)</f>
        <v>0</v>
      </c>
      <c r="AS99" s="71">
        <f ca="1">-IF(C99=1,(F99+K99+L99+Q99)/2*'Invoer gegevens'!$I$35*Reeksen!L31,0)</f>
        <v>0</v>
      </c>
      <c r="AT99" s="71">
        <f ca="1">-IF(C99=1,IF(E99='Invoer gegevens'!$C$17,'Invoer gegevens'!$C$11,AD99)*Reeksen!S31*'Invoer gegevens'!$C$18*Reeksen!P31,0)</f>
        <v>0</v>
      </c>
      <c r="AU99" s="71">
        <f ca="1">-IF(C99=1,(F99+K99+L99+Q99)/2*'Invoer gegevens'!$I$36*Reeksen!H31,0)</f>
        <v>0</v>
      </c>
      <c r="AV99" s="71">
        <f t="shared" ca="1" si="13"/>
        <v>0</v>
      </c>
      <c r="AW99" s="72">
        <f ca="1">IFERROR(IF(E99='Invoer gegevens'!$C$17+'Invoer gegevens'!$I$14-1,'Invoer gegevens'!$I$13*K99*Reeksen!H31,0),0)</f>
        <v>0</v>
      </c>
      <c r="AX99" s="72">
        <f ca="1">IFERROR(IF(E99='Invoer gegevens'!$C$17,-'Invoer gegevens'!$C$10*('Invoer gegevens'!$C$30+'Invoer gegevens'!$C$31)*Reeksen!H31,0),0)</f>
        <v>0</v>
      </c>
      <c r="AY99" s="73">
        <f ca="1">IF('Invoer gegevens'!$C$34=E99,'Invoer gegevens'!$C$27*'Invoer gegevens'!$C$10*'Invoer gegevens'!$C$36*(IF('Invoer gegevens'!$C$35="ja",1,Reeksen!J31)),IF('Invoer gegevens'!$C$34+1=E99,'Invoer gegevens'!$C$27*'Invoer gegevens'!$C$10*'Invoer gegevens'!$C$37*(IF('Invoer gegevens'!$C$35="ja",1,Reeksen!J31)),0))+IF(AND(E99='Invoer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99" s="73">
        <f ca="1">AV99/(1+'Invoer gegevens'!$I$12)^($D99-('Invoer gegevens'!$C$17-'Invoer gegevens'!$C$16))/(1+'Invoer gegevens'!$C$39)^('Invoer gegevens'!$C$17-'Invoer gegevens'!$C$16)</f>
        <v>0</v>
      </c>
      <c r="BA99" s="73">
        <f ca="1">AW99/(1+'Invoer gegevens'!$I$12)^(E99-('Invoer gegevens'!$C$17-1))/(1+'Invoer gegevens'!$C$39)^('Invoer gegevens'!$C$17-'Invoer gegevens'!$C$16)</f>
        <v>0</v>
      </c>
      <c r="BB99" s="73">
        <f ca="1">AX99/(1+'Invoer gegevens'!$C$39)^('Invoer gegevens'!$C$17-'Invoer gegevens'!$C$16)</f>
        <v>0</v>
      </c>
      <c r="BC99" s="72">
        <f t="shared" ca="1" si="14"/>
        <v>0</v>
      </c>
      <c r="BD99" s="72">
        <f ca="1">IF(AND(E99='Invoer gegevens'!$C$16,'Invoer gegevens'!$C$34&lt;'Invoer gegevens'!$C$16),AY99,AY99/(1+'Invoer gegevens'!$C$39)^D99)</f>
        <v>0</v>
      </c>
      <c r="BE99" s="72">
        <f ca="1">IF(E99='Invoer gegevens'!$C$34,-'Invoer gegevens'!$I$38,0)</f>
        <v>0</v>
      </c>
      <c r="BF99" s="72">
        <f ca="1">IF(E99='Invoer gegevens'!$C$17,-'Invoer gegevens'!$C$19*$BC$134,0)</f>
        <v>0</v>
      </c>
      <c r="BG99" s="72">
        <f ca="1">AV99/(1+$BG$72)^($D99-('Invoer gegevens'!$C$17-'Invoer gegevens'!$C$16))/(1+'Invoer gegevens'!$C$39)^('Invoer gegevens'!$C$17-'Invoer gegevens'!$C$16)+AW99/(1+$BG$72)^(E99-('Invoer gegevens'!$C$17-1))/(1+'Invoer gegevens'!$C$39)^('Invoer gegevens'!$C$17-'Invoer gegevens'!$C$16)+AX99/(1+'Invoer gegevens'!$C$39)^('Invoer gegevens'!$C$17-'Invoer gegevens'!$C$16)+(-AY99/(1+'Invoer gegevens'!$C$39)^D99)+BE99+BF99</f>
        <v>0</v>
      </c>
    </row>
    <row r="100" spans="1:59" x14ac:dyDescent="0.25">
      <c r="B100" s="70">
        <f t="shared" si="15"/>
        <v>28</v>
      </c>
      <c r="C100" s="67">
        <f ca="1">IF(AND(E100&gt;='Invoer gegevens'!$C$17,E100&lt;'Invoer gegevens'!$C$17+'Invoer gegevens'!$I$14),1,0)</f>
        <v>1</v>
      </c>
      <c r="D100" s="68">
        <f t="shared" si="16"/>
        <v>27.5</v>
      </c>
      <c r="E100" s="108">
        <f ca="1">IF('Invoer gegevens'!$C$16="","",E99+1)</f>
        <v>2046</v>
      </c>
      <c r="F100" s="84">
        <f ca="1">IF('Invoer gegevens'!$C$17=E100,'Invoer gegevens'!$C$10,IF(C100=1,K99,0))</f>
        <v>0</v>
      </c>
      <c r="G100" s="96">
        <f ca="1">IF(E100='Invoer gegevens'!$C$17+'Invoer gegevens'!$I$14,K99,IF(C100&gt;=1,F100*VLOOKUP(E100,Reeksen!$A$5:$B$76,2),0))</f>
        <v>0</v>
      </c>
      <c r="H100" s="84">
        <f ca="1">IF(E100='Invoer gegevens'!$C$17+'Invoer gegevens'!$I$14,K99,(1-('Invoer gegevens'!$F$20/12))*F100*MIN(Reeksen!B32,Reeksen!D32))</f>
        <v>0</v>
      </c>
      <c r="I100" s="84">
        <f>IF(Reeksen!D32&lt;Reeksen!B32,(Reeksen!B32-Reeksen!D32)*F100,0)</f>
        <v>0</v>
      </c>
      <c r="J100" s="84">
        <f ca="1">IF(E100='Invoer gegevens'!$C$17+'Invoer gegevens'!$I$14+1,0,('Invoer gegevens'!$F$20/12)*F99*MIN(Reeksen!B31,Reeksen!D31))</f>
        <v>0</v>
      </c>
      <c r="K100" s="97">
        <f ca="1">IF(E100&gt;='Invoer gegevens'!$C$17+'Invoer gegevens'!$I$14,0,F100-G100)</f>
        <v>0</v>
      </c>
      <c r="L100" s="84">
        <f ca="1">IF('Invoer gegevens'!$C$17=E100,0,IF(C100=1,Q99,0))</f>
        <v>0</v>
      </c>
      <c r="M100" s="96">
        <f ca="1">IF(E100='Invoer gegevens'!$C$17+'Invoer gegevens'!$I$14,Q99,IF(C100&gt;=1,L100*VLOOKUP(E100,Reeksen!$A$5:$B$76,2),0))</f>
        <v>0</v>
      </c>
      <c r="N100" s="84">
        <f ca="1">IF(C100='Invoer gegevens'!$C$17+'Invoer gegevens'!$I$14,Q99,(1-('Invoer gegevens'!$F$20/12))*L100*MIN(Reeksen!B32,Reeksen!D32))</f>
        <v>0</v>
      </c>
      <c r="O100" s="84">
        <f>IF(Reeksen!D32&lt;Reeksen!B32,(Reeksen!B32-Reeksen!D32)*L100,0)</f>
        <v>0</v>
      </c>
      <c r="P100" s="84">
        <f ca="1">IF(E100='Invoer gegevens'!$C$17+'Invoer gegevens'!$I$14+1,0,('Invoer gegevens'!$F$20/12)*L99*MIN(Reeksen!B31,Reeksen!D31))</f>
        <v>0</v>
      </c>
      <c r="Q100" s="84">
        <f ca="1">IF(E100&gt;='Invoer gegevens'!$C$17+'Invoer gegevens'!$I$14,0,L100-M100+I100+O100)</f>
        <v>0</v>
      </c>
      <c r="R100" s="82">
        <f ca="1">IF('Invoer gegevens'!$C$17=E100,'Invoer gegevens'!$C$11,IF(C100=1,W99,0))</f>
        <v>0</v>
      </c>
      <c r="S100" s="86">
        <f ca="1">IF(E100='Invoer gegevens'!$C$17+'Invoer gegevens'!$I$14,W99,IF(C100&gt;=1,R100*VLOOKUP(E100,Reeksen!$A$5:$B$76,2),0))</f>
        <v>0</v>
      </c>
      <c r="T100" s="84">
        <f ca="1">IF(E100='Invoer gegevens'!$C$17+'Invoer gegevens'!$I$14,W99,(1-('Invoer gegevens'!$F$20/12))*R100*MIN(Reeksen!B32,Reeksen!D32))</f>
        <v>0</v>
      </c>
      <c r="U100" s="84">
        <f>IF(Reeksen!D32&gt;=Reeksen!B32,0,IF(Reeksen!AK32&lt;=Reeksen!AE32,(Reeksen!B32-Reeksen!D32)*R100,0))</f>
        <v>0</v>
      </c>
      <c r="V100" s="86">
        <f>IF(Reeksen!D32&gt;=Reeksen!B32,0,IF(Reeksen!AK32&gt;Reeksen!AE32,(Reeksen!B32-Reeksen!D32)*R100,0))</f>
        <v>0</v>
      </c>
      <c r="W100" s="97">
        <f ca="1">IF(E100&gt;='Invoer gegevens'!$C$17+'Invoer gegevens'!$I$14,0,R100-S100)</f>
        <v>0</v>
      </c>
      <c r="X100" s="98">
        <f ca="1">IF('Invoer gegevens'!$C$17=E100,'Invoer gegevens'!$C$10-'Invoer gegevens'!$C$11,IF(C100=1,AC99,0))</f>
        <v>0</v>
      </c>
      <c r="Y100" s="98">
        <f ca="1">IF(E100='Invoer gegevens'!$C$17+'Invoer gegevens'!$I$14,AC99,IF(C100&gt;=1,X100*VLOOKUP(E100,Reeksen!$A$5:$B$76,2),0))</f>
        <v>0</v>
      </c>
      <c r="Z100" s="98">
        <f ca="1">IF(E100='Invoer gegevens'!$C$17+'Invoer gegevens'!$I$14,AC99,(1-('Invoer gegevens'!$F$20/12))*X100*MIN(Reeksen!B32,Reeksen!D32))</f>
        <v>0</v>
      </c>
      <c r="AA100" s="98">
        <f>IF(Reeksen!D32&gt;=Reeksen!B32,0,IF(Reeksen!AK32&lt;=Reeksen!AE32,(Reeksen!B32-Reeksen!D32)*X100,0))</f>
        <v>0</v>
      </c>
      <c r="AB100" s="98">
        <f>IF(Reeksen!D32&gt;=Reeksen!B32,0,IF(Reeksen!AK32&gt;Reeksen!AE32,(Reeksen!B32-Reeksen!D32)*X100,0))</f>
        <v>0</v>
      </c>
      <c r="AC100" s="99">
        <f ca="1">IF(E100&gt;='Invoer gegevens'!$C$17+'Invoer gegevens'!$I$14,0,X100-Y100)</f>
        <v>0</v>
      </c>
      <c r="AD100" s="98">
        <f ca="1">IF('Invoer gegevens'!$C$17=E32,R100,IF(C32=0,0,AE99))</f>
        <v>0</v>
      </c>
      <c r="AE100" s="98">
        <f t="shared" ca="1" si="9"/>
        <v>0</v>
      </c>
      <c r="AF100" s="98">
        <f ca="1">IF('Invoer gegevens'!$C$17=E32,X100,IF(C32=0,0,AG99))</f>
        <v>0</v>
      </c>
      <c r="AG100" s="98">
        <f t="shared" ca="1" si="10"/>
        <v>0</v>
      </c>
      <c r="AH100" s="70"/>
      <c r="AI100" s="71">
        <f ca="1">IF(C100=1,((Reeksen!BF32*(F100-G100+F100)/2)+((L100-M100+L100)/2*Reeksen!BG32))*12,0)</f>
        <v>0</v>
      </c>
      <c r="AJ100" s="71">
        <f ca="1">-AI100*'Invoer gegevens'!$I$26</f>
        <v>0</v>
      </c>
      <c r="AK100" s="71">
        <f t="shared" ca="1" si="11"/>
        <v>0</v>
      </c>
      <c r="AL100" s="71">
        <f ca="1">IF(C100=1,Reeksen!AL32*((F100-G100+F100)/2)*12+Reeksen!AM32*((L100-M100+L100)/2)*12,0)</f>
        <v>0</v>
      </c>
      <c r="AM100" s="71">
        <f ca="1">-AL100*'Invoer gegevens'!$F$31</f>
        <v>0</v>
      </c>
      <c r="AN100" s="71">
        <f t="shared" ca="1" si="12"/>
        <v>0</v>
      </c>
      <c r="AO100" s="71">
        <f ca="1">IF(E100&gt;='Invoer gegevens'!$C$17+'Invoer gegevens'!$I$14,0,IF(C100=1,(H100+J100+N100+P100)*Reeksen!AN32,0))</f>
        <v>0</v>
      </c>
      <c r="AP100" s="71">
        <f ca="1">-IF(C100=1,(H100+J100+N100+P100)*Reeksen!AN31*'Hulp - basis'!$B$550,0)</f>
        <v>0</v>
      </c>
      <c r="AQ100" s="71">
        <f ca="1">-IF(C100=1,(F100+K100+L100+Q100)/2*'Invoer gegevens'!$I$33*Reeksen!J32,0)</f>
        <v>0</v>
      </c>
      <c r="AR100" s="71">
        <f ca="1">-IF(C100=1,(I100*'Invoer gegevens'!$I$34)*Reeksen!J32,0)</f>
        <v>0</v>
      </c>
      <c r="AS100" s="71">
        <f ca="1">-IF(C100=1,(F100+K100+L100+Q100)/2*'Invoer gegevens'!$I$35*Reeksen!L32,0)</f>
        <v>0</v>
      </c>
      <c r="AT100" s="71">
        <f ca="1">-IF(C100=1,IF(E100='Invoer gegevens'!$C$17,'Invoer gegevens'!$C$11,AD100)*Reeksen!S32*'Invoer gegevens'!$C$18*Reeksen!P32,0)</f>
        <v>0</v>
      </c>
      <c r="AU100" s="71">
        <f ca="1">-IF(C100=1,(F100+K100+L100+Q100)/2*'Invoer gegevens'!$I$36*Reeksen!H32,0)</f>
        <v>0</v>
      </c>
      <c r="AV100" s="71">
        <f t="shared" ca="1" si="13"/>
        <v>0</v>
      </c>
      <c r="AW100" s="72">
        <f ca="1">IFERROR(IF(E100='Invoer gegevens'!$C$17+'Invoer gegevens'!$I$14-1,'Invoer gegevens'!$I$13*K100*Reeksen!H32,0),0)</f>
        <v>0</v>
      </c>
      <c r="AX100" s="72">
        <f ca="1">IFERROR(IF(E100='Invoer gegevens'!$C$17,-'Invoer gegevens'!$C$10*('Invoer gegevens'!$C$30+'Invoer gegevens'!$C$31)*Reeksen!H32,0),0)</f>
        <v>0</v>
      </c>
      <c r="AY100" s="73">
        <f ca="1">IF('Invoer gegevens'!$C$34=E100,'Invoer gegevens'!$C$27*'Invoer gegevens'!$C$10*'Invoer gegevens'!$C$36*(IF('Invoer gegevens'!$C$35="ja",1,Reeksen!J32)),IF('Invoer gegevens'!$C$34+1=E100,'Invoer gegevens'!$C$27*'Invoer gegevens'!$C$10*'Invoer gegevens'!$C$37*(IF('Invoer gegevens'!$C$35="ja",1,Reeksen!J32)),0))+IF(AND(E100='Invoer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0" s="73">
        <f ca="1">AV100/(1+'Invoer gegevens'!$I$12)^($D100-('Invoer gegevens'!$C$17-'Invoer gegevens'!$C$16))/(1+'Invoer gegevens'!$C$39)^('Invoer gegevens'!$C$17-'Invoer gegevens'!$C$16)</f>
        <v>0</v>
      </c>
      <c r="BA100" s="73">
        <f ca="1">AW100/(1+'Invoer gegevens'!$I$12)^(E100-('Invoer gegevens'!$C$17-1))/(1+'Invoer gegevens'!$C$39)^('Invoer gegevens'!$C$17-'Invoer gegevens'!$C$16)</f>
        <v>0</v>
      </c>
      <c r="BB100" s="73">
        <f ca="1">AX100/(1+'Invoer gegevens'!$C$39)^('Invoer gegevens'!$C$17-'Invoer gegevens'!$C$16)</f>
        <v>0</v>
      </c>
      <c r="BC100" s="72">
        <f t="shared" ca="1" si="14"/>
        <v>0</v>
      </c>
      <c r="BD100" s="72">
        <f ca="1">IF(AND(E100='Invoer gegevens'!$C$16,'Invoer gegevens'!$C$34&lt;'Invoer gegevens'!$C$16),AY100,AY100/(1+'Invoer gegevens'!$C$39)^D100)</f>
        <v>0</v>
      </c>
      <c r="BE100" s="72">
        <f ca="1">IF(E100='Invoer gegevens'!$C$34,-'Invoer gegevens'!$I$38,0)</f>
        <v>0</v>
      </c>
      <c r="BF100" s="72">
        <f ca="1">IF(E100='Invoer gegevens'!$C$17,-'Invoer gegevens'!$C$19*$BC$134,0)</f>
        <v>0</v>
      </c>
      <c r="BG100" s="72">
        <f ca="1">AV100/(1+$BG$72)^($D100-('Invoer gegevens'!$C$17-'Invoer gegevens'!$C$16))/(1+'Invoer gegevens'!$C$39)^('Invoer gegevens'!$C$17-'Invoer gegevens'!$C$16)+AW100/(1+$BG$72)^(E100-('Invoer gegevens'!$C$17-1))/(1+'Invoer gegevens'!$C$39)^('Invoer gegevens'!$C$17-'Invoer gegevens'!$C$16)+AX100/(1+'Invoer gegevens'!$C$39)^('Invoer gegevens'!$C$17-'Invoer gegevens'!$C$16)+(-AY100/(1+'Invoer gegevens'!$C$39)^D100)+BE100+BF100</f>
        <v>0</v>
      </c>
    </row>
    <row r="101" spans="1:59" x14ac:dyDescent="0.25">
      <c r="B101" s="70">
        <f t="shared" si="15"/>
        <v>29</v>
      </c>
      <c r="C101" s="67">
        <f ca="1">IF(AND(E101&gt;='Invoer gegevens'!$C$17,E101&lt;'Invoer gegevens'!$C$17+'Invoer gegevens'!$I$14),1,0)</f>
        <v>1</v>
      </c>
      <c r="D101" s="68">
        <f t="shared" si="16"/>
        <v>28.5</v>
      </c>
      <c r="E101" s="108">
        <f ca="1">IF('Invoer gegevens'!$C$16="","",E100+1)</f>
        <v>2047</v>
      </c>
      <c r="F101" s="84">
        <f ca="1">IF('Invoer gegevens'!$C$17=E101,'Invoer gegevens'!$C$10,IF(C101=1,K100,0))</f>
        <v>0</v>
      </c>
      <c r="G101" s="96">
        <f ca="1">IF(E101='Invoer gegevens'!$C$17+'Invoer gegevens'!$I$14,K100,IF(C101&gt;=1,F101*VLOOKUP(E101,Reeksen!$A$5:$B$76,2),0))</f>
        <v>0</v>
      </c>
      <c r="H101" s="84">
        <f ca="1">IF(E101='Invoer gegevens'!$C$17+'Invoer gegevens'!$I$14,K100,(1-('Invoer gegevens'!$F$20/12))*F101*MIN(Reeksen!B33,Reeksen!D33))</f>
        <v>0</v>
      </c>
      <c r="I101" s="84">
        <f>IF(Reeksen!D33&lt;Reeksen!B33,(Reeksen!B33-Reeksen!D33)*F101,0)</f>
        <v>0</v>
      </c>
      <c r="J101" s="84">
        <f ca="1">IF(E101='Invoer gegevens'!$C$17+'Invoer gegevens'!$I$14+1,0,('Invoer gegevens'!$F$20/12)*F100*MIN(Reeksen!B32,Reeksen!D32))</f>
        <v>0</v>
      </c>
      <c r="K101" s="97">
        <f ca="1">IF(E101&gt;='Invoer gegevens'!$C$17+'Invoer gegevens'!$I$14,0,F101-G101)</f>
        <v>0</v>
      </c>
      <c r="L101" s="84">
        <f ca="1">IF('Invoer gegevens'!$C$17=E101,0,IF(C101=1,Q100,0))</f>
        <v>0</v>
      </c>
      <c r="M101" s="96">
        <f ca="1">IF(E101='Invoer gegevens'!$C$17+'Invoer gegevens'!$I$14,Q100,IF(C101&gt;=1,L101*VLOOKUP(E101,Reeksen!$A$5:$B$76,2),0))</f>
        <v>0</v>
      </c>
      <c r="N101" s="84">
        <f ca="1">IF(C101='Invoer gegevens'!$C$17+'Invoer gegevens'!$I$14,Q100,(1-('Invoer gegevens'!$F$20/12))*L101*MIN(Reeksen!B33,Reeksen!D33))</f>
        <v>0</v>
      </c>
      <c r="O101" s="84">
        <f>IF(Reeksen!D33&lt;Reeksen!B33,(Reeksen!B33-Reeksen!D33)*L101,0)</f>
        <v>0</v>
      </c>
      <c r="P101" s="84">
        <f ca="1">IF(E101='Invoer gegevens'!$C$17+'Invoer gegevens'!$I$14+1,0,('Invoer gegevens'!$F$20/12)*L100*MIN(Reeksen!B32,Reeksen!D32))</f>
        <v>0</v>
      </c>
      <c r="Q101" s="84">
        <f ca="1">IF(E101&gt;='Invoer gegevens'!$C$17+'Invoer gegevens'!$I$14,0,L101-M101+I101+O101)</f>
        <v>0</v>
      </c>
      <c r="R101" s="82">
        <f ca="1">IF('Invoer gegevens'!$C$17=E101,'Invoer gegevens'!$C$11,IF(C101=1,W100,0))</f>
        <v>0</v>
      </c>
      <c r="S101" s="86">
        <f ca="1">IF(E101='Invoer gegevens'!$C$17+'Invoer gegevens'!$I$14,W100,IF(C101&gt;=1,R101*VLOOKUP(E101,Reeksen!$A$5:$B$76,2),0))</f>
        <v>0</v>
      </c>
      <c r="T101" s="84">
        <f ca="1">IF(E101='Invoer gegevens'!$C$17+'Invoer gegevens'!$I$14,W100,(1-('Invoer gegevens'!$F$20/12))*R101*MIN(Reeksen!B33,Reeksen!D33))</f>
        <v>0</v>
      </c>
      <c r="U101" s="84">
        <f>IF(Reeksen!D33&gt;=Reeksen!B33,0,IF(Reeksen!AK33&lt;=Reeksen!AE33,(Reeksen!B33-Reeksen!D33)*R101,0))</f>
        <v>0</v>
      </c>
      <c r="V101" s="86">
        <f>IF(Reeksen!D33&gt;=Reeksen!B33,0,IF(Reeksen!AK33&gt;Reeksen!AE33,(Reeksen!B33-Reeksen!D33)*R101,0))</f>
        <v>0</v>
      </c>
      <c r="W101" s="97">
        <f ca="1">IF(E101&gt;='Invoer gegevens'!$C$17+'Invoer gegevens'!$I$14,0,R101-S101)</f>
        <v>0</v>
      </c>
      <c r="X101" s="98">
        <f ca="1">IF('Invoer gegevens'!$C$17=E101,'Invoer gegevens'!$C$10-'Invoer gegevens'!$C$11,IF(C101=1,AC100,0))</f>
        <v>0</v>
      </c>
      <c r="Y101" s="98">
        <f ca="1">IF(E101='Invoer gegevens'!$C$17+'Invoer gegevens'!$I$14,AC100,IF(C101&gt;=1,X101*VLOOKUP(E101,Reeksen!$A$5:$B$76,2),0))</f>
        <v>0</v>
      </c>
      <c r="Z101" s="98">
        <f ca="1">IF(E101='Invoer gegevens'!$C$17+'Invoer gegevens'!$I$14,AC100,(1-('Invoer gegevens'!$F$20/12))*X101*MIN(Reeksen!B33,Reeksen!D33))</f>
        <v>0</v>
      </c>
      <c r="AA101" s="98">
        <f>IF(Reeksen!D33&gt;=Reeksen!B33,0,IF(Reeksen!AK33&lt;=Reeksen!AE33,(Reeksen!B33-Reeksen!D33)*X101,0))</f>
        <v>0</v>
      </c>
      <c r="AB101" s="98">
        <f>IF(Reeksen!D33&gt;=Reeksen!B33,0,IF(Reeksen!AK33&gt;Reeksen!AE33,(Reeksen!B33-Reeksen!D33)*X101,0))</f>
        <v>0</v>
      </c>
      <c r="AC101" s="99">
        <f ca="1">IF(E101&gt;='Invoer gegevens'!$C$17+'Invoer gegevens'!$I$14,0,X101-Y101)</f>
        <v>0</v>
      </c>
      <c r="AD101" s="98">
        <f ca="1">IF('Invoer gegevens'!$C$17=E33,R101,IF(C33=0,0,AE100))</f>
        <v>0</v>
      </c>
      <c r="AE101" s="98">
        <f t="shared" ca="1" si="9"/>
        <v>0</v>
      </c>
      <c r="AF101" s="98">
        <f ca="1">IF('Invoer gegevens'!$C$17=E33,X101,IF(C33=0,0,AG100))</f>
        <v>0</v>
      </c>
      <c r="AG101" s="98">
        <f t="shared" ca="1" si="10"/>
        <v>0</v>
      </c>
      <c r="AH101" s="70"/>
      <c r="AI101" s="71">
        <f ca="1">IF(C101=1,((Reeksen!BF33*(F101-G101+F101)/2)+((L101-M101+L101)/2*Reeksen!BG33))*12,0)</f>
        <v>0</v>
      </c>
      <c r="AJ101" s="71">
        <f ca="1">-AI101*'Invoer gegevens'!$I$26</f>
        <v>0</v>
      </c>
      <c r="AK101" s="71">
        <f t="shared" ca="1" si="11"/>
        <v>0</v>
      </c>
      <c r="AL101" s="71">
        <f ca="1">IF(C101=1,Reeksen!AL33*((F101-G101+F101)/2)*12+Reeksen!AM33*((L101-M101+L101)/2)*12,0)</f>
        <v>0</v>
      </c>
      <c r="AM101" s="71">
        <f ca="1">-AL101*'Invoer gegevens'!$F$31</f>
        <v>0</v>
      </c>
      <c r="AN101" s="71">
        <f t="shared" ca="1" si="12"/>
        <v>0</v>
      </c>
      <c r="AO101" s="71">
        <f ca="1">IF(E101&gt;='Invoer gegevens'!$C$17+'Invoer gegevens'!$I$14,0,IF(C101=1,(H101+J101+N101+P101)*Reeksen!AN33,0))</f>
        <v>0</v>
      </c>
      <c r="AP101" s="71">
        <f ca="1">-IF(C101=1,(H101+J101+N101+P101)*Reeksen!AN32*'Hulp - basis'!$B$550,0)</f>
        <v>0</v>
      </c>
      <c r="AQ101" s="71">
        <f ca="1">-IF(C101=1,(F101+K101+L101+Q101)/2*'Invoer gegevens'!$I$33*Reeksen!J33,0)</f>
        <v>0</v>
      </c>
      <c r="AR101" s="71">
        <f ca="1">-IF(C101=1,(I101*'Invoer gegevens'!$I$34)*Reeksen!J33,0)</f>
        <v>0</v>
      </c>
      <c r="AS101" s="71">
        <f ca="1">-IF(C101=1,(F101+K101+L101+Q101)/2*'Invoer gegevens'!$I$35*Reeksen!L33,0)</f>
        <v>0</v>
      </c>
      <c r="AT101" s="71">
        <f ca="1">-IF(C101=1,IF(E101='Invoer gegevens'!$C$17,'Invoer gegevens'!$C$11,AD101)*Reeksen!S33*'Invoer gegevens'!$C$18*Reeksen!P33,0)</f>
        <v>0</v>
      </c>
      <c r="AU101" s="71">
        <f ca="1">-IF(C101=1,(F101+K101+L101+Q101)/2*'Invoer gegevens'!$I$36*Reeksen!H33,0)</f>
        <v>0</v>
      </c>
      <c r="AV101" s="71">
        <f t="shared" ca="1" si="13"/>
        <v>0</v>
      </c>
      <c r="AW101" s="72">
        <f ca="1">IFERROR(IF(E101='Invoer gegevens'!$C$17+'Invoer gegevens'!$I$14-1,'Invoer gegevens'!$I$13*K101*Reeksen!H33,0),0)</f>
        <v>0</v>
      </c>
      <c r="AX101" s="72">
        <f ca="1">IFERROR(IF(E101='Invoer gegevens'!$C$17,-'Invoer gegevens'!$C$10*('Invoer gegevens'!$C$30+'Invoer gegevens'!$C$31)*Reeksen!H33,0),0)</f>
        <v>0</v>
      </c>
      <c r="AY101" s="73">
        <f ca="1">IF('Invoer gegevens'!$C$34=E101,'Invoer gegevens'!$C$27*'Invoer gegevens'!$C$10*'Invoer gegevens'!$C$36*(IF('Invoer gegevens'!$C$35="ja",1,Reeksen!J33)),IF('Invoer gegevens'!$C$34+1=E101,'Invoer gegevens'!$C$27*'Invoer gegevens'!$C$10*'Invoer gegevens'!$C$37*(IF('Invoer gegevens'!$C$35="ja",1,Reeksen!J33)),0))+IF(AND(E101='Invoer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1" s="73">
        <f ca="1">AV101/(1+'Invoer gegevens'!$I$12)^($D101-('Invoer gegevens'!$C$17-'Invoer gegevens'!$C$16))/(1+'Invoer gegevens'!$C$39)^('Invoer gegevens'!$C$17-'Invoer gegevens'!$C$16)</f>
        <v>0</v>
      </c>
      <c r="BA101" s="73">
        <f ca="1">AW101/(1+'Invoer gegevens'!$I$12)^(E101-('Invoer gegevens'!$C$17-1))/(1+'Invoer gegevens'!$C$39)^('Invoer gegevens'!$C$17-'Invoer gegevens'!$C$16)</f>
        <v>0</v>
      </c>
      <c r="BB101" s="73">
        <f ca="1">AX101/(1+'Invoer gegevens'!$C$39)^('Invoer gegevens'!$C$17-'Invoer gegevens'!$C$16)</f>
        <v>0</v>
      </c>
      <c r="BC101" s="72">
        <f t="shared" ca="1" si="14"/>
        <v>0</v>
      </c>
      <c r="BD101" s="72">
        <f ca="1">IF(AND(E101='Invoer gegevens'!$C$16,'Invoer gegevens'!$C$34&lt;'Invoer gegevens'!$C$16),AY101,AY101/(1+'Invoer gegevens'!$C$39)^D101)</f>
        <v>0</v>
      </c>
      <c r="BE101" s="72">
        <f ca="1">IF(E101='Invoer gegevens'!$C$34,-'Invoer gegevens'!$I$38,0)</f>
        <v>0</v>
      </c>
      <c r="BF101" s="72">
        <f ca="1">IF(E101='Invoer gegevens'!$C$17,-'Invoer gegevens'!$C$19*$BC$134,0)</f>
        <v>0</v>
      </c>
      <c r="BG101" s="72">
        <f ca="1">AV101/(1+$BG$72)^($D101-('Invoer gegevens'!$C$17-'Invoer gegevens'!$C$16))/(1+'Invoer gegevens'!$C$39)^('Invoer gegevens'!$C$17-'Invoer gegevens'!$C$16)+AW101/(1+$BG$72)^(E101-('Invoer gegevens'!$C$17-1))/(1+'Invoer gegevens'!$C$39)^('Invoer gegevens'!$C$17-'Invoer gegevens'!$C$16)+AX101/(1+'Invoer gegevens'!$C$39)^('Invoer gegevens'!$C$17-'Invoer gegevens'!$C$16)+(-AY101/(1+'Invoer gegevens'!$C$39)^D101)+BE101+BF101</f>
        <v>0</v>
      </c>
    </row>
    <row r="102" spans="1:59" x14ac:dyDescent="0.25">
      <c r="B102" s="70">
        <f t="shared" si="15"/>
        <v>30</v>
      </c>
      <c r="C102" s="67">
        <f ca="1">IF(AND(E102&gt;='Invoer gegevens'!$C$17,E102&lt;'Invoer gegevens'!$C$17+'Invoer gegevens'!$I$14),1,0)</f>
        <v>1</v>
      </c>
      <c r="D102" s="68">
        <f t="shared" si="16"/>
        <v>29.5</v>
      </c>
      <c r="E102" s="108">
        <f ca="1">IF('Invoer gegevens'!$C$16="","",E101+1)</f>
        <v>2048</v>
      </c>
      <c r="F102" s="84">
        <f ca="1">IF('Invoer gegevens'!$C$17=E102,'Invoer gegevens'!$C$10,IF(C102=1,K101,0))</f>
        <v>0</v>
      </c>
      <c r="G102" s="96">
        <f ca="1">IF(E102='Invoer gegevens'!$C$17+'Invoer gegevens'!$I$14,K101,IF(C102&gt;=1,F102*VLOOKUP(E102,Reeksen!$A$5:$B$76,2),0))</f>
        <v>0</v>
      </c>
      <c r="H102" s="84">
        <f ca="1">IF(E102='Invoer gegevens'!$C$17+'Invoer gegevens'!$I$14,K101,(1-('Invoer gegevens'!$F$20/12))*F102*MIN(Reeksen!B34,Reeksen!D34))</f>
        <v>0</v>
      </c>
      <c r="I102" s="84">
        <f>IF(Reeksen!D34&lt;Reeksen!B34,(Reeksen!B34-Reeksen!D34)*F102,0)</f>
        <v>0</v>
      </c>
      <c r="J102" s="84">
        <f ca="1">IF(E102='Invoer gegevens'!$C$17+'Invoer gegevens'!$I$14+1,0,('Invoer gegevens'!$F$20/12)*F101*MIN(Reeksen!B33,Reeksen!D33))</f>
        <v>0</v>
      </c>
      <c r="K102" s="97">
        <f ca="1">IF(E102&gt;='Invoer gegevens'!$C$17+'Invoer gegevens'!$I$14,0,F102-G102)</f>
        <v>0</v>
      </c>
      <c r="L102" s="84">
        <f ca="1">IF('Invoer gegevens'!$C$17=E102,0,IF(C102=1,Q101,0))</f>
        <v>0</v>
      </c>
      <c r="M102" s="96">
        <f ca="1">IF(E102='Invoer gegevens'!$C$17+'Invoer gegevens'!$I$14,Q101,IF(C102&gt;=1,L102*VLOOKUP(E102,Reeksen!$A$5:$B$76,2),0))</f>
        <v>0</v>
      </c>
      <c r="N102" s="84">
        <f ca="1">IF(C102='Invoer gegevens'!$C$17+'Invoer gegevens'!$I$14,Q101,(1-('Invoer gegevens'!$F$20/12))*L102*MIN(Reeksen!B34,Reeksen!D34))</f>
        <v>0</v>
      </c>
      <c r="O102" s="84">
        <f>IF(Reeksen!D34&lt;Reeksen!B34,(Reeksen!B34-Reeksen!D34)*L102,0)</f>
        <v>0</v>
      </c>
      <c r="P102" s="84">
        <f ca="1">IF(E102='Invoer gegevens'!$C$17+'Invoer gegevens'!$I$14+1,0,('Invoer gegevens'!$F$20/12)*L101*MIN(Reeksen!B33,Reeksen!D33))</f>
        <v>0</v>
      </c>
      <c r="Q102" s="84">
        <f ca="1">IF(E102&gt;='Invoer gegevens'!$C$17+'Invoer gegevens'!$I$14,0,L102-M102+I102+O102)</f>
        <v>0</v>
      </c>
      <c r="R102" s="82">
        <f ca="1">IF('Invoer gegevens'!$C$17=E102,'Invoer gegevens'!$C$11,IF(C102=1,W101,0))</f>
        <v>0</v>
      </c>
      <c r="S102" s="86">
        <f ca="1">IF(E102='Invoer gegevens'!$C$17+'Invoer gegevens'!$I$14,W101,IF(C102&gt;=1,R102*VLOOKUP(E102,Reeksen!$A$5:$B$76,2),0))</f>
        <v>0</v>
      </c>
      <c r="T102" s="84">
        <f ca="1">IF(E102='Invoer gegevens'!$C$17+'Invoer gegevens'!$I$14,W101,(1-('Invoer gegevens'!$F$20/12))*R102*MIN(Reeksen!B34,Reeksen!D34))</f>
        <v>0</v>
      </c>
      <c r="U102" s="84">
        <f>IF(Reeksen!D34&gt;=Reeksen!B34,0,IF(Reeksen!AK34&lt;=Reeksen!AE34,(Reeksen!B34-Reeksen!D34)*R102,0))</f>
        <v>0</v>
      </c>
      <c r="V102" s="86">
        <f>IF(Reeksen!D34&gt;=Reeksen!B34,0,IF(Reeksen!AK34&gt;Reeksen!AE34,(Reeksen!B34-Reeksen!D34)*R102,0))</f>
        <v>0</v>
      </c>
      <c r="W102" s="97">
        <f ca="1">IF(E102&gt;='Invoer gegevens'!$C$17+'Invoer gegevens'!$I$14,0,R102-S102)</f>
        <v>0</v>
      </c>
      <c r="X102" s="98">
        <f ca="1">IF('Invoer gegevens'!$C$17=E102,'Invoer gegevens'!$C$10-'Invoer gegevens'!$C$11,IF(C102=1,AC101,0))</f>
        <v>0</v>
      </c>
      <c r="Y102" s="98">
        <f ca="1">IF(E102='Invoer gegevens'!$C$17+'Invoer gegevens'!$I$14,AC101,IF(C102&gt;=1,X102*VLOOKUP(E102,Reeksen!$A$5:$B$76,2),0))</f>
        <v>0</v>
      </c>
      <c r="Z102" s="98">
        <f ca="1">IF(E102='Invoer gegevens'!$C$17+'Invoer gegevens'!$I$14,AC101,(1-('Invoer gegevens'!$F$20/12))*X102*MIN(Reeksen!B34,Reeksen!D34))</f>
        <v>0</v>
      </c>
      <c r="AA102" s="98">
        <f>IF(Reeksen!D34&gt;=Reeksen!B34,0,IF(Reeksen!AK34&lt;=Reeksen!AE34,(Reeksen!B34-Reeksen!D34)*X102,0))</f>
        <v>0</v>
      </c>
      <c r="AB102" s="98">
        <f>IF(Reeksen!D34&gt;=Reeksen!B34,0,IF(Reeksen!AK34&gt;Reeksen!AE34,(Reeksen!B34-Reeksen!D34)*X102,0))</f>
        <v>0</v>
      </c>
      <c r="AC102" s="99">
        <f ca="1">IF(E102&gt;='Invoer gegevens'!$C$17+'Invoer gegevens'!$I$14,0,X102-Y102)</f>
        <v>0</v>
      </c>
      <c r="AD102" s="98">
        <f ca="1">IF('Invoer gegevens'!$C$17=E34,R102,IF(C34=0,0,AE101))</f>
        <v>0</v>
      </c>
      <c r="AE102" s="98">
        <f t="shared" ca="1" si="9"/>
        <v>0</v>
      </c>
      <c r="AF102" s="98">
        <f ca="1">IF('Invoer gegevens'!$C$17=E34,X102,IF(C34=0,0,AG101))</f>
        <v>0</v>
      </c>
      <c r="AG102" s="98">
        <f t="shared" ca="1" si="10"/>
        <v>0</v>
      </c>
      <c r="AH102" s="70"/>
      <c r="AI102" s="71">
        <f ca="1">IF(C102=1,((Reeksen!BF34*(F102-G102+F102)/2)+((L102-M102+L102)/2*Reeksen!BG34))*12,0)</f>
        <v>0</v>
      </c>
      <c r="AJ102" s="71">
        <f ca="1">-AI102*'Invoer gegevens'!$I$26</f>
        <v>0</v>
      </c>
      <c r="AK102" s="71">
        <f t="shared" ca="1" si="11"/>
        <v>0</v>
      </c>
      <c r="AL102" s="71">
        <f ca="1">IF(C102=1,Reeksen!AL34*((F102-G102+F102)/2)*12+Reeksen!AM34*((L102-M102+L102)/2)*12,0)</f>
        <v>0</v>
      </c>
      <c r="AM102" s="71">
        <f ca="1">-AL102*'Invoer gegevens'!$F$31</f>
        <v>0</v>
      </c>
      <c r="AN102" s="71">
        <f t="shared" ca="1" si="12"/>
        <v>0</v>
      </c>
      <c r="AO102" s="71">
        <f ca="1">IF(E102&gt;='Invoer gegevens'!$C$17+'Invoer gegevens'!$I$14,0,IF(C102=1,(H102+J102+N102+P102)*Reeksen!AN34,0))</f>
        <v>0</v>
      </c>
      <c r="AP102" s="71">
        <f ca="1">-IF(C102=1,(H102+J102+N102+P102)*Reeksen!AN33*'Hulp - basis'!$B$550,0)</f>
        <v>0</v>
      </c>
      <c r="AQ102" s="71">
        <f ca="1">-IF(C102=1,(F102+K102+L102+Q102)/2*'Invoer gegevens'!$I$33*Reeksen!J34,0)</f>
        <v>0</v>
      </c>
      <c r="AR102" s="71">
        <f ca="1">-IF(C102=1,(I102*'Invoer gegevens'!$I$34)*Reeksen!J34,0)</f>
        <v>0</v>
      </c>
      <c r="AS102" s="71">
        <f ca="1">-IF(C102=1,(F102+K102+L102+Q102)/2*'Invoer gegevens'!$I$35*Reeksen!L34,0)</f>
        <v>0</v>
      </c>
      <c r="AT102" s="71">
        <f ca="1">-IF(C102=1,IF(E102='Invoer gegevens'!$C$17,'Invoer gegevens'!$C$11,AD102)*Reeksen!S34*'Invoer gegevens'!$C$18*Reeksen!P34,0)</f>
        <v>0</v>
      </c>
      <c r="AU102" s="71">
        <f ca="1">-IF(C102=1,(F102+K102+L102+Q102)/2*'Invoer gegevens'!$I$36*Reeksen!H34,0)</f>
        <v>0</v>
      </c>
      <c r="AV102" s="71">
        <f t="shared" ca="1" si="13"/>
        <v>0</v>
      </c>
      <c r="AW102" s="72">
        <f ca="1">IFERROR(IF(E102='Invoer gegevens'!$C$17+'Invoer gegevens'!$I$14-1,'Invoer gegevens'!$I$13*K102*Reeksen!H34,0),0)</f>
        <v>0</v>
      </c>
      <c r="AX102" s="72">
        <f ca="1">IFERROR(IF(E102='Invoer gegevens'!$C$17,-'Invoer gegevens'!$C$10*('Invoer gegevens'!$C$30+'Invoer gegevens'!$C$31)*Reeksen!H34,0),0)</f>
        <v>0</v>
      </c>
      <c r="AY102" s="73">
        <f ca="1">IF('Invoer gegevens'!$C$34=E102,'Invoer gegevens'!$C$27*'Invoer gegevens'!$C$10*'Invoer gegevens'!$C$36*(IF('Invoer gegevens'!$C$35="ja",1,Reeksen!J34)),IF('Invoer gegevens'!$C$34+1=E102,'Invoer gegevens'!$C$27*'Invoer gegevens'!$C$10*'Invoer gegevens'!$C$37*(IF('Invoer gegevens'!$C$35="ja",1,Reeksen!J34)),0))+IF(AND(E102='Invoer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2" s="73">
        <f ca="1">AV102/(1+'Invoer gegevens'!$I$12)^($D102-('Invoer gegevens'!$C$17-'Invoer gegevens'!$C$16))/(1+'Invoer gegevens'!$C$39)^('Invoer gegevens'!$C$17-'Invoer gegevens'!$C$16)</f>
        <v>0</v>
      </c>
      <c r="BA102" s="73">
        <f ca="1">AW102/(1+'Invoer gegevens'!$I$12)^(E102-('Invoer gegevens'!$C$17-1))/(1+'Invoer gegevens'!$C$39)^('Invoer gegevens'!$C$17-'Invoer gegevens'!$C$16)</f>
        <v>0</v>
      </c>
      <c r="BB102" s="73">
        <f ca="1">AX102/(1+'Invoer gegevens'!$C$39)^('Invoer gegevens'!$C$17-'Invoer gegevens'!$C$16)</f>
        <v>0</v>
      </c>
      <c r="BC102" s="72">
        <f t="shared" ca="1" si="14"/>
        <v>0</v>
      </c>
      <c r="BD102" s="72">
        <f ca="1">IF(AND(E102='Invoer gegevens'!$C$16,'Invoer gegevens'!$C$34&lt;'Invoer gegevens'!$C$16),AY102,AY102/(1+'Invoer gegevens'!$C$39)^D102)</f>
        <v>0</v>
      </c>
      <c r="BE102" s="72">
        <f ca="1">IF(E102='Invoer gegevens'!$C$34,-'Invoer gegevens'!$I$38,0)</f>
        <v>0</v>
      </c>
      <c r="BF102" s="72">
        <f ca="1">IF(E102='Invoer gegevens'!$C$17,-'Invoer gegevens'!$C$19*$BC$134,0)</f>
        <v>0</v>
      </c>
      <c r="BG102" s="72">
        <f ca="1">AV102/(1+$BG$72)^($D102-('Invoer gegevens'!$C$17-'Invoer gegevens'!$C$16))/(1+'Invoer gegevens'!$C$39)^('Invoer gegevens'!$C$17-'Invoer gegevens'!$C$16)+AW102/(1+$BG$72)^(E102-('Invoer gegevens'!$C$17-1))/(1+'Invoer gegevens'!$C$39)^('Invoer gegevens'!$C$17-'Invoer gegevens'!$C$16)+AX102/(1+'Invoer gegevens'!$C$39)^('Invoer gegevens'!$C$17-'Invoer gegevens'!$C$16)+(-AY102/(1+'Invoer gegevens'!$C$39)^D102)+BE102+BF102</f>
        <v>0</v>
      </c>
    </row>
    <row r="103" spans="1:59" x14ac:dyDescent="0.25">
      <c r="B103" s="70">
        <f t="shared" si="15"/>
        <v>31</v>
      </c>
      <c r="C103" s="67">
        <f ca="1">IF(AND(E103&gt;='Invoer gegevens'!$C$17,E103&lt;'Invoer gegevens'!$C$17+'Invoer gegevens'!$I$14),1,0)</f>
        <v>1</v>
      </c>
      <c r="D103" s="68">
        <f t="shared" si="16"/>
        <v>30.5</v>
      </c>
      <c r="E103" s="108">
        <f ca="1">IF('Invoer gegevens'!$C$16="","",E102+1)</f>
        <v>2049</v>
      </c>
      <c r="F103" s="84">
        <f ca="1">IF('Invoer gegevens'!$C$17=E103,'Invoer gegevens'!$C$10,IF(C103=1,K102,0))</f>
        <v>0</v>
      </c>
      <c r="G103" s="96">
        <f ca="1">IF(E103='Invoer gegevens'!$C$17+'Invoer gegevens'!$I$14,K102,IF(C103&gt;=1,F103*VLOOKUP(E103,Reeksen!$A$5:$B$76,2),0))</f>
        <v>0</v>
      </c>
      <c r="H103" s="84">
        <f ca="1">IF(E103='Invoer gegevens'!$C$17+'Invoer gegevens'!$I$14,K102,(1-('Invoer gegevens'!$F$20/12))*F103*MIN(Reeksen!B35,Reeksen!D35))</f>
        <v>0</v>
      </c>
      <c r="I103" s="84">
        <f>IF(Reeksen!D35&lt;Reeksen!B35,(Reeksen!B35-Reeksen!D35)*F103,0)</f>
        <v>0</v>
      </c>
      <c r="J103" s="84">
        <f ca="1">IF(E103='Invoer gegevens'!$C$17+'Invoer gegevens'!$I$14+1,0,('Invoer gegevens'!$F$20/12)*F102*MIN(Reeksen!B34,Reeksen!D34))</f>
        <v>0</v>
      </c>
      <c r="K103" s="97">
        <f ca="1">IF(E103&gt;='Invoer gegevens'!$C$17+'Invoer gegevens'!$I$14,0,F103-G103)</f>
        <v>0</v>
      </c>
      <c r="L103" s="84">
        <f ca="1">IF('Invoer gegevens'!$C$17=E103,0,IF(C103=1,Q102,0))</f>
        <v>0</v>
      </c>
      <c r="M103" s="96">
        <f ca="1">IF(E103='Invoer gegevens'!$C$17+'Invoer gegevens'!$I$14,Q102,IF(C103&gt;=1,L103*VLOOKUP(E103,Reeksen!$A$5:$B$76,2),0))</f>
        <v>0</v>
      </c>
      <c r="N103" s="84">
        <f ca="1">IF(C103='Invoer gegevens'!$C$17+'Invoer gegevens'!$I$14,Q102,(1-('Invoer gegevens'!$F$20/12))*L103*MIN(Reeksen!B35,Reeksen!D35))</f>
        <v>0</v>
      </c>
      <c r="O103" s="84">
        <f>IF(Reeksen!D35&lt;Reeksen!B35,(Reeksen!B35-Reeksen!D35)*L103,0)</f>
        <v>0</v>
      </c>
      <c r="P103" s="84">
        <f ca="1">IF(E103='Invoer gegevens'!$C$17+'Invoer gegevens'!$I$14+1,0,('Invoer gegevens'!$F$20/12)*L102*MIN(Reeksen!B34,Reeksen!D34))</f>
        <v>0</v>
      </c>
      <c r="Q103" s="84">
        <f ca="1">IF(E103&gt;='Invoer gegevens'!$C$17+'Invoer gegevens'!$I$14,0,L103-M103+I103+O103)</f>
        <v>0</v>
      </c>
      <c r="R103" s="82">
        <f ca="1">IF('Invoer gegevens'!$C$17=E103,'Invoer gegevens'!$C$11,IF(C103=1,W102,0))</f>
        <v>0</v>
      </c>
      <c r="S103" s="86">
        <f ca="1">IF(E103='Invoer gegevens'!$C$17+'Invoer gegevens'!$I$14,W102,IF(C103&gt;=1,R103*VLOOKUP(E103,Reeksen!$A$5:$B$76,2),0))</f>
        <v>0</v>
      </c>
      <c r="T103" s="84">
        <f ca="1">IF(E103='Invoer gegevens'!$C$17+'Invoer gegevens'!$I$14,W102,(1-('Invoer gegevens'!$F$20/12))*R103*MIN(Reeksen!B35,Reeksen!D35))</f>
        <v>0</v>
      </c>
      <c r="U103" s="84">
        <f>IF(Reeksen!D35&gt;=Reeksen!B35,0,IF(Reeksen!AK35&lt;=Reeksen!AE35,(Reeksen!B35-Reeksen!D35)*R103,0))</f>
        <v>0</v>
      </c>
      <c r="V103" s="86">
        <f>IF(Reeksen!D35&gt;=Reeksen!B35,0,IF(Reeksen!AK35&gt;Reeksen!AE35,(Reeksen!B35-Reeksen!D35)*R103,0))</f>
        <v>0</v>
      </c>
      <c r="W103" s="97">
        <f ca="1">IF(E103&gt;='Invoer gegevens'!$C$17+'Invoer gegevens'!$I$14,0,R103-S103)</f>
        <v>0</v>
      </c>
      <c r="X103" s="98">
        <f ca="1">IF('Invoer gegevens'!$C$17=E103,'Invoer gegevens'!$C$10-'Invoer gegevens'!$C$11,IF(C103=1,AC102,0))</f>
        <v>0</v>
      </c>
      <c r="Y103" s="98">
        <f ca="1">IF(E103='Invoer gegevens'!$C$17+'Invoer gegevens'!$I$14,AC102,IF(C103&gt;=1,X103*VLOOKUP(E103,Reeksen!$A$5:$B$76,2),0))</f>
        <v>0</v>
      </c>
      <c r="Z103" s="98">
        <f ca="1">IF(E103='Invoer gegevens'!$C$17+'Invoer gegevens'!$I$14,AC102,(1-('Invoer gegevens'!$F$20/12))*X103*MIN(Reeksen!B35,Reeksen!D35))</f>
        <v>0</v>
      </c>
      <c r="AA103" s="98">
        <f>IF(Reeksen!D35&gt;=Reeksen!B35,0,IF(Reeksen!AK35&lt;=Reeksen!AE35,(Reeksen!B35-Reeksen!D35)*X103,0))</f>
        <v>0</v>
      </c>
      <c r="AB103" s="98">
        <f>IF(Reeksen!D35&gt;=Reeksen!B35,0,IF(Reeksen!AK35&gt;Reeksen!AE35,(Reeksen!B35-Reeksen!D35)*X103,0))</f>
        <v>0</v>
      </c>
      <c r="AC103" s="99">
        <f ca="1">IF(E103&gt;='Invoer gegevens'!$C$17+'Invoer gegevens'!$I$14,0,X103-Y103)</f>
        <v>0</v>
      </c>
      <c r="AD103" s="98">
        <f ca="1">IF('Invoer gegevens'!$C$17=E35,R103,IF(C35=0,0,AE102))</f>
        <v>0</v>
      </c>
      <c r="AE103" s="98">
        <f t="shared" ca="1" si="9"/>
        <v>0</v>
      </c>
      <c r="AF103" s="98">
        <f ca="1">IF('Invoer gegevens'!$C$17=E35,X103,IF(C35=0,0,AG102))</f>
        <v>0</v>
      </c>
      <c r="AG103" s="98">
        <f t="shared" ca="1" si="10"/>
        <v>0</v>
      </c>
      <c r="AH103" s="66"/>
      <c r="AI103" s="71">
        <f ca="1">IF(C103=1,((Reeksen!BF35*(F103-G103+F103)/2)+((L103-M103+L103)/2*Reeksen!BG35))*12,0)</f>
        <v>0</v>
      </c>
      <c r="AJ103" s="71">
        <f ca="1">-AI103*'Invoer gegevens'!$I$26</f>
        <v>0</v>
      </c>
      <c r="AK103" s="71">
        <f t="shared" ca="1" si="11"/>
        <v>0</v>
      </c>
      <c r="AL103" s="71">
        <f ca="1">IF(C103=1,Reeksen!AL35*((F103-G103+F103)/2)*12+Reeksen!AM35*((L103-M103+L103)/2)*12,0)</f>
        <v>0</v>
      </c>
      <c r="AM103" s="71">
        <f ca="1">-AL103*'Invoer gegevens'!$F$31</f>
        <v>0</v>
      </c>
      <c r="AN103" s="71">
        <f t="shared" ca="1" si="12"/>
        <v>0</v>
      </c>
      <c r="AO103" s="71">
        <f ca="1">IF(E103&gt;='Invoer gegevens'!$C$17+'Invoer gegevens'!$I$14,0,IF(C103=1,(H103+J103+N103+P103)*Reeksen!AN35,0))</f>
        <v>0</v>
      </c>
      <c r="AP103" s="71">
        <f ca="1">-IF(C103=1,(H103+J103+N103+P103)*Reeksen!AN34*'Hulp - basis'!$B$550,0)</f>
        <v>0</v>
      </c>
      <c r="AQ103" s="71">
        <f ca="1">-IF(C103=1,(F103+K103+L103+Q103)/2*'Invoer gegevens'!$I$33*Reeksen!J35,0)</f>
        <v>0</v>
      </c>
      <c r="AR103" s="71">
        <f ca="1">-IF(C103=1,(I103*'Invoer gegevens'!$I$34)*Reeksen!J35,0)</f>
        <v>0</v>
      </c>
      <c r="AS103" s="71">
        <f ca="1">-IF(C103=1,(F103+K103+L103+Q103)/2*'Invoer gegevens'!$I$35*Reeksen!L35,0)</f>
        <v>0</v>
      </c>
      <c r="AT103" s="71">
        <f ca="1">-IF(C103=1,IF(E103='Invoer gegevens'!$C$17,'Invoer gegevens'!$C$11,AD103)*Reeksen!S35*'Invoer gegevens'!$C$18*Reeksen!P35,0)</f>
        <v>0</v>
      </c>
      <c r="AU103" s="71">
        <f ca="1">-IF(C103=1,(F103+K103+L103+Q103)/2*'Invoer gegevens'!$I$36*Reeksen!H35,0)</f>
        <v>0</v>
      </c>
      <c r="AV103" s="71">
        <f t="shared" ca="1" si="13"/>
        <v>0</v>
      </c>
      <c r="AW103" s="72">
        <f ca="1">IFERROR(IF(E103='Invoer gegevens'!$C$17+'Invoer gegevens'!$I$14-1,'Invoer gegevens'!$I$13*K103*Reeksen!H35,0),0)</f>
        <v>0</v>
      </c>
      <c r="AX103" s="72">
        <f ca="1">IFERROR(IF(E103='Invoer gegevens'!$C$17,-'Invoer gegevens'!$C$10*('Invoer gegevens'!$C$30+'Invoer gegevens'!$C$31)*Reeksen!H35,0),0)</f>
        <v>0</v>
      </c>
      <c r="AY103" s="73">
        <f ca="1">IF('Invoer gegevens'!$C$34=E103,'Invoer gegevens'!$C$27*'Invoer gegevens'!$C$10*'Invoer gegevens'!$C$36*(IF('Invoer gegevens'!$C$35="ja",1,Reeksen!J35)),IF('Invoer gegevens'!$C$34+1=E103,'Invoer gegevens'!$C$27*'Invoer gegevens'!$C$10*'Invoer gegevens'!$C$37*(IF('Invoer gegevens'!$C$35="ja",1,Reeksen!J35)),0))+IF(AND(E103='Invoer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3" s="73">
        <f ca="1">AV103/(1+'Invoer gegevens'!$I$12)^($D103-('Invoer gegevens'!$C$17-'Invoer gegevens'!$C$16))/(1+'Invoer gegevens'!$C$39)^('Invoer gegevens'!$C$17-'Invoer gegevens'!$C$16)</f>
        <v>0</v>
      </c>
      <c r="BA103" s="73">
        <f ca="1">AW103/(1+'Invoer gegevens'!$I$12)^(E103-('Invoer gegevens'!$C$17-1))/(1+'Invoer gegevens'!$C$39)^('Invoer gegevens'!$C$17-'Invoer gegevens'!$C$16)</f>
        <v>0</v>
      </c>
      <c r="BB103" s="73">
        <f ca="1">AX103/(1+'Invoer gegevens'!$C$39)^('Invoer gegevens'!$C$17-'Invoer gegevens'!$C$16)</f>
        <v>0</v>
      </c>
      <c r="BC103" s="72">
        <f t="shared" ca="1" si="14"/>
        <v>0</v>
      </c>
      <c r="BD103" s="72">
        <f ca="1">IF(AND(E103='Invoer gegevens'!$C$16,'Invoer gegevens'!$C$34&lt;'Invoer gegevens'!$C$16),AY103,AY103/(1+'Invoer gegevens'!$C$39)^D103)</f>
        <v>0</v>
      </c>
      <c r="BE103" s="72">
        <f ca="1">IF(E103='Invoer gegevens'!$C$34,-'Invoer gegevens'!$I$38,0)</f>
        <v>0</v>
      </c>
      <c r="BF103" s="72">
        <f ca="1">IF(E103='Invoer gegevens'!$C$17,-'Invoer gegevens'!$C$19*$BC$134,0)</f>
        <v>0</v>
      </c>
      <c r="BG103" s="72">
        <f ca="1">AV103/(1+$BG$72)^($D103-('Invoer gegevens'!$C$17-'Invoer gegevens'!$C$16))/(1+'Invoer gegevens'!$C$39)^('Invoer gegevens'!$C$17-'Invoer gegevens'!$C$16)+AW103/(1+$BG$72)^(E103-('Invoer gegevens'!$C$17-1))/(1+'Invoer gegevens'!$C$39)^('Invoer gegevens'!$C$17-'Invoer gegevens'!$C$16)+AX103/(1+'Invoer gegevens'!$C$39)^('Invoer gegevens'!$C$17-'Invoer gegevens'!$C$16)+(-AY103/(1+'Invoer gegevens'!$C$39)^D103)+BE103+BF103</f>
        <v>0</v>
      </c>
    </row>
    <row r="104" spans="1:59" x14ac:dyDescent="0.25">
      <c r="B104" s="70">
        <f t="shared" si="15"/>
        <v>32</v>
      </c>
      <c r="C104" s="67">
        <f ca="1">IF(AND(E104&gt;='Invoer gegevens'!$C$17,E104&lt;'Invoer gegevens'!$C$17+'Invoer gegevens'!$I$14),1,0)</f>
        <v>1</v>
      </c>
      <c r="D104" s="68">
        <f t="shared" si="16"/>
        <v>31.5</v>
      </c>
      <c r="E104" s="108">
        <f ca="1">IF('Invoer gegevens'!$C$16="","",E103+1)</f>
        <v>2050</v>
      </c>
      <c r="F104" s="84">
        <f ca="1">IF('Invoer gegevens'!$C$17=E104,'Invoer gegevens'!$C$10,IF(C104=1,K103,0))</f>
        <v>0</v>
      </c>
      <c r="G104" s="96">
        <f ca="1">IF(E104='Invoer gegevens'!$C$17+'Invoer gegevens'!$I$14,K103,IF(C104&gt;=1,F104*VLOOKUP(E104,Reeksen!$A$5:$B$76,2),0))</f>
        <v>0</v>
      </c>
      <c r="H104" s="84">
        <f ca="1">IF(E104='Invoer gegevens'!$C$17+'Invoer gegevens'!$I$14,K103,(1-('Invoer gegevens'!$F$20/12))*F104*MIN(Reeksen!B36,Reeksen!D36))</f>
        <v>0</v>
      </c>
      <c r="I104" s="84">
        <f>IF(Reeksen!D36&lt;Reeksen!B36,(Reeksen!B36-Reeksen!D36)*F104,0)</f>
        <v>0</v>
      </c>
      <c r="J104" s="84">
        <f ca="1">IF(E104='Invoer gegevens'!$C$17+'Invoer gegevens'!$I$14+1,0,('Invoer gegevens'!$F$20/12)*F103*MIN(Reeksen!B35,Reeksen!D35))</f>
        <v>0</v>
      </c>
      <c r="K104" s="97">
        <f ca="1">IF(E104&gt;='Invoer gegevens'!$C$17+'Invoer gegevens'!$I$14,0,F104-G104)</f>
        <v>0</v>
      </c>
      <c r="L104" s="84">
        <f ca="1">IF('Invoer gegevens'!$C$17=E104,0,IF(C104=1,Q103,0))</f>
        <v>0</v>
      </c>
      <c r="M104" s="96">
        <f ca="1">IF(E104='Invoer gegevens'!$C$17+'Invoer gegevens'!$I$14,Q103,IF(C104&gt;=1,L104*VLOOKUP(E104,Reeksen!$A$5:$B$76,2),0))</f>
        <v>0</v>
      </c>
      <c r="N104" s="84">
        <f ca="1">IF(C104='Invoer gegevens'!$C$17+'Invoer gegevens'!$I$14,Q103,(1-('Invoer gegevens'!$F$20/12))*L104*MIN(Reeksen!B36,Reeksen!D36))</f>
        <v>0</v>
      </c>
      <c r="O104" s="84">
        <f>IF(Reeksen!D36&lt;Reeksen!B36,(Reeksen!B36-Reeksen!D36)*L104,0)</f>
        <v>0</v>
      </c>
      <c r="P104" s="84">
        <f ca="1">IF(E104='Invoer gegevens'!$C$17+'Invoer gegevens'!$I$14+1,0,('Invoer gegevens'!$F$20/12)*L103*MIN(Reeksen!B35,Reeksen!D35))</f>
        <v>0</v>
      </c>
      <c r="Q104" s="84">
        <f ca="1">IF(E104&gt;='Invoer gegevens'!$C$17+'Invoer gegevens'!$I$14,0,L104-M104+I104+O104)</f>
        <v>0</v>
      </c>
      <c r="R104" s="82">
        <f ca="1">IF('Invoer gegevens'!$C$17=E104,'Invoer gegevens'!$C$11,IF(C104=1,W103,0))</f>
        <v>0</v>
      </c>
      <c r="S104" s="86">
        <f ca="1">IF(E104='Invoer gegevens'!$C$17+'Invoer gegevens'!$I$14,W103,IF(C104&gt;=1,R104*VLOOKUP(E104,Reeksen!$A$5:$B$76,2),0))</f>
        <v>0</v>
      </c>
      <c r="T104" s="84">
        <f ca="1">IF(E104='Invoer gegevens'!$C$17+'Invoer gegevens'!$I$14,W103,(1-('Invoer gegevens'!$F$20/12))*R104*MIN(Reeksen!B36,Reeksen!D36))</f>
        <v>0</v>
      </c>
      <c r="U104" s="84">
        <f>IF(Reeksen!D36&gt;=Reeksen!B36,0,IF(Reeksen!AK36&lt;=Reeksen!AE36,(Reeksen!B36-Reeksen!D36)*R104,0))</f>
        <v>0</v>
      </c>
      <c r="V104" s="86">
        <f>IF(Reeksen!D36&gt;=Reeksen!B36,0,IF(Reeksen!AK36&gt;Reeksen!AE36,(Reeksen!B36-Reeksen!D36)*R104,0))</f>
        <v>0</v>
      </c>
      <c r="W104" s="97">
        <f ca="1">IF(E104&gt;='Invoer gegevens'!$C$17+'Invoer gegevens'!$I$14,0,R104-S104)</f>
        <v>0</v>
      </c>
      <c r="X104" s="98">
        <f ca="1">IF('Invoer gegevens'!$C$17=E104,'Invoer gegevens'!$C$10-'Invoer gegevens'!$C$11,IF(C104=1,AC103,0))</f>
        <v>0</v>
      </c>
      <c r="Y104" s="98">
        <f ca="1">IF(E104='Invoer gegevens'!$C$17+'Invoer gegevens'!$I$14,AC103,IF(C104&gt;=1,X104*VLOOKUP(E104,Reeksen!$A$5:$B$76,2),0))</f>
        <v>0</v>
      </c>
      <c r="Z104" s="98">
        <f ca="1">IF(E104='Invoer gegevens'!$C$17+'Invoer gegevens'!$I$14,AC103,(1-('Invoer gegevens'!$F$20/12))*X104*MIN(Reeksen!B36,Reeksen!D36))</f>
        <v>0</v>
      </c>
      <c r="AA104" s="98">
        <f>IF(Reeksen!D36&gt;=Reeksen!B36,0,IF(Reeksen!AK36&lt;=Reeksen!AE36,(Reeksen!B36-Reeksen!D36)*X104,0))</f>
        <v>0</v>
      </c>
      <c r="AB104" s="98">
        <f>IF(Reeksen!D36&gt;=Reeksen!B36,0,IF(Reeksen!AK36&gt;Reeksen!AE36,(Reeksen!B36-Reeksen!D36)*X104,0))</f>
        <v>0</v>
      </c>
      <c r="AC104" s="99">
        <f ca="1">IF(E104&gt;='Invoer gegevens'!$C$17+'Invoer gegevens'!$I$14,0,X104-Y104)</f>
        <v>0</v>
      </c>
      <c r="AD104" s="98">
        <f ca="1">IF('Invoer gegevens'!$C$17=E36,R104,IF(C36=0,0,AE103))</f>
        <v>0</v>
      </c>
      <c r="AE104" s="98">
        <f t="shared" ca="1" si="9"/>
        <v>0</v>
      </c>
      <c r="AF104" s="98">
        <f ca="1">IF('Invoer gegevens'!$C$17=E36,X104,IF(C36=0,0,AG103))</f>
        <v>0</v>
      </c>
      <c r="AG104" s="98">
        <f t="shared" ca="1" si="10"/>
        <v>0</v>
      </c>
      <c r="AH104" s="66"/>
      <c r="AI104" s="71">
        <f ca="1">IF(C104=1,((Reeksen!BF36*(F104-G104+F104)/2)+((L104-M104+L104)/2*Reeksen!BG36))*12,0)</f>
        <v>0</v>
      </c>
      <c r="AJ104" s="71">
        <f ca="1">-AI104*'Invoer gegevens'!$I$26</f>
        <v>0</v>
      </c>
      <c r="AK104" s="71">
        <f t="shared" ca="1" si="11"/>
        <v>0</v>
      </c>
      <c r="AL104" s="71">
        <f ca="1">IF(C104=1,Reeksen!AL36*((F104-G104+F104)/2)*12+Reeksen!AM36*((L104-M104+L104)/2)*12,0)</f>
        <v>0</v>
      </c>
      <c r="AM104" s="71">
        <f ca="1">-AL104*'Invoer gegevens'!$F$31</f>
        <v>0</v>
      </c>
      <c r="AN104" s="71">
        <f t="shared" ca="1" si="12"/>
        <v>0</v>
      </c>
      <c r="AO104" s="71">
        <f ca="1">IF(E104&gt;='Invoer gegevens'!$C$17+'Invoer gegevens'!$I$14,0,IF(C104=1,(H104+J104+N104+P104)*Reeksen!AN36,0))</f>
        <v>0</v>
      </c>
      <c r="AP104" s="71">
        <f ca="1">-IF(C104=1,(H104+J104+N104+P104)*Reeksen!AN35*'Hulp - basis'!$B$550,0)</f>
        <v>0</v>
      </c>
      <c r="AQ104" s="71">
        <f ca="1">-IF(C104=1,(F104+K104+L104+Q104)/2*'Invoer gegevens'!$I$33*Reeksen!J36,0)</f>
        <v>0</v>
      </c>
      <c r="AR104" s="71">
        <f ca="1">-IF(C104=1,(I104*'Invoer gegevens'!$I$34)*Reeksen!J36,0)</f>
        <v>0</v>
      </c>
      <c r="AS104" s="71">
        <f ca="1">-IF(C104=1,(F104+K104+L104+Q104)/2*'Invoer gegevens'!$I$35*Reeksen!L36,0)</f>
        <v>0</v>
      </c>
      <c r="AT104" s="71">
        <f ca="1">-IF(C104=1,IF(E104='Invoer gegevens'!$C$17,'Invoer gegevens'!$C$11,AD104)*Reeksen!S36*'Invoer gegevens'!$C$18*Reeksen!P36,0)</f>
        <v>0</v>
      </c>
      <c r="AU104" s="71">
        <f ca="1">-IF(C104=1,(F104+K104+L104+Q104)/2*'Invoer gegevens'!$I$36*Reeksen!H36,0)</f>
        <v>0</v>
      </c>
      <c r="AV104" s="71">
        <f t="shared" ca="1" si="13"/>
        <v>0</v>
      </c>
      <c r="AW104" s="72">
        <f ca="1">IFERROR(IF(E104='Invoer gegevens'!$C$17+'Invoer gegevens'!$I$14-1,'Invoer gegevens'!$I$13*K104*Reeksen!H36,0),0)</f>
        <v>0</v>
      </c>
      <c r="AX104" s="72">
        <f ca="1">IFERROR(IF(E104='Invoer gegevens'!$C$17,-'Invoer gegevens'!$C$10*('Invoer gegevens'!$C$30+'Invoer gegevens'!$C$31)*Reeksen!H36,0),0)</f>
        <v>0</v>
      </c>
      <c r="AY104" s="73">
        <f ca="1">IF('Invoer gegevens'!$C$34=E104,'Invoer gegevens'!$C$27*'Invoer gegevens'!$C$10*'Invoer gegevens'!$C$36*(IF('Invoer gegevens'!$C$35="ja",1,Reeksen!J36)),IF('Invoer gegevens'!$C$34+1=E104,'Invoer gegevens'!$C$27*'Invoer gegevens'!$C$10*'Invoer gegevens'!$C$37*(IF('Invoer gegevens'!$C$35="ja",1,Reeksen!J36)),0))+IF(AND(E104='Invoer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4" s="73">
        <f ca="1">AV104/(1+'Invoer gegevens'!$I$12)^($D104-('Invoer gegevens'!$C$17-'Invoer gegevens'!$C$16))/(1+'Invoer gegevens'!$C$39)^('Invoer gegevens'!$C$17-'Invoer gegevens'!$C$16)</f>
        <v>0</v>
      </c>
      <c r="BA104" s="73">
        <f ca="1">AW104/(1+'Invoer gegevens'!$I$12)^(E104-('Invoer gegevens'!$C$17-1))/(1+'Invoer gegevens'!$C$39)^('Invoer gegevens'!$C$17-'Invoer gegevens'!$C$16)</f>
        <v>0</v>
      </c>
      <c r="BB104" s="73">
        <f ca="1">AX104/(1+'Invoer gegevens'!$C$39)^('Invoer gegevens'!$C$17-'Invoer gegevens'!$C$16)</f>
        <v>0</v>
      </c>
      <c r="BC104" s="72">
        <f t="shared" ca="1" si="14"/>
        <v>0</v>
      </c>
      <c r="BD104" s="72">
        <f ca="1">IF(AND(E104='Invoer gegevens'!$C$16,'Invoer gegevens'!$C$34&lt;'Invoer gegevens'!$C$16),AY104,AY104/(1+'Invoer gegevens'!$C$39)^D104)</f>
        <v>0</v>
      </c>
      <c r="BE104" s="72">
        <f ca="1">IF(E104='Invoer gegevens'!$C$34,-'Invoer gegevens'!$I$38,0)</f>
        <v>0</v>
      </c>
      <c r="BF104" s="72">
        <f ca="1">IF(E104='Invoer gegevens'!$C$17,-'Invoer gegevens'!$C$19*$BC$134,0)</f>
        <v>0</v>
      </c>
      <c r="BG104" s="72">
        <f ca="1">AV104/(1+$BG$72)^($D104-('Invoer gegevens'!$C$17-'Invoer gegevens'!$C$16))/(1+'Invoer gegevens'!$C$39)^('Invoer gegevens'!$C$17-'Invoer gegevens'!$C$16)+AW104/(1+$BG$72)^(E104-('Invoer gegevens'!$C$17-1))/(1+'Invoer gegevens'!$C$39)^('Invoer gegevens'!$C$17-'Invoer gegevens'!$C$16)+AX104/(1+'Invoer gegevens'!$C$39)^('Invoer gegevens'!$C$17-'Invoer gegevens'!$C$16)+(-AY104/(1+'Invoer gegevens'!$C$39)^D104)+BE104+BF104</f>
        <v>0</v>
      </c>
    </row>
    <row r="105" spans="1:59" x14ac:dyDescent="0.25">
      <c r="B105" s="70">
        <f t="shared" si="15"/>
        <v>33</v>
      </c>
      <c r="C105" s="67">
        <f ca="1">IF(AND(E105&gt;='Invoer gegevens'!$C$17,E105&lt;'Invoer gegevens'!$C$17+'Invoer gegevens'!$I$14),1,0)</f>
        <v>1</v>
      </c>
      <c r="D105" s="68">
        <f t="shared" si="16"/>
        <v>32.5</v>
      </c>
      <c r="E105" s="108">
        <f ca="1">IF('Invoer gegevens'!$C$16="","",E104+1)</f>
        <v>2051</v>
      </c>
      <c r="F105" s="84">
        <f ca="1">IF('Invoer gegevens'!$C$17=E105,'Invoer gegevens'!$C$10,IF(C105=1,K104,0))</f>
        <v>0</v>
      </c>
      <c r="G105" s="96">
        <f ca="1">IF(E105='Invoer gegevens'!$C$17+'Invoer gegevens'!$I$14,K104,IF(C105&gt;=1,F105*VLOOKUP(E105,Reeksen!$A$5:$B$76,2),0))</f>
        <v>0</v>
      </c>
      <c r="H105" s="84">
        <f ca="1">IF(E105='Invoer gegevens'!$C$17+'Invoer gegevens'!$I$14,K104,(1-('Invoer gegevens'!$F$20/12))*F105*MIN(Reeksen!B37,Reeksen!D37))</f>
        <v>0</v>
      </c>
      <c r="I105" s="84">
        <f>IF(Reeksen!D37&lt;Reeksen!B37,(Reeksen!B37-Reeksen!D37)*F105,0)</f>
        <v>0</v>
      </c>
      <c r="J105" s="84">
        <f ca="1">IF(E105='Invoer gegevens'!$C$17+'Invoer gegevens'!$I$14+1,0,('Invoer gegevens'!$F$20/12)*F104*MIN(Reeksen!B36,Reeksen!D36))</f>
        <v>0</v>
      </c>
      <c r="K105" s="97">
        <f ca="1">IF(E105&gt;='Invoer gegevens'!$C$17+'Invoer gegevens'!$I$14,0,F105-G105)</f>
        <v>0</v>
      </c>
      <c r="L105" s="84">
        <f ca="1">IF('Invoer gegevens'!$C$17=E105,0,IF(C105=1,Q104,0))</f>
        <v>0</v>
      </c>
      <c r="M105" s="96">
        <f ca="1">IF(E105='Invoer gegevens'!$C$17+'Invoer gegevens'!$I$14,Q104,IF(C105&gt;=1,L105*VLOOKUP(E105,Reeksen!$A$5:$B$76,2),0))</f>
        <v>0</v>
      </c>
      <c r="N105" s="84">
        <f ca="1">IF(C105='Invoer gegevens'!$C$17+'Invoer gegevens'!$I$14,Q104,(1-('Invoer gegevens'!$F$20/12))*L105*MIN(Reeksen!B37,Reeksen!D37))</f>
        <v>0</v>
      </c>
      <c r="O105" s="84">
        <f>IF(Reeksen!D37&lt;Reeksen!B37,(Reeksen!B37-Reeksen!D37)*L105,0)</f>
        <v>0</v>
      </c>
      <c r="P105" s="84">
        <f ca="1">IF(E105='Invoer gegevens'!$C$17+'Invoer gegevens'!$I$14+1,0,('Invoer gegevens'!$F$20/12)*L104*MIN(Reeksen!B36,Reeksen!D36))</f>
        <v>0</v>
      </c>
      <c r="Q105" s="84">
        <f ca="1">IF(E105&gt;='Invoer gegevens'!$C$17+'Invoer gegevens'!$I$14,0,L105-M105+I105+O105)</f>
        <v>0</v>
      </c>
      <c r="R105" s="82">
        <f ca="1">IF('Invoer gegevens'!$C$17=E105,'Invoer gegevens'!$C$11,IF(C105=1,W104,0))</f>
        <v>0</v>
      </c>
      <c r="S105" s="86">
        <f ca="1">IF(E105='Invoer gegevens'!$C$17+'Invoer gegevens'!$I$14,W104,IF(C105&gt;=1,R105*VLOOKUP(E105,Reeksen!$A$5:$B$76,2),0))</f>
        <v>0</v>
      </c>
      <c r="T105" s="84">
        <f ca="1">IF(E105='Invoer gegevens'!$C$17+'Invoer gegevens'!$I$14,W104,(1-('Invoer gegevens'!$F$20/12))*R105*MIN(Reeksen!B37,Reeksen!D37))</f>
        <v>0</v>
      </c>
      <c r="U105" s="84">
        <f>IF(Reeksen!D37&gt;=Reeksen!B37,0,IF(Reeksen!AK37&lt;=Reeksen!AE37,(Reeksen!B37-Reeksen!D37)*R105,0))</f>
        <v>0</v>
      </c>
      <c r="V105" s="86">
        <f>IF(Reeksen!D37&gt;=Reeksen!B37,0,IF(Reeksen!AK37&gt;Reeksen!AE37,(Reeksen!B37-Reeksen!D37)*R105,0))</f>
        <v>0</v>
      </c>
      <c r="W105" s="97">
        <f ca="1">IF(E105&gt;='Invoer gegevens'!$C$17+'Invoer gegevens'!$I$14,0,R105-S105)</f>
        <v>0</v>
      </c>
      <c r="X105" s="98">
        <f ca="1">IF('Invoer gegevens'!$C$17=E105,'Invoer gegevens'!$C$10-'Invoer gegevens'!$C$11,IF(C105=1,AC104,0))</f>
        <v>0</v>
      </c>
      <c r="Y105" s="98">
        <f ca="1">IF(E105='Invoer gegevens'!$C$17+'Invoer gegevens'!$I$14,AC104,IF(C105&gt;=1,X105*VLOOKUP(E105,Reeksen!$A$5:$B$76,2),0))</f>
        <v>0</v>
      </c>
      <c r="Z105" s="98">
        <f ca="1">IF(E105='Invoer gegevens'!$C$17+'Invoer gegevens'!$I$14,AC104,(1-('Invoer gegevens'!$F$20/12))*X105*MIN(Reeksen!B37,Reeksen!D37))</f>
        <v>0</v>
      </c>
      <c r="AA105" s="98">
        <f>IF(Reeksen!D37&gt;=Reeksen!B37,0,IF(Reeksen!AK37&lt;=Reeksen!AE37,(Reeksen!B37-Reeksen!D37)*X105,0))</f>
        <v>0</v>
      </c>
      <c r="AB105" s="98">
        <f>IF(Reeksen!D37&gt;=Reeksen!B37,0,IF(Reeksen!AK37&gt;Reeksen!AE37,(Reeksen!B37-Reeksen!D37)*X105,0))</f>
        <v>0</v>
      </c>
      <c r="AC105" s="99">
        <f ca="1">IF(E105&gt;='Invoer gegevens'!$C$17+'Invoer gegevens'!$I$14,0,X105-Y105)</f>
        <v>0</v>
      </c>
      <c r="AD105" s="98">
        <f ca="1">IF('Invoer gegevens'!$C$17=E37,R105,IF(C37=0,0,AE104))</f>
        <v>0</v>
      </c>
      <c r="AE105" s="98">
        <f t="shared" ca="1" si="9"/>
        <v>0</v>
      </c>
      <c r="AF105" s="98">
        <f ca="1">IF('Invoer gegevens'!$C$17=E37,X105,IF(C37=0,0,AG104))</f>
        <v>0</v>
      </c>
      <c r="AG105" s="98">
        <f t="shared" ca="1" si="10"/>
        <v>0</v>
      </c>
      <c r="AH105" s="66"/>
      <c r="AI105" s="71">
        <f ca="1">IF(C105=1,((Reeksen!BF37*(F105-G105+F105)/2)+((L105-M105+L105)/2*Reeksen!BG37))*12,0)</f>
        <v>0</v>
      </c>
      <c r="AJ105" s="71">
        <f ca="1">-AI105*'Invoer gegevens'!$I$26</f>
        <v>0</v>
      </c>
      <c r="AK105" s="71">
        <f t="shared" ca="1" si="11"/>
        <v>0</v>
      </c>
      <c r="AL105" s="71">
        <f ca="1">IF(C105=1,Reeksen!AL37*((F105-G105+F105)/2)*12+Reeksen!AM37*((L105-M105+L105)/2)*12,0)</f>
        <v>0</v>
      </c>
      <c r="AM105" s="71">
        <f ca="1">-AL105*'Invoer gegevens'!$F$31</f>
        <v>0</v>
      </c>
      <c r="AN105" s="71">
        <f t="shared" ca="1" si="12"/>
        <v>0</v>
      </c>
      <c r="AO105" s="71">
        <f ca="1">IF(E105&gt;='Invoer gegevens'!$C$17+'Invoer gegevens'!$I$14,0,IF(C105=1,(H105+J105+N105+P105)*Reeksen!AN37,0))</f>
        <v>0</v>
      </c>
      <c r="AP105" s="71">
        <f ca="1">-IF(C105=1,(H105+J105+N105+P105)*Reeksen!AN36*'Hulp - basis'!$B$550,0)</f>
        <v>0</v>
      </c>
      <c r="AQ105" s="71">
        <f ca="1">-IF(C105=1,(F105+K105+L105+Q105)/2*'Invoer gegevens'!$I$33*Reeksen!J37,0)</f>
        <v>0</v>
      </c>
      <c r="AR105" s="71">
        <f ca="1">-IF(C105=1,(I105*'Invoer gegevens'!$I$34)*Reeksen!J37,0)</f>
        <v>0</v>
      </c>
      <c r="AS105" s="71">
        <f ca="1">-IF(C105=1,(F105+K105+L105+Q105)/2*'Invoer gegevens'!$I$35*Reeksen!L37,0)</f>
        <v>0</v>
      </c>
      <c r="AT105" s="71">
        <f ca="1">-IF(C105=1,IF(E105='Invoer gegevens'!$C$17,'Invoer gegevens'!$C$11,AD105)*Reeksen!S37*'Invoer gegevens'!$C$18*Reeksen!P37,0)</f>
        <v>0</v>
      </c>
      <c r="AU105" s="71">
        <f ca="1">-IF(C105=1,(F105+K105+L105+Q105)/2*'Invoer gegevens'!$I$36*Reeksen!H37,0)</f>
        <v>0</v>
      </c>
      <c r="AV105" s="71">
        <f t="shared" ca="1" si="13"/>
        <v>0</v>
      </c>
      <c r="AW105" s="72">
        <f ca="1">IFERROR(IF(E105='Invoer gegevens'!$C$17+'Invoer gegevens'!$I$14-1,'Invoer gegevens'!$I$13*K105*Reeksen!H37,0),0)</f>
        <v>0</v>
      </c>
      <c r="AX105" s="72">
        <f ca="1">IFERROR(IF(E105='Invoer gegevens'!$C$17,-'Invoer gegevens'!$C$10*('Invoer gegevens'!$C$30+'Invoer gegevens'!$C$31)*Reeksen!H37,0),0)</f>
        <v>0</v>
      </c>
      <c r="AY105" s="73">
        <f ca="1">IF('Invoer gegevens'!$C$34=E105,'Invoer gegevens'!$C$27*'Invoer gegevens'!$C$10*'Invoer gegevens'!$C$36*(IF('Invoer gegevens'!$C$35="ja",1,Reeksen!J37)),IF('Invoer gegevens'!$C$34+1=E105,'Invoer gegevens'!$C$27*'Invoer gegevens'!$C$10*'Invoer gegevens'!$C$37*(IF('Invoer gegevens'!$C$35="ja",1,Reeksen!J37)),0))+IF(AND(E105='Invoer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5" s="73">
        <f ca="1">AV105/(1+'Invoer gegevens'!$I$12)^($D105-('Invoer gegevens'!$C$17-'Invoer gegevens'!$C$16))/(1+'Invoer gegevens'!$C$39)^('Invoer gegevens'!$C$17-'Invoer gegevens'!$C$16)</f>
        <v>0</v>
      </c>
      <c r="BA105" s="73">
        <f ca="1">AW105/(1+'Invoer gegevens'!$I$12)^(E105-('Invoer gegevens'!$C$17-1))/(1+'Invoer gegevens'!$C$39)^('Invoer gegevens'!$C$17-'Invoer gegevens'!$C$16)</f>
        <v>0</v>
      </c>
      <c r="BB105" s="73">
        <f ca="1">AX105/(1+'Invoer gegevens'!$C$39)^('Invoer gegevens'!$C$17-'Invoer gegevens'!$C$16)</f>
        <v>0</v>
      </c>
      <c r="BC105" s="72">
        <f t="shared" ca="1" si="14"/>
        <v>0</v>
      </c>
      <c r="BD105" s="72">
        <f ca="1">IF(AND(E105='Invoer gegevens'!$C$16,'Invoer gegevens'!$C$34&lt;'Invoer gegevens'!$C$16),AY105,AY105/(1+'Invoer gegevens'!$C$39)^D105)</f>
        <v>0</v>
      </c>
      <c r="BE105" s="72">
        <f ca="1">IF(E105='Invoer gegevens'!$C$34,-'Invoer gegevens'!$I$38,0)</f>
        <v>0</v>
      </c>
      <c r="BF105" s="72">
        <f ca="1">IF(E105='Invoer gegevens'!$C$17,-'Invoer gegevens'!$C$19*$BC$134,0)</f>
        <v>0</v>
      </c>
      <c r="BG105" s="72">
        <f ca="1">AV105/(1+$BG$72)^($D105-('Invoer gegevens'!$C$17-'Invoer gegevens'!$C$16))/(1+'Invoer gegevens'!$C$39)^('Invoer gegevens'!$C$17-'Invoer gegevens'!$C$16)+AW105/(1+$BG$72)^(E105-('Invoer gegevens'!$C$17-1))/(1+'Invoer gegevens'!$C$39)^('Invoer gegevens'!$C$17-'Invoer gegevens'!$C$16)+AX105/(1+'Invoer gegevens'!$C$39)^('Invoer gegevens'!$C$17-'Invoer gegevens'!$C$16)+(-AY105/(1+'Invoer gegevens'!$C$39)^D105)+BE105+BF105</f>
        <v>0</v>
      </c>
    </row>
    <row r="106" spans="1:59" x14ac:dyDescent="0.25">
      <c r="B106" s="70">
        <f t="shared" si="15"/>
        <v>34</v>
      </c>
      <c r="C106" s="67">
        <f ca="1">IF(AND(E106&gt;='Invoer gegevens'!$C$17,E106&lt;'Invoer gegevens'!$C$17+'Invoer gegevens'!$I$14),1,0)</f>
        <v>1</v>
      </c>
      <c r="D106" s="68">
        <f t="shared" si="16"/>
        <v>33.5</v>
      </c>
      <c r="E106" s="108">
        <f ca="1">IF('Invoer gegevens'!$C$16="","",E105+1)</f>
        <v>2052</v>
      </c>
      <c r="F106" s="84">
        <f ca="1">IF('Invoer gegevens'!$C$17=E106,'Invoer gegevens'!$C$10,IF(C106=1,K105,0))</f>
        <v>0</v>
      </c>
      <c r="G106" s="96">
        <f ca="1">IF(E106='Invoer gegevens'!$C$17+'Invoer gegevens'!$I$14,K105,IF(C106&gt;=1,F106*VLOOKUP(E106,Reeksen!$A$5:$B$76,2),0))</f>
        <v>0</v>
      </c>
      <c r="H106" s="84">
        <f ca="1">IF(E106='Invoer gegevens'!$C$17+'Invoer gegevens'!$I$14,K105,(1-('Invoer gegevens'!$F$20/12))*F106*MIN(Reeksen!B38,Reeksen!D38))</f>
        <v>0</v>
      </c>
      <c r="I106" s="84">
        <f>IF(Reeksen!D38&lt;Reeksen!B38,(Reeksen!B38-Reeksen!D38)*F106,0)</f>
        <v>0</v>
      </c>
      <c r="J106" s="84">
        <f ca="1">IF(E106='Invoer gegevens'!$C$17+'Invoer gegevens'!$I$14+1,0,('Invoer gegevens'!$F$20/12)*F105*MIN(Reeksen!B37,Reeksen!D37))</f>
        <v>0</v>
      </c>
      <c r="K106" s="97">
        <f ca="1">IF(E106&gt;='Invoer gegevens'!$C$17+'Invoer gegevens'!$I$14,0,F106-G106)</f>
        <v>0</v>
      </c>
      <c r="L106" s="84">
        <f ca="1">IF('Invoer gegevens'!$C$17=E106,0,IF(C106=1,Q105,0))</f>
        <v>0</v>
      </c>
      <c r="M106" s="96">
        <f ca="1">IF(E106='Invoer gegevens'!$C$17+'Invoer gegevens'!$I$14,Q105,IF(C106&gt;=1,L106*VLOOKUP(E106,Reeksen!$A$5:$B$76,2),0))</f>
        <v>0</v>
      </c>
      <c r="N106" s="84">
        <f ca="1">IF(C106='Invoer gegevens'!$C$17+'Invoer gegevens'!$I$14,Q105,(1-('Invoer gegevens'!$F$20/12))*L106*MIN(Reeksen!B38,Reeksen!D38))</f>
        <v>0</v>
      </c>
      <c r="O106" s="84">
        <f>IF(Reeksen!D38&lt;Reeksen!B38,(Reeksen!B38-Reeksen!D38)*L106,0)</f>
        <v>0</v>
      </c>
      <c r="P106" s="84">
        <f ca="1">IF(E106='Invoer gegevens'!$C$17+'Invoer gegevens'!$I$14+1,0,('Invoer gegevens'!$F$20/12)*L105*MIN(Reeksen!B37,Reeksen!D37))</f>
        <v>0</v>
      </c>
      <c r="Q106" s="84">
        <f ca="1">IF(E106&gt;='Invoer gegevens'!$C$17+'Invoer gegevens'!$I$14,0,L106-M106+I106+O106)</f>
        <v>0</v>
      </c>
      <c r="R106" s="82">
        <f ca="1">IF('Invoer gegevens'!$C$17=E106,'Invoer gegevens'!$C$11,IF(C106=1,W105,0))</f>
        <v>0</v>
      </c>
      <c r="S106" s="86">
        <f ca="1">IF(E106='Invoer gegevens'!$C$17+'Invoer gegevens'!$I$14,W105,IF(C106&gt;=1,R106*VLOOKUP(E106,Reeksen!$A$5:$B$76,2),0))</f>
        <v>0</v>
      </c>
      <c r="T106" s="84">
        <f ca="1">IF(E106='Invoer gegevens'!$C$17+'Invoer gegevens'!$I$14,W105,(1-('Invoer gegevens'!$F$20/12))*R106*MIN(Reeksen!B38,Reeksen!D38))</f>
        <v>0</v>
      </c>
      <c r="U106" s="84">
        <f>IF(Reeksen!D38&gt;=Reeksen!B38,0,IF(Reeksen!AK38&lt;=Reeksen!AE38,(Reeksen!B38-Reeksen!D38)*R106,0))</f>
        <v>0</v>
      </c>
      <c r="V106" s="86">
        <f>IF(Reeksen!D38&gt;=Reeksen!B38,0,IF(Reeksen!AK38&gt;Reeksen!AE38,(Reeksen!B38-Reeksen!D38)*R106,0))</f>
        <v>0</v>
      </c>
      <c r="W106" s="97">
        <f ca="1">IF(E106&gt;='Invoer gegevens'!$C$17+'Invoer gegevens'!$I$14,0,R106-S106)</f>
        <v>0</v>
      </c>
      <c r="X106" s="98">
        <f ca="1">IF('Invoer gegevens'!$C$17=E106,'Invoer gegevens'!$C$10-'Invoer gegevens'!$C$11,IF(C106=1,AC105,0))</f>
        <v>0</v>
      </c>
      <c r="Y106" s="98">
        <f ca="1">IF(E106='Invoer gegevens'!$C$17+'Invoer gegevens'!$I$14,AC105,IF(C106&gt;=1,X106*VLOOKUP(E106,Reeksen!$A$5:$B$76,2),0))</f>
        <v>0</v>
      </c>
      <c r="Z106" s="98">
        <f ca="1">IF(E106='Invoer gegevens'!$C$17+'Invoer gegevens'!$I$14,AC105,(1-('Invoer gegevens'!$F$20/12))*X106*MIN(Reeksen!B38,Reeksen!D38))</f>
        <v>0</v>
      </c>
      <c r="AA106" s="98">
        <f>IF(Reeksen!D38&gt;=Reeksen!B38,0,IF(Reeksen!AK38&lt;=Reeksen!AE38,(Reeksen!B38-Reeksen!D38)*X106,0))</f>
        <v>0</v>
      </c>
      <c r="AB106" s="98">
        <f>IF(Reeksen!D38&gt;=Reeksen!B38,0,IF(Reeksen!AK38&gt;Reeksen!AE38,(Reeksen!B38-Reeksen!D38)*X106,0))</f>
        <v>0</v>
      </c>
      <c r="AC106" s="99">
        <f ca="1">IF(E106&gt;='Invoer gegevens'!$C$17+'Invoer gegevens'!$I$14,0,X106-Y106)</f>
        <v>0</v>
      </c>
      <c r="AD106" s="98">
        <f ca="1">IF('Invoer gegevens'!$C$17=E38,R106,IF(C38=0,0,AE105))</f>
        <v>0</v>
      </c>
      <c r="AE106" s="98">
        <f t="shared" ca="1" si="9"/>
        <v>0</v>
      </c>
      <c r="AF106" s="98">
        <f ca="1">IF('Invoer gegevens'!$C$17=E38,X106,IF(C38=0,0,AG105))</f>
        <v>0</v>
      </c>
      <c r="AG106" s="98">
        <f t="shared" ca="1" si="10"/>
        <v>0</v>
      </c>
      <c r="AH106" s="66"/>
      <c r="AI106" s="71">
        <f ca="1">IF(C106=1,((Reeksen!BF38*(F106-G106+F106)/2)+((L106-M106+L106)/2*Reeksen!BG38))*12,0)</f>
        <v>0</v>
      </c>
      <c r="AJ106" s="71">
        <f ca="1">-AI106*'Invoer gegevens'!$I$26</f>
        <v>0</v>
      </c>
      <c r="AK106" s="71">
        <f t="shared" ca="1" si="11"/>
        <v>0</v>
      </c>
      <c r="AL106" s="71">
        <f ca="1">IF(C106=1,Reeksen!AL38*((F106-G106+F106)/2)*12+Reeksen!AM38*((L106-M106+L106)/2)*12,0)</f>
        <v>0</v>
      </c>
      <c r="AM106" s="71">
        <f ca="1">-AL106*'Invoer gegevens'!$F$31</f>
        <v>0</v>
      </c>
      <c r="AN106" s="71">
        <f t="shared" ca="1" si="12"/>
        <v>0</v>
      </c>
      <c r="AO106" s="71">
        <f ca="1">IF(E106&gt;='Invoer gegevens'!$C$17+'Invoer gegevens'!$I$14,0,IF(C106=1,(H106+J106+N106+P106)*Reeksen!AN38,0))</f>
        <v>0</v>
      </c>
      <c r="AP106" s="71">
        <f ca="1">-IF(C106=1,(H106+J106+N106+P106)*Reeksen!AN37*'Hulp - basis'!$B$550,0)</f>
        <v>0</v>
      </c>
      <c r="AQ106" s="71">
        <f ca="1">-IF(C106=1,(F106+K106+L106+Q106)/2*'Invoer gegevens'!$I$33*Reeksen!J38,0)</f>
        <v>0</v>
      </c>
      <c r="AR106" s="71">
        <f ca="1">-IF(C106=1,(I106*'Invoer gegevens'!$I$34)*Reeksen!J38,0)</f>
        <v>0</v>
      </c>
      <c r="AS106" s="71">
        <f ca="1">-IF(C106=1,(F106+K106+L106+Q106)/2*'Invoer gegevens'!$I$35*Reeksen!L38,0)</f>
        <v>0</v>
      </c>
      <c r="AT106" s="71">
        <f ca="1">-IF(C106=1,IF(E106='Invoer gegevens'!$C$17,'Invoer gegevens'!$C$11,AD106)*Reeksen!S38*'Invoer gegevens'!$C$18*Reeksen!P38,0)</f>
        <v>0</v>
      </c>
      <c r="AU106" s="71">
        <f ca="1">-IF(C106=1,(F106+K106+L106+Q106)/2*'Invoer gegevens'!$I$36*Reeksen!H38,0)</f>
        <v>0</v>
      </c>
      <c r="AV106" s="71">
        <f t="shared" ca="1" si="13"/>
        <v>0</v>
      </c>
      <c r="AW106" s="72">
        <f ca="1">IFERROR(IF(E106='Invoer gegevens'!$C$17+'Invoer gegevens'!$I$14-1,'Invoer gegevens'!$I$13*K106*Reeksen!H38,0),0)</f>
        <v>0</v>
      </c>
      <c r="AX106" s="72">
        <f ca="1">IFERROR(IF(E106='Invoer gegevens'!$C$17,-'Invoer gegevens'!$C$10*('Invoer gegevens'!$C$30+'Invoer gegevens'!$C$31)*Reeksen!H38,0),0)</f>
        <v>0</v>
      </c>
      <c r="AY106" s="73">
        <f ca="1">IF('Invoer gegevens'!$C$34=E106,'Invoer gegevens'!$C$27*'Invoer gegevens'!$C$10*'Invoer gegevens'!$C$36*(IF('Invoer gegevens'!$C$35="ja",1,Reeksen!J38)),IF('Invoer gegevens'!$C$34+1=E106,'Invoer gegevens'!$C$27*'Invoer gegevens'!$C$10*'Invoer gegevens'!$C$37*(IF('Invoer gegevens'!$C$35="ja",1,Reeksen!J38)),0))+IF(AND(E106='Invoer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6" s="73">
        <f ca="1">AV106/(1+'Invoer gegevens'!$I$12)^($D106-('Invoer gegevens'!$C$17-'Invoer gegevens'!$C$16))/(1+'Invoer gegevens'!$C$39)^('Invoer gegevens'!$C$17-'Invoer gegevens'!$C$16)</f>
        <v>0</v>
      </c>
      <c r="BA106" s="73">
        <f ca="1">AW106/(1+'Invoer gegevens'!$I$12)^(E106-('Invoer gegevens'!$C$17-1))/(1+'Invoer gegevens'!$C$39)^('Invoer gegevens'!$C$17-'Invoer gegevens'!$C$16)</f>
        <v>0</v>
      </c>
      <c r="BB106" s="73">
        <f ca="1">AX106/(1+'Invoer gegevens'!$C$39)^('Invoer gegevens'!$C$17-'Invoer gegevens'!$C$16)</f>
        <v>0</v>
      </c>
      <c r="BC106" s="72">
        <f t="shared" ca="1" si="14"/>
        <v>0</v>
      </c>
      <c r="BD106" s="72">
        <f ca="1">IF(AND(E106='Invoer gegevens'!$C$16,'Invoer gegevens'!$C$34&lt;'Invoer gegevens'!$C$16),AY106,AY106/(1+'Invoer gegevens'!$C$39)^D106)</f>
        <v>0</v>
      </c>
      <c r="BE106" s="72">
        <f ca="1">IF(E106='Invoer gegevens'!$C$34,-'Invoer gegevens'!$I$38,0)</f>
        <v>0</v>
      </c>
      <c r="BF106" s="72">
        <f ca="1">IF(E106='Invoer gegevens'!$C$17,-'Invoer gegevens'!$C$19*$BC$134,0)</f>
        <v>0</v>
      </c>
      <c r="BG106" s="72">
        <f ca="1">AV106/(1+$BG$72)^($D106-('Invoer gegevens'!$C$17-'Invoer gegevens'!$C$16))/(1+'Invoer gegevens'!$C$39)^('Invoer gegevens'!$C$17-'Invoer gegevens'!$C$16)+AW106/(1+$BG$72)^(E106-('Invoer gegevens'!$C$17-1))/(1+'Invoer gegevens'!$C$39)^('Invoer gegevens'!$C$17-'Invoer gegevens'!$C$16)+AX106/(1+'Invoer gegevens'!$C$39)^('Invoer gegevens'!$C$17-'Invoer gegevens'!$C$16)+(-AY106/(1+'Invoer gegevens'!$C$39)^D106)+BE106+BF106</f>
        <v>0</v>
      </c>
    </row>
    <row r="107" spans="1:59" x14ac:dyDescent="0.25">
      <c r="B107" s="70">
        <f t="shared" si="15"/>
        <v>35</v>
      </c>
      <c r="C107" s="67">
        <f ca="1">IF(AND(E107&gt;='Invoer gegevens'!$C$17,E107&lt;'Invoer gegevens'!$C$17+'Invoer gegevens'!$I$14),1,0)</f>
        <v>1</v>
      </c>
      <c r="D107" s="68">
        <f t="shared" si="16"/>
        <v>34.5</v>
      </c>
      <c r="E107" s="108">
        <f ca="1">IF('Invoer gegevens'!$C$16="","",E106+1)</f>
        <v>2053</v>
      </c>
      <c r="F107" s="84">
        <f ca="1">IF('Invoer gegevens'!$C$17=E107,'Invoer gegevens'!$C$10,IF(C107=1,K106,0))</f>
        <v>0</v>
      </c>
      <c r="G107" s="96">
        <f ca="1">IF(E107='Invoer gegevens'!$C$17+'Invoer gegevens'!$I$14,K106,IF(C107&gt;=1,F107*VLOOKUP(E107,Reeksen!$A$5:$B$76,2),0))</f>
        <v>0</v>
      </c>
      <c r="H107" s="84">
        <f ca="1">IF(E107='Invoer gegevens'!$C$17+'Invoer gegevens'!$I$14,K106,(1-('Invoer gegevens'!$F$20/12))*F107*MIN(Reeksen!B39,Reeksen!D39))</f>
        <v>0</v>
      </c>
      <c r="I107" s="84">
        <f>IF(Reeksen!D39&lt;Reeksen!B39,(Reeksen!B39-Reeksen!D39)*F107,0)</f>
        <v>0</v>
      </c>
      <c r="J107" s="84">
        <f ca="1">IF(E107='Invoer gegevens'!$C$17+'Invoer gegevens'!$I$14+1,0,('Invoer gegevens'!$F$20/12)*F106*MIN(Reeksen!B38,Reeksen!D38))</f>
        <v>0</v>
      </c>
      <c r="K107" s="97">
        <f ca="1">IF(E107&gt;='Invoer gegevens'!$C$17+'Invoer gegevens'!$I$14,0,F107-G107)</f>
        <v>0</v>
      </c>
      <c r="L107" s="84">
        <f ca="1">IF('Invoer gegevens'!$C$17=E107,0,IF(C107=1,Q106,0))</f>
        <v>0</v>
      </c>
      <c r="M107" s="96">
        <f ca="1">IF(E107='Invoer gegevens'!$C$17+'Invoer gegevens'!$I$14,Q106,IF(C107&gt;=1,L107*VLOOKUP(E107,Reeksen!$A$5:$B$76,2),0))</f>
        <v>0</v>
      </c>
      <c r="N107" s="84">
        <f ca="1">IF(C107='Invoer gegevens'!$C$17+'Invoer gegevens'!$I$14,Q106,(1-('Invoer gegevens'!$F$20/12))*L107*MIN(Reeksen!B39,Reeksen!D39))</f>
        <v>0</v>
      </c>
      <c r="O107" s="84">
        <f>IF(Reeksen!D39&lt;Reeksen!B39,(Reeksen!B39-Reeksen!D39)*L107,0)</f>
        <v>0</v>
      </c>
      <c r="P107" s="84">
        <f ca="1">IF(E107='Invoer gegevens'!$C$17+'Invoer gegevens'!$I$14+1,0,('Invoer gegevens'!$F$20/12)*L106*MIN(Reeksen!B38,Reeksen!D38))</f>
        <v>0</v>
      </c>
      <c r="Q107" s="84">
        <f ca="1">IF(E107&gt;='Invoer gegevens'!$C$17+'Invoer gegevens'!$I$14,0,L107-M107+I107+O107)</f>
        <v>0</v>
      </c>
      <c r="R107" s="82">
        <f ca="1">IF('Invoer gegevens'!$C$17=E107,'Invoer gegevens'!$C$11,IF(C107=1,W106,0))</f>
        <v>0</v>
      </c>
      <c r="S107" s="86">
        <f ca="1">IF(E107='Invoer gegevens'!$C$17+'Invoer gegevens'!$I$14,W106,IF(C107&gt;=1,R107*VLOOKUP(E107,Reeksen!$A$5:$B$76,2),0))</f>
        <v>0</v>
      </c>
      <c r="T107" s="84">
        <f ca="1">IF(E107='Invoer gegevens'!$C$17+'Invoer gegevens'!$I$14,W106,(1-('Invoer gegevens'!$F$20/12))*R107*MIN(Reeksen!B39,Reeksen!D39))</f>
        <v>0</v>
      </c>
      <c r="U107" s="84">
        <f>IF(Reeksen!D39&gt;=Reeksen!B39,0,IF(Reeksen!AK39&lt;=Reeksen!AE39,(Reeksen!B39-Reeksen!D39)*R107,0))</f>
        <v>0</v>
      </c>
      <c r="V107" s="86">
        <f>IF(Reeksen!D39&gt;=Reeksen!B39,0,IF(Reeksen!AK39&gt;Reeksen!AE39,(Reeksen!B39-Reeksen!D39)*R107,0))</f>
        <v>0</v>
      </c>
      <c r="W107" s="97">
        <f ca="1">IF(E107&gt;='Invoer gegevens'!$C$17+'Invoer gegevens'!$I$14,0,R107-S107)</f>
        <v>0</v>
      </c>
      <c r="X107" s="98">
        <f ca="1">IF('Invoer gegevens'!$C$17=E107,'Invoer gegevens'!$C$10-'Invoer gegevens'!$C$11,IF(C107=1,AC106,0))</f>
        <v>0</v>
      </c>
      <c r="Y107" s="98">
        <f ca="1">IF(E107='Invoer gegevens'!$C$17+'Invoer gegevens'!$I$14,AC106,IF(C107&gt;=1,X107*VLOOKUP(E107,Reeksen!$A$5:$B$76,2),0))</f>
        <v>0</v>
      </c>
      <c r="Z107" s="98">
        <f ca="1">IF(E107='Invoer gegevens'!$C$17+'Invoer gegevens'!$I$14,AC106,(1-('Invoer gegevens'!$F$20/12))*X107*MIN(Reeksen!B39,Reeksen!D39))</f>
        <v>0</v>
      </c>
      <c r="AA107" s="98">
        <f>IF(Reeksen!D39&gt;=Reeksen!B39,0,IF(Reeksen!AK39&lt;=Reeksen!AE39,(Reeksen!B39-Reeksen!D39)*X107,0))</f>
        <v>0</v>
      </c>
      <c r="AB107" s="98">
        <f>IF(Reeksen!D39&gt;=Reeksen!B39,0,IF(Reeksen!AK39&gt;Reeksen!AE39,(Reeksen!B39-Reeksen!D39)*X107,0))</f>
        <v>0</v>
      </c>
      <c r="AC107" s="99">
        <f ca="1">IF(E107&gt;='Invoer gegevens'!$C$17+'Invoer gegevens'!$I$14,0,X107-Y107)</f>
        <v>0</v>
      </c>
      <c r="AD107" s="98">
        <f ca="1">IF('Invoer gegevens'!$C$17=E39,R107,IF(C39=0,0,AE106))</f>
        <v>0</v>
      </c>
      <c r="AE107" s="98">
        <f t="shared" ca="1" si="9"/>
        <v>0</v>
      </c>
      <c r="AF107" s="98">
        <f ca="1">IF('Invoer gegevens'!$C$17=E39,X107,IF(C39=0,0,AG106))</f>
        <v>0</v>
      </c>
      <c r="AG107" s="98">
        <f t="shared" ca="1" si="10"/>
        <v>0</v>
      </c>
      <c r="AH107" s="66"/>
      <c r="AI107" s="71">
        <f ca="1">IF(C107=1,((Reeksen!BF39*(F107-G107+F107)/2)+((L107-M107+L107)/2*Reeksen!BG39))*12,0)</f>
        <v>0</v>
      </c>
      <c r="AJ107" s="71">
        <f ca="1">-AI107*'Invoer gegevens'!$I$26</f>
        <v>0</v>
      </c>
      <c r="AK107" s="71">
        <f t="shared" ca="1" si="11"/>
        <v>0</v>
      </c>
      <c r="AL107" s="71">
        <f ca="1">IF(C107=1,Reeksen!AL39*((F107-G107+F107)/2)*12+Reeksen!AM39*((L107-M107+L107)/2)*12,0)</f>
        <v>0</v>
      </c>
      <c r="AM107" s="71">
        <f ca="1">-AL107*'Invoer gegevens'!$F$31</f>
        <v>0</v>
      </c>
      <c r="AN107" s="71">
        <f t="shared" ca="1" si="12"/>
        <v>0</v>
      </c>
      <c r="AO107" s="71">
        <f ca="1">IF(E107&gt;='Invoer gegevens'!$C$17+'Invoer gegevens'!$I$14,0,IF(C107=1,(H107+J107+N107+P107)*Reeksen!AN39,0))</f>
        <v>0</v>
      </c>
      <c r="AP107" s="71">
        <f ca="1">-IF(C107=1,(H107+J107+N107+P107)*Reeksen!AN38*'Hulp - basis'!$B$550,0)</f>
        <v>0</v>
      </c>
      <c r="AQ107" s="71">
        <f ca="1">-IF(C107=1,(F107+K107+L107+Q107)/2*'Invoer gegevens'!$I$33*Reeksen!J39,0)</f>
        <v>0</v>
      </c>
      <c r="AR107" s="71">
        <f ca="1">-IF(C107=1,(I107*'Invoer gegevens'!$I$34)*Reeksen!J39,0)</f>
        <v>0</v>
      </c>
      <c r="AS107" s="71">
        <f ca="1">-IF(C107=1,(F107+K107+L107+Q107)/2*'Invoer gegevens'!$I$35*Reeksen!L39,0)</f>
        <v>0</v>
      </c>
      <c r="AT107" s="71">
        <f ca="1">-IF(C107=1,IF(E107='Invoer gegevens'!$C$17,'Invoer gegevens'!$C$11,AD107)*Reeksen!S39*'Invoer gegevens'!$C$18*Reeksen!P39,0)</f>
        <v>0</v>
      </c>
      <c r="AU107" s="71">
        <f ca="1">-IF(C107=1,(F107+K107+L107+Q107)/2*'Invoer gegevens'!$I$36*Reeksen!H39,0)</f>
        <v>0</v>
      </c>
      <c r="AV107" s="71">
        <f t="shared" ca="1" si="13"/>
        <v>0</v>
      </c>
      <c r="AW107" s="72">
        <f ca="1">IFERROR(IF(E107='Invoer gegevens'!$C$17+'Invoer gegevens'!$I$14-1,'Invoer gegevens'!$I$13*K107*Reeksen!H39,0),0)</f>
        <v>0</v>
      </c>
      <c r="AX107" s="72">
        <f ca="1">IFERROR(IF(E107='Invoer gegevens'!$C$17,-'Invoer gegevens'!$C$10*('Invoer gegevens'!$C$30+'Invoer gegevens'!$C$31)*Reeksen!H39,0),0)</f>
        <v>0</v>
      </c>
      <c r="AY107" s="73">
        <f ca="1">IF('Invoer gegevens'!$C$34=E107,'Invoer gegevens'!$C$27*'Invoer gegevens'!$C$10*'Invoer gegevens'!$C$36*(IF('Invoer gegevens'!$C$35="ja",1,Reeksen!J39)),IF('Invoer gegevens'!$C$34+1=E107,'Invoer gegevens'!$C$27*'Invoer gegevens'!$C$10*'Invoer gegevens'!$C$37*(IF('Invoer gegevens'!$C$35="ja",1,Reeksen!J39)),0))+IF(AND(E107='Invoer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7" s="73">
        <f ca="1">AV107/(1+'Invoer gegevens'!$I$12)^($D107-('Invoer gegevens'!$C$17-'Invoer gegevens'!$C$16))/(1+'Invoer gegevens'!$C$39)^('Invoer gegevens'!$C$17-'Invoer gegevens'!$C$16)</f>
        <v>0</v>
      </c>
      <c r="BA107" s="73">
        <f ca="1">AW107/(1+'Invoer gegevens'!$I$12)^(E107-('Invoer gegevens'!$C$17-1))/(1+'Invoer gegevens'!$C$39)^('Invoer gegevens'!$C$17-'Invoer gegevens'!$C$16)</f>
        <v>0</v>
      </c>
      <c r="BB107" s="73">
        <f ca="1">AX107/(1+'Invoer gegevens'!$C$39)^('Invoer gegevens'!$C$17-'Invoer gegevens'!$C$16)</f>
        <v>0</v>
      </c>
      <c r="BC107" s="72">
        <f t="shared" ca="1" si="14"/>
        <v>0</v>
      </c>
      <c r="BD107" s="72">
        <f ca="1">IF(AND(E107='Invoer gegevens'!$C$16,'Invoer gegevens'!$C$34&lt;'Invoer gegevens'!$C$16),AY107,AY107/(1+'Invoer gegevens'!$C$39)^D107)</f>
        <v>0</v>
      </c>
      <c r="BE107" s="72">
        <f ca="1">IF(E107='Invoer gegevens'!$C$34,-'Invoer gegevens'!$I$38,0)</f>
        <v>0</v>
      </c>
      <c r="BF107" s="72">
        <f ca="1">IF(E107='Invoer gegevens'!$C$17,-'Invoer gegevens'!$C$19*$BC$134,0)</f>
        <v>0</v>
      </c>
      <c r="BG107" s="72">
        <f ca="1">AV107/(1+$BG$72)^($D107-('Invoer gegevens'!$C$17-'Invoer gegevens'!$C$16))/(1+'Invoer gegevens'!$C$39)^('Invoer gegevens'!$C$17-'Invoer gegevens'!$C$16)+AW107/(1+$BG$72)^(E107-('Invoer gegevens'!$C$17-1))/(1+'Invoer gegevens'!$C$39)^('Invoer gegevens'!$C$17-'Invoer gegevens'!$C$16)+AX107/(1+'Invoer gegevens'!$C$39)^('Invoer gegevens'!$C$17-'Invoer gegevens'!$C$16)+(-AY107/(1+'Invoer gegevens'!$C$39)^D107)+BE107+BF107</f>
        <v>0</v>
      </c>
    </row>
    <row r="108" spans="1:59" x14ac:dyDescent="0.25">
      <c r="B108" s="70">
        <f t="shared" si="15"/>
        <v>36</v>
      </c>
      <c r="C108" s="67">
        <f ca="1">IF(AND(E108&gt;='Invoer gegevens'!$C$17,E108&lt;'Invoer gegevens'!$C$17+'Invoer gegevens'!$I$14),1,0)</f>
        <v>1</v>
      </c>
      <c r="D108" s="68">
        <f t="shared" si="16"/>
        <v>35.5</v>
      </c>
      <c r="E108" s="108">
        <f ca="1">IF('Invoer gegevens'!$C$16="","",E107+1)</f>
        <v>2054</v>
      </c>
      <c r="F108" s="84">
        <f ca="1">IF('Invoer gegevens'!$C$17=E108,'Invoer gegevens'!$C$10,IF(C108=1,K107,0))</f>
        <v>0</v>
      </c>
      <c r="G108" s="96">
        <f ca="1">IF(E108='Invoer gegevens'!$C$17+'Invoer gegevens'!$I$14,K107,IF(C108&gt;=1,F108*VLOOKUP(E108,Reeksen!$A$5:$B$76,2),0))</f>
        <v>0</v>
      </c>
      <c r="H108" s="84">
        <f ca="1">IF(E108='Invoer gegevens'!$C$17+'Invoer gegevens'!$I$14,K107,(1-('Invoer gegevens'!$F$20/12))*F108*MIN(Reeksen!B40,Reeksen!D40))</f>
        <v>0</v>
      </c>
      <c r="I108" s="84">
        <f>IF(Reeksen!D40&lt;Reeksen!B40,(Reeksen!B40-Reeksen!D40)*F108,0)</f>
        <v>0</v>
      </c>
      <c r="J108" s="84">
        <f ca="1">IF(E108='Invoer gegevens'!$C$17+'Invoer gegevens'!$I$14+1,0,('Invoer gegevens'!$F$20/12)*F107*MIN(Reeksen!B39,Reeksen!D39))</f>
        <v>0</v>
      </c>
      <c r="K108" s="97">
        <f ca="1">IF(E108&gt;='Invoer gegevens'!$C$17+'Invoer gegevens'!$I$14,0,F108-G108)</f>
        <v>0</v>
      </c>
      <c r="L108" s="84">
        <f ca="1">IF('Invoer gegevens'!$C$17=E108,0,IF(C108=1,Q107,0))</f>
        <v>0</v>
      </c>
      <c r="M108" s="96">
        <f ca="1">IF(E108='Invoer gegevens'!$C$17+'Invoer gegevens'!$I$14,Q107,IF(C108&gt;=1,L108*VLOOKUP(E108,Reeksen!$A$5:$B$76,2),0))</f>
        <v>0</v>
      </c>
      <c r="N108" s="84">
        <f ca="1">IF(C108='Invoer gegevens'!$C$17+'Invoer gegevens'!$I$14,Q107,(1-('Invoer gegevens'!$F$20/12))*L108*MIN(Reeksen!B40,Reeksen!D40))</f>
        <v>0</v>
      </c>
      <c r="O108" s="84">
        <f>IF(Reeksen!D40&lt;Reeksen!B40,(Reeksen!B40-Reeksen!D40)*L108,0)</f>
        <v>0</v>
      </c>
      <c r="P108" s="84">
        <f ca="1">IF(E108='Invoer gegevens'!$C$17+'Invoer gegevens'!$I$14+1,0,('Invoer gegevens'!$F$20/12)*L107*MIN(Reeksen!B39,Reeksen!D39))</f>
        <v>0</v>
      </c>
      <c r="Q108" s="84">
        <f ca="1">IF(E108&gt;='Invoer gegevens'!$C$17+'Invoer gegevens'!$I$14,0,L108-M108+I108+O108)</f>
        <v>0</v>
      </c>
      <c r="R108" s="82">
        <f ca="1">IF('Invoer gegevens'!$C$17=E108,'Invoer gegevens'!$C$11,IF(C108=1,W107,0))</f>
        <v>0</v>
      </c>
      <c r="S108" s="86">
        <f ca="1">IF(E108='Invoer gegevens'!$C$17+'Invoer gegevens'!$I$14,W107,IF(C108&gt;=1,R108*VLOOKUP(E108,Reeksen!$A$5:$B$76,2),0))</f>
        <v>0</v>
      </c>
      <c r="T108" s="84">
        <f ca="1">IF(E108='Invoer gegevens'!$C$17+'Invoer gegevens'!$I$14,W107,(1-('Invoer gegevens'!$F$20/12))*R108*MIN(Reeksen!B40,Reeksen!D40))</f>
        <v>0</v>
      </c>
      <c r="U108" s="84">
        <f>IF(Reeksen!D40&gt;=Reeksen!B40,0,IF(Reeksen!AK40&lt;=Reeksen!AE40,(Reeksen!B40-Reeksen!D40)*R108,0))</f>
        <v>0</v>
      </c>
      <c r="V108" s="86">
        <f>IF(Reeksen!D40&gt;=Reeksen!B40,0,IF(Reeksen!AK40&gt;Reeksen!AE40,(Reeksen!B40-Reeksen!D40)*R108,0))</f>
        <v>0</v>
      </c>
      <c r="W108" s="97">
        <f ca="1">IF(E108&gt;='Invoer gegevens'!$C$17+'Invoer gegevens'!$I$14,0,R108-S108)</f>
        <v>0</v>
      </c>
      <c r="X108" s="98">
        <f ca="1">IF('Invoer gegevens'!$C$17=E108,'Invoer gegevens'!$C$10-'Invoer gegevens'!$C$11,IF(C108=1,AC107,0))</f>
        <v>0</v>
      </c>
      <c r="Y108" s="98">
        <f ca="1">IF(E108='Invoer gegevens'!$C$17+'Invoer gegevens'!$I$14,AC107,IF(C108&gt;=1,X108*VLOOKUP(E108,Reeksen!$A$5:$B$76,2),0))</f>
        <v>0</v>
      </c>
      <c r="Z108" s="98">
        <f ca="1">IF(E108='Invoer gegevens'!$C$17+'Invoer gegevens'!$I$14,AC107,(1-('Invoer gegevens'!$F$20/12))*X108*MIN(Reeksen!B40,Reeksen!D40))</f>
        <v>0</v>
      </c>
      <c r="AA108" s="98">
        <f>IF(Reeksen!D40&gt;=Reeksen!B40,0,IF(Reeksen!AK40&lt;=Reeksen!AE40,(Reeksen!B40-Reeksen!D40)*X108,0))</f>
        <v>0</v>
      </c>
      <c r="AB108" s="98">
        <f>IF(Reeksen!D40&gt;=Reeksen!B40,0,IF(Reeksen!AK40&gt;Reeksen!AE40,(Reeksen!B40-Reeksen!D40)*X108,0))</f>
        <v>0</v>
      </c>
      <c r="AC108" s="99">
        <f ca="1">IF(E108&gt;='Invoer gegevens'!$C$17+'Invoer gegevens'!$I$14,0,X108-Y108)</f>
        <v>0</v>
      </c>
      <c r="AD108" s="98">
        <f ca="1">IF('Invoer gegevens'!$C$17=E40,R108,IF(C40=0,0,AE107))</f>
        <v>0</v>
      </c>
      <c r="AE108" s="98">
        <f t="shared" ca="1" si="9"/>
        <v>0</v>
      </c>
      <c r="AF108" s="98">
        <f ca="1">IF('Invoer gegevens'!$C$17=E40,X108,IF(C40=0,0,AG107))</f>
        <v>0</v>
      </c>
      <c r="AG108" s="98">
        <f t="shared" ca="1" si="10"/>
        <v>0</v>
      </c>
      <c r="AH108" s="66"/>
      <c r="AI108" s="71">
        <f ca="1">IF(C108=1,((Reeksen!BF40*(F108-G108+F108)/2)+((L108-M108+L108)/2*Reeksen!BG40))*12,0)</f>
        <v>0</v>
      </c>
      <c r="AJ108" s="71">
        <f ca="1">-AI108*'Invoer gegevens'!$I$26</f>
        <v>0</v>
      </c>
      <c r="AK108" s="71">
        <f t="shared" ca="1" si="11"/>
        <v>0</v>
      </c>
      <c r="AL108" s="71">
        <f ca="1">IF(C108=1,Reeksen!AL40*((F108-G108+F108)/2)*12+Reeksen!AM40*((L108-M108+L108)/2)*12,0)</f>
        <v>0</v>
      </c>
      <c r="AM108" s="71">
        <f ca="1">-AL108*'Invoer gegevens'!$F$31</f>
        <v>0</v>
      </c>
      <c r="AN108" s="71">
        <f t="shared" ca="1" si="12"/>
        <v>0</v>
      </c>
      <c r="AO108" s="71">
        <f ca="1">IF(E108&gt;='Invoer gegevens'!$C$17+'Invoer gegevens'!$I$14,0,IF(C108=1,(H108+J108+N108+P108)*Reeksen!AN40,0))</f>
        <v>0</v>
      </c>
      <c r="AP108" s="71">
        <f ca="1">-IF(C108=1,(H108+J108+N108+P108)*Reeksen!AN39*'Hulp - basis'!$B$550,0)</f>
        <v>0</v>
      </c>
      <c r="AQ108" s="71">
        <f ca="1">-IF(C108=1,(F108+K108+L108+Q108)/2*'Invoer gegevens'!$I$33*Reeksen!J40,0)</f>
        <v>0</v>
      </c>
      <c r="AR108" s="71">
        <f ca="1">-IF(C108=1,(I108*'Invoer gegevens'!$I$34)*Reeksen!J40,0)</f>
        <v>0</v>
      </c>
      <c r="AS108" s="71">
        <f ca="1">-IF(C108=1,(F108+K108+L108+Q108)/2*'Invoer gegevens'!$I$35*Reeksen!L40,0)</f>
        <v>0</v>
      </c>
      <c r="AT108" s="71">
        <f ca="1">-IF(C108=1,IF(E108='Invoer gegevens'!$C$17,'Invoer gegevens'!$C$11,AD108)*Reeksen!S40*'Invoer gegevens'!$C$18*Reeksen!P40,0)</f>
        <v>0</v>
      </c>
      <c r="AU108" s="71">
        <f ca="1">-IF(C108=1,(F108+K108+L108+Q108)/2*'Invoer gegevens'!$I$36*Reeksen!H40,0)</f>
        <v>0</v>
      </c>
      <c r="AV108" s="71">
        <f t="shared" ca="1" si="13"/>
        <v>0</v>
      </c>
      <c r="AW108" s="72">
        <f ca="1">IFERROR(IF(E108='Invoer gegevens'!$C$17+'Invoer gegevens'!$I$14-1,'Invoer gegevens'!$I$13*K108*Reeksen!H40,0),0)</f>
        <v>0</v>
      </c>
      <c r="AX108" s="72">
        <f ca="1">IFERROR(IF(E108='Invoer gegevens'!$C$17,-'Invoer gegevens'!$C$10*('Invoer gegevens'!$C$30+'Invoer gegevens'!$C$31)*Reeksen!H40,0),0)</f>
        <v>0</v>
      </c>
      <c r="AY108" s="73">
        <f ca="1">IF('Invoer gegevens'!$C$34=E108,'Invoer gegevens'!$C$27*'Invoer gegevens'!$C$10*'Invoer gegevens'!$C$36*(IF('Invoer gegevens'!$C$35="ja",1,Reeksen!J40)),IF('Invoer gegevens'!$C$34+1=E108,'Invoer gegevens'!$C$27*'Invoer gegevens'!$C$10*'Invoer gegevens'!$C$37*(IF('Invoer gegevens'!$C$35="ja",1,Reeksen!J40)),0))+IF(AND(E108='Invoer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8" s="73">
        <f ca="1">AV108/(1+'Invoer gegevens'!$I$12)^($D108-('Invoer gegevens'!$C$17-'Invoer gegevens'!$C$16))/(1+'Invoer gegevens'!$C$39)^('Invoer gegevens'!$C$17-'Invoer gegevens'!$C$16)</f>
        <v>0</v>
      </c>
      <c r="BA108" s="73">
        <f ca="1">AW108/(1+'Invoer gegevens'!$I$12)^(E108-('Invoer gegevens'!$C$17-1))/(1+'Invoer gegevens'!$C$39)^('Invoer gegevens'!$C$17-'Invoer gegevens'!$C$16)</f>
        <v>0</v>
      </c>
      <c r="BB108" s="73">
        <f ca="1">AX108/(1+'Invoer gegevens'!$C$39)^('Invoer gegevens'!$C$17-'Invoer gegevens'!$C$16)</f>
        <v>0</v>
      </c>
      <c r="BC108" s="72">
        <f t="shared" ca="1" si="14"/>
        <v>0</v>
      </c>
      <c r="BD108" s="72">
        <f ca="1">IF(AND(E108='Invoer gegevens'!$C$16,'Invoer gegevens'!$C$34&lt;'Invoer gegevens'!$C$16),AY108,AY108/(1+'Invoer gegevens'!$C$39)^D108)</f>
        <v>0</v>
      </c>
      <c r="BE108" s="72">
        <f ca="1">IF(E108='Invoer gegevens'!$C$34,-'Invoer gegevens'!$I$38,0)</f>
        <v>0</v>
      </c>
      <c r="BF108" s="72">
        <f ca="1">IF(E108='Invoer gegevens'!$C$17,-'Invoer gegevens'!$C$19*$BC$134,0)</f>
        <v>0</v>
      </c>
      <c r="BG108" s="72">
        <f ca="1">AV108/(1+$BG$72)^($D108-('Invoer gegevens'!$C$17-'Invoer gegevens'!$C$16))/(1+'Invoer gegevens'!$C$39)^('Invoer gegevens'!$C$17-'Invoer gegevens'!$C$16)+AW108/(1+$BG$72)^(E108-('Invoer gegevens'!$C$17-1))/(1+'Invoer gegevens'!$C$39)^('Invoer gegevens'!$C$17-'Invoer gegevens'!$C$16)+AX108/(1+'Invoer gegevens'!$C$39)^('Invoer gegevens'!$C$17-'Invoer gegevens'!$C$16)+(-AY108/(1+'Invoer gegevens'!$C$39)^D108)+BE108+BF108</f>
        <v>0</v>
      </c>
    </row>
    <row r="109" spans="1:59" x14ac:dyDescent="0.25">
      <c r="B109" s="70">
        <f t="shared" si="15"/>
        <v>37</v>
      </c>
      <c r="C109" s="67">
        <f ca="1">IF(AND(E109&gt;='Invoer gegevens'!$C$17,E109&lt;'Invoer gegevens'!$C$17+'Invoer gegevens'!$I$14),1,0)</f>
        <v>1</v>
      </c>
      <c r="D109" s="68">
        <f t="shared" si="16"/>
        <v>36.5</v>
      </c>
      <c r="E109" s="108">
        <f ca="1">IF('Invoer gegevens'!$C$16="","",E108+1)</f>
        <v>2055</v>
      </c>
      <c r="F109" s="84">
        <f ca="1">IF('Invoer gegevens'!$C$17=E109,'Invoer gegevens'!$C$10,IF(C109=1,K108,0))</f>
        <v>0</v>
      </c>
      <c r="G109" s="96">
        <f ca="1">IF(E109='Invoer gegevens'!$C$17+'Invoer gegevens'!$I$14,K108,IF(C109&gt;=1,F109*VLOOKUP(E109,Reeksen!$A$5:$B$76,2),0))</f>
        <v>0</v>
      </c>
      <c r="H109" s="84">
        <f ca="1">IF(E109='Invoer gegevens'!$C$17+'Invoer gegevens'!$I$14,K108,(1-('Invoer gegevens'!$F$20/12))*F109*MIN(Reeksen!B41,Reeksen!D41))</f>
        <v>0</v>
      </c>
      <c r="I109" s="84">
        <f>IF(Reeksen!D41&lt;Reeksen!B41,(Reeksen!B41-Reeksen!D41)*F109,0)</f>
        <v>0</v>
      </c>
      <c r="J109" s="84">
        <f ca="1">IF(E109='Invoer gegevens'!$C$17+'Invoer gegevens'!$I$14+1,0,('Invoer gegevens'!$F$20/12)*F108*MIN(Reeksen!B40,Reeksen!D40))</f>
        <v>0</v>
      </c>
      <c r="K109" s="97">
        <f ca="1">IF(E109&gt;='Invoer gegevens'!$C$17+'Invoer gegevens'!$I$14,0,F109-G109)</f>
        <v>0</v>
      </c>
      <c r="L109" s="84">
        <f ca="1">IF('Invoer gegevens'!$C$17=E109,0,IF(C109=1,Q108,0))</f>
        <v>0</v>
      </c>
      <c r="M109" s="96">
        <f ca="1">IF(E109='Invoer gegevens'!$C$17+'Invoer gegevens'!$I$14,Q108,IF(C109&gt;=1,L109*VLOOKUP(E109,Reeksen!$A$5:$B$76,2),0))</f>
        <v>0</v>
      </c>
      <c r="N109" s="84">
        <f ca="1">IF(C109='Invoer gegevens'!$C$17+'Invoer gegevens'!$I$14,Q108,(1-('Invoer gegevens'!$F$20/12))*L109*MIN(Reeksen!B41,Reeksen!D41))</f>
        <v>0</v>
      </c>
      <c r="O109" s="84">
        <f>IF(Reeksen!D41&lt;Reeksen!B41,(Reeksen!B41-Reeksen!D41)*L109,0)</f>
        <v>0</v>
      </c>
      <c r="P109" s="84">
        <f ca="1">IF(E109='Invoer gegevens'!$C$17+'Invoer gegevens'!$I$14+1,0,('Invoer gegevens'!$F$20/12)*L108*MIN(Reeksen!B40,Reeksen!D40))</f>
        <v>0</v>
      </c>
      <c r="Q109" s="84">
        <f ca="1">IF(E109&gt;='Invoer gegevens'!$C$17+'Invoer gegevens'!$I$14,0,L109-M109+I109+O109)</f>
        <v>0</v>
      </c>
      <c r="R109" s="82">
        <f ca="1">IF('Invoer gegevens'!$C$17=E109,'Invoer gegevens'!$C$11,IF(C109=1,W108,0))</f>
        <v>0</v>
      </c>
      <c r="S109" s="86">
        <f ca="1">IF(E109='Invoer gegevens'!$C$17+'Invoer gegevens'!$I$14,W108,IF(C109&gt;=1,R109*VLOOKUP(E109,Reeksen!$A$5:$B$76,2),0))</f>
        <v>0</v>
      </c>
      <c r="T109" s="84">
        <f ca="1">IF(E109='Invoer gegevens'!$C$17+'Invoer gegevens'!$I$14,W108,(1-('Invoer gegevens'!$F$20/12))*R109*MIN(Reeksen!B41,Reeksen!D41))</f>
        <v>0</v>
      </c>
      <c r="U109" s="84">
        <f>IF(Reeksen!D41&gt;=Reeksen!B41,0,IF(Reeksen!AK41&lt;=Reeksen!AE41,(Reeksen!B41-Reeksen!D41)*R109,0))</f>
        <v>0</v>
      </c>
      <c r="V109" s="86">
        <f>IF(Reeksen!D41&gt;=Reeksen!B41,0,IF(Reeksen!AK41&gt;Reeksen!AE41,(Reeksen!B41-Reeksen!D41)*R109,0))</f>
        <v>0</v>
      </c>
      <c r="W109" s="97">
        <f ca="1">IF(E109&gt;='Invoer gegevens'!$C$17+'Invoer gegevens'!$I$14,0,R109-S109)</f>
        <v>0</v>
      </c>
      <c r="X109" s="98">
        <f ca="1">IF('Invoer gegevens'!$C$17=E109,'Invoer gegevens'!$C$10-'Invoer gegevens'!$C$11,IF(C109=1,AC108,0))</f>
        <v>0</v>
      </c>
      <c r="Y109" s="98">
        <f ca="1">IF(E109='Invoer gegevens'!$C$17+'Invoer gegevens'!$I$14,AC108,IF(C109&gt;=1,X109*VLOOKUP(E109,Reeksen!$A$5:$B$76,2),0))</f>
        <v>0</v>
      </c>
      <c r="Z109" s="98">
        <f ca="1">IF(E109='Invoer gegevens'!$C$17+'Invoer gegevens'!$I$14,AC108,(1-('Invoer gegevens'!$F$20/12))*X109*MIN(Reeksen!B41,Reeksen!D41))</f>
        <v>0</v>
      </c>
      <c r="AA109" s="98">
        <f>IF(Reeksen!D41&gt;=Reeksen!B41,0,IF(Reeksen!AK41&lt;=Reeksen!AE41,(Reeksen!B41-Reeksen!D41)*X109,0))</f>
        <v>0</v>
      </c>
      <c r="AB109" s="98">
        <f>IF(Reeksen!D41&gt;=Reeksen!B41,0,IF(Reeksen!AK41&gt;Reeksen!AE41,(Reeksen!B41-Reeksen!D41)*X109,0))</f>
        <v>0</v>
      </c>
      <c r="AC109" s="99">
        <f ca="1">IF(E109&gt;='Invoer gegevens'!$C$17+'Invoer gegevens'!$I$14,0,X109-Y109)</f>
        <v>0</v>
      </c>
      <c r="AD109" s="98">
        <f ca="1">IF('Invoer gegevens'!$C$17=E41,R109,IF(C41=0,0,AE108))</f>
        <v>0</v>
      </c>
      <c r="AE109" s="98">
        <f t="shared" ca="1" si="9"/>
        <v>0</v>
      </c>
      <c r="AF109" s="98">
        <f ca="1">IF('Invoer gegevens'!$C$17=E41,X109,IF(C41=0,0,AG108))</f>
        <v>0</v>
      </c>
      <c r="AG109" s="98">
        <f t="shared" ca="1" si="10"/>
        <v>0</v>
      </c>
      <c r="AH109" s="66"/>
      <c r="AI109" s="71">
        <f ca="1">IF(C109=1,((Reeksen!BF41*(F109-G109+F109)/2)+((L109-M109+L109)/2*Reeksen!BG41))*12,0)</f>
        <v>0</v>
      </c>
      <c r="AJ109" s="71">
        <f ca="1">-AI109*'Invoer gegevens'!$I$26</f>
        <v>0</v>
      </c>
      <c r="AK109" s="71">
        <f t="shared" ca="1" si="11"/>
        <v>0</v>
      </c>
      <c r="AL109" s="71">
        <f ca="1">IF(C109=1,Reeksen!AL41*((F109-G109+F109)/2)*12+Reeksen!AM41*((L109-M109+L109)/2)*12,0)</f>
        <v>0</v>
      </c>
      <c r="AM109" s="71">
        <f ca="1">-AL109*'Invoer gegevens'!$F$31</f>
        <v>0</v>
      </c>
      <c r="AN109" s="71">
        <f t="shared" ca="1" si="12"/>
        <v>0</v>
      </c>
      <c r="AO109" s="71">
        <f ca="1">IF(E109&gt;='Invoer gegevens'!$C$17+'Invoer gegevens'!$I$14,0,IF(C109=1,(H109+J109+N109+P109)*Reeksen!AN41,0))</f>
        <v>0</v>
      </c>
      <c r="AP109" s="71">
        <f ca="1">-IF(C109=1,(H109+J109+N109+P109)*Reeksen!AN40*'Hulp - basis'!$B$550,0)</f>
        <v>0</v>
      </c>
      <c r="AQ109" s="71">
        <f ca="1">-IF(C109=1,(F109+K109+L109+Q109)/2*'Invoer gegevens'!$I$33*Reeksen!J41,0)</f>
        <v>0</v>
      </c>
      <c r="AR109" s="71">
        <f ca="1">-IF(C109=1,(I109*'Invoer gegevens'!$I$34)*Reeksen!J41,0)</f>
        <v>0</v>
      </c>
      <c r="AS109" s="71">
        <f ca="1">-IF(C109=1,(F109+K109+L109+Q109)/2*'Invoer gegevens'!$I$35*Reeksen!L41,0)</f>
        <v>0</v>
      </c>
      <c r="AT109" s="71">
        <f ca="1">-IF(C109=1,IF(E109='Invoer gegevens'!$C$17,'Invoer gegevens'!$C$11,AD109)*Reeksen!S41*'Invoer gegevens'!$C$18*Reeksen!P41,0)</f>
        <v>0</v>
      </c>
      <c r="AU109" s="71">
        <f ca="1">-IF(C109=1,(F109+K109+L109+Q109)/2*'Invoer gegevens'!$I$36*Reeksen!H41,0)</f>
        <v>0</v>
      </c>
      <c r="AV109" s="71">
        <f t="shared" ca="1" si="13"/>
        <v>0</v>
      </c>
      <c r="AW109" s="72">
        <f ca="1">IFERROR(IF(E109='Invoer gegevens'!$C$17+'Invoer gegevens'!$I$14-1,'Invoer gegevens'!$I$13*K109*Reeksen!H41,0),0)</f>
        <v>0</v>
      </c>
      <c r="AX109" s="72">
        <f ca="1">IFERROR(IF(E109='Invoer gegevens'!$C$17,-'Invoer gegevens'!$C$10*('Invoer gegevens'!$C$30+'Invoer gegevens'!$C$31)*Reeksen!H41,0),0)</f>
        <v>0</v>
      </c>
      <c r="AY109" s="73">
        <f ca="1">IF('Invoer gegevens'!$C$34=E109,'Invoer gegevens'!$C$27*'Invoer gegevens'!$C$10*'Invoer gegevens'!$C$36*(IF('Invoer gegevens'!$C$35="ja",1,Reeksen!J41)),IF('Invoer gegevens'!$C$34+1=E109,'Invoer gegevens'!$C$27*'Invoer gegevens'!$C$10*'Invoer gegevens'!$C$37*(IF('Invoer gegevens'!$C$35="ja",1,Reeksen!J41)),0))+IF(AND(E109='Invoer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09" s="73">
        <f ca="1">AV109/(1+'Invoer gegevens'!$I$12)^($D109-('Invoer gegevens'!$C$17-'Invoer gegevens'!$C$16))/(1+'Invoer gegevens'!$C$39)^('Invoer gegevens'!$C$17-'Invoer gegevens'!$C$16)</f>
        <v>0</v>
      </c>
      <c r="BA109" s="73">
        <f ca="1">AW109/(1+'Invoer gegevens'!$I$12)^(E109-('Invoer gegevens'!$C$17-1))/(1+'Invoer gegevens'!$C$39)^('Invoer gegevens'!$C$17-'Invoer gegevens'!$C$16)</f>
        <v>0</v>
      </c>
      <c r="BB109" s="73">
        <f ca="1">AX109/(1+'Invoer gegevens'!$C$39)^('Invoer gegevens'!$C$17-'Invoer gegevens'!$C$16)</f>
        <v>0</v>
      </c>
      <c r="BC109" s="72">
        <f t="shared" ca="1" si="14"/>
        <v>0</v>
      </c>
      <c r="BD109" s="72">
        <f ca="1">IF(AND(E109='Invoer gegevens'!$C$16,'Invoer gegevens'!$C$34&lt;'Invoer gegevens'!$C$16),AY109,AY109/(1+'Invoer gegevens'!$C$39)^D109)</f>
        <v>0</v>
      </c>
      <c r="BE109" s="72">
        <f ca="1">IF(E109='Invoer gegevens'!$C$34,-'Invoer gegevens'!$I$38,0)</f>
        <v>0</v>
      </c>
      <c r="BF109" s="72">
        <f ca="1">IF(E109='Invoer gegevens'!$C$17,-'Invoer gegevens'!$C$19*$BC$134,0)</f>
        <v>0</v>
      </c>
      <c r="BG109" s="72">
        <f ca="1">AV109/(1+$BG$72)^($D109-('Invoer gegevens'!$C$17-'Invoer gegevens'!$C$16))/(1+'Invoer gegevens'!$C$39)^('Invoer gegevens'!$C$17-'Invoer gegevens'!$C$16)+AW109/(1+$BG$72)^(E109-('Invoer gegevens'!$C$17-1))/(1+'Invoer gegevens'!$C$39)^('Invoer gegevens'!$C$17-'Invoer gegevens'!$C$16)+AX109/(1+'Invoer gegevens'!$C$39)^('Invoer gegevens'!$C$17-'Invoer gegevens'!$C$16)+(-AY109/(1+'Invoer gegevens'!$C$39)^D109)+BE109+BF109</f>
        <v>0</v>
      </c>
    </row>
    <row r="110" spans="1:59" x14ac:dyDescent="0.25">
      <c r="B110" s="70">
        <f t="shared" si="15"/>
        <v>38</v>
      </c>
      <c r="C110" s="67">
        <f ca="1">IF(AND(E110&gt;='Invoer gegevens'!$C$17,E110&lt;'Invoer gegevens'!$C$17+'Invoer gegevens'!$I$14),1,0)</f>
        <v>1</v>
      </c>
      <c r="D110" s="68">
        <f t="shared" si="16"/>
        <v>37.5</v>
      </c>
      <c r="E110" s="108">
        <f ca="1">IF('Invoer gegevens'!$C$16="","",E109+1)</f>
        <v>2056</v>
      </c>
      <c r="F110" s="84">
        <f ca="1">IF('Invoer gegevens'!$C$17=E110,'Invoer gegevens'!$C$10,IF(C110=1,K109,0))</f>
        <v>0</v>
      </c>
      <c r="G110" s="96">
        <f ca="1">IF(E110='Invoer gegevens'!$C$17+'Invoer gegevens'!$I$14,K109,IF(C110&gt;=1,F110*VLOOKUP(E110,Reeksen!$A$5:$B$76,2),0))</f>
        <v>0</v>
      </c>
      <c r="H110" s="84">
        <f ca="1">IF(E110='Invoer gegevens'!$C$17+'Invoer gegevens'!$I$14,K109,(1-('Invoer gegevens'!$F$20/12))*F110*MIN(Reeksen!B42,Reeksen!D42))</f>
        <v>0</v>
      </c>
      <c r="I110" s="84">
        <f>IF(Reeksen!D42&lt;Reeksen!B42,(Reeksen!B42-Reeksen!D42)*F110,0)</f>
        <v>0</v>
      </c>
      <c r="J110" s="84">
        <f ca="1">IF(E110='Invoer gegevens'!$C$17+'Invoer gegevens'!$I$14+1,0,('Invoer gegevens'!$F$20/12)*F109*MIN(Reeksen!B41,Reeksen!D41))</f>
        <v>0</v>
      </c>
      <c r="K110" s="97">
        <f ca="1">IF(E110&gt;='Invoer gegevens'!$C$17+'Invoer gegevens'!$I$14,0,F110-G110)</f>
        <v>0</v>
      </c>
      <c r="L110" s="84">
        <f ca="1">IF('Invoer gegevens'!$C$17=E110,0,IF(C110=1,Q109,0))</f>
        <v>0</v>
      </c>
      <c r="M110" s="96">
        <f ca="1">IF(E110='Invoer gegevens'!$C$17+'Invoer gegevens'!$I$14,Q109,IF(C110&gt;=1,L110*VLOOKUP(E110,Reeksen!$A$5:$B$76,2),0))</f>
        <v>0</v>
      </c>
      <c r="N110" s="84">
        <f ca="1">IF(C110='Invoer gegevens'!$C$17+'Invoer gegevens'!$I$14,Q109,(1-('Invoer gegevens'!$F$20/12))*L110*MIN(Reeksen!B42,Reeksen!D42))</f>
        <v>0</v>
      </c>
      <c r="O110" s="84">
        <f>IF(Reeksen!D42&lt;Reeksen!B42,(Reeksen!B42-Reeksen!D42)*L110,0)</f>
        <v>0</v>
      </c>
      <c r="P110" s="84">
        <f ca="1">IF(E110='Invoer gegevens'!$C$17+'Invoer gegevens'!$I$14+1,0,('Invoer gegevens'!$F$20/12)*L109*MIN(Reeksen!B41,Reeksen!D41))</f>
        <v>0</v>
      </c>
      <c r="Q110" s="84">
        <f ca="1">IF(E110&gt;='Invoer gegevens'!$C$17+'Invoer gegevens'!$I$14,0,L110-M110+I110+O110)</f>
        <v>0</v>
      </c>
      <c r="R110" s="82">
        <f ca="1">IF('Invoer gegevens'!$C$17=E110,'Invoer gegevens'!$C$11,IF(C110=1,W109,0))</f>
        <v>0</v>
      </c>
      <c r="S110" s="86">
        <f ca="1">IF(E110='Invoer gegevens'!$C$17+'Invoer gegevens'!$I$14,W109,IF(C110&gt;=1,R110*VLOOKUP(E110,Reeksen!$A$5:$B$76,2),0))</f>
        <v>0</v>
      </c>
      <c r="T110" s="84">
        <f ca="1">IF(E110='Invoer gegevens'!$C$17+'Invoer gegevens'!$I$14,W109,(1-('Invoer gegevens'!$F$20/12))*R110*MIN(Reeksen!B42,Reeksen!D42))</f>
        <v>0</v>
      </c>
      <c r="U110" s="84">
        <f>IF(Reeksen!D42&gt;=Reeksen!B42,0,IF(Reeksen!AK42&lt;=Reeksen!AE42,(Reeksen!B42-Reeksen!D42)*R110,0))</f>
        <v>0</v>
      </c>
      <c r="V110" s="86">
        <f>IF(Reeksen!D42&gt;=Reeksen!B42,0,IF(Reeksen!AK42&gt;Reeksen!AE42,(Reeksen!B42-Reeksen!D42)*R110,0))</f>
        <v>0</v>
      </c>
      <c r="W110" s="97">
        <f ca="1">IF(E110&gt;='Invoer gegevens'!$C$17+'Invoer gegevens'!$I$14,0,R110-S110)</f>
        <v>0</v>
      </c>
      <c r="X110" s="98">
        <f ca="1">IF('Invoer gegevens'!$C$17=E110,'Invoer gegevens'!$C$10-'Invoer gegevens'!$C$11,IF(C110=1,AC109,0))</f>
        <v>0</v>
      </c>
      <c r="Y110" s="98">
        <f ca="1">IF(E110='Invoer gegevens'!$C$17+'Invoer gegevens'!$I$14,AC109,IF(C110&gt;=1,X110*VLOOKUP(E110,Reeksen!$A$5:$B$76,2),0))</f>
        <v>0</v>
      </c>
      <c r="Z110" s="98">
        <f ca="1">IF(E110='Invoer gegevens'!$C$17+'Invoer gegevens'!$I$14,AC109,(1-('Invoer gegevens'!$F$20/12))*X110*MIN(Reeksen!B42,Reeksen!D42))</f>
        <v>0</v>
      </c>
      <c r="AA110" s="98">
        <f>IF(Reeksen!D42&gt;=Reeksen!B42,0,IF(Reeksen!AK42&lt;=Reeksen!AE42,(Reeksen!B42-Reeksen!D42)*X110,0))</f>
        <v>0</v>
      </c>
      <c r="AB110" s="98">
        <f>IF(Reeksen!D42&gt;=Reeksen!B42,0,IF(Reeksen!AK42&gt;Reeksen!AE42,(Reeksen!B42-Reeksen!D42)*X110,0))</f>
        <v>0</v>
      </c>
      <c r="AC110" s="99">
        <f ca="1">IF(E110&gt;='Invoer gegevens'!$C$17+'Invoer gegevens'!$I$14,0,X110-Y110)</f>
        <v>0</v>
      </c>
      <c r="AD110" s="98">
        <f ca="1">IF('Invoer gegevens'!$C$17=E42,R110,IF(C42=0,0,AE109))</f>
        <v>0</v>
      </c>
      <c r="AE110" s="98">
        <f t="shared" ca="1" si="9"/>
        <v>0</v>
      </c>
      <c r="AF110" s="98">
        <f ca="1">IF('Invoer gegevens'!$C$17=E42,X110,IF(C42=0,0,AG109))</f>
        <v>0</v>
      </c>
      <c r="AG110" s="98">
        <f t="shared" ca="1" si="10"/>
        <v>0</v>
      </c>
      <c r="AH110" s="66"/>
      <c r="AI110" s="71">
        <f ca="1">IF(C110=1,((Reeksen!BF42*(F110-G110+F110)/2)+((L110-M110+L110)/2*Reeksen!BG42))*12,0)</f>
        <v>0</v>
      </c>
      <c r="AJ110" s="71">
        <f ca="1">-AI110*'Invoer gegevens'!$I$26</f>
        <v>0</v>
      </c>
      <c r="AK110" s="71">
        <f t="shared" ca="1" si="11"/>
        <v>0</v>
      </c>
      <c r="AL110" s="71">
        <f ca="1">IF(C110=1,Reeksen!AL42*((F110-G110+F110)/2)*12+Reeksen!AM42*((L110-M110+L110)/2)*12,0)</f>
        <v>0</v>
      </c>
      <c r="AM110" s="71">
        <f ca="1">-AL110*'Invoer gegevens'!$F$31</f>
        <v>0</v>
      </c>
      <c r="AN110" s="71">
        <f t="shared" ca="1" si="12"/>
        <v>0</v>
      </c>
      <c r="AO110" s="71">
        <f ca="1">IF(E110&gt;='Invoer gegevens'!$C$17+'Invoer gegevens'!$I$14,0,IF(C110=1,(H110+J110+N110+P110)*Reeksen!AN42,0))</f>
        <v>0</v>
      </c>
      <c r="AP110" s="71">
        <f ca="1">-IF(C110=1,(H110+J110+N110+P110)*Reeksen!AN41*'Hulp - basis'!$B$550,0)</f>
        <v>0</v>
      </c>
      <c r="AQ110" s="71">
        <f ca="1">-IF(C110=1,(F110+K110+L110+Q110)/2*'Invoer gegevens'!$I$33*Reeksen!J42,0)</f>
        <v>0</v>
      </c>
      <c r="AR110" s="71">
        <f ca="1">-IF(C110=1,(I110*'Invoer gegevens'!$I$34)*Reeksen!J42,0)</f>
        <v>0</v>
      </c>
      <c r="AS110" s="71">
        <f ca="1">-IF(C110=1,(F110+K110+L110+Q110)/2*'Invoer gegevens'!$I$35*Reeksen!L42,0)</f>
        <v>0</v>
      </c>
      <c r="AT110" s="71">
        <f ca="1">-IF(C110=1,IF(E110='Invoer gegevens'!$C$17,'Invoer gegevens'!$C$11,AD110)*Reeksen!S42*'Invoer gegevens'!$C$18*Reeksen!P42,0)</f>
        <v>0</v>
      </c>
      <c r="AU110" s="71">
        <f ca="1">-IF(C110=1,(F110+K110+L110+Q110)/2*'Invoer gegevens'!$I$36*Reeksen!H42,0)</f>
        <v>0</v>
      </c>
      <c r="AV110" s="71">
        <f t="shared" ca="1" si="13"/>
        <v>0</v>
      </c>
      <c r="AW110" s="72">
        <f ca="1">IFERROR(IF(E110='Invoer gegevens'!$C$17+'Invoer gegevens'!$I$14-1,'Invoer gegevens'!$I$13*K110*Reeksen!H42,0),0)</f>
        <v>0</v>
      </c>
      <c r="AX110" s="72">
        <f ca="1">IFERROR(IF(E110='Invoer gegevens'!$C$17,-'Invoer gegevens'!$C$10*('Invoer gegevens'!$C$30+'Invoer gegevens'!$C$31)*Reeksen!H42,0),0)</f>
        <v>0</v>
      </c>
      <c r="AY110" s="73">
        <f ca="1">IF('Invoer gegevens'!$C$34=E110,'Invoer gegevens'!$C$27*'Invoer gegevens'!$C$10*'Invoer gegevens'!$C$36*(IF('Invoer gegevens'!$C$35="ja",1,Reeksen!J42)),IF('Invoer gegevens'!$C$34+1=E110,'Invoer gegevens'!$C$27*'Invoer gegevens'!$C$10*'Invoer gegevens'!$C$37*(IF('Invoer gegevens'!$C$35="ja",1,Reeksen!J42)),0))+IF(AND(E110='Invoer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0" s="73">
        <f ca="1">AV110/(1+'Invoer gegevens'!$I$12)^($D110-('Invoer gegevens'!$C$17-'Invoer gegevens'!$C$16))/(1+'Invoer gegevens'!$C$39)^('Invoer gegevens'!$C$17-'Invoer gegevens'!$C$16)</f>
        <v>0</v>
      </c>
      <c r="BA110" s="73">
        <f ca="1">AW110/(1+'Invoer gegevens'!$I$12)^(E110-('Invoer gegevens'!$C$17-1))/(1+'Invoer gegevens'!$C$39)^('Invoer gegevens'!$C$17-'Invoer gegevens'!$C$16)</f>
        <v>0</v>
      </c>
      <c r="BB110" s="73">
        <f ca="1">AX110/(1+'Invoer gegevens'!$C$39)^('Invoer gegevens'!$C$17-'Invoer gegevens'!$C$16)</f>
        <v>0</v>
      </c>
      <c r="BC110" s="72">
        <f t="shared" ca="1" si="14"/>
        <v>0</v>
      </c>
      <c r="BD110" s="72">
        <f ca="1">IF(AND(E110='Invoer gegevens'!$C$16,'Invoer gegevens'!$C$34&lt;'Invoer gegevens'!$C$16),AY110,AY110/(1+'Invoer gegevens'!$C$39)^D110)</f>
        <v>0</v>
      </c>
      <c r="BE110" s="72">
        <f ca="1">IF(E110='Invoer gegevens'!$C$34,-'Invoer gegevens'!$I$38,0)</f>
        <v>0</v>
      </c>
      <c r="BF110" s="72">
        <f ca="1">IF(E110='Invoer gegevens'!$C$17,-'Invoer gegevens'!$C$19*$BC$134,0)</f>
        <v>0</v>
      </c>
      <c r="BG110" s="72">
        <f ca="1">AV110/(1+$BG$72)^($D110-('Invoer gegevens'!$C$17-'Invoer gegevens'!$C$16))/(1+'Invoer gegevens'!$C$39)^('Invoer gegevens'!$C$17-'Invoer gegevens'!$C$16)+AW110/(1+$BG$72)^(E110-('Invoer gegevens'!$C$17-1))/(1+'Invoer gegevens'!$C$39)^('Invoer gegevens'!$C$17-'Invoer gegevens'!$C$16)+AX110/(1+'Invoer gegevens'!$C$39)^('Invoer gegevens'!$C$17-'Invoer gegevens'!$C$16)+(-AY110/(1+'Invoer gegevens'!$C$39)^D110)+BE110+BF110</f>
        <v>0</v>
      </c>
    </row>
    <row r="111" spans="1:59" x14ac:dyDescent="0.25">
      <c r="B111" s="70">
        <f t="shared" si="15"/>
        <v>39</v>
      </c>
      <c r="C111" s="67">
        <f ca="1">IF(AND(E111&gt;='Invoer gegevens'!$C$17,E111&lt;'Invoer gegevens'!$C$17+'Invoer gegevens'!$I$14),1,0)</f>
        <v>1</v>
      </c>
      <c r="D111" s="68">
        <f t="shared" si="16"/>
        <v>38.5</v>
      </c>
      <c r="E111" s="108">
        <f ca="1">IF('Invoer gegevens'!$C$16="","",E110+1)</f>
        <v>2057</v>
      </c>
      <c r="F111" s="84">
        <f ca="1">IF('Invoer gegevens'!$C$17=E111,'Invoer gegevens'!$C$10,IF(C111=1,K110,0))</f>
        <v>0</v>
      </c>
      <c r="G111" s="96">
        <f ca="1">IF(E111='Invoer gegevens'!$C$17+'Invoer gegevens'!$I$14,K110,IF(C111&gt;=1,F111*VLOOKUP(E111,Reeksen!$A$5:$B$76,2),0))</f>
        <v>0</v>
      </c>
      <c r="H111" s="84">
        <f ca="1">IF(E111='Invoer gegevens'!$C$17+'Invoer gegevens'!$I$14,K110,(1-('Invoer gegevens'!$F$20/12))*F111*MIN(Reeksen!B43,Reeksen!D43))</f>
        <v>0</v>
      </c>
      <c r="I111" s="84">
        <f>IF(Reeksen!D43&lt;Reeksen!B43,(Reeksen!B43-Reeksen!D43)*F111,0)</f>
        <v>0</v>
      </c>
      <c r="J111" s="84">
        <f ca="1">IF(E111='Invoer gegevens'!$C$17+'Invoer gegevens'!$I$14+1,0,('Invoer gegevens'!$F$20/12)*F110*MIN(Reeksen!B42,Reeksen!D42))</f>
        <v>0</v>
      </c>
      <c r="K111" s="97">
        <f ca="1">IF(E111&gt;='Invoer gegevens'!$C$17+'Invoer gegevens'!$I$14,0,F111-G111)</f>
        <v>0</v>
      </c>
      <c r="L111" s="84">
        <f ca="1">IF('Invoer gegevens'!$C$17=E111,0,IF(C111=1,Q110,0))</f>
        <v>0</v>
      </c>
      <c r="M111" s="96">
        <f ca="1">IF(E111='Invoer gegevens'!$C$17+'Invoer gegevens'!$I$14,Q110,IF(C111&gt;=1,L111*VLOOKUP(E111,Reeksen!$A$5:$B$76,2),0))</f>
        <v>0</v>
      </c>
      <c r="N111" s="84">
        <f ca="1">IF(C111='Invoer gegevens'!$C$17+'Invoer gegevens'!$I$14,Q110,(1-('Invoer gegevens'!$F$20/12))*L111*MIN(Reeksen!B43,Reeksen!D43))</f>
        <v>0</v>
      </c>
      <c r="O111" s="84">
        <f>IF(Reeksen!D43&lt;Reeksen!B43,(Reeksen!B43-Reeksen!D43)*L111,0)</f>
        <v>0</v>
      </c>
      <c r="P111" s="84">
        <f ca="1">IF(E111='Invoer gegevens'!$C$17+'Invoer gegevens'!$I$14+1,0,('Invoer gegevens'!$F$20/12)*L110*MIN(Reeksen!B42,Reeksen!D42))</f>
        <v>0</v>
      </c>
      <c r="Q111" s="84">
        <f ca="1">IF(E111&gt;='Invoer gegevens'!$C$17+'Invoer gegevens'!$I$14,0,L111-M111+I111+O111)</f>
        <v>0</v>
      </c>
      <c r="R111" s="82">
        <f ca="1">IF('Invoer gegevens'!$C$17=E111,'Invoer gegevens'!$C$11,IF(C111=1,W110,0))</f>
        <v>0</v>
      </c>
      <c r="S111" s="86">
        <f ca="1">IF(E111='Invoer gegevens'!$C$17+'Invoer gegevens'!$I$14,W110,IF(C111&gt;=1,R111*VLOOKUP(E111,Reeksen!$A$5:$B$76,2),0))</f>
        <v>0</v>
      </c>
      <c r="T111" s="84">
        <f ca="1">IF(E111='Invoer gegevens'!$C$17+'Invoer gegevens'!$I$14,W110,(1-('Invoer gegevens'!$F$20/12))*R111*MIN(Reeksen!B43,Reeksen!D43))</f>
        <v>0</v>
      </c>
      <c r="U111" s="84">
        <f>IF(Reeksen!D43&gt;=Reeksen!B43,0,IF(Reeksen!AK43&lt;=Reeksen!AE43,(Reeksen!B43-Reeksen!D43)*R111,0))</f>
        <v>0</v>
      </c>
      <c r="V111" s="86">
        <f>IF(Reeksen!D43&gt;=Reeksen!B43,0,IF(Reeksen!AK43&gt;Reeksen!AE43,(Reeksen!B43-Reeksen!D43)*R111,0))</f>
        <v>0</v>
      </c>
      <c r="W111" s="97">
        <f ca="1">IF(E111&gt;='Invoer gegevens'!$C$17+'Invoer gegevens'!$I$14,0,R111-S111)</f>
        <v>0</v>
      </c>
      <c r="X111" s="98">
        <f ca="1">IF('Invoer gegevens'!$C$17=E111,'Invoer gegevens'!$C$10-'Invoer gegevens'!$C$11,IF(C111=1,AC110,0))</f>
        <v>0</v>
      </c>
      <c r="Y111" s="98">
        <f ca="1">IF(E111='Invoer gegevens'!$C$17+'Invoer gegevens'!$I$14,AC110,IF(C111&gt;=1,X111*VLOOKUP(E111,Reeksen!$A$5:$B$76,2),0))</f>
        <v>0</v>
      </c>
      <c r="Z111" s="98">
        <f ca="1">IF(E111='Invoer gegevens'!$C$17+'Invoer gegevens'!$I$14,AC110,(1-('Invoer gegevens'!$F$20/12))*X111*MIN(Reeksen!B43,Reeksen!D43))</f>
        <v>0</v>
      </c>
      <c r="AA111" s="98">
        <f>IF(Reeksen!D43&gt;=Reeksen!B43,0,IF(Reeksen!AK43&lt;=Reeksen!AE43,(Reeksen!B43-Reeksen!D43)*X111,0))</f>
        <v>0</v>
      </c>
      <c r="AB111" s="98">
        <f>IF(Reeksen!D43&gt;=Reeksen!B43,0,IF(Reeksen!AK43&gt;Reeksen!AE43,(Reeksen!B43-Reeksen!D43)*X111,0))</f>
        <v>0</v>
      </c>
      <c r="AC111" s="99">
        <f ca="1">IF(E111&gt;='Invoer gegevens'!$C$17+'Invoer gegevens'!$I$14,0,X111-Y111)</f>
        <v>0</v>
      </c>
      <c r="AD111" s="98">
        <f ca="1">IF('Invoer gegevens'!$C$17=E43,R111,IF(C43=0,0,AE110))</f>
        <v>0</v>
      </c>
      <c r="AE111" s="98">
        <f t="shared" ca="1" si="9"/>
        <v>0</v>
      </c>
      <c r="AF111" s="98">
        <f ca="1">IF('Invoer gegevens'!$C$17=E43,X111,IF(C43=0,0,AG110))</f>
        <v>0</v>
      </c>
      <c r="AG111" s="98">
        <f t="shared" ca="1" si="10"/>
        <v>0</v>
      </c>
      <c r="AH111" s="66"/>
      <c r="AI111" s="71">
        <f ca="1">IF(C111=1,((Reeksen!BF43*(F111-G111+F111)/2)+((L111-M111+L111)/2*Reeksen!BG43))*12,0)</f>
        <v>0</v>
      </c>
      <c r="AJ111" s="71">
        <f ca="1">-AI111*'Invoer gegevens'!$I$26</f>
        <v>0</v>
      </c>
      <c r="AK111" s="71">
        <f t="shared" ca="1" si="11"/>
        <v>0</v>
      </c>
      <c r="AL111" s="71">
        <f ca="1">IF(C111=1,Reeksen!AL43*((F111-G111+F111)/2)*12+Reeksen!AM43*((L111-M111+L111)/2)*12,0)</f>
        <v>0</v>
      </c>
      <c r="AM111" s="71">
        <f ca="1">-AL111*'Invoer gegevens'!$F$31</f>
        <v>0</v>
      </c>
      <c r="AN111" s="71">
        <f t="shared" ca="1" si="12"/>
        <v>0</v>
      </c>
      <c r="AO111" s="71">
        <f ca="1">IF(E111&gt;='Invoer gegevens'!$C$17+'Invoer gegevens'!$I$14,0,IF(C111=1,(H111+J111+N111+P111)*Reeksen!AN43,0))</f>
        <v>0</v>
      </c>
      <c r="AP111" s="71">
        <f ca="1">-IF(C111=1,(H111+J111+N111+P111)*Reeksen!AN42*'Hulp - basis'!$B$550,0)</f>
        <v>0</v>
      </c>
      <c r="AQ111" s="71">
        <f ca="1">-IF(C111=1,(F111+K111+L111+Q111)/2*'Invoer gegevens'!$I$33*Reeksen!J43,0)</f>
        <v>0</v>
      </c>
      <c r="AR111" s="71">
        <f ca="1">-IF(C111=1,(I111*'Invoer gegevens'!$I$34)*Reeksen!J43,0)</f>
        <v>0</v>
      </c>
      <c r="AS111" s="71">
        <f ca="1">-IF(C111=1,(F111+K111+L111+Q111)/2*'Invoer gegevens'!$I$35*Reeksen!L43,0)</f>
        <v>0</v>
      </c>
      <c r="AT111" s="71">
        <f ca="1">-IF(C111=1,IF(E111='Invoer gegevens'!$C$17,'Invoer gegevens'!$C$11,AD111)*Reeksen!S43*'Invoer gegevens'!$C$18*Reeksen!P43,0)</f>
        <v>0</v>
      </c>
      <c r="AU111" s="71">
        <f ca="1">-IF(C111=1,(F111+K111+L111+Q111)/2*'Invoer gegevens'!$I$36*Reeksen!H43,0)</f>
        <v>0</v>
      </c>
      <c r="AV111" s="71">
        <f t="shared" ca="1" si="13"/>
        <v>0</v>
      </c>
      <c r="AW111" s="72">
        <f ca="1">IFERROR(IF(E111='Invoer gegevens'!$C$17+'Invoer gegevens'!$I$14-1,'Invoer gegevens'!$I$13*K111*Reeksen!H43,0),0)</f>
        <v>0</v>
      </c>
      <c r="AX111" s="72">
        <f ca="1">IFERROR(IF(E111='Invoer gegevens'!$C$17,-'Invoer gegevens'!$C$10*('Invoer gegevens'!$C$30+'Invoer gegevens'!$C$31)*Reeksen!H43,0),0)</f>
        <v>0</v>
      </c>
      <c r="AY111" s="73">
        <f ca="1">IF('Invoer gegevens'!$C$34=E111,'Invoer gegevens'!$C$27*'Invoer gegevens'!$C$10*'Invoer gegevens'!$C$36*(IF('Invoer gegevens'!$C$35="ja",1,Reeksen!J43)),IF('Invoer gegevens'!$C$34+1=E111,'Invoer gegevens'!$C$27*'Invoer gegevens'!$C$10*'Invoer gegevens'!$C$37*(IF('Invoer gegevens'!$C$35="ja",1,Reeksen!J43)),0))+IF(AND(E111='Invoer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1" s="73">
        <f ca="1">AV111/(1+'Invoer gegevens'!$I$12)^($D111-('Invoer gegevens'!$C$17-'Invoer gegevens'!$C$16))/(1+'Invoer gegevens'!$C$39)^('Invoer gegevens'!$C$17-'Invoer gegevens'!$C$16)</f>
        <v>0</v>
      </c>
      <c r="BA111" s="73">
        <f ca="1">AW111/(1+'Invoer gegevens'!$I$12)^(E111-('Invoer gegevens'!$C$17-1))/(1+'Invoer gegevens'!$C$39)^('Invoer gegevens'!$C$17-'Invoer gegevens'!$C$16)</f>
        <v>0</v>
      </c>
      <c r="BB111" s="73">
        <f ca="1">AX111/(1+'Invoer gegevens'!$C$39)^('Invoer gegevens'!$C$17-'Invoer gegevens'!$C$16)</f>
        <v>0</v>
      </c>
      <c r="BC111" s="72">
        <f t="shared" ca="1" si="14"/>
        <v>0</v>
      </c>
      <c r="BD111" s="72">
        <f ca="1">IF(AND(E111='Invoer gegevens'!$C$16,'Invoer gegevens'!$C$34&lt;'Invoer gegevens'!$C$16),AY111,AY111/(1+'Invoer gegevens'!$C$39)^D111)</f>
        <v>0</v>
      </c>
      <c r="BE111" s="72">
        <f ca="1">IF(E111='Invoer gegevens'!$C$34,-'Invoer gegevens'!$I$38,0)</f>
        <v>0</v>
      </c>
      <c r="BF111" s="72">
        <f ca="1">IF(E111='Invoer gegevens'!$C$17,-'Invoer gegevens'!$C$19*$BC$134,0)</f>
        <v>0</v>
      </c>
      <c r="BG111" s="72">
        <f ca="1">AV111/(1+$BG$72)^($D111-('Invoer gegevens'!$C$17-'Invoer gegevens'!$C$16))/(1+'Invoer gegevens'!$C$39)^('Invoer gegevens'!$C$17-'Invoer gegevens'!$C$16)+AW111/(1+$BG$72)^(E111-('Invoer gegevens'!$C$17-1))/(1+'Invoer gegevens'!$C$39)^('Invoer gegevens'!$C$17-'Invoer gegevens'!$C$16)+AX111/(1+'Invoer gegevens'!$C$39)^('Invoer gegevens'!$C$17-'Invoer gegevens'!$C$16)+(-AY111/(1+'Invoer gegevens'!$C$39)^D111)+BE111+BF111</f>
        <v>0</v>
      </c>
    </row>
    <row r="112" spans="1:59" x14ac:dyDescent="0.25">
      <c r="B112" s="70">
        <f t="shared" si="15"/>
        <v>40</v>
      </c>
      <c r="C112" s="67">
        <f ca="1">IF(AND(E112&gt;='Invoer gegevens'!$C$17,E112&lt;'Invoer gegevens'!$C$17+'Invoer gegevens'!$I$14),1,0)</f>
        <v>1</v>
      </c>
      <c r="D112" s="68">
        <f t="shared" si="16"/>
        <v>39.5</v>
      </c>
      <c r="E112" s="108">
        <f ca="1">IF('Invoer gegevens'!$C$16="","",E111+1)</f>
        <v>2058</v>
      </c>
      <c r="F112" s="84">
        <f ca="1">IF('Invoer gegevens'!$C$17=E112,'Invoer gegevens'!$C$10,IF(C112=1,K111,0))</f>
        <v>0</v>
      </c>
      <c r="G112" s="96">
        <f ca="1">IF(E112='Invoer gegevens'!$C$17+'Invoer gegevens'!$I$14,K111,IF(C112&gt;=1,F112*VLOOKUP(E112,Reeksen!$A$5:$B$76,2),0))</f>
        <v>0</v>
      </c>
      <c r="H112" s="84">
        <f ca="1">IF(E112='Invoer gegevens'!$C$17+'Invoer gegevens'!$I$14,K111,(1-('Invoer gegevens'!$F$20/12))*F112*MIN(Reeksen!B44,Reeksen!D44))</f>
        <v>0</v>
      </c>
      <c r="I112" s="84">
        <f>IF(Reeksen!D44&lt;Reeksen!B44,(Reeksen!B44-Reeksen!D44)*F112,0)</f>
        <v>0</v>
      </c>
      <c r="J112" s="84">
        <f ca="1">IF(E112='Invoer gegevens'!$C$17+'Invoer gegevens'!$I$14+1,0,('Invoer gegevens'!$F$20/12)*F111*MIN(Reeksen!B43,Reeksen!D43))</f>
        <v>0</v>
      </c>
      <c r="K112" s="97">
        <f ca="1">IF(E112&gt;='Invoer gegevens'!$C$17+'Invoer gegevens'!$I$14,0,F112-G112)</f>
        <v>0</v>
      </c>
      <c r="L112" s="84">
        <f ca="1">IF('Invoer gegevens'!$C$17=E112,0,IF(C112=1,Q111,0))</f>
        <v>0</v>
      </c>
      <c r="M112" s="96">
        <f ca="1">IF(E112='Invoer gegevens'!$C$17+'Invoer gegevens'!$I$14,Q111,IF(C112&gt;=1,L112*VLOOKUP(E112,Reeksen!$A$5:$B$76,2),0))</f>
        <v>0</v>
      </c>
      <c r="N112" s="84">
        <f ca="1">IF(C112='Invoer gegevens'!$C$17+'Invoer gegevens'!$I$14,Q111,(1-('Invoer gegevens'!$F$20/12))*L112*MIN(Reeksen!B44,Reeksen!D44))</f>
        <v>0</v>
      </c>
      <c r="O112" s="84">
        <f>IF(Reeksen!D44&lt;Reeksen!B44,(Reeksen!B44-Reeksen!D44)*L112,0)</f>
        <v>0</v>
      </c>
      <c r="P112" s="84">
        <f ca="1">IF(E112='Invoer gegevens'!$C$17+'Invoer gegevens'!$I$14+1,0,('Invoer gegevens'!$F$20/12)*L111*MIN(Reeksen!B43,Reeksen!D43))</f>
        <v>0</v>
      </c>
      <c r="Q112" s="84">
        <f ca="1">IF(E112&gt;='Invoer gegevens'!$C$17+'Invoer gegevens'!$I$14,0,L112-M112+I112+O112)</f>
        <v>0</v>
      </c>
      <c r="R112" s="82">
        <f ca="1">IF('Invoer gegevens'!$C$17=E112,'Invoer gegevens'!$C$11,IF(C112=1,W111,0))</f>
        <v>0</v>
      </c>
      <c r="S112" s="86">
        <f ca="1">IF(E112='Invoer gegevens'!$C$17+'Invoer gegevens'!$I$14,W111,IF(C112&gt;=1,R112*VLOOKUP(E112,Reeksen!$A$5:$B$76,2),0))</f>
        <v>0</v>
      </c>
      <c r="T112" s="84">
        <f ca="1">IF(E112='Invoer gegevens'!$C$17+'Invoer gegevens'!$I$14,W111,(1-('Invoer gegevens'!$F$20/12))*R112*MIN(Reeksen!B44,Reeksen!D44))</f>
        <v>0</v>
      </c>
      <c r="U112" s="84">
        <f>IF(Reeksen!D44&gt;=Reeksen!B44,0,IF(Reeksen!AK44&lt;=Reeksen!AE44,(Reeksen!B44-Reeksen!D44)*R112,0))</f>
        <v>0</v>
      </c>
      <c r="V112" s="86">
        <f>IF(Reeksen!D44&gt;=Reeksen!B44,0,IF(Reeksen!AK44&gt;Reeksen!AE44,(Reeksen!B44-Reeksen!D44)*R112,0))</f>
        <v>0</v>
      </c>
      <c r="W112" s="97">
        <f ca="1">IF(E112&gt;='Invoer gegevens'!$C$17+'Invoer gegevens'!$I$14,0,R112-S112)</f>
        <v>0</v>
      </c>
      <c r="X112" s="98">
        <f ca="1">IF('Invoer gegevens'!$C$17=E112,'Invoer gegevens'!$C$10-'Invoer gegevens'!$C$11,IF(C112=1,AC111,0))</f>
        <v>0</v>
      </c>
      <c r="Y112" s="98">
        <f ca="1">IF(E112='Invoer gegevens'!$C$17+'Invoer gegevens'!$I$14,AC111,IF(C112&gt;=1,X112*VLOOKUP(E112,Reeksen!$A$5:$B$76,2),0))</f>
        <v>0</v>
      </c>
      <c r="Z112" s="98">
        <f ca="1">IF(E112='Invoer gegevens'!$C$17+'Invoer gegevens'!$I$14,AC111,(1-('Invoer gegevens'!$F$20/12))*X112*MIN(Reeksen!B44,Reeksen!D44))</f>
        <v>0</v>
      </c>
      <c r="AA112" s="98">
        <f>IF(Reeksen!D44&gt;=Reeksen!B44,0,IF(Reeksen!AK44&lt;=Reeksen!AE44,(Reeksen!B44-Reeksen!D44)*X112,0))</f>
        <v>0</v>
      </c>
      <c r="AB112" s="98">
        <f>IF(Reeksen!D44&gt;=Reeksen!B44,0,IF(Reeksen!AK44&gt;Reeksen!AE44,(Reeksen!B44-Reeksen!D44)*X112,0))</f>
        <v>0</v>
      </c>
      <c r="AC112" s="99">
        <f ca="1">IF(E112&gt;='Invoer gegevens'!$C$17+'Invoer gegevens'!$I$14,0,X112-Y112)</f>
        <v>0</v>
      </c>
      <c r="AD112" s="98">
        <f ca="1">IF('Invoer gegevens'!$C$17=E44,R112,IF(C44=0,0,AE111))</f>
        <v>0</v>
      </c>
      <c r="AE112" s="98">
        <f t="shared" ca="1" si="9"/>
        <v>0</v>
      </c>
      <c r="AF112" s="98">
        <f ca="1">IF('Invoer gegevens'!$C$17=E44,X112,IF(C44=0,0,AG111))</f>
        <v>0</v>
      </c>
      <c r="AG112" s="98">
        <f t="shared" ca="1" si="10"/>
        <v>0</v>
      </c>
      <c r="AH112" s="66"/>
      <c r="AI112" s="71">
        <f ca="1">IF(C112=1,((Reeksen!BF44*(F112-G112+F112)/2)+((L112-M112+L112)/2*Reeksen!BG44))*12,0)</f>
        <v>0</v>
      </c>
      <c r="AJ112" s="71">
        <f ca="1">-AI112*'Invoer gegevens'!$I$26</f>
        <v>0</v>
      </c>
      <c r="AK112" s="71">
        <f t="shared" ca="1" si="11"/>
        <v>0</v>
      </c>
      <c r="AL112" s="71">
        <f ca="1">IF(C112=1,Reeksen!AL44*((F112-G112+F112)/2)*12+Reeksen!AM44*((L112-M112+L112)/2)*12,0)</f>
        <v>0</v>
      </c>
      <c r="AM112" s="71">
        <f ca="1">-AL112*'Invoer gegevens'!$F$31</f>
        <v>0</v>
      </c>
      <c r="AN112" s="71">
        <f t="shared" ca="1" si="12"/>
        <v>0</v>
      </c>
      <c r="AO112" s="71">
        <f ca="1">IF(E112&gt;='Invoer gegevens'!$C$17+'Invoer gegevens'!$I$14,0,IF(C112=1,(H112+J112+N112+P112)*Reeksen!AN44,0))</f>
        <v>0</v>
      </c>
      <c r="AP112" s="71">
        <f ca="1">-IF(C112=1,(H112+J112+N112+P112)*Reeksen!AN43*'Hulp - basis'!$B$550,0)</f>
        <v>0</v>
      </c>
      <c r="AQ112" s="71">
        <f ca="1">-IF(C112=1,(F112+K112+L112+Q112)/2*'Invoer gegevens'!$I$33*Reeksen!J44,0)</f>
        <v>0</v>
      </c>
      <c r="AR112" s="71">
        <f ca="1">-IF(C112=1,(I112*'Invoer gegevens'!$I$34)*Reeksen!J44,0)</f>
        <v>0</v>
      </c>
      <c r="AS112" s="71">
        <f ca="1">-IF(C112=1,(F112+K112+L112+Q112)/2*'Invoer gegevens'!$I$35*Reeksen!L44,0)</f>
        <v>0</v>
      </c>
      <c r="AT112" s="71">
        <f ca="1">-IF(C112=1,IF(E112='Invoer gegevens'!$C$17,'Invoer gegevens'!$C$11,AD112)*Reeksen!S44*'Invoer gegevens'!$C$18*Reeksen!P44,0)</f>
        <v>0</v>
      </c>
      <c r="AU112" s="71">
        <f ca="1">-IF(C112=1,(F112+K112+L112+Q112)/2*'Invoer gegevens'!$I$36*Reeksen!H44,0)</f>
        <v>0</v>
      </c>
      <c r="AV112" s="71">
        <f t="shared" ca="1" si="13"/>
        <v>0</v>
      </c>
      <c r="AW112" s="72">
        <f ca="1">IFERROR(IF(E112='Invoer gegevens'!$C$17+'Invoer gegevens'!$I$14-1,'Invoer gegevens'!$I$13*K112*Reeksen!H44,0),0)</f>
        <v>0</v>
      </c>
      <c r="AX112" s="72">
        <f ca="1">IFERROR(IF(E112='Invoer gegevens'!$C$17,-'Invoer gegevens'!$C$10*('Invoer gegevens'!$C$30+'Invoer gegevens'!$C$31)*Reeksen!H44,0),0)</f>
        <v>0</v>
      </c>
      <c r="AY112" s="73">
        <f ca="1">IF('Invoer gegevens'!$C$34=E112,'Invoer gegevens'!$C$27*'Invoer gegevens'!$C$10*'Invoer gegevens'!$C$36*(IF('Invoer gegevens'!$C$35="ja",1,Reeksen!J44)),IF('Invoer gegevens'!$C$34+1=E112,'Invoer gegevens'!$C$27*'Invoer gegevens'!$C$10*'Invoer gegevens'!$C$37*(IF('Invoer gegevens'!$C$35="ja",1,Reeksen!J44)),0))+IF(AND(E112='Invoer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2" s="73">
        <f ca="1">AV112/(1+'Invoer gegevens'!$I$12)^($D112-('Invoer gegevens'!$C$17-'Invoer gegevens'!$C$16))/(1+'Invoer gegevens'!$C$39)^('Invoer gegevens'!$C$17-'Invoer gegevens'!$C$16)</f>
        <v>0</v>
      </c>
      <c r="BA112" s="73">
        <f ca="1">AW112/(1+'Invoer gegevens'!$I$12)^(E112-('Invoer gegevens'!$C$17-1))/(1+'Invoer gegevens'!$C$39)^('Invoer gegevens'!$C$17-'Invoer gegevens'!$C$16)</f>
        <v>0</v>
      </c>
      <c r="BB112" s="73">
        <f ca="1">AX112/(1+'Invoer gegevens'!$C$39)^('Invoer gegevens'!$C$17-'Invoer gegevens'!$C$16)</f>
        <v>0</v>
      </c>
      <c r="BC112" s="72">
        <f t="shared" ca="1" si="14"/>
        <v>0</v>
      </c>
      <c r="BD112" s="72">
        <f ca="1">IF(AND(E112='Invoer gegevens'!$C$16,'Invoer gegevens'!$C$34&lt;'Invoer gegevens'!$C$16),AY112,AY112/(1+'Invoer gegevens'!$C$39)^D112)</f>
        <v>0</v>
      </c>
      <c r="BE112" s="72">
        <f ca="1">IF(E112='Invoer gegevens'!$C$34,-'Invoer gegevens'!$I$38,0)</f>
        <v>0</v>
      </c>
      <c r="BF112" s="72">
        <f ca="1">IF(E112='Invoer gegevens'!$C$17,-'Invoer gegevens'!$C$19*$BC$134,0)</f>
        <v>0</v>
      </c>
      <c r="BG112" s="72">
        <f ca="1">AV112/(1+$BG$72)^($D112-('Invoer gegevens'!$C$17-'Invoer gegevens'!$C$16))/(1+'Invoer gegevens'!$C$39)^('Invoer gegevens'!$C$17-'Invoer gegevens'!$C$16)+AW112/(1+$BG$72)^(E112-('Invoer gegevens'!$C$17-1))/(1+'Invoer gegevens'!$C$39)^('Invoer gegevens'!$C$17-'Invoer gegevens'!$C$16)+AX112/(1+'Invoer gegevens'!$C$39)^('Invoer gegevens'!$C$17-'Invoer gegevens'!$C$16)+(-AY112/(1+'Invoer gegevens'!$C$39)^D112)+BE112+BF112</f>
        <v>0</v>
      </c>
    </row>
    <row r="113" spans="2:59" x14ac:dyDescent="0.25">
      <c r="B113" s="70">
        <f t="shared" si="15"/>
        <v>41</v>
      </c>
      <c r="C113" s="67">
        <f ca="1">IF(AND(E113&gt;='Invoer gegevens'!$C$17,E113&lt;'Invoer gegevens'!$C$17+'Invoer gegevens'!$I$14),1,0)</f>
        <v>1</v>
      </c>
      <c r="D113" s="68">
        <f t="shared" si="16"/>
        <v>40.5</v>
      </c>
      <c r="E113" s="108">
        <f ca="1">IF('Invoer gegevens'!$C$16="","",E112+1)</f>
        <v>2059</v>
      </c>
      <c r="F113" s="84">
        <f ca="1">IF('Invoer gegevens'!$C$17=E113,'Invoer gegevens'!$C$10,IF(C113=1,K112,0))</f>
        <v>0</v>
      </c>
      <c r="G113" s="96">
        <f ca="1">IF(E113='Invoer gegevens'!$C$17+'Invoer gegevens'!$I$14,K112,IF(C113&gt;=1,F113*VLOOKUP(E113,Reeksen!$A$5:$B$76,2),0))</f>
        <v>0</v>
      </c>
      <c r="H113" s="84">
        <f ca="1">IF(E113='Invoer gegevens'!$C$17+'Invoer gegevens'!$I$14,K112,(1-('Invoer gegevens'!$F$20/12))*F113*MIN(Reeksen!B45,Reeksen!D45))</f>
        <v>0</v>
      </c>
      <c r="I113" s="84">
        <f>IF(Reeksen!D45&lt;Reeksen!B45,(Reeksen!B45-Reeksen!D45)*F113,0)</f>
        <v>0</v>
      </c>
      <c r="J113" s="84">
        <f ca="1">IF(E113='Invoer gegevens'!$C$17+'Invoer gegevens'!$I$14+1,0,('Invoer gegevens'!$F$20/12)*F112*MIN(Reeksen!B44,Reeksen!D44))</f>
        <v>0</v>
      </c>
      <c r="K113" s="97">
        <f ca="1">IF(E113&gt;='Invoer gegevens'!$C$17+'Invoer gegevens'!$I$14,0,F113-G113)</f>
        <v>0</v>
      </c>
      <c r="L113" s="84">
        <f ca="1">IF('Invoer gegevens'!$C$17=E113,0,IF(C113=1,Q112,0))</f>
        <v>0</v>
      </c>
      <c r="M113" s="96">
        <f ca="1">IF(E113='Invoer gegevens'!$C$17+'Invoer gegevens'!$I$14,Q112,IF(C113&gt;=1,L113*VLOOKUP(E113,Reeksen!$A$5:$B$76,2),0))</f>
        <v>0</v>
      </c>
      <c r="N113" s="84">
        <f ca="1">IF(C113='Invoer gegevens'!$C$17+'Invoer gegevens'!$I$14,Q112,(1-('Invoer gegevens'!$F$20/12))*L113*MIN(Reeksen!B45,Reeksen!D45))</f>
        <v>0</v>
      </c>
      <c r="O113" s="84">
        <f>IF(Reeksen!D45&lt;Reeksen!B45,(Reeksen!B45-Reeksen!D45)*L113,0)</f>
        <v>0</v>
      </c>
      <c r="P113" s="84">
        <f ca="1">IF(E113='Invoer gegevens'!$C$17+'Invoer gegevens'!$I$14+1,0,('Invoer gegevens'!$F$20/12)*L112*MIN(Reeksen!B44,Reeksen!D44))</f>
        <v>0</v>
      </c>
      <c r="Q113" s="84">
        <f ca="1">IF(E113&gt;='Invoer gegevens'!$C$17+'Invoer gegevens'!$I$14,0,L113-M113+I113+O113)</f>
        <v>0</v>
      </c>
      <c r="R113" s="82">
        <f ca="1">IF('Invoer gegevens'!$C$17=E113,'Invoer gegevens'!$C$11,IF(C113=1,W112,0))</f>
        <v>0</v>
      </c>
      <c r="S113" s="86">
        <f ca="1">IF(E113='Invoer gegevens'!$C$17+'Invoer gegevens'!$I$14,W112,IF(C113&gt;=1,R113*VLOOKUP(E113,Reeksen!$A$5:$B$76,2),0))</f>
        <v>0</v>
      </c>
      <c r="T113" s="84">
        <f ca="1">IF(E113='Invoer gegevens'!$C$17+'Invoer gegevens'!$I$14,W112,(1-('Invoer gegevens'!$F$20/12))*R113*MIN(Reeksen!B45,Reeksen!D45))</f>
        <v>0</v>
      </c>
      <c r="U113" s="84">
        <f>IF(Reeksen!D45&gt;=Reeksen!B45,0,IF(Reeksen!AK45&lt;=Reeksen!AE45,(Reeksen!B45-Reeksen!D45)*R113,0))</f>
        <v>0</v>
      </c>
      <c r="V113" s="86">
        <f>IF(Reeksen!D45&gt;=Reeksen!B45,0,IF(Reeksen!AK45&gt;Reeksen!AE45,(Reeksen!B45-Reeksen!D45)*R113,0))</f>
        <v>0</v>
      </c>
      <c r="W113" s="97">
        <f ca="1">IF(E113&gt;='Invoer gegevens'!$C$17+'Invoer gegevens'!$I$14,0,R113-S113)</f>
        <v>0</v>
      </c>
      <c r="X113" s="98">
        <f ca="1">IF('Invoer gegevens'!$C$17=E113,'Invoer gegevens'!$C$10-'Invoer gegevens'!$C$11,IF(C113=1,AC112,0))</f>
        <v>0</v>
      </c>
      <c r="Y113" s="98">
        <f ca="1">IF(E113='Invoer gegevens'!$C$17+'Invoer gegevens'!$I$14,AC112,IF(C113&gt;=1,X113*VLOOKUP(E113,Reeksen!$A$5:$B$76,2),0))</f>
        <v>0</v>
      </c>
      <c r="Z113" s="98">
        <f ca="1">IF(E113='Invoer gegevens'!$C$17+'Invoer gegevens'!$I$14,AC112,(1-('Invoer gegevens'!$F$20/12))*X113*MIN(Reeksen!B45,Reeksen!D45))</f>
        <v>0</v>
      </c>
      <c r="AA113" s="98">
        <f>IF(Reeksen!D45&gt;=Reeksen!B45,0,IF(Reeksen!AK45&lt;=Reeksen!AE45,(Reeksen!B45-Reeksen!D45)*X113,0))</f>
        <v>0</v>
      </c>
      <c r="AB113" s="98">
        <f>IF(Reeksen!D45&gt;=Reeksen!B45,0,IF(Reeksen!AK45&gt;Reeksen!AE45,(Reeksen!B45-Reeksen!D45)*X113,0))</f>
        <v>0</v>
      </c>
      <c r="AC113" s="99">
        <f ca="1">IF(E113&gt;='Invoer gegevens'!$C$17+'Invoer gegevens'!$I$14,0,X113-Y113)</f>
        <v>0</v>
      </c>
      <c r="AD113" s="98">
        <f ca="1">IF('Invoer gegevens'!$C$17=E45,R113,IF(C45=0,0,AE112))</f>
        <v>0</v>
      </c>
      <c r="AE113" s="98">
        <f t="shared" ca="1" si="9"/>
        <v>0</v>
      </c>
      <c r="AF113" s="98">
        <f ca="1">IF('Invoer gegevens'!$C$17=E45,X113,IF(C45=0,0,AG112))</f>
        <v>0</v>
      </c>
      <c r="AG113" s="98">
        <f t="shared" ca="1" si="10"/>
        <v>0</v>
      </c>
      <c r="AH113" s="66"/>
      <c r="AI113" s="71">
        <f ca="1">IF(C113=1,((Reeksen!BF45*(F113-G113+F113)/2)+((L113-M113+L113)/2*Reeksen!BG45))*12,0)</f>
        <v>0</v>
      </c>
      <c r="AJ113" s="71">
        <f ca="1">-AI113*'Invoer gegevens'!$I$26</f>
        <v>0</v>
      </c>
      <c r="AK113" s="71">
        <f t="shared" ca="1" si="11"/>
        <v>0</v>
      </c>
      <c r="AL113" s="71">
        <f ca="1">IF(C113=1,Reeksen!AL45*((F113-G113+F113)/2)*12+Reeksen!AM45*((L113-M113+L113)/2)*12,0)</f>
        <v>0</v>
      </c>
      <c r="AM113" s="71">
        <f ca="1">-AL113*'Invoer gegevens'!$F$31</f>
        <v>0</v>
      </c>
      <c r="AN113" s="71">
        <f t="shared" ca="1" si="12"/>
        <v>0</v>
      </c>
      <c r="AO113" s="71">
        <f ca="1">IF(E113&gt;='Invoer gegevens'!$C$17+'Invoer gegevens'!$I$14,0,IF(C113=1,(H113+J113+N113+P113)*Reeksen!AN45,0))</f>
        <v>0</v>
      </c>
      <c r="AP113" s="71">
        <f ca="1">-IF(C113=1,(H113+J113+N113+P113)*Reeksen!AN44*'Hulp - basis'!$B$550,0)</f>
        <v>0</v>
      </c>
      <c r="AQ113" s="71">
        <f ca="1">-IF(C113=1,(F113+K113+L113+Q113)/2*'Invoer gegevens'!$I$33*Reeksen!J45,0)</f>
        <v>0</v>
      </c>
      <c r="AR113" s="71">
        <f ca="1">-IF(C113=1,(I113*'Invoer gegevens'!$I$34)*Reeksen!J45,0)</f>
        <v>0</v>
      </c>
      <c r="AS113" s="71">
        <f ca="1">-IF(C113=1,(F113+K113+L113+Q113)/2*'Invoer gegevens'!$I$35*Reeksen!L45,0)</f>
        <v>0</v>
      </c>
      <c r="AT113" s="71">
        <f ca="1">-IF(C113=1,IF(E113='Invoer gegevens'!$C$17,'Invoer gegevens'!$C$11,AD113)*Reeksen!S45*'Invoer gegevens'!$C$18*Reeksen!P45,0)</f>
        <v>0</v>
      </c>
      <c r="AU113" s="71">
        <f ca="1">-IF(C113=1,(F113+K113+L113+Q113)/2*'Invoer gegevens'!$I$36*Reeksen!H45,0)</f>
        <v>0</v>
      </c>
      <c r="AV113" s="71">
        <f t="shared" ca="1" si="13"/>
        <v>0</v>
      </c>
      <c r="AW113" s="72">
        <f ca="1">IFERROR(IF(E113='Invoer gegevens'!$C$17+'Invoer gegevens'!$I$14-1,'Invoer gegevens'!$I$13*K113*Reeksen!H45,0),0)</f>
        <v>0</v>
      </c>
      <c r="AX113" s="72">
        <f ca="1">IFERROR(IF(E113='Invoer gegevens'!$C$17,-'Invoer gegevens'!$C$10*('Invoer gegevens'!$C$30+'Invoer gegevens'!$C$31)*Reeksen!H45,0),0)</f>
        <v>0</v>
      </c>
      <c r="AY113" s="73">
        <f ca="1">IF('Invoer gegevens'!$C$34=E113,'Invoer gegevens'!$C$27*'Invoer gegevens'!$C$10*'Invoer gegevens'!$C$36*(IF('Invoer gegevens'!$C$35="ja",1,Reeksen!J45)),IF('Invoer gegevens'!$C$34+1=E113,'Invoer gegevens'!$C$27*'Invoer gegevens'!$C$10*'Invoer gegevens'!$C$37*(IF('Invoer gegevens'!$C$35="ja",1,Reeksen!J45)),0))+IF(AND(E113='Invoer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3" s="73">
        <f ca="1">AV113/(1+'Invoer gegevens'!$I$12)^($D113-('Invoer gegevens'!$C$17-'Invoer gegevens'!$C$16))/(1+'Invoer gegevens'!$C$39)^('Invoer gegevens'!$C$17-'Invoer gegevens'!$C$16)</f>
        <v>0</v>
      </c>
      <c r="BA113" s="73">
        <f ca="1">AW113/(1+'Invoer gegevens'!$I$12)^(E113-('Invoer gegevens'!$C$17-1))/(1+'Invoer gegevens'!$C$39)^('Invoer gegevens'!$C$17-'Invoer gegevens'!$C$16)</f>
        <v>0</v>
      </c>
      <c r="BB113" s="73">
        <f ca="1">AX113/(1+'Invoer gegevens'!$C$39)^('Invoer gegevens'!$C$17-'Invoer gegevens'!$C$16)</f>
        <v>0</v>
      </c>
      <c r="BC113" s="72">
        <f t="shared" ca="1" si="14"/>
        <v>0</v>
      </c>
      <c r="BD113" s="72">
        <f ca="1">IF(AND(E113='Invoer gegevens'!$C$16,'Invoer gegevens'!$C$34&lt;'Invoer gegevens'!$C$16),AY113,AY113/(1+'Invoer gegevens'!$C$39)^D113)</f>
        <v>0</v>
      </c>
      <c r="BE113" s="72">
        <f ca="1">IF(E113='Invoer gegevens'!$C$34,-'Invoer gegevens'!$I$38,0)</f>
        <v>0</v>
      </c>
      <c r="BF113" s="72">
        <f ca="1">IF(E113='Invoer gegevens'!$C$17,-'Invoer gegevens'!$C$19*$BC$134,0)</f>
        <v>0</v>
      </c>
      <c r="BG113" s="72">
        <f ca="1">AV113/(1+$BG$72)^($D113-('Invoer gegevens'!$C$17-'Invoer gegevens'!$C$16))/(1+'Invoer gegevens'!$C$39)^('Invoer gegevens'!$C$17-'Invoer gegevens'!$C$16)+AW113/(1+$BG$72)^(E113-('Invoer gegevens'!$C$17-1))/(1+'Invoer gegevens'!$C$39)^('Invoer gegevens'!$C$17-'Invoer gegevens'!$C$16)+AX113/(1+'Invoer gegevens'!$C$39)^('Invoer gegevens'!$C$17-'Invoer gegevens'!$C$16)+(-AY113/(1+'Invoer gegevens'!$C$39)^D113)+BE113+BF113</f>
        <v>0</v>
      </c>
    </row>
    <row r="114" spans="2:59" x14ac:dyDescent="0.25">
      <c r="B114" s="70">
        <f t="shared" si="15"/>
        <v>42</v>
      </c>
      <c r="C114" s="67">
        <f ca="1">IF(AND(E114&gt;='Invoer gegevens'!$C$17,E114&lt;'Invoer gegevens'!$C$17+'Invoer gegevens'!$I$14),1,0)</f>
        <v>1</v>
      </c>
      <c r="D114" s="68">
        <f t="shared" si="16"/>
        <v>41.5</v>
      </c>
      <c r="E114" s="108">
        <f ca="1">IF('Invoer gegevens'!$C$16="","",E113+1)</f>
        <v>2060</v>
      </c>
      <c r="F114" s="84">
        <f ca="1">IF('Invoer gegevens'!$C$17=E114,'Invoer gegevens'!$C$10,IF(C114=1,K113,0))</f>
        <v>0</v>
      </c>
      <c r="G114" s="96">
        <f ca="1">IF(E114='Invoer gegevens'!$C$17+'Invoer gegevens'!$I$14,K113,IF(C114&gt;=1,F114*VLOOKUP(E114,Reeksen!$A$5:$B$76,2),0))</f>
        <v>0</v>
      </c>
      <c r="H114" s="84">
        <f ca="1">IF(E114='Invoer gegevens'!$C$17+'Invoer gegevens'!$I$14,K113,(1-('Invoer gegevens'!$F$20/12))*F114*MIN(Reeksen!B46,Reeksen!D46))</f>
        <v>0</v>
      </c>
      <c r="I114" s="84">
        <f>IF(Reeksen!D46&lt;Reeksen!B46,(Reeksen!B46-Reeksen!D46)*F114,0)</f>
        <v>0</v>
      </c>
      <c r="J114" s="84">
        <f ca="1">IF(E114='Invoer gegevens'!$C$17+'Invoer gegevens'!$I$14+1,0,('Invoer gegevens'!$F$20/12)*F113*MIN(Reeksen!B45,Reeksen!D45))</f>
        <v>0</v>
      </c>
      <c r="K114" s="97">
        <f ca="1">IF(E114&gt;='Invoer gegevens'!$C$17+'Invoer gegevens'!$I$14,0,F114-G114)</f>
        <v>0</v>
      </c>
      <c r="L114" s="84">
        <f ca="1">IF('Invoer gegevens'!$C$17=E114,0,IF(C114=1,Q113,0))</f>
        <v>0</v>
      </c>
      <c r="M114" s="96">
        <f ca="1">IF(E114='Invoer gegevens'!$C$17+'Invoer gegevens'!$I$14,Q113,IF(C114&gt;=1,L114*VLOOKUP(E114,Reeksen!$A$5:$B$76,2),0))</f>
        <v>0</v>
      </c>
      <c r="N114" s="84">
        <f ca="1">IF(C114='Invoer gegevens'!$C$17+'Invoer gegevens'!$I$14,Q113,(1-('Invoer gegevens'!$F$20/12))*L114*MIN(Reeksen!B46,Reeksen!D46))</f>
        <v>0</v>
      </c>
      <c r="O114" s="84">
        <f>IF(Reeksen!D46&lt;Reeksen!B46,(Reeksen!B46-Reeksen!D46)*L114,0)</f>
        <v>0</v>
      </c>
      <c r="P114" s="84">
        <f ca="1">IF(E114='Invoer gegevens'!$C$17+'Invoer gegevens'!$I$14+1,0,('Invoer gegevens'!$F$20/12)*L113*MIN(Reeksen!B45,Reeksen!D45))</f>
        <v>0</v>
      </c>
      <c r="Q114" s="84">
        <f ca="1">IF(E114&gt;='Invoer gegevens'!$C$17+'Invoer gegevens'!$I$14,0,L114-M114+I114+O114)</f>
        <v>0</v>
      </c>
      <c r="R114" s="82">
        <f ca="1">IF('Invoer gegevens'!$C$17=E114,'Invoer gegevens'!$C$11,IF(C114=1,W113,0))</f>
        <v>0</v>
      </c>
      <c r="S114" s="86">
        <f ca="1">IF(E114='Invoer gegevens'!$C$17+'Invoer gegevens'!$I$14,W113,IF(C114&gt;=1,R114*VLOOKUP(E114,Reeksen!$A$5:$B$76,2),0))</f>
        <v>0</v>
      </c>
      <c r="T114" s="84">
        <f ca="1">IF(E114='Invoer gegevens'!$C$17+'Invoer gegevens'!$I$14,W113,(1-('Invoer gegevens'!$F$20/12))*R114*MIN(Reeksen!B46,Reeksen!D46))</f>
        <v>0</v>
      </c>
      <c r="U114" s="84">
        <f>IF(Reeksen!D46&gt;=Reeksen!B46,0,IF(Reeksen!AK46&lt;=Reeksen!AE46,(Reeksen!B46-Reeksen!D46)*R114,0))</f>
        <v>0</v>
      </c>
      <c r="V114" s="86">
        <f>IF(Reeksen!D46&gt;=Reeksen!B46,0,IF(Reeksen!AK46&gt;Reeksen!AE46,(Reeksen!B46-Reeksen!D46)*R114,0))</f>
        <v>0</v>
      </c>
      <c r="W114" s="97">
        <f ca="1">IF(E114&gt;='Invoer gegevens'!$C$17+'Invoer gegevens'!$I$14,0,R114-S114)</f>
        <v>0</v>
      </c>
      <c r="X114" s="98">
        <f ca="1">IF('Invoer gegevens'!$C$17=E114,'Invoer gegevens'!$C$10-'Invoer gegevens'!$C$11,IF(C114=1,AC113,0))</f>
        <v>0</v>
      </c>
      <c r="Y114" s="98">
        <f ca="1">IF(E114='Invoer gegevens'!$C$17+'Invoer gegevens'!$I$14,AC113,IF(C114&gt;=1,X114*VLOOKUP(E114,Reeksen!$A$5:$B$76,2),0))</f>
        <v>0</v>
      </c>
      <c r="Z114" s="98">
        <f ca="1">IF(E114='Invoer gegevens'!$C$17+'Invoer gegevens'!$I$14,AC113,(1-('Invoer gegevens'!$F$20/12))*X114*MIN(Reeksen!B46,Reeksen!D46))</f>
        <v>0</v>
      </c>
      <c r="AA114" s="98">
        <f>IF(Reeksen!D46&gt;=Reeksen!B46,0,IF(Reeksen!AK46&lt;=Reeksen!AE46,(Reeksen!B46-Reeksen!D46)*X114,0))</f>
        <v>0</v>
      </c>
      <c r="AB114" s="98">
        <f>IF(Reeksen!D46&gt;=Reeksen!B46,0,IF(Reeksen!AK46&gt;Reeksen!AE46,(Reeksen!B46-Reeksen!D46)*X114,0))</f>
        <v>0</v>
      </c>
      <c r="AC114" s="99">
        <f ca="1">IF(E114&gt;='Invoer gegevens'!$C$17+'Invoer gegevens'!$I$14,0,X114-Y114)</f>
        <v>0</v>
      </c>
      <c r="AD114" s="98">
        <f ca="1">IF('Invoer gegevens'!$C$17=E46,R114,IF(C46=0,0,AE113))</f>
        <v>0</v>
      </c>
      <c r="AE114" s="98">
        <f t="shared" ca="1" si="9"/>
        <v>0</v>
      </c>
      <c r="AF114" s="98">
        <f ca="1">IF('Invoer gegevens'!$C$17=E46,X114,IF(C46=0,0,AG113))</f>
        <v>0</v>
      </c>
      <c r="AG114" s="98">
        <f t="shared" ca="1" si="10"/>
        <v>0</v>
      </c>
      <c r="AH114" s="66"/>
      <c r="AI114" s="71">
        <f ca="1">IF(C114=1,((Reeksen!BF46*(F114-G114+F114)/2)+((L114-M114+L114)/2*Reeksen!BG46))*12,0)</f>
        <v>0</v>
      </c>
      <c r="AJ114" s="71">
        <f ca="1">-AI114*'Invoer gegevens'!$I$26</f>
        <v>0</v>
      </c>
      <c r="AK114" s="71">
        <f t="shared" ca="1" si="11"/>
        <v>0</v>
      </c>
      <c r="AL114" s="71">
        <f ca="1">IF(C114=1,Reeksen!AL46*((F114-G114+F114)/2)*12+Reeksen!AM46*((L114-M114+L114)/2)*12,0)</f>
        <v>0</v>
      </c>
      <c r="AM114" s="71">
        <f ca="1">-AL114*'Invoer gegevens'!$F$31</f>
        <v>0</v>
      </c>
      <c r="AN114" s="71">
        <f t="shared" ca="1" si="12"/>
        <v>0</v>
      </c>
      <c r="AO114" s="71">
        <f ca="1">IF(E114&gt;='Invoer gegevens'!$C$17+'Invoer gegevens'!$I$14,0,IF(C114=1,(H114+J114+N114+P114)*Reeksen!AN46,0))</f>
        <v>0</v>
      </c>
      <c r="AP114" s="71">
        <f ca="1">-IF(C114=1,(H114+J114+N114+P114)*Reeksen!AN45*'Hulp - basis'!$B$550,0)</f>
        <v>0</v>
      </c>
      <c r="AQ114" s="71">
        <f ca="1">-IF(C114=1,(F114+K114+L114+Q114)/2*'Invoer gegevens'!$I$33*Reeksen!J46,0)</f>
        <v>0</v>
      </c>
      <c r="AR114" s="71">
        <f ca="1">-IF(C114=1,(I114*'Invoer gegevens'!$I$34)*Reeksen!J46,0)</f>
        <v>0</v>
      </c>
      <c r="AS114" s="71">
        <f ca="1">-IF(C114=1,(F114+K114+L114+Q114)/2*'Invoer gegevens'!$I$35*Reeksen!L46,0)</f>
        <v>0</v>
      </c>
      <c r="AT114" s="71">
        <f ca="1">-IF(C114=1,IF(E114='Invoer gegevens'!$C$17,'Invoer gegevens'!$C$11,AD114)*Reeksen!S46*'Invoer gegevens'!$C$18*Reeksen!P46,0)</f>
        <v>0</v>
      </c>
      <c r="AU114" s="71">
        <f ca="1">-IF(C114=1,(F114+K114+L114+Q114)/2*'Invoer gegevens'!$I$36*Reeksen!H46,0)</f>
        <v>0</v>
      </c>
      <c r="AV114" s="71">
        <f t="shared" ca="1" si="13"/>
        <v>0</v>
      </c>
      <c r="AW114" s="72">
        <f ca="1">IFERROR(IF(E114='Invoer gegevens'!$C$17+'Invoer gegevens'!$I$14-1,'Invoer gegevens'!$I$13*K114*Reeksen!H46,0),0)</f>
        <v>0</v>
      </c>
      <c r="AX114" s="72">
        <f ca="1">IFERROR(IF(E114='Invoer gegevens'!$C$17,-'Invoer gegevens'!$C$10*('Invoer gegevens'!$C$30+'Invoer gegevens'!$C$31)*Reeksen!H46,0),0)</f>
        <v>0</v>
      </c>
      <c r="AY114" s="73">
        <f ca="1">IF('Invoer gegevens'!$C$34=E114,'Invoer gegevens'!$C$27*'Invoer gegevens'!$C$10*'Invoer gegevens'!$C$36*(IF('Invoer gegevens'!$C$35="ja",1,Reeksen!J46)),IF('Invoer gegevens'!$C$34+1=E114,'Invoer gegevens'!$C$27*'Invoer gegevens'!$C$10*'Invoer gegevens'!$C$37*(IF('Invoer gegevens'!$C$35="ja",1,Reeksen!J46)),0))+IF(AND(E114='Invoer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4" s="73">
        <f ca="1">AV114/(1+'Invoer gegevens'!$I$12)^($D114-('Invoer gegevens'!$C$17-'Invoer gegevens'!$C$16))/(1+'Invoer gegevens'!$C$39)^('Invoer gegevens'!$C$17-'Invoer gegevens'!$C$16)</f>
        <v>0</v>
      </c>
      <c r="BA114" s="73">
        <f ca="1">AW114/(1+'Invoer gegevens'!$I$12)^(E114-('Invoer gegevens'!$C$17-1))/(1+'Invoer gegevens'!$C$39)^('Invoer gegevens'!$C$17-'Invoer gegevens'!$C$16)</f>
        <v>0</v>
      </c>
      <c r="BB114" s="73">
        <f ca="1">AX114/(1+'Invoer gegevens'!$C$39)^('Invoer gegevens'!$C$17-'Invoer gegevens'!$C$16)</f>
        <v>0</v>
      </c>
      <c r="BC114" s="72">
        <f t="shared" ca="1" si="14"/>
        <v>0</v>
      </c>
      <c r="BD114" s="72">
        <f ca="1">IF(AND(E114='Invoer gegevens'!$C$16,'Invoer gegevens'!$C$34&lt;'Invoer gegevens'!$C$16),AY114,AY114/(1+'Invoer gegevens'!$C$39)^D114)</f>
        <v>0</v>
      </c>
      <c r="BE114" s="72">
        <f ca="1">IF(E114='Invoer gegevens'!$C$34,-'Invoer gegevens'!$I$38,0)</f>
        <v>0</v>
      </c>
      <c r="BF114" s="72">
        <f ca="1">IF(E114='Invoer gegevens'!$C$17,-'Invoer gegevens'!$C$19*$BC$134,0)</f>
        <v>0</v>
      </c>
      <c r="BG114" s="72">
        <f ca="1">AV114/(1+$BG$72)^($D114-('Invoer gegevens'!$C$17-'Invoer gegevens'!$C$16))/(1+'Invoer gegevens'!$C$39)^('Invoer gegevens'!$C$17-'Invoer gegevens'!$C$16)+AW114/(1+$BG$72)^(E114-('Invoer gegevens'!$C$17-1))/(1+'Invoer gegevens'!$C$39)^('Invoer gegevens'!$C$17-'Invoer gegevens'!$C$16)+AX114/(1+'Invoer gegevens'!$C$39)^('Invoer gegevens'!$C$17-'Invoer gegevens'!$C$16)+(-AY114/(1+'Invoer gegevens'!$C$39)^D114)+BE114+BF114</f>
        <v>0</v>
      </c>
    </row>
    <row r="115" spans="2:59" x14ac:dyDescent="0.25">
      <c r="B115" s="70">
        <f t="shared" si="15"/>
        <v>43</v>
      </c>
      <c r="C115" s="67">
        <f ca="1">IF(AND(E115&gt;='Invoer gegevens'!$C$17,E115&lt;'Invoer gegevens'!$C$17+'Invoer gegevens'!$I$14),1,0)</f>
        <v>1</v>
      </c>
      <c r="D115" s="68">
        <f t="shared" si="16"/>
        <v>42.5</v>
      </c>
      <c r="E115" s="108">
        <f ca="1">IF('Invoer gegevens'!$C$16="","",E114+1)</f>
        <v>2061</v>
      </c>
      <c r="F115" s="84">
        <f ca="1">IF('Invoer gegevens'!$C$17=E115,'Invoer gegevens'!$C$10,IF(C115=1,K114,0))</f>
        <v>0</v>
      </c>
      <c r="G115" s="96">
        <f ca="1">IF(E115='Invoer gegevens'!$C$17+'Invoer gegevens'!$I$14,K114,IF(C115&gt;=1,F115*VLOOKUP(E115,Reeksen!$A$5:$B$76,2),0))</f>
        <v>0</v>
      </c>
      <c r="H115" s="84">
        <f ca="1">IF(E115='Invoer gegevens'!$C$17+'Invoer gegevens'!$I$14,K114,(1-('Invoer gegevens'!$F$20/12))*F115*MIN(Reeksen!B47,Reeksen!D47))</f>
        <v>0</v>
      </c>
      <c r="I115" s="84">
        <f>IF(Reeksen!D47&lt;Reeksen!B47,(Reeksen!B47-Reeksen!D47)*F115,0)</f>
        <v>0</v>
      </c>
      <c r="J115" s="84">
        <f ca="1">IF(E115='Invoer gegevens'!$C$17+'Invoer gegevens'!$I$14+1,0,('Invoer gegevens'!$F$20/12)*F114*MIN(Reeksen!B46,Reeksen!D46))</f>
        <v>0</v>
      </c>
      <c r="K115" s="97">
        <f ca="1">IF(E115&gt;='Invoer gegevens'!$C$17+'Invoer gegevens'!$I$14,0,F115-G115)</f>
        <v>0</v>
      </c>
      <c r="L115" s="84">
        <f ca="1">IF('Invoer gegevens'!$C$17=E115,0,IF(C115=1,Q114,0))</f>
        <v>0</v>
      </c>
      <c r="M115" s="96">
        <f ca="1">IF(E115='Invoer gegevens'!$C$17+'Invoer gegevens'!$I$14,Q114,IF(C115&gt;=1,L115*VLOOKUP(E115,Reeksen!$A$5:$B$76,2),0))</f>
        <v>0</v>
      </c>
      <c r="N115" s="84">
        <f ca="1">IF(C115='Invoer gegevens'!$C$17+'Invoer gegevens'!$I$14,Q114,(1-('Invoer gegevens'!$F$20/12))*L115*MIN(Reeksen!B47,Reeksen!D47))</f>
        <v>0</v>
      </c>
      <c r="O115" s="84">
        <f>IF(Reeksen!D47&lt;Reeksen!B47,(Reeksen!B47-Reeksen!D47)*L115,0)</f>
        <v>0</v>
      </c>
      <c r="P115" s="84">
        <f ca="1">IF(E115='Invoer gegevens'!$C$17+'Invoer gegevens'!$I$14+1,0,('Invoer gegevens'!$F$20/12)*L114*MIN(Reeksen!B46,Reeksen!D46))</f>
        <v>0</v>
      </c>
      <c r="Q115" s="84">
        <f ca="1">IF(E115&gt;='Invoer gegevens'!$C$17+'Invoer gegevens'!$I$14,0,L115-M115+I115+O115)</f>
        <v>0</v>
      </c>
      <c r="R115" s="82">
        <f ca="1">IF('Invoer gegevens'!$C$17=E115,'Invoer gegevens'!$C$11,IF(C115=1,W114,0))</f>
        <v>0</v>
      </c>
      <c r="S115" s="86">
        <f ca="1">IF(E115='Invoer gegevens'!$C$17+'Invoer gegevens'!$I$14,W114,IF(C115&gt;=1,R115*VLOOKUP(E115,Reeksen!$A$5:$B$76,2),0))</f>
        <v>0</v>
      </c>
      <c r="T115" s="84">
        <f ca="1">IF(E115='Invoer gegevens'!$C$17+'Invoer gegevens'!$I$14,W114,(1-('Invoer gegevens'!$F$20/12))*R115*MIN(Reeksen!B47,Reeksen!D47))</f>
        <v>0</v>
      </c>
      <c r="U115" s="84">
        <f>IF(Reeksen!D47&gt;=Reeksen!B47,0,IF(Reeksen!AK47&lt;=Reeksen!AE47,(Reeksen!B47-Reeksen!D47)*R115,0))</f>
        <v>0</v>
      </c>
      <c r="V115" s="86">
        <f>IF(Reeksen!D47&gt;=Reeksen!B47,0,IF(Reeksen!AK47&gt;Reeksen!AE47,(Reeksen!B47-Reeksen!D47)*R115,0))</f>
        <v>0</v>
      </c>
      <c r="W115" s="97">
        <f ca="1">IF(E115&gt;='Invoer gegevens'!$C$17+'Invoer gegevens'!$I$14,0,R115-S115)</f>
        <v>0</v>
      </c>
      <c r="X115" s="98">
        <f ca="1">IF('Invoer gegevens'!$C$17=E115,'Invoer gegevens'!$C$10-'Invoer gegevens'!$C$11,IF(C115=1,AC114,0))</f>
        <v>0</v>
      </c>
      <c r="Y115" s="98">
        <f ca="1">IF(E115='Invoer gegevens'!$C$17+'Invoer gegevens'!$I$14,AC114,IF(C115&gt;=1,X115*VLOOKUP(E115,Reeksen!$A$5:$B$76,2),0))</f>
        <v>0</v>
      </c>
      <c r="Z115" s="98">
        <f ca="1">IF(E115='Invoer gegevens'!$C$17+'Invoer gegevens'!$I$14,AC114,(1-('Invoer gegevens'!$F$20/12))*X115*MIN(Reeksen!B47,Reeksen!D47))</f>
        <v>0</v>
      </c>
      <c r="AA115" s="98">
        <f>IF(Reeksen!D47&gt;=Reeksen!B47,0,IF(Reeksen!AK47&lt;=Reeksen!AE47,(Reeksen!B47-Reeksen!D47)*X115,0))</f>
        <v>0</v>
      </c>
      <c r="AB115" s="98">
        <f>IF(Reeksen!D47&gt;=Reeksen!B47,0,IF(Reeksen!AK47&gt;Reeksen!AE47,(Reeksen!B47-Reeksen!D47)*X115,0))</f>
        <v>0</v>
      </c>
      <c r="AC115" s="99">
        <f ca="1">IF(E115&gt;='Invoer gegevens'!$C$17+'Invoer gegevens'!$I$14,0,X115-Y115)</f>
        <v>0</v>
      </c>
      <c r="AD115" s="98">
        <f ca="1">IF('Invoer gegevens'!$C$17=E47,R115,IF(C47=0,0,AE114))</f>
        <v>0</v>
      </c>
      <c r="AE115" s="98">
        <f t="shared" ca="1" si="9"/>
        <v>0</v>
      </c>
      <c r="AF115" s="98">
        <f ca="1">IF('Invoer gegevens'!$C$17=E47,X115,IF(C47=0,0,AG114))</f>
        <v>0</v>
      </c>
      <c r="AG115" s="98">
        <f t="shared" ca="1" si="10"/>
        <v>0</v>
      </c>
      <c r="AH115" s="66"/>
      <c r="AI115" s="71">
        <f ca="1">IF(C115=1,((Reeksen!BF47*(F115-G115+F115)/2)+((L115-M115+L115)/2*Reeksen!BG47))*12,0)</f>
        <v>0</v>
      </c>
      <c r="AJ115" s="71">
        <f ca="1">-AI115*'Invoer gegevens'!$I$26</f>
        <v>0</v>
      </c>
      <c r="AK115" s="71">
        <f t="shared" ca="1" si="11"/>
        <v>0</v>
      </c>
      <c r="AL115" s="71">
        <f ca="1">IF(C115=1,Reeksen!AL47*((F115-G115+F115)/2)*12+Reeksen!AM47*((L115-M115+L115)/2)*12,0)</f>
        <v>0</v>
      </c>
      <c r="AM115" s="71">
        <f ca="1">-AL115*'Invoer gegevens'!$F$31</f>
        <v>0</v>
      </c>
      <c r="AN115" s="71">
        <f t="shared" ca="1" si="12"/>
        <v>0</v>
      </c>
      <c r="AO115" s="71">
        <f ca="1">IF(E115&gt;='Invoer gegevens'!$C$17+'Invoer gegevens'!$I$14,0,IF(C115=1,(H115+J115+N115+P115)*Reeksen!AN47,0))</f>
        <v>0</v>
      </c>
      <c r="AP115" s="71">
        <f ca="1">-IF(C115=1,(H115+J115+N115+P115)*Reeksen!AN46*'Hulp - basis'!$B$550,0)</f>
        <v>0</v>
      </c>
      <c r="AQ115" s="71">
        <f ca="1">-IF(C115=1,(F115+K115+L115+Q115)/2*'Invoer gegevens'!$I$33*Reeksen!J47,0)</f>
        <v>0</v>
      </c>
      <c r="AR115" s="71">
        <f ca="1">-IF(C115=1,(I115*'Invoer gegevens'!$I$34)*Reeksen!J47,0)</f>
        <v>0</v>
      </c>
      <c r="AS115" s="71">
        <f ca="1">-IF(C115=1,(F115+K115+L115+Q115)/2*'Invoer gegevens'!$I$35*Reeksen!L47,0)</f>
        <v>0</v>
      </c>
      <c r="AT115" s="71">
        <f ca="1">-IF(C115=1,IF(E115='Invoer gegevens'!$C$17,'Invoer gegevens'!$C$11,AD115)*Reeksen!S47*'Invoer gegevens'!$C$18*Reeksen!P47,0)</f>
        <v>0</v>
      </c>
      <c r="AU115" s="71">
        <f ca="1">-IF(C115=1,(F115+K115+L115+Q115)/2*'Invoer gegevens'!$I$36*Reeksen!H47,0)</f>
        <v>0</v>
      </c>
      <c r="AV115" s="71">
        <f t="shared" ca="1" si="13"/>
        <v>0</v>
      </c>
      <c r="AW115" s="72">
        <f ca="1">IFERROR(IF(E115='Invoer gegevens'!$C$17+'Invoer gegevens'!$I$14-1,'Invoer gegevens'!$I$13*K115*Reeksen!H47,0),0)</f>
        <v>0</v>
      </c>
      <c r="AX115" s="72">
        <f ca="1">IFERROR(IF(E115='Invoer gegevens'!$C$17,-'Invoer gegevens'!$C$10*('Invoer gegevens'!$C$30+'Invoer gegevens'!$C$31)*Reeksen!H47,0),0)</f>
        <v>0</v>
      </c>
      <c r="AY115" s="73">
        <f ca="1">IF('Invoer gegevens'!$C$34=E115,'Invoer gegevens'!$C$27*'Invoer gegevens'!$C$10*'Invoer gegevens'!$C$36*(IF('Invoer gegevens'!$C$35="ja",1,Reeksen!J47)),IF('Invoer gegevens'!$C$34+1=E115,'Invoer gegevens'!$C$27*'Invoer gegevens'!$C$10*'Invoer gegevens'!$C$37*(IF('Invoer gegevens'!$C$35="ja",1,Reeksen!J47)),0))+IF(AND(E115='Invoer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5" s="73">
        <f ca="1">AV115/(1+'Invoer gegevens'!$I$12)^($D115-('Invoer gegevens'!$C$17-'Invoer gegevens'!$C$16))/(1+'Invoer gegevens'!$C$39)^('Invoer gegevens'!$C$17-'Invoer gegevens'!$C$16)</f>
        <v>0</v>
      </c>
      <c r="BA115" s="73">
        <f ca="1">AW115/(1+'Invoer gegevens'!$I$12)^(E115-('Invoer gegevens'!$C$17-1))/(1+'Invoer gegevens'!$C$39)^('Invoer gegevens'!$C$17-'Invoer gegevens'!$C$16)</f>
        <v>0</v>
      </c>
      <c r="BB115" s="73">
        <f ca="1">AX115/(1+'Invoer gegevens'!$C$39)^('Invoer gegevens'!$C$17-'Invoer gegevens'!$C$16)</f>
        <v>0</v>
      </c>
      <c r="BC115" s="72">
        <f t="shared" ca="1" si="14"/>
        <v>0</v>
      </c>
      <c r="BD115" s="72">
        <f ca="1">IF(AND(E115='Invoer gegevens'!$C$16,'Invoer gegevens'!$C$34&lt;'Invoer gegevens'!$C$16),AY115,AY115/(1+'Invoer gegevens'!$C$39)^D115)</f>
        <v>0</v>
      </c>
      <c r="BE115" s="72">
        <f ca="1">IF(E115='Invoer gegevens'!$C$34,-'Invoer gegevens'!$I$38,0)</f>
        <v>0</v>
      </c>
      <c r="BF115" s="72">
        <f ca="1">IF(E115='Invoer gegevens'!$C$17,-'Invoer gegevens'!$C$19*$BC$134,0)</f>
        <v>0</v>
      </c>
      <c r="BG115" s="72">
        <f ca="1">AV115/(1+$BG$72)^($D115-('Invoer gegevens'!$C$17-'Invoer gegevens'!$C$16))/(1+'Invoer gegevens'!$C$39)^('Invoer gegevens'!$C$17-'Invoer gegevens'!$C$16)+AW115/(1+$BG$72)^(E115-('Invoer gegevens'!$C$17-1))/(1+'Invoer gegevens'!$C$39)^('Invoer gegevens'!$C$17-'Invoer gegevens'!$C$16)+AX115/(1+'Invoer gegevens'!$C$39)^('Invoer gegevens'!$C$17-'Invoer gegevens'!$C$16)+(-AY115/(1+'Invoer gegevens'!$C$39)^D115)+BE115+BF115</f>
        <v>0</v>
      </c>
    </row>
    <row r="116" spans="2:59" x14ac:dyDescent="0.25">
      <c r="B116" s="70">
        <f t="shared" si="15"/>
        <v>44</v>
      </c>
      <c r="C116" s="67">
        <f ca="1">IF(AND(E116&gt;='Invoer gegevens'!$C$17,E116&lt;'Invoer gegevens'!$C$17+'Invoer gegevens'!$I$14),1,0)</f>
        <v>1</v>
      </c>
      <c r="D116" s="68">
        <f t="shared" si="16"/>
        <v>43.5</v>
      </c>
      <c r="E116" s="108">
        <f ca="1">IF('Invoer gegevens'!$C$16="","",E115+1)</f>
        <v>2062</v>
      </c>
      <c r="F116" s="84">
        <f ca="1">IF('Invoer gegevens'!$C$17=E116,'Invoer gegevens'!$C$10,IF(C116=1,K115,0))</f>
        <v>0</v>
      </c>
      <c r="G116" s="96">
        <f ca="1">IF(E116='Invoer gegevens'!$C$17+'Invoer gegevens'!$I$14,K115,IF(C116&gt;=1,F116*VLOOKUP(E116,Reeksen!$A$5:$B$76,2),0))</f>
        <v>0</v>
      </c>
      <c r="H116" s="84">
        <f ca="1">IF(E116='Invoer gegevens'!$C$17+'Invoer gegevens'!$I$14,K115,(1-('Invoer gegevens'!$F$20/12))*F116*MIN(Reeksen!B48,Reeksen!D48))</f>
        <v>0</v>
      </c>
      <c r="I116" s="84">
        <f>IF(Reeksen!D48&lt;Reeksen!B48,(Reeksen!B48-Reeksen!D48)*F116,0)</f>
        <v>0</v>
      </c>
      <c r="J116" s="84">
        <f ca="1">IF(E116='Invoer gegevens'!$C$17+'Invoer gegevens'!$I$14+1,0,('Invoer gegevens'!$F$20/12)*F115*MIN(Reeksen!B47,Reeksen!D47))</f>
        <v>0</v>
      </c>
      <c r="K116" s="97">
        <f ca="1">IF(E116&gt;='Invoer gegevens'!$C$17+'Invoer gegevens'!$I$14,0,F116-G116)</f>
        <v>0</v>
      </c>
      <c r="L116" s="84">
        <f ca="1">IF('Invoer gegevens'!$C$17=E116,0,IF(C116=1,Q115,0))</f>
        <v>0</v>
      </c>
      <c r="M116" s="96">
        <f ca="1">IF(E116='Invoer gegevens'!$C$17+'Invoer gegevens'!$I$14,Q115,IF(C116&gt;=1,L116*VLOOKUP(E116,Reeksen!$A$5:$B$76,2),0))</f>
        <v>0</v>
      </c>
      <c r="N116" s="84">
        <f ca="1">IF(C116='Invoer gegevens'!$C$17+'Invoer gegevens'!$I$14,Q115,(1-('Invoer gegevens'!$F$20/12))*L116*MIN(Reeksen!B48,Reeksen!D48))</f>
        <v>0</v>
      </c>
      <c r="O116" s="84">
        <f>IF(Reeksen!D48&lt;Reeksen!B48,(Reeksen!B48-Reeksen!D48)*L116,0)</f>
        <v>0</v>
      </c>
      <c r="P116" s="84">
        <f ca="1">IF(E116='Invoer gegevens'!$C$17+'Invoer gegevens'!$I$14+1,0,('Invoer gegevens'!$F$20/12)*L115*MIN(Reeksen!B47,Reeksen!D47))</f>
        <v>0</v>
      </c>
      <c r="Q116" s="84">
        <f ca="1">IF(E116&gt;='Invoer gegevens'!$C$17+'Invoer gegevens'!$I$14,0,L116-M116+I116+O116)</f>
        <v>0</v>
      </c>
      <c r="R116" s="82">
        <f ca="1">IF('Invoer gegevens'!$C$17=E116,'Invoer gegevens'!$C$11,IF(C116=1,W115,0))</f>
        <v>0</v>
      </c>
      <c r="S116" s="86">
        <f ca="1">IF(E116='Invoer gegevens'!$C$17+'Invoer gegevens'!$I$14,W115,IF(C116&gt;=1,R116*VLOOKUP(E116,Reeksen!$A$5:$B$76,2),0))</f>
        <v>0</v>
      </c>
      <c r="T116" s="84">
        <f ca="1">IF(E116='Invoer gegevens'!$C$17+'Invoer gegevens'!$I$14,W115,(1-('Invoer gegevens'!$F$20/12))*R116*MIN(Reeksen!B48,Reeksen!D48))</f>
        <v>0</v>
      </c>
      <c r="U116" s="84">
        <f>IF(Reeksen!D48&gt;=Reeksen!B48,0,IF(Reeksen!AK48&lt;=Reeksen!AE48,(Reeksen!B48-Reeksen!D48)*R116,0))</f>
        <v>0</v>
      </c>
      <c r="V116" s="86">
        <f>IF(Reeksen!D48&gt;=Reeksen!B48,0,IF(Reeksen!AK48&gt;Reeksen!AE48,(Reeksen!B48-Reeksen!D48)*R116,0))</f>
        <v>0</v>
      </c>
      <c r="W116" s="97">
        <f ca="1">IF(E116&gt;='Invoer gegevens'!$C$17+'Invoer gegevens'!$I$14,0,R116-S116)</f>
        <v>0</v>
      </c>
      <c r="X116" s="98">
        <f ca="1">IF('Invoer gegevens'!$C$17=E116,'Invoer gegevens'!$C$10-'Invoer gegevens'!$C$11,IF(C116=1,AC115,0))</f>
        <v>0</v>
      </c>
      <c r="Y116" s="98">
        <f ca="1">IF(E116='Invoer gegevens'!$C$17+'Invoer gegevens'!$I$14,AC115,IF(C116&gt;=1,X116*VLOOKUP(E116,Reeksen!$A$5:$B$76,2),0))</f>
        <v>0</v>
      </c>
      <c r="Z116" s="98">
        <f ca="1">IF(E116='Invoer gegevens'!$C$17+'Invoer gegevens'!$I$14,AC115,(1-('Invoer gegevens'!$F$20/12))*X116*MIN(Reeksen!B48,Reeksen!D48))</f>
        <v>0</v>
      </c>
      <c r="AA116" s="98">
        <f>IF(Reeksen!D48&gt;=Reeksen!B48,0,IF(Reeksen!AK48&lt;=Reeksen!AE48,(Reeksen!B48-Reeksen!D48)*X116,0))</f>
        <v>0</v>
      </c>
      <c r="AB116" s="98">
        <f>IF(Reeksen!D48&gt;=Reeksen!B48,0,IF(Reeksen!AK48&gt;Reeksen!AE48,(Reeksen!B48-Reeksen!D48)*X116,0))</f>
        <v>0</v>
      </c>
      <c r="AC116" s="99">
        <f ca="1">IF(E116&gt;='Invoer gegevens'!$C$17+'Invoer gegevens'!$I$14,0,X116-Y116)</f>
        <v>0</v>
      </c>
      <c r="AD116" s="98">
        <f ca="1">IF('Invoer gegevens'!$C$17=E48,R116,IF(C48=0,0,AE115))</f>
        <v>0</v>
      </c>
      <c r="AE116" s="98">
        <f t="shared" ca="1" si="9"/>
        <v>0</v>
      </c>
      <c r="AF116" s="98">
        <f ca="1">IF('Invoer gegevens'!$C$17=E48,X116,IF(C48=0,0,AG115))</f>
        <v>0</v>
      </c>
      <c r="AG116" s="98">
        <f t="shared" ca="1" si="10"/>
        <v>0</v>
      </c>
      <c r="AH116" s="66"/>
      <c r="AI116" s="71">
        <f ca="1">IF(C116=1,((Reeksen!BF48*(F116-G116+F116)/2)+((L116-M116+L116)/2*Reeksen!BG48))*12,0)</f>
        <v>0</v>
      </c>
      <c r="AJ116" s="71">
        <f ca="1">-AI116*'Invoer gegevens'!$I$26</f>
        <v>0</v>
      </c>
      <c r="AK116" s="71">
        <f t="shared" ca="1" si="11"/>
        <v>0</v>
      </c>
      <c r="AL116" s="71">
        <f ca="1">IF(C116=1,Reeksen!AL48*((F116-G116+F116)/2)*12+Reeksen!AM48*((L116-M116+L116)/2)*12,0)</f>
        <v>0</v>
      </c>
      <c r="AM116" s="71">
        <f ca="1">-AL116*'Invoer gegevens'!$F$31</f>
        <v>0</v>
      </c>
      <c r="AN116" s="71">
        <f t="shared" ca="1" si="12"/>
        <v>0</v>
      </c>
      <c r="AO116" s="71">
        <f ca="1">IF(E116&gt;='Invoer gegevens'!$C$17+'Invoer gegevens'!$I$14,0,IF(C116=1,(H116+J116+N116+P116)*Reeksen!AN48,0))</f>
        <v>0</v>
      </c>
      <c r="AP116" s="71">
        <f ca="1">-IF(C116=1,(H116+J116+N116+P116)*Reeksen!AN47*'Hulp - basis'!$B$550,0)</f>
        <v>0</v>
      </c>
      <c r="AQ116" s="71">
        <f ca="1">-IF(C116=1,(F116+K116+L116+Q116)/2*'Invoer gegevens'!$I$33*Reeksen!J48,0)</f>
        <v>0</v>
      </c>
      <c r="AR116" s="71">
        <f ca="1">-IF(C116=1,(I116*'Invoer gegevens'!$I$34)*Reeksen!J48,0)</f>
        <v>0</v>
      </c>
      <c r="AS116" s="71">
        <f ca="1">-IF(C116=1,(F116+K116+L116+Q116)/2*'Invoer gegevens'!$I$35*Reeksen!L48,0)</f>
        <v>0</v>
      </c>
      <c r="AT116" s="71">
        <f ca="1">-IF(C116=1,IF(E116='Invoer gegevens'!$C$17,'Invoer gegevens'!$C$11,AD116)*Reeksen!S48*'Invoer gegevens'!$C$18*Reeksen!P48,0)</f>
        <v>0</v>
      </c>
      <c r="AU116" s="71">
        <f ca="1">-IF(C116=1,(F116+K116+L116+Q116)/2*'Invoer gegevens'!$I$36*Reeksen!H48,0)</f>
        <v>0</v>
      </c>
      <c r="AV116" s="71">
        <f t="shared" ca="1" si="13"/>
        <v>0</v>
      </c>
      <c r="AW116" s="72">
        <f ca="1">IFERROR(IF(E116='Invoer gegevens'!$C$17+'Invoer gegevens'!$I$14-1,'Invoer gegevens'!$I$13*K116*Reeksen!H48,0),0)</f>
        <v>0</v>
      </c>
      <c r="AX116" s="72">
        <f ca="1">IFERROR(IF(E116='Invoer gegevens'!$C$17,-'Invoer gegevens'!$C$10*('Invoer gegevens'!$C$30+'Invoer gegevens'!$C$31)*Reeksen!H48,0),0)</f>
        <v>0</v>
      </c>
      <c r="AY116" s="73">
        <f ca="1">IF('Invoer gegevens'!$C$34=E116,'Invoer gegevens'!$C$27*'Invoer gegevens'!$C$10*'Invoer gegevens'!$C$36*(IF('Invoer gegevens'!$C$35="ja",1,Reeksen!J48)),IF('Invoer gegevens'!$C$34+1=E116,'Invoer gegevens'!$C$27*'Invoer gegevens'!$C$10*'Invoer gegevens'!$C$37*(IF('Invoer gegevens'!$C$35="ja",1,Reeksen!J48)),0))+IF(AND(E116='Invoer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6" s="73">
        <f ca="1">AV116/(1+'Invoer gegevens'!$I$12)^($D116-('Invoer gegevens'!$C$17-'Invoer gegevens'!$C$16))/(1+'Invoer gegevens'!$C$39)^('Invoer gegevens'!$C$17-'Invoer gegevens'!$C$16)</f>
        <v>0</v>
      </c>
      <c r="BA116" s="73">
        <f ca="1">AW116/(1+'Invoer gegevens'!$I$12)^(E116-('Invoer gegevens'!$C$17-1))/(1+'Invoer gegevens'!$C$39)^('Invoer gegevens'!$C$17-'Invoer gegevens'!$C$16)</f>
        <v>0</v>
      </c>
      <c r="BB116" s="73">
        <f ca="1">AX116/(1+'Invoer gegevens'!$C$39)^('Invoer gegevens'!$C$17-'Invoer gegevens'!$C$16)</f>
        <v>0</v>
      </c>
      <c r="BC116" s="72">
        <f t="shared" ca="1" si="14"/>
        <v>0</v>
      </c>
      <c r="BD116" s="72">
        <f ca="1">IF(AND(E116='Invoer gegevens'!$C$16,'Invoer gegevens'!$C$34&lt;'Invoer gegevens'!$C$16),AY116,AY116/(1+'Invoer gegevens'!$C$39)^D116)</f>
        <v>0</v>
      </c>
      <c r="BE116" s="72">
        <f ca="1">IF(E116='Invoer gegevens'!$C$34,-'Invoer gegevens'!$I$38,0)</f>
        <v>0</v>
      </c>
      <c r="BF116" s="72">
        <f ca="1">IF(E116='Invoer gegevens'!$C$17,-'Invoer gegevens'!$C$19*$BC$134,0)</f>
        <v>0</v>
      </c>
      <c r="BG116" s="72">
        <f ca="1">AV116/(1+$BG$72)^($D116-('Invoer gegevens'!$C$17-'Invoer gegevens'!$C$16))/(1+'Invoer gegevens'!$C$39)^('Invoer gegevens'!$C$17-'Invoer gegevens'!$C$16)+AW116/(1+$BG$72)^(E116-('Invoer gegevens'!$C$17-1))/(1+'Invoer gegevens'!$C$39)^('Invoer gegevens'!$C$17-'Invoer gegevens'!$C$16)+AX116/(1+'Invoer gegevens'!$C$39)^('Invoer gegevens'!$C$17-'Invoer gegevens'!$C$16)+(-AY116/(1+'Invoer gegevens'!$C$39)^D116)+BE116+BF116</f>
        <v>0</v>
      </c>
    </row>
    <row r="117" spans="2:59" x14ac:dyDescent="0.25">
      <c r="B117" s="70">
        <f t="shared" si="15"/>
        <v>45</v>
      </c>
      <c r="C117" s="67">
        <f ca="1">IF(AND(E117&gt;='Invoer gegevens'!$C$17,E117&lt;'Invoer gegevens'!$C$17+'Invoer gegevens'!$I$14),1,0)</f>
        <v>1</v>
      </c>
      <c r="D117" s="68">
        <f t="shared" si="16"/>
        <v>44.5</v>
      </c>
      <c r="E117" s="108">
        <f ca="1">IF('Invoer gegevens'!$C$16="","",E116+1)</f>
        <v>2063</v>
      </c>
      <c r="F117" s="84">
        <f ca="1">IF('Invoer gegevens'!$C$17=E117,'Invoer gegevens'!$C$10,IF(C117=1,K116,0))</f>
        <v>0</v>
      </c>
      <c r="G117" s="96">
        <f ca="1">IF(E117='Invoer gegevens'!$C$17+'Invoer gegevens'!$I$14,K116,IF(C117&gt;=1,F117*VLOOKUP(E117,Reeksen!$A$5:$B$76,2),0))</f>
        <v>0</v>
      </c>
      <c r="H117" s="84">
        <f ca="1">IF(E117='Invoer gegevens'!$C$17+'Invoer gegevens'!$I$14,K116,(1-('Invoer gegevens'!$F$20/12))*F117*MIN(Reeksen!B49,Reeksen!D49))</f>
        <v>0</v>
      </c>
      <c r="I117" s="84">
        <f>IF(Reeksen!D49&lt;Reeksen!B49,(Reeksen!B49-Reeksen!D49)*F117,0)</f>
        <v>0</v>
      </c>
      <c r="J117" s="84">
        <f ca="1">IF(E117='Invoer gegevens'!$C$17+'Invoer gegevens'!$I$14+1,0,('Invoer gegevens'!$F$20/12)*F116*MIN(Reeksen!B48,Reeksen!D48))</f>
        <v>0</v>
      </c>
      <c r="K117" s="97">
        <f ca="1">IF(E117&gt;='Invoer gegevens'!$C$17+'Invoer gegevens'!$I$14,0,F117-G117)</f>
        <v>0</v>
      </c>
      <c r="L117" s="84">
        <f ca="1">IF('Invoer gegevens'!$C$17=E117,0,IF(C117=1,Q116,0))</f>
        <v>0</v>
      </c>
      <c r="M117" s="96">
        <f ca="1">IF(E117='Invoer gegevens'!$C$17+'Invoer gegevens'!$I$14,Q116,IF(C117&gt;=1,L117*VLOOKUP(E117,Reeksen!$A$5:$B$76,2),0))</f>
        <v>0</v>
      </c>
      <c r="N117" s="84">
        <f ca="1">IF(C117='Invoer gegevens'!$C$17+'Invoer gegevens'!$I$14,Q116,(1-('Invoer gegevens'!$F$20/12))*L117*MIN(Reeksen!B49,Reeksen!D49))</f>
        <v>0</v>
      </c>
      <c r="O117" s="84">
        <f>IF(Reeksen!D49&lt;Reeksen!B49,(Reeksen!B49-Reeksen!D49)*L117,0)</f>
        <v>0</v>
      </c>
      <c r="P117" s="84">
        <f ca="1">IF(E117='Invoer gegevens'!$C$17+'Invoer gegevens'!$I$14+1,0,('Invoer gegevens'!$F$20/12)*L116*MIN(Reeksen!B48,Reeksen!D48))</f>
        <v>0</v>
      </c>
      <c r="Q117" s="84">
        <f ca="1">IF(E117&gt;='Invoer gegevens'!$C$17+'Invoer gegevens'!$I$14,0,L117-M117+I117+O117)</f>
        <v>0</v>
      </c>
      <c r="R117" s="82">
        <f ca="1">IF('Invoer gegevens'!$C$17=E117,'Invoer gegevens'!$C$11,IF(C117=1,W116,0))</f>
        <v>0</v>
      </c>
      <c r="S117" s="86">
        <f ca="1">IF(E117='Invoer gegevens'!$C$17+'Invoer gegevens'!$I$14,W116,IF(C117&gt;=1,R117*VLOOKUP(E117,Reeksen!$A$5:$B$76,2),0))</f>
        <v>0</v>
      </c>
      <c r="T117" s="84">
        <f ca="1">IF(E117='Invoer gegevens'!$C$17+'Invoer gegevens'!$I$14,W116,(1-('Invoer gegevens'!$F$20/12))*R117*MIN(Reeksen!B49,Reeksen!D49))</f>
        <v>0</v>
      </c>
      <c r="U117" s="84">
        <f>IF(Reeksen!D49&gt;=Reeksen!B49,0,IF(Reeksen!AK49&lt;=Reeksen!AE49,(Reeksen!B49-Reeksen!D49)*R117,0))</f>
        <v>0</v>
      </c>
      <c r="V117" s="86">
        <f>IF(Reeksen!D49&gt;=Reeksen!B49,0,IF(Reeksen!AK49&gt;Reeksen!AE49,(Reeksen!B49-Reeksen!D49)*R117,0))</f>
        <v>0</v>
      </c>
      <c r="W117" s="97">
        <f ca="1">IF(E117&gt;='Invoer gegevens'!$C$17+'Invoer gegevens'!$I$14,0,R117-S117)</f>
        <v>0</v>
      </c>
      <c r="X117" s="98">
        <f ca="1">IF('Invoer gegevens'!$C$17=E117,'Invoer gegevens'!$C$10-'Invoer gegevens'!$C$11,IF(C117=1,AC116,0))</f>
        <v>0</v>
      </c>
      <c r="Y117" s="98">
        <f ca="1">IF(E117='Invoer gegevens'!$C$17+'Invoer gegevens'!$I$14,AC116,IF(C117&gt;=1,X117*VLOOKUP(E117,Reeksen!$A$5:$B$76,2),0))</f>
        <v>0</v>
      </c>
      <c r="Z117" s="98">
        <f ca="1">IF(E117='Invoer gegevens'!$C$17+'Invoer gegevens'!$I$14,AC116,(1-('Invoer gegevens'!$F$20/12))*X117*MIN(Reeksen!B49,Reeksen!D49))</f>
        <v>0</v>
      </c>
      <c r="AA117" s="98">
        <f>IF(Reeksen!D49&gt;=Reeksen!B49,0,IF(Reeksen!AK49&lt;=Reeksen!AE49,(Reeksen!B49-Reeksen!D49)*X117,0))</f>
        <v>0</v>
      </c>
      <c r="AB117" s="98">
        <f>IF(Reeksen!D49&gt;=Reeksen!B49,0,IF(Reeksen!AK49&gt;Reeksen!AE49,(Reeksen!B49-Reeksen!D49)*X117,0))</f>
        <v>0</v>
      </c>
      <c r="AC117" s="99">
        <f ca="1">IF(E117&gt;='Invoer gegevens'!$C$17+'Invoer gegevens'!$I$14,0,X117-Y117)</f>
        <v>0</v>
      </c>
      <c r="AD117" s="98">
        <f ca="1">IF('Invoer gegevens'!$C$17=E49,R117,IF(C49=0,0,AE116))</f>
        <v>0</v>
      </c>
      <c r="AE117" s="98">
        <f t="shared" ca="1" si="9"/>
        <v>0</v>
      </c>
      <c r="AF117" s="98">
        <f ca="1">IF('Invoer gegevens'!$C$17=E49,X117,IF(C49=0,0,AG116))</f>
        <v>0</v>
      </c>
      <c r="AG117" s="98">
        <f t="shared" ca="1" si="10"/>
        <v>0</v>
      </c>
      <c r="AH117" s="66"/>
      <c r="AI117" s="71">
        <f ca="1">IF(C117=1,((Reeksen!BF49*(F117-G117+F117)/2)+((L117-M117+L117)/2*Reeksen!BG49))*12,0)</f>
        <v>0</v>
      </c>
      <c r="AJ117" s="71">
        <f ca="1">-AI117*'Invoer gegevens'!$I$26</f>
        <v>0</v>
      </c>
      <c r="AK117" s="71">
        <f t="shared" ca="1" si="11"/>
        <v>0</v>
      </c>
      <c r="AL117" s="71">
        <f ca="1">IF(C117=1,Reeksen!AL49*((F117-G117+F117)/2)*12+Reeksen!AM49*((L117-M117+L117)/2)*12,0)</f>
        <v>0</v>
      </c>
      <c r="AM117" s="71">
        <f ca="1">-AL117*'Invoer gegevens'!$F$31</f>
        <v>0</v>
      </c>
      <c r="AN117" s="71">
        <f t="shared" ca="1" si="12"/>
        <v>0</v>
      </c>
      <c r="AO117" s="71">
        <f ca="1">IF(E117&gt;='Invoer gegevens'!$C$17+'Invoer gegevens'!$I$14,0,IF(C117=1,(H117+J117+N117+P117)*Reeksen!AN49,0))</f>
        <v>0</v>
      </c>
      <c r="AP117" s="71">
        <f ca="1">-IF(C117=1,(H117+J117+N117+P117)*Reeksen!AN48*'Hulp - basis'!$B$550,0)</f>
        <v>0</v>
      </c>
      <c r="AQ117" s="71">
        <f ca="1">-IF(C117=1,(F117+K117+L117+Q117)/2*'Invoer gegevens'!$I$33*Reeksen!J49,0)</f>
        <v>0</v>
      </c>
      <c r="AR117" s="71">
        <f ca="1">-IF(C117=1,(I117*'Invoer gegevens'!$I$34)*Reeksen!J49,0)</f>
        <v>0</v>
      </c>
      <c r="AS117" s="71">
        <f ca="1">-IF(C117=1,(F117+K117+L117+Q117)/2*'Invoer gegevens'!$I$35*Reeksen!L49,0)</f>
        <v>0</v>
      </c>
      <c r="AT117" s="71">
        <f ca="1">-IF(C117=1,IF(E117='Invoer gegevens'!$C$17,'Invoer gegevens'!$C$11,AD117)*Reeksen!S49*'Invoer gegevens'!$C$18*Reeksen!P49,0)</f>
        <v>0</v>
      </c>
      <c r="AU117" s="71">
        <f ca="1">-IF(C117=1,(F117+K117+L117+Q117)/2*'Invoer gegevens'!$I$36*Reeksen!H49,0)</f>
        <v>0</v>
      </c>
      <c r="AV117" s="71">
        <f t="shared" ca="1" si="13"/>
        <v>0</v>
      </c>
      <c r="AW117" s="72">
        <f ca="1">IFERROR(IF(E117='Invoer gegevens'!$C$17+'Invoer gegevens'!$I$14-1,'Invoer gegevens'!$I$13*K117*Reeksen!H49,0),0)</f>
        <v>0</v>
      </c>
      <c r="AX117" s="72">
        <f ca="1">IFERROR(IF(E117='Invoer gegevens'!$C$17,-'Invoer gegevens'!$C$10*('Invoer gegevens'!$C$30+'Invoer gegevens'!$C$31)*Reeksen!H49,0),0)</f>
        <v>0</v>
      </c>
      <c r="AY117" s="73">
        <f ca="1">IF('Invoer gegevens'!$C$34=E117,'Invoer gegevens'!$C$27*'Invoer gegevens'!$C$10*'Invoer gegevens'!$C$36*(IF('Invoer gegevens'!$C$35="ja",1,Reeksen!J49)),IF('Invoer gegevens'!$C$34+1=E117,'Invoer gegevens'!$C$27*'Invoer gegevens'!$C$10*'Invoer gegevens'!$C$37*(IF('Invoer gegevens'!$C$35="ja",1,Reeksen!J49)),0))+IF(AND(E117='Invoer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7" s="73">
        <f ca="1">AV117/(1+'Invoer gegevens'!$I$12)^($D117-('Invoer gegevens'!$C$17-'Invoer gegevens'!$C$16))/(1+'Invoer gegevens'!$C$39)^('Invoer gegevens'!$C$17-'Invoer gegevens'!$C$16)</f>
        <v>0</v>
      </c>
      <c r="BA117" s="73">
        <f ca="1">AW117/(1+'Invoer gegevens'!$I$12)^(E117-('Invoer gegevens'!$C$17-1))/(1+'Invoer gegevens'!$C$39)^('Invoer gegevens'!$C$17-'Invoer gegevens'!$C$16)</f>
        <v>0</v>
      </c>
      <c r="BB117" s="73">
        <f ca="1">AX117/(1+'Invoer gegevens'!$C$39)^('Invoer gegevens'!$C$17-'Invoer gegevens'!$C$16)</f>
        <v>0</v>
      </c>
      <c r="BC117" s="72">
        <f t="shared" ca="1" si="14"/>
        <v>0</v>
      </c>
      <c r="BD117" s="72">
        <f ca="1">IF(AND(E117='Invoer gegevens'!$C$16,'Invoer gegevens'!$C$34&lt;'Invoer gegevens'!$C$16),AY117,AY117/(1+'Invoer gegevens'!$C$39)^D117)</f>
        <v>0</v>
      </c>
      <c r="BE117" s="72">
        <f ca="1">IF(E117='Invoer gegevens'!$C$34,-'Invoer gegevens'!$I$38,0)</f>
        <v>0</v>
      </c>
      <c r="BF117" s="72">
        <f ca="1">IF(E117='Invoer gegevens'!$C$17,-'Invoer gegevens'!$C$19*$BC$134,0)</f>
        <v>0</v>
      </c>
      <c r="BG117" s="72">
        <f ca="1">AV117/(1+$BG$72)^($D117-('Invoer gegevens'!$C$17-'Invoer gegevens'!$C$16))/(1+'Invoer gegevens'!$C$39)^('Invoer gegevens'!$C$17-'Invoer gegevens'!$C$16)+AW117/(1+$BG$72)^(E117-('Invoer gegevens'!$C$17-1))/(1+'Invoer gegevens'!$C$39)^('Invoer gegevens'!$C$17-'Invoer gegevens'!$C$16)+AX117/(1+'Invoer gegevens'!$C$39)^('Invoer gegevens'!$C$17-'Invoer gegevens'!$C$16)+(-AY117/(1+'Invoer gegevens'!$C$39)^D117)+BE117+BF117</f>
        <v>0</v>
      </c>
    </row>
    <row r="118" spans="2:59" x14ac:dyDescent="0.25">
      <c r="B118" s="70">
        <f t="shared" si="15"/>
        <v>46</v>
      </c>
      <c r="C118" s="67">
        <f ca="1">IF(AND(E118&gt;='Invoer gegevens'!$C$17,E118&lt;'Invoer gegevens'!$C$17+'Invoer gegevens'!$I$14),1,0)</f>
        <v>1</v>
      </c>
      <c r="D118" s="68">
        <f t="shared" si="16"/>
        <v>45.5</v>
      </c>
      <c r="E118" s="108">
        <f ca="1">IF('Invoer gegevens'!$C$16="","",E117+1)</f>
        <v>2064</v>
      </c>
      <c r="F118" s="84">
        <f ca="1">IF('Invoer gegevens'!$C$17=E118,'Invoer gegevens'!$C$10,IF(C118=1,K117,0))</f>
        <v>0</v>
      </c>
      <c r="G118" s="96">
        <f ca="1">IF(E118='Invoer gegevens'!$C$17+'Invoer gegevens'!$I$14,K117,IF(C118&gt;=1,F118*VLOOKUP(E118,Reeksen!$A$5:$B$76,2),0))</f>
        <v>0</v>
      </c>
      <c r="H118" s="84">
        <f ca="1">IF(E118='Invoer gegevens'!$C$17+'Invoer gegevens'!$I$14,K117,(1-('Invoer gegevens'!$F$20/12))*F118*MIN(Reeksen!B50,Reeksen!D50))</f>
        <v>0</v>
      </c>
      <c r="I118" s="84">
        <f>IF(Reeksen!D50&lt;Reeksen!B50,(Reeksen!B50-Reeksen!D50)*F118,0)</f>
        <v>0</v>
      </c>
      <c r="J118" s="84">
        <f ca="1">IF(E118='Invoer gegevens'!$C$17+'Invoer gegevens'!$I$14+1,0,('Invoer gegevens'!$F$20/12)*F117*MIN(Reeksen!B49,Reeksen!D49))</f>
        <v>0</v>
      </c>
      <c r="K118" s="97">
        <f ca="1">IF(E118&gt;='Invoer gegevens'!$C$17+'Invoer gegevens'!$I$14,0,F118-G118)</f>
        <v>0</v>
      </c>
      <c r="L118" s="84">
        <f ca="1">IF('Invoer gegevens'!$C$17=E118,0,IF(C118=1,Q117,0))</f>
        <v>0</v>
      </c>
      <c r="M118" s="96">
        <f ca="1">IF(E118='Invoer gegevens'!$C$17+'Invoer gegevens'!$I$14,Q117,IF(C118&gt;=1,L118*VLOOKUP(E118,Reeksen!$A$5:$B$76,2),0))</f>
        <v>0</v>
      </c>
      <c r="N118" s="84">
        <f ca="1">IF(C118='Invoer gegevens'!$C$17+'Invoer gegevens'!$I$14,Q117,(1-('Invoer gegevens'!$F$20/12))*L118*MIN(Reeksen!B50,Reeksen!D50))</f>
        <v>0</v>
      </c>
      <c r="O118" s="84">
        <f>IF(Reeksen!D50&lt;Reeksen!B50,(Reeksen!B50-Reeksen!D50)*L118,0)</f>
        <v>0</v>
      </c>
      <c r="P118" s="84">
        <f ca="1">IF(E118='Invoer gegevens'!$C$17+'Invoer gegevens'!$I$14+1,0,('Invoer gegevens'!$F$20/12)*L117*MIN(Reeksen!B49,Reeksen!D49))</f>
        <v>0</v>
      </c>
      <c r="Q118" s="84">
        <f ca="1">IF(E118&gt;='Invoer gegevens'!$C$17+'Invoer gegevens'!$I$14,0,L118-M118+I118+O118)</f>
        <v>0</v>
      </c>
      <c r="R118" s="82">
        <f ca="1">IF('Invoer gegevens'!$C$17=E118,'Invoer gegevens'!$C$11,IF(C118=1,W117,0))</f>
        <v>0</v>
      </c>
      <c r="S118" s="86">
        <f ca="1">IF(E118='Invoer gegevens'!$C$17+'Invoer gegevens'!$I$14,W117,IF(C118&gt;=1,R118*VLOOKUP(E118,Reeksen!$A$5:$B$76,2),0))</f>
        <v>0</v>
      </c>
      <c r="T118" s="84">
        <f ca="1">IF(E118='Invoer gegevens'!$C$17+'Invoer gegevens'!$I$14,W117,(1-('Invoer gegevens'!$F$20/12))*R118*MIN(Reeksen!B50,Reeksen!D50))</f>
        <v>0</v>
      </c>
      <c r="U118" s="84">
        <f>IF(Reeksen!D50&gt;=Reeksen!B50,0,IF(Reeksen!AK50&lt;=Reeksen!AE50,(Reeksen!B50-Reeksen!D50)*R118,0))</f>
        <v>0</v>
      </c>
      <c r="V118" s="86">
        <f>IF(Reeksen!D50&gt;=Reeksen!B50,0,IF(Reeksen!AK50&gt;Reeksen!AE50,(Reeksen!B50-Reeksen!D50)*R118,0))</f>
        <v>0</v>
      </c>
      <c r="W118" s="97">
        <f ca="1">IF(E118&gt;='Invoer gegevens'!$C$17+'Invoer gegevens'!$I$14,0,R118-S118)</f>
        <v>0</v>
      </c>
      <c r="X118" s="98">
        <f ca="1">IF('Invoer gegevens'!$C$17=E118,'Invoer gegevens'!$C$10-'Invoer gegevens'!$C$11,IF(C118=1,AC117,0))</f>
        <v>0</v>
      </c>
      <c r="Y118" s="98">
        <f ca="1">IF(E118='Invoer gegevens'!$C$17+'Invoer gegevens'!$I$14,AC117,IF(C118&gt;=1,X118*VLOOKUP(E118,Reeksen!$A$5:$B$76,2),0))</f>
        <v>0</v>
      </c>
      <c r="Z118" s="98">
        <f ca="1">IF(E118='Invoer gegevens'!$C$17+'Invoer gegevens'!$I$14,AC117,(1-('Invoer gegevens'!$F$20/12))*X118*MIN(Reeksen!B50,Reeksen!D50))</f>
        <v>0</v>
      </c>
      <c r="AA118" s="98">
        <f>IF(Reeksen!D50&gt;=Reeksen!B50,0,IF(Reeksen!AK50&lt;=Reeksen!AE50,(Reeksen!B50-Reeksen!D50)*X118,0))</f>
        <v>0</v>
      </c>
      <c r="AB118" s="98">
        <f>IF(Reeksen!D50&gt;=Reeksen!B50,0,IF(Reeksen!AK50&gt;Reeksen!AE50,(Reeksen!B50-Reeksen!D50)*X118,0))</f>
        <v>0</v>
      </c>
      <c r="AC118" s="99">
        <f ca="1">IF(E118&gt;='Invoer gegevens'!$C$17+'Invoer gegevens'!$I$14,0,X118-Y118)</f>
        <v>0</v>
      </c>
      <c r="AD118" s="98">
        <f ca="1">IF('Invoer gegevens'!$C$17=E50,R118,IF(C50=0,0,AE117))</f>
        <v>0</v>
      </c>
      <c r="AE118" s="98">
        <f t="shared" ca="1" si="9"/>
        <v>0</v>
      </c>
      <c r="AF118" s="98">
        <f ca="1">IF('Invoer gegevens'!$C$17=E50,X118,IF(C50=0,0,AG117))</f>
        <v>0</v>
      </c>
      <c r="AG118" s="98">
        <f t="shared" ca="1" si="10"/>
        <v>0</v>
      </c>
      <c r="AH118" s="66"/>
      <c r="AI118" s="71">
        <f ca="1">IF(C118=1,((Reeksen!BF50*(F118-G118+F118)/2)+((L118-M118+L118)/2*Reeksen!BG50))*12,0)</f>
        <v>0</v>
      </c>
      <c r="AJ118" s="71">
        <f ca="1">-AI118*'Invoer gegevens'!$I$26</f>
        <v>0</v>
      </c>
      <c r="AK118" s="71">
        <f t="shared" ca="1" si="11"/>
        <v>0</v>
      </c>
      <c r="AL118" s="71">
        <f ca="1">IF(C118=1,Reeksen!AL50*((F118-G118+F118)/2)*12+Reeksen!AM50*((L118-M118+L118)/2)*12,0)</f>
        <v>0</v>
      </c>
      <c r="AM118" s="71">
        <f ca="1">-AL118*'Invoer gegevens'!$F$31</f>
        <v>0</v>
      </c>
      <c r="AN118" s="71">
        <f t="shared" ca="1" si="12"/>
        <v>0</v>
      </c>
      <c r="AO118" s="71">
        <f ca="1">IF(E118&gt;='Invoer gegevens'!$C$17+'Invoer gegevens'!$I$14,0,IF(C118=1,(H118+J118+N118+P118)*Reeksen!AN50,0))</f>
        <v>0</v>
      </c>
      <c r="AP118" s="71">
        <f ca="1">-IF(C118=1,(H118+J118+N118+P118)*Reeksen!AN49*'Hulp - basis'!$B$550,0)</f>
        <v>0</v>
      </c>
      <c r="AQ118" s="71">
        <f ca="1">-IF(C118=1,(F118+K118+L118+Q118)/2*'Invoer gegevens'!$I$33*Reeksen!J50,0)</f>
        <v>0</v>
      </c>
      <c r="AR118" s="71">
        <f ca="1">-IF(C118=1,(I118*'Invoer gegevens'!$I$34)*Reeksen!J50,0)</f>
        <v>0</v>
      </c>
      <c r="AS118" s="71">
        <f ca="1">-IF(C118=1,(F118+K118+L118+Q118)/2*'Invoer gegevens'!$I$35*Reeksen!L50,0)</f>
        <v>0</v>
      </c>
      <c r="AT118" s="71">
        <f ca="1">-IF(C118=1,IF(E118='Invoer gegevens'!$C$17,'Invoer gegevens'!$C$11,AD118)*Reeksen!S50*'Invoer gegevens'!$C$18*Reeksen!P50,0)</f>
        <v>0</v>
      </c>
      <c r="AU118" s="71">
        <f ca="1">-IF(C118=1,(F118+K118+L118+Q118)/2*'Invoer gegevens'!$I$36*Reeksen!H50,0)</f>
        <v>0</v>
      </c>
      <c r="AV118" s="71">
        <f t="shared" ca="1" si="13"/>
        <v>0</v>
      </c>
      <c r="AW118" s="72">
        <f ca="1">IFERROR(IF(E118='Invoer gegevens'!$C$17+'Invoer gegevens'!$I$14-1,'Invoer gegevens'!$I$13*K118*Reeksen!H50,0),0)</f>
        <v>0</v>
      </c>
      <c r="AX118" s="72">
        <f ca="1">IFERROR(IF(E118='Invoer gegevens'!$C$17,-'Invoer gegevens'!$C$10*('Invoer gegevens'!$C$30+'Invoer gegevens'!$C$31)*Reeksen!H50,0),0)</f>
        <v>0</v>
      </c>
      <c r="AY118" s="73">
        <f ca="1">IF('Invoer gegevens'!$C$34=E118,'Invoer gegevens'!$C$27*'Invoer gegevens'!$C$10*'Invoer gegevens'!$C$36*(IF('Invoer gegevens'!$C$35="ja",1,Reeksen!J50)),IF('Invoer gegevens'!$C$34+1=E118,'Invoer gegevens'!$C$27*'Invoer gegevens'!$C$10*'Invoer gegevens'!$C$37*(IF('Invoer gegevens'!$C$35="ja",1,Reeksen!J50)),0))+IF(AND(E118='Invoer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8" s="73">
        <f ca="1">AV118/(1+'Invoer gegevens'!$I$12)^($D118-('Invoer gegevens'!$C$17-'Invoer gegevens'!$C$16))/(1+'Invoer gegevens'!$C$39)^('Invoer gegevens'!$C$17-'Invoer gegevens'!$C$16)</f>
        <v>0</v>
      </c>
      <c r="BA118" s="73">
        <f ca="1">AW118/(1+'Invoer gegevens'!$I$12)^(E118-('Invoer gegevens'!$C$17-1))/(1+'Invoer gegevens'!$C$39)^('Invoer gegevens'!$C$17-'Invoer gegevens'!$C$16)</f>
        <v>0</v>
      </c>
      <c r="BB118" s="73">
        <f ca="1">AX118/(1+'Invoer gegevens'!$C$39)^('Invoer gegevens'!$C$17-'Invoer gegevens'!$C$16)</f>
        <v>0</v>
      </c>
      <c r="BC118" s="72">
        <f t="shared" ca="1" si="14"/>
        <v>0</v>
      </c>
      <c r="BD118" s="72">
        <f ca="1">IF(AND(E118='Invoer gegevens'!$C$16,'Invoer gegevens'!$C$34&lt;'Invoer gegevens'!$C$16),AY118,AY118/(1+'Invoer gegevens'!$C$39)^D118)</f>
        <v>0</v>
      </c>
      <c r="BE118" s="72">
        <f ca="1">IF(E118='Invoer gegevens'!$C$34,-'Invoer gegevens'!$I$38,0)</f>
        <v>0</v>
      </c>
      <c r="BF118" s="72">
        <f ca="1">IF(E118='Invoer gegevens'!$C$17,-'Invoer gegevens'!$C$19*$BC$134,0)</f>
        <v>0</v>
      </c>
      <c r="BG118" s="72">
        <f ca="1">AV118/(1+$BG$72)^($D118-('Invoer gegevens'!$C$17-'Invoer gegevens'!$C$16))/(1+'Invoer gegevens'!$C$39)^('Invoer gegevens'!$C$17-'Invoer gegevens'!$C$16)+AW118/(1+$BG$72)^(E118-('Invoer gegevens'!$C$17-1))/(1+'Invoer gegevens'!$C$39)^('Invoer gegevens'!$C$17-'Invoer gegevens'!$C$16)+AX118/(1+'Invoer gegevens'!$C$39)^('Invoer gegevens'!$C$17-'Invoer gegevens'!$C$16)+(-AY118/(1+'Invoer gegevens'!$C$39)^D118)+BE118+BF118</f>
        <v>0</v>
      </c>
    </row>
    <row r="119" spans="2:59" x14ac:dyDescent="0.25">
      <c r="B119" s="70">
        <f t="shared" si="15"/>
        <v>47</v>
      </c>
      <c r="C119" s="67">
        <f ca="1">IF(AND(E119&gt;='Invoer gegevens'!$C$17,E119&lt;'Invoer gegevens'!$C$17+'Invoer gegevens'!$I$14),1,0)</f>
        <v>1</v>
      </c>
      <c r="D119" s="68">
        <f t="shared" si="16"/>
        <v>46.5</v>
      </c>
      <c r="E119" s="108">
        <f ca="1">IF('Invoer gegevens'!$C$16="","",E118+1)</f>
        <v>2065</v>
      </c>
      <c r="F119" s="84">
        <f ca="1">IF('Invoer gegevens'!$C$17=E119,'Invoer gegevens'!$C$10,IF(C119=1,K118,0))</f>
        <v>0</v>
      </c>
      <c r="G119" s="96">
        <f ca="1">IF(E119='Invoer gegevens'!$C$17+'Invoer gegevens'!$I$14,K118,IF(C119&gt;=1,F119*VLOOKUP(E119,Reeksen!$A$5:$B$76,2),0))</f>
        <v>0</v>
      </c>
      <c r="H119" s="84">
        <f ca="1">IF(E119='Invoer gegevens'!$C$17+'Invoer gegevens'!$I$14,K118,(1-('Invoer gegevens'!$F$20/12))*F119*MIN(Reeksen!B51,Reeksen!D51))</f>
        <v>0</v>
      </c>
      <c r="I119" s="84">
        <f>IF(Reeksen!D51&lt;Reeksen!B51,(Reeksen!B51-Reeksen!D51)*F119,0)</f>
        <v>0</v>
      </c>
      <c r="J119" s="84">
        <f ca="1">IF(E119='Invoer gegevens'!$C$17+'Invoer gegevens'!$I$14+1,0,('Invoer gegevens'!$F$20/12)*F118*MIN(Reeksen!B50,Reeksen!D50))</f>
        <v>0</v>
      </c>
      <c r="K119" s="97">
        <f ca="1">IF(E119&gt;='Invoer gegevens'!$C$17+'Invoer gegevens'!$I$14,0,F119-G119)</f>
        <v>0</v>
      </c>
      <c r="L119" s="84">
        <f ca="1">IF('Invoer gegevens'!$C$17=E119,0,IF(C119=1,Q118,0))</f>
        <v>0</v>
      </c>
      <c r="M119" s="96">
        <f ca="1">IF(E119='Invoer gegevens'!$C$17+'Invoer gegevens'!$I$14,Q118,IF(C119&gt;=1,L119*VLOOKUP(E119,Reeksen!$A$5:$B$76,2),0))</f>
        <v>0</v>
      </c>
      <c r="N119" s="84">
        <f ca="1">IF(C119='Invoer gegevens'!$C$17+'Invoer gegevens'!$I$14,Q118,(1-('Invoer gegevens'!$F$20/12))*L119*MIN(Reeksen!B51,Reeksen!D51))</f>
        <v>0</v>
      </c>
      <c r="O119" s="84">
        <f>IF(Reeksen!D51&lt;Reeksen!B51,(Reeksen!B51-Reeksen!D51)*L119,0)</f>
        <v>0</v>
      </c>
      <c r="P119" s="84">
        <f ca="1">IF(E119='Invoer gegevens'!$C$17+'Invoer gegevens'!$I$14+1,0,('Invoer gegevens'!$F$20/12)*L118*MIN(Reeksen!B50,Reeksen!D50))</f>
        <v>0</v>
      </c>
      <c r="Q119" s="84">
        <f ca="1">IF(E119&gt;='Invoer gegevens'!$C$17+'Invoer gegevens'!$I$14,0,L119-M119+I119+O119)</f>
        <v>0</v>
      </c>
      <c r="R119" s="82">
        <f ca="1">IF('Invoer gegevens'!$C$17=E119,'Invoer gegevens'!$C$11,IF(C119=1,W118,0))</f>
        <v>0</v>
      </c>
      <c r="S119" s="86">
        <f ca="1">IF(E119='Invoer gegevens'!$C$17+'Invoer gegevens'!$I$14,W118,IF(C119&gt;=1,R119*VLOOKUP(E119,Reeksen!$A$5:$B$76,2),0))</f>
        <v>0</v>
      </c>
      <c r="T119" s="84">
        <f ca="1">IF(E119='Invoer gegevens'!$C$17+'Invoer gegevens'!$I$14,W118,(1-('Invoer gegevens'!$F$20/12))*R119*MIN(Reeksen!B51,Reeksen!D51))</f>
        <v>0</v>
      </c>
      <c r="U119" s="84">
        <f>IF(Reeksen!D51&gt;=Reeksen!B51,0,IF(Reeksen!AK51&lt;=Reeksen!AE51,(Reeksen!B51-Reeksen!D51)*R119,0))</f>
        <v>0</v>
      </c>
      <c r="V119" s="86">
        <f>IF(Reeksen!D51&gt;=Reeksen!B51,0,IF(Reeksen!AK51&gt;Reeksen!AE51,(Reeksen!B51-Reeksen!D51)*R119,0))</f>
        <v>0</v>
      </c>
      <c r="W119" s="97">
        <f ca="1">IF(E119&gt;='Invoer gegevens'!$C$17+'Invoer gegevens'!$I$14,0,R119-S119)</f>
        <v>0</v>
      </c>
      <c r="X119" s="98">
        <f ca="1">IF('Invoer gegevens'!$C$17=E119,'Invoer gegevens'!$C$10-'Invoer gegevens'!$C$11,IF(C119=1,AC118,0))</f>
        <v>0</v>
      </c>
      <c r="Y119" s="98">
        <f ca="1">IF(E119='Invoer gegevens'!$C$17+'Invoer gegevens'!$I$14,AC118,IF(C119&gt;=1,X119*VLOOKUP(E119,Reeksen!$A$5:$B$76,2),0))</f>
        <v>0</v>
      </c>
      <c r="Z119" s="98">
        <f ca="1">IF(E119='Invoer gegevens'!$C$17+'Invoer gegevens'!$I$14,AC118,(1-('Invoer gegevens'!$F$20/12))*X119*MIN(Reeksen!B51,Reeksen!D51))</f>
        <v>0</v>
      </c>
      <c r="AA119" s="98">
        <f>IF(Reeksen!D51&gt;=Reeksen!B51,0,IF(Reeksen!AK51&lt;=Reeksen!AE51,(Reeksen!B51-Reeksen!D51)*X119,0))</f>
        <v>0</v>
      </c>
      <c r="AB119" s="98">
        <f>IF(Reeksen!D51&gt;=Reeksen!B51,0,IF(Reeksen!AK51&gt;Reeksen!AE51,(Reeksen!B51-Reeksen!D51)*X119,0))</f>
        <v>0</v>
      </c>
      <c r="AC119" s="99">
        <f ca="1">IF(E119&gt;='Invoer gegevens'!$C$17+'Invoer gegevens'!$I$14,0,X119-Y119)</f>
        <v>0</v>
      </c>
      <c r="AD119" s="98">
        <f ca="1">IF('Invoer gegevens'!$C$17=E51,R119,IF(C51=0,0,AE118))</f>
        <v>0</v>
      </c>
      <c r="AE119" s="98">
        <f t="shared" ca="1" si="9"/>
        <v>0</v>
      </c>
      <c r="AF119" s="98">
        <f ca="1">IF('Invoer gegevens'!$C$17=E51,X119,IF(C51=0,0,AG118))</f>
        <v>0</v>
      </c>
      <c r="AG119" s="98">
        <f t="shared" ca="1" si="10"/>
        <v>0</v>
      </c>
      <c r="AH119" s="66"/>
      <c r="AI119" s="71">
        <f ca="1">IF(C119=1,((Reeksen!BF51*(F119-G119+F119)/2)+((L119-M119+L119)/2*Reeksen!BG51))*12,0)</f>
        <v>0</v>
      </c>
      <c r="AJ119" s="71">
        <f ca="1">-AI119*'Invoer gegevens'!$I$26</f>
        <v>0</v>
      </c>
      <c r="AK119" s="71">
        <f t="shared" ca="1" si="11"/>
        <v>0</v>
      </c>
      <c r="AL119" s="71">
        <f ca="1">IF(C119=1,Reeksen!AL51*((F119-G119+F119)/2)*12+Reeksen!AM51*((L119-M119+L119)/2)*12,0)</f>
        <v>0</v>
      </c>
      <c r="AM119" s="71">
        <f ca="1">-AL119*'Invoer gegevens'!$F$31</f>
        <v>0</v>
      </c>
      <c r="AN119" s="71">
        <f t="shared" ca="1" si="12"/>
        <v>0</v>
      </c>
      <c r="AO119" s="71">
        <f ca="1">IF(E119&gt;='Invoer gegevens'!$C$17+'Invoer gegevens'!$I$14,0,IF(C119=1,(H119+J119+N119+P119)*Reeksen!AN51,0))</f>
        <v>0</v>
      </c>
      <c r="AP119" s="71">
        <f ca="1">-IF(C119=1,(H119+J119+N119+P119)*Reeksen!AN50*'Hulp - basis'!$B$550,0)</f>
        <v>0</v>
      </c>
      <c r="AQ119" s="71">
        <f ca="1">-IF(C119=1,(F119+K119+L119+Q119)/2*'Invoer gegevens'!$I$33*Reeksen!J51,0)</f>
        <v>0</v>
      </c>
      <c r="AR119" s="71">
        <f ca="1">-IF(C119=1,(I119*'Invoer gegevens'!$I$34)*Reeksen!J51,0)</f>
        <v>0</v>
      </c>
      <c r="AS119" s="71">
        <f ca="1">-IF(C119=1,(F119+K119+L119+Q119)/2*'Invoer gegevens'!$I$35*Reeksen!L51,0)</f>
        <v>0</v>
      </c>
      <c r="AT119" s="71">
        <f ca="1">-IF(C119=1,IF(E119='Invoer gegevens'!$C$17,'Invoer gegevens'!$C$11,AD119)*Reeksen!S51*'Invoer gegevens'!$C$18*Reeksen!P51,0)</f>
        <v>0</v>
      </c>
      <c r="AU119" s="71">
        <f ca="1">-IF(C119=1,(F119+K119+L119+Q119)/2*'Invoer gegevens'!$I$36*Reeksen!H51,0)</f>
        <v>0</v>
      </c>
      <c r="AV119" s="71">
        <f t="shared" ca="1" si="13"/>
        <v>0</v>
      </c>
      <c r="AW119" s="72">
        <f ca="1">IFERROR(IF(E119='Invoer gegevens'!$C$17+'Invoer gegevens'!$I$14-1,'Invoer gegevens'!$I$13*K119*Reeksen!H51,0),0)</f>
        <v>0</v>
      </c>
      <c r="AX119" s="72">
        <f ca="1">IFERROR(IF(E119='Invoer gegevens'!$C$17,-'Invoer gegevens'!$C$10*('Invoer gegevens'!$C$30+'Invoer gegevens'!$C$31)*Reeksen!H51,0),0)</f>
        <v>0</v>
      </c>
      <c r="AY119" s="73">
        <f ca="1">IF('Invoer gegevens'!$C$34=E119,'Invoer gegevens'!$C$27*'Invoer gegevens'!$C$10*'Invoer gegevens'!$C$36*(IF('Invoer gegevens'!$C$35="ja",1,Reeksen!J51)),IF('Invoer gegevens'!$C$34+1=E119,'Invoer gegevens'!$C$27*'Invoer gegevens'!$C$10*'Invoer gegevens'!$C$37*(IF('Invoer gegevens'!$C$35="ja",1,Reeksen!J51)),0))+IF(AND(E119='Invoer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19" s="73">
        <f ca="1">AV119/(1+'Invoer gegevens'!$I$12)^($D119-('Invoer gegevens'!$C$17-'Invoer gegevens'!$C$16))/(1+'Invoer gegevens'!$C$39)^('Invoer gegevens'!$C$17-'Invoer gegevens'!$C$16)</f>
        <v>0</v>
      </c>
      <c r="BA119" s="73">
        <f ca="1">AW119/(1+'Invoer gegevens'!$I$12)^(E119-('Invoer gegevens'!$C$17-1))/(1+'Invoer gegevens'!$C$39)^('Invoer gegevens'!$C$17-'Invoer gegevens'!$C$16)</f>
        <v>0</v>
      </c>
      <c r="BB119" s="73">
        <f ca="1">AX119/(1+'Invoer gegevens'!$C$39)^('Invoer gegevens'!$C$17-'Invoer gegevens'!$C$16)</f>
        <v>0</v>
      </c>
      <c r="BC119" s="72">
        <f t="shared" ca="1" si="14"/>
        <v>0</v>
      </c>
      <c r="BD119" s="72">
        <f ca="1">IF(AND(E119='Invoer gegevens'!$C$16,'Invoer gegevens'!$C$34&lt;'Invoer gegevens'!$C$16),AY119,AY119/(1+'Invoer gegevens'!$C$39)^D119)</f>
        <v>0</v>
      </c>
      <c r="BE119" s="72">
        <f ca="1">IF(E119='Invoer gegevens'!$C$34,-'Invoer gegevens'!$I$38,0)</f>
        <v>0</v>
      </c>
      <c r="BF119" s="72">
        <f ca="1">IF(E119='Invoer gegevens'!$C$17,-'Invoer gegevens'!$C$19*$BC$134,0)</f>
        <v>0</v>
      </c>
      <c r="BG119" s="72">
        <f ca="1">AV119/(1+$BG$72)^($D119-('Invoer gegevens'!$C$17-'Invoer gegevens'!$C$16))/(1+'Invoer gegevens'!$C$39)^('Invoer gegevens'!$C$17-'Invoer gegevens'!$C$16)+AW119/(1+$BG$72)^(E119-('Invoer gegevens'!$C$17-1))/(1+'Invoer gegevens'!$C$39)^('Invoer gegevens'!$C$17-'Invoer gegevens'!$C$16)+AX119/(1+'Invoer gegevens'!$C$39)^('Invoer gegevens'!$C$17-'Invoer gegevens'!$C$16)+(-AY119/(1+'Invoer gegevens'!$C$39)^D119)+BE119+BF119</f>
        <v>0</v>
      </c>
    </row>
    <row r="120" spans="2:59" x14ac:dyDescent="0.25">
      <c r="B120" s="70">
        <f t="shared" si="15"/>
        <v>48</v>
      </c>
      <c r="C120" s="67">
        <f ca="1">IF(AND(E120&gt;='Invoer gegevens'!$C$17,E120&lt;'Invoer gegevens'!$C$17+'Invoer gegevens'!$I$14),1,0)</f>
        <v>1</v>
      </c>
      <c r="D120" s="68">
        <f t="shared" si="16"/>
        <v>47.5</v>
      </c>
      <c r="E120" s="108">
        <f ca="1">IF('Invoer gegevens'!$C$16="","",E119+1)</f>
        <v>2066</v>
      </c>
      <c r="F120" s="84">
        <f ca="1">IF('Invoer gegevens'!$C$17=E120,'Invoer gegevens'!$C$10,IF(C120=1,K119,0))</f>
        <v>0</v>
      </c>
      <c r="G120" s="96">
        <f ca="1">IF(E120='Invoer gegevens'!$C$17+'Invoer gegevens'!$I$14,K119,IF(C120&gt;=1,F120*VLOOKUP(E120,Reeksen!$A$5:$B$76,2),0))</f>
        <v>0</v>
      </c>
      <c r="H120" s="84">
        <f ca="1">IF(E120='Invoer gegevens'!$C$17+'Invoer gegevens'!$I$14,K119,(1-('Invoer gegevens'!$F$20/12))*F120*MIN(Reeksen!B52,Reeksen!D52))</f>
        <v>0</v>
      </c>
      <c r="I120" s="84">
        <f>IF(Reeksen!D52&lt;Reeksen!B52,(Reeksen!B52-Reeksen!D52)*F120,0)</f>
        <v>0</v>
      </c>
      <c r="J120" s="84">
        <f ca="1">IF(E120='Invoer gegevens'!$C$17+'Invoer gegevens'!$I$14+1,0,('Invoer gegevens'!$F$20/12)*F119*MIN(Reeksen!B51,Reeksen!D51))</f>
        <v>0</v>
      </c>
      <c r="K120" s="97">
        <f ca="1">IF(E120&gt;='Invoer gegevens'!$C$17+'Invoer gegevens'!$I$14,0,F120-G120)</f>
        <v>0</v>
      </c>
      <c r="L120" s="84">
        <f ca="1">IF('Invoer gegevens'!$C$17=E120,0,IF(C120=1,Q119,0))</f>
        <v>0</v>
      </c>
      <c r="M120" s="96">
        <f ca="1">IF(E120='Invoer gegevens'!$C$17+'Invoer gegevens'!$I$14,Q119,IF(C120&gt;=1,L120*VLOOKUP(E120,Reeksen!$A$5:$B$76,2),0))</f>
        <v>0</v>
      </c>
      <c r="N120" s="84">
        <f ca="1">IF(C120='Invoer gegevens'!$C$17+'Invoer gegevens'!$I$14,Q119,(1-('Invoer gegevens'!$F$20/12))*L120*MIN(Reeksen!B52,Reeksen!D52))</f>
        <v>0</v>
      </c>
      <c r="O120" s="84">
        <f>IF(Reeksen!D52&lt;Reeksen!B52,(Reeksen!B52-Reeksen!D52)*L120,0)</f>
        <v>0</v>
      </c>
      <c r="P120" s="84">
        <f ca="1">IF(E120='Invoer gegevens'!$C$17+'Invoer gegevens'!$I$14+1,0,('Invoer gegevens'!$F$20/12)*L119*MIN(Reeksen!B51,Reeksen!D51))</f>
        <v>0</v>
      </c>
      <c r="Q120" s="84">
        <f ca="1">IF(E120&gt;='Invoer gegevens'!$C$17+'Invoer gegevens'!$I$14,0,L120-M120+I120+O120)</f>
        <v>0</v>
      </c>
      <c r="R120" s="82">
        <f ca="1">IF('Invoer gegevens'!$C$17=E120,'Invoer gegevens'!$C$11,IF(C120=1,W119,0))</f>
        <v>0</v>
      </c>
      <c r="S120" s="86">
        <f ca="1">IF(E120='Invoer gegevens'!$C$17+'Invoer gegevens'!$I$14,W119,IF(C120&gt;=1,R120*VLOOKUP(E120,Reeksen!$A$5:$B$76,2),0))</f>
        <v>0</v>
      </c>
      <c r="T120" s="84">
        <f ca="1">IF(E120='Invoer gegevens'!$C$17+'Invoer gegevens'!$I$14,W119,(1-('Invoer gegevens'!$F$20/12))*R120*MIN(Reeksen!B52,Reeksen!D52))</f>
        <v>0</v>
      </c>
      <c r="U120" s="84">
        <f>IF(Reeksen!D52&gt;=Reeksen!B52,0,IF(Reeksen!AK52&lt;=Reeksen!AE52,(Reeksen!B52-Reeksen!D52)*R120,0))</f>
        <v>0</v>
      </c>
      <c r="V120" s="86">
        <f>IF(Reeksen!D52&gt;=Reeksen!B52,0,IF(Reeksen!AK52&gt;Reeksen!AE52,(Reeksen!B52-Reeksen!D52)*R120,0))</f>
        <v>0</v>
      </c>
      <c r="W120" s="97">
        <f ca="1">IF(E120&gt;='Invoer gegevens'!$C$17+'Invoer gegevens'!$I$14,0,R120-S120)</f>
        <v>0</v>
      </c>
      <c r="X120" s="98">
        <f ca="1">IF('Invoer gegevens'!$C$17=E120,'Invoer gegevens'!$C$10-'Invoer gegevens'!$C$11,IF(C120=1,AC119,0))</f>
        <v>0</v>
      </c>
      <c r="Y120" s="98">
        <f ca="1">IF(E120='Invoer gegevens'!$C$17+'Invoer gegevens'!$I$14,AC119,IF(C120&gt;=1,X120*VLOOKUP(E120,Reeksen!$A$5:$B$76,2),0))</f>
        <v>0</v>
      </c>
      <c r="Z120" s="98">
        <f ca="1">IF(E120='Invoer gegevens'!$C$17+'Invoer gegevens'!$I$14,AC119,(1-('Invoer gegevens'!$F$20/12))*X120*MIN(Reeksen!B52,Reeksen!D52))</f>
        <v>0</v>
      </c>
      <c r="AA120" s="98">
        <f>IF(Reeksen!D52&gt;=Reeksen!B52,0,IF(Reeksen!AK52&lt;=Reeksen!AE52,(Reeksen!B52-Reeksen!D52)*X120,0))</f>
        <v>0</v>
      </c>
      <c r="AB120" s="98">
        <f>IF(Reeksen!D52&gt;=Reeksen!B52,0,IF(Reeksen!AK52&gt;Reeksen!AE52,(Reeksen!B52-Reeksen!D52)*X120,0))</f>
        <v>0</v>
      </c>
      <c r="AC120" s="99">
        <f ca="1">IF(E120&gt;='Invoer gegevens'!$C$17+'Invoer gegevens'!$I$14,0,X120-Y120)</f>
        <v>0</v>
      </c>
      <c r="AD120" s="98">
        <f ca="1">IF('Invoer gegevens'!$C$17=E52,R120,IF(C52=0,0,AE119))</f>
        <v>0</v>
      </c>
      <c r="AE120" s="98">
        <f t="shared" ca="1" si="9"/>
        <v>0</v>
      </c>
      <c r="AF120" s="98">
        <f ca="1">IF('Invoer gegevens'!$C$17=E52,X120,IF(C52=0,0,AG119))</f>
        <v>0</v>
      </c>
      <c r="AG120" s="98">
        <f t="shared" ca="1" si="10"/>
        <v>0</v>
      </c>
      <c r="AH120" s="66"/>
      <c r="AI120" s="71">
        <f ca="1">IF(C120=1,((Reeksen!BF52*(F120-G120+F120)/2)+((L120-M120+L120)/2*Reeksen!BG52))*12,0)</f>
        <v>0</v>
      </c>
      <c r="AJ120" s="71">
        <f ca="1">-AI120*'Invoer gegevens'!$I$26</f>
        <v>0</v>
      </c>
      <c r="AK120" s="71">
        <f t="shared" ca="1" si="11"/>
        <v>0</v>
      </c>
      <c r="AL120" s="71">
        <f ca="1">IF(C120=1,Reeksen!AL52*((F120-G120+F120)/2)*12+Reeksen!AM52*((L120-M120+L120)/2)*12,0)</f>
        <v>0</v>
      </c>
      <c r="AM120" s="71">
        <f ca="1">-AL120*'Invoer gegevens'!$F$31</f>
        <v>0</v>
      </c>
      <c r="AN120" s="71">
        <f t="shared" ca="1" si="12"/>
        <v>0</v>
      </c>
      <c r="AO120" s="71">
        <f ca="1">IF(E120&gt;='Invoer gegevens'!$C$17+'Invoer gegevens'!$I$14,0,IF(C120=1,(H120+J120+N120+P120)*Reeksen!AN52,0))</f>
        <v>0</v>
      </c>
      <c r="AP120" s="71">
        <f ca="1">-IF(C120=1,(H120+J120+N120+P120)*Reeksen!AN51*'Hulp - basis'!$B$550,0)</f>
        <v>0</v>
      </c>
      <c r="AQ120" s="71">
        <f ca="1">-IF(C120=1,(F120+K120+L120+Q120)/2*'Invoer gegevens'!$I$33*Reeksen!J52,0)</f>
        <v>0</v>
      </c>
      <c r="AR120" s="71">
        <f ca="1">-IF(C120=1,(I120*'Invoer gegevens'!$I$34)*Reeksen!J52,0)</f>
        <v>0</v>
      </c>
      <c r="AS120" s="71">
        <f ca="1">-IF(C120=1,(F120+K120+L120+Q120)/2*'Invoer gegevens'!$I$35*Reeksen!L52,0)</f>
        <v>0</v>
      </c>
      <c r="AT120" s="71">
        <f ca="1">-IF(C120=1,IF(E120='Invoer gegevens'!$C$17,'Invoer gegevens'!$C$11,AD120)*Reeksen!S52*'Invoer gegevens'!$C$18*Reeksen!P52,0)</f>
        <v>0</v>
      </c>
      <c r="AU120" s="71">
        <f ca="1">-IF(C120=1,(F120+K120+L120+Q120)/2*'Invoer gegevens'!$I$36*Reeksen!H52,0)</f>
        <v>0</v>
      </c>
      <c r="AV120" s="71">
        <f t="shared" ca="1" si="13"/>
        <v>0</v>
      </c>
      <c r="AW120" s="72">
        <f ca="1">IFERROR(IF(E120='Invoer gegevens'!$C$17+'Invoer gegevens'!$I$14-1,'Invoer gegevens'!$I$13*K120*Reeksen!H52,0),0)</f>
        <v>0</v>
      </c>
      <c r="AX120" s="72">
        <f ca="1">IFERROR(IF(E120='Invoer gegevens'!$C$17,-'Invoer gegevens'!$C$10*('Invoer gegevens'!$C$30+'Invoer gegevens'!$C$31)*Reeksen!H52,0),0)</f>
        <v>0</v>
      </c>
      <c r="AY120" s="73">
        <f ca="1">IF('Invoer gegevens'!$C$34=E120,'Invoer gegevens'!$C$27*'Invoer gegevens'!$C$10*'Invoer gegevens'!$C$36*(IF('Invoer gegevens'!$C$35="ja",1,Reeksen!J52)),IF('Invoer gegevens'!$C$34+1=E120,'Invoer gegevens'!$C$27*'Invoer gegevens'!$C$10*'Invoer gegevens'!$C$37*(IF('Invoer gegevens'!$C$35="ja",1,Reeksen!J52)),0))+IF(AND(E120='Invoer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0" s="73">
        <f ca="1">AV120/(1+'Invoer gegevens'!$I$12)^($D120-('Invoer gegevens'!$C$17-'Invoer gegevens'!$C$16))/(1+'Invoer gegevens'!$C$39)^('Invoer gegevens'!$C$17-'Invoer gegevens'!$C$16)</f>
        <v>0</v>
      </c>
      <c r="BA120" s="73">
        <f ca="1">AW120/(1+'Invoer gegevens'!$I$12)^(E120-('Invoer gegevens'!$C$17-1))/(1+'Invoer gegevens'!$C$39)^('Invoer gegevens'!$C$17-'Invoer gegevens'!$C$16)</f>
        <v>0</v>
      </c>
      <c r="BB120" s="73">
        <f ca="1">AX120/(1+'Invoer gegevens'!$C$39)^('Invoer gegevens'!$C$17-'Invoer gegevens'!$C$16)</f>
        <v>0</v>
      </c>
      <c r="BC120" s="72">
        <f t="shared" ca="1" si="14"/>
        <v>0</v>
      </c>
      <c r="BD120" s="72">
        <f ca="1">IF(AND(E120='Invoer gegevens'!$C$16,'Invoer gegevens'!$C$34&lt;'Invoer gegevens'!$C$16),AY120,AY120/(1+'Invoer gegevens'!$C$39)^D120)</f>
        <v>0</v>
      </c>
      <c r="BE120" s="72">
        <f ca="1">IF(E120='Invoer gegevens'!$C$34,-'Invoer gegevens'!$I$38,0)</f>
        <v>0</v>
      </c>
      <c r="BF120" s="72">
        <f ca="1">IF(E120='Invoer gegevens'!$C$17,-'Invoer gegevens'!$C$19*$BC$134,0)</f>
        <v>0</v>
      </c>
      <c r="BG120" s="72">
        <f ca="1">AV120/(1+$BG$72)^($D120-('Invoer gegevens'!$C$17-'Invoer gegevens'!$C$16))/(1+'Invoer gegevens'!$C$39)^('Invoer gegevens'!$C$17-'Invoer gegevens'!$C$16)+AW120/(1+$BG$72)^(E120-('Invoer gegevens'!$C$17-1))/(1+'Invoer gegevens'!$C$39)^('Invoer gegevens'!$C$17-'Invoer gegevens'!$C$16)+AX120/(1+'Invoer gegevens'!$C$39)^('Invoer gegevens'!$C$17-'Invoer gegevens'!$C$16)+(-AY120/(1+'Invoer gegevens'!$C$39)^D120)+BE120+BF120</f>
        <v>0</v>
      </c>
    </row>
    <row r="121" spans="2:59" x14ac:dyDescent="0.25">
      <c r="B121" s="70">
        <f t="shared" si="15"/>
        <v>49</v>
      </c>
      <c r="C121" s="67">
        <f ca="1">IF(AND(E121&gt;='Invoer gegevens'!$C$17,E121&lt;'Invoer gegevens'!$C$17+'Invoer gegevens'!$I$14),1,0)</f>
        <v>1</v>
      </c>
      <c r="D121" s="68">
        <f t="shared" si="16"/>
        <v>48.5</v>
      </c>
      <c r="E121" s="108">
        <f ca="1">IF('Invoer gegevens'!$C$16="","",E120+1)</f>
        <v>2067</v>
      </c>
      <c r="F121" s="84">
        <f ca="1">IF('Invoer gegevens'!$C$17=E121,'Invoer gegevens'!$C$10,IF(C121=1,K120,0))</f>
        <v>0</v>
      </c>
      <c r="G121" s="96">
        <f ca="1">IF(E121='Invoer gegevens'!$C$17+'Invoer gegevens'!$I$14,K120,IF(C121&gt;=1,F121*VLOOKUP(E121,Reeksen!$A$5:$B$76,2),0))</f>
        <v>0</v>
      </c>
      <c r="H121" s="84">
        <f ca="1">IF(E121='Invoer gegevens'!$C$17+'Invoer gegevens'!$I$14,K120,(1-('Invoer gegevens'!$F$20/12))*F121*MIN(Reeksen!B53,Reeksen!D53))</f>
        <v>0</v>
      </c>
      <c r="I121" s="84">
        <f>IF(Reeksen!D53&lt;Reeksen!B53,(Reeksen!B53-Reeksen!D53)*F121,0)</f>
        <v>0</v>
      </c>
      <c r="J121" s="84">
        <f ca="1">IF(E121='Invoer gegevens'!$C$17+'Invoer gegevens'!$I$14+1,0,('Invoer gegevens'!$F$20/12)*F120*MIN(Reeksen!B52,Reeksen!D52))</f>
        <v>0</v>
      </c>
      <c r="K121" s="97">
        <f ca="1">IF(E121&gt;='Invoer gegevens'!$C$17+'Invoer gegevens'!$I$14,0,F121-G121)</f>
        <v>0</v>
      </c>
      <c r="L121" s="84">
        <f ca="1">IF('Invoer gegevens'!$C$17=E121,0,IF(C121=1,Q120,0))</f>
        <v>0</v>
      </c>
      <c r="M121" s="96">
        <f ca="1">IF(E121='Invoer gegevens'!$C$17+'Invoer gegevens'!$I$14,Q120,IF(C121&gt;=1,L121*VLOOKUP(E121,Reeksen!$A$5:$B$76,2),0))</f>
        <v>0</v>
      </c>
      <c r="N121" s="84">
        <f ca="1">IF(C121='Invoer gegevens'!$C$17+'Invoer gegevens'!$I$14,Q120,(1-('Invoer gegevens'!$F$20/12))*L121*MIN(Reeksen!B53,Reeksen!D53))</f>
        <v>0</v>
      </c>
      <c r="O121" s="84">
        <f>IF(Reeksen!D53&lt;Reeksen!B53,(Reeksen!B53-Reeksen!D53)*L121,0)</f>
        <v>0</v>
      </c>
      <c r="P121" s="84">
        <f ca="1">IF(E121='Invoer gegevens'!$C$17+'Invoer gegevens'!$I$14+1,0,('Invoer gegevens'!$F$20/12)*L120*MIN(Reeksen!B52,Reeksen!D52))</f>
        <v>0</v>
      </c>
      <c r="Q121" s="84">
        <f ca="1">IF(E121&gt;='Invoer gegevens'!$C$17+'Invoer gegevens'!$I$14,0,L121-M121+I121+O121)</f>
        <v>0</v>
      </c>
      <c r="R121" s="82">
        <f ca="1">IF('Invoer gegevens'!$C$17=E121,'Invoer gegevens'!$C$11,IF(C121=1,W120,0))</f>
        <v>0</v>
      </c>
      <c r="S121" s="86">
        <f ca="1">IF(E121='Invoer gegevens'!$C$17+'Invoer gegevens'!$I$14,W120,IF(C121&gt;=1,R121*VLOOKUP(E121,Reeksen!$A$5:$B$76,2),0))</f>
        <v>0</v>
      </c>
      <c r="T121" s="84">
        <f ca="1">IF(E121='Invoer gegevens'!$C$17+'Invoer gegevens'!$I$14,W120,(1-('Invoer gegevens'!$F$20/12))*R121*MIN(Reeksen!B53,Reeksen!D53))</f>
        <v>0</v>
      </c>
      <c r="U121" s="84">
        <f>IF(Reeksen!D53&gt;=Reeksen!B53,0,IF(Reeksen!AK53&lt;=Reeksen!AE53,(Reeksen!B53-Reeksen!D53)*R121,0))</f>
        <v>0</v>
      </c>
      <c r="V121" s="86">
        <f>IF(Reeksen!D53&gt;=Reeksen!B53,0,IF(Reeksen!AK53&gt;Reeksen!AE53,(Reeksen!B53-Reeksen!D53)*R121,0))</f>
        <v>0</v>
      </c>
      <c r="W121" s="97">
        <f ca="1">IF(E121&gt;='Invoer gegevens'!$C$17+'Invoer gegevens'!$I$14,0,R121-S121)</f>
        <v>0</v>
      </c>
      <c r="X121" s="98">
        <f ca="1">IF('Invoer gegevens'!$C$17=E121,'Invoer gegevens'!$C$10-'Invoer gegevens'!$C$11,IF(C121=1,AC120,0))</f>
        <v>0</v>
      </c>
      <c r="Y121" s="98">
        <f ca="1">IF(E121='Invoer gegevens'!$C$17+'Invoer gegevens'!$I$14,AC120,IF(C121&gt;=1,X121*VLOOKUP(E121,Reeksen!$A$5:$B$76,2),0))</f>
        <v>0</v>
      </c>
      <c r="Z121" s="98">
        <f ca="1">IF(E121='Invoer gegevens'!$C$17+'Invoer gegevens'!$I$14,AC120,(1-('Invoer gegevens'!$F$20/12))*X121*MIN(Reeksen!B53,Reeksen!D53))</f>
        <v>0</v>
      </c>
      <c r="AA121" s="98">
        <f>IF(Reeksen!D53&gt;=Reeksen!B53,0,IF(Reeksen!AK53&lt;=Reeksen!AE53,(Reeksen!B53-Reeksen!D53)*X121,0))</f>
        <v>0</v>
      </c>
      <c r="AB121" s="98">
        <f>IF(Reeksen!D53&gt;=Reeksen!B53,0,IF(Reeksen!AK53&gt;Reeksen!AE53,(Reeksen!B53-Reeksen!D53)*X121,0))</f>
        <v>0</v>
      </c>
      <c r="AC121" s="99">
        <f ca="1">IF(E121&gt;='Invoer gegevens'!$C$17+'Invoer gegevens'!$I$14,0,X121-Y121)</f>
        <v>0</v>
      </c>
      <c r="AD121" s="98">
        <f ca="1">IF('Invoer gegevens'!$C$17=E53,R121,IF(C53=0,0,AE120))</f>
        <v>0</v>
      </c>
      <c r="AE121" s="98">
        <f t="shared" ca="1" si="9"/>
        <v>0</v>
      </c>
      <c r="AF121" s="98">
        <f ca="1">IF('Invoer gegevens'!$C$17=E53,X121,IF(C53=0,0,AG120))</f>
        <v>0</v>
      </c>
      <c r="AG121" s="98">
        <f t="shared" ca="1" si="10"/>
        <v>0</v>
      </c>
      <c r="AH121" s="66"/>
      <c r="AI121" s="71">
        <f ca="1">IF(C121=1,((Reeksen!BF53*(F121-G121+F121)/2)+((L121-M121+L121)/2*Reeksen!BG53))*12,0)</f>
        <v>0</v>
      </c>
      <c r="AJ121" s="71">
        <f ca="1">-AI121*'Invoer gegevens'!$I$26</f>
        <v>0</v>
      </c>
      <c r="AK121" s="71">
        <f t="shared" ca="1" si="11"/>
        <v>0</v>
      </c>
      <c r="AL121" s="71">
        <f ca="1">IF(C121=1,Reeksen!AL53*((F121-G121+F121)/2)*12+Reeksen!AM53*((L121-M121+L121)/2)*12,0)</f>
        <v>0</v>
      </c>
      <c r="AM121" s="71">
        <f ca="1">-AL121*'Invoer gegevens'!$F$31</f>
        <v>0</v>
      </c>
      <c r="AN121" s="71">
        <f t="shared" ca="1" si="12"/>
        <v>0</v>
      </c>
      <c r="AO121" s="71">
        <f ca="1">IF(E121&gt;='Invoer gegevens'!$C$17+'Invoer gegevens'!$I$14,0,IF(C121=1,(H121+J121+N121+P121)*Reeksen!AN53,0))</f>
        <v>0</v>
      </c>
      <c r="AP121" s="71">
        <f ca="1">-IF(C121=1,(H121+J121+N121+P121)*Reeksen!AN52*'Hulp - basis'!$B$550,0)</f>
        <v>0</v>
      </c>
      <c r="AQ121" s="71">
        <f ca="1">-IF(C121=1,(F121+K121+L121+Q121)/2*'Invoer gegevens'!$I$33*Reeksen!J53,0)</f>
        <v>0</v>
      </c>
      <c r="AR121" s="71">
        <f ca="1">-IF(C121=1,(I121*'Invoer gegevens'!$I$34)*Reeksen!J53,0)</f>
        <v>0</v>
      </c>
      <c r="AS121" s="71">
        <f ca="1">-IF(C121=1,(F121+K121+L121+Q121)/2*'Invoer gegevens'!$I$35*Reeksen!L53,0)</f>
        <v>0</v>
      </c>
      <c r="AT121" s="71">
        <f ca="1">-IF(C121=1,IF(E121='Invoer gegevens'!$C$17,'Invoer gegevens'!$C$11,AD121)*Reeksen!S53*'Invoer gegevens'!$C$18*Reeksen!P53,0)</f>
        <v>0</v>
      </c>
      <c r="AU121" s="71">
        <f ca="1">-IF(C121=1,(F121+K121+L121+Q121)/2*'Invoer gegevens'!$I$36*Reeksen!H53,0)</f>
        <v>0</v>
      </c>
      <c r="AV121" s="71">
        <f t="shared" ca="1" si="13"/>
        <v>0</v>
      </c>
      <c r="AW121" s="72">
        <f ca="1">IFERROR(IF(E121='Invoer gegevens'!$C$17+'Invoer gegevens'!$I$14-1,'Invoer gegevens'!$I$13*K121*Reeksen!H53,0),0)</f>
        <v>0</v>
      </c>
      <c r="AX121" s="72">
        <f ca="1">IFERROR(IF(E121='Invoer gegevens'!$C$17,-'Invoer gegevens'!$C$10*('Invoer gegevens'!$C$30+'Invoer gegevens'!$C$31)*Reeksen!H53,0),0)</f>
        <v>0</v>
      </c>
      <c r="AY121" s="73">
        <f ca="1">IF('Invoer gegevens'!$C$34=E121,'Invoer gegevens'!$C$27*'Invoer gegevens'!$C$10*'Invoer gegevens'!$C$36*(IF('Invoer gegevens'!$C$35="ja",1,Reeksen!J53)),IF('Invoer gegevens'!$C$34+1=E121,'Invoer gegevens'!$C$27*'Invoer gegevens'!$C$10*'Invoer gegevens'!$C$37*(IF('Invoer gegevens'!$C$35="ja",1,Reeksen!J53)),0))+IF(AND(E121='Invoer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1" s="73">
        <f ca="1">AV121/(1+'Invoer gegevens'!$I$12)^($D121-('Invoer gegevens'!$C$17-'Invoer gegevens'!$C$16))/(1+'Invoer gegevens'!$C$39)^('Invoer gegevens'!$C$17-'Invoer gegevens'!$C$16)</f>
        <v>0</v>
      </c>
      <c r="BA121" s="73">
        <f ca="1">AW121/(1+'Invoer gegevens'!$I$12)^(E121-('Invoer gegevens'!$C$17-1))/(1+'Invoer gegevens'!$C$39)^('Invoer gegevens'!$C$17-'Invoer gegevens'!$C$16)</f>
        <v>0</v>
      </c>
      <c r="BB121" s="73">
        <f ca="1">AX121/(1+'Invoer gegevens'!$C$39)^('Invoer gegevens'!$C$17-'Invoer gegevens'!$C$16)</f>
        <v>0</v>
      </c>
      <c r="BC121" s="72">
        <f t="shared" ca="1" si="14"/>
        <v>0</v>
      </c>
      <c r="BD121" s="72">
        <f ca="1">IF(AND(E121='Invoer gegevens'!$C$16,'Invoer gegevens'!$C$34&lt;'Invoer gegevens'!$C$16),AY121,AY121/(1+'Invoer gegevens'!$C$39)^D121)</f>
        <v>0</v>
      </c>
      <c r="BE121" s="72">
        <f ca="1">IF(E121='Invoer gegevens'!$C$34,-'Invoer gegevens'!$I$38,0)</f>
        <v>0</v>
      </c>
      <c r="BF121" s="72">
        <f ca="1">IF(E121='Invoer gegevens'!$C$17,-'Invoer gegevens'!$C$19*$BC$134,0)</f>
        <v>0</v>
      </c>
      <c r="BG121" s="72">
        <f ca="1">AV121/(1+$BG$72)^($D121-('Invoer gegevens'!$C$17-'Invoer gegevens'!$C$16))/(1+'Invoer gegevens'!$C$39)^('Invoer gegevens'!$C$17-'Invoer gegevens'!$C$16)+AW121/(1+$BG$72)^(E121-('Invoer gegevens'!$C$17-1))/(1+'Invoer gegevens'!$C$39)^('Invoer gegevens'!$C$17-'Invoer gegevens'!$C$16)+AX121/(1+'Invoer gegevens'!$C$39)^('Invoer gegevens'!$C$17-'Invoer gegevens'!$C$16)+(-AY121/(1+'Invoer gegevens'!$C$39)^D121)+BE121+BF121</f>
        <v>0</v>
      </c>
    </row>
    <row r="122" spans="2:59" x14ac:dyDescent="0.25">
      <c r="B122" s="70">
        <f t="shared" si="15"/>
        <v>50</v>
      </c>
      <c r="C122" s="67">
        <f ca="1">IF(AND(E122&gt;='Invoer gegevens'!$C$17,E122&lt;'Invoer gegevens'!$C$17+'Invoer gegevens'!$I$14),1,0)</f>
        <v>1</v>
      </c>
      <c r="D122" s="68">
        <f t="shared" si="16"/>
        <v>49.5</v>
      </c>
      <c r="E122" s="108">
        <f ca="1">IF('Invoer gegevens'!$C$16="","",E121+1)</f>
        <v>2068</v>
      </c>
      <c r="F122" s="84">
        <f ca="1">IF('Invoer gegevens'!$C$17=E122,'Invoer gegevens'!$C$10,IF(C122=1,K121,0))</f>
        <v>0</v>
      </c>
      <c r="G122" s="96">
        <f ca="1">IF(E122='Invoer gegevens'!$C$17+'Invoer gegevens'!$I$14,K121,IF(C122&gt;=1,F122*VLOOKUP(E122,Reeksen!$A$5:$B$76,2),0))</f>
        <v>0</v>
      </c>
      <c r="H122" s="84">
        <f ca="1">IF(E122='Invoer gegevens'!$C$17+'Invoer gegevens'!$I$14,K121,(1-('Invoer gegevens'!$F$20/12))*F122*MIN(Reeksen!B54,Reeksen!D54))</f>
        <v>0</v>
      </c>
      <c r="I122" s="84">
        <f>IF(Reeksen!D54&lt;Reeksen!B54,(Reeksen!B54-Reeksen!D54)*F122,0)</f>
        <v>0</v>
      </c>
      <c r="J122" s="84">
        <f ca="1">IF(E122='Invoer gegevens'!$C$17+'Invoer gegevens'!$I$14+1,0,('Invoer gegevens'!$F$20/12)*F121*MIN(Reeksen!B53,Reeksen!D53))</f>
        <v>0</v>
      </c>
      <c r="K122" s="97">
        <f ca="1">IF(E122&gt;='Invoer gegevens'!$C$17+'Invoer gegevens'!$I$14,0,F122-G122)</f>
        <v>0</v>
      </c>
      <c r="L122" s="84">
        <f ca="1">IF('Invoer gegevens'!$C$17=E122,0,IF(C122=1,Q121,0))</f>
        <v>0</v>
      </c>
      <c r="M122" s="96">
        <f ca="1">IF(E122='Invoer gegevens'!$C$17+'Invoer gegevens'!$I$14,Q121,IF(C122&gt;=1,L122*VLOOKUP(E122,Reeksen!$A$5:$B$76,2),0))</f>
        <v>0</v>
      </c>
      <c r="N122" s="84">
        <f ca="1">IF(C122='Invoer gegevens'!$C$17+'Invoer gegevens'!$I$14,Q121,(1-('Invoer gegevens'!$F$20/12))*L122*MIN(Reeksen!B54,Reeksen!D54))</f>
        <v>0</v>
      </c>
      <c r="O122" s="84">
        <f>IF(Reeksen!D54&lt;Reeksen!B54,(Reeksen!B54-Reeksen!D54)*L122,0)</f>
        <v>0</v>
      </c>
      <c r="P122" s="84">
        <f ca="1">IF(E122='Invoer gegevens'!$C$17+'Invoer gegevens'!$I$14+1,0,('Invoer gegevens'!$F$20/12)*L121*MIN(Reeksen!B53,Reeksen!D53))</f>
        <v>0</v>
      </c>
      <c r="Q122" s="84">
        <f ca="1">IF(E122&gt;='Invoer gegevens'!$C$17+'Invoer gegevens'!$I$14,0,L122-M122+I122+O122)</f>
        <v>0</v>
      </c>
      <c r="R122" s="82">
        <f ca="1">IF('Invoer gegevens'!$C$17=E122,'Invoer gegevens'!$C$11,IF(C122=1,W121,0))</f>
        <v>0</v>
      </c>
      <c r="S122" s="86">
        <f ca="1">IF(E122='Invoer gegevens'!$C$17+'Invoer gegevens'!$I$14,W121,IF(C122&gt;=1,R122*VLOOKUP(E122,Reeksen!$A$5:$B$76,2),0))</f>
        <v>0</v>
      </c>
      <c r="T122" s="84">
        <f ca="1">IF(E122='Invoer gegevens'!$C$17+'Invoer gegevens'!$I$14,W121,(1-('Invoer gegevens'!$F$20/12))*R122*MIN(Reeksen!B54,Reeksen!D54))</f>
        <v>0</v>
      </c>
      <c r="U122" s="84">
        <f>IF(Reeksen!D54&gt;=Reeksen!B54,0,IF(Reeksen!AK54&lt;=Reeksen!AE54,(Reeksen!B54-Reeksen!D54)*R122,0))</f>
        <v>0</v>
      </c>
      <c r="V122" s="86">
        <f>IF(Reeksen!D54&gt;=Reeksen!B54,0,IF(Reeksen!AK54&gt;Reeksen!AE54,(Reeksen!B54-Reeksen!D54)*R122,0))</f>
        <v>0</v>
      </c>
      <c r="W122" s="97">
        <f ca="1">IF(E122&gt;='Invoer gegevens'!$C$17+'Invoer gegevens'!$I$14,0,R122-S122)</f>
        <v>0</v>
      </c>
      <c r="X122" s="98">
        <f ca="1">IF('Invoer gegevens'!$C$17=E122,'Invoer gegevens'!$C$10-'Invoer gegevens'!$C$11,IF(C122=1,AC121,0))</f>
        <v>0</v>
      </c>
      <c r="Y122" s="98">
        <f ca="1">IF(E122='Invoer gegevens'!$C$17+'Invoer gegevens'!$I$14,AC121,IF(C122&gt;=1,X122*VLOOKUP(E122,Reeksen!$A$5:$B$76,2),0))</f>
        <v>0</v>
      </c>
      <c r="Z122" s="98">
        <f ca="1">IF(E122='Invoer gegevens'!$C$17+'Invoer gegevens'!$I$14,AC121,(1-('Invoer gegevens'!$F$20/12))*X122*MIN(Reeksen!B54,Reeksen!D54))</f>
        <v>0</v>
      </c>
      <c r="AA122" s="98">
        <f>IF(Reeksen!D54&gt;=Reeksen!B54,0,IF(Reeksen!AK54&lt;=Reeksen!AE54,(Reeksen!B54-Reeksen!D54)*X122,0))</f>
        <v>0</v>
      </c>
      <c r="AB122" s="98">
        <f>IF(Reeksen!D54&gt;=Reeksen!B54,0,IF(Reeksen!AK54&gt;Reeksen!AE54,(Reeksen!B54-Reeksen!D54)*X122,0))</f>
        <v>0</v>
      </c>
      <c r="AC122" s="99">
        <f ca="1">IF(E122&gt;='Invoer gegevens'!$C$17+'Invoer gegevens'!$I$14,0,X122-Y122)</f>
        <v>0</v>
      </c>
      <c r="AD122" s="98">
        <f ca="1">IF('Invoer gegevens'!$C$17=E54,R122,IF(C54=0,0,AE121))</f>
        <v>0</v>
      </c>
      <c r="AE122" s="98">
        <f t="shared" ca="1" si="9"/>
        <v>0</v>
      </c>
      <c r="AF122" s="98">
        <f ca="1">IF('Invoer gegevens'!$C$17=E54,X122,IF(C54=0,0,AG121))</f>
        <v>0</v>
      </c>
      <c r="AG122" s="98">
        <f t="shared" ca="1" si="10"/>
        <v>0</v>
      </c>
      <c r="AH122" s="66"/>
      <c r="AI122" s="71">
        <f ca="1">IF(C122=1,((Reeksen!BF54*(F122-G122+F122)/2)+((L122-M122+L122)/2*Reeksen!BG54))*12,0)</f>
        <v>0</v>
      </c>
      <c r="AJ122" s="71">
        <f ca="1">-AI122*'Invoer gegevens'!$I$26</f>
        <v>0</v>
      </c>
      <c r="AK122" s="71">
        <f t="shared" ca="1" si="11"/>
        <v>0</v>
      </c>
      <c r="AL122" s="71">
        <f ca="1">IF(C122=1,Reeksen!AL54*((F122-G122+F122)/2)*12+Reeksen!AM54*((L122-M122+L122)/2)*12,0)</f>
        <v>0</v>
      </c>
      <c r="AM122" s="71">
        <f ca="1">-AL122*'Invoer gegevens'!$F$31</f>
        <v>0</v>
      </c>
      <c r="AN122" s="71">
        <f t="shared" ca="1" si="12"/>
        <v>0</v>
      </c>
      <c r="AO122" s="71">
        <f ca="1">IF(E122&gt;='Invoer gegevens'!$C$17+'Invoer gegevens'!$I$14,0,IF(C122=1,(H122+J122+N122+P122)*Reeksen!AN54,0))</f>
        <v>0</v>
      </c>
      <c r="AP122" s="71">
        <f ca="1">-IF(C122=1,(H122+J122+N122+P122)*Reeksen!AN53*'Hulp - basis'!$B$550,0)</f>
        <v>0</v>
      </c>
      <c r="AQ122" s="71">
        <f ca="1">-IF(C122=1,(F122+K122+L122+Q122)/2*'Invoer gegevens'!$I$33*Reeksen!J54,0)</f>
        <v>0</v>
      </c>
      <c r="AR122" s="71">
        <f ca="1">-IF(C122=1,(I122*'Invoer gegevens'!$I$34)*Reeksen!J54,0)</f>
        <v>0</v>
      </c>
      <c r="AS122" s="71">
        <f ca="1">-IF(C122=1,(F122+K122+L122+Q122)/2*'Invoer gegevens'!$I$35*Reeksen!L54,0)</f>
        <v>0</v>
      </c>
      <c r="AT122" s="71">
        <f ca="1">-IF(C122=1,IF(E122='Invoer gegevens'!$C$17,'Invoer gegevens'!$C$11,AD122)*Reeksen!S54*'Invoer gegevens'!$C$18*Reeksen!P54,0)</f>
        <v>0</v>
      </c>
      <c r="AU122" s="71">
        <f ca="1">-IF(C122=1,(F122+K122+L122+Q122)/2*'Invoer gegevens'!$I$36*Reeksen!H54,0)</f>
        <v>0</v>
      </c>
      <c r="AV122" s="71">
        <f t="shared" ca="1" si="13"/>
        <v>0</v>
      </c>
      <c r="AW122" s="72">
        <f ca="1">IFERROR(IF(E122='Invoer gegevens'!$C$17+'Invoer gegevens'!$I$14-1,'Invoer gegevens'!$I$13*K122*Reeksen!H54,0),0)</f>
        <v>0</v>
      </c>
      <c r="AX122" s="72">
        <f ca="1">IFERROR(IF(E122='Invoer gegevens'!$C$17,-'Invoer gegevens'!$C$10*('Invoer gegevens'!$C$30+'Invoer gegevens'!$C$31)*Reeksen!H54,0),0)</f>
        <v>0</v>
      </c>
      <c r="AY122" s="73">
        <f ca="1">IF('Invoer gegevens'!$C$34=E122,'Invoer gegevens'!$C$27*'Invoer gegevens'!$C$10*'Invoer gegevens'!$C$36*(IF('Invoer gegevens'!$C$35="ja",1,Reeksen!J54)),IF('Invoer gegevens'!$C$34+1=E122,'Invoer gegevens'!$C$27*'Invoer gegevens'!$C$10*'Invoer gegevens'!$C$37*(IF('Invoer gegevens'!$C$35="ja",1,Reeksen!J54)),0))+IF(AND(E122='Invoer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2" s="73">
        <f ca="1">AV122/(1+'Invoer gegevens'!$I$12)^($D122-('Invoer gegevens'!$C$17-'Invoer gegevens'!$C$16))/(1+'Invoer gegevens'!$C$39)^('Invoer gegevens'!$C$17-'Invoer gegevens'!$C$16)</f>
        <v>0</v>
      </c>
      <c r="BA122" s="73">
        <f ca="1">AW122/(1+'Invoer gegevens'!$I$12)^(E122-('Invoer gegevens'!$C$17-1))/(1+'Invoer gegevens'!$C$39)^('Invoer gegevens'!$C$17-'Invoer gegevens'!$C$16)</f>
        <v>0</v>
      </c>
      <c r="BB122" s="73">
        <f ca="1">AX122/(1+'Invoer gegevens'!$C$39)^('Invoer gegevens'!$C$17-'Invoer gegevens'!$C$16)</f>
        <v>0</v>
      </c>
      <c r="BC122" s="72">
        <f t="shared" ca="1" si="14"/>
        <v>0</v>
      </c>
      <c r="BD122" s="72">
        <f ca="1">IF(AND(E122='Invoer gegevens'!$C$16,'Invoer gegevens'!$C$34&lt;'Invoer gegevens'!$C$16),AY122,AY122/(1+'Invoer gegevens'!$C$39)^D122)</f>
        <v>0</v>
      </c>
      <c r="BE122" s="72">
        <f ca="1">IF(E122='Invoer gegevens'!$C$34,-'Invoer gegevens'!$I$38,0)</f>
        <v>0</v>
      </c>
      <c r="BF122" s="72">
        <f ca="1">IF(E122='Invoer gegevens'!$C$17,-'Invoer gegevens'!$C$19*$BC$134,0)</f>
        <v>0</v>
      </c>
      <c r="BG122" s="72">
        <f ca="1">AV122/(1+$BG$72)^($D122-('Invoer gegevens'!$C$17-'Invoer gegevens'!$C$16))/(1+'Invoer gegevens'!$C$39)^('Invoer gegevens'!$C$17-'Invoer gegevens'!$C$16)+AW122/(1+$BG$72)^(E122-('Invoer gegevens'!$C$17-1))/(1+'Invoer gegevens'!$C$39)^('Invoer gegevens'!$C$17-'Invoer gegevens'!$C$16)+AX122/(1+'Invoer gegevens'!$C$39)^('Invoer gegevens'!$C$17-'Invoer gegevens'!$C$16)+(-AY122/(1+'Invoer gegevens'!$C$39)^D122)+BE122+BF122</f>
        <v>0</v>
      </c>
    </row>
    <row r="123" spans="2:59" x14ac:dyDescent="0.25">
      <c r="B123" s="70">
        <f t="shared" si="15"/>
        <v>51</v>
      </c>
      <c r="C123" s="67">
        <f ca="1">IF(AND(E123&gt;='Invoer gegevens'!$C$17,E123&lt;'Invoer gegevens'!$C$17+'Invoer gegevens'!$I$14),1,0)</f>
        <v>0</v>
      </c>
      <c r="D123" s="68">
        <f t="shared" si="16"/>
        <v>50.5</v>
      </c>
      <c r="E123" s="108">
        <f ca="1">IF('Invoer gegevens'!$C$16="","",E122+1)</f>
        <v>2069</v>
      </c>
      <c r="F123" s="84">
        <f ca="1">IF('Invoer gegevens'!$C$17=E123,'Invoer gegevens'!$C$10,IF(C123=1,K122,0))</f>
        <v>0</v>
      </c>
      <c r="G123" s="96">
        <f ca="1">IF(E123='Invoer gegevens'!$C$17+'Invoer gegevens'!$I$14,K122,IF(C123&gt;=1,F123*VLOOKUP(E123,Reeksen!$A$5:$B$76,2),0))</f>
        <v>0</v>
      </c>
      <c r="H123" s="84">
        <f ca="1">IF(E123='Invoer gegevens'!$C$17+'Invoer gegevens'!$I$14,K122,(1-('Invoer gegevens'!$F$20/12))*F123*MIN(Reeksen!B55,Reeksen!D55))</f>
        <v>0</v>
      </c>
      <c r="I123" s="84">
        <f>IF(Reeksen!D55&lt;Reeksen!B55,(Reeksen!B55-Reeksen!D55)*F123,0)</f>
        <v>0</v>
      </c>
      <c r="J123" s="84">
        <f ca="1">IF(E123='Invoer gegevens'!$C$17+'Invoer gegevens'!$I$14+1,0,('Invoer gegevens'!$F$20/12)*F122*MIN(Reeksen!B54,Reeksen!D54))</f>
        <v>0</v>
      </c>
      <c r="K123" s="97">
        <f ca="1">IF(E123&gt;='Invoer gegevens'!$C$17+'Invoer gegevens'!$I$14,0,F123-G123)</f>
        <v>0</v>
      </c>
      <c r="L123" s="84">
        <f ca="1">IF('Invoer gegevens'!$C$17=E123,0,IF(C123=1,Q122,0))</f>
        <v>0</v>
      </c>
      <c r="M123" s="96">
        <f ca="1">IF(E123='Invoer gegevens'!$C$17+'Invoer gegevens'!$I$14,Q122,IF(C123&gt;=1,L123*VLOOKUP(E123,Reeksen!$A$5:$B$76,2),0))</f>
        <v>0</v>
      </c>
      <c r="N123" s="84">
        <f ca="1">IF(C123='Invoer gegevens'!$C$17+'Invoer gegevens'!$I$14,Q122,(1-('Invoer gegevens'!$F$20/12))*L123*MIN(Reeksen!B55,Reeksen!D55))</f>
        <v>0</v>
      </c>
      <c r="O123" s="84">
        <f>IF(Reeksen!D55&lt;Reeksen!B55,(Reeksen!B55-Reeksen!D55)*L123,0)</f>
        <v>0</v>
      </c>
      <c r="P123" s="84">
        <f ca="1">IF(E123='Invoer gegevens'!$C$17+'Invoer gegevens'!$I$14+1,0,('Invoer gegevens'!$F$20/12)*L122*MIN(Reeksen!B54,Reeksen!D54))</f>
        <v>0</v>
      </c>
      <c r="Q123" s="84">
        <f ca="1">IF(E123&gt;='Invoer gegevens'!$C$17+'Invoer gegevens'!$I$14,0,L123-M123+I123+O123)</f>
        <v>0</v>
      </c>
      <c r="R123" s="82">
        <f ca="1">IF('Invoer gegevens'!$C$17=E123,'Invoer gegevens'!$C$11,IF(C123=1,W122,0))</f>
        <v>0</v>
      </c>
      <c r="S123" s="86">
        <f ca="1">IF(E123='Invoer gegevens'!$C$17+'Invoer gegevens'!$I$14,W122,IF(C123&gt;=1,R123*VLOOKUP(E123,Reeksen!$A$5:$B$76,2),0))</f>
        <v>0</v>
      </c>
      <c r="T123" s="84">
        <f ca="1">IF(E123='Invoer gegevens'!$C$17+'Invoer gegevens'!$I$14,W122,(1-('Invoer gegevens'!$F$20/12))*R123*MIN(Reeksen!B55,Reeksen!D55))</f>
        <v>0</v>
      </c>
      <c r="U123" s="84">
        <f>IF(Reeksen!D55&gt;=Reeksen!B55,0,IF(Reeksen!AK55&lt;=Reeksen!AE55,(Reeksen!B55-Reeksen!D55)*R123,0))</f>
        <v>0</v>
      </c>
      <c r="V123" s="86">
        <f>IF(Reeksen!D55&gt;=Reeksen!B55,0,IF(Reeksen!AK55&gt;Reeksen!AE55,(Reeksen!B55-Reeksen!D55)*R123,0))</f>
        <v>0</v>
      </c>
      <c r="W123" s="97">
        <f ca="1">IF(E123&gt;='Invoer gegevens'!$C$17+'Invoer gegevens'!$I$14,0,R123-S123)</f>
        <v>0</v>
      </c>
      <c r="X123" s="98">
        <f ca="1">IF('Invoer gegevens'!$C$17=E123,'Invoer gegevens'!$C$10-'Invoer gegevens'!$C$11,IF(C123=1,AC122,0))</f>
        <v>0</v>
      </c>
      <c r="Y123" s="98">
        <f ca="1">IF(E123='Invoer gegevens'!$C$17+'Invoer gegevens'!$I$14,AC122,IF(C123&gt;=1,X123*VLOOKUP(E123,Reeksen!$A$5:$B$76,2),0))</f>
        <v>0</v>
      </c>
      <c r="Z123" s="98">
        <f ca="1">IF(E123='Invoer gegevens'!$C$17+'Invoer gegevens'!$I$14,AC122,(1-('Invoer gegevens'!$F$20/12))*X123*MIN(Reeksen!B55,Reeksen!D55))</f>
        <v>0</v>
      </c>
      <c r="AA123" s="98">
        <f>IF(Reeksen!D55&gt;=Reeksen!B55,0,IF(Reeksen!AK55&lt;=Reeksen!AE55,(Reeksen!B55-Reeksen!D55)*X123,0))</f>
        <v>0</v>
      </c>
      <c r="AB123" s="98">
        <f>IF(Reeksen!D55&gt;=Reeksen!B55,0,IF(Reeksen!AK55&gt;Reeksen!AE55,(Reeksen!B55-Reeksen!D55)*X123,0))</f>
        <v>0</v>
      </c>
      <c r="AC123" s="99">
        <f ca="1">IF(E123&gt;='Invoer gegevens'!$C$17+'Invoer gegevens'!$I$14,0,X123-Y123)</f>
        <v>0</v>
      </c>
      <c r="AD123" s="98">
        <f ca="1">IF('Invoer gegevens'!$C$17=E55,R123,IF(C55=0,0,AE122))</f>
        <v>0</v>
      </c>
      <c r="AE123" s="98">
        <f t="shared" ca="1" si="9"/>
        <v>0</v>
      </c>
      <c r="AF123" s="98">
        <f ca="1">IF('Invoer gegevens'!$C$17=E55,X123,IF(C55=0,0,AG122))</f>
        <v>0</v>
      </c>
      <c r="AG123" s="98">
        <f t="shared" ca="1" si="10"/>
        <v>0</v>
      </c>
      <c r="AH123" s="66"/>
      <c r="AI123" s="71">
        <f ca="1">IF(C123=1,((Reeksen!BF55*(F123-G123+F123)/2)+((L123-M123+L123)/2*Reeksen!BG55))*12,0)</f>
        <v>0</v>
      </c>
      <c r="AJ123" s="71">
        <f ca="1">-AI123*'Invoer gegevens'!$I$26</f>
        <v>0</v>
      </c>
      <c r="AK123" s="71">
        <f t="shared" ca="1" si="11"/>
        <v>0</v>
      </c>
      <c r="AL123" s="71">
        <f ca="1">IF(C123=1,Reeksen!AL55*((F123-G123+F123)/2)*12+Reeksen!AM55*((L123-M123+L123)/2)*12,0)</f>
        <v>0</v>
      </c>
      <c r="AM123" s="71">
        <f ca="1">-AL123*'Invoer gegevens'!$F$31</f>
        <v>0</v>
      </c>
      <c r="AN123" s="71">
        <f t="shared" ca="1" si="12"/>
        <v>0</v>
      </c>
      <c r="AO123" s="71">
        <f ca="1">IF(E123&gt;='Invoer gegevens'!$C$17+'Invoer gegevens'!$I$14,0,IF(C123=1,(H123+J123+N123+P123)*Reeksen!AN55,0))</f>
        <v>0</v>
      </c>
      <c r="AP123" s="71">
        <f ca="1">-IF(C123=1,(H123+J123+N123+P123)*Reeksen!AN54*'Hulp - basis'!$B$550,0)</f>
        <v>0</v>
      </c>
      <c r="AQ123" s="71">
        <f ca="1">-IF(C123=1,(F123+K123+L123+Q123)/2*'Invoer gegevens'!$I$33*Reeksen!J55,0)</f>
        <v>0</v>
      </c>
      <c r="AR123" s="71">
        <f ca="1">-IF(C123=1,(I123*'Invoer gegevens'!$I$34)*Reeksen!J55,0)</f>
        <v>0</v>
      </c>
      <c r="AS123" s="71">
        <f ca="1">-IF(C123=1,(F123+K123+L123+Q123)/2*'Invoer gegevens'!$I$35*Reeksen!L55,0)</f>
        <v>0</v>
      </c>
      <c r="AT123" s="71">
        <f ca="1">-IF(C123=1,IF(E123='Invoer gegevens'!$C$17,'Invoer gegevens'!$C$11,AD123)*Reeksen!S55*'Invoer gegevens'!$C$18*Reeksen!P55,0)</f>
        <v>0</v>
      </c>
      <c r="AU123" s="71">
        <f ca="1">-IF(C123=1,(F123+K123+L123+Q123)/2*'Invoer gegevens'!$I$36*Reeksen!H55,0)</f>
        <v>0</v>
      </c>
      <c r="AV123" s="71">
        <f t="shared" ca="1" si="13"/>
        <v>0</v>
      </c>
      <c r="AW123" s="72">
        <f ca="1">IFERROR(IF(E123='Invoer gegevens'!$C$17+'Invoer gegevens'!$I$14-1,'Invoer gegevens'!$I$13*K123*Reeksen!H55,0),0)</f>
        <v>0</v>
      </c>
      <c r="AX123" s="72">
        <f ca="1">IFERROR(IF(E123='Invoer gegevens'!$C$17,-'Invoer gegevens'!$C$10*('Invoer gegevens'!$C$30+'Invoer gegevens'!$C$31)*Reeksen!H55,0),0)</f>
        <v>0</v>
      </c>
      <c r="AY123" s="73">
        <f ca="1">IF('Invoer gegevens'!$C$34=E123,'Invoer gegevens'!$C$27*'Invoer gegevens'!$C$10*'Invoer gegevens'!$C$36*(IF('Invoer gegevens'!$C$35="ja",1,Reeksen!J55)),IF('Invoer gegevens'!$C$34+1=E123,'Invoer gegevens'!$C$27*'Invoer gegevens'!$C$10*'Invoer gegevens'!$C$37*(IF('Invoer gegevens'!$C$35="ja",1,Reeksen!J55)),0))+IF(AND(E123='Invoer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3" s="73">
        <f ca="1">AV123/(1+'Invoer gegevens'!$I$12)^($D123-('Invoer gegevens'!$C$17-'Invoer gegevens'!$C$16))/(1+'Invoer gegevens'!$C$39)^('Invoer gegevens'!$C$17-'Invoer gegevens'!$C$16)</f>
        <v>0</v>
      </c>
      <c r="BA123" s="73">
        <f ca="1">AW123/(1+'Invoer gegevens'!$I$12)^(E123-('Invoer gegevens'!$C$17-1))/(1+'Invoer gegevens'!$C$39)^('Invoer gegevens'!$C$17-'Invoer gegevens'!$C$16)</f>
        <v>0</v>
      </c>
      <c r="BB123" s="73">
        <f ca="1">AX123/(1+'Invoer gegevens'!$C$39)^('Invoer gegevens'!$C$17-'Invoer gegevens'!$C$16)</f>
        <v>0</v>
      </c>
      <c r="BC123" s="72">
        <f t="shared" ca="1" si="14"/>
        <v>0</v>
      </c>
      <c r="BD123" s="72">
        <f ca="1">IF(AND(E123='Invoer gegevens'!$C$16,'Invoer gegevens'!$C$34&lt;'Invoer gegevens'!$C$16),AY123,AY123/(1+'Invoer gegevens'!$C$39)^D123)</f>
        <v>0</v>
      </c>
      <c r="BE123" s="72">
        <f ca="1">IF(E123='Invoer gegevens'!$C$34,-'Invoer gegevens'!$I$38,0)</f>
        <v>0</v>
      </c>
      <c r="BF123" s="72">
        <f ca="1">IF(E123='Invoer gegevens'!$C$17,-'Invoer gegevens'!$C$19*$BC$134,0)</f>
        <v>0</v>
      </c>
      <c r="BG123" s="72">
        <f ca="1">AV123/(1+$BG$72)^($D123-('Invoer gegevens'!$C$17-'Invoer gegevens'!$C$16))/(1+'Invoer gegevens'!$C$39)^('Invoer gegevens'!$C$17-'Invoer gegevens'!$C$16)+AW123/(1+$BG$72)^(E123-('Invoer gegevens'!$C$17-1))/(1+'Invoer gegevens'!$C$39)^('Invoer gegevens'!$C$17-'Invoer gegevens'!$C$16)+AX123/(1+'Invoer gegevens'!$C$39)^('Invoer gegevens'!$C$17-'Invoer gegevens'!$C$16)+(-AY123/(1+'Invoer gegevens'!$C$39)^D123)+BE123+BF123</f>
        <v>0</v>
      </c>
    </row>
    <row r="124" spans="2:59" x14ac:dyDescent="0.25">
      <c r="B124" s="70">
        <f t="shared" si="15"/>
        <v>52</v>
      </c>
      <c r="C124" s="67">
        <f ca="1">IF(AND(E124&gt;='Invoer gegevens'!$C$17,E124&lt;'Invoer gegevens'!$C$17+'Invoer gegevens'!$I$14),1,0)</f>
        <v>0</v>
      </c>
      <c r="D124" s="68">
        <f t="shared" si="16"/>
        <v>51.5</v>
      </c>
      <c r="E124" s="108">
        <f ca="1">IF('Invoer gegevens'!$C$16="","",E123+1)</f>
        <v>2070</v>
      </c>
      <c r="F124" s="84">
        <f ca="1">IF('Invoer gegevens'!$C$17=E124,'Invoer gegevens'!$C$10,IF(C124=1,K123,0))</f>
        <v>0</v>
      </c>
      <c r="G124" s="96">
        <f ca="1">IF(E124='Invoer gegevens'!$C$17+'Invoer gegevens'!$I$14,K123,IF(C124&gt;=1,F124*VLOOKUP(E124,Reeksen!$A$5:$B$76,2),0))</f>
        <v>0</v>
      </c>
      <c r="H124" s="84">
        <f ca="1">IF(E124='Invoer gegevens'!$C$17+'Invoer gegevens'!$I$14,K123,(1-('Invoer gegevens'!$F$20/12))*F124*MIN(Reeksen!B56,Reeksen!D56))</f>
        <v>0</v>
      </c>
      <c r="I124" s="84">
        <f>IF(Reeksen!D56&lt;Reeksen!B56,(Reeksen!B56-Reeksen!D56)*F124,0)</f>
        <v>0</v>
      </c>
      <c r="J124" s="84">
        <f ca="1">IF(E124='Invoer gegevens'!$C$17+'Invoer gegevens'!$I$14+1,0,('Invoer gegevens'!$F$20/12)*F123*MIN(Reeksen!B55,Reeksen!D55))</f>
        <v>0</v>
      </c>
      <c r="K124" s="97">
        <f ca="1">IF(E124&gt;='Invoer gegevens'!$C$17+'Invoer gegevens'!$I$14,0,F124-G124)</f>
        <v>0</v>
      </c>
      <c r="L124" s="84">
        <f ca="1">IF('Invoer gegevens'!$C$17=E124,0,IF(C124=1,Q123,0))</f>
        <v>0</v>
      </c>
      <c r="M124" s="96">
        <f ca="1">IF(E124='Invoer gegevens'!$C$17+'Invoer gegevens'!$I$14,Q123,IF(C124&gt;=1,L124*VLOOKUP(E124,Reeksen!$A$5:$B$76,2),0))</f>
        <v>0</v>
      </c>
      <c r="N124" s="84">
        <f ca="1">IF(C124='Invoer gegevens'!$C$17+'Invoer gegevens'!$I$14,Q123,(1-('Invoer gegevens'!$F$20/12))*L124*MIN(Reeksen!B56,Reeksen!D56))</f>
        <v>0</v>
      </c>
      <c r="O124" s="84">
        <f>IF(Reeksen!D56&lt;Reeksen!B56,(Reeksen!B56-Reeksen!D56)*L124,0)</f>
        <v>0</v>
      </c>
      <c r="P124" s="84">
        <f ca="1">IF(E124='Invoer gegevens'!$C$17+'Invoer gegevens'!$I$14+1,0,('Invoer gegevens'!$F$20/12)*L123*MIN(Reeksen!B55,Reeksen!D55))</f>
        <v>0</v>
      </c>
      <c r="Q124" s="84">
        <f ca="1">IF(E124&gt;='Invoer gegevens'!$C$17+'Invoer gegevens'!$I$14,0,L124-M124+I124+O124)</f>
        <v>0</v>
      </c>
      <c r="R124" s="82">
        <f ca="1">IF('Invoer gegevens'!$C$17=E124,'Invoer gegevens'!$C$11,IF(C124=1,W123,0))</f>
        <v>0</v>
      </c>
      <c r="S124" s="86">
        <f ca="1">IF(E124='Invoer gegevens'!$C$17+'Invoer gegevens'!$I$14,W123,IF(C124&gt;=1,R124*VLOOKUP(E124,Reeksen!$A$5:$B$76,2),0))</f>
        <v>0</v>
      </c>
      <c r="T124" s="84">
        <f ca="1">IF(E124='Invoer gegevens'!$C$17+'Invoer gegevens'!$I$14,W123,(1-('Invoer gegevens'!$F$20/12))*R124*MIN(Reeksen!B56,Reeksen!D56))</f>
        <v>0</v>
      </c>
      <c r="U124" s="84">
        <f>IF(Reeksen!D56&gt;=Reeksen!B56,0,IF(Reeksen!AK56&lt;=Reeksen!AE56,(Reeksen!B56-Reeksen!D56)*R124,0))</f>
        <v>0</v>
      </c>
      <c r="V124" s="86">
        <f>IF(Reeksen!D56&gt;=Reeksen!B56,0,IF(Reeksen!AK56&gt;Reeksen!AE56,(Reeksen!B56-Reeksen!D56)*R124,0))</f>
        <v>0</v>
      </c>
      <c r="W124" s="97">
        <f ca="1">IF(E124&gt;='Invoer gegevens'!$C$17+'Invoer gegevens'!$I$14,0,R124-S124)</f>
        <v>0</v>
      </c>
      <c r="X124" s="98">
        <f ca="1">IF('Invoer gegevens'!$C$17=E124,'Invoer gegevens'!$C$10-'Invoer gegevens'!$C$11,IF(C124=1,AC123,0))</f>
        <v>0</v>
      </c>
      <c r="Y124" s="98">
        <f ca="1">IF(E124='Invoer gegevens'!$C$17+'Invoer gegevens'!$I$14,AC123,IF(C124&gt;=1,X124*VLOOKUP(E124,Reeksen!$A$5:$B$76,2),0))</f>
        <v>0</v>
      </c>
      <c r="Z124" s="98">
        <f ca="1">IF(E124='Invoer gegevens'!$C$17+'Invoer gegevens'!$I$14,AC123,(1-('Invoer gegevens'!$F$20/12))*X124*MIN(Reeksen!B56,Reeksen!D56))</f>
        <v>0</v>
      </c>
      <c r="AA124" s="98">
        <f>IF(Reeksen!D56&gt;=Reeksen!B56,0,IF(Reeksen!AK56&lt;=Reeksen!AE56,(Reeksen!B56-Reeksen!D56)*X124,0))</f>
        <v>0</v>
      </c>
      <c r="AB124" s="98">
        <f>IF(Reeksen!D56&gt;=Reeksen!B56,0,IF(Reeksen!AK56&gt;Reeksen!AE56,(Reeksen!B56-Reeksen!D56)*X124,0))</f>
        <v>0</v>
      </c>
      <c r="AC124" s="99">
        <f ca="1">IF(E124&gt;='Invoer gegevens'!$C$17+'Invoer gegevens'!$I$14,0,X124-Y124)</f>
        <v>0</v>
      </c>
      <c r="AD124" s="98">
        <f ca="1">IF('Invoer gegevens'!$C$17=E56,R124,IF(C56=0,0,AE123))</f>
        <v>0</v>
      </c>
      <c r="AE124" s="98">
        <f t="shared" ca="1" si="9"/>
        <v>0</v>
      </c>
      <c r="AF124" s="98">
        <f ca="1">IF('Invoer gegevens'!$C$17=E56,X124,IF(C56=0,0,AG123))</f>
        <v>0</v>
      </c>
      <c r="AG124" s="98">
        <f t="shared" ca="1" si="10"/>
        <v>0</v>
      </c>
      <c r="AH124" s="66"/>
      <c r="AI124" s="71">
        <f ca="1">IF(C124=1,((Reeksen!BF56*(F124-G124+F124)/2)+((L124-M124+L124)/2*Reeksen!BG56))*12,0)</f>
        <v>0</v>
      </c>
      <c r="AJ124" s="71">
        <f ca="1">-AI124*'Invoer gegevens'!$I$26</f>
        <v>0</v>
      </c>
      <c r="AK124" s="71">
        <f t="shared" ca="1" si="11"/>
        <v>0</v>
      </c>
      <c r="AL124" s="71">
        <f ca="1">IF(C124=1,Reeksen!AL56*((F124-G124+F124)/2)*12+Reeksen!AM56*((L124-M124+L124)/2)*12,0)</f>
        <v>0</v>
      </c>
      <c r="AM124" s="71">
        <f ca="1">-AL124*'Invoer gegevens'!$F$31</f>
        <v>0</v>
      </c>
      <c r="AN124" s="71">
        <f t="shared" ca="1" si="12"/>
        <v>0</v>
      </c>
      <c r="AO124" s="71">
        <f ca="1">IF(E124&gt;='Invoer gegevens'!$C$17+'Invoer gegevens'!$I$14,0,IF(C124=1,(H124+J124+N124+P124)*Reeksen!AN56,0))</f>
        <v>0</v>
      </c>
      <c r="AP124" s="71">
        <f ca="1">-IF(C124=1,(H124+J124+N124+P124)*Reeksen!AN55*'Hulp - basis'!$B$550,0)</f>
        <v>0</v>
      </c>
      <c r="AQ124" s="71">
        <f ca="1">-IF(C124=1,(F124+K124+L124+Q124)/2*'Invoer gegevens'!$I$33*Reeksen!J56,0)</f>
        <v>0</v>
      </c>
      <c r="AR124" s="71">
        <f ca="1">-IF(C124=1,(I124*'Invoer gegevens'!$I$34)*Reeksen!J56,0)</f>
        <v>0</v>
      </c>
      <c r="AS124" s="71">
        <f ca="1">-IF(C124=1,(F124+K124+L124+Q124)/2*'Invoer gegevens'!$I$35*Reeksen!L56,0)</f>
        <v>0</v>
      </c>
      <c r="AT124" s="71">
        <f ca="1">-IF(C124=1,IF(E124='Invoer gegevens'!$C$17,'Invoer gegevens'!$C$11,AD124)*Reeksen!S56*'Invoer gegevens'!$C$18*Reeksen!P56,0)</f>
        <v>0</v>
      </c>
      <c r="AU124" s="71">
        <f ca="1">-IF(C124=1,(F124+K124+L124+Q124)/2*'Invoer gegevens'!$I$36*Reeksen!H56,0)</f>
        <v>0</v>
      </c>
      <c r="AV124" s="71">
        <f t="shared" ca="1" si="13"/>
        <v>0</v>
      </c>
      <c r="AW124" s="72">
        <f ca="1">IFERROR(IF(E124='Invoer gegevens'!$C$17+'Invoer gegevens'!$I$14-1,'Invoer gegevens'!$I$13*K124*Reeksen!H56,0),0)</f>
        <v>0</v>
      </c>
      <c r="AX124" s="72">
        <f ca="1">IFERROR(IF(E124='Invoer gegevens'!$C$17,-'Invoer gegevens'!$C$10*('Invoer gegevens'!$C$30+'Invoer gegevens'!$C$31)*Reeksen!H56,0),0)</f>
        <v>0</v>
      </c>
      <c r="AY124" s="73">
        <f ca="1">IF('Invoer gegevens'!$C$34=E124,'Invoer gegevens'!$C$27*'Invoer gegevens'!$C$10*'Invoer gegevens'!$C$36*(IF('Invoer gegevens'!$C$35="ja",1,Reeksen!J56)),IF('Invoer gegevens'!$C$34+1=E124,'Invoer gegevens'!$C$27*'Invoer gegevens'!$C$10*'Invoer gegevens'!$C$37*(IF('Invoer gegevens'!$C$35="ja",1,Reeksen!J56)),0))+IF(AND(E124='Invoer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4" s="73">
        <f ca="1">AV124/(1+'Invoer gegevens'!$I$12)^($D124-('Invoer gegevens'!$C$17-'Invoer gegevens'!$C$16))/(1+'Invoer gegevens'!$C$39)^('Invoer gegevens'!$C$17-'Invoer gegevens'!$C$16)</f>
        <v>0</v>
      </c>
      <c r="BA124" s="73">
        <f ca="1">AW124/(1+'Invoer gegevens'!$I$12)^(E124-('Invoer gegevens'!$C$17-1))/(1+'Invoer gegevens'!$C$39)^('Invoer gegevens'!$C$17-'Invoer gegevens'!$C$16)</f>
        <v>0</v>
      </c>
      <c r="BB124" s="73">
        <f ca="1">AX124/(1+'Invoer gegevens'!$C$39)^('Invoer gegevens'!$C$17-'Invoer gegevens'!$C$16)</f>
        <v>0</v>
      </c>
      <c r="BC124" s="72">
        <f t="shared" ca="1" si="14"/>
        <v>0</v>
      </c>
      <c r="BD124" s="72">
        <f ca="1">IF(AND(E124='Invoer gegevens'!$C$16,'Invoer gegevens'!$C$34&lt;'Invoer gegevens'!$C$16),AY124,AY124/(1+'Invoer gegevens'!$C$39)^D124)</f>
        <v>0</v>
      </c>
      <c r="BE124" s="72">
        <f ca="1">IF(E124='Invoer gegevens'!$C$34,-'Invoer gegevens'!$I$38,0)</f>
        <v>0</v>
      </c>
      <c r="BF124" s="72">
        <f ca="1">IF(E124='Invoer gegevens'!$C$17,-'Invoer gegevens'!$C$19*$BC$134,0)</f>
        <v>0</v>
      </c>
      <c r="BG124" s="72">
        <f ca="1">AV124/(1+$BG$72)^($D124-('Invoer gegevens'!$C$17-'Invoer gegevens'!$C$16))/(1+'Invoer gegevens'!$C$39)^('Invoer gegevens'!$C$17-'Invoer gegevens'!$C$16)+AW124/(1+$BG$72)^(E124-('Invoer gegevens'!$C$17-1))/(1+'Invoer gegevens'!$C$39)^('Invoer gegevens'!$C$17-'Invoer gegevens'!$C$16)+AX124/(1+'Invoer gegevens'!$C$39)^('Invoer gegevens'!$C$17-'Invoer gegevens'!$C$16)+(-AY124/(1+'Invoer gegevens'!$C$39)^D124)+BE124+BF124</f>
        <v>0</v>
      </c>
    </row>
    <row r="125" spans="2:59" x14ac:dyDescent="0.25">
      <c r="B125" s="70">
        <f t="shared" si="15"/>
        <v>53</v>
      </c>
      <c r="C125" s="67">
        <f ca="1">IF(AND(E125&gt;='Invoer gegevens'!$C$17,E125&lt;'Invoer gegevens'!$C$17+'Invoer gegevens'!$I$14),1,0)</f>
        <v>0</v>
      </c>
      <c r="D125" s="68">
        <f t="shared" si="16"/>
        <v>52.5</v>
      </c>
      <c r="E125" s="108">
        <f ca="1">IF('Invoer gegevens'!$C$16="","",E124+1)</f>
        <v>2071</v>
      </c>
      <c r="F125" s="84">
        <f ca="1">IF('Invoer gegevens'!$C$17=E125,'Invoer gegevens'!$C$10,IF(C125=1,K124,0))</f>
        <v>0</v>
      </c>
      <c r="G125" s="96">
        <f ca="1">IF(E125='Invoer gegevens'!$C$17+'Invoer gegevens'!$I$14,K124,IF(C125&gt;=1,F125*VLOOKUP(E125,Reeksen!$A$5:$B$76,2),0))</f>
        <v>0</v>
      </c>
      <c r="H125" s="84">
        <f ca="1">IF(E125='Invoer gegevens'!$C$17+'Invoer gegevens'!$I$14,K124,(1-('Invoer gegevens'!$F$20/12))*F125*MIN(Reeksen!B57,Reeksen!D57))</f>
        <v>0</v>
      </c>
      <c r="I125" s="84">
        <f>IF(Reeksen!D57&lt;Reeksen!B57,(Reeksen!B57-Reeksen!D57)*F125,0)</f>
        <v>0</v>
      </c>
      <c r="J125" s="84">
        <f ca="1">IF(E125='Invoer gegevens'!$C$17+'Invoer gegevens'!$I$14+1,0,('Invoer gegevens'!$F$20/12)*F124*MIN(Reeksen!B56,Reeksen!D56))</f>
        <v>0</v>
      </c>
      <c r="K125" s="97">
        <f ca="1">IF(E125&gt;='Invoer gegevens'!$C$17+'Invoer gegevens'!$I$14,0,F125-G125)</f>
        <v>0</v>
      </c>
      <c r="L125" s="84">
        <f ca="1">IF('Invoer gegevens'!$C$17=E125,0,IF(C125=1,Q124,0))</f>
        <v>0</v>
      </c>
      <c r="M125" s="96">
        <f ca="1">IF(E125='Invoer gegevens'!$C$17+'Invoer gegevens'!$I$14,Q124,IF(C125&gt;=1,L125*VLOOKUP(E125,Reeksen!$A$5:$B$76,2),0))</f>
        <v>0</v>
      </c>
      <c r="N125" s="84">
        <f ca="1">IF(C125='Invoer gegevens'!$C$17+'Invoer gegevens'!$I$14,Q124,(1-('Invoer gegevens'!$F$20/12))*L125*MIN(Reeksen!B57,Reeksen!D57))</f>
        <v>0</v>
      </c>
      <c r="O125" s="84">
        <f>IF(Reeksen!D57&lt;Reeksen!B57,(Reeksen!B57-Reeksen!D57)*L125,0)</f>
        <v>0</v>
      </c>
      <c r="P125" s="84">
        <f ca="1">IF(E125='Invoer gegevens'!$C$17+'Invoer gegevens'!$I$14+1,0,('Invoer gegevens'!$F$20/12)*L124*MIN(Reeksen!B56,Reeksen!D56))</f>
        <v>0</v>
      </c>
      <c r="Q125" s="84">
        <f ca="1">IF(E125&gt;='Invoer gegevens'!$C$17+'Invoer gegevens'!$I$14,0,L125-M125+I125+O125)</f>
        <v>0</v>
      </c>
      <c r="R125" s="82">
        <f ca="1">IF('Invoer gegevens'!$C$17=E125,'Invoer gegevens'!$C$11,IF(C125=1,W124,0))</f>
        <v>0</v>
      </c>
      <c r="S125" s="86">
        <f ca="1">IF(E125='Invoer gegevens'!$C$17+'Invoer gegevens'!$I$14,W124,IF(C125&gt;=1,R125*VLOOKUP(E125,Reeksen!$A$5:$B$76,2),0))</f>
        <v>0</v>
      </c>
      <c r="T125" s="84">
        <f ca="1">IF(E125='Invoer gegevens'!$C$17+'Invoer gegevens'!$I$14,W124,(1-('Invoer gegevens'!$F$20/12))*R125*MIN(Reeksen!B57,Reeksen!D57))</f>
        <v>0</v>
      </c>
      <c r="U125" s="84">
        <f>IF(Reeksen!D57&gt;=Reeksen!B57,0,IF(Reeksen!AK57&lt;=Reeksen!AE57,(Reeksen!B57-Reeksen!D57)*R125,0))</f>
        <v>0</v>
      </c>
      <c r="V125" s="86">
        <f>IF(Reeksen!D57&gt;=Reeksen!B57,0,IF(Reeksen!AK57&gt;Reeksen!AE57,(Reeksen!B57-Reeksen!D57)*R125,0))</f>
        <v>0</v>
      </c>
      <c r="W125" s="97">
        <f ca="1">IF(E125&gt;='Invoer gegevens'!$C$17+'Invoer gegevens'!$I$14,0,R125-S125)</f>
        <v>0</v>
      </c>
      <c r="X125" s="98">
        <f ca="1">IF('Invoer gegevens'!$C$17=E125,'Invoer gegevens'!$C$10-'Invoer gegevens'!$C$11,IF(C125=1,AC124,0))</f>
        <v>0</v>
      </c>
      <c r="Y125" s="98">
        <f ca="1">IF(E125='Invoer gegevens'!$C$17+'Invoer gegevens'!$I$14,AC124,IF(C125&gt;=1,X125*VLOOKUP(E125,Reeksen!$A$5:$B$76,2),0))</f>
        <v>0</v>
      </c>
      <c r="Z125" s="98">
        <f ca="1">IF(E125='Invoer gegevens'!$C$17+'Invoer gegevens'!$I$14,AC124,(1-('Invoer gegevens'!$F$20/12))*X125*MIN(Reeksen!B57,Reeksen!D57))</f>
        <v>0</v>
      </c>
      <c r="AA125" s="98">
        <f>IF(Reeksen!D57&gt;=Reeksen!B57,0,IF(Reeksen!AK57&lt;=Reeksen!AE57,(Reeksen!B57-Reeksen!D57)*X125,0))</f>
        <v>0</v>
      </c>
      <c r="AB125" s="98">
        <f>IF(Reeksen!D57&gt;=Reeksen!B57,0,IF(Reeksen!AK57&gt;Reeksen!AE57,(Reeksen!B57-Reeksen!D57)*X125,0))</f>
        <v>0</v>
      </c>
      <c r="AC125" s="99">
        <f ca="1">IF(E125&gt;='Invoer gegevens'!$C$17+'Invoer gegevens'!$I$14,0,X125-Y125)</f>
        <v>0</v>
      </c>
      <c r="AD125" s="98">
        <f ca="1">IF('Invoer gegevens'!$C$17=E57,R125,IF(C57=0,0,AE124))</f>
        <v>0</v>
      </c>
      <c r="AE125" s="98">
        <f t="shared" ca="1" si="9"/>
        <v>0</v>
      </c>
      <c r="AF125" s="98">
        <f ca="1">IF('Invoer gegevens'!$C$17=E57,X125,IF(C57=0,0,AG124))</f>
        <v>0</v>
      </c>
      <c r="AG125" s="98">
        <f t="shared" ca="1" si="10"/>
        <v>0</v>
      </c>
      <c r="AH125" s="66"/>
      <c r="AI125" s="71">
        <f ca="1">IF(C125=1,((Reeksen!BF57*(F125-G125+F125)/2)+((L125-M125+L125)/2*Reeksen!BG57))*12,0)</f>
        <v>0</v>
      </c>
      <c r="AJ125" s="71">
        <f ca="1">-AI125*'Invoer gegevens'!$I$26</f>
        <v>0</v>
      </c>
      <c r="AK125" s="71">
        <f t="shared" ca="1" si="11"/>
        <v>0</v>
      </c>
      <c r="AL125" s="71">
        <f ca="1">IF(C125=1,Reeksen!AL57*((F125-G125+F125)/2)*12+Reeksen!AM57*((L125-M125+L125)/2)*12,0)</f>
        <v>0</v>
      </c>
      <c r="AM125" s="71">
        <f ca="1">-AL125*'Invoer gegevens'!$F$31</f>
        <v>0</v>
      </c>
      <c r="AN125" s="71">
        <f t="shared" ca="1" si="12"/>
        <v>0</v>
      </c>
      <c r="AO125" s="71">
        <f ca="1">IF(E125&gt;='Invoer gegevens'!$C$17+'Invoer gegevens'!$I$14,0,IF(C125=1,(H125+J125+N125+P125)*Reeksen!AN57,0))</f>
        <v>0</v>
      </c>
      <c r="AP125" s="71">
        <f ca="1">-IF(C125=1,(H125+J125+N125+P125)*Reeksen!AN56*'Hulp - basis'!$B$550,0)</f>
        <v>0</v>
      </c>
      <c r="AQ125" s="71">
        <f ca="1">-IF(C125=1,(F125+K125+L125+Q125)/2*'Invoer gegevens'!$I$33*Reeksen!J57,0)</f>
        <v>0</v>
      </c>
      <c r="AR125" s="71">
        <f ca="1">-IF(C125=1,(I125*'Invoer gegevens'!$I$34)*Reeksen!J57,0)</f>
        <v>0</v>
      </c>
      <c r="AS125" s="71">
        <f ca="1">-IF(C125=1,(F125+K125+L125+Q125)/2*'Invoer gegevens'!$I$35*Reeksen!L57,0)</f>
        <v>0</v>
      </c>
      <c r="AT125" s="71">
        <f ca="1">-IF(C125=1,IF(E125='Invoer gegevens'!$C$17,'Invoer gegevens'!$C$11,AD125)*Reeksen!S57*'Invoer gegevens'!$C$18*Reeksen!P57,0)</f>
        <v>0</v>
      </c>
      <c r="AU125" s="71">
        <f ca="1">-IF(C125=1,(F125+K125+L125+Q125)/2*'Invoer gegevens'!$I$36*Reeksen!H57,0)</f>
        <v>0</v>
      </c>
      <c r="AV125" s="71">
        <f t="shared" ca="1" si="13"/>
        <v>0</v>
      </c>
      <c r="AW125" s="72">
        <f ca="1">IFERROR(IF(E125='Invoer gegevens'!$C$17+'Invoer gegevens'!$I$14-1,'Invoer gegevens'!$I$13*K125*Reeksen!H57,0),0)</f>
        <v>0</v>
      </c>
      <c r="AX125" s="72">
        <f ca="1">IFERROR(IF(E125='Invoer gegevens'!$C$17,-'Invoer gegevens'!$C$10*('Invoer gegevens'!$C$30+'Invoer gegevens'!$C$31)*Reeksen!H57,0),0)</f>
        <v>0</v>
      </c>
      <c r="AY125" s="73">
        <f ca="1">IF('Invoer gegevens'!$C$34=E125,'Invoer gegevens'!$C$27*'Invoer gegevens'!$C$10*'Invoer gegevens'!$C$36*(IF('Invoer gegevens'!$C$35="ja",1,Reeksen!J57)),IF('Invoer gegevens'!$C$34+1=E125,'Invoer gegevens'!$C$27*'Invoer gegevens'!$C$10*'Invoer gegevens'!$C$37*(IF('Invoer gegevens'!$C$35="ja",1,Reeksen!J57)),0))+IF(AND(E125='Invoer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5" s="73">
        <f ca="1">AV125/(1+'Invoer gegevens'!$I$12)^($D125-('Invoer gegevens'!$C$17-'Invoer gegevens'!$C$16))/(1+'Invoer gegevens'!$C$39)^('Invoer gegevens'!$C$17-'Invoer gegevens'!$C$16)</f>
        <v>0</v>
      </c>
      <c r="BA125" s="73">
        <f ca="1">AW125/(1+'Invoer gegevens'!$I$12)^(E125-('Invoer gegevens'!$C$17-1))/(1+'Invoer gegevens'!$C$39)^('Invoer gegevens'!$C$17-'Invoer gegevens'!$C$16)</f>
        <v>0</v>
      </c>
      <c r="BB125" s="73">
        <f ca="1">AX125/(1+'Invoer gegevens'!$C$39)^('Invoer gegevens'!$C$17-'Invoer gegevens'!$C$16)</f>
        <v>0</v>
      </c>
      <c r="BC125" s="72">
        <f t="shared" ca="1" si="14"/>
        <v>0</v>
      </c>
      <c r="BD125" s="72">
        <f ca="1">IF(AND(E125='Invoer gegevens'!$C$16,'Invoer gegevens'!$C$34&lt;'Invoer gegevens'!$C$16),AY125,AY125/(1+'Invoer gegevens'!$C$39)^D125)</f>
        <v>0</v>
      </c>
      <c r="BE125" s="72">
        <f ca="1">IF(E125='Invoer gegevens'!$C$34,-'Invoer gegevens'!$I$38,0)</f>
        <v>0</v>
      </c>
      <c r="BF125" s="72">
        <f ca="1">IF(E125='Invoer gegevens'!$C$17,-'Invoer gegevens'!$C$19*$BC$134,0)</f>
        <v>0</v>
      </c>
      <c r="BG125" s="72">
        <f ca="1">AV125/(1+$BG$72)^($D125-('Invoer gegevens'!$C$17-'Invoer gegevens'!$C$16))/(1+'Invoer gegevens'!$C$39)^('Invoer gegevens'!$C$17-'Invoer gegevens'!$C$16)+AW125/(1+$BG$72)^(E125-('Invoer gegevens'!$C$17-1))/(1+'Invoer gegevens'!$C$39)^('Invoer gegevens'!$C$17-'Invoer gegevens'!$C$16)+AX125/(1+'Invoer gegevens'!$C$39)^('Invoer gegevens'!$C$17-'Invoer gegevens'!$C$16)+(-AY125/(1+'Invoer gegevens'!$C$39)^D125)+BE125+BF125</f>
        <v>0</v>
      </c>
    </row>
    <row r="126" spans="2:59" x14ac:dyDescent="0.25">
      <c r="B126" s="70">
        <f t="shared" si="15"/>
        <v>54</v>
      </c>
      <c r="C126" s="67">
        <f ca="1">IF(AND(E126&gt;='Invoer gegevens'!$C$17,E126&lt;'Invoer gegevens'!$C$17+'Invoer gegevens'!$I$14),1,0)</f>
        <v>0</v>
      </c>
      <c r="D126" s="68">
        <f t="shared" si="16"/>
        <v>53.5</v>
      </c>
      <c r="E126" s="108">
        <f ca="1">IF('Invoer gegevens'!$C$16="","",E125+1)</f>
        <v>2072</v>
      </c>
      <c r="F126" s="84">
        <f ca="1">IF('Invoer gegevens'!$C$17=E126,'Invoer gegevens'!$C$10,IF(C126=1,K125,0))</f>
        <v>0</v>
      </c>
      <c r="G126" s="96">
        <f ca="1">IF(E126='Invoer gegevens'!$C$17+'Invoer gegevens'!$I$14,K125,IF(C126&gt;=1,F126*VLOOKUP(E126,Reeksen!$A$5:$B$76,2),0))</f>
        <v>0</v>
      </c>
      <c r="H126" s="84">
        <f ca="1">IF(E126='Invoer gegevens'!$C$17+'Invoer gegevens'!$I$14,K125,(1-('Invoer gegevens'!$F$20/12))*F126*MIN(Reeksen!B58,Reeksen!D58))</f>
        <v>0</v>
      </c>
      <c r="I126" s="84">
        <f>IF(Reeksen!D58&lt;Reeksen!B58,(Reeksen!B58-Reeksen!D58)*F126,0)</f>
        <v>0</v>
      </c>
      <c r="J126" s="84">
        <f ca="1">IF(E126='Invoer gegevens'!$C$17+'Invoer gegevens'!$I$14+1,0,('Invoer gegevens'!$F$20/12)*F125*MIN(Reeksen!B57,Reeksen!D57))</f>
        <v>0</v>
      </c>
      <c r="K126" s="97">
        <f ca="1">IF(E126&gt;='Invoer gegevens'!$C$17+'Invoer gegevens'!$I$14,0,F126-G126)</f>
        <v>0</v>
      </c>
      <c r="L126" s="84">
        <f ca="1">IF('Invoer gegevens'!$C$17=E126,0,IF(C126=1,Q125,0))</f>
        <v>0</v>
      </c>
      <c r="M126" s="96">
        <f ca="1">IF(E126='Invoer gegevens'!$C$17+'Invoer gegevens'!$I$14,Q125,IF(C126&gt;=1,L126*VLOOKUP(E126,Reeksen!$A$5:$B$76,2),0))</f>
        <v>0</v>
      </c>
      <c r="N126" s="84">
        <f ca="1">IF(C126='Invoer gegevens'!$C$17+'Invoer gegevens'!$I$14,Q125,(1-('Invoer gegevens'!$F$20/12))*L126*MIN(Reeksen!B58,Reeksen!D58))</f>
        <v>0</v>
      </c>
      <c r="O126" s="84">
        <f>IF(Reeksen!D58&lt;Reeksen!B58,(Reeksen!B58-Reeksen!D58)*L126,0)</f>
        <v>0</v>
      </c>
      <c r="P126" s="84">
        <f ca="1">IF(E126='Invoer gegevens'!$C$17+'Invoer gegevens'!$I$14+1,0,('Invoer gegevens'!$F$20/12)*L125*MIN(Reeksen!B57,Reeksen!D57))</f>
        <v>0</v>
      </c>
      <c r="Q126" s="84">
        <f ca="1">IF(E126&gt;='Invoer gegevens'!$C$17+'Invoer gegevens'!$I$14,0,L126-M126+I126+O126)</f>
        <v>0</v>
      </c>
      <c r="R126" s="82">
        <f ca="1">IF('Invoer gegevens'!$C$17=E126,'Invoer gegevens'!$C$11,IF(C126=1,W125,0))</f>
        <v>0</v>
      </c>
      <c r="S126" s="86">
        <f ca="1">IF(E126='Invoer gegevens'!$C$17+'Invoer gegevens'!$I$14,W125,IF(C126&gt;=1,R126*VLOOKUP(E126,Reeksen!$A$5:$B$76,2),0))</f>
        <v>0</v>
      </c>
      <c r="T126" s="84">
        <f ca="1">IF(E126='Invoer gegevens'!$C$17+'Invoer gegevens'!$I$14,W125,(1-('Invoer gegevens'!$F$20/12))*R126*MIN(Reeksen!B58,Reeksen!D58))</f>
        <v>0</v>
      </c>
      <c r="U126" s="84">
        <f>IF(Reeksen!D58&gt;=Reeksen!B58,0,IF(Reeksen!AK58&lt;=Reeksen!AE58,(Reeksen!B58-Reeksen!D58)*R126,0))</f>
        <v>0</v>
      </c>
      <c r="V126" s="86">
        <f>IF(Reeksen!D58&gt;=Reeksen!B58,0,IF(Reeksen!AK58&gt;Reeksen!AE58,(Reeksen!B58-Reeksen!D58)*R126,0))</f>
        <v>0</v>
      </c>
      <c r="W126" s="97">
        <f ca="1">IF(E126&gt;='Invoer gegevens'!$C$17+'Invoer gegevens'!$I$14,0,R126-S126)</f>
        <v>0</v>
      </c>
      <c r="X126" s="98">
        <f ca="1">IF('Invoer gegevens'!$C$17=E126,'Invoer gegevens'!$C$10-'Invoer gegevens'!$C$11,IF(C126=1,AC125,0))</f>
        <v>0</v>
      </c>
      <c r="Y126" s="98">
        <f ca="1">IF(E126='Invoer gegevens'!$C$17+'Invoer gegevens'!$I$14,AC125,IF(C126&gt;=1,X126*VLOOKUP(E126,Reeksen!$A$5:$B$76,2),0))</f>
        <v>0</v>
      </c>
      <c r="Z126" s="98">
        <f ca="1">IF(E126='Invoer gegevens'!$C$17+'Invoer gegevens'!$I$14,AC125,(1-('Invoer gegevens'!$F$20/12))*X126*MIN(Reeksen!B58,Reeksen!D58))</f>
        <v>0</v>
      </c>
      <c r="AA126" s="98">
        <f>IF(Reeksen!D58&gt;=Reeksen!B58,0,IF(Reeksen!AK58&lt;=Reeksen!AE58,(Reeksen!B58-Reeksen!D58)*X126,0))</f>
        <v>0</v>
      </c>
      <c r="AB126" s="98">
        <f>IF(Reeksen!D58&gt;=Reeksen!B58,0,IF(Reeksen!AK58&gt;Reeksen!AE58,(Reeksen!B58-Reeksen!D58)*X126,0))</f>
        <v>0</v>
      </c>
      <c r="AC126" s="99">
        <f ca="1">IF(E126&gt;='Invoer gegevens'!$C$17+'Invoer gegevens'!$I$14,0,X126-Y126)</f>
        <v>0</v>
      </c>
      <c r="AD126" s="98">
        <f ca="1">IF('Invoer gegevens'!$C$17=E58,R126,IF(C58=0,0,AE125))</f>
        <v>0</v>
      </c>
      <c r="AE126" s="98">
        <f t="shared" ca="1" si="9"/>
        <v>0</v>
      </c>
      <c r="AF126" s="98">
        <f ca="1">IF('Invoer gegevens'!$C$17=E58,X126,IF(C58=0,0,AG125))</f>
        <v>0</v>
      </c>
      <c r="AG126" s="98">
        <f t="shared" ca="1" si="10"/>
        <v>0</v>
      </c>
      <c r="AH126" s="66"/>
      <c r="AI126" s="71">
        <f ca="1">IF(C126=1,((Reeksen!BF58*(F126-G126+F126)/2)+((L126-M126+L126)/2*Reeksen!BG58))*12,0)</f>
        <v>0</v>
      </c>
      <c r="AJ126" s="71">
        <f ca="1">-AI126*'Invoer gegevens'!$I$26</f>
        <v>0</v>
      </c>
      <c r="AK126" s="71">
        <f t="shared" ca="1" si="11"/>
        <v>0</v>
      </c>
      <c r="AL126" s="71">
        <f ca="1">IF(C126=1,Reeksen!AL58*((F126-G126+F126)/2)*12+Reeksen!AM58*((L126-M126+L126)/2)*12,0)</f>
        <v>0</v>
      </c>
      <c r="AM126" s="71">
        <f ca="1">-AL126*'Invoer gegevens'!$F$31</f>
        <v>0</v>
      </c>
      <c r="AN126" s="71">
        <f t="shared" ca="1" si="12"/>
        <v>0</v>
      </c>
      <c r="AO126" s="71">
        <f ca="1">IF(E126&gt;='Invoer gegevens'!$C$17+'Invoer gegevens'!$I$14,0,IF(C126=1,(H126+J126+N126+P126)*Reeksen!AN58,0))</f>
        <v>0</v>
      </c>
      <c r="AP126" s="71">
        <f ca="1">-IF(C126=1,(H126+J126+N126+P126)*Reeksen!AN57*'Hulp - basis'!$B$550,0)</f>
        <v>0</v>
      </c>
      <c r="AQ126" s="71">
        <f ca="1">-IF(C126=1,(F126+K126+L126+Q126)/2*'Invoer gegevens'!$I$33*Reeksen!J58,0)</f>
        <v>0</v>
      </c>
      <c r="AR126" s="71">
        <f ca="1">-IF(C126=1,(I126*'Invoer gegevens'!$I$34)*Reeksen!J58,0)</f>
        <v>0</v>
      </c>
      <c r="AS126" s="71">
        <f ca="1">-IF(C126=1,(F126+K126+L126+Q126)/2*'Invoer gegevens'!$I$35*Reeksen!L58,0)</f>
        <v>0</v>
      </c>
      <c r="AT126" s="71">
        <f ca="1">-IF(C126=1,IF(E126='Invoer gegevens'!$C$17,'Invoer gegevens'!$C$11,AD126)*Reeksen!S58*'Invoer gegevens'!$C$18*Reeksen!P58,0)</f>
        <v>0</v>
      </c>
      <c r="AU126" s="71">
        <f ca="1">-IF(C126=1,(F126+K126+L126+Q126)/2*'Invoer gegevens'!$I$36*Reeksen!H58,0)</f>
        <v>0</v>
      </c>
      <c r="AV126" s="71">
        <f t="shared" ca="1" si="13"/>
        <v>0</v>
      </c>
      <c r="AW126" s="72">
        <f ca="1">IFERROR(IF(E126='Invoer gegevens'!$C$17+'Invoer gegevens'!$I$14-1,'Invoer gegevens'!$I$13*K126*Reeksen!H58,0),0)</f>
        <v>0</v>
      </c>
      <c r="AX126" s="72">
        <f ca="1">IFERROR(IF(E126='Invoer gegevens'!$C$17,-'Invoer gegevens'!$C$10*('Invoer gegevens'!$C$30+'Invoer gegevens'!$C$31)*Reeksen!H58,0),0)</f>
        <v>0</v>
      </c>
      <c r="AY126" s="73">
        <f ca="1">IF('Invoer gegevens'!$C$34=E126,'Invoer gegevens'!$C$27*'Invoer gegevens'!$C$10*'Invoer gegevens'!$C$36*(IF('Invoer gegevens'!$C$35="ja",1,Reeksen!J58)),IF('Invoer gegevens'!$C$34+1=E126,'Invoer gegevens'!$C$27*'Invoer gegevens'!$C$10*'Invoer gegevens'!$C$37*(IF('Invoer gegevens'!$C$35="ja",1,Reeksen!J58)),0))+IF(AND(E126='Invoer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6" s="73">
        <f ca="1">AV126/(1+'Invoer gegevens'!$I$12)^($D126-('Invoer gegevens'!$C$17-'Invoer gegevens'!$C$16))/(1+'Invoer gegevens'!$C$39)^('Invoer gegevens'!$C$17-'Invoer gegevens'!$C$16)</f>
        <v>0</v>
      </c>
      <c r="BA126" s="73">
        <f ca="1">AW126/(1+'Invoer gegevens'!$I$12)^(E126-('Invoer gegevens'!$C$17-1))/(1+'Invoer gegevens'!$C$39)^('Invoer gegevens'!$C$17-'Invoer gegevens'!$C$16)</f>
        <v>0</v>
      </c>
      <c r="BB126" s="73">
        <f ca="1">AX126/(1+'Invoer gegevens'!$C$39)^('Invoer gegevens'!$C$17-'Invoer gegevens'!$C$16)</f>
        <v>0</v>
      </c>
      <c r="BC126" s="72">
        <f t="shared" ca="1" si="14"/>
        <v>0</v>
      </c>
      <c r="BD126" s="72">
        <f ca="1">IF(AND(E126='Invoer gegevens'!$C$16,'Invoer gegevens'!$C$34&lt;'Invoer gegevens'!$C$16),AY126,AY126/(1+'Invoer gegevens'!$C$39)^D126)</f>
        <v>0</v>
      </c>
      <c r="BE126" s="72">
        <f ca="1">IF(E126='Invoer gegevens'!$C$34,-'Invoer gegevens'!$I$38,0)</f>
        <v>0</v>
      </c>
      <c r="BF126" s="72">
        <f ca="1">IF(E126='Invoer gegevens'!$C$17,-'Invoer gegevens'!$C$19*$BC$134,0)</f>
        <v>0</v>
      </c>
      <c r="BG126" s="72">
        <f ca="1">AV126/(1+$BG$72)^($D126-('Invoer gegevens'!$C$17-'Invoer gegevens'!$C$16))/(1+'Invoer gegevens'!$C$39)^('Invoer gegevens'!$C$17-'Invoer gegevens'!$C$16)+AW126/(1+$BG$72)^(E126-('Invoer gegevens'!$C$17-1))/(1+'Invoer gegevens'!$C$39)^('Invoer gegevens'!$C$17-'Invoer gegevens'!$C$16)+AX126/(1+'Invoer gegevens'!$C$39)^('Invoer gegevens'!$C$17-'Invoer gegevens'!$C$16)+(-AY126/(1+'Invoer gegevens'!$C$39)^D126)+BE126+BF126</f>
        <v>0</v>
      </c>
    </row>
    <row r="127" spans="2:59" x14ac:dyDescent="0.25">
      <c r="B127" s="70">
        <f t="shared" si="15"/>
        <v>55</v>
      </c>
      <c r="C127" s="67">
        <f ca="1">IF(AND(E127&gt;='Invoer gegevens'!$C$17,E127&lt;'Invoer gegevens'!$C$17+'Invoer gegevens'!$I$14),1,0)</f>
        <v>0</v>
      </c>
      <c r="D127" s="68">
        <f t="shared" si="16"/>
        <v>54.5</v>
      </c>
      <c r="E127" s="108">
        <f ca="1">IF('Invoer gegevens'!$C$16="","",E126+1)</f>
        <v>2073</v>
      </c>
      <c r="F127" s="84">
        <f ca="1">IF('Invoer gegevens'!$C$17=E127,'Invoer gegevens'!$C$10,IF(C127=1,K126,0))</f>
        <v>0</v>
      </c>
      <c r="G127" s="96">
        <f ca="1">IF(E127='Invoer gegevens'!$C$17+'Invoer gegevens'!$I$14,K126,IF(C127&gt;=1,F127*VLOOKUP(E127,Reeksen!$A$5:$B$76,2),0))</f>
        <v>0</v>
      </c>
      <c r="H127" s="84">
        <f ca="1">IF(E127='Invoer gegevens'!$C$17+'Invoer gegevens'!$I$14,K126,(1-('Invoer gegevens'!$F$20/12))*F127*MIN(Reeksen!B59,Reeksen!D59))</f>
        <v>0</v>
      </c>
      <c r="I127" s="84">
        <f>IF(Reeksen!D59&lt;Reeksen!B59,(Reeksen!B59-Reeksen!D59)*F127,0)</f>
        <v>0</v>
      </c>
      <c r="J127" s="84">
        <f ca="1">IF(E127='Invoer gegevens'!$C$17+'Invoer gegevens'!$I$14+1,0,('Invoer gegevens'!$F$20/12)*F126*MIN(Reeksen!B58,Reeksen!D58))</f>
        <v>0</v>
      </c>
      <c r="K127" s="97">
        <f ca="1">IF(E127&gt;='Invoer gegevens'!$C$17+'Invoer gegevens'!$I$14,0,F127-G127)</f>
        <v>0</v>
      </c>
      <c r="L127" s="84">
        <f ca="1">IF('Invoer gegevens'!$C$17=E127,0,IF(C127=1,Q126,0))</f>
        <v>0</v>
      </c>
      <c r="M127" s="96">
        <f ca="1">IF(E127='Invoer gegevens'!$C$17+'Invoer gegevens'!$I$14,Q126,IF(C127&gt;=1,L127*VLOOKUP(E127,Reeksen!$A$5:$B$76,2),0))</f>
        <v>0</v>
      </c>
      <c r="N127" s="84">
        <f ca="1">IF(C127='Invoer gegevens'!$C$17+'Invoer gegevens'!$I$14,Q126,(1-('Invoer gegevens'!$F$20/12))*L127*MIN(Reeksen!B59,Reeksen!D59))</f>
        <v>0</v>
      </c>
      <c r="O127" s="84">
        <f>IF(Reeksen!D59&lt;Reeksen!B59,(Reeksen!B59-Reeksen!D59)*L127,0)</f>
        <v>0</v>
      </c>
      <c r="P127" s="84">
        <f ca="1">IF(E127='Invoer gegevens'!$C$17+'Invoer gegevens'!$I$14+1,0,('Invoer gegevens'!$F$20/12)*L126*MIN(Reeksen!B58,Reeksen!D58))</f>
        <v>0</v>
      </c>
      <c r="Q127" s="84">
        <f ca="1">IF(E127&gt;='Invoer gegevens'!$C$17+'Invoer gegevens'!$I$14,0,L127-M127+I127+O127)</f>
        <v>0</v>
      </c>
      <c r="R127" s="82">
        <f ca="1">IF('Invoer gegevens'!$C$17=E127,'Invoer gegevens'!$C$11,IF(C127=1,W126,0))</f>
        <v>0</v>
      </c>
      <c r="S127" s="86">
        <f ca="1">IF(E127='Invoer gegevens'!$C$17+'Invoer gegevens'!$I$14,W126,IF(C127&gt;=1,R127*VLOOKUP(E127,Reeksen!$A$5:$B$76,2),0))</f>
        <v>0</v>
      </c>
      <c r="T127" s="84">
        <f ca="1">IF(E127='Invoer gegevens'!$C$17+'Invoer gegevens'!$I$14,W126,(1-('Invoer gegevens'!$F$20/12))*R127*MIN(Reeksen!B59,Reeksen!D59))</f>
        <v>0</v>
      </c>
      <c r="U127" s="84">
        <f>IF(Reeksen!D59&gt;=Reeksen!B59,0,IF(Reeksen!AK59&lt;=Reeksen!AE59,(Reeksen!B59-Reeksen!D59)*R127,0))</f>
        <v>0</v>
      </c>
      <c r="V127" s="86">
        <f>IF(Reeksen!D59&gt;=Reeksen!B59,0,IF(Reeksen!AK59&gt;Reeksen!AE59,(Reeksen!B59-Reeksen!D59)*R127,0))</f>
        <v>0</v>
      </c>
      <c r="W127" s="97">
        <f ca="1">IF(E127&gt;='Invoer gegevens'!$C$17+'Invoer gegevens'!$I$14,0,R127-S127)</f>
        <v>0</v>
      </c>
      <c r="X127" s="98">
        <f ca="1">IF('Invoer gegevens'!$C$17=E127,'Invoer gegevens'!$C$10-'Invoer gegevens'!$C$11,IF(C127=1,AC126,0))</f>
        <v>0</v>
      </c>
      <c r="Y127" s="98">
        <f ca="1">IF(E127='Invoer gegevens'!$C$17+'Invoer gegevens'!$I$14,AC126,IF(C127&gt;=1,X127*VLOOKUP(E127,Reeksen!$A$5:$B$76,2),0))</f>
        <v>0</v>
      </c>
      <c r="Z127" s="98">
        <f ca="1">IF(E127='Invoer gegevens'!$C$17+'Invoer gegevens'!$I$14,AC126,(1-('Invoer gegevens'!$F$20/12))*X127*MIN(Reeksen!B59,Reeksen!D59))</f>
        <v>0</v>
      </c>
      <c r="AA127" s="98">
        <f>IF(Reeksen!D59&gt;=Reeksen!B59,0,IF(Reeksen!AK59&lt;=Reeksen!AE59,(Reeksen!B59-Reeksen!D59)*X127,0))</f>
        <v>0</v>
      </c>
      <c r="AB127" s="98">
        <f>IF(Reeksen!D59&gt;=Reeksen!B59,0,IF(Reeksen!AK59&gt;Reeksen!AE59,(Reeksen!B59-Reeksen!D59)*X127,0))</f>
        <v>0</v>
      </c>
      <c r="AC127" s="99">
        <f ca="1">IF(E127&gt;='Invoer gegevens'!$C$17+'Invoer gegevens'!$I$14,0,X127-Y127)</f>
        <v>0</v>
      </c>
      <c r="AD127" s="98">
        <f ca="1">IF('Invoer gegevens'!$C$17=E59,R127,IF(C59=0,0,AE126))</f>
        <v>0</v>
      </c>
      <c r="AE127" s="98">
        <f t="shared" ca="1" si="9"/>
        <v>0</v>
      </c>
      <c r="AF127" s="98">
        <f ca="1">IF('Invoer gegevens'!$C$17=E59,X127,IF(C59=0,0,AG126))</f>
        <v>0</v>
      </c>
      <c r="AG127" s="98">
        <f t="shared" ca="1" si="10"/>
        <v>0</v>
      </c>
      <c r="AH127" s="66"/>
      <c r="AI127" s="71">
        <f ca="1">IF(C127=1,((Reeksen!BF59*(F127-G127+F127)/2)+((L127-M127+L127)/2*Reeksen!BG59))*12,0)</f>
        <v>0</v>
      </c>
      <c r="AJ127" s="71">
        <f ca="1">-AI127*'Invoer gegevens'!$I$26</f>
        <v>0</v>
      </c>
      <c r="AK127" s="71">
        <f t="shared" ca="1" si="11"/>
        <v>0</v>
      </c>
      <c r="AL127" s="71">
        <f ca="1">IF(C127=1,Reeksen!AL59*((F127-G127+F127)/2)*12+Reeksen!AM59*((L127-M127+L127)/2)*12,0)</f>
        <v>0</v>
      </c>
      <c r="AM127" s="71">
        <f ca="1">-AL127*'Invoer gegevens'!$F$31</f>
        <v>0</v>
      </c>
      <c r="AN127" s="71">
        <f t="shared" ca="1" si="12"/>
        <v>0</v>
      </c>
      <c r="AO127" s="71">
        <f ca="1">IF(E127&gt;='Invoer gegevens'!$C$17+'Invoer gegevens'!$I$14,0,IF(C127=1,(H127+J127+N127+P127)*Reeksen!AN59,0))</f>
        <v>0</v>
      </c>
      <c r="AP127" s="71">
        <f ca="1">-IF(C127=1,(H127+J127+N127+P127)*Reeksen!AN58*'Hulp - basis'!$B$550,0)</f>
        <v>0</v>
      </c>
      <c r="AQ127" s="71">
        <f ca="1">-IF(C127=1,(F127+K127+L127+Q127)/2*'Invoer gegevens'!$I$33*Reeksen!J59,0)</f>
        <v>0</v>
      </c>
      <c r="AR127" s="71">
        <f ca="1">-IF(C127=1,(I127*'Invoer gegevens'!$I$34)*Reeksen!J59,0)</f>
        <v>0</v>
      </c>
      <c r="AS127" s="71">
        <f ca="1">-IF(C127=1,(F127+K127+L127+Q127)/2*'Invoer gegevens'!$I$35*Reeksen!L59,0)</f>
        <v>0</v>
      </c>
      <c r="AT127" s="71">
        <f ca="1">-IF(C127=1,IF(E127='Invoer gegevens'!$C$17,'Invoer gegevens'!$C$11,AD127)*Reeksen!S59*'Invoer gegevens'!$C$18*Reeksen!P59,0)</f>
        <v>0</v>
      </c>
      <c r="AU127" s="71">
        <f ca="1">-IF(C127=1,(F127+K127+L127+Q127)/2*'Invoer gegevens'!$I$36*Reeksen!H59,0)</f>
        <v>0</v>
      </c>
      <c r="AV127" s="71">
        <f t="shared" ca="1" si="13"/>
        <v>0</v>
      </c>
      <c r="AW127" s="72">
        <f ca="1">IFERROR(IF(E127='Invoer gegevens'!$C$17+'Invoer gegevens'!$I$14-1,'Invoer gegevens'!$I$13*K127*Reeksen!H59,0),0)</f>
        <v>0</v>
      </c>
      <c r="AX127" s="72">
        <f ca="1">IFERROR(IF(E127='Invoer gegevens'!$C$17,-'Invoer gegevens'!$C$10*('Invoer gegevens'!$C$30+'Invoer gegevens'!$C$31)*Reeksen!H59,0),0)</f>
        <v>0</v>
      </c>
      <c r="AY127" s="73">
        <f ca="1">IF('Invoer gegevens'!$C$34=E127,'Invoer gegevens'!$C$27*'Invoer gegevens'!$C$10*'Invoer gegevens'!$C$36*(IF('Invoer gegevens'!$C$35="ja",1,Reeksen!J59)),IF('Invoer gegevens'!$C$34+1=E127,'Invoer gegevens'!$C$27*'Invoer gegevens'!$C$10*'Invoer gegevens'!$C$37*(IF('Invoer gegevens'!$C$35="ja",1,Reeksen!J59)),0))+IF(AND(E127='Invoer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7" s="73">
        <f ca="1">AV127/(1+'Invoer gegevens'!$I$12)^($D127-('Invoer gegevens'!$C$17-'Invoer gegevens'!$C$16))/(1+'Invoer gegevens'!$C$39)^('Invoer gegevens'!$C$17-'Invoer gegevens'!$C$16)</f>
        <v>0</v>
      </c>
      <c r="BA127" s="73">
        <f ca="1">AW127/(1+'Invoer gegevens'!$I$12)^(E127-('Invoer gegevens'!$C$17-1))/(1+'Invoer gegevens'!$C$39)^('Invoer gegevens'!$C$17-'Invoer gegevens'!$C$16)</f>
        <v>0</v>
      </c>
      <c r="BB127" s="73">
        <f ca="1">AX127/(1+'Invoer gegevens'!$C$39)^('Invoer gegevens'!$C$17-'Invoer gegevens'!$C$16)</f>
        <v>0</v>
      </c>
      <c r="BC127" s="72">
        <f t="shared" ca="1" si="14"/>
        <v>0</v>
      </c>
      <c r="BD127" s="72">
        <f ca="1">IF(AND(E127='Invoer gegevens'!$C$16,'Invoer gegevens'!$C$34&lt;'Invoer gegevens'!$C$16),AY127,AY127/(1+'Invoer gegevens'!$C$39)^D127)</f>
        <v>0</v>
      </c>
      <c r="BE127" s="72">
        <f ca="1">IF(E127='Invoer gegevens'!$C$34,-'Invoer gegevens'!$I$38,0)</f>
        <v>0</v>
      </c>
      <c r="BF127" s="72">
        <f ca="1">IF(E127='Invoer gegevens'!$C$17,-'Invoer gegevens'!$C$19*$BC$134,0)</f>
        <v>0</v>
      </c>
      <c r="BG127" s="72">
        <f ca="1">AV127/(1+$BG$72)^($D127-('Invoer gegevens'!$C$17-'Invoer gegevens'!$C$16))/(1+'Invoer gegevens'!$C$39)^('Invoer gegevens'!$C$17-'Invoer gegevens'!$C$16)+AW127/(1+$BG$72)^(E127-('Invoer gegevens'!$C$17-1))/(1+'Invoer gegevens'!$C$39)^('Invoer gegevens'!$C$17-'Invoer gegevens'!$C$16)+AX127/(1+'Invoer gegevens'!$C$39)^('Invoer gegevens'!$C$17-'Invoer gegevens'!$C$16)+(-AY127/(1+'Invoer gegevens'!$C$39)^D127)+BE127+BF127</f>
        <v>0</v>
      </c>
    </row>
    <row r="128" spans="2:59" x14ac:dyDescent="0.25">
      <c r="B128" s="70">
        <f t="shared" si="15"/>
        <v>56</v>
      </c>
      <c r="C128" s="67">
        <f ca="1">IF(AND(E128&gt;='Invoer gegevens'!$C$17,E128&lt;'Invoer gegevens'!$C$17+'Invoer gegevens'!$I$14),1,0)</f>
        <v>0</v>
      </c>
      <c r="D128" s="68">
        <f t="shared" si="16"/>
        <v>55.5</v>
      </c>
      <c r="E128" s="108">
        <f ca="1">IF('Invoer gegevens'!$C$16="","",E127+1)</f>
        <v>2074</v>
      </c>
      <c r="F128" s="84">
        <f ca="1">IF('Invoer gegevens'!$C$17=E128,'Invoer gegevens'!$C$10,IF(C128=1,K127,0))</f>
        <v>0</v>
      </c>
      <c r="G128" s="96">
        <f ca="1">IF(E128='Invoer gegevens'!$C$17+'Invoer gegevens'!$I$14,K127,IF(C128&gt;=1,F128*VLOOKUP(E128,Reeksen!$A$5:$B$76,2),0))</f>
        <v>0</v>
      </c>
      <c r="H128" s="84">
        <f ca="1">IF(E128='Invoer gegevens'!$C$17+'Invoer gegevens'!$I$14,K127,(1-('Invoer gegevens'!$F$20/12))*F128*MIN(Reeksen!B60,Reeksen!D60))</f>
        <v>0</v>
      </c>
      <c r="I128" s="84">
        <f>IF(Reeksen!D60&lt;Reeksen!B60,(Reeksen!B60-Reeksen!D60)*F128,0)</f>
        <v>0</v>
      </c>
      <c r="J128" s="84">
        <f ca="1">IF(E128='Invoer gegevens'!$C$17+'Invoer gegevens'!$I$14+1,0,('Invoer gegevens'!$F$20/12)*F127*MIN(Reeksen!B59,Reeksen!D59))</f>
        <v>0</v>
      </c>
      <c r="K128" s="97">
        <f ca="1">IF(E128&gt;='Invoer gegevens'!$C$17+'Invoer gegevens'!$I$14,0,F128-G128)</f>
        <v>0</v>
      </c>
      <c r="L128" s="84">
        <f ca="1">IF('Invoer gegevens'!$C$17=E128,0,IF(C128=1,Q127,0))</f>
        <v>0</v>
      </c>
      <c r="M128" s="96">
        <f ca="1">IF(E128='Invoer gegevens'!$C$17+'Invoer gegevens'!$I$14,Q127,IF(C128&gt;=1,L128*VLOOKUP(E128,Reeksen!$A$5:$B$76,2),0))</f>
        <v>0</v>
      </c>
      <c r="N128" s="84">
        <f ca="1">IF(C128='Invoer gegevens'!$C$17+'Invoer gegevens'!$I$14,Q127,(1-('Invoer gegevens'!$F$20/12))*L128*MIN(Reeksen!B60,Reeksen!D60))</f>
        <v>0</v>
      </c>
      <c r="O128" s="84">
        <f>IF(Reeksen!D60&lt;Reeksen!B60,(Reeksen!B60-Reeksen!D60)*L128,0)</f>
        <v>0</v>
      </c>
      <c r="P128" s="84">
        <f ca="1">IF(E128='Invoer gegevens'!$C$17+'Invoer gegevens'!$I$14+1,0,('Invoer gegevens'!$F$20/12)*L127*MIN(Reeksen!B59,Reeksen!D59))</f>
        <v>0</v>
      </c>
      <c r="Q128" s="84">
        <f ca="1">IF(E128&gt;='Invoer gegevens'!$C$17+'Invoer gegevens'!$I$14,0,L128-M128+I128+O128)</f>
        <v>0</v>
      </c>
      <c r="R128" s="82">
        <f ca="1">IF('Invoer gegevens'!$C$17=E128,'Invoer gegevens'!$C$11,IF(C128=1,W127,0))</f>
        <v>0</v>
      </c>
      <c r="S128" s="86">
        <f ca="1">IF(E128='Invoer gegevens'!$C$17+'Invoer gegevens'!$I$14,W127,IF(C128&gt;=1,R128*VLOOKUP(E128,Reeksen!$A$5:$B$76,2),0))</f>
        <v>0</v>
      </c>
      <c r="T128" s="84">
        <f ca="1">IF(E128='Invoer gegevens'!$C$17+'Invoer gegevens'!$I$14,W127,(1-('Invoer gegevens'!$F$20/12))*R128*MIN(Reeksen!B60,Reeksen!D60))</f>
        <v>0</v>
      </c>
      <c r="U128" s="84">
        <f>IF(Reeksen!D60&gt;=Reeksen!B60,0,IF(Reeksen!AK60&lt;=Reeksen!AE60,(Reeksen!B60-Reeksen!D60)*R128,0))</f>
        <v>0</v>
      </c>
      <c r="V128" s="86">
        <f>IF(Reeksen!D60&gt;=Reeksen!B60,0,IF(Reeksen!AK60&gt;Reeksen!AE60,(Reeksen!B60-Reeksen!D60)*R128,0))</f>
        <v>0</v>
      </c>
      <c r="W128" s="97">
        <f ca="1">IF(E128&gt;='Invoer gegevens'!$C$17+'Invoer gegevens'!$I$14,0,R128-S128)</f>
        <v>0</v>
      </c>
      <c r="X128" s="98">
        <f ca="1">IF('Invoer gegevens'!$C$17=E128,'Invoer gegevens'!$C$10-'Invoer gegevens'!$C$11,IF(C128=1,AC127,0))</f>
        <v>0</v>
      </c>
      <c r="Y128" s="98">
        <f ca="1">IF(E128='Invoer gegevens'!$C$17+'Invoer gegevens'!$I$14,AC127,IF(C128&gt;=1,X128*VLOOKUP(E128,Reeksen!$A$5:$B$76,2),0))</f>
        <v>0</v>
      </c>
      <c r="Z128" s="98">
        <f ca="1">IF(E128='Invoer gegevens'!$C$17+'Invoer gegevens'!$I$14,AC127,(1-('Invoer gegevens'!$F$20/12))*X128*MIN(Reeksen!B60,Reeksen!D60))</f>
        <v>0</v>
      </c>
      <c r="AA128" s="98">
        <f>IF(Reeksen!D60&gt;=Reeksen!B60,0,IF(Reeksen!AK60&lt;=Reeksen!AE60,(Reeksen!B60-Reeksen!D60)*X128,0))</f>
        <v>0</v>
      </c>
      <c r="AB128" s="98">
        <f>IF(Reeksen!D60&gt;=Reeksen!B60,0,IF(Reeksen!AK60&gt;Reeksen!AE60,(Reeksen!B60-Reeksen!D60)*X128,0))</f>
        <v>0</v>
      </c>
      <c r="AC128" s="99">
        <f ca="1">IF(E128&gt;='Invoer gegevens'!$C$17+'Invoer gegevens'!$I$14,0,X128-Y128)</f>
        <v>0</v>
      </c>
      <c r="AD128" s="98">
        <f ca="1">IF('Invoer gegevens'!$C$17=E60,R128,IF(C60=0,0,AE127))</f>
        <v>0</v>
      </c>
      <c r="AE128" s="98">
        <f t="shared" ca="1" si="9"/>
        <v>0</v>
      </c>
      <c r="AF128" s="98">
        <f ca="1">IF('Invoer gegevens'!$C$17=E60,X128,IF(C60=0,0,AG127))</f>
        <v>0</v>
      </c>
      <c r="AG128" s="98">
        <f t="shared" ca="1" si="10"/>
        <v>0</v>
      </c>
      <c r="AH128" s="66"/>
      <c r="AI128" s="71">
        <f ca="1">IF(C128=1,((Reeksen!BF60*(F128-G128+F128)/2)+((L128-M128+L128)/2*Reeksen!BG60))*12,0)</f>
        <v>0</v>
      </c>
      <c r="AJ128" s="71">
        <f ca="1">-AI128*'Invoer gegevens'!$I$26</f>
        <v>0</v>
      </c>
      <c r="AK128" s="71">
        <f t="shared" ca="1" si="11"/>
        <v>0</v>
      </c>
      <c r="AL128" s="71">
        <f ca="1">IF(C128=1,Reeksen!AL60*((F128-G128+F128)/2)*12+Reeksen!AM60*((L128-M128+L128)/2)*12,0)</f>
        <v>0</v>
      </c>
      <c r="AM128" s="71">
        <f ca="1">-AL128*'Invoer gegevens'!$F$31</f>
        <v>0</v>
      </c>
      <c r="AN128" s="71">
        <f t="shared" ca="1" si="12"/>
        <v>0</v>
      </c>
      <c r="AO128" s="71">
        <f ca="1">IF(E128&gt;='Invoer gegevens'!$C$17+'Invoer gegevens'!$I$14,0,IF(C128=1,(H128+J128+N128+P128)*Reeksen!AN60,0))</f>
        <v>0</v>
      </c>
      <c r="AP128" s="71">
        <f ca="1">-IF(C128=1,(H128+J128+N128+P128)*Reeksen!AN59*'Hulp - basis'!$B$550,0)</f>
        <v>0</v>
      </c>
      <c r="AQ128" s="71">
        <f ca="1">-IF(C128=1,(F128+K128+L128+Q128)/2*'Invoer gegevens'!$I$33*Reeksen!J60,0)</f>
        <v>0</v>
      </c>
      <c r="AR128" s="71">
        <f ca="1">-IF(C128=1,(I128*'Invoer gegevens'!$I$34)*Reeksen!J60,0)</f>
        <v>0</v>
      </c>
      <c r="AS128" s="71">
        <f ca="1">-IF(C128=1,(F128+K128+L128+Q128)/2*'Invoer gegevens'!$I$35*Reeksen!L60,0)</f>
        <v>0</v>
      </c>
      <c r="AT128" s="71">
        <f ca="1">-IF(C128=1,IF(E128='Invoer gegevens'!$C$17,'Invoer gegevens'!$C$11,AD128)*Reeksen!S60*'Invoer gegevens'!$C$18*Reeksen!P60,0)</f>
        <v>0</v>
      </c>
      <c r="AU128" s="71">
        <f ca="1">-IF(C128=1,(F128+K128+L128+Q128)/2*'Invoer gegevens'!$I$36*Reeksen!H60,0)</f>
        <v>0</v>
      </c>
      <c r="AV128" s="71">
        <f t="shared" ca="1" si="13"/>
        <v>0</v>
      </c>
      <c r="AW128" s="72">
        <f ca="1">IFERROR(IF(E128='Invoer gegevens'!$C$17+'Invoer gegevens'!$I$14-1,'Invoer gegevens'!$I$13*K128*Reeksen!H60,0),0)</f>
        <v>0</v>
      </c>
      <c r="AX128" s="72">
        <f ca="1">IFERROR(IF(E128='Invoer gegevens'!$C$17,-'Invoer gegevens'!$C$10*('Invoer gegevens'!$C$30+'Invoer gegevens'!$C$31)*Reeksen!H60,0),0)</f>
        <v>0</v>
      </c>
      <c r="AY128" s="73">
        <f ca="1">IF('Invoer gegevens'!$C$34=E128,'Invoer gegevens'!$C$27*'Invoer gegevens'!$C$10*'Invoer gegevens'!$C$36*(IF('Invoer gegevens'!$C$35="ja",1,Reeksen!J60)),IF('Invoer gegevens'!$C$34+1=E128,'Invoer gegevens'!$C$27*'Invoer gegevens'!$C$10*'Invoer gegevens'!$C$37*(IF('Invoer gegevens'!$C$35="ja",1,Reeksen!J60)),0))+IF(AND(E128='Invoer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8" s="73">
        <f ca="1">AV128/(1+'Invoer gegevens'!$I$12)^($D128-('Invoer gegevens'!$C$17-'Invoer gegevens'!$C$16))/(1+'Invoer gegevens'!$C$39)^('Invoer gegevens'!$C$17-'Invoer gegevens'!$C$16)</f>
        <v>0</v>
      </c>
      <c r="BA128" s="73">
        <f ca="1">AW128/(1+'Invoer gegevens'!$I$12)^(E128-('Invoer gegevens'!$C$17-1))/(1+'Invoer gegevens'!$C$39)^('Invoer gegevens'!$C$17-'Invoer gegevens'!$C$16)</f>
        <v>0</v>
      </c>
      <c r="BB128" s="73">
        <f ca="1">AX128/(1+'Invoer gegevens'!$C$39)^('Invoer gegevens'!$C$17-'Invoer gegevens'!$C$16)</f>
        <v>0</v>
      </c>
      <c r="BC128" s="72">
        <f t="shared" ca="1" si="14"/>
        <v>0</v>
      </c>
      <c r="BD128" s="72">
        <f ca="1">IF(AND(E128='Invoer gegevens'!$C$16,'Invoer gegevens'!$C$34&lt;'Invoer gegevens'!$C$16),AY128,AY128/(1+'Invoer gegevens'!$C$39)^D128)</f>
        <v>0</v>
      </c>
      <c r="BE128" s="72">
        <f ca="1">IF(E128='Invoer gegevens'!$C$34,-'Invoer gegevens'!$I$38,0)</f>
        <v>0</v>
      </c>
      <c r="BF128" s="72">
        <f ca="1">IF(E128='Invoer gegevens'!$C$17,-'Invoer gegevens'!$C$19*$BC$134,0)</f>
        <v>0</v>
      </c>
      <c r="BG128" s="72">
        <f ca="1">AV128/(1+$BG$72)^($D128-('Invoer gegevens'!$C$17-'Invoer gegevens'!$C$16))/(1+'Invoer gegevens'!$C$39)^('Invoer gegevens'!$C$17-'Invoer gegevens'!$C$16)+AW128/(1+$BG$72)^(E128-('Invoer gegevens'!$C$17-1))/(1+'Invoer gegevens'!$C$39)^('Invoer gegevens'!$C$17-'Invoer gegevens'!$C$16)+AX128/(1+'Invoer gegevens'!$C$39)^('Invoer gegevens'!$C$17-'Invoer gegevens'!$C$16)+(-AY128/(1+'Invoer gegevens'!$C$39)^D128)+BE128+BF128</f>
        <v>0</v>
      </c>
    </row>
    <row r="129" spans="2:59" x14ac:dyDescent="0.25">
      <c r="B129" s="70">
        <f t="shared" si="15"/>
        <v>57</v>
      </c>
      <c r="C129" s="67">
        <f ca="1">IF(AND(E129&gt;='Invoer gegevens'!$C$17,E129&lt;'Invoer gegevens'!$C$17+'Invoer gegevens'!$I$14),1,0)</f>
        <v>0</v>
      </c>
      <c r="D129" s="68">
        <f t="shared" si="16"/>
        <v>56.5</v>
      </c>
      <c r="E129" s="108">
        <f ca="1">IF('Invoer gegevens'!$C$16="","",E128+1)</f>
        <v>2075</v>
      </c>
      <c r="F129" s="84">
        <f ca="1">IF('Invoer gegevens'!$C$17=E129,'Invoer gegevens'!$C$10,IF(C129=1,K128,0))</f>
        <v>0</v>
      </c>
      <c r="G129" s="96">
        <f ca="1">IF(E129='Invoer gegevens'!$C$17+'Invoer gegevens'!$I$14,K128,IF(C129&gt;=1,F129*VLOOKUP(E129,Reeksen!$A$5:$B$76,2),0))</f>
        <v>0</v>
      </c>
      <c r="H129" s="84">
        <f ca="1">IF(E129='Invoer gegevens'!$C$17+'Invoer gegevens'!$I$14,K128,(1-('Invoer gegevens'!$F$20/12))*F129*MIN(Reeksen!B61,Reeksen!D61))</f>
        <v>0</v>
      </c>
      <c r="I129" s="84">
        <f>IF(Reeksen!D61&lt;Reeksen!B61,(Reeksen!B61-Reeksen!D61)*F129,0)</f>
        <v>0</v>
      </c>
      <c r="J129" s="84">
        <f ca="1">IF(E129='Invoer gegevens'!$C$17+'Invoer gegevens'!$I$14+1,0,('Invoer gegevens'!$F$20/12)*F128*MIN(Reeksen!B60,Reeksen!D60))</f>
        <v>0</v>
      </c>
      <c r="K129" s="97">
        <f ca="1">IF(E129&gt;='Invoer gegevens'!$C$17+'Invoer gegevens'!$I$14,0,F129-G129)</f>
        <v>0</v>
      </c>
      <c r="L129" s="84">
        <f ca="1">IF('Invoer gegevens'!$C$17=E129,0,IF(C129=1,Q128,0))</f>
        <v>0</v>
      </c>
      <c r="M129" s="96">
        <f ca="1">IF(E129='Invoer gegevens'!$C$17+'Invoer gegevens'!$I$14,Q128,IF(C129&gt;=1,L129*VLOOKUP(E129,Reeksen!$A$5:$B$76,2),0))</f>
        <v>0</v>
      </c>
      <c r="N129" s="84">
        <f ca="1">IF(C129='Invoer gegevens'!$C$17+'Invoer gegevens'!$I$14,Q128,(1-('Invoer gegevens'!$F$20/12))*L129*MIN(Reeksen!B61,Reeksen!D61))</f>
        <v>0</v>
      </c>
      <c r="O129" s="84">
        <f>IF(Reeksen!D61&lt;Reeksen!B61,(Reeksen!B61-Reeksen!D61)*L129,0)</f>
        <v>0</v>
      </c>
      <c r="P129" s="84">
        <f ca="1">IF(E129='Invoer gegevens'!$C$17+'Invoer gegevens'!$I$14+1,0,('Invoer gegevens'!$F$20/12)*L128*MIN(Reeksen!B60,Reeksen!D60))</f>
        <v>0</v>
      </c>
      <c r="Q129" s="84">
        <f ca="1">IF(E129&gt;='Invoer gegevens'!$C$17+'Invoer gegevens'!$I$14,0,L129-M129+I129+O129)</f>
        <v>0</v>
      </c>
      <c r="R129" s="82">
        <f ca="1">IF('Invoer gegevens'!$C$17=E129,'Invoer gegevens'!$C$11,IF(C129=1,W128,0))</f>
        <v>0</v>
      </c>
      <c r="S129" s="86">
        <f ca="1">IF(E129='Invoer gegevens'!$C$17+'Invoer gegevens'!$I$14,W128,IF(C129&gt;=1,R129*VLOOKUP(E129,Reeksen!$A$5:$B$76,2),0))</f>
        <v>0</v>
      </c>
      <c r="T129" s="84">
        <f ca="1">IF(E129='Invoer gegevens'!$C$17+'Invoer gegevens'!$I$14,W128,(1-('Invoer gegevens'!$F$20/12))*R129*MIN(Reeksen!B61,Reeksen!D61))</f>
        <v>0</v>
      </c>
      <c r="U129" s="84">
        <f>IF(Reeksen!D61&gt;=Reeksen!B61,0,IF(Reeksen!AK61&lt;=Reeksen!AE61,(Reeksen!B61-Reeksen!D61)*R129,0))</f>
        <v>0</v>
      </c>
      <c r="V129" s="86">
        <f>IF(Reeksen!D61&gt;=Reeksen!B61,0,IF(Reeksen!AK61&gt;Reeksen!AE61,(Reeksen!B61-Reeksen!D61)*R129,0))</f>
        <v>0</v>
      </c>
      <c r="W129" s="97">
        <f ca="1">IF(E129&gt;='Invoer gegevens'!$C$17+'Invoer gegevens'!$I$14,0,R129-S129)</f>
        <v>0</v>
      </c>
      <c r="X129" s="98">
        <f ca="1">IF('Invoer gegevens'!$C$17=E129,'Invoer gegevens'!$C$10-'Invoer gegevens'!$C$11,IF(C129=1,AC128,0))</f>
        <v>0</v>
      </c>
      <c r="Y129" s="98">
        <f ca="1">IF(E129='Invoer gegevens'!$C$17+'Invoer gegevens'!$I$14,AC128,IF(C129&gt;=1,X129*VLOOKUP(E129,Reeksen!$A$5:$B$76,2),0))</f>
        <v>0</v>
      </c>
      <c r="Z129" s="98">
        <f ca="1">IF(E129='Invoer gegevens'!$C$17+'Invoer gegevens'!$I$14,AC128,(1-('Invoer gegevens'!$F$20/12))*X129*MIN(Reeksen!B61,Reeksen!D61))</f>
        <v>0</v>
      </c>
      <c r="AA129" s="98">
        <f>IF(Reeksen!D61&gt;=Reeksen!B61,0,IF(Reeksen!AK61&lt;=Reeksen!AE61,(Reeksen!B61-Reeksen!D61)*X129,0))</f>
        <v>0</v>
      </c>
      <c r="AB129" s="98">
        <f>IF(Reeksen!D61&gt;=Reeksen!B61,0,IF(Reeksen!AK61&gt;Reeksen!AE61,(Reeksen!B61-Reeksen!D61)*X129,0))</f>
        <v>0</v>
      </c>
      <c r="AC129" s="99">
        <f ca="1">IF(E129&gt;='Invoer gegevens'!$C$17+'Invoer gegevens'!$I$14,0,X129-Y129)</f>
        <v>0</v>
      </c>
      <c r="AD129" s="98">
        <f ca="1">IF('Invoer gegevens'!$C$17=E61,R129,IF(C61=0,0,AE128))</f>
        <v>0</v>
      </c>
      <c r="AE129" s="98">
        <f t="shared" ca="1" si="9"/>
        <v>0</v>
      </c>
      <c r="AF129" s="98">
        <f ca="1">IF('Invoer gegevens'!$C$17=E61,X129,IF(C61=0,0,AG128))</f>
        <v>0</v>
      </c>
      <c r="AG129" s="98">
        <f t="shared" ca="1" si="10"/>
        <v>0</v>
      </c>
      <c r="AH129" s="66"/>
      <c r="AI129" s="71">
        <f ca="1">IF(C129=1,((Reeksen!BF61*(F129-G129+F129)/2)+((L129-M129+L129)/2*Reeksen!BG61))*12,0)</f>
        <v>0</v>
      </c>
      <c r="AJ129" s="71">
        <f ca="1">-AI129*'Invoer gegevens'!$I$26</f>
        <v>0</v>
      </c>
      <c r="AK129" s="71">
        <f t="shared" ca="1" si="11"/>
        <v>0</v>
      </c>
      <c r="AL129" s="71">
        <f ca="1">IF(C129=1,Reeksen!AL61*((F129-G129+F129)/2)*12+Reeksen!AM61*((L129-M129+L129)/2)*12,0)</f>
        <v>0</v>
      </c>
      <c r="AM129" s="71">
        <f ca="1">-AL129*'Invoer gegevens'!$F$31</f>
        <v>0</v>
      </c>
      <c r="AN129" s="71">
        <f t="shared" ca="1" si="12"/>
        <v>0</v>
      </c>
      <c r="AO129" s="71">
        <f ca="1">IF(E129&gt;='Invoer gegevens'!$C$17+'Invoer gegevens'!$I$14,0,IF(C129=1,(H129+J129+N129+P129)*Reeksen!AN61,0))</f>
        <v>0</v>
      </c>
      <c r="AP129" s="71">
        <f ca="1">-IF(C129=1,(H129+J129+N129+P129)*Reeksen!AN60*'Hulp - basis'!$B$550,0)</f>
        <v>0</v>
      </c>
      <c r="AQ129" s="71">
        <f ca="1">-IF(C129=1,(F129+K129+L129+Q129)/2*'Invoer gegevens'!$I$33*Reeksen!J61,0)</f>
        <v>0</v>
      </c>
      <c r="AR129" s="71">
        <f ca="1">-IF(C129=1,(I129*'Invoer gegevens'!$I$34)*Reeksen!J61,0)</f>
        <v>0</v>
      </c>
      <c r="AS129" s="71">
        <f ca="1">-IF(C129=1,(F129+K129+L129+Q129)/2*'Invoer gegevens'!$I$35*Reeksen!L61,0)</f>
        <v>0</v>
      </c>
      <c r="AT129" s="71">
        <f ca="1">-IF(C129=1,IF(E129='Invoer gegevens'!$C$17,'Invoer gegevens'!$C$11,AD129)*Reeksen!S61*'Invoer gegevens'!$C$18*Reeksen!P61,0)</f>
        <v>0</v>
      </c>
      <c r="AU129" s="71">
        <f ca="1">-IF(C129=1,(F129+K129+L129+Q129)/2*'Invoer gegevens'!$I$36*Reeksen!H61,0)</f>
        <v>0</v>
      </c>
      <c r="AV129" s="71">
        <f t="shared" ca="1" si="13"/>
        <v>0</v>
      </c>
      <c r="AW129" s="72">
        <f ca="1">IFERROR(IF(E129='Invoer gegevens'!$C$17+'Invoer gegevens'!$I$14-1,'Invoer gegevens'!$I$13*K129*Reeksen!H61,0),0)</f>
        <v>0</v>
      </c>
      <c r="AX129" s="72">
        <f ca="1">IFERROR(IF(E129='Invoer gegevens'!$C$17,-'Invoer gegevens'!$C$10*('Invoer gegevens'!$C$30+'Invoer gegevens'!$C$31)*Reeksen!H61,0),0)</f>
        <v>0</v>
      </c>
      <c r="AY129" s="73">
        <f ca="1">IF('Invoer gegevens'!$C$34=E129,'Invoer gegevens'!$C$27*'Invoer gegevens'!$C$10*'Invoer gegevens'!$C$36*(IF('Invoer gegevens'!$C$35="ja",1,Reeksen!J61)),IF('Invoer gegevens'!$C$34+1=E129,'Invoer gegevens'!$C$27*'Invoer gegevens'!$C$10*'Invoer gegevens'!$C$37*(IF('Invoer gegevens'!$C$35="ja",1,Reeksen!J61)),0))+IF(AND(E129='Invoer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29" s="73">
        <f ca="1">AV129/(1+'Invoer gegevens'!$I$12)^($D129-('Invoer gegevens'!$C$17-'Invoer gegevens'!$C$16))/(1+'Invoer gegevens'!$C$39)^('Invoer gegevens'!$C$17-'Invoer gegevens'!$C$16)</f>
        <v>0</v>
      </c>
      <c r="BA129" s="73">
        <f ca="1">AW129/(1+'Invoer gegevens'!$I$12)^(E129-('Invoer gegevens'!$C$17-1))/(1+'Invoer gegevens'!$C$39)^('Invoer gegevens'!$C$17-'Invoer gegevens'!$C$16)</f>
        <v>0</v>
      </c>
      <c r="BB129" s="73">
        <f ca="1">AX129/(1+'Invoer gegevens'!$C$39)^('Invoer gegevens'!$C$17-'Invoer gegevens'!$C$16)</f>
        <v>0</v>
      </c>
      <c r="BC129" s="72">
        <f t="shared" ca="1" si="14"/>
        <v>0</v>
      </c>
      <c r="BD129" s="72">
        <f ca="1">IF(AND(E129='Invoer gegevens'!$C$16,'Invoer gegevens'!$C$34&lt;'Invoer gegevens'!$C$16),AY129,AY129/(1+'Invoer gegevens'!$C$39)^D129)</f>
        <v>0</v>
      </c>
      <c r="BE129" s="72">
        <f ca="1">IF(E129='Invoer gegevens'!$C$34,-'Invoer gegevens'!$I$38,0)</f>
        <v>0</v>
      </c>
      <c r="BF129" s="72">
        <f ca="1">IF(E129='Invoer gegevens'!$C$17,-'Invoer gegevens'!$C$19*$BC$134,0)</f>
        <v>0</v>
      </c>
      <c r="BG129" s="72">
        <f ca="1">AV129/(1+$BG$72)^($D129-('Invoer gegevens'!$C$17-'Invoer gegevens'!$C$16))/(1+'Invoer gegevens'!$C$39)^('Invoer gegevens'!$C$17-'Invoer gegevens'!$C$16)+AW129/(1+$BG$72)^(E129-('Invoer gegevens'!$C$17-1))/(1+'Invoer gegevens'!$C$39)^('Invoer gegevens'!$C$17-'Invoer gegevens'!$C$16)+AX129/(1+'Invoer gegevens'!$C$39)^('Invoer gegevens'!$C$17-'Invoer gegevens'!$C$16)+(-AY129/(1+'Invoer gegevens'!$C$39)^D129)+BE129+BF129</f>
        <v>0</v>
      </c>
    </row>
    <row r="130" spans="2:59" x14ac:dyDescent="0.25">
      <c r="B130" s="70">
        <f t="shared" si="15"/>
        <v>58</v>
      </c>
      <c r="C130" s="67">
        <f ca="1">IF(AND(E130&gt;='Invoer gegevens'!$C$17,E130&lt;'Invoer gegevens'!$C$17+'Invoer gegevens'!$I$14),1,0)</f>
        <v>0</v>
      </c>
      <c r="D130" s="68">
        <f t="shared" si="16"/>
        <v>57.5</v>
      </c>
      <c r="E130" s="108">
        <f ca="1">IF('Invoer gegevens'!$C$16="","",E129+1)</f>
        <v>2076</v>
      </c>
      <c r="F130" s="84">
        <f ca="1">IF('Invoer gegevens'!$C$17=E130,'Invoer gegevens'!$C$10,IF(C130=1,K129,0))</f>
        <v>0</v>
      </c>
      <c r="G130" s="96">
        <f ca="1">IF(E130='Invoer gegevens'!$C$17+'Invoer gegevens'!$I$14,K129,IF(C130&gt;=1,F130*VLOOKUP(E130,Reeksen!$A$5:$B$76,2),0))</f>
        <v>0</v>
      </c>
      <c r="H130" s="84">
        <f ca="1">IF(E130='Invoer gegevens'!$C$17+'Invoer gegevens'!$I$14,K129,(1-('Invoer gegevens'!$F$20/12))*F130*MIN(Reeksen!B62,Reeksen!D62))</f>
        <v>0</v>
      </c>
      <c r="I130" s="84">
        <f>IF(Reeksen!D62&lt;Reeksen!B62,(Reeksen!B62-Reeksen!D62)*F130,0)</f>
        <v>0</v>
      </c>
      <c r="J130" s="84">
        <f ca="1">IF(E130='Invoer gegevens'!$C$17+'Invoer gegevens'!$I$14+1,0,('Invoer gegevens'!$F$20/12)*F129*MIN(Reeksen!B61,Reeksen!D61))</f>
        <v>0</v>
      </c>
      <c r="K130" s="97">
        <f ca="1">IF(E130&gt;='Invoer gegevens'!$C$17+'Invoer gegevens'!$I$14,0,F130-G130)</f>
        <v>0</v>
      </c>
      <c r="L130" s="84">
        <f ca="1">IF('Invoer gegevens'!$C$17=E130,0,IF(C130=1,Q129,0))</f>
        <v>0</v>
      </c>
      <c r="M130" s="96">
        <f ca="1">IF(E130='Invoer gegevens'!$C$17+'Invoer gegevens'!$I$14,Q129,IF(C130&gt;=1,L130*VLOOKUP(E130,Reeksen!$A$5:$B$76,2),0))</f>
        <v>0</v>
      </c>
      <c r="N130" s="84">
        <f ca="1">IF(C130='Invoer gegevens'!$C$17+'Invoer gegevens'!$I$14,Q129,(1-('Invoer gegevens'!$F$20/12))*L130*MIN(Reeksen!B62,Reeksen!D62))</f>
        <v>0</v>
      </c>
      <c r="O130" s="84">
        <f>IF(Reeksen!D62&lt;Reeksen!B62,(Reeksen!B62-Reeksen!D62)*L130,0)</f>
        <v>0</v>
      </c>
      <c r="P130" s="84">
        <f ca="1">IF(E130='Invoer gegevens'!$C$17+'Invoer gegevens'!$I$14+1,0,('Invoer gegevens'!$F$20/12)*L129*MIN(Reeksen!B61,Reeksen!D61))</f>
        <v>0</v>
      </c>
      <c r="Q130" s="84">
        <f ca="1">IF(E130&gt;='Invoer gegevens'!$C$17+'Invoer gegevens'!$I$14,0,L130-M130+I130+O130)</f>
        <v>0</v>
      </c>
      <c r="R130" s="82">
        <f ca="1">IF('Invoer gegevens'!$C$17=E130,'Invoer gegevens'!$C$11,IF(C130=1,W129,0))</f>
        <v>0</v>
      </c>
      <c r="S130" s="86">
        <f ca="1">IF(E130='Invoer gegevens'!$C$17+'Invoer gegevens'!$I$14,W129,IF(C130&gt;=1,R130*VLOOKUP(E130,Reeksen!$A$5:$B$76,2),0))</f>
        <v>0</v>
      </c>
      <c r="T130" s="84">
        <f ca="1">IF(E130='Invoer gegevens'!$C$17+'Invoer gegevens'!$I$14,W129,(1-('Invoer gegevens'!$F$20/12))*R130*MIN(Reeksen!B62,Reeksen!D62))</f>
        <v>0</v>
      </c>
      <c r="U130" s="84">
        <f>IF(Reeksen!D62&gt;=Reeksen!B62,0,IF(Reeksen!AK62&lt;=Reeksen!AE62,(Reeksen!B62-Reeksen!D62)*R130,0))</f>
        <v>0</v>
      </c>
      <c r="V130" s="86">
        <f>IF(Reeksen!D62&gt;=Reeksen!B62,0,IF(Reeksen!AK62&gt;Reeksen!AE62,(Reeksen!B62-Reeksen!D62)*R130,0))</f>
        <v>0</v>
      </c>
      <c r="W130" s="97">
        <f ca="1">IF(E130&gt;='Invoer gegevens'!$C$17+'Invoer gegevens'!$I$14,0,R130-S130)</f>
        <v>0</v>
      </c>
      <c r="X130" s="98">
        <f ca="1">IF('Invoer gegevens'!$C$17=E130,'Invoer gegevens'!$C$10-'Invoer gegevens'!$C$11,IF(C130=1,AC129,0))</f>
        <v>0</v>
      </c>
      <c r="Y130" s="98">
        <f ca="1">IF(E130='Invoer gegevens'!$C$17+'Invoer gegevens'!$I$14,AC129,IF(C130&gt;=1,X130*VLOOKUP(E130,Reeksen!$A$5:$B$76,2),0))</f>
        <v>0</v>
      </c>
      <c r="Z130" s="98">
        <f ca="1">IF(E130='Invoer gegevens'!$C$17+'Invoer gegevens'!$I$14,AC129,(1-('Invoer gegevens'!$F$20/12))*X130*MIN(Reeksen!B62,Reeksen!D62))</f>
        <v>0</v>
      </c>
      <c r="AA130" s="98">
        <f>IF(Reeksen!D62&gt;=Reeksen!B62,0,IF(Reeksen!AK62&lt;=Reeksen!AE62,(Reeksen!B62-Reeksen!D62)*X130,0))</f>
        <v>0</v>
      </c>
      <c r="AB130" s="98">
        <f>IF(Reeksen!D62&gt;=Reeksen!B62,0,IF(Reeksen!AK62&gt;Reeksen!AE62,(Reeksen!B62-Reeksen!D62)*X130,0))</f>
        <v>0</v>
      </c>
      <c r="AC130" s="99">
        <f ca="1">IF(E130&gt;='Invoer gegevens'!$C$17+'Invoer gegevens'!$I$14,0,X130-Y130)</f>
        <v>0</v>
      </c>
      <c r="AD130" s="98">
        <f ca="1">IF('Invoer gegevens'!$C$17=E62,R130,IF(C62=0,0,AE129))</f>
        <v>0</v>
      </c>
      <c r="AE130" s="98">
        <f t="shared" ca="1" si="9"/>
        <v>0</v>
      </c>
      <c r="AF130" s="98">
        <f ca="1">IF('Invoer gegevens'!$C$17=E62,X130,IF(C62=0,0,AG129))</f>
        <v>0</v>
      </c>
      <c r="AG130" s="98">
        <f t="shared" ca="1" si="10"/>
        <v>0</v>
      </c>
      <c r="AH130" s="66"/>
      <c r="AI130" s="71">
        <f ca="1">IF(C130=1,((Reeksen!BF62*(F130-G130+F130)/2)+((L130-M130+L130)/2*Reeksen!BG62))*12,0)</f>
        <v>0</v>
      </c>
      <c r="AJ130" s="71">
        <f ca="1">-AI130*'Invoer gegevens'!$I$26</f>
        <v>0</v>
      </c>
      <c r="AK130" s="71">
        <f t="shared" ca="1" si="11"/>
        <v>0</v>
      </c>
      <c r="AL130" s="71">
        <f ca="1">IF(C130=1,Reeksen!AL62*((F130-G130+F130)/2)*12+Reeksen!AM62*((L130-M130+L130)/2)*12,0)</f>
        <v>0</v>
      </c>
      <c r="AM130" s="71">
        <f ca="1">-AL130*'Invoer gegevens'!$F$31</f>
        <v>0</v>
      </c>
      <c r="AN130" s="71">
        <f t="shared" ca="1" si="12"/>
        <v>0</v>
      </c>
      <c r="AO130" s="71">
        <f ca="1">IF(E130&gt;='Invoer gegevens'!$C$17+'Invoer gegevens'!$I$14,0,IF(C130=1,(H130+J130+N130+P130)*Reeksen!AN62,0))</f>
        <v>0</v>
      </c>
      <c r="AP130" s="71">
        <f ca="1">-IF(C130=1,(H130+J130+N130+P130)*Reeksen!AN61*'Hulp - basis'!$B$550,0)</f>
        <v>0</v>
      </c>
      <c r="AQ130" s="71">
        <f ca="1">-IF(C130=1,(F130+K130+L130+Q130)/2*'Invoer gegevens'!$I$33*Reeksen!J62,0)</f>
        <v>0</v>
      </c>
      <c r="AR130" s="71">
        <f ca="1">-IF(C130=1,(I130*'Invoer gegevens'!$I$34)*Reeksen!J62,0)</f>
        <v>0</v>
      </c>
      <c r="AS130" s="71">
        <f ca="1">-IF(C130=1,(F130+K130+L130+Q130)/2*'Invoer gegevens'!$I$35*Reeksen!L62,0)</f>
        <v>0</v>
      </c>
      <c r="AT130" s="71">
        <f ca="1">-IF(C130=1,IF(E130='Invoer gegevens'!$C$17,'Invoer gegevens'!$C$11,AD130)*Reeksen!S62*'Invoer gegevens'!$C$18*Reeksen!P62,0)</f>
        <v>0</v>
      </c>
      <c r="AU130" s="71">
        <f ca="1">-IF(C130=1,(F130+K130+L130+Q130)/2*'Invoer gegevens'!$I$36*Reeksen!H62,0)</f>
        <v>0</v>
      </c>
      <c r="AV130" s="71">
        <f t="shared" ca="1" si="13"/>
        <v>0</v>
      </c>
      <c r="AW130" s="72">
        <f ca="1">IFERROR(IF(E130='Invoer gegevens'!$C$17+'Invoer gegevens'!$I$14-1,'Invoer gegevens'!$I$13*K130*Reeksen!H62,0),0)</f>
        <v>0</v>
      </c>
      <c r="AX130" s="72">
        <f ca="1">IFERROR(IF(E130='Invoer gegevens'!$C$17,-'Invoer gegevens'!$C$10*('Invoer gegevens'!$C$30+'Invoer gegevens'!$C$31)*Reeksen!H62,0),0)</f>
        <v>0</v>
      </c>
      <c r="AY130" s="73">
        <f ca="1">IF('Invoer gegevens'!$C$34=E130,'Invoer gegevens'!$C$27*'Invoer gegevens'!$C$10*'Invoer gegevens'!$C$36*(IF('Invoer gegevens'!$C$35="ja",1,Reeksen!J62)),IF('Invoer gegevens'!$C$34+1=E130,'Invoer gegevens'!$C$27*'Invoer gegevens'!$C$10*'Invoer gegevens'!$C$37*(IF('Invoer gegevens'!$C$35="ja",1,Reeksen!J62)),0))+IF(AND(E130='Invoer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30" s="73">
        <f ca="1">AV130/(1+'Invoer gegevens'!$I$12)^($D130-('Invoer gegevens'!$C$17-'Invoer gegevens'!$C$16))/(1+'Invoer gegevens'!$C$39)^('Invoer gegevens'!$C$17-'Invoer gegevens'!$C$16)</f>
        <v>0</v>
      </c>
      <c r="BA130" s="73">
        <f ca="1">AW130/(1+'Invoer gegevens'!$I$12)^(E130-('Invoer gegevens'!$C$17-1))/(1+'Invoer gegevens'!$C$39)^('Invoer gegevens'!$C$17-'Invoer gegevens'!$C$16)</f>
        <v>0</v>
      </c>
      <c r="BB130" s="73">
        <f ca="1">AX130/(1+'Invoer gegevens'!$C$39)^('Invoer gegevens'!$C$17-'Invoer gegevens'!$C$16)</f>
        <v>0</v>
      </c>
      <c r="BC130" s="72">
        <f t="shared" ca="1" si="14"/>
        <v>0</v>
      </c>
      <c r="BD130" s="72">
        <f ca="1">IF(AND(E130='Invoer gegevens'!$C$16,'Invoer gegevens'!$C$34&lt;'Invoer gegevens'!$C$16),AY130,AY130/(1+'Invoer gegevens'!$C$39)^D130)</f>
        <v>0</v>
      </c>
      <c r="BE130" s="72">
        <f ca="1">IF(E130='Invoer gegevens'!$C$34,-'Invoer gegevens'!$I$38,0)</f>
        <v>0</v>
      </c>
      <c r="BF130" s="72">
        <f ca="1">IF(E130='Invoer gegevens'!$C$17,-'Invoer gegevens'!$C$19*$BC$134,0)</f>
        <v>0</v>
      </c>
      <c r="BG130" s="72">
        <f ca="1">AV130/(1+$BG$72)^($D130-('Invoer gegevens'!$C$17-'Invoer gegevens'!$C$16))/(1+'Invoer gegevens'!$C$39)^('Invoer gegevens'!$C$17-'Invoer gegevens'!$C$16)+AW130/(1+$BG$72)^(E130-('Invoer gegevens'!$C$17-1))/(1+'Invoer gegevens'!$C$39)^('Invoer gegevens'!$C$17-'Invoer gegevens'!$C$16)+AX130/(1+'Invoer gegevens'!$C$39)^('Invoer gegevens'!$C$17-'Invoer gegevens'!$C$16)+(-AY130/(1+'Invoer gegevens'!$C$39)^D130)+BE130+BF130</f>
        <v>0</v>
      </c>
    </row>
    <row r="131" spans="2:59" x14ac:dyDescent="0.25">
      <c r="B131" s="70">
        <f t="shared" si="15"/>
        <v>59</v>
      </c>
      <c r="C131" s="67">
        <f ca="1">IF(AND(E131&gt;='Invoer gegevens'!$C$17,E131&lt;'Invoer gegevens'!$C$17+'Invoer gegevens'!$I$14),1,0)</f>
        <v>0</v>
      </c>
      <c r="D131" s="68">
        <f t="shared" si="16"/>
        <v>58.5</v>
      </c>
      <c r="E131" s="108">
        <f ca="1">IF('Invoer gegevens'!$C$16="","",E130+1)</f>
        <v>2077</v>
      </c>
      <c r="F131" s="84">
        <f ca="1">IF('Invoer gegevens'!$C$17=E131,'Invoer gegevens'!$C$10,IF(C131=1,K130,0))</f>
        <v>0</v>
      </c>
      <c r="G131" s="96">
        <f ca="1">IF(E131='Invoer gegevens'!$C$17+'Invoer gegevens'!$I$14,K130,IF(C131&gt;=1,F131*VLOOKUP(E131,Reeksen!$A$5:$B$76,2),0))</f>
        <v>0</v>
      </c>
      <c r="H131" s="84">
        <f ca="1">IF(E131='Invoer gegevens'!$C$17+'Invoer gegevens'!$I$14,K130,(1-('Invoer gegevens'!$F$20/12))*F131*MIN(Reeksen!B63,Reeksen!D63))</f>
        <v>0</v>
      </c>
      <c r="I131" s="84">
        <f>IF(Reeksen!D63&lt;Reeksen!B63,(Reeksen!B63-Reeksen!D63)*F131,0)</f>
        <v>0</v>
      </c>
      <c r="J131" s="84">
        <f ca="1">IF(E131='Invoer gegevens'!$C$17+'Invoer gegevens'!$I$14+1,0,('Invoer gegevens'!$F$20/12)*F130*MIN(Reeksen!B62,Reeksen!D62))</f>
        <v>0</v>
      </c>
      <c r="K131" s="97">
        <f ca="1">IF(E131&gt;='Invoer gegevens'!$C$17+'Invoer gegevens'!$I$14,0,F131-G131)</f>
        <v>0</v>
      </c>
      <c r="L131" s="84">
        <f ca="1">IF('Invoer gegevens'!$C$17=E131,0,IF(C131=1,Q130,0))</f>
        <v>0</v>
      </c>
      <c r="M131" s="96">
        <f ca="1">IF(E131='Invoer gegevens'!$C$17+'Invoer gegevens'!$I$14,Q130,IF(C131&gt;=1,L131*VLOOKUP(E131,Reeksen!$A$5:$B$76,2),0))</f>
        <v>0</v>
      </c>
      <c r="N131" s="84">
        <f ca="1">IF(C131='Invoer gegevens'!$C$17+'Invoer gegevens'!$I$14,Q130,(1-('Invoer gegevens'!$F$20/12))*L131*MIN(Reeksen!B63,Reeksen!D63))</f>
        <v>0</v>
      </c>
      <c r="O131" s="84">
        <f>IF(Reeksen!D63&lt;Reeksen!B63,(Reeksen!B63-Reeksen!D63)*L131,0)</f>
        <v>0</v>
      </c>
      <c r="P131" s="84">
        <f ca="1">IF(E131='Invoer gegevens'!$C$17+'Invoer gegevens'!$I$14+1,0,('Invoer gegevens'!$F$20/12)*L130*MIN(Reeksen!B62,Reeksen!D62))</f>
        <v>0</v>
      </c>
      <c r="Q131" s="84">
        <f ca="1">IF(E131&gt;='Invoer gegevens'!$C$17+'Invoer gegevens'!$I$14,0,L131-M131+I131+O131)</f>
        <v>0</v>
      </c>
      <c r="R131" s="82">
        <f ca="1">IF('Invoer gegevens'!$C$17=E131,'Invoer gegevens'!$C$11,IF(C131=1,W130,0))</f>
        <v>0</v>
      </c>
      <c r="S131" s="86">
        <f ca="1">IF(E131='Invoer gegevens'!$C$17+'Invoer gegevens'!$I$14,W130,IF(C131&gt;=1,R131*VLOOKUP(E131,Reeksen!$A$5:$B$76,2),0))</f>
        <v>0</v>
      </c>
      <c r="T131" s="84">
        <f ca="1">IF(E131='Invoer gegevens'!$C$17+'Invoer gegevens'!$I$14,W130,(1-('Invoer gegevens'!$F$20/12))*R131*MIN(Reeksen!B63,Reeksen!D63))</f>
        <v>0</v>
      </c>
      <c r="U131" s="84">
        <f>IF(Reeksen!D63&gt;=Reeksen!B63,0,IF(Reeksen!AK63&lt;=Reeksen!AE63,(Reeksen!B63-Reeksen!D63)*R131,0))</f>
        <v>0</v>
      </c>
      <c r="V131" s="86">
        <f>IF(Reeksen!D63&gt;=Reeksen!B63,0,IF(Reeksen!AK63&gt;Reeksen!AE63,(Reeksen!B63-Reeksen!D63)*R131,0))</f>
        <v>0</v>
      </c>
      <c r="W131" s="97">
        <f ca="1">IF(E131&gt;='Invoer gegevens'!$C$17+'Invoer gegevens'!$I$14,0,R131-S131)</f>
        <v>0</v>
      </c>
      <c r="X131" s="98">
        <f ca="1">IF('Invoer gegevens'!$C$17=E131,'Invoer gegevens'!$C$10-'Invoer gegevens'!$C$11,IF(C131=1,AC130,0))</f>
        <v>0</v>
      </c>
      <c r="Y131" s="98">
        <f ca="1">IF(E131='Invoer gegevens'!$C$17+'Invoer gegevens'!$I$14,AC130,IF(C131&gt;=1,X131*VLOOKUP(E131,Reeksen!$A$5:$B$76,2),0))</f>
        <v>0</v>
      </c>
      <c r="Z131" s="98">
        <f ca="1">IF(E131='Invoer gegevens'!$C$17+'Invoer gegevens'!$I$14,AC130,(1-('Invoer gegevens'!$F$20/12))*X131*MIN(Reeksen!B63,Reeksen!D63))</f>
        <v>0</v>
      </c>
      <c r="AA131" s="98">
        <f>IF(Reeksen!D63&gt;=Reeksen!B63,0,IF(Reeksen!AK63&lt;=Reeksen!AE63,(Reeksen!B63-Reeksen!D63)*X131,0))</f>
        <v>0</v>
      </c>
      <c r="AB131" s="98">
        <f>IF(Reeksen!D63&gt;=Reeksen!B63,0,IF(Reeksen!AK63&gt;Reeksen!AE63,(Reeksen!B63-Reeksen!D63)*X131,0))</f>
        <v>0</v>
      </c>
      <c r="AC131" s="99">
        <f ca="1">IF(E131&gt;='Invoer gegevens'!$C$17+'Invoer gegevens'!$I$14,0,X131-Y131)</f>
        <v>0</v>
      </c>
      <c r="AD131" s="98">
        <f ca="1">IF('Invoer gegevens'!$C$17=E63,R131,IF(C63=0,0,AE130))</f>
        <v>0</v>
      </c>
      <c r="AE131" s="98">
        <f t="shared" ca="1" si="9"/>
        <v>0</v>
      </c>
      <c r="AF131" s="98">
        <f ca="1">IF('Invoer gegevens'!$C$17=E63,X131,IF(C63=0,0,AG130))</f>
        <v>0</v>
      </c>
      <c r="AG131" s="98">
        <f t="shared" ca="1" si="10"/>
        <v>0</v>
      </c>
      <c r="AH131" s="66"/>
      <c r="AI131" s="71">
        <f ca="1">IF(C131=1,((Reeksen!BF63*(F131-G131+F131)/2)+((L131-M131+L131)/2*Reeksen!BG63))*12,0)</f>
        <v>0</v>
      </c>
      <c r="AJ131" s="71">
        <f ca="1">-AI131*'Invoer gegevens'!$I$26</f>
        <v>0</v>
      </c>
      <c r="AK131" s="71">
        <f t="shared" ca="1" si="11"/>
        <v>0</v>
      </c>
      <c r="AL131" s="71">
        <f ca="1">IF(C131=1,Reeksen!AL63*((F131-G131+F131)/2)*12+Reeksen!AM63*((L131-M131+L131)/2)*12,0)</f>
        <v>0</v>
      </c>
      <c r="AM131" s="71">
        <f ca="1">-AL131*'Invoer gegevens'!$F$31</f>
        <v>0</v>
      </c>
      <c r="AN131" s="71">
        <f t="shared" ca="1" si="12"/>
        <v>0</v>
      </c>
      <c r="AO131" s="71">
        <f ca="1">IF(E131&gt;='Invoer gegevens'!$C$17+'Invoer gegevens'!$I$14,0,IF(C131=1,(H131+J131+N131+P131)*Reeksen!AN63,0))</f>
        <v>0</v>
      </c>
      <c r="AP131" s="71">
        <f ca="1">-IF(C131=1,(H131+J131+N131+P131)*Reeksen!AN62*'Hulp - basis'!$B$550,0)</f>
        <v>0</v>
      </c>
      <c r="AQ131" s="71">
        <f ca="1">-IF(C131=1,(F131+K131+L131+Q131)/2*'Invoer gegevens'!$I$33*Reeksen!J63,0)</f>
        <v>0</v>
      </c>
      <c r="AR131" s="71">
        <f ca="1">-IF(C131=1,(I131*'Invoer gegevens'!$I$34)*Reeksen!J63,0)</f>
        <v>0</v>
      </c>
      <c r="AS131" s="71">
        <f ca="1">-IF(C131=1,(F131+K131+L131+Q131)/2*'Invoer gegevens'!$I$35*Reeksen!L63,0)</f>
        <v>0</v>
      </c>
      <c r="AT131" s="71">
        <f ca="1">-IF(C131=1,IF(E131='Invoer gegevens'!$C$17,'Invoer gegevens'!$C$11,AD131)*Reeksen!S63*'Invoer gegevens'!$C$18*Reeksen!P63,0)</f>
        <v>0</v>
      </c>
      <c r="AU131" s="71">
        <f ca="1">-IF(C131=1,(F131+K131+L131+Q131)/2*'Invoer gegevens'!$I$36*Reeksen!H63,0)</f>
        <v>0</v>
      </c>
      <c r="AV131" s="71">
        <f t="shared" ca="1" si="13"/>
        <v>0</v>
      </c>
      <c r="AW131" s="72">
        <f ca="1">IFERROR(IF(E131='Invoer gegevens'!$C$17+'Invoer gegevens'!$I$14-1,'Invoer gegevens'!$I$13*K131*Reeksen!H63,0),0)</f>
        <v>0</v>
      </c>
      <c r="AX131" s="72">
        <f ca="1">IFERROR(IF(E131='Invoer gegevens'!$C$17,-'Invoer gegevens'!$C$10*('Invoer gegevens'!$C$30+'Invoer gegevens'!$C$31)*Reeksen!H63,0),0)</f>
        <v>0</v>
      </c>
      <c r="AY131" s="73">
        <f ca="1">IF('Invoer gegevens'!$C$34=E131,'Invoer gegevens'!$C$27*'Invoer gegevens'!$C$10*'Invoer gegevens'!$C$36*(IF('Invoer gegevens'!$C$35="ja",1,Reeksen!J63)),IF('Invoer gegevens'!$C$34+1=E131,'Invoer gegevens'!$C$27*'Invoer gegevens'!$C$10*'Invoer gegevens'!$C$37*(IF('Invoer gegevens'!$C$35="ja",1,Reeksen!J63)),0))+IF(AND(E131='Invoer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31" s="73">
        <f ca="1">AV131/(1+'Invoer gegevens'!$I$12)^($D131-('Invoer gegevens'!$C$17-'Invoer gegevens'!$C$16))/(1+'Invoer gegevens'!$C$39)^('Invoer gegevens'!$C$17-'Invoer gegevens'!$C$16)</f>
        <v>0</v>
      </c>
      <c r="BA131" s="73">
        <f ca="1">AW131/(1+'Invoer gegevens'!$I$12)^(E131-('Invoer gegevens'!$C$17-1))/(1+'Invoer gegevens'!$C$39)^('Invoer gegevens'!$C$17-'Invoer gegevens'!$C$16)</f>
        <v>0</v>
      </c>
      <c r="BB131" s="73">
        <f ca="1">AX131/(1+'Invoer gegevens'!$C$39)^('Invoer gegevens'!$C$17-'Invoer gegevens'!$C$16)</f>
        <v>0</v>
      </c>
      <c r="BC131" s="72">
        <f t="shared" ca="1" si="14"/>
        <v>0</v>
      </c>
      <c r="BD131" s="72">
        <f ca="1">IF(AND(E131='Invoer gegevens'!$C$16,'Invoer gegevens'!$C$34&lt;'Invoer gegevens'!$C$16),AY131,AY131/(1+'Invoer gegevens'!$C$39)^D131)</f>
        <v>0</v>
      </c>
      <c r="BE131" s="72">
        <f ca="1">IF(E131='Invoer gegevens'!$C$34,-'Invoer gegevens'!$I$38,0)</f>
        <v>0</v>
      </c>
      <c r="BF131" s="72">
        <f ca="1">IF(E131='Invoer gegevens'!$C$17,-'Invoer gegevens'!$C$19*$BC$134,0)</f>
        <v>0</v>
      </c>
      <c r="BG131" s="72">
        <f ca="1">AV131/(1+$BG$72)^($D131-('Invoer gegevens'!$C$17-'Invoer gegevens'!$C$16))/(1+'Invoer gegevens'!$C$39)^('Invoer gegevens'!$C$17-'Invoer gegevens'!$C$16)+AW131/(1+$BG$72)^(E131-('Invoer gegevens'!$C$17-1))/(1+'Invoer gegevens'!$C$39)^('Invoer gegevens'!$C$17-'Invoer gegevens'!$C$16)+AX131/(1+'Invoer gegevens'!$C$39)^('Invoer gegevens'!$C$17-'Invoer gegevens'!$C$16)+(-AY131/(1+'Invoer gegevens'!$C$39)^D131)+BE131+BF131</f>
        <v>0</v>
      </c>
    </row>
    <row r="132" spans="2:59" x14ac:dyDescent="0.25">
      <c r="B132" s="70">
        <f t="shared" si="15"/>
        <v>60</v>
      </c>
      <c r="C132" s="67">
        <f ca="1">IF(AND(E132&gt;='Invoer gegevens'!$C$17,E132&lt;'Invoer gegevens'!$C$17+'Invoer gegevens'!$I$14),1,0)</f>
        <v>0</v>
      </c>
      <c r="D132" s="68">
        <f t="shared" si="16"/>
        <v>59.5</v>
      </c>
      <c r="E132" s="108">
        <f ca="1">IF('Invoer gegevens'!$C$16="","",E131+1)</f>
        <v>2078</v>
      </c>
      <c r="F132" s="84">
        <f ca="1">IF('Invoer gegevens'!$C$17=E132,'Invoer gegevens'!$C$10,IF(C132=1,K131,0))</f>
        <v>0</v>
      </c>
      <c r="G132" s="96">
        <f ca="1">IF(E132='Invoer gegevens'!$C$17+'Invoer gegevens'!$I$14,K131,IF(C132&gt;=1,F132*VLOOKUP(E132,Reeksen!$A$5:$B$76,2),0))</f>
        <v>0</v>
      </c>
      <c r="H132" s="84">
        <f ca="1">IF(E132='Invoer gegevens'!$C$17+'Invoer gegevens'!$I$14,K131,(1-('Invoer gegevens'!$F$20/12))*F132*MIN(Reeksen!B64,Reeksen!D64))</f>
        <v>0</v>
      </c>
      <c r="I132" s="84">
        <f>IF(Reeksen!D64&lt;Reeksen!B64,(Reeksen!B64-Reeksen!D64)*F132,0)</f>
        <v>0</v>
      </c>
      <c r="J132" s="84">
        <f ca="1">IF(E132='Invoer gegevens'!$C$17+'Invoer gegevens'!$I$14+1,0,('Invoer gegevens'!$F$20/12)*F131*MIN(Reeksen!B63,Reeksen!D63))</f>
        <v>0</v>
      </c>
      <c r="K132" s="97">
        <f ca="1">IF(E132&gt;='Invoer gegevens'!$C$17+'Invoer gegevens'!$I$14,0,F132-G132)</f>
        <v>0</v>
      </c>
      <c r="L132" s="84">
        <f ca="1">IF('Invoer gegevens'!$C$17=E132,0,IF(C132=1,Q131,0))</f>
        <v>0</v>
      </c>
      <c r="M132" s="96">
        <f ca="1">IF(E132='Invoer gegevens'!$C$17+'Invoer gegevens'!$I$14,Q131,IF(C132&gt;=1,L132*VLOOKUP(E132,Reeksen!$A$5:$B$76,2),0))</f>
        <v>0</v>
      </c>
      <c r="N132" s="84">
        <f ca="1">IF(C132='Invoer gegevens'!$C$17+'Invoer gegevens'!$I$14,Q131,(1-('Invoer gegevens'!$F$20/12))*L132*MIN(Reeksen!B64,Reeksen!D64))</f>
        <v>0</v>
      </c>
      <c r="O132" s="84">
        <f>IF(Reeksen!D64&lt;Reeksen!B64,(Reeksen!B64-Reeksen!D64)*L132,0)</f>
        <v>0</v>
      </c>
      <c r="P132" s="84">
        <f ca="1">IF(E132='Invoer gegevens'!$C$17+'Invoer gegevens'!$I$14+1,0,('Invoer gegevens'!$F$20/12)*L131*MIN(Reeksen!B63,Reeksen!D63))</f>
        <v>0</v>
      </c>
      <c r="Q132" s="84">
        <f ca="1">IF(E132&gt;='Invoer gegevens'!$C$17+'Invoer gegevens'!$I$14,0,L132-M132+I132+O132)</f>
        <v>0</v>
      </c>
      <c r="R132" s="82">
        <f ca="1">IF('Invoer gegevens'!$C$17=E132,'Invoer gegevens'!$C$11,IF(C132=1,W131,0))</f>
        <v>0</v>
      </c>
      <c r="S132" s="86">
        <f ca="1">IF(E132='Invoer gegevens'!$C$17+'Invoer gegevens'!$I$14,W131,IF(C132&gt;=1,R132*VLOOKUP(E132,Reeksen!$A$5:$B$76,2),0))</f>
        <v>0</v>
      </c>
      <c r="T132" s="84">
        <f ca="1">IF(E132='Invoer gegevens'!$C$17+'Invoer gegevens'!$I$14,W131,(1-('Invoer gegevens'!$F$20/12))*R132*MIN(Reeksen!B64,Reeksen!D64))</f>
        <v>0</v>
      </c>
      <c r="U132" s="84">
        <f>IF(Reeksen!D64&gt;=Reeksen!B64,0,IF(Reeksen!AK64&lt;=Reeksen!AE64,(Reeksen!B64-Reeksen!D64)*R132,0))</f>
        <v>0</v>
      </c>
      <c r="V132" s="86">
        <f>IF(Reeksen!D64&gt;=Reeksen!B64,0,IF(Reeksen!AK64&gt;Reeksen!AE64,(Reeksen!B64-Reeksen!D64)*R132,0))</f>
        <v>0</v>
      </c>
      <c r="W132" s="97">
        <f ca="1">IF(E132&gt;='Invoer gegevens'!$C$17+'Invoer gegevens'!$I$14,0,R132-S132)</f>
        <v>0</v>
      </c>
      <c r="X132" s="98">
        <f ca="1">IF('Invoer gegevens'!$C$17=E132,'Invoer gegevens'!$C$10-'Invoer gegevens'!$C$11,IF(C132=1,AC131,0))</f>
        <v>0</v>
      </c>
      <c r="Y132" s="98">
        <f ca="1">IF(E132='Invoer gegevens'!$C$17+'Invoer gegevens'!$I$14,AC131,IF(C132&gt;=1,X132*VLOOKUP(E132,Reeksen!$A$5:$B$76,2),0))</f>
        <v>0</v>
      </c>
      <c r="Z132" s="98">
        <f ca="1">IF(E132='Invoer gegevens'!$C$17+'Invoer gegevens'!$I$14,AC131,(1-('Invoer gegevens'!$F$20/12))*X132*MIN(Reeksen!B64,Reeksen!D64))</f>
        <v>0</v>
      </c>
      <c r="AA132" s="98">
        <f>IF(Reeksen!D64&gt;=Reeksen!B64,0,IF(Reeksen!AK64&lt;=Reeksen!AE64,(Reeksen!B64-Reeksen!D64)*X132,0))</f>
        <v>0</v>
      </c>
      <c r="AB132" s="98">
        <f>IF(Reeksen!D64&gt;=Reeksen!B64,0,IF(Reeksen!AK64&gt;Reeksen!AE64,(Reeksen!B64-Reeksen!D64)*X132,0))</f>
        <v>0</v>
      </c>
      <c r="AC132" s="99">
        <f ca="1">IF(E132&gt;='Invoer gegevens'!$C$17+'Invoer gegevens'!$I$14,0,X132-Y132)</f>
        <v>0</v>
      </c>
      <c r="AD132" s="98">
        <f ca="1">IF('Invoer gegevens'!$C$17=E64,R132,IF(C64=0,0,AE131))</f>
        <v>0</v>
      </c>
      <c r="AE132" s="98">
        <f t="shared" ca="1" si="9"/>
        <v>0</v>
      </c>
      <c r="AF132" s="98">
        <f ca="1">IF('Invoer gegevens'!$C$17=E64,X132,IF(C64=0,0,AG131))</f>
        <v>0</v>
      </c>
      <c r="AG132" s="98">
        <f t="shared" ca="1" si="10"/>
        <v>0</v>
      </c>
      <c r="AH132" s="66"/>
      <c r="AI132" s="71">
        <f ca="1">IF(C132=1,((Reeksen!BF64*(F132-G132+F132)/2)+((L132-M132+L132)/2*Reeksen!BG64))*12,0)</f>
        <v>0</v>
      </c>
      <c r="AJ132" s="71">
        <f ca="1">-AI132*'Invoer gegevens'!$I$26</f>
        <v>0</v>
      </c>
      <c r="AK132" s="71">
        <f t="shared" ca="1" si="11"/>
        <v>0</v>
      </c>
      <c r="AL132" s="71">
        <f ca="1">IF(C132=1,Reeksen!AL64*((F132-G132+F132)/2)*12+Reeksen!AM64*((L132-M132+L132)/2)*12,0)</f>
        <v>0</v>
      </c>
      <c r="AM132" s="71">
        <f ca="1">-AL132*'Invoer gegevens'!$F$31</f>
        <v>0</v>
      </c>
      <c r="AN132" s="71">
        <f t="shared" ca="1" si="12"/>
        <v>0</v>
      </c>
      <c r="AO132" s="71">
        <f ca="1">IF(E132&gt;='Invoer gegevens'!$C$17+'Invoer gegevens'!$I$14,0,IF(C132=1,(H132+J132+N132+P132)*Reeksen!AN64,0))</f>
        <v>0</v>
      </c>
      <c r="AP132" s="71">
        <f ca="1">-IF(C132=1,(H132+J132+N132+P132)*Reeksen!AN63*'Hulp - basis'!$B$550,0)</f>
        <v>0</v>
      </c>
      <c r="AQ132" s="71">
        <f ca="1">-IF(C132=1,(F132+K132+L132+Q132)/2*'Invoer gegevens'!$I$33*Reeksen!J64,0)</f>
        <v>0</v>
      </c>
      <c r="AR132" s="71">
        <f ca="1">-IF(C132=1,(I132*'Invoer gegevens'!$I$34)*Reeksen!J64,0)</f>
        <v>0</v>
      </c>
      <c r="AS132" s="71">
        <f ca="1">-IF(C132=1,(F132+K132+L132+Q132)/2*'Invoer gegevens'!$I$35*Reeksen!L64,0)</f>
        <v>0</v>
      </c>
      <c r="AT132" s="71">
        <f ca="1">-IF(C132=1,IF(E132='Invoer gegevens'!$C$17,'Invoer gegevens'!$C$11,AD132)*Reeksen!S64*'Invoer gegevens'!$C$18*Reeksen!P64,0)</f>
        <v>0</v>
      </c>
      <c r="AU132" s="71">
        <f ca="1">-IF(C132=1,(F132+K132+L132+Q132)/2*'Invoer gegevens'!$I$36*Reeksen!H64,0)</f>
        <v>0</v>
      </c>
      <c r="AV132" s="71">
        <f t="shared" ca="1" si="13"/>
        <v>0</v>
      </c>
      <c r="AW132" s="72">
        <f ca="1">IFERROR(IF(E132='Invoer gegevens'!$C$17+'Invoer gegevens'!$I$14-1,'Invoer gegevens'!$I$13*K132*Reeksen!H64,0),0)</f>
        <v>0</v>
      </c>
      <c r="AX132" s="72">
        <f ca="1">IFERROR(IF(E132='Invoer gegevens'!$C$17,-'Invoer gegevens'!$C$10*('Invoer gegevens'!$C$30+'Invoer gegevens'!$C$31)*Reeksen!H64,0),0)</f>
        <v>0</v>
      </c>
      <c r="AY132" s="73">
        <f ca="1">IF('Invoer gegevens'!$C$34=E132,'Invoer gegevens'!$C$27*'Invoer gegevens'!$C$10*'Invoer gegevens'!$C$36*(IF('Invoer gegevens'!$C$35="ja",1,Reeksen!J64)),IF('Invoer gegevens'!$C$34+1=E132,'Invoer gegevens'!$C$27*'Invoer gegevens'!$C$10*'Invoer gegevens'!$C$37*(IF('Invoer gegevens'!$C$35="ja",1,Reeksen!J64)),0))+IF(AND(E132='Invoer gegevens'!$C$16,'Invoer gegevens'!$C$34&lt;'Invoer gegevens'!$C$16),IF('Invoer gegevens'!$C$34+2&lt;='Invoer gegevens'!$C$16,'Invoer gegevens'!$C$36+'Invoer gegevens'!$C$37,'Invoer gegevens'!$C$36)*'Invoer gegevens'!$C$27*'Invoer gegevens'!$C$10,0)</f>
        <v>0</v>
      </c>
      <c r="AZ132" s="73">
        <f ca="1">AV132/(1+'Invoer gegevens'!$I$12)^($D132-('Invoer gegevens'!$C$17-'Invoer gegevens'!$C$16))/(1+'Invoer gegevens'!$C$39)^('Invoer gegevens'!$C$17-'Invoer gegevens'!$C$16)</f>
        <v>0</v>
      </c>
      <c r="BA132" s="73">
        <f ca="1">AW132/(1+'Invoer gegevens'!$I$12)^(E132-('Invoer gegevens'!$C$17-1))/(1+'Invoer gegevens'!$C$39)^('Invoer gegevens'!$C$17-'Invoer gegevens'!$C$16)</f>
        <v>0</v>
      </c>
      <c r="BB132" s="73">
        <f ca="1">AX132/(1+'Invoer gegevens'!$C$39)^('Invoer gegevens'!$C$17-'Invoer gegevens'!$C$16)</f>
        <v>0</v>
      </c>
      <c r="BC132" s="72">
        <f t="shared" ca="1" si="14"/>
        <v>0</v>
      </c>
      <c r="BD132" s="72">
        <f ca="1">IF(AND(E132='Invoer gegevens'!$C$16,'Invoer gegevens'!$C$34&lt;'Invoer gegevens'!$C$16),AY132,AY132/(1+'Invoer gegevens'!$C$39)^D132)</f>
        <v>0</v>
      </c>
      <c r="BE132" s="72">
        <f ca="1">IF(E132='Invoer gegevens'!$C$34,-'Invoer gegevens'!$I$38,0)</f>
        <v>0</v>
      </c>
      <c r="BF132" s="72">
        <f ca="1">IF(E132='Invoer gegevens'!$C$17,-'Invoer gegevens'!$C$19*$BC$134,0)</f>
        <v>0</v>
      </c>
      <c r="BG132" s="72">
        <f ca="1">AV132/(1+$BG$72)^($D132-('Invoer gegevens'!$C$17-'Invoer gegevens'!$C$16))/(1+'Invoer gegevens'!$C$39)^('Invoer gegevens'!$C$17-'Invoer gegevens'!$C$16)+AW132/(1+$BG$72)^(E132-('Invoer gegevens'!$C$17-1))/(1+'Invoer gegevens'!$C$39)^('Invoer gegevens'!$C$17-'Invoer gegevens'!$C$16)+AX132/(1+'Invoer gegevens'!$C$39)^('Invoer gegevens'!$C$17-'Invoer gegevens'!$C$16)+(-AY132/(1+'Invoer gegevens'!$C$39)^D132)+BE132+BF132</f>
        <v>0</v>
      </c>
    </row>
    <row r="133" spans="2:59" x14ac:dyDescent="0.25">
      <c r="AH133" s="70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</row>
    <row r="134" spans="2:59" x14ac:dyDescent="0.25">
      <c r="AH134" s="77"/>
      <c r="AI134" s="78">
        <f t="shared" ref="AI134:BG134" ca="1" si="17">SUM(AI73:AI132)</f>
        <v>0</v>
      </c>
      <c r="AJ134" s="78">
        <f t="shared" ca="1" si="17"/>
        <v>0</v>
      </c>
      <c r="AK134" s="78">
        <f t="shared" ca="1" si="17"/>
        <v>0</v>
      </c>
      <c r="AL134" s="78">
        <f t="shared" ca="1" si="17"/>
        <v>0</v>
      </c>
      <c r="AM134" s="78">
        <f t="shared" ca="1" si="17"/>
        <v>0</v>
      </c>
      <c r="AN134" s="78">
        <f t="shared" ca="1" si="17"/>
        <v>0</v>
      </c>
      <c r="AO134" s="78">
        <f t="shared" ca="1" si="17"/>
        <v>0</v>
      </c>
      <c r="AP134" s="78">
        <f t="shared" ca="1" si="17"/>
        <v>0</v>
      </c>
      <c r="AQ134" s="78">
        <f t="shared" ca="1" si="17"/>
        <v>0</v>
      </c>
      <c r="AR134" s="78">
        <f t="shared" ca="1" si="17"/>
        <v>0</v>
      </c>
      <c r="AS134" s="78">
        <f t="shared" ca="1" si="17"/>
        <v>0</v>
      </c>
      <c r="AT134" s="78">
        <f t="shared" ca="1" si="17"/>
        <v>0</v>
      </c>
      <c r="AU134" s="78">
        <f t="shared" ca="1" si="17"/>
        <v>0</v>
      </c>
      <c r="AV134" s="78">
        <f t="shared" ca="1" si="17"/>
        <v>0</v>
      </c>
      <c r="AW134" s="78">
        <f t="shared" ca="1" si="17"/>
        <v>0</v>
      </c>
      <c r="AX134" s="78">
        <f t="shared" ca="1" si="17"/>
        <v>0</v>
      </c>
      <c r="AY134" s="78">
        <f t="shared" ca="1" si="17"/>
        <v>0</v>
      </c>
      <c r="AZ134" s="78">
        <f t="shared" ca="1" si="17"/>
        <v>0</v>
      </c>
      <c r="BA134" s="78">
        <f t="shared" ca="1" si="17"/>
        <v>0</v>
      </c>
      <c r="BB134" s="78">
        <f t="shared" ca="1" si="17"/>
        <v>0</v>
      </c>
      <c r="BC134" s="78">
        <f t="shared" ca="1" si="17"/>
        <v>0</v>
      </c>
      <c r="BD134" s="78">
        <f t="shared" ca="1" si="17"/>
        <v>0</v>
      </c>
      <c r="BE134" s="78">
        <f t="shared" ca="1" si="17"/>
        <v>0</v>
      </c>
      <c r="BF134" s="78">
        <f t="shared" ca="1" si="17"/>
        <v>0</v>
      </c>
      <c r="BG134" s="78">
        <f t="shared" ca="1" si="17"/>
        <v>0</v>
      </c>
    </row>
  </sheetData>
  <mergeCells count="35">
    <mergeCell ref="AF71:AF72"/>
    <mergeCell ref="U71:U72"/>
    <mergeCell ref="V71:V72"/>
    <mergeCell ref="W71:W72"/>
    <mergeCell ref="X71:X72"/>
    <mergeCell ref="Y71:Y72"/>
    <mergeCell ref="Z71:Z72"/>
    <mergeCell ref="AA71:AA72"/>
    <mergeCell ref="AB71:AB72"/>
    <mergeCell ref="AC71:AC72"/>
    <mergeCell ref="AD71:AD72"/>
    <mergeCell ref="AE71:AE72"/>
    <mergeCell ref="T71:T72"/>
    <mergeCell ref="X70:AC70"/>
    <mergeCell ref="AD70:AG70"/>
    <mergeCell ref="F71:F72"/>
    <mergeCell ref="G71:G72"/>
    <mergeCell ref="H71:H72"/>
    <mergeCell ref="I71:I72"/>
    <mergeCell ref="J71:J72"/>
    <mergeCell ref="L71:L72"/>
    <mergeCell ref="M71:M72"/>
    <mergeCell ref="N71:N72"/>
    <mergeCell ref="O71:O72"/>
    <mergeCell ref="P71:P72"/>
    <mergeCell ref="Q71:Q72"/>
    <mergeCell ref="R71:R72"/>
    <mergeCell ref="S71:S72"/>
    <mergeCell ref="F2:H2"/>
    <mergeCell ref="I2:L2"/>
    <mergeCell ref="M2:P2"/>
    <mergeCell ref="Q2:T2"/>
    <mergeCell ref="F70:K70"/>
    <mergeCell ref="L70:Q70"/>
    <mergeCell ref="R70:W70"/>
  </mergeCells>
  <conditionalFormatting sqref="BI29 BH60 BI31:BI61">
    <cfRule type="cellIs" dxfId="3" priority="1" operator="equal">
      <formula>"FOUT"</formula>
    </cfRule>
    <cfRule type="cellIs" dxfId="2" priority="2" operator="equal">
      <formula>"OK"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CM134"/>
  <sheetViews>
    <sheetView showGridLines="0" topLeftCell="AE53" workbookViewId="0">
      <selection activeCell="AQ28" sqref="AQ28"/>
    </sheetView>
  </sheetViews>
  <sheetFormatPr defaultRowHeight="15" outlineLevelCol="1" x14ac:dyDescent="0.25"/>
  <cols>
    <col min="1" max="1" width="1.5703125" style="60" customWidth="1"/>
    <col min="2" max="2" width="4.85546875" style="60" customWidth="1" outlineLevel="1"/>
    <col min="3" max="4" width="6" style="60" customWidth="1" outlineLevel="1"/>
    <col min="5" max="6" width="6.5703125" style="60" customWidth="1" outlineLevel="1"/>
    <col min="7" max="7" width="8.7109375" style="60" customWidth="1" outlineLevel="1"/>
    <col min="8" max="8" width="11.5703125" style="60" customWidth="1" outlineLevel="1"/>
    <col min="9" max="9" width="9.28515625" style="60" customWidth="1" outlineLevel="1"/>
    <col min="10" max="10" width="9.7109375" style="60" customWidth="1" outlineLevel="1"/>
    <col min="11" max="11" width="10.42578125" style="60" customWidth="1" outlineLevel="1"/>
    <col min="12" max="12" width="8.7109375" style="60" customWidth="1" outlineLevel="1"/>
    <col min="13" max="13" width="9.42578125" style="60" customWidth="1" outlineLevel="1"/>
    <col min="14" max="14" width="8.7109375" style="60" customWidth="1" outlineLevel="1"/>
    <col min="15" max="15" width="10.5703125" style="60" customWidth="1" outlineLevel="1"/>
    <col min="16" max="16" width="9.85546875" style="60" customWidth="1" outlineLevel="1"/>
    <col min="17" max="17" width="8.7109375" style="60" customWidth="1" outlineLevel="1"/>
    <col min="18" max="18" width="10.28515625" style="60" customWidth="1" outlineLevel="1"/>
    <col min="19" max="19" width="9.140625" style="60" customWidth="1" outlineLevel="1"/>
    <col min="20" max="21" width="10.42578125" style="60" customWidth="1" outlineLevel="1"/>
    <col min="22" max="22" width="14.140625" style="60" customWidth="1" outlineLevel="1"/>
    <col min="23" max="28" width="8.85546875" style="60" customWidth="1" outlineLevel="1"/>
    <col min="29" max="29" width="9.7109375" style="60" customWidth="1" outlineLevel="1"/>
    <col min="30" max="31" width="9.5703125" style="60" customWidth="1" outlineLevel="1"/>
    <col min="32" max="32" width="10.7109375" style="60" customWidth="1" outlineLevel="1"/>
    <col min="33" max="33" width="9.5703125" style="60" customWidth="1" outlineLevel="1"/>
    <col min="34" max="34" width="3.140625" style="60" customWidth="1" outlineLevel="1"/>
    <col min="35" max="35" width="11.85546875" style="60" bestFit="1" customWidth="1"/>
    <col min="36" max="36" width="9.85546875" style="60" bestFit="1" customWidth="1"/>
    <col min="37" max="37" width="11.85546875" style="60" bestFit="1" customWidth="1"/>
    <col min="38" max="40" width="11.85546875" style="60" customWidth="1"/>
    <col min="41" max="41" width="11.85546875" style="60" bestFit="1" customWidth="1"/>
    <col min="42" max="42" width="9.85546875" style="60" bestFit="1" customWidth="1"/>
    <col min="43" max="43" width="12.5703125" style="60" bestFit="1" customWidth="1"/>
    <col min="44" max="44" width="11" style="60" bestFit="1" customWidth="1"/>
    <col min="45" max="45" width="12.5703125" style="60" bestFit="1" customWidth="1"/>
    <col min="46" max="46" width="12.85546875" style="60" bestFit="1" customWidth="1"/>
    <col min="47" max="47" width="16.42578125" style="60" bestFit="1" customWidth="1"/>
    <col min="48" max="48" width="11.85546875" style="60" bestFit="1" customWidth="1"/>
    <col min="49" max="49" width="11.140625" style="60" bestFit="1" customWidth="1"/>
    <col min="50" max="50" width="12.140625" style="60" bestFit="1" customWidth="1"/>
    <col min="51" max="51" width="12.7109375" style="60" bestFit="1" customWidth="1"/>
    <col min="52" max="52" width="15" style="60" bestFit="1" customWidth="1"/>
    <col min="53" max="53" width="11.140625" style="60" bestFit="1" customWidth="1"/>
    <col min="54" max="54" width="9.28515625" style="60" bestFit="1" customWidth="1"/>
    <col min="55" max="55" width="11.85546875" style="60" customWidth="1"/>
    <col min="56" max="56" width="11.85546875" style="60" bestFit="1" customWidth="1"/>
    <col min="57" max="57" width="15.42578125" style="60" customWidth="1"/>
    <col min="58" max="58" width="11.85546875" style="60" customWidth="1"/>
    <col min="59" max="59" width="12.85546875" style="60" bestFit="1" customWidth="1"/>
    <col min="60" max="60" width="1.85546875" style="60" customWidth="1"/>
    <col min="61" max="61" width="10.7109375" style="60" bestFit="1" customWidth="1"/>
    <col min="62" max="62" width="10.28515625" style="60" bestFit="1" customWidth="1"/>
    <col min="63" max="63" width="9.140625" style="60"/>
    <col min="64" max="64" width="10.28515625" style="60" bestFit="1" customWidth="1"/>
    <col min="65" max="16384" width="9.140625" style="60"/>
  </cols>
  <sheetData>
    <row r="1" spans="1:91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59"/>
      <c r="BI1" s="150"/>
    </row>
    <row r="2" spans="1:91" x14ac:dyDescent="0.25">
      <c r="A2" s="61"/>
      <c r="E2" s="233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</row>
    <row r="3" spans="1:91" ht="15" customHeight="1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231" t="s">
        <v>666</v>
      </c>
      <c r="R3" s="81" t="s">
        <v>666</v>
      </c>
      <c r="S3" s="232" t="s">
        <v>667</v>
      </c>
      <c r="T3" s="81" t="s">
        <v>667</v>
      </c>
      <c r="AH3" s="64"/>
      <c r="AI3" s="62" t="s">
        <v>16</v>
      </c>
      <c r="AJ3" s="62" t="s">
        <v>16</v>
      </c>
      <c r="AK3" s="62" t="s">
        <v>672</v>
      </c>
      <c r="AL3" s="27" t="s">
        <v>704</v>
      </c>
      <c r="AM3" s="27" t="s">
        <v>704</v>
      </c>
      <c r="AN3" s="27" t="s">
        <v>672</v>
      </c>
      <c r="AO3" s="62" t="s">
        <v>673</v>
      </c>
      <c r="AP3" s="62" t="s">
        <v>705</v>
      </c>
      <c r="AQ3" s="62" t="s">
        <v>674</v>
      </c>
      <c r="AR3" s="62" t="s">
        <v>706</v>
      </c>
      <c r="AS3" s="62" t="s">
        <v>675</v>
      </c>
      <c r="AT3" s="62" t="s">
        <v>676</v>
      </c>
      <c r="AU3" s="62" t="s">
        <v>588</v>
      </c>
      <c r="AV3" s="62" t="s">
        <v>677</v>
      </c>
      <c r="AW3" s="62" t="s">
        <v>673</v>
      </c>
      <c r="AX3" s="62" t="s">
        <v>708</v>
      </c>
      <c r="AY3" s="62" t="s">
        <v>828</v>
      </c>
      <c r="AZ3" s="62" t="s">
        <v>679</v>
      </c>
      <c r="BA3" s="62" t="s">
        <v>679</v>
      </c>
      <c r="BB3" s="62" t="s">
        <v>679</v>
      </c>
      <c r="BC3" s="62" t="s">
        <v>679</v>
      </c>
      <c r="BD3" s="62" t="s">
        <v>679</v>
      </c>
      <c r="BE3" s="62" t="s">
        <v>680</v>
      </c>
      <c r="BF3" s="62" t="s">
        <v>680</v>
      </c>
      <c r="BG3" s="62" t="s">
        <v>681</v>
      </c>
      <c r="BH3" s="64"/>
      <c r="BI3" s="64"/>
      <c r="BJ3" s="211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</row>
    <row r="4" spans="1:91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231" t="s">
        <v>710</v>
      </c>
      <c r="R4" s="81" t="s">
        <v>711</v>
      </c>
      <c r="S4" s="232" t="s">
        <v>710</v>
      </c>
      <c r="T4" s="81" t="s">
        <v>711</v>
      </c>
      <c r="AH4" s="64"/>
      <c r="AI4" s="62" t="s">
        <v>712</v>
      </c>
      <c r="AJ4" s="62" t="s">
        <v>683</v>
      </c>
      <c r="AK4" s="62" t="s">
        <v>684</v>
      </c>
      <c r="AL4" s="27" t="s">
        <v>713</v>
      </c>
      <c r="AM4" s="27" t="s">
        <v>683</v>
      </c>
      <c r="AN4" s="27" t="s">
        <v>714</v>
      </c>
      <c r="AO4" s="62" t="s">
        <v>715</v>
      </c>
      <c r="AP4" s="62" t="s">
        <v>685</v>
      </c>
      <c r="AQ4" s="62" t="s">
        <v>685</v>
      </c>
      <c r="AR4" s="62" t="s">
        <v>716</v>
      </c>
      <c r="AS4" s="62" t="s">
        <v>685</v>
      </c>
      <c r="AT4" s="62" t="s">
        <v>686</v>
      </c>
      <c r="AU4" s="62" t="s">
        <v>687</v>
      </c>
      <c r="AV4" s="62" t="s">
        <v>688</v>
      </c>
      <c r="AW4" s="62" t="s">
        <v>689</v>
      </c>
      <c r="AX4" s="62" t="s">
        <v>685</v>
      </c>
      <c r="AY4" s="62"/>
      <c r="AZ4" s="62" t="s">
        <v>691</v>
      </c>
      <c r="BA4" s="62" t="s">
        <v>689</v>
      </c>
      <c r="BB4" s="62" t="s">
        <v>718</v>
      </c>
      <c r="BC4" s="62" t="s">
        <v>692</v>
      </c>
      <c r="BD4" s="62" t="s">
        <v>719</v>
      </c>
      <c r="BE4" s="62" t="s">
        <v>693</v>
      </c>
      <c r="BF4" s="62" t="s">
        <v>694</v>
      </c>
      <c r="BG4" s="212">
        <v>4.0095207211495343E-2</v>
      </c>
      <c r="BH4" s="59"/>
      <c r="BJ4" s="213"/>
    </row>
    <row r="5" spans="1:91" x14ac:dyDescent="0.25">
      <c r="A5" s="59"/>
      <c r="B5" s="66">
        <v>1</v>
      </c>
      <c r="C5" s="67">
        <f ca="1">IF(AND(E5&gt;='Invoer gegevens (N)'!$C$17,E5&lt;'Invoer gegevens (N)'!$C$17+'Invoer gegevens (N)'!$I$14),1,0)</f>
        <v>1</v>
      </c>
      <c r="D5" s="68">
        <v>0.5</v>
      </c>
      <c r="E5" s="69">
        <f ca="1">IF('Invoer gegevens (N)'!$C$16="","",'Invoer gegevens (N)'!$C$16)</f>
        <v>2019</v>
      </c>
      <c r="F5" s="82">
        <f ca="1">IF('Invoer gegevens (N)'!$C$17=E5,'Invoer gegevens (N)'!$C$10,IF(C5=1,H4,0))</f>
        <v>0</v>
      </c>
      <c r="G5" s="83">
        <f ca="1">IF(E5='Invoer gegevens (N)'!$C$17+'Invoer gegevens (N)'!$I$14,H4,IF(C5&gt;=1,F5*'Reeksen (N)'!C5,0))</f>
        <v>0</v>
      </c>
      <c r="H5" s="84">
        <f ca="1">IF(E5&gt;='Invoer gegevens (N)'!$C$17+'Invoer gegevens (N)'!$I$14,0,F5-G5)</f>
        <v>0</v>
      </c>
      <c r="I5" s="85">
        <f ca="1">IF('Invoer gegevens (N)'!$C$17=E5,'Invoer gegevens (N)'!$C$11,IF(C5=1,L4,0))</f>
        <v>0</v>
      </c>
      <c r="J5" s="86">
        <f ca="1">IF(E5='Invoer gegevens (N)'!$C$17+'Invoer gegevens (N)'!$I$14,L4,IF(C5&lt;1,0,IF('Reeksen (N)'!BG5&lt;='Reeksen (N)'!AE5,I5*'Reeksen (N)'!C5,0)))</f>
        <v>0</v>
      </c>
      <c r="K5" s="86">
        <f ca="1">IF(E5='Invoer gegevens (N)'!$C$17+'Invoer gegevens (N)'!$I$14,L4,IF(C5&lt;1,0,IF('Reeksen (N)'!BG5&gt;'Reeksen (N)'!AE5,I5*'Reeksen (N)'!C5,0)))</f>
        <v>0</v>
      </c>
      <c r="L5" s="86">
        <f ca="1">IF(E5&gt;='Invoer gegevens (N)'!$C$17+'Invoer gegevens (N)'!$I$14,0,I5-J5-K5)</f>
        <v>0</v>
      </c>
      <c r="M5" s="85">
        <f ca="1">IF('Invoer gegevens (N)'!$C$17=E5,'Invoer gegevens (N)'!$C$10-'Invoer gegevens (N)'!$C$11,IF(C5=1,P4,0))</f>
        <v>0</v>
      </c>
      <c r="N5" s="86">
        <f ca="1">IF(E5='Invoer gegevens (N)'!$C$17+'Invoer gegevens (N)'!$I$14,P4,IF(C5&lt;1,0,IF('Reeksen (N)'!BG5&lt;='Reeksen (N)'!AE5,M5*'Reeksen (N)'!C5,0)))</f>
        <v>0</v>
      </c>
      <c r="O5" s="86">
        <f ca="1">IF(E5='Invoer gegevens (N)'!$C$17+'Invoer gegevens (N)'!$I$14,P4,IF(C5&lt;1,0,IF('Reeksen (N)'!BG5&gt;'Reeksen (N)'!AE5,M5*'Reeksen (N)'!C5,0)))</f>
        <v>0</v>
      </c>
      <c r="P5" s="86">
        <f ca="1">IF(E5&gt;='Invoer gegevens (N)'!$C$17+'Invoer gegevens (N)'!$I$14,0,M5-N5-O5)</f>
        <v>0</v>
      </c>
      <c r="Q5" s="82">
        <f ca="1">IF('Invoer gegevens (N)'!$C$17=E5,I5,IF(C5=0,0,R4))</f>
        <v>0</v>
      </c>
      <c r="R5" s="84">
        <f ca="1">IF(C5=0,0,Q5-K5+N5)</f>
        <v>0</v>
      </c>
      <c r="S5" s="84">
        <f ca="1">IF('Invoer gegevens (N)'!$C$17=E5,M5,IF(C5=0,0,T4))</f>
        <v>0</v>
      </c>
      <c r="T5" s="84">
        <f ca="1">IF(C5=0,0,S5-N5+K5)</f>
        <v>0</v>
      </c>
      <c r="AH5" s="70"/>
      <c r="AI5" s="71">
        <f ca="1">IF(C5=1,((F5+H5)/2*'Reeksen (N)'!BF5*12)+(('Invoer gegevens (N)'!$C$10-(F5+H5)/2)*'Reeksen (N)'!BG5*12),0)</f>
        <v>0</v>
      </c>
      <c r="AJ5" s="71">
        <f ca="1">-AI5*'Invoer gegevens (N)'!$I$26</f>
        <v>0</v>
      </c>
      <c r="AK5" s="71">
        <f ca="1">AI5+AJ5</f>
        <v>0</v>
      </c>
      <c r="AL5" s="71">
        <f ca="1">IF(C5=1,(12*((F5+H5)/2)*'Reeksen (N)'!AL5)+(12*('Invoer gegevens (N)'!$C$10-(F5+H5)/2)*'Reeksen (N)'!AM5),0)</f>
        <v>0</v>
      </c>
      <c r="AM5" s="71">
        <f ca="1">-AL5*'Invoer gegevens (N)'!$F$31</f>
        <v>0</v>
      </c>
      <c r="AN5" s="71">
        <f ca="1">AL5+AM5</f>
        <v>0</v>
      </c>
      <c r="AO5" s="71"/>
      <c r="AP5" s="71"/>
      <c r="AQ5" s="71">
        <f ca="1">-IF(C5=1,('Invoer gegevens (N)'!$C$10*'Invoer gegevens (N)'!$I$33)*'Reeksen (N)'!J5,0)</f>
        <v>0</v>
      </c>
      <c r="AR5" s="71">
        <f ca="1">-IF(C5=1,(G5*'Invoer gegevens (N)'!$I$34)*'Reeksen (N)'!J5,0)</f>
        <v>0</v>
      </c>
      <c r="AS5" s="71">
        <f ca="1">-IF(C5=1,'Invoer gegevens (N)'!$C$10*'Invoer gegevens (N)'!$I$35*'Reeksen (N)'!L5,0)</f>
        <v>0</v>
      </c>
      <c r="AT5" s="71">
        <f ca="1">-IF(C5=1,IF(E5='Invoer gegevens (N)'!$C$17,'Invoer gegevens (N)'!$C$11,Q5)*'Reeksen (N)'!S5*'Invoer gegevens (N)'!$C$18*'Reeksen (N)'!P5,0)</f>
        <v>0</v>
      </c>
      <c r="AU5" s="71">
        <f ca="1">-IF(C5=1,'Invoer gegevens (N)'!$C$10*'Invoer gegevens (N)'!$I$36*'Reeksen (N)'!H5,0)</f>
        <v>0</v>
      </c>
      <c r="AV5" s="71">
        <f ca="1">SUM(AK5,AN5:AU5)</f>
        <v>0</v>
      </c>
      <c r="AW5" s="72">
        <f ca="1">IFERROR(IF(E5='Invoer gegevens (N)'!$C$17+'Invoer gegevens (N)'!$I$14-1,'Invoer gegevens (N)'!$I$13*'Invoer gegevens (N)'!$C$10*'Reeksen (N)'!H5,0),0)</f>
        <v>0</v>
      </c>
      <c r="AX5" s="72">
        <f ca="1">IFERROR(IF(E5='Invoer gegevens (N)'!$C$17,-'Invoer gegevens (N)'!$C$10*'Invoer gegevens (N)'!$C$31*'Reeksen (N)'!H5,0),0)</f>
        <v>0</v>
      </c>
      <c r="AY5" s="73">
        <f ca="1">IF('Invoer gegevens (N)'!$C$34=E5,'Invoer gegevens (N)'!$C$27*'Invoer gegevens (N)'!$C$10*'Invoer gegevens (N)'!$C$36*(IF('Invoer gegevens (N)'!$C$35="ja",1,'Reeksen (N)'!J5)),IF('Invoer gegevens (N)'!$C$34+1=E5,'Invoer gegevens (N)'!$C$27*'Invoer gegevens (N)'!$C$10*'Invoer gegevens (N)'!$C$37*(IF('Invoer gegevens (N)'!$C$35="ja",1,'Reeksen (N)'!J5)),0))+IF(AND(E5='Invoer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" s="73">
        <f ca="1">AV5/(1+'Invoer gegevens (N)'!$I$12)^($D5-('Invoer gegevens (N)'!$C$17-'Invoer gegevens (N)'!$C$16))/(1+'Invoer gegevens (N)'!$C$39)^('Invoer gegevens (N)'!$C$17-'Invoer gegevens (N)'!$C$16)</f>
        <v>0</v>
      </c>
      <c r="BA5" s="73">
        <f ca="1">AW5/(1+'Invoer gegevens (N)'!$I$12)^(E5-('Invoer gegevens (N)'!$C$17-1))/(1+'Invoer gegevens (N)'!$C$39)^('Invoer gegevens (N)'!$C$17-'Invoer gegevens (N)'!$C$16)</f>
        <v>0</v>
      </c>
      <c r="BB5" s="73">
        <f ca="1">AX5/(1+'Invoer gegevens (N)'!$C$39)^('Invoer gegevens (N)'!$C$17-'Invoer gegevens (N)'!$C$16)</f>
        <v>0</v>
      </c>
      <c r="BC5" s="72">
        <f ca="1">SUM(AZ5:BA5)</f>
        <v>0</v>
      </c>
      <c r="BD5" s="72">
        <f ca="1">IF(AND(E5='Invoer gegevens (N)'!$C$16,'Invoer gegevens (N)'!$C$34&lt;'Invoer gegevens (N)'!$C$16),AY5,AY5/(1+'Invoer gegevens (N)'!$C$39)^D5)</f>
        <v>0</v>
      </c>
      <c r="BE5" s="72">
        <f ca="1">IF(E5='Invoer gegevens (N)'!$C$34,-'Invoer gegevens (N)'!$I$38,0)</f>
        <v>0</v>
      </c>
      <c r="BF5" s="72">
        <f ca="1">IF(E5='Invoer gegevens (N)'!$C$17,-'Invoer gegevens (N)'!$C$19*$BC$66,0)</f>
        <v>0</v>
      </c>
      <c r="BG5" s="72">
        <f ca="1">AV5/(1+$BG$4)^($D5-('Invoer gegevens (N)'!$C$17-'Invoer gegevens (N)'!$C$16))/(1+'Invoer gegevens (N)'!$C$39)^('Invoer gegevens (N)'!$C$17-'Invoer gegevens (N)'!$C$16)+AW5/(1+$BG$4)^(E5-('Invoer gegevens (N)'!$C$17-1))/(1+'Invoer gegevens (N)'!$C$39)^('Invoer gegevens (N)'!$C$17-'Invoer gegevens (N)'!$C$16)+AX5/(1+'Invoer gegevens (N)'!$C$39)^('Invoer gegevens (N)'!$C$17-'Invoer gegevens (N)'!$C$16)+(-AY5/(1+'Invoer gegevens (N)'!$C$39)^D5)+BE5+BF5</f>
        <v>0</v>
      </c>
      <c r="BH5" s="59"/>
      <c r="BJ5" s="214"/>
      <c r="BL5" s="214"/>
    </row>
    <row r="6" spans="1:91" x14ac:dyDescent="0.25">
      <c r="A6" s="59"/>
      <c r="B6" s="70">
        <f>B5+1</f>
        <v>2</v>
      </c>
      <c r="C6" s="67">
        <f ca="1">IF(AND(E6&gt;='Invoer gegevens (N)'!$C$17,E6&lt;'Invoer gegevens (N)'!$C$17+'Invoer gegevens (N)'!$I$14),1,0)</f>
        <v>1</v>
      </c>
      <c r="D6" s="68">
        <f>D5+1</f>
        <v>1.5</v>
      </c>
      <c r="E6" s="69">
        <f ca="1">IF('Invoer gegevens (N)'!$C$16="","",E5+1)</f>
        <v>2020</v>
      </c>
      <c r="F6" s="82">
        <f ca="1">IF('Invoer gegevens (N)'!$C$17=E6,'Invoer gegevens (N)'!$C$10,IF(C6=1,H5,0))</f>
        <v>0</v>
      </c>
      <c r="G6" s="83">
        <f ca="1">IF(E6='Invoer gegevens (N)'!$C$17+'Invoer gegevens (N)'!$I$14,H5,IF(C6&gt;=1,F6*'Reeksen (N)'!C6,0))</f>
        <v>0</v>
      </c>
      <c r="H6" s="84">
        <f ca="1">IF(E6&gt;='Invoer gegevens (N)'!$C$17+'Invoer gegevens (N)'!$I$14,0,F6-G6)</f>
        <v>0</v>
      </c>
      <c r="I6" s="85">
        <f ca="1">IF('Invoer gegevens (N)'!$C$17=E6,'Invoer gegevens (N)'!$C$11,IF(C6=1,L5,0))</f>
        <v>0</v>
      </c>
      <c r="J6" s="86">
        <f ca="1">IF(E6='Invoer gegevens (N)'!$C$17+'Invoer gegevens (N)'!$I$14,L5,IF(C6&lt;1,0,IF('Reeksen (N)'!BG6&lt;='Reeksen (N)'!AE6,I6*'Reeksen (N)'!C6,0)))</f>
        <v>0</v>
      </c>
      <c r="K6" s="86">
        <f ca="1">IF(E6='Invoer gegevens (N)'!$C$17+'Invoer gegevens (N)'!$I$14,L5,IF(C6&lt;1,0,IF('Reeksen (N)'!BG6&gt;'Reeksen (N)'!AE6,I6*'Reeksen (N)'!C6,0)))</f>
        <v>0</v>
      </c>
      <c r="L6" s="86">
        <f ca="1">IF(E6&gt;='Invoer gegevens (N)'!$C$17+'Invoer gegevens (N)'!$I$14,0,I6-J6-K6)</f>
        <v>0</v>
      </c>
      <c r="M6" s="85">
        <f ca="1">IF('Invoer gegevens (N)'!$C$17=E6,'Invoer gegevens (N)'!$C$10-'Invoer gegevens (N)'!$C$11,IF(C6=1,P5,0))</f>
        <v>0</v>
      </c>
      <c r="N6" s="86">
        <f ca="1">IF(E6='Invoer gegevens (N)'!$C$17+'Invoer gegevens (N)'!$I$14,P5,IF(C6&lt;1,0,IF('Reeksen (N)'!BG6&lt;='Reeksen (N)'!AE6,M6*'Reeksen (N)'!C6,0)))</f>
        <v>0</v>
      </c>
      <c r="O6" s="86">
        <f ca="1">IF(E6='Invoer gegevens (N)'!$C$17+'Invoer gegevens (N)'!$I$14,P5,IF(C6&lt;1,0,IF('Reeksen (N)'!BG6&gt;'Reeksen (N)'!AE6,M6*'Reeksen (N)'!C6,0)))</f>
        <v>0</v>
      </c>
      <c r="P6" s="86">
        <f ca="1">IF(E6&gt;='Invoer gegevens (N)'!$C$17+'Invoer gegevens (N)'!$I$14,0,M6-N6-O6)</f>
        <v>0</v>
      </c>
      <c r="Q6" s="82">
        <f ca="1">IF('Invoer gegevens (N)'!$C$17=E6,I6,IF(C6=0,0,R5))</f>
        <v>0</v>
      </c>
      <c r="R6" s="84">
        <f t="shared" ref="R6:R64" ca="1" si="0">IF(C6=0,0,Q6-K6+N6)</f>
        <v>0</v>
      </c>
      <c r="S6" s="84">
        <f ca="1">IF('Invoer gegevens (N)'!$C$17=E6,M6,IF(C6=0,0,T5))</f>
        <v>0</v>
      </c>
      <c r="T6" s="84">
        <f t="shared" ref="T6:T64" ca="1" si="1">IF(C6=0,0,S6-N6+K6)</f>
        <v>0</v>
      </c>
      <c r="AH6" s="70"/>
      <c r="AI6" s="71">
        <f ca="1">IF(C6=1,((F6+H6)/2*'Reeksen (N)'!BF6*12)+(('Invoer gegevens (N)'!$C$10-(F6+H6)/2)*'Reeksen (N)'!BG6*12),0)</f>
        <v>0</v>
      </c>
      <c r="AJ6" s="71">
        <f ca="1">-AI6*'Invoer gegevens (N)'!$I$26</f>
        <v>0</v>
      </c>
      <c r="AK6" s="71">
        <f t="shared" ref="AK6:AK64" ca="1" si="2">AI6+AJ6</f>
        <v>0</v>
      </c>
      <c r="AL6" s="71">
        <f ca="1">IF(C6=1,(12*((F6+H6)/2)*'Reeksen (N)'!AL6)+(12*('Invoer gegevens (N)'!$C$10-(F6+H6)/2)*'Reeksen (N)'!AM6),0)</f>
        <v>0</v>
      </c>
      <c r="AM6" s="71">
        <f ca="1">-AL6*'Invoer gegevens (N)'!$F$31</f>
        <v>0</v>
      </c>
      <c r="AN6" s="71">
        <f t="shared" ref="AN6:AN64" ca="1" si="3">AL6+AM6</f>
        <v>0</v>
      </c>
      <c r="AO6" s="71"/>
      <c r="AP6" s="71"/>
      <c r="AQ6" s="71">
        <f ca="1">-IF(C6=1,('Invoer gegevens (N)'!$C$10*'Invoer gegevens (N)'!$I$33)*'Reeksen (N)'!J6,0)</f>
        <v>0</v>
      </c>
      <c r="AR6" s="71">
        <f ca="1">-IF(C6=1,(G6*'Invoer gegevens (N)'!$I$34)*'Reeksen (N)'!J6,0)</f>
        <v>0</v>
      </c>
      <c r="AS6" s="71">
        <f ca="1">-IF(C6=1,'Invoer gegevens (N)'!$C$10*'Invoer gegevens (N)'!$I$35*'Reeksen (N)'!L6,0)</f>
        <v>0</v>
      </c>
      <c r="AT6" s="71">
        <f ca="1">-IF(C6=1,IF(E6='Invoer gegevens (N)'!$C$17,'Invoer gegevens (N)'!$C$11,Q6)*'Reeksen (N)'!S6*'Invoer gegevens (N)'!$C$18*'Reeksen (N)'!P6,0)</f>
        <v>0</v>
      </c>
      <c r="AU6" s="71">
        <f ca="1">-IF(C6=1,'Invoer gegevens (N)'!$C$10*'Invoer gegevens (N)'!$I$36*'Reeksen (N)'!H6,0)</f>
        <v>0</v>
      </c>
      <c r="AV6" s="71">
        <f t="shared" ref="AV6:AV64" ca="1" si="4">SUM(AK6,AN6:AU6)</f>
        <v>0</v>
      </c>
      <c r="AW6" s="72">
        <f ca="1">IFERROR(IF(E6='Invoer gegevens (N)'!$C$17+'Invoer gegevens (N)'!$I$14-1,'Invoer gegevens (N)'!$I$13*'Invoer gegevens (N)'!$C$10*'Reeksen (N)'!H6,0),0)</f>
        <v>0</v>
      </c>
      <c r="AX6" s="72">
        <f ca="1">IFERROR(IF(E6='Invoer gegevens (N)'!$C$17,-'Invoer gegevens (N)'!$C$10*'Invoer gegevens (N)'!$C$31*'Reeksen (N)'!H6,0),0)</f>
        <v>0</v>
      </c>
      <c r="AY6" s="73">
        <f ca="1">IF('Invoer gegevens (N)'!$C$34=E6,'Invoer gegevens (N)'!$C$27*'Invoer gegevens (N)'!$C$10*'Invoer gegevens (N)'!$C$36*(IF('Invoer gegevens (N)'!$C$35="ja",1,'Reeksen (N)'!J6)),IF('Invoer gegevens (N)'!$C$34+1=E6,'Invoer gegevens (N)'!$C$27*'Invoer gegevens (N)'!$C$10*'Invoer gegevens (N)'!$C$37*(IF('Invoer gegevens (N)'!$C$35="ja",1,'Reeksen (N)'!J6)),0))+IF(AND(E6='Invoer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6" s="73">
        <f ca="1">AV6/(1+'Invoer gegevens (N)'!$I$12)^($D6-('Invoer gegevens (N)'!$C$17-'Invoer gegevens (N)'!$C$16))/(1+'Invoer gegevens (N)'!$C$39)^('Invoer gegevens (N)'!$C$17-'Invoer gegevens (N)'!$C$16)</f>
        <v>0</v>
      </c>
      <c r="BA6" s="73">
        <f ca="1">AW6/(1+'Invoer gegevens (N)'!$I$12)^(E6-('Invoer gegevens (N)'!$C$17-1))/(1+'Invoer gegevens (N)'!$C$39)^('Invoer gegevens (N)'!$C$17-'Invoer gegevens (N)'!$C$16)</f>
        <v>0</v>
      </c>
      <c r="BB6" s="73">
        <f ca="1">AX6/(1+'Invoer gegevens (N)'!$C$39)^('Invoer gegevens (N)'!$C$17-'Invoer gegevens (N)'!$C$16)</f>
        <v>0</v>
      </c>
      <c r="BC6" s="72">
        <f t="shared" ref="BC6:BC64" ca="1" si="5">SUM(AZ6:BA6)</f>
        <v>0</v>
      </c>
      <c r="BD6" s="72">
        <f ca="1">IF(AND(E6='Invoer gegevens (N)'!$C$16,'Invoer gegevens (N)'!$C$34&lt;'Invoer gegevens (N)'!$C$16),AY6,AY6/(1+'Invoer gegevens (N)'!$C$39)^D6)</f>
        <v>0</v>
      </c>
      <c r="BE6" s="72">
        <f ca="1">IF(E6='Invoer gegevens (N)'!$C$34,-'Invoer gegevens (N)'!$I$38,0)</f>
        <v>0</v>
      </c>
      <c r="BF6" s="72">
        <f ca="1">IF(E6='Invoer gegevens (N)'!$C$17,-'Invoer gegevens (N)'!$C$19*$BC$66,0)</f>
        <v>0</v>
      </c>
      <c r="BG6" s="72">
        <f ca="1">AV6/(1+$BG$4)^($D6-('Invoer gegevens (N)'!$C$17-'Invoer gegevens (N)'!$C$16))/(1+'Invoer gegevens (N)'!$C$39)^('Invoer gegevens (N)'!$C$17-'Invoer gegevens (N)'!$C$16)+AW6/(1+$BG$4)^(E6-('Invoer gegevens (N)'!$C$17-1))/(1+'Invoer gegevens (N)'!$C$39)^('Invoer gegevens (N)'!$C$17-'Invoer gegevens (N)'!$C$16)+AX6/(1+'Invoer gegevens (N)'!$C$39)^('Invoer gegevens (N)'!$C$17-'Invoer gegevens (N)'!$C$16)+(-AY6/(1+'Invoer gegevens (N)'!$C$39)^D6)+BE6+BF6</f>
        <v>0</v>
      </c>
      <c r="BH6" s="59"/>
      <c r="BJ6" s="214"/>
      <c r="BL6" s="214"/>
    </row>
    <row r="7" spans="1:91" x14ac:dyDescent="0.25">
      <c r="A7" s="59"/>
      <c r="B7" s="70">
        <f t="shared" ref="B7:B64" si="6">B6+1</f>
        <v>3</v>
      </c>
      <c r="C7" s="67">
        <f ca="1">IF(AND(E7&gt;='Invoer gegevens (N)'!$C$17,E7&lt;'Invoer gegevens (N)'!$C$17+'Invoer gegevens (N)'!$I$14),1,0)</f>
        <v>1</v>
      </c>
      <c r="D7" s="68">
        <f t="shared" ref="D7:D64" si="7">D6+1</f>
        <v>2.5</v>
      </c>
      <c r="E7" s="69">
        <f ca="1">IF('Invoer gegevens (N)'!$C$16="","",E6+1)</f>
        <v>2021</v>
      </c>
      <c r="F7" s="82">
        <f ca="1">IF('Invoer gegevens (N)'!$C$17=E7,'Invoer gegevens (N)'!$C$10,IF(C7=1,H6,0))</f>
        <v>0</v>
      </c>
      <c r="G7" s="83">
        <f ca="1">IF(E7='Invoer gegevens (N)'!$C$17+'Invoer gegevens (N)'!$I$14,H6,IF(C7&gt;=1,F7*'Reeksen (N)'!C7,0))</f>
        <v>0</v>
      </c>
      <c r="H7" s="84">
        <f ca="1">IF(E7&gt;='Invoer gegevens (N)'!$C$17+'Invoer gegevens (N)'!$I$14,0,F7-G7)</f>
        <v>0</v>
      </c>
      <c r="I7" s="85">
        <f ca="1">IF('Invoer gegevens (N)'!$C$17=E7,'Invoer gegevens (N)'!$C$11,IF(C7=1,L6,0))</f>
        <v>0</v>
      </c>
      <c r="J7" s="86">
        <f ca="1">IF(E7='Invoer gegevens (N)'!$C$17+'Invoer gegevens (N)'!$I$14,L6,IF(C7&lt;1,0,IF('Reeksen (N)'!BG7&lt;='Reeksen (N)'!AE7,I7*'Reeksen (N)'!C7,0)))</f>
        <v>0</v>
      </c>
      <c r="K7" s="86">
        <f ca="1">IF(E7='Invoer gegevens (N)'!$C$17+'Invoer gegevens (N)'!$I$14,L6,IF(C7&lt;1,0,IF('Reeksen (N)'!BG7&gt;'Reeksen (N)'!AE7,I7*'Reeksen (N)'!C7,0)))</f>
        <v>0</v>
      </c>
      <c r="L7" s="86">
        <f ca="1">IF(E7&gt;='Invoer gegevens (N)'!$C$17+'Invoer gegevens (N)'!$I$14,0,I7-J7-K7)</f>
        <v>0</v>
      </c>
      <c r="M7" s="85">
        <f ca="1">IF('Invoer gegevens (N)'!$C$17=E7,'Invoer gegevens (N)'!$C$10-'Invoer gegevens (N)'!$C$11,IF(C7=1,P6,0))</f>
        <v>0</v>
      </c>
      <c r="N7" s="86">
        <f ca="1">IF(E7='Invoer gegevens (N)'!$C$17+'Invoer gegevens (N)'!$I$14,P6,IF(C7&lt;1,0,IF('Reeksen (N)'!BG7&lt;='Reeksen (N)'!AE7,M7*'Reeksen (N)'!C7,0)))</f>
        <v>0</v>
      </c>
      <c r="O7" s="86">
        <f ca="1">IF(E7='Invoer gegevens (N)'!$C$17+'Invoer gegevens (N)'!$I$14,P6,IF(C7&lt;1,0,IF('Reeksen (N)'!BG7&gt;'Reeksen (N)'!AE7,M7*'Reeksen (N)'!C7,0)))</f>
        <v>0</v>
      </c>
      <c r="P7" s="86">
        <f ca="1">IF(E7&gt;='Invoer gegevens (N)'!$C$17+'Invoer gegevens (N)'!$I$14,0,M7-N7-O7)</f>
        <v>0</v>
      </c>
      <c r="Q7" s="82">
        <f ca="1">IF('Invoer gegevens (N)'!$C$17=E7,I7,IF(C7=0,0,R6))</f>
        <v>0</v>
      </c>
      <c r="R7" s="84">
        <f t="shared" ca="1" si="0"/>
        <v>0</v>
      </c>
      <c r="S7" s="84">
        <f ca="1">IF('Invoer gegevens (N)'!$C$17=E7,M7,IF(C7=0,0,T6))</f>
        <v>0</v>
      </c>
      <c r="T7" s="84">
        <f t="shared" ca="1" si="1"/>
        <v>0</v>
      </c>
      <c r="AH7" s="70"/>
      <c r="AI7" s="71">
        <f ca="1">IF(C7=1,((F7+H7)/2*'Reeksen (N)'!BF7*12)+(('Invoer gegevens (N)'!$C$10-(F7+H7)/2)*'Reeksen (N)'!BG7*12),0)</f>
        <v>0</v>
      </c>
      <c r="AJ7" s="71">
        <f ca="1">-AI7*'Invoer gegevens (N)'!$I$26</f>
        <v>0</v>
      </c>
      <c r="AK7" s="71">
        <f t="shared" ca="1" si="2"/>
        <v>0</v>
      </c>
      <c r="AL7" s="71">
        <f ca="1">IF(C7=1,(12*((F7+H7)/2)*'Reeksen (N)'!AL7)+(12*('Invoer gegevens (N)'!$C$10-(F7+H7)/2)*'Reeksen (N)'!AM7),0)</f>
        <v>0</v>
      </c>
      <c r="AM7" s="71">
        <f ca="1">-AL7*'Invoer gegevens (N)'!$F$31</f>
        <v>0</v>
      </c>
      <c r="AN7" s="71">
        <f t="shared" ca="1" si="3"/>
        <v>0</v>
      </c>
      <c r="AO7" s="71"/>
      <c r="AP7" s="71"/>
      <c r="AQ7" s="71">
        <f ca="1">-IF(C7=1,('Invoer gegevens (N)'!$C$10*'Invoer gegevens (N)'!$I$33)*'Reeksen (N)'!J7,0)</f>
        <v>0</v>
      </c>
      <c r="AR7" s="71">
        <f ca="1">-IF(C7=1,(G7*'Invoer gegevens (N)'!$I$34)*'Reeksen (N)'!J7,0)</f>
        <v>0</v>
      </c>
      <c r="AS7" s="71">
        <f ca="1">-IF(C7=1,'Invoer gegevens (N)'!$C$10*'Invoer gegevens (N)'!$I$35*'Reeksen (N)'!L7,0)</f>
        <v>0</v>
      </c>
      <c r="AT7" s="71">
        <f ca="1">-IF(C7=1,IF(E7='Invoer gegevens (N)'!$C$17,'Invoer gegevens (N)'!$C$11,Q7)*'Reeksen (N)'!S7*'Invoer gegevens (N)'!$C$18*'Reeksen (N)'!P7,0)</f>
        <v>0</v>
      </c>
      <c r="AU7" s="71">
        <f ca="1">-IF(C7=1,'Invoer gegevens (N)'!$C$10*'Invoer gegevens (N)'!$I$36*'Reeksen (N)'!H7,0)</f>
        <v>0</v>
      </c>
      <c r="AV7" s="71">
        <f t="shared" ca="1" si="4"/>
        <v>0</v>
      </c>
      <c r="AW7" s="72">
        <f ca="1">IFERROR(IF(E7='Invoer gegevens (N)'!$C$17+'Invoer gegevens (N)'!$I$14-1,'Invoer gegevens (N)'!$I$13*'Invoer gegevens (N)'!$C$10*'Reeksen (N)'!H7,0),0)</f>
        <v>0</v>
      </c>
      <c r="AX7" s="72">
        <f ca="1">IFERROR(IF(E7='Invoer gegevens (N)'!$C$17,-'Invoer gegevens (N)'!$C$10*'Invoer gegevens (N)'!$C$31*'Reeksen (N)'!H7,0),0)</f>
        <v>0</v>
      </c>
      <c r="AY7" s="73">
        <f ca="1">IF('Invoer gegevens (N)'!$C$34=E7,'Invoer gegevens (N)'!$C$27*'Invoer gegevens (N)'!$C$10*'Invoer gegevens (N)'!$C$36*(IF('Invoer gegevens (N)'!$C$35="ja",1,'Reeksen (N)'!J7)),IF('Invoer gegevens (N)'!$C$34+1=E7,'Invoer gegevens (N)'!$C$27*'Invoer gegevens (N)'!$C$10*'Invoer gegevens (N)'!$C$37*(IF('Invoer gegevens (N)'!$C$35="ja",1,'Reeksen (N)'!J7)),0))+IF(AND(E7='Invoer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" s="73">
        <f ca="1">AV7/(1+'Invoer gegevens (N)'!$I$12)^($D7-('Invoer gegevens (N)'!$C$17-'Invoer gegevens (N)'!$C$16))/(1+'Invoer gegevens (N)'!$C$39)^('Invoer gegevens (N)'!$C$17-'Invoer gegevens (N)'!$C$16)</f>
        <v>0</v>
      </c>
      <c r="BA7" s="73">
        <f ca="1">AW7/(1+'Invoer gegevens (N)'!$I$12)^(E7-('Invoer gegevens (N)'!$C$17-1))/(1+'Invoer gegevens (N)'!$C$39)^('Invoer gegevens (N)'!$C$17-'Invoer gegevens (N)'!$C$16)</f>
        <v>0</v>
      </c>
      <c r="BB7" s="73">
        <f ca="1">AX7/(1+'Invoer gegevens (N)'!$C$39)^('Invoer gegevens (N)'!$C$17-'Invoer gegevens (N)'!$C$16)</f>
        <v>0</v>
      </c>
      <c r="BC7" s="72">
        <f t="shared" ca="1" si="5"/>
        <v>0</v>
      </c>
      <c r="BD7" s="72">
        <f ca="1">IF(AND(E7='Invoer gegevens (N)'!$C$16,'Invoer gegevens (N)'!$C$34&lt;'Invoer gegevens (N)'!$C$16),AY7,AY7/(1+'Invoer gegevens (N)'!$C$39)^D7)</f>
        <v>0</v>
      </c>
      <c r="BE7" s="72">
        <f ca="1">IF(E7='Invoer gegevens (N)'!$C$34,-'Invoer gegevens (N)'!$I$38,0)</f>
        <v>0</v>
      </c>
      <c r="BF7" s="72">
        <f ca="1">IF(E7='Invoer gegevens (N)'!$C$17,-'Invoer gegevens (N)'!$C$19*$BC$66,0)</f>
        <v>0</v>
      </c>
      <c r="BG7" s="72">
        <f ca="1">AV7/(1+$BG$4)^($D7-('Invoer gegevens (N)'!$C$17-'Invoer gegevens (N)'!$C$16))/(1+'Invoer gegevens (N)'!$C$39)^('Invoer gegevens (N)'!$C$17-'Invoer gegevens (N)'!$C$16)+AW7/(1+$BG$4)^(E7-('Invoer gegevens (N)'!$C$17-1))/(1+'Invoer gegevens (N)'!$C$39)^('Invoer gegevens (N)'!$C$17-'Invoer gegevens (N)'!$C$16)+AX7/(1+'Invoer gegevens (N)'!$C$39)^('Invoer gegevens (N)'!$C$17-'Invoer gegevens (N)'!$C$16)+(-AY7/(1+'Invoer gegevens (N)'!$C$39)^D7)+BE7+BF7</f>
        <v>0</v>
      </c>
      <c r="BH7" s="59"/>
      <c r="BJ7" s="214"/>
    </row>
    <row r="8" spans="1:91" x14ac:dyDescent="0.25">
      <c r="A8" s="59"/>
      <c r="B8" s="70">
        <f t="shared" si="6"/>
        <v>4</v>
      </c>
      <c r="C8" s="67">
        <f ca="1">IF(AND(E8&gt;='Invoer gegevens (N)'!$C$17,E8&lt;'Invoer gegevens (N)'!$C$17+'Invoer gegevens (N)'!$I$14),1,0)</f>
        <v>1</v>
      </c>
      <c r="D8" s="68">
        <f t="shared" si="7"/>
        <v>3.5</v>
      </c>
      <c r="E8" s="69">
        <f ca="1">IF('Invoer gegevens (N)'!$C$16="","",E7+1)</f>
        <v>2022</v>
      </c>
      <c r="F8" s="82">
        <f ca="1">IF('Invoer gegevens (N)'!$C$17=E8,'Invoer gegevens (N)'!$C$10,IF(C8=1,H7,0))</f>
        <v>0</v>
      </c>
      <c r="G8" s="83">
        <f ca="1">IF(E8='Invoer gegevens (N)'!$C$17+'Invoer gegevens (N)'!$I$14,H7,IF(C8&gt;=1,F8*'Reeksen (N)'!C8,0))</f>
        <v>0</v>
      </c>
      <c r="H8" s="84">
        <f ca="1">IF(E8&gt;='Invoer gegevens (N)'!$C$17+'Invoer gegevens (N)'!$I$14,0,F8-G8)</f>
        <v>0</v>
      </c>
      <c r="I8" s="85">
        <f ca="1">IF('Invoer gegevens (N)'!$C$17=E8,'Invoer gegevens (N)'!$C$11,IF(C8=1,L7,0))</f>
        <v>0</v>
      </c>
      <c r="J8" s="86">
        <f ca="1">IF(E8='Invoer gegevens (N)'!$C$17+'Invoer gegevens (N)'!$I$14,L7,IF(C8&lt;1,0,IF('Reeksen (N)'!BG8&lt;='Reeksen (N)'!AE8,I8*'Reeksen (N)'!C8,0)))</f>
        <v>0</v>
      </c>
      <c r="K8" s="86">
        <f ca="1">IF(E8='Invoer gegevens (N)'!$C$17+'Invoer gegevens (N)'!$I$14,L7,IF(C8&lt;1,0,IF('Reeksen (N)'!BG8&gt;'Reeksen (N)'!AE8,I8*'Reeksen (N)'!C8,0)))</f>
        <v>0</v>
      </c>
      <c r="L8" s="86">
        <f ca="1">IF(E8&gt;='Invoer gegevens (N)'!$C$17+'Invoer gegevens (N)'!$I$14,0,I8-J8-K8)</f>
        <v>0</v>
      </c>
      <c r="M8" s="85">
        <f ca="1">IF('Invoer gegevens (N)'!$C$17=E8,'Invoer gegevens (N)'!$C$10-'Invoer gegevens (N)'!$C$11,IF(C8=1,P7,0))</f>
        <v>0</v>
      </c>
      <c r="N8" s="86">
        <f ca="1">IF(E8='Invoer gegevens (N)'!$C$17+'Invoer gegevens (N)'!$I$14,P7,IF(C8&lt;1,0,IF('Reeksen (N)'!BG8&lt;='Reeksen (N)'!AE8,M8*'Reeksen (N)'!C8,0)))</f>
        <v>0</v>
      </c>
      <c r="O8" s="86">
        <f ca="1">IF(E8='Invoer gegevens (N)'!$C$17+'Invoer gegevens (N)'!$I$14,P7,IF(C8&lt;1,0,IF('Reeksen (N)'!BG8&gt;'Reeksen (N)'!AE8,M8*'Reeksen (N)'!C8,0)))</f>
        <v>0</v>
      </c>
      <c r="P8" s="86">
        <f ca="1">IF(E8&gt;='Invoer gegevens (N)'!$C$17+'Invoer gegevens (N)'!$I$14,0,M8-N8-O8)</f>
        <v>0</v>
      </c>
      <c r="Q8" s="82">
        <f ca="1">IF('Invoer gegevens (N)'!$C$17=E8,I8,IF(C8=0,0,R7))</f>
        <v>0</v>
      </c>
      <c r="R8" s="84">
        <f t="shared" ca="1" si="0"/>
        <v>0</v>
      </c>
      <c r="S8" s="84">
        <f ca="1">IF('Invoer gegevens (N)'!$C$17=E8,M8,IF(C8=0,0,T7))</f>
        <v>0</v>
      </c>
      <c r="T8" s="84">
        <f t="shared" ca="1" si="1"/>
        <v>0</v>
      </c>
      <c r="AH8" s="70"/>
      <c r="AI8" s="71">
        <f ca="1">IF(C8=1,((F8+H8)/2*'Reeksen (N)'!BF8*12)+(('Invoer gegevens (N)'!$C$10-(F8+H8)/2)*'Reeksen (N)'!BG8*12),0)</f>
        <v>0</v>
      </c>
      <c r="AJ8" s="71">
        <f ca="1">-AI8*'Invoer gegevens (N)'!$I$26</f>
        <v>0</v>
      </c>
      <c r="AK8" s="71">
        <f t="shared" ca="1" si="2"/>
        <v>0</v>
      </c>
      <c r="AL8" s="71">
        <f ca="1">IF(C8=1,(12*((F8+H8)/2)*'Reeksen (N)'!AL8)+(12*('Invoer gegevens (N)'!$C$10-(F8+H8)/2)*'Reeksen (N)'!AM8),0)</f>
        <v>0</v>
      </c>
      <c r="AM8" s="71">
        <f ca="1">-AL8*'Invoer gegevens (N)'!$F$31</f>
        <v>0</v>
      </c>
      <c r="AN8" s="71">
        <f t="shared" ca="1" si="3"/>
        <v>0</v>
      </c>
      <c r="AO8" s="71"/>
      <c r="AP8" s="71"/>
      <c r="AQ8" s="71">
        <f ca="1">-IF(C8=1,('Invoer gegevens (N)'!$C$10*'Invoer gegevens (N)'!$I$33)*'Reeksen (N)'!J8,0)</f>
        <v>0</v>
      </c>
      <c r="AR8" s="71">
        <f ca="1">-IF(C8=1,(G8*'Invoer gegevens (N)'!$I$34)*'Reeksen (N)'!J8,0)</f>
        <v>0</v>
      </c>
      <c r="AS8" s="71">
        <f ca="1">-IF(C8=1,'Invoer gegevens (N)'!$C$10*'Invoer gegevens (N)'!$I$35*'Reeksen (N)'!L8,0)</f>
        <v>0</v>
      </c>
      <c r="AT8" s="71">
        <f ca="1">-IF(C8=1,IF(E8='Invoer gegevens (N)'!$C$17,'Invoer gegevens (N)'!$C$11,Q8)*'Reeksen (N)'!S8*'Invoer gegevens (N)'!$C$18*'Reeksen (N)'!P8,0)</f>
        <v>0</v>
      </c>
      <c r="AU8" s="71">
        <f ca="1">-IF(C8=1,'Invoer gegevens (N)'!$C$10*'Invoer gegevens (N)'!$I$36*'Reeksen (N)'!H8,0)</f>
        <v>0</v>
      </c>
      <c r="AV8" s="71">
        <f t="shared" ca="1" si="4"/>
        <v>0</v>
      </c>
      <c r="AW8" s="72">
        <f ca="1">IFERROR(IF(E8='Invoer gegevens (N)'!$C$17+'Invoer gegevens (N)'!$I$14-1,'Invoer gegevens (N)'!$I$13*'Invoer gegevens (N)'!$C$10*'Reeksen (N)'!H8,0),0)</f>
        <v>0</v>
      </c>
      <c r="AX8" s="72">
        <f ca="1">IFERROR(IF(E8='Invoer gegevens (N)'!$C$17,-'Invoer gegevens (N)'!$C$10*'Invoer gegevens (N)'!$C$31*'Reeksen (N)'!H8,0),0)</f>
        <v>0</v>
      </c>
      <c r="AY8" s="73">
        <f ca="1">IF('Invoer gegevens (N)'!$C$34=E8,'Invoer gegevens (N)'!$C$27*'Invoer gegevens (N)'!$C$10*'Invoer gegevens (N)'!$C$36*(IF('Invoer gegevens (N)'!$C$35="ja",1,'Reeksen (N)'!J8)),IF('Invoer gegevens (N)'!$C$34+1=E8,'Invoer gegevens (N)'!$C$27*'Invoer gegevens (N)'!$C$10*'Invoer gegevens (N)'!$C$37*(IF('Invoer gegevens (N)'!$C$35="ja",1,'Reeksen (N)'!J8)),0))+IF(AND(E8='Invoer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" s="73">
        <f ca="1">AV8/(1+'Invoer gegevens (N)'!$I$12)^($D8-('Invoer gegevens (N)'!$C$17-'Invoer gegevens (N)'!$C$16))/(1+'Invoer gegevens (N)'!$C$39)^('Invoer gegevens (N)'!$C$17-'Invoer gegevens (N)'!$C$16)</f>
        <v>0</v>
      </c>
      <c r="BA8" s="73">
        <f ca="1">AW8/(1+'Invoer gegevens (N)'!$I$12)^(E8-('Invoer gegevens (N)'!$C$17-1))/(1+'Invoer gegevens (N)'!$C$39)^('Invoer gegevens (N)'!$C$17-'Invoer gegevens (N)'!$C$16)</f>
        <v>0</v>
      </c>
      <c r="BB8" s="73">
        <f ca="1">AX8/(1+'Invoer gegevens (N)'!$C$39)^('Invoer gegevens (N)'!$C$17-'Invoer gegevens (N)'!$C$16)</f>
        <v>0</v>
      </c>
      <c r="BC8" s="72">
        <f t="shared" ca="1" si="5"/>
        <v>0</v>
      </c>
      <c r="BD8" s="72">
        <f ca="1">IF(AND(E8='Invoer gegevens (N)'!$C$16,'Invoer gegevens (N)'!$C$34&lt;'Invoer gegevens (N)'!$C$16),AY8,AY8/(1+'Invoer gegevens (N)'!$C$39)^D8)</f>
        <v>0</v>
      </c>
      <c r="BE8" s="72">
        <f ca="1">IF(E8='Invoer gegevens (N)'!$C$34,-'Invoer gegevens (N)'!$I$38,0)</f>
        <v>0</v>
      </c>
      <c r="BF8" s="72">
        <f ca="1">IF(E8='Invoer gegevens (N)'!$C$17,-'Invoer gegevens (N)'!$C$19*$BC$66,0)</f>
        <v>0</v>
      </c>
      <c r="BG8" s="72">
        <f ca="1">AV8/(1+$BG$4)^($D8-('Invoer gegevens (N)'!$C$17-'Invoer gegevens (N)'!$C$16))/(1+'Invoer gegevens (N)'!$C$39)^('Invoer gegevens (N)'!$C$17-'Invoer gegevens (N)'!$C$16)+AW8/(1+$BG$4)^(E8-('Invoer gegevens (N)'!$C$17-1))/(1+'Invoer gegevens (N)'!$C$39)^('Invoer gegevens (N)'!$C$17-'Invoer gegevens (N)'!$C$16)+AX8/(1+'Invoer gegevens (N)'!$C$39)^('Invoer gegevens (N)'!$C$17-'Invoer gegevens (N)'!$C$16)+(-AY8/(1+'Invoer gegevens (N)'!$C$39)^D8)+BE8+BF8</f>
        <v>0</v>
      </c>
      <c r="BH8" s="59"/>
      <c r="BJ8" s="214"/>
    </row>
    <row r="9" spans="1:91" x14ac:dyDescent="0.25">
      <c r="A9" s="59"/>
      <c r="B9" s="70">
        <f t="shared" si="6"/>
        <v>5</v>
      </c>
      <c r="C9" s="67">
        <f ca="1">IF(AND(E9&gt;='Invoer gegevens (N)'!$C$17,E9&lt;'Invoer gegevens (N)'!$C$17+'Invoer gegevens (N)'!$I$14),1,0)</f>
        <v>1</v>
      </c>
      <c r="D9" s="68">
        <f t="shared" si="7"/>
        <v>4.5</v>
      </c>
      <c r="E9" s="69">
        <f ca="1">IF('Invoer gegevens (N)'!$C$16="","",E8+1)</f>
        <v>2023</v>
      </c>
      <c r="F9" s="82">
        <f ca="1">IF('Invoer gegevens (N)'!$C$17=E9,'Invoer gegevens (N)'!$C$10,IF(C9=1,H8,0))</f>
        <v>0</v>
      </c>
      <c r="G9" s="83">
        <f ca="1">IF(E9='Invoer gegevens (N)'!$C$17+'Invoer gegevens (N)'!$I$14,H8,IF(C9&gt;=1,F9*'Reeksen (N)'!C9,0))</f>
        <v>0</v>
      </c>
      <c r="H9" s="84">
        <f ca="1">IF(E9&gt;='Invoer gegevens (N)'!$C$17+'Invoer gegevens (N)'!$I$14,0,F9-G9)</f>
        <v>0</v>
      </c>
      <c r="I9" s="85">
        <f ca="1">IF('Invoer gegevens (N)'!$C$17=E9,'Invoer gegevens (N)'!$C$11,IF(C9=1,L8,0))</f>
        <v>0</v>
      </c>
      <c r="J9" s="86">
        <f ca="1">IF(E9='Invoer gegevens (N)'!$C$17+'Invoer gegevens (N)'!$I$14,L8,IF(C9&lt;1,0,IF('Reeksen (N)'!BG9&lt;='Reeksen (N)'!AE9,I9*'Reeksen (N)'!C9,0)))</f>
        <v>0</v>
      </c>
      <c r="K9" s="86">
        <f ca="1">IF(E9='Invoer gegevens (N)'!$C$17+'Invoer gegevens (N)'!$I$14,L8,IF(C9&lt;1,0,IF('Reeksen (N)'!BG9&gt;'Reeksen (N)'!AE9,I9*'Reeksen (N)'!C9,0)))</f>
        <v>0</v>
      </c>
      <c r="L9" s="86">
        <f ca="1">IF(E9&gt;='Invoer gegevens (N)'!$C$17+'Invoer gegevens (N)'!$I$14,0,I9-J9-K9)</f>
        <v>0</v>
      </c>
      <c r="M9" s="85">
        <f ca="1">IF('Invoer gegevens (N)'!$C$17=E9,'Invoer gegevens (N)'!$C$10-'Invoer gegevens (N)'!$C$11,IF(C9=1,P8,0))</f>
        <v>0</v>
      </c>
      <c r="N9" s="86">
        <f ca="1">IF(E9='Invoer gegevens (N)'!$C$17+'Invoer gegevens (N)'!$I$14,P8,IF(C9&lt;1,0,IF('Reeksen (N)'!BG9&lt;='Reeksen (N)'!AE9,M9*'Reeksen (N)'!C9,0)))</f>
        <v>0</v>
      </c>
      <c r="O9" s="86">
        <f ca="1">IF(E9='Invoer gegevens (N)'!$C$17+'Invoer gegevens (N)'!$I$14,P8,IF(C9&lt;1,0,IF('Reeksen (N)'!BG9&gt;'Reeksen (N)'!AE9,M9*'Reeksen (N)'!C9,0)))</f>
        <v>0</v>
      </c>
      <c r="P9" s="86">
        <f ca="1">IF(E9&gt;='Invoer gegevens (N)'!$C$17+'Invoer gegevens (N)'!$I$14,0,M9-N9-O9)</f>
        <v>0</v>
      </c>
      <c r="Q9" s="82">
        <f ca="1">IF('Invoer gegevens (N)'!$C$17=E9,I9,IF(C9=0,0,R8))</f>
        <v>0</v>
      </c>
      <c r="R9" s="84">
        <f t="shared" ca="1" si="0"/>
        <v>0</v>
      </c>
      <c r="S9" s="84">
        <f ca="1">IF('Invoer gegevens (N)'!$C$17=E9,M9,IF(C9=0,0,T8))</f>
        <v>0</v>
      </c>
      <c r="T9" s="84">
        <f t="shared" ca="1" si="1"/>
        <v>0</v>
      </c>
      <c r="AH9" s="70"/>
      <c r="AI9" s="71">
        <f ca="1">IF(C9=1,((F9+H9)/2*'Reeksen (N)'!BF9*12)+(('Invoer gegevens (N)'!$C$10-(F9+H9)/2)*'Reeksen (N)'!BG9*12),0)</f>
        <v>0</v>
      </c>
      <c r="AJ9" s="71">
        <f ca="1">-AI9*'Invoer gegevens (N)'!$I$26</f>
        <v>0</v>
      </c>
      <c r="AK9" s="71">
        <f t="shared" ca="1" si="2"/>
        <v>0</v>
      </c>
      <c r="AL9" s="71">
        <f ca="1">IF(C9=1,(12*((F9+H9)/2)*'Reeksen (N)'!AL9)+(12*('Invoer gegevens (N)'!$C$10-(F9+H9)/2)*'Reeksen (N)'!AM9),0)</f>
        <v>0</v>
      </c>
      <c r="AM9" s="71">
        <f ca="1">-AL9*'Invoer gegevens (N)'!$F$31</f>
        <v>0</v>
      </c>
      <c r="AN9" s="71">
        <f t="shared" ca="1" si="3"/>
        <v>0</v>
      </c>
      <c r="AO9" s="71"/>
      <c r="AP9" s="71"/>
      <c r="AQ9" s="71">
        <f ca="1">-IF(C9=1,('Invoer gegevens (N)'!$C$10*'Invoer gegevens (N)'!$I$33)*'Reeksen (N)'!J9,0)</f>
        <v>0</v>
      </c>
      <c r="AR9" s="71">
        <f ca="1">-IF(C9=1,(G9*'Invoer gegevens (N)'!$I$34)*'Reeksen (N)'!J9,0)</f>
        <v>0</v>
      </c>
      <c r="AS9" s="71">
        <f ca="1">-IF(C9=1,'Invoer gegevens (N)'!$C$10*'Invoer gegevens (N)'!$I$35*'Reeksen (N)'!L9,0)</f>
        <v>0</v>
      </c>
      <c r="AT9" s="71">
        <f ca="1">-IF(C9=1,IF(E9='Invoer gegevens (N)'!$C$17,'Invoer gegevens (N)'!$C$11,Q9)*'Reeksen (N)'!S9*'Invoer gegevens (N)'!$C$18*'Reeksen (N)'!P9,0)</f>
        <v>0</v>
      </c>
      <c r="AU9" s="71">
        <f ca="1">-IF(C9=1,'Invoer gegevens (N)'!$C$10*'Invoer gegevens (N)'!$I$36*'Reeksen (N)'!H9,0)</f>
        <v>0</v>
      </c>
      <c r="AV9" s="71">
        <f t="shared" ca="1" si="4"/>
        <v>0</v>
      </c>
      <c r="AW9" s="72">
        <f ca="1">IFERROR(IF(E9='Invoer gegevens (N)'!$C$17+'Invoer gegevens (N)'!$I$14-1,'Invoer gegevens (N)'!$I$13*'Invoer gegevens (N)'!$C$10*'Reeksen (N)'!H9,0),0)</f>
        <v>0</v>
      </c>
      <c r="AX9" s="72">
        <f ca="1">IFERROR(IF(E9='Invoer gegevens (N)'!$C$17,-'Invoer gegevens (N)'!$C$10*'Invoer gegevens (N)'!$C$31*'Reeksen (N)'!H9,0),0)</f>
        <v>0</v>
      </c>
      <c r="AY9" s="73">
        <f ca="1">IF('Invoer gegevens (N)'!$C$34=E9,'Invoer gegevens (N)'!$C$27*'Invoer gegevens (N)'!$C$10*'Invoer gegevens (N)'!$C$36*(IF('Invoer gegevens (N)'!$C$35="ja",1,'Reeksen (N)'!J9)),IF('Invoer gegevens (N)'!$C$34+1=E9,'Invoer gegevens (N)'!$C$27*'Invoer gegevens (N)'!$C$10*'Invoer gegevens (N)'!$C$37*(IF('Invoer gegevens (N)'!$C$35="ja",1,'Reeksen (N)'!J9)),0))+IF(AND(E9='Invoer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" s="73">
        <f ca="1">AV9/(1+'Invoer gegevens (N)'!$I$12)^($D9-('Invoer gegevens (N)'!$C$17-'Invoer gegevens (N)'!$C$16))/(1+'Invoer gegevens (N)'!$C$39)^('Invoer gegevens (N)'!$C$17-'Invoer gegevens (N)'!$C$16)</f>
        <v>0</v>
      </c>
      <c r="BA9" s="73">
        <f ca="1">AW9/(1+'Invoer gegevens (N)'!$I$12)^(E9-('Invoer gegevens (N)'!$C$17-1))/(1+'Invoer gegevens (N)'!$C$39)^('Invoer gegevens (N)'!$C$17-'Invoer gegevens (N)'!$C$16)</f>
        <v>0</v>
      </c>
      <c r="BB9" s="73">
        <f ca="1">AX9/(1+'Invoer gegevens (N)'!$C$39)^('Invoer gegevens (N)'!$C$17-'Invoer gegevens (N)'!$C$16)</f>
        <v>0</v>
      </c>
      <c r="BC9" s="72">
        <f t="shared" ca="1" si="5"/>
        <v>0</v>
      </c>
      <c r="BD9" s="72">
        <f ca="1">IF(AND(E9='Invoer gegevens (N)'!$C$16,'Invoer gegevens (N)'!$C$34&lt;'Invoer gegevens (N)'!$C$16),AY9,AY9/(1+'Invoer gegevens (N)'!$C$39)^D9)</f>
        <v>0</v>
      </c>
      <c r="BE9" s="72">
        <f ca="1">IF(E9='Invoer gegevens (N)'!$C$34,-'Invoer gegevens (N)'!$I$38,0)</f>
        <v>0</v>
      </c>
      <c r="BF9" s="72">
        <f ca="1">IF(E9='Invoer gegevens (N)'!$C$17,-'Invoer gegevens (N)'!$C$19*$BC$66,0)</f>
        <v>0</v>
      </c>
      <c r="BG9" s="72">
        <f ca="1">AV9/(1+$BG$4)^($D9-('Invoer gegevens (N)'!$C$17-'Invoer gegevens (N)'!$C$16))/(1+'Invoer gegevens (N)'!$C$39)^('Invoer gegevens (N)'!$C$17-'Invoer gegevens (N)'!$C$16)+AW9/(1+$BG$4)^(E9-('Invoer gegevens (N)'!$C$17-1))/(1+'Invoer gegevens (N)'!$C$39)^('Invoer gegevens (N)'!$C$17-'Invoer gegevens (N)'!$C$16)+AX9/(1+'Invoer gegevens (N)'!$C$39)^('Invoer gegevens (N)'!$C$17-'Invoer gegevens (N)'!$C$16)+(-AY9/(1+'Invoer gegevens (N)'!$C$39)^D9)+BE9+BF9</f>
        <v>0</v>
      </c>
      <c r="BH9" s="59"/>
      <c r="BJ9" s="214"/>
    </row>
    <row r="10" spans="1:91" x14ac:dyDescent="0.25">
      <c r="A10" s="59"/>
      <c r="B10" s="70">
        <f t="shared" si="6"/>
        <v>6</v>
      </c>
      <c r="C10" s="67">
        <f ca="1">IF(AND(E10&gt;='Invoer gegevens (N)'!$C$17,E10&lt;'Invoer gegevens (N)'!$C$17+'Invoer gegevens (N)'!$I$14),1,0)</f>
        <v>1</v>
      </c>
      <c r="D10" s="68">
        <f t="shared" si="7"/>
        <v>5.5</v>
      </c>
      <c r="E10" s="69">
        <f ca="1">IF('Invoer gegevens (N)'!$C$16="","",E9+1)</f>
        <v>2024</v>
      </c>
      <c r="F10" s="82">
        <f ca="1">IF('Invoer gegevens (N)'!$C$17=E10,'Invoer gegevens (N)'!$C$10,IF(C10=1,H9,0))</f>
        <v>0</v>
      </c>
      <c r="G10" s="83">
        <f ca="1">IF(E10='Invoer gegevens (N)'!$C$17+'Invoer gegevens (N)'!$I$14,H9,IF(C10&gt;=1,F10*'Reeksen (N)'!C10,0))</f>
        <v>0</v>
      </c>
      <c r="H10" s="84">
        <f ca="1">IF(E10&gt;='Invoer gegevens (N)'!$C$17+'Invoer gegevens (N)'!$I$14,0,F10-G10)</f>
        <v>0</v>
      </c>
      <c r="I10" s="85">
        <f ca="1">IF('Invoer gegevens (N)'!$C$17=E10,'Invoer gegevens (N)'!$C$11,IF(C10=1,L9,0))</f>
        <v>0</v>
      </c>
      <c r="J10" s="86">
        <f ca="1">IF(E10='Invoer gegevens (N)'!$C$17+'Invoer gegevens (N)'!$I$14,L9,IF(C10&lt;1,0,IF('Reeksen (N)'!BG10&lt;='Reeksen (N)'!AE10,I10*'Reeksen (N)'!C10,0)))</f>
        <v>0</v>
      </c>
      <c r="K10" s="86">
        <f ca="1">IF(E10='Invoer gegevens (N)'!$C$17+'Invoer gegevens (N)'!$I$14,L9,IF(C10&lt;1,0,IF('Reeksen (N)'!BG10&gt;'Reeksen (N)'!AE10,I10*'Reeksen (N)'!C10,0)))</f>
        <v>0</v>
      </c>
      <c r="L10" s="86">
        <f ca="1">IF(E10&gt;='Invoer gegevens (N)'!$C$17+'Invoer gegevens (N)'!$I$14,0,I10-J10-K10)</f>
        <v>0</v>
      </c>
      <c r="M10" s="85">
        <f ca="1">IF('Invoer gegevens (N)'!$C$17=E10,'Invoer gegevens (N)'!$C$10-'Invoer gegevens (N)'!$C$11,IF(C10=1,P9,0))</f>
        <v>0</v>
      </c>
      <c r="N10" s="86">
        <f ca="1">IF(E10='Invoer gegevens (N)'!$C$17+'Invoer gegevens (N)'!$I$14,P9,IF(C10&lt;1,0,IF('Reeksen (N)'!BG10&lt;='Reeksen (N)'!AE10,M10*'Reeksen (N)'!C10,0)))</f>
        <v>0</v>
      </c>
      <c r="O10" s="86">
        <f ca="1">IF(E10='Invoer gegevens (N)'!$C$17+'Invoer gegevens (N)'!$I$14,P9,IF(C10&lt;1,0,IF('Reeksen (N)'!BG10&gt;'Reeksen (N)'!AE10,M10*'Reeksen (N)'!C10,0)))</f>
        <v>0</v>
      </c>
      <c r="P10" s="86">
        <f ca="1">IF(E10&gt;='Invoer gegevens (N)'!$C$17+'Invoer gegevens (N)'!$I$14,0,M10-N10-O10)</f>
        <v>0</v>
      </c>
      <c r="Q10" s="82">
        <f ca="1">IF('Invoer gegevens (N)'!$C$17=E10,I10,IF(C10=0,0,R9))</f>
        <v>0</v>
      </c>
      <c r="R10" s="84">
        <f t="shared" ca="1" si="0"/>
        <v>0</v>
      </c>
      <c r="S10" s="84">
        <f ca="1">IF('Invoer gegevens (N)'!$C$17=E10,M10,IF(C10=0,0,T9))</f>
        <v>0</v>
      </c>
      <c r="T10" s="84">
        <f t="shared" ca="1" si="1"/>
        <v>0</v>
      </c>
      <c r="AH10" s="70"/>
      <c r="AI10" s="71">
        <f ca="1">IF(C10=1,((F10+H10)/2*'Reeksen (N)'!BF10*12)+(('Invoer gegevens (N)'!$C$10-(F10+H10)/2)*'Reeksen (N)'!BG10*12),0)</f>
        <v>0</v>
      </c>
      <c r="AJ10" s="71">
        <f ca="1">-AI10*'Invoer gegevens (N)'!$I$26</f>
        <v>0</v>
      </c>
      <c r="AK10" s="71">
        <f t="shared" ca="1" si="2"/>
        <v>0</v>
      </c>
      <c r="AL10" s="71">
        <f ca="1">IF(C10=1,(12*((F10+H10)/2)*'Reeksen (N)'!AL10)+(12*('Invoer gegevens (N)'!$C$10-(F10+H10)/2)*'Reeksen (N)'!AM10),0)</f>
        <v>0</v>
      </c>
      <c r="AM10" s="71">
        <f ca="1">-AL10*'Invoer gegevens (N)'!$F$31</f>
        <v>0</v>
      </c>
      <c r="AN10" s="71">
        <f t="shared" ca="1" si="3"/>
        <v>0</v>
      </c>
      <c r="AO10" s="71"/>
      <c r="AP10" s="71"/>
      <c r="AQ10" s="71">
        <f ca="1">-IF(C10=1,('Invoer gegevens (N)'!$C$10*'Invoer gegevens (N)'!$I$33)*'Reeksen (N)'!J10,0)</f>
        <v>0</v>
      </c>
      <c r="AR10" s="71">
        <f ca="1">-IF(C10=1,(G10*'Invoer gegevens (N)'!$I$34)*'Reeksen (N)'!J10,0)</f>
        <v>0</v>
      </c>
      <c r="AS10" s="71">
        <f ca="1">-IF(C10=1,'Invoer gegevens (N)'!$C$10*'Invoer gegevens (N)'!$I$35*'Reeksen (N)'!L10,0)</f>
        <v>0</v>
      </c>
      <c r="AT10" s="71">
        <f ca="1">-IF(C10=1,IF(E10='Invoer gegevens (N)'!$C$17,'Invoer gegevens (N)'!$C$11,Q10)*'Reeksen (N)'!S10*'Invoer gegevens (N)'!$C$18*'Reeksen (N)'!P10,0)</f>
        <v>0</v>
      </c>
      <c r="AU10" s="71">
        <f ca="1">-IF(C10=1,'Invoer gegevens (N)'!$C$10*'Invoer gegevens (N)'!$I$36*'Reeksen (N)'!H10,0)</f>
        <v>0</v>
      </c>
      <c r="AV10" s="71">
        <f t="shared" ca="1" si="4"/>
        <v>0</v>
      </c>
      <c r="AW10" s="72">
        <f ca="1">IFERROR(IF(E10='Invoer gegevens (N)'!$C$17+'Invoer gegevens (N)'!$I$14-1,'Invoer gegevens (N)'!$I$13*'Invoer gegevens (N)'!$C$10*'Reeksen (N)'!H10,0),0)</f>
        <v>0</v>
      </c>
      <c r="AX10" s="72">
        <f ca="1">IFERROR(IF(E10='Invoer gegevens (N)'!$C$17,-'Invoer gegevens (N)'!$C$10*'Invoer gegevens (N)'!$C$31*'Reeksen (N)'!H10,0),0)</f>
        <v>0</v>
      </c>
      <c r="AY10" s="73">
        <f ca="1">IF('Invoer gegevens (N)'!$C$34=E10,'Invoer gegevens (N)'!$C$27*'Invoer gegevens (N)'!$C$10*'Invoer gegevens (N)'!$C$36*(IF('Invoer gegevens (N)'!$C$35="ja",1,'Reeksen (N)'!J10)),IF('Invoer gegevens (N)'!$C$34+1=E10,'Invoer gegevens (N)'!$C$27*'Invoer gegevens (N)'!$C$10*'Invoer gegevens (N)'!$C$37*(IF('Invoer gegevens (N)'!$C$35="ja",1,'Reeksen (N)'!J10)),0))+IF(AND(E10='Invoer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" s="73">
        <f ca="1">AV10/(1+'Invoer gegevens (N)'!$I$12)^($D10-('Invoer gegevens (N)'!$C$17-'Invoer gegevens (N)'!$C$16))/(1+'Invoer gegevens (N)'!$C$39)^('Invoer gegevens (N)'!$C$17-'Invoer gegevens (N)'!$C$16)</f>
        <v>0</v>
      </c>
      <c r="BA10" s="73">
        <f ca="1">AW10/(1+'Invoer gegevens (N)'!$I$12)^(E10-('Invoer gegevens (N)'!$C$17-1))/(1+'Invoer gegevens (N)'!$C$39)^('Invoer gegevens (N)'!$C$17-'Invoer gegevens (N)'!$C$16)</f>
        <v>0</v>
      </c>
      <c r="BB10" s="73">
        <f ca="1">AX10/(1+'Invoer gegevens (N)'!$C$39)^('Invoer gegevens (N)'!$C$17-'Invoer gegevens (N)'!$C$16)</f>
        <v>0</v>
      </c>
      <c r="BC10" s="72">
        <f t="shared" ca="1" si="5"/>
        <v>0</v>
      </c>
      <c r="BD10" s="72">
        <f ca="1">IF(AND(E10='Invoer gegevens (N)'!$C$16,'Invoer gegevens (N)'!$C$34&lt;'Invoer gegevens (N)'!$C$16),AY10,AY10/(1+'Invoer gegevens (N)'!$C$39)^D10)</f>
        <v>0</v>
      </c>
      <c r="BE10" s="72">
        <f ca="1">IF(E10='Invoer gegevens (N)'!$C$34,-'Invoer gegevens (N)'!$I$38,0)</f>
        <v>0</v>
      </c>
      <c r="BF10" s="72">
        <f ca="1">IF(E10='Invoer gegevens (N)'!$C$17,-'Invoer gegevens (N)'!$C$19*$BC$66,0)</f>
        <v>0</v>
      </c>
      <c r="BG10" s="72">
        <f ca="1">AV10/(1+$BG$4)^($D10-('Invoer gegevens (N)'!$C$17-'Invoer gegevens (N)'!$C$16))/(1+'Invoer gegevens (N)'!$C$39)^('Invoer gegevens (N)'!$C$17-'Invoer gegevens (N)'!$C$16)+AW10/(1+$BG$4)^(E10-('Invoer gegevens (N)'!$C$17-1))/(1+'Invoer gegevens (N)'!$C$39)^('Invoer gegevens (N)'!$C$17-'Invoer gegevens (N)'!$C$16)+AX10/(1+'Invoer gegevens (N)'!$C$39)^('Invoer gegevens (N)'!$C$17-'Invoer gegevens (N)'!$C$16)+(-AY10/(1+'Invoer gegevens (N)'!$C$39)^D10)+BE10+BF10</f>
        <v>0</v>
      </c>
      <c r="BH10" s="59"/>
      <c r="BJ10" s="214"/>
    </row>
    <row r="11" spans="1:91" x14ac:dyDescent="0.25">
      <c r="A11" s="59"/>
      <c r="B11" s="70">
        <f t="shared" si="6"/>
        <v>7</v>
      </c>
      <c r="C11" s="67">
        <f ca="1">IF(AND(E11&gt;='Invoer gegevens (N)'!$C$17,E11&lt;'Invoer gegevens (N)'!$C$17+'Invoer gegevens (N)'!$I$14),1,0)</f>
        <v>1</v>
      </c>
      <c r="D11" s="68">
        <f t="shared" si="7"/>
        <v>6.5</v>
      </c>
      <c r="E11" s="69">
        <f ca="1">IF('Invoer gegevens (N)'!$C$16="","",E10+1)</f>
        <v>2025</v>
      </c>
      <c r="F11" s="82">
        <f ca="1">IF('Invoer gegevens (N)'!$C$17=E11,'Invoer gegevens (N)'!$C$10,IF(C11=1,H10,0))</f>
        <v>0</v>
      </c>
      <c r="G11" s="83">
        <f ca="1">IF(E11='Invoer gegevens (N)'!$C$17+'Invoer gegevens (N)'!$I$14,H10,IF(C11&gt;=1,F11*'Reeksen (N)'!C11,0))</f>
        <v>0</v>
      </c>
      <c r="H11" s="84">
        <f ca="1">IF(E11&gt;='Invoer gegevens (N)'!$C$17+'Invoer gegevens (N)'!$I$14,0,F11-G11)</f>
        <v>0</v>
      </c>
      <c r="I11" s="85">
        <f ca="1">IF('Invoer gegevens (N)'!$C$17=E11,'Invoer gegevens (N)'!$C$11,IF(C11=1,L10,0))</f>
        <v>0</v>
      </c>
      <c r="J11" s="86">
        <f ca="1">IF(E11='Invoer gegevens (N)'!$C$17+'Invoer gegevens (N)'!$I$14,L10,IF(C11&lt;1,0,IF('Reeksen (N)'!BG11&lt;='Reeksen (N)'!AE11,I11*'Reeksen (N)'!C11,0)))</f>
        <v>0</v>
      </c>
      <c r="K11" s="86">
        <f ca="1">IF(E11='Invoer gegevens (N)'!$C$17+'Invoer gegevens (N)'!$I$14,L10,IF(C11&lt;1,0,IF('Reeksen (N)'!BG11&gt;'Reeksen (N)'!AE11,I11*'Reeksen (N)'!C11,0)))</f>
        <v>0</v>
      </c>
      <c r="L11" s="86">
        <f ca="1">IF(E11&gt;='Invoer gegevens (N)'!$C$17+'Invoer gegevens (N)'!$I$14,0,I11-J11-K11)</f>
        <v>0</v>
      </c>
      <c r="M11" s="85">
        <f ca="1">IF('Invoer gegevens (N)'!$C$17=E11,'Invoer gegevens (N)'!$C$10-'Invoer gegevens (N)'!$C$11,IF(C11=1,P10,0))</f>
        <v>0</v>
      </c>
      <c r="N11" s="86">
        <f ca="1">IF(E11='Invoer gegevens (N)'!$C$17+'Invoer gegevens (N)'!$I$14,P10,IF(C11&lt;1,0,IF('Reeksen (N)'!BG11&lt;='Reeksen (N)'!AE11,M11*'Reeksen (N)'!C11,0)))</f>
        <v>0</v>
      </c>
      <c r="O11" s="86">
        <f ca="1">IF(E11='Invoer gegevens (N)'!$C$17+'Invoer gegevens (N)'!$I$14,P10,IF(C11&lt;1,0,IF('Reeksen (N)'!BG11&gt;'Reeksen (N)'!AE11,M11*'Reeksen (N)'!C11,0)))</f>
        <v>0</v>
      </c>
      <c r="P11" s="86">
        <f ca="1">IF(E11&gt;='Invoer gegevens (N)'!$C$17+'Invoer gegevens (N)'!$I$14,0,M11-N11-O11)</f>
        <v>0</v>
      </c>
      <c r="Q11" s="82">
        <f ca="1">IF('Invoer gegevens (N)'!$C$17=E11,I11,IF(C11=0,0,R10))</f>
        <v>0</v>
      </c>
      <c r="R11" s="84">
        <f t="shared" ca="1" si="0"/>
        <v>0</v>
      </c>
      <c r="S11" s="84">
        <f ca="1">IF('Invoer gegevens (N)'!$C$17=E11,M11,IF(C11=0,0,T10))</f>
        <v>0</v>
      </c>
      <c r="T11" s="84">
        <f t="shared" ca="1" si="1"/>
        <v>0</v>
      </c>
      <c r="AH11" s="70"/>
      <c r="AI11" s="71">
        <f ca="1">IF(C11=1,((F11+H11)/2*'Reeksen (N)'!BF11*12)+(('Invoer gegevens (N)'!$C$10-(F11+H11)/2)*'Reeksen (N)'!BG11*12),0)</f>
        <v>0</v>
      </c>
      <c r="AJ11" s="71">
        <f ca="1">-AI11*'Invoer gegevens (N)'!$I$26</f>
        <v>0</v>
      </c>
      <c r="AK11" s="71">
        <f t="shared" ca="1" si="2"/>
        <v>0</v>
      </c>
      <c r="AL11" s="71">
        <f ca="1">IF(C11=1,(12*((F11+H11)/2)*'Reeksen (N)'!AL11)+(12*('Invoer gegevens (N)'!$C$10-(F11+H11)/2)*'Reeksen (N)'!AM11),0)</f>
        <v>0</v>
      </c>
      <c r="AM11" s="71">
        <f ca="1">-AL11*'Invoer gegevens (N)'!$F$31</f>
        <v>0</v>
      </c>
      <c r="AN11" s="71">
        <f t="shared" ca="1" si="3"/>
        <v>0</v>
      </c>
      <c r="AO11" s="71"/>
      <c r="AP11" s="71"/>
      <c r="AQ11" s="71">
        <f ca="1">-IF(C11=1,('Invoer gegevens (N)'!$C$10*'Invoer gegevens (N)'!$I$33)*'Reeksen (N)'!J11,0)</f>
        <v>0</v>
      </c>
      <c r="AR11" s="71">
        <f ca="1">-IF(C11=1,(G11*'Invoer gegevens (N)'!$I$34)*'Reeksen (N)'!J11,0)</f>
        <v>0</v>
      </c>
      <c r="AS11" s="71">
        <f ca="1">-IF(C11=1,'Invoer gegevens (N)'!$C$10*'Invoer gegevens (N)'!$I$35*'Reeksen (N)'!L11,0)</f>
        <v>0</v>
      </c>
      <c r="AT11" s="71">
        <f ca="1">-IF(C11=1,IF(E11='Invoer gegevens (N)'!$C$17,'Invoer gegevens (N)'!$C$11,Q11)*'Reeksen (N)'!S11*'Invoer gegevens (N)'!$C$18*'Reeksen (N)'!P11,0)</f>
        <v>0</v>
      </c>
      <c r="AU11" s="71">
        <f ca="1">-IF(C11=1,'Invoer gegevens (N)'!$C$10*'Invoer gegevens (N)'!$I$36*'Reeksen (N)'!H11,0)</f>
        <v>0</v>
      </c>
      <c r="AV11" s="71">
        <f t="shared" ca="1" si="4"/>
        <v>0</v>
      </c>
      <c r="AW11" s="72">
        <f ca="1">IFERROR(IF(E11='Invoer gegevens (N)'!$C$17+'Invoer gegevens (N)'!$I$14-1,'Invoer gegevens (N)'!$I$13*'Invoer gegevens (N)'!$C$10*'Reeksen (N)'!H11,0),0)</f>
        <v>0</v>
      </c>
      <c r="AX11" s="72">
        <f ca="1">IFERROR(IF(E11='Invoer gegevens (N)'!$C$17,-'Invoer gegevens (N)'!$C$10*'Invoer gegevens (N)'!$C$31*'Reeksen (N)'!H11,0),0)</f>
        <v>0</v>
      </c>
      <c r="AY11" s="73">
        <f ca="1">IF('Invoer gegevens (N)'!$C$34=E11,'Invoer gegevens (N)'!$C$27*'Invoer gegevens (N)'!$C$10*'Invoer gegevens (N)'!$C$36*(IF('Invoer gegevens (N)'!$C$35="ja",1,'Reeksen (N)'!J11)),IF('Invoer gegevens (N)'!$C$34+1=E11,'Invoer gegevens (N)'!$C$27*'Invoer gegevens (N)'!$C$10*'Invoer gegevens (N)'!$C$37*(IF('Invoer gegevens (N)'!$C$35="ja",1,'Reeksen (N)'!J11)),0))+IF(AND(E11='Invoer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" s="73">
        <f ca="1">AV11/(1+'Invoer gegevens (N)'!$I$12)^($D11-('Invoer gegevens (N)'!$C$17-'Invoer gegevens (N)'!$C$16))/(1+'Invoer gegevens (N)'!$C$39)^('Invoer gegevens (N)'!$C$17-'Invoer gegevens (N)'!$C$16)</f>
        <v>0</v>
      </c>
      <c r="BA11" s="73">
        <f ca="1">AW11/(1+'Invoer gegevens (N)'!$I$12)^(E11-('Invoer gegevens (N)'!$C$17-1))/(1+'Invoer gegevens (N)'!$C$39)^('Invoer gegevens (N)'!$C$17-'Invoer gegevens (N)'!$C$16)</f>
        <v>0</v>
      </c>
      <c r="BB11" s="73">
        <f ca="1">AX11/(1+'Invoer gegevens (N)'!$C$39)^('Invoer gegevens (N)'!$C$17-'Invoer gegevens (N)'!$C$16)</f>
        <v>0</v>
      </c>
      <c r="BC11" s="72">
        <f t="shared" ca="1" si="5"/>
        <v>0</v>
      </c>
      <c r="BD11" s="72">
        <f ca="1">IF(AND(E11='Invoer gegevens (N)'!$C$16,'Invoer gegevens (N)'!$C$34&lt;'Invoer gegevens (N)'!$C$16),AY11,AY11/(1+'Invoer gegevens (N)'!$C$39)^D11)</f>
        <v>0</v>
      </c>
      <c r="BE11" s="72">
        <f ca="1">IF(E11='Invoer gegevens (N)'!$C$34,-'Invoer gegevens (N)'!$I$38,0)</f>
        <v>0</v>
      </c>
      <c r="BF11" s="72">
        <f ca="1">IF(E11='Invoer gegevens (N)'!$C$17,-'Invoer gegevens (N)'!$C$19*$BC$66,0)</f>
        <v>0</v>
      </c>
      <c r="BG11" s="72">
        <f ca="1">AV11/(1+$BG$4)^($D11-('Invoer gegevens (N)'!$C$17-'Invoer gegevens (N)'!$C$16))/(1+'Invoer gegevens (N)'!$C$39)^('Invoer gegevens (N)'!$C$17-'Invoer gegevens (N)'!$C$16)+AW11/(1+$BG$4)^(E11-('Invoer gegevens (N)'!$C$17-1))/(1+'Invoer gegevens (N)'!$C$39)^('Invoer gegevens (N)'!$C$17-'Invoer gegevens (N)'!$C$16)+AX11/(1+'Invoer gegevens (N)'!$C$39)^('Invoer gegevens (N)'!$C$17-'Invoer gegevens (N)'!$C$16)+(-AY11/(1+'Invoer gegevens (N)'!$C$39)^D11)+BE11+BF11</f>
        <v>0</v>
      </c>
      <c r="BH11" s="59"/>
      <c r="BJ11" s="214"/>
      <c r="BL11" s="214"/>
    </row>
    <row r="12" spans="1:91" x14ac:dyDescent="0.25">
      <c r="A12" s="59"/>
      <c r="B12" s="70">
        <f t="shared" si="6"/>
        <v>8</v>
      </c>
      <c r="C12" s="67">
        <f ca="1">IF(AND(E12&gt;='Invoer gegevens (N)'!$C$17,E12&lt;'Invoer gegevens (N)'!$C$17+'Invoer gegevens (N)'!$I$14),1,0)</f>
        <v>1</v>
      </c>
      <c r="D12" s="68">
        <f t="shared" si="7"/>
        <v>7.5</v>
      </c>
      <c r="E12" s="69">
        <f ca="1">IF('Invoer gegevens (N)'!$C$16="","",E11+1)</f>
        <v>2026</v>
      </c>
      <c r="F12" s="82">
        <f ca="1">IF('Invoer gegevens (N)'!$C$17=E12,'Invoer gegevens (N)'!$C$10,IF(C12=1,H11,0))</f>
        <v>0</v>
      </c>
      <c r="G12" s="83">
        <f ca="1">IF(E12='Invoer gegevens (N)'!$C$17+'Invoer gegevens (N)'!$I$14,H11,IF(C12&gt;=1,F12*'Reeksen (N)'!C12,0))</f>
        <v>0</v>
      </c>
      <c r="H12" s="84">
        <f ca="1">IF(E12&gt;='Invoer gegevens (N)'!$C$17+'Invoer gegevens (N)'!$I$14,0,F12-G12)</f>
        <v>0</v>
      </c>
      <c r="I12" s="85">
        <f ca="1">IF('Invoer gegevens (N)'!$C$17=E12,'Invoer gegevens (N)'!$C$11,IF(C12=1,L11,0))</f>
        <v>0</v>
      </c>
      <c r="J12" s="86">
        <f ca="1">IF(E12='Invoer gegevens (N)'!$C$17+'Invoer gegevens (N)'!$I$14,L11,IF(C12&lt;1,0,IF('Reeksen (N)'!BG12&lt;='Reeksen (N)'!AE12,I12*'Reeksen (N)'!C12,0)))</f>
        <v>0</v>
      </c>
      <c r="K12" s="86">
        <f ca="1">IF(E12='Invoer gegevens (N)'!$C$17+'Invoer gegevens (N)'!$I$14,L11,IF(C12&lt;1,0,IF('Reeksen (N)'!BG12&gt;'Reeksen (N)'!AE12,I12*'Reeksen (N)'!C12,0)))</f>
        <v>0</v>
      </c>
      <c r="L12" s="86">
        <f ca="1">IF(E12&gt;='Invoer gegevens (N)'!$C$17+'Invoer gegevens (N)'!$I$14,0,I12-J12-K12)</f>
        <v>0</v>
      </c>
      <c r="M12" s="85">
        <f ca="1">IF('Invoer gegevens (N)'!$C$17=E12,'Invoer gegevens (N)'!$C$10-'Invoer gegevens (N)'!$C$11,IF(C12=1,P11,0))</f>
        <v>0</v>
      </c>
      <c r="N12" s="86">
        <f ca="1">IF(E12='Invoer gegevens (N)'!$C$17+'Invoer gegevens (N)'!$I$14,P11,IF(C12&lt;1,0,IF('Reeksen (N)'!BG12&lt;='Reeksen (N)'!AE12,M12*'Reeksen (N)'!C12,0)))</f>
        <v>0</v>
      </c>
      <c r="O12" s="86">
        <f ca="1">IF(E12='Invoer gegevens (N)'!$C$17+'Invoer gegevens (N)'!$I$14,P11,IF(C12&lt;1,0,IF('Reeksen (N)'!BG12&gt;'Reeksen (N)'!AE12,M12*'Reeksen (N)'!C12,0)))</f>
        <v>0</v>
      </c>
      <c r="P12" s="86">
        <f ca="1">IF(E12&gt;='Invoer gegevens (N)'!$C$17+'Invoer gegevens (N)'!$I$14,0,M12-N12-O12)</f>
        <v>0</v>
      </c>
      <c r="Q12" s="82">
        <f ca="1">IF('Invoer gegevens (N)'!$C$17=E12,I12,IF(C12=0,0,R11))</f>
        <v>0</v>
      </c>
      <c r="R12" s="84">
        <f t="shared" ca="1" si="0"/>
        <v>0</v>
      </c>
      <c r="S12" s="84">
        <f ca="1">IF('Invoer gegevens (N)'!$C$17=E12,M12,IF(C12=0,0,T11))</f>
        <v>0</v>
      </c>
      <c r="T12" s="84">
        <f t="shared" ca="1" si="1"/>
        <v>0</v>
      </c>
      <c r="AH12" s="70"/>
      <c r="AI12" s="71">
        <f ca="1">IF(C12=1,((F12+H12)/2*'Reeksen (N)'!BF12*12)+(('Invoer gegevens (N)'!$C$10-(F12+H12)/2)*'Reeksen (N)'!BG12*12),0)</f>
        <v>0</v>
      </c>
      <c r="AJ12" s="71">
        <f ca="1">-AI12*'Invoer gegevens (N)'!$I$26</f>
        <v>0</v>
      </c>
      <c r="AK12" s="71">
        <f t="shared" ca="1" si="2"/>
        <v>0</v>
      </c>
      <c r="AL12" s="71">
        <f ca="1">IF(C12=1,(12*((F12+H12)/2)*'Reeksen (N)'!AL12)+(12*('Invoer gegevens (N)'!$C$10-(F12+H12)/2)*'Reeksen (N)'!AM12),0)</f>
        <v>0</v>
      </c>
      <c r="AM12" s="71">
        <f ca="1">-AL12*'Invoer gegevens (N)'!$F$31</f>
        <v>0</v>
      </c>
      <c r="AN12" s="71">
        <f t="shared" ca="1" si="3"/>
        <v>0</v>
      </c>
      <c r="AO12" s="71"/>
      <c r="AP12" s="71"/>
      <c r="AQ12" s="71">
        <f ca="1">-IF(C12=1,('Invoer gegevens (N)'!$C$10*'Invoer gegevens (N)'!$I$33)*'Reeksen (N)'!J12,0)</f>
        <v>0</v>
      </c>
      <c r="AR12" s="71">
        <f ca="1">-IF(C12=1,(G12*'Invoer gegevens (N)'!$I$34)*'Reeksen (N)'!J12,0)</f>
        <v>0</v>
      </c>
      <c r="AS12" s="71">
        <f ca="1">-IF(C12=1,'Invoer gegevens (N)'!$C$10*'Invoer gegevens (N)'!$I$35*'Reeksen (N)'!L12,0)</f>
        <v>0</v>
      </c>
      <c r="AT12" s="71">
        <f ca="1">-IF(C12=1,IF(E12='Invoer gegevens (N)'!$C$17,'Invoer gegevens (N)'!$C$11,Q12)*'Reeksen (N)'!S12*'Invoer gegevens (N)'!$C$18*'Reeksen (N)'!P12,0)</f>
        <v>0</v>
      </c>
      <c r="AU12" s="71">
        <f ca="1">-IF(C12=1,'Invoer gegevens (N)'!$C$10*'Invoer gegevens (N)'!$I$36*'Reeksen (N)'!H12,0)</f>
        <v>0</v>
      </c>
      <c r="AV12" s="71">
        <f t="shared" ca="1" si="4"/>
        <v>0</v>
      </c>
      <c r="AW12" s="72">
        <f ca="1">IFERROR(IF(E12='Invoer gegevens (N)'!$C$17+'Invoer gegevens (N)'!$I$14-1,'Invoer gegevens (N)'!$I$13*'Invoer gegevens (N)'!$C$10*'Reeksen (N)'!H12,0),0)</f>
        <v>0</v>
      </c>
      <c r="AX12" s="72">
        <f ca="1">IFERROR(IF(E12='Invoer gegevens (N)'!$C$17,-'Invoer gegevens (N)'!$C$10*'Invoer gegevens (N)'!$C$31*'Reeksen (N)'!H12,0),0)</f>
        <v>0</v>
      </c>
      <c r="AY12" s="73">
        <f ca="1">IF('Invoer gegevens (N)'!$C$34=E12,'Invoer gegevens (N)'!$C$27*'Invoer gegevens (N)'!$C$10*'Invoer gegevens (N)'!$C$36*(IF('Invoer gegevens (N)'!$C$35="ja",1,'Reeksen (N)'!J12)),IF('Invoer gegevens (N)'!$C$34+1=E12,'Invoer gegevens (N)'!$C$27*'Invoer gegevens (N)'!$C$10*'Invoer gegevens (N)'!$C$37*(IF('Invoer gegevens (N)'!$C$35="ja",1,'Reeksen (N)'!J12)),0))+IF(AND(E12='Invoer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" s="73">
        <f ca="1">AV12/(1+'Invoer gegevens (N)'!$I$12)^($D12-('Invoer gegevens (N)'!$C$17-'Invoer gegevens (N)'!$C$16))/(1+'Invoer gegevens (N)'!$C$39)^('Invoer gegevens (N)'!$C$17-'Invoer gegevens (N)'!$C$16)</f>
        <v>0</v>
      </c>
      <c r="BA12" s="73">
        <f ca="1">AW12/(1+'Invoer gegevens (N)'!$I$12)^(E12-('Invoer gegevens (N)'!$C$17-1))/(1+'Invoer gegevens (N)'!$C$39)^('Invoer gegevens (N)'!$C$17-'Invoer gegevens (N)'!$C$16)</f>
        <v>0</v>
      </c>
      <c r="BB12" s="73">
        <f ca="1">AX12/(1+'Invoer gegevens (N)'!$C$39)^('Invoer gegevens (N)'!$C$17-'Invoer gegevens (N)'!$C$16)</f>
        <v>0</v>
      </c>
      <c r="BC12" s="72">
        <f t="shared" ca="1" si="5"/>
        <v>0</v>
      </c>
      <c r="BD12" s="72">
        <f ca="1">IF(AND(E12='Invoer gegevens (N)'!$C$16,'Invoer gegevens (N)'!$C$34&lt;'Invoer gegevens (N)'!$C$16),AY12,AY12/(1+'Invoer gegevens (N)'!$C$39)^D12)</f>
        <v>0</v>
      </c>
      <c r="BE12" s="72">
        <f ca="1">IF(E12='Invoer gegevens (N)'!$C$34,-'Invoer gegevens (N)'!$I$38,0)</f>
        <v>0</v>
      </c>
      <c r="BF12" s="72">
        <f ca="1">IF(E12='Invoer gegevens (N)'!$C$17,-'Invoer gegevens (N)'!$C$19*$BC$66,0)</f>
        <v>0</v>
      </c>
      <c r="BG12" s="72">
        <f ca="1">AV12/(1+$BG$4)^($D12-('Invoer gegevens (N)'!$C$17-'Invoer gegevens (N)'!$C$16))/(1+'Invoer gegevens (N)'!$C$39)^('Invoer gegevens (N)'!$C$17-'Invoer gegevens (N)'!$C$16)+AW12/(1+$BG$4)^(E12-('Invoer gegevens (N)'!$C$17-1))/(1+'Invoer gegevens (N)'!$C$39)^('Invoer gegevens (N)'!$C$17-'Invoer gegevens (N)'!$C$16)+AX12/(1+'Invoer gegevens (N)'!$C$39)^('Invoer gegevens (N)'!$C$17-'Invoer gegevens (N)'!$C$16)+(-AY12/(1+'Invoer gegevens (N)'!$C$39)^D12)+BE12+BF12</f>
        <v>0</v>
      </c>
      <c r="BH12" s="59"/>
      <c r="BJ12" s="214"/>
    </row>
    <row r="13" spans="1:91" x14ac:dyDescent="0.25">
      <c r="A13" s="59"/>
      <c r="B13" s="70">
        <f t="shared" si="6"/>
        <v>9</v>
      </c>
      <c r="C13" s="67">
        <f ca="1">IF(AND(E13&gt;='Invoer gegevens (N)'!$C$17,E13&lt;'Invoer gegevens (N)'!$C$17+'Invoer gegevens (N)'!$I$14),1,0)</f>
        <v>1</v>
      </c>
      <c r="D13" s="68">
        <f t="shared" si="7"/>
        <v>8.5</v>
      </c>
      <c r="E13" s="69">
        <f ca="1">IF('Invoer gegevens (N)'!$C$16="","",E12+1)</f>
        <v>2027</v>
      </c>
      <c r="F13" s="82">
        <f ca="1">IF('Invoer gegevens (N)'!$C$17=E13,'Invoer gegevens (N)'!$C$10,IF(C13=1,H12,0))</f>
        <v>0</v>
      </c>
      <c r="G13" s="83">
        <f ca="1">IF(E13='Invoer gegevens (N)'!$C$17+'Invoer gegevens (N)'!$I$14,H12,IF(C13&gt;=1,F13*'Reeksen (N)'!C13,0))</f>
        <v>0</v>
      </c>
      <c r="H13" s="84">
        <f ca="1">IF(E13&gt;='Invoer gegevens (N)'!$C$17+'Invoer gegevens (N)'!$I$14,0,F13-G13)</f>
        <v>0</v>
      </c>
      <c r="I13" s="85">
        <f ca="1">IF('Invoer gegevens (N)'!$C$17=E13,'Invoer gegevens (N)'!$C$11,IF(C13=1,L12,0))</f>
        <v>0</v>
      </c>
      <c r="J13" s="86">
        <f ca="1">IF(E13='Invoer gegevens (N)'!$C$17+'Invoer gegevens (N)'!$I$14,L12,IF(C13&lt;1,0,IF('Reeksen (N)'!BG13&lt;='Reeksen (N)'!AE13,I13*'Reeksen (N)'!C13,0)))</f>
        <v>0</v>
      </c>
      <c r="K13" s="86">
        <f ca="1">IF(E13='Invoer gegevens (N)'!$C$17+'Invoer gegevens (N)'!$I$14,L12,IF(C13&lt;1,0,IF('Reeksen (N)'!BG13&gt;'Reeksen (N)'!AE13,I13*'Reeksen (N)'!C13,0)))</f>
        <v>0</v>
      </c>
      <c r="L13" s="86">
        <f ca="1">IF(E13&gt;='Invoer gegevens (N)'!$C$17+'Invoer gegevens (N)'!$I$14,0,I13-J13-K13)</f>
        <v>0</v>
      </c>
      <c r="M13" s="85">
        <f ca="1">IF('Invoer gegevens (N)'!$C$17=E13,'Invoer gegevens (N)'!$C$10-'Invoer gegevens (N)'!$C$11,IF(C13=1,P12,0))</f>
        <v>0</v>
      </c>
      <c r="N13" s="86">
        <f ca="1">IF(E13='Invoer gegevens (N)'!$C$17+'Invoer gegevens (N)'!$I$14,P12,IF(C13&lt;1,0,IF('Reeksen (N)'!BG13&lt;='Reeksen (N)'!AE13,M13*'Reeksen (N)'!C13,0)))</f>
        <v>0</v>
      </c>
      <c r="O13" s="86">
        <f ca="1">IF(E13='Invoer gegevens (N)'!$C$17+'Invoer gegevens (N)'!$I$14,P12,IF(C13&lt;1,0,IF('Reeksen (N)'!BG13&gt;'Reeksen (N)'!AE13,M13*'Reeksen (N)'!C13,0)))</f>
        <v>0</v>
      </c>
      <c r="P13" s="86">
        <f ca="1">IF(E13&gt;='Invoer gegevens (N)'!$C$17+'Invoer gegevens (N)'!$I$14,0,M13-N13-O13)</f>
        <v>0</v>
      </c>
      <c r="Q13" s="82">
        <f ca="1">IF('Invoer gegevens (N)'!$C$17=E13,I13,IF(C13=0,0,R12))</f>
        <v>0</v>
      </c>
      <c r="R13" s="84">
        <f t="shared" ca="1" si="0"/>
        <v>0</v>
      </c>
      <c r="S13" s="84">
        <f ca="1">IF('Invoer gegevens (N)'!$C$17=E13,M13,IF(C13=0,0,T12))</f>
        <v>0</v>
      </c>
      <c r="T13" s="84">
        <f t="shared" ca="1" si="1"/>
        <v>0</v>
      </c>
      <c r="AH13" s="70"/>
      <c r="AI13" s="71">
        <f ca="1">IF(C13=1,((F13+H13)/2*'Reeksen (N)'!BF13*12)+(('Invoer gegevens (N)'!$C$10-(F13+H13)/2)*'Reeksen (N)'!BG13*12),0)</f>
        <v>0</v>
      </c>
      <c r="AJ13" s="71">
        <f ca="1">-AI13*'Invoer gegevens (N)'!$I$26</f>
        <v>0</v>
      </c>
      <c r="AK13" s="71">
        <f t="shared" ca="1" si="2"/>
        <v>0</v>
      </c>
      <c r="AL13" s="71">
        <f ca="1">IF(C13=1,(12*((F13+H13)/2)*'Reeksen (N)'!AL13)+(12*('Invoer gegevens (N)'!$C$10-(F13+H13)/2)*'Reeksen (N)'!AM13),0)</f>
        <v>0</v>
      </c>
      <c r="AM13" s="71">
        <f ca="1">-AL13*'Invoer gegevens (N)'!$F$31</f>
        <v>0</v>
      </c>
      <c r="AN13" s="71">
        <f t="shared" ca="1" si="3"/>
        <v>0</v>
      </c>
      <c r="AO13" s="71"/>
      <c r="AP13" s="71"/>
      <c r="AQ13" s="71">
        <f ca="1">-IF(C13=1,('Invoer gegevens (N)'!$C$10*'Invoer gegevens (N)'!$I$33)*'Reeksen (N)'!J13,0)</f>
        <v>0</v>
      </c>
      <c r="AR13" s="71">
        <f ca="1">-IF(C13=1,(G13*'Invoer gegevens (N)'!$I$34)*'Reeksen (N)'!J13,0)</f>
        <v>0</v>
      </c>
      <c r="AS13" s="71">
        <f ca="1">-IF(C13=1,'Invoer gegevens (N)'!$C$10*'Invoer gegevens (N)'!$I$35*'Reeksen (N)'!L13,0)</f>
        <v>0</v>
      </c>
      <c r="AT13" s="71">
        <f ca="1">-IF(C13=1,IF(E13='Invoer gegevens (N)'!$C$17,'Invoer gegevens (N)'!$C$11,Q13)*'Reeksen (N)'!S13*'Invoer gegevens (N)'!$C$18*'Reeksen (N)'!P13,0)</f>
        <v>0</v>
      </c>
      <c r="AU13" s="71">
        <f ca="1">-IF(C13=1,'Invoer gegevens (N)'!$C$10*'Invoer gegevens (N)'!$I$36*'Reeksen (N)'!H13,0)</f>
        <v>0</v>
      </c>
      <c r="AV13" s="71">
        <f t="shared" ca="1" si="4"/>
        <v>0</v>
      </c>
      <c r="AW13" s="72">
        <f ca="1">IFERROR(IF(E13='Invoer gegevens (N)'!$C$17+'Invoer gegevens (N)'!$I$14-1,'Invoer gegevens (N)'!$I$13*'Invoer gegevens (N)'!$C$10*'Reeksen (N)'!H13,0),0)</f>
        <v>0</v>
      </c>
      <c r="AX13" s="72">
        <f ca="1">IFERROR(IF(E13='Invoer gegevens (N)'!$C$17,-'Invoer gegevens (N)'!$C$10*'Invoer gegevens (N)'!$C$31*'Reeksen (N)'!H13,0),0)</f>
        <v>0</v>
      </c>
      <c r="AY13" s="73">
        <f ca="1">IF('Invoer gegevens (N)'!$C$34=E13,'Invoer gegevens (N)'!$C$27*'Invoer gegevens (N)'!$C$10*'Invoer gegevens (N)'!$C$36*(IF('Invoer gegevens (N)'!$C$35="ja",1,'Reeksen (N)'!J13)),IF('Invoer gegevens (N)'!$C$34+1=E13,'Invoer gegevens (N)'!$C$27*'Invoer gegevens (N)'!$C$10*'Invoer gegevens (N)'!$C$37*(IF('Invoer gegevens (N)'!$C$35="ja",1,'Reeksen (N)'!J13)),0))+IF(AND(E13='Invoer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3" s="73">
        <f ca="1">AV13/(1+'Invoer gegevens (N)'!$I$12)^($D13-('Invoer gegevens (N)'!$C$17-'Invoer gegevens (N)'!$C$16))/(1+'Invoer gegevens (N)'!$C$39)^('Invoer gegevens (N)'!$C$17-'Invoer gegevens (N)'!$C$16)</f>
        <v>0</v>
      </c>
      <c r="BA13" s="73">
        <f ca="1">AW13/(1+'Invoer gegevens (N)'!$I$12)^(E13-('Invoer gegevens (N)'!$C$17-1))/(1+'Invoer gegevens (N)'!$C$39)^('Invoer gegevens (N)'!$C$17-'Invoer gegevens (N)'!$C$16)</f>
        <v>0</v>
      </c>
      <c r="BB13" s="73">
        <f ca="1">AX13/(1+'Invoer gegevens (N)'!$C$39)^('Invoer gegevens (N)'!$C$17-'Invoer gegevens (N)'!$C$16)</f>
        <v>0</v>
      </c>
      <c r="BC13" s="72">
        <f t="shared" ca="1" si="5"/>
        <v>0</v>
      </c>
      <c r="BD13" s="72">
        <f ca="1">IF(AND(E13='Invoer gegevens (N)'!$C$16,'Invoer gegevens (N)'!$C$34&lt;'Invoer gegevens (N)'!$C$16),AY13,AY13/(1+'Invoer gegevens (N)'!$C$39)^D13)</f>
        <v>0</v>
      </c>
      <c r="BE13" s="72">
        <f ca="1">IF(E13='Invoer gegevens (N)'!$C$34,-'Invoer gegevens (N)'!$I$38,0)</f>
        <v>0</v>
      </c>
      <c r="BF13" s="72">
        <f ca="1">IF(E13='Invoer gegevens (N)'!$C$17,-'Invoer gegevens (N)'!$C$19*$BC$66,0)</f>
        <v>0</v>
      </c>
      <c r="BG13" s="72">
        <f ca="1">AV13/(1+$BG$4)^($D13-('Invoer gegevens (N)'!$C$17-'Invoer gegevens (N)'!$C$16))/(1+'Invoer gegevens (N)'!$C$39)^('Invoer gegevens (N)'!$C$17-'Invoer gegevens (N)'!$C$16)+AW13/(1+$BG$4)^(E13-('Invoer gegevens (N)'!$C$17-1))/(1+'Invoer gegevens (N)'!$C$39)^('Invoer gegevens (N)'!$C$17-'Invoer gegevens (N)'!$C$16)+AX13/(1+'Invoer gegevens (N)'!$C$39)^('Invoer gegevens (N)'!$C$17-'Invoer gegevens (N)'!$C$16)+(-AY13/(1+'Invoer gegevens (N)'!$C$39)^D13)+BE13+BF13</f>
        <v>0</v>
      </c>
      <c r="BH13" s="59"/>
      <c r="BJ13" s="214"/>
    </row>
    <row r="14" spans="1:91" x14ac:dyDescent="0.25">
      <c r="A14" s="59"/>
      <c r="B14" s="70">
        <f t="shared" si="6"/>
        <v>10</v>
      </c>
      <c r="C14" s="67">
        <f ca="1">IF(AND(E14&gt;='Invoer gegevens (N)'!$C$17,E14&lt;'Invoer gegevens (N)'!$C$17+'Invoer gegevens (N)'!$I$14),1,0)</f>
        <v>1</v>
      </c>
      <c r="D14" s="68">
        <f t="shared" si="7"/>
        <v>9.5</v>
      </c>
      <c r="E14" s="69">
        <f ca="1">IF('Invoer gegevens (N)'!$C$16="","",E13+1)</f>
        <v>2028</v>
      </c>
      <c r="F14" s="82">
        <f ca="1">IF('Invoer gegevens (N)'!$C$17=E14,'Invoer gegevens (N)'!$C$10,IF(C14=1,H13,0))</f>
        <v>0</v>
      </c>
      <c r="G14" s="83">
        <f ca="1">IF(E14='Invoer gegevens (N)'!$C$17+'Invoer gegevens (N)'!$I$14,H13,IF(C14&gt;=1,F14*'Reeksen (N)'!C14,0))</f>
        <v>0</v>
      </c>
      <c r="H14" s="84">
        <f ca="1">IF(E14&gt;='Invoer gegevens (N)'!$C$17+'Invoer gegevens (N)'!$I$14,0,F14-G14)</f>
        <v>0</v>
      </c>
      <c r="I14" s="85">
        <f ca="1">IF('Invoer gegevens (N)'!$C$17=E14,'Invoer gegevens (N)'!$C$11,IF(C14=1,L13,0))</f>
        <v>0</v>
      </c>
      <c r="J14" s="86">
        <f ca="1">IF(E14='Invoer gegevens (N)'!$C$17+'Invoer gegevens (N)'!$I$14,L13,IF(C14&lt;1,0,IF('Reeksen (N)'!BG14&lt;='Reeksen (N)'!AE14,I14*'Reeksen (N)'!C14,0)))</f>
        <v>0</v>
      </c>
      <c r="K14" s="86">
        <f ca="1">IF(E14='Invoer gegevens (N)'!$C$17+'Invoer gegevens (N)'!$I$14,L13,IF(C14&lt;1,0,IF('Reeksen (N)'!BG14&gt;'Reeksen (N)'!AE14,I14*'Reeksen (N)'!C14,0)))</f>
        <v>0</v>
      </c>
      <c r="L14" s="86">
        <f ca="1">IF(E14&gt;='Invoer gegevens (N)'!$C$17+'Invoer gegevens (N)'!$I$14,0,I14-J14-K14)</f>
        <v>0</v>
      </c>
      <c r="M14" s="85">
        <f ca="1">IF('Invoer gegevens (N)'!$C$17=E14,'Invoer gegevens (N)'!$C$10-'Invoer gegevens (N)'!$C$11,IF(C14=1,P13,0))</f>
        <v>0</v>
      </c>
      <c r="N14" s="86">
        <f ca="1">IF(E14='Invoer gegevens (N)'!$C$17+'Invoer gegevens (N)'!$I$14,P13,IF(C14&lt;1,0,IF('Reeksen (N)'!BG14&lt;='Reeksen (N)'!AE14,M14*'Reeksen (N)'!C14,0)))</f>
        <v>0</v>
      </c>
      <c r="O14" s="86">
        <f ca="1">IF(E14='Invoer gegevens (N)'!$C$17+'Invoer gegevens (N)'!$I$14,P13,IF(C14&lt;1,0,IF('Reeksen (N)'!BG14&gt;'Reeksen (N)'!AE14,M14*'Reeksen (N)'!C14,0)))</f>
        <v>0</v>
      </c>
      <c r="P14" s="86">
        <f ca="1">IF(E14&gt;='Invoer gegevens (N)'!$C$17+'Invoer gegevens (N)'!$I$14,0,M14-N14-O14)</f>
        <v>0</v>
      </c>
      <c r="Q14" s="82">
        <f ca="1">IF('Invoer gegevens (N)'!$C$17=E14,I14,IF(C14=0,0,R13))</f>
        <v>0</v>
      </c>
      <c r="R14" s="84">
        <f t="shared" ca="1" si="0"/>
        <v>0</v>
      </c>
      <c r="S14" s="84">
        <f ca="1">IF('Invoer gegevens (N)'!$C$17=E14,M14,IF(C14=0,0,T13))</f>
        <v>0</v>
      </c>
      <c r="T14" s="84">
        <f t="shared" ca="1" si="1"/>
        <v>0</v>
      </c>
      <c r="AH14" s="70"/>
      <c r="AI14" s="71">
        <f ca="1">IF(C14=1,((F14+H14)/2*'Reeksen (N)'!BF14*12)+(('Invoer gegevens (N)'!$C$10-(F14+H14)/2)*'Reeksen (N)'!BG14*12),0)</f>
        <v>0</v>
      </c>
      <c r="AJ14" s="71">
        <f ca="1">-AI14*'Invoer gegevens (N)'!$I$26</f>
        <v>0</v>
      </c>
      <c r="AK14" s="71">
        <f t="shared" ca="1" si="2"/>
        <v>0</v>
      </c>
      <c r="AL14" s="71">
        <f ca="1">IF(C14=1,(12*((F14+H14)/2)*'Reeksen (N)'!AL14)+(12*('Invoer gegevens (N)'!$C$10-(F14+H14)/2)*'Reeksen (N)'!AM14),0)</f>
        <v>0</v>
      </c>
      <c r="AM14" s="71">
        <f ca="1">-AL14*'Invoer gegevens (N)'!$F$31</f>
        <v>0</v>
      </c>
      <c r="AN14" s="71">
        <f t="shared" ca="1" si="3"/>
        <v>0</v>
      </c>
      <c r="AO14" s="71"/>
      <c r="AP14" s="71"/>
      <c r="AQ14" s="71">
        <f ca="1">-IF(C14=1,('Invoer gegevens (N)'!$C$10*'Invoer gegevens (N)'!$I$33)*'Reeksen (N)'!J14,0)</f>
        <v>0</v>
      </c>
      <c r="AR14" s="71">
        <f ca="1">-IF(C14=1,(G14*'Invoer gegevens (N)'!$I$34)*'Reeksen (N)'!J14,0)</f>
        <v>0</v>
      </c>
      <c r="AS14" s="71">
        <f ca="1">-IF(C14=1,'Invoer gegevens (N)'!$C$10*'Invoer gegevens (N)'!$I$35*'Reeksen (N)'!L14,0)</f>
        <v>0</v>
      </c>
      <c r="AT14" s="71">
        <f ca="1">-IF(C14=1,IF(E14='Invoer gegevens (N)'!$C$17,'Invoer gegevens (N)'!$C$11,Q14)*'Reeksen (N)'!S14*'Invoer gegevens (N)'!$C$18*'Reeksen (N)'!P14,0)</f>
        <v>0</v>
      </c>
      <c r="AU14" s="71">
        <f ca="1">-IF(C14=1,'Invoer gegevens (N)'!$C$10*'Invoer gegevens (N)'!$I$36*'Reeksen (N)'!H14,0)</f>
        <v>0</v>
      </c>
      <c r="AV14" s="71">
        <f t="shared" ca="1" si="4"/>
        <v>0</v>
      </c>
      <c r="AW14" s="72">
        <f ca="1">IFERROR(IF(E14='Invoer gegevens (N)'!$C$17+'Invoer gegevens (N)'!$I$14-1,'Invoer gegevens (N)'!$I$13*'Invoer gegevens (N)'!$C$10*'Reeksen (N)'!H14,0),0)</f>
        <v>0</v>
      </c>
      <c r="AX14" s="72">
        <f ca="1">IFERROR(IF(E14='Invoer gegevens (N)'!$C$17,-'Invoer gegevens (N)'!$C$10*'Invoer gegevens (N)'!$C$31*'Reeksen (N)'!H14,0),0)</f>
        <v>0</v>
      </c>
      <c r="AY14" s="73">
        <f ca="1">IF('Invoer gegevens (N)'!$C$34=E14,'Invoer gegevens (N)'!$C$27*'Invoer gegevens (N)'!$C$10*'Invoer gegevens (N)'!$C$36*(IF('Invoer gegevens (N)'!$C$35="ja",1,'Reeksen (N)'!J14)),IF('Invoer gegevens (N)'!$C$34+1=E14,'Invoer gegevens (N)'!$C$27*'Invoer gegevens (N)'!$C$10*'Invoer gegevens (N)'!$C$37*(IF('Invoer gegevens (N)'!$C$35="ja",1,'Reeksen (N)'!J14)),0))+IF(AND(E14='Invoer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4" s="73">
        <f ca="1">AV14/(1+'Invoer gegevens (N)'!$I$12)^($D14-('Invoer gegevens (N)'!$C$17-'Invoer gegevens (N)'!$C$16))/(1+'Invoer gegevens (N)'!$C$39)^('Invoer gegevens (N)'!$C$17-'Invoer gegevens (N)'!$C$16)</f>
        <v>0</v>
      </c>
      <c r="BA14" s="73">
        <f ca="1">AW14/(1+'Invoer gegevens (N)'!$I$12)^(E14-('Invoer gegevens (N)'!$C$17-1))/(1+'Invoer gegevens (N)'!$C$39)^('Invoer gegevens (N)'!$C$17-'Invoer gegevens (N)'!$C$16)</f>
        <v>0</v>
      </c>
      <c r="BB14" s="73">
        <f ca="1">AX14/(1+'Invoer gegevens (N)'!$C$39)^('Invoer gegevens (N)'!$C$17-'Invoer gegevens (N)'!$C$16)</f>
        <v>0</v>
      </c>
      <c r="BC14" s="72">
        <f t="shared" ca="1" si="5"/>
        <v>0</v>
      </c>
      <c r="BD14" s="72">
        <f ca="1">IF(AND(E14='Invoer gegevens (N)'!$C$16,'Invoer gegevens (N)'!$C$34&lt;'Invoer gegevens (N)'!$C$16),AY14,AY14/(1+'Invoer gegevens (N)'!$C$39)^D14)</f>
        <v>0</v>
      </c>
      <c r="BE14" s="72">
        <f ca="1">IF(E14='Invoer gegevens (N)'!$C$34,-'Invoer gegevens (N)'!$I$38,0)</f>
        <v>0</v>
      </c>
      <c r="BF14" s="72">
        <f ca="1">IF(E14='Invoer gegevens (N)'!$C$17,-'Invoer gegevens (N)'!$C$19*$BC$66,0)</f>
        <v>0</v>
      </c>
      <c r="BG14" s="72">
        <f ca="1">AV14/(1+$BG$4)^($D14-('Invoer gegevens (N)'!$C$17-'Invoer gegevens (N)'!$C$16))/(1+'Invoer gegevens (N)'!$C$39)^('Invoer gegevens (N)'!$C$17-'Invoer gegevens (N)'!$C$16)+AW14/(1+$BG$4)^(E14-('Invoer gegevens (N)'!$C$17-1))/(1+'Invoer gegevens (N)'!$C$39)^('Invoer gegevens (N)'!$C$17-'Invoer gegevens (N)'!$C$16)+AX14/(1+'Invoer gegevens (N)'!$C$39)^('Invoer gegevens (N)'!$C$17-'Invoer gegevens (N)'!$C$16)+(-AY14/(1+'Invoer gegevens (N)'!$C$39)^D14)+BE14+BF14</f>
        <v>0</v>
      </c>
      <c r="BH14" s="59"/>
      <c r="BJ14" s="214"/>
    </row>
    <row r="15" spans="1:91" x14ac:dyDescent="0.25">
      <c r="A15" s="59"/>
      <c r="B15" s="70">
        <f t="shared" si="6"/>
        <v>11</v>
      </c>
      <c r="C15" s="67">
        <f ca="1">IF(AND(E15&gt;='Invoer gegevens (N)'!$C$17,E15&lt;'Invoer gegevens (N)'!$C$17+'Invoer gegevens (N)'!$I$14),1,0)</f>
        <v>1</v>
      </c>
      <c r="D15" s="68">
        <f t="shared" si="7"/>
        <v>10.5</v>
      </c>
      <c r="E15" s="69">
        <f ca="1">IF('Invoer gegevens (N)'!$C$16="","",E14+1)</f>
        <v>2029</v>
      </c>
      <c r="F15" s="82">
        <f ca="1">IF('Invoer gegevens (N)'!$C$17=E15,'Invoer gegevens (N)'!$C$10,IF(C15=1,H14,0))</f>
        <v>0</v>
      </c>
      <c r="G15" s="83">
        <f ca="1">IF(E15='Invoer gegevens (N)'!$C$17+'Invoer gegevens (N)'!$I$14,H14,IF(C15&gt;=1,F15*'Reeksen (N)'!C15,0))</f>
        <v>0</v>
      </c>
      <c r="H15" s="84">
        <f ca="1">IF(E15&gt;='Invoer gegevens (N)'!$C$17+'Invoer gegevens (N)'!$I$14,0,F15-G15)</f>
        <v>0</v>
      </c>
      <c r="I15" s="85">
        <f ca="1">IF('Invoer gegevens (N)'!$C$17=E15,'Invoer gegevens (N)'!$C$11,IF(C15=1,L14,0))</f>
        <v>0</v>
      </c>
      <c r="J15" s="86">
        <f ca="1">IF(E15='Invoer gegevens (N)'!$C$17+'Invoer gegevens (N)'!$I$14,L14,IF(C15&lt;1,0,IF('Reeksen (N)'!BG15&lt;='Reeksen (N)'!AE15,I15*'Reeksen (N)'!C15,0)))</f>
        <v>0</v>
      </c>
      <c r="K15" s="86">
        <f ca="1">IF(E15='Invoer gegevens (N)'!$C$17+'Invoer gegevens (N)'!$I$14,L14,IF(C15&lt;1,0,IF('Reeksen (N)'!BG15&gt;'Reeksen (N)'!AE15,I15*'Reeksen (N)'!C15,0)))</f>
        <v>0</v>
      </c>
      <c r="L15" s="86">
        <f ca="1">IF(E15&gt;='Invoer gegevens (N)'!$C$17+'Invoer gegevens (N)'!$I$14,0,I15-J15-K15)</f>
        <v>0</v>
      </c>
      <c r="M15" s="85">
        <f ca="1">IF('Invoer gegevens (N)'!$C$17=E15,'Invoer gegevens (N)'!$C$10-'Invoer gegevens (N)'!$C$11,IF(C15=1,P14,0))</f>
        <v>0</v>
      </c>
      <c r="N15" s="86">
        <f ca="1">IF(E15='Invoer gegevens (N)'!$C$17+'Invoer gegevens (N)'!$I$14,P14,IF(C15&lt;1,0,IF('Reeksen (N)'!BG15&lt;='Reeksen (N)'!AE15,M15*'Reeksen (N)'!C15,0)))</f>
        <v>0</v>
      </c>
      <c r="O15" s="86">
        <f ca="1">IF(E15='Invoer gegevens (N)'!$C$17+'Invoer gegevens (N)'!$I$14,P14,IF(C15&lt;1,0,IF('Reeksen (N)'!BG15&gt;'Reeksen (N)'!AE15,M15*'Reeksen (N)'!C15,0)))</f>
        <v>0</v>
      </c>
      <c r="P15" s="86">
        <f ca="1">IF(E15&gt;='Invoer gegevens (N)'!$C$17+'Invoer gegevens (N)'!$I$14,0,M15-N15-O15)</f>
        <v>0</v>
      </c>
      <c r="Q15" s="82">
        <f ca="1">IF('Invoer gegevens (N)'!$C$17=E15,I15,IF(C15=0,0,R14))</f>
        <v>0</v>
      </c>
      <c r="R15" s="84">
        <f t="shared" ca="1" si="0"/>
        <v>0</v>
      </c>
      <c r="S15" s="84">
        <f ca="1">IF('Invoer gegevens (N)'!$C$17=E15,M15,IF(C15=0,0,T14))</f>
        <v>0</v>
      </c>
      <c r="T15" s="84">
        <f t="shared" ca="1" si="1"/>
        <v>0</v>
      </c>
      <c r="AH15" s="70"/>
      <c r="AI15" s="71">
        <f ca="1">IF(C15=1,((F15+H15)/2*'Reeksen (N)'!BF15*12)+(('Invoer gegevens (N)'!$C$10-(F15+H15)/2)*'Reeksen (N)'!BG15*12),0)</f>
        <v>0</v>
      </c>
      <c r="AJ15" s="71">
        <f ca="1">-AI15*'Invoer gegevens (N)'!$I$26</f>
        <v>0</v>
      </c>
      <c r="AK15" s="71">
        <f t="shared" ca="1" si="2"/>
        <v>0</v>
      </c>
      <c r="AL15" s="71">
        <f ca="1">IF(C15=1,(12*((F15+H15)/2)*'Reeksen (N)'!AL15)+(12*('Invoer gegevens (N)'!$C$10-(F15+H15)/2)*'Reeksen (N)'!AM15),0)</f>
        <v>0</v>
      </c>
      <c r="AM15" s="71">
        <f ca="1">-AL15*'Invoer gegevens (N)'!$F$31</f>
        <v>0</v>
      </c>
      <c r="AN15" s="71">
        <f t="shared" ca="1" si="3"/>
        <v>0</v>
      </c>
      <c r="AO15" s="71"/>
      <c r="AP15" s="71"/>
      <c r="AQ15" s="71">
        <f ca="1">-IF(C15=1,('Invoer gegevens (N)'!$C$10*'Invoer gegevens (N)'!$I$33)*'Reeksen (N)'!J15,0)</f>
        <v>0</v>
      </c>
      <c r="AR15" s="71">
        <f ca="1">-IF(C15=1,(G15*'Invoer gegevens (N)'!$I$34)*'Reeksen (N)'!J15,0)</f>
        <v>0</v>
      </c>
      <c r="AS15" s="71">
        <f ca="1">-IF(C15=1,'Invoer gegevens (N)'!$C$10*'Invoer gegevens (N)'!$I$35*'Reeksen (N)'!L15,0)</f>
        <v>0</v>
      </c>
      <c r="AT15" s="71">
        <f ca="1">-IF(C15=1,IF(E15='Invoer gegevens (N)'!$C$17,'Invoer gegevens (N)'!$C$11,Q15)*'Reeksen (N)'!S15*'Invoer gegevens (N)'!$C$18*'Reeksen (N)'!P15,0)</f>
        <v>0</v>
      </c>
      <c r="AU15" s="71">
        <f ca="1">-IF(C15=1,'Invoer gegevens (N)'!$C$10*'Invoer gegevens (N)'!$I$36*'Reeksen (N)'!H15,0)</f>
        <v>0</v>
      </c>
      <c r="AV15" s="71">
        <f t="shared" ca="1" si="4"/>
        <v>0</v>
      </c>
      <c r="AW15" s="72">
        <f ca="1">IFERROR(IF(E15='Invoer gegevens (N)'!$C$17+'Invoer gegevens (N)'!$I$14-1,'Invoer gegevens (N)'!$I$13*'Invoer gegevens (N)'!$C$10*'Reeksen (N)'!H15,0),0)</f>
        <v>0</v>
      </c>
      <c r="AX15" s="72">
        <f ca="1">IFERROR(IF(E15='Invoer gegevens (N)'!$C$17,-'Invoer gegevens (N)'!$C$10*'Invoer gegevens (N)'!$C$31*'Reeksen (N)'!H15,0),0)</f>
        <v>0</v>
      </c>
      <c r="AY15" s="73">
        <f ca="1">IF('Invoer gegevens (N)'!$C$34=E15,'Invoer gegevens (N)'!$C$27*'Invoer gegevens (N)'!$C$10*'Invoer gegevens (N)'!$C$36*(IF('Invoer gegevens (N)'!$C$35="ja",1,'Reeksen (N)'!J15)),IF('Invoer gegevens (N)'!$C$34+1=E15,'Invoer gegevens (N)'!$C$27*'Invoer gegevens (N)'!$C$10*'Invoer gegevens (N)'!$C$37*(IF('Invoer gegevens (N)'!$C$35="ja",1,'Reeksen (N)'!J15)),0))+IF(AND(E15='Invoer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5" s="73">
        <f ca="1">AV15/(1+'Invoer gegevens (N)'!$I$12)^($D15-('Invoer gegevens (N)'!$C$17-'Invoer gegevens (N)'!$C$16))/(1+'Invoer gegevens (N)'!$C$39)^('Invoer gegevens (N)'!$C$17-'Invoer gegevens (N)'!$C$16)</f>
        <v>0</v>
      </c>
      <c r="BA15" s="73">
        <f ca="1">AW15/(1+'Invoer gegevens (N)'!$I$12)^(E15-('Invoer gegevens (N)'!$C$17-1))/(1+'Invoer gegevens (N)'!$C$39)^('Invoer gegevens (N)'!$C$17-'Invoer gegevens (N)'!$C$16)</f>
        <v>0</v>
      </c>
      <c r="BB15" s="73">
        <f ca="1">AX15/(1+'Invoer gegevens (N)'!$C$39)^('Invoer gegevens (N)'!$C$17-'Invoer gegevens (N)'!$C$16)</f>
        <v>0</v>
      </c>
      <c r="BC15" s="72">
        <f t="shared" ca="1" si="5"/>
        <v>0</v>
      </c>
      <c r="BD15" s="72">
        <f ca="1">IF(AND(E15='Invoer gegevens (N)'!$C$16,'Invoer gegevens (N)'!$C$34&lt;'Invoer gegevens (N)'!$C$16),AY15,AY15/(1+'Invoer gegevens (N)'!$C$39)^D15)</f>
        <v>0</v>
      </c>
      <c r="BE15" s="72">
        <f ca="1">IF(E15='Invoer gegevens (N)'!$C$34,-'Invoer gegevens (N)'!$I$38,0)</f>
        <v>0</v>
      </c>
      <c r="BF15" s="72">
        <f ca="1">IF(E15='Invoer gegevens (N)'!$C$17,-'Invoer gegevens (N)'!$C$19*$BC$66,0)</f>
        <v>0</v>
      </c>
      <c r="BG15" s="72">
        <f ca="1">AV15/(1+$BG$4)^($D15-('Invoer gegevens (N)'!$C$17-'Invoer gegevens (N)'!$C$16))/(1+'Invoer gegevens (N)'!$C$39)^('Invoer gegevens (N)'!$C$17-'Invoer gegevens (N)'!$C$16)+AW15/(1+$BG$4)^(E15-('Invoer gegevens (N)'!$C$17-1))/(1+'Invoer gegevens (N)'!$C$39)^('Invoer gegevens (N)'!$C$17-'Invoer gegevens (N)'!$C$16)+AX15/(1+'Invoer gegevens (N)'!$C$39)^('Invoer gegevens (N)'!$C$17-'Invoer gegevens (N)'!$C$16)+(-AY15/(1+'Invoer gegevens (N)'!$C$39)^D15)+BE15+BF15</f>
        <v>0</v>
      </c>
      <c r="BH15" s="59"/>
      <c r="BJ15" s="214"/>
    </row>
    <row r="16" spans="1:91" x14ac:dyDescent="0.25">
      <c r="A16" s="59"/>
      <c r="B16" s="70">
        <f t="shared" si="6"/>
        <v>12</v>
      </c>
      <c r="C16" s="67">
        <f ca="1">IF(AND(E16&gt;='Invoer gegevens (N)'!$C$17,E16&lt;'Invoer gegevens (N)'!$C$17+'Invoer gegevens (N)'!$I$14),1,0)</f>
        <v>1</v>
      </c>
      <c r="D16" s="68">
        <f t="shared" si="7"/>
        <v>11.5</v>
      </c>
      <c r="E16" s="69">
        <f ca="1">IF('Invoer gegevens (N)'!$C$16="","",E15+1)</f>
        <v>2030</v>
      </c>
      <c r="F16" s="82">
        <f ca="1">IF('Invoer gegevens (N)'!$C$17=E16,'Invoer gegevens (N)'!$C$10,IF(C16=1,H15,0))</f>
        <v>0</v>
      </c>
      <c r="G16" s="83">
        <f ca="1">IF(E16='Invoer gegevens (N)'!$C$17+'Invoer gegevens (N)'!$I$14,H15,IF(C16&gt;=1,F16*'Reeksen (N)'!C16,0))</f>
        <v>0</v>
      </c>
      <c r="H16" s="84">
        <f ca="1">IF(E16&gt;='Invoer gegevens (N)'!$C$17+'Invoer gegevens (N)'!$I$14,0,F16-G16)</f>
        <v>0</v>
      </c>
      <c r="I16" s="85">
        <f ca="1">IF('Invoer gegevens (N)'!$C$17=E16,'Invoer gegevens (N)'!$C$11,IF(C16=1,L15,0))</f>
        <v>0</v>
      </c>
      <c r="J16" s="86">
        <f ca="1">IF(E16='Invoer gegevens (N)'!$C$17+'Invoer gegevens (N)'!$I$14,L15,IF(C16&lt;1,0,IF('Reeksen (N)'!BG16&lt;='Reeksen (N)'!AE16,I16*'Reeksen (N)'!C16,0)))</f>
        <v>0</v>
      </c>
      <c r="K16" s="86">
        <f ca="1">IF(E16='Invoer gegevens (N)'!$C$17+'Invoer gegevens (N)'!$I$14,L15,IF(C16&lt;1,0,IF('Reeksen (N)'!BG16&gt;'Reeksen (N)'!AE16,I16*'Reeksen (N)'!C16,0)))</f>
        <v>0</v>
      </c>
      <c r="L16" s="86">
        <f ca="1">IF(E16&gt;='Invoer gegevens (N)'!$C$17+'Invoer gegevens (N)'!$I$14,0,I16-J16-K16)</f>
        <v>0</v>
      </c>
      <c r="M16" s="85">
        <f ca="1">IF('Invoer gegevens (N)'!$C$17=E16,'Invoer gegevens (N)'!$C$10-'Invoer gegevens (N)'!$C$11,IF(C16=1,P15,0))</f>
        <v>0</v>
      </c>
      <c r="N16" s="86">
        <f ca="1">IF(E16='Invoer gegevens (N)'!$C$17+'Invoer gegevens (N)'!$I$14,P15,IF(C16&lt;1,0,IF('Reeksen (N)'!BG16&lt;='Reeksen (N)'!AE16,M16*'Reeksen (N)'!C16,0)))</f>
        <v>0</v>
      </c>
      <c r="O16" s="86">
        <f ca="1">IF(E16='Invoer gegevens (N)'!$C$17+'Invoer gegevens (N)'!$I$14,P15,IF(C16&lt;1,0,IF('Reeksen (N)'!BG16&gt;'Reeksen (N)'!AE16,M16*'Reeksen (N)'!C16,0)))</f>
        <v>0</v>
      </c>
      <c r="P16" s="86">
        <f ca="1">IF(E16&gt;='Invoer gegevens (N)'!$C$17+'Invoer gegevens (N)'!$I$14,0,M16-N16-O16)</f>
        <v>0</v>
      </c>
      <c r="Q16" s="82">
        <f ca="1">IF('Invoer gegevens (N)'!$C$17=E16,I16,IF(C16=0,0,R15))</f>
        <v>0</v>
      </c>
      <c r="R16" s="84">
        <f t="shared" ca="1" si="0"/>
        <v>0</v>
      </c>
      <c r="S16" s="84">
        <f ca="1">IF('Invoer gegevens (N)'!$C$17=E16,M16,IF(C16=0,0,T15))</f>
        <v>0</v>
      </c>
      <c r="T16" s="84">
        <f t="shared" ca="1" si="1"/>
        <v>0</v>
      </c>
      <c r="AH16" s="70"/>
      <c r="AI16" s="71">
        <f ca="1">IF(C16=1,((F16+H16)/2*'Reeksen (N)'!BF16*12)+(('Invoer gegevens (N)'!$C$10-(F16+H16)/2)*'Reeksen (N)'!BG16*12),0)</f>
        <v>0</v>
      </c>
      <c r="AJ16" s="71">
        <f ca="1">-AI16*'Invoer gegevens (N)'!$I$26</f>
        <v>0</v>
      </c>
      <c r="AK16" s="71">
        <f t="shared" ca="1" si="2"/>
        <v>0</v>
      </c>
      <c r="AL16" s="71">
        <f ca="1">IF(C16=1,(12*((F16+H16)/2)*'Reeksen (N)'!AL16)+(12*('Invoer gegevens (N)'!$C$10-(F16+H16)/2)*'Reeksen (N)'!AM16),0)</f>
        <v>0</v>
      </c>
      <c r="AM16" s="71">
        <f ca="1">-AL16*'Invoer gegevens (N)'!$F$31</f>
        <v>0</v>
      </c>
      <c r="AN16" s="71">
        <f t="shared" ca="1" si="3"/>
        <v>0</v>
      </c>
      <c r="AO16" s="71"/>
      <c r="AP16" s="71"/>
      <c r="AQ16" s="71">
        <f ca="1">-IF(C16=1,('Invoer gegevens (N)'!$C$10*'Invoer gegevens (N)'!$I$33)*'Reeksen (N)'!J16,0)</f>
        <v>0</v>
      </c>
      <c r="AR16" s="71">
        <f ca="1">-IF(C16=1,(G16*'Invoer gegevens (N)'!$I$34)*'Reeksen (N)'!J16,0)</f>
        <v>0</v>
      </c>
      <c r="AS16" s="71">
        <f ca="1">-IF(C16=1,'Invoer gegevens (N)'!$C$10*'Invoer gegevens (N)'!$I$35*'Reeksen (N)'!L16,0)</f>
        <v>0</v>
      </c>
      <c r="AT16" s="71">
        <f ca="1">-IF(C16=1,IF(E16='Invoer gegevens (N)'!$C$17,'Invoer gegevens (N)'!$C$11,Q16)*'Reeksen (N)'!S16*'Invoer gegevens (N)'!$C$18*'Reeksen (N)'!P16,0)</f>
        <v>0</v>
      </c>
      <c r="AU16" s="71">
        <f ca="1">-IF(C16=1,'Invoer gegevens (N)'!$C$10*'Invoer gegevens (N)'!$I$36*'Reeksen (N)'!H16,0)</f>
        <v>0</v>
      </c>
      <c r="AV16" s="71">
        <f t="shared" ca="1" si="4"/>
        <v>0</v>
      </c>
      <c r="AW16" s="72">
        <f ca="1">IFERROR(IF(E16='Invoer gegevens (N)'!$C$17+'Invoer gegevens (N)'!$I$14-1,'Invoer gegevens (N)'!$I$13*'Invoer gegevens (N)'!$C$10*'Reeksen (N)'!H16,0),0)</f>
        <v>0</v>
      </c>
      <c r="AX16" s="72">
        <f ca="1">IFERROR(IF(E16='Invoer gegevens (N)'!$C$17,-'Invoer gegevens (N)'!$C$10*'Invoer gegevens (N)'!$C$31*'Reeksen (N)'!H16,0),0)</f>
        <v>0</v>
      </c>
      <c r="AY16" s="73">
        <f ca="1">IF('Invoer gegevens (N)'!$C$34=E16,'Invoer gegevens (N)'!$C$27*'Invoer gegevens (N)'!$C$10*'Invoer gegevens (N)'!$C$36*(IF('Invoer gegevens (N)'!$C$35="ja",1,'Reeksen (N)'!J16)),IF('Invoer gegevens (N)'!$C$34+1=E16,'Invoer gegevens (N)'!$C$27*'Invoer gegevens (N)'!$C$10*'Invoer gegevens (N)'!$C$37*(IF('Invoer gegevens (N)'!$C$35="ja",1,'Reeksen (N)'!J16)),0))+IF(AND(E16='Invoer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6" s="73">
        <f ca="1">AV16/(1+'Invoer gegevens (N)'!$I$12)^($D16-('Invoer gegevens (N)'!$C$17-'Invoer gegevens (N)'!$C$16))/(1+'Invoer gegevens (N)'!$C$39)^('Invoer gegevens (N)'!$C$17-'Invoer gegevens (N)'!$C$16)</f>
        <v>0</v>
      </c>
      <c r="BA16" s="73">
        <f ca="1">AW16/(1+'Invoer gegevens (N)'!$I$12)^(E16-('Invoer gegevens (N)'!$C$17-1))/(1+'Invoer gegevens (N)'!$C$39)^('Invoer gegevens (N)'!$C$17-'Invoer gegevens (N)'!$C$16)</f>
        <v>0</v>
      </c>
      <c r="BB16" s="73">
        <f ca="1">AX16/(1+'Invoer gegevens (N)'!$C$39)^('Invoer gegevens (N)'!$C$17-'Invoer gegevens (N)'!$C$16)</f>
        <v>0</v>
      </c>
      <c r="BC16" s="72">
        <f t="shared" ca="1" si="5"/>
        <v>0</v>
      </c>
      <c r="BD16" s="72">
        <f ca="1">IF(AND(E16='Invoer gegevens (N)'!$C$16,'Invoer gegevens (N)'!$C$34&lt;'Invoer gegevens (N)'!$C$16),AY16,AY16/(1+'Invoer gegevens (N)'!$C$39)^D16)</f>
        <v>0</v>
      </c>
      <c r="BE16" s="72">
        <f ca="1">IF(E16='Invoer gegevens (N)'!$C$34,-'Invoer gegevens (N)'!$I$38,0)</f>
        <v>0</v>
      </c>
      <c r="BF16" s="72">
        <f ca="1">IF(E16='Invoer gegevens (N)'!$C$17,-'Invoer gegevens (N)'!$C$19*$BC$66,0)</f>
        <v>0</v>
      </c>
      <c r="BG16" s="72">
        <f ca="1">AV16/(1+$BG$4)^($D16-('Invoer gegevens (N)'!$C$17-'Invoer gegevens (N)'!$C$16))/(1+'Invoer gegevens (N)'!$C$39)^('Invoer gegevens (N)'!$C$17-'Invoer gegevens (N)'!$C$16)+AW16/(1+$BG$4)^(E16-('Invoer gegevens (N)'!$C$17-1))/(1+'Invoer gegevens (N)'!$C$39)^('Invoer gegevens (N)'!$C$17-'Invoer gegevens (N)'!$C$16)+AX16/(1+'Invoer gegevens (N)'!$C$39)^('Invoer gegevens (N)'!$C$17-'Invoer gegevens (N)'!$C$16)+(-AY16/(1+'Invoer gegevens (N)'!$C$39)^D16)+BE16+BF16</f>
        <v>0</v>
      </c>
      <c r="BH16" s="59"/>
      <c r="BJ16" s="214"/>
    </row>
    <row r="17" spans="1:68" x14ac:dyDescent="0.25">
      <c r="A17" s="59"/>
      <c r="B17" s="70">
        <f t="shared" si="6"/>
        <v>13</v>
      </c>
      <c r="C17" s="67">
        <f ca="1">IF(AND(E17&gt;='Invoer gegevens (N)'!$C$17,E17&lt;'Invoer gegevens (N)'!$C$17+'Invoer gegevens (N)'!$I$14),1,0)</f>
        <v>1</v>
      </c>
      <c r="D17" s="68">
        <f t="shared" si="7"/>
        <v>12.5</v>
      </c>
      <c r="E17" s="69">
        <f ca="1">IF('Invoer gegevens (N)'!$C$16="","",E16+1)</f>
        <v>2031</v>
      </c>
      <c r="F17" s="82">
        <f ca="1">IF('Invoer gegevens (N)'!$C$17=E17,'Invoer gegevens (N)'!$C$10,IF(C17=1,H16,0))</f>
        <v>0</v>
      </c>
      <c r="G17" s="83">
        <f ca="1">IF(E17='Invoer gegevens (N)'!$C$17+'Invoer gegevens (N)'!$I$14,H16,IF(C17&gt;=1,F17*'Reeksen (N)'!C17,0))</f>
        <v>0</v>
      </c>
      <c r="H17" s="84">
        <f ca="1">IF(E17&gt;='Invoer gegevens (N)'!$C$17+'Invoer gegevens (N)'!$I$14,0,F17-G17)</f>
        <v>0</v>
      </c>
      <c r="I17" s="85">
        <f ca="1">IF('Invoer gegevens (N)'!$C$17=E17,'Invoer gegevens (N)'!$C$11,IF(C17=1,L16,0))</f>
        <v>0</v>
      </c>
      <c r="J17" s="86">
        <f ca="1">IF(E17='Invoer gegevens (N)'!$C$17+'Invoer gegevens (N)'!$I$14,L16,IF(C17&lt;1,0,IF('Reeksen (N)'!BG17&lt;='Reeksen (N)'!AE17,I17*'Reeksen (N)'!C17,0)))</f>
        <v>0</v>
      </c>
      <c r="K17" s="86">
        <f ca="1">IF(E17='Invoer gegevens (N)'!$C$17+'Invoer gegevens (N)'!$I$14,L16,IF(C17&lt;1,0,IF('Reeksen (N)'!BG17&gt;'Reeksen (N)'!AE17,I17*'Reeksen (N)'!C17,0)))</f>
        <v>0</v>
      </c>
      <c r="L17" s="86">
        <f ca="1">IF(E17&gt;='Invoer gegevens (N)'!$C$17+'Invoer gegevens (N)'!$I$14,0,I17-J17-K17)</f>
        <v>0</v>
      </c>
      <c r="M17" s="85">
        <f ca="1">IF('Invoer gegevens (N)'!$C$17=E17,'Invoer gegevens (N)'!$C$10-'Invoer gegevens (N)'!$C$11,IF(C17=1,P16,0))</f>
        <v>0</v>
      </c>
      <c r="N17" s="86">
        <f ca="1">IF(E17='Invoer gegevens (N)'!$C$17+'Invoer gegevens (N)'!$I$14,P16,IF(C17&lt;1,0,IF('Reeksen (N)'!BG17&lt;='Reeksen (N)'!AE17,M17*'Reeksen (N)'!C17,0)))</f>
        <v>0</v>
      </c>
      <c r="O17" s="86">
        <f ca="1">IF(E17='Invoer gegevens (N)'!$C$17+'Invoer gegevens (N)'!$I$14,P16,IF(C17&lt;1,0,IF('Reeksen (N)'!BG17&gt;'Reeksen (N)'!AE17,M17*'Reeksen (N)'!C17,0)))</f>
        <v>0</v>
      </c>
      <c r="P17" s="86">
        <f ca="1">IF(E17&gt;='Invoer gegevens (N)'!$C$17+'Invoer gegevens (N)'!$I$14,0,M17-N17-O17)</f>
        <v>0</v>
      </c>
      <c r="Q17" s="82">
        <f ca="1">IF('Invoer gegevens (N)'!$C$17=E17,I17,IF(C17=0,0,R16))</f>
        <v>0</v>
      </c>
      <c r="R17" s="84">
        <f t="shared" ca="1" si="0"/>
        <v>0</v>
      </c>
      <c r="S17" s="84">
        <f ca="1">IF('Invoer gegevens (N)'!$C$17=E17,M17,IF(C17=0,0,T16))</f>
        <v>0</v>
      </c>
      <c r="T17" s="84">
        <f t="shared" ca="1" si="1"/>
        <v>0</v>
      </c>
      <c r="AH17" s="70"/>
      <c r="AI17" s="71">
        <f ca="1">IF(C17=1,((F17+H17)/2*'Reeksen (N)'!BF17*12)+(('Invoer gegevens (N)'!$C$10-(F17+H17)/2)*'Reeksen (N)'!BG17*12),0)</f>
        <v>0</v>
      </c>
      <c r="AJ17" s="71">
        <f ca="1">-AI17*'Invoer gegevens (N)'!$I$26</f>
        <v>0</v>
      </c>
      <c r="AK17" s="71">
        <f t="shared" ca="1" si="2"/>
        <v>0</v>
      </c>
      <c r="AL17" s="71">
        <f ca="1">IF(C17=1,(12*((F17+H17)/2)*'Reeksen (N)'!AL17)+(12*('Invoer gegevens (N)'!$C$10-(F17+H17)/2)*'Reeksen (N)'!AM17),0)</f>
        <v>0</v>
      </c>
      <c r="AM17" s="71">
        <f ca="1">-AL17*'Invoer gegevens (N)'!$F$31</f>
        <v>0</v>
      </c>
      <c r="AN17" s="71">
        <f t="shared" ca="1" si="3"/>
        <v>0</v>
      </c>
      <c r="AO17" s="71"/>
      <c r="AP17" s="71"/>
      <c r="AQ17" s="71">
        <f ca="1">-IF(C17=1,('Invoer gegevens (N)'!$C$10*'Invoer gegevens (N)'!$I$33)*'Reeksen (N)'!J17,0)</f>
        <v>0</v>
      </c>
      <c r="AR17" s="71">
        <f ca="1">-IF(C17=1,(G17*'Invoer gegevens (N)'!$I$34)*'Reeksen (N)'!J17,0)</f>
        <v>0</v>
      </c>
      <c r="AS17" s="71">
        <f ca="1">-IF(C17=1,'Invoer gegevens (N)'!$C$10*'Invoer gegevens (N)'!$I$35*'Reeksen (N)'!L17,0)</f>
        <v>0</v>
      </c>
      <c r="AT17" s="71">
        <f ca="1">-IF(C17=1,IF(E17='Invoer gegevens (N)'!$C$17,'Invoer gegevens (N)'!$C$11,Q17)*'Reeksen (N)'!S17*'Invoer gegevens (N)'!$C$18*'Reeksen (N)'!P17,0)</f>
        <v>0</v>
      </c>
      <c r="AU17" s="71">
        <f ca="1">-IF(C17=1,'Invoer gegevens (N)'!$C$10*'Invoer gegevens (N)'!$I$36*'Reeksen (N)'!H17,0)</f>
        <v>0</v>
      </c>
      <c r="AV17" s="71">
        <f t="shared" ca="1" si="4"/>
        <v>0</v>
      </c>
      <c r="AW17" s="72">
        <f ca="1">IFERROR(IF(E17='Invoer gegevens (N)'!$C$17+'Invoer gegevens (N)'!$I$14-1,'Invoer gegevens (N)'!$I$13*'Invoer gegevens (N)'!$C$10*'Reeksen (N)'!H17,0),0)</f>
        <v>0</v>
      </c>
      <c r="AX17" s="72">
        <f ca="1">IFERROR(IF(E17='Invoer gegevens (N)'!$C$17,-'Invoer gegevens (N)'!$C$10*'Invoer gegevens (N)'!$C$31*'Reeksen (N)'!H17,0),0)</f>
        <v>0</v>
      </c>
      <c r="AY17" s="73">
        <f ca="1">IF('Invoer gegevens (N)'!$C$34=E17,'Invoer gegevens (N)'!$C$27*'Invoer gegevens (N)'!$C$10*'Invoer gegevens (N)'!$C$36*(IF('Invoer gegevens (N)'!$C$35="ja",1,'Reeksen (N)'!J17)),IF('Invoer gegevens (N)'!$C$34+1=E17,'Invoer gegevens (N)'!$C$27*'Invoer gegevens (N)'!$C$10*'Invoer gegevens (N)'!$C$37*(IF('Invoer gegevens (N)'!$C$35="ja",1,'Reeksen (N)'!J17)),0))+IF(AND(E17='Invoer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7" s="73">
        <f ca="1">AV17/(1+'Invoer gegevens (N)'!$I$12)^($D17-('Invoer gegevens (N)'!$C$17-'Invoer gegevens (N)'!$C$16))/(1+'Invoer gegevens (N)'!$C$39)^('Invoer gegevens (N)'!$C$17-'Invoer gegevens (N)'!$C$16)</f>
        <v>0</v>
      </c>
      <c r="BA17" s="73">
        <f ca="1">AW17/(1+'Invoer gegevens (N)'!$I$12)^(E17-('Invoer gegevens (N)'!$C$17-1))/(1+'Invoer gegevens (N)'!$C$39)^('Invoer gegevens (N)'!$C$17-'Invoer gegevens (N)'!$C$16)</f>
        <v>0</v>
      </c>
      <c r="BB17" s="73">
        <f ca="1">AX17/(1+'Invoer gegevens (N)'!$C$39)^('Invoer gegevens (N)'!$C$17-'Invoer gegevens (N)'!$C$16)</f>
        <v>0</v>
      </c>
      <c r="BC17" s="72">
        <f t="shared" ca="1" si="5"/>
        <v>0</v>
      </c>
      <c r="BD17" s="72">
        <f ca="1">IF(AND(E17='Invoer gegevens (N)'!$C$16,'Invoer gegevens (N)'!$C$34&lt;'Invoer gegevens (N)'!$C$16),AY17,AY17/(1+'Invoer gegevens (N)'!$C$39)^D17)</f>
        <v>0</v>
      </c>
      <c r="BE17" s="72">
        <f ca="1">IF(E17='Invoer gegevens (N)'!$C$34,-'Invoer gegevens (N)'!$I$38,0)</f>
        <v>0</v>
      </c>
      <c r="BF17" s="72">
        <f ca="1">IF(E17='Invoer gegevens (N)'!$C$17,-'Invoer gegevens (N)'!$C$19*$BC$66,0)</f>
        <v>0</v>
      </c>
      <c r="BG17" s="72">
        <f ca="1">AV17/(1+$BG$4)^($D17-('Invoer gegevens (N)'!$C$17-'Invoer gegevens (N)'!$C$16))/(1+'Invoer gegevens (N)'!$C$39)^('Invoer gegevens (N)'!$C$17-'Invoer gegevens (N)'!$C$16)+AW17/(1+$BG$4)^(E17-('Invoer gegevens (N)'!$C$17-1))/(1+'Invoer gegevens (N)'!$C$39)^('Invoer gegevens (N)'!$C$17-'Invoer gegevens (N)'!$C$16)+AX17/(1+'Invoer gegevens (N)'!$C$39)^('Invoer gegevens (N)'!$C$17-'Invoer gegevens (N)'!$C$16)+(-AY17/(1+'Invoer gegevens (N)'!$C$39)^D17)+BE17+BF17</f>
        <v>0</v>
      </c>
      <c r="BH17" s="59"/>
      <c r="BJ17" s="214"/>
    </row>
    <row r="18" spans="1:68" x14ac:dyDescent="0.25">
      <c r="A18" s="59"/>
      <c r="B18" s="70">
        <f t="shared" si="6"/>
        <v>14</v>
      </c>
      <c r="C18" s="67">
        <f ca="1">IF(AND(E18&gt;='Invoer gegevens (N)'!$C$17,E18&lt;'Invoer gegevens (N)'!$C$17+'Invoer gegevens (N)'!$I$14),1,0)</f>
        <v>1</v>
      </c>
      <c r="D18" s="68">
        <f t="shared" si="7"/>
        <v>13.5</v>
      </c>
      <c r="E18" s="69">
        <f ca="1">IF('Invoer gegevens (N)'!$C$16="","",E17+1)</f>
        <v>2032</v>
      </c>
      <c r="F18" s="82">
        <f ca="1">IF('Invoer gegevens (N)'!$C$17=E18,'Invoer gegevens (N)'!$C$10,IF(C18=1,H17,0))</f>
        <v>0</v>
      </c>
      <c r="G18" s="83">
        <f ca="1">IF(E18='Invoer gegevens (N)'!$C$17+'Invoer gegevens (N)'!$I$14,H17,IF(C18&gt;=1,F18*'Reeksen (N)'!C18,0))</f>
        <v>0</v>
      </c>
      <c r="H18" s="84">
        <f ca="1">IF(E18&gt;='Invoer gegevens (N)'!$C$17+'Invoer gegevens (N)'!$I$14,0,F18-G18)</f>
        <v>0</v>
      </c>
      <c r="I18" s="85">
        <f ca="1">IF('Invoer gegevens (N)'!$C$17=E18,'Invoer gegevens (N)'!$C$11,IF(C18=1,L17,0))</f>
        <v>0</v>
      </c>
      <c r="J18" s="86">
        <f ca="1">IF(E18='Invoer gegevens (N)'!$C$17+'Invoer gegevens (N)'!$I$14,L17,IF(C18&lt;1,0,IF('Reeksen (N)'!BG18&lt;='Reeksen (N)'!AE18,I18*'Reeksen (N)'!C18,0)))</f>
        <v>0</v>
      </c>
      <c r="K18" s="86">
        <f ca="1">IF(E18='Invoer gegevens (N)'!$C$17+'Invoer gegevens (N)'!$I$14,L17,IF(C18&lt;1,0,IF('Reeksen (N)'!BG18&gt;'Reeksen (N)'!AE18,I18*'Reeksen (N)'!C18,0)))</f>
        <v>0</v>
      </c>
      <c r="L18" s="86">
        <f ca="1">IF(E18&gt;='Invoer gegevens (N)'!$C$17+'Invoer gegevens (N)'!$I$14,0,I18-J18-K18)</f>
        <v>0</v>
      </c>
      <c r="M18" s="85">
        <f ca="1">IF('Invoer gegevens (N)'!$C$17=E18,'Invoer gegevens (N)'!$C$10-'Invoer gegevens (N)'!$C$11,IF(C18=1,P17,0))</f>
        <v>0</v>
      </c>
      <c r="N18" s="86">
        <f ca="1">IF(E18='Invoer gegevens (N)'!$C$17+'Invoer gegevens (N)'!$I$14,P17,IF(C18&lt;1,0,IF('Reeksen (N)'!BG18&lt;='Reeksen (N)'!AE18,M18*'Reeksen (N)'!C18,0)))</f>
        <v>0</v>
      </c>
      <c r="O18" s="86">
        <f ca="1">IF(E18='Invoer gegevens (N)'!$C$17+'Invoer gegevens (N)'!$I$14,P17,IF(C18&lt;1,0,IF('Reeksen (N)'!BG18&gt;'Reeksen (N)'!AE18,M18*'Reeksen (N)'!C18,0)))</f>
        <v>0</v>
      </c>
      <c r="P18" s="86">
        <f ca="1">IF(E18&gt;='Invoer gegevens (N)'!$C$17+'Invoer gegevens (N)'!$I$14,0,M18-N18-O18)</f>
        <v>0</v>
      </c>
      <c r="Q18" s="82">
        <f ca="1">IF('Invoer gegevens (N)'!$C$17=E18,I18,IF(C18=0,0,R17))</f>
        <v>0</v>
      </c>
      <c r="R18" s="84">
        <f t="shared" ca="1" si="0"/>
        <v>0</v>
      </c>
      <c r="S18" s="84">
        <f ca="1">IF('Invoer gegevens (N)'!$C$17=E18,M18,IF(C18=0,0,T17))</f>
        <v>0</v>
      </c>
      <c r="T18" s="84">
        <f t="shared" ca="1" si="1"/>
        <v>0</v>
      </c>
      <c r="AH18" s="70"/>
      <c r="AI18" s="71">
        <f ca="1">IF(C18=1,((F18+H18)/2*'Reeksen (N)'!BF18*12)+(('Invoer gegevens (N)'!$C$10-(F18+H18)/2)*'Reeksen (N)'!BG18*12),0)</f>
        <v>0</v>
      </c>
      <c r="AJ18" s="71">
        <f ca="1">-AI18*'Invoer gegevens (N)'!$I$26</f>
        <v>0</v>
      </c>
      <c r="AK18" s="71">
        <f t="shared" ca="1" si="2"/>
        <v>0</v>
      </c>
      <c r="AL18" s="71">
        <f ca="1">IF(C18=1,(12*((F18+H18)/2)*'Reeksen (N)'!AL18)+(12*('Invoer gegevens (N)'!$C$10-(F18+H18)/2)*'Reeksen (N)'!AM18),0)</f>
        <v>0</v>
      </c>
      <c r="AM18" s="71">
        <f ca="1">-AL18*'Invoer gegevens (N)'!$F$31</f>
        <v>0</v>
      </c>
      <c r="AN18" s="71">
        <f t="shared" ca="1" si="3"/>
        <v>0</v>
      </c>
      <c r="AO18" s="71"/>
      <c r="AP18" s="71"/>
      <c r="AQ18" s="71">
        <f ca="1">-IF(C18=1,('Invoer gegevens (N)'!$C$10*'Invoer gegevens (N)'!$I$33)*'Reeksen (N)'!J18,0)</f>
        <v>0</v>
      </c>
      <c r="AR18" s="71">
        <f ca="1">-IF(C18=1,(G18*'Invoer gegevens (N)'!$I$34)*'Reeksen (N)'!J18,0)</f>
        <v>0</v>
      </c>
      <c r="AS18" s="71">
        <f ca="1">-IF(C18=1,'Invoer gegevens (N)'!$C$10*'Invoer gegevens (N)'!$I$35*'Reeksen (N)'!L18,0)</f>
        <v>0</v>
      </c>
      <c r="AT18" s="71">
        <f ca="1">-IF(C18=1,IF(E18='Invoer gegevens (N)'!$C$17,'Invoer gegevens (N)'!$C$11,Q18)*'Reeksen (N)'!S18*'Invoer gegevens (N)'!$C$18*'Reeksen (N)'!P18,0)</f>
        <v>0</v>
      </c>
      <c r="AU18" s="71">
        <f ca="1">-IF(C18=1,'Invoer gegevens (N)'!$C$10*'Invoer gegevens (N)'!$I$36*'Reeksen (N)'!H18,0)</f>
        <v>0</v>
      </c>
      <c r="AV18" s="71">
        <f t="shared" ca="1" si="4"/>
        <v>0</v>
      </c>
      <c r="AW18" s="72">
        <f ca="1">IFERROR(IF(E18='Invoer gegevens (N)'!$C$17+'Invoer gegevens (N)'!$I$14-1,'Invoer gegevens (N)'!$I$13*'Invoer gegevens (N)'!$C$10*'Reeksen (N)'!H18,0),0)</f>
        <v>0</v>
      </c>
      <c r="AX18" s="72">
        <f ca="1">IFERROR(IF(E18='Invoer gegevens (N)'!$C$17,-'Invoer gegevens (N)'!$C$10*'Invoer gegevens (N)'!$C$31*'Reeksen (N)'!H18,0),0)</f>
        <v>0</v>
      </c>
      <c r="AY18" s="73">
        <f ca="1">IF('Invoer gegevens (N)'!$C$34=E18,'Invoer gegevens (N)'!$C$27*'Invoer gegevens (N)'!$C$10*'Invoer gegevens (N)'!$C$36*(IF('Invoer gegevens (N)'!$C$35="ja",1,'Reeksen (N)'!J18)),IF('Invoer gegevens (N)'!$C$34+1=E18,'Invoer gegevens (N)'!$C$27*'Invoer gegevens (N)'!$C$10*'Invoer gegevens (N)'!$C$37*(IF('Invoer gegevens (N)'!$C$35="ja",1,'Reeksen (N)'!J18)),0))+IF(AND(E18='Invoer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8" s="73">
        <f ca="1">AV18/(1+'Invoer gegevens (N)'!$I$12)^($D18-('Invoer gegevens (N)'!$C$17-'Invoer gegevens (N)'!$C$16))/(1+'Invoer gegevens (N)'!$C$39)^('Invoer gegevens (N)'!$C$17-'Invoer gegevens (N)'!$C$16)</f>
        <v>0</v>
      </c>
      <c r="BA18" s="73">
        <f ca="1">AW18/(1+'Invoer gegevens (N)'!$I$12)^(E18-('Invoer gegevens (N)'!$C$17-1))/(1+'Invoer gegevens (N)'!$C$39)^('Invoer gegevens (N)'!$C$17-'Invoer gegevens (N)'!$C$16)</f>
        <v>0</v>
      </c>
      <c r="BB18" s="73">
        <f ca="1">AX18/(1+'Invoer gegevens (N)'!$C$39)^('Invoer gegevens (N)'!$C$17-'Invoer gegevens (N)'!$C$16)</f>
        <v>0</v>
      </c>
      <c r="BC18" s="72">
        <f t="shared" ca="1" si="5"/>
        <v>0</v>
      </c>
      <c r="BD18" s="72">
        <f ca="1">IF(AND(E18='Invoer gegevens (N)'!$C$16,'Invoer gegevens (N)'!$C$34&lt;'Invoer gegevens (N)'!$C$16),AY18,AY18/(1+'Invoer gegevens (N)'!$C$39)^D18)</f>
        <v>0</v>
      </c>
      <c r="BE18" s="72">
        <f ca="1">IF(E18='Invoer gegevens (N)'!$C$34,-'Invoer gegevens (N)'!$I$38,0)</f>
        <v>0</v>
      </c>
      <c r="BF18" s="72">
        <f ca="1">IF(E18='Invoer gegevens (N)'!$C$17,-'Invoer gegevens (N)'!$C$19*$BC$66,0)</f>
        <v>0</v>
      </c>
      <c r="BG18" s="72">
        <f ca="1">AV18/(1+$BG$4)^($D18-('Invoer gegevens (N)'!$C$17-'Invoer gegevens (N)'!$C$16))/(1+'Invoer gegevens (N)'!$C$39)^('Invoer gegevens (N)'!$C$17-'Invoer gegevens (N)'!$C$16)+AW18/(1+$BG$4)^(E18-('Invoer gegevens (N)'!$C$17-1))/(1+'Invoer gegevens (N)'!$C$39)^('Invoer gegevens (N)'!$C$17-'Invoer gegevens (N)'!$C$16)+AX18/(1+'Invoer gegevens (N)'!$C$39)^('Invoer gegevens (N)'!$C$17-'Invoer gegevens (N)'!$C$16)+(-AY18/(1+'Invoer gegevens (N)'!$C$39)^D18)+BE18+BF18</f>
        <v>0</v>
      </c>
      <c r="BH18" s="59"/>
      <c r="BJ18" s="214"/>
    </row>
    <row r="19" spans="1:68" x14ac:dyDescent="0.25">
      <c r="A19" s="59"/>
      <c r="B19" s="70">
        <f t="shared" si="6"/>
        <v>15</v>
      </c>
      <c r="C19" s="67">
        <f ca="1">IF(AND(E19&gt;='Invoer gegevens (N)'!$C$17,E19&lt;'Invoer gegevens (N)'!$C$17+'Invoer gegevens (N)'!$I$14),1,0)</f>
        <v>1</v>
      </c>
      <c r="D19" s="68">
        <f t="shared" si="7"/>
        <v>14.5</v>
      </c>
      <c r="E19" s="69">
        <f ca="1">IF('Invoer gegevens (N)'!$C$16="","",E18+1)</f>
        <v>2033</v>
      </c>
      <c r="F19" s="82">
        <f ca="1">IF('Invoer gegevens (N)'!$C$17=E19,'Invoer gegevens (N)'!$C$10,IF(C19=1,H18,0))</f>
        <v>0</v>
      </c>
      <c r="G19" s="83">
        <f ca="1">IF(E19='Invoer gegevens (N)'!$C$17+'Invoer gegevens (N)'!$I$14,H18,IF(C19&gt;=1,F19*'Reeksen (N)'!C19,0))</f>
        <v>0</v>
      </c>
      <c r="H19" s="84">
        <f ca="1">IF(E19&gt;='Invoer gegevens (N)'!$C$17+'Invoer gegevens (N)'!$I$14,0,F19-G19)</f>
        <v>0</v>
      </c>
      <c r="I19" s="85">
        <f ca="1">IF('Invoer gegevens (N)'!$C$17=E19,'Invoer gegevens (N)'!$C$11,IF(C19=1,L18,0))</f>
        <v>0</v>
      </c>
      <c r="J19" s="86">
        <f ca="1">IF(E19='Invoer gegevens (N)'!$C$17+'Invoer gegevens (N)'!$I$14,L18,IF(C19&lt;1,0,IF('Reeksen (N)'!BG19&lt;='Reeksen (N)'!AE19,I19*'Reeksen (N)'!C19,0)))</f>
        <v>0</v>
      </c>
      <c r="K19" s="86">
        <f ca="1">IF(E19='Invoer gegevens (N)'!$C$17+'Invoer gegevens (N)'!$I$14,L18,IF(C19&lt;1,0,IF('Reeksen (N)'!BG19&gt;'Reeksen (N)'!AE19,I19*'Reeksen (N)'!C19,0)))</f>
        <v>0</v>
      </c>
      <c r="L19" s="86">
        <f ca="1">IF(E19&gt;='Invoer gegevens (N)'!$C$17+'Invoer gegevens (N)'!$I$14,0,I19-J19-K19)</f>
        <v>0</v>
      </c>
      <c r="M19" s="85">
        <f ca="1">IF('Invoer gegevens (N)'!$C$17=E19,'Invoer gegevens (N)'!$C$10-'Invoer gegevens (N)'!$C$11,IF(C19=1,P18,0))</f>
        <v>0</v>
      </c>
      <c r="N19" s="86">
        <f ca="1">IF(E19='Invoer gegevens (N)'!$C$17+'Invoer gegevens (N)'!$I$14,P18,IF(C19&lt;1,0,IF('Reeksen (N)'!BG19&lt;='Reeksen (N)'!AE19,M19*'Reeksen (N)'!C19,0)))</f>
        <v>0</v>
      </c>
      <c r="O19" s="86">
        <f ca="1">IF(E19='Invoer gegevens (N)'!$C$17+'Invoer gegevens (N)'!$I$14,P18,IF(C19&lt;1,0,IF('Reeksen (N)'!BG19&gt;'Reeksen (N)'!AE19,M19*'Reeksen (N)'!C19,0)))</f>
        <v>0</v>
      </c>
      <c r="P19" s="86">
        <f ca="1">IF(E19&gt;='Invoer gegevens (N)'!$C$17+'Invoer gegevens (N)'!$I$14,0,M19-N19-O19)</f>
        <v>0</v>
      </c>
      <c r="Q19" s="82">
        <f ca="1">IF('Invoer gegevens (N)'!$C$17=E19,I19,IF(C19=0,0,R18))</f>
        <v>0</v>
      </c>
      <c r="R19" s="84">
        <f t="shared" ca="1" si="0"/>
        <v>0</v>
      </c>
      <c r="S19" s="84">
        <f ca="1">IF('Invoer gegevens (N)'!$C$17=E19,M19,IF(C19=0,0,T18))</f>
        <v>0</v>
      </c>
      <c r="T19" s="84">
        <f t="shared" ca="1" si="1"/>
        <v>0</v>
      </c>
      <c r="AH19" s="70"/>
      <c r="AI19" s="71">
        <f ca="1">IF(C19=1,((F19+H19)/2*'Reeksen (N)'!BF19*12)+(('Invoer gegevens (N)'!$C$10-(F19+H19)/2)*'Reeksen (N)'!BG19*12),0)</f>
        <v>0</v>
      </c>
      <c r="AJ19" s="71">
        <f ca="1">-AI19*'Invoer gegevens (N)'!$I$26</f>
        <v>0</v>
      </c>
      <c r="AK19" s="71">
        <f t="shared" ca="1" si="2"/>
        <v>0</v>
      </c>
      <c r="AL19" s="71">
        <f ca="1">IF(C19=1,(12*((F19+H19)/2)*'Reeksen (N)'!AL19)+(12*('Invoer gegevens (N)'!$C$10-(F19+H19)/2)*'Reeksen (N)'!AM19),0)</f>
        <v>0</v>
      </c>
      <c r="AM19" s="71">
        <f ca="1">-AL19*'Invoer gegevens (N)'!$F$31</f>
        <v>0</v>
      </c>
      <c r="AN19" s="71">
        <f t="shared" ca="1" si="3"/>
        <v>0</v>
      </c>
      <c r="AO19" s="71"/>
      <c r="AP19" s="71"/>
      <c r="AQ19" s="71">
        <f ca="1">-IF(C19=1,('Invoer gegevens (N)'!$C$10*'Invoer gegevens (N)'!$I$33)*'Reeksen (N)'!J19,0)</f>
        <v>0</v>
      </c>
      <c r="AR19" s="71">
        <f ca="1">-IF(C19=1,(G19*'Invoer gegevens (N)'!$I$34)*'Reeksen (N)'!J19,0)</f>
        <v>0</v>
      </c>
      <c r="AS19" s="71">
        <f ca="1">-IF(C19=1,'Invoer gegevens (N)'!$C$10*'Invoer gegevens (N)'!$I$35*'Reeksen (N)'!L19,0)</f>
        <v>0</v>
      </c>
      <c r="AT19" s="71">
        <f ca="1">-IF(C19=1,IF(E19='Invoer gegevens (N)'!$C$17,'Invoer gegevens (N)'!$C$11,Q19)*'Reeksen (N)'!S19*'Invoer gegevens (N)'!$C$18*'Reeksen (N)'!P19,0)</f>
        <v>0</v>
      </c>
      <c r="AU19" s="71">
        <f ca="1">-IF(C19=1,'Invoer gegevens (N)'!$C$10*'Invoer gegevens (N)'!$I$36*'Reeksen (N)'!H19,0)</f>
        <v>0</v>
      </c>
      <c r="AV19" s="71">
        <f t="shared" ca="1" si="4"/>
        <v>0</v>
      </c>
      <c r="AW19" s="72">
        <f ca="1">IFERROR(IF(E19='Invoer gegevens (N)'!$C$17+'Invoer gegevens (N)'!$I$14-1,'Invoer gegevens (N)'!$I$13*'Invoer gegevens (N)'!$C$10*'Reeksen (N)'!H19,0),0)</f>
        <v>0</v>
      </c>
      <c r="AX19" s="72">
        <f ca="1">IFERROR(IF(E19='Invoer gegevens (N)'!$C$17,-'Invoer gegevens (N)'!$C$10*'Invoer gegevens (N)'!$C$31*'Reeksen (N)'!H19,0),0)</f>
        <v>0</v>
      </c>
      <c r="AY19" s="73">
        <f ca="1">IF('Invoer gegevens (N)'!$C$34=E19,'Invoer gegevens (N)'!$C$27*'Invoer gegevens (N)'!$C$10*'Invoer gegevens (N)'!$C$36*(IF('Invoer gegevens (N)'!$C$35="ja",1,'Reeksen (N)'!J19)),IF('Invoer gegevens (N)'!$C$34+1=E19,'Invoer gegevens (N)'!$C$27*'Invoer gegevens (N)'!$C$10*'Invoer gegevens (N)'!$C$37*(IF('Invoer gegevens (N)'!$C$35="ja",1,'Reeksen (N)'!J19)),0))+IF(AND(E19='Invoer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9" s="73">
        <f ca="1">AV19/(1+'Invoer gegevens (N)'!$I$12)^($D19-('Invoer gegevens (N)'!$C$17-'Invoer gegevens (N)'!$C$16))/(1+'Invoer gegevens (N)'!$C$39)^('Invoer gegevens (N)'!$C$17-'Invoer gegevens (N)'!$C$16)</f>
        <v>0</v>
      </c>
      <c r="BA19" s="73">
        <f ca="1">AW19/(1+'Invoer gegevens (N)'!$I$12)^(E19-('Invoer gegevens (N)'!$C$17-1))/(1+'Invoer gegevens (N)'!$C$39)^('Invoer gegevens (N)'!$C$17-'Invoer gegevens (N)'!$C$16)</f>
        <v>0</v>
      </c>
      <c r="BB19" s="73">
        <f ca="1">AX19/(1+'Invoer gegevens (N)'!$C$39)^('Invoer gegevens (N)'!$C$17-'Invoer gegevens (N)'!$C$16)</f>
        <v>0</v>
      </c>
      <c r="BC19" s="72">
        <f t="shared" ca="1" si="5"/>
        <v>0</v>
      </c>
      <c r="BD19" s="72">
        <f ca="1">IF(AND(E19='Invoer gegevens (N)'!$C$16,'Invoer gegevens (N)'!$C$34&lt;'Invoer gegevens (N)'!$C$16),AY19,AY19/(1+'Invoer gegevens (N)'!$C$39)^D19)</f>
        <v>0</v>
      </c>
      <c r="BE19" s="72">
        <f ca="1">IF(E19='Invoer gegevens (N)'!$C$34,-'Invoer gegevens (N)'!$I$38,0)</f>
        <v>0</v>
      </c>
      <c r="BF19" s="72">
        <f ca="1">IF(E19='Invoer gegevens (N)'!$C$17,-'Invoer gegevens (N)'!$C$19*$BC$66,0)</f>
        <v>0</v>
      </c>
      <c r="BG19" s="72">
        <f ca="1">AV19/(1+$BG$4)^($D19-('Invoer gegevens (N)'!$C$17-'Invoer gegevens (N)'!$C$16))/(1+'Invoer gegevens (N)'!$C$39)^('Invoer gegevens (N)'!$C$17-'Invoer gegevens (N)'!$C$16)+AW19/(1+$BG$4)^(E19-('Invoer gegevens (N)'!$C$17-1))/(1+'Invoer gegevens (N)'!$C$39)^('Invoer gegevens (N)'!$C$17-'Invoer gegevens (N)'!$C$16)+AX19/(1+'Invoer gegevens (N)'!$C$39)^('Invoer gegevens (N)'!$C$17-'Invoer gegevens (N)'!$C$16)+(-AY19/(1+'Invoer gegevens (N)'!$C$39)^D19)+BE19+BF19</f>
        <v>0</v>
      </c>
      <c r="BH19" s="59"/>
      <c r="BJ19" s="214"/>
    </row>
    <row r="20" spans="1:68" x14ac:dyDescent="0.25">
      <c r="A20" s="59"/>
      <c r="B20" s="70">
        <f t="shared" si="6"/>
        <v>16</v>
      </c>
      <c r="C20" s="67">
        <f ca="1">IF(AND(E20&gt;='Invoer gegevens (N)'!$C$17,E20&lt;'Invoer gegevens (N)'!$C$17+'Invoer gegevens (N)'!$I$14),1,0)</f>
        <v>1</v>
      </c>
      <c r="D20" s="68">
        <f t="shared" si="7"/>
        <v>15.5</v>
      </c>
      <c r="E20" s="69">
        <f ca="1">IF('Invoer gegevens (N)'!$C$16="","",E19+1)</f>
        <v>2034</v>
      </c>
      <c r="F20" s="82">
        <f ca="1">IF('Invoer gegevens (N)'!$C$17=E20,'Invoer gegevens (N)'!$C$10,IF(C20=1,H19,0))</f>
        <v>0</v>
      </c>
      <c r="G20" s="83">
        <f ca="1">IF(E20='Invoer gegevens (N)'!$C$17+'Invoer gegevens (N)'!$I$14,H19,IF(C20&gt;=1,F20*'Reeksen (N)'!C20,0))</f>
        <v>0</v>
      </c>
      <c r="H20" s="84">
        <f ca="1">IF(E20&gt;='Invoer gegevens (N)'!$C$17+'Invoer gegevens (N)'!$I$14,0,F20-G20)</f>
        <v>0</v>
      </c>
      <c r="I20" s="85">
        <f ca="1">IF('Invoer gegevens (N)'!$C$17=E20,'Invoer gegevens (N)'!$C$11,IF(C20=1,L19,0))</f>
        <v>0</v>
      </c>
      <c r="J20" s="86">
        <f ca="1">IF(E20='Invoer gegevens (N)'!$C$17+'Invoer gegevens (N)'!$I$14,L19,IF(C20&lt;1,0,IF('Reeksen (N)'!BG20&lt;='Reeksen (N)'!AE20,I20*'Reeksen (N)'!C20,0)))</f>
        <v>0</v>
      </c>
      <c r="K20" s="86">
        <f ca="1">IF(E20='Invoer gegevens (N)'!$C$17+'Invoer gegevens (N)'!$I$14,L19,IF(C20&lt;1,0,IF('Reeksen (N)'!BG20&gt;'Reeksen (N)'!AE20,I20*'Reeksen (N)'!C20,0)))</f>
        <v>0</v>
      </c>
      <c r="L20" s="86">
        <f ca="1">IF(E20&gt;='Invoer gegevens (N)'!$C$17+'Invoer gegevens (N)'!$I$14,0,I20-J20-K20)</f>
        <v>0</v>
      </c>
      <c r="M20" s="85">
        <f ca="1">IF('Invoer gegevens (N)'!$C$17=E20,'Invoer gegevens (N)'!$C$10-'Invoer gegevens (N)'!$C$11,IF(C20=1,P19,0))</f>
        <v>0</v>
      </c>
      <c r="N20" s="86">
        <f ca="1">IF(E20='Invoer gegevens (N)'!$C$17+'Invoer gegevens (N)'!$I$14,P19,IF(C20&lt;1,0,IF('Reeksen (N)'!BG20&lt;='Reeksen (N)'!AE20,M20*'Reeksen (N)'!C20,0)))</f>
        <v>0</v>
      </c>
      <c r="O20" s="86">
        <f ca="1">IF(E20='Invoer gegevens (N)'!$C$17+'Invoer gegevens (N)'!$I$14,P19,IF(C20&lt;1,0,IF('Reeksen (N)'!BG20&gt;'Reeksen (N)'!AE20,M20*'Reeksen (N)'!C20,0)))</f>
        <v>0</v>
      </c>
      <c r="P20" s="86">
        <f ca="1">IF(E20&gt;='Invoer gegevens (N)'!$C$17+'Invoer gegevens (N)'!$I$14,0,M20-N20-O20)</f>
        <v>0</v>
      </c>
      <c r="Q20" s="82">
        <f ca="1">IF('Invoer gegevens (N)'!$C$17=E20,I20,IF(C20=0,0,R19))</f>
        <v>0</v>
      </c>
      <c r="R20" s="84">
        <f t="shared" ca="1" si="0"/>
        <v>0</v>
      </c>
      <c r="S20" s="84">
        <f ca="1">IF('Invoer gegevens (N)'!$C$17=E20,M20,IF(C20=0,0,T19))</f>
        <v>0</v>
      </c>
      <c r="T20" s="84">
        <f t="shared" ca="1" si="1"/>
        <v>0</v>
      </c>
      <c r="AH20" s="70"/>
      <c r="AI20" s="71">
        <f ca="1">IF(C20=1,((F20+H20)/2*'Reeksen (N)'!BF20*12)+(('Invoer gegevens (N)'!$C$10-(F20+H20)/2)*'Reeksen (N)'!BG20*12),0)</f>
        <v>0</v>
      </c>
      <c r="AJ20" s="71">
        <f ca="1">-AI20*'Invoer gegevens (N)'!$I$26</f>
        <v>0</v>
      </c>
      <c r="AK20" s="71">
        <f t="shared" ca="1" si="2"/>
        <v>0</v>
      </c>
      <c r="AL20" s="71">
        <f ca="1">IF(C20=1,(12*((F20+H20)/2)*'Reeksen (N)'!AL20)+(12*('Invoer gegevens (N)'!$C$10-(F20+H20)/2)*'Reeksen (N)'!AM20),0)</f>
        <v>0</v>
      </c>
      <c r="AM20" s="71">
        <f ca="1">-AL20*'Invoer gegevens (N)'!$F$31</f>
        <v>0</v>
      </c>
      <c r="AN20" s="71">
        <f t="shared" ca="1" si="3"/>
        <v>0</v>
      </c>
      <c r="AO20" s="71"/>
      <c r="AP20" s="71"/>
      <c r="AQ20" s="71">
        <f ca="1">-IF(C20=1,('Invoer gegevens (N)'!$C$10*'Invoer gegevens (N)'!$I$33)*'Reeksen (N)'!J20,0)</f>
        <v>0</v>
      </c>
      <c r="AR20" s="71">
        <f ca="1">-IF(C20=1,(G20*'Invoer gegevens (N)'!$I$34)*'Reeksen (N)'!J20,0)</f>
        <v>0</v>
      </c>
      <c r="AS20" s="71">
        <f ca="1">-IF(C20=1,'Invoer gegevens (N)'!$C$10*'Invoer gegevens (N)'!$I$35*'Reeksen (N)'!L20,0)</f>
        <v>0</v>
      </c>
      <c r="AT20" s="71">
        <f ca="1">-IF(C20=1,IF(E20='Invoer gegevens (N)'!$C$17,'Invoer gegevens (N)'!$C$11,Q20)*'Reeksen (N)'!S20*'Invoer gegevens (N)'!$C$18*'Reeksen (N)'!P20,0)</f>
        <v>0</v>
      </c>
      <c r="AU20" s="71">
        <f ca="1">-IF(C20=1,'Invoer gegevens (N)'!$C$10*'Invoer gegevens (N)'!$I$36*'Reeksen (N)'!H20,0)</f>
        <v>0</v>
      </c>
      <c r="AV20" s="71">
        <f t="shared" ca="1" si="4"/>
        <v>0</v>
      </c>
      <c r="AW20" s="72">
        <f ca="1">IFERROR(IF(E20='Invoer gegevens (N)'!$C$17+'Invoer gegevens (N)'!$I$14-1,'Invoer gegevens (N)'!$I$13*'Invoer gegevens (N)'!$C$10*'Reeksen (N)'!H20,0),0)</f>
        <v>0</v>
      </c>
      <c r="AX20" s="72">
        <f ca="1">IFERROR(IF(E20='Invoer gegevens (N)'!$C$17,-'Invoer gegevens (N)'!$C$10*'Invoer gegevens (N)'!$C$31*'Reeksen (N)'!H20,0),0)</f>
        <v>0</v>
      </c>
      <c r="AY20" s="73">
        <f ca="1">IF('Invoer gegevens (N)'!$C$34=E20,'Invoer gegevens (N)'!$C$27*'Invoer gegevens (N)'!$C$10*'Invoer gegevens (N)'!$C$36*(IF('Invoer gegevens (N)'!$C$35="ja",1,'Reeksen (N)'!J20)),IF('Invoer gegevens (N)'!$C$34+1=E20,'Invoer gegevens (N)'!$C$27*'Invoer gegevens (N)'!$C$10*'Invoer gegevens (N)'!$C$37*(IF('Invoer gegevens (N)'!$C$35="ja",1,'Reeksen (N)'!J20)),0))+IF(AND(E20='Invoer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0" s="73">
        <f ca="1">AV20/(1+'Invoer gegevens (N)'!$I$12)^($D20-('Invoer gegevens (N)'!$C$17-'Invoer gegevens (N)'!$C$16))/(1+'Invoer gegevens (N)'!$C$39)^('Invoer gegevens (N)'!$C$17-'Invoer gegevens (N)'!$C$16)</f>
        <v>0</v>
      </c>
      <c r="BA20" s="73">
        <f ca="1">AW20/(1+'Invoer gegevens (N)'!$I$12)^(E20-('Invoer gegevens (N)'!$C$17-1))/(1+'Invoer gegevens (N)'!$C$39)^('Invoer gegevens (N)'!$C$17-'Invoer gegevens (N)'!$C$16)</f>
        <v>0</v>
      </c>
      <c r="BB20" s="73">
        <f ca="1">AX20/(1+'Invoer gegevens (N)'!$C$39)^('Invoer gegevens (N)'!$C$17-'Invoer gegevens (N)'!$C$16)</f>
        <v>0</v>
      </c>
      <c r="BC20" s="72">
        <f t="shared" ca="1" si="5"/>
        <v>0</v>
      </c>
      <c r="BD20" s="72">
        <f ca="1">IF(AND(E20='Invoer gegevens (N)'!$C$16,'Invoer gegevens (N)'!$C$34&lt;'Invoer gegevens (N)'!$C$16),AY20,AY20/(1+'Invoer gegevens (N)'!$C$39)^D20)</f>
        <v>0</v>
      </c>
      <c r="BE20" s="72">
        <f ca="1">IF(E20='Invoer gegevens (N)'!$C$34,-'Invoer gegevens (N)'!$I$38,0)</f>
        <v>0</v>
      </c>
      <c r="BF20" s="72">
        <f ca="1">IF(E20='Invoer gegevens (N)'!$C$17,-'Invoer gegevens (N)'!$C$19*$BC$66,0)</f>
        <v>0</v>
      </c>
      <c r="BG20" s="72">
        <f ca="1">AV20/(1+$BG$4)^($D20-('Invoer gegevens (N)'!$C$17-'Invoer gegevens (N)'!$C$16))/(1+'Invoer gegevens (N)'!$C$39)^('Invoer gegevens (N)'!$C$17-'Invoer gegevens (N)'!$C$16)+AW20/(1+$BG$4)^(E20-('Invoer gegevens (N)'!$C$17-1))/(1+'Invoer gegevens (N)'!$C$39)^('Invoer gegevens (N)'!$C$17-'Invoer gegevens (N)'!$C$16)+AX20/(1+'Invoer gegevens (N)'!$C$39)^('Invoer gegevens (N)'!$C$17-'Invoer gegevens (N)'!$C$16)+(-AY20/(1+'Invoer gegevens (N)'!$C$39)^D20)+BE20+BF20</f>
        <v>0</v>
      </c>
      <c r="BH20" s="59"/>
      <c r="BJ20" s="214"/>
    </row>
    <row r="21" spans="1:68" x14ac:dyDescent="0.25">
      <c r="A21" s="59"/>
      <c r="B21" s="70">
        <f t="shared" si="6"/>
        <v>17</v>
      </c>
      <c r="C21" s="67">
        <f ca="1">IF(AND(E21&gt;='Invoer gegevens (N)'!$C$17,E21&lt;'Invoer gegevens (N)'!$C$17+'Invoer gegevens (N)'!$I$14),1,0)</f>
        <v>1</v>
      </c>
      <c r="D21" s="68">
        <f t="shared" si="7"/>
        <v>16.5</v>
      </c>
      <c r="E21" s="69">
        <f ca="1">IF('Invoer gegevens (N)'!$C$16="","",E20+1)</f>
        <v>2035</v>
      </c>
      <c r="F21" s="82">
        <f ca="1">IF('Invoer gegevens (N)'!$C$17=E21,'Invoer gegevens (N)'!$C$10,IF(C21=1,H20,0))</f>
        <v>0</v>
      </c>
      <c r="G21" s="83">
        <f ca="1">IF(E21='Invoer gegevens (N)'!$C$17+'Invoer gegevens (N)'!$I$14,H20,IF(C21&gt;=1,F21*'Reeksen (N)'!C21,0))</f>
        <v>0</v>
      </c>
      <c r="H21" s="84">
        <f ca="1">IF(E21&gt;='Invoer gegevens (N)'!$C$17+'Invoer gegevens (N)'!$I$14,0,F21-G21)</f>
        <v>0</v>
      </c>
      <c r="I21" s="85">
        <f ca="1">IF('Invoer gegevens (N)'!$C$17=E21,'Invoer gegevens (N)'!$C$11,IF(C21=1,L20,0))</f>
        <v>0</v>
      </c>
      <c r="J21" s="86">
        <f ca="1">IF(E21='Invoer gegevens (N)'!$C$17+'Invoer gegevens (N)'!$I$14,L20,IF(C21&lt;1,0,IF('Reeksen (N)'!BG21&lt;='Reeksen (N)'!AE21,I21*'Reeksen (N)'!C21,0)))</f>
        <v>0</v>
      </c>
      <c r="K21" s="86">
        <f ca="1">IF(E21='Invoer gegevens (N)'!$C$17+'Invoer gegevens (N)'!$I$14,L20,IF(C21&lt;1,0,IF('Reeksen (N)'!BG21&gt;'Reeksen (N)'!AE21,I21*'Reeksen (N)'!C21,0)))</f>
        <v>0</v>
      </c>
      <c r="L21" s="86">
        <f ca="1">IF(E21&gt;='Invoer gegevens (N)'!$C$17+'Invoer gegevens (N)'!$I$14,0,I21-J21-K21)</f>
        <v>0</v>
      </c>
      <c r="M21" s="85">
        <f ca="1">IF('Invoer gegevens (N)'!$C$17=E21,'Invoer gegevens (N)'!$C$10-'Invoer gegevens (N)'!$C$11,IF(C21=1,P20,0))</f>
        <v>0</v>
      </c>
      <c r="N21" s="86">
        <f ca="1">IF(E21='Invoer gegevens (N)'!$C$17+'Invoer gegevens (N)'!$I$14,P20,IF(C21&lt;1,0,IF('Reeksen (N)'!BG21&lt;='Reeksen (N)'!AE21,M21*'Reeksen (N)'!C21,0)))</f>
        <v>0</v>
      </c>
      <c r="O21" s="86">
        <f ca="1">IF(E21='Invoer gegevens (N)'!$C$17+'Invoer gegevens (N)'!$I$14,P20,IF(C21&lt;1,0,IF('Reeksen (N)'!BG21&gt;'Reeksen (N)'!AE21,M21*'Reeksen (N)'!C21,0)))</f>
        <v>0</v>
      </c>
      <c r="P21" s="86">
        <f ca="1">IF(E21&gt;='Invoer gegevens (N)'!$C$17+'Invoer gegevens (N)'!$I$14,0,M21-N21-O21)</f>
        <v>0</v>
      </c>
      <c r="Q21" s="82">
        <f ca="1">IF('Invoer gegevens (N)'!$C$17=E21,I21,IF(C21=0,0,R20))</f>
        <v>0</v>
      </c>
      <c r="R21" s="84">
        <f t="shared" ca="1" si="0"/>
        <v>0</v>
      </c>
      <c r="S21" s="84">
        <f ca="1">IF('Invoer gegevens (N)'!$C$17=E21,M21,IF(C21=0,0,T20))</f>
        <v>0</v>
      </c>
      <c r="T21" s="84">
        <f t="shared" ca="1" si="1"/>
        <v>0</v>
      </c>
      <c r="AH21" s="70"/>
      <c r="AI21" s="71">
        <f ca="1">IF(C21=1,((F21+H21)/2*'Reeksen (N)'!BF21*12)+(('Invoer gegevens (N)'!$C$10-(F21+H21)/2)*'Reeksen (N)'!BG21*12),0)</f>
        <v>0</v>
      </c>
      <c r="AJ21" s="71">
        <f ca="1">-AI21*'Invoer gegevens (N)'!$I$26</f>
        <v>0</v>
      </c>
      <c r="AK21" s="71">
        <f t="shared" ca="1" si="2"/>
        <v>0</v>
      </c>
      <c r="AL21" s="71">
        <f ca="1">IF(C21=1,(12*((F21+H21)/2)*'Reeksen (N)'!AL21)+(12*('Invoer gegevens (N)'!$C$10-(F21+H21)/2)*'Reeksen (N)'!AM21),0)</f>
        <v>0</v>
      </c>
      <c r="AM21" s="71">
        <f ca="1">-AL21*'Invoer gegevens (N)'!$F$31</f>
        <v>0</v>
      </c>
      <c r="AN21" s="71">
        <f t="shared" ca="1" si="3"/>
        <v>0</v>
      </c>
      <c r="AO21" s="71"/>
      <c r="AP21" s="71"/>
      <c r="AQ21" s="71">
        <f ca="1">-IF(C21=1,('Invoer gegevens (N)'!$C$10*'Invoer gegevens (N)'!$I$33)*'Reeksen (N)'!J21,0)</f>
        <v>0</v>
      </c>
      <c r="AR21" s="71">
        <f ca="1">-IF(C21=1,(G21*'Invoer gegevens (N)'!$I$34)*'Reeksen (N)'!J21,0)</f>
        <v>0</v>
      </c>
      <c r="AS21" s="71">
        <f ca="1">-IF(C21=1,'Invoer gegevens (N)'!$C$10*'Invoer gegevens (N)'!$I$35*'Reeksen (N)'!L21,0)</f>
        <v>0</v>
      </c>
      <c r="AT21" s="71">
        <f ca="1">-IF(C21=1,IF(E21='Invoer gegevens (N)'!$C$17,'Invoer gegevens (N)'!$C$11,Q21)*'Reeksen (N)'!S21*'Invoer gegevens (N)'!$C$18*'Reeksen (N)'!P21,0)</f>
        <v>0</v>
      </c>
      <c r="AU21" s="71">
        <f ca="1">-IF(C21=1,'Invoer gegevens (N)'!$C$10*'Invoer gegevens (N)'!$I$36*'Reeksen (N)'!H21,0)</f>
        <v>0</v>
      </c>
      <c r="AV21" s="71">
        <f t="shared" ca="1" si="4"/>
        <v>0</v>
      </c>
      <c r="AW21" s="72">
        <f ca="1">IFERROR(IF(E21='Invoer gegevens (N)'!$C$17+'Invoer gegevens (N)'!$I$14-1,'Invoer gegevens (N)'!$I$13*'Invoer gegevens (N)'!$C$10*'Reeksen (N)'!H21,0),0)</f>
        <v>0</v>
      </c>
      <c r="AX21" s="72">
        <f ca="1">IFERROR(IF(E21='Invoer gegevens (N)'!$C$17,-'Invoer gegevens (N)'!$C$10*'Invoer gegevens (N)'!$C$31*'Reeksen (N)'!H21,0),0)</f>
        <v>0</v>
      </c>
      <c r="AY21" s="73">
        <f ca="1">IF('Invoer gegevens (N)'!$C$34=E21,'Invoer gegevens (N)'!$C$27*'Invoer gegevens (N)'!$C$10*'Invoer gegevens (N)'!$C$36*(IF('Invoer gegevens (N)'!$C$35="ja",1,'Reeksen (N)'!J21)),IF('Invoer gegevens (N)'!$C$34+1=E21,'Invoer gegevens (N)'!$C$27*'Invoer gegevens (N)'!$C$10*'Invoer gegevens (N)'!$C$37*(IF('Invoer gegevens (N)'!$C$35="ja",1,'Reeksen (N)'!J21)),0))+IF(AND(E21='Invoer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1" s="73">
        <f ca="1">AV21/(1+'Invoer gegevens (N)'!$I$12)^($D21-('Invoer gegevens (N)'!$C$17-'Invoer gegevens (N)'!$C$16))/(1+'Invoer gegevens (N)'!$C$39)^('Invoer gegevens (N)'!$C$17-'Invoer gegevens (N)'!$C$16)</f>
        <v>0</v>
      </c>
      <c r="BA21" s="73">
        <f ca="1">AW21/(1+'Invoer gegevens (N)'!$I$12)^(E21-('Invoer gegevens (N)'!$C$17-1))/(1+'Invoer gegevens (N)'!$C$39)^('Invoer gegevens (N)'!$C$17-'Invoer gegevens (N)'!$C$16)</f>
        <v>0</v>
      </c>
      <c r="BB21" s="73">
        <f ca="1">AX21/(1+'Invoer gegevens (N)'!$C$39)^('Invoer gegevens (N)'!$C$17-'Invoer gegevens (N)'!$C$16)</f>
        <v>0</v>
      </c>
      <c r="BC21" s="72">
        <f t="shared" ca="1" si="5"/>
        <v>0</v>
      </c>
      <c r="BD21" s="72">
        <f ca="1">IF(AND(E21='Invoer gegevens (N)'!$C$16,'Invoer gegevens (N)'!$C$34&lt;'Invoer gegevens (N)'!$C$16),AY21,AY21/(1+'Invoer gegevens (N)'!$C$39)^D21)</f>
        <v>0</v>
      </c>
      <c r="BE21" s="72">
        <f ca="1">IF(E21='Invoer gegevens (N)'!$C$34,-'Invoer gegevens (N)'!$I$38,0)</f>
        <v>0</v>
      </c>
      <c r="BF21" s="72">
        <f ca="1">IF(E21='Invoer gegevens (N)'!$C$17,-'Invoer gegevens (N)'!$C$19*$BC$66,0)</f>
        <v>0</v>
      </c>
      <c r="BG21" s="72">
        <f ca="1">AV21/(1+$BG$4)^($D21-('Invoer gegevens (N)'!$C$17-'Invoer gegevens (N)'!$C$16))/(1+'Invoer gegevens (N)'!$C$39)^('Invoer gegevens (N)'!$C$17-'Invoer gegevens (N)'!$C$16)+AW21/(1+$BG$4)^(E21-('Invoer gegevens (N)'!$C$17-1))/(1+'Invoer gegevens (N)'!$C$39)^('Invoer gegevens (N)'!$C$17-'Invoer gegevens (N)'!$C$16)+AX21/(1+'Invoer gegevens (N)'!$C$39)^('Invoer gegevens (N)'!$C$17-'Invoer gegevens (N)'!$C$16)+(-AY21/(1+'Invoer gegevens (N)'!$C$39)^D21)+BE21+BF21</f>
        <v>0</v>
      </c>
      <c r="BH21" s="59"/>
      <c r="BJ21" s="214"/>
    </row>
    <row r="22" spans="1:68" x14ac:dyDescent="0.25">
      <c r="A22" s="59"/>
      <c r="B22" s="70">
        <f t="shared" si="6"/>
        <v>18</v>
      </c>
      <c r="C22" s="67">
        <f ca="1">IF(AND(E22&gt;='Invoer gegevens (N)'!$C$17,E22&lt;'Invoer gegevens (N)'!$C$17+'Invoer gegevens (N)'!$I$14),1,0)</f>
        <v>1</v>
      </c>
      <c r="D22" s="68">
        <f t="shared" si="7"/>
        <v>17.5</v>
      </c>
      <c r="E22" s="69">
        <f ca="1">IF('Invoer gegevens (N)'!$C$16="","",E21+1)</f>
        <v>2036</v>
      </c>
      <c r="F22" s="82">
        <f ca="1">IF('Invoer gegevens (N)'!$C$17=E22,'Invoer gegevens (N)'!$C$10,IF(C22=1,H21,0))</f>
        <v>0</v>
      </c>
      <c r="G22" s="83">
        <f ca="1">IF(E22='Invoer gegevens (N)'!$C$17+'Invoer gegevens (N)'!$I$14,H21,IF(C22&gt;=1,F22*'Reeksen (N)'!C22,0))</f>
        <v>0</v>
      </c>
      <c r="H22" s="84">
        <f ca="1">IF(E22&gt;='Invoer gegevens (N)'!$C$17+'Invoer gegevens (N)'!$I$14,0,F22-G22)</f>
        <v>0</v>
      </c>
      <c r="I22" s="85">
        <f ca="1">IF('Invoer gegevens (N)'!$C$17=E22,'Invoer gegevens (N)'!$C$11,IF(C22=1,L21,0))</f>
        <v>0</v>
      </c>
      <c r="J22" s="86">
        <f ca="1">IF(E22='Invoer gegevens (N)'!$C$17+'Invoer gegevens (N)'!$I$14,L21,IF(C22&lt;1,0,IF('Reeksen (N)'!BG22&lt;='Reeksen (N)'!AE22,I22*'Reeksen (N)'!C22,0)))</f>
        <v>0</v>
      </c>
      <c r="K22" s="86">
        <f ca="1">IF(E22='Invoer gegevens (N)'!$C$17+'Invoer gegevens (N)'!$I$14,L21,IF(C22&lt;1,0,IF('Reeksen (N)'!BG22&gt;'Reeksen (N)'!AE22,I22*'Reeksen (N)'!C22,0)))</f>
        <v>0</v>
      </c>
      <c r="L22" s="86">
        <f ca="1">IF(E22&gt;='Invoer gegevens (N)'!$C$17+'Invoer gegevens (N)'!$I$14,0,I22-J22-K22)</f>
        <v>0</v>
      </c>
      <c r="M22" s="85">
        <f ca="1">IF('Invoer gegevens (N)'!$C$17=E22,'Invoer gegevens (N)'!$C$10-'Invoer gegevens (N)'!$C$11,IF(C22=1,P21,0))</f>
        <v>0</v>
      </c>
      <c r="N22" s="86">
        <f ca="1">IF(E22='Invoer gegevens (N)'!$C$17+'Invoer gegevens (N)'!$I$14,P21,IF(C22&lt;1,0,IF('Reeksen (N)'!BG22&lt;='Reeksen (N)'!AE22,M22*'Reeksen (N)'!C22,0)))</f>
        <v>0</v>
      </c>
      <c r="O22" s="86">
        <f ca="1">IF(E22='Invoer gegevens (N)'!$C$17+'Invoer gegevens (N)'!$I$14,P21,IF(C22&lt;1,0,IF('Reeksen (N)'!BG22&gt;'Reeksen (N)'!AE22,M22*'Reeksen (N)'!C22,0)))</f>
        <v>0</v>
      </c>
      <c r="P22" s="86">
        <f ca="1">IF(E22&gt;='Invoer gegevens (N)'!$C$17+'Invoer gegevens (N)'!$I$14,0,M22-N22-O22)</f>
        <v>0</v>
      </c>
      <c r="Q22" s="82">
        <f ca="1">IF('Invoer gegevens (N)'!$C$17=E22,I22,IF(C22=0,0,R21))</f>
        <v>0</v>
      </c>
      <c r="R22" s="84">
        <f t="shared" ca="1" si="0"/>
        <v>0</v>
      </c>
      <c r="S22" s="84">
        <f ca="1">IF('Invoer gegevens (N)'!$C$17=E22,M22,IF(C22=0,0,T21))</f>
        <v>0</v>
      </c>
      <c r="T22" s="84">
        <f t="shared" ca="1" si="1"/>
        <v>0</v>
      </c>
      <c r="AH22" s="70"/>
      <c r="AI22" s="71">
        <f ca="1">IF(C22=1,((F22+H22)/2*'Reeksen (N)'!BF22*12)+(('Invoer gegevens (N)'!$C$10-(F22+H22)/2)*'Reeksen (N)'!BG22*12),0)</f>
        <v>0</v>
      </c>
      <c r="AJ22" s="71">
        <f ca="1">-AI22*'Invoer gegevens (N)'!$I$26</f>
        <v>0</v>
      </c>
      <c r="AK22" s="71">
        <f t="shared" ca="1" si="2"/>
        <v>0</v>
      </c>
      <c r="AL22" s="71">
        <f ca="1">IF(C22=1,(12*((F22+H22)/2)*'Reeksen (N)'!AL22)+(12*('Invoer gegevens (N)'!$C$10-(F22+H22)/2)*'Reeksen (N)'!AM22),0)</f>
        <v>0</v>
      </c>
      <c r="AM22" s="71">
        <f ca="1">-AL22*'Invoer gegevens (N)'!$F$31</f>
        <v>0</v>
      </c>
      <c r="AN22" s="71">
        <f t="shared" ca="1" si="3"/>
        <v>0</v>
      </c>
      <c r="AO22" s="71"/>
      <c r="AP22" s="71"/>
      <c r="AQ22" s="71">
        <f ca="1">-IF(C22=1,('Invoer gegevens (N)'!$C$10*'Invoer gegevens (N)'!$I$33)*'Reeksen (N)'!J22,0)</f>
        <v>0</v>
      </c>
      <c r="AR22" s="71">
        <f ca="1">-IF(C22=1,(G22*'Invoer gegevens (N)'!$I$34)*'Reeksen (N)'!J22,0)</f>
        <v>0</v>
      </c>
      <c r="AS22" s="71">
        <f ca="1">-IF(C22=1,'Invoer gegevens (N)'!$C$10*'Invoer gegevens (N)'!$I$35*'Reeksen (N)'!L22,0)</f>
        <v>0</v>
      </c>
      <c r="AT22" s="71">
        <f ca="1">-IF(C22=1,IF(E22='Invoer gegevens (N)'!$C$17,'Invoer gegevens (N)'!$C$11,Q22)*'Reeksen (N)'!S22*'Invoer gegevens (N)'!$C$18*'Reeksen (N)'!P22,0)</f>
        <v>0</v>
      </c>
      <c r="AU22" s="71">
        <f ca="1">-IF(C22=1,'Invoer gegevens (N)'!$C$10*'Invoer gegevens (N)'!$I$36*'Reeksen (N)'!H22,0)</f>
        <v>0</v>
      </c>
      <c r="AV22" s="71">
        <f t="shared" ca="1" si="4"/>
        <v>0</v>
      </c>
      <c r="AW22" s="72">
        <f ca="1">IFERROR(IF(E22='Invoer gegevens (N)'!$C$17+'Invoer gegevens (N)'!$I$14-1,'Invoer gegevens (N)'!$I$13*'Invoer gegevens (N)'!$C$10*'Reeksen (N)'!H22,0),0)</f>
        <v>0</v>
      </c>
      <c r="AX22" s="72">
        <f ca="1">IFERROR(IF(E22='Invoer gegevens (N)'!$C$17,-'Invoer gegevens (N)'!$C$10*'Invoer gegevens (N)'!$C$31*'Reeksen (N)'!H22,0),0)</f>
        <v>0</v>
      </c>
      <c r="AY22" s="73">
        <f ca="1">IF('Invoer gegevens (N)'!$C$34=E22,'Invoer gegevens (N)'!$C$27*'Invoer gegevens (N)'!$C$10*'Invoer gegevens (N)'!$C$36*(IF('Invoer gegevens (N)'!$C$35="ja",1,'Reeksen (N)'!J22)),IF('Invoer gegevens (N)'!$C$34+1=E22,'Invoer gegevens (N)'!$C$27*'Invoer gegevens (N)'!$C$10*'Invoer gegevens (N)'!$C$37*(IF('Invoer gegevens (N)'!$C$35="ja",1,'Reeksen (N)'!J22)),0))+IF(AND(E22='Invoer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2" s="73">
        <f ca="1">AV22/(1+'Invoer gegevens (N)'!$I$12)^($D22-('Invoer gegevens (N)'!$C$17-'Invoer gegevens (N)'!$C$16))/(1+'Invoer gegevens (N)'!$C$39)^('Invoer gegevens (N)'!$C$17-'Invoer gegevens (N)'!$C$16)</f>
        <v>0</v>
      </c>
      <c r="BA22" s="73">
        <f ca="1">AW22/(1+'Invoer gegevens (N)'!$I$12)^(E22-('Invoer gegevens (N)'!$C$17-1))/(1+'Invoer gegevens (N)'!$C$39)^('Invoer gegevens (N)'!$C$17-'Invoer gegevens (N)'!$C$16)</f>
        <v>0</v>
      </c>
      <c r="BB22" s="73">
        <f ca="1">AX22/(1+'Invoer gegevens (N)'!$C$39)^('Invoer gegevens (N)'!$C$17-'Invoer gegevens (N)'!$C$16)</f>
        <v>0</v>
      </c>
      <c r="BC22" s="72">
        <f t="shared" ca="1" si="5"/>
        <v>0</v>
      </c>
      <c r="BD22" s="72">
        <f ca="1">IF(AND(E22='Invoer gegevens (N)'!$C$16,'Invoer gegevens (N)'!$C$34&lt;'Invoer gegevens (N)'!$C$16),AY22,AY22/(1+'Invoer gegevens (N)'!$C$39)^D22)</f>
        <v>0</v>
      </c>
      <c r="BE22" s="72">
        <f ca="1">IF(E22='Invoer gegevens (N)'!$C$34,-'Invoer gegevens (N)'!$I$38,0)</f>
        <v>0</v>
      </c>
      <c r="BF22" s="72">
        <f ca="1">IF(E22='Invoer gegevens (N)'!$C$17,-'Invoer gegevens (N)'!$C$19*$BC$66,0)</f>
        <v>0</v>
      </c>
      <c r="BG22" s="72">
        <f ca="1">AV22/(1+$BG$4)^($D22-('Invoer gegevens (N)'!$C$17-'Invoer gegevens (N)'!$C$16))/(1+'Invoer gegevens (N)'!$C$39)^('Invoer gegevens (N)'!$C$17-'Invoer gegevens (N)'!$C$16)+AW22/(1+$BG$4)^(E22-('Invoer gegevens (N)'!$C$17-1))/(1+'Invoer gegevens (N)'!$C$39)^('Invoer gegevens (N)'!$C$17-'Invoer gegevens (N)'!$C$16)+AX22/(1+'Invoer gegevens (N)'!$C$39)^('Invoer gegevens (N)'!$C$17-'Invoer gegevens (N)'!$C$16)+(-AY22/(1+'Invoer gegevens (N)'!$C$39)^D22)+BE22+BF22</f>
        <v>0</v>
      </c>
      <c r="BH22" s="59"/>
      <c r="BJ22" s="214"/>
    </row>
    <row r="23" spans="1:68" x14ac:dyDescent="0.25">
      <c r="A23" s="59"/>
      <c r="B23" s="70">
        <f t="shared" si="6"/>
        <v>19</v>
      </c>
      <c r="C23" s="67">
        <f ca="1">IF(AND(E23&gt;='Invoer gegevens (N)'!$C$17,E23&lt;'Invoer gegevens (N)'!$C$17+'Invoer gegevens (N)'!$I$14),1,0)</f>
        <v>1</v>
      </c>
      <c r="D23" s="68">
        <f t="shared" si="7"/>
        <v>18.5</v>
      </c>
      <c r="E23" s="69">
        <f ca="1">IF('Invoer gegevens (N)'!$C$16="","",E22+1)</f>
        <v>2037</v>
      </c>
      <c r="F23" s="82">
        <f ca="1">IF('Invoer gegevens (N)'!$C$17=E23,'Invoer gegevens (N)'!$C$10,IF(C23=1,H22,0))</f>
        <v>0</v>
      </c>
      <c r="G23" s="83">
        <f ca="1">IF(E23='Invoer gegevens (N)'!$C$17+'Invoer gegevens (N)'!$I$14,H22,IF(C23&gt;=1,F23*'Reeksen (N)'!C23,0))</f>
        <v>0</v>
      </c>
      <c r="H23" s="84">
        <f ca="1">IF(E23&gt;='Invoer gegevens (N)'!$C$17+'Invoer gegevens (N)'!$I$14,0,F23-G23)</f>
        <v>0</v>
      </c>
      <c r="I23" s="85">
        <f ca="1">IF('Invoer gegevens (N)'!$C$17=E23,'Invoer gegevens (N)'!$C$11,IF(C23=1,L22,0))</f>
        <v>0</v>
      </c>
      <c r="J23" s="86">
        <f ca="1">IF(E23='Invoer gegevens (N)'!$C$17+'Invoer gegevens (N)'!$I$14,L22,IF(C23&lt;1,0,IF('Reeksen (N)'!BG23&lt;='Reeksen (N)'!AE23,I23*'Reeksen (N)'!C23,0)))</f>
        <v>0</v>
      </c>
      <c r="K23" s="86">
        <f ca="1">IF(E23='Invoer gegevens (N)'!$C$17+'Invoer gegevens (N)'!$I$14,L22,IF(C23&lt;1,0,IF('Reeksen (N)'!BG23&gt;'Reeksen (N)'!AE23,I23*'Reeksen (N)'!C23,0)))</f>
        <v>0</v>
      </c>
      <c r="L23" s="86">
        <f ca="1">IF(E23&gt;='Invoer gegevens (N)'!$C$17+'Invoer gegevens (N)'!$I$14,0,I23-J23-K23)</f>
        <v>0</v>
      </c>
      <c r="M23" s="85">
        <f ca="1">IF('Invoer gegevens (N)'!$C$17=E23,'Invoer gegevens (N)'!$C$10-'Invoer gegevens (N)'!$C$11,IF(C23=1,P22,0))</f>
        <v>0</v>
      </c>
      <c r="N23" s="86">
        <f ca="1">IF(E23='Invoer gegevens (N)'!$C$17+'Invoer gegevens (N)'!$I$14,P22,IF(C23&lt;1,0,IF('Reeksen (N)'!BG23&lt;='Reeksen (N)'!AE23,M23*'Reeksen (N)'!C23,0)))</f>
        <v>0</v>
      </c>
      <c r="O23" s="86">
        <f ca="1">IF(E23='Invoer gegevens (N)'!$C$17+'Invoer gegevens (N)'!$I$14,P22,IF(C23&lt;1,0,IF('Reeksen (N)'!BG23&gt;'Reeksen (N)'!AE23,M23*'Reeksen (N)'!C23,0)))</f>
        <v>0</v>
      </c>
      <c r="P23" s="86">
        <f ca="1">IF(E23&gt;='Invoer gegevens (N)'!$C$17+'Invoer gegevens (N)'!$I$14,0,M23-N23-O23)</f>
        <v>0</v>
      </c>
      <c r="Q23" s="82">
        <f ca="1">IF('Invoer gegevens (N)'!$C$17=E23,I23,IF(C23=0,0,R22))</f>
        <v>0</v>
      </c>
      <c r="R23" s="84">
        <f t="shared" ca="1" si="0"/>
        <v>0</v>
      </c>
      <c r="S23" s="84">
        <f ca="1">IF('Invoer gegevens (N)'!$C$17=E23,M23,IF(C23=0,0,T22))</f>
        <v>0</v>
      </c>
      <c r="T23" s="84">
        <f t="shared" ca="1" si="1"/>
        <v>0</v>
      </c>
      <c r="AH23" s="70"/>
      <c r="AI23" s="71">
        <f ca="1">IF(C23=1,((F23+H23)/2*'Reeksen (N)'!BF23*12)+(('Invoer gegevens (N)'!$C$10-(F23+H23)/2)*'Reeksen (N)'!BG23*12),0)</f>
        <v>0</v>
      </c>
      <c r="AJ23" s="71">
        <f ca="1">-AI23*'Invoer gegevens (N)'!$I$26</f>
        <v>0</v>
      </c>
      <c r="AK23" s="71">
        <f t="shared" ca="1" si="2"/>
        <v>0</v>
      </c>
      <c r="AL23" s="71">
        <f ca="1">IF(C23=1,(12*((F23+H23)/2)*'Reeksen (N)'!AL23)+(12*('Invoer gegevens (N)'!$C$10-(F23+H23)/2)*'Reeksen (N)'!AM23),0)</f>
        <v>0</v>
      </c>
      <c r="AM23" s="71">
        <f ca="1">-AL23*'Invoer gegevens (N)'!$F$31</f>
        <v>0</v>
      </c>
      <c r="AN23" s="71">
        <f t="shared" ca="1" si="3"/>
        <v>0</v>
      </c>
      <c r="AO23" s="71"/>
      <c r="AP23" s="71"/>
      <c r="AQ23" s="71">
        <f ca="1">-IF(C23=1,('Invoer gegevens (N)'!$C$10*'Invoer gegevens (N)'!$I$33)*'Reeksen (N)'!J23,0)</f>
        <v>0</v>
      </c>
      <c r="AR23" s="71">
        <f ca="1">-IF(C23=1,(G23*'Invoer gegevens (N)'!$I$34)*'Reeksen (N)'!J23,0)</f>
        <v>0</v>
      </c>
      <c r="AS23" s="71">
        <f ca="1">-IF(C23=1,'Invoer gegevens (N)'!$C$10*'Invoer gegevens (N)'!$I$35*'Reeksen (N)'!L23,0)</f>
        <v>0</v>
      </c>
      <c r="AT23" s="71">
        <f ca="1">-IF(C23=1,IF(E23='Invoer gegevens (N)'!$C$17,'Invoer gegevens (N)'!$C$11,Q23)*'Reeksen (N)'!S23*'Invoer gegevens (N)'!$C$18*'Reeksen (N)'!P23,0)</f>
        <v>0</v>
      </c>
      <c r="AU23" s="71">
        <f ca="1">-IF(C23=1,'Invoer gegevens (N)'!$C$10*'Invoer gegevens (N)'!$I$36*'Reeksen (N)'!H23,0)</f>
        <v>0</v>
      </c>
      <c r="AV23" s="71">
        <f t="shared" ca="1" si="4"/>
        <v>0</v>
      </c>
      <c r="AW23" s="72">
        <f ca="1">IFERROR(IF(E23='Invoer gegevens (N)'!$C$17+'Invoer gegevens (N)'!$I$14-1,'Invoer gegevens (N)'!$I$13*'Invoer gegevens (N)'!$C$10*'Reeksen (N)'!H23,0),0)</f>
        <v>0</v>
      </c>
      <c r="AX23" s="72">
        <f ca="1">IFERROR(IF(E23='Invoer gegevens (N)'!$C$17,-'Invoer gegevens (N)'!$C$10*'Invoer gegevens (N)'!$C$31*'Reeksen (N)'!H23,0),0)</f>
        <v>0</v>
      </c>
      <c r="AY23" s="73">
        <f ca="1">IF('Invoer gegevens (N)'!$C$34=E23,'Invoer gegevens (N)'!$C$27*'Invoer gegevens (N)'!$C$10*'Invoer gegevens (N)'!$C$36*(IF('Invoer gegevens (N)'!$C$35="ja",1,'Reeksen (N)'!J23)),IF('Invoer gegevens (N)'!$C$34+1=E23,'Invoer gegevens (N)'!$C$27*'Invoer gegevens (N)'!$C$10*'Invoer gegevens (N)'!$C$37*(IF('Invoer gegevens (N)'!$C$35="ja",1,'Reeksen (N)'!J23)),0))+IF(AND(E23='Invoer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3" s="73">
        <f ca="1">AV23/(1+'Invoer gegevens (N)'!$I$12)^($D23-('Invoer gegevens (N)'!$C$17-'Invoer gegevens (N)'!$C$16))/(1+'Invoer gegevens (N)'!$C$39)^('Invoer gegevens (N)'!$C$17-'Invoer gegevens (N)'!$C$16)</f>
        <v>0</v>
      </c>
      <c r="BA23" s="73">
        <f ca="1">AW23/(1+'Invoer gegevens (N)'!$I$12)^(E23-('Invoer gegevens (N)'!$C$17-1))/(1+'Invoer gegevens (N)'!$C$39)^('Invoer gegevens (N)'!$C$17-'Invoer gegevens (N)'!$C$16)</f>
        <v>0</v>
      </c>
      <c r="BB23" s="73">
        <f ca="1">AX23/(1+'Invoer gegevens (N)'!$C$39)^('Invoer gegevens (N)'!$C$17-'Invoer gegevens (N)'!$C$16)</f>
        <v>0</v>
      </c>
      <c r="BC23" s="72">
        <f t="shared" ca="1" si="5"/>
        <v>0</v>
      </c>
      <c r="BD23" s="72">
        <f ca="1">IF(AND(E23='Invoer gegevens (N)'!$C$16,'Invoer gegevens (N)'!$C$34&lt;'Invoer gegevens (N)'!$C$16),AY23,AY23/(1+'Invoer gegevens (N)'!$C$39)^D23)</f>
        <v>0</v>
      </c>
      <c r="BE23" s="72">
        <f ca="1">IF(E23='Invoer gegevens (N)'!$C$34,-'Invoer gegevens (N)'!$I$38,0)</f>
        <v>0</v>
      </c>
      <c r="BF23" s="72">
        <f ca="1">IF(E23='Invoer gegevens (N)'!$C$17,-'Invoer gegevens (N)'!$C$19*$BC$66,0)</f>
        <v>0</v>
      </c>
      <c r="BG23" s="72">
        <f ca="1">AV23/(1+$BG$4)^($D23-('Invoer gegevens (N)'!$C$17-'Invoer gegevens (N)'!$C$16))/(1+'Invoer gegevens (N)'!$C$39)^('Invoer gegevens (N)'!$C$17-'Invoer gegevens (N)'!$C$16)+AW23/(1+$BG$4)^(E23-('Invoer gegevens (N)'!$C$17-1))/(1+'Invoer gegevens (N)'!$C$39)^('Invoer gegevens (N)'!$C$17-'Invoer gegevens (N)'!$C$16)+AX23/(1+'Invoer gegevens (N)'!$C$39)^('Invoer gegevens (N)'!$C$17-'Invoer gegevens (N)'!$C$16)+(-AY23/(1+'Invoer gegevens (N)'!$C$39)^D23)+BE23+BF23</f>
        <v>0</v>
      </c>
      <c r="BH23" s="59"/>
      <c r="BJ23" s="214"/>
    </row>
    <row r="24" spans="1:68" x14ac:dyDescent="0.25">
      <c r="A24" s="59"/>
      <c r="B24" s="70">
        <f t="shared" si="6"/>
        <v>20</v>
      </c>
      <c r="C24" s="67">
        <f ca="1">IF(AND(E24&gt;='Invoer gegevens (N)'!$C$17,E24&lt;'Invoer gegevens (N)'!$C$17+'Invoer gegevens (N)'!$I$14),1,0)</f>
        <v>1</v>
      </c>
      <c r="D24" s="68">
        <f t="shared" si="7"/>
        <v>19.5</v>
      </c>
      <c r="E24" s="69">
        <f ca="1">IF('Invoer gegevens (N)'!$C$16="","",E23+1)</f>
        <v>2038</v>
      </c>
      <c r="F24" s="82">
        <f ca="1">IF('Invoer gegevens (N)'!$C$17=E24,'Invoer gegevens (N)'!$C$10,IF(C24=1,H23,0))</f>
        <v>0</v>
      </c>
      <c r="G24" s="83">
        <f ca="1">IF(E24='Invoer gegevens (N)'!$C$17+'Invoer gegevens (N)'!$I$14,H23,IF(C24&gt;=1,F24*'Reeksen (N)'!C24,0))</f>
        <v>0</v>
      </c>
      <c r="H24" s="84">
        <f ca="1">IF(E24&gt;='Invoer gegevens (N)'!$C$17+'Invoer gegevens (N)'!$I$14,0,F24-G24)</f>
        <v>0</v>
      </c>
      <c r="I24" s="85">
        <f ca="1">IF('Invoer gegevens (N)'!$C$17=E24,'Invoer gegevens (N)'!$C$11,IF(C24=1,L23,0))</f>
        <v>0</v>
      </c>
      <c r="J24" s="86">
        <f ca="1">IF(E24='Invoer gegevens (N)'!$C$17+'Invoer gegevens (N)'!$I$14,L23,IF(C24&lt;1,0,IF('Reeksen (N)'!BG24&lt;='Reeksen (N)'!AE24,I24*'Reeksen (N)'!C24,0)))</f>
        <v>0</v>
      </c>
      <c r="K24" s="86">
        <f ca="1">IF(E24='Invoer gegevens (N)'!$C$17+'Invoer gegevens (N)'!$I$14,L23,IF(C24&lt;1,0,IF('Reeksen (N)'!BG24&gt;'Reeksen (N)'!AE24,I24*'Reeksen (N)'!C24,0)))</f>
        <v>0</v>
      </c>
      <c r="L24" s="86">
        <f ca="1">IF(E24&gt;='Invoer gegevens (N)'!$C$17+'Invoer gegevens (N)'!$I$14,0,I24-J24-K24)</f>
        <v>0</v>
      </c>
      <c r="M24" s="85">
        <f ca="1">IF('Invoer gegevens (N)'!$C$17=E24,'Invoer gegevens (N)'!$C$10-'Invoer gegevens (N)'!$C$11,IF(C24=1,P23,0))</f>
        <v>0</v>
      </c>
      <c r="N24" s="86">
        <f ca="1">IF(E24='Invoer gegevens (N)'!$C$17+'Invoer gegevens (N)'!$I$14,P23,IF(C24&lt;1,0,IF('Reeksen (N)'!BG24&lt;='Reeksen (N)'!AE24,M24*'Reeksen (N)'!C24,0)))</f>
        <v>0</v>
      </c>
      <c r="O24" s="86">
        <f ca="1">IF(E24='Invoer gegevens (N)'!$C$17+'Invoer gegevens (N)'!$I$14,P23,IF(C24&lt;1,0,IF('Reeksen (N)'!BG24&gt;'Reeksen (N)'!AE24,M24*'Reeksen (N)'!C24,0)))</f>
        <v>0</v>
      </c>
      <c r="P24" s="86">
        <f ca="1">IF(E24&gt;='Invoer gegevens (N)'!$C$17+'Invoer gegevens (N)'!$I$14,0,M24-N24-O24)</f>
        <v>0</v>
      </c>
      <c r="Q24" s="82">
        <f ca="1">IF('Invoer gegevens (N)'!$C$17=E24,I24,IF(C24=0,0,R23))</f>
        <v>0</v>
      </c>
      <c r="R24" s="84">
        <f t="shared" ca="1" si="0"/>
        <v>0</v>
      </c>
      <c r="S24" s="84">
        <f ca="1">IF('Invoer gegevens (N)'!$C$17=E24,M24,IF(C24=0,0,T23))</f>
        <v>0</v>
      </c>
      <c r="T24" s="84">
        <f t="shared" ca="1" si="1"/>
        <v>0</v>
      </c>
      <c r="AH24" s="70"/>
      <c r="AI24" s="71">
        <f ca="1">IF(C24=1,((F24+H24)/2*'Reeksen (N)'!BF24*12)+(('Invoer gegevens (N)'!$C$10-(F24+H24)/2)*'Reeksen (N)'!BG24*12),0)</f>
        <v>0</v>
      </c>
      <c r="AJ24" s="71">
        <f ca="1">-AI24*'Invoer gegevens (N)'!$I$26</f>
        <v>0</v>
      </c>
      <c r="AK24" s="71">
        <f t="shared" ca="1" si="2"/>
        <v>0</v>
      </c>
      <c r="AL24" s="71">
        <f ca="1">IF(C24=1,(12*((F24+H24)/2)*'Reeksen (N)'!AL24)+(12*('Invoer gegevens (N)'!$C$10-(F24+H24)/2)*'Reeksen (N)'!AM24),0)</f>
        <v>0</v>
      </c>
      <c r="AM24" s="71">
        <f ca="1">-AL24*'Invoer gegevens (N)'!$F$31</f>
        <v>0</v>
      </c>
      <c r="AN24" s="71">
        <f t="shared" ca="1" si="3"/>
        <v>0</v>
      </c>
      <c r="AO24" s="71"/>
      <c r="AP24" s="71"/>
      <c r="AQ24" s="71">
        <f ca="1">-IF(C24=1,('Invoer gegevens (N)'!$C$10*'Invoer gegevens (N)'!$I$33)*'Reeksen (N)'!J24,0)</f>
        <v>0</v>
      </c>
      <c r="AR24" s="71">
        <f ca="1">-IF(C24=1,(G24*'Invoer gegevens (N)'!$I$34)*'Reeksen (N)'!J24,0)</f>
        <v>0</v>
      </c>
      <c r="AS24" s="71">
        <f ca="1">-IF(C24=1,'Invoer gegevens (N)'!$C$10*'Invoer gegevens (N)'!$I$35*'Reeksen (N)'!L24,0)</f>
        <v>0</v>
      </c>
      <c r="AT24" s="71">
        <f ca="1">-IF(C24=1,IF(E24='Invoer gegevens (N)'!$C$17,'Invoer gegevens (N)'!$C$11,Q24)*'Reeksen (N)'!S24*'Invoer gegevens (N)'!$C$18*'Reeksen (N)'!P24,0)</f>
        <v>0</v>
      </c>
      <c r="AU24" s="71">
        <f ca="1">-IF(C24=1,'Invoer gegevens (N)'!$C$10*'Invoer gegevens (N)'!$I$36*'Reeksen (N)'!H24,0)</f>
        <v>0</v>
      </c>
      <c r="AV24" s="71">
        <f t="shared" ca="1" si="4"/>
        <v>0</v>
      </c>
      <c r="AW24" s="72">
        <f ca="1">IFERROR(IF(E24='Invoer gegevens (N)'!$C$17+'Invoer gegevens (N)'!$I$14-1,'Invoer gegevens (N)'!$I$13*'Invoer gegevens (N)'!$C$10*'Reeksen (N)'!H24,0),0)</f>
        <v>0</v>
      </c>
      <c r="AX24" s="72">
        <f ca="1">IFERROR(IF(E24='Invoer gegevens (N)'!$C$17,-'Invoer gegevens (N)'!$C$10*'Invoer gegevens (N)'!$C$31*'Reeksen (N)'!H24,0),0)</f>
        <v>0</v>
      </c>
      <c r="AY24" s="73">
        <f ca="1">IF('Invoer gegevens (N)'!$C$34=E24,'Invoer gegevens (N)'!$C$27*'Invoer gegevens (N)'!$C$10*'Invoer gegevens (N)'!$C$36*(IF('Invoer gegevens (N)'!$C$35="ja",1,'Reeksen (N)'!J24)),IF('Invoer gegevens (N)'!$C$34+1=E24,'Invoer gegevens (N)'!$C$27*'Invoer gegevens (N)'!$C$10*'Invoer gegevens (N)'!$C$37*(IF('Invoer gegevens (N)'!$C$35="ja",1,'Reeksen (N)'!J24)),0))+IF(AND(E24='Invoer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4" s="73">
        <f ca="1">AV24/(1+'Invoer gegevens (N)'!$I$12)^($D24-('Invoer gegevens (N)'!$C$17-'Invoer gegevens (N)'!$C$16))/(1+'Invoer gegevens (N)'!$C$39)^('Invoer gegevens (N)'!$C$17-'Invoer gegevens (N)'!$C$16)</f>
        <v>0</v>
      </c>
      <c r="BA24" s="73">
        <f ca="1">AW24/(1+'Invoer gegevens (N)'!$I$12)^(E24-('Invoer gegevens (N)'!$C$17-1))/(1+'Invoer gegevens (N)'!$C$39)^('Invoer gegevens (N)'!$C$17-'Invoer gegevens (N)'!$C$16)</f>
        <v>0</v>
      </c>
      <c r="BB24" s="73">
        <f ca="1">AX24/(1+'Invoer gegevens (N)'!$C$39)^('Invoer gegevens (N)'!$C$17-'Invoer gegevens (N)'!$C$16)</f>
        <v>0</v>
      </c>
      <c r="BC24" s="72">
        <f t="shared" ca="1" si="5"/>
        <v>0</v>
      </c>
      <c r="BD24" s="72">
        <f ca="1">IF(AND(E24='Invoer gegevens (N)'!$C$16,'Invoer gegevens (N)'!$C$34&lt;'Invoer gegevens (N)'!$C$16),AY24,AY24/(1+'Invoer gegevens (N)'!$C$39)^D24)</f>
        <v>0</v>
      </c>
      <c r="BE24" s="72">
        <f ca="1">IF(E24='Invoer gegevens (N)'!$C$34,-'Invoer gegevens (N)'!$I$38,0)</f>
        <v>0</v>
      </c>
      <c r="BF24" s="72">
        <f ca="1">IF(E24='Invoer gegevens (N)'!$C$17,-'Invoer gegevens (N)'!$C$19*$BC$66,0)</f>
        <v>0</v>
      </c>
      <c r="BG24" s="72">
        <f ca="1">AV24/(1+$BG$4)^($D24-('Invoer gegevens (N)'!$C$17-'Invoer gegevens (N)'!$C$16))/(1+'Invoer gegevens (N)'!$C$39)^('Invoer gegevens (N)'!$C$17-'Invoer gegevens (N)'!$C$16)+AW24/(1+$BG$4)^(E24-('Invoer gegevens (N)'!$C$17-1))/(1+'Invoer gegevens (N)'!$C$39)^('Invoer gegevens (N)'!$C$17-'Invoer gegevens (N)'!$C$16)+AX24/(1+'Invoer gegevens (N)'!$C$39)^('Invoer gegevens (N)'!$C$17-'Invoer gegevens (N)'!$C$16)+(-AY24/(1+'Invoer gegevens (N)'!$C$39)^D24)+BE24+BF24</f>
        <v>0</v>
      </c>
      <c r="BH24" s="59"/>
      <c r="BJ24" s="214"/>
    </row>
    <row r="25" spans="1:68" x14ac:dyDescent="0.25">
      <c r="A25" s="59"/>
      <c r="B25" s="70">
        <f t="shared" si="6"/>
        <v>21</v>
      </c>
      <c r="C25" s="67">
        <f ca="1">IF(AND(E25&gt;='Invoer gegevens (N)'!$C$17,E25&lt;'Invoer gegevens (N)'!$C$17+'Invoer gegevens (N)'!$I$14),1,0)</f>
        <v>1</v>
      </c>
      <c r="D25" s="68">
        <f t="shared" si="7"/>
        <v>20.5</v>
      </c>
      <c r="E25" s="69">
        <f ca="1">IF('Invoer gegevens (N)'!$C$16="","",E24+1)</f>
        <v>2039</v>
      </c>
      <c r="F25" s="82">
        <f ca="1">IF('Invoer gegevens (N)'!$C$17=E25,'Invoer gegevens (N)'!$C$10,IF(C25=1,H24,0))</f>
        <v>0</v>
      </c>
      <c r="G25" s="83">
        <f ca="1">IF(E25='Invoer gegevens (N)'!$C$17+'Invoer gegevens (N)'!$I$14,H24,IF(C25&gt;=1,F25*'Reeksen (N)'!C25,0))</f>
        <v>0</v>
      </c>
      <c r="H25" s="84">
        <f ca="1">IF(E25&gt;='Invoer gegevens (N)'!$C$17+'Invoer gegevens (N)'!$I$14,0,F25-G25)</f>
        <v>0</v>
      </c>
      <c r="I25" s="85">
        <f ca="1">IF('Invoer gegevens (N)'!$C$17=E25,'Invoer gegevens (N)'!$C$11,IF(C25=1,L24,0))</f>
        <v>0</v>
      </c>
      <c r="J25" s="86">
        <f ca="1">IF(E25='Invoer gegevens (N)'!$C$17+'Invoer gegevens (N)'!$I$14,L24,IF(C25&lt;1,0,IF('Reeksen (N)'!BG25&lt;='Reeksen (N)'!AE25,I25*'Reeksen (N)'!C25,0)))</f>
        <v>0</v>
      </c>
      <c r="K25" s="86">
        <f ca="1">IF(E25='Invoer gegevens (N)'!$C$17+'Invoer gegevens (N)'!$I$14,L24,IF(C25&lt;1,0,IF('Reeksen (N)'!BG25&gt;'Reeksen (N)'!AE25,I25*'Reeksen (N)'!C25,0)))</f>
        <v>0</v>
      </c>
      <c r="L25" s="86">
        <f ca="1">IF(E25&gt;='Invoer gegevens (N)'!$C$17+'Invoer gegevens (N)'!$I$14,0,I25-J25-K25)</f>
        <v>0</v>
      </c>
      <c r="M25" s="85">
        <f ca="1">IF('Invoer gegevens (N)'!$C$17=E25,'Invoer gegevens (N)'!$C$10-'Invoer gegevens (N)'!$C$11,IF(C25=1,P24,0))</f>
        <v>0</v>
      </c>
      <c r="N25" s="86">
        <f ca="1">IF(E25='Invoer gegevens (N)'!$C$17+'Invoer gegevens (N)'!$I$14,P24,IF(C25&lt;1,0,IF('Reeksen (N)'!BG25&lt;='Reeksen (N)'!AE25,M25*'Reeksen (N)'!C25,0)))</f>
        <v>0</v>
      </c>
      <c r="O25" s="86">
        <f ca="1">IF(E25='Invoer gegevens (N)'!$C$17+'Invoer gegevens (N)'!$I$14,P24,IF(C25&lt;1,0,IF('Reeksen (N)'!BG25&gt;'Reeksen (N)'!AE25,M25*'Reeksen (N)'!C25,0)))</f>
        <v>0</v>
      </c>
      <c r="P25" s="86">
        <f ca="1">IF(E25&gt;='Invoer gegevens (N)'!$C$17+'Invoer gegevens (N)'!$I$14,0,M25-N25-O25)</f>
        <v>0</v>
      </c>
      <c r="Q25" s="82">
        <f ca="1">IF('Invoer gegevens (N)'!$C$17=E25,I25,IF(C25=0,0,R24))</f>
        <v>0</v>
      </c>
      <c r="R25" s="84">
        <f t="shared" ca="1" si="0"/>
        <v>0</v>
      </c>
      <c r="S25" s="84">
        <f ca="1">IF('Invoer gegevens (N)'!$C$17=E25,M25,IF(C25=0,0,T24))</f>
        <v>0</v>
      </c>
      <c r="T25" s="84">
        <f t="shared" ca="1" si="1"/>
        <v>0</v>
      </c>
      <c r="AH25" s="70"/>
      <c r="AI25" s="71">
        <f ca="1">IF(C25=1,((F25+H25)/2*'Reeksen (N)'!BF25*12)+(('Invoer gegevens (N)'!$C$10-(F25+H25)/2)*'Reeksen (N)'!BG25*12),0)</f>
        <v>0</v>
      </c>
      <c r="AJ25" s="71">
        <f ca="1">-AI25*'Invoer gegevens (N)'!$I$26</f>
        <v>0</v>
      </c>
      <c r="AK25" s="71">
        <f t="shared" ca="1" si="2"/>
        <v>0</v>
      </c>
      <c r="AL25" s="71">
        <f ca="1">IF(C25=1,(12*((F25+H25)/2)*'Reeksen (N)'!AL25)+(12*('Invoer gegevens (N)'!$C$10-(F25+H25)/2)*'Reeksen (N)'!AM25),0)</f>
        <v>0</v>
      </c>
      <c r="AM25" s="71">
        <f ca="1">-AL25*'Invoer gegevens (N)'!$F$31</f>
        <v>0</v>
      </c>
      <c r="AN25" s="71">
        <f t="shared" ca="1" si="3"/>
        <v>0</v>
      </c>
      <c r="AO25" s="71"/>
      <c r="AP25" s="71"/>
      <c r="AQ25" s="71">
        <f ca="1">-IF(C25=1,('Invoer gegevens (N)'!$C$10*'Invoer gegevens (N)'!$I$33)*'Reeksen (N)'!J25,0)</f>
        <v>0</v>
      </c>
      <c r="AR25" s="71">
        <f ca="1">-IF(C25=1,(G25*'Invoer gegevens (N)'!$I$34)*'Reeksen (N)'!J25,0)</f>
        <v>0</v>
      </c>
      <c r="AS25" s="71">
        <f ca="1">-IF(C25=1,'Invoer gegevens (N)'!$C$10*'Invoer gegevens (N)'!$I$35*'Reeksen (N)'!L25,0)</f>
        <v>0</v>
      </c>
      <c r="AT25" s="71">
        <f ca="1">-IF(C25=1,IF(E25='Invoer gegevens (N)'!$C$17,'Invoer gegevens (N)'!$C$11,Q25)*'Reeksen (N)'!S25*'Invoer gegevens (N)'!$C$18*'Reeksen (N)'!P25,0)</f>
        <v>0</v>
      </c>
      <c r="AU25" s="71">
        <f ca="1">-IF(C25=1,'Invoer gegevens (N)'!$C$10*'Invoer gegevens (N)'!$I$36*'Reeksen (N)'!H25,0)</f>
        <v>0</v>
      </c>
      <c r="AV25" s="71">
        <f t="shared" ca="1" si="4"/>
        <v>0</v>
      </c>
      <c r="AW25" s="72">
        <f ca="1">IFERROR(IF(E25='Invoer gegevens (N)'!$C$17+'Invoer gegevens (N)'!$I$14-1,'Invoer gegevens (N)'!$I$13*'Invoer gegevens (N)'!$C$10*'Reeksen (N)'!H25,0),0)</f>
        <v>0</v>
      </c>
      <c r="AX25" s="72">
        <f ca="1">IFERROR(IF(E25='Invoer gegevens (N)'!$C$17,-'Invoer gegevens (N)'!$C$10*'Invoer gegevens (N)'!$C$31*'Reeksen (N)'!H25,0),0)</f>
        <v>0</v>
      </c>
      <c r="AY25" s="73">
        <f ca="1">IF('Invoer gegevens (N)'!$C$34=E25,'Invoer gegevens (N)'!$C$27*'Invoer gegevens (N)'!$C$10*'Invoer gegevens (N)'!$C$36*(IF('Invoer gegevens (N)'!$C$35="ja",1,'Reeksen (N)'!J25)),IF('Invoer gegevens (N)'!$C$34+1=E25,'Invoer gegevens (N)'!$C$27*'Invoer gegevens (N)'!$C$10*'Invoer gegevens (N)'!$C$37*(IF('Invoer gegevens (N)'!$C$35="ja",1,'Reeksen (N)'!J25)),0))+IF(AND(E25='Invoer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5" s="73">
        <f ca="1">AV25/(1+'Invoer gegevens (N)'!$I$12)^($D25-('Invoer gegevens (N)'!$C$17-'Invoer gegevens (N)'!$C$16))/(1+'Invoer gegevens (N)'!$C$39)^('Invoer gegevens (N)'!$C$17-'Invoer gegevens (N)'!$C$16)</f>
        <v>0</v>
      </c>
      <c r="BA25" s="73">
        <f ca="1">AW25/(1+'Invoer gegevens (N)'!$I$12)^(E25-('Invoer gegevens (N)'!$C$17-1))/(1+'Invoer gegevens (N)'!$C$39)^('Invoer gegevens (N)'!$C$17-'Invoer gegevens (N)'!$C$16)</f>
        <v>0</v>
      </c>
      <c r="BB25" s="73">
        <f ca="1">AX25/(1+'Invoer gegevens (N)'!$C$39)^('Invoer gegevens (N)'!$C$17-'Invoer gegevens (N)'!$C$16)</f>
        <v>0</v>
      </c>
      <c r="BC25" s="72">
        <f t="shared" ca="1" si="5"/>
        <v>0</v>
      </c>
      <c r="BD25" s="72">
        <f ca="1">IF(AND(E25='Invoer gegevens (N)'!$C$16,'Invoer gegevens (N)'!$C$34&lt;'Invoer gegevens (N)'!$C$16),AY25,AY25/(1+'Invoer gegevens (N)'!$C$39)^D25)</f>
        <v>0</v>
      </c>
      <c r="BE25" s="72">
        <f ca="1">IF(E25='Invoer gegevens (N)'!$C$34,-'Invoer gegevens (N)'!$I$38,0)</f>
        <v>0</v>
      </c>
      <c r="BF25" s="72">
        <f ca="1">IF(E25='Invoer gegevens (N)'!$C$17,-'Invoer gegevens (N)'!$C$19*$BC$66,0)</f>
        <v>0</v>
      </c>
      <c r="BG25" s="72">
        <f ca="1">AV25/(1+$BG$4)^($D25-('Invoer gegevens (N)'!$C$17-'Invoer gegevens (N)'!$C$16))/(1+'Invoer gegevens (N)'!$C$39)^('Invoer gegevens (N)'!$C$17-'Invoer gegevens (N)'!$C$16)+AW25/(1+$BG$4)^(E25-('Invoer gegevens (N)'!$C$17-1))/(1+'Invoer gegevens (N)'!$C$39)^('Invoer gegevens (N)'!$C$17-'Invoer gegevens (N)'!$C$16)+AX25/(1+'Invoer gegevens (N)'!$C$39)^('Invoer gegevens (N)'!$C$17-'Invoer gegevens (N)'!$C$16)+(-AY25/(1+'Invoer gegevens (N)'!$C$39)^D25)+BE25+BF25</f>
        <v>0</v>
      </c>
      <c r="BH25" s="59"/>
      <c r="BJ25" s="214"/>
    </row>
    <row r="26" spans="1:68" x14ac:dyDescent="0.25">
      <c r="A26" s="59"/>
      <c r="B26" s="70">
        <f>B25+1</f>
        <v>22</v>
      </c>
      <c r="C26" s="67">
        <f ca="1">IF(AND(E26&gt;='Invoer gegevens (N)'!$C$17,E26&lt;'Invoer gegevens (N)'!$C$17+'Invoer gegevens (N)'!$I$14),1,0)</f>
        <v>1</v>
      </c>
      <c r="D26" s="68">
        <f t="shared" si="7"/>
        <v>21.5</v>
      </c>
      <c r="E26" s="69">
        <f ca="1">IF('Invoer gegevens (N)'!$C$16="","",E25+1)</f>
        <v>2040</v>
      </c>
      <c r="F26" s="82">
        <f ca="1">IF('Invoer gegevens (N)'!$C$17=E26,'Invoer gegevens (N)'!$C$10,IF(C26=1,H25,0))</f>
        <v>0</v>
      </c>
      <c r="G26" s="83">
        <f ca="1">IF(E26='Invoer gegevens (N)'!$C$17+'Invoer gegevens (N)'!$I$14,H25,IF(C26&gt;=1,F26*'Reeksen (N)'!C26,0))</f>
        <v>0</v>
      </c>
      <c r="H26" s="84">
        <f ca="1">IF(E26&gt;='Invoer gegevens (N)'!$C$17+'Invoer gegevens (N)'!$I$14,0,F26-G26)</f>
        <v>0</v>
      </c>
      <c r="I26" s="85">
        <f ca="1">IF('Invoer gegevens (N)'!$C$17=E26,'Invoer gegevens (N)'!$C$11,IF(C26=1,L25,0))</f>
        <v>0</v>
      </c>
      <c r="J26" s="86">
        <f ca="1">IF(E26='Invoer gegevens (N)'!$C$17+'Invoer gegevens (N)'!$I$14,L25,IF(C26&lt;1,0,IF('Reeksen (N)'!BG26&lt;='Reeksen (N)'!AE26,I26*'Reeksen (N)'!C26,0)))</f>
        <v>0</v>
      </c>
      <c r="K26" s="86">
        <f ca="1">IF(E26='Invoer gegevens (N)'!$C$17+'Invoer gegevens (N)'!$I$14,L25,IF(C26&lt;1,0,IF('Reeksen (N)'!BG26&gt;'Reeksen (N)'!AE26,I26*'Reeksen (N)'!C26,0)))</f>
        <v>0</v>
      </c>
      <c r="L26" s="86">
        <f ca="1">IF(E26&gt;='Invoer gegevens (N)'!$C$17+'Invoer gegevens (N)'!$I$14,0,I26-J26-K26)</f>
        <v>0</v>
      </c>
      <c r="M26" s="85">
        <f ca="1">IF('Invoer gegevens (N)'!$C$17=E26,'Invoer gegevens (N)'!$C$10-'Invoer gegevens (N)'!$C$11,IF(C26=1,P25,0))</f>
        <v>0</v>
      </c>
      <c r="N26" s="86">
        <f ca="1">IF(E26='Invoer gegevens (N)'!$C$17+'Invoer gegevens (N)'!$I$14,P25,IF(C26&lt;1,0,IF('Reeksen (N)'!BG26&lt;='Reeksen (N)'!AE26,M26*'Reeksen (N)'!C26,0)))</f>
        <v>0</v>
      </c>
      <c r="O26" s="86">
        <f ca="1">IF(E26='Invoer gegevens (N)'!$C$17+'Invoer gegevens (N)'!$I$14,P25,IF(C26&lt;1,0,IF('Reeksen (N)'!BG26&gt;'Reeksen (N)'!AE26,M26*'Reeksen (N)'!C26,0)))</f>
        <v>0</v>
      </c>
      <c r="P26" s="86">
        <f ca="1">IF(E26&gt;='Invoer gegevens (N)'!$C$17+'Invoer gegevens (N)'!$I$14,0,M26-N26-O26)</f>
        <v>0</v>
      </c>
      <c r="Q26" s="82">
        <f ca="1">IF('Invoer gegevens (N)'!$C$17=E26,I26,IF(C26=0,0,R25))</f>
        <v>0</v>
      </c>
      <c r="R26" s="84">
        <f t="shared" ca="1" si="0"/>
        <v>0</v>
      </c>
      <c r="S26" s="84">
        <f ca="1">IF('Invoer gegevens (N)'!$C$17=E26,M26,IF(C26=0,0,T25))</f>
        <v>0</v>
      </c>
      <c r="T26" s="84">
        <f t="shared" ca="1" si="1"/>
        <v>0</v>
      </c>
      <c r="AH26" s="70"/>
      <c r="AI26" s="71">
        <f ca="1">IF(C26=1,((F26+H26)/2*'Reeksen (N)'!BF26*12)+(('Invoer gegevens (N)'!$C$10-(F26+H26)/2)*'Reeksen (N)'!BG26*12),0)</f>
        <v>0</v>
      </c>
      <c r="AJ26" s="71">
        <f ca="1">-AI26*'Invoer gegevens (N)'!$I$26</f>
        <v>0</v>
      </c>
      <c r="AK26" s="71">
        <f t="shared" ca="1" si="2"/>
        <v>0</v>
      </c>
      <c r="AL26" s="71">
        <f ca="1">IF(C26=1,(12*((F26+H26)/2)*'Reeksen (N)'!AL26)+(12*('Invoer gegevens (N)'!$C$10-(F26+H26)/2)*'Reeksen (N)'!AM26),0)</f>
        <v>0</v>
      </c>
      <c r="AM26" s="71">
        <f ca="1">-AL26*'Invoer gegevens (N)'!$F$31</f>
        <v>0</v>
      </c>
      <c r="AN26" s="71">
        <f t="shared" ca="1" si="3"/>
        <v>0</v>
      </c>
      <c r="AO26" s="71"/>
      <c r="AP26" s="71"/>
      <c r="AQ26" s="71">
        <f ca="1">-IF(C26=1,('Invoer gegevens (N)'!$C$10*'Invoer gegevens (N)'!$I$33)*'Reeksen (N)'!J26,0)</f>
        <v>0</v>
      </c>
      <c r="AR26" s="71">
        <f ca="1">-IF(C26=1,(G26*'Invoer gegevens (N)'!$I$34)*'Reeksen (N)'!J26,0)</f>
        <v>0</v>
      </c>
      <c r="AS26" s="71">
        <f ca="1">-IF(C26=1,'Invoer gegevens (N)'!$C$10*'Invoer gegevens (N)'!$I$35*'Reeksen (N)'!L26,0)</f>
        <v>0</v>
      </c>
      <c r="AT26" s="71">
        <f ca="1">-IF(C26=1,IF(E26='Invoer gegevens (N)'!$C$17,'Invoer gegevens (N)'!$C$11,Q26)*'Reeksen (N)'!S26*'Invoer gegevens (N)'!$C$18*'Reeksen (N)'!P26,0)</f>
        <v>0</v>
      </c>
      <c r="AU26" s="71">
        <f ca="1">-IF(C26=1,'Invoer gegevens (N)'!$C$10*'Invoer gegevens (N)'!$I$36*'Reeksen (N)'!H26,0)</f>
        <v>0</v>
      </c>
      <c r="AV26" s="71">
        <f t="shared" ca="1" si="4"/>
        <v>0</v>
      </c>
      <c r="AW26" s="72">
        <f ca="1">IFERROR(IF(E26='Invoer gegevens (N)'!$C$17+'Invoer gegevens (N)'!$I$14-1,'Invoer gegevens (N)'!$I$13*'Invoer gegevens (N)'!$C$10*'Reeksen (N)'!H26,0),0)</f>
        <v>0</v>
      </c>
      <c r="AX26" s="72">
        <f ca="1">IFERROR(IF(E26='Invoer gegevens (N)'!$C$17,-'Invoer gegevens (N)'!$C$10*'Invoer gegevens (N)'!$C$31*'Reeksen (N)'!H26,0),0)</f>
        <v>0</v>
      </c>
      <c r="AY26" s="73">
        <f ca="1">IF('Invoer gegevens (N)'!$C$34=E26,'Invoer gegevens (N)'!$C$27*'Invoer gegevens (N)'!$C$10*'Invoer gegevens (N)'!$C$36*(IF('Invoer gegevens (N)'!$C$35="ja",1,'Reeksen (N)'!J26)),IF('Invoer gegevens (N)'!$C$34+1=E26,'Invoer gegevens (N)'!$C$27*'Invoer gegevens (N)'!$C$10*'Invoer gegevens (N)'!$C$37*(IF('Invoer gegevens (N)'!$C$35="ja",1,'Reeksen (N)'!J26)),0))+IF(AND(E26='Invoer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6" s="73">
        <f ca="1">AV26/(1+'Invoer gegevens (N)'!$I$12)^($D26-('Invoer gegevens (N)'!$C$17-'Invoer gegevens (N)'!$C$16))/(1+'Invoer gegevens (N)'!$C$39)^('Invoer gegevens (N)'!$C$17-'Invoer gegevens (N)'!$C$16)</f>
        <v>0</v>
      </c>
      <c r="BA26" s="73">
        <f ca="1">AW26/(1+'Invoer gegevens (N)'!$I$12)^(E26-('Invoer gegevens (N)'!$C$17-1))/(1+'Invoer gegevens (N)'!$C$39)^('Invoer gegevens (N)'!$C$17-'Invoer gegevens (N)'!$C$16)</f>
        <v>0</v>
      </c>
      <c r="BB26" s="73">
        <f ca="1">AX26/(1+'Invoer gegevens (N)'!$C$39)^('Invoer gegevens (N)'!$C$17-'Invoer gegevens (N)'!$C$16)</f>
        <v>0</v>
      </c>
      <c r="BC26" s="72">
        <f t="shared" ca="1" si="5"/>
        <v>0</v>
      </c>
      <c r="BD26" s="72">
        <f ca="1">IF(AND(E26='Invoer gegevens (N)'!$C$16,'Invoer gegevens (N)'!$C$34&lt;'Invoer gegevens (N)'!$C$16),AY26,AY26/(1+'Invoer gegevens (N)'!$C$39)^D26)</f>
        <v>0</v>
      </c>
      <c r="BE26" s="72">
        <f ca="1">IF(E26='Invoer gegevens (N)'!$C$34,-'Invoer gegevens (N)'!$I$38,0)</f>
        <v>0</v>
      </c>
      <c r="BF26" s="72">
        <f ca="1">IF(E26='Invoer gegevens (N)'!$C$17,-'Invoer gegevens (N)'!$C$19*$BC$66,0)</f>
        <v>0</v>
      </c>
      <c r="BG26" s="72">
        <f ca="1">AV26/(1+$BG$4)^($D26-('Invoer gegevens (N)'!$C$17-'Invoer gegevens (N)'!$C$16))/(1+'Invoer gegevens (N)'!$C$39)^('Invoer gegevens (N)'!$C$17-'Invoer gegevens (N)'!$C$16)+AW26/(1+$BG$4)^(E26-('Invoer gegevens (N)'!$C$17-1))/(1+'Invoer gegevens (N)'!$C$39)^('Invoer gegevens (N)'!$C$17-'Invoer gegevens (N)'!$C$16)+AX26/(1+'Invoer gegevens (N)'!$C$39)^('Invoer gegevens (N)'!$C$17-'Invoer gegevens (N)'!$C$16)+(-AY26/(1+'Invoer gegevens (N)'!$C$39)^D26)+BE26+BF26</f>
        <v>0</v>
      </c>
      <c r="BH26" s="59"/>
      <c r="BJ26" s="214"/>
    </row>
    <row r="27" spans="1:68" x14ac:dyDescent="0.25">
      <c r="A27" s="59"/>
      <c r="B27" s="70">
        <f t="shared" si="6"/>
        <v>23</v>
      </c>
      <c r="C27" s="67">
        <f ca="1">IF(AND(E27&gt;='Invoer gegevens (N)'!$C$17,E27&lt;'Invoer gegevens (N)'!$C$17+'Invoer gegevens (N)'!$I$14),1,0)</f>
        <v>1</v>
      </c>
      <c r="D27" s="68">
        <f t="shared" si="7"/>
        <v>22.5</v>
      </c>
      <c r="E27" s="69">
        <f ca="1">IF('Invoer gegevens (N)'!$C$16="","",E26+1)</f>
        <v>2041</v>
      </c>
      <c r="F27" s="82">
        <f ca="1">IF('Invoer gegevens (N)'!$C$17=E27,'Invoer gegevens (N)'!$C$10,IF(C27=1,H26,0))</f>
        <v>0</v>
      </c>
      <c r="G27" s="83">
        <f ca="1">IF(E27='Invoer gegevens (N)'!$C$17+'Invoer gegevens (N)'!$I$14,H26,IF(C27&gt;=1,F27*'Reeksen (N)'!C27,0))</f>
        <v>0</v>
      </c>
      <c r="H27" s="84">
        <f ca="1">IF(E27&gt;='Invoer gegevens (N)'!$C$17+'Invoer gegevens (N)'!$I$14,0,F27-G27)</f>
        <v>0</v>
      </c>
      <c r="I27" s="85">
        <f ca="1">IF('Invoer gegevens (N)'!$C$17=E27,'Invoer gegevens (N)'!$C$11,IF(C27=1,L26,0))</f>
        <v>0</v>
      </c>
      <c r="J27" s="86">
        <f ca="1">IF(E27='Invoer gegevens (N)'!$C$17+'Invoer gegevens (N)'!$I$14,L26,IF(C27&lt;1,0,IF('Reeksen (N)'!BG27&lt;='Reeksen (N)'!AE27,I27*'Reeksen (N)'!C27,0)))</f>
        <v>0</v>
      </c>
      <c r="K27" s="86">
        <f ca="1">IF(E27='Invoer gegevens (N)'!$C$17+'Invoer gegevens (N)'!$I$14,L26,IF(C27&lt;1,0,IF('Reeksen (N)'!BG27&gt;'Reeksen (N)'!AE27,I27*'Reeksen (N)'!C27,0)))</f>
        <v>0</v>
      </c>
      <c r="L27" s="86">
        <f ca="1">IF(E27&gt;='Invoer gegevens (N)'!$C$17+'Invoer gegevens (N)'!$I$14,0,I27-J27-K27)</f>
        <v>0</v>
      </c>
      <c r="M27" s="85">
        <f ca="1">IF('Invoer gegevens (N)'!$C$17=E27,'Invoer gegevens (N)'!$C$10-'Invoer gegevens (N)'!$C$11,IF(C27=1,P26,0))</f>
        <v>0</v>
      </c>
      <c r="N27" s="86">
        <f ca="1">IF(E27='Invoer gegevens (N)'!$C$17+'Invoer gegevens (N)'!$I$14,P26,IF(C27&lt;1,0,IF('Reeksen (N)'!BG27&lt;='Reeksen (N)'!AE27,M27*'Reeksen (N)'!C27,0)))</f>
        <v>0</v>
      </c>
      <c r="O27" s="86">
        <f ca="1">IF(E27='Invoer gegevens (N)'!$C$17+'Invoer gegevens (N)'!$I$14,P26,IF(C27&lt;1,0,IF('Reeksen (N)'!BG27&gt;'Reeksen (N)'!AE27,M27*'Reeksen (N)'!C27,0)))</f>
        <v>0</v>
      </c>
      <c r="P27" s="86">
        <f ca="1">IF(E27&gt;='Invoer gegevens (N)'!$C$17+'Invoer gegevens (N)'!$I$14,0,M27-N27-O27)</f>
        <v>0</v>
      </c>
      <c r="Q27" s="82">
        <f ca="1">IF('Invoer gegevens (N)'!$C$17=E27,I27,IF(C27=0,0,R26))</f>
        <v>0</v>
      </c>
      <c r="R27" s="84">
        <f t="shared" ca="1" si="0"/>
        <v>0</v>
      </c>
      <c r="S27" s="84">
        <f ca="1">IF('Invoer gegevens (N)'!$C$17=E27,M27,IF(C27=0,0,T26))</f>
        <v>0</v>
      </c>
      <c r="T27" s="84">
        <f t="shared" ca="1" si="1"/>
        <v>0</v>
      </c>
      <c r="AH27" s="70"/>
      <c r="AI27" s="71">
        <f ca="1">IF(C27=1,((F27+H27)/2*'Reeksen (N)'!BF27*12)+(('Invoer gegevens (N)'!$C$10-(F27+H27)/2)*'Reeksen (N)'!BG27*12),0)</f>
        <v>0</v>
      </c>
      <c r="AJ27" s="71">
        <f ca="1">-AI27*'Invoer gegevens (N)'!$I$26</f>
        <v>0</v>
      </c>
      <c r="AK27" s="71">
        <f t="shared" ca="1" si="2"/>
        <v>0</v>
      </c>
      <c r="AL27" s="71">
        <f ca="1">IF(C27=1,(12*((F27+H27)/2)*'Reeksen (N)'!AL27)+(12*('Invoer gegevens (N)'!$C$10-(F27+H27)/2)*'Reeksen (N)'!AM27),0)</f>
        <v>0</v>
      </c>
      <c r="AM27" s="71">
        <f ca="1">-AL27*'Invoer gegevens (N)'!$F$31</f>
        <v>0</v>
      </c>
      <c r="AN27" s="71">
        <f t="shared" ca="1" si="3"/>
        <v>0</v>
      </c>
      <c r="AO27" s="71"/>
      <c r="AP27" s="71"/>
      <c r="AQ27" s="71">
        <f ca="1">-IF(C27=1,('Invoer gegevens (N)'!$C$10*'Invoer gegevens (N)'!$I$33)*'Reeksen (N)'!J27,0)</f>
        <v>0</v>
      </c>
      <c r="AR27" s="71">
        <f ca="1">-IF(C27=1,(G27*'Invoer gegevens (N)'!$I$34)*'Reeksen (N)'!J27,0)</f>
        <v>0</v>
      </c>
      <c r="AS27" s="71">
        <f ca="1">-IF(C27=1,'Invoer gegevens (N)'!$C$10*'Invoer gegevens (N)'!$I$35*'Reeksen (N)'!L27,0)</f>
        <v>0</v>
      </c>
      <c r="AT27" s="71">
        <f ca="1">-IF(C27=1,IF(E27='Invoer gegevens (N)'!$C$17,'Invoer gegevens (N)'!$C$11,Q27)*'Reeksen (N)'!S27*'Invoer gegevens (N)'!$C$18*'Reeksen (N)'!P27,0)</f>
        <v>0</v>
      </c>
      <c r="AU27" s="71">
        <f ca="1">-IF(C27=1,'Invoer gegevens (N)'!$C$10*'Invoer gegevens (N)'!$I$36*'Reeksen (N)'!H27,0)</f>
        <v>0</v>
      </c>
      <c r="AV27" s="71">
        <f t="shared" ca="1" si="4"/>
        <v>0</v>
      </c>
      <c r="AW27" s="72">
        <f ca="1">IFERROR(IF(E27='Invoer gegevens (N)'!$C$17+'Invoer gegevens (N)'!$I$14-1,'Invoer gegevens (N)'!$I$13*'Invoer gegevens (N)'!$C$10*'Reeksen (N)'!H27,0),0)</f>
        <v>0</v>
      </c>
      <c r="AX27" s="72">
        <f ca="1">IFERROR(IF(E27='Invoer gegevens (N)'!$C$17,-'Invoer gegevens (N)'!$C$10*'Invoer gegevens (N)'!$C$31*'Reeksen (N)'!H27,0),0)</f>
        <v>0</v>
      </c>
      <c r="AY27" s="73">
        <f ca="1">IF('Invoer gegevens (N)'!$C$34=E27,'Invoer gegevens (N)'!$C$27*'Invoer gegevens (N)'!$C$10*'Invoer gegevens (N)'!$C$36*(IF('Invoer gegevens (N)'!$C$35="ja",1,'Reeksen (N)'!J27)),IF('Invoer gegevens (N)'!$C$34+1=E27,'Invoer gegevens (N)'!$C$27*'Invoer gegevens (N)'!$C$10*'Invoer gegevens (N)'!$C$37*(IF('Invoer gegevens (N)'!$C$35="ja",1,'Reeksen (N)'!J27)),0))+IF(AND(E27='Invoer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7" s="73">
        <f ca="1">AV27/(1+'Invoer gegevens (N)'!$I$12)^($D27-('Invoer gegevens (N)'!$C$17-'Invoer gegevens (N)'!$C$16))/(1+'Invoer gegevens (N)'!$C$39)^('Invoer gegevens (N)'!$C$17-'Invoer gegevens (N)'!$C$16)</f>
        <v>0</v>
      </c>
      <c r="BA27" s="73">
        <f ca="1">AW27/(1+'Invoer gegevens (N)'!$I$12)^(E27-('Invoer gegevens (N)'!$C$17-1))/(1+'Invoer gegevens (N)'!$C$39)^('Invoer gegevens (N)'!$C$17-'Invoer gegevens (N)'!$C$16)</f>
        <v>0</v>
      </c>
      <c r="BB27" s="73">
        <f ca="1">AX27/(1+'Invoer gegevens (N)'!$C$39)^('Invoer gegevens (N)'!$C$17-'Invoer gegevens (N)'!$C$16)</f>
        <v>0</v>
      </c>
      <c r="BC27" s="72">
        <f t="shared" ca="1" si="5"/>
        <v>0</v>
      </c>
      <c r="BD27" s="72">
        <f ca="1">IF(AND(E27='Invoer gegevens (N)'!$C$16,'Invoer gegevens (N)'!$C$34&lt;'Invoer gegevens (N)'!$C$16),AY27,AY27/(1+'Invoer gegevens (N)'!$C$39)^D27)</f>
        <v>0</v>
      </c>
      <c r="BE27" s="72">
        <f ca="1">IF(E27='Invoer gegevens (N)'!$C$34,-'Invoer gegevens (N)'!$I$38,0)</f>
        <v>0</v>
      </c>
      <c r="BF27" s="72">
        <f ca="1">IF(E27='Invoer gegevens (N)'!$C$17,-'Invoer gegevens (N)'!$C$19*$BC$66,0)</f>
        <v>0</v>
      </c>
      <c r="BG27" s="72">
        <f ca="1">AV27/(1+$BG$4)^($D27-('Invoer gegevens (N)'!$C$17-'Invoer gegevens (N)'!$C$16))/(1+'Invoer gegevens (N)'!$C$39)^('Invoer gegevens (N)'!$C$17-'Invoer gegevens (N)'!$C$16)+AW27/(1+$BG$4)^(E27-('Invoer gegevens (N)'!$C$17-1))/(1+'Invoer gegevens (N)'!$C$39)^('Invoer gegevens (N)'!$C$17-'Invoer gegevens (N)'!$C$16)+AX27/(1+'Invoer gegevens (N)'!$C$39)^('Invoer gegevens (N)'!$C$17-'Invoer gegevens (N)'!$C$16)+(-AY27/(1+'Invoer gegevens (N)'!$C$39)^D27)+BE27+BF27</f>
        <v>0</v>
      </c>
      <c r="BH27" s="59"/>
      <c r="BJ27" s="214"/>
    </row>
    <row r="28" spans="1:68" x14ac:dyDescent="0.25">
      <c r="A28" s="59"/>
      <c r="B28" s="70">
        <f t="shared" si="6"/>
        <v>24</v>
      </c>
      <c r="C28" s="67">
        <f ca="1">IF(AND(E28&gt;='Invoer gegevens (N)'!$C$17,E28&lt;'Invoer gegevens (N)'!$C$17+'Invoer gegevens (N)'!$I$14),1,0)</f>
        <v>1</v>
      </c>
      <c r="D28" s="68">
        <f t="shared" si="7"/>
        <v>23.5</v>
      </c>
      <c r="E28" s="69">
        <f ca="1">IF('Invoer gegevens (N)'!$C$16="","",E27+1)</f>
        <v>2042</v>
      </c>
      <c r="F28" s="82">
        <f ca="1">IF('Invoer gegevens (N)'!$C$17=E28,'Invoer gegevens (N)'!$C$10,IF(C28=1,H27,0))</f>
        <v>0</v>
      </c>
      <c r="G28" s="83">
        <f ca="1">IF(E28='Invoer gegevens (N)'!$C$17+'Invoer gegevens (N)'!$I$14,H27,IF(C28&gt;=1,F28*'Reeksen (N)'!C28,0))</f>
        <v>0</v>
      </c>
      <c r="H28" s="84">
        <f ca="1">IF(E28&gt;='Invoer gegevens (N)'!$C$17+'Invoer gegevens (N)'!$I$14,0,F28-G28)</f>
        <v>0</v>
      </c>
      <c r="I28" s="85">
        <f ca="1">IF('Invoer gegevens (N)'!$C$17=E28,'Invoer gegevens (N)'!$C$11,IF(C28=1,L27,0))</f>
        <v>0</v>
      </c>
      <c r="J28" s="86">
        <f ca="1">IF(E28='Invoer gegevens (N)'!$C$17+'Invoer gegevens (N)'!$I$14,L27,IF(C28&lt;1,0,IF('Reeksen (N)'!BG28&lt;='Reeksen (N)'!AE28,I28*'Reeksen (N)'!C28,0)))</f>
        <v>0</v>
      </c>
      <c r="K28" s="86">
        <f ca="1">IF(E28='Invoer gegevens (N)'!$C$17+'Invoer gegevens (N)'!$I$14,L27,IF(C28&lt;1,0,IF('Reeksen (N)'!BG28&gt;'Reeksen (N)'!AE28,I28*'Reeksen (N)'!C28,0)))</f>
        <v>0</v>
      </c>
      <c r="L28" s="86">
        <f ca="1">IF(E28&gt;='Invoer gegevens (N)'!$C$17+'Invoer gegevens (N)'!$I$14,0,I28-J28-K28)</f>
        <v>0</v>
      </c>
      <c r="M28" s="85">
        <f ca="1">IF('Invoer gegevens (N)'!$C$17=E28,'Invoer gegevens (N)'!$C$10-'Invoer gegevens (N)'!$C$11,IF(C28=1,P27,0))</f>
        <v>0</v>
      </c>
      <c r="N28" s="86">
        <f ca="1">IF(E28='Invoer gegevens (N)'!$C$17+'Invoer gegevens (N)'!$I$14,P27,IF(C28&lt;1,0,IF('Reeksen (N)'!BG28&lt;='Reeksen (N)'!AE28,M28*'Reeksen (N)'!C28,0)))</f>
        <v>0</v>
      </c>
      <c r="O28" s="86">
        <f ca="1">IF(E28='Invoer gegevens (N)'!$C$17+'Invoer gegevens (N)'!$I$14,P27,IF(C28&lt;1,0,IF('Reeksen (N)'!BG28&gt;'Reeksen (N)'!AE28,M28*'Reeksen (N)'!C28,0)))</f>
        <v>0</v>
      </c>
      <c r="P28" s="86">
        <f ca="1">IF(E28&gt;='Invoer gegevens (N)'!$C$17+'Invoer gegevens (N)'!$I$14,0,M28-N28-O28)</f>
        <v>0</v>
      </c>
      <c r="Q28" s="82">
        <f ca="1">IF('Invoer gegevens (N)'!$C$17=E28,I28,IF(C28=0,0,R27))</f>
        <v>0</v>
      </c>
      <c r="R28" s="84">
        <f t="shared" ca="1" si="0"/>
        <v>0</v>
      </c>
      <c r="S28" s="84">
        <f ca="1">IF('Invoer gegevens (N)'!$C$17=E28,M28,IF(C28=0,0,T27))</f>
        <v>0</v>
      </c>
      <c r="T28" s="84">
        <f t="shared" ca="1" si="1"/>
        <v>0</v>
      </c>
      <c r="AH28" s="70"/>
      <c r="AI28" s="71">
        <f ca="1">IF(C28=1,((F28+H28)/2*'Reeksen (N)'!BF28*12)+(('Invoer gegevens (N)'!$C$10-(F28+H28)/2)*'Reeksen (N)'!BG28*12),0)</f>
        <v>0</v>
      </c>
      <c r="AJ28" s="71">
        <f ca="1">-AI28*'Invoer gegevens (N)'!$I$26</f>
        <v>0</v>
      </c>
      <c r="AK28" s="71">
        <f t="shared" ca="1" si="2"/>
        <v>0</v>
      </c>
      <c r="AL28" s="71">
        <f ca="1">IF(C28=1,(12*((F28+H28)/2)*'Reeksen (N)'!AL28)+(12*('Invoer gegevens (N)'!$C$10-(F28+H28)/2)*'Reeksen (N)'!AM28),0)</f>
        <v>0</v>
      </c>
      <c r="AM28" s="71">
        <f ca="1">-AL28*'Invoer gegevens (N)'!$F$31</f>
        <v>0</v>
      </c>
      <c r="AN28" s="71">
        <f t="shared" ca="1" si="3"/>
        <v>0</v>
      </c>
      <c r="AO28" s="71"/>
      <c r="AP28" s="71"/>
      <c r="AQ28" s="71">
        <f ca="1">-IF(C28=1,('Invoer gegevens (N)'!$C$10*'Invoer gegevens (N)'!$I$33)*'Reeksen (N)'!J28,0)</f>
        <v>0</v>
      </c>
      <c r="AR28" s="71">
        <f ca="1">-IF(C28=1,(G28*'Invoer gegevens (N)'!$I$34)*'Reeksen (N)'!J28,0)</f>
        <v>0</v>
      </c>
      <c r="AS28" s="71">
        <f ca="1">-IF(C28=1,'Invoer gegevens (N)'!$C$10*'Invoer gegevens (N)'!$I$35*'Reeksen (N)'!L28,0)</f>
        <v>0</v>
      </c>
      <c r="AT28" s="71">
        <f ca="1">-IF(C28=1,IF(E28='Invoer gegevens (N)'!$C$17,'Invoer gegevens (N)'!$C$11,Q28)*'Reeksen (N)'!S28*'Invoer gegevens (N)'!$C$18*'Reeksen (N)'!P28,0)</f>
        <v>0</v>
      </c>
      <c r="AU28" s="71">
        <f ca="1">-IF(C28=1,'Invoer gegevens (N)'!$C$10*'Invoer gegevens (N)'!$I$36*'Reeksen (N)'!H28,0)</f>
        <v>0</v>
      </c>
      <c r="AV28" s="71">
        <f t="shared" ca="1" si="4"/>
        <v>0</v>
      </c>
      <c r="AW28" s="72">
        <f ca="1">IFERROR(IF(E28='Invoer gegevens (N)'!$C$17+'Invoer gegevens (N)'!$I$14-1,'Invoer gegevens (N)'!$I$13*'Invoer gegevens (N)'!$C$10*'Reeksen (N)'!H28,0),0)</f>
        <v>0</v>
      </c>
      <c r="AX28" s="72">
        <f ca="1">IFERROR(IF(E28='Invoer gegevens (N)'!$C$17,-'Invoer gegevens (N)'!$C$10*'Invoer gegevens (N)'!$C$31*'Reeksen (N)'!H28,0),0)</f>
        <v>0</v>
      </c>
      <c r="AY28" s="73">
        <f ca="1">IF('Invoer gegevens (N)'!$C$34=E28,'Invoer gegevens (N)'!$C$27*'Invoer gegevens (N)'!$C$10*'Invoer gegevens (N)'!$C$36*(IF('Invoer gegevens (N)'!$C$35="ja",1,'Reeksen (N)'!J28)),IF('Invoer gegevens (N)'!$C$34+1=E28,'Invoer gegevens (N)'!$C$27*'Invoer gegevens (N)'!$C$10*'Invoer gegevens (N)'!$C$37*(IF('Invoer gegevens (N)'!$C$35="ja",1,'Reeksen (N)'!J28)),0))+IF(AND(E28='Invoer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8" s="73">
        <f ca="1">AV28/(1+'Invoer gegevens (N)'!$I$12)^($D28-('Invoer gegevens (N)'!$C$17-'Invoer gegevens (N)'!$C$16))/(1+'Invoer gegevens (N)'!$C$39)^('Invoer gegevens (N)'!$C$17-'Invoer gegevens (N)'!$C$16)</f>
        <v>0</v>
      </c>
      <c r="BA28" s="73">
        <f ca="1">AW28/(1+'Invoer gegevens (N)'!$I$12)^(E28-('Invoer gegevens (N)'!$C$17-1))/(1+'Invoer gegevens (N)'!$C$39)^('Invoer gegevens (N)'!$C$17-'Invoer gegevens (N)'!$C$16)</f>
        <v>0</v>
      </c>
      <c r="BB28" s="73">
        <f ca="1">AX28/(1+'Invoer gegevens (N)'!$C$39)^('Invoer gegevens (N)'!$C$17-'Invoer gegevens (N)'!$C$16)</f>
        <v>0</v>
      </c>
      <c r="BC28" s="72">
        <f t="shared" ca="1" si="5"/>
        <v>0</v>
      </c>
      <c r="BD28" s="72">
        <f ca="1">IF(AND(E28='Invoer gegevens (N)'!$C$16,'Invoer gegevens (N)'!$C$34&lt;'Invoer gegevens (N)'!$C$16),AY28,AY28/(1+'Invoer gegevens (N)'!$C$39)^D28)</f>
        <v>0</v>
      </c>
      <c r="BE28" s="72">
        <f ca="1">IF(E28='Invoer gegevens (N)'!$C$34,-'Invoer gegevens (N)'!$I$38,0)</f>
        <v>0</v>
      </c>
      <c r="BF28" s="72">
        <f ca="1">IF(E28='Invoer gegevens (N)'!$C$17,-'Invoer gegevens (N)'!$C$19*$BC$66,0)</f>
        <v>0</v>
      </c>
      <c r="BG28" s="72">
        <f ca="1">AV28/(1+$BG$4)^($D28-('Invoer gegevens (N)'!$C$17-'Invoer gegevens (N)'!$C$16))/(1+'Invoer gegevens (N)'!$C$39)^('Invoer gegevens (N)'!$C$17-'Invoer gegevens (N)'!$C$16)+AW28/(1+$BG$4)^(E28-('Invoer gegevens (N)'!$C$17-1))/(1+'Invoer gegevens (N)'!$C$39)^('Invoer gegevens (N)'!$C$17-'Invoer gegevens (N)'!$C$16)+AX28/(1+'Invoer gegevens (N)'!$C$39)^('Invoer gegevens (N)'!$C$17-'Invoer gegevens (N)'!$C$16)+(-AY28/(1+'Invoer gegevens (N)'!$C$39)^D28)+BE28+BF28</f>
        <v>0</v>
      </c>
      <c r="BH28" s="59"/>
      <c r="BJ28" s="214"/>
    </row>
    <row r="29" spans="1:68" x14ac:dyDescent="0.25">
      <c r="A29" s="59"/>
      <c r="B29" s="70">
        <f t="shared" si="6"/>
        <v>25</v>
      </c>
      <c r="C29" s="67">
        <f ca="1">IF(AND(E29&gt;='Invoer gegevens (N)'!$C$17,E29&lt;'Invoer gegevens (N)'!$C$17+'Invoer gegevens (N)'!$I$14),1,0)</f>
        <v>1</v>
      </c>
      <c r="D29" s="68">
        <f t="shared" si="7"/>
        <v>24.5</v>
      </c>
      <c r="E29" s="69">
        <f ca="1">IF('Invoer gegevens (N)'!$C$16="","",E28+1)</f>
        <v>2043</v>
      </c>
      <c r="F29" s="82">
        <f ca="1">IF('Invoer gegevens (N)'!$C$17=E29,'Invoer gegevens (N)'!$C$10,IF(C29=1,H28,0))</f>
        <v>0</v>
      </c>
      <c r="G29" s="83">
        <f ca="1">IF(E29='Invoer gegevens (N)'!$C$17+'Invoer gegevens (N)'!$I$14,H28,IF(C29&gt;=1,F29*'Reeksen (N)'!C29,0))</f>
        <v>0</v>
      </c>
      <c r="H29" s="84">
        <f ca="1">IF(E29&gt;='Invoer gegevens (N)'!$C$17+'Invoer gegevens (N)'!$I$14,0,F29-G29)</f>
        <v>0</v>
      </c>
      <c r="I29" s="85">
        <f ca="1">IF('Invoer gegevens (N)'!$C$17=E29,'Invoer gegevens (N)'!$C$11,IF(C29=1,L28,0))</f>
        <v>0</v>
      </c>
      <c r="J29" s="86">
        <f ca="1">IF(E29='Invoer gegevens (N)'!$C$17+'Invoer gegevens (N)'!$I$14,L28,IF(C29&lt;1,0,IF('Reeksen (N)'!BG29&lt;='Reeksen (N)'!AE29,I29*'Reeksen (N)'!C29,0)))</f>
        <v>0</v>
      </c>
      <c r="K29" s="86">
        <f ca="1">IF(E29='Invoer gegevens (N)'!$C$17+'Invoer gegevens (N)'!$I$14,L28,IF(C29&lt;1,0,IF('Reeksen (N)'!BG29&gt;'Reeksen (N)'!AE29,I29*'Reeksen (N)'!C29,0)))</f>
        <v>0</v>
      </c>
      <c r="L29" s="86">
        <f ca="1">IF(E29&gt;='Invoer gegevens (N)'!$C$17+'Invoer gegevens (N)'!$I$14,0,I29-J29-K29)</f>
        <v>0</v>
      </c>
      <c r="M29" s="85">
        <f ca="1">IF('Invoer gegevens (N)'!$C$17=E29,'Invoer gegevens (N)'!$C$10-'Invoer gegevens (N)'!$C$11,IF(C29=1,P28,0))</f>
        <v>0</v>
      </c>
      <c r="N29" s="86">
        <f ca="1">IF(E29='Invoer gegevens (N)'!$C$17+'Invoer gegevens (N)'!$I$14,P28,IF(C29&lt;1,0,IF('Reeksen (N)'!BG29&lt;='Reeksen (N)'!AE29,M29*'Reeksen (N)'!C29,0)))</f>
        <v>0</v>
      </c>
      <c r="O29" s="86">
        <f ca="1">IF(E29='Invoer gegevens (N)'!$C$17+'Invoer gegevens (N)'!$I$14,P28,IF(C29&lt;1,0,IF('Reeksen (N)'!BG29&gt;'Reeksen (N)'!AE29,M29*'Reeksen (N)'!C29,0)))</f>
        <v>0</v>
      </c>
      <c r="P29" s="86">
        <f ca="1">IF(E29&gt;='Invoer gegevens (N)'!$C$17+'Invoer gegevens (N)'!$I$14,0,M29-N29-O29)</f>
        <v>0</v>
      </c>
      <c r="Q29" s="82">
        <f ca="1">IF('Invoer gegevens (N)'!$C$17=E29,I29,IF(C29=0,0,R28))</f>
        <v>0</v>
      </c>
      <c r="R29" s="84">
        <f t="shared" ca="1" si="0"/>
        <v>0</v>
      </c>
      <c r="S29" s="84">
        <f ca="1">IF('Invoer gegevens (N)'!$C$17=E29,M29,IF(C29=0,0,T28))</f>
        <v>0</v>
      </c>
      <c r="T29" s="84">
        <f t="shared" ca="1" si="1"/>
        <v>0</v>
      </c>
      <c r="AH29" s="70"/>
      <c r="AI29" s="71">
        <f ca="1">IF(C29=1,((F29+H29)/2*'Reeksen (N)'!BF29*12)+(('Invoer gegevens (N)'!$C$10-(F29+H29)/2)*'Reeksen (N)'!BG29*12),0)</f>
        <v>0</v>
      </c>
      <c r="AJ29" s="71">
        <f ca="1">-AI29*'Invoer gegevens (N)'!$I$26</f>
        <v>0</v>
      </c>
      <c r="AK29" s="71">
        <f t="shared" ca="1" si="2"/>
        <v>0</v>
      </c>
      <c r="AL29" s="71">
        <f ca="1">IF(C29=1,(12*((F29+H29)/2)*'Reeksen (N)'!AL29)+(12*('Invoer gegevens (N)'!$C$10-(F29+H29)/2)*'Reeksen (N)'!AM29),0)</f>
        <v>0</v>
      </c>
      <c r="AM29" s="71">
        <f ca="1">-AL29*'Invoer gegevens (N)'!$F$31</f>
        <v>0</v>
      </c>
      <c r="AN29" s="71">
        <f t="shared" ca="1" si="3"/>
        <v>0</v>
      </c>
      <c r="AO29" s="71"/>
      <c r="AP29" s="71"/>
      <c r="AQ29" s="71">
        <f ca="1">-IF(C29=1,('Invoer gegevens (N)'!$C$10*'Invoer gegevens (N)'!$I$33)*'Reeksen (N)'!J29,0)</f>
        <v>0</v>
      </c>
      <c r="AR29" s="71">
        <f ca="1">-IF(C29=1,(G29*'Invoer gegevens (N)'!$I$34)*'Reeksen (N)'!J29,0)</f>
        <v>0</v>
      </c>
      <c r="AS29" s="71">
        <f ca="1">-IF(C29=1,'Invoer gegevens (N)'!$C$10*'Invoer gegevens (N)'!$I$35*'Reeksen (N)'!L29,0)</f>
        <v>0</v>
      </c>
      <c r="AT29" s="71">
        <f ca="1">-IF(C29=1,IF(E29='Invoer gegevens (N)'!$C$17,'Invoer gegevens (N)'!$C$11,Q29)*'Reeksen (N)'!S29*'Invoer gegevens (N)'!$C$18*'Reeksen (N)'!P29,0)</f>
        <v>0</v>
      </c>
      <c r="AU29" s="71">
        <f ca="1">-IF(C29=1,'Invoer gegevens (N)'!$C$10*'Invoer gegevens (N)'!$I$36*'Reeksen (N)'!H29,0)</f>
        <v>0</v>
      </c>
      <c r="AV29" s="71">
        <f t="shared" ca="1" si="4"/>
        <v>0</v>
      </c>
      <c r="AW29" s="72">
        <f ca="1">IFERROR(IF(E29='Invoer gegevens (N)'!$C$17+'Invoer gegevens (N)'!$I$14-1,'Invoer gegevens (N)'!$I$13*'Invoer gegevens (N)'!$C$10*'Reeksen (N)'!H29,0),0)</f>
        <v>0</v>
      </c>
      <c r="AX29" s="72">
        <f ca="1">IFERROR(IF(E29='Invoer gegevens (N)'!$C$17,-'Invoer gegevens (N)'!$C$10*'Invoer gegevens (N)'!$C$31*'Reeksen (N)'!H29,0),0)</f>
        <v>0</v>
      </c>
      <c r="AY29" s="73">
        <f ca="1">IF('Invoer gegevens (N)'!$C$34=E29,'Invoer gegevens (N)'!$C$27*'Invoer gegevens (N)'!$C$10*'Invoer gegevens (N)'!$C$36*(IF('Invoer gegevens (N)'!$C$35="ja",1,'Reeksen (N)'!J29)),IF('Invoer gegevens (N)'!$C$34+1=E29,'Invoer gegevens (N)'!$C$27*'Invoer gegevens (N)'!$C$10*'Invoer gegevens (N)'!$C$37*(IF('Invoer gegevens (N)'!$C$35="ja",1,'Reeksen (N)'!J29)),0))+IF(AND(E29='Invoer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29" s="73">
        <f ca="1">AV29/(1+'Invoer gegevens (N)'!$I$12)^($D29-('Invoer gegevens (N)'!$C$17-'Invoer gegevens (N)'!$C$16))/(1+'Invoer gegevens (N)'!$C$39)^('Invoer gegevens (N)'!$C$17-'Invoer gegevens (N)'!$C$16)</f>
        <v>0</v>
      </c>
      <c r="BA29" s="73">
        <f ca="1">AW29/(1+'Invoer gegevens (N)'!$I$12)^(E29-('Invoer gegevens (N)'!$C$17-1))/(1+'Invoer gegevens (N)'!$C$39)^('Invoer gegevens (N)'!$C$17-'Invoer gegevens (N)'!$C$16)</f>
        <v>0</v>
      </c>
      <c r="BB29" s="73">
        <f ca="1">AX29/(1+'Invoer gegevens (N)'!$C$39)^('Invoer gegevens (N)'!$C$17-'Invoer gegevens (N)'!$C$16)</f>
        <v>0</v>
      </c>
      <c r="BC29" s="72">
        <f t="shared" ca="1" si="5"/>
        <v>0</v>
      </c>
      <c r="BD29" s="72">
        <f ca="1">IF(AND(E29='Invoer gegevens (N)'!$C$16,'Invoer gegevens (N)'!$C$34&lt;'Invoer gegevens (N)'!$C$16),AY29,AY29/(1+'Invoer gegevens (N)'!$C$39)^D29)</f>
        <v>0</v>
      </c>
      <c r="BE29" s="72">
        <f ca="1">IF(E29='Invoer gegevens (N)'!$C$34,-'Invoer gegevens (N)'!$I$38,0)</f>
        <v>0</v>
      </c>
      <c r="BF29" s="72">
        <f ca="1">IF(E29='Invoer gegevens (N)'!$C$17,-'Invoer gegevens (N)'!$C$19*$BC$66,0)</f>
        <v>0</v>
      </c>
      <c r="BG29" s="72">
        <f ca="1">AV29/(1+$BG$4)^($D29-('Invoer gegevens (N)'!$C$17-'Invoer gegevens (N)'!$C$16))/(1+'Invoer gegevens (N)'!$C$39)^('Invoer gegevens (N)'!$C$17-'Invoer gegevens (N)'!$C$16)+AW29/(1+$BG$4)^(E29-('Invoer gegevens (N)'!$C$17-1))/(1+'Invoer gegevens (N)'!$C$39)^('Invoer gegevens (N)'!$C$17-'Invoer gegevens (N)'!$C$16)+AX29/(1+'Invoer gegevens (N)'!$C$39)^('Invoer gegevens (N)'!$C$17-'Invoer gegevens (N)'!$C$16)+(-AY29/(1+'Invoer gegevens (N)'!$C$39)^D29)+BE29+BF29</f>
        <v>0</v>
      </c>
      <c r="BH29" s="59"/>
      <c r="BI29" s="215"/>
      <c r="BJ29" s="214"/>
    </row>
    <row r="30" spans="1:68" x14ac:dyDescent="0.25">
      <c r="A30" s="59"/>
      <c r="B30" s="70">
        <f t="shared" si="6"/>
        <v>26</v>
      </c>
      <c r="C30" s="67">
        <f ca="1">IF(AND(E30&gt;='Invoer gegevens (N)'!$C$17,E30&lt;'Invoer gegevens (N)'!$C$17+'Invoer gegevens (N)'!$I$14),1,0)</f>
        <v>1</v>
      </c>
      <c r="D30" s="68">
        <f t="shared" si="7"/>
        <v>25.5</v>
      </c>
      <c r="E30" s="69">
        <f ca="1">IF('Invoer gegevens (N)'!$C$16="","",E29+1)</f>
        <v>2044</v>
      </c>
      <c r="F30" s="82">
        <f ca="1">IF('Invoer gegevens (N)'!$C$17=E30,'Invoer gegevens (N)'!$C$10,IF(C30=1,H29,0))</f>
        <v>0</v>
      </c>
      <c r="G30" s="83">
        <f ca="1">IF(E30='Invoer gegevens (N)'!$C$17+'Invoer gegevens (N)'!$I$14,H29,IF(C30&gt;=1,F30*'Reeksen (N)'!C30,0))</f>
        <v>0</v>
      </c>
      <c r="H30" s="84">
        <f ca="1">IF(E30&gt;='Invoer gegevens (N)'!$C$17+'Invoer gegevens (N)'!$I$14,0,F30-G30)</f>
        <v>0</v>
      </c>
      <c r="I30" s="85">
        <f ca="1">IF('Invoer gegevens (N)'!$C$17=E30,'Invoer gegevens (N)'!$C$11,IF(C30=1,L29,0))</f>
        <v>0</v>
      </c>
      <c r="J30" s="86">
        <f ca="1">IF(E30='Invoer gegevens (N)'!$C$17+'Invoer gegevens (N)'!$I$14,L29,IF(C30&lt;1,0,IF('Reeksen (N)'!BG30&lt;='Reeksen (N)'!AE30,I30*'Reeksen (N)'!C30,0)))</f>
        <v>0</v>
      </c>
      <c r="K30" s="86">
        <f ca="1">IF(E30='Invoer gegevens (N)'!$C$17+'Invoer gegevens (N)'!$I$14,L29,IF(C30&lt;1,0,IF('Reeksen (N)'!BG30&gt;'Reeksen (N)'!AE30,I30*'Reeksen (N)'!C30,0)))</f>
        <v>0</v>
      </c>
      <c r="L30" s="86">
        <f ca="1">IF(E30&gt;='Invoer gegevens (N)'!$C$17+'Invoer gegevens (N)'!$I$14,0,I30-J30-K30)</f>
        <v>0</v>
      </c>
      <c r="M30" s="85">
        <f ca="1">IF('Invoer gegevens (N)'!$C$17=E30,'Invoer gegevens (N)'!$C$10-'Invoer gegevens (N)'!$C$11,IF(C30=1,P29,0))</f>
        <v>0</v>
      </c>
      <c r="N30" s="86">
        <f ca="1">IF(E30='Invoer gegevens (N)'!$C$17+'Invoer gegevens (N)'!$I$14,P29,IF(C30&lt;1,0,IF('Reeksen (N)'!BG30&lt;='Reeksen (N)'!AE30,M30*'Reeksen (N)'!C30,0)))</f>
        <v>0</v>
      </c>
      <c r="O30" s="86">
        <f ca="1">IF(E30='Invoer gegevens (N)'!$C$17+'Invoer gegevens (N)'!$I$14,P29,IF(C30&lt;1,0,IF('Reeksen (N)'!BG30&gt;'Reeksen (N)'!AE30,M30*'Reeksen (N)'!C30,0)))</f>
        <v>0</v>
      </c>
      <c r="P30" s="86">
        <f ca="1">IF(E30&gt;='Invoer gegevens (N)'!$C$17+'Invoer gegevens (N)'!$I$14,0,M30-N30-O30)</f>
        <v>0</v>
      </c>
      <c r="Q30" s="82">
        <f ca="1">IF('Invoer gegevens (N)'!$C$17=E30,I30,IF(C30=0,0,R29))</f>
        <v>0</v>
      </c>
      <c r="R30" s="84">
        <f t="shared" ca="1" si="0"/>
        <v>0</v>
      </c>
      <c r="S30" s="84">
        <f ca="1">IF('Invoer gegevens (N)'!$C$17=E30,M30,IF(C30=0,0,T29))</f>
        <v>0</v>
      </c>
      <c r="T30" s="84">
        <f t="shared" ca="1" si="1"/>
        <v>0</v>
      </c>
      <c r="AC30" s="68"/>
      <c r="AD30" s="68"/>
      <c r="AE30" s="68"/>
      <c r="AF30" s="68"/>
      <c r="AG30" s="68"/>
      <c r="AH30" s="70"/>
      <c r="AI30" s="71">
        <f ca="1">IF(C30=1,((F30+H30)/2*'Reeksen (N)'!BF30*12)+(('Invoer gegevens (N)'!$C$10-(F30+H30)/2)*'Reeksen (N)'!BG30*12),0)</f>
        <v>0</v>
      </c>
      <c r="AJ30" s="71">
        <f ca="1">-AI30*'Invoer gegevens (N)'!$I$26</f>
        <v>0</v>
      </c>
      <c r="AK30" s="71">
        <f t="shared" ca="1" si="2"/>
        <v>0</v>
      </c>
      <c r="AL30" s="71">
        <f ca="1">IF(C30=1,(12*((F30+H30)/2)*'Reeksen (N)'!AL30)+(12*('Invoer gegevens (N)'!$C$10-(F30+H30)/2)*'Reeksen (N)'!AM30),0)</f>
        <v>0</v>
      </c>
      <c r="AM30" s="71">
        <f ca="1">-AL30*'Invoer gegevens (N)'!$F$31</f>
        <v>0</v>
      </c>
      <c r="AN30" s="71">
        <f t="shared" ca="1" si="3"/>
        <v>0</v>
      </c>
      <c r="AO30" s="71"/>
      <c r="AP30" s="71"/>
      <c r="AQ30" s="71">
        <f ca="1">-IF(C30=1,('Invoer gegevens (N)'!$C$10*'Invoer gegevens (N)'!$I$33)*'Reeksen (N)'!J30,0)</f>
        <v>0</v>
      </c>
      <c r="AR30" s="71">
        <f ca="1">-IF(C30=1,(G30*'Invoer gegevens (N)'!$I$34)*'Reeksen (N)'!J30,0)</f>
        <v>0</v>
      </c>
      <c r="AS30" s="71">
        <f ca="1">-IF(C30=1,'Invoer gegevens (N)'!$C$10*'Invoer gegevens (N)'!$I$35*'Reeksen (N)'!L30,0)</f>
        <v>0</v>
      </c>
      <c r="AT30" s="71">
        <f ca="1">-IF(C30=1,IF(E30='Invoer gegevens (N)'!$C$17,'Invoer gegevens (N)'!$C$11,Q30)*'Reeksen (N)'!S30*'Invoer gegevens (N)'!$C$18*'Reeksen (N)'!P30,0)</f>
        <v>0</v>
      </c>
      <c r="AU30" s="71">
        <f ca="1">-IF(C30=1,'Invoer gegevens (N)'!$C$10*'Invoer gegevens (N)'!$I$36*'Reeksen (N)'!H30,0)</f>
        <v>0</v>
      </c>
      <c r="AV30" s="71">
        <f t="shared" ca="1" si="4"/>
        <v>0</v>
      </c>
      <c r="AW30" s="72">
        <f ca="1">IFERROR(IF(E30='Invoer gegevens (N)'!$C$17+'Invoer gegevens (N)'!$I$14-1,'Invoer gegevens (N)'!$I$13*'Invoer gegevens (N)'!$C$10*'Reeksen (N)'!H30,0),0)</f>
        <v>0</v>
      </c>
      <c r="AX30" s="72">
        <f ca="1">IFERROR(IF(E30='Invoer gegevens (N)'!$C$17,-'Invoer gegevens (N)'!$C$10*'Invoer gegevens (N)'!$C$31*'Reeksen (N)'!H30,0),0)</f>
        <v>0</v>
      </c>
      <c r="AY30" s="73">
        <f ca="1">IF('Invoer gegevens (N)'!$C$34=E30,'Invoer gegevens (N)'!$C$27*'Invoer gegevens (N)'!$C$10*'Invoer gegevens (N)'!$C$36*(IF('Invoer gegevens (N)'!$C$35="ja",1,'Reeksen (N)'!J30)),IF('Invoer gegevens (N)'!$C$34+1=E30,'Invoer gegevens (N)'!$C$27*'Invoer gegevens (N)'!$C$10*'Invoer gegevens (N)'!$C$37*(IF('Invoer gegevens (N)'!$C$35="ja",1,'Reeksen (N)'!J30)),0))+IF(AND(E30='Invoer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0" s="73">
        <f ca="1">AV30/(1+'Invoer gegevens (N)'!$I$12)^($D30-('Invoer gegevens (N)'!$C$17-'Invoer gegevens (N)'!$C$16))/(1+'Invoer gegevens (N)'!$C$39)^('Invoer gegevens (N)'!$C$17-'Invoer gegevens (N)'!$C$16)</f>
        <v>0</v>
      </c>
      <c r="BA30" s="73">
        <f ca="1">AW30/(1+'Invoer gegevens (N)'!$I$12)^(E30-('Invoer gegevens (N)'!$C$17-1))/(1+'Invoer gegevens (N)'!$C$39)^('Invoer gegevens (N)'!$C$17-'Invoer gegevens (N)'!$C$16)</f>
        <v>0</v>
      </c>
      <c r="BB30" s="73">
        <f ca="1">AX30/(1+'Invoer gegevens (N)'!$C$39)^('Invoer gegevens (N)'!$C$17-'Invoer gegevens (N)'!$C$16)</f>
        <v>0</v>
      </c>
      <c r="BC30" s="72">
        <f t="shared" ca="1" si="5"/>
        <v>0</v>
      </c>
      <c r="BD30" s="72">
        <f ca="1">IF(AND(E30='Invoer gegevens (N)'!$C$16,'Invoer gegevens (N)'!$C$34&lt;'Invoer gegevens (N)'!$C$16),AY30,AY30/(1+'Invoer gegevens (N)'!$C$39)^D30)</f>
        <v>0</v>
      </c>
      <c r="BE30" s="72">
        <f ca="1">IF(E30='Invoer gegevens (N)'!$C$34,-'Invoer gegevens (N)'!$I$38,0)</f>
        <v>0</v>
      </c>
      <c r="BF30" s="72">
        <f ca="1">IF(E30='Invoer gegevens (N)'!$C$17,-'Invoer gegevens (N)'!$C$19*$BC$66,0)</f>
        <v>0</v>
      </c>
      <c r="BG30" s="72">
        <f ca="1">AV30/(1+$BG$4)^($D30-('Invoer gegevens (N)'!$C$17-'Invoer gegevens (N)'!$C$16))/(1+'Invoer gegevens (N)'!$C$39)^('Invoer gegevens (N)'!$C$17-'Invoer gegevens (N)'!$C$16)+AW30/(1+$BG$4)^(E30-('Invoer gegevens (N)'!$C$17-1))/(1+'Invoer gegevens (N)'!$C$39)^('Invoer gegevens (N)'!$C$17-'Invoer gegevens (N)'!$C$16)+AX30/(1+'Invoer gegevens (N)'!$C$39)^('Invoer gegevens (N)'!$C$17-'Invoer gegevens (N)'!$C$16)+(-AY30/(1+'Invoer gegevens (N)'!$C$39)^D30)+BE30+BF30</f>
        <v>0</v>
      </c>
      <c r="BH30" s="59"/>
      <c r="BI30" s="59"/>
      <c r="BJ30" s="216"/>
      <c r="BL30" s="59"/>
      <c r="BM30" s="59"/>
      <c r="BN30" s="59"/>
      <c r="BO30" s="59"/>
      <c r="BP30" s="59"/>
    </row>
    <row r="31" spans="1:68" x14ac:dyDescent="0.25">
      <c r="A31" s="59"/>
      <c r="B31" s="70">
        <f t="shared" si="6"/>
        <v>27</v>
      </c>
      <c r="C31" s="67">
        <f ca="1">IF(AND(E31&gt;='Invoer gegevens (N)'!$C$17,E31&lt;'Invoer gegevens (N)'!$C$17+'Invoer gegevens (N)'!$I$14),1,0)</f>
        <v>1</v>
      </c>
      <c r="D31" s="68">
        <f t="shared" si="7"/>
        <v>26.5</v>
      </c>
      <c r="E31" s="69">
        <f ca="1">IF('Invoer gegevens (N)'!$C$16="","",E30+1)</f>
        <v>2045</v>
      </c>
      <c r="F31" s="82">
        <f ca="1">IF('Invoer gegevens (N)'!$C$17=E31,'Invoer gegevens (N)'!$C$10,IF(C31=1,H30,0))</f>
        <v>0</v>
      </c>
      <c r="G31" s="83">
        <f ca="1">IF(E31='Invoer gegevens (N)'!$C$17+'Invoer gegevens (N)'!$I$14,H30,IF(C31&gt;=1,F31*'Reeksen (N)'!C31,0))</f>
        <v>0</v>
      </c>
      <c r="H31" s="84">
        <f ca="1">IF(E31&gt;='Invoer gegevens (N)'!$C$17+'Invoer gegevens (N)'!$I$14,0,F31-G31)</f>
        <v>0</v>
      </c>
      <c r="I31" s="85">
        <f ca="1">IF('Invoer gegevens (N)'!$C$17=E31,'Invoer gegevens (N)'!$C$11,IF(C31=1,L30,0))</f>
        <v>0</v>
      </c>
      <c r="J31" s="86">
        <f ca="1">IF(E31='Invoer gegevens (N)'!$C$17+'Invoer gegevens (N)'!$I$14,L30,IF(C31&lt;1,0,IF('Reeksen (N)'!BG31&lt;='Reeksen (N)'!AE31,I31*'Reeksen (N)'!C31,0)))</f>
        <v>0</v>
      </c>
      <c r="K31" s="86">
        <f ca="1">IF(E31='Invoer gegevens (N)'!$C$17+'Invoer gegevens (N)'!$I$14,L30,IF(C31&lt;1,0,IF('Reeksen (N)'!BG31&gt;'Reeksen (N)'!AE31,I31*'Reeksen (N)'!C31,0)))</f>
        <v>0</v>
      </c>
      <c r="L31" s="86">
        <f ca="1">IF(E31&gt;='Invoer gegevens (N)'!$C$17+'Invoer gegevens (N)'!$I$14,0,I31-J31-K31)</f>
        <v>0</v>
      </c>
      <c r="M31" s="85">
        <f ca="1">IF('Invoer gegevens (N)'!$C$17=E31,'Invoer gegevens (N)'!$C$10-'Invoer gegevens (N)'!$C$11,IF(C31=1,P30,0))</f>
        <v>0</v>
      </c>
      <c r="N31" s="86">
        <f ca="1">IF(E31='Invoer gegevens (N)'!$C$17+'Invoer gegevens (N)'!$I$14,P30,IF(C31&lt;1,0,IF('Reeksen (N)'!BG31&lt;='Reeksen (N)'!AE31,M31*'Reeksen (N)'!C31,0)))</f>
        <v>0</v>
      </c>
      <c r="O31" s="86">
        <f ca="1">IF(E31='Invoer gegevens (N)'!$C$17+'Invoer gegevens (N)'!$I$14,P30,IF(C31&lt;1,0,IF('Reeksen (N)'!BG31&gt;'Reeksen (N)'!AE31,M31*'Reeksen (N)'!C31,0)))</f>
        <v>0</v>
      </c>
      <c r="P31" s="86">
        <f ca="1">IF(E31&gt;='Invoer gegevens (N)'!$C$17+'Invoer gegevens (N)'!$I$14,0,M31-N31-O31)</f>
        <v>0</v>
      </c>
      <c r="Q31" s="82">
        <f ca="1">IF('Invoer gegevens (N)'!$C$17=E31,I31,IF(C31=0,0,R30))</f>
        <v>0</v>
      </c>
      <c r="R31" s="84">
        <f t="shared" ca="1" si="0"/>
        <v>0</v>
      </c>
      <c r="S31" s="84">
        <f ca="1">IF('Invoer gegevens (N)'!$C$17=E31,M31,IF(C31=0,0,T30))</f>
        <v>0</v>
      </c>
      <c r="T31" s="84">
        <f t="shared" ca="1" si="1"/>
        <v>0</v>
      </c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0"/>
      <c r="AI31" s="71">
        <f ca="1">IF(C31=1,((F31+H31)/2*'Reeksen (N)'!BF31*12)+(('Invoer gegevens (N)'!$C$10-(F31+H31)/2)*'Reeksen (N)'!BG31*12),0)</f>
        <v>0</v>
      </c>
      <c r="AJ31" s="71">
        <f ca="1">-AI31*'Invoer gegevens (N)'!$I$26</f>
        <v>0</v>
      </c>
      <c r="AK31" s="71">
        <f t="shared" ca="1" si="2"/>
        <v>0</v>
      </c>
      <c r="AL31" s="71">
        <f ca="1">IF(C31=1,(12*((F31+H31)/2)*'Reeksen (N)'!AL31)+(12*('Invoer gegevens (N)'!$C$10-(F31+H31)/2)*'Reeksen (N)'!AM31),0)</f>
        <v>0</v>
      </c>
      <c r="AM31" s="71">
        <f ca="1">-AL31*'Invoer gegevens (N)'!$F$31</f>
        <v>0</v>
      </c>
      <c r="AN31" s="71">
        <f t="shared" ca="1" si="3"/>
        <v>0</v>
      </c>
      <c r="AO31" s="71"/>
      <c r="AP31" s="71"/>
      <c r="AQ31" s="71">
        <f ca="1">-IF(C31=1,('Invoer gegevens (N)'!$C$10*'Invoer gegevens (N)'!$I$33)*'Reeksen (N)'!J31,0)</f>
        <v>0</v>
      </c>
      <c r="AR31" s="71">
        <f ca="1">-IF(C31=1,(G31*'Invoer gegevens (N)'!$I$34)*'Reeksen (N)'!J31,0)</f>
        <v>0</v>
      </c>
      <c r="AS31" s="71">
        <f ca="1">-IF(C31=1,'Invoer gegevens (N)'!$C$10*'Invoer gegevens (N)'!$I$35*'Reeksen (N)'!L31,0)</f>
        <v>0</v>
      </c>
      <c r="AT31" s="71">
        <f ca="1">-IF(C31=1,IF(E31='Invoer gegevens (N)'!$C$17,'Invoer gegevens (N)'!$C$11,Q31)*'Reeksen (N)'!S31*'Invoer gegevens (N)'!$C$18*'Reeksen (N)'!P31,0)</f>
        <v>0</v>
      </c>
      <c r="AU31" s="71">
        <f ca="1">-IF(C31=1,'Invoer gegevens (N)'!$C$10*'Invoer gegevens (N)'!$I$36*'Reeksen (N)'!H31,0)</f>
        <v>0</v>
      </c>
      <c r="AV31" s="71">
        <f t="shared" ca="1" si="4"/>
        <v>0</v>
      </c>
      <c r="AW31" s="72">
        <f ca="1">IFERROR(IF(E31='Invoer gegevens (N)'!$C$17+'Invoer gegevens (N)'!$I$14-1,'Invoer gegevens (N)'!$I$13*'Invoer gegevens (N)'!$C$10*'Reeksen (N)'!H31,0),0)</f>
        <v>0</v>
      </c>
      <c r="AX31" s="72">
        <f ca="1">IFERROR(IF(E31='Invoer gegevens (N)'!$C$17,-'Invoer gegevens (N)'!$C$10*'Invoer gegevens (N)'!$C$31*'Reeksen (N)'!H31,0),0)</f>
        <v>0</v>
      </c>
      <c r="AY31" s="73">
        <f ca="1">IF('Invoer gegevens (N)'!$C$34=E31,'Invoer gegevens (N)'!$C$27*'Invoer gegevens (N)'!$C$10*'Invoer gegevens (N)'!$C$36*(IF('Invoer gegevens (N)'!$C$35="ja",1,'Reeksen (N)'!J31)),IF('Invoer gegevens (N)'!$C$34+1=E31,'Invoer gegevens (N)'!$C$27*'Invoer gegevens (N)'!$C$10*'Invoer gegevens (N)'!$C$37*(IF('Invoer gegevens (N)'!$C$35="ja",1,'Reeksen (N)'!J31)),0))+IF(AND(E31='Invoer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1" s="73">
        <f ca="1">AV31/(1+'Invoer gegevens (N)'!$I$12)^($D31-('Invoer gegevens (N)'!$C$17-'Invoer gegevens (N)'!$C$16))/(1+'Invoer gegevens (N)'!$C$39)^('Invoer gegevens (N)'!$C$17-'Invoer gegevens (N)'!$C$16)</f>
        <v>0</v>
      </c>
      <c r="BA31" s="73">
        <f ca="1">AW31/(1+'Invoer gegevens (N)'!$I$12)^(E31-('Invoer gegevens (N)'!$C$17-1))/(1+'Invoer gegevens (N)'!$C$39)^('Invoer gegevens (N)'!$C$17-'Invoer gegevens (N)'!$C$16)</f>
        <v>0</v>
      </c>
      <c r="BB31" s="73">
        <f ca="1">AX31/(1+'Invoer gegevens (N)'!$C$39)^('Invoer gegevens (N)'!$C$17-'Invoer gegevens (N)'!$C$16)</f>
        <v>0</v>
      </c>
      <c r="BC31" s="72">
        <f t="shared" ca="1" si="5"/>
        <v>0</v>
      </c>
      <c r="BD31" s="72">
        <f ca="1">IF(AND(E31='Invoer gegevens (N)'!$C$16,'Invoer gegevens (N)'!$C$34&lt;'Invoer gegevens (N)'!$C$16),AY31,AY31/(1+'Invoer gegevens (N)'!$C$39)^D31)</f>
        <v>0</v>
      </c>
      <c r="BE31" s="72">
        <f ca="1">IF(E31='Invoer gegevens (N)'!$C$34,-'Invoer gegevens (N)'!$I$38,0)</f>
        <v>0</v>
      </c>
      <c r="BF31" s="72">
        <f ca="1">IF(E31='Invoer gegevens (N)'!$C$17,-'Invoer gegevens (N)'!$C$19*$BC$66,0)</f>
        <v>0</v>
      </c>
      <c r="BG31" s="72">
        <f ca="1">AV31/(1+$BG$4)^($D31-('Invoer gegevens (N)'!$C$17-'Invoer gegevens (N)'!$C$16))/(1+'Invoer gegevens (N)'!$C$39)^('Invoer gegevens (N)'!$C$17-'Invoer gegevens (N)'!$C$16)+AW31/(1+$BG$4)^(E31-('Invoer gegevens (N)'!$C$17-1))/(1+'Invoer gegevens (N)'!$C$39)^('Invoer gegevens (N)'!$C$17-'Invoer gegevens (N)'!$C$16)+AX31/(1+'Invoer gegevens (N)'!$C$39)^('Invoer gegevens (N)'!$C$17-'Invoer gegevens (N)'!$C$16)+(-AY31/(1+'Invoer gegevens (N)'!$C$39)^D31)+BE31+BF31</f>
        <v>0</v>
      </c>
      <c r="BH31" s="59"/>
      <c r="BI31" s="215"/>
      <c r="BJ31" s="214"/>
    </row>
    <row r="32" spans="1:68" x14ac:dyDescent="0.25">
      <c r="A32" s="59"/>
      <c r="B32" s="70">
        <f t="shared" si="6"/>
        <v>28</v>
      </c>
      <c r="C32" s="67">
        <f ca="1">IF(AND(E32&gt;='Invoer gegevens (N)'!$C$17,E32&lt;'Invoer gegevens (N)'!$C$17+'Invoer gegevens (N)'!$I$14),1,0)</f>
        <v>1</v>
      </c>
      <c r="D32" s="68">
        <f t="shared" si="7"/>
        <v>27.5</v>
      </c>
      <c r="E32" s="69">
        <f ca="1">IF('Invoer gegevens (N)'!$C$16="","",E31+1)</f>
        <v>2046</v>
      </c>
      <c r="F32" s="82">
        <f ca="1">IF('Invoer gegevens (N)'!$C$17=E32,'Invoer gegevens (N)'!$C$10,IF(C32=1,H31,0))</f>
        <v>0</v>
      </c>
      <c r="G32" s="83">
        <f ca="1">IF(E32='Invoer gegevens (N)'!$C$17+'Invoer gegevens (N)'!$I$14,H31,IF(C32&gt;=1,F32*'Reeksen (N)'!C32,0))</f>
        <v>0</v>
      </c>
      <c r="H32" s="84">
        <f ca="1">IF(E32&gt;='Invoer gegevens (N)'!$C$17+'Invoer gegevens (N)'!$I$14,0,F32-G32)</f>
        <v>0</v>
      </c>
      <c r="I32" s="85">
        <f ca="1">IF('Invoer gegevens (N)'!$C$17=E32,'Invoer gegevens (N)'!$C$11,IF(C32=1,L31,0))</f>
        <v>0</v>
      </c>
      <c r="J32" s="86">
        <f ca="1">IF(E32='Invoer gegevens (N)'!$C$17+'Invoer gegevens (N)'!$I$14,L31,IF(C32&lt;1,0,IF('Reeksen (N)'!BG32&lt;='Reeksen (N)'!AE32,I32*'Reeksen (N)'!C32,0)))</f>
        <v>0</v>
      </c>
      <c r="K32" s="86">
        <f ca="1">IF(E32='Invoer gegevens (N)'!$C$17+'Invoer gegevens (N)'!$I$14,L31,IF(C32&lt;1,0,IF('Reeksen (N)'!BG32&gt;'Reeksen (N)'!AE32,I32*'Reeksen (N)'!C32,0)))</f>
        <v>0</v>
      </c>
      <c r="L32" s="86">
        <f ca="1">IF(E32&gt;='Invoer gegevens (N)'!$C$17+'Invoer gegevens (N)'!$I$14,0,I32-J32-K32)</f>
        <v>0</v>
      </c>
      <c r="M32" s="85">
        <f ca="1">IF('Invoer gegevens (N)'!$C$17=E32,'Invoer gegevens (N)'!$C$10-'Invoer gegevens (N)'!$C$11,IF(C32=1,P31,0))</f>
        <v>0</v>
      </c>
      <c r="N32" s="86">
        <f ca="1">IF(E32='Invoer gegevens (N)'!$C$17+'Invoer gegevens (N)'!$I$14,P31,IF(C32&lt;1,0,IF('Reeksen (N)'!BG32&lt;='Reeksen (N)'!AE32,M32*'Reeksen (N)'!C32,0)))</f>
        <v>0</v>
      </c>
      <c r="O32" s="86">
        <f ca="1">IF(E32='Invoer gegevens (N)'!$C$17+'Invoer gegevens (N)'!$I$14,P31,IF(C32&lt;1,0,IF('Reeksen (N)'!BG32&gt;'Reeksen (N)'!AE32,M32*'Reeksen (N)'!C32,0)))</f>
        <v>0</v>
      </c>
      <c r="P32" s="86">
        <f ca="1">IF(E32&gt;='Invoer gegevens (N)'!$C$17+'Invoer gegevens (N)'!$I$14,0,M32-N32-O32)</f>
        <v>0</v>
      </c>
      <c r="Q32" s="82">
        <f ca="1">IF('Invoer gegevens (N)'!$C$17=E32,I32,IF(C32=0,0,R31))</f>
        <v>0</v>
      </c>
      <c r="R32" s="84">
        <f t="shared" ca="1" si="0"/>
        <v>0</v>
      </c>
      <c r="S32" s="84">
        <f ca="1">IF('Invoer gegevens (N)'!$C$17=E32,M32,IF(C32=0,0,T31))</f>
        <v>0</v>
      </c>
      <c r="T32" s="84">
        <f t="shared" ca="1" si="1"/>
        <v>0</v>
      </c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70"/>
      <c r="AI32" s="71">
        <f ca="1">IF(C32=1,((F32+H32)/2*'Reeksen (N)'!BF32*12)+(('Invoer gegevens (N)'!$C$10-(F32+H32)/2)*'Reeksen (N)'!BG32*12),0)</f>
        <v>0</v>
      </c>
      <c r="AJ32" s="71">
        <f ca="1">-AI32*'Invoer gegevens (N)'!$I$26</f>
        <v>0</v>
      </c>
      <c r="AK32" s="71">
        <f t="shared" ca="1" si="2"/>
        <v>0</v>
      </c>
      <c r="AL32" s="71">
        <f ca="1">IF(C32=1,(12*((F32+H32)/2)*'Reeksen (N)'!AL32)+(12*('Invoer gegevens (N)'!$C$10-(F32+H32)/2)*'Reeksen (N)'!AM32),0)</f>
        <v>0</v>
      </c>
      <c r="AM32" s="71">
        <f ca="1">-AL32*'Invoer gegevens (N)'!$F$31</f>
        <v>0</v>
      </c>
      <c r="AN32" s="71">
        <f t="shared" ca="1" si="3"/>
        <v>0</v>
      </c>
      <c r="AO32" s="71"/>
      <c r="AP32" s="71"/>
      <c r="AQ32" s="71">
        <f ca="1">-IF(C32=1,('Invoer gegevens (N)'!$C$10*'Invoer gegevens (N)'!$I$33)*'Reeksen (N)'!J32,0)</f>
        <v>0</v>
      </c>
      <c r="AR32" s="71">
        <f ca="1">-IF(C32=1,(G32*'Invoer gegevens (N)'!$I$34)*'Reeksen (N)'!J32,0)</f>
        <v>0</v>
      </c>
      <c r="AS32" s="71">
        <f ca="1">-IF(C32=1,'Invoer gegevens (N)'!$C$10*'Invoer gegevens (N)'!$I$35*'Reeksen (N)'!L32,0)</f>
        <v>0</v>
      </c>
      <c r="AT32" s="71">
        <f ca="1">-IF(C32=1,IF(E32='Invoer gegevens (N)'!$C$17,'Invoer gegevens (N)'!$C$11,Q32)*'Reeksen (N)'!S32*'Invoer gegevens (N)'!$C$18*'Reeksen (N)'!P32,0)</f>
        <v>0</v>
      </c>
      <c r="AU32" s="71">
        <f ca="1">-IF(C32=1,'Invoer gegevens (N)'!$C$10*'Invoer gegevens (N)'!$I$36*'Reeksen (N)'!H32,0)</f>
        <v>0</v>
      </c>
      <c r="AV32" s="71">
        <f t="shared" ca="1" si="4"/>
        <v>0</v>
      </c>
      <c r="AW32" s="72">
        <f ca="1">IFERROR(IF(E32='Invoer gegevens (N)'!$C$17+'Invoer gegevens (N)'!$I$14-1,'Invoer gegevens (N)'!$I$13*'Invoer gegevens (N)'!$C$10*'Reeksen (N)'!H32,0),0)</f>
        <v>0</v>
      </c>
      <c r="AX32" s="72">
        <f ca="1">IFERROR(IF(E32='Invoer gegevens (N)'!$C$17,-'Invoer gegevens (N)'!$C$10*'Invoer gegevens (N)'!$C$31*'Reeksen (N)'!H32,0),0)</f>
        <v>0</v>
      </c>
      <c r="AY32" s="73">
        <f ca="1">IF('Invoer gegevens (N)'!$C$34=E32,'Invoer gegevens (N)'!$C$27*'Invoer gegevens (N)'!$C$10*'Invoer gegevens (N)'!$C$36*(IF('Invoer gegevens (N)'!$C$35="ja",1,'Reeksen (N)'!J32)),IF('Invoer gegevens (N)'!$C$34+1=E32,'Invoer gegevens (N)'!$C$27*'Invoer gegevens (N)'!$C$10*'Invoer gegevens (N)'!$C$37*(IF('Invoer gegevens (N)'!$C$35="ja",1,'Reeksen (N)'!J32)),0))+IF(AND(E32='Invoer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2" s="73">
        <f ca="1">AV32/(1+'Invoer gegevens (N)'!$I$12)^($D32-('Invoer gegevens (N)'!$C$17-'Invoer gegevens (N)'!$C$16))/(1+'Invoer gegevens (N)'!$C$39)^('Invoer gegevens (N)'!$C$17-'Invoer gegevens (N)'!$C$16)</f>
        <v>0</v>
      </c>
      <c r="BA32" s="73">
        <f ca="1">AW32/(1+'Invoer gegevens (N)'!$I$12)^(E32-('Invoer gegevens (N)'!$C$17-1))/(1+'Invoer gegevens (N)'!$C$39)^('Invoer gegevens (N)'!$C$17-'Invoer gegevens (N)'!$C$16)</f>
        <v>0</v>
      </c>
      <c r="BB32" s="73">
        <f ca="1">AX32/(1+'Invoer gegevens (N)'!$C$39)^('Invoer gegevens (N)'!$C$17-'Invoer gegevens (N)'!$C$16)</f>
        <v>0</v>
      </c>
      <c r="BC32" s="72">
        <f t="shared" ca="1" si="5"/>
        <v>0</v>
      </c>
      <c r="BD32" s="72">
        <f ca="1">IF(AND(E32='Invoer gegevens (N)'!$C$16,'Invoer gegevens (N)'!$C$34&lt;'Invoer gegevens (N)'!$C$16),AY32,AY32/(1+'Invoer gegevens (N)'!$C$39)^D32)</f>
        <v>0</v>
      </c>
      <c r="BE32" s="72">
        <f ca="1">IF(E32='Invoer gegevens (N)'!$C$34,-'Invoer gegevens (N)'!$I$38,0)</f>
        <v>0</v>
      </c>
      <c r="BF32" s="72">
        <f ca="1">IF(E32='Invoer gegevens (N)'!$C$17,-'Invoer gegevens (N)'!$C$19*$BC$66,0)</f>
        <v>0</v>
      </c>
      <c r="BG32" s="72">
        <f ca="1">AV32/(1+$BG$4)^($D32-('Invoer gegevens (N)'!$C$17-'Invoer gegevens (N)'!$C$16))/(1+'Invoer gegevens (N)'!$C$39)^('Invoer gegevens (N)'!$C$17-'Invoer gegevens (N)'!$C$16)+AW32/(1+$BG$4)^(E32-('Invoer gegevens (N)'!$C$17-1))/(1+'Invoer gegevens (N)'!$C$39)^('Invoer gegevens (N)'!$C$17-'Invoer gegevens (N)'!$C$16)+AX32/(1+'Invoer gegevens (N)'!$C$39)^('Invoer gegevens (N)'!$C$17-'Invoer gegevens (N)'!$C$16)+(-AY32/(1+'Invoer gegevens (N)'!$C$39)^D32)+BE32+BF32</f>
        <v>0</v>
      </c>
      <c r="BH32" s="59"/>
      <c r="BI32" s="215"/>
      <c r="BJ32" s="214"/>
    </row>
    <row r="33" spans="2:62" x14ac:dyDescent="0.25">
      <c r="B33" s="70">
        <f t="shared" si="6"/>
        <v>29</v>
      </c>
      <c r="C33" s="67">
        <f ca="1">IF(AND(E33&gt;='Invoer gegevens (N)'!$C$17,E33&lt;'Invoer gegevens (N)'!$C$17+'Invoer gegevens (N)'!$I$14),1,0)</f>
        <v>1</v>
      </c>
      <c r="D33" s="68">
        <f t="shared" si="7"/>
        <v>28.5</v>
      </c>
      <c r="E33" s="69">
        <f ca="1">IF('Invoer gegevens (N)'!$C$16="","",E32+1)</f>
        <v>2047</v>
      </c>
      <c r="F33" s="82">
        <f ca="1">IF('Invoer gegevens (N)'!$C$17=E33,'Invoer gegevens (N)'!$C$10,IF(C33=1,H32,0))</f>
        <v>0</v>
      </c>
      <c r="G33" s="83">
        <f ca="1">IF(E33='Invoer gegevens (N)'!$C$17+'Invoer gegevens (N)'!$I$14,H32,IF(C33&gt;=1,F33*'Reeksen (N)'!C33,0))</f>
        <v>0</v>
      </c>
      <c r="H33" s="84">
        <f ca="1">IF(E33&gt;='Invoer gegevens (N)'!$C$17+'Invoer gegevens (N)'!$I$14,0,F33-G33)</f>
        <v>0</v>
      </c>
      <c r="I33" s="85">
        <f ca="1">IF('Invoer gegevens (N)'!$C$17=E33,'Invoer gegevens (N)'!$C$11,IF(C33=1,L32,0))</f>
        <v>0</v>
      </c>
      <c r="J33" s="86">
        <f ca="1">IF(E33='Invoer gegevens (N)'!$C$17+'Invoer gegevens (N)'!$I$14,L32,IF(C33&lt;1,0,IF('Reeksen (N)'!BG33&lt;='Reeksen (N)'!AE33,I33*'Reeksen (N)'!C33,0)))</f>
        <v>0</v>
      </c>
      <c r="K33" s="86">
        <f ca="1">IF(E33='Invoer gegevens (N)'!$C$17+'Invoer gegevens (N)'!$I$14,L32,IF(C33&lt;1,0,IF('Reeksen (N)'!BG33&gt;'Reeksen (N)'!AE33,I33*'Reeksen (N)'!C33,0)))</f>
        <v>0</v>
      </c>
      <c r="L33" s="86">
        <f ca="1">IF(E33&gt;='Invoer gegevens (N)'!$C$17+'Invoer gegevens (N)'!$I$14,0,I33-J33-K33)</f>
        <v>0</v>
      </c>
      <c r="M33" s="85">
        <f ca="1">IF('Invoer gegevens (N)'!$C$17=E33,'Invoer gegevens (N)'!$C$10-'Invoer gegevens (N)'!$C$11,IF(C33=1,P32,0))</f>
        <v>0</v>
      </c>
      <c r="N33" s="86">
        <f ca="1">IF(E33='Invoer gegevens (N)'!$C$17+'Invoer gegevens (N)'!$I$14,P32,IF(C33&lt;1,0,IF('Reeksen (N)'!BG33&lt;='Reeksen (N)'!AE33,M33*'Reeksen (N)'!C33,0)))</f>
        <v>0</v>
      </c>
      <c r="O33" s="86">
        <f ca="1">IF(E33='Invoer gegevens (N)'!$C$17+'Invoer gegevens (N)'!$I$14,P32,IF(C33&lt;1,0,IF('Reeksen (N)'!BG33&gt;'Reeksen (N)'!AE33,M33*'Reeksen (N)'!C33,0)))</f>
        <v>0</v>
      </c>
      <c r="P33" s="86">
        <f ca="1">IF(E33&gt;='Invoer gegevens (N)'!$C$17+'Invoer gegevens (N)'!$I$14,0,M33-N33-O33)</f>
        <v>0</v>
      </c>
      <c r="Q33" s="82">
        <f ca="1">IF('Invoer gegevens (N)'!$C$17=E33,I33,IF(C33=0,0,R32))</f>
        <v>0</v>
      </c>
      <c r="R33" s="84">
        <f t="shared" ca="1" si="0"/>
        <v>0</v>
      </c>
      <c r="S33" s="84">
        <f ca="1">IF('Invoer gegevens (N)'!$C$17=E33,M33,IF(C33=0,0,T32))</f>
        <v>0</v>
      </c>
      <c r="T33" s="84">
        <f t="shared" ca="1" si="1"/>
        <v>0</v>
      </c>
      <c r="AH33" s="70"/>
      <c r="AI33" s="71">
        <f ca="1">IF(C33=1,((F33+H33)/2*'Reeksen (N)'!BF33*12)+(('Invoer gegevens (N)'!$C$10-(F33+H33)/2)*'Reeksen (N)'!BG33*12),0)</f>
        <v>0</v>
      </c>
      <c r="AJ33" s="71">
        <f ca="1">-AI33*'Invoer gegevens (N)'!$I$26</f>
        <v>0</v>
      </c>
      <c r="AK33" s="71">
        <f t="shared" ca="1" si="2"/>
        <v>0</v>
      </c>
      <c r="AL33" s="71">
        <f ca="1">IF(C33=1,(12*((F33+H33)/2)*'Reeksen (N)'!AL33)+(12*('Invoer gegevens (N)'!$C$10-(F33+H33)/2)*'Reeksen (N)'!AM33),0)</f>
        <v>0</v>
      </c>
      <c r="AM33" s="71">
        <f ca="1">-AL33*'Invoer gegevens (N)'!$F$31</f>
        <v>0</v>
      </c>
      <c r="AN33" s="71">
        <f t="shared" ca="1" si="3"/>
        <v>0</v>
      </c>
      <c r="AO33" s="71"/>
      <c r="AP33" s="71"/>
      <c r="AQ33" s="71">
        <f ca="1">-IF(C33=1,('Invoer gegevens (N)'!$C$10*'Invoer gegevens (N)'!$I$33)*'Reeksen (N)'!J33,0)</f>
        <v>0</v>
      </c>
      <c r="AR33" s="71">
        <f ca="1">-IF(C33=1,(G33*'Invoer gegevens (N)'!$I$34)*'Reeksen (N)'!J33,0)</f>
        <v>0</v>
      </c>
      <c r="AS33" s="71">
        <f ca="1">-IF(C33=1,'Invoer gegevens (N)'!$C$10*'Invoer gegevens (N)'!$I$35*'Reeksen (N)'!L33,0)</f>
        <v>0</v>
      </c>
      <c r="AT33" s="71">
        <f ca="1">-IF(C33=1,IF(E33='Invoer gegevens (N)'!$C$17,'Invoer gegevens (N)'!$C$11,Q33)*'Reeksen (N)'!S33*'Invoer gegevens (N)'!$C$18*'Reeksen (N)'!P33,0)</f>
        <v>0</v>
      </c>
      <c r="AU33" s="71">
        <f ca="1">-IF(C33=1,'Invoer gegevens (N)'!$C$10*'Invoer gegevens (N)'!$I$36*'Reeksen (N)'!H33,0)</f>
        <v>0</v>
      </c>
      <c r="AV33" s="71">
        <f t="shared" ca="1" si="4"/>
        <v>0</v>
      </c>
      <c r="AW33" s="72">
        <f ca="1">IFERROR(IF(E33='Invoer gegevens (N)'!$C$17+'Invoer gegevens (N)'!$I$14-1,'Invoer gegevens (N)'!$I$13*'Invoer gegevens (N)'!$C$10*'Reeksen (N)'!H33,0),0)</f>
        <v>0</v>
      </c>
      <c r="AX33" s="72">
        <f ca="1">IFERROR(IF(E33='Invoer gegevens (N)'!$C$17,-'Invoer gegevens (N)'!$C$10*'Invoer gegevens (N)'!$C$31*'Reeksen (N)'!H33,0),0)</f>
        <v>0</v>
      </c>
      <c r="AY33" s="73">
        <f ca="1">IF('Invoer gegevens (N)'!$C$34=E33,'Invoer gegevens (N)'!$C$27*'Invoer gegevens (N)'!$C$10*'Invoer gegevens (N)'!$C$36*(IF('Invoer gegevens (N)'!$C$35="ja",1,'Reeksen (N)'!J33)),IF('Invoer gegevens (N)'!$C$34+1=E33,'Invoer gegevens (N)'!$C$27*'Invoer gegevens (N)'!$C$10*'Invoer gegevens (N)'!$C$37*(IF('Invoer gegevens (N)'!$C$35="ja",1,'Reeksen (N)'!J33)),0))+IF(AND(E33='Invoer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3" s="73">
        <f ca="1">AV33/(1+'Invoer gegevens (N)'!$I$12)^($D33-('Invoer gegevens (N)'!$C$17-'Invoer gegevens (N)'!$C$16))/(1+'Invoer gegevens (N)'!$C$39)^('Invoer gegevens (N)'!$C$17-'Invoer gegevens (N)'!$C$16)</f>
        <v>0</v>
      </c>
      <c r="BA33" s="73">
        <f ca="1">AW33/(1+'Invoer gegevens (N)'!$I$12)^(E33-('Invoer gegevens (N)'!$C$17-1))/(1+'Invoer gegevens (N)'!$C$39)^('Invoer gegevens (N)'!$C$17-'Invoer gegevens (N)'!$C$16)</f>
        <v>0</v>
      </c>
      <c r="BB33" s="73">
        <f ca="1">AX33/(1+'Invoer gegevens (N)'!$C$39)^('Invoer gegevens (N)'!$C$17-'Invoer gegevens (N)'!$C$16)</f>
        <v>0</v>
      </c>
      <c r="BC33" s="72">
        <f t="shared" ca="1" si="5"/>
        <v>0</v>
      </c>
      <c r="BD33" s="72">
        <f ca="1">IF(AND(E33='Invoer gegevens (N)'!$C$16,'Invoer gegevens (N)'!$C$34&lt;'Invoer gegevens (N)'!$C$16),AY33,AY33/(1+'Invoer gegevens (N)'!$C$39)^D33)</f>
        <v>0</v>
      </c>
      <c r="BE33" s="72">
        <f ca="1">IF(E33='Invoer gegevens (N)'!$C$34,-'Invoer gegevens (N)'!$I$38,0)</f>
        <v>0</v>
      </c>
      <c r="BF33" s="72">
        <f ca="1">IF(E33='Invoer gegevens (N)'!$C$17,-'Invoer gegevens (N)'!$C$19*$BC$66,0)</f>
        <v>0</v>
      </c>
      <c r="BG33" s="72">
        <f ca="1">AV33/(1+$BG$4)^($D33-('Invoer gegevens (N)'!$C$17-'Invoer gegevens (N)'!$C$16))/(1+'Invoer gegevens (N)'!$C$39)^('Invoer gegevens (N)'!$C$17-'Invoer gegevens (N)'!$C$16)+AW33/(1+$BG$4)^(E33-('Invoer gegevens (N)'!$C$17-1))/(1+'Invoer gegevens (N)'!$C$39)^('Invoer gegevens (N)'!$C$17-'Invoer gegevens (N)'!$C$16)+AX33/(1+'Invoer gegevens (N)'!$C$39)^('Invoer gegevens (N)'!$C$17-'Invoer gegevens (N)'!$C$16)+(-AY33/(1+'Invoer gegevens (N)'!$C$39)^D33)+BE33+BF33</f>
        <v>0</v>
      </c>
      <c r="BH33" s="59"/>
      <c r="BI33" s="215"/>
      <c r="BJ33" s="214"/>
    </row>
    <row r="34" spans="2:62" x14ac:dyDescent="0.25">
      <c r="B34" s="70">
        <f t="shared" si="6"/>
        <v>30</v>
      </c>
      <c r="C34" s="67">
        <f ca="1">IF(AND(E34&gt;='Invoer gegevens (N)'!$C$17,E34&lt;'Invoer gegevens (N)'!$C$17+'Invoer gegevens (N)'!$I$14),1,0)</f>
        <v>1</v>
      </c>
      <c r="D34" s="68">
        <f t="shared" si="7"/>
        <v>29.5</v>
      </c>
      <c r="E34" s="69">
        <f ca="1">IF('Invoer gegevens (N)'!$C$16="","",E33+1)</f>
        <v>2048</v>
      </c>
      <c r="F34" s="82">
        <f ca="1">IF('Invoer gegevens (N)'!$C$17=E34,'Invoer gegevens (N)'!$C$10,IF(C34=1,H33,0))</f>
        <v>0</v>
      </c>
      <c r="G34" s="83">
        <f ca="1">IF(E34='Invoer gegevens (N)'!$C$17+'Invoer gegevens (N)'!$I$14,H33,IF(C34&gt;=1,F34*'Reeksen (N)'!C34,0))</f>
        <v>0</v>
      </c>
      <c r="H34" s="84">
        <f ca="1">IF(E34&gt;='Invoer gegevens (N)'!$C$17+'Invoer gegevens (N)'!$I$14,0,F34-G34)</f>
        <v>0</v>
      </c>
      <c r="I34" s="85">
        <f ca="1">IF('Invoer gegevens (N)'!$C$17=E34,'Invoer gegevens (N)'!$C$11,IF(C34=1,L33,0))</f>
        <v>0</v>
      </c>
      <c r="J34" s="86">
        <f ca="1">IF(E34='Invoer gegevens (N)'!$C$17+'Invoer gegevens (N)'!$I$14,L33,IF(C34&lt;1,0,IF('Reeksen (N)'!BG34&lt;='Reeksen (N)'!AE34,I34*'Reeksen (N)'!C34,0)))</f>
        <v>0</v>
      </c>
      <c r="K34" s="86">
        <f ca="1">IF(E34='Invoer gegevens (N)'!$C$17+'Invoer gegevens (N)'!$I$14,L33,IF(C34&lt;1,0,IF('Reeksen (N)'!BG34&gt;'Reeksen (N)'!AE34,I34*'Reeksen (N)'!C34,0)))</f>
        <v>0</v>
      </c>
      <c r="L34" s="86">
        <f ca="1">IF(E34&gt;='Invoer gegevens (N)'!$C$17+'Invoer gegevens (N)'!$I$14,0,I34-J34-K34)</f>
        <v>0</v>
      </c>
      <c r="M34" s="85">
        <f ca="1">IF('Invoer gegevens (N)'!$C$17=E34,'Invoer gegevens (N)'!$C$10-'Invoer gegevens (N)'!$C$11,IF(C34=1,P33,0))</f>
        <v>0</v>
      </c>
      <c r="N34" s="86">
        <f ca="1">IF(E34='Invoer gegevens (N)'!$C$17+'Invoer gegevens (N)'!$I$14,P33,IF(C34&lt;1,0,IF('Reeksen (N)'!BG34&lt;='Reeksen (N)'!AE34,M34*'Reeksen (N)'!C34,0)))</f>
        <v>0</v>
      </c>
      <c r="O34" s="86">
        <f ca="1">IF(E34='Invoer gegevens (N)'!$C$17+'Invoer gegevens (N)'!$I$14,P33,IF(C34&lt;1,0,IF('Reeksen (N)'!BG34&gt;'Reeksen (N)'!AE34,M34*'Reeksen (N)'!C34,0)))</f>
        <v>0</v>
      </c>
      <c r="P34" s="86">
        <f ca="1">IF(E34&gt;='Invoer gegevens (N)'!$C$17+'Invoer gegevens (N)'!$I$14,0,M34-N34-O34)</f>
        <v>0</v>
      </c>
      <c r="Q34" s="82">
        <f ca="1">IF('Invoer gegevens (N)'!$C$17=E34,I34,IF(C34=0,0,R33))</f>
        <v>0</v>
      </c>
      <c r="R34" s="84">
        <f t="shared" ca="1" si="0"/>
        <v>0</v>
      </c>
      <c r="S34" s="84">
        <f ca="1">IF('Invoer gegevens (N)'!$C$17=E34,M34,IF(C34=0,0,T33))</f>
        <v>0</v>
      </c>
      <c r="T34" s="84">
        <f t="shared" ca="1" si="1"/>
        <v>0</v>
      </c>
      <c r="AH34" s="70"/>
      <c r="AI34" s="71">
        <f ca="1">IF(C34=1,((F34+H34)/2*'Reeksen (N)'!BF34*12)+(('Invoer gegevens (N)'!$C$10-(F34+H34)/2)*'Reeksen (N)'!BG34*12),0)</f>
        <v>0</v>
      </c>
      <c r="AJ34" s="71">
        <f ca="1">-AI34*'Invoer gegevens (N)'!$I$26</f>
        <v>0</v>
      </c>
      <c r="AK34" s="71">
        <f t="shared" ca="1" si="2"/>
        <v>0</v>
      </c>
      <c r="AL34" s="71">
        <f ca="1">IF(C34=1,(12*((F34+H34)/2)*'Reeksen (N)'!AL34)+(12*('Invoer gegevens (N)'!$C$10-(F34+H34)/2)*'Reeksen (N)'!AM34),0)</f>
        <v>0</v>
      </c>
      <c r="AM34" s="71">
        <f ca="1">-AL34*'Invoer gegevens (N)'!$F$31</f>
        <v>0</v>
      </c>
      <c r="AN34" s="71">
        <f t="shared" ca="1" si="3"/>
        <v>0</v>
      </c>
      <c r="AO34" s="71"/>
      <c r="AP34" s="71"/>
      <c r="AQ34" s="71">
        <f ca="1">-IF(C34=1,('Invoer gegevens (N)'!$C$10*'Invoer gegevens (N)'!$I$33)*'Reeksen (N)'!J34,0)</f>
        <v>0</v>
      </c>
      <c r="AR34" s="71">
        <f ca="1">-IF(C34=1,(G34*'Invoer gegevens (N)'!$I$34)*'Reeksen (N)'!J34,0)</f>
        <v>0</v>
      </c>
      <c r="AS34" s="71">
        <f ca="1">-IF(C34=1,'Invoer gegevens (N)'!$C$10*'Invoer gegevens (N)'!$I$35*'Reeksen (N)'!L34,0)</f>
        <v>0</v>
      </c>
      <c r="AT34" s="71">
        <f ca="1">-IF(C34=1,IF(E34='Invoer gegevens (N)'!$C$17,'Invoer gegevens (N)'!$C$11,Q34)*'Reeksen (N)'!S34*'Invoer gegevens (N)'!$C$18*'Reeksen (N)'!P34,0)</f>
        <v>0</v>
      </c>
      <c r="AU34" s="71">
        <f ca="1">-IF(C34=1,'Invoer gegevens (N)'!$C$10*'Invoer gegevens (N)'!$I$36*'Reeksen (N)'!H34,0)</f>
        <v>0</v>
      </c>
      <c r="AV34" s="71">
        <f t="shared" ca="1" si="4"/>
        <v>0</v>
      </c>
      <c r="AW34" s="72">
        <f ca="1">IFERROR(IF(E34='Invoer gegevens (N)'!$C$17+'Invoer gegevens (N)'!$I$14-1,'Invoer gegevens (N)'!$I$13*'Invoer gegevens (N)'!$C$10*'Reeksen (N)'!H34,0),0)</f>
        <v>0</v>
      </c>
      <c r="AX34" s="72">
        <f ca="1">IFERROR(IF(E34='Invoer gegevens (N)'!$C$17,-'Invoer gegevens (N)'!$C$10*'Invoer gegevens (N)'!$C$31*'Reeksen (N)'!H34,0),0)</f>
        <v>0</v>
      </c>
      <c r="AY34" s="73">
        <f ca="1">IF('Invoer gegevens (N)'!$C$34=E34,'Invoer gegevens (N)'!$C$27*'Invoer gegevens (N)'!$C$10*'Invoer gegevens (N)'!$C$36*(IF('Invoer gegevens (N)'!$C$35="ja",1,'Reeksen (N)'!J34)),IF('Invoer gegevens (N)'!$C$34+1=E34,'Invoer gegevens (N)'!$C$27*'Invoer gegevens (N)'!$C$10*'Invoer gegevens (N)'!$C$37*(IF('Invoer gegevens (N)'!$C$35="ja",1,'Reeksen (N)'!J34)),0))+IF(AND(E34='Invoer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4" s="73">
        <f ca="1">AV34/(1+'Invoer gegevens (N)'!$I$12)^($D34-('Invoer gegevens (N)'!$C$17-'Invoer gegevens (N)'!$C$16))/(1+'Invoer gegevens (N)'!$C$39)^('Invoer gegevens (N)'!$C$17-'Invoer gegevens (N)'!$C$16)</f>
        <v>0</v>
      </c>
      <c r="BA34" s="73">
        <f ca="1">AW34/(1+'Invoer gegevens (N)'!$I$12)^(E34-('Invoer gegevens (N)'!$C$17-1))/(1+'Invoer gegevens (N)'!$C$39)^('Invoer gegevens (N)'!$C$17-'Invoer gegevens (N)'!$C$16)</f>
        <v>0</v>
      </c>
      <c r="BB34" s="73">
        <f ca="1">AX34/(1+'Invoer gegevens (N)'!$C$39)^('Invoer gegevens (N)'!$C$17-'Invoer gegevens (N)'!$C$16)</f>
        <v>0</v>
      </c>
      <c r="BC34" s="72">
        <f t="shared" ca="1" si="5"/>
        <v>0</v>
      </c>
      <c r="BD34" s="72">
        <f ca="1">IF(AND(E34='Invoer gegevens (N)'!$C$16,'Invoer gegevens (N)'!$C$34&lt;'Invoer gegevens (N)'!$C$16),AY34,AY34/(1+'Invoer gegevens (N)'!$C$39)^D34)</f>
        <v>0</v>
      </c>
      <c r="BE34" s="72">
        <f ca="1">IF(E34='Invoer gegevens (N)'!$C$34,-'Invoer gegevens (N)'!$I$38,0)</f>
        <v>0</v>
      </c>
      <c r="BF34" s="72">
        <f ca="1">IF(E34='Invoer gegevens (N)'!$C$17,-'Invoer gegevens (N)'!$C$19*$BC$66,0)</f>
        <v>0</v>
      </c>
      <c r="BG34" s="72">
        <f ca="1">AV34/(1+$BG$4)^($D34-('Invoer gegevens (N)'!$C$17-'Invoer gegevens (N)'!$C$16))/(1+'Invoer gegevens (N)'!$C$39)^('Invoer gegevens (N)'!$C$17-'Invoer gegevens (N)'!$C$16)+AW34/(1+$BG$4)^(E34-('Invoer gegevens (N)'!$C$17-1))/(1+'Invoer gegevens (N)'!$C$39)^('Invoer gegevens (N)'!$C$17-'Invoer gegevens (N)'!$C$16)+AX34/(1+'Invoer gegevens (N)'!$C$39)^('Invoer gegevens (N)'!$C$17-'Invoer gegevens (N)'!$C$16)+(-AY34/(1+'Invoer gegevens (N)'!$C$39)^D34)+BE34+BF34</f>
        <v>0</v>
      </c>
      <c r="BH34" s="59"/>
      <c r="BI34" s="215"/>
      <c r="BJ34" s="214"/>
    </row>
    <row r="35" spans="2:62" ht="15" customHeight="1" x14ac:dyDescent="0.25">
      <c r="B35" s="70">
        <f t="shared" si="6"/>
        <v>31</v>
      </c>
      <c r="C35" s="67">
        <f ca="1">IF(AND(E35&gt;='Invoer gegevens (N)'!$C$17,E35&lt;'Invoer gegevens (N)'!$C$17+'Invoer gegevens (N)'!$I$14),1,0)</f>
        <v>1</v>
      </c>
      <c r="D35" s="68">
        <f t="shared" si="7"/>
        <v>30.5</v>
      </c>
      <c r="E35" s="69">
        <f ca="1">IF('Invoer gegevens (N)'!$C$16="","",E34+1)</f>
        <v>2049</v>
      </c>
      <c r="F35" s="82">
        <f ca="1">IF('Invoer gegevens (N)'!$C$17=E35,'Invoer gegevens (N)'!$C$10,IF(C35=1,H34,0))</f>
        <v>0</v>
      </c>
      <c r="G35" s="83">
        <f ca="1">IF(E35='Invoer gegevens (N)'!$C$17+'Invoer gegevens (N)'!$I$14,H34,IF(C35&gt;=1,F35*'Reeksen (N)'!C35,0))</f>
        <v>0</v>
      </c>
      <c r="H35" s="84">
        <f ca="1">IF(E35&gt;='Invoer gegevens (N)'!$C$17+'Invoer gegevens (N)'!$I$14,0,F35-G35)</f>
        <v>0</v>
      </c>
      <c r="I35" s="85">
        <f ca="1">IF('Invoer gegevens (N)'!$C$17=E35,'Invoer gegevens (N)'!$C$11,IF(C35=1,L34,0))</f>
        <v>0</v>
      </c>
      <c r="J35" s="86">
        <f ca="1">IF(E35='Invoer gegevens (N)'!$C$17+'Invoer gegevens (N)'!$I$14,L34,IF(C35&lt;1,0,IF('Reeksen (N)'!BG35&lt;='Reeksen (N)'!AE35,I35*'Reeksen (N)'!C35,0)))</f>
        <v>0</v>
      </c>
      <c r="K35" s="86">
        <f ca="1">IF(E35='Invoer gegevens (N)'!$C$17+'Invoer gegevens (N)'!$I$14,L34,IF(C35&lt;1,0,IF('Reeksen (N)'!BG35&gt;'Reeksen (N)'!AE35,I35*'Reeksen (N)'!C35,0)))</f>
        <v>0</v>
      </c>
      <c r="L35" s="86">
        <f ca="1">IF(E35&gt;='Invoer gegevens (N)'!$C$17+'Invoer gegevens (N)'!$I$14,0,I35-J35-K35)</f>
        <v>0</v>
      </c>
      <c r="M35" s="85">
        <f ca="1">IF('Invoer gegevens (N)'!$C$17=E35,'Invoer gegevens (N)'!$C$10-'Invoer gegevens (N)'!$C$11,IF(C35=1,P34,0))</f>
        <v>0</v>
      </c>
      <c r="N35" s="86">
        <f ca="1">IF(E35='Invoer gegevens (N)'!$C$17+'Invoer gegevens (N)'!$I$14,P34,IF(C35&lt;1,0,IF('Reeksen (N)'!BG35&lt;='Reeksen (N)'!AE35,M35*'Reeksen (N)'!C35,0)))</f>
        <v>0</v>
      </c>
      <c r="O35" s="86">
        <f ca="1">IF(E35='Invoer gegevens (N)'!$C$17+'Invoer gegevens (N)'!$I$14,P34,IF(C35&lt;1,0,IF('Reeksen (N)'!BG35&gt;'Reeksen (N)'!AE35,M35*'Reeksen (N)'!C35,0)))</f>
        <v>0</v>
      </c>
      <c r="P35" s="86">
        <f ca="1">IF(E35&gt;='Invoer gegevens (N)'!$C$17+'Invoer gegevens (N)'!$I$14,0,M35-N35-O35)</f>
        <v>0</v>
      </c>
      <c r="Q35" s="82">
        <f ca="1">IF('Invoer gegevens (N)'!$C$17=E35,I35,IF(C35=0,0,R34))</f>
        <v>0</v>
      </c>
      <c r="R35" s="84">
        <f t="shared" ca="1" si="0"/>
        <v>0</v>
      </c>
      <c r="S35" s="84">
        <f ca="1">IF('Invoer gegevens (N)'!$C$17=E35,M35,IF(C35=0,0,T34))</f>
        <v>0</v>
      </c>
      <c r="T35" s="84">
        <f t="shared" ca="1" si="1"/>
        <v>0</v>
      </c>
      <c r="AH35" s="66"/>
      <c r="AI35" s="71">
        <f ca="1">IF(C35=1,((F35+H35)/2*'Reeksen (N)'!BF35*12)+(('Invoer gegevens (N)'!$C$10-(F35+H35)/2)*'Reeksen (N)'!BG35*12),0)</f>
        <v>0</v>
      </c>
      <c r="AJ35" s="71">
        <f ca="1">-AI35*'Invoer gegevens (N)'!$I$26</f>
        <v>0</v>
      </c>
      <c r="AK35" s="71">
        <f t="shared" ca="1" si="2"/>
        <v>0</v>
      </c>
      <c r="AL35" s="71">
        <f ca="1">IF(C35=1,(12*((F35+H35)/2)*'Reeksen (N)'!AL35)+(12*('Invoer gegevens (N)'!$C$10-(F35+H35)/2)*'Reeksen (N)'!AM35),0)</f>
        <v>0</v>
      </c>
      <c r="AM35" s="71">
        <f ca="1">-AL35*'Invoer gegevens (N)'!$F$31</f>
        <v>0</v>
      </c>
      <c r="AN35" s="71">
        <f t="shared" ca="1" si="3"/>
        <v>0</v>
      </c>
      <c r="AO35" s="71"/>
      <c r="AP35" s="71"/>
      <c r="AQ35" s="71">
        <f ca="1">-IF(C35=1,('Invoer gegevens (N)'!$C$10*'Invoer gegevens (N)'!$I$33)*'Reeksen (N)'!J35,0)</f>
        <v>0</v>
      </c>
      <c r="AR35" s="71">
        <f ca="1">-IF(C35=1,(G35*'Invoer gegevens (N)'!$I$34)*'Reeksen (N)'!J35,0)</f>
        <v>0</v>
      </c>
      <c r="AS35" s="71">
        <f ca="1">-IF(C35=1,'Invoer gegevens (N)'!$C$10*'Invoer gegevens (N)'!$I$35*'Reeksen (N)'!L35,0)</f>
        <v>0</v>
      </c>
      <c r="AT35" s="71">
        <f ca="1">-IF(C35=1,IF(E35='Invoer gegevens (N)'!$C$17,'Invoer gegevens (N)'!$C$11,Q35)*'Reeksen (N)'!S35*'Invoer gegevens (N)'!$C$18*'Reeksen (N)'!P35,0)</f>
        <v>0</v>
      </c>
      <c r="AU35" s="71">
        <f ca="1">-IF(C35=1,'Invoer gegevens (N)'!$C$10*'Invoer gegevens (N)'!$I$36*'Reeksen (N)'!H35,0)</f>
        <v>0</v>
      </c>
      <c r="AV35" s="71">
        <f t="shared" ca="1" si="4"/>
        <v>0</v>
      </c>
      <c r="AW35" s="72">
        <f ca="1">IFERROR(IF(E35='Invoer gegevens (N)'!$C$17+'Invoer gegevens (N)'!$I$14-1,'Invoer gegevens (N)'!$I$13*'Invoer gegevens (N)'!$C$10*'Reeksen (N)'!H35,0),0)</f>
        <v>0</v>
      </c>
      <c r="AX35" s="72">
        <f ca="1">IFERROR(IF(E35='Invoer gegevens (N)'!$C$17,-'Invoer gegevens (N)'!$C$10*'Invoer gegevens (N)'!$C$31*'Reeksen (N)'!H35,0),0)</f>
        <v>0</v>
      </c>
      <c r="AY35" s="73">
        <f ca="1">IF('Invoer gegevens (N)'!$C$34=E35,'Invoer gegevens (N)'!$C$27*'Invoer gegevens (N)'!$C$10*'Invoer gegevens (N)'!$C$36*(IF('Invoer gegevens (N)'!$C$35="ja",1,'Reeksen (N)'!J35)),IF('Invoer gegevens (N)'!$C$34+1=E35,'Invoer gegevens (N)'!$C$27*'Invoer gegevens (N)'!$C$10*'Invoer gegevens (N)'!$C$37*(IF('Invoer gegevens (N)'!$C$35="ja",1,'Reeksen (N)'!J35)),0))+IF(AND(E35='Invoer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5" s="73">
        <f ca="1">AV35/(1+'Invoer gegevens (N)'!$I$12)^($D35-('Invoer gegevens (N)'!$C$17-'Invoer gegevens (N)'!$C$16))/(1+'Invoer gegevens (N)'!$C$39)^('Invoer gegevens (N)'!$C$17-'Invoer gegevens (N)'!$C$16)</f>
        <v>0</v>
      </c>
      <c r="BA35" s="73">
        <f ca="1">AW35/(1+'Invoer gegevens (N)'!$I$12)^(E35-('Invoer gegevens (N)'!$C$17-1))/(1+'Invoer gegevens (N)'!$C$39)^('Invoer gegevens (N)'!$C$17-'Invoer gegevens (N)'!$C$16)</f>
        <v>0</v>
      </c>
      <c r="BB35" s="73">
        <f ca="1">AX35/(1+'Invoer gegevens (N)'!$C$39)^('Invoer gegevens (N)'!$C$17-'Invoer gegevens (N)'!$C$16)</f>
        <v>0</v>
      </c>
      <c r="BC35" s="72">
        <f t="shared" ca="1" si="5"/>
        <v>0</v>
      </c>
      <c r="BD35" s="72">
        <f ca="1">IF(AND(E35='Invoer gegevens (N)'!$C$16,'Invoer gegevens (N)'!$C$34&lt;'Invoer gegevens (N)'!$C$16),AY35,AY35/(1+'Invoer gegevens (N)'!$C$39)^D35)</f>
        <v>0</v>
      </c>
      <c r="BE35" s="72">
        <f ca="1">IF(E35='Invoer gegevens (N)'!$C$34,-'Invoer gegevens (N)'!$I$38,0)</f>
        <v>0</v>
      </c>
      <c r="BF35" s="72">
        <f ca="1">IF(E35='Invoer gegevens (N)'!$C$17,-'Invoer gegevens (N)'!$C$19*$BC$66,0)</f>
        <v>0</v>
      </c>
      <c r="BG35" s="72">
        <f ca="1">AV35/(1+$BG$4)^($D35-('Invoer gegevens (N)'!$C$17-'Invoer gegevens (N)'!$C$16))/(1+'Invoer gegevens (N)'!$C$39)^('Invoer gegevens (N)'!$C$17-'Invoer gegevens (N)'!$C$16)+AW35/(1+$BG$4)^(E35-('Invoer gegevens (N)'!$C$17-1))/(1+'Invoer gegevens (N)'!$C$39)^('Invoer gegevens (N)'!$C$17-'Invoer gegevens (N)'!$C$16)+AX35/(1+'Invoer gegevens (N)'!$C$39)^('Invoer gegevens (N)'!$C$17-'Invoer gegevens (N)'!$C$16)+(-AY35/(1+'Invoer gegevens (N)'!$C$39)^D35)+BE35+BF35</f>
        <v>0</v>
      </c>
      <c r="BH35" s="59"/>
      <c r="BI35" s="215"/>
      <c r="BJ35" s="214"/>
    </row>
    <row r="36" spans="2:62" x14ac:dyDescent="0.25">
      <c r="B36" s="70">
        <f t="shared" si="6"/>
        <v>32</v>
      </c>
      <c r="C36" s="67">
        <f ca="1">IF(AND(E36&gt;='Invoer gegevens (N)'!$C$17,E36&lt;'Invoer gegevens (N)'!$C$17+'Invoer gegevens (N)'!$I$14),1,0)</f>
        <v>1</v>
      </c>
      <c r="D36" s="68">
        <f t="shared" si="7"/>
        <v>31.5</v>
      </c>
      <c r="E36" s="69">
        <f ca="1">IF('Invoer gegevens (N)'!$C$16="","",E35+1)</f>
        <v>2050</v>
      </c>
      <c r="F36" s="82">
        <f ca="1">IF('Invoer gegevens (N)'!$C$17=E36,'Invoer gegevens (N)'!$C$10,IF(C36=1,H35,0))</f>
        <v>0</v>
      </c>
      <c r="G36" s="83">
        <f ca="1">IF(E36='Invoer gegevens (N)'!$C$17+'Invoer gegevens (N)'!$I$14,H35,IF(C36&gt;=1,F36*'Reeksen (N)'!C36,0))</f>
        <v>0</v>
      </c>
      <c r="H36" s="84">
        <f ca="1">IF(E36&gt;='Invoer gegevens (N)'!$C$17+'Invoer gegevens (N)'!$I$14,0,F36-G36)</f>
        <v>0</v>
      </c>
      <c r="I36" s="85">
        <f ca="1">IF('Invoer gegevens (N)'!$C$17=E36,'Invoer gegevens (N)'!$C$11,IF(C36=1,L35,0))</f>
        <v>0</v>
      </c>
      <c r="J36" s="86">
        <f ca="1">IF(E36='Invoer gegevens (N)'!$C$17+'Invoer gegevens (N)'!$I$14,L35,IF(C36&lt;1,0,IF('Reeksen (N)'!BG36&lt;='Reeksen (N)'!AE36,I36*'Reeksen (N)'!C36,0)))</f>
        <v>0</v>
      </c>
      <c r="K36" s="86">
        <f ca="1">IF(E36='Invoer gegevens (N)'!$C$17+'Invoer gegevens (N)'!$I$14,L35,IF(C36&lt;1,0,IF('Reeksen (N)'!BG36&gt;'Reeksen (N)'!AE36,I36*'Reeksen (N)'!C36,0)))</f>
        <v>0</v>
      </c>
      <c r="L36" s="86">
        <f ca="1">IF(E36&gt;='Invoer gegevens (N)'!$C$17+'Invoer gegevens (N)'!$I$14,0,I36-J36-K36)</f>
        <v>0</v>
      </c>
      <c r="M36" s="85">
        <f ca="1">IF('Invoer gegevens (N)'!$C$17=E36,'Invoer gegevens (N)'!$C$10-'Invoer gegevens (N)'!$C$11,IF(C36=1,P35,0))</f>
        <v>0</v>
      </c>
      <c r="N36" s="86">
        <f ca="1">IF(E36='Invoer gegevens (N)'!$C$17+'Invoer gegevens (N)'!$I$14,P35,IF(C36&lt;1,0,IF('Reeksen (N)'!BG36&lt;='Reeksen (N)'!AE36,M36*'Reeksen (N)'!C36,0)))</f>
        <v>0</v>
      </c>
      <c r="O36" s="86">
        <f ca="1">IF(E36='Invoer gegevens (N)'!$C$17+'Invoer gegevens (N)'!$I$14,P35,IF(C36&lt;1,0,IF('Reeksen (N)'!BG36&gt;'Reeksen (N)'!AE36,M36*'Reeksen (N)'!C36,0)))</f>
        <v>0</v>
      </c>
      <c r="P36" s="86">
        <f ca="1">IF(E36&gt;='Invoer gegevens (N)'!$C$17+'Invoer gegevens (N)'!$I$14,0,M36-N36-O36)</f>
        <v>0</v>
      </c>
      <c r="Q36" s="82">
        <f ca="1">IF('Invoer gegevens (N)'!$C$17=E36,I36,IF(C36=0,0,R35))</f>
        <v>0</v>
      </c>
      <c r="R36" s="84">
        <f t="shared" ca="1" si="0"/>
        <v>0</v>
      </c>
      <c r="S36" s="84">
        <f ca="1">IF('Invoer gegevens (N)'!$C$17=E36,M36,IF(C36=0,0,T35))</f>
        <v>0</v>
      </c>
      <c r="T36" s="84">
        <f t="shared" ca="1" si="1"/>
        <v>0</v>
      </c>
      <c r="AH36" s="66"/>
      <c r="AI36" s="71">
        <f ca="1">IF(C36=1,((F36+H36)/2*'Reeksen (N)'!BF36*12)+(('Invoer gegevens (N)'!$C$10-(F36+H36)/2)*'Reeksen (N)'!BG36*12),0)</f>
        <v>0</v>
      </c>
      <c r="AJ36" s="71">
        <f ca="1">-AI36*'Invoer gegevens (N)'!$I$26</f>
        <v>0</v>
      </c>
      <c r="AK36" s="71">
        <f t="shared" ca="1" si="2"/>
        <v>0</v>
      </c>
      <c r="AL36" s="71">
        <f ca="1">IF(C36=1,(12*((F36+H36)/2)*'Reeksen (N)'!AL36)+(12*('Invoer gegevens (N)'!$C$10-(F36+H36)/2)*'Reeksen (N)'!AM36),0)</f>
        <v>0</v>
      </c>
      <c r="AM36" s="71">
        <f ca="1">-AL36*'Invoer gegevens (N)'!$F$31</f>
        <v>0</v>
      </c>
      <c r="AN36" s="71">
        <f t="shared" ca="1" si="3"/>
        <v>0</v>
      </c>
      <c r="AO36" s="71"/>
      <c r="AP36" s="71"/>
      <c r="AQ36" s="71">
        <f ca="1">-IF(C36=1,('Invoer gegevens (N)'!$C$10*'Invoer gegevens (N)'!$I$33)*'Reeksen (N)'!J36,0)</f>
        <v>0</v>
      </c>
      <c r="AR36" s="71">
        <f ca="1">-IF(C36=1,(G36*'Invoer gegevens (N)'!$I$34)*'Reeksen (N)'!J36,0)</f>
        <v>0</v>
      </c>
      <c r="AS36" s="71">
        <f ca="1">-IF(C36=1,'Invoer gegevens (N)'!$C$10*'Invoer gegevens (N)'!$I$35*'Reeksen (N)'!L36,0)</f>
        <v>0</v>
      </c>
      <c r="AT36" s="71">
        <f ca="1">-IF(C36=1,IF(E36='Invoer gegevens (N)'!$C$17,'Invoer gegevens (N)'!$C$11,Q36)*'Reeksen (N)'!S36*'Invoer gegevens (N)'!$C$18*'Reeksen (N)'!P36,0)</f>
        <v>0</v>
      </c>
      <c r="AU36" s="71">
        <f ca="1">-IF(C36=1,'Invoer gegevens (N)'!$C$10*'Invoer gegevens (N)'!$I$36*'Reeksen (N)'!H36,0)</f>
        <v>0</v>
      </c>
      <c r="AV36" s="71">
        <f t="shared" ca="1" si="4"/>
        <v>0</v>
      </c>
      <c r="AW36" s="72">
        <f ca="1">IFERROR(IF(E36='Invoer gegevens (N)'!$C$17+'Invoer gegevens (N)'!$I$14-1,'Invoer gegevens (N)'!$I$13*'Invoer gegevens (N)'!$C$10*'Reeksen (N)'!H36,0),0)</f>
        <v>0</v>
      </c>
      <c r="AX36" s="72">
        <f ca="1">IFERROR(IF(E36='Invoer gegevens (N)'!$C$17,-'Invoer gegevens (N)'!$C$10*'Invoer gegevens (N)'!$C$31*'Reeksen (N)'!H36,0),0)</f>
        <v>0</v>
      </c>
      <c r="AY36" s="73">
        <f ca="1">IF('Invoer gegevens (N)'!$C$34=E36,'Invoer gegevens (N)'!$C$27*'Invoer gegevens (N)'!$C$10*'Invoer gegevens (N)'!$C$36*(IF('Invoer gegevens (N)'!$C$35="ja",1,'Reeksen (N)'!J36)),IF('Invoer gegevens (N)'!$C$34+1=E36,'Invoer gegevens (N)'!$C$27*'Invoer gegevens (N)'!$C$10*'Invoer gegevens (N)'!$C$37*(IF('Invoer gegevens (N)'!$C$35="ja",1,'Reeksen (N)'!J36)),0))+IF(AND(E36='Invoer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6" s="73">
        <f ca="1">AV36/(1+'Invoer gegevens (N)'!$I$12)^($D36-('Invoer gegevens (N)'!$C$17-'Invoer gegevens (N)'!$C$16))/(1+'Invoer gegevens (N)'!$C$39)^('Invoer gegevens (N)'!$C$17-'Invoer gegevens (N)'!$C$16)</f>
        <v>0</v>
      </c>
      <c r="BA36" s="73">
        <f ca="1">AW36/(1+'Invoer gegevens (N)'!$I$12)^(E36-('Invoer gegevens (N)'!$C$17-1))/(1+'Invoer gegevens (N)'!$C$39)^('Invoer gegevens (N)'!$C$17-'Invoer gegevens (N)'!$C$16)</f>
        <v>0</v>
      </c>
      <c r="BB36" s="73">
        <f ca="1">AX36/(1+'Invoer gegevens (N)'!$C$39)^('Invoer gegevens (N)'!$C$17-'Invoer gegevens (N)'!$C$16)</f>
        <v>0</v>
      </c>
      <c r="BC36" s="72">
        <f t="shared" ca="1" si="5"/>
        <v>0</v>
      </c>
      <c r="BD36" s="72">
        <f ca="1">IF(AND(E36='Invoer gegevens (N)'!$C$16,'Invoer gegevens (N)'!$C$34&lt;'Invoer gegevens (N)'!$C$16),AY36,AY36/(1+'Invoer gegevens (N)'!$C$39)^D36)</f>
        <v>0</v>
      </c>
      <c r="BE36" s="72">
        <f ca="1">IF(E36='Invoer gegevens (N)'!$C$34,-'Invoer gegevens (N)'!$I$38,0)</f>
        <v>0</v>
      </c>
      <c r="BF36" s="72">
        <f ca="1">IF(E36='Invoer gegevens (N)'!$C$17,-'Invoer gegevens (N)'!$C$19*$BC$66,0)</f>
        <v>0</v>
      </c>
      <c r="BG36" s="72">
        <f ca="1">AV36/(1+$BG$4)^($D36-('Invoer gegevens (N)'!$C$17-'Invoer gegevens (N)'!$C$16))/(1+'Invoer gegevens (N)'!$C$39)^('Invoer gegevens (N)'!$C$17-'Invoer gegevens (N)'!$C$16)+AW36/(1+$BG$4)^(E36-('Invoer gegevens (N)'!$C$17-1))/(1+'Invoer gegevens (N)'!$C$39)^('Invoer gegevens (N)'!$C$17-'Invoer gegevens (N)'!$C$16)+AX36/(1+'Invoer gegevens (N)'!$C$39)^('Invoer gegevens (N)'!$C$17-'Invoer gegevens (N)'!$C$16)+(-AY36/(1+'Invoer gegevens (N)'!$C$39)^D36)+BE36+BF36</f>
        <v>0</v>
      </c>
      <c r="BH36" s="59"/>
      <c r="BI36" s="215"/>
      <c r="BJ36" s="214"/>
    </row>
    <row r="37" spans="2:62" x14ac:dyDescent="0.25">
      <c r="B37" s="70">
        <f t="shared" si="6"/>
        <v>33</v>
      </c>
      <c r="C37" s="67">
        <f ca="1">IF(AND(E37&gt;='Invoer gegevens (N)'!$C$17,E37&lt;'Invoer gegevens (N)'!$C$17+'Invoer gegevens (N)'!$I$14),1,0)</f>
        <v>1</v>
      </c>
      <c r="D37" s="68">
        <f t="shared" si="7"/>
        <v>32.5</v>
      </c>
      <c r="E37" s="69">
        <f ca="1">IF('Invoer gegevens (N)'!$C$16="","",E36+1)</f>
        <v>2051</v>
      </c>
      <c r="F37" s="82">
        <f ca="1">IF('Invoer gegevens (N)'!$C$17=E37,'Invoer gegevens (N)'!$C$10,IF(C37=1,H36,0))</f>
        <v>0</v>
      </c>
      <c r="G37" s="83">
        <f ca="1">IF(E37='Invoer gegevens (N)'!$C$17+'Invoer gegevens (N)'!$I$14,H36,IF(C37&gt;=1,F37*'Reeksen (N)'!C37,0))</f>
        <v>0</v>
      </c>
      <c r="H37" s="84">
        <f ca="1">IF(E37&gt;='Invoer gegevens (N)'!$C$17+'Invoer gegevens (N)'!$I$14,0,F37-G37)</f>
        <v>0</v>
      </c>
      <c r="I37" s="85">
        <f ca="1">IF('Invoer gegevens (N)'!$C$17=E37,'Invoer gegevens (N)'!$C$11,IF(C37=1,L36,0))</f>
        <v>0</v>
      </c>
      <c r="J37" s="86">
        <f ca="1">IF(E37='Invoer gegevens (N)'!$C$17+'Invoer gegevens (N)'!$I$14,L36,IF(C37&lt;1,0,IF('Reeksen (N)'!BG37&lt;='Reeksen (N)'!AE37,I37*'Reeksen (N)'!C37,0)))</f>
        <v>0</v>
      </c>
      <c r="K37" s="86">
        <f ca="1">IF(E37='Invoer gegevens (N)'!$C$17+'Invoer gegevens (N)'!$I$14,L36,IF(C37&lt;1,0,IF('Reeksen (N)'!BG37&gt;'Reeksen (N)'!AE37,I37*'Reeksen (N)'!C37,0)))</f>
        <v>0</v>
      </c>
      <c r="L37" s="86">
        <f ca="1">IF(E37&gt;='Invoer gegevens (N)'!$C$17+'Invoer gegevens (N)'!$I$14,0,I37-J37-K37)</f>
        <v>0</v>
      </c>
      <c r="M37" s="85">
        <f ca="1">IF('Invoer gegevens (N)'!$C$17=E37,'Invoer gegevens (N)'!$C$10-'Invoer gegevens (N)'!$C$11,IF(C37=1,P36,0))</f>
        <v>0</v>
      </c>
      <c r="N37" s="86">
        <f ca="1">IF(E37='Invoer gegevens (N)'!$C$17+'Invoer gegevens (N)'!$I$14,P36,IF(C37&lt;1,0,IF('Reeksen (N)'!BG37&lt;='Reeksen (N)'!AE37,M37*'Reeksen (N)'!C37,0)))</f>
        <v>0</v>
      </c>
      <c r="O37" s="86">
        <f ca="1">IF(E37='Invoer gegevens (N)'!$C$17+'Invoer gegevens (N)'!$I$14,P36,IF(C37&lt;1,0,IF('Reeksen (N)'!BG37&gt;'Reeksen (N)'!AE37,M37*'Reeksen (N)'!C37,0)))</f>
        <v>0</v>
      </c>
      <c r="P37" s="86">
        <f ca="1">IF(E37&gt;='Invoer gegevens (N)'!$C$17+'Invoer gegevens (N)'!$I$14,0,M37-N37-O37)</f>
        <v>0</v>
      </c>
      <c r="Q37" s="82">
        <f ca="1">IF('Invoer gegevens (N)'!$C$17=E37,I37,IF(C37=0,0,R36))</f>
        <v>0</v>
      </c>
      <c r="R37" s="84">
        <f t="shared" ca="1" si="0"/>
        <v>0</v>
      </c>
      <c r="S37" s="84">
        <f ca="1">IF('Invoer gegevens (N)'!$C$17=E37,M37,IF(C37=0,0,T36))</f>
        <v>0</v>
      </c>
      <c r="T37" s="84">
        <f t="shared" ca="1" si="1"/>
        <v>0</v>
      </c>
      <c r="AH37" s="66"/>
      <c r="AI37" s="71">
        <f ca="1">IF(C37=1,((F37+H37)/2*'Reeksen (N)'!BF37*12)+(('Invoer gegevens (N)'!$C$10-(F37+H37)/2)*'Reeksen (N)'!BG37*12),0)</f>
        <v>0</v>
      </c>
      <c r="AJ37" s="71">
        <f ca="1">-AI37*'Invoer gegevens (N)'!$I$26</f>
        <v>0</v>
      </c>
      <c r="AK37" s="71">
        <f t="shared" ca="1" si="2"/>
        <v>0</v>
      </c>
      <c r="AL37" s="71">
        <f ca="1">IF(C37=1,(12*((F37+H37)/2)*'Reeksen (N)'!AL37)+(12*('Invoer gegevens (N)'!$C$10-(F37+H37)/2)*'Reeksen (N)'!AM37),0)</f>
        <v>0</v>
      </c>
      <c r="AM37" s="71">
        <f ca="1">-AL37*'Invoer gegevens (N)'!$F$31</f>
        <v>0</v>
      </c>
      <c r="AN37" s="71">
        <f t="shared" ca="1" si="3"/>
        <v>0</v>
      </c>
      <c r="AO37" s="71"/>
      <c r="AP37" s="71"/>
      <c r="AQ37" s="71">
        <f ca="1">-IF(C37=1,('Invoer gegevens (N)'!$C$10*'Invoer gegevens (N)'!$I$33)*'Reeksen (N)'!J37,0)</f>
        <v>0</v>
      </c>
      <c r="AR37" s="71">
        <f ca="1">-IF(C37=1,(G37*'Invoer gegevens (N)'!$I$34)*'Reeksen (N)'!J37,0)</f>
        <v>0</v>
      </c>
      <c r="AS37" s="71">
        <f ca="1">-IF(C37=1,'Invoer gegevens (N)'!$C$10*'Invoer gegevens (N)'!$I$35*'Reeksen (N)'!L37,0)</f>
        <v>0</v>
      </c>
      <c r="AT37" s="71">
        <f ca="1">-IF(C37=1,IF(E37='Invoer gegevens (N)'!$C$17,'Invoer gegevens (N)'!$C$11,Q37)*'Reeksen (N)'!S37*'Invoer gegevens (N)'!$C$18*'Reeksen (N)'!P37,0)</f>
        <v>0</v>
      </c>
      <c r="AU37" s="71">
        <f ca="1">-IF(C37=1,'Invoer gegevens (N)'!$C$10*'Invoer gegevens (N)'!$I$36*'Reeksen (N)'!H37,0)</f>
        <v>0</v>
      </c>
      <c r="AV37" s="71">
        <f t="shared" ca="1" si="4"/>
        <v>0</v>
      </c>
      <c r="AW37" s="72">
        <f ca="1">IFERROR(IF(E37='Invoer gegevens (N)'!$C$17+'Invoer gegevens (N)'!$I$14-1,'Invoer gegevens (N)'!$I$13*'Invoer gegevens (N)'!$C$10*'Reeksen (N)'!H37,0),0)</f>
        <v>0</v>
      </c>
      <c r="AX37" s="72">
        <f ca="1">IFERROR(IF(E37='Invoer gegevens (N)'!$C$17,-'Invoer gegevens (N)'!$C$10*'Invoer gegevens (N)'!$C$31*'Reeksen (N)'!H37,0),0)</f>
        <v>0</v>
      </c>
      <c r="AY37" s="73">
        <f ca="1">IF('Invoer gegevens (N)'!$C$34=E37,'Invoer gegevens (N)'!$C$27*'Invoer gegevens (N)'!$C$10*'Invoer gegevens (N)'!$C$36*(IF('Invoer gegevens (N)'!$C$35="ja",1,'Reeksen (N)'!J37)),IF('Invoer gegevens (N)'!$C$34+1=E37,'Invoer gegevens (N)'!$C$27*'Invoer gegevens (N)'!$C$10*'Invoer gegevens (N)'!$C$37*(IF('Invoer gegevens (N)'!$C$35="ja",1,'Reeksen (N)'!J37)),0))+IF(AND(E37='Invoer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7" s="73">
        <f ca="1">AV37/(1+'Invoer gegevens (N)'!$I$12)^($D37-('Invoer gegevens (N)'!$C$17-'Invoer gegevens (N)'!$C$16))/(1+'Invoer gegevens (N)'!$C$39)^('Invoer gegevens (N)'!$C$17-'Invoer gegevens (N)'!$C$16)</f>
        <v>0</v>
      </c>
      <c r="BA37" s="73">
        <f ca="1">AW37/(1+'Invoer gegevens (N)'!$I$12)^(E37-('Invoer gegevens (N)'!$C$17-1))/(1+'Invoer gegevens (N)'!$C$39)^('Invoer gegevens (N)'!$C$17-'Invoer gegevens (N)'!$C$16)</f>
        <v>0</v>
      </c>
      <c r="BB37" s="73">
        <f ca="1">AX37/(1+'Invoer gegevens (N)'!$C$39)^('Invoer gegevens (N)'!$C$17-'Invoer gegevens (N)'!$C$16)</f>
        <v>0</v>
      </c>
      <c r="BC37" s="72">
        <f t="shared" ca="1" si="5"/>
        <v>0</v>
      </c>
      <c r="BD37" s="72">
        <f ca="1">IF(AND(E37='Invoer gegevens (N)'!$C$16,'Invoer gegevens (N)'!$C$34&lt;'Invoer gegevens (N)'!$C$16),AY37,AY37/(1+'Invoer gegevens (N)'!$C$39)^D37)</f>
        <v>0</v>
      </c>
      <c r="BE37" s="72">
        <f ca="1">IF(E37='Invoer gegevens (N)'!$C$34,-'Invoer gegevens (N)'!$I$38,0)</f>
        <v>0</v>
      </c>
      <c r="BF37" s="72">
        <f ca="1">IF(E37='Invoer gegevens (N)'!$C$17,-'Invoer gegevens (N)'!$C$19*$BC$66,0)</f>
        <v>0</v>
      </c>
      <c r="BG37" s="72">
        <f ca="1">AV37/(1+$BG$4)^($D37-('Invoer gegevens (N)'!$C$17-'Invoer gegevens (N)'!$C$16))/(1+'Invoer gegevens (N)'!$C$39)^('Invoer gegevens (N)'!$C$17-'Invoer gegevens (N)'!$C$16)+AW37/(1+$BG$4)^(E37-('Invoer gegevens (N)'!$C$17-1))/(1+'Invoer gegevens (N)'!$C$39)^('Invoer gegevens (N)'!$C$17-'Invoer gegevens (N)'!$C$16)+AX37/(1+'Invoer gegevens (N)'!$C$39)^('Invoer gegevens (N)'!$C$17-'Invoer gegevens (N)'!$C$16)+(-AY37/(1+'Invoer gegevens (N)'!$C$39)^D37)+BE37+BF37</f>
        <v>0</v>
      </c>
      <c r="BH37" s="59"/>
      <c r="BI37" s="215"/>
      <c r="BJ37" s="214"/>
    </row>
    <row r="38" spans="2:62" x14ac:dyDescent="0.25">
      <c r="B38" s="70">
        <f t="shared" si="6"/>
        <v>34</v>
      </c>
      <c r="C38" s="67">
        <f ca="1">IF(AND(E38&gt;='Invoer gegevens (N)'!$C$17,E38&lt;'Invoer gegevens (N)'!$C$17+'Invoer gegevens (N)'!$I$14),1,0)</f>
        <v>1</v>
      </c>
      <c r="D38" s="68">
        <f t="shared" si="7"/>
        <v>33.5</v>
      </c>
      <c r="E38" s="69">
        <f ca="1">IF('Invoer gegevens (N)'!$C$16="","",E37+1)</f>
        <v>2052</v>
      </c>
      <c r="F38" s="82">
        <f ca="1">IF('Invoer gegevens (N)'!$C$17=E38,'Invoer gegevens (N)'!$C$10,IF(C38=1,H37,0))</f>
        <v>0</v>
      </c>
      <c r="G38" s="83">
        <f ca="1">IF(E38='Invoer gegevens (N)'!$C$17+'Invoer gegevens (N)'!$I$14,H37,IF(C38&gt;=1,F38*'Reeksen (N)'!C38,0))</f>
        <v>0</v>
      </c>
      <c r="H38" s="84">
        <f ca="1">IF(E38&gt;='Invoer gegevens (N)'!$C$17+'Invoer gegevens (N)'!$I$14,0,F38-G38)</f>
        <v>0</v>
      </c>
      <c r="I38" s="85">
        <f ca="1">IF('Invoer gegevens (N)'!$C$17=E38,'Invoer gegevens (N)'!$C$11,IF(C38=1,L37,0))</f>
        <v>0</v>
      </c>
      <c r="J38" s="86">
        <f ca="1">IF(E38='Invoer gegevens (N)'!$C$17+'Invoer gegevens (N)'!$I$14,L37,IF(C38&lt;1,0,IF('Reeksen (N)'!BG38&lt;='Reeksen (N)'!AE38,I38*'Reeksen (N)'!C38,0)))</f>
        <v>0</v>
      </c>
      <c r="K38" s="86">
        <f ca="1">IF(E38='Invoer gegevens (N)'!$C$17+'Invoer gegevens (N)'!$I$14,L37,IF(C38&lt;1,0,IF('Reeksen (N)'!BG38&gt;'Reeksen (N)'!AE38,I38*'Reeksen (N)'!C38,0)))</f>
        <v>0</v>
      </c>
      <c r="L38" s="86">
        <f ca="1">IF(E38&gt;='Invoer gegevens (N)'!$C$17+'Invoer gegevens (N)'!$I$14,0,I38-J38-K38)</f>
        <v>0</v>
      </c>
      <c r="M38" s="85">
        <f ca="1">IF('Invoer gegevens (N)'!$C$17=E38,'Invoer gegevens (N)'!$C$10-'Invoer gegevens (N)'!$C$11,IF(C38=1,P37,0))</f>
        <v>0</v>
      </c>
      <c r="N38" s="86">
        <f ca="1">IF(E38='Invoer gegevens (N)'!$C$17+'Invoer gegevens (N)'!$I$14,P37,IF(C38&lt;1,0,IF('Reeksen (N)'!BG38&lt;='Reeksen (N)'!AE38,M38*'Reeksen (N)'!C38,0)))</f>
        <v>0</v>
      </c>
      <c r="O38" s="86">
        <f ca="1">IF(E38='Invoer gegevens (N)'!$C$17+'Invoer gegevens (N)'!$I$14,P37,IF(C38&lt;1,0,IF('Reeksen (N)'!BG38&gt;'Reeksen (N)'!AE38,M38*'Reeksen (N)'!C38,0)))</f>
        <v>0</v>
      </c>
      <c r="P38" s="86">
        <f ca="1">IF(E38&gt;='Invoer gegevens (N)'!$C$17+'Invoer gegevens (N)'!$I$14,0,M38-N38-O38)</f>
        <v>0</v>
      </c>
      <c r="Q38" s="82">
        <f ca="1">IF('Invoer gegevens (N)'!$C$17=E38,I38,IF(C38=0,0,R37))</f>
        <v>0</v>
      </c>
      <c r="R38" s="84">
        <f t="shared" ca="1" si="0"/>
        <v>0</v>
      </c>
      <c r="S38" s="84">
        <f ca="1">IF('Invoer gegevens (N)'!$C$17=E38,M38,IF(C38=0,0,T37))</f>
        <v>0</v>
      </c>
      <c r="T38" s="84">
        <f t="shared" ca="1" si="1"/>
        <v>0</v>
      </c>
      <c r="AH38" s="66"/>
      <c r="AI38" s="71">
        <f ca="1">IF(C38=1,((F38+H38)/2*'Reeksen (N)'!BF38*12)+(('Invoer gegevens (N)'!$C$10-(F38+H38)/2)*'Reeksen (N)'!BG38*12),0)</f>
        <v>0</v>
      </c>
      <c r="AJ38" s="71">
        <f ca="1">-AI38*'Invoer gegevens (N)'!$I$26</f>
        <v>0</v>
      </c>
      <c r="AK38" s="71">
        <f t="shared" ca="1" si="2"/>
        <v>0</v>
      </c>
      <c r="AL38" s="71">
        <f ca="1">IF(C38=1,(12*((F38+H38)/2)*'Reeksen (N)'!AL38)+(12*('Invoer gegevens (N)'!$C$10-(F38+H38)/2)*'Reeksen (N)'!AM38),0)</f>
        <v>0</v>
      </c>
      <c r="AM38" s="71">
        <f ca="1">-AL38*'Invoer gegevens (N)'!$F$31</f>
        <v>0</v>
      </c>
      <c r="AN38" s="71">
        <f t="shared" ca="1" si="3"/>
        <v>0</v>
      </c>
      <c r="AO38" s="71"/>
      <c r="AP38" s="71"/>
      <c r="AQ38" s="71">
        <f ca="1">-IF(C38=1,('Invoer gegevens (N)'!$C$10*'Invoer gegevens (N)'!$I$33)*'Reeksen (N)'!J38,0)</f>
        <v>0</v>
      </c>
      <c r="AR38" s="71">
        <f ca="1">-IF(C38=1,(G38*'Invoer gegevens (N)'!$I$34)*'Reeksen (N)'!J38,0)</f>
        <v>0</v>
      </c>
      <c r="AS38" s="71">
        <f ca="1">-IF(C38=1,'Invoer gegevens (N)'!$C$10*'Invoer gegevens (N)'!$I$35*'Reeksen (N)'!L38,0)</f>
        <v>0</v>
      </c>
      <c r="AT38" s="71">
        <f ca="1">-IF(C38=1,IF(E38='Invoer gegevens (N)'!$C$17,'Invoer gegevens (N)'!$C$11,Q38)*'Reeksen (N)'!S38*'Invoer gegevens (N)'!$C$18*'Reeksen (N)'!P38,0)</f>
        <v>0</v>
      </c>
      <c r="AU38" s="71">
        <f ca="1">-IF(C38=1,'Invoer gegevens (N)'!$C$10*'Invoer gegevens (N)'!$I$36*'Reeksen (N)'!H38,0)</f>
        <v>0</v>
      </c>
      <c r="AV38" s="71">
        <f t="shared" ca="1" si="4"/>
        <v>0</v>
      </c>
      <c r="AW38" s="72">
        <f ca="1">IFERROR(IF(E38='Invoer gegevens (N)'!$C$17+'Invoer gegevens (N)'!$I$14-1,'Invoer gegevens (N)'!$I$13*'Invoer gegevens (N)'!$C$10*'Reeksen (N)'!H38,0),0)</f>
        <v>0</v>
      </c>
      <c r="AX38" s="72">
        <f ca="1">IFERROR(IF(E38='Invoer gegevens (N)'!$C$17,-'Invoer gegevens (N)'!$C$10*'Invoer gegevens (N)'!$C$31*'Reeksen (N)'!H38,0),0)</f>
        <v>0</v>
      </c>
      <c r="AY38" s="73">
        <f ca="1">IF('Invoer gegevens (N)'!$C$34=E38,'Invoer gegevens (N)'!$C$27*'Invoer gegevens (N)'!$C$10*'Invoer gegevens (N)'!$C$36*(IF('Invoer gegevens (N)'!$C$35="ja",1,'Reeksen (N)'!J38)),IF('Invoer gegevens (N)'!$C$34+1=E38,'Invoer gegevens (N)'!$C$27*'Invoer gegevens (N)'!$C$10*'Invoer gegevens (N)'!$C$37*(IF('Invoer gegevens (N)'!$C$35="ja",1,'Reeksen (N)'!J38)),0))+IF(AND(E38='Invoer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8" s="73">
        <f ca="1">AV38/(1+'Invoer gegevens (N)'!$I$12)^($D38-('Invoer gegevens (N)'!$C$17-'Invoer gegevens (N)'!$C$16))/(1+'Invoer gegevens (N)'!$C$39)^('Invoer gegevens (N)'!$C$17-'Invoer gegevens (N)'!$C$16)</f>
        <v>0</v>
      </c>
      <c r="BA38" s="73">
        <f ca="1">AW38/(1+'Invoer gegevens (N)'!$I$12)^(E38-('Invoer gegevens (N)'!$C$17-1))/(1+'Invoer gegevens (N)'!$C$39)^('Invoer gegevens (N)'!$C$17-'Invoer gegevens (N)'!$C$16)</f>
        <v>0</v>
      </c>
      <c r="BB38" s="73">
        <f ca="1">AX38/(1+'Invoer gegevens (N)'!$C$39)^('Invoer gegevens (N)'!$C$17-'Invoer gegevens (N)'!$C$16)</f>
        <v>0</v>
      </c>
      <c r="BC38" s="72">
        <f t="shared" ca="1" si="5"/>
        <v>0</v>
      </c>
      <c r="BD38" s="72">
        <f ca="1">IF(AND(E38='Invoer gegevens (N)'!$C$16,'Invoer gegevens (N)'!$C$34&lt;'Invoer gegevens (N)'!$C$16),AY38,AY38/(1+'Invoer gegevens (N)'!$C$39)^D38)</f>
        <v>0</v>
      </c>
      <c r="BE38" s="72">
        <f ca="1">IF(E38='Invoer gegevens (N)'!$C$34,-'Invoer gegevens (N)'!$I$38,0)</f>
        <v>0</v>
      </c>
      <c r="BF38" s="72">
        <f ca="1">IF(E38='Invoer gegevens (N)'!$C$17,-'Invoer gegevens (N)'!$C$19*$BC$66,0)</f>
        <v>0</v>
      </c>
      <c r="BG38" s="72">
        <f ca="1">AV38/(1+$BG$4)^($D38-('Invoer gegevens (N)'!$C$17-'Invoer gegevens (N)'!$C$16))/(1+'Invoer gegevens (N)'!$C$39)^('Invoer gegevens (N)'!$C$17-'Invoer gegevens (N)'!$C$16)+AW38/(1+$BG$4)^(E38-('Invoer gegevens (N)'!$C$17-1))/(1+'Invoer gegevens (N)'!$C$39)^('Invoer gegevens (N)'!$C$17-'Invoer gegevens (N)'!$C$16)+AX38/(1+'Invoer gegevens (N)'!$C$39)^('Invoer gegevens (N)'!$C$17-'Invoer gegevens (N)'!$C$16)+(-AY38/(1+'Invoer gegevens (N)'!$C$39)^D38)+BE38+BF38</f>
        <v>0</v>
      </c>
      <c r="BH38" s="59"/>
      <c r="BI38" s="215"/>
      <c r="BJ38" s="214"/>
    </row>
    <row r="39" spans="2:62" x14ac:dyDescent="0.25">
      <c r="B39" s="70">
        <f t="shared" si="6"/>
        <v>35</v>
      </c>
      <c r="C39" s="67">
        <f ca="1">IF(AND(E39&gt;='Invoer gegevens (N)'!$C$17,E39&lt;'Invoer gegevens (N)'!$C$17+'Invoer gegevens (N)'!$I$14),1,0)</f>
        <v>1</v>
      </c>
      <c r="D39" s="68">
        <f t="shared" si="7"/>
        <v>34.5</v>
      </c>
      <c r="E39" s="69">
        <f ca="1">IF('Invoer gegevens (N)'!$C$16="","",E38+1)</f>
        <v>2053</v>
      </c>
      <c r="F39" s="82">
        <f ca="1">IF('Invoer gegevens (N)'!$C$17=E39,'Invoer gegevens (N)'!$C$10,IF(C39=1,H38,0))</f>
        <v>0</v>
      </c>
      <c r="G39" s="83">
        <f ca="1">IF(E39='Invoer gegevens (N)'!$C$17+'Invoer gegevens (N)'!$I$14,H38,IF(C39&gt;=1,F39*'Reeksen (N)'!C39,0))</f>
        <v>0</v>
      </c>
      <c r="H39" s="84">
        <f ca="1">IF(E39&gt;='Invoer gegevens (N)'!$C$17+'Invoer gegevens (N)'!$I$14,0,F39-G39)</f>
        <v>0</v>
      </c>
      <c r="I39" s="85">
        <f ca="1">IF('Invoer gegevens (N)'!$C$17=E39,'Invoer gegevens (N)'!$C$11,IF(C39=1,L38,0))</f>
        <v>0</v>
      </c>
      <c r="J39" s="86">
        <f ca="1">IF(E39='Invoer gegevens (N)'!$C$17+'Invoer gegevens (N)'!$I$14,L38,IF(C39&lt;1,0,IF('Reeksen (N)'!BG39&lt;='Reeksen (N)'!AE39,I39*'Reeksen (N)'!C39,0)))</f>
        <v>0</v>
      </c>
      <c r="K39" s="86">
        <f ca="1">IF(E39='Invoer gegevens (N)'!$C$17+'Invoer gegevens (N)'!$I$14,L38,IF(C39&lt;1,0,IF('Reeksen (N)'!BG39&gt;'Reeksen (N)'!AE39,I39*'Reeksen (N)'!C39,0)))</f>
        <v>0</v>
      </c>
      <c r="L39" s="86">
        <f ca="1">IF(E39&gt;='Invoer gegevens (N)'!$C$17+'Invoer gegevens (N)'!$I$14,0,I39-J39-K39)</f>
        <v>0</v>
      </c>
      <c r="M39" s="85">
        <f ca="1">IF('Invoer gegevens (N)'!$C$17=E39,'Invoer gegevens (N)'!$C$10-'Invoer gegevens (N)'!$C$11,IF(C39=1,P38,0))</f>
        <v>0</v>
      </c>
      <c r="N39" s="86">
        <f ca="1">IF(E39='Invoer gegevens (N)'!$C$17+'Invoer gegevens (N)'!$I$14,P38,IF(C39&lt;1,0,IF('Reeksen (N)'!BG39&lt;='Reeksen (N)'!AE39,M39*'Reeksen (N)'!C39,0)))</f>
        <v>0</v>
      </c>
      <c r="O39" s="86">
        <f ca="1">IF(E39='Invoer gegevens (N)'!$C$17+'Invoer gegevens (N)'!$I$14,P38,IF(C39&lt;1,0,IF('Reeksen (N)'!BG39&gt;'Reeksen (N)'!AE39,M39*'Reeksen (N)'!C39,0)))</f>
        <v>0</v>
      </c>
      <c r="P39" s="86">
        <f ca="1">IF(E39&gt;='Invoer gegevens (N)'!$C$17+'Invoer gegevens (N)'!$I$14,0,M39-N39-O39)</f>
        <v>0</v>
      </c>
      <c r="Q39" s="82">
        <f ca="1">IF('Invoer gegevens (N)'!$C$17=E39,I39,IF(C39=0,0,R38))</f>
        <v>0</v>
      </c>
      <c r="R39" s="84">
        <f t="shared" ca="1" si="0"/>
        <v>0</v>
      </c>
      <c r="S39" s="84">
        <f ca="1">IF('Invoer gegevens (N)'!$C$17=E39,M39,IF(C39=0,0,T38))</f>
        <v>0</v>
      </c>
      <c r="T39" s="84">
        <f t="shared" ca="1" si="1"/>
        <v>0</v>
      </c>
      <c r="AH39" s="66"/>
      <c r="AI39" s="71">
        <f ca="1">IF(C39=1,((F39+H39)/2*'Reeksen (N)'!BF39*12)+(('Invoer gegevens (N)'!$C$10-(F39+H39)/2)*'Reeksen (N)'!BG39*12),0)</f>
        <v>0</v>
      </c>
      <c r="AJ39" s="71">
        <f ca="1">-AI39*'Invoer gegevens (N)'!$I$26</f>
        <v>0</v>
      </c>
      <c r="AK39" s="71">
        <f t="shared" ca="1" si="2"/>
        <v>0</v>
      </c>
      <c r="AL39" s="71">
        <f ca="1">IF(C39=1,(12*((F39+H39)/2)*'Reeksen (N)'!AL39)+(12*('Invoer gegevens (N)'!$C$10-(F39+H39)/2)*'Reeksen (N)'!AM39),0)</f>
        <v>0</v>
      </c>
      <c r="AM39" s="71">
        <f ca="1">-AL39*'Invoer gegevens (N)'!$F$31</f>
        <v>0</v>
      </c>
      <c r="AN39" s="71">
        <f t="shared" ca="1" si="3"/>
        <v>0</v>
      </c>
      <c r="AO39" s="71"/>
      <c r="AP39" s="71"/>
      <c r="AQ39" s="71">
        <f ca="1">-IF(C39=1,('Invoer gegevens (N)'!$C$10*'Invoer gegevens (N)'!$I$33)*'Reeksen (N)'!J39,0)</f>
        <v>0</v>
      </c>
      <c r="AR39" s="71">
        <f ca="1">-IF(C39=1,(G39*'Invoer gegevens (N)'!$I$34)*'Reeksen (N)'!J39,0)</f>
        <v>0</v>
      </c>
      <c r="AS39" s="71">
        <f ca="1">-IF(C39=1,'Invoer gegevens (N)'!$C$10*'Invoer gegevens (N)'!$I$35*'Reeksen (N)'!L39,0)</f>
        <v>0</v>
      </c>
      <c r="AT39" s="71">
        <f ca="1">-IF(C39=1,IF(E39='Invoer gegevens (N)'!$C$17,'Invoer gegevens (N)'!$C$11,Q39)*'Reeksen (N)'!S39*'Invoer gegevens (N)'!$C$18*'Reeksen (N)'!P39,0)</f>
        <v>0</v>
      </c>
      <c r="AU39" s="71">
        <f ca="1">-IF(C39=1,'Invoer gegevens (N)'!$C$10*'Invoer gegevens (N)'!$I$36*'Reeksen (N)'!H39,0)</f>
        <v>0</v>
      </c>
      <c r="AV39" s="71">
        <f t="shared" ca="1" si="4"/>
        <v>0</v>
      </c>
      <c r="AW39" s="72">
        <f ca="1">IFERROR(IF(E39='Invoer gegevens (N)'!$C$17+'Invoer gegevens (N)'!$I$14-1,'Invoer gegevens (N)'!$I$13*'Invoer gegevens (N)'!$C$10*'Reeksen (N)'!H39,0),0)</f>
        <v>0</v>
      </c>
      <c r="AX39" s="72">
        <f ca="1">IFERROR(IF(E39='Invoer gegevens (N)'!$C$17,-'Invoer gegevens (N)'!$C$10*'Invoer gegevens (N)'!$C$31*'Reeksen (N)'!H39,0),0)</f>
        <v>0</v>
      </c>
      <c r="AY39" s="73">
        <f ca="1">IF('Invoer gegevens (N)'!$C$34=E39,'Invoer gegevens (N)'!$C$27*'Invoer gegevens (N)'!$C$10*'Invoer gegevens (N)'!$C$36*(IF('Invoer gegevens (N)'!$C$35="ja",1,'Reeksen (N)'!J39)),IF('Invoer gegevens (N)'!$C$34+1=E39,'Invoer gegevens (N)'!$C$27*'Invoer gegevens (N)'!$C$10*'Invoer gegevens (N)'!$C$37*(IF('Invoer gegevens (N)'!$C$35="ja",1,'Reeksen (N)'!J39)),0))+IF(AND(E39='Invoer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39" s="73">
        <f ca="1">AV39/(1+'Invoer gegevens (N)'!$I$12)^($D39-('Invoer gegevens (N)'!$C$17-'Invoer gegevens (N)'!$C$16))/(1+'Invoer gegevens (N)'!$C$39)^('Invoer gegevens (N)'!$C$17-'Invoer gegevens (N)'!$C$16)</f>
        <v>0</v>
      </c>
      <c r="BA39" s="73">
        <f ca="1">AW39/(1+'Invoer gegevens (N)'!$I$12)^(E39-('Invoer gegevens (N)'!$C$17-1))/(1+'Invoer gegevens (N)'!$C$39)^('Invoer gegevens (N)'!$C$17-'Invoer gegevens (N)'!$C$16)</f>
        <v>0</v>
      </c>
      <c r="BB39" s="73">
        <f ca="1">AX39/(1+'Invoer gegevens (N)'!$C$39)^('Invoer gegevens (N)'!$C$17-'Invoer gegevens (N)'!$C$16)</f>
        <v>0</v>
      </c>
      <c r="BC39" s="72">
        <f t="shared" ca="1" si="5"/>
        <v>0</v>
      </c>
      <c r="BD39" s="72">
        <f ca="1">IF(AND(E39='Invoer gegevens (N)'!$C$16,'Invoer gegevens (N)'!$C$34&lt;'Invoer gegevens (N)'!$C$16),AY39,AY39/(1+'Invoer gegevens (N)'!$C$39)^D39)</f>
        <v>0</v>
      </c>
      <c r="BE39" s="72">
        <f ca="1">IF(E39='Invoer gegevens (N)'!$C$34,-'Invoer gegevens (N)'!$I$38,0)</f>
        <v>0</v>
      </c>
      <c r="BF39" s="72">
        <f ca="1">IF(E39='Invoer gegevens (N)'!$C$17,-'Invoer gegevens (N)'!$C$19*$BC$66,0)</f>
        <v>0</v>
      </c>
      <c r="BG39" s="72">
        <f ca="1">AV39/(1+$BG$4)^($D39-('Invoer gegevens (N)'!$C$17-'Invoer gegevens (N)'!$C$16))/(1+'Invoer gegevens (N)'!$C$39)^('Invoer gegevens (N)'!$C$17-'Invoer gegevens (N)'!$C$16)+AW39/(1+$BG$4)^(E39-('Invoer gegevens (N)'!$C$17-1))/(1+'Invoer gegevens (N)'!$C$39)^('Invoer gegevens (N)'!$C$17-'Invoer gegevens (N)'!$C$16)+AX39/(1+'Invoer gegevens (N)'!$C$39)^('Invoer gegevens (N)'!$C$17-'Invoer gegevens (N)'!$C$16)+(-AY39/(1+'Invoer gegevens (N)'!$C$39)^D39)+BE39+BF39</f>
        <v>0</v>
      </c>
      <c r="BH39" s="59"/>
      <c r="BI39" s="215"/>
      <c r="BJ39" s="214"/>
    </row>
    <row r="40" spans="2:62" x14ac:dyDescent="0.25">
      <c r="B40" s="70">
        <f t="shared" si="6"/>
        <v>36</v>
      </c>
      <c r="C40" s="67">
        <f ca="1">IF(AND(E40&gt;='Invoer gegevens (N)'!$C$17,E40&lt;'Invoer gegevens (N)'!$C$17+'Invoer gegevens (N)'!$I$14),1,0)</f>
        <v>1</v>
      </c>
      <c r="D40" s="68">
        <f t="shared" si="7"/>
        <v>35.5</v>
      </c>
      <c r="E40" s="69">
        <f ca="1">IF('Invoer gegevens (N)'!$C$16="","",E39+1)</f>
        <v>2054</v>
      </c>
      <c r="F40" s="82">
        <f ca="1">IF('Invoer gegevens (N)'!$C$17=E40,'Invoer gegevens (N)'!$C$10,IF(C40=1,H39,0))</f>
        <v>0</v>
      </c>
      <c r="G40" s="83">
        <f ca="1">IF(E40='Invoer gegevens (N)'!$C$17+'Invoer gegevens (N)'!$I$14,H39,IF(C40&gt;=1,F40*'Reeksen (N)'!C40,0))</f>
        <v>0</v>
      </c>
      <c r="H40" s="84">
        <f ca="1">IF(E40&gt;='Invoer gegevens (N)'!$C$17+'Invoer gegevens (N)'!$I$14,0,F40-G40)</f>
        <v>0</v>
      </c>
      <c r="I40" s="85">
        <f ca="1">IF('Invoer gegevens (N)'!$C$17=E40,'Invoer gegevens (N)'!$C$11,IF(C40=1,L39,0))</f>
        <v>0</v>
      </c>
      <c r="J40" s="86">
        <f ca="1">IF(E40='Invoer gegevens (N)'!$C$17+'Invoer gegevens (N)'!$I$14,L39,IF(C40&lt;1,0,IF('Reeksen (N)'!BG40&lt;='Reeksen (N)'!AE40,I40*'Reeksen (N)'!C40,0)))</f>
        <v>0</v>
      </c>
      <c r="K40" s="86">
        <f ca="1">IF(E40='Invoer gegevens (N)'!$C$17+'Invoer gegevens (N)'!$I$14,L39,IF(C40&lt;1,0,IF('Reeksen (N)'!BG40&gt;'Reeksen (N)'!AE40,I40*'Reeksen (N)'!C40,0)))</f>
        <v>0</v>
      </c>
      <c r="L40" s="86">
        <f ca="1">IF(E40&gt;='Invoer gegevens (N)'!$C$17+'Invoer gegevens (N)'!$I$14,0,I40-J40-K40)</f>
        <v>0</v>
      </c>
      <c r="M40" s="85">
        <f ca="1">IF('Invoer gegevens (N)'!$C$17=E40,'Invoer gegevens (N)'!$C$10-'Invoer gegevens (N)'!$C$11,IF(C40=1,P39,0))</f>
        <v>0</v>
      </c>
      <c r="N40" s="86">
        <f ca="1">IF(E40='Invoer gegevens (N)'!$C$17+'Invoer gegevens (N)'!$I$14,P39,IF(C40&lt;1,0,IF('Reeksen (N)'!BG40&lt;='Reeksen (N)'!AE40,M40*'Reeksen (N)'!C40,0)))</f>
        <v>0</v>
      </c>
      <c r="O40" s="86">
        <f ca="1">IF(E40='Invoer gegevens (N)'!$C$17+'Invoer gegevens (N)'!$I$14,P39,IF(C40&lt;1,0,IF('Reeksen (N)'!BG40&gt;'Reeksen (N)'!AE40,M40*'Reeksen (N)'!C40,0)))</f>
        <v>0</v>
      </c>
      <c r="P40" s="86">
        <f ca="1">IF(E40&gt;='Invoer gegevens (N)'!$C$17+'Invoer gegevens (N)'!$I$14,0,M40-N40-O40)</f>
        <v>0</v>
      </c>
      <c r="Q40" s="82">
        <f ca="1">IF('Invoer gegevens (N)'!$C$17=E40,I40,IF(C40=0,0,R39))</f>
        <v>0</v>
      </c>
      <c r="R40" s="84">
        <f t="shared" ca="1" si="0"/>
        <v>0</v>
      </c>
      <c r="S40" s="84">
        <f ca="1">IF('Invoer gegevens (N)'!$C$17=E40,M40,IF(C40=0,0,T39))</f>
        <v>0</v>
      </c>
      <c r="T40" s="84">
        <f t="shared" ca="1" si="1"/>
        <v>0</v>
      </c>
      <c r="AH40" s="66"/>
      <c r="AI40" s="71">
        <f ca="1">IF(C40=1,((F40+H40)/2*'Reeksen (N)'!BF40*12)+(('Invoer gegevens (N)'!$C$10-(F40+H40)/2)*'Reeksen (N)'!BG40*12),0)</f>
        <v>0</v>
      </c>
      <c r="AJ40" s="71">
        <f ca="1">-AI40*'Invoer gegevens (N)'!$I$26</f>
        <v>0</v>
      </c>
      <c r="AK40" s="71">
        <f t="shared" ca="1" si="2"/>
        <v>0</v>
      </c>
      <c r="AL40" s="71">
        <f ca="1">IF(C40=1,(12*((F40+H40)/2)*'Reeksen (N)'!AL40)+(12*('Invoer gegevens (N)'!$C$10-(F40+H40)/2)*'Reeksen (N)'!AM40),0)</f>
        <v>0</v>
      </c>
      <c r="AM40" s="71">
        <f ca="1">-AL40*'Invoer gegevens (N)'!$F$31</f>
        <v>0</v>
      </c>
      <c r="AN40" s="71">
        <f t="shared" ca="1" si="3"/>
        <v>0</v>
      </c>
      <c r="AO40" s="71"/>
      <c r="AP40" s="71"/>
      <c r="AQ40" s="71">
        <f ca="1">-IF(C40=1,('Invoer gegevens (N)'!$C$10*'Invoer gegevens (N)'!$I$33)*'Reeksen (N)'!J40,0)</f>
        <v>0</v>
      </c>
      <c r="AR40" s="71">
        <f ca="1">-IF(C40=1,(G40*'Invoer gegevens (N)'!$I$34)*'Reeksen (N)'!J40,0)</f>
        <v>0</v>
      </c>
      <c r="AS40" s="71">
        <f ca="1">-IF(C40=1,'Invoer gegevens (N)'!$C$10*'Invoer gegevens (N)'!$I$35*'Reeksen (N)'!L40,0)</f>
        <v>0</v>
      </c>
      <c r="AT40" s="71">
        <f ca="1">-IF(C40=1,IF(E40='Invoer gegevens (N)'!$C$17,'Invoer gegevens (N)'!$C$11,Q40)*'Reeksen (N)'!S40*'Invoer gegevens (N)'!$C$18*'Reeksen (N)'!P40,0)</f>
        <v>0</v>
      </c>
      <c r="AU40" s="71">
        <f ca="1">-IF(C40=1,'Invoer gegevens (N)'!$C$10*'Invoer gegevens (N)'!$I$36*'Reeksen (N)'!H40,0)</f>
        <v>0</v>
      </c>
      <c r="AV40" s="71">
        <f t="shared" ca="1" si="4"/>
        <v>0</v>
      </c>
      <c r="AW40" s="72">
        <f ca="1">IFERROR(IF(E40='Invoer gegevens (N)'!$C$17+'Invoer gegevens (N)'!$I$14-1,'Invoer gegevens (N)'!$I$13*'Invoer gegevens (N)'!$C$10*'Reeksen (N)'!H40,0),0)</f>
        <v>0</v>
      </c>
      <c r="AX40" s="72">
        <f ca="1">IFERROR(IF(E40='Invoer gegevens (N)'!$C$17,-'Invoer gegevens (N)'!$C$10*'Invoer gegevens (N)'!$C$31*'Reeksen (N)'!H40,0),0)</f>
        <v>0</v>
      </c>
      <c r="AY40" s="73">
        <f ca="1">IF('Invoer gegevens (N)'!$C$34=E40,'Invoer gegevens (N)'!$C$27*'Invoer gegevens (N)'!$C$10*'Invoer gegevens (N)'!$C$36*(IF('Invoer gegevens (N)'!$C$35="ja",1,'Reeksen (N)'!J40)),IF('Invoer gegevens (N)'!$C$34+1=E40,'Invoer gegevens (N)'!$C$27*'Invoer gegevens (N)'!$C$10*'Invoer gegevens (N)'!$C$37*(IF('Invoer gegevens (N)'!$C$35="ja",1,'Reeksen (N)'!J40)),0))+IF(AND(E40='Invoer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0" s="73">
        <f ca="1">AV40/(1+'Invoer gegevens (N)'!$I$12)^($D40-('Invoer gegevens (N)'!$C$17-'Invoer gegevens (N)'!$C$16))/(1+'Invoer gegevens (N)'!$C$39)^('Invoer gegevens (N)'!$C$17-'Invoer gegevens (N)'!$C$16)</f>
        <v>0</v>
      </c>
      <c r="BA40" s="73">
        <f ca="1">AW40/(1+'Invoer gegevens (N)'!$I$12)^(E40-('Invoer gegevens (N)'!$C$17-1))/(1+'Invoer gegevens (N)'!$C$39)^('Invoer gegevens (N)'!$C$17-'Invoer gegevens (N)'!$C$16)</f>
        <v>0</v>
      </c>
      <c r="BB40" s="73">
        <f ca="1">AX40/(1+'Invoer gegevens (N)'!$C$39)^('Invoer gegevens (N)'!$C$17-'Invoer gegevens (N)'!$C$16)</f>
        <v>0</v>
      </c>
      <c r="BC40" s="72">
        <f t="shared" ca="1" si="5"/>
        <v>0</v>
      </c>
      <c r="BD40" s="72">
        <f ca="1">IF(AND(E40='Invoer gegevens (N)'!$C$16,'Invoer gegevens (N)'!$C$34&lt;'Invoer gegevens (N)'!$C$16),AY40,AY40/(1+'Invoer gegevens (N)'!$C$39)^D40)</f>
        <v>0</v>
      </c>
      <c r="BE40" s="72">
        <f ca="1">IF(E40='Invoer gegevens (N)'!$C$34,-'Invoer gegevens (N)'!$I$38,0)</f>
        <v>0</v>
      </c>
      <c r="BF40" s="72">
        <f ca="1">IF(E40='Invoer gegevens (N)'!$C$17,-'Invoer gegevens (N)'!$C$19*$BC$66,0)</f>
        <v>0</v>
      </c>
      <c r="BG40" s="72">
        <f ca="1">AV40/(1+$BG$4)^($D40-('Invoer gegevens (N)'!$C$17-'Invoer gegevens (N)'!$C$16))/(1+'Invoer gegevens (N)'!$C$39)^('Invoer gegevens (N)'!$C$17-'Invoer gegevens (N)'!$C$16)+AW40/(1+$BG$4)^(E40-('Invoer gegevens (N)'!$C$17-1))/(1+'Invoer gegevens (N)'!$C$39)^('Invoer gegevens (N)'!$C$17-'Invoer gegevens (N)'!$C$16)+AX40/(1+'Invoer gegevens (N)'!$C$39)^('Invoer gegevens (N)'!$C$17-'Invoer gegevens (N)'!$C$16)+(-AY40/(1+'Invoer gegevens (N)'!$C$39)^D40)+BE40+BF40</f>
        <v>0</v>
      </c>
      <c r="BH40" s="59"/>
      <c r="BI40" s="215"/>
      <c r="BJ40" s="214"/>
    </row>
    <row r="41" spans="2:62" x14ac:dyDescent="0.25">
      <c r="B41" s="70">
        <f t="shared" si="6"/>
        <v>37</v>
      </c>
      <c r="C41" s="67">
        <f ca="1">IF(AND(E41&gt;='Invoer gegevens (N)'!$C$17,E41&lt;'Invoer gegevens (N)'!$C$17+'Invoer gegevens (N)'!$I$14),1,0)</f>
        <v>1</v>
      </c>
      <c r="D41" s="68">
        <f t="shared" si="7"/>
        <v>36.5</v>
      </c>
      <c r="E41" s="69">
        <f ca="1">IF('Invoer gegevens (N)'!$C$16="","",E40+1)</f>
        <v>2055</v>
      </c>
      <c r="F41" s="82">
        <f ca="1">IF('Invoer gegevens (N)'!$C$17=E41,'Invoer gegevens (N)'!$C$10,IF(C41=1,H40,0))</f>
        <v>0</v>
      </c>
      <c r="G41" s="83">
        <f ca="1">IF(E41='Invoer gegevens (N)'!$C$17+'Invoer gegevens (N)'!$I$14,H40,IF(C41&gt;=1,F41*'Reeksen (N)'!C41,0))</f>
        <v>0</v>
      </c>
      <c r="H41" s="84">
        <f ca="1">IF(E41&gt;='Invoer gegevens (N)'!$C$17+'Invoer gegevens (N)'!$I$14,0,F41-G41)</f>
        <v>0</v>
      </c>
      <c r="I41" s="85">
        <f ca="1">IF('Invoer gegevens (N)'!$C$17=E41,'Invoer gegevens (N)'!$C$11,IF(C41=1,L40,0))</f>
        <v>0</v>
      </c>
      <c r="J41" s="86">
        <f ca="1">IF(E41='Invoer gegevens (N)'!$C$17+'Invoer gegevens (N)'!$I$14,L40,IF(C41&lt;1,0,IF('Reeksen (N)'!BG41&lt;='Reeksen (N)'!AE41,I41*'Reeksen (N)'!C41,0)))</f>
        <v>0</v>
      </c>
      <c r="K41" s="86">
        <f ca="1">IF(E41='Invoer gegevens (N)'!$C$17+'Invoer gegevens (N)'!$I$14,L40,IF(C41&lt;1,0,IF('Reeksen (N)'!BG41&gt;'Reeksen (N)'!AE41,I41*'Reeksen (N)'!C41,0)))</f>
        <v>0</v>
      </c>
      <c r="L41" s="86">
        <f ca="1">IF(E41&gt;='Invoer gegevens (N)'!$C$17+'Invoer gegevens (N)'!$I$14,0,I41-J41-K41)</f>
        <v>0</v>
      </c>
      <c r="M41" s="85">
        <f ca="1">IF('Invoer gegevens (N)'!$C$17=E41,'Invoer gegevens (N)'!$C$10-'Invoer gegevens (N)'!$C$11,IF(C41=1,P40,0))</f>
        <v>0</v>
      </c>
      <c r="N41" s="86">
        <f ca="1">IF(E41='Invoer gegevens (N)'!$C$17+'Invoer gegevens (N)'!$I$14,P40,IF(C41&lt;1,0,IF('Reeksen (N)'!BG41&lt;='Reeksen (N)'!AE41,M41*'Reeksen (N)'!C41,0)))</f>
        <v>0</v>
      </c>
      <c r="O41" s="86">
        <f ca="1">IF(E41='Invoer gegevens (N)'!$C$17+'Invoer gegevens (N)'!$I$14,P40,IF(C41&lt;1,0,IF('Reeksen (N)'!BG41&gt;'Reeksen (N)'!AE41,M41*'Reeksen (N)'!C41,0)))</f>
        <v>0</v>
      </c>
      <c r="P41" s="86">
        <f ca="1">IF(E41&gt;='Invoer gegevens (N)'!$C$17+'Invoer gegevens (N)'!$I$14,0,M41-N41-O41)</f>
        <v>0</v>
      </c>
      <c r="Q41" s="82">
        <f ca="1">IF('Invoer gegevens (N)'!$C$17=E41,I41,IF(C41=0,0,R40))</f>
        <v>0</v>
      </c>
      <c r="R41" s="84">
        <f t="shared" ca="1" si="0"/>
        <v>0</v>
      </c>
      <c r="S41" s="84">
        <f ca="1">IF('Invoer gegevens (N)'!$C$17=E41,M41,IF(C41=0,0,T40))</f>
        <v>0</v>
      </c>
      <c r="T41" s="84">
        <f t="shared" ca="1" si="1"/>
        <v>0</v>
      </c>
      <c r="AH41" s="66"/>
      <c r="AI41" s="71">
        <f ca="1">IF(C41=1,((F41+H41)/2*'Reeksen (N)'!BF41*12)+(('Invoer gegevens (N)'!$C$10-(F41+H41)/2)*'Reeksen (N)'!BG41*12),0)</f>
        <v>0</v>
      </c>
      <c r="AJ41" s="71">
        <f ca="1">-AI41*'Invoer gegevens (N)'!$I$26</f>
        <v>0</v>
      </c>
      <c r="AK41" s="71">
        <f t="shared" ca="1" si="2"/>
        <v>0</v>
      </c>
      <c r="AL41" s="71">
        <f ca="1">IF(C41=1,(12*((F41+H41)/2)*'Reeksen (N)'!AL41)+(12*('Invoer gegevens (N)'!$C$10-(F41+H41)/2)*'Reeksen (N)'!AM41),0)</f>
        <v>0</v>
      </c>
      <c r="AM41" s="71">
        <f ca="1">-AL41*'Invoer gegevens (N)'!$F$31</f>
        <v>0</v>
      </c>
      <c r="AN41" s="71">
        <f t="shared" ca="1" si="3"/>
        <v>0</v>
      </c>
      <c r="AO41" s="71"/>
      <c r="AP41" s="71"/>
      <c r="AQ41" s="71">
        <f ca="1">-IF(C41=1,('Invoer gegevens (N)'!$C$10*'Invoer gegevens (N)'!$I$33)*'Reeksen (N)'!J41,0)</f>
        <v>0</v>
      </c>
      <c r="AR41" s="71">
        <f ca="1">-IF(C41=1,(G41*'Invoer gegevens (N)'!$I$34)*'Reeksen (N)'!J41,0)</f>
        <v>0</v>
      </c>
      <c r="AS41" s="71">
        <f ca="1">-IF(C41=1,'Invoer gegevens (N)'!$C$10*'Invoer gegevens (N)'!$I$35*'Reeksen (N)'!L41,0)</f>
        <v>0</v>
      </c>
      <c r="AT41" s="71">
        <f ca="1">-IF(C41=1,IF(E41='Invoer gegevens (N)'!$C$17,'Invoer gegevens (N)'!$C$11,Q41)*'Reeksen (N)'!S41*'Invoer gegevens (N)'!$C$18*'Reeksen (N)'!P41,0)</f>
        <v>0</v>
      </c>
      <c r="AU41" s="71">
        <f ca="1">-IF(C41=1,'Invoer gegevens (N)'!$C$10*'Invoer gegevens (N)'!$I$36*'Reeksen (N)'!H41,0)</f>
        <v>0</v>
      </c>
      <c r="AV41" s="71">
        <f t="shared" ca="1" si="4"/>
        <v>0</v>
      </c>
      <c r="AW41" s="72">
        <f ca="1">IFERROR(IF(E41='Invoer gegevens (N)'!$C$17+'Invoer gegevens (N)'!$I$14-1,'Invoer gegevens (N)'!$I$13*'Invoer gegevens (N)'!$C$10*'Reeksen (N)'!H41,0),0)</f>
        <v>0</v>
      </c>
      <c r="AX41" s="72">
        <f ca="1">IFERROR(IF(E41='Invoer gegevens (N)'!$C$17,-'Invoer gegevens (N)'!$C$10*'Invoer gegevens (N)'!$C$31*'Reeksen (N)'!H41,0),0)</f>
        <v>0</v>
      </c>
      <c r="AY41" s="73">
        <f ca="1">IF('Invoer gegevens (N)'!$C$34=E41,'Invoer gegevens (N)'!$C$27*'Invoer gegevens (N)'!$C$10*'Invoer gegevens (N)'!$C$36*(IF('Invoer gegevens (N)'!$C$35="ja",1,'Reeksen (N)'!J41)),IF('Invoer gegevens (N)'!$C$34+1=E41,'Invoer gegevens (N)'!$C$27*'Invoer gegevens (N)'!$C$10*'Invoer gegevens (N)'!$C$37*(IF('Invoer gegevens (N)'!$C$35="ja",1,'Reeksen (N)'!J41)),0))+IF(AND(E41='Invoer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1" s="73">
        <f ca="1">AV41/(1+'Invoer gegevens (N)'!$I$12)^($D41-('Invoer gegevens (N)'!$C$17-'Invoer gegevens (N)'!$C$16))/(1+'Invoer gegevens (N)'!$C$39)^('Invoer gegevens (N)'!$C$17-'Invoer gegevens (N)'!$C$16)</f>
        <v>0</v>
      </c>
      <c r="BA41" s="73">
        <f ca="1">AW41/(1+'Invoer gegevens (N)'!$I$12)^(E41-('Invoer gegevens (N)'!$C$17-1))/(1+'Invoer gegevens (N)'!$C$39)^('Invoer gegevens (N)'!$C$17-'Invoer gegevens (N)'!$C$16)</f>
        <v>0</v>
      </c>
      <c r="BB41" s="73">
        <f ca="1">AX41/(1+'Invoer gegevens (N)'!$C$39)^('Invoer gegevens (N)'!$C$17-'Invoer gegevens (N)'!$C$16)</f>
        <v>0</v>
      </c>
      <c r="BC41" s="72">
        <f t="shared" ca="1" si="5"/>
        <v>0</v>
      </c>
      <c r="BD41" s="72">
        <f ca="1">IF(AND(E41='Invoer gegevens (N)'!$C$16,'Invoer gegevens (N)'!$C$34&lt;'Invoer gegevens (N)'!$C$16),AY41,AY41/(1+'Invoer gegevens (N)'!$C$39)^D41)</f>
        <v>0</v>
      </c>
      <c r="BE41" s="72">
        <f ca="1">IF(E41='Invoer gegevens (N)'!$C$34,-'Invoer gegevens (N)'!$I$38,0)</f>
        <v>0</v>
      </c>
      <c r="BF41" s="72">
        <f ca="1">IF(E41='Invoer gegevens (N)'!$C$17,-'Invoer gegevens (N)'!$C$19*$BC$66,0)</f>
        <v>0</v>
      </c>
      <c r="BG41" s="72">
        <f ca="1">AV41/(1+$BG$4)^($D41-('Invoer gegevens (N)'!$C$17-'Invoer gegevens (N)'!$C$16))/(1+'Invoer gegevens (N)'!$C$39)^('Invoer gegevens (N)'!$C$17-'Invoer gegevens (N)'!$C$16)+AW41/(1+$BG$4)^(E41-('Invoer gegevens (N)'!$C$17-1))/(1+'Invoer gegevens (N)'!$C$39)^('Invoer gegevens (N)'!$C$17-'Invoer gegevens (N)'!$C$16)+AX41/(1+'Invoer gegevens (N)'!$C$39)^('Invoer gegevens (N)'!$C$17-'Invoer gegevens (N)'!$C$16)+(-AY41/(1+'Invoer gegevens (N)'!$C$39)^D41)+BE41+BF41</f>
        <v>0</v>
      </c>
      <c r="BH41" s="59"/>
      <c r="BI41" s="215"/>
      <c r="BJ41" s="214"/>
    </row>
    <row r="42" spans="2:62" x14ac:dyDescent="0.25">
      <c r="B42" s="70">
        <f t="shared" si="6"/>
        <v>38</v>
      </c>
      <c r="C42" s="67">
        <f ca="1">IF(AND(E42&gt;='Invoer gegevens (N)'!$C$17,E42&lt;'Invoer gegevens (N)'!$C$17+'Invoer gegevens (N)'!$I$14),1,0)</f>
        <v>1</v>
      </c>
      <c r="D42" s="68">
        <f t="shared" si="7"/>
        <v>37.5</v>
      </c>
      <c r="E42" s="69">
        <f ca="1">IF('Invoer gegevens (N)'!$C$16="","",E41+1)</f>
        <v>2056</v>
      </c>
      <c r="F42" s="82">
        <f ca="1">IF('Invoer gegevens (N)'!$C$17=E42,'Invoer gegevens (N)'!$C$10,IF(C42=1,H41,0))</f>
        <v>0</v>
      </c>
      <c r="G42" s="83">
        <f ca="1">IF(E42='Invoer gegevens (N)'!$C$17+'Invoer gegevens (N)'!$I$14,H41,IF(C42&gt;=1,F42*'Reeksen (N)'!C42,0))</f>
        <v>0</v>
      </c>
      <c r="H42" s="84">
        <f ca="1">IF(E42&gt;='Invoer gegevens (N)'!$C$17+'Invoer gegevens (N)'!$I$14,0,F42-G42)</f>
        <v>0</v>
      </c>
      <c r="I42" s="85">
        <f ca="1">IF('Invoer gegevens (N)'!$C$17=E42,'Invoer gegevens (N)'!$C$11,IF(C42=1,L41,0))</f>
        <v>0</v>
      </c>
      <c r="J42" s="86">
        <f ca="1">IF(E42='Invoer gegevens (N)'!$C$17+'Invoer gegevens (N)'!$I$14,L41,IF(C42&lt;1,0,IF('Reeksen (N)'!BG42&lt;='Reeksen (N)'!AE42,I42*'Reeksen (N)'!C42,0)))</f>
        <v>0</v>
      </c>
      <c r="K42" s="86">
        <f ca="1">IF(E42='Invoer gegevens (N)'!$C$17+'Invoer gegevens (N)'!$I$14,L41,IF(C42&lt;1,0,IF('Reeksen (N)'!BG42&gt;'Reeksen (N)'!AE42,I42*'Reeksen (N)'!C42,0)))</f>
        <v>0</v>
      </c>
      <c r="L42" s="86">
        <f ca="1">IF(E42&gt;='Invoer gegevens (N)'!$C$17+'Invoer gegevens (N)'!$I$14,0,I42-J42-K42)</f>
        <v>0</v>
      </c>
      <c r="M42" s="85">
        <f ca="1">IF('Invoer gegevens (N)'!$C$17=E42,'Invoer gegevens (N)'!$C$10-'Invoer gegevens (N)'!$C$11,IF(C42=1,P41,0))</f>
        <v>0</v>
      </c>
      <c r="N42" s="86">
        <f ca="1">IF(E42='Invoer gegevens (N)'!$C$17+'Invoer gegevens (N)'!$I$14,P41,IF(C42&lt;1,0,IF('Reeksen (N)'!BG42&lt;='Reeksen (N)'!AE42,M42*'Reeksen (N)'!C42,0)))</f>
        <v>0</v>
      </c>
      <c r="O42" s="86">
        <f ca="1">IF(E42='Invoer gegevens (N)'!$C$17+'Invoer gegevens (N)'!$I$14,P41,IF(C42&lt;1,0,IF('Reeksen (N)'!BG42&gt;'Reeksen (N)'!AE42,M42*'Reeksen (N)'!C42,0)))</f>
        <v>0</v>
      </c>
      <c r="P42" s="86">
        <f ca="1">IF(E42&gt;='Invoer gegevens (N)'!$C$17+'Invoer gegevens (N)'!$I$14,0,M42-N42-O42)</f>
        <v>0</v>
      </c>
      <c r="Q42" s="82">
        <f ca="1">IF('Invoer gegevens (N)'!$C$17=E42,I42,IF(C42=0,0,R41))</f>
        <v>0</v>
      </c>
      <c r="R42" s="84">
        <f t="shared" ca="1" si="0"/>
        <v>0</v>
      </c>
      <c r="S42" s="84">
        <f ca="1">IF('Invoer gegevens (N)'!$C$17=E42,M42,IF(C42=0,0,T41))</f>
        <v>0</v>
      </c>
      <c r="T42" s="84">
        <f t="shared" ca="1" si="1"/>
        <v>0</v>
      </c>
      <c r="AH42" s="66"/>
      <c r="AI42" s="71">
        <f ca="1">IF(C42=1,((F42+H42)/2*'Reeksen (N)'!BF42*12)+(('Invoer gegevens (N)'!$C$10-(F42+H42)/2)*'Reeksen (N)'!BG42*12),0)</f>
        <v>0</v>
      </c>
      <c r="AJ42" s="71">
        <f ca="1">-AI42*'Invoer gegevens (N)'!$I$26</f>
        <v>0</v>
      </c>
      <c r="AK42" s="71">
        <f t="shared" ca="1" si="2"/>
        <v>0</v>
      </c>
      <c r="AL42" s="71">
        <f ca="1">IF(C42=1,(12*((F42+H42)/2)*'Reeksen (N)'!AL42)+(12*('Invoer gegevens (N)'!$C$10-(F42+H42)/2)*'Reeksen (N)'!AM42),0)</f>
        <v>0</v>
      </c>
      <c r="AM42" s="71">
        <f ca="1">-AL42*'Invoer gegevens (N)'!$F$31</f>
        <v>0</v>
      </c>
      <c r="AN42" s="71">
        <f t="shared" ca="1" si="3"/>
        <v>0</v>
      </c>
      <c r="AO42" s="71"/>
      <c r="AP42" s="71"/>
      <c r="AQ42" s="71">
        <f ca="1">-IF(C42=1,('Invoer gegevens (N)'!$C$10*'Invoer gegevens (N)'!$I$33)*'Reeksen (N)'!J42,0)</f>
        <v>0</v>
      </c>
      <c r="AR42" s="71">
        <f ca="1">-IF(C42=1,(G42*'Invoer gegevens (N)'!$I$34)*'Reeksen (N)'!J42,0)</f>
        <v>0</v>
      </c>
      <c r="AS42" s="71">
        <f ca="1">-IF(C42=1,'Invoer gegevens (N)'!$C$10*'Invoer gegevens (N)'!$I$35*'Reeksen (N)'!L42,0)</f>
        <v>0</v>
      </c>
      <c r="AT42" s="71">
        <f ca="1">-IF(C42=1,IF(E42='Invoer gegevens (N)'!$C$17,'Invoer gegevens (N)'!$C$11,Q42)*'Reeksen (N)'!S42*'Invoer gegevens (N)'!$C$18*'Reeksen (N)'!P42,0)</f>
        <v>0</v>
      </c>
      <c r="AU42" s="71">
        <f ca="1">-IF(C42=1,'Invoer gegevens (N)'!$C$10*'Invoer gegevens (N)'!$I$36*'Reeksen (N)'!H42,0)</f>
        <v>0</v>
      </c>
      <c r="AV42" s="71">
        <f t="shared" ca="1" si="4"/>
        <v>0</v>
      </c>
      <c r="AW42" s="72">
        <f ca="1">IFERROR(IF(E42='Invoer gegevens (N)'!$C$17+'Invoer gegevens (N)'!$I$14-1,'Invoer gegevens (N)'!$I$13*'Invoer gegevens (N)'!$C$10*'Reeksen (N)'!H42,0),0)</f>
        <v>0</v>
      </c>
      <c r="AX42" s="72">
        <f ca="1">IFERROR(IF(E42='Invoer gegevens (N)'!$C$17,-'Invoer gegevens (N)'!$C$10*'Invoer gegevens (N)'!$C$31*'Reeksen (N)'!H42,0),0)</f>
        <v>0</v>
      </c>
      <c r="AY42" s="73">
        <f ca="1">IF('Invoer gegevens (N)'!$C$34=E42,'Invoer gegevens (N)'!$C$27*'Invoer gegevens (N)'!$C$10*'Invoer gegevens (N)'!$C$36*(IF('Invoer gegevens (N)'!$C$35="ja",1,'Reeksen (N)'!J42)),IF('Invoer gegevens (N)'!$C$34+1=E42,'Invoer gegevens (N)'!$C$27*'Invoer gegevens (N)'!$C$10*'Invoer gegevens (N)'!$C$37*(IF('Invoer gegevens (N)'!$C$35="ja",1,'Reeksen (N)'!J42)),0))+IF(AND(E42='Invoer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2" s="73">
        <f ca="1">AV42/(1+'Invoer gegevens (N)'!$I$12)^($D42-('Invoer gegevens (N)'!$C$17-'Invoer gegevens (N)'!$C$16))/(1+'Invoer gegevens (N)'!$C$39)^('Invoer gegevens (N)'!$C$17-'Invoer gegevens (N)'!$C$16)</f>
        <v>0</v>
      </c>
      <c r="BA42" s="73">
        <f ca="1">AW42/(1+'Invoer gegevens (N)'!$I$12)^(E42-('Invoer gegevens (N)'!$C$17-1))/(1+'Invoer gegevens (N)'!$C$39)^('Invoer gegevens (N)'!$C$17-'Invoer gegevens (N)'!$C$16)</f>
        <v>0</v>
      </c>
      <c r="BB42" s="73">
        <f ca="1">AX42/(1+'Invoer gegevens (N)'!$C$39)^('Invoer gegevens (N)'!$C$17-'Invoer gegevens (N)'!$C$16)</f>
        <v>0</v>
      </c>
      <c r="BC42" s="72">
        <f t="shared" ca="1" si="5"/>
        <v>0</v>
      </c>
      <c r="BD42" s="72">
        <f ca="1">IF(AND(E42='Invoer gegevens (N)'!$C$16,'Invoer gegevens (N)'!$C$34&lt;'Invoer gegevens (N)'!$C$16),AY42,AY42/(1+'Invoer gegevens (N)'!$C$39)^D42)</f>
        <v>0</v>
      </c>
      <c r="BE42" s="72">
        <f ca="1">IF(E42='Invoer gegevens (N)'!$C$34,-'Invoer gegevens (N)'!$I$38,0)</f>
        <v>0</v>
      </c>
      <c r="BF42" s="72">
        <f ca="1">IF(E42='Invoer gegevens (N)'!$C$17,-'Invoer gegevens (N)'!$C$19*$BC$66,0)</f>
        <v>0</v>
      </c>
      <c r="BG42" s="72">
        <f ca="1">AV42/(1+$BG$4)^($D42-('Invoer gegevens (N)'!$C$17-'Invoer gegevens (N)'!$C$16))/(1+'Invoer gegevens (N)'!$C$39)^('Invoer gegevens (N)'!$C$17-'Invoer gegevens (N)'!$C$16)+AW42/(1+$BG$4)^(E42-('Invoer gegevens (N)'!$C$17-1))/(1+'Invoer gegevens (N)'!$C$39)^('Invoer gegevens (N)'!$C$17-'Invoer gegevens (N)'!$C$16)+AX42/(1+'Invoer gegevens (N)'!$C$39)^('Invoer gegevens (N)'!$C$17-'Invoer gegevens (N)'!$C$16)+(-AY42/(1+'Invoer gegevens (N)'!$C$39)^D42)+BE42+BF42</f>
        <v>0</v>
      </c>
      <c r="BH42" s="59"/>
      <c r="BI42" s="215"/>
      <c r="BJ42" s="214"/>
    </row>
    <row r="43" spans="2:62" x14ac:dyDescent="0.25">
      <c r="B43" s="70">
        <f t="shared" si="6"/>
        <v>39</v>
      </c>
      <c r="C43" s="67">
        <f ca="1">IF(AND(E43&gt;='Invoer gegevens (N)'!$C$17,E43&lt;'Invoer gegevens (N)'!$C$17+'Invoer gegevens (N)'!$I$14),1,0)</f>
        <v>1</v>
      </c>
      <c r="D43" s="68">
        <f t="shared" si="7"/>
        <v>38.5</v>
      </c>
      <c r="E43" s="69">
        <f ca="1">IF('Invoer gegevens (N)'!$C$16="","",E42+1)</f>
        <v>2057</v>
      </c>
      <c r="F43" s="82">
        <f ca="1">IF('Invoer gegevens (N)'!$C$17=E43,'Invoer gegevens (N)'!$C$10,IF(C43=1,H42,0))</f>
        <v>0</v>
      </c>
      <c r="G43" s="83">
        <f ca="1">IF(E43='Invoer gegevens (N)'!$C$17+'Invoer gegevens (N)'!$I$14,H42,IF(C43&gt;=1,F43*'Reeksen (N)'!C43,0))</f>
        <v>0</v>
      </c>
      <c r="H43" s="84">
        <f ca="1">IF(E43&gt;='Invoer gegevens (N)'!$C$17+'Invoer gegevens (N)'!$I$14,0,F43-G43)</f>
        <v>0</v>
      </c>
      <c r="I43" s="85">
        <f ca="1">IF('Invoer gegevens (N)'!$C$17=E43,'Invoer gegevens (N)'!$C$11,IF(C43=1,L42,0))</f>
        <v>0</v>
      </c>
      <c r="J43" s="86">
        <f ca="1">IF(E43='Invoer gegevens (N)'!$C$17+'Invoer gegevens (N)'!$I$14,L42,IF(C43&lt;1,0,IF('Reeksen (N)'!BG43&lt;='Reeksen (N)'!AE43,I43*'Reeksen (N)'!C43,0)))</f>
        <v>0</v>
      </c>
      <c r="K43" s="86">
        <f ca="1">IF(E43='Invoer gegevens (N)'!$C$17+'Invoer gegevens (N)'!$I$14,L42,IF(C43&lt;1,0,IF('Reeksen (N)'!BG43&gt;'Reeksen (N)'!AE43,I43*'Reeksen (N)'!C43,0)))</f>
        <v>0</v>
      </c>
      <c r="L43" s="86">
        <f ca="1">IF(E43&gt;='Invoer gegevens (N)'!$C$17+'Invoer gegevens (N)'!$I$14,0,I43-J43-K43)</f>
        <v>0</v>
      </c>
      <c r="M43" s="85">
        <f ca="1">IF('Invoer gegevens (N)'!$C$17=E43,'Invoer gegevens (N)'!$C$10-'Invoer gegevens (N)'!$C$11,IF(C43=1,P42,0))</f>
        <v>0</v>
      </c>
      <c r="N43" s="86">
        <f ca="1">IF(E43='Invoer gegevens (N)'!$C$17+'Invoer gegevens (N)'!$I$14,P42,IF(C43&lt;1,0,IF('Reeksen (N)'!BG43&lt;='Reeksen (N)'!AE43,M43*'Reeksen (N)'!C43,0)))</f>
        <v>0</v>
      </c>
      <c r="O43" s="86">
        <f ca="1">IF(E43='Invoer gegevens (N)'!$C$17+'Invoer gegevens (N)'!$I$14,P42,IF(C43&lt;1,0,IF('Reeksen (N)'!BG43&gt;'Reeksen (N)'!AE43,M43*'Reeksen (N)'!C43,0)))</f>
        <v>0</v>
      </c>
      <c r="P43" s="86">
        <f ca="1">IF(E43&gt;='Invoer gegevens (N)'!$C$17+'Invoer gegevens (N)'!$I$14,0,M43-N43-O43)</f>
        <v>0</v>
      </c>
      <c r="Q43" s="82">
        <f ca="1">IF('Invoer gegevens (N)'!$C$17=E43,I43,IF(C43=0,0,R42))</f>
        <v>0</v>
      </c>
      <c r="R43" s="84">
        <f t="shared" ca="1" si="0"/>
        <v>0</v>
      </c>
      <c r="S43" s="84">
        <f ca="1">IF('Invoer gegevens (N)'!$C$17=E43,M43,IF(C43=0,0,T42))</f>
        <v>0</v>
      </c>
      <c r="T43" s="84">
        <f t="shared" ca="1" si="1"/>
        <v>0</v>
      </c>
      <c r="AH43" s="66"/>
      <c r="AI43" s="71">
        <f ca="1">IF(C43=1,((F43+H43)/2*'Reeksen (N)'!BF43*12)+(('Invoer gegevens (N)'!$C$10-(F43+H43)/2)*'Reeksen (N)'!BG43*12),0)</f>
        <v>0</v>
      </c>
      <c r="AJ43" s="71">
        <f ca="1">-AI43*'Invoer gegevens (N)'!$I$26</f>
        <v>0</v>
      </c>
      <c r="AK43" s="71">
        <f t="shared" ca="1" si="2"/>
        <v>0</v>
      </c>
      <c r="AL43" s="71">
        <f ca="1">IF(C43=1,(12*((F43+H43)/2)*'Reeksen (N)'!AL43)+(12*('Invoer gegevens (N)'!$C$10-(F43+H43)/2)*'Reeksen (N)'!AM43),0)</f>
        <v>0</v>
      </c>
      <c r="AM43" s="71">
        <f ca="1">-AL43*'Invoer gegevens (N)'!$F$31</f>
        <v>0</v>
      </c>
      <c r="AN43" s="71">
        <f t="shared" ca="1" si="3"/>
        <v>0</v>
      </c>
      <c r="AO43" s="71"/>
      <c r="AP43" s="71"/>
      <c r="AQ43" s="71">
        <f ca="1">-IF(C43=1,('Invoer gegevens (N)'!$C$10*'Invoer gegevens (N)'!$I$33)*'Reeksen (N)'!J43,0)</f>
        <v>0</v>
      </c>
      <c r="AR43" s="71">
        <f ca="1">-IF(C43=1,(G43*'Invoer gegevens (N)'!$I$34)*'Reeksen (N)'!J43,0)</f>
        <v>0</v>
      </c>
      <c r="AS43" s="71">
        <f ca="1">-IF(C43=1,'Invoer gegevens (N)'!$C$10*'Invoer gegevens (N)'!$I$35*'Reeksen (N)'!L43,0)</f>
        <v>0</v>
      </c>
      <c r="AT43" s="71">
        <f ca="1">-IF(C43=1,IF(E43='Invoer gegevens (N)'!$C$17,'Invoer gegevens (N)'!$C$11,Q43)*'Reeksen (N)'!S43*'Invoer gegevens (N)'!$C$18*'Reeksen (N)'!P43,0)</f>
        <v>0</v>
      </c>
      <c r="AU43" s="71">
        <f ca="1">-IF(C43=1,'Invoer gegevens (N)'!$C$10*'Invoer gegevens (N)'!$I$36*'Reeksen (N)'!H43,0)</f>
        <v>0</v>
      </c>
      <c r="AV43" s="71">
        <f t="shared" ca="1" si="4"/>
        <v>0</v>
      </c>
      <c r="AW43" s="72">
        <f ca="1">IFERROR(IF(E43='Invoer gegevens (N)'!$C$17+'Invoer gegevens (N)'!$I$14-1,'Invoer gegevens (N)'!$I$13*'Invoer gegevens (N)'!$C$10*'Reeksen (N)'!H43,0),0)</f>
        <v>0</v>
      </c>
      <c r="AX43" s="72">
        <f ca="1">IFERROR(IF(E43='Invoer gegevens (N)'!$C$17,-'Invoer gegevens (N)'!$C$10*'Invoer gegevens (N)'!$C$31*'Reeksen (N)'!H43,0),0)</f>
        <v>0</v>
      </c>
      <c r="AY43" s="73">
        <f ca="1">IF('Invoer gegevens (N)'!$C$34=E43,'Invoer gegevens (N)'!$C$27*'Invoer gegevens (N)'!$C$10*'Invoer gegevens (N)'!$C$36*(IF('Invoer gegevens (N)'!$C$35="ja",1,'Reeksen (N)'!J43)),IF('Invoer gegevens (N)'!$C$34+1=E43,'Invoer gegevens (N)'!$C$27*'Invoer gegevens (N)'!$C$10*'Invoer gegevens (N)'!$C$37*(IF('Invoer gegevens (N)'!$C$35="ja",1,'Reeksen (N)'!J43)),0))+IF(AND(E43='Invoer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3" s="73">
        <f ca="1">AV43/(1+'Invoer gegevens (N)'!$I$12)^($D43-('Invoer gegevens (N)'!$C$17-'Invoer gegevens (N)'!$C$16))/(1+'Invoer gegevens (N)'!$C$39)^('Invoer gegevens (N)'!$C$17-'Invoer gegevens (N)'!$C$16)</f>
        <v>0</v>
      </c>
      <c r="BA43" s="73">
        <f ca="1">AW43/(1+'Invoer gegevens (N)'!$I$12)^(E43-('Invoer gegevens (N)'!$C$17-1))/(1+'Invoer gegevens (N)'!$C$39)^('Invoer gegevens (N)'!$C$17-'Invoer gegevens (N)'!$C$16)</f>
        <v>0</v>
      </c>
      <c r="BB43" s="73">
        <f ca="1">AX43/(1+'Invoer gegevens (N)'!$C$39)^('Invoer gegevens (N)'!$C$17-'Invoer gegevens (N)'!$C$16)</f>
        <v>0</v>
      </c>
      <c r="BC43" s="72">
        <f t="shared" ca="1" si="5"/>
        <v>0</v>
      </c>
      <c r="BD43" s="72">
        <f ca="1">IF(AND(E43='Invoer gegevens (N)'!$C$16,'Invoer gegevens (N)'!$C$34&lt;'Invoer gegevens (N)'!$C$16),AY43,AY43/(1+'Invoer gegevens (N)'!$C$39)^D43)</f>
        <v>0</v>
      </c>
      <c r="BE43" s="72">
        <f ca="1">IF(E43='Invoer gegevens (N)'!$C$34,-'Invoer gegevens (N)'!$I$38,0)</f>
        <v>0</v>
      </c>
      <c r="BF43" s="72">
        <f ca="1">IF(E43='Invoer gegevens (N)'!$C$17,-'Invoer gegevens (N)'!$C$19*$BC$66,0)</f>
        <v>0</v>
      </c>
      <c r="BG43" s="72">
        <f ca="1">AV43/(1+$BG$4)^($D43-('Invoer gegevens (N)'!$C$17-'Invoer gegevens (N)'!$C$16))/(1+'Invoer gegevens (N)'!$C$39)^('Invoer gegevens (N)'!$C$17-'Invoer gegevens (N)'!$C$16)+AW43/(1+$BG$4)^(E43-('Invoer gegevens (N)'!$C$17-1))/(1+'Invoer gegevens (N)'!$C$39)^('Invoer gegevens (N)'!$C$17-'Invoer gegevens (N)'!$C$16)+AX43/(1+'Invoer gegevens (N)'!$C$39)^('Invoer gegevens (N)'!$C$17-'Invoer gegevens (N)'!$C$16)+(-AY43/(1+'Invoer gegevens (N)'!$C$39)^D43)+BE43+BF43</f>
        <v>0</v>
      </c>
      <c r="BH43" s="59"/>
      <c r="BI43" s="215"/>
      <c r="BJ43" s="214"/>
    </row>
    <row r="44" spans="2:62" x14ac:dyDescent="0.25">
      <c r="B44" s="70">
        <f t="shared" si="6"/>
        <v>40</v>
      </c>
      <c r="C44" s="67">
        <f ca="1">IF(AND(E44&gt;='Invoer gegevens (N)'!$C$17,E44&lt;'Invoer gegevens (N)'!$C$17+'Invoer gegevens (N)'!$I$14),1,0)</f>
        <v>1</v>
      </c>
      <c r="D44" s="68">
        <f t="shared" si="7"/>
        <v>39.5</v>
      </c>
      <c r="E44" s="69">
        <f ca="1">IF('Invoer gegevens (N)'!$C$16="","",E43+1)</f>
        <v>2058</v>
      </c>
      <c r="F44" s="82">
        <f ca="1">IF('Invoer gegevens (N)'!$C$17=E44,'Invoer gegevens (N)'!$C$10,IF(C44=1,H43,0))</f>
        <v>0</v>
      </c>
      <c r="G44" s="83">
        <f ca="1">IF(E44='Invoer gegevens (N)'!$C$17+'Invoer gegevens (N)'!$I$14,H43,IF(C44&gt;=1,F44*'Reeksen (N)'!C44,0))</f>
        <v>0</v>
      </c>
      <c r="H44" s="84">
        <f ca="1">IF(E44&gt;='Invoer gegevens (N)'!$C$17+'Invoer gegevens (N)'!$I$14,0,F44-G44)</f>
        <v>0</v>
      </c>
      <c r="I44" s="85">
        <f ca="1">IF('Invoer gegevens (N)'!$C$17=E44,'Invoer gegevens (N)'!$C$11,IF(C44=1,L43,0))</f>
        <v>0</v>
      </c>
      <c r="J44" s="86">
        <f ca="1">IF(E44='Invoer gegevens (N)'!$C$17+'Invoer gegevens (N)'!$I$14,L43,IF(C44&lt;1,0,IF('Reeksen (N)'!BG44&lt;='Reeksen (N)'!AE44,I44*'Reeksen (N)'!C44,0)))</f>
        <v>0</v>
      </c>
      <c r="K44" s="86">
        <f ca="1">IF(E44='Invoer gegevens (N)'!$C$17+'Invoer gegevens (N)'!$I$14,L43,IF(C44&lt;1,0,IF('Reeksen (N)'!BG44&gt;'Reeksen (N)'!AE44,I44*'Reeksen (N)'!C44,0)))</f>
        <v>0</v>
      </c>
      <c r="L44" s="86">
        <f ca="1">IF(E44&gt;='Invoer gegevens (N)'!$C$17+'Invoer gegevens (N)'!$I$14,0,I44-J44-K44)</f>
        <v>0</v>
      </c>
      <c r="M44" s="85">
        <f ca="1">IF('Invoer gegevens (N)'!$C$17=E44,'Invoer gegevens (N)'!$C$10-'Invoer gegevens (N)'!$C$11,IF(C44=1,P43,0))</f>
        <v>0</v>
      </c>
      <c r="N44" s="86">
        <f ca="1">IF(E44='Invoer gegevens (N)'!$C$17+'Invoer gegevens (N)'!$I$14,P43,IF(C44&lt;1,0,IF('Reeksen (N)'!BG44&lt;='Reeksen (N)'!AE44,M44*'Reeksen (N)'!C44,0)))</f>
        <v>0</v>
      </c>
      <c r="O44" s="86">
        <f ca="1">IF(E44='Invoer gegevens (N)'!$C$17+'Invoer gegevens (N)'!$I$14,P43,IF(C44&lt;1,0,IF('Reeksen (N)'!BG44&gt;'Reeksen (N)'!AE44,M44*'Reeksen (N)'!C44,0)))</f>
        <v>0</v>
      </c>
      <c r="P44" s="86">
        <f ca="1">IF(E44&gt;='Invoer gegevens (N)'!$C$17+'Invoer gegevens (N)'!$I$14,0,M44-N44-O44)</f>
        <v>0</v>
      </c>
      <c r="Q44" s="82">
        <f ca="1">IF('Invoer gegevens (N)'!$C$17=E44,I44,IF(C44=0,0,R43))</f>
        <v>0</v>
      </c>
      <c r="R44" s="84">
        <f t="shared" ca="1" si="0"/>
        <v>0</v>
      </c>
      <c r="S44" s="84">
        <f ca="1">IF('Invoer gegevens (N)'!$C$17=E44,M44,IF(C44=0,0,T43))</f>
        <v>0</v>
      </c>
      <c r="T44" s="84">
        <f t="shared" ca="1" si="1"/>
        <v>0</v>
      </c>
      <c r="AH44" s="66"/>
      <c r="AI44" s="71">
        <f ca="1">IF(C44=1,((F44+H44)/2*'Reeksen (N)'!BF44*12)+(('Invoer gegevens (N)'!$C$10-(F44+H44)/2)*'Reeksen (N)'!BG44*12),0)</f>
        <v>0</v>
      </c>
      <c r="AJ44" s="71">
        <f ca="1">-AI44*'Invoer gegevens (N)'!$I$26</f>
        <v>0</v>
      </c>
      <c r="AK44" s="71">
        <f t="shared" ca="1" si="2"/>
        <v>0</v>
      </c>
      <c r="AL44" s="71">
        <f ca="1">IF(C44=1,(12*((F44+H44)/2)*'Reeksen (N)'!AL44)+(12*('Invoer gegevens (N)'!$C$10-(F44+H44)/2)*'Reeksen (N)'!AM44),0)</f>
        <v>0</v>
      </c>
      <c r="AM44" s="71">
        <f ca="1">-AL44*'Invoer gegevens (N)'!$F$31</f>
        <v>0</v>
      </c>
      <c r="AN44" s="71">
        <f t="shared" ca="1" si="3"/>
        <v>0</v>
      </c>
      <c r="AO44" s="71"/>
      <c r="AP44" s="71"/>
      <c r="AQ44" s="71">
        <f ca="1">-IF(C44=1,('Invoer gegevens (N)'!$C$10*'Invoer gegevens (N)'!$I$33)*'Reeksen (N)'!J44,0)</f>
        <v>0</v>
      </c>
      <c r="AR44" s="71">
        <f ca="1">-IF(C44=1,(G44*'Invoer gegevens (N)'!$I$34)*'Reeksen (N)'!J44,0)</f>
        <v>0</v>
      </c>
      <c r="AS44" s="71">
        <f ca="1">-IF(C44=1,'Invoer gegevens (N)'!$C$10*'Invoer gegevens (N)'!$I$35*'Reeksen (N)'!L44,0)</f>
        <v>0</v>
      </c>
      <c r="AT44" s="71">
        <f ca="1">-IF(C44=1,IF(E44='Invoer gegevens (N)'!$C$17,'Invoer gegevens (N)'!$C$11,Q44)*'Reeksen (N)'!S44*'Invoer gegevens (N)'!$C$18*'Reeksen (N)'!P44,0)</f>
        <v>0</v>
      </c>
      <c r="AU44" s="71">
        <f ca="1">-IF(C44=1,'Invoer gegevens (N)'!$C$10*'Invoer gegevens (N)'!$I$36*'Reeksen (N)'!H44,0)</f>
        <v>0</v>
      </c>
      <c r="AV44" s="71">
        <f t="shared" ca="1" si="4"/>
        <v>0</v>
      </c>
      <c r="AW44" s="72">
        <f ca="1">IFERROR(IF(E44='Invoer gegevens (N)'!$C$17+'Invoer gegevens (N)'!$I$14-1,'Invoer gegevens (N)'!$I$13*'Invoer gegevens (N)'!$C$10*'Reeksen (N)'!H44,0),0)</f>
        <v>0</v>
      </c>
      <c r="AX44" s="72">
        <f ca="1">IFERROR(IF(E44='Invoer gegevens (N)'!$C$17,-'Invoer gegevens (N)'!$C$10*'Invoer gegevens (N)'!$C$31*'Reeksen (N)'!H44,0),0)</f>
        <v>0</v>
      </c>
      <c r="AY44" s="73">
        <f ca="1">IF('Invoer gegevens (N)'!$C$34=E44,'Invoer gegevens (N)'!$C$27*'Invoer gegevens (N)'!$C$10*'Invoer gegevens (N)'!$C$36*(IF('Invoer gegevens (N)'!$C$35="ja",1,'Reeksen (N)'!J44)),IF('Invoer gegevens (N)'!$C$34+1=E44,'Invoer gegevens (N)'!$C$27*'Invoer gegevens (N)'!$C$10*'Invoer gegevens (N)'!$C$37*(IF('Invoer gegevens (N)'!$C$35="ja",1,'Reeksen (N)'!J44)),0))+IF(AND(E44='Invoer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4" s="73">
        <f ca="1">AV44/(1+'Invoer gegevens (N)'!$I$12)^($D44-('Invoer gegevens (N)'!$C$17-'Invoer gegevens (N)'!$C$16))/(1+'Invoer gegevens (N)'!$C$39)^('Invoer gegevens (N)'!$C$17-'Invoer gegevens (N)'!$C$16)</f>
        <v>0</v>
      </c>
      <c r="BA44" s="73">
        <f ca="1">AW44/(1+'Invoer gegevens (N)'!$I$12)^(E44-('Invoer gegevens (N)'!$C$17-1))/(1+'Invoer gegevens (N)'!$C$39)^('Invoer gegevens (N)'!$C$17-'Invoer gegevens (N)'!$C$16)</f>
        <v>0</v>
      </c>
      <c r="BB44" s="73">
        <f ca="1">AX44/(1+'Invoer gegevens (N)'!$C$39)^('Invoer gegevens (N)'!$C$17-'Invoer gegevens (N)'!$C$16)</f>
        <v>0</v>
      </c>
      <c r="BC44" s="72">
        <f t="shared" ca="1" si="5"/>
        <v>0</v>
      </c>
      <c r="BD44" s="72">
        <f ca="1">IF(AND(E44='Invoer gegevens (N)'!$C$16,'Invoer gegevens (N)'!$C$34&lt;'Invoer gegevens (N)'!$C$16),AY44,AY44/(1+'Invoer gegevens (N)'!$C$39)^D44)</f>
        <v>0</v>
      </c>
      <c r="BE44" s="72">
        <f ca="1">IF(E44='Invoer gegevens (N)'!$C$34,-'Invoer gegevens (N)'!$I$38,0)</f>
        <v>0</v>
      </c>
      <c r="BF44" s="72">
        <f ca="1">IF(E44='Invoer gegevens (N)'!$C$17,-'Invoer gegevens (N)'!$C$19*$BC$66,0)</f>
        <v>0</v>
      </c>
      <c r="BG44" s="72">
        <f ca="1">AV44/(1+$BG$4)^($D44-('Invoer gegevens (N)'!$C$17-'Invoer gegevens (N)'!$C$16))/(1+'Invoer gegevens (N)'!$C$39)^('Invoer gegevens (N)'!$C$17-'Invoer gegevens (N)'!$C$16)+AW44/(1+$BG$4)^(E44-('Invoer gegevens (N)'!$C$17-1))/(1+'Invoer gegevens (N)'!$C$39)^('Invoer gegevens (N)'!$C$17-'Invoer gegevens (N)'!$C$16)+AX44/(1+'Invoer gegevens (N)'!$C$39)^('Invoer gegevens (N)'!$C$17-'Invoer gegevens (N)'!$C$16)+(-AY44/(1+'Invoer gegevens (N)'!$C$39)^D44)+BE44+BF44</f>
        <v>0</v>
      </c>
      <c r="BH44" s="59"/>
      <c r="BI44" s="215"/>
      <c r="BJ44" s="214"/>
    </row>
    <row r="45" spans="2:62" x14ac:dyDescent="0.25">
      <c r="B45" s="70">
        <f t="shared" si="6"/>
        <v>41</v>
      </c>
      <c r="C45" s="67">
        <f ca="1">IF(AND(E45&gt;='Invoer gegevens (N)'!$C$17,E45&lt;'Invoer gegevens (N)'!$C$17+'Invoer gegevens (N)'!$I$14),1,0)</f>
        <v>1</v>
      </c>
      <c r="D45" s="68">
        <f t="shared" si="7"/>
        <v>40.5</v>
      </c>
      <c r="E45" s="69">
        <f ca="1">IF('Invoer gegevens (N)'!$C$16="","",E44+1)</f>
        <v>2059</v>
      </c>
      <c r="F45" s="82">
        <f ca="1">IF('Invoer gegevens (N)'!$C$17=E45,'Invoer gegevens (N)'!$C$10,IF(C45=1,H44,0))</f>
        <v>0</v>
      </c>
      <c r="G45" s="83">
        <f ca="1">IF(E45='Invoer gegevens (N)'!$C$17+'Invoer gegevens (N)'!$I$14,H44,IF(C45&gt;=1,F45*'Reeksen (N)'!C45,0))</f>
        <v>0</v>
      </c>
      <c r="H45" s="84">
        <f ca="1">IF(E45&gt;='Invoer gegevens (N)'!$C$17+'Invoer gegevens (N)'!$I$14,0,F45-G45)</f>
        <v>0</v>
      </c>
      <c r="I45" s="85">
        <f ca="1">IF('Invoer gegevens (N)'!$C$17=E45,'Invoer gegevens (N)'!$C$11,IF(C45=1,L44,0))</f>
        <v>0</v>
      </c>
      <c r="J45" s="86">
        <f ca="1">IF(E45='Invoer gegevens (N)'!$C$17+'Invoer gegevens (N)'!$I$14,L44,IF(C45&lt;1,0,IF('Reeksen (N)'!BG45&lt;='Reeksen (N)'!AE45,I45*'Reeksen (N)'!C45,0)))</f>
        <v>0</v>
      </c>
      <c r="K45" s="86">
        <f ca="1">IF(E45='Invoer gegevens (N)'!$C$17+'Invoer gegevens (N)'!$I$14,L44,IF(C45&lt;1,0,IF('Reeksen (N)'!BG45&gt;'Reeksen (N)'!AE45,I45*'Reeksen (N)'!C45,0)))</f>
        <v>0</v>
      </c>
      <c r="L45" s="86">
        <f ca="1">IF(E45&gt;='Invoer gegevens (N)'!$C$17+'Invoer gegevens (N)'!$I$14,0,I45-J45-K45)</f>
        <v>0</v>
      </c>
      <c r="M45" s="85">
        <f ca="1">IF('Invoer gegevens (N)'!$C$17=E45,'Invoer gegevens (N)'!$C$10-'Invoer gegevens (N)'!$C$11,IF(C45=1,P44,0))</f>
        <v>0</v>
      </c>
      <c r="N45" s="86">
        <f ca="1">IF(E45='Invoer gegevens (N)'!$C$17+'Invoer gegevens (N)'!$I$14,P44,IF(C45&lt;1,0,IF('Reeksen (N)'!BG45&lt;='Reeksen (N)'!AE45,M45*'Reeksen (N)'!C45,0)))</f>
        <v>0</v>
      </c>
      <c r="O45" s="86">
        <f ca="1">IF(E45='Invoer gegevens (N)'!$C$17+'Invoer gegevens (N)'!$I$14,P44,IF(C45&lt;1,0,IF('Reeksen (N)'!BG45&gt;'Reeksen (N)'!AE45,M45*'Reeksen (N)'!C45,0)))</f>
        <v>0</v>
      </c>
      <c r="P45" s="86">
        <f ca="1">IF(E45&gt;='Invoer gegevens (N)'!$C$17+'Invoer gegevens (N)'!$I$14,0,M45-N45-O45)</f>
        <v>0</v>
      </c>
      <c r="Q45" s="82">
        <f ca="1">IF('Invoer gegevens (N)'!$C$17=E45,I45,IF(C45=0,0,R44))</f>
        <v>0</v>
      </c>
      <c r="R45" s="84">
        <f t="shared" ca="1" si="0"/>
        <v>0</v>
      </c>
      <c r="S45" s="84">
        <f ca="1">IF('Invoer gegevens (N)'!$C$17=E45,M45,IF(C45=0,0,T44))</f>
        <v>0</v>
      </c>
      <c r="T45" s="84">
        <f t="shared" ca="1" si="1"/>
        <v>0</v>
      </c>
      <c r="AH45" s="66"/>
      <c r="AI45" s="71">
        <f ca="1">IF(C45=1,((F45+H45)/2*'Reeksen (N)'!BF45*12)+(('Invoer gegevens (N)'!$C$10-(F45+H45)/2)*'Reeksen (N)'!BG45*12),0)</f>
        <v>0</v>
      </c>
      <c r="AJ45" s="71">
        <f ca="1">-AI45*'Invoer gegevens (N)'!$I$26</f>
        <v>0</v>
      </c>
      <c r="AK45" s="71">
        <f t="shared" ca="1" si="2"/>
        <v>0</v>
      </c>
      <c r="AL45" s="71">
        <f ca="1">IF(C45=1,(12*((F45+H45)/2)*'Reeksen (N)'!AL45)+(12*('Invoer gegevens (N)'!$C$10-(F45+H45)/2)*'Reeksen (N)'!AM45),0)</f>
        <v>0</v>
      </c>
      <c r="AM45" s="71">
        <f ca="1">-AL45*'Invoer gegevens (N)'!$F$31</f>
        <v>0</v>
      </c>
      <c r="AN45" s="71">
        <f t="shared" ca="1" si="3"/>
        <v>0</v>
      </c>
      <c r="AO45" s="71"/>
      <c r="AP45" s="71"/>
      <c r="AQ45" s="71">
        <f ca="1">-IF(C45=1,('Invoer gegevens (N)'!$C$10*'Invoer gegevens (N)'!$I$33)*'Reeksen (N)'!J45,0)</f>
        <v>0</v>
      </c>
      <c r="AR45" s="71">
        <f ca="1">-IF(C45=1,(G45*'Invoer gegevens (N)'!$I$34)*'Reeksen (N)'!J45,0)</f>
        <v>0</v>
      </c>
      <c r="AS45" s="71">
        <f ca="1">-IF(C45=1,'Invoer gegevens (N)'!$C$10*'Invoer gegevens (N)'!$I$35*'Reeksen (N)'!L45,0)</f>
        <v>0</v>
      </c>
      <c r="AT45" s="71">
        <f ca="1">-IF(C45=1,IF(E45='Invoer gegevens (N)'!$C$17,'Invoer gegevens (N)'!$C$11,Q45)*'Reeksen (N)'!S45*'Invoer gegevens (N)'!$C$18*'Reeksen (N)'!P45,0)</f>
        <v>0</v>
      </c>
      <c r="AU45" s="71">
        <f ca="1">-IF(C45=1,'Invoer gegevens (N)'!$C$10*'Invoer gegevens (N)'!$I$36*'Reeksen (N)'!H45,0)</f>
        <v>0</v>
      </c>
      <c r="AV45" s="71">
        <f t="shared" ca="1" si="4"/>
        <v>0</v>
      </c>
      <c r="AW45" s="72">
        <f ca="1">IFERROR(IF(E45='Invoer gegevens (N)'!$C$17+'Invoer gegevens (N)'!$I$14-1,'Invoer gegevens (N)'!$I$13*'Invoer gegevens (N)'!$C$10*'Reeksen (N)'!H45,0),0)</f>
        <v>0</v>
      </c>
      <c r="AX45" s="72">
        <f ca="1">IFERROR(IF(E45='Invoer gegevens (N)'!$C$17,-'Invoer gegevens (N)'!$C$10*'Invoer gegevens (N)'!$C$31*'Reeksen (N)'!H45,0),0)</f>
        <v>0</v>
      </c>
      <c r="AY45" s="73">
        <f ca="1">IF('Invoer gegevens (N)'!$C$34=E45,'Invoer gegevens (N)'!$C$27*'Invoer gegevens (N)'!$C$10*'Invoer gegevens (N)'!$C$36*(IF('Invoer gegevens (N)'!$C$35="ja",1,'Reeksen (N)'!J45)),IF('Invoer gegevens (N)'!$C$34+1=E45,'Invoer gegevens (N)'!$C$27*'Invoer gegevens (N)'!$C$10*'Invoer gegevens (N)'!$C$37*(IF('Invoer gegevens (N)'!$C$35="ja",1,'Reeksen (N)'!J45)),0))+IF(AND(E45='Invoer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5" s="73">
        <f ca="1">AV45/(1+'Invoer gegevens (N)'!$I$12)^($D45-('Invoer gegevens (N)'!$C$17-'Invoer gegevens (N)'!$C$16))/(1+'Invoer gegevens (N)'!$C$39)^('Invoer gegevens (N)'!$C$17-'Invoer gegevens (N)'!$C$16)</f>
        <v>0</v>
      </c>
      <c r="BA45" s="73">
        <f ca="1">AW45/(1+'Invoer gegevens (N)'!$I$12)^(E45-('Invoer gegevens (N)'!$C$17-1))/(1+'Invoer gegevens (N)'!$C$39)^('Invoer gegevens (N)'!$C$17-'Invoer gegevens (N)'!$C$16)</f>
        <v>0</v>
      </c>
      <c r="BB45" s="73">
        <f ca="1">AX45/(1+'Invoer gegevens (N)'!$C$39)^('Invoer gegevens (N)'!$C$17-'Invoer gegevens (N)'!$C$16)</f>
        <v>0</v>
      </c>
      <c r="BC45" s="72">
        <f t="shared" ca="1" si="5"/>
        <v>0</v>
      </c>
      <c r="BD45" s="72">
        <f ca="1">IF(AND(E45='Invoer gegevens (N)'!$C$16,'Invoer gegevens (N)'!$C$34&lt;'Invoer gegevens (N)'!$C$16),AY45,AY45/(1+'Invoer gegevens (N)'!$C$39)^D45)</f>
        <v>0</v>
      </c>
      <c r="BE45" s="72">
        <f ca="1">IF(E45='Invoer gegevens (N)'!$C$34,-'Invoer gegevens (N)'!$I$38,0)</f>
        <v>0</v>
      </c>
      <c r="BF45" s="72">
        <f ca="1">IF(E45='Invoer gegevens (N)'!$C$17,-'Invoer gegevens (N)'!$C$19*$BC$66,0)</f>
        <v>0</v>
      </c>
      <c r="BG45" s="72">
        <f ca="1">AV45/(1+$BG$4)^($D45-('Invoer gegevens (N)'!$C$17-'Invoer gegevens (N)'!$C$16))/(1+'Invoer gegevens (N)'!$C$39)^('Invoer gegevens (N)'!$C$17-'Invoer gegevens (N)'!$C$16)+AW45/(1+$BG$4)^(E45-('Invoer gegevens (N)'!$C$17-1))/(1+'Invoer gegevens (N)'!$C$39)^('Invoer gegevens (N)'!$C$17-'Invoer gegevens (N)'!$C$16)+AX45/(1+'Invoer gegevens (N)'!$C$39)^('Invoer gegevens (N)'!$C$17-'Invoer gegevens (N)'!$C$16)+(-AY45/(1+'Invoer gegevens (N)'!$C$39)^D45)+BE45+BF45</f>
        <v>0</v>
      </c>
      <c r="BH45" s="59"/>
      <c r="BI45" s="215"/>
      <c r="BJ45" s="214"/>
    </row>
    <row r="46" spans="2:62" x14ac:dyDescent="0.25">
      <c r="B46" s="70">
        <f t="shared" si="6"/>
        <v>42</v>
      </c>
      <c r="C46" s="67">
        <f ca="1">IF(AND(E46&gt;='Invoer gegevens (N)'!$C$17,E46&lt;'Invoer gegevens (N)'!$C$17+'Invoer gegevens (N)'!$I$14),1,0)</f>
        <v>1</v>
      </c>
      <c r="D46" s="68">
        <f t="shared" si="7"/>
        <v>41.5</v>
      </c>
      <c r="E46" s="69">
        <f ca="1">IF('Invoer gegevens (N)'!$C$16="","",E45+1)</f>
        <v>2060</v>
      </c>
      <c r="F46" s="82">
        <f ca="1">IF('Invoer gegevens (N)'!$C$17=E46,'Invoer gegevens (N)'!$C$10,IF(C46=1,H45,0))</f>
        <v>0</v>
      </c>
      <c r="G46" s="83">
        <f ca="1">IF(E46='Invoer gegevens (N)'!$C$17+'Invoer gegevens (N)'!$I$14,H45,IF(C46&gt;=1,F46*'Reeksen (N)'!C46,0))</f>
        <v>0</v>
      </c>
      <c r="H46" s="84">
        <f ca="1">IF(E46&gt;='Invoer gegevens (N)'!$C$17+'Invoer gegevens (N)'!$I$14,0,F46-G46)</f>
        <v>0</v>
      </c>
      <c r="I46" s="85">
        <f ca="1">IF('Invoer gegevens (N)'!$C$17=E46,'Invoer gegevens (N)'!$C$11,IF(C46=1,L45,0))</f>
        <v>0</v>
      </c>
      <c r="J46" s="86">
        <f ca="1">IF(E46='Invoer gegevens (N)'!$C$17+'Invoer gegevens (N)'!$I$14,L45,IF(C46&lt;1,0,IF('Reeksen (N)'!BG46&lt;='Reeksen (N)'!AE46,I46*'Reeksen (N)'!C46,0)))</f>
        <v>0</v>
      </c>
      <c r="K46" s="86">
        <f ca="1">IF(E46='Invoer gegevens (N)'!$C$17+'Invoer gegevens (N)'!$I$14,L45,IF(C46&lt;1,0,IF('Reeksen (N)'!BG46&gt;'Reeksen (N)'!AE46,I46*'Reeksen (N)'!C46,0)))</f>
        <v>0</v>
      </c>
      <c r="L46" s="86">
        <f ca="1">IF(E46&gt;='Invoer gegevens (N)'!$C$17+'Invoer gegevens (N)'!$I$14,0,I46-J46-K46)</f>
        <v>0</v>
      </c>
      <c r="M46" s="85">
        <f ca="1">IF('Invoer gegevens (N)'!$C$17=E46,'Invoer gegevens (N)'!$C$10-'Invoer gegevens (N)'!$C$11,IF(C46=1,P45,0))</f>
        <v>0</v>
      </c>
      <c r="N46" s="86">
        <f ca="1">IF(E46='Invoer gegevens (N)'!$C$17+'Invoer gegevens (N)'!$I$14,P45,IF(C46&lt;1,0,IF('Reeksen (N)'!BG46&lt;='Reeksen (N)'!AE46,M46*'Reeksen (N)'!C46,0)))</f>
        <v>0</v>
      </c>
      <c r="O46" s="86">
        <f ca="1">IF(E46='Invoer gegevens (N)'!$C$17+'Invoer gegevens (N)'!$I$14,P45,IF(C46&lt;1,0,IF('Reeksen (N)'!BG46&gt;'Reeksen (N)'!AE46,M46*'Reeksen (N)'!C46,0)))</f>
        <v>0</v>
      </c>
      <c r="P46" s="86">
        <f ca="1">IF(E46&gt;='Invoer gegevens (N)'!$C$17+'Invoer gegevens (N)'!$I$14,0,M46-N46-O46)</f>
        <v>0</v>
      </c>
      <c r="Q46" s="82">
        <f ca="1">IF('Invoer gegevens (N)'!$C$17=E46,I46,IF(C46=0,0,R45))</f>
        <v>0</v>
      </c>
      <c r="R46" s="84">
        <f t="shared" ca="1" si="0"/>
        <v>0</v>
      </c>
      <c r="S46" s="84">
        <f ca="1">IF('Invoer gegevens (N)'!$C$17=E46,M46,IF(C46=0,0,T45))</f>
        <v>0</v>
      </c>
      <c r="T46" s="84">
        <f t="shared" ca="1" si="1"/>
        <v>0</v>
      </c>
      <c r="AH46" s="66"/>
      <c r="AI46" s="71">
        <f ca="1">IF(C46=1,((F46+H46)/2*'Reeksen (N)'!BF46*12)+(('Invoer gegevens (N)'!$C$10-(F46+H46)/2)*'Reeksen (N)'!BG46*12),0)</f>
        <v>0</v>
      </c>
      <c r="AJ46" s="71">
        <f ca="1">-AI46*'Invoer gegevens (N)'!$I$26</f>
        <v>0</v>
      </c>
      <c r="AK46" s="71">
        <f t="shared" ca="1" si="2"/>
        <v>0</v>
      </c>
      <c r="AL46" s="71">
        <f ca="1">IF(C46=1,(12*((F46+H46)/2)*'Reeksen (N)'!AL46)+(12*('Invoer gegevens (N)'!$C$10-(F46+H46)/2)*'Reeksen (N)'!AM46),0)</f>
        <v>0</v>
      </c>
      <c r="AM46" s="71">
        <f ca="1">-AL46*'Invoer gegevens (N)'!$F$31</f>
        <v>0</v>
      </c>
      <c r="AN46" s="71">
        <f t="shared" ca="1" si="3"/>
        <v>0</v>
      </c>
      <c r="AO46" s="71"/>
      <c r="AP46" s="71"/>
      <c r="AQ46" s="71">
        <f ca="1">-IF(C46=1,('Invoer gegevens (N)'!$C$10*'Invoer gegevens (N)'!$I$33)*'Reeksen (N)'!J46,0)</f>
        <v>0</v>
      </c>
      <c r="AR46" s="71">
        <f ca="1">-IF(C46=1,(G46*'Invoer gegevens (N)'!$I$34)*'Reeksen (N)'!J46,0)</f>
        <v>0</v>
      </c>
      <c r="AS46" s="71">
        <f ca="1">-IF(C46=1,'Invoer gegevens (N)'!$C$10*'Invoer gegevens (N)'!$I$35*'Reeksen (N)'!L46,0)</f>
        <v>0</v>
      </c>
      <c r="AT46" s="71">
        <f ca="1">-IF(C46=1,IF(E46='Invoer gegevens (N)'!$C$17,'Invoer gegevens (N)'!$C$11,Q46)*'Reeksen (N)'!S46*'Invoer gegevens (N)'!$C$18*'Reeksen (N)'!P46,0)</f>
        <v>0</v>
      </c>
      <c r="AU46" s="71">
        <f ca="1">-IF(C46=1,'Invoer gegevens (N)'!$C$10*'Invoer gegevens (N)'!$I$36*'Reeksen (N)'!H46,0)</f>
        <v>0</v>
      </c>
      <c r="AV46" s="71">
        <f t="shared" ca="1" si="4"/>
        <v>0</v>
      </c>
      <c r="AW46" s="72">
        <f ca="1">IFERROR(IF(E46='Invoer gegevens (N)'!$C$17+'Invoer gegevens (N)'!$I$14-1,'Invoer gegevens (N)'!$I$13*'Invoer gegevens (N)'!$C$10*'Reeksen (N)'!H46,0),0)</f>
        <v>0</v>
      </c>
      <c r="AX46" s="72">
        <f ca="1">IFERROR(IF(E46='Invoer gegevens (N)'!$C$17,-'Invoer gegevens (N)'!$C$10*'Invoer gegevens (N)'!$C$31*'Reeksen (N)'!H46,0),0)</f>
        <v>0</v>
      </c>
      <c r="AY46" s="73">
        <f ca="1">IF('Invoer gegevens (N)'!$C$34=E46,'Invoer gegevens (N)'!$C$27*'Invoer gegevens (N)'!$C$10*'Invoer gegevens (N)'!$C$36*(IF('Invoer gegevens (N)'!$C$35="ja",1,'Reeksen (N)'!J46)),IF('Invoer gegevens (N)'!$C$34+1=E46,'Invoer gegevens (N)'!$C$27*'Invoer gegevens (N)'!$C$10*'Invoer gegevens (N)'!$C$37*(IF('Invoer gegevens (N)'!$C$35="ja",1,'Reeksen (N)'!J46)),0))+IF(AND(E46='Invoer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6" s="73">
        <f ca="1">AV46/(1+'Invoer gegevens (N)'!$I$12)^($D46-('Invoer gegevens (N)'!$C$17-'Invoer gegevens (N)'!$C$16))/(1+'Invoer gegevens (N)'!$C$39)^('Invoer gegevens (N)'!$C$17-'Invoer gegevens (N)'!$C$16)</f>
        <v>0</v>
      </c>
      <c r="BA46" s="73">
        <f ca="1">AW46/(1+'Invoer gegevens (N)'!$I$12)^(E46-('Invoer gegevens (N)'!$C$17-1))/(1+'Invoer gegevens (N)'!$C$39)^('Invoer gegevens (N)'!$C$17-'Invoer gegevens (N)'!$C$16)</f>
        <v>0</v>
      </c>
      <c r="BB46" s="73">
        <f ca="1">AX46/(1+'Invoer gegevens (N)'!$C$39)^('Invoer gegevens (N)'!$C$17-'Invoer gegevens (N)'!$C$16)</f>
        <v>0</v>
      </c>
      <c r="BC46" s="72">
        <f t="shared" ca="1" si="5"/>
        <v>0</v>
      </c>
      <c r="BD46" s="72">
        <f ca="1">IF(AND(E46='Invoer gegevens (N)'!$C$16,'Invoer gegevens (N)'!$C$34&lt;'Invoer gegevens (N)'!$C$16),AY46,AY46/(1+'Invoer gegevens (N)'!$C$39)^D46)</f>
        <v>0</v>
      </c>
      <c r="BE46" s="72">
        <f ca="1">IF(E46='Invoer gegevens (N)'!$C$34,-'Invoer gegevens (N)'!$I$38,0)</f>
        <v>0</v>
      </c>
      <c r="BF46" s="72">
        <f ca="1">IF(E46='Invoer gegevens (N)'!$C$17,-'Invoer gegevens (N)'!$C$19*$BC$66,0)</f>
        <v>0</v>
      </c>
      <c r="BG46" s="72">
        <f ca="1">AV46/(1+$BG$4)^($D46-('Invoer gegevens (N)'!$C$17-'Invoer gegevens (N)'!$C$16))/(1+'Invoer gegevens (N)'!$C$39)^('Invoer gegevens (N)'!$C$17-'Invoer gegevens (N)'!$C$16)+AW46/(1+$BG$4)^(E46-('Invoer gegevens (N)'!$C$17-1))/(1+'Invoer gegevens (N)'!$C$39)^('Invoer gegevens (N)'!$C$17-'Invoer gegevens (N)'!$C$16)+AX46/(1+'Invoer gegevens (N)'!$C$39)^('Invoer gegevens (N)'!$C$17-'Invoer gegevens (N)'!$C$16)+(-AY46/(1+'Invoer gegevens (N)'!$C$39)^D46)+BE46+BF46</f>
        <v>0</v>
      </c>
      <c r="BH46" s="59"/>
      <c r="BI46" s="215"/>
      <c r="BJ46" s="214"/>
    </row>
    <row r="47" spans="2:62" x14ac:dyDescent="0.25">
      <c r="B47" s="70">
        <f t="shared" si="6"/>
        <v>43</v>
      </c>
      <c r="C47" s="67">
        <f ca="1">IF(AND(E47&gt;='Invoer gegevens (N)'!$C$17,E47&lt;'Invoer gegevens (N)'!$C$17+'Invoer gegevens (N)'!$I$14),1,0)</f>
        <v>1</v>
      </c>
      <c r="D47" s="68">
        <f t="shared" si="7"/>
        <v>42.5</v>
      </c>
      <c r="E47" s="69">
        <f ca="1">IF('Invoer gegevens (N)'!$C$16="","",E46+1)</f>
        <v>2061</v>
      </c>
      <c r="F47" s="82">
        <f ca="1">IF('Invoer gegevens (N)'!$C$17=E47,'Invoer gegevens (N)'!$C$10,IF(C47=1,H46,0))</f>
        <v>0</v>
      </c>
      <c r="G47" s="83">
        <f ca="1">IF(E47='Invoer gegevens (N)'!$C$17+'Invoer gegevens (N)'!$I$14,H46,IF(C47&gt;=1,F47*'Reeksen (N)'!C47,0))</f>
        <v>0</v>
      </c>
      <c r="H47" s="84">
        <f ca="1">IF(E47&gt;='Invoer gegevens (N)'!$C$17+'Invoer gegevens (N)'!$I$14,0,F47-G47)</f>
        <v>0</v>
      </c>
      <c r="I47" s="85">
        <f ca="1">IF('Invoer gegevens (N)'!$C$17=E47,'Invoer gegevens (N)'!$C$11,IF(C47=1,L46,0))</f>
        <v>0</v>
      </c>
      <c r="J47" s="86">
        <f ca="1">IF(E47='Invoer gegevens (N)'!$C$17+'Invoer gegevens (N)'!$I$14,L46,IF(C47&lt;1,0,IF('Reeksen (N)'!BG47&lt;='Reeksen (N)'!AE47,I47*'Reeksen (N)'!C47,0)))</f>
        <v>0</v>
      </c>
      <c r="K47" s="86">
        <f ca="1">IF(E47='Invoer gegevens (N)'!$C$17+'Invoer gegevens (N)'!$I$14,L46,IF(C47&lt;1,0,IF('Reeksen (N)'!BG47&gt;'Reeksen (N)'!AE47,I47*'Reeksen (N)'!C47,0)))</f>
        <v>0</v>
      </c>
      <c r="L47" s="86">
        <f ca="1">IF(E47&gt;='Invoer gegevens (N)'!$C$17+'Invoer gegevens (N)'!$I$14,0,I47-J47-K47)</f>
        <v>0</v>
      </c>
      <c r="M47" s="85">
        <f ca="1">IF('Invoer gegevens (N)'!$C$17=E47,'Invoer gegevens (N)'!$C$10-'Invoer gegevens (N)'!$C$11,IF(C47=1,P46,0))</f>
        <v>0</v>
      </c>
      <c r="N47" s="86">
        <f ca="1">IF(E47='Invoer gegevens (N)'!$C$17+'Invoer gegevens (N)'!$I$14,P46,IF(C47&lt;1,0,IF('Reeksen (N)'!BG47&lt;='Reeksen (N)'!AE47,M47*'Reeksen (N)'!C47,0)))</f>
        <v>0</v>
      </c>
      <c r="O47" s="86">
        <f ca="1">IF(E47='Invoer gegevens (N)'!$C$17+'Invoer gegevens (N)'!$I$14,P46,IF(C47&lt;1,0,IF('Reeksen (N)'!BG47&gt;'Reeksen (N)'!AE47,M47*'Reeksen (N)'!C47,0)))</f>
        <v>0</v>
      </c>
      <c r="P47" s="86">
        <f ca="1">IF(E47&gt;='Invoer gegevens (N)'!$C$17+'Invoer gegevens (N)'!$I$14,0,M47-N47-O47)</f>
        <v>0</v>
      </c>
      <c r="Q47" s="82">
        <f ca="1">IF('Invoer gegevens (N)'!$C$17=E47,I47,IF(C47=0,0,R46))</f>
        <v>0</v>
      </c>
      <c r="R47" s="84">
        <f t="shared" ca="1" si="0"/>
        <v>0</v>
      </c>
      <c r="S47" s="84">
        <f ca="1">IF('Invoer gegevens (N)'!$C$17=E47,M47,IF(C47=0,0,T46))</f>
        <v>0</v>
      </c>
      <c r="T47" s="84">
        <f t="shared" ca="1" si="1"/>
        <v>0</v>
      </c>
      <c r="AH47" s="66"/>
      <c r="AI47" s="71">
        <f ca="1">IF(C47=1,((F47+H47)/2*'Reeksen (N)'!BF47*12)+(('Invoer gegevens (N)'!$C$10-(F47+H47)/2)*'Reeksen (N)'!BG47*12),0)</f>
        <v>0</v>
      </c>
      <c r="AJ47" s="71">
        <f ca="1">-AI47*'Invoer gegevens (N)'!$I$26</f>
        <v>0</v>
      </c>
      <c r="AK47" s="71">
        <f t="shared" ca="1" si="2"/>
        <v>0</v>
      </c>
      <c r="AL47" s="71">
        <f ca="1">IF(C47=1,(12*((F47+H47)/2)*'Reeksen (N)'!AL47)+(12*('Invoer gegevens (N)'!$C$10-(F47+H47)/2)*'Reeksen (N)'!AM47),0)</f>
        <v>0</v>
      </c>
      <c r="AM47" s="71">
        <f ca="1">-AL47*'Invoer gegevens (N)'!$F$31</f>
        <v>0</v>
      </c>
      <c r="AN47" s="71">
        <f t="shared" ca="1" si="3"/>
        <v>0</v>
      </c>
      <c r="AO47" s="71"/>
      <c r="AP47" s="71"/>
      <c r="AQ47" s="71">
        <f ca="1">-IF(C47=1,('Invoer gegevens (N)'!$C$10*'Invoer gegevens (N)'!$I$33)*'Reeksen (N)'!J47,0)</f>
        <v>0</v>
      </c>
      <c r="AR47" s="71">
        <f ca="1">-IF(C47=1,(G47*'Invoer gegevens (N)'!$I$34)*'Reeksen (N)'!J47,0)</f>
        <v>0</v>
      </c>
      <c r="AS47" s="71">
        <f ca="1">-IF(C47=1,'Invoer gegevens (N)'!$C$10*'Invoer gegevens (N)'!$I$35*'Reeksen (N)'!L47,0)</f>
        <v>0</v>
      </c>
      <c r="AT47" s="71">
        <f ca="1">-IF(C47=1,IF(E47='Invoer gegevens (N)'!$C$17,'Invoer gegevens (N)'!$C$11,Q47)*'Reeksen (N)'!S47*'Invoer gegevens (N)'!$C$18*'Reeksen (N)'!P47,0)</f>
        <v>0</v>
      </c>
      <c r="AU47" s="71">
        <f ca="1">-IF(C47=1,'Invoer gegevens (N)'!$C$10*'Invoer gegevens (N)'!$I$36*'Reeksen (N)'!H47,0)</f>
        <v>0</v>
      </c>
      <c r="AV47" s="71">
        <f t="shared" ca="1" si="4"/>
        <v>0</v>
      </c>
      <c r="AW47" s="72">
        <f ca="1">IFERROR(IF(E47='Invoer gegevens (N)'!$C$17+'Invoer gegevens (N)'!$I$14-1,'Invoer gegevens (N)'!$I$13*'Invoer gegevens (N)'!$C$10*'Reeksen (N)'!H47,0),0)</f>
        <v>0</v>
      </c>
      <c r="AX47" s="72">
        <f ca="1">IFERROR(IF(E47='Invoer gegevens (N)'!$C$17,-'Invoer gegevens (N)'!$C$10*'Invoer gegevens (N)'!$C$31*'Reeksen (N)'!H47,0),0)</f>
        <v>0</v>
      </c>
      <c r="AY47" s="73">
        <f ca="1">IF('Invoer gegevens (N)'!$C$34=E47,'Invoer gegevens (N)'!$C$27*'Invoer gegevens (N)'!$C$10*'Invoer gegevens (N)'!$C$36*(IF('Invoer gegevens (N)'!$C$35="ja",1,'Reeksen (N)'!J47)),IF('Invoer gegevens (N)'!$C$34+1=E47,'Invoer gegevens (N)'!$C$27*'Invoer gegevens (N)'!$C$10*'Invoer gegevens (N)'!$C$37*(IF('Invoer gegevens (N)'!$C$35="ja",1,'Reeksen (N)'!J47)),0))+IF(AND(E47='Invoer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7" s="73">
        <f ca="1">AV47/(1+'Invoer gegevens (N)'!$I$12)^($D47-('Invoer gegevens (N)'!$C$17-'Invoer gegevens (N)'!$C$16))/(1+'Invoer gegevens (N)'!$C$39)^('Invoer gegevens (N)'!$C$17-'Invoer gegevens (N)'!$C$16)</f>
        <v>0</v>
      </c>
      <c r="BA47" s="73">
        <f ca="1">AW47/(1+'Invoer gegevens (N)'!$I$12)^(E47-('Invoer gegevens (N)'!$C$17-1))/(1+'Invoer gegevens (N)'!$C$39)^('Invoer gegevens (N)'!$C$17-'Invoer gegevens (N)'!$C$16)</f>
        <v>0</v>
      </c>
      <c r="BB47" s="73">
        <f ca="1">AX47/(1+'Invoer gegevens (N)'!$C$39)^('Invoer gegevens (N)'!$C$17-'Invoer gegevens (N)'!$C$16)</f>
        <v>0</v>
      </c>
      <c r="BC47" s="72">
        <f t="shared" ca="1" si="5"/>
        <v>0</v>
      </c>
      <c r="BD47" s="72">
        <f ca="1">IF(AND(E47='Invoer gegevens (N)'!$C$16,'Invoer gegevens (N)'!$C$34&lt;'Invoer gegevens (N)'!$C$16),AY47,AY47/(1+'Invoer gegevens (N)'!$C$39)^D47)</f>
        <v>0</v>
      </c>
      <c r="BE47" s="72">
        <f ca="1">IF(E47='Invoer gegevens (N)'!$C$34,-'Invoer gegevens (N)'!$I$38,0)</f>
        <v>0</v>
      </c>
      <c r="BF47" s="72">
        <f ca="1">IF(E47='Invoer gegevens (N)'!$C$17,-'Invoer gegevens (N)'!$C$19*$BC$66,0)</f>
        <v>0</v>
      </c>
      <c r="BG47" s="72">
        <f ca="1">AV47/(1+$BG$4)^($D47-('Invoer gegevens (N)'!$C$17-'Invoer gegevens (N)'!$C$16))/(1+'Invoer gegevens (N)'!$C$39)^('Invoer gegevens (N)'!$C$17-'Invoer gegevens (N)'!$C$16)+AW47/(1+$BG$4)^(E47-('Invoer gegevens (N)'!$C$17-1))/(1+'Invoer gegevens (N)'!$C$39)^('Invoer gegevens (N)'!$C$17-'Invoer gegevens (N)'!$C$16)+AX47/(1+'Invoer gegevens (N)'!$C$39)^('Invoer gegevens (N)'!$C$17-'Invoer gegevens (N)'!$C$16)+(-AY47/(1+'Invoer gegevens (N)'!$C$39)^D47)+BE47+BF47</f>
        <v>0</v>
      </c>
      <c r="BH47" s="59"/>
      <c r="BI47" s="215"/>
      <c r="BJ47" s="214"/>
    </row>
    <row r="48" spans="2:62" x14ac:dyDescent="0.25">
      <c r="B48" s="70">
        <f t="shared" si="6"/>
        <v>44</v>
      </c>
      <c r="C48" s="67">
        <f ca="1">IF(AND(E48&gt;='Invoer gegevens (N)'!$C$17,E48&lt;'Invoer gegevens (N)'!$C$17+'Invoer gegevens (N)'!$I$14),1,0)</f>
        <v>1</v>
      </c>
      <c r="D48" s="68">
        <f t="shared" si="7"/>
        <v>43.5</v>
      </c>
      <c r="E48" s="69">
        <f ca="1">IF('Invoer gegevens (N)'!$C$16="","",E47+1)</f>
        <v>2062</v>
      </c>
      <c r="F48" s="82">
        <f ca="1">IF('Invoer gegevens (N)'!$C$17=E48,'Invoer gegevens (N)'!$C$10,IF(C48=1,H47,0))</f>
        <v>0</v>
      </c>
      <c r="G48" s="83">
        <f ca="1">IF(E48='Invoer gegevens (N)'!$C$17+'Invoer gegevens (N)'!$I$14,H47,IF(C48&gt;=1,F48*'Reeksen (N)'!C48,0))</f>
        <v>0</v>
      </c>
      <c r="H48" s="84">
        <f ca="1">IF(E48&gt;='Invoer gegevens (N)'!$C$17+'Invoer gegevens (N)'!$I$14,0,F48-G48)</f>
        <v>0</v>
      </c>
      <c r="I48" s="85">
        <f ca="1">IF('Invoer gegevens (N)'!$C$17=E48,'Invoer gegevens (N)'!$C$11,IF(C48=1,L47,0))</f>
        <v>0</v>
      </c>
      <c r="J48" s="86">
        <f ca="1">IF(E48='Invoer gegevens (N)'!$C$17+'Invoer gegevens (N)'!$I$14,L47,IF(C48&lt;1,0,IF('Reeksen (N)'!BG48&lt;='Reeksen (N)'!AE48,I48*'Reeksen (N)'!C48,0)))</f>
        <v>0</v>
      </c>
      <c r="K48" s="86">
        <f ca="1">IF(E48='Invoer gegevens (N)'!$C$17+'Invoer gegevens (N)'!$I$14,L47,IF(C48&lt;1,0,IF('Reeksen (N)'!BG48&gt;'Reeksen (N)'!AE48,I48*'Reeksen (N)'!C48,0)))</f>
        <v>0</v>
      </c>
      <c r="L48" s="86">
        <f ca="1">IF(E48&gt;='Invoer gegevens (N)'!$C$17+'Invoer gegevens (N)'!$I$14,0,I48-J48-K48)</f>
        <v>0</v>
      </c>
      <c r="M48" s="85">
        <f ca="1">IF('Invoer gegevens (N)'!$C$17=E48,'Invoer gegevens (N)'!$C$10-'Invoer gegevens (N)'!$C$11,IF(C48=1,P47,0))</f>
        <v>0</v>
      </c>
      <c r="N48" s="86">
        <f ca="1">IF(E48='Invoer gegevens (N)'!$C$17+'Invoer gegevens (N)'!$I$14,P47,IF(C48&lt;1,0,IF('Reeksen (N)'!BG48&lt;='Reeksen (N)'!AE48,M48*'Reeksen (N)'!C48,0)))</f>
        <v>0</v>
      </c>
      <c r="O48" s="86">
        <f ca="1">IF(E48='Invoer gegevens (N)'!$C$17+'Invoer gegevens (N)'!$I$14,P47,IF(C48&lt;1,0,IF('Reeksen (N)'!BG48&gt;'Reeksen (N)'!AE48,M48*'Reeksen (N)'!C48,0)))</f>
        <v>0</v>
      </c>
      <c r="P48" s="86">
        <f ca="1">IF(E48&gt;='Invoer gegevens (N)'!$C$17+'Invoer gegevens (N)'!$I$14,0,M48-N48-O48)</f>
        <v>0</v>
      </c>
      <c r="Q48" s="82">
        <f ca="1">IF('Invoer gegevens (N)'!$C$17=E48,I48,IF(C48=0,0,R47))</f>
        <v>0</v>
      </c>
      <c r="R48" s="84">
        <f t="shared" ca="1" si="0"/>
        <v>0</v>
      </c>
      <c r="S48" s="84">
        <f ca="1">IF('Invoer gegevens (N)'!$C$17=E48,M48,IF(C48=0,0,T47))</f>
        <v>0</v>
      </c>
      <c r="T48" s="84">
        <f t="shared" ca="1" si="1"/>
        <v>0</v>
      </c>
      <c r="AH48" s="66"/>
      <c r="AI48" s="71">
        <f ca="1">IF(C48=1,((F48+H48)/2*'Reeksen (N)'!BF48*12)+(('Invoer gegevens (N)'!$C$10-(F48+H48)/2)*'Reeksen (N)'!BG48*12),0)</f>
        <v>0</v>
      </c>
      <c r="AJ48" s="71">
        <f ca="1">-AI48*'Invoer gegevens (N)'!$I$26</f>
        <v>0</v>
      </c>
      <c r="AK48" s="71">
        <f t="shared" ca="1" si="2"/>
        <v>0</v>
      </c>
      <c r="AL48" s="71">
        <f ca="1">IF(C48=1,(12*((F48+H48)/2)*'Reeksen (N)'!AL48)+(12*('Invoer gegevens (N)'!$C$10-(F48+H48)/2)*'Reeksen (N)'!AM48),0)</f>
        <v>0</v>
      </c>
      <c r="AM48" s="71">
        <f ca="1">-AL48*'Invoer gegevens (N)'!$F$31</f>
        <v>0</v>
      </c>
      <c r="AN48" s="71">
        <f t="shared" ca="1" si="3"/>
        <v>0</v>
      </c>
      <c r="AO48" s="71"/>
      <c r="AP48" s="71"/>
      <c r="AQ48" s="71">
        <f ca="1">-IF(C48=1,('Invoer gegevens (N)'!$C$10*'Invoer gegevens (N)'!$I$33)*'Reeksen (N)'!J48,0)</f>
        <v>0</v>
      </c>
      <c r="AR48" s="71">
        <f ca="1">-IF(C48=1,(G48*'Invoer gegevens (N)'!$I$34)*'Reeksen (N)'!J48,0)</f>
        <v>0</v>
      </c>
      <c r="AS48" s="71">
        <f ca="1">-IF(C48=1,'Invoer gegevens (N)'!$C$10*'Invoer gegevens (N)'!$I$35*'Reeksen (N)'!L48,0)</f>
        <v>0</v>
      </c>
      <c r="AT48" s="71">
        <f ca="1">-IF(C48=1,IF(E48='Invoer gegevens (N)'!$C$17,'Invoer gegevens (N)'!$C$11,Q48)*'Reeksen (N)'!S48*'Invoer gegevens (N)'!$C$18*'Reeksen (N)'!P48,0)</f>
        <v>0</v>
      </c>
      <c r="AU48" s="71">
        <f ca="1">-IF(C48=1,'Invoer gegevens (N)'!$C$10*'Invoer gegevens (N)'!$I$36*'Reeksen (N)'!H48,0)</f>
        <v>0</v>
      </c>
      <c r="AV48" s="71">
        <f t="shared" ca="1" si="4"/>
        <v>0</v>
      </c>
      <c r="AW48" s="72">
        <f ca="1">IFERROR(IF(E48='Invoer gegevens (N)'!$C$17+'Invoer gegevens (N)'!$I$14-1,'Invoer gegevens (N)'!$I$13*'Invoer gegevens (N)'!$C$10*'Reeksen (N)'!H48,0),0)</f>
        <v>0</v>
      </c>
      <c r="AX48" s="72">
        <f ca="1">IFERROR(IF(E48='Invoer gegevens (N)'!$C$17,-'Invoer gegevens (N)'!$C$10*'Invoer gegevens (N)'!$C$31*'Reeksen (N)'!H48,0),0)</f>
        <v>0</v>
      </c>
      <c r="AY48" s="73">
        <f ca="1">IF('Invoer gegevens (N)'!$C$34=E48,'Invoer gegevens (N)'!$C$27*'Invoer gegevens (N)'!$C$10*'Invoer gegevens (N)'!$C$36*(IF('Invoer gegevens (N)'!$C$35="ja",1,'Reeksen (N)'!J48)),IF('Invoer gegevens (N)'!$C$34+1=E48,'Invoer gegevens (N)'!$C$27*'Invoer gegevens (N)'!$C$10*'Invoer gegevens (N)'!$C$37*(IF('Invoer gegevens (N)'!$C$35="ja",1,'Reeksen (N)'!J48)),0))+IF(AND(E48='Invoer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8" s="73">
        <f ca="1">AV48/(1+'Invoer gegevens (N)'!$I$12)^($D48-('Invoer gegevens (N)'!$C$17-'Invoer gegevens (N)'!$C$16))/(1+'Invoer gegevens (N)'!$C$39)^('Invoer gegevens (N)'!$C$17-'Invoer gegevens (N)'!$C$16)</f>
        <v>0</v>
      </c>
      <c r="BA48" s="73">
        <f ca="1">AW48/(1+'Invoer gegevens (N)'!$I$12)^(E48-('Invoer gegevens (N)'!$C$17-1))/(1+'Invoer gegevens (N)'!$C$39)^('Invoer gegevens (N)'!$C$17-'Invoer gegevens (N)'!$C$16)</f>
        <v>0</v>
      </c>
      <c r="BB48" s="73">
        <f ca="1">AX48/(1+'Invoer gegevens (N)'!$C$39)^('Invoer gegevens (N)'!$C$17-'Invoer gegevens (N)'!$C$16)</f>
        <v>0</v>
      </c>
      <c r="BC48" s="72">
        <f t="shared" ca="1" si="5"/>
        <v>0</v>
      </c>
      <c r="BD48" s="72">
        <f ca="1">IF(AND(E48='Invoer gegevens (N)'!$C$16,'Invoer gegevens (N)'!$C$34&lt;'Invoer gegevens (N)'!$C$16),AY48,AY48/(1+'Invoer gegevens (N)'!$C$39)^D48)</f>
        <v>0</v>
      </c>
      <c r="BE48" s="72">
        <f ca="1">IF(E48='Invoer gegevens (N)'!$C$34,-'Invoer gegevens (N)'!$I$38,0)</f>
        <v>0</v>
      </c>
      <c r="BF48" s="72">
        <f ca="1">IF(E48='Invoer gegevens (N)'!$C$17,-'Invoer gegevens (N)'!$C$19*$BC$66,0)</f>
        <v>0</v>
      </c>
      <c r="BG48" s="72">
        <f ca="1">AV48/(1+$BG$4)^($D48-('Invoer gegevens (N)'!$C$17-'Invoer gegevens (N)'!$C$16))/(1+'Invoer gegevens (N)'!$C$39)^('Invoer gegevens (N)'!$C$17-'Invoer gegevens (N)'!$C$16)+AW48/(1+$BG$4)^(E48-('Invoer gegevens (N)'!$C$17-1))/(1+'Invoer gegevens (N)'!$C$39)^('Invoer gegevens (N)'!$C$17-'Invoer gegevens (N)'!$C$16)+AX48/(1+'Invoer gegevens (N)'!$C$39)^('Invoer gegevens (N)'!$C$17-'Invoer gegevens (N)'!$C$16)+(-AY48/(1+'Invoer gegevens (N)'!$C$39)^D48)+BE48+BF48</f>
        <v>0</v>
      </c>
      <c r="BH48" s="59"/>
      <c r="BI48" s="215"/>
      <c r="BJ48" s="214"/>
    </row>
    <row r="49" spans="1:62" x14ac:dyDescent="0.25">
      <c r="B49" s="70">
        <f t="shared" si="6"/>
        <v>45</v>
      </c>
      <c r="C49" s="67">
        <f ca="1">IF(AND(E49&gt;='Invoer gegevens (N)'!$C$17,E49&lt;'Invoer gegevens (N)'!$C$17+'Invoer gegevens (N)'!$I$14),1,0)</f>
        <v>1</v>
      </c>
      <c r="D49" s="68">
        <f t="shared" si="7"/>
        <v>44.5</v>
      </c>
      <c r="E49" s="69">
        <f ca="1">IF('Invoer gegevens (N)'!$C$16="","",E48+1)</f>
        <v>2063</v>
      </c>
      <c r="F49" s="82">
        <f ca="1">IF('Invoer gegevens (N)'!$C$17=E49,'Invoer gegevens (N)'!$C$10,IF(C49=1,H48,0))</f>
        <v>0</v>
      </c>
      <c r="G49" s="83">
        <f ca="1">IF(E49='Invoer gegevens (N)'!$C$17+'Invoer gegevens (N)'!$I$14,H48,IF(C49&gt;=1,F49*'Reeksen (N)'!C49,0))</f>
        <v>0</v>
      </c>
      <c r="H49" s="84">
        <f ca="1">IF(E49&gt;='Invoer gegevens (N)'!$C$17+'Invoer gegevens (N)'!$I$14,0,F49-G49)</f>
        <v>0</v>
      </c>
      <c r="I49" s="85">
        <f ca="1">IF('Invoer gegevens (N)'!$C$17=E49,'Invoer gegevens (N)'!$C$11,IF(C49=1,L48,0))</f>
        <v>0</v>
      </c>
      <c r="J49" s="86">
        <f ca="1">IF(E49='Invoer gegevens (N)'!$C$17+'Invoer gegevens (N)'!$I$14,L48,IF(C49&lt;1,0,IF('Reeksen (N)'!BG49&lt;='Reeksen (N)'!AE49,I49*'Reeksen (N)'!C49,0)))</f>
        <v>0</v>
      </c>
      <c r="K49" s="86">
        <f ca="1">IF(E49='Invoer gegevens (N)'!$C$17+'Invoer gegevens (N)'!$I$14,L48,IF(C49&lt;1,0,IF('Reeksen (N)'!BG49&gt;'Reeksen (N)'!AE49,I49*'Reeksen (N)'!C49,0)))</f>
        <v>0</v>
      </c>
      <c r="L49" s="86">
        <f ca="1">IF(E49&gt;='Invoer gegevens (N)'!$C$17+'Invoer gegevens (N)'!$I$14,0,I49-J49-K49)</f>
        <v>0</v>
      </c>
      <c r="M49" s="85">
        <f ca="1">IF('Invoer gegevens (N)'!$C$17=E49,'Invoer gegevens (N)'!$C$10-'Invoer gegevens (N)'!$C$11,IF(C49=1,P48,0))</f>
        <v>0</v>
      </c>
      <c r="N49" s="86">
        <f ca="1">IF(E49='Invoer gegevens (N)'!$C$17+'Invoer gegevens (N)'!$I$14,P48,IF(C49&lt;1,0,IF('Reeksen (N)'!BG49&lt;='Reeksen (N)'!AE49,M49*'Reeksen (N)'!C49,0)))</f>
        <v>0</v>
      </c>
      <c r="O49" s="86">
        <f ca="1">IF(E49='Invoer gegevens (N)'!$C$17+'Invoer gegevens (N)'!$I$14,P48,IF(C49&lt;1,0,IF('Reeksen (N)'!BG49&gt;'Reeksen (N)'!AE49,M49*'Reeksen (N)'!C49,0)))</f>
        <v>0</v>
      </c>
      <c r="P49" s="86">
        <f ca="1">IF(E49&gt;='Invoer gegevens (N)'!$C$17+'Invoer gegevens (N)'!$I$14,0,M49-N49-O49)</f>
        <v>0</v>
      </c>
      <c r="Q49" s="82">
        <f ca="1">IF('Invoer gegevens (N)'!$C$17=E49,I49,IF(C49=0,0,R48))</f>
        <v>0</v>
      </c>
      <c r="R49" s="84">
        <f t="shared" ca="1" si="0"/>
        <v>0</v>
      </c>
      <c r="S49" s="84">
        <f ca="1">IF('Invoer gegevens (N)'!$C$17=E49,M49,IF(C49=0,0,T48))</f>
        <v>0</v>
      </c>
      <c r="T49" s="84">
        <f t="shared" ca="1" si="1"/>
        <v>0</v>
      </c>
      <c r="AH49" s="66"/>
      <c r="AI49" s="71">
        <f ca="1">IF(C49=1,((F49+H49)/2*'Reeksen (N)'!BF49*12)+(('Invoer gegevens (N)'!$C$10-(F49+H49)/2)*'Reeksen (N)'!BG49*12),0)</f>
        <v>0</v>
      </c>
      <c r="AJ49" s="71">
        <f ca="1">-AI49*'Invoer gegevens (N)'!$I$26</f>
        <v>0</v>
      </c>
      <c r="AK49" s="71">
        <f t="shared" ca="1" si="2"/>
        <v>0</v>
      </c>
      <c r="AL49" s="71">
        <f ca="1">IF(C49=1,(12*((F49+H49)/2)*'Reeksen (N)'!AL49)+(12*('Invoer gegevens (N)'!$C$10-(F49+H49)/2)*'Reeksen (N)'!AM49),0)</f>
        <v>0</v>
      </c>
      <c r="AM49" s="71">
        <f ca="1">-AL49*'Invoer gegevens (N)'!$F$31</f>
        <v>0</v>
      </c>
      <c r="AN49" s="71">
        <f t="shared" ca="1" si="3"/>
        <v>0</v>
      </c>
      <c r="AO49" s="71"/>
      <c r="AP49" s="71"/>
      <c r="AQ49" s="71">
        <f ca="1">-IF(C49=1,('Invoer gegevens (N)'!$C$10*'Invoer gegevens (N)'!$I$33)*'Reeksen (N)'!J49,0)</f>
        <v>0</v>
      </c>
      <c r="AR49" s="71">
        <f ca="1">-IF(C49=1,(G49*'Invoer gegevens (N)'!$I$34)*'Reeksen (N)'!J49,0)</f>
        <v>0</v>
      </c>
      <c r="AS49" s="71">
        <f ca="1">-IF(C49=1,'Invoer gegevens (N)'!$C$10*'Invoer gegevens (N)'!$I$35*'Reeksen (N)'!L49,0)</f>
        <v>0</v>
      </c>
      <c r="AT49" s="71">
        <f ca="1">-IF(C49=1,IF(E49='Invoer gegevens (N)'!$C$17,'Invoer gegevens (N)'!$C$11,Q49)*'Reeksen (N)'!S49*'Invoer gegevens (N)'!$C$18*'Reeksen (N)'!P49,0)</f>
        <v>0</v>
      </c>
      <c r="AU49" s="71">
        <f ca="1">-IF(C49=1,'Invoer gegevens (N)'!$C$10*'Invoer gegevens (N)'!$I$36*'Reeksen (N)'!H49,0)</f>
        <v>0</v>
      </c>
      <c r="AV49" s="71">
        <f t="shared" ca="1" si="4"/>
        <v>0</v>
      </c>
      <c r="AW49" s="72">
        <f ca="1">IFERROR(IF(E49='Invoer gegevens (N)'!$C$17+'Invoer gegevens (N)'!$I$14-1,'Invoer gegevens (N)'!$I$13*'Invoer gegevens (N)'!$C$10*'Reeksen (N)'!H49,0),0)</f>
        <v>0</v>
      </c>
      <c r="AX49" s="72">
        <f ca="1">IFERROR(IF(E49='Invoer gegevens (N)'!$C$17,-'Invoer gegevens (N)'!$C$10*'Invoer gegevens (N)'!$C$31*'Reeksen (N)'!H49,0),0)</f>
        <v>0</v>
      </c>
      <c r="AY49" s="73">
        <f ca="1">IF('Invoer gegevens (N)'!$C$34=E49,'Invoer gegevens (N)'!$C$27*'Invoer gegevens (N)'!$C$10*'Invoer gegevens (N)'!$C$36*(IF('Invoer gegevens (N)'!$C$35="ja",1,'Reeksen (N)'!J49)),IF('Invoer gegevens (N)'!$C$34+1=E49,'Invoer gegevens (N)'!$C$27*'Invoer gegevens (N)'!$C$10*'Invoer gegevens (N)'!$C$37*(IF('Invoer gegevens (N)'!$C$35="ja",1,'Reeksen (N)'!J49)),0))+IF(AND(E49='Invoer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49" s="73">
        <f ca="1">AV49/(1+'Invoer gegevens (N)'!$I$12)^($D49-('Invoer gegevens (N)'!$C$17-'Invoer gegevens (N)'!$C$16))/(1+'Invoer gegevens (N)'!$C$39)^('Invoer gegevens (N)'!$C$17-'Invoer gegevens (N)'!$C$16)</f>
        <v>0</v>
      </c>
      <c r="BA49" s="73">
        <f ca="1">AW49/(1+'Invoer gegevens (N)'!$I$12)^(E49-('Invoer gegevens (N)'!$C$17-1))/(1+'Invoer gegevens (N)'!$C$39)^('Invoer gegevens (N)'!$C$17-'Invoer gegevens (N)'!$C$16)</f>
        <v>0</v>
      </c>
      <c r="BB49" s="73">
        <f ca="1">AX49/(1+'Invoer gegevens (N)'!$C$39)^('Invoer gegevens (N)'!$C$17-'Invoer gegevens (N)'!$C$16)</f>
        <v>0</v>
      </c>
      <c r="BC49" s="72">
        <f t="shared" ca="1" si="5"/>
        <v>0</v>
      </c>
      <c r="BD49" s="72">
        <f ca="1">IF(AND(E49='Invoer gegevens (N)'!$C$16,'Invoer gegevens (N)'!$C$34&lt;'Invoer gegevens (N)'!$C$16),AY49,AY49/(1+'Invoer gegevens (N)'!$C$39)^D49)</f>
        <v>0</v>
      </c>
      <c r="BE49" s="72">
        <f ca="1">IF(E49='Invoer gegevens (N)'!$C$34,-'Invoer gegevens (N)'!$I$38,0)</f>
        <v>0</v>
      </c>
      <c r="BF49" s="72">
        <f ca="1">IF(E49='Invoer gegevens (N)'!$C$17,-'Invoer gegevens (N)'!$C$19*$BC$66,0)</f>
        <v>0</v>
      </c>
      <c r="BG49" s="72">
        <f ca="1">AV49/(1+$BG$4)^($D49-('Invoer gegevens (N)'!$C$17-'Invoer gegevens (N)'!$C$16))/(1+'Invoer gegevens (N)'!$C$39)^('Invoer gegevens (N)'!$C$17-'Invoer gegevens (N)'!$C$16)+AW49/(1+$BG$4)^(E49-('Invoer gegevens (N)'!$C$17-1))/(1+'Invoer gegevens (N)'!$C$39)^('Invoer gegevens (N)'!$C$17-'Invoer gegevens (N)'!$C$16)+AX49/(1+'Invoer gegevens (N)'!$C$39)^('Invoer gegevens (N)'!$C$17-'Invoer gegevens (N)'!$C$16)+(-AY49/(1+'Invoer gegevens (N)'!$C$39)^D49)+BE49+BF49</f>
        <v>0</v>
      </c>
      <c r="BH49" s="59"/>
      <c r="BI49" s="215"/>
      <c r="BJ49" s="214"/>
    </row>
    <row r="50" spans="1:62" x14ac:dyDescent="0.25">
      <c r="B50" s="70">
        <f t="shared" si="6"/>
        <v>46</v>
      </c>
      <c r="C50" s="67">
        <f ca="1">IF(AND(E50&gt;='Invoer gegevens (N)'!$C$17,E50&lt;'Invoer gegevens (N)'!$C$17+'Invoer gegevens (N)'!$I$14),1,0)</f>
        <v>1</v>
      </c>
      <c r="D50" s="68">
        <f t="shared" si="7"/>
        <v>45.5</v>
      </c>
      <c r="E50" s="69">
        <f ca="1">IF('Invoer gegevens (N)'!$C$16="","",E49+1)</f>
        <v>2064</v>
      </c>
      <c r="F50" s="82">
        <f ca="1">IF('Invoer gegevens (N)'!$C$17=E50,'Invoer gegevens (N)'!$C$10,IF(C50=1,H49,0))</f>
        <v>0</v>
      </c>
      <c r="G50" s="83">
        <f ca="1">IF(E50='Invoer gegevens (N)'!$C$17+'Invoer gegevens (N)'!$I$14,H49,IF(C50&gt;=1,F50*'Reeksen (N)'!C50,0))</f>
        <v>0</v>
      </c>
      <c r="H50" s="84">
        <f ca="1">IF(E50&gt;='Invoer gegevens (N)'!$C$17+'Invoer gegevens (N)'!$I$14,0,F50-G50)</f>
        <v>0</v>
      </c>
      <c r="I50" s="85">
        <f ca="1">IF('Invoer gegevens (N)'!$C$17=E50,'Invoer gegevens (N)'!$C$11,IF(C50=1,L49,0))</f>
        <v>0</v>
      </c>
      <c r="J50" s="86">
        <f ca="1">IF(E50='Invoer gegevens (N)'!$C$17+'Invoer gegevens (N)'!$I$14,L49,IF(C50&lt;1,0,IF('Reeksen (N)'!BG50&lt;='Reeksen (N)'!AE50,I50*'Reeksen (N)'!C50,0)))</f>
        <v>0</v>
      </c>
      <c r="K50" s="86">
        <f ca="1">IF(E50='Invoer gegevens (N)'!$C$17+'Invoer gegevens (N)'!$I$14,L49,IF(C50&lt;1,0,IF('Reeksen (N)'!BG50&gt;'Reeksen (N)'!AE50,I50*'Reeksen (N)'!C50,0)))</f>
        <v>0</v>
      </c>
      <c r="L50" s="86">
        <f ca="1">IF(E50&gt;='Invoer gegevens (N)'!$C$17+'Invoer gegevens (N)'!$I$14,0,I50-J50-K50)</f>
        <v>0</v>
      </c>
      <c r="M50" s="85">
        <f ca="1">IF('Invoer gegevens (N)'!$C$17=E50,'Invoer gegevens (N)'!$C$10-'Invoer gegevens (N)'!$C$11,IF(C50=1,P49,0))</f>
        <v>0</v>
      </c>
      <c r="N50" s="86">
        <f ca="1">IF(E50='Invoer gegevens (N)'!$C$17+'Invoer gegevens (N)'!$I$14,P49,IF(C50&lt;1,0,IF('Reeksen (N)'!BG50&lt;='Reeksen (N)'!AE50,M50*'Reeksen (N)'!C50,0)))</f>
        <v>0</v>
      </c>
      <c r="O50" s="86">
        <f ca="1">IF(E50='Invoer gegevens (N)'!$C$17+'Invoer gegevens (N)'!$I$14,P49,IF(C50&lt;1,0,IF('Reeksen (N)'!BG50&gt;'Reeksen (N)'!AE50,M50*'Reeksen (N)'!C50,0)))</f>
        <v>0</v>
      </c>
      <c r="P50" s="86">
        <f ca="1">IF(E50&gt;='Invoer gegevens (N)'!$C$17+'Invoer gegevens (N)'!$I$14,0,M50-N50-O50)</f>
        <v>0</v>
      </c>
      <c r="Q50" s="82">
        <f ca="1">IF('Invoer gegevens (N)'!$C$17=E50,I50,IF(C50=0,0,R49))</f>
        <v>0</v>
      </c>
      <c r="R50" s="84">
        <f t="shared" ca="1" si="0"/>
        <v>0</v>
      </c>
      <c r="S50" s="84">
        <f ca="1">IF('Invoer gegevens (N)'!$C$17=E50,M50,IF(C50=0,0,T49))</f>
        <v>0</v>
      </c>
      <c r="T50" s="84">
        <f t="shared" ca="1" si="1"/>
        <v>0</v>
      </c>
      <c r="AH50" s="66"/>
      <c r="AI50" s="71">
        <f ca="1">IF(C50=1,((F50+H50)/2*'Reeksen (N)'!BF50*12)+(('Invoer gegevens (N)'!$C$10-(F50+H50)/2)*'Reeksen (N)'!BG50*12),0)</f>
        <v>0</v>
      </c>
      <c r="AJ50" s="71">
        <f ca="1">-AI50*'Invoer gegevens (N)'!$I$26</f>
        <v>0</v>
      </c>
      <c r="AK50" s="71">
        <f t="shared" ca="1" si="2"/>
        <v>0</v>
      </c>
      <c r="AL50" s="71">
        <f ca="1">IF(C50=1,(12*((F50+H50)/2)*'Reeksen (N)'!AL50)+(12*('Invoer gegevens (N)'!$C$10-(F50+H50)/2)*'Reeksen (N)'!AM50),0)</f>
        <v>0</v>
      </c>
      <c r="AM50" s="71">
        <f ca="1">-AL50*'Invoer gegevens (N)'!$F$31</f>
        <v>0</v>
      </c>
      <c r="AN50" s="71">
        <f t="shared" ca="1" si="3"/>
        <v>0</v>
      </c>
      <c r="AO50" s="71"/>
      <c r="AP50" s="71"/>
      <c r="AQ50" s="71">
        <f ca="1">-IF(C50=1,('Invoer gegevens (N)'!$C$10*'Invoer gegevens (N)'!$I$33)*'Reeksen (N)'!J50,0)</f>
        <v>0</v>
      </c>
      <c r="AR50" s="71">
        <f ca="1">-IF(C50=1,(G50*'Invoer gegevens (N)'!$I$34)*'Reeksen (N)'!J50,0)</f>
        <v>0</v>
      </c>
      <c r="AS50" s="71">
        <f ca="1">-IF(C50=1,'Invoer gegevens (N)'!$C$10*'Invoer gegevens (N)'!$I$35*'Reeksen (N)'!L50,0)</f>
        <v>0</v>
      </c>
      <c r="AT50" s="71">
        <f ca="1">-IF(C50=1,IF(E50='Invoer gegevens (N)'!$C$17,'Invoer gegevens (N)'!$C$11,Q50)*'Reeksen (N)'!S50*'Invoer gegevens (N)'!$C$18*'Reeksen (N)'!P50,0)</f>
        <v>0</v>
      </c>
      <c r="AU50" s="71">
        <f ca="1">-IF(C50=1,'Invoer gegevens (N)'!$C$10*'Invoer gegevens (N)'!$I$36*'Reeksen (N)'!H50,0)</f>
        <v>0</v>
      </c>
      <c r="AV50" s="71">
        <f t="shared" ca="1" si="4"/>
        <v>0</v>
      </c>
      <c r="AW50" s="72">
        <f ca="1">IFERROR(IF(E50='Invoer gegevens (N)'!$C$17+'Invoer gegevens (N)'!$I$14-1,'Invoer gegevens (N)'!$I$13*'Invoer gegevens (N)'!$C$10*'Reeksen (N)'!H50,0),0)</f>
        <v>0</v>
      </c>
      <c r="AX50" s="72">
        <f ca="1">IFERROR(IF(E50='Invoer gegevens (N)'!$C$17,-'Invoer gegevens (N)'!$C$10*'Invoer gegevens (N)'!$C$31*'Reeksen (N)'!H50,0),0)</f>
        <v>0</v>
      </c>
      <c r="AY50" s="73">
        <f ca="1">IF('Invoer gegevens (N)'!$C$34=E50,'Invoer gegevens (N)'!$C$27*'Invoer gegevens (N)'!$C$10*'Invoer gegevens (N)'!$C$36*(IF('Invoer gegevens (N)'!$C$35="ja",1,'Reeksen (N)'!J50)),IF('Invoer gegevens (N)'!$C$34+1=E50,'Invoer gegevens (N)'!$C$27*'Invoer gegevens (N)'!$C$10*'Invoer gegevens (N)'!$C$37*(IF('Invoer gegevens (N)'!$C$35="ja",1,'Reeksen (N)'!J50)),0))+IF(AND(E50='Invoer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0" s="73">
        <f ca="1">AV50/(1+'Invoer gegevens (N)'!$I$12)^($D50-('Invoer gegevens (N)'!$C$17-'Invoer gegevens (N)'!$C$16))/(1+'Invoer gegevens (N)'!$C$39)^('Invoer gegevens (N)'!$C$17-'Invoer gegevens (N)'!$C$16)</f>
        <v>0</v>
      </c>
      <c r="BA50" s="73">
        <f ca="1">AW50/(1+'Invoer gegevens (N)'!$I$12)^(E50-('Invoer gegevens (N)'!$C$17-1))/(1+'Invoer gegevens (N)'!$C$39)^('Invoer gegevens (N)'!$C$17-'Invoer gegevens (N)'!$C$16)</f>
        <v>0</v>
      </c>
      <c r="BB50" s="73">
        <f ca="1">AX50/(1+'Invoer gegevens (N)'!$C$39)^('Invoer gegevens (N)'!$C$17-'Invoer gegevens (N)'!$C$16)</f>
        <v>0</v>
      </c>
      <c r="BC50" s="72">
        <f t="shared" ca="1" si="5"/>
        <v>0</v>
      </c>
      <c r="BD50" s="72">
        <f ca="1">IF(AND(E50='Invoer gegevens (N)'!$C$16,'Invoer gegevens (N)'!$C$34&lt;'Invoer gegevens (N)'!$C$16),AY50,AY50/(1+'Invoer gegevens (N)'!$C$39)^D50)</f>
        <v>0</v>
      </c>
      <c r="BE50" s="72">
        <f ca="1">IF(E50='Invoer gegevens (N)'!$C$34,-'Invoer gegevens (N)'!$I$38,0)</f>
        <v>0</v>
      </c>
      <c r="BF50" s="72">
        <f ca="1">IF(E50='Invoer gegevens (N)'!$C$17,-'Invoer gegevens (N)'!$C$19*$BC$66,0)</f>
        <v>0</v>
      </c>
      <c r="BG50" s="72">
        <f ca="1">AV50/(1+$BG$4)^($D50-('Invoer gegevens (N)'!$C$17-'Invoer gegevens (N)'!$C$16))/(1+'Invoer gegevens (N)'!$C$39)^('Invoer gegevens (N)'!$C$17-'Invoer gegevens (N)'!$C$16)+AW50/(1+$BG$4)^(E50-('Invoer gegevens (N)'!$C$17-1))/(1+'Invoer gegevens (N)'!$C$39)^('Invoer gegevens (N)'!$C$17-'Invoer gegevens (N)'!$C$16)+AX50/(1+'Invoer gegevens (N)'!$C$39)^('Invoer gegevens (N)'!$C$17-'Invoer gegevens (N)'!$C$16)+(-AY50/(1+'Invoer gegevens (N)'!$C$39)^D50)+BE50+BF50</f>
        <v>0</v>
      </c>
      <c r="BH50" s="59"/>
      <c r="BI50" s="215"/>
      <c r="BJ50" s="214"/>
    </row>
    <row r="51" spans="1:62" x14ac:dyDescent="0.25">
      <c r="B51" s="70">
        <f t="shared" si="6"/>
        <v>47</v>
      </c>
      <c r="C51" s="67">
        <f ca="1">IF(AND(E51&gt;='Invoer gegevens (N)'!$C$17,E51&lt;'Invoer gegevens (N)'!$C$17+'Invoer gegevens (N)'!$I$14),1,0)</f>
        <v>1</v>
      </c>
      <c r="D51" s="68">
        <f t="shared" si="7"/>
        <v>46.5</v>
      </c>
      <c r="E51" s="69">
        <f ca="1">IF('Invoer gegevens (N)'!$C$16="","",E50+1)</f>
        <v>2065</v>
      </c>
      <c r="F51" s="82">
        <f ca="1">IF('Invoer gegevens (N)'!$C$17=E51,'Invoer gegevens (N)'!$C$10,IF(C51=1,H50,0))</f>
        <v>0</v>
      </c>
      <c r="G51" s="83">
        <f ca="1">IF(E51='Invoer gegevens (N)'!$C$17+'Invoer gegevens (N)'!$I$14,H50,IF(C51&gt;=1,F51*'Reeksen (N)'!C51,0))</f>
        <v>0</v>
      </c>
      <c r="H51" s="84">
        <f ca="1">IF(E51&gt;='Invoer gegevens (N)'!$C$17+'Invoer gegevens (N)'!$I$14,0,F51-G51)</f>
        <v>0</v>
      </c>
      <c r="I51" s="85">
        <f ca="1">IF('Invoer gegevens (N)'!$C$17=E51,'Invoer gegevens (N)'!$C$11,IF(C51=1,L50,0))</f>
        <v>0</v>
      </c>
      <c r="J51" s="86">
        <f ca="1">IF(E51='Invoer gegevens (N)'!$C$17+'Invoer gegevens (N)'!$I$14,L50,IF(C51&lt;1,0,IF('Reeksen (N)'!BG51&lt;='Reeksen (N)'!AE51,I51*'Reeksen (N)'!C51,0)))</f>
        <v>0</v>
      </c>
      <c r="K51" s="86">
        <f ca="1">IF(E51='Invoer gegevens (N)'!$C$17+'Invoer gegevens (N)'!$I$14,L50,IF(C51&lt;1,0,IF('Reeksen (N)'!BG51&gt;'Reeksen (N)'!AE51,I51*'Reeksen (N)'!C51,0)))</f>
        <v>0</v>
      </c>
      <c r="L51" s="86">
        <f ca="1">IF(E51&gt;='Invoer gegevens (N)'!$C$17+'Invoer gegevens (N)'!$I$14,0,I51-J51-K51)</f>
        <v>0</v>
      </c>
      <c r="M51" s="85">
        <f ca="1">IF('Invoer gegevens (N)'!$C$17=E51,'Invoer gegevens (N)'!$C$10-'Invoer gegevens (N)'!$C$11,IF(C51=1,P50,0))</f>
        <v>0</v>
      </c>
      <c r="N51" s="86">
        <f ca="1">IF(E51='Invoer gegevens (N)'!$C$17+'Invoer gegevens (N)'!$I$14,P50,IF(C51&lt;1,0,IF('Reeksen (N)'!BG51&lt;='Reeksen (N)'!AE51,M51*'Reeksen (N)'!C51,0)))</f>
        <v>0</v>
      </c>
      <c r="O51" s="86">
        <f ca="1">IF(E51='Invoer gegevens (N)'!$C$17+'Invoer gegevens (N)'!$I$14,P50,IF(C51&lt;1,0,IF('Reeksen (N)'!BG51&gt;'Reeksen (N)'!AE51,M51*'Reeksen (N)'!C51,0)))</f>
        <v>0</v>
      </c>
      <c r="P51" s="86">
        <f ca="1">IF(E51&gt;='Invoer gegevens (N)'!$C$17+'Invoer gegevens (N)'!$I$14,0,M51-N51-O51)</f>
        <v>0</v>
      </c>
      <c r="Q51" s="82">
        <f ca="1">IF('Invoer gegevens (N)'!$C$17=E51,I51,IF(C51=0,0,R50))</f>
        <v>0</v>
      </c>
      <c r="R51" s="84">
        <f t="shared" ca="1" si="0"/>
        <v>0</v>
      </c>
      <c r="S51" s="84">
        <f ca="1">IF('Invoer gegevens (N)'!$C$17=E51,M51,IF(C51=0,0,T50))</f>
        <v>0</v>
      </c>
      <c r="T51" s="84">
        <f t="shared" ca="1" si="1"/>
        <v>0</v>
      </c>
      <c r="AH51" s="66"/>
      <c r="AI51" s="71">
        <f ca="1">IF(C51=1,((F51+H51)/2*'Reeksen (N)'!BF51*12)+(('Invoer gegevens (N)'!$C$10-(F51+H51)/2)*'Reeksen (N)'!BG51*12),0)</f>
        <v>0</v>
      </c>
      <c r="AJ51" s="71">
        <f ca="1">-AI51*'Invoer gegevens (N)'!$I$26</f>
        <v>0</v>
      </c>
      <c r="AK51" s="71">
        <f t="shared" ca="1" si="2"/>
        <v>0</v>
      </c>
      <c r="AL51" s="71">
        <f ca="1">IF(C51=1,(12*((F51+H51)/2)*'Reeksen (N)'!AL51)+(12*('Invoer gegevens (N)'!$C$10-(F51+H51)/2)*'Reeksen (N)'!AM51),0)</f>
        <v>0</v>
      </c>
      <c r="AM51" s="71">
        <f ca="1">-AL51*'Invoer gegevens (N)'!$F$31</f>
        <v>0</v>
      </c>
      <c r="AN51" s="71">
        <f t="shared" ca="1" si="3"/>
        <v>0</v>
      </c>
      <c r="AO51" s="71"/>
      <c r="AP51" s="71"/>
      <c r="AQ51" s="71">
        <f ca="1">-IF(C51=1,('Invoer gegevens (N)'!$C$10*'Invoer gegevens (N)'!$I$33)*'Reeksen (N)'!J51,0)</f>
        <v>0</v>
      </c>
      <c r="AR51" s="71">
        <f ca="1">-IF(C51=1,(G51*'Invoer gegevens (N)'!$I$34)*'Reeksen (N)'!J51,0)</f>
        <v>0</v>
      </c>
      <c r="AS51" s="71">
        <f ca="1">-IF(C51=1,'Invoer gegevens (N)'!$C$10*'Invoer gegevens (N)'!$I$35*'Reeksen (N)'!L51,0)</f>
        <v>0</v>
      </c>
      <c r="AT51" s="71">
        <f ca="1">-IF(C51=1,IF(E51='Invoer gegevens (N)'!$C$17,'Invoer gegevens (N)'!$C$11,Q51)*'Reeksen (N)'!S51*'Invoer gegevens (N)'!$C$18*'Reeksen (N)'!P51,0)</f>
        <v>0</v>
      </c>
      <c r="AU51" s="71">
        <f ca="1">-IF(C51=1,'Invoer gegevens (N)'!$C$10*'Invoer gegevens (N)'!$I$36*'Reeksen (N)'!H51,0)</f>
        <v>0</v>
      </c>
      <c r="AV51" s="71">
        <f t="shared" ca="1" si="4"/>
        <v>0</v>
      </c>
      <c r="AW51" s="72">
        <f ca="1">IFERROR(IF(E51='Invoer gegevens (N)'!$C$17+'Invoer gegevens (N)'!$I$14-1,'Invoer gegevens (N)'!$I$13*'Invoer gegevens (N)'!$C$10*'Reeksen (N)'!H51,0),0)</f>
        <v>0</v>
      </c>
      <c r="AX51" s="72">
        <f ca="1">IFERROR(IF(E51='Invoer gegevens (N)'!$C$17,-'Invoer gegevens (N)'!$C$10*'Invoer gegevens (N)'!$C$31*'Reeksen (N)'!H51,0),0)</f>
        <v>0</v>
      </c>
      <c r="AY51" s="73">
        <f ca="1">IF('Invoer gegevens (N)'!$C$34=E51,'Invoer gegevens (N)'!$C$27*'Invoer gegevens (N)'!$C$10*'Invoer gegevens (N)'!$C$36*(IF('Invoer gegevens (N)'!$C$35="ja",1,'Reeksen (N)'!J51)),IF('Invoer gegevens (N)'!$C$34+1=E51,'Invoer gegevens (N)'!$C$27*'Invoer gegevens (N)'!$C$10*'Invoer gegevens (N)'!$C$37*(IF('Invoer gegevens (N)'!$C$35="ja",1,'Reeksen (N)'!J51)),0))+IF(AND(E51='Invoer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1" s="73">
        <f ca="1">AV51/(1+'Invoer gegevens (N)'!$I$12)^($D51-('Invoer gegevens (N)'!$C$17-'Invoer gegevens (N)'!$C$16))/(1+'Invoer gegevens (N)'!$C$39)^('Invoer gegevens (N)'!$C$17-'Invoer gegevens (N)'!$C$16)</f>
        <v>0</v>
      </c>
      <c r="BA51" s="73">
        <f ca="1">AW51/(1+'Invoer gegevens (N)'!$I$12)^(E51-('Invoer gegevens (N)'!$C$17-1))/(1+'Invoer gegevens (N)'!$C$39)^('Invoer gegevens (N)'!$C$17-'Invoer gegevens (N)'!$C$16)</f>
        <v>0</v>
      </c>
      <c r="BB51" s="73">
        <f ca="1">AX51/(1+'Invoer gegevens (N)'!$C$39)^('Invoer gegevens (N)'!$C$17-'Invoer gegevens (N)'!$C$16)</f>
        <v>0</v>
      </c>
      <c r="BC51" s="72">
        <f t="shared" ca="1" si="5"/>
        <v>0</v>
      </c>
      <c r="BD51" s="72">
        <f ca="1">IF(AND(E51='Invoer gegevens (N)'!$C$16,'Invoer gegevens (N)'!$C$34&lt;'Invoer gegevens (N)'!$C$16),AY51,AY51/(1+'Invoer gegevens (N)'!$C$39)^D51)</f>
        <v>0</v>
      </c>
      <c r="BE51" s="72">
        <f ca="1">IF(E51='Invoer gegevens (N)'!$C$34,-'Invoer gegevens (N)'!$I$38,0)</f>
        <v>0</v>
      </c>
      <c r="BF51" s="72">
        <f ca="1">IF(E51='Invoer gegevens (N)'!$C$17,-'Invoer gegevens (N)'!$C$19*$BC$66,0)</f>
        <v>0</v>
      </c>
      <c r="BG51" s="72">
        <f ca="1">AV51/(1+$BG$4)^($D51-('Invoer gegevens (N)'!$C$17-'Invoer gegevens (N)'!$C$16))/(1+'Invoer gegevens (N)'!$C$39)^('Invoer gegevens (N)'!$C$17-'Invoer gegevens (N)'!$C$16)+AW51/(1+$BG$4)^(E51-('Invoer gegevens (N)'!$C$17-1))/(1+'Invoer gegevens (N)'!$C$39)^('Invoer gegevens (N)'!$C$17-'Invoer gegevens (N)'!$C$16)+AX51/(1+'Invoer gegevens (N)'!$C$39)^('Invoer gegevens (N)'!$C$17-'Invoer gegevens (N)'!$C$16)+(-AY51/(1+'Invoer gegevens (N)'!$C$39)^D51)+BE51+BF51</f>
        <v>0</v>
      </c>
      <c r="BH51" s="59"/>
      <c r="BI51" s="215"/>
      <c r="BJ51" s="214"/>
    </row>
    <row r="52" spans="1:62" x14ac:dyDescent="0.25">
      <c r="B52" s="70">
        <f t="shared" si="6"/>
        <v>48</v>
      </c>
      <c r="C52" s="67">
        <f ca="1">IF(AND(E52&gt;='Invoer gegevens (N)'!$C$17,E52&lt;'Invoer gegevens (N)'!$C$17+'Invoer gegevens (N)'!$I$14),1,0)</f>
        <v>1</v>
      </c>
      <c r="D52" s="68">
        <f t="shared" si="7"/>
        <v>47.5</v>
      </c>
      <c r="E52" s="69">
        <f ca="1">IF('Invoer gegevens (N)'!$C$16="","",E51+1)</f>
        <v>2066</v>
      </c>
      <c r="F52" s="82">
        <f ca="1">IF('Invoer gegevens (N)'!$C$17=E52,'Invoer gegevens (N)'!$C$10,IF(C52=1,H51,0))</f>
        <v>0</v>
      </c>
      <c r="G52" s="83">
        <f ca="1">IF(E52='Invoer gegevens (N)'!$C$17+'Invoer gegevens (N)'!$I$14,H51,IF(C52&gt;=1,F52*'Reeksen (N)'!C52,0))</f>
        <v>0</v>
      </c>
      <c r="H52" s="84">
        <f ca="1">IF(E52&gt;='Invoer gegevens (N)'!$C$17+'Invoer gegevens (N)'!$I$14,0,F52-G52)</f>
        <v>0</v>
      </c>
      <c r="I52" s="85">
        <f ca="1">IF('Invoer gegevens (N)'!$C$17=E52,'Invoer gegevens (N)'!$C$11,IF(C52=1,L51,0))</f>
        <v>0</v>
      </c>
      <c r="J52" s="86">
        <f ca="1">IF(E52='Invoer gegevens (N)'!$C$17+'Invoer gegevens (N)'!$I$14,L51,IF(C52&lt;1,0,IF('Reeksen (N)'!BG52&lt;='Reeksen (N)'!AE52,I52*'Reeksen (N)'!C52,0)))</f>
        <v>0</v>
      </c>
      <c r="K52" s="86">
        <f ca="1">IF(E52='Invoer gegevens (N)'!$C$17+'Invoer gegevens (N)'!$I$14,L51,IF(C52&lt;1,0,IF('Reeksen (N)'!BG52&gt;'Reeksen (N)'!AE52,I52*'Reeksen (N)'!C52,0)))</f>
        <v>0</v>
      </c>
      <c r="L52" s="86">
        <f ca="1">IF(E52&gt;='Invoer gegevens (N)'!$C$17+'Invoer gegevens (N)'!$I$14,0,I52-J52-K52)</f>
        <v>0</v>
      </c>
      <c r="M52" s="85">
        <f ca="1">IF('Invoer gegevens (N)'!$C$17=E52,'Invoer gegevens (N)'!$C$10-'Invoer gegevens (N)'!$C$11,IF(C52=1,P51,0))</f>
        <v>0</v>
      </c>
      <c r="N52" s="86">
        <f ca="1">IF(E52='Invoer gegevens (N)'!$C$17+'Invoer gegevens (N)'!$I$14,P51,IF(C52&lt;1,0,IF('Reeksen (N)'!BG52&lt;='Reeksen (N)'!AE52,M52*'Reeksen (N)'!C52,0)))</f>
        <v>0</v>
      </c>
      <c r="O52" s="86">
        <f ca="1">IF(E52='Invoer gegevens (N)'!$C$17+'Invoer gegevens (N)'!$I$14,P51,IF(C52&lt;1,0,IF('Reeksen (N)'!BG52&gt;'Reeksen (N)'!AE52,M52*'Reeksen (N)'!C52,0)))</f>
        <v>0</v>
      </c>
      <c r="P52" s="86">
        <f ca="1">IF(E52&gt;='Invoer gegevens (N)'!$C$17+'Invoer gegevens (N)'!$I$14,0,M52-N52-O52)</f>
        <v>0</v>
      </c>
      <c r="Q52" s="82">
        <f ca="1">IF('Invoer gegevens (N)'!$C$17=E52,I52,IF(C52=0,0,R51))</f>
        <v>0</v>
      </c>
      <c r="R52" s="84">
        <f t="shared" ca="1" si="0"/>
        <v>0</v>
      </c>
      <c r="S52" s="84">
        <f ca="1">IF('Invoer gegevens (N)'!$C$17=E52,M52,IF(C52=0,0,T51))</f>
        <v>0</v>
      </c>
      <c r="T52" s="84">
        <f t="shared" ca="1" si="1"/>
        <v>0</v>
      </c>
      <c r="AH52" s="66"/>
      <c r="AI52" s="71">
        <f ca="1">IF(C52=1,((F52+H52)/2*'Reeksen (N)'!BF52*12)+(('Invoer gegevens (N)'!$C$10-(F52+H52)/2)*'Reeksen (N)'!BG52*12),0)</f>
        <v>0</v>
      </c>
      <c r="AJ52" s="71">
        <f ca="1">-AI52*'Invoer gegevens (N)'!$I$26</f>
        <v>0</v>
      </c>
      <c r="AK52" s="71">
        <f t="shared" ca="1" si="2"/>
        <v>0</v>
      </c>
      <c r="AL52" s="71">
        <f ca="1">IF(C52=1,(12*((F52+H52)/2)*'Reeksen (N)'!AL52)+(12*('Invoer gegevens (N)'!$C$10-(F52+H52)/2)*'Reeksen (N)'!AM52),0)</f>
        <v>0</v>
      </c>
      <c r="AM52" s="71">
        <f ca="1">-AL52*'Invoer gegevens (N)'!$F$31</f>
        <v>0</v>
      </c>
      <c r="AN52" s="71">
        <f t="shared" ca="1" si="3"/>
        <v>0</v>
      </c>
      <c r="AO52" s="71"/>
      <c r="AP52" s="71"/>
      <c r="AQ52" s="71">
        <f ca="1">-IF(C52=1,('Invoer gegevens (N)'!$C$10*'Invoer gegevens (N)'!$I$33)*'Reeksen (N)'!J52,0)</f>
        <v>0</v>
      </c>
      <c r="AR52" s="71">
        <f ca="1">-IF(C52=1,(G52*'Invoer gegevens (N)'!$I$34)*'Reeksen (N)'!J52,0)</f>
        <v>0</v>
      </c>
      <c r="AS52" s="71">
        <f ca="1">-IF(C52=1,'Invoer gegevens (N)'!$C$10*'Invoer gegevens (N)'!$I$35*'Reeksen (N)'!L52,0)</f>
        <v>0</v>
      </c>
      <c r="AT52" s="71">
        <f ca="1">-IF(C52=1,IF(E52='Invoer gegevens (N)'!$C$17,'Invoer gegevens (N)'!$C$11,Q52)*'Reeksen (N)'!S52*'Invoer gegevens (N)'!$C$18*'Reeksen (N)'!P52,0)</f>
        <v>0</v>
      </c>
      <c r="AU52" s="71">
        <f ca="1">-IF(C52=1,'Invoer gegevens (N)'!$C$10*'Invoer gegevens (N)'!$I$36*'Reeksen (N)'!H52,0)</f>
        <v>0</v>
      </c>
      <c r="AV52" s="71">
        <f t="shared" ca="1" si="4"/>
        <v>0</v>
      </c>
      <c r="AW52" s="72">
        <f ca="1">IFERROR(IF(E52='Invoer gegevens (N)'!$C$17+'Invoer gegevens (N)'!$I$14-1,'Invoer gegevens (N)'!$I$13*'Invoer gegevens (N)'!$C$10*'Reeksen (N)'!H52,0),0)</f>
        <v>0</v>
      </c>
      <c r="AX52" s="72">
        <f ca="1">IFERROR(IF(E52='Invoer gegevens (N)'!$C$17,-'Invoer gegevens (N)'!$C$10*'Invoer gegevens (N)'!$C$31*'Reeksen (N)'!H52,0),0)</f>
        <v>0</v>
      </c>
      <c r="AY52" s="73">
        <f ca="1">IF('Invoer gegevens (N)'!$C$34=E52,'Invoer gegevens (N)'!$C$27*'Invoer gegevens (N)'!$C$10*'Invoer gegevens (N)'!$C$36*(IF('Invoer gegevens (N)'!$C$35="ja",1,'Reeksen (N)'!J52)),IF('Invoer gegevens (N)'!$C$34+1=E52,'Invoer gegevens (N)'!$C$27*'Invoer gegevens (N)'!$C$10*'Invoer gegevens (N)'!$C$37*(IF('Invoer gegevens (N)'!$C$35="ja",1,'Reeksen (N)'!J52)),0))+IF(AND(E52='Invoer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2" s="73">
        <f ca="1">AV52/(1+'Invoer gegevens (N)'!$I$12)^($D52-('Invoer gegevens (N)'!$C$17-'Invoer gegevens (N)'!$C$16))/(1+'Invoer gegevens (N)'!$C$39)^('Invoer gegevens (N)'!$C$17-'Invoer gegevens (N)'!$C$16)</f>
        <v>0</v>
      </c>
      <c r="BA52" s="73">
        <f ca="1">AW52/(1+'Invoer gegevens (N)'!$I$12)^(E52-('Invoer gegevens (N)'!$C$17-1))/(1+'Invoer gegevens (N)'!$C$39)^('Invoer gegevens (N)'!$C$17-'Invoer gegevens (N)'!$C$16)</f>
        <v>0</v>
      </c>
      <c r="BB52" s="73">
        <f ca="1">AX52/(1+'Invoer gegevens (N)'!$C$39)^('Invoer gegevens (N)'!$C$17-'Invoer gegevens (N)'!$C$16)</f>
        <v>0</v>
      </c>
      <c r="BC52" s="72">
        <f t="shared" ca="1" si="5"/>
        <v>0</v>
      </c>
      <c r="BD52" s="72">
        <f ca="1">IF(AND(E52='Invoer gegevens (N)'!$C$16,'Invoer gegevens (N)'!$C$34&lt;'Invoer gegevens (N)'!$C$16),AY52,AY52/(1+'Invoer gegevens (N)'!$C$39)^D52)</f>
        <v>0</v>
      </c>
      <c r="BE52" s="72">
        <f ca="1">IF(E52='Invoer gegevens (N)'!$C$34,-'Invoer gegevens (N)'!$I$38,0)</f>
        <v>0</v>
      </c>
      <c r="BF52" s="72">
        <f ca="1">IF(E52='Invoer gegevens (N)'!$C$17,-'Invoer gegevens (N)'!$C$19*$BC$66,0)</f>
        <v>0</v>
      </c>
      <c r="BG52" s="72">
        <f ca="1">AV52/(1+$BG$4)^($D52-('Invoer gegevens (N)'!$C$17-'Invoer gegevens (N)'!$C$16))/(1+'Invoer gegevens (N)'!$C$39)^('Invoer gegevens (N)'!$C$17-'Invoer gegevens (N)'!$C$16)+AW52/(1+$BG$4)^(E52-('Invoer gegevens (N)'!$C$17-1))/(1+'Invoer gegevens (N)'!$C$39)^('Invoer gegevens (N)'!$C$17-'Invoer gegevens (N)'!$C$16)+AX52/(1+'Invoer gegevens (N)'!$C$39)^('Invoer gegevens (N)'!$C$17-'Invoer gegevens (N)'!$C$16)+(-AY52/(1+'Invoer gegevens (N)'!$C$39)^D52)+BE52+BF52</f>
        <v>0</v>
      </c>
      <c r="BH52" s="59"/>
      <c r="BI52" s="215"/>
      <c r="BJ52" s="214"/>
    </row>
    <row r="53" spans="1:62" x14ac:dyDescent="0.25">
      <c r="B53" s="70">
        <f t="shared" si="6"/>
        <v>49</v>
      </c>
      <c r="C53" s="67">
        <f ca="1">IF(AND(E53&gt;='Invoer gegevens (N)'!$C$17,E53&lt;'Invoer gegevens (N)'!$C$17+'Invoer gegevens (N)'!$I$14),1,0)</f>
        <v>1</v>
      </c>
      <c r="D53" s="68">
        <f t="shared" si="7"/>
        <v>48.5</v>
      </c>
      <c r="E53" s="69">
        <f ca="1">IF('Invoer gegevens (N)'!$C$16="","",E52+1)</f>
        <v>2067</v>
      </c>
      <c r="F53" s="82">
        <f ca="1">IF('Invoer gegevens (N)'!$C$17=E53,'Invoer gegevens (N)'!$C$10,IF(C53=1,H52,0))</f>
        <v>0</v>
      </c>
      <c r="G53" s="83">
        <f ca="1">IF(E53='Invoer gegevens (N)'!$C$17+'Invoer gegevens (N)'!$I$14,H52,IF(C53&gt;=1,F53*'Reeksen (N)'!C53,0))</f>
        <v>0</v>
      </c>
      <c r="H53" s="84">
        <f ca="1">IF(E53&gt;='Invoer gegevens (N)'!$C$17+'Invoer gegevens (N)'!$I$14,0,F53-G53)</f>
        <v>0</v>
      </c>
      <c r="I53" s="85">
        <f ca="1">IF('Invoer gegevens (N)'!$C$17=E53,'Invoer gegevens (N)'!$C$11,IF(C53=1,L52,0))</f>
        <v>0</v>
      </c>
      <c r="J53" s="86">
        <f ca="1">IF(E53='Invoer gegevens (N)'!$C$17+'Invoer gegevens (N)'!$I$14,L52,IF(C53&lt;1,0,IF('Reeksen (N)'!BG53&lt;='Reeksen (N)'!AE53,I53*'Reeksen (N)'!C53,0)))</f>
        <v>0</v>
      </c>
      <c r="K53" s="86">
        <f ca="1">IF(E53='Invoer gegevens (N)'!$C$17+'Invoer gegevens (N)'!$I$14,L52,IF(C53&lt;1,0,IF('Reeksen (N)'!BG53&gt;'Reeksen (N)'!AE53,I53*'Reeksen (N)'!C53,0)))</f>
        <v>0</v>
      </c>
      <c r="L53" s="86">
        <f ca="1">IF(E53&gt;='Invoer gegevens (N)'!$C$17+'Invoer gegevens (N)'!$I$14,0,I53-J53-K53)</f>
        <v>0</v>
      </c>
      <c r="M53" s="85">
        <f ca="1">IF('Invoer gegevens (N)'!$C$17=E53,'Invoer gegevens (N)'!$C$10-'Invoer gegevens (N)'!$C$11,IF(C53=1,P52,0))</f>
        <v>0</v>
      </c>
      <c r="N53" s="86">
        <f ca="1">IF(E53='Invoer gegevens (N)'!$C$17+'Invoer gegevens (N)'!$I$14,P52,IF(C53&lt;1,0,IF('Reeksen (N)'!BG53&lt;='Reeksen (N)'!AE53,M53*'Reeksen (N)'!C53,0)))</f>
        <v>0</v>
      </c>
      <c r="O53" s="86">
        <f ca="1">IF(E53='Invoer gegevens (N)'!$C$17+'Invoer gegevens (N)'!$I$14,P52,IF(C53&lt;1,0,IF('Reeksen (N)'!BG53&gt;'Reeksen (N)'!AE53,M53*'Reeksen (N)'!C53,0)))</f>
        <v>0</v>
      </c>
      <c r="P53" s="86">
        <f ca="1">IF(E53&gt;='Invoer gegevens (N)'!$C$17+'Invoer gegevens (N)'!$I$14,0,M53-N53-O53)</f>
        <v>0</v>
      </c>
      <c r="Q53" s="82">
        <f ca="1">IF('Invoer gegevens (N)'!$C$17=E53,I53,IF(C53=0,0,R52))</f>
        <v>0</v>
      </c>
      <c r="R53" s="84">
        <f t="shared" ca="1" si="0"/>
        <v>0</v>
      </c>
      <c r="S53" s="84">
        <f ca="1">IF('Invoer gegevens (N)'!$C$17=E53,M53,IF(C53=0,0,T52))</f>
        <v>0</v>
      </c>
      <c r="T53" s="84">
        <f t="shared" ca="1" si="1"/>
        <v>0</v>
      </c>
      <c r="AH53" s="66"/>
      <c r="AI53" s="71">
        <f ca="1">IF(C53=1,((F53+H53)/2*'Reeksen (N)'!BF53*12)+(('Invoer gegevens (N)'!$C$10-(F53+H53)/2)*'Reeksen (N)'!BG53*12),0)</f>
        <v>0</v>
      </c>
      <c r="AJ53" s="71">
        <f ca="1">-AI53*'Invoer gegevens (N)'!$I$26</f>
        <v>0</v>
      </c>
      <c r="AK53" s="71">
        <f t="shared" ca="1" si="2"/>
        <v>0</v>
      </c>
      <c r="AL53" s="71">
        <f ca="1">IF(C53=1,(12*((F53+H53)/2)*'Reeksen (N)'!AL53)+(12*('Invoer gegevens (N)'!$C$10-(F53+H53)/2)*'Reeksen (N)'!AM53),0)</f>
        <v>0</v>
      </c>
      <c r="AM53" s="71">
        <f ca="1">-AL53*'Invoer gegevens (N)'!$F$31</f>
        <v>0</v>
      </c>
      <c r="AN53" s="71">
        <f t="shared" ca="1" si="3"/>
        <v>0</v>
      </c>
      <c r="AO53" s="71"/>
      <c r="AP53" s="71"/>
      <c r="AQ53" s="71">
        <f ca="1">-IF(C53=1,('Invoer gegevens (N)'!$C$10*'Invoer gegevens (N)'!$I$33)*'Reeksen (N)'!J53,0)</f>
        <v>0</v>
      </c>
      <c r="AR53" s="71">
        <f ca="1">-IF(C53=1,(G53*'Invoer gegevens (N)'!$I$34)*'Reeksen (N)'!J53,0)</f>
        <v>0</v>
      </c>
      <c r="AS53" s="71">
        <f ca="1">-IF(C53=1,'Invoer gegevens (N)'!$C$10*'Invoer gegevens (N)'!$I$35*'Reeksen (N)'!L53,0)</f>
        <v>0</v>
      </c>
      <c r="AT53" s="71">
        <f ca="1">-IF(C53=1,IF(E53='Invoer gegevens (N)'!$C$17,'Invoer gegevens (N)'!$C$11,Q53)*'Reeksen (N)'!S53*'Invoer gegevens (N)'!$C$18*'Reeksen (N)'!P53,0)</f>
        <v>0</v>
      </c>
      <c r="AU53" s="71">
        <f ca="1">-IF(C53=1,'Invoer gegevens (N)'!$C$10*'Invoer gegevens (N)'!$I$36*'Reeksen (N)'!H53,0)</f>
        <v>0</v>
      </c>
      <c r="AV53" s="71">
        <f t="shared" ca="1" si="4"/>
        <v>0</v>
      </c>
      <c r="AW53" s="72">
        <f ca="1">IFERROR(IF(E53='Invoer gegevens (N)'!$C$17+'Invoer gegevens (N)'!$I$14-1,'Invoer gegevens (N)'!$I$13*'Invoer gegevens (N)'!$C$10*'Reeksen (N)'!H53,0),0)</f>
        <v>0</v>
      </c>
      <c r="AX53" s="72">
        <f ca="1">IFERROR(IF(E53='Invoer gegevens (N)'!$C$17,-'Invoer gegevens (N)'!$C$10*'Invoer gegevens (N)'!$C$31*'Reeksen (N)'!H53,0),0)</f>
        <v>0</v>
      </c>
      <c r="AY53" s="73">
        <f ca="1">IF('Invoer gegevens (N)'!$C$34=E53,'Invoer gegevens (N)'!$C$27*'Invoer gegevens (N)'!$C$10*'Invoer gegevens (N)'!$C$36*(IF('Invoer gegevens (N)'!$C$35="ja",1,'Reeksen (N)'!J53)),IF('Invoer gegevens (N)'!$C$34+1=E53,'Invoer gegevens (N)'!$C$27*'Invoer gegevens (N)'!$C$10*'Invoer gegevens (N)'!$C$37*(IF('Invoer gegevens (N)'!$C$35="ja",1,'Reeksen (N)'!J53)),0))+IF(AND(E53='Invoer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3" s="73">
        <f ca="1">AV53/(1+'Invoer gegevens (N)'!$I$12)^($D53-('Invoer gegevens (N)'!$C$17-'Invoer gegevens (N)'!$C$16))/(1+'Invoer gegevens (N)'!$C$39)^('Invoer gegevens (N)'!$C$17-'Invoer gegevens (N)'!$C$16)</f>
        <v>0</v>
      </c>
      <c r="BA53" s="73">
        <f ca="1">AW53/(1+'Invoer gegevens (N)'!$I$12)^(E53-('Invoer gegevens (N)'!$C$17-1))/(1+'Invoer gegevens (N)'!$C$39)^('Invoer gegevens (N)'!$C$17-'Invoer gegevens (N)'!$C$16)</f>
        <v>0</v>
      </c>
      <c r="BB53" s="73">
        <f ca="1">AX53/(1+'Invoer gegevens (N)'!$C$39)^('Invoer gegevens (N)'!$C$17-'Invoer gegevens (N)'!$C$16)</f>
        <v>0</v>
      </c>
      <c r="BC53" s="72">
        <f t="shared" ca="1" si="5"/>
        <v>0</v>
      </c>
      <c r="BD53" s="72">
        <f ca="1">IF(AND(E53='Invoer gegevens (N)'!$C$16,'Invoer gegevens (N)'!$C$34&lt;'Invoer gegevens (N)'!$C$16),AY53,AY53/(1+'Invoer gegevens (N)'!$C$39)^D53)</f>
        <v>0</v>
      </c>
      <c r="BE53" s="72">
        <f ca="1">IF(E53='Invoer gegevens (N)'!$C$34,-'Invoer gegevens (N)'!$I$38,0)</f>
        <v>0</v>
      </c>
      <c r="BF53" s="72">
        <f ca="1">IF(E53='Invoer gegevens (N)'!$C$17,-'Invoer gegevens (N)'!$C$19*$BC$66,0)</f>
        <v>0</v>
      </c>
      <c r="BG53" s="72">
        <f ca="1">AV53/(1+$BG$4)^($D53-('Invoer gegevens (N)'!$C$17-'Invoer gegevens (N)'!$C$16))/(1+'Invoer gegevens (N)'!$C$39)^('Invoer gegevens (N)'!$C$17-'Invoer gegevens (N)'!$C$16)+AW53/(1+$BG$4)^(E53-('Invoer gegevens (N)'!$C$17-1))/(1+'Invoer gegevens (N)'!$C$39)^('Invoer gegevens (N)'!$C$17-'Invoer gegevens (N)'!$C$16)+AX53/(1+'Invoer gegevens (N)'!$C$39)^('Invoer gegevens (N)'!$C$17-'Invoer gegevens (N)'!$C$16)+(-AY53/(1+'Invoer gegevens (N)'!$C$39)^D53)+BE53+BF53</f>
        <v>0</v>
      </c>
      <c r="BH53" s="59"/>
      <c r="BI53" s="215"/>
      <c r="BJ53" s="214"/>
    </row>
    <row r="54" spans="1:62" x14ac:dyDescent="0.25">
      <c r="B54" s="70">
        <f t="shared" si="6"/>
        <v>50</v>
      </c>
      <c r="C54" s="67">
        <f ca="1">IF(AND(E54&gt;='Invoer gegevens (N)'!$C$17,E54&lt;'Invoer gegevens (N)'!$C$17+'Invoer gegevens (N)'!$I$14),1,0)</f>
        <v>1</v>
      </c>
      <c r="D54" s="68">
        <f t="shared" si="7"/>
        <v>49.5</v>
      </c>
      <c r="E54" s="69">
        <f ca="1">IF('Invoer gegevens (N)'!$C$16="","",E53+1)</f>
        <v>2068</v>
      </c>
      <c r="F54" s="82">
        <f ca="1">IF('Invoer gegevens (N)'!$C$17=E54,'Invoer gegevens (N)'!$C$10,IF(C54=1,H53,0))</f>
        <v>0</v>
      </c>
      <c r="G54" s="83">
        <f ca="1">IF(E54='Invoer gegevens (N)'!$C$17+'Invoer gegevens (N)'!$I$14,H53,IF(C54&gt;=1,F54*'Reeksen (N)'!C54,0))</f>
        <v>0</v>
      </c>
      <c r="H54" s="84">
        <f ca="1">IF(E54&gt;='Invoer gegevens (N)'!$C$17+'Invoer gegevens (N)'!$I$14,0,F54-G54)</f>
        <v>0</v>
      </c>
      <c r="I54" s="85">
        <f ca="1">IF('Invoer gegevens (N)'!$C$17=E54,'Invoer gegevens (N)'!$C$11,IF(C54=1,L53,0))</f>
        <v>0</v>
      </c>
      <c r="J54" s="86">
        <f ca="1">IF(E54='Invoer gegevens (N)'!$C$17+'Invoer gegevens (N)'!$I$14,L53,IF(C54&lt;1,0,IF('Reeksen (N)'!BG54&lt;='Reeksen (N)'!AE54,I54*'Reeksen (N)'!C54,0)))</f>
        <v>0</v>
      </c>
      <c r="K54" s="86">
        <f ca="1">IF(E54='Invoer gegevens (N)'!$C$17+'Invoer gegevens (N)'!$I$14,L53,IF(C54&lt;1,0,IF('Reeksen (N)'!BG54&gt;'Reeksen (N)'!AE54,I54*'Reeksen (N)'!C54,0)))</f>
        <v>0</v>
      </c>
      <c r="L54" s="86">
        <f ca="1">IF(E54&gt;='Invoer gegevens (N)'!$C$17+'Invoer gegevens (N)'!$I$14,0,I54-J54-K54)</f>
        <v>0</v>
      </c>
      <c r="M54" s="85">
        <f ca="1">IF('Invoer gegevens (N)'!$C$17=E54,'Invoer gegevens (N)'!$C$10-'Invoer gegevens (N)'!$C$11,IF(C54=1,P53,0))</f>
        <v>0</v>
      </c>
      <c r="N54" s="86">
        <f ca="1">IF(E54='Invoer gegevens (N)'!$C$17+'Invoer gegevens (N)'!$I$14,P53,IF(C54&lt;1,0,IF('Reeksen (N)'!BG54&lt;='Reeksen (N)'!AE54,M54*'Reeksen (N)'!C54,0)))</f>
        <v>0</v>
      </c>
      <c r="O54" s="86">
        <f ca="1">IF(E54='Invoer gegevens (N)'!$C$17+'Invoer gegevens (N)'!$I$14,P53,IF(C54&lt;1,0,IF('Reeksen (N)'!BG54&gt;'Reeksen (N)'!AE54,M54*'Reeksen (N)'!C54,0)))</f>
        <v>0</v>
      </c>
      <c r="P54" s="86">
        <f ca="1">IF(E54&gt;='Invoer gegevens (N)'!$C$17+'Invoer gegevens (N)'!$I$14,0,M54-N54-O54)</f>
        <v>0</v>
      </c>
      <c r="Q54" s="82">
        <f ca="1">IF('Invoer gegevens (N)'!$C$17=E54,I54,IF(C54=0,0,R53))</f>
        <v>0</v>
      </c>
      <c r="R54" s="84">
        <f t="shared" ca="1" si="0"/>
        <v>0</v>
      </c>
      <c r="S54" s="84">
        <f ca="1">IF('Invoer gegevens (N)'!$C$17=E54,M54,IF(C54=0,0,T53))</f>
        <v>0</v>
      </c>
      <c r="T54" s="84">
        <f t="shared" ca="1" si="1"/>
        <v>0</v>
      </c>
      <c r="AH54" s="66"/>
      <c r="AI54" s="71">
        <f ca="1">IF(C54=1,((F54+H54)/2*'Reeksen (N)'!BF54*12)+(('Invoer gegevens (N)'!$C$10-(F54+H54)/2)*'Reeksen (N)'!BG54*12),0)</f>
        <v>0</v>
      </c>
      <c r="AJ54" s="71">
        <f ca="1">-AI54*'Invoer gegevens (N)'!$I$26</f>
        <v>0</v>
      </c>
      <c r="AK54" s="71">
        <f t="shared" ca="1" si="2"/>
        <v>0</v>
      </c>
      <c r="AL54" s="71">
        <f ca="1">IF(C54=1,(12*((F54+H54)/2)*'Reeksen (N)'!AL54)+(12*('Invoer gegevens (N)'!$C$10-(F54+H54)/2)*'Reeksen (N)'!AM54),0)</f>
        <v>0</v>
      </c>
      <c r="AM54" s="71">
        <f ca="1">-AL54*'Invoer gegevens (N)'!$F$31</f>
        <v>0</v>
      </c>
      <c r="AN54" s="71">
        <f t="shared" ca="1" si="3"/>
        <v>0</v>
      </c>
      <c r="AO54" s="71"/>
      <c r="AP54" s="71"/>
      <c r="AQ54" s="71">
        <f ca="1">-IF(C54=1,('Invoer gegevens (N)'!$C$10*'Invoer gegevens (N)'!$I$33)*'Reeksen (N)'!J54,0)</f>
        <v>0</v>
      </c>
      <c r="AR54" s="71">
        <f ca="1">-IF(C54=1,(G54*'Invoer gegevens (N)'!$I$34)*'Reeksen (N)'!J54,0)</f>
        <v>0</v>
      </c>
      <c r="AS54" s="71">
        <f ca="1">-IF(C54=1,'Invoer gegevens (N)'!$C$10*'Invoer gegevens (N)'!$I$35*'Reeksen (N)'!L54,0)</f>
        <v>0</v>
      </c>
      <c r="AT54" s="71">
        <f ca="1">-IF(C54=1,IF(E54='Invoer gegevens (N)'!$C$17,'Invoer gegevens (N)'!$C$11,Q54)*'Reeksen (N)'!S54*'Invoer gegevens (N)'!$C$18*'Reeksen (N)'!P54,0)</f>
        <v>0</v>
      </c>
      <c r="AU54" s="71">
        <f ca="1">-IF(C54=1,'Invoer gegevens (N)'!$C$10*'Invoer gegevens (N)'!$I$36*'Reeksen (N)'!H54,0)</f>
        <v>0</v>
      </c>
      <c r="AV54" s="71">
        <f t="shared" ca="1" si="4"/>
        <v>0</v>
      </c>
      <c r="AW54" s="72">
        <f ca="1">IFERROR(IF(E54='Invoer gegevens (N)'!$C$17+'Invoer gegevens (N)'!$I$14-1,'Invoer gegevens (N)'!$I$13*'Invoer gegevens (N)'!$C$10*'Reeksen (N)'!H54,0),0)</f>
        <v>0</v>
      </c>
      <c r="AX54" s="72">
        <f ca="1">IFERROR(IF(E54='Invoer gegevens (N)'!$C$17,-'Invoer gegevens (N)'!$C$10*'Invoer gegevens (N)'!$C$31*'Reeksen (N)'!H54,0),0)</f>
        <v>0</v>
      </c>
      <c r="AY54" s="73">
        <f ca="1">IF('Invoer gegevens (N)'!$C$34=E54,'Invoer gegevens (N)'!$C$27*'Invoer gegevens (N)'!$C$10*'Invoer gegevens (N)'!$C$36*(IF('Invoer gegevens (N)'!$C$35="ja",1,'Reeksen (N)'!J54)),IF('Invoer gegevens (N)'!$C$34+1=E54,'Invoer gegevens (N)'!$C$27*'Invoer gegevens (N)'!$C$10*'Invoer gegevens (N)'!$C$37*(IF('Invoer gegevens (N)'!$C$35="ja",1,'Reeksen (N)'!J54)),0))+IF(AND(E54='Invoer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4" s="73">
        <f ca="1">AV54/(1+'Invoer gegevens (N)'!$I$12)^($D54-('Invoer gegevens (N)'!$C$17-'Invoer gegevens (N)'!$C$16))/(1+'Invoer gegevens (N)'!$C$39)^('Invoer gegevens (N)'!$C$17-'Invoer gegevens (N)'!$C$16)</f>
        <v>0</v>
      </c>
      <c r="BA54" s="73">
        <f ca="1">AW54/(1+'Invoer gegevens (N)'!$I$12)^(E54-('Invoer gegevens (N)'!$C$17-1))/(1+'Invoer gegevens (N)'!$C$39)^('Invoer gegevens (N)'!$C$17-'Invoer gegevens (N)'!$C$16)</f>
        <v>0</v>
      </c>
      <c r="BB54" s="73">
        <f ca="1">AX54/(1+'Invoer gegevens (N)'!$C$39)^('Invoer gegevens (N)'!$C$17-'Invoer gegevens (N)'!$C$16)</f>
        <v>0</v>
      </c>
      <c r="BC54" s="72">
        <f t="shared" ca="1" si="5"/>
        <v>0</v>
      </c>
      <c r="BD54" s="72">
        <f ca="1">IF(AND(E54='Invoer gegevens (N)'!$C$16,'Invoer gegevens (N)'!$C$34&lt;'Invoer gegevens (N)'!$C$16),AY54,AY54/(1+'Invoer gegevens (N)'!$C$39)^D54)</f>
        <v>0</v>
      </c>
      <c r="BE54" s="72">
        <f ca="1">IF(E54='Invoer gegevens (N)'!$C$34,-'Invoer gegevens (N)'!$I$38,0)</f>
        <v>0</v>
      </c>
      <c r="BF54" s="72">
        <f ca="1">IF(E54='Invoer gegevens (N)'!$C$17,-'Invoer gegevens (N)'!$C$19*$BC$66,0)</f>
        <v>0</v>
      </c>
      <c r="BG54" s="72">
        <f ca="1">AV54/(1+$BG$4)^($D54-('Invoer gegevens (N)'!$C$17-'Invoer gegevens (N)'!$C$16))/(1+'Invoer gegevens (N)'!$C$39)^('Invoer gegevens (N)'!$C$17-'Invoer gegevens (N)'!$C$16)+AW54/(1+$BG$4)^(E54-('Invoer gegevens (N)'!$C$17-1))/(1+'Invoer gegevens (N)'!$C$39)^('Invoer gegevens (N)'!$C$17-'Invoer gegevens (N)'!$C$16)+AX54/(1+'Invoer gegevens (N)'!$C$39)^('Invoer gegevens (N)'!$C$17-'Invoer gegevens (N)'!$C$16)+(-AY54/(1+'Invoer gegevens (N)'!$C$39)^D54)+BE54+BF54</f>
        <v>0</v>
      </c>
      <c r="BH54" s="59"/>
      <c r="BI54" s="215"/>
      <c r="BJ54" s="214"/>
    </row>
    <row r="55" spans="1:62" x14ac:dyDescent="0.25">
      <c r="B55" s="70">
        <f t="shared" si="6"/>
        <v>51</v>
      </c>
      <c r="C55" s="67">
        <f ca="1">IF(AND(E55&gt;='Invoer gegevens (N)'!$C$17,E55&lt;'Invoer gegevens (N)'!$C$17+'Invoer gegevens (N)'!$I$14),1,0)</f>
        <v>0</v>
      </c>
      <c r="D55" s="68">
        <f t="shared" si="7"/>
        <v>50.5</v>
      </c>
      <c r="E55" s="69">
        <f ca="1">IF('Invoer gegevens (N)'!$C$16="","",E54+1)</f>
        <v>2069</v>
      </c>
      <c r="F55" s="82">
        <f ca="1">IF('Invoer gegevens (N)'!$C$17=E55,'Invoer gegevens (N)'!$C$10,IF(C55=1,H54,0))</f>
        <v>0</v>
      </c>
      <c r="G55" s="83">
        <f ca="1">IF(E55='Invoer gegevens (N)'!$C$17+'Invoer gegevens (N)'!$I$14,H54,IF(C55&gt;=1,F55*'Reeksen (N)'!C55,0))</f>
        <v>0</v>
      </c>
      <c r="H55" s="84">
        <f ca="1">IF(E55&gt;='Invoer gegevens (N)'!$C$17+'Invoer gegevens (N)'!$I$14,0,F55-G55)</f>
        <v>0</v>
      </c>
      <c r="I55" s="85">
        <f ca="1">IF('Invoer gegevens (N)'!$C$17=E55,'Invoer gegevens (N)'!$C$11,IF(C55=1,L54,0))</f>
        <v>0</v>
      </c>
      <c r="J55" s="86">
        <f ca="1">IF(E55='Invoer gegevens (N)'!$C$17+'Invoer gegevens (N)'!$I$14,L54,IF(C55&lt;1,0,IF('Reeksen (N)'!BG55&lt;='Reeksen (N)'!AE55,I55*'Reeksen (N)'!C55,0)))</f>
        <v>0</v>
      </c>
      <c r="K55" s="86">
        <f ca="1">IF(E55='Invoer gegevens (N)'!$C$17+'Invoer gegevens (N)'!$I$14,L54,IF(C55&lt;1,0,IF('Reeksen (N)'!BG55&gt;'Reeksen (N)'!AE55,I55*'Reeksen (N)'!C55,0)))</f>
        <v>0</v>
      </c>
      <c r="L55" s="86">
        <f ca="1">IF(E55&gt;='Invoer gegevens (N)'!$C$17+'Invoer gegevens (N)'!$I$14,0,I55-J55-K55)</f>
        <v>0</v>
      </c>
      <c r="M55" s="85">
        <f ca="1">IF('Invoer gegevens (N)'!$C$17=E55,'Invoer gegevens (N)'!$C$10-'Invoer gegevens (N)'!$C$11,IF(C55=1,P54,0))</f>
        <v>0</v>
      </c>
      <c r="N55" s="86">
        <f ca="1">IF(E55='Invoer gegevens (N)'!$C$17+'Invoer gegevens (N)'!$I$14,P54,IF(C55&lt;1,0,IF('Reeksen (N)'!BG55&lt;='Reeksen (N)'!AE55,M55*'Reeksen (N)'!C55,0)))</f>
        <v>0</v>
      </c>
      <c r="O55" s="86">
        <f ca="1">IF(E55='Invoer gegevens (N)'!$C$17+'Invoer gegevens (N)'!$I$14,P54,IF(C55&lt;1,0,IF('Reeksen (N)'!BG55&gt;'Reeksen (N)'!AE55,M55*'Reeksen (N)'!C55,0)))</f>
        <v>0</v>
      </c>
      <c r="P55" s="86">
        <f ca="1">IF(E55&gt;='Invoer gegevens (N)'!$C$17+'Invoer gegevens (N)'!$I$14,0,M55-N55-O55)</f>
        <v>0</v>
      </c>
      <c r="Q55" s="82">
        <f ca="1">IF('Invoer gegevens (N)'!$C$17=E55,I55,IF(C55=0,0,R54))</f>
        <v>0</v>
      </c>
      <c r="R55" s="84">
        <f t="shared" ca="1" si="0"/>
        <v>0</v>
      </c>
      <c r="S55" s="84">
        <f ca="1">IF('Invoer gegevens (N)'!$C$17=E55,M55,IF(C55=0,0,T54))</f>
        <v>0</v>
      </c>
      <c r="T55" s="84">
        <f t="shared" ca="1" si="1"/>
        <v>0</v>
      </c>
      <c r="AH55" s="66"/>
      <c r="AI55" s="71">
        <f ca="1">IF(C55=1,((F55+H55)/2*'Reeksen (N)'!BF55*12)+(('Invoer gegevens (N)'!$C$10-(F55+H55)/2)*'Reeksen (N)'!BG55*12),0)</f>
        <v>0</v>
      </c>
      <c r="AJ55" s="71">
        <f ca="1">-AI55*'Invoer gegevens (N)'!$I$26</f>
        <v>0</v>
      </c>
      <c r="AK55" s="71">
        <f t="shared" ca="1" si="2"/>
        <v>0</v>
      </c>
      <c r="AL55" s="71">
        <f ca="1">IF(C55=1,(12*((F55+H55)/2)*'Reeksen (N)'!AL55)+(12*('Invoer gegevens (N)'!$C$10-(F55+H55)/2)*'Reeksen (N)'!AM55),0)</f>
        <v>0</v>
      </c>
      <c r="AM55" s="71">
        <f ca="1">-AL55*'Invoer gegevens (N)'!$F$31</f>
        <v>0</v>
      </c>
      <c r="AN55" s="71">
        <f t="shared" ca="1" si="3"/>
        <v>0</v>
      </c>
      <c r="AO55" s="71"/>
      <c r="AP55" s="71"/>
      <c r="AQ55" s="71">
        <f ca="1">-IF(C55=1,('Invoer gegevens (N)'!$C$10*'Invoer gegevens (N)'!$I$33)*'Reeksen (N)'!J55,0)</f>
        <v>0</v>
      </c>
      <c r="AR55" s="71">
        <f ca="1">-IF(C55=1,(G55*'Invoer gegevens (N)'!$I$34)*'Reeksen (N)'!J55,0)</f>
        <v>0</v>
      </c>
      <c r="AS55" s="71">
        <f ca="1">-IF(C55=1,'Invoer gegevens (N)'!$C$10*'Invoer gegevens (N)'!$I$35*'Reeksen (N)'!L55,0)</f>
        <v>0</v>
      </c>
      <c r="AT55" s="71">
        <f ca="1">-IF(C55=1,IF(E55='Invoer gegevens (N)'!$C$17,'Invoer gegevens (N)'!$C$11,Q55)*'Reeksen (N)'!S55*'Invoer gegevens (N)'!$C$18*'Reeksen (N)'!P55,0)</f>
        <v>0</v>
      </c>
      <c r="AU55" s="71">
        <f ca="1">-IF(C55=1,'Invoer gegevens (N)'!$C$10*'Invoer gegevens (N)'!$I$36*'Reeksen (N)'!H55,0)</f>
        <v>0</v>
      </c>
      <c r="AV55" s="71">
        <f t="shared" ca="1" si="4"/>
        <v>0</v>
      </c>
      <c r="AW55" s="72">
        <f ca="1">IFERROR(IF(E55='Invoer gegevens (N)'!$C$17+'Invoer gegevens (N)'!$I$14-1,'Invoer gegevens (N)'!$I$13*'Invoer gegevens (N)'!$C$10*'Reeksen (N)'!H55,0),0)</f>
        <v>0</v>
      </c>
      <c r="AX55" s="72">
        <f ca="1">IFERROR(IF(E55='Invoer gegevens (N)'!$C$17,-'Invoer gegevens (N)'!$C$10*'Invoer gegevens (N)'!$C$31*'Reeksen (N)'!H55,0),0)</f>
        <v>0</v>
      </c>
      <c r="AY55" s="73">
        <f ca="1">IF('Invoer gegevens (N)'!$C$34=E55,'Invoer gegevens (N)'!$C$27*'Invoer gegevens (N)'!$C$10*'Invoer gegevens (N)'!$C$36*(IF('Invoer gegevens (N)'!$C$35="ja",1,'Reeksen (N)'!J55)),IF('Invoer gegevens (N)'!$C$34+1=E55,'Invoer gegevens (N)'!$C$27*'Invoer gegevens (N)'!$C$10*'Invoer gegevens (N)'!$C$37*(IF('Invoer gegevens (N)'!$C$35="ja",1,'Reeksen (N)'!J55)),0))+IF(AND(E55='Invoer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5" s="73">
        <f ca="1">AV55/(1+'Invoer gegevens (N)'!$I$12)^($D55-('Invoer gegevens (N)'!$C$17-'Invoer gegevens (N)'!$C$16))/(1+'Invoer gegevens (N)'!$C$39)^('Invoer gegevens (N)'!$C$17-'Invoer gegevens (N)'!$C$16)</f>
        <v>0</v>
      </c>
      <c r="BA55" s="73">
        <f ca="1">AW55/(1+'Invoer gegevens (N)'!$I$12)^(E55-('Invoer gegevens (N)'!$C$17-1))/(1+'Invoer gegevens (N)'!$C$39)^('Invoer gegevens (N)'!$C$17-'Invoer gegevens (N)'!$C$16)</f>
        <v>0</v>
      </c>
      <c r="BB55" s="73">
        <f ca="1">AX55/(1+'Invoer gegevens (N)'!$C$39)^('Invoer gegevens (N)'!$C$17-'Invoer gegevens (N)'!$C$16)</f>
        <v>0</v>
      </c>
      <c r="BC55" s="72">
        <f t="shared" ca="1" si="5"/>
        <v>0</v>
      </c>
      <c r="BD55" s="72">
        <f ca="1">IF(AND(E55='Invoer gegevens (N)'!$C$16,'Invoer gegevens (N)'!$C$34&lt;'Invoer gegevens (N)'!$C$16),AY55,AY55/(1+'Invoer gegevens (N)'!$C$39)^D55)</f>
        <v>0</v>
      </c>
      <c r="BE55" s="72">
        <f ca="1">IF(E55='Invoer gegevens (N)'!$C$34,-'Invoer gegevens (N)'!$I$38,0)</f>
        <v>0</v>
      </c>
      <c r="BF55" s="72">
        <f ca="1">IF(E55='Invoer gegevens (N)'!$C$17,-'Invoer gegevens (N)'!$C$19*$BC$66,0)</f>
        <v>0</v>
      </c>
      <c r="BG55" s="72">
        <f ca="1">AV55/(1+$BG$4)^($D55-('Invoer gegevens (N)'!$C$17-'Invoer gegevens (N)'!$C$16))/(1+'Invoer gegevens (N)'!$C$39)^('Invoer gegevens (N)'!$C$17-'Invoer gegevens (N)'!$C$16)+AW55/(1+$BG$4)^(E55-('Invoer gegevens (N)'!$C$17-1))/(1+'Invoer gegevens (N)'!$C$39)^('Invoer gegevens (N)'!$C$17-'Invoer gegevens (N)'!$C$16)+AX55/(1+'Invoer gegevens (N)'!$C$39)^('Invoer gegevens (N)'!$C$17-'Invoer gegevens (N)'!$C$16)+(-AY55/(1+'Invoer gegevens (N)'!$C$39)^D55)+BE55+BF55</f>
        <v>0</v>
      </c>
      <c r="BH55" s="59"/>
      <c r="BI55" s="215"/>
      <c r="BJ55" s="214"/>
    </row>
    <row r="56" spans="1:62" x14ac:dyDescent="0.25">
      <c r="B56" s="70">
        <f t="shared" si="6"/>
        <v>52</v>
      </c>
      <c r="C56" s="67">
        <f ca="1">IF(AND(E56&gt;='Invoer gegevens (N)'!$C$17,E56&lt;'Invoer gegevens (N)'!$C$17+'Invoer gegevens (N)'!$I$14),1,0)</f>
        <v>0</v>
      </c>
      <c r="D56" s="68">
        <f t="shared" si="7"/>
        <v>51.5</v>
      </c>
      <c r="E56" s="69">
        <f ca="1">IF('Invoer gegevens (N)'!$C$16="","",E55+1)</f>
        <v>2070</v>
      </c>
      <c r="F56" s="82">
        <f ca="1">IF('Invoer gegevens (N)'!$C$17=E56,'Invoer gegevens (N)'!$C$10,IF(C56=1,H55,0))</f>
        <v>0</v>
      </c>
      <c r="G56" s="83">
        <f ca="1">IF(E56='Invoer gegevens (N)'!$C$17+'Invoer gegevens (N)'!$I$14,H55,IF(C56&gt;=1,F56*'Reeksen (N)'!C56,0))</f>
        <v>0</v>
      </c>
      <c r="H56" s="84">
        <f ca="1">IF(E56&gt;='Invoer gegevens (N)'!$C$17+'Invoer gegevens (N)'!$I$14,0,F56-G56)</f>
        <v>0</v>
      </c>
      <c r="I56" s="85">
        <f ca="1">IF('Invoer gegevens (N)'!$C$17=E56,'Invoer gegevens (N)'!$C$11,IF(C56=1,L55,0))</f>
        <v>0</v>
      </c>
      <c r="J56" s="86">
        <f ca="1">IF(E56='Invoer gegevens (N)'!$C$17+'Invoer gegevens (N)'!$I$14,L55,IF(C56&lt;1,0,IF('Reeksen (N)'!BG56&lt;='Reeksen (N)'!AE56,I56*'Reeksen (N)'!C56,0)))</f>
        <v>0</v>
      </c>
      <c r="K56" s="86">
        <f ca="1">IF(E56='Invoer gegevens (N)'!$C$17+'Invoer gegevens (N)'!$I$14,L55,IF(C56&lt;1,0,IF('Reeksen (N)'!BG56&gt;'Reeksen (N)'!AE56,I56*'Reeksen (N)'!C56,0)))</f>
        <v>0</v>
      </c>
      <c r="L56" s="86">
        <f ca="1">IF(E56&gt;='Invoer gegevens (N)'!$C$17+'Invoer gegevens (N)'!$I$14,0,I56-J56-K56)</f>
        <v>0</v>
      </c>
      <c r="M56" s="85">
        <f ca="1">IF('Invoer gegevens (N)'!$C$17=E56,'Invoer gegevens (N)'!$C$10-'Invoer gegevens (N)'!$C$11,IF(C56=1,P55,0))</f>
        <v>0</v>
      </c>
      <c r="N56" s="86">
        <f ca="1">IF(E56='Invoer gegevens (N)'!$C$17+'Invoer gegevens (N)'!$I$14,P55,IF(C56&lt;1,0,IF('Reeksen (N)'!BG56&lt;='Reeksen (N)'!AE56,M56*'Reeksen (N)'!C56,0)))</f>
        <v>0</v>
      </c>
      <c r="O56" s="86">
        <f ca="1">IF(E56='Invoer gegevens (N)'!$C$17+'Invoer gegevens (N)'!$I$14,P55,IF(C56&lt;1,0,IF('Reeksen (N)'!BG56&gt;'Reeksen (N)'!AE56,M56*'Reeksen (N)'!C56,0)))</f>
        <v>0</v>
      </c>
      <c r="P56" s="86">
        <f ca="1">IF(E56&gt;='Invoer gegevens (N)'!$C$17+'Invoer gegevens (N)'!$I$14,0,M56-N56-O56)</f>
        <v>0</v>
      </c>
      <c r="Q56" s="82">
        <f ca="1">IF('Invoer gegevens (N)'!$C$17=E56,I56,IF(C56=0,0,R55))</f>
        <v>0</v>
      </c>
      <c r="R56" s="84">
        <f t="shared" ca="1" si="0"/>
        <v>0</v>
      </c>
      <c r="S56" s="84">
        <f ca="1">IF('Invoer gegevens (N)'!$C$17=E56,M56,IF(C56=0,0,T55))</f>
        <v>0</v>
      </c>
      <c r="T56" s="84">
        <f t="shared" ca="1" si="1"/>
        <v>0</v>
      </c>
      <c r="AH56" s="66"/>
      <c r="AI56" s="71">
        <f ca="1">IF(C56=1,((F56+H56)/2*'Reeksen (N)'!BF56*12)+(('Invoer gegevens (N)'!$C$10-(F56+H56)/2)*'Reeksen (N)'!BG56*12),0)</f>
        <v>0</v>
      </c>
      <c r="AJ56" s="71">
        <f ca="1">-AI56*'Invoer gegevens (N)'!$I$26</f>
        <v>0</v>
      </c>
      <c r="AK56" s="71">
        <f t="shared" ca="1" si="2"/>
        <v>0</v>
      </c>
      <c r="AL56" s="71">
        <f ca="1">IF(C56=1,(12*((F56+H56)/2)*'Reeksen (N)'!AL56)+(12*('Invoer gegevens (N)'!$C$10-(F56+H56)/2)*'Reeksen (N)'!AM56),0)</f>
        <v>0</v>
      </c>
      <c r="AM56" s="71">
        <f ca="1">-AL56*'Invoer gegevens (N)'!$F$31</f>
        <v>0</v>
      </c>
      <c r="AN56" s="71">
        <f t="shared" ca="1" si="3"/>
        <v>0</v>
      </c>
      <c r="AO56" s="71"/>
      <c r="AP56" s="71"/>
      <c r="AQ56" s="71">
        <f ca="1">-IF(C56=1,('Invoer gegevens (N)'!$C$10*'Invoer gegevens (N)'!$I$33)*'Reeksen (N)'!J56,0)</f>
        <v>0</v>
      </c>
      <c r="AR56" s="71">
        <f ca="1">-IF(C56=1,(G56*'Invoer gegevens (N)'!$I$34)*'Reeksen (N)'!J56,0)</f>
        <v>0</v>
      </c>
      <c r="AS56" s="71">
        <f ca="1">-IF(C56=1,'Invoer gegevens (N)'!$C$10*'Invoer gegevens (N)'!$I$35*'Reeksen (N)'!L56,0)</f>
        <v>0</v>
      </c>
      <c r="AT56" s="71">
        <f ca="1">-IF(C56=1,IF(E56='Invoer gegevens (N)'!$C$17,'Invoer gegevens (N)'!$C$11,Q56)*'Reeksen (N)'!S56*'Invoer gegevens (N)'!$C$18*'Reeksen (N)'!P56,0)</f>
        <v>0</v>
      </c>
      <c r="AU56" s="71">
        <f ca="1">-IF(C56=1,'Invoer gegevens (N)'!$C$10*'Invoer gegevens (N)'!$I$36*'Reeksen (N)'!H56,0)</f>
        <v>0</v>
      </c>
      <c r="AV56" s="71">
        <f t="shared" ca="1" si="4"/>
        <v>0</v>
      </c>
      <c r="AW56" s="72">
        <f ca="1">IFERROR(IF(E56='Invoer gegevens (N)'!$C$17+'Invoer gegevens (N)'!$I$14-1,'Invoer gegevens (N)'!$I$13*'Invoer gegevens (N)'!$C$10*'Reeksen (N)'!H56,0),0)</f>
        <v>0</v>
      </c>
      <c r="AX56" s="72">
        <f ca="1">IFERROR(IF(E56='Invoer gegevens (N)'!$C$17,-'Invoer gegevens (N)'!$C$10*'Invoer gegevens (N)'!$C$31*'Reeksen (N)'!H56,0),0)</f>
        <v>0</v>
      </c>
      <c r="AY56" s="73">
        <f ca="1">IF('Invoer gegevens (N)'!$C$34=E56,'Invoer gegevens (N)'!$C$27*'Invoer gegevens (N)'!$C$10*'Invoer gegevens (N)'!$C$36*(IF('Invoer gegevens (N)'!$C$35="ja",1,'Reeksen (N)'!J56)),IF('Invoer gegevens (N)'!$C$34+1=E56,'Invoer gegevens (N)'!$C$27*'Invoer gegevens (N)'!$C$10*'Invoer gegevens (N)'!$C$37*(IF('Invoer gegevens (N)'!$C$35="ja",1,'Reeksen (N)'!J56)),0))+IF(AND(E56='Invoer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6" s="73">
        <f ca="1">AV56/(1+'Invoer gegevens (N)'!$I$12)^($D56-('Invoer gegevens (N)'!$C$17-'Invoer gegevens (N)'!$C$16))/(1+'Invoer gegevens (N)'!$C$39)^('Invoer gegevens (N)'!$C$17-'Invoer gegevens (N)'!$C$16)</f>
        <v>0</v>
      </c>
      <c r="BA56" s="73">
        <f ca="1">AW56/(1+'Invoer gegevens (N)'!$I$12)^(E56-('Invoer gegevens (N)'!$C$17-1))/(1+'Invoer gegevens (N)'!$C$39)^('Invoer gegevens (N)'!$C$17-'Invoer gegevens (N)'!$C$16)</f>
        <v>0</v>
      </c>
      <c r="BB56" s="73">
        <f ca="1">AX56/(1+'Invoer gegevens (N)'!$C$39)^('Invoer gegevens (N)'!$C$17-'Invoer gegevens (N)'!$C$16)</f>
        <v>0</v>
      </c>
      <c r="BC56" s="72">
        <f t="shared" ca="1" si="5"/>
        <v>0</v>
      </c>
      <c r="BD56" s="72">
        <f ca="1">IF(AND(E56='Invoer gegevens (N)'!$C$16,'Invoer gegevens (N)'!$C$34&lt;'Invoer gegevens (N)'!$C$16),AY56,AY56/(1+'Invoer gegevens (N)'!$C$39)^D56)</f>
        <v>0</v>
      </c>
      <c r="BE56" s="72">
        <f ca="1">IF(E56='Invoer gegevens (N)'!$C$34,-'Invoer gegevens (N)'!$I$38,0)</f>
        <v>0</v>
      </c>
      <c r="BF56" s="72">
        <f ca="1">IF(E56='Invoer gegevens (N)'!$C$17,-'Invoer gegevens (N)'!$C$19*$BC$66,0)</f>
        <v>0</v>
      </c>
      <c r="BG56" s="72">
        <f ca="1">AV56/(1+$BG$4)^($D56-('Invoer gegevens (N)'!$C$17-'Invoer gegevens (N)'!$C$16))/(1+'Invoer gegevens (N)'!$C$39)^('Invoer gegevens (N)'!$C$17-'Invoer gegevens (N)'!$C$16)+AW56/(1+$BG$4)^(E56-('Invoer gegevens (N)'!$C$17-1))/(1+'Invoer gegevens (N)'!$C$39)^('Invoer gegevens (N)'!$C$17-'Invoer gegevens (N)'!$C$16)+AX56/(1+'Invoer gegevens (N)'!$C$39)^('Invoer gegevens (N)'!$C$17-'Invoer gegevens (N)'!$C$16)+(-AY56/(1+'Invoer gegevens (N)'!$C$39)^D56)+BE56+BF56</f>
        <v>0</v>
      </c>
      <c r="BH56" s="59"/>
      <c r="BI56" s="215"/>
      <c r="BJ56" s="214"/>
    </row>
    <row r="57" spans="1:62" x14ac:dyDescent="0.25">
      <c r="B57" s="70">
        <f t="shared" si="6"/>
        <v>53</v>
      </c>
      <c r="C57" s="67">
        <f ca="1">IF(AND(E57&gt;='Invoer gegevens (N)'!$C$17,E57&lt;'Invoer gegevens (N)'!$C$17+'Invoer gegevens (N)'!$I$14),1,0)</f>
        <v>0</v>
      </c>
      <c r="D57" s="68">
        <f t="shared" si="7"/>
        <v>52.5</v>
      </c>
      <c r="E57" s="69">
        <f ca="1">IF('Invoer gegevens (N)'!$C$16="","",E56+1)</f>
        <v>2071</v>
      </c>
      <c r="F57" s="82">
        <f ca="1">IF('Invoer gegevens (N)'!$C$17=E57,'Invoer gegevens (N)'!$C$10,IF(C57=1,H56,0))</f>
        <v>0</v>
      </c>
      <c r="G57" s="83">
        <f ca="1">IF(E57='Invoer gegevens (N)'!$C$17+'Invoer gegevens (N)'!$I$14,H56,IF(C57&gt;=1,F57*'Reeksen (N)'!C57,0))</f>
        <v>0</v>
      </c>
      <c r="H57" s="84">
        <f ca="1">IF(E57&gt;='Invoer gegevens (N)'!$C$17+'Invoer gegevens (N)'!$I$14,0,F57-G57)</f>
        <v>0</v>
      </c>
      <c r="I57" s="85">
        <f ca="1">IF('Invoer gegevens (N)'!$C$17=E57,'Invoer gegevens (N)'!$C$11,IF(C57=1,L56,0))</f>
        <v>0</v>
      </c>
      <c r="J57" s="86">
        <f ca="1">IF(E57='Invoer gegevens (N)'!$C$17+'Invoer gegevens (N)'!$I$14,L56,IF(C57&lt;1,0,IF('Reeksen (N)'!BG57&lt;='Reeksen (N)'!AE57,I57*'Reeksen (N)'!C57,0)))</f>
        <v>0</v>
      </c>
      <c r="K57" s="86">
        <f ca="1">IF(E57='Invoer gegevens (N)'!$C$17+'Invoer gegevens (N)'!$I$14,L56,IF(C57&lt;1,0,IF('Reeksen (N)'!BG57&gt;'Reeksen (N)'!AE57,I57*'Reeksen (N)'!C57,0)))</f>
        <v>0</v>
      </c>
      <c r="L57" s="86">
        <f ca="1">IF(E57&gt;='Invoer gegevens (N)'!$C$17+'Invoer gegevens (N)'!$I$14,0,I57-J57-K57)</f>
        <v>0</v>
      </c>
      <c r="M57" s="85">
        <f ca="1">IF('Invoer gegevens (N)'!$C$17=E57,'Invoer gegevens (N)'!$C$10-'Invoer gegevens (N)'!$C$11,IF(C57=1,P56,0))</f>
        <v>0</v>
      </c>
      <c r="N57" s="86">
        <f ca="1">IF(E57='Invoer gegevens (N)'!$C$17+'Invoer gegevens (N)'!$I$14,P56,IF(C57&lt;1,0,IF('Reeksen (N)'!BG57&lt;='Reeksen (N)'!AE57,M57*'Reeksen (N)'!C57,0)))</f>
        <v>0</v>
      </c>
      <c r="O57" s="86">
        <f ca="1">IF(E57='Invoer gegevens (N)'!$C$17+'Invoer gegevens (N)'!$I$14,P56,IF(C57&lt;1,0,IF('Reeksen (N)'!BG57&gt;'Reeksen (N)'!AE57,M57*'Reeksen (N)'!C57,0)))</f>
        <v>0</v>
      </c>
      <c r="P57" s="86">
        <f ca="1">IF(E57&gt;='Invoer gegevens (N)'!$C$17+'Invoer gegevens (N)'!$I$14,0,M57-N57-O57)</f>
        <v>0</v>
      </c>
      <c r="Q57" s="82">
        <f ca="1">IF('Invoer gegevens (N)'!$C$17=E57,I57,IF(C57=0,0,R56))</f>
        <v>0</v>
      </c>
      <c r="R57" s="84">
        <f t="shared" ca="1" si="0"/>
        <v>0</v>
      </c>
      <c r="S57" s="84">
        <f ca="1">IF('Invoer gegevens (N)'!$C$17=E57,M57,IF(C57=0,0,T56))</f>
        <v>0</v>
      </c>
      <c r="T57" s="84">
        <f t="shared" ca="1" si="1"/>
        <v>0</v>
      </c>
      <c r="AH57" s="66"/>
      <c r="AI57" s="71">
        <f ca="1">IF(C57=1,((F57+H57)/2*'Reeksen (N)'!BF57*12)+(('Invoer gegevens (N)'!$C$10-(F57+H57)/2)*'Reeksen (N)'!BG57*12),0)</f>
        <v>0</v>
      </c>
      <c r="AJ57" s="71">
        <f ca="1">-AI57*'Invoer gegevens (N)'!$I$26</f>
        <v>0</v>
      </c>
      <c r="AK57" s="71">
        <f t="shared" ca="1" si="2"/>
        <v>0</v>
      </c>
      <c r="AL57" s="71">
        <f ca="1">IF(C57=1,(12*((F57+H57)/2)*'Reeksen (N)'!AL57)+(12*('Invoer gegevens (N)'!$C$10-(F57+H57)/2)*'Reeksen (N)'!AM57),0)</f>
        <v>0</v>
      </c>
      <c r="AM57" s="71">
        <f ca="1">-AL57*'Invoer gegevens (N)'!$F$31</f>
        <v>0</v>
      </c>
      <c r="AN57" s="71">
        <f t="shared" ca="1" si="3"/>
        <v>0</v>
      </c>
      <c r="AO57" s="71"/>
      <c r="AP57" s="71"/>
      <c r="AQ57" s="71">
        <f ca="1">-IF(C57=1,('Invoer gegevens (N)'!$C$10*'Invoer gegevens (N)'!$I$33)*'Reeksen (N)'!J57,0)</f>
        <v>0</v>
      </c>
      <c r="AR57" s="71">
        <f ca="1">-IF(C57=1,(G57*'Invoer gegevens (N)'!$I$34)*'Reeksen (N)'!J57,0)</f>
        <v>0</v>
      </c>
      <c r="AS57" s="71">
        <f ca="1">-IF(C57=1,'Invoer gegevens (N)'!$C$10*'Invoer gegevens (N)'!$I$35*'Reeksen (N)'!L57,0)</f>
        <v>0</v>
      </c>
      <c r="AT57" s="71">
        <f ca="1">-IF(C57=1,IF(E57='Invoer gegevens (N)'!$C$17,'Invoer gegevens (N)'!$C$11,Q57)*'Reeksen (N)'!S57*'Invoer gegevens (N)'!$C$18*'Reeksen (N)'!P57,0)</f>
        <v>0</v>
      </c>
      <c r="AU57" s="71">
        <f ca="1">-IF(C57=1,'Invoer gegevens (N)'!$C$10*'Invoer gegevens (N)'!$I$36*'Reeksen (N)'!H57,0)</f>
        <v>0</v>
      </c>
      <c r="AV57" s="71">
        <f t="shared" ca="1" si="4"/>
        <v>0</v>
      </c>
      <c r="AW57" s="72">
        <f ca="1">IFERROR(IF(E57='Invoer gegevens (N)'!$C$17+'Invoer gegevens (N)'!$I$14-1,'Invoer gegevens (N)'!$I$13*'Invoer gegevens (N)'!$C$10*'Reeksen (N)'!H57,0),0)</f>
        <v>0</v>
      </c>
      <c r="AX57" s="72">
        <f ca="1">IFERROR(IF(E57='Invoer gegevens (N)'!$C$17,-'Invoer gegevens (N)'!$C$10*'Invoer gegevens (N)'!$C$31*'Reeksen (N)'!H57,0),0)</f>
        <v>0</v>
      </c>
      <c r="AY57" s="73">
        <f ca="1">IF('Invoer gegevens (N)'!$C$34=E57,'Invoer gegevens (N)'!$C$27*'Invoer gegevens (N)'!$C$10*'Invoer gegevens (N)'!$C$36*(IF('Invoer gegevens (N)'!$C$35="ja",1,'Reeksen (N)'!J57)),IF('Invoer gegevens (N)'!$C$34+1=E57,'Invoer gegevens (N)'!$C$27*'Invoer gegevens (N)'!$C$10*'Invoer gegevens (N)'!$C$37*(IF('Invoer gegevens (N)'!$C$35="ja",1,'Reeksen (N)'!J57)),0))+IF(AND(E57='Invoer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7" s="73">
        <f ca="1">AV57/(1+'Invoer gegevens (N)'!$I$12)^($D57-('Invoer gegevens (N)'!$C$17-'Invoer gegevens (N)'!$C$16))/(1+'Invoer gegevens (N)'!$C$39)^('Invoer gegevens (N)'!$C$17-'Invoer gegevens (N)'!$C$16)</f>
        <v>0</v>
      </c>
      <c r="BA57" s="73">
        <f ca="1">AW57/(1+'Invoer gegevens (N)'!$I$12)^(E57-('Invoer gegevens (N)'!$C$17-1))/(1+'Invoer gegevens (N)'!$C$39)^('Invoer gegevens (N)'!$C$17-'Invoer gegevens (N)'!$C$16)</f>
        <v>0</v>
      </c>
      <c r="BB57" s="73">
        <f ca="1">AX57/(1+'Invoer gegevens (N)'!$C$39)^('Invoer gegevens (N)'!$C$17-'Invoer gegevens (N)'!$C$16)</f>
        <v>0</v>
      </c>
      <c r="BC57" s="72">
        <f t="shared" ca="1" si="5"/>
        <v>0</v>
      </c>
      <c r="BD57" s="72">
        <f ca="1">IF(AND(E57='Invoer gegevens (N)'!$C$16,'Invoer gegevens (N)'!$C$34&lt;'Invoer gegevens (N)'!$C$16),AY57,AY57/(1+'Invoer gegevens (N)'!$C$39)^D57)</f>
        <v>0</v>
      </c>
      <c r="BE57" s="72">
        <f ca="1">IF(E57='Invoer gegevens (N)'!$C$34,-'Invoer gegevens (N)'!$I$38,0)</f>
        <v>0</v>
      </c>
      <c r="BF57" s="72">
        <f ca="1">IF(E57='Invoer gegevens (N)'!$C$17,-'Invoer gegevens (N)'!$C$19*$BC$66,0)</f>
        <v>0</v>
      </c>
      <c r="BG57" s="72">
        <f ca="1">AV57/(1+$BG$4)^($D57-('Invoer gegevens (N)'!$C$17-'Invoer gegevens (N)'!$C$16))/(1+'Invoer gegevens (N)'!$C$39)^('Invoer gegevens (N)'!$C$17-'Invoer gegevens (N)'!$C$16)+AW57/(1+$BG$4)^(E57-('Invoer gegevens (N)'!$C$17-1))/(1+'Invoer gegevens (N)'!$C$39)^('Invoer gegevens (N)'!$C$17-'Invoer gegevens (N)'!$C$16)+AX57/(1+'Invoer gegevens (N)'!$C$39)^('Invoer gegevens (N)'!$C$17-'Invoer gegevens (N)'!$C$16)+(-AY57/(1+'Invoer gegevens (N)'!$C$39)^D57)+BE57+BF57</f>
        <v>0</v>
      </c>
      <c r="BH57" s="59"/>
      <c r="BI57" s="215"/>
      <c r="BJ57" s="214"/>
    </row>
    <row r="58" spans="1:62" x14ac:dyDescent="0.25">
      <c r="B58" s="70">
        <f t="shared" si="6"/>
        <v>54</v>
      </c>
      <c r="C58" s="67">
        <f ca="1">IF(AND(E58&gt;='Invoer gegevens (N)'!$C$17,E58&lt;'Invoer gegevens (N)'!$C$17+'Invoer gegevens (N)'!$I$14),1,0)</f>
        <v>0</v>
      </c>
      <c r="D58" s="68">
        <f t="shared" si="7"/>
        <v>53.5</v>
      </c>
      <c r="E58" s="69">
        <f ca="1">IF('Invoer gegevens (N)'!$C$16="","",E57+1)</f>
        <v>2072</v>
      </c>
      <c r="F58" s="82">
        <f ca="1">IF('Invoer gegevens (N)'!$C$17=E58,'Invoer gegevens (N)'!$C$10,IF(C58=1,H57,0))</f>
        <v>0</v>
      </c>
      <c r="G58" s="83">
        <f ca="1">IF(E58='Invoer gegevens (N)'!$C$17+'Invoer gegevens (N)'!$I$14,H57,IF(C58&gt;=1,F58*'Reeksen (N)'!C58,0))</f>
        <v>0</v>
      </c>
      <c r="H58" s="84">
        <f ca="1">IF(E58&gt;='Invoer gegevens (N)'!$C$17+'Invoer gegevens (N)'!$I$14,0,F58-G58)</f>
        <v>0</v>
      </c>
      <c r="I58" s="85">
        <f ca="1">IF('Invoer gegevens (N)'!$C$17=E58,'Invoer gegevens (N)'!$C$11,IF(C58=1,L57,0))</f>
        <v>0</v>
      </c>
      <c r="J58" s="86">
        <f ca="1">IF(E58='Invoer gegevens (N)'!$C$17+'Invoer gegevens (N)'!$I$14,L57,IF(C58&lt;1,0,IF('Reeksen (N)'!BG58&lt;='Reeksen (N)'!AE58,I58*'Reeksen (N)'!C58,0)))</f>
        <v>0</v>
      </c>
      <c r="K58" s="86">
        <f ca="1">IF(E58='Invoer gegevens (N)'!$C$17+'Invoer gegevens (N)'!$I$14,L57,IF(C58&lt;1,0,IF('Reeksen (N)'!BG58&gt;'Reeksen (N)'!AE58,I58*'Reeksen (N)'!C58,0)))</f>
        <v>0</v>
      </c>
      <c r="L58" s="86">
        <f ca="1">IF(E58&gt;='Invoer gegevens (N)'!$C$17+'Invoer gegevens (N)'!$I$14,0,I58-J58-K58)</f>
        <v>0</v>
      </c>
      <c r="M58" s="85">
        <f ca="1">IF('Invoer gegevens (N)'!$C$17=E58,'Invoer gegevens (N)'!$C$10-'Invoer gegevens (N)'!$C$11,IF(C58=1,P57,0))</f>
        <v>0</v>
      </c>
      <c r="N58" s="86">
        <f ca="1">IF(E58='Invoer gegevens (N)'!$C$17+'Invoer gegevens (N)'!$I$14,P57,IF(C58&lt;1,0,IF('Reeksen (N)'!BG58&lt;='Reeksen (N)'!AE58,M58*'Reeksen (N)'!C58,0)))</f>
        <v>0</v>
      </c>
      <c r="O58" s="86">
        <f ca="1">IF(E58='Invoer gegevens (N)'!$C$17+'Invoer gegevens (N)'!$I$14,P57,IF(C58&lt;1,0,IF('Reeksen (N)'!BG58&gt;'Reeksen (N)'!AE58,M58*'Reeksen (N)'!C58,0)))</f>
        <v>0</v>
      </c>
      <c r="P58" s="86">
        <f ca="1">IF(E58&gt;='Invoer gegevens (N)'!$C$17+'Invoer gegevens (N)'!$I$14,0,M58-N58-O58)</f>
        <v>0</v>
      </c>
      <c r="Q58" s="82">
        <f ca="1">IF('Invoer gegevens (N)'!$C$17=E58,I58,IF(C58=0,0,R57))</f>
        <v>0</v>
      </c>
      <c r="R58" s="84">
        <f t="shared" ca="1" si="0"/>
        <v>0</v>
      </c>
      <c r="S58" s="84">
        <f ca="1">IF('Invoer gegevens (N)'!$C$17=E58,M58,IF(C58=0,0,T57))</f>
        <v>0</v>
      </c>
      <c r="T58" s="84">
        <f t="shared" ca="1" si="1"/>
        <v>0</v>
      </c>
      <c r="AH58" s="66"/>
      <c r="AI58" s="71">
        <f ca="1">IF(C58=1,((F58+H58)/2*'Reeksen (N)'!BF58*12)+(('Invoer gegevens (N)'!$C$10-(F58+H58)/2)*'Reeksen (N)'!BG58*12),0)</f>
        <v>0</v>
      </c>
      <c r="AJ58" s="71">
        <f ca="1">-AI58*'Invoer gegevens (N)'!$I$26</f>
        <v>0</v>
      </c>
      <c r="AK58" s="71">
        <f t="shared" ca="1" si="2"/>
        <v>0</v>
      </c>
      <c r="AL58" s="71">
        <f ca="1">IF(C58=1,(12*((F58+H58)/2)*'Reeksen (N)'!AL58)+(12*('Invoer gegevens (N)'!$C$10-(F58+H58)/2)*'Reeksen (N)'!AM58),0)</f>
        <v>0</v>
      </c>
      <c r="AM58" s="71">
        <f ca="1">-AL58*'Invoer gegevens (N)'!$F$31</f>
        <v>0</v>
      </c>
      <c r="AN58" s="71">
        <f t="shared" ca="1" si="3"/>
        <v>0</v>
      </c>
      <c r="AO58" s="71"/>
      <c r="AP58" s="71"/>
      <c r="AQ58" s="71">
        <f ca="1">-IF(C58=1,('Invoer gegevens (N)'!$C$10*'Invoer gegevens (N)'!$I$33)*'Reeksen (N)'!J58,0)</f>
        <v>0</v>
      </c>
      <c r="AR58" s="71">
        <f ca="1">-IF(C58=1,(G58*'Invoer gegevens (N)'!$I$34)*'Reeksen (N)'!J58,0)</f>
        <v>0</v>
      </c>
      <c r="AS58" s="71">
        <f ca="1">-IF(C58=1,'Invoer gegevens (N)'!$C$10*'Invoer gegevens (N)'!$I$35*'Reeksen (N)'!L58,0)</f>
        <v>0</v>
      </c>
      <c r="AT58" s="71">
        <f ca="1">-IF(C58=1,IF(E58='Invoer gegevens (N)'!$C$17,'Invoer gegevens (N)'!$C$11,Q58)*'Reeksen (N)'!S58*'Invoer gegevens (N)'!$C$18*'Reeksen (N)'!P58,0)</f>
        <v>0</v>
      </c>
      <c r="AU58" s="71">
        <f ca="1">-IF(C58=1,'Invoer gegevens (N)'!$C$10*'Invoer gegevens (N)'!$I$36*'Reeksen (N)'!H58,0)</f>
        <v>0</v>
      </c>
      <c r="AV58" s="71">
        <f t="shared" ca="1" si="4"/>
        <v>0</v>
      </c>
      <c r="AW58" s="72">
        <f ca="1">IFERROR(IF(E58='Invoer gegevens (N)'!$C$17+'Invoer gegevens (N)'!$I$14-1,'Invoer gegevens (N)'!$I$13*'Invoer gegevens (N)'!$C$10*'Reeksen (N)'!H58,0),0)</f>
        <v>0</v>
      </c>
      <c r="AX58" s="72">
        <f ca="1">IFERROR(IF(E58='Invoer gegevens (N)'!$C$17,-'Invoer gegevens (N)'!$C$10*'Invoer gegevens (N)'!$C$31*'Reeksen (N)'!H58,0),0)</f>
        <v>0</v>
      </c>
      <c r="AY58" s="73">
        <f ca="1">IF('Invoer gegevens (N)'!$C$34=E58,'Invoer gegevens (N)'!$C$27*'Invoer gegevens (N)'!$C$10*'Invoer gegevens (N)'!$C$36*(IF('Invoer gegevens (N)'!$C$35="ja",1,'Reeksen (N)'!J58)),IF('Invoer gegevens (N)'!$C$34+1=E58,'Invoer gegevens (N)'!$C$27*'Invoer gegevens (N)'!$C$10*'Invoer gegevens (N)'!$C$37*(IF('Invoer gegevens (N)'!$C$35="ja",1,'Reeksen (N)'!J58)),0))+IF(AND(E58='Invoer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8" s="73">
        <f ca="1">AV58/(1+'Invoer gegevens (N)'!$I$12)^($D58-('Invoer gegevens (N)'!$C$17-'Invoer gegevens (N)'!$C$16))/(1+'Invoer gegevens (N)'!$C$39)^('Invoer gegevens (N)'!$C$17-'Invoer gegevens (N)'!$C$16)</f>
        <v>0</v>
      </c>
      <c r="BA58" s="73">
        <f ca="1">AW58/(1+'Invoer gegevens (N)'!$I$12)^(E58-('Invoer gegevens (N)'!$C$17-1))/(1+'Invoer gegevens (N)'!$C$39)^('Invoer gegevens (N)'!$C$17-'Invoer gegevens (N)'!$C$16)</f>
        <v>0</v>
      </c>
      <c r="BB58" s="73">
        <f ca="1">AX58/(1+'Invoer gegevens (N)'!$C$39)^('Invoer gegevens (N)'!$C$17-'Invoer gegevens (N)'!$C$16)</f>
        <v>0</v>
      </c>
      <c r="BC58" s="72">
        <f t="shared" ca="1" si="5"/>
        <v>0</v>
      </c>
      <c r="BD58" s="72">
        <f ca="1">IF(AND(E58='Invoer gegevens (N)'!$C$16,'Invoer gegevens (N)'!$C$34&lt;'Invoer gegevens (N)'!$C$16),AY58,AY58/(1+'Invoer gegevens (N)'!$C$39)^D58)</f>
        <v>0</v>
      </c>
      <c r="BE58" s="72">
        <f ca="1">IF(E58='Invoer gegevens (N)'!$C$34,-'Invoer gegevens (N)'!$I$38,0)</f>
        <v>0</v>
      </c>
      <c r="BF58" s="72">
        <f ca="1">IF(E58='Invoer gegevens (N)'!$C$17,-'Invoer gegevens (N)'!$C$19*$BC$66,0)</f>
        <v>0</v>
      </c>
      <c r="BG58" s="72">
        <f ca="1">AV58/(1+$BG$4)^($D58-('Invoer gegevens (N)'!$C$17-'Invoer gegevens (N)'!$C$16))/(1+'Invoer gegevens (N)'!$C$39)^('Invoer gegevens (N)'!$C$17-'Invoer gegevens (N)'!$C$16)+AW58/(1+$BG$4)^(E58-('Invoer gegevens (N)'!$C$17-1))/(1+'Invoer gegevens (N)'!$C$39)^('Invoer gegevens (N)'!$C$17-'Invoer gegevens (N)'!$C$16)+AX58/(1+'Invoer gegevens (N)'!$C$39)^('Invoer gegevens (N)'!$C$17-'Invoer gegevens (N)'!$C$16)+(-AY58/(1+'Invoer gegevens (N)'!$C$39)^D58)+BE58+BF58</f>
        <v>0</v>
      </c>
      <c r="BH58" s="59"/>
      <c r="BI58" s="215"/>
      <c r="BJ58" s="214"/>
    </row>
    <row r="59" spans="1:62" x14ac:dyDescent="0.25">
      <c r="B59" s="70">
        <f t="shared" si="6"/>
        <v>55</v>
      </c>
      <c r="C59" s="67">
        <f ca="1">IF(AND(E59&gt;='Invoer gegevens (N)'!$C$17,E59&lt;'Invoer gegevens (N)'!$C$17+'Invoer gegevens (N)'!$I$14),1,0)</f>
        <v>0</v>
      </c>
      <c r="D59" s="68">
        <f t="shared" si="7"/>
        <v>54.5</v>
      </c>
      <c r="E59" s="69">
        <f ca="1">IF('Invoer gegevens (N)'!$C$16="","",E58+1)</f>
        <v>2073</v>
      </c>
      <c r="F59" s="82">
        <f ca="1">IF('Invoer gegevens (N)'!$C$17=E59,'Invoer gegevens (N)'!$C$10,IF(C59=1,H58,0))</f>
        <v>0</v>
      </c>
      <c r="G59" s="83">
        <f ca="1">IF(E59='Invoer gegevens (N)'!$C$17+'Invoer gegevens (N)'!$I$14,H58,IF(C59&gt;=1,F59*'Reeksen (N)'!C59,0))</f>
        <v>0</v>
      </c>
      <c r="H59" s="84">
        <f ca="1">IF(E59&gt;='Invoer gegevens (N)'!$C$17+'Invoer gegevens (N)'!$I$14,0,F59-G59)</f>
        <v>0</v>
      </c>
      <c r="I59" s="85">
        <f ca="1">IF('Invoer gegevens (N)'!$C$17=E59,'Invoer gegevens (N)'!$C$11,IF(C59=1,L58,0))</f>
        <v>0</v>
      </c>
      <c r="J59" s="86">
        <f ca="1">IF(E59='Invoer gegevens (N)'!$C$17+'Invoer gegevens (N)'!$I$14,L58,IF(C59&lt;1,0,IF('Reeksen (N)'!BG59&lt;='Reeksen (N)'!AE59,I59*'Reeksen (N)'!C59,0)))</f>
        <v>0</v>
      </c>
      <c r="K59" s="86">
        <f ca="1">IF(E59='Invoer gegevens (N)'!$C$17+'Invoer gegevens (N)'!$I$14,L58,IF(C59&lt;1,0,IF('Reeksen (N)'!BG59&gt;'Reeksen (N)'!AE59,I59*'Reeksen (N)'!C59,0)))</f>
        <v>0</v>
      </c>
      <c r="L59" s="86">
        <f ca="1">IF(E59&gt;='Invoer gegevens (N)'!$C$17+'Invoer gegevens (N)'!$I$14,0,I59-J59-K59)</f>
        <v>0</v>
      </c>
      <c r="M59" s="85">
        <f ca="1">IF('Invoer gegevens (N)'!$C$17=E59,'Invoer gegevens (N)'!$C$10-'Invoer gegevens (N)'!$C$11,IF(C59=1,P58,0))</f>
        <v>0</v>
      </c>
      <c r="N59" s="86">
        <f ca="1">IF(E59='Invoer gegevens (N)'!$C$17+'Invoer gegevens (N)'!$I$14,P58,IF(C59&lt;1,0,IF('Reeksen (N)'!BG59&lt;='Reeksen (N)'!AE59,M59*'Reeksen (N)'!C59,0)))</f>
        <v>0</v>
      </c>
      <c r="O59" s="86">
        <f ca="1">IF(E59='Invoer gegevens (N)'!$C$17+'Invoer gegevens (N)'!$I$14,P58,IF(C59&lt;1,0,IF('Reeksen (N)'!BG59&gt;'Reeksen (N)'!AE59,M59*'Reeksen (N)'!C59,0)))</f>
        <v>0</v>
      </c>
      <c r="P59" s="86">
        <f ca="1">IF(E59&gt;='Invoer gegevens (N)'!$C$17+'Invoer gegevens (N)'!$I$14,0,M59-N59-O59)</f>
        <v>0</v>
      </c>
      <c r="Q59" s="82">
        <f ca="1">IF('Invoer gegevens (N)'!$C$17=E59,I59,IF(C59=0,0,R58))</f>
        <v>0</v>
      </c>
      <c r="R59" s="84">
        <f t="shared" ca="1" si="0"/>
        <v>0</v>
      </c>
      <c r="S59" s="84">
        <f ca="1">IF('Invoer gegevens (N)'!$C$17=E59,M59,IF(C59=0,0,T58))</f>
        <v>0</v>
      </c>
      <c r="T59" s="84">
        <f t="shared" ca="1" si="1"/>
        <v>0</v>
      </c>
      <c r="AH59" s="66"/>
      <c r="AI59" s="71">
        <f ca="1">IF(C59=1,((F59+H59)/2*'Reeksen (N)'!BF59*12)+(('Invoer gegevens (N)'!$C$10-(F59+H59)/2)*'Reeksen (N)'!BG59*12),0)</f>
        <v>0</v>
      </c>
      <c r="AJ59" s="71">
        <f ca="1">-AI59*'Invoer gegevens (N)'!$I$26</f>
        <v>0</v>
      </c>
      <c r="AK59" s="71">
        <f t="shared" ca="1" si="2"/>
        <v>0</v>
      </c>
      <c r="AL59" s="71">
        <f ca="1">IF(C59=1,(12*((F59+H59)/2)*'Reeksen (N)'!AL59)+(12*('Invoer gegevens (N)'!$C$10-(F59+H59)/2)*'Reeksen (N)'!AM59),0)</f>
        <v>0</v>
      </c>
      <c r="AM59" s="71">
        <f ca="1">-AL59*'Invoer gegevens (N)'!$F$31</f>
        <v>0</v>
      </c>
      <c r="AN59" s="71">
        <f t="shared" ca="1" si="3"/>
        <v>0</v>
      </c>
      <c r="AO59" s="71"/>
      <c r="AP59" s="71"/>
      <c r="AQ59" s="71">
        <f ca="1">-IF(C59=1,('Invoer gegevens (N)'!$C$10*'Invoer gegevens (N)'!$I$33)*'Reeksen (N)'!J59,0)</f>
        <v>0</v>
      </c>
      <c r="AR59" s="71">
        <f ca="1">-IF(C59=1,(G59*'Invoer gegevens (N)'!$I$34)*'Reeksen (N)'!J59,0)</f>
        <v>0</v>
      </c>
      <c r="AS59" s="71">
        <f ca="1">-IF(C59=1,'Invoer gegevens (N)'!$C$10*'Invoer gegevens (N)'!$I$35*'Reeksen (N)'!L59,0)</f>
        <v>0</v>
      </c>
      <c r="AT59" s="71">
        <f ca="1">-IF(C59=1,IF(E59='Invoer gegevens (N)'!$C$17,'Invoer gegevens (N)'!$C$11,Q59)*'Reeksen (N)'!S59*'Invoer gegevens (N)'!$C$18*'Reeksen (N)'!P59,0)</f>
        <v>0</v>
      </c>
      <c r="AU59" s="71">
        <f ca="1">-IF(C59=1,'Invoer gegevens (N)'!$C$10*'Invoer gegevens (N)'!$I$36*'Reeksen (N)'!H59,0)</f>
        <v>0</v>
      </c>
      <c r="AV59" s="71">
        <f t="shared" ca="1" si="4"/>
        <v>0</v>
      </c>
      <c r="AW59" s="72">
        <f ca="1">IFERROR(IF(E59='Invoer gegevens (N)'!$C$17+'Invoer gegevens (N)'!$I$14-1,'Invoer gegevens (N)'!$I$13*'Invoer gegevens (N)'!$C$10*'Reeksen (N)'!H59,0),0)</f>
        <v>0</v>
      </c>
      <c r="AX59" s="72">
        <f ca="1">IFERROR(IF(E59='Invoer gegevens (N)'!$C$17,-'Invoer gegevens (N)'!$C$10*'Invoer gegevens (N)'!$C$31*'Reeksen (N)'!H59,0),0)</f>
        <v>0</v>
      </c>
      <c r="AY59" s="73">
        <f ca="1">IF('Invoer gegevens (N)'!$C$34=E59,'Invoer gegevens (N)'!$C$27*'Invoer gegevens (N)'!$C$10*'Invoer gegevens (N)'!$C$36*(IF('Invoer gegevens (N)'!$C$35="ja",1,'Reeksen (N)'!J59)),IF('Invoer gegevens (N)'!$C$34+1=E59,'Invoer gegevens (N)'!$C$27*'Invoer gegevens (N)'!$C$10*'Invoer gegevens (N)'!$C$37*(IF('Invoer gegevens (N)'!$C$35="ja",1,'Reeksen (N)'!J59)),0))+IF(AND(E59='Invoer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59" s="73">
        <f ca="1">AV59/(1+'Invoer gegevens (N)'!$I$12)^($D59-('Invoer gegevens (N)'!$C$17-'Invoer gegevens (N)'!$C$16))/(1+'Invoer gegevens (N)'!$C$39)^('Invoer gegevens (N)'!$C$17-'Invoer gegevens (N)'!$C$16)</f>
        <v>0</v>
      </c>
      <c r="BA59" s="73">
        <f ca="1">AW59/(1+'Invoer gegevens (N)'!$I$12)^(E59-('Invoer gegevens (N)'!$C$17-1))/(1+'Invoer gegevens (N)'!$C$39)^('Invoer gegevens (N)'!$C$17-'Invoer gegevens (N)'!$C$16)</f>
        <v>0</v>
      </c>
      <c r="BB59" s="73">
        <f ca="1">AX59/(1+'Invoer gegevens (N)'!$C$39)^('Invoer gegevens (N)'!$C$17-'Invoer gegevens (N)'!$C$16)</f>
        <v>0</v>
      </c>
      <c r="BC59" s="72">
        <f t="shared" ca="1" si="5"/>
        <v>0</v>
      </c>
      <c r="BD59" s="72">
        <f ca="1">IF(AND(E59='Invoer gegevens (N)'!$C$16,'Invoer gegevens (N)'!$C$34&lt;'Invoer gegevens (N)'!$C$16),AY59,AY59/(1+'Invoer gegevens (N)'!$C$39)^D59)</f>
        <v>0</v>
      </c>
      <c r="BE59" s="72">
        <f ca="1">IF(E59='Invoer gegevens (N)'!$C$34,-'Invoer gegevens (N)'!$I$38,0)</f>
        <v>0</v>
      </c>
      <c r="BF59" s="72">
        <f ca="1">IF(E59='Invoer gegevens (N)'!$C$17,-'Invoer gegevens (N)'!$C$19*$BC$66,0)</f>
        <v>0</v>
      </c>
      <c r="BG59" s="72">
        <f ca="1">AV59/(1+$BG$4)^($D59-('Invoer gegevens (N)'!$C$17-'Invoer gegevens (N)'!$C$16))/(1+'Invoer gegevens (N)'!$C$39)^('Invoer gegevens (N)'!$C$17-'Invoer gegevens (N)'!$C$16)+AW59/(1+$BG$4)^(E59-('Invoer gegevens (N)'!$C$17-1))/(1+'Invoer gegevens (N)'!$C$39)^('Invoer gegevens (N)'!$C$17-'Invoer gegevens (N)'!$C$16)+AX59/(1+'Invoer gegevens (N)'!$C$39)^('Invoer gegevens (N)'!$C$17-'Invoer gegevens (N)'!$C$16)+(-AY59/(1+'Invoer gegevens (N)'!$C$39)^D59)+BE59+BF59</f>
        <v>0</v>
      </c>
      <c r="BH59" s="59"/>
      <c r="BI59" s="215"/>
      <c r="BJ59" s="214"/>
    </row>
    <row r="60" spans="1:62" ht="15" customHeight="1" x14ac:dyDescent="0.25">
      <c r="B60" s="70">
        <f t="shared" si="6"/>
        <v>56</v>
      </c>
      <c r="C60" s="67">
        <f ca="1">IF(AND(E60&gt;='Invoer gegevens (N)'!$C$17,E60&lt;'Invoer gegevens (N)'!$C$17+'Invoer gegevens (N)'!$I$14),1,0)</f>
        <v>0</v>
      </c>
      <c r="D60" s="68">
        <f t="shared" si="7"/>
        <v>55.5</v>
      </c>
      <c r="E60" s="69">
        <f ca="1">IF('Invoer gegevens (N)'!$C$16="","",E59+1)</f>
        <v>2074</v>
      </c>
      <c r="F60" s="82">
        <f ca="1">IF('Invoer gegevens (N)'!$C$17=E60,'Invoer gegevens (N)'!$C$10,IF(C60=1,H59,0))</f>
        <v>0</v>
      </c>
      <c r="G60" s="83">
        <f ca="1">IF(E60='Invoer gegevens (N)'!$C$17+'Invoer gegevens (N)'!$I$14,H59,IF(C60&gt;=1,F60*'Reeksen (N)'!C60,0))</f>
        <v>0</v>
      </c>
      <c r="H60" s="84">
        <f ca="1">IF(E60&gt;='Invoer gegevens (N)'!$C$17+'Invoer gegevens (N)'!$I$14,0,F60-G60)</f>
        <v>0</v>
      </c>
      <c r="I60" s="85">
        <f ca="1">IF('Invoer gegevens (N)'!$C$17=E60,'Invoer gegevens (N)'!$C$11,IF(C60=1,L59,0))</f>
        <v>0</v>
      </c>
      <c r="J60" s="86">
        <f ca="1">IF(E60='Invoer gegevens (N)'!$C$17+'Invoer gegevens (N)'!$I$14,L59,IF(C60&lt;1,0,IF('Reeksen (N)'!BG60&lt;='Reeksen (N)'!AE60,I60*'Reeksen (N)'!C60,0)))</f>
        <v>0</v>
      </c>
      <c r="K60" s="86">
        <f ca="1">IF(E60='Invoer gegevens (N)'!$C$17+'Invoer gegevens (N)'!$I$14,L59,IF(C60&lt;1,0,IF('Reeksen (N)'!BG60&gt;'Reeksen (N)'!AE60,I60*'Reeksen (N)'!C60,0)))</f>
        <v>0</v>
      </c>
      <c r="L60" s="86">
        <f ca="1">IF(E60&gt;='Invoer gegevens (N)'!$C$17+'Invoer gegevens (N)'!$I$14,0,I60-J60-K60)</f>
        <v>0</v>
      </c>
      <c r="M60" s="85">
        <f ca="1">IF('Invoer gegevens (N)'!$C$17=E60,'Invoer gegevens (N)'!$C$10-'Invoer gegevens (N)'!$C$11,IF(C60=1,P59,0))</f>
        <v>0</v>
      </c>
      <c r="N60" s="86">
        <f ca="1">IF(E60='Invoer gegevens (N)'!$C$17+'Invoer gegevens (N)'!$I$14,P59,IF(C60&lt;1,0,IF('Reeksen (N)'!BG60&lt;='Reeksen (N)'!AE60,M60*'Reeksen (N)'!C60,0)))</f>
        <v>0</v>
      </c>
      <c r="O60" s="86">
        <f ca="1">IF(E60='Invoer gegevens (N)'!$C$17+'Invoer gegevens (N)'!$I$14,P59,IF(C60&lt;1,0,IF('Reeksen (N)'!BG60&gt;'Reeksen (N)'!AE60,M60*'Reeksen (N)'!C60,0)))</f>
        <v>0</v>
      </c>
      <c r="P60" s="86">
        <f ca="1">IF(E60&gt;='Invoer gegevens (N)'!$C$17+'Invoer gegevens (N)'!$I$14,0,M60-N60-O60)</f>
        <v>0</v>
      </c>
      <c r="Q60" s="82">
        <f ca="1">IF('Invoer gegevens (N)'!$C$17=E60,I60,IF(C60=0,0,R59))</f>
        <v>0</v>
      </c>
      <c r="R60" s="84">
        <f t="shared" ca="1" si="0"/>
        <v>0</v>
      </c>
      <c r="S60" s="84">
        <f ca="1">IF('Invoer gegevens (N)'!$C$17=E60,M60,IF(C60=0,0,T59))</f>
        <v>0</v>
      </c>
      <c r="T60" s="84">
        <f t="shared" ca="1" si="1"/>
        <v>0</v>
      </c>
      <c r="AH60" s="66"/>
      <c r="AI60" s="71">
        <f ca="1">IF(C60=1,((F60+H60)/2*'Reeksen (N)'!BF60*12)+(('Invoer gegevens (N)'!$C$10-(F60+H60)/2)*'Reeksen (N)'!BG60*12),0)</f>
        <v>0</v>
      </c>
      <c r="AJ60" s="71">
        <f ca="1">-AI60*'Invoer gegevens (N)'!$I$26</f>
        <v>0</v>
      </c>
      <c r="AK60" s="71">
        <f t="shared" ca="1" si="2"/>
        <v>0</v>
      </c>
      <c r="AL60" s="71">
        <f ca="1">IF(C60=1,(12*((F60+H60)/2)*'Reeksen (N)'!AL60)+(12*('Invoer gegevens (N)'!$C$10-(F60+H60)/2)*'Reeksen (N)'!AM60),0)</f>
        <v>0</v>
      </c>
      <c r="AM60" s="71">
        <f ca="1">-AL60*'Invoer gegevens (N)'!$F$31</f>
        <v>0</v>
      </c>
      <c r="AN60" s="71">
        <f t="shared" ca="1" si="3"/>
        <v>0</v>
      </c>
      <c r="AO60" s="71"/>
      <c r="AP60" s="71"/>
      <c r="AQ60" s="71">
        <f ca="1">-IF(C60=1,('Invoer gegevens (N)'!$C$10*'Invoer gegevens (N)'!$I$33)*'Reeksen (N)'!J60,0)</f>
        <v>0</v>
      </c>
      <c r="AR60" s="71">
        <f ca="1">-IF(C60=1,(G60*'Invoer gegevens (N)'!$I$34)*'Reeksen (N)'!J60,0)</f>
        <v>0</v>
      </c>
      <c r="AS60" s="71">
        <f ca="1">-IF(C60=1,'Invoer gegevens (N)'!$C$10*'Invoer gegevens (N)'!$I$35*'Reeksen (N)'!L60,0)</f>
        <v>0</v>
      </c>
      <c r="AT60" s="71">
        <f ca="1">-IF(C60=1,IF(E60='Invoer gegevens (N)'!$C$17,'Invoer gegevens (N)'!$C$11,Q60)*'Reeksen (N)'!S60*'Invoer gegevens (N)'!$C$18*'Reeksen (N)'!P60,0)</f>
        <v>0</v>
      </c>
      <c r="AU60" s="71">
        <f ca="1">-IF(C60=1,'Invoer gegevens (N)'!$C$10*'Invoer gegevens (N)'!$I$36*'Reeksen (N)'!H60,0)</f>
        <v>0</v>
      </c>
      <c r="AV60" s="71">
        <f t="shared" ca="1" si="4"/>
        <v>0</v>
      </c>
      <c r="AW60" s="72">
        <f ca="1">IFERROR(IF(E60='Invoer gegevens (N)'!$C$17+'Invoer gegevens (N)'!$I$14-1,'Invoer gegevens (N)'!$I$13*'Invoer gegevens (N)'!$C$10*'Reeksen (N)'!H60,0),0)</f>
        <v>0</v>
      </c>
      <c r="AX60" s="72">
        <f ca="1">IFERROR(IF(E60='Invoer gegevens (N)'!$C$17,-'Invoer gegevens (N)'!$C$10*'Invoer gegevens (N)'!$C$31*'Reeksen (N)'!H60,0),0)</f>
        <v>0</v>
      </c>
      <c r="AY60" s="73">
        <f ca="1">IF('Invoer gegevens (N)'!$C$34=E60,'Invoer gegevens (N)'!$C$27*'Invoer gegevens (N)'!$C$10*'Invoer gegevens (N)'!$C$36*(IF('Invoer gegevens (N)'!$C$35="ja",1,'Reeksen (N)'!J60)),IF('Invoer gegevens (N)'!$C$34+1=E60,'Invoer gegevens (N)'!$C$27*'Invoer gegevens (N)'!$C$10*'Invoer gegevens (N)'!$C$37*(IF('Invoer gegevens (N)'!$C$35="ja",1,'Reeksen (N)'!J60)),0))+IF(AND(E60='Invoer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60" s="73">
        <f ca="1">AV60/(1+'Invoer gegevens (N)'!$I$12)^($D60-('Invoer gegevens (N)'!$C$17-'Invoer gegevens (N)'!$C$16))/(1+'Invoer gegevens (N)'!$C$39)^('Invoer gegevens (N)'!$C$17-'Invoer gegevens (N)'!$C$16)</f>
        <v>0</v>
      </c>
      <c r="BA60" s="73">
        <f ca="1">AW60/(1+'Invoer gegevens (N)'!$I$12)^(E60-('Invoer gegevens (N)'!$C$17-1))/(1+'Invoer gegevens (N)'!$C$39)^('Invoer gegevens (N)'!$C$17-'Invoer gegevens (N)'!$C$16)</f>
        <v>0</v>
      </c>
      <c r="BB60" s="73">
        <f ca="1">AX60/(1+'Invoer gegevens (N)'!$C$39)^('Invoer gegevens (N)'!$C$17-'Invoer gegevens (N)'!$C$16)</f>
        <v>0</v>
      </c>
      <c r="BC60" s="72">
        <f t="shared" ca="1" si="5"/>
        <v>0</v>
      </c>
      <c r="BD60" s="72">
        <f ca="1">IF(AND(E60='Invoer gegevens (N)'!$C$16,'Invoer gegevens (N)'!$C$34&lt;'Invoer gegevens (N)'!$C$16),AY60,AY60/(1+'Invoer gegevens (N)'!$C$39)^D60)</f>
        <v>0</v>
      </c>
      <c r="BE60" s="72">
        <f ca="1">IF(E60='Invoer gegevens (N)'!$C$34,-'Invoer gegevens (N)'!$I$38,0)</f>
        <v>0</v>
      </c>
      <c r="BF60" s="72">
        <f ca="1">IF(E60='Invoer gegevens (N)'!$C$17,-'Invoer gegevens (N)'!$C$19*$BC$66,0)</f>
        <v>0</v>
      </c>
      <c r="BG60" s="72">
        <f ca="1">AV60/(1+$BG$4)^($D60-('Invoer gegevens (N)'!$C$17-'Invoer gegevens (N)'!$C$16))/(1+'Invoer gegevens (N)'!$C$39)^('Invoer gegevens (N)'!$C$17-'Invoer gegevens (N)'!$C$16)+AW60/(1+$BG$4)^(E60-('Invoer gegevens (N)'!$C$17-1))/(1+'Invoer gegevens (N)'!$C$39)^('Invoer gegevens (N)'!$C$17-'Invoer gegevens (N)'!$C$16)+AX60/(1+'Invoer gegevens (N)'!$C$39)^('Invoer gegevens (N)'!$C$17-'Invoer gegevens (N)'!$C$16)+(-AY60/(1+'Invoer gegevens (N)'!$C$39)^D60)+BE60+BF60</f>
        <v>0</v>
      </c>
      <c r="BH60" s="215"/>
      <c r="BI60" s="215"/>
      <c r="BJ60" s="214"/>
    </row>
    <row r="61" spans="1:62" ht="15" customHeight="1" x14ac:dyDescent="0.25">
      <c r="B61" s="70">
        <f t="shared" si="6"/>
        <v>57</v>
      </c>
      <c r="C61" s="67">
        <f ca="1">IF(AND(E61&gt;='Invoer gegevens (N)'!$C$17,E61&lt;'Invoer gegevens (N)'!$C$17+'Invoer gegevens (N)'!$I$14),1,0)</f>
        <v>0</v>
      </c>
      <c r="D61" s="68">
        <f t="shared" si="7"/>
        <v>56.5</v>
      </c>
      <c r="E61" s="69">
        <f ca="1">IF('Invoer gegevens (N)'!$C$16="","",E60+1)</f>
        <v>2075</v>
      </c>
      <c r="F61" s="82">
        <f ca="1">IF('Invoer gegevens (N)'!$C$17=E61,'Invoer gegevens (N)'!$C$10,IF(C61=1,H60,0))</f>
        <v>0</v>
      </c>
      <c r="G61" s="83">
        <f ca="1">IF(E61='Invoer gegevens (N)'!$C$17+'Invoer gegevens (N)'!$I$14,H60,IF(C61&gt;=1,F61*'Reeksen (N)'!C61,0))</f>
        <v>0</v>
      </c>
      <c r="H61" s="84">
        <f ca="1">IF(E61&gt;='Invoer gegevens (N)'!$C$17+'Invoer gegevens (N)'!$I$14,0,F61-G61)</f>
        <v>0</v>
      </c>
      <c r="I61" s="85">
        <f ca="1">IF('Invoer gegevens (N)'!$C$17=E61,'Invoer gegevens (N)'!$C$11,IF(C61=1,L60,0))</f>
        <v>0</v>
      </c>
      <c r="J61" s="86">
        <f ca="1">IF(E61='Invoer gegevens (N)'!$C$17+'Invoer gegevens (N)'!$I$14,L60,IF(C61&lt;1,0,IF('Reeksen (N)'!BG61&lt;='Reeksen (N)'!AE61,I61*'Reeksen (N)'!C61,0)))</f>
        <v>0</v>
      </c>
      <c r="K61" s="86">
        <f ca="1">IF(E61='Invoer gegevens (N)'!$C$17+'Invoer gegevens (N)'!$I$14,L60,IF(C61&lt;1,0,IF('Reeksen (N)'!BG61&gt;'Reeksen (N)'!AE61,I61*'Reeksen (N)'!C61,0)))</f>
        <v>0</v>
      </c>
      <c r="L61" s="86">
        <f ca="1">IF(E61&gt;='Invoer gegevens (N)'!$C$17+'Invoer gegevens (N)'!$I$14,0,I61-J61-K61)</f>
        <v>0</v>
      </c>
      <c r="M61" s="85">
        <f ca="1">IF('Invoer gegevens (N)'!$C$17=E61,'Invoer gegevens (N)'!$C$10-'Invoer gegevens (N)'!$C$11,IF(C61=1,P60,0))</f>
        <v>0</v>
      </c>
      <c r="N61" s="86">
        <f ca="1">IF(E61='Invoer gegevens (N)'!$C$17+'Invoer gegevens (N)'!$I$14,P60,IF(C61&lt;1,0,IF('Reeksen (N)'!BG61&lt;='Reeksen (N)'!AE61,M61*'Reeksen (N)'!C61,0)))</f>
        <v>0</v>
      </c>
      <c r="O61" s="86">
        <f ca="1">IF(E61='Invoer gegevens (N)'!$C$17+'Invoer gegevens (N)'!$I$14,P60,IF(C61&lt;1,0,IF('Reeksen (N)'!BG61&gt;'Reeksen (N)'!AE61,M61*'Reeksen (N)'!C61,0)))</f>
        <v>0</v>
      </c>
      <c r="P61" s="86">
        <f ca="1">IF(E61&gt;='Invoer gegevens (N)'!$C$17+'Invoer gegevens (N)'!$I$14,0,M61-N61-O61)</f>
        <v>0</v>
      </c>
      <c r="Q61" s="82">
        <f ca="1">IF('Invoer gegevens (N)'!$C$17=E61,I61,IF(C61=0,0,R60))</f>
        <v>0</v>
      </c>
      <c r="R61" s="84">
        <f t="shared" ca="1" si="0"/>
        <v>0</v>
      </c>
      <c r="S61" s="84">
        <f ca="1">IF('Invoer gegevens (N)'!$C$17=E61,M61,IF(C61=0,0,T60))</f>
        <v>0</v>
      </c>
      <c r="T61" s="84">
        <f t="shared" ca="1" si="1"/>
        <v>0</v>
      </c>
      <c r="AH61" s="66"/>
      <c r="AI61" s="71">
        <f ca="1">IF(C61=1,((F61+H61)/2*'Reeksen (N)'!BF61*12)+(('Invoer gegevens (N)'!$C$10-(F61+H61)/2)*'Reeksen (N)'!BG61*12),0)</f>
        <v>0</v>
      </c>
      <c r="AJ61" s="71">
        <f ca="1">-AI61*'Invoer gegevens (N)'!$I$26</f>
        <v>0</v>
      </c>
      <c r="AK61" s="71">
        <f t="shared" ca="1" si="2"/>
        <v>0</v>
      </c>
      <c r="AL61" s="71">
        <f ca="1">IF(C61=1,(12*((F61+H61)/2)*'Reeksen (N)'!AL61)+(12*('Invoer gegevens (N)'!$C$10-(F61+H61)/2)*'Reeksen (N)'!AM61),0)</f>
        <v>0</v>
      </c>
      <c r="AM61" s="71">
        <f ca="1">-AL61*'Invoer gegevens (N)'!$F$31</f>
        <v>0</v>
      </c>
      <c r="AN61" s="71">
        <f t="shared" ca="1" si="3"/>
        <v>0</v>
      </c>
      <c r="AO61" s="71"/>
      <c r="AP61" s="71"/>
      <c r="AQ61" s="71">
        <f ca="1">-IF(C61=1,('Invoer gegevens (N)'!$C$10*'Invoer gegevens (N)'!$I$33)*'Reeksen (N)'!J61,0)</f>
        <v>0</v>
      </c>
      <c r="AR61" s="71">
        <f ca="1">-IF(C61=1,(G61*'Invoer gegevens (N)'!$I$34)*'Reeksen (N)'!J61,0)</f>
        <v>0</v>
      </c>
      <c r="AS61" s="71">
        <f ca="1">-IF(C61=1,'Invoer gegevens (N)'!$C$10*'Invoer gegevens (N)'!$I$35*'Reeksen (N)'!L61,0)</f>
        <v>0</v>
      </c>
      <c r="AT61" s="71">
        <f ca="1">-IF(C61=1,IF(E61='Invoer gegevens (N)'!$C$17,'Invoer gegevens (N)'!$C$11,Q61)*'Reeksen (N)'!S61*'Invoer gegevens (N)'!$C$18*'Reeksen (N)'!P61,0)</f>
        <v>0</v>
      </c>
      <c r="AU61" s="71">
        <f ca="1">-IF(C61=1,'Invoer gegevens (N)'!$C$10*'Invoer gegevens (N)'!$I$36*'Reeksen (N)'!H61,0)</f>
        <v>0</v>
      </c>
      <c r="AV61" s="71">
        <f t="shared" ca="1" si="4"/>
        <v>0</v>
      </c>
      <c r="AW61" s="72">
        <f ca="1">IFERROR(IF(E61='Invoer gegevens (N)'!$C$17+'Invoer gegevens (N)'!$I$14-1,'Invoer gegevens (N)'!$I$13*'Invoer gegevens (N)'!$C$10*'Reeksen (N)'!H61,0),0)</f>
        <v>0</v>
      </c>
      <c r="AX61" s="72">
        <f ca="1">IFERROR(IF(E61='Invoer gegevens (N)'!$C$17,-'Invoer gegevens (N)'!$C$10*'Invoer gegevens (N)'!$C$31*'Reeksen (N)'!H61,0),0)</f>
        <v>0</v>
      </c>
      <c r="AY61" s="73">
        <f ca="1">IF('Invoer gegevens (N)'!$C$34=E61,'Invoer gegevens (N)'!$C$27*'Invoer gegevens (N)'!$C$10*'Invoer gegevens (N)'!$C$36*(IF('Invoer gegevens (N)'!$C$35="ja",1,'Reeksen (N)'!J61)),IF('Invoer gegevens (N)'!$C$34+1=E61,'Invoer gegevens (N)'!$C$27*'Invoer gegevens (N)'!$C$10*'Invoer gegevens (N)'!$C$37*(IF('Invoer gegevens (N)'!$C$35="ja",1,'Reeksen (N)'!J61)),0))+IF(AND(E61='Invoer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61" s="73">
        <f ca="1">AV61/(1+'Invoer gegevens (N)'!$I$12)^($D61-('Invoer gegevens (N)'!$C$17-'Invoer gegevens (N)'!$C$16))/(1+'Invoer gegevens (N)'!$C$39)^('Invoer gegevens (N)'!$C$17-'Invoer gegevens (N)'!$C$16)</f>
        <v>0</v>
      </c>
      <c r="BA61" s="73">
        <f ca="1">AW61/(1+'Invoer gegevens (N)'!$I$12)^(E61-('Invoer gegevens (N)'!$C$17-1))/(1+'Invoer gegevens (N)'!$C$39)^('Invoer gegevens (N)'!$C$17-'Invoer gegevens (N)'!$C$16)</f>
        <v>0</v>
      </c>
      <c r="BB61" s="73">
        <f ca="1">AX61/(1+'Invoer gegevens (N)'!$C$39)^('Invoer gegevens (N)'!$C$17-'Invoer gegevens (N)'!$C$16)</f>
        <v>0</v>
      </c>
      <c r="BC61" s="72">
        <f t="shared" ca="1" si="5"/>
        <v>0</v>
      </c>
      <c r="BD61" s="72">
        <f ca="1">IF(AND(E61='Invoer gegevens (N)'!$C$16,'Invoer gegevens (N)'!$C$34&lt;'Invoer gegevens (N)'!$C$16),AY61,AY61/(1+'Invoer gegevens (N)'!$C$39)^D61)</f>
        <v>0</v>
      </c>
      <c r="BE61" s="72">
        <f ca="1">IF(E61='Invoer gegevens (N)'!$C$34,-'Invoer gegevens (N)'!$I$38,0)</f>
        <v>0</v>
      </c>
      <c r="BF61" s="72">
        <f ca="1">IF(E61='Invoer gegevens (N)'!$C$17,-'Invoer gegevens (N)'!$C$19*$BC$66,0)</f>
        <v>0</v>
      </c>
      <c r="BG61" s="72">
        <f ca="1">AV61/(1+$BG$4)^($D61-('Invoer gegevens (N)'!$C$17-'Invoer gegevens (N)'!$C$16))/(1+'Invoer gegevens (N)'!$C$39)^('Invoer gegevens (N)'!$C$17-'Invoer gegevens (N)'!$C$16)+AW61/(1+$BG$4)^(E61-('Invoer gegevens (N)'!$C$17-1))/(1+'Invoer gegevens (N)'!$C$39)^('Invoer gegevens (N)'!$C$17-'Invoer gegevens (N)'!$C$16)+AX61/(1+'Invoer gegevens (N)'!$C$39)^('Invoer gegevens (N)'!$C$17-'Invoer gegevens (N)'!$C$16)+(-AY61/(1+'Invoer gegevens (N)'!$C$39)^D61)+BE61+BF61</f>
        <v>0</v>
      </c>
      <c r="BH61" s="59"/>
      <c r="BI61" s="215"/>
      <c r="BJ61" s="214"/>
    </row>
    <row r="62" spans="1:62" x14ac:dyDescent="0.25">
      <c r="A62" s="59"/>
      <c r="B62" s="70">
        <f t="shared" si="6"/>
        <v>58</v>
      </c>
      <c r="C62" s="67">
        <f ca="1">IF(AND(E62&gt;='Invoer gegevens (N)'!$C$17,E62&lt;'Invoer gegevens (N)'!$C$17+'Invoer gegevens (N)'!$I$14),1,0)</f>
        <v>0</v>
      </c>
      <c r="D62" s="68">
        <f t="shared" si="7"/>
        <v>57.5</v>
      </c>
      <c r="E62" s="69">
        <f ca="1">IF('Invoer gegevens (N)'!$C$16="","",E61+1)</f>
        <v>2076</v>
      </c>
      <c r="F62" s="82">
        <f ca="1">IF('Invoer gegevens (N)'!$C$17=E62,'Invoer gegevens (N)'!$C$10,IF(C62=1,H61,0))</f>
        <v>0</v>
      </c>
      <c r="G62" s="83">
        <f ca="1">IF(E62='Invoer gegevens (N)'!$C$17+'Invoer gegevens (N)'!$I$14,H61,IF(C62&gt;=1,F62*'Reeksen (N)'!C62,0))</f>
        <v>0</v>
      </c>
      <c r="H62" s="84">
        <f ca="1">IF(E62&gt;='Invoer gegevens (N)'!$C$17+'Invoer gegevens (N)'!$I$14,0,F62-G62)</f>
        <v>0</v>
      </c>
      <c r="I62" s="85">
        <f ca="1">IF('Invoer gegevens (N)'!$C$17=E62,'Invoer gegevens (N)'!$C$11,IF(C62=1,L61,0))</f>
        <v>0</v>
      </c>
      <c r="J62" s="86">
        <f ca="1">IF(E62='Invoer gegevens (N)'!$C$17+'Invoer gegevens (N)'!$I$14,L61,IF(C62&lt;1,0,IF('Reeksen (N)'!BG62&lt;='Reeksen (N)'!AE62,I62*'Reeksen (N)'!C62,0)))</f>
        <v>0</v>
      </c>
      <c r="K62" s="86">
        <f ca="1">IF(E62='Invoer gegevens (N)'!$C$17+'Invoer gegevens (N)'!$I$14,L61,IF(C62&lt;1,0,IF('Reeksen (N)'!BG62&gt;'Reeksen (N)'!AE62,I62*'Reeksen (N)'!C62,0)))</f>
        <v>0</v>
      </c>
      <c r="L62" s="86">
        <f ca="1">IF(E62&gt;='Invoer gegevens (N)'!$C$17+'Invoer gegevens (N)'!$I$14,0,I62-J62-K62)</f>
        <v>0</v>
      </c>
      <c r="M62" s="85">
        <f ca="1">IF('Invoer gegevens (N)'!$C$17=E62,'Invoer gegevens (N)'!$C$10-'Invoer gegevens (N)'!$C$11,IF(C62=1,P61,0))</f>
        <v>0</v>
      </c>
      <c r="N62" s="86">
        <f ca="1">IF(E62='Invoer gegevens (N)'!$C$17+'Invoer gegevens (N)'!$I$14,P61,IF(C62&lt;1,0,IF('Reeksen (N)'!BG62&lt;='Reeksen (N)'!AE62,M62*'Reeksen (N)'!C62,0)))</f>
        <v>0</v>
      </c>
      <c r="O62" s="86">
        <f ca="1">IF(E62='Invoer gegevens (N)'!$C$17+'Invoer gegevens (N)'!$I$14,P61,IF(C62&lt;1,0,IF('Reeksen (N)'!BG62&gt;'Reeksen (N)'!AE62,M62*'Reeksen (N)'!C62,0)))</f>
        <v>0</v>
      </c>
      <c r="P62" s="86">
        <f ca="1">IF(E62&gt;='Invoer gegevens (N)'!$C$17+'Invoer gegevens (N)'!$I$14,0,M62-N62-O62)</f>
        <v>0</v>
      </c>
      <c r="Q62" s="82">
        <f ca="1">IF('Invoer gegevens (N)'!$C$17=E62,I62,IF(C62=0,0,R61))</f>
        <v>0</v>
      </c>
      <c r="R62" s="84">
        <f t="shared" ca="1" si="0"/>
        <v>0</v>
      </c>
      <c r="S62" s="84">
        <f ca="1">IF('Invoer gegevens (N)'!$C$17=E62,M62,IF(C62=0,0,T61))</f>
        <v>0</v>
      </c>
      <c r="T62" s="84">
        <f t="shared" ca="1" si="1"/>
        <v>0</v>
      </c>
      <c r="U62" s="70"/>
      <c r="V62" s="70"/>
      <c r="W62" s="70"/>
      <c r="X62" s="70"/>
      <c r="Y62" s="70"/>
      <c r="Z62" s="70"/>
      <c r="AA62" s="70"/>
      <c r="AB62" s="68"/>
      <c r="AC62" s="70"/>
      <c r="AD62" s="70"/>
      <c r="AE62" s="70"/>
      <c r="AF62" s="70"/>
      <c r="AG62" s="70"/>
      <c r="AH62" s="66"/>
      <c r="AI62" s="71">
        <f ca="1">IF(C62=1,((F62+H62)/2*'Reeksen (N)'!BF62*12)+(('Invoer gegevens (N)'!$C$10-(F62+H62)/2)*'Reeksen (N)'!BG62*12),0)</f>
        <v>0</v>
      </c>
      <c r="AJ62" s="71">
        <f ca="1">-AI62*'Invoer gegevens (N)'!$I$26</f>
        <v>0</v>
      </c>
      <c r="AK62" s="71">
        <f t="shared" ca="1" si="2"/>
        <v>0</v>
      </c>
      <c r="AL62" s="71">
        <f ca="1">IF(C62=1,(12*((F62+H62)/2)*'Reeksen (N)'!AL62)+(12*('Invoer gegevens (N)'!$C$10-(F62+H62)/2)*'Reeksen (N)'!AM62),0)</f>
        <v>0</v>
      </c>
      <c r="AM62" s="71">
        <f ca="1">-AL62*'Invoer gegevens (N)'!$F$31</f>
        <v>0</v>
      </c>
      <c r="AN62" s="71">
        <f t="shared" ca="1" si="3"/>
        <v>0</v>
      </c>
      <c r="AO62" s="71"/>
      <c r="AP62" s="71"/>
      <c r="AQ62" s="71">
        <f ca="1">-IF(C62=1,('Invoer gegevens (N)'!$C$10*'Invoer gegevens (N)'!$I$33)*'Reeksen (N)'!J62,0)</f>
        <v>0</v>
      </c>
      <c r="AR62" s="71">
        <f ca="1">-IF(C62=1,(G62*'Invoer gegevens (N)'!$I$34)*'Reeksen (N)'!J62,0)</f>
        <v>0</v>
      </c>
      <c r="AS62" s="71">
        <f ca="1">-IF(C62=1,'Invoer gegevens (N)'!$C$10*'Invoer gegevens (N)'!$I$35*'Reeksen (N)'!L62,0)</f>
        <v>0</v>
      </c>
      <c r="AT62" s="71">
        <f ca="1">-IF(C62=1,IF(E62='Invoer gegevens (N)'!$C$17,'Invoer gegevens (N)'!$C$11,Q62)*'Reeksen (N)'!S62*'Invoer gegevens (N)'!$C$18*'Reeksen (N)'!P62,0)</f>
        <v>0</v>
      </c>
      <c r="AU62" s="71">
        <f ca="1">-IF(C62=1,'Invoer gegevens (N)'!$C$10*'Invoer gegevens (N)'!$I$36*'Reeksen (N)'!H62,0)</f>
        <v>0</v>
      </c>
      <c r="AV62" s="71">
        <f t="shared" ca="1" si="4"/>
        <v>0</v>
      </c>
      <c r="AW62" s="72">
        <f ca="1">IFERROR(IF(E62='Invoer gegevens (N)'!$C$17+'Invoer gegevens (N)'!$I$14-1,'Invoer gegevens (N)'!$I$13*'Invoer gegevens (N)'!$C$10*'Reeksen (N)'!H62,0),0)</f>
        <v>0</v>
      </c>
      <c r="AX62" s="72">
        <f ca="1">IFERROR(IF(E62='Invoer gegevens (N)'!$C$17,-'Invoer gegevens (N)'!$C$10*'Invoer gegevens (N)'!$C$31*'Reeksen (N)'!H62,0),0)</f>
        <v>0</v>
      </c>
      <c r="AY62" s="73">
        <f ca="1">IF('Invoer gegevens (N)'!$C$34=E62,'Invoer gegevens (N)'!$C$27*'Invoer gegevens (N)'!$C$10*'Invoer gegevens (N)'!$C$36*(IF('Invoer gegevens (N)'!$C$35="ja",1,'Reeksen (N)'!J62)),IF('Invoer gegevens (N)'!$C$34+1=E62,'Invoer gegevens (N)'!$C$27*'Invoer gegevens (N)'!$C$10*'Invoer gegevens (N)'!$C$37*(IF('Invoer gegevens (N)'!$C$35="ja",1,'Reeksen (N)'!J62)),0))+IF(AND(E62='Invoer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62" s="73">
        <f ca="1">AV62/(1+'Invoer gegevens (N)'!$I$12)^($D62-('Invoer gegevens (N)'!$C$17-'Invoer gegevens (N)'!$C$16))/(1+'Invoer gegevens (N)'!$C$39)^('Invoer gegevens (N)'!$C$17-'Invoer gegevens (N)'!$C$16)</f>
        <v>0</v>
      </c>
      <c r="BA62" s="73">
        <f ca="1">AW62/(1+'Invoer gegevens (N)'!$I$12)^(E62-('Invoer gegevens (N)'!$C$17-1))/(1+'Invoer gegevens (N)'!$C$39)^('Invoer gegevens (N)'!$C$17-'Invoer gegevens (N)'!$C$16)</f>
        <v>0</v>
      </c>
      <c r="BB62" s="73">
        <f ca="1">AX62/(1+'Invoer gegevens (N)'!$C$39)^('Invoer gegevens (N)'!$C$17-'Invoer gegevens (N)'!$C$16)</f>
        <v>0</v>
      </c>
      <c r="BC62" s="72">
        <f t="shared" ca="1" si="5"/>
        <v>0</v>
      </c>
      <c r="BD62" s="72">
        <f ca="1">IF(AND(E62='Invoer gegevens (N)'!$C$16,'Invoer gegevens (N)'!$C$34&lt;'Invoer gegevens (N)'!$C$16),AY62,AY62/(1+'Invoer gegevens (N)'!$C$39)^D62)</f>
        <v>0</v>
      </c>
      <c r="BE62" s="72">
        <f ca="1">IF(E62='Invoer gegevens (N)'!$C$34,-'Invoer gegevens (N)'!$I$38,0)</f>
        <v>0</v>
      </c>
      <c r="BF62" s="72">
        <f ca="1">IF(E62='Invoer gegevens (N)'!$C$17,-'Invoer gegevens (N)'!$C$19*$BC$66,0)</f>
        <v>0</v>
      </c>
      <c r="BG62" s="72">
        <f ca="1">AV62/(1+$BG$4)^($D62-('Invoer gegevens (N)'!$C$17-'Invoer gegevens (N)'!$C$16))/(1+'Invoer gegevens (N)'!$C$39)^('Invoer gegevens (N)'!$C$17-'Invoer gegevens (N)'!$C$16)+AW62/(1+$BG$4)^(E62-('Invoer gegevens (N)'!$C$17-1))/(1+'Invoer gegevens (N)'!$C$39)^('Invoer gegevens (N)'!$C$17-'Invoer gegevens (N)'!$C$16)+AX62/(1+'Invoer gegevens (N)'!$C$39)^('Invoer gegevens (N)'!$C$17-'Invoer gegevens (N)'!$C$16)+(-AY62/(1+'Invoer gegevens (N)'!$C$39)^D62)+BE62+BF62</f>
        <v>0</v>
      </c>
      <c r="BH62" s="59"/>
      <c r="BJ62" s="214"/>
    </row>
    <row r="63" spans="1:62" x14ac:dyDescent="0.25">
      <c r="A63" s="59"/>
      <c r="B63" s="70">
        <f t="shared" si="6"/>
        <v>59</v>
      </c>
      <c r="C63" s="67">
        <f ca="1">IF(AND(E63&gt;='Invoer gegevens (N)'!$C$17,E63&lt;'Invoer gegevens (N)'!$C$17+'Invoer gegevens (N)'!$I$14),1,0)</f>
        <v>0</v>
      </c>
      <c r="D63" s="68">
        <f t="shared" si="7"/>
        <v>58.5</v>
      </c>
      <c r="E63" s="69">
        <f ca="1">IF('Invoer gegevens (N)'!$C$16="","",E62+1)</f>
        <v>2077</v>
      </c>
      <c r="F63" s="82">
        <f ca="1">IF('Invoer gegevens (N)'!$C$17=E63,'Invoer gegevens (N)'!$C$10,IF(C63=1,H62,0))</f>
        <v>0</v>
      </c>
      <c r="G63" s="83">
        <f ca="1">IF(E63='Invoer gegevens (N)'!$C$17+'Invoer gegevens (N)'!$I$14,H62,IF(C63&gt;=1,F63*'Reeksen (N)'!C63,0))</f>
        <v>0</v>
      </c>
      <c r="H63" s="84">
        <f ca="1">IF(E63&gt;='Invoer gegevens (N)'!$C$17+'Invoer gegevens (N)'!$I$14,0,F63-G63)</f>
        <v>0</v>
      </c>
      <c r="I63" s="85">
        <f ca="1">IF('Invoer gegevens (N)'!$C$17=E63,'Invoer gegevens (N)'!$C$11,IF(C63=1,L62,0))</f>
        <v>0</v>
      </c>
      <c r="J63" s="86">
        <f ca="1">IF(E63='Invoer gegevens (N)'!$C$17+'Invoer gegevens (N)'!$I$14,L62,IF(C63&lt;1,0,IF('Reeksen (N)'!BG63&lt;='Reeksen (N)'!AE63,I63*'Reeksen (N)'!C63,0)))</f>
        <v>0</v>
      </c>
      <c r="K63" s="86">
        <f ca="1">IF(E63='Invoer gegevens (N)'!$C$17+'Invoer gegevens (N)'!$I$14,L62,IF(C63&lt;1,0,IF('Reeksen (N)'!BG63&gt;'Reeksen (N)'!AE63,I63*'Reeksen (N)'!C63,0)))</f>
        <v>0</v>
      </c>
      <c r="L63" s="86">
        <f ca="1">IF(E63&gt;='Invoer gegevens (N)'!$C$17+'Invoer gegevens (N)'!$I$14,0,I63-J63-K63)</f>
        <v>0</v>
      </c>
      <c r="M63" s="85">
        <f ca="1">IF('Invoer gegevens (N)'!$C$17=E63,'Invoer gegevens (N)'!$C$10-'Invoer gegevens (N)'!$C$11,IF(C63=1,P62,0))</f>
        <v>0</v>
      </c>
      <c r="N63" s="86">
        <f ca="1">IF(E63='Invoer gegevens (N)'!$C$17+'Invoer gegevens (N)'!$I$14,P62,IF(C63&lt;1,0,IF('Reeksen (N)'!BG63&lt;='Reeksen (N)'!AE63,M63*'Reeksen (N)'!C63,0)))</f>
        <v>0</v>
      </c>
      <c r="O63" s="86">
        <f ca="1">IF(E63='Invoer gegevens (N)'!$C$17+'Invoer gegevens (N)'!$I$14,P62,IF(C63&lt;1,0,IF('Reeksen (N)'!BG63&gt;'Reeksen (N)'!AE63,M63*'Reeksen (N)'!C63,0)))</f>
        <v>0</v>
      </c>
      <c r="P63" s="86">
        <f ca="1">IF(E63&gt;='Invoer gegevens (N)'!$C$17+'Invoer gegevens (N)'!$I$14,0,M63-N63-O63)</f>
        <v>0</v>
      </c>
      <c r="Q63" s="82">
        <f ca="1">IF('Invoer gegevens (N)'!$C$17=E63,I63,IF(C63=0,0,R62))</f>
        <v>0</v>
      </c>
      <c r="R63" s="84">
        <f t="shared" ca="1" si="0"/>
        <v>0</v>
      </c>
      <c r="S63" s="84">
        <f ca="1">IF('Invoer gegevens (N)'!$C$17=E63,M63,IF(C63=0,0,T62))</f>
        <v>0</v>
      </c>
      <c r="T63" s="84">
        <f t="shared" ca="1" si="1"/>
        <v>0</v>
      </c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66"/>
      <c r="AI63" s="71">
        <f ca="1">IF(C63=1,((F63+H63)/2*'Reeksen (N)'!BF63*12)+(('Invoer gegevens (N)'!$C$10-(F63+H63)/2)*'Reeksen (N)'!BG63*12),0)</f>
        <v>0</v>
      </c>
      <c r="AJ63" s="71">
        <f ca="1">-AI63*'Invoer gegevens (N)'!$I$26</f>
        <v>0</v>
      </c>
      <c r="AK63" s="71">
        <f t="shared" ca="1" si="2"/>
        <v>0</v>
      </c>
      <c r="AL63" s="71">
        <f ca="1">IF(C63=1,(12*((F63+H63)/2)*'Reeksen (N)'!AL63)+(12*('Invoer gegevens (N)'!$C$10-(F63+H63)/2)*'Reeksen (N)'!AM63),0)</f>
        <v>0</v>
      </c>
      <c r="AM63" s="71">
        <f ca="1">-AL63*'Invoer gegevens (N)'!$F$31</f>
        <v>0</v>
      </c>
      <c r="AN63" s="71">
        <f t="shared" ca="1" si="3"/>
        <v>0</v>
      </c>
      <c r="AO63" s="71"/>
      <c r="AP63" s="71"/>
      <c r="AQ63" s="71">
        <f ca="1">-IF(C63=1,('Invoer gegevens (N)'!$C$10*'Invoer gegevens (N)'!$I$33)*'Reeksen (N)'!J63,0)</f>
        <v>0</v>
      </c>
      <c r="AR63" s="71">
        <f ca="1">-IF(C63=1,(G63*'Invoer gegevens (N)'!$I$34)*'Reeksen (N)'!J63,0)</f>
        <v>0</v>
      </c>
      <c r="AS63" s="71">
        <f ca="1">-IF(C63=1,'Invoer gegevens (N)'!$C$10*'Invoer gegevens (N)'!$I$35*'Reeksen (N)'!L63,0)</f>
        <v>0</v>
      </c>
      <c r="AT63" s="71">
        <f ca="1">-IF(C63=1,IF(E63='Invoer gegevens (N)'!$C$17,'Invoer gegevens (N)'!$C$11,Q63)*'Reeksen (N)'!S63*'Invoer gegevens (N)'!$C$18*'Reeksen (N)'!P63,0)</f>
        <v>0</v>
      </c>
      <c r="AU63" s="71">
        <f ca="1">-IF(C63=1,'Invoer gegevens (N)'!$C$10*'Invoer gegevens (N)'!$I$36*'Reeksen (N)'!H63,0)</f>
        <v>0</v>
      </c>
      <c r="AV63" s="71">
        <f t="shared" ca="1" si="4"/>
        <v>0</v>
      </c>
      <c r="AW63" s="72">
        <f ca="1">IFERROR(IF(E63='Invoer gegevens (N)'!$C$17+'Invoer gegevens (N)'!$I$14-1,'Invoer gegevens (N)'!$I$13*'Invoer gegevens (N)'!$C$10*'Reeksen (N)'!H63,0),0)</f>
        <v>0</v>
      </c>
      <c r="AX63" s="72">
        <f ca="1">IFERROR(IF(E63='Invoer gegevens (N)'!$C$17,-'Invoer gegevens (N)'!$C$10*'Invoer gegevens (N)'!$C$31*'Reeksen (N)'!H63,0),0)</f>
        <v>0</v>
      </c>
      <c r="AY63" s="73">
        <f ca="1">IF('Invoer gegevens (N)'!$C$34=E63,'Invoer gegevens (N)'!$C$27*'Invoer gegevens (N)'!$C$10*'Invoer gegevens (N)'!$C$36*(IF('Invoer gegevens (N)'!$C$35="ja",1,'Reeksen (N)'!J63)),IF('Invoer gegevens (N)'!$C$34+1=E63,'Invoer gegevens (N)'!$C$27*'Invoer gegevens (N)'!$C$10*'Invoer gegevens (N)'!$C$37*(IF('Invoer gegevens (N)'!$C$35="ja",1,'Reeksen (N)'!J63)),0))+IF(AND(E63='Invoer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63" s="73">
        <f ca="1">AV63/(1+'Invoer gegevens (N)'!$I$12)^($D63-('Invoer gegevens (N)'!$C$17-'Invoer gegevens (N)'!$C$16))/(1+'Invoer gegevens (N)'!$C$39)^('Invoer gegevens (N)'!$C$17-'Invoer gegevens (N)'!$C$16)</f>
        <v>0</v>
      </c>
      <c r="BA63" s="73">
        <f ca="1">AW63/(1+'Invoer gegevens (N)'!$I$12)^(E63-('Invoer gegevens (N)'!$C$17-1))/(1+'Invoer gegevens (N)'!$C$39)^('Invoer gegevens (N)'!$C$17-'Invoer gegevens (N)'!$C$16)</f>
        <v>0</v>
      </c>
      <c r="BB63" s="73">
        <f ca="1">AX63/(1+'Invoer gegevens (N)'!$C$39)^('Invoer gegevens (N)'!$C$17-'Invoer gegevens (N)'!$C$16)</f>
        <v>0</v>
      </c>
      <c r="BC63" s="72">
        <f t="shared" ca="1" si="5"/>
        <v>0</v>
      </c>
      <c r="BD63" s="72">
        <f ca="1">IF(AND(E63='Invoer gegevens (N)'!$C$16,'Invoer gegevens (N)'!$C$34&lt;'Invoer gegevens (N)'!$C$16),AY63,AY63/(1+'Invoer gegevens (N)'!$C$39)^D63)</f>
        <v>0</v>
      </c>
      <c r="BE63" s="72">
        <f ca="1">IF(E63='Invoer gegevens (N)'!$C$34,-'Invoer gegevens (N)'!$I$38,0)</f>
        <v>0</v>
      </c>
      <c r="BF63" s="72">
        <f ca="1">IF(E63='Invoer gegevens (N)'!$C$17,-'Invoer gegevens (N)'!$C$19*$BC$66,0)</f>
        <v>0</v>
      </c>
      <c r="BG63" s="72">
        <f ca="1">AV63/(1+$BG$4)^($D63-('Invoer gegevens (N)'!$C$17-'Invoer gegevens (N)'!$C$16))/(1+'Invoer gegevens (N)'!$C$39)^('Invoer gegevens (N)'!$C$17-'Invoer gegevens (N)'!$C$16)+AW63/(1+$BG$4)^(E63-('Invoer gegevens (N)'!$C$17-1))/(1+'Invoer gegevens (N)'!$C$39)^('Invoer gegevens (N)'!$C$17-'Invoer gegevens (N)'!$C$16)+AX63/(1+'Invoer gegevens (N)'!$C$39)^('Invoer gegevens (N)'!$C$17-'Invoer gegevens (N)'!$C$16)+(-AY63/(1+'Invoer gegevens (N)'!$C$39)^D63)+BE63+BF63</f>
        <v>0</v>
      </c>
      <c r="BH63" s="59"/>
      <c r="BJ63" s="214"/>
    </row>
    <row r="64" spans="1:62" x14ac:dyDescent="0.25">
      <c r="A64" s="59"/>
      <c r="B64" s="70">
        <f t="shared" si="6"/>
        <v>60</v>
      </c>
      <c r="C64" s="67">
        <f ca="1">IF(AND(E64&gt;='Invoer gegevens (N)'!$C$17,E64&lt;'Invoer gegevens (N)'!$C$17+'Invoer gegevens (N)'!$I$14),1,0)</f>
        <v>0</v>
      </c>
      <c r="D64" s="68">
        <f t="shared" si="7"/>
        <v>59.5</v>
      </c>
      <c r="E64" s="69">
        <f ca="1">IF('Invoer gegevens (N)'!$C$16="","",E63+1)</f>
        <v>2078</v>
      </c>
      <c r="F64" s="82">
        <f ca="1">IF('Invoer gegevens (N)'!$C$17=E64,'Invoer gegevens (N)'!$C$10,IF(C64=1,H63,0))</f>
        <v>0</v>
      </c>
      <c r="G64" s="83">
        <f ca="1">IF(E64='Invoer gegevens (N)'!$C$17+'Invoer gegevens (N)'!$I$14,H63,IF(C64&gt;=1,F64*'Reeksen (N)'!C64,0))</f>
        <v>0</v>
      </c>
      <c r="H64" s="84">
        <f ca="1">IF(E64&gt;='Invoer gegevens (N)'!$C$17+'Invoer gegevens (N)'!$I$14,0,F64-G64)</f>
        <v>0</v>
      </c>
      <c r="I64" s="85">
        <f ca="1">IF('Invoer gegevens (N)'!$C$17=E64,'Invoer gegevens (N)'!$C$11,IF(C64=1,L63,0))</f>
        <v>0</v>
      </c>
      <c r="J64" s="86">
        <f ca="1">IF(E64='Invoer gegevens (N)'!$C$17+'Invoer gegevens (N)'!$I$14,L63,IF(C64&lt;1,0,IF('Reeksen (N)'!BG64&lt;='Reeksen (N)'!AE64,I64*'Reeksen (N)'!C64,0)))</f>
        <v>0</v>
      </c>
      <c r="K64" s="86">
        <f ca="1">IF(E64='Invoer gegevens (N)'!$C$17+'Invoer gegevens (N)'!$I$14,L63,IF(C64&lt;1,0,IF('Reeksen (N)'!BG64&gt;'Reeksen (N)'!AE64,I64*'Reeksen (N)'!C64,0)))</f>
        <v>0</v>
      </c>
      <c r="L64" s="86">
        <f ca="1">IF(E64&gt;='Invoer gegevens (N)'!$C$17+'Invoer gegevens (N)'!$I$14,0,I64-J64-K64)</f>
        <v>0</v>
      </c>
      <c r="M64" s="85">
        <f ca="1">IF('Invoer gegevens (N)'!$C$17=E64,'Invoer gegevens (N)'!$C$10-'Invoer gegevens (N)'!$C$11,IF(C64=1,P63,0))</f>
        <v>0</v>
      </c>
      <c r="N64" s="86">
        <f ca="1">IF(E64='Invoer gegevens (N)'!$C$17+'Invoer gegevens (N)'!$I$14,P63,IF(C64&lt;1,0,IF('Reeksen (N)'!BG64&lt;='Reeksen (N)'!AE64,M64*'Reeksen (N)'!C64,0)))</f>
        <v>0</v>
      </c>
      <c r="O64" s="86">
        <f ca="1">IF(E64='Invoer gegevens (N)'!$C$17+'Invoer gegevens (N)'!$I$14,P63,IF(C64&lt;1,0,IF('Reeksen (N)'!BG64&gt;'Reeksen (N)'!AE64,M64*'Reeksen (N)'!C64,0)))</f>
        <v>0</v>
      </c>
      <c r="P64" s="86">
        <f ca="1">IF(E64&gt;='Invoer gegevens (N)'!$C$17+'Invoer gegevens (N)'!$I$14,0,M64-N64-O64)</f>
        <v>0</v>
      </c>
      <c r="Q64" s="82">
        <f ca="1">IF('Invoer gegevens (N)'!$C$17=E64,I64,IF(C64=0,0,R63))</f>
        <v>0</v>
      </c>
      <c r="R64" s="84">
        <f t="shared" ca="1" si="0"/>
        <v>0</v>
      </c>
      <c r="S64" s="84">
        <f ca="1">IF('Invoer gegevens (N)'!$C$17=E64,M64,IF(C64=0,0,T63))</f>
        <v>0</v>
      </c>
      <c r="T64" s="84">
        <f t="shared" ca="1" si="1"/>
        <v>0</v>
      </c>
      <c r="AH64" s="66"/>
      <c r="AI64" s="71">
        <f ca="1">IF(C64=1,((F64+H64)/2*'Reeksen (N)'!BF64*12)+(('Invoer gegevens (N)'!$C$10-(F64+H64)/2)*'Reeksen (N)'!BG64*12),0)</f>
        <v>0</v>
      </c>
      <c r="AJ64" s="71">
        <f ca="1">-AI64*'Invoer gegevens (N)'!$I$26</f>
        <v>0</v>
      </c>
      <c r="AK64" s="71">
        <f t="shared" ca="1" si="2"/>
        <v>0</v>
      </c>
      <c r="AL64" s="71">
        <f ca="1">IF(C64=1,(12*((F64+H64)/2)*'Reeksen (N)'!AL64)+(12*('Invoer gegevens (N)'!$C$10-(F64+H64)/2)*'Reeksen (N)'!AM64),0)</f>
        <v>0</v>
      </c>
      <c r="AM64" s="71">
        <f ca="1">-AL64*'Invoer gegevens (N)'!$F$31</f>
        <v>0</v>
      </c>
      <c r="AN64" s="71">
        <f t="shared" ca="1" si="3"/>
        <v>0</v>
      </c>
      <c r="AO64" s="71"/>
      <c r="AP64" s="71"/>
      <c r="AQ64" s="71">
        <f ca="1">-IF(C64=1,('Invoer gegevens (N)'!$C$10*'Invoer gegevens (N)'!$I$33)*'Reeksen (N)'!J64,0)</f>
        <v>0</v>
      </c>
      <c r="AR64" s="71">
        <f ca="1">-IF(C64=1,(G64*'Invoer gegevens (N)'!$I$34)*'Reeksen (N)'!J64,0)</f>
        <v>0</v>
      </c>
      <c r="AS64" s="71">
        <f ca="1">-IF(C64=1,'Invoer gegevens (N)'!$C$10*'Invoer gegevens (N)'!$I$35*'Reeksen (N)'!L64,0)</f>
        <v>0</v>
      </c>
      <c r="AT64" s="71">
        <f ca="1">-IF(C64=1,IF(E64='Invoer gegevens (N)'!$C$17,'Invoer gegevens (N)'!$C$11,Q64)*'Reeksen (N)'!S64*'Invoer gegevens (N)'!$C$18*'Reeksen (N)'!P64,0)</f>
        <v>0</v>
      </c>
      <c r="AU64" s="71">
        <f ca="1">-IF(C64=1,'Invoer gegevens (N)'!$C$10*'Invoer gegevens (N)'!$I$36*'Reeksen (N)'!H64,0)</f>
        <v>0</v>
      </c>
      <c r="AV64" s="71">
        <f t="shared" ca="1" si="4"/>
        <v>0</v>
      </c>
      <c r="AW64" s="72">
        <f ca="1">IFERROR(IF(E64='Invoer gegevens (N)'!$C$17+'Invoer gegevens (N)'!$I$14-1,'Invoer gegevens (N)'!$I$13*'Invoer gegevens (N)'!$C$10*'Reeksen (N)'!H64,0),0)</f>
        <v>0</v>
      </c>
      <c r="AX64" s="72">
        <f ca="1">IFERROR(IF(E64='Invoer gegevens (N)'!$C$17,-'Invoer gegevens (N)'!$C$10*'Invoer gegevens (N)'!$C$31*'Reeksen (N)'!H64,0),0)</f>
        <v>0</v>
      </c>
      <c r="AY64" s="73">
        <f ca="1">IF('Invoer gegevens (N)'!$C$34=E64,'Invoer gegevens (N)'!$C$27*'Invoer gegevens (N)'!$C$10*'Invoer gegevens (N)'!$C$36*(IF('Invoer gegevens (N)'!$C$35="ja",1,'Reeksen (N)'!J64)),IF('Invoer gegevens (N)'!$C$34+1=E64,'Invoer gegevens (N)'!$C$27*'Invoer gegevens (N)'!$C$10*'Invoer gegevens (N)'!$C$37*(IF('Invoer gegevens (N)'!$C$35="ja",1,'Reeksen (N)'!J64)),0))+IF(AND(E64='Invoer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64" s="73">
        <f ca="1">AV64/(1+'Invoer gegevens (N)'!$I$12)^($D64-('Invoer gegevens (N)'!$C$17-'Invoer gegevens (N)'!$C$16))/(1+'Invoer gegevens (N)'!$C$39)^('Invoer gegevens (N)'!$C$17-'Invoer gegevens (N)'!$C$16)</f>
        <v>0</v>
      </c>
      <c r="BA64" s="73">
        <f ca="1">AW64/(1+'Invoer gegevens (N)'!$I$12)^(E64-('Invoer gegevens (N)'!$C$17-1))/(1+'Invoer gegevens (N)'!$C$39)^('Invoer gegevens (N)'!$C$17-'Invoer gegevens (N)'!$C$16)</f>
        <v>0</v>
      </c>
      <c r="BB64" s="73">
        <f ca="1">AX64/(1+'Invoer gegevens (N)'!$C$39)^('Invoer gegevens (N)'!$C$17-'Invoer gegevens (N)'!$C$16)</f>
        <v>0</v>
      </c>
      <c r="BC64" s="72">
        <f t="shared" ca="1" si="5"/>
        <v>0</v>
      </c>
      <c r="BD64" s="72">
        <f ca="1">IF(AND(E64='Invoer gegevens (N)'!$C$16,'Invoer gegevens (N)'!$C$34&lt;'Invoer gegevens (N)'!$C$16),AY64,AY64/(1+'Invoer gegevens (N)'!$C$39)^D64)</f>
        <v>0</v>
      </c>
      <c r="BE64" s="72">
        <f ca="1">IF(E64='Invoer gegevens (N)'!$C$34,-'Invoer gegevens (N)'!$I$38,0)</f>
        <v>0</v>
      </c>
      <c r="BF64" s="72">
        <f ca="1">IF(E64='Invoer gegevens (N)'!$C$17,-'Invoer gegevens (N)'!$C$19*$BC$66,0)</f>
        <v>0</v>
      </c>
      <c r="BG64" s="72">
        <f ca="1">AV64/(1+$BG$4)^($D64-('Invoer gegevens (N)'!$C$17-'Invoer gegevens (N)'!$C$16))/(1+'Invoer gegevens (N)'!$C$39)^('Invoer gegevens (N)'!$C$17-'Invoer gegevens (N)'!$C$16)+AW64/(1+$BG$4)^(E64-('Invoer gegevens (N)'!$C$17-1))/(1+'Invoer gegevens (N)'!$C$39)^('Invoer gegevens (N)'!$C$17-'Invoer gegevens (N)'!$C$16)+AX64/(1+'Invoer gegevens (N)'!$C$39)^('Invoer gegevens (N)'!$C$17-'Invoer gegevens (N)'!$C$16)+(-AY64/(1+'Invoer gegevens (N)'!$C$39)^D64)+BE64+BF64</f>
        <v>0</v>
      </c>
      <c r="BH64" s="64"/>
      <c r="BJ64" s="214"/>
    </row>
    <row r="65" spans="1:61" x14ac:dyDescent="0.25">
      <c r="A65" s="64"/>
      <c r="B65" s="70"/>
      <c r="C65" s="67"/>
      <c r="D65" s="68"/>
      <c r="E65" s="69"/>
      <c r="F65" s="82"/>
      <c r="G65" s="83"/>
      <c r="H65" s="84"/>
      <c r="I65" s="85"/>
      <c r="J65" s="86"/>
      <c r="K65" s="86"/>
      <c r="L65" s="86"/>
      <c r="M65" s="85"/>
      <c r="N65" s="86"/>
      <c r="O65" s="86"/>
      <c r="P65" s="86"/>
      <c r="Q65" s="82"/>
      <c r="R65" s="84"/>
      <c r="S65" s="84"/>
      <c r="T65" s="8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70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61" x14ac:dyDescent="0.25">
      <c r="AH66" s="77"/>
      <c r="AI66" s="78">
        <f t="shared" ref="AI66:BF66" ca="1" si="8">SUM(AI5:AI64)</f>
        <v>0</v>
      </c>
      <c r="AJ66" s="78">
        <f t="shared" ca="1" si="8"/>
        <v>0</v>
      </c>
      <c r="AK66" s="78">
        <f t="shared" ca="1" si="8"/>
        <v>0</v>
      </c>
      <c r="AL66" s="78">
        <f t="shared" ca="1" si="8"/>
        <v>0</v>
      </c>
      <c r="AM66" s="78">
        <f t="shared" ca="1" si="8"/>
        <v>0</v>
      </c>
      <c r="AN66" s="78">
        <f t="shared" ca="1" si="8"/>
        <v>0</v>
      </c>
      <c r="AO66" s="78">
        <f t="shared" si="8"/>
        <v>0</v>
      </c>
      <c r="AP66" s="78">
        <f t="shared" si="8"/>
        <v>0</v>
      </c>
      <c r="AQ66" s="78">
        <f t="shared" ca="1" si="8"/>
        <v>0</v>
      </c>
      <c r="AR66" s="78">
        <f t="shared" ca="1" si="8"/>
        <v>0</v>
      </c>
      <c r="AS66" s="78">
        <f t="shared" ca="1" si="8"/>
        <v>0</v>
      </c>
      <c r="AT66" s="78">
        <f t="shared" ca="1" si="8"/>
        <v>0</v>
      </c>
      <c r="AU66" s="78">
        <f t="shared" ca="1" si="8"/>
        <v>0</v>
      </c>
      <c r="AV66" s="78">
        <f t="shared" ca="1" si="8"/>
        <v>0</v>
      </c>
      <c r="AW66" s="78">
        <f t="shared" ca="1" si="8"/>
        <v>0</v>
      </c>
      <c r="AX66" s="78">
        <f t="shared" ca="1" si="8"/>
        <v>0</v>
      </c>
      <c r="AY66" s="78">
        <f t="shared" ca="1" si="8"/>
        <v>0</v>
      </c>
      <c r="AZ66" s="78">
        <f t="shared" ca="1" si="8"/>
        <v>0</v>
      </c>
      <c r="BA66" s="78">
        <f t="shared" ca="1" si="8"/>
        <v>0</v>
      </c>
      <c r="BB66" s="78">
        <f t="shared" ca="1" si="8"/>
        <v>0</v>
      </c>
      <c r="BC66" s="78">
        <f t="shared" ca="1" si="8"/>
        <v>0</v>
      </c>
      <c r="BD66" s="78">
        <f t="shared" ca="1" si="8"/>
        <v>0</v>
      </c>
      <c r="BE66" s="78">
        <f t="shared" ca="1" si="8"/>
        <v>0</v>
      </c>
      <c r="BF66" s="78">
        <f t="shared" ca="1" si="8"/>
        <v>0</v>
      </c>
      <c r="BG66" s="78">
        <f ca="1">SUM(BG5:BG64)</f>
        <v>0</v>
      </c>
    </row>
    <row r="67" spans="1:61" x14ac:dyDescent="0.25"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</row>
    <row r="69" spans="1:61" ht="15.75" x14ac:dyDescent="0.25">
      <c r="A69" s="89" t="s">
        <v>720</v>
      </c>
      <c r="B69" s="89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</row>
    <row r="70" spans="1:61" x14ac:dyDescent="0.25">
      <c r="A70" s="59"/>
      <c r="B70" s="70"/>
      <c r="C70" s="70"/>
      <c r="D70" s="70"/>
      <c r="E70" s="70"/>
      <c r="F70" s="397" t="s">
        <v>721</v>
      </c>
      <c r="G70" s="398"/>
      <c r="H70" s="398"/>
      <c r="I70" s="398"/>
      <c r="J70" s="398"/>
      <c r="K70" s="399"/>
      <c r="L70" s="400" t="s">
        <v>814</v>
      </c>
      <c r="M70" s="401"/>
      <c r="N70" s="401"/>
      <c r="O70" s="401"/>
      <c r="P70" s="401"/>
      <c r="Q70" s="402"/>
      <c r="R70" s="397" t="s">
        <v>666</v>
      </c>
      <c r="S70" s="398"/>
      <c r="T70" s="398"/>
      <c r="U70" s="398"/>
      <c r="V70" s="398"/>
      <c r="W70" s="399"/>
      <c r="X70" s="397" t="s">
        <v>667</v>
      </c>
      <c r="Y70" s="398"/>
      <c r="Z70" s="398"/>
      <c r="AA70" s="398"/>
      <c r="AB70" s="398"/>
      <c r="AC70" s="399"/>
      <c r="AD70" s="397" t="s">
        <v>700</v>
      </c>
      <c r="AE70" s="398"/>
      <c r="AF70" s="398"/>
      <c r="AG70" s="398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I70" s="233"/>
    </row>
    <row r="71" spans="1:61" ht="15" customHeight="1" x14ac:dyDescent="0.25">
      <c r="A71" s="59"/>
      <c r="B71" s="91" t="s">
        <v>668</v>
      </c>
      <c r="C71" s="91" t="s">
        <v>669</v>
      </c>
      <c r="D71" s="91" t="s">
        <v>669</v>
      </c>
      <c r="E71" s="91" t="s">
        <v>670</v>
      </c>
      <c r="F71" s="404" t="s">
        <v>723</v>
      </c>
      <c r="G71" s="403" t="s">
        <v>724</v>
      </c>
      <c r="H71" s="403" t="s">
        <v>725</v>
      </c>
      <c r="I71" s="403" t="s">
        <v>726</v>
      </c>
      <c r="J71" s="403" t="s">
        <v>727</v>
      </c>
      <c r="K71" s="93" t="s">
        <v>671</v>
      </c>
      <c r="L71" s="405" t="s">
        <v>723</v>
      </c>
      <c r="M71" s="406" t="s">
        <v>724</v>
      </c>
      <c r="N71" s="406" t="s">
        <v>725</v>
      </c>
      <c r="O71" s="406" t="s">
        <v>726</v>
      </c>
      <c r="P71" s="406" t="s">
        <v>728</v>
      </c>
      <c r="Q71" s="407" t="s">
        <v>729</v>
      </c>
      <c r="R71" s="405" t="s">
        <v>730</v>
      </c>
      <c r="S71" s="403" t="s">
        <v>724</v>
      </c>
      <c r="T71" s="403" t="s">
        <v>731</v>
      </c>
      <c r="U71" s="403" t="s">
        <v>732</v>
      </c>
      <c r="V71" s="403" t="s">
        <v>733</v>
      </c>
      <c r="W71" s="407" t="s">
        <v>730</v>
      </c>
      <c r="X71" s="406" t="s">
        <v>734</v>
      </c>
      <c r="Y71" s="406" t="s">
        <v>724</v>
      </c>
      <c r="Z71" s="406" t="s">
        <v>731</v>
      </c>
      <c r="AA71" s="406" t="s">
        <v>732</v>
      </c>
      <c r="AB71" s="406" t="s">
        <v>733</v>
      </c>
      <c r="AC71" s="407" t="s">
        <v>734</v>
      </c>
      <c r="AD71" s="408" t="s">
        <v>703</v>
      </c>
      <c r="AE71" s="403" t="s">
        <v>735</v>
      </c>
      <c r="AF71" s="403" t="s">
        <v>736</v>
      </c>
      <c r="AG71" s="81" t="s">
        <v>667</v>
      </c>
      <c r="AH71" s="95"/>
      <c r="AI71" s="91" t="s">
        <v>16</v>
      </c>
      <c r="AJ71" s="91" t="s">
        <v>16</v>
      </c>
      <c r="AK71" s="91" t="s">
        <v>672</v>
      </c>
      <c r="AL71" s="27" t="s">
        <v>704</v>
      </c>
      <c r="AM71" s="27" t="s">
        <v>704</v>
      </c>
      <c r="AN71" s="27" t="s">
        <v>672</v>
      </c>
      <c r="AO71" s="91" t="s">
        <v>673</v>
      </c>
      <c r="AP71" s="91" t="s">
        <v>705</v>
      </c>
      <c r="AQ71" s="91" t="s">
        <v>674</v>
      </c>
      <c r="AR71" s="91" t="s">
        <v>706</v>
      </c>
      <c r="AS71" s="91" t="s">
        <v>675</v>
      </c>
      <c r="AT71" s="91" t="s">
        <v>676</v>
      </c>
      <c r="AU71" s="62" t="s">
        <v>588</v>
      </c>
      <c r="AV71" s="91" t="s">
        <v>677</v>
      </c>
      <c r="AW71" s="91" t="s">
        <v>673</v>
      </c>
      <c r="AX71" s="62" t="s">
        <v>708</v>
      </c>
      <c r="AY71" s="91" t="s">
        <v>690</v>
      </c>
      <c r="AZ71" s="91" t="s">
        <v>679</v>
      </c>
      <c r="BA71" s="91" t="s">
        <v>679</v>
      </c>
      <c r="BB71" s="91" t="s">
        <v>679</v>
      </c>
      <c r="BC71" s="91" t="s">
        <v>679</v>
      </c>
      <c r="BD71" s="91" t="s">
        <v>679</v>
      </c>
      <c r="BE71" s="91" t="s">
        <v>680</v>
      </c>
      <c r="BF71" s="91" t="s">
        <v>680</v>
      </c>
      <c r="BG71" s="91" t="s">
        <v>681</v>
      </c>
      <c r="BI71" s="233"/>
    </row>
    <row r="72" spans="1:61" x14ac:dyDescent="0.25">
      <c r="A72" s="59"/>
      <c r="B72" s="91"/>
      <c r="C72" s="91" t="s">
        <v>682</v>
      </c>
      <c r="D72" s="91" t="s">
        <v>682</v>
      </c>
      <c r="E72" s="217"/>
      <c r="F72" s="403"/>
      <c r="G72" s="403"/>
      <c r="H72" s="403"/>
      <c r="I72" s="403"/>
      <c r="J72" s="403"/>
      <c r="K72" s="93" t="s">
        <v>737</v>
      </c>
      <c r="L72" s="405"/>
      <c r="M72" s="406"/>
      <c r="N72" s="406"/>
      <c r="O72" s="406"/>
      <c r="P72" s="406"/>
      <c r="Q72" s="407"/>
      <c r="R72" s="405"/>
      <c r="S72" s="403"/>
      <c r="T72" s="403"/>
      <c r="U72" s="403"/>
      <c r="V72" s="403"/>
      <c r="W72" s="407"/>
      <c r="X72" s="406"/>
      <c r="Y72" s="406"/>
      <c r="Z72" s="406"/>
      <c r="AA72" s="406"/>
      <c r="AB72" s="406"/>
      <c r="AC72" s="407"/>
      <c r="AD72" s="408"/>
      <c r="AE72" s="403"/>
      <c r="AF72" s="403"/>
      <c r="AG72" s="81" t="s">
        <v>711</v>
      </c>
      <c r="AH72" s="95"/>
      <c r="AI72" s="91" t="s">
        <v>712</v>
      </c>
      <c r="AJ72" s="91" t="s">
        <v>683</v>
      </c>
      <c r="AK72" s="91" t="s">
        <v>684</v>
      </c>
      <c r="AL72" s="27" t="s">
        <v>713</v>
      </c>
      <c r="AM72" s="27" t="s">
        <v>683</v>
      </c>
      <c r="AN72" s="27" t="s">
        <v>714</v>
      </c>
      <c r="AO72" s="91" t="s">
        <v>715</v>
      </c>
      <c r="AP72" s="91" t="s">
        <v>685</v>
      </c>
      <c r="AQ72" s="91" t="s">
        <v>685</v>
      </c>
      <c r="AR72" s="91" t="s">
        <v>716</v>
      </c>
      <c r="AS72" s="91" t="s">
        <v>685</v>
      </c>
      <c r="AT72" s="91" t="s">
        <v>686</v>
      </c>
      <c r="AU72" s="62" t="s">
        <v>687</v>
      </c>
      <c r="AV72" s="91"/>
      <c r="AW72" s="91" t="s">
        <v>689</v>
      </c>
      <c r="AX72" s="62" t="s">
        <v>685</v>
      </c>
      <c r="AY72" s="91"/>
      <c r="AZ72" s="91" t="s">
        <v>691</v>
      </c>
      <c r="BA72" s="91" t="s">
        <v>689</v>
      </c>
      <c r="BB72" s="91" t="s">
        <v>718</v>
      </c>
      <c r="BC72" s="91" t="s">
        <v>692</v>
      </c>
      <c r="BD72" s="91" t="s">
        <v>719</v>
      </c>
      <c r="BE72" s="91" t="s">
        <v>693</v>
      </c>
      <c r="BF72" s="91" t="s">
        <v>694</v>
      </c>
      <c r="BG72" s="212">
        <v>5.363312731346865E-2</v>
      </c>
      <c r="BI72" s="233"/>
    </row>
    <row r="73" spans="1:61" x14ac:dyDescent="0.25">
      <c r="A73" s="59"/>
      <c r="B73" s="66">
        <v>1</v>
      </c>
      <c r="C73" s="67">
        <f ca="1">IF(AND(E73&gt;='Invoer gegevens (N)'!$C$17,E73&lt;'Invoer gegevens (N)'!$C$17+'Invoer gegevens (N)'!$I$14),1,0)</f>
        <v>1</v>
      </c>
      <c r="D73" s="68">
        <v>0.5</v>
      </c>
      <c r="E73" s="108">
        <f ca="1">IF('Invoer gegevens (N)'!$C$16="","",'Invoer gegevens (N)'!$C$16)</f>
        <v>2019</v>
      </c>
      <c r="F73" s="84">
        <f ca="1">IF('Invoer gegevens (N)'!$C$17=E73,'Invoer gegevens (N)'!$C$10,IF(C73=1,K72,0))</f>
        <v>0</v>
      </c>
      <c r="G73" s="96">
        <f ca="1">IF(E73='Invoer gegevens (N)'!$C$17+'Invoer gegevens (N)'!$I$14,K72,IF(C73&gt;=1,F73*VLOOKUP(E73,'Reeksen (N)'!$A$5:$B$76,2),0))</f>
        <v>0</v>
      </c>
      <c r="H73" s="84">
        <f ca="1">IF(E73='Invoer gegevens (N)'!$C$17+'Invoer gegevens (N)'!$I$14,K72,(1-('Invoer gegevens (N)'!$F$20/12))*F73*MIN('Reeksen (N)'!B5,'Reeksen (N)'!D5))</f>
        <v>0</v>
      </c>
      <c r="I73" s="84">
        <f>IF('Reeksen (N)'!D5&lt;'Reeksen (N)'!B5,('Reeksen (N)'!B5-'Reeksen (N)'!D5)*F73,0)</f>
        <v>0</v>
      </c>
      <c r="J73" s="84">
        <f ca="1">IF(E73='Invoer gegevens (N)'!$C$17+'Invoer gegevens (N)'!$I$14+1,0,('Invoer gegevens (N)'!$F$20/12)*F72*MIN('Reeksen (N)'!B4,'Reeksen (N)'!D4))</f>
        <v>0</v>
      </c>
      <c r="K73" s="97">
        <f ca="1">IF(E73&gt;='Invoer gegevens (N)'!$C$17+'Invoer gegevens (N)'!$I$14,0,F73-G73)</f>
        <v>0</v>
      </c>
      <c r="L73" s="84">
        <f ca="1">IF('Invoer gegevens (N)'!$C$17=E73,0,IF(C73=1,Q72,0))</f>
        <v>0</v>
      </c>
      <c r="M73" s="96">
        <f ca="1">IF(E73='Invoer gegevens (N)'!$C$17+'Invoer gegevens (N)'!$I$14,Q72,IF(C73&gt;=1,L73*VLOOKUP(E73,'Reeksen (N)'!$A$5:$B$76,2),0))</f>
        <v>0</v>
      </c>
      <c r="N73" s="84">
        <f ca="1">IF(C73='Invoer gegevens (N)'!$C$17+'Invoer gegevens (N)'!$I$14,Q72,(1-('Invoer gegevens (N)'!$F$20/12))*L73*MIN('Reeksen (N)'!B5,'Reeksen (N)'!D5))</f>
        <v>0</v>
      </c>
      <c r="O73" s="84">
        <f>IF('Reeksen (N)'!D5&lt;'Reeksen (N)'!B5,('Reeksen (N)'!B5-'Reeksen (N)'!D5)*L73,0)</f>
        <v>0</v>
      </c>
      <c r="P73" s="84">
        <f ca="1">IF(E73='Invoer gegevens (N)'!$C$17+'Invoer gegevens (N)'!$I$14+1,0,('Invoer gegevens (N)'!$F$20/12)*L72*MIN('Reeksen (N)'!B4,'Reeksen (N)'!D4))</f>
        <v>0</v>
      </c>
      <c r="Q73" s="84">
        <f ca="1">IF(E73&gt;='Invoer gegevens (N)'!$C$17+'Invoer gegevens (N)'!$I$14,0,L73-M73+I73+O73)</f>
        <v>0</v>
      </c>
      <c r="R73" s="82">
        <f ca="1">IF('Invoer gegevens (N)'!$C$17=E73,'Invoer gegevens (N)'!$C$11,IF(C73=1,W72,0))</f>
        <v>0</v>
      </c>
      <c r="S73" s="86">
        <f ca="1">IF(E73='Invoer gegevens (N)'!$C$17+'Invoer gegevens (N)'!$I$14,W72,IF(C73&gt;=1,R73*VLOOKUP(E73,'Reeksen (N)'!$A$5:$B$76,2),0))</f>
        <v>0</v>
      </c>
      <c r="T73" s="84">
        <f ca="1">IF(E73='Invoer gegevens (N)'!$C$17+'Invoer gegevens (N)'!$I$14,W72,(1-('Invoer gegevens (N)'!$F$20/12))*R73*MIN('Reeksen (N)'!B5,'Reeksen (N)'!D5))</f>
        <v>0</v>
      </c>
      <c r="U73" s="84">
        <f>IF('Reeksen (N)'!D5&gt;='Reeksen (N)'!B5,0,IF('Reeksen (N)'!AK5&lt;='Reeksen (N)'!AE5,('Reeksen (N)'!B5-'Reeksen (N)'!D5)*R73,0))</f>
        <v>0</v>
      </c>
      <c r="V73" s="86">
        <f>IF('Reeksen (N)'!D5&gt;='Reeksen (N)'!B5,0,IF('Reeksen (N)'!AK5&gt;'Reeksen (N)'!AE5,('Reeksen (N)'!B5-'Reeksen (N)'!D5)*R73,0))</f>
        <v>0</v>
      </c>
      <c r="W73" s="97">
        <f ca="1">IF(E73&gt;='Invoer gegevens (N)'!$C$17+'Invoer gegevens (N)'!$I$14,0,R73-S73)</f>
        <v>0</v>
      </c>
      <c r="X73" s="98">
        <f ca="1">IF('Invoer gegevens (N)'!$C$17=E73,'Invoer gegevens (N)'!$C$10-'Invoer gegevens (N)'!$C$11,IF(C73=1,AC72,0))</f>
        <v>0</v>
      </c>
      <c r="Y73" s="98">
        <f ca="1">IF(E73='Invoer gegevens (N)'!$C$17+'Invoer gegevens (N)'!$I$14,AC72,IF(C73&gt;=1,X73*VLOOKUP(E73,'Reeksen (N)'!$A$5:$B$76,2),0))</f>
        <v>0</v>
      </c>
      <c r="Z73" s="98">
        <f ca="1">IF(E73='Invoer gegevens (N)'!$C$17+'Invoer gegevens (N)'!$I$14,AC72,(1-('Invoer gegevens (N)'!$F$20/12))*X73*MIN('Reeksen (N)'!B5,'Reeksen (N)'!D5))</f>
        <v>0</v>
      </c>
      <c r="AA73" s="98">
        <f>IF('Reeksen (N)'!D5&gt;='Reeksen (N)'!B5,0,IF('Reeksen (N)'!AK5&lt;='Reeksen (N)'!AE5,('Reeksen (N)'!B5-'Reeksen (N)'!D5)*X73,0))</f>
        <v>0</v>
      </c>
      <c r="AB73" s="98">
        <f>IF('Reeksen (N)'!D5&gt;='Reeksen (N)'!B5,0,IF('Reeksen (N)'!AK5&gt;'Reeksen (N)'!AE5,('Reeksen (N)'!B5-'Reeksen (N)'!D5)*X73,0))</f>
        <v>0</v>
      </c>
      <c r="AC73" s="99">
        <f ca="1">IF(E73&gt;='Invoer gegevens (N)'!$C$17+'Invoer gegevens (N)'!$I$14,0,X73-Y73)</f>
        <v>0</v>
      </c>
      <c r="AD73" s="98">
        <f ca="1">IF('Invoer gegevens (N)'!$C$17=E5,R73,IF(C5=0,0,AE72))</f>
        <v>0</v>
      </c>
      <c r="AE73" s="98">
        <f ca="1">IF(C5=0,0,AD73-S73-V73+AA73)</f>
        <v>0</v>
      </c>
      <c r="AF73" s="98">
        <f ca="1">IF('Invoer gegevens (N)'!$C$17=E5,X73,IF(C5=0,0,AG72))</f>
        <v>0</v>
      </c>
      <c r="AG73" s="98">
        <f ca="1">IF(C5=0,0,AF73-Y73-AA73+V73)</f>
        <v>0</v>
      </c>
      <c r="AH73" s="70"/>
      <c r="AI73" s="71">
        <f ca="1">IF(C73=1,(('Reeksen (N)'!BF5*(F73-G73+F73)/2)+((L73-M73+L73)/2*'Reeksen (N)'!BG5))*12,0)</f>
        <v>0</v>
      </c>
      <c r="AJ73" s="71">
        <f ca="1">-AI73*'Invoer gegevens (N)'!$I$26</f>
        <v>0</v>
      </c>
      <c r="AK73" s="71">
        <f ca="1">AI73+AJ73</f>
        <v>0</v>
      </c>
      <c r="AL73" s="71">
        <f ca="1">IF(C73=1,'Reeksen (N)'!AL5*((F73-G73+F73)/2)*12+'Reeksen (N)'!AM5*((L73-M73+L73)/2)*12,0)</f>
        <v>0</v>
      </c>
      <c r="AM73" s="71">
        <f ca="1">-AL73*'Invoer gegevens (N)'!$F$31</f>
        <v>0</v>
      </c>
      <c r="AN73" s="71">
        <f ca="1">AL73+AM73</f>
        <v>0</v>
      </c>
      <c r="AO73" s="71">
        <f ca="1">IF(E73&gt;='Invoer gegevens (N)'!$C$17+'Invoer gegevens (N)'!$I$14,0,IF(C73=1,(H73+J73+N73+P73)*'Reeksen (N)'!AN5,0))</f>
        <v>0</v>
      </c>
      <c r="AP73" s="71">
        <f ca="1">-IF(C73=1,(H73+J73+N73+P73)*'Reeksen (N)'!AN4*'Hulp - basis'!$J$550,0)</f>
        <v>0</v>
      </c>
      <c r="AQ73" s="71">
        <f ca="1">-IF(C73=1,(F73+K73+L73+Q73)/2*'Invoer gegevens (N)'!$I$33*'Reeksen (N)'!J5,0)</f>
        <v>0</v>
      </c>
      <c r="AR73" s="71">
        <f ca="1">-IF(C73=1,(I73*'Invoer gegevens (N)'!$I$34)*'Reeksen (N)'!J5,0)</f>
        <v>0</v>
      </c>
      <c r="AS73" s="71">
        <f ca="1">-IF(C73=1,(F73+K73+L73+Q73)/2*'Invoer gegevens (N)'!$I$35*'Reeksen (N)'!L5,0)</f>
        <v>0</v>
      </c>
      <c r="AT73" s="71">
        <f ca="1">-IF(C73=1,IF(E73='Invoer gegevens (N)'!$C$17,'Invoer gegevens (N)'!$C$11,AD73)*'Reeksen (N)'!S5*'Invoer gegevens (N)'!$C$18*'Reeksen (N)'!P5,0)</f>
        <v>0</v>
      </c>
      <c r="AU73" s="71">
        <f ca="1">-IF(C73=1,(F73+K73+L73+Q73)/2*'Invoer gegevens (N)'!$I$36*'Reeksen (N)'!H5,0)</f>
        <v>0</v>
      </c>
      <c r="AV73" s="71">
        <f ca="1">SUM(AK73,AN73:AU73)</f>
        <v>0</v>
      </c>
      <c r="AW73" s="72">
        <f ca="1">IFERROR(IF(E73='Invoer gegevens (N)'!$C$17+'Invoer gegevens (N)'!$I$14-1,'Invoer gegevens (N)'!$I$13*K73*'Reeksen (N)'!H5,0),0)</f>
        <v>0</v>
      </c>
      <c r="AX73" s="72">
        <f ca="1">IFERROR(IF(E73='Invoer gegevens (N)'!$C$17,-'Invoer gegevens (N)'!$C$10*('Invoer gegevens (N)'!$C$30+'Invoer gegevens (N)'!$C$31)*'Reeksen (N)'!H5,0),0)</f>
        <v>0</v>
      </c>
      <c r="AY73" s="73">
        <f ca="1">IF('Invoer gegevens (N)'!$C$34=E73,'Invoer gegevens (N)'!$C$27*'Invoer gegevens (N)'!$C$10*'Invoer gegevens (N)'!$C$36*(IF('Invoer gegevens (N)'!$C$35="ja",1,'Reeksen (N)'!J5)),IF('Invoer gegevens (N)'!$C$34+1=E73,'Invoer gegevens (N)'!$C$27*'Invoer gegevens (N)'!$C$10*'Invoer gegevens (N)'!$C$37*(IF('Invoer gegevens (N)'!$C$35="ja",1,'Reeksen (N)'!J5)),0))+IF(AND(E73='Invoer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3" s="73">
        <f ca="1">AV73/(1+'Invoer gegevens (N)'!$I$12)^($D73-('Invoer gegevens (N)'!$C$17-'Invoer gegevens (N)'!$C$16))/(1+'Invoer gegevens (N)'!$C$39)^('Invoer gegevens (N)'!$C$17-'Invoer gegevens (N)'!$C$16)</f>
        <v>0</v>
      </c>
      <c r="BA73" s="73">
        <f ca="1">AW73/(1+'Invoer gegevens (N)'!$I$12)^(E73-('Invoer gegevens (N)'!$C$17-1))/(1+'Invoer gegevens (N)'!$C$39)^('Invoer gegevens (N)'!$C$17-'Invoer gegevens (N)'!$C$16)</f>
        <v>0</v>
      </c>
      <c r="BB73" s="73">
        <f ca="1">AX73/(1+'Invoer gegevens (N)'!$C$39)^('Invoer gegevens (N)'!$C$17-'Invoer gegevens (N)'!$C$16)</f>
        <v>0</v>
      </c>
      <c r="BC73" s="72">
        <f ca="1">SUM(AZ73:BA73)</f>
        <v>0</v>
      </c>
      <c r="BD73" s="72">
        <f ca="1">IF(AND(E73='Invoer gegevens (N)'!$C$16,'Invoer gegevens (N)'!$C$34&lt;'Invoer gegevens (N)'!$C$16),AY73,AY73/(1+'Invoer gegevens (N)'!$C$39)^D73)</f>
        <v>0</v>
      </c>
      <c r="BE73" s="72">
        <f ca="1">IF(E73='Invoer gegevens (N)'!$C$34,-'Invoer gegevens (N)'!$I$38,0)</f>
        <v>0</v>
      </c>
      <c r="BF73" s="72">
        <f ca="1">IF(E73='Invoer gegevens (N)'!$C$17,-'Invoer gegevens (N)'!$C$19*$BC$134,0)</f>
        <v>0</v>
      </c>
      <c r="BG73" s="72">
        <f ca="1">AV73/(1+$BG$72)^($D73-('Invoer gegevens (N)'!$C$17-'Invoer gegevens (N)'!$C$16))/(1+'Invoer gegevens (N)'!$C$39)^('Invoer gegevens (N)'!$C$17-'Invoer gegevens (N)'!$C$16)+AW73/(1+$BG$72)^(E73-('Invoer gegevens (N)'!$C$17-1))/(1+'Invoer gegevens (N)'!$C$39)^('Invoer gegevens (N)'!$C$17-'Invoer gegevens (N)'!$C$16)+AX73/(1+'Invoer gegevens (N)'!$C$39)^('Invoer gegevens (N)'!$C$17-'Invoer gegevens (N)'!$C$16)+(-AY73/(1+'Invoer gegevens (N)'!$C$39)^D73)+BE73+BF73</f>
        <v>0</v>
      </c>
    </row>
    <row r="74" spans="1:61" x14ac:dyDescent="0.25">
      <c r="A74" s="59"/>
      <c r="B74" s="70">
        <f>B73+1</f>
        <v>2</v>
      </c>
      <c r="C74" s="67">
        <f ca="1">IF(AND(E74&gt;='Invoer gegevens (N)'!$C$17,E74&lt;'Invoer gegevens (N)'!$C$17+'Invoer gegevens (N)'!$I$14),1,0)</f>
        <v>1</v>
      </c>
      <c r="D74" s="68">
        <f>D73+1</f>
        <v>1.5</v>
      </c>
      <c r="E74" s="108">
        <f ca="1">IF('Invoer gegevens (N)'!$C$16="","",E73+1)</f>
        <v>2020</v>
      </c>
      <c r="F74" s="84">
        <f ca="1">IF('Invoer gegevens (N)'!$C$17=E74,'Invoer gegevens (N)'!$C$10,IF(C74=1,K73,0))</f>
        <v>0</v>
      </c>
      <c r="G74" s="96">
        <f ca="1">IF(E74='Invoer gegevens (N)'!$C$17+'Invoer gegevens (N)'!$I$14,K73,IF(C74&gt;=1,F74*VLOOKUP(E74,'Reeksen (N)'!$A$5:$B$76,2),0))</f>
        <v>0</v>
      </c>
      <c r="H74" s="84">
        <f ca="1">IF(E74='Invoer gegevens (N)'!$C$17+'Invoer gegevens (N)'!$I$14,K73,(1-('Invoer gegevens (N)'!$F$20/12))*F74*MIN('Reeksen (N)'!B6,'Reeksen (N)'!D6))</f>
        <v>0</v>
      </c>
      <c r="I74" s="84">
        <f>IF('Reeksen (N)'!D6&lt;'Reeksen (N)'!B6,('Reeksen (N)'!B6-'Reeksen (N)'!D6)*F74,0)</f>
        <v>0</v>
      </c>
      <c r="J74" s="84">
        <f ca="1">IF(E74='Invoer gegevens (N)'!$C$17+'Invoer gegevens (N)'!$I$14+1,0,('Invoer gegevens (N)'!$F$20/12)*F73*MIN('Reeksen (N)'!B5,'Reeksen (N)'!D5))</f>
        <v>0</v>
      </c>
      <c r="K74" s="97">
        <f ca="1">IF(E74&gt;='Invoer gegevens (N)'!$C$17+'Invoer gegevens (N)'!$I$14,0,F74-G74)</f>
        <v>0</v>
      </c>
      <c r="L74" s="84">
        <f ca="1">IF('Invoer gegevens (N)'!$C$17=E74,0,IF(C74=1,Q73,0))</f>
        <v>0</v>
      </c>
      <c r="M74" s="96">
        <f ca="1">IF(E74='Invoer gegevens (N)'!$C$17+'Invoer gegevens (N)'!$I$14,Q73,IF(C74&gt;=1,L74*VLOOKUP(E74,'Reeksen (N)'!$A$5:$B$76,2),0))</f>
        <v>0</v>
      </c>
      <c r="N74" s="84">
        <f ca="1">IF(C74='Invoer gegevens (N)'!$C$17+'Invoer gegevens (N)'!$I$14,Q73,(1-('Invoer gegevens (N)'!$F$20/12))*L74*MIN('Reeksen (N)'!B6,'Reeksen (N)'!D6))</f>
        <v>0</v>
      </c>
      <c r="O74" s="84">
        <f>IF('Reeksen (N)'!D6&lt;'Reeksen (N)'!B6,('Reeksen (N)'!B6-'Reeksen (N)'!D6)*L74,0)</f>
        <v>0</v>
      </c>
      <c r="P74" s="84">
        <f ca="1">IF(E74='Invoer gegevens (N)'!$C$17+'Invoer gegevens (N)'!$I$14+1,0,('Invoer gegevens (N)'!$F$20/12)*L73*MIN('Reeksen (N)'!B5,'Reeksen (N)'!D5))</f>
        <v>0</v>
      </c>
      <c r="Q74" s="84">
        <f ca="1">IF(E74&gt;='Invoer gegevens (N)'!$C$17+'Invoer gegevens (N)'!$I$14,0,L74-M74+I74+O74)</f>
        <v>0</v>
      </c>
      <c r="R74" s="82">
        <f ca="1">IF('Invoer gegevens (N)'!$C$17=E74,'Invoer gegevens (N)'!$C$11,IF(C74=1,W73,0))</f>
        <v>0</v>
      </c>
      <c r="S74" s="86">
        <f ca="1">IF(E74='Invoer gegevens (N)'!$C$17+'Invoer gegevens (N)'!$I$14,W73,IF(C74&gt;=1,R74*VLOOKUP(E74,'Reeksen (N)'!$A$5:$B$76,2),0))</f>
        <v>0</v>
      </c>
      <c r="T74" s="84">
        <f ca="1">IF(E74='Invoer gegevens (N)'!$C$17+'Invoer gegevens (N)'!$I$14,W73,(1-('Invoer gegevens (N)'!$F$20/12))*R74*MIN('Reeksen (N)'!B6,'Reeksen (N)'!D6))</f>
        <v>0</v>
      </c>
      <c r="U74" s="84">
        <f>IF('Reeksen (N)'!D6&gt;='Reeksen (N)'!B6,0,IF('Reeksen (N)'!AK6&lt;='Reeksen (N)'!AE6,('Reeksen (N)'!B6-'Reeksen (N)'!D6)*R74,0))</f>
        <v>0</v>
      </c>
      <c r="V74" s="86">
        <f>IF('Reeksen (N)'!D6&gt;='Reeksen (N)'!B6,0,IF('Reeksen (N)'!AK6&gt;'Reeksen (N)'!AE6,('Reeksen (N)'!B6-'Reeksen (N)'!D6)*R74,0))</f>
        <v>0</v>
      </c>
      <c r="W74" s="97">
        <f ca="1">IF(E74&gt;='Invoer gegevens (N)'!$C$17+'Invoer gegevens (N)'!$I$14,0,R74-S74)</f>
        <v>0</v>
      </c>
      <c r="X74" s="98">
        <f ca="1">IF('Invoer gegevens (N)'!$C$17=E74,'Invoer gegevens (N)'!$C$10-'Invoer gegevens (N)'!$C$11,IF(C74=1,AC73,0))</f>
        <v>0</v>
      </c>
      <c r="Y74" s="98">
        <f ca="1">IF(E74='Invoer gegevens (N)'!$C$17+'Invoer gegevens (N)'!$I$14,AC73,IF(C74&gt;=1,X74*VLOOKUP(E74,'Reeksen (N)'!$A$5:$B$76,2),0))</f>
        <v>0</v>
      </c>
      <c r="Z74" s="98">
        <f ca="1">IF(E74='Invoer gegevens (N)'!$C$17+'Invoer gegevens (N)'!$I$14,AC73,(1-('Invoer gegevens (N)'!$F$20/12))*X74*MIN('Reeksen (N)'!B6,'Reeksen (N)'!D6))</f>
        <v>0</v>
      </c>
      <c r="AA74" s="98">
        <f>IF('Reeksen (N)'!D6&gt;='Reeksen (N)'!B6,0,IF('Reeksen (N)'!AK6&lt;='Reeksen (N)'!AE6,('Reeksen (N)'!B6-'Reeksen (N)'!D6)*X74,0))</f>
        <v>0</v>
      </c>
      <c r="AB74" s="98">
        <f>IF('Reeksen (N)'!D6&gt;='Reeksen (N)'!B6,0,IF('Reeksen (N)'!AK6&gt;'Reeksen (N)'!AE6,('Reeksen (N)'!B6-'Reeksen (N)'!D6)*X74,0))</f>
        <v>0</v>
      </c>
      <c r="AC74" s="99">
        <f ca="1">IF(E74&gt;='Invoer gegevens (N)'!$C$17+'Invoer gegevens (N)'!$I$14,0,X74-Y74)</f>
        <v>0</v>
      </c>
      <c r="AD74" s="98">
        <f ca="1">IF('Invoer gegevens (N)'!$C$17=E6,R74,IF(C6=0,0,AE73))</f>
        <v>0</v>
      </c>
      <c r="AE74" s="98">
        <f t="shared" ref="AE74:AE132" ca="1" si="9">IF(C6=0,0,AD74-S74-V74+AA74)</f>
        <v>0</v>
      </c>
      <c r="AF74" s="98">
        <f ca="1">IF('Invoer gegevens (N)'!$C$17=E6,X74,IF(C6=0,0,AG73))</f>
        <v>0</v>
      </c>
      <c r="AG74" s="98">
        <f t="shared" ref="AG74:AG132" ca="1" si="10">IF(C6=0,0,AF74-Y74-AA74+V74)</f>
        <v>0</v>
      </c>
      <c r="AH74" s="70"/>
      <c r="AI74" s="71">
        <f ca="1">IF(C74=1,(('Reeksen (N)'!BF6*(F74-G74+F74)/2)+((L74-M74+L74)/2*'Reeksen (N)'!BG6))*12,0)</f>
        <v>0</v>
      </c>
      <c r="AJ74" s="71">
        <f ca="1">-AI74*'Invoer gegevens (N)'!$I$26</f>
        <v>0</v>
      </c>
      <c r="AK74" s="71">
        <f t="shared" ref="AK74:AK132" ca="1" si="11">AI74+AJ74</f>
        <v>0</v>
      </c>
      <c r="AL74" s="71">
        <f ca="1">IF(C74=1,'Reeksen (N)'!AL6*((F74-G74+F74)/2)*12+'Reeksen (N)'!AM6*((L74-M74+L74)/2)*12,0)</f>
        <v>0</v>
      </c>
      <c r="AM74" s="71">
        <f ca="1">-AL74*'Invoer gegevens (N)'!$F$31</f>
        <v>0</v>
      </c>
      <c r="AN74" s="71">
        <f t="shared" ref="AN74:AN132" ca="1" si="12">AL74+AM74</f>
        <v>0</v>
      </c>
      <c r="AO74" s="71">
        <f ca="1">IF(E74&gt;='Invoer gegevens (N)'!$C$17+'Invoer gegevens (N)'!$I$14,0,IF(C74=1,(H74+J74+N74+P74)*'Reeksen (N)'!AN6,0))</f>
        <v>0</v>
      </c>
      <c r="AP74" s="71">
        <f ca="1">-IF(C74=1,(H74+J74+N74+P74)*'Reeksen (N)'!AN5*'Hulp - basis'!$J$550,0)</f>
        <v>0</v>
      </c>
      <c r="AQ74" s="71">
        <f ca="1">-IF(C74=1,(F74+K74+L74+Q74)/2*'Invoer gegevens (N)'!$I$33*'Reeksen (N)'!J6,0)</f>
        <v>0</v>
      </c>
      <c r="AR74" s="71">
        <f ca="1">-IF(C74=1,(I74*'Invoer gegevens (N)'!$I$34)*'Reeksen (N)'!J6,0)</f>
        <v>0</v>
      </c>
      <c r="AS74" s="71">
        <f ca="1">-IF(C74=1,(F74+K74+L74+Q74)/2*'Invoer gegevens (N)'!$I$35*'Reeksen (N)'!L6,0)</f>
        <v>0</v>
      </c>
      <c r="AT74" s="71">
        <f ca="1">-IF(C74=1,IF(E74='Invoer gegevens (N)'!$C$17,'Invoer gegevens (N)'!$C$11,AD74)*'Reeksen (N)'!S6*'Invoer gegevens (N)'!$C$18*'Reeksen (N)'!P6,0)</f>
        <v>0</v>
      </c>
      <c r="AU74" s="71">
        <f ca="1">-IF(C74=1,(F74+K74+L74+Q74)/2*'Invoer gegevens (N)'!$I$36*'Reeksen (N)'!H6,0)</f>
        <v>0</v>
      </c>
      <c r="AV74" s="71">
        <f t="shared" ref="AV74:AV132" ca="1" si="13">SUM(AK74,AN74:AU74)</f>
        <v>0</v>
      </c>
      <c r="AW74" s="72">
        <f ca="1">IFERROR(IF(E74='Invoer gegevens (N)'!$C$17+'Invoer gegevens (N)'!$I$14-1,'Invoer gegevens (N)'!$I$13*K74*'Reeksen (N)'!H6,0),0)</f>
        <v>0</v>
      </c>
      <c r="AX74" s="72">
        <f ca="1">IFERROR(IF(E74='Invoer gegevens (N)'!$C$17,-'Invoer gegevens (N)'!$C$10*('Invoer gegevens (N)'!$C$30+'Invoer gegevens (N)'!$C$31)*'Reeksen (N)'!H6,0),0)</f>
        <v>0</v>
      </c>
      <c r="AY74" s="73">
        <f ca="1">IF('Invoer gegevens (N)'!$C$34=E74,'Invoer gegevens (N)'!$C$27*'Invoer gegevens (N)'!$C$10*'Invoer gegevens (N)'!$C$36*(IF('Invoer gegevens (N)'!$C$35="ja",1,'Reeksen (N)'!J6)),IF('Invoer gegevens (N)'!$C$34+1=E74,'Invoer gegevens (N)'!$C$27*'Invoer gegevens (N)'!$C$10*'Invoer gegevens (N)'!$C$37*(IF('Invoer gegevens (N)'!$C$35="ja",1,'Reeksen (N)'!J6)),0))+IF(AND(E74='Invoer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4" s="73">
        <f ca="1">AV74/(1+'Invoer gegevens (N)'!$I$12)^($D74-('Invoer gegevens (N)'!$C$17-'Invoer gegevens (N)'!$C$16))/(1+'Invoer gegevens (N)'!$C$39)^('Invoer gegevens (N)'!$C$17-'Invoer gegevens (N)'!$C$16)</f>
        <v>0</v>
      </c>
      <c r="BA74" s="73">
        <f ca="1">AW74/(1+'Invoer gegevens (N)'!$I$12)^(E74-('Invoer gegevens (N)'!$C$17-1))/(1+'Invoer gegevens (N)'!$C$39)^('Invoer gegevens (N)'!$C$17-'Invoer gegevens (N)'!$C$16)</f>
        <v>0</v>
      </c>
      <c r="BB74" s="73">
        <f ca="1">AX74/(1+'Invoer gegevens (N)'!$C$39)^('Invoer gegevens (N)'!$C$17-'Invoer gegevens (N)'!$C$16)</f>
        <v>0</v>
      </c>
      <c r="BC74" s="72">
        <f t="shared" ref="BC74:BC132" ca="1" si="14">SUM(AZ74:BA74)</f>
        <v>0</v>
      </c>
      <c r="BD74" s="72">
        <f ca="1">IF(AND(E74='Invoer gegevens (N)'!$C$16,'Invoer gegevens (N)'!$C$34&lt;'Invoer gegevens (N)'!$C$16),AY74,AY74/(1+'Invoer gegevens (N)'!$C$39)^D74)</f>
        <v>0</v>
      </c>
      <c r="BE74" s="72">
        <f ca="1">IF(E74='Invoer gegevens (N)'!$C$34,-'Invoer gegevens (N)'!$I$38,0)</f>
        <v>0</v>
      </c>
      <c r="BF74" s="72">
        <f ca="1">IF(E74='Invoer gegevens (N)'!$C$17,-'Invoer gegevens (N)'!$C$19*$BC$134,0)</f>
        <v>0</v>
      </c>
      <c r="BG74" s="72">
        <f ca="1">AV74/(1+$BG$72)^($D74-('Invoer gegevens (N)'!$C$17-'Invoer gegevens (N)'!$C$16))/(1+'Invoer gegevens (N)'!$C$39)^('Invoer gegevens (N)'!$C$17-'Invoer gegevens (N)'!$C$16)+AW74/(1+$BG$72)^(E74-('Invoer gegevens (N)'!$C$17-1))/(1+'Invoer gegevens (N)'!$C$39)^('Invoer gegevens (N)'!$C$17-'Invoer gegevens (N)'!$C$16)+AX74/(1+'Invoer gegevens (N)'!$C$39)^('Invoer gegevens (N)'!$C$17-'Invoer gegevens (N)'!$C$16)+(-AY74/(1+'Invoer gegevens (N)'!$C$39)^D74)+BE74+BF74</f>
        <v>0</v>
      </c>
    </row>
    <row r="75" spans="1:61" x14ac:dyDescent="0.25">
      <c r="A75" s="59"/>
      <c r="B75" s="70">
        <f>B74+1</f>
        <v>3</v>
      </c>
      <c r="C75" s="67">
        <f ca="1">IF(AND(E75&gt;='Invoer gegevens (N)'!$C$17,E75&lt;'Invoer gegevens (N)'!$C$17+'Invoer gegevens (N)'!$I$14),1,0)</f>
        <v>1</v>
      </c>
      <c r="D75" s="68">
        <f>D74+1</f>
        <v>2.5</v>
      </c>
      <c r="E75" s="108">
        <f ca="1">IF('Invoer gegevens (N)'!$C$16="","",E74+1)</f>
        <v>2021</v>
      </c>
      <c r="F75" s="84">
        <f ca="1">IF('Invoer gegevens (N)'!$C$17=E75,'Invoer gegevens (N)'!$C$10,IF(C75=1,K74,0))</f>
        <v>0</v>
      </c>
      <c r="G75" s="96">
        <f ca="1">IF(E75='Invoer gegevens (N)'!$C$17+'Invoer gegevens (N)'!$I$14,K74,IF(C75&gt;=1,F75*VLOOKUP(E75,'Reeksen (N)'!$A$5:$B$76,2),0))</f>
        <v>0</v>
      </c>
      <c r="H75" s="84">
        <f ca="1">IF(E75='Invoer gegevens (N)'!$C$17+'Invoer gegevens (N)'!$I$14,K74,(1-('Invoer gegevens (N)'!$F$20/12))*F75*MIN('Reeksen (N)'!B7,'Reeksen (N)'!D7))</f>
        <v>0</v>
      </c>
      <c r="I75" s="84">
        <f>IF('Reeksen (N)'!D7&lt;'Reeksen (N)'!B7,('Reeksen (N)'!B7-'Reeksen (N)'!D7)*F75,0)</f>
        <v>0</v>
      </c>
      <c r="J75" s="84">
        <f ca="1">IF(E75='Invoer gegevens (N)'!$C$17+'Invoer gegevens (N)'!$I$14+1,0,('Invoer gegevens (N)'!$F$20/12)*F74*MIN('Reeksen (N)'!B6,'Reeksen (N)'!D6))</f>
        <v>0</v>
      </c>
      <c r="K75" s="97">
        <f ca="1">IF(E75&gt;='Invoer gegevens (N)'!$C$17+'Invoer gegevens (N)'!$I$14,0,F75-G75)</f>
        <v>0</v>
      </c>
      <c r="L75" s="84">
        <f ca="1">IF('Invoer gegevens (N)'!$C$17=E75,0,IF(C75=1,Q74,0))</f>
        <v>0</v>
      </c>
      <c r="M75" s="96">
        <f ca="1">IF(E75='Invoer gegevens (N)'!$C$17+'Invoer gegevens (N)'!$I$14,Q74,IF(C75&gt;=1,L75*VLOOKUP(E75,'Reeksen (N)'!$A$5:$B$76,2),0))</f>
        <v>0</v>
      </c>
      <c r="N75" s="84">
        <f ca="1">IF(C75='Invoer gegevens (N)'!$C$17+'Invoer gegevens (N)'!$I$14,Q74,(1-('Invoer gegevens (N)'!$F$20/12))*L75*MIN('Reeksen (N)'!B7,'Reeksen (N)'!D7))</f>
        <v>0</v>
      </c>
      <c r="O75" s="84">
        <f>IF('Reeksen (N)'!D7&lt;'Reeksen (N)'!B7,('Reeksen (N)'!B7-'Reeksen (N)'!D7)*L75,0)</f>
        <v>0</v>
      </c>
      <c r="P75" s="84">
        <f ca="1">IF(E75='Invoer gegevens (N)'!$C$17+'Invoer gegevens (N)'!$I$14+1,0,('Invoer gegevens (N)'!$F$20/12)*L74*MIN('Reeksen (N)'!B6,'Reeksen (N)'!D6))</f>
        <v>0</v>
      </c>
      <c r="Q75" s="84">
        <f ca="1">IF(E75&gt;='Invoer gegevens (N)'!$C$17+'Invoer gegevens (N)'!$I$14,0,L75-M75+I75+O75)</f>
        <v>0</v>
      </c>
      <c r="R75" s="82">
        <f ca="1">IF('Invoer gegevens (N)'!$C$17=E75,'Invoer gegevens (N)'!$C$11,IF(C75=1,W74,0))</f>
        <v>0</v>
      </c>
      <c r="S75" s="86">
        <f ca="1">IF(E75='Invoer gegevens (N)'!$C$17+'Invoer gegevens (N)'!$I$14,W74,IF(C75&gt;=1,R75*VLOOKUP(E75,'Reeksen (N)'!$A$5:$B$76,2),0))</f>
        <v>0</v>
      </c>
      <c r="T75" s="84">
        <f ca="1">IF(E75='Invoer gegevens (N)'!$C$17+'Invoer gegevens (N)'!$I$14,W74,(1-('Invoer gegevens (N)'!$F$20/12))*R75*MIN('Reeksen (N)'!B7,'Reeksen (N)'!D7))</f>
        <v>0</v>
      </c>
      <c r="U75" s="84">
        <f>IF('Reeksen (N)'!D7&gt;='Reeksen (N)'!B7,0,IF('Reeksen (N)'!AK7&lt;='Reeksen (N)'!AE7,('Reeksen (N)'!B7-'Reeksen (N)'!D7)*R75,0))</f>
        <v>0</v>
      </c>
      <c r="V75" s="86">
        <f>IF('Reeksen (N)'!D7&gt;='Reeksen (N)'!B7,0,IF('Reeksen (N)'!AK7&gt;'Reeksen (N)'!AE7,('Reeksen (N)'!B7-'Reeksen (N)'!D7)*R75,0))</f>
        <v>0</v>
      </c>
      <c r="W75" s="97">
        <f ca="1">IF(E75&gt;='Invoer gegevens (N)'!$C$17+'Invoer gegevens (N)'!$I$14,0,R75-S75)</f>
        <v>0</v>
      </c>
      <c r="X75" s="98">
        <f ca="1">IF('Invoer gegevens (N)'!$C$17=E75,'Invoer gegevens (N)'!$C$10-'Invoer gegevens (N)'!$C$11,IF(C75=1,AC74,0))</f>
        <v>0</v>
      </c>
      <c r="Y75" s="98">
        <f ca="1">IF(E75='Invoer gegevens (N)'!$C$17+'Invoer gegevens (N)'!$I$14,AC74,IF(C75&gt;=1,X75*VLOOKUP(E75,'Reeksen (N)'!$A$5:$B$76,2),0))</f>
        <v>0</v>
      </c>
      <c r="Z75" s="98">
        <f ca="1">IF(E75='Invoer gegevens (N)'!$C$17+'Invoer gegevens (N)'!$I$14,AC74,(1-('Invoer gegevens (N)'!$F$20/12))*X75*MIN('Reeksen (N)'!B7,'Reeksen (N)'!D7))</f>
        <v>0</v>
      </c>
      <c r="AA75" s="98">
        <f>IF('Reeksen (N)'!D7&gt;='Reeksen (N)'!B7,0,IF('Reeksen (N)'!AK7&lt;='Reeksen (N)'!AE7,('Reeksen (N)'!B7-'Reeksen (N)'!D7)*X75,0))</f>
        <v>0</v>
      </c>
      <c r="AB75" s="98">
        <f>IF('Reeksen (N)'!D7&gt;='Reeksen (N)'!B7,0,IF('Reeksen (N)'!AK7&gt;'Reeksen (N)'!AE7,('Reeksen (N)'!B7-'Reeksen (N)'!D7)*X75,0))</f>
        <v>0</v>
      </c>
      <c r="AC75" s="99">
        <f ca="1">IF(E75&gt;='Invoer gegevens (N)'!$C$17+'Invoer gegevens (N)'!$I$14,0,X75-Y75)</f>
        <v>0</v>
      </c>
      <c r="AD75" s="98">
        <f ca="1">IF('Invoer gegevens (N)'!$C$17=E7,R75,IF(C7=0,0,AE74))</f>
        <v>0</v>
      </c>
      <c r="AE75" s="98">
        <f t="shared" ca="1" si="9"/>
        <v>0</v>
      </c>
      <c r="AF75" s="98">
        <f ca="1">IF('Invoer gegevens (N)'!$C$17=E7,X75,IF(C7=0,0,AG74))</f>
        <v>0</v>
      </c>
      <c r="AG75" s="98">
        <f t="shared" ca="1" si="10"/>
        <v>0</v>
      </c>
      <c r="AH75" s="70"/>
      <c r="AI75" s="71">
        <f ca="1">IF(C75=1,(('Reeksen (N)'!BF7*(F75-G75+F75)/2)+((L75-M75+L75)/2*'Reeksen (N)'!BG7))*12,0)</f>
        <v>0</v>
      </c>
      <c r="AJ75" s="71">
        <f ca="1">-AI75*'Invoer gegevens (N)'!$I$26</f>
        <v>0</v>
      </c>
      <c r="AK75" s="71">
        <f t="shared" ca="1" si="11"/>
        <v>0</v>
      </c>
      <c r="AL75" s="71">
        <f ca="1">IF(C75=1,'Reeksen (N)'!AL7*((F75-G75+F75)/2)*12+'Reeksen (N)'!AM7*((L75-M75+L75)/2)*12,0)</f>
        <v>0</v>
      </c>
      <c r="AM75" s="71">
        <f ca="1">-AL75*'Invoer gegevens (N)'!$F$31</f>
        <v>0</v>
      </c>
      <c r="AN75" s="71">
        <f t="shared" ca="1" si="12"/>
        <v>0</v>
      </c>
      <c r="AO75" s="71">
        <f ca="1">IF(E75&gt;='Invoer gegevens (N)'!$C$17+'Invoer gegevens (N)'!$I$14,0,IF(C75=1,(H75+J75+N75+P75)*'Reeksen (N)'!AN7,0))</f>
        <v>0</v>
      </c>
      <c r="AP75" s="71">
        <f ca="1">-IF(C75=1,(H75+J75+N75+P75)*'Reeksen (N)'!AN6*'Hulp - basis'!$J$550,0)</f>
        <v>0</v>
      </c>
      <c r="AQ75" s="71">
        <f ca="1">-IF(C75=1,(F75+K75+L75+Q75)/2*'Invoer gegevens (N)'!$I$33*'Reeksen (N)'!J7,0)</f>
        <v>0</v>
      </c>
      <c r="AR75" s="71">
        <f ca="1">-IF(C75=1,(I75*'Invoer gegevens (N)'!$I$34)*'Reeksen (N)'!J7,0)</f>
        <v>0</v>
      </c>
      <c r="AS75" s="71">
        <f ca="1">-IF(C75=1,(F75+K75+L75+Q75)/2*'Invoer gegevens (N)'!$I$35*'Reeksen (N)'!L7,0)</f>
        <v>0</v>
      </c>
      <c r="AT75" s="71">
        <f ca="1">-IF(C75=1,IF(E75='Invoer gegevens (N)'!$C$17,'Invoer gegevens (N)'!$C$11,AD75)*'Reeksen (N)'!S7*'Invoer gegevens (N)'!$C$18*'Reeksen (N)'!P7,0)</f>
        <v>0</v>
      </c>
      <c r="AU75" s="71">
        <f ca="1">-IF(C75=1,(F75+K75+L75+Q75)/2*'Invoer gegevens (N)'!$I$36*'Reeksen (N)'!H7,0)</f>
        <v>0</v>
      </c>
      <c r="AV75" s="71">
        <f t="shared" ca="1" si="13"/>
        <v>0</v>
      </c>
      <c r="AW75" s="72">
        <f ca="1">IFERROR(IF(E75='Invoer gegevens (N)'!$C$17+'Invoer gegevens (N)'!$I$14-1,'Invoer gegevens (N)'!$I$13*K75*'Reeksen (N)'!H7,0),0)</f>
        <v>0</v>
      </c>
      <c r="AX75" s="72">
        <f ca="1">IFERROR(IF(E75='Invoer gegevens (N)'!$C$17,-'Invoer gegevens (N)'!$C$10*('Invoer gegevens (N)'!$C$30+'Invoer gegevens (N)'!$C$31)*'Reeksen (N)'!H7,0),0)</f>
        <v>0</v>
      </c>
      <c r="AY75" s="73">
        <f ca="1">IF('Invoer gegevens (N)'!$C$34=E75,'Invoer gegevens (N)'!$C$27*'Invoer gegevens (N)'!$C$10*'Invoer gegevens (N)'!$C$36*(IF('Invoer gegevens (N)'!$C$35="ja",1,'Reeksen (N)'!J7)),IF('Invoer gegevens (N)'!$C$34+1=E75,'Invoer gegevens (N)'!$C$27*'Invoer gegevens (N)'!$C$10*'Invoer gegevens (N)'!$C$37*(IF('Invoer gegevens (N)'!$C$35="ja",1,'Reeksen (N)'!J7)),0))+IF(AND(E75='Invoer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5" s="73">
        <f ca="1">AV75/(1+'Invoer gegevens (N)'!$I$12)^($D75-('Invoer gegevens (N)'!$C$17-'Invoer gegevens (N)'!$C$16))/(1+'Invoer gegevens (N)'!$C$39)^('Invoer gegevens (N)'!$C$17-'Invoer gegevens (N)'!$C$16)</f>
        <v>0</v>
      </c>
      <c r="BA75" s="73">
        <f ca="1">AW75/(1+'Invoer gegevens (N)'!$I$12)^(E75-('Invoer gegevens (N)'!$C$17-1))/(1+'Invoer gegevens (N)'!$C$39)^('Invoer gegevens (N)'!$C$17-'Invoer gegevens (N)'!$C$16)</f>
        <v>0</v>
      </c>
      <c r="BB75" s="73">
        <f ca="1">AX75/(1+'Invoer gegevens (N)'!$C$39)^('Invoer gegevens (N)'!$C$17-'Invoer gegevens (N)'!$C$16)</f>
        <v>0</v>
      </c>
      <c r="BC75" s="72">
        <f t="shared" ca="1" si="14"/>
        <v>0</v>
      </c>
      <c r="BD75" s="72">
        <f ca="1">IF(AND(E75='Invoer gegevens (N)'!$C$16,'Invoer gegevens (N)'!$C$34&lt;'Invoer gegevens (N)'!$C$16),AY75,AY75/(1+'Invoer gegevens (N)'!$C$39)^D75)</f>
        <v>0</v>
      </c>
      <c r="BE75" s="72">
        <f ca="1">IF(E75='Invoer gegevens (N)'!$C$34,-'Invoer gegevens (N)'!$I$38,0)</f>
        <v>0</v>
      </c>
      <c r="BF75" s="72">
        <f ca="1">IF(E75='Invoer gegevens (N)'!$C$17,-'Invoer gegevens (N)'!$C$19*$BC$134,0)</f>
        <v>0</v>
      </c>
      <c r="BG75" s="72">
        <f ca="1">AV75/(1+$BG$72)^($D75-('Invoer gegevens (N)'!$C$17-'Invoer gegevens (N)'!$C$16))/(1+'Invoer gegevens (N)'!$C$39)^('Invoer gegevens (N)'!$C$17-'Invoer gegevens (N)'!$C$16)+AW75/(1+$BG$72)^(E75-('Invoer gegevens (N)'!$C$17-1))/(1+'Invoer gegevens (N)'!$C$39)^('Invoer gegevens (N)'!$C$17-'Invoer gegevens (N)'!$C$16)+AX75/(1+'Invoer gegevens (N)'!$C$39)^('Invoer gegevens (N)'!$C$17-'Invoer gegevens (N)'!$C$16)+(-AY75/(1+'Invoer gegevens (N)'!$C$39)^D75)+BE75+BF75</f>
        <v>0</v>
      </c>
    </row>
    <row r="76" spans="1:61" x14ac:dyDescent="0.25">
      <c r="A76" s="59"/>
      <c r="B76" s="70">
        <f t="shared" ref="B76:B132" si="15">B75+1</f>
        <v>4</v>
      </c>
      <c r="C76" s="67">
        <f ca="1">IF(AND(E76&gt;='Invoer gegevens (N)'!$C$17,E76&lt;'Invoer gegevens (N)'!$C$17+'Invoer gegevens (N)'!$I$14),1,0)</f>
        <v>1</v>
      </c>
      <c r="D76" s="68">
        <f t="shared" ref="D76:D132" si="16">D75+1</f>
        <v>3.5</v>
      </c>
      <c r="E76" s="108">
        <f ca="1">IF('Invoer gegevens (N)'!$C$16="","",E75+1)</f>
        <v>2022</v>
      </c>
      <c r="F76" s="84">
        <f ca="1">IF('Invoer gegevens (N)'!$C$17=E76,'Invoer gegevens (N)'!$C$10,IF(C76=1,K75,0))</f>
        <v>0</v>
      </c>
      <c r="G76" s="96">
        <f ca="1">IF(E76='Invoer gegevens (N)'!$C$17+'Invoer gegevens (N)'!$I$14,K75,IF(C76&gt;=1,F76*VLOOKUP(E76,'Reeksen (N)'!$A$5:$B$76,2),0))</f>
        <v>0</v>
      </c>
      <c r="H76" s="84">
        <f ca="1">IF(E76='Invoer gegevens (N)'!$C$17+'Invoer gegevens (N)'!$I$14,K75,(1-('Invoer gegevens (N)'!$F$20/12))*F76*MIN('Reeksen (N)'!B8,'Reeksen (N)'!D8))</f>
        <v>0</v>
      </c>
      <c r="I76" s="84">
        <f>IF('Reeksen (N)'!D8&lt;'Reeksen (N)'!B8,('Reeksen (N)'!B8-'Reeksen (N)'!D8)*F76,0)</f>
        <v>0</v>
      </c>
      <c r="J76" s="84">
        <f ca="1">IF(E76='Invoer gegevens (N)'!$C$17+'Invoer gegevens (N)'!$I$14+1,0,('Invoer gegevens (N)'!$F$20/12)*F75*MIN('Reeksen (N)'!B7,'Reeksen (N)'!D7))</f>
        <v>0</v>
      </c>
      <c r="K76" s="97">
        <f ca="1">IF(E76&gt;='Invoer gegevens (N)'!$C$17+'Invoer gegevens (N)'!$I$14,0,F76-G76)</f>
        <v>0</v>
      </c>
      <c r="L76" s="84">
        <f ca="1">IF('Invoer gegevens (N)'!$C$17=E76,0,IF(C76=1,Q75,0))</f>
        <v>0</v>
      </c>
      <c r="M76" s="96">
        <f ca="1">IF(E76='Invoer gegevens (N)'!$C$17+'Invoer gegevens (N)'!$I$14,Q75,IF(C76&gt;=1,L76*VLOOKUP(E76,'Reeksen (N)'!$A$5:$B$76,2),0))</f>
        <v>0</v>
      </c>
      <c r="N76" s="84">
        <f ca="1">IF(C76='Invoer gegevens (N)'!$C$17+'Invoer gegevens (N)'!$I$14,Q75,(1-('Invoer gegevens (N)'!$F$20/12))*L76*MIN('Reeksen (N)'!B8,'Reeksen (N)'!D8))</f>
        <v>0</v>
      </c>
      <c r="O76" s="84">
        <f>IF('Reeksen (N)'!D8&lt;'Reeksen (N)'!B8,('Reeksen (N)'!B8-'Reeksen (N)'!D8)*L76,0)</f>
        <v>0</v>
      </c>
      <c r="P76" s="84">
        <f ca="1">IF(E76='Invoer gegevens (N)'!$C$17+'Invoer gegevens (N)'!$I$14+1,0,('Invoer gegevens (N)'!$F$20/12)*L75*MIN('Reeksen (N)'!B7,'Reeksen (N)'!D7))</f>
        <v>0</v>
      </c>
      <c r="Q76" s="84">
        <f ca="1">IF(E76&gt;='Invoer gegevens (N)'!$C$17+'Invoer gegevens (N)'!$I$14,0,L76-M76+I76+O76)</f>
        <v>0</v>
      </c>
      <c r="R76" s="82">
        <f ca="1">IF('Invoer gegevens (N)'!$C$17=E76,'Invoer gegevens (N)'!$C$11,IF(C76=1,W75,0))</f>
        <v>0</v>
      </c>
      <c r="S76" s="86">
        <f ca="1">IF(E76='Invoer gegevens (N)'!$C$17+'Invoer gegevens (N)'!$I$14,W75,IF(C76&gt;=1,R76*VLOOKUP(E76,'Reeksen (N)'!$A$5:$B$76,2),0))</f>
        <v>0</v>
      </c>
      <c r="T76" s="84">
        <f ca="1">IF(E76='Invoer gegevens (N)'!$C$17+'Invoer gegevens (N)'!$I$14,W75,(1-('Invoer gegevens (N)'!$F$20/12))*R76*MIN('Reeksen (N)'!B8,'Reeksen (N)'!D8))</f>
        <v>0</v>
      </c>
      <c r="U76" s="84">
        <f>IF('Reeksen (N)'!D8&gt;='Reeksen (N)'!B8,0,IF('Reeksen (N)'!AK8&lt;='Reeksen (N)'!AE8,('Reeksen (N)'!B8-'Reeksen (N)'!D8)*R76,0))</f>
        <v>0</v>
      </c>
      <c r="V76" s="86">
        <f>IF('Reeksen (N)'!D8&gt;='Reeksen (N)'!B8,0,IF('Reeksen (N)'!AK8&gt;'Reeksen (N)'!AE8,('Reeksen (N)'!B8-'Reeksen (N)'!D8)*R76,0))</f>
        <v>0</v>
      </c>
      <c r="W76" s="97">
        <f ca="1">IF(E76&gt;='Invoer gegevens (N)'!$C$17+'Invoer gegevens (N)'!$I$14,0,R76-S76)</f>
        <v>0</v>
      </c>
      <c r="X76" s="98">
        <f ca="1">IF('Invoer gegevens (N)'!$C$17=E76,'Invoer gegevens (N)'!$C$10-'Invoer gegevens (N)'!$C$11,IF(C76=1,AC75,0))</f>
        <v>0</v>
      </c>
      <c r="Y76" s="98">
        <f ca="1">IF(E76='Invoer gegevens (N)'!$C$17+'Invoer gegevens (N)'!$I$14,AC75,IF(C76&gt;=1,X76*VLOOKUP(E76,'Reeksen (N)'!$A$5:$B$76,2),0))</f>
        <v>0</v>
      </c>
      <c r="Z76" s="98">
        <f ca="1">IF(E76='Invoer gegevens (N)'!$C$17+'Invoer gegevens (N)'!$I$14,AC75,(1-('Invoer gegevens (N)'!$F$20/12))*X76*MIN('Reeksen (N)'!B8,'Reeksen (N)'!D8))</f>
        <v>0</v>
      </c>
      <c r="AA76" s="98">
        <f>IF('Reeksen (N)'!D8&gt;='Reeksen (N)'!B8,0,IF('Reeksen (N)'!AK8&lt;='Reeksen (N)'!AE8,('Reeksen (N)'!B8-'Reeksen (N)'!D8)*X76,0))</f>
        <v>0</v>
      </c>
      <c r="AB76" s="98">
        <f>IF('Reeksen (N)'!D8&gt;='Reeksen (N)'!B8,0,IF('Reeksen (N)'!AK8&gt;'Reeksen (N)'!AE8,('Reeksen (N)'!B8-'Reeksen (N)'!D8)*X76,0))</f>
        <v>0</v>
      </c>
      <c r="AC76" s="99">
        <f ca="1">IF(E76&gt;='Invoer gegevens (N)'!$C$17+'Invoer gegevens (N)'!$I$14,0,X76-Y76)</f>
        <v>0</v>
      </c>
      <c r="AD76" s="98">
        <f ca="1">IF('Invoer gegevens (N)'!$C$17=E8,R76,IF(C8=0,0,AE75))</f>
        <v>0</v>
      </c>
      <c r="AE76" s="98">
        <f t="shared" ca="1" si="9"/>
        <v>0</v>
      </c>
      <c r="AF76" s="98">
        <f ca="1">IF('Invoer gegevens (N)'!$C$17=E8,X76,IF(C8=0,0,AG75))</f>
        <v>0</v>
      </c>
      <c r="AG76" s="98">
        <f t="shared" ca="1" si="10"/>
        <v>0</v>
      </c>
      <c r="AH76" s="70"/>
      <c r="AI76" s="71">
        <f ca="1">IF(C76=1,(('Reeksen (N)'!BF8*(F76-G76+F76)/2)+((L76-M76+L76)/2*'Reeksen (N)'!BG8))*12,0)</f>
        <v>0</v>
      </c>
      <c r="AJ76" s="71">
        <f ca="1">-AI76*'Invoer gegevens (N)'!$I$26</f>
        <v>0</v>
      </c>
      <c r="AK76" s="71">
        <f t="shared" ca="1" si="11"/>
        <v>0</v>
      </c>
      <c r="AL76" s="71">
        <f ca="1">IF(C76=1,'Reeksen (N)'!AL8*((F76-G76+F76)/2)*12+'Reeksen (N)'!AM8*((L76-M76+L76)/2)*12,0)</f>
        <v>0</v>
      </c>
      <c r="AM76" s="71">
        <f ca="1">-AL76*'Invoer gegevens (N)'!$F$31</f>
        <v>0</v>
      </c>
      <c r="AN76" s="71">
        <f t="shared" ca="1" si="12"/>
        <v>0</v>
      </c>
      <c r="AO76" s="71">
        <f ca="1">IF(E76&gt;='Invoer gegevens (N)'!$C$17+'Invoer gegevens (N)'!$I$14,0,IF(C76=1,(H76+J76+N76+P76)*'Reeksen (N)'!AN8,0))</f>
        <v>0</v>
      </c>
      <c r="AP76" s="71">
        <f ca="1">-IF(C76=1,(H76+J76+N76+P76)*'Reeksen (N)'!AN7*'Hulp - basis'!$J$550,0)</f>
        <v>0</v>
      </c>
      <c r="AQ76" s="71">
        <f ca="1">-IF(C76=1,(F76+K76+L76+Q76)/2*'Invoer gegevens (N)'!$I$33*'Reeksen (N)'!J8,0)</f>
        <v>0</v>
      </c>
      <c r="AR76" s="71">
        <f ca="1">-IF(C76=1,(I76*'Invoer gegevens (N)'!$I$34)*'Reeksen (N)'!J8,0)</f>
        <v>0</v>
      </c>
      <c r="AS76" s="71">
        <f ca="1">-IF(C76=1,(F76+K76+L76+Q76)/2*'Invoer gegevens (N)'!$I$35*'Reeksen (N)'!L8,0)</f>
        <v>0</v>
      </c>
      <c r="AT76" s="71">
        <f ca="1">-IF(C76=1,IF(E76='Invoer gegevens (N)'!$C$17,'Invoer gegevens (N)'!$C$11,AD76)*'Reeksen (N)'!S8*'Invoer gegevens (N)'!$C$18*'Reeksen (N)'!P8,0)</f>
        <v>0</v>
      </c>
      <c r="AU76" s="71">
        <f ca="1">-IF(C76=1,(F76+K76+L76+Q76)/2*'Invoer gegevens (N)'!$I$36*'Reeksen (N)'!H8,0)</f>
        <v>0</v>
      </c>
      <c r="AV76" s="71">
        <f t="shared" ca="1" si="13"/>
        <v>0</v>
      </c>
      <c r="AW76" s="72">
        <f ca="1">IFERROR(IF(E76='Invoer gegevens (N)'!$C$17+'Invoer gegevens (N)'!$I$14-1,'Invoer gegevens (N)'!$I$13*K76*'Reeksen (N)'!H8,0),0)</f>
        <v>0</v>
      </c>
      <c r="AX76" s="72">
        <f ca="1">IFERROR(IF(E76='Invoer gegevens (N)'!$C$17,-'Invoer gegevens (N)'!$C$10*('Invoer gegevens (N)'!$C$30+'Invoer gegevens (N)'!$C$31)*'Reeksen (N)'!H8,0),0)</f>
        <v>0</v>
      </c>
      <c r="AY76" s="73">
        <f ca="1">IF('Invoer gegevens (N)'!$C$34=E76,'Invoer gegevens (N)'!$C$27*'Invoer gegevens (N)'!$C$10*'Invoer gegevens (N)'!$C$36*(IF('Invoer gegevens (N)'!$C$35="ja",1,'Reeksen (N)'!J8)),IF('Invoer gegevens (N)'!$C$34+1=E76,'Invoer gegevens (N)'!$C$27*'Invoer gegevens (N)'!$C$10*'Invoer gegevens (N)'!$C$37*(IF('Invoer gegevens (N)'!$C$35="ja",1,'Reeksen (N)'!J8)),0))+IF(AND(E76='Invoer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6" s="73">
        <f ca="1">AV76/(1+'Invoer gegevens (N)'!$I$12)^($D76-('Invoer gegevens (N)'!$C$17-'Invoer gegevens (N)'!$C$16))/(1+'Invoer gegevens (N)'!$C$39)^('Invoer gegevens (N)'!$C$17-'Invoer gegevens (N)'!$C$16)</f>
        <v>0</v>
      </c>
      <c r="BA76" s="73">
        <f ca="1">AW76/(1+'Invoer gegevens (N)'!$I$12)^(E76-('Invoer gegevens (N)'!$C$17-1))/(1+'Invoer gegevens (N)'!$C$39)^('Invoer gegevens (N)'!$C$17-'Invoer gegevens (N)'!$C$16)</f>
        <v>0</v>
      </c>
      <c r="BB76" s="73">
        <f ca="1">AX76/(1+'Invoer gegevens (N)'!$C$39)^('Invoer gegevens (N)'!$C$17-'Invoer gegevens (N)'!$C$16)</f>
        <v>0</v>
      </c>
      <c r="BC76" s="72">
        <f t="shared" ca="1" si="14"/>
        <v>0</v>
      </c>
      <c r="BD76" s="72">
        <f ca="1">IF(AND(E76='Invoer gegevens (N)'!$C$16,'Invoer gegevens (N)'!$C$34&lt;'Invoer gegevens (N)'!$C$16),AY76,AY76/(1+'Invoer gegevens (N)'!$C$39)^D76)</f>
        <v>0</v>
      </c>
      <c r="BE76" s="72">
        <f ca="1">IF(E76='Invoer gegevens (N)'!$C$34,-'Invoer gegevens (N)'!$I$38,0)</f>
        <v>0</v>
      </c>
      <c r="BF76" s="72">
        <f ca="1">IF(E76='Invoer gegevens (N)'!$C$17,-'Invoer gegevens (N)'!$C$19*$BC$134,0)</f>
        <v>0</v>
      </c>
      <c r="BG76" s="72">
        <f ca="1">AV76/(1+$BG$72)^($D76-('Invoer gegevens (N)'!$C$17-'Invoer gegevens (N)'!$C$16))/(1+'Invoer gegevens (N)'!$C$39)^('Invoer gegevens (N)'!$C$17-'Invoer gegevens (N)'!$C$16)+AW76/(1+$BG$72)^(E76-('Invoer gegevens (N)'!$C$17-1))/(1+'Invoer gegevens (N)'!$C$39)^('Invoer gegevens (N)'!$C$17-'Invoer gegevens (N)'!$C$16)+AX76/(1+'Invoer gegevens (N)'!$C$39)^('Invoer gegevens (N)'!$C$17-'Invoer gegevens (N)'!$C$16)+(-AY76/(1+'Invoer gegevens (N)'!$C$39)^D76)+BE76+BF76</f>
        <v>0</v>
      </c>
    </row>
    <row r="77" spans="1:61" x14ac:dyDescent="0.25">
      <c r="A77" s="59"/>
      <c r="B77" s="70">
        <f t="shared" si="15"/>
        <v>5</v>
      </c>
      <c r="C77" s="67">
        <f ca="1">IF(AND(E77&gt;='Invoer gegevens (N)'!$C$17,E77&lt;'Invoer gegevens (N)'!$C$17+'Invoer gegevens (N)'!$I$14),1,0)</f>
        <v>1</v>
      </c>
      <c r="D77" s="68">
        <f t="shared" si="16"/>
        <v>4.5</v>
      </c>
      <c r="E77" s="108">
        <f ca="1">IF('Invoer gegevens (N)'!$C$16="","",E76+1)</f>
        <v>2023</v>
      </c>
      <c r="F77" s="84">
        <f ca="1">IF('Invoer gegevens (N)'!$C$17=E77,'Invoer gegevens (N)'!$C$10,IF(C77=1,K76,0))</f>
        <v>0</v>
      </c>
      <c r="G77" s="96">
        <f ca="1">IF(E77='Invoer gegevens (N)'!$C$17+'Invoer gegevens (N)'!$I$14,K76,IF(C77&gt;=1,F77*VLOOKUP(E77,'Reeksen (N)'!$A$5:$B$76,2),0))</f>
        <v>0</v>
      </c>
      <c r="H77" s="84">
        <f ca="1">IF(E77='Invoer gegevens (N)'!$C$17+'Invoer gegevens (N)'!$I$14,K76,(1-('Invoer gegevens (N)'!$F$20/12))*F77*MIN('Reeksen (N)'!B9,'Reeksen (N)'!D9))</f>
        <v>0</v>
      </c>
      <c r="I77" s="84">
        <f>IF('Reeksen (N)'!D9&lt;'Reeksen (N)'!B9,('Reeksen (N)'!B9-'Reeksen (N)'!D9)*F77,0)</f>
        <v>0</v>
      </c>
      <c r="J77" s="84">
        <f ca="1">IF(E77='Invoer gegevens (N)'!$C$17+'Invoer gegevens (N)'!$I$14+1,0,('Invoer gegevens (N)'!$F$20/12)*F76*MIN('Reeksen (N)'!B8,'Reeksen (N)'!D8))</f>
        <v>0</v>
      </c>
      <c r="K77" s="97">
        <f ca="1">IF(E77&gt;='Invoer gegevens (N)'!$C$17+'Invoer gegevens (N)'!$I$14,0,F77-G77)</f>
        <v>0</v>
      </c>
      <c r="L77" s="84">
        <f ca="1">IF('Invoer gegevens (N)'!$C$17=E77,0,IF(C77=1,Q76,0))</f>
        <v>0</v>
      </c>
      <c r="M77" s="96">
        <f ca="1">IF(E77='Invoer gegevens (N)'!$C$17+'Invoer gegevens (N)'!$I$14,Q76,IF(C77&gt;=1,L77*VLOOKUP(E77,'Reeksen (N)'!$A$5:$B$76,2),0))</f>
        <v>0</v>
      </c>
      <c r="N77" s="84">
        <f ca="1">IF(C77='Invoer gegevens (N)'!$C$17+'Invoer gegevens (N)'!$I$14,Q76,(1-('Invoer gegevens (N)'!$F$20/12))*L77*MIN('Reeksen (N)'!B9,'Reeksen (N)'!D9))</f>
        <v>0</v>
      </c>
      <c r="O77" s="84">
        <f>IF('Reeksen (N)'!D9&lt;'Reeksen (N)'!B9,('Reeksen (N)'!B9-'Reeksen (N)'!D9)*L77,0)</f>
        <v>0</v>
      </c>
      <c r="P77" s="84">
        <f ca="1">IF(E77='Invoer gegevens (N)'!$C$17+'Invoer gegevens (N)'!$I$14+1,0,('Invoer gegevens (N)'!$F$20/12)*L76*MIN('Reeksen (N)'!B8,'Reeksen (N)'!D8))</f>
        <v>0</v>
      </c>
      <c r="Q77" s="84">
        <f ca="1">IF(E77&gt;='Invoer gegevens (N)'!$C$17+'Invoer gegevens (N)'!$I$14,0,L77-M77+I77+O77)</f>
        <v>0</v>
      </c>
      <c r="R77" s="82">
        <f ca="1">IF('Invoer gegevens (N)'!$C$17=E77,'Invoer gegevens (N)'!$C$11,IF(C77=1,W76,0))</f>
        <v>0</v>
      </c>
      <c r="S77" s="86">
        <f ca="1">IF(E77='Invoer gegevens (N)'!$C$17+'Invoer gegevens (N)'!$I$14,W76,IF(C77&gt;=1,R77*VLOOKUP(E77,'Reeksen (N)'!$A$5:$B$76,2),0))</f>
        <v>0</v>
      </c>
      <c r="T77" s="84">
        <f ca="1">IF(E77='Invoer gegevens (N)'!$C$17+'Invoer gegevens (N)'!$I$14,W76,(1-('Invoer gegevens (N)'!$F$20/12))*R77*MIN('Reeksen (N)'!B9,'Reeksen (N)'!D9))</f>
        <v>0</v>
      </c>
      <c r="U77" s="84">
        <f>IF('Reeksen (N)'!D9&gt;='Reeksen (N)'!B9,0,IF('Reeksen (N)'!AK9&lt;='Reeksen (N)'!AE9,('Reeksen (N)'!B9-'Reeksen (N)'!D9)*R77,0))</f>
        <v>0</v>
      </c>
      <c r="V77" s="86">
        <f>IF('Reeksen (N)'!D9&gt;='Reeksen (N)'!B9,0,IF('Reeksen (N)'!AK9&gt;'Reeksen (N)'!AE9,('Reeksen (N)'!B9-'Reeksen (N)'!D9)*R77,0))</f>
        <v>0</v>
      </c>
      <c r="W77" s="97">
        <f ca="1">IF(E77&gt;='Invoer gegevens (N)'!$C$17+'Invoer gegevens (N)'!$I$14,0,R77-S77)</f>
        <v>0</v>
      </c>
      <c r="X77" s="98">
        <f ca="1">IF('Invoer gegevens (N)'!$C$17=E77,'Invoer gegevens (N)'!$C$10-'Invoer gegevens (N)'!$C$11,IF(C77=1,AC76,0))</f>
        <v>0</v>
      </c>
      <c r="Y77" s="98">
        <f ca="1">IF(E77='Invoer gegevens (N)'!$C$17+'Invoer gegevens (N)'!$I$14,AC76,IF(C77&gt;=1,X77*VLOOKUP(E77,'Reeksen (N)'!$A$5:$B$76,2),0))</f>
        <v>0</v>
      </c>
      <c r="Z77" s="98">
        <f ca="1">IF(E77='Invoer gegevens (N)'!$C$17+'Invoer gegevens (N)'!$I$14,AC76,(1-('Invoer gegevens (N)'!$F$20/12))*X77*MIN('Reeksen (N)'!B9,'Reeksen (N)'!D9))</f>
        <v>0</v>
      </c>
      <c r="AA77" s="98">
        <f>IF('Reeksen (N)'!D9&gt;='Reeksen (N)'!B9,0,IF('Reeksen (N)'!AK9&lt;='Reeksen (N)'!AE9,('Reeksen (N)'!B9-'Reeksen (N)'!D9)*X77,0))</f>
        <v>0</v>
      </c>
      <c r="AB77" s="98">
        <f>IF('Reeksen (N)'!D9&gt;='Reeksen (N)'!B9,0,IF('Reeksen (N)'!AK9&gt;'Reeksen (N)'!AE9,('Reeksen (N)'!B9-'Reeksen (N)'!D9)*X77,0))</f>
        <v>0</v>
      </c>
      <c r="AC77" s="99">
        <f ca="1">IF(E77&gt;='Invoer gegevens (N)'!$C$17+'Invoer gegevens (N)'!$I$14,0,X77-Y77)</f>
        <v>0</v>
      </c>
      <c r="AD77" s="98">
        <f ca="1">IF('Invoer gegevens (N)'!$C$17=E9,R77,IF(C9=0,0,AE76))</f>
        <v>0</v>
      </c>
      <c r="AE77" s="98">
        <f t="shared" ca="1" si="9"/>
        <v>0</v>
      </c>
      <c r="AF77" s="98">
        <f ca="1">IF('Invoer gegevens (N)'!$C$17=E9,X77,IF(C9=0,0,AG76))</f>
        <v>0</v>
      </c>
      <c r="AG77" s="98">
        <f t="shared" ca="1" si="10"/>
        <v>0</v>
      </c>
      <c r="AH77" s="70"/>
      <c r="AI77" s="71">
        <f ca="1">IF(C77=1,(('Reeksen (N)'!BF9*(F77-G77+F77)/2)+((L77-M77+L77)/2*'Reeksen (N)'!BG9))*12,0)</f>
        <v>0</v>
      </c>
      <c r="AJ77" s="71">
        <f ca="1">-AI77*'Invoer gegevens (N)'!$I$26</f>
        <v>0</v>
      </c>
      <c r="AK77" s="71">
        <f t="shared" ca="1" si="11"/>
        <v>0</v>
      </c>
      <c r="AL77" s="71">
        <f ca="1">IF(C77=1,'Reeksen (N)'!AL9*((F77-G77+F77)/2)*12+'Reeksen (N)'!AM9*((L77-M77+L77)/2)*12,0)</f>
        <v>0</v>
      </c>
      <c r="AM77" s="71">
        <f ca="1">-AL77*'Invoer gegevens (N)'!$F$31</f>
        <v>0</v>
      </c>
      <c r="AN77" s="71">
        <f t="shared" ca="1" si="12"/>
        <v>0</v>
      </c>
      <c r="AO77" s="71">
        <f ca="1">IF(E77&gt;='Invoer gegevens (N)'!$C$17+'Invoer gegevens (N)'!$I$14,0,IF(C77=1,(H77+J77+N77+P77)*'Reeksen (N)'!AN9,0))</f>
        <v>0</v>
      </c>
      <c r="AP77" s="71">
        <f ca="1">-IF(C77=1,(H77+J77+N77+P77)*'Reeksen (N)'!AN8*'Hulp - basis'!$J$550,0)</f>
        <v>0</v>
      </c>
      <c r="AQ77" s="71">
        <f ca="1">-IF(C77=1,(F77+K77+L77+Q77)/2*'Invoer gegevens (N)'!$I$33*'Reeksen (N)'!J9,0)</f>
        <v>0</v>
      </c>
      <c r="AR77" s="71">
        <f ca="1">-IF(C77=1,(I77*'Invoer gegevens (N)'!$I$34)*'Reeksen (N)'!J9,0)</f>
        <v>0</v>
      </c>
      <c r="AS77" s="71">
        <f ca="1">-IF(C77=1,(F77+K77+L77+Q77)/2*'Invoer gegevens (N)'!$I$35*'Reeksen (N)'!L9,0)</f>
        <v>0</v>
      </c>
      <c r="AT77" s="71">
        <f ca="1">-IF(C77=1,IF(E77='Invoer gegevens (N)'!$C$17,'Invoer gegevens (N)'!$C$11,AD77)*'Reeksen (N)'!S9*'Invoer gegevens (N)'!$C$18*'Reeksen (N)'!P9,0)</f>
        <v>0</v>
      </c>
      <c r="AU77" s="71">
        <f ca="1">-IF(C77=1,(F77+K77+L77+Q77)/2*'Invoer gegevens (N)'!$I$36*'Reeksen (N)'!H9,0)</f>
        <v>0</v>
      </c>
      <c r="AV77" s="71">
        <f t="shared" ca="1" si="13"/>
        <v>0</v>
      </c>
      <c r="AW77" s="72">
        <f ca="1">IFERROR(IF(E77='Invoer gegevens (N)'!$C$17+'Invoer gegevens (N)'!$I$14-1,'Invoer gegevens (N)'!$I$13*K77*'Reeksen (N)'!H9,0),0)</f>
        <v>0</v>
      </c>
      <c r="AX77" s="72">
        <f ca="1">IFERROR(IF(E77='Invoer gegevens (N)'!$C$17,-'Invoer gegevens (N)'!$C$10*('Invoer gegevens (N)'!$C$30+'Invoer gegevens (N)'!$C$31)*'Reeksen (N)'!H9,0),0)</f>
        <v>0</v>
      </c>
      <c r="AY77" s="73">
        <f ca="1">IF('Invoer gegevens (N)'!$C$34=E77,'Invoer gegevens (N)'!$C$27*'Invoer gegevens (N)'!$C$10*'Invoer gegevens (N)'!$C$36*(IF('Invoer gegevens (N)'!$C$35="ja",1,'Reeksen (N)'!J9)),IF('Invoer gegevens (N)'!$C$34+1=E77,'Invoer gegevens (N)'!$C$27*'Invoer gegevens (N)'!$C$10*'Invoer gegevens (N)'!$C$37*(IF('Invoer gegevens (N)'!$C$35="ja",1,'Reeksen (N)'!J9)),0))+IF(AND(E77='Invoer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7" s="73">
        <f ca="1">AV77/(1+'Invoer gegevens (N)'!$I$12)^($D77-('Invoer gegevens (N)'!$C$17-'Invoer gegevens (N)'!$C$16))/(1+'Invoer gegevens (N)'!$C$39)^('Invoer gegevens (N)'!$C$17-'Invoer gegevens (N)'!$C$16)</f>
        <v>0</v>
      </c>
      <c r="BA77" s="73">
        <f ca="1">AW77/(1+'Invoer gegevens (N)'!$I$12)^(E77-('Invoer gegevens (N)'!$C$17-1))/(1+'Invoer gegevens (N)'!$C$39)^('Invoer gegevens (N)'!$C$17-'Invoer gegevens (N)'!$C$16)</f>
        <v>0</v>
      </c>
      <c r="BB77" s="73">
        <f ca="1">AX77/(1+'Invoer gegevens (N)'!$C$39)^('Invoer gegevens (N)'!$C$17-'Invoer gegevens (N)'!$C$16)</f>
        <v>0</v>
      </c>
      <c r="BC77" s="72">
        <f t="shared" ca="1" si="14"/>
        <v>0</v>
      </c>
      <c r="BD77" s="72">
        <f ca="1">IF(AND(E77='Invoer gegevens (N)'!$C$16,'Invoer gegevens (N)'!$C$34&lt;'Invoer gegevens (N)'!$C$16),AY77,AY77/(1+'Invoer gegevens (N)'!$C$39)^D77)</f>
        <v>0</v>
      </c>
      <c r="BE77" s="72">
        <f ca="1">IF(E77='Invoer gegevens (N)'!$C$34,-'Invoer gegevens (N)'!$I$38,0)</f>
        <v>0</v>
      </c>
      <c r="BF77" s="72">
        <f ca="1">IF(E77='Invoer gegevens (N)'!$C$17,-'Invoer gegevens (N)'!$C$19*$BC$134,0)</f>
        <v>0</v>
      </c>
      <c r="BG77" s="72">
        <f ca="1">AV77/(1+$BG$72)^($D77-('Invoer gegevens (N)'!$C$17-'Invoer gegevens (N)'!$C$16))/(1+'Invoer gegevens (N)'!$C$39)^('Invoer gegevens (N)'!$C$17-'Invoer gegevens (N)'!$C$16)+AW77/(1+$BG$72)^(E77-('Invoer gegevens (N)'!$C$17-1))/(1+'Invoer gegevens (N)'!$C$39)^('Invoer gegevens (N)'!$C$17-'Invoer gegevens (N)'!$C$16)+AX77/(1+'Invoer gegevens (N)'!$C$39)^('Invoer gegevens (N)'!$C$17-'Invoer gegevens (N)'!$C$16)+(-AY77/(1+'Invoer gegevens (N)'!$C$39)^D77)+BE77+BF77</f>
        <v>0</v>
      </c>
    </row>
    <row r="78" spans="1:61" x14ac:dyDescent="0.25">
      <c r="A78" s="59"/>
      <c r="B78" s="70">
        <f t="shared" si="15"/>
        <v>6</v>
      </c>
      <c r="C78" s="67">
        <f ca="1">IF(AND(E78&gt;='Invoer gegevens (N)'!$C$17,E78&lt;'Invoer gegevens (N)'!$C$17+'Invoer gegevens (N)'!$I$14),1,0)</f>
        <v>1</v>
      </c>
      <c r="D78" s="68">
        <f t="shared" si="16"/>
        <v>5.5</v>
      </c>
      <c r="E78" s="108">
        <f ca="1">IF('Invoer gegevens (N)'!$C$16="","",E77+1)</f>
        <v>2024</v>
      </c>
      <c r="F78" s="84">
        <f ca="1">IF('Invoer gegevens (N)'!$C$17=E78,'Invoer gegevens (N)'!$C$10,IF(C78=1,K77,0))</f>
        <v>0</v>
      </c>
      <c r="G78" s="96">
        <f ca="1">IF(E78='Invoer gegevens (N)'!$C$17+'Invoer gegevens (N)'!$I$14,K77,IF(C78&gt;=1,F78*VLOOKUP(E78,'Reeksen (N)'!$A$5:$B$76,2),0))</f>
        <v>0</v>
      </c>
      <c r="H78" s="84">
        <f ca="1">IF(E78='Invoer gegevens (N)'!$C$17+'Invoer gegevens (N)'!$I$14,K77,(1-('Invoer gegevens (N)'!$F$20/12))*F78*MIN('Reeksen (N)'!B10,'Reeksen (N)'!D10))</f>
        <v>0</v>
      </c>
      <c r="I78" s="84">
        <f>IF('Reeksen (N)'!D10&lt;'Reeksen (N)'!B10,('Reeksen (N)'!B10-'Reeksen (N)'!D10)*F78,0)</f>
        <v>0</v>
      </c>
      <c r="J78" s="84">
        <f ca="1">IF(E78='Invoer gegevens (N)'!$C$17+'Invoer gegevens (N)'!$I$14+1,0,('Invoer gegevens (N)'!$F$20/12)*F77*MIN('Reeksen (N)'!B9,'Reeksen (N)'!D9))</f>
        <v>0</v>
      </c>
      <c r="K78" s="97">
        <f ca="1">IF(E78&gt;='Invoer gegevens (N)'!$C$17+'Invoer gegevens (N)'!$I$14,0,F78-G78)</f>
        <v>0</v>
      </c>
      <c r="L78" s="84">
        <f ca="1">IF('Invoer gegevens (N)'!$C$17=E78,0,IF(C78=1,Q77,0))</f>
        <v>0</v>
      </c>
      <c r="M78" s="96">
        <f ca="1">IF(E78='Invoer gegevens (N)'!$C$17+'Invoer gegevens (N)'!$I$14,Q77,IF(C78&gt;=1,L78*VLOOKUP(E78,'Reeksen (N)'!$A$5:$B$76,2),0))</f>
        <v>0</v>
      </c>
      <c r="N78" s="84">
        <f ca="1">IF(C78='Invoer gegevens (N)'!$C$17+'Invoer gegevens (N)'!$I$14,Q77,(1-('Invoer gegevens (N)'!$F$20/12))*L78*MIN('Reeksen (N)'!B10,'Reeksen (N)'!D10))</f>
        <v>0</v>
      </c>
      <c r="O78" s="84">
        <f>IF('Reeksen (N)'!D10&lt;'Reeksen (N)'!B10,('Reeksen (N)'!B10-'Reeksen (N)'!D10)*L78,0)</f>
        <v>0</v>
      </c>
      <c r="P78" s="84">
        <f ca="1">IF(E78='Invoer gegevens (N)'!$C$17+'Invoer gegevens (N)'!$I$14+1,0,('Invoer gegevens (N)'!$F$20/12)*L77*MIN('Reeksen (N)'!B9,'Reeksen (N)'!D9))</f>
        <v>0</v>
      </c>
      <c r="Q78" s="84">
        <f ca="1">IF(E78&gt;='Invoer gegevens (N)'!$C$17+'Invoer gegevens (N)'!$I$14,0,L78-M78+I78+O78)</f>
        <v>0</v>
      </c>
      <c r="R78" s="82">
        <f ca="1">IF('Invoer gegevens (N)'!$C$17=E78,'Invoer gegevens (N)'!$C$11,IF(C78=1,W77,0))</f>
        <v>0</v>
      </c>
      <c r="S78" s="86">
        <f ca="1">IF(E78='Invoer gegevens (N)'!$C$17+'Invoer gegevens (N)'!$I$14,W77,IF(C78&gt;=1,R78*VLOOKUP(E78,'Reeksen (N)'!$A$5:$B$76,2),0))</f>
        <v>0</v>
      </c>
      <c r="T78" s="84">
        <f ca="1">IF(E78='Invoer gegevens (N)'!$C$17+'Invoer gegevens (N)'!$I$14,W77,(1-('Invoer gegevens (N)'!$F$20/12))*R78*MIN('Reeksen (N)'!B10,'Reeksen (N)'!D10))</f>
        <v>0</v>
      </c>
      <c r="U78" s="84">
        <f>IF('Reeksen (N)'!D10&gt;='Reeksen (N)'!B10,0,IF('Reeksen (N)'!AK10&lt;='Reeksen (N)'!AE10,('Reeksen (N)'!B10-'Reeksen (N)'!D10)*R78,0))</f>
        <v>0</v>
      </c>
      <c r="V78" s="86">
        <f>IF('Reeksen (N)'!D10&gt;='Reeksen (N)'!B10,0,IF('Reeksen (N)'!AK10&gt;'Reeksen (N)'!AE10,('Reeksen (N)'!B10-'Reeksen (N)'!D10)*R78,0))</f>
        <v>0</v>
      </c>
      <c r="W78" s="97">
        <f ca="1">IF(E78&gt;='Invoer gegevens (N)'!$C$17+'Invoer gegevens (N)'!$I$14,0,R78-S78)</f>
        <v>0</v>
      </c>
      <c r="X78" s="98">
        <f ca="1">IF('Invoer gegevens (N)'!$C$17=E78,'Invoer gegevens (N)'!$C$10-'Invoer gegevens (N)'!$C$11,IF(C78=1,AC77,0))</f>
        <v>0</v>
      </c>
      <c r="Y78" s="98">
        <f ca="1">IF(E78='Invoer gegevens (N)'!$C$17+'Invoer gegevens (N)'!$I$14,AC77,IF(C78&gt;=1,X78*VLOOKUP(E78,'Reeksen (N)'!$A$5:$B$76,2),0))</f>
        <v>0</v>
      </c>
      <c r="Z78" s="98">
        <f ca="1">IF(E78='Invoer gegevens (N)'!$C$17+'Invoer gegevens (N)'!$I$14,AC77,(1-('Invoer gegevens (N)'!$F$20/12))*X78*MIN('Reeksen (N)'!B10,'Reeksen (N)'!D10))</f>
        <v>0</v>
      </c>
      <c r="AA78" s="98">
        <f>IF('Reeksen (N)'!D10&gt;='Reeksen (N)'!B10,0,IF('Reeksen (N)'!AK10&lt;='Reeksen (N)'!AE10,('Reeksen (N)'!B10-'Reeksen (N)'!D10)*X78,0))</f>
        <v>0</v>
      </c>
      <c r="AB78" s="98">
        <f>IF('Reeksen (N)'!D10&gt;='Reeksen (N)'!B10,0,IF('Reeksen (N)'!AK10&gt;'Reeksen (N)'!AE10,('Reeksen (N)'!B10-'Reeksen (N)'!D10)*X78,0))</f>
        <v>0</v>
      </c>
      <c r="AC78" s="99">
        <f ca="1">IF(E78&gt;='Invoer gegevens (N)'!$C$17+'Invoer gegevens (N)'!$I$14,0,X78-Y78)</f>
        <v>0</v>
      </c>
      <c r="AD78" s="98">
        <f ca="1">IF('Invoer gegevens (N)'!$C$17=E10,R78,IF(C10=0,0,AE77))</f>
        <v>0</v>
      </c>
      <c r="AE78" s="98">
        <f t="shared" ca="1" si="9"/>
        <v>0</v>
      </c>
      <c r="AF78" s="98">
        <f ca="1">IF('Invoer gegevens (N)'!$C$17=E10,X78,IF(C10=0,0,AG77))</f>
        <v>0</v>
      </c>
      <c r="AG78" s="98">
        <f t="shared" ca="1" si="10"/>
        <v>0</v>
      </c>
      <c r="AH78" s="70"/>
      <c r="AI78" s="71">
        <f ca="1">IF(C78=1,(('Reeksen (N)'!BF10*(F78-G78+F78)/2)+((L78-M78+L78)/2*'Reeksen (N)'!BG10))*12,0)</f>
        <v>0</v>
      </c>
      <c r="AJ78" s="71">
        <f ca="1">-AI78*'Invoer gegevens (N)'!$I$26</f>
        <v>0</v>
      </c>
      <c r="AK78" s="71">
        <f t="shared" ca="1" si="11"/>
        <v>0</v>
      </c>
      <c r="AL78" s="71">
        <f ca="1">IF(C78=1,'Reeksen (N)'!AL10*((F78-G78+F78)/2)*12+'Reeksen (N)'!AM10*((L78-M78+L78)/2)*12,0)</f>
        <v>0</v>
      </c>
      <c r="AM78" s="71">
        <f ca="1">-AL78*'Invoer gegevens (N)'!$F$31</f>
        <v>0</v>
      </c>
      <c r="AN78" s="71">
        <f t="shared" ca="1" si="12"/>
        <v>0</v>
      </c>
      <c r="AO78" s="71">
        <f ca="1">IF(E78&gt;='Invoer gegevens (N)'!$C$17+'Invoer gegevens (N)'!$I$14,0,IF(C78=1,(H78+J78+N78+P78)*'Reeksen (N)'!AN10,0))</f>
        <v>0</v>
      </c>
      <c r="AP78" s="71">
        <f ca="1">-IF(C78=1,(H78+J78+N78+P78)*'Reeksen (N)'!AN9*'Hulp - basis'!$J$550,0)</f>
        <v>0</v>
      </c>
      <c r="AQ78" s="71">
        <f ca="1">-IF(C78=1,(F78+K78+L78+Q78)/2*'Invoer gegevens (N)'!$I$33*'Reeksen (N)'!J10,0)</f>
        <v>0</v>
      </c>
      <c r="AR78" s="71">
        <f ca="1">-IF(C78=1,(I78*'Invoer gegevens (N)'!$I$34)*'Reeksen (N)'!J10,0)</f>
        <v>0</v>
      </c>
      <c r="AS78" s="71">
        <f ca="1">-IF(C78=1,(F78+K78+L78+Q78)/2*'Invoer gegevens (N)'!$I$35*'Reeksen (N)'!L10,0)</f>
        <v>0</v>
      </c>
      <c r="AT78" s="71">
        <f ca="1">-IF(C78=1,IF(E78='Invoer gegevens (N)'!$C$17,'Invoer gegevens (N)'!$C$11,AD78)*'Reeksen (N)'!S10*'Invoer gegevens (N)'!$C$18*'Reeksen (N)'!P10,0)</f>
        <v>0</v>
      </c>
      <c r="AU78" s="71">
        <f ca="1">-IF(C78=1,(F78+K78+L78+Q78)/2*'Invoer gegevens (N)'!$I$36*'Reeksen (N)'!H10,0)</f>
        <v>0</v>
      </c>
      <c r="AV78" s="71">
        <f t="shared" ca="1" si="13"/>
        <v>0</v>
      </c>
      <c r="AW78" s="72">
        <f ca="1">IFERROR(IF(E78='Invoer gegevens (N)'!$C$17+'Invoer gegevens (N)'!$I$14-1,'Invoer gegevens (N)'!$I$13*K78*'Reeksen (N)'!H10,0),0)</f>
        <v>0</v>
      </c>
      <c r="AX78" s="72">
        <f ca="1">IFERROR(IF(E78='Invoer gegevens (N)'!$C$17,-'Invoer gegevens (N)'!$C$10*('Invoer gegevens (N)'!$C$30+'Invoer gegevens (N)'!$C$31)*'Reeksen (N)'!H10,0),0)</f>
        <v>0</v>
      </c>
      <c r="AY78" s="73">
        <f ca="1">IF('Invoer gegevens (N)'!$C$34=E78,'Invoer gegevens (N)'!$C$27*'Invoer gegevens (N)'!$C$10*'Invoer gegevens (N)'!$C$36*(IF('Invoer gegevens (N)'!$C$35="ja",1,'Reeksen (N)'!J10)),IF('Invoer gegevens (N)'!$C$34+1=E78,'Invoer gegevens (N)'!$C$27*'Invoer gegevens (N)'!$C$10*'Invoer gegevens (N)'!$C$37*(IF('Invoer gegevens (N)'!$C$35="ja",1,'Reeksen (N)'!J10)),0))+IF(AND(E78='Invoer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8" s="73">
        <f ca="1">AV78/(1+'Invoer gegevens (N)'!$I$12)^($D78-('Invoer gegevens (N)'!$C$17-'Invoer gegevens (N)'!$C$16))/(1+'Invoer gegevens (N)'!$C$39)^('Invoer gegevens (N)'!$C$17-'Invoer gegevens (N)'!$C$16)</f>
        <v>0</v>
      </c>
      <c r="BA78" s="73">
        <f ca="1">AW78/(1+'Invoer gegevens (N)'!$I$12)^(E78-('Invoer gegevens (N)'!$C$17-1))/(1+'Invoer gegevens (N)'!$C$39)^('Invoer gegevens (N)'!$C$17-'Invoer gegevens (N)'!$C$16)</f>
        <v>0</v>
      </c>
      <c r="BB78" s="73">
        <f ca="1">AX78/(1+'Invoer gegevens (N)'!$C$39)^('Invoer gegevens (N)'!$C$17-'Invoer gegevens (N)'!$C$16)</f>
        <v>0</v>
      </c>
      <c r="BC78" s="72">
        <f t="shared" ca="1" si="14"/>
        <v>0</v>
      </c>
      <c r="BD78" s="72">
        <f ca="1">IF(AND(E78='Invoer gegevens (N)'!$C$16,'Invoer gegevens (N)'!$C$34&lt;'Invoer gegevens (N)'!$C$16),AY78,AY78/(1+'Invoer gegevens (N)'!$C$39)^D78)</f>
        <v>0</v>
      </c>
      <c r="BE78" s="72">
        <f ca="1">IF(E78='Invoer gegevens (N)'!$C$34,-'Invoer gegevens (N)'!$I$38,0)</f>
        <v>0</v>
      </c>
      <c r="BF78" s="72">
        <f ca="1">IF(E78='Invoer gegevens (N)'!$C$17,-'Invoer gegevens (N)'!$C$19*$BC$134,0)</f>
        <v>0</v>
      </c>
      <c r="BG78" s="72">
        <f ca="1">AV78/(1+$BG$72)^($D78-('Invoer gegevens (N)'!$C$17-'Invoer gegevens (N)'!$C$16))/(1+'Invoer gegevens (N)'!$C$39)^('Invoer gegevens (N)'!$C$17-'Invoer gegevens (N)'!$C$16)+AW78/(1+$BG$72)^(E78-('Invoer gegevens (N)'!$C$17-1))/(1+'Invoer gegevens (N)'!$C$39)^('Invoer gegevens (N)'!$C$17-'Invoer gegevens (N)'!$C$16)+AX78/(1+'Invoer gegevens (N)'!$C$39)^('Invoer gegevens (N)'!$C$17-'Invoer gegevens (N)'!$C$16)+(-AY78/(1+'Invoer gegevens (N)'!$C$39)^D78)+BE78+BF78</f>
        <v>0</v>
      </c>
    </row>
    <row r="79" spans="1:61" x14ac:dyDescent="0.25">
      <c r="A79" s="59"/>
      <c r="B79" s="70">
        <f t="shared" si="15"/>
        <v>7</v>
      </c>
      <c r="C79" s="67">
        <f ca="1">IF(AND(E79&gt;='Invoer gegevens (N)'!$C$17,E79&lt;'Invoer gegevens (N)'!$C$17+'Invoer gegevens (N)'!$I$14),1,0)</f>
        <v>1</v>
      </c>
      <c r="D79" s="68">
        <f t="shared" si="16"/>
        <v>6.5</v>
      </c>
      <c r="E79" s="108">
        <f ca="1">IF('Invoer gegevens (N)'!$C$16="","",E78+1)</f>
        <v>2025</v>
      </c>
      <c r="F79" s="84">
        <f ca="1">IF('Invoer gegevens (N)'!$C$17=E79,'Invoer gegevens (N)'!$C$10,IF(C79=1,K78,0))</f>
        <v>0</v>
      </c>
      <c r="G79" s="96">
        <f ca="1">IF(E79='Invoer gegevens (N)'!$C$17+'Invoer gegevens (N)'!$I$14,K78,IF(C79&gt;=1,F79*VLOOKUP(E79,'Reeksen (N)'!$A$5:$B$76,2),0))</f>
        <v>0</v>
      </c>
      <c r="H79" s="84">
        <f ca="1">IF(E79='Invoer gegevens (N)'!$C$17+'Invoer gegevens (N)'!$I$14,K78,(1-('Invoer gegevens (N)'!$F$20/12))*F79*MIN('Reeksen (N)'!B11,'Reeksen (N)'!D11))</f>
        <v>0</v>
      </c>
      <c r="I79" s="84">
        <f>IF('Reeksen (N)'!D11&lt;'Reeksen (N)'!B11,('Reeksen (N)'!B11-'Reeksen (N)'!D11)*F79,0)</f>
        <v>0</v>
      </c>
      <c r="J79" s="84">
        <f ca="1">IF(E79='Invoer gegevens (N)'!$C$17+'Invoer gegevens (N)'!$I$14+1,0,('Invoer gegevens (N)'!$F$20/12)*F78*MIN('Reeksen (N)'!B10,'Reeksen (N)'!D10))</f>
        <v>0</v>
      </c>
      <c r="K79" s="97">
        <f ca="1">IF(E79&gt;='Invoer gegevens (N)'!$C$17+'Invoer gegevens (N)'!$I$14,0,F79-G79)</f>
        <v>0</v>
      </c>
      <c r="L79" s="84">
        <f ca="1">IF('Invoer gegevens (N)'!$C$17=E79,0,IF(C79=1,Q78,0))</f>
        <v>0</v>
      </c>
      <c r="M79" s="96">
        <f ca="1">IF(E79='Invoer gegevens (N)'!$C$17+'Invoer gegevens (N)'!$I$14,Q78,IF(C79&gt;=1,L79*VLOOKUP(E79,'Reeksen (N)'!$A$5:$B$76,2),0))</f>
        <v>0</v>
      </c>
      <c r="N79" s="84">
        <f ca="1">IF(C79='Invoer gegevens (N)'!$C$17+'Invoer gegevens (N)'!$I$14,Q78,(1-('Invoer gegevens (N)'!$F$20/12))*L79*MIN('Reeksen (N)'!B11,'Reeksen (N)'!D11))</f>
        <v>0</v>
      </c>
      <c r="O79" s="84">
        <f>IF('Reeksen (N)'!D11&lt;'Reeksen (N)'!B11,('Reeksen (N)'!B11-'Reeksen (N)'!D11)*L79,0)</f>
        <v>0</v>
      </c>
      <c r="P79" s="84">
        <f ca="1">IF(E79='Invoer gegevens (N)'!$C$17+'Invoer gegevens (N)'!$I$14+1,0,('Invoer gegevens (N)'!$F$20/12)*L78*MIN('Reeksen (N)'!B10,'Reeksen (N)'!D10))</f>
        <v>0</v>
      </c>
      <c r="Q79" s="84">
        <f ca="1">IF(E79&gt;='Invoer gegevens (N)'!$C$17+'Invoer gegevens (N)'!$I$14,0,L79-M79+I79+O79)</f>
        <v>0</v>
      </c>
      <c r="R79" s="82">
        <f ca="1">IF('Invoer gegevens (N)'!$C$17=E79,'Invoer gegevens (N)'!$C$11,IF(C79=1,W78,0))</f>
        <v>0</v>
      </c>
      <c r="S79" s="86">
        <f ca="1">IF(E79='Invoer gegevens (N)'!$C$17+'Invoer gegevens (N)'!$I$14,W78,IF(C79&gt;=1,R79*VLOOKUP(E79,'Reeksen (N)'!$A$5:$B$76,2),0))</f>
        <v>0</v>
      </c>
      <c r="T79" s="84">
        <f ca="1">IF(E79='Invoer gegevens (N)'!$C$17+'Invoer gegevens (N)'!$I$14,W78,(1-('Invoer gegevens (N)'!$F$20/12))*R79*MIN('Reeksen (N)'!B11,'Reeksen (N)'!D11))</f>
        <v>0</v>
      </c>
      <c r="U79" s="84">
        <f>IF('Reeksen (N)'!D11&gt;='Reeksen (N)'!B11,0,IF('Reeksen (N)'!AK11&lt;='Reeksen (N)'!AE11,('Reeksen (N)'!B11-'Reeksen (N)'!D11)*R79,0))</f>
        <v>0</v>
      </c>
      <c r="V79" s="86">
        <f>IF('Reeksen (N)'!D11&gt;='Reeksen (N)'!B11,0,IF('Reeksen (N)'!AK11&gt;'Reeksen (N)'!AE11,('Reeksen (N)'!B11-'Reeksen (N)'!D11)*R79,0))</f>
        <v>0</v>
      </c>
      <c r="W79" s="97">
        <f ca="1">IF(E79&gt;='Invoer gegevens (N)'!$C$17+'Invoer gegevens (N)'!$I$14,0,R79-S79)</f>
        <v>0</v>
      </c>
      <c r="X79" s="98">
        <f ca="1">IF('Invoer gegevens (N)'!$C$17=E79,'Invoer gegevens (N)'!$C$10-'Invoer gegevens (N)'!$C$11,IF(C79=1,AC78,0))</f>
        <v>0</v>
      </c>
      <c r="Y79" s="98">
        <f ca="1">IF(E79='Invoer gegevens (N)'!$C$17+'Invoer gegevens (N)'!$I$14,AC78,IF(C79&gt;=1,X79*VLOOKUP(E79,'Reeksen (N)'!$A$5:$B$76,2),0))</f>
        <v>0</v>
      </c>
      <c r="Z79" s="98">
        <f ca="1">IF(E79='Invoer gegevens (N)'!$C$17+'Invoer gegevens (N)'!$I$14,AC78,(1-('Invoer gegevens (N)'!$F$20/12))*X79*MIN('Reeksen (N)'!B11,'Reeksen (N)'!D11))</f>
        <v>0</v>
      </c>
      <c r="AA79" s="98">
        <f>IF('Reeksen (N)'!D11&gt;='Reeksen (N)'!B11,0,IF('Reeksen (N)'!AK11&lt;='Reeksen (N)'!AE11,('Reeksen (N)'!B11-'Reeksen (N)'!D11)*X79,0))</f>
        <v>0</v>
      </c>
      <c r="AB79" s="98">
        <f>IF('Reeksen (N)'!D11&gt;='Reeksen (N)'!B11,0,IF('Reeksen (N)'!AK11&gt;'Reeksen (N)'!AE11,('Reeksen (N)'!B11-'Reeksen (N)'!D11)*X79,0))</f>
        <v>0</v>
      </c>
      <c r="AC79" s="99">
        <f ca="1">IF(E79&gt;='Invoer gegevens (N)'!$C$17+'Invoer gegevens (N)'!$I$14,0,X79-Y79)</f>
        <v>0</v>
      </c>
      <c r="AD79" s="98">
        <f ca="1">IF('Invoer gegevens (N)'!$C$17=E11,R79,IF(C11=0,0,AE78))</f>
        <v>0</v>
      </c>
      <c r="AE79" s="98">
        <f t="shared" ca="1" si="9"/>
        <v>0</v>
      </c>
      <c r="AF79" s="98">
        <f ca="1">IF('Invoer gegevens (N)'!$C$17=E11,X79,IF(C11=0,0,AG78))</f>
        <v>0</v>
      </c>
      <c r="AG79" s="98">
        <f t="shared" ca="1" si="10"/>
        <v>0</v>
      </c>
      <c r="AH79" s="70"/>
      <c r="AI79" s="71">
        <f ca="1">IF(C79=1,(('Reeksen (N)'!BF11*(F79-G79+F79)/2)+((L79-M79+L79)/2*'Reeksen (N)'!BG11))*12,0)</f>
        <v>0</v>
      </c>
      <c r="AJ79" s="71">
        <f ca="1">-AI79*'Invoer gegevens (N)'!$I$26</f>
        <v>0</v>
      </c>
      <c r="AK79" s="71">
        <f t="shared" ca="1" si="11"/>
        <v>0</v>
      </c>
      <c r="AL79" s="71">
        <f ca="1">IF(C79=1,'Reeksen (N)'!AL11*((F79-G79+F79)/2)*12+'Reeksen (N)'!AM11*((L79-M79+L79)/2)*12,0)</f>
        <v>0</v>
      </c>
      <c r="AM79" s="71">
        <f ca="1">-AL79*'Invoer gegevens (N)'!$F$31</f>
        <v>0</v>
      </c>
      <c r="AN79" s="71">
        <f t="shared" ca="1" si="12"/>
        <v>0</v>
      </c>
      <c r="AO79" s="71">
        <f ca="1">IF(E79&gt;='Invoer gegevens (N)'!$C$17+'Invoer gegevens (N)'!$I$14,0,IF(C79=1,(H79+J79+N79+P79)*'Reeksen (N)'!AN11,0))</f>
        <v>0</v>
      </c>
      <c r="AP79" s="71">
        <f ca="1">-IF(C79=1,(H79+J79+N79+P79)*'Reeksen (N)'!AN10*'Hulp - basis'!$J$550,0)</f>
        <v>0</v>
      </c>
      <c r="AQ79" s="71">
        <f ca="1">-IF(C79=1,(F79+K79+L79+Q79)/2*'Invoer gegevens (N)'!$I$33*'Reeksen (N)'!J11,0)</f>
        <v>0</v>
      </c>
      <c r="AR79" s="71">
        <f ca="1">-IF(C79=1,(I79*'Invoer gegevens (N)'!$I$34)*'Reeksen (N)'!J11,0)</f>
        <v>0</v>
      </c>
      <c r="AS79" s="71">
        <f ca="1">-IF(C79=1,(F79+K79+L79+Q79)/2*'Invoer gegevens (N)'!$I$35*'Reeksen (N)'!L11,0)</f>
        <v>0</v>
      </c>
      <c r="AT79" s="71">
        <f ca="1">-IF(C79=1,IF(E79='Invoer gegevens (N)'!$C$17,'Invoer gegevens (N)'!$C$11,AD79)*'Reeksen (N)'!S11*'Invoer gegevens (N)'!$C$18*'Reeksen (N)'!P11,0)</f>
        <v>0</v>
      </c>
      <c r="AU79" s="71">
        <f ca="1">-IF(C79=1,(F79+K79+L79+Q79)/2*'Invoer gegevens (N)'!$I$36*'Reeksen (N)'!H11,0)</f>
        <v>0</v>
      </c>
      <c r="AV79" s="71">
        <f t="shared" ca="1" si="13"/>
        <v>0</v>
      </c>
      <c r="AW79" s="72">
        <f ca="1">IFERROR(IF(E79='Invoer gegevens (N)'!$C$17+'Invoer gegevens (N)'!$I$14-1,'Invoer gegevens (N)'!$I$13*K79*'Reeksen (N)'!H11,0),0)</f>
        <v>0</v>
      </c>
      <c r="AX79" s="72">
        <f ca="1">IFERROR(IF(E79='Invoer gegevens (N)'!$C$17,-'Invoer gegevens (N)'!$C$10*('Invoer gegevens (N)'!$C$30+'Invoer gegevens (N)'!$C$31)*'Reeksen (N)'!H11,0),0)</f>
        <v>0</v>
      </c>
      <c r="AY79" s="73">
        <f ca="1">IF('Invoer gegevens (N)'!$C$34=E79,'Invoer gegevens (N)'!$C$27*'Invoer gegevens (N)'!$C$10*'Invoer gegevens (N)'!$C$36*(IF('Invoer gegevens (N)'!$C$35="ja",1,'Reeksen (N)'!J11)),IF('Invoer gegevens (N)'!$C$34+1=E79,'Invoer gegevens (N)'!$C$27*'Invoer gegevens (N)'!$C$10*'Invoer gegevens (N)'!$C$37*(IF('Invoer gegevens (N)'!$C$35="ja",1,'Reeksen (N)'!J11)),0))+IF(AND(E79='Invoer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79" s="73">
        <f ca="1">AV79/(1+'Invoer gegevens (N)'!$I$12)^($D79-('Invoer gegevens (N)'!$C$17-'Invoer gegevens (N)'!$C$16))/(1+'Invoer gegevens (N)'!$C$39)^('Invoer gegevens (N)'!$C$17-'Invoer gegevens (N)'!$C$16)</f>
        <v>0</v>
      </c>
      <c r="BA79" s="73">
        <f ca="1">AW79/(1+'Invoer gegevens (N)'!$I$12)^(E79-('Invoer gegevens (N)'!$C$17-1))/(1+'Invoer gegevens (N)'!$C$39)^('Invoer gegevens (N)'!$C$17-'Invoer gegevens (N)'!$C$16)</f>
        <v>0</v>
      </c>
      <c r="BB79" s="73">
        <f ca="1">AX79/(1+'Invoer gegevens (N)'!$C$39)^('Invoer gegevens (N)'!$C$17-'Invoer gegevens (N)'!$C$16)</f>
        <v>0</v>
      </c>
      <c r="BC79" s="72">
        <f t="shared" ca="1" si="14"/>
        <v>0</v>
      </c>
      <c r="BD79" s="72">
        <f ca="1">IF(AND(E79='Invoer gegevens (N)'!$C$16,'Invoer gegevens (N)'!$C$34&lt;'Invoer gegevens (N)'!$C$16),AY79,AY79/(1+'Invoer gegevens (N)'!$C$39)^D79)</f>
        <v>0</v>
      </c>
      <c r="BE79" s="72">
        <f ca="1">IF(E79='Invoer gegevens (N)'!$C$34,-'Invoer gegevens (N)'!$I$38,0)</f>
        <v>0</v>
      </c>
      <c r="BF79" s="72">
        <f ca="1">IF(E79='Invoer gegevens (N)'!$C$17,-'Invoer gegevens (N)'!$C$19*$BC$134,0)</f>
        <v>0</v>
      </c>
      <c r="BG79" s="72">
        <f ca="1">AV79/(1+$BG$72)^($D79-('Invoer gegevens (N)'!$C$17-'Invoer gegevens (N)'!$C$16))/(1+'Invoer gegevens (N)'!$C$39)^('Invoer gegevens (N)'!$C$17-'Invoer gegevens (N)'!$C$16)+AW79/(1+$BG$72)^(E79-('Invoer gegevens (N)'!$C$17-1))/(1+'Invoer gegevens (N)'!$C$39)^('Invoer gegevens (N)'!$C$17-'Invoer gegevens (N)'!$C$16)+AX79/(1+'Invoer gegevens (N)'!$C$39)^('Invoer gegevens (N)'!$C$17-'Invoer gegevens (N)'!$C$16)+(-AY79/(1+'Invoer gegevens (N)'!$C$39)^D79)+BE79+BF79</f>
        <v>0</v>
      </c>
    </row>
    <row r="80" spans="1:61" x14ac:dyDescent="0.25">
      <c r="A80" s="59"/>
      <c r="B80" s="70">
        <f t="shared" si="15"/>
        <v>8</v>
      </c>
      <c r="C80" s="67">
        <f ca="1">IF(AND(E80&gt;='Invoer gegevens (N)'!$C$17,E80&lt;'Invoer gegevens (N)'!$C$17+'Invoer gegevens (N)'!$I$14),1,0)</f>
        <v>1</v>
      </c>
      <c r="D80" s="68">
        <f t="shared" si="16"/>
        <v>7.5</v>
      </c>
      <c r="E80" s="108">
        <f ca="1">IF('Invoer gegevens (N)'!$C$16="","",E79+1)</f>
        <v>2026</v>
      </c>
      <c r="F80" s="84">
        <f ca="1">IF('Invoer gegevens (N)'!$C$17=E80,'Invoer gegevens (N)'!$C$10,IF(C80=1,K79,0))</f>
        <v>0</v>
      </c>
      <c r="G80" s="96">
        <f ca="1">IF(E80='Invoer gegevens (N)'!$C$17+'Invoer gegevens (N)'!$I$14,K79,IF(C80&gt;=1,F80*VLOOKUP(E80,'Reeksen (N)'!$A$5:$B$76,2),0))</f>
        <v>0</v>
      </c>
      <c r="H80" s="84">
        <f ca="1">IF(E80='Invoer gegevens (N)'!$C$17+'Invoer gegevens (N)'!$I$14,K79,(1-('Invoer gegevens (N)'!$F$20/12))*F80*MIN('Reeksen (N)'!B12,'Reeksen (N)'!D12))</f>
        <v>0</v>
      </c>
      <c r="I80" s="84">
        <f>IF('Reeksen (N)'!D12&lt;'Reeksen (N)'!B12,('Reeksen (N)'!B12-'Reeksen (N)'!D12)*F80,0)</f>
        <v>0</v>
      </c>
      <c r="J80" s="84">
        <f ca="1">IF(E80='Invoer gegevens (N)'!$C$17+'Invoer gegevens (N)'!$I$14+1,0,('Invoer gegevens (N)'!$F$20/12)*F79*MIN('Reeksen (N)'!B11,'Reeksen (N)'!D11))</f>
        <v>0</v>
      </c>
      <c r="K80" s="97">
        <f ca="1">IF(E80&gt;='Invoer gegevens (N)'!$C$17+'Invoer gegevens (N)'!$I$14,0,F80-G80)</f>
        <v>0</v>
      </c>
      <c r="L80" s="84">
        <f ca="1">IF('Invoer gegevens (N)'!$C$17=E80,0,IF(C80=1,Q79,0))</f>
        <v>0</v>
      </c>
      <c r="M80" s="96">
        <f ca="1">IF(E80='Invoer gegevens (N)'!$C$17+'Invoer gegevens (N)'!$I$14,Q79,IF(C80&gt;=1,L80*VLOOKUP(E80,'Reeksen (N)'!$A$5:$B$76,2),0))</f>
        <v>0</v>
      </c>
      <c r="N80" s="84">
        <f ca="1">IF(C80='Invoer gegevens (N)'!$C$17+'Invoer gegevens (N)'!$I$14,Q79,(1-('Invoer gegevens (N)'!$F$20/12))*L80*MIN('Reeksen (N)'!B12,'Reeksen (N)'!D12))</f>
        <v>0</v>
      </c>
      <c r="O80" s="84">
        <f>IF('Reeksen (N)'!D12&lt;'Reeksen (N)'!B12,('Reeksen (N)'!B12-'Reeksen (N)'!D12)*L80,0)</f>
        <v>0</v>
      </c>
      <c r="P80" s="84">
        <f ca="1">IF(E80='Invoer gegevens (N)'!$C$17+'Invoer gegevens (N)'!$I$14+1,0,('Invoer gegevens (N)'!$F$20/12)*L79*MIN('Reeksen (N)'!B11,'Reeksen (N)'!D11))</f>
        <v>0</v>
      </c>
      <c r="Q80" s="84">
        <f ca="1">IF(E80&gt;='Invoer gegevens (N)'!$C$17+'Invoer gegevens (N)'!$I$14,0,L80-M80+I80+O80)</f>
        <v>0</v>
      </c>
      <c r="R80" s="82">
        <f ca="1">IF('Invoer gegevens (N)'!$C$17=E80,'Invoer gegevens (N)'!$C$11,IF(C80=1,W79,0))</f>
        <v>0</v>
      </c>
      <c r="S80" s="86">
        <f ca="1">IF(E80='Invoer gegevens (N)'!$C$17+'Invoer gegevens (N)'!$I$14,W79,IF(C80&gt;=1,R80*VLOOKUP(E80,'Reeksen (N)'!$A$5:$B$76,2),0))</f>
        <v>0</v>
      </c>
      <c r="T80" s="84">
        <f ca="1">IF(E80='Invoer gegevens (N)'!$C$17+'Invoer gegevens (N)'!$I$14,W79,(1-('Invoer gegevens (N)'!$F$20/12))*R80*MIN('Reeksen (N)'!B12,'Reeksen (N)'!D12))</f>
        <v>0</v>
      </c>
      <c r="U80" s="84">
        <f>IF('Reeksen (N)'!D12&gt;='Reeksen (N)'!B12,0,IF('Reeksen (N)'!AK12&lt;='Reeksen (N)'!AE12,('Reeksen (N)'!B12-'Reeksen (N)'!D12)*R80,0))</f>
        <v>0</v>
      </c>
      <c r="V80" s="86">
        <f>IF('Reeksen (N)'!D12&gt;='Reeksen (N)'!B12,0,IF('Reeksen (N)'!AK12&gt;'Reeksen (N)'!AE12,('Reeksen (N)'!B12-'Reeksen (N)'!D12)*R80,0))</f>
        <v>0</v>
      </c>
      <c r="W80" s="97">
        <f ca="1">IF(E80&gt;='Invoer gegevens (N)'!$C$17+'Invoer gegevens (N)'!$I$14,0,R80-S80)</f>
        <v>0</v>
      </c>
      <c r="X80" s="98">
        <f ca="1">IF('Invoer gegevens (N)'!$C$17=E80,'Invoer gegevens (N)'!$C$10-'Invoer gegevens (N)'!$C$11,IF(C80=1,AC79,0))</f>
        <v>0</v>
      </c>
      <c r="Y80" s="98">
        <f ca="1">IF(E80='Invoer gegevens (N)'!$C$17+'Invoer gegevens (N)'!$I$14,AC79,IF(C80&gt;=1,X80*VLOOKUP(E80,'Reeksen (N)'!$A$5:$B$76,2),0))</f>
        <v>0</v>
      </c>
      <c r="Z80" s="98">
        <f ca="1">IF(E80='Invoer gegevens (N)'!$C$17+'Invoer gegevens (N)'!$I$14,AC79,(1-('Invoer gegevens (N)'!$F$20/12))*X80*MIN('Reeksen (N)'!B12,'Reeksen (N)'!D12))</f>
        <v>0</v>
      </c>
      <c r="AA80" s="98">
        <f>IF('Reeksen (N)'!D12&gt;='Reeksen (N)'!B12,0,IF('Reeksen (N)'!AK12&lt;='Reeksen (N)'!AE12,('Reeksen (N)'!B12-'Reeksen (N)'!D12)*X80,0))</f>
        <v>0</v>
      </c>
      <c r="AB80" s="98">
        <f>IF('Reeksen (N)'!D12&gt;='Reeksen (N)'!B12,0,IF('Reeksen (N)'!AK12&gt;'Reeksen (N)'!AE12,('Reeksen (N)'!B12-'Reeksen (N)'!D12)*X80,0))</f>
        <v>0</v>
      </c>
      <c r="AC80" s="99">
        <f ca="1">IF(E80&gt;='Invoer gegevens (N)'!$C$17+'Invoer gegevens (N)'!$I$14,0,X80-Y80)</f>
        <v>0</v>
      </c>
      <c r="AD80" s="98">
        <f ca="1">IF('Invoer gegevens (N)'!$C$17=E12,R80,IF(C12=0,0,AE79))</f>
        <v>0</v>
      </c>
      <c r="AE80" s="98">
        <f t="shared" ca="1" si="9"/>
        <v>0</v>
      </c>
      <c r="AF80" s="98">
        <f ca="1">IF('Invoer gegevens (N)'!$C$17=E12,X80,IF(C12=0,0,AG79))</f>
        <v>0</v>
      </c>
      <c r="AG80" s="98">
        <f t="shared" ca="1" si="10"/>
        <v>0</v>
      </c>
      <c r="AH80" s="70"/>
      <c r="AI80" s="71">
        <f ca="1">IF(C80=1,(('Reeksen (N)'!BF12*(F80-G80+F80)/2)+((L80-M80+L80)/2*'Reeksen (N)'!BG12))*12,0)</f>
        <v>0</v>
      </c>
      <c r="AJ80" s="71">
        <f ca="1">-AI80*'Invoer gegevens (N)'!$I$26</f>
        <v>0</v>
      </c>
      <c r="AK80" s="71">
        <f t="shared" ca="1" si="11"/>
        <v>0</v>
      </c>
      <c r="AL80" s="71">
        <f ca="1">IF(C80=1,'Reeksen (N)'!AL12*((F80-G80+F80)/2)*12+'Reeksen (N)'!AM12*((L80-M80+L80)/2)*12,0)</f>
        <v>0</v>
      </c>
      <c r="AM80" s="71">
        <f ca="1">-AL80*'Invoer gegevens (N)'!$F$31</f>
        <v>0</v>
      </c>
      <c r="AN80" s="71">
        <f t="shared" ca="1" si="12"/>
        <v>0</v>
      </c>
      <c r="AO80" s="71">
        <f ca="1">IF(E80&gt;='Invoer gegevens (N)'!$C$17+'Invoer gegevens (N)'!$I$14,0,IF(C80=1,(H80+J80+N80+P80)*'Reeksen (N)'!AN12,0))</f>
        <v>0</v>
      </c>
      <c r="AP80" s="71">
        <f ca="1">-IF(C80=1,(H80+J80+N80+P80)*'Reeksen (N)'!AN11*'Hulp - basis'!$J$550,0)</f>
        <v>0</v>
      </c>
      <c r="AQ80" s="71">
        <f ca="1">-IF(C80=1,(F80+K80+L80+Q80)/2*'Invoer gegevens (N)'!$I$33*'Reeksen (N)'!J12,0)</f>
        <v>0</v>
      </c>
      <c r="AR80" s="71">
        <f ca="1">-IF(C80=1,(I80*'Invoer gegevens (N)'!$I$34)*'Reeksen (N)'!J12,0)</f>
        <v>0</v>
      </c>
      <c r="AS80" s="71">
        <f ca="1">-IF(C80=1,(F80+K80+L80+Q80)/2*'Invoer gegevens (N)'!$I$35*'Reeksen (N)'!L12,0)</f>
        <v>0</v>
      </c>
      <c r="AT80" s="71">
        <f ca="1">-IF(C80=1,IF(E80='Invoer gegevens (N)'!$C$17,'Invoer gegevens (N)'!$C$11,AD80)*'Reeksen (N)'!S12*'Invoer gegevens (N)'!$C$18*'Reeksen (N)'!P12,0)</f>
        <v>0</v>
      </c>
      <c r="AU80" s="71">
        <f ca="1">-IF(C80=1,(F80+K80+L80+Q80)/2*'Invoer gegevens (N)'!$I$36*'Reeksen (N)'!H12,0)</f>
        <v>0</v>
      </c>
      <c r="AV80" s="71">
        <f t="shared" ca="1" si="13"/>
        <v>0</v>
      </c>
      <c r="AW80" s="72">
        <f ca="1">IFERROR(IF(E80='Invoer gegevens (N)'!$C$17+'Invoer gegevens (N)'!$I$14-1,'Invoer gegevens (N)'!$I$13*K80*'Reeksen (N)'!H12,0),0)</f>
        <v>0</v>
      </c>
      <c r="AX80" s="72">
        <f ca="1">IFERROR(IF(E80='Invoer gegevens (N)'!$C$17,-'Invoer gegevens (N)'!$C$10*('Invoer gegevens (N)'!$C$30+'Invoer gegevens (N)'!$C$31)*'Reeksen (N)'!H12,0),0)</f>
        <v>0</v>
      </c>
      <c r="AY80" s="73">
        <f ca="1">IF('Invoer gegevens (N)'!$C$34=E80,'Invoer gegevens (N)'!$C$27*'Invoer gegevens (N)'!$C$10*'Invoer gegevens (N)'!$C$36*(IF('Invoer gegevens (N)'!$C$35="ja",1,'Reeksen (N)'!J12)),IF('Invoer gegevens (N)'!$C$34+1=E80,'Invoer gegevens (N)'!$C$27*'Invoer gegevens (N)'!$C$10*'Invoer gegevens (N)'!$C$37*(IF('Invoer gegevens (N)'!$C$35="ja",1,'Reeksen (N)'!J12)),0))+IF(AND(E80='Invoer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0" s="73">
        <f ca="1">AV80/(1+'Invoer gegevens (N)'!$I$12)^($D80-('Invoer gegevens (N)'!$C$17-'Invoer gegevens (N)'!$C$16))/(1+'Invoer gegevens (N)'!$C$39)^('Invoer gegevens (N)'!$C$17-'Invoer gegevens (N)'!$C$16)</f>
        <v>0</v>
      </c>
      <c r="BA80" s="73">
        <f ca="1">AW80/(1+'Invoer gegevens (N)'!$I$12)^(E80-('Invoer gegevens (N)'!$C$17-1))/(1+'Invoer gegevens (N)'!$C$39)^('Invoer gegevens (N)'!$C$17-'Invoer gegevens (N)'!$C$16)</f>
        <v>0</v>
      </c>
      <c r="BB80" s="73">
        <f ca="1">AX80/(1+'Invoer gegevens (N)'!$C$39)^('Invoer gegevens (N)'!$C$17-'Invoer gegevens (N)'!$C$16)</f>
        <v>0</v>
      </c>
      <c r="BC80" s="72">
        <f t="shared" ca="1" si="14"/>
        <v>0</v>
      </c>
      <c r="BD80" s="72">
        <f ca="1">IF(AND(E80='Invoer gegevens (N)'!$C$16,'Invoer gegevens (N)'!$C$34&lt;'Invoer gegevens (N)'!$C$16),AY80,AY80/(1+'Invoer gegevens (N)'!$C$39)^D80)</f>
        <v>0</v>
      </c>
      <c r="BE80" s="72">
        <f ca="1">IF(E80='Invoer gegevens (N)'!$C$34,-'Invoer gegevens (N)'!$I$38,0)</f>
        <v>0</v>
      </c>
      <c r="BF80" s="72">
        <f ca="1">IF(E80='Invoer gegevens (N)'!$C$17,-'Invoer gegevens (N)'!$C$19*$BC$134,0)</f>
        <v>0</v>
      </c>
      <c r="BG80" s="72">
        <f ca="1">AV80/(1+$BG$72)^($D80-('Invoer gegevens (N)'!$C$17-'Invoer gegevens (N)'!$C$16))/(1+'Invoer gegevens (N)'!$C$39)^('Invoer gegevens (N)'!$C$17-'Invoer gegevens (N)'!$C$16)+AW80/(1+$BG$72)^(E80-('Invoer gegevens (N)'!$C$17-1))/(1+'Invoer gegevens (N)'!$C$39)^('Invoer gegevens (N)'!$C$17-'Invoer gegevens (N)'!$C$16)+AX80/(1+'Invoer gegevens (N)'!$C$39)^('Invoer gegevens (N)'!$C$17-'Invoer gegevens (N)'!$C$16)+(-AY80/(1+'Invoer gegevens (N)'!$C$39)^D80)+BE80+BF80</f>
        <v>0</v>
      </c>
    </row>
    <row r="81" spans="1:59" x14ac:dyDescent="0.25">
      <c r="A81" s="59"/>
      <c r="B81" s="70">
        <f t="shared" si="15"/>
        <v>9</v>
      </c>
      <c r="C81" s="67">
        <f ca="1">IF(AND(E81&gt;='Invoer gegevens (N)'!$C$17,E81&lt;'Invoer gegevens (N)'!$C$17+'Invoer gegevens (N)'!$I$14),1,0)</f>
        <v>1</v>
      </c>
      <c r="D81" s="68">
        <f t="shared" si="16"/>
        <v>8.5</v>
      </c>
      <c r="E81" s="108">
        <f ca="1">IF('Invoer gegevens (N)'!$C$16="","",E80+1)</f>
        <v>2027</v>
      </c>
      <c r="F81" s="84">
        <f ca="1">IF('Invoer gegevens (N)'!$C$17=E81,'Invoer gegevens (N)'!$C$10,IF(C81=1,K80,0))</f>
        <v>0</v>
      </c>
      <c r="G81" s="96">
        <f ca="1">IF(E81='Invoer gegevens (N)'!$C$17+'Invoer gegevens (N)'!$I$14,K80,IF(C81&gt;=1,F81*VLOOKUP(E81,'Reeksen (N)'!$A$5:$B$76,2),0))</f>
        <v>0</v>
      </c>
      <c r="H81" s="84">
        <f ca="1">IF(E81='Invoer gegevens (N)'!$C$17+'Invoer gegevens (N)'!$I$14,K80,(1-('Invoer gegevens (N)'!$F$20/12))*F81*MIN('Reeksen (N)'!B13,'Reeksen (N)'!D13))</f>
        <v>0</v>
      </c>
      <c r="I81" s="84">
        <f>IF('Reeksen (N)'!D13&lt;'Reeksen (N)'!B13,('Reeksen (N)'!B13-'Reeksen (N)'!D13)*F81,0)</f>
        <v>0</v>
      </c>
      <c r="J81" s="84">
        <f ca="1">IF(E81='Invoer gegevens (N)'!$C$17+'Invoer gegevens (N)'!$I$14+1,0,('Invoer gegevens (N)'!$F$20/12)*F80*MIN('Reeksen (N)'!B12,'Reeksen (N)'!D12))</f>
        <v>0</v>
      </c>
      <c r="K81" s="97">
        <f ca="1">IF(E81&gt;='Invoer gegevens (N)'!$C$17+'Invoer gegevens (N)'!$I$14,0,F81-G81)</f>
        <v>0</v>
      </c>
      <c r="L81" s="84">
        <f ca="1">IF('Invoer gegevens (N)'!$C$17=E81,0,IF(C81=1,Q80,0))</f>
        <v>0</v>
      </c>
      <c r="M81" s="96">
        <f ca="1">IF(E81='Invoer gegevens (N)'!$C$17+'Invoer gegevens (N)'!$I$14,Q80,IF(C81&gt;=1,L81*VLOOKUP(E81,'Reeksen (N)'!$A$5:$B$76,2),0))</f>
        <v>0</v>
      </c>
      <c r="N81" s="84">
        <f ca="1">IF(C81='Invoer gegevens (N)'!$C$17+'Invoer gegevens (N)'!$I$14,Q80,(1-('Invoer gegevens (N)'!$F$20/12))*L81*MIN('Reeksen (N)'!B13,'Reeksen (N)'!D13))</f>
        <v>0</v>
      </c>
      <c r="O81" s="84">
        <f>IF('Reeksen (N)'!D13&lt;'Reeksen (N)'!B13,('Reeksen (N)'!B13-'Reeksen (N)'!D13)*L81,0)</f>
        <v>0</v>
      </c>
      <c r="P81" s="84">
        <f ca="1">IF(E81='Invoer gegevens (N)'!$C$17+'Invoer gegevens (N)'!$I$14+1,0,('Invoer gegevens (N)'!$F$20/12)*L80*MIN('Reeksen (N)'!B12,'Reeksen (N)'!D12))</f>
        <v>0</v>
      </c>
      <c r="Q81" s="84">
        <f ca="1">IF(E81&gt;='Invoer gegevens (N)'!$C$17+'Invoer gegevens (N)'!$I$14,0,L81-M81+I81+O81)</f>
        <v>0</v>
      </c>
      <c r="R81" s="82">
        <f ca="1">IF('Invoer gegevens (N)'!$C$17=E81,'Invoer gegevens (N)'!$C$11,IF(C81=1,W80,0))</f>
        <v>0</v>
      </c>
      <c r="S81" s="86">
        <f ca="1">IF(E81='Invoer gegevens (N)'!$C$17+'Invoer gegevens (N)'!$I$14,W80,IF(C81&gt;=1,R81*VLOOKUP(E81,'Reeksen (N)'!$A$5:$B$76,2),0))</f>
        <v>0</v>
      </c>
      <c r="T81" s="84">
        <f ca="1">IF(E81='Invoer gegevens (N)'!$C$17+'Invoer gegevens (N)'!$I$14,W80,(1-('Invoer gegevens (N)'!$F$20/12))*R81*MIN('Reeksen (N)'!B13,'Reeksen (N)'!D13))</f>
        <v>0</v>
      </c>
      <c r="U81" s="84">
        <f>IF('Reeksen (N)'!D13&gt;='Reeksen (N)'!B13,0,IF('Reeksen (N)'!AK13&lt;='Reeksen (N)'!AE13,('Reeksen (N)'!B13-'Reeksen (N)'!D13)*R81,0))</f>
        <v>0</v>
      </c>
      <c r="V81" s="86">
        <f>IF('Reeksen (N)'!D13&gt;='Reeksen (N)'!B13,0,IF('Reeksen (N)'!AK13&gt;'Reeksen (N)'!AE13,('Reeksen (N)'!B13-'Reeksen (N)'!D13)*R81,0))</f>
        <v>0</v>
      </c>
      <c r="W81" s="97">
        <f ca="1">IF(E81&gt;='Invoer gegevens (N)'!$C$17+'Invoer gegevens (N)'!$I$14,0,R81-S81)</f>
        <v>0</v>
      </c>
      <c r="X81" s="98">
        <f ca="1">IF('Invoer gegevens (N)'!$C$17=E81,'Invoer gegevens (N)'!$C$10-'Invoer gegevens (N)'!$C$11,IF(C81=1,AC80,0))</f>
        <v>0</v>
      </c>
      <c r="Y81" s="98">
        <f ca="1">IF(E81='Invoer gegevens (N)'!$C$17+'Invoer gegevens (N)'!$I$14,AC80,IF(C81&gt;=1,X81*VLOOKUP(E81,'Reeksen (N)'!$A$5:$B$76,2),0))</f>
        <v>0</v>
      </c>
      <c r="Z81" s="98">
        <f ca="1">IF(E81='Invoer gegevens (N)'!$C$17+'Invoer gegevens (N)'!$I$14,AC80,(1-('Invoer gegevens (N)'!$F$20/12))*X81*MIN('Reeksen (N)'!B13,'Reeksen (N)'!D13))</f>
        <v>0</v>
      </c>
      <c r="AA81" s="98">
        <f>IF('Reeksen (N)'!D13&gt;='Reeksen (N)'!B13,0,IF('Reeksen (N)'!AK13&lt;='Reeksen (N)'!AE13,('Reeksen (N)'!B13-'Reeksen (N)'!D13)*X81,0))</f>
        <v>0</v>
      </c>
      <c r="AB81" s="98">
        <f>IF('Reeksen (N)'!D13&gt;='Reeksen (N)'!B13,0,IF('Reeksen (N)'!AK13&gt;'Reeksen (N)'!AE13,('Reeksen (N)'!B13-'Reeksen (N)'!D13)*X81,0))</f>
        <v>0</v>
      </c>
      <c r="AC81" s="99">
        <f ca="1">IF(E81&gt;='Invoer gegevens (N)'!$C$17+'Invoer gegevens (N)'!$I$14,0,X81-Y81)</f>
        <v>0</v>
      </c>
      <c r="AD81" s="98">
        <f ca="1">IF('Invoer gegevens (N)'!$C$17=E13,R81,IF(C13=0,0,AE80))</f>
        <v>0</v>
      </c>
      <c r="AE81" s="98">
        <f t="shared" ca="1" si="9"/>
        <v>0</v>
      </c>
      <c r="AF81" s="98">
        <f ca="1">IF('Invoer gegevens (N)'!$C$17=E13,X81,IF(C13=0,0,AG80))</f>
        <v>0</v>
      </c>
      <c r="AG81" s="98">
        <f t="shared" ca="1" si="10"/>
        <v>0</v>
      </c>
      <c r="AH81" s="70"/>
      <c r="AI81" s="71">
        <f ca="1">IF(C81=1,(('Reeksen (N)'!BF13*(F81-G81+F81)/2)+((L81-M81+L81)/2*'Reeksen (N)'!BG13))*12,0)</f>
        <v>0</v>
      </c>
      <c r="AJ81" s="71">
        <f ca="1">-AI81*'Invoer gegevens (N)'!$I$26</f>
        <v>0</v>
      </c>
      <c r="AK81" s="71">
        <f t="shared" ca="1" si="11"/>
        <v>0</v>
      </c>
      <c r="AL81" s="71">
        <f ca="1">IF(C81=1,'Reeksen (N)'!AL13*((F81-G81+F81)/2)*12+'Reeksen (N)'!AM13*((L81-M81+L81)/2)*12,0)</f>
        <v>0</v>
      </c>
      <c r="AM81" s="71">
        <f ca="1">-AL81*'Invoer gegevens (N)'!$F$31</f>
        <v>0</v>
      </c>
      <c r="AN81" s="71">
        <f t="shared" ca="1" si="12"/>
        <v>0</v>
      </c>
      <c r="AO81" s="71">
        <f ca="1">IF(E81&gt;='Invoer gegevens (N)'!$C$17+'Invoer gegevens (N)'!$I$14,0,IF(C81=1,(H81+J81+N81+P81)*'Reeksen (N)'!AN13,0))</f>
        <v>0</v>
      </c>
      <c r="AP81" s="71">
        <f ca="1">-IF(C81=1,(H81+J81+N81+P81)*'Reeksen (N)'!AN12*'Hulp - basis'!$J$550,0)</f>
        <v>0</v>
      </c>
      <c r="AQ81" s="71">
        <f ca="1">-IF(C81=1,(F81+K81+L81+Q81)/2*'Invoer gegevens (N)'!$I$33*'Reeksen (N)'!J13,0)</f>
        <v>0</v>
      </c>
      <c r="AR81" s="71">
        <f ca="1">-IF(C81=1,(I81*'Invoer gegevens (N)'!$I$34)*'Reeksen (N)'!J13,0)</f>
        <v>0</v>
      </c>
      <c r="AS81" s="71">
        <f ca="1">-IF(C81=1,(F81+K81+L81+Q81)/2*'Invoer gegevens (N)'!$I$35*'Reeksen (N)'!L13,0)</f>
        <v>0</v>
      </c>
      <c r="AT81" s="71">
        <f ca="1">-IF(C81=1,IF(E81='Invoer gegevens (N)'!$C$17,'Invoer gegevens (N)'!$C$11,AD81)*'Reeksen (N)'!S13*'Invoer gegevens (N)'!$C$18*'Reeksen (N)'!P13,0)</f>
        <v>0</v>
      </c>
      <c r="AU81" s="71">
        <f ca="1">-IF(C81=1,(F81+K81+L81+Q81)/2*'Invoer gegevens (N)'!$I$36*'Reeksen (N)'!H13,0)</f>
        <v>0</v>
      </c>
      <c r="AV81" s="71">
        <f t="shared" ca="1" si="13"/>
        <v>0</v>
      </c>
      <c r="AW81" s="72">
        <f ca="1">IFERROR(IF(E81='Invoer gegevens (N)'!$C$17+'Invoer gegevens (N)'!$I$14-1,'Invoer gegevens (N)'!$I$13*K81*'Reeksen (N)'!H13,0),0)</f>
        <v>0</v>
      </c>
      <c r="AX81" s="72">
        <f ca="1">IFERROR(IF(E81='Invoer gegevens (N)'!$C$17,-'Invoer gegevens (N)'!$C$10*('Invoer gegevens (N)'!$C$30+'Invoer gegevens (N)'!$C$31)*'Reeksen (N)'!H13,0),0)</f>
        <v>0</v>
      </c>
      <c r="AY81" s="73">
        <f ca="1">IF('Invoer gegevens (N)'!$C$34=E81,'Invoer gegevens (N)'!$C$27*'Invoer gegevens (N)'!$C$10*'Invoer gegevens (N)'!$C$36*(IF('Invoer gegevens (N)'!$C$35="ja",1,'Reeksen (N)'!J13)),IF('Invoer gegevens (N)'!$C$34+1=E81,'Invoer gegevens (N)'!$C$27*'Invoer gegevens (N)'!$C$10*'Invoer gegevens (N)'!$C$37*(IF('Invoer gegevens (N)'!$C$35="ja",1,'Reeksen (N)'!J13)),0))+IF(AND(E81='Invoer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1" s="73">
        <f ca="1">AV81/(1+'Invoer gegevens (N)'!$I$12)^($D81-('Invoer gegevens (N)'!$C$17-'Invoer gegevens (N)'!$C$16))/(1+'Invoer gegevens (N)'!$C$39)^('Invoer gegevens (N)'!$C$17-'Invoer gegevens (N)'!$C$16)</f>
        <v>0</v>
      </c>
      <c r="BA81" s="73">
        <f ca="1">AW81/(1+'Invoer gegevens (N)'!$I$12)^(E81-('Invoer gegevens (N)'!$C$17-1))/(1+'Invoer gegevens (N)'!$C$39)^('Invoer gegevens (N)'!$C$17-'Invoer gegevens (N)'!$C$16)</f>
        <v>0</v>
      </c>
      <c r="BB81" s="73">
        <f ca="1">AX81/(1+'Invoer gegevens (N)'!$C$39)^('Invoer gegevens (N)'!$C$17-'Invoer gegevens (N)'!$C$16)</f>
        <v>0</v>
      </c>
      <c r="BC81" s="72">
        <f t="shared" ca="1" si="14"/>
        <v>0</v>
      </c>
      <c r="BD81" s="72">
        <f ca="1">IF(AND(E81='Invoer gegevens (N)'!$C$16,'Invoer gegevens (N)'!$C$34&lt;'Invoer gegevens (N)'!$C$16),AY81,AY81/(1+'Invoer gegevens (N)'!$C$39)^D81)</f>
        <v>0</v>
      </c>
      <c r="BE81" s="72">
        <f ca="1">IF(E81='Invoer gegevens (N)'!$C$34,-'Invoer gegevens (N)'!$I$38,0)</f>
        <v>0</v>
      </c>
      <c r="BF81" s="72">
        <f ca="1">IF(E81='Invoer gegevens (N)'!$C$17,-'Invoer gegevens (N)'!$C$19*$BC$134,0)</f>
        <v>0</v>
      </c>
      <c r="BG81" s="72">
        <f ca="1">AV81/(1+$BG$72)^($D81-('Invoer gegevens (N)'!$C$17-'Invoer gegevens (N)'!$C$16))/(1+'Invoer gegevens (N)'!$C$39)^('Invoer gegevens (N)'!$C$17-'Invoer gegevens (N)'!$C$16)+AW81/(1+$BG$72)^(E81-('Invoer gegevens (N)'!$C$17-1))/(1+'Invoer gegevens (N)'!$C$39)^('Invoer gegevens (N)'!$C$17-'Invoer gegevens (N)'!$C$16)+AX81/(1+'Invoer gegevens (N)'!$C$39)^('Invoer gegevens (N)'!$C$17-'Invoer gegevens (N)'!$C$16)+(-AY81/(1+'Invoer gegevens (N)'!$C$39)^D81)+BE81+BF81</f>
        <v>0</v>
      </c>
    </row>
    <row r="82" spans="1:59" x14ac:dyDescent="0.25">
      <c r="A82" s="59"/>
      <c r="B82" s="70">
        <f t="shared" si="15"/>
        <v>10</v>
      </c>
      <c r="C82" s="67">
        <f ca="1">IF(AND(E82&gt;='Invoer gegevens (N)'!$C$17,E82&lt;'Invoer gegevens (N)'!$C$17+'Invoer gegevens (N)'!$I$14),1,0)</f>
        <v>1</v>
      </c>
      <c r="D82" s="68">
        <f t="shared" si="16"/>
        <v>9.5</v>
      </c>
      <c r="E82" s="108">
        <f ca="1">IF('Invoer gegevens (N)'!$C$16="","",E81+1)</f>
        <v>2028</v>
      </c>
      <c r="F82" s="84">
        <f ca="1">IF('Invoer gegevens (N)'!$C$17=E82,'Invoer gegevens (N)'!$C$10,IF(C82=1,K81,0))</f>
        <v>0</v>
      </c>
      <c r="G82" s="96">
        <f ca="1">IF(E82='Invoer gegevens (N)'!$C$17+'Invoer gegevens (N)'!$I$14,K81,IF(C82&gt;=1,F82*VLOOKUP(E82,'Reeksen (N)'!$A$5:$B$76,2),0))</f>
        <v>0</v>
      </c>
      <c r="H82" s="84">
        <f ca="1">IF(E82='Invoer gegevens (N)'!$C$17+'Invoer gegevens (N)'!$I$14,K81,(1-('Invoer gegevens (N)'!$F$20/12))*F82*MIN('Reeksen (N)'!B14,'Reeksen (N)'!D14))</f>
        <v>0</v>
      </c>
      <c r="I82" s="84">
        <f>IF('Reeksen (N)'!D14&lt;'Reeksen (N)'!B14,('Reeksen (N)'!B14-'Reeksen (N)'!D14)*F82,0)</f>
        <v>0</v>
      </c>
      <c r="J82" s="84">
        <f ca="1">IF(E82='Invoer gegevens (N)'!$C$17+'Invoer gegevens (N)'!$I$14+1,0,('Invoer gegevens (N)'!$F$20/12)*F81*MIN('Reeksen (N)'!B13,'Reeksen (N)'!D13))</f>
        <v>0</v>
      </c>
      <c r="K82" s="97">
        <f ca="1">IF(E82&gt;='Invoer gegevens (N)'!$C$17+'Invoer gegevens (N)'!$I$14,0,F82-G82)</f>
        <v>0</v>
      </c>
      <c r="L82" s="84">
        <f ca="1">IF('Invoer gegevens (N)'!$C$17=E82,0,IF(C82=1,Q81,0))</f>
        <v>0</v>
      </c>
      <c r="M82" s="96">
        <f ca="1">IF(E82='Invoer gegevens (N)'!$C$17+'Invoer gegevens (N)'!$I$14,Q81,IF(C82&gt;=1,L82*VLOOKUP(E82,'Reeksen (N)'!$A$5:$B$76,2),0))</f>
        <v>0</v>
      </c>
      <c r="N82" s="84">
        <f ca="1">IF(C82='Invoer gegevens (N)'!$C$17+'Invoer gegevens (N)'!$I$14,Q81,(1-('Invoer gegevens (N)'!$F$20/12))*L82*MIN('Reeksen (N)'!B14,'Reeksen (N)'!D14))</f>
        <v>0</v>
      </c>
      <c r="O82" s="84">
        <f>IF('Reeksen (N)'!D14&lt;'Reeksen (N)'!B14,('Reeksen (N)'!B14-'Reeksen (N)'!D14)*L82,0)</f>
        <v>0</v>
      </c>
      <c r="P82" s="84">
        <f ca="1">IF(E82='Invoer gegevens (N)'!$C$17+'Invoer gegevens (N)'!$I$14+1,0,('Invoer gegevens (N)'!$F$20/12)*L81*MIN('Reeksen (N)'!B13,'Reeksen (N)'!D13))</f>
        <v>0</v>
      </c>
      <c r="Q82" s="84">
        <f ca="1">IF(E82&gt;='Invoer gegevens (N)'!$C$17+'Invoer gegevens (N)'!$I$14,0,L82-M82+I82+O82)</f>
        <v>0</v>
      </c>
      <c r="R82" s="82">
        <f ca="1">IF('Invoer gegevens (N)'!$C$17=E82,'Invoer gegevens (N)'!$C$11,IF(C82=1,W81,0))</f>
        <v>0</v>
      </c>
      <c r="S82" s="86">
        <f ca="1">IF(E82='Invoer gegevens (N)'!$C$17+'Invoer gegevens (N)'!$I$14,W81,IF(C82&gt;=1,R82*VLOOKUP(E82,'Reeksen (N)'!$A$5:$B$76,2),0))</f>
        <v>0</v>
      </c>
      <c r="T82" s="84">
        <f ca="1">IF(E82='Invoer gegevens (N)'!$C$17+'Invoer gegevens (N)'!$I$14,W81,(1-('Invoer gegevens (N)'!$F$20/12))*R82*MIN('Reeksen (N)'!B14,'Reeksen (N)'!D14))</f>
        <v>0</v>
      </c>
      <c r="U82" s="84">
        <f>IF('Reeksen (N)'!D14&gt;='Reeksen (N)'!B14,0,IF('Reeksen (N)'!AK14&lt;='Reeksen (N)'!AE14,('Reeksen (N)'!B14-'Reeksen (N)'!D14)*R82,0))</f>
        <v>0</v>
      </c>
      <c r="V82" s="86">
        <f>IF('Reeksen (N)'!D14&gt;='Reeksen (N)'!B14,0,IF('Reeksen (N)'!AK14&gt;'Reeksen (N)'!AE14,('Reeksen (N)'!B14-'Reeksen (N)'!D14)*R82,0))</f>
        <v>0</v>
      </c>
      <c r="W82" s="97">
        <f ca="1">IF(E82&gt;='Invoer gegevens (N)'!$C$17+'Invoer gegevens (N)'!$I$14,0,R82-S82)</f>
        <v>0</v>
      </c>
      <c r="X82" s="98">
        <f ca="1">IF('Invoer gegevens (N)'!$C$17=E82,'Invoer gegevens (N)'!$C$10-'Invoer gegevens (N)'!$C$11,IF(C82=1,AC81,0))</f>
        <v>0</v>
      </c>
      <c r="Y82" s="98">
        <f ca="1">IF(E82='Invoer gegevens (N)'!$C$17+'Invoer gegevens (N)'!$I$14,AC81,IF(C82&gt;=1,X82*VLOOKUP(E82,'Reeksen (N)'!$A$5:$B$76,2),0))</f>
        <v>0</v>
      </c>
      <c r="Z82" s="98">
        <f ca="1">IF(E82='Invoer gegevens (N)'!$C$17+'Invoer gegevens (N)'!$I$14,AC81,(1-('Invoer gegevens (N)'!$F$20/12))*X82*MIN('Reeksen (N)'!B14,'Reeksen (N)'!D14))</f>
        <v>0</v>
      </c>
      <c r="AA82" s="98">
        <f>IF('Reeksen (N)'!D14&gt;='Reeksen (N)'!B14,0,IF('Reeksen (N)'!AK14&lt;='Reeksen (N)'!AE14,('Reeksen (N)'!B14-'Reeksen (N)'!D14)*X82,0))</f>
        <v>0</v>
      </c>
      <c r="AB82" s="98">
        <f>IF('Reeksen (N)'!D14&gt;='Reeksen (N)'!B14,0,IF('Reeksen (N)'!AK14&gt;'Reeksen (N)'!AE14,('Reeksen (N)'!B14-'Reeksen (N)'!D14)*X82,0))</f>
        <v>0</v>
      </c>
      <c r="AC82" s="99">
        <f ca="1">IF(E82&gt;='Invoer gegevens (N)'!$C$17+'Invoer gegevens (N)'!$I$14,0,X82-Y82)</f>
        <v>0</v>
      </c>
      <c r="AD82" s="98">
        <f ca="1">IF('Invoer gegevens (N)'!$C$17=E14,R82,IF(C14=0,0,AE81))</f>
        <v>0</v>
      </c>
      <c r="AE82" s="98">
        <f t="shared" ca="1" si="9"/>
        <v>0</v>
      </c>
      <c r="AF82" s="98">
        <f ca="1">IF('Invoer gegevens (N)'!$C$17=E14,X82,IF(C14=0,0,AG81))</f>
        <v>0</v>
      </c>
      <c r="AG82" s="98">
        <f t="shared" ca="1" si="10"/>
        <v>0</v>
      </c>
      <c r="AH82" s="70"/>
      <c r="AI82" s="71">
        <f ca="1">IF(C82=1,(('Reeksen (N)'!BF14*(F82-G82+F82)/2)+((L82-M82+L82)/2*'Reeksen (N)'!BG14))*12,0)</f>
        <v>0</v>
      </c>
      <c r="AJ82" s="71">
        <f ca="1">-AI82*'Invoer gegevens (N)'!$I$26</f>
        <v>0</v>
      </c>
      <c r="AK82" s="71">
        <f t="shared" ca="1" si="11"/>
        <v>0</v>
      </c>
      <c r="AL82" s="71">
        <f ca="1">IF(C82=1,'Reeksen (N)'!AL14*((F82-G82+F82)/2)*12+'Reeksen (N)'!AM14*((L82-M82+L82)/2)*12,0)</f>
        <v>0</v>
      </c>
      <c r="AM82" s="71">
        <f ca="1">-AL82*'Invoer gegevens (N)'!$F$31</f>
        <v>0</v>
      </c>
      <c r="AN82" s="71">
        <f t="shared" ca="1" si="12"/>
        <v>0</v>
      </c>
      <c r="AO82" s="71">
        <f ca="1">IF(E82&gt;='Invoer gegevens (N)'!$C$17+'Invoer gegevens (N)'!$I$14,0,IF(C82=1,(H82+J82+N82+P82)*'Reeksen (N)'!AN14,0))</f>
        <v>0</v>
      </c>
      <c r="AP82" s="71">
        <f ca="1">-IF(C82=1,(H82+J82+N82+P82)*'Reeksen (N)'!AN13*'Hulp - basis'!$J$550,0)</f>
        <v>0</v>
      </c>
      <c r="AQ82" s="71">
        <f ca="1">-IF(C82=1,(F82+K82+L82+Q82)/2*'Invoer gegevens (N)'!$I$33*'Reeksen (N)'!J14,0)</f>
        <v>0</v>
      </c>
      <c r="AR82" s="71">
        <f ca="1">-IF(C82=1,(I82*'Invoer gegevens (N)'!$I$34)*'Reeksen (N)'!J14,0)</f>
        <v>0</v>
      </c>
      <c r="AS82" s="71">
        <f ca="1">-IF(C82=1,(F82+K82+L82+Q82)/2*'Invoer gegevens (N)'!$I$35*'Reeksen (N)'!L14,0)</f>
        <v>0</v>
      </c>
      <c r="AT82" s="71">
        <f ca="1">-IF(C82=1,IF(E82='Invoer gegevens (N)'!$C$17,'Invoer gegevens (N)'!$C$11,AD82)*'Reeksen (N)'!S14*'Invoer gegevens (N)'!$C$18*'Reeksen (N)'!P14,0)</f>
        <v>0</v>
      </c>
      <c r="AU82" s="71">
        <f ca="1">-IF(C82=1,(F82+K82+L82+Q82)/2*'Invoer gegevens (N)'!$I$36*'Reeksen (N)'!H14,0)</f>
        <v>0</v>
      </c>
      <c r="AV82" s="71">
        <f t="shared" ca="1" si="13"/>
        <v>0</v>
      </c>
      <c r="AW82" s="72">
        <f ca="1">IFERROR(IF(E82='Invoer gegevens (N)'!$C$17+'Invoer gegevens (N)'!$I$14-1,'Invoer gegevens (N)'!$I$13*K82*'Reeksen (N)'!H14,0),0)</f>
        <v>0</v>
      </c>
      <c r="AX82" s="72">
        <f ca="1">IFERROR(IF(E82='Invoer gegevens (N)'!$C$17,-'Invoer gegevens (N)'!$C$10*('Invoer gegevens (N)'!$C$30+'Invoer gegevens (N)'!$C$31)*'Reeksen (N)'!H14,0),0)</f>
        <v>0</v>
      </c>
      <c r="AY82" s="73">
        <f ca="1">IF('Invoer gegevens (N)'!$C$34=E82,'Invoer gegevens (N)'!$C$27*'Invoer gegevens (N)'!$C$10*'Invoer gegevens (N)'!$C$36*(IF('Invoer gegevens (N)'!$C$35="ja",1,'Reeksen (N)'!J14)),IF('Invoer gegevens (N)'!$C$34+1=E82,'Invoer gegevens (N)'!$C$27*'Invoer gegevens (N)'!$C$10*'Invoer gegevens (N)'!$C$37*(IF('Invoer gegevens (N)'!$C$35="ja",1,'Reeksen (N)'!J14)),0))+IF(AND(E82='Invoer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2" s="73">
        <f ca="1">AV82/(1+'Invoer gegevens (N)'!$I$12)^($D82-('Invoer gegevens (N)'!$C$17-'Invoer gegevens (N)'!$C$16))/(1+'Invoer gegevens (N)'!$C$39)^('Invoer gegevens (N)'!$C$17-'Invoer gegevens (N)'!$C$16)</f>
        <v>0</v>
      </c>
      <c r="BA82" s="73">
        <f ca="1">AW82/(1+'Invoer gegevens (N)'!$I$12)^(E82-('Invoer gegevens (N)'!$C$17-1))/(1+'Invoer gegevens (N)'!$C$39)^('Invoer gegevens (N)'!$C$17-'Invoer gegevens (N)'!$C$16)</f>
        <v>0</v>
      </c>
      <c r="BB82" s="73">
        <f ca="1">AX82/(1+'Invoer gegevens (N)'!$C$39)^('Invoer gegevens (N)'!$C$17-'Invoer gegevens (N)'!$C$16)</f>
        <v>0</v>
      </c>
      <c r="BC82" s="72">
        <f t="shared" ca="1" si="14"/>
        <v>0</v>
      </c>
      <c r="BD82" s="72">
        <f ca="1">IF(AND(E82='Invoer gegevens (N)'!$C$16,'Invoer gegevens (N)'!$C$34&lt;'Invoer gegevens (N)'!$C$16),AY82,AY82/(1+'Invoer gegevens (N)'!$C$39)^D82)</f>
        <v>0</v>
      </c>
      <c r="BE82" s="72">
        <f ca="1">IF(E82='Invoer gegevens (N)'!$C$34,-'Invoer gegevens (N)'!$I$38,0)</f>
        <v>0</v>
      </c>
      <c r="BF82" s="72">
        <f ca="1">IF(E82='Invoer gegevens (N)'!$C$17,-'Invoer gegevens (N)'!$C$19*$BC$134,0)</f>
        <v>0</v>
      </c>
      <c r="BG82" s="72">
        <f ca="1">AV82/(1+$BG$72)^($D82-('Invoer gegevens (N)'!$C$17-'Invoer gegevens (N)'!$C$16))/(1+'Invoer gegevens (N)'!$C$39)^('Invoer gegevens (N)'!$C$17-'Invoer gegevens (N)'!$C$16)+AW82/(1+$BG$72)^(E82-('Invoer gegevens (N)'!$C$17-1))/(1+'Invoer gegevens (N)'!$C$39)^('Invoer gegevens (N)'!$C$17-'Invoer gegevens (N)'!$C$16)+AX82/(1+'Invoer gegevens (N)'!$C$39)^('Invoer gegevens (N)'!$C$17-'Invoer gegevens (N)'!$C$16)+(-AY82/(1+'Invoer gegevens (N)'!$C$39)^D82)+BE82+BF82</f>
        <v>0</v>
      </c>
    </row>
    <row r="83" spans="1:59" x14ac:dyDescent="0.25">
      <c r="A83" s="59"/>
      <c r="B83" s="70">
        <f t="shared" si="15"/>
        <v>11</v>
      </c>
      <c r="C83" s="67">
        <f ca="1">IF(AND(E83&gt;='Invoer gegevens (N)'!$C$17,E83&lt;'Invoer gegevens (N)'!$C$17+'Invoer gegevens (N)'!$I$14),1,0)</f>
        <v>1</v>
      </c>
      <c r="D83" s="68">
        <f t="shared" si="16"/>
        <v>10.5</v>
      </c>
      <c r="E83" s="108">
        <f ca="1">IF('Invoer gegevens (N)'!$C$16="","",E82+1)</f>
        <v>2029</v>
      </c>
      <c r="F83" s="84">
        <f ca="1">IF('Invoer gegevens (N)'!$C$17=E83,'Invoer gegevens (N)'!$C$10,IF(C83=1,K82,0))</f>
        <v>0</v>
      </c>
      <c r="G83" s="96">
        <f ca="1">IF(E83='Invoer gegevens (N)'!$C$17+'Invoer gegevens (N)'!$I$14,K82,IF(C83&gt;=1,F83*VLOOKUP(E83,'Reeksen (N)'!$A$5:$B$76,2),0))</f>
        <v>0</v>
      </c>
      <c r="H83" s="84">
        <f ca="1">IF(E83='Invoer gegevens (N)'!$C$17+'Invoer gegevens (N)'!$I$14,K82,(1-('Invoer gegevens (N)'!$F$20/12))*F83*MIN('Reeksen (N)'!B15,'Reeksen (N)'!D15))</f>
        <v>0</v>
      </c>
      <c r="I83" s="84">
        <f>IF('Reeksen (N)'!D15&lt;'Reeksen (N)'!B15,('Reeksen (N)'!B15-'Reeksen (N)'!D15)*F83,0)</f>
        <v>0</v>
      </c>
      <c r="J83" s="84">
        <f ca="1">IF(E83='Invoer gegevens (N)'!$C$17+'Invoer gegevens (N)'!$I$14+1,0,('Invoer gegevens (N)'!$F$20/12)*F82*MIN('Reeksen (N)'!B14,'Reeksen (N)'!D14))</f>
        <v>0</v>
      </c>
      <c r="K83" s="97">
        <f ca="1">IF(E83&gt;='Invoer gegevens (N)'!$C$17+'Invoer gegevens (N)'!$I$14,0,F83-G83)</f>
        <v>0</v>
      </c>
      <c r="L83" s="84">
        <f ca="1">IF('Invoer gegevens (N)'!$C$17=E83,0,IF(C83=1,Q82,0))</f>
        <v>0</v>
      </c>
      <c r="M83" s="96">
        <f ca="1">IF(E83='Invoer gegevens (N)'!$C$17+'Invoer gegevens (N)'!$I$14,Q82,IF(C83&gt;=1,L83*VLOOKUP(E83,'Reeksen (N)'!$A$5:$B$76,2),0))</f>
        <v>0</v>
      </c>
      <c r="N83" s="84">
        <f ca="1">IF(C83='Invoer gegevens (N)'!$C$17+'Invoer gegevens (N)'!$I$14,Q82,(1-('Invoer gegevens (N)'!$F$20/12))*L83*MIN('Reeksen (N)'!B15,'Reeksen (N)'!D15))</f>
        <v>0</v>
      </c>
      <c r="O83" s="84">
        <f>IF('Reeksen (N)'!D15&lt;'Reeksen (N)'!B15,('Reeksen (N)'!B15-'Reeksen (N)'!D15)*L83,0)</f>
        <v>0</v>
      </c>
      <c r="P83" s="84">
        <f ca="1">IF(E83='Invoer gegevens (N)'!$C$17+'Invoer gegevens (N)'!$I$14+1,0,('Invoer gegevens (N)'!$F$20/12)*L82*MIN('Reeksen (N)'!B14,'Reeksen (N)'!D14))</f>
        <v>0</v>
      </c>
      <c r="Q83" s="84">
        <f ca="1">IF(E83&gt;='Invoer gegevens (N)'!$C$17+'Invoer gegevens (N)'!$I$14,0,L83-M83+I83+O83)</f>
        <v>0</v>
      </c>
      <c r="R83" s="82">
        <f ca="1">IF('Invoer gegevens (N)'!$C$17=E83,'Invoer gegevens (N)'!$C$11,IF(C83=1,W82,0))</f>
        <v>0</v>
      </c>
      <c r="S83" s="86">
        <f ca="1">IF(E83='Invoer gegevens (N)'!$C$17+'Invoer gegevens (N)'!$I$14,W82,IF(C83&gt;=1,R83*VLOOKUP(E83,'Reeksen (N)'!$A$5:$B$76,2),0))</f>
        <v>0</v>
      </c>
      <c r="T83" s="84">
        <f ca="1">IF(E83='Invoer gegevens (N)'!$C$17+'Invoer gegevens (N)'!$I$14,W82,(1-('Invoer gegevens (N)'!$F$20/12))*R83*MIN('Reeksen (N)'!B15,'Reeksen (N)'!D15))</f>
        <v>0</v>
      </c>
      <c r="U83" s="84">
        <f>IF('Reeksen (N)'!D15&gt;='Reeksen (N)'!B15,0,IF('Reeksen (N)'!AK15&lt;='Reeksen (N)'!AE15,('Reeksen (N)'!B15-'Reeksen (N)'!D15)*R83,0))</f>
        <v>0</v>
      </c>
      <c r="V83" s="86">
        <f>IF('Reeksen (N)'!D15&gt;='Reeksen (N)'!B15,0,IF('Reeksen (N)'!AK15&gt;'Reeksen (N)'!AE15,('Reeksen (N)'!B15-'Reeksen (N)'!D15)*R83,0))</f>
        <v>0</v>
      </c>
      <c r="W83" s="97">
        <f ca="1">IF(E83&gt;='Invoer gegevens (N)'!$C$17+'Invoer gegevens (N)'!$I$14,0,R83-S83)</f>
        <v>0</v>
      </c>
      <c r="X83" s="98">
        <f ca="1">IF('Invoer gegevens (N)'!$C$17=E83,'Invoer gegevens (N)'!$C$10-'Invoer gegevens (N)'!$C$11,IF(C83=1,AC82,0))</f>
        <v>0</v>
      </c>
      <c r="Y83" s="98">
        <f ca="1">IF(E83='Invoer gegevens (N)'!$C$17+'Invoer gegevens (N)'!$I$14,AC82,IF(C83&gt;=1,X83*VLOOKUP(E83,'Reeksen (N)'!$A$5:$B$76,2),0))</f>
        <v>0</v>
      </c>
      <c r="Z83" s="98">
        <f ca="1">IF(E83='Invoer gegevens (N)'!$C$17+'Invoer gegevens (N)'!$I$14,AC82,(1-('Invoer gegevens (N)'!$F$20/12))*X83*MIN('Reeksen (N)'!B15,'Reeksen (N)'!D15))</f>
        <v>0</v>
      </c>
      <c r="AA83" s="98">
        <f>IF('Reeksen (N)'!D15&gt;='Reeksen (N)'!B15,0,IF('Reeksen (N)'!AK15&lt;='Reeksen (N)'!AE15,('Reeksen (N)'!B15-'Reeksen (N)'!D15)*X83,0))</f>
        <v>0</v>
      </c>
      <c r="AB83" s="98">
        <f>IF('Reeksen (N)'!D15&gt;='Reeksen (N)'!B15,0,IF('Reeksen (N)'!AK15&gt;'Reeksen (N)'!AE15,('Reeksen (N)'!B15-'Reeksen (N)'!D15)*X83,0))</f>
        <v>0</v>
      </c>
      <c r="AC83" s="99">
        <f ca="1">IF(E83&gt;='Invoer gegevens (N)'!$C$17+'Invoer gegevens (N)'!$I$14,0,X83-Y83)</f>
        <v>0</v>
      </c>
      <c r="AD83" s="98">
        <f ca="1">IF('Invoer gegevens (N)'!$C$17=E15,R83,IF(C15=0,0,AE82))</f>
        <v>0</v>
      </c>
      <c r="AE83" s="98">
        <f t="shared" ca="1" si="9"/>
        <v>0</v>
      </c>
      <c r="AF83" s="98">
        <f ca="1">IF('Invoer gegevens (N)'!$C$17=E15,X83,IF(C15=0,0,AG82))</f>
        <v>0</v>
      </c>
      <c r="AG83" s="98">
        <f t="shared" ca="1" si="10"/>
        <v>0</v>
      </c>
      <c r="AH83" s="70"/>
      <c r="AI83" s="71">
        <f ca="1">IF(C83=1,(('Reeksen (N)'!BF15*(F83-G83+F83)/2)+((L83-M83+L83)/2*'Reeksen (N)'!BG15))*12,0)</f>
        <v>0</v>
      </c>
      <c r="AJ83" s="71">
        <f ca="1">-AI83*'Invoer gegevens (N)'!$I$26</f>
        <v>0</v>
      </c>
      <c r="AK83" s="71">
        <f t="shared" ca="1" si="11"/>
        <v>0</v>
      </c>
      <c r="AL83" s="71">
        <f ca="1">IF(C83=1,'Reeksen (N)'!AL15*((F83-G83+F83)/2)*12+'Reeksen (N)'!AM15*((L83-M83+L83)/2)*12,0)</f>
        <v>0</v>
      </c>
      <c r="AM83" s="71">
        <f ca="1">-AL83*'Invoer gegevens (N)'!$F$31</f>
        <v>0</v>
      </c>
      <c r="AN83" s="71">
        <f t="shared" ca="1" si="12"/>
        <v>0</v>
      </c>
      <c r="AO83" s="71">
        <f ca="1">IF(E83&gt;='Invoer gegevens (N)'!$C$17+'Invoer gegevens (N)'!$I$14,0,IF(C83=1,(H83+J83+N83+P83)*'Reeksen (N)'!AN15,0))</f>
        <v>0</v>
      </c>
      <c r="AP83" s="71">
        <f ca="1">-IF(C83=1,(H83+J83+N83+P83)*'Reeksen (N)'!AN14*'Hulp - basis'!$J$550,0)</f>
        <v>0</v>
      </c>
      <c r="AQ83" s="71">
        <f ca="1">-IF(C83=1,(F83+K83+L83+Q83)/2*'Invoer gegevens (N)'!$I$33*'Reeksen (N)'!J15,0)</f>
        <v>0</v>
      </c>
      <c r="AR83" s="71">
        <f ca="1">-IF(C83=1,(I83*'Invoer gegevens (N)'!$I$34)*'Reeksen (N)'!J15,0)</f>
        <v>0</v>
      </c>
      <c r="AS83" s="71">
        <f ca="1">-IF(C83=1,(F83+K83+L83+Q83)/2*'Invoer gegevens (N)'!$I$35*'Reeksen (N)'!L15,0)</f>
        <v>0</v>
      </c>
      <c r="AT83" s="71">
        <f ca="1">-IF(C83=1,IF(E83='Invoer gegevens (N)'!$C$17,'Invoer gegevens (N)'!$C$11,AD83)*'Reeksen (N)'!S15*'Invoer gegevens (N)'!$C$18*'Reeksen (N)'!P15,0)</f>
        <v>0</v>
      </c>
      <c r="AU83" s="71">
        <f ca="1">-IF(C83=1,(F83+K83+L83+Q83)/2*'Invoer gegevens (N)'!$I$36*'Reeksen (N)'!H15,0)</f>
        <v>0</v>
      </c>
      <c r="AV83" s="71">
        <f t="shared" ca="1" si="13"/>
        <v>0</v>
      </c>
      <c r="AW83" s="72">
        <f ca="1">IFERROR(IF(E83='Invoer gegevens (N)'!$C$17+'Invoer gegevens (N)'!$I$14-1,'Invoer gegevens (N)'!$I$13*K83*'Reeksen (N)'!H15,0),0)</f>
        <v>0</v>
      </c>
      <c r="AX83" s="72">
        <f ca="1">IFERROR(IF(E83='Invoer gegevens (N)'!$C$17,-'Invoer gegevens (N)'!$C$10*('Invoer gegevens (N)'!$C$30+'Invoer gegevens (N)'!$C$31)*'Reeksen (N)'!H15,0),0)</f>
        <v>0</v>
      </c>
      <c r="AY83" s="73">
        <f ca="1">IF('Invoer gegevens (N)'!$C$34=E83,'Invoer gegevens (N)'!$C$27*'Invoer gegevens (N)'!$C$10*'Invoer gegevens (N)'!$C$36*(IF('Invoer gegevens (N)'!$C$35="ja",1,'Reeksen (N)'!J15)),IF('Invoer gegevens (N)'!$C$34+1=E83,'Invoer gegevens (N)'!$C$27*'Invoer gegevens (N)'!$C$10*'Invoer gegevens (N)'!$C$37*(IF('Invoer gegevens (N)'!$C$35="ja",1,'Reeksen (N)'!J15)),0))+IF(AND(E83='Invoer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3" s="73">
        <f ca="1">AV83/(1+'Invoer gegevens (N)'!$I$12)^($D83-('Invoer gegevens (N)'!$C$17-'Invoer gegevens (N)'!$C$16))/(1+'Invoer gegevens (N)'!$C$39)^('Invoer gegevens (N)'!$C$17-'Invoer gegevens (N)'!$C$16)</f>
        <v>0</v>
      </c>
      <c r="BA83" s="73">
        <f ca="1">AW83/(1+'Invoer gegevens (N)'!$I$12)^(E83-('Invoer gegevens (N)'!$C$17-1))/(1+'Invoer gegevens (N)'!$C$39)^('Invoer gegevens (N)'!$C$17-'Invoer gegevens (N)'!$C$16)</f>
        <v>0</v>
      </c>
      <c r="BB83" s="73">
        <f ca="1">AX83/(1+'Invoer gegevens (N)'!$C$39)^('Invoer gegevens (N)'!$C$17-'Invoer gegevens (N)'!$C$16)</f>
        <v>0</v>
      </c>
      <c r="BC83" s="72">
        <f t="shared" ca="1" si="14"/>
        <v>0</v>
      </c>
      <c r="BD83" s="72">
        <f ca="1">IF(AND(E83='Invoer gegevens (N)'!$C$16,'Invoer gegevens (N)'!$C$34&lt;'Invoer gegevens (N)'!$C$16),AY83,AY83/(1+'Invoer gegevens (N)'!$C$39)^D83)</f>
        <v>0</v>
      </c>
      <c r="BE83" s="72">
        <f ca="1">IF(E83='Invoer gegevens (N)'!$C$34,-'Invoer gegevens (N)'!$I$38,0)</f>
        <v>0</v>
      </c>
      <c r="BF83" s="72">
        <f ca="1">IF(E83='Invoer gegevens (N)'!$C$17,-'Invoer gegevens (N)'!$C$19*$BC$134,0)</f>
        <v>0</v>
      </c>
      <c r="BG83" s="72">
        <f ca="1">AV83/(1+$BG$72)^($D83-('Invoer gegevens (N)'!$C$17-'Invoer gegevens (N)'!$C$16))/(1+'Invoer gegevens (N)'!$C$39)^('Invoer gegevens (N)'!$C$17-'Invoer gegevens (N)'!$C$16)+AW83/(1+$BG$72)^(E83-('Invoer gegevens (N)'!$C$17-1))/(1+'Invoer gegevens (N)'!$C$39)^('Invoer gegevens (N)'!$C$17-'Invoer gegevens (N)'!$C$16)+AX83/(1+'Invoer gegevens (N)'!$C$39)^('Invoer gegevens (N)'!$C$17-'Invoer gegevens (N)'!$C$16)+(-AY83/(1+'Invoer gegevens (N)'!$C$39)^D83)+BE83+BF83</f>
        <v>0</v>
      </c>
    </row>
    <row r="84" spans="1:59" x14ac:dyDescent="0.25">
      <c r="A84" s="59"/>
      <c r="B84" s="70">
        <f t="shared" si="15"/>
        <v>12</v>
      </c>
      <c r="C84" s="67">
        <f ca="1">IF(AND(E84&gt;='Invoer gegevens (N)'!$C$17,E84&lt;'Invoer gegevens (N)'!$C$17+'Invoer gegevens (N)'!$I$14),1,0)</f>
        <v>1</v>
      </c>
      <c r="D84" s="68">
        <f t="shared" si="16"/>
        <v>11.5</v>
      </c>
      <c r="E84" s="108">
        <f ca="1">IF('Invoer gegevens (N)'!$C$16="","",E83+1)</f>
        <v>2030</v>
      </c>
      <c r="F84" s="84">
        <f ca="1">IF('Invoer gegevens (N)'!$C$17=E84,'Invoer gegevens (N)'!$C$10,IF(C84=1,K83,0))</f>
        <v>0</v>
      </c>
      <c r="G84" s="96">
        <f ca="1">IF(E84='Invoer gegevens (N)'!$C$17+'Invoer gegevens (N)'!$I$14,K83,IF(C84&gt;=1,F84*VLOOKUP(E84,'Reeksen (N)'!$A$5:$B$76,2),0))</f>
        <v>0</v>
      </c>
      <c r="H84" s="84">
        <f ca="1">IF(E84='Invoer gegevens (N)'!$C$17+'Invoer gegevens (N)'!$I$14,K83,(1-('Invoer gegevens (N)'!$F$20/12))*F84*MIN('Reeksen (N)'!B16,'Reeksen (N)'!D16))</f>
        <v>0</v>
      </c>
      <c r="I84" s="84">
        <f>IF('Reeksen (N)'!D16&lt;'Reeksen (N)'!B16,('Reeksen (N)'!B16-'Reeksen (N)'!D16)*F84,0)</f>
        <v>0</v>
      </c>
      <c r="J84" s="84">
        <f ca="1">IF(E84='Invoer gegevens (N)'!$C$17+'Invoer gegevens (N)'!$I$14+1,0,('Invoer gegevens (N)'!$F$20/12)*F83*MIN('Reeksen (N)'!B15,'Reeksen (N)'!D15))</f>
        <v>0</v>
      </c>
      <c r="K84" s="97">
        <f ca="1">IF(E84&gt;='Invoer gegevens (N)'!$C$17+'Invoer gegevens (N)'!$I$14,0,F84-G84)</f>
        <v>0</v>
      </c>
      <c r="L84" s="84">
        <f ca="1">IF('Invoer gegevens (N)'!$C$17=E84,0,IF(C84=1,Q83,0))</f>
        <v>0</v>
      </c>
      <c r="M84" s="96">
        <f ca="1">IF(E84='Invoer gegevens (N)'!$C$17+'Invoer gegevens (N)'!$I$14,Q83,IF(C84&gt;=1,L84*VLOOKUP(E84,'Reeksen (N)'!$A$5:$B$76,2),0))</f>
        <v>0</v>
      </c>
      <c r="N84" s="84">
        <f ca="1">IF(C84='Invoer gegevens (N)'!$C$17+'Invoer gegevens (N)'!$I$14,Q83,(1-('Invoer gegevens (N)'!$F$20/12))*L84*MIN('Reeksen (N)'!B16,'Reeksen (N)'!D16))</f>
        <v>0</v>
      </c>
      <c r="O84" s="84">
        <f>IF('Reeksen (N)'!D16&lt;'Reeksen (N)'!B16,('Reeksen (N)'!B16-'Reeksen (N)'!D16)*L84,0)</f>
        <v>0</v>
      </c>
      <c r="P84" s="84">
        <f ca="1">IF(E84='Invoer gegevens (N)'!$C$17+'Invoer gegevens (N)'!$I$14+1,0,('Invoer gegevens (N)'!$F$20/12)*L83*MIN('Reeksen (N)'!B15,'Reeksen (N)'!D15))</f>
        <v>0</v>
      </c>
      <c r="Q84" s="84">
        <f ca="1">IF(E84&gt;='Invoer gegevens (N)'!$C$17+'Invoer gegevens (N)'!$I$14,0,L84-M84+I84+O84)</f>
        <v>0</v>
      </c>
      <c r="R84" s="82">
        <f ca="1">IF('Invoer gegevens (N)'!$C$17=E84,'Invoer gegevens (N)'!$C$11,IF(C84=1,W83,0))</f>
        <v>0</v>
      </c>
      <c r="S84" s="86">
        <f ca="1">IF(E84='Invoer gegevens (N)'!$C$17+'Invoer gegevens (N)'!$I$14,W83,IF(C84&gt;=1,R84*VLOOKUP(E84,'Reeksen (N)'!$A$5:$B$76,2),0))</f>
        <v>0</v>
      </c>
      <c r="T84" s="84">
        <f ca="1">IF(E84='Invoer gegevens (N)'!$C$17+'Invoer gegevens (N)'!$I$14,W83,(1-('Invoer gegevens (N)'!$F$20/12))*R84*MIN('Reeksen (N)'!B16,'Reeksen (N)'!D16))</f>
        <v>0</v>
      </c>
      <c r="U84" s="84">
        <f>IF('Reeksen (N)'!D16&gt;='Reeksen (N)'!B16,0,IF('Reeksen (N)'!AK16&lt;='Reeksen (N)'!AE16,('Reeksen (N)'!B16-'Reeksen (N)'!D16)*R84,0))</f>
        <v>0</v>
      </c>
      <c r="V84" s="86">
        <f>IF('Reeksen (N)'!D16&gt;='Reeksen (N)'!B16,0,IF('Reeksen (N)'!AK16&gt;'Reeksen (N)'!AE16,('Reeksen (N)'!B16-'Reeksen (N)'!D16)*R84,0))</f>
        <v>0</v>
      </c>
      <c r="W84" s="97">
        <f ca="1">IF(E84&gt;='Invoer gegevens (N)'!$C$17+'Invoer gegevens (N)'!$I$14,0,R84-S84)</f>
        <v>0</v>
      </c>
      <c r="X84" s="98">
        <f ca="1">IF('Invoer gegevens (N)'!$C$17=E84,'Invoer gegevens (N)'!$C$10-'Invoer gegevens (N)'!$C$11,IF(C84=1,AC83,0))</f>
        <v>0</v>
      </c>
      <c r="Y84" s="98">
        <f ca="1">IF(E84='Invoer gegevens (N)'!$C$17+'Invoer gegevens (N)'!$I$14,AC83,IF(C84&gt;=1,X84*VLOOKUP(E84,'Reeksen (N)'!$A$5:$B$76,2),0))</f>
        <v>0</v>
      </c>
      <c r="Z84" s="98">
        <f ca="1">IF(E84='Invoer gegevens (N)'!$C$17+'Invoer gegevens (N)'!$I$14,AC83,(1-('Invoer gegevens (N)'!$F$20/12))*X84*MIN('Reeksen (N)'!B16,'Reeksen (N)'!D16))</f>
        <v>0</v>
      </c>
      <c r="AA84" s="98">
        <f>IF('Reeksen (N)'!D16&gt;='Reeksen (N)'!B16,0,IF('Reeksen (N)'!AK16&lt;='Reeksen (N)'!AE16,('Reeksen (N)'!B16-'Reeksen (N)'!D16)*X84,0))</f>
        <v>0</v>
      </c>
      <c r="AB84" s="98">
        <f>IF('Reeksen (N)'!D16&gt;='Reeksen (N)'!B16,0,IF('Reeksen (N)'!AK16&gt;'Reeksen (N)'!AE16,('Reeksen (N)'!B16-'Reeksen (N)'!D16)*X84,0))</f>
        <v>0</v>
      </c>
      <c r="AC84" s="99">
        <f ca="1">IF(E84&gt;='Invoer gegevens (N)'!$C$17+'Invoer gegevens (N)'!$I$14,0,X84-Y84)</f>
        <v>0</v>
      </c>
      <c r="AD84" s="98">
        <f ca="1">IF('Invoer gegevens (N)'!$C$17=E16,R84,IF(C16=0,0,AE83))</f>
        <v>0</v>
      </c>
      <c r="AE84" s="98">
        <f t="shared" ca="1" si="9"/>
        <v>0</v>
      </c>
      <c r="AF84" s="98">
        <f ca="1">IF('Invoer gegevens (N)'!$C$17=E16,X84,IF(C16=0,0,AG83))</f>
        <v>0</v>
      </c>
      <c r="AG84" s="98">
        <f t="shared" ca="1" si="10"/>
        <v>0</v>
      </c>
      <c r="AH84" s="70"/>
      <c r="AI84" s="71">
        <f ca="1">IF(C84=1,(('Reeksen (N)'!BF16*(F84-G84+F84)/2)+((L84-M84+L84)/2*'Reeksen (N)'!BG16))*12,0)</f>
        <v>0</v>
      </c>
      <c r="AJ84" s="71">
        <f ca="1">-AI84*'Invoer gegevens (N)'!$I$26</f>
        <v>0</v>
      </c>
      <c r="AK84" s="71">
        <f t="shared" ca="1" si="11"/>
        <v>0</v>
      </c>
      <c r="AL84" s="71">
        <f ca="1">IF(C84=1,'Reeksen (N)'!AL16*((F84-G84+F84)/2)*12+'Reeksen (N)'!AM16*((L84-M84+L84)/2)*12,0)</f>
        <v>0</v>
      </c>
      <c r="AM84" s="71">
        <f ca="1">-AL84*'Invoer gegevens (N)'!$F$31</f>
        <v>0</v>
      </c>
      <c r="AN84" s="71">
        <f t="shared" ca="1" si="12"/>
        <v>0</v>
      </c>
      <c r="AO84" s="71">
        <f ca="1">IF(E84&gt;='Invoer gegevens (N)'!$C$17+'Invoer gegevens (N)'!$I$14,0,IF(C84=1,(H84+J84+N84+P84)*'Reeksen (N)'!AN16,0))</f>
        <v>0</v>
      </c>
      <c r="AP84" s="71">
        <f ca="1">-IF(C84=1,(H84+J84+N84+P84)*'Reeksen (N)'!AN15*'Hulp - basis'!$J$550,0)</f>
        <v>0</v>
      </c>
      <c r="AQ84" s="71">
        <f ca="1">-IF(C84=1,(F84+K84+L84+Q84)/2*'Invoer gegevens (N)'!$I$33*'Reeksen (N)'!J16,0)</f>
        <v>0</v>
      </c>
      <c r="AR84" s="71">
        <f ca="1">-IF(C84=1,(I84*'Invoer gegevens (N)'!$I$34)*'Reeksen (N)'!J16,0)</f>
        <v>0</v>
      </c>
      <c r="AS84" s="71">
        <f ca="1">-IF(C84=1,(F84+K84+L84+Q84)/2*'Invoer gegevens (N)'!$I$35*'Reeksen (N)'!L16,0)</f>
        <v>0</v>
      </c>
      <c r="AT84" s="71">
        <f ca="1">-IF(C84=1,IF(E84='Invoer gegevens (N)'!$C$17,'Invoer gegevens (N)'!$C$11,AD84)*'Reeksen (N)'!S16*'Invoer gegevens (N)'!$C$18*'Reeksen (N)'!P16,0)</f>
        <v>0</v>
      </c>
      <c r="AU84" s="71">
        <f ca="1">-IF(C84=1,(F84+K84+L84+Q84)/2*'Invoer gegevens (N)'!$I$36*'Reeksen (N)'!H16,0)</f>
        <v>0</v>
      </c>
      <c r="AV84" s="71">
        <f t="shared" ca="1" si="13"/>
        <v>0</v>
      </c>
      <c r="AW84" s="72">
        <f ca="1">IFERROR(IF(E84='Invoer gegevens (N)'!$C$17+'Invoer gegevens (N)'!$I$14-1,'Invoer gegevens (N)'!$I$13*K84*'Reeksen (N)'!H16,0),0)</f>
        <v>0</v>
      </c>
      <c r="AX84" s="72">
        <f ca="1">IFERROR(IF(E84='Invoer gegevens (N)'!$C$17,-'Invoer gegevens (N)'!$C$10*('Invoer gegevens (N)'!$C$30+'Invoer gegevens (N)'!$C$31)*'Reeksen (N)'!H16,0),0)</f>
        <v>0</v>
      </c>
      <c r="AY84" s="73">
        <f ca="1">IF('Invoer gegevens (N)'!$C$34=E84,'Invoer gegevens (N)'!$C$27*'Invoer gegevens (N)'!$C$10*'Invoer gegevens (N)'!$C$36*(IF('Invoer gegevens (N)'!$C$35="ja",1,'Reeksen (N)'!J16)),IF('Invoer gegevens (N)'!$C$34+1=E84,'Invoer gegevens (N)'!$C$27*'Invoer gegevens (N)'!$C$10*'Invoer gegevens (N)'!$C$37*(IF('Invoer gegevens (N)'!$C$35="ja",1,'Reeksen (N)'!J16)),0))+IF(AND(E84='Invoer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4" s="73">
        <f ca="1">AV84/(1+'Invoer gegevens (N)'!$I$12)^($D84-('Invoer gegevens (N)'!$C$17-'Invoer gegevens (N)'!$C$16))/(1+'Invoer gegevens (N)'!$C$39)^('Invoer gegevens (N)'!$C$17-'Invoer gegevens (N)'!$C$16)</f>
        <v>0</v>
      </c>
      <c r="BA84" s="73">
        <f ca="1">AW84/(1+'Invoer gegevens (N)'!$I$12)^(E84-('Invoer gegevens (N)'!$C$17-1))/(1+'Invoer gegevens (N)'!$C$39)^('Invoer gegevens (N)'!$C$17-'Invoer gegevens (N)'!$C$16)</f>
        <v>0</v>
      </c>
      <c r="BB84" s="73">
        <f ca="1">AX84/(1+'Invoer gegevens (N)'!$C$39)^('Invoer gegevens (N)'!$C$17-'Invoer gegevens (N)'!$C$16)</f>
        <v>0</v>
      </c>
      <c r="BC84" s="72">
        <f t="shared" ca="1" si="14"/>
        <v>0</v>
      </c>
      <c r="BD84" s="72">
        <f ca="1">IF(AND(E84='Invoer gegevens (N)'!$C$16,'Invoer gegevens (N)'!$C$34&lt;'Invoer gegevens (N)'!$C$16),AY84,AY84/(1+'Invoer gegevens (N)'!$C$39)^D84)</f>
        <v>0</v>
      </c>
      <c r="BE84" s="72">
        <f ca="1">IF(E84='Invoer gegevens (N)'!$C$34,-'Invoer gegevens (N)'!$I$38,0)</f>
        <v>0</v>
      </c>
      <c r="BF84" s="72">
        <f ca="1">IF(E84='Invoer gegevens (N)'!$C$17,-'Invoer gegevens (N)'!$C$19*$BC$134,0)</f>
        <v>0</v>
      </c>
      <c r="BG84" s="72">
        <f ca="1">AV84/(1+$BG$72)^($D84-('Invoer gegevens (N)'!$C$17-'Invoer gegevens (N)'!$C$16))/(1+'Invoer gegevens (N)'!$C$39)^('Invoer gegevens (N)'!$C$17-'Invoer gegevens (N)'!$C$16)+AW84/(1+$BG$72)^(E84-('Invoer gegevens (N)'!$C$17-1))/(1+'Invoer gegevens (N)'!$C$39)^('Invoer gegevens (N)'!$C$17-'Invoer gegevens (N)'!$C$16)+AX84/(1+'Invoer gegevens (N)'!$C$39)^('Invoer gegevens (N)'!$C$17-'Invoer gegevens (N)'!$C$16)+(-AY84/(1+'Invoer gegevens (N)'!$C$39)^D84)+BE84+BF84</f>
        <v>0</v>
      </c>
    </row>
    <row r="85" spans="1:59" x14ac:dyDescent="0.25">
      <c r="A85" s="59"/>
      <c r="B85" s="70">
        <f t="shared" si="15"/>
        <v>13</v>
      </c>
      <c r="C85" s="67">
        <f ca="1">IF(AND(E85&gt;='Invoer gegevens (N)'!$C$17,E85&lt;'Invoer gegevens (N)'!$C$17+'Invoer gegevens (N)'!$I$14),1,0)</f>
        <v>1</v>
      </c>
      <c r="D85" s="68">
        <f t="shared" si="16"/>
        <v>12.5</v>
      </c>
      <c r="E85" s="108">
        <f ca="1">IF('Invoer gegevens (N)'!$C$16="","",E84+1)</f>
        <v>2031</v>
      </c>
      <c r="F85" s="84">
        <f ca="1">IF('Invoer gegevens (N)'!$C$17=E85,'Invoer gegevens (N)'!$C$10,IF(C85=1,K84,0))</f>
        <v>0</v>
      </c>
      <c r="G85" s="96">
        <f ca="1">IF(E85='Invoer gegevens (N)'!$C$17+'Invoer gegevens (N)'!$I$14,K84,IF(C85&gt;=1,F85*VLOOKUP(E85,'Reeksen (N)'!$A$5:$B$76,2),0))</f>
        <v>0</v>
      </c>
      <c r="H85" s="84">
        <f ca="1">IF(E85='Invoer gegevens (N)'!$C$17+'Invoer gegevens (N)'!$I$14,K84,(1-('Invoer gegevens (N)'!$F$20/12))*F85*MIN('Reeksen (N)'!B17,'Reeksen (N)'!D17))</f>
        <v>0</v>
      </c>
      <c r="I85" s="84">
        <f>IF('Reeksen (N)'!D17&lt;'Reeksen (N)'!B17,('Reeksen (N)'!B17-'Reeksen (N)'!D17)*F85,0)</f>
        <v>0</v>
      </c>
      <c r="J85" s="84">
        <f ca="1">IF(E85='Invoer gegevens (N)'!$C$17+'Invoer gegevens (N)'!$I$14+1,0,('Invoer gegevens (N)'!$F$20/12)*F84*MIN('Reeksen (N)'!B16,'Reeksen (N)'!D16))</f>
        <v>0</v>
      </c>
      <c r="K85" s="97">
        <f ca="1">IF(E85&gt;='Invoer gegevens (N)'!$C$17+'Invoer gegevens (N)'!$I$14,0,F85-G85)</f>
        <v>0</v>
      </c>
      <c r="L85" s="84">
        <f ca="1">IF('Invoer gegevens (N)'!$C$17=E85,0,IF(C85=1,Q84,0))</f>
        <v>0</v>
      </c>
      <c r="M85" s="96">
        <f ca="1">IF(E85='Invoer gegevens (N)'!$C$17+'Invoer gegevens (N)'!$I$14,Q84,IF(C85&gt;=1,L85*VLOOKUP(E85,'Reeksen (N)'!$A$5:$B$76,2),0))</f>
        <v>0</v>
      </c>
      <c r="N85" s="84">
        <f ca="1">IF(C85='Invoer gegevens (N)'!$C$17+'Invoer gegevens (N)'!$I$14,Q84,(1-('Invoer gegevens (N)'!$F$20/12))*L85*MIN('Reeksen (N)'!B17,'Reeksen (N)'!D17))</f>
        <v>0</v>
      </c>
      <c r="O85" s="84">
        <f>IF('Reeksen (N)'!D17&lt;'Reeksen (N)'!B17,('Reeksen (N)'!B17-'Reeksen (N)'!D17)*L85,0)</f>
        <v>0</v>
      </c>
      <c r="P85" s="84">
        <f ca="1">IF(E85='Invoer gegevens (N)'!$C$17+'Invoer gegevens (N)'!$I$14+1,0,('Invoer gegevens (N)'!$F$20/12)*L84*MIN('Reeksen (N)'!B16,'Reeksen (N)'!D16))</f>
        <v>0</v>
      </c>
      <c r="Q85" s="84">
        <f ca="1">IF(E85&gt;='Invoer gegevens (N)'!$C$17+'Invoer gegevens (N)'!$I$14,0,L85-M85+I85+O85)</f>
        <v>0</v>
      </c>
      <c r="R85" s="82">
        <f ca="1">IF('Invoer gegevens (N)'!$C$17=E85,'Invoer gegevens (N)'!$C$11,IF(C85=1,W84,0))</f>
        <v>0</v>
      </c>
      <c r="S85" s="86">
        <f ca="1">IF(E85='Invoer gegevens (N)'!$C$17+'Invoer gegevens (N)'!$I$14,W84,IF(C85&gt;=1,R85*VLOOKUP(E85,'Reeksen (N)'!$A$5:$B$76,2),0))</f>
        <v>0</v>
      </c>
      <c r="T85" s="84">
        <f ca="1">IF(E85='Invoer gegevens (N)'!$C$17+'Invoer gegevens (N)'!$I$14,W84,(1-('Invoer gegevens (N)'!$F$20/12))*R85*MIN('Reeksen (N)'!B17,'Reeksen (N)'!D17))</f>
        <v>0</v>
      </c>
      <c r="U85" s="84">
        <f>IF('Reeksen (N)'!D17&gt;='Reeksen (N)'!B17,0,IF('Reeksen (N)'!AK17&lt;='Reeksen (N)'!AE17,('Reeksen (N)'!B17-'Reeksen (N)'!D17)*R85,0))</f>
        <v>0</v>
      </c>
      <c r="V85" s="86">
        <f>IF('Reeksen (N)'!D17&gt;='Reeksen (N)'!B17,0,IF('Reeksen (N)'!AK17&gt;'Reeksen (N)'!AE17,('Reeksen (N)'!B17-'Reeksen (N)'!D17)*R85,0))</f>
        <v>0</v>
      </c>
      <c r="W85" s="97">
        <f ca="1">IF(E85&gt;='Invoer gegevens (N)'!$C$17+'Invoer gegevens (N)'!$I$14,0,R85-S85)</f>
        <v>0</v>
      </c>
      <c r="X85" s="98">
        <f ca="1">IF('Invoer gegevens (N)'!$C$17=E85,'Invoer gegevens (N)'!$C$10-'Invoer gegevens (N)'!$C$11,IF(C85=1,AC84,0))</f>
        <v>0</v>
      </c>
      <c r="Y85" s="98">
        <f ca="1">IF(E85='Invoer gegevens (N)'!$C$17+'Invoer gegevens (N)'!$I$14,AC84,IF(C85&gt;=1,X85*VLOOKUP(E85,'Reeksen (N)'!$A$5:$B$76,2),0))</f>
        <v>0</v>
      </c>
      <c r="Z85" s="98">
        <f ca="1">IF(E85='Invoer gegevens (N)'!$C$17+'Invoer gegevens (N)'!$I$14,AC84,(1-('Invoer gegevens (N)'!$F$20/12))*X85*MIN('Reeksen (N)'!B17,'Reeksen (N)'!D17))</f>
        <v>0</v>
      </c>
      <c r="AA85" s="98">
        <f>IF('Reeksen (N)'!D17&gt;='Reeksen (N)'!B17,0,IF('Reeksen (N)'!AK17&lt;='Reeksen (N)'!AE17,('Reeksen (N)'!B17-'Reeksen (N)'!D17)*X85,0))</f>
        <v>0</v>
      </c>
      <c r="AB85" s="98">
        <f>IF('Reeksen (N)'!D17&gt;='Reeksen (N)'!B17,0,IF('Reeksen (N)'!AK17&gt;'Reeksen (N)'!AE17,('Reeksen (N)'!B17-'Reeksen (N)'!D17)*X85,0))</f>
        <v>0</v>
      </c>
      <c r="AC85" s="99">
        <f ca="1">IF(E85&gt;='Invoer gegevens (N)'!$C$17+'Invoer gegevens (N)'!$I$14,0,X85-Y85)</f>
        <v>0</v>
      </c>
      <c r="AD85" s="98">
        <f ca="1">IF('Invoer gegevens (N)'!$C$17=E17,R85,IF(C17=0,0,AE84))</f>
        <v>0</v>
      </c>
      <c r="AE85" s="98">
        <f t="shared" ca="1" si="9"/>
        <v>0</v>
      </c>
      <c r="AF85" s="98">
        <f ca="1">IF('Invoer gegevens (N)'!$C$17=E17,X85,IF(C17=0,0,AG84))</f>
        <v>0</v>
      </c>
      <c r="AG85" s="98">
        <f t="shared" ca="1" si="10"/>
        <v>0</v>
      </c>
      <c r="AH85" s="70"/>
      <c r="AI85" s="71">
        <f ca="1">IF(C85=1,(('Reeksen (N)'!BF17*(F85-G85+F85)/2)+((L85-M85+L85)/2*'Reeksen (N)'!BG17))*12,0)</f>
        <v>0</v>
      </c>
      <c r="AJ85" s="71">
        <f ca="1">-AI85*'Invoer gegevens (N)'!$I$26</f>
        <v>0</v>
      </c>
      <c r="AK85" s="71">
        <f t="shared" ca="1" si="11"/>
        <v>0</v>
      </c>
      <c r="AL85" s="71">
        <f ca="1">IF(C85=1,'Reeksen (N)'!AL17*((F85-G85+F85)/2)*12+'Reeksen (N)'!AM17*((L85-M85+L85)/2)*12,0)</f>
        <v>0</v>
      </c>
      <c r="AM85" s="71">
        <f ca="1">-AL85*'Invoer gegevens (N)'!$F$31</f>
        <v>0</v>
      </c>
      <c r="AN85" s="71">
        <f t="shared" ca="1" si="12"/>
        <v>0</v>
      </c>
      <c r="AO85" s="71">
        <f ca="1">IF(E85&gt;='Invoer gegevens (N)'!$C$17+'Invoer gegevens (N)'!$I$14,0,IF(C85=1,(H85+J85+N85+P85)*'Reeksen (N)'!AN17,0))</f>
        <v>0</v>
      </c>
      <c r="AP85" s="71">
        <f ca="1">-IF(C85=1,(H85+J85+N85+P85)*'Reeksen (N)'!AN16*'Hulp - basis'!$J$550,0)</f>
        <v>0</v>
      </c>
      <c r="AQ85" s="71">
        <f ca="1">-IF(C85=1,(F85+K85+L85+Q85)/2*'Invoer gegevens (N)'!$I$33*'Reeksen (N)'!J17,0)</f>
        <v>0</v>
      </c>
      <c r="AR85" s="71">
        <f ca="1">-IF(C85=1,(I85*'Invoer gegevens (N)'!$I$34)*'Reeksen (N)'!J17,0)</f>
        <v>0</v>
      </c>
      <c r="AS85" s="71">
        <f ca="1">-IF(C85=1,(F85+K85+L85+Q85)/2*'Invoer gegevens (N)'!$I$35*'Reeksen (N)'!L17,0)</f>
        <v>0</v>
      </c>
      <c r="AT85" s="71">
        <f ca="1">-IF(C85=1,IF(E85='Invoer gegevens (N)'!$C$17,'Invoer gegevens (N)'!$C$11,AD85)*'Reeksen (N)'!S17*'Invoer gegevens (N)'!$C$18*'Reeksen (N)'!P17,0)</f>
        <v>0</v>
      </c>
      <c r="AU85" s="71">
        <f ca="1">-IF(C85=1,(F85+K85+L85+Q85)/2*'Invoer gegevens (N)'!$I$36*'Reeksen (N)'!H17,0)</f>
        <v>0</v>
      </c>
      <c r="AV85" s="71">
        <f t="shared" ca="1" si="13"/>
        <v>0</v>
      </c>
      <c r="AW85" s="72">
        <f ca="1">IFERROR(IF(E85='Invoer gegevens (N)'!$C$17+'Invoer gegevens (N)'!$I$14-1,'Invoer gegevens (N)'!$I$13*K85*'Reeksen (N)'!H17,0),0)</f>
        <v>0</v>
      </c>
      <c r="AX85" s="72">
        <f ca="1">IFERROR(IF(E85='Invoer gegevens (N)'!$C$17,-'Invoer gegevens (N)'!$C$10*('Invoer gegevens (N)'!$C$30+'Invoer gegevens (N)'!$C$31)*'Reeksen (N)'!H17,0),0)</f>
        <v>0</v>
      </c>
      <c r="AY85" s="73">
        <f ca="1">IF('Invoer gegevens (N)'!$C$34=E85,'Invoer gegevens (N)'!$C$27*'Invoer gegevens (N)'!$C$10*'Invoer gegevens (N)'!$C$36*(IF('Invoer gegevens (N)'!$C$35="ja",1,'Reeksen (N)'!J17)),IF('Invoer gegevens (N)'!$C$34+1=E85,'Invoer gegevens (N)'!$C$27*'Invoer gegevens (N)'!$C$10*'Invoer gegevens (N)'!$C$37*(IF('Invoer gegevens (N)'!$C$35="ja",1,'Reeksen (N)'!J17)),0))+IF(AND(E85='Invoer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5" s="73">
        <f ca="1">AV85/(1+'Invoer gegevens (N)'!$I$12)^($D85-('Invoer gegevens (N)'!$C$17-'Invoer gegevens (N)'!$C$16))/(1+'Invoer gegevens (N)'!$C$39)^('Invoer gegevens (N)'!$C$17-'Invoer gegevens (N)'!$C$16)</f>
        <v>0</v>
      </c>
      <c r="BA85" s="73">
        <f ca="1">AW85/(1+'Invoer gegevens (N)'!$I$12)^(E85-('Invoer gegevens (N)'!$C$17-1))/(1+'Invoer gegevens (N)'!$C$39)^('Invoer gegevens (N)'!$C$17-'Invoer gegevens (N)'!$C$16)</f>
        <v>0</v>
      </c>
      <c r="BB85" s="73">
        <f ca="1">AX85/(1+'Invoer gegevens (N)'!$C$39)^('Invoer gegevens (N)'!$C$17-'Invoer gegevens (N)'!$C$16)</f>
        <v>0</v>
      </c>
      <c r="BC85" s="72">
        <f t="shared" ca="1" si="14"/>
        <v>0</v>
      </c>
      <c r="BD85" s="72">
        <f ca="1">IF(AND(E85='Invoer gegevens (N)'!$C$16,'Invoer gegevens (N)'!$C$34&lt;'Invoer gegevens (N)'!$C$16),AY85,AY85/(1+'Invoer gegevens (N)'!$C$39)^D85)</f>
        <v>0</v>
      </c>
      <c r="BE85" s="72">
        <f ca="1">IF(E85='Invoer gegevens (N)'!$C$34,-'Invoer gegevens (N)'!$I$38,0)</f>
        <v>0</v>
      </c>
      <c r="BF85" s="72">
        <f ca="1">IF(E85='Invoer gegevens (N)'!$C$17,-'Invoer gegevens (N)'!$C$19*$BC$134,0)</f>
        <v>0</v>
      </c>
      <c r="BG85" s="72">
        <f ca="1">AV85/(1+$BG$72)^($D85-('Invoer gegevens (N)'!$C$17-'Invoer gegevens (N)'!$C$16))/(1+'Invoer gegevens (N)'!$C$39)^('Invoer gegevens (N)'!$C$17-'Invoer gegevens (N)'!$C$16)+AW85/(1+$BG$72)^(E85-('Invoer gegevens (N)'!$C$17-1))/(1+'Invoer gegevens (N)'!$C$39)^('Invoer gegevens (N)'!$C$17-'Invoer gegevens (N)'!$C$16)+AX85/(1+'Invoer gegevens (N)'!$C$39)^('Invoer gegevens (N)'!$C$17-'Invoer gegevens (N)'!$C$16)+(-AY85/(1+'Invoer gegevens (N)'!$C$39)^D85)+BE85+BF85</f>
        <v>0</v>
      </c>
    </row>
    <row r="86" spans="1:59" x14ac:dyDescent="0.25">
      <c r="A86" s="59"/>
      <c r="B86" s="70">
        <f t="shared" si="15"/>
        <v>14</v>
      </c>
      <c r="C86" s="67">
        <f ca="1">IF(AND(E86&gt;='Invoer gegevens (N)'!$C$17,E86&lt;'Invoer gegevens (N)'!$C$17+'Invoer gegevens (N)'!$I$14),1,0)</f>
        <v>1</v>
      </c>
      <c r="D86" s="68">
        <f t="shared" si="16"/>
        <v>13.5</v>
      </c>
      <c r="E86" s="108">
        <f ca="1">IF('Invoer gegevens (N)'!$C$16="","",E85+1)</f>
        <v>2032</v>
      </c>
      <c r="F86" s="84">
        <f ca="1">IF('Invoer gegevens (N)'!$C$17=E86,'Invoer gegevens (N)'!$C$10,IF(C86=1,K85,0))</f>
        <v>0</v>
      </c>
      <c r="G86" s="96">
        <f ca="1">IF(E86='Invoer gegevens (N)'!$C$17+'Invoer gegevens (N)'!$I$14,K85,IF(C86&gt;=1,F86*VLOOKUP(E86,'Reeksen (N)'!$A$5:$B$76,2),0))</f>
        <v>0</v>
      </c>
      <c r="H86" s="84">
        <f ca="1">IF(E86='Invoer gegevens (N)'!$C$17+'Invoer gegevens (N)'!$I$14,K85,(1-('Invoer gegevens (N)'!$F$20/12))*F86*MIN('Reeksen (N)'!B18,'Reeksen (N)'!D18))</f>
        <v>0</v>
      </c>
      <c r="I86" s="84">
        <f>IF('Reeksen (N)'!D18&lt;'Reeksen (N)'!B18,('Reeksen (N)'!B18-'Reeksen (N)'!D18)*F86,0)</f>
        <v>0</v>
      </c>
      <c r="J86" s="84">
        <f ca="1">IF(E86='Invoer gegevens (N)'!$C$17+'Invoer gegevens (N)'!$I$14+1,0,('Invoer gegevens (N)'!$F$20/12)*F85*MIN('Reeksen (N)'!B17,'Reeksen (N)'!D17))</f>
        <v>0</v>
      </c>
      <c r="K86" s="97">
        <f ca="1">IF(E86&gt;='Invoer gegevens (N)'!$C$17+'Invoer gegevens (N)'!$I$14,0,F86-G86)</f>
        <v>0</v>
      </c>
      <c r="L86" s="84">
        <f ca="1">IF('Invoer gegevens (N)'!$C$17=E86,0,IF(C86=1,Q85,0))</f>
        <v>0</v>
      </c>
      <c r="M86" s="96">
        <f ca="1">IF(E86='Invoer gegevens (N)'!$C$17+'Invoer gegevens (N)'!$I$14,Q85,IF(C86&gt;=1,L86*VLOOKUP(E86,'Reeksen (N)'!$A$5:$B$76,2),0))</f>
        <v>0</v>
      </c>
      <c r="N86" s="84">
        <f ca="1">IF(C86='Invoer gegevens (N)'!$C$17+'Invoer gegevens (N)'!$I$14,Q85,(1-('Invoer gegevens (N)'!$F$20/12))*L86*MIN('Reeksen (N)'!B18,'Reeksen (N)'!D18))</f>
        <v>0</v>
      </c>
      <c r="O86" s="84">
        <f>IF('Reeksen (N)'!D18&lt;'Reeksen (N)'!B18,('Reeksen (N)'!B18-'Reeksen (N)'!D18)*L86,0)</f>
        <v>0</v>
      </c>
      <c r="P86" s="84">
        <f ca="1">IF(E86='Invoer gegevens (N)'!$C$17+'Invoer gegevens (N)'!$I$14+1,0,('Invoer gegevens (N)'!$F$20/12)*L85*MIN('Reeksen (N)'!B17,'Reeksen (N)'!D17))</f>
        <v>0</v>
      </c>
      <c r="Q86" s="84">
        <f ca="1">IF(E86&gt;='Invoer gegevens (N)'!$C$17+'Invoer gegevens (N)'!$I$14,0,L86-M86+I86+O86)</f>
        <v>0</v>
      </c>
      <c r="R86" s="82">
        <f ca="1">IF('Invoer gegevens (N)'!$C$17=E86,'Invoer gegevens (N)'!$C$11,IF(C86=1,W85,0))</f>
        <v>0</v>
      </c>
      <c r="S86" s="86">
        <f ca="1">IF(E86='Invoer gegevens (N)'!$C$17+'Invoer gegevens (N)'!$I$14,W85,IF(C86&gt;=1,R86*VLOOKUP(E86,'Reeksen (N)'!$A$5:$B$76,2),0))</f>
        <v>0</v>
      </c>
      <c r="T86" s="84">
        <f ca="1">IF(E86='Invoer gegevens (N)'!$C$17+'Invoer gegevens (N)'!$I$14,W85,(1-('Invoer gegevens (N)'!$F$20/12))*R86*MIN('Reeksen (N)'!B18,'Reeksen (N)'!D18))</f>
        <v>0</v>
      </c>
      <c r="U86" s="84">
        <f>IF('Reeksen (N)'!D18&gt;='Reeksen (N)'!B18,0,IF('Reeksen (N)'!AK18&lt;='Reeksen (N)'!AE18,('Reeksen (N)'!B18-'Reeksen (N)'!D18)*R86,0))</f>
        <v>0</v>
      </c>
      <c r="V86" s="86">
        <f>IF('Reeksen (N)'!D18&gt;='Reeksen (N)'!B18,0,IF('Reeksen (N)'!AK18&gt;'Reeksen (N)'!AE18,('Reeksen (N)'!B18-'Reeksen (N)'!D18)*R86,0))</f>
        <v>0</v>
      </c>
      <c r="W86" s="97">
        <f ca="1">IF(E86&gt;='Invoer gegevens (N)'!$C$17+'Invoer gegevens (N)'!$I$14,0,R86-S86)</f>
        <v>0</v>
      </c>
      <c r="X86" s="98">
        <f ca="1">IF('Invoer gegevens (N)'!$C$17=E86,'Invoer gegevens (N)'!$C$10-'Invoer gegevens (N)'!$C$11,IF(C86=1,AC85,0))</f>
        <v>0</v>
      </c>
      <c r="Y86" s="98">
        <f ca="1">IF(E86='Invoer gegevens (N)'!$C$17+'Invoer gegevens (N)'!$I$14,AC85,IF(C86&gt;=1,X86*VLOOKUP(E86,'Reeksen (N)'!$A$5:$B$76,2),0))</f>
        <v>0</v>
      </c>
      <c r="Z86" s="98">
        <f ca="1">IF(E86='Invoer gegevens (N)'!$C$17+'Invoer gegevens (N)'!$I$14,AC85,(1-('Invoer gegevens (N)'!$F$20/12))*X86*MIN('Reeksen (N)'!B18,'Reeksen (N)'!D18))</f>
        <v>0</v>
      </c>
      <c r="AA86" s="98">
        <f>IF('Reeksen (N)'!D18&gt;='Reeksen (N)'!B18,0,IF('Reeksen (N)'!AK18&lt;='Reeksen (N)'!AE18,('Reeksen (N)'!B18-'Reeksen (N)'!D18)*X86,0))</f>
        <v>0</v>
      </c>
      <c r="AB86" s="98">
        <f>IF('Reeksen (N)'!D18&gt;='Reeksen (N)'!B18,0,IF('Reeksen (N)'!AK18&gt;'Reeksen (N)'!AE18,('Reeksen (N)'!B18-'Reeksen (N)'!D18)*X86,0))</f>
        <v>0</v>
      </c>
      <c r="AC86" s="99">
        <f ca="1">IF(E86&gt;='Invoer gegevens (N)'!$C$17+'Invoer gegevens (N)'!$I$14,0,X86-Y86)</f>
        <v>0</v>
      </c>
      <c r="AD86" s="98">
        <f ca="1">IF('Invoer gegevens (N)'!$C$17=E18,R86,IF(C18=0,0,AE85))</f>
        <v>0</v>
      </c>
      <c r="AE86" s="98">
        <f t="shared" ca="1" si="9"/>
        <v>0</v>
      </c>
      <c r="AF86" s="98">
        <f ca="1">IF('Invoer gegevens (N)'!$C$17=E18,X86,IF(C18=0,0,AG85))</f>
        <v>0</v>
      </c>
      <c r="AG86" s="98">
        <f t="shared" ca="1" si="10"/>
        <v>0</v>
      </c>
      <c r="AH86" s="70"/>
      <c r="AI86" s="71">
        <f ca="1">IF(C86=1,(('Reeksen (N)'!BF18*(F86-G86+F86)/2)+((L86-M86+L86)/2*'Reeksen (N)'!BG18))*12,0)</f>
        <v>0</v>
      </c>
      <c r="AJ86" s="71">
        <f ca="1">-AI86*'Invoer gegevens (N)'!$I$26</f>
        <v>0</v>
      </c>
      <c r="AK86" s="71">
        <f t="shared" ca="1" si="11"/>
        <v>0</v>
      </c>
      <c r="AL86" s="71">
        <f ca="1">IF(C86=1,'Reeksen (N)'!AL18*((F86-G86+F86)/2)*12+'Reeksen (N)'!AM18*((L86-M86+L86)/2)*12,0)</f>
        <v>0</v>
      </c>
      <c r="AM86" s="71">
        <f ca="1">-AL86*'Invoer gegevens (N)'!$F$31</f>
        <v>0</v>
      </c>
      <c r="AN86" s="71">
        <f t="shared" ca="1" si="12"/>
        <v>0</v>
      </c>
      <c r="AO86" s="71">
        <f ca="1">IF(E86&gt;='Invoer gegevens (N)'!$C$17+'Invoer gegevens (N)'!$I$14,0,IF(C86=1,(H86+J86+N86+P86)*'Reeksen (N)'!AN18,0))</f>
        <v>0</v>
      </c>
      <c r="AP86" s="71">
        <f ca="1">-IF(C86=1,(H86+J86+N86+P86)*'Reeksen (N)'!AN17*'Hulp - basis'!$J$550,0)</f>
        <v>0</v>
      </c>
      <c r="AQ86" s="71">
        <f ca="1">-IF(C86=1,(F86+K86+L86+Q86)/2*'Invoer gegevens (N)'!$I$33*'Reeksen (N)'!J18,0)</f>
        <v>0</v>
      </c>
      <c r="AR86" s="71">
        <f ca="1">-IF(C86=1,(I86*'Invoer gegevens (N)'!$I$34)*'Reeksen (N)'!J18,0)</f>
        <v>0</v>
      </c>
      <c r="AS86" s="71">
        <f ca="1">-IF(C86=1,(F86+K86+L86+Q86)/2*'Invoer gegevens (N)'!$I$35*'Reeksen (N)'!L18,0)</f>
        <v>0</v>
      </c>
      <c r="AT86" s="71">
        <f ca="1">-IF(C86=1,IF(E86='Invoer gegevens (N)'!$C$17,'Invoer gegevens (N)'!$C$11,AD86)*'Reeksen (N)'!S18*'Invoer gegevens (N)'!$C$18*'Reeksen (N)'!P18,0)</f>
        <v>0</v>
      </c>
      <c r="AU86" s="71">
        <f ca="1">-IF(C86=1,(F86+K86+L86+Q86)/2*'Invoer gegevens (N)'!$I$36*'Reeksen (N)'!H18,0)</f>
        <v>0</v>
      </c>
      <c r="AV86" s="71">
        <f t="shared" ca="1" si="13"/>
        <v>0</v>
      </c>
      <c r="AW86" s="72">
        <f ca="1">IFERROR(IF(E86='Invoer gegevens (N)'!$C$17+'Invoer gegevens (N)'!$I$14-1,'Invoer gegevens (N)'!$I$13*K86*'Reeksen (N)'!H18,0),0)</f>
        <v>0</v>
      </c>
      <c r="AX86" s="72">
        <f ca="1">IFERROR(IF(E86='Invoer gegevens (N)'!$C$17,-'Invoer gegevens (N)'!$C$10*('Invoer gegevens (N)'!$C$30+'Invoer gegevens (N)'!$C$31)*'Reeksen (N)'!H18,0),0)</f>
        <v>0</v>
      </c>
      <c r="AY86" s="73">
        <f ca="1">IF('Invoer gegevens (N)'!$C$34=E86,'Invoer gegevens (N)'!$C$27*'Invoer gegevens (N)'!$C$10*'Invoer gegevens (N)'!$C$36*(IF('Invoer gegevens (N)'!$C$35="ja",1,'Reeksen (N)'!J18)),IF('Invoer gegevens (N)'!$C$34+1=E86,'Invoer gegevens (N)'!$C$27*'Invoer gegevens (N)'!$C$10*'Invoer gegevens (N)'!$C$37*(IF('Invoer gegevens (N)'!$C$35="ja",1,'Reeksen (N)'!J18)),0))+IF(AND(E86='Invoer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6" s="73">
        <f ca="1">AV86/(1+'Invoer gegevens (N)'!$I$12)^($D86-('Invoer gegevens (N)'!$C$17-'Invoer gegevens (N)'!$C$16))/(1+'Invoer gegevens (N)'!$C$39)^('Invoer gegevens (N)'!$C$17-'Invoer gegevens (N)'!$C$16)</f>
        <v>0</v>
      </c>
      <c r="BA86" s="73">
        <f ca="1">AW86/(1+'Invoer gegevens (N)'!$I$12)^(E86-('Invoer gegevens (N)'!$C$17-1))/(1+'Invoer gegevens (N)'!$C$39)^('Invoer gegevens (N)'!$C$17-'Invoer gegevens (N)'!$C$16)</f>
        <v>0</v>
      </c>
      <c r="BB86" s="73">
        <f ca="1">AX86/(1+'Invoer gegevens (N)'!$C$39)^('Invoer gegevens (N)'!$C$17-'Invoer gegevens (N)'!$C$16)</f>
        <v>0</v>
      </c>
      <c r="BC86" s="72">
        <f t="shared" ca="1" si="14"/>
        <v>0</v>
      </c>
      <c r="BD86" s="72">
        <f ca="1">IF(AND(E86='Invoer gegevens (N)'!$C$16,'Invoer gegevens (N)'!$C$34&lt;'Invoer gegevens (N)'!$C$16),AY86,AY86/(1+'Invoer gegevens (N)'!$C$39)^D86)</f>
        <v>0</v>
      </c>
      <c r="BE86" s="72">
        <f ca="1">IF(E86='Invoer gegevens (N)'!$C$34,-'Invoer gegevens (N)'!$I$38,0)</f>
        <v>0</v>
      </c>
      <c r="BF86" s="72">
        <f ca="1">IF(E86='Invoer gegevens (N)'!$C$17,-'Invoer gegevens (N)'!$C$19*$BC$134,0)</f>
        <v>0</v>
      </c>
      <c r="BG86" s="72">
        <f ca="1">AV86/(1+$BG$72)^($D86-('Invoer gegevens (N)'!$C$17-'Invoer gegevens (N)'!$C$16))/(1+'Invoer gegevens (N)'!$C$39)^('Invoer gegevens (N)'!$C$17-'Invoer gegevens (N)'!$C$16)+AW86/(1+$BG$72)^(E86-('Invoer gegevens (N)'!$C$17-1))/(1+'Invoer gegevens (N)'!$C$39)^('Invoer gegevens (N)'!$C$17-'Invoer gegevens (N)'!$C$16)+AX86/(1+'Invoer gegevens (N)'!$C$39)^('Invoer gegevens (N)'!$C$17-'Invoer gegevens (N)'!$C$16)+(-AY86/(1+'Invoer gegevens (N)'!$C$39)^D86)+BE86+BF86</f>
        <v>0</v>
      </c>
    </row>
    <row r="87" spans="1:59" x14ac:dyDescent="0.25">
      <c r="A87" s="59"/>
      <c r="B87" s="70">
        <f t="shared" si="15"/>
        <v>15</v>
      </c>
      <c r="C87" s="67">
        <f ca="1">IF(AND(E87&gt;='Invoer gegevens (N)'!$C$17,E87&lt;'Invoer gegevens (N)'!$C$17+'Invoer gegevens (N)'!$I$14),1,0)</f>
        <v>1</v>
      </c>
      <c r="D87" s="68">
        <f t="shared" si="16"/>
        <v>14.5</v>
      </c>
      <c r="E87" s="108">
        <f ca="1">IF('Invoer gegevens (N)'!$C$16="","",E86+1)</f>
        <v>2033</v>
      </c>
      <c r="F87" s="84">
        <f ca="1">IF('Invoer gegevens (N)'!$C$17=E87,'Invoer gegevens (N)'!$C$10,IF(C87=1,K86,0))</f>
        <v>0</v>
      </c>
      <c r="G87" s="96">
        <f ca="1">IF(E87='Invoer gegevens (N)'!$C$17+'Invoer gegevens (N)'!$I$14,K86,IF(C87&gt;=1,F87*VLOOKUP(E87,'Reeksen (N)'!$A$5:$B$76,2),0))</f>
        <v>0</v>
      </c>
      <c r="H87" s="84">
        <f ca="1">IF(E87='Invoer gegevens (N)'!$C$17+'Invoer gegevens (N)'!$I$14,K86,(1-('Invoer gegevens (N)'!$F$20/12))*F87*MIN('Reeksen (N)'!B19,'Reeksen (N)'!D19))</f>
        <v>0</v>
      </c>
      <c r="I87" s="84">
        <f>IF('Reeksen (N)'!D19&lt;'Reeksen (N)'!B19,('Reeksen (N)'!B19-'Reeksen (N)'!D19)*F87,0)</f>
        <v>0</v>
      </c>
      <c r="J87" s="84">
        <f ca="1">IF(E87='Invoer gegevens (N)'!$C$17+'Invoer gegevens (N)'!$I$14+1,0,('Invoer gegevens (N)'!$F$20/12)*F86*MIN('Reeksen (N)'!B18,'Reeksen (N)'!D18))</f>
        <v>0</v>
      </c>
      <c r="K87" s="97">
        <f ca="1">IF(E87&gt;='Invoer gegevens (N)'!$C$17+'Invoer gegevens (N)'!$I$14,0,F87-G87)</f>
        <v>0</v>
      </c>
      <c r="L87" s="84">
        <f ca="1">IF('Invoer gegevens (N)'!$C$17=E87,0,IF(C87=1,Q86,0))</f>
        <v>0</v>
      </c>
      <c r="M87" s="96">
        <f ca="1">IF(E87='Invoer gegevens (N)'!$C$17+'Invoer gegevens (N)'!$I$14,Q86,IF(C87&gt;=1,L87*VLOOKUP(E87,'Reeksen (N)'!$A$5:$B$76,2),0))</f>
        <v>0</v>
      </c>
      <c r="N87" s="84">
        <f ca="1">IF(C87='Invoer gegevens (N)'!$C$17+'Invoer gegevens (N)'!$I$14,Q86,(1-('Invoer gegevens (N)'!$F$20/12))*L87*MIN('Reeksen (N)'!B19,'Reeksen (N)'!D19))</f>
        <v>0</v>
      </c>
      <c r="O87" s="84">
        <f>IF('Reeksen (N)'!D19&lt;'Reeksen (N)'!B19,('Reeksen (N)'!B19-'Reeksen (N)'!D19)*L87,0)</f>
        <v>0</v>
      </c>
      <c r="P87" s="84">
        <f ca="1">IF(E87='Invoer gegevens (N)'!$C$17+'Invoer gegevens (N)'!$I$14+1,0,('Invoer gegevens (N)'!$F$20/12)*L86*MIN('Reeksen (N)'!B18,'Reeksen (N)'!D18))</f>
        <v>0</v>
      </c>
      <c r="Q87" s="84">
        <f ca="1">IF(E87&gt;='Invoer gegevens (N)'!$C$17+'Invoer gegevens (N)'!$I$14,0,L87-M87+I87+O87)</f>
        <v>0</v>
      </c>
      <c r="R87" s="82">
        <f ca="1">IF('Invoer gegevens (N)'!$C$17=E87,'Invoer gegevens (N)'!$C$11,IF(C87=1,W86,0))</f>
        <v>0</v>
      </c>
      <c r="S87" s="86">
        <f ca="1">IF(E87='Invoer gegevens (N)'!$C$17+'Invoer gegevens (N)'!$I$14,W86,IF(C87&gt;=1,R87*VLOOKUP(E87,'Reeksen (N)'!$A$5:$B$76,2),0))</f>
        <v>0</v>
      </c>
      <c r="T87" s="84">
        <f ca="1">IF(E87='Invoer gegevens (N)'!$C$17+'Invoer gegevens (N)'!$I$14,W86,(1-('Invoer gegevens (N)'!$F$20/12))*R87*MIN('Reeksen (N)'!B19,'Reeksen (N)'!D19))</f>
        <v>0</v>
      </c>
      <c r="U87" s="84">
        <f>IF('Reeksen (N)'!D19&gt;='Reeksen (N)'!B19,0,IF('Reeksen (N)'!AK19&lt;='Reeksen (N)'!AE19,('Reeksen (N)'!B19-'Reeksen (N)'!D19)*R87,0))</f>
        <v>0</v>
      </c>
      <c r="V87" s="86">
        <f>IF('Reeksen (N)'!D19&gt;='Reeksen (N)'!B19,0,IF('Reeksen (N)'!AK19&gt;'Reeksen (N)'!AE19,('Reeksen (N)'!B19-'Reeksen (N)'!D19)*R87,0))</f>
        <v>0</v>
      </c>
      <c r="W87" s="97">
        <f ca="1">IF(E87&gt;='Invoer gegevens (N)'!$C$17+'Invoer gegevens (N)'!$I$14,0,R87-S87)</f>
        <v>0</v>
      </c>
      <c r="X87" s="98">
        <f ca="1">IF('Invoer gegevens (N)'!$C$17=E87,'Invoer gegevens (N)'!$C$10-'Invoer gegevens (N)'!$C$11,IF(C87=1,AC86,0))</f>
        <v>0</v>
      </c>
      <c r="Y87" s="98">
        <f ca="1">IF(E87='Invoer gegevens (N)'!$C$17+'Invoer gegevens (N)'!$I$14,AC86,IF(C87&gt;=1,X87*VLOOKUP(E87,'Reeksen (N)'!$A$5:$B$76,2),0))</f>
        <v>0</v>
      </c>
      <c r="Z87" s="98">
        <f ca="1">IF(E87='Invoer gegevens (N)'!$C$17+'Invoer gegevens (N)'!$I$14,AC86,(1-('Invoer gegevens (N)'!$F$20/12))*X87*MIN('Reeksen (N)'!B19,'Reeksen (N)'!D19))</f>
        <v>0</v>
      </c>
      <c r="AA87" s="98">
        <f>IF('Reeksen (N)'!D19&gt;='Reeksen (N)'!B19,0,IF('Reeksen (N)'!AK19&lt;='Reeksen (N)'!AE19,('Reeksen (N)'!B19-'Reeksen (N)'!D19)*X87,0))</f>
        <v>0</v>
      </c>
      <c r="AB87" s="98">
        <f>IF('Reeksen (N)'!D19&gt;='Reeksen (N)'!B19,0,IF('Reeksen (N)'!AK19&gt;'Reeksen (N)'!AE19,('Reeksen (N)'!B19-'Reeksen (N)'!D19)*X87,0))</f>
        <v>0</v>
      </c>
      <c r="AC87" s="99">
        <f ca="1">IF(E87&gt;='Invoer gegevens (N)'!$C$17+'Invoer gegevens (N)'!$I$14,0,X87-Y87)</f>
        <v>0</v>
      </c>
      <c r="AD87" s="98">
        <f ca="1">IF('Invoer gegevens (N)'!$C$17=E19,R87,IF(C19=0,0,AE86))</f>
        <v>0</v>
      </c>
      <c r="AE87" s="98">
        <f t="shared" ca="1" si="9"/>
        <v>0</v>
      </c>
      <c r="AF87" s="98">
        <f ca="1">IF('Invoer gegevens (N)'!$C$17=E19,X87,IF(C19=0,0,AG86))</f>
        <v>0</v>
      </c>
      <c r="AG87" s="98">
        <f t="shared" ca="1" si="10"/>
        <v>0</v>
      </c>
      <c r="AH87" s="70"/>
      <c r="AI87" s="71">
        <f ca="1">IF(C87=1,(('Reeksen (N)'!BF19*(F87-G87+F87)/2)+((L87-M87+L87)/2*'Reeksen (N)'!BG19))*12,0)</f>
        <v>0</v>
      </c>
      <c r="AJ87" s="71">
        <f ca="1">-AI87*'Invoer gegevens (N)'!$I$26</f>
        <v>0</v>
      </c>
      <c r="AK87" s="71">
        <f t="shared" ca="1" si="11"/>
        <v>0</v>
      </c>
      <c r="AL87" s="71">
        <f ca="1">IF(C87=1,'Reeksen (N)'!AL19*((F87-G87+F87)/2)*12+'Reeksen (N)'!AM19*((L87-M87+L87)/2)*12,0)</f>
        <v>0</v>
      </c>
      <c r="AM87" s="71">
        <f ca="1">-AL87*'Invoer gegevens (N)'!$F$31</f>
        <v>0</v>
      </c>
      <c r="AN87" s="71">
        <f t="shared" ca="1" si="12"/>
        <v>0</v>
      </c>
      <c r="AO87" s="71">
        <f ca="1">IF(E87&gt;='Invoer gegevens (N)'!$C$17+'Invoer gegevens (N)'!$I$14,0,IF(C87=1,(H87+J87+N87+P87)*'Reeksen (N)'!AN19,0))</f>
        <v>0</v>
      </c>
      <c r="AP87" s="71">
        <f ca="1">-IF(C87=1,(H87+J87+N87+P87)*'Reeksen (N)'!AN18*'Hulp - basis'!$J$550,0)</f>
        <v>0</v>
      </c>
      <c r="AQ87" s="71">
        <f ca="1">-IF(C87=1,(F87+K87+L87+Q87)/2*'Invoer gegevens (N)'!$I$33*'Reeksen (N)'!J19,0)</f>
        <v>0</v>
      </c>
      <c r="AR87" s="71">
        <f ca="1">-IF(C87=1,(I87*'Invoer gegevens (N)'!$I$34)*'Reeksen (N)'!J19,0)</f>
        <v>0</v>
      </c>
      <c r="AS87" s="71">
        <f ca="1">-IF(C87=1,(F87+K87+L87+Q87)/2*'Invoer gegevens (N)'!$I$35*'Reeksen (N)'!L19,0)</f>
        <v>0</v>
      </c>
      <c r="AT87" s="71">
        <f ca="1">-IF(C87=1,IF(E87='Invoer gegevens (N)'!$C$17,'Invoer gegevens (N)'!$C$11,AD87)*'Reeksen (N)'!S19*'Invoer gegevens (N)'!$C$18*'Reeksen (N)'!P19,0)</f>
        <v>0</v>
      </c>
      <c r="AU87" s="71">
        <f ca="1">-IF(C87=1,(F87+K87+L87+Q87)/2*'Invoer gegevens (N)'!$I$36*'Reeksen (N)'!H19,0)</f>
        <v>0</v>
      </c>
      <c r="AV87" s="71">
        <f t="shared" ca="1" si="13"/>
        <v>0</v>
      </c>
      <c r="AW87" s="72">
        <f ca="1">IFERROR(IF(E87='Invoer gegevens (N)'!$C$17+'Invoer gegevens (N)'!$I$14-1,'Invoer gegevens (N)'!$I$13*K87*'Reeksen (N)'!H19,0),0)</f>
        <v>0</v>
      </c>
      <c r="AX87" s="72">
        <f ca="1">IFERROR(IF(E87='Invoer gegevens (N)'!$C$17,-'Invoer gegevens (N)'!$C$10*('Invoer gegevens (N)'!$C$30+'Invoer gegevens (N)'!$C$31)*'Reeksen (N)'!H19,0),0)</f>
        <v>0</v>
      </c>
      <c r="AY87" s="73">
        <f ca="1">IF('Invoer gegevens (N)'!$C$34=E87,'Invoer gegevens (N)'!$C$27*'Invoer gegevens (N)'!$C$10*'Invoer gegevens (N)'!$C$36*(IF('Invoer gegevens (N)'!$C$35="ja",1,'Reeksen (N)'!J19)),IF('Invoer gegevens (N)'!$C$34+1=E87,'Invoer gegevens (N)'!$C$27*'Invoer gegevens (N)'!$C$10*'Invoer gegevens (N)'!$C$37*(IF('Invoer gegevens (N)'!$C$35="ja",1,'Reeksen (N)'!J19)),0))+IF(AND(E87='Invoer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7" s="73">
        <f ca="1">AV87/(1+'Invoer gegevens (N)'!$I$12)^($D87-('Invoer gegevens (N)'!$C$17-'Invoer gegevens (N)'!$C$16))/(1+'Invoer gegevens (N)'!$C$39)^('Invoer gegevens (N)'!$C$17-'Invoer gegevens (N)'!$C$16)</f>
        <v>0</v>
      </c>
      <c r="BA87" s="73">
        <f ca="1">AW87/(1+'Invoer gegevens (N)'!$I$12)^(E87-('Invoer gegevens (N)'!$C$17-1))/(1+'Invoer gegevens (N)'!$C$39)^('Invoer gegevens (N)'!$C$17-'Invoer gegevens (N)'!$C$16)</f>
        <v>0</v>
      </c>
      <c r="BB87" s="73">
        <f ca="1">AX87/(1+'Invoer gegevens (N)'!$C$39)^('Invoer gegevens (N)'!$C$17-'Invoer gegevens (N)'!$C$16)</f>
        <v>0</v>
      </c>
      <c r="BC87" s="72">
        <f t="shared" ca="1" si="14"/>
        <v>0</v>
      </c>
      <c r="BD87" s="72">
        <f ca="1">IF(AND(E87='Invoer gegevens (N)'!$C$16,'Invoer gegevens (N)'!$C$34&lt;'Invoer gegevens (N)'!$C$16),AY87,AY87/(1+'Invoer gegevens (N)'!$C$39)^D87)</f>
        <v>0</v>
      </c>
      <c r="BE87" s="72">
        <f ca="1">IF(E87='Invoer gegevens (N)'!$C$34,-'Invoer gegevens (N)'!$I$38,0)</f>
        <v>0</v>
      </c>
      <c r="BF87" s="72">
        <f ca="1">IF(E87='Invoer gegevens (N)'!$C$17,-'Invoer gegevens (N)'!$C$19*$BC$134,0)</f>
        <v>0</v>
      </c>
      <c r="BG87" s="72">
        <f ca="1">AV87/(1+$BG$72)^($D87-('Invoer gegevens (N)'!$C$17-'Invoer gegevens (N)'!$C$16))/(1+'Invoer gegevens (N)'!$C$39)^('Invoer gegevens (N)'!$C$17-'Invoer gegevens (N)'!$C$16)+AW87/(1+$BG$72)^(E87-('Invoer gegevens (N)'!$C$17-1))/(1+'Invoer gegevens (N)'!$C$39)^('Invoer gegevens (N)'!$C$17-'Invoer gegevens (N)'!$C$16)+AX87/(1+'Invoer gegevens (N)'!$C$39)^('Invoer gegevens (N)'!$C$17-'Invoer gegevens (N)'!$C$16)+(-AY87/(1+'Invoer gegevens (N)'!$C$39)^D87)+BE87+BF87</f>
        <v>0</v>
      </c>
    </row>
    <row r="88" spans="1:59" x14ac:dyDescent="0.25">
      <c r="A88" s="59"/>
      <c r="B88" s="70">
        <f t="shared" si="15"/>
        <v>16</v>
      </c>
      <c r="C88" s="67">
        <f ca="1">IF(AND(E88&gt;='Invoer gegevens (N)'!$C$17,E88&lt;'Invoer gegevens (N)'!$C$17+'Invoer gegevens (N)'!$I$14),1,0)</f>
        <v>1</v>
      </c>
      <c r="D88" s="68">
        <f t="shared" si="16"/>
        <v>15.5</v>
      </c>
      <c r="E88" s="108">
        <f ca="1">IF('Invoer gegevens (N)'!$C$16="","",E87+1)</f>
        <v>2034</v>
      </c>
      <c r="F88" s="84">
        <f ca="1">IF('Invoer gegevens (N)'!$C$17=E88,'Invoer gegevens (N)'!$C$10,IF(C88=1,K87,0))</f>
        <v>0</v>
      </c>
      <c r="G88" s="96">
        <f ca="1">IF(E88='Invoer gegevens (N)'!$C$17+'Invoer gegevens (N)'!$I$14,K87,IF(C88&gt;=1,F88*VLOOKUP(E88,'Reeksen (N)'!$A$5:$B$76,2),0))</f>
        <v>0</v>
      </c>
      <c r="H88" s="84">
        <f ca="1">IF(E88='Invoer gegevens (N)'!$C$17+'Invoer gegevens (N)'!$I$14,K87,(1-('Invoer gegevens (N)'!$F$20/12))*F88*MIN('Reeksen (N)'!B20,'Reeksen (N)'!D20))</f>
        <v>0</v>
      </c>
      <c r="I88" s="84">
        <f>IF('Reeksen (N)'!D20&lt;'Reeksen (N)'!B20,('Reeksen (N)'!B20-'Reeksen (N)'!D20)*F88,0)</f>
        <v>0</v>
      </c>
      <c r="J88" s="84">
        <f ca="1">IF(E88='Invoer gegevens (N)'!$C$17+'Invoer gegevens (N)'!$I$14+1,0,('Invoer gegevens (N)'!$F$20/12)*F87*MIN('Reeksen (N)'!B19,'Reeksen (N)'!D19))</f>
        <v>0</v>
      </c>
      <c r="K88" s="97">
        <f ca="1">IF(E88&gt;='Invoer gegevens (N)'!$C$17+'Invoer gegevens (N)'!$I$14,0,F88-G88)</f>
        <v>0</v>
      </c>
      <c r="L88" s="84">
        <f ca="1">IF('Invoer gegevens (N)'!$C$17=E88,0,IF(C88=1,Q87,0))</f>
        <v>0</v>
      </c>
      <c r="M88" s="96">
        <f ca="1">IF(E88='Invoer gegevens (N)'!$C$17+'Invoer gegevens (N)'!$I$14,Q87,IF(C88&gt;=1,L88*VLOOKUP(E88,'Reeksen (N)'!$A$5:$B$76,2),0))</f>
        <v>0</v>
      </c>
      <c r="N88" s="84">
        <f ca="1">IF(C88='Invoer gegevens (N)'!$C$17+'Invoer gegevens (N)'!$I$14,Q87,(1-('Invoer gegevens (N)'!$F$20/12))*L88*MIN('Reeksen (N)'!B20,'Reeksen (N)'!D20))</f>
        <v>0</v>
      </c>
      <c r="O88" s="84">
        <f>IF('Reeksen (N)'!D20&lt;'Reeksen (N)'!B20,('Reeksen (N)'!B20-'Reeksen (N)'!D20)*L88,0)</f>
        <v>0</v>
      </c>
      <c r="P88" s="84">
        <f ca="1">IF(E88='Invoer gegevens (N)'!$C$17+'Invoer gegevens (N)'!$I$14+1,0,('Invoer gegevens (N)'!$F$20/12)*L87*MIN('Reeksen (N)'!B19,'Reeksen (N)'!D19))</f>
        <v>0</v>
      </c>
      <c r="Q88" s="84">
        <f ca="1">IF(E88&gt;='Invoer gegevens (N)'!$C$17+'Invoer gegevens (N)'!$I$14,0,L88-M88+I88+O88)</f>
        <v>0</v>
      </c>
      <c r="R88" s="82">
        <f ca="1">IF('Invoer gegevens (N)'!$C$17=E88,'Invoer gegevens (N)'!$C$11,IF(C88=1,W87,0))</f>
        <v>0</v>
      </c>
      <c r="S88" s="86">
        <f ca="1">IF(E88='Invoer gegevens (N)'!$C$17+'Invoer gegevens (N)'!$I$14,W87,IF(C88&gt;=1,R88*VLOOKUP(E88,'Reeksen (N)'!$A$5:$B$76,2),0))</f>
        <v>0</v>
      </c>
      <c r="T88" s="84">
        <f ca="1">IF(E88='Invoer gegevens (N)'!$C$17+'Invoer gegevens (N)'!$I$14,W87,(1-('Invoer gegevens (N)'!$F$20/12))*R88*MIN('Reeksen (N)'!B20,'Reeksen (N)'!D20))</f>
        <v>0</v>
      </c>
      <c r="U88" s="84">
        <f>IF('Reeksen (N)'!D20&gt;='Reeksen (N)'!B20,0,IF('Reeksen (N)'!AK20&lt;='Reeksen (N)'!AE20,('Reeksen (N)'!B20-'Reeksen (N)'!D20)*R88,0))</f>
        <v>0</v>
      </c>
      <c r="V88" s="86">
        <f>IF('Reeksen (N)'!D20&gt;='Reeksen (N)'!B20,0,IF('Reeksen (N)'!AK20&gt;'Reeksen (N)'!AE20,('Reeksen (N)'!B20-'Reeksen (N)'!D20)*R88,0))</f>
        <v>0</v>
      </c>
      <c r="W88" s="97">
        <f ca="1">IF(E88&gt;='Invoer gegevens (N)'!$C$17+'Invoer gegevens (N)'!$I$14,0,R88-S88)</f>
        <v>0</v>
      </c>
      <c r="X88" s="98">
        <f ca="1">IF('Invoer gegevens (N)'!$C$17=E88,'Invoer gegevens (N)'!$C$10-'Invoer gegevens (N)'!$C$11,IF(C88=1,AC87,0))</f>
        <v>0</v>
      </c>
      <c r="Y88" s="98">
        <f ca="1">IF(E88='Invoer gegevens (N)'!$C$17+'Invoer gegevens (N)'!$I$14,AC87,IF(C88&gt;=1,X88*VLOOKUP(E88,'Reeksen (N)'!$A$5:$B$76,2),0))</f>
        <v>0</v>
      </c>
      <c r="Z88" s="98">
        <f ca="1">IF(E88='Invoer gegevens (N)'!$C$17+'Invoer gegevens (N)'!$I$14,AC87,(1-('Invoer gegevens (N)'!$F$20/12))*X88*MIN('Reeksen (N)'!B20,'Reeksen (N)'!D20))</f>
        <v>0</v>
      </c>
      <c r="AA88" s="98">
        <f>IF('Reeksen (N)'!D20&gt;='Reeksen (N)'!B20,0,IF('Reeksen (N)'!AK20&lt;='Reeksen (N)'!AE20,('Reeksen (N)'!B20-'Reeksen (N)'!D20)*X88,0))</f>
        <v>0</v>
      </c>
      <c r="AB88" s="98">
        <f>IF('Reeksen (N)'!D20&gt;='Reeksen (N)'!B20,0,IF('Reeksen (N)'!AK20&gt;'Reeksen (N)'!AE20,('Reeksen (N)'!B20-'Reeksen (N)'!D20)*X88,0))</f>
        <v>0</v>
      </c>
      <c r="AC88" s="99">
        <f ca="1">IF(E88&gt;='Invoer gegevens (N)'!$C$17+'Invoer gegevens (N)'!$I$14,0,X88-Y88)</f>
        <v>0</v>
      </c>
      <c r="AD88" s="98">
        <f ca="1">IF('Invoer gegevens (N)'!$C$17=E20,R88,IF(C20=0,0,AE87))</f>
        <v>0</v>
      </c>
      <c r="AE88" s="98">
        <f t="shared" ca="1" si="9"/>
        <v>0</v>
      </c>
      <c r="AF88" s="98">
        <f ca="1">IF('Invoer gegevens (N)'!$C$17=E20,X88,IF(C20=0,0,AG87))</f>
        <v>0</v>
      </c>
      <c r="AG88" s="98">
        <f t="shared" ca="1" si="10"/>
        <v>0</v>
      </c>
      <c r="AH88" s="70"/>
      <c r="AI88" s="71">
        <f ca="1">IF(C88=1,(('Reeksen (N)'!BF20*(F88-G88+F88)/2)+((L88-M88+L88)/2*'Reeksen (N)'!BG20))*12,0)</f>
        <v>0</v>
      </c>
      <c r="AJ88" s="71">
        <f ca="1">-AI88*'Invoer gegevens (N)'!$I$26</f>
        <v>0</v>
      </c>
      <c r="AK88" s="71">
        <f t="shared" ca="1" si="11"/>
        <v>0</v>
      </c>
      <c r="AL88" s="71">
        <f ca="1">IF(C88=1,'Reeksen (N)'!AL20*((F88-G88+F88)/2)*12+'Reeksen (N)'!AM20*((L88-M88+L88)/2)*12,0)</f>
        <v>0</v>
      </c>
      <c r="AM88" s="71">
        <f ca="1">-AL88*'Invoer gegevens (N)'!$F$31</f>
        <v>0</v>
      </c>
      <c r="AN88" s="71">
        <f t="shared" ca="1" si="12"/>
        <v>0</v>
      </c>
      <c r="AO88" s="71">
        <f ca="1">IF(E88&gt;='Invoer gegevens (N)'!$C$17+'Invoer gegevens (N)'!$I$14,0,IF(C88=1,(H88+J88+N88+P88)*'Reeksen (N)'!AN20,0))</f>
        <v>0</v>
      </c>
      <c r="AP88" s="71">
        <f ca="1">-IF(C88=1,(H88+J88+N88+P88)*'Reeksen (N)'!AN19*'Hulp - basis'!$J$550,0)</f>
        <v>0</v>
      </c>
      <c r="AQ88" s="71">
        <f ca="1">-IF(C88=1,(F88+K88+L88+Q88)/2*'Invoer gegevens (N)'!$I$33*'Reeksen (N)'!J20,0)</f>
        <v>0</v>
      </c>
      <c r="AR88" s="71">
        <f ca="1">-IF(C88=1,(I88*'Invoer gegevens (N)'!$I$34)*'Reeksen (N)'!J20,0)</f>
        <v>0</v>
      </c>
      <c r="AS88" s="71">
        <f ca="1">-IF(C88=1,(F88+K88+L88+Q88)/2*'Invoer gegevens (N)'!$I$35*'Reeksen (N)'!L20,0)</f>
        <v>0</v>
      </c>
      <c r="AT88" s="71">
        <f ca="1">-IF(C88=1,IF(E88='Invoer gegevens (N)'!$C$17,'Invoer gegevens (N)'!$C$11,AD88)*'Reeksen (N)'!S20*'Invoer gegevens (N)'!$C$18*'Reeksen (N)'!P20,0)</f>
        <v>0</v>
      </c>
      <c r="AU88" s="71">
        <f ca="1">-IF(C88=1,(F88+K88+L88+Q88)/2*'Invoer gegevens (N)'!$I$36*'Reeksen (N)'!H20,0)</f>
        <v>0</v>
      </c>
      <c r="AV88" s="71">
        <f t="shared" ca="1" si="13"/>
        <v>0</v>
      </c>
      <c r="AW88" s="72">
        <f ca="1">IFERROR(IF(E88='Invoer gegevens (N)'!$C$17+'Invoer gegevens (N)'!$I$14-1,'Invoer gegevens (N)'!$I$13*K88*'Reeksen (N)'!H20,0),0)</f>
        <v>0</v>
      </c>
      <c r="AX88" s="72">
        <f ca="1">IFERROR(IF(E88='Invoer gegevens (N)'!$C$17,-'Invoer gegevens (N)'!$C$10*('Invoer gegevens (N)'!$C$30+'Invoer gegevens (N)'!$C$31)*'Reeksen (N)'!H20,0),0)</f>
        <v>0</v>
      </c>
      <c r="AY88" s="73">
        <f ca="1">IF('Invoer gegevens (N)'!$C$34=E88,'Invoer gegevens (N)'!$C$27*'Invoer gegevens (N)'!$C$10*'Invoer gegevens (N)'!$C$36*(IF('Invoer gegevens (N)'!$C$35="ja",1,'Reeksen (N)'!J20)),IF('Invoer gegevens (N)'!$C$34+1=E88,'Invoer gegevens (N)'!$C$27*'Invoer gegevens (N)'!$C$10*'Invoer gegevens (N)'!$C$37*(IF('Invoer gegevens (N)'!$C$35="ja",1,'Reeksen (N)'!J20)),0))+IF(AND(E88='Invoer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8" s="73">
        <f ca="1">AV88/(1+'Invoer gegevens (N)'!$I$12)^($D88-('Invoer gegevens (N)'!$C$17-'Invoer gegevens (N)'!$C$16))/(1+'Invoer gegevens (N)'!$C$39)^('Invoer gegevens (N)'!$C$17-'Invoer gegevens (N)'!$C$16)</f>
        <v>0</v>
      </c>
      <c r="BA88" s="73">
        <f ca="1">AW88/(1+'Invoer gegevens (N)'!$I$12)^(E88-('Invoer gegevens (N)'!$C$17-1))/(1+'Invoer gegevens (N)'!$C$39)^('Invoer gegevens (N)'!$C$17-'Invoer gegevens (N)'!$C$16)</f>
        <v>0</v>
      </c>
      <c r="BB88" s="73">
        <f ca="1">AX88/(1+'Invoer gegevens (N)'!$C$39)^('Invoer gegevens (N)'!$C$17-'Invoer gegevens (N)'!$C$16)</f>
        <v>0</v>
      </c>
      <c r="BC88" s="72">
        <f t="shared" ca="1" si="14"/>
        <v>0</v>
      </c>
      <c r="BD88" s="72">
        <f ca="1">IF(AND(E88='Invoer gegevens (N)'!$C$16,'Invoer gegevens (N)'!$C$34&lt;'Invoer gegevens (N)'!$C$16),AY88,AY88/(1+'Invoer gegevens (N)'!$C$39)^D88)</f>
        <v>0</v>
      </c>
      <c r="BE88" s="72">
        <f ca="1">IF(E88='Invoer gegevens (N)'!$C$34,-'Invoer gegevens (N)'!$I$38,0)</f>
        <v>0</v>
      </c>
      <c r="BF88" s="72">
        <f ca="1">IF(E88='Invoer gegevens (N)'!$C$17,-'Invoer gegevens (N)'!$C$19*$BC$134,0)</f>
        <v>0</v>
      </c>
      <c r="BG88" s="72">
        <f ca="1">AV88/(1+$BG$72)^($D88-('Invoer gegevens (N)'!$C$17-'Invoer gegevens (N)'!$C$16))/(1+'Invoer gegevens (N)'!$C$39)^('Invoer gegevens (N)'!$C$17-'Invoer gegevens (N)'!$C$16)+AW88/(1+$BG$72)^(E88-('Invoer gegevens (N)'!$C$17-1))/(1+'Invoer gegevens (N)'!$C$39)^('Invoer gegevens (N)'!$C$17-'Invoer gegevens (N)'!$C$16)+AX88/(1+'Invoer gegevens (N)'!$C$39)^('Invoer gegevens (N)'!$C$17-'Invoer gegevens (N)'!$C$16)+(-AY88/(1+'Invoer gegevens (N)'!$C$39)^D88)+BE88+BF88</f>
        <v>0</v>
      </c>
    </row>
    <row r="89" spans="1:59" x14ac:dyDescent="0.25">
      <c r="A89" s="59"/>
      <c r="B89" s="70">
        <f t="shared" si="15"/>
        <v>17</v>
      </c>
      <c r="C89" s="67">
        <f ca="1">IF(AND(E89&gt;='Invoer gegevens (N)'!$C$17,E89&lt;'Invoer gegevens (N)'!$C$17+'Invoer gegevens (N)'!$I$14),1,0)</f>
        <v>1</v>
      </c>
      <c r="D89" s="68">
        <f t="shared" si="16"/>
        <v>16.5</v>
      </c>
      <c r="E89" s="108">
        <f ca="1">IF('Invoer gegevens (N)'!$C$16="","",E88+1)</f>
        <v>2035</v>
      </c>
      <c r="F89" s="84">
        <f ca="1">IF('Invoer gegevens (N)'!$C$17=E89,'Invoer gegevens (N)'!$C$10,IF(C89=1,K88,0))</f>
        <v>0</v>
      </c>
      <c r="G89" s="96">
        <f ca="1">IF(E89='Invoer gegevens (N)'!$C$17+'Invoer gegevens (N)'!$I$14,K88,IF(C89&gt;=1,F89*VLOOKUP(E89,'Reeksen (N)'!$A$5:$B$76,2),0))</f>
        <v>0</v>
      </c>
      <c r="H89" s="84">
        <f ca="1">IF(E89='Invoer gegevens (N)'!$C$17+'Invoer gegevens (N)'!$I$14,K88,(1-('Invoer gegevens (N)'!$F$20/12))*F89*MIN('Reeksen (N)'!B21,'Reeksen (N)'!D21))</f>
        <v>0</v>
      </c>
      <c r="I89" s="84">
        <f>IF('Reeksen (N)'!D21&lt;'Reeksen (N)'!B21,('Reeksen (N)'!B21-'Reeksen (N)'!D21)*F89,0)</f>
        <v>0</v>
      </c>
      <c r="J89" s="84">
        <f ca="1">IF(E89='Invoer gegevens (N)'!$C$17+'Invoer gegevens (N)'!$I$14+1,0,('Invoer gegevens (N)'!$F$20/12)*F88*MIN('Reeksen (N)'!B20,'Reeksen (N)'!D20))</f>
        <v>0</v>
      </c>
      <c r="K89" s="97">
        <f ca="1">IF(E89&gt;='Invoer gegevens (N)'!$C$17+'Invoer gegevens (N)'!$I$14,0,F89-G89)</f>
        <v>0</v>
      </c>
      <c r="L89" s="84">
        <f ca="1">IF('Invoer gegevens (N)'!$C$17=E89,0,IF(C89=1,Q88,0))</f>
        <v>0</v>
      </c>
      <c r="M89" s="96">
        <f ca="1">IF(E89='Invoer gegevens (N)'!$C$17+'Invoer gegevens (N)'!$I$14,Q88,IF(C89&gt;=1,L89*VLOOKUP(E89,'Reeksen (N)'!$A$5:$B$76,2),0))</f>
        <v>0</v>
      </c>
      <c r="N89" s="84">
        <f ca="1">IF(C89='Invoer gegevens (N)'!$C$17+'Invoer gegevens (N)'!$I$14,Q88,(1-('Invoer gegevens (N)'!$F$20/12))*L89*MIN('Reeksen (N)'!B21,'Reeksen (N)'!D21))</f>
        <v>0</v>
      </c>
      <c r="O89" s="84">
        <f>IF('Reeksen (N)'!D21&lt;'Reeksen (N)'!B21,('Reeksen (N)'!B21-'Reeksen (N)'!D21)*L89,0)</f>
        <v>0</v>
      </c>
      <c r="P89" s="84">
        <f ca="1">IF(E89='Invoer gegevens (N)'!$C$17+'Invoer gegevens (N)'!$I$14+1,0,('Invoer gegevens (N)'!$F$20/12)*L88*MIN('Reeksen (N)'!B20,'Reeksen (N)'!D20))</f>
        <v>0</v>
      </c>
      <c r="Q89" s="84">
        <f ca="1">IF(E89&gt;='Invoer gegevens (N)'!$C$17+'Invoer gegevens (N)'!$I$14,0,L89-M89+I89+O89)</f>
        <v>0</v>
      </c>
      <c r="R89" s="82">
        <f ca="1">IF('Invoer gegevens (N)'!$C$17=E89,'Invoer gegevens (N)'!$C$11,IF(C89=1,W88,0))</f>
        <v>0</v>
      </c>
      <c r="S89" s="86">
        <f ca="1">IF(E89='Invoer gegevens (N)'!$C$17+'Invoer gegevens (N)'!$I$14,W88,IF(C89&gt;=1,R89*VLOOKUP(E89,'Reeksen (N)'!$A$5:$B$76,2),0))</f>
        <v>0</v>
      </c>
      <c r="T89" s="84">
        <f ca="1">IF(E89='Invoer gegevens (N)'!$C$17+'Invoer gegevens (N)'!$I$14,W88,(1-('Invoer gegevens (N)'!$F$20/12))*R89*MIN('Reeksen (N)'!B21,'Reeksen (N)'!D21))</f>
        <v>0</v>
      </c>
      <c r="U89" s="84">
        <f>IF('Reeksen (N)'!D21&gt;='Reeksen (N)'!B21,0,IF('Reeksen (N)'!AK21&lt;='Reeksen (N)'!AE21,('Reeksen (N)'!B21-'Reeksen (N)'!D21)*R89,0))</f>
        <v>0</v>
      </c>
      <c r="V89" s="86">
        <f>IF('Reeksen (N)'!D21&gt;='Reeksen (N)'!B21,0,IF('Reeksen (N)'!AK21&gt;'Reeksen (N)'!AE21,('Reeksen (N)'!B21-'Reeksen (N)'!D21)*R89,0))</f>
        <v>0</v>
      </c>
      <c r="W89" s="97">
        <f ca="1">IF(E89&gt;='Invoer gegevens (N)'!$C$17+'Invoer gegevens (N)'!$I$14,0,R89-S89)</f>
        <v>0</v>
      </c>
      <c r="X89" s="98">
        <f ca="1">IF('Invoer gegevens (N)'!$C$17=E89,'Invoer gegevens (N)'!$C$10-'Invoer gegevens (N)'!$C$11,IF(C89=1,AC88,0))</f>
        <v>0</v>
      </c>
      <c r="Y89" s="98">
        <f ca="1">IF(E89='Invoer gegevens (N)'!$C$17+'Invoer gegevens (N)'!$I$14,AC88,IF(C89&gt;=1,X89*VLOOKUP(E89,'Reeksen (N)'!$A$5:$B$76,2),0))</f>
        <v>0</v>
      </c>
      <c r="Z89" s="98">
        <f ca="1">IF(E89='Invoer gegevens (N)'!$C$17+'Invoer gegevens (N)'!$I$14,AC88,(1-('Invoer gegevens (N)'!$F$20/12))*X89*MIN('Reeksen (N)'!B21,'Reeksen (N)'!D21))</f>
        <v>0</v>
      </c>
      <c r="AA89" s="98">
        <f>IF('Reeksen (N)'!D21&gt;='Reeksen (N)'!B21,0,IF('Reeksen (N)'!AK21&lt;='Reeksen (N)'!AE21,('Reeksen (N)'!B21-'Reeksen (N)'!D21)*X89,0))</f>
        <v>0</v>
      </c>
      <c r="AB89" s="98">
        <f>IF('Reeksen (N)'!D21&gt;='Reeksen (N)'!B21,0,IF('Reeksen (N)'!AK21&gt;'Reeksen (N)'!AE21,('Reeksen (N)'!B21-'Reeksen (N)'!D21)*X89,0))</f>
        <v>0</v>
      </c>
      <c r="AC89" s="99">
        <f ca="1">IF(E89&gt;='Invoer gegevens (N)'!$C$17+'Invoer gegevens (N)'!$I$14,0,X89-Y89)</f>
        <v>0</v>
      </c>
      <c r="AD89" s="98">
        <f ca="1">IF('Invoer gegevens (N)'!$C$17=E21,R89,IF(C21=0,0,AE88))</f>
        <v>0</v>
      </c>
      <c r="AE89" s="98">
        <f t="shared" ca="1" si="9"/>
        <v>0</v>
      </c>
      <c r="AF89" s="98">
        <f ca="1">IF('Invoer gegevens (N)'!$C$17=E21,X89,IF(C21=0,0,AG88))</f>
        <v>0</v>
      </c>
      <c r="AG89" s="98">
        <f t="shared" ca="1" si="10"/>
        <v>0</v>
      </c>
      <c r="AH89" s="70"/>
      <c r="AI89" s="71">
        <f ca="1">IF(C89=1,(('Reeksen (N)'!BF21*(F89-G89+F89)/2)+((L89-M89+L89)/2*'Reeksen (N)'!BG21))*12,0)</f>
        <v>0</v>
      </c>
      <c r="AJ89" s="71">
        <f ca="1">-AI89*'Invoer gegevens (N)'!$I$26</f>
        <v>0</v>
      </c>
      <c r="AK89" s="71">
        <f t="shared" ca="1" si="11"/>
        <v>0</v>
      </c>
      <c r="AL89" s="71">
        <f ca="1">IF(C89=1,'Reeksen (N)'!AL21*((F89-G89+F89)/2)*12+'Reeksen (N)'!AM21*((L89-M89+L89)/2)*12,0)</f>
        <v>0</v>
      </c>
      <c r="AM89" s="71">
        <f ca="1">-AL89*'Invoer gegevens (N)'!$F$31</f>
        <v>0</v>
      </c>
      <c r="AN89" s="71">
        <f t="shared" ca="1" si="12"/>
        <v>0</v>
      </c>
      <c r="AO89" s="71">
        <f ca="1">IF(E89&gt;='Invoer gegevens (N)'!$C$17+'Invoer gegevens (N)'!$I$14,0,IF(C89=1,(H89+J89+N89+P89)*'Reeksen (N)'!AN21,0))</f>
        <v>0</v>
      </c>
      <c r="AP89" s="71">
        <f ca="1">-IF(C89=1,(H89+J89+N89+P89)*'Reeksen (N)'!AN20*'Hulp - basis'!$J$550,0)</f>
        <v>0</v>
      </c>
      <c r="AQ89" s="71">
        <f ca="1">-IF(C89=1,(F89+K89+L89+Q89)/2*'Invoer gegevens (N)'!$I$33*'Reeksen (N)'!J21,0)</f>
        <v>0</v>
      </c>
      <c r="AR89" s="71">
        <f ca="1">-IF(C89=1,(I89*'Invoer gegevens (N)'!$I$34)*'Reeksen (N)'!J21,0)</f>
        <v>0</v>
      </c>
      <c r="AS89" s="71">
        <f ca="1">-IF(C89=1,(F89+K89+L89+Q89)/2*'Invoer gegevens (N)'!$I$35*'Reeksen (N)'!L21,0)</f>
        <v>0</v>
      </c>
      <c r="AT89" s="71">
        <f ca="1">-IF(C89=1,IF(E89='Invoer gegevens (N)'!$C$17,'Invoer gegevens (N)'!$C$11,AD89)*'Reeksen (N)'!S21*'Invoer gegevens (N)'!$C$18*'Reeksen (N)'!P21,0)</f>
        <v>0</v>
      </c>
      <c r="AU89" s="71">
        <f ca="1">-IF(C89=1,(F89+K89+L89+Q89)/2*'Invoer gegevens (N)'!$I$36*'Reeksen (N)'!H21,0)</f>
        <v>0</v>
      </c>
      <c r="AV89" s="71">
        <f t="shared" ca="1" si="13"/>
        <v>0</v>
      </c>
      <c r="AW89" s="72">
        <f ca="1">IFERROR(IF(E89='Invoer gegevens (N)'!$C$17+'Invoer gegevens (N)'!$I$14-1,'Invoer gegevens (N)'!$I$13*K89*'Reeksen (N)'!H21,0),0)</f>
        <v>0</v>
      </c>
      <c r="AX89" s="72">
        <f ca="1">IFERROR(IF(E89='Invoer gegevens (N)'!$C$17,-'Invoer gegevens (N)'!$C$10*('Invoer gegevens (N)'!$C$30+'Invoer gegevens (N)'!$C$31)*'Reeksen (N)'!H21,0),0)</f>
        <v>0</v>
      </c>
      <c r="AY89" s="73">
        <f ca="1">IF('Invoer gegevens (N)'!$C$34=E89,'Invoer gegevens (N)'!$C$27*'Invoer gegevens (N)'!$C$10*'Invoer gegevens (N)'!$C$36*(IF('Invoer gegevens (N)'!$C$35="ja",1,'Reeksen (N)'!J21)),IF('Invoer gegevens (N)'!$C$34+1=E89,'Invoer gegevens (N)'!$C$27*'Invoer gegevens (N)'!$C$10*'Invoer gegevens (N)'!$C$37*(IF('Invoer gegevens (N)'!$C$35="ja",1,'Reeksen (N)'!J21)),0))+IF(AND(E89='Invoer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89" s="73">
        <f ca="1">AV89/(1+'Invoer gegevens (N)'!$I$12)^($D89-('Invoer gegevens (N)'!$C$17-'Invoer gegevens (N)'!$C$16))/(1+'Invoer gegevens (N)'!$C$39)^('Invoer gegevens (N)'!$C$17-'Invoer gegevens (N)'!$C$16)</f>
        <v>0</v>
      </c>
      <c r="BA89" s="73">
        <f ca="1">AW89/(1+'Invoer gegevens (N)'!$I$12)^(E89-('Invoer gegevens (N)'!$C$17-1))/(1+'Invoer gegevens (N)'!$C$39)^('Invoer gegevens (N)'!$C$17-'Invoer gegevens (N)'!$C$16)</f>
        <v>0</v>
      </c>
      <c r="BB89" s="73">
        <f ca="1">AX89/(1+'Invoer gegevens (N)'!$C$39)^('Invoer gegevens (N)'!$C$17-'Invoer gegevens (N)'!$C$16)</f>
        <v>0</v>
      </c>
      <c r="BC89" s="72">
        <f t="shared" ca="1" si="14"/>
        <v>0</v>
      </c>
      <c r="BD89" s="72">
        <f ca="1">IF(AND(E89='Invoer gegevens (N)'!$C$16,'Invoer gegevens (N)'!$C$34&lt;'Invoer gegevens (N)'!$C$16),AY89,AY89/(1+'Invoer gegevens (N)'!$C$39)^D89)</f>
        <v>0</v>
      </c>
      <c r="BE89" s="72">
        <f ca="1">IF(E89='Invoer gegevens (N)'!$C$34,-'Invoer gegevens (N)'!$I$38,0)</f>
        <v>0</v>
      </c>
      <c r="BF89" s="72">
        <f ca="1">IF(E89='Invoer gegevens (N)'!$C$17,-'Invoer gegevens (N)'!$C$19*$BC$134,0)</f>
        <v>0</v>
      </c>
      <c r="BG89" s="72">
        <f ca="1">AV89/(1+$BG$72)^($D89-('Invoer gegevens (N)'!$C$17-'Invoer gegevens (N)'!$C$16))/(1+'Invoer gegevens (N)'!$C$39)^('Invoer gegevens (N)'!$C$17-'Invoer gegevens (N)'!$C$16)+AW89/(1+$BG$72)^(E89-('Invoer gegevens (N)'!$C$17-1))/(1+'Invoer gegevens (N)'!$C$39)^('Invoer gegevens (N)'!$C$17-'Invoer gegevens (N)'!$C$16)+AX89/(1+'Invoer gegevens (N)'!$C$39)^('Invoer gegevens (N)'!$C$17-'Invoer gegevens (N)'!$C$16)+(-AY89/(1+'Invoer gegevens (N)'!$C$39)^D89)+BE89+BF89</f>
        <v>0</v>
      </c>
    </row>
    <row r="90" spans="1:59" x14ac:dyDescent="0.25">
      <c r="A90" s="59"/>
      <c r="B90" s="70">
        <f t="shared" si="15"/>
        <v>18</v>
      </c>
      <c r="C90" s="67">
        <f ca="1">IF(AND(E90&gt;='Invoer gegevens (N)'!$C$17,E90&lt;'Invoer gegevens (N)'!$C$17+'Invoer gegevens (N)'!$I$14),1,0)</f>
        <v>1</v>
      </c>
      <c r="D90" s="68">
        <f t="shared" si="16"/>
        <v>17.5</v>
      </c>
      <c r="E90" s="108">
        <f ca="1">IF('Invoer gegevens (N)'!$C$16="","",E89+1)</f>
        <v>2036</v>
      </c>
      <c r="F90" s="84">
        <f ca="1">IF('Invoer gegevens (N)'!$C$17=E90,'Invoer gegevens (N)'!$C$10,IF(C90=1,K89,0))</f>
        <v>0</v>
      </c>
      <c r="G90" s="96">
        <f ca="1">IF(E90='Invoer gegevens (N)'!$C$17+'Invoer gegevens (N)'!$I$14,K89,IF(C90&gt;=1,F90*VLOOKUP(E90,'Reeksen (N)'!$A$5:$B$76,2),0))</f>
        <v>0</v>
      </c>
      <c r="H90" s="84">
        <f ca="1">IF(E90='Invoer gegevens (N)'!$C$17+'Invoer gegevens (N)'!$I$14,K89,(1-('Invoer gegevens (N)'!$F$20/12))*F90*MIN('Reeksen (N)'!B22,'Reeksen (N)'!D22))</f>
        <v>0</v>
      </c>
      <c r="I90" s="84">
        <f>IF('Reeksen (N)'!D22&lt;'Reeksen (N)'!B22,('Reeksen (N)'!B22-'Reeksen (N)'!D22)*F90,0)</f>
        <v>0</v>
      </c>
      <c r="J90" s="84">
        <f ca="1">IF(E90='Invoer gegevens (N)'!$C$17+'Invoer gegevens (N)'!$I$14+1,0,('Invoer gegevens (N)'!$F$20/12)*F89*MIN('Reeksen (N)'!B21,'Reeksen (N)'!D21))</f>
        <v>0</v>
      </c>
      <c r="K90" s="97">
        <f ca="1">IF(E90&gt;='Invoer gegevens (N)'!$C$17+'Invoer gegevens (N)'!$I$14,0,F90-G90)</f>
        <v>0</v>
      </c>
      <c r="L90" s="84">
        <f ca="1">IF('Invoer gegevens (N)'!$C$17=E90,0,IF(C90=1,Q89,0))</f>
        <v>0</v>
      </c>
      <c r="M90" s="96">
        <f ca="1">IF(E90='Invoer gegevens (N)'!$C$17+'Invoer gegevens (N)'!$I$14,Q89,IF(C90&gt;=1,L90*VLOOKUP(E90,'Reeksen (N)'!$A$5:$B$76,2),0))</f>
        <v>0</v>
      </c>
      <c r="N90" s="84">
        <f ca="1">IF(C90='Invoer gegevens (N)'!$C$17+'Invoer gegevens (N)'!$I$14,Q89,(1-('Invoer gegevens (N)'!$F$20/12))*L90*MIN('Reeksen (N)'!B22,'Reeksen (N)'!D22))</f>
        <v>0</v>
      </c>
      <c r="O90" s="84">
        <f>IF('Reeksen (N)'!D22&lt;'Reeksen (N)'!B22,('Reeksen (N)'!B22-'Reeksen (N)'!D22)*L90,0)</f>
        <v>0</v>
      </c>
      <c r="P90" s="84">
        <f ca="1">IF(E90='Invoer gegevens (N)'!$C$17+'Invoer gegevens (N)'!$I$14+1,0,('Invoer gegevens (N)'!$F$20/12)*L89*MIN('Reeksen (N)'!B21,'Reeksen (N)'!D21))</f>
        <v>0</v>
      </c>
      <c r="Q90" s="84">
        <f ca="1">IF(E90&gt;='Invoer gegevens (N)'!$C$17+'Invoer gegevens (N)'!$I$14,0,L90-M90+I90+O90)</f>
        <v>0</v>
      </c>
      <c r="R90" s="82">
        <f ca="1">IF('Invoer gegevens (N)'!$C$17=E90,'Invoer gegevens (N)'!$C$11,IF(C90=1,W89,0))</f>
        <v>0</v>
      </c>
      <c r="S90" s="86">
        <f ca="1">IF(E90='Invoer gegevens (N)'!$C$17+'Invoer gegevens (N)'!$I$14,W89,IF(C90&gt;=1,R90*VLOOKUP(E90,'Reeksen (N)'!$A$5:$B$76,2),0))</f>
        <v>0</v>
      </c>
      <c r="T90" s="84">
        <f ca="1">IF(E90='Invoer gegevens (N)'!$C$17+'Invoer gegevens (N)'!$I$14,W89,(1-('Invoer gegevens (N)'!$F$20/12))*R90*MIN('Reeksen (N)'!B22,'Reeksen (N)'!D22))</f>
        <v>0</v>
      </c>
      <c r="U90" s="84">
        <f>IF('Reeksen (N)'!D22&gt;='Reeksen (N)'!B22,0,IF('Reeksen (N)'!AK22&lt;='Reeksen (N)'!AE22,('Reeksen (N)'!B22-'Reeksen (N)'!D22)*R90,0))</f>
        <v>0</v>
      </c>
      <c r="V90" s="86">
        <f>IF('Reeksen (N)'!D22&gt;='Reeksen (N)'!B22,0,IF('Reeksen (N)'!AK22&gt;'Reeksen (N)'!AE22,('Reeksen (N)'!B22-'Reeksen (N)'!D22)*R90,0))</f>
        <v>0</v>
      </c>
      <c r="W90" s="97">
        <f ca="1">IF(E90&gt;='Invoer gegevens (N)'!$C$17+'Invoer gegevens (N)'!$I$14,0,R90-S90)</f>
        <v>0</v>
      </c>
      <c r="X90" s="98">
        <f ca="1">IF('Invoer gegevens (N)'!$C$17=E90,'Invoer gegevens (N)'!$C$10-'Invoer gegevens (N)'!$C$11,IF(C90=1,AC89,0))</f>
        <v>0</v>
      </c>
      <c r="Y90" s="98">
        <f ca="1">IF(E90='Invoer gegevens (N)'!$C$17+'Invoer gegevens (N)'!$I$14,AC89,IF(C90&gt;=1,X90*VLOOKUP(E90,'Reeksen (N)'!$A$5:$B$76,2),0))</f>
        <v>0</v>
      </c>
      <c r="Z90" s="98">
        <f ca="1">IF(E90='Invoer gegevens (N)'!$C$17+'Invoer gegevens (N)'!$I$14,AC89,(1-('Invoer gegevens (N)'!$F$20/12))*X90*MIN('Reeksen (N)'!B22,'Reeksen (N)'!D22))</f>
        <v>0</v>
      </c>
      <c r="AA90" s="98">
        <f>IF('Reeksen (N)'!D22&gt;='Reeksen (N)'!B22,0,IF('Reeksen (N)'!AK22&lt;='Reeksen (N)'!AE22,('Reeksen (N)'!B22-'Reeksen (N)'!D22)*X90,0))</f>
        <v>0</v>
      </c>
      <c r="AB90" s="98">
        <f>IF('Reeksen (N)'!D22&gt;='Reeksen (N)'!B22,0,IF('Reeksen (N)'!AK22&gt;'Reeksen (N)'!AE22,('Reeksen (N)'!B22-'Reeksen (N)'!D22)*X90,0))</f>
        <v>0</v>
      </c>
      <c r="AC90" s="99">
        <f ca="1">IF(E90&gt;='Invoer gegevens (N)'!$C$17+'Invoer gegevens (N)'!$I$14,0,X90-Y90)</f>
        <v>0</v>
      </c>
      <c r="AD90" s="98">
        <f ca="1">IF('Invoer gegevens (N)'!$C$17=E22,R90,IF(C22=0,0,AE89))</f>
        <v>0</v>
      </c>
      <c r="AE90" s="98">
        <f t="shared" ca="1" si="9"/>
        <v>0</v>
      </c>
      <c r="AF90" s="98">
        <f ca="1">IF('Invoer gegevens (N)'!$C$17=E22,X90,IF(C22=0,0,AG89))</f>
        <v>0</v>
      </c>
      <c r="AG90" s="98">
        <f t="shared" ca="1" si="10"/>
        <v>0</v>
      </c>
      <c r="AH90" s="70"/>
      <c r="AI90" s="71">
        <f ca="1">IF(C90=1,(('Reeksen (N)'!BF22*(F90-G90+F90)/2)+((L90-M90+L90)/2*'Reeksen (N)'!BG22))*12,0)</f>
        <v>0</v>
      </c>
      <c r="AJ90" s="71">
        <f ca="1">-AI90*'Invoer gegevens (N)'!$I$26</f>
        <v>0</v>
      </c>
      <c r="AK90" s="71">
        <f t="shared" ca="1" si="11"/>
        <v>0</v>
      </c>
      <c r="AL90" s="71">
        <f ca="1">IF(C90=1,'Reeksen (N)'!AL22*((F90-G90+F90)/2)*12+'Reeksen (N)'!AM22*((L90-M90+L90)/2)*12,0)</f>
        <v>0</v>
      </c>
      <c r="AM90" s="71">
        <f ca="1">-AL90*'Invoer gegevens (N)'!$F$31</f>
        <v>0</v>
      </c>
      <c r="AN90" s="71">
        <f t="shared" ca="1" si="12"/>
        <v>0</v>
      </c>
      <c r="AO90" s="71">
        <f ca="1">IF(E90&gt;='Invoer gegevens (N)'!$C$17+'Invoer gegevens (N)'!$I$14,0,IF(C90=1,(H90+J90+N90+P90)*'Reeksen (N)'!AN22,0))</f>
        <v>0</v>
      </c>
      <c r="AP90" s="71">
        <f ca="1">-IF(C90=1,(H90+J90+N90+P90)*'Reeksen (N)'!AN21*'Hulp - basis'!$J$550,0)</f>
        <v>0</v>
      </c>
      <c r="AQ90" s="71">
        <f ca="1">-IF(C90=1,(F90+K90+L90+Q90)/2*'Invoer gegevens (N)'!$I$33*'Reeksen (N)'!J22,0)</f>
        <v>0</v>
      </c>
      <c r="AR90" s="71">
        <f ca="1">-IF(C90=1,(I90*'Invoer gegevens (N)'!$I$34)*'Reeksen (N)'!J22,0)</f>
        <v>0</v>
      </c>
      <c r="AS90" s="71">
        <f ca="1">-IF(C90=1,(F90+K90+L90+Q90)/2*'Invoer gegevens (N)'!$I$35*'Reeksen (N)'!L22,0)</f>
        <v>0</v>
      </c>
      <c r="AT90" s="71">
        <f ca="1">-IF(C90=1,IF(E90='Invoer gegevens (N)'!$C$17,'Invoer gegevens (N)'!$C$11,AD90)*'Reeksen (N)'!S22*'Invoer gegevens (N)'!$C$18*'Reeksen (N)'!P22,0)</f>
        <v>0</v>
      </c>
      <c r="AU90" s="71">
        <f ca="1">-IF(C90=1,(F90+K90+L90+Q90)/2*'Invoer gegevens (N)'!$I$36*'Reeksen (N)'!H22,0)</f>
        <v>0</v>
      </c>
      <c r="AV90" s="71">
        <f t="shared" ca="1" si="13"/>
        <v>0</v>
      </c>
      <c r="AW90" s="72">
        <f ca="1">IFERROR(IF(E90='Invoer gegevens (N)'!$C$17+'Invoer gegevens (N)'!$I$14-1,'Invoer gegevens (N)'!$I$13*K90*'Reeksen (N)'!H22,0),0)</f>
        <v>0</v>
      </c>
      <c r="AX90" s="72">
        <f ca="1">IFERROR(IF(E90='Invoer gegevens (N)'!$C$17,-'Invoer gegevens (N)'!$C$10*('Invoer gegevens (N)'!$C$30+'Invoer gegevens (N)'!$C$31)*'Reeksen (N)'!H22,0),0)</f>
        <v>0</v>
      </c>
      <c r="AY90" s="73">
        <f ca="1">IF('Invoer gegevens (N)'!$C$34=E90,'Invoer gegevens (N)'!$C$27*'Invoer gegevens (N)'!$C$10*'Invoer gegevens (N)'!$C$36*(IF('Invoer gegevens (N)'!$C$35="ja",1,'Reeksen (N)'!J22)),IF('Invoer gegevens (N)'!$C$34+1=E90,'Invoer gegevens (N)'!$C$27*'Invoer gegevens (N)'!$C$10*'Invoer gegevens (N)'!$C$37*(IF('Invoer gegevens (N)'!$C$35="ja",1,'Reeksen (N)'!J22)),0))+IF(AND(E90='Invoer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0" s="73">
        <f ca="1">AV90/(1+'Invoer gegevens (N)'!$I$12)^($D90-('Invoer gegevens (N)'!$C$17-'Invoer gegevens (N)'!$C$16))/(1+'Invoer gegevens (N)'!$C$39)^('Invoer gegevens (N)'!$C$17-'Invoer gegevens (N)'!$C$16)</f>
        <v>0</v>
      </c>
      <c r="BA90" s="73">
        <f ca="1">AW90/(1+'Invoer gegevens (N)'!$I$12)^(E90-('Invoer gegevens (N)'!$C$17-1))/(1+'Invoer gegevens (N)'!$C$39)^('Invoer gegevens (N)'!$C$17-'Invoer gegevens (N)'!$C$16)</f>
        <v>0</v>
      </c>
      <c r="BB90" s="73">
        <f ca="1">AX90/(1+'Invoer gegevens (N)'!$C$39)^('Invoer gegevens (N)'!$C$17-'Invoer gegevens (N)'!$C$16)</f>
        <v>0</v>
      </c>
      <c r="BC90" s="72">
        <f t="shared" ca="1" si="14"/>
        <v>0</v>
      </c>
      <c r="BD90" s="72">
        <f ca="1">IF(AND(E90='Invoer gegevens (N)'!$C$16,'Invoer gegevens (N)'!$C$34&lt;'Invoer gegevens (N)'!$C$16),AY90,AY90/(1+'Invoer gegevens (N)'!$C$39)^D90)</f>
        <v>0</v>
      </c>
      <c r="BE90" s="72">
        <f ca="1">IF(E90='Invoer gegevens (N)'!$C$34,-'Invoer gegevens (N)'!$I$38,0)</f>
        <v>0</v>
      </c>
      <c r="BF90" s="72">
        <f ca="1">IF(E90='Invoer gegevens (N)'!$C$17,-'Invoer gegevens (N)'!$C$19*$BC$134,0)</f>
        <v>0</v>
      </c>
      <c r="BG90" s="72">
        <f ca="1">AV90/(1+$BG$72)^($D90-('Invoer gegevens (N)'!$C$17-'Invoer gegevens (N)'!$C$16))/(1+'Invoer gegevens (N)'!$C$39)^('Invoer gegevens (N)'!$C$17-'Invoer gegevens (N)'!$C$16)+AW90/(1+$BG$72)^(E90-('Invoer gegevens (N)'!$C$17-1))/(1+'Invoer gegevens (N)'!$C$39)^('Invoer gegevens (N)'!$C$17-'Invoer gegevens (N)'!$C$16)+AX90/(1+'Invoer gegevens (N)'!$C$39)^('Invoer gegevens (N)'!$C$17-'Invoer gegevens (N)'!$C$16)+(-AY90/(1+'Invoer gegevens (N)'!$C$39)^D90)+BE90+BF90</f>
        <v>0</v>
      </c>
    </row>
    <row r="91" spans="1:59" x14ac:dyDescent="0.25">
      <c r="A91" s="59"/>
      <c r="B91" s="70">
        <f t="shared" si="15"/>
        <v>19</v>
      </c>
      <c r="C91" s="67">
        <f ca="1">IF(AND(E91&gt;='Invoer gegevens (N)'!$C$17,E91&lt;'Invoer gegevens (N)'!$C$17+'Invoer gegevens (N)'!$I$14),1,0)</f>
        <v>1</v>
      </c>
      <c r="D91" s="68">
        <f t="shared" si="16"/>
        <v>18.5</v>
      </c>
      <c r="E91" s="108">
        <f ca="1">IF('Invoer gegevens (N)'!$C$16="","",E90+1)</f>
        <v>2037</v>
      </c>
      <c r="F91" s="84">
        <f ca="1">IF('Invoer gegevens (N)'!$C$17=E91,'Invoer gegevens (N)'!$C$10,IF(C91=1,K90,0))</f>
        <v>0</v>
      </c>
      <c r="G91" s="96">
        <f ca="1">IF(E91='Invoer gegevens (N)'!$C$17+'Invoer gegevens (N)'!$I$14,K90,IF(C91&gt;=1,F91*VLOOKUP(E91,'Reeksen (N)'!$A$5:$B$76,2),0))</f>
        <v>0</v>
      </c>
      <c r="H91" s="84">
        <f ca="1">IF(E91='Invoer gegevens (N)'!$C$17+'Invoer gegevens (N)'!$I$14,K90,(1-('Invoer gegevens (N)'!$F$20/12))*F91*MIN('Reeksen (N)'!B23,'Reeksen (N)'!D23))</f>
        <v>0</v>
      </c>
      <c r="I91" s="84">
        <f>IF('Reeksen (N)'!D23&lt;'Reeksen (N)'!B23,('Reeksen (N)'!B23-'Reeksen (N)'!D23)*F91,0)</f>
        <v>0</v>
      </c>
      <c r="J91" s="84">
        <f ca="1">IF(E91='Invoer gegevens (N)'!$C$17+'Invoer gegevens (N)'!$I$14+1,0,('Invoer gegevens (N)'!$F$20/12)*F90*MIN('Reeksen (N)'!B22,'Reeksen (N)'!D22))</f>
        <v>0</v>
      </c>
      <c r="K91" s="97">
        <f ca="1">IF(E91&gt;='Invoer gegevens (N)'!$C$17+'Invoer gegevens (N)'!$I$14,0,F91-G91)</f>
        <v>0</v>
      </c>
      <c r="L91" s="84">
        <f ca="1">IF('Invoer gegevens (N)'!$C$17=E91,0,IF(C91=1,Q90,0))</f>
        <v>0</v>
      </c>
      <c r="M91" s="96">
        <f ca="1">IF(E91='Invoer gegevens (N)'!$C$17+'Invoer gegevens (N)'!$I$14,Q90,IF(C91&gt;=1,L91*VLOOKUP(E91,'Reeksen (N)'!$A$5:$B$76,2),0))</f>
        <v>0</v>
      </c>
      <c r="N91" s="84">
        <f ca="1">IF(C91='Invoer gegevens (N)'!$C$17+'Invoer gegevens (N)'!$I$14,Q90,(1-('Invoer gegevens (N)'!$F$20/12))*L91*MIN('Reeksen (N)'!B23,'Reeksen (N)'!D23))</f>
        <v>0</v>
      </c>
      <c r="O91" s="84">
        <f>IF('Reeksen (N)'!D23&lt;'Reeksen (N)'!B23,('Reeksen (N)'!B23-'Reeksen (N)'!D23)*L91,0)</f>
        <v>0</v>
      </c>
      <c r="P91" s="84">
        <f ca="1">IF(E91='Invoer gegevens (N)'!$C$17+'Invoer gegevens (N)'!$I$14+1,0,('Invoer gegevens (N)'!$F$20/12)*L90*MIN('Reeksen (N)'!B22,'Reeksen (N)'!D22))</f>
        <v>0</v>
      </c>
      <c r="Q91" s="84">
        <f ca="1">IF(E91&gt;='Invoer gegevens (N)'!$C$17+'Invoer gegevens (N)'!$I$14,0,L91-M91+I91+O91)</f>
        <v>0</v>
      </c>
      <c r="R91" s="82">
        <f ca="1">IF('Invoer gegevens (N)'!$C$17=E91,'Invoer gegevens (N)'!$C$11,IF(C91=1,W90,0))</f>
        <v>0</v>
      </c>
      <c r="S91" s="86">
        <f ca="1">IF(E91='Invoer gegevens (N)'!$C$17+'Invoer gegevens (N)'!$I$14,W90,IF(C91&gt;=1,R91*VLOOKUP(E91,'Reeksen (N)'!$A$5:$B$76,2),0))</f>
        <v>0</v>
      </c>
      <c r="T91" s="84">
        <f ca="1">IF(E91='Invoer gegevens (N)'!$C$17+'Invoer gegevens (N)'!$I$14,W90,(1-('Invoer gegevens (N)'!$F$20/12))*R91*MIN('Reeksen (N)'!B23,'Reeksen (N)'!D23))</f>
        <v>0</v>
      </c>
      <c r="U91" s="84">
        <f>IF('Reeksen (N)'!D23&gt;='Reeksen (N)'!B23,0,IF('Reeksen (N)'!AK23&lt;='Reeksen (N)'!AE23,('Reeksen (N)'!B23-'Reeksen (N)'!D23)*R91,0))</f>
        <v>0</v>
      </c>
      <c r="V91" s="86">
        <f>IF('Reeksen (N)'!D23&gt;='Reeksen (N)'!B23,0,IF('Reeksen (N)'!AK23&gt;'Reeksen (N)'!AE23,('Reeksen (N)'!B23-'Reeksen (N)'!D23)*R91,0))</f>
        <v>0</v>
      </c>
      <c r="W91" s="97">
        <f ca="1">IF(E91&gt;='Invoer gegevens (N)'!$C$17+'Invoer gegevens (N)'!$I$14,0,R91-S91)</f>
        <v>0</v>
      </c>
      <c r="X91" s="98">
        <f ca="1">IF('Invoer gegevens (N)'!$C$17=E91,'Invoer gegevens (N)'!$C$10-'Invoer gegevens (N)'!$C$11,IF(C91=1,AC90,0))</f>
        <v>0</v>
      </c>
      <c r="Y91" s="98">
        <f ca="1">IF(E91='Invoer gegevens (N)'!$C$17+'Invoer gegevens (N)'!$I$14,AC90,IF(C91&gt;=1,X91*VLOOKUP(E91,'Reeksen (N)'!$A$5:$B$76,2),0))</f>
        <v>0</v>
      </c>
      <c r="Z91" s="98">
        <f ca="1">IF(E91='Invoer gegevens (N)'!$C$17+'Invoer gegevens (N)'!$I$14,AC90,(1-('Invoer gegevens (N)'!$F$20/12))*X91*MIN('Reeksen (N)'!B23,'Reeksen (N)'!D23))</f>
        <v>0</v>
      </c>
      <c r="AA91" s="98">
        <f>IF('Reeksen (N)'!D23&gt;='Reeksen (N)'!B23,0,IF('Reeksen (N)'!AK23&lt;='Reeksen (N)'!AE23,('Reeksen (N)'!B23-'Reeksen (N)'!D23)*X91,0))</f>
        <v>0</v>
      </c>
      <c r="AB91" s="98">
        <f>IF('Reeksen (N)'!D23&gt;='Reeksen (N)'!B23,0,IF('Reeksen (N)'!AK23&gt;'Reeksen (N)'!AE23,('Reeksen (N)'!B23-'Reeksen (N)'!D23)*X91,0))</f>
        <v>0</v>
      </c>
      <c r="AC91" s="99">
        <f ca="1">IF(E91&gt;='Invoer gegevens (N)'!$C$17+'Invoer gegevens (N)'!$I$14,0,X91-Y91)</f>
        <v>0</v>
      </c>
      <c r="AD91" s="98">
        <f ca="1">IF('Invoer gegevens (N)'!$C$17=E23,R91,IF(C23=0,0,AE90))</f>
        <v>0</v>
      </c>
      <c r="AE91" s="98">
        <f t="shared" ca="1" si="9"/>
        <v>0</v>
      </c>
      <c r="AF91" s="98">
        <f ca="1">IF('Invoer gegevens (N)'!$C$17=E23,X91,IF(C23=0,0,AG90))</f>
        <v>0</v>
      </c>
      <c r="AG91" s="98">
        <f t="shared" ca="1" si="10"/>
        <v>0</v>
      </c>
      <c r="AH91" s="70"/>
      <c r="AI91" s="71">
        <f ca="1">IF(C91=1,(('Reeksen (N)'!BF23*(F91-G91+F91)/2)+((L91-M91+L91)/2*'Reeksen (N)'!BG23))*12,0)</f>
        <v>0</v>
      </c>
      <c r="AJ91" s="71">
        <f ca="1">-AI91*'Invoer gegevens (N)'!$I$26</f>
        <v>0</v>
      </c>
      <c r="AK91" s="71">
        <f t="shared" ca="1" si="11"/>
        <v>0</v>
      </c>
      <c r="AL91" s="71">
        <f ca="1">IF(C91=1,'Reeksen (N)'!AL23*((F91-G91+F91)/2)*12+'Reeksen (N)'!AM23*((L91-M91+L91)/2)*12,0)</f>
        <v>0</v>
      </c>
      <c r="AM91" s="71">
        <f ca="1">-AL91*'Invoer gegevens (N)'!$F$31</f>
        <v>0</v>
      </c>
      <c r="AN91" s="71">
        <f t="shared" ca="1" si="12"/>
        <v>0</v>
      </c>
      <c r="AO91" s="71">
        <f ca="1">IF(E91&gt;='Invoer gegevens (N)'!$C$17+'Invoer gegevens (N)'!$I$14,0,IF(C91=1,(H91+J91+N91+P91)*'Reeksen (N)'!AN23,0))</f>
        <v>0</v>
      </c>
      <c r="AP91" s="71">
        <f ca="1">-IF(C91=1,(H91+J91+N91+P91)*'Reeksen (N)'!AN22*'Hulp - basis'!$J$550,0)</f>
        <v>0</v>
      </c>
      <c r="AQ91" s="71">
        <f ca="1">-IF(C91=1,(F91+K91+L91+Q91)/2*'Invoer gegevens (N)'!$I$33*'Reeksen (N)'!J23,0)</f>
        <v>0</v>
      </c>
      <c r="AR91" s="71">
        <f ca="1">-IF(C91=1,(I91*'Invoer gegevens (N)'!$I$34)*'Reeksen (N)'!J23,0)</f>
        <v>0</v>
      </c>
      <c r="AS91" s="71">
        <f ca="1">-IF(C91=1,(F91+K91+L91+Q91)/2*'Invoer gegevens (N)'!$I$35*'Reeksen (N)'!L23,0)</f>
        <v>0</v>
      </c>
      <c r="AT91" s="71">
        <f ca="1">-IF(C91=1,IF(E91='Invoer gegevens (N)'!$C$17,'Invoer gegevens (N)'!$C$11,AD91)*'Reeksen (N)'!S23*'Invoer gegevens (N)'!$C$18*'Reeksen (N)'!P23,0)</f>
        <v>0</v>
      </c>
      <c r="AU91" s="71">
        <f ca="1">-IF(C91=1,(F91+K91+L91+Q91)/2*'Invoer gegevens (N)'!$I$36*'Reeksen (N)'!H23,0)</f>
        <v>0</v>
      </c>
      <c r="AV91" s="71">
        <f t="shared" ca="1" si="13"/>
        <v>0</v>
      </c>
      <c r="AW91" s="72">
        <f ca="1">IFERROR(IF(E91='Invoer gegevens (N)'!$C$17+'Invoer gegevens (N)'!$I$14-1,'Invoer gegevens (N)'!$I$13*K91*'Reeksen (N)'!H23,0),0)</f>
        <v>0</v>
      </c>
      <c r="AX91" s="72">
        <f ca="1">IFERROR(IF(E91='Invoer gegevens (N)'!$C$17,-'Invoer gegevens (N)'!$C$10*('Invoer gegevens (N)'!$C$30+'Invoer gegevens (N)'!$C$31)*'Reeksen (N)'!H23,0),0)</f>
        <v>0</v>
      </c>
      <c r="AY91" s="73">
        <f ca="1">IF('Invoer gegevens (N)'!$C$34=E91,'Invoer gegevens (N)'!$C$27*'Invoer gegevens (N)'!$C$10*'Invoer gegevens (N)'!$C$36*(IF('Invoer gegevens (N)'!$C$35="ja",1,'Reeksen (N)'!J23)),IF('Invoer gegevens (N)'!$C$34+1=E91,'Invoer gegevens (N)'!$C$27*'Invoer gegevens (N)'!$C$10*'Invoer gegevens (N)'!$C$37*(IF('Invoer gegevens (N)'!$C$35="ja",1,'Reeksen (N)'!J23)),0))+IF(AND(E91='Invoer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1" s="73">
        <f ca="1">AV91/(1+'Invoer gegevens (N)'!$I$12)^($D91-('Invoer gegevens (N)'!$C$17-'Invoer gegevens (N)'!$C$16))/(1+'Invoer gegevens (N)'!$C$39)^('Invoer gegevens (N)'!$C$17-'Invoer gegevens (N)'!$C$16)</f>
        <v>0</v>
      </c>
      <c r="BA91" s="73">
        <f ca="1">AW91/(1+'Invoer gegevens (N)'!$I$12)^(E91-('Invoer gegevens (N)'!$C$17-1))/(1+'Invoer gegevens (N)'!$C$39)^('Invoer gegevens (N)'!$C$17-'Invoer gegevens (N)'!$C$16)</f>
        <v>0</v>
      </c>
      <c r="BB91" s="73">
        <f ca="1">AX91/(1+'Invoer gegevens (N)'!$C$39)^('Invoer gegevens (N)'!$C$17-'Invoer gegevens (N)'!$C$16)</f>
        <v>0</v>
      </c>
      <c r="BC91" s="72">
        <f t="shared" ca="1" si="14"/>
        <v>0</v>
      </c>
      <c r="BD91" s="72">
        <f ca="1">IF(AND(E91='Invoer gegevens (N)'!$C$16,'Invoer gegevens (N)'!$C$34&lt;'Invoer gegevens (N)'!$C$16),AY91,AY91/(1+'Invoer gegevens (N)'!$C$39)^D91)</f>
        <v>0</v>
      </c>
      <c r="BE91" s="72">
        <f ca="1">IF(E91='Invoer gegevens (N)'!$C$34,-'Invoer gegevens (N)'!$I$38,0)</f>
        <v>0</v>
      </c>
      <c r="BF91" s="72">
        <f ca="1">IF(E91='Invoer gegevens (N)'!$C$17,-'Invoer gegevens (N)'!$C$19*$BC$134,0)</f>
        <v>0</v>
      </c>
      <c r="BG91" s="72">
        <f ca="1">AV91/(1+$BG$72)^($D91-('Invoer gegevens (N)'!$C$17-'Invoer gegevens (N)'!$C$16))/(1+'Invoer gegevens (N)'!$C$39)^('Invoer gegevens (N)'!$C$17-'Invoer gegevens (N)'!$C$16)+AW91/(1+$BG$72)^(E91-('Invoer gegevens (N)'!$C$17-1))/(1+'Invoer gegevens (N)'!$C$39)^('Invoer gegevens (N)'!$C$17-'Invoer gegevens (N)'!$C$16)+AX91/(1+'Invoer gegevens (N)'!$C$39)^('Invoer gegevens (N)'!$C$17-'Invoer gegevens (N)'!$C$16)+(-AY91/(1+'Invoer gegevens (N)'!$C$39)^D91)+BE91+BF91</f>
        <v>0</v>
      </c>
    </row>
    <row r="92" spans="1:59" x14ac:dyDescent="0.25">
      <c r="A92" s="59"/>
      <c r="B92" s="70">
        <f t="shared" si="15"/>
        <v>20</v>
      </c>
      <c r="C92" s="67">
        <f ca="1">IF(AND(E92&gt;='Invoer gegevens (N)'!$C$17,E92&lt;'Invoer gegevens (N)'!$C$17+'Invoer gegevens (N)'!$I$14),1,0)</f>
        <v>1</v>
      </c>
      <c r="D92" s="68">
        <f t="shared" si="16"/>
        <v>19.5</v>
      </c>
      <c r="E92" s="108">
        <f ca="1">IF('Invoer gegevens (N)'!$C$16="","",E91+1)</f>
        <v>2038</v>
      </c>
      <c r="F92" s="84">
        <f ca="1">IF('Invoer gegevens (N)'!$C$17=E92,'Invoer gegevens (N)'!$C$10,IF(C92=1,K91,0))</f>
        <v>0</v>
      </c>
      <c r="G92" s="96">
        <f ca="1">IF(E92='Invoer gegevens (N)'!$C$17+'Invoer gegevens (N)'!$I$14,K91,IF(C92&gt;=1,F92*VLOOKUP(E92,'Reeksen (N)'!$A$5:$B$76,2),0))</f>
        <v>0</v>
      </c>
      <c r="H92" s="84">
        <f ca="1">IF(E92='Invoer gegevens (N)'!$C$17+'Invoer gegevens (N)'!$I$14,K91,(1-('Invoer gegevens (N)'!$F$20/12))*F92*MIN('Reeksen (N)'!B24,'Reeksen (N)'!D24))</f>
        <v>0</v>
      </c>
      <c r="I92" s="84">
        <f>IF('Reeksen (N)'!D24&lt;'Reeksen (N)'!B24,('Reeksen (N)'!B24-'Reeksen (N)'!D24)*F92,0)</f>
        <v>0</v>
      </c>
      <c r="J92" s="84">
        <f ca="1">IF(E92='Invoer gegevens (N)'!$C$17+'Invoer gegevens (N)'!$I$14+1,0,('Invoer gegevens (N)'!$F$20/12)*F91*MIN('Reeksen (N)'!B23,'Reeksen (N)'!D23))</f>
        <v>0</v>
      </c>
      <c r="K92" s="97">
        <f ca="1">IF(E92&gt;='Invoer gegevens (N)'!$C$17+'Invoer gegevens (N)'!$I$14,0,F92-G92)</f>
        <v>0</v>
      </c>
      <c r="L92" s="84">
        <f ca="1">IF('Invoer gegevens (N)'!$C$17=E92,0,IF(C92=1,Q91,0))</f>
        <v>0</v>
      </c>
      <c r="M92" s="96">
        <f ca="1">IF(E92='Invoer gegevens (N)'!$C$17+'Invoer gegevens (N)'!$I$14,Q91,IF(C92&gt;=1,L92*VLOOKUP(E92,'Reeksen (N)'!$A$5:$B$76,2),0))</f>
        <v>0</v>
      </c>
      <c r="N92" s="84">
        <f ca="1">IF(C92='Invoer gegevens (N)'!$C$17+'Invoer gegevens (N)'!$I$14,Q91,(1-('Invoer gegevens (N)'!$F$20/12))*L92*MIN('Reeksen (N)'!B24,'Reeksen (N)'!D24))</f>
        <v>0</v>
      </c>
      <c r="O92" s="84">
        <f>IF('Reeksen (N)'!D24&lt;'Reeksen (N)'!B24,('Reeksen (N)'!B24-'Reeksen (N)'!D24)*L92,0)</f>
        <v>0</v>
      </c>
      <c r="P92" s="84">
        <f ca="1">IF(E92='Invoer gegevens (N)'!$C$17+'Invoer gegevens (N)'!$I$14+1,0,('Invoer gegevens (N)'!$F$20/12)*L91*MIN('Reeksen (N)'!B23,'Reeksen (N)'!D23))</f>
        <v>0</v>
      </c>
      <c r="Q92" s="84">
        <f ca="1">IF(E92&gt;='Invoer gegevens (N)'!$C$17+'Invoer gegevens (N)'!$I$14,0,L92-M92+I92+O92)</f>
        <v>0</v>
      </c>
      <c r="R92" s="82">
        <f ca="1">IF('Invoer gegevens (N)'!$C$17=E92,'Invoer gegevens (N)'!$C$11,IF(C92=1,W91,0))</f>
        <v>0</v>
      </c>
      <c r="S92" s="86">
        <f ca="1">IF(E92='Invoer gegevens (N)'!$C$17+'Invoer gegevens (N)'!$I$14,W91,IF(C92&gt;=1,R92*VLOOKUP(E92,'Reeksen (N)'!$A$5:$B$76,2),0))</f>
        <v>0</v>
      </c>
      <c r="T92" s="84">
        <f ca="1">IF(E92='Invoer gegevens (N)'!$C$17+'Invoer gegevens (N)'!$I$14,W91,(1-('Invoer gegevens (N)'!$F$20/12))*R92*MIN('Reeksen (N)'!B24,'Reeksen (N)'!D24))</f>
        <v>0</v>
      </c>
      <c r="U92" s="84">
        <f>IF('Reeksen (N)'!D24&gt;='Reeksen (N)'!B24,0,IF('Reeksen (N)'!AK24&lt;='Reeksen (N)'!AE24,('Reeksen (N)'!B24-'Reeksen (N)'!D24)*R92,0))</f>
        <v>0</v>
      </c>
      <c r="V92" s="86">
        <f>IF('Reeksen (N)'!D24&gt;='Reeksen (N)'!B24,0,IF('Reeksen (N)'!AK24&gt;'Reeksen (N)'!AE24,('Reeksen (N)'!B24-'Reeksen (N)'!D24)*R92,0))</f>
        <v>0</v>
      </c>
      <c r="W92" s="97">
        <f ca="1">IF(E92&gt;='Invoer gegevens (N)'!$C$17+'Invoer gegevens (N)'!$I$14,0,R92-S92)</f>
        <v>0</v>
      </c>
      <c r="X92" s="98">
        <f ca="1">IF('Invoer gegevens (N)'!$C$17=E92,'Invoer gegevens (N)'!$C$10-'Invoer gegevens (N)'!$C$11,IF(C92=1,AC91,0))</f>
        <v>0</v>
      </c>
      <c r="Y92" s="98">
        <f ca="1">IF(E92='Invoer gegevens (N)'!$C$17+'Invoer gegevens (N)'!$I$14,AC91,IF(C92&gt;=1,X92*VLOOKUP(E92,'Reeksen (N)'!$A$5:$B$76,2),0))</f>
        <v>0</v>
      </c>
      <c r="Z92" s="98">
        <f ca="1">IF(E92='Invoer gegevens (N)'!$C$17+'Invoer gegevens (N)'!$I$14,AC91,(1-('Invoer gegevens (N)'!$F$20/12))*X92*MIN('Reeksen (N)'!B24,'Reeksen (N)'!D24))</f>
        <v>0</v>
      </c>
      <c r="AA92" s="98">
        <f>IF('Reeksen (N)'!D24&gt;='Reeksen (N)'!B24,0,IF('Reeksen (N)'!AK24&lt;='Reeksen (N)'!AE24,('Reeksen (N)'!B24-'Reeksen (N)'!D24)*X92,0))</f>
        <v>0</v>
      </c>
      <c r="AB92" s="98">
        <f>IF('Reeksen (N)'!D24&gt;='Reeksen (N)'!B24,0,IF('Reeksen (N)'!AK24&gt;'Reeksen (N)'!AE24,('Reeksen (N)'!B24-'Reeksen (N)'!D24)*X92,0))</f>
        <v>0</v>
      </c>
      <c r="AC92" s="99">
        <f ca="1">IF(E92&gt;='Invoer gegevens (N)'!$C$17+'Invoer gegevens (N)'!$I$14,0,X92-Y92)</f>
        <v>0</v>
      </c>
      <c r="AD92" s="98">
        <f ca="1">IF('Invoer gegevens (N)'!$C$17=E24,R92,IF(C24=0,0,AE91))</f>
        <v>0</v>
      </c>
      <c r="AE92" s="98">
        <f t="shared" ca="1" si="9"/>
        <v>0</v>
      </c>
      <c r="AF92" s="98">
        <f ca="1">IF('Invoer gegevens (N)'!$C$17=E24,X92,IF(C24=0,0,AG91))</f>
        <v>0</v>
      </c>
      <c r="AG92" s="98">
        <f t="shared" ca="1" si="10"/>
        <v>0</v>
      </c>
      <c r="AH92" s="70"/>
      <c r="AI92" s="71">
        <f ca="1">IF(C92=1,(('Reeksen (N)'!BF24*(F92-G92+F92)/2)+((L92-M92+L92)/2*'Reeksen (N)'!BG24))*12,0)</f>
        <v>0</v>
      </c>
      <c r="AJ92" s="71">
        <f ca="1">-AI92*'Invoer gegevens (N)'!$I$26</f>
        <v>0</v>
      </c>
      <c r="AK92" s="71">
        <f t="shared" ca="1" si="11"/>
        <v>0</v>
      </c>
      <c r="AL92" s="71">
        <f ca="1">IF(C92=1,'Reeksen (N)'!AL24*((F92-G92+F92)/2)*12+'Reeksen (N)'!AM24*((L92-M92+L92)/2)*12,0)</f>
        <v>0</v>
      </c>
      <c r="AM92" s="71">
        <f ca="1">-AL92*'Invoer gegevens (N)'!$F$31</f>
        <v>0</v>
      </c>
      <c r="AN92" s="71">
        <f t="shared" ca="1" si="12"/>
        <v>0</v>
      </c>
      <c r="AO92" s="71">
        <f ca="1">IF(E92&gt;='Invoer gegevens (N)'!$C$17+'Invoer gegevens (N)'!$I$14,0,IF(C92=1,(H92+J92+N92+P92)*'Reeksen (N)'!AN24,0))</f>
        <v>0</v>
      </c>
      <c r="AP92" s="71">
        <f ca="1">-IF(C92=1,(H92+J92+N92+P92)*'Reeksen (N)'!AN23*'Hulp - basis'!$J$550,0)</f>
        <v>0</v>
      </c>
      <c r="AQ92" s="71">
        <f ca="1">-IF(C92=1,(F92+K92+L92+Q92)/2*'Invoer gegevens (N)'!$I$33*'Reeksen (N)'!J24,0)</f>
        <v>0</v>
      </c>
      <c r="AR92" s="71">
        <f ca="1">-IF(C92=1,(I92*'Invoer gegevens (N)'!$I$34)*'Reeksen (N)'!J24,0)</f>
        <v>0</v>
      </c>
      <c r="AS92" s="71">
        <f ca="1">-IF(C92=1,(F92+K92+L92+Q92)/2*'Invoer gegevens (N)'!$I$35*'Reeksen (N)'!L24,0)</f>
        <v>0</v>
      </c>
      <c r="AT92" s="71">
        <f ca="1">-IF(C92=1,IF(E92='Invoer gegevens (N)'!$C$17,'Invoer gegevens (N)'!$C$11,AD92)*'Reeksen (N)'!S24*'Invoer gegevens (N)'!$C$18*'Reeksen (N)'!P24,0)</f>
        <v>0</v>
      </c>
      <c r="AU92" s="71">
        <f ca="1">-IF(C92=1,(F92+K92+L92+Q92)/2*'Invoer gegevens (N)'!$I$36*'Reeksen (N)'!H24,0)</f>
        <v>0</v>
      </c>
      <c r="AV92" s="71">
        <f t="shared" ca="1" si="13"/>
        <v>0</v>
      </c>
      <c r="AW92" s="72">
        <f ca="1">IFERROR(IF(E92='Invoer gegevens (N)'!$C$17+'Invoer gegevens (N)'!$I$14-1,'Invoer gegevens (N)'!$I$13*K92*'Reeksen (N)'!H24,0),0)</f>
        <v>0</v>
      </c>
      <c r="AX92" s="72">
        <f ca="1">IFERROR(IF(E92='Invoer gegevens (N)'!$C$17,-'Invoer gegevens (N)'!$C$10*('Invoer gegevens (N)'!$C$30+'Invoer gegevens (N)'!$C$31)*'Reeksen (N)'!H24,0),0)</f>
        <v>0</v>
      </c>
      <c r="AY92" s="73">
        <f ca="1">IF('Invoer gegevens (N)'!$C$34=E92,'Invoer gegevens (N)'!$C$27*'Invoer gegevens (N)'!$C$10*'Invoer gegevens (N)'!$C$36*(IF('Invoer gegevens (N)'!$C$35="ja",1,'Reeksen (N)'!J24)),IF('Invoer gegevens (N)'!$C$34+1=E92,'Invoer gegevens (N)'!$C$27*'Invoer gegevens (N)'!$C$10*'Invoer gegevens (N)'!$C$37*(IF('Invoer gegevens (N)'!$C$35="ja",1,'Reeksen (N)'!J24)),0))+IF(AND(E92='Invoer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2" s="73">
        <f ca="1">AV92/(1+'Invoer gegevens (N)'!$I$12)^($D92-('Invoer gegevens (N)'!$C$17-'Invoer gegevens (N)'!$C$16))/(1+'Invoer gegevens (N)'!$C$39)^('Invoer gegevens (N)'!$C$17-'Invoer gegevens (N)'!$C$16)</f>
        <v>0</v>
      </c>
      <c r="BA92" s="73">
        <f ca="1">AW92/(1+'Invoer gegevens (N)'!$I$12)^(E92-('Invoer gegevens (N)'!$C$17-1))/(1+'Invoer gegevens (N)'!$C$39)^('Invoer gegevens (N)'!$C$17-'Invoer gegevens (N)'!$C$16)</f>
        <v>0</v>
      </c>
      <c r="BB92" s="73">
        <f ca="1">AX92/(1+'Invoer gegevens (N)'!$C$39)^('Invoer gegevens (N)'!$C$17-'Invoer gegevens (N)'!$C$16)</f>
        <v>0</v>
      </c>
      <c r="BC92" s="72">
        <f t="shared" ca="1" si="14"/>
        <v>0</v>
      </c>
      <c r="BD92" s="72">
        <f ca="1">IF(AND(E92='Invoer gegevens (N)'!$C$16,'Invoer gegevens (N)'!$C$34&lt;'Invoer gegevens (N)'!$C$16),AY92,AY92/(1+'Invoer gegevens (N)'!$C$39)^D92)</f>
        <v>0</v>
      </c>
      <c r="BE92" s="72">
        <f ca="1">IF(E92='Invoer gegevens (N)'!$C$34,-'Invoer gegevens (N)'!$I$38,0)</f>
        <v>0</v>
      </c>
      <c r="BF92" s="72">
        <f ca="1">IF(E92='Invoer gegevens (N)'!$C$17,-'Invoer gegevens (N)'!$C$19*$BC$134,0)</f>
        <v>0</v>
      </c>
      <c r="BG92" s="72">
        <f ca="1">AV92/(1+$BG$72)^($D92-('Invoer gegevens (N)'!$C$17-'Invoer gegevens (N)'!$C$16))/(1+'Invoer gegevens (N)'!$C$39)^('Invoer gegevens (N)'!$C$17-'Invoer gegevens (N)'!$C$16)+AW92/(1+$BG$72)^(E92-('Invoer gegevens (N)'!$C$17-1))/(1+'Invoer gegevens (N)'!$C$39)^('Invoer gegevens (N)'!$C$17-'Invoer gegevens (N)'!$C$16)+AX92/(1+'Invoer gegevens (N)'!$C$39)^('Invoer gegevens (N)'!$C$17-'Invoer gegevens (N)'!$C$16)+(-AY92/(1+'Invoer gegevens (N)'!$C$39)^D92)+BE92+BF92</f>
        <v>0</v>
      </c>
    </row>
    <row r="93" spans="1:59" x14ac:dyDescent="0.25">
      <c r="A93" s="59"/>
      <c r="B93" s="70">
        <f t="shared" si="15"/>
        <v>21</v>
      </c>
      <c r="C93" s="67">
        <f ca="1">IF(AND(E93&gt;='Invoer gegevens (N)'!$C$17,E93&lt;'Invoer gegevens (N)'!$C$17+'Invoer gegevens (N)'!$I$14),1,0)</f>
        <v>1</v>
      </c>
      <c r="D93" s="68">
        <f t="shared" si="16"/>
        <v>20.5</v>
      </c>
      <c r="E93" s="108">
        <f ca="1">IF('Invoer gegevens (N)'!$C$16="","",E92+1)</f>
        <v>2039</v>
      </c>
      <c r="F93" s="84">
        <f ca="1">IF('Invoer gegevens (N)'!$C$17=E93,'Invoer gegevens (N)'!$C$10,IF(C93=1,K92,0))</f>
        <v>0</v>
      </c>
      <c r="G93" s="96">
        <f ca="1">IF(E93='Invoer gegevens (N)'!$C$17+'Invoer gegevens (N)'!$I$14,K92,IF(C93&gt;=1,F93*VLOOKUP(E93,'Reeksen (N)'!$A$5:$B$76,2),0))</f>
        <v>0</v>
      </c>
      <c r="H93" s="84">
        <f ca="1">IF(E93='Invoer gegevens (N)'!$C$17+'Invoer gegevens (N)'!$I$14,K92,(1-('Invoer gegevens (N)'!$F$20/12))*F93*MIN('Reeksen (N)'!B25,'Reeksen (N)'!D25))</f>
        <v>0</v>
      </c>
      <c r="I93" s="84">
        <f>IF('Reeksen (N)'!D25&lt;'Reeksen (N)'!B25,('Reeksen (N)'!B25-'Reeksen (N)'!D25)*F93,0)</f>
        <v>0</v>
      </c>
      <c r="J93" s="84">
        <f ca="1">IF(E93='Invoer gegevens (N)'!$C$17+'Invoer gegevens (N)'!$I$14+1,0,('Invoer gegevens (N)'!$F$20/12)*F92*MIN('Reeksen (N)'!B24,'Reeksen (N)'!D24))</f>
        <v>0</v>
      </c>
      <c r="K93" s="97">
        <f ca="1">IF(E93&gt;='Invoer gegevens (N)'!$C$17+'Invoer gegevens (N)'!$I$14,0,F93-G93)</f>
        <v>0</v>
      </c>
      <c r="L93" s="84">
        <f ca="1">IF('Invoer gegevens (N)'!$C$17=E93,0,IF(C93=1,Q92,0))</f>
        <v>0</v>
      </c>
      <c r="M93" s="96">
        <f ca="1">IF(E93='Invoer gegevens (N)'!$C$17+'Invoer gegevens (N)'!$I$14,Q92,IF(C93&gt;=1,L93*VLOOKUP(E93,'Reeksen (N)'!$A$5:$B$76,2),0))</f>
        <v>0</v>
      </c>
      <c r="N93" s="84">
        <f ca="1">IF(C93='Invoer gegevens (N)'!$C$17+'Invoer gegevens (N)'!$I$14,Q92,(1-('Invoer gegevens (N)'!$F$20/12))*L93*MIN('Reeksen (N)'!B25,'Reeksen (N)'!D25))</f>
        <v>0</v>
      </c>
      <c r="O93" s="84">
        <f>IF('Reeksen (N)'!D25&lt;'Reeksen (N)'!B25,('Reeksen (N)'!B25-'Reeksen (N)'!D25)*L93,0)</f>
        <v>0</v>
      </c>
      <c r="P93" s="84">
        <f ca="1">IF(E93='Invoer gegevens (N)'!$C$17+'Invoer gegevens (N)'!$I$14+1,0,('Invoer gegevens (N)'!$F$20/12)*L92*MIN('Reeksen (N)'!B24,'Reeksen (N)'!D24))</f>
        <v>0</v>
      </c>
      <c r="Q93" s="84">
        <f ca="1">IF(E93&gt;='Invoer gegevens (N)'!$C$17+'Invoer gegevens (N)'!$I$14,0,L93-M93+I93+O93)</f>
        <v>0</v>
      </c>
      <c r="R93" s="82">
        <f ca="1">IF('Invoer gegevens (N)'!$C$17=E93,'Invoer gegevens (N)'!$C$11,IF(C93=1,W92,0))</f>
        <v>0</v>
      </c>
      <c r="S93" s="86">
        <f ca="1">IF(E93='Invoer gegevens (N)'!$C$17+'Invoer gegevens (N)'!$I$14,W92,IF(C93&gt;=1,R93*VLOOKUP(E93,'Reeksen (N)'!$A$5:$B$76,2),0))</f>
        <v>0</v>
      </c>
      <c r="T93" s="84">
        <f ca="1">IF(E93='Invoer gegevens (N)'!$C$17+'Invoer gegevens (N)'!$I$14,W92,(1-('Invoer gegevens (N)'!$F$20/12))*R93*MIN('Reeksen (N)'!B25,'Reeksen (N)'!D25))</f>
        <v>0</v>
      </c>
      <c r="U93" s="84">
        <f>IF('Reeksen (N)'!D25&gt;='Reeksen (N)'!B25,0,IF('Reeksen (N)'!AK25&lt;='Reeksen (N)'!AE25,('Reeksen (N)'!B25-'Reeksen (N)'!D25)*R93,0))</f>
        <v>0</v>
      </c>
      <c r="V93" s="86">
        <f>IF('Reeksen (N)'!D25&gt;='Reeksen (N)'!B25,0,IF('Reeksen (N)'!AK25&gt;'Reeksen (N)'!AE25,('Reeksen (N)'!B25-'Reeksen (N)'!D25)*R93,0))</f>
        <v>0</v>
      </c>
      <c r="W93" s="97">
        <f ca="1">IF(E93&gt;='Invoer gegevens (N)'!$C$17+'Invoer gegevens (N)'!$I$14,0,R93-S93)</f>
        <v>0</v>
      </c>
      <c r="X93" s="98">
        <f ca="1">IF('Invoer gegevens (N)'!$C$17=E93,'Invoer gegevens (N)'!$C$10-'Invoer gegevens (N)'!$C$11,IF(C93=1,AC92,0))</f>
        <v>0</v>
      </c>
      <c r="Y93" s="98">
        <f ca="1">IF(E93='Invoer gegevens (N)'!$C$17+'Invoer gegevens (N)'!$I$14,AC92,IF(C93&gt;=1,X93*VLOOKUP(E93,'Reeksen (N)'!$A$5:$B$76,2),0))</f>
        <v>0</v>
      </c>
      <c r="Z93" s="98">
        <f ca="1">IF(E93='Invoer gegevens (N)'!$C$17+'Invoer gegevens (N)'!$I$14,AC92,(1-('Invoer gegevens (N)'!$F$20/12))*X93*MIN('Reeksen (N)'!B25,'Reeksen (N)'!D25))</f>
        <v>0</v>
      </c>
      <c r="AA93" s="98">
        <f>IF('Reeksen (N)'!D25&gt;='Reeksen (N)'!B25,0,IF('Reeksen (N)'!AK25&lt;='Reeksen (N)'!AE25,('Reeksen (N)'!B25-'Reeksen (N)'!D25)*X93,0))</f>
        <v>0</v>
      </c>
      <c r="AB93" s="98">
        <f>IF('Reeksen (N)'!D25&gt;='Reeksen (N)'!B25,0,IF('Reeksen (N)'!AK25&gt;'Reeksen (N)'!AE25,('Reeksen (N)'!B25-'Reeksen (N)'!D25)*X93,0))</f>
        <v>0</v>
      </c>
      <c r="AC93" s="99">
        <f ca="1">IF(E93&gt;='Invoer gegevens (N)'!$C$17+'Invoer gegevens (N)'!$I$14,0,X93-Y93)</f>
        <v>0</v>
      </c>
      <c r="AD93" s="98">
        <f ca="1">IF('Invoer gegevens (N)'!$C$17=E25,R93,IF(C25=0,0,AE92))</f>
        <v>0</v>
      </c>
      <c r="AE93" s="98">
        <f t="shared" ca="1" si="9"/>
        <v>0</v>
      </c>
      <c r="AF93" s="98">
        <f ca="1">IF('Invoer gegevens (N)'!$C$17=E25,X93,IF(C25=0,0,AG92))</f>
        <v>0</v>
      </c>
      <c r="AG93" s="98">
        <f t="shared" ca="1" si="10"/>
        <v>0</v>
      </c>
      <c r="AH93" s="70"/>
      <c r="AI93" s="71">
        <f ca="1">IF(C93=1,(('Reeksen (N)'!BF25*(F93-G93+F93)/2)+((L93-M93+L93)/2*'Reeksen (N)'!BG25))*12,0)</f>
        <v>0</v>
      </c>
      <c r="AJ93" s="71">
        <f ca="1">-AI93*'Invoer gegevens (N)'!$I$26</f>
        <v>0</v>
      </c>
      <c r="AK93" s="71">
        <f t="shared" ca="1" si="11"/>
        <v>0</v>
      </c>
      <c r="AL93" s="71">
        <f ca="1">IF(C93=1,'Reeksen (N)'!AL25*((F93-G93+F93)/2)*12+'Reeksen (N)'!AM25*((L93-M93+L93)/2)*12,0)</f>
        <v>0</v>
      </c>
      <c r="AM93" s="71">
        <f ca="1">-AL93*'Invoer gegevens (N)'!$F$31</f>
        <v>0</v>
      </c>
      <c r="AN93" s="71">
        <f t="shared" ca="1" si="12"/>
        <v>0</v>
      </c>
      <c r="AO93" s="71">
        <f ca="1">IF(E93&gt;='Invoer gegevens (N)'!$C$17+'Invoer gegevens (N)'!$I$14,0,IF(C93=1,(H93+J93+N93+P93)*'Reeksen (N)'!AN25,0))</f>
        <v>0</v>
      </c>
      <c r="AP93" s="71">
        <f ca="1">-IF(C93=1,(H93+J93+N93+P93)*'Reeksen (N)'!AN24*'Hulp - basis'!$J$550,0)</f>
        <v>0</v>
      </c>
      <c r="AQ93" s="71">
        <f ca="1">-IF(C93=1,(F93+K93+L93+Q93)/2*'Invoer gegevens (N)'!$I$33*'Reeksen (N)'!J25,0)</f>
        <v>0</v>
      </c>
      <c r="AR93" s="71">
        <f ca="1">-IF(C93=1,(I93*'Invoer gegevens (N)'!$I$34)*'Reeksen (N)'!J25,0)</f>
        <v>0</v>
      </c>
      <c r="AS93" s="71">
        <f ca="1">-IF(C93=1,(F93+K93+L93+Q93)/2*'Invoer gegevens (N)'!$I$35*'Reeksen (N)'!L25,0)</f>
        <v>0</v>
      </c>
      <c r="AT93" s="71">
        <f ca="1">-IF(C93=1,IF(E93='Invoer gegevens (N)'!$C$17,'Invoer gegevens (N)'!$C$11,AD93)*'Reeksen (N)'!S25*'Invoer gegevens (N)'!$C$18*'Reeksen (N)'!P25,0)</f>
        <v>0</v>
      </c>
      <c r="AU93" s="71">
        <f ca="1">-IF(C93=1,(F93+K93+L93+Q93)/2*'Invoer gegevens (N)'!$I$36*'Reeksen (N)'!H25,0)</f>
        <v>0</v>
      </c>
      <c r="AV93" s="71">
        <f t="shared" ca="1" si="13"/>
        <v>0</v>
      </c>
      <c r="AW93" s="72">
        <f ca="1">IFERROR(IF(E93='Invoer gegevens (N)'!$C$17+'Invoer gegevens (N)'!$I$14-1,'Invoer gegevens (N)'!$I$13*K93*'Reeksen (N)'!H25,0),0)</f>
        <v>0</v>
      </c>
      <c r="AX93" s="72">
        <f ca="1">IFERROR(IF(E93='Invoer gegevens (N)'!$C$17,-'Invoer gegevens (N)'!$C$10*('Invoer gegevens (N)'!$C$30+'Invoer gegevens (N)'!$C$31)*'Reeksen (N)'!H25,0),0)</f>
        <v>0</v>
      </c>
      <c r="AY93" s="73">
        <f ca="1">IF('Invoer gegevens (N)'!$C$34=E93,'Invoer gegevens (N)'!$C$27*'Invoer gegevens (N)'!$C$10*'Invoer gegevens (N)'!$C$36*(IF('Invoer gegevens (N)'!$C$35="ja",1,'Reeksen (N)'!J25)),IF('Invoer gegevens (N)'!$C$34+1=E93,'Invoer gegevens (N)'!$C$27*'Invoer gegevens (N)'!$C$10*'Invoer gegevens (N)'!$C$37*(IF('Invoer gegevens (N)'!$C$35="ja",1,'Reeksen (N)'!J25)),0))+IF(AND(E93='Invoer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3" s="73">
        <f ca="1">AV93/(1+'Invoer gegevens (N)'!$I$12)^($D93-('Invoer gegevens (N)'!$C$17-'Invoer gegevens (N)'!$C$16))/(1+'Invoer gegevens (N)'!$C$39)^('Invoer gegevens (N)'!$C$17-'Invoer gegevens (N)'!$C$16)</f>
        <v>0</v>
      </c>
      <c r="BA93" s="73">
        <f ca="1">AW93/(1+'Invoer gegevens (N)'!$I$12)^(E93-('Invoer gegevens (N)'!$C$17-1))/(1+'Invoer gegevens (N)'!$C$39)^('Invoer gegevens (N)'!$C$17-'Invoer gegevens (N)'!$C$16)</f>
        <v>0</v>
      </c>
      <c r="BB93" s="73">
        <f ca="1">AX93/(1+'Invoer gegevens (N)'!$C$39)^('Invoer gegevens (N)'!$C$17-'Invoer gegevens (N)'!$C$16)</f>
        <v>0</v>
      </c>
      <c r="BC93" s="72">
        <f t="shared" ca="1" si="14"/>
        <v>0</v>
      </c>
      <c r="BD93" s="72">
        <f ca="1">IF(AND(E93='Invoer gegevens (N)'!$C$16,'Invoer gegevens (N)'!$C$34&lt;'Invoer gegevens (N)'!$C$16),AY93,AY93/(1+'Invoer gegevens (N)'!$C$39)^D93)</f>
        <v>0</v>
      </c>
      <c r="BE93" s="72">
        <f ca="1">IF(E93='Invoer gegevens (N)'!$C$34,-'Invoer gegevens (N)'!$I$38,0)</f>
        <v>0</v>
      </c>
      <c r="BF93" s="72">
        <f ca="1">IF(E93='Invoer gegevens (N)'!$C$17,-'Invoer gegevens (N)'!$C$19*$BC$134,0)</f>
        <v>0</v>
      </c>
      <c r="BG93" s="72">
        <f ca="1">AV93/(1+$BG$72)^($D93-('Invoer gegevens (N)'!$C$17-'Invoer gegevens (N)'!$C$16))/(1+'Invoer gegevens (N)'!$C$39)^('Invoer gegevens (N)'!$C$17-'Invoer gegevens (N)'!$C$16)+AW93/(1+$BG$72)^(E93-('Invoer gegevens (N)'!$C$17-1))/(1+'Invoer gegevens (N)'!$C$39)^('Invoer gegevens (N)'!$C$17-'Invoer gegevens (N)'!$C$16)+AX93/(1+'Invoer gegevens (N)'!$C$39)^('Invoer gegevens (N)'!$C$17-'Invoer gegevens (N)'!$C$16)+(-AY93/(1+'Invoer gegevens (N)'!$C$39)^D93)+BE93+BF93</f>
        <v>0</v>
      </c>
    </row>
    <row r="94" spans="1:59" x14ac:dyDescent="0.25">
      <c r="A94" s="59"/>
      <c r="B94" s="70">
        <f>B93+1</f>
        <v>22</v>
      </c>
      <c r="C94" s="67">
        <f ca="1">IF(AND(E94&gt;='Invoer gegevens (N)'!$C$17,E94&lt;'Invoer gegevens (N)'!$C$17+'Invoer gegevens (N)'!$I$14),1,0)</f>
        <v>1</v>
      </c>
      <c r="D94" s="68">
        <f t="shared" si="16"/>
        <v>21.5</v>
      </c>
      <c r="E94" s="108">
        <f ca="1">IF('Invoer gegevens (N)'!$C$16="","",E93+1)</f>
        <v>2040</v>
      </c>
      <c r="F94" s="84">
        <f ca="1">IF('Invoer gegevens (N)'!$C$17=E94,'Invoer gegevens (N)'!$C$10,IF(C94=1,K93,0))</f>
        <v>0</v>
      </c>
      <c r="G94" s="96">
        <f ca="1">IF(E94='Invoer gegevens (N)'!$C$17+'Invoer gegevens (N)'!$I$14,K93,IF(C94&gt;=1,F94*VLOOKUP(E94,'Reeksen (N)'!$A$5:$B$76,2),0))</f>
        <v>0</v>
      </c>
      <c r="H94" s="84">
        <f ca="1">IF(E94='Invoer gegevens (N)'!$C$17+'Invoer gegevens (N)'!$I$14,K93,(1-('Invoer gegevens (N)'!$F$20/12))*F94*MIN('Reeksen (N)'!B26,'Reeksen (N)'!D26))</f>
        <v>0</v>
      </c>
      <c r="I94" s="84">
        <f>IF('Reeksen (N)'!D26&lt;'Reeksen (N)'!B26,('Reeksen (N)'!B26-'Reeksen (N)'!D26)*F94,0)</f>
        <v>0</v>
      </c>
      <c r="J94" s="84">
        <f ca="1">IF(E94='Invoer gegevens (N)'!$C$17+'Invoer gegevens (N)'!$I$14+1,0,('Invoer gegevens (N)'!$F$20/12)*F93*MIN('Reeksen (N)'!B25,'Reeksen (N)'!D25))</f>
        <v>0</v>
      </c>
      <c r="K94" s="97">
        <f ca="1">IF(E94&gt;='Invoer gegevens (N)'!$C$17+'Invoer gegevens (N)'!$I$14,0,F94-G94)</f>
        <v>0</v>
      </c>
      <c r="L94" s="84">
        <f ca="1">IF('Invoer gegevens (N)'!$C$17=E94,0,IF(C94=1,Q93,0))</f>
        <v>0</v>
      </c>
      <c r="M94" s="96">
        <f ca="1">IF(E94='Invoer gegevens (N)'!$C$17+'Invoer gegevens (N)'!$I$14,Q93,IF(C94&gt;=1,L94*VLOOKUP(E94,'Reeksen (N)'!$A$5:$B$76,2),0))</f>
        <v>0</v>
      </c>
      <c r="N94" s="84">
        <f ca="1">IF(C94='Invoer gegevens (N)'!$C$17+'Invoer gegevens (N)'!$I$14,Q93,(1-('Invoer gegevens (N)'!$F$20/12))*L94*MIN('Reeksen (N)'!B26,'Reeksen (N)'!D26))</f>
        <v>0</v>
      </c>
      <c r="O94" s="84">
        <f>IF('Reeksen (N)'!D26&lt;'Reeksen (N)'!B26,('Reeksen (N)'!B26-'Reeksen (N)'!D26)*L94,0)</f>
        <v>0</v>
      </c>
      <c r="P94" s="84">
        <f ca="1">IF(E94='Invoer gegevens (N)'!$C$17+'Invoer gegevens (N)'!$I$14+1,0,('Invoer gegevens (N)'!$F$20/12)*L93*MIN('Reeksen (N)'!B25,'Reeksen (N)'!D25))</f>
        <v>0</v>
      </c>
      <c r="Q94" s="84">
        <f ca="1">IF(E94&gt;='Invoer gegevens (N)'!$C$17+'Invoer gegevens (N)'!$I$14,0,L94-M94+I94+O94)</f>
        <v>0</v>
      </c>
      <c r="R94" s="82">
        <f ca="1">IF('Invoer gegevens (N)'!$C$17=E94,'Invoer gegevens (N)'!$C$11,IF(C94=1,W93,0))</f>
        <v>0</v>
      </c>
      <c r="S94" s="86">
        <f ca="1">IF(E94='Invoer gegevens (N)'!$C$17+'Invoer gegevens (N)'!$I$14,W93,IF(C94&gt;=1,R94*VLOOKUP(E94,'Reeksen (N)'!$A$5:$B$76,2),0))</f>
        <v>0</v>
      </c>
      <c r="T94" s="84">
        <f ca="1">IF(E94='Invoer gegevens (N)'!$C$17+'Invoer gegevens (N)'!$I$14,W93,(1-('Invoer gegevens (N)'!$F$20/12))*R94*MIN('Reeksen (N)'!B26,'Reeksen (N)'!D26))</f>
        <v>0</v>
      </c>
      <c r="U94" s="84">
        <f>IF('Reeksen (N)'!D26&gt;='Reeksen (N)'!B26,0,IF('Reeksen (N)'!AK26&lt;='Reeksen (N)'!AE26,('Reeksen (N)'!B26-'Reeksen (N)'!D26)*R94,0))</f>
        <v>0</v>
      </c>
      <c r="V94" s="86">
        <f>IF('Reeksen (N)'!D26&gt;='Reeksen (N)'!B26,0,IF('Reeksen (N)'!AK26&gt;'Reeksen (N)'!AE26,('Reeksen (N)'!B26-'Reeksen (N)'!D26)*R94,0))</f>
        <v>0</v>
      </c>
      <c r="W94" s="97">
        <f ca="1">IF(E94&gt;='Invoer gegevens (N)'!$C$17+'Invoer gegevens (N)'!$I$14,0,R94-S94)</f>
        <v>0</v>
      </c>
      <c r="X94" s="98">
        <f ca="1">IF('Invoer gegevens (N)'!$C$17=E94,'Invoer gegevens (N)'!$C$10-'Invoer gegevens (N)'!$C$11,IF(C94=1,AC93,0))</f>
        <v>0</v>
      </c>
      <c r="Y94" s="98">
        <f ca="1">IF(E94='Invoer gegevens (N)'!$C$17+'Invoer gegevens (N)'!$I$14,AC93,IF(C94&gt;=1,X94*VLOOKUP(E94,'Reeksen (N)'!$A$5:$B$76,2),0))</f>
        <v>0</v>
      </c>
      <c r="Z94" s="98">
        <f ca="1">IF(E94='Invoer gegevens (N)'!$C$17+'Invoer gegevens (N)'!$I$14,AC93,(1-('Invoer gegevens (N)'!$F$20/12))*X94*MIN('Reeksen (N)'!B26,'Reeksen (N)'!D26))</f>
        <v>0</v>
      </c>
      <c r="AA94" s="98">
        <f>IF('Reeksen (N)'!D26&gt;='Reeksen (N)'!B26,0,IF('Reeksen (N)'!AK26&lt;='Reeksen (N)'!AE26,('Reeksen (N)'!B26-'Reeksen (N)'!D26)*X94,0))</f>
        <v>0</v>
      </c>
      <c r="AB94" s="98">
        <f>IF('Reeksen (N)'!D26&gt;='Reeksen (N)'!B26,0,IF('Reeksen (N)'!AK26&gt;'Reeksen (N)'!AE26,('Reeksen (N)'!B26-'Reeksen (N)'!D26)*X94,0))</f>
        <v>0</v>
      </c>
      <c r="AC94" s="99">
        <f ca="1">IF(E94&gt;='Invoer gegevens (N)'!$C$17+'Invoer gegevens (N)'!$I$14,0,X94-Y94)</f>
        <v>0</v>
      </c>
      <c r="AD94" s="98">
        <f ca="1">IF('Invoer gegevens (N)'!$C$17=E26,R94,IF(C26=0,0,AE93))</f>
        <v>0</v>
      </c>
      <c r="AE94" s="98">
        <f t="shared" ca="1" si="9"/>
        <v>0</v>
      </c>
      <c r="AF94" s="98">
        <f ca="1">IF('Invoer gegevens (N)'!$C$17=E26,X94,IF(C26=0,0,AG93))</f>
        <v>0</v>
      </c>
      <c r="AG94" s="98">
        <f t="shared" ca="1" si="10"/>
        <v>0</v>
      </c>
      <c r="AH94" s="70"/>
      <c r="AI94" s="71">
        <f ca="1">IF(C94=1,(('Reeksen (N)'!BF26*(F94-G94+F94)/2)+((L94-M94+L94)/2*'Reeksen (N)'!BG26))*12,0)</f>
        <v>0</v>
      </c>
      <c r="AJ94" s="71">
        <f ca="1">-AI94*'Invoer gegevens (N)'!$I$26</f>
        <v>0</v>
      </c>
      <c r="AK94" s="71">
        <f t="shared" ca="1" si="11"/>
        <v>0</v>
      </c>
      <c r="AL94" s="71">
        <f ca="1">IF(C94=1,'Reeksen (N)'!AL26*((F94-G94+F94)/2)*12+'Reeksen (N)'!AM26*((L94-M94+L94)/2)*12,0)</f>
        <v>0</v>
      </c>
      <c r="AM94" s="71">
        <f ca="1">-AL94*'Invoer gegevens (N)'!$F$31</f>
        <v>0</v>
      </c>
      <c r="AN94" s="71">
        <f t="shared" ca="1" si="12"/>
        <v>0</v>
      </c>
      <c r="AO94" s="71">
        <f ca="1">IF(E94&gt;='Invoer gegevens (N)'!$C$17+'Invoer gegevens (N)'!$I$14,0,IF(C94=1,(H94+J94+N94+P94)*'Reeksen (N)'!AN26,0))</f>
        <v>0</v>
      </c>
      <c r="AP94" s="71">
        <f ca="1">-IF(C94=1,(H94+J94+N94+P94)*'Reeksen (N)'!AN25*'Hulp - basis'!$J$550,0)</f>
        <v>0</v>
      </c>
      <c r="AQ94" s="71">
        <f ca="1">-IF(C94=1,(F94+K94+L94+Q94)/2*'Invoer gegevens (N)'!$I$33*'Reeksen (N)'!J26,0)</f>
        <v>0</v>
      </c>
      <c r="AR94" s="71">
        <f ca="1">-IF(C94=1,(I94*'Invoer gegevens (N)'!$I$34)*'Reeksen (N)'!J26,0)</f>
        <v>0</v>
      </c>
      <c r="AS94" s="71">
        <f ca="1">-IF(C94=1,(F94+K94+L94+Q94)/2*'Invoer gegevens (N)'!$I$35*'Reeksen (N)'!L26,0)</f>
        <v>0</v>
      </c>
      <c r="AT94" s="71">
        <f ca="1">-IF(C94=1,IF(E94='Invoer gegevens (N)'!$C$17,'Invoer gegevens (N)'!$C$11,AD94)*'Reeksen (N)'!S26*'Invoer gegevens (N)'!$C$18*'Reeksen (N)'!P26,0)</f>
        <v>0</v>
      </c>
      <c r="AU94" s="71">
        <f ca="1">-IF(C94=1,(F94+K94+L94+Q94)/2*'Invoer gegevens (N)'!$I$36*'Reeksen (N)'!H26,0)</f>
        <v>0</v>
      </c>
      <c r="AV94" s="71">
        <f t="shared" ca="1" si="13"/>
        <v>0</v>
      </c>
      <c r="AW94" s="72">
        <f ca="1">IFERROR(IF(E94='Invoer gegevens (N)'!$C$17+'Invoer gegevens (N)'!$I$14-1,'Invoer gegevens (N)'!$I$13*K94*'Reeksen (N)'!H26,0),0)</f>
        <v>0</v>
      </c>
      <c r="AX94" s="72">
        <f ca="1">IFERROR(IF(E94='Invoer gegevens (N)'!$C$17,-'Invoer gegevens (N)'!$C$10*('Invoer gegevens (N)'!$C$30+'Invoer gegevens (N)'!$C$31)*'Reeksen (N)'!H26,0),0)</f>
        <v>0</v>
      </c>
      <c r="AY94" s="73">
        <f ca="1">IF('Invoer gegevens (N)'!$C$34=E94,'Invoer gegevens (N)'!$C$27*'Invoer gegevens (N)'!$C$10*'Invoer gegevens (N)'!$C$36*(IF('Invoer gegevens (N)'!$C$35="ja",1,'Reeksen (N)'!J26)),IF('Invoer gegevens (N)'!$C$34+1=E94,'Invoer gegevens (N)'!$C$27*'Invoer gegevens (N)'!$C$10*'Invoer gegevens (N)'!$C$37*(IF('Invoer gegevens (N)'!$C$35="ja",1,'Reeksen (N)'!J26)),0))+IF(AND(E94='Invoer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4" s="73">
        <f ca="1">AV94/(1+'Invoer gegevens (N)'!$I$12)^($D94-('Invoer gegevens (N)'!$C$17-'Invoer gegevens (N)'!$C$16))/(1+'Invoer gegevens (N)'!$C$39)^('Invoer gegevens (N)'!$C$17-'Invoer gegevens (N)'!$C$16)</f>
        <v>0</v>
      </c>
      <c r="BA94" s="73">
        <f ca="1">AW94/(1+'Invoer gegevens (N)'!$I$12)^(E94-('Invoer gegevens (N)'!$C$17-1))/(1+'Invoer gegevens (N)'!$C$39)^('Invoer gegevens (N)'!$C$17-'Invoer gegevens (N)'!$C$16)</f>
        <v>0</v>
      </c>
      <c r="BB94" s="73">
        <f ca="1">AX94/(1+'Invoer gegevens (N)'!$C$39)^('Invoer gegevens (N)'!$C$17-'Invoer gegevens (N)'!$C$16)</f>
        <v>0</v>
      </c>
      <c r="BC94" s="72">
        <f t="shared" ca="1" si="14"/>
        <v>0</v>
      </c>
      <c r="BD94" s="72">
        <f ca="1">IF(AND(E94='Invoer gegevens (N)'!$C$16,'Invoer gegevens (N)'!$C$34&lt;'Invoer gegevens (N)'!$C$16),AY94,AY94/(1+'Invoer gegevens (N)'!$C$39)^D94)</f>
        <v>0</v>
      </c>
      <c r="BE94" s="72">
        <f ca="1">IF(E94='Invoer gegevens (N)'!$C$34,-'Invoer gegevens (N)'!$I$38,0)</f>
        <v>0</v>
      </c>
      <c r="BF94" s="72">
        <f ca="1">IF(E94='Invoer gegevens (N)'!$C$17,-'Invoer gegevens (N)'!$C$19*$BC$134,0)</f>
        <v>0</v>
      </c>
      <c r="BG94" s="72">
        <f ca="1">AV94/(1+$BG$72)^($D94-('Invoer gegevens (N)'!$C$17-'Invoer gegevens (N)'!$C$16))/(1+'Invoer gegevens (N)'!$C$39)^('Invoer gegevens (N)'!$C$17-'Invoer gegevens (N)'!$C$16)+AW94/(1+$BG$72)^(E94-('Invoer gegevens (N)'!$C$17-1))/(1+'Invoer gegevens (N)'!$C$39)^('Invoer gegevens (N)'!$C$17-'Invoer gegevens (N)'!$C$16)+AX94/(1+'Invoer gegevens (N)'!$C$39)^('Invoer gegevens (N)'!$C$17-'Invoer gegevens (N)'!$C$16)+(-AY94/(1+'Invoer gegevens (N)'!$C$39)^D94)+BE94+BF94</f>
        <v>0</v>
      </c>
    </row>
    <row r="95" spans="1:59" x14ac:dyDescent="0.25">
      <c r="A95" s="59"/>
      <c r="B95" s="70">
        <f t="shared" si="15"/>
        <v>23</v>
      </c>
      <c r="C95" s="67">
        <f ca="1">IF(AND(E95&gt;='Invoer gegevens (N)'!$C$17,E95&lt;'Invoer gegevens (N)'!$C$17+'Invoer gegevens (N)'!$I$14),1,0)</f>
        <v>1</v>
      </c>
      <c r="D95" s="68">
        <f t="shared" si="16"/>
        <v>22.5</v>
      </c>
      <c r="E95" s="108">
        <f ca="1">IF('Invoer gegevens (N)'!$C$16="","",E94+1)</f>
        <v>2041</v>
      </c>
      <c r="F95" s="84">
        <f ca="1">IF('Invoer gegevens (N)'!$C$17=E95,'Invoer gegevens (N)'!$C$10,IF(C95=1,K94,0))</f>
        <v>0</v>
      </c>
      <c r="G95" s="96">
        <f ca="1">IF(E95='Invoer gegevens (N)'!$C$17+'Invoer gegevens (N)'!$I$14,K94,IF(C95&gt;=1,F95*VLOOKUP(E95,'Reeksen (N)'!$A$5:$B$76,2),0))</f>
        <v>0</v>
      </c>
      <c r="H95" s="84">
        <f ca="1">IF(E95='Invoer gegevens (N)'!$C$17+'Invoer gegevens (N)'!$I$14,K94,(1-('Invoer gegevens (N)'!$F$20/12))*F95*MIN('Reeksen (N)'!B27,'Reeksen (N)'!D27))</f>
        <v>0</v>
      </c>
      <c r="I95" s="84">
        <f>IF('Reeksen (N)'!D27&lt;'Reeksen (N)'!B27,('Reeksen (N)'!B27-'Reeksen (N)'!D27)*F95,0)</f>
        <v>0</v>
      </c>
      <c r="J95" s="84">
        <f ca="1">IF(E95='Invoer gegevens (N)'!$C$17+'Invoer gegevens (N)'!$I$14+1,0,('Invoer gegevens (N)'!$F$20/12)*F94*MIN('Reeksen (N)'!B26,'Reeksen (N)'!D26))</f>
        <v>0</v>
      </c>
      <c r="K95" s="97">
        <f ca="1">IF(E95&gt;='Invoer gegevens (N)'!$C$17+'Invoer gegevens (N)'!$I$14,0,F95-G95)</f>
        <v>0</v>
      </c>
      <c r="L95" s="84">
        <f ca="1">IF('Invoer gegevens (N)'!$C$17=E95,0,IF(C95=1,Q94,0))</f>
        <v>0</v>
      </c>
      <c r="M95" s="96">
        <f ca="1">IF(E95='Invoer gegevens (N)'!$C$17+'Invoer gegevens (N)'!$I$14,Q94,IF(C95&gt;=1,L95*VLOOKUP(E95,'Reeksen (N)'!$A$5:$B$76,2),0))</f>
        <v>0</v>
      </c>
      <c r="N95" s="84">
        <f ca="1">IF(C95='Invoer gegevens (N)'!$C$17+'Invoer gegevens (N)'!$I$14,Q94,(1-('Invoer gegevens (N)'!$F$20/12))*L95*MIN('Reeksen (N)'!B27,'Reeksen (N)'!D27))</f>
        <v>0</v>
      </c>
      <c r="O95" s="84">
        <f>IF('Reeksen (N)'!D27&lt;'Reeksen (N)'!B27,('Reeksen (N)'!B27-'Reeksen (N)'!D27)*L95,0)</f>
        <v>0</v>
      </c>
      <c r="P95" s="84">
        <f ca="1">IF(E95='Invoer gegevens (N)'!$C$17+'Invoer gegevens (N)'!$I$14+1,0,('Invoer gegevens (N)'!$F$20/12)*L94*MIN('Reeksen (N)'!B26,'Reeksen (N)'!D26))</f>
        <v>0</v>
      </c>
      <c r="Q95" s="84">
        <f ca="1">IF(E95&gt;='Invoer gegevens (N)'!$C$17+'Invoer gegevens (N)'!$I$14,0,L95-M95+I95+O95)</f>
        <v>0</v>
      </c>
      <c r="R95" s="82">
        <f ca="1">IF('Invoer gegevens (N)'!$C$17=E95,'Invoer gegevens (N)'!$C$11,IF(C95=1,W94,0))</f>
        <v>0</v>
      </c>
      <c r="S95" s="86">
        <f ca="1">IF(E95='Invoer gegevens (N)'!$C$17+'Invoer gegevens (N)'!$I$14,W94,IF(C95&gt;=1,R95*VLOOKUP(E95,'Reeksen (N)'!$A$5:$B$76,2),0))</f>
        <v>0</v>
      </c>
      <c r="T95" s="84">
        <f ca="1">IF(E95='Invoer gegevens (N)'!$C$17+'Invoer gegevens (N)'!$I$14,W94,(1-('Invoer gegevens (N)'!$F$20/12))*R95*MIN('Reeksen (N)'!B27,'Reeksen (N)'!D27))</f>
        <v>0</v>
      </c>
      <c r="U95" s="84">
        <f>IF('Reeksen (N)'!D27&gt;='Reeksen (N)'!B27,0,IF('Reeksen (N)'!AK27&lt;='Reeksen (N)'!AE27,('Reeksen (N)'!B27-'Reeksen (N)'!D27)*R95,0))</f>
        <v>0</v>
      </c>
      <c r="V95" s="86">
        <f>IF('Reeksen (N)'!D27&gt;='Reeksen (N)'!B27,0,IF('Reeksen (N)'!AK27&gt;'Reeksen (N)'!AE27,('Reeksen (N)'!B27-'Reeksen (N)'!D27)*R95,0))</f>
        <v>0</v>
      </c>
      <c r="W95" s="97">
        <f ca="1">IF(E95&gt;='Invoer gegevens (N)'!$C$17+'Invoer gegevens (N)'!$I$14,0,R95-S95)</f>
        <v>0</v>
      </c>
      <c r="X95" s="98">
        <f ca="1">IF('Invoer gegevens (N)'!$C$17=E95,'Invoer gegevens (N)'!$C$10-'Invoer gegevens (N)'!$C$11,IF(C95=1,AC94,0))</f>
        <v>0</v>
      </c>
      <c r="Y95" s="98">
        <f ca="1">IF(E95='Invoer gegevens (N)'!$C$17+'Invoer gegevens (N)'!$I$14,AC94,IF(C95&gt;=1,X95*VLOOKUP(E95,'Reeksen (N)'!$A$5:$B$76,2),0))</f>
        <v>0</v>
      </c>
      <c r="Z95" s="98">
        <f ca="1">IF(E95='Invoer gegevens (N)'!$C$17+'Invoer gegevens (N)'!$I$14,AC94,(1-('Invoer gegevens (N)'!$F$20/12))*X95*MIN('Reeksen (N)'!B27,'Reeksen (N)'!D27))</f>
        <v>0</v>
      </c>
      <c r="AA95" s="98">
        <f>IF('Reeksen (N)'!D27&gt;='Reeksen (N)'!B27,0,IF('Reeksen (N)'!AK27&lt;='Reeksen (N)'!AE27,('Reeksen (N)'!B27-'Reeksen (N)'!D27)*X95,0))</f>
        <v>0</v>
      </c>
      <c r="AB95" s="98">
        <f>IF('Reeksen (N)'!D27&gt;='Reeksen (N)'!B27,0,IF('Reeksen (N)'!AK27&gt;'Reeksen (N)'!AE27,('Reeksen (N)'!B27-'Reeksen (N)'!D27)*X95,0))</f>
        <v>0</v>
      </c>
      <c r="AC95" s="99">
        <f ca="1">IF(E95&gt;='Invoer gegevens (N)'!$C$17+'Invoer gegevens (N)'!$I$14,0,X95-Y95)</f>
        <v>0</v>
      </c>
      <c r="AD95" s="98">
        <f ca="1">IF('Invoer gegevens (N)'!$C$17=E27,R95,IF(C27=0,0,AE94))</f>
        <v>0</v>
      </c>
      <c r="AE95" s="98">
        <f t="shared" ca="1" si="9"/>
        <v>0</v>
      </c>
      <c r="AF95" s="98">
        <f ca="1">IF('Invoer gegevens (N)'!$C$17=E27,X95,IF(C27=0,0,AG94))</f>
        <v>0</v>
      </c>
      <c r="AG95" s="98">
        <f t="shared" ca="1" si="10"/>
        <v>0</v>
      </c>
      <c r="AH95" s="70"/>
      <c r="AI95" s="71">
        <f ca="1">IF(C95=1,(('Reeksen (N)'!BF27*(F95-G95+F95)/2)+((L95-M95+L95)/2*'Reeksen (N)'!BG27))*12,0)</f>
        <v>0</v>
      </c>
      <c r="AJ95" s="71">
        <f ca="1">-AI95*'Invoer gegevens (N)'!$I$26</f>
        <v>0</v>
      </c>
      <c r="AK95" s="71">
        <f t="shared" ca="1" si="11"/>
        <v>0</v>
      </c>
      <c r="AL95" s="71">
        <f ca="1">IF(C95=1,'Reeksen (N)'!AL27*((F95-G95+F95)/2)*12+'Reeksen (N)'!AM27*((L95-M95+L95)/2)*12,0)</f>
        <v>0</v>
      </c>
      <c r="AM95" s="71">
        <f ca="1">-AL95*'Invoer gegevens (N)'!$F$31</f>
        <v>0</v>
      </c>
      <c r="AN95" s="71">
        <f t="shared" ca="1" si="12"/>
        <v>0</v>
      </c>
      <c r="AO95" s="71">
        <f ca="1">IF(E95&gt;='Invoer gegevens (N)'!$C$17+'Invoer gegevens (N)'!$I$14,0,IF(C95=1,(H95+J95+N95+P95)*'Reeksen (N)'!AN27,0))</f>
        <v>0</v>
      </c>
      <c r="AP95" s="71">
        <f ca="1">-IF(C95=1,(H95+J95+N95+P95)*'Reeksen (N)'!AN26*'Hulp - basis'!$J$550,0)</f>
        <v>0</v>
      </c>
      <c r="AQ95" s="71">
        <f ca="1">-IF(C95=1,(F95+K95+L95+Q95)/2*'Invoer gegevens (N)'!$I$33*'Reeksen (N)'!J27,0)</f>
        <v>0</v>
      </c>
      <c r="AR95" s="71">
        <f ca="1">-IF(C95=1,(I95*'Invoer gegevens (N)'!$I$34)*'Reeksen (N)'!J27,0)</f>
        <v>0</v>
      </c>
      <c r="AS95" s="71">
        <f ca="1">-IF(C95=1,(F95+K95+L95+Q95)/2*'Invoer gegevens (N)'!$I$35*'Reeksen (N)'!L27,0)</f>
        <v>0</v>
      </c>
      <c r="AT95" s="71">
        <f ca="1">-IF(C95=1,IF(E95='Invoer gegevens (N)'!$C$17,'Invoer gegevens (N)'!$C$11,AD95)*'Reeksen (N)'!S27*'Invoer gegevens (N)'!$C$18*'Reeksen (N)'!P27,0)</f>
        <v>0</v>
      </c>
      <c r="AU95" s="71">
        <f ca="1">-IF(C95=1,(F95+K95+L95+Q95)/2*'Invoer gegevens (N)'!$I$36*'Reeksen (N)'!H27,0)</f>
        <v>0</v>
      </c>
      <c r="AV95" s="71">
        <f t="shared" ca="1" si="13"/>
        <v>0</v>
      </c>
      <c r="AW95" s="72">
        <f ca="1">IFERROR(IF(E95='Invoer gegevens (N)'!$C$17+'Invoer gegevens (N)'!$I$14-1,'Invoer gegevens (N)'!$I$13*K95*'Reeksen (N)'!H27,0),0)</f>
        <v>0</v>
      </c>
      <c r="AX95" s="72">
        <f ca="1">IFERROR(IF(E95='Invoer gegevens (N)'!$C$17,-'Invoer gegevens (N)'!$C$10*('Invoer gegevens (N)'!$C$30+'Invoer gegevens (N)'!$C$31)*'Reeksen (N)'!H27,0),0)</f>
        <v>0</v>
      </c>
      <c r="AY95" s="73">
        <f ca="1">IF('Invoer gegevens (N)'!$C$34=E95,'Invoer gegevens (N)'!$C$27*'Invoer gegevens (N)'!$C$10*'Invoer gegevens (N)'!$C$36*(IF('Invoer gegevens (N)'!$C$35="ja",1,'Reeksen (N)'!J27)),IF('Invoer gegevens (N)'!$C$34+1=E95,'Invoer gegevens (N)'!$C$27*'Invoer gegevens (N)'!$C$10*'Invoer gegevens (N)'!$C$37*(IF('Invoer gegevens (N)'!$C$35="ja",1,'Reeksen (N)'!J27)),0))+IF(AND(E95='Invoer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5" s="73">
        <f ca="1">AV95/(1+'Invoer gegevens (N)'!$I$12)^($D95-('Invoer gegevens (N)'!$C$17-'Invoer gegevens (N)'!$C$16))/(1+'Invoer gegevens (N)'!$C$39)^('Invoer gegevens (N)'!$C$17-'Invoer gegevens (N)'!$C$16)</f>
        <v>0</v>
      </c>
      <c r="BA95" s="73">
        <f ca="1">AW95/(1+'Invoer gegevens (N)'!$I$12)^(E95-('Invoer gegevens (N)'!$C$17-1))/(1+'Invoer gegevens (N)'!$C$39)^('Invoer gegevens (N)'!$C$17-'Invoer gegevens (N)'!$C$16)</f>
        <v>0</v>
      </c>
      <c r="BB95" s="73">
        <f ca="1">AX95/(1+'Invoer gegevens (N)'!$C$39)^('Invoer gegevens (N)'!$C$17-'Invoer gegevens (N)'!$C$16)</f>
        <v>0</v>
      </c>
      <c r="BC95" s="72">
        <f t="shared" ca="1" si="14"/>
        <v>0</v>
      </c>
      <c r="BD95" s="72">
        <f ca="1">IF(AND(E95='Invoer gegevens (N)'!$C$16,'Invoer gegevens (N)'!$C$34&lt;'Invoer gegevens (N)'!$C$16),AY95,AY95/(1+'Invoer gegevens (N)'!$C$39)^D95)</f>
        <v>0</v>
      </c>
      <c r="BE95" s="72">
        <f ca="1">IF(E95='Invoer gegevens (N)'!$C$34,-'Invoer gegevens (N)'!$I$38,0)</f>
        <v>0</v>
      </c>
      <c r="BF95" s="72">
        <f ca="1">IF(E95='Invoer gegevens (N)'!$C$17,-'Invoer gegevens (N)'!$C$19*$BC$134,0)</f>
        <v>0</v>
      </c>
      <c r="BG95" s="72">
        <f ca="1">AV95/(1+$BG$72)^($D95-('Invoer gegevens (N)'!$C$17-'Invoer gegevens (N)'!$C$16))/(1+'Invoer gegevens (N)'!$C$39)^('Invoer gegevens (N)'!$C$17-'Invoer gegevens (N)'!$C$16)+AW95/(1+$BG$72)^(E95-('Invoer gegevens (N)'!$C$17-1))/(1+'Invoer gegevens (N)'!$C$39)^('Invoer gegevens (N)'!$C$17-'Invoer gegevens (N)'!$C$16)+AX95/(1+'Invoer gegevens (N)'!$C$39)^('Invoer gegevens (N)'!$C$17-'Invoer gegevens (N)'!$C$16)+(-AY95/(1+'Invoer gegevens (N)'!$C$39)^D95)+BE95+BF95</f>
        <v>0</v>
      </c>
    </row>
    <row r="96" spans="1:59" x14ac:dyDescent="0.25">
      <c r="A96" s="59"/>
      <c r="B96" s="70">
        <f t="shared" si="15"/>
        <v>24</v>
      </c>
      <c r="C96" s="67">
        <f ca="1">IF(AND(E96&gt;='Invoer gegevens (N)'!$C$17,E96&lt;'Invoer gegevens (N)'!$C$17+'Invoer gegevens (N)'!$I$14),1,0)</f>
        <v>1</v>
      </c>
      <c r="D96" s="68">
        <f t="shared" si="16"/>
        <v>23.5</v>
      </c>
      <c r="E96" s="108">
        <f ca="1">IF('Invoer gegevens (N)'!$C$16="","",E95+1)</f>
        <v>2042</v>
      </c>
      <c r="F96" s="84">
        <f ca="1">IF('Invoer gegevens (N)'!$C$17=E96,'Invoer gegevens (N)'!$C$10,IF(C96=1,K95,0))</f>
        <v>0</v>
      </c>
      <c r="G96" s="96">
        <f ca="1">IF(E96='Invoer gegevens (N)'!$C$17+'Invoer gegevens (N)'!$I$14,K95,IF(C96&gt;=1,F96*VLOOKUP(E96,'Reeksen (N)'!$A$5:$B$76,2),0))</f>
        <v>0</v>
      </c>
      <c r="H96" s="84">
        <f ca="1">IF(E96='Invoer gegevens (N)'!$C$17+'Invoer gegevens (N)'!$I$14,K95,(1-('Invoer gegevens (N)'!$F$20/12))*F96*MIN('Reeksen (N)'!B28,'Reeksen (N)'!D28))</f>
        <v>0</v>
      </c>
      <c r="I96" s="84">
        <f>IF('Reeksen (N)'!D28&lt;'Reeksen (N)'!B28,('Reeksen (N)'!B28-'Reeksen (N)'!D28)*F96,0)</f>
        <v>0</v>
      </c>
      <c r="J96" s="84">
        <f ca="1">IF(E96='Invoer gegevens (N)'!$C$17+'Invoer gegevens (N)'!$I$14+1,0,('Invoer gegevens (N)'!$F$20/12)*F95*MIN('Reeksen (N)'!B27,'Reeksen (N)'!D27))</f>
        <v>0</v>
      </c>
      <c r="K96" s="97">
        <f ca="1">IF(E96&gt;='Invoer gegevens (N)'!$C$17+'Invoer gegevens (N)'!$I$14,0,F96-G96)</f>
        <v>0</v>
      </c>
      <c r="L96" s="84">
        <f ca="1">IF('Invoer gegevens (N)'!$C$17=E96,0,IF(C96=1,Q95,0))</f>
        <v>0</v>
      </c>
      <c r="M96" s="96">
        <f ca="1">IF(E96='Invoer gegevens (N)'!$C$17+'Invoer gegevens (N)'!$I$14,Q95,IF(C96&gt;=1,L96*VLOOKUP(E96,'Reeksen (N)'!$A$5:$B$76,2),0))</f>
        <v>0</v>
      </c>
      <c r="N96" s="84">
        <f ca="1">IF(C96='Invoer gegevens (N)'!$C$17+'Invoer gegevens (N)'!$I$14,Q95,(1-('Invoer gegevens (N)'!$F$20/12))*L96*MIN('Reeksen (N)'!B28,'Reeksen (N)'!D28))</f>
        <v>0</v>
      </c>
      <c r="O96" s="84">
        <f>IF('Reeksen (N)'!D28&lt;'Reeksen (N)'!B28,('Reeksen (N)'!B28-'Reeksen (N)'!D28)*L96,0)</f>
        <v>0</v>
      </c>
      <c r="P96" s="84">
        <f ca="1">IF(E96='Invoer gegevens (N)'!$C$17+'Invoer gegevens (N)'!$I$14+1,0,('Invoer gegevens (N)'!$F$20/12)*L95*MIN('Reeksen (N)'!B27,'Reeksen (N)'!D27))</f>
        <v>0</v>
      </c>
      <c r="Q96" s="84">
        <f ca="1">IF(E96&gt;='Invoer gegevens (N)'!$C$17+'Invoer gegevens (N)'!$I$14,0,L96-M96+I96+O96)</f>
        <v>0</v>
      </c>
      <c r="R96" s="82">
        <f ca="1">IF('Invoer gegevens (N)'!$C$17=E96,'Invoer gegevens (N)'!$C$11,IF(C96=1,W95,0))</f>
        <v>0</v>
      </c>
      <c r="S96" s="86">
        <f ca="1">IF(E96='Invoer gegevens (N)'!$C$17+'Invoer gegevens (N)'!$I$14,W95,IF(C96&gt;=1,R96*VLOOKUP(E96,'Reeksen (N)'!$A$5:$B$76,2),0))</f>
        <v>0</v>
      </c>
      <c r="T96" s="84">
        <f ca="1">IF(E96='Invoer gegevens (N)'!$C$17+'Invoer gegevens (N)'!$I$14,W95,(1-('Invoer gegevens (N)'!$F$20/12))*R96*MIN('Reeksen (N)'!B28,'Reeksen (N)'!D28))</f>
        <v>0</v>
      </c>
      <c r="U96" s="84">
        <f>IF('Reeksen (N)'!D28&gt;='Reeksen (N)'!B28,0,IF('Reeksen (N)'!AK28&lt;='Reeksen (N)'!AE28,('Reeksen (N)'!B28-'Reeksen (N)'!D28)*R96,0))</f>
        <v>0</v>
      </c>
      <c r="V96" s="86">
        <f>IF('Reeksen (N)'!D28&gt;='Reeksen (N)'!B28,0,IF('Reeksen (N)'!AK28&gt;'Reeksen (N)'!AE28,('Reeksen (N)'!B28-'Reeksen (N)'!D28)*R96,0))</f>
        <v>0</v>
      </c>
      <c r="W96" s="97">
        <f ca="1">IF(E96&gt;='Invoer gegevens (N)'!$C$17+'Invoer gegevens (N)'!$I$14,0,R96-S96)</f>
        <v>0</v>
      </c>
      <c r="X96" s="98">
        <f ca="1">IF('Invoer gegevens (N)'!$C$17=E96,'Invoer gegevens (N)'!$C$10-'Invoer gegevens (N)'!$C$11,IF(C96=1,AC95,0))</f>
        <v>0</v>
      </c>
      <c r="Y96" s="98">
        <f ca="1">IF(E96='Invoer gegevens (N)'!$C$17+'Invoer gegevens (N)'!$I$14,AC95,IF(C96&gt;=1,X96*VLOOKUP(E96,'Reeksen (N)'!$A$5:$B$76,2),0))</f>
        <v>0</v>
      </c>
      <c r="Z96" s="98">
        <f ca="1">IF(E96='Invoer gegevens (N)'!$C$17+'Invoer gegevens (N)'!$I$14,AC95,(1-('Invoer gegevens (N)'!$F$20/12))*X96*MIN('Reeksen (N)'!B28,'Reeksen (N)'!D28))</f>
        <v>0</v>
      </c>
      <c r="AA96" s="98">
        <f>IF('Reeksen (N)'!D28&gt;='Reeksen (N)'!B28,0,IF('Reeksen (N)'!AK28&lt;='Reeksen (N)'!AE28,('Reeksen (N)'!B28-'Reeksen (N)'!D28)*X96,0))</f>
        <v>0</v>
      </c>
      <c r="AB96" s="98">
        <f>IF('Reeksen (N)'!D28&gt;='Reeksen (N)'!B28,0,IF('Reeksen (N)'!AK28&gt;'Reeksen (N)'!AE28,('Reeksen (N)'!B28-'Reeksen (N)'!D28)*X96,0))</f>
        <v>0</v>
      </c>
      <c r="AC96" s="99">
        <f ca="1">IF(E96&gt;='Invoer gegevens (N)'!$C$17+'Invoer gegevens (N)'!$I$14,0,X96-Y96)</f>
        <v>0</v>
      </c>
      <c r="AD96" s="98">
        <f ca="1">IF('Invoer gegevens (N)'!$C$17=E28,R96,IF(C28=0,0,AE95))</f>
        <v>0</v>
      </c>
      <c r="AE96" s="98">
        <f t="shared" ca="1" si="9"/>
        <v>0</v>
      </c>
      <c r="AF96" s="98">
        <f ca="1">IF('Invoer gegevens (N)'!$C$17=E28,X96,IF(C28=0,0,AG95))</f>
        <v>0</v>
      </c>
      <c r="AG96" s="98">
        <f t="shared" ca="1" si="10"/>
        <v>0</v>
      </c>
      <c r="AH96" s="70"/>
      <c r="AI96" s="71">
        <f ca="1">IF(C96=1,(('Reeksen (N)'!BF28*(F96-G96+F96)/2)+((L96-M96+L96)/2*'Reeksen (N)'!BG28))*12,0)</f>
        <v>0</v>
      </c>
      <c r="AJ96" s="71">
        <f ca="1">-AI96*'Invoer gegevens (N)'!$I$26</f>
        <v>0</v>
      </c>
      <c r="AK96" s="71">
        <f t="shared" ca="1" si="11"/>
        <v>0</v>
      </c>
      <c r="AL96" s="71">
        <f ca="1">IF(C96=1,'Reeksen (N)'!AL28*((F96-G96+F96)/2)*12+'Reeksen (N)'!AM28*((L96-M96+L96)/2)*12,0)</f>
        <v>0</v>
      </c>
      <c r="AM96" s="71">
        <f ca="1">-AL96*'Invoer gegevens (N)'!$F$31</f>
        <v>0</v>
      </c>
      <c r="AN96" s="71">
        <f t="shared" ca="1" si="12"/>
        <v>0</v>
      </c>
      <c r="AO96" s="71">
        <f ca="1">IF(E96&gt;='Invoer gegevens (N)'!$C$17+'Invoer gegevens (N)'!$I$14,0,IF(C96=1,(H96+J96+N96+P96)*'Reeksen (N)'!AN28,0))</f>
        <v>0</v>
      </c>
      <c r="AP96" s="71">
        <f ca="1">-IF(C96=1,(H96+J96+N96+P96)*'Reeksen (N)'!AN27*'Hulp - basis'!$J$550,0)</f>
        <v>0</v>
      </c>
      <c r="AQ96" s="71">
        <f ca="1">-IF(C96=1,(F96+K96+L96+Q96)/2*'Invoer gegevens (N)'!$I$33*'Reeksen (N)'!J28,0)</f>
        <v>0</v>
      </c>
      <c r="AR96" s="71">
        <f ca="1">-IF(C96=1,(I96*'Invoer gegevens (N)'!$I$34)*'Reeksen (N)'!J28,0)</f>
        <v>0</v>
      </c>
      <c r="AS96" s="71">
        <f ca="1">-IF(C96=1,(F96+K96+L96+Q96)/2*'Invoer gegevens (N)'!$I$35*'Reeksen (N)'!L28,0)</f>
        <v>0</v>
      </c>
      <c r="AT96" s="71">
        <f ca="1">-IF(C96=1,IF(E96='Invoer gegevens (N)'!$C$17,'Invoer gegevens (N)'!$C$11,AD96)*'Reeksen (N)'!S28*'Invoer gegevens (N)'!$C$18*'Reeksen (N)'!P28,0)</f>
        <v>0</v>
      </c>
      <c r="AU96" s="71">
        <f ca="1">-IF(C96=1,(F96+K96+L96+Q96)/2*'Invoer gegevens (N)'!$I$36*'Reeksen (N)'!H28,0)</f>
        <v>0</v>
      </c>
      <c r="AV96" s="71">
        <f t="shared" ca="1" si="13"/>
        <v>0</v>
      </c>
      <c r="AW96" s="72">
        <f ca="1">IFERROR(IF(E96='Invoer gegevens (N)'!$C$17+'Invoer gegevens (N)'!$I$14-1,'Invoer gegevens (N)'!$I$13*K96*'Reeksen (N)'!H28,0),0)</f>
        <v>0</v>
      </c>
      <c r="AX96" s="72">
        <f ca="1">IFERROR(IF(E96='Invoer gegevens (N)'!$C$17,-'Invoer gegevens (N)'!$C$10*('Invoer gegevens (N)'!$C$30+'Invoer gegevens (N)'!$C$31)*'Reeksen (N)'!H28,0),0)</f>
        <v>0</v>
      </c>
      <c r="AY96" s="73">
        <f ca="1">IF('Invoer gegevens (N)'!$C$34=E96,'Invoer gegevens (N)'!$C$27*'Invoer gegevens (N)'!$C$10*'Invoer gegevens (N)'!$C$36*(IF('Invoer gegevens (N)'!$C$35="ja",1,'Reeksen (N)'!J28)),IF('Invoer gegevens (N)'!$C$34+1=E96,'Invoer gegevens (N)'!$C$27*'Invoer gegevens (N)'!$C$10*'Invoer gegevens (N)'!$C$37*(IF('Invoer gegevens (N)'!$C$35="ja",1,'Reeksen (N)'!J28)),0))+IF(AND(E96='Invoer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6" s="73">
        <f ca="1">AV96/(1+'Invoer gegevens (N)'!$I$12)^($D96-('Invoer gegevens (N)'!$C$17-'Invoer gegevens (N)'!$C$16))/(1+'Invoer gegevens (N)'!$C$39)^('Invoer gegevens (N)'!$C$17-'Invoer gegevens (N)'!$C$16)</f>
        <v>0</v>
      </c>
      <c r="BA96" s="73">
        <f ca="1">AW96/(1+'Invoer gegevens (N)'!$I$12)^(E96-('Invoer gegevens (N)'!$C$17-1))/(1+'Invoer gegevens (N)'!$C$39)^('Invoer gegevens (N)'!$C$17-'Invoer gegevens (N)'!$C$16)</f>
        <v>0</v>
      </c>
      <c r="BB96" s="73">
        <f ca="1">AX96/(1+'Invoer gegevens (N)'!$C$39)^('Invoer gegevens (N)'!$C$17-'Invoer gegevens (N)'!$C$16)</f>
        <v>0</v>
      </c>
      <c r="BC96" s="72">
        <f t="shared" ca="1" si="14"/>
        <v>0</v>
      </c>
      <c r="BD96" s="72">
        <f ca="1">IF(AND(E96='Invoer gegevens (N)'!$C$16,'Invoer gegevens (N)'!$C$34&lt;'Invoer gegevens (N)'!$C$16),AY96,AY96/(1+'Invoer gegevens (N)'!$C$39)^D96)</f>
        <v>0</v>
      </c>
      <c r="BE96" s="72">
        <f ca="1">IF(E96='Invoer gegevens (N)'!$C$34,-'Invoer gegevens (N)'!$I$38,0)</f>
        <v>0</v>
      </c>
      <c r="BF96" s="72">
        <f ca="1">IF(E96='Invoer gegevens (N)'!$C$17,-'Invoer gegevens (N)'!$C$19*$BC$134,0)</f>
        <v>0</v>
      </c>
      <c r="BG96" s="72">
        <f ca="1">AV96/(1+$BG$72)^($D96-('Invoer gegevens (N)'!$C$17-'Invoer gegevens (N)'!$C$16))/(1+'Invoer gegevens (N)'!$C$39)^('Invoer gegevens (N)'!$C$17-'Invoer gegevens (N)'!$C$16)+AW96/(1+$BG$72)^(E96-('Invoer gegevens (N)'!$C$17-1))/(1+'Invoer gegevens (N)'!$C$39)^('Invoer gegevens (N)'!$C$17-'Invoer gegevens (N)'!$C$16)+AX96/(1+'Invoer gegevens (N)'!$C$39)^('Invoer gegevens (N)'!$C$17-'Invoer gegevens (N)'!$C$16)+(-AY96/(1+'Invoer gegevens (N)'!$C$39)^D96)+BE96+BF96</f>
        <v>0</v>
      </c>
    </row>
    <row r="97" spans="1:59" x14ac:dyDescent="0.25">
      <c r="A97" s="59"/>
      <c r="B97" s="70">
        <f t="shared" si="15"/>
        <v>25</v>
      </c>
      <c r="C97" s="67">
        <f ca="1">IF(AND(E97&gt;='Invoer gegevens (N)'!$C$17,E97&lt;'Invoer gegevens (N)'!$C$17+'Invoer gegevens (N)'!$I$14),1,0)</f>
        <v>1</v>
      </c>
      <c r="D97" s="68">
        <f t="shared" si="16"/>
        <v>24.5</v>
      </c>
      <c r="E97" s="108">
        <f ca="1">IF('Invoer gegevens (N)'!$C$16="","",E96+1)</f>
        <v>2043</v>
      </c>
      <c r="F97" s="84">
        <f ca="1">IF('Invoer gegevens (N)'!$C$17=E97,'Invoer gegevens (N)'!$C$10,IF(C97=1,K96,0))</f>
        <v>0</v>
      </c>
      <c r="G97" s="96">
        <f ca="1">IF(E97='Invoer gegevens (N)'!$C$17+'Invoer gegevens (N)'!$I$14,K96,IF(C97&gt;=1,F97*VLOOKUP(E97,'Reeksen (N)'!$A$5:$B$76,2),0))</f>
        <v>0</v>
      </c>
      <c r="H97" s="84">
        <f ca="1">IF(E97='Invoer gegevens (N)'!$C$17+'Invoer gegevens (N)'!$I$14,K96,(1-('Invoer gegevens (N)'!$F$20/12))*F97*MIN('Reeksen (N)'!B29,'Reeksen (N)'!D29))</f>
        <v>0</v>
      </c>
      <c r="I97" s="84">
        <f>IF('Reeksen (N)'!D29&lt;'Reeksen (N)'!B29,('Reeksen (N)'!B29-'Reeksen (N)'!D29)*F97,0)</f>
        <v>0</v>
      </c>
      <c r="J97" s="84">
        <f ca="1">IF(E97='Invoer gegevens (N)'!$C$17+'Invoer gegevens (N)'!$I$14+1,0,('Invoer gegevens (N)'!$F$20/12)*F96*MIN('Reeksen (N)'!B28,'Reeksen (N)'!D28))</f>
        <v>0</v>
      </c>
      <c r="K97" s="97">
        <f ca="1">IF(E97&gt;='Invoer gegevens (N)'!$C$17+'Invoer gegevens (N)'!$I$14,0,F97-G97)</f>
        <v>0</v>
      </c>
      <c r="L97" s="84">
        <f ca="1">IF('Invoer gegevens (N)'!$C$17=E97,0,IF(C97=1,Q96,0))</f>
        <v>0</v>
      </c>
      <c r="M97" s="96">
        <f ca="1">IF(E97='Invoer gegevens (N)'!$C$17+'Invoer gegevens (N)'!$I$14,Q96,IF(C97&gt;=1,L97*VLOOKUP(E97,'Reeksen (N)'!$A$5:$B$76,2),0))</f>
        <v>0</v>
      </c>
      <c r="N97" s="84">
        <f ca="1">IF(C97='Invoer gegevens (N)'!$C$17+'Invoer gegevens (N)'!$I$14,Q96,(1-('Invoer gegevens (N)'!$F$20/12))*L97*MIN('Reeksen (N)'!B29,'Reeksen (N)'!D29))</f>
        <v>0</v>
      </c>
      <c r="O97" s="84">
        <f>IF('Reeksen (N)'!D29&lt;'Reeksen (N)'!B29,('Reeksen (N)'!B29-'Reeksen (N)'!D29)*L97,0)</f>
        <v>0</v>
      </c>
      <c r="P97" s="84">
        <f ca="1">IF(E97='Invoer gegevens (N)'!$C$17+'Invoer gegevens (N)'!$I$14+1,0,('Invoer gegevens (N)'!$F$20/12)*L96*MIN('Reeksen (N)'!B28,'Reeksen (N)'!D28))</f>
        <v>0</v>
      </c>
      <c r="Q97" s="84">
        <f ca="1">IF(E97&gt;='Invoer gegevens (N)'!$C$17+'Invoer gegevens (N)'!$I$14,0,L97-M97+I97+O97)</f>
        <v>0</v>
      </c>
      <c r="R97" s="82">
        <f ca="1">IF('Invoer gegevens (N)'!$C$17=E97,'Invoer gegevens (N)'!$C$11,IF(C97=1,W96,0))</f>
        <v>0</v>
      </c>
      <c r="S97" s="86">
        <f ca="1">IF(E97='Invoer gegevens (N)'!$C$17+'Invoer gegevens (N)'!$I$14,W96,IF(C97&gt;=1,R97*VLOOKUP(E97,'Reeksen (N)'!$A$5:$B$76,2),0))</f>
        <v>0</v>
      </c>
      <c r="T97" s="84">
        <f ca="1">IF(E97='Invoer gegevens (N)'!$C$17+'Invoer gegevens (N)'!$I$14,W96,(1-('Invoer gegevens (N)'!$F$20/12))*R97*MIN('Reeksen (N)'!B29,'Reeksen (N)'!D29))</f>
        <v>0</v>
      </c>
      <c r="U97" s="84">
        <f>IF('Reeksen (N)'!D29&gt;='Reeksen (N)'!B29,0,IF('Reeksen (N)'!AK29&lt;='Reeksen (N)'!AE29,('Reeksen (N)'!B29-'Reeksen (N)'!D29)*R97,0))</f>
        <v>0</v>
      </c>
      <c r="V97" s="86">
        <f>IF('Reeksen (N)'!D29&gt;='Reeksen (N)'!B29,0,IF('Reeksen (N)'!AK29&gt;'Reeksen (N)'!AE29,('Reeksen (N)'!B29-'Reeksen (N)'!D29)*R97,0))</f>
        <v>0</v>
      </c>
      <c r="W97" s="97">
        <f ca="1">IF(E97&gt;='Invoer gegevens (N)'!$C$17+'Invoer gegevens (N)'!$I$14,0,R97-S97)</f>
        <v>0</v>
      </c>
      <c r="X97" s="98">
        <f ca="1">IF('Invoer gegevens (N)'!$C$17=E97,'Invoer gegevens (N)'!$C$10-'Invoer gegevens (N)'!$C$11,IF(C97=1,AC96,0))</f>
        <v>0</v>
      </c>
      <c r="Y97" s="98">
        <f ca="1">IF(E97='Invoer gegevens (N)'!$C$17+'Invoer gegevens (N)'!$I$14,AC96,IF(C97&gt;=1,X97*VLOOKUP(E97,'Reeksen (N)'!$A$5:$B$76,2),0))</f>
        <v>0</v>
      </c>
      <c r="Z97" s="98">
        <f ca="1">IF(E97='Invoer gegevens (N)'!$C$17+'Invoer gegevens (N)'!$I$14,AC96,(1-('Invoer gegevens (N)'!$F$20/12))*X97*MIN('Reeksen (N)'!B29,'Reeksen (N)'!D29))</f>
        <v>0</v>
      </c>
      <c r="AA97" s="98">
        <f>IF('Reeksen (N)'!D29&gt;='Reeksen (N)'!B29,0,IF('Reeksen (N)'!AK29&lt;='Reeksen (N)'!AE29,('Reeksen (N)'!B29-'Reeksen (N)'!D29)*X97,0))</f>
        <v>0</v>
      </c>
      <c r="AB97" s="98">
        <f>IF('Reeksen (N)'!D29&gt;='Reeksen (N)'!B29,0,IF('Reeksen (N)'!AK29&gt;'Reeksen (N)'!AE29,('Reeksen (N)'!B29-'Reeksen (N)'!D29)*X97,0))</f>
        <v>0</v>
      </c>
      <c r="AC97" s="99">
        <f ca="1">IF(E97&gt;='Invoer gegevens (N)'!$C$17+'Invoer gegevens (N)'!$I$14,0,X97-Y97)</f>
        <v>0</v>
      </c>
      <c r="AD97" s="98">
        <f ca="1">IF('Invoer gegevens (N)'!$C$17=E29,R97,IF(C29=0,0,AE96))</f>
        <v>0</v>
      </c>
      <c r="AE97" s="98">
        <f t="shared" ca="1" si="9"/>
        <v>0</v>
      </c>
      <c r="AF97" s="98">
        <f ca="1">IF('Invoer gegevens (N)'!$C$17=E29,X97,IF(C29=0,0,AG96))</f>
        <v>0</v>
      </c>
      <c r="AG97" s="98">
        <f t="shared" ca="1" si="10"/>
        <v>0</v>
      </c>
      <c r="AH97" s="70"/>
      <c r="AI97" s="71">
        <f ca="1">IF(C97=1,(('Reeksen (N)'!BF29*(F97-G97+F97)/2)+((L97-M97+L97)/2*'Reeksen (N)'!BG29))*12,0)</f>
        <v>0</v>
      </c>
      <c r="AJ97" s="71">
        <f ca="1">-AI97*'Invoer gegevens (N)'!$I$26</f>
        <v>0</v>
      </c>
      <c r="AK97" s="71">
        <f t="shared" ca="1" si="11"/>
        <v>0</v>
      </c>
      <c r="AL97" s="71">
        <f ca="1">IF(C97=1,'Reeksen (N)'!AL29*((F97-G97+F97)/2)*12+'Reeksen (N)'!AM29*((L97-M97+L97)/2)*12,0)</f>
        <v>0</v>
      </c>
      <c r="AM97" s="71">
        <f ca="1">-AL97*'Invoer gegevens (N)'!$F$31</f>
        <v>0</v>
      </c>
      <c r="AN97" s="71">
        <f t="shared" ca="1" si="12"/>
        <v>0</v>
      </c>
      <c r="AO97" s="71">
        <f ca="1">IF(E97&gt;='Invoer gegevens (N)'!$C$17+'Invoer gegevens (N)'!$I$14,0,IF(C97=1,(H97+J97+N97+P97)*'Reeksen (N)'!AN29,0))</f>
        <v>0</v>
      </c>
      <c r="AP97" s="71">
        <f ca="1">-IF(C97=1,(H97+J97+N97+P97)*'Reeksen (N)'!AN28*'Hulp - basis'!$J$550,0)</f>
        <v>0</v>
      </c>
      <c r="AQ97" s="71">
        <f ca="1">-IF(C97=1,(F97+K97+L97+Q97)/2*'Invoer gegevens (N)'!$I$33*'Reeksen (N)'!J29,0)</f>
        <v>0</v>
      </c>
      <c r="AR97" s="71">
        <f ca="1">-IF(C97=1,(I97*'Invoer gegevens (N)'!$I$34)*'Reeksen (N)'!J29,0)</f>
        <v>0</v>
      </c>
      <c r="AS97" s="71">
        <f ca="1">-IF(C97=1,(F97+K97+L97+Q97)/2*'Invoer gegevens (N)'!$I$35*'Reeksen (N)'!L29,0)</f>
        <v>0</v>
      </c>
      <c r="AT97" s="71">
        <f ca="1">-IF(C97=1,IF(E97='Invoer gegevens (N)'!$C$17,'Invoer gegevens (N)'!$C$11,AD97)*'Reeksen (N)'!S29*'Invoer gegevens (N)'!$C$18*'Reeksen (N)'!P29,0)</f>
        <v>0</v>
      </c>
      <c r="AU97" s="71">
        <f ca="1">-IF(C97=1,(F97+K97+L97+Q97)/2*'Invoer gegevens (N)'!$I$36*'Reeksen (N)'!H29,0)</f>
        <v>0</v>
      </c>
      <c r="AV97" s="71">
        <f t="shared" ca="1" si="13"/>
        <v>0</v>
      </c>
      <c r="AW97" s="72">
        <f ca="1">IFERROR(IF(E97='Invoer gegevens (N)'!$C$17+'Invoer gegevens (N)'!$I$14-1,'Invoer gegevens (N)'!$I$13*K97*'Reeksen (N)'!H29,0),0)</f>
        <v>0</v>
      </c>
      <c r="AX97" s="72">
        <f ca="1">IFERROR(IF(E97='Invoer gegevens (N)'!$C$17,-'Invoer gegevens (N)'!$C$10*('Invoer gegevens (N)'!$C$30+'Invoer gegevens (N)'!$C$31)*'Reeksen (N)'!H29,0),0)</f>
        <v>0</v>
      </c>
      <c r="AY97" s="73">
        <f ca="1">IF('Invoer gegevens (N)'!$C$34=E97,'Invoer gegevens (N)'!$C$27*'Invoer gegevens (N)'!$C$10*'Invoer gegevens (N)'!$C$36*(IF('Invoer gegevens (N)'!$C$35="ja",1,'Reeksen (N)'!J29)),IF('Invoer gegevens (N)'!$C$34+1=E97,'Invoer gegevens (N)'!$C$27*'Invoer gegevens (N)'!$C$10*'Invoer gegevens (N)'!$C$37*(IF('Invoer gegevens (N)'!$C$35="ja",1,'Reeksen (N)'!J29)),0))+IF(AND(E97='Invoer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7" s="73">
        <f ca="1">AV97/(1+'Invoer gegevens (N)'!$I$12)^($D97-('Invoer gegevens (N)'!$C$17-'Invoer gegevens (N)'!$C$16))/(1+'Invoer gegevens (N)'!$C$39)^('Invoer gegevens (N)'!$C$17-'Invoer gegevens (N)'!$C$16)</f>
        <v>0</v>
      </c>
      <c r="BA97" s="73">
        <f ca="1">AW97/(1+'Invoer gegevens (N)'!$I$12)^(E97-('Invoer gegevens (N)'!$C$17-1))/(1+'Invoer gegevens (N)'!$C$39)^('Invoer gegevens (N)'!$C$17-'Invoer gegevens (N)'!$C$16)</f>
        <v>0</v>
      </c>
      <c r="BB97" s="73">
        <f ca="1">AX97/(1+'Invoer gegevens (N)'!$C$39)^('Invoer gegevens (N)'!$C$17-'Invoer gegevens (N)'!$C$16)</f>
        <v>0</v>
      </c>
      <c r="BC97" s="72">
        <f t="shared" ca="1" si="14"/>
        <v>0</v>
      </c>
      <c r="BD97" s="72">
        <f ca="1">IF(AND(E97='Invoer gegevens (N)'!$C$16,'Invoer gegevens (N)'!$C$34&lt;'Invoer gegevens (N)'!$C$16),AY97,AY97/(1+'Invoer gegevens (N)'!$C$39)^D97)</f>
        <v>0</v>
      </c>
      <c r="BE97" s="72">
        <f ca="1">IF(E97='Invoer gegevens (N)'!$C$34,-'Invoer gegevens (N)'!$I$38,0)</f>
        <v>0</v>
      </c>
      <c r="BF97" s="72">
        <f ca="1">IF(E97='Invoer gegevens (N)'!$C$17,-'Invoer gegevens (N)'!$C$19*$BC$134,0)</f>
        <v>0</v>
      </c>
      <c r="BG97" s="72">
        <f ca="1">AV97/(1+$BG$72)^($D97-('Invoer gegevens (N)'!$C$17-'Invoer gegevens (N)'!$C$16))/(1+'Invoer gegevens (N)'!$C$39)^('Invoer gegevens (N)'!$C$17-'Invoer gegevens (N)'!$C$16)+AW97/(1+$BG$72)^(E97-('Invoer gegevens (N)'!$C$17-1))/(1+'Invoer gegevens (N)'!$C$39)^('Invoer gegevens (N)'!$C$17-'Invoer gegevens (N)'!$C$16)+AX97/(1+'Invoer gegevens (N)'!$C$39)^('Invoer gegevens (N)'!$C$17-'Invoer gegevens (N)'!$C$16)+(-AY97/(1+'Invoer gegevens (N)'!$C$39)^D97)+BE97+BF97</f>
        <v>0</v>
      </c>
    </row>
    <row r="98" spans="1:59" x14ac:dyDescent="0.25">
      <c r="B98" s="70">
        <f t="shared" si="15"/>
        <v>26</v>
      </c>
      <c r="C98" s="67">
        <f ca="1">IF(AND(E98&gt;='Invoer gegevens (N)'!$C$17,E98&lt;'Invoer gegevens (N)'!$C$17+'Invoer gegevens (N)'!$I$14),1,0)</f>
        <v>1</v>
      </c>
      <c r="D98" s="68">
        <f t="shared" si="16"/>
        <v>25.5</v>
      </c>
      <c r="E98" s="108">
        <f ca="1">IF('Invoer gegevens (N)'!$C$16="","",E97+1)</f>
        <v>2044</v>
      </c>
      <c r="F98" s="84">
        <f ca="1">IF('Invoer gegevens (N)'!$C$17=E98,'Invoer gegevens (N)'!$C$10,IF(C98=1,K97,0))</f>
        <v>0</v>
      </c>
      <c r="G98" s="96">
        <f ca="1">IF(E98='Invoer gegevens (N)'!$C$17+'Invoer gegevens (N)'!$I$14,K97,IF(C98&gt;=1,F98*VLOOKUP(E98,'Reeksen (N)'!$A$5:$B$76,2),0))</f>
        <v>0</v>
      </c>
      <c r="H98" s="84">
        <f ca="1">IF(E98='Invoer gegevens (N)'!$C$17+'Invoer gegevens (N)'!$I$14,K97,(1-('Invoer gegevens (N)'!$F$20/12))*F98*MIN('Reeksen (N)'!B30,'Reeksen (N)'!D30))</f>
        <v>0</v>
      </c>
      <c r="I98" s="84">
        <f>IF('Reeksen (N)'!D30&lt;'Reeksen (N)'!B30,('Reeksen (N)'!B30-'Reeksen (N)'!D30)*F98,0)</f>
        <v>0</v>
      </c>
      <c r="J98" s="84">
        <f ca="1">IF(E98='Invoer gegevens (N)'!$C$17+'Invoer gegevens (N)'!$I$14+1,0,('Invoer gegevens (N)'!$F$20/12)*F97*MIN('Reeksen (N)'!B29,'Reeksen (N)'!D29))</f>
        <v>0</v>
      </c>
      <c r="K98" s="97">
        <f ca="1">IF(E98&gt;='Invoer gegevens (N)'!$C$17+'Invoer gegevens (N)'!$I$14,0,F98-G98)</f>
        <v>0</v>
      </c>
      <c r="L98" s="84">
        <f ca="1">IF('Invoer gegevens (N)'!$C$17=E98,0,IF(C98=1,Q97,0))</f>
        <v>0</v>
      </c>
      <c r="M98" s="96">
        <f ca="1">IF(E98='Invoer gegevens (N)'!$C$17+'Invoer gegevens (N)'!$I$14,Q97,IF(C98&gt;=1,L98*VLOOKUP(E98,'Reeksen (N)'!$A$5:$B$76,2),0))</f>
        <v>0</v>
      </c>
      <c r="N98" s="84">
        <f ca="1">IF(C98='Invoer gegevens (N)'!$C$17+'Invoer gegevens (N)'!$I$14,Q97,(1-('Invoer gegevens (N)'!$F$20/12))*L98*MIN('Reeksen (N)'!B30,'Reeksen (N)'!D30))</f>
        <v>0</v>
      </c>
      <c r="O98" s="84">
        <f>IF('Reeksen (N)'!D30&lt;'Reeksen (N)'!B30,('Reeksen (N)'!B30-'Reeksen (N)'!D30)*L98,0)</f>
        <v>0</v>
      </c>
      <c r="P98" s="84">
        <f ca="1">IF(E98='Invoer gegevens (N)'!$C$17+'Invoer gegevens (N)'!$I$14+1,0,('Invoer gegevens (N)'!$F$20/12)*L97*MIN('Reeksen (N)'!B29,'Reeksen (N)'!D29))</f>
        <v>0</v>
      </c>
      <c r="Q98" s="84">
        <f ca="1">IF(E98&gt;='Invoer gegevens (N)'!$C$17+'Invoer gegevens (N)'!$I$14,0,L98-M98+I98+O98)</f>
        <v>0</v>
      </c>
      <c r="R98" s="82">
        <f ca="1">IF('Invoer gegevens (N)'!$C$17=E98,'Invoer gegevens (N)'!$C$11,IF(C98=1,W97,0))</f>
        <v>0</v>
      </c>
      <c r="S98" s="86">
        <f ca="1">IF(E98='Invoer gegevens (N)'!$C$17+'Invoer gegevens (N)'!$I$14,W97,IF(C98&gt;=1,R98*VLOOKUP(E98,'Reeksen (N)'!$A$5:$B$76,2),0))</f>
        <v>0</v>
      </c>
      <c r="T98" s="84">
        <f ca="1">IF(E98='Invoer gegevens (N)'!$C$17+'Invoer gegevens (N)'!$I$14,W97,(1-('Invoer gegevens (N)'!$F$20/12))*R98*MIN('Reeksen (N)'!B30,'Reeksen (N)'!D30))</f>
        <v>0</v>
      </c>
      <c r="U98" s="84">
        <f>IF('Reeksen (N)'!D30&gt;='Reeksen (N)'!B30,0,IF('Reeksen (N)'!AK30&lt;='Reeksen (N)'!AE30,('Reeksen (N)'!B30-'Reeksen (N)'!D30)*R98,0))</f>
        <v>0</v>
      </c>
      <c r="V98" s="86">
        <f>IF('Reeksen (N)'!D30&gt;='Reeksen (N)'!B30,0,IF('Reeksen (N)'!AK30&gt;'Reeksen (N)'!AE30,('Reeksen (N)'!B30-'Reeksen (N)'!D30)*R98,0))</f>
        <v>0</v>
      </c>
      <c r="W98" s="97">
        <f ca="1">IF(E98&gt;='Invoer gegevens (N)'!$C$17+'Invoer gegevens (N)'!$I$14,0,R98-S98)</f>
        <v>0</v>
      </c>
      <c r="X98" s="98">
        <f ca="1">IF('Invoer gegevens (N)'!$C$17=E98,'Invoer gegevens (N)'!$C$10-'Invoer gegevens (N)'!$C$11,IF(C98=1,AC97,0))</f>
        <v>0</v>
      </c>
      <c r="Y98" s="98">
        <f ca="1">IF(E98='Invoer gegevens (N)'!$C$17+'Invoer gegevens (N)'!$I$14,AC97,IF(C98&gt;=1,X98*VLOOKUP(E98,'Reeksen (N)'!$A$5:$B$76,2),0))</f>
        <v>0</v>
      </c>
      <c r="Z98" s="98">
        <f ca="1">IF(E98='Invoer gegevens (N)'!$C$17+'Invoer gegevens (N)'!$I$14,AC97,(1-('Invoer gegevens (N)'!$F$20/12))*X98*MIN('Reeksen (N)'!B30,'Reeksen (N)'!D30))</f>
        <v>0</v>
      </c>
      <c r="AA98" s="98">
        <f>IF('Reeksen (N)'!D30&gt;='Reeksen (N)'!B30,0,IF('Reeksen (N)'!AK30&lt;='Reeksen (N)'!AE30,('Reeksen (N)'!B30-'Reeksen (N)'!D30)*X98,0))</f>
        <v>0</v>
      </c>
      <c r="AB98" s="98">
        <f>IF('Reeksen (N)'!D30&gt;='Reeksen (N)'!B30,0,IF('Reeksen (N)'!AK30&gt;'Reeksen (N)'!AE30,('Reeksen (N)'!B30-'Reeksen (N)'!D30)*X98,0))</f>
        <v>0</v>
      </c>
      <c r="AC98" s="99">
        <f ca="1">IF(E98&gt;='Invoer gegevens (N)'!$C$17+'Invoer gegevens (N)'!$I$14,0,X98-Y98)</f>
        <v>0</v>
      </c>
      <c r="AD98" s="98">
        <f ca="1">IF('Invoer gegevens (N)'!$C$17=E30,R98,IF(C30=0,0,AE97))</f>
        <v>0</v>
      </c>
      <c r="AE98" s="98">
        <f t="shared" ca="1" si="9"/>
        <v>0</v>
      </c>
      <c r="AF98" s="98">
        <f ca="1">IF('Invoer gegevens (N)'!$C$17=E30,X98,IF(C30=0,0,AG97))</f>
        <v>0</v>
      </c>
      <c r="AG98" s="98">
        <f t="shared" ca="1" si="10"/>
        <v>0</v>
      </c>
      <c r="AH98" s="70"/>
      <c r="AI98" s="71">
        <f ca="1">IF(C98=1,(('Reeksen (N)'!BF30*(F98-G98+F98)/2)+((L98-M98+L98)/2*'Reeksen (N)'!BG30))*12,0)</f>
        <v>0</v>
      </c>
      <c r="AJ98" s="71">
        <f ca="1">-AI98*'Invoer gegevens (N)'!$I$26</f>
        <v>0</v>
      </c>
      <c r="AK98" s="71">
        <f t="shared" ca="1" si="11"/>
        <v>0</v>
      </c>
      <c r="AL98" s="71">
        <f ca="1">IF(C98=1,'Reeksen (N)'!AL30*((F98-G98+F98)/2)*12+'Reeksen (N)'!AM30*((L98-M98+L98)/2)*12,0)</f>
        <v>0</v>
      </c>
      <c r="AM98" s="71">
        <f ca="1">-AL98*'Invoer gegevens (N)'!$F$31</f>
        <v>0</v>
      </c>
      <c r="AN98" s="71">
        <f t="shared" ca="1" si="12"/>
        <v>0</v>
      </c>
      <c r="AO98" s="71">
        <f ca="1">IF(E98&gt;='Invoer gegevens (N)'!$C$17+'Invoer gegevens (N)'!$I$14,0,IF(C98=1,(H98+J98+N98+P98)*'Reeksen (N)'!AN30,0))</f>
        <v>0</v>
      </c>
      <c r="AP98" s="71">
        <f ca="1">-IF(C98=1,(H98+J98+N98+P98)*'Reeksen (N)'!AN29*'Hulp - basis'!$J$550,0)</f>
        <v>0</v>
      </c>
      <c r="AQ98" s="71">
        <f ca="1">-IF(C98=1,(F98+K98+L98+Q98)/2*'Invoer gegevens (N)'!$I$33*'Reeksen (N)'!J30,0)</f>
        <v>0</v>
      </c>
      <c r="AR98" s="71">
        <f ca="1">-IF(C98=1,(I98*'Invoer gegevens (N)'!$I$34)*'Reeksen (N)'!J30,0)</f>
        <v>0</v>
      </c>
      <c r="AS98" s="71">
        <f ca="1">-IF(C98=1,(F98+K98+L98+Q98)/2*'Invoer gegevens (N)'!$I$35*'Reeksen (N)'!L30,0)</f>
        <v>0</v>
      </c>
      <c r="AT98" s="71">
        <f ca="1">-IF(C98=1,IF(E98='Invoer gegevens (N)'!$C$17,'Invoer gegevens (N)'!$C$11,AD98)*'Reeksen (N)'!S30*'Invoer gegevens (N)'!$C$18*'Reeksen (N)'!P30,0)</f>
        <v>0</v>
      </c>
      <c r="AU98" s="71">
        <f ca="1">-IF(C98=1,(F98+K98+L98+Q98)/2*'Invoer gegevens (N)'!$I$36*'Reeksen (N)'!H30,0)</f>
        <v>0</v>
      </c>
      <c r="AV98" s="71">
        <f t="shared" ca="1" si="13"/>
        <v>0</v>
      </c>
      <c r="AW98" s="72">
        <f ca="1">IFERROR(IF(E98='Invoer gegevens (N)'!$C$17+'Invoer gegevens (N)'!$I$14-1,'Invoer gegevens (N)'!$I$13*K98*'Reeksen (N)'!H30,0),0)</f>
        <v>0</v>
      </c>
      <c r="AX98" s="72">
        <f ca="1">IFERROR(IF(E98='Invoer gegevens (N)'!$C$17,-'Invoer gegevens (N)'!$C$10*('Invoer gegevens (N)'!$C$30+'Invoer gegevens (N)'!$C$31)*'Reeksen (N)'!H30,0),0)</f>
        <v>0</v>
      </c>
      <c r="AY98" s="73">
        <f ca="1">IF('Invoer gegevens (N)'!$C$34=E98,'Invoer gegevens (N)'!$C$27*'Invoer gegevens (N)'!$C$10*'Invoer gegevens (N)'!$C$36*(IF('Invoer gegevens (N)'!$C$35="ja",1,'Reeksen (N)'!J30)),IF('Invoer gegevens (N)'!$C$34+1=E98,'Invoer gegevens (N)'!$C$27*'Invoer gegevens (N)'!$C$10*'Invoer gegevens (N)'!$C$37*(IF('Invoer gegevens (N)'!$C$35="ja",1,'Reeksen (N)'!J30)),0))+IF(AND(E98='Invoer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8" s="73">
        <f ca="1">AV98/(1+'Invoer gegevens (N)'!$I$12)^($D98-('Invoer gegevens (N)'!$C$17-'Invoer gegevens (N)'!$C$16))/(1+'Invoer gegevens (N)'!$C$39)^('Invoer gegevens (N)'!$C$17-'Invoer gegevens (N)'!$C$16)</f>
        <v>0</v>
      </c>
      <c r="BA98" s="73">
        <f ca="1">AW98/(1+'Invoer gegevens (N)'!$I$12)^(E98-('Invoer gegevens (N)'!$C$17-1))/(1+'Invoer gegevens (N)'!$C$39)^('Invoer gegevens (N)'!$C$17-'Invoer gegevens (N)'!$C$16)</f>
        <v>0</v>
      </c>
      <c r="BB98" s="73">
        <f ca="1">AX98/(1+'Invoer gegevens (N)'!$C$39)^('Invoer gegevens (N)'!$C$17-'Invoer gegevens (N)'!$C$16)</f>
        <v>0</v>
      </c>
      <c r="BC98" s="72">
        <f t="shared" ca="1" si="14"/>
        <v>0</v>
      </c>
      <c r="BD98" s="72">
        <f ca="1">IF(AND(E98='Invoer gegevens (N)'!$C$16,'Invoer gegevens (N)'!$C$34&lt;'Invoer gegevens (N)'!$C$16),AY98,AY98/(1+'Invoer gegevens (N)'!$C$39)^D98)</f>
        <v>0</v>
      </c>
      <c r="BE98" s="72">
        <f ca="1">IF(E98='Invoer gegevens (N)'!$C$34,-'Invoer gegevens (N)'!$I$38,0)</f>
        <v>0</v>
      </c>
      <c r="BF98" s="72">
        <f ca="1">IF(E98='Invoer gegevens (N)'!$C$17,-'Invoer gegevens (N)'!$C$19*$BC$134,0)</f>
        <v>0</v>
      </c>
      <c r="BG98" s="72">
        <f ca="1">AV98/(1+$BG$72)^($D98-('Invoer gegevens (N)'!$C$17-'Invoer gegevens (N)'!$C$16))/(1+'Invoer gegevens (N)'!$C$39)^('Invoer gegevens (N)'!$C$17-'Invoer gegevens (N)'!$C$16)+AW98/(1+$BG$72)^(E98-('Invoer gegevens (N)'!$C$17-1))/(1+'Invoer gegevens (N)'!$C$39)^('Invoer gegevens (N)'!$C$17-'Invoer gegevens (N)'!$C$16)+AX98/(1+'Invoer gegevens (N)'!$C$39)^('Invoer gegevens (N)'!$C$17-'Invoer gegevens (N)'!$C$16)+(-AY98/(1+'Invoer gegevens (N)'!$C$39)^D98)+BE98+BF98</f>
        <v>0</v>
      </c>
    </row>
    <row r="99" spans="1:59" x14ac:dyDescent="0.25">
      <c r="B99" s="70">
        <f t="shared" si="15"/>
        <v>27</v>
      </c>
      <c r="C99" s="67">
        <f ca="1">IF(AND(E99&gt;='Invoer gegevens (N)'!$C$17,E99&lt;'Invoer gegevens (N)'!$C$17+'Invoer gegevens (N)'!$I$14),1,0)</f>
        <v>1</v>
      </c>
      <c r="D99" s="68">
        <f t="shared" si="16"/>
        <v>26.5</v>
      </c>
      <c r="E99" s="108">
        <f ca="1">IF('Invoer gegevens (N)'!$C$16="","",E98+1)</f>
        <v>2045</v>
      </c>
      <c r="F99" s="84">
        <f ca="1">IF('Invoer gegevens (N)'!$C$17=E99,'Invoer gegevens (N)'!$C$10,IF(C99=1,K98,0))</f>
        <v>0</v>
      </c>
      <c r="G99" s="96">
        <f ca="1">IF(E99='Invoer gegevens (N)'!$C$17+'Invoer gegevens (N)'!$I$14,K98,IF(C99&gt;=1,F99*VLOOKUP(E99,'Reeksen (N)'!$A$5:$B$76,2),0))</f>
        <v>0</v>
      </c>
      <c r="H99" s="84">
        <f ca="1">IF(E99='Invoer gegevens (N)'!$C$17+'Invoer gegevens (N)'!$I$14,K98,(1-('Invoer gegevens (N)'!$F$20/12))*F99*MIN('Reeksen (N)'!B31,'Reeksen (N)'!D31))</f>
        <v>0</v>
      </c>
      <c r="I99" s="84">
        <f>IF('Reeksen (N)'!D31&lt;'Reeksen (N)'!B31,('Reeksen (N)'!B31-'Reeksen (N)'!D31)*F99,0)</f>
        <v>0</v>
      </c>
      <c r="J99" s="84">
        <f ca="1">IF(E99='Invoer gegevens (N)'!$C$17+'Invoer gegevens (N)'!$I$14+1,0,('Invoer gegevens (N)'!$F$20/12)*F98*MIN('Reeksen (N)'!B30,'Reeksen (N)'!D30))</f>
        <v>0</v>
      </c>
      <c r="K99" s="97">
        <f ca="1">IF(E99&gt;='Invoer gegevens (N)'!$C$17+'Invoer gegevens (N)'!$I$14,0,F99-G99)</f>
        <v>0</v>
      </c>
      <c r="L99" s="84">
        <f ca="1">IF('Invoer gegevens (N)'!$C$17=E99,0,IF(C99=1,Q98,0))</f>
        <v>0</v>
      </c>
      <c r="M99" s="96">
        <f ca="1">IF(E99='Invoer gegevens (N)'!$C$17+'Invoer gegevens (N)'!$I$14,Q98,IF(C99&gt;=1,L99*VLOOKUP(E99,'Reeksen (N)'!$A$5:$B$76,2),0))</f>
        <v>0</v>
      </c>
      <c r="N99" s="84">
        <f ca="1">IF(C99='Invoer gegevens (N)'!$C$17+'Invoer gegevens (N)'!$I$14,Q98,(1-('Invoer gegevens (N)'!$F$20/12))*L99*MIN('Reeksen (N)'!B31,'Reeksen (N)'!D31))</f>
        <v>0</v>
      </c>
      <c r="O99" s="84">
        <f>IF('Reeksen (N)'!D31&lt;'Reeksen (N)'!B31,('Reeksen (N)'!B31-'Reeksen (N)'!D31)*L99,0)</f>
        <v>0</v>
      </c>
      <c r="P99" s="84">
        <f ca="1">IF(E99='Invoer gegevens (N)'!$C$17+'Invoer gegevens (N)'!$I$14+1,0,('Invoer gegevens (N)'!$F$20/12)*L98*MIN('Reeksen (N)'!B30,'Reeksen (N)'!D30))</f>
        <v>0</v>
      </c>
      <c r="Q99" s="84">
        <f ca="1">IF(E99&gt;='Invoer gegevens (N)'!$C$17+'Invoer gegevens (N)'!$I$14,0,L99-M99+I99+O99)</f>
        <v>0</v>
      </c>
      <c r="R99" s="82">
        <f ca="1">IF('Invoer gegevens (N)'!$C$17=E99,'Invoer gegevens (N)'!$C$11,IF(C99=1,W98,0))</f>
        <v>0</v>
      </c>
      <c r="S99" s="86">
        <f ca="1">IF(E99='Invoer gegevens (N)'!$C$17+'Invoer gegevens (N)'!$I$14,W98,IF(C99&gt;=1,R99*VLOOKUP(E99,'Reeksen (N)'!$A$5:$B$76,2),0))</f>
        <v>0</v>
      </c>
      <c r="T99" s="84">
        <f ca="1">IF(E99='Invoer gegevens (N)'!$C$17+'Invoer gegevens (N)'!$I$14,W98,(1-('Invoer gegevens (N)'!$F$20/12))*R99*MIN('Reeksen (N)'!B31,'Reeksen (N)'!D31))</f>
        <v>0</v>
      </c>
      <c r="U99" s="84">
        <f>IF('Reeksen (N)'!D31&gt;='Reeksen (N)'!B31,0,IF('Reeksen (N)'!AK31&lt;='Reeksen (N)'!AE31,('Reeksen (N)'!B31-'Reeksen (N)'!D31)*R99,0))</f>
        <v>0</v>
      </c>
      <c r="V99" s="86">
        <f>IF('Reeksen (N)'!D31&gt;='Reeksen (N)'!B31,0,IF('Reeksen (N)'!AK31&gt;'Reeksen (N)'!AE31,('Reeksen (N)'!B31-'Reeksen (N)'!D31)*R99,0))</f>
        <v>0</v>
      </c>
      <c r="W99" s="97">
        <f ca="1">IF(E99&gt;='Invoer gegevens (N)'!$C$17+'Invoer gegevens (N)'!$I$14,0,R99-S99)</f>
        <v>0</v>
      </c>
      <c r="X99" s="98">
        <f ca="1">IF('Invoer gegevens (N)'!$C$17=E99,'Invoer gegevens (N)'!$C$10-'Invoer gegevens (N)'!$C$11,IF(C99=1,AC98,0))</f>
        <v>0</v>
      </c>
      <c r="Y99" s="98">
        <f ca="1">IF(E99='Invoer gegevens (N)'!$C$17+'Invoer gegevens (N)'!$I$14,AC98,IF(C99&gt;=1,X99*VLOOKUP(E99,'Reeksen (N)'!$A$5:$B$76,2),0))</f>
        <v>0</v>
      </c>
      <c r="Z99" s="98">
        <f ca="1">IF(E99='Invoer gegevens (N)'!$C$17+'Invoer gegevens (N)'!$I$14,AC98,(1-('Invoer gegevens (N)'!$F$20/12))*X99*MIN('Reeksen (N)'!B31,'Reeksen (N)'!D31))</f>
        <v>0</v>
      </c>
      <c r="AA99" s="98">
        <f>IF('Reeksen (N)'!D31&gt;='Reeksen (N)'!B31,0,IF('Reeksen (N)'!AK31&lt;='Reeksen (N)'!AE31,('Reeksen (N)'!B31-'Reeksen (N)'!D31)*X99,0))</f>
        <v>0</v>
      </c>
      <c r="AB99" s="98">
        <f>IF('Reeksen (N)'!D31&gt;='Reeksen (N)'!B31,0,IF('Reeksen (N)'!AK31&gt;'Reeksen (N)'!AE31,('Reeksen (N)'!B31-'Reeksen (N)'!D31)*X99,0))</f>
        <v>0</v>
      </c>
      <c r="AC99" s="99">
        <f ca="1">IF(E99&gt;='Invoer gegevens (N)'!$C$17+'Invoer gegevens (N)'!$I$14,0,X99-Y99)</f>
        <v>0</v>
      </c>
      <c r="AD99" s="98">
        <f ca="1">IF('Invoer gegevens (N)'!$C$17=E31,R99,IF(C31=0,0,AE98))</f>
        <v>0</v>
      </c>
      <c r="AE99" s="98">
        <f t="shared" ca="1" si="9"/>
        <v>0</v>
      </c>
      <c r="AF99" s="98">
        <f ca="1">IF('Invoer gegevens (N)'!$C$17=E31,X99,IF(C31=0,0,AG98))</f>
        <v>0</v>
      </c>
      <c r="AG99" s="98">
        <f t="shared" ca="1" si="10"/>
        <v>0</v>
      </c>
      <c r="AH99" s="70"/>
      <c r="AI99" s="71">
        <f ca="1">IF(C99=1,(('Reeksen (N)'!BF31*(F99-G99+F99)/2)+((L99-M99+L99)/2*'Reeksen (N)'!BG31))*12,0)</f>
        <v>0</v>
      </c>
      <c r="AJ99" s="71">
        <f ca="1">-AI99*'Invoer gegevens (N)'!$I$26</f>
        <v>0</v>
      </c>
      <c r="AK99" s="71">
        <f t="shared" ca="1" si="11"/>
        <v>0</v>
      </c>
      <c r="AL99" s="71">
        <f ca="1">IF(C99=1,'Reeksen (N)'!AL31*((F99-G99+F99)/2)*12+'Reeksen (N)'!AM31*((L99-M99+L99)/2)*12,0)</f>
        <v>0</v>
      </c>
      <c r="AM99" s="71">
        <f ca="1">-AL99*'Invoer gegevens (N)'!$F$31</f>
        <v>0</v>
      </c>
      <c r="AN99" s="71">
        <f t="shared" ca="1" si="12"/>
        <v>0</v>
      </c>
      <c r="AO99" s="71">
        <f ca="1">IF(E99&gt;='Invoer gegevens (N)'!$C$17+'Invoer gegevens (N)'!$I$14,0,IF(C99=1,(H99+J99+N99+P99)*'Reeksen (N)'!AN31,0))</f>
        <v>0</v>
      </c>
      <c r="AP99" s="71">
        <f ca="1">-IF(C99=1,(H99+J99+N99+P99)*'Reeksen (N)'!AN30*'Hulp - basis'!$J$550,0)</f>
        <v>0</v>
      </c>
      <c r="AQ99" s="71">
        <f ca="1">-IF(C99=1,(F99+K99+L99+Q99)/2*'Invoer gegevens (N)'!$I$33*'Reeksen (N)'!J31,0)</f>
        <v>0</v>
      </c>
      <c r="AR99" s="71">
        <f ca="1">-IF(C99=1,(I99*'Invoer gegevens (N)'!$I$34)*'Reeksen (N)'!J31,0)</f>
        <v>0</v>
      </c>
      <c r="AS99" s="71">
        <f ca="1">-IF(C99=1,(F99+K99+L99+Q99)/2*'Invoer gegevens (N)'!$I$35*'Reeksen (N)'!L31,0)</f>
        <v>0</v>
      </c>
      <c r="AT99" s="71">
        <f ca="1">-IF(C99=1,IF(E99='Invoer gegevens (N)'!$C$17,'Invoer gegevens (N)'!$C$11,AD99)*'Reeksen (N)'!S31*'Invoer gegevens (N)'!$C$18*'Reeksen (N)'!P31,0)</f>
        <v>0</v>
      </c>
      <c r="AU99" s="71">
        <f ca="1">-IF(C99=1,(F99+K99+L99+Q99)/2*'Invoer gegevens (N)'!$I$36*'Reeksen (N)'!H31,0)</f>
        <v>0</v>
      </c>
      <c r="AV99" s="71">
        <f t="shared" ca="1" si="13"/>
        <v>0</v>
      </c>
      <c r="AW99" s="72">
        <f ca="1">IFERROR(IF(E99='Invoer gegevens (N)'!$C$17+'Invoer gegevens (N)'!$I$14-1,'Invoer gegevens (N)'!$I$13*K99*'Reeksen (N)'!H31,0),0)</f>
        <v>0</v>
      </c>
      <c r="AX99" s="72">
        <f ca="1">IFERROR(IF(E99='Invoer gegevens (N)'!$C$17,-'Invoer gegevens (N)'!$C$10*('Invoer gegevens (N)'!$C$30+'Invoer gegevens (N)'!$C$31)*'Reeksen (N)'!H31,0),0)</f>
        <v>0</v>
      </c>
      <c r="AY99" s="73">
        <f ca="1">IF('Invoer gegevens (N)'!$C$34=E99,'Invoer gegevens (N)'!$C$27*'Invoer gegevens (N)'!$C$10*'Invoer gegevens (N)'!$C$36*(IF('Invoer gegevens (N)'!$C$35="ja",1,'Reeksen (N)'!J31)),IF('Invoer gegevens (N)'!$C$34+1=E99,'Invoer gegevens (N)'!$C$27*'Invoer gegevens (N)'!$C$10*'Invoer gegevens (N)'!$C$37*(IF('Invoer gegevens (N)'!$C$35="ja",1,'Reeksen (N)'!J31)),0))+IF(AND(E99='Invoer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99" s="73">
        <f ca="1">AV99/(1+'Invoer gegevens (N)'!$I$12)^($D99-('Invoer gegevens (N)'!$C$17-'Invoer gegevens (N)'!$C$16))/(1+'Invoer gegevens (N)'!$C$39)^('Invoer gegevens (N)'!$C$17-'Invoer gegevens (N)'!$C$16)</f>
        <v>0</v>
      </c>
      <c r="BA99" s="73">
        <f ca="1">AW99/(1+'Invoer gegevens (N)'!$I$12)^(E99-('Invoer gegevens (N)'!$C$17-1))/(1+'Invoer gegevens (N)'!$C$39)^('Invoer gegevens (N)'!$C$17-'Invoer gegevens (N)'!$C$16)</f>
        <v>0</v>
      </c>
      <c r="BB99" s="73">
        <f ca="1">AX99/(1+'Invoer gegevens (N)'!$C$39)^('Invoer gegevens (N)'!$C$17-'Invoer gegevens (N)'!$C$16)</f>
        <v>0</v>
      </c>
      <c r="BC99" s="72">
        <f t="shared" ca="1" si="14"/>
        <v>0</v>
      </c>
      <c r="BD99" s="72">
        <f ca="1">IF(AND(E99='Invoer gegevens (N)'!$C$16,'Invoer gegevens (N)'!$C$34&lt;'Invoer gegevens (N)'!$C$16),AY99,AY99/(1+'Invoer gegevens (N)'!$C$39)^D99)</f>
        <v>0</v>
      </c>
      <c r="BE99" s="72">
        <f ca="1">IF(E99='Invoer gegevens (N)'!$C$34,-'Invoer gegevens (N)'!$I$38,0)</f>
        <v>0</v>
      </c>
      <c r="BF99" s="72">
        <f ca="1">IF(E99='Invoer gegevens (N)'!$C$17,-'Invoer gegevens (N)'!$C$19*$BC$134,0)</f>
        <v>0</v>
      </c>
      <c r="BG99" s="72">
        <f ca="1">AV99/(1+$BG$72)^($D99-('Invoer gegevens (N)'!$C$17-'Invoer gegevens (N)'!$C$16))/(1+'Invoer gegevens (N)'!$C$39)^('Invoer gegevens (N)'!$C$17-'Invoer gegevens (N)'!$C$16)+AW99/(1+$BG$72)^(E99-('Invoer gegevens (N)'!$C$17-1))/(1+'Invoer gegevens (N)'!$C$39)^('Invoer gegevens (N)'!$C$17-'Invoer gegevens (N)'!$C$16)+AX99/(1+'Invoer gegevens (N)'!$C$39)^('Invoer gegevens (N)'!$C$17-'Invoer gegevens (N)'!$C$16)+(-AY99/(1+'Invoer gegevens (N)'!$C$39)^D99)+BE99+BF99</f>
        <v>0</v>
      </c>
    </row>
    <row r="100" spans="1:59" x14ac:dyDescent="0.25">
      <c r="B100" s="70">
        <f t="shared" si="15"/>
        <v>28</v>
      </c>
      <c r="C100" s="67">
        <f ca="1">IF(AND(E100&gt;='Invoer gegevens (N)'!$C$17,E100&lt;'Invoer gegevens (N)'!$C$17+'Invoer gegevens (N)'!$I$14),1,0)</f>
        <v>1</v>
      </c>
      <c r="D100" s="68">
        <f t="shared" si="16"/>
        <v>27.5</v>
      </c>
      <c r="E100" s="108">
        <f ca="1">IF('Invoer gegevens (N)'!$C$16="","",E99+1)</f>
        <v>2046</v>
      </c>
      <c r="F100" s="84">
        <f ca="1">IF('Invoer gegevens (N)'!$C$17=E100,'Invoer gegevens (N)'!$C$10,IF(C100=1,K99,0))</f>
        <v>0</v>
      </c>
      <c r="G100" s="96">
        <f ca="1">IF(E100='Invoer gegevens (N)'!$C$17+'Invoer gegevens (N)'!$I$14,K99,IF(C100&gt;=1,F100*VLOOKUP(E100,'Reeksen (N)'!$A$5:$B$76,2),0))</f>
        <v>0</v>
      </c>
      <c r="H100" s="84">
        <f ca="1">IF(E100='Invoer gegevens (N)'!$C$17+'Invoer gegevens (N)'!$I$14,K99,(1-('Invoer gegevens (N)'!$F$20/12))*F100*MIN('Reeksen (N)'!B32,'Reeksen (N)'!D32))</f>
        <v>0</v>
      </c>
      <c r="I100" s="84">
        <f>IF('Reeksen (N)'!D32&lt;'Reeksen (N)'!B32,('Reeksen (N)'!B32-'Reeksen (N)'!D32)*F100,0)</f>
        <v>0</v>
      </c>
      <c r="J100" s="84">
        <f ca="1">IF(E100='Invoer gegevens (N)'!$C$17+'Invoer gegevens (N)'!$I$14+1,0,('Invoer gegevens (N)'!$F$20/12)*F99*MIN('Reeksen (N)'!B31,'Reeksen (N)'!D31))</f>
        <v>0</v>
      </c>
      <c r="K100" s="97">
        <f ca="1">IF(E100&gt;='Invoer gegevens (N)'!$C$17+'Invoer gegevens (N)'!$I$14,0,F100-G100)</f>
        <v>0</v>
      </c>
      <c r="L100" s="84">
        <f ca="1">IF('Invoer gegevens (N)'!$C$17=E100,0,IF(C100=1,Q99,0))</f>
        <v>0</v>
      </c>
      <c r="M100" s="96">
        <f ca="1">IF(E100='Invoer gegevens (N)'!$C$17+'Invoer gegevens (N)'!$I$14,Q99,IF(C100&gt;=1,L100*VLOOKUP(E100,'Reeksen (N)'!$A$5:$B$76,2),0))</f>
        <v>0</v>
      </c>
      <c r="N100" s="84">
        <f ca="1">IF(C100='Invoer gegevens (N)'!$C$17+'Invoer gegevens (N)'!$I$14,Q99,(1-('Invoer gegevens (N)'!$F$20/12))*L100*MIN('Reeksen (N)'!B32,'Reeksen (N)'!D32))</f>
        <v>0</v>
      </c>
      <c r="O100" s="84">
        <f>IF('Reeksen (N)'!D32&lt;'Reeksen (N)'!B32,('Reeksen (N)'!B32-'Reeksen (N)'!D32)*L100,0)</f>
        <v>0</v>
      </c>
      <c r="P100" s="84">
        <f ca="1">IF(E100='Invoer gegevens (N)'!$C$17+'Invoer gegevens (N)'!$I$14+1,0,('Invoer gegevens (N)'!$F$20/12)*L99*MIN('Reeksen (N)'!B31,'Reeksen (N)'!D31))</f>
        <v>0</v>
      </c>
      <c r="Q100" s="84">
        <f ca="1">IF(E100&gt;='Invoer gegevens (N)'!$C$17+'Invoer gegevens (N)'!$I$14,0,L100-M100+I100+O100)</f>
        <v>0</v>
      </c>
      <c r="R100" s="82">
        <f ca="1">IF('Invoer gegevens (N)'!$C$17=E100,'Invoer gegevens (N)'!$C$11,IF(C100=1,W99,0))</f>
        <v>0</v>
      </c>
      <c r="S100" s="86">
        <f ca="1">IF(E100='Invoer gegevens (N)'!$C$17+'Invoer gegevens (N)'!$I$14,W99,IF(C100&gt;=1,R100*VLOOKUP(E100,'Reeksen (N)'!$A$5:$B$76,2),0))</f>
        <v>0</v>
      </c>
      <c r="T100" s="84">
        <f ca="1">IF(E100='Invoer gegevens (N)'!$C$17+'Invoer gegevens (N)'!$I$14,W99,(1-('Invoer gegevens (N)'!$F$20/12))*R100*MIN('Reeksen (N)'!B32,'Reeksen (N)'!D32))</f>
        <v>0</v>
      </c>
      <c r="U100" s="84">
        <f>IF('Reeksen (N)'!D32&gt;='Reeksen (N)'!B32,0,IF('Reeksen (N)'!AK32&lt;='Reeksen (N)'!AE32,('Reeksen (N)'!B32-'Reeksen (N)'!D32)*R100,0))</f>
        <v>0</v>
      </c>
      <c r="V100" s="86">
        <f>IF('Reeksen (N)'!D32&gt;='Reeksen (N)'!B32,0,IF('Reeksen (N)'!AK32&gt;'Reeksen (N)'!AE32,('Reeksen (N)'!B32-'Reeksen (N)'!D32)*R100,0))</f>
        <v>0</v>
      </c>
      <c r="W100" s="97">
        <f ca="1">IF(E100&gt;='Invoer gegevens (N)'!$C$17+'Invoer gegevens (N)'!$I$14,0,R100-S100)</f>
        <v>0</v>
      </c>
      <c r="X100" s="98">
        <f ca="1">IF('Invoer gegevens (N)'!$C$17=E100,'Invoer gegevens (N)'!$C$10-'Invoer gegevens (N)'!$C$11,IF(C100=1,AC99,0))</f>
        <v>0</v>
      </c>
      <c r="Y100" s="98">
        <f ca="1">IF(E100='Invoer gegevens (N)'!$C$17+'Invoer gegevens (N)'!$I$14,AC99,IF(C100&gt;=1,X100*VLOOKUP(E100,'Reeksen (N)'!$A$5:$B$76,2),0))</f>
        <v>0</v>
      </c>
      <c r="Z100" s="98">
        <f ca="1">IF(E100='Invoer gegevens (N)'!$C$17+'Invoer gegevens (N)'!$I$14,AC99,(1-('Invoer gegevens (N)'!$F$20/12))*X100*MIN('Reeksen (N)'!B32,'Reeksen (N)'!D32))</f>
        <v>0</v>
      </c>
      <c r="AA100" s="98">
        <f>IF('Reeksen (N)'!D32&gt;='Reeksen (N)'!B32,0,IF('Reeksen (N)'!AK32&lt;='Reeksen (N)'!AE32,('Reeksen (N)'!B32-'Reeksen (N)'!D32)*X100,0))</f>
        <v>0</v>
      </c>
      <c r="AB100" s="98">
        <f>IF('Reeksen (N)'!D32&gt;='Reeksen (N)'!B32,0,IF('Reeksen (N)'!AK32&gt;'Reeksen (N)'!AE32,('Reeksen (N)'!B32-'Reeksen (N)'!D32)*X100,0))</f>
        <v>0</v>
      </c>
      <c r="AC100" s="99">
        <f ca="1">IF(E100&gt;='Invoer gegevens (N)'!$C$17+'Invoer gegevens (N)'!$I$14,0,X100-Y100)</f>
        <v>0</v>
      </c>
      <c r="AD100" s="98">
        <f ca="1">IF('Invoer gegevens (N)'!$C$17=E32,R100,IF(C32=0,0,AE99))</f>
        <v>0</v>
      </c>
      <c r="AE100" s="98">
        <f t="shared" ca="1" si="9"/>
        <v>0</v>
      </c>
      <c r="AF100" s="98">
        <f ca="1">IF('Invoer gegevens (N)'!$C$17=E32,X100,IF(C32=0,0,AG99))</f>
        <v>0</v>
      </c>
      <c r="AG100" s="98">
        <f t="shared" ca="1" si="10"/>
        <v>0</v>
      </c>
      <c r="AH100" s="70"/>
      <c r="AI100" s="71">
        <f ca="1">IF(C100=1,(('Reeksen (N)'!BF32*(F100-G100+F100)/2)+((L100-M100+L100)/2*'Reeksen (N)'!BG32))*12,0)</f>
        <v>0</v>
      </c>
      <c r="AJ100" s="71">
        <f ca="1">-AI100*'Invoer gegevens (N)'!$I$26</f>
        <v>0</v>
      </c>
      <c r="AK100" s="71">
        <f t="shared" ca="1" si="11"/>
        <v>0</v>
      </c>
      <c r="AL100" s="71">
        <f ca="1">IF(C100=1,'Reeksen (N)'!AL32*((F100-G100+F100)/2)*12+'Reeksen (N)'!AM32*((L100-M100+L100)/2)*12,0)</f>
        <v>0</v>
      </c>
      <c r="AM100" s="71">
        <f ca="1">-AL100*'Invoer gegevens (N)'!$F$31</f>
        <v>0</v>
      </c>
      <c r="AN100" s="71">
        <f t="shared" ca="1" si="12"/>
        <v>0</v>
      </c>
      <c r="AO100" s="71">
        <f ca="1">IF(E100&gt;='Invoer gegevens (N)'!$C$17+'Invoer gegevens (N)'!$I$14,0,IF(C100=1,(H100+J100+N100+P100)*'Reeksen (N)'!AN32,0))</f>
        <v>0</v>
      </c>
      <c r="AP100" s="71">
        <f ca="1">-IF(C100=1,(H100+J100+N100+P100)*'Reeksen (N)'!AN31*'Hulp - basis'!$J$550,0)</f>
        <v>0</v>
      </c>
      <c r="AQ100" s="71">
        <f ca="1">-IF(C100=1,(F100+K100+L100+Q100)/2*'Invoer gegevens (N)'!$I$33*'Reeksen (N)'!J32,0)</f>
        <v>0</v>
      </c>
      <c r="AR100" s="71">
        <f ca="1">-IF(C100=1,(I100*'Invoer gegevens (N)'!$I$34)*'Reeksen (N)'!J32,0)</f>
        <v>0</v>
      </c>
      <c r="AS100" s="71">
        <f ca="1">-IF(C100=1,(F100+K100+L100+Q100)/2*'Invoer gegevens (N)'!$I$35*'Reeksen (N)'!L32,0)</f>
        <v>0</v>
      </c>
      <c r="AT100" s="71">
        <f ca="1">-IF(C100=1,IF(E100='Invoer gegevens (N)'!$C$17,'Invoer gegevens (N)'!$C$11,AD100)*'Reeksen (N)'!S32*'Invoer gegevens (N)'!$C$18*'Reeksen (N)'!P32,0)</f>
        <v>0</v>
      </c>
      <c r="AU100" s="71">
        <f ca="1">-IF(C100=1,(F100+K100+L100+Q100)/2*'Invoer gegevens (N)'!$I$36*'Reeksen (N)'!H32,0)</f>
        <v>0</v>
      </c>
      <c r="AV100" s="71">
        <f t="shared" ca="1" si="13"/>
        <v>0</v>
      </c>
      <c r="AW100" s="72">
        <f ca="1">IFERROR(IF(E100='Invoer gegevens (N)'!$C$17+'Invoer gegevens (N)'!$I$14-1,'Invoer gegevens (N)'!$I$13*K100*'Reeksen (N)'!H32,0),0)</f>
        <v>0</v>
      </c>
      <c r="AX100" s="72">
        <f ca="1">IFERROR(IF(E100='Invoer gegevens (N)'!$C$17,-'Invoer gegevens (N)'!$C$10*('Invoer gegevens (N)'!$C$30+'Invoer gegevens (N)'!$C$31)*'Reeksen (N)'!H32,0),0)</f>
        <v>0</v>
      </c>
      <c r="AY100" s="73">
        <f ca="1">IF('Invoer gegevens (N)'!$C$34=E100,'Invoer gegevens (N)'!$C$27*'Invoer gegevens (N)'!$C$10*'Invoer gegevens (N)'!$C$36*(IF('Invoer gegevens (N)'!$C$35="ja",1,'Reeksen (N)'!J32)),IF('Invoer gegevens (N)'!$C$34+1=E100,'Invoer gegevens (N)'!$C$27*'Invoer gegevens (N)'!$C$10*'Invoer gegevens (N)'!$C$37*(IF('Invoer gegevens (N)'!$C$35="ja",1,'Reeksen (N)'!J32)),0))+IF(AND(E100='Invoer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0" s="73">
        <f ca="1">AV100/(1+'Invoer gegevens (N)'!$I$12)^($D100-('Invoer gegevens (N)'!$C$17-'Invoer gegevens (N)'!$C$16))/(1+'Invoer gegevens (N)'!$C$39)^('Invoer gegevens (N)'!$C$17-'Invoer gegevens (N)'!$C$16)</f>
        <v>0</v>
      </c>
      <c r="BA100" s="73">
        <f ca="1">AW100/(1+'Invoer gegevens (N)'!$I$12)^(E100-('Invoer gegevens (N)'!$C$17-1))/(1+'Invoer gegevens (N)'!$C$39)^('Invoer gegevens (N)'!$C$17-'Invoer gegevens (N)'!$C$16)</f>
        <v>0</v>
      </c>
      <c r="BB100" s="73">
        <f ca="1">AX100/(1+'Invoer gegevens (N)'!$C$39)^('Invoer gegevens (N)'!$C$17-'Invoer gegevens (N)'!$C$16)</f>
        <v>0</v>
      </c>
      <c r="BC100" s="72">
        <f t="shared" ca="1" si="14"/>
        <v>0</v>
      </c>
      <c r="BD100" s="72">
        <f ca="1">IF(AND(E100='Invoer gegevens (N)'!$C$16,'Invoer gegevens (N)'!$C$34&lt;'Invoer gegevens (N)'!$C$16),AY100,AY100/(1+'Invoer gegevens (N)'!$C$39)^D100)</f>
        <v>0</v>
      </c>
      <c r="BE100" s="72">
        <f ca="1">IF(E100='Invoer gegevens (N)'!$C$34,-'Invoer gegevens (N)'!$I$38,0)</f>
        <v>0</v>
      </c>
      <c r="BF100" s="72">
        <f ca="1">IF(E100='Invoer gegevens (N)'!$C$17,-'Invoer gegevens (N)'!$C$19*$BC$134,0)</f>
        <v>0</v>
      </c>
      <c r="BG100" s="72">
        <f ca="1">AV100/(1+$BG$72)^($D100-('Invoer gegevens (N)'!$C$17-'Invoer gegevens (N)'!$C$16))/(1+'Invoer gegevens (N)'!$C$39)^('Invoer gegevens (N)'!$C$17-'Invoer gegevens (N)'!$C$16)+AW100/(1+$BG$72)^(E100-('Invoer gegevens (N)'!$C$17-1))/(1+'Invoer gegevens (N)'!$C$39)^('Invoer gegevens (N)'!$C$17-'Invoer gegevens (N)'!$C$16)+AX100/(1+'Invoer gegevens (N)'!$C$39)^('Invoer gegevens (N)'!$C$17-'Invoer gegevens (N)'!$C$16)+(-AY100/(1+'Invoer gegevens (N)'!$C$39)^D100)+BE100+BF100</f>
        <v>0</v>
      </c>
    </row>
    <row r="101" spans="1:59" x14ac:dyDescent="0.25">
      <c r="B101" s="70">
        <f t="shared" si="15"/>
        <v>29</v>
      </c>
      <c r="C101" s="67">
        <f ca="1">IF(AND(E101&gt;='Invoer gegevens (N)'!$C$17,E101&lt;'Invoer gegevens (N)'!$C$17+'Invoer gegevens (N)'!$I$14),1,0)</f>
        <v>1</v>
      </c>
      <c r="D101" s="68">
        <f t="shared" si="16"/>
        <v>28.5</v>
      </c>
      <c r="E101" s="108">
        <f ca="1">IF('Invoer gegevens (N)'!$C$16="","",E100+1)</f>
        <v>2047</v>
      </c>
      <c r="F101" s="84">
        <f ca="1">IF('Invoer gegevens (N)'!$C$17=E101,'Invoer gegevens (N)'!$C$10,IF(C101=1,K100,0))</f>
        <v>0</v>
      </c>
      <c r="G101" s="96">
        <f ca="1">IF(E101='Invoer gegevens (N)'!$C$17+'Invoer gegevens (N)'!$I$14,K100,IF(C101&gt;=1,F101*VLOOKUP(E101,'Reeksen (N)'!$A$5:$B$76,2),0))</f>
        <v>0</v>
      </c>
      <c r="H101" s="84">
        <f ca="1">IF(E101='Invoer gegevens (N)'!$C$17+'Invoer gegevens (N)'!$I$14,K100,(1-('Invoer gegevens (N)'!$F$20/12))*F101*MIN('Reeksen (N)'!B33,'Reeksen (N)'!D33))</f>
        <v>0</v>
      </c>
      <c r="I101" s="84">
        <f>IF('Reeksen (N)'!D33&lt;'Reeksen (N)'!B33,('Reeksen (N)'!B33-'Reeksen (N)'!D33)*F101,0)</f>
        <v>0</v>
      </c>
      <c r="J101" s="84">
        <f ca="1">IF(E101='Invoer gegevens (N)'!$C$17+'Invoer gegevens (N)'!$I$14+1,0,('Invoer gegevens (N)'!$F$20/12)*F100*MIN('Reeksen (N)'!B32,'Reeksen (N)'!D32))</f>
        <v>0</v>
      </c>
      <c r="K101" s="97">
        <f ca="1">IF(E101&gt;='Invoer gegevens (N)'!$C$17+'Invoer gegevens (N)'!$I$14,0,F101-G101)</f>
        <v>0</v>
      </c>
      <c r="L101" s="84">
        <f ca="1">IF('Invoer gegevens (N)'!$C$17=E101,0,IF(C101=1,Q100,0))</f>
        <v>0</v>
      </c>
      <c r="M101" s="96">
        <f ca="1">IF(E101='Invoer gegevens (N)'!$C$17+'Invoer gegevens (N)'!$I$14,Q100,IF(C101&gt;=1,L101*VLOOKUP(E101,'Reeksen (N)'!$A$5:$B$76,2),0))</f>
        <v>0</v>
      </c>
      <c r="N101" s="84">
        <f ca="1">IF(C101='Invoer gegevens (N)'!$C$17+'Invoer gegevens (N)'!$I$14,Q100,(1-('Invoer gegevens (N)'!$F$20/12))*L101*MIN('Reeksen (N)'!B33,'Reeksen (N)'!D33))</f>
        <v>0</v>
      </c>
      <c r="O101" s="84">
        <f>IF('Reeksen (N)'!D33&lt;'Reeksen (N)'!B33,('Reeksen (N)'!B33-'Reeksen (N)'!D33)*L101,0)</f>
        <v>0</v>
      </c>
      <c r="P101" s="84">
        <f ca="1">IF(E101='Invoer gegevens (N)'!$C$17+'Invoer gegevens (N)'!$I$14+1,0,('Invoer gegevens (N)'!$F$20/12)*L100*MIN('Reeksen (N)'!B32,'Reeksen (N)'!D32))</f>
        <v>0</v>
      </c>
      <c r="Q101" s="84">
        <f ca="1">IF(E101&gt;='Invoer gegevens (N)'!$C$17+'Invoer gegevens (N)'!$I$14,0,L101-M101+I101+O101)</f>
        <v>0</v>
      </c>
      <c r="R101" s="82">
        <f ca="1">IF('Invoer gegevens (N)'!$C$17=E101,'Invoer gegevens (N)'!$C$11,IF(C101=1,W100,0))</f>
        <v>0</v>
      </c>
      <c r="S101" s="86">
        <f ca="1">IF(E101='Invoer gegevens (N)'!$C$17+'Invoer gegevens (N)'!$I$14,W100,IF(C101&gt;=1,R101*VLOOKUP(E101,'Reeksen (N)'!$A$5:$B$76,2),0))</f>
        <v>0</v>
      </c>
      <c r="T101" s="84">
        <f ca="1">IF(E101='Invoer gegevens (N)'!$C$17+'Invoer gegevens (N)'!$I$14,W100,(1-('Invoer gegevens (N)'!$F$20/12))*R101*MIN('Reeksen (N)'!B33,'Reeksen (N)'!D33))</f>
        <v>0</v>
      </c>
      <c r="U101" s="84">
        <f>IF('Reeksen (N)'!D33&gt;='Reeksen (N)'!B33,0,IF('Reeksen (N)'!AK33&lt;='Reeksen (N)'!AE33,('Reeksen (N)'!B33-'Reeksen (N)'!D33)*R101,0))</f>
        <v>0</v>
      </c>
      <c r="V101" s="86">
        <f>IF('Reeksen (N)'!D33&gt;='Reeksen (N)'!B33,0,IF('Reeksen (N)'!AK33&gt;'Reeksen (N)'!AE33,('Reeksen (N)'!B33-'Reeksen (N)'!D33)*R101,0))</f>
        <v>0</v>
      </c>
      <c r="W101" s="97">
        <f ca="1">IF(E101&gt;='Invoer gegevens (N)'!$C$17+'Invoer gegevens (N)'!$I$14,0,R101-S101)</f>
        <v>0</v>
      </c>
      <c r="X101" s="98">
        <f ca="1">IF('Invoer gegevens (N)'!$C$17=E101,'Invoer gegevens (N)'!$C$10-'Invoer gegevens (N)'!$C$11,IF(C101=1,AC100,0))</f>
        <v>0</v>
      </c>
      <c r="Y101" s="98">
        <f ca="1">IF(E101='Invoer gegevens (N)'!$C$17+'Invoer gegevens (N)'!$I$14,AC100,IF(C101&gt;=1,X101*VLOOKUP(E101,'Reeksen (N)'!$A$5:$B$76,2),0))</f>
        <v>0</v>
      </c>
      <c r="Z101" s="98">
        <f ca="1">IF(E101='Invoer gegevens (N)'!$C$17+'Invoer gegevens (N)'!$I$14,AC100,(1-('Invoer gegevens (N)'!$F$20/12))*X101*MIN('Reeksen (N)'!B33,'Reeksen (N)'!D33))</f>
        <v>0</v>
      </c>
      <c r="AA101" s="98">
        <f>IF('Reeksen (N)'!D33&gt;='Reeksen (N)'!B33,0,IF('Reeksen (N)'!AK33&lt;='Reeksen (N)'!AE33,('Reeksen (N)'!B33-'Reeksen (N)'!D33)*X101,0))</f>
        <v>0</v>
      </c>
      <c r="AB101" s="98">
        <f>IF('Reeksen (N)'!D33&gt;='Reeksen (N)'!B33,0,IF('Reeksen (N)'!AK33&gt;'Reeksen (N)'!AE33,('Reeksen (N)'!B33-'Reeksen (N)'!D33)*X101,0))</f>
        <v>0</v>
      </c>
      <c r="AC101" s="99">
        <f ca="1">IF(E101&gt;='Invoer gegevens (N)'!$C$17+'Invoer gegevens (N)'!$I$14,0,X101-Y101)</f>
        <v>0</v>
      </c>
      <c r="AD101" s="98">
        <f ca="1">IF('Invoer gegevens (N)'!$C$17=E33,R101,IF(C33=0,0,AE100))</f>
        <v>0</v>
      </c>
      <c r="AE101" s="98">
        <f t="shared" ca="1" si="9"/>
        <v>0</v>
      </c>
      <c r="AF101" s="98">
        <f ca="1">IF('Invoer gegevens (N)'!$C$17=E33,X101,IF(C33=0,0,AG100))</f>
        <v>0</v>
      </c>
      <c r="AG101" s="98">
        <f t="shared" ca="1" si="10"/>
        <v>0</v>
      </c>
      <c r="AH101" s="70"/>
      <c r="AI101" s="71">
        <f ca="1">IF(C101=1,(('Reeksen (N)'!BF33*(F101-G101+F101)/2)+((L101-M101+L101)/2*'Reeksen (N)'!BG33))*12,0)</f>
        <v>0</v>
      </c>
      <c r="AJ101" s="71">
        <f ca="1">-AI101*'Invoer gegevens (N)'!$I$26</f>
        <v>0</v>
      </c>
      <c r="AK101" s="71">
        <f t="shared" ca="1" si="11"/>
        <v>0</v>
      </c>
      <c r="AL101" s="71">
        <f ca="1">IF(C101=1,'Reeksen (N)'!AL33*((F101-G101+F101)/2)*12+'Reeksen (N)'!AM33*((L101-M101+L101)/2)*12,0)</f>
        <v>0</v>
      </c>
      <c r="AM101" s="71">
        <f ca="1">-AL101*'Invoer gegevens (N)'!$F$31</f>
        <v>0</v>
      </c>
      <c r="AN101" s="71">
        <f t="shared" ca="1" si="12"/>
        <v>0</v>
      </c>
      <c r="AO101" s="71">
        <f ca="1">IF(E101&gt;='Invoer gegevens (N)'!$C$17+'Invoer gegevens (N)'!$I$14,0,IF(C101=1,(H101+J101+N101+P101)*'Reeksen (N)'!AN33,0))</f>
        <v>0</v>
      </c>
      <c r="AP101" s="71">
        <f ca="1">-IF(C101=1,(H101+J101+N101+P101)*'Reeksen (N)'!AN32*'Hulp - basis'!$J$550,0)</f>
        <v>0</v>
      </c>
      <c r="AQ101" s="71">
        <f ca="1">-IF(C101=1,(F101+K101+L101+Q101)/2*'Invoer gegevens (N)'!$I$33*'Reeksen (N)'!J33,0)</f>
        <v>0</v>
      </c>
      <c r="AR101" s="71">
        <f ca="1">-IF(C101=1,(I101*'Invoer gegevens (N)'!$I$34)*'Reeksen (N)'!J33,0)</f>
        <v>0</v>
      </c>
      <c r="AS101" s="71">
        <f ca="1">-IF(C101=1,(F101+K101+L101+Q101)/2*'Invoer gegevens (N)'!$I$35*'Reeksen (N)'!L33,0)</f>
        <v>0</v>
      </c>
      <c r="AT101" s="71">
        <f ca="1">-IF(C101=1,IF(E101='Invoer gegevens (N)'!$C$17,'Invoer gegevens (N)'!$C$11,AD101)*'Reeksen (N)'!S33*'Invoer gegevens (N)'!$C$18*'Reeksen (N)'!P33,0)</f>
        <v>0</v>
      </c>
      <c r="AU101" s="71">
        <f ca="1">-IF(C101=1,(F101+K101+L101+Q101)/2*'Invoer gegevens (N)'!$I$36*'Reeksen (N)'!H33,0)</f>
        <v>0</v>
      </c>
      <c r="AV101" s="71">
        <f t="shared" ca="1" si="13"/>
        <v>0</v>
      </c>
      <c r="AW101" s="72">
        <f ca="1">IFERROR(IF(E101='Invoer gegevens (N)'!$C$17+'Invoer gegevens (N)'!$I$14-1,'Invoer gegevens (N)'!$I$13*K101*'Reeksen (N)'!H33,0),0)</f>
        <v>0</v>
      </c>
      <c r="AX101" s="72">
        <f ca="1">IFERROR(IF(E101='Invoer gegevens (N)'!$C$17,-'Invoer gegevens (N)'!$C$10*('Invoer gegevens (N)'!$C$30+'Invoer gegevens (N)'!$C$31)*'Reeksen (N)'!H33,0),0)</f>
        <v>0</v>
      </c>
      <c r="AY101" s="73">
        <f ca="1">IF('Invoer gegevens (N)'!$C$34=E101,'Invoer gegevens (N)'!$C$27*'Invoer gegevens (N)'!$C$10*'Invoer gegevens (N)'!$C$36*(IF('Invoer gegevens (N)'!$C$35="ja",1,'Reeksen (N)'!J33)),IF('Invoer gegevens (N)'!$C$34+1=E101,'Invoer gegevens (N)'!$C$27*'Invoer gegevens (N)'!$C$10*'Invoer gegevens (N)'!$C$37*(IF('Invoer gegevens (N)'!$C$35="ja",1,'Reeksen (N)'!J33)),0))+IF(AND(E101='Invoer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1" s="73">
        <f ca="1">AV101/(1+'Invoer gegevens (N)'!$I$12)^($D101-('Invoer gegevens (N)'!$C$17-'Invoer gegevens (N)'!$C$16))/(1+'Invoer gegevens (N)'!$C$39)^('Invoer gegevens (N)'!$C$17-'Invoer gegevens (N)'!$C$16)</f>
        <v>0</v>
      </c>
      <c r="BA101" s="73">
        <f ca="1">AW101/(1+'Invoer gegevens (N)'!$I$12)^(E101-('Invoer gegevens (N)'!$C$17-1))/(1+'Invoer gegevens (N)'!$C$39)^('Invoer gegevens (N)'!$C$17-'Invoer gegevens (N)'!$C$16)</f>
        <v>0</v>
      </c>
      <c r="BB101" s="73">
        <f ca="1">AX101/(1+'Invoer gegevens (N)'!$C$39)^('Invoer gegevens (N)'!$C$17-'Invoer gegevens (N)'!$C$16)</f>
        <v>0</v>
      </c>
      <c r="BC101" s="72">
        <f t="shared" ca="1" si="14"/>
        <v>0</v>
      </c>
      <c r="BD101" s="72">
        <f ca="1">IF(AND(E101='Invoer gegevens (N)'!$C$16,'Invoer gegevens (N)'!$C$34&lt;'Invoer gegevens (N)'!$C$16),AY101,AY101/(1+'Invoer gegevens (N)'!$C$39)^D101)</f>
        <v>0</v>
      </c>
      <c r="BE101" s="72">
        <f ca="1">IF(E101='Invoer gegevens (N)'!$C$34,-'Invoer gegevens (N)'!$I$38,0)</f>
        <v>0</v>
      </c>
      <c r="BF101" s="72">
        <f ca="1">IF(E101='Invoer gegevens (N)'!$C$17,-'Invoer gegevens (N)'!$C$19*$BC$134,0)</f>
        <v>0</v>
      </c>
      <c r="BG101" s="72">
        <f ca="1">AV101/(1+$BG$72)^($D101-('Invoer gegevens (N)'!$C$17-'Invoer gegevens (N)'!$C$16))/(1+'Invoer gegevens (N)'!$C$39)^('Invoer gegevens (N)'!$C$17-'Invoer gegevens (N)'!$C$16)+AW101/(1+$BG$72)^(E101-('Invoer gegevens (N)'!$C$17-1))/(1+'Invoer gegevens (N)'!$C$39)^('Invoer gegevens (N)'!$C$17-'Invoer gegevens (N)'!$C$16)+AX101/(1+'Invoer gegevens (N)'!$C$39)^('Invoer gegevens (N)'!$C$17-'Invoer gegevens (N)'!$C$16)+(-AY101/(1+'Invoer gegevens (N)'!$C$39)^D101)+BE101+BF101</f>
        <v>0</v>
      </c>
    </row>
    <row r="102" spans="1:59" x14ac:dyDescent="0.25">
      <c r="B102" s="70">
        <f t="shared" si="15"/>
        <v>30</v>
      </c>
      <c r="C102" s="67">
        <f ca="1">IF(AND(E102&gt;='Invoer gegevens (N)'!$C$17,E102&lt;'Invoer gegevens (N)'!$C$17+'Invoer gegevens (N)'!$I$14),1,0)</f>
        <v>1</v>
      </c>
      <c r="D102" s="68">
        <f t="shared" si="16"/>
        <v>29.5</v>
      </c>
      <c r="E102" s="108">
        <f ca="1">IF('Invoer gegevens (N)'!$C$16="","",E101+1)</f>
        <v>2048</v>
      </c>
      <c r="F102" s="84">
        <f ca="1">IF('Invoer gegevens (N)'!$C$17=E102,'Invoer gegevens (N)'!$C$10,IF(C102=1,K101,0))</f>
        <v>0</v>
      </c>
      <c r="G102" s="96">
        <f ca="1">IF(E102='Invoer gegevens (N)'!$C$17+'Invoer gegevens (N)'!$I$14,K101,IF(C102&gt;=1,F102*VLOOKUP(E102,'Reeksen (N)'!$A$5:$B$76,2),0))</f>
        <v>0</v>
      </c>
      <c r="H102" s="84">
        <f ca="1">IF(E102='Invoer gegevens (N)'!$C$17+'Invoer gegevens (N)'!$I$14,K101,(1-('Invoer gegevens (N)'!$F$20/12))*F102*MIN('Reeksen (N)'!B34,'Reeksen (N)'!D34))</f>
        <v>0</v>
      </c>
      <c r="I102" s="84">
        <f>IF('Reeksen (N)'!D34&lt;'Reeksen (N)'!B34,('Reeksen (N)'!B34-'Reeksen (N)'!D34)*F102,0)</f>
        <v>0</v>
      </c>
      <c r="J102" s="84">
        <f ca="1">IF(E102='Invoer gegevens (N)'!$C$17+'Invoer gegevens (N)'!$I$14+1,0,('Invoer gegevens (N)'!$F$20/12)*F101*MIN('Reeksen (N)'!B33,'Reeksen (N)'!D33))</f>
        <v>0</v>
      </c>
      <c r="K102" s="97">
        <f ca="1">IF(E102&gt;='Invoer gegevens (N)'!$C$17+'Invoer gegevens (N)'!$I$14,0,F102-G102)</f>
        <v>0</v>
      </c>
      <c r="L102" s="84">
        <f ca="1">IF('Invoer gegevens (N)'!$C$17=E102,0,IF(C102=1,Q101,0))</f>
        <v>0</v>
      </c>
      <c r="M102" s="96">
        <f ca="1">IF(E102='Invoer gegevens (N)'!$C$17+'Invoer gegevens (N)'!$I$14,Q101,IF(C102&gt;=1,L102*VLOOKUP(E102,'Reeksen (N)'!$A$5:$B$76,2),0))</f>
        <v>0</v>
      </c>
      <c r="N102" s="84">
        <f ca="1">IF(C102='Invoer gegevens (N)'!$C$17+'Invoer gegevens (N)'!$I$14,Q101,(1-('Invoer gegevens (N)'!$F$20/12))*L102*MIN('Reeksen (N)'!B34,'Reeksen (N)'!D34))</f>
        <v>0</v>
      </c>
      <c r="O102" s="84">
        <f>IF('Reeksen (N)'!D34&lt;'Reeksen (N)'!B34,('Reeksen (N)'!B34-'Reeksen (N)'!D34)*L102,0)</f>
        <v>0</v>
      </c>
      <c r="P102" s="84">
        <f ca="1">IF(E102='Invoer gegevens (N)'!$C$17+'Invoer gegevens (N)'!$I$14+1,0,('Invoer gegevens (N)'!$F$20/12)*L101*MIN('Reeksen (N)'!B33,'Reeksen (N)'!D33))</f>
        <v>0</v>
      </c>
      <c r="Q102" s="84">
        <f ca="1">IF(E102&gt;='Invoer gegevens (N)'!$C$17+'Invoer gegevens (N)'!$I$14,0,L102-M102+I102+O102)</f>
        <v>0</v>
      </c>
      <c r="R102" s="82">
        <f ca="1">IF('Invoer gegevens (N)'!$C$17=E102,'Invoer gegevens (N)'!$C$11,IF(C102=1,W101,0))</f>
        <v>0</v>
      </c>
      <c r="S102" s="86">
        <f ca="1">IF(E102='Invoer gegevens (N)'!$C$17+'Invoer gegevens (N)'!$I$14,W101,IF(C102&gt;=1,R102*VLOOKUP(E102,'Reeksen (N)'!$A$5:$B$76,2),0))</f>
        <v>0</v>
      </c>
      <c r="T102" s="84">
        <f ca="1">IF(E102='Invoer gegevens (N)'!$C$17+'Invoer gegevens (N)'!$I$14,W101,(1-('Invoer gegevens (N)'!$F$20/12))*R102*MIN('Reeksen (N)'!B34,'Reeksen (N)'!D34))</f>
        <v>0</v>
      </c>
      <c r="U102" s="84">
        <f>IF('Reeksen (N)'!D34&gt;='Reeksen (N)'!B34,0,IF('Reeksen (N)'!AK34&lt;='Reeksen (N)'!AE34,('Reeksen (N)'!B34-'Reeksen (N)'!D34)*R102,0))</f>
        <v>0</v>
      </c>
      <c r="V102" s="86">
        <f>IF('Reeksen (N)'!D34&gt;='Reeksen (N)'!B34,0,IF('Reeksen (N)'!AK34&gt;'Reeksen (N)'!AE34,('Reeksen (N)'!B34-'Reeksen (N)'!D34)*R102,0))</f>
        <v>0</v>
      </c>
      <c r="W102" s="97">
        <f ca="1">IF(E102&gt;='Invoer gegevens (N)'!$C$17+'Invoer gegevens (N)'!$I$14,0,R102-S102)</f>
        <v>0</v>
      </c>
      <c r="X102" s="98">
        <f ca="1">IF('Invoer gegevens (N)'!$C$17=E102,'Invoer gegevens (N)'!$C$10-'Invoer gegevens (N)'!$C$11,IF(C102=1,AC101,0))</f>
        <v>0</v>
      </c>
      <c r="Y102" s="98">
        <f ca="1">IF(E102='Invoer gegevens (N)'!$C$17+'Invoer gegevens (N)'!$I$14,AC101,IF(C102&gt;=1,X102*VLOOKUP(E102,'Reeksen (N)'!$A$5:$B$76,2),0))</f>
        <v>0</v>
      </c>
      <c r="Z102" s="98">
        <f ca="1">IF(E102='Invoer gegevens (N)'!$C$17+'Invoer gegevens (N)'!$I$14,AC101,(1-('Invoer gegevens (N)'!$F$20/12))*X102*MIN('Reeksen (N)'!B34,'Reeksen (N)'!D34))</f>
        <v>0</v>
      </c>
      <c r="AA102" s="98">
        <f>IF('Reeksen (N)'!D34&gt;='Reeksen (N)'!B34,0,IF('Reeksen (N)'!AK34&lt;='Reeksen (N)'!AE34,('Reeksen (N)'!B34-'Reeksen (N)'!D34)*X102,0))</f>
        <v>0</v>
      </c>
      <c r="AB102" s="98">
        <f>IF('Reeksen (N)'!D34&gt;='Reeksen (N)'!B34,0,IF('Reeksen (N)'!AK34&gt;'Reeksen (N)'!AE34,('Reeksen (N)'!B34-'Reeksen (N)'!D34)*X102,0))</f>
        <v>0</v>
      </c>
      <c r="AC102" s="99">
        <f ca="1">IF(E102&gt;='Invoer gegevens (N)'!$C$17+'Invoer gegevens (N)'!$I$14,0,X102-Y102)</f>
        <v>0</v>
      </c>
      <c r="AD102" s="98">
        <f ca="1">IF('Invoer gegevens (N)'!$C$17=E34,R102,IF(C34=0,0,AE101))</f>
        <v>0</v>
      </c>
      <c r="AE102" s="98">
        <f t="shared" ca="1" si="9"/>
        <v>0</v>
      </c>
      <c r="AF102" s="98">
        <f ca="1">IF('Invoer gegevens (N)'!$C$17=E34,X102,IF(C34=0,0,AG101))</f>
        <v>0</v>
      </c>
      <c r="AG102" s="98">
        <f t="shared" ca="1" si="10"/>
        <v>0</v>
      </c>
      <c r="AH102" s="70"/>
      <c r="AI102" s="71">
        <f ca="1">IF(C102=1,(('Reeksen (N)'!BF34*(F102-G102+F102)/2)+((L102-M102+L102)/2*'Reeksen (N)'!BG34))*12,0)</f>
        <v>0</v>
      </c>
      <c r="AJ102" s="71">
        <f ca="1">-AI102*'Invoer gegevens (N)'!$I$26</f>
        <v>0</v>
      </c>
      <c r="AK102" s="71">
        <f t="shared" ca="1" si="11"/>
        <v>0</v>
      </c>
      <c r="AL102" s="71">
        <f ca="1">IF(C102=1,'Reeksen (N)'!AL34*((F102-G102+F102)/2)*12+'Reeksen (N)'!AM34*((L102-M102+L102)/2)*12,0)</f>
        <v>0</v>
      </c>
      <c r="AM102" s="71">
        <f ca="1">-AL102*'Invoer gegevens (N)'!$F$31</f>
        <v>0</v>
      </c>
      <c r="AN102" s="71">
        <f t="shared" ca="1" si="12"/>
        <v>0</v>
      </c>
      <c r="AO102" s="71">
        <f ca="1">IF(E102&gt;='Invoer gegevens (N)'!$C$17+'Invoer gegevens (N)'!$I$14,0,IF(C102=1,(H102+J102+N102+P102)*'Reeksen (N)'!AN34,0))</f>
        <v>0</v>
      </c>
      <c r="AP102" s="71">
        <f ca="1">-IF(C102=1,(H102+J102+N102+P102)*'Reeksen (N)'!AN33*'Hulp - basis'!$J$550,0)</f>
        <v>0</v>
      </c>
      <c r="AQ102" s="71">
        <f ca="1">-IF(C102=1,(F102+K102+L102+Q102)/2*'Invoer gegevens (N)'!$I$33*'Reeksen (N)'!J34,0)</f>
        <v>0</v>
      </c>
      <c r="AR102" s="71">
        <f ca="1">-IF(C102=1,(I102*'Invoer gegevens (N)'!$I$34)*'Reeksen (N)'!J34,0)</f>
        <v>0</v>
      </c>
      <c r="AS102" s="71">
        <f ca="1">-IF(C102=1,(F102+K102+L102+Q102)/2*'Invoer gegevens (N)'!$I$35*'Reeksen (N)'!L34,0)</f>
        <v>0</v>
      </c>
      <c r="AT102" s="71">
        <f ca="1">-IF(C102=1,IF(E102='Invoer gegevens (N)'!$C$17,'Invoer gegevens (N)'!$C$11,AD102)*'Reeksen (N)'!S34*'Invoer gegevens (N)'!$C$18*'Reeksen (N)'!P34,0)</f>
        <v>0</v>
      </c>
      <c r="AU102" s="71">
        <f ca="1">-IF(C102=1,(F102+K102+L102+Q102)/2*'Invoer gegevens (N)'!$I$36*'Reeksen (N)'!H34,0)</f>
        <v>0</v>
      </c>
      <c r="AV102" s="71">
        <f t="shared" ca="1" si="13"/>
        <v>0</v>
      </c>
      <c r="AW102" s="72">
        <f ca="1">IFERROR(IF(E102='Invoer gegevens (N)'!$C$17+'Invoer gegevens (N)'!$I$14-1,'Invoer gegevens (N)'!$I$13*K102*'Reeksen (N)'!H34,0),0)</f>
        <v>0</v>
      </c>
      <c r="AX102" s="72">
        <f ca="1">IFERROR(IF(E102='Invoer gegevens (N)'!$C$17,-'Invoer gegevens (N)'!$C$10*('Invoer gegevens (N)'!$C$30+'Invoer gegevens (N)'!$C$31)*'Reeksen (N)'!H34,0),0)</f>
        <v>0</v>
      </c>
      <c r="AY102" s="73">
        <f ca="1">IF('Invoer gegevens (N)'!$C$34=E102,'Invoer gegevens (N)'!$C$27*'Invoer gegevens (N)'!$C$10*'Invoer gegevens (N)'!$C$36*(IF('Invoer gegevens (N)'!$C$35="ja",1,'Reeksen (N)'!J34)),IF('Invoer gegevens (N)'!$C$34+1=E102,'Invoer gegevens (N)'!$C$27*'Invoer gegevens (N)'!$C$10*'Invoer gegevens (N)'!$C$37*(IF('Invoer gegevens (N)'!$C$35="ja",1,'Reeksen (N)'!J34)),0))+IF(AND(E102='Invoer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2" s="73">
        <f ca="1">AV102/(1+'Invoer gegevens (N)'!$I$12)^($D102-('Invoer gegevens (N)'!$C$17-'Invoer gegevens (N)'!$C$16))/(1+'Invoer gegevens (N)'!$C$39)^('Invoer gegevens (N)'!$C$17-'Invoer gegevens (N)'!$C$16)</f>
        <v>0</v>
      </c>
      <c r="BA102" s="73">
        <f ca="1">AW102/(1+'Invoer gegevens (N)'!$I$12)^(E102-('Invoer gegevens (N)'!$C$17-1))/(1+'Invoer gegevens (N)'!$C$39)^('Invoer gegevens (N)'!$C$17-'Invoer gegevens (N)'!$C$16)</f>
        <v>0</v>
      </c>
      <c r="BB102" s="73">
        <f ca="1">AX102/(1+'Invoer gegevens (N)'!$C$39)^('Invoer gegevens (N)'!$C$17-'Invoer gegevens (N)'!$C$16)</f>
        <v>0</v>
      </c>
      <c r="BC102" s="72">
        <f t="shared" ca="1" si="14"/>
        <v>0</v>
      </c>
      <c r="BD102" s="72">
        <f ca="1">IF(AND(E102='Invoer gegevens (N)'!$C$16,'Invoer gegevens (N)'!$C$34&lt;'Invoer gegevens (N)'!$C$16),AY102,AY102/(1+'Invoer gegevens (N)'!$C$39)^D102)</f>
        <v>0</v>
      </c>
      <c r="BE102" s="72">
        <f ca="1">IF(E102='Invoer gegevens (N)'!$C$34,-'Invoer gegevens (N)'!$I$38,0)</f>
        <v>0</v>
      </c>
      <c r="BF102" s="72">
        <f ca="1">IF(E102='Invoer gegevens (N)'!$C$17,-'Invoer gegevens (N)'!$C$19*$BC$134,0)</f>
        <v>0</v>
      </c>
      <c r="BG102" s="72">
        <f ca="1">AV102/(1+$BG$72)^($D102-('Invoer gegevens (N)'!$C$17-'Invoer gegevens (N)'!$C$16))/(1+'Invoer gegevens (N)'!$C$39)^('Invoer gegevens (N)'!$C$17-'Invoer gegevens (N)'!$C$16)+AW102/(1+$BG$72)^(E102-('Invoer gegevens (N)'!$C$17-1))/(1+'Invoer gegevens (N)'!$C$39)^('Invoer gegevens (N)'!$C$17-'Invoer gegevens (N)'!$C$16)+AX102/(1+'Invoer gegevens (N)'!$C$39)^('Invoer gegevens (N)'!$C$17-'Invoer gegevens (N)'!$C$16)+(-AY102/(1+'Invoer gegevens (N)'!$C$39)^D102)+BE102+BF102</f>
        <v>0</v>
      </c>
    </row>
    <row r="103" spans="1:59" x14ac:dyDescent="0.25">
      <c r="B103" s="70">
        <f t="shared" si="15"/>
        <v>31</v>
      </c>
      <c r="C103" s="67">
        <f ca="1">IF(AND(E103&gt;='Invoer gegevens (N)'!$C$17,E103&lt;'Invoer gegevens (N)'!$C$17+'Invoer gegevens (N)'!$I$14),1,0)</f>
        <v>1</v>
      </c>
      <c r="D103" s="68">
        <f t="shared" si="16"/>
        <v>30.5</v>
      </c>
      <c r="E103" s="108">
        <f ca="1">IF('Invoer gegevens (N)'!$C$16="","",E102+1)</f>
        <v>2049</v>
      </c>
      <c r="F103" s="84">
        <f ca="1">IF('Invoer gegevens (N)'!$C$17=E103,'Invoer gegevens (N)'!$C$10,IF(C103=1,K102,0))</f>
        <v>0</v>
      </c>
      <c r="G103" s="96">
        <f ca="1">IF(E103='Invoer gegevens (N)'!$C$17+'Invoer gegevens (N)'!$I$14,K102,IF(C103&gt;=1,F103*VLOOKUP(E103,'Reeksen (N)'!$A$5:$B$76,2),0))</f>
        <v>0</v>
      </c>
      <c r="H103" s="84">
        <f ca="1">IF(E103='Invoer gegevens (N)'!$C$17+'Invoer gegevens (N)'!$I$14,K102,(1-('Invoer gegevens (N)'!$F$20/12))*F103*MIN('Reeksen (N)'!B35,'Reeksen (N)'!D35))</f>
        <v>0</v>
      </c>
      <c r="I103" s="84">
        <f>IF('Reeksen (N)'!D35&lt;'Reeksen (N)'!B35,('Reeksen (N)'!B35-'Reeksen (N)'!D35)*F103,0)</f>
        <v>0</v>
      </c>
      <c r="J103" s="84">
        <f ca="1">IF(E103='Invoer gegevens (N)'!$C$17+'Invoer gegevens (N)'!$I$14+1,0,('Invoer gegevens (N)'!$F$20/12)*F102*MIN('Reeksen (N)'!B34,'Reeksen (N)'!D34))</f>
        <v>0</v>
      </c>
      <c r="K103" s="97">
        <f ca="1">IF(E103&gt;='Invoer gegevens (N)'!$C$17+'Invoer gegevens (N)'!$I$14,0,F103-G103)</f>
        <v>0</v>
      </c>
      <c r="L103" s="84">
        <f ca="1">IF('Invoer gegevens (N)'!$C$17=E103,0,IF(C103=1,Q102,0))</f>
        <v>0</v>
      </c>
      <c r="M103" s="96">
        <f ca="1">IF(E103='Invoer gegevens (N)'!$C$17+'Invoer gegevens (N)'!$I$14,Q102,IF(C103&gt;=1,L103*VLOOKUP(E103,'Reeksen (N)'!$A$5:$B$76,2),0))</f>
        <v>0</v>
      </c>
      <c r="N103" s="84">
        <f ca="1">IF(C103='Invoer gegevens (N)'!$C$17+'Invoer gegevens (N)'!$I$14,Q102,(1-('Invoer gegevens (N)'!$F$20/12))*L103*MIN('Reeksen (N)'!B35,'Reeksen (N)'!D35))</f>
        <v>0</v>
      </c>
      <c r="O103" s="84">
        <f>IF('Reeksen (N)'!D35&lt;'Reeksen (N)'!B35,('Reeksen (N)'!B35-'Reeksen (N)'!D35)*L103,0)</f>
        <v>0</v>
      </c>
      <c r="P103" s="84">
        <f ca="1">IF(E103='Invoer gegevens (N)'!$C$17+'Invoer gegevens (N)'!$I$14+1,0,('Invoer gegevens (N)'!$F$20/12)*L102*MIN('Reeksen (N)'!B34,'Reeksen (N)'!D34))</f>
        <v>0</v>
      </c>
      <c r="Q103" s="84">
        <f ca="1">IF(E103&gt;='Invoer gegevens (N)'!$C$17+'Invoer gegevens (N)'!$I$14,0,L103-M103+I103+O103)</f>
        <v>0</v>
      </c>
      <c r="R103" s="82">
        <f ca="1">IF('Invoer gegevens (N)'!$C$17=E103,'Invoer gegevens (N)'!$C$11,IF(C103=1,W102,0))</f>
        <v>0</v>
      </c>
      <c r="S103" s="86">
        <f ca="1">IF(E103='Invoer gegevens (N)'!$C$17+'Invoer gegevens (N)'!$I$14,W102,IF(C103&gt;=1,R103*VLOOKUP(E103,'Reeksen (N)'!$A$5:$B$76,2),0))</f>
        <v>0</v>
      </c>
      <c r="T103" s="84">
        <f ca="1">IF(E103='Invoer gegevens (N)'!$C$17+'Invoer gegevens (N)'!$I$14,W102,(1-('Invoer gegevens (N)'!$F$20/12))*R103*MIN('Reeksen (N)'!B35,'Reeksen (N)'!D35))</f>
        <v>0</v>
      </c>
      <c r="U103" s="84">
        <f>IF('Reeksen (N)'!D35&gt;='Reeksen (N)'!B35,0,IF('Reeksen (N)'!AK35&lt;='Reeksen (N)'!AE35,('Reeksen (N)'!B35-'Reeksen (N)'!D35)*R103,0))</f>
        <v>0</v>
      </c>
      <c r="V103" s="86">
        <f>IF('Reeksen (N)'!D35&gt;='Reeksen (N)'!B35,0,IF('Reeksen (N)'!AK35&gt;'Reeksen (N)'!AE35,('Reeksen (N)'!B35-'Reeksen (N)'!D35)*R103,0))</f>
        <v>0</v>
      </c>
      <c r="W103" s="97">
        <f ca="1">IF(E103&gt;='Invoer gegevens (N)'!$C$17+'Invoer gegevens (N)'!$I$14,0,R103-S103)</f>
        <v>0</v>
      </c>
      <c r="X103" s="98">
        <f ca="1">IF('Invoer gegevens (N)'!$C$17=E103,'Invoer gegevens (N)'!$C$10-'Invoer gegevens (N)'!$C$11,IF(C103=1,AC102,0))</f>
        <v>0</v>
      </c>
      <c r="Y103" s="98">
        <f ca="1">IF(E103='Invoer gegevens (N)'!$C$17+'Invoer gegevens (N)'!$I$14,AC102,IF(C103&gt;=1,X103*VLOOKUP(E103,'Reeksen (N)'!$A$5:$B$76,2),0))</f>
        <v>0</v>
      </c>
      <c r="Z103" s="98">
        <f ca="1">IF(E103='Invoer gegevens (N)'!$C$17+'Invoer gegevens (N)'!$I$14,AC102,(1-('Invoer gegevens (N)'!$F$20/12))*X103*MIN('Reeksen (N)'!B35,'Reeksen (N)'!D35))</f>
        <v>0</v>
      </c>
      <c r="AA103" s="98">
        <f>IF('Reeksen (N)'!D35&gt;='Reeksen (N)'!B35,0,IF('Reeksen (N)'!AK35&lt;='Reeksen (N)'!AE35,('Reeksen (N)'!B35-'Reeksen (N)'!D35)*X103,0))</f>
        <v>0</v>
      </c>
      <c r="AB103" s="98">
        <f>IF('Reeksen (N)'!D35&gt;='Reeksen (N)'!B35,0,IF('Reeksen (N)'!AK35&gt;'Reeksen (N)'!AE35,('Reeksen (N)'!B35-'Reeksen (N)'!D35)*X103,0))</f>
        <v>0</v>
      </c>
      <c r="AC103" s="99">
        <f ca="1">IF(E103&gt;='Invoer gegevens (N)'!$C$17+'Invoer gegevens (N)'!$I$14,0,X103-Y103)</f>
        <v>0</v>
      </c>
      <c r="AD103" s="98">
        <f ca="1">IF('Invoer gegevens (N)'!$C$17=E35,R103,IF(C35=0,0,AE102))</f>
        <v>0</v>
      </c>
      <c r="AE103" s="98">
        <f t="shared" ca="1" si="9"/>
        <v>0</v>
      </c>
      <c r="AF103" s="98">
        <f ca="1">IF('Invoer gegevens (N)'!$C$17=E35,X103,IF(C35=0,0,AG102))</f>
        <v>0</v>
      </c>
      <c r="AG103" s="98">
        <f t="shared" ca="1" si="10"/>
        <v>0</v>
      </c>
      <c r="AH103" s="66"/>
      <c r="AI103" s="71">
        <f ca="1">IF(C103=1,(('Reeksen (N)'!BF35*(F103-G103+F103)/2)+((L103-M103+L103)/2*'Reeksen (N)'!BG35))*12,0)</f>
        <v>0</v>
      </c>
      <c r="AJ103" s="71">
        <f ca="1">-AI103*'Invoer gegevens (N)'!$I$26</f>
        <v>0</v>
      </c>
      <c r="AK103" s="71">
        <f t="shared" ca="1" si="11"/>
        <v>0</v>
      </c>
      <c r="AL103" s="71">
        <f ca="1">IF(C103=1,'Reeksen (N)'!AL35*((F103-G103+F103)/2)*12+'Reeksen (N)'!AM35*((L103-M103+L103)/2)*12,0)</f>
        <v>0</v>
      </c>
      <c r="AM103" s="71">
        <f ca="1">-AL103*'Invoer gegevens (N)'!$F$31</f>
        <v>0</v>
      </c>
      <c r="AN103" s="71">
        <f t="shared" ca="1" si="12"/>
        <v>0</v>
      </c>
      <c r="AO103" s="71">
        <f ca="1">IF(E103&gt;='Invoer gegevens (N)'!$C$17+'Invoer gegevens (N)'!$I$14,0,IF(C103=1,(H103+J103+N103+P103)*'Reeksen (N)'!AN35,0))</f>
        <v>0</v>
      </c>
      <c r="AP103" s="71">
        <f ca="1">-IF(C103=1,(H103+J103+N103+P103)*'Reeksen (N)'!AN34*'Hulp - basis'!$J$550,0)</f>
        <v>0</v>
      </c>
      <c r="AQ103" s="71">
        <f ca="1">-IF(C103=1,(F103+K103+L103+Q103)/2*'Invoer gegevens (N)'!$I$33*'Reeksen (N)'!J35,0)</f>
        <v>0</v>
      </c>
      <c r="AR103" s="71">
        <f ca="1">-IF(C103=1,(I103*'Invoer gegevens (N)'!$I$34)*'Reeksen (N)'!J35,0)</f>
        <v>0</v>
      </c>
      <c r="AS103" s="71">
        <f ca="1">-IF(C103=1,(F103+K103+L103+Q103)/2*'Invoer gegevens (N)'!$I$35*'Reeksen (N)'!L35,0)</f>
        <v>0</v>
      </c>
      <c r="AT103" s="71">
        <f ca="1">-IF(C103=1,IF(E103='Invoer gegevens (N)'!$C$17,'Invoer gegevens (N)'!$C$11,AD103)*'Reeksen (N)'!S35*'Invoer gegevens (N)'!$C$18*'Reeksen (N)'!P35,0)</f>
        <v>0</v>
      </c>
      <c r="AU103" s="71">
        <f ca="1">-IF(C103=1,(F103+K103+L103+Q103)/2*'Invoer gegevens (N)'!$I$36*'Reeksen (N)'!H35,0)</f>
        <v>0</v>
      </c>
      <c r="AV103" s="71">
        <f t="shared" ca="1" si="13"/>
        <v>0</v>
      </c>
      <c r="AW103" s="72">
        <f ca="1">IFERROR(IF(E103='Invoer gegevens (N)'!$C$17+'Invoer gegevens (N)'!$I$14-1,'Invoer gegevens (N)'!$I$13*K103*'Reeksen (N)'!H35,0),0)</f>
        <v>0</v>
      </c>
      <c r="AX103" s="72">
        <f ca="1">IFERROR(IF(E103='Invoer gegevens (N)'!$C$17,-'Invoer gegevens (N)'!$C$10*('Invoer gegevens (N)'!$C$30+'Invoer gegevens (N)'!$C$31)*'Reeksen (N)'!H35,0),0)</f>
        <v>0</v>
      </c>
      <c r="AY103" s="73">
        <f ca="1">IF('Invoer gegevens (N)'!$C$34=E103,'Invoer gegevens (N)'!$C$27*'Invoer gegevens (N)'!$C$10*'Invoer gegevens (N)'!$C$36*(IF('Invoer gegevens (N)'!$C$35="ja",1,'Reeksen (N)'!J35)),IF('Invoer gegevens (N)'!$C$34+1=E103,'Invoer gegevens (N)'!$C$27*'Invoer gegevens (N)'!$C$10*'Invoer gegevens (N)'!$C$37*(IF('Invoer gegevens (N)'!$C$35="ja",1,'Reeksen (N)'!J35)),0))+IF(AND(E103='Invoer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3" s="73">
        <f ca="1">AV103/(1+'Invoer gegevens (N)'!$I$12)^($D103-('Invoer gegevens (N)'!$C$17-'Invoer gegevens (N)'!$C$16))/(1+'Invoer gegevens (N)'!$C$39)^('Invoer gegevens (N)'!$C$17-'Invoer gegevens (N)'!$C$16)</f>
        <v>0</v>
      </c>
      <c r="BA103" s="73">
        <f ca="1">AW103/(1+'Invoer gegevens (N)'!$I$12)^(E103-('Invoer gegevens (N)'!$C$17-1))/(1+'Invoer gegevens (N)'!$C$39)^('Invoer gegevens (N)'!$C$17-'Invoer gegevens (N)'!$C$16)</f>
        <v>0</v>
      </c>
      <c r="BB103" s="73">
        <f ca="1">AX103/(1+'Invoer gegevens (N)'!$C$39)^('Invoer gegevens (N)'!$C$17-'Invoer gegevens (N)'!$C$16)</f>
        <v>0</v>
      </c>
      <c r="BC103" s="72">
        <f t="shared" ca="1" si="14"/>
        <v>0</v>
      </c>
      <c r="BD103" s="72">
        <f ca="1">IF(AND(E103='Invoer gegevens (N)'!$C$16,'Invoer gegevens (N)'!$C$34&lt;'Invoer gegevens (N)'!$C$16),AY103,AY103/(1+'Invoer gegevens (N)'!$C$39)^D103)</f>
        <v>0</v>
      </c>
      <c r="BE103" s="72">
        <f ca="1">IF(E103='Invoer gegevens (N)'!$C$34,-'Invoer gegevens (N)'!$I$38,0)</f>
        <v>0</v>
      </c>
      <c r="BF103" s="72">
        <f ca="1">IF(E103='Invoer gegevens (N)'!$C$17,-'Invoer gegevens (N)'!$C$19*$BC$134,0)</f>
        <v>0</v>
      </c>
      <c r="BG103" s="72">
        <f ca="1">AV103/(1+$BG$72)^($D103-('Invoer gegevens (N)'!$C$17-'Invoer gegevens (N)'!$C$16))/(1+'Invoer gegevens (N)'!$C$39)^('Invoer gegevens (N)'!$C$17-'Invoer gegevens (N)'!$C$16)+AW103/(1+$BG$72)^(E103-('Invoer gegevens (N)'!$C$17-1))/(1+'Invoer gegevens (N)'!$C$39)^('Invoer gegevens (N)'!$C$17-'Invoer gegevens (N)'!$C$16)+AX103/(1+'Invoer gegevens (N)'!$C$39)^('Invoer gegevens (N)'!$C$17-'Invoer gegevens (N)'!$C$16)+(-AY103/(1+'Invoer gegevens (N)'!$C$39)^D103)+BE103+BF103</f>
        <v>0</v>
      </c>
    </row>
    <row r="104" spans="1:59" x14ac:dyDescent="0.25">
      <c r="B104" s="70">
        <f t="shared" si="15"/>
        <v>32</v>
      </c>
      <c r="C104" s="67">
        <f ca="1">IF(AND(E104&gt;='Invoer gegevens (N)'!$C$17,E104&lt;'Invoer gegevens (N)'!$C$17+'Invoer gegevens (N)'!$I$14),1,0)</f>
        <v>1</v>
      </c>
      <c r="D104" s="68">
        <f t="shared" si="16"/>
        <v>31.5</v>
      </c>
      <c r="E104" s="108">
        <f ca="1">IF('Invoer gegevens (N)'!$C$16="","",E103+1)</f>
        <v>2050</v>
      </c>
      <c r="F104" s="84">
        <f ca="1">IF('Invoer gegevens (N)'!$C$17=E104,'Invoer gegevens (N)'!$C$10,IF(C104=1,K103,0))</f>
        <v>0</v>
      </c>
      <c r="G104" s="96">
        <f ca="1">IF(E104='Invoer gegevens (N)'!$C$17+'Invoer gegevens (N)'!$I$14,K103,IF(C104&gt;=1,F104*VLOOKUP(E104,'Reeksen (N)'!$A$5:$B$76,2),0))</f>
        <v>0</v>
      </c>
      <c r="H104" s="84">
        <f ca="1">IF(E104='Invoer gegevens (N)'!$C$17+'Invoer gegevens (N)'!$I$14,K103,(1-('Invoer gegevens (N)'!$F$20/12))*F104*MIN('Reeksen (N)'!B36,'Reeksen (N)'!D36))</f>
        <v>0</v>
      </c>
      <c r="I104" s="84">
        <f>IF('Reeksen (N)'!D36&lt;'Reeksen (N)'!B36,('Reeksen (N)'!B36-'Reeksen (N)'!D36)*F104,0)</f>
        <v>0</v>
      </c>
      <c r="J104" s="84">
        <f ca="1">IF(E104='Invoer gegevens (N)'!$C$17+'Invoer gegevens (N)'!$I$14+1,0,('Invoer gegevens (N)'!$F$20/12)*F103*MIN('Reeksen (N)'!B35,'Reeksen (N)'!D35))</f>
        <v>0</v>
      </c>
      <c r="K104" s="97">
        <f ca="1">IF(E104&gt;='Invoer gegevens (N)'!$C$17+'Invoer gegevens (N)'!$I$14,0,F104-G104)</f>
        <v>0</v>
      </c>
      <c r="L104" s="84">
        <f ca="1">IF('Invoer gegevens (N)'!$C$17=E104,0,IF(C104=1,Q103,0))</f>
        <v>0</v>
      </c>
      <c r="M104" s="96">
        <f ca="1">IF(E104='Invoer gegevens (N)'!$C$17+'Invoer gegevens (N)'!$I$14,Q103,IF(C104&gt;=1,L104*VLOOKUP(E104,'Reeksen (N)'!$A$5:$B$76,2),0))</f>
        <v>0</v>
      </c>
      <c r="N104" s="84">
        <f ca="1">IF(C104='Invoer gegevens (N)'!$C$17+'Invoer gegevens (N)'!$I$14,Q103,(1-('Invoer gegevens (N)'!$F$20/12))*L104*MIN('Reeksen (N)'!B36,'Reeksen (N)'!D36))</f>
        <v>0</v>
      </c>
      <c r="O104" s="84">
        <f>IF('Reeksen (N)'!D36&lt;'Reeksen (N)'!B36,('Reeksen (N)'!B36-'Reeksen (N)'!D36)*L104,0)</f>
        <v>0</v>
      </c>
      <c r="P104" s="84">
        <f ca="1">IF(E104='Invoer gegevens (N)'!$C$17+'Invoer gegevens (N)'!$I$14+1,0,('Invoer gegevens (N)'!$F$20/12)*L103*MIN('Reeksen (N)'!B35,'Reeksen (N)'!D35))</f>
        <v>0</v>
      </c>
      <c r="Q104" s="84">
        <f ca="1">IF(E104&gt;='Invoer gegevens (N)'!$C$17+'Invoer gegevens (N)'!$I$14,0,L104-M104+I104+O104)</f>
        <v>0</v>
      </c>
      <c r="R104" s="82">
        <f ca="1">IF('Invoer gegevens (N)'!$C$17=E104,'Invoer gegevens (N)'!$C$11,IF(C104=1,W103,0))</f>
        <v>0</v>
      </c>
      <c r="S104" s="86">
        <f ca="1">IF(E104='Invoer gegevens (N)'!$C$17+'Invoer gegevens (N)'!$I$14,W103,IF(C104&gt;=1,R104*VLOOKUP(E104,'Reeksen (N)'!$A$5:$B$76,2),0))</f>
        <v>0</v>
      </c>
      <c r="T104" s="84">
        <f ca="1">IF(E104='Invoer gegevens (N)'!$C$17+'Invoer gegevens (N)'!$I$14,W103,(1-('Invoer gegevens (N)'!$F$20/12))*R104*MIN('Reeksen (N)'!B36,'Reeksen (N)'!D36))</f>
        <v>0</v>
      </c>
      <c r="U104" s="84">
        <f>IF('Reeksen (N)'!D36&gt;='Reeksen (N)'!B36,0,IF('Reeksen (N)'!AK36&lt;='Reeksen (N)'!AE36,('Reeksen (N)'!B36-'Reeksen (N)'!D36)*R104,0))</f>
        <v>0</v>
      </c>
      <c r="V104" s="86">
        <f>IF('Reeksen (N)'!D36&gt;='Reeksen (N)'!B36,0,IF('Reeksen (N)'!AK36&gt;'Reeksen (N)'!AE36,('Reeksen (N)'!B36-'Reeksen (N)'!D36)*R104,0))</f>
        <v>0</v>
      </c>
      <c r="W104" s="97">
        <f ca="1">IF(E104&gt;='Invoer gegevens (N)'!$C$17+'Invoer gegevens (N)'!$I$14,0,R104-S104)</f>
        <v>0</v>
      </c>
      <c r="X104" s="98">
        <f ca="1">IF('Invoer gegevens (N)'!$C$17=E104,'Invoer gegevens (N)'!$C$10-'Invoer gegevens (N)'!$C$11,IF(C104=1,AC103,0))</f>
        <v>0</v>
      </c>
      <c r="Y104" s="98">
        <f ca="1">IF(E104='Invoer gegevens (N)'!$C$17+'Invoer gegevens (N)'!$I$14,AC103,IF(C104&gt;=1,X104*VLOOKUP(E104,'Reeksen (N)'!$A$5:$B$76,2),0))</f>
        <v>0</v>
      </c>
      <c r="Z104" s="98">
        <f ca="1">IF(E104='Invoer gegevens (N)'!$C$17+'Invoer gegevens (N)'!$I$14,AC103,(1-('Invoer gegevens (N)'!$F$20/12))*X104*MIN('Reeksen (N)'!B36,'Reeksen (N)'!D36))</f>
        <v>0</v>
      </c>
      <c r="AA104" s="98">
        <f>IF('Reeksen (N)'!D36&gt;='Reeksen (N)'!B36,0,IF('Reeksen (N)'!AK36&lt;='Reeksen (N)'!AE36,('Reeksen (N)'!B36-'Reeksen (N)'!D36)*X104,0))</f>
        <v>0</v>
      </c>
      <c r="AB104" s="98">
        <f>IF('Reeksen (N)'!D36&gt;='Reeksen (N)'!B36,0,IF('Reeksen (N)'!AK36&gt;'Reeksen (N)'!AE36,('Reeksen (N)'!B36-'Reeksen (N)'!D36)*X104,0))</f>
        <v>0</v>
      </c>
      <c r="AC104" s="99">
        <f ca="1">IF(E104&gt;='Invoer gegevens (N)'!$C$17+'Invoer gegevens (N)'!$I$14,0,X104-Y104)</f>
        <v>0</v>
      </c>
      <c r="AD104" s="98">
        <f ca="1">IF('Invoer gegevens (N)'!$C$17=E36,R104,IF(C36=0,0,AE103))</f>
        <v>0</v>
      </c>
      <c r="AE104" s="98">
        <f t="shared" ca="1" si="9"/>
        <v>0</v>
      </c>
      <c r="AF104" s="98">
        <f ca="1">IF('Invoer gegevens (N)'!$C$17=E36,X104,IF(C36=0,0,AG103))</f>
        <v>0</v>
      </c>
      <c r="AG104" s="98">
        <f t="shared" ca="1" si="10"/>
        <v>0</v>
      </c>
      <c r="AH104" s="66"/>
      <c r="AI104" s="71">
        <f ca="1">IF(C104=1,(('Reeksen (N)'!BF36*(F104-G104+F104)/2)+((L104-M104+L104)/2*'Reeksen (N)'!BG36))*12,0)</f>
        <v>0</v>
      </c>
      <c r="AJ104" s="71">
        <f ca="1">-AI104*'Invoer gegevens (N)'!$I$26</f>
        <v>0</v>
      </c>
      <c r="AK104" s="71">
        <f t="shared" ca="1" si="11"/>
        <v>0</v>
      </c>
      <c r="AL104" s="71">
        <f ca="1">IF(C104=1,'Reeksen (N)'!AL36*((F104-G104+F104)/2)*12+'Reeksen (N)'!AM36*((L104-M104+L104)/2)*12,0)</f>
        <v>0</v>
      </c>
      <c r="AM104" s="71">
        <f ca="1">-AL104*'Invoer gegevens (N)'!$F$31</f>
        <v>0</v>
      </c>
      <c r="AN104" s="71">
        <f t="shared" ca="1" si="12"/>
        <v>0</v>
      </c>
      <c r="AO104" s="71">
        <f ca="1">IF(E104&gt;='Invoer gegevens (N)'!$C$17+'Invoer gegevens (N)'!$I$14,0,IF(C104=1,(H104+J104+N104+P104)*'Reeksen (N)'!AN36,0))</f>
        <v>0</v>
      </c>
      <c r="AP104" s="71">
        <f ca="1">-IF(C104=1,(H104+J104+N104+P104)*'Reeksen (N)'!AN35*'Hulp - basis'!$J$550,0)</f>
        <v>0</v>
      </c>
      <c r="AQ104" s="71">
        <f ca="1">-IF(C104=1,(F104+K104+L104+Q104)/2*'Invoer gegevens (N)'!$I$33*'Reeksen (N)'!J36,0)</f>
        <v>0</v>
      </c>
      <c r="AR104" s="71">
        <f ca="1">-IF(C104=1,(I104*'Invoer gegevens (N)'!$I$34)*'Reeksen (N)'!J36,0)</f>
        <v>0</v>
      </c>
      <c r="AS104" s="71">
        <f ca="1">-IF(C104=1,(F104+K104+L104+Q104)/2*'Invoer gegevens (N)'!$I$35*'Reeksen (N)'!L36,0)</f>
        <v>0</v>
      </c>
      <c r="AT104" s="71">
        <f ca="1">-IF(C104=1,IF(E104='Invoer gegevens (N)'!$C$17,'Invoer gegevens (N)'!$C$11,AD104)*'Reeksen (N)'!S36*'Invoer gegevens (N)'!$C$18*'Reeksen (N)'!P36,0)</f>
        <v>0</v>
      </c>
      <c r="AU104" s="71">
        <f ca="1">-IF(C104=1,(F104+K104+L104+Q104)/2*'Invoer gegevens (N)'!$I$36*'Reeksen (N)'!H36,0)</f>
        <v>0</v>
      </c>
      <c r="AV104" s="71">
        <f t="shared" ca="1" si="13"/>
        <v>0</v>
      </c>
      <c r="AW104" s="72">
        <f ca="1">IFERROR(IF(E104='Invoer gegevens (N)'!$C$17+'Invoer gegevens (N)'!$I$14-1,'Invoer gegevens (N)'!$I$13*K104*'Reeksen (N)'!H36,0),0)</f>
        <v>0</v>
      </c>
      <c r="AX104" s="72">
        <f ca="1">IFERROR(IF(E104='Invoer gegevens (N)'!$C$17,-'Invoer gegevens (N)'!$C$10*('Invoer gegevens (N)'!$C$30+'Invoer gegevens (N)'!$C$31)*'Reeksen (N)'!H36,0),0)</f>
        <v>0</v>
      </c>
      <c r="AY104" s="73">
        <f ca="1">IF('Invoer gegevens (N)'!$C$34=E104,'Invoer gegevens (N)'!$C$27*'Invoer gegevens (N)'!$C$10*'Invoer gegevens (N)'!$C$36*(IF('Invoer gegevens (N)'!$C$35="ja",1,'Reeksen (N)'!J36)),IF('Invoer gegevens (N)'!$C$34+1=E104,'Invoer gegevens (N)'!$C$27*'Invoer gegevens (N)'!$C$10*'Invoer gegevens (N)'!$C$37*(IF('Invoer gegevens (N)'!$C$35="ja",1,'Reeksen (N)'!J36)),0))+IF(AND(E104='Invoer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4" s="73">
        <f ca="1">AV104/(1+'Invoer gegevens (N)'!$I$12)^($D104-('Invoer gegevens (N)'!$C$17-'Invoer gegevens (N)'!$C$16))/(1+'Invoer gegevens (N)'!$C$39)^('Invoer gegevens (N)'!$C$17-'Invoer gegevens (N)'!$C$16)</f>
        <v>0</v>
      </c>
      <c r="BA104" s="73">
        <f ca="1">AW104/(1+'Invoer gegevens (N)'!$I$12)^(E104-('Invoer gegevens (N)'!$C$17-1))/(1+'Invoer gegevens (N)'!$C$39)^('Invoer gegevens (N)'!$C$17-'Invoer gegevens (N)'!$C$16)</f>
        <v>0</v>
      </c>
      <c r="BB104" s="73">
        <f ca="1">AX104/(1+'Invoer gegevens (N)'!$C$39)^('Invoer gegevens (N)'!$C$17-'Invoer gegevens (N)'!$C$16)</f>
        <v>0</v>
      </c>
      <c r="BC104" s="72">
        <f t="shared" ca="1" si="14"/>
        <v>0</v>
      </c>
      <c r="BD104" s="72">
        <f ca="1">IF(AND(E104='Invoer gegevens (N)'!$C$16,'Invoer gegevens (N)'!$C$34&lt;'Invoer gegevens (N)'!$C$16),AY104,AY104/(1+'Invoer gegevens (N)'!$C$39)^D104)</f>
        <v>0</v>
      </c>
      <c r="BE104" s="72">
        <f ca="1">IF(E104='Invoer gegevens (N)'!$C$34,-'Invoer gegevens (N)'!$I$38,0)</f>
        <v>0</v>
      </c>
      <c r="BF104" s="72">
        <f ca="1">IF(E104='Invoer gegevens (N)'!$C$17,-'Invoer gegevens (N)'!$C$19*$BC$134,0)</f>
        <v>0</v>
      </c>
      <c r="BG104" s="72">
        <f ca="1">AV104/(1+$BG$72)^($D104-('Invoer gegevens (N)'!$C$17-'Invoer gegevens (N)'!$C$16))/(1+'Invoer gegevens (N)'!$C$39)^('Invoer gegevens (N)'!$C$17-'Invoer gegevens (N)'!$C$16)+AW104/(1+$BG$72)^(E104-('Invoer gegevens (N)'!$C$17-1))/(1+'Invoer gegevens (N)'!$C$39)^('Invoer gegevens (N)'!$C$17-'Invoer gegevens (N)'!$C$16)+AX104/(1+'Invoer gegevens (N)'!$C$39)^('Invoer gegevens (N)'!$C$17-'Invoer gegevens (N)'!$C$16)+(-AY104/(1+'Invoer gegevens (N)'!$C$39)^D104)+BE104+BF104</f>
        <v>0</v>
      </c>
    </row>
    <row r="105" spans="1:59" x14ac:dyDescent="0.25">
      <c r="B105" s="70">
        <f t="shared" si="15"/>
        <v>33</v>
      </c>
      <c r="C105" s="67">
        <f ca="1">IF(AND(E105&gt;='Invoer gegevens (N)'!$C$17,E105&lt;'Invoer gegevens (N)'!$C$17+'Invoer gegevens (N)'!$I$14),1,0)</f>
        <v>1</v>
      </c>
      <c r="D105" s="68">
        <f t="shared" si="16"/>
        <v>32.5</v>
      </c>
      <c r="E105" s="108">
        <f ca="1">IF('Invoer gegevens (N)'!$C$16="","",E104+1)</f>
        <v>2051</v>
      </c>
      <c r="F105" s="84">
        <f ca="1">IF('Invoer gegevens (N)'!$C$17=E105,'Invoer gegevens (N)'!$C$10,IF(C105=1,K104,0))</f>
        <v>0</v>
      </c>
      <c r="G105" s="96">
        <f ca="1">IF(E105='Invoer gegevens (N)'!$C$17+'Invoer gegevens (N)'!$I$14,K104,IF(C105&gt;=1,F105*VLOOKUP(E105,'Reeksen (N)'!$A$5:$B$76,2),0))</f>
        <v>0</v>
      </c>
      <c r="H105" s="84">
        <f ca="1">IF(E105='Invoer gegevens (N)'!$C$17+'Invoer gegevens (N)'!$I$14,K104,(1-('Invoer gegevens (N)'!$F$20/12))*F105*MIN('Reeksen (N)'!B37,'Reeksen (N)'!D37))</f>
        <v>0</v>
      </c>
      <c r="I105" s="84">
        <f>IF('Reeksen (N)'!D37&lt;'Reeksen (N)'!B37,('Reeksen (N)'!B37-'Reeksen (N)'!D37)*F105,0)</f>
        <v>0</v>
      </c>
      <c r="J105" s="84">
        <f ca="1">IF(E105='Invoer gegevens (N)'!$C$17+'Invoer gegevens (N)'!$I$14+1,0,('Invoer gegevens (N)'!$F$20/12)*F104*MIN('Reeksen (N)'!B36,'Reeksen (N)'!D36))</f>
        <v>0</v>
      </c>
      <c r="K105" s="97">
        <f ca="1">IF(E105&gt;='Invoer gegevens (N)'!$C$17+'Invoer gegevens (N)'!$I$14,0,F105-G105)</f>
        <v>0</v>
      </c>
      <c r="L105" s="84">
        <f ca="1">IF('Invoer gegevens (N)'!$C$17=E105,0,IF(C105=1,Q104,0))</f>
        <v>0</v>
      </c>
      <c r="M105" s="96">
        <f ca="1">IF(E105='Invoer gegevens (N)'!$C$17+'Invoer gegevens (N)'!$I$14,Q104,IF(C105&gt;=1,L105*VLOOKUP(E105,'Reeksen (N)'!$A$5:$B$76,2),0))</f>
        <v>0</v>
      </c>
      <c r="N105" s="84">
        <f ca="1">IF(C105='Invoer gegevens (N)'!$C$17+'Invoer gegevens (N)'!$I$14,Q104,(1-('Invoer gegevens (N)'!$F$20/12))*L105*MIN('Reeksen (N)'!B37,'Reeksen (N)'!D37))</f>
        <v>0</v>
      </c>
      <c r="O105" s="84">
        <f>IF('Reeksen (N)'!D37&lt;'Reeksen (N)'!B37,('Reeksen (N)'!B37-'Reeksen (N)'!D37)*L105,0)</f>
        <v>0</v>
      </c>
      <c r="P105" s="84">
        <f ca="1">IF(E105='Invoer gegevens (N)'!$C$17+'Invoer gegevens (N)'!$I$14+1,0,('Invoer gegevens (N)'!$F$20/12)*L104*MIN('Reeksen (N)'!B36,'Reeksen (N)'!D36))</f>
        <v>0</v>
      </c>
      <c r="Q105" s="84">
        <f ca="1">IF(E105&gt;='Invoer gegevens (N)'!$C$17+'Invoer gegevens (N)'!$I$14,0,L105-M105+I105+O105)</f>
        <v>0</v>
      </c>
      <c r="R105" s="82">
        <f ca="1">IF('Invoer gegevens (N)'!$C$17=E105,'Invoer gegevens (N)'!$C$11,IF(C105=1,W104,0))</f>
        <v>0</v>
      </c>
      <c r="S105" s="86">
        <f ca="1">IF(E105='Invoer gegevens (N)'!$C$17+'Invoer gegevens (N)'!$I$14,W104,IF(C105&gt;=1,R105*VLOOKUP(E105,'Reeksen (N)'!$A$5:$B$76,2),0))</f>
        <v>0</v>
      </c>
      <c r="T105" s="84">
        <f ca="1">IF(E105='Invoer gegevens (N)'!$C$17+'Invoer gegevens (N)'!$I$14,W104,(1-('Invoer gegevens (N)'!$F$20/12))*R105*MIN('Reeksen (N)'!B37,'Reeksen (N)'!D37))</f>
        <v>0</v>
      </c>
      <c r="U105" s="84">
        <f>IF('Reeksen (N)'!D37&gt;='Reeksen (N)'!B37,0,IF('Reeksen (N)'!AK37&lt;='Reeksen (N)'!AE37,('Reeksen (N)'!B37-'Reeksen (N)'!D37)*R105,0))</f>
        <v>0</v>
      </c>
      <c r="V105" s="86">
        <f>IF('Reeksen (N)'!D37&gt;='Reeksen (N)'!B37,0,IF('Reeksen (N)'!AK37&gt;'Reeksen (N)'!AE37,('Reeksen (N)'!B37-'Reeksen (N)'!D37)*R105,0))</f>
        <v>0</v>
      </c>
      <c r="W105" s="97">
        <f ca="1">IF(E105&gt;='Invoer gegevens (N)'!$C$17+'Invoer gegevens (N)'!$I$14,0,R105-S105)</f>
        <v>0</v>
      </c>
      <c r="X105" s="98">
        <f ca="1">IF('Invoer gegevens (N)'!$C$17=E105,'Invoer gegevens (N)'!$C$10-'Invoer gegevens (N)'!$C$11,IF(C105=1,AC104,0))</f>
        <v>0</v>
      </c>
      <c r="Y105" s="98">
        <f ca="1">IF(E105='Invoer gegevens (N)'!$C$17+'Invoer gegevens (N)'!$I$14,AC104,IF(C105&gt;=1,X105*VLOOKUP(E105,'Reeksen (N)'!$A$5:$B$76,2),0))</f>
        <v>0</v>
      </c>
      <c r="Z105" s="98">
        <f ca="1">IF(E105='Invoer gegevens (N)'!$C$17+'Invoer gegevens (N)'!$I$14,AC104,(1-('Invoer gegevens (N)'!$F$20/12))*X105*MIN('Reeksen (N)'!B37,'Reeksen (N)'!D37))</f>
        <v>0</v>
      </c>
      <c r="AA105" s="98">
        <f>IF('Reeksen (N)'!D37&gt;='Reeksen (N)'!B37,0,IF('Reeksen (N)'!AK37&lt;='Reeksen (N)'!AE37,('Reeksen (N)'!B37-'Reeksen (N)'!D37)*X105,0))</f>
        <v>0</v>
      </c>
      <c r="AB105" s="98">
        <f>IF('Reeksen (N)'!D37&gt;='Reeksen (N)'!B37,0,IF('Reeksen (N)'!AK37&gt;'Reeksen (N)'!AE37,('Reeksen (N)'!B37-'Reeksen (N)'!D37)*X105,0))</f>
        <v>0</v>
      </c>
      <c r="AC105" s="99">
        <f ca="1">IF(E105&gt;='Invoer gegevens (N)'!$C$17+'Invoer gegevens (N)'!$I$14,0,X105-Y105)</f>
        <v>0</v>
      </c>
      <c r="AD105" s="98">
        <f ca="1">IF('Invoer gegevens (N)'!$C$17=E37,R105,IF(C37=0,0,AE104))</f>
        <v>0</v>
      </c>
      <c r="AE105" s="98">
        <f t="shared" ca="1" si="9"/>
        <v>0</v>
      </c>
      <c r="AF105" s="98">
        <f ca="1">IF('Invoer gegevens (N)'!$C$17=E37,X105,IF(C37=0,0,AG104))</f>
        <v>0</v>
      </c>
      <c r="AG105" s="98">
        <f t="shared" ca="1" si="10"/>
        <v>0</v>
      </c>
      <c r="AH105" s="66"/>
      <c r="AI105" s="71">
        <f ca="1">IF(C105=1,(('Reeksen (N)'!BF37*(F105-G105+F105)/2)+((L105-M105+L105)/2*'Reeksen (N)'!BG37))*12,0)</f>
        <v>0</v>
      </c>
      <c r="AJ105" s="71">
        <f ca="1">-AI105*'Invoer gegevens (N)'!$I$26</f>
        <v>0</v>
      </c>
      <c r="AK105" s="71">
        <f t="shared" ca="1" si="11"/>
        <v>0</v>
      </c>
      <c r="AL105" s="71">
        <f ca="1">IF(C105=1,'Reeksen (N)'!AL37*((F105-G105+F105)/2)*12+'Reeksen (N)'!AM37*((L105-M105+L105)/2)*12,0)</f>
        <v>0</v>
      </c>
      <c r="AM105" s="71">
        <f ca="1">-AL105*'Invoer gegevens (N)'!$F$31</f>
        <v>0</v>
      </c>
      <c r="AN105" s="71">
        <f t="shared" ca="1" si="12"/>
        <v>0</v>
      </c>
      <c r="AO105" s="71">
        <f ca="1">IF(E105&gt;='Invoer gegevens (N)'!$C$17+'Invoer gegevens (N)'!$I$14,0,IF(C105=1,(H105+J105+N105+P105)*'Reeksen (N)'!AN37,0))</f>
        <v>0</v>
      </c>
      <c r="AP105" s="71">
        <f ca="1">-IF(C105=1,(H105+J105+N105+P105)*'Reeksen (N)'!AN36*'Hulp - basis'!$J$550,0)</f>
        <v>0</v>
      </c>
      <c r="AQ105" s="71">
        <f ca="1">-IF(C105=1,(F105+K105+L105+Q105)/2*'Invoer gegevens (N)'!$I$33*'Reeksen (N)'!J37,0)</f>
        <v>0</v>
      </c>
      <c r="AR105" s="71">
        <f ca="1">-IF(C105=1,(I105*'Invoer gegevens (N)'!$I$34)*'Reeksen (N)'!J37,0)</f>
        <v>0</v>
      </c>
      <c r="AS105" s="71">
        <f ca="1">-IF(C105=1,(F105+K105+L105+Q105)/2*'Invoer gegevens (N)'!$I$35*'Reeksen (N)'!L37,0)</f>
        <v>0</v>
      </c>
      <c r="AT105" s="71">
        <f ca="1">-IF(C105=1,IF(E105='Invoer gegevens (N)'!$C$17,'Invoer gegevens (N)'!$C$11,AD105)*'Reeksen (N)'!S37*'Invoer gegevens (N)'!$C$18*'Reeksen (N)'!P37,0)</f>
        <v>0</v>
      </c>
      <c r="AU105" s="71">
        <f ca="1">-IF(C105=1,(F105+K105+L105+Q105)/2*'Invoer gegevens (N)'!$I$36*'Reeksen (N)'!H37,0)</f>
        <v>0</v>
      </c>
      <c r="AV105" s="71">
        <f t="shared" ca="1" si="13"/>
        <v>0</v>
      </c>
      <c r="AW105" s="72">
        <f ca="1">IFERROR(IF(E105='Invoer gegevens (N)'!$C$17+'Invoer gegevens (N)'!$I$14-1,'Invoer gegevens (N)'!$I$13*K105*'Reeksen (N)'!H37,0),0)</f>
        <v>0</v>
      </c>
      <c r="AX105" s="72">
        <f ca="1">IFERROR(IF(E105='Invoer gegevens (N)'!$C$17,-'Invoer gegevens (N)'!$C$10*('Invoer gegevens (N)'!$C$30+'Invoer gegevens (N)'!$C$31)*'Reeksen (N)'!H37,0),0)</f>
        <v>0</v>
      </c>
      <c r="AY105" s="73">
        <f ca="1">IF('Invoer gegevens (N)'!$C$34=E105,'Invoer gegevens (N)'!$C$27*'Invoer gegevens (N)'!$C$10*'Invoer gegevens (N)'!$C$36*(IF('Invoer gegevens (N)'!$C$35="ja",1,'Reeksen (N)'!J37)),IF('Invoer gegevens (N)'!$C$34+1=E105,'Invoer gegevens (N)'!$C$27*'Invoer gegevens (N)'!$C$10*'Invoer gegevens (N)'!$C$37*(IF('Invoer gegevens (N)'!$C$35="ja",1,'Reeksen (N)'!J37)),0))+IF(AND(E105='Invoer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5" s="73">
        <f ca="1">AV105/(1+'Invoer gegevens (N)'!$I$12)^($D105-('Invoer gegevens (N)'!$C$17-'Invoer gegevens (N)'!$C$16))/(1+'Invoer gegevens (N)'!$C$39)^('Invoer gegevens (N)'!$C$17-'Invoer gegevens (N)'!$C$16)</f>
        <v>0</v>
      </c>
      <c r="BA105" s="73">
        <f ca="1">AW105/(1+'Invoer gegevens (N)'!$I$12)^(E105-('Invoer gegevens (N)'!$C$17-1))/(1+'Invoer gegevens (N)'!$C$39)^('Invoer gegevens (N)'!$C$17-'Invoer gegevens (N)'!$C$16)</f>
        <v>0</v>
      </c>
      <c r="BB105" s="73">
        <f ca="1">AX105/(1+'Invoer gegevens (N)'!$C$39)^('Invoer gegevens (N)'!$C$17-'Invoer gegevens (N)'!$C$16)</f>
        <v>0</v>
      </c>
      <c r="BC105" s="72">
        <f t="shared" ca="1" si="14"/>
        <v>0</v>
      </c>
      <c r="BD105" s="72">
        <f ca="1">IF(AND(E105='Invoer gegevens (N)'!$C$16,'Invoer gegevens (N)'!$C$34&lt;'Invoer gegevens (N)'!$C$16),AY105,AY105/(1+'Invoer gegevens (N)'!$C$39)^D105)</f>
        <v>0</v>
      </c>
      <c r="BE105" s="72">
        <f ca="1">IF(E105='Invoer gegevens (N)'!$C$34,-'Invoer gegevens (N)'!$I$38,0)</f>
        <v>0</v>
      </c>
      <c r="BF105" s="72">
        <f ca="1">IF(E105='Invoer gegevens (N)'!$C$17,-'Invoer gegevens (N)'!$C$19*$BC$134,0)</f>
        <v>0</v>
      </c>
      <c r="BG105" s="72">
        <f ca="1">AV105/(1+$BG$72)^($D105-('Invoer gegevens (N)'!$C$17-'Invoer gegevens (N)'!$C$16))/(1+'Invoer gegevens (N)'!$C$39)^('Invoer gegevens (N)'!$C$17-'Invoer gegevens (N)'!$C$16)+AW105/(1+$BG$72)^(E105-('Invoer gegevens (N)'!$C$17-1))/(1+'Invoer gegevens (N)'!$C$39)^('Invoer gegevens (N)'!$C$17-'Invoer gegevens (N)'!$C$16)+AX105/(1+'Invoer gegevens (N)'!$C$39)^('Invoer gegevens (N)'!$C$17-'Invoer gegevens (N)'!$C$16)+(-AY105/(1+'Invoer gegevens (N)'!$C$39)^D105)+BE105+BF105</f>
        <v>0</v>
      </c>
    </row>
    <row r="106" spans="1:59" x14ac:dyDescent="0.25">
      <c r="B106" s="70">
        <f t="shared" si="15"/>
        <v>34</v>
      </c>
      <c r="C106" s="67">
        <f ca="1">IF(AND(E106&gt;='Invoer gegevens (N)'!$C$17,E106&lt;'Invoer gegevens (N)'!$C$17+'Invoer gegevens (N)'!$I$14),1,0)</f>
        <v>1</v>
      </c>
      <c r="D106" s="68">
        <f t="shared" si="16"/>
        <v>33.5</v>
      </c>
      <c r="E106" s="108">
        <f ca="1">IF('Invoer gegevens (N)'!$C$16="","",E105+1)</f>
        <v>2052</v>
      </c>
      <c r="F106" s="84">
        <f ca="1">IF('Invoer gegevens (N)'!$C$17=E106,'Invoer gegevens (N)'!$C$10,IF(C106=1,K105,0))</f>
        <v>0</v>
      </c>
      <c r="G106" s="96">
        <f ca="1">IF(E106='Invoer gegevens (N)'!$C$17+'Invoer gegevens (N)'!$I$14,K105,IF(C106&gt;=1,F106*VLOOKUP(E106,'Reeksen (N)'!$A$5:$B$76,2),0))</f>
        <v>0</v>
      </c>
      <c r="H106" s="84">
        <f ca="1">IF(E106='Invoer gegevens (N)'!$C$17+'Invoer gegevens (N)'!$I$14,K105,(1-('Invoer gegevens (N)'!$F$20/12))*F106*MIN('Reeksen (N)'!B38,'Reeksen (N)'!D38))</f>
        <v>0</v>
      </c>
      <c r="I106" s="84">
        <f>IF('Reeksen (N)'!D38&lt;'Reeksen (N)'!B38,('Reeksen (N)'!B38-'Reeksen (N)'!D38)*F106,0)</f>
        <v>0</v>
      </c>
      <c r="J106" s="84">
        <f ca="1">IF(E106='Invoer gegevens (N)'!$C$17+'Invoer gegevens (N)'!$I$14+1,0,('Invoer gegevens (N)'!$F$20/12)*F105*MIN('Reeksen (N)'!B37,'Reeksen (N)'!D37))</f>
        <v>0</v>
      </c>
      <c r="K106" s="97">
        <f ca="1">IF(E106&gt;='Invoer gegevens (N)'!$C$17+'Invoer gegevens (N)'!$I$14,0,F106-G106)</f>
        <v>0</v>
      </c>
      <c r="L106" s="84">
        <f ca="1">IF('Invoer gegevens (N)'!$C$17=E106,0,IF(C106=1,Q105,0))</f>
        <v>0</v>
      </c>
      <c r="M106" s="96">
        <f ca="1">IF(E106='Invoer gegevens (N)'!$C$17+'Invoer gegevens (N)'!$I$14,Q105,IF(C106&gt;=1,L106*VLOOKUP(E106,'Reeksen (N)'!$A$5:$B$76,2),0))</f>
        <v>0</v>
      </c>
      <c r="N106" s="84">
        <f ca="1">IF(C106='Invoer gegevens (N)'!$C$17+'Invoer gegevens (N)'!$I$14,Q105,(1-('Invoer gegevens (N)'!$F$20/12))*L106*MIN('Reeksen (N)'!B38,'Reeksen (N)'!D38))</f>
        <v>0</v>
      </c>
      <c r="O106" s="84">
        <f>IF('Reeksen (N)'!D38&lt;'Reeksen (N)'!B38,('Reeksen (N)'!B38-'Reeksen (N)'!D38)*L106,0)</f>
        <v>0</v>
      </c>
      <c r="P106" s="84">
        <f ca="1">IF(E106='Invoer gegevens (N)'!$C$17+'Invoer gegevens (N)'!$I$14+1,0,('Invoer gegevens (N)'!$F$20/12)*L105*MIN('Reeksen (N)'!B37,'Reeksen (N)'!D37))</f>
        <v>0</v>
      </c>
      <c r="Q106" s="84">
        <f ca="1">IF(E106&gt;='Invoer gegevens (N)'!$C$17+'Invoer gegevens (N)'!$I$14,0,L106-M106+I106+O106)</f>
        <v>0</v>
      </c>
      <c r="R106" s="82">
        <f ca="1">IF('Invoer gegevens (N)'!$C$17=E106,'Invoer gegevens (N)'!$C$11,IF(C106=1,W105,0))</f>
        <v>0</v>
      </c>
      <c r="S106" s="86">
        <f ca="1">IF(E106='Invoer gegevens (N)'!$C$17+'Invoer gegevens (N)'!$I$14,W105,IF(C106&gt;=1,R106*VLOOKUP(E106,'Reeksen (N)'!$A$5:$B$76,2),0))</f>
        <v>0</v>
      </c>
      <c r="T106" s="84">
        <f ca="1">IF(E106='Invoer gegevens (N)'!$C$17+'Invoer gegevens (N)'!$I$14,W105,(1-('Invoer gegevens (N)'!$F$20/12))*R106*MIN('Reeksen (N)'!B38,'Reeksen (N)'!D38))</f>
        <v>0</v>
      </c>
      <c r="U106" s="84">
        <f>IF('Reeksen (N)'!D38&gt;='Reeksen (N)'!B38,0,IF('Reeksen (N)'!AK38&lt;='Reeksen (N)'!AE38,('Reeksen (N)'!B38-'Reeksen (N)'!D38)*R106,0))</f>
        <v>0</v>
      </c>
      <c r="V106" s="86">
        <f>IF('Reeksen (N)'!D38&gt;='Reeksen (N)'!B38,0,IF('Reeksen (N)'!AK38&gt;'Reeksen (N)'!AE38,('Reeksen (N)'!B38-'Reeksen (N)'!D38)*R106,0))</f>
        <v>0</v>
      </c>
      <c r="W106" s="97">
        <f ca="1">IF(E106&gt;='Invoer gegevens (N)'!$C$17+'Invoer gegevens (N)'!$I$14,0,R106-S106)</f>
        <v>0</v>
      </c>
      <c r="X106" s="98">
        <f ca="1">IF('Invoer gegevens (N)'!$C$17=E106,'Invoer gegevens (N)'!$C$10-'Invoer gegevens (N)'!$C$11,IF(C106=1,AC105,0))</f>
        <v>0</v>
      </c>
      <c r="Y106" s="98">
        <f ca="1">IF(E106='Invoer gegevens (N)'!$C$17+'Invoer gegevens (N)'!$I$14,AC105,IF(C106&gt;=1,X106*VLOOKUP(E106,'Reeksen (N)'!$A$5:$B$76,2),0))</f>
        <v>0</v>
      </c>
      <c r="Z106" s="98">
        <f ca="1">IF(E106='Invoer gegevens (N)'!$C$17+'Invoer gegevens (N)'!$I$14,AC105,(1-('Invoer gegevens (N)'!$F$20/12))*X106*MIN('Reeksen (N)'!B38,'Reeksen (N)'!D38))</f>
        <v>0</v>
      </c>
      <c r="AA106" s="98">
        <f>IF('Reeksen (N)'!D38&gt;='Reeksen (N)'!B38,0,IF('Reeksen (N)'!AK38&lt;='Reeksen (N)'!AE38,('Reeksen (N)'!B38-'Reeksen (N)'!D38)*X106,0))</f>
        <v>0</v>
      </c>
      <c r="AB106" s="98">
        <f>IF('Reeksen (N)'!D38&gt;='Reeksen (N)'!B38,0,IF('Reeksen (N)'!AK38&gt;'Reeksen (N)'!AE38,('Reeksen (N)'!B38-'Reeksen (N)'!D38)*X106,0))</f>
        <v>0</v>
      </c>
      <c r="AC106" s="99">
        <f ca="1">IF(E106&gt;='Invoer gegevens (N)'!$C$17+'Invoer gegevens (N)'!$I$14,0,X106-Y106)</f>
        <v>0</v>
      </c>
      <c r="AD106" s="98">
        <f ca="1">IF('Invoer gegevens (N)'!$C$17=E38,R106,IF(C38=0,0,AE105))</f>
        <v>0</v>
      </c>
      <c r="AE106" s="98">
        <f t="shared" ca="1" si="9"/>
        <v>0</v>
      </c>
      <c r="AF106" s="98">
        <f ca="1">IF('Invoer gegevens (N)'!$C$17=E38,X106,IF(C38=0,0,AG105))</f>
        <v>0</v>
      </c>
      <c r="AG106" s="98">
        <f t="shared" ca="1" si="10"/>
        <v>0</v>
      </c>
      <c r="AH106" s="66"/>
      <c r="AI106" s="71">
        <f ca="1">IF(C106=1,(('Reeksen (N)'!BF38*(F106-G106+F106)/2)+((L106-M106+L106)/2*'Reeksen (N)'!BG38))*12,0)</f>
        <v>0</v>
      </c>
      <c r="AJ106" s="71">
        <f ca="1">-AI106*'Invoer gegevens (N)'!$I$26</f>
        <v>0</v>
      </c>
      <c r="AK106" s="71">
        <f t="shared" ca="1" si="11"/>
        <v>0</v>
      </c>
      <c r="AL106" s="71">
        <f ca="1">IF(C106=1,'Reeksen (N)'!AL38*((F106-G106+F106)/2)*12+'Reeksen (N)'!AM38*((L106-M106+L106)/2)*12,0)</f>
        <v>0</v>
      </c>
      <c r="AM106" s="71">
        <f ca="1">-AL106*'Invoer gegevens (N)'!$F$31</f>
        <v>0</v>
      </c>
      <c r="AN106" s="71">
        <f t="shared" ca="1" si="12"/>
        <v>0</v>
      </c>
      <c r="AO106" s="71">
        <f ca="1">IF(E106&gt;='Invoer gegevens (N)'!$C$17+'Invoer gegevens (N)'!$I$14,0,IF(C106=1,(H106+J106+N106+P106)*'Reeksen (N)'!AN38,0))</f>
        <v>0</v>
      </c>
      <c r="AP106" s="71">
        <f ca="1">-IF(C106=1,(H106+J106+N106+P106)*'Reeksen (N)'!AN37*'Hulp - basis'!$J$550,0)</f>
        <v>0</v>
      </c>
      <c r="AQ106" s="71">
        <f ca="1">-IF(C106=1,(F106+K106+L106+Q106)/2*'Invoer gegevens (N)'!$I$33*'Reeksen (N)'!J38,0)</f>
        <v>0</v>
      </c>
      <c r="AR106" s="71">
        <f ca="1">-IF(C106=1,(I106*'Invoer gegevens (N)'!$I$34)*'Reeksen (N)'!J38,0)</f>
        <v>0</v>
      </c>
      <c r="AS106" s="71">
        <f ca="1">-IF(C106=1,(F106+K106+L106+Q106)/2*'Invoer gegevens (N)'!$I$35*'Reeksen (N)'!L38,0)</f>
        <v>0</v>
      </c>
      <c r="AT106" s="71">
        <f ca="1">-IF(C106=1,IF(E106='Invoer gegevens (N)'!$C$17,'Invoer gegevens (N)'!$C$11,AD106)*'Reeksen (N)'!S38*'Invoer gegevens (N)'!$C$18*'Reeksen (N)'!P38,0)</f>
        <v>0</v>
      </c>
      <c r="AU106" s="71">
        <f ca="1">-IF(C106=1,(F106+K106+L106+Q106)/2*'Invoer gegevens (N)'!$I$36*'Reeksen (N)'!H38,0)</f>
        <v>0</v>
      </c>
      <c r="AV106" s="71">
        <f t="shared" ca="1" si="13"/>
        <v>0</v>
      </c>
      <c r="AW106" s="72">
        <f ca="1">IFERROR(IF(E106='Invoer gegevens (N)'!$C$17+'Invoer gegevens (N)'!$I$14-1,'Invoer gegevens (N)'!$I$13*K106*'Reeksen (N)'!H38,0),0)</f>
        <v>0</v>
      </c>
      <c r="AX106" s="72">
        <f ca="1">IFERROR(IF(E106='Invoer gegevens (N)'!$C$17,-'Invoer gegevens (N)'!$C$10*('Invoer gegevens (N)'!$C$30+'Invoer gegevens (N)'!$C$31)*'Reeksen (N)'!H38,0),0)</f>
        <v>0</v>
      </c>
      <c r="AY106" s="73">
        <f ca="1">IF('Invoer gegevens (N)'!$C$34=E106,'Invoer gegevens (N)'!$C$27*'Invoer gegevens (N)'!$C$10*'Invoer gegevens (N)'!$C$36*(IF('Invoer gegevens (N)'!$C$35="ja",1,'Reeksen (N)'!J38)),IF('Invoer gegevens (N)'!$C$34+1=E106,'Invoer gegevens (N)'!$C$27*'Invoer gegevens (N)'!$C$10*'Invoer gegevens (N)'!$C$37*(IF('Invoer gegevens (N)'!$C$35="ja",1,'Reeksen (N)'!J38)),0))+IF(AND(E106='Invoer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6" s="73">
        <f ca="1">AV106/(1+'Invoer gegevens (N)'!$I$12)^($D106-('Invoer gegevens (N)'!$C$17-'Invoer gegevens (N)'!$C$16))/(1+'Invoer gegevens (N)'!$C$39)^('Invoer gegevens (N)'!$C$17-'Invoer gegevens (N)'!$C$16)</f>
        <v>0</v>
      </c>
      <c r="BA106" s="73">
        <f ca="1">AW106/(1+'Invoer gegevens (N)'!$I$12)^(E106-('Invoer gegevens (N)'!$C$17-1))/(1+'Invoer gegevens (N)'!$C$39)^('Invoer gegevens (N)'!$C$17-'Invoer gegevens (N)'!$C$16)</f>
        <v>0</v>
      </c>
      <c r="BB106" s="73">
        <f ca="1">AX106/(1+'Invoer gegevens (N)'!$C$39)^('Invoer gegevens (N)'!$C$17-'Invoer gegevens (N)'!$C$16)</f>
        <v>0</v>
      </c>
      <c r="BC106" s="72">
        <f t="shared" ca="1" si="14"/>
        <v>0</v>
      </c>
      <c r="BD106" s="72">
        <f ca="1">IF(AND(E106='Invoer gegevens (N)'!$C$16,'Invoer gegevens (N)'!$C$34&lt;'Invoer gegevens (N)'!$C$16),AY106,AY106/(1+'Invoer gegevens (N)'!$C$39)^D106)</f>
        <v>0</v>
      </c>
      <c r="BE106" s="72">
        <f ca="1">IF(E106='Invoer gegevens (N)'!$C$34,-'Invoer gegevens (N)'!$I$38,0)</f>
        <v>0</v>
      </c>
      <c r="BF106" s="72">
        <f ca="1">IF(E106='Invoer gegevens (N)'!$C$17,-'Invoer gegevens (N)'!$C$19*$BC$134,0)</f>
        <v>0</v>
      </c>
      <c r="BG106" s="72">
        <f ca="1">AV106/(1+$BG$72)^($D106-('Invoer gegevens (N)'!$C$17-'Invoer gegevens (N)'!$C$16))/(1+'Invoer gegevens (N)'!$C$39)^('Invoer gegevens (N)'!$C$17-'Invoer gegevens (N)'!$C$16)+AW106/(1+$BG$72)^(E106-('Invoer gegevens (N)'!$C$17-1))/(1+'Invoer gegevens (N)'!$C$39)^('Invoer gegevens (N)'!$C$17-'Invoer gegevens (N)'!$C$16)+AX106/(1+'Invoer gegevens (N)'!$C$39)^('Invoer gegevens (N)'!$C$17-'Invoer gegevens (N)'!$C$16)+(-AY106/(1+'Invoer gegevens (N)'!$C$39)^D106)+BE106+BF106</f>
        <v>0</v>
      </c>
    </row>
    <row r="107" spans="1:59" x14ac:dyDescent="0.25">
      <c r="B107" s="70">
        <f t="shared" si="15"/>
        <v>35</v>
      </c>
      <c r="C107" s="67">
        <f ca="1">IF(AND(E107&gt;='Invoer gegevens (N)'!$C$17,E107&lt;'Invoer gegevens (N)'!$C$17+'Invoer gegevens (N)'!$I$14),1,0)</f>
        <v>1</v>
      </c>
      <c r="D107" s="68">
        <f t="shared" si="16"/>
        <v>34.5</v>
      </c>
      <c r="E107" s="108">
        <f ca="1">IF('Invoer gegevens (N)'!$C$16="","",E106+1)</f>
        <v>2053</v>
      </c>
      <c r="F107" s="84">
        <f ca="1">IF('Invoer gegevens (N)'!$C$17=E107,'Invoer gegevens (N)'!$C$10,IF(C107=1,K106,0))</f>
        <v>0</v>
      </c>
      <c r="G107" s="96">
        <f ca="1">IF(E107='Invoer gegevens (N)'!$C$17+'Invoer gegevens (N)'!$I$14,K106,IF(C107&gt;=1,F107*VLOOKUP(E107,'Reeksen (N)'!$A$5:$B$76,2),0))</f>
        <v>0</v>
      </c>
      <c r="H107" s="84">
        <f ca="1">IF(E107='Invoer gegevens (N)'!$C$17+'Invoer gegevens (N)'!$I$14,K106,(1-('Invoer gegevens (N)'!$F$20/12))*F107*MIN('Reeksen (N)'!B39,'Reeksen (N)'!D39))</f>
        <v>0</v>
      </c>
      <c r="I107" s="84">
        <f>IF('Reeksen (N)'!D39&lt;'Reeksen (N)'!B39,('Reeksen (N)'!B39-'Reeksen (N)'!D39)*F107,0)</f>
        <v>0</v>
      </c>
      <c r="J107" s="84">
        <f ca="1">IF(E107='Invoer gegevens (N)'!$C$17+'Invoer gegevens (N)'!$I$14+1,0,('Invoer gegevens (N)'!$F$20/12)*F106*MIN('Reeksen (N)'!B38,'Reeksen (N)'!D38))</f>
        <v>0</v>
      </c>
      <c r="K107" s="97">
        <f ca="1">IF(E107&gt;='Invoer gegevens (N)'!$C$17+'Invoer gegevens (N)'!$I$14,0,F107-G107)</f>
        <v>0</v>
      </c>
      <c r="L107" s="84">
        <f ca="1">IF('Invoer gegevens (N)'!$C$17=E107,0,IF(C107=1,Q106,0))</f>
        <v>0</v>
      </c>
      <c r="M107" s="96">
        <f ca="1">IF(E107='Invoer gegevens (N)'!$C$17+'Invoer gegevens (N)'!$I$14,Q106,IF(C107&gt;=1,L107*VLOOKUP(E107,'Reeksen (N)'!$A$5:$B$76,2),0))</f>
        <v>0</v>
      </c>
      <c r="N107" s="84">
        <f ca="1">IF(C107='Invoer gegevens (N)'!$C$17+'Invoer gegevens (N)'!$I$14,Q106,(1-('Invoer gegevens (N)'!$F$20/12))*L107*MIN('Reeksen (N)'!B39,'Reeksen (N)'!D39))</f>
        <v>0</v>
      </c>
      <c r="O107" s="84">
        <f>IF('Reeksen (N)'!D39&lt;'Reeksen (N)'!B39,('Reeksen (N)'!B39-'Reeksen (N)'!D39)*L107,0)</f>
        <v>0</v>
      </c>
      <c r="P107" s="84">
        <f ca="1">IF(E107='Invoer gegevens (N)'!$C$17+'Invoer gegevens (N)'!$I$14+1,0,('Invoer gegevens (N)'!$F$20/12)*L106*MIN('Reeksen (N)'!B38,'Reeksen (N)'!D38))</f>
        <v>0</v>
      </c>
      <c r="Q107" s="84">
        <f ca="1">IF(E107&gt;='Invoer gegevens (N)'!$C$17+'Invoer gegevens (N)'!$I$14,0,L107-M107+I107+O107)</f>
        <v>0</v>
      </c>
      <c r="R107" s="82">
        <f ca="1">IF('Invoer gegevens (N)'!$C$17=E107,'Invoer gegevens (N)'!$C$11,IF(C107=1,W106,0))</f>
        <v>0</v>
      </c>
      <c r="S107" s="86">
        <f ca="1">IF(E107='Invoer gegevens (N)'!$C$17+'Invoer gegevens (N)'!$I$14,W106,IF(C107&gt;=1,R107*VLOOKUP(E107,'Reeksen (N)'!$A$5:$B$76,2),0))</f>
        <v>0</v>
      </c>
      <c r="T107" s="84">
        <f ca="1">IF(E107='Invoer gegevens (N)'!$C$17+'Invoer gegevens (N)'!$I$14,W106,(1-('Invoer gegevens (N)'!$F$20/12))*R107*MIN('Reeksen (N)'!B39,'Reeksen (N)'!D39))</f>
        <v>0</v>
      </c>
      <c r="U107" s="84">
        <f>IF('Reeksen (N)'!D39&gt;='Reeksen (N)'!B39,0,IF('Reeksen (N)'!AK39&lt;='Reeksen (N)'!AE39,('Reeksen (N)'!B39-'Reeksen (N)'!D39)*R107,0))</f>
        <v>0</v>
      </c>
      <c r="V107" s="86">
        <f>IF('Reeksen (N)'!D39&gt;='Reeksen (N)'!B39,0,IF('Reeksen (N)'!AK39&gt;'Reeksen (N)'!AE39,('Reeksen (N)'!B39-'Reeksen (N)'!D39)*R107,0))</f>
        <v>0</v>
      </c>
      <c r="W107" s="97">
        <f ca="1">IF(E107&gt;='Invoer gegevens (N)'!$C$17+'Invoer gegevens (N)'!$I$14,0,R107-S107)</f>
        <v>0</v>
      </c>
      <c r="X107" s="98">
        <f ca="1">IF('Invoer gegevens (N)'!$C$17=E107,'Invoer gegevens (N)'!$C$10-'Invoer gegevens (N)'!$C$11,IF(C107=1,AC106,0))</f>
        <v>0</v>
      </c>
      <c r="Y107" s="98">
        <f ca="1">IF(E107='Invoer gegevens (N)'!$C$17+'Invoer gegevens (N)'!$I$14,AC106,IF(C107&gt;=1,X107*VLOOKUP(E107,'Reeksen (N)'!$A$5:$B$76,2),0))</f>
        <v>0</v>
      </c>
      <c r="Z107" s="98">
        <f ca="1">IF(E107='Invoer gegevens (N)'!$C$17+'Invoer gegevens (N)'!$I$14,AC106,(1-('Invoer gegevens (N)'!$F$20/12))*X107*MIN('Reeksen (N)'!B39,'Reeksen (N)'!D39))</f>
        <v>0</v>
      </c>
      <c r="AA107" s="98">
        <f>IF('Reeksen (N)'!D39&gt;='Reeksen (N)'!B39,0,IF('Reeksen (N)'!AK39&lt;='Reeksen (N)'!AE39,('Reeksen (N)'!B39-'Reeksen (N)'!D39)*X107,0))</f>
        <v>0</v>
      </c>
      <c r="AB107" s="98">
        <f>IF('Reeksen (N)'!D39&gt;='Reeksen (N)'!B39,0,IF('Reeksen (N)'!AK39&gt;'Reeksen (N)'!AE39,('Reeksen (N)'!B39-'Reeksen (N)'!D39)*X107,0))</f>
        <v>0</v>
      </c>
      <c r="AC107" s="99">
        <f ca="1">IF(E107&gt;='Invoer gegevens (N)'!$C$17+'Invoer gegevens (N)'!$I$14,0,X107-Y107)</f>
        <v>0</v>
      </c>
      <c r="AD107" s="98">
        <f ca="1">IF('Invoer gegevens (N)'!$C$17=E39,R107,IF(C39=0,0,AE106))</f>
        <v>0</v>
      </c>
      <c r="AE107" s="98">
        <f t="shared" ca="1" si="9"/>
        <v>0</v>
      </c>
      <c r="AF107" s="98">
        <f ca="1">IF('Invoer gegevens (N)'!$C$17=E39,X107,IF(C39=0,0,AG106))</f>
        <v>0</v>
      </c>
      <c r="AG107" s="98">
        <f t="shared" ca="1" si="10"/>
        <v>0</v>
      </c>
      <c r="AH107" s="66"/>
      <c r="AI107" s="71">
        <f ca="1">IF(C107=1,(('Reeksen (N)'!BF39*(F107-G107+F107)/2)+((L107-M107+L107)/2*'Reeksen (N)'!BG39))*12,0)</f>
        <v>0</v>
      </c>
      <c r="AJ107" s="71">
        <f ca="1">-AI107*'Invoer gegevens (N)'!$I$26</f>
        <v>0</v>
      </c>
      <c r="AK107" s="71">
        <f t="shared" ca="1" si="11"/>
        <v>0</v>
      </c>
      <c r="AL107" s="71">
        <f ca="1">IF(C107=1,'Reeksen (N)'!AL39*((F107-G107+F107)/2)*12+'Reeksen (N)'!AM39*((L107-M107+L107)/2)*12,0)</f>
        <v>0</v>
      </c>
      <c r="AM107" s="71">
        <f ca="1">-AL107*'Invoer gegevens (N)'!$F$31</f>
        <v>0</v>
      </c>
      <c r="AN107" s="71">
        <f t="shared" ca="1" si="12"/>
        <v>0</v>
      </c>
      <c r="AO107" s="71">
        <f ca="1">IF(E107&gt;='Invoer gegevens (N)'!$C$17+'Invoer gegevens (N)'!$I$14,0,IF(C107=1,(H107+J107+N107+P107)*'Reeksen (N)'!AN39,0))</f>
        <v>0</v>
      </c>
      <c r="AP107" s="71">
        <f ca="1">-IF(C107=1,(H107+J107+N107+P107)*'Reeksen (N)'!AN38*'Hulp - basis'!$J$550,0)</f>
        <v>0</v>
      </c>
      <c r="AQ107" s="71">
        <f ca="1">-IF(C107=1,(F107+K107+L107+Q107)/2*'Invoer gegevens (N)'!$I$33*'Reeksen (N)'!J39,0)</f>
        <v>0</v>
      </c>
      <c r="AR107" s="71">
        <f ca="1">-IF(C107=1,(I107*'Invoer gegevens (N)'!$I$34)*'Reeksen (N)'!J39,0)</f>
        <v>0</v>
      </c>
      <c r="AS107" s="71">
        <f ca="1">-IF(C107=1,(F107+K107+L107+Q107)/2*'Invoer gegevens (N)'!$I$35*'Reeksen (N)'!L39,0)</f>
        <v>0</v>
      </c>
      <c r="AT107" s="71">
        <f ca="1">-IF(C107=1,IF(E107='Invoer gegevens (N)'!$C$17,'Invoer gegevens (N)'!$C$11,AD107)*'Reeksen (N)'!S39*'Invoer gegevens (N)'!$C$18*'Reeksen (N)'!P39,0)</f>
        <v>0</v>
      </c>
      <c r="AU107" s="71">
        <f ca="1">-IF(C107=1,(F107+K107+L107+Q107)/2*'Invoer gegevens (N)'!$I$36*'Reeksen (N)'!H39,0)</f>
        <v>0</v>
      </c>
      <c r="AV107" s="71">
        <f t="shared" ca="1" si="13"/>
        <v>0</v>
      </c>
      <c r="AW107" s="72">
        <f ca="1">IFERROR(IF(E107='Invoer gegevens (N)'!$C$17+'Invoer gegevens (N)'!$I$14-1,'Invoer gegevens (N)'!$I$13*K107*'Reeksen (N)'!H39,0),0)</f>
        <v>0</v>
      </c>
      <c r="AX107" s="72">
        <f ca="1">IFERROR(IF(E107='Invoer gegevens (N)'!$C$17,-'Invoer gegevens (N)'!$C$10*('Invoer gegevens (N)'!$C$30+'Invoer gegevens (N)'!$C$31)*'Reeksen (N)'!H39,0),0)</f>
        <v>0</v>
      </c>
      <c r="AY107" s="73">
        <f ca="1">IF('Invoer gegevens (N)'!$C$34=E107,'Invoer gegevens (N)'!$C$27*'Invoer gegevens (N)'!$C$10*'Invoer gegevens (N)'!$C$36*(IF('Invoer gegevens (N)'!$C$35="ja",1,'Reeksen (N)'!J39)),IF('Invoer gegevens (N)'!$C$34+1=E107,'Invoer gegevens (N)'!$C$27*'Invoer gegevens (N)'!$C$10*'Invoer gegevens (N)'!$C$37*(IF('Invoer gegevens (N)'!$C$35="ja",1,'Reeksen (N)'!J39)),0))+IF(AND(E107='Invoer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7" s="73">
        <f ca="1">AV107/(1+'Invoer gegevens (N)'!$I$12)^($D107-('Invoer gegevens (N)'!$C$17-'Invoer gegevens (N)'!$C$16))/(1+'Invoer gegevens (N)'!$C$39)^('Invoer gegevens (N)'!$C$17-'Invoer gegevens (N)'!$C$16)</f>
        <v>0</v>
      </c>
      <c r="BA107" s="73">
        <f ca="1">AW107/(1+'Invoer gegevens (N)'!$I$12)^(E107-('Invoer gegevens (N)'!$C$17-1))/(1+'Invoer gegevens (N)'!$C$39)^('Invoer gegevens (N)'!$C$17-'Invoer gegevens (N)'!$C$16)</f>
        <v>0</v>
      </c>
      <c r="BB107" s="73">
        <f ca="1">AX107/(1+'Invoer gegevens (N)'!$C$39)^('Invoer gegevens (N)'!$C$17-'Invoer gegevens (N)'!$C$16)</f>
        <v>0</v>
      </c>
      <c r="BC107" s="72">
        <f t="shared" ca="1" si="14"/>
        <v>0</v>
      </c>
      <c r="BD107" s="72">
        <f ca="1">IF(AND(E107='Invoer gegevens (N)'!$C$16,'Invoer gegevens (N)'!$C$34&lt;'Invoer gegevens (N)'!$C$16),AY107,AY107/(1+'Invoer gegevens (N)'!$C$39)^D107)</f>
        <v>0</v>
      </c>
      <c r="BE107" s="72">
        <f ca="1">IF(E107='Invoer gegevens (N)'!$C$34,-'Invoer gegevens (N)'!$I$38,0)</f>
        <v>0</v>
      </c>
      <c r="BF107" s="72">
        <f ca="1">IF(E107='Invoer gegevens (N)'!$C$17,-'Invoer gegevens (N)'!$C$19*$BC$134,0)</f>
        <v>0</v>
      </c>
      <c r="BG107" s="72">
        <f ca="1">AV107/(1+$BG$72)^($D107-('Invoer gegevens (N)'!$C$17-'Invoer gegevens (N)'!$C$16))/(1+'Invoer gegevens (N)'!$C$39)^('Invoer gegevens (N)'!$C$17-'Invoer gegevens (N)'!$C$16)+AW107/(1+$BG$72)^(E107-('Invoer gegevens (N)'!$C$17-1))/(1+'Invoer gegevens (N)'!$C$39)^('Invoer gegevens (N)'!$C$17-'Invoer gegevens (N)'!$C$16)+AX107/(1+'Invoer gegevens (N)'!$C$39)^('Invoer gegevens (N)'!$C$17-'Invoer gegevens (N)'!$C$16)+(-AY107/(1+'Invoer gegevens (N)'!$C$39)^D107)+BE107+BF107</f>
        <v>0</v>
      </c>
    </row>
    <row r="108" spans="1:59" x14ac:dyDescent="0.25">
      <c r="B108" s="70">
        <f t="shared" si="15"/>
        <v>36</v>
      </c>
      <c r="C108" s="67">
        <f ca="1">IF(AND(E108&gt;='Invoer gegevens (N)'!$C$17,E108&lt;'Invoer gegevens (N)'!$C$17+'Invoer gegevens (N)'!$I$14),1,0)</f>
        <v>1</v>
      </c>
      <c r="D108" s="68">
        <f t="shared" si="16"/>
        <v>35.5</v>
      </c>
      <c r="E108" s="108">
        <f ca="1">IF('Invoer gegevens (N)'!$C$16="","",E107+1)</f>
        <v>2054</v>
      </c>
      <c r="F108" s="84">
        <f ca="1">IF('Invoer gegevens (N)'!$C$17=E108,'Invoer gegevens (N)'!$C$10,IF(C108=1,K107,0))</f>
        <v>0</v>
      </c>
      <c r="G108" s="96">
        <f ca="1">IF(E108='Invoer gegevens (N)'!$C$17+'Invoer gegevens (N)'!$I$14,K107,IF(C108&gt;=1,F108*VLOOKUP(E108,'Reeksen (N)'!$A$5:$B$76,2),0))</f>
        <v>0</v>
      </c>
      <c r="H108" s="84">
        <f ca="1">IF(E108='Invoer gegevens (N)'!$C$17+'Invoer gegevens (N)'!$I$14,K107,(1-('Invoer gegevens (N)'!$F$20/12))*F108*MIN('Reeksen (N)'!B40,'Reeksen (N)'!D40))</f>
        <v>0</v>
      </c>
      <c r="I108" s="84">
        <f>IF('Reeksen (N)'!D40&lt;'Reeksen (N)'!B40,('Reeksen (N)'!B40-'Reeksen (N)'!D40)*F108,0)</f>
        <v>0</v>
      </c>
      <c r="J108" s="84">
        <f ca="1">IF(E108='Invoer gegevens (N)'!$C$17+'Invoer gegevens (N)'!$I$14+1,0,('Invoer gegevens (N)'!$F$20/12)*F107*MIN('Reeksen (N)'!B39,'Reeksen (N)'!D39))</f>
        <v>0</v>
      </c>
      <c r="K108" s="97">
        <f ca="1">IF(E108&gt;='Invoer gegevens (N)'!$C$17+'Invoer gegevens (N)'!$I$14,0,F108-G108)</f>
        <v>0</v>
      </c>
      <c r="L108" s="84">
        <f ca="1">IF('Invoer gegevens (N)'!$C$17=E108,0,IF(C108=1,Q107,0))</f>
        <v>0</v>
      </c>
      <c r="M108" s="96">
        <f ca="1">IF(E108='Invoer gegevens (N)'!$C$17+'Invoer gegevens (N)'!$I$14,Q107,IF(C108&gt;=1,L108*VLOOKUP(E108,'Reeksen (N)'!$A$5:$B$76,2),0))</f>
        <v>0</v>
      </c>
      <c r="N108" s="84">
        <f ca="1">IF(C108='Invoer gegevens (N)'!$C$17+'Invoer gegevens (N)'!$I$14,Q107,(1-('Invoer gegevens (N)'!$F$20/12))*L108*MIN('Reeksen (N)'!B40,'Reeksen (N)'!D40))</f>
        <v>0</v>
      </c>
      <c r="O108" s="84">
        <f>IF('Reeksen (N)'!D40&lt;'Reeksen (N)'!B40,('Reeksen (N)'!B40-'Reeksen (N)'!D40)*L108,0)</f>
        <v>0</v>
      </c>
      <c r="P108" s="84">
        <f ca="1">IF(E108='Invoer gegevens (N)'!$C$17+'Invoer gegevens (N)'!$I$14+1,0,('Invoer gegevens (N)'!$F$20/12)*L107*MIN('Reeksen (N)'!B39,'Reeksen (N)'!D39))</f>
        <v>0</v>
      </c>
      <c r="Q108" s="84">
        <f ca="1">IF(E108&gt;='Invoer gegevens (N)'!$C$17+'Invoer gegevens (N)'!$I$14,0,L108-M108+I108+O108)</f>
        <v>0</v>
      </c>
      <c r="R108" s="82">
        <f ca="1">IF('Invoer gegevens (N)'!$C$17=E108,'Invoer gegevens (N)'!$C$11,IF(C108=1,W107,0))</f>
        <v>0</v>
      </c>
      <c r="S108" s="86">
        <f ca="1">IF(E108='Invoer gegevens (N)'!$C$17+'Invoer gegevens (N)'!$I$14,W107,IF(C108&gt;=1,R108*VLOOKUP(E108,'Reeksen (N)'!$A$5:$B$76,2),0))</f>
        <v>0</v>
      </c>
      <c r="T108" s="84">
        <f ca="1">IF(E108='Invoer gegevens (N)'!$C$17+'Invoer gegevens (N)'!$I$14,W107,(1-('Invoer gegevens (N)'!$F$20/12))*R108*MIN('Reeksen (N)'!B40,'Reeksen (N)'!D40))</f>
        <v>0</v>
      </c>
      <c r="U108" s="84">
        <f>IF('Reeksen (N)'!D40&gt;='Reeksen (N)'!B40,0,IF('Reeksen (N)'!AK40&lt;='Reeksen (N)'!AE40,('Reeksen (N)'!B40-'Reeksen (N)'!D40)*R108,0))</f>
        <v>0</v>
      </c>
      <c r="V108" s="86">
        <f>IF('Reeksen (N)'!D40&gt;='Reeksen (N)'!B40,0,IF('Reeksen (N)'!AK40&gt;'Reeksen (N)'!AE40,('Reeksen (N)'!B40-'Reeksen (N)'!D40)*R108,0))</f>
        <v>0</v>
      </c>
      <c r="W108" s="97">
        <f ca="1">IF(E108&gt;='Invoer gegevens (N)'!$C$17+'Invoer gegevens (N)'!$I$14,0,R108-S108)</f>
        <v>0</v>
      </c>
      <c r="X108" s="98">
        <f ca="1">IF('Invoer gegevens (N)'!$C$17=E108,'Invoer gegevens (N)'!$C$10-'Invoer gegevens (N)'!$C$11,IF(C108=1,AC107,0))</f>
        <v>0</v>
      </c>
      <c r="Y108" s="98">
        <f ca="1">IF(E108='Invoer gegevens (N)'!$C$17+'Invoer gegevens (N)'!$I$14,AC107,IF(C108&gt;=1,X108*VLOOKUP(E108,'Reeksen (N)'!$A$5:$B$76,2),0))</f>
        <v>0</v>
      </c>
      <c r="Z108" s="98">
        <f ca="1">IF(E108='Invoer gegevens (N)'!$C$17+'Invoer gegevens (N)'!$I$14,AC107,(1-('Invoer gegevens (N)'!$F$20/12))*X108*MIN('Reeksen (N)'!B40,'Reeksen (N)'!D40))</f>
        <v>0</v>
      </c>
      <c r="AA108" s="98">
        <f>IF('Reeksen (N)'!D40&gt;='Reeksen (N)'!B40,0,IF('Reeksen (N)'!AK40&lt;='Reeksen (N)'!AE40,('Reeksen (N)'!B40-'Reeksen (N)'!D40)*X108,0))</f>
        <v>0</v>
      </c>
      <c r="AB108" s="98">
        <f>IF('Reeksen (N)'!D40&gt;='Reeksen (N)'!B40,0,IF('Reeksen (N)'!AK40&gt;'Reeksen (N)'!AE40,('Reeksen (N)'!B40-'Reeksen (N)'!D40)*X108,0))</f>
        <v>0</v>
      </c>
      <c r="AC108" s="99">
        <f ca="1">IF(E108&gt;='Invoer gegevens (N)'!$C$17+'Invoer gegevens (N)'!$I$14,0,X108-Y108)</f>
        <v>0</v>
      </c>
      <c r="AD108" s="98">
        <f ca="1">IF('Invoer gegevens (N)'!$C$17=E40,R108,IF(C40=0,0,AE107))</f>
        <v>0</v>
      </c>
      <c r="AE108" s="98">
        <f t="shared" ca="1" si="9"/>
        <v>0</v>
      </c>
      <c r="AF108" s="98">
        <f ca="1">IF('Invoer gegevens (N)'!$C$17=E40,X108,IF(C40=0,0,AG107))</f>
        <v>0</v>
      </c>
      <c r="AG108" s="98">
        <f t="shared" ca="1" si="10"/>
        <v>0</v>
      </c>
      <c r="AH108" s="66"/>
      <c r="AI108" s="71">
        <f ca="1">IF(C108=1,(('Reeksen (N)'!BF40*(F108-G108+F108)/2)+((L108-M108+L108)/2*'Reeksen (N)'!BG40))*12,0)</f>
        <v>0</v>
      </c>
      <c r="AJ108" s="71">
        <f ca="1">-AI108*'Invoer gegevens (N)'!$I$26</f>
        <v>0</v>
      </c>
      <c r="AK108" s="71">
        <f t="shared" ca="1" si="11"/>
        <v>0</v>
      </c>
      <c r="AL108" s="71">
        <f ca="1">IF(C108=1,'Reeksen (N)'!AL40*((F108-G108+F108)/2)*12+'Reeksen (N)'!AM40*((L108-M108+L108)/2)*12,0)</f>
        <v>0</v>
      </c>
      <c r="AM108" s="71">
        <f ca="1">-AL108*'Invoer gegevens (N)'!$F$31</f>
        <v>0</v>
      </c>
      <c r="AN108" s="71">
        <f t="shared" ca="1" si="12"/>
        <v>0</v>
      </c>
      <c r="AO108" s="71">
        <f ca="1">IF(E108&gt;='Invoer gegevens (N)'!$C$17+'Invoer gegevens (N)'!$I$14,0,IF(C108=1,(H108+J108+N108+P108)*'Reeksen (N)'!AN40,0))</f>
        <v>0</v>
      </c>
      <c r="AP108" s="71">
        <f ca="1">-IF(C108=1,(H108+J108+N108+P108)*'Reeksen (N)'!AN39*'Hulp - basis'!$J$550,0)</f>
        <v>0</v>
      </c>
      <c r="AQ108" s="71">
        <f ca="1">-IF(C108=1,(F108+K108+L108+Q108)/2*'Invoer gegevens (N)'!$I$33*'Reeksen (N)'!J40,0)</f>
        <v>0</v>
      </c>
      <c r="AR108" s="71">
        <f ca="1">-IF(C108=1,(I108*'Invoer gegevens (N)'!$I$34)*'Reeksen (N)'!J40,0)</f>
        <v>0</v>
      </c>
      <c r="AS108" s="71">
        <f ca="1">-IF(C108=1,(F108+K108+L108+Q108)/2*'Invoer gegevens (N)'!$I$35*'Reeksen (N)'!L40,0)</f>
        <v>0</v>
      </c>
      <c r="AT108" s="71">
        <f ca="1">-IF(C108=1,IF(E108='Invoer gegevens (N)'!$C$17,'Invoer gegevens (N)'!$C$11,AD108)*'Reeksen (N)'!S40*'Invoer gegevens (N)'!$C$18*'Reeksen (N)'!P40,0)</f>
        <v>0</v>
      </c>
      <c r="AU108" s="71">
        <f ca="1">-IF(C108=1,(F108+K108+L108+Q108)/2*'Invoer gegevens (N)'!$I$36*'Reeksen (N)'!H40,0)</f>
        <v>0</v>
      </c>
      <c r="AV108" s="71">
        <f t="shared" ca="1" si="13"/>
        <v>0</v>
      </c>
      <c r="AW108" s="72">
        <f ca="1">IFERROR(IF(E108='Invoer gegevens (N)'!$C$17+'Invoer gegevens (N)'!$I$14-1,'Invoer gegevens (N)'!$I$13*K108*'Reeksen (N)'!H40,0),0)</f>
        <v>0</v>
      </c>
      <c r="AX108" s="72">
        <f ca="1">IFERROR(IF(E108='Invoer gegevens (N)'!$C$17,-'Invoer gegevens (N)'!$C$10*('Invoer gegevens (N)'!$C$30+'Invoer gegevens (N)'!$C$31)*'Reeksen (N)'!H40,0),0)</f>
        <v>0</v>
      </c>
      <c r="AY108" s="73">
        <f ca="1">IF('Invoer gegevens (N)'!$C$34=E108,'Invoer gegevens (N)'!$C$27*'Invoer gegevens (N)'!$C$10*'Invoer gegevens (N)'!$C$36*(IF('Invoer gegevens (N)'!$C$35="ja",1,'Reeksen (N)'!J40)),IF('Invoer gegevens (N)'!$C$34+1=E108,'Invoer gegevens (N)'!$C$27*'Invoer gegevens (N)'!$C$10*'Invoer gegevens (N)'!$C$37*(IF('Invoer gegevens (N)'!$C$35="ja",1,'Reeksen (N)'!J40)),0))+IF(AND(E108='Invoer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8" s="73">
        <f ca="1">AV108/(1+'Invoer gegevens (N)'!$I$12)^($D108-('Invoer gegevens (N)'!$C$17-'Invoer gegevens (N)'!$C$16))/(1+'Invoer gegevens (N)'!$C$39)^('Invoer gegevens (N)'!$C$17-'Invoer gegevens (N)'!$C$16)</f>
        <v>0</v>
      </c>
      <c r="BA108" s="73">
        <f ca="1">AW108/(1+'Invoer gegevens (N)'!$I$12)^(E108-('Invoer gegevens (N)'!$C$17-1))/(1+'Invoer gegevens (N)'!$C$39)^('Invoer gegevens (N)'!$C$17-'Invoer gegevens (N)'!$C$16)</f>
        <v>0</v>
      </c>
      <c r="BB108" s="73">
        <f ca="1">AX108/(1+'Invoer gegevens (N)'!$C$39)^('Invoer gegevens (N)'!$C$17-'Invoer gegevens (N)'!$C$16)</f>
        <v>0</v>
      </c>
      <c r="BC108" s="72">
        <f t="shared" ca="1" si="14"/>
        <v>0</v>
      </c>
      <c r="BD108" s="72">
        <f ca="1">IF(AND(E108='Invoer gegevens (N)'!$C$16,'Invoer gegevens (N)'!$C$34&lt;'Invoer gegevens (N)'!$C$16),AY108,AY108/(1+'Invoer gegevens (N)'!$C$39)^D108)</f>
        <v>0</v>
      </c>
      <c r="BE108" s="72">
        <f ca="1">IF(E108='Invoer gegevens (N)'!$C$34,-'Invoer gegevens (N)'!$I$38,0)</f>
        <v>0</v>
      </c>
      <c r="BF108" s="72">
        <f ca="1">IF(E108='Invoer gegevens (N)'!$C$17,-'Invoer gegevens (N)'!$C$19*$BC$134,0)</f>
        <v>0</v>
      </c>
      <c r="BG108" s="72">
        <f ca="1">AV108/(1+$BG$72)^($D108-('Invoer gegevens (N)'!$C$17-'Invoer gegevens (N)'!$C$16))/(1+'Invoer gegevens (N)'!$C$39)^('Invoer gegevens (N)'!$C$17-'Invoer gegevens (N)'!$C$16)+AW108/(1+$BG$72)^(E108-('Invoer gegevens (N)'!$C$17-1))/(1+'Invoer gegevens (N)'!$C$39)^('Invoer gegevens (N)'!$C$17-'Invoer gegevens (N)'!$C$16)+AX108/(1+'Invoer gegevens (N)'!$C$39)^('Invoer gegevens (N)'!$C$17-'Invoer gegevens (N)'!$C$16)+(-AY108/(1+'Invoer gegevens (N)'!$C$39)^D108)+BE108+BF108</f>
        <v>0</v>
      </c>
    </row>
    <row r="109" spans="1:59" x14ac:dyDescent="0.25">
      <c r="B109" s="70">
        <f t="shared" si="15"/>
        <v>37</v>
      </c>
      <c r="C109" s="67">
        <f ca="1">IF(AND(E109&gt;='Invoer gegevens (N)'!$C$17,E109&lt;'Invoer gegevens (N)'!$C$17+'Invoer gegevens (N)'!$I$14),1,0)</f>
        <v>1</v>
      </c>
      <c r="D109" s="68">
        <f t="shared" si="16"/>
        <v>36.5</v>
      </c>
      <c r="E109" s="108">
        <f ca="1">IF('Invoer gegevens (N)'!$C$16="","",E108+1)</f>
        <v>2055</v>
      </c>
      <c r="F109" s="84">
        <f ca="1">IF('Invoer gegevens (N)'!$C$17=E109,'Invoer gegevens (N)'!$C$10,IF(C109=1,K108,0))</f>
        <v>0</v>
      </c>
      <c r="G109" s="96">
        <f ca="1">IF(E109='Invoer gegevens (N)'!$C$17+'Invoer gegevens (N)'!$I$14,K108,IF(C109&gt;=1,F109*VLOOKUP(E109,'Reeksen (N)'!$A$5:$B$76,2),0))</f>
        <v>0</v>
      </c>
      <c r="H109" s="84">
        <f ca="1">IF(E109='Invoer gegevens (N)'!$C$17+'Invoer gegevens (N)'!$I$14,K108,(1-('Invoer gegevens (N)'!$F$20/12))*F109*MIN('Reeksen (N)'!B41,'Reeksen (N)'!D41))</f>
        <v>0</v>
      </c>
      <c r="I109" s="84">
        <f>IF('Reeksen (N)'!D41&lt;'Reeksen (N)'!B41,('Reeksen (N)'!B41-'Reeksen (N)'!D41)*F109,0)</f>
        <v>0</v>
      </c>
      <c r="J109" s="84">
        <f ca="1">IF(E109='Invoer gegevens (N)'!$C$17+'Invoer gegevens (N)'!$I$14+1,0,('Invoer gegevens (N)'!$F$20/12)*F108*MIN('Reeksen (N)'!B40,'Reeksen (N)'!D40))</f>
        <v>0</v>
      </c>
      <c r="K109" s="97">
        <f ca="1">IF(E109&gt;='Invoer gegevens (N)'!$C$17+'Invoer gegevens (N)'!$I$14,0,F109-G109)</f>
        <v>0</v>
      </c>
      <c r="L109" s="84">
        <f ca="1">IF('Invoer gegevens (N)'!$C$17=E109,0,IF(C109=1,Q108,0))</f>
        <v>0</v>
      </c>
      <c r="M109" s="96">
        <f ca="1">IF(E109='Invoer gegevens (N)'!$C$17+'Invoer gegevens (N)'!$I$14,Q108,IF(C109&gt;=1,L109*VLOOKUP(E109,'Reeksen (N)'!$A$5:$B$76,2),0))</f>
        <v>0</v>
      </c>
      <c r="N109" s="84">
        <f ca="1">IF(C109='Invoer gegevens (N)'!$C$17+'Invoer gegevens (N)'!$I$14,Q108,(1-('Invoer gegevens (N)'!$F$20/12))*L109*MIN('Reeksen (N)'!B41,'Reeksen (N)'!D41))</f>
        <v>0</v>
      </c>
      <c r="O109" s="84">
        <f>IF('Reeksen (N)'!D41&lt;'Reeksen (N)'!B41,('Reeksen (N)'!B41-'Reeksen (N)'!D41)*L109,0)</f>
        <v>0</v>
      </c>
      <c r="P109" s="84">
        <f ca="1">IF(E109='Invoer gegevens (N)'!$C$17+'Invoer gegevens (N)'!$I$14+1,0,('Invoer gegevens (N)'!$F$20/12)*L108*MIN('Reeksen (N)'!B40,'Reeksen (N)'!D40))</f>
        <v>0</v>
      </c>
      <c r="Q109" s="84">
        <f ca="1">IF(E109&gt;='Invoer gegevens (N)'!$C$17+'Invoer gegevens (N)'!$I$14,0,L109-M109+I109+O109)</f>
        <v>0</v>
      </c>
      <c r="R109" s="82">
        <f ca="1">IF('Invoer gegevens (N)'!$C$17=E109,'Invoer gegevens (N)'!$C$11,IF(C109=1,W108,0))</f>
        <v>0</v>
      </c>
      <c r="S109" s="86">
        <f ca="1">IF(E109='Invoer gegevens (N)'!$C$17+'Invoer gegevens (N)'!$I$14,W108,IF(C109&gt;=1,R109*VLOOKUP(E109,'Reeksen (N)'!$A$5:$B$76,2),0))</f>
        <v>0</v>
      </c>
      <c r="T109" s="84">
        <f ca="1">IF(E109='Invoer gegevens (N)'!$C$17+'Invoer gegevens (N)'!$I$14,W108,(1-('Invoer gegevens (N)'!$F$20/12))*R109*MIN('Reeksen (N)'!B41,'Reeksen (N)'!D41))</f>
        <v>0</v>
      </c>
      <c r="U109" s="84">
        <f>IF('Reeksen (N)'!D41&gt;='Reeksen (N)'!B41,0,IF('Reeksen (N)'!AK41&lt;='Reeksen (N)'!AE41,('Reeksen (N)'!B41-'Reeksen (N)'!D41)*R109,0))</f>
        <v>0</v>
      </c>
      <c r="V109" s="86">
        <f>IF('Reeksen (N)'!D41&gt;='Reeksen (N)'!B41,0,IF('Reeksen (N)'!AK41&gt;'Reeksen (N)'!AE41,('Reeksen (N)'!B41-'Reeksen (N)'!D41)*R109,0))</f>
        <v>0</v>
      </c>
      <c r="W109" s="97">
        <f ca="1">IF(E109&gt;='Invoer gegevens (N)'!$C$17+'Invoer gegevens (N)'!$I$14,0,R109-S109)</f>
        <v>0</v>
      </c>
      <c r="X109" s="98">
        <f ca="1">IF('Invoer gegevens (N)'!$C$17=E109,'Invoer gegevens (N)'!$C$10-'Invoer gegevens (N)'!$C$11,IF(C109=1,AC108,0))</f>
        <v>0</v>
      </c>
      <c r="Y109" s="98">
        <f ca="1">IF(E109='Invoer gegevens (N)'!$C$17+'Invoer gegevens (N)'!$I$14,AC108,IF(C109&gt;=1,X109*VLOOKUP(E109,'Reeksen (N)'!$A$5:$B$76,2),0))</f>
        <v>0</v>
      </c>
      <c r="Z109" s="98">
        <f ca="1">IF(E109='Invoer gegevens (N)'!$C$17+'Invoer gegevens (N)'!$I$14,AC108,(1-('Invoer gegevens (N)'!$F$20/12))*X109*MIN('Reeksen (N)'!B41,'Reeksen (N)'!D41))</f>
        <v>0</v>
      </c>
      <c r="AA109" s="98">
        <f>IF('Reeksen (N)'!D41&gt;='Reeksen (N)'!B41,0,IF('Reeksen (N)'!AK41&lt;='Reeksen (N)'!AE41,('Reeksen (N)'!B41-'Reeksen (N)'!D41)*X109,0))</f>
        <v>0</v>
      </c>
      <c r="AB109" s="98">
        <f>IF('Reeksen (N)'!D41&gt;='Reeksen (N)'!B41,0,IF('Reeksen (N)'!AK41&gt;'Reeksen (N)'!AE41,('Reeksen (N)'!B41-'Reeksen (N)'!D41)*X109,0))</f>
        <v>0</v>
      </c>
      <c r="AC109" s="99">
        <f ca="1">IF(E109&gt;='Invoer gegevens (N)'!$C$17+'Invoer gegevens (N)'!$I$14,0,X109-Y109)</f>
        <v>0</v>
      </c>
      <c r="AD109" s="98">
        <f ca="1">IF('Invoer gegevens (N)'!$C$17=E41,R109,IF(C41=0,0,AE108))</f>
        <v>0</v>
      </c>
      <c r="AE109" s="98">
        <f t="shared" ca="1" si="9"/>
        <v>0</v>
      </c>
      <c r="AF109" s="98">
        <f ca="1">IF('Invoer gegevens (N)'!$C$17=E41,X109,IF(C41=0,0,AG108))</f>
        <v>0</v>
      </c>
      <c r="AG109" s="98">
        <f t="shared" ca="1" si="10"/>
        <v>0</v>
      </c>
      <c r="AH109" s="66"/>
      <c r="AI109" s="71">
        <f ca="1">IF(C109=1,(('Reeksen (N)'!BF41*(F109-G109+F109)/2)+((L109-M109+L109)/2*'Reeksen (N)'!BG41))*12,0)</f>
        <v>0</v>
      </c>
      <c r="AJ109" s="71">
        <f ca="1">-AI109*'Invoer gegevens (N)'!$I$26</f>
        <v>0</v>
      </c>
      <c r="AK109" s="71">
        <f t="shared" ca="1" si="11"/>
        <v>0</v>
      </c>
      <c r="AL109" s="71">
        <f ca="1">IF(C109=1,'Reeksen (N)'!AL41*((F109-G109+F109)/2)*12+'Reeksen (N)'!AM41*((L109-M109+L109)/2)*12,0)</f>
        <v>0</v>
      </c>
      <c r="AM109" s="71">
        <f ca="1">-AL109*'Invoer gegevens (N)'!$F$31</f>
        <v>0</v>
      </c>
      <c r="AN109" s="71">
        <f t="shared" ca="1" si="12"/>
        <v>0</v>
      </c>
      <c r="AO109" s="71">
        <f ca="1">IF(E109&gt;='Invoer gegevens (N)'!$C$17+'Invoer gegevens (N)'!$I$14,0,IF(C109=1,(H109+J109+N109+P109)*'Reeksen (N)'!AN41,0))</f>
        <v>0</v>
      </c>
      <c r="AP109" s="71">
        <f ca="1">-IF(C109=1,(H109+J109+N109+P109)*'Reeksen (N)'!AN40*'Hulp - basis'!$J$550,0)</f>
        <v>0</v>
      </c>
      <c r="AQ109" s="71">
        <f ca="1">-IF(C109=1,(F109+K109+L109+Q109)/2*'Invoer gegevens (N)'!$I$33*'Reeksen (N)'!J41,0)</f>
        <v>0</v>
      </c>
      <c r="AR109" s="71">
        <f ca="1">-IF(C109=1,(I109*'Invoer gegevens (N)'!$I$34)*'Reeksen (N)'!J41,0)</f>
        <v>0</v>
      </c>
      <c r="AS109" s="71">
        <f ca="1">-IF(C109=1,(F109+K109+L109+Q109)/2*'Invoer gegevens (N)'!$I$35*'Reeksen (N)'!L41,0)</f>
        <v>0</v>
      </c>
      <c r="AT109" s="71">
        <f ca="1">-IF(C109=1,IF(E109='Invoer gegevens (N)'!$C$17,'Invoer gegevens (N)'!$C$11,AD109)*'Reeksen (N)'!S41*'Invoer gegevens (N)'!$C$18*'Reeksen (N)'!P41,0)</f>
        <v>0</v>
      </c>
      <c r="AU109" s="71">
        <f ca="1">-IF(C109=1,(F109+K109+L109+Q109)/2*'Invoer gegevens (N)'!$I$36*'Reeksen (N)'!H41,0)</f>
        <v>0</v>
      </c>
      <c r="AV109" s="71">
        <f t="shared" ca="1" si="13"/>
        <v>0</v>
      </c>
      <c r="AW109" s="72">
        <f ca="1">IFERROR(IF(E109='Invoer gegevens (N)'!$C$17+'Invoer gegevens (N)'!$I$14-1,'Invoer gegevens (N)'!$I$13*K109*'Reeksen (N)'!H41,0),0)</f>
        <v>0</v>
      </c>
      <c r="AX109" s="72">
        <f ca="1">IFERROR(IF(E109='Invoer gegevens (N)'!$C$17,-'Invoer gegevens (N)'!$C$10*('Invoer gegevens (N)'!$C$30+'Invoer gegevens (N)'!$C$31)*'Reeksen (N)'!H41,0),0)</f>
        <v>0</v>
      </c>
      <c r="AY109" s="73">
        <f ca="1">IF('Invoer gegevens (N)'!$C$34=E109,'Invoer gegevens (N)'!$C$27*'Invoer gegevens (N)'!$C$10*'Invoer gegevens (N)'!$C$36*(IF('Invoer gegevens (N)'!$C$35="ja",1,'Reeksen (N)'!J41)),IF('Invoer gegevens (N)'!$C$34+1=E109,'Invoer gegevens (N)'!$C$27*'Invoer gegevens (N)'!$C$10*'Invoer gegevens (N)'!$C$37*(IF('Invoer gegevens (N)'!$C$35="ja",1,'Reeksen (N)'!J41)),0))+IF(AND(E109='Invoer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09" s="73">
        <f ca="1">AV109/(1+'Invoer gegevens (N)'!$I$12)^($D109-('Invoer gegevens (N)'!$C$17-'Invoer gegevens (N)'!$C$16))/(1+'Invoer gegevens (N)'!$C$39)^('Invoer gegevens (N)'!$C$17-'Invoer gegevens (N)'!$C$16)</f>
        <v>0</v>
      </c>
      <c r="BA109" s="73">
        <f ca="1">AW109/(1+'Invoer gegevens (N)'!$I$12)^(E109-('Invoer gegevens (N)'!$C$17-1))/(1+'Invoer gegevens (N)'!$C$39)^('Invoer gegevens (N)'!$C$17-'Invoer gegevens (N)'!$C$16)</f>
        <v>0</v>
      </c>
      <c r="BB109" s="73">
        <f ca="1">AX109/(1+'Invoer gegevens (N)'!$C$39)^('Invoer gegevens (N)'!$C$17-'Invoer gegevens (N)'!$C$16)</f>
        <v>0</v>
      </c>
      <c r="BC109" s="72">
        <f t="shared" ca="1" si="14"/>
        <v>0</v>
      </c>
      <c r="BD109" s="72">
        <f ca="1">IF(AND(E109='Invoer gegevens (N)'!$C$16,'Invoer gegevens (N)'!$C$34&lt;'Invoer gegevens (N)'!$C$16),AY109,AY109/(1+'Invoer gegevens (N)'!$C$39)^D109)</f>
        <v>0</v>
      </c>
      <c r="BE109" s="72">
        <f ca="1">IF(E109='Invoer gegevens (N)'!$C$34,-'Invoer gegevens (N)'!$I$38,0)</f>
        <v>0</v>
      </c>
      <c r="BF109" s="72">
        <f ca="1">IF(E109='Invoer gegevens (N)'!$C$17,-'Invoer gegevens (N)'!$C$19*$BC$134,0)</f>
        <v>0</v>
      </c>
      <c r="BG109" s="72">
        <f ca="1">AV109/(1+$BG$72)^($D109-('Invoer gegevens (N)'!$C$17-'Invoer gegevens (N)'!$C$16))/(1+'Invoer gegevens (N)'!$C$39)^('Invoer gegevens (N)'!$C$17-'Invoer gegevens (N)'!$C$16)+AW109/(1+$BG$72)^(E109-('Invoer gegevens (N)'!$C$17-1))/(1+'Invoer gegevens (N)'!$C$39)^('Invoer gegevens (N)'!$C$17-'Invoer gegevens (N)'!$C$16)+AX109/(1+'Invoer gegevens (N)'!$C$39)^('Invoer gegevens (N)'!$C$17-'Invoer gegevens (N)'!$C$16)+(-AY109/(1+'Invoer gegevens (N)'!$C$39)^D109)+BE109+BF109</f>
        <v>0</v>
      </c>
    </row>
    <row r="110" spans="1:59" x14ac:dyDescent="0.25">
      <c r="B110" s="70">
        <f t="shared" si="15"/>
        <v>38</v>
      </c>
      <c r="C110" s="67">
        <f ca="1">IF(AND(E110&gt;='Invoer gegevens (N)'!$C$17,E110&lt;'Invoer gegevens (N)'!$C$17+'Invoer gegevens (N)'!$I$14),1,0)</f>
        <v>1</v>
      </c>
      <c r="D110" s="68">
        <f t="shared" si="16"/>
        <v>37.5</v>
      </c>
      <c r="E110" s="108">
        <f ca="1">IF('Invoer gegevens (N)'!$C$16="","",E109+1)</f>
        <v>2056</v>
      </c>
      <c r="F110" s="84">
        <f ca="1">IF('Invoer gegevens (N)'!$C$17=E110,'Invoer gegevens (N)'!$C$10,IF(C110=1,K109,0))</f>
        <v>0</v>
      </c>
      <c r="G110" s="96">
        <f ca="1">IF(E110='Invoer gegevens (N)'!$C$17+'Invoer gegevens (N)'!$I$14,K109,IF(C110&gt;=1,F110*VLOOKUP(E110,'Reeksen (N)'!$A$5:$B$76,2),0))</f>
        <v>0</v>
      </c>
      <c r="H110" s="84">
        <f ca="1">IF(E110='Invoer gegevens (N)'!$C$17+'Invoer gegevens (N)'!$I$14,K109,(1-('Invoer gegevens (N)'!$F$20/12))*F110*MIN('Reeksen (N)'!B42,'Reeksen (N)'!D42))</f>
        <v>0</v>
      </c>
      <c r="I110" s="84">
        <f>IF('Reeksen (N)'!D42&lt;'Reeksen (N)'!B42,('Reeksen (N)'!B42-'Reeksen (N)'!D42)*F110,0)</f>
        <v>0</v>
      </c>
      <c r="J110" s="84">
        <f ca="1">IF(E110='Invoer gegevens (N)'!$C$17+'Invoer gegevens (N)'!$I$14+1,0,('Invoer gegevens (N)'!$F$20/12)*F109*MIN('Reeksen (N)'!B41,'Reeksen (N)'!D41))</f>
        <v>0</v>
      </c>
      <c r="K110" s="97">
        <f ca="1">IF(E110&gt;='Invoer gegevens (N)'!$C$17+'Invoer gegevens (N)'!$I$14,0,F110-G110)</f>
        <v>0</v>
      </c>
      <c r="L110" s="84">
        <f ca="1">IF('Invoer gegevens (N)'!$C$17=E110,0,IF(C110=1,Q109,0))</f>
        <v>0</v>
      </c>
      <c r="M110" s="96">
        <f ca="1">IF(E110='Invoer gegevens (N)'!$C$17+'Invoer gegevens (N)'!$I$14,Q109,IF(C110&gt;=1,L110*VLOOKUP(E110,'Reeksen (N)'!$A$5:$B$76,2),0))</f>
        <v>0</v>
      </c>
      <c r="N110" s="84">
        <f ca="1">IF(C110='Invoer gegevens (N)'!$C$17+'Invoer gegevens (N)'!$I$14,Q109,(1-('Invoer gegevens (N)'!$F$20/12))*L110*MIN('Reeksen (N)'!B42,'Reeksen (N)'!D42))</f>
        <v>0</v>
      </c>
      <c r="O110" s="84">
        <f>IF('Reeksen (N)'!D42&lt;'Reeksen (N)'!B42,('Reeksen (N)'!B42-'Reeksen (N)'!D42)*L110,0)</f>
        <v>0</v>
      </c>
      <c r="P110" s="84">
        <f ca="1">IF(E110='Invoer gegevens (N)'!$C$17+'Invoer gegevens (N)'!$I$14+1,0,('Invoer gegevens (N)'!$F$20/12)*L109*MIN('Reeksen (N)'!B41,'Reeksen (N)'!D41))</f>
        <v>0</v>
      </c>
      <c r="Q110" s="84">
        <f ca="1">IF(E110&gt;='Invoer gegevens (N)'!$C$17+'Invoer gegevens (N)'!$I$14,0,L110-M110+I110+O110)</f>
        <v>0</v>
      </c>
      <c r="R110" s="82">
        <f ca="1">IF('Invoer gegevens (N)'!$C$17=E110,'Invoer gegevens (N)'!$C$11,IF(C110=1,W109,0))</f>
        <v>0</v>
      </c>
      <c r="S110" s="86">
        <f ca="1">IF(E110='Invoer gegevens (N)'!$C$17+'Invoer gegevens (N)'!$I$14,W109,IF(C110&gt;=1,R110*VLOOKUP(E110,'Reeksen (N)'!$A$5:$B$76,2),0))</f>
        <v>0</v>
      </c>
      <c r="T110" s="84">
        <f ca="1">IF(E110='Invoer gegevens (N)'!$C$17+'Invoer gegevens (N)'!$I$14,W109,(1-('Invoer gegevens (N)'!$F$20/12))*R110*MIN('Reeksen (N)'!B42,'Reeksen (N)'!D42))</f>
        <v>0</v>
      </c>
      <c r="U110" s="84">
        <f>IF('Reeksen (N)'!D42&gt;='Reeksen (N)'!B42,0,IF('Reeksen (N)'!AK42&lt;='Reeksen (N)'!AE42,('Reeksen (N)'!B42-'Reeksen (N)'!D42)*R110,0))</f>
        <v>0</v>
      </c>
      <c r="V110" s="86">
        <f>IF('Reeksen (N)'!D42&gt;='Reeksen (N)'!B42,0,IF('Reeksen (N)'!AK42&gt;'Reeksen (N)'!AE42,('Reeksen (N)'!B42-'Reeksen (N)'!D42)*R110,0))</f>
        <v>0</v>
      </c>
      <c r="W110" s="97">
        <f ca="1">IF(E110&gt;='Invoer gegevens (N)'!$C$17+'Invoer gegevens (N)'!$I$14,0,R110-S110)</f>
        <v>0</v>
      </c>
      <c r="X110" s="98">
        <f ca="1">IF('Invoer gegevens (N)'!$C$17=E110,'Invoer gegevens (N)'!$C$10-'Invoer gegevens (N)'!$C$11,IF(C110=1,AC109,0))</f>
        <v>0</v>
      </c>
      <c r="Y110" s="98">
        <f ca="1">IF(E110='Invoer gegevens (N)'!$C$17+'Invoer gegevens (N)'!$I$14,AC109,IF(C110&gt;=1,X110*VLOOKUP(E110,'Reeksen (N)'!$A$5:$B$76,2),0))</f>
        <v>0</v>
      </c>
      <c r="Z110" s="98">
        <f ca="1">IF(E110='Invoer gegevens (N)'!$C$17+'Invoer gegevens (N)'!$I$14,AC109,(1-('Invoer gegevens (N)'!$F$20/12))*X110*MIN('Reeksen (N)'!B42,'Reeksen (N)'!D42))</f>
        <v>0</v>
      </c>
      <c r="AA110" s="98">
        <f>IF('Reeksen (N)'!D42&gt;='Reeksen (N)'!B42,0,IF('Reeksen (N)'!AK42&lt;='Reeksen (N)'!AE42,('Reeksen (N)'!B42-'Reeksen (N)'!D42)*X110,0))</f>
        <v>0</v>
      </c>
      <c r="AB110" s="98">
        <f>IF('Reeksen (N)'!D42&gt;='Reeksen (N)'!B42,0,IF('Reeksen (N)'!AK42&gt;'Reeksen (N)'!AE42,('Reeksen (N)'!B42-'Reeksen (N)'!D42)*X110,0))</f>
        <v>0</v>
      </c>
      <c r="AC110" s="99">
        <f ca="1">IF(E110&gt;='Invoer gegevens (N)'!$C$17+'Invoer gegevens (N)'!$I$14,0,X110-Y110)</f>
        <v>0</v>
      </c>
      <c r="AD110" s="98">
        <f ca="1">IF('Invoer gegevens (N)'!$C$17=E42,R110,IF(C42=0,0,AE109))</f>
        <v>0</v>
      </c>
      <c r="AE110" s="98">
        <f t="shared" ca="1" si="9"/>
        <v>0</v>
      </c>
      <c r="AF110" s="98">
        <f ca="1">IF('Invoer gegevens (N)'!$C$17=E42,X110,IF(C42=0,0,AG109))</f>
        <v>0</v>
      </c>
      <c r="AG110" s="98">
        <f t="shared" ca="1" si="10"/>
        <v>0</v>
      </c>
      <c r="AH110" s="66"/>
      <c r="AI110" s="71">
        <f ca="1">IF(C110=1,(('Reeksen (N)'!BF42*(F110-G110+F110)/2)+((L110-M110+L110)/2*'Reeksen (N)'!BG42))*12,0)</f>
        <v>0</v>
      </c>
      <c r="AJ110" s="71">
        <f ca="1">-AI110*'Invoer gegevens (N)'!$I$26</f>
        <v>0</v>
      </c>
      <c r="AK110" s="71">
        <f t="shared" ca="1" si="11"/>
        <v>0</v>
      </c>
      <c r="AL110" s="71">
        <f ca="1">IF(C110=1,'Reeksen (N)'!AL42*((F110-G110+F110)/2)*12+'Reeksen (N)'!AM42*((L110-M110+L110)/2)*12,0)</f>
        <v>0</v>
      </c>
      <c r="AM110" s="71">
        <f ca="1">-AL110*'Invoer gegevens (N)'!$F$31</f>
        <v>0</v>
      </c>
      <c r="AN110" s="71">
        <f t="shared" ca="1" si="12"/>
        <v>0</v>
      </c>
      <c r="AO110" s="71">
        <f ca="1">IF(E110&gt;='Invoer gegevens (N)'!$C$17+'Invoer gegevens (N)'!$I$14,0,IF(C110=1,(H110+J110+N110+P110)*'Reeksen (N)'!AN42,0))</f>
        <v>0</v>
      </c>
      <c r="AP110" s="71">
        <f ca="1">-IF(C110=1,(H110+J110+N110+P110)*'Reeksen (N)'!AN41*'Hulp - basis'!$J$550,0)</f>
        <v>0</v>
      </c>
      <c r="AQ110" s="71">
        <f ca="1">-IF(C110=1,(F110+K110+L110+Q110)/2*'Invoer gegevens (N)'!$I$33*'Reeksen (N)'!J42,0)</f>
        <v>0</v>
      </c>
      <c r="AR110" s="71">
        <f ca="1">-IF(C110=1,(I110*'Invoer gegevens (N)'!$I$34)*'Reeksen (N)'!J42,0)</f>
        <v>0</v>
      </c>
      <c r="AS110" s="71">
        <f ca="1">-IF(C110=1,(F110+K110+L110+Q110)/2*'Invoer gegevens (N)'!$I$35*'Reeksen (N)'!L42,0)</f>
        <v>0</v>
      </c>
      <c r="AT110" s="71">
        <f ca="1">-IF(C110=1,IF(E110='Invoer gegevens (N)'!$C$17,'Invoer gegevens (N)'!$C$11,AD110)*'Reeksen (N)'!S42*'Invoer gegevens (N)'!$C$18*'Reeksen (N)'!P42,0)</f>
        <v>0</v>
      </c>
      <c r="AU110" s="71">
        <f ca="1">-IF(C110=1,(F110+K110+L110+Q110)/2*'Invoer gegevens (N)'!$I$36*'Reeksen (N)'!H42,0)</f>
        <v>0</v>
      </c>
      <c r="AV110" s="71">
        <f t="shared" ca="1" si="13"/>
        <v>0</v>
      </c>
      <c r="AW110" s="72">
        <f ca="1">IFERROR(IF(E110='Invoer gegevens (N)'!$C$17+'Invoer gegevens (N)'!$I$14-1,'Invoer gegevens (N)'!$I$13*K110*'Reeksen (N)'!H42,0),0)</f>
        <v>0</v>
      </c>
      <c r="AX110" s="72">
        <f ca="1">IFERROR(IF(E110='Invoer gegevens (N)'!$C$17,-'Invoer gegevens (N)'!$C$10*('Invoer gegevens (N)'!$C$30+'Invoer gegevens (N)'!$C$31)*'Reeksen (N)'!H42,0),0)</f>
        <v>0</v>
      </c>
      <c r="AY110" s="73">
        <f ca="1">IF('Invoer gegevens (N)'!$C$34=E110,'Invoer gegevens (N)'!$C$27*'Invoer gegevens (N)'!$C$10*'Invoer gegevens (N)'!$C$36*(IF('Invoer gegevens (N)'!$C$35="ja",1,'Reeksen (N)'!J42)),IF('Invoer gegevens (N)'!$C$34+1=E110,'Invoer gegevens (N)'!$C$27*'Invoer gegevens (N)'!$C$10*'Invoer gegevens (N)'!$C$37*(IF('Invoer gegevens (N)'!$C$35="ja",1,'Reeksen (N)'!J42)),0))+IF(AND(E110='Invoer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0" s="73">
        <f ca="1">AV110/(1+'Invoer gegevens (N)'!$I$12)^($D110-('Invoer gegevens (N)'!$C$17-'Invoer gegevens (N)'!$C$16))/(1+'Invoer gegevens (N)'!$C$39)^('Invoer gegevens (N)'!$C$17-'Invoer gegevens (N)'!$C$16)</f>
        <v>0</v>
      </c>
      <c r="BA110" s="73">
        <f ca="1">AW110/(1+'Invoer gegevens (N)'!$I$12)^(E110-('Invoer gegevens (N)'!$C$17-1))/(1+'Invoer gegevens (N)'!$C$39)^('Invoer gegevens (N)'!$C$17-'Invoer gegevens (N)'!$C$16)</f>
        <v>0</v>
      </c>
      <c r="BB110" s="73">
        <f ca="1">AX110/(1+'Invoer gegevens (N)'!$C$39)^('Invoer gegevens (N)'!$C$17-'Invoer gegevens (N)'!$C$16)</f>
        <v>0</v>
      </c>
      <c r="BC110" s="72">
        <f t="shared" ca="1" si="14"/>
        <v>0</v>
      </c>
      <c r="BD110" s="72">
        <f ca="1">IF(AND(E110='Invoer gegevens (N)'!$C$16,'Invoer gegevens (N)'!$C$34&lt;'Invoer gegevens (N)'!$C$16),AY110,AY110/(1+'Invoer gegevens (N)'!$C$39)^D110)</f>
        <v>0</v>
      </c>
      <c r="BE110" s="72">
        <f ca="1">IF(E110='Invoer gegevens (N)'!$C$34,-'Invoer gegevens (N)'!$I$38,0)</f>
        <v>0</v>
      </c>
      <c r="BF110" s="72">
        <f ca="1">IF(E110='Invoer gegevens (N)'!$C$17,-'Invoer gegevens (N)'!$C$19*$BC$134,0)</f>
        <v>0</v>
      </c>
      <c r="BG110" s="72">
        <f ca="1">AV110/(1+$BG$72)^($D110-('Invoer gegevens (N)'!$C$17-'Invoer gegevens (N)'!$C$16))/(1+'Invoer gegevens (N)'!$C$39)^('Invoer gegevens (N)'!$C$17-'Invoer gegevens (N)'!$C$16)+AW110/(1+$BG$72)^(E110-('Invoer gegevens (N)'!$C$17-1))/(1+'Invoer gegevens (N)'!$C$39)^('Invoer gegevens (N)'!$C$17-'Invoer gegevens (N)'!$C$16)+AX110/(1+'Invoer gegevens (N)'!$C$39)^('Invoer gegevens (N)'!$C$17-'Invoer gegevens (N)'!$C$16)+(-AY110/(1+'Invoer gegevens (N)'!$C$39)^D110)+BE110+BF110</f>
        <v>0</v>
      </c>
    </row>
    <row r="111" spans="1:59" x14ac:dyDescent="0.25">
      <c r="B111" s="70">
        <f t="shared" si="15"/>
        <v>39</v>
      </c>
      <c r="C111" s="67">
        <f ca="1">IF(AND(E111&gt;='Invoer gegevens (N)'!$C$17,E111&lt;'Invoer gegevens (N)'!$C$17+'Invoer gegevens (N)'!$I$14),1,0)</f>
        <v>1</v>
      </c>
      <c r="D111" s="68">
        <f t="shared" si="16"/>
        <v>38.5</v>
      </c>
      <c r="E111" s="108">
        <f ca="1">IF('Invoer gegevens (N)'!$C$16="","",E110+1)</f>
        <v>2057</v>
      </c>
      <c r="F111" s="84">
        <f ca="1">IF('Invoer gegevens (N)'!$C$17=E111,'Invoer gegevens (N)'!$C$10,IF(C111=1,K110,0))</f>
        <v>0</v>
      </c>
      <c r="G111" s="96">
        <f ca="1">IF(E111='Invoer gegevens (N)'!$C$17+'Invoer gegevens (N)'!$I$14,K110,IF(C111&gt;=1,F111*VLOOKUP(E111,'Reeksen (N)'!$A$5:$B$76,2),0))</f>
        <v>0</v>
      </c>
      <c r="H111" s="84">
        <f ca="1">IF(E111='Invoer gegevens (N)'!$C$17+'Invoer gegevens (N)'!$I$14,K110,(1-('Invoer gegevens (N)'!$F$20/12))*F111*MIN('Reeksen (N)'!B43,'Reeksen (N)'!D43))</f>
        <v>0</v>
      </c>
      <c r="I111" s="84">
        <f>IF('Reeksen (N)'!D43&lt;'Reeksen (N)'!B43,('Reeksen (N)'!B43-'Reeksen (N)'!D43)*F111,0)</f>
        <v>0</v>
      </c>
      <c r="J111" s="84">
        <f ca="1">IF(E111='Invoer gegevens (N)'!$C$17+'Invoer gegevens (N)'!$I$14+1,0,('Invoer gegevens (N)'!$F$20/12)*F110*MIN('Reeksen (N)'!B42,'Reeksen (N)'!D42))</f>
        <v>0</v>
      </c>
      <c r="K111" s="97">
        <f ca="1">IF(E111&gt;='Invoer gegevens (N)'!$C$17+'Invoer gegevens (N)'!$I$14,0,F111-G111)</f>
        <v>0</v>
      </c>
      <c r="L111" s="84">
        <f ca="1">IF('Invoer gegevens (N)'!$C$17=E111,0,IF(C111=1,Q110,0))</f>
        <v>0</v>
      </c>
      <c r="M111" s="96">
        <f ca="1">IF(E111='Invoer gegevens (N)'!$C$17+'Invoer gegevens (N)'!$I$14,Q110,IF(C111&gt;=1,L111*VLOOKUP(E111,'Reeksen (N)'!$A$5:$B$76,2),0))</f>
        <v>0</v>
      </c>
      <c r="N111" s="84">
        <f ca="1">IF(C111='Invoer gegevens (N)'!$C$17+'Invoer gegevens (N)'!$I$14,Q110,(1-('Invoer gegevens (N)'!$F$20/12))*L111*MIN('Reeksen (N)'!B43,'Reeksen (N)'!D43))</f>
        <v>0</v>
      </c>
      <c r="O111" s="84">
        <f>IF('Reeksen (N)'!D43&lt;'Reeksen (N)'!B43,('Reeksen (N)'!B43-'Reeksen (N)'!D43)*L111,0)</f>
        <v>0</v>
      </c>
      <c r="P111" s="84">
        <f ca="1">IF(E111='Invoer gegevens (N)'!$C$17+'Invoer gegevens (N)'!$I$14+1,0,('Invoer gegevens (N)'!$F$20/12)*L110*MIN('Reeksen (N)'!B42,'Reeksen (N)'!D42))</f>
        <v>0</v>
      </c>
      <c r="Q111" s="84">
        <f ca="1">IF(E111&gt;='Invoer gegevens (N)'!$C$17+'Invoer gegevens (N)'!$I$14,0,L111-M111+I111+O111)</f>
        <v>0</v>
      </c>
      <c r="R111" s="82">
        <f ca="1">IF('Invoer gegevens (N)'!$C$17=E111,'Invoer gegevens (N)'!$C$11,IF(C111=1,W110,0))</f>
        <v>0</v>
      </c>
      <c r="S111" s="86">
        <f ca="1">IF(E111='Invoer gegevens (N)'!$C$17+'Invoer gegevens (N)'!$I$14,W110,IF(C111&gt;=1,R111*VLOOKUP(E111,'Reeksen (N)'!$A$5:$B$76,2),0))</f>
        <v>0</v>
      </c>
      <c r="T111" s="84">
        <f ca="1">IF(E111='Invoer gegevens (N)'!$C$17+'Invoer gegevens (N)'!$I$14,W110,(1-('Invoer gegevens (N)'!$F$20/12))*R111*MIN('Reeksen (N)'!B43,'Reeksen (N)'!D43))</f>
        <v>0</v>
      </c>
      <c r="U111" s="84">
        <f>IF('Reeksen (N)'!D43&gt;='Reeksen (N)'!B43,0,IF('Reeksen (N)'!AK43&lt;='Reeksen (N)'!AE43,('Reeksen (N)'!B43-'Reeksen (N)'!D43)*R111,0))</f>
        <v>0</v>
      </c>
      <c r="V111" s="86">
        <f>IF('Reeksen (N)'!D43&gt;='Reeksen (N)'!B43,0,IF('Reeksen (N)'!AK43&gt;'Reeksen (N)'!AE43,('Reeksen (N)'!B43-'Reeksen (N)'!D43)*R111,0))</f>
        <v>0</v>
      </c>
      <c r="W111" s="97">
        <f ca="1">IF(E111&gt;='Invoer gegevens (N)'!$C$17+'Invoer gegevens (N)'!$I$14,0,R111-S111)</f>
        <v>0</v>
      </c>
      <c r="X111" s="98">
        <f ca="1">IF('Invoer gegevens (N)'!$C$17=E111,'Invoer gegevens (N)'!$C$10-'Invoer gegevens (N)'!$C$11,IF(C111=1,AC110,0))</f>
        <v>0</v>
      </c>
      <c r="Y111" s="98">
        <f ca="1">IF(E111='Invoer gegevens (N)'!$C$17+'Invoer gegevens (N)'!$I$14,AC110,IF(C111&gt;=1,X111*VLOOKUP(E111,'Reeksen (N)'!$A$5:$B$76,2),0))</f>
        <v>0</v>
      </c>
      <c r="Z111" s="98">
        <f ca="1">IF(E111='Invoer gegevens (N)'!$C$17+'Invoer gegevens (N)'!$I$14,AC110,(1-('Invoer gegevens (N)'!$F$20/12))*X111*MIN('Reeksen (N)'!B43,'Reeksen (N)'!D43))</f>
        <v>0</v>
      </c>
      <c r="AA111" s="98">
        <f>IF('Reeksen (N)'!D43&gt;='Reeksen (N)'!B43,0,IF('Reeksen (N)'!AK43&lt;='Reeksen (N)'!AE43,('Reeksen (N)'!B43-'Reeksen (N)'!D43)*X111,0))</f>
        <v>0</v>
      </c>
      <c r="AB111" s="98">
        <f>IF('Reeksen (N)'!D43&gt;='Reeksen (N)'!B43,0,IF('Reeksen (N)'!AK43&gt;'Reeksen (N)'!AE43,('Reeksen (N)'!B43-'Reeksen (N)'!D43)*X111,0))</f>
        <v>0</v>
      </c>
      <c r="AC111" s="99">
        <f ca="1">IF(E111&gt;='Invoer gegevens (N)'!$C$17+'Invoer gegevens (N)'!$I$14,0,X111-Y111)</f>
        <v>0</v>
      </c>
      <c r="AD111" s="98">
        <f ca="1">IF('Invoer gegevens (N)'!$C$17=E43,R111,IF(C43=0,0,AE110))</f>
        <v>0</v>
      </c>
      <c r="AE111" s="98">
        <f t="shared" ca="1" si="9"/>
        <v>0</v>
      </c>
      <c r="AF111" s="98">
        <f ca="1">IF('Invoer gegevens (N)'!$C$17=E43,X111,IF(C43=0,0,AG110))</f>
        <v>0</v>
      </c>
      <c r="AG111" s="98">
        <f t="shared" ca="1" si="10"/>
        <v>0</v>
      </c>
      <c r="AH111" s="66"/>
      <c r="AI111" s="71">
        <f ca="1">IF(C111=1,(('Reeksen (N)'!BF43*(F111-G111+F111)/2)+((L111-M111+L111)/2*'Reeksen (N)'!BG43))*12,0)</f>
        <v>0</v>
      </c>
      <c r="AJ111" s="71">
        <f ca="1">-AI111*'Invoer gegevens (N)'!$I$26</f>
        <v>0</v>
      </c>
      <c r="AK111" s="71">
        <f t="shared" ca="1" si="11"/>
        <v>0</v>
      </c>
      <c r="AL111" s="71">
        <f ca="1">IF(C111=1,'Reeksen (N)'!AL43*((F111-G111+F111)/2)*12+'Reeksen (N)'!AM43*((L111-M111+L111)/2)*12,0)</f>
        <v>0</v>
      </c>
      <c r="AM111" s="71">
        <f ca="1">-AL111*'Invoer gegevens (N)'!$F$31</f>
        <v>0</v>
      </c>
      <c r="AN111" s="71">
        <f t="shared" ca="1" si="12"/>
        <v>0</v>
      </c>
      <c r="AO111" s="71">
        <f ca="1">IF(E111&gt;='Invoer gegevens (N)'!$C$17+'Invoer gegevens (N)'!$I$14,0,IF(C111=1,(H111+J111+N111+P111)*'Reeksen (N)'!AN43,0))</f>
        <v>0</v>
      </c>
      <c r="AP111" s="71">
        <f ca="1">-IF(C111=1,(H111+J111+N111+P111)*'Reeksen (N)'!AN42*'Hulp - basis'!$J$550,0)</f>
        <v>0</v>
      </c>
      <c r="AQ111" s="71">
        <f ca="1">-IF(C111=1,(F111+K111+L111+Q111)/2*'Invoer gegevens (N)'!$I$33*'Reeksen (N)'!J43,0)</f>
        <v>0</v>
      </c>
      <c r="AR111" s="71">
        <f ca="1">-IF(C111=1,(I111*'Invoer gegevens (N)'!$I$34)*'Reeksen (N)'!J43,0)</f>
        <v>0</v>
      </c>
      <c r="AS111" s="71">
        <f ca="1">-IF(C111=1,(F111+K111+L111+Q111)/2*'Invoer gegevens (N)'!$I$35*'Reeksen (N)'!L43,0)</f>
        <v>0</v>
      </c>
      <c r="AT111" s="71">
        <f ca="1">-IF(C111=1,IF(E111='Invoer gegevens (N)'!$C$17,'Invoer gegevens (N)'!$C$11,AD111)*'Reeksen (N)'!S43*'Invoer gegevens (N)'!$C$18*'Reeksen (N)'!P43,0)</f>
        <v>0</v>
      </c>
      <c r="AU111" s="71">
        <f ca="1">-IF(C111=1,(F111+K111+L111+Q111)/2*'Invoer gegevens (N)'!$I$36*'Reeksen (N)'!H43,0)</f>
        <v>0</v>
      </c>
      <c r="AV111" s="71">
        <f t="shared" ca="1" si="13"/>
        <v>0</v>
      </c>
      <c r="AW111" s="72">
        <f ca="1">IFERROR(IF(E111='Invoer gegevens (N)'!$C$17+'Invoer gegevens (N)'!$I$14-1,'Invoer gegevens (N)'!$I$13*K111*'Reeksen (N)'!H43,0),0)</f>
        <v>0</v>
      </c>
      <c r="AX111" s="72">
        <f ca="1">IFERROR(IF(E111='Invoer gegevens (N)'!$C$17,-'Invoer gegevens (N)'!$C$10*('Invoer gegevens (N)'!$C$30+'Invoer gegevens (N)'!$C$31)*'Reeksen (N)'!H43,0),0)</f>
        <v>0</v>
      </c>
      <c r="AY111" s="73">
        <f ca="1">IF('Invoer gegevens (N)'!$C$34=E111,'Invoer gegevens (N)'!$C$27*'Invoer gegevens (N)'!$C$10*'Invoer gegevens (N)'!$C$36*(IF('Invoer gegevens (N)'!$C$35="ja",1,'Reeksen (N)'!J43)),IF('Invoer gegevens (N)'!$C$34+1=E111,'Invoer gegevens (N)'!$C$27*'Invoer gegevens (N)'!$C$10*'Invoer gegevens (N)'!$C$37*(IF('Invoer gegevens (N)'!$C$35="ja",1,'Reeksen (N)'!J43)),0))+IF(AND(E111='Invoer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1" s="73">
        <f ca="1">AV111/(1+'Invoer gegevens (N)'!$I$12)^($D111-('Invoer gegevens (N)'!$C$17-'Invoer gegevens (N)'!$C$16))/(1+'Invoer gegevens (N)'!$C$39)^('Invoer gegevens (N)'!$C$17-'Invoer gegevens (N)'!$C$16)</f>
        <v>0</v>
      </c>
      <c r="BA111" s="73">
        <f ca="1">AW111/(1+'Invoer gegevens (N)'!$I$12)^(E111-('Invoer gegevens (N)'!$C$17-1))/(1+'Invoer gegevens (N)'!$C$39)^('Invoer gegevens (N)'!$C$17-'Invoer gegevens (N)'!$C$16)</f>
        <v>0</v>
      </c>
      <c r="BB111" s="73">
        <f ca="1">AX111/(1+'Invoer gegevens (N)'!$C$39)^('Invoer gegevens (N)'!$C$17-'Invoer gegevens (N)'!$C$16)</f>
        <v>0</v>
      </c>
      <c r="BC111" s="72">
        <f t="shared" ca="1" si="14"/>
        <v>0</v>
      </c>
      <c r="BD111" s="72">
        <f ca="1">IF(AND(E111='Invoer gegevens (N)'!$C$16,'Invoer gegevens (N)'!$C$34&lt;'Invoer gegevens (N)'!$C$16),AY111,AY111/(1+'Invoer gegevens (N)'!$C$39)^D111)</f>
        <v>0</v>
      </c>
      <c r="BE111" s="72">
        <f ca="1">IF(E111='Invoer gegevens (N)'!$C$34,-'Invoer gegevens (N)'!$I$38,0)</f>
        <v>0</v>
      </c>
      <c r="BF111" s="72">
        <f ca="1">IF(E111='Invoer gegevens (N)'!$C$17,-'Invoer gegevens (N)'!$C$19*$BC$134,0)</f>
        <v>0</v>
      </c>
      <c r="BG111" s="72">
        <f ca="1">AV111/(1+$BG$72)^($D111-('Invoer gegevens (N)'!$C$17-'Invoer gegevens (N)'!$C$16))/(1+'Invoer gegevens (N)'!$C$39)^('Invoer gegevens (N)'!$C$17-'Invoer gegevens (N)'!$C$16)+AW111/(1+$BG$72)^(E111-('Invoer gegevens (N)'!$C$17-1))/(1+'Invoer gegevens (N)'!$C$39)^('Invoer gegevens (N)'!$C$17-'Invoer gegevens (N)'!$C$16)+AX111/(1+'Invoer gegevens (N)'!$C$39)^('Invoer gegevens (N)'!$C$17-'Invoer gegevens (N)'!$C$16)+(-AY111/(1+'Invoer gegevens (N)'!$C$39)^D111)+BE111+BF111</f>
        <v>0</v>
      </c>
    </row>
    <row r="112" spans="1:59" x14ac:dyDescent="0.25">
      <c r="B112" s="70">
        <f t="shared" si="15"/>
        <v>40</v>
      </c>
      <c r="C112" s="67">
        <f ca="1">IF(AND(E112&gt;='Invoer gegevens (N)'!$C$17,E112&lt;'Invoer gegevens (N)'!$C$17+'Invoer gegevens (N)'!$I$14),1,0)</f>
        <v>1</v>
      </c>
      <c r="D112" s="68">
        <f t="shared" si="16"/>
        <v>39.5</v>
      </c>
      <c r="E112" s="108">
        <f ca="1">IF('Invoer gegevens (N)'!$C$16="","",E111+1)</f>
        <v>2058</v>
      </c>
      <c r="F112" s="84">
        <f ca="1">IF('Invoer gegevens (N)'!$C$17=E112,'Invoer gegevens (N)'!$C$10,IF(C112=1,K111,0))</f>
        <v>0</v>
      </c>
      <c r="G112" s="96">
        <f ca="1">IF(E112='Invoer gegevens (N)'!$C$17+'Invoer gegevens (N)'!$I$14,K111,IF(C112&gt;=1,F112*VLOOKUP(E112,'Reeksen (N)'!$A$5:$B$76,2),0))</f>
        <v>0</v>
      </c>
      <c r="H112" s="84">
        <f ca="1">IF(E112='Invoer gegevens (N)'!$C$17+'Invoer gegevens (N)'!$I$14,K111,(1-('Invoer gegevens (N)'!$F$20/12))*F112*MIN('Reeksen (N)'!B44,'Reeksen (N)'!D44))</f>
        <v>0</v>
      </c>
      <c r="I112" s="84">
        <f>IF('Reeksen (N)'!D44&lt;'Reeksen (N)'!B44,('Reeksen (N)'!B44-'Reeksen (N)'!D44)*F112,0)</f>
        <v>0</v>
      </c>
      <c r="J112" s="84">
        <f ca="1">IF(E112='Invoer gegevens (N)'!$C$17+'Invoer gegevens (N)'!$I$14+1,0,('Invoer gegevens (N)'!$F$20/12)*F111*MIN('Reeksen (N)'!B43,'Reeksen (N)'!D43))</f>
        <v>0</v>
      </c>
      <c r="K112" s="97">
        <f ca="1">IF(E112&gt;='Invoer gegevens (N)'!$C$17+'Invoer gegevens (N)'!$I$14,0,F112-G112)</f>
        <v>0</v>
      </c>
      <c r="L112" s="84">
        <f ca="1">IF('Invoer gegevens (N)'!$C$17=E112,0,IF(C112=1,Q111,0))</f>
        <v>0</v>
      </c>
      <c r="M112" s="96">
        <f ca="1">IF(E112='Invoer gegevens (N)'!$C$17+'Invoer gegevens (N)'!$I$14,Q111,IF(C112&gt;=1,L112*VLOOKUP(E112,'Reeksen (N)'!$A$5:$B$76,2),0))</f>
        <v>0</v>
      </c>
      <c r="N112" s="84">
        <f ca="1">IF(C112='Invoer gegevens (N)'!$C$17+'Invoer gegevens (N)'!$I$14,Q111,(1-('Invoer gegevens (N)'!$F$20/12))*L112*MIN('Reeksen (N)'!B44,'Reeksen (N)'!D44))</f>
        <v>0</v>
      </c>
      <c r="O112" s="84">
        <f>IF('Reeksen (N)'!D44&lt;'Reeksen (N)'!B44,('Reeksen (N)'!B44-'Reeksen (N)'!D44)*L112,0)</f>
        <v>0</v>
      </c>
      <c r="P112" s="84">
        <f ca="1">IF(E112='Invoer gegevens (N)'!$C$17+'Invoer gegevens (N)'!$I$14+1,0,('Invoer gegevens (N)'!$F$20/12)*L111*MIN('Reeksen (N)'!B43,'Reeksen (N)'!D43))</f>
        <v>0</v>
      </c>
      <c r="Q112" s="84">
        <f ca="1">IF(E112&gt;='Invoer gegevens (N)'!$C$17+'Invoer gegevens (N)'!$I$14,0,L112-M112+I112+O112)</f>
        <v>0</v>
      </c>
      <c r="R112" s="82">
        <f ca="1">IF('Invoer gegevens (N)'!$C$17=E112,'Invoer gegevens (N)'!$C$11,IF(C112=1,W111,0))</f>
        <v>0</v>
      </c>
      <c r="S112" s="86">
        <f ca="1">IF(E112='Invoer gegevens (N)'!$C$17+'Invoer gegevens (N)'!$I$14,W111,IF(C112&gt;=1,R112*VLOOKUP(E112,'Reeksen (N)'!$A$5:$B$76,2),0))</f>
        <v>0</v>
      </c>
      <c r="T112" s="84">
        <f ca="1">IF(E112='Invoer gegevens (N)'!$C$17+'Invoer gegevens (N)'!$I$14,W111,(1-('Invoer gegevens (N)'!$F$20/12))*R112*MIN('Reeksen (N)'!B44,'Reeksen (N)'!D44))</f>
        <v>0</v>
      </c>
      <c r="U112" s="84">
        <f>IF('Reeksen (N)'!D44&gt;='Reeksen (N)'!B44,0,IF('Reeksen (N)'!AK44&lt;='Reeksen (N)'!AE44,('Reeksen (N)'!B44-'Reeksen (N)'!D44)*R112,0))</f>
        <v>0</v>
      </c>
      <c r="V112" s="86">
        <f>IF('Reeksen (N)'!D44&gt;='Reeksen (N)'!B44,0,IF('Reeksen (N)'!AK44&gt;'Reeksen (N)'!AE44,('Reeksen (N)'!B44-'Reeksen (N)'!D44)*R112,0))</f>
        <v>0</v>
      </c>
      <c r="W112" s="97">
        <f ca="1">IF(E112&gt;='Invoer gegevens (N)'!$C$17+'Invoer gegevens (N)'!$I$14,0,R112-S112)</f>
        <v>0</v>
      </c>
      <c r="X112" s="98">
        <f ca="1">IF('Invoer gegevens (N)'!$C$17=E112,'Invoer gegevens (N)'!$C$10-'Invoer gegevens (N)'!$C$11,IF(C112=1,AC111,0))</f>
        <v>0</v>
      </c>
      <c r="Y112" s="98">
        <f ca="1">IF(E112='Invoer gegevens (N)'!$C$17+'Invoer gegevens (N)'!$I$14,AC111,IF(C112&gt;=1,X112*VLOOKUP(E112,'Reeksen (N)'!$A$5:$B$76,2),0))</f>
        <v>0</v>
      </c>
      <c r="Z112" s="98">
        <f ca="1">IF(E112='Invoer gegevens (N)'!$C$17+'Invoer gegevens (N)'!$I$14,AC111,(1-('Invoer gegevens (N)'!$F$20/12))*X112*MIN('Reeksen (N)'!B44,'Reeksen (N)'!D44))</f>
        <v>0</v>
      </c>
      <c r="AA112" s="98">
        <f>IF('Reeksen (N)'!D44&gt;='Reeksen (N)'!B44,0,IF('Reeksen (N)'!AK44&lt;='Reeksen (N)'!AE44,('Reeksen (N)'!B44-'Reeksen (N)'!D44)*X112,0))</f>
        <v>0</v>
      </c>
      <c r="AB112" s="98">
        <f>IF('Reeksen (N)'!D44&gt;='Reeksen (N)'!B44,0,IF('Reeksen (N)'!AK44&gt;'Reeksen (N)'!AE44,('Reeksen (N)'!B44-'Reeksen (N)'!D44)*X112,0))</f>
        <v>0</v>
      </c>
      <c r="AC112" s="99">
        <f ca="1">IF(E112&gt;='Invoer gegevens (N)'!$C$17+'Invoer gegevens (N)'!$I$14,0,X112-Y112)</f>
        <v>0</v>
      </c>
      <c r="AD112" s="98">
        <f ca="1">IF('Invoer gegevens (N)'!$C$17=E44,R112,IF(C44=0,0,AE111))</f>
        <v>0</v>
      </c>
      <c r="AE112" s="98">
        <f t="shared" ca="1" si="9"/>
        <v>0</v>
      </c>
      <c r="AF112" s="98">
        <f ca="1">IF('Invoer gegevens (N)'!$C$17=E44,X112,IF(C44=0,0,AG111))</f>
        <v>0</v>
      </c>
      <c r="AG112" s="98">
        <f t="shared" ca="1" si="10"/>
        <v>0</v>
      </c>
      <c r="AH112" s="66"/>
      <c r="AI112" s="71">
        <f ca="1">IF(C112=1,(('Reeksen (N)'!BF44*(F112-G112+F112)/2)+((L112-M112+L112)/2*'Reeksen (N)'!BG44))*12,0)</f>
        <v>0</v>
      </c>
      <c r="AJ112" s="71">
        <f ca="1">-AI112*'Invoer gegevens (N)'!$I$26</f>
        <v>0</v>
      </c>
      <c r="AK112" s="71">
        <f t="shared" ca="1" si="11"/>
        <v>0</v>
      </c>
      <c r="AL112" s="71">
        <f ca="1">IF(C112=1,'Reeksen (N)'!AL44*((F112-G112+F112)/2)*12+'Reeksen (N)'!AM44*((L112-M112+L112)/2)*12,0)</f>
        <v>0</v>
      </c>
      <c r="AM112" s="71">
        <f ca="1">-AL112*'Invoer gegevens (N)'!$F$31</f>
        <v>0</v>
      </c>
      <c r="AN112" s="71">
        <f t="shared" ca="1" si="12"/>
        <v>0</v>
      </c>
      <c r="AO112" s="71">
        <f ca="1">IF(E112&gt;='Invoer gegevens (N)'!$C$17+'Invoer gegevens (N)'!$I$14,0,IF(C112=1,(H112+J112+N112+P112)*'Reeksen (N)'!AN44,0))</f>
        <v>0</v>
      </c>
      <c r="AP112" s="71">
        <f ca="1">-IF(C112=1,(H112+J112+N112+P112)*'Reeksen (N)'!AN43*'Hulp - basis'!$J$550,0)</f>
        <v>0</v>
      </c>
      <c r="AQ112" s="71">
        <f ca="1">-IF(C112=1,(F112+K112+L112+Q112)/2*'Invoer gegevens (N)'!$I$33*'Reeksen (N)'!J44,0)</f>
        <v>0</v>
      </c>
      <c r="AR112" s="71">
        <f ca="1">-IF(C112=1,(I112*'Invoer gegevens (N)'!$I$34)*'Reeksen (N)'!J44,0)</f>
        <v>0</v>
      </c>
      <c r="AS112" s="71">
        <f ca="1">-IF(C112=1,(F112+K112+L112+Q112)/2*'Invoer gegevens (N)'!$I$35*'Reeksen (N)'!L44,0)</f>
        <v>0</v>
      </c>
      <c r="AT112" s="71">
        <f ca="1">-IF(C112=1,IF(E112='Invoer gegevens (N)'!$C$17,'Invoer gegevens (N)'!$C$11,AD112)*'Reeksen (N)'!S44*'Invoer gegevens (N)'!$C$18*'Reeksen (N)'!P44,0)</f>
        <v>0</v>
      </c>
      <c r="AU112" s="71">
        <f ca="1">-IF(C112=1,(F112+K112+L112+Q112)/2*'Invoer gegevens (N)'!$I$36*'Reeksen (N)'!H44,0)</f>
        <v>0</v>
      </c>
      <c r="AV112" s="71">
        <f t="shared" ca="1" si="13"/>
        <v>0</v>
      </c>
      <c r="AW112" s="72">
        <f ca="1">IFERROR(IF(E112='Invoer gegevens (N)'!$C$17+'Invoer gegevens (N)'!$I$14-1,'Invoer gegevens (N)'!$I$13*K112*'Reeksen (N)'!H44,0),0)</f>
        <v>0</v>
      </c>
      <c r="AX112" s="72">
        <f ca="1">IFERROR(IF(E112='Invoer gegevens (N)'!$C$17,-'Invoer gegevens (N)'!$C$10*('Invoer gegevens (N)'!$C$30+'Invoer gegevens (N)'!$C$31)*'Reeksen (N)'!H44,0),0)</f>
        <v>0</v>
      </c>
      <c r="AY112" s="73">
        <f ca="1">IF('Invoer gegevens (N)'!$C$34=E112,'Invoer gegevens (N)'!$C$27*'Invoer gegevens (N)'!$C$10*'Invoer gegevens (N)'!$C$36*(IF('Invoer gegevens (N)'!$C$35="ja",1,'Reeksen (N)'!J44)),IF('Invoer gegevens (N)'!$C$34+1=E112,'Invoer gegevens (N)'!$C$27*'Invoer gegevens (N)'!$C$10*'Invoer gegevens (N)'!$C$37*(IF('Invoer gegevens (N)'!$C$35="ja",1,'Reeksen (N)'!J44)),0))+IF(AND(E112='Invoer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2" s="73">
        <f ca="1">AV112/(1+'Invoer gegevens (N)'!$I$12)^($D112-('Invoer gegevens (N)'!$C$17-'Invoer gegevens (N)'!$C$16))/(1+'Invoer gegevens (N)'!$C$39)^('Invoer gegevens (N)'!$C$17-'Invoer gegevens (N)'!$C$16)</f>
        <v>0</v>
      </c>
      <c r="BA112" s="73">
        <f ca="1">AW112/(1+'Invoer gegevens (N)'!$I$12)^(E112-('Invoer gegevens (N)'!$C$17-1))/(1+'Invoer gegevens (N)'!$C$39)^('Invoer gegevens (N)'!$C$17-'Invoer gegevens (N)'!$C$16)</f>
        <v>0</v>
      </c>
      <c r="BB112" s="73">
        <f ca="1">AX112/(1+'Invoer gegevens (N)'!$C$39)^('Invoer gegevens (N)'!$C$17-'Invoer gegevens (N)'!$C$16)</f>
        <v>0</v>
      </c>
      <c r="BC112" s="72">
        <f t="shared" ca="1" si="14"/>
        <v>0</v>
      </c>
      <c r="BD112" s="72">
        <f ca="1">IF(AND(E112='Invoer gegevens (N)'!$C$16,'Invoer gegevens (N)'!$C$34&lt;'Invoer gegevens (N)'!$C$16),AY112,AY112/(1+'Invoer gegevens (N)'!$C$39)^D112)</f>
        <v>0</v>
      </c>
      <c r="BE112" s="72">
        <f ca="1">IF(E112='Invoer gegevens (N)'!$C$34,-'Invoer gegevens (N)'!$I$38,0)</f>
        <v>0</v>
      </c>
      <c r="BF112" s="72">
        <f ca="1">IF(E112='Invoer gegevens (N)'!$C$17,-'Invoer gegevens (N)'!$C$19*$BC$134,0)</f>
        <v>0</v>
      </c>
      <c r="BG112" s="72">
        <f ca="1">AV112/(1+$BG$72)^($D112-('Invoer gegevens (N)'!$C$17-'Invoer gegevens (N)'!$C$16))/(1+'Invoer gegevens (N)'!$C$39)^('Invoer gegevens (N)'!$C$17-'Invoer gegevens (N)'!$C$16)+AW112/(1+$BG$72)^(E112-('Invoer gegevens (N)'!$C$17-1))/(1+'Invoer gegevens (N)'!$C$39)^('Invoer gegevens (N)'!$C$17-'Invoer gegevens (N)'!$C$16)+AX112/(1+'Invoer gegevens (N)'!$C$39)^('Invoer gegevens (N)'!$C$17-'Invoer gegevens (N)'!$C$16)+(-AY112/(1+'Invoer gegevens (N)'!$C$39)^D112)+BE112+BF112</f>
        <v>0</v>
      </c>
    </row>
    <row r="113" spans="2:59" x14ac:dyDescent="0.25">
      <c r="B113" s="70">
        <f t="shared" si="15"/>
        <v>41</v>
      </c>
      <c r="C113" s="67">
        <f ca="1">IF(AND(E113&gt;='Invoer gegevens (N)'!$C$17,E113&lt;'Invoer gegevens (N)'!$C$17+'Invoer gegevens (N)'!$I$14),1,0)</f>
        <v>1</v>
      </c>
      <c r="D113" s="68">
        <f t="shared" si="16"/>
        <v>40.5</v>
      </c>
      <c r="E113" s="108">
        <f ca="1">IF('Invoer gegevens (N)'!$C$16="","",E112+1)</f>
        <v>2059</v>
      </c>
      <c r="F113" s="84">
        <f ca="1">IF('Invoer gegevens (N)'!$C$17=E113,'Invoer gegevens (N)'!$C$10,IF(C113=1,K112,0))</f>
        <v>0</v>
      </c>
      <c r="G113" s="96">
        <f ca="1">IF(E113='Invoer gegevens (N)'!$C$17+'Invoer gegevens (N)'!$I$14,K112,IF(C113&gt;=1,F113*VLOOKUP(E113,'Reeksen (N)'!$A$5:$B$76,2),0))</f>
        <v>0</v>
      </c>
      <c r="H113" s="84">
        <f ca="1">IF(E113='Invoer gegevens (N)'!$C$17+'Invoer gegevens (N)'!$I$14,K112,(1-('Invoer gegevens (N)'!$F$20/12))*F113*MIN('Reeksen (N)'!B45,'Reeksen (N)'!D45))</f>
        <v>0</v>
      </c>
      <c r="I113" s="84">
        <f>IF('Reeksen (N)'!D45&lt;'Reeksen (N)'!B45,('Reeksen (N)'!B45-'Reeksen (N)'!D45)*F113,0)</f>
        <v>0</v>
      </c>
      <c r="J113" s="84">
        <f ca="1">IF(E113='Invoer gegevens (N)'!$C$17+'Invoer gegevens (N)'!$I$14+1,0,('Invoer gegevens (N)'!$F$20/12)*F112*MIN('Reeksen (N)'!B44,'Reeksen (N)'!D44))</f>
        <v>0</v>
      </c>
      <c r="K113" s="97">
        <f ca="1">IF(E113&gt;='Invoer gegevens (N)'!$C$17+'Invoer gegevens (N)'!$I$14,0,F113-G113)</f>
        <v>0</v>
      </c>
      <c r="L113" s="84">
        <f ca="1">IF('Invoer gegevens (N)'!$C$17=E113,0,IF(C113=1,Q112,0))</f>
        <v>0</v>
      </c>
      <c r="M113" s="96">
        <f ca="1">IF(E113='Invoer gegevens (N)'!$C$17+'Invoer gegevens (N)'!$I$14,Q112,IF(C113&gt;=1,L113*VLOOKUP(E113,'Reeksen (N)'!$A$5:$B$76,2),0))</f>
        <v>0</v>
      </c>
      <c r="N113" s="84">
        <f ca="1">IF(C113='Invoer gegevens (N)'!$C$17+'Invoer gegevens (N)'!$I$14,Q112,(1-('Invoer gegevens (N)'!$F$20/12))*L113*MIN('Reeksen (N)'!B45,'Reeksen (N)'!D45))</f>
        <v>0</v>
      </c>
      <c r="O113" s="84">
        <f>IF('Reeksen (N)'!D45&lt;'Reeksen (N)'!B45,('Reeksen (N)'!B45-'Reeksen (N)'!D45)*L113,0)</f>
        <v>0</v>
      </c>
      <c r="P113" s="84">
        <f ca="1">IF(E113='Invoer gegevens (N)'!$C$17+'Invoer gegevens (N)'!$I$14+1,0,('Invoer gegevens (N)'!$F$20/12)*L112*MIN('Reeksen (N)'!B44,'Reeksen (N)'!D44))</f>
        <v>0</v>
      </c>
      <c r="Q113" s="84">
        <f ca="1">IF(E113&gt;='Invoer gegevens (N)'!$C$17+'Invoer gegevens (N)'!$I$14,0,L113-M113+I113+O113)</f>
        <v>0</v>
      </c>
      <c r="R113" s="82">
        <f ca="1">IF('Invoer gegevens (N)'!$C$17=E113,'Invoer gegevens (N)'!$C$11,IF(C113=1,W112,0))</f>
        <v>0</v>
      </c>
      <c r="S113" s="86">
        <f ca="1">IF(E113='Invoer gegevens (N)'!$C$17+'Invoer gegevens (N)'!$I$14,W112,IF(C113&gt;=1,R113*VLOOKUP(E113,'Reeksen (N)'!$A$5:$B$76,2),0))</f>
        <v>0</v>
      </c>
      <c r="T113" s="84">
        <f ca="1">IF(E113='Invoer gegevens (N)'!$C$17+'Invoer gegevens (N)'!$I$14,W112,(1-('Invoer gegevens (N)'!$F$20/12))*R113*MIN('Reeksen (N)'!B45,'Reeksen (N)'!D45))</f>
        <v>0</v>
      </c>
      <c r="U113" s="84">
        <f>IF('Reeksen (N)'!D45&gt;='Reeksen (N)'!B45,0,IF('Reeksen (N)'!AK45&lt;='Reeksen (N)'!AE45,('Reeksen (N)'!B45-'Reeksen (N)'!D45)*R113,0))</f>
        <v>0</v>
      </c>
      <c r="V113" s="86">
        <f>IF('Reeksen (N)'!D45&gt;='Reeksen (N)'!B45,0,IF('Reeksen (N)'!AK45&gt;'Reeksen (N)'!AE45,('Reeksen (N)'!B45-'Reeksen (N)'!D45)*R113,0))</f>
        <v>0</v>
      </c>
      <c r="W113" s="97">
        <f ca="1">IF(E113&gt;='Invoer gegevens (N)'!$C$17+'Invoer gegevens (N)'!$I$14,0,R113-S113)</f>
        <v>0</v>
      </c>
      <c r="X113" s="98">
        <f ca="1">IF('Invoer gegevens (N)'!$C$17=E113,'Invoer gegevens (N)'!$C$10-'Invoer gegevens (N)'!$C$11,IF(C113=1,AC112,0))</f>
        <v>0</v>
      </c>
      <c r="Y113" s="98">
        <f ca="1">IF(E113='Invoer gegevens (N)'!$C$17+'Invoer gegevens (N)'!$I$14,AC112,IF(C113&gt;=1,X113*VLOOKUP(E113,'Reeksen (N)'!$A$5:$B$76,2),0))</f>
        <v>0</v>
      </c>
      <c r="Z113" s="98">
        <f ca="1">IF(E113='Invoer gegevens (N)'!$C$17+'Invoer gegevens (N)'!$I$14,AC112,(1-('Invoer gegevens (N)'!$F$20/12))*X113*MIN('Reeksen (N)'!B45,'Reeksen (N)'!D45))</f>
        <v>0</v>
      </c>
      <c r="AA113" s="98">
        <f>IF('Reeksen (N)'!D45&gt;='Reeksen (N)'!B45,0,IF('Reeksen (N)'!AK45&lt;='Reeksen (N)'!AE45,('Reeksen (N)'!B45-'Reeksen (N)'!D45)*X113,0))</f>
        <v>0</v>
      </c>
      <c r="AB113" s="98">
        <f>IF('Reeksen (N)'!D45&gt;='Reeksen (N)'!B45,0,IF('Reeksen (N)'!AK45&gt;'Reeksen (N)'!AE45,('Reeksen (N)'!B45-'Reeksen (N)'!D45)*X113,0))</f>
        <v>0</v>
      </c>
      <c r="AC113" s="99">
        <f ca="1">IF(E113&gt;='Invoer gegevens (N)'!$C$17+'Invoer gegevens (N)'!$I$14,0,X113-Y113)</f>
        <v>0</v>
      </c>
      <c r="AD113" s="98">
        <f ca="1">IF('Invoer gegevens (N)'!$C$17=E45,R113,IF(C45=0,0,AE112))</f>
        <v>0</v>
      </c>
      <c r="AE113" s="98">
        <f t="shared" ca="1" si="9"/>
        <v>0</v>
      </c>
      <c r="AF113" s="98">
        <f ca="1">IF('Invoer gegevens (N)'!$C$17=E45,X113,IF(C45=0,0,AG112))</f>
        <v>0</v>
      </c>
      <c r="AG113" s="98">
        <f t="shared" ca="1" si="10"/>
        <v>0</v>
      </c>
      <c r="AH113" s="66"/>
      <c r="AI113" s="71">
        <f ca="1">IF(C113=1,(('Reeksen (N)'!BF45*(F113-G113+F113)/2)+((L113-M113+L113)/2*'Reeksen (N)'!BG45))*12,0)</f>
        <v>0</v>
      </c>
      <c r="AJ113" s="71">
        <f ca="1">-AI113*'Invoer gegevens (N)'!$I$26</f>
        <v>0</v>
      </c>
      <c r="AK113" s="71">
        <f t="shared" ca="1" si="11"/>
        <v>0</v>
      </c>
      <c r="AL113" s="71">
        <f ca="1">IF(C113=1,'Reeksen (N)'!AL45*((F113-G113+F113)/2)*12+'Reeksen (N)'!AM45*((L113-M113+L113)/2)*12,0)</f>
        <v>0</v>
      </c>
      <c r="AM113" s="71">
        <f ca="1">-AL113*'Invoer gegevens (N)'!$F$31</f>
        <v>0</v>
      </c>
      <c r="AN113" s="71">
        <f t="shared" ca="1" si="12"/>
        <v>0</v>
      </c>
      <c r="AO113" s="71">
        <f ca="1">IF(E113&gt;='Invoer gegevens (N)'!$C$17+'Invoer gegevens (N)'!$I$14,0,IF(C113=1,(H113+J113+N113+P113)*'Reeksen (N)'!AN45,0))</f>
        <v>0</v>
      </c>
      <c r="AP113" s="71">
        <f ca="1">-IF(C113=1,(H113+J113+N113+P113)*'Reeksen (N)'!AN44*'Hulp - basis'!$J$550,0)</f>
        <v>0</v>
      </c>
      <c r="AQ113" s="71">
        <f ca="1">-IF(C113=1,(F113+K113+L113+Q113)/2*'Invoer gegevens (N)'!$I$33*'Reeksen (N)'!J45,0)</f>
        <v>0</v>
      </c>
      <c r="AR113" s="71">
        <f ca="1">-IF(C113=1,(I113*'Invoer gegevens (N)'!$I$34)*'Reeksen (N)'!J45,0)</f>
        <v>0</v>
      </c>
      <c r="AS113" s="71">
        <f ca="1">-IF(C113=1,(F113+K113+L113+Q113)/2*'Invoer gegevens (N)'!$I$35*'Reeksen (N)'!L45,0)</f>
        <v>0</v>
      </c>
      <c r="AT113" s="71">
        <f ca="1">-IF(C113=1,IF(E113='Invoer gegevens (N)'!$C$17,'Invoer gegevens (N)'!$C$11,AD113)*'Reeksen (N)'!S45*'Invoer gegevens (N)'!$C$18*'Reeksen (N)'!P45,0)</f>
        <v>0</v>
      </c>
      <c r="AU113" s="71">
        <f ca="1">-IF(C113=1,(F113+K113+L113+Q113)/2*'Invoer gegevens (N)'!$I$36*'Reeksen (N)'!H45,0)</f>
        <v>0</v>
      </c>
      <c r="AV113" s="71">
        <f t="shared" ca="1" si="13"/>
        <v>0</v>
      </c>
      <c r="AW113" s="72">
        <f ca="1">IFERROR(IF(E113='Invoer gegevens (N)'!$C$17+'Invoer gegevens (N)'!$I$14-1,'Invoer gegevens (N)'!$I$13*K113*'Reeksen (N)'!H45,0),0)</f>
        <v>0</v>
      </c>
      <c r="AX113" s="72">
        <f ca="1">IFERROR(IF(E113='Invoer gegevens (N)'!$C$17,-'Invoer gegevens (N)'!$C$10*('Invoer gegevens (N)'!$C$30+'Invoer gegevens (N)'!$C$31)*'Reeksen (N)'!H45,0),0)</f>
        <v>0</v>
      </c>
      <c r="AY113" s="73">
        <f ca="1">IF('Invoer gegevens (N)'!$C$34=E113,'Invoer gegevens (N)'!$C$27*'Invoer gegevens (N)'!$C$10*'Invoer gegevens (N)'!$C$36*(IF('Invoer gegevens (N)'!$C$35="ja",1,'Reeksen (N)'!J45)),IF('Invoer gegevens (N)'!$C$34+1=E113,'Invoer gegevens (N)'!$C$27*'Invoer gegevens (N)'!$C$10*'Invoer gegevens (N)'!$C$37*(IF('Invoer gegevens (N)'!$C$35="ja",1,'Reeksen (N)'!J45)),0))+IF(AND(E113='Invoer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3" s="73">
        <f ca="1">AV113/(1+'Invoer gegevens (N)'!$I$12)^($D113-('Invoer gegevens (N)'!$C$17-'Invoer gegevens (N)'!$C$16))/(1+'Invoer gegevens (N)'!$C$39)^('Invoer gegevens (N)'!$C$17-'Invoer gegevens (N)'!$C$16)</f>
        <v>0</v>
      </c>
      <c r="BA113" s="73">
        <f ca="1">AW113/(1+'Invoer gegevens (N)'!$I$12)^(E113-('Invoer gegevens (N)'!$C$17-1))/(1+'Invoer gegevens (N)'!$C$39)^('Invoer gegevens (N)'!$C$17-'Invoer gegevens (N)'!$C$16)</f>
        <v>0</v>
      </c>
      <c r="BB113" s="73">
        <f ca="1">AX113/(1+'Invoer gegevens (N)'!$C$39)^('Invoer gegevens (N)'!$C$17-'Invoer gegevens (N)'!$C$16)</f>
        <v>0</v>
      </c>
      <c r="BC113" s="72">
        <f t="shared" ca="1" si="14"/>
        <v>0</v>
      </c>
      <c r="BD113" s="72">
        <f ca="1">IF(AND(E113='Invoer gegevens (N)'!$C$16,'Invoer gegevens (N)'!$C$34&lt;'Invoer gegevens (N)'!$C$16),AY113,AY113/(1+'Invoer gegevens (N)'!$C$39)^D113)</f>
        <v>0</v>
      </c>
      <c r="BE113" s="72">
        <f ca="1">IF(E113='Invoer gegevens (N)'!$C$34,-'Invoer gegevens (N)'!$I$38,0)</f>
        <v>0</v>
      </c>
      <c r="BF113" s="72">
        <f ca="1">IF(E113='Invoer gegevens (N)'!$C$17,-'Invoer gegevens (N)'!$C$19*$BC$134,0)</f>
        <v>0</v>
      </c>
      <c r="BG113" s="72">
        <f ca="1">AV113/(1+$BG$72)^($D113-('Invoer gegevens (N)'!$C$17-'Invoer gegevens (N)'!$C$16))/(1+'Invoer gegevens (N)'!$C$39)^('Invoer gegevens (N)'!$C$17-'Invoer gegevens (N)'!$C$16)+AW113/(1+$BG$72)^(E113-('Invoer gegevens (N)'!$C$17-1))/(1+'Invoer gegevens (N)'!$C$39)^('Invoer gegevens (N)'!$C$17-'Invoer gegevens (N)'!$C$16)+AX113/(1+'Invoer gegevens (N)'!$C$39)^('Invoer gegevens (N)'!$C$17-'Invoer gegevens (N)'!$C$16)+(-AY113/(1+'Invoer gegevens (N)'!$C$39)^D113)+BE113+BF113</f>
        <v>0</v>
      </c>
    </row>
    <row r="114" spans="2:59" x14ac:dyDescent="0.25">
      <c r="B114" s="70">
        <f t="shared" si="15"/>
        <v>42</v>
      </c>
      <c r="C114" s="67">
        <f ca="1">IF(AND(E114&gt;='Invoer gegevens (N)'!$C$17,E114&lt;'Invoer gegevens (N)'!$C$17+'Invoer gegevens (N)'!$I$14),1,0)</f>
        <v>1</v>
      </c>
      <c r="D114" s="68">
        <f t="shared" si="16"/>
        <v>41.5</v>
      </c>
      <c r="E114" s="108">
        <f ca="1">IF('Invoer gegevens (N)'!$C$16="","",E113+1)</f>
        <v>2060</v>
      </c>
      <c r="F114" s="84">
        <f ca="1">IF('Invoer gegevens (N)'!$C$17=E114,'Invoer gegevens (N)'!$C$10,IF(C114=1,K113,0))</f>
        <v>0</v>
      </c>
      <c r="G114" s="96">
        <f ca="1">IF(E114='Invoer gegevens (N)'!$C$17+'Invoer gegevens (N)'!$I$14,K113,IF(C114&gt;=1,F114*VLOOKUP(E114,'Reeksen (N)'!$A$5:$B$76,2),0))</f>
        <v>0</v>
      </c>
      <c r="H114" s="84">
        <f ca="1">IF(E114='Invoer gegevens (N)'!$C$17+'Invoer gegevens (N)'!$I$14,K113,(1-('Invoer gegevens (N)'!$F$20/12))*F114*MIN('Reeksen (N)'!B46,'Reeksen (N)'!D46))</f>
        <v>0</v>
      </c>
      <c r="I114" s="84">
        <f>IF('Reeksen (N)'!D46&lt;'Reeksen (N)'!B46,('Reeksen (N)'!B46-'Reeksen (N)'!D46)*F114,0)</f>
        <v>0</v>
      </c>
      <c r="J114" s="84">
        <f ca="1">IF(E114='Invoer gegevens (N)'!$C$17+'Invoer gegevens (N)'!$I$14+1,0,('Invoer gegevens (N)'!$F$20/12)*F113*MIN('Reeksen (N)'!B45,'Reeksen (N)'!D45))</f>
        <v>0</v>
      </c>
      <c r="K114" s="97">
        <f ca="1">IF(E114&gt;='Invoer gegevens (N)'!$C$17+'Invoer gegevens (N)'!$I$14,0,F114-G114)</f>
        <v>0</v>
      </c>
      <c r="L114" s="84">
        <f ca="1">IF('Invoer gegevens (N)'!$C$17=E114,0,IF(C114=1,Q113,0))</f>
        <v>0</v>
      </c>
      <c r="M114" s="96">
        <f ca="1">IF(E114='Invoer gegevens (N)'!$C$17+'Invoer gegevens (N)'!$I$14,Q113,IF(C114&gt;=1,L114*VLOOKUP(E114,'Reeksen (N)'!$A$5:$B$76,2),0))</f>
        <v>0</v>
      </c>
      <c r="N114" s="84">
        <f ca="1">IF(C114='Invoer gegevens (N)'!$C$17+'Invoer gegevens (N)'!$I$14,Q113,(1-('Invoer gegevens (N)'!$F$20/12))*L114*MIN('Reeksen (N)'!B46,'Reeksen (N)'!D46))</f>
        <v>0</v>
      </c>
      <c r="O114" s="84">
        <f>IF('Reeksen (N)'!D46&lt;'Reeksen (N)'!B46,('Reeksen (N)'!B46-'Reeksen (N)'!D46)*L114,0)</f>
        <v>0</v>
      </c>
      <c r="P114" s="84">
        <f ca="1">IF(E114='Invoer gegevens (N)'!$C$17+'Invoer gegevens (N)'!$I$14+1,0,('Invoer gegevens (N)'!$F$20/12)*L113*MIN('Reeksen (N)'!B45,'Reeksen (N)'!D45))</f>
        <v>0</v>
      </c>
      <c r="Q114" s="84">
        <f ca="1">IF(E114&gt;='Invoer gegevens (N)'!$C$17+'Invoer gegevens (N)'!$I$14,0,L114-M114+I114+O114)</f>
        <v>0</v>
      </c>
      <c r="R114" s="82">
        <f ca="1">IF('Invoer gegevens (N)'!$C$17=E114,'Invoer gegevens (N)'!$C$11,IF(C114=1,W113,0))</f>
        <v>0</v>
      </c>
      <c r="S114" s="86">
        <f ca="1">IF(E114='Invoer gegevens (N)'!$C$17+'Invoer gegevens (N)'!$I$14,W113,IF(C114&gt;=1,R114*VLOOKUP(E114,'Reeksen (N)'!$A$5:$B$76,2),0))</f>
        <v>0</v>
      </c>
      <c r="T114" s="84">
        <f ca="1">IF(E114='Invoer gegevens (N)'!$C$17+'Invoer gegevens (N)'!$I$14,W113,(1-('Invoer gegevens (N)'!$F$20/12))*R114*MIN('Reeksen (N)'!B46,'Reeksen (N)'!D46))</f>
        <v>0</v>
      </c>
      <c r="U114" s="84">
        <f>IF('Reeksen (N)'!D46&gt;='Reeksen (N)'!B46,0,IF('Reeksen (N)'!AK46&lt;='Reeksen (N)'!AE46,('Reeksen (N)'!B46-'Reeksen (N)'!D46)*R114,0))</f>
        <v>0</v>
      </c>
      <c r="V114" s="86">
        <f>IF('Reeksen (N)'!D46&gt;='Reeksen (N)'!B46,0,IF('Reeksen (N)'!AK46&gt;'Reeksen (N)'!AE46,('Reeksen (N)'!B46-'Reeksen (N)'!D46)*R114,0))</f>
        <v>0</v>
      </c>
      <c r="W114" s="97">
        <f ca="1">IF(E114&gt;='Invoer gegevens (N)'!$C$17+'Invoer gegevens (N)'!$I$14,0,R114-S114)</f>
        <v>0</v>
      </c>
      <c r="X114" s="98">
        <f ca="1">IF('Invoer gegevens (N)'!$C$17=E114,'Invoer gegevens (N)'!$C$10-'Invoer gegevens (N)'!$C$11,IF(C114=1,AC113,0))</f>
        <v>0</v>
      </c>
      <c r="Y114" s="98">
        <f ca="1">IF(E114='Invoer gegevens (N)'!$C$17+'Invoer gegevens (N)'!$I$14,AC113,IF(C114&gt;=1,X114*VLOOKUP(E114,'Reeksen (N)'!$A$5:$B$76,2),0))</f>
        <v>0</v>
      </c>
      <c r="Z114" s="98">
        <f ca="1">IF(E114='Invoer gegevens (N)'!$C$17+'Invoer gegevens (N)'!$I$14,AC113,(1-('Invoer gegevens (N)'!$F$20/12))*X114*MIN('Reeksen (N)'!B46,'Reeksen (N)'!D46))</f>
        <v>0</v>
      </c>
      <c r="AA114" s="98">
        <f>IF('Reeksen (N)'!D46&gt;='Reeksen (N)'!B46,0,IF('Reeksen (N)'!AK46&lt;='Reeksen (N)'!AE46,('Reeksen (N)'!B46-'Reeksen (N)'!D46)*X114,0))</f>
        <v>0</v>
      </c>
      <c r="AB114" s="98">
        <f>IF('Reeksen (N)'!D46&gt;='Reeksen (N)'!B46,0,IF('Reeksen (N)'!AK46&gt;'Reeksen (N)'!AE46,('Reeksen (N)'!B46-'Reeksen (N)'!D46)*X114,0))</f>
        <v>0</v>
      </c>
      <c r="AC114" s="99">
        <f ca="1">IF(E114&gt;='Invoer gegevens (N)'!$C$17+'Invoer gegevens (N)'!$I$14,0,X114-Y114)</f>
        <v>0</v>
      </c>
      <c r="AD114" s="98">
        <f ca="1">IF('Invoer gegevens (N)'!$C$17=E46,R114,IF(C46=0,0,AE113))</f>
        <v>0</v>
      </c>
      <c r="AE114" s="98">
        <f t="shared" ca="1" si="9"/>
        <v>0</v>
      </c>
      <c r="AF114" s="98">
        <f ca="1">IF('Invoer gegevens (N)'!$C$17=E46,X114,IF(C46=0,0,AG113))</f>
        <v>0</v>
      </c>
      <c r="AG114" s="98">
        <f t="shared" ca="1" si="10"/>
        <v>0</v>
      </c>
      <c r="AH114" s="66"/>
      <c r="AI114" s="71">
        <f ca="1">IF(C114=1,(('Reeksen (N)'!BF46*(F114-G114+F114)/2)+((L114-M114+L114)/2*'Reeksen (N)'!BG46))*12,0)</f>
        <v>0</v>
      </c>
      <c r="AJ114" s="71">
        <f ca="1">-AI114*'Invoer gegevens (N)'!$I$26</f>
        <v>0</v>
      </c>
      <c r="AK114" s="71">
        <f t="shared" ca="1" si="11"/>
        <v>0</v>
      </c>
      <c r="AL114" s="71">
        <f ca="1">IF(C114=1,'Reeksen (N)'!AL46*((F114-G114+F114)/2)*12+'Reeksen (N)'!AM46*((L114-M114+L114)/2)*12,0)</f>
        <v>0</v>
      </c>
      <c r="AM114" s="71">
        <f ca="1">-AL114*'Invoer gegevens (N)'!$F$31</f>
        <v>0</v>
      </c>
      <c r="AN114" s="71">
        <f t="shared" ca="1" si="12"/>
        <v>0</v>
      </c>
      <c r="AO114" s="71">
        <f ca="1">IF(E114&gt;='Invoer gegevens (N)'!$C$17+'Invoer gegevens (N)'!$I$14,0,IF(C114=1,(H114+J114+N114+P114)*'Reeksen (N)'!AN46,0))</f>
        <v>0</v>
      </c>
      <c r="AP114" s="71">
        <f ca="1">-IF(C114=1,(H114+J114+N114+P114)*'Reeksen (N)'!AN45*'Hulp - basis'!$J$550,0)</f>
        <v>0</v>
      </c>
      <c r="AQ114" s="71">
        <f ca="1">-IF(C114=1,(F114+K114+L114+Q114)/2*'Invoer gegevens (N)'!$I$33*'Reeksen (N)'!J46,0)</f>
        <v>0</v>
      </c>
      <c r="AR114" s="71">
        <f ca="1">-IF(C114=1,(I114*'Invoer gegevens (N)'!$I$34)*'Reeksen (N)'!J46,0)</f>
        <v>0</v>
      </c>
      <c r="AS114" s="71">
        <f ca="1">-IF(C114=1,(F114+K114+L114+Q114)/2*'Invoer gegevens (N)'!$I$35*'Reeksen (N)'!L46,0)</f>
        <v>0</v>
      </c>
      <c r="AT114" s="71">
        <f ca="1">-IF(C114=1,IF(E114='Invoer gegevens (N)'!$C$17,'Invoer gegevens (N)'!$C$11,AD114)*'Reeksen (N)'!S46*'Invoer gegevens (N)'!$C$18*'Reeksen (N)'!P46,0)</f>
        <v>0</v>
      </c>
      <c r="AU114" s="71">
        <f ca="1">-IF(C114=1,(F114+K114+L114+Q114)/2*'Invoer gegevens (N)'!$I$36*'Reeksen (N)'!H46,0)</f>
        <v>0</v>
      </c>
      <c r="AV114" s="71">
        <f t="shared" ca="1" si="13"/>
        <v>0</v>
      </c>
      <c r="AW114" s="72">
        <f ca="1">IFERROR(IF(E114='Invoer gegevens (N)'!$C$17+'Invoer gegevens (N)'!$I$14-1,'Invoer gegevens (N)'!$I$13*K114*'Reeksen (N)'!H46,0),0)</f>
        <v>0</v>
      </c>
      <c r="AX114" s="72">
        <f ca="1">IFERROR(IF(E114='Invoer gegevens (N)'!$C$17,-'Invoer gegevens (N)'!$C$10*('Invoer gegevens (N)'!$C$30+'Invoer gegevens (N)'!$C$31)*'Reeksen (N)'!H46,0),0)</f>
        <v>0</v>
      </c>
      <c r="AY114" s="73">
        <f ca="1">IF('Invoer gegevens (N)'!$C$34=E114,'Invoer gegevens (N)'!$C$27*'Invoer gegevens (N)'!$C$10*'Invoer gegevens (N)'!$C$36*(IF('Invoer gegevens (N)'!$C$35="ja",1,'Reeksen (N)'!J46)),IF('Invoer gegevens (N)'!$C$34+1=E114,'Invoer gegevens (N)'!$C$27*'Invoer gegevens (N)'!$C$10*'Invoer gegevens (N)'!$C$37*(IF('Invoer gegevens (N)'!$C$35="ja",1,'Reeksen (N)'!J46)),0))+IF(AND(E114='Invoer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4" s="73">
        <f ca="1">AV114/(1+'Invoer gegevens (N)'!$I$12)^($D114-('Invoer gegevens (N)'!$C$17-'Invoer gegevens (N)'!$C$16))/(1+'Invoer gegevens (N)'!$C$39)^('Invoer gegevens (N)'!$C$17-'Invoer gegevens (N)'!$C$16)</f>
        <v>0</v>
      </c>
      <c r="BA114" s="73">
        <f ca="1">AW114/(1+'Invoer gegevens (N)'!$I$12)^(E114-('Invoer gegevens (N)'!$C$17-1))/(1+'Invoer gegevens (N)'!$C$39)^('Invoer gegevens (N)'!$C$17-'Invoer gegevens (N)'!$C$16)</f>
        <v>0</v>
      </c>
      <c r="BB114" s="73">
        <f ca="1">AX114/(1+'Invoer gegevens (N)'!$C$39)^('Invoer gegevens (N)'!$C$17-'Invoer gegevens (N)'!$C$16)</f>
        <v>0</v>
      </c>
      <c r="BC114" s="72">
        <f t="shared" ca="1" si="14"/>
        <v>0</v>
      </c>
      <c r="BD114" s="72">
        <f ca="1">IF(AND(E114='Invoer gegevens (N)'!$C$16,'Invoer gegevens (N)'!$C$34&lt;'Invoer gegevens (N)'!$C$16),AY114,AY114/(1+'Invoer gegevens (N)'!$C$39)^D114)</f>
        <v>0</v>
      </c>
      <c r="BE114" s="72">
        <f ca="1">IF(E114='Invoer gegevens (N)'!$C$34,-'Invoer gegevens (N)'!$I$38,0)</f>
        <v>0</v>
      </c>
      <c r="BF114" s="72">
        <f ca="1">IF(E114='Invoer gegevens (N)'!$C$17,-'Invoer gegevens (N)'!$C$19*$BC$134,0)</f>
        <v>0</v>
      </c>
      <c r="BG114" s="72">
        <f ca="1">AV114/(1+$BG$72)^($D114-('Invoer gegevens (N)'!$C$17-'Invoer gegevens (N)'!$C$16))/(1+'Invoer gegevens (N)'!$C$39)^('Invoer gegevens (N)'!$C$17-'Invoer gegevens (N)'!$C$16)+AW114/(1+$BG$72)^(E114-('Invoer gegevens (N)'!$C$17-1))/(1+'Invoer gegevens (N)'!$C$39)^('Invoer gegevens (N)'!$C$17-'Invoer gegevens (N)'!$C$16)+AX114/(1+'Invoer gegevens (N)'!$C$39)^('Invoer gegevens (N)'!$C$17-'Invoer gegevens (N)'!$C$16)+(-AY114/(1+'Invoer gegevens (N)'!$C$39)^D114)+BE114+BF114</f>
        <v>0</v>
      </c>
    </row>
    <row r="115" spans="2:59" x14ac:dyDescent="0.25">
      <c r="B115" s="70">
        <f t="shared" si="15"/>
        <v>43</v>
      </c>
      <c r="C115" s="67">
        <f ca="1">IF(AND(E115&gt;='Invoer gegevens (N)'!$C$17,E115&lt;'Invoer gegevens (N)'!$C$17+'Invoer gegevens (N)'!$I$14),1,0)</f>
        <v>1</v>
      </c>
      <c r="D115" s="68">
        <f t="shared" si="16"/>
        <v>42.5</v>
      </c>
      <c r="E115" s="108">
        <f ca="1">IF('Invoer gegevens (N)'!$C$16="","",E114+1)</f>
        <v>2061</v>
      </c>
      <c r="F115" s="84">
        <f ca="1">IF('Invoer gegevens (N)'!$C$17=E115,'Invoer gegevens (N)'!$C$10,IF(C115=1,K114,0))</f>
        <v>0</v>
      </c>
      <c r="G115" s="96">
        <f ca="1">IF(E115='Invoer gegevens (N)'!$C$17+'Invoer gegevens (N)'!$I$14,K114,IF(C115&gt;=1,F115*VLOOKUP(E115,'Reeksen (N)'!$A$5:$B$76,2),0))</f>
        <v>0</v>
      </c>
      <c r="H115" s="84">
        <f ca="1">IF(E115='Invoer gegevens (N)'!$C$17+'Invoer gegevens (N)'!$I$14,K114,(1-('Invoer gegevens (N)'!$F$20/12))*F115*MIN('Reeksen (N)'!B47,'Reeksen (N)'!D47))</f>
        <v>0</v>
      </c>
      <c r="I115" s="84">
        <f>IF('Reeksen (N)'!D47&lt;'Reeksen (N)'!B47,('Reeksen (N)'!B47-'Reeksen (N)'!D47)*F115,0)</f>
        <v>0</v>
      </c>
      <c r="J115" s="84">
        <f ca="1">IF(E115='Invoer gegevens (N)'!$C$17+'Invoer gegevens (N)'!$I$14+1,0,('Invoer gegevens (N)'!$F$20/12)*F114*MIN('Reeksen (N)'!B46,'Reeksen (N)'!D46))</f>
        <v>0</v>
      </c>
      <c r="K115" s="97">
        <f ca="1">IF(E115&gt;='Invoer gegevens (N)'!$C$17+'Invoer gegevens (N)'!$I$14,0,F115-G115)</f>
        <v>0</v>
      </c>
      <c r="L115" s="84">
        <f ca="1">IF('Invoer gegevens (N)'!$C$17=E115,0,IF(C115=1,Q114,0))</f>
        <v>0</v>
      </c>
      <c r="M115" s="96">
        <f ca="1">IF(E115='Invoer gegevens (N)'!$C$17+'Invoer gegevens (N)'!$I$14,Q114,IF(C115&gt;=1,L115*VLOOKUP(E115,'Reeksen (N)'!$A$5:$B$76,2),0))</f>
        <v>0</v>
      </c>
      <c r="N115" s="84">
        <f ca="1">IF(C115='Invoer gegevens (N)'!$C$17+'Invoer gegevens (N)'!$I$14,Q114,(1-('Invoer gegevens (N)'!$F$20/12))*L115*MIN('Reeksen (N)'!B47,'Reeksen (N)'!D47))</f>
        <v>0</v>
      </c>
      <c r="O115" s="84">
        <f>IF('Reeksen (N)'!D47&lt;'Reeksen (N)'!B47,('Reeksen (N)'!B47-'Reeksen (N)'!D47)*L115,0)</f>
        <v>0</v>
      </c>
      <c r="P115" s="84">
        <f ca="1">IF(E115='Invoer gegevens (N)'!$C$17+'Invoer gegevens (N)'!$I$14+1,0,('Invoer gegevens (N)'!$F$20/12)*L114*MIN('Reeksen (N)'!B46,'Reeksen (N)'!D46))</f>
        <v>0</v>
      </c>
      <c r="Q115" s="84">
        <f ca="1">IF(E115&gt;='Invoer gegevens (N)'!$C$17+'Invoer gegevens (N)'!$I$14,0,L115-M115+I115+O115)</f>
        <v>0</v>
      </c>
      <c r="R115" s="82">
        <f ca="1">IF('Invoer gegevens (N)'!$C$17=E115,'Invoer gegevens (N)'!$C$11,IF(C115=1,W114,0))</f>
        <v>0</v>
      </c>
      <c r="S115" s="86">
        <f ca="1">IF(E115='Invoer gegevens (N)'!$C$17+'Invoer gegevens (N)'!$I$14,W114,IF(C115&gt;=1,R115*VLOOKUP(E115,'Reeksen (N)'!$A$5:$B$76,2),0))</f>
        <v>0</v>
      </c>
      <c r="T115" s="84">
        <f ca="1">IF(E115='Invoer gegevens (N)'!$C$17+'Invoer gegevens (N)'!$I$14,W114,(1-('Invoer gegevens (N)'!$F$20/12))*R115*MIN('Reeksen (N)'!B47,'Reeksen (N)'!D47))</f>
        <v>0</v>
      </c>
      <c r="U115" s="84">
        <f>IF('Reeksen (N)'!D47&gt;='Reeksen (N)'!B47,0,IF('Reeksen (N)'!AK47&lt;='Reeksen (N)'!AE47,('Reeksen (N)'!B47-'Reeksen (N)'!D47)*R115,0))</f>
        <v>0</v>
      </c>
      <c r="V115" s="86">
        <f>IF('Reeksen (N)'!D47&gt;='Reeksen (N)'!B47,0,IF('Reeksen (N)'!AK47&gt;'Reeksen (N)'!AE47,('Reeksen (N)'!B47-'Reeksen (N)'!D47)*R115,0))</f>
        <v>0</v>
      </c>
      <c r="W115" s="97">
        <f ca="1">IF(E115&gt;='Invoer gegevens (N)'!$C$17+'Invoer gegevens (N)'!$I$14,0,R115-S115)</f>
        <v>0</v>
      </c>
      <c r="X115" s="98">
        <f ca="1">IF('Invoer gegevens (N)'!$C$17=E115,'Invoer gegevens (N)'!$C$10-'Invoer gegevens (N)'!$C$11,IF(C115=1,AC114,0))</f>
        <v>0</v>
      </c>
      <c r="Y115" s="98">
        <f ca="1">IF(E115='Invoer gegevens (N)'!$C$17+'Invoer gegevens (N)'!$I$14,AC114,IF(C115&gt;=1,X115*VLOOKUP(E115,'Reeksen (N)'!$A$5:$B$76,2),0))</f>
        <v>0</v>
      </c>
      <c r="Z115" s="98">
        <f ca="1">IF(E115='Invoer gegevens (N)'!$C$17+'Invoer gegevens (N)'!$I$14,AC114,(1-('Invoer gegevens (N)'!$F$20/12))*X115*MIN('Reeksen (N)'!B47,'Reeksen (N)'!D47))</f>
        <v>0</v>
      </c>
      <c r="AA115" s="98">
        <f>IF('Reeksen (N)'!D47&gt;='Reeksen (N)'!B47,0,IF('Reeksen (N)'!AK47&lt;='Reeksen (N)'!AE47,('Reeksen (N)'!B47-'Reeksen (N)'!D47)*X115,0))</f>
        <v>0</v>
      </c>
      <c r="AB115" s="98">
        <f>IF('Reeksen (N)'!D47&gt;='Reeksen (N)'!B47,0,IF('Reeksen (N)'!AK47&gt;'Reeksen (N)'!AE47,('Reeksen (N)'!B47-'Reeksen (N)'!D47)*X115,0))</f>
        <v>0</v>
      </c>
      <c r="AC115" s="99">
        <f ca="1">IF(E115&gt;='Invoer gegevens (N)'!$C$17+'Invoer gegevens (N)'!$I$14,0,X115-Y115)</f>
        <v>0</v>
      </c>
      <c r="AD115" s="98">
        <f ca="1">IF('Invoer gegevens (N)'!$C$17=E47,R115,IF(C47=0,0,AE114))</f>
        <v>0</v>
      </c>
      <c r="AE115" s="98">
        <f t="shared" ca="1" si="9"/>
        <v>0</v>
      </c>
      <c r="AF115" s="98">
        <f ca="1">IF('Invoer gegevens (N)'!$C$17=E47,X115,IF(C47=0,0,AG114))</f>
        <v>0</v>
      </c>
      <c r="AG115" s="98">
        <f t="shared" ca="1" si="10"/>
        <v>0</v>
      </c>
      <c r="AH115" s="66"/>
      <c r="AI115" s="71">
        <f ca="1">IF(C115=1,(('Reeksen (N)'!BF47*(F115-G115+F115)/2)+((L115-M115+L115)/2*'Reeksen (N)'!BG47))*12,0)</f>
        <v>0</v>
      </c>
      <c r="AJ115" s="71">
        <f ca="1">-AI115*'Invoer gegevens (N)'!$I$26</f>
        <v>0</v>
      </c>
      <c r="AK115" s="71">
        <f t="shared" ca="1" si="11"/>
        <v>0</v>
      </c>
      <c r="AL115" s="71">
        <f ca="1">IF(C115=1,'Reeksen (N)'!AL47*((F115-G115+F115)/2)*12+'Reeksen (N)'!AM47*((L115-M115+L115)/2)*12,0)</f>
        <v>0</v>
      </c>
      <c r="AM115" s="71">
        <f ca="1">-AL115*'Invoer gegevens (N)'!$F$31</f>
        <v>0</v>
      </c>
      <c r="AN115" s="71">
        <f t="shared" ca="1" si="12"/>
        <v>0</v>
      </c>
      <c r="AO115" s="71">
        <f ca="1">IF(E115&gt;='Invoer gegevens (N)'!$C$17+'Invoer gegevens (N)'!$I$14,0,IF(C115=1,(H115+J115+N115+P115)*'Reeksen (N)'!AN47,0))</f>
        <v>0</v>
      </c>
      <c r="AP115" s="71">
        <f ca="1">-IF(C115=1,(H115+J115+N115+P115)*'Reeksen (N)'!AN46*'Hulp - basis'!$J$550,0)</f>
        <v>0</v>
      </c>
      <c r="AQ115" s="71">
        <f ca="1">-IF(C115=1,(F115+K115+L115+Q115)/2*'Invoer gegevens (N)'!$I$33*'Reeksen (N)'!J47,0)</f>
        <v>0</v>
      </c>
      <c r="AR115" s="71">
        <f ca="1">-IF(C115=1,(I115*'Invoer gegevens (N)'!$I$34)*'Reeksen (N)'!J47,0)</f>
        <v>0</v>
      </c>
      <c r="AS115" s="71">
        <f ca="1">-IF(C115=1,(F115+K115+L115+Q115)/2*'Invoer gegevens (N)'!$I$35*'Reeksen (N)'!L47,0)</f>
        <v>0</v>
      </c>
      <c r="AT115" s="71">
        <f ca="1">-IF(C115=1,IF(E115='Invoer gegevens (N)'!$C$17,'Invoer gegevens (N)'!$C$11,AD115)*'Reeksen (N)'!S47*'Invoer gegevens (N)'!$C$18*'Reeksen (N)'!P47,0)</f>
        <v>0</v>
      </c>
      <c r="AU115" s="71">
        <f ca="1">-IF(C115=1,(F115+K115+L115+Q115)/2*'Invoer gegevens (N)'!$I$36*'Reeksen (N)'!H47,0)</f>
        <v>0</v>
      </c>
      <c r="AV115" s="71">
        <f t="shared" ca="1" si="13"/>
        <v>0</v>
      </c>
      <c r="AW115" s="72">
        <f ca="1">IFERROR(IF(E115='Invoer gegevens (N)'!$C$17+'Invoer gegevens (N)'!$I$14-1,'Invoer gegevens (N)'!$I$13*K115*'Reeksen (N)'!H47,0),0)</f>
        <v>0</v>
      </c>
      <c r="AX115" s="72">
        <f ca="1">IFERROR(IF(E115='Invoer gegevens (N)'!$C$17,-'Invoer gegevens (N)'!$C$10*('Invoer gegevens (N)'!$C$30+'Invoer gegevens (N)'!$C$31)*'Reeksen (N)'!H47,0),0)</f>
        <v>0</v>
      </c>
      <c r="AY115" s="73">
        <f ca="1">IF('Invoer gegevens (N)'!$C$34=E115,'Invoer gegevens (N)'!$C$27*'Invoer gegevens (N)'!$C$10*'Invoer gegevens (N)'!$C$36*(IF('Invoer gegevens (N)'!$C$35="ja",1,'Reeksen (N)'!J47)),IF('Invoer gegevens (N)'!$C$34+1=E115,'Invoer gegevens (N)'!$C$27*'Invoer gegevens (N)'!$C$10*'Invoer gegevens (N)'!$C$37*(IF('Invoer gegevens (N)'!$C$35="ja",1,'Reeksen (N)'!J47)),0))+IF(AND(E115='Invoer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5" s="73">
        <f ca="1">AV115/(1+'Invoer gegevens (N)'!$I$12)^($D115-('Invoer gegevens (N)'!$C$17-'Invoer gegevens (N)'!$C$16))/(1+'Invoer gegevens (N)'!$C$39)^('Invoer gegevens (N)'!$C$17-'Invoer gegevens (N)'!$C$16)</f>
        <v>0</v>
      </c>
      <c r="BA115" s="73">
        <f ca="1">AW115/(1+'Invoer gegevens (N)'!$I$12)^(E115-('Invoer gegevens (N)'!$C$17-1))/(1+'Invoer gegevens (N)'!$C$39)^('Invoer gegevens (N)'!$C$17-'Invoer gegevens (N)'!$C$16)</f>
        <v>0</v>
      </c>
      <c r="BB115" s="73">
        <f ca="1">AX115/(1+'Invoer gegevens (N)'!$C$39)^('Invoer gegevens (N)'!$C$17-'Invoer gegevens (N)'!$C$16)</f>
        <v>0</v>
      </c>
      <c r="BC115" s="72">
        <f t="shared" ca="1" si="14"/>
        <v>0</v>
      </c>
      <c r="BD115" s="72">
        <f ca="1">IF(AND(E115='Invoer gegevens (N)'!$C$16,'Invoer gegevens (N)'!$C$34&lt;'Invoer gegevens (N)'!$C$16),AY115,AY115/(1+'Invoer gegevens (N)'!$C$39)^D115)</f>
        <v>0</v>
      </c>
      <c r="BE115" s="72">
        <f ca="1">IF(E115='Invoer gegevens (N)'!$C$34,-'Invoer gegevens (N)'!$I$38,0)</f>
        <v>0</v>
      </c>
      <c r="BF115" s="72">
        <f ca="1">IF(E115='Invoer gegevens (N)'!$C$17,-'Invoer gegevens (N)'!$C$19*$BC$134,0)</f>
        <v>0</v>
      </c>
      <c r="BG115" s="72">
        <f ca="1">AV115/(1+$BG$72)^($D115-('Invoer gegevens (N)'!$C$17-'Invoer gegevens (N)'!$C$16))/(1+'Invoer gegevens (N)'!$C$39)^('Invoer gegevens (N)'!$C$17-'Invoer gegevens (N)'!$C$16)+AW115/(1+$BG$72)^(E115-('Invoer gegevens (N)'!$C$17-1))/(1+'Invoer gegevens (N)'!$C$39)^('Invoer gegevens (N)'!$C$17-'Invoer gegevens (N)'!$C$16)+AX115/(1+'Invoer gegevens (N)'!$C$39)^('Invoer gegevens (N)'!$C$17-'Invoer gegevens (N)'!$C$16)+(-AY115/(1+'Invoer gegevens (N)'!$C$39)^D115)+BE115+BF115</f>
        <v>0</v>
      </c>
    </row>
    <row r="116" spans="2:59" x14ac:dyDescent="0.25">
      <c r="B116" s="70">
        <f t="shared" si="15"/>
        <v>44</v>
      </c>
      <c r="C116" s="67">
        <f ca="1">IF(AND(E116&gt;='Invoer gegevens (N)'!$C$17,E116&lt;'Invoer gegevens (N)'!$C$17+'Invoer gegevens (N)'!$I$14),1,0)</f>
        <v>1</v>
      </c>
      <c r="D116" s="68">
        <f t="shared" si="16"/>
        <v>43.5</v>
      </c>
      <c r="E116" s="108">
        <f ca="1">IF('Invoer gegevens (N)'!$C$16="","",E115+1)</f>
        <v>2062</v>
      </c>
      <c r="F116" s="84">
        <f ca="1">IF('Invoer gegevens (N)'!$C$17=E116,'Invoer gegevens (N)'!$C$10,IF(C116=1,K115,0))</f>
        <v>0</v>
      </c>
      <c r="G116" s="96">
        <f ca="1">IF(E116='Invoer gegevens (N)'!$C$17+'Invoer gegevens (N)'!$I$14,K115,IF(C116&gt;=1,F116*VLOOKUP(E116,'Reeksen (N)'!$A$5:$B$76,2),0))</f>
        <v>0</v>
      </c>
      <c r="H116" s="84">
        <f ca="1">IF(E116='Invoer gegevens (N)'!$C$17+'Invoer gegevens (N)'!$I$14,K115,(1-('Invoer gegevens (N)'!$F$20/12))*F116*MIN('Reeksen (N)'!B48,'Reeksen (N)'!D48))</f>
        <v>0</v>
      </c>
      <c r="I116" s="84">
        <f>IF('Reeksen (N)'!D48&lt;'Reeksen (N)'!B48,('Reeksen (N)'!B48-'Reeksen (N)'!D48)*F116,0)</f>
        <v>0</v>
      </c>
      <c r="J116" s="84">
        <f ca="1">IF(E116='Invoer gegevens (N)'!$C$17+'Invoer gegevens (N)'!$I$14+1,0,('Invoer gegevens (N)'!$F$20/12)*F115*MIN('Reeksen (N)'!B47,'Reeksen (N)'!D47))</f>
        <v>0</v>
      </c>
      <c r="K116" s="97">
        <f ca="1">IF(E116&gt;='Invoer gegevens (N)'!$C$17+'Invoer gegevens (N)'!$I$14,0,F116-G116)</f>
        <v>0</v>
      </c>
      <c r="L116" s="84">
        <f ca="1">IF('Invoer gegevens (N)'!$C$17=E116,0,IF(C116=1,Q115,0))</f>
        <v>0</v>
      </c>
      <c r="M116" s="96">
        <f ca="1">IF(E116='Invoer gegevens (N)'!$C$17+'Invoer gegevens (N)'!$I$14,Q115,IF(C116&gt;=1,L116*VLOOKUP(E116,'Reeksen (N)'!$A$5:$B$76,2),0))</f>
        <v>0</v>
      </c>
      <c r="N116" s="84">
        <f ca="1">IF(C116='Invoer gegevens (N)'!$C$17+'Invoer gegevens (N)'!$I$14,Q115,(1-('Invoer gegevens (N)'!$F$20/12))*L116*MIN('Reeksen (N)'!B48,'Reeksen (N)'!D48))</f>
        <v>0</v>
      </c>
      <c r="O116" s="84">
        <f>IF('Reeksen (N)'!D48&lt;'Reeksen (N)'!B48,('Reeksen (N)'!B48-'Reeksen (N)'!D48)*L116,0)</f>
        <v>0</v>
      </c>
      <c r="P116" s="84">
        <f ca="1">IF(E116='Invoer gegevens (N)'!$C$17+'Invoer gegevens (N)'!$I$14+1,0,('Invoer gegevens (N)'!$F$20/12)*L115*MIN('Reeksen (N)'!B47,'Reeksen (N)'!D47))</f>
        <v>0</v>
      </c>
      <c r="Q116" s="84">
        <f ca="1">IF(E116&gt;='Invoer gegevens (N)'!$C$17+'Invoer gegevens (N)'!$I$14,0,L116-M116+I116+O116)</f>
        <v>0</v>
      </c>
      <c r="R116" s="82">
        <f ca="1">IF('Invoer gegevens (N)'!$C$17=E116,'Invoer gegevens (N)'!$C$11,IF(C116=1,W115,0))</f>
        <v>0</v>
      </c>
      <c r="S116" s="86">
        <f ca="1">IF(E116='Invoer gegevens (N)'!$C$17+'Invoer gegevens (N)'!$I$14,W115,IF(C116&gt;=1,R116*VLOOKUP(E116,'Reeksen (N)'!$A$5:$B$76,2),0))</f>
        <v>0</v>
      </c>
      <c r="T116" s="84">
        <f ca="1">IF(E116='Invoer gegevens (N)'!$C$17+'Invoer gegevens (N)'!$I$14,W115,(1-('Invoer gegevens (N)'!$F$20/12))*R116*MIN('Reeksen (N)'!B48,'Reeksen (N)'!D48))</f>
        <v>0</v>
      </c>
      <c r="U116" s="84">
        <f>IF('Reeksen (N)'!D48&gt;='Reeksen (N)'!B48,0,IF('Reeksen (N)'!AK48&lt;='Reeksen (N)'!AE48,('Reeksen (N)'!B48-'Reeksen (N)'!D48)*R116,0))</f>
        <v>0</v>
      </c>
      <c r="V116" s="86">
        <f>IF('Reeksen (N)'!D48&gt;='Reeksen (N)'!B48,0,IF('Reeksen (N)'!AK48&gt;'Reeksen (N)'!AE48,('Reeksen (N)'!B48-'Reeksen (N)'!D48)*R116,0))</f>
        <v>0</v>
      </c>
      <c r="W116" s="97">
        <f ca="1">IF(E116&gt;='Invoer gegevens (N)'!$C$17+'Invoer gegevens (N)'!$I$14,0,R116-S116)</f>
        <v>0</v>
      </c>
      <c r="X116" s="98">
        <f ca="1">IF('Invoer gegevens (N)'!$C$17=E116,'Invoer gegevens (N)'!$C$10-'Invoer gegevens (N)'!$C$11,IF(C116=1,AC115,0))</f>
        <v>0</v>
      </c>
      <c r="Y116" s="98">
        <f ca="1">IF(E116='Invoer gegevens (N)'!$C$17+'Invoer gegevens (N)'!$I$14,AC115,IF(C116&gt;=1,X116*VLOOKUP(E116,'Reeksen (N)'!$A$5:$B$76,2),0))</f>
        <v>0</v>
      </c>
      <c r="Z116" s="98">
        <f ca="1">IF(E116='Invoer gegevens (N)'!$C$17+'Invoer gegevens (N)'!$I$14,AC115,(1-('Invoer gegevens (N)'!$F$20/12))*X116*MIN('Reeksen (N)'!B48,'Reeksen (N)'!D48))</f>
        <v>0</v>
      </c>
      <c r="AA116" s="98">
        <f>IF('Reeksen (N)'!D48&gt;='Reeksen (N)'!B48,0,IF('Reeksen (N)'!AK48&lt;='Reeksen (N)'!AE48,('Reeksen (N)'!B48-'Reeksen (N)'!D48)*X116,0))</f>
        <v>0</v>
      </c>
      <c r="AB116" s="98">
        <f>IF('Reeksen (N)'!D48&gt;='Reeksen (N)'!B48,0,IF('Reeksen (N)'!AK48&gt;'Reeksen (N)'!AE48,('Reeksen (N)'!B48-'Reeksen (N)'!D48)*X116,0))</f>
        <v>0</v>
      </c>
      <c r="AC116" s="99">
        <f ca="1">IF(E116&gt;='Invoer gegevens (N)'!$C$17+'Invoer gegevens (N)'!$I$14,0,X116-Y116)</f>
        <v>0</v>
      </c>
      <c r="AD116" s="98">
        <f ca="1">IF('Invoer gegevens (N)'!$C$17=E48,R116,IF(C48=0,0,AE115))</f>
        <v>0</v>
      </c>
      <c r="AE116" s="98">
        <f t="shared" ca="1" si="9"/>
        <v>0</v>
      </c>
      <c r="AF116" s="98">
        <f ca="1">IF('Invoer gegevens (N)'!$C$17=E48,X116,IF(C48=0,0,AG115))</f>
        <v>0</v>
      </c>
      <c r="AG116" s="98">
        <f t="shared" ca="1" si="10"/>
        <v>0</v>
      </c>
      <c r="AH116" s="66"/>
      <c r="AI116" s="71">
        <f ca="1">IF(C116=1,(('Reeksen (N)'!BF48*(F116-G116+F116)/2)+((L116-M116+L116)/2*'Reeksen (N)'!BG48))*12,0)</f>
        <v>0</v>
      </c>
      <c r="AJ116" s="71">
        <f ca="1">-AI116*'Invoer gegevens (N)'!$I$26</f>
        <v>0</v>
      </c>
      <c r="AK116" s="71">
        <f t="shared" ca="1" si="11"/>
        <v>0</v>
      </c>
      <c r="AL116" s="71">
        <f ca="1">IF(C116=1,'Reeksen (N)'!AL48*((F116-G116+F116)/2)*12+'Reeksen (N)'!AM48*((L116-M116+L116)/2)*12,0)</f>
        <v>0</v>
      </c>
      <c r="AM116" s="71">
        <f ca="1">-AL116*'Invoer gegevens (N)'!$F$31</f>
        <v>0</v>
      </c>
      <c r="AN116" s="71">
        <f t="shared" ca="1" si="12"/>
        <v>0</v>
      </c>
      <c r="AO116" s="71">
        <f ca="1">IF(E116&gt;='Invoer gegevens (N)'!$C$17+'Invoer gegevens (N)'!$I$14,0,IF(C116=1,(H116+J116+N116+P116)*'Reeksen (N)'!AN48,0))</f>
        <v>0</v>
      </c>
      <c r="AP116" s="71">
        <f ca="1">-IF(C116=1,(H116+J116+N116+P116)*'Reeksen (N)'!AN47*'Hulp - basis'!$J$550,0)</f>
        <v>0</v>
      </c>
      <c r="AQ116" s="71">
        <f ca="1">-IF(C116=1,(F116+K116+L116+Q116)/2*'Invoer gegevens (N)'!$I$33*'Reeksen (N)'!J48,0)</f>
        <v>0</v>
      </c>
      <c r="AR116" s="71">
        <f ca="1">-IF(C116=1,(I116*'Invoer gegevens (N)'!$I$34)*'Reeksen (N)'!J48,0)</f>
        <v>0</v>
      </c>
      <c r="AS116" s="71">
        <f ca="1">-IF(C116=1,(F116+K116+L116+Q116)/2*'Invoer gegevens (N)'!$I$35*'Reeksen (N)'!L48,0)</f>
        <v>0</v>
      </c>
      <c r="AT116" s="71">
        <f ca="1">-IF(C116=1,IF(E116='Invoer gegevens (N)'!$C$17,'Invoer gegevens (N)'!$C$11,AD116)*'Reeksen (N)'!S48*'Invoer gegevens (N)'!$C$18*'Reeksen (N)'!P48,0)</f>
        <v>0</v>
      </c>
      <c r="AU116" s="71">
        <f ca="1">-IF(C116=1,(F116+K116+L116+Q116)/2*'Invoer gegevens (N)'!$I$36*'Reeksen (N)'!H48,0)</f>
        <v>0</v>
      </c>
      <c r="AV116" s="71">
        <f t="shared" ca="1" si="13"/>
        <v>0</v>
      </c>
      <c r="AW116" s="72">
        <f ca="1">IFERROR(IF(E116='Invoer gegevens (N)'!$C$17+'Invoer gegevens (N)'!$I$14-1,'Invoer gegevens (N)'!$I$13*K116*'Reeksen (N)'!H48,0),0)</f>
        <v>0</v>
      </c>
      <c r="AX116" s="72">
        <f ca="1">IFERROR(IF(E116='Invoer gegevens (N)'!$C$17,-'Invoer gegevens (N)'!$C$10*('Invoer gegevens (N)'!$C$30+'Invoer gegevens (N)'!$C$31)*'Reeksen (N)'!H48,0),0)</f>
        <v>0</v>
      </c>
      <c r="AY116" s="73">
        <f ca="1">IF('Invoer gegevens (N)'!$C$34=E116,'Invoer gegevens (N)'!$C$27*'Invoer gegevens (N)'!$C$10*'Invoer gegevens (N)'!$C$36*(IF('Invoer gegevens (N)'!$C$35="ja",1,'Reeksen (N)'!J48)),IF('Invoer gegevens (N)'!$C$34+1=E116,'Invoer gegevens (N)'!$C$27*'Invoer gegevens (N)'!$C$10*'Invoer gegevens (N)'!$C$37*(IF('Invoer gegevens (N)'!$C$35="ja",1,'Reeksen (N)'!J48)),0))+IF(AND(E116='Invoer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6" s="73">
        <f ca="1">AV116/(1+'Invoer gegevens (N)'!$I$12)^($D116-('Invoer gegevens (N)'!$C$17-'Invoer gegevens (N)'!$C$16))/(1+'Invoer gegevens (N)'!$C$39)^('Invoer gegevens (N)'!$C$17-'Invoer gegevens (N)'!$C$16)</f>
        <v>0</v>
      </c>
      <c r="BA116" s="73">
        <f ca="1">AW116/(1+'Invoer gegevens (N)'!$I$12)^(E116-('Invoer gegevens (N)'!$C$17-1))/(1+'Invoer gegevens (N)'!$C$39)^('Invoer gegevens (N)'!$C$17-'Invoer gegevens (N)'!$C$16)</f>
        <v>0</v>
      </c>
      <c r="BB116" s="73">
        <f ca="1">AX116/(1+'Invoer gegevens (N)'!$C$39)^('Invoer gegevens (N)'!$C$17-'Invoer gegevens (N)'!$C$16)</f>
        <v>0</v>
      </c>
      <c r="BC116" s="72">
        <f t="shared" ca="1" si="14"/>
        <v>0</v>
      </c>
      <c r="BD116" s="72">
        <f ca="1">IF(AND(E116='Invoer gegevens (N)'!$C$16,'Invoer gegevens (N)'!$C$34&lt;'Invoer gegevens (N)'!$C$16),AY116,AY116/(1+'Invoer gegevens (N)'!$C$39)^D116)</f>
        <v>0</v>
      </c>
      <c r="BE116" s="72">
        <f ca="1">IF(E116='Invoer gegevens (N)'!$C$34,-'Invoer gegevens (N)'!$I$38,0)</f>
        <v>0</v>
      </c>
      <c r="BF116" s="72">
        <f ca="1">IF(E116='Invoer gegevens (N)'!$C$17,-'Invoer gegevens (N)'!$C$19*$BC$134,0)</f>
        <v>0</v>
      </c>
      <c r="BG116" s="72">
        <f ca="1">AV116/(1+$BG$72)^($D116-('Invoer gegevens (N)'!$C$17-'Invoer gegevens (N)'!$C$16))/(1+'Invoer gegevens (N)'!$C$39)^('Invoer gegevens (N)'!$C$17-'Invoer gegevens (N)'!$C$16)+AW116/(1+$BG$72)^(E116-('Invoer gegevens (N)'!$C$17-1))/(1+'Invoer gegevens (N)'!$C$39)^('Invoer gegevens (N)'!$C$17-'Invoer gegevens (N)'!$C$16)+AX116/(1+'Invoer gegevens (N)'!$C$39)^('Invoer gegevens (N)'!$C$17-'Invoer gegevens (N)'!$C$16)+(-AY116/(1+'Invoer gegevens (N)'!$C$39)^D116)+BE116+BF116</f>
        <v>0</v>
      </c>
    </row>
    <row r="117" spans="2:59" x14ac:dyDescent="0.25">
      <c r="B117" s="70">
        <f t="shared" si="15"/>
        <v>45</v>
      </c>
      <c r="C117" s="67">
        <f ca="1">IF(AND(E117&gt;='Invoer gegevens (N)'!$C$17,E117&lt;'Invoer gegevens (N)'!$C$17+'Invoer gegevens (N)'!$I$14),1,0)</f>
        <v>1</v>
      </c>
      <c r="D117" s="68">
        <f t="shared" si="16"/>
        <v>44.5</v>
      </c>
      <c r="E117" s="108">
        <f ca="1">IF('Invoer gegevens (N)'!$C$16="","",E116+1)</f>
        <v>2063</v>
      </c>
      <c r="F117" s="84">
        <f ca="1">IF('Invoer gegevens (N)'!$C$17=E117,'Invoer gegevens (N)'!$C$10,IF(C117=1,K116,0))</f>
        <v>0</v>
      </c>
      <c r="G117" s="96">
        <f ca="1">IF(E117='Invoer gegevens (N)'!$C$17+'Invoer gegevens (N)'!$I$14,K116,IF(C117&gt;=1,F117*VLOOKUP(E117,'Reeksen (N)'!$A$5:$B$76,2),0))</f>
        <v>0</v>
      </c>
      <c r="H117" s="84">
        <f ca="1">IF(E117='Invoer gegevens (N)'!$C$17+'Invoer gegevens (N)'!$I$14,K116,(1-('Invoer gegevens (N)'!$F$20/12))*F117*MIN('Reeksen (N)'!B49,'Reeksen (N)'!D49))</f>
        <v>0</v>
      </c>
      <c r="I117" s="84">
        <f>IF('Reeksen (N)'!D49&lt;'Reeksen (N)'!B49,('Reeksen (N)'!B49-'Reeksen (N)'!D49)*F117,0)</f>
        <v>0</v>
      </c>
      <c r="J117" s="84">
        <f ca="1">IF(E117='Invoer gegevens (N)'!$C$17+'Invoer gegevens (N)'!$I$14+1,0,('Invoer gegevens (N)'!$F$20/12)*F116*MIN('Reeksen (N)'!B48,'Reeksen (N)'!D48))</f>
        <v>0</v>
      </c>
      <c r="K117" s="97">
        <f ca="1">IF(E117&gt;='Invoer gegevens (N)'!$C$17+'Invoer gegevens (N)'!$I$14,0,F117-G117)</f>
        <v>0</v>
      </c>
      <c r="L117" s="84">
        <f ca="1">IF('Invoer gegevens (N)'!$C$17=E117,0,IF(C117=1,Q116,0))</f>
        <v>0</v>
      </c>
      <c r="M117" s="96">
        <f ca="1">IF(E117='Invoer gegevens (N)'!$C$17+'Invoer gegevens (N)'!$I$14,Q116,IF(C117&gt;=1,L117*VLOOKUP(E117,'Reeksen (N)'!$A$5:$B$76,2),0))</f>
        <v>0</v>
      </c>
      <c r="N117" s="84">
        <f ca="1">IF(C117='Invoer gegevens (N)'!$C$17+'Invoer gegevens (N)'!$I$14,Q116,(1-('Invoer gegevens (N)'!$F$20/12))*L117*MIN('Reeksen (N)'!B49,'Reeksen (N)'!D49))</f>
        <v>0</v>
      </c>
      <c r="O117" s="84">
        <f>IF('Reeksen (N)'!D49&lt;'Reeksen (N)'!B49,('Reeksen (N)'!B49-'Reeksen (N)'!D49)*L117,0)</f>
        <v>0</v>
      </c>
      <c r="P117" s="84">
        <f ca="1">IF(E117='Invoer gegevens (N)'!$C$17+'Invoer gegevens (N)'!$I$14+1,0,('Invoer gegevens (N)'!$F$20/12)*L116*MIN('Reeksen (N)'!B48,'Reeksen (N)'!D48))</f>
        <v>0</v>
      </c>
      <c r="Q117" s="84">
        <f ca="1">IF(E117&gt;='Invoer gegevens (N)'!$C$17+'Invoer gegevens (N)'!$I$14,0,L117-M117+I117+O117)</f>
        <v>0</v>
      </c>
      <c r="R117" s="82">
        <f ca="1">IF('Invoer gegevens (N)'!$C$17=E117,'Invoer gegevens (N)'!$C$11,IF(C117=1,W116,0))</f>
        <v>0</v>
      </c>
      <c r="S117" s="86">
        <f ca="1">IF(E117='Invoer gegevens (N)'!$C$17+'Invoer gegevens (N)'!$I$14,W116,IF(C117&gt;=1,R117*VLOOKUP(E117,'Reeksen (N)'!$A$5:$B$76,2),0))</f>
        <v>0</v>
      </c>
      <c r="T117" s="84">
        <f ca="1">IF(E117='Invoer gegevens (N)'!$C$17+'Invoer gegevens (N)'!$I$14,W116,(1-('Invoer gegevens (N)'!$F$20/12))*R117*MIN('Reeksen (N)'!B49,'Reeksen (N)'!D49))</f>
        <v>0</v>
      </c>
      <c r="U117" s="84">
        <f>IF('Reeksen (N)'!D49&gt;='Reeksen (N)'!B49,0,IF('Reeksen (N)'!AK49&lt;='Reeksen (N)'!AE49,('Reeksen (N)'!B49-'Reeksen (N)'!D49)*R117,0))</f>
        <v>0</v>
      </c>
      <c r="V117" s="86">
        <f>IF('Reeksen (N)'!D49&gt;='Reeksen (N)'!B49,0,IF('Reeksen (N)'!AK49&gt;'Reeksen (N)'!AE49,('Reeksen (N)'!B49-'Reeksen (N)'!D49)*R117,0))</f>
        <v>0</v>
      </c>
      <c r="W117" s="97">
        <f ca="1">IF(E117&gt;='Invoer gegevens (N)'!$C$17+'Invoer gegevens (N)'!$I$14,0,R117-S117)</f>
        <v>0</v>
      </c>
      <c r="X117" s="98">
        <f ca="1">IF('Invoer gegevens (N)'!$C$17=E117,'Invoer gegevens (N)'!$C$10-'Invoer gegevens (N)'!$C$11,IF(C117=1,AC116,0))</f>
        <v>0</v>
      </c>
      <c r="Y117" s="98">
        <f ca="1">IF(E117='Invoer gegevens (N)'!$C$17+'Invoer gegevens (N)'!$I$14,AC116,IF(C117&gt;=1,X117*VLOOKUP(E117,'Reeksen (N)'!$A$5:$B$76,2),0))</f>
        <v>0</v>
      </c>
      <c r="Z117" s="98">
        <f ca="1">IF(E117='Invoer gegevens (N)'!$C$17+'Invoer gegevens (N)'!$I$14,AC116,(1-('Invoer gegevens (N)'!$F$20/12))*X117*MIN('Reeksen (N)'!B49,'Reeksen (N)'!D49))</f>
        <v>0</v>
      </c>
      <c r="AA117" s="98">
        <f>IF('Reeksen (N)'!D49&gt;='Reeksen (N)'!B49,0,IF('Reeksen (N)'!AK49&lt;='Reeksen (N)'!AE49,('Reeksen (N)'!B49-'Reeksen (N)'!D49)*X117,0))</f>
        <v>0</v>
      </c>
      <c r="AB117" s="98">
        <f>IF('Reeksen (N)'!D49&gt;='Reeksen (N)'!B49,0,IF('Reeksen (N)'!AK49&gt;'Reeksen (N)'!AE49,('Reeksen (N)'!B49-'Reeksen (N)'!D49)*X117,0))</f>
        <v>0</v>
      </c>
      <c r="AC117" s="99">
        <f ca="1">IF(E117&gt;='Invoer gegevens (N)'!$C$17+'Invoer gegevens (N)'!$I$14,0,X117-Y117)</f>
        <v>0</v>
      </c>
      <c r="AD117" s="98">
        <f ca="1">IF('Invoer gegevens (N)'!$C$17=E49,R117,IF(C49=0,0,AE116))</f>
        <v>0</v>
      </c>
      <c r="AE117" s="98">
        <f t="shared" ca="1" si="9"/>
        <v>0</v>
      </c>
      <c r="AF117" s="98">
        <f ca="1">IF('Invoer gegevens (N)'!$C$17=E49,X117,IF(C49=0,0,AG116))</f>
        <v>0</v>
      </c>
      <c r="AG117" s="98">
        <f t="shared" ca="1" si="10"/>
        <v>0</v>
      </c>
      <c r="AH117" s="66"/>
      <c r="AI117" s="71">
        <f ca="1">IF(C117=1,(('Reeksen (N)'!BF49*(F117-G117+F117)/2)+((L117-M117+L117)/2*'Reeksen (N)'!BG49))*12,0)</f>
        <v>0</v>
      </c>
      <c r="AJ117" s="71">
        <f ca="1">-AI117*'Invoer gegevens (N)'!$I$26</f>
        <v>0</v>
      </c>
      <c r="AK117" s="71">
        <f t="shared" ca="1" si="11"/>
        <v>0</v>
      </c>
      <c r="AL117" s="71">
        <f ca="1">IF(C117=1,'Reeksen (N)'!AL49*((F117-G117+F117)/2)*12+'Reeksen (N)'!AM49*((L117-M117+L117)/2)*12,0)</f>
        <v>0</v>
      </c>
      <c r="AM117" s="71">
        <f ca="1">-AL117*'Invoer gegevens (N)'!$F$31</f>
        <v>0</v>
      </c>
      <c r="AN117" s="71">
        <f t="shared" ca="1" si="12"/>
        <v>0</v>
      </c>
      <c r="AO117" s="71">
        <f ca="1">IF(E117&gt;='Invoer gegevens (N)'!$C$17+'Invoer gegevens (N)'!$I$14,0,IF(C117=1,(H117+J117+N117+P117)*'Reeksen (N)'!AN49,0))</f>
        <v>0</v>
      </c>
      <c r="AP117" s="71">
        <f ca="1">-IF(C117=1,(H117+J117+N117+P117)*'Reeksen (N)'!AN48*'Hulp - basis'!$J$550,0)</f>
        <v>0</v>
      </c>
      <c r="AQ117" s="71">
        <f ca="1">-IF(C117=1,(F117+K117+L117+Q117)/2*'Invoer gegevens (N)'!$I$33*'Reeksen (N)'!J49,0)</f>
        <v>0</v>
      </c>
      <c r="AR117" s="71">
        <f ca="1">-IF(C117=1,(I117*'Invoer gegevens (N)'!$I$34)*'Reeksen (N)'!J49,0)</f>
        <v>0</v>
      </c>
      <c r="AS117" s="71">
        <f ca="1">-IF(C117=1,(F117+K117+L117+Q117)/2*'Invoer gegevens (N)'!$I$35*'Reeksen (N)'!L49,0)</f>
        <v>0</v>
      </c>
      <c r="AT117" s="71">
        <f ca="1">-IF(C117=1,IF(E117='Invoer gegevens (N)'!$C$17,'Invoer gegevens (N)'!$C$11,AD117)*'Reeksen (N)'!S49*'Invoer gegevens (N)'!$C$18*'Reeksen (N)'!P49,0)</f>
        <v>0</v>
      </c>
      <c r="AU117" s="71">
        <f ca="1">-IF(C117=1,(F117+K117+L117+Q117)/2*'Invoer gegevens (N)'!$I$36*'Reeksen (N)'!H49,0)</f>
        <v>0</v>
      </c>
      <c r="AV117" s="71">
        <f t="shared" ca="1" si="13"/>
        <v>0</v>
      </c>
      <c r="AW117" s="72">
        <f ca="1">IFERROR(IF(E117='Invoer gegevens (N)'!$C$17+'Invoer gegevens (N)'!$I$14-1,'Invoer gegevens (N)'!$I$13*K117*'Reeksen (N)'!H49,0),0)</f>
        <v>0</v>
      </c>
      <c r="AX117" s="72">
        <f ca="1">IFERROR(IF(E117='Invoer gegevens (N)'!$C$17,-'Invoer gegevens (N)'!$C$10*('Invoer gegevens (N)'!$C$30+'Invoer gegevens (N)'!$C$31)*'Reeksen (N)'!H49,0),0)</f>
        <v>0</v>
      </c>
      <c r="AY117" s="73">
        <f ca="1">IF('Invoer gegevens (N)'!$C$34=E117,'Invoer gegevens (N)'!$C$27*'Invoer gegevens (N)'!$C$10*'Invoer gegevens (N)'!$C$36*(IF('Invoer gegevens (N)'!$C$35="ja",1,'Reeksen (N)'!J49)),IF('Invoer gegevens (N)'!$C$34+1=E117,'Invoer gegevens (N)'!$C$27*'Invoer gegevens (N)'!$C$10*'Invoer gegevens (N)'!$C$37*(IF('Invoer gegevens (N)'!$C$35="ja",1,'Reeksen (N)'!J49)),0))+IF(AND(E117='Invoer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7" s="73">
        <f ca="1">AV117/(1+'Invoer gegevens (N)'!$I$12)^($D117-('Invoer gegevens (N)'!$C$17-'Invoer gegevens (N)'!$C$16))/(1+'Invoer gegevens (N)'!$C$39)^('Invoer gegevens (N)'!$C$17-'Invoer gegevens (N)'!$C$16)</f>
        <v>0</v>
      </c>
      <c r="BA117" s="73">
        <f ca="1">AW117/(1+'Invoer gegevens (N)'!$I$12)^(E117-('Invoer gegevens (N)'!$C$17-1))/(1+'Invoer gegevens (N)'!$C$39)^('Invoer gegevens (N)'!$C$17-'Invoer gegevens (N)'!$C$16)</f>
        <v>0</v>
      </c>
      <c r="BB117" s="73">
        <f ca="1">AX117/(1+'Invoer gegevens (N)'!$C$39)^('Invoer gegevens (N)'!$C$17-'Invoer gegevens (N)'!$C$16)</f>
        <v>0</v>
      </c>
      <c r="BC117" s="72">
        <f t="shared" ca="1" si="14"/>
        <v>0</v>
      </c>
      <c r="BD117" s="72">
        <f ca="1">IF(AND(E117='Invoer gegevens (N)'!$C$16,'Invoer gegevens (N)'!$C$34&lt;'Invoer gegevens (N)'!$C$16),AY117,AY117/(1+'Invoer gegevens (N)'!$C$39)^D117)</f>
        <v>0</v>
      </c>
      <c r="BE117" s="72">
        <f ca="1">IF(E117='Invoer gegevens (N)'!$C$34,-'Invoer gegevens (N)'!$I$38,0)</f>
        <v>0</v>
      </c>
      <c r="BF117" s="72">
        <f ca="1">IF(E117='Invoer gegevens (N)'!$C$17,-'Invoer gegevens (N)'!$C$19*$BC$134,0)</f>
        <v>0</v>
      </c>
      <c r="BG117" s="72">
        <f ca="1">AV117/(1+$BG$72)^($D117-('Invoer gegevens (N)'!$C$17-'Invoer gegevens (N)'!$C$16))/(1+'Invoer gegevens (N)'!$C$39)^('Invoer gegevens (N)'!$C$17-'Invoer gegevens (N)'!$C$16)+AW117/(1+$BG$72)^(E117-('Invoer gegevens (N)'!$C$17-1))/(1+'Invoer gegevens (N)'!$C$39)^('Invoer gegevens (N)'!$C$17-'Invoer gegevens (N)'!$C$16)+AX117/(1+'Invoer gegevens (N)'!$C$39)^('Invoer gegevens (N)'!$C$17-'Invoer gegevens (N)'!$C$16)+(-AY117/(1+'Invoer gegevens (N)'!$C$39)^D117)+BE117+BF117</f>
        <v>0</v>
      </c>
    </row>
    <row r="118" spans="2:59" x14ac:dyDescent="0.25">
      <c r="B118" s="70">
        <f t="shared" si="15"/>
        <v>46</v>
      </c>
      <c r="C118" s="67">
        <f ca="1">IF(AND(E118&gt;='Invoer gegevens (N)'!$C$17,E118&lt;'Invoer gegevens (N)'!$C$17+'Invoer gegevens (N)'!$I$14),1,0)</f>
        <v>1</v>
      </c>
      <c r="D118" s="68">
        <f t="shared" si="16"/>
        <v>45.5</v>
      </c>
      <c r="E118" s="108">
        <f ca="1">IF('Invoer gegevens (N)'!$C$16="","",E117+1)</f>
        <v>2064</v>
      </c>
      <c r="F118" s="84">
        <f ca="1">IF('Invoer gegevens (N)'!$C$17=E118,'Invoer gegevens (N)'!$C$10,IF(C118=1,K117,0))</f>
        <v>0</v>
      </c>
      <c r="G118" s="96">
        <f ca="1">IF(E118='Invoer gegevens (N)'!$C$17+'Invoer gegevens (N)'!$I$14,K117,IF(C118&gt;=1,F118*VLOOKUP(E118,'Reeksen (N)'!$A$5:$B$76,2),0))</f>
        <v>0</v>
      </c>
      <c r="H118" s="84">
        <f ca="1">IF(E118='Invoer gegevens (N)'!$C$17+'Invoer gegevens (N)'!$I$14,K117,(1-('Invoer gegevens (N)'!$F$20/12))*F118*MIN('Reeksen (N)'!B50,'Reeksen (N)'!D50))</f>
        <v>0</v>
      </c>
      <c r="I118" s="84">
        <f>IF('Reeksen (N)'!D50&lt;'Reeksen (N)'!B50,('Reeksen (N)'!B50-'Reeksen (N)'!D50)*F118,0)</f>
        <v>0</v>
      </c>
      <c r="J118" s="84">
        <f ca="1">IF(E118='Invoer gegevens (N)'!$C$17+'Invoer gegevens (N)'!$I$14+1,0,('Invoer gegevens (N)'!$F$20/12)*F117*MIN('Reeksen (N)'!B49,'Reeksen (N)'!D49))</f>
        <v>0</v>
      </c>
      <c r="K118" s="97">
        <f ca="1">IF(E118&gt;='Invoer gegevens (N)'!$C$17+'Invoer gegevens (N)'!$I$14,0,F118-G118)</f>
        <v>0</v>
      </c>
      <c r="L118" s="84">
        <f ca="1">IF('Invoer gegevens (N)'!$C$17=E118,0,IF(C118=1,Q117,0))</f>
        <v>0</v>
      </c>
      <c r="M118" s="96">
        <f ca="1">IF(E118='Invoer gegevens (N)'!$C$17+'Invoer gegevens (N)'!$I$14,Q117,IF(C118&gt;=1,L118*VLOOKUP(E118,'Reeksen (N)'!$A$5:$B$76,2),0))</f>
        <v>0</v>
      </c>
      <c r="N118" s="84">
        <f ca="1">IF(C118='Invoer gegevens (N)'!$C$17+'Invoer gegevens (N)'!$I$14,Q117,(1-('Invoer gegevens (N)'!$F$20/12))*L118*MIN('Reeksen (N)'!B50,'Reeksen (N)'!D50))</f>
        <v>0</v>
      </c>
      <c r="O118" s="84">
        <f>IF('Reeksen (N)'!D50&lt;'Reeksen (N)'!B50,('Reeksen (N)'!B50-'Reeksen (N)'!D50)*L118,0)</f>
        <v>0</v>
      </c>
      <c r="P118" s="84">
        <f ca="1">IF(E118='Invoer gegevens (N)'!$C$17+'Invoer gegevens (N)'!$I$14+1,0,('Invoer gegevens (N)'!$F$20/12)*L117*MIN('Reeksen (N)'!B49,'Reeksen (N)'!D49))</f>
        <v>0</v>
      </c>
      <c r="Q118" s="84">
        <f ca="1">IF(E118&gt;='Invoer gegevens (N)'!$C$17+'Invoer gegevens (N)'!$I$14,0,L118-M118+I118+O118)</f>
        <v>0</v>
      </c>
      <c r="R118" s="82">
        <f ca="1">IF('Invoer gegevens (N)'!$C$17=E118,'Invoer gegevens (N)'!$C$11,IF(C118=1,W117,0))</f>
        <v>0</v>
      </c>
      <c r="S118" s="86">
        <f ca="1">IF(E118='Invoer gegevens (N)'!$C$17+'Invoer gegevens (N)'!$I$14,W117,IF(C118&gt;=1,R118*VLOOKUP(E118,'Reeksen (N)'!$A$5:$B$76,2),0))</f>
        <v>0</v>
      </c>
      <c r="T118" s="84">
        <f ca="1">IF(E118='Invoer gegevens (N)'!$C$17+'Invoer gegevens (N)'!$I$14,W117,(1-('Invoer gegevens (N)'!$F$20/12))*R118*MIN('Reeksen (N)'!B50,'Reeksen (N)'!D50))</f>
        <v>0</v>
      </c>
      <c r="U118" s="84">
        <f>IF('Reeksen (N)'!D50&gt;='Reeksen (N)'!B50,0,IF('Reeksen (N)'!AK50&lt;='Reeksen (N)'!AE50,('Reeksen (N)'!B50-'Reeksen (N)'!D50)*R118,0))</f>
        <v>0</v>
      </c>
      <c r="V118" s="86">
        <f>IF('Reeksen (N)'!D50&gt;='Reeksen (N)'!B50,0,IF('Reeksen (N)'!AK50&gt;'Reeksen (N)'!AE50,('Reeksen (N)'!B50-'Reeksen (N)'!D50)*R118,0))</f>
        <v>0</v>
      </c>
      <c r="W118" s="97">
        <f ca="1">IF(E118&gt;='Invoer gegevens (N)'!$C$17+'Invoer gegevens (N)'!$I$14,0,R118-S118)</f>
        <v>0</v>
      </c>
      <c r="X118" s="98">
        <f ca="1">IF('Invoer gegevens (N)'!$C$17=E118,'Invoer gegevens (N)'!$C$10-'Invoer gegevens (N)'!$C$11,IF(C118=1,AC117,0))</f>
        <v>0</v>
      </c>
      <c r="Y118" s="98">
        <f ca="1">IF(E118='Invoer gegevens (N)'!$C$17+'Invoer gegevens (N)'!$I$14,AC117,IF(C118&gt;=1,X118*VLOOKUP(E118,'Reeksen (N)'!$A$5:$B$76,2),0))</f>
        <v>0</v>
      </c>
      <c r="Z118" s="98">
        <f ca="1">IF(E118='Invoer gegevens (N)'!$C$17+'Invoer gegevens (N)'!$I$14,AC117,(1-('Invoer gegevens (N)'!$F$20/12))*X118*MIN('Reeksen (N)'!B50,'Reeksen (N)'!D50))</f>
        <v>0</v>
      </c>
      <c r="AA118" s="98">
        <f>IF('Reeksen (N)'!D50&gt;='Reeksen (N)'!B50,0,IF('Reeksen (N)'!AK50&lt;='Reeksen (N)'!AE50,('Reeksen (N)'!B50-'Reeksen (N)'!D50)*X118,0))</f>
        <v>0</v>
      </c>
      <c r="AB118" s="98">
        <f>IF('Reeksen (N)'!D50&gt;='Reeksen (N)'!B50,0,IF('Reeksen (N)'!AK50&gt;'Reeksen (N)'!AE50,('Reeksen (N)'!B50-'Reeksen (N)'!D50)*X118,0))</f>
        <v>0</v>
      </c>
      <c r="AC118" s="99">
        <f ca="1">IF(E118&gt;='Invoer gegevens (N)'!$C$17+'Invoer gegevens (N)'!$I$14,0,X118-Y118)</f>
        <v>0</v>
      </c>
      <c r="AD118" s="98">
        <f ca="1">IF('Invoer gegevens (N)'!$C$17=E50,R118,IF(C50=0,0,AE117))</f>
        <v>0</v>
      </c>
      <c r="AE118" s="98">
        <f t="shared" ca="1" si="9"/>
        <v>0</v>
      </c>
      <c r="AF118" s="98">
        <f ca="1">IF('Invoer gegevens (N)'!$C$17=E50,X118,IF(C50=0,0,AG117))</f>
        <v>0</v>
      </c>
      <c r="AG118" s="98">
        <f t="shared" ca="1" si="10"/>
        <v>0</v>
      </c>
      <c r="AH118" s="66"/>
      <c r="AI118" s="71">
        <f ca="1">IF(C118=1,(('Reeksen (N)'!BF50*(F118-G118+F118)/2)+((L118-M118+L118)/2*'Reeksen (N)'!BG50))*12,0)</f>
        <v>0</v>
      </c>
      <c r="AJ118" s="71">
        <f ca="1">-AI118*'Invoer gegevens (N)'!$I$26</f>
        <v>0</v>
      </c>
      <c r="AK118" s="71">
        <f t="shared" ca="1" si="11"/>
        <v>0</v>
      </c>
      <c r="AL118" s="71">
        <f ca="1">IF(C118=1,'Reeksen (N)'!AL50*((F118-G118+F118)/2)*12+'Reeksen (N)'!AM50*((L118-M118+L118)/2)*12,0)</f>
        <v>0</v>
      </c>
      <c r="AM118" s="71">
        <f ca="1">-AL118*'Invoer gegevens (N)'!$F$31</f>
        <v>0</v>
      </c>
      <c r="AN118" s="71">
        <f t="shared" ca="1" si="12"/>
        <v>0</v>
      </c>
      <c r="AO118" s="71">
        <f ca="1">IF(E118&gt;='Invoer gegevens (N)'!$C$17+'Invoer gegevens (N)'!$I$14,0,IF(C118=1,(H118+J118+N118+P118)*'Reeksen (N)'!AN50,0))</f>
        <v>0</v>
      </c>
      <c r="AP118" s="71">
        <f ca="1">-IF(C118=1,(H118+J118+N118+P118)*'Reeksen (N)'!AN49*'Hulp - basis'!$J$550,0)</f>
        <v>0</v>
      </c>
      <c r="AQ118" s="71">
        <f ca="1">-IF(C118=1,(F118+K118+L118+Q118)/2*'Invoer gegevens (N)'!$I$33*'Reeksen (N)'!J50,0)</f>
        <v>0</v>
      </c>
      <c r="AR118" s="71">
        <f ca="1">-IF(C118=1,(I118*'Invoer gegevens (N)'!$I$34)*'Reeksen (N)'!J50,0)</f>
        <v>0</v>
      </c>
      <c r="AS118" s="71">
        <f ca="1">-IF(C118=1,(F118+K118+L118+Q118)/2*'Invoer gegevens (N)'!$I$35*'Reeksen (N)'!L50,0)</f>
        <v>0</v>
      </c>
      <c r="AT118" s="71">
        <f ca="1">-IF(C118=1,IF(E118='Invoer gegevens (N)'!$C$17,'Invoer gegevens (N)'!$C$11,AD118)*'Reeksen (N)'!S50*'Invoer gegevens (N)'!$C$18*'Reeksen (N)'!P50,0)</f>
        <v>0</v>
      </c>
      <c r="AU118" s="71">
        <f ca="1">-IF(C118=1,(F118+K118+L118+Q118)/2*'Invoer gegevens (N)'!$I$36*'Reeksen (N)'!H50,0)</f>
        <v>0</v>
      </c>
      <c r="AV118" s="71">
        <f t="shared" ca="1" si="13"/>
        <v>0</v>
      </c>
      <c r="AW118" s="72">
        <f ca="1">IFERROR(IF(E118='Invoer gegevens (N)'!$C$17+'Invoer gegevens (N)'!$I$14-1,'Invoer gegevens (N)'!$I$13*K118*'Reeksen (N)'!H50,0),0)</f>
        <v>0</v>
      </c>
      <c r="AX118" s="72">
        <f ca="1">IFERROR(IF(E118='Invoer gegevens (N)'!$C$17,-'Invoer gegevens (N)'!$C$10*('Invoer gegevens (N)'!$C$30+'Invoer gegevens (N)'!$C$31)*'Reeksen (N)'!H50,0),0)</f>
        <v>0</v>
      </c>
      <c r="AY118" s="73">
        <f ca="1">IF('Invoer gegevens (N)'!$C$34=E118,'Invoer gegevens (N)'!$C$27*'Invoer gegevens (N)'!$C$10*'Invoer gegevens (N)'!$C$36*(IF('Invoer gegevens (N)'!$C$35="ja",1,'Reeksen (N)'!J50)),IF('Invoer gegevens (N)'!$C$34+1=E118,'Invoer gegevens (N)'!$C$27*'Invoer gegevens (N)'!$C$10*'Invoer gegevens (N)'!$C$37*(IF('Invoer gegevens (N)'!$C$35="ja",1,'Reeksen (N)'!J50)),0))+IF(AND(E118='Invoer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8" s="73">
        <f ca="1">AV118/(1+'Invoer gegevens (N)'!$I$12)^($D118-('Invoer gegevens (N)'!$C$17-'Invoer gegevens (N)'!$C$16))/(1+'Invoer gegevens (N)'!$C$39)^('Invoer gegevens (N)'!$C$17-'Invoer gegevens (N)'!$C$16)</f>
        <v>0</v>
      </c>
      <c r="BA118" s="73">
        <f ca="1">AW118/(1+'Invoer gegevens (N)'!$I$12)^(E118-('Invoer gegevens (N)'!$C$17-1))/(1+'Invoer gegevens (N)'!$C$39)^('Invoer gegevens (N)'!$C$17-'Invoer gegevens (N)'!$C$16)</f>
        <v>0</v>
      </c>
      <c r="BB118" s="73">
        <f ca="1">AX118/(1+'Invoer gegevens (N)'!$C$39)^('Invoer gegevens (N)'!$C$17-'Invoer gegevens (N)'!$C$16)</f>
        <v>0</v>
      </c>
      <c r="BC118" s="72">
        <f t="shared" ca="1" si="14"/>
        <v>0</v>
      </c>
      <c r="BD118" s="72">
        <f ca="1">IF(AND(E118='Invoer gegevens (N)'!$C$16,'Invoer gegevens (N)'!$C$34&lt;'Invoer gegevens (N)'!$C$16),AY118,AY118/(1+'Invoer gegevens (N)'!$C$39)^D118)</f>
        <v>0</v>
      </c>
      <c r="BE118" s="72">
        <f ca="1">IF(E118='Invoer gegevens (N)'!$C$34,-'Invoer gegevens (N)'!$I$38,0)</f>
        <v>0</v>
      </c>
      <c r="BF118" s="72">
        <f ca="1">IF(E118='Invoer gegevens (N)'!$C$17,-'Invoer gegevens (N)'!$C$19*$BC$134,0)</f>
        <v>0</v>
      </c>
      <c r="BG118" s="72">
        <f ca="1">AV118/(1+$BG$72)^($D118-('Invoer gegevens (N)'!$C$17-'Invoer gegevens (N)'!$C$16))/(1+'Invoer gegevens (N)'!$C$39)^('Invoer gegevens (N)'!$C$17-'Invoer gegevens (N)'!$C$16)+AW118/(1+$BG$72)^(E118-('Invoer gegevens (N)'!$C$17-1))/(1+'Invoer gegevens (N)'!$C$39)^('Invoer gegevens (N)'!$C$17-'Invoer gegevens (N)'!$C$16)+AX118/(1+'Invoer gegevens (N)'!$C$39)^('Invoer gegevens (N)'!$C$17-'Invoer gegevens (N)'!$C$16)+(-AY118/(1+'Invoer gegevens (N)'!$C$39)^D118)+BE118+BF118</f>
        <v>0</v>
      </c>
    </row>
    <row r="119" spans="2:59" x14ac:dyDescent="0.25">
      <c r="B119" s="70">
        <f t="shared" si="15"/>
        <v>47</v>
      </c>
      <c r="C119" s="67">
        <f ca="1">IF(AND(E119&gt;='Invoer gegevens (N)'!$C$17,E119&lt;'Invoer gegevens (N)'!$C$17+'Invoer gegevens (N)'!$I$14),1,0)</f>
        <v>1</v>
      </c>
      <c r="D119" s="68">
        <f t="shared" si="16"/>
        <v>46.5</v>
      </c>
      <c r="E119" s="108">
        <f ca="1">IF('Invoer gegevens (N)'!$C$16="","",E118+1)</f>
        <v>2065</v>
      </c>
      <c r="F119" s="84">
        <f ca="1">IF('Invoer gegevens (N)'!$C$17=E119,'Invoer gegevens (N)'!$C$10,IF(C119=1,K118,0))</f>
        <v>0</v>
      </c>
      <c r="G119" s="96">
        <f ca="1">IF(E119='Invoer gegevens (N)'!$C$17+'Invoer gegevens (N)'!$I$14,K118,IF(C119&gt;=1,F119*VLOOKUP(E119,'Reeksen (N)'!$A$5:$B$76,2),0))</f>
        <v>0</v>
      </c>
      <c r="H119" s="84">
        <f ca="1">IF(E119='Invoer gegevens (N)'!$C$17+'Invoer gegevens (N)'!$I$14,K118,(1-('Invoer gegevens (N)'!$F$20/12))*F119*MIN('Reeksen (N)'!B51,'Reeksen (N)'!D51))</f>
        <v>0</v>
      </c>
      <c r="I119" s="84">
        <f>IF('Reeksen (N)'!D51&lt;'Reeksen (N)'!B51,('Reeksen (N)'!B51-'Reeksen (N)'!D51)*F119,0)</f>
        <v>0</v>
      </c>
      <c r="J119" s="84">
        <f ca="1">IF(E119='Invoer gegevens (N)'!$C$17+'Invoer gegevens (N)'!$I$14+1,0,('Invoer gegevens (N)'!$F$20/12)*F118*MIN('Reeksen (N)'!B50,'Reeksen (N)'!D50))</f>
        <v>0</v>
      </c>
      <c r="K119" s="97">
        <f ca="1">IF(E119&gt;='Invoer gegevens (N)'!$C$17+'Invoer gegevens (N)'!$I$14,0,F119-G119)</f>
        <v>0</v>
      </c>
      <c r="L119" s="84">
        <f ca="1">IF('Invoer gegevens (N)'!$C$17=E119,0,IF(C119=1,Q118,0))</f>
        <v>0</v>
      </c>
      <c r="M119" s="96">
        <f ca="1">IF(E119='Invoer gegevens (N)'!$C$17+'Invoer gegevens (N)'!$I$14,Q118,IF(C119&gt;=1,L119*VLOOKUP(E119,'Reeksen (N)'!$A$5:$B$76,2),0))</f>
        <v>0</v>
      </c>
      <c r="N119" s="84">
        <f ca="1">IF(C119='Invoer gegevens (N)'!$C$17+'Invoer gegevens (N)'!$I$14,Q118,(1-('Invoer gegevens (N)'!$F$20/12))*L119*MIN('Reeksen (N)'!B51,'Reeksen (N)'!D51))</f>
        <v>0</v>
      </c>
      <c r="O119" s="84">
        <f>IF('Reeksen (N)'!D51&lt;'Reeksen (N)'!B51,('Reeksen (N)'!B51-'Reeksen (N)'!D51)*L119,0)</f>
        <v>0</v>
      </c>
      <c r="P119" s="84">
        <f ca="1">IF(E119='Invoer gegevens (N)'!$C$17+'Invoer gegevens (N)'!$I$14+1,0,('Invoer gegevens (N)'!$F$20/12)*L118*MIN('Reeksen (N)'!B50,'Reeksen (N)'!D50))</f>
        <v>0</v>
      </c>
      <c r="Q119" s="84">
        <f ca="1">IF(E119&gt;='Invoer gegevens (N)'!$C$17+'Invoer gegevens (N)'!$I$14,0,L119-M119+I119+O119)</f>
        <v>0</v>
      </c>
      <c r="R119" s="82">
        <f ca="1">IF('Invoer gegevens (N)'!$C$17=E119,'Invoer gegevens (N)'!$C$11,IF(C119=1,W118,0))</f>
        <v>0</v>
      </c>
      <c r="S119" s="86">
        <f ca="1">IF(E119='Invoer gegevens (N)'!$C$17+'Invoer gegevens (N)'!$I$14,W118,IF(C119&gt;=1,R119*VLOOKUP(E119,'Reeksen (N)'!$A$5:$B$76,2),0))</f>
        <v>0</v>
      </c>
      <c r="T119" s="84">
        <f ca="1">IF(E119='Invoer gegevens (N)'!$C$17+'Invoer gegevens (N)'!$I$14,W118,(1-('Invoer gegevens (N)'!$F$20/12))*R119*MIN('Reeksen (N)'!B51,'Reeksen (N)'!D51))</f>
        <v>0</v>
      </c>
      <c r="U119" s="84">
        <f>IF('Reeksen (N)'!D51&gt;='Reeksen (N)'!B51,0,IF('Reeksen (N)'!AK51&lt;='Reeksen (N)'!AE51,('Reeksen (N)'!B51-'Reeksen (N)'!D51)*R119,0))</f>
        <v>0</v>
      </c>
      <c r="V119" s="86">
        <f>IF('Reeksen (N)'!D51&gt;='Reeksen (N)'!B51,0,IF('Reeksen (N)'!AK51&gt;'Reeksen (N)'!AE51,('Reeksen (N)'!B51-'Reeksen (N)'!D51)*R119,0))</f>
        <v>0</v>
      </c>
      <c r="W119" s="97">
        <f ca="1">IF(E119&gt;='Invoer gegevens (N)'!$C$17+'Invoer gegevens (N)'!$I$14,0,R119-S119)</f>
        <v>0</v>
      </c>
      <c r="X119" s="98">
        <f ca="1">IF('Invoer gegevens (N)'!$C$17=E119,'Invoer gegevens (N)'!$C$10-'Invoer gegevens (N)'!$C$11,IF(C119=1,AC118,0))</f>
        <v>0</v>
      </c>
      <c r="Y119" s="98">
        <f ca="1">IF(E119='Invoer gegevens (N)'!$C$17+'Invoer gegevens (N)'!$I$14,AC118,IF(C119&gt;=1,X119*VLOOKUP(E119,'Reeksen (N)'!$A$5:$B$76,2),0))</f>
        <v>0</v>
      </c>
      <c r="Z119" s="98">
        <f ca="1">IF(E119='Invoer gegevens (N)'!$C$17+'Invoer gegevens (N)'!$I$14,AC118,(1-('Invoer gegevens (N)'!$F$20/12))*X119*MIN('Reeksen (N)'!B51,'Reeksen (N)'!D51))</f>
        <v>0</v>
      </c>
      <c r="AA119" s="98">
        <f>IF('Reeksen (N)'!D51&gt;='Reeksen (N)'!B51,0,IF('Reeksen (N)'!AK51&lt;='Reeksen (N)'!AE51,('Reeksen (N)'!B51-'Reeksen (N)'!D51)*X119,0))</f>
        <v>0</v>
      </c>
      <c r="AB119" s="98">
        <f>IF('Reeksen (N)'!D51&gt;='Reeksen (N)'!B51,0,IF('Reeksen (N)'!AK51&gt;'Reeksen (N)'!AE51,('Reeksen (N)'!B51-'Reeksen (N)'!D51)*X119,0))</f>
        <v>0</v>
      </c>
      <c r="AC119" s="99">
        <f ca="1">IF(E119&gt;='Invoer gegevens (N)'!$C$17+'Invoer gegevens (N)'!$I$14,0,X119-Y119)</f>
        <v>0</v>
      </c>
      <c r="AD119" s="98">
        <f ca="1">IF('Invoer gegevens (N)'!$C$17=E51,R119,IF(C51=0,0,AE118))</f>
        <v>0</v>
      </c>
      <c r="AE119" s="98">
        <f t="shared" ca="1" si="9"/>
        <v>0</v>
      </c>
      <c r="AF119" s="98">
        <f ca="1">IF('Invoer gegevens (N)'!$C$17=E51,X119,IF(C51=0,0,AG118))</f>
        <v>0</v>
      </c>
      <c r="AG119" s="98">
        <f t="shared" ca="1" si="10"/>
        <v>0</v>
      </c>
      <c r="AH119" s="66"/>
      <c r="AI119" s="71">
        <f ca="1">IF(C119=1,(('Reeksen (N)'!BF51*(F119-G119+F119)/2)+((L119-M119+L119)/2*'Reeksen (N)'!BG51))*12,0)</f>
        <v>0</v>
      </c>
      <c r="AJ119" s="71">
        <f ca="1">-AI119*'Invoer gegevens (N)'!$I$26</f>
        <v>0</v>
      </c>
      <c r="AK119" s="71">
        <f t="shared" ca="1" si="11"/>
        <v>0</v>
      </c>
      <c r="AL119" s="71">
        <f ca="1">IF(C119=1,'Reeksen (N)'!AL51*((F119-G119+F119)/2)*12+'Reeksen (N)'!AM51*((L119-M119+L119)/2)*12,0)</f>
        <v>0</v>
      </c>
      <c r="AM119" s="71">
        <f ca="1">-AL119*'Invoer gegevens (N)'!$F$31</f>
        <v>0</v>
      </c>
      <c r="AN119" s="71">
        <f t="shared" ca="1" si="12"/>
        <v>0</v>
      </c>
      <c r="AO119" s="71">
        <f ca="1">IF(E119&gt;='Invoer gegevens (N)'!$C$17+'Invoer gegevens (N)'!$I$14,0,IF(C119=1,(H119+J119+N119+P119)*'Reeksen (N)'!AN51,0))</f>
        <v>0</v>
      </c>
      <c r="AP119" s="71">
        <f ca="1">-IF(C119=1,(H119+J119+N119+P119)*'Reeksen (N)'!AN50*'Hulp - basis'!$J$550,0)</f>
        <v>0</v>
      </c>
      <c r="AQ119" s="71">
        <f ca="1">-IF(C119=1,(F119+K119+L119+Q119)/2*'Invoer gegevens (N)'!$I$33*'Reeksen (N)'!J51,0)</f>
        <v>0</v>
      </c>
      <c r="AR119" s="71">
        <f ca="1">-IF(C119=1,(I119*'Invoer gegevens (N)'!$I$34)*'Reeksen (N)'!J51,0)</f>
        <v>0</v>
      </c>
      <c r="AS119" s="71">
        <f ca="1">-IF(C119=1,(F119+K119+L119+Q119)/2*'Invoer gegevens (N)'!$I$35*'Reeksen (N)'!L51,0)</f>
        <v>0</v>
      </c>
      <c r="AT119" s="71">
        <f ca="1">-IF(C119=1,IF(E119='Invoer gegevens (N)'!$C$17,'Invoer gegevens (N)'!$C$11,AD119)*'Reeksen (N)'!S51*'Invoer gegevens (N)'!$C$18*'Reeksen (N)'!P51,0)</f>
        <v>0</v>
      </c>
      <c r="AU119" s="71">
        <f ca="1">-IF(C119=1,(F119+K119+L119+Q119)/2*'Invoer gegevens (N)'!$I$36*'Reeksen (N)'!H51,0)</f>
        <v>0</v>
      </c>
      <c r="AV119" s="71">
        <f t="shared" ca="1" si="13"/>
        <v>0</v>
      </c>
      <c r="AW119" s="72">
        <f ca="1">IFERROR(IF(E119='Invoer gegevens (N)'!$C$17+'Invoer gegevens (N)'!$I$14-1,'Invoer gegevens (N)'!$I$13*K119*'Reeksen (N)'!H51,0),0)</f>
        <v>0</v>
      </c>
      <c r="AX119" s="72">
        <f ca="1">IFERROR(IF(E119='Invoer gegevens (N)'!$C$17,-'Invoer gegevens (N)'!$C$10*('Invoer gegevens (N)'!$C$30+'Invoer gegevens (N)'!$C$31)*'Reeksen (N)'!H51,0),0)</f>
        <v>0</v>
      </c>
      <c r="AY119" s="73">
        <f ca="1">IF('Invoer gegevens (N)'!$C$34=E119,'Invoer gegevens (N)'!$C$27*'Invoer gegevens (N)'!$C$10*'Invoer gegevens (N)'!$C$36*(IF('Invoer gegevens (N)'!$C$35="ja",1,'Reeksen (N)'!J51)),IF('Invoer gegevens (N)'!$C$34+1=E119,'Invoer gegevens (N)'!$C$27*'Invoer gegevens (N)'!$C$10*'Invoer gegevens (N)'!$C$37*(IF('Invoer gegevens (N)'!$C$35="ja",1,'Reeksen (N)'!J51)),0))+IF(AND(E119='Invoer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19" s="73">
        <f ca="1">AV119/(1+'Invoer gegevens (N)'!$I$12)^($D119-('Invoer gegevens (N)'!$C$17-'Invoer gegevens (N)'!$C$16))/(1+'Invoer gegevens (N)'!$C$39)^('Invoer gegevens (N)'!$C$17-'Invoer gegevens (N)'!$C$16)</f>
        <v>0</v>
      </c>
      <c r="BA119" s="73">
        <f ca="1">AW119/(1+'Invoer gegevens (N)'!$I$12)^(E119-('Invoer gegevens (N)'!$C$17-1))/(1+'Invoer gegevens (N)'!$C$39)^('Invoer gegevens (N)'!$C$17-'Invoer gegevens (N)'!$C$16)</f>
        <v>0</v>
      </c>
      <c r="BB119" s="73">
        <f ca="1">AX119/(1+'Invoer gegevens (N)'!$C$39)^('Invoer gegevens (N)'!$C$17-'Invoer gegevens (N)'!$C$16)</f>
        <v>0</v>
      </c>
      <c r="BC119" s="72">
        <f t="shared" ca="1" si="14"/>
        <v>0</v>
      </c>
      <c r="BD119" s="72">
        <f ca="1">IF(AND(E119='Invoer gegevens (N)'!$C$16,'Invoer gegevens (N)'!$C$34&lt;'Invoer gegevens (N)'!$C$16),AY119,AY119/(1+'Invoer gegevens (N)'!$C$39)^D119)</f>
        <v>0</v>
      </c>
      <c r="BE119" s="72">
        <f ca="1">IF(E119='Invoer gegevens (N)'!$C$34,-'Invoer gegevens (N)'!$I$38,0)</f>
        <v>0</v>
      </c>
      <c r="BF119" s="72">
        <f ca="1">IF(E119='Invoer gegevens (N)'!$C$17,-'Invoer gegevens (N)'!$C$19*$BC$134,0)</f>
        <v>0</v>
      </c>
      <c r="BG119" s="72">
        <f ca="1">AV119/(1+$BG$72)^($D119-('Invoer gegevens (N)'!$C$17-'Invoer gegevens (N)'!$C$16))/(1+'Invoer gegevens (N)'!$C$39)^('Invoer gegevens (N)'!$C$17-'Invoer gegevens (N)'!$C$16)+AW119/(1+$BG$72)^(E119-('Invoer gegevens (N)'!$C$17-1))/(1+'Invoer gegevens (N)'!$C$39)^('Invoer gegevens (N)'!$C$17-'Invoer gegevens (N)'!$C$16)+AX119/(1+'Invoer gegevens (N)'!$C$39)^('Invoer gegevens (N)'!$C$17-'Invoer gegevens (N)'!$C$16)+(-AY119/(1+'Invoer gegevens (N)'!$C$39)^D119)+BE119+BF119</f>
        <v>0</v>
      </c>
    </row>
    <row r="120" spans="2:59" x14ac:dyDescent="0.25">
      <c r="B120" s="70">
        <f t="shared" si="15"/>
        <v>48</v>
      </c>
      <c r="C120" s="67">
        <f ca="1">IF(AND(E120&gt;='Invoer gegevens (N)'!$C$17,E120&lt;'Invoer gegevens (N)'!$C$17+'Invoer gegevens (N)'!$I$14),1,0)</f>
        <v>1</v>
      </c>
      <c r="D120" s="68">
        <f t="shared" si="16"/>
        <v>47.5</v>
      </c>
      <c r="E120" s="108">
        <f ca="1">IF('Invoer gegevens (N)'!$C$16="","",E119+1)</f>
        <v>2066</v>
      </c>
      <c r="F120" s="84">
        <f ca="1">IF('Invoer gegevens (N)'!$C$17=E120,'Invoer gegevens (N)'!$C$10,IF(C120=1,K119,0))</f>
        <v>0</v>
      </c>
      <c r="G120" s="96">
        <f ca="1">IF(E120='Invoer gegevens (N)'!$C$17+'Invoer gegevens (N)'!$I$14,K119,IF(C120&gt;=1,F120*VLOOKUP(E120,'Reeksen (N)'!$A$5:$B$76,2),0))</f>
        <v>0</v>
      </c>
      <c r="H120" s="84">
        <f ca="1">IF(E120='Invoer gegevens (N)'!$C$17+'Invoer gegevens (N)'!$I$14,K119,(1-('Invoer gegevens (N)'!$F$20/12))*F120*MIN('Reeksen (N)'!B52,'Reeksen (N)'!D52))</f>
        <v>0</v>
      </c>
      <c r="I120" s="84">
        <f>IF('Reeksen (N)'!D52&lt;'Reeksen (N)'!B52,('Reeksen (N)'!B52-'Reeksen (N)'!D52)*F120,0)</f>
        <v>0</v>
      </c>
      <c r="J120" s="84">
        <f ca="1">IF(E120='Invoer gegevens (N)'!$C$17+'Invoer gegevens (N)'!$I$14+1,0,('Invoer gegevens (N)'!$F$20/12)*F119*MIN('Reeksen (N)'!B51,'Reeksen (N)'!D51))</f>
        <v>0</v>
      </c>
      <c r="K120" s="97">
        <f ca="1">IF(E120&gt;='Invoer gegevens (N)'!$C$17+'Invoer gegevens (N)'!$I$14,0,F120-G120)</f>
        <v>0</v>
      </c>
      <c r="L120" s="84">
        <f ca="1">IF('Invoer gegevens (N)'!$C$17=E120,0,IF(C120=1,Q119,0))</f>
        <v>0</v>
      </c>
      <c r="M120" s="96">
        <f ca="1">IF(E120='Invoer gegevens (N)'!$C$17+'Invoer gegevens (N)'!$I$14,Q119,IF(C120&gt;=1,L120*VLOOKUP(E120,'Reeksen (N)'!$A$5:$B$76,2),0))</f>
        <v>0</v>
      </c>
      <c r="N120" s="84">
        <f ca="1">IF(C120='Invoer gegevens (N)'!$C$17+'Invoer gegevens (N)'!$I$14,Q119,(1-('Invoer gegevens (N)'!$F$20/12))*L120*MIN('Reeksen (N)'!B52,'Reeksen (N)'!D52))</f>
        <v>0</v>
      </c>
      <c r="O120" s="84">
        <f>IF('Reeksen (N)'!D52&lt;'Reeksen (N)'!B52,('Reeksen (N)'!B52-'Reeksen (N)'!D52)*L120,0)</f>
        <v>0</v>
      </c>
      <c r="P120" s="84">
        <f ca="1">IF(E120='Invoer gegevens (N)'!$C$17+'Invoer gegevens (N)'!$I$14+1,0,('Invoer gegevens (N)'!$F$20/12)*L119*MIN('Reeksen (N)'!B51,'Reeksen (N)'!D51))</f>
        <v>0</v>
      </c>
      <c r="Q120" s="84">
        <f ca="1">IF(E120&gt;='Invoer gegevens (N)'!$C$17+'Invoer gegevens (N)'!$I$14,0,L120-M120+I120+O120)</f>
        <v>0</v>
      </c>
      <c r="R120" s="82">
        <f ca="1">IF('Invoer gegevens (N)'!$C$17=E120,'Invoer gegevens (N)'!$C$11,IF(C120=1,W119,0))</f>
        <v>0</v>
      </c>
      <c r="S120" s="86">
        <f ca="1">IF(E120='Invoer gegevens (N)'!$C$17+'Invoer gegevens (N)'!$I$14,W119,IF(C120&gt;=1,R120*VLOOKUP(E120,'Reeksen (N)'!$A$5:$B$76,2),0))</f>
        <v>0</v>
      </c>
      <c r="T120" s="84">
        <f ca="1">IF(E120='Invoer gegevens (N)'!$C$17+'Invoer gegevens (N)'!$I$14,W119,(1-('Invoer gegevens (N)'!$F$20/12))*R120*MIN('Reeksen (N)'!B52,'Reeksen (N)'!D52))</f>
        <v>0</v>
      </c>
      <c r="U120" s="84">
        <f>IF('Reeksen (N)'!D52&gt;='Reeksen (N)'!B52,0,IF('Reeksen (N)'!AK52&lt;='Reeksen (N)'!AE52,('Reeksen (N)'!B52-'Reeksen (N)'!D52)*R120,0))</f>
        <v>0</v>
      </c>
      <c r="V120" s="86">
        <f>IF('Reeksen (N)'!D52&gt;='Reeksen (N)'!B52,0,IF('Reeksen (N)'!AK52&gt;'Reeksen (N)'!AE52,('Reeksen (N)'!B52-'Reeksen (N)'!D52)*R120,0))</f>
        <v>0</v>
      </c>
      <c r="W120" s="97">
        <f ca="1">IF(E120&gt;='Invoer gegevens (N)'!$C$17+'Invoer gegevens (N)'!$I$14,0,R120-S120)</f>
        <v>0</v>
      </c>
      <c r="X120" s="98">
        <f ca="1">IF('Invoer gegevens (N)'!$C$17=E120,'Invoer gegevens (N)'!$C$10-'Invoer gegevens (N)'!$C$11,IF(C120=1,AC119,0))</f>
        <v>0</v>
      </c>
      <c r="Y120" s="98">
        <f ca="1">IF(E120='Invoer gegevens (N)'!$C$17+'Invoer gegevens (N)'!$I$14,AC119,IF(C120&gt;=1,X120*VLOOKUP(E120,'Reeksen (N)'!$A$5:$B$76,2),0))</f>
        <v>0</v>
      </c>
      <c r="Z120" s="98">
        <f ca="1">IF(E120='Invoer gegevens (N)'!$C$17+'Invoer gegevens (N)'!$I$14,AC119,(1-('Invoer gegevens (N)'!$F$20/12))*X120*MIN('Reeksen (N)'!B52,'Reeksen (N)'!D52))</f>
        <v>0</v>
      </c>
      <c r="AA120" s="98">
        <f>IF('Reeksen (N)'!D52&gt;='Reeksen (N)'!B52,0,IF('Reeksen (N)'!AK52&lt;='Reeksen (N)'!AE52,('Reeksen (N)'!B52-'Reeksen (N)'!D52)*X120,0))</f>
        <v>0</v>
      </c>
      <c r="AB120" s="98">
        <f>IF('Reeksen (N)'!D52&gt;='Reeksen (N)'!B52,0,IF('Reeksen (N)'!AK52&gt;'Reeksen (N)'!AE52,('Reeksen (N)'!B52-'Reeksen (N)'!D52)*X120,0))</f>
        <v>0</v>
      </c>
      <c r="AC120" s="99">
        <f ca="1">IF(E120&gt;='Invoer gegevens (N)'!$C$17+'Invoer gegevens (N)'!$I$14,0,X120-Y120)</f>
        <v>0</v>
      </c>
      <c r="AD120" s="98">
        <f ca="1">IF('Invoer gegevens (N)'!$C$17=E52,R120,IF(C52=0,0,AE119))</f>
        <v>0</v>
      </c>
      <c r="AE120" s="98">
        <f t="shared" ca="1" si="9"/>
        <v>0</v>
      </c>
      <c r="AF120" s="98">
        <f ca="1">IF('Invoer gegevens (N)'!$C$17=E52,X120,IF(C52=0,0,AG119))</f>
        <v>0</v>
      </c>
      <c r="AG120" s="98">
        <f t="shared" ca="1" si="10"/>
        <v>0</v>
      </c>
      <c r="AH120" s="66"/>
      <c r="AI120" s="71">
        <f ca="1">IF(C120=1,(('Reeksen (N)'!BF52*(F120-G120+F120)/2)+((L120-M120+L120)/2*'Reeksen (N)'!BG52))*12,0)</f>
        <v>0</v>
      </c>
      <c r="AJ120" s="71">
        <f ca="1">-AI120*'Invoer gegevens (N)'!$I$26</f>
        <v>0</v>
      </c>
      <c r="AK120" s="71">
        <f t="shared" ca="1" si="11"/>
        <v>0</v>
      </c>
      <c r="AL120" s="71">
        <f ca="1">IF(C120=1,'Reeksen (N)'!AL52*((F120-G120+F120)/2)*12+'Reeksen (N)'!AM52*((L120-M120+L120)/2)*12,0)</f>
        <v>0</v>
      </c>
      <c r="AM120" s="71">
        <f ca="1">-AL120*'Invoer gegevens (N)'!$F$31</f>
        <v>0</v>
      </c>
      <c r="AN120" s="71">
        <f t="shared" ca="1" si="12"/>
        <v>0</v>
      </c>
      <c r="AO120" s="71">
        <f ca="1">IF(E120&gt;='Invoer gegevens (N)'!$C$17+'Invoer gegevens (N)'!$I$14,0,IF(C120=1,(H120+J120+N120+P120)*'Reeksen (N)'!AN52,0))</f>
        <v>0</v>
      </c>
      <c r="AP120" s="71">
        <f ca="1">-IF(C120=1,(H120+J120+N120+P120)*'Reeksen (N)'!AN51*'Hulp - basis'!$J$550,0)</f>
        <v>0</v>
      </c>
      <c r="AQ120" s="71">
        <f ca="1">-IF(C120=1,(F120+K120+L120+Q120)/2*'Invoer gegevens (N)'!$I$33*'Reeksen (N)'!J52,0)</f>
        <v>0</v>
      </c>
      <c r="AR120" s="71">
        <f ca="1">-IF(C120=1,(I120*'Invoer gegevens (N)'!$I$34)*'Reeksen (N)'!J52,0)</f>
        <v>0</v>
      </c>
      <c r="AS120" s="71">
        <f ca="1">-IF(C120=1,(F120+K120+L120+Q120)/2*'Invoer gegevens (N)'!$I$35*'Reeksen (N)'!L52,0)</f>
        <v>0</v>
      </c>
      <c r="AT120" s="71">
        <f ca="1">-IF(C120=1,IF(E120='Invoer gegevens (N)'!$C$17,'Invoer gegevens (N)'!$C$11,AD120)*'Reeksen (N)'!S52*'Invoer gegevens (N)'!$C$18*'Reeksen (N)'!P52,0)</f>
        <v>0</v>
      </c>
      <c r="AU120" s="71">
        <f ca="1">-IF(C120=1,(F120+K120+L120+Q120)/2*'Invoer gegevens (N)'!$I$36*'Reeksen (N)'!H52,0)</f>
        <v>0</v>
      </c>
      <c r="AV120" s="71">
        <f t="shared" ca="1" si="13"/>
        <v>0</v>
      </c>
      <c r="AW120" s="72">
        <f ca="1">IFERROR(IF(E120='Invoer gegevens (N)'!$C$17+'Invoer gegevens (N)'!$I$14-1,'Invoer gegevens (N)'!$I$13*K120*'Reeksen (N)'!H52,0),0)</f>
        <v>0</v>
      </c>
      <c r="AX120" s="72">
        <f ca="1">IFERROR(IF(E120='Invoer gegevens (N)'!$C$17,-'Invoer gegevens (N)'!$C$10*('Invoer gegevens (N)'!$C$30+'Invoer gegevens (N)'!$C$31)*'Reeksen (N)'!H52,0),0)</f>
        <v>0</v>
      </c>
      <c r="AY120" s="73">
        <f ca="1">IF('Invoer gegevens (N)'!$C$34=E120,'Invoer gegevens (N)'!$C$27*'Invoer gegevens (N)'!$C$10*'Invoer gegevens (N)'!$C$36*(IF('Invoer gegevens (N)'!$C$35="ja",1,'Reeksen (N)'!J52)),IF('Invoer gegevens (N)'!$C$34+1=E120,'Invoer gegevens (N)'!$C$27*'Invoer gegevens (N)'!$C$10*'Invoer gegevens (N)'!$C$37*(IF('Invoer gegevens (N)'!$C$35="ja",1,'Reeksen (N)'!J52)),0))+IF(AND(E120='Invoer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0" s="73">
        <f ca="1">AV120/(1+'Invoer gegevens (N)'!$I$12)^($D120-('Invoer gegevens (N)'!$C$17-'Invoer gegevens (N)'!$C$16))/(1+'Invoer gegevens (N)'!$C$39)^('Invoer gegevens (N)'!$C$17-'Invoer gegevens (N)'!$C$16)</f>
        <v>0</v>
      </c>
      <c r="BA120" s="73">
        <f ca="1">AW120/(1+'Invoer gegevens (N)'!$I$12)^(E120-('Invoer gegevens (N)'!$C$17-1))/(1+'Invoer gegevens (N)'!$C$39)^('Invoer gegevens (N)'!$C$17-'Invoer gegevens (N)'!$C$16)</f>
        <v>0</v>
      </c>
      <c r="BB120" s="73">
        <f ca="1">AX120/(1+'Invoer gegevens (N)'!$C$39)^('Invoer gegevens (N)'!$C$17-'Invoer gegevens (N)'!$C$16)</f>
        <v>0</v>
      </c>
      <c r="BC120" s="72">
        <f t="shared" ca="1" si="14"/>
        <v>0</v>
      </c>
      <c r="BD120" s="72">
        <f ca="1">IF(AND(E120='Invoer gegevens (N)'!$C$16,'Invoer gegevens (N)'!$C$34&lt;'Invoer gegevens (N)'!$C$16),AY120,AY120/(1+'Invoer gegevens (N)'!$C$39)^D120)</f>
        <v>0</v>
      </c>
      <c r="BE120" s="72">
        <f ca="1">IF(E120='Invoer gegevens (N)'!$C$34,-'Invoer gegevens (N)'!$I$38,0)</f>
        <v>0</v>
      </c>
      <c r="BF120" s="72">
        <f ca="1">IF(E120='Invoer gegevens (N)'!$C$17,-'Invoer gegevens (N)'!$C$19*$BC$134,0)</f>
        <v>0</v>
      </c>
      <c r="BG120" s="72">
        <f ca="1">AV120/(1+$BG$72)^($D120-('Invoer gegevens (N)'!$C$17-'Invoer gegevens (N)'!$C$16))/(1+'Invoer gegevens (N)'!$C$39)^('Invoer gegevens (N)'!$C$17-'Invoer gegevens (N)'!$C$16)+AW120/(1+$BG$72)^(E120-('Invoer gegevens (N)'!$C$17-1))/(1+'Invoer gegevens (N)'!$C$39)^('Invoer gegevens (N)'!$C$17-'Invoer gegevens (N)'!$C$16)+AX120/(1+'Invoer gegevens (N)'!$C$39)^('Invoer gegevens (N)'!$C$17-'Invoer gegevens (N)'!$C$16)+(-AY120/(1+'Invoer gegevens (N)'!$C$39)^D120)+BE120+BF120</f>
        <v>0</v>
      </c>
    </row>
    <row r="121" spans="2:59" x14ac:dyDescent="0.25">
      <c r="B121" s="70">
        <f t="shared" si="15"/>
        <v>49</v>
      </c>
      <c r="C121" s="67">
        <f ca="1">IF(AND(E121&gt;='Invoer gegevens (N)'!$C$17,E121&lt;'Invoer gegevens (N)'!$C$17+'Invoer gegevens (N)'!$I$14),1,0)</f>
        <v>1</v>
      </c>
      <c r="D121" s="68">
        <f t="shared" si="16"/>
        <v>48.5</v>
      </c>
      <c r="E121" s="108">
        <f ca="1">IF('Invoer gegevens (N)'!$C$16="","",E120+1)</f>
        <v>2067</v>
      </c>
      <c r="F121" s="84">
        <f ca="1">IF('Invoer gegevens (N)'!$C$17=E121,'Invoer gegevens (N)'!$C$10,IF(C121=1,K120,0))</f>
        <v>0</v>
      </c>
      <c r="G121" s="96">
        <f ca="1">IF(E121='Invoer gegevens (N)'!$C$17+'Invoer gegevens (N)'!$I$14,K120,IF(C121&gt;=1,F121*VLOOKUP(E121,'Reeksen (N)'!$A$5:$B$76,2),0))</f>
        <v>0</v>
      </c>
      <c r="H121" s="84">
        <f ca="1">IF(E121='Invoer gegevens (N)'!$C$17+'Invoer gegevens (N)'!$I$14,K120,(1-('Invoer gegevens (N)'!$F$20/12))*F121*MIN('Reeksen (N)'!B53,'Reeksen (N)'!D53))</f>
        <v>0</v>
      </c>
      <c r="I121" s="84">
        <f>IF('Reeksen (N)'!D53&lt;'Reeksen (N)'!B53,('Reeksen (N)'!B53-'Reeksen (N)'!D53)*F121,0)</f>
        <v>0</v>
      </c>
      <c r="J121" s="84">
        <f ca="1">IF(E121='Invoer gegevens (N)'!$C$17+'Invoer gegevens (N)'!$I$14+1,0,('Invoer gegevens (N)'!$F$20/12)*F120*MIN('Reeksen (N)'!B52,'Reeksen (N)'!D52))</f>
        <v>0</v>
      </c>
      <c r="K121" s="97">
        <f ca="1">IF(E121&gt;='Invoer gegevens (N)'!$C$17+'Invoer gegevens (N)'!$I$14,0,F121-G121)</f>
        <v>0</v>
      </c>
      <c r="L121" s="84">
        <f ca="1">IF('Invoer gegevens (N)'!$C$17=E121,0,IF(C121=1,Q120,0))</f>
        <v>0</v>
      </c>
      <c r="M121" s="96">
        <f ca="1">IF(E121='Invoer gegevens (N)'!$C$17+'Invoer gegevens (N)'!$I$14,Q120,IF(C121&gt;=1,L121*VLOOKUP(E121,'Reeksen (N)'!$A$5:$B$76,2),0))</f>
        <v>0</v>
      </c>
      <c r="N121" s="84">
        <f ca="1">IF(C121='Invoer gegevens (N)'!$C$17+'Invoer gegevens (N)'!$I$14,Q120,(1-('Invoer gegevens (N)'!$F$20/12))*L121*MIN('Reeksen (N)'!B53,'Reeksen (N)'!D53))</f>
        <v>0</v>
      </c>
      <c r="O121" s="84">
        <f>IF('Reeksen (N)'!D53&lt;'Reeksen (N)'!B53,('Reeksen (N)'!B53-'Reeksen (N)'!D53)*L121,0)</f>
        <v>0</v>
      </c>
      <c r="P121" s="84">
        <f ca="1">IF(E121='Invoer gegevens (N)'!$C$17+'Invoer gegevens (N)'!$I$14+1,0,('Invoer gegevens (N)'!$F$20/12)*L120*MIN('Reeksen (N)'!B52,'Reeksen (N)'!D52))</f>
        <v>0</v>
      </c>
      <c r="Q121" s="84">
        <f ca="1">IF(E121&gt;='Invoer gegevens (N)'!$C$17+'Invoer gegevens (N)'!$I$14,0,L121-M121+I121+O121)</f>
        <v>0</v>
      </c>
      <c r="R121" s="82">
        <f ca="1">IF('Invoer gegevens (N)'!$C$17=E121,'Invoer gegevens (N)'!$C$11,IF(C121=1,W120,0))</f>
        <v>0</v>
      </c>
      <c r="S121" s="86">
        <f ca="1">IF(E121='Invoer gegevens (N)'!$C$17+'Invoer gegevens (N)'!$I$14,W120,IF(C121&gt;=1,R121*VLOOKUP(E121,'Reeksen (N)'!$A$5:$B$76,2),0))</f>
        <v>0</v>
      </c>
      <c r="T121" s="84">
        <f ca="1">IF(E121='Invoer gegevens (N)'!$C$17+'Invoer gegevens (N)'!$I$14,W120,(1-('Invoer gegevens (N)'!$F$20/12))*R121*MIN('Reeksen (N)'!B53,'Reeksen (N)'!D53))</f>
        <v>0</v>
      </c>
      <c r="U121" s="84">
        <f>IF('Reeksen (N)'!D53&gt;='Reeksen (N)'!B53,0,IF('Reeksen (N)'!AK53&lt;='Reeksen (N)'!AE53,('Reeksen (N)'!B53-'Reeksen (N)'!D53)*R121,0))</f>
        <v>0</v>
      </c>
      <c r="V121" s="86">
        <f>IF('Reeksen (N)'!D53&gt;='Reeksen (N)'!B53,0,IF('Reeksen (N)'!AK53&gt;'Reeksen (N)'!AE53,('Reeksen (N)'!B53-'Reeksen (N)'!D53)*R121,0))</f>
        <v>0</v>
      </c>
      <c r="W121" s="97">
        <f ca="1">IF(E121&gt;='Invoer gegevens (N)'!$C$17+'Invoer gegevens (N)'!$I$14,0,R121-S121)</f>
        <v>0</v>
      </c>
      <c r="X121" s="98">
        <f ca="1">IF('Invoer gegevens (N)'!$C$17=E121,'Invoer gegevens (N)'!$C$10-'Invoer gegevens (N)'!$C$11,IF(C121=1,AC120,0))</f>
        <v>0</v>
      </c>
      <c r="Y121" s="98">
        <f ca="1">IF(E121='Invoer gegevens (N)'!$C$17+'Invoer gegevens (N)'!$I$14,AC120,IF(C121&gt;=1,X121*VLOOKUP(E121,'Reeksen (N)'!$A$5:$B$76,2),0))</f>
        <v>0</v>
      </c>
      <c r="Z121" s="98">
        <f ca="1">IF(E121='Invoer gegevens (N)'!$C$17+'Invoer gegevens (N)'!$I$14,AC120,(1-('Invoer gegevens (N)'!$F$20/12))*X121*MIN('Reeksen (N)'!B53,'Reeksen (N)'!D53))</f>
        <v>0</v>
      </c>
      <c r="AA121" s="98">
        <f>IF('Reeksen (N)'!D53&gt;='Reeksen (N)'!B53,0,IF('Reeksen (N)'!AK53&lt;='Reeksen (N)'!AE53,('Reeksen (N)'!B53-'Reeksen (N)'!D53)*X121,0))</f>
        <v>0</v>
      </c>
      <c r="AB121" s="98">
        <f>IF('Reeksen (N)'!D53&gt;='Reeksen (N)'!B53,0,IF('Reeksen (N)'!AK53&gt;'Reeksen (N)'!AE53,('Reeksen (N)'!B53-'Reeksen (N)'!D53)*X121,0))</f>
        <v>0</v>
      </c>
      <c r="AC121" s="99">
        <f ca="1">IF(E121&gt;='Invoer gegevens (N)'!$C$17+'Invoer gegevens (N)'!$I$14,0,X121-Y121)</f>
        <v>0</v>
      </c>
      <c r="AD121" s="98">
        <f ca="1">IF('Invoer gegevens (N)'!$C$17=E53,R121,IF(C53=0,0,AE120))</f>
        <v>0</v>
      </c>
      <c r="AE121" s="98">
        <f t="shared" ca="1" si="9"/>
        <v>0</v>
      </c>
      <c r="AF121" s="98">
        <f ca="1">IF('Invoer gegevens (N)'!$C$17=E53,X121,IF(C53=0,0,AG120))</f>
        <v>0</v>
      </c>
      <c r="AG121" s="98">
        <f t="shared" ca="1" si="10"/>
        <v>0</v>
      </c>
      <c r="AH121" s="66"/>
      <c r="AI121" s="71">
        <f ca="1">IF(C121=1,(('Reeksen (N)'!BF53*(F121-G121+F121)/2)+((L121-M121+L121)/2*'Reeksen (N)'!BG53))*12,0)</f>
        <v>0</v>
      </c>
      <c r="AJ121" s="71">
        <f ca="1">-AI121*'Invoer gegevens (N)'!$I$26</f>
        <v>0</v>
      </c>
      <c r="AK121" s="71">
        <f t="shared" ca="1" si="11"/>
        <v>0</v>
      </c>
      <c r="AL121" s="71">
        <f ca="1">IF(C121=1,'Reeksen (N)'!AL53*((F121-G121+F121)/2)*12+'Reeksen (N)'!AM53*((L121-M121+L121)/2)*12,0)</f>
        <v>0</v>
      </c>
      <c r="AM121" s="71">
        <f ca="1">-AL121*'Invoer gegevens (N)'!$F$31</f>
        <v>0</v>
      </c>
      <c r="AN121" s="71">
        <f t="shared" ca="1" si="12"/>
        <v>0</v>
      </c>
      <c r="AO121" s="71">
        <f ca="1">IF(E121&gt;='Invoer gegevens (N)'!$C$17+'Invoer gegevens (N)'!$I$14,0,IF(C121=1,(H121+J121+N121+P121)*'Reeksen (N)'!AN53,0))</f>
        <v>0</v>
      </c>
      <c r="AP121" s="71">
        <f ca="1">-IF(C121=1,(H121+J121+N121+P121)*'Reeksen (N)'!AN52*'Hulp - basis'!$J$550,0)</f>
        <v>0</v>
      </c>
      <c r="AQ121" s="71">
        <f ca="1">-IF(C121=1,(F121+K121+L121+Q121)/2*'Invoer gegevens (N)'!$I$33*'Reeksen (N)'!J53,0)</f>
        <v>0</v>
      </c>
      <c r="AR121" s="71">
        <f ca="1">-IF(C121=1,(I121*'Invoer gegevens (N)'!$I$34)*'Reeksen (N)'!J53,0)</f>
        <v>0</v>
      </c>
      <c r="AS121" s="71">
        <f ca="1">-IF(C121=1,(F121+K121+L121+Q121)/2*'Invoer gegevens (N)'!$I$35*'Reeksen (N)'!L53,0)</f>
        <v>0</v>
      </c>
      <c r="AT121" s="71">
        <f ca="1">-IF(C121=1,IF(E121='Invoer gegevens (N)'!$C$17,'Invoer gegevens (N)'!$C$11,AD121)*'Reeksen (N)'!S53*'Invoer gegevens (N)'!$C$18*'Reeksen (N)'!P53,0)</f>
        <v>0</v>
      </c>
      <c r="AU121" s="71">
        <f ca="1">-IF(C121=1,(F121+K121+L121+Q121)/2*'Invoer gegevens (N)'!$I$36*'Reeksen (N)'!H53,0)</f>
        <v>0</v>
      </c>
      <c r="AV121" s="71">
        <f t="shared" ca="1" si="13"/>
        <v>0</v>
      </c>
      <c r="AW121" s="72">
        <f ca="1">IFERROR(IF(E121='Invoer gegevens (N)'!$C$17+'Invoer gegevens (N)'!$I$14-1,'Invoer gegevens (N)'!$I$13*K121*'Reeksen (N)'!H53,0),0)</f>
        <v>0</v>
      </c>
      <c r="AX121" s="72">
        <f ca="1">IFERROR(IF(E121='Invoer gegevens (N)'!$C$17,-'Invoer gegevens (N)'!$C$10*('Invoer gegevens (N)'!$C$30+'Invoer gegevens (N)'!$C$31)*'Reeksen (N)'!H53,0),0)</f>
        <v>0</v>
      </c>
      <c r="AY121" s="73">
        <f ca="1">IF('Invoer gegevens (N)'!$C$34=E121,'Invoer gegevens (N)'!$C$27*'Invoer gegevens (N)'!$C$10*'Invoer gegevens (N)'!$C$36*(IF('Invoer gegevens (N)'!$C$35="ja",1,'Reeksen (N)'!J53)),IF('Invoer gegevens (N)'!$C$34+1=E121,'Invoer gegevens (N)'!$C$27*'Invoer gegevens (N)'!$C$10*'Invoer gegevens (N)'!$C$37*(IF('Invoer gegevens (N)'!$C$35="ja",1,'Reeksen (N)'!J53)),0))+IF(AND(E121='Invoer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1" s="73">
        <f ca="1">AV121/(1+'Invoer gegevens (N)'!$I$12)^($D121-('Invoer gegevens (N)'!$C$17-'Invoer gegevens (N)'!$C$16))/(1+'Invoer gegevens (N)'!$C$39)^('Invoer gegevens (N)'!$C$17-'Invoer gegevens (N)'!$C$16)</f>
        <v>0</v>
      </c>
      <c r="BA121" s="73">
        <f ca="1">AW121/(1+'Invoer gegevens (N)'!$I$12)^(E121-('Invoer gegevens (N)'!$C$17-1))/(1+'Invoer gegevens (N)'!$C$39)^('Invoer gegevens (N)'!$C$17-'Invoer gegevens (N)'!$C$16)</f>
        <v>0</v>
      </c>
      <c r="BB121" s="73">
        <f ca="1">AX121/(1+'Invoer gegevens (N)'!$C$39)^('Invoer gegevens (N)'!$C$17-'Invoer gegevens (N)'!$C$16)</f>
        <v>0</v>
      </c>
      <c r="BC121" s="72">
        <f t="shared" ca="1" si="14"/>
        <v>0</v>
      </c>
      <c r="BD121" s="72">
        <f ca="1">IF(AND(E121='Invoer gegevens (N)'!$C$16,'Invoer gegevens (N)'!$C$34&lt;'Invoer gegevens (N)'!$C$16),AY121,AY121/(1+'Invoer gegevens (N)'!$C$39)^D121)</f>
        <v>0</v>
      </c>
      <c r="BE121" s="72">
        <f ca="1">IF(E121='Invoer gegevens (N)'!$C$34,-'Invoer gegevens (N)'!$I$38,0)</f>
        <v>0</v>
      </c>
      <c r="BF121" s="72">
        <f ca="1">IF(E121='Invoer gegevens (N)'!$C$17,-'Invoer gegevens (N)'!$C$19*$BC$134,0)</f>
        <v>0</v>
      </c>
      <c r="BG121" s="72">
        <f ca="1">AV121/(1+$BG$72)^($D121-('Invoer gegevens (N)'!$C$17-'Invoer gegevens (N)'!$C$16))/(1+'Invoer gegevens (N)'!$C$39)^('Invoer gegevens (N)'!$C$17-'Invoer gegevens (N)'!$C$16)+AW121/(1+$BG$72)^(E121-('Invoer gegevens (N)'!$C$17-1))/(1+'Invoer gegevens (N)'!$C$39)^('Invoer gegevens (N)'!$C$17-'Invoer gegevens (N)'!$C$16)+AX121/(1+'Invoer gegevens (N)'!$C$39)^('Invoer gegevens (N)'!$C$17-'Invoer gegevens (N)'!$C$16)+(-AY121/(1+'Invoer gegevens (N)'!$C$39)^D121)+BE121+BF121</f>
        <v>0</v>
      </c>
    </row>
    <row r="122" spans="2:59" x14ac:dyDescent="0.25">
      <c r="B122" s="70">
        <f t="shared" si="15"/>
        <v>50</v>
      </c>
      <c r="C122" s="67">
        <f ca="1">IF(AND(E122&gt;='Invoer gegevens (N)'!$C$17,E122&lt;'Invoer gegevens (N)'!$C$17+'Invoer gegevens (N)'!$I$14),1,0)</f>
        <v>1</v>
      </c>
      <c r="D122" s="68">
        <f t="shared" si="16"/>
        <v>49.5</v>
      </c>
      <c r="E122" s="108">
        <f ca="1">IF('Invoer gegevens (N)'!$C$16="","",E121+1)</f>
        <v>2068</v>
      </c>
      <c r="F122" s="84">
        <f ca="1">IF('Invoer gegevens (N)'!$C$17=E122,'Invoer gegevens (N)'!$C$10,IF(C122=1,K121,0))</f>
        <v>0</v>
      </c>
      <c r="G122" s="96">
        <f ca="1">IF(E122='Invoer gegevens (N)'!$C$17+'Invoer gegevens (N)'!$I$14,K121,IF(C122&gt;=1,F122*VLOOKUP(E122,'Reeksen (N)'!$A$5:$B$76,2),0))</f>
        <v>0</v>
      </c>
      <c r="H122" s="84">
        <f ca="1">IF(E122='Invoer gegevens (N)'!$C$17+'Invoer gegevens (N)'!$I$14,K121,(1-('Invoer gegevens (N)'!$F$20/12))*F122*MIN('Reeksen (N)'!B54,'Reeksen (N)'!D54))</f>
        <v>0</v>
      </c>
      <c r="I122" s="84">
        <f>IF('Reeksen (N)'!D54&lt;'Reeksen (N)'!B54,('Reeksen (N)'!B54-'Reeksen (N)'!D54)*F122,0)</f>
        <v>0</v>
      </c>
      <c r="J122" s="84">
        <f ca="1">IF(E122='Invoer gegevens (N)'!$C$17+'Invoer gegevens (N)'!$I$14+1,0,('Invoer gegevens (N)'!$F$20/12)*F121*MIN('Reeksen (N)'!B53,'Reeksen (N)'!D53))</f>
        <v>0</v>
      </c>
      <c r="K122" s="97">
        <f ca="1">IF(E122&gt;='Invoer gegevens (N)'!$C$17+'Invoer gegevens (N)'!$I$14,0,F122-G122)</f>
        <v>0</v>
      </c>
      <c r="L122" s="84">
        <f ca="1">IF('Invoer gegevens (N)'!$C$17=E122,0,IF(C122=1,Q121,0))</f>
        <v>0</v>
      </c>
      <c r="M122" s="96">
        <f ca="1">IF(E122='Invoer gegevens (N)'!$C$17+'Invoer gegevens (N)'!$I$14,Q121,IF(C122&gt;=1,L122*VLOOKUP(E122,'Reeksen (N)'!$A$5:$B$76,2),0))</f>
        <v>0</v>
      </c>
      <c r="N122" s="84">
        <f ca="1">IF(C122='Invoer gegevens (N)'!$C$17+'Invoer gegevens (N)'!$I$14,Q121,(1-('Invoer gegevens (N)'!$F$20/12))*L122*MIN('Reeksen (N)'!B54,'Reeksen (N)'!D54))</f>
        <v>0</v>
      </c>
      <c r="O122" s="84">
        <f>IF('Reeksen (N)'!D54&lt;'Reeksen (N)'!B54,('Reeksen (N)'!B54-'Reeksen (N)'!D54)*L122,0)</f>
        <v>0</v>
      </c>
      <c r="P122" s="84">
        <f ca="1">IF(E122='Invoer gegevens (N)'!$C$17+'Invoer gegevens (N)'!$I$14+1,0,('Invoer gegevens (N)'!$F$20/12)*L121*MIN('Reeksen (N)'!B53,'Reeksen (N)'!D53))</f>
        <v>0</v>
      </c>
      <c r="Q122" s="84">
        <f ca="1">IF(E122&gt;='Invoer gegevens (N)'!$C$17+'Invoer gegevens (N)'!$I$14,0,L122-M122+I122+O122)</f>
        <v>0</v>
      </c>
      <c r="R122" s="82">
        <f ca="1">IF('Invoer gegevens (N)'!$C$17=E122,'Invoer gegevens (N)'!$C$11,IF(C122=1,W121,0))</f>
        <v>0</v>
      </c>
      <c r="S122" s="86">
        <f ca="1">IF(E122='Invoer gegevens (N)'!$C$17+'Invoer gegevens (N)'!$I$14,W121,IF(C122&gt;=1,R122*VLOOKUP(E122,'Reeksen (N)'!$A$5:$B$76,2),0))</f>
        <v>0</v>
      </c>
      <c r="T122" s="84">
        <f ca="1">IF(E122='Invoer gegevens (N)'!$C$17+'Invoer gegevens (N)'!$I$14,W121,(1-('Invoer gegevens (N)'!$F$20/12))*R122*MIN('Reeksen (N)'!B54,'Reeksen (N)'!D54))</f>
        <v>0</v>
      </c>
      <c r="U122" s="84">
        <f>IF('Reeksen (N)'!D54&gt;='Reeksen (N)'!B54,0,IF('Reeksen (N)'!AK54&lt;='Reeksen (N)'!AE54,('Reeksen (N)'!B54-'Reeksen (N)'!D54)*R122,0))</f>
        <v>0</v>
      </c>
      <c r="V122" s="86">
        <f>IF('Reeksen (N)'!D54&gt;='Reeksen (N)'!B54,0,IF('Reeksen (N)'!AK54&gt;'Reeksen (N)'!AE54,('Reeksen (N)'!B54-'Reeksen (N)'!D54)*R122,0))</f>
        <v>0</v>
      </c>
      <c r="W122" s="97">
        <f ca="1">IF(E122&gt;='Invoer gegevens (N)'!$C$17+'Invoer gegevens (N)'!$I$14,0,R122-S122)</f>
        <v>0</v>
      </c>
      <c r="X122" s="98">
        <f ca="1">IF('Invoer gegevens (N)'!$C$17=E122,'Invoer gegevens (N)'!$C$10-'Invoer gegevens (N)'!$C$11,IF(C122=1,AC121,0))</f>
        <v>0</v>
      </c>
      <c r="Y122" s="98">
        <f ca="1">IF(E122='Invoer gegevens (N)'!$C$17+'Invoer gegevens (N)'!$I$14,AC121,IF(C122&gt;=1,X122*VLOOKUP(E122,'Reeksen (N)'!$A$5:$B$76,2),0))</f>
        <v>0</v>
      </c>
      <c r="Z122" s="98">
        <f ca="1">IF(E122='Invoer gegevens (N)'!$C$17+'Invoer gegevens (N)'!$I$14,AC121,(1-('Invoer gegevens (N)'!$F$20/12))*X122*MIN('Reeksen (N)'!B54,'Reeksen (N)'!D54))</f>
        <v>0</v>
      </c>
      <c r="AA122" s="98">
        <f>IF('Reeksen (N)'!D54&gt;='Reeksen (N)'!B54,0,IF('Reeksen (N)'!AK54&lt;='Reeksen (N)'!AE54,('Reeksen (N)'!B54-'Reeksen (N)'!D54)*X122,0))</f>
        <v>0</v>
      </c>
      <c r="AB122" s="98">
        <f>IF('Reeksen (N)'!D54&gt;='Reeksen (N)'!B54,0,IF('Reeksen (N)'!AK54&gt;'Reeksen (N)'!AE54,('Reeksen (N)'!B54-'Reeksen (N)'!D54)*X122,0))</f>
        <v>0</v>
      </c>
      <c r="AC122" s="99">
        <f ca="1">IF(E122&gt;='Invoer gegevens (N)'!$C$17+'Invoer gegevens (N)'!$I$14,0,X122-Y122)</f>
        <v>0</v>
      </c>
      <c r="AD122" s="98">
        <f ca="1">IF('Invoer gegevens (N)'!$C$17=E54,R122,IF(C54=0,0,AE121))</f>
        <v>0</v>
      </c>
      <c r="AE122" s="98">
        <f t="shared" ca="1" si="9"/>
        <v>0</v>
      </c>
      <c r="AF122" s="98">
        <f ca="1">IF('Invoer gegevens (N)'!$C$17=E54,X122,IF(C54=0,0,AG121))</f>
        <v>0</v>
      </c>
      <c r="AG122" s="98">
        <f t="shared" ca="1" si="10"/>
        <v>0</v>
      </c>
      <c r="AH122" s="66"/>
      <c r="AI122" s="71">
        <f ca="1">IF(C122=1,(('Reeksen (N)'!BF54*(F122-G122+F122)/2)+((L122-M122+L122)/2*'Reeksen (N)'!BG54))*12,0)</f>
        <v>0</v>
      </c>
      <c r="AJ122" s="71">
        <f ca="1">-AI122*'Invoer gegevens (N)'!$I$26</f>
        <v>0</v>
      </c>
      <c r="AK122" s="71">
        <f t="shared" ca="1" si="11"/>
        <v>0</v>
      </c>
      <c r="AL122" s="71">
        <f ca="1">IF(C122=1,'Reeksen (N)'!AL54*((F122-G122+F122)/2)*12+'Reeksen (N)'!AM54*((L122-M122+L122)/2)*12,0)</f>
        <v>0</v>
      </c>
      <c r="AM122" s="71">
        <f ca="1">-AL122*'Invoer gegevens (N)'!$F$31</f>
        <v>0</v>
      </c>
      <c r="AN122" s="71">
        <f t="shared" ca="1" si="12"/>
        <v>0</v>
      </c>
      <c r="AO122" s="71">
        <f ca="1">IF(E122&gt;='Invoer gegevens (N)'!$C$17+'Invoer gegevens (N)'!$I$14,0,IF(C122=1,(H122+J122+N122+P122)*'Reeksen (N)'!AN54,0))</f>
        <v>0</v>
      </c>
      <c r="AP122" s="71">
        <f ca="1">-IF(C122=1,(H122+J122+N122+P122)*'Reeksen (N)'!AN53*'Hulp - basis'!$J$550,0)</f>
        <v>0</v>
      </c>
      <c r="AQ122" s="71">
        <f ca="1">-IF(C122=1,(F122+K122+L122+Q122)/2*'Invoer gegevens (N)'!$I$33*'Reeksen (N)'!J54,0)</f>
        <v>0</v>
      </c>
      <c r="AR122" s="71">
        <f ca="1">-IF(C122=1,(I122*'Invoer gegevens (N)'!$I$34)*'Reeksen (N)'!J54,0)</f>
        <v>0</v>
      </c>
      <c r="AS122" s="71">
        <f ca="1">-IF(C122=1,(F122+K122+L122+Q122)/2*'Invoer gegevens (N)'!$I$35*'Reeksen (N)'!L54,0)</f>
        <v>0</v>
      </c>
      <c r="AT122" s="71">
        <f ca="1">-IF(C122=1,IF(E122='Invoer gegevens (N)'!$C$17,'Invoer gegevens (N)'!$C$11,AD122)*'Reeksen (N)'!S54*'Invoer gegevens (N)'!$C$18*'Reeksen (N)'!P54,0)</f>
        <v>0</v>
      </c>
      <c r="AU122" s="71">
        <f ca="1">-IF(C122=1,(F122+K122+L122+Q122)/2*'Invoer gegevens (N)'!$I$36*'Reeksen (N)'!H54,0)</f>
        <v>0</v>
      </c>
      <c r="AV122" s="71">
        <f t="shared" ca="1" si="13"/>
        <v>0</v>
      </c>
      <c r="AW122" s="72">
        <f ca="1">IFERROR(IF(E122='Invoer gegevens (N)'!$C$17+'Invoer gegevens (N)'!$I$14-1,'Invoer gegevens (N)'!$I$13*K122*'Reeksen (N)'!H54,0),0)</f>
        <v>0</v>
      </c>
      <c r="AX122" s="72">
        <f ca="1">IFERROR(IF(E122='Invoer gegevens (N)'!$C$17,-'Invoer gegevens (N)'!$C$10*('Invoer gegevens (N)'!$C$30+'Invoer gegevens (N)'!$C$31)*'Reeksen (N)'!H54,0),0)</f>
        <v>0</v>
      </c>
      <c r="AY122" s="73">
        <f ca="1">IF('Invoer gegevens (N)'!$C$34=E122,'Invoer gegevens (N)'!$C$27*'Invoer gegevens (N)'!$C$10*'Invoer gegevens (N)'!$C$36*(IF('Invoer gegevens (N)'!$C$35="ja",1,'Reeksen (N)'!J54)),IF('Invoer gegevens (N)'!$C$34+1=E122,'Invoer gegevens (N)'!$C$27*'Invoer gegevens (N)'!$C$10*'Invoer gegevens (N)'!$C$37*(IF('Invoer gegevens (N)'!$C$35="ja",1,'Reeksen (N)'!J54)),0))+IF(AND(E122='Invoer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2" s="73">
        <f ca="1">AV122/(1+'Invoer gegevens (N)'!$I$12)^($D122-('Invoer gegevens (N)'!$C$17-'Invoer gegevens (N)'!$C$16))/(1+'Invoer gegevens (N)'!$C$39)^('Invoer gegevens (N)'!$C$17-'Invoer gegevens (N)'!$C$16)</f>
        <v>0</v>
      </c>
      <c r="BA122" s="73">
        <f ca="1">AW122/(1+'Invoer gegevens (N)'!$I$12)^(E122-('Invoer gegevens (N)'!$C$17-1))/(1+'Invoer gegevens (N)'!$C$39)^('Invoer gegevens (N)'!$C$17-'Invoer gegevens (N)'!$C$16)</f>
        <v>0</v>
      </c>
      <c r="BB122" s="73">
        <f ca="1">AX122/(1+'Invoer gegevens (N)'!$C$39)^('Invoer gegevens (N)'!$C$17-'Invoer gegevens (N)'!$C$16)</f>
        <v>0</v>
      </c>
      <c r="BC122" s="72">
        <f t="shared" ca="1" si="14"/>
        <v>0</v>
      </c>
      <c r="BD122" s="72">
        <f ca="1">IF(AND(E122='Invoer gegevens (N)'!$C$16,'Invoer gegevens (N)'!$C$34&lt;'Invoer gegevens (N)'!$C$16),AY122,AY122/(1+'Invoer gegevens (N)'!$C$39)^D122)</f>
        <v>0</v>
      </c>
      <c r="BE122" s="72">
        <f ca="1">IF(E122='Invoer gegevens (N)'!$C$34,-'Invoer gegevens (N)'!$I$38,0)</f>
        <v>0</v>
      </c>
      <c r="BF122" s="72">
        <f ca="1">IF(E122='Invoer gegevens (N)'!$C$17,-'Invoer gegevens (N)'!$C$19*$BC$134,0)</f>
        <v>0</v>
      </c>
      <c r="BG122" s="72">
        <f ca="1">AV122/(1+$BG$72)^($D122-('Invoer gegevens (N)'!$C$17-'Invoer gegevens (N)'!$C$16))/(1+'Invoer gegevens (N)'!$C$39)^('Invoer gegevens (N)'!$C$17-'Invoer gegevens (N)'!$C$16)+AW122/(1+$BG$72)^(E122-('Invoer gegevens (N)'!$C$17-1))/(1+'Invoer gegevens (N)'!$C$39)^('Invoer gegevens (N)'!$C$17-'Invoer gegevens (N)'!$C$16)+AX122/(1+'Invoer gegevens (N)'!$C$39)^('Invoer gegevens (N)'!$C$17-'Invoer gegevens (N)'!$C$16)+(-AY122/(1+'Invoer gegevens (N)'!$C$39)^D122)+BE122+BF122</f>
        <v>0</v>
      </c>
    </row>
    <row r="123" spans="2:59" x14ac:dyDescent="0.25">
      <c r="B123" s="70">
        <f t="shared" si="15"/>
        <v>51</v>
      </c>
      <c r="C123" s="67">
        <f ca="1">IF(AND(E123&gt;='Invoer gegevens (N)'!$C$17,E123&lt;'Invoer gegevens (N)'!$C$17+'Invoer gegevens (N)'!$I$14),1,0)</f>
        <v>0</v>
      </c>
      <c r="D123" s="68">
        <f t="shared" si="16"/>
        <v>50.5</v>
      </c>
      <c r="E123" s="108">
        <f ca="1">IF('Invoer gegevens (N)'!$C$16="","",E122+1)</f>
        <v>2069</v>
      </c>
      <c r="F123" s="84">
        <f ca="1">IF('Invoer gegevens (N)'!$C$17=E123,'Invoer gegevens (N)'!$C$10,IF(C123=1,K122,0))</f>
        <v>0</v>
      </c>
      <c r="G123" s="96">
        <f ca="1">IF(E123='Invoer gegevens (N)'!$C$17+'Invoer gegevens (N)'!$I$14,K122,IF(C123&gt;=1,F123*VLOOKUP(E123,'Reeksen (N)'!$A$5:$B$76,2),0))</f>
        <v>0</v>
      </c>
      <c r="H123" s="84">
        <f ca="1">IF(E123='Invoer gegevens (N)'!$C$17+'Invoer gegevens (N)'!$I$14,K122,(1-('Invoer gegevens (N)'!$F$20/12))*F123*MIN('Reeksen (N)'!B55,'Reeksen (N)'!D55))</f>
        <v>0</v>
      </c>
      <c r="I123" s="84">
        <f>IF('Reeksen (N)'!D55&lt;'Reeksen (N)'!B55,('Reeksen (N)'!B55-'Reeksen (N)'!D55)*F123,0)</f>
        <v>0</v>
      </c>
      <c r="J123" s="84">
        <f ca="1">IF(E123='Invoer gegevens (N)'!$C$17+'Invoer gegevens (N)'!$I$14+1,0,('Invoer gegevens (N)'!$F$20/12)*F122*MIN('Reeksen (N)'!B54,'Reeksen (N)'!D54))</f>
        <v>0</v>
      </c>
      <c r="K123" s="97">
        <f ca="1">IF(E123&gt;='Invoer gegevens (N)'!$C$17+'Invoer gegevens (N)'!$I$14,0,F123-G123)</f>
        <v>0</v>
      </c>
      <c r="L123" s="84">
        <f ca="1">IF('Invoer gegevens (N)'!$C$17=E123,0,IF(C123=1,Q122,0))</f>
        <v>0</v>
      </c>
      <c r="M123" s="96">
        <f ca="1">IF(E123='Invoer gegevens (N)'!$C$17+'Invoer gegevens (N)'!$I$14,Q122,IF(C123&gt;=1,L123*VLOOKUP(E123,'Reeksen (N)'!$A$5:$B$76,2),0))</f>
        <v>0</v>
      </c>
      <c r="N123" s="84">
        <f ca="1">IF(C123='Invoer gegevens (N)'!$C$17+'Invoer gegevens (N)'!$I$14,Q122,(1-('Invoer gegevens (N)'!$F$20/12))*L123*MIN('Reeksen (N)'!B55,'Reeksen (N)'!D55))</f>
        <v>0</v>
      </c>
      <c r="O123" s="84">
        <f>IF('Reeksen (N)'!D55&lt;'Reeksen (N)'!B55,('Reeksen (N)'!B55-'Reeksen (N)'!D55)*L123,0)</f>
        <v>0</v>
      </c>
      <c r="P123" s="84">
        <f ca="1">IF(E123='Invoer gegevens (N)'!$C$17+'Invoer gegevens (N)'!$I$14+1,0,('Invoer gegevens (N)'!$F$20/12)*L122*MIN('Reeksen (N)'!B54,'Reeksen (N)'!D54))</f>
        <v>0</v>
      </c>
      <c r="Q123" s="84">
        <f ca="1">IF(E123&gt;='Invoer gegevens (N)'!$C$17+'Invoer gegevens (N)'!$I$14,0,L123-M123+I123+O123)</f>
        <v>0</v>
      </c>
      <c r="R123" s="82">
        <f ca="1">IF('Invoer gegevens (N)'!$C$17=E123,'Invoer gegevens (N)'!$C$11,IF(C123=1,W122,0))</f>
        <v>0</v>
      </c>
      <c r="S123" s="86">
        <f ca="1">IF(E123='Invoer gegevens (N)'!$C$17+'Invoer gegevens (N)'!$I$14,W122,IF(C123&gt;=1,R123*VLOOKUP(E123,'Reeksen (N)'!$A$5:$B$76,2),0))</f>
        <v>0</v>
      </c>
      <c r="T123" s="84">
        <f ca="1">IF(E123='Invoer gegevens (N)'!$C$17+'Invoer gegevens (N)'!$I$14,W122,(1-('Invoer gegevens (N)'!$F$20/12))*R123*MIN('Reeksen (N)'!B55,'Reeksen (N)'!D55))</f>
        <v>0</v>
      </c>
      <c r="U123" s="84">
        <f>IF('Reeksen (N)'!D55&gt;='Reeksen (N)'!B55,0,IF('Reeksen (N)'!AK55&lt;='Reeksen (N)'!AE55,('Reeksen (N)'!B55-'Reeksen (N)'!D55)*R123,0))</f>
        <v>0</v>
      </c>
      <c r="V123" s="86">
        <f>IF('Reeksen (N)'!D55&gt;='Reeksen (N)'!B55,0,IF('Reeksen (N)'!AK55&gt;'Reeksen (N)'!AE55,('Reeksen (N)'!B55-'Reeksen (N)'!D55)*R123,0))</f>
        <v>0</v>
      </c>
      <c r="W123" s="97">
        <f ca="1">IF(E123&gt;='Invoer gegevens (N)'!$C$17+'Invoer gegevens (N)'!$I$14,0,R123-S123)</f>
        <v>0</v>
      </c>
      <c r="X123" s="98">
        <f ca="1">IF('Invoer gegevens (N)'!$C$17=E123,'Invoer gegevens (N)'!$C$10-'Invoer gegevens (N)'!$C$11,IF(C123=1,AC122,0))</f>
        <v>0</v>
      </c>
      <c r="Y123" s="98">
        <f ca="1">IF(E123='Invoer gegevens (N)'!$C$17+'Invoer gegevens (N)'!$I$14,AC122,IF(C123&gt;=1,X123*VLOOKUP(E123,'Reeksen (N)'!$A$5:$B$76,2),0))</f>
        <v>0</v>
      </c>
      <c r="Z123" s="98">
        <f ca="1">IF(E123='Invoer gegevens (N)'!$C$17+'Invoer gegevens (N)'!$I$14,AC122,(1-('Invoer gegevens (N)'!$F$20/12))*X123*MIN('Reeksen (N)'!B55,'Reeksen (N)'!D55))</f>
        <v>0</v>
      </c>
      <c r="AA123" s="98">
        <f>IF('Reeksen (N)'!D55&gt;='Reeksen (N)'!B55,0,IF('Reeksen (N)'!AK55&lt;='Reeksen (N)'!AE55,('Reeksen (N)'!B55-'Reeksen (N)'!D55)*X123,0))</f>
        <v>0</v>
      </c>
      <c r="AB123" s="98">
        <f>IF('Reeksen (N)'!D55&gt;='Reeksen (N)'!B55,0,IF('Reeksen (N)'!AK55&gt;'Reeksen (N)'!AE55,('Reeksen (N)'!B55-'Reeksen (N)'!D55)*X123,0))</f>
        <v>0</v>
      </c>
      <c r="AC123" s="99">
        <f ca="1">IF(E123&gt;='Invoer gegevens (N)'!$C$17+'Invoer gegevens (N)'!$I$14,0,X123-Y123)</f>
        <v>0</v>
      </c>
      <c r="AD123" s="98">
        <f ca="1">IF('Invoer gegevens (N)'!$C$17=E55,R123,IF(C55=0,0,AE122))</f>
        <v>0</v>
      </c>
      <c r="AE123" s="98">
        <f t="shared" ca="1" si="9"/>
        <v>0</v>
      </c>
      <c r="AF123" s="98">
        <f ca="1">IF('Invoer gegevens (N)'!$C$17=E55,X123,IF(C55=0,0,AG122))</f>
        <v>0</v>
      </c>
      <c r="AG123" s="98">
        <f t="shared" ca="1" si="10"/>
        <v>0</v>
      </c>
      <c r="AH123" s="66"/>
      <c r="AI123" s="71">
        <f ca="1">IF(C123=1,(('Reeksen (N)'!BF55*(F123-G123+F123)/2)+((L123-M123+L123)/2*'Reeksen (N)'!BG55))*12,0)</f>
        <v>0</v>
      </c>
      <c r="AJ123" s="71">
        <f ca="1">-AI123*'Invoer gegevens (N)'!$I$26</f>
        <v>0</v>
      </c>
      <c r="AK123" s="71">
        <f t="shared" ca="1" si="11"/>
        <v>0</v>
      </c>
      <c r="AL123" s="71">
        <f ca="1">IF(C123=1,'Reeksen (N)'!AL55*((F123-G123+F123)/2)*12+'Reeksen (N)'!AM55*((L123-M123+L123)/2)*12,0)</f>
        <v>0</v>
      </c>
      <c r="AM123" s="71">
        <f ca="1">-AL123*'Invoer gegevens (N)'!$F$31</f>
        <v>0</v>
      </c>
      <c r="AN123" s="71">
        <f t="shared" ca="1" si="12"/>
        <v>0</v>
      </c>
      <c r="AO123" s="71">
        <f ca="1">IF(E123&gt;='Invoer gegevens (N)'!$C$17+'Invoer gegevens (N)'!$I$14,0,IF(C123=1,(H123+J123+N123+P123)*'Reeksen (N)'!AN55,0))</f>
        <v>0</v>
      </c>
      <c r="AP123" s="71">
        <f ca="1">-IF(C123=1,(H123+J123+N123+P123)*'Reeksen (N)'!AN54*'Hulp - basis'!$J$550,0)</f>
        <v>0</v>
      </c>
      <c r="AQ123" s="71">
        <f ca="1">-IF(C123=1,(F123+K123+L123+Q123)/2*'Invoer gegevens (N)'!$I$33*'Reeksen (N)'!J55,0)</f>
        <v>0</v>
      </c>
      <c r="AR123" s="71">
        <f ca="1">-IF(C123=1,(I123*'Invoer gegevens (N)'!$I$34)*'Reeksen (N)'!J55,0)</f>
        <v>0</v>
      </c>
      <c r="AS123" s="71">
        <f ca="1">-IF(C123=1,(F123+K123+L123+Q123)/2*'Invoer gegevens (N)'!$I$35*'Reeksen (N)'!L55,0)</f>
        <v>0</v>
      </c>
      <c r="AT123" s="71">
        <f ca="1">-IF(C123=1,IF(E123='Invoer gegevens (N)'!$C$17,'Invoer gegevens (N)'!$C$11,AD123)*'Reeksen (N)'!S55*'Invoer gegevens (N)'!$C$18*'Reeksen (N)'!P55,0)</f>
        <v>0</v>
      </c>
      <c r="AU123" s="71">
        <f ca="1">-IF(C123=1,(F123+K123+L123+Q123)/2*'Invoer gegevens (N)'!$I$36*'Reeksen (N)'!H55,0)</f>
        <v>0</v>
      </c>
      <c r="AV123" s="71">
        <f t="shared" ca="1" si="13"/>
        <v>0</v>
      </c>
      <c r="AW123" s="72">
        <f ca="1">IFERROR(IF(E123='Invoer gegevens (N)'!$C$17+'Invoer gegevens (N)'!$I$14-1,'Invoer gegevens (N)'!$I$13*K123*'Reeksen (N)'!H55,0),0)</f>
        <v>0</v>
      </c>
      <c r="AX123" s="72">
        <f ca="1">IFERROR(IF(E123='Invoer gegevens (N)'!$C$17,-'Invoer gegevens (N)'!$C$10*('Invoer gegevens (N)'!$C$30+'Invoer gegevens (N)'!$C$31)*'Reeksen (N)'!H55,0),0)</f>
        <v>0</v>
      </c>
      <c r="AY123" s="73">
        <f ca="1">IF('Invoer gegevens (N)'!$C$34=E123,'Invoer gegevens (N)'!$C$27*'Invoer gegevens (N)'!$C$10*'Invoer gegevens (N)'!$C$36*(IF('Invoer gegevens (N)'!$C$35="ja",1,'Reeksen (N)'!J55)),IF('Invoer gegevens (N)'!$C$34+1=E123,'Invoer gegevens (N)'!$C$27*'Invoer gegevens (N)'!$C$10*'Invoer gegevens (N)'!$C$37*(IF('Invoer gegevens (N)'!$C$35="ja",1,'Reeksen (N)'!J55)),0))+IF(AND(E123='Invoer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3" s="73">
        <f ca="1">AV123/(1+'Invoer gegevens (N)'!$I$12)^($D123-('Invoer gegevens (N)'!$C$17-'Invoer gegevens (N)'!$C$16))/(1+'Invoer gegevens (N)'!$C$39)^('Invoer gegevens (N)'!$C$17-'Invoer gegevens (N)'!$C$16)</f>
        <v>0</v>
      </c>
      <c r="BA123" s="73">
        <f ca="1">AW123/(1+'Invoer gegevens (N)'!$I$12)^(E123-('Invoer gegevens (N)'!$C$17-1))/(1+'Invoer gegevens (N)'!$C$39)^('Invoer gegevens (N)'!$C$17-'Invoer gegevens (N)'!$C$16)</f>
        <v>0</v>
      </c>
      <c r="BB123" s="73">
        <f ca="1">AX123/(1+'Invoer gegevens (N)'!$C$39)^('Invoer gegevens (N)'!$C$17-'Invoer gegevens (N)'!$C$16)</f>
        <v>0</v>
      </c>
      <c r="BC123" s="72">
        <f t="shared" ca="1" si="14"/>
        <v>0</v>
      </c>
      <c r="BD123" s="72">
        <f ca="1">IF(AND(E123='Invoer gegevens (N)'!$C$16,'Invoer gegevens (N)'!$C$34&lt;'Invoer gegevens (N)'!$C$16),AY123,AY123/(1+'Invoer gegevens (N)'!$C$39)^D123)</f>
        <v>0</v>
      </c>
      <c r="BE123" s="72">
        <f ca="1">IF(E123='Invoer gegevens (N)'!$C$34,-'Invoer gegevens (N)'!$I$38,0)</f>
        <v>0</v>
      </c>
      <c r="BF123" s="72">
        <f ca="1">IF(E123='Invoer gegevens (N)'!$C$17,-'Invoer gegevens (N)'!$C$19*$BC$134,0)</f>
        <v>0</v>
      </c>
      <c r="BG123" s="72">
        <f ca="1">AV123/(1+$BG$72)^($D123-('Invoer gegevens (N)'!$C$17-'Invoer gegevens (N)'!$C$16))/(1+'Invoer gegevens (N)'!$C$39)^('Invoer gegevens (N)'!$C$17-'Invoer gegevens (N)'!$C$16)+AW123/(1+$BG$72)^(E123-('Invoer gegevens (N)'!$C$17-1))/(1+'Invoer gegevens (N)'!$C$39)^('Invoer gegevens (N)'!$C$17-'Invoer gegevens (N)'!$C$16)+AX123/(1+'Invoer gegevens (N)'!$C$39)^('Invoer gegevens (N)'!$C$17-'Invoer gegevens (N)'!$C$16)+(-AY123/(1+'Invoer gegevens (N)'!$C$39)^D123)+BE123+BF123</f>
        <v>0</v>
      </c>
    </row>
    <row r="124" spans="2:59" x14ac:dyDescent="0.25">
      <c r="B124" s="70">
        <f t="shared" si="15"/>
        <v>52</v>
      </c>
      <c r="C124" s="67">
        <f ca="1">IF(AND(E124&gt;='Invoer gegevens (N)'!$C$17,E124&lt;'Invoer gegevens (N)'!$C$17+'Invoer gegevens (N)'!$I$14),1,0)</f>
        <v>0</v>
      </c>
      <c r="D124" s="68">
        <f t="shared" si="16"/>
        <v>51.5</v>
      </c>
      <c r="E124" s="108">
        <f ca="1">IF('Invoer gegevens (N)'!$C$16="","",E123+1)</f>
        <v>2070</v>
      </c>
      <c r="F124" s="84">
        <f ca="1">IF('Invoer gegevens (N)'!$C$17=E124,'Invoer gegevens (N)'!$C$10,IF(C124=1,K123,0))</f>
        <v>0</v>
      </c>
      <c r="G124" s="96">
        <f ca="1">IF(E124='Invoer gegevens (N)'!$C$17+'Invoer gegevens (N)'!$I$14,K123,IF(C124&gt;=1,F124*VLOOKUP(E124,'Reeksen (N)'!$A$5:$B$76,2),0))</f>
        <v>0</v>
      </c>
      <c r="H124" s="84">
        <f ca="1">IF(E124='Invoer gegevens (N)'!$C$17+'Invoer gegevens (N)'!$I$14,K123,(1-('Invoer gegevens (N)'!$F$20/12))*F124*MIN('Reeksen (N)'!B56,'Reeksen (N)'!D56))</f>
        <v>0</v>
      </c>
      <c r="I124" s="84">
        <f>IF('Reeksen (N)'!D56&lt;'Reeksen (N)'!B56,('Reeksen (N)'!B56-'Reeksen (N)'!D56)*F124,0)</f>
        <v>0</v>
      </c>
      <c r="J124" s="84">
        <f ca="1">IF(E124='Invoer gegevens (N)'!$C$17+'Invoer gegevens (N)'!$I$14+1,0,('Invoer gegevens (N)'!$F$20/12)*F123*MIN('Reeksen (N)'!B55,'Reeksen (N)'!D55))</f>
        <v>0</v>
      </c>
      <c r="K124" s="97">
        <f ca="1">IF(E124&gt;='Invoer gegevens (N)'!$C$17+'Invoer gegevens (N)'!$I$14,0,F124-G124)</f>
        <v>0</v>
      </c>
      <c r="L124" s="84">
        <f ca="1">IF('Invoer gegevens (N)'!$C$17=E124,0,IF(C124=1,Q123,0))</f>
        <v>0</v>
      </c>
      <c r="M124" s="96">
        <f ca="1">IF(E124='Invoer gegevens (N)'!$C$17+'Invoer gegevens (N)'!$I$14,Q123,IF(C124&gt;=1,L124*VLOOKUP(E124,'Reeksen (N)'!$A$5:$B$76,2),0))</f>
        <v>0</v>
      </c>
      <c r="N124" s="84">
        <f ca="1">IF(C124='Invoer gegevens (N)'!$C$17+'Invoer gegevens (N)'!$I$14,Q123,(1-('Invoer gegevens (N)'!$F$20/12))*L124*MIN('Reeksen (N)'!B56,'Reeksen (N)'!D56))</f>
        <v>0</v>
      </c>
      <c r="O124" s="84">
        <f>IF('Reeksen (N)'!D56&lt;'Reeksen (N)'!B56,('Reeksen (N)'!B56-'Reeksen (N)'!D56)*L124,0)</f>
        <v>0</v>
      </c>
      <c r="P124" s="84">
        <f ca="1">IF(E124='Invoer gegevens (N)'!$C$17+'Invoer gegevens (N)'!$I$14+1,0,('Invoer gegevens (N)'!$F$20/12)*L123*MIN('Reeksen (N)'!B55,'Reeksen (N)'!D55))</f>
        <v>0</v>
      </c>
      <c r="Q124" s="84">
        <f ca="1">IF(E124&gt;='Invoer gegevens (N)'!$C$17+'Invoer gegevens (N)'!$I$14,0,L124-M124+I124+O124)</f>
        <v>0</v>
      </c>
      <c r="R124" s="82">
        <f ca="1">IF('Invoer gegevens (N)'!$C$17=E124,'Invoer gegevens (N)'!$C$11,IF(C124=1,W123,0))</f>
        <v>0</v>
      </c>
      <c r="S124" s="86">
        <f ca="1">IF(E124='Invoer gegevens (N)'!$C$17+'Invoer gegevens (N)'!$I$14,W123,IF(C124&gt;=1,R124*VLOOKUP(E124,'Reeksen (N)'!$A$5:$B$76,2),0))</f>
        <v>0</v>
      </c>
      <c r="T124" s="84">
        <f ca="1">IF(E124='Invoer gegevens (N)'!$C$17+'Invoer gegevens (N)'!$I$14,W123,(1-('Invoer gegevens (N)'!$F$20/12))*R124*MIN('Reeksen (N)'!B56,'Reeksen (N)'!D56))</f>
        <v>0</v>
      </c>
      <c r="U124" s="84">
        <f>IF('Reeksen (N)'!D56&gt;='Reeksen (N)'!B56,0,IF('Reeksen (N)'!AK56&lt;='Reeksen (N)'!AE56,('Reeksen (N)'!B56-'Reeksen (N)'!D56)*R124,0))</f>
        <v>0</v>
      </c>
      <c r="V124" s="86">
        <f>IF('Reeksen (N)'!D56&gt;='Reeksen (N)'!B56,0,IF('Reeksen (N)'!AK56&gt;'Reeksen (N)'!AE56,('Reeksen (N)'!B56-'Reeksen (N)'!D56)*R124,0))</f>
        <v>0</v>
      </c>
      <c r="W124" s="97">
        <f ca="1">IF(E124&gt;='Invoer gegevens (N)'!$C$17+'Invoer gegevens (N)'!$I$14,0,R124-S124)</f>
        <v>0</v>
      </c>
      <c r="X124" s="98">
        <f ca="1">IF('Invoer gegevens (N)'!$C$17=E124,'Invoer gegevens (N)'!$C$10-'Invoer gegevens (N)'!$C$11,IF(C124=1,AC123,0))</f>
        <v>0</v>
      </c>
      <c r="Y124" s="98">
        <f ca="1">IF(E124='Invoer gegevens (N)'!$C$17+'Invoer gegevens (N)'!$I$14,AC123,IF(C124&gt;=1,X124*VLOOKUP(E124,'Reeksen (N)'!$A$5:$B$76,2),0))</f>
        <v>0</v>
      </c>
      <c r="Z124" s="98">
        <f ca="1">IF(E124='Invoer gegevens (N)'!$C$17+'Invoer gegevens (N)'!$I$14,AC123,(1-('Invoer gegevens (N)'!$F$20/12))*X124*MIN('Reeksen (N)'!B56,'Reeksen (N)'!D56))</f>
        <v>0</v>
      </c>
      <c r="AA124" s="98">
        <f>IF('Reeksen (N)'!D56&gt;='Reeksen (N)'!B56,0,IF('Reeksen (N)'!AK56&lt;='Reeksen (N)'!AE56,('Reeksen (N)'!B56-'Reeksen (N)'!D56)*X124,0))</f>
        <v>0</v>
      </c>
      <c r="AB124" s="98">
        <f>IF('Reeksen (N)'!D56&gt;='Reeksen (N)'!B56,0,IF('Reeksen (N)'!AK56&gt;'Reeksen (N)'!AE56,('Reeksen (N)'!B56-'Reeksen (N)'!D56)*X124,0))</f>
        <v>0</v>
      </c>
      <c r="AC124" s="99">
        <f ca="1">IF(E124&gt;='Invoer gegevens (N)'!$C$17+'Invoer gegevens (N)'!$I$14,0,X124-Y124)</f>
        <v>0</v>
      </c>
      <c r="AD124" s="98">
        <f ca="1">IF('Invoer gegevens (N)'!$C$17=E56,R124,IF(C56=0,0,AE123))</f>
        <v>0</v>
      </c>
      <c r="AE124" s="98">
        <f t="shared" ca="1" si="9"/>
        <v>0</v>
      </c>
      <c r="AF124" s="98">
        <f ca="1">IF('Invoer gegevens (N)'!$C$17=E56,X124,IF(C56=0,0,AG123))</f>
        <v>0</v>
      </c>
      <c r="AG124" s="98">
        <f t="shared" ca="1" si="10"/>
        <v>0</v>
      </c>
      <c r="AH124" s="66"/>
      <c r="AI124" s="71">
        <f ca="1">IF(C124=1,(('Reeksen (N)'!BF56*(F124-G124+F124)/2)+((L124-M124+L124)/2*'Reeksen (N)'!BG56))*12,0)</f>
        <v>0</v>
      </c>
      <c r="AJ124" s="71">
        <f ca="1">-AI124*'Invoer gegevens (N)'!$I$26</f>
        <v>0</v>
      </c>
      <c r="AK124" s="71">
        <f t="shared" ca="1" si="11"/>
        <v>0</v>
      </c>
      <c r="AL124" s="71">
        <f ca="1">IF(C124=1,'Reeksen (N)'!AL56*((F124-G124+F124)/2)*12+'Reeksen (N)'!AM56*((L124-M124+L124)/2)*12,0)</f>
        <v>0</v>
      </c>
      <c r="AM124" s="71">
        <f ca="1">-AL124*'Invoer gegevens (N)'!$F$31</f>
        <v>0</v>
      </c>
      <c r="AN124" s="71">
        <f t="shared" ca="1" si="12"/>
        <v>0</v>
      </c>
      <c r="AO124" s="71">
        <f ca="1">IF(E124&gt;='Invoer gegevens (N)'!$C$17+'Invoer gegevens (N)'!$I$14,0,IF(C124=1,(H124+J124+N124+P124)*'Reeksen (N)'!AN56,0))</f>
        <v>0</v>
      </c>
      <c r="AP124" s="71">
        <f ca="1">-IF(C124=1,(H124+J124+N124+P124)*'Reeksen (N)'!AN55*'Hulp - basis'!$J$550,0)</f>
        <v>0</v>
      </c>
      <c r="AQ124" s="71">
        <f ca="1">-IF(C124=1,(F124+K124+L124+Q124)/2*'Invoer gegevens (N)'!$I$33*'Reeksen (N)'!J56,0)</f>
        <v>0</v>
      </c>
      <c r="AR124" s="71">
        <f ca="1">-IF(C124=1,(I124*'Invoer gegevens (N)'!$I$34)*'Reeksen (N)'!J56,0)</f>
        <v>0</v>
      </c>
      <c r="AS124" s="71">
        <f ca="1">-IF(C124=1,(F124+K124+L124+Q124)/2*'Invoer gegevens (N)'!$I$35*'Reeksen (N)'!L56,0)</f>
        <v>0</v>
      </c>
      <c r="AT124" s="71">
        <f ca="1">-IF(C124=1,IF(E124='Invoer gegevens (N)'!$C$17,'Invoer gegevens (N)'!$C$11,AD124)*'Reeksen (N)'!S56*'Invoer gegevens (N)'!$C$18*'Reeksen (N)'!P56,0)</f>
        <v>0</v>
      </c>
      <c r="AU124" s="71">
        <f ca="1">-IF(C124=1,(F124+K124+L124+Q124)/2*'Invoer gegevens (N)'!$I$36*'Reeksen (N)'!H56,0)</f>
        <v>0</v>
      </c>
      <c r="AV124" s="71">
        <f t="shared" ca="1" si="13"/>
        <v>0</v>
      </c>
      <c r="AW124" s="72">
        <f ca="1">IFERROR(IF(E124='Invoer gegevens (N)'!$C$17+'Invoer gegevens (N)'!$I$14-1,'Invoer gegevens (N)'!$I$13*K124*'Reeksen (N)'!H56,0),0)</f>
        <v>0</v>
      </c>
      <c r="AX124" s="72">
        <f ca="1">IFERROR(IF(E124='Invoer gegevens (N)'!$C$17,-'Invoer gegevens (N)'!$C$10*('Invoer gegevens (N)'!$C$30+'Invoer gegevens (N)'!$C$31)*'Reeksen (N)'!H56,0),0)</f>
        <v>0</v>
      </c>
      <c r="AY124" s="73">
        <f ca="1">IF('Invoer gegevens (N)'!$C$34=E124,'Invoer gegevens (N)'!$C$27*'Invoer gegevens (N)'!$C$10*'Invoer gegevens (N)'!$C$36*(IF('Invoer gegevens (N)'!$C$35="ja",1,'Reeksen (N)'!J56)),IF('Invoer gegevens (N)'!$C$34+1=E124,'Invoer gegevens (N)'!$C$27*'Invoer gegevens (N)'!$C$10*'Invoer gegevens (N)'!$C$37*(IF('Invoer gegevens (N)'!$C$35="ja",1,'Reeksen (N)'!J56)),0))+IF(AND(E124='Invoer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4" s="73">
        <f ca="1">AV124/(1+'Invoer gegevens (N)'!$I$12)^($D124-('Invoer gegevens (N)'!$C$17-'Invoer gegevens (N)'!$C$16))/(1+'Invoer gegevens (N)'!$C$39)^('Invoer gegevens (N)'!$C$17-'Invoer gegevens (N)'!$C$16)</f>
        <v>0</v>
      </c>
      <c r="BA124" s="73">
        <f ca="1">AW124/(1+'Invoer gegevens (N)'!$I$12)^(E124-('Invoer gegevens (N)'!$C$17-1))/(1+'Invoer gegevens (N)'!$C$39)^('Invoer gegevens (N)'!$C$17-'Invoer gegevens (N)'!$C$16)</f>
        <v>0</v>
      </c>
      <c r="BB124" s="73">
        <f ca="1">AX124/(1+'Invoer gegevens (N)'!$C$39)^('Invoer gegevens (N)'!$C$17-'Invoer gegevens (N)'!$C$16)</f>
        <v>0</v>
      </c>
      <c r="BC124" s="72">
        <f t="shared" ca="1" si="14"/>
        <v>0</v>
      </c>
      <c r="BD124" s="72">
        <f ca="1">IF(AND(E124='Invoer gegevens (N)'!$C$16,'Invoer gegevens (N)'!$C$34&lt;'Invoer gegevens (N)'!$C$16),AY124,AY124/(1+'Invoer gegevens (N)'!$C$39)^D124)</f>
        <v>0</v>
      </c>
      <c r="BE124" s="72">
        <f ca="1">IF(E124='Invoer gegevens (N)'!$C$34,-'Invoer gegevens (N)'!$I$38,0)</f>
        <v>0</v>
      </c>
      <c r="BF124" s="72">
        <f ca="1">IF(E124='Invoer gegevens (N)'!$C$17,-'Invoer gegevens (N)'!$C$19*$BC$134,0)</f>
        <v>0</v>
      </c>
      <c r="BG124" s="72">
        <f ca="1">AV124/(1+$BG$72)^($D124-('Invoer gegevens (N)'!$C$17-'Invoer gegevens (N)'!$C$16))/(1+'Invoer gegevens (N)'!$C$39)^('Invoer gegevens (N)'!$C$17-'Invoer gegevens (N)'!$C$16)+AW124/(1+$BG$72)^(E124-('Invoer gegevens (N)'!$C$17-1))/(1+'Invoer gegevens (N)'!$C$39)^('Invoer gegevens (N)'!$C$17-'Invoer gegevens (N)'!$C$16)+AX124/(1+'Invoer gegevens (N)'!$C$39)^('Invoer gegevens (N)'!$C$17-'Invoer gegevens (N)'!$C$16)+(-AY124/(1+'Invoer gegevens (N)'!$C$39)^D124)+BE124+BF124</f>
        <v>0</v>
      </c>
    </row>
    <row r="125" spans="2:59" x14ac:dyDescent="0.25">
      <c r="B125" s="70">
        <f t="shared" si="15"/>
        <v>53</v>
      </c>
      <c r="C125" s="67">
        <f ca="1">IF(AND(E125&gt;='Invoer gegevens (N)'!$C$17,E125&lt;'Invoer gegevens (N)'!$C$17+'Invoer gegevens (N)'!$I$14),1,0)</f>
        <v>0</v>
      </c>
      <c r="D125" s="68">
        <f t="shared" si="16"/>
        <v>52.5</v>
      </c>
      <c r="E125" s="108">
        <f ca="1">IF('Invoer gegevens (N)'!$C$16="","",E124+1)</f>
        <v>2071</v>
      </c>
      <c r="F125" s="84">
        <f ca="1">IF('Invoer gegevens (N)'!$C$17=E125,'Invoer gegevens (N)'!$C$10,IF(C125=1,K124,0))</f>
        <v>0</v>
      </c>
      <c r="G125" s="96">
        <f ca="1">IF(E125='Invoer gegevens (N)'!$C$17+'Invoer gegevens (N)'!$I$14,K124,IF(C125&gt;=1,F125*VLOOKUP(E125,'Reeksen (N)'!$A$5:$B$76,2),0))</f>
        <v>0</v>
      </c>
      <c r="H125" s="84">
        <f ca="1">IF(E125='Invoer gegevens (N)'!$C$17+'Invoer gegevens (N)'!$I$14,K124,(1-('Invoer gegevens (N)'!$F$20/12))*F125*MIN('Reeksen (N)'!B57,'Reeksen (N)'!D57))</f>
        <v>0</v>
      </c>
      <c r="I125" s="84">
        <f>IF('Reeksen (N)'!D57&lt;'Reeksen (N)'!B57,('Reeksen (N)'!B57-'Reeksen (N)'!D57)*F125,0)</f>
        <v>0</v>
      </c>
      <c r="J125" s="84">
        <f ca="1">IF(E125='Invoer gegevens (N)'!$C$17+'Invoer gegevens (N)'!$I$14+1,0,('Invoer gegevens (N)'!$F$20/12)*F124*MIN('Reeksen (N)'!B56,'Reeksen (N)'!D56))</f>
        <v>0</v>
      </c>
      <c r="K125" s="97">
        <f ca="1">IF(E125&gt;='Invoer gegevens (N)'!$C$17+'Invoer gegevens (N)'!$I$14,0,F125-G125)</f>
        <v>0</v>
      </c>
      <c r="L125" s="84">
        <f ca="1">IF('Invoer gegevens (N)'!$C$17=E125,0,IF(C125=1,Q124,0))</f>
        <v>0</v>
      </c>
      <c r="M125" s="96">
        <f ca="1">IF(E125='Invoer gegevens (N)'!$C$17+'Invoer gegevens (N)'!$I$14,Q124,IF(C125&gt;=1,L125*VLOOKUP(E125,'Reeksen (N)'!$A$5:$B$76,2),0))</f>
        <v>0</v>
      </c>
      <c r="N125" s="84">
        <f ca="1">IF(C125='Invoer gegevens (N)'!$C$17+'Invoer gegevens (N)'!$I$14,Q124,(1-('Invoer gegevens (N)'!$F$20/12))*L125*MIN('Reeksen (N)'!B57,'Reeksen (N)'!D57))</f>
        <v>0</v>
      </c>
      <c r="O125" s="84">
        <f>IF('Reeksen (N)'!D57&lt;'Reeksen (N)'!B57,('Reeksen (N)'!B57-'Reeksen (N)'!D57)*L125,0)</f>
        <v>0</v>
      </c>
      <c r="P125" s="84">
        <f ca="1">IF(E125='Invoer gegevens (N)'!$C$17+'Invoer gegevens (N)'!$I$14+1,0,('Invoer gegevens (N)'!$F$20/12)*L124*MIN('Reeksen (N)'!B56,'Reeksen (N)'!D56))</f>
        <v>0</v>
      </c>
      <c r="Q125" s="84">
        <f ca="1">IF(E125&gt;='Invoer gegevens (N)'!$C$17+'Invoer gegevens (N)'!$I$14,0,L125-M125+I125+O125)</f>
        <v>0</v>
      </c>
      <c r="R125" s="82">
        <f ca="1">IF('Invoer gegevens (N)'!$C$17=E125,'Invoer gegevens (N)'!$C$11,IF(C125=1,W124,0))</f>
        <v>0</v>
      </c>
      <c r="S125" s="86">
        <f ca="1">IF(E125='Invoer gegevens (N)'!$C$17+'Invoer gegevens (N)'!$I$14,W124,IF(C125&gt;=1,R125*VLOOKUP(E125,'Reeksen (N)'!$A$5:$B$76,2),0))</f>
        <v>0</v>
      </c>
      <c r="T125" s="84">
        <f ca="1">IF(E125='Invoer gegevens (N)'!$C$17+'Invoer gegevens (N)'!$I$14,W124,(1-('Invoer gegevens (N)'!$F$20/12))*R125*MIN('Reeksen (N)'!B57,'Reeksen (N)'!D57))</f>
        <v>0</v>
      </c>
      <c r="U125" s="84">
        <f>IF('Reeksen (N)'!D57&gt;='Reeksen (N)'!B57,0,IF('Reeksen (N)'!AK57&lt;='Reeksen (N)'!AE57,('Reeksen (N)'!B57-'Reeksen (N)'!D57)*R125,0))</f>
        <v>0</v>
      </c>
      <c r="V125" s="86">
        <f>IF('Reeksen (N)'!D57&gt;='Reeksen (N)'!B57,0,IF('Reeksen (N)'!AK57&gt;'Reeksen (N)'!AE57,('Reeksen (N)'!B57-'Reeksen (N)'!D57)*R125,0))</f>
        <v>0</v>
      </c>
      <c r="W125" s="97">
        <f ca="1">IF(E125&gt;='Invoer gegevens (N)'!$C$17+'Invoer gegevens (N)'!$I$14,0,R125-S125)</f>
        <v>0</v>
      </c>
      <c r="X125" s="98">
        <f ca="1">IF('Invoer gegevens (N)'!$C$17=E125,'Invoer gegevens (N)'!$C$10-'Invoer gegevens (N)'!$C$11,IF(C125=1,AC124,0))</f>
        <v>0</v>
      </c>
      <c r="Y125" s="98">
        <f ca="1">IF(E125='Invoer gegevens (N)'!$C$17+'Invoer gegevens (N)'!$I$14,AC124,IF(C125&gt;=1,X125*VLOOKUP(E125,'Reeksen (N)'!$A$5:$B$76,2),0))</f>
        <v>0</v>
      </c>
      <c r="Z125" s="98">
        <f ca="1">IF(E125='Invoer gegevens (N)'!$C$17+'Invoer gegevens (N)'!$I$14,AC124,(1-('Invoer gegevens (N)'!$F$20/12))*X125*MIN('Reeksen (N)'!B57,'Reeksen (N)'!D57))</f>
        <v>0</v>
      </c>
      <c r="AA125" s="98">
        <f>IF('Reeksen (N)'!D57&gt;='Reeksen (N)'!B57,0,IF('Reeksen (N)'!AK57&lt;='Reeksen (N)'!AE57,('Reeksen (N)'!B57-'Reeksen (N)'!D57)*X125,0))</f>
        <v>0</v>
      </c>
      <c r="AB125" s="98">
        <f>IF('Reeksen (N)'!D57&gt;='Reeksen (N)'!B57,0,IF('Reeksen (N)'!AK57&gt;'Reeksen (N)'!AE57,('Reeksen (N)'!B57-'Reeksen (N)'!D57)*X125,0))</f>
        <v>0</v>
      </c>
      <c r="AC125" s="99">
        <f ca="1">IF(E125&gt;='Invoer gegevens (N)'!$C$17+'Invoer gegevens (N)'!$I$14,0,X125-Y125)</f>
        <v>0</v>
      </c>
      <c r="AD125" s="98">
        <f ca="1">IF('Invoer gegevens (N)'!$C$17=E57,R125,IF(C57=0,0,AE124))</f>
        <v>0</v>
      </c>
      <c r="AE125" s="98">
        <f t="shared" ca="1" si="9"/>
        <v>0</v>
      </c>
      <c r="AF125" s="98">
        <f ca="1">IF('Invoer gegevens (N)'!$C$17=E57,X125,IF(C57=0,0,AG124))</f>
        <v>0</v>
      </c>
      <c r="AG125" s="98">
        <f t="shared" ca="1" si="10"/>
        <v>0</v>
      </c>
      <c r="AH125" s="66"/>
      <c r="AI125" s="71">
        <f ca="1">IF(C125=1,(('Reeksen (N)'!BF57*(F125-G125+F125)/2)+((L125-M125+L125)/2*'Reeksen (N)'!BG57))*12,0)</f>
        <v>0</v>
      </c>
      <c r="AJ125" s="71">
        <f ca="1">-AI125*'Invoer gegevens (N)'!$I$26</f>
        <v>0</v>
      </c>
      <c r="AK125" s="71">
        <f t="shared" ca="1" si="11"/>
        <v>0</v>
      </c>
      <c r="AL125" s="71">
        <f ca="1">IF(C125=1,'Reeksen (N)'!AL57*((F125-G125+F125)/2)*12+'Reeksen (N)'!AM57*((L125-M125+L125)/2)*12,0)</f>
        <v>0</v>
      </c>
      <c r="AM125" s="71">
        <f ca="1">-AL125*'Invoer gegevens (N)'!$F$31</f>
        <v>0</v>
      </c>
      <c r="AN125" s="71">
        <f t="shared" ca="1" si="12"/>
        <v>0</v>
      </c>
      <c r="AO125" s="71">
        <f ca="1">IF(E125&gt;='Invoer gegevens (N)'!$C$17+'Invoer gegevens (N)'!$I$14,0,IF(C125=1,(H125+J125+N125+P125)*'Reeksen (N)'!AN57,0))</f>
        <v>0</v>
      </c>
      <c r="AP125" s="71">
        <f ca="1">-IF(C125=1,(H125+J125+N125+P125)*'Reeksen (N)'!AN56*'Hulp - basis'!$J$550,0)</f>
        <v>0</v>
      </c>
      <c r="AQ125" s="71">
        <f ca="1">-IF(C125=1,(F125+K125+L125+Q125)/2*'Invoer gegevens (N)'!$I$33*'Reeksen (N)'!J57,0)</f>
        <v>0</v>
      </c>
      <c r="AR125" s="71">
        <f ca="1">-IF(C125=1,(I125*'Invoer gegevens (N)'!$I$34)*'Reeksen (N)'!J57,0)</f>
        <v>0</v>
      </c>
      <c r="AS125" s="71">
        <f ca="1">-IF(C125=1,(F125+K125+L125+Q125)/2*'Invoer gegevens (N)'!$I$35*'Reeksen (N)'!L57,0)</f>
        <v>0</v>
      </c>
      <c r="AT125" s="71">
        <f ca="1">-IF(C125=1,IF(E125='Invoer gegevens (N)'!$C$17,'Invoer gegevens (N)'!$C$11,AD125)*'Reeksen (N)'!S57*'Invoer gegevens (N)'!$C$18*'Reeksen (N)'!P57,0)</f>
        <v>0</v>
      </c>
      <c r="AU125" s="71">
        <f ca="1">-IF(C125=1,(F125+K125+L125+Q125)/2*'Invoer gegevens (N)'!$I$36*'Reeksen (N)'!H57,0)</f>
        <v>0</v>
      </c>
      <c r="AV125" s="71">
        <f t="shared" ca="1" si="13"/>
        <v>0</v>
      </c>
      <c r="AW125" s="72">
        <f ca="1">IFERROR(IF(E125='Invoer gegevens (N)'!$C$17+'Invoer gegevens (N)'!$I$14-1,'Invoer gegevens (N)'!$I$13*K125*'Reeksen (N)'!H57,0),0)</f>
        <v>0</v>
      </c>
      <c r="AX125" s="72">
        <f ca="1">IFERROR(IF(E125='Invoer gegevens (N)'!$C$17,-'Invoer gegevens (N)'!$C$10*('Invoer gegevens (N)'!$C$30+'Invoer gegevens (N)'!$C$31)*'Reeksen (N)'!H57,0),0)</f>
        <v>0</v>
      </c>
      <c r="AY125" s="73">
        <f ca="1">IF('Invoer gegevens (N)'!$C$34=E125,'Invoer gegevens (N)'!$C$27*'Invoer gegevens (N)'!$C$10*'Invoer gegevens (N)'!$C$36*(IF('Invoer gegevens (N)'!$C$35="ja",1,'Reeksen (N)'!J57)),IF('Invoer gegevens (N)'!$C$34+1=E125,'Invoer gegevens (N)'!$C$27*'Invoer gegevens (N)'!$C$10*'Invoer gegevens (N)'!$C$37*(IF('Invoer gegevens (N)'!$C$35="ja",1,'Reeksen (N)'!J57)),0))+IF(AND(E125='Invoer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5" s="73">
        <f ca="1">AV125/(1+'Invoer gegevens (N)'!$I$12)^($D125-('Invoer gegevens (N)'!$C$17-'Invoer gegevens (N)'!$C$16))/(1+'Invoer gegevens (N)'!$C$39)^('Invoer gegevens (N)'!$C$17-'Invoer gegevens (N)'!$C$16)</f>
        <v>0</v>
      </c>
      <c r="BA125" s="73">
        <f ca="1">AW125/(1+'Invoer gegevens (N)'!$I$12)^(E125-('Invoer gegevens (N)'!$C$17-1))/(1+'Invoer gegevens (N)'!$C$39)^('Invoer gegevens (N)'!$C$17-'Invoer gegevens (N)'!$C$16)</f>
        <v>0</v>
      </c>
      <c r="BB125" s="73">
        <f ca="1">AX125/(1+'Invoer gegevens (N)'!$C$39)^('Invoer gegevens (N)'!$C$17-'Invoer gegevens (N)'!$C$16)</f>
        <v>0</v>
      </c>
      <c r="BC125" s="72">
        <f t="shared" ca="1" si="14"/>
        <v>0</v>
      </c>
      <c r="BD125" s="72">
        <f ca="1">IF(AND(E125='Invoer gegevens (N)'!$C$16,'Invoer gegevens (N)'!$C$34&lt;'Invoer gegevens (N)'!$C$16),AY125,AY125/(1+'Invoer gegevens (N)'!$C$39)^D125)</f>
        <v>0</v>
      </c>
      <c r="BE125" s="72">
        <f ca="1">IF(E125='Invoer gegevens (N)'!$C$34,-'Invoer gegevens (N)'!$I$38,0)</f>
        <v>0</v>
      </c>
      <c r="BF125" s="72">
        <f ca="1">IF(E125='Invoer gegevens (N)'!$C$17,-'Invoer gegevens (N)'!$C$19*$BC$134,0)</f>
        <v>0</v>
      </c>
      <c r="BG125" s="72">
        <f ca="1">AV125/(1+$BG$72)^($D125-('Invoer gegevens (N)'!$C$17-'Invoer gegevens (N)'!$C$16))/(1+'Invoer gegevens (N)'!$C$39)^('Invoer gegevens (N)'!$C$17-'Invoer gegevens (N)'!$C$16)+AW125/(1+$BG$72)^(E125-('Invoer gegevens (N)'!$C$17-1))/(1+'Invoer gegevens (N)'!$C$39)^('Invoer gegevens (N)'!$C$17-'Invoer gegevens (N)'!$C$16)+AX125/(1+'Invoer gegevens (N)'!$C$39)^('Invoer gegevens (N)'!$C$17-'Invoer gegevens (N)'!$C$16)+(-AY125/(1+'Invoer gegevens (N)'!$C$39)^D125)+BE125+BF125</f>
        <v>0</v>
      </c>
    </row>
    <row r="126" spans="2:59" x14ac:dyDescent="0.25">
      <c r="B126" s="70">
        <f t="shared" si="15"/>
        <v>54</v>
      </c>
      <c r="C126" s="67">
        <f ca="1">IF(AND(E126&gt;='Invoer gegevens (N)'!$C$17,E126&lt;'Invoer gegevens (N)'!$C$17+'Invoer gegevens (N)'!$I$14),1,0)</f>
        <v>0</v>
      </c>
      <c r="D126" s="68">
        <f t="shared" si="16"/>
        <v>53.5</v>
      </c>
      <c r="E126" s="108">
        <f ca="1">IF('Invoer gegevens (N)'!$C$16="","",E125+1)</f>
        <v>2072</v>
      </c>
      <c r="F126" s="84">
        <f ca="1">IF('Invoer gegevens (N)'!$C$17=E126,'Invoer gegevens (N)'!$C$10,IF(C126=1,K125,0))</f>
        <v>0</v>
      </c>
      <c r="G126" s="96">
        <f ca="1">IF(E126='Invoer gegevens (N)'!$C$17+'Invoer gegevens (N)'!$I$14,K125,IF(C126&gt;=1,F126*VLOOKUP(E126,'Reeksen (N)'!$A$5:$B$76,2),0))</f>
        <v>0</v>
      </c>
      <c r="H126" s="84">
        <f ca="1">IF(E126='Invoer gegevens (N)'!$C$17+'Invoer gegevens (N)'!$I$14,K125,(1-('Invoer gegevens (N)'!$F$20/12))*F126*MIN('Reeksen (N)'!B58,'Reeksen (N)'!D58))</f>
        <v>0</v>
      </c>
      <c r="I126" s="84">
        <f>IF('Reeksen (N)'!D58&lt;'Reeksen (N)'!B58,('Reeksen (N)'!B58-'Reeksen (N)'!D58)*F126,0)</f>
        <v>0</v>
      </c>
      <c r="J126" s="84">
        <f ca="1">IF(E126='Invoer gegevens (N)'!$C$17+'Invoer gegevens (N)'!$I$14+1,0,('Invoer gegevens (N)'!$F$20/12)*F125*MIN('Reeksen (N)'!B57,'Reeksen (N)'!D57))</f>
        <v>0</v>
      </c>
      <c r="K126" s="97">
        <f ca="1">IF(E126&gt;='Invoer gegevens (N)'!$C$17+'Invoer gegevens (N)'!$I$14,0,F126-G126)</f>
        <v>0</v>
      </c>
      <c r="L126" s="84">
        <f ca="1">IF('Invoer gegevens (N)'!$C$17=E126,0,IF(C126=1,Q125,0))</f>
        <v>0</v>
      </c>
      <c r="M126" s="96">
        <f ca="1">IF(E126='Invoer gegevens (N)'!$C$17+'Invoer gegevens (N)'!$I$14,Q125,IF(C126&gt;=1,L126*VLOOKUP(E126,'Reeksen (N)'!$A$5:$B$76,2),0))</f>
        <v>0</v>
      </c>
      <c r="N126" s="84">
        <f ca="1">IF(C126='Invoer gegevens (N)'!$C$17+'Invoer gegevens (N)'!$I$14,Q125,(1-('Invoer gegevens (N)'!$F$20/12))*L126*MIN('Reeksen (N)'!B58,'Reeksen (N)'!D58))</f>
        <v>0</v>
      </c>
      <c r="O126" s="84">
        <f>IF('Reeksen (N)'!D58&lt;'Reeksen (N)'!B58,('Reeksen (N)'!B58-'Reeksen (N)'!D58)*L126,0)</f>
        <v>0</v>
      </c>
      <c r="P126" s="84">
        <f ca="1">IF(E126='Invoer gegevens (N)'!$C$17+'Invoer gegevens (N)'!$I$14+1,0,('Invoer gegevens (N)'!$F$20/12)*L125*MIN('Reeksen (N)'!B57,'Reeksen (N)'!D57))</f>
        <v>0</v>
      </c>
      <c r="Q126" s="84">
        <f ca="1">IF(E126&gt;='Invoer gegevens (N)'!$C$17+'Invoer gegevens (N)'!$I$14,0,L126-M126+I126+O126)</f>
        <v>0</v>
      </c>
      <c r="R126" s="82">
        <f ca="1">IF('Invoer gegevens (N)'!$C$17=E126,'Invoer gegevens (N)'!$C$11,IF(C126=1,W125,0))</f>
        <v>0</v>
      </c>
      <c r="S126" s="86">
        <f ca="1">IF(E126='Invoer gegevens (N)'!$C$17+'Invoer gegevens (N)'!$I$14,W125,IF(C126&gt;=1,R126*VLOOKUP(E126,'Reeksen (N)'!$A$5:$B$76,2),0))</f>
        <v>0</v>
      </c>
      <c r="T126" s="84">
        <f ca="1">IF(E126='Invoer gegevens (N)'!$C$17+'Invoer gegevens (N)'!$I$14,W125,(1-('Invoer gegevens (N)'!$F$20/12))*R126*MIN('Reeksen (N)'!B58,'Reeksen (N)'!D58))</f>
        <v>0</v>
      </c>
      <c r="U126" s="84">
        <f>IF('Reeksen (N)'!D58&gt;='Reeksen (N)'!B58,0,IF('Reeksen (N)'!AK58&lt;='Reeksen (N)'!AE58,('Reeksen (N)'!B58-'Reeksen (N)'!D58)*R126,0))</f>
        <v>0</v>
      </c>
      <c r="V126" s="86">
        <f>IF('Reeksen (N)'!D58&gt;='Reeksen (N)'!B58,0,IF('Reeksen (N)'!AK58&gt;'Reeksen (N)'!AE58,('Reeksen (N)'!B58-'Reeksen (N)'!D58)*R126,0))</f>
        <v>0</v>
      </c>
      <c r="W126" s="97">
        <f ca="1">IF(E126&gt;='Invoer gegevens (N)'!$C$17+'Invoer gegevens (N)'!$I$14,0,R126-S126)</f>
        <v>0</v>
      </c>
      <c r="X126" s="98">
        <f ca="1">IF('Invoer gegevens (N)'!$C$17=E126,'Invoer gegevens (N)'!$C$10-'Invoer gegevens (N)'!$C$11,IF(C126=1,AC125,0))</f>
        <v>0</v>
      </c>
      <c r="Y126" s="98">
        <f ca="1">IF(E126='Invoer gegevens (N)'!$C$17+'Invoer gegevens (N)'!$I$14,AC125,IF(C126&gt;=1,X126*VLOOKUP(E126,'Reeksen (N)'!$A$5:$B$76,2),0))</f>
        <v>0</v>
      </c>
      <c r="Z126" s="98">
        <f ca="1">IF(E126='Invoer gegevens (N)'!$C$17+'Invoer gegevens (N)'!$I$14,AC125,(1-('Invoer gegevens (N)'!$F$20/12))*X126*MIN('Reeksen (N)'!B58,'Reeksen (N)'!D58))</f>
        <v>0</v>
      </c>
      <c r="AA126" s="98">
        <f>IF('Reeksen (N)'!D58&gt;='Reeksen (N)'!B58,0,IF('Reeksen (N)'!AK58&lt;='Reeksen (N)'!AE58,('Reeksen (N)'!B58-'Reeksen (N)'!D58)*X126,0))</f>
        <v>0</v>
      </c>
      <c r="AB126" s="98">
        <f>IF('Reeksen (N)'!D58&gt;='Reeksen (N)'!B58,0,IF('Reeksen (N)'!AK58&gt;'Reeksen (N)'!AE58,('Reeksen (N)'!B58-'Reeksen (N)'!D58)*X126,0))</f>
        <v>0</v>
      </c>
      <c r="AC126" s="99">
        <f ca="1">IF(E126&gt;='Invoer gegevens (N)'!$C$17+'Invoer gegevens (N)'!$I$14,0,X126-Y126)</f>
        <v>0</v>
      </c>
      <c r="AD126" s="98">
        <f ca="1">IF('Invoer gegevens (N)'!$C$17=E58,R126,IF(C58=0,0,AE125))</f>
        <v>0</v>
      </c>
      <c r="AE126" s="98">
        <f t="shared" ca="1" si="9"/>
        <v>0</v>
      </c>
      <c r="AF126" s="98">
        <f ca="1">IF('Invoer gegevens (N)'!$C$17=E58,X126,IF(C58=0,0,AG125))</f>
        <v>0</v>
      </c>
      <c r="AG126" s="98">
        <f t="shared" ca="1" si="10"/>
        <v>0</v>
      </c>
      <c r="AH126" s="66"/>
      <c r="AI126" s="71">
        <f ca="1">IF(C126=1,(('Reeksen (N)'!BF58*(F126-G126+F126)/2)+((L126-M126+L126)/2*'Reeksen (N)'!BG58))*12,0)</f>
        <v>0</v>
      </c>
      <c r="AJ126" s="71">
        <f ca="1">-AI126*'Invoer gegevens (N)'!$I$26</f>
        <v>0</v>
      </c>
      <c r="AK126" s="71">
        <f t="shared" ca="1" si="11"/>
        <v>0</v>
      </c>
      <c r="AL126" s="71">
        <f ca="1">IF(C126=1,'Reeksen (N)'!AL58*((F126-G126+F126)/2)*12+'Reeksen (N)'!AM58*((L126-M126+L126)/2)*12,0)</f>
        <v>0</v>
      </c>
      <c r="AM126" s="71">
        <f ca="1">-AL126*'Invoer gegevens (N)'!$F$31</f>
        <v>0</v>
      </c>
      <c r="AN126" s="71">
        <f t="shared" ca="1" si="12"/>
        <v>0</v>
      </c>
      <c r="AO126" s="71">
        <f ca="1">IF(E126&gt;='Invoer gegevens (N)'!$C$17+'Invoer gegevens (N)'!$I$14,0,IF(C126=1,(H126+J126+N126+P126)*'Reeksen (N)'!AN58,0))</f>
        <v>0</v>
      </c>
      <c r="AP126" s="71">
        <f ca="1">-IF(C126=1,(H126+J126+N126+P126)*'Reeksen (N)'!AN57*'Hulp - basis'!$J$550,0)</f>
        <v>0</v>
      </c>
      <c r="AQ126" s="71">
        <f ca="1">-IF(C126=1,(F126+K126+L126+Q126)/2*'Invoer gegevens (N)'!$I$33*'Reeksen (N)'!J58,0)</f>
        <v>0</v>
      </c>
      <c r="AR126" s="71">
        <f ca="1">-IF(C126=1,(I126*'Invoer gegevens (N)'!$I$34)*'Reeksen (N)'!J58,0)</f>
        <v>0</v>
      </c>
      <c r="AS126" s="71">
        <f ca="1">-IF(C126=1,(F126+K126+L126+Q126)/2*'Invoer gegevens (N)'!$I$35*'Reeksen (N)'!L58,0)</f>
        <v>0</v>
      </c>
      <c r="AT126" s="71">
        <f ca="1">-IF(C126=1,IF(E126='Invoer gegevens (N)'!$C$17,'Invoer gegevens (N)'!$C$11,AD126)*'Reeksen (N)'!S58*'Invoer gegevens (N)'!$C$18*'Reeksen (N)'!P58,0)</f>
        <v>0</v>
      </c>
      <c r="AU126" s="71">
        <f ca="1">-IF(C126=1,(F126+K126+L126+Q126)/2*'Invoer gegevens (N)'!$I$36*'Reeksen (N)'!H58,0)</f>
        <v>0</v>
      </c>
      <c r="AV126" s="71">
        <f t="shared" ca="1" si="13"/>
        <v>0</v>
      </c>
      <c r="AW126" s="72">
        <f ca="1">IFERROR(IF(E126='Invoer gegevens (N)'!$C$17+'Invoer gegevens (N)'!$I$14-1,'Invoer gegevens (N)'!$I$13*K126*'Reeksen (N)'!H58,0),0)</f>
        <v>0</v>
      </c>
      <c r="AX126" s="72">
        <f ca="1">IFERROR(IF(E126='Invoer gegevens (N)'!$C$17,-'Invoer gegevens (N)'!$C$10*('Invoer gegevens (N)'!$C$30+'Invoer gegevens (N)'!$C$31)*'Reeksen (N)'!H58,0),0)</f>
        <v>0</v>
      </c>
      <c r="AY126" s="73">
        <f ca="1">IF('Invoer gegevens (N)'!$C$34=E126,'Invoer gegevens (N)'!$C$27*'Invoer gegevens (N)'!$C$10*'Invoer gegevens (N)'!$C$36*(IF('Invoer gegevens (N)'!$C$35="ja",1,'Reeksen (N)'!J58)),IF('Invoer gegevens (N)'!$C$34+1=E126,'Invoer gegevens (N)'!$C$27*'Invoer gegevens (N)'!$C$10*'Invoer gegevens (N)'!$C$37*(IF('Invoer gegevens (N)'!$C$35="ja",1,'Reeksen (N)'!J58)),0))+IF(AND(E126='Invoer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6" s="73">
        <f ca="1">AV126/(1+'Invoer gegevens (N)'!$I$12)^($D126-('Invoer gegevens (N)'!$C$17-'Invoer gegevens (N)'!$C$16))/(1+'Invoer gegevens (N)'!$C$39)^('Invoer gegevens (N)'!$C$17-'Invoer gegevens (N)'!$C$16)</f>
        <v>0</v>
      </c>
      <c r="BA126" s="73">
        <f ca="1">AW126/(1+'Invoer gegevens (N)'!$I$12)^(E126-('Invoer gegevens (N)'!$C$17-1))/(1+'Invoer gegevens (N)'!$C$39)^('Invoer gegevens (N)'!$C$17-'Invoer gegevens (N)'!$C$16)</f>
        <v>0</v>
      </c>
      <c r="BB126" s="73">
        <f ca="1">AX126/(1+'Invoer gegevens (N)'!$C$39)^('Invoer gegevens (N)'!$C$17-'Invoer gegevens (N)'!$C$16)</f>
        <v>0</v>
      </c>
      <c r="BC126" s="72">
        <f t="shared" ca="1" si="14"/>
        <v>0</v>
      </c>
      <c r="BD126" s="72">
        <f ca="1">IF(AND(E126='Invoer gegevens (N)'!$C$16,'Invoer gegevens (N)'!$C$34&lt;'Invoer gegevens (N)'!$C$16),AY126,AY126/(1+'Invoer gegevens (N)'!$C$39)^D126)</f>
        <v>0</v>
      </c>
      <c r="BE126" s="72">
        <f ca="1">IF(E126='Invoer gegevens (N)'!$C$34,-'Invoer gegevens (N)'!$I$38,0)</f>
        <v>0</v>
      </c>
      <c r="BF126" s="72">
        <f ca="1">IF(E126='Invoer gegevens (N)'!$C$17,-'Invoer gegevens (N)'!$C$19*$BC$134,0)</f>
        <v>0</v>
      </c>
      <c r="BG126" s="72">
        <f ca="1">AV126/(1+$BG$72)^($D126-('Invoer gegevens (N)'!$C$17-'Invoer gegevens (N)'!$C$16))/(1+'Invoer gegevens (N)'!$C$39)^('Invoer gegevens (N)'!$C$17-'Invoer gegevens (N)'!$C$16)+AW126/(1+$BG$72)^(E126-('Invoer gegevens (N)'!$C$17-1))/(1+'Invoer gegevens (N)'!$C$39)^('Invoer gegevens (N)'!$C$17-'Invoer gegevens (N)'!$C$16)+AX126/(1+'Invoer gegevens (N)'!$C$39)^('Invoer gegevens (N)'!$C$17-'Invoer gegevens (N)'!$C$16)+(-AY126/(1+'Invoer gegevens (N)'!$C$39)^D126)+BE126+BF126</f>
        <v>0</v>
      </c>
    </row>
    <row r="127" spans="2:59" x14ac:dyDescent="0.25">
      <c r="B127" s="70">
        <f t="shared" si="15"/>
        <v>55</v>
      </c>
      <c r="C127" s="67">
        <f ca="1">IF(AND(E127&gt;='Invoer gegevens (N)'!$C$17,E127&lt;'Invoer gegevens (N)'!$C$17+'Invoer gegevens (N)'!$I$14),1,0)</f>
        <v>0</v>
      </c>
      <c r="D127" s="68">
        <f t="shared" si="16"/>
        <v>54.5</v>
      </c>
      <c r="E127" s="108">
        <f ca="1">IF('Invoer gegevens (N)'!$C$16="","",E126+1)</f>
        <v>2073</v>
      </c>
      <c r="F127" s="84">
        <f ca="1">IF('Invoer gegevens (N)'!$C$17=E127,'Invoer gegevens (N)'!$C$10,IF(C127=1,K126,0))</f>
        <v>0</v>
      </c>
      <c r="G127" s="96">
        <f ca="1">IF(E127='Invoer gegevens (N)'!$C$17+'Invoer gegevens (N)'!$I$14,K126,IF(C127&gt;=1,F127*VLOOKUP(E127,'Reeksen (N)'!$A$5:$B$76,2),0))</f>
        <v>0</v>
      </c>
      <c r="H127" s="84">
        <f ca="1">IF(E127='Invoer gegevens (N)'!$C$17+'Invoer gegevens (N)'!$I$14,K126,(1-('Invoer gegevens (N)'!$F$20/12))*F127*MIN('Reeksen (N)'!B59,'Reeksen (N)'!D59))</f>
        <v>0</v>
      </c>
      <c r="I127" s="84">
        <f>IF('Reeksen (N)'!D59&lt;'Reeksen (N)'!B59,('Reeksen (N)'!B59-'Reeksen (N)'!D59)*F127,0)</f>
        <v>0</v>
      </c>
      <c r="J127" s="84">
        <f ca="1">IF(E127='Invoer gegevens (N)'!$C$17+'Invoer gegevens (N)'!$I$14+1,0,('Invoer gegevens (N)'!$F$20/12)*F126*MIN('Reeksen (N)'!B58,'Reeksen (N)'!D58))</f>
        <v>0</v>
      </c>
      <c r="K127" s="97">
        <f ca="1">IF(E127&gt;='Invoer gegevens (N)'!$C$17+'Invoer gegevens (N)'!$I$14,0,F127-G127)</f>
        <v>0</v>
      </c>
      <c r="L127" s="84">
        <f ca="1">IF('Invoer gegevens (N)'!$C$17=E127,0,IF(C127=1,Q126,0))</f>
        <v>0</v>
      </c>
      <c r="M127" s="96">
        <f ca="1">IF(E127='Invoer gegevens (N)'!$C$17+'Invoer gegevens (N)'!$I$14,Q126,IF(C127&gt;=1,L127*VLOOKUP(E127,'Reeksen (N)'!$A$5:$B$76,2),0))</f>
        <v>0</v>
      </c>
      <c r="N127" s="84">
        <f ca="1">IF(C127='Invoer gegevens (N)'!$C$17+'Invoer gegevens (N)'!$I$14,Q126,(1-('Invoer gegevens (N)'!$F$20/12))*L127*MIN('Reeksen (N)'!B59,'Reeksen (N)'!D59))</f>
        <v>0</v>
      </c>
      <c r="O127" s="84">
        <f>IF('Reeksen (N)'!D59&lt;'Reeksen (N)'!B59,('Reeksen (N)'!B59-'Reeksen (N)'!D59)*L127,0)</f>
        <v>0</v>
      </c>
      <c r="P127" s="84">
        <f ca="1">IF(E127='Invoer gegevens (N)'!$C$17+'Invoer gegevens (N)'!$I$14+1,0,('Invoer gegevens (N)'!$F$20/12)*L126*MIN('Reeksen (N)'!B58,'Reeksen (N)'!D58))</f>
        <v>0</v>
      </c>
      <c r="Q127" s="84">
        <f ca="1">IF(E127&gt;='Invoer gegevens (N)'!$C$17+'Invoer gegevens (N)'!$I$14,0,L127-M127+I127+O127)</f>
        <v>0</v>
      </c>
      <c r="R127" s="82">
        <f ca="1">IF('Invoer gegevens (N)'!$C$17=E127,'Invoer gegevens (N)'!$C$11,IF(C127=1,W126,0))</f>
        <v>0</v>
      </c>
      <c r="S127" s="86">
        <f ca="1">IF(E127='Invoer gegevens (N)'!$C$17+'Invoer gegevens (N)'!$I$14,W126,IF(C127&gt;=1,R127*VLOOKUP(E127,'Reeksen (N)'!$A$5:$B$76,2),0))</f>
        <v>0</v>
      </c>
      <c r="T127" s="84">
        <f ca="1">IF(E127='Invoer gegevens (N)'!$C$17+'Invoer gegevens (N)'!$I$14,W126,(1-('Invoer gegevens (N)'!$F$20/12))*R127*MIN('Reeksen (N)'!B59,'Reeksen (N)'!D59))</f>
        <v>0</v>
      </c>
      <c r="U127" s="84">
        <f>IF('Reeksen (N)'!D59&gt;='Reeksen (N)'!B59,0,IF('Reeksen (N)'!AK59&lt;='Reeksen (N)'!AE59,('Reeksen (N)'!B59-'Reeksen (N)'!D59)*R127,0))</f>
        <v>0</v>
      </c>
      <c r="V127" s="86">
        <f>IF('Reeksen (N)'!D59&gt;='Reeksen (N)'!B59,0,IF('Reeksen (N)'!AK59&gt;'Reeksen (N)'!AE59,('Reeksen (N)'!B59-'Reeksen (N)'!D59)*R127,0))</f>
        <v>0</v>
      </c>
      <c r="W127" s="97">
        <f ca="1">IF(E127&gt;='Invoer gegevens (N)'!$C$17+'Invoer gegevens (N)'!$I$14,0,R127-S127)</f>
        <v>0</v>
      </c>
      <c r="X127" s="98">
        <f ca="1">IF('Invoer gegevens (N)'!$C$17=E127,'Invoer gegevens (N)'!$C$10-'Invoer gegevens (N)'!$C$11,IF(C127=1,AC126,0))</f>
        <v>0</v>
      </c>
      <c r="Y127" s="98">
        <f ca="1">IF(E127='Invoer gegevens (N)'!$C$17+'Invoer gegevens (N)'!$I$14,AC126,IF(C127&gt;=1,X127*VLOOKUP(E127,'Reeksen (N)'!$A$5:$B$76,2),0))</f>
        <v>0</v>
      </c>
      <c r="Z127" s="98">
        <f ca="1">IF(E127='Invoer gegevens (N)'!$C$17+'Invoer gegevens (N)'!$I$14,AC126,(1-('Invoer gegevens (N)'!$F$20/12))*X127*MIN('Reeksen (N)'!B59,'Reeksen (N)'!D59))</f>
        <v>0</v>
      </c>
      <c r="AA127" s="98">
        <f>IF('Reeksen (N)'!D59&gt;='Reeksen (N)'!B59,0,IF('Reeksen (N)'!AK59&lt;='Reeksen (N)'!AE59,('Reeksen (N)'!B59-'Reeksen (N)'!D59)*X127,0))</f>
        <v>0</v>
      </c>
      <c r="AB127" s="98">
        <f>IF('Reeksen (N)'!D59&gt;='Reeksen (N)'!B59,0,IF('Reeksen (N)'!AK59&gt;'Reeksen (N)'!AE59,('Reeksen (N)'!B59-'Reeksen (N)'!D59)*X127,0))</f>
        <v>0</v>
      </c>
      <c r="AC127" s="99">
        <f ca="1">IF(E127&gt;='Invoer gegevens (N)'!$C$17+'Invoer gegevens (N)'!$I$14,0,X127-Y127)</f>
        <v>0</v>
      </c>
      <c r="AD127" s="98">
        <f ca="1">IF('Invoer gegevens (N)'!$C$17=E59,R127,IF(C59=0,0,AE126))</f>
        <v>0</v>
      </c>
      <c r="AE127" s="98">
        <f t="shared" ca="1" si="9"/>
        <v>0</v>
      </c>
      <c r="AF127" s="98">
        <f ca="1">IF('Invoer gegevens (N)'!$C$17=E59,X127,IF(C59=0,0,AG126))</f>
        <v>0</v>
      </c>
      <c r="AG127" s="98">
        <f t="shared" ca="1" si="10"/>
        <v>0</v>
      </c>
      <c r="AH127" s="66"/>
      <c r="AI127" s="71">
        <f ca="1">IF(C127=1,(('Reeksen (N)'!BF59*(F127-G127+F127)/2)+((L127-M127+L127)/2*'Reeksen (N)'!BG59))*12,0)</f>
        <v>0</v>
      </c>
      <c r="AJ127" s="71">
        <f ca="1">-AI127*'Invoer gegevens (N)'!$I$26</f>
        <v>0</v>
      </c>
      <c r="AK127" s="71">
        <f t="shared" ca="1" si="11"/>
        <v>0</v>
      </c>
      <c r="AL127" s="71">
        <f ca="1">IF(C127=1,'Reeksen (N)'!AL59*((F127-G127+F127)/2)*12+'Reeksen (N)'!AM59*((L127-M127+L127)/2)*12,0)</f>
        <v>0</v>
      </c>
      <c r="AM127" s="71">
        <f ca="1">-AL127*'Invoer gegevens (N)'!$F$31</f>
        <v>0</v>
      </c>
      <c r="AN127" s="71">
        <f t="shared" ca="1" si="12"/>
        <v>0</v>
      </c>
      <c r="AO127" s="71">
        <f ca="1">IF(E127&gt;='Invoer gegevens (N)'!$C$17+'Invoer gegevens (N)'!$I$14,0,IF(C127=1,(H127+J127+N127+P127)*'Reeksen (N)'!AN59,0))</f>
        <v>0</v>
      </c>
      <c r="AP127" s="71">
        <f ca="1">-IF(C127=1,(H127+J127+N127+P127)*'Reeksen (N)'!AN58*'Hulp - basis'!$J$550,0)</f>
        <v>0</v>
      </c>
      <c r="AQ127" s="71">
        <f ca="1">-IF(C127=1,(F127+K127+L127+Q127)/2*'Invoer gegevens (N)'!$I$33*'Reeksen (N)'!J59,0)</f>
        <v>0</v>
      </c>
      <c r="AR127" s="71">
        <f ca="1">-IF(C127=1,(I127*'Invoer gegevens (N)'!$I$34)*'Reeksen (N)'!J59,0)</f>
        <v>0</v>
      </c>
      <c r="AS127" s="71">
        <f ca="1">-IF(C127=1,(F127+K127+L127+Q127)/2*'Invoer gegevens (N)'!$I$35*'Reeksen (N)'!L59,0)</f>
        <v>0</v>
      </c>
      <c r="AT127" s="71">
        <f ca="1">-IF(C127=1,IF(E127='Invoer gegevens (N)'!$C$17,'Invoer gegevens (N)'!$C$11,AD127)*'Reeksen (N)'!S59*'Invoer gegevens (N)'!$C$18*'Reeksen (N)'!P59,0)</f>
        <v>0</v>
      </c>
      <c r="AU127" s="71">
        <f ca="1">-IF(C127=1,(F127+K127+L127+Q127)/2*'Invoer gegevens (N)'!$I$36*'Reeksen (N)'!H59,0)</f>
        <v>0</v>
      </c>
      <c r="AV127" s="71">
        <f t="shared" ca="1" si="13"/>
        <v>0</v>
      </c>
      <c r="AW127" s="72">
        <f ca="1">IFERROR(IF(E127='Invoer gegevens (N)'!$C$17+'Invoer gegevens (N)'!$I$14-1,'Invoer gegevens (N)'!$I$13*K127*'Reeksen (N)'!H59,0),0)</f>
        <v>0</v>
      </c>
      <c r="AX127" s="72">
        <f ca="1">IFERROR(IF(E127='Invoer gegevens (N)'!$C$17,-'Invoer gegevens (N)'!$C$10*('Invoer gegevens (N)'!$C$30+'Invoer gegevens (N)'!$C$31)*'Reeksen (N)'!H59,0),0)</f>
        <v>0</v>
      </c>
      <c r="AY127" s="73">
        <f ca="1">IF('Invoer gegevens (N)'!$C$34=E127,'Invoer gegevens (N)'!$C$27*'Invoer gegevens (N)'!$C$10*'Invoer gegevens (N)'!$C$36*(IF('Invoer gegevens (N)'!$C$35="ja",1,'Reeksen (N)'!J59)),IF('Invoer gegevens (N)'!$C$34+1=E127,'Invoer gegevens (N)'!$C$27*'Invoer gegevens (N)'!$C$10*'Invoer gegevens (N)'!$C$37*(IF('Invoer gegevens (N)'!$C$35="ja",1,'Reeksen (N)'!J59)),0))+IF(AND(E127='Invoer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7" s="73">
        <f ca="1">AV127/(1+'Invoer gegevens (N)'!$I$12)^($D127-('Invoer gegevens (N)'!$C$17-'Invoer gegevens (N)'!$C$16))/(1+'Invoer gegevens (N)'!$C$39)^('Invoer gegevens (N)'!$C$17-'Invoer gegevens (N)'!$C$16)</f>
        <v>0</v>
      </c>
      <c r="BA127" s="73">
        <f ca="1">AW127/(1+'Invoer gegevens (N)'!$I$12)^(E127-('Invoer gegevens (N)'!$C$17-1))/(1+'Invoer gegevens (N)'!$C$39)^('Invoer gegevens (N)'!$C$17-'Invoer gegevens (N)'!$C$16)</f>
        <v>0</v>
      </c>
      <c r="BB127" s="73">
        <f ca="1">AX127/(1+'Invoer gegevens (N)'!$C$39)^('Invoer gegevens (N)'!$C$17-'Invoer gegevens (N)'!$C$16)</f>
        <v>0</v>
      </c>
      <c r="BC127" s="72">
        <f t="shared" ca="1" si="14"/>
        <v>0</v>
      </c>
      <c r="BD127" s="72">
        <f ca="1">IF(AND(E127='Invoer gegevens (N)'!$C$16,'Invoer gegevens (N)'!$C$34&lt;'Invoer gegevens (N)'!$C$16),AY127,AY127/(1+'Invoer gegevens (N)'!$C$39)^D127)</f>
        <v>0</v>
      </c>
      <c r="BE127" s="72">
        <f ca="1">IF(E127='Invoer gegevens (N)'!$C$34,-'Invoer gegevens (N)'!$I$38,0)</f>
        <v>0</v>
      </c>
      <c r="BF127" s="72">
        <f ca="1">IF(E127='Invoer gegevens (N)'!$C$17,-'Invoer gegevens (N)'!$C$19*$BC$134,0)</f>
        <v>0</v>
      </c>
      <c r="BG127" s="72">
        <f ca="1">AV127/(1+$BG$72)^($D127-('Invoer gegevens (N)'!$C$17-'Invoer gegevens (N)'!$C$16))/(1+'Invoer gegevens (N)'!$C$39)^('Invoer gegevens (N)'!$C$17-'Invoer gegevens (N)'!$C$16)+AW127/(1+$BG$72)^(E127-('Invoer gegevens (N)'!$C$17-1))/(1+'Invoer gegevens (N)'!$C$39)^('Invoer gegevens (N)'!$C$17-'Invoer gegevens (N)'!$C$16)+AX127/(1+'Invoer gegevens (N)'!$C$39)^('Invoer gegevens (N)'!$C$17-'Invoer gegevens (N)'!$C$16)+(-AY127/(1+'Invoer gegevens (N)'!$C$39)^D127)+BE127+BF127</f>
        <v>0</v>
      </c>
    </row>
    <row r="128" spans="2:59" x14ac:dyDescent="0.25">
      <c r="B128" s="70">
        <f t="shared" si="15"/>
        <v>56</v>
      </c>
      <c r="C128" s="67">
        <f ca="1">IF(AND(E128&gt;='Invoer gegevens (N)'!$C$17,E128&lt;'Invoer gegevens (N)'!$C$17+'Invoer gegevens (N)'!$I$14),1,0)</f>
        <v>0</v>
      </c>
      <c r="D128" s="68">
        <f t="shared" si="16"/>
        <v>55.5</v>
      </c>
      <c r="E128" s="108">
        <f ca="1">IF('Invoer gegevens (N)'!$C$16="","",E127+1)</f>
        <v>2074</v>
      </c>
      <c r="F128" s="84">
        <f ca="1">IF('Invoer gegevens (N)'!$C$17=E128,'Invoer gegevens (N)'!$C$10,IF(C128=1,K127,0))</f>
        <v>0</v>
      </c>
      <c r="G128" s="96">
        <f ca="1">IF(E128='Invoer gegevens (N)'!$C$17+'Invoer gegevens (N)'!$I$14,K127,IF(C128&gt;=1,F128*VLOOKUP(E128,'Reeksen (N)'!$A$5:$B$76,2),0))</f>
        <v>0</v>
      </c>
      <c r="H128" s="84">
        <f ca="1">IF(E128='Invoer gegevens (N)'!$C$17+'Invoer gegevens (N)'!$I$14,K127,(1-('Invoer gegevens (N)'!$F$20/12))*F128*MIN('Reeksen (N)'!B60,'Reeksen (N)'!D60))</f>
        <v>0</v>
      </c>
      <c r="I128" s="84">
        <f>IF('Reeksen (N)'!D60&lt;'Reeksen (N)'!B60,('Reeksen (N)'!B60-'Reeksen (N)'!D60)*F128,0)</f>
        <v>0</v>
      </c>
      <c r="J128" s="84">
        <f ca="1">IF(E128='Invoer gegevens (N)'!$C$17+'Invoer gegevens (N)'!$I$14+1,0,('Invoer gegevens (N)'!$F$20/12)*F127*MIN('Reeksen (N)'!B59,'Reeksen (N)'!D59))</f>
        <v>0</v>
      </c>
      <c r="K128" s="97">
        <f ca="1">IF(E128&gt;='Invoer gegevens (N)'!$C$17+'Invoer gegevens (N)'!$I$14,0,F128-G128)</f>
        <v>0</v>
      </c>
      <c r="L128" s="84">
        <f ca="1">IF('Invoer gegevens (N)'!$C$17=E128,0,IF(C128=1,Q127,0))</f>
        <v>0</v>
      </c>
      <c r="M128" s="96">
        <f ca="1">IF(E128='Invoer gegevens (N)'!$C$17+'Invoer gegevens (N)'!$I$14,Q127,IF(C128&gt;=1,L128*VLOOKUP(E128,'Reeksen (N)'!$A$5:$B$76,2),0))</f>
        <v>0</v>
      </c>
      <c r="N128" s="84">
        <f ca="1">IF(C128='Invoer gegevens (N)'!$C$17+'Invoer gegevens (N)'!$I$14,Q127,(1-('Invoer gegevens (N)'!$F$20/12))*L128*MIN('Reeksen (N)'!B60,'Reeksen (N)'!D60))</f>
        <v>0</v>
      </c>
      <c r="O128" s="84">
        <f>IF('Reeksen (N)'!D60&lt;'Reeksen (N)'!B60,('Reeksen (N)'!B60-'Reeksen (N)'!D60)*L128,0)</f>
        <v>0</v>
      </c>
      <c r="P128" s="84">
        <f ca="1">IF(E128='Invoer gegevens (N)'!$C$17+'Invoer gegevens (N)'!$I$14+1,0,('Invoer gegevens (N)'!$F$20/12)*L127*MIN('Reeksen (N)'!B59,'Reeksen (N)'!D59))</f>
        <v>0</v>
      </c>
      <c r="Q128" s="84">
        <f ca="1">IF(E128&gt;='Invoer gegevens (N)'!$C$17+'Invoer gegevens (N)'!$I$14,0,L128-M128+I128+O128)</f>
        <v>0</v>
      </c>
      <c r="R128" s="82">
        <f ca="1">IF('Invoer gegevens (N)'!$C$17=E128,'Invoer gegevens (N)'!$C$11,IF(C128=1,W127,0))</f>
        <v>0</v>
      </c>
      <c r="S128" s="86">
        <f ca="1">IF(E128='Invoer gegevens (N)'!$C$17+'Invoer gegevens (N)'!$I$14,W127,IF(C128&gt;=1,R128*VLOOKUP(E128,'Reeksen (N)'!$A$5:$B$76,2),0))</f>
        <v>0</v>
      </c>
      <c r="T128" s="84">
        <f ca="1">IF(E128='Invoer gegevens (N)'!$C$17+'Invoer gegevens (N)'!$I$14,W127,(1-('Invoer gegevens (N)'!$F$20/12))*R128*MIN('Reeksen (N)'!B60,'Reeksen (N)'!D60))</f>
        <v>0</v>
      </c>
      <c r="U128" s="84">
        <f>IF('Reeksen (N)'!D60&gt;='Reeksen (N)'!B60,0,IF('Reeksen (N)'!AK60&lt;='Reeksen (N)'!AE60,('Reeksen (N)'!B60-'Reeksen (N)'!D60)*R128,0))</f>
        <v>0</v>
      </c>
      <c r="V128" s="86">
        <f>IF('Reeksen (N)'!D60&gt;='Reeksen (N)'!B60,0,IF('Reeksen (N)'!AK60&gt;'Reeksen (N)'!AE60,('Reeksen (N)'!B60-'Reeksen (N)'!D60)*R128,0))</f>
        <v>0</v>
      </c>
      <c r="W128" s="97">
        <f ca="1">IF(E128&gt;='Invoer gegevens (N)'!$C$17+'Invoer gegevens (N)'!$I$14,0,R128-S128)</f>
        <v>0</v>
      </c>
      <c r="X128" s="98">
        <f ca="1">IF('Invoer gegevens (N)'!$C$17=E128,'Invoer gegevens (N)'!$C$10-'Invoer gegevens (N)'!$C$11,IF(C128=1,AC127,0))</f>
        <v>0</v>
      </c>
      <c r="Y128" s="98">
        <f ca="1">IF(E128='Invoer gegevens (N)'!$C$17+'Invoer gegevens (N)'!$I$14,AC127,IF(C128&gt;=1,X128*VLOOKUP(E128,'Reeksen (N)'!$A$5:$B$76,2),0))</f>
        <v>0</v>
      </c>
      <c r="Z128" s="98">
        <f ca="1">IF(E128='Invoer gegevens (N)'!$C$17+'Invoer gegevens (N)'!$I$14,AC127,(1-('Invoer gegevens (N)'!$F$20/12))*X128*MIN('Reeksen (N)'!B60,'Reeksen (N)'!D60))</f>
        <v>0</v>
      </c>
      <c r="AA128" s="98">
        <f>IF('Reeksen (N)'!D60&gt;='Reeksen (N)'!B60,0,IF('Reeksen (N)'!AK60&lt;='Reeksen (N)'!AE60,('Reeksen (N)'!B60-'Reeksen (N)'!D60)*X128,0))</f>
        <v>0</v>
      </c>
      <c r="AB128" s="98">
        <f>IF('Reeksen (N)'!D60&gt;='Reeksen (N)'!B60,0,IF('Reeksen (N)'!AK60&gt;'Reeksen (N)'!AE60,('Reeksen (N)'!B60-'Reeksen (N)'!D60)*X128,0))</f>
        <v>0</v>
      </c>
      <c r="AC128" s="99">
        <f ca="1">IF(E128&gt;='Invoer gegevens (N)'!$C$17+'Invoer gegevens (N)'!$I$14,0,X128-Y128)</f>
        <v>0</v>
      </c>
      <c r="AD128" s="98">
        <f ca="1">IF('Invoer gegevens (N)'!$C$17=E60,R128,IF(C60=0,0,AE127))</f>
        <v>0</v>
      </c>
      <c r="AE128" s="98">
        <f t="shared" ca="1" si="9"/>
        <v>0</v>
      </c>
      <c r="AF128" s="98">
        <f ca="1">IF('Invoer gegevens (N)'!$C$17=E60,X128,IF(C60=0,0,AG127))</f>
        <v>0</v>
      </c>
      <c r="AG128" s="98">
        <f t="shared" ca="1" si="10"/>
        <v>0</v>
      </c>
      <c r="AH128" s="66"/>
      <c r="AI128" s="71">
        <f ca="1">IF(C128=1,(('Reeksen (N)'!BF60*(F128-G128+F128)/2)+((L128-M128+L128)/2*'Reeksen (N)'!BG60))*12,0)</f>
        <v>0</v>
      </c>
      <c r="AJ128" s="71">
        <f ca="1">-AI128*'Invoer gegevens (N)'!$I$26</f>
        <v>0</v>
      </c>
      <c r="AK128" s="71">
        <f t="shared" ca="1" si="11"/>
        <v>0</v>
      </c>
      <c r="AL128" s="71">
        <f ca="1">IF(C128=1,'Reeksen (N)'!AL60*((F128-G128+F128)/2)*12+'Reeksen (N)'!AM60*((L128-M128+L128)/2)*12,0)</f>
        <v>0</v>
      </c>
      <c r="AM128" s="71">
        <f ca="1">-AL128*'Invoer gegevens (N)'!$F$31</f>
        <v>0</v>
      </c>
      <c r="AN128" s="71">
        <f t="shared" ca="1" si="12"/>
        <v>0</v>
      </c>
      <c r="AO128" s="71">
        <f ca="1">IF(E128&gt;='Invoer gegevens (N)'!$C$17+'Invoer gegevens (N)'!$I$14,0,IF(C128=1,(H128+J128+N128+P128)*'Reeksen (N)'!AN60,0))</f>
        <v>0</v>
      </c>
      <c r="AP128" s="71">
        <f ca="1">-IF(C128=1,(H128+J128+N128+P128)*'Reeksen (N)'!AN59*'Hulp - basis'!$J$550,0)</f>
        <v>0</v>
      </c>
      <c r="AQ128" s="71">
        <f ca="1">-IF(C128=1,(F128+K128+L128+Q128)/2*'Invoer gegevens (N)'!$I$33*'Reeksen (N)'!J60,0)</f>
        <v>0</v>
      </c>
      <c r="AR128" s="71">
        <f ca="1">-IF(C128=1,(I128*'Invoer gegevens (N)'!$I$34)*'Reeksen (N)'!J60,0)</f>
        <v>0</v>
      </c>
      <c r="AS128" s="71">
        <f ca="1">-IF(C128=1,(F128+K128+L128+Q128)/2*'Invoer gegevens (N)'!$I$35*'Reeksen (N)'!L60,0)</f>
        <v>0</v>
      </c>
      <c r="AT128" s="71">
        <f ca="1">-IF(C128=1,IF(E128='Invoer gegevens (N)'!$C$17,'Invoer gegevens (N)'!$C$11,AD128)*'Reeksen (N)'!S60*'Invoer gegevens (N)'!$C$18*'Reeksen (N)'!P60,0)</f>
        <v>0</v>
      </c>
      <c r="AU128" s="71">
        <f ca="1">-IF(C128=1,(F128+K128+L128+Q128)/2*'Invoer gegevens (N)'!$I$36*'Reeksen (N)'!H60,0)</f>
        <v>0</v>
      </c>
      <c r="AV128" s="71">
        <f t="shared" ca="1" si="13"/>
        <v>0</v>
      </c>
      <c r="AW128" s="72">
        <f ca="1">IFERROR(IF(E128='Invoer gegevens (N)'!$C$17+'Invoer gegevens (N)'!$I$14-1,'Invoer gegevens (N)'!$I$13*K128*'Reeksen (N)'!H60,0),0)</f>
        <v>0</v>
      </c>
      <c r="AX128" s="72">
        <f ca="1">IFERROR(IF(E128='Invoer gegevens (N)'!$C$17,-'Invoer gegevens (N)'!$C$10*('Invoer gegevens (N)'!$C$30+'Invoer gegevens (N)'!$C$31)*'Reeksen (N)'!H60,0),0)</f>
        <v>0</v>
      </c>
      <c r="AY128" s="73">
        <f ca="1">IF('Invoer gegevens (N)'!$C$34=E128,'Invoer gegevens (N)'!$C$27*'Invoer gegevens (N)'!$C$10*'Invoer gegevens (N)'!$C$36*(IF('Invoer gegevens (N)'!$C$35="ja",1,'Reeksen (N)'!J60)),IF('Invoer gegevens (N)'!$C$34+1=E128,'Invoer gegevens (N)'!$C$27*'Invoer gegevens (N)'!$C$10*'Invoer gegevens (N)'!$C$37*(IF('Invoer gegevens (N)'!$C$35="ja",1,'Reeksen (N)'!J60)),0))+IF(AND(E128='Invoer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8" s="73">
        <f ca="1">AV128/(1+'Invoer gegevens (N)'!$I$12)^($D128-('Invoer gegevens (N)'!$C$17-'Invoer gegevens (N)'!$C$16))/(1+'Invoer gegevens (N)'!$C$39)^('Invoer gegevens (N)'!$C$17-'Invoer gegevens (N)'!$C$16)</f>
        <v>0</v>
      </c>
      <c r="BA128" s="73">
        <f ca="1">AW128/(1+'Invoer gegevens (N)'!$I$12)^(E128-('Invoer gegevens (N)'!$C$17-1))/(1+'Invoer gegevens (N)'!$C$39)^('Invoer gegevens (N)'!$C$17-'Invoer gegevens (N)'!$C$16)</f>
        <v>0</v>
      </c>
      <c r="BB128" s="73">
        <f ca="1">AX128/(1+'Invoer gegevens (N)'!$C$39)^('Invoer gegevens (N)'!$C$17-'Invoer gegevens (N)'!$C$16)</f>
        <v>0</v>
      </c>
      <c r="BC128" s="72">
        <f t="shared" ca="1" si="14"/>
        <v>0</v>
      </c>
      <c r="BD128" s="72">
        <f ca="1">IF(AND(E128='Invoer gegevens (N)'!$C$16,'Invoer gegevens (N)'!$C$34&lt;'Invoer gegevens (N)'!$C$16),AY128,AY128/(1+'Invoer gegevens (N)'!$C$39)^D128)</f>
        <v>0</v>
      </c>
      <c r="BE128" s="72">
        <f ca="1">IF(E128='Invoer gegevens (N)'!$C$34,-'Invoer gegevens (N)'!$I$38,0)</f>
        <v>0</v>
      </c>
      <c r="BF128" s="72">
        <f ca="1">IF(E128='Invoer gegevens (N)'!$C$17,-'Invoer gegevens (N)'!$C$19*$BC$134,0)</f>
        <v>0</v>
      </c>
      <c r="BG128" s="72">
        <f ca="1">AV128/(1+$BG$72)^($D128-('Invoer gegevens (N)'!$C$17-'Invoer gegevens (N)'!$C$16))/(1+'Invoer gegevens (N)'!$C$39)^('Invoer gegevens (N)'!$C$17-'Invoer gegevens (N)'!$C$16)+AW128/(1+$BG$72)^(E128-('Invoer gegevens (N)'!$C$17-1))/(1+'Invoer gegevens (N)'!$C$39)^('Invoer gegevens (N)'!$C$17-'Invoer gegevens (N)'!$C$16)+AX128/(1+'Invoer gegevens (N)'!$C$39)^('Invoer gegevens (N)'!$C$17-'Invoer gegevens (N)'!$C$16)+(-AY128/(1+'Invoer gegevens (N)'!$C$39)^D128)+BE128+BF128</f>
        <v>0</v>
      </c>
    </row>
    <row r="129" spans="2:59" x14ac:dyDescent="0.25">
      <c r="B129" s="70">
        <f t="shared" si="15"/>
        <v>57</v>
      </c>
      <c r="C129" s="67">
        <f ca="1">IF(AND(E129&gt;='Invoer gegevens (N)'!$C$17,E129&lt;'Invoer gegevens (N)'!$C$17+'Invoer gegevens (N)'!$I$14),1,0)</f>
        <v>0</v>
      </c>
      <c r="D129" s="68">
        <f t="shared" si="16"/>
        <v>56.5</v>
      </c>
      <c r="E129" s="108">
        <f ca="1">IF('Invoer gegevens (N)'!$C$16="","",E128+1)</f>
        <v>2075</v>
      </c>
      <c r="F129" s="84">
        <f ca="1">IF('Invoer gegevens (N)'!$C$17=E129,'Invoer gegevens (N)'!$C$10,IF(C129=1,K128,0))</f>
        <v>0</v>
      </c>
      <c r="G129" s="96">
        <f ca="1">IF(E129='Invoer gegevens (N)'!$C$17+'Invoer gegevens (N)'!$I$14,K128,IF(C129&gt;=1,F129*VLOOKUP(E129,'Reeksen (N)'!$A$5:$B$76,2),0))</f>
        <v>0</v>
      </c>
      <c r="H129" s="84">
        <f ca="1">IF(E129='Invoer gegevens (N)'!$C$17+'Invoer gegevens (N)'!$I$14,K128,(1-('Invoer gegevens (N)'!$F$20/12))*F129*MIN('Reeksen (N)'!B61,'Reeksen (N)'!D61))</f>
        <v>0</v>
      </c>
      <c r="I129" s="84">
        <f>IF('Reeksen (N)'!D61&lt;'Reeksen (N)'!B61,('Reeksen (N)'!B61-'Reeksen (N)'!D61)*F129,0)</f>
        <v>0</v>
      </c>
      <c r="J129" s="84">
        <f ca="1">IF(E129='Invoer gegevens (N)'!$C$17+'Invoer gegevens (N)'!$I$14+1,0,('Invoer gegevens (N)'!$F$20/12)*F128*MIN('Reeksen (N)'!B60,'Reeksen (N)'!D60))</f>
        <v>0</v>
      </c>
      <c r="K129" s="97">
        <f ca="1">IF(E129&gt;='Invoer gegevens (N)'!$C$17+'Invoer gegevens (N)'!$I$14,0,F129-G129)</f>
        <v>0</v>
      </c>
      <c r="L129" s="84">
        <f ca="1">IF('Invoer gegevens (N)'!$C$17=E129,0,IF(C129=1,Q128,0))</f>
        <v>0</v>
      </c>
      <c r="M129" s="96">
        <f ca="1">IF(E129='Invoer gegevens (N)'!$C$17+'Invoer gegevens (N)'!$I$14,Q128,IF(C129&gt;=1,L129*VLOOKUP(E129,'Reeksen (N)'!$A$5:$B$76,2),0))</f>
        <v>0</v>
      </c>
      <c r="N129" s="84">
        <f ca="1">IF(C129='Invoer gegevens (N)'!$C$17+'Invoer gegevens (N)'!$I$14,Q128,(1-('Invoer gegevens (N)'!$F$20/12))*L129*MIN('Reeksen (N)'!B61,'Reeksen (N)'!D61))</f>
        <v>0</v>
      </c>
      <c r="O129" s="84">
        <f>IF('Reeksen (N)'!D61&lt;'Reeksen (N)'!B61,('Reeksen (N)'!B61-'Reeksen (N)'!D61)*L129,0)</f>
        <v>0</v>
      </c>
      <c r="P129" s="84">
        <f ca="1">IF(E129='Invoer gegevens (N)'!$C$17+'Invoer gegevens (N)'!$I$14+1,0,('Invoer gegevens (N)'!$F$20/12)*L128*MIN('Reeksen (N)'!B60,'Reeksen (N)'!D60))</f>
        <v>0</v>
      </c>
      <c r="Q129" s="84">
        <f ca="1">IF(E129&gt;='Invoer gegevens (N)'!$C$17+'Invoer gegevens (N)'!$I$14,0,L129-M129+I129+O129)</f>
        <v>0</v>
      </c>
      <c r="R129" s="82">
        <f ca="1">IF('Invoer gegevens (N)'!$C$17=E129,'Invoer gegevens (N)'!$C$11,IF(C129=1,W128,0))</f>
        <v>0</v>
      </c>
      <c r="S129" s="86">
        <f ca="1">IF(E129='Invoer gegevens (N)'!$C$17+'Invoer gegevens (N)'!$I$14,W128,IF(C129&gt;=1,R129*VLOOKUP(E129,'Reeksen (N)'!$A$5:$B$76,2),0))</f>
        <v>0</v>
      </c>
      <c r="T129" s="84">
        <f ca="1">IF(E129='Invoer gegevens (N)'!$C$17+'Invoer gegevens (N)'!$I$14,W128,(1-('Invoer gegevens (N)'!$F$20/12))*R129*MIN('Reeksen (N)'!B61,'Reeksen (N)'!D61))</f>
        <v>0</v>
      </c>
      <c r="U129" s="84">
        <f>IF('Reeksen (N)'!D61&gt;='Reeksen (N)'!B61,0,IF('Reeksen (N)'!AK61&lt;='Reeksen (N)'!AE61,('Reeksen (N)'!B61-'Reeksen (N)'!D61)*R129,0))</f>
        <v>0</v>
      </c>
      <c r="V129" s="86">
        <f>IF('Reeksen (N)'!D61&gt;='Reeksen (N)'!B61,0,IF('Reeksen (N)'!AK61&gt;'Reeksen (N)'!AE61,('Reeksen (N)'!B61-'Reeksen (N)'!D61)*R129,0))</f>
        <v>0</v>
      </c>
      <c r="W129" s="97">
        <f ca="1">IF(E129&gt;='Invoer gegevens (N)'!$C$17+'Invoer gegevens (N)'!$I$14,0,R129-S129)</f>
        <v>0</v>
      </c>
      <c r="X129" s="98">
        <f ca="1">IF('Invoer gegevens (N)'!$C$17=E129,'Invoer gegevens (N)'!$C$10-'Invoer gegevens (N)'!$C$11,IF(C129=1,AC128,0))</f>
        <v>0</v>
      </c>
      <c r="Y129" s="98">
        <f ca="1">IF(E129='Invoer gegevens (N)'!$C$17+'Invoer gegevens (N)'!$I$14,AC128,IF(C129&gt;=1,X129*VLOOKUP(E129,'Reeksen (N)'!$A$5:$B$76,2),0))</f>
        <v>0</v>
      </c>
      <c r="Z129" s="98">
        <f ca="1">IF(E129='Invoer gegevens (N)'!$C$17+'Invoer gegevens (N)'!$I$14,AC128,(1-('Invoer gegevens (N)'!$F$20/12))*X129*MIN('Reeksen (N)'!B61,'Reeksen (N)'!D61))</f>
        <v>0</v>
      </c>
      <c r="AA129" s="98">
        <f>IF('Reeksen (N)'!D61&gt;='Reeksen (N)'!B61,0,IF('Reeksen (N)'!AK61&lt;='Reeksen (N)'!AE61,('Reeksen (N)'!B61-'Reeksen (N)'!D61)*X129,0))</f>
        <v>0</v>
      </c>
      <c r="AB129" s="98">
        <f>IF('Reeksen (N)'!D61&gt;='Reeksen (N)'!B61,0,IF('Reeksen (N)'!AK61&gt;'Reeksen (N)'!AE61,('Reeksen (N)'!B61-'Reeksen (N)'!D61)*X129,0))</f>
        <v>0</v>
      </c>
      <c r="AC129" s="99">
        <f ca="1">IF(E129&gt;='Invoer gegevens (N)'!$C$17+'Invoer gegevens (N)'!$I$14,0,X129-Y129)</f>
        <v>0</v>
      </c>
      <c r="AD129" s="98">
        <f ca="1">IF('Invoer gegevens (N)'!$C$17=E61,R129,IF(C61=0,0,AE128))</f>
        <v>0</v>
      </c>
      <c r="AE129" s="98">
        <f t="shared" ca="1" si="9"/>
        <v>0</v>
      </c>
      <c r="AF129" s="98">
        <f ca="1">IF('Invoer gegevens (N)'!$C$17=E61,X129,IF(C61=0,0,AG128))</f>
        <v>0</v>
      </c>
      <c r="AG129" s="98">
        <f t="shared" ca="1" si="10"/>
        <v>0</v>
      </c>
      <c r="AH129" s="66"/>
      <c r="AI129" s="71">
        <f ca="1">IF(C129=1,(('Reeksen (N)'!BF61*(F129-G129+F129)/2)+((L129-M129+L129)/2*'Reeksen (N)'!BG61))*12,0)</f>
        <v>0</v>
      </c>
      <c r="AJ129" s="71">
        <f ca="1">-AI129*'Invoer gegevens (N)'!$I$26</f>
        <v>0</v>
      </c>
      <c r="AK129" s="71">
        <f t="shared" ca="1" si="11"/>
        <v>0</v>
      </c>
      <c r="AL129" s="71">
        <f ca="1">IF(C129=1,'Reeksen (N)'!AL61*((F129-G129+F129)/2)*12+'Reeksen (N)'!AM61*((L129-M129+L129)/2)*12,0)</f>
        <v>0</v>
      </c>
      <c r="AM129" s="71">
        <f ca="1">-AL129*'Invoer gegevens (N)'!$F$31</f>
        <v>0</v>
      </c>
      <c r="AN129" s="71">
        <f t="shared" ca="1" si="12"/>
        <v>0</v>
      </c>
      <c r="AO129" s="71">
        <f ca="1">IF(E129&gt;='Invoer gegevens (N)'!$C$17+'Invoer gegevens (N)'!$I$14,0,IF(C129=1,(H129+J129+N129+P129)*'Reeksen (N)'!AN61,0))</f>
        <v>0</v>
      </c>
      <c r="AP129" s="71">
        <f ca="1">-IF(C129=1,(H129+J129+N129+P129)*'Reeksen (N)'!AN60*'Hulp - basis'!$J$550,0)</f>
        <v>0</v>
      </c>
      <c r="AQ129" s="71">
        <f ca="1">-IF(C129=1,(F129+K129+L129+Q129)/2*'Invoer gegevens (N)'!$I$33*'Reeksen (N)'!J61,0)</f>
        <v>0</v>
      </c>
      <c r="AR129" s="71">
        <f ca="1">-IF(C129=1,(I129*'Invoer gegevens (N)'!$I$34)*'Reeksen (N)'!J61,0)</f>
        <v>0</v>
      </c>
      <c r="AS129" s="71">
        <f ca="1">-IF(C129=1,(F129+K129+L129+Q129)/2*'Invoer gegevens (N)'!$I$35*'Reeksen (N)'!L61,0)</f>
        <v>0</v>
      </c>
      <c r="AT129" s="71">
        <f ca="1">-IF(C129=1,IF(E129='Invoer gegevens (N)'!$C$17,'Invoer gegevens (N)'!$C$11,AD129)*'Reeksen (N)'!S61*'Invoer gegevens (N)'!$C$18*'Reeksen (N)'!P61,0)</f>
        <v>0</v>
      </c>
      <c r="AU129" s="71">
        <f ca="1">-IF(C129=1,(F129+K129+L129+Q129)/2*'Invoer gegevens (N)'!$I$36*'Reeksen (N)'!H61,0)</f>
        <v>0</v>
      </c>
      <c r="AV129" s="71">
        <f t="shared" ca="1" si="13"/>
        <v>0</v>
      </c>
      <c r="AW129" s="72">
        <f ca="1">IFERROR(IF(E129='Invoer gegevens (N)'!$C$17+'Invoer gegevens (N)'!$I$14-1,'Invoer gegevens (N)'!$I$13*K129*'Reeksen (N)'!H61,0),0)</f>
        <v>0</v>
      </c>
      <c r="AX129" s="72">
        <f ca="1">IFERROR(IF(E129='Invoer gegevens (N)'!$C$17,-'Invoer gegevens (N)'!$C$10*('Invoer gegevens (N)'!$C$30+'Invoer gegevens (N)'!$C$31)*'Reeksen (N)'!H61,0),0)</f>
        <v>0</v>
      </c>
      <c r="AY129" s="73">
        <f ca="1">IF('Invoer gegevens (N)'!$C$34=E129,'Invoer gegevens (N)'!$C$27*'Invoer gegevens (N)'!$C$10*'Invoer gegevens (N)'!$C$36*(IF('Invoer gegevens (N)'!$C$35="ja",1,'Reeksen (N)'!J61)),IF('Invoer gegevens (N)'!$C$34+1=E129,'Invoer gegevens (N)'!$C$27*'Invoer gegevens (N)'!$C$10*'Invoer gegevens (N)'!$C$37*(IF('Invoer gegevens (N)'!$C$35="ja",1,'Reeksen (N)'!J61)),0))+IF(AND(E129='Invoer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29" s="73">
        <f ca="1">AV129/(1+'Invoer gegevens (N)'!$I$12)^($D129-('Invoer gegevens (N)'!$C$17-'Invoer gegevens (N)'!$C$16))/(1+'Invoer gegevens (N)'!$C$39)^('Invoer gegevens (N)'!$C$17-'Invoer gegevens (N)'!$C$16)</f>
        <v>0</v>
      </c>
      <c r="BA129" s="73">
        <f ca="1">AW129/(1+'Invoer gegevens (N)'!$I$12)^(E129-('Invoer gegevens (N)'!$C$17-1))/(1+'Invoer gegevens (N)'!$C$39)^('Invoer gegevens (N)'!$C$17-'Invoer gegevens (N)'!$C$16)</f>
        <v>0</v>
      </c>
      <c r="BB129" s="73">
        <f ca="1">AX129/(1+'Invoer gegevens (N)'!$C$39)^('Invoer gegevens (N)'!$C$17-'Invoer gegevens (N)'!$C$16)</f>
        <v>0</v>
      </c>
      <c r="BC129" s="72">
        <f t="shared" ca="1" si="14"/>
        <v>0</v>
      </c>
      <c r="BD129" s="72">
        <f ca="1">IF(AND(E129='Invoer gegevens (N)'!$C$16,'Invoer gegevens (N)'!$C$34&lt;'Invoer gegevens (N)'!$C$16),AY129,AY129/(1+'Invoer gegevens (N)'!$C$39)^D129)</f>
        <v>0</v>
      </c>
      <c r="BE129" s="72">
        <f ca="1">IF(E129='Invoer gegevens (N)'!$C$34,-'Invoer gegevens (N)'!$I$38,0)</f>
        <v>0</v>
      </c>
      <c r="BF129" s="72">
        <f ca="1">IF(E129='Invoer gegevens (N)'!$C$17,-'Invoer gegevens (N)'!$C$19*$BC$134,0)</f>
        <v>0</v>
      </c>
      <c r="BG129" s="72">
        <f ca="1">AV129/(1+$BG$72)^($D129-('Invoer gegevens (N)'!$C$17-'Invoer gegevens (N)'!$C$16))/(1+'Invoer gegevens (N)'!$C$39)^('Invoer gegevens (N)'!$C$17-'Invoer gegevens (N)'!$C$16)+AW129/(1+$BG$72)^(E129-('Invoer gegevens (N)'!$C$17-1))/(1+'Invoer gegevens (N)'!$C$39)^('Invoer gegevens (N)'!$C$17-'Invoer gegevens (N)'!$C$16)+AX129/(1+'Invoer gegevens (N)'!$C$39)^('Invoer gegevens (N)'!$C$17-'Invoer gegevens (N)'!$C$16)+(-AY129/(1+'Invoer gegevens (N)'!$C$39)^D129)+BE129+BF129</f>
        <v>0</v>
      </c>
    </row>
    <row r="130" spans="2:59" x14ac:dyDescent="0.25">
      <c r="B130" s="70">
        <f t="shared" si="15"/>
        <v>58</v>
      </c>
      <c r="C130" s="67">
        <f ca="1">IF(AND(E130&gt;='Invoer gegevens (N)'!$C$17,E130&lt;'Invoer gegevens (N)'!$C$17+'Invoer gegevens (N)'!$I$14),1,0)</f>
        <v>0</v>
      </c>
      <c r="D130" s="68">
        <f t="shared" si="16"/>
        <v>57.5</v>
      </c>
      <c r="E130" s="108">
        <f ca="1">IF('Invoer gegevens (N)'!$C$16="","",E129+1)</f>
        <v>2076</v>
      </c>
      <c r="F130" s="84">
        <f ca="1">IF('Invoer gegevens (N)'!$C$17=E130,'Invoer gegevens (N)'!$C$10,IF(C130=1,K129,0))</f>
        <v>0</v>
      </c>
      <c r="G130" s="96">
        <f ca="1">IF(E130='Invoer gegevens (N)'!$C$17+'Invoer gegevens (N)'!$I$14,K129,IF(C130&gt;=1,F130*VLOOKUP(E130,'Reeksen (N)'!$A$5:$B$76,2),0))</f>
        <v>0</v>
      </c>
      <c r="H130" s="84">
        <f ca="1">IF(E130='Invoer gegevens (N)'!$C$17+'Invoer gegevens (N)'!$I$14,K129,(1-('Invoer gegevens (N)'!$F$20/12))*F130*MIN('Reeksen (N)'!B62,'Reeksen (N)'!D62))</f>
        <v>0</v>
      </c>
      <c r="I130" s="84">
        <f>IF('Reeksen (N)'!D62&lt;'Reeksen (N)'!B62,('Reeksen (N)'!B62-'Reeksen (N)'!D62)*F130,0)</f>
        <v>0</v>
      </c>
      <c r="J130" s="84">
        <f ca="1">IF(E130='Invoer gegevens (N)'!$C$17+'Invoer gegevens (N)'!$I$14+1,0,('Invoer gegevens (N)'!$F$20/12)*F129*MIN('Reeksen (N)'!B61,'Reeksen (N)'!D61))</f>
        <v>0</v>
      </c>
      <c r="K130" s="97">
        <f ca="1">IF(E130&gt;='Invoer gegevens (N)'!$C$17+'Invoer gegevens (N)'!$I$14,0,F130-G130)</f>
        <v>0</v>
      </c>
      <c r="L130" s="84">
        <f ca="1">IF('Invoer gegevens (N)'!$C$17=E130,0,IF(C130=1,Q129,0))</f>
        <v>0</v>
      </c>
      <c r="M130" s="96">
        <f ca="1">IF(E130='Invoer gegevens (N)'!$C$17+'Invoer gegevens (N)'!$I$14,Q129,IF(C130&gt;=1,L130*VLOOKUP(E130,'Reeksen (N)'!$A$5:$B$76,2),0))</f>
        <v>0</v>
      </c>
      <c r="N130" s="84">
        <f ca="1">IF(C130='Invoer gegevens (N)'!$C$17+'Invoer gegevens (N)'!$I$14,Q129,(1-('Invoer gegevens (N)'!$F$20/12))*L130*MIN('Reeksen (N)'!B62,'Reeksen (N)'!D62))</f>
        <v>0</v>
      </c>
      <c r="O130" s="84">
        <f>IF('Reeksen (N)'!D62&lt;'Reeksen (N)'!B62,('Reeksen (N)'!B62-'Reeksen (N)'!D62)*L130,0)</f>
        <v>0</v>
      </c>
      <c r="P130" s="84">
        <f ca="1">IF(E130='Invoer gegevens (N)'!$C$17+'Invoer gegevens (N)'!$I$14+1,0,('Invoer gegevens (N)'!$F$20/12)*L129*MIN('Reeksen (N)'!B61,'Reeksen (N)'!D61))</f>
        <v>0</v>
      </c>
      <c r="Q130" s="84">
        <f ca="1">IF(E130&gt;='Invoer gegevens (N)'!$C$17+'Invoer gegevens (N)'!$I$14,0,L130-M130+I130+O130)</f>
        <v>0</v>
      </c>
      <c r="R130" s="82">
        <f ca="1">IF('Invoer gegevens (N)'!$C$17=E130,'Invoer gegevens (N)'!$C$11,IF(C130=1,W129,0))</f>
        <v>0</v>
      </c>
      <c r="S130" s="86">
        <f ca="1">IF(E130='Invoer gegevens (N)'!$C$17+'Invoer gegevens (N)'!$I$14,W129,IF(C130&gt;=1,R130*VLOOKUP(E130,'Reeksen (N)'!$A$5:$B$76,2),0))</f>
        <v>0</v>
      </c>
      <c r="T130" s="84">
        <f ca="1">IF(E130='Invoer gegevens (N)'!$C$17+'Invoer gegevens (N)'!$I$14,W129,(1-('Invoer gegevens (N)'!$F$20/12))*R130*MIN('Reeksen (N)'!B62,'Reeksen (N)'!D62))</f>
        <v>0</v>
      </c>
      <c r="U130" s="84">
        <f>IF('Reeksen (N)'!D62&gt;='Reeksen (N)'!B62,0,IF('Reeksen (N)'!AK62&lt;='Reeksen (N)'!AE62,('Reeksen (N)'!B62-'Reeksen (N)'!D62)*R130,0))</f>
        <v>0</v>
      </c>
      <c r="V130" s="86">
        <f>IF('Reeksen (N)'!D62&gt;='Reeksen (N)'!B62,0,IF('Reeksen (N)'!AK62&gt;'Reeksen (N)'!AE62,('Reeksen (N)'!B62-'Reeksen (N)'!D62)*R130,0))</f>
        <v>0</v>
      </c>
      <c r="W130" s="97">
        <f ca="1">IF(E130&gt;='Invoer gegevens (N)'!$C$17+'Invoer gegevens (N)'!$I$14,0,R130-S130)</f>
        <v>0</v>
      </c>
      <c r="X130" s="98">
        <f ca="1">IF('Invoer gegevens (N)'!$C$17=E130,'Invoer gegevens (N)'!$C$10-'Invoer gegevens (N)'!$C$11,IF(C130=1,AC129,0))</f>
        <v>0</v>
      </c>
      <c r="Y130" s="98">
        <f ca="1">IF(E130='Invoer gegevens (N)'!$C$17+'Invoer gegevens (N)'!$I$14,AC129,IF(C130&gt;=1,X130*VLOOKUP(E130,'Reeksen (N)'!$A$5:$B$76,2),0))</f>
        <v>0</v>
      </c>
      <c r="Z130" s="98">
        <f ca="1">IF(E130='Invoer gegevens (N)'!$C$17+'Invoer gegevens (N)'!$I$14,AC129,(1-('Invoer gegevens (N)'!$F$20/12))*X130*MIN('Reeksen (N)'!B62,'Reeksen (N)'!D62))</f>
        <v>0</v>
      </c>
      <c r="AA130" s="98">
        <f>IF('Reeksen (N)'!D62&gt;='Reeksen (N)'!B62,0,IF('Reeksen (N)'!AK62&lt;='Reeksen (N)'!AE62,('Reeksen (N)'!B62-'Reeksen (N)'!D62)*X130,0))</f>
        <v>0</v>
      </c>
      <c r="AB130" s="98">
        <f>IF('Reeksen (N)'!D62&gt;='Reeksen (N)'!B62,0,IF('Reeksen (N)'!AK62&gt;'Reeksen (N)'!AE62,('Reeksen (N)'!B62-'Reeksen (N)'!D62)*X130,0))</f>
        <v>0</v>
      </c>
      <c r="AC130" s="99">
        <f ca="1">IF(E130&gt;='Invoer gegevens (N)'!$C$17+'Invoer gegevens (N)'!$I$14,0,X130-Y130)</f>
        <v>0</v>
      </c>
      <c r="AD130" s="98">
        <f ca="1">IF('Invoer gegevens (N)'!$C$17=E62,R130,IF(C62=0,0,AE129))</f>
        <v>0</v>
      </c>
      <c r="AE130" s="98">
        <f t="shared" ca="1" si="9"/>
        <v>0</v>
      </c>
      <c r="AF130" s="98">
        <f ca="1">IF('Invoer gegevens (N)'!$C$17=E62,X130,IF(C62=0,0,AG129))</f>
        <v>0</v>
      </c>
      <c r="AG130" s="98">
        <f t="shared" ca="1" si="10"/>
        <v>0</v>
      </c>
      <c r="AH130" s="66"/>
      <c r="AI130" s="71">
        <f ca="1">IF(C130=1,(('Reeksen (N)'!BF62*(F130-G130+F130)/2)+((L130-M130+L130)/2*'Reeksen (N)'!BG62))*12,0)</f>
        <v>0</v>
      </c>
      <c r="AJ130" s="71">
        <f ca="1">-AI130*'Invoer gegevens (N)'!$I$26</f>
        <v>0</v>
      </c>
      <c r="AK130" s="71">
        <f t="shared" ca="1" si="11"/>
        <v>0</v>
      </c>
      <c r="AL130" s="71">
        <f ca="1">IF(C130=1,'Reeksen (N)'!AL62*((F130-G130+F130)/2)*12+'Reeksen (N)'!AM62*((L130-M130+L130)/2)*12,0)</f>
        <v>0</v>
      </c>
      <c r="AM130" s="71">
        <f ca="1">-AL130*'Invoer gegevens (N)'!$F$31</f>
        <v>0</v>
      </c>
      <c r="AN130" s="71">
        <f t="shared" ca="1" si="12"/>
        <v>0</v>
      </c>
      <c r="AO130" s="71">
        <f ca="1">IF(E130&gt;='Invoer gegevens (N)'!$C$17+'Invoer gegevens (N)'!$I$14,0,IF(C130=1,(H130+J130+N130+P130)*'Reeksen (N)'!AN62,0))</f>
        <v>0</v>
      </c>
      <c r="AP130" s="71">
        <f ca="1">-IF(C130=1,(H130+J130+N130+P130)*'Reeksen (N)'!AN61*'Hulp - basis'!$J$550,0)</f>
        <v>0</v>
      </c>
      <c r="AQ130" s="71">
        <f ca="1">-IF(C130=1,(F130+K130+L130+Q130)/2*'Invoer gegevens (N)'!$I$33*'Reeksen (N)'!J62,0)</f>
        <v>0</v>
      </c>
      <c r="AR130" s="71">
        <f ca="1">-IF(C130=1,(I130*'Invoer gegevens (N)'!$I$34)*'Reeksen (N)'!J62,0)</f>
        <v>0</v>
      </c>
      <c r="AS130" s="71">
        <f ca="1">-IF(C130=1,(F130+K130+L130+Q130)/2*'Invoer gegevens (N)'!$I$35*'Reeksen (N)'!L62,0)</f>
        <v>0</v>
      </c>
      <c r="AT130" s="71">
        <f ca="1">-IF(C130=1,IF(E130='Invoer gegevens (N)'!$C$17,'Invoer gegevens (N)'!$C$11,AD130)*'Reeksen (N)'!S62*'Invoer gegevens (N)'!$C$18*'Reeksen (N)'!P62,0)</f>
        <v>0</v>
      </c>
      <c r="AU130" s="71">
        <f ca="1">-IF(C130=1,(F130+K130+L130+Q130)/2*'Invoer gegevens (N)'!$I$36*'Reeksen (N)'!H62,0)</f>
        <v>0</v>
      </c>
      <c r="AV130" s="71">
        <f t="shared" ca="1" si="13"/>
        <v>0</v>
      </c>
      <c r="AW130" s="72">
        <f ca="1">IFERROR(IF(E130='Invoer gegevens (N)'!$C$17+'Invoer gegevens (N)'!$I$14-1,'Invoer gegevens (N)'!$I$13*K130*'Reeksen (N)'!H62,0),0)</f>
        <v>0</v>
      </c>
      <c r="AX130" s="72">
        <f ca="1">IFERROR(IF(E130='Invoer gegevens (N)'!$C$17,-'Invoer gegevens (N)'!$C$10*('Invoer gegevens (N)'!$C$30+'Invoer gegevens (N)'!$C$31)*'Reeksen (N)'!H62,0),0)</f>
        <v>0</v>
      </c>
      <c r="AY130" s="73">
        <f ca="1">IF('Invoer gegevens (N)'!$C$34=E130,'Invoer gegevens (N)'!$C$27*'Invoer gegevens (N)'!$C$10*'Invoer gegevens (N)'!$C$36*(IF('Invoer gegevens (N)'!$C$35="ja",1,'Reeksen (N)'!J62)),IF('Invoer gegevens (N)'!$C$34+1=E130,'Invoer gegevens (N)'!$C$27*'Invoer gegevens (N)'!$C$10*'Invoer gegevens (N)'!$C$37*(IF('Invoer gegevens (N)'!$C$35="ja",1,'Reeksen (N)'!J62)),0))+IF(AND(E130='Invoer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30" s="73">
        <f ca="1">AV130/(1+'Invoer gegevens (N)'!$I$12)^($D130-('Invoer gegevens (N)'!$C$17-'Invoer gegevens (N)'!$C$16))/(1+'Invoer gegevens (N)'!$C$39)^('Invoer gegevens (N)'!$C$17-'Invoer gegevens (N)'!$C$16)</f>
        <v>0</v>
      </c>
      <c r="BA130" s="73">
        <f ca="1">AW130/(1+'Invoer gegevens (N)'!$I$12)^(E130-('Invoer gegevens (N)'!$C$17-1))/(1+'Invoer gegevens (N)'!$C$39)^('Invoer gegevens (N)'!$C$17-'Invoer gegevens (N)'!$C$16)</f>
        <v>0</v>
      </c>
      <c r="BB130" s="73">
        <f ca="1">AX130/(1+'Invoer gegevens (N)'!$C$39)^('Invoer gegevens (N)'!$C$17-'Invoer gegevens (N)'!$C$16)</f>
        <v>0</v>
      </c>
      <c r="BC130" s="72">
        <f t="shared" ca="1" si="14"/>
        <v>0</v>
      </c>
      <c r="BD130" s="72">
        <f ca="1">IF(AND(E130='Invoer gegevens (N)'!$C$16,'Invoer gegevens (N)'!$C$34&lt;'Invoer gegevens (N)'!$C$16),AY130,AY130/(1+'Invoer gegevens (N)'!$C$39)^D130)</f>
        <v>0</v>
      </c>
      <c r="BE130" s="72">
        <f ca="1">IF(E130='Invoer gegevens (N)'!$C$34,-'Invoer gegevens (N)'!$I$38,0)</f>
        <v>0</v>
      </c>
      <c r="BF130" s="72">
        <f ca="1">IF(E130='Invoer gegevens (N)'!$C$17,-'Invoer gegevens (N)'!$C$19*$BC$134,0)</f>
        <v>0</v>
      </c>
      <c r="BG130" s="72">
        <f ca="1">AV130/(1+$BG$72)^($D130-('Invoer gegevens (N)'!$C$17-'Invoer gegevens (N)'!$C$16))/(1+'Invoer gegevens (N)'!$C$39)^('Invoer gegevens (N)'!$C$17-'Invoer gegevens (N)'!$C$16)+AW130/(1+$BG$72)^(E130-('Invoer gegevens (N)'!$C$17-1))/(1+'Invoer gegevens (N)'!$C$39)^('Invoer gegevens (N)'!$C$17-'Invoer gegevens (N)'!$C$16)+AX130/(1+'Invoer gegevens (N)'!$C$39)^('Invoer gegevens (N)'!$C$17-'Invoer gegevens (N)'!$C$16)+(-AY130/(1+'Invoer gegevens (N)'!$C$39)^D130)+BE130+BF130</f>
        <v>0</v>
      </c>
    </row>
    <row r="131" spans="2:59" x14ac:dyDescent="0.25">
      <c r="B131" s="70">
        <f t="shared" si="15"/>
        <v>59</v>
      </c>
      <c r="C131" s="67">
        <f ca="1">IF(AND(E131&gt;='Invoer gegevens (N)'!$C$17,E131&lt;'Invoer gegevens (N)'!$C$17+'Invoer gegevens (N)'!$I$14),1,0)</f>
        <v>0</v>
      </c>
      <c r="D131" s="68">
        <f t="shared" si="16"/>
        <v>58.5</v>
      </c>
      <c r="E131" s="108">
        <f ca="1">IF('Invoer gegevens (N)'!$C$16="","",E130+1)</f>
        <v>2077</v>
      </c>
      <c r="F131" s="84">
        <f ca="1">IF('Invoer gegevens (N)'!$C$17=E131,'Invoer gegevens (N)'!$C$10,IF(C131=1,K130,0))</f>
        <v>0</v>
      </c>
      <c r="G131" s="96">
        <f ca="1">IF(E131='Invoer gegevens (N)'!$C$17+'Invoer gegevens (N)'!$I$14,K130,IF(C131&gt;=1,F131*VLOOKUP(E131,'Reeksen (N)'!$A$5:$B$76,2),0))</f>
        <v>0</v>
      </c>
      <c r="H131" s="84">
        <f ca="1">IF(E131='Invoer gegevens (N)'!$C$17+'Invoer gegevens (N)'!$I$14,K130,(1-('Invoer gegevens (N)'!$F$20/12))*F131*MIN('Reeksen (N)'!B63,'Reeksen (N)'!D63))</f>
        <v>0</v>
      </c>
      <c r="I131" s="84">
        <f>IF('Reeksen (N)'!D63&lt;'Reeksen (N)'!B63,('Reeksen (N)'!B63-'Reeksen (N)'!D63)*F131,0)</f>
        <v>0</v>
      </c>
      <c r="J131" s="84">
        <f ca="1">IF(E131='Invoer gegevens (N)'!$C$17+'Invoer gegevens (N)'!$I$14+1,0,('Invoer gegevens (N)'!$F$20/12)*F130*MIN('Reeksen (N)'!B62,'Reeksen (N)'!D62))</f>
        <v>0</v>
      </c>
      <c r="K131" s="97">
        <f ca="1">IF(E131&gt;='Invoer gegevens (N)'!$C$17+'Invoer gegevens (N)'!$I$14,0,F131-G131)</f>
        <v>0</v>
      </c>
      <c r="L131" s="84">
        <f ca="1">IF('Invoer gegevens (N)'!$C$17=E131,0,IF(C131=1,Q130,0))</f>
        <v>0</v>
      </c>
      <c r="M131" s="96">
        <f ca="1">IF(E131='Invoer gegevens (N)'!$C$17+'Invoer gegevens (N)'!$I$14,Q130,IF(C131&gt;=1,L131*VLOOKUP(E131,'Reeksen (N)'!$A$5:$B$76,2),0))</f>
        <v>0</v>
      </c>
      <c r="N131" s="84">
        <f ca="1">IF(C131='Invoer gegevens (N)'!$C$17+'Invoer gegevens (N)'!$I$14,Q130,(1-('Invoer gegevens (N)'!$F$20/12))*L131*MIN('Reeksen (N)'!B63,'Reeksen (N)'!D63))</f>
        <v>0</v>
      </c>
      <c r="O131" s="84">
        <f>IF('Reeksen (N)'!D63&lt;'Reeksen (N)'!B63,('Reeksen (N)'!B63-'Reeksen (N)'!D63)*L131,0)</f>
        <v>0</v>
      </c>
      <c r="P131" s="84">
        <f ca="1">IF(E131='Invoer gegevens (N)'!$C$17+'Invoer gegevens (N)'!$I$14+1,0,('Invoer gegevens (N)'!$F$20/12)*L130*MIN('Reeksen (N)'!B62,'Reeksen (N)'!D62))</f>
        <v>0</v>
      </c>
      <c r="Q131" s="84">
        <f ca="1">IF(E131&gt;='Invoer gegevens (N)'!$C$17+'Invoer gegevens (N)'!$I$14,0,L131-M131+I131+O131)</f>
        <v>0</v>
      </c>
      <c r="R131" s="82">
        <f ca="1">IF('Invoer gegevens (N)'!$C$17=E131,'Invoer gegevens (N)'!$C$11,IF(C131=1,W130,0))</f>
        <v>0</v>
      </c>
      <c r="S131" s="86">
        <f ca="1">IF(E131='Invoer gegevens (N)'!$C$17+'Invoer gegevens (N)'!$I$14,W130,IF(C131&gt;=1,R131*VLOOKUP(E131,'Reeksen (N)'!$A$5:$B$76,2),0))</f>
        <v>0</v>
      </c>
      <c r="T131" s="84">
        <f ca="1">IF(E131='Invoer gegevens (N)'!$C$17+'Invoer gegevens (N)'!$I$14,W130,(1-('Invoer gegevens (N)'!$F$20/12))*R131*MIN('Reeksen (N)'!B63,'Reeksen (N)'!D63))</f>
        <v>0</v>
      </c>
      <c r="U131" s="84">
        <f>IF('Reeksen (N)'!D63&gt;='Reeksen (N)'!B63,0,IF('Reeksen (N)'!AK63&lt;='Reeksen (N)'!AE63,('Reeksen (N)'!B63-'Reeksen (N)'!D63)*R131,0))</f>
        <v>0</v>
      </c>
      <c r="V131" s="86">
        <f>IF('Reeksen (N)'!D63&gt;='Reeksen (N)'!B63,0,IF('Reeksen (N)'!AK63&gt;'Reeksen (N)'!AE63,('Reeksen (N)'!B63-'Reeksen (N)'!D63)*R131,0))</f>
        <v>0</v>
      </c>
      <c r="W131" s="97">
        <f ca="1">IF(E131&gt;='Invoer gegevens (N)'!$C$17+'Invoer gegevens (N)'!$I$14,0,R131-S131)</f>
        <v>0</v>
      </c>
      <c r="X131" s="98">
        <f ca="1">IF('Invoer gegevens (N)'!$C$17=E131,'Invoer gegevens (N)'!$C$10-'Invoer gegevens (N)'!$C$11,IF(C131=1,AC130,0))</f>
        <v>0</v>
      </c>
      <c r="Y131" s="98">
        <f ca="1">IF(E131='Invoer gegevens (N)'!$C$17+'Invoer gegevens (N)'!$I$14,AC130,IF(C131&gt;=1,X131*VLOOKUP(E131,'Reeksen (N)'!$A$5:$B$76,2),0))</f>
        <v>0</v>
      </c>
      <c r="Z131" s="98">
        <f ca="1">IF(E131='Invoer gegevens (N)'!$C$17+'Invoer gegevens (N)'!$I$14,AC130,(1-('Invoer gegevens (N)'!$F$20/12))*X131*MIN('Reeksen (N)'!B63,'Reeksen (N)'!D63))</f>
        <v>0</v>
      </c>
      <c r="AA131" s="98">
        <f>IF('Reeksen (N)'!D63&gt;='Reeksen (N)'!B63,0,IF('Reeksen (N)'!AK63&lt;='Reeksen (N)'!AE63,('Reeksen (N)'!B63-'Reeksen (N)'!D63)*X131,0))</f>
        <v>0</v>
      </c>
      <c r="AB131" s="98">
        <f>IF('Reeksen (N)'!D63&gt;='Reeksen (N)'!B63,0,IF('Reeksen (N)'!AK63&gt;'Reeksen (N)'!AE63,('Reeksen (N)'!B63-'Reeksen (N)'!D63)*X131,0))</f>
        <v>0</v>
      </c>
      <c r="AC131" s="99">
        <f ca="1">IF(E131&gt;='Invoer gegevens (N)'!$C$17+'Invoer gegevens (N)'!$I$14,0,X131-Y131)</f>
        <v>0</v>
      </c>
      <c r="AD131" s="98">
        <f ca="1">IF('Invoer gegevens (N)'!$C$17=E63,R131,IF(C63=0,0,AE130))</f>
        <v>0</v>
      </c>
      <c r="AE131" s="98">
        <f t="shared" ca="1" si="9"/>
        <v>0</v>
      </c>
      <c r="AF131" s="98">
        <f ca="1">IF('Invoer gegevens (N)'!$C$17=E63,X131,IF(C63=0,0,AG130))</f>
        <v>0</v>
      </c>
      <c r="AG131" s="98">
        <f t="shared" ca="1" si="10"/>
        <v>0</v>
      </c>
      <c r="AH131" s="66"/>
      <c r="AI131" s="71">
        <f ca="1">IF(C131=1,(('Reeksen (N)'!BF63*(F131-G131+F131)/2)+((L131-M131+L131)/2*'Reeksen (N)'!BG63))*12,0)</f>
        <v>0</v>
      </c>
      <c r="AJ131" s="71">
        <f ca="1">-AI131*'Invoer gegevens (N)'!$I$26</f>
        <v>0</v>
      </c>
      <c r="AK131" s="71">
        <f t="shared" ca="1" si="11"/>
        <v>0</v>
      </c>
      <c r="AL131" s="71">
        <f ca="1">IF(C131=1,'Reeksen (N)'!AL63*((F131-G131+F131)/2)*12+'Reeksen (N)'!AM63*((L131-M131+L131)/2)*12,0)</f>
        <v>0</v>
      </c>
      <c r="AM131" s="71">
        <f ca="1">-AL131*'Invoer gegevens (N)'!$F$31</f>
        <v>0</v>
      </c>
      <c r="AN131" s="71">
        <f t="shared" ca="1" si="12"/>
        <v>0</v>
      </c>
      <c r="AO131" s="71">
        <f ca="1">IF(E131&gt;='Invoer gegevens (N)'!$C$17+'Invoer gegevens (N)'!$I$14,0,IF(C131=1,(H131+J131+N131+P131)*'Reeksen (N)'!AN63,0))</f>
        <v>0</v>
      </c>
      <c r="AP131" s="71">
        <f ca="1">-IF(C131=1,(H131+J131+N131+P131)*'Reeksen (N)'!AN62*'Hulp - basis'!$J$550,0)</f>
        <v>0</v>
      </c>
      <c r="AQ131" s="71">
        <f ca="1">-IF(C131=1,(F131+K131+L131+Q131)/2*'Invoer gegevens (N)'!$I$33*'Reeksen (N)'!J63,0)</f>
        <v>0</v>
      </c>
      <c r="AR131" s="71">
        <f ca="1">-IF(C131=1,(I131*'Invoer gegevens (N)'!$I$34)*'Reeksen (N)'!J63,0)</f>
        <v>0</v>
      </c>
      <c r="AS131" s="71">
        <f ca="1">-IF(C131=1,(F131+K131+L131+Q131)/2*'Invoer gegevens (N)'!$I$35*'Reeksen (N)'!L63,0)</f>
        <v>0</v>
      </c>
      <c r="AT131" s="71">
        <f ca="1">-IF(C131=1,IF(E131='Invoer gegevens (N)'!$C$17,'Invoer gegevens (N)'!$C$11,AD131)*'Reeksen (N)'!S63*'Invoer gegevens (N)'!$C$18*'Reeksen (N)'!P63,0)</f>
        <v>0</v>
      </c>
      <c r="AU131" s="71">
        <f ca="1">-IF(C131=1,(F131+K131+L131+Q131)/2*'Invoer gegevens (N)'!$I$36*'Reeksen (N)'!H63,0)</f>
        <v>0</v>
      </c>
      <c r="AV131" s="71">
        <f t="shared" ca="1" si="13"/>
        <v>0</v>
      </c>
      <c r="AW131" s="72">
        <f ca="1">IFERROR(IF(E131='Invoer gegevens (N)'!$C$17+'Invoer gegevens (N)'!$I$14-1,'Invoer gegevens (N)'!$I$13*K131*'Reeksen (N)'!H63,0),0)</f>
        <v>0</v>
      </c>
      <c r="AX131" s="72">
        <f ca="1">IFERROR(IF(E131='Invoer gegevens (N)'!$C$17,-'Invoer gegevens (N)'!$C$10*('Invoer gegevens (N)'!$C$30+'Invoer gegevens (N)'!$C$31)*'Reeksen (N)'!H63,0),0)</f>
        <v>0</v>
      </c>
      <c r="AY131" s="73">
        <f ca="1">IF('Invoer gegevens (N)'!$C$34=E131,'Invoer gegevens (N)'!$C$27*'Invoer gegevens (N)'!$C$10*'Invoer gegevens (N)'!$C$36*(IF('Invoer gegevens (N)'!$C$35="ja",1,'Reeksen (N)'!J63)),IF('Invoer gegevens (N)'!$C$34+1=E131,'Invoer gegevens (N)'!$C$27*'Invoer gegevens (N)'!$C$10*'Invoer gegevens (N)'!$C$37*(IF('Invoer gegevens (N)'!$C$35="ja",1,'Reeksen (N)'!J63)),0))+IF(AND(E131='Invoer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31" s="73">
        <f ca="1">AV131/(1+'Invoer gegevens (N)'!$I$12)^($D131-('Invoer gegevens (N)'!$C$17-'Invoer gegevens (N)'!$C$16))/(1+'Invoer gegevens (N)'!$C$39)^('Invoer gegevens (N)'!$C$17-'Invoer gegevens (N)'!$C$16)</f>
        <v>0</v>
      </c>
      <c r="BA131" s="73">
        <f ca="1">AW131/(1+'Invoer gegevens (N)'!$I$12)^(E131-('Invoer gegevens (N)'!$C$17-1))/(1+'Invoer gegevens (N)'!$C$39)^('Invoer gegevens (N)'!$C$17-'Invoer gegevens (N)'!$C$16)</f>
        <v>0</v>
      </c>
      <c r="BB131" s="73">
        <f ca="1">AX131/(1+'Invoer gegevens (N)'!$C$39)^('Invoer gegevens (N)'!$C$17-'Invoer gegevens (N)'!$C$16)</f>
        <v>0</v>
      </c>
      <c r="BC131" s="72">
        <f t="shared" ca="1" si="14"/>
        <v>0</v>
      </c>
      <c r="BD131" s="72">
        <f ca="1">IF(AND(E131='Invoer gegevens (N)'!$C$16,'Invoer gegevens (N)'!$C$34&lt;'Invoer gegevens (N)'!$C$16),AY131,AY131/(1+'Invoer gegevens (N)'!$C$39)^D131)</f>
        <v>0</v>
      </c>
      <c r="BE131" s="72">
        <f ca="1">IF(E131='Invoer gegevens (N)'!$C$34,-'Invoer gegevens (N)'!$I$38,0)</f>
        <v>0</v>
      </c>
      <c r="BF131" s="72">
        <f ca="1">IF(E131='Invoer gegevens (N)'!$C$17,-'Invoer gegevens (N)'!$C$19*$BC$134,0)</f>
        <v>0</v>
      </c>
      <c r="BG131" s="72">
        <f ca="1">AV131/(1+$BG$72)^($D131-('Invoer gegevens (N)'!$C$17-'Invoer gegevens (N)'!$C$16))/(1+'Invoer gegevens (N)'!$C$39)^('Invoer gegevens (N)'!$C$17-'Invoer gegevens (N)'!$C$16)+AW131/(1+$BG$72)^(E131-('Invoer gegevens (N)'!$C$17-1))/(1+'Invoer gegevens (N)'!$C$39)^('Invoer gegevens (N)'!$C$17-'Invoer gegevens (N)'!$C$16)+AX131/(1+'Invoer gegevens (N)'!$C$39)^('Invoer gegevens (N)'!$C$17-'Invoer gegevens (N)'!$C$16)+(-AY131/(1+'Invoer gegevens (N)'!$C$39)^D131)+BE131+BF131</f>
        <v>0</v>
      </c>
    </row>
    <row r="132" spans="2:59" x14ac:dyDescent="0.25">
      <c r="B132" s="70">
        <f t="shared" si="15"/>
        <v>60</v>
      </c>
      <c r="C132" s="67">
        <f ca="1">IF(AND(E132&gt;='Invoer gegevens (N)'!$C$17,E132&lt;'Invoer gegevens (N)'!$C$17+'Invoer gegevens (N)'!$I$14),1,0)</f>
        <v>0</v>
      </c>
      <c r="D132" s="68">
        <f t="shared" si="16"/>
        <v>59.5</v>
      </c>
      <c r="E132" s="108">
        <f ca="1">IF('Invoer gegevens (N)'!$C$16="","",E131+1)</f>
        <v>2078</v>
      </c>
      <c r="F132" s="84">
        <f ca="1">IF('Invoer gegevens (N)'!$C$17=E132,'Invoer gegevens (N)'!$C$10,IF(C132=1,K131,0))</f>
        <v>0</v>
      </c>
      <c r="G132" s="96">
        <f ca="1">IF(E132='Invoer gegevens (N)'!$C$17+'Invoer gegevens (N)'!$I$14,K131,IF(C132&gt;=1,F132*VLOOKUP(E132,'Reeksen (N)'!$A$5:$B$76,2),0))</f>
        <v>0</v>
      </c>
      <c r="H132" s="84">
        <f ca="1">IF(E132='Invoer gegevens (N)'!$C$17+'Invoer gegevens (N)'!$I$14,K131,(1-('Invoer gegevens (N)'!$F$20/12))*F132*MIN('Reeksen (N)'!B64,'Reeksen (N)'!D64))</f>
        <v>0</v>
      </c>
      <c r="I132" s="84">
        <f>IF('Reeksen (N)'!D64&lt;'Reeksen (N)'!B64,('Reeksen (N)'!B64-'Reeksen (N)'!D64)*F132,0)</f>
        <v>0</v>
      </c>
      <c r="J132" s="84">
        <f ca="1">IF(E132='Invoer gegevens (N)'!$C$17+'Invoer gegevens (N)'!$I$14+1,0,('Invoer gegevens (N)'!$F$20/12)*F131*MIN('Reeksen (N)'!B63,'Reeksen (N)'!D63))</f>
        <v>0</v>
      </c>
      <c r="K132" s="97">
        <f ca="1">IF(E132&gt;='Invoer gegevens (N)'!$C$17+'Invoer gegevens (N)'!$I$14,0,F132-G132)</f>
        <v>0</v>
      </c>
      <c r="L132" s="84">
        <f ca="1">IF('Invoer gegevens (N)'!$C$17=E132,0,IF(C132=1,Q131,0))</f>
        <v>0</v>
      </c>
      <c r="M132" s="96">
        <f ca="1">IF(E132='Invoer gegevens (N)'!$C$17+'Invoer gegevens (N)'!$I$14,Q131,IF(C132&gt;=1,L132*VLOOKUP(E132,'Reeksen (N)'!$A$5:$B$76,2),0))</f>
        <v>0</v>
      </c>
      <c r="N132" s="84">
        <f ca="1">IF(C132='Invoer gegevens (N)'!$C$17+'Invoer gegevens (N)'!$I$14,Q131,(1-('Invoer gegevens (N)'!$F$20/12))*L132*MIN('Reeksen (N)'!B64,'Reeksen (N)'!D64))</f>
        <v>0</v>
      </c>
      <c r="O132" s="84">
        <f>IF('Reeksen (N)'!D64&lt;'Reeksen (N)'!B64,('Reeksen (N)'!B64-'Reeksen (N)'!D64)*L132,0)</f>
        <v>0</v>
      </c>
      <c r="P132" s="84">
        <f ca="1">IF(E132='Invoer gegevens (N)'!$C$17+'Invoer gegevens (N)'!$I$14+1,0,('Invoer gegevens (N)'!$F$20/12)*L131*MIN('Reeksen (N)'!B63,'Reeksen (N)'!D63))</f>
        <v>0</v>
      </c>
      <c r="Q132" s="84">
        <f ca="1">IF(E132&gt;='Invoer gegevens (N)'!$C$17+'Invoer gegevens (N)'!$I$14,0,L132-M132+I132+O132)</f>
        <v>0</v>
      </c>
      <c r="R132" s="82">
        <f ca="1">IF('Invoer gegevens (N)'!$C$17=E132,'Invoer gegevens (N)'!$C$11,IF(C132=1,W131,0))</f>
        <v>0</v>
      </c>
      <c r="S132" s="86">
        <f ca="1">IF(E132='Invoer gegevens (N)'!$C$17+'Invoer gegevens (N)'!$I$14,W131,IF(C132&gt;=1,R132*VLOOKUP(E132,'Reeksen (N)'!$A$5:$B$76,2),0))</f>
        <v>0</v>
      </c>
      <c r="T132" s="84">
        <f ca="1">IF(E132='Invoer gegevens (N)'!$C$17+'Invoer gegevens (N)'!$I$14,W131,(1-('Invoer gegevens (N)'!$F$20/12))*R132*MIN('Reeksen (N)'!B64,'Reeksen (N)'!D64))</f>
        <v>0</v>
      </c>
      <c r="U132" s="84">
        <f>IF('Reeksen (N)'!D64&gt;='Reeksen (N)'!B64,0,IF('Reeksen (N)'!AK64&lt;='Reeksen (N)'!AE64,('Reeksen (N)'!B64-'Reeksen (N)'!D64)*R132,0))</f>
        <v>0</v>
      </c>
      <c r="V132" s="86">
        <f>IF('Reeksen (N)'!D64&gt;='Reeksen (N)'!B64,0,IF('Reeksen (N)'!AK64&gt;'Reeksen (N)'!AE64,('Reeksen (N)'!B64-'Reeksen (N)'!D64)*R132,0))</f>
        <v>0</v>
      </c>
      <c r="W132" s="97">
        <f ca="1">IF(E132&gt;='Invoer gegevens (N)'!$C$17+'Invoer gegevens (N)'!$I$14,0,R132-S132)</f>
        <v>0</v>
      </c>
      <c r="X132" s="98">
        <f ca="1">IF('Invoer gegevens (N)'!$C$17=E132,'Invoer gegevens (N)'!$C$10-'Invoer gegevens (N)'!$C$11,IF(C132=1,AC131,0))</f>
        <v>0</v>
      </c>
      <c r="Y132" s="98">
        <f ca="1">IF(E132='Invoer gegevens (N)'!$C$17+'Invoer gegevens (N)'!$I$14,AC131,IF(C132&gt;=1,X132*VLOOKUP(E132,'Reeksen (N)'!$A$5:$B$76,2),0))</f>
        <v>0</v>
      </c>
      <c r="Z132" s="98">
        <f ca="1">IF(E132='Invoer gegevens (N)'!$C$17+'Invoer gegevens (N)'!$I$14,AC131,(1-('Invoer gegevens (N)'!$F$20/12))*X132*MIN('Reeksen (N)'!B64,'Reeksen (N)'!D64))</f>
        <v>0</v>
      </c>
      <c r="AA132" s="98">
        <f>IF('Reeksen (N)'!D64&gt;='Reeksen (N)'!B64,0,IF('Reeksen (N)'!AK64&lt;='Reeksen (N)'!AE64,('Reeksen (N)'!B64-'Reeksen (N)'!D64)*X132,0))</f>
        <v>0</v>
      </c>
      <c r="AB132" s="98">
        <f>IF('Reeksen (N)'!D64&gt;='Reeksen (N)'!B64,0,IF('Reeksen (N)'!AK64&gt;'Reeksen (N)'!AE64,('Reeksen (N)'!B64-'Reeksen (N)'!D64)*X132,0))</f>
        <v>0</v>
      </c>
      <c r="AC132" s="99">
        <f ca="1">IF(E132&gt;='Invoer gegevens (N)'!$C$17+'Invoer gegevens (N)'!$I$14,0,X132-Y132)</f>
        <v>0</v>
      </c>
      <c r="AD132" s="98">
        <f ca="1">IF('Invoer gegevens (N)'!$C$17=E64,R132,IF(C64=0,0,AE131))</f>
        <v>0</v>
      </c>
      <c r="AE132" s="98">
        <f t="shared" ca="1" si="9"/>
        <v>0</v>
      </c>
      <c r="AF132" s="98">
        <f ca="1">IF('Invoer gegevens (N)'!$C$17=E64,X132,IF(C64=0,0,AG131))</f>
        <v>0</v>
      </c>
      <c r="AG132" s="98">
        <f t="shared" ca="1" si="10"/>
        <v>0</v>
      </c>
      <c r="AH132" s="66"/>
      <c r="AI132" s="71">
        <f ca="1">IF(C132=1,(('Reeksen (N)'!BF64*(F132-G132+F132)/2)+((L132-M132+L132)/2*'Reeksen (N)'!BG64))*12,0)</f>
        <v>0</v>
      </c>
      <c r="AJ132" s="71">
        <f ca="1">-AI132*'Invoer gegevens (N)'!$I$26</f>
        <v>0</v>
      </c>
      <c r="AK132" s="71">
        <f t="shared" ca="1" si="11"/>
        <v>0</v>
      </c>
      <c r="AL132" s="71">
        <f ca="1">IF(C132=1,'Reeksen (N)'!AL64*((F132-G132+F132)/2)*12+'Reeksen (N)'!AM64*((L132-M132+L132)/2)*12,0)</f>
        <v>0</v>
      </c>
      <c r="AM132" s="71">
        <f ca="1">-AL132*'Invoer gegevens (N)'!$F$31</f>
        <v>0</v>
      </c>
      <c r="AN132" s="71">
        <f t="shared" ca="1" si="12"/>
        <v>0</v>
      </c>
      <c r="AO132" s="71">
        <f ca="1">IF(E132&gt;='Invoer gegevens (N)'!$C$17+'Invoer gegevens (N)'!$I$14,0,IF(C132=1,(H132+J132+N132+P132)*'Reeksen (N)'!AN64,0))</f>
        <v>0</v>
      </c>
      <c r="AP132" s="71">
        <f ca="1">-IF(C132=1,(H132+J132+N132+P132)*'Reeksen (N)'!AN63*'Hulp - basis'!$J$550,0)</f>
        <v>0</v>
      </c>
      <c r="AQ132" s="71">
        <f ca="1">-IF(C132=1,(F132+K132+L132+Q132)/2*'Invoer gegevens (N)'!$I$33*'Reeksen (N)'!J64,0)</f>
        <v>0</v>
      </c>
      <c r="AR132" s="71">
        <f ca="1">-IF(C132=1,(I132*'Invoer gegevens (N)'!$I$34)*'Reeksen (N)'!J64,0)</f>
        <v>0</v>
      </c>
      <c r="AS132" s="71">
        <f ca="1">-IF(C132=1,(F132+K132+L132+Q132)/2*'Invoer gegevens (N)'!$I$35*'Reeksen (N)'!L64,0)</f>
        <v>0</v>
      </c>
      <c r="AT132" s="71">
        <f ca="1">-IF(C132=1,IF(E132='Invoer gegevens (N)'!$C$17,'Invoer gegevens (N)'!$C$11,AD132)*'Reeksen (N)'!S64*'Invoer gegevens (N)'!$C$18*'Reeksen (N)'!P64,0)</f>
        <v>0</v>
      </c>
      <c r="AU132" s="71">
        <f ca="1">-IF(C132=1,(F132+K132+L132+Q132)/2*'Invoer gegevens (N)'!$I$36*'Reeksen (N)'!H64,0)</f>
        <v>0</v>
      </c>
      <c r="AV132" s="71">
        <f t="shared" ca="1" si="13"/>
        <v>0</v>
      </c>
      <c r="AW132" s="72">
        <f ca="1">IFERROR(IF(E132='Invoer gegevens (N)'!$C$17+'Invoer gegevens (N)'!$I$14-1,'Invoer gegevens (N)'!$I$13*K132*'Reeksen (N)'!H64,0),0)</f>
        <v>0</v>
      </c>
      <c r="AX132" s="72">
        <f ca="1">IFERROR(IF(E132='Invoer gegevens (N)'!$C$17,-'Invoer gegevens (N)'!$C$10*('Invoer gegevens (N)'!$C$30+'Invoer gegevens (N)'!$C$31)*'Reeksen (N)'!H64,0),0)</f>
        <v>0</v>
      </c>
      <c r="AY132" s="73">
        <f ca="1">IF('Invoer gegevens (N)'!$C$34=E132,'Invoer gegevens (N)'!$C$27*'Invoer gegevens (N)'!$C$10*'Invoer gegevens (N)'!$C$36*(IF('Invoer gegevens (N)'!$C$35="ja",1,'Reeksen (N)'!J64)),IF('Invoer gegevens (N)'!$C$34+1=E132,'Invoer gegevens (N)'!$C$27*'Invoer gegevens (N)'!$C$10*'Invoer gegevens (N)'!$C$37*(IF('Invoer gegevens (N)'!$C$35="ja",1,'Reeksen (N)'!J64)),0))+IF(AND(E132='Invoer gegevens (N)'!$C$16,'Invoer gegevens (N)'!$C$34&lt;'Invoer gegevens (N)'!$C$16),IF('Invoer gegevens (N)'!$C$34+2&lt;='Invoer gegevens (N)'!$C$16,'Invoer gegevens (N)'!$C$36+'Invoer gegevens (N)'!$C$37,'Invoer gegevens (N)'!$C$36)*'Invoer gegevens (N)'!$C$27*'Invoer gegevens (N)'!$C$10,0)</f>
        <v>0</v>
      </c>
      <c r="AZ132" s="73">
        <f ca="1">AV132/(1+'Invoer gegevens (N)'!$I$12)^($D132-('Invoer gegevens (N)'!$C$17-'Invoer gegevens (N)'!$C$16))/(1+'Invoer gegevens (N)'!$C$39)^('Invoer gegevens (N)'!$C$17-'Invoer gegevens (N)'!$C$16)</f>
        <v>0</v>
      </c>
      <c r="BA132" s="73">
        <f ca="1">AW132/(1+'Invoer gegevens (N)'!$I$12)^(E132-('Invoer gegevens (N)'!$C$17-1))/(1+'Invoer gegevens (N)'!$C$39)^('Invoer gegevens (N)'!$C$17-'Invoer gegevens (N)'!$C$16)</f>
        <v>0</v>
      </c>
      <c r="BB132" s="73">
        <f ca="1">AX132/(1+'Invoer gegevens (N)'!$C$39)^('Invoer gegevens (N)'!$C$17-'Invoer gegevens (N)'!$C$16)</f>
        <v>0</v>
      </c>
      <c r="BC132" s="72">
        <f t="shared" ca="1" si="14"/>
        <v>0</v>
      </c>
      <c r="BD132" s="72">
        <f ca="1">IF(AND(E132='Invoer gegevens (N)'!$C$16,'Invoer gegevens (N)'!$C$34&lt;'Invoer gegevens (N)'!$C$16),AY132,AY132/(1+'Invoer gegevens (N)'!$C$39)^D132)</f>
        <v>0</v>
      </c>
      <c r="BE132" s="72">
        <f ca="1">IF(E132='Invoer gegevens (N)'!$C$34,-'Invoer gegevens (N)'!$I$38,0)</f>
        <v>0</v>
      </c>
      <c r="BF132" s="72">
        <f ca="1">IF(E132='Invoer gegevens (N)'!$C$17,-'Invoer gegevens (N)'!$C$19*$BC$134,0)</f>
        <v>0</v>
      </c>
      <c r="BG132" s="72">
        <f ca="1">AV132/(1+$BG$72)^($D132-('Invoer gegevens (N)'!$C$17-'Invoer gegevens (N)'!$C$16))/(1+'Invoer gegevens (N)'!$C$39)^('Invoer gegevens (N)'!$C$17-'Invoer gegevens (N)'!$C$16)+AW132/(1+$BG$72)^(E132-('Invoer gegevens (N)'!$C$17-1))/(1+'Invoer gegevens (N)'!$C$39)^('Invoer gegevens (N)'!$C$17-'Invoer gegevens (N)'!$C$16)+AX132/(1+'Invoer gegevens (N)'!$C$39)^('Invoer gegevens (N)'!$C$17-'Invoer gegevens (N)'!$C$16)+(-AY132/(1+'Invoer gegevens (N)'!$C$39)^D132)+BE132+BF132</f>
        <v>0</v>
      </c>
    </row>
    <row r="133" spans="2:59" x14ac:dyDescent="0.25">
      <c r="AH133" s="70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</row>
    <row r="134" spans="2:59" x14ac:dyDescent="0.25">
      <c r="AH134" s="77"/>
      <c r="AI134" s="78">
        <f t="shared" ref="AI134:BG134" ca="1" si="17">SUM(AI73:AI132)</f>
        <v>0</v>
      </c>
      <c r="AJ134" s="78">
        <f t="shared" ca="1" si="17"/>
        <v>0</v>
      </c>
      <c r="AK134" s="78">
        <f t="shared" ca="1" si="17"/>
        <v>0</v>
      </c>
      <c r="AL134" s="78">
        <f t="shared" ca="1" si="17"/>
        <v>0</v>
      </c>
      <c r="AM134" s="78">
        <f t="shared" ca="1" si="17"/>
        <v>0</v>
      </c>
      <c r="AN134" s="78">
        <f t="shared" ca="1" si="17"/>
        <v>0</v>
      </c>
      <c r="AO134" s="78">
        <f t="shared" ca="1" si="17"/>
        <v>0</v>
      </c>
      <c r="AP134" s="78">
        <f t="shared" ca="1" si="17"/>
        <v>0</v>
      </c>
      <c r="AQ134" s="78">
        <f t="shared" ca="1" si="17"/>
        <v>0</v>
      </c>
      <c r="AR134" s="78">
        <f t="shared" ca="1" si="17"/>
        <v>0</v>
      </c>
      <c r="AS134" s="78">
        <f t="shared" ca="1" si="17"/>
        <v>0</v>
      </c>
      <c r="AT134" s="78">
        <f t="shared" ca="1" si="17"/>
        <v>0</v>
      </c>
      <c r="AU134" s="78">
        <f t="shared" ca="1" si="17"/>
        <v>0</v>
      </c>
      <c r="AV134" s="78">
        <f t="shared" ca="1" si="17"/>
        <v>0</v>
      </c>
      <c r="AW134" s="78">
        <f t="shared" ca="1" si="17"/>
        <v>0</v>
      </c>
      <c r="AX134" s="78">
        <f t="shared" ca="1" si="17"/>
        <v>0</v>
      </c>
      <c r="AY134" s="78">
        <f t="shared" ca="1" si="17"/>
        <v>0</v>
      </c>
      <c r="AZ134" s="78">
        <f t="shared" ca="1" si="17"/>
        <v>0</v>
      </c>
      <c r="BA134" s="78">
        <f t="shared" ca="1" si="17"/>
        <v>0</v>
      </c>
      <c r="BB134" s="78">
        <f t="shared" ca="1" si="17"/>
        <v>0</v>
      </c>
      <c r="BC134" s="78">
        <f t="shared" ca="1" si="17"/>
        <v>0</v>
      </c>
      <c r="BD134" s="78">
        <f t="shared" ca="1" si="17"/>
        <v>0</v>
      </c>
      <c r="BE134" s="78">
        <f t="shared" ca="1" si="17"/>
        <v>0</v>
      </c>
      <c r="BF134" s="78">
        <f t="shared" ca="1" si="17"/>
        <v>0</v>
      </c>
      <c r="BG134" s="78">
        <f t="shared" ca="1" si="17"/>
        <v>0</v>
      </c>
    </row>
  </sheetData>
  <mergeCells count="35">
    <mergeCell ref="AF71:AF72"/>
    <mergeCell ref="U71:U72"/>
    <mergeCell ref="V71:V72"/>
    <mergeCell ref="W71:W72"/>
    <mergeCell ref="X71:X72"/>
    <mergeCell ref="Y71:Y72"/>
    <mergeCell ref="Z71:Z72"/>
    <mergeCell ref="AA71:AA72"/>
    <mergeCell ref="AB71:AB72"/>
    <mergeCell ref="AC71:AC72"/>
    <mergeCell ref="AD71:AD72"/>
    <mergeCell ref="AE71:AE72"/>
    <mergeCell ref="T71:T72"/>
    <mergeCell ref="X70:AC70"/>
    <mergeCell ref="AD70:AG70"/>
    <mergeCell ref="F71:F72"/>
    <mergeCell ref="G71:G72"/>
    <mergeCell ref="H71:H72"/>
    <mergeCell ref="I71:I72"/>
    <mergeCell ref="J71:J72"/>
    <mergeCell ref="L71:L72"/>
    <mergeCell ref="M71:M72"/>
    <mergeCell ref="N71:N72"/>
    <mergeCell ref="O71:O72"/>
    <mergeCell ref="P71:P72"/>
    <mergeCell ref="Q71:Q72"/>
    <mergeCell ref="R71:R72"/>
    <mergeCell ref="S71:S72"/>
    <mergeCell ref="F2:H2"/>
    <mergeCell ref="I2:L2"/>
    <mergeCell ref="M2:P2"/>
    <mergeCell ref="Q2:T2"/>
    <mergeCell ref="F70:K70"/>
    <mergeCell ref="L70:Q70"/>
    <mergeCell ref="R70:W70"/>
  </mergeCells>
  <conditionalFormatting sqref="BI29 BH60 BI31:BI61">
    <cfRule type="cellIs" dxfId="1" priority="1" operator="equal">
      <formula>"FOUT"</formula>
    </cfRule>
    <cfRule type="cellIs" dxfId="0" priority="2" operator="equal">
      <formula>"OK"</formula>
    </cfRule>
  </conditionalFormatting>
  <pageMargins left="0.7" right="0.7" top="0.75" bottom="0.75" header="0.3" footer="0.3"/>
  <pageSetup paperSize="0" orientation="portrait" horizontalDpi="0" verticalDpi="0" copies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/>
  <dimension ref="A1:BH695"/>
  <sheetViews>
    <sheetView showGridLines="0" topLeftCell="AI1" workbookViewId="0">
      <selection activeCell="AP18" sqref="AP18"/>
    </sheetView>
  </sheetViews>
  <sheetFormatPr defaultRowHeight="15" x14ac:dyDescent="0.25"/>
  <cols>
    <col min="1" max="1" width="1.5703125" style="105" customWidth="1"/>
    <col min="2" max="2" width="4.85546875" style="105" customWidth="1"/>
    <col min="3" max="3" width="6" style="105" customWidth="1"/>
    <col min="4" max="4" width="8.28515625" style="105" bestFit="1" customWidth="1"/>
    <col min="5" max="5" width="6.5703125" style="105" customWidth="1"/>
    <col min="6" max="6" width="9.140625" style="105" bestFit="1" customWidth="1"/>
    <col min="7" max="7" width="8.7109375" style="105" customWidth="1"/>
    <col min="8" max="8" width="11.5703125" style="105" customWidth="1"/>
    <col min="9" max="9" width="9.28515625" style="105" customWidth="1"/>
    <col min="10" max="10" width="9.7109375" style="105" customWidth="1"/>
    <col min="11" max="11" width="10.42578125" style="105" customWidth="1"/>
    <col min="12" max="14" width="8.7109375" style="105" customWidth="1"/>
    <col min="15" max="15" width="10.5703125" style="105" customWidth="1"/>
    <col min="16" max="16" width="9.85546875" style="105" customWidth="1"/>
    <col min="17" max="17" width="8.7109375" style="105" customWidth="1"/>
    <col min="18" max="18" width="10.28515625" style="105" customWidth="1"/>
    <col min="19" max="19" width="8.140625" style="105" bestFit="1" customWidth="1"/>
    <col min="20" max="20" width="14.42578125" style="105" customWidth="1"/>
    <col min="21" max="21" width="10.42578125" style="105" customWidth="1"/>
    <col min="22" max="22" width="14.140625" style="105" customWidth="1"/>
    <col min="23" max="28" width="8.85546875" style="105" customWidth="1"/>
    <col min="29" max="29" width="9.7109375" style="105" customWidth="1"/>
    <col min="30" max="31" width="9.5703125" style="105" customWidth="1"/>
    <col min="32" max="32" width="10.7109375" style="105" customWidth="1"/>
    <col min="33" max="33" width="9.5703125" style="105" customWidth="1"/>
    <col min="34" max="34" width="3.140625" style="105" customWidth="1"/>
    <col min="35" max="35" width="12.85546875" style="105" customWidth="1"/>
    <col min="36" max="36" width="10" style="105" customWidth="1"/>
    <col min="37" max="40" width="12.7109375" style="105" customWidth="1"/>
    <col min="41" max="41" width="11.85546875" style="105" bestFit="1" customWidth="1"/>
    <col min="42" max="42" width="9.85546875" style="105" bestFit="1" customWidth="1"/>
    <col min="43" max="43" width="12.5703125" style="105" customWidth="1"/>
    <col min="44" max="44" width="10.7109375" style="105" customWidth="1"/>
    <col min="45" max="45" width="10.85546875" style="105" customWidth="1"/>
    <col min="46" max="46" width="12.42578125" style="105" customWidth="1"/>
    <col min="47" max="47" width="16.42578125" style="105" bestFit="1" customWidth="1"/>
    <col min="48" max="48" width="20.140625" style="105" bestFit="1" customWidth="1"/>
    <col min="49" max="49" width="12.28515625" style="105" customWidth="1"/>
    <col min="50" max="50" width="13" style="105" bestFit="1" customWidth="1"/>
    <col min="51" max="52" width="14.42578125" style="105" bestFit="1" customWidth="1"/>
    <col min="53" max="53" width="9.7109375" style="105" bestFit="1" customWidth="1"/>
    <col min="54" max="54" width="9.140625" style="105"/>
    <col min="55" max="55" width="10" style="105" bestFit="1" customWidth="1"/>
    <col min="56" max="16384" width="9.140625" style="105"/>
  </cols>
  <sheetData>
    <row r="1" spans="1:52" customFormat="1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</row>
    <row r="2" spans="1:52" customFormat="1" x14ac:dyDescent="0.25">
      <c r="A2" s="61"/>
      <c r="B2" s="60"/>
      <c r="C2" s="60"/>
      <c r="D2" s="60"/>
      <c r="E2" s="80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</row>
    <row r="3" spans="1:52" customFormat="1" ht="30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94" t="s">
        <v>703</v>
      </c>
      <c r="R3" s="81" t="s">
        <v>666</v>
      </c>
      <c r="S3" s="92" t="s">
        <v>667</v>
      </c>
      <c r="T3" s="81" t="s">
        <v>667</v>
      </c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4"/>
      <c r="AI3" s="62" t="s">
        <v>16</v>
      </c>
      <c r="AJ3" s="62" t="s">
        <v>16</v>
      </c>
      <c r="AK3" s="62" t="s">
        <v>672</v>
      </c>
      <c r="AL3" s="27" t="s">
        <v>704</v>
      </c>
      <c r="AM3" s="27" t="s">
        <v>704</v>
      </c>
      <c r="AN3" s="27" t="s">
        <v>672</v>
      </c>
      <c r="AO3" s="62" t="s">
        <v>673</v>
      </c>
      <c r="AP3" s="62" t="s">
        <v>705</v>
      </c>
      <c r="AQ3" s="62" t="s">
        <v>674</v>
      </c>
      <c r="AR3" s="62" t="s">
        <v>706</v>
      </c>
      <c r="AS3" s="62" t="s">
        <v>675</v>
      </c>
      <c r="AT3" s="62" t="s">
        <v>676</v>
      </c>
      <c r="AU3" s="62" t="s">
        <v>588</v>
      </c>
      <c r="AV3" s="62" t="s">
        <v>707</v>
      </c>
      <c r="AW3" s="62" t="s">
        <v>677</v>
      </c>
      <c r="AX3" s="62" t="s">
        <v>677</v>
      </c>
      <c r="AY3" s="62" t="s">
        <v>679</v>
      </c>
      <c r="AZ3" s="62" t="s">
        <v>738</v>
      </c>
    </row>
    <row r="4" spans="1:52" customFormat="1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94" t="s">
        <v>710</v>
      </c>
      <c r="R4" s="81" t="s">
        <v>711</v>
      </c>
      <c r="S4" s="92" t="s">
        <v>710</v>
      </c>
      <c r="T4" s="81" t="s">
        <v>711</v>
      </c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4"/>
      <c r="AI4" s="62" t="s">
        <v>712</v>
      </c>
      <c r="AJ4" s="62" t="s">
        <v>683</v>
      </c>
      <c r="AK4" s="62" t="s">
        <v>684</v>
      </c>
      <c r="AL4" s="27" t="s">
        <v>713</v>
      </c>
      <c r="AM4" s="27" t="s">
        <v>683</v>
      </c>
      <c r="AN4" s="27" t="s">
        <v>714</v>
      </c>
      <c r="AO4" s="62" t="s">
        <v>715</v>
      </c>
      <c r="AP4" s="62" t="s">
        <v>685</v>
      </c>
      <c r="AQ4" s="62" t="s">
        <v>685</v>
      </c>
      <c r="AR4" s="62" t="s">
        <v>716</v>
      </c>
      <c r="AS4" s="62" t="s">
        <v>685</v>
      </c>
      <c r="AT4" s="62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689</v>
      </c>
      <c r="AZ4" s="62" t="s">
        <v>689</v>
      </c>
    </row>
    <row r="5" spans="1:52" customFormat="1" x14ac:dyDescent="0.25">
      <c r="A5" s="59"/>
      <c r="B5" s="66">
        <v>1</v>
      </c>
      <c r="C5" s="67">
        <f ca="1">IF(E5-'Invoer gegevens'!$C$17&lt;0,0,1)</f>
        <v>1</v>
      </c>
      <c r="D5" s="68">
        <v>0.5</v>
      </c>
      <c r="E5" s="69">
        <f ca="1">IF('Invoer gegevens'!$C$16="","",'Invoer gegevens'!$C$16)</f>
        <v>2019</v>
      </c>
      <c r="F5" s="82">
        <f ca="1">IF('Invoer gegevens'!$C$17=E5,'Invoer gegevens'!$C$10,IF(C5=1,H4,0))</f>
        <v>0</v>
      </c>
      <c r="G5" s="83">
        <f ca="1">IF(C5&gt;=1,F5*Reeksen!C5,0)</f>
        <v>0</v>
      </c>
      <c r="H5" s="84">
        <f ca="1">F5-G5</f>
        <v>0</v>
      </c>
      <c r="I5" s="82">
        <f ca="1">IF('Invoer gegevens'!$C$17=E5,'Invoer gegevens'!$C$11,IF(C5=1,L4,0))</f>
        <v>0</v>
      </c>
      <c r="J5" s="84">
        <f ca="1">IF(C5&lt;1,0,IF(Reeksen!AD5&lt;=Reeksen!AE5,I5*Reeksen!C5,0))</f>
        <v>0</v>
      </c>
      <c r="K5" s="84">
        <f ca="1">IF(C5&lt;1,0,IF(Reeksen!AD5&gt;Reeksen!AE5,I5*Reeksen!C5,0))</f>
        <v>0</v>
      </c>
      <c r="L5" s="84">
        <f ca="1">I5-J5-K5</f>
        <v>0</v>
      </c>
      <c r="M5" s="82">
        <f ca="1">IF('Invoer gegevens'!$C$17=E5,'Invoer gegevens'!$C$10-'Invoer gegevens'!$C$11,IF(C5=1,P4,0))</f>
        <v>0</v>
      </c>
      <c r="N5" s="84">
        <f ca="1">IF(C5&lt;1,0,IF(Reeksen!AD5&lt;=Reeksen!AE5,M5*Reeksen!C5,0))</f>
        <v>0</v>
      </c>
      <c r="O5" s="84">
        <f ca="1">IF(C5&lt;1,0,IF(Reeksen!AD5&gt;Reeksen!AE5,M5*Reeksen!C5,0))</f>
        <v>0</v>
      </c>
      <c r="P5" s="84">
        <f ca="1">M5-N5-O5</f>
        <v>0</v>
      </c>
      <c r="Q5" s="82">
        <f ca="1">IF('Invoer gegevens'!$C$17=E5,I5,IF(C5=0,0,R4))</f>
        <v>0</v>
      </c>
      <c r="R5" s="84">
        <f t="shared" ref="R5:R68" ca="1" si="0">IF(C5=0,0,Q5-K5+N5)</f>
        <v>0</v>
      </c>
      <c r="S5" s="84">
        <f ca="1">IF('Invoer gegevens'!$C$17=E5,M5,IF(C5=0,0,T4))</f>
        <v>0</v>
      </c>
      <c r="T5" s="84">
        <f ca="1">IF(C5=0,0,S5-N5+K5)</f>
        <v>0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70"/>
      <c r="AI5" s="71">
        <f ca="1">IF(C5=1,((F5+H5)/2*Reeksen!AI5*12)+(('Invoer gegevens'!$C$10-(F5+H5)/2)*Reeksen!AD5*12),0)</f>
        <v>0</v>
      </c>
      <c r="AJ5" s="71">
        <f ca="1">-AI5*'Invoer gegevens'!$F$26</f>
        <v>0</v>
      </c>
      <c r="AK5" s="71">
        <f ca="1">AI5+AJ5</f>
        <v>0</v>
      </c>
      <c r="AL5" s="71">
        <f ca="1">IF(C5=1,(12*((F5+H5)/2)*Reeksen!AL5)+(12*('Invoer gegevens'!$C$10-(F5+H5)/2)*Reeksen!AM5),0)</f>
        <v>0</v>
      </c>
      <c r="AM5" s="71">
        <f ca="1">-AL5*'Invoer gegevens'!$F$31</f>
        <v>0</v>
      </c>
      <c r="AN5" s="71">
        <f ca="1">AL5+AM5</f>
        <v>0</v>
      </c>
      <c r="AO5" s="71"/>
      <c r="AP5" s="71"/>
      <c r="AQ5" s="71">
        <f ca="1">-IF(C5=1,('Invoer gegevens'!$C$10*'Invoer gegevens'!$F$35)*Reeksen!J5,0)*2</f>
        <v>0</v>
      </c>
      <c r="AR5" s="71">
        <f ca="1">-IF(C5=1,(G5*'Invoer gegevens'!$F$36)*Reeksen!J5,0)</f>
        <v>0</v>
      </c>
      <c r="AS5" s="71">
        <f ca="1">-IF(C5=1,'Invoer gegevens'!$C$10*'Invoer gegevens'!$F$37*Reeksen!L5,0)</f>
        <v>0</v>
      </c>
      <c r="AT5" s="71">
        <f ca="1">-IF(C5=1,IF(E5='Invoer gegevens'!$C$17,'Invoer gegevens'!$C$11,Q5)*Reeksen!S5*'Invoer gegevens'!$C$18*Reeksen!P5,0)</f>
        <v>0</v>
      </c>
      <c r="AU5" s="71">
        <f ca="1">-IF(C5=1,'Invoer gegevens'!$C$10*'Invoer gegevens'!$F$38*Reeksen!H5,0)</f>
        <v>0</v>
      </c>
      <c r="AV5" s="71">
        <f>IF('Invoer gegevens'!$C$3="Basis",0,#REF!)</f>
        <v>0</v>
      </c>
      <c r="AW5" s="71">
        <f ca="1">SUM(AK5,AN5:AV5)</f>
        <v>0</v>
      </c>
      <c r="AX5" s="71">
        <f ca="1">IF(E5&lt;'Invoer gegevens'!$C$17+15,0,IF('RW - MW - DE - DE'!E5&gt;'Invoer gegevens'!$C$17+215,0,'RW - MW - DE - DE'!AW5))</f>
        <v>0</v>
      </c>
      <c r="AY5" s="71">
        <f ca="1">AX5/(1+'Invoer gegevens'!$F$13)^($AZ5-('Invoer gegevens'!$C$17-'Invoer gegevens'!$C$16))/(1+'Invoer gegevens'!$C$39)^('Invoer gegevens'!$C$17-'Invoer gegevens'!$C$16)</f>
        <v>0</v>
      </c>
      <c r="AZ5" s="68">
        <f ca="1">IF(E5-'Invoer gegevens'!$C$17-14.5&lt;0,0,E5-'Invoer gegevens'!$C$17-14.5)</f>
        <v>0</v>
      </c>
    </row>
    <row r="6" spans="1:52" customFormat="1" x14ac:dyDescent="0.25">
      <c r="A6" s="59"/>
      <c r="B6" s="70">
        <f>B5+1</f>
        <v>2</v>
      </c>
      <c r="C6" s="67">
        <f ca="1">IF(E6-'Invoer gegevens'!$C$17&lt;0,0,1)</f>
        <v>1</v>
      </c>
      <c r="D6" s="68">
        <f>D5+1</f>
        <v>1.5</v>
      </c>
      <c r="E6" s="69">
        <f ca="1">IF('Invoer gegevens'!$C$16="","",E5+1)</f>
        <v>2020</v>
      </c>
      <c r="F6" s="82">
        <f ca="1">IF('Invoer gegevens'!$C$17=E6,'Invoer gegevens'!$C$10,IF(C6=1,H5,0))</f>
        <v>0</v>
      </c>
      <c r="G6" s="83">
        <f ca="1">IF(C6&gt;=1,F6*Reeksen!C6,0)</f>
        <v>0</v>
      </c>
      <c r="H6" s="84">
        <f t="shared" ref="H6:H69" ca="1" si="1">F6-G6</f>
        <v>0</v>
      </c>
      <c r="I6" s="82">
        <f ca="1">IF('Invoer gegevens'!$C$17=E6,'Invoer gegevens'!$C$11,IF(C6=1,L5,0))</f>
        <v>0</v>
      </c>
      <c r="J6" s="84">
        <f ca="1">IF(C6&lt;1,0,IF(Reeksen!AD6&lt;=Reeksen!AE6,I6*Reeksen!C6,0))</f>
        <v>0</v>
      </c>
      <c r="K6" s="84">
        <f ca="1">IF(C6&lt;1,0,IF(Reeksen!AD6&gt;Reeksen!AE6,I6*Reeksen!C6,0))</f>
        <v>0</v>
      </c>
      <c r="L6" s="84">
        <f t="shared" ref="L6:L69" ca="1" si="2">I6-J6-K6</f>
        <v>0</v>
      </c>
      <c r="M6" s="82">
        <f ca="1">IF('Invoer gegevens'!$C$17=E6,'Invoer gegevens'!$C$10-'Invoer gegevens'!$C$11,IF(C6=1,P5,0))</f>
        <v>0</v>
      </c>
      <c r="N6" s="84">
        <f ca="1">IF(C6&lt;1,0,IF(Reeksen!AD6&lt;=Reeksen!AE6,M6*Reeksen!C6,0))</f>
        <v>0</v>
      </c>
      <c r="O6" s="84">
        <f ca="1">IF(C6&lt;1,0,IF(Reeksen!AD6&gt;Reeksen!AE6,M6*Reeksen!C6,0))</f>
        <v>0</v>
      </c>
      <c r="P6" s="84">
        <f t="shared" ref="P6:P69" ca="1" si="3">M6-N6-O6</f>
        <v>0</v>
      </c>
      <c r="Q6" s="82">
        <f ca="1">IF('Invoer gegevens'!$C$17=E6,I6,IF(C6=0,0,R5))</f>
        <v>0</v>
      </c>
      <c r="R6" s="84">
        <f t="shared" ca="1" si="0"/>
        <v>0</v>
      </c>
      <c r="S6" s="84">
        <f ca="1">IF('Invoer gegevens'!$C$17=E6,M6,IF(C6=0,0,T5))</f>
        <v>0</v>
      </c>
      <c r="T6" s="84">
        <f ca="1">IF(C6=0,0,S6-N6+K6)</f>
        <v>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70"/>
      <c r="AI6" s="71">
        <f ca="1">IF(C6=1,((F6+H6)/2*Reeksen!AI6*12)+(('Invoer gegevens'!$C$10-(F6+H6)/2)*Reeksen!AD6*12),0)</f>
        <v>0</v>
      </c>
      <c r="AJ6" s="71">
        <f ca="1">-AI6*'Invoer gegevens'!$F$27</f>
        <v>0</v>
      </c>
      <c r="AK6" s="71">
        <f t="shared" ref="AK6:AK69" ca="1" si="4">AI6+AJ6</f>
        <v>0</v>
      </c>
      <c r="AL6" s="71">
        <f ca="1">IF(C6=1,(12*((F6+H6)/2)*Reeksen!AL6)+(12*('Invoer gegevens'!$C$10-(F6+H6)/2)*Reeksen!AM6),0)</f>
        <v>0</v>
      </c>
      <c r="AM6" s="71">
        <f ca="1">-AL6*'Invoer gegevens'!$F$31</f>
        <v>0</v>
      </c>
      <c r="AN6" s="71">
        <f t="shared" ref="AN6:AN69" ca="1" si="5">AL6+AM6</f>
        <v>0</v>
      </c>
      <c r="AO6" s="71"/>
      <c r="AP6" s="71"/>
      <c r="AQ6" s="71">
        <f ca="1">-IF(C6=1,('Invoer gegevens'!$C$10*'Invoer gegevens'!$F$35)*Reeksen!J6,0)*2</f>
        <v>0</v>
      </c>
      <c r="AR6" s="71">
        <f ca="1">-IF(C6=1,(G6*'Invoer gegevens'!$F$36)*Reeksen!J6,0)</f>
        <v>0</v>
      </c>
      <c r="AS6" s="71">
        <f ca="1">-IF(C6=1,'Invoer gegevens'!$C$10*'Invoer gegevens'!$F$37*Reeksen!L6,0)</f>
        <v>0</v>
      </c>
      <c r="AT6" s="71">
        <f ca="1">-IF(C6=1,IF(E6='Invoer gegevens'!$C$17,'Invoer gegevens'!$C$11,Q6)*Reeksen!S6*'Invoer gegevens'!$C$18*Reeksen!P6,0)</f>
        <v>0</v>
      </c>
      <c r="AU6" s="71">
        <f ca="1">-IF(C6=1,'Invoer gegevens'!$C$10*'Invoer gegevens'!$F$38*Reeksen!H6,0)</f>
        <v>0</v>
      </c>
      <c r="AV6" s="71">
        <f>IF('Invoer gegevens'!$C$3="Basis",0,#REF!)</f>
        <v>0</v>
      </c>
      <c r="AW6" s="71">
        <f t="shared" ref="AW6:AW69" ca="1" si="6">SUM(AK6,AN6:AV6)</f>
        <v>0</v>
      </c>
      <c r="AX6" s="71">
        <f ca="1">IF(E6&lt;'Invoer gegevens'!$C$17+15,0,IF('RW - MW - DE - DE'!E6&gt;'Invoer gegevens'!$C$17+215,0,'RW - MW - DE - DE'!AW6))</f>
        <v>0</v>
      </c>
      <c r="AY6" s="71">
        <f ca="1">AX6/(1+'Invoer gegevens'!$F$13)^($AZ6-('Invoer gegevens'!$C$17-'Invoer gegevens'!$C$16))/(1+'Invoer gegevens'!$C$39)^('Invoer gegevens'!$C$17-'Invoer gegevens'!$C$16)</f>
        <v>0</v>
      </c>
      <c r="AZ6" s="68">
        <f ca="1">IF(E6-'Invoer gegevens'!$C$17-14.5&lt;0,0,E6-'Invoer gegevens'!$C$17-14.5)</f>
        <v>0</v>
      </c>
    </row>
    <row r="7" spans="1:52" customFormat="1" x14ac:dyDescent="0.25">
      <c r="A7" s="59"/>
      <c r="B7" s="70">
        <f t="shared" ref="B7:B70" si="7">B6+1</f>
        <v>3</v>
      </c>
      <c r="C7" s="67">
        <f ca="1">IF(E7-'Invoer gegevens'!$C$17&lt;0,0,1)</f>
        <v>1</v>
      </c>
      <c r="D7" s="68">
        <f t="shared" ref="D7:D70" si="8">D6+1</f>
        <v>2.5</v>
      </c>
      <c r="E7" s="69">
        <f ca="1">IF('Invoer gegevens'!$C$16="","",E6+1)</f>
        <v>2021</v>
      </c>
      <c r="F7" s="82">
        <f ca="1">IF('Invoer gegevens'!$C$17=E7,'Invoer gegevens'!$C$10,IF(C7=1,H6,0))</f>
        <v>0</v>
      </c>
      <c r="G7" s="83">
        <f ca="1">IF(C7&gt;=1,F7*Reeksen!C7,0)</f>
        <v>0</v>
      </c>
      <c r="H7" s="84">
        <f t="shared" ca="1" si="1"/>
        <v>0</v>
      </c>
      <c r="I7" s="82">
        <f ca="1">IF('Invoer gegevens'!$C$17=E7,'Invoer gegevens'!$C$11,IF(C7=1,L6,0))</f>
        <v>0</v>
      </c>
      <c r="J7" s="84">
        <f ca="1">IF(C7&lt;1,0,IF(Reeksen!AD7&lt;=Reeksen!AE7,I7*Reeksen!C7,0))</f>
        <v>0</v>
      </c>
      <c r="K7" s="84">
        <f ca="1">IF(C7&lt;1,0,IF(Reeksen!AD7&gt;Reeksen!AE7,I7*Reeksen!C7,0))</f>
        <v>0</v>
      </c>
      <c r="L7" s="84">
        <f t="shared" ca="1" si="2"/>
        <v>0</v>
      </c>
      <c r="M7" s="82">
        <f ca="1">IF('Invoer gegevens'!$C$17=E7,'Invoer gegevens'!$C$10-'Invoer gegevens'!$C$11,IF(C7=1,P6,0))</f>
        <v>0</v>
      </c>
      <c r="N7" s="84">
        <f ca="1">IF(C7&lt;1,0,IF(Reeksen!AD7&lt;=Reeksen!AE7,M7*Reeksen!C7,0))</f>
        <v>0</v>
      </c>
      <c r="O7" s="84">
        <f ca="1">IF(C7&lt;1,0,IF(Reeksen!AD7&gt;Reeksen!AE7,M7*Reeksen!C7,0))</f>
        <v>0</v>
      </c>
      <c r="P7" s="84">
        <f t="shared" ca="1" si="3"/>
        <v>0</v>
      </c>
      <c r="Q7" s="82">
        <f ca="1">IF('Invoer gegevens'!$C$17=E7,I7,IF(C7=0,0,R6))</f>
        <v>0</v>
      </c>
      <c r="R7" s="84">
        <f t="shared" ca="1" si="0"/>
        <v>0</v>
      </c>
      <c r="S7" s="84">
        <f ca="1">IF('Invoer gegevens'!$C$17=E7,M7,IF(C7=0,0,T6))</f>
        <v>0</v>
      </c>
      <c r="T7" s="84">
        <f t="shared" ref="T7:T70" ca="1" si="9">IF(C7=0,0,S7-N7+K7)</f>
        <v>0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70"/>
      <c r="AI7" s="71">
        <f ca="1">IF(C7=1,((F7+H7)/2*Reeksen!AI7*12)+(('Invoer gegevens'!$C$10-(F7+H7)/2)*Reeksen!AD7*12),0)</f>
        <v>0</v>
      </c>
      <c r="AJ7" s="71">
        <f ca="1">-AI7*'Invoer gegevens'!$F$28</f>
        <v>0</v>
      </c>
      <c r="AK7" s="71">
        <f t="shared" ca="1" si="4"/>
        <v>0</v>
      </c>
      <c r="AL7" s="71">
        <f ca="1">IF(C7=1,(12*((F7+H7)/2)*Reeksen!AL7)+(12*('Invoer gegevens'!$C$10-(F7+H7)/2)*Reeksen!AM7),0)</f>
        <v>0</v>
      </c>
      <c r="AM7" s="71">
        <f ca="1">-AL7*'Invoer gegevens'!$F$31</f>
        <v>0</v>
      </c>
      <c r="AN7" s="71">
        <f t="shared" ca="1" si="5"/>
        <v>0</v>
      </c>
      <c r="AO7" s="71"/>
      <c r="AP7" s="71"/>
      <c r="AQ7" s="71">
        <f ca="1">-IF(C7=1,('Invoer gegevens'!$C$10*'Invoer gegevens'!$F$35)*Reeksen!J7,0)*2</f>
        <v>0</v>
      </c>
      <c r="AR7" s="71">
        <f ca="1">-IF(C7=1,(G7*'Invoer gegevens'!$F$36)*Reeksen!J7,0)</f>
        <v>0</v>
      </c>
      <c r="AS7" s="71">
        <f ca="1">-IF(C7=1,'Invoer gegevens'!$C$10*'Invoer gegevens'!$F$37*Reeksen!L7,0)</f>
        <v>0</v>
      </c>
      <c r="AT7" s="71">
        <f ca="1">-IF(C7=1,IF(E7='Invoer gegevens'!$C$17,'Invoer gegevens'!$C$11,Q7)*Reeksen!S7*'Invoer gegevens'!$C$18*Reeksen!P7,0)</f>
        <v>0</v>
      </c>
      <c r="AU7" s="71">
        <f ca="1">-IF(C7=1,'Invoer gegevens'!$C$10*'Invoer gegevens'!$F$38*Reeksen!H7,0)</f>
        <v>0</v>
      </c>
      <c r="AV7" s="71">
        <f>IF('Invoer gegevens'!$C$3="Basis",0,#REF!)</f>
        <v>0</v>
      </c>
      <c r="AW7" s="71">
        <f t="shared" ca="1" si="6"/>
        <v>0</v>
      </c>
      <c r="AX7" s="71">
        <f ca="1">IF(E7&lt;'Invoer gegevens'!$C$17+15,0,IF('RW - MW - DE - DE'!E7&gt;'Invoer gegevens'!$C$17+215,0,'RW - MW - DE - DE'!AW7))</f>
        <v>0</v>
      </c>
      <c r="AY7" s="71">
        <f ca="1">AX7/(1+'Invoer gegevens'!$F$13)^($AZ7-('Invoer gegevens'!$C$17-'Invoer gegevens'!$C$16))/(1+'Invoer gegevens'!$C$39)^('Invoer gegevens'!$C$17-'Invoer gegevens'!$C$16)</f>
        <v>0</v>
      </c>
      <c r="AZ7" s="68">
        <f ca="1">IF(E7-'Invoer gegevens'!$C$17-14.5&lt;0,0,E7-'Invoer gegevens'!$C$17-14.5)</f>
        <v>0</v>
      </c>
    </row>
    <row r="8" spans="1:52" customFormat="1" x14ac:dyDescent="0.25">
      <c r="A8" s="59"/>
      <c r="B8" s="70">
        <f t="shared" si="7"/>
        <v>4</v>
      </c>
      <c r="C8" s="67">
        <f ca="1">IF(E8-'Invoer gegevens'!$C$17&lt;0,0,1)</f>
        <v>1</v>
      </c>
      <c r="D8" s="68">
        <f t="shared" si="8"/>
        <v>3.5</v>
      </c>
      <c r="E8" s="69">
        <f ca="1">IF('Invoer gegevens'!$C$16="","",E7+1)</f>
        <v>2022</v>
      </c>
      <c r="F8" s="82">
        <f ca="1">IF('Invoer gegevens'!$C$17=E8,'Invoer gegevens'!$C$10,IF(C8=1,H7,0))</f>
        <v>0</v>
      </c>
      <c r="G8" s="83">
        <f ca="1">IF(C8&gt;=1,F8*Reeksen!C8,0)</f>
        <v>0</v>
      </c>
      <c r="H8" s="84">
        <f t="shared" ca="1" si="1"/>
        <v>0</v>
      </c>
      <c r="I8" s="85">
        <f ca="1">IF('Invoer gegevens'!$C$17=E8,'Invoer gegevens'!$C$11,IF(C8=1,L7,0))</f>
        <v>0</v>
      </c>
      <c r="J8" s="86">
        <f ca="1">IF(C8&lt;1,0,IF(Reeksen!AD8&lt;=Reeksen!AE8,I8*Reeksen!C8,0))</f>
        <v>0</v>
      </c>
      <c r="K8" s="86">
        <f ca="1">IF(C8&lt;1,0,IF(Reeksen!AD8&gt;Reeksen!AE8,I8*Reeksen!C8,0))</f>
        <v>0</v>
      </c>
      <c r="L8" s="86">
        <f t="shared" ca="1" si="2"/>
        <v>0</v>
      </c>
      <c r="M8" s="85">
        <f ca="1">IF('Invoer gegevens'!$C$17=E8,'Invoer gegevens'!$C$10-'Invoer gegevens'!$C$11,IF(C8=1,P7,0))</f>
        <v>0</v>
      </c>
      <c r="N8" s="86">
        <f ca="1">IF(C8&lt;1,0,IF(Reeksen!AD8&lt;=Reeksen!AE8,M8*Reeksen!C8,0))</f>
        <v>0</v>
      </c>
      <c r="O8" s="86">
        <f ca="1">IF(C8&lt;1,0,IF(Reeksen!AD8&gt;Reeksen!AE8,M8*Reeksen!C8,0))</f>
        <v>0</v>
      </c>
      <c r="P8" s="86">
        <f t="shared" ca="1" si="3"/>
        <v>0</v>
      </c>
      <c r="Q8" s="82">
        <f ca="1">IF('Invoer gegevens'!$C$17=E8,I8,IF(C8=0,0,R7))</f>
        <v>0</v>
      </c>
      <c r="R8" s="84">
        <f t="shared" ca="1" si="0"/>
        <v>0</v>
      </c>
      <c r="S8" s="84">
        <f ca="1">IF('Invoer gegevens'!$C$17=E8,M8,IF(C8=0,0,T7))</f>
        <v>0</v>
      </c>
      <c r="T8" s="84">
        <f t="shared" ca="1" si="9"/>
        <v>0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70"/>
      <c r="AI8" s="71">
        <f ca="1">IF(C8=1,((F8+H8)/2*Reeksen!AI8*12)+(('Invoer gegevens'!$C$10-(F8+H8)/2)*Reeksen!AD8*12),0)</f>
        <v>0</v>
      </c>
      <c r="AJ8" s="71">
        <f ca="1">-AI8*'Invoer gegevens'!$F$28</f>
        <v>0</v>
      </c>
      <c r="AK8" s="71">
        <f t="shared" ca="1" si="4"/>
        <v>0</v>
      </c>
      <c r="AL8" s="71">
        <f ca="1">IF(C8=1,(12*((F8+H8)/2)*Reeksen!AL8)+(12*('Invoer gegevens'!$C$10-(F8+H8)/2)*Reeksen!AM8),0)</f>
        <v>0</v>
      </c>
      <c r="AM8" s="71">
        <f ca="1">-AL8*'Invoer gegevens'!$F$31</f>
        <v>0</v>
      </c>
      <c r="AN8" s="71">
        <f t="shared" ca="1" si="5"/>
        <v>0</v>
      </c>
      <c r="AO8" s="71"/>
      <c r="AP8" s="71"/>
      <c r="AQ8" s="71">
        <f ca="1">-IF(C8=1,('Invoer gegevens'!$C$10*'Invoer gegevens'!$F$35)*Reeksen!J8,0)*2</f>
        <v>0</v>
      </c>
      <c r="AR8" s="71">
        <f ca="1">-IF(C8=1,(G8*'Invoer gegevens'!$F$36)*Reeksen!J8,0)</f>
        <v>0</v>
      </c>
      <c r="AS8" s="71">
        <f ca="1">-IF(C8=1,'Invoer gegevens'!$C$10*'Invoer gegevens'!$F$37*Reeksen!L8,0)</f>
        <v>0</v>
      </c>
      <c r="AT8" s="71">
        <f ca="1">-IF(C8=1,IF(E8='Invoer gegevens'!$C$17,'Invoer gegevens'!$C$11,Q8)*Reeksen!S8*'Invoer gegevens'!$C$18*Reeksen!P8,0)</f>
        <v>0</v>
      </c>
      <c r="AU8" s="71">
        <f ca="1">-IF(C8=1,'Invoer gegevens'!$C$10*'Invoer gegevens'!$F$38*Reeksen!H8,0)</f>
        <v>0</v>
      </c>
      <c r="AV8" s="71">
        <f>IF('Invoer gegevens'!$C$3="Basis",0,#REF!)</f>
        <v>0</v>
      </c>
      <c r="AW8" s="71">
        <f t="shared" ca="1" si="6"/>
        <v>0</v>
      </c>
      <c r="AX8" s="71">
        <f ca="1">IF(E8&lt;'Invoer gegevens'!$C$17+15,0,IF('RW - MW - DE - DE'!E8&gt;'Invoer gegevens'!$C$17+215,0,'RW - MW - DE - DE'!AW8))</f>
        <v>0</v>
      </c>
      <c r="AY8" s="71">
        <f ca="1">AX8/(1+'Invoer gegevens'!$F$13)^($AZ8-('Invoer gegevens'!$C$17-'Invoer gegevens'!$C$16))/(1+'Invoer gegevens'!$C$39)^('Invoer gegevens'!$C$17-'Invoer gegevens'!$C$16)</f>
        <v>0</v>
      </c>
      <c r="AZ8" s="68">
        <f ca="1">IF(E8-'Invoer gegevens'!$C$17-14.5&lt;0,0,E8-'Invoer gegevens'!$C$17-14.5)</f>
        <v>0</v>
      </c>
    </row>
    <row r="9" spans="1:52" customFormat="1" x14ac:dyDescent="0.25">
      <c r="A9" s="59"/>
      <c r="B9" s="70">
        <f t="shared" si="7"/>
        <v>5</v>
      </c>
      <c r="C9" s="67">
        <f ca="1">IF(E9-'Invoer gegevens'!$C$17&lt;0,0,1)</f>
        <v>1</v>
      </c>
      <c r="D9" s="68">
        <f t="shared" si="8"/>
        <v>4.5</v>
      </c>
      <c r="E9" s="69">
        <f ca="1">IF('Invoer gegevens'!$C$16="","",E8+1)</f>
        <v>2023</v>
      </c>
      <c r="F9" s="82">
        <f ca="1">IF('Invoer gegevens'!$C$17=E9,'Invoer gegevens'!$C$10,IF(C9=1,H8,0))</f>
        <v>0</v>
      </c>
      <c r="G9" s="83">
        <f ca="1">IF(C9&gt;=1,F9*Reeksen!C9,0)</f>
        <v>0</v>
      </c>
      <c r="H9" s="84">
        <f t="shared" ca="1" si="1"/>
        <v>0</v>
      </c>
      <c r="I9" s="85">
        <f ca="1">IF('Invoer gegevens'!$C$17=E9,'Invoer gegevens'!$C$11,IF(C9=1,L8,0))</f>
        <v>0</v>
      </c>
      <c r="J9" s="86">
        <f ca="1">IF(C9&lt;1,0,IF(Reeksen!AD9&lt;=Reeksen!AE9,I9*Reeksen!C9,0))</f>
        <v>0</v>
      </c>
      <c r="K9" s="86">
        <f ca="1">IF(C9&lt;1,0,IF(Reeksen!AD9&gt;Reeksen!AE9,I9*Reeksen!C9,0))</f>
        <v>0</v>
      </c>
      <c r="L9" s="86">
        <f t="shared" ca="1" si="2"/>
        <v>0</v>
      </c>
      <c r="M9" s="85">
        <f ca="1">IF('Invoer gegevens'!$C$17=E9,'Invoer gegevens'!$C$10-'Invoer gegevens'!$C$11,IF(C9=1,P8,0))</f>
        <v>0</v>
      </c>
      <c r="N9" s="86">
        <f ca="1">IF(C9&lt;1,0,IF(Reeksen!AD9&lt;=Reeksen!AE9,M9*Reeksen!C9,0))</f>
        <v>0</v>
      </c>
      <c r="O9" s="86">
        <f ca="1">IF(C9&lt;1,0,IF(Reeksen!AD9&gt;Reeksen!AE9,M9*Reeksen!C9,0))</f>
        <v>0</v>
      </c>
      <c r="P9" s="86">
        <f t="shared" ca="1" si="3"/>
        <v>0</v>
      </c>
      <c r="Q9" s="82">
        <f ca="1">IF('Invoer gegevens'!$C$17=E9,I9,IF(C9=0,0,R8))</f>
        <v>0</v>
      </c>
      <c r="R9" s="84">
        <f t="shared" ca="1" si="0"/>
        <v>0</v>
      </c>
      <c r="S9" s="84">
        <f ca="1">IF('Invoer gegevens'!$C$17=E9,M9,IF(C9=0,0,T8))</f>
        <v>0</v>
      </c>
      <c r="T9" s="84">
        <f t="shared" ca="1" si="9"/>
        <v>0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70"/>
      <c r="AI9" s="71">
        <f ca="1">IF(C9=1,((F9+H9)/2*Reeksen!AI9*12)+(('Invoer gegevens'!$C$10-(F9+H9)/2)*Reeksen!AD9*12),0)</f>
        <v>0</v>
      </c>
      <c r="AJ9" s="71">
        <f ca="1">-AI9*'Invoer gegevens'!$F$28</f>
        <v>0</v>
      </c>
      <c r="AK9" s="71">
        <f t="shared" ca="1" si="4"/>
        <v>0</v>
      </c>
      <c r="AL9" s="71">
        <f ca="1">IF(C9=1,(12*((F9+H9)/2)*Reeksen!AL9)+(12*('Invoer gegevens'!$C$10-(F9+H9)/2)*Reeksen!AM9),0)</f>
        <v>0</v>
      </c>
      <c r="AM9" s="71">
        <f ca="1">-AL9*'Invoer gegevens'!$F$31</f>
        <v>0</v>
      </c>
      <c r="AN9" s="71">
        <f t="shared" ca="1" si="5"/>
        <v>0</v>
      </c>
      <c r="AO9" s="71"/>
      <c r="AP9" s="71"/>
      <c r="AQ9" s="71">
        <f ca="1">-IF(C9=1,('Invoer gegevens'!$C$10*'Invoer gegevens'!$F$35)*Reeksen!J9,0)*2</f>
        <v>0</v>
      </c>
      <c r="AR9" s="71">
        <f ca="1">-IF(C9=1,(G9*'Invoer gegevens'!$F$36)*Reeksen!J9,0)</f>
        <v>0</v>
      </c>
      <c r="AS9" s="71">
        <f ca="1">-IF(C9=1,'Invoer gegevens'!$C$10*'Invoer gegevens'!$F$37*Reeksen!L9,0)</f>
        <v>0</v>
      </c>
      <c r="AT9" s="71">
        <f ca="1">-IF(C9=1,IF(E9='Invoer gegevens'!$C$17,'Invoer gegevens'!$C$11,Q9)*Reeksen!S9*'Invoer gegevens'!$C$18*Reeksen!P9,0)</f>
        <v>0</v>
      </c>
      <c r="AU9" s="71">
        <f ca="1">-IF(C9=1,'Invoer gegevens'!$C$10*'Invoer gegevens'!$F$38*Reeksen!H9,0)</f>
        <v>0</v>
      </c>
      <c r="AV9" s="71">
        <f>IF('Invoer gegevens'!$C$3="Basis",0,#REF!)</f>
        <v>0</v>
      </c>
      <c r="AW9" s="71">
        <f t="shared" ca="1" si="6"/>
        <v>0</v>
      </c>
      <c r="AX9" s="71">
        <f ca="1">IF(E9&lt;'Invoer gegevens'!$C$17+15,0,IF('RW - MW - DE - DE'!E9&gt;'Invoer gegevens'!$C$17+215,0,'RW - MW - DE - DE'!AW9))</f>
        <v>0</v>
      </c>
      <c r="AY9" s="71">
        <f ca="1">AX9/(1+'Invoer gegevens'!$F$13)^($AZ9-('Invoer gegevens'!$C$17-'Invoer gegevens'!$C$16))/(1+'Invoer gegevens'!$C$39)^('Invoer gegevens'!$C$17-'Invoer gegevens'!$C$16)</f>
        <v>0</v>
      </c>
      <c r="AZ9" s="68">
        <f ca="1">IF(E9-'Invoer gegevens'!$C$17-14.5&lt;0,0,E9-'Invoer gegevens'!$C$17-14.5)</f>
        <v>0</v>
      </c>
    </row>
    <row r="10" spans="1:52" customFormat="1" x14ac:dyDescent="0.25">
      <c r="A10" s="59"/>
      <c r="B10" s="70">
        <f t="shared" si="7"/>
        <v>6</v>
      </c>
      <c r="C10" s="67">
        <f ca="1">IF(E10-'Invoer gegevens'!$C$17&lt;0,0,1)</f>
        <v>1</v>
      </c>
      <c r="D10" s="68">
        <f t="shared" si="8"/>
        <v>5.5</v>
      </c>
      <c r="E10" s="69">
        <f ca="1">IF('Invoer gegevens'!$C$16="","",E9+1)</f>
        <v>2024</v>
      </c>
      <c r="F10" s="82">
        <f ca="1">IF('Invoer gegevens'!$C$17=E10,'Invoer gegevens'!$C$10,IF(C10=1,H9,0))</f>
        <v>0</v>
      </c>
      <c r="G10" s="83">
        <f ca="1">IF(C10&gt;=1,F10*Reeksen!C10,0)</f>
        <v>0</v>
      </c>
      <c r="H10" s="84">
        <f t="shared" ca="1" si="1"/>
        <v>0</v>
      </c>
      <c r="I10" s="85">
        <f ca="1">IF('Invoer gegevens'!$C$17=E10,'Invoer gegevens'!$C$11,IF(C10=1,L9,0))</f>
        <v>0</v>
      </c>
      <c r="J10" s="86">
        <f ca="1">IF(C10&lt;1,0,IF(Reeksen!AD10&lt;=Reeksen!AE10,I10*Reeksen!C10,0))</f>
        <v>0</v>
      </c>
      <c r="K10" s="86">
        <f ca="1">IF(C10&lt;1,0,IF(Reeksen!AD10&gt;Reeksen!AE10,I10*Reeksen!C10,0))</f>
        <v>0</v>
      </c>
      <c r="L10" s="86">
        <f t="shared" ca="1" si="2"/>
        <v>0</v>
      </c>
      <c r="M10" s="85">
        <f ca="1">IF('Invoer gegevens'!$C$17=E10,'Invoer gegevens'!$C$10-'Invoer gegevens'!$C$11,IF(C10=1,P9,0))</f>
        <v>0</v>
      </c>
      <c r="N10" s="86">
        <f ca="1">IF(C10&lt;1,0,IF(Reeksen!AD10&lt;=Reeksen!AE10,M10*Reeksen!C10,0))</f>
        <v>0</v>
      </c>
      <c r="O10" s="86">
        <f ca="1">IF(C10&lt;1,0,IF(Reeksen!AD10&gt;Reeksen!AE10,M10*Reeksen!C10,0))</f>
        <v>0</v>
      </c>
      <c r="P10" s="86">
        <f t="shared" ca="1" si="3"/>
        <v>0</v>
      </c>
      <c r="Q10" s="82">
        <f ca="1">IF('Invoer gegevens'!$C$17=E10,I10,IF(C10=0,0,R9))</f>
        <v>0</v>
      </c>
      <c r="R10" s="84">
        <f t="shared" ca="1" si="0"/>
        <v>0</v>
      </c>
      <c r="S10" s="84">
        <f ca="1">IF('Invoer gegevens'!$C$17=E10,M10,IF(C10=0,0,T9))</f>
        <v>0</v>
      </c>
      <c r="T10" s="84">
        <f t="shared" ca="1" si="9"/>
        <v>0</v>
      </c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70"/>
      <c r="AI10" s="71">
        <f ca="1">IF(C10=1,((F10+H10)/2*Reeksen!AI10*12)+(('Invoer gegevens'!$C$10-(F10+H10)/2)*Reeksen!AD10*12),0)</f>
        <v>0</v>
      </c>
      <c r="AJ10" s="71">
        <f ca="1">-AI10*'Invoer gegevens'!$F$28</f>
        <v>0</v>
      </c>
      <c r="AK10" s="71">
        <f t="shared" ca="1" si="4"/>
        <v>0</v>
      </c>
      <c r="AL10" s="71">
        <f ca="1">IF(C10=1,(12*((F10+H10)/2)*Reeksen!AL10)+(12*('Invoer gegevens'!$C$10-(F10+H10)/2)*Reeksen!AM10),0)</f>
        <v>0</v>
      </c>
      <c r="AM10" s="71">
        <f ca="1">-AL10*'Invoer gegevens'!$F$31</f>
        <v>0</v>
      </c>
      <c r="AN10" s="71">
        <f t="shared" ca="1" si="5"/>
        <v>0</v>
      </c>
      <c r="AO10" s="71"/>
      <c r="AP10" s="71"/>
      <c r="AQ10" s="71">
        <f ca="1">-IF(C10=1,('Invoer gegevens'!$C$10*'Invoer gegevens'!$F$35)*Reeksen!J10,0)*2</f>
        <v>0</v>
      </c>
      <c r="AR10" s="71">
        <f ca="1">-IF(C10=1,(G10*'Invoer gegevens'!$F$36)*Reeksen!J10,0)</f>
        <v>0</v>
      </c>
      <c r="AS10" s="71">
        <f ca="1">-IF(C10=1,'Invoer gegevens'!$C$10*'Invoer gegevens'!$F$37*Reeksen!L10,0)</f>
        <v>0</v>
      </c>
      <c r="AT10" s="71">
        <f ca="1">-IF(C10=1,IF(E10='Invoer gegevens'!$C$17,'Invoer gegevens'!$C$11,Q10)*Reeksen!S10*'Invoer gegevens'!$C$18*Reeksen!P10,0)</f>
        <v>0</v>
      </c>
      <c r="AU10" s="71">
        <f ca="1">-IF(C10=1,'Invoer gegevens'!$C$10*'Invoer gegevens'!$F$38*Reeksen!H10,0)</f>
        <v>0</v>
      </c>
      <c r="AV10" s="71">
        <f>IF('Invoer gegevens'!$C$3="Basis",0,#REF!)</f>
        <v>0</v>
      </c>
      <c r="AW10" s="71">
        <f t="shared" ca="1" si="6"/>
        <v>0</v>
      </c>
      <c r="AX10" s="71">
        <f ca="1">IF(E10&lt;'Invoer gegevens'!$C$17+15,0,IF('RW - MW - DE - DE'!E10&gt;'Invoer gegevens'!$C$17+215,0,'RW - MW - DE - DE'!AW10))</f>
        <v>0</v>
      </c>
      <c r="AY10" s="71">
        <f ca="1">AX10/(1+'Invoer gegevens'!$F$13)^($AZ10-('Invoer gegevens'!$C$17-'Invoer gegevens'!$C$16))/(1+'Invoer gegevens'!$C$39)^('Invoer gegevens'!$C$17-'Invoer gegevens'!$C$16)</f>
        <v>0</v>
      </c>
      <c r="AZ10" s="68">
        <f ca="1">IF(E10-'Invoer gegevens'!$C$17-14.5&lt;0,0,E10-'Invoer gegevens'!$C$17-14.5)</f>
        <v>0</v>
      </c>
    </row>
    <row r="11" spans="1:52" customFormat="1" x14ac:dyDescent="0.25">
      <c r="A11" s="59"/>
      <c r="B11" s="70">
        <f t="shared" si="7"/>
        <v>7</v>
      </c>
      <c r="C11" s="67">
        <f ca="1">IF(E11-'Invoer gegevens'!$C$17&lt;0,0,1)</f>
        <v>1</v>
      </c>
      <c r="D11" s="68">
        <f t="shared" si="8"/>
        <v>6.5</v>
      </c>
      <c r="E11" s="69">
        <f ca="1">IF('Invoer gegevens'!$C$16="","",E10+1)</f>
        <v>2025</v>
      </c>
      <c r="F11" s="82">
        <f ca="1">IF('Invoer gegevens'!$C$17=E11,'Invoer gegevens'!$C$10,IF(C11=1,H10,0))</f>
        <v>0</v>
      </c>
      <c r="G11" s="83">
        <f ca="1">IF(C11&gt;=1,F11*Reeksen!C11,0)</f>
        <v>0</v>
      </c>
      <c r="H11" s="84">
        <f t="shared" ca="1" si="1"/>
        <v>0</v>
      </c>
      <c r="I11" s="85">
        <f ca="1">IF('Invoer gegevens'!$C$17=E11,'Invoer gegevens'!$C$11,IF(C11=1,L10,0))</f>
        <v>0</v>
      </c>
      <c r="J11" s="86">
        <f ca="1">IF(C11&lt;1,0,IF(Reeksen!AD11&lt;=Reeksen!AE11,I11*Reeksen!C11,0))</f>
        <v>0</v>
      </c>
      <c r="K11" s="86">
        <f ca="1">IF(C11&lt;1,0,IF(Reeksen!AD11&gt;Reeksen!AE11,I11*Reeksen!C11,0))</f>
        <v>0</v>
      </c>
      <c r="L11" s="86">
        <f t="shared" ca="1" si="2"/>
        <v>0</v>
      </c>
      <c r="M11" s="85">
        <f ca="1">IF('Invoer gegevens'!$C$17=E11,'Invoer gegevens'!$C$10-'Invoer gegevens'!$C$11,IF(C11=1,P10,0))</f>
        <v>0</v>
      </c>
      <c r="N11" s="86">
        <f ca="1">IF(C11&lt;1,0,IF(Reeksen!AD11&lt;=Reeksen!AE11,M11*Reeksen!C11,0))</f>
        <v>0</v>
      </c>
      <c r="O11" s="86">
        <f ca="1">IF(C11&lt;1,0,IF(Reeksen!AD11&gt;Reeksen!AE11,M11*Reeksen!C11,0))</f>
        <v>0</v>
      </c>
      <c r="P11" s="86">
        <f t="shared" ca="1" si="3"/>
        <v>0</v>
      </c>
      <c r="Q11" s="82">
        <f ca="1">IF('Invoer gegevens'!$C$17=E11,I11,IF(C11=0,0,R10))</f>
        <v>0</v>
      </c>
      <c r="R11" s="84">
        <f t="shared" ca="1" si="0"/>
        <v>0</v>
      </c>
      <c r="S11" s="84">
        <f ca="1">IF('Invoer gegevens'!$C$17=E11,M11,IF(C11=0,0,T10))</f>
        <v>0</v>
      </c>
      <c r="T11" s="84">
        <f t="shared" ca="1" si="9"/>
        <v>0</v>
      </c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70"/>
      <c r="AI11" s="71">
        <f ca="1">IF(C11=1,((F11+H11)/2*Reeksen!AI11*12)+(('Invoer gegevens'!$C$10-(F11+H11)/2)*Reeksen!AD11*12),0)</f>
        <v>0</v>
      </c>
      <c r="AJ11" s="71">
        <f ca="1">-AI11*'Invoer gegevens'!$F$28</f>
        <v>0</v>
      </c>
      <c r="AK11" s="71">
        <f t="shared" ca="1" si="4"/>
        <v>0</v>
      </c>
      <c r="AL11" s="71">
        <f ca="1">IF(C11=1,(12*((F11+H11)/2)*Reeksen!AL11)+(12*('Invoer gegevens'!$C$10-(F11+H11)/2)*Reeksen!AM11),0)</f>
        <v>0</v>
      </c>
      <c r="AM11" s="71">
        <f ca="1">-AL11*'Invoer gegevens'!$F$31</f>
        <v>0</v>
      </c>
      <c r="AN11" s="71">
        <f t="shared" ca="1" si="5"/>
        <v>0</v>
      </c>
      <c r="AO11" s="71"/>
      <c r="AP11" s="71"/>
      <c r="AQ11" s="71">
        <f ca="1">-IF(C11=1,('Invoer gegevens'!$C$10*'Invoer gegevens'!$F$35)*Reeksen!J11,0)*2</f>
        <v>0</v>
      </c>
      <c r="AR11" s="71">
        <f ca="1">-IF(C11=1,(G11*'Invoer gegevens'!$F$36)*Reeksen!J11,0)</f>
        <v>0</v>
      </c>
      <c r="AS11" s="71">
        <f ca="1">-IF(C11=1,'Invoer gegevens'!$C$10*'Invoer gegevens'!$F$37*Reeksen!L11,0)</f>
        <v>0</v>
      </c>
      <c r="AT11" s="71">
        <f ca="1">-IF(C11=1,IF(E11='Invoer gegevens'!$C$17,'Invoer gegevens'!$C$11,Q11)*Reeksen!S11*'Invoer gegevens'!$C$18*Reeksen!P11,0)</f>
        <v>0</v>
      </c>
      <c r="AU11" s="71">
        <f ca="1">-IF(C11=1,'Invoer gegevens'!$C$10*'Invoer gegevens'!$F$38*Reeksen!H11,0)</f>
        <v>0</v>
      </c>
      <c r="AV11" s="71">
        <f>IF('Invoer gegevens'!$C$3="Basis",0,#REF!)</f>
        <v>0</v>
      </c>
      <c r="AW11" s="71">
        <f t="shared" ca="1" si="6"/>
        <v>0</v>
      </c>
      <c r="AX11" s="71">
        <f ca="1">IF(E11&lt;'Invoer gegevens'!$C$17+15,0,IF('RW - MW - DE - DE'!E11&gt;'Invoer gegevens'!$C$17+215,0,'RW - MW - DE - DE'!AW11))</f>
        <v>0</v>
      </c>
      <c r="AY11" s="71">
        <f ca="1">AX11/(1+'Invoer gegevens'!$F$13)^($AZ11-('Invoer gegevens'!$C$17-'Invoer gegevens'!$C$16))/(1+'Invoer gegevens'!$C$39)^('Invoer gegevens'!$C$17-'Invoer gegevens'!$C$16)</f>
        <v>0</v>
      </c>
      <c r="AZ11" s="68">
        <f ca="1">IF(E11-'Invoer gegevens'!$C$17-14.5&lt;0,0,E11-'Invoer gegevens'!$C$17-14.5)</f>
        <v>0</v>
      </c>
    </row>
    <row r="12" spans="1:52" customFormat="1" x14ac:dyDescent="0.25">
      <c r="A12" s="59"/>
      <c r="B12" s="70">
        <f t="shared" si="7"/>
        <v>8</v>
      </c>
      <c r="C12" s="67">
        <f ca="1">IF(E12-'Invoer gegevens'!$C$17&lt;0,0,1)</f>
        <v>1</v>
      </c>
      <c r="D12" s="68">
        <f t="shared" si="8"/>
        <v>7.5</v>
      </c>
      <c r="E12" s="69">
        <f ca="1">IF('Invoer gegevens'!$C$16="","",E11+1)</f>
        <v>2026</v>
      </c>
      <c r="F12" s="82">
        <f ca="1">IF('Invoer gegevens'!$C$17=E12,'Invoer gegevens'!$C$10,IF(C12=1,H11,0))</f>
        <v>0</v>
      </c>
      <c r="G12" s="83">
        <f ca="1">IF(C12&gt;=1,F12*Reeksen!C12,0)</f>
        <v>0</v>
      </c>
      <c r="H12" s="84">
        <f t="shared" ca="1" si="1"/>
        <v>0</v>
      </c>
      <c r="I12" s="85">
        <f ca="1">IF('Invoer gegevens'!$C$17=E12,'Invoer gegevens'!$C$11,IF(C12=1,L11,0))</f>
        <v>0</v>
      </c>
      <c r="J12" s="86">
        <f ca="1">IF(C12&lt;1,0,IF(Reeksen!AD12&lt;=Reeksen!AE12,I12*Reeksen!C12,0))</f>
        <v>0</v>
      </c>
      <c r="K12" s="86">
        <f ca="1">IF(C12&lt;1,0,IF(Reeksen!AD12&gt;Reeksen!AE12,I12*Reeksen!C12,0))</f>
        <v>0</v>
      </c>
      <c r="L12" s="86">
        <f t="shared" ca="1" si="2"/>
        <v>0</v>
      </c>
      <c r="M12" s="85">
        <f ca="1">IF('Invoer gegevens'!$C$17=E12,'Invoer gegevens'!$C$10-'Invoer gegevens'!$C$11,IF(C12=1,P11,0))</f>
        <v>0</v>
      </c>
      <c r="N12" s="86">
        <f ca="1">IF(C12&lt;1,0,IF(Reeksen!AD12&lt;=Reeksen!AE12,M12*Reeksen!C12,0))</f>
        <v>0</v>
      </c>
      <c r="O12" s="86">
        <f ca="1">IF(C12&lt;1,0,IF(Reeksen!AD12&gt;Reeksen!AE12,M12*Reeksen!C12,0))</f>
        <v>0</v>
      </c>
      <c r="P12" s="86">
        <f t="shared" ca="1" si="3"/>
        <v>0</v>
      </c>
      <c r="Q12" s="82">
        <f ca="1">IF('Invoer gegevens'!$C$17=E12,I12,IF(C12=0,0,R11))</f>
        <v>0</v>
      </c>
      <c r="R12" s="84">
        <f t="shared" ca="1" si="0"/>
        <v>0</v>
      </c>
      <c r="S12" s="84">
        <f ca="1">IF('Invoer gegevens'!$C$17=E12,M12,IF(C12=0,0,T11))</f>
        <v>0</v>
      </c>
      <c r="T12" s="84">
        <f t="shared" ca="1" si="9"/>
        <v>0</v>
      </c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70"/>
      <c r="AI12" s="71">
        <f ca="1">IF(C12=1,((F12+H12)/2*Reeksen!AI12*12)+(('Invoer gegevens'!$C$10-(F12+H12)/2)*Reeksen!AD12*12),0)</f>
        <v>0</v>
      </c>
      <c r="AJ12" s="71">
        <f ca="1">-AI12*'Invoer gegevens'!$F$28</f>
        <v>0</v>
      </c>
      <c r="AK12" s="71">
        <f t="shared" ca="1" si="4"/>
        <v>0</v>
      </c>
      <c r="AL12" s="71">
        <f ca="1">IF(C12=1,(12*((F12+H12)/2)*Reeksen!AL12)+(12*('Invoer gegevens'!$C$10-(F12+H12)/2)*Reeksen!AM12),0)</f>
        <v>0</v>
      </c>
      <c r="AM12" s="71">
        <f ca="1">-AL12*'Invoer gegevens'!$F$31</f>
        <v>0</v>
      </c>
      <c r="AN12" s="71">
        <f t="shared" ca="1" si="5"/>
        <v>0</v>
      </c>
      <c r="AO12" s="71"/>
      <c r="AP12" s="71"/>
      <c r="AQ12" s="71">
        <f ca="1">-IF(C12=1,('Invoer gegevens'!$C$10*'Invoer gegevens'!$F$35)*Reeksen!J12,0)*2</f>
        <v>0</v>
      </c>
      <c r="AR12" s="71">
        <f ca="1">-IF(C12=1,(G12*'Invoer gegevens'!$F$36)*Reeksen!J12,0)</f>
        <v>0</v>
      </c>
      <c r="AS12" s="71">
        <f ca="1">-IF(C12=1,'Invoer gegevens'!$C$10*'Invoer gegevens'!$F$37*Reeksen!L12,0)</f>
        <v>0</v>
      </c>
      <c r="AT12" s="71">
        <f ca="1">-IF(C12=1,IF(E12='Invoer gegevens'!$C$17,'Invoer gegevens'!$C$11,Q12)*Reeksen!S12*'Invoer gegevens'!$C$18*Reeksen!P12,0)</f>
        <v>0</v>
      </c>
      <c r="AU12" s="71">
        <f ca="1">-IF(C12=1,'Invoer gegevens'!$C$10*'Invoer gegevens'!$F$38*Reeksen!H12,0)</f>
        <v>0</v>
      </c>
      <c r="AV12" s="71">
        <f>IF('Invoer gegevens'!$C$3="Basis",0,#REF!)</f>
        <v>0</v>
      </c>
      <c r="AW12" s="71">
        <f t="shared" ca="1" si="6"/>
        <v>0</v>
      </c>
      <c r="AX12" s="71">
        <f ca="1">IF(E12&lt;'Invoer gegevens'!$C$17+15,0,IF('RW - MW - DE - DE'!E12&gt;'Invoer gegevens'!$C$17+215,0,'RW - MW - DE - DE'!AW12))</f>
        <v>0</v>
      </c>
      <c r="AY12" s="71">
        <f ca="1">AX12/(1+'Invoer gegevens'!$F$13)^($AZ12-('Invoer gegevens'!$C$17-'Invoer gegevens'!$C$16))/(1+'Invoer gegevens'!$C$39)^('Invoer gegevens'!$C$17-'Invoer gegevens'!$C$16)</f>
        <v>0</v>
      </c>
      <c r="AZ12" s="68">
        <f ca="1">IF(E12-'Invoer gegevens'!$C$17-14.5&lt;0,0,E12-'Invoer gegevens'!$C$17-14.5)</f>
        <v>0</v>
      </c>
    </row>
    <row r="13" spans="1:52" customFormat="1" x14ac:dyDescent="0.25">
      <c r="A13" s="59"/>
      <c r="B13" s="70">
        <f t="shared" si="7"/>
        <v>9</v>
      </c>
      <c r="C13" s="67">
        <f ca="1">IF(E13-'Invoer gegevens'!$C$17&lt;0,0,1)</f>
        <v>1</v>
      </c>
      <c r="D13" s="68">
        <f t="shared" si="8"/>
        <v>8.5</v>
      </c>
      <c r="E13" s="69">
        <f ca="1">IF('Invoer gegevens'!$C$16="","",E12+1)</f>
        <v>2027</v>
      </c>
      <c r="F13" s="82">
        <f ca="1">IF('Invoer gegevens'!$C$17=E13,'Invoer gegevens'!$C$10,IF(C13=1,H12,0))</f>
        <v>0</v>
      </c>
      <c r="G13" s="83">
        <f ca="1">IF(C13&gt;=1,F13*Reeksen!C13,0)</f>
        <v>0</v>
      </c>
      <c r="H13" s="84">
        <f t="shared" ca="1" si="1"/>
        <v>0</v>
      </c>
      <c r="I13" s="85">
        <f ca="1">IF('Invoer gegevens'!$C$17=E13,'Invoer gegevens'!$C$11,IF(C13=1,L12,0))</f>
        <v>0</v>
      </c>
      <c r="J13" s="86">
        <f ca="1">IF(C13&lt;1,0,IF(Reeksen!AD13&lt;=Reeksen!AE13,I13*Reeksen!C13,0))</f>
        <v>0</v>
      </c>
      <c r="K13" s="86">
        <f ca="1">IF(C13&lt;1,0,IF(Reeksen!AD13&gt;Reeksen!AE13,I13*Reeksen!C13,0))</f>
        <v>0</v>
      </c>
      <c r="L13" s="86">
        <f t="shared" ca="1" si="2"/>
        <v>0</v>
      </c>
      <c r="M13" s="85">
        <f ca="1">IF('Invoer gegevens'!$C$17=E13,'Invoer gegevens'!$C$10-'Invoer gegevens'!$C$11,IF(C13=1,P12,0))</f>
        <v>0</v>
      </c>
      <c r="N13" s="86">
        <f ca="1">IF(C13&lt;1,0,IF(Reeksen!AD13&lt;=Reeksen!AE13,M13*Reeksen!C13,0))</f>
        <v>0</v>
      </c>
      <c r="O13" s="86">
        <f ca="1">IF(C13&lt;1,0,IF(Reeksen!AD13&gt;Reeksen!AE13,M13*Reeksen!C13,0))</f>
        <v>0</v>
      </c>
      <c r="P13" s="86">
        <f t="shared" ca="1" si="3"/>
        <v>0</v>
      </c>
      <c r="Q13" s="82">
        <f ca="1">IF('Invoer gegevens'!$C$17=E13,I13,IF(C13=0,0,R12))</f>
        <v>0</v>
      </c>
      <c r="R13" s="84">
        <f t="shared" ca="1" si="0"/>
        <v>0</v>
      </c>
      <c r="S13" s="84">
        <f ca="1">IF('Invoer gegevens'!$C$17=E13,M13,IF(C13=0,0,T12))</f>
        <v>0</v>
      </c>
      <c r="T13" s="84">
        <f t="shared" ca="1" si="9"/>
        <v>0</v>
      </c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70"/>
      <c r="AI13" s="71">
        <f ca="1">IF(C13=1,((F13+H13)/2*Reeksen!AI13*12)+(('Invoer gegevens'!$C$10-(F13+H13)/2)*Reeksen!AD13*12),0)</f>
        <v>0</v>
      </c>
      <c r="AJ13" s="71">
        <f ca="1">-AI13*'Invoer gegevens'!$F$28</f>
        <v>0</v>
      </c>
      <c r="AK13" s="71">
        <f t="shared" ca="1" si="4"/>
        <v>0</v>
      </c>
      <c r="AL13" s="71">
        <f ca="1">IF(C13=1,(12*((F13+H13)/2)*Reeksen!AL13)+(12*('Invoer gegevens'!$C$10-(F13+H13)/2)*Reeksen!AM13),0)</f>
        <v>0</v>
      </c>
      <c r="AM13" s="71">
        <f ca="1">-AL13*'Invoer gegevens'!$F$31</f>
        <v>0</v>
      </c>
      <c r="AN13" s="71">
        <f t="shared" ca="1" si="5"/>
        <v>0</v>
      </c>
      <c r="AO13" s="71"/>
      <c r="AP13" s="71"/>
      <c r="AQ13" s="71">
        <f ca="1">-IF(C13=1,('Invoer gegevens'!$C$10*'Invoer gegevens'!$F$35)*Reeksen!J13,0)*2</f>
        <v>0</v>
      </c>
      <c r="AR13" s="71">
        <f ca="1">-IF(C13=1,(G13*'Invoer gegevens'!$F$36)*Reeksen!J13,0)</f>
        <v>0</v>
      </c>
      <c r="AS13" s="71">
        <f ca="1">-IF(C13=1,'Invoer gegevens'!$C$10*'Invoer gegevens'!$F$37*Reeksen!L13,0)</f>
        <v>0</v>
      </c>
      <c r="AT13" s="71">
        <f ca="1">-IF(C13=1,IF(E13='Invoer gegevens'!$C$17,'Invoer gegevens'!$C$11,Q13)*Reeksen!S13*'Invoer gegevens'!$C$18*Reeksen!P13,0)</f>
        <v>0</v>
      </c>
      <c r="AU13" s="71">
        <f ca="1">-IF(C13=1,'Invoer gegevens'!$C$10*'Invoer gegevens'!$F$38*Reeksen!H13,0)</f>
        <v>0</v>
      </c>
      <c r="AV13" s="71">
        <f>IF('Invoer gegevens'!$C$3="Basis",0,#REF!)</f>
        <v>0</v>
      </c>
      <c r="AW13" s="71">
        <f t="shared" ca="1" si="6"/>
        <v>0</v>
      </c>
      <c r="AX13" s="71">
        <f ca="1">IF(E13&lt;'Invoer gegevens'!$C$17+15,0,IF('RW - MW - DE - DE'!E13&gt;'Invoer gegevens'!$C$17+215,0,'RW - MW - DE - DE'!AW13))</f>
        <v>0</v>
      </c>
      <c r="AY13" s="71">
        <f ca="1">AX13/(1+'Invoer gegevens'!$F$13)^($AZ13-('Invoer gegevens'!$C$17-'Invoer gegevens'!$C$16))/(1+'Invoer gegevens'!$C$39)^('Invoer gegevens'!$C$17-'Invoer gegevens'!$C$16)</f>
        <v>0</v>
      </c>
      <c r="AZ13" s="68">
        <f ca="1">IF(E13-'Invoer gegevens'!$C$17-14.5&lt;0,0,E13-'Invoer gegevens'!$C$17-14.5)</f>
        <v>0</v>
      </c>
    </row>
    <row r="14" spans="1:52" customFormat="1" x14ac:dyDescent="0.25">
      <c r="A14" s="59"/>
      <c r="B14" s="70">
        <f t="shared" si="7"/>
        <v>10</v>
      </c>
      <c r="C14" s="67">
        <f ca="1">IF(E14-'Invoer gegevens'!$C$17&lt;0,0,1)</f>
        <v>1</v>
      </c>
      <c r="D14" s="68">
        <f t="shared" si="8"/>
        <v>9.5</v>
      </c>
      <c r="E14" s="69">
        <f ca="1">IF('Invoer gegevens'!$C$16="","",E13+1)</f>
        <v>2028</v>
      </c>
      <c r="F14" s="82">
        <f ca="1">IF('Invoer gegevens'!$C$17=E14,'Invoer gegevens'!$C$10,IF(C14=1,H13,0))</f>
        <v>0</v>
      </c>
      <c r="G14" s="83">
        <f ca="1">IF(C14&gt;=1,F14*Reeksen!C14,0)</f>
        <v>0</v>
      </c>
      <c r="H14" s="84">
        <f t="shared" ca="1" si="1"/>
        <v>0</v>
      </c>
      <c r="I14" s="85">
        <f ca="1">IF('Invoer gegevens'!$C$17=E14,'Invoer gegevens'!$C$11,IF(C14=1,L13,0))</f>
        <v>0</v>
      </c>
      <c r="J14" s="86">
        <f ca="1">IF(C14&lt;1,0,IF(Reeksen!AD14&lt;=Reeksen!AE14,I14*Reeksen!C14,0))</f>
        <v>0</v>
      </c>
      <c r="K14" s="86">
        <f ca="1">IF(C14&lt;1,0,IF(Reeksen!AD14&gt;Reeksen!AE14,I14*Reeksen!C14,0))</f>
        <v>0</v>
      </c>
      <c r="L14" s="86">
        <f t="shared" ca="1" si="2"/>
        <v>0</v>
      </c>
      <c r="M14" s="85">
        <f ca="1">IF('Invoer gegevens'!$C$17=E14,'Invoer gegevens'!$C$10-'Invoer gegevens'!$C$11,IF(C14=1,P13,0))</f>
        <v>0</v>
      </c>
      <c r="N14" s="86">
        <f ca="1">IF(C14&lt;1,0,IF(Reeksen!AD14&lt;=Reeksen!AE14,M14*Reeksen!C14,0))</f>
        <v>0</v>
      </c>
      <c r="O14" s="86">
        <f ca="1">IF(C14&lt;1,0,IF(Reeksen!AD14&gt;Reeksen!AE14,M14*Reeksen!C14,0))</f>
        <v>0</v>
      </c>
      <c r="P14" s="86">
        <f t="shared" ca="1" si="3"/>
        <v>0</v>
      </c>
      <c r="Q14" s="82">
        <f ca="1">IF('Invoer gegevens'!$C$17=E14,I14,IF(C14=0,0,R13))</f>
        <v>0</v>
      </c>
      <c r="R14" s="84">
        <f t="shared" ca="1" si="0"/>
        <v>0</v>
      </c>
      <c r="S14" s="84">
        <f ca="1">IF('Invoer gegevens'!$C$17=E14,M14,IF(C14=0,0,T13))</f>
        <v>0</v>
      </c>
      <c r="T14" s="84">
        <f t="shared" ca="1" si="9"/>
        <v>0</v>
      </c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70"/>
      <c r="AI14" s="71">
        <f ca="1">IF(C14=1,((F14+H14)/2*Reeksen!AI14*12)+(('Invoer gegevens'!$C$10-(F14+H14)/2)*Reeksen!AD14*12),0)</f>
        <v>0</v>
      </c>
      <c r="AJ14" s="71">
        <f ca="1">-AI14*'Invoer gegevens'!$F$28</f>
        <v>0</v>
      </c>
      <c r="AK14" s="71">
        <f t="shared" ca="1" si="4"/>
        <v>0</v>
      </c>
      <c r="AL14" s="71">
        <f ca="1">IF(C14=1,(12*((F14+H14)/2)*Reeksen!AL14)+(12*('Invoer gegevens'!$C$10-(F14+H14)/2)*Reeksen!AM14),0)</f>
        <v>0</v>
      </c>
      <c r="AM14" s="71">
        <f ca="1">-AL14*'Invoer gegevens'!$F$31</f>
        <v>0</v>
      </c>
      <c r="AN14" s="71">
        <f t="shared" ca="1" si="5"/>
        <v>0</v>
      </c>
      <c r="AO14" s="71"/>
      <c r="AP14" s="71"/>
      <c r="AQ14" s="71">
        <f ca="1">-IF(C14=1,('Invoer gegevens'!$C$10*'Invoer gegevens'!$F$35)*Reeksen!J14,0)*2</f>
        <v>0</v>
      </c>
      <c r="AR14" s="71">
        <f ca="1">-IF(C14=1,(G14*'Invoer gegevens'!$F$36)*Reeksen!J14,0)</f>
        <v>0</v>
      </c>
      <c r="AS14" s="71">
        <f ca="1">-IF(C14=1,'Invoer gegevens'!$C$10*'Invoer gegevens'!$F$37*Reeksen!L14,0)</f>
        <v>0</v>
      </c>
      <c r="AT14" s="71">
        <f ca="1">-IF(C14=1,IF(E14='Invoer gegevens'!$C$17,'Invoer gegevens'!$C$11,Q14)*Reeksen!S14*'Invoer gegevens'!$C$18*Reeksen!P14,0)</f>
        <v>0</v>
      </c>
      <c r="AU14" s="71">
        <f ca="1">-IF(C14=1,'Invoer gegevens'!$C$10*'Invoer gegevens'!$F$38*Reeksen!H14,0)</f>
        <v>0</v>
      </c>
      <c r="AV14" s="71">
        <f>IF('Invoer gegevens'!$C$3="Basis",0,#REF!)</f>
        <v>0</v>
      </c>
      <c r="AW14" s="71">
        <f t="shared" ca="1" si="6"/>
        <v>0</v>
      </c>
      <c r="AX14" s="71">
        <f ca="1">IF(E14&lt;'Invoer gegevens'!$C$17+15,0,IF('RW - MW - DE - DE'!E14&gt;'Invoer gegevens'!$C$17+215,0,'RW - MW - DE - DE'!AW14))</f>
        <v>0</v>
      </c>
      <c r="AY14" s="71">
        <f ca="1">AX14/(1+'Invoer gegevens'!$F$13)^($AZ14-('Invoer gegevens'!$C$17-'Invoer gegevens'!$C$16))/(1+'Invoer gegevens'!$C$39)^('Invoer gegevens'!$C$17-'Invoer gegevens'!$C$16)</f>
        <v>0</v>
      </c>
      <c r="AZ14" s="68">
        <f ca="1">IF(E14-'Invoer gegevens'!$C$17-14.5&lt;0,0,E14-'Invoer gegevens'!$C$17-14.5)</f>
        <v>0</v>
      </c>
    </row>
    <row r="15" spans="1:52" customFormat="1" x14ac:dyDescent="0.25">
      <c r="A15" s="59"/>
      <c r="B15" s="70">
        <f t="shared" si="7"/>
        <v>11</v>
      </c>
      <c r="C15" s="67">
        <f ca="1">IF(E15-'Invoer gegevens'!$C$17&lt;0,0,1)</f>
        <v>1</v>
      </c>
      <c r="D15" s="68">
        <f t="shared" si="8"/>
        <v>10.5</v>
      </c>
      <c r="E15" s="69">
        <f ca="1">IF('Invoer gegevens'!$C$16="","",E14+1)</f>
        <v>2029</v>
      </c>
      <c r="F15" s="82">
        <f ca="1">IF('Invoer gegevens'!$C$17=E15,'Invoer gegevens'!$C$10,IF(C15=1,H14,0))</f>
        <v>0</v>
      </c>
      <c r="G15" s="83">
        <f ca="1">IF(C15&gt;=1,F15*Reeksen!C15,0)</f>
        <v>0</v>
      </c>
      <c r="H15" s="84">
        <f t="shared" ca="1" si="1"/>
        <v>0</v>
      </c>
      <c r="I15" s="85">
        <f ca="1">IF('Invoer gegevens'!$C$17=E15,'Invoer gegevens'!$C$11,IF(C15=1,L14,0))</f>
        <v>0</v>
      </c>
      <c r="J15" s="86">
        <f ca="1">IF(C15&lt;1,0,IF(Reeksen!AD15&lt;=Reeksen!AE15,I15*Reeksen!C15,0))</f>
        <v>0</v>
      </c>
      <c r="K15" s="86">
        <f ca="1">IF(C15&lt;1,0,IF(Reeksen!AD15&gt;Reeksen!AE15,I15*Reeksen!C15,0))</f>
        <v>0</v>
      </c>
      <c r="L15" s="86">
        <f t="shared" ca="1" si="2"/>
        <v>0</v>
      </c>
      <c r="M15" s="85">
        <f ca="1">IF('Invoer gegevens'!$C$17=E15,'Invoer gegevens'!$C$10-'Invoer gegevens'!$C$11,IF(C15=1,P14,0))</f>
        <v>0</v>
      </c>
      <c r="N15" s="86">
        <f ca="1">IF(C15&lt;1,0,IF(Reeksen!AD15&lt;=Reeksen!AE15,M15*Reeksen!C15,0))</f>
        <v>0</v>
      </c>
      <c r="O15" s="86">
        <f ca="1">IF(C15&lt;1,0,IF(Reeksen!AD15&gt;Reeksen!AE15,M15*Reeksen!C15,0))</f>
        <v>0</v>
      </c>
      <c r="P15" s="86">
        <f t="shared" ca="1" si="3"/>
        <v>0</v>
      </c>
      <c r="Q15" s="82">
        <f ca="1">IF('Invoer gegevens'!$C$17=E15,I15,IF(C15=0,0,R14))</f>
        <v>0</v>
      </c>
      <c r="R15" s="84">
        <f t="shared" ca="1" si="0"/>
        <v>0</v>
      </c>
      <c r="S15" s="84">
        <f ca="1">IF('Invoer gegevens'!$C$17=E15,M15,IF(C15=0,0,T14))</f>
        <v>0</v>
      </c>
      <c r="T15" s="84">
        <f t="shared" ca="1" si="9"/>
        <v>0</v>
      </c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70"/>
      <c r="AI15" s="71">
        <f ca="1">IF(C15=1,((F15+H15)/2*Reeksen!AI15*12)+(('Invoer gegevens'!$C$10-(F15+H15)/2)*Reeksen!AD15*12),0)</f>
        <v>0</v>
      </c>
      <c r="AJ15" s="71">
        <f ca="1">-AI15*'Invoer gegevens'!$F$28</f>
        <v>0</v>
      </c>
      <c r="AK15" s="71">
        <f t="shared" ca="1" si="4"/>
        <v>0</v>
      </c>
      <c r="AL15" s="71">
        <f ca="1">IF(C15=1,(12*((F15+H15)/2)*Reeksen!AL15)+(12*('Invoer gegevens'!$C$10-(F15+H15)/2)*Reeksen!AM15),0)</f>
        <v>0</v>
      </c>
      <c r="AM15" s="71">
        <f ca="1">-AL15*'Invoer gegevens'!$F$31</f>
        <v>0</v>
      </c>
      <c r="AN15" s="71">
        <f t="shared" ca="1" si="5"/>
        <v>0</v>
      </c>
      <c r="AO15" s="71"/>
      <c r="AP15" s="71"/>
      <c r="AQ15" s="71">
        <f ca="1">-IF(C15=1,('Invoer gegevens'!$C$10*'Invoer gegevens'!$F$35)*Reeksen!J15,0)*2</f>
        <v>0</v>
      </c>
      <c r="AR15" s="71">
        <f ca="1">-IF(C15=1,(G15*'Invoer gegevens'!$F$36)*Reeksen!J15,0)</f>
        <v>0</v>
      </c>
      <c r="AS15" s="71">
        <f ca="1">-IF(C15=1,'Invoer gegevens'!$C$10*'Invoer gegevens'!$F$37*Reeksen!L15,0)</f>
        <v>0</v>
      </c>
      <c r="AT15" s="71">
        <f ca="1">-IF(C15=1,IF(E15='Invoer gegevens'!$C$17,'Invoer gegevens'!$C$11,Q15)*Reeksen!S15*'Invoer gegevens'!$C$18*Reeksen!P15,0)</f>
        <v>0</v>
      </c>
      <c r="AU15" s="71">
        <f ca="1">-IF(C15=1,'Invoer gegevens'!$C$10*'Invoer gegevens'!$F$38*Reeksen!H15,0)</f>
        <v>0</v>
      </c>
      <c r="AV15" s="71">
        <f>IF('Invoer gegevens'!$C$3="Basis",0,#REF!)</f>
        <v>0</v>
      </c>
      <c r="AW15" s="71">
        <f t="shared" ca="1" si="6"/>
        <v>0</v>
      </c>
      <c r="AX15" s="71">
        <f ca="1">IF(E15&lt;'Invoer gegevens'!$C$17+15,0,IF('RW - MW - DE - DE'!E15&gt;'Invoer gegevens'!$C$17+215,0,'RW - MW - DE - DE'!AW15))</f>
        <v>0</v>
      </c>
      <c r="AY15" s="71">
        <f ca="1">AX15/(1+'Invoer gegevens'!$F$13)^($AZ15-('Invoer gegevens'!$C$17-'Invoer gegevens'!$C$16))/(1+'Invoer gegevens'!$C$39)^('Invoer gegevens'!$C$17-'Invoer gegevens'!$C$16)</f>
        <v>0</v>
      </c>
      <c r="AZ15" s="68">
        <f ca="1">IF(E15-'Invoer gegevens'!$C$17-14.5&lt;0,0,E15-'Invoer gegevens'!$C$17-14.5)</f>
        <v>0</v>
      </c>
    </row>
    <row r="16" spans="1:52" customFormat="1" x14ac:dyDescent="0.25">
      <c r="A16" s="59"/>
      <c r="B16" s="70">
        <f t="shared" si="7"/>
        <v>12</v>
      </c>
      <c r="C16" s="67">
        <f ca="1">IF(E16-'Invoer gegevens'!$C$17&lt;0,0,1)</f>
        <v>1</v>
      </c>
      <c r="D16" s="68">
        <f t="shared" si="8"/>
        <v>11.5</v>
      </c>
      <c r="E16" s="69">
        <f ca="1">IF('Invoer gegevens'!$C$16="","",E15+1)</f>
        <v>2030</v>
      </c>
      <c r="F16" s="82">
        <f ca="1">IF('Invoer gegevens'!$C$17=E16,'Invoer gegevens'!$C$10,IF(C16=1,H15,0))</f>
        <v>0</v>
      </c>
      <c r="G16" s="83">
        <f ca="1">IF(C16&gt;=1,F16*Reeksen!C16,0)</f>
        <v>0</v>
      </c>
      <c r="H16" s="84">
        <f t="shared" ca="1" si="1"/>
        <v>0</v>
      </c>
      <c r="I16" s="85">
        <f ca="1">IF('Invoer gegevens'!$C$17=E16,'Invoer gegevens'!$C$11,IF(C16=1,L15,0))</f>
        <v>0</v>
      </c>
      <c r="J16" s="86">
        <f ca="1">IF(C16&lt;1,0,IF(Reeksen!AD16&lt;=Reeksen!AE16,I16*Reeksen!C16,0))</f>
        <v>0</v>
      </c>
      <c r="K16" s="86">
        <f ca="1">IF(C16&lt;1,0,IF(Reeksen!AD16&gt;Reeksen!AE16,I16*Reeksen!C16,0))</f>
        <v>0</v>
      </c>
      <c r="L16" s="86">
        <f t="shared" ca="1" si="2"/>
        <v>0</v>
      </c>
      <c r="M16" s="85">
        <f ca="1">IF('Invoer gegevens'!$C$17=E16,'Invoer gegevens'!$C$10-'Invoer gegevens'!$C$11,IF(C16=1,P15,0))</f>
        <v>0</v>
      </c>
      <c r="N16" s="86">
        <f ca="1">IF(C16&lt;1,0,IF(Reeksen!AD16&lt;=Reeksen!AE16,M16*Reeksen!C16,0))</f>
        <v>0</v>
      </c>
      <c r="O16" s="86">
        <f ca="1">IF(C16&lt;1,0,IF(Reeksen!AD16&gt;Reeksen!AE16,M16*Reeksen!C16,0))</f>
        <v>0</v>
      </c>
      <c r="P16" s="86">
        <f t="shared" ca="1" si="3"/>
        <v>0</v>
      </c>
      <c r="Q16" s="82">
        <f ca="1">IF('Invoer gegevens'!$C$17=E16,I16,IF(C16=0,0,R15))</f>
        <v>0</v>
      </c>
      <c r="R16" s="84">
        <f t="shared" ca="1" si="0"/>
        <v>0</v>
      </c>
      <c r="S16" s="84">
        <f ca="1">IF('Invoer gegevens'!$C$17=E16,M16,IF(C16=0,0,T15))</f>
        <v>0</v>
      </c>
      <c r="T16" s="84">
        <f t="shared" ca="1" si="9"/>
        <v>0</v>
      </c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70"/>
      <c r="AI16" s="71">
        <f ca="1">IF(C16=1,((F16+H16)/2*Reeksen!AI16*12)+(('Invoer gegevens'!$C$10-(F16+H16)/2)*Reeksen!AD16*12),0)</f>
        <v>0</v>
      </c>
      <c r="AJ16" s="71">
        <f ca="1">-AI16*'Invoer gegevens'!$F$28</f>
        <v>0</v>
      </c>
      <c r="AK16" s="71">
        <f t="shared" ca="1" si="4"/>
        <v>0</v>
      </c>
      <c r="AL16" s="71">
        <f ca="1">IF(C16=1,(12*((F16+H16)/2)*Reeksen!AL16)+(12*('Invoer gegevens'!$C$10-(F16+H16)/2)*Reeksen!AM16),0)</f>
        <v>0</v>
      </c>
      <c r="AM16" s="71">
        <f ca="1">-AL16*'Invoer gegevens'!$F$31</f>
        <v>0</v>
      </c>
      <c r="AN16" s="71">
        <f t="shared" ca="1" si="5"/>
        <v>0</v>
      </c>
      <c r="AO16" s="71"/>
      <c r="AP16" s="71"/>
      <c r="AQ16" s="71">
        <f ca="1">-IF(C16=1,('Invoer gegevens'!$C$10*'Invoer gegevens'!$F$35)*Reeksen!J16,0)*2</f>
        <v>0</v>
      </c>
      <c r="AR16" s="71">
        <f ca="1">-IF(C16=1,(G16*'Invoer gegevens'!$F$36)*Reeksen!J16,0)</f>
        <v>0</v>
      </c>
      <c r="AS16" s="71">
        <f ca="1">-IF(C16=1,'Invoer gegevens'!$C$10*'Invoer gegevens'!$F$37*Reeksen!L16,0)</f>
        <v>0</v>
      </c>
      <c r="AT16" s="71">
        <f ca="1">-IF(C16=1,IF(E16='Invoer gegevens'!$C$17,'Invoer gegevens'!$C$11,Q16)*Reeksen!S16*'Invoer gegevens'!$C$18*Reeksen!P16,0)</f>
        <v>0</v>
      </c>
      <c r="AU16" s="71">
        <f ca="1">-IF(C16=1,'Invoer gegevens'!$C$10*'Invoer gegevens'!$F$38*Reeksen!H16,0)</f>
        <v>0</v>
      </c>
      <c r="AV16" s="71">
        <f>IF('Invoer gegevens'!$C$3="Basis",0,#REF!)</f>
        <v>0</v>
      </c>
      <c r="AW16" s="71">
        <f t="shared" ca="1" si="6"/>
        <v>0</v>
      </c>
      <c r="AX16" s="71">
        <f ca="1">IF(E16&lt;'Invoer gegevens'!$C$17+15,0,IF('RW - MW - DE - DE'!E16&gt;'Invoer gegevens'!$C$17+215,0,'RW - MW - DE - DE'!AW16))</f>
        <v>0</v>
      </c>
      <c r="AY16" s="71">
        <f ca="1">AX16/(1+'Invoer gegevens'!$F$13)^($AZ16-('Invoer gegevens'!$C$17-'Invoer gegevens'!$C$16))/(1+'Invoer gegevens'!$C$39)^('Invoer gegevens'!$C$17-'Invoer gegevens'!$C$16)</f>
        <v>0</v>
      </c>
      <c r="AZ16" s="68">
        <f ca="1">IF(E16-'Invoer gegevens'!$C$17-14.5&lt;0,0,E16-'Invoer gegevens'!$C$17-14.5)</f>
        <v>0</v>
      </c>
    </row>
    <row r="17" spans="1:55" customFormat="1" x14ac:dyDescent="0.25">
      <c r="A17" s="59"/>
      <c r="B17" s="70">
        <f t="shared" si="7"/>
        <v>13</v>
      </c>
      <c r="C17" s="67">
        <f ca="1">IF(E17-'Invoer gegevens'!$C$17&lt;0,0,1)</f>
        <v>1</v>
      </c>
      <c r="D17" s="68">
        <f t="shared" si="8"/>
        <v>12.5</v>
      </c>
      <c r="E17" s="69">
        <f ca="1">IF('Invoer gegevens'!$C$16="","",E16+1)</f>
        <v>2031</v>
      </c>
      <c r="F17" s="82">
        <f ca="1">IF('Invoer gegevens'!$C$17=E17,'Invoer gegevens'!$C$10,IF(C17=1,H16,0))</f>
        <v>0</v>
      </c>
      <c r="G17" s="83">
        <f ca="1">IF(C17&gt;=1,F17*Reeksen!C17,0)</f>
        <v>0</v>
      </c>
      <c r="H17" s="84">
        <f t="shared" ca="1" si="1"/>
        <v>0</v>
      </c>
      <c r="I17" s="85">
        <f ca="1">IF('Invoer gegevens'!$C$17=E17,'Invoer gegevens'!$C$11,IF(C17=1,L16,0))</f>
        <v>0</v>
      </c>
      <c r="J17" s="86">
        <f ca="1">IF(C17&lt;1,0,IF(Reeksen!AD17&lt;=Reeksen!AE17,I17*Reeksen!C17,0))</f>
        <v>0</v>
      </c>
      <c r="K17" s="86">
        <f ca="1">IF(C17&lt;1,0,IF(Reeksen!AD17&gt;Reeksen!AE17,I17*Reeksen!C17,0))</f>
        <v>0</v>
      </c>
      <c r="L17" s="86">
        <f t="shared" ca="1" si="2"/>
        <v>0</v>
      </c>
      <c r="M17" s="85">
        <f ca="1">IF('Invoer gegevens'!$C$17=E17,'Invoer gegevens'!$C$10-'Invoer gegevens'!$C$11,IF(C17=1,P16,0))</f>
        <v>0</v>
      </c>
      <c r="N17" s="86">
        <f ca="1">IF(C17&lt;1,0,IF(Reeksen!AD17&lt;=Reeksen!AE17,M17*Reeksen!C17,0))</f>
        <v>0</v>
      </c>
      <c r="O17" s="86">
        <f ca="1">IF(C17&lt;1,0,IF(Reeksen!AD17&gt;Reeksen!AE17,M17*Reeksen!C17,0))</f>
        <v>0</v>
      </c>
      <c r="P17" s="86">
        <f t="shared" ca="1" si="3"/>
        <v>0</v>
      </c>
      <c r="Q17" s="82">
        <f ca="1">IF('Invoer gegevens'!$C$17=E17,I17,IF(C17=0,0,R16))</f>
        <v>0</v>
      </c>
      <c r="R17" s="84">
        <f t="shared" ca="1" si="0"/>
        <v>0</v>
      </c>
      <c r="S17" s="84">
        <f ca="1">IF('Invoer gegevens'!$C$17=E17,M17,IF(C17=0,0,T16))</f>
        <v>0</v>
      </c>
      <c r="T17" s="84">
        <f t="shared" ca="1" si="9"/>
        <v>0</v>
      </c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70"/>
      <c r="AI17" s="71">
        <f ca="1">IF(C17=1,((F17+H17)/2*Reeksen!AI17*12)+(('Invoer gegevens'!$C$10-(F17+H17)/2)*Reeksen!AD17*12),0)</f>
        <v>0</v>
      </c>
      <c r="AJ17" s="71">
        <f ca="1">-AI17*'Invoer gegevens'!$F$28</f>
        <v>0</v>
      </c>
      <c r="AK17" s="71">
        <f t="shared" ca="1" si="4"/>
        <v>0</v>
      </c>
      <c r="AL17" s="71">
        <f ca="1">IF(C17=1,(12*((F17+H17)/2)*Reeksen!AL17)+(12*('Invoer gegevens'!$C$10-(F17+H17)/2)*Reeksen!AM17),0)</f>
        <v>0</v>
      </c>
      <c r="AM17" s="71">
        <f ca="1">-AL17*'Invoer gegevens'!$F$31</f>
        <v>0</v>
      </c>
      <c r="AN17" s="71">
        <f t="shared" ca="1" si="5"/>
        <v>0</v>
      </c>
      <c r="AO17" s="71"/>
      <c r="AP17" s="71"/>
      <c r="AQ17" s="71">
        <f ca="1">-IF(C17=1,('Invoer gegevens'!$C$10*'Invoer gegevens'!$F$35)*Reeksen!J17,0)*2</f>
        <v>0</v>
      </c>
      <c r="AR17" s="71">
        <f ca="1">-IF(C17=1,(G17*'Invoer gegevens'!$F$36)*Reeksen!J17,0)</f>
        <v>0</v>
      </c>
      <c r="AS17" s="71">
        <f ca="1">-IF(C17=1,'Invoer gegevens'!$C$10*'Invoer gegevens'!$F$37*Reeksen!L17,0)</f>
        <v>0</v>
      </c>
      <c r="AT17" s="71">
        <f ca="1">-IF(C17=1,IF(E17='Invoer gegevens'!$C$17,'Invoer gegevens'!$C$11,Q17)*Reeksen!S17*'Invoer gegevens'!$C$18*Reeksen!P17,0)</f>
        <v>0</v>
      </c>
      <c r="AU17" s="71">
        <f ca="1">-IF(C17=1,'Invoer gegevens'!$C$10*'Invoer gegevens'!$F$38*Reeksen!H17,0)</f>
        <v>0</v>
      </c>
      <c r="AV17" s="71">
        <f>IF('Invoer gegevens'!$C$3="Basis",0,#REF!)</f>
        <v>0</v>
      </c>
      <c r="AW17" s="71">
        <f t="shared" ca="1" si="6"/>
        <v>0</v>
      </c>
      <c r="AX17" s="71">
        <f ca="1">IF(E17&lt;'Invoer gegevens'!$C$17+15,0,IF('RW - MW - DE - DE'!E17&gt;'Invoer gegevens'!$C$17+215,0,'RW - MW - DE - DE'!AW17))</f>
        <v>0</v>
      </c>
      <c r="AY17" s="71">
        <f ca="1">AX17/(1+'Invoer gegevens'!$F$13)^($AZ17-('Invoer gegevens'!$C$17-'Invoer gegevens'!$C$16))/(1+'Invoer gegevens'!$C$39)^('Invoer gegevens'!$C$17-'Invoer gegevens'!$C$16)</f>
        <v>0</v>
      </c>
      <c r="AZ17" s="68">
        <f ca="1">IF(E17-'Invoer gegevens'!$C$17-14.5&lt;0,0,E17-'Invoer gegevens'!$C$17-14.5)</f>
        <v>0</v>
      </c>
    </row>
    <row r="18" spans="1:55" customFormat="1" x14ac:dyDescent="0.25">
      <c r="A18" s="59"/>
      <c r="B18" s="70">
        <f t="shared" si="7"/>
        <v>14</v>
      </c>
      <c r="C18" s="67">
        <f ca="1">IF(E18-'Invoer gegevens'!$C$17&lt;0,0,1)</f>
        <v>1</v>
      </c>
      <c r="D18" s="68">
        <f t="shared" si="8"/>
        <v>13.5</v>
      </c>
      <c r="E18" s="69">
        <f ca="1">IF('Invoer gegevens'!$C$16="","",E17+1)</f>
        <v>2032</v>
      </c>
      <c r="F18" s="82">
        <f ca="1">IF('Invoer gegevens'!$C$17=E18,'Invoer gegevens'!$C$10,IF(C18=1,H17,0))</f>
        <v>0</v>
      </c>
      <c r="G18" s="83">
        <f ca="1">IF(C18&gt;=1,F18*Reeksen!C18,0)</f>
        <v>0</v>
      </c>
      <c r="H18" s="84">
        <f t="shared" ca="1" si="1"/>
        <v>0</v>
      </c>
      <c r="I18" s="85">
        <f ca="1">IF('Invoer gegevens'!$C$17=E18,'Invoer gegevens'!$C$11,IF(C18=1,L17,0))</f>
        <v>0</v>
      </c>
      <c r="J18" s="86">
        <f ca="1">IF(C18&lt;1,0,IF(Reeksen!AD18&lt;=Reeksen!AE18,I18*Reeksen!C18,0))</f>
        <v>0</v>
      </c>
      <c r="K18" s="86">
        <f ca="1">IF(C18&lt;1,0,IF(Reeksen!AD18&gt;Reeksen!AE18,I18*Reeksen!C18,0))</f>
        <v>0</v>
      </c>
      <c r="L18" s="86">
        <f t="shared" ca="1" si="2"/>
        <v>0</v>
      </c>
      <c r="M18" s="85">
        <f ca="1">IF('Invoer gegevens'!$C$17=E18,'Invoer gegevens'!$C$10-'Invoer gegevens'!$C$11,IF(C18=1,P17,0))</f>
        <v>0</v>
      </c>
      <c r="N18" s="86">
        <f ca="1">IF(C18&lt;1,0,IF(Reeksen!AD18&lt;=Reeksen!AE18,M18*Reeksen!C18,0))</f>
        <v>0</v>
      </c>
      <c r="O18" s="86">
        <f ca="1">IF(C18&lt;1,0,IF(Reeksen!AD18&gt;Reeksen!AE18,M18*Reeksen!C18,0))</f>
        <v>0</v>
      </c>
      <c r="P18" s="86">
        <f t="shared" ca="1" si="3"/>
        <v>0</v>
      </c>
      <c r="Q18" s="82">
        <f ca="1">IF('Invoer gegevens'!$C$17=E18,I18,IF(C18=0,0,R17))</f>
        <v>0</v>
      </c>
      <c r="R18" s="84">
        <f t="shared" ca="1" si="0"/>
        <v>0</v>
      </c>
      <c r="S18" s="84">
        <f ca="1">IF('Invoer gegevens'!$C$17=E18,M18,IF(C18=0,0,T17))</f>
        <v>0</v>
      </c>
      <c r="T18" s="84">
        <f t="shared" ca="1" si="9"/>
        <v>0</v>
      </c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70"/>
      <c r="AI18" s="71">
        <f ca="1">IF(C18=1,((F18+H18)/2*Reeksen!AI18*12)+(('Invoer gegevens'!$C$10-(F18+H18)/2)*Reeksen!AD18*12),0)</f>
        <v>0</v>
      </c>
      <c r="AJ18" s="71">
        <f ca="1">-AI18*'Invoer gegevens'!$F$28</f>
        <v>0</v>
      </c>
      <c r="AK18" s="71">
        <f t="shared" ca="1" si="4"/>
        <v>0</v>
      </c>
      <c r="AL18" s="71">
        <f ca="1">IF(C18=1,(12*((F18+H18)/2)*Reeksen!AL18)+(12*('Invoer gegevens'!$C$10-(F18+H18)/2)*Reeksen!AM18),0)</f>
        <v>0</v>
      </c>
      <c r="AM18" s="71">
        <f ca="1">-AL18*'Invoer gegevens'!$F$31</f>
        <v>0</v>
      </c>
      <c r="AN18" s="71">
        <f t="shared" ca="1" si="5"/>
        <v>0</v>
      </c>
      <c r="AO18" s="71"/>
      <c r="AP18" s="71"/>
      <c r="AQ18" s="71">
        <f ca="1">-IF(C18=1,('Invoer gegevens'!$C$10*'Invoer gegevens'!$F$35)*Reeksen!J18,0)*2</f>
        <v>0</v>
      </c>
      <c r="AR18" s="71">
        <f ca="1">-IF(C18=1,(G18*'Invoer gegevens'!$F$36)*Reeksen!J18,0)</f>
        <v>0</v>
      </c>
      <c r="AS18" s="71">
        <f ca="1">-IF(C18=1,'Invoer gegevens'!$C$10*'Invoer gegevens'!$F$37*Reeksen!L18,0)</f>
        <v>0</v>
      </c>
      <c r="AT18" s="71">
        <f ca="1">-IF(C18=1,IF(E18='Invoer gegevens'!$C$17,'Invoer gegevens'!$C$11,Q18)*Reeksen!S18*'Invoer gegevens'!$C$18*Reeksen!P18,0)</f>
        <v>0</v>
      </c>
      <c r="AU18" s="71">
        <f ca="1">-IF(C18=1,'Invoer gegevens'!$C$10*'Invoer gegevens'!$F$38*Reeksen!H18,0)</f>
        <v>0</v>
      </c>
      <c r="AV18" s="71">
        <f>IF('Invoer gegevens'!$C$3="Basis",0,#REF!)</f>
        <v>0</v>
      </c>
      <c r="AW18" s="71">
        <f t="shared" ca="1" si="6"/>
        <v>0</v>
      </c>
      <c r="AX18" s="71">
        <f ca="1">IF(E18&lt;'Invoer gegevens'!$C$17+15,0,IF('RW - MW - DE - DE'!E18&gt;'Invoer gegevens'!$C$17+215,0,'RW - MW - DE - DE'!AW18))</f>
        <v>0</v>
      </c>
      <c r="AY18" s="71">
        <f ca="1">AX18/(1+'Invoer gegevens'!$F$13)^($AZ18-('Invoer gegevens'!$C$17-'Invoer gegevens'!$C$16))/(1+'Invoer gegevens'!$C$39)^('Invoer gegevens'!$C$17-'Invoer gegevens'!$C$16)</f>
        <v>0</v>
      </c>
      <c r="AZ18" s="68">
        <f ca="1">IF(E18-'Invoer gegevens'!$C$17-14.5&lt;0,0,E18-'Invoer gegevens'!$C$17-14.5)</f>
        <v>0</v>
      </c>
    </row>
    <row r="19" spans="1:55" customFormat="1" x14ac:dyDescent="0.25">
      <c r="A19" s="59"/>
      <c r="B19" s="70">
        <f t="shared" si="7"/>
        <v>15</v>
      </c>
      <c r="C19" s="67">
        <f ca="1">IF(E19-'Invoer gegevens'!$C$17&lt;0,0,1)</f>
        <v>1</v>
      </c>
      <c r="D19" s="68">
        <f t="shared" si="8"/>
        <v>14.5</v>
      </c>
      <c r="E19" s="69">
        <f ca="1">IF('Invoer gegevens'!$C$16="","",E18+1)</f>
        <v>2033</v>
      </c>
      <c r="F19" s="82">
        <f ca="1">IF('Invoer gegevens'!$C$17=E19,'Invoer gegevens'!$C$10,IF(C19=1,H18,0))</f>
        <v>0</v>
      </c>
      <c r="G19" s="83">
        <f ca="1">IF(C19&gt;=1,F19*Reeksen!C19,0)</f>
        <v>0</v>
      </c>
      <c r="H19" s="84">
        <f t="shared" ca="1" si="1"/>
        <v>0</v>
      </c>
      <c r="I19" s="85">
        <f ca="1">IF('Invoer gegevens'!$C$17=E19,'Invoer gegevens'!$C$11,IF(C19=1,L18,0))</f>
        <v>0</v>
      </c>
      <c r="J19" s="86">
        <f ca="1">IF(C19&lt;1,0,IF(Reeksen!AD19&lt;=Reeksen!AE19,I19*Reeksen!C19,0))</f>
        <v>0</v>
      </c>
      <c r="K19" s="86">
        <f ca="1">IF(C19&lt;1,0,IF(Reeksen!AD19&gt;Reeksen!AE19,I19*Reeksen!C19,0))</f>
        <v>0</v>
      </c>
      <c r="L19" s="86">
        <f t="shared" ca="1" si="2"/>
        <v>0</v>
      </c>
      <c r="M19" s="85">
        <f ca="1">IF('Invoer gegevens'!$C$17=E19,'Invoer gegevens'!$C$10-'Invoer gegevens'!$C$11,IF(C19=1,P18,0))</f>
        <v>0</v>
      </c>
      <c r="N19" s="86">
        <f ca="1">IF(C19&lt;1,0,IF(Reeksen!AD19&lt;=Reeksen!AE19,M19*Reeksen!C19,0))</f>
        <v>0</v>
      </c>
      <c r="O19" s="86">
        <f ca="1">IF(C19&lt;1,0,IF(Reeksen!AD19&gt;Reeksen!AE19,M19*Reeksen!C19,0))</f>
        <v>0</v>
      </c>
      <c r="P19" s="86">
        <f t="shared" ca="1" si="3"/>
        <v>0</v>
      </c>
      <c r="Q19" s="82">
        <f ca="1">IF('Invoer gegevens'!$C$17=E19,I19,IF(C19=0,0,R18))</f>
        <v>0</v>
      </c>
      <c r="R19" s="84">
        <f t="shared" ca="1" si="0"/>
        <v>0</v>
      </c>
      <c r="S19" s="84">
        <f ca="1">IF('Invoer gegevens'!$C$17=E19,M19,IF(C19=0,0,T18))</f>
        <v>0</v>
      </c>
      <c r="T19" s="84">
        <f t="shared" ca="1" si="9"/>
        <v>0</v>
      </c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70"/>
      <c r="AI19" s="71">
        <f ca="1">IF(C19=1,((F19+H19)/2*Reeksen!AI19*12)+(('Invoer gegevens'!$C$10-(F19+H19)/2)*Reeksen!AD19*12),0)</f>
        <v>0</v>
      </c>
      <c r="AJ19" s="71">
        <f ca="1">-AI19*'Invoer gegevens'!$F$28</f>
        <v>0</v>
      </c>
      <c r="AK19" s="71">
        <f t="shared" ca="1" si="4"/>
        <v>0</v>
      </c>
      <c r="AL19" s="71">
        <f ca="1">IF(C19=1,(12*((F19+H19)/2)*Reeksen!AL19)+(12*('Invoer gegevens'!$C$10-(F19+H19)/2)*Reeksen!AM19),0)</f>
        <v>0</v>
      </c>
      <c r="AM19" s="71">
        <f ca="1">-AL19*'Invoer gegevens'!$F$31</f>
        <v>0</v>
      </c>
      <c r="AN19" s="71">
        <f t="shared" ca="1" si="5"/>
        <v>0</v>
      </c>
      <c r="AO19" s="71"/>
      <c r="AP19" s="71"/>
      <c r="AQ19" s="71">
        <f ca="1">-IF(C19=1,('Invoer gegevens'!$C$10*'Invoer gegevens'!$F$35)*Reeksen!J19,0)*2</f>
        <v>0</v>
      </c>
      <c r="AR19" s="71">
        <f ca="1">-IF(C19=1,(G19*'Invoer gegevens'!$F$36)*Reeksen!J19,0)</f>
        <v>0</v>
      </c>
      <c r="AS19" s="71">
        <f ca="1">-IF(C19=1,'Invoer gegevens'!$C$10*'Invoer gegevens'!$F$37*Reeksen!L19,0)</f>
        <v>0</v>
      </c>
      <c r="AT19" s="71">
        <f ca="1">-IF(C19=1,IF(E19='Invoer gegevens'!$C$17,'Invoer gegevens'!$C$11,Q19)*Reeksen!S19*'Invoer gegevens'!$C$18*Reeksen!P19,0)</f>
        <v>0</v>
      </c>
      <c r="AU19" s="71">
        <f ca="1">-IF(C19=1,'Invoer gegevens'!$C$10*'Invoer gegevens'!$F$38*Reeksen!H19,0)</f>
        <v>0</v>
      </c>
      <c r="AV19" s="71">
        <f>IF('Invoer gegevens'!$C$3="Basis",0,#REF!)</f>
        <v>0</v>
      </c>
      <c r="AW19" s="71">
        <f t="shared" ca="1" si="6"/>
        <v>0</v>
      </c>
      <c r="AX19" s="71">
        <f ca="1">IF(E19&lt;'Invoer gegevens'!$C$17+15,0,IF('RW - MW - DE - DE'!E19&gt;'Invoer gegevens'!$C$17+215,0,'RW - MW - DE - DE'!AW19))</f>
        <v>0</v>
      </c>
      <c r="AY19" s="71">
        <f ca="1">AX19/(1+'Invoer gegevens'!$F$13)^($AZ19-('Invoer gegevens'!$C$17-'Invoer gegevens'!$C$16))/(1+'Invoer gegevens'!$C$39)^('Invoer gegevens'!$C$17-'Invoer gegevens'!$C$16)</f>
        <v>0</v>
      </c>
      <c r="AZ19" s="68">
        <f ca="1">IF(E19-'Invoer gegevens'!$C$17-14.5&lt;0,0,E19-'Invoer gegevens'!$C$17-14.5)</f>
        <v>0</v>
      </c>
    </row>
    <row r="20" spans="1:55" customFormat="1" x14ac:dyDescent="0.25">
      <c r="A20" s="59"/>
      <c r="B20" s="70">
        <f t="shared" si="7"/>
        <v>16</v>
      </c>
      <c r="C20" s="67">
        <f ca="1">IF(E20-'Invoer gegevens'!$C$17&lt;0,0,1)</f>
        <v>1</v>
      </c>
      <c r="D20" s="68">
        <f t="shared" si="8"/>
        <v>15.5</v>
      </c>
      <c r="E20" s="69">
        <f ca="1">IF('Invoer gegevens'!$C$16="","",E19+1)</f>
        <v>2034</v>
      </c>
      <c r="F20" s="82">
        <f ca="1">IF('Invoer gegevens'!$C$17=E20,'Invoer gegevens'!$C$10,IF(C20=1,H19,0))</f>
        <v>0</v>
      </c>
      <c r="G20" s="83">
        <f ca="1">IF(C20&gt;=1,F20*Reeksen!C20,0)</f>
        <v>0</v>
      </c>
      <c r="H20" s="84">
        <f t="shared" ca="1" si="1"/>
        <v>0</v>
      </c>
      <c r="I20" s="85">
        <f ca="1">IF('Invoer gegevens'!$C$17=E20,'Invoer gegevens'!$C$11,IF(C20=1,L19,0))</f>
        <v>0</v>
      </c>
      <c r="J20" s="86">
        <f ca="1">IF(C20&lt;1,0,IF(Reeksen!AD20&lt;=Reeksen!AE20,I20*Reeksen!C20,0))</f>
        <v>0</v>
      </c>
      <c r="K20" s="86">
        <f ca="1">IF(C20&lt;1,0,IF(Reeksen!AD20&gt;Reeksen!AE20,I20*Reeksen!C20,0))</f>
        <v>0</v>
      </c>
      <c r="L20" s="86">
        <f t="shared" ca="1" si="2"/>
        <v>0</v>
      </c>
      <c r="M20" s="85">
        <f ca="1">IF('Invoer gegevens'!$C$17=E20,'Invoer gegevens'!$C$10-'Invoer gegevens'!$C$11,IF(C20=1,P19,0))</f>
        <v>0</v>
      </c>
      <c r="N20" s="86">
        <f ca="1">IF(C20&lt;1,0,IF(Reeksen!AD20&lt;=Reeksen!AE20,M20*Reeksen!C20,0))</f>
        <v>0</v>
      </c>
      <c r="O20" s="86">
        <f ca="1">IF(C20&lt;1,0,IF(Reeksen!AD20&gt;Reeksen!AE20,M20*Reeksen!C20,0))</f>
        <v>0</v>
      </c>
      <c r="P20" s="86">
        <f t="shared" ca="1" si="3"/>
        <v>0</v>
      </c>
      <c r="Q20" s="82">
        <f ca="1">IF('Invoer gegevens'!$C$17=E20,I20,IF(C20=0,0,R19))</f>
        <v>0</v>
      </c>
      <c r="R20" s="84">
        <f t="shared" ca="1" si="0"/>
        <v>0</v>
      </c>
      <c r="S20" s="84">
        <f ca="1">IF('Invoer gegevens'!$C$17=E20,M20,IF(C20=0,0,T19))</f>
        <v>0</v>
      </c>
      <c r="T20" s="84">
        <f t="shared" ca="1" si="9"/>
        <v>0</v>
      </c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70"/>
      <c r="AI20" s="71">
        <f ca="1">IF(C20=1,((F20+H20)/2*Reeksen!AI20*12)+(('Invoer gegevens'!$C$10-(F20+H20)/2)*Reeksen!AD20*12),0)</f>
        <v>0</v>
      </c>
      <c r="AJ20" s="71">
        <f ca="1">-AI20*'Invoer gegevens'!$F$28</f>
        <v>0</v>
      </c>
      <c r="AK20" s="71">
        <f t="shared" ca="1" si="4"/>
        <v>0</v>
      </c>
      <c r="AL20" s="71">
        <f ca="1">IF(C20=1,(12*((F20+H20)/2)*Reeksen!AL20)+(12*('Invoer gegevens'!$C$10-(F20+H20)/2)*Reeksen!AM20),0)</f>
        <v>0</v>
      </c>
      <c r="AM20" s="71">
        <f ca="1">-AL20*'Invoer gegevens'!$F$31</f>
        <v>0</v>
      </c>
      <c r="AN20" s="71">
        <f t="shared" ca="1" si="5"/>
        <v>0</v>
      </c>
      <c r="AO20" s="71"/>
      <c r="AP20" s="71"/>
      <c r="AQ20" s="71">
        <f ca="1">-IF(C20=1,('Invoer gegevens'!$C$10*'Invoer gegevens'!$F$35)*Reeksen!J20,0)*2</f>
        <v>0</v>
      </c>
      <c r="AR20" s="71">
        <f ca="1">-IF(C20=1,(G20*'Invoer gegevens'!$F$36)*Reeksen!J20,0)</f>
        <v>0</v>
      </c>
      <c r="AS20" s="71">
        <f ca="1">-IF(C20=1,'Invoer gegevens'!$C$10*'Invoer gegevens'!$F$37*Reeksen!L20,0)</f>
        <v>0</v>
      </c>
      <c r="AT20" s="71">
        <f ca="1">-IF(C20=1,IF(E20='Invoer gegevens'!$C$17,'Invoer gegevens'!$C$11,Q20)*Reeksen!S20*'Invoer gegevens'!$C$18*Reeksen!P20,0)</f>
        <v>0</v>
      </c>
      <c r="AU20" s="71">
        <f ca="1">-IF(C20=1,'Invoer gegevens'!$C$10*'Invoer gegevens'!$F$38*Reeksen!H20,0)</f>
        <v>0</v>
      </c>
      <c r="AV20" s="71">
        <f>AV19</f>
        <v>0</v>
      </c>
      <c r="AW20" s="71">
        <f t="shared" ca="1" si="6"/>
        <v>0</v>
      </c>
      <c r="AX20" s="71">
        <f ca="1">IF(E20&lt;'Invoer gegevens'!$C$17+15,0,IF('RW - MW - DE - DE'!E20&gt;'Invoer gegevens'!$C$17+215,0,'RW - MW - DE - DE'!AW20))</f>
        <v>0</v>
      </c>
      <c r="AY20" s="71">
        <f ca="1">AX20/(1+'Invoer gegevens'!$F$13)^($AZ20-('Invoer gegevens'!$C$17-'Invoer gegevens'!$C$16))/(1+'Invoer gegevens'!$C$39)^('Invoer gegevens'!$C$17-'Invoer gegevens'!$C$16)</f>
        <v>0</v>
      </c>
      <c r="AZ20" s="68">
        <f ca="1">IF(E20-'Invoer gegevens'!$C$17-14.5&lt;0,0,E20-'Invoer gegevens'!$C$17-14.5)</f>
        <v>0.5</v>
      </c>
      <c r="BC20" s="71"/>
    </row>
    <row r="21" spans="1:55" customFormat="1" x14ac:dyDescent="0.25">
      <c r="A21" s="59"/>
      <c r="B21" s="70">
        <f t="shared" si="7"/>
        <v>17</v>
      </c>
      <c r="C21" s="67">
        <f ca="1">IF(E21-'Invoer gegevens'!$C$17&lt;0,0,1)</f>
        <v>1</v>
      </c>
      <c r="D21" s="68">
        <f t="shared" si="8"/>
        <v>16.5</v>
      </c>
      <c r="E21" s="69">
        <f ca="1">IF('Invoer gegevens'!$C$16="","",E20+1)</f>
        <v>2035</v>
      </c>
      <c r="F21" s="82">
        <f ca="1">IF('Invoer gegevens'!$C$17=E21,'Invoer gegevens'!$C$10,IF(C21=1,H20,0))</f>
        <v>0</v>
      </c>
      <c r="G21" s="83">
        <f ca="1">IF(C21&gt;=1,F21*Reeksen!C21,0)</f>
        <v>0</v>
      </c>
      <c r="H21" s="84">
        <f t="shared" ca="1" si="1"/>
        <v>0</v>
      </c>
      <c r="I21" s="85">
        <f ca="1">IF('Invoer gegevens'!$C$17=E21,'Invoer gegevens'!$C$11,IF(C21=1,L20,0))</f>
        <v>0</v>
      </c>
      <c r="J21" s="86">
        <f ca="1">IF(C21&lt;1,0,IF(Reeksen!AD21&lt;=Reeksen!AE21,I21*Reeksen!C21,0))</f>
        <v>0</v>
      </c>
      <c r="K21" s="86">
        <f ca="1">IF(C21&lt;1,0,IF(Reeksen!AD21&gt;Reeksen!AE21,I21*Reeksen!C21,0))</f>
        <v>0</v>
      </c>
      <c r="L21" s="86">
        <f t="shared" ca="1" si="2"/>
        <v>0</v>
      </c>
      <c r="M21" s="85">
        <f ca="1">IF('Invoer gegevens'!$C$17=E21,'Invoer gegevens'!$C$10-'Invoer gegevens'!$C$11,IF(C21=1,P20,0))</f>
        <v>0</v>
      </c>
      <c r="N21" s="86">
        <f ca="1">IF(C21&lt;1,0,IF(Reeksen!AD21&lt;=Reeksen!AE21,M21*Reeksen!C21,0))</f>
        <v>0</v>
      </c>
      <c r="O21" s="86">
        <f ca="1">IF(C21&lt;1,0,IF(Reeksen!AD21&gt;Reeksen!AE21,M21*Reeksen!C21,0))</f>
        <v>0</v>
      </c>
      <c r="P21" s="86">
        <f t="shared" ca="1" si="3"/>
        <v>0</v>
      </c>
      <c r="Q21" s="82">
        <f ca="1">IF('Invoer gegevens'!$C$17=E21,I21,IF(C21=0,0,R20))</f>
        <v>0</v>
      </c>
      <c r="R21" s="84">
        <f t="shared" ca="1" si="0"/>
        <v>0</v>
      </c>
      <c r="S21" s="84">
        <f ca="1">IF('Invoer gegevens'!$C$17=E21,M21,IF(C21=0,0,T20))</f>
        <v>0</v>
      </c>
      <c r="T21" s="84">
        <f t="shared" ca="1" si="9"/>
        <v>0</v>
      </c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70"/>
      <c r="AI21" s="71">
        <f ca="1">IF(C21=1,((F21+H21)/2*Reeksen!AI21*12)+(('Invoer gegevens'!$C$10-(F21+H21)/2)*Reeksen!AD21*12),0)</f>
        <v>0</v>
      </c>
      <c r="AJ21" s="71">
        <f ca="1">-AI21*'Invoer gegevens'!$F$28</f>
        <v>0</v>
      </c>
      <c r="AK21" s="71">
        <f t="shared" ca="1" si="4"/>
        <v>0</v>
      </c>
      <c r="AL21" s="71">
        <f ca="1">IF(C21=1,(12*((F21+H21)/2)*Reeksen!AL21)+(12*('Invoer gegevens'!$C$10-(F21+H21)/2)*Reeksen!AM21),0)</f>
        <v>0</v>
      </c>
      <c r="AM21" s="71">
        <f ca="1">-AL21*'Invoer gegevens'!$F$31</f>
        <v>0</v>
      </c>
      <c r="AN21" s="71">
        <f t="shared" ca="1" si="5"/>
        <v>0</v>
      </c>
      <c r="AO21" s="71"/>
      <c r="AP21" s="71"/>
      <c r="AQ21" s="71">
        <f ca="1">-IF(C21=1,('Invoer gegevens'!$C$10*'Invoer gegevens'!$F$35)*Reeksen!J21,0)*2</f>
        <v>0</v>
      </c>
      <c r="AR21" s="71">
        <f ca="1">-IF(C21=1,(G21*'Invoer gegevens'!$F$36)*Reeksen!J21,0)</f>
        <v>0</v>
      </c>
      <c r="AS21" s="71">
        <f ca="1">-IF(C21=1,'Invoer gegevens'!$C$10*'Invoer gegevens'!$F$37*Reeksen!L21,0)</f>
        <v>0</v>
      </c>
      <c r="AT21" s="71">
        <f ca="1">-IF(C21=1,IF(E21='Invoer gegevens'!$C$17,'Invoer gegevens'!$C$11,Q21)*Reeksen!S21*'Invoer gegevens'!$C$18*Reeksen!P21,0)</f>
        <v>0</v>
      </c>
      <c r="AU21" s="71">
        <f ca="1">-IF(C21=1,'Invoer gegevens'!$C$10*'Invoer gegevens'!$F$38*Reeksen!H21,0)</f>
        <v>0</v>
      </c>
      <c r="AV21" s="71">
        <f t="shared" ref="AV21:AV84" si="10">AV20</f>
        <v>0</v>
      </c>
      <c r="AW21" s="71">
        <f t="shared" ca="1" si="6"/>
        <v>0</v>
      </c>
      <c r="AX21" s="71">
        <f ca="1">IF(E21&lt;'Invoer gegevens'!$C$17+15,0,IF('RW - MW - DE - DE'!E21&gt;'Invoer gegevens'!$C$17+215,0,'RW - MW - DE - DE'!AW21))</f>
        <v>0</v>
      </c>
      <c r="AY21" s="71">
        <f ca="1">AX21/(1+'Invoer gegevens'!$F$13)^($AZ21-('Invoer gegevens'!$C$17-'Invoer gegevens'!$C$16))/(1+'Invoer gegevens'!$C$39)^('Invoer gegevens'!$C$17-'Invoer gegevens'!$C$16)</f>
        <v>0</v>
      </c>
      <c r="AZ21" s="68">
        <f ca="1">IF(E21-'Invoer gegevens'!$C$17-14.5&lt;0,0,E21-'Invoer gegevens'!$C$17-14.5)</f>
        <v>1.5</v>
      </c>
      <c r="BC21" s="71"/>
    </row>
    <row r="22" spans="1:55" customFormat="1" x14ac:dyDescent="0.25">
      <c r="A22" s="59"/>
      <c r="B22" s="70">
        <f t="shared" si="7"/>
        <v>18</v>
      </c>
      <c r="C22" s="67">
        <f ca="1">IF(E22-'Invoer gegevens'!$C$17&lt;0,0,1)</f>
        <v>1</v>
      </c>
      <c r="D22" s="68">
        <f t="shared" si="8"/>
        <v>17.5</v>
      </c>
      <c r="E22" s="69">
        <f ca="1">IF('Invoer gegevens'!$C$16="","",E21+1)</f>
        <v>2036</v>
      </c>
      <c r="F22" s="82">
        <f ca="1">IF('Invoer gegevens'!$C$17=E22,'Invoer gegevens'!$C$10,IF(C22=1,H21,0))</f>
        <v>0</v>
      </c>
      <c r="G22" s="83">
        <f ca="1">IF(C22&gt;=1,F22*Reeksen!C22,0)</f>
        <v>0</v>
      </c>
      <c r="H22" s="84">
        <f t="shared" ca="1" si="1"/>
        <v>0</v>
      </c>
      <c r="I22" s="85">
        <f ca="1">IF('Invoer gegevens'!$C$17=E22,'Invoer gegevens'!$C$11,IF(C22=1,L21,0))</f>
        <v>0</v>
      </c>
      <c r="J22" s="86">
        <f ca="1">IF(C22&lt;1,0,IF(Reeksen!AD22&lt;=Reeksen!AE22,I22*Reeksen!C22,0))</f>
        <v>0</v>
      </c>
      <c r="K22" s="86">
        <f ca="1">IF(C22&lt;1,0,IF(Reeksen!AD22&gt;Reeksen!AE22,I22*Reeksen!C22,0))</f>
        <v>0</v>
      </c>
      <c r="L22" s="86">
        <f t="shared" ca="1" si="2"/>
        <v>0</v>
      </c>
      <c r="M22" s="85">
        <f ca="1">IF('Invoer gegevens'!$C$17=E22,'Invoer gegevens'!$C$10-'Invoer gegevens'!$C$11,IF(C22=1,P21,0))</f>
        <v>0</v>
      </c>
      <c r="N22" s="86">
        <f ca="1">IF(C22&lt;1,0,IF(Reeksen!AD22&lt;=Reeksen!AE22,M22*Reeksen!C22,0))</f>
        <v>0</v>
      </c>
      <c r="O22" s="86">
        <f ca="1">IF(C22&lt;1,0,IF(Reeksen!AD22&gt;Reeksen!AE22,M22*Reeksen!C22,0))</f>
        <v>0</v>
      </c>
      <c r="P22" s="86">
        <f t="shared" ca="1" si="3"/>
        <v>0</v>
      </c>
      <c r="Q22" s="82">
        <f ca="1">IF('Invoer gegevens'!$C$17=E22,I22,IF(C22=0,0,R21))</f>
        <v>0</v>
      </c>
      <c r="R22" s="84">
        <f t="shared" ca="1" si="0"/>
        <v>0</v>
      </c>
      <c r="S22" s="84">
        <f ca="1">IF('Invoer gegevens'!$C$17=E22,M22,IF(C22=0,0,T21))</f>
        <v>0</v>
      </c>
      <c r="T22" s="84">
        <f t="shared" ca="1" si="9"/>
        <v>0</v>
      </c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70"/>
      <c r="AI22" s="71">
        <f ca="1">IF(C22=1,((F22+H22)/2*Reeksen!AI22*12)+(('Invoer gegevens'!$C$10-(F22+H22)/2)*Reeksen!AD22*12),0)</f>
        <v>0</v>
      </c>
      <c r="AJ22" s="71">
        <f ca="1">-AI22*'Invoer gegevens'!$F$28</f>
        <v>0</v>
      </c>
      <c r="AK22" s="71">
        <f t="shared" ca="1" si="4"/>
        <v>0</v>
      </c>
      <c r="AL22" s="71">
        <f ca="1">IF(C22=1,(12*((F22+H22)/2)*Reeksen!AL22)+(12*('Invoer gegevens'!$C$10-(F22+H22)/2)*Reeksen!AM22),0)</f>
        <v>0</v>
      </c>
      <c r="AM22" s="71">
        <f ca="1">-AL22*'Invoer gegevens'!$F$31</f>
        <v>0</v>
      </c>
      <c r="AN22" s="71">
        <f t="shared" ca="1" si="5"/>
        <v>0</v>
      </c>
      <c r="AO22" s="71"/>
      <c r="AP22" s="71"/>
      <c r="AQ22" s="71">
        <f ca="1">-IF(C22=1,('Invoer gegevens'!$C$10*'Invoer gegevens'!$F$35)*Reeksen!J22,0)*2</f>
        <v>0</v>
      </c>
      <c r="AR22" s="71">
        <f ca="1">-IF(C22=1,(G22*'Invoer gegevens'!$F$36)*Reeksen!J22,0)</f>
        <v>0</v>
      </c>
      <c r="AS22" s="71">
        <f ca="1">-IF(C22=1,'Invoer gegevens'!$C$10*'Invoer gegevens'!$F$37*Reeksen!L22,0)</f>
        <v>0</v>
      </c>
      <c r="AT22" s="71">
        <f ca="1">-IF(C22=1,IF(E22='Invoer gegevens'!$C$17,'Invoer gegevens'!$C$11,Q22)*Reeksen!S22*'Invoer gegevens'!$C$18*Reeksen!P22,0)</f>
        <v>0</v>
      </c>
      <c r="AU22" s="71">
        <f ca="1">-IF(C22=1,'Invoer gegevens'!$C$10*'Invoer gegevens'!$F$38*Reeksen!H22,0)</f>
        <v>0</v>
      </c>
      <c r="AV22" s="71">
        <f t="shared" si="10"/>
        <v>0</v>
      </c>
      <c r="AW22" s="71">
        <f t="shared" ca="1" si="6"/>
        <v>0</v>
      </c>
      <c r="AX22" s="71">
        <f ca="1">IF(E22&lt;'Invoer gegevens'!$C$17+15,0,IF('RW - MW - DE - DE'!E22&gt;'Invoer gegevens'!$C$17+215,0,'RW - MW - DE - DE'!AW22))</f>
        <v>0</v>
      </c>
      <c r="AY22" s="71">
        <f ca="1">AX22/(1+'Invoer gegevens'!$F$13)^($AZ22-('Invoer gegevens'!$C$17-'Invoer gegevens'!$C$16))/(1+'Invoer gegevens'!$C$39)^('Invoer gegevens'!$C$17-'Invoer gegevens'!$C$16)</f>
        <v>0</v>
      </c>
      <c r="AZ22" s="68">
        <f ca="1">IF(E22-'Invoer gegevens'!$C$17-14.5&lt;0,0,E22-'Invoer gegevens'!$C$17-14.5)</f>
        <v>2.5</v>
      </c>
      <c r="BC22" s="71"/>
    </row>
    <row r="23" spans="1:55" customFormat="1" x14ac:dyDescent="0.25">
      <c r="A23" s="59"/>
      <c r="B23" s="70">
        <f t="shared" si="7"/>
        <v>19</v>
      </c>
      <c r="C23" s="67">
        <f ca="1">IF(E23-'Invoer gegevens'!$C$17&lt;0,0,1)</f>
        <v>1</v>
      </c>
      <c r="D23" s="68">
        <f t="shared" si="8"/>
        <v>18.5</v>
      </c>
      <c r="E23" s="69">
        <f ca="1">IF('Invoer gegevens'!$C$16="","",E22+1)</f>
        <v>2037</v>
      </c>
      <c r="F23" s="82">
        <f ca="1">IF('Invoer gegevens'!$C$17=E23,'Invoer gegevens'!$C$10,IF(C23=1,H22,0))</f>
        <v>0</v>
      </c>
      <c r="G23" s="83">
        <f ca="1">IF(C23&gt;=1,F23*Reeksen!C23,0)</f>
        <v>0</v>
      </c>
      <c r="H23" s="84">
        <f t="shared" ca="1" si="1"/>
        <v>0</v>
      </c>
      <c r="I23" s="85">
        <f ca="1">IF('Invoer gegevens'!$C$17=E23,'Invoer gegevens'!$C$11,IF(C23=1,L22,0))</f>
        <v>0</v>
      </c>
      <c r="J23" s="86">
        <f ca="1">IF(C23&lt;1,0,IF(Reeksen!AD23&lt;=Reeksen!AE23,I23*Reeksen!C23,0))</f>
        <v>0</v>
      </c>
      <c r="K23" s="86">
        <f ca="1">IF(C23&lt;1,0,IF(Reeksen!AD23&gt;Reeksen!AE23,I23*Reeksen!C23,0))</f>
        <v>0</v>
      </c>
      <c r="L23" s="86">
        <f t="shared" ca="1" si="2"/>
        <v>0</v>
      </c>
      <c r="M23" s="85">
        <f ca="1">IF('Invoer gegevens'!$C$17=E23,'Invoer gegevens'!$C$10-'Invoer gegevens'!$C$11,IF(C23=1,P22,0))</f>
        <v>0</v>
      </c>
      <c r="N23" s="86">
        <f ca="1">IF(C23&lt;1,0,IF(Reeksen!AD23&lt;=Reeksen!AE23,M23*Reeksen!C23,0))</f>
        <v>0</v>
      </c>
      <c r="O23" s="86">
        <f ca="1">IF(C23&lt;1,0,IF(Reeksen!AD23&gt;Reeksen!AE23,M23*Reeksen!C23,0))</f>
        <v>0</v>
      </c>
      <c r="P23" s="86">
        <f t="shared" ca="1" si="3"/>
        <v>0</v>
      </c>
      <c r="Q23" s="82">
        <f ca="1">IF('Invoer gegevens'!$C$17=E23,I23,IF(C23=0,0,R22))</f>
        <v>0</v>
      </c>
      <c r="R23" s="84">
        <f t="shared" ca="1" si="0"/>
        <v>0</v>
      </c>
      <c r="S23" s="84">
        <f ca="1">IF('Invoer gegevens'!$C$17=E23,M23,IF(C23=0,0,T22))</f>
        <v>0</v>
      </c>
      <c r="T23" s="84">
        <f t="shared" ca="1" si="9"/>
        <v>0</v>
      </c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70"/>
      <c r="AI23" s="71">
        <f ca="1">IF(C23=1,((F23+H23)/2*Reeksen!AI23*12)+(('Invoer gegevens'!$C$10-(F23+H23)/2)*Reeksen!AD23*12),0)</f>
        <v>0</v>
      </c>
      <c r="AJ23" s="71">
        <f ca="1">-AI23*'Invoer gegevens'!$F$28</f>
        <v>0</v>
      </c>
      <c r="AK23" s="71">
        <f t="shared" ca="1" si="4"/>
        <v>0</v>
      </c>
      <c r="AL23" s="71">
        <f ca="1">IF(C23=1,(12*((F23+H23)/2)*Reeksen!AL23)+(12*('Invoer gegevens'!$C$10-(F23+H23)/2)*Reeksen!AM23),0)</f>
        <v>0</v>
      </c>
      <c r="AM23" s="71">
        <f ca="1">-AL23*'Invoer gegevens'!$F$31</f>
        <v>0</v>
      </c>
      <c r="AN23" s="71">
        <f t="shared" ca="1" si="5"/>
        <v>0</v>
      </c>
      <c r="AO23" s="71"/>
      <c r="AP23" s="71"/>
      <c r="AQ23" s="71">
        <f ca="1">-IF(C23=1,('Invoer gegevens'!$C$10*'Invoer gegevens'!$F$35)*Reeksen!J23,0)*2</f>
        <v>0</v>
      </c>
      <c r="AR23" s="71">
        <f ca="1">-IF(C23=1,(G23*'Invoer gegevens'!$F$36)*Reeksen!J23,0)</f>
        <v>0</v>
      </c>
      <c r="AS23" s="71">
        <f ca="1">-IF(C23=1,'Invoer gegevens'!$C$10*'Invoer gegevens'!$F$37*Reeksen!L23,0)</f>
        <v>0</v>
      </c>
      <c r="AT23" s="71">
        <f ca="1">-IF(C23=1,IF(E23='Invoer gegevens'!$C$17,'Invoer gegevens'!$C$11,Q23)*Reeksen!S23*'Invoer gegevens'!$C$18*Reeksen!P23,0)</f>
        <v>0</v>
      </c>
      <c r="AU23" s="71">
        <f ca="1">-IF(C23=1,'Invoer gegevens'!$C$10*'Invoer gegevens'!$F$38*Reeksen!H23,0)</f>
        <v>0</v>
      </c>
      <c r="AV23" s="71">
        <f t="shared" si="10"/>
        <v>0</v>
      </c>
      <c r="AW23" s="71">
        <f t="shared" ca="1" si="6"/>
        <v>0</v>
      </c>
      <c r="AX23" s="71">
        <f ca="1">IF(E23&lt;'Invoer gegevens'!$C$17+15,0,IF('RW - MW - DE - DE'!E23&gt;'Invoer gegevens'!$C$17+215,0,'RW - MW - DE - DE'!AW23))</f>
        <v>0</v>
      </c>
      <c r="AY23" s="71">
        <f ca="1">AX23/(1+'Invoer gegevens'!$F$13)^($AZ23-('Invoer gegevens'!$C$17-'Invoer gegevens'!$C$16))/(1+'Invoer gegevens'!$C$39)^('Invoer gegevens'!$C$17-'Invoer gegevens'!$C$16)</f>
        <v>0</v>
      </c>
      <c r="AZ23" s="68">
        <f ca="1">IF(E23-'Invoer gegevens'!$C$17-14.5&lt;0,0,E23-'Invoer gegevens'!$C$17-14.5)</f>
        <v>3.5</v>
      </c>
      <c r="BC23" s="71"/>
    </row>
    <row r="24" spans="1:55" customFormat="1" x14ac:dyDescent="0.25">
      <c r="A24" s="59"/>
      <c r="B24" s="70">
        <f t="shared" si="7"/>
        <v>20</v>
      </c>
      <c r="C24" s="67">
        <f ca="1">IF(E24-'Invoer gegevens'!$C$17&lt;0,0,1)</f>
        <v>1</v>
      </c>
      <c r="D24" s="68">
        <f t="shared" si="8"/>
        <v>19.5</v>
      </c>
      <c r="E24" s="69">
        <f ca="1">IF('Invoer gegevens'!$C$16="","",E23+1)</f>
        <v>2038</v>
      </c>
      <c r="F24" s="82">
        <f ca="1">IF('Invoer gegevens'!$C$17=E24,'Invoer gegevens'!$C$10,IF(C24=1,H23,0))</f>
        <v>0</v>
      </c>
      <c r="G24" s="83">
        <f ca="1">IF(C24&gt;=1,F24*Reeksen!C24,0)</f>
        <v>0</v>
      </c>
      <c r="H24" s="84">
        <f t="shared" ca="1" si="1"/>
        <v>0</v>
      </c>
      <c r="I24" s="85">
        <f ca="1">IF('Invoer gegevens'!$C$17=E24,'Invoer gegevens'!$C$11,IF(C24=1,L23,0))</f>
        <v>0</v>
      </c>
      <c r="J24" s="86">
        <f ca="1">IF(C24&lt;1,0,IF(Reeksen!AD24&lt;=Reeksen!AE24,I24*Reeksen!C24,0))</f>
        <v>0</v>
      </c>
      <c r="K24" s="86">
        <f ca="1">IF(C24&lt;1,0,IF(Reeksen!AD24&gt;Reeksen!AE24,I24*Reeksen!C24,0))</f>
        <v>0</v>
      </c>
      <c r="L24" s="86">
        <f t="shared" ca="1" si="2"/>
        <v>0</v>
      </c>
      <c r="M24" s="85">
        <f ca="1">IF('Invoer gegevens'!$C$17=E24,'Invoer gegevens'!$C$10-'Invoer gegevens'!$C$11,IF(C24=1,P23,0))</f>
        <v>0</v>
      </c>
      <c r="N24" s="86">
        <f ca="1">IF(C24&lt;1,0,IF(Reeksen!AD24&lt;=Reeksen!AE24,M24*Reeksen!C24,0))</f>
        <v>0</v>
      </c>
      <c r="O24" s="86">
        <f ca="1">IF(C24&lt;1,0,IF(Reeksen!AD24&gt;Reeksen!AE24,M24*Reeksen!C24,0))</f>
        <v>0</v>
      </c>
      <c r="P24" s="86">
        <f t="shared" ca="1" si="3"/>
        <v>0</v>
      </c>
      <c r="Q24" s="82">
        <f ca="1">IF('Invoer gegevens'!$C$17=E24,I24,IF(C24=0,0,R23))</f>
        <v>0</v>
      </c>
      <c r="R24" s="84">
        <f t="shared" ca="1" si="0"/>
        <v>0</v>
      </c>
      <c r="S24" s="84">
        <f ca="1">IF('Invoer gegevens'!$C$17=E24,M24,IF(C24=0,0,T23))</f>
        <v>0</v>
      </c>
      <c r="T24" s="84">
        <f t="shared" ca="1" si="9"/>
        <v>0</v>
      </c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70"/>
      <c r="AI24" s="71">
        <f ca="1">IF(C24=1,((F24+H24)/2*Reeksen!AI24*12)+(('Invoer gegevens'!$C$10-(F24+H24)/2)*Reeksen!AD24*12),0)</f>
        <v>0</v>
      </c>
      <c r="AJ24" s="71">
        <f ca="1">-AI24*'Invoer gegevens'!$F$28</f>
        <v>0</v>
      </c>
      <c r="AK24" s="71">
        <f t="shared" ca="1" si="4"/>
        <v>0</v>
      </c>
      <c r="AL24" s="71">
        <f ca="1">IF(C24=1,(12*((F24+H24)/2)*Reeksen!AL24)+(12*('Invoer gegevens'!$C$10-(F24+H24)/2)*Reeksen!AM24),0)</f>
        <v>0</v>
      </c>
      <c r="AM24" s="71">
        <f ca="1">-AL24*'Invoer gegevens'!$F$31</f>
        <v>0</v>
      </c>
      <c r="AN24" s="71">
        <f t="shared" ca="1" si="5"/>
        <v>0</v>
      </c>
      <c r="AO24" s="71"/>
      <c r="AP24" s="71"/>
      <c r="AQ24" s="71">
        <f ca="1">-IF(C24=1,('Invoer gegevens'!$C$10*'Invoer gegevens'!$F$35)*Reeksen!J24,0)*2</f>
        <v>0</v>
      </c>
      <c r="AR24" s="71">
        <f ca="1">-IF(C24=1,(G24*'Invoer gegevens'!$F$36)*Reeksen!J24,0)</f>
        <v>0</v>
      </c>
      <c r="AS24" s="71">
        <f ca="1">-IF(C24=1,'Invoer gegevens'!$C$10*'Invoer gegevens'!$F$37*Reeksen!L24,0)</f>
        <v>0</v>
      </c>
      <c r="AT24" s="71">
        <f ca="1">-IF(C24=1,IF(E24='Invoer gegevens'!$C$17,'Invoer gegevens'!$C$11,Q24)*Reeksen!S24*'Invoer gegevens'!$C$18*Reeksen!P24,0)</f>
        <v>0</v>
      </c>
      <c r="AU24" s="71">
        <f ca="1">-IF(C24=1,'Invoer gegevens'!$C$10*'Invoer gegevens'!$F$38*Reeksen!H24,0)</f>
        <v>0</v>
      </c>
      <c r="AV24" s="71">
        <f t="shared" si="10"/>
        <v>0</v>
      </c>
      <c r="AW24" s="71">
        <f t="shared" ca="1" si="6"/>
        <v>0</v>
      </c>
      <c r="AX24" s="71">
        <f ca="1">IF(E24&lt;'Invoer gegevens'!$C$17+15,0,IF('RW - MW - DE - DE'!E24&gt;'Invoer gegevens'!$C$17+215,0,'RW - MW - DE - DE'!AW24))</f>
        <v>0</v>
      </c>
      <c r="AY24" s="71">
        <f ca="1">AX24/(1+'Invoer gegevens'!$F$13)^($AZ24-('Invoer gegevens'!$C$17-'Invoer gegevens'!$C$16))/(1+'Invoer gegevens'!$C$39)^('Invoer gegevens'!$C$17-'Invoer gegevens'!$C$16)</f>
        <v>0</v>
      </c>
      <c r="AZ24" s="68">
        <f ca="1">IF(E24-'Invoer gegevens'!$C$17-14.5&lt;0,0,E24-'Invoer gegevens'!$C$17-14.5)</f>
        <v>4.5</v>
      </c>
      <c r="BC24" s="71"/>
    </row>
    <row r="25" spans="1:55" customFormat="1" x14ac:dyDescent="0.25">
      <c r="A25" s="59"/>
      <c r="B25" s="70">
        <f t="shared" si="7"/>
        <v>21</v>
      </c>
      <c r="C25" s="67">
        <f ca="1">IF(E25-'Invoer gegevens'!$C$17&lt;0,0,1)</f>
        <v>1</v>
      </c>
      <c r="D25" s="68">
        <f t="shared" si="8"/>
        <v>20.5</v>
      </c>
      <c r="E25" s="69">
        <f ca="1">IF('Invoer gegevens'!$C$16="","",E24+1)</f>
        <v>2039</v>
      </c>
      <c r="F25" s="82">
        <f ca="1">IF('Invoer gegevens'!$C$17=E25,'Invoer gegevens'!$C$10,IF(C25=1,H24,0))</f>
        <v>0</v>
      </c>
      <c r="G25" s="83">
        <f ca="1">IF(C25&gt;=1,F25*Reeksen!C25,0)</f>
        <v>0</v>
      </c>
      <c r="H25" s="84">
        <f t="shared" ca="1" si="1"/>
        <v>0</v>
      </c>
      <c r="I25" s="85">
        <f ca="1">IF('Invoer gegevens'!$C$17=E25,'Invoer gegevens'!$C$11,IF(C25=1,L24,0))</f>
        <v>0</v>
      </c>
      <c r="J25" s="86">
        <f ca="1">IF(C25&lt;1,0,IF(Reeksen!AD25&lt;=Reeksen!AE25,I25*Reeksen!C25,0))</f>
        <v>0</v>
      </c>
      <c r="K25" s="86">
        <f ca="1">IF(C25&lt;1,0,IF(Reeksen!AD25&gt;Reeksen!AE25,I25*Reeksen!C25,0))</f>
        <v>0</v>
      </c>
      <c r="L25" s="86">
        <f t="shared" ca="1" si="2"/>
        <v>0</v>
      </c>
      <c r="M25" s="85">
        <f ca="1">IF('Invoer gegevens'!$C$17=E25,'Invoer gegevens'!$C$10-'Invoer gegevens'!$C$11,IF(C25=1,P24,0))</f>
        <v>0</v>
      </c>
      <c r="N25" s="86">
        <f ca="1">IF(C25&lt;1,0,IF(Reeksen!AD25&lt;=Reeksen!AE25,M25*Reeksen!C25,0))</f>
        <v>0</v>
      </c>
      <c r="O25" s="86">
        <f ca="1">IF(C25&lt;1,0,IF(Reeksen!AD25&gt;Reeksen!AE25,M25*Reeksen!C25,0))</f>
        <v>0</v>
      </c>
      <c r="P25" s="86">
        <f t="shared" ca="1" si="3"/>
        <v>0</v>
      </c>
      <c r="Q25" s="82">
        <f ca="1">IF('Invoer gegevens'!$C$17=E25,I25,IF(C25=0,0,R24))</f>
        <v>0</v>
      </c>
      <c r="R25" s="84">
        <f t="shared" ca="1" si="0"/>
        <v>0</v>
      </c>
      <c r="S25" s="84">
        <f ca="1">IF('Invoer gegevens'!$C$17=E25,M25,IF(C25=0,0,T24))</f>
        <v>0</v>
      </c>
      <c r="T25" s="84">
        <f t="shared" ca="1" si="9"/>
        <v>0</v>
      </c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70"/>
      <c r="AI25" s="71">
        <f ca="1">IF(C25=1,((F25+H25)/2*Reeksen!AI25*12)+(('Invoer gegevens'!$C$10-(F25+H25)/2)*Reeksen!AD25*12),0)</f>
        <v>0</v>
      </c>
      <c r="AJ25" s="71">
        <f ca="1">-AI25*'Invoer gegevens'!$F$28</f>
        <v>0</v>
      </c>
      <c r="AK25" s="71">
        <f t="shared" ca="1" si="4"/>
        <v>0</v>
      </c>
      <c r="AL25" s="71">
        <f ca="1">IF(C25=1,(12*((F25+H25)/2)*Reeksen!AL25)+(12*('Invoer gegevens'!$C$10-(F25+H25)/2)*Reeksen!AM25),0)</f>
        <v>0</v>
      </c>
      <c r="AM25" s="71">
        <f ca="1">-AL25*'Invoer gegevens'!$F$31</f>
        <v>0</v>
      </c>
      <c r="AN25" s="71">
        <f t="shared" ca="1" si="5"/>
        <v>0</v>
      </c>
      <c r="AO25" s="71"/>
      <c r="AP25" s="71"/>
      <c r="AQ25" s="71">
        <f ca="1">-IF(C25=1,('Invoer gegevens'!$C$10*'Invoer gegevens'!$F$35)*Reeksen!J25,0)*2</f>
        <v>0</v>
      </c>
      <c r="AR25" s="71">
        <f ca="1">-IF(C25=1,(G25*'Invoer gegevens'!$F$36)*Reeksen!J25,0)</f>
        <v>0</v>
      </c>
      <c r="AS25" s="71">
        <f ca="1">-IF(C25=1,'Invoer gegevens'!$C$10*'Invoer gegevens'!$F$37*Reeksen!L25,0)</f>
        <v>0</v>
      </c>
      <c r="AT25" s="71">
        <f ca="1">-IF(C25=1,IF(E25='Invoer gegevens'!$C$17,'Invoer gegevens'!$C$11,Q25)*Reeksen!S25*'Invoer gegevens'!$C$18*Reeksen!P25,0)</f>
        <v>0</v>
      </c>
      <c r="AU25" s="71">
        <f ca="1">-IF(C25=1,'Invoer gegevens'!$C$10*'Invoer gegevens'!$F$38*Reeksen!H25,0)</f>
        <v>0</v>
      </c>
      <c r="AV25" s="71">
        <f t="shared" si="10"/>
        <v>0</v>
      </c>
      <c r="AW25" s="71">
        <f t="shared" ca="1" si="6"/>
        <v>0</v>
      </c>
      <c r="AX25" s="71">
        <f ca="1">IF(E25&lt;'Invoer gegevens'!$C$17+15,0,IF('RW - MW - DE - DE'!E25&gt;'Invoer gegevens'!$C$17+215,0,'RW - MW - DE - DE'!AW25))</f>
        <v>0</v>
      </c>
      <c r="AY25" s="71">
        <f ca="1">AX25/(1+'Invoer gegevens'!$F$13)^($AZ25-('Invoer gegevens'!$C$17-'Invoer gegevens'!$C$16))/(1+'Invoer gegevens'!$C$39)^('Invoer gegevens'!$C$17-'Invoer gegevens'!$C$16)</f>
        <v>0</v>
      </c>
      <c r="AZ25" s="68">
        <f ca="1">IF(E25-'Invoer gegevens'!$C$17-14.5&lt;0,0,E25-'Invoer gegevens'!$C$17-14.5)</f>
        <v>5.5</v>
      </c>
      <c r="BC25" s="71"/>
    </row>
    <row r="26" spans="1:55" customFormat="1" x14ac:dyDescent="0.25">
      <c r="A26" s="59"/>
      <c r="B26" s="70">
        <f>B25+1</f>
        <v>22</v>
      </c>
      <c r="C26" s="67">
        <f ca="1">IF(E26-'Invoer gegevens'!$C$17&lt;0,0,1)</f>
        <v>1</v>
      </c>
      <c r="D26" s="68">
        <f t="shared" si="8"/>
        <v>21.5</v>
      </c>
      <c r="E26" s="69">
        <f ca="1">IF('Invoer gegevens'!$C$16="","",E25+1)</f>
        <v>2040</v>
      </c>
      <c r="F26" s="82">
        <f ca="1">IF('Invoer gegevens'!$C$17=E26,'Invoer gegevens'!$C$10,IF(C26=1,H25,0))</f>
        <v>0</v>
      </c>
      <c r="G26" s="83">
        <f ca="1">IF(C26&gt;=1,F26*Reeksen!C26,0)</f>
        <v>0</v>
      </c>
      <c r="H26" s="84">
        <f t="shared" ca="1" si="1"/>
        <v>0</v>
      </c>
      <c r="I26" s="85">
        <f ca="1">IF('Invoer gegevens'!$C$17=E26,'Invoer gegevens'!$C$11,IF(C26=1,L25,0))</f>
        <v>0</v>
      </c>
      <c r="J26" s="86">
        <f ca="1">IF(C26&lt;1,0,IF(Reeksen!AD26&lt;=Reeksen!AE26,I26*Reeksen!C26,0))</f>
        <v>0</v>
      </c>
      <c r="K26" s="86">
        <f ca="1">IF(C26&lt;1,0,IF(Reeksen!AD26&gt;Reeksen!AE26,I26*Reeksen!C26,0))</f>
        <v>0</v>
      </c>
      <c r="L26" s="86">
        <f t="shared" ca="1" si="2"/>
        <v>0</v>
      </c>
      <c r="M26" s="85">
        <f ca="1">IF('Invoer gegevens'!$C$17=E26,'Invoer gegevens'!$C$10-'Invoer gegevens'!$C$11,IF(C26=1,P25,0))</f>
        <v>0</v>
      </c>
      <c r="N26" s="86">
        <f ca="1">IF(C26&lt;1,0,IF(Reeksen!AD26&lt;=Reeksen!AE26,M26*Reeksen!C26,0))</f>
        <v>0</v>
      </c>
      <c r="O26" s="86">
        <f ca="1">IF(C26&lt;1,0,IF(Reeksen!AD26&gt;Reeksen!AE26,M26*Reeksen!C26,0))</f>
        <v>0</v>
      </c>
      <c r="P26" s="86">
        <f t="shared" ca="1" si="3"/>
        <v>0</v>
      </c>
      <c r="Q26" s="82">
        <f ca="1">IF('Invoer gegevens'!$C$17=E26,I26,IF(C26=0,0,R25))</f>
        <v>0</v>
      </c>
      <c r="R26" s="84">
        <f t="shared" ca="1" si="0"/>
        <v>0</v>
      </c>
      <c r="S26" s="84">
        <f ca="1">IF('Invoer gegevens'!$C$17=E26,M26,IF(C26=0,0,T25))</f>
        <v>0</v>
      </c>
      <c r="T26" s="84">
        <f t="shared" ca="1" si="9"/>
        <v>0</v>
      </c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70"/>
      <c r="AI26" s="71">
        <f ca="1">IF(C26=1,((F26+H26)/2*Reeksen!AI26*12)+(('Invoer gegevens'!$C$10-(F26+H26)/2)*Reeksen!AD26*12),0)</f>
        <v>0</v>
      </c>
      <c r="AJ26" s="71">
        <f ca="1">-AI26*'Invoer gegevens'!$F$28</f>
        <v>0</v>
      </c>
      <c r="AK26" s="71">
        <f t="shared" ca="1" si="4"/>
        <v>0</v>
      </c>
      <c r="AL26" s="71">
        <f ca="1">IF(C26=1,(12*((F26+H26)/2)*Reeksen!AL26)+(12*('Invoer gegevens'!$C$10-(F26+H26)/2)*Reeksen!AM26),0)</f>
        <v>0</v>
      </c>
      <c r="AM26" s="71">
        <f ca="1">-AL26*'Invoer gegevens'!$F$31</f>
        <v>0</v>
      </c>
      <c r="AN26" s="71">
        <f t="shared" ca="1" si="5"/>
        <v>0</v>
      </c>
      <c r="AO26" s="71"/>
      <c r="AP26" s="71"/>
      <c r="AQ26" s="71">
        <f ca="1">-IF(C26=1,('Invoer gegevens'!$C$10*'Invoer gegevens'!$F$35)*Reeksen!J26,0)*2</f>
        <v>0</v>
      </c>
      <c r="AR26" s="71">
        <f ca="1">-IF(C26=1,(G26*'Invoer gegevens'!$F$36)*Reeksen!J26,0)</f>
        <v>0</v>
      </c>
      <c r="AS26" s="71">
        <f ca="1">-IF(C26=1,'Invoer gegevens'!$C$10*'Invoer gegevens'!$F$37*Reeksen!L26,0)</f>
        <v>0</v>
      </c>
      <c r="AT26" s="71">
        <f ca="1">-IF(C26=1,IF(E26='Invoer gegevens'!$C$17,'Invoer gegevens'!$C$11,Q26)*Reeksen!S26*'Invoer gegevens'!$C$18*Reeksen!P26,0)</f>
        <v>0</v>
      </c>
      <c r="AU26" s="71">
        <f ca="1">-IF(C26=1,'Invoer gegevens'!$C$10*'Invoer gegevens'!$F$38*Reeksen!H26,0)</f>
        <v>0</v>
      </c>
      <c r="AV26" s="71">
        <f t="shared" si="10"/>
        <v>0</v>
      </c>
      <c r="AW26" s="71">
        <f t="shared" ca="1" si="6"/>
        <v>0</v>
      </c>
      <c r="AX26" s="71">
        <f ca="1">IF(E26&lt;'Invoer gegevens'!$C$17+15,0,IF('RW - MW - DE - DE'!E26&gt;'Invoer gegevens'!$C$17+215,0,'RW - MW - DE - DE'!AW26))</f>
        <v>0</v>
      </c>
      <c r="AY26" s="71">
        <f ca="1">AX26/(1+'Invoer gegevens'!$F$13)^($AZ26-('Invoer gegevens'!$C$17-'Invoer gegevens'!$C$16))/(1+'Invoer gegevens'!$C$39)^('Invoer gegevens'!$C$17-'Invoer gegevens'!$C$16)</f>
        <v>0</v>
      </c>
      <c r="AZ26" s="68">
        <f ca="1">IF(E26-'Invoer gegevens'!$C$17-14.5&lt;0,0,E26-'Invoer gegevens'!$C$17-14.5)</f>
        <v>6.5</v>
      </c>
      <c r="BC26" s="71"/>
    </row>
    <row r="27" spans="1:55" customFormat="1" x14ac:dyDescent="0.25">
      <c r="A27" s="59"/>
      <c r="B27" s="70">
        <f t="shared" si="7"/>
        <v>23</v>
      </c>
      <c r="C27" s="67">
        <f ca="1">IF(E27-'Invoer gegevens'!$C$17&lt;0,0,1)</f>
        <v>1</v>
      </c>
      <c r="D27" s="68">
        <f t="shared" si="8"/>
        <v>22.5</v>
      </c>
      <c r="E27" s="69">
        <f ca="1">IF('Invoer gegevens'!$C$16="","",E26+1)</f>
        <v>2041</v>
      </c>
      <c r="F27" s="82">
        <f ca="1">IF('Invoer gegevens'!$C$17=E27,'Invoer gegevens'!$C$10,IF(C27=1,H26,0))</f>
        <v>0</v>
      </c>
      <c r="G27" s="83">
        <f ca="1">IF(C27&gt;=1,F27*Reeksen!C27,0)</f>
        <v>0</v>
      </c>
      <c r="H27" s="84">
        <f t="shared" ca="1" si="1"/>
        <v>0</v>
      </c>
      <c r="I27" s="85">
        <f ca="1">IF('Invoer gegevens'!$C$17=E27,'Invoer gegevens'!$C$11,IF(C27=1,L26,0))</f>
        <v>0</v>
      </c>
      <c r="J27" s="86">
        <f ca="1">IF(C27&lt;1,0,IF(Reeksen!AD27&lt;=Reeksen!AE27,I27*Reeksen!C27,0))</f>
        <v>0</v>
      </c>
      <c r="K27" s="86">
        <f ca="1">IF(C27&lt;1,0,IF(Reeksen!AD27&gt;Reeksen!AE27,I27*Reeksen!C27,0))</f>
        <v>0</v>
      </c>
      <c r="L27" s="86">
        <f t="shared" ca="1" si="2"/>
        <v>0</v>
      </c>
      <c r="M27" s="85">
        <f ca="1">IF('Invoer gegevens'!$C$17=E27,'Invoer gegevens'!$C$10-'Invoer gegevens'!$C$11,IF(C27=1,P26,0))</f>
        <v>0</v>
      </c>
      <c r="N27" s="86">
        <f ca="1">IF(C27&lt;1,0,IF(Reeksen!AD27&lt;=Reeksen!AE27,M27*Reeksen!C27,0))</f>
        <v>0</v>
      </c>
      <c r="O27" s="86">
        <f ca="1">IF(C27&lt;1,0,IF(Reeksen!AD27&gt;Reeksen!AE27,M27*Reeksen!C27,0))</f>
        <v>0</v>
      </c>
      <c r="P27" s="86">
        <f t="shared" ca="1" si="3"/>
        <v>0</v>
      </c>
      <c r="Q27" s="82">
        <f ca="1">IF('Invoer gegevens'!$C$17=E27,I27,IF(C27=0,0,R26))</f>
        <v>0</v>
      </c>
      <c r="R27" s="84">
        <f t="shared" ca="1" si="0"/>
        <v>0</v>
      </c>
      <c r="S27" s="84">
        <f ca="1">IF('Invoer gegevens'!$C$17=E27,M27,IF(C27=0,0,T26))</f>
        <v>0</v>
      </c>
      <c r="T27" s="84">
        <f t="shared" ca="1" si="9"/>
        <v>0</v>
      </c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70"/>
      <c r="AI27" s="71">
        <f ca="1">IF(C27=1,((F27+H27)/2*Reeksen!AI27*12)+(('Invoer gegevens'!$C$10-(F27+H27)/2)*Reeksen!AD27*12),0)</f>
        <v>0</v>
      </c>
      <c r="AJ27" s="71">
        <f ca="1">-AI27*'Invoer gegevens'!$F$28</f>
        <v>0</v>
      </c>
      <c r="AK27" s="71">
        <f t="shared" ca="1" si="4"/>
        <v>0</v>
      </c>
      <c r="AL27" s="71">
        <f ca="1">IF(C27=1,(12*((F27+H27)/2)*Reeksen!AL27)+(12*('Invoer gegevens'!$C$10-(F27+H27)/2)*Reeksen!AM27),0)</f>
        <v>0</v>
      </c>
      <c r="AM27" s="71">
        <f ca="1">-AL27*'Invoer gegevens'!$F$31</f>
        <v>0</v>
      </c>
      <c r="AN27" s="71">
        <f t="shared" ca="1" si="5"/>
        <v>0</v>
      </c>
      <c r="AO27" s="71"/>
      <c r="AP27" s="71"/>
      <c r="AQ27" s="71">
        <f ca="1">-IF(C27=1,('Invoer gegevens'!$C$10*'Invoer gegevens'!$F$35)*Reeksen!J27,0)*2</f>
        <v>0</v>
      </c>
      <c r="AR27" s="71">
        <f ca="1">-IF(C27=1,(G27*'Invoer gegevens'!$F$36)*Reeksen!J27,0)</f>
        <v>0</v>
      </c>
      <c r="AS27" s="71">
        <f ca="1">-IF(C27=1,'Invoer gegevens'!$C$10*'Invoer gegevens'!$F$37*Reeksen!L27,0)</f>
        <v>0</v>
      </c>
      <c r="AT27" s="71">
        <f ca="1">-IF(C27=1,IF(E27='Invoer gegevens'!$C$17,'Invoer gegevens'!$C$11,Q27)*Reeksen!S27*'Invoer gegevens'!$C$18*Reeksen!P27,0)</f>
        <v>0</v>
      </c>
      <c r="AU27" s="71">
        <f ca="1">-IF(C27=1,'Invoer gegevens'!$C$10*'Invoer gegevens'!$F$38*Reeksen!H27,0)</f>
        <v>0</v>
      </c>
      <c r="AV27" s="71">
        <f t="shared" si="10"/>
        <v>0</v>
      </c>
      <c r="AW27" s="71">
        <f t="shared" ca="1" si="6"/>
        <v>0</v>
      </c>
      <c r="AX27" s="71">
        <f ca="1">IF(E27&lt;'Invoer gegevens'!$C$17+15,0,IF('RW - MW - DE - DE'!E27&gt;'Invoer gegevens'!$C$17+215,0,'RW - MW - DE - DE'!AW27))</f>
        <v>0</v>
      </c>
      <c r="AY27" s="71">
        <f ca="1">AX27/(1+'Invoer gegevens'!$F$13)^($AZ27-('Invoer gegevens'!$C$17-'Invoer gegevens'!$C$16))/(1+'Invoer gegevens'!$C$39)^('Invoer gegevens'!$C$17-'Invoer gegevens'!$C$16)</f>
        <v>0</v>
      </c>
      <c r="AZ27" s="68">
        <f ca="1">IF(E27-'Invoer gegevens'!$C$17-14.5&lt;0,0,E27-'Invoer gegevens'!$C$17-14.5)</f>
        <v>7.5</v>
      </c>
      <c r="BC27" s="71"/>
    </row>
    <row r="28" spans="1:55" customFormat="1" x14ac:dyDescent="0.25">
      <c r="A28" s="59"/>
      <c r="B28" s="70">
        <f t="shared" si="7"/>
        <v>24</v>
      </c>
      <c r="C28" s="67">
        <f ca="1">IF(E28-'Invoer gegevens'!$C$17&lt;0,0,1)</f>
        <v>1</v>
      </c>
      <c r="D28" s="68">
        <f t="shared" si="8"/>
        <v>23.5</v>
      </c>
      <c r="E28" s="69">
        <f ca="1">IF('Invoer gegevens'!$C$16="","",E27+1)</f>
        <v>2042</v>
      </c>
      <c r="F28" s="82">
        <f ca="1">IF('Invoer gegevens'!$C$17=E28,'Invoer gegevens'!$C$10,IF(C28=1,H27,0))</f>
        <v>0</v>
      </c>
      <c r="G28" s="83">
        <f ca="1">IF(C28&gt;=1,F28*Reeksen!C28,0)</f>
        <v>0</v>
      </c>
      <c r="H28" s="84">
        <f t="shared" ca="1" si="1"/>
        <v>0</v>
      </c>
      <c r="I28" s="85">
        <f ca="1">IF('Invoer gegevens'!$C$17=E28,'Invoer gegevens'!$C$11,IF(C28=1,L27,0))</f>
        <v>0</v>
      </c>
      <c r="J28" s="86">
        <f ca="1">IF(C28&lt;1,0,IF(Reeksen!AD28&lt;=Reeksen!AE28,I28*Reeksen!C28,0))</f>
        <v>0</v>
      </c>
      <c r="K28" s="86">
        <f ca="1">IF(C28&lt;1,0,IF(Reeksen!AD28&gt;Reeksen!AE28,I28*Reeksen!C28,0))</f>
        <v>0</v>
      </c>
      <c r="L28" s="86">
        <f t="shared" ca="1" si="2"/>
        <v>0</v>
      </c>
      <c r="M28" s="85">
        <f ca="1">IF('Invoer gegevens'!$C$17=E28,'Invoer gegevens'!$C$10-'Invoer gegevens'!$C$11,IF(C28=1,P27,0))</f>
        <v>0</v>
      </c>
      <c r="N28" s="86">
        <f ca="1">IF(C28&lt;1,0,IF(Reeksen!AD28&lt;=Reeksen!AE28,M28*Reeksen!C28,0))</f>
        <v>0</v>
      </c>
      <c r="O28" s="86">
        <f ca="1">IF(C28&lt;1,0,IF(Reeksen!AD28&gt;Reeksen!AE28,M28*Reeksen!C28,0))</f>
        <v>0</v>
      </c>
      <c r="P28" s="86">
        <f t="shared" ca="1" si="3"/>
        <v>0</v>
      </c>
      <c r="Q28" s="82">
        <f ca="1">IF('Invoer gegevens'!$C$17=E28,I28,IF(C28=0,0,R27))</f>
        <v>0</v>
      </c>
      <c r="R28" s="84">
        <f t="shared" ca="1" si="0"/>
        <v>0</v>
      </c>
      <c r="S28" s="84">
        <f ca="1">IF('Invoer gegevens'!$C$17=E28,M28,IF(C28=0,0,T27))</f>
        <v>0</v>
      </c>
      <c r="T28" s="84">
        <f t="shared" ca="1" si="9"/>
        <v>0</v>
      </c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70"/>
      <c r="AI28" s="71">
        <f ca="1">IF(C28=1,((F28+H28)/2*Reeksen!AI28*12)+(('Invoer gegevens'!$C$10-(F28+H28)/2)*Reeksen!AD28*12),0)</f>
        <v>0</v>
      </c>
      <c r="AJ28" s="71">
        <f ca="1">-AI28*'Invoer gegevens'!$F$28</f>
        <v>0</v>
      </c>
      <c r="AK28" s="71">
        <f t="shared" ca="1" si="4"/>
        <v>0</v>
      </c>
      <c r="AL28" s="71">
        <f ca="1">IF(C28=1,(12*((F28+H28)/2)*Reeksen!AL28)+(12*('Invoer gegevens'!$C$10-(F28+H28)/2)*Reeksen!AM28),0)</f>
        <v>0</v>
      </c>
      <c r="AM28" s="71">
        <f ca="1">-AL28*'Invoer gegevens'!$F$31</f>
        <v>0</v>
      </c>
      <c r="AN28" s="71">
        <f t="shared" ca="1" si="5"/>
        <v>0</v>
      </c>
      <c r="AO28" s="71"/>
      <c r="AP28" s="71"/>
      <c r="AQ28" s="71">
        <f ca="1">-IF(C28=1,('Invoer gegevens'!$C$10*'Invoer gegevens'!$F$35)*Reeksen!J28,0)*2</f>
        <v>0</v>
      </c>
      <c r="AR28" s="71">
        <f ca="1">-IF(C28=1,(G28*'Invoer gegevens'!$F$36)*Reeksen!J28,0)</f>
        <v>0</v>
      </c>
      <c r="AS28" s="71">
        <f ca="1">-IF(C28=1,'Invoer gegevens'!$C$10*'Invoer gegevens'!$F$37*Reeksen!L28,0)</f>
        <v>0</v>
      </c>
      <c r="AT28" s="71">
        <f ca="1">-IF(C28=1,IF(E28='Invoer gegevens'!$C$17,'Invoer gegevens'!$C$11,Q28)*Reeksen!S28*'Invoer gegevens'!$C$18*Reeksen!P28,0)</f>
        <v>0</v>
      </c>
      <c r="AU28" s="71">
        <f ca="1">-IF(C28=1,'Invoer gegevens'!$C$10*'Invoer gegevens'!$F$38*Reeksen!H28,0)</f>
        <v>0</v>
      </c>
      <c r="AV28" s="71">
        <f t="shared" si="10"/>
        <v>0</v>
      </c>
      <c r="AW28" s="71">
        <f t="shared" ca="1" si="6"/>
        <v>0</v>
      </c>
      <c r="AX28" s="71">
        <f ca="1">IF(E28&lt;'Invoer gegevens'!$C$17+15,0,IF('RW - MW - DE - DE'!E28&gt;'Invoer gegevens'!$C$17+215,0,'RW - MW - DE - DE'!AW28))</f>
        <v>0</v>
      </c>
      <c r="AY28" s="71">
        <f ca="1">AX28/(1+'Invoer gegevens'!$F$13)^($AZ28-('Invoer gegevens'!$C$17-'Invoer gegevens'!$C$16))/(1+'Invoer gegevens'!$C$39)^('Invoer gegevens'!$C$17-'Invoer gegevens'!$C$16)</f>
        <v>0</v>
      </c>
      <c r="AZ28" s="68">
        <f ca="1">IF(E28-'Invoer gegevens'!$C$17-14.5&lt;0,0,E28-'Invoer gegevens'!$C$17-14.5)</f>
        <v>8.5</v>
      </c>
      <c r="BC28" s="71"/>
    </row>
    <row r="29" spans="1:55" customFormat="1" x14ac:dyDescent="0.25">
      <c r="A29" s="59"/>
      <c r="B29" s="70">
        <f t="shared" si="7"/>
        <v>25</v>
      </c>
      <c r="C29" s="67">
        <f ca="1">IF(E29-'Invoer gegevens'!$C$17&lt;0,0,1)</f>
        <v>1</v>
      </c>
      <c r="D29" s="68">
        <f t="shared" si="8"/>
        <v>24.5</v>
      </c>
      <c r="E29" s="69">
        <f ca="1">IF('Invoer gegevens'!$C$16="","",E28+1)</f>
        <v>2043</v>
      </c>
      <c r="F29" s="82">
        <f ca="1">IF('Invoer gegevens'!$C$17=E29,'Invoer gegevens'!$C$10,IF(C29=1,H28,0))</f>
        <v>0</v>
      </c>
      <c r="G29" s="83">
        <f ca="1">IF(C29&gt;=1,F29*Reeksen!C29,0)</f>
        <v>0</v>
      </c>
      <c r="H29" s="84">
        <f t="shared" ca="1" si="1"/>
        <v>0</v>
      </c>
      <c r="I29" s="85">
        <f ca="1">IF('Invoer gegevens'!$C$17=E29,'Invoer gegevens'!$C$11,IF(C29=1,L28,0))</f>
        <v>0</v>
      </c>
      <c r="J29" s="86">
        <f ca="1">IF(C29&lt;1,0,IF(Reeksen!AD29&lt;=Reeksen!AE29,I29*Reeksen!C29,0))</f>
        <v>0</v>
      </c>
      <c r="K29" s="86">
        <f ca="1">IF(C29&lt;1,0,IF(Reeksen!AD29&gt;Reeksen!AE29,I29*Reeksen!C29,0))</f>
        <v>0</v>
      </c>
      <c r="L29" s="86">
        <f t="shared" ca="1" si="2"/>
        <v>0</v>
      </c>
      <c r="M29" s="85">
        <f ca="1">IF('Invoer gegevens'!$C$17=E29,'Invoer gegevens'!$C$10-'Invoer gegevens'!$C$11,IF(C29=1,P28,0))</f>
        <v>0</v>
      </c>
      <c r="N29" s="86">
        <f ca="1">IF(C29&lt;1,0,IF(Reeksen!AD29&lt;=Reeksen!AE29,M29*Reeksen!C29,0))</f>
        <v>0</v>
      </c>
      <c r="O29" s="86">
        <f ca="1">IF(C29&lt;1,0,IF(Reeksen!AD29&gt;Reeksen!AE29,M29*Reeksen!C29,0))</f>
        <v>0</v>
      </c>
      <c r="P29" s="86">
        <f t="shared" ca="1" si="3"/>
        <v>0</v>
      </c>
      <c r="Q29" s="82">
        <f ca="1">IF('Invoer gegevens'!$C$17=E29,I29,IF(C29=0,0,R28))</f>
        <v>0</v>
      </c>
      <c r="R29" s="84">
        <f t="shared" ca="1" si="0"/>
        <v>0</v>
      </c>
      <c r="S29" s="84">
        <f ca="1">IF('Invoer gegevens'!$C$17=E29,M29,IF(C29=0,0,T28))</f>
        <v>0</v>
      </c>
      <c r="T29" s="84">
        <f t="shared" ca="1" si="9"/>
        <v>0</v>
      </c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70"/>
      <c r="AI29" s="71">
        <f ca="1">IF(C29=1,((F29+H29)/2*Reeksen!AI29*12)+(('Invoer gegevens'!$C$10-(F29+H29)/2)*Reeksen!AD29*12),0)</f>
        <v>0</v>
      </c>
      <c r="AJ29" s="71">
        <f ca="1">-AI29*'Invoer gegevens'!$F$28</f>
        <v>0</v>
      </c>
      <c r="AK29" s="71">
        <f t="shared" ca="1" si="4"/>
        <v>0</v>
      </c>
      <c r="AL29" s="71">
        <f ca="1">IF(C29=1,(12*((F29+H29)/2)*Reeksen!AL29)+(12*('Invoer gegevens'!$C$10-(F29+H29)/2)*Reeksen!AM29),0)</f>
        <v>0</v>
      </c>
      <c r="AM29" s="71">
        <f ca="1">-AL29*'Invoer gegevens'!$F$31</f>
        <v>0</v>
      </c>
      <c r="AN29" s="71">
        <f t="shared" ca="1" si="5"/>
        <v>0</v>
      </c>
      <c r="AO29" s="71"/>
      <c r="AP29" s="71"/>
      <c r="AQ29" s="71">
        <f ca="1">-IF(C29=1,('Invoer gegevens'!$C$10*'Invoer gegevens'!$F$35)*Reeksen!J29,0)*2</f>
        <v>0</v>
      </c>
      <c r="AR29" s="71">
        <f ca="1">-IF(C29=1,(G29*'Invoer gegevens'!$F$36)*Reeksen!J29,0)</f>
        <v>0</v>
      </c>
      <c r="AS29" s="71">
        <f ca="1">-IF(C29=1,'Invoer gegevens'!$C$10*'Invoer gegevens'!$F$37*Reeksen!L29,0)</f>
        <v>0</v>
      </c>
      <c r="AT29" s="71">
        <f ca="1">-IF(C29=1,IF(E29='Invoer gegevens'!$C$17,'Invoer gegevens'!$C$11,Q29)*Reeksen!S29*'Invoer gegevens'!$C$18*Reeksen!P29,0)</f>
        <v>0</v>
      </c>
      <c r="AU29" s="71">
        <f ca="1">-IF(C29=1,'Invoer gegevens'!$C$10*'Invoer gegevens'!$F$38*Reeksen!H29,0)</f>
        <v>0</v>
      </c>
      <c r="AV29" s="71">
        <f t="shared" si="10"/>
        <v>0</v>
      </c>
      <c r="AW29" s="71">
        <f t="shared" ca="1" si="6"/>
        <v>0</v>
      </c>
      <c r="AX29" s="71">
        <f ca="1">IF(E29&lt;'Invoer gegevens'!$C$17+15,0,IF('RW - MW - DE - DE'!E29&gt;'Invoer gegevens'!$C$17+215,0,'RW - MW - DE - DE'!AW29))</f>
        <v>0</v>
      </c>
      <c r="AY29" s="71">
        <f ca="1">AX29/(1+'Invoer gegevens'!$F$13)^($AZ29-('Invoer gegevens'!$C$17-'Invoer gegevens'!$C$16))/(1+'Invoer gegevens'!$C$39)^('Invoer gegevens'!$C$17-'Invoer gegevens'!$C$16)</f>
        <v>0</v>
      </c>
      <c r="AZ29" s="68">
        <f ca="1">IF(E29-'Invoer gegevens'!$C$17-14.5&lt;0,0,E29-'Invoer gegevens'!$C$17-14.5)</f>
        <v>9.5</v>
      </c>
      <c r="BC29" s="71"/>
    </row>
    <row r="30" spans="1:55" customFormat="1" x14ac:dyDescent="0.25">
      <c r="A30" s="59"/>
      <c r="B30" s="70">
        <f t="shared" si="7"/>
        <v>26</v>
      </c>
      <c r="C30" s="67">
        <f ca="1">IF(E30-'Invoer gegevens'!$C$17&lt;0,0,1)</f>
        <v>1</v>
      </c>
      <c r="D30" s="68">
        <f t="shared" si="8"/>
        <v>25.5</v>
      </c>
      <c r="E30" s="69">
        <f ca="1">IF('Invoer gegevens'!$C$16="","",E29+1)</f>
        <v>2044</v>
      </c>
      <c r="F30" s="82">
        <f ca="1">IF('Invoer gegevens'!$C$17=E30,'Invoer gegevens'!$C$10,IF(C30=1,H29,0))</f>
        <v>0</v>
      </c>
      <c r="G30" s="83">
        <f ca="1">IF(C30&gt;=1,F30*Reeksen!C30,0)</f>
        <v>0</v>
      </c>
      <c r="H30" s="84">
        <f t="shared" ca="1" si="1"/>
        <v>0</v>
      </c>
      <c r="I30" s="85">
        <f ca="1">IF('Invoer gegevens'!$C$17=E30,'Invoer gegevens'!$C$11,IF(C30=1,L29,0))</f>
        <v>0</v>
      </c>
      <c r="J30" s="86">
        <f ca="1">IF(C30&lt;1,0,IF(Reeksen!AD30&lt;=Reeksen!AE30,I30*Reeksen!C30,0))</f>
        <v>0</v>
      </c>
      <c r="K30" s="86">
        <f ca="1">IF(C30&lt;1,0,IF(Reeksen!AD30&gt;Reeksen!AE30,I30*Reeksen!C30,0))</f>
        <v>0</v>
      </c>
      <c r="L30" s="86">
        <f t="shared" ca="1" si="2"/>
        <v>0</v>
      </c>
      <c r="M30" s="85">
        <f ca="1">IF('Invoer gegevens'!$C$17=E30,'Invoer gegevens'!$C$10-'Invoer gegevens'!$C$11,IF(C30=1,P29,0))</f>
        <v>0</v>
      </c>
      <c r="N30" s="86">
        <f ca="1">IF(C30&lt;1,0,IF(Reeksen!AD30&lt;=Reeksen!AE30,M30*Reeksen!C30,0))</f>
        <v>0</v>
      </c>
      <c r="O30" s="86">
        <f ca="1">IF(C30&lt;1,0,IF(Reeksen!AD30&gt;Reeksen!AE30,M30*Reeksen!C30,0))</f>
        <v>0</v>
      </c>
      <c r="P30" s="86">
        <f t="shared" ca="1" si="3"/>
        <v>0</v>
      </c>
      <c r="Q30" s="82">
        <f ca="1">IF('Invoer gegevens'!$C$17=E30,I30,IF(C30=0,0,R29))</f>
        <v>0</v>
      </c>
      <c r="R30" s="84">
        <f t="shared" ca="1" si="0"/>
        <v>0</v>
      </c>
      <c r="S30" s="84">
        <f ca="1">IF('Invoer gegevens'!$C$17=E30,M30,IF(C30=0,0,T29))</f>
        <v>0</v>
      </c>
      <c r="T30" s="84">
        <f t="shared" ca="1" si="9"/>
        <v>0</v>
      </c>
      <c r="U30" s="60"/>
      <c r="V30" s="60"/>
      <c r="W30" s="60"/>
      <c r="X30" s="60"/>
      <c r="Y30" s="60"/>
      <c r="Z30" s="60"/>
      <c r="AA30" s="60"/>
      <c r="AB30" s="60"/>
      <c r="AC30" s="68"/>
      <c r="AD30" s="68"/>
      <c r="AE30" s="68"/>
      <c r="AF30" s="68"/>
      <c r="AG30" s="68"/>
      <c r="AH30" s="60"/>
      <c r="AI30" s="71">
        <f ca="1">IF(C30=1,((F30+H30)/2*Reeksen!AI30*12)+(('Invoer gegevens'!$C$10-(F30+H30)/2)*Reeksen!AD30*12),0)</f>
        <v>0</v>
      </c>
      <c r="AJ30" s="71">
        <f ca="1">-AI30*'Invoer gegevens'!$F$28</f>
        <v>0</v>
      </c>
      <c r="AK30" s="71">
        <f t="shared" ca="1" si="4"/>
        <v>0</v>
      </c>
      <c r="AL30" s="71">
        <f ca="1">IF(C30=1,(12*((F30+H30)/2)*Reeksen!AL30)+(12*('Invoer gegevens'!$C$10-(F30+H30)/2)*Reeksen!AM30),0)</f>
        <v>0</v>
      </c>
      <c r="AM30" s="71">
        <f ca="1">-AL30*'Invoer gegevens'!$F$31</f>
        <v>0</v>
      </c>
      <c r="AN30" s="71">
        <f t="shared" ca="1" si="5"/>
        <v>0</v>
      </c>
      <c r="AO30" s="71"/>
      <c r="AP30" s="71"/>
      <c r="AQ30" s="71">
        <f ca="1">-IF(C30=1,('Invoer gegevens'!$C$10*'Invoer gegevens'!$F$35)*Reeksen!J30,0)*2</f>
        <v>0</v>
      </c>
      <c r="AR30" s="71">
        <f ca="1">-IF(C30=1,(G30*'Invoer gegevens'!$F$36)*Reeksen!J30,0)</f>
        <v>0</v>
      </c>
      <c r="AS30" s="71">
        <f ca="1">-IF(C30=1,'Invoer gegevens'!$C$10*'Invoer gegevens'!$F$37*Reeksen!L30,0)</f>
        <v>0</v>
      </c>
      <c r="AT30" s="71">
        <f ca="1">-IF(C30=1,IF(E30='Invoer gegevens'!$C$17,'Invoer gegevens'!$C$11,Q30)*Reeksen!S30*'Invoer gegevens'!$C$18*Reeksen!P30,0)</f>
        <v>0</v>
      </c>
      <c r="AU30" s="71">
        <f ca="1">-IF(C30=1,'Invoer gegevens'!$C$10*'Invoer gegevens'!$F$38*Reeksen!H30,0)</f>
        <v>0</v>
      </c>
      <c r="AV30" s="71">
        <f t="shared" si="10"/>
        <v>0</v>
      </c>
      <c r="AW30" s="71">
        <f t="shared" ca="1" si="6"/>
        <v>0</v>
      </c>
      <c r="AX30" s="71">
        <f ca="1">IF(E30&lt;'Invoer gegevens'!$C$17+15,0,IF('RW - MW - DE - DE'!E30&gt;'Invoer gegevens'!$C$17+215,0,'RW - MW - DE - DE'!AW30))</f>
        <v>0</v>
      </c>
      <c r="AY30" s="71">
        <f ca="1">AX30/(1+'Invoer gegevens'!$F$13)^($AZ30-('Invoer gegevens'!$C$17-'Invoer gegevens'!$C$16))/(1+'Invoer gegevens'!$C$39)^('Invoer gegevens'!$C$17-'Invoer gegevens'!$C$16)</f>
        <v>0</v>
      </c>
      <c r="AZ30" s="68">
        <f ca="1">IF(E30-'Invoer gegevens'!$C$17-14.5&lt;0,0,E30-'Invoer gegevens'!$C$17-14.5)</f>
        <v>10.5</v>
      </c>
      <c r="BC30" s="71"/>
    </row>
    <row r="31" spans="1:55" customFormat="1" x14ac:dyDescent="0.25">
      <c r="A31" s="59"/>
      <c r="B31" s="70">
        <f t="shared" si="7"/>
        <v>27</v>
      </c>
      <c r="C31" s="67">
        <f ca="1">IF(E31-'Invoer gegevens'!$C$17&lt;0,0,1)</f>
        <v>1</v>
      </c>
      <c r="D31" s="68">
        <f t="shared" si="8"/>
        <v>26.5</v>
      </c>
      <c r="E31" s="69">
        <f ca="1">IF('Invoer gegevens'!$C$16="","",E30+1)</f>
        <v>2045</v>
      </c>
      <c r="F31" s="82">
        <f ca="1">IF('Invoer gegevens'!$C$17=E31,'Invoer gegevens'!$C$10,IF(C31=1,H30,0))</f>
        <v>0</v>
      </c>
      <c r="G31" s="83">
        <f ca="1">IF(C31&gt;=1,F31*Reeksen!C31,0)</f>
        <v>0</v>
      </c>
      <c r="H31" s="84">
        <f t="shared" ca="1" si="1"/>
        <v>0</v>
      </c>
      <c r="I31" s="85">
        <f ca="1">IF('Invoer gegevens'!$C$17=E31,'Invoer gegevens'!$C$11,IF(C31=1,L30,0))</f>
        <v>0</v>
      </c>
      <c r="J31" s="86">
        <f ca="1">IF(C31&lt;1,0,IF(Reeksen!AD31&lt;=Reeksen!AE31,I31*Reeksen!C31,0))</f>
        <v>0</v>
      </c>
      <c r="K31" s="86">
        <f ca="1">IF(C31&lt;1,0,IF(Reeksen!AD31&gt;Reeksen!AE31,I31*Reeksen!C31,0))</f>
        <v>0</v>
      </c>
      <c r="L31" s="86">
        <f t="shared" ca="1" si="2"/>
        <v>0</v>
      </c>
      <c r="M31" s="85">
        <f ca="1">IF('Invoer gegevens'!$C$17=E31,'Invoer gegevens'!$C$10-'Invoer gegevens'!$C$11,IF(C31=1,P30,0))</f>
        <v>0</v>
      </c>
      <c r="N31" s="86">
        <f ca="1">IF(C31&lt;1,0,IF(Reeksen!AD31&lt;=Reeksen!AE31,M31*Reeksen!C31,0))</f>
        <v>0</v>
      </c>
      <c r="O31" s="86">
        <f ca="1">IF(C31&lt;1,0,IF(Reeksen!AD31&gt;Reeksen!AE31,M31*Reeksen!C31,0))</f>
        <v>0</v>
      </c>
      <c r="P31" s="86">
        <f t="shared" ca="1" si="3"/>
        <v>0</v>
      </c>
      <c r="Q31" s="82">
        <f ca="1">IF('Invoer gegevens'!$C$17=E31,I31,IF(C31=0,0,R30))</f>
        <v>0</v>
      </c>
      <c r="R31" s="84">
        <f t="shared" ca="1" si="0"/>
        <v>0</v>
      </c>
      <c r="S31" s="84">
        <f ca="1">IF('Invoer gegevens'!$C$17=E31,M31,IF(C31=0,0,T30))</f>
        <v>0</v>
      </c>
      <c r="T31" s="84">
        <f t="shared" ca="1" si="9"/>
        <v>0</v>
      </c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7"/>
      <c r="AI31" s="71">
        <f ca="1">IF(C31=1,((F31+H31)/2*Reeksen!AI31*12)+(('Invoer gegevens'!$C$10-(F31+H31)/2)*Reeksen!AD31*12),0)</f>
        <v>0</v>
      </c>
      <c r="AJ31" s="71">
        <f ca="1">-AI31*'Invoer gegevens'!$F$28</f>
        <v>0</v>
      </c>
      <c r="AK31" s="71">
        <f t="shared" ca="1" si="4"/>
        <v>0</v>
      </c>
      <c r="AL31" s="71">
        <f ca="1">IF(C31=1,(12*((F31+H31)/2)*Reeksen!AL31)+(12*('Invoer gegevens'!$C$10-(F31+H31)/2)*Reeksen!AM31),0)</f>
        <v>0</v>
      </c>
      <c r="AM31" s="71">
        <f ca="1">-AL31*'Invoer gegevens'!$F$31</f>
        <v>0</v>
      </c>
      <c r="AN31" s="71">
        <f t="shared" ca="1" si="5"/>
        <v>0</v>
      </c>
      <c r="AO31" s="71"/>
      <c r="AP31" s="71"/>
      <c r="AQ31" s="71">
        <f ca="1">-IF(C31=1,('Invoer gegevens'!$C$10*'Invoer gegevens'!$F$35)*Reeksen!J31,0)*2</f>
        <v>0</v>
      </c>
      <c r="AR31" s="71">
        <f ca="1">-IF(C31=1,(G31*'Invoer gegevens'!$F$36)*Reeksen!J31,0)</f>
        <v>0</v>
      </c>
      <c r="AS31" s="71">
        <f ca="1">-IF(C31=1,'Invoer gegevens'!$C$10*'Invoer gegevens'!$F$37*Reeksen!L31,0)</f>
        <v>0</v>
      </c>
      <c r="AT31" s="71">
        <f ca="1">-IF(C31=1,IF(E31='Invoer gegevens'!$C$17,'Invoer gegevens'!$C$11,Q31)*Reeksen!S31*'Invoer gegevens'!$C$18*Reeksen!P31,0)</f>
        <v>0</v>
      </c>
      <c r="AU31" s="71">
        <f ca="1">-IF(C31=1,'Invoer gegevens'!$C$10*'Invoer gegevens'!$F$38*Reeksen!H31,0)</f>
        <v>0</v>
      </c>
      <c r="AV31" s="71">
        <f t="shared" si="10"/>
        <v>0</v>
      </c>
      <c r="AW31" s="71">
        <f t="shared" ca="1" si="6"/>
        <v>0</v>
      </c>
      <c r="AX31" s="71">
        <f ca="1">IF(E31&lt;'Invoer gegevens'!$C$17+15,0,IF('RW - MW - DE - DE'!E31&gt;'Invoer gegevens'!$C$17+215,0,'RW - MW - DE - DE'!AW31))</f>
        <v>0</v>
      </c>
      <c r="AY31" s="71">
        <f ca="1">AX31/(1+'Invoer gegevens'!$F$13)^($AZ31-('Invoer gegevens'!$C$17-'Invoer gegevens'!$C$16))/(1+'Invoer gegevens'!$C$39)^('Invoer gegevens'!$C$17-'Invoer gegevens'!$C$16)</f>
        <v>0</v>
      </c>
      <c r="AZ31" s="68">
        <f ca="1">IF(E31-'Invoer gegevens'!$C$17-14.5&lt;0,0,E31-'Invoer gegevens'!$C$17-14.5)</f>
        <v>11.5</v>
      </c>
      <c r="BC31" s="71"/>
    </row>
    <row r="32" spans="1:55" customFormat="1" x14ac:dyDescent="0.25">
      <c r="B32" s="70">
        <f t="shared" si="7"/>
        <v>28</v>
      </c>
      <c r="C32" s="67">
        <f ca="1">IF(E32-'Invoer gegevens'!$C$17&lt;0,0,1)</f>
        <v>1</v>
      </c>
      <c r="D32" s="68">
        <f t="shared" si="8"/>
        <v>27.5</v>
      </c>
      <c r="E32" s="69">
        <f ca="1">IF('Invoer gegevens'!$C$16="","",E31+1)</f>
        <v>2046</v>
      </c>
      <c r="F32" s="82">
        <f ca="1">IF('Invoer gegevens'!$C$17=E32,'Invoer gegevens'!$C$10,IF(C32=1,H31,0))</f>
        <v>0</v>
      </c>
      <c r="G32" s="83">
        <f ca="1">IF(C32&gt;=1,F32*Reeksen!C32,0)</f>
        <v>0</v>
      </c>
      <c r="H32" s="84">
        <f t="shared" ca="1" si="1"/>
        <v>0</v>
      </c>
      <c r="I32" s="85">
        <f ca="1">IF('Invoer gegevens'!$C$17=E32,'Invoer gegevens'!$C$11,IF(C32=1,L31,0))</f>
        <v>0</v>
      </c>
      <c r="J32" s="86">
        <f ca="1">IF(C32&lt;1,0,IF(Reeksen!AD32&lt;=Reeksen!AE32,I32*Reeksen!C32,0))</f>
        <v>0</v>
      </c>
      <c r="K32" s="86">
        <f ca="1">IF(C32&lt;1,0,IF(Reeksen!AD32&gt;Reeksen!AE32,I32*Reeksen!C32,0))</f>
        <v>0</v>
      </c>
      <c r="L32" s="86">
        <f t="shared" ca="1" si="2"/>
        <v>0</v>
      </c>
      <c r="M32" s="85">
        <f ca="1">IF('Invoer gegevens'!$C$17=E32,'Invoer gegevens'!$C$10-'Invoer gegevens'!$C$11,IF(C32=1,P31,0))</f>
        <v>0</v>
      </c>
      <c r="N32" s="86">
        <f ca="1">IF(C32&lt;1,0,IF(Reeksen!AD32&lt;=Reeksen!AE32,M32*Reeksen!C32,0))</f>
        <v>0</v>
      </c>
      <c r="O32" s="86">
        <f ca="1">IF(C32&lt;1,0,IF(Reeksen!AD32&gt;Reeksen!AE32,M32*Reeksen!C32,0))</f>
        <v>0</v>
      </c>
      <c r="P32" s="86">
        <f t="shared" ca="1" si="3"/>
        <v>0</v>
      </c>
      <c r="Q32" s="82">
        <f ca="1">IF('Invoer gegevens'!$C$17=E32,I32,IF(C32=0,0,R31))</f>
        <v>0</v>
      </c>
      <c r="R32" s="84">
        <f t="shared" ca="1" si="0"/>
        <v>0</v>
      </c>
      <c r="S32" s="84">
        <f ca="1">IF('Invoer gegevens'!$C$17=E32,M32,IF(C32=0,0,T31))</f>
        <v>0</v>
      </c>
      <c r="T32" s="84">
        <f t="shared" ca="1" si="9"/>
        <v>0</v>
      </c>
      <c r="AI32" s="71">
        <f ca="1">IF(C32=1,((F32+H32)/2*Reeksen!AI32*12)+(('Invoer gegevens'!$C$10-(F32+H32)/2)*Reeksen!AD32*12),0)</f>
        <v>0</v>
      </c>
      <c r="AJ32" s="71">
        <f ca="1">-AI32*'Invoer gegevens'!$F$28</f>
        <v>0</v>
      </c>
      <c r="AK32" s="71">
        <f t="shared" ca="1" si="4"/>
        <v>0</v>
      </c>
      <c r="AL32" s="71">
        <f ca="1">IF(C32=1,(12*((F32+H32)/2)*Reeksen!AL32)+(12*('Invoer gegevens'!$C$10-(F32+H32)/2)*Reeksen!AM32),0)</f>
        <v>0</v>
      </c>
      <c r="AM32" s="71">
        <f ca="1">-AL32*'Invoer gegevens'!$F$31</f>
        <v>0</v>
      </c>
      <c r="AN32" s="71">
        <f t="shared" ca="1" si="5"/>
        <v>0</v>
      </c>
      <c r="AO32" s="71"/>
      <c r="AP32" s="71"/>
      <c r="AQ32" s="71">
        <f ca="1">-IF(C32=1,('Invoer gegevens'!$C$10*'Invoer gegevens'!$F$35)*Reeksen!J32,0)*2</f>
        <v>0</v>
      </c>
      <c r="AR32" s="71">
        <f ca="1">-IF(C32=1,(G32*'Invoer gegevens'!$F$36)*Reeksen!J32,0)</f>
        <v>0</v>
      </c>
      <c r="AS32" s="71">
        <f ca="1">-IF(C32=1,'Invoer gegevens'!$C$10*'Invoer gegevens'!$F$37*Reeksen!L32,0)</f>
        <v>0</v>
      </c>
      <c r="AT32" s="71">
        <f ca="1">-IF(C32=1,IF(E32='Invoer gegevens'!$C$17,'Invoer gegevens'!$C$11,Q32)*Reeksen!S32*'Invoer gegevens'!$C$18*Reeksen!P32,0)</f>
        <v>0</v>
      </c>
      <c r="AU32" s="71">
        <f ca="1">-IF(C32=1,'Invoer gegevens'!$C$10*'Invoer gegevens'!$F$38*Reeksen!H32,0)</f>
        <v>0</v>
      </c>
      <c r="AV32" s="71">
        <f t="shared" si="10"/>
        <v>0</v>
      </c>
      <c r="AW32" s="71">
        <f t="shared" ca="1" si="6"/>
        <v>0</v>
      </c>
      <c r="AX32" s="71">
        <f ca="1">IF(E32&lt;'Invoer gegevens'!$C$17+15,0,IF('RW - MW - DE - DE'!E32&gt;'Invoer gegevens'!$C$17+215,0,'RW - MW - DE - DE'!AW32))</f>
        <v>0</v>
      </c>
      <c r="AY32" s="71">
        <f ca="1">AX32/(1+'Invoer gegevens'!$F$13)^($AZ32-('Invoer gegevens'!$C$17-'Invoer gegevens'!$C$16))/(1+'Invoer gegevens'!$C$39)^('Invoer gegevens'!$C$17-'Invoer gegevens'!$C$16)</f>
        <v>0</v>
      </c>
      <c r="AZ32" s="68">
        <f ca="1">IF(E32-'Invoer gegevens'!$C$17-14.5&lt;0,0,E32-'Invoer gegevens'!$C$17-14.5)</f>
        <v>12.5</v>
      </c>
      <c r="BC32" s="71"/>
    </row>
    <row r="33" spans="2:55" customFormat="1" x14ac:dyDescent="0.25">
      <c r="B33" s="70">
        <f t="shared" si="7"/>
        <v>29</v>
      </c>
      <c r="C33" s="67">
        <f ca="1">IF(E33-'Invoer gegevens'!$C$17&lt;0,0,1)</f>
        <v>1</v>
      </c>
      <c r="D33" s="68">
        <f t="shared" si="8"/>
        <v>28.5</v>
      </c>
      <c r="E33" s="69">
        <f ca="1">IF('Invoer gegevens'!$C$16="","",E32+1)</f>
        <v>2047</v>
      </c>
      <c r="F33" s="82">
        <f ca="1">IF('Invoer gegevens'!$C$17=E33,'Invoer gegevens'!$C$10,IF(C33=1,H32,0))</f>
        <v>0</v>
      </c>
      <c r="G33" s="83">
        <f ca="1">IF(C33&gt;=1,F33*Reeksen!C33,0)</f>
        <v>0</v>
      </c>
      <c r="H33" s="84">
        <f t="shared" ca="1" si="1"/>
        <v>0</v>
      </c>
      <c r="I33" s="85">
        <f ca="1">IF('Invoer gegevens'!$C$17=E33,'Invoer gegevens'!$C$11,IF(C33=1,L32,0))</f>
        <v>0</v>
      </c>
      <c r="J33" s="86">
        <f ca="1">IF(C33&lt;1,0,IF(Reeksen!AD33&lt;=Reeksen!AE33,I33*Reeksen!C33,0))</f>
        <v>0</v>
      </c>
      <c r="K33" s="86">
        <f ca="1">IF(C33&lt;1,0,IF(Reeksen!AD33&gt;Reeksen!AE33,I33*Reeksen!C33,0))</f>
        <v>0</v>
      </c>
      <c r="L33" s="86">
        <f t="shared" ca="1" si="2"/>
        <v>0</v>
      </c>
      <c r="M33" s="85">
        <f ca="1">IF('Invoer gegevens'!$C$17=E33,'Invoer gegevens'!$C$10-'Invoer gegevens'!$C$11,IF(C33=1,P32,0))</f>
        <v>0</v>
      </c>
      <c r="N33" s="86">
        <f ca="1">IF(C33&lt;1,0,IF(Reeksen!AD33&lt;=Reeksen!AE33,M33*Reeksen!C33,0))</f>
        <v>0</v>
      </c>
      <c r="O33" s="86">
        <f ca="1">IF(C33&lt;1,0,IF(Reeksen!AD33&gt;Reeksen!AE33,M33*Reeksen!C33,0))</f>
        <v>0</v>
      </c>
      <c r="P33" s="86">
        <f t="shared" ca="1" si="3"/>
        <v>0</v>
      </c>
      <c r="Q33" s="82">
        <f ca="1">IF('Invoer gegevens'!$C$17=E33,I33,IF(C33=0,0,R32))</f>
        <v>0</v>
      </c>
      <c r="R33" s="84">
        <f t="shared" ca="1" si="0"/>
        <v>0</v>
      </c>
      <c r="S33" s="84">
        <f ca="1">IF('Invoer gegevens'!$C$17=E33,M33,IF(C33=0,0,T32))</f>
        <v>0</v>
      </c>
      <c r="T33" s="84">
        <f t="shared" ca="1" si="9"/>
        <v>0</v>
      </c>
      <c r="AI33" s="71">
        <f ca="1">IF(C33=1,((F33+H33)/2*Reeksen!AI33*12)+(('Invoer gegevens'!$C$10-(F33+H33)/2)*Reeksen!AD33*12),0)</f>
        <v>0</v>
      </c>
      <c r="AJ33" s="71">
        <f ca="1">-AI33*'Invoer gegevens'!$F$28</f>
        <v>0</v>
      </c>
      <c r="AK33" s="71">
        <f t="shared" ca="1" si="4"/>
        <v>0</v>
      </c>
      <c r="AL33" s="71">
        <f ca="1">IF(C33=1,(12*((F33+H33)/2)*Reeksen!AL33)+(12*('Invoer gegevens'!$C$10-(F33+H33)/2)*Reeksen!AM33),0)</f>
        <v>0</v>
      </c>
      <c r="AM33" s="71">
        <f ca="1">-AL33*'Invoer gegevens'!$F$31</f>
        <v>0</v>
      </c>
      <c r="AN33" s="71">
        <f t="shared" ca="1" si="5"/>
        <v>0</v>
      </c>
      <c r="AO33" s="71"/>
      <c r="AP33" s="71"/>
      <c r="AQ33" s="71">
        <f ca="1">-IF(C33=1,('Invoer gegevens'!$C$10*'Invoer gegevens'!$F$35)*Reeksen!J33,0)*2</f>
        <v>0</v>
      </c>
      <c r="AR33" s="71">
        <f ca="1">-IF(C33=1,(G33*'Invoer gegevens'!$F$36)*Reeksen!J33,0)</f>
        <v>0</v>
      </c>
      <c r="AS33" s="71">
        <f ca="1">-IF(C33=1,'Invoer gegevens'!$C$10*'Invoer gegevens'!$F$37*Reeksen!L33,0)</f>
        <v>0</v>
      </c>
      <c r="AT33" s="71">
        <f ca="1">-IF(C33=1,IF(E33='Invoer gegevens'!$C$17,'Invoer gegevens'!$C$11,Q33)*Reeksen!S33*'Invoer gegevens'!$C$18*Reeksen!P33,0)</f>
        <v>0</v>
      </c>
      <c r="AU33" s="71">
        <f ca="1">-IF(C33=1,'Invoer gegevens'!$C$10*'Invoer gegevens'!$F$38*Reeksen!H33,0)</f>
        <v>0</v>
      </c>
      <c r="AV33" s="71">
        <f t="shared" si="10"/>
        <v>0</v>
      </c>
      <c r="AW33" s="71">
        <f ca="1">SUM(AK33,AN33:AV33)</f>
        <v>0</v>
      </c>
      <c r="AX33" s="71">
        <f ca="1">IF(E33&lt;'Invoer gegevens'!$C$17+15,0,IF('RW - MW - DE - DE'!E33&gt;'Invoer gegevens'!$C$17+215,0,'RW - MW - DE - DE'!AW33))</f>
        <v>0</v>
      </c>
      <c r="AY33" s="71">
        <f ca="1">AX33/(1+'Invoer gegevens'!$F$13)^($AZ33-('Invoer gegevens'!$C$17-'Invoer gegevens'!$C$16))/(1+'Invoer gegevens'!$C$39)^('Invoer gegevens'!$C$17-'Invoer gegevens'!$C$16)</f>
        <v>0</v>
      </c>
      <c r="AZ33" s="68">
        <f ca="1">IF(E33-'Invoer gegevens'!$C$17-14.5&lt;0,0,E33-'Invoer gegevens'!$C$17-14.5)</f>
        <v>13.5</v>
      </c>
      <c r="BC33" s="71"/>
    </row>
    <row r="34" spans="2:55" customFormat="1" x14ac:dyDescent="0.25">
      <c r="B34" s="70">
        <f t="shared" si="7"/>
        <v>30</v>
      </c>
      <c r="C34" s="67">
        <f ca="1">IF(E34-'Invoer gegevens'!$C$17&lt;0,0,1)</f>
        <v>1</v>
      </c>
      <c r="D34" s="68">
        <f t="shared" si="8"/>
        <v>29.5</v>
      </c>
      <c r="E34" s="69">
        <f ca="1">IF('Invoer gegevens'!$C$16="","",E33+1)</f>
        <v>2048</v>
      </c>
      <c r="F34" s="82">
        <f ca="1">IF('Invoer gegevens'!$C$17=E34,'Invoer gegevens'!$C$10,IF(C34=1,H33,0))</f>
        <v>0</v>
      </c>
      <c r="G34" s="83">
        <f ca="1">IF(C34&gt;=1,F34*Reeksen!C34,0)</f>
        <v>0</v>
      </c>
      <c r="H34" s="84">
        <f t="shared" ca="1" si="1"/>
        <v>0</v>
      </c>
      <c r="I34" s="85">
        <f ca="1">IF('Invoer gegevens'!$C$17=E34,'Invoer gegevens'!$C$11,IF(C34=1,L33,0))</f>
        <v>0</v>
      </c>
      <c r="J34" s="86">
        <f ca="1">IF(C34&lt;1,0,IF(Reeksen!AD34&lt;=Reeksen!AE34,I34*Reeksen!C34,0))</f>
        <v>0</v>
      </c>
      <c r="K34" s="86">
        <f ca="1">IF(C34&lt;1,0,IF(Reeksen!AD34&gt;Reeksen!AE34,I34*Reeksen!C34,0))</f>
        <v>0</v>
      </c>
      <c r="L34" s="86">
        <f t="shared" ca="1" si="2"/>
        <v>0</v>
      </c>
      <c r="M34" s="85">
        <f ca="1">IF('Invoer gegevens'!$C$17=E34,'Invoer gegevens'!$C$10-'Invoer gegevens'!$C$11,IF(C34=1,P33,0))</f>
        <v>0</v>
      </c>
      <c r="N34" s="86">
        <f ca="1">IF(C34&lt;1,0,IF(Reeksen!AD34&lt;=Reeksen!AE34,M34*Reeksen!C34,0))</f>
        <v>0</v>
      </c>
      <c r="O34" s="86">
        <f ca="1">IF(C34&lt;1,0,IF(Reeksen!AD34&gt;Reeksen!AE34,M34*Reeksen!C34,0))</f>
        <v>0</v>
      </c>
      <c r="P34" s="86">
        <f t="shared" ca="1" si="3"/>
        <v>0</v>
      </c>
      <c r="Q34" s="82">
        <f ca="1">IF('Invoer gegevens'!$C$17=E34,I34,IF(C34=0,0,R33))</f>
        <v>0</v>
      </c>
      <c r="R34" s="84">
        <f t="shared" ca="1" si="0"/>
        <v>0</v>
      </c>
      <c r="S34" s="84">
        <f ca="1">IF('Invoer gegevens'!$C$17=E34,M34,IF(C34=0,0,T33))</f>
        <v>0</v>
      </c>
      <c r="T34" s="84">
        <f t="shared" ca="1" si="9"/>
        <v>0</v>
      </c>
      <c r="AI34" s="71">
        <f ca="1">IF(C34=1,((F34+H34)/2*Reeksen!AI34*12)+(('Invoer gegevens'!$C$10-(F34+H34)/2)*Reeksen!AD34*12),0)</f>
        <v>0</v>
      </c>
      <c r="AJ34" s="71">
        <f ca="1">-AI34*'Invoer gegevens'!$F$28</f>
        <v>0</v>
      </c>
      <c r="AK34" s="71">
        <f t="shared" ca="1" si="4"/>
        <v>0</v>
      </c>
      <c r="AL34" s="71">
        <f ca="1">IF(C34=1,(12*((F34+H34)/2)*Reeksen!AL34)+(12*('Invoer gegevens'!$C$10-(F34+H34)/2)*Reeksen!AM34),0)</f>
        <v>0</v>
      </c>
      <c r="AM34" s="71">
        <f ca="1">-AL34*'Invoer gegevens'!$F$31</f>
        <v>0</v>
      </c>
      <c r="AN34" s="71">
        <f t="shared" ca="1" si="5"/>
        <v>0</v>
      </c>
      <c r="AO34" s="71"/>
      <c r="AP34" s="71"/>
      <c r="AQ34" s="71">
        <f ca="1">-IF(C34=1,('Invoer gegevens'!$C$10*'Invoer gegevens'!$F$35)*Reeksen!J34,0)*2</f>
        <v>0</v>
      </c>
      <c r="AR34" s="71">
        <f ca="1">-IF(C34=1,(G34*'Invoer gegevens'!$F$36)*Reeksen!J34,0)</f>
        <v>0</v>
      </c>
      <c r="AS34" s="71">
        <f ca="1">-IF(C34=1,'Invoer gegevens'!$C$10*'Invoer gegevens'!$F$37*Reeksen!L34,0)</f>
        <v>0</v>
      </c>
      <c r="AT34" s="71">
        <f ca="1">-IF(C34=1,IF(E34='Invoer gegevens'!$C$17,'Invoer gegevens'!$C$11,Q34)*Reeksen!S34*'Invoer gegevens'!$C$18*Reeksen!P34,0)</f>
        <v>0</v>
      </c>
      <c r="AU34" s="71">
        <f ca="1">-IF(C34=1,'Invoer gegevens'!$C$10*'Invoer gegevens'!$F$38*Reeksen!H34,0)</f>
        <v>0</v>
      </c>
      <c r="AV34" s="71">
        <f t="shared" si="10"/>
        <v>0</v>
      </c>
      <c r="AW34" s="71">
        <f t="shared" ca="1" si="6"/>
        <v>0</v>
      </c>
      <c r="AX34" s="71">
        <f ca="1">IF(E34&lt;'Invoer gegevens'!$C$17+15,0,IF('RW - MW - DE - DE'!E34&gt;'Invoer gegevens'!$C$17+215,0,'RW - MW - DE - DE'!AW34))</f>
        <v>0</v>
      </c>
      <c r="AY34" s="71">
        <f ca="1">AX34/(1+'Invoer gegevens'!$F$13)^($AZ34-('Invoer gegevens'!$C$17-'Invoer gegevens'!$C$16))/(1+'Invoer gegevens'!$C$39)^('Invoer gegevens'!$C$17-'Invoer gegevens'!$C$16)</f>
        <v>0</v>
      </c>
      <c r="AZ34" s="68">
        <f ca="1">IF(E34-'Invoer gegevens'!$C$17-14.5&lt;0,0,E34-'Invoer gegevens'!$C$17-14.5)</f>
        <v>14.5</v>
      </c>
      <c r="BC34" s="71"/>
    </row>
    <row r="35" spans="2:55" customFormat="1" x14ac:dyDescent="0.25">
      <c r="B35" s="70">
        <f t="shared" si="7"/>
        <v>31</v>
      </c>
      <c r="C35" s="67">
        <f ca="1">IF(E35-'Invoer gegevens'!$C$17&lt;0,0,1)</f>
        <v>1</v>
      </c>
      <c r="D35" s="68">
        <f t="shared" si="8"/>
        <v>30.5</v>
      </c>
      <c r="E35" s="69">
        <f ca="1">IF('Invoer gegevens'!$C$16="","",E34+1)</f>
        <v>2049</v>
      </c>
      <c r="F35" s="82">
        <f ca="1">IF('Invoer gegevens'!$C$17=E35,'Invoer gegevens'!$C$10,IF(C35=1,H34,0))</f>
        <v>0</v>
      </c>
      <c r="G35" s="83">
        <f ca="1">IF(C35&gt;=1,F35*Reeksen!C35,0)</f>
        <v>0</v>
      </c>
      <c r="H35" s="84">
        <f t="shared" ca="1" si="1"/>
        <v>0</v>
      </c>
      <c r="I35" s="85">
        <f ca="1">IF('Invoer gegevens'!$C$17=E35,'Invoer gegevens'!$C$11,IF(C35=1,L34,0))</f>
        <v>0</v>
      </c>
      <c r="J35" s="86">
        <f ca="1">IF(C35&lt;1,0,IF(Reeksen!AD35&lt;=Reeksen!AE35,I35*Reeksen!C35,0))</f>
        <v>0</v>
      </c>
      <c r="K35" s="86">
        <f ca="1">IF(C35&lt;1,0,IF(Reeksen!AD35&gt;Reeksen!AE35,I35*Reeksen!C35,0))</f>
        <v>0</v>
      </c>
      <c r="L35" s="86">
        <f t="shared" ca="1" si="2"/>
        <v>0</v>
      </c>
      <c r="M35" s="85">
        <f ca="1">IF('Invoer gegevens'!$C$17=E35,'Invoer gegevens'!$C$10-'Invoer gegevens'!$C$11,IF(C35=1,P34,0))</f>
        <v>0</v>
      </c>
      <c r="N35" s="86">
        <f ca="1">IF(C35&lt;1,0,IF(Reeksen!AD35&lt;=Reeksen!AE35,M35*Reeksen!C35,0))</f>
        <v>0</v>
      </c>
      <c r="O35" s="86">
        <f ca="1">IF(C35&lt;1,0,IF(Reeksen!AD35&gt;Reeksen!AE35,M35*Reeksen!C35,0))</f>
        <v>0</v>
      </c>
      <c r="P35" s="86">
        <f t="shared" ca="1" si="3"/>
        <v>0</v>
      </c>
      <c r="Q35" s="82">
        <f ca="1">IF('Invoer gegevens'!$C$17=E35,I35,IF(C35=0,0,R34))</f>
        <v>0</v>
      </c>
      <c r="R35" s="84">
        <f t="shared" ca="1" si="0"/>
        <v>0</v>
      </c>
      <c r="S35" s="84">
        <f ca="1">IF('Invoer gegevens'!$C$17=E35,M35,IF(C35=0,0,T34))</f>
        <v>0</v>
      </c>
      <c r="T35" s="84">
        <f t="shared" ca="1" si="9"/>
        <v>0</v>
      </c>
      <c r="AI35" s="71">
        <f ca="1">IF(C35=1,((F35+H35)/2*Reeksen!AI35*12)+(('Invoer gegevens'!$C$10-(F35+H35)/2)*Reeksen!AD35*12),0)</f>
        <v>0</v>
      </c>
      <c r="AJ35" s="71">
        <f ca="1">-AI35*'Invoer gegevens'!$F$28</f>
        <v>0</v>
      </c>
      <c r="AK35" s="71">
        <f t="shared" ca="1" si="4"/>
        <v>0</v>
      </c>
      <c r="AL35" s="71">
        <f ca="1">IF(C35=1,(12*((F35+H35)/2)*Reeksen!AL35)+(12*('Invoer gegevens'!$C$10-(F35+H35)/2)*Reeksen!AM35),0)</f>
        <v>0</v>
      </c>
      <c r="AM35" s="71">
        <f ca="1">-AL35*'Invoer gegevens'!$F$31</f>
        <v>0</v>
      </c>
      <c r="AN35" s="71">
        <f t="shared" ca="1" si="5"/>
        <v>0</v>
      </c>
      <c r="AO35" s="71"/>
      <c r="AP35" s="71"/>
      <c r="AQ35" s="71">
        <f ca="1">-IF(C35=1,('Invoer gegevens'!$C$10*'Invoer gegevens'!$F$35)*Reeksen!J35,0)*2</f>
        <v>0</v>
      </c>
      <c r="AR35" s="71">
        <f ca="1">-IF(C35=1,(G35*'Invoer gegevens'!$F$36)*Reeksen!J35,0)</f>
        <v>0</v>
      </c>
      <c r="AS35" s="71">
        <f ca="1">-IF(C35=1,'Invoer gegevens'!$C$10*'Invoer gegevens'!$F$37*Reeksen!L35,0)</f>
        <v>0</v>
      </c>
      <c r="AT35" s="71">
        <f ca="1">-IF(C35=1,IF(E35='Invoer gegevens'!$C$17,'Invoer gegevens'!$C$11,Q35)*Reeksen!S35*'Invoer gegevens'!$C$18*Reeksen!P35,0)</f>
        <v>0</v>
      </c>
      <c r="AU35" s="71">
        <f ca="1">-IF(C35=1,'Invoer gegevens'!$C$10*'Invoer gegevens'!$F$38*Reeksen!H35,0)</f>
        <v>0</v>
      </c>
      <c r="AV35" s="71">
        <f t="shared" si="10"/>
        <v>0</v>
      </c>
      <c r="AW35" s="71">
        <f t="shared" ca="1" si="6"/>
        <v>0</v>
      </c>
      <c r="AX35" s="71">
        <f ca="1">IF(E35&lt;'Invoer gegevens'!$C$17+15,0,IF('RW - MW - DE - DE'!E35&gt;'Invoer gegevens'!$C$17+215,0,'RW - MW - DE - DE'!AW35))</f>
        <v>0</v>
      </c>
      <c r="AY35" s="71">
        <f ca="1">AX35/(1+'Invoer gegevens'!$F$13)^($AZ35-('Invoer gegevens'!$C$17-'Invoer gegevens'!$C$16))/(1+'Invoer gegevens'!$C$39)^('Invoer gegevens'!$C$17-'Invoer gegevens'!$C$16)</f>
        <v>0</v>
      </c>
      <c r="AZ35" s="68">
        <f ca="1">IF(E35-'Invoer gegevens'!$C$17-14.5&lt;0,0,E35-'Invoer gegevens'!$C$17-14.5)</f>
        <v>15.5</v>
      </c>
      <c r="BC35" s="71"/>
    </row>
    <row r="36" spans="2:55" customFormat="1" x14ac:dyDescent="0.25">
      <c r="B36" s="70">
        <f t="shared" si="7"/>
        <v>32</v>
      </c>
      <c r="C36" s="67">
        <f ca="1">IF(E36-'Invoer gegevens'!$C$17&lt;0,0,1)</f>
        <v>1</v>
      </c>
      <c r="D36" s="68">
        <f t="shared" si="8"/>
        <v>31.5</v>
      </c>
      <c r="E36" s="69">
        <f ca="1">IF('Invoer gegevens'!$C$16="","",E35+1)</f>
        <v>2050</v>
      </c>
      <c r="F36" s="82">
        <f ca="1">IF('Invoer gegevens'!$C$17=E36,'Invoer gegevens'!$C$10,IF(C36=1,H35,0))</f>
        <v>0</v>
      </c>
      <c r="G36" s="83">
        <f ca="1">IF(C36&gt;=1,F36*Reeksen!C36,0)</f>
        <v>0</v>
      </c>
      <c r="H36" s="84">
        <f t="shared" ca="1" si="1"/>
        <v>0</v>
      </c>
      <c r="I36" s="85">
        <f ca="1">IF('Invoer gegevens'!$C$17=E36,'Invoer gegevens'!$C$11,IF(C36=1,L35,0))</f>
        <v>0</v>
      </c>
      <c r="J36" s="86">
        <f ca="1">IF(C36&lt;1,0,IF(Reeksen!AD36&lt;=Reeksen!AE36,I36*Reeksen!C36,0))</f>
        <v>0</v>
      </c>
      <c r="K36" s="86">
        <f ca="1">IF(C36&lt;1,0,IF(Reeksen!AD36&gt;Reeksen!AE36,I36*Reeksen!C36,0))</f>
        <v>0</v>
      </c>
      <c r="L36" s="86">
        <f t="shared" ca="1" si="2"/>
        <v>0</v>
      </c>
      <c r="M36" s="85">
        <f ca="1">IF('Invoer gegevens'!$C$17=E36,'Invoer gegevens'!$C$10-'Invoer gegevens'!$C$11,IF(C36=1,P35,0))</f>
        <v>0</v>
      </c>
      <c r="N36" s="86">
        <f ca="1">IF(C36&lt;1,0,IF(Reeksen!AD36&lt;=Reeksen!AE36,M36*Reeksen!C36,0))</f>
        <v>0</v>
      </c>
      <c r="O36" s="86">
        <f ca="1">IF(C36&lt;1,0,IF(Reeksen!AD36&gt;Reeksen!AE36,M36*Reeksen!C36,0))</f>
        <v>0</v>
      </c>
      <c r="P36" s="86">
        <f t="shared" ca="1" si="3"/>
        <v>0</v>
      </c>
      <c r="Q36" s="82">
        <f ca="1">IF('Invoer gegevens'!$C$17=E36,I36,IF(C36=0,0,R35))</f>
        <v>0</v>
      </c>
      <c r="R36" s="84">
        <f t="shared" ca="1" si="0"/>
        <v>0</v>
      </c>
      <c r="S36" s="84">
        <f ca="1">IF('Invoer gegevens'!$C$17=E36,M36,IF(C36=0,0,T35))</f>
        <v>0</v>
      </c>
      <c r="T36" s="84">
        <f t="shared" ca="1" si="9"/>
        <v>0</v>
      </c>
      <c r="AI36" s="71">
        <f ca="1">IF(C36=1,((F36+H36)/2*Reeksen!AI36*12)+(('Invoer gegevens'!$C$10-(F36+H36)/2)*Reeksen!AD36*12),0)</f>
        <v>0</v>
      </c>
      <c r="AJ36" s="71">
        <f ca="1">-AI36*'Invoer gegevens'!$F$28</f>
        <v>0</v>
      </c>
      <c r="AK36" s="71">
        <f t="shared" ca="1" si="4"/>
        <v>0</v>
      </c>
      <c r="AL36" s="71">
        <f ca="1">IF(C36=1,(12*((F36+H36)/2)*Reeksen!AL36)+(12*('Invoer gegevens'!$C$10-(F36+H36)/2)*Reeksen!AM36),0)</f>
        <v>0</v>
      </c>
      <c r="AM36" s="71">
        <f ca="1">-AL36*'Invoer gegevens'!$F$31</f>
        <v>0</v>
      </c>
      <c r="AN36" s="71">
        <f t="shared" ca="1" si="5"/>
        <v>0</v>
      </c>
      <c r="AO36" s="71"/>
      <c r="AP36" s="71"/>
      <c r="AQ36" s="71">
        <f ca="1">-IF(C36=1,('Invoer gegevens'!$C$10*'Invoer gegevens'!$F$35)*Reeksen!J36,0)*2</f>
        <v>0</v>
      </c>
      <c r="AR36" s="71">
        <f ca="1">-IF(C36=1,(G36*'Invoer gegevens'!$F$36)*Reeksen!J36,0)</f>
        <v>0</v>
      </c>
      <c r="AS36" s="71">
        <f ca="1">-IF(C36=1,'Invoer gegevens'!$C$10*'Invoer gegevens'!$F$37*Reeksen!L36,0)</f>
        <v>0</v>
      </c>
      <c r="AT36" s="71">
        <f ca="1">-IF(C36=1,IF(E36='Invoer gegevens'!$C$17,'Invoer gegevens'!$C$11,Q36)*Reeksen!S36*'Invoer gegevens'!$C$18*Reeksen!P36,0)</f>
        <v>0</v>
      </c>
      <c r="AU36" s="71">
        <f ca="1">-IF(C36=1,'Invoer gegevens'!$C$10*'Invoer gegevens'!$F$38*Reeksen!H36,0)</f>
        <v>0</v>
      </c>
      <c r="AV36" s="71">
        <f t="shared" si="10"/>
        <v>0</v>
      </c>
      <c r="AW36" s="71">
        <f t="shared" ca="1" si="6"/>
        <v>0</v>
      </c>
      <c r="AX36" s="71">
        <f ca="1">IF(E36&lt;'Invoer gegevens'!$C$17+15,0,IF('RW - MW - DE - DE'!E36&gt;'Invoer gegevens'!$C$17+215,0,'RW - MW - DE - DE'!AW36))</f>
        <v>0</v>
      </c>
      <c r="AY36" s="71">
        <f ca="1">AX36/(1+'Invoer gegevens'!$F$13)^($AZ36-('Invoer gegevens'!$C$17-'Invoer gegevens'!$C$16))/(1+'Invoer gegevens'!$C$39)^('Invoer gegevens'!$C$17-'Invoer gegevens'!$C$16)</f>
        <v>0</v>
      </c>
      <c r="AZ36" s="68">
        <f ca="1">IF(E36-'Invoer gegevens'!$C$17-14.5&lt;0,0,E36-'Invoer gegevens'!$C$17-14.5)</f>
        <v>16.5</v>
      </c>
      <c r="BC36" s="71"/>
    </row>
    <row r="37" spans="2:55" customFormat="1" x14ac:dyDescent="0.25">
      <c r="B37" s="70">
        <f t="shared" si="7"/>
        <v>33</v>
      </c>
      <c r="C37" s="67">
        <f ca="1">IF(E37-'Invoer gegevens'!$C$17&lt;0,0,1)</f>
        <v>1</v>
      </c>
      <c r="D37" s="68">
        <f t="shared" si="8"/>
        <v>32.5</v>
      </c>
      <c r="E37" s="69">
        <f ca="1">IF('Invoer gegevens'!$C$16="","",E36+1)</f>
        <v>2051</v>
      </c>
      <c r="F37" s="82">
        <f ca="1">IF('Invoer gegevens'!$C$17=E37,'Invoer gegevens'!$C$10,IF(C37=1,H36,0))</f>
        <v>0</v>
      </c>
      <c r="G37" s="83">
        <f ca="1">IF(C37&gt;=1,F37*Reeksen!C37,0)</f>
        <v>0</v>
      </c>
      <c r="H37" s="84">
        <f t="shared" ca="1" si="1"/>
        <v>0</v>
      </c>
      <c r="I37" s="85">
        <f ca="1">IF('Invoer gegevens'!$C$17=E37,'Invoer gegevens'!$C$11,IF(C37=1,L36,0))</f>
        <v>0</v>
      </c>
      <c r="J37" s="86">
        <f ca="1">IF(C37&lt;1,0,IF(Reeksen!AD37&lt;=Reeksen!AE37,I37*Reeksen!C37,0))</f>
        <v>0</v>
      </c>
      <c r="K37" s="86">
        <f ca="1">IF(C37&lt;1,0,IF(Reeksen!AD37&gt;Reeksen!AE37,I37*Reeksen!C37,0))</f>
        <v>0</v>
      </c>
      <c r="L37" s="86">
        <f t="shared" ca="1" si="2"/>
        <v>0</v>
      </c>
      <c r="M37" s="85">
        <f ca="1">IF('Invoer gegevens'!$C$17=E37,'Invoer gegevens'!$C$10-'Invoer gegevens'!$C$11,IF(C37=1,P36,0))</f>
        <v>0</v>
      </c>
      <c r="N37" s="86">
        <f ca="1">IF(C37&lt;1,0,IF(Reeksen!AD37&lt;=Reeksen!AE37,M37*Reeksen!C37,0))</f>
        <v>0</v>
      </c>
      <c r="O37" s="86">
        <f ca="1">IF(C37&lt;1,0,IF(Reeksen!AD37&gt;Reeksen!AE37,M37*Reeksen!C37,0))</f>
        <v>0</v>
      </c>
      <c r="P37" s="86">
        <f t="shared" ca="1" si="3"/>
        <v>0</v>
      </c>
      <c r="Q37" s="82">
        <f ca="1">IF('Invoer gegevens'!$C$17=E37,I37,IF(C37=0,0,R36))</f>
        <v>0</v>
      </c>
      <c r="R37" s="84">
        <f t="shared" ca="1" si="0"/>
        <v>0</v>
      </c>
      <c r="S37" s="84">
        <f ca="1">IF('Invoer gegevens'!$C$17=E37,M37,IF(C37=0,0,T36))</f>
        <v>0</v>
      </c>
      <c r="T37" s="84">
        <f t="shared" ca="1" si="9"/>
        <v>0</v>
      </c>
      <c r="AI37" s="71">
        <f ca="1">IF(C37=1,((F37+H37)/2*Reeksen!AI37*12)+(('Invoer gegevens'!$C$10-(F37+H37)/2)*Reeksen!AD37*12),0)</f>
        <v>0</v>
      </c>
      <c r="AJ37" s="71">
        <f ca="1">-AI37*'Invoer gegevens'!$F$28</f>
        <v>0</v>
      </c>
      <c r="AK37" s="71">
        <f t="shared" ca="1" si="4"/>
        <v>0</v>
      </c>
      <c r="AL37" s="71">
        <f ca="1">IF(C37=1,(12*((F37+H37)/2)*Reeksen!AL37)+(12*('Invoer gegevens'!$C$10-(F37+H37)/2)*Reeksen!AM37),0)</f>
        <v>0</v>
      </c>
      <c r="AM37" s="71">
        <f ca="1">-AL37*'Invoer gegevens'!$F$31</f>
        <v>0</v>
      </c>
      <c r="AN37" s="71">
        <f t="shared" ca="1" si="5"/>
        <v>0</v>
      </c>
      <c r="AO37" s="71"/>
      <c r="AP37" s="71"/>
      <c r="AQ37" s="71">
        <f ca="1">-IF(C37=1,('Invoer gegevens'!$C$10*'Invoer gegevens'!$F$35)*Reeksen!J37,0)*2</f>
        <v>0</v>
      </c>
      <c r="AR37" s="71">
        <f ca="1">-IF(C37=1,(G37*'Invoer gegevens'!$F$36)*Reeksen!J37,0)</f>
        <v>0</v>
      </c>
      <c r="AS37" s="71">
        <f ca="1">-IF(C37=1,'Invoer gegevens'!$C$10*'Invoer gegevens'!$F$37*Reeksen!L37,0)</f>
        <v>0</v>
      </c>
      <c r="AT37" s="71">
        <f ca="1">-IF(C37=1,IF(E37='Invoer gegevens'!$C$17,'Invoer gegevens'!$C$11,Q37)*Reeksen!S37*'Invoer gegevens'!$C$18*Reeksen!P37,0)</f>
        <v>0</v>
      </c>
      <c r="AU37" s="71">
        <f ca="1">-IF(C37=1,'Invoer gegevens'!$C$10*'Invoer gegevens'!$F$38*Reeksen!H37,0)</f>
        <v>0</v>
      </c>
      <c r="AV37" s="71">
        <f t="shared" si="10"/>
        <v>0</v>
      </c>
      <c r="AW37" s="71">
        <f t="shared" ca="1" si="6"/>
        <v>0</v>
      </c>
      <c r="AX37" s="71">
        <f ca="1">IF(E37&lt;'Invoer gegevens'!$C$17+15,0,IF('RW - MW - DE - DE'!E37&gt;'Invoer gegevens'!$C$17+215,0,'RW - MW - DE - DE'!AW37))</f>
        <v>0</v>
      </c>
      <c r="AY37" s="71">
        <f ca="1">AX37/(1+'Invoer gegevens'!$F$13)^($AZ37-('Invoer gegevens'!$C$17-'Invoer gegevens'!$C$16))/(1+'Invoer gegevens'!$C$39)^('Invoer gegevens'!$C$17-'Invoer gegevens'!$C$16)</f>
        <v>0</v>
      </c>
      <c r="AZ37" s="68">
        <f ca="1">IF(E37-'Invoer gegevens'!$C$17-14.5&lt;0,0,E37-'Invoer gegevens'!$C$17-14.5)</f>
        <v>17.5</v>
      </c>
      <c r="BC37" s="71"/>
    </row>
    <row r="38" spans="2:55" customFormat="1" x14ac:dyDescent="0.25">
      <c r="B38" s="70">
        <f t="shared" si="7"/>
        <v>34</v>
      </c>
      <c r="C38" s="67">
        <f ca="1">IF(E38-'Invoer gegevens'!$C$17&lt;0,0,1)</f>
        <v>1</v>
      </c>
      <c r="D38" s="68">
        <f t="shared" si="8"/>
        <v>33.5</v>
      </c>
      <c r="E38" s="69">
        <f ca="1">IF('Invoer gegevens'!$C$16="","",E37+1)</f>
        <v>2052</v>
      </c>
      <c r="F38" s="82">
        <f ca="1">IF('Invoer gegevens'!$C$17=E38,'Invoer gegevens'!$C$10,IF(C38=1,H37,0))</f>
        <v>0</v>
      </c>
      <c r="G38" s="83">
        <f ca="1">IF(C38&gt;=1,F38*Reeksen!C38,0)</f>
        <v>0</v>
      </c>
      <c r="H38" s="84">
        <f t="shared" ca="1" si="1"/>
        <v>0</v>
      </c>
      <c r="I38" s="85">
        <f ca="1">IF('Invoer gegevens'!$C$17=E38,'Invoer gegevens'!$C$11,IF(C38=1,L37,0))</f>
        <v>0</v>
      </c>
      <c r="J38" s="86">
        <f ca="1">IF(C38&lt;1,0,IF(Reeksen!AD38&lt;=Reeksen!AE38,I38*Reeksen!C38,0))</f>
        <v>0</v>
      </c>
      <c r="K38" s="86">
        <f ca="1">IF(C38&lt;1,0,IF(Reeksen!AD38&gt;Reeksen!AE38,I38*Reeksen!C38,0))</f>
        <v>0</v>
      </c>
      <c r="L38" s="86">
        <f t="shared" ca="1" si="2"/>
        <v>0</v>
      </c>
      <c r="M38" s="85">
        <f ca="1">IF('Invoer gegevens'!$C$17=E38,'Invoer gegevens'!$C$10-'Invoer gegevens'!$C$11,IF(C38=1,P37,0))</f>
        <v>0</v>
      </c>
      <c r="N38" s="86">
        <f ca="1">IF(C38&lt;1,0,IF(Reeksen!AD38&lt;=Reeksen!AE38,M38*Reeksen!C38,0))</f>
        <v>0</v>
      </c>
      <c r="O38" s="86">
        <f ca="1">IF(C38&lt;1,0,IF(Reeksen!AD38&gt;Reeksen!AE38,M38*Reeksen!C38,0))</f>
        <v>0</v>
      </c>
      <c r="P38" s="86">
        <f t="shared" ca="1" si="3"/>
        <v>0</v>
      </c>
      <c r="Q38" s="82">
        <f ca="1">IF('Invoer gegevens'!$C$17=E38,I38,IF(C38=0,0,R37))</f>
        <v>0</v>
      </c>
      <c r="R38" s="84">
        <f t="shared" ca="1" si="0"/>
        <v>0</v>
      </c>
      <c r="S38" s="84">
        <f ca="1">IF('Invoer gegevens'!$C$17=E38,M38,IF(C38=0,0,T37))</f>
        <v>0</v>
      </c>
      <c r="T38" s="84">
        <f t="shared" ca="1" si="9"/>
        <v>0</v>
      </c>
      <c r="AI38" s="71">
        <f ca="1">IF(C38=1,((F38+H38)/2*Reeksen!AI38*12)+(('Invoer gegevens'!$C$10-(F38+H38)/2)*Reeksen!AD38*12),0)</f>
        <v>0</v>
      </c>
      <c r="AJ38" s="71">
        <f ca="1">-AI38*'Invoer gegevens'!$F$28</f>
        <v>0</v>
      </c>
      <c r="AK38" s="71">
        <f t="shared" ca="1" si="4"/>
        <v>0</v>
      </c>
      <c r="AL38" s="71">
        <f ca="1">IF(C38=1,(12*((F38+H38)/2)*Reeksen!AL38)+(12*('Invoer gegevens'!$C$10-(F38+H38)/2)*Reeksen!AM38),0)</f>
        <v>0</v>
      </c>
      <c r="AM38" s="71">
        <f ca="1">-AL38*'Invoer gegevens'!$F$31</f>
        <v>0</v>
      </c>
      <c r="AN38" s="71">
        <f t="shared" ca="1" si="5"/>
        <v>0</v>
      </c>
      <c r="AO38" s="71"/>
      <c r="AP38" s="71"/>
      <c r="AQ38" s="71">
        <f ca="1">-IF(C38=1,('Invoer gegevens'!$C$10*'Invoer gegevens'!$F$35)*Reeksen!J38,0)*2</f>
        <v>0</v>
      </c>
      <c r="AR38" s="71">
        <f ca="1">-IF(C38=1,(G38*'Invoer gegevens'!$F$36)*Reeksen!J38,0)</f>
        <v>0</v>
      </c>
      <c r="AS38" s="71">
        <f ca="1">-IF(C38=1,'Invoer gegevens'!$C$10*'Invoer gegevens'!$F$37*Reeksen!L38,0)</f>
        <v>0</v>
      </c>
      <c r="AT38" s="71">
        <f ca="1">-IF(C38=1,IF(E38='Invoer gegevens'!$C$17,'Invoer gegevens'!$C$11,Q38)*Reeksen!S38*'Invoer gegevens'!$C$18*Reeksen!P38,0)</f>
        <v>0</v>
      </c>
      <c r="AU38" s="71">
        <f ca="1">-IF(C38=1,'Invoer gegevens'!$C$10*'Invoer gegevens'!$F$38*Reeksen!H38,0)</f>
        <v>0</v>
      </c>
      <c r="AV38" s="71">
        <f t="shared" si="10"/>
        <v>0</v>
      </c>
      <c r="AW38" s="71">
        <f t="shared" ca="1" si="6"/>
        <v>0</v>
      </c>
      <c r="AX38" s="71">
        <f ca="1">IF(E38&lt;'Invoer gegevens'!$C$17+15,0,IF('RW - MW - DE - DE'!E38&gt;'Invoer gegevens'!$C$17+215,0,'RW - MW - DE - DE'!AW38))</f>
        <v>0</v>
      </c>
      <c r="AY38" s="71">
        <f ca="1">AX38/(1+'Invoer gegevens'!$F$13)^($AZ38-('Invoer gegevens'!$C$17-'Invoer gegevens'!$C$16))/(1+'Invoer gegevens'!$C$39)^('Invoer gegevens'!$C$17-'Invoer gegevens'!$C$16)</f>
        <v>0</v>
      </c>
      <c r="AZ38" s="68">
        <f ca="1">IF(E38-'Invoer gegevens'!$C$17-14.5&lt;0,0,E38-'Invoer gegevens'!$C$17-14.5)</f>
        <v>18.5</v>
      </c>
      <c r="BC38" s="71"/>
    </row>
    <row r="39" spans="2:55" customFormat="1" x14ac:dyDescent="0.25">
      <c r="B39" s="70">
        <f t="shared" si="7"/>
        <v>35</v>
      </c>
      <c r="C39" s="67">
        <f ca="1">IF(E39-'Invoer gegevens'!$C$17&lt;0,0,1)</f>
        <v>1</v>
      </c>
      <c r="D39" s="68">
        <f t="shared" si="8"/>
        <v>34.5</v>
      </c>
      <c r="E39" s="69">
        <f ca="1">IF('Invoer gegevens'!$C$16="","",E38+1)</f>
        <v>2053</v>
      </c>
      <c r="F39" s="82">
        <f ca="1">IF('Invoer gegevens'!$C$17=E39,'Invoer gegevens'!$C$10,IF(C39=1,H38,0))</f>
        <v>0</v>
      </c>
      <c r="G39" s="83">
        <f ca="1">IF(C39&gt;=1,F39*Reeksen!C39,0)</f>
        <v>0</v>
      </c>
      <c r="H39" s="84">
        <f t="shared" ca="1" si="1"/>
        <v>0</v>
      </c>
      <c r="I39" s="85">
        <f ca="1">IF('Invoer gegevens'!$C$17=E39,'Invoer gegevens'!$C$11,IF(C39=1,L38,0))</f>
        <v>0</v>
      </c>
      <c r="J39" s="86">
        <f ca="1">IF(C39&lt;1,0,IF(Reeksen!AD39&lt;=Reeksen!AE39,I39*Reeksen!C39,0))</f>
        <v>0</v>
      </c>
      <c r="K39" s="86">
        <f ca="1">IF(C39&lt;1,0,IF(Reeksen!AD39&gt;Reeksen!AE39,I39*Reeksen!C39,0))</f>
        <v>0</v>
      </c>
      <c r="L39" s="86">
        <f t="shared" ca="1" si="2"/>
        <v>0</v>
      </c>
      <c r="M39" s="85">
        <f ca="1">IF('Invoer gegevens'!$C$17=E39,'Invoer gegevens'!$C$10-'Invoer gegevens'!$C$11,IF(C39=1,P38,0))</f>
        <v>0</v>
      </c>
      <c r="N39" s="86">
        <f ca="1">IF(C39&lt;1,0,IF(Reeksen!AD39&lt;=Reeksen!AE39,M39*Reeksen!C39,0))</f>
        <v>0</v>
      </c>
      <c r="O39" s="86">
        <f ca="1">IF(C39&lt;1,0,IF(Reeksen!AD39&gt;Reeksen!AE39,M39*Reeksen!C39,0))</f>
        <v>0</v>
      </c>
      <c r="P39" s="86">
        <f t="shared" ca="1" si="3"/>
        <v>0</v>
      </c>
      <c r="Q39" s="82">
        <f ca="1">IF('Invoer gegevens'!$C$17=E39,I39,IF(C39=0,0,R38))</f>
        <v>0</v>
      </c>
      <c r="R39" s="84">
        <f t="shared" ca="1" si="0"/>
        <v>0</v>
      </c>
      <c r="S39" s="84">
        <f ca="1">IF('Invoer gegevens'!$C$17=E39,M39,IF(C39=0,0,T38))</f>
        <v>0</v>
      </c>
      <c r="T39" s="84">
        <f t="shared" ca="1" si="9"/>
        <v>0</v>
      </c>
      <c r="AI39" s="71">
        <f ca="1">IF(C39=1,((F39+H39)/2*Reeksen!AI39*12)+(('Invoer gegevens'!$C$10-(F39+H39)/2)*Reeksen!AD39*12),0)</f>
        <v>0</v>
      </c>
      <c r="AJ39" s="71">
        <f ca="1">-AI39*'Invoer gegevens'!$F$28</f>
        <v>0</v>
      </c>
      <c r="AK39" s="71">
        <f t="shared" ca="1" si="4"/>
        <v>0</v>
      </c>
      <c r="AL39" s="71">
        <f ca="1">IF(C39=1,(12*((F39+H39)/2)*Reeksen!AL39)+(12*('Invoer gegevens'!$C$10-(F39+H39)/2)*Reeksen!AM39),0)</f>
        <v>0</v>
      </c>
      <c r="AM39" s="71">
        <f ca="1">-AL39*'Invoer gegevens'!$F$31</f>
        <v>0</v>
      </c>
      <c r="AN39" s="71">
        <f t="shared" ca="1" si="5"/>
        <v>0</v>
      </c>
      <c r="AO39" s="71"/>
      <c r="AP39" s="71"/>
      <c r="AQ39" s="71">
        <f ca="1">-IF(C39=1,('Invoer gegevens'!$C$10*'Invoer gegevens'!$F$35)*Reeksen!J39,0)*2</f>
        <v>0</v>
      </c>
      <c r="AR39" s="71">
        <f ca="1">-IF(C39=1,(G39*'Invoer gegevens'!$F$36)*Reeksen!J39,0)</f>
        <v>0</v>
      </c>
      <c r="AS39" s="71">
        <f ca="1">-IF(C39=1,'Invoer gegevens'!$C$10*'Invoer gegevens'!$F$37*Reeksen!L39,0)</f>
        <v>0</v>
      </c>
      <c r="AT39" s="71">
        <f ca="1">-IF(C39=1,IF(E39='Invoer gegevens'!$C$17,'Invoer gegevens'!$C$11,Q39)*Reeksen!S39*'Invoer gegevens'!$C$18*Reeksen!P39,0)</f>
        <v>0</v>
      </c>
      <c r="AU39" s="71">
        <f ca="1">-IF(C39=1,'Invoer gegevens'!$C$10*'Invoer gegevens'!$F$38*Reeksen!H39,0)</f>
        <v>0</v>
      </c>
      <c r="AV39" s="71">
        <f t="shared" si="10"/>
        <v>0</v>
      </c>
      <c r="AW39" s="71">
        <f t="shared" ca="1" si="6"/>
        <v>0</v>
      </c>
      <c r="AX39" s="71">
        <f ca="1">IF(E39&lt;'Invoer gegevens'!$C$17+15,0,IF('RW - MW - DE - DE'!E39&gt;'Invoer gegevens'!$C$17+215,0,'RW - MW - DE - DE'!AW39))</f>
        <v>0</v>
      </c>
      <c r="AY39" s="71">
        <f ca="1">AX39/(1+'Invoer gegevens'!$F$13)^($AZ39-('Invoer gegevens'!$C$17-'Invoer gegevens'!$C$16))/(1+'Invoer gegevens'!$C$39)^('Invoer gegevens'!$C$17-'Invoer gegevens'!$C$16)</f>
        <v>0</v>
      </c>
      <c r="AZ39" s="68">
        <f ca="1">IF(E39-'Invoer gegevens'!$C$17-14.5&lt;0,0,E39-'Invoer gegevens'!$C$17-14.5)</f>
        <v>19.5</v>
      </c>
      <c r="BC39" s="71"/>
    </row>
    <row r="40" spans="2:55" customFormat="1" x14ac:dyDescent="0.25">
      <c r="B40" s="70">
        <f t="shared" si="7"/>
        <v>36</v>
      </c>
      <c r="C40" s="67">
        <f ca="1">IF(E40-'Invoer gegevens'!$C$17&lt;0,0,1)</f>
        <v>1</v>
      </c>
      <c r="D40" s="68">
        <f t="shared" si="8"/>
        <v>35.5</v>
      </c>
      <c r="E40" s="69">
        <f ca="1">IF('Invoer gegevens'!$C$16="","",E39+1)</f>
        <v>2054</v>
      </c>
      <c r="F40" s="82">
        <f ca="1">IF('Invoer gegevens'!$C$17=E40,'Invoer gegevens'!$C$10,IF(C40=1,H39,0))</f>
        <v>0</v>
      </c>
      <c r="G40" s="83">
        <f ca="1">IF(C40&gt;=1,F40*Reeksen!C40,0)</f>
        <v>0</v>
      </c>
      <c r="H40" s="84">
        <f t="shared" ca="1" si="1"/>
        <v>0</v>
      </c>
      <c r="I40" s="85">
        <f ca="1">IF('Invoer gegevens'!$C$17=E40,'Invoer gegevens'!$C$11,IF(C40=1,L39,0))</f>
        <v>0</v>
      </c>
      <c r="J40" s="86">
        <f ca="1">IF(C40&lt;1,0,IF(Reeksen!AD40&lt;=Reeksen!AE40,I40*Reeksen!C40,0))</f>
        <v>0</v>
      </c>
      <c r="K40" s="86">
        <f ca="1">IF(C40&lt;1,0,IF(Reeksen!AD40&gt;Reeksen!AE40,I40*Reeksen!C40,0))</f>
        <v>0</v>
      </c>
      <c r="L40" s="86">
        <f t="shared" ca="1" si="2"/>
        <v>0</v>
      </c>
      <c r="M40" s="85">
        <f ca="1">IF('Invoer gegevens'!$C$17=E40,'Invoer gegevens'!$C$10-'Invoer gegevens'!$C$11,IF(C40=1,P39,0))</f>
        <v>0</v>
      </c>
      <c r="N40" s="86">
        <f ca="1">IF(C40&lt;1,0,IF(Reeksen!AD40&lt;=Reeksen!AE40,M40*Reeksen!C40,0))</f>
        <v>0</v>
      </c>
      <c r="O40" s="86">
        <f ca="1">IF(C40&lt;1,0,IF(Reeksen!AD40&gt;Reeksen!AE40,M40*Reeksen!C40,0))</f>
        <v>0</v>
      </c>
      <c r="P40" s="86">
        <f t="shared" ca="1" si="3"/>
        <v>0</v>
      </c>
      <c r="Q40" s="82">
        <f ca="1">IF('Invoer gegevens'!$C$17=E40,I40,IF(C40=0,0,R39))</f>
        <v>0</v>
      </c>
      <c r="R40" s="84">
        <f t="shared" ca="1" si="0"/>
        <v>0</v>
      </c>
      <c r="S40" s="84">
        <f ca="1">IF('Invoer gegevens'!$C$17=E40,M40,IF(C40=0,0,T39))</f>
        <v>0</v>
      </c>
      <c r="T40" s="84">
        <f t="shared" ca="1" si="9"/>
        <v>0</v>
      </c>
      <c r="AI40" s="71">
        <f ca="1">IF(C40=1,((F40+H40)/2*Reeksen!AI40*12)+(('Invoer gegevens'!$C$10-(F40+H40)/2)*Reeksen!AD40*12),0)</f>
        <v>0</v>
      </c>
      <c r="AJ40" s="71">
        <f ca="1">-AI40*'Invoer gegevens'!$F$28</f>
        <v>0</v>
      </c>
      <c r="AK40" s="71">
        <f t="shared" ca="1" si="4"/>
        <v>0</v>
      </c>
      <c r="AL40" s="71">
        <f ca="1">IF(C40=1,(12*((F40+H40)/2)*Reeksen!AL40)+(12*('Invoer gegevens'!$C$10-(F40+H40)/2)*Reeksen!AM40),0)</f>
        <v>0</v>
      </c>
      <c r="AM40" s="71">
        <f ca="1">-AL40*'Invoer gegevens'!$F$31</f>
        <v>0</v>
      </c>
      <c r="AN40" s="71">
        <f t="shared" ca="1" si="5"/>
        <v>0</v>
      </c>
      <c r="AO40" s="71"/>
      <c r="AP40" s="71"/>
      <c r="AQ40" s="71">
        <f ca="1">-IF(C40=1,('Invoer gegevens'!$C$10*'Invoer gegevens'!$F$35)*Reeksen!J40,0)*2</f>
        <v>0</v>
      </c>
      <c r="AR40" s="71">
        <f ca="1">-IF(C40=1,(G40*'Invoer gegevens'!$F$36)*Reeksen!J40,0)</f>
        <v>0</v>
      </c>
      <c r="AS40" s="71">
        <f ca="1">-IF(C40=1,'Invoer gegevens'!$C$10*'Invoer gegevens'!$F$37*Reeksen!L40,0)</f>
        <v>0</v>
      </c>
      <c r="AT40" s="71">
        <f ca="1">-IF(C40=1,IF(E40='Invoer gegevens'!$C$17,'Invoer gegevens'!$C$11,Q40)*Reeksen!S40*'Invoer gegevens'!$C$18*Reeksen!P40,0)</f>
        <v>0</v>
      </c>
      <c r="AU40" s="71">
        <f ca="1">-IF(C40=1,'Invoer gegevens'!$C$10*'Invoer gegevens'!$F$38*Reeksen!H40,0)</f>
        <v>0</v>
      </c>
      <c r="AV40" s="71">
        <f t="shared" si="10"/>
        <v>0</v>
      </c>
      <c r="AW40" s="71">
        <f t="shared" ca="1" si="6"/>
        <v>0</v>
      </c>
      <c r="AX40" s="71">
        <f ca="1">IF(E40&lt;'Invoer gegevens'!$C$17+15,0,IF('RW - MW - DE - DE'!E40&gt;'Invoer gegevens'!$C$17+215,0,'RW - MW - DE - DE'!AW40))</f>
        <v>0</v>
      </c>
      <c r="AY40" s="71">
        <f ca="1">AX40/(1+'Invoer gegevens'!$F$13)^($AZ40-('Invoer gegevens'!$C$17-'Invoer gegevens'!$C$16))/(1+'Invoer gegevens'!$C$39)^('Invoer gegevens'!$C$17-'Invoer gegevens'!$C$16)</f>
        <v>0</v>
      </c>
      <c r="AZ40" s="68">
        <f ca="1">IF(E40-'Invoer gegevens'!$C$17-14.5&lt;0,0,E40-'Invoer gegevens'!$C$17-14.5)</f>
        <v>20.5</v>
      </c>
      <c r="BC40" s="71"/>
    </row>
    <row r="41" spans="2:55" customFormat="1" x14ac:dyDescent="0.25">
      <c r="B41" s="70">
        <f t="shared" si="7"/>
        <v>37</v>
      </c>
      <c r="C41" s="67">
        <f ca="1">IF(E41-'Invoer gegevens'!$C$17&lt;0,0,1)</f>
        <v>1</v>
      </c>
      <c r="D41" s="68">
        <f t="shared" si="8"/>
        <v>36.5</v>
      </c>
      <c r="E41" s="69">
        <f ca="1">IF('Invoer gegevens'!$C$16="","",E40+1)</f>
        <v>2055</v>
      </c>
      <c r="F41" s="82">
        <f ca="1">IF('Invoer gegevens'!$C$17=E41,'Invoer gegevens'!$C$10,IF(C41=1,H40,0))</f>
        <v>0</v>
      </c>
      <c r="G41" s="83">
        <f ca="1">IF(C41&gt;=1,F41*Reeksen!C41,0)</f>
        <v>0</v>
      </c>
      <c r="H41" s="84">
        <f t="shared" ca="1" si="1"/>
        <v>0</v>
      </c>
      <c r="I41" s="85">
        <f ca="1">IF('Invoer gegevens'!$C$17=E41,'Invoer gegevens'!$C$11,IF(C41=1,L40,0))</f>
        <v>0</v>
      </c>
      <c r="J41" s="86">
        <f ca="1">IF(C41&lt;1,0,IF(Reeksen!AD41&lt;=Reeksen!AE41,I41*Reeksen!C41,0))</f>
        <v>0</v>
      </c>
      <c r="K41" s="86">
        <f ca="1">IF(C41&lt;1,0,IF(Reeksen!AD41&gt;Reeksen!AE41,I41*Reeksen!C41,0))</f>
        <v>0</v>
      </c>
      <c r="L41" s="86">
        <f t="shared" ca="1" si="2"/>
        <v>0</v>
      </c>
      <c r="M41" s="85">
        <f ca="1">IF('Invoer gegevens'!$C$17=E41,'Invoer gegevens'!$C$10-'Invoer gegevens'!$C$11,IF(C41=1,P40,0))</f>
        <v>0</v>
      </c>
      <c r="N41" s="86">
        <f ca="1">IF(C41&lt;1,0,IF(Reeksen!AD41&lt;=Reeksen!AE41,M41*Reeksen!C41,0))</f>
        <v>0</v>
      </c>
      <c r="O41" s="86">
        <f ca="1">IF(C41&lt;1,0,IF(Reeksen!AD41&gt;Reeksen!AE41,M41*Reeksen!C41,0))</f>
        <v>0</v>
      </c>
      <c r="P41" s="86">
        <f t="shared" ca="1" si="3"/>
        <v>0</v>
      </c>
      <c r="Q41" s="82">
        <f ca="1">IF('Invoer gegevens'!$C$17=E41,I41,IF(C41=0,0,R40))</f>
        <v>0</v>
      </c>
      <c r="R41" s="84">
        <f t="shared" ca="1" si="0"/>
        <v>0</v>
      </c>
      <c r="S41" s="84">
        <f ca="1">IF('Invoer gegevens'!$C$17=E41,M41,IF(C41=0,0,T40))</f>
        <v>0</v>
      </c>
      <c r="T41" s="84">
        <f t="shared" ca="1" si="9"/>
        <v>0</v>
      </c>
      <c r="AI41" s="71">
        <f ca="1">IF(C41=1,((F41+H41)/2*Reeksen!AI41*12)+(('Invoer gegevens'!$C$10-(F41+H41)/2)*Reeksen!AD41*12),0)</f>
        <v>0</v>
      </c>
      <c r="AJ41" s="71">
        <f ca="1">-AI41*'Invoer gegevens'!$F$28</f>
        <v>0</v>
      </c>
      <c r="AK41" s="71">
        <f t="shared" ca="1" si="4"/>
        <v>0</v>
      </c>
      <c r="AL41" s="71">
        <f ca="1">IF(C41=1,(12*((F41+H41)/2)*Reeksen!AL41)+(12*('Invoer gegevens'!$C$10-(F41+H41)/2)*Reeksen!AM41),0)</f>
        <v>0</v>
      </c>
      <c r="AM41" s="71">
        <f ca="1">-AL41*'Invoer gegevens'!$F$31</f>
        <v>0</v>
      </c>
      <c r="AN41" s="71">
        <f t="shared" ca="1" si="5"/>
        <v>0</v>
      </c>
      <c r="AO41" s="71"/>
      <c r="AP41" s="71"/>
      <c r="AQ41" s="71">
        <f ca="1">-IF(C41=1,('Invoer gegevens'!$C$10*'Invoer gegevens'!$F$35)*Reeksen!J41,0)*2</f>
        <v>0</v>
      </c>
      <c r="AR41" s="71">
        <f ca="1">-IF(C41=1,(G41*'Invoer gegevens'!$F$36)*Reeksen!J41,0)</f>
        <v>0</v>
      </c>
      <c r="AS41" s="71">
        <f ca="1">-IF(C41=1,'Invoer gegevens'!$C$10*'Invoer gegevens'!$F$37*Reeksen!L41,0)</f>
        <v>0</v>
      </c>
      <c r="AT41" s="71">
        <f ca="1">-IF(C41=1,IF(E41='Invoer gegevens'!$C$17,'Invoer gegevens'!$C$11,Q41)*Reeksen!S41*'Invoer gegevens'!$C$18*Reeksen!P41,0)</f>
        <v>0</v>
      </c>
      <c r="AU41" s="71">
        <f ca="1">-IF(C41=1,'Invoer gegevens'!$C$10*'Invoer gegevens'!$F$38*Reeksen!H41,0)</f>
        <v>0</v>
      </c>
      <c r="AV41" s="71">
        <f t="shared" si="10"/>
        <v>0</v>
      </c>
      <c r="AW41" s="71">
        <f t="shared" ca="1" si="6"/>
        <v>0</v>
      </c>
      <c r="AX41" s="71">
        <f ca="1">IF(E41&lt;'Invoer gegevens'!$C$17+15,0,IF('RW - MW - DE - DE'!E41&gt;'Invoer gegevens'!$C$17+215,0,'RW - MW - DE - DE'!AW41))</f>
        <v>0</v>
      </c>
      <c r="AY41" s="71">
        <f ca="1">AX41/(1+'Invoer gegevens'!$F$13)^($AZ41-('Invoer gegevens'!$C$17-'Invoer gegevens'!$C$16))/(1+'Invoer gegevens'!$C$39)^('Invoer gegevens'!$C$17-'Invoer gegevens'!$C$16)</f>
        <v>0</v>
      </c>
      <c r="AZ41" s="68">
        <f ca="1">IF(E41-'Invoer gegevens'!$C$17-14.5&lt;0,0,E41-'Invoer gegevens'!$C$17-14.5)</f>
        <v>21.5</v>
      </c>
      <c r="BC41" s="71"/>
    </row>
    <row r="42" spans="2:55" customFormat="1" x14ac:dyDescent="0.25">
      <c r="B42" s="70">
        <f t="shared" si="7"/>
        <v>38</v>
      </c>
      <c r="C42" s="67">
        <f ca="1">IF(E42-'Invoer gegevens'!$C$17&lt;0,0,1)</f>
        <v>1</v>
      </c>
      <c r="D42" s="68">
        <f t="shared" si="8"/>
        <v>37.5</v>
      </c>
      <c r="E42" s="69">
        <f ca="1">IF('Invoer gegevens'!$C$16="","",E41+1)</f>
        <v>2056</v>
      </c>
      <c r="F42" s="82">
        <f ca="1">IF('Invoer gegevens'!$C$17=E42,'Invoer gegevens'!$C$10,IF(C42=1,H41,0))</f>
        <v>0</v>
      </c>
      <c r="G42" s="83">
        <f ca="1">IF(C42&gt;=1,F42*Reeksen!C42,0)</f>
        <v>0</v>
      </c>
      <c r="H42" s="84">
        <f t="shared" ca="1" si="1"/>
        <v>0</v>
      </c>
      <c r="I42" s="85">
        <f ca="1">IF('Invoer gegevens'!$C$17=E42,'Invoer gegevens'!$C$11,IF(C42=1,L41,0))</f>
        <v>0</v>
      </c>
      <c r="J42" s="86">
        <f ca="1">IF(C42&lt;1,0,IF(Reeksen!AD42&lt;=Reeksen!AE42,I42*Reeksen!C42,0))</f>
        <v>0</v>
      </c>
      <c r="K42" s="86">
        <f ca="1">IF(C42&lt;1,0,IF(Reeksen!AD42&gt;Reeksen!AE42,I42*Reeksen!C42,0))</f>
        <v>0</v>
      </c>
      <c r="L42" s="86">
        <f t="shared" ca="1" si="2"/>
        <v>0</v>
      </c>
      <c r="M42" s="85">
        <f ca="1">IF('Invoer gegevens'!$C$17=E42,'Invoer gegevens'!$C$10-'Invoer gegevens'!$C$11,IF(C42=1,P41,0))</f>
        <v>0</v>
      </c>
      <c r="N42" s="86">
        <f ca="1">IF(C42&lt;1,0,IF(Reeksen!AD42&lt;=Reeksen!AE42,M42*Reeksen!C42,0))</f>
        <v>0</v>
      </c>
      <c r="O42" s="86">
        <f ca="1">IF(C42&lt;1,0,IF(Reeksen!AD42&gt;Reeksen!AE42,M42*Reeksen!C42,0))</f>
        <v>0</v>
      </c>
      <c r="P42" s="86">
        <f t="shared" ca="1" si="3"/>
        <v>0</v>
      </c>
      <c r="Q42" s="82">
        <f ca="1">IF('Invoer gegevens'!$C$17=E42,I42,IF(C42=0,0,R41))</f>
        <v>0</v>
      </c>
      <c r="R42" s="84">
        <f t="shared" ca="1" si="0"/>
        <v>0</v>
      </c>
      <c r="S42" s="84">
        <f ca="1">IF('Invoer gegevens'!$C$17=E42,M42,IF(C42=0,0,T41))</f>
        <v>0</v>
      </c>
      <c r="T42" s="84">
        <f t="shared" ca="1" si="9"/>
        <v>0</v>
      </c>
      <c r="AI42" s="71">
        <f ca="1">IF(C42=1,((F42+H42)/2*Reeksen!AI42*12)+(('Invoer gegevens'!$C$10-(F42+H42)/2)*Reeksen!AD42*12),0)</f>
        <v>0</v>
      </c>
      <c r="AJ42" s="71">
        <f ca="1">-AI42*'Invoer gegevens'!$F$28</f>
        <v>0</v>
      </c>
      <c r="AK42" s="71">
        <f t="shared" ca="1" si="4"/>
        <v>0</v>
      </c>
      <c r="AL42" s="71">
        <f ca="1">IF(C42=1,(12*((F42+H42)/2)*Reeksen!AL42)+(12*('Invoer gegevens'!$C$10-(F42+H42)/2)*Reeksen!AM42),0)</f>
        <v>0</v>
      </c>
      <c r="AM42" s="71">
        <f ca="1">-AL42*'Invoer gegevens'!$F$31</f>
        <v>0</v>
      </c>
      <c r="AN42" s="71">
        <f t="shared" ca="1" si="5"/>
        <v>0</v>
      </c>
      <c r="AO42" s="71"/>
      <c r="AP42" s="71"/>
      <c r="AQ42" s="71">
        <f ca="1">-IF(C42=1,('Invoer gegevens'!$C$10*'Invoer gegevens'!$F$35)*Reeksen!J42,0)*2</f>
        <v>0</v>
      </c>
      <c r="AR42" s="71">
        <f ca="1">-IF(C42=1,(G42*'Invoer gegevens'!$F$36)*Reeksen!J42,0)</f>
        <v>0</v>
      </c>
      <c r="AS42" s="71">
        <f ca="1">-IF(C42=1,'Invoer gegevens'!$C$10*'Invoer gegevens'!$F$37*Reeksen!L42,0)</f>
        <v>0</v>
      </c>
      <c r="AT42" s="71">
        <f ca="1">-IF(C42=1,IF(E42='Invoer gegevens'!$C$17,'Invoer gegevens'!$C$11,Q42)*Reeksen!S42*'Invoer gegevens'!$C$18*Reeksen!P42,0)</f>
        <v>0</v>
      </c>
      <c r="AU42" s="71">
        <f ca="1">-IF(C42=1,'Invoer gegevens'!$C$10*'Invoer gegevens'!$F$38*Reeksen!H42,0)</f>
        <v>0</v>
      </c>
      <c r="AV42" s="71">
        <f t="shared" si="10"/>
        <v>0</v>
      </c>
      <c r="AW42" s="71">
        <f t="shared" ca="1" si="6"/>
        <v>0</v>
      </c>
      <c r="AX42" s="71">
        <f ca="1">IF(E42&lt;'Invoer gegevens'!$C$17+15,0,IF('RW - MW - DE - DE'!E42&gt;'Invoer gegevens'!$C$17+215,0,'RW - MW - DE - DE'!AW42))</f>
        <v>0</v>
      </c>
      <c r="AY42" s="71">
        <f ca="1">AX42/(1+'Invoer gegevens'!$F$13)^($AZ42-('Invoer gegevens'!$C$17-'Invoer gegevens'!$C$16))/(1+'Invoer gegevens'!$C$39)^('Invoer gegevens'!$C$17-'Invoer gegevens'!$C$16)</f>
        <v>0</v>
      </c>
      <c r="AZ42" s="68">
        <f ca="1">IF(E42-'Invoer gegevens'!$C$17-14.5&lt;0,0,E42-'Invoer gegevens'!$C$17-14.5)</f>
        <v>22.5</v>
      </c>
      <c r="BC42" s="71"/>
    </row>
    <row r="43" spans="2:55" customFormat="1" x14ac:dyDescent="0.25">
      <c r="B43" s="70">
        <f t="shared" si="7"/>
        <v>39</v>
      </c>
      <c r="C43" s="67">
        <f ca="1">IF(E43-'Invoer gegevens'!$C$17&lt;0,0,1)</f>
        <v>1</v>
      </c>
      <c r="D43" s="68">
        <f t="shared" si="8"/>
        <v>38.5</v>
      </c>
      <c r="E43" s="69">
        <f ca="1">IF('Invoer gegevens'!$C$16="","",E42+1)</f>
        <v>2057</v>
      </c>
      <c r="F43" s="82">
        <f ca="1">IF('Invoer gegevens'!$C$17=E43,'Invoer gegevens'!$C$10,IF(C43=1,H42,0))</f>
        <v>0</v>
      </c>
      <c r="G43" s="83">
        <f ca="1">IF(C43&gt;=1,F43*Reeksen!C43,0)</f>
        <v>0</v>
      </c>
      <c r="H43" s="84">
        <f t="shared" ca="1" si="1"/>
        <v>0</v>
      </c>
      <c r="I43" s="85">
        <f ca="1">IF('Invoer gegevens'!$C$17=E43,'Invoer gegevens'!$C$11,IF(C43=1,L42,0))</f>
        <v>0</v>
      </c>
      <c r="J43" s="86">
        <f ca="1">IF(C43&lt;1,0,IF(Reeksen!AD43&lt;=Reeksen!AE43,I43*Reeksen!C43,0))</f>
        <v>0</v>
      </c>
      <c r="K43" s="86">
        <f ca="1">IF(C43&lt;1,0,IF(Reeksen!AD43&gt;Reeksen!AE43,I43*Reeksen!C43,0))</f>
        <v>0</v>
      </c>
      <c r="L43" s="86">
        <f t="shared" ca="1" si="2"/>
        <v>0</v>
      </c>
      <c r="M43" s="85">
        <f ca="1">IF('Invoer gegevens'!$C$17=E43,'Invoer gegevens'!$C$10-'Invoer gegevens'!$C$11,IF(C43=1,P42,0))</f>
        <v>0</v>
      </c>
      <c r="N43" s="86">
        <f ca="1">IF(C43&lt;1,0,IF(Reeksen!AD43&lt;=Reeksen!AE43,M43*Reeksen!C43,0))</f>
        <v>0</v>
      </c>
      <c r="O43" s="86">
        <f ca="1">IF(C43&lt;1,0,IF(Reeksen!AD43&gt;Reeksen!AE43,M43*Reeksen!C43,0))</f>
        <v>0</v>
      </c>
      <c r="P43" s="86">
        <f t="shared" ca="1" si="3"/>
        <v>0</v>
      </c>
      <c r="Q43" s="82">
        <f ca="1">IF('Invoer gegevens'!$C$17=E43,I43,IF(C43=0,0,R42))</f>
        <v>0</v>
      </c>
      <c r="R43" s="84">
        <f t="shared" ca="1" si="0"/>
        <v>0</v>
      </c>
      <c r="S43" s="84">
        <f ca="1">IF('Invoer gegevens'!$C$17=E43,M43,IF(C43=0,0,T42))</f>
        <v>0</v>
      </c>
      <c r="T43" s="84">
        <f t="shared" ca="1" si="9"/>
        <v>0</v>
      </c>
      <c r="AI43" s="71">
        <f ca="1">IF(C43=1,((F43+H43)/2*Reeksen!AI43*12)+(('Invoer gegevens'!$C$10-(F43+H43)/2)*Reeksen!AD43*12),0)</f>
        <v>0</v>
      </c>
      <c r="AJ43" s="71">
        <f ca="1">-AI43*'Invoer gegevens'!$F$28</f>
        <v>0</v>
      </c>
      <c r="AK43" s="71">
        <f t="shared" ca="1" si="4"/>
        <v>0</v>
      </c>
      <c r="AL43" s="71">
        <f ca="1">IF(C43=1,(12*((F43+H43)/2)*Reeksen!AL43)+(12*('Invoer gegevens'!$C$10-(F43+H43)/2)*Reeksen!AM43),0)</f>
        <v>0</v>
      </c>
      <c r="AM43" s="71">
        <f ca="1">-AL43*'Invoer gegevens'!$F$31</f>
        <v>0</v>
      </c>
      <c r="AN43" s="71">
        <f t="shared" ca="1" si="5"/>
        <v>0</v>
      </c>
      <c r="AO43" s="71"/>
      <c r="AP43" s="71"/>
      <c r="AQ43" s="71">
        <f ca="1">-IF(C43=1,('Invoer gegevens'!$C$10*'Invoer gegevens'!$F$35)*Reeksen!J43,0)*2</f>
        <v>0</v>
      </c>
      <c r="AR43" s="71">
        <f ca="1">-IF(C43=1,(G43*'Invoer gegevens'!$F$36)*Reeksen!J43,0)</f>
        <v>0</v>
      </c>
      <c r="AS43" s="71">
        <f ca="1">-IF(C43=1,'Invoer gegevens'!$C$10*'Invoer gegevens'!$F$37*Reeksen!L43,0)</f>
        <v>0</v>
      </c>
      <c r="AT43" s="71">
        <f ca="1">-IF(C43=1,IF(E43='Invoer gegevens'!$C$17,'Invoer gegevens'!$C$11,Q43)*Reeksen!S43*'Invoer gegevens'!$C$18*Reeksen!P43,0)</f>
        <v>0</v>
      </c>
      <c r="AU43" s="71">
        <f ca="1">-IF(C43=1,'Invoer gegevens'!$C$10*'Invoer gegevens'!$F$38*Reeksen!H43,0)</f>
        <v>0</v>
      </c>
      <c r="AV43" s="71">
        <f t="shared" si="10"/>
        <v>0</v>
      </c>
      <c r="AW43" s="71">
        <f t="shared" ca="1" si="6"/>
        <v>0</v>
      </c>
      <c r="AX43" s="71">
        <f ca="1">IF(E43&lt;'Invoer gegevens'!$C$17+15,0,IF('RW - MW - DE - DE'!E43&gt;'Invoer gegevens'!$C$17+215,0,'RW - MW - DE - DE'!AW43))</f>
        <v>0</v>
      </c>
      <c r="AY43" s="71">
        <f ca="1">AX43/(1+'Invoer gegevens'!$F$13)^($AZ43-('Invoer gegevens'!$C$17-'Invoer gegevens'!$C$16))/(1+'Invoer gegevens'!$C$39)^('Invoer gegevens'!$C$17-'Invoer gegevens'!$C$16)</f>
        <v>0</v>
      </c>
      <c r="AZ43" s="68">
        <f ca="1">IF(E43-'Invoer gegevens'!$C$17-14.5&lt;0,0,E43-'Invoer gegevens'!$C$17-14.5)</f>
        <v>23.5</v>
      </c>
      <c r="BC43" s="71"/>
    </row>
    <row r="44" spans="2:55" customFormat="1" x14ac:dyDescent="0.25">
      <c r="B44" s="70">
        <f t="shared" si="7"/>
        <v>40</v>
      </c>
      <c r="C44" s="67">
        <f ca="1">IF(E44-'Invoer gegevens'!$C$17&lt;0,0,1)</f>
        <v>1</v>
      </c>
      <c r="D44" s="68">
        <f t="shared" si="8"/>
        <v>39.5</v>
      </c>
      <c r="E44" s="69">
        <f ca="1">IF('Invoer gegevens'!$C$16="","",E43+1)</f>
        <v>2058</v>
      </c>
      <c r="F44" s="82">
        <f ca="1">IF('Invoer gegevens'!$C$17=E44,'Invoer gegevens'!$C$10,IF(C44=1,H43,0))</f>
        <v>0</v>
      </c>
      <c r="G44" s="83">
        <f ca="1">IF(C44&gt;=1,F44*Reeksen!C44,0)</f>
        <v>0</v>
      </c>
      <c r="H44" s="84">
        <f t="shared" ca="1" si="1"/>
        <v>0</v>
      </c>
      <c r="I44" s="85">
        <f ca="1">IF('Invoer gegevens'!$C$17=E44,'Invoer gegevens'!$C$11,IF(C44=1,L43,0))</f>
        <v>0</v>
      </c>
      <c r="J44" s="86">
        <f ca="1">IF(C44&lt;1,0,IF(Reeksen!AD44&lt;=Reeksen!AE44,I44*Reeksen!C44,0))</f>
        <v>0</v>
      </c>
      <c r="K44" s="86">
        <f ca="1">IF(C44&lt;1,0,IF(Reeksen!AD44&gt;Reeksen!AE44,I44*Reeksen!C44,0))</f>
        <v>0</v>
      </c>
      <c r="L44" s="86">
        <f t="shared" ca="1" si="2"/>
        <v>0</v>
      </c>
      <c r="M44" s="85">
        <f ca="1">IF('Invoer gegevens'!$C$17=E44,'Invoer gegevens'!$C$10-'Invoer gegevens'!$C$11,IF(C44=1,P43,0))</f>
        <v>0</v>
      </c>
      <c r="N44" s="86">
        <f ca="1">IF(C44&lt;1,0,IF(Reeksen!AD44&lt;=Reeksen!AE44,M44*Reeksen!C44,0))</f>
        <v>0</v>
      </c>
      <c r="O44" s="86">
        <f ca="1">IF(C44&lt;1,0,IF(Reeksen!AD44&gt;Reeksen!AE44,M44*Reeksen!C44,0))</f>
        <v>0</v>
      </c>
      <c r="P44" s="86">
        <f t="shared" ca="1" si="3"/>
        <v>0</v>
      </c>
      <c r="Q44" s="82">
        <f ca="1">IF('Invoer gegevens'!$C$17=E44,I44,IF(C44=0,0,R43))</f>
        <v>0</v>
      </c>
      <c r="R44" s="84">
        <f t="shared" ca="1" si="0"/>
        <v>0</v>
      </c>
      <c r="S44" s="84">
        <f ca="1">IF('Invoer gegevens'!$C$17=E44,M44,IF(C44=0,0,T43))</f>
        <v>0</v>
      </c>
      <c r="T44" s="84">
        <f t="shared" ca="1" si="9"/>
        <v>0</v>
      </c>
      <c r="AI44" s="71">
        <f ca="1">IF(C44=1,((F44+H44)/2*Reeksen!AI44*12)+(('Invoer gegevens'!$C$10-(F44+H44)/2)*Reeksen!AD44*12),0)</f>
        <v>0</v>
      </c>
      <c r="AJ44" s="71">
        <f ca="1">-AI44*'Invoer gegevens'!$F$28</f>
        <v>0</v>
      </c>
      <c r="AK44" s="71">
        <f t="shared" ca="1" si="4"/>
        <v>0</v>
      </c>
      <c r="AL44" s="71">
        <f ca="1">IF(C44=1,(12*((F44+H44)/2)*Reeksen!AL44)+(12*('Invoer gegevens'!$C$10-(F44+H44)/2)*Reeksen!AM44),0)</f>
        <v>0</v>
      </c>
      <c r="AM44" s="71">
        <f ca="1">-AL44*'Invoer gegevens'!$F$31</f>
        <v>0</v>
      </c>
      <c r="AN44" s="71">
        <f t="shared" ca="1" si="5"/>
        <v>0</v>
      </c>
      <c r="AO44" s="71"/>
      <c r="AP44" s="71"/>
      <c r="AQ44" s="71">
        <f ca="1">-IF(C44=1,('Invoer gegevens'!$C$10*'Invoer gegevens'!$F$35)*Reeksen!J44,0)*2</f>
        <v>0</v>
      </c>
      <c r="AR44" s="71">
        <f ca="1">-IF(C44=1,(G44*'Invoer gegevens'!$F$36)*Reeksen!J44,0)</f>
        <v>0</v>
      </c>
      <c r="AS44" s="71">
        <f ca="1">-IF(C44=1,'Invoer gegevens'!$C$10*'Invoer gegevens'!$F$37*Reeksen!L44,0)</f>
        <v>0</v>
      </c>
      <c r="AT44" s="71">
        <f ca="1">-IF(C44=1,IF(E44='Invoer gegevens'!$C$17,'Invoer gegevens'!$C$11,Q44)*Reeksen!S44*'Invoer gegevens'!$C$18*Reeksen!P44,0)</f>
        <v>0</v>
      </c>
      <c r="AU44" s="71">
        <f ca="1">-IF(C44=1,'Invoer gegevens'!$C$10*'Invoer gegevens'!$F$38*Reeksen!H44,0)</f>
        <v>0</v>
      </c>
      <c r="AV44" s="71">
        <f t="shared" si="10"/>
        <v>0</v>
      </c>
      <c r="AW44" s="71">
        <f t="shared" ca="1" si="6"/>
        <v>0</v>
      </c>
      <c r="AX44" s="71">
        <f ca="1">IF(E44&lt;'Invoer gegevens'!$C$17+15,0,IF('RW - MW - DE - DE'!E44&gt;'Invoer gegevens'!$C$17+215,0,'RW - MW - DE - DE'!AW44))</f>
        <v>0</v>
      </c>
      <c r="AY44" s="71">
        <f ca="1">AX44/(1+'Invoer gegevens'!$F$13)^($AZ44-('Invoer gegevens'!$C$17-'Invoer gegevens'!$C$16))/(1+'Invoer gegevens'!$C$39)^('Invoer gegevens'!$C$17-'Invoer gegevens'!$C$16)</f>
        <v>0</v>
      </c>
      <c r="AZ44" s="68">
        <f ca="1">IF(E44-'Invoer gegevens'!$C$17-14.5&lt;0,0,E44-'Invoer gegevens'!$C$17-14.5)</f>
        <v>24.5</v>
      </c>
      <c r="BC44" s="71"/>
    </row>
    <row r="45" spans="2:55" customFormat="1" x14ac:dyDescent="0.25">
      <c r="B45" s="70">
        <f t="shared" si="7"/>
        <v>41</v>
      </c>
      <c r="C45" s="67">
        <f ca="1">IF(E45-'Invoer gegevens'!$C$17&lt;0,0,1)</f>
        <v>1</v>
      </c>
      <c r="D45" s="68">
        <f t="shared" si="8"/>
        <v>40.5</v>
      </c>
      <c r="E45" s="69">
        <f ca="1">IF('Invoer gegevens'!$C$16="","",E44+1)</f>
        <v>2059</v>
      </c>
      <c r="F45" s="82">
        <f ca="1">IF('Invoer gegevens'!$C$17=E45,'Invoer gegevens'!$C$10,IF(C45=1,H44,0))</f>
        <v>0</v>
      </c>
      <c r="G45" s="83">
        <f ca="1">IF(C45&gt;=1,F45*Reeksen!C45,0)</f>
        <v>0</v>
      </c>
      <c r="H45" s="84">
        <f t="shared" ca="1" si="1"/>
        <v>0</v>
      </c>
      <c r="I45" s="85">
        <f ca="1">IF('Invoer gegevens'!$C$17=E45,'Invoer gegevens'!$C$11,IF(C45=1,L44,0))</f>
        <v>0</v>
      </c>
      <c r="J45" s="86">
        <f ca="1">IF(C45&lt;1,0,IF(Reeksen!AD45&lt;=Reeksen!AE45,I45*Reeksen!C45,0))</f>
        <v>0</v>
      </c>
      <c r="K45" s="86">
        <f ca="1">IF(C45&lt;1,0,IF(Reeksen!AD45&gt;Reeksen!AE45,I45*Reeksen!C45,0))</f>
        <v>0</v>
      </c>
      <c r="L45" s="86">
        <f t="shared" ca="1" si="2"/>
        <v>0</v>
      </c>
      <c r="M45" s="85">
        <f ca="1">IF('Invoer gegevens'!$C$17=E45,'Invoer gegevens'!$C$10-'Invoer gegevens'!$C$11,IF(C45=1,P44,0))</f>
        <v>0</v>
      </c>
      <c r="N45" s="86">
        <f ca="1">IF(C45&lt;1,0,IF(Reeksen!AD45&lt;=Reeksen!AE45,M45*Reeksen!C45,0))</f>
        <v>0</v>
      </c>
      <c r="O45" s="86">
        <f ca="1">IF(C45&lt;1,0,IF(Reeksen!AD45&gt;Reeksen!AE45,M45*Reeksen!C45,0))</f>
        <v>0</v>
      </c>
      <c r="P45" s="86">
        <f t="shared" ca="1" si="3"/>
        <v>0</v>
      </c>
      <c r="Q45" s="82">
        <f ca="1">IF('Invoer gegevens'!$C$17=E45,I45,IF(C45=0,0,R44))</f>
        <v>0</v>
      </c>
      <c r="R45" s="84">
        <f t="shared" ca="1" si="0"/>
        <v>0</v>
      </c>
      <c r="S45" s="84">
        <f ca="1">IF('Invoer gegevens'!$C$17=E45,M45,IF(C45=0,0,T44))</f>
        <v>0</v>
      </c>
      <c r="T45" s="84">
        <f t="shared" ca="1" si="9"/>
        <v>0</v>
      </c>
      <c r="AI45" s="71">
        <f ca="1">IF(C45=1,((F45+H45)/2*Reeksen!AI45*12)+(('Invoer gegevens'!$C$10-(F45+H45)/2)*Reeksen!AD45*12),0)</f>
        <v>0</v>
      </c>
      <c r="AJ45" s="71">
        <f ca="1">-AI45*'Invoer gegevens'!$F$28</f>
        <v>0</v>
      </c>
      <c r="AK45" s="71">
        <f t="shared" ca="1" si="4"/>
        <v>0</v>
      </c>
      <c r="AL45" s="71">
        <f ca="1">IF(C45=1,(12*((F45+H45)/2)*Reeksen!AL45)+(12*('Invoer gegevens'!$C$10-(F45+H45)/2)*Reeksen!AM45),0)</f>
        <v>0</v>
      </c>
      <c r="AM45" s="71">
        <f ca="1">-AL45*'Invoer gegevens'!$F$31</f>
        <v>0</v>
      </c>
      <c r="AN45" s="71">
        <f t="shared" ca="1" si="5"/>
        <v>0</v>
      </c>
      <c r="AO45" s="71"/>
      <c r="AP45" s="71"/>
      <c r="AQ45" s="71">
        <f ca="1">-IF(C45=1,('Invoer gegevens'!$C$10*'Invoer gegevens'!$F$35)*Reeksen!J45,0)*2</f>
        <v>0</v>
      </c>
      <c r="AR45" s="71">
        <f ca="1">-IF(C45=1,(G45*'Invoer gegevens'!$F$36)*Reeksen!J45,0)</f>
        <v>0</v>
      </c>
      <c r="AS45" s="71">
        <f ca="1">-IF(C45=1,'Invoer gegevens'!$C$10*'Invoer gegevens'!$F$37*Reeksen!L45,0)</f>
        <v>0</v>
      </c>
      <c r="AT45" s="71">
        <f ca="1">-IF(C45=1,IF(E45='Invoer gegevens'!$C$17,'Invoer gegevens'!$C$11,Q45)*Reeksen!S45*'Invoer gegevens'!$C$18*Reeksen!P45,0)</f>
        <v>0</v>
      </c>
      <c r="AU45" s="71">
        <f ca="1">-IF(C45=1,'Invoer gegevens'!$C$10*'Invoer gegevens'!$F$38*Reeksen!H45,0)</f>
        <v>0</v>
      </c>
      <c r="AV45" s="71">
        <f t="shared" si="10"/>
        <v>0</v>
      </c>
      <c r="AW45" s="71">
        <f t="shared" ca="1" si="6"/>
        <v>0</v>
      </c>
      <c r="AX45" s="71">
        <f ca="1">IF(E45&lt;'Invoer gegevens'!$C$17+15,0,IF('RW - MW - DE - DE'!E45&gt;'Invoer gegevens'!$C$17+215,0,'RW - MW - DE - DE'!AW45))</f>
        <v>0</v>
      </c>
      <c r="AY45" s="71">
        <f ca="1">AX45/(1+'Invoer gegevens'!$F$13)^($AZ45-('Invoer gegevens'!$C$17-'Invoer gegevens'!$C$16))/(1+'Invoer gegevens'!$C$39)^('Invoer gegevens'!$C$17-'Invoer gegevens'!$C$16)</f>
        <v>0</v>
      </c>
      <c r="AZ45" s="68">
        <f ca="1">IF(E45-'Invoer gegevens'!$C$17-14.5&lt;0,0,E45-'Invoer gegevens'!$C$17-14.5)</f>
        <v>25.5</v>
      </c>
      <c r="BC45" s="71"/>
    </row>
    <row r="46" spans="2:55" customFormat="1" x14ac:dyDescent="0.25">
      <c r="B46" s="70">
        <f t="shared" si="7"/>
        <v>42</v>
      </c>
      <c r="C46" s="67">
        <f ca="1">IF(E46-'Invoer gegevens'!$C$17&lt;0,0,1)</f>
        <v>1</v>
      </c>
      <c r="D46" s="68">
        <f t="shared" si="8"/>
        <v>41.5</v>
      </c>
      <c r="E46" s="69">
        <f ca="1">IF('Invoer gegevens'!$C$16="","",E45+1)</f>
        <v>2060</v>
      </c>
      <c r="F46" s="82">
        <f ca="1">IF('Invoer gegevens'!$C$17=E46,'Invoer gegevens'!$C$10,IF(C46=1,H45,0))</f>
        <v>0</v>
      </c>
      <c r="G46" s="83">
        <f ca="1">IF(C46&gt;=1,F46*Reeksen!C46,0)</f>
        <v>0</v>
      </c>
      <c r="H46" s="84">
        <f t="shared" ca="1" si="1"/>
        <v>0</v>
      </c>
      <c r="I46" s="85">
        <f ca="1">IF('Invoer gegevens'!$C$17=E46,'Invoer gegevens'!$C$11,IF(C46=1,L45,0))</f>
        <v>0</v>
      </c>
      <c r="J46" s="86">
        <f ca="1">IF(C46&lt;1,0,IF(Reeksen!AD46&lt;=Reeksen!AE46,I46*Reeksen!C46,0))</f>
        <v>0</v>
      </c>
      <c r="K46" s="86">
        <f ca="1">IF(C46&lt;1,0,IF(Reeksen!AD46&gt;Reeksen!AE46,I46*Reeksen!C46,0))</f>
        <v>0</v>
      </c>
      <c r="L46" s="86">
        <f t="shared" ca="1" si="2"/>
        <v>0</v>
      </c>
      <c r="M46" s="85">
        <f ca="1">IF('Invoer gegevens'!$C$17=E46,'Invoer gegevens'!$C$10-'Invoer gegevens'!$C$11,IF(C46=1,P45,0))</f>
        <v>0</v>
      </c>
      <c r="N46" s="86">
        <f ca="1">IF(C46&lt;1,0,IF(Reeksen!AD46&lt;=Reeksen!AE46,M46*Reeksen!C46,0))</f>
        <v>0</v>
      </c>
      <c r="O46" s="86">
        <f ca="1">IF(C46&lt;1,0,IF(Reeksen!AD46&gt;Reeksen!AE46,M46*Reeksen!C46,0))</f>
        <v>0</v>
      </c>
      <c r="P46" s="86">
        <f t="shared" ca="1" si="3"/>
        <v>0</v>
      </c>
      <c r="Q46" s="82">
        <f ca="1">IF('Invoer gegevens'!$C$17=E46,I46,IF(C46=0,0,R45))</f>
        <v>0</v>
      </c>
      <c r="R46" s="84">
        <f t="shared" ca="1" si="0"/>
        <v>0</v>
      </c>
      <c r="S46" s="84">
        <f ca="1">IF('Invoer gegevens'!$C$17=E46,M46,IF(C46=0,0,T45))</f>
        <v>0</v>
      </c>
      <c r="T46" s="84">
        <f t="shared" ca="1" si="9"/>
        <v>0</v>
      </c>
      <c r="AI46" s="71">
        <f ca="1">IF(C46=1,((F46+H46)/2*Reeksen!AI46*12)+(('Invoer gegevens'!$C$10-(F46+H46)/2)*Reeksen!AD46*12),0)</f>
        <v>0</v>
      </c>
      <c r="AJ46" s="71">
        <f ca="1">-AI46*'Invoer gegevens'!$F$28</f>
        <v>0</v>
      </c>
      <c r="AK46" s="71">
        <f t="shared" ca="1" si="4"/>
        <v>0</v>
      </c>
      <c r="AL46" s="71">
        <f ca="1">IF(C46=1,(12*((F46+H46)/2)*Reeksen!AL46)+(12*('Invoer gegevens'!$C$10-(F46+H46)/2)*Reeksen!AM46),0)</f>
        <v>0</v>
      </c>
      <c r="AM46" s="71">
        <f ca="1">-AL46*'Invoer gegevens'!$F$31</f>
        <v>0</v>
      </c>
      <c r="AN46" s="71">
        <f t="shared" ca="1" si="5"/>
        <v>0</v>
      </c>
      <c r="AO46" s="71"/>
      <c r="AP46" s="71"/>
      <c r="AQ46" s="71">
        <f ca="1">-IF(C46=1,('Invoer gegevens'!$C$10*'Invoer gegevens'!$F$35)*Reeksen!J46,0)*2</f>
        <v>0</v>
      </c>
      <c r="AR46" s="71">
        <f ca="1">-IF(C46=1,(G46*'Invoer gegevens'!$F$36)*Reeksen!J46,0)</f>
        <v>0</v>
      </c>
      <c r="AS46" s="71">
        <f ca="1">-IF(C46=1,'Invoer gegevens'!$C$10*'Invoer gegevens'!$F$37*Reeksen!L46,0)</f>
        <v>0</v>
      </c>
      <c r="AT46" s="71">
        <f ca="1">-IF(C46=1,IF(E46='Invoer gegevens'!$C$17,'Invoer gegevens'!$C$11,Q46)*Reeksen!S46*'Invoer gegevens'!$C$18*Reeksen!P46,0)</f>
        <v>0</v>
      </c>
      <c r="AU46" s="71">
        <f ca="1">-IF(C46=1,'Invoer gegevens'!$C$10*'Invoer gegevens'!$F$38*Reeksen!H46,0)</f>
        <v>0</v>
      </c>
      <c r="AV46" s="71">
        <f t="shared" si="10"/>
        <v>0</v>
      </c>
      <c r="AW46" s="71">
        <f t="shared" ca="1" si="6"/>
        <v>0</v>
      </c>
      <c r="AX46" s="71">
        <f ca="1">IF(E46&lt;'Invoer gegevens'!$C$17+15,0,IF('RW - MW - DE - DE'!E46&gt;'Invoer gegevens'!$C$17+215,0,'RW - MW - DE - DE'!AW46))</f>
        <v>0</v>
      </c>
      <c r="AY46" s="71">
        <f ca="1">AX46/(1+'Invoer gegevens'!$F$13)^($AZ46-('Invoer gegevens'!$C$17-'Invoer gegevens'!$C$16))/(1+'Invoer gegevens'!$C$39)^('Invoer gegevens'!$C$17-'Invoer gegevens'!$C$16)</f>
        <v>0</v>
      </c>
      <c r="AZ46" s="68">
        <f ca="1">IF(E46-'Invoer gegevens'!$C$17-14.5&lt;0,0,E46-'Invoer gegevens'!$C$17-14.5)</f>
        <v>26.5</v>
      </c>
      <c r="BC46" s="71"/>
    </row>
    <row r="47" spans="2:55" customFormat="1" x14ac:dyDescent="0.25">
      <c r="B47" s="70">
        <f t="shared" si="7"/>
        <v>43</v>
      </c>
      <c r="C47" s="67">
        <f ca="1">IF(E47-'Invoer gegevens'!$C$17&lt;0,0,1)</f>
        <v>1</v>
      </c>
      <c r="D47" s="68">
        <f t="shared" si="8"/>
        <v>42.5</v>
      </c>
      <c r="E47" s="69">
        <f ca="1">IF('Invoer gegevens'!$C$16="","",E46+1)</f>
        <v>2061</v>
      </c>
      <c r="F47" s="82">
        <f ca="1">IF('Invoer gegevens'!$C$17=E47,'Invoer gegevens'!$C$10,IF(C47=1,H46,0))</f>
        <v>0</v>
      </c>
      <c r="G47" s="83">
        <f ca="1">IF(C47&gt;=1,F47*Reeksen!C47,0)</f>
        <v>0</v>
      </c>
      <c r="H47" s="84">
        <f t="shared" ca="1" si="1"/>
        <v>0</v>
      </c>
      <c r="I47" s="85">
        <f ca="1">IF('Invoer gegevens'!$C$17=E47,'Invoer gegevens'!$C$11,IF(C47=1,L46,0))</f>
        <v>0</v>
      </c>
      <c r="J47" s="86">
        <f ca="1">IF(C47&lt;1,0,IF(Reeksen!AD47&lt;=Reeksen!AE47,I47*Reeksen!C47,0))</f>
        <v>0</v>
      </c>
      <c r="K47" s="86">
        <f ca="1">IF(C47&lt;1,0,IF(Reeksen!AD47&gt;Reeksen!AE47,I47*Reeksen!C47,0))</f>
        <v>0</v>
      </c>
      <c r="L47" s="86">
        <f t="shared" ca="1" si="2"/>
        <v>0</v>
      </c>
      <c r="M47" s="85">
        <f ca="1">IF('Invoer gegevens'!$C$17=E47,'Invoer gegevens'!$C$10-'Invoer gegevens'!$C$11,IF(C47=1,P46,0))</f>
        <v>0</v>
      </c>
      <c r="N47" s="86">
        <f ca="1">IF(C47&lt;1,0,IF(Reeksen!AD47&lt;=Reeksen!AE47,M47*Reeksen!C47,0))</f>
        <v>0</v>
      </c>
      <c r="O47" s="86">
        <f ca="1">IF(C47&lt;1,0,IF(Reeksen!AD47&gt;Reeksen!AE47,M47*Reeksen!C47,0))</f>
        <v>0</v>
      </c>
      <c r="P47" s="86">
        <f t="shared" ca="1" si="3"/>
        <v>0</v>
      </c>
      <c r="Q47" s="82">
        <f ca="1">IF('Invoer gegevens'!$C$17=E47,I47,IF(C47=0,0,R46))</f>
        <v>0</v>
      </c>
      <c r="R47" s="84">
        <f t="shared" ca="1" si="0"/>
        <v>0</v>
      </c>
      <c r="S47" s="84">
        <f ca="1">IF('Invoer gegevens'!$C$17=E47,M47,IF(C47=0,0,T46))</f>
        <v>0</v>
      </c>
      <c r="T47" s="84">
        <f t="shared" ca="1" si="9"/>
        <v>0</v>
      </c>
      <c r="AI47" s="71">
        <f ca="1">IF(C47=1,((F47+H47)/2*Reeksen!AI47*12)+(('Invoer gegevens'!$C$10-(F47+H47)/2)*Reeksen!AD47*12),0)</f>
        <v>0</v>
      </c>
      <c r="AJ47" s="71">
        <f ca="1">-AI47*'Invoer gegevens'!$F$28</f>
        <v>0</v>
      </c>
      <c r="AK47" s="71">
        <f t="shared" ca="1" si="4"/>
        <v>0</v>
      </c>
      <c r="AL47" s="71">
        <f ca="1">IF(C47=1,(12*((F47+H47)/2)*Reeksen!AL47)+(12*('Invoer gegevens'!$C$10-(F47+H47)/2)*Reeksen!AM47),0)</f>
        <v>0</v>
      </c>
      <c r="AM47" s="71">
        <f ca="1">-AL47*'Invoer gegevens'!$F$31</f>
        <v>0</v>
      </c>
      <c r="AN47" s="71">
        <f t="shared" ca="1" si="5"/>
        <v>0</v>
      </c>
      <c r="AO47" s="71"/>
      <c r="AP47" s="71"/>
      <c r="AQ47" s="71">
        <f ca="1">-IF(C47=1,('Invoer gegevens'!$C$10*'Invoer gegevens'!$F$35)*Reeksen!J47,0)*2</f>
        <v>0</v>
      </c>
      <c r="AR47" s="71">
        <f ca="1">-IF(C47=1,(G47*'Invoer gegevens'!$F$36)*Reeksen!J47,0)</f>
        <v>0</v>
      </c>
      <c r="AS47" s="71">
        <f ca="1">-IF(C47=1,'Invoer gegevens'!$C$10*'Invoer gegevens'!$F$37*Reeksen!L47,0)</f>
        <v>0</v>
      </c>
      <c r="AT47" s="71">
        <f ca="1">-IF(C47=1,IF(E47='Invoer gegevens'!$C$17,'Invoer gegevens'!$C$11,Q47)*Reeksen!S47*'Invoer gegevens'!$C$18*Reeksen!P47,0)</f>
        <v>0</v>
      </c>
      <c r="AU47" s="71">
        <f ca="1">-IF(C47=1,'Invoer gegevens'!$C$10*'Invoer gegevens'!$F$38*Reeksen!H47,0)</f>
        <v>0</v>
      </c>
      <c r="AV47" s="71">
        <f t="shared" si="10"/>
        <v>0</v>
      </c>
      <c r="AW47" s="71">
        <f t="shared" ca="1" si="6"/>
        <v>0</v>
      </c>
      <c r="AX47" s="71">
        <f ca="1">IF(E47&lt;'Invoer gegevens'!$C$17+15,0,IF('RW - MW - DE - DE'!E47&gt;'Invoer gegevens'!$C$17+215,0,'RW - MW - DE - DE'!AW47))</f>
        <v>0</v>
      </c>
      <c r="AY47" s="71">
        <f ca="1">AX47/(1+'Invoer gegevens'!$F$13)^($AZ47-('Invoer gegevens'!$C$17-'Invoer gegevens'!$C$16))/(1+'Invoer gegevens'!$C$39)^('Invoer gegevens'!$C$17-'Invoer gegevens'!$C$16)</f>
        <v>0</v>
      </c>
      <c r="AZ47" s="68">
        <f ca="1">IF(E47-'Invoer gegevens'!$C$17-14.5&lt;0,0,E47-'Invoer gegevens'!$C$17-14.5)</f>
        <v>27.5</v>
      </c>
      <c r="BC47" s="71"/>
    </row>
    <row r="48" spans="2:55" customFormat="1" x14ac:dyDescent="0.25">
      <c r="B48" s="70">
        <f t="shared" si="7"/>
        <v>44</v>
      </c>
      <c r="C48" s="67">
        <f ca="1">IF(E48-'Invoer gegevens'!$C$17&lt;0,0,1)</f>
        <v>1</v>
      </c>
      <c r="D48" s="68">
        <f t="shared" si="8"/>
        <v>43.5</v>
      </c>
      <c r="E48" s="69">
        <f ca="1">IF('Invoer gegevens'!$C$16="","",E47+1)</f>
        <v>2062</v>
      </c>
      <c r="F48" s="82">
        <f ca="1">IF('Invoer gegevens'!$C$17=E48,'Invoer gegevens'!$C$10,IF(C48=1,H47,0))</f>
        <v>0</v>
      </c>
      <c r="G48" s="83">
        <f ca="1">IF(C48&gt;=1,F48*Reeksen!C48,0)</f>
        <v>0</v>
      </c>
      <c r="H48" s="84">
        <f t="shared" ca="1" si="1"/>
        <v>0</v>
      </c>
      <c r="I48" s="85">
        <f ca="1">IF('Invoer gegevens'!$C$17=E48,'Invoer gegevens'!$C$11,IF(C48=1,L47,0))</f>
        <v>0</v>
      </c>
      <c r="J48" s="86">
        <f ca="1">IF(C48&lt;1,0,IF(Reeksen!AD48&lt;=Reeksen!AE48,I48*Reeksen!C48,0))</f>
        <v>0</v>
      </c>
      <c r="K48" s="86">
        <f ca="1">IF(C48&lt;1,0,IF(Reeksen!AD48&gt;Reeksen!AE48,I48*Reeksen!C48,0))</f>
        <v>0</v>
      </c>
      <c r="L48" s="86">
        <f t="shared" ca="1" si="2"/>
        <v>0</v>
      </c>
      <c r="M48" s="85">
        <f ca="1">IF('Invoer gegevens'!$C$17=E48,'Invoer gegevens'!$C$10-'Invoer gegevens'!$C$11,IF(C48=1,P47,0))</f>
        <v>0</v>
      </c>
      <c r="N48" s="86">
        <f ca="1">IF(C48&lt;1,0,IF(Reeksen!AD48&lt;=Reeksen!AE48,M48*Reeksen!C48,0))</f>
        <v>0</v>
      </c>
      <c r="O48" s="86">
        <f ca="1">IF(C48&lt;1,0,IF(Reeksen!AD48&gt;Reeksen!AE48,M48*Reeksen!C48,0))</f>
        <v>0</v>
      </c>
      <c r="P48" s="86">
        <f t="shared" ca="1" si="3"/>
        <v>0</v>
      </c>
      <c r="Q48" s="82">
        <f ca="1">IF('Invoer gegevens'!$C$17=E48,I48,IF(C48=0,0,R47))</f>
        <v>0</v>
      </c>
      <c r="R48" s="84">
        <f t="shared" ca="1" si="0"/>
        <v>0</v>
      </c>
      <c r="S48" s="84">
        <f ca="1">IF('Invoer gegevens'!$C$17=E48,M48,IF(C48=0,0,T47))</f>
        <v>0</v>
      </c>
      <c r="T48" s="84">
        <f t="shared" ca="1" si="9"/>
        <v>0</v>
      </c>
      <c r="AI48" s="71">
        <f ca="1">IF(C48=1,((F48+H48)/2*Reeksen!AI48*12)+(('Invoer gegevens'!$C$10-(F48+H48)/2)*Reeksen!AD48*12),0)</f>
        <v>0</v>
      </c>
      <c r="AJ48" s="71">
        <f ca="1">-AI48*'Invoer gegevens'!$F$28</f>
        <v>0</v>
      </c>
      <c r="AK48" s="71">
        <f t="shared" ca="1" si="4"/>
        <v>0</v>
      </c>
      <c r="AL48" s="71">
        <f ca="1">IF(C48=1,(12*((F48+H48)/2)*Reeksen!AL48)+(12*('Invoer gegevens'!$C$10-(F48+H48)/2)*Reeksen!AM48),0)</f>
        <v>0</v>
      </c>
      <c r="AM48" s="71">
        <f ca="1">-AL48*'Invoer gegevens'!$F$31</f>
        <v>0</v>
      </c>
      <c r="AN48" s="71">
        <f t="shared" ca="1" si="5"/>
        <v>0</v>
      </c>
      <c r="AO48" s="71"/>
      <c r="AP48" s="71"/>
      <c r="AQ48" s="71">
        <f ca="1">-IF(C48=1,('Invoer gegevens'!$C$10*'Invoer gegevens'!$F$35)*Reeksen!J48,0)*2</f>
        <v>0</v>
      </c>
      <c r="AR48" s="71">
        <f ca="1">-IF(C48=1,(G48*'Invoer gegevens'!$F$36)*Reeksen!J48,0)</f>
        <v>0</v>
      </c>
      <c r="AS48" s="71">
        <f ca="1">-IF(C48=1,'Invoer gegevens'!$C$10*'Invoer gegevens'!$F$37*Reeksen!L48,0)</f>
        <v>0</v>
      </c>
      <c r="AT48" s="71">
        <f ca="1">-IF(C48=1,IF(E48='Invoer gegevens'!$C$17,'Invoer gegevens'!$C$11,Q48)*Reeksen!S48*'Invoer gegevens'!$C$18*Reeksen!P48,0)</f>
        <v>0</v>
      </c>
      <c r="AU48" s="71">
        <f ca="1">-IF(C48=1,'Invoer gegevens'!$C$10*'Invoer gegevens'!$F$38*Reeksen!H48,0)</f>
        <v>0</v>
      </c>
      <c r="AV48" s="71">
        <f t="shared" si="10"/>
        <v>0</v>
      </c>
      <c r="AW48" s="71">
        <f t="shared" ca="1" si="6"/>
        <v>0</v>
      </c>
      <c r="AX48" s="71">
        <f ca="1">IF(E48&lt;'Invoer gegevens'!$C$17+15,0,IF('RW - MW - DE - DE'!E48&gt;'Invoer gegevens'!$C$17+215,0,'RW - MW - DE - DE'!AW48))</f>
        <v>0</v>
      </c>
      <c r="AY48" s="71">
        <f ca="1">AX48/(1+'Invoer gegevens'!$F$13)^($AZ48-('Invoer gegevens'!$C$17-'Invoer gegevens'!$C$16))/(1+'Invoer gegevens'!$C$39)^('Invoer gegevens'!$C$17-'Invoer gegevens'!$C$16)</f>
        <v>0</v>
      </c>
      <c r="AZ48" s="68">
        <f ca="1">IF(E48-'Invoer gegevens'!$C$17-14.5&lt;0,0,E48-'Invoer gegevens'!$C$17-14.5)</f>
        <v>28.5</v>
      </c>
      <c r="BC48" s="71"/>
    </row>
    <row r="49" spans="2:55" customFormat="1" x14ac:dyDescent="0.25">
      <c r="B49" s="70">
        <f t="shared" si="7"/>
        <v>45</v>
      </c>
      <c r="C49" s="67">
        <f ca="1">IF(E49-'Invoer gegevens'!$C$17&lt;0,0,1)</f>
        <v>1</v>
      </c>
      <c r="D49" s="68">
        <f t="shared" si="8"/>
        <v>44.5</v>
      </c>
      <c r="E49" s="69">
        <f ca="1">IF('Invoer gegevens'!$C$16="","",E48+1)</f>
        <v>2063</v>
      </c>
      <c r="F49" s="82">
        <f ca="1">IF('Invoer gegevens'!$C$17=E49,'Invoer gegevens'!$C$10,IF(C49=1,H48,0))</f>
        <v>0</v>
      </c>
      <c r="G49" s="83">
        <f ca="1">IF(C49&gt;=1,F49*Reeksen!C49,0)</f>
        <v>0</v>
      </c>
      <c r="H49" s="84">
        <f t="shared" ca="1" si="1"/>
        <v>0</v>
      </c>
      <c r="I49" s="85">
        <f ca="1">IF('Invoer gegevens'!$C$17=E49,'Invoer gegevens'!$C$11,IF(C49=1,L48,0))</f>
        <v>0</v>
      </c>
      <c r="J49" s="86">
        <f ca="1">IF(C49&lt;1,0,IF(Reeksen!AD49&lt;=Reeksen!AE49,I49*Reeksen!C49,0))</f>
        <v>0</v>
      </c>
      <c r="K49" s="86">
        <f ca="1">IF(C49&lt;1,0,IF(Reeksen!AD49&gt;Reeksen!AE49,I49*Reeksen!C49,0))</f>
        <v>0</v>
      </c>
      <c r="L49" s="86">
        <f t="shared" ca="1" si="2"/>
        <v>0</v>
      </c>
      <c r="M49" s="85">
        <f ca="1">IF('Invoer gegevens'!$C$17=E49,'Invoer gegevens'!$C$10-'Invoer gegevens'!$C$11,IF(C49=1,P48,0))</f>
        <v>0</v>
      </c>
      <c r="N49" s="86">
        <f ca="1">IF(C49&lt;1,0,IF(Reeksen!AD49&lt;=Reeksen!AE49,M49*Reeksen!C49,0))</f>
        <v>0</v>
      </c>
      <c r="O49" s="86">
        <f ca="1">IF(C49&lt;1,0,IF(Reeksen!AD49&gt;Reeksen!AE49,M49*Reeksen!C49,0))</f>
        <v>0</v>
      </c>
      <c r="P49" s="86">
        <f t="shared" ca="1" si="3"/>
        <v>0</v>
      </c>
      <c r="Q49" s="82">
        <f ca="1">IF('Invoer gegevens'!$C$17=E49,I49,IF(C49=0,0,R48))</f>
        <v>0</v>
      </c>
      <c r="R49" s="84">
        <f t="shared" ca="1" si="0"/>
        <v>0</v>
      </c>
      <c r="S49" s="84">
        <f ca="1">IF('Invoer gegevens'!$C$17=E49,M49,IF(C49=0,0,T48))</f>
        <v>0</v>
      </c>
      <c r="T49" s="84">
        <f t="shared" ca="1" si="9"/>
        <v>0</v>
      </c>
      <c r="AI49" s="71">
        <f ca="1">IF(C49=1,((F49+H49)/2*Reeksen!AI49*12)+(('Invoer gegevens'!$C$10-(F49+H49)/2)*Reeksen!AD49*12),0)</f>
        <v>0</v>
      </c>
      <c r="AJ49" s="71">
        <f ca="1">-AI49*'Invoer gegevens'!$F$28</f>
        <v>0</v>
      </c>
      <c r="AK49" s="71">
        <f t="shared" ca="1" si="4"/>
        <v>0</v>
      </c>
      <c r="AL49" s="71">
        <f ca="1">IF(C49=1,(12*((F49+H49)/2)*Reeksen!AL49)+(12*('Invoer gegevens'!$C$10-(F49+H49)/2)*Reeksen!AM49),0)</f>
        <v>0</v>
      </c>
      <c r="AM49" s="71">
        <f ca="1">-AL49*'Invoer gegevens'!$F$31</f>
        <v>0</v>
      </c>
      <c r="AN49" s="71">
        <f t="shared" ca="1" si="5"/>
        <v>0</v>
      </c>
      <c r="AO49" s="71"/>
      <c r="AP49" s="71"/>
      <c r="AQ49" s="71">
        <f ca="1">-IF(C49=1,('Invoer gegevens'!$C$10*'Invoer gegevens'!$F$35)*Reeksen!J49,0)*2</f>
        <v>0</v>
      </c>
      <c r="AR49" s="71">
        <f ca="1">-IF(C49=1,(G49*'Invoer gegevens'!$F$36)*Reeksen!J49,0)</f>
        <v>0</v>
      </c>
      <c r="AS49" s="71">
        <f ca="1">-IF(C49=1,'Invoer gegevens'!$C$10*'Invoer gegevens'!$F$37*Reeksen!L49,0)</f>
        <v>0</v>
      </c>
      <c r="AT49" s="71">
        <f ca="1">-IF(C49=1,IF(E49='Invoer gegevens'!$C$17,'Invoer gegevens'!$C$11,Q49)*Reeksen!S49*'Invoer gegevens'!$C$18*Reeksen!P49,0)</f>
        <v>0</v>
      </c>
      <c r="AU49" s="71">
        <f ca="1">-IF(C49=1,'Invoer gegevens'!$C$10*'Invoer gegevens'!$F$38*Reeksen!H49,0)</f>
        <v>0</v>
      </c>
      <c r="AV49" s="71">
        <f t="shared" si="10"/>
        <v>0</v>
      </c>
      <c r="AW49" s="71">
        <f t="shared" ca="1" si="6"/>
        <v>0</v>
      </c>
      <c r="AX49" s="71">
        <f ca="1">IF(E49&lt;'Invoer gegevens'!$C$17+15,0,IF('RW - MW - DE - DE'!E49&gt;'Invoer gegevens'!$C$17+215,0,'RW - MW - DE - DE'!AW49))</f>
        <v>0</v>
      </c>
      <c r="AY49" s="71">
        <f ca="1">AX49/(1+'Invoer gegevens'!$F$13)^($AZ49-('Invoer gegevens'!$C$17-'Invoer gegevens'!$C$16))/(1+'Invoer gegevens'!$C$39)^('Invoer gegevens'!$C$17-'Invoer gegevens'!$C$16)</f>
        <v>0</v>
      </c>
      <c r="AZ49" s="68">
        <f ca="1">IF(E49-'Invoer gegevens'!$C$17-14.5&lt;0,0,E49-'Invoer gegevens'!$C$17-14.5)</f>
        <v>29.5</v>
      </c>
      <c r="BC49" s="71"/>
    </row>
    <row r="50" spans="2:55" customFormat="1" x14ac:dyDescent="0.25">
      <c r="B50" s="70">
        <f t="shared" si="7"/>
        <v>46</v>
      </c>
      <c r="C50" s="67">
        <f ca="1">IF(E50-'Invoer gegevens'!$C$17&lt;0,0,1)</f>
        <v>1</v>
      </c>
      <c r="D50" s="68">
        <f t="shared" si="8"/>
        <v>45.5</v>
      </c>
      <c r="E50" s="69">
        <f ca="1">IF('Invoer gegevens'!$C$16="","",E49+1)</f>
        <v>2064</v>
      </c>
      <c r="F50" s="82">
        <f ca="1">IF('Invoer gegevens'!$C$17=E50,'Invoer gegevens'!$C$10,IF(C50=1,H49,0))</f>
        <v>0</v>
      </c>
      <c r="G50" s="83">
        <f ca="1">IF(C50&gt;=1,F50*Reeksen!C50,0)</f>
        <v>0</v>
      </c>
      <c r="H50" s="84">
        <f t="shared" ca="1" si="1"/>
        <v>0</v>
      </c>
      <c r="I50" s="85">
        <f ca="1">IF('Invoer gegevens'!$C$17=E50,'Invoer gegevens'!$C$11,IF(C50=1,L49,0))</f>
        <v>0</v>
      </c>
      <c r="J50" s="86">
        <f ca="1">IF(C50&lt;1,0,IF(Reeksen!AD50&lt;=Reeksen!AE50,I50*Reeksen!C50,0))</f>
        <v>0</v>
      </c>
      <c r="K50" s="86">
        <f ca="1">IF(C50&lt;1,0,IF(Reeksen!AD50&gt;Reeksen!AE50,I50*Reeksen!C50,0))</f>
        <v>0</v>
      </c>
      <c r="L50" s="86">
        <f t="shared" ca="1" si="2"/>
        <v>0</v>
      </c>
      <c r="M50" s="85">
        <f ca="1">IF('Invoer gegevens'!$C$17=E50,'Invoer gegevens'!$C$10-'Invoer gegevens'!$C$11,IF(C50=1,P49,0))</f>
        <v>0</v>
      </c>
      <c r="N50" s="86">
        <f ca="1">IF(C50&lt;1,0,IF(Reeksen!AD50&lt;=Reeksen!AE50,M50*Reeksen!C50,0))</f>
        <v>0</v>
      </c>
      <c r="O50" s="86">
        <f ca="1">IF(C50&lt;1,0,IF(Reeksen!AD50&gt;Reeksen!AE50,M50*Reeksen!C50,0))</f>
        <v>0</v>
      </c>
      <c r="P50" s="86">
        <f t="shared" ca="1" si="3"/>
        <v>0</v>
      </c>
      <c r="Q50" s="82">
        <f ca="1">IF('Invoer gegevens'!$C$17=E50,I50,IF(C50=0,0,R49))</f>
        <v>0</v>
      </c>
      <c r="R50" s="84">
        <f t="shared" ca="1" si="0"/>
        <v>0</v>
      </c>
      <c r="S50" s="84">
        <f ca="1">IF('Invoer gegevens'!$C$17=E50,M50,IF(C50=0,0,T49))</f>
        <v>0</v>
      </c>
      <c r="T50" s="84">
        <f t="shared" ca="1" si="9"/>
        <v>0</v>
      </c>
      <c r="AI50" s="71">
        <f ca="1">IF(C50=1,((F50+H50)/2*Reeksen!AI50*12)+(('Invoer gegevens'!$C$10-(F50+H50)/2)*Reeksen!AD50*12),0)</f>
        <v>0</v>
      </c>
      <c r="AJ50" s="71">
        <f ca="1">-AI50*'Invoer gegevens'!$F$28</f>
        <v>0</v>
      </c>
      <c r="AK50" s="71">
        <f t="shared" ca="1" si="4"/>
        <v>0</v>
      </c>
      <c r="AL50" s="71">
        <f ca="1">IF(C50=1,(12*((F50+H50)/2)*Reeksen!AL50)+(12*('Invoer gegevens'!$C$10-(F50+H50)/2)*Reeksen!AM50),0)</f>
        <v>0</v>
      </c>
      <c r="AM50" s="71">
        <f ca="1">-AL50*'Invoer gegevens'!$F$31</f>
        <v>0</v>
      </c>
      <c r="AN50" s="71">
        <f t="shared" ca="1" si="5"/>
        <v>0</v>
      </c>
      <c r="AO50" s="71"/>
      <c r="AP50" s="71"/>
      <c r="AQ50" s="71">
        <f ca="1">-IF(C50=1,('Invoer gegevens'!$C$10*'Invoer gegevens'!$F$35)*Reeksen!J50,0)*2</f>
        <v>0</v>
      </c>
      <c r="AR50" s="71">
        <f ca="1">-IF(C50=1,(G50*'Invoer gegevens'!$F$36)*Reeksen!J50,0)</f>
        <v>0</v>
      </c>
      <c r="AS50" s="71">
        <f ca="1">-IF(C50=1,'Invoer gegevens'!$C$10*'Invoer gegevens'!$F$37*Reeksen!L50,0)</f>
        <v>0</v>
      </c>
      <c r="AT50" s="71">
        <f ca="1">-IF(C50=1,IF(E50='Invoer gegevens'!$C$17,'Invoer gegevens'!$C$11,Q50)*Reeksen!S50*'Invoer gegevens'!$C$18*Reeksen!P50,0)</f>
        <v>0</v>
      </c>
      <c r="AU50" s="71">
        <f ca="1">-IF(C50=1,'Invoer gegevens'!$C$10*'Invoer gegevens'!$F$38*Reeksen!H50,0)</f>
        <v>0</v>
      </c>
      <c r="AV50" s="71">
        <f t="shared" si="10"/>
        <v>0</v>
      </c>
      <c r="AW50" s="71">
        <f t="shared" ca="1" si="6"/>
        <v>0</v>
      </c>
      <c r="AX50" s="71">
        <f ca="1">IF(E50&lt;'Invoer gegevens'!$C$17+15,0,IF('RW - MW - DE - DE'!E50&gt;'Invoer gegevens'!$C$17+215,0,'RW - MW - DE - DE'!AW50))</f>
        <v>0</v>
      </c>
      <c r="AY50" s="71">
        <f ca="1">AX50/(1+'Invoer gegevens'!$F$13)^($AZ50-('Invoer gegevens'!$C$17-'Invoer gegevens'!$C$16))/(1+'Invoer gegevens'!$C$39)^('Invoer gegevens'!$C$17-'Invoer gegevens'!$C$16)</f>
        <v>0</v>
      </c>
      <c r="AZ50" s="68">
        <f ca="1">IF(E50-'Invoer gegevens'!$C$17-14.5&lt;0,0,E50-'Invoer gegevens'!$C$17-14.5)</f>
        <v>30.5</v>
      </c>
      <c r="BC50" s="71"/>
    </row>
    <row r="51" spans="2:55" customFormat="1" x14ac:dyDescent="0.25">
      <c r="B51" s="70">
        <f t="shared" si="7"/>
        <v>47</v>
      </c>
      <c r="C51" s="67">
        <f ca="1">IF(E51-'Invoer gegevens'!$C$17&lt;0,0,1)</f>
        <v>1</v>
      </c>
      <c r="D51" s="68">
        <f t="shared" si="8"/>
        <v>46.5</v>
      </c>
      <c r="E51" s="69">
        <f ca="1">IF('Invoer gegevens'!$C$16="","",E50+1)</f>
        <v>2065</v>
      </c>
      <c r="F51" s="82">
        <f ca="1">IF('Invoer gegevens'!$C$17=E51,'Invoer gegevens'!$C$10,IF(C51=1,H50,0))</f>
        <v>0</v>
      </c>
      <c r="G51" s="83">
        <f ca="1">IF(C51&gt;=1,F51*Reeksen!C51,0)</f>
        <v>0</v>
      </c>
      <c r="H51" s="84">
        <f t="shared" ca="1" si="1"/>
        <v>0</v>
      </c>
      <c r="I51" s="85">
        <f ca="1">IF('Invoer gegevens'!$C$17=E51,'Invoer gegevens'!$C$11,IF(C51=1,L50,0))</f>
        <v>0</v>
      </c>
      <c r="J51" s="86">
        <f ca="1">IF(C51&lt;1,0,IF(Reeksen!AD51&lt;=Reeksen!AE51,I51*Reeksen!C51,0))</f>
        <v>0</v>
      </c>
      <c r="K51" s="86">
        <f ca="1">IF(C51&lt;1,0,IF(Reeksen!AD51&gt;Reeksen!AE51,I51*Reeksen!C51,0))</f>
        <v>0</v>
      </c>
      <c r="L51" s="86">
        <f t="shared" ca="1" si="2"/>
        <v>0</v>
      </c>
      <c r="M51" s="85">
        <f ca="1">IF('Invoer gegevens'!$C$17=E51,'Invoer gegevens'!$C$10-'Invoer gegevens'!$C$11,IF(C51=1,P50,0))</f>
        <v>0</v>
      </c>
      <c r="N51" s="86">
        <f ca="1">IF(C51&lt;1,0,IF(Reeksen!AD51&lt;=Reeksen!AE51,M51*Reeksen!C51,0))</f>
        <v>0</v>
      </c>
      <c r="O51" s="86">
        <f ca="1">IF(C51&lt;1,0,IF(Reeksen!AD51&gt;Reeksen!AE51,M51*Reeksen!C51,0))</f>
        <v>0</v>
      </c>
      <c r="P51" s="86">
        <f t="shared" ca="1" si="3"/>
        <v>0</v>
      </c>
      <c r="Q51" s="82">
        <f ca="1">IF('Invoer gegevens'!$C$17=E51,I51,IF(C51=0,0,R50))</f>
        <v>0</v>
      </c>
      <c r="R51" s="84">
        <f t="shared" ca="1" si="0"/>
        <v>0</v>
      </c>
      <c r="S51" s="84">
        <f ca="1">IF('Invoer gegevens'!$C$17=E51,M51,IF(C51=0,0,T50))</f>
        <v>0</v>
      </c>
      <c r="T51" s="84">
        <f t="shared" ca="1" si="9"/>
        <v>0</v>
      </c>
      <c r="AI51" s="71">
        <f ca="1">IF(C51=1,((F51+H51)/2*Reeksen!AI51*12)+(('Invoer gegevens'!$C$10-(F51+H51)/2)*Reeksen!AD51*12),0)</f>
        <v>0</v>
      </c>
      <c r="AJ51" s="71">
        <f ca="1">-AI51*'Invoer gegevens'!$F$28</f>
        <v>0</v>
      </c>
      <c r="AK51" s="71">
        <f t="shared" ca="1" si="4"/>
        <v>0</v>
      </c>
      <c r="AL51" s="71">
        <f ca="1">IF(C51=1,(12*((F51+H51)/2)*Reeksen!AL51)+(12*('Invoer gegevens'!$C$10-(F51+H51)/2)*Reeksen!AM51),0)</f>
        <v>0</v>
      </c>
      <c r="AM51" s="71">
        <f ca="1">-AL51*'Invoer gegevens'!$F$31</f>
        <v>0</v>
      </c>
      <c r="AN51" s="71">
        <f t="shared" ca="1" si="5"/>
        <v>0</v>
      </c>
      <c r="AO51" s="71"/>
      <c r="AP51" s="71"/>
      <c r="AQ51" s="71">
        <f ca="1">-IF(C51=1,('Invoer gegevens'!$C$10*'Invoer gegevens'!$F$35)*Reeksen!J51,0)*2</f>
        <v>0</v>
      </c>
      <c r="AR51" s="71">
        <f ca="1">-IF(C51=1,(G51*'Invoer gegevens'!$F$36)*Reeksen!J51,0)</f>
        <v>0</v>
      </c>
      <c r="AS51" s="71">
        <f ca="1">-IF(C51=1,'Invoer gegevens'!$C$10*'Invoer gegevens'!$F$37*Reeksen!L51,0)</f>
        <v>0</v>
      </c>
      <c r="AT51" s="71">
        <f ca="1">-IF(C51=1,IF(E51='Invoer gegevens'!$C$17,'Invoer gegevens'!$C$11,Q51)*Reeksen!S51*'Invoer gegevens'!$C$18*Reeksen!P51,0)</f>
        <v>0</v>
      </c>
      <c r="AU51" s="71">
        <f ca="1">-IF(C51=1,'Invoer gegevens'!$C$10*'Invoer gegevens'!$F$38*Reeksen!H51,0)</f>
        <v>0</v>
      </c>
      <c r="AV51" s="71">
        <f t="shared" si="10"/>
        <v>0</v>
      </c>
      <c r="AW51" s="71">
        <f t="shared" ca="1" si="6"/>
        <v>0</v>
      </c>
      <c r="AX51" s="71">
        <f ca="1">IF(E51&lt;'Invoer gegevens'!$C$17+15,0,IF('RW - MW - DE - DE'!E51&gt;'Invoer gegevens'!$C$17+215,0,'RW - MW - DE - DE'!AW51))</f>
        <v>0</v>
      </c>
      <c r="AY51" s="71">
        <f ca="1">AX51/(1+'Invoer gegevens'!$F$13)^($AZ51-('Invoer gegevens'!$C$17-'Invoer gegevens'!$C$16))/(1+'Invoer gegevens'!$C$39)^('Invoer gegevens'!$C$17-'Invoer gegevens'!$C$16)</f>
        <v>0</v>
      </c>
      <c r="AZ51" s="68">
        <f ca="1">IF(E51-'Invoer gegevens'!$C$17-14.5&lt;0,0,E51-'Invoer gegevens'!$C$17-14.5)</f>
        <v>31.5</v>
      </c>
      <c r="BC51" s="71"/>
    </row>
    <row r="52" spans="2:55" customFormat="1" x14ac:dyDescent="0.25">
      <c r="B52" s="70">
        <f t="shared" si="7"/>
        <v>48</v>
      </c>
      <c r="C52" s="67">
        <f ca="1">IF(E52-'Invoer gegevens'!$C$17&lt;0,0,1)</f>
        <v>1</v>
      </c>
      <c r="D52" s="68">
        <f t="shared" si="8"/>
        <v>47.5</v>
      </c>
      <c r="E52" s="69">
        <f ca="1">IF('Invoer gegevens'!$C$16="","",E51+1)</f>
        <v>2066</v>
      </c>
      <c r="F52" s="82">
        <f ca="1">IF('Invoer gegevens'!$C$17=E52,'Invoer gegevens'!$C$10,IF(C52=1,H51,0))</f>
        <v>0</v>
      </c>
      <c r="G52" s="83">
        <f ca="1">IF(C52&gt;=1,F52*Reeksen!C52,0)</f>
        <v>0</v>
      </c>
      <c r="H52" s="84">
        <f t="shared" ca="1" si="1"/>
        <v>0</v>
      </c>
      <c r="I52" s="85">
        <f ca="1">IF('Invoer gegevens'!$C$17=E52,'Invoer gegevens'!$C$11,IF(C52=1,L51,0))</f>
        <v>0</v>
      </c>
      <c r="J52" s="86">
        <f ca="1">IF(C52&lt;1,0,IF(Reeksen!AD52&lt;=Reeksen!AE52,I52*Reeksen!C52,0))</f>
        <v>0</v>
      </c>
      <c r="K52" s="86">
        <f ca="1">IF(C52&lt;1,0,IF(Reeksen!AD52&gt;Reeksen!AE52,I52*Reeksen!C52,0))</f>
        <v>0</v>
      </c>
      <c r="L52" s="86">
        <f t="shared" ca="1" si="2"/>
        <v>0</v>
      </c>
      <c r="M52" s="85">
        <f ca="1">IF('Invoer gegevens'!$C$17=E52,'Invoer gegevens'!$C$10-'Invoer gegevens'!$C$11,IF(C52=1,P51,0))</f>
        <v>0</v>
      </c>
      <c r="N52" s="86">
        <f ca="1">IF(C52&lt;1,0,IF(Reeksen!AD52&lt;=Reeksen!AE52,M52*Reeksen!C52,0))</f>
        <v>0</v>
      </c>
      <c r="O52" s="86">
        <f ca="1">IF(C52&lt;1,0,IF(Reeksen!AD52&gt;Reeksen!AE52,M52*Reeksen!C52,0))</f>
        <v>0</v>
      </c>
      <c r="P52" s="86">
        <f t="shared" ca="1" si="3"/>
        <v>0</v>
      </c>
      <c r="Q52" s="82">
        <f ca="1">IF('Invoer gegevens'!$C$17=E52,I52,IF(C52=0,0,R51))</f>
        <v>0</v>
      </c>
      <c r="R52" s="84">
        <f t="shared" ca="1" si="0"/>
        <v>0</v>
      </c>
      <c r="S52" s="84">
        <f ca="1">IF('Invoer gegevens'!$C$17=E52,M52,IF(C52=0,0,T51))</f>
        <v>0</v>
      </c>
      <c r="T52" s="84">
        <f t="shared" ca="1" si="9"/>
        <v>0</v>
      </c>
      <c r="AI52" s="71">
        <f ca="1">IF(C52=1,((F52+H52)/2*Reeksen!AI52*12)+(('Invoer gegevens'!$C$10-(F52+H52)/2)*Reeksen!AD52*12),0)</f>
        <v>0</v>
      </c>
      <c r="AJ52" s="71">
        <f ca="1">-AI52*'Invoer gegevens'!$F$28</f>
        <v>0</v>
      </c>
      <c r="AK52" s="71">
        <f t="shared" ca="1" si="4"/>
        <v>0</v>
      </c>
      <c r="AL52" s="71">
        <f ca="1">IF(C52=1,(12*((F52+H52)/2)*Reeksen!AL52)+(12*('Invoer gegevens'!$C$10-(F52+H52)/2)*Reeksen!AM52),0)</f>
        <v>0</v>
      </c>
      <c r="AM52" s="71">
        <f ca="1">-AL52*'Invoer gegevens'!$F$31</f>
        <v>0</v>
      </c>
      <c r="AN52" s="71">
        <f t="shared" ca="1" si="5"/>
        <v>0</v>
      </c>
      <c r="AO52" s="71"/>
      <c r="AP52" s="71"/>
      <c r="AQ52" s="71">
        <f ca="1">-IF(C52=1,('Invoer gegevens'!$C$10*'Invoer gegevens'!$F$35)*Reeksen!J52,0)*2</f>
        <v>0</v>
      </c>
      <c r="AR52" s="71">
        <f ca="1">-IF(C52=1,(G52*'Invoer gegevens'!$F$36)*Reeksen!J52,0)</f>
        <v>0</v>
      </c>
      <c r="AS52" s="71">
        <f ca="1">-IF(C52=1,'Invoer gegevens'!$C$10*'Invoer gegevens'!$F$37*Reeksen!L52,0)</f>
        <v>0</v>
      </c>
      <c r="AT52" s="71">
        <f ca="1">-IF(C52=1,IF(E52='Invoer gegevens'!$C$17,'Invoer gegevens'!$C$11,Q52)*Reeksen!S52*'Invoer gegevens'!$C$18*Reeksen!P52,0)</f>
        <v>0</v>
      </c>
      <c r="AU52" s="71">
        <f ca="1">-IF(C52=1,'Invoer gegevens'!$C$10*'Invoer gegevens'!$F$38*Reeksen!H52,0)</f>
        <v>0</v>
      </c>
      <c r="AV52" s="71">
        <f t="shared" si="10"/>
        <v>0</v>
      </c>
      <c r="AW52" s="71">
        <f t="shared" ca="1" si="6"/>
        <v>0</v>
      </c>
      <c r="AX52" s="71">
        <f ca="1">IF(E52&lt;'Invoer gegevens'!$C$17+15,0,IF('RW - MW - DE - DE'!E52&gt;'Invoer gegevens'!$C$17+215,0,'RW - MW - DE - DE'!AW52))</f>
        <v>0</v>
      </c>
      <c r="AY52" s="71">
        <f ca="1">AX52/(1+'Invoer gegevens'!$F$13)^($AZ52-('Invoer gegevens'!$C$17-'Invoer gegevens'!$C$16))/(1+'Invoer gegevens'!$C$39)^('Invoer gegevens'!$C$17-'Invoer gegevens'!$C$16)</f>
        <v>0</v>
      </c>
      <c r="AZ52" s="68">
        <f ca="1">IF(E52-'Invoer gegevens'!$C$17-14.5&lt;0,0,E52-'Invoer gegevens'!$C$17-14.5)</f>
        <v>32.5</v>
      </c>
      <c r="BC52" s="71"/>
    </row>
    <row r="53" spans="2:55" customFormat="1" x14ac:dyDescent="0.25">
      <c r="B53" s="70">
        <f t="shared" si="7"/>
        <v>49</v>
      </c>
      <c r="C53" s="67">
        <f ca="1">IF(E53-'Invoer gegevens'!$C$17&lt;0,0,1)</f>
        <v>1</v>
      </c>
      <c r="D53" s="68">
        <f t="shared" si="8"/>
        <v>48.5</v>
      </c>
      <c r="E53" s="69">
        <f ca="1">IF('Invoer gegevens'!$C$16="","",E52+1)</f>
        <v>2067</v>
      </c>
      <c r="F53" s="82">
        <f ca="1">IF('Invoer gegevens'!$C$17=E53,'Invoer gegevens'!$C$10,IF(C53=1,H52,0))</f>
        <v>0</v>
      </c>
      <c r="G53" s="83">
        <f ca="1">IF(C53&gt;=1,F53*Reeksen!C53,0)</f>
        <v>0</v>
      </c>
      <c r="H53" s="84">
        <f t="shared" ca="1" si="1"/>
        <v>0</v>
      </c>
      <c r="I53" s="85">
        <f ca="1">IF('Invoer gegevens'!$C$17=E53,'Invoer gegevens'!$C$11,IF(C53=1,L52,0))</f>
        <v>0</v>
      </c>
      <c r="J53" s="86">
        <f ca="1">IF(C53&lt;1,0,IF(Reeksen!AD53&lt;=Reeksen!AE53,I53*Reeksen!C53,0))</f>
        <v>0</v>
      </c>
      <c r="K53" s="86">
        <f ca="1">IF(C53&lt;1,0,IF(Reeksen!AD53&gt;Reeksen!AE53,I53*Reeksen!C53,0))</f>
        <v>0</v>
      </c>
      <c r="L53" s="86">
        <f t="shared" ca="1" si="2"/>
        <v>0</v>
      </c>
      <c r="M53" s="85">
        <f ca="1">IF('Invoer gegevens'!$C$17=E53,'Invoer gegevens'!$C$10-'Invoer gegevens'!$C$11,IF(C53=1,P52,0))</f>
        <v>0</v>
      </c>
      <c r="N53" s="86">
        <f ca="1">IF(C53&lt;1,0,IF(Reeksen!AD53&lt;=Reeksen!AE53,M53*Reeksen!C53,0))</f>
        <v>0</v>
      </c>
      <c r="O53" s="86">
        <f ca="1">IF(C53&lt;1,0,IF(Reeksen!AD53&gt;Reeksen!AE53,M53*Reeksen!C53,0))</f>
        <v>0</v>
      </c>
      <c r="P53" s="86">
        <f t="shared" ca="1" si="3"/>
        <v>0</v>
      </c>
      <c r="Q53" s="82">
        <f ca="1">IF('Invoer gegevens'!$C$17=E53,I53,IF(C53=0,0,R52))</f>
        <v>0</v>
      </c>
      <c r="R53" s="84">
        <f t="shared" ca="1" si="0"/>
        <v>0</v>
      </c>
      <c r="S53" s="84">
        <f ca="1">IF('Invoer gegevens'!$C$17=E53,M53,IF(C53=0,0,T52))</f>
        <v>0</v>
      </c>
      <c r="T53" s="84">
        <f t="shared" ca="1" si="9"/>
        <v>0</v>
      </c>
      <c r="AI53" s="71">
        <f ca="1">IF(C53=1,((F53+H53)/2*Reeksen!AI53*12)+(('Invoer gegevens'!$C$10-(F53+H53)/2)*Reeksen!AD53*12),0)</f>
        <v>0</v>
      </c>
      <c r="AJ53" s="71">
        <f ca="1">-AI53*'Invoer gegevens'!$F$28</f>
        <v>0</v>
      </c>
      <c r="AK53" s="71">
        <f t="shared" ca="1" si="4"/>
        <v>0</v>
      </c>
      <c r="AL53" s="71">
        <f ca="1">IF(C53=1,(12*((F53+H53)/2)*Reeksen!AL53)+(12*('Invoer gegevens'!$C$10-(F53+H53)/2)*Reeksen!AM53),0)</f>
        <v>0</v>
      </c>
      <c r="AM53" s="71">
        <f ca="1">-AL53*'Invoer gegevens'!$F$31</f>
        <v>0</v>
      </c>
      <c r="AN53" s="71">
        <f t="shared" ca="1" si="5"/>
        <v>0</v>
      </c>
      <c r="AO53" s="71"/>
      <c r="AP53" s="71"/>
      <c r="AQ53" s="71">
        <f ca="1">-IF(C53=1,('Invoer gegevens'!$C$10*'Invoer gegevens'!$F$35)*Reeksen!J53,0)*2</f>
        <v>0</v>
      </c>
      <c r="AR53" s="71">
        <f ca="1">-IF(C53=1,(G53*'Invoer gegevens'!$F$36)*Reeksen!J53,0)</f>
        <v>0</v>
      </c>
      <c r="AS53" s="71">
        <f ca="1">-IF(C53=1,'Invoer gegevens'!$C$10*'Invoer gegevens'!$F$37*Reeksen!L53,0)</f>
        <v>0</v>
      </c>
      <c r="AT53" s="71">
        <f ca="1">-IF(C53=1,IF(E53='Invoer gegevens'!$C$17,'Invoer gegevens'!$C$11,Q53)*Reeksen!S53*'Invoer gegevens'!$C$18*Reeksen!P53,0)</f>
        <v>0</v>
      </c>
      <c r="AU53" s="71">
        <f ca="1">-IF(C53=1,'Invoer gegevens'!$C$10*'Invoer gegevens'!$F$38*Reeksen!H53,0)</f>
        <v>0</v>
      </c>
      <c r="AV53" s="71">
        <f t="shared" si="10"/>
        <v>0</v>
      </c>
      <c r="AW53" s="71">
        <f t="shared" ca="1" si="6"/>
        <v>0</v>
      </c>
      <c r="AX53" s="71">
        <f ca="1">IF(E53&lt;'Invoer gegevens'!$C$17+15,0,IF('RW - MW - DE - DE'!E53&gt;'Invoer gegevens'!$C$17+215,0,'RW - MW - DE - DE'!AW53))</f>
        <v>0</v>
      </c>
      <c r="AY53" s="71">
        <f ca="1">AX53/(1+'Invoer gegevens'!$F$13)^($AZ53-('Invoer gegevens'!$C$17-'Invoer gegevens'!$C$16))/(1+'Invoer gegevens'!$C$39)^('Invoer gegevens'!$C$17-'Invoer gegevens'!$C$16)</f>
        <v>0</v>
      </c>
      <c r="AZ53" s="68">
        <f ca="1">IF(E53-'Invoer gegevens'!$C$17-14.5&lt;0,0,E53-'Invoer gegevens'!$C$17-14.5)</f>
        <v>33.5</v>
      </c>
      <c r="BC53" s="71"/>
    </row>
    <row r="54" spans="2:55" customFormat="1" x14ac:dyDescent="0.25">
      <c r="B54" s="70">
        <f t="shared" si="7"/>
        <v>50</v>
      </c>
      <c r="C54" s="67">
        <f ca="1">IF(E54-'Invoer gegevens'!$C$17&lt;0,0,1)</f>
        <v>1</v>
      </c>
      <c r="D54" s="68">
        <f t="shared" si="8"/>
        <v>49.5</v>
      </c>
      <c r="E54" s="69">
        <f ca="1">IF('Invoer gegevens'!$C$16="","",E53+1)</f>
        <v>2068</v>
      </c>
      <c r="F54" s="82">
        <f ca="1">IF('Invoer gegevens'!$C$17=E54,'Invoer gegevens'!$C$10,IF(C54=1,H53,0))</f>
        <v>0</v>
      </c>
      <c r="G54" s="83">
        <f ca="1">IF(C54&gt;=1,F54*Reeksen!C54,0)</f>
        <v>0</v>
      </c>
      <c r="H54" s="84">
        <f t="shared" ca="1" si="1"/>
        <v>0</v>
      </c>
      <c r="I54" s="85">
        <f ca="1">IF('Invoer gegevens'!$C$17=E54,'Invoer gegevens'!$C$11,IF(C54=1,L53,0))</f>
        <v>0</v>
      </c>
      <c r="J54" s="86">
        <f ca="1">IF(C54&lt;1,0,IF(Reeksen!AD54&lt;=Reeksen!AE54,I54*Reeksen!C54,0))</f>
        <v>0</v>
      </c>
      <c r="K54" s="86">
        <f ca="1">IF(C54&lt;1,0,IF(Reeksen!AD54&gt;Reeksen!AE54,I54*Reeksen!C54,0))</f>
        <v>0</v>
      </c>
      <c r="L54" s="86">
        <f t="shared" ca="1" si="2"/>
        <v>0</v>
      </c>
      <c r="M54" s="85">
        <f ca="1">IF('Invoer gegevens'!$C$17=E54,'Invoer gegevens'!$C$10-'Invoer gegevens'!$C$11,IF(C54=1,P53,0))</f>
        <v>0</v>
      </c>
      <c r="N54" s="86">
        <f ca="1">IF(C54&lt;1,0,IF(Reeksen!AD54&lt;=Reeksen!AE54,M54*Reeksen!C54,0))</f>
        <v>0</v>
      </c>
      <c r="O54" s="86">
        <f ca="1">IF(C54&lt;1,0,IF(Reeksen!AD54&gt;Reeksen!AE54,M54*Reeksen!C54,0))</f>
        <v>0</v>
      </c>
      <c r="P54" s="86">
        <f t="shared" ca="1" si="3"/>
        <v>0</v>
      </c>
      <c r="Q54" s="82">
        <f ca="1">IF('Invoer gegevens'!$C$17=E54,I54,IF(C54=0,0,R53))</f>
        <v>0</v>
      </c>
      <c r="R54" s="84">
        <f t="shared" ca="1" si="0"/>
        <v>0</v>
      </c>
      <c r="S54" s="84">
        <f ca="1">IF('Invoer gegevens'!$C$17=E54,M54,IF(C54=0,0,T53))</f>
        <v>0</v>
      </c>
      <c r="T54" s="84">
        <f t="shared" ca="1" si="9"/>
        <v>0</v>
      </c>
      <c r="AI54" s="71">
        <f ca="1">IF(C54=1,((F54+H54)/2*Reeksen!AI54*12)+(('Invoer gegevens'!$C$10-(F54+H54)/2)*Reeksen!AD54*12),0)</f>
        <v>0</v>
      </c>
      <c r="AJ54" s="71">
        <f ca="1">-AI54*'Invoer gegevens'!$F$28</f>
        <v>0</v>
      </c>
      <c r="AK54" s="71">
        <f t="shared" ca="1" si="4"/>
        <v>0</v>
      </c>
      <c r="AL54" s="71">
        <f ca="1">IF(C54=1,(12*((F54+H54)/2)*Reeksen!AL54)+(12*('Invoer gegevens'!$C$10-(F54+H54)/2)*Reeksen!AM54),0)</f>
        <v>0</v>
      </c>
      <c r="AM54" s="71">
        <f ca="1">-AL54*'Invoer gegevens'!$F$31</f>
        <v>0</v>
      </c>
      <c r="AN54" s="71">
        <f t="shared" ca="1" si="5"/>
        <v>0</v>
      </c>
      <c r="AO54" s="71"/>
      <c r="AP54" s="71"/>
      <c r="AQ54" s="71">
        <f ca="1">-IF(C54=1,('Invoer gegevens'!$C$10*'Invoer gegevens'!$F$35)*Reeksen!J54,0)*2</f>
        <v>0</v>
      </c>
      <c r="AR54" s="71">
        <f ca="1">-IF(C54=1,(G54*'Invoer gegevens'!$F$36)*Reeksen!J54,0)</f>
        <v>0</v>
      </c>
      <c r="AS54" s="71">
        <f ca="1">-IF(C54=1,'Invoer gegevens'!$C$10*'Invoer gegevens'!$F$37*Reeksen!L54,0)</f>
        <v>0</v>
      </c>
      <c r="AT54" s="71">
        <f ca="1">-IF(C54=1,IF(E54='Invoer gegevens'!$C$17,'Invoer gegevens'!$C$11,Q54)*Reeksen!S54*'Invoer gegevens'!$C$18*Reeksen!P54,0)</f>
        <v>0</v>
      </c>
      <c r="AU54" s="71">
        <f ca="1">-IF(C54=1,'Invoer gegevens'!$C$10*'Invoer gegevens'!$F$38*Reeksen!H54,0)</f>
        <v>0</v>
      </c>
      <c r="AV54" s="71">
        <f t="shared" si="10"/>
        <v>0</v>
      </c>
      <c r="AW54" s="71">
        <f t="shared" ca="1" si="6"/>
        <v>0</v>
      </c>
      <c r="AX54" s="71">
        <f ca="1">IF(E54&lt;'Invoer gegevens'!$C$17+15,0,IF('RW - MW - DE - DE'!E54&gt;'Invoer gegevens'!$C$17+215,0,'RW - MW - DE - DE'!AW54))</f>
        <v>0</v>
      </c>
      <c r="AY54" s="71">
        <f ca="1">AX54/(1+'Invoer gegevens'!$F$13)^($AZ54-('Invoer gegevens'!$C$17-'Invoer gegevens'!$C$16))/(1+'Invoer gegevens'!$C$39)^('Invoer gegevens'!$C$17-'Invoer gegevens'!$C$16)</f>
        <v>0</v>
      </c>
      <c r="AZ54" s="68">
        <f ca="1">IF(E54-'Invoer gegevens'!$C$17-14.5&lt;0,0,E54-'Invoer gegevens'!$C$17-14.5)</f>
        <v>34.5</v>
      </c>
      <c r="BC54" s="71"/>
    </row>
    <row r="55" spans="2:55" customFormat="1" x14ac:dyDescent="0.25">
      <c r="B55" s="70">
        <f t="shared" si="7"/>
        <v>51</v>
      </c>
      <c r="C55" s="67">
        <f ca="1">IF(E55-'Invoer gegevens'!$C$17&lt;0,0,1)</f>
        <v>1</v>
      </c>
      <c r="D55" s="68">
        <f t="shared" si="8"/>
        <v>50.5</v>
      </c>
      <c r="E55" s="69">
        <f ca="1">IF('Invoer gegevens'!$C$16="","",E54+1)</f>
        <v>2069</v>
      </c>
      <c r="F55" s="82">
        <f ca="1">IF('Invoer gegevens'!$C$17=E55,'Invoer gegevens'!$C$10,IF(C55=1,H54,0))</f>
        <v>0</v>
      </c>
      <c r="G55" s="83">
        <f ca="1">IF(C55&gt;=1,F55*Reeksen!C55,0)</f>
        <v>0</v>
      </c>
      <c r="H55" s="84">
        <f t="shared" ca="1" si="1"/>
        <v>0</v>
      </c>
      <c r="I55" s="85">
        <f ca="1">IF('Invoer gegevens'!$C$17=E55,'Invoer gegevens'!$C$11,IF(C55=1,L54,0))</f>
        <v>0</v>
      </c>
      <c r="J55" s="86">
        <f ca="1">IF(C55&lt;1,0,IF(Reeksen!AD55&lt;=Reeksen!AE55,I55*Reeksen!C55,0))</f>
        <v>0</v>
      </c>
      <c r="K55" s="86">
        <f ca="1">IF(C55&lt;1,0,IF(Reeksen!AD55&gt;Reeksen!AE55,I55*Reeksen!C55,0))</f>
        <v>0</v>
      </c>
      <c r="L55" s="86">
        <f t="shared" ca="1" si="2"/>
        <v>0</v>
      </c>
      <c r="M55" s="85">
        <f ca="1">IF('Invoer gegevens'!$C$17=E55,'Invoer gegevens'!$C$10-'Invoer gegevens'!$C$11,IF(C55=1,P54,0))</f>
        <v>0</v>
      </c>
      <c r="N55" s="86">
        <f ca="1">IF(C55&lt;1,0,IF(Reeksen!AD55&lt;=Reeksen!AE55,M55*Reeksen!C55,0))</f>
        <v>0</v>
      </c>
      <c r="O55" s="86">
        <f ca="1">IF(C55&lt;1,0,IF(Reeksen!AD55&gt;Reeksen!AE55,M55*Reeksen!C55,0))</f>
        <v>0</v>
      </c>
      <c r="P55" s="86">
        <f t="shared" ca="1" si="3"/>
        <v>0</v>
      </c>
      <c r="Q55" s="82">
        <f ca="1">IF('Invoer gegevens'!$C$17=E55,I55,IF(C55=0,0,R54))</f>
        <v>0</v>
      </c>
      <c r="R55" s="84">
        <f t="shared" ca="1" si="0"/>
        <v>0</v>
      </c>
      <c r="S55" s="84">
        <f ca="1">IF('Invoer gegevens'!$C$17=E55,M55,IF(C55=0,0,T54))</f>
        <v>0</v>
      </c>
      <c r="T55" s="84">
        <f t="shared" ca="1" si="9"/>
        <v>0</v>
      </c>
      <c r="AI55" s="71">
        <f ca="1">IF(C55=1,((F55+H55)/2*Reeksen!AI55*12)+(('Invoer gegevens'!$C$10-(F55+H55)/2)*Reeksen!AD55*12),0)</f>
        <v>0</v>
      </c>
      <c r="AJ55" s="71">
        <f ca="1">-AI55*'Invoer gegevens'!$F$28</f>
        <v>0</v>
      </c>
      <c r="AK55" s="71">
        <f t="shared" ca="1" si="4"/>
        <v>0</v>
      </c>
      <c r="AL55" s="71">
        <f ca="1">IF(C55=1,(12*((F55+H55)/2)*Reeksen!AL55)+(12*('Invoer gegevens'!$C$10-(F55+H55)/2)*Reeksen!AM55),0)</f>
        <v>0</v>
      </c>
      <c r="AM55" s="71">
        <f ca="1">-AL55*'Invoer gegevens'!$F$31</f>
        <v>0</v>
      </c>
      <c r="AN55" s="71">
        <f t="shared" ca="1" si="5"/>
        <v>0</v>
      </c>
      <c r="AO55" s="71"/>
      <c r="AP55" s="71"/>
      <c r="AQ55" s="71">
        <f ca="1">-IF(C55=1,('Invoer gegevens'!$C$10*'Invoer gegevens'!$F$35)*Reeksen!J55,0)*2</f>
        <v>0</v>
      </c>
      <c r="AR55" s="71">
        <f ca="1">-IF(C55=1,(G55*'Invoer gegevens'!$F$36)*Reeksen!J55,0)</f>
        <v>0</v>
      </c>
      <c r="AS55" s="71">
        <f ca="1">-IF(C55=1,'Invoer gegevens'!$C$10*'Invoer gegevens'!$F$37*Reeksen!L55,0)</f>
        <v>0</v>
      </c>
      <c r="AT55" s="71">
        <f ca="1">-IF(C55=1,IF(E55='Invoer gegevens'!$C$17,'Invoer gegevens'!$C$11,Q55)*Reeksen!S55*'Invoer gegevens'!$C$18*Reeksen!P55,0)</f>
        <v>0</v>
      </c>
      <c r="AU55" s="71">
        <f ca="1">-IF(C55=1,'Invoer gegevens'!$C$10*'Invoer gegevens'!$F$38*Reeksen!H55,0)</f>
        <v>0</v>
      </c>
      <c r="AV55" s="71">
        <f t="shared" si="10"/>
        <v>0</v>
      </c>
      <c r="AW55" s="71">
        <f t="shared" ca="1" si="6"/>
        <v>0</v>
      </c>
      <c r="AX55" s="71">
        <f ca="1">IF(E55&lt;'Invoer gegevens'!$C$17+15,0,IF('RW - MW - DE - DE'!E55&gt;'Invoer gegevens'!$C$17+215,0,'RW - MW - DE - DE'!AW55))</f>
        <v>0</v>
      </c>
      <c r="AY55" s="71">
        <f ca="1">AX55/(1+'Invoer gegevens'!$F$13)^($AZ55-('Invoer gegevens'!$C$17-'Invoer gegevens'!$C$16))/(1+'Invoer gegevens'!$C$39)^('Invoer gegevens'!$C$17-'Invoer gegevens'!$C$16)</f>
        <v>0</v>
      </c>
      <c r="AZ55" s="68">
        <f ca="1">IF(E55-'Invoer gegevens'!$C$17-14.5&lt;0,0,E55-'Invoer gegevens'!$C$17-14.5)</f>
        <v>35.5</v>
      </c>
      <c r="BC55" s="71"/>
    </row>
    <row r="56" spans="2:55" customFormat="1" x14ac:dyDescent="0.25">
      <c r="B56" s="70">
        <f t="shared" si="7"/>
        <v>52</v>
      </c>
      <c r="C56" s="67">
        <f ca="1">IF(E56-'Invoer gegevens'!$C$17&lt;0,0,1)</f>
        <v>1</v>
      </c>
      <c r="D56" s="68">
        <f t="shared" si="8"/>
        <v>51.5</v>
      </c>
      <c r="E56" s="69">
        <f ca="1">IF('Invoer gegevens'!$C$16="","",E55+1)</f>
        <v>2070</v>
      </c>
      <c r="F56" s="82">
        <f ca="1">IF('Invoer gegevens'!$C$17=E56,'Invoer gegevens'!$C$10,IF(C56=1,H55,0))</f>
        <v>0</v>
      </c>
      <c r="G56" s="83">
        <f ca="1">IF(C56&gt;=1,F56*Reeksen!C56,0)</f>
        <v>0</v>
      </c>
      <c r="H56" s="84">
        <f t="shared" ca="1" si="1"/>
        <v>0</v>
      </c>
      <c r="I56" s="85">
        <f ca="1">IF('Invoer gegevens'!$C$17=E56,'Invoer gegevens'!$C$11,IF(C56=1,L55,0))</f>
        <v>0</v>
      </c>
      <c r="J56" s="86">
        <f ca="1">IF(C56&lt;1,0,IF(Reeksen!AD56&lt;=Reeksen!AE56,I56*Reeksen!C56,0))</f>
        <v>0</v>
      </c>
      <c r="K56" s="86">
        <f ca="1">IF(C56&lt;1,0,IF(Reeksen!AD56&gt;Reeksen!AE56,I56*Reeksen!C56,0))</f>
        <v>0</v>
      </c>
      <c r="L56" s="86">
        <f t="shared" ca="1" si="2"/>
        <v>0</v>
      </c>
      <c r="M56" s="85">
        <f ca="1">IF('Invoer gegevens'!$C$17=E56,'Invoer gegevens'!$C$10-'Invoer gegevens'!$C$11,IF(C56=1,P55,0))</f>
        <v>0</v>
      </c>
      <c r="N56" s="86">
        <f ca="1">IF(C56&lt;1,0,IF(Reeksen!AD56&lt;=Reeksen!AE56,M56*Reeksen!C56,0))</f>
        <v>0</v>
      </c>
      <c r="O56" s="86">
        <f ca="1">IF(C56&lt;1,0,IF(Reeksen!AD56&gt;Reeksen!AE56,M56*Reeksen!C56,0))</f>
        <v>0</v>
      </c>
      <c r="P56" s="86">
        <f t="shared" ca="1" si="3"/>
        <v>0</v>
      </c>
      <c r="Q56" s="82">
        <f ca="1">IF('Invoer gegevens'!$C$17=E56,I56,IF(C56=0,0,R55))</f>
        <v>0</v>
      </c>
      <c r="R56" s="84">
        <f t="shared" ca="1" si="0"/>
        <v>0</v>
      </c>
      <c r="S56" s="84">
        <f ca="1">IF('Invoer gegevens'!$C$17=E56,M56,IF(C56=0,0,T55))</f>
        <v>0</v>
      </c>
      <c r="T56" s="84">
        <f t="shared" ca="1" si="9"/>
        <v>0</v>
      </c>
      <c r="AI56" s="71">
        <f ca="1">IF(C56=1,((F56+H56)/2*Reeksen!AI56*12)+(('Invoer gegevens'!$C$10-(F56+H56)/2)*Reeksen!AD56*12),0)</f>
        <v>0</v>
      </c>
      <c r="AJ56" s="71">
        <f ca="1">-AI56*'Invoer gegevens'!$F$28</f>
        <v>0</v>
      </c>
      <c r="AK56" s="71">
        <f t="shared" ca="1" si="4"/>
        <v>0</v>
      </c>
      <c r="AL56" s="71">
        <f ca="1">IF(C56=1,(12*((F56+H56)/2)*Reeksen!AL56)+(12*('Invoer gegevens'!$C$10-(F56+H56)/2)*Reeksen!AM56),0)</f>
        <v>0</v>
      </c>
      <c r="AM56" s="71">
        <f ca="1">-AL56*'Invoer gegevens'!$F$31</f>
        <v>0</v>
      </c>
      <c r="AN56" s="71">
        <f t="shared" ca="1" si="5"/>
        <v>0</v>
      </c>
      <c r="AO56" s="71"/>
      <c r="AP56" s="71"/>
      <c r="AQ56" s="71">
        <f ca="1">-IF(C56=1,('Invoer gegevens'!$C$10*'Invoer gegevens'!$F$35)*Reeksen!J56,0)*2</f>
        <v>0</v>
      </c>
      <c r="AR56" s="71">
        <f ca="1">-IF(C56=1,(G56*'Invoer gegevens'!$F$36)*Reeksen!J56,0)</f>
        <v>0</v>
      </c>
      <c r="AS56" s="71">
        <f ca="1">-IF(C56=1,'Invoer gegevens'!$C$10*'Invoer gegevens'!$F$37*Reeksen!L56,0)</f>
        <v>0</v>
      </c>
      <c r="AT56" s="71">
        <f ca="1">-IF(C56=1,IF(E56='Invoer gegevens'!$C$17,'Invoer gegevens'!$C$11,Q56)*Reeksen!S56*'Invoer gegevens'!$C$18*Reeksen!P56,0)</f>
        <v>0</v>
      </c>
      <c r="AU56" s="71">
        <f ca="1">-IF(C56=1,'Invoer gegevens'!$C$10*'Invoer gegevens'!$F$38*Reeksen!H56,0)</f>
        <v>0</v>
      </c>
      <c r="AV56" s="71">
        <f t="shared" si="10"/>
        <v>0</v>
      </c>
      <c r="AW56" s="71">
        <f t="shared" ca="1" si="6"/>
        <v>0</v>
      </c>
      <c r="AX56" s="71">
        <f ca="1">IF(E56&lt;'Invoer gegevens'!$C$17+15,0,IF('RW - MW - DE - DE'!E56&gt;'Invoer gegevens'!$C$17+215,0,'RW - MW - DE - DE'!AW56))</f>
        <v>0</v>
      </c>
      <c r="AY56" s="71">
        <f ca="1">AX56/(1+'Invoer gegevens'!$F$13)^($AZ56-('Invoer gegevens'!$C$17-'Invoer gegevens'!$C$16))/(1+'Invoer gegevens'!$C$39)^('Invoer gegevens'!$C$17-'Invoer gegevens'!$C$16)</f>
        <v>0</v>
      </c>
      <c r="AZ56" s="68">
        <f ca="1">IF(E56-'Invoer gegevens'!$C$17-14.5&lt;0,0,E56-'Invoer gegevens'!$C$17-14.5)</f>
        <v>36.5</v>
      </c>
      <c r="BC56" s="71"/>
    </row>
    <row r="57" spans="2:55" customFormat="1" x14ac:dyDescent="0.25">
      <c r="B57" s="70">
        <f t="shared" si="7"/>
        <v>53</v>
      </c>
      <c r="C57" s="67">
        <f ca="1">IF(E57-'Invoer gegevens'!$C$17&lt;0,0,1)</f>
        <v>1</v>
      </c>
      <c r="D57" s="68">
        <f t="shared" si="8"/>
        <v>52.5</v>
      </c>
      <c r="E57" s="69">
        <f ca="1">IF('Invoer gegevens'!$C$16="","",E56+1)</f>
        <v>2071</v>
      </c>
      <c r="F57" s="82">
        <f ca="1">IF('Invoer gegevens'!$C$17=E57,'Invoer gegevens'!$C$10,IF(C57=1,H56,0))</f>
        <v>0</v>
      </c>
      <c r="G57" s="83">
        <f ca="1">IF(C57&gt;=1,F57*Reeksen!C57,0)</f>
        <v>0</v>
      </c>
      <c r="H57" s="84">
        <f t="shared" ca="1" si="1"/>
        <v>0</v>
      </c>
      <c r="I57" s="85">
        <f ca="1">IF('Invoer gegevens'!$C$17=E57,'Invoer gegevens'!$C$11,IF(C57=1,L56,0))</f>
        <v>0</v>
      </c>
      <c r="J57" s="86">
        <f ca="1">IF(C57&lt;1,0,IF(Reeksen!AD57&lt;=Reeksen!AE57,I57*Reeksen!C57,0))</f>
        <v>0</v>
      </c>
      <c r="K57" s="86">
        <f ca="1">IF(C57&lt;1,0,IF(Reeksen!AD57&gt;Reeksen!AE57,I57*Reeksen!C57,0))</f>
        <v>0</v>
      </c>
      <c r="L57" s="86">
        <f t="shared" ca="1" si="2"/>
        <v>0</v>
      </c>
      <c r="M57" s="85">
        <f ca="1">IF('Invoer gegevens'!$C$17=E57,'Invoer gegevens'!$C$10-'Invoer gegevens'!$C$11,IF(C57=1,P56,0))</f>
        <v>0</v>
      </c>
      <c r="N57" s="86">
        <f ca="1">IF(C57&lt;1,0,IF(Reeksen!AD57&lt;=Reeksen!AE57,M57*Reeksen!C57,0))</f>
        <v>0</v>
      </c>
      <c r="O57" s="86">
        <f ca="1">IF(C57&lt;1,0,IF(Reeksen!AD57&gt;Reeksen!AE57,M57*Reeksen!C57,0))</f>
        <v>0</v>
      </c>
      <c r="P57" s="86">
        <f t="shared" ca="1" si="3"/>
        <v>0</v>
      </c>
      <c r="Q57" s="82">
        <f ca="1">IF('Invoer gegevens'!$C$17=E57,I57,IF(C57=0,0,R56))</f>
        <v>0</v>
      </c>
      <c r="R57" s="84">
        <f t="shared" ca="1" si="0"/>
        <v>0</v>
      </c>
      <c r="S57" s="84">
        <f ca="1">IF('Invoer gegevens'!$C$17=E57,M57,IF(C57=0,0,T56))</f>
        <v>0</v>
      </c>
      <c r="T57" s="84">
        <f t="shared" ca="1" si="9"/>
        <v>0</v>
      </c>
      <c r="AI57" s="71">
        <f ca="1">IF(C57=1,((F57+H57)/2*Reeksen!AI57*12)+(('Invoer gegevens'!$C$10-(F57+H57)/2)*Reeksen!AD57*12),0)</f>
        <v>0</v>
      </c>
      <c r="AJ57" s="71">
        <f ca="1">-AI57*'Invoer gegevens'!$F$28</f>
        <v>0</v>
      </c>
      <c r="AK57" s="71">
        <f t="shared" ca="1" si="4"/>
        <v>0</v>
      </c>
      <c r="AL57" s="71">
        <f ca="1">IF(C57=1,(12*((F57+H57)/2)*Reeksen!AL57)+(12*('Invoer gegevens'!$C$10-(F57+H57)/2)*Reeksen!AM57),0)</f>
        <v>0</v>
      </c>
      <c r="AM57" s="71">
        <f ca="1">-AL57*'Invoer gegevens'!$F$31</f>
        <v>0</v>
      </c>
      <c r="AN57" s="71">
        <f t="shared" ca="1" si="5"/>
        <v>0</v>
      </c>
      <c r="AO57" s="71"/>
      <c r="AP57" s="71"/>
      <c r="AQ57" s="71">
        <f ca="1">-IF(C57=1,('Invoer gegevens'!$C$10*'Invoer gegevens'!$F$35)*Reeksen!J57,0)*2</f>
        <v>0</v>
      </c>
      <c r="AR57" s="71">
        <f ca="1">-IF(C57=1,(G57*'Invoer gegevens'!$F$36)*Reeksen!J57,0)</f>
        <v>0</v>
      </c>
      <c r="AS57" s="71">
        <f ca="1">-IF(C57=1,'Invoer gegevens'!$C$10*'Invoer gegevens'!$F$37*Reeksen!L57,0)</f>
        <v>0</v>
      </c>
      <c r="AT57" s="71">
        <f ca="1">-IF(C57=1,IF(E57='Invoer gegevens'!$C$17,'Invoer gegevens'!$C$11,Q57)*Reeksen!S57*'Invoer gegevens'!$C$18*Reeksen!P57,0)</f>
        <v>0</v>
      </c>
      <c r="AU57" s="71">
        <f ca="1">-IF(C57=1,'Invoer gegevens'!$C$10*'Invoer gegevens'!$F$38*Reeksen!H57,0)</f>
        <v>0</v>
      </c>
      <c r="AV57" s="71">
        <f t="shared" si="10"/>
        <v>0</v>
      </c>
      <c r="AW57" s="71">
        <f t="shared" ca="1" si="6"/>
        <v>0</v>
      </c>
      <c r="AX57" s="71">
        <f ca="1">IF(E57&lt;'Invoer gegevens'!$C$17+15,0,IF('RW - MW - DE - DE'!E57&gt;'Invoer gegevens'!$C$17+215,0,'RW - MW - DE - DE'!AW57))</f>
        <v>0</v>
      </c>
      <c r="AY57" s="71">
        <f ca="1">AX57/(1+'Invoer gegevens'!$F$13)^($AZ57-('Invoer gegevens'!$C$17-'Invoer gegevens'!$C$16))/(1+'Invoer gegevens'!$C$39)^('Invoer gegevens'!$C$17-'Invoer gegevens'!$C$16)</f>
        <v>0</v>
      </c>
      <c r="AZ57" s="68">
        <f ca="1">IF(E57-'Invoer gegevens'!$C$17-14.5&lt;0,0,E57-'Invoer gegevens'!$C$17-14.5)</f>
        <v>37.5</v>
      </c>
      <c r="BC57" s="71"/>
    </row>
    <row r="58" spans="2:55" customFormat="1" x14ac:dyDescent="0.25">
      <c r="B58" s="70">
        <f t="shared" si="7"/>
        <v>54</v>
      </c>
      <c r="C58" s="67">
        <f ca="1">IF(E58-'Invoer gegevens'!$C$17&lt;0,0,1)</f>
        <v>1</v>
      </c>
      <c r="D58" s="68">
        <f t="shared" si="8"/>
        <v>53.5</v>
      </c>
      <c r="E58" s="69">
        <f ca="1">IF('Invoer gegevens'!$C$16="","",E57+1)</f>
        <v>2072</v>
      </c>
      <c r="F58" s="82">
        <f ca="1">IF('Invoer gegevens'!$C$17=E58,'Invoer gegevens'!$C$10,IF(C58=1,H57,0))</f>
        <v>0</v>
      </c>
      <c r="G58" s="83">
        <f ca="1">IF(C58&gt;=1,F58*Reeksen!C58,0)</f>
        <v>0</v>
      </c>
      <c r="H58" s="84">
        <f t="shared" ca="1" si="1"/>
        <v>0</v>
      </c>
      <c r="I58" s="85">
        <f ca="1">IF('Invoer gegevens'!$C$17=E58,'Invoer gegevens'!$C$11,IF(C58=1,L57,0))</f>
        <v>0</v>
      </c>
      <c r="J58" s="86">
        <f ca="1">IF(C58&lt;1,0,IF(Reeksen!AD58&lt;=Reeksen!AE58,I58*Reeksen!C58,0))</f>
        <v>0</v>
      </c>
      <c r="K58" s="86">
        <f ca="1">IF(C58&lt;1,0,IF(Reeksen!AD58&gt;Reeksen!AE58,I58*Reeksen!C58,0))</f>
        <v>0</v>
      </c>
      <c r="L58" s="86">
        <f t="shared" ca="1" si="2"/>
        <v>0</v>
      </c>
      <c r="M58" s="85">
        <f ca="1">IF('Invoer gegevens'!$C$17=E58,'Invoer gegevens'!$C$10-'Invoer gegevens'!$C$11,IF(C58=1,P57,0))</f>
        <v>0</v>
      </c>
      <c r="N58" s="86">
        <f ca="1">IF(C58&lt;1,0,IF(Reeksen!AD58&lt;=Reeksen!AE58,M58*Reeksen!C58,0))</f>
        <v>0</v>
      </c>
      <c r="O58" s="86">
        <f ca="1">IF(C58&lt;1,0,IF(Reeksen!AD58&gt;Reeksen!AE58,M58*Reeksen!C58,0))</f>
        <v>0</v>
      </c>
      <c r="P58" s="86">
        <f t="shared" ca="1" si="3"/>
        <v>0</v>
      </c>
      <c r="Q58" s="82">
        <f ca="1">IF('Invoer gegevens'!$C$17=E58,I58,IF(C58=0,0,R57))</f>
        <v>0</v>
      </c>
      <c r="R58" s="84">
        <f t="shared" ca="1" si="0"/>
        <v>0</v>
      </c>
      <c r="S58" s="84">
        <f ca="1">IF('Invoer gegevens'!$C$17=E58,M58,IF(C58=0,0,T57))</f>
        <v>0</v>
      </c>
      <c r="T58" s="84">
        <f t="shared" ca="1" si="9"/>
        <v>0</v>
      </c>
      <c r="AI58" s="71">
        <f ca="1">IF(C58=1,((F58+H58)/2*Reeksen!AI58*12)+(('Invoer gegevens'!$C$10-(F58+H58)/2)*Reeksen!AD58*12),0)</f>
        <v>0</v>
      </c>
      <c r="AJ58" s="71">
        <f ca="1">-AI58*'Invoer gegevens'!$F$28</f>
        <v>0</v>
      </c>
      <c r="AK58" s="71">
        <f t="shared" ca="1" si="4"/>
        <v>0</v>
      </c>
      <c r="AL58" s="71">
        <f ca="1">IF(C58=1,(12*((F58+H58)/2)*Reeksen!AL58)+(12*('Invoer gegevens'!$C$10-(F58+H58)/2)*Reeksen!AM58),0)</f>
        <v>0</v>
      </c>
      <c r="AM58" s="71">
        <f ca="1">-AL58*'Invoer gegevens'!$F$31</f>
        <v>0</v>
      </c>
      <c r="AN58" s="71">
        <f t="shared" ca="1" si="5"/>
        <v>0</v>
      </c>
      <c r="AO58" s="71"/>
      <c r="AP58" s="71"/>
      <c r="AQ58" s="71">
        <f ca="1">-IF(C58=1,('Invoer gegevens'!$C$10*'Invoer gegevens'!$F$35)*Reeksen!J58,0)*2</f>
        <v>0</v>
      </c>
      <c r="AR58" s="71">
        <f ca="1">-IF(C58=1,(G58*'Invoer gegevens'!$F$36)*Reeksen!J58,0)</f>
        <v>0</v>
      </c>
      <c r="AS58" s="71">
        <f ca="1">-IF(C58=1,'Invoer gegevens'!$C$10*'Invoer gegevens'!$F$37*Reeksen!L58,0)</f>
        <v>0</v>
      </c>
      <c r="AT58" s="71">
        <f ca="1">-IF(C58=1,IF(E58='Invoer gegevens'!$C$17,'Invoer gegevens'!$C$11,Q58)*Reeksen!S58*'Invoer gegevens'!$C$18*Reeksen!P58,0)</f>
        <v>0</v>
      </c>
      <c r="AU58" s="71">
        <f ca="1">-IF(C58=1,'Invoer gegevens'!$C$10*'Invoer gegevens'!$F$38*Reeksen!H58,0)</f>
        <v>0</v>
      </c>
      <c r="AV58" s="71">
        <f t="shared" si="10"/>
        <v>0</v>
      </c>
      <c r="AW58" s="71">
        <f t="shared" ca="1" si="6"/>
        <v>0</v>
      </c>
      <c r="AX58" s="71">
        <f ca="1">IF(E58&lt;'Invoer gegevens'!$C$17+15,0,IF('RW - MW - DE - DE'!E58&gt;'Invoer gegevens'!$C$17+215,0,'RW - MW - DE - DE'!AW58))</f>
        <v>0</v>
      </c>
      <c r="AY58" s="71">
        <f ca="1">AX58/(1+'Invoer gegevens'!$F$13)^($AZ58-('Invoer gegevens'!$C$17-'Invoer gegevens'!$C$16))/(1+'Invoer gegevens'!$C$39)^('Invoer gegevens'!$C$17-'Invoer gegevens'!$C$16)</f>
        <v>0</v>
      </c>
      <c r="AZ58" s="68">
        <f ca="1">IF(E58-'Invoer gegevens'!$C$17-14.5&lt;0,0,E58-'Invoer gegevens'!$C$17-14.5)</f>
        <v>38.5</v>
      </c>
      <c r="BC58" s="71"/>
    </row>
    <row r="59" spans="2:55" customFormat="1" x14ac:dyDescent="0.25">
      <c r="B59" s="70">
        <f t="shared" si="7"/>
        <v>55</v>
      </c>
      <c r="C59" s="67">
        <f ca="1">IF(E59-'Invoer gegevens'!$C$17&lt;0,0,1)</f>
        <v>1</v>
      </c>
      <c r="D59" s="68">
        <f t="shared" si="8"/>
        <v>54.5</v>
      </c>
      <c r="E59" s="69">
        <f ca="1">IF('Invoer gegevens'!$C$16="","",E58+1)</f>
        <v>2073</v>
      </c>
      <c r="F59" s="82">
        <f ca="1">IF('Invoer gegevens'!$C$17=E59,'Invoer gegevens'!$C$10,IF(C59=1,H58,0))</f>
        <v>0</v>
      </c>
      <c r="G59" s="83">
        <f ca="1">IF(C59&gt;=1,F59*Reeksen!C59,0)</f>
        <v>0</v>
      </c>
      <c r="H59" s="84">
        <f t="shared" ca="1" si="1"/>
        <v>0</v>
      </c>
      <c r="I59" s="85">
        <f ca="1">IF('Invoer gegevens'!$C$17=E59,'Invoer gegevens'!$C$11,IF(C59=1,L58,0))</f>
        <v>0</v>
      </c>
      <c r="J59" s="86">
        <f ca="1">IF(C59&lt;1,0,IF(Reeksen!AD59&lt;=Reeksen!AE59,I59*Reeksen!C59,0))</f>
        <v>0</v>
      </c>
      <c r="K59" s="86">
        <f ca="1">IF(C59&lt;1,0,IF(Reeksen!AD59&gt;Reeksen!AE59,I59*Reeksen!C59,0))</f>
        <v>0</v>
      </c>
      <c r="L59" s="86">
        <f t="shared" ca="1" si="2"/>
        <v>0</v>
      </c>
      <c r="M59" s="85">
        <f ca="1">IF('Invoer gegevens'!$C$17=E59,'Invoer gegevens'!$C$10-'Invoer gegevens'!$C$11,IF(C59=1,P58,0))</f>
        <v>0</v>
      </c>
      <c r="N59" s="86">
        <f ca="1">IF(C59&lt;1,0,IF(Reeksen!AD59&lt;=Reeksen!AE59,M59*Reeksen!C59,0))</f>
        <v>0</v>
      </c>
      <c r="O59" s="86">
        <f ca="1">IF(C59&lt;1,0,IF(Reeksen!AD59&gt;Reeksen!AE59,M59*Reeksen!C59,0))</f>
        <v>0</v>
      </c>
      <c r="P59" s="86">
        <f t="shared" ca="1" si="3"/>
        <v>0</v>
      </c>
      <c r="Q59" s="82">
        <f ca="1">IF('Invoer gegevens'!$C$17=E59,I59,IF(C59=0,0,R58))</f>
        <v>0</v>
      </c>
      <c r="R59" s="84">
        <f t="shared" ca="1" si="0"/>
        <v>0</v>
      </c>
      <c r="S59" s="84">
        <f ca="1">IF('Invoer gegevens'!$C$17=E59,M59,IF(C59=0,0,T58))</f>
        <v>0</v>
      </c>
      <c r="T59" s="84">
        <f t="shared" ca="1" si="9"/>
        <v>0</v>
      </c>
      <c r="AI59" s="71">
        <f ca="1">IF(C59=1,((F59+H59)/2*Reeksen!AI59*12)+(('Invoer gegevens'!$C$10-(F59+H59)/2)*Reeksen!AD59*12),0)</f>
        <v>0</v>
      </c>
      <c r="AJ59" s="71">
        <f ca="1">-AI59*'Invoer gegevens'!$F$28</f>
        <v>0</v>
      </c>
      <c r="AK59" s="71">
        <f t="shared" ca="1" si="4"/>
        <v>0</v>
      </c>
      <c r="AL59" s="71">
        <f ca="1">IF(C59=1,(12*((F59+H59)/2)*Reeksen!AL59)+(12*('Invoer gegevens'!$C$10-(F59+H59)/2)*Reeksen!AM59),0)</f>
        <v>0</v>
      </c>
      <c r="AM59" s="71">
        <f ca="1">-AL59*'Invoer gegevens'!$F$31</f>
        <v>0</v>
      </c>
      <c r="AN59" s="71">
        <f t="shared" ca="1" si="5"/>
        <v>0</v>
      </c>
      <c r="AO59" s="71"/>
      <c r="AP59" s="71"/>
      <c r="AQ59" s="71">
        <f ca="1">-IF(C59=1,('Invoer gegevens'!$C$10*'Invoer gegevens'!$F$35)*Reeksen!J59,0)*2</f>
        <v>0</v>
      </c>
      <c r="AR59" s="71">
        <f ca="1">-IF(C59=1,(G59*'Invoer gegevens'!$F$36)*Reeksen!J59,0)</f>
        <v>0</v>
      </c>
      <c r="AS59" s="71">
        <f ca="1">-IF(C59=1,'Invoer gegevens'!$C$10*'Invoer gegevens'!$F$37*Reeksen!L59,0)</f>
        <v>0</v>
      </c>
      <c r="AT59" s="71">
        <f ca="1">-IF(C59=1,IF(E59='Invoer gegevens'!$C$17,'Invoer gegevens'!$C$11,Q59)*Reeksen!S59*'Invoer gegevens'!$C$18*Reeksen!P59,0)</f>
        <v>0</v>
      </c>
      <c r="AU59" s="71">
        <f ca="1">-IF(C59=1,'Invoer gegevens'!$C$10*'Invoer gegevens'!$F$38*Reeksen!H59,0)</f>
        <v>0</v>
      </c>
      <c r="AV59" s="71">
        <f t="shared" si="10"/>
        <v>0</v>
      </c>
      <c r="AW59" s="71">
        <f t="shared" ca="1" si="6"/>
        <v>0</v>
      </c>
      <c r="AX59" s="71">
        <f ca="1">IF(E59&lt;'Invoer gegevens'!$C$17+15,0,IF('RW - MW - DE - DE'!E59&gt;'Invoer gegevens'!$C$17+215,0,'RW - MW - DE - DE'!AW59))</f>
        <v>0</v>
      </c>
      <c r="AY59" s="71">
        <f ca="1">AX59/(1+'Invoer gegevens'!$F$13)^($AZ59-('Invoer gegevens'!$C$17-'Invoer gegevens'!$C$16))/(1+'Invoer gegevens'!$C$39)^('Invoer gegevens'!$C$17-'Invoer gegevens'!$C$16)</f>
        <v>0</v>
      </c>
      <c r="AZ59" s="68">
        <f ca="1">IF(E59-'Invoer gegevens'!$C$17-14.5&lt;0,0,E59-'Invoer gegevens'!$C$17-14.5)</f>
        <v>39.5</v>
      </c>
      <c r="BC59" s="71"/>
    </row>
    <row r="60" spans="2:55" customFormat="1" x14ac:dyDescent="0.25">
      <c r="B60" s="70">
        <f t="shared" si="7"/>
        <v>56</v>
      </c>
      <c r="C60" s="67">
        <f ca="1">IF(E60-'Invoer gegevens'!$C$17&lt;0,0,1)</f>
        <v>1</v>
      </c>
      <c r="D60" s="68">
        <f t="shared" si="8"/>
        <v>55.5</v>
      </c>
      <c r="E60" s="69">
        <f ca="1">IF('Invoer gegevens'!$C$16="","",E59+1)</f>
        <v>2074</v>
      </c>
      <c r="F60" s="82">
        <f ca="1">IF('Invoer gegevens'!$C$17=E60,'Invoer gegevens'!$C$10,IF(C60=1,H59,0))</f>
        <v>0</v>
      </c>
      <c r="G60" s="83">
        <f ca="1">IF(C60&gt;=1,F60*Reeksen!C60,0)</f>
        <v>0</v>
      </c>
      <c r="H60" s="84">
        <f t="shared" ca="1" si="1"/>
        <v>0</v>
      </c>
      <c r="I60" s="85">
        <f ca="1">IF('Invoer gegevens'!$C$17=E60,'Invoer gegevens'!$C$11,IF(C60=1,L59,0))</f>
        <v>0</v>
      </c>
      <c r="J60" s="86">
        <f ca="1">IF(C60&lt;1,0,IF(Reeksen!AD60&lt;=Reeksen!AE60,I60*Reeksen!C60,0))</f>
        <v>0</v>
      </c>
      <c r="K60" s="86">
        <f ca="1">IF(C60&lt;1,0,IF(Reeksen!AD60&gt;Reeksen!AE60,I60*Reeksen!C60,0))</f>
        <v>0</v>
      </c>
      <c r="L60" s="86">
        <f t="shared" ca="1" si="2"/>
        <v>0</v>
      </c>
      <c r="M60" s="85">
        <f ca="1">IF('Invoer gegevens'!$C$17=E60,'Invoer gegevens'!$C$10-'Invoer gegevens'!$C$11,IF(C60=1,P59,0))</f>
        <v>0</v>
      </c>
      <c r="N60" s="86">
        <f ca="1">IF(C60&lt;1,0,IF(Reeksen!AD60&lt;=Reeksen!AE60,M60*Reeksen!C60,0))</f>
        <v>0</v>
      </c>
      <c r="O60" s="86">
        <f ca="1">IF(C60&lt;1,0,IF(Reeksen!AD60&gt;Reeksen!AE60,M60*Reeksen!C60,0))</f>
        <v>0</v>
      </c>
      <c r="P60" s="86">
        <f t="shared" ca="1" si="3"/>
        <v>0</v>
      </c>
      <c r="Q60" s="82">
        <f ca="1">IF('Invoer gegevens'!$C$17=E60,I60,IF(C60=0,0,R59))</f>
        <v>0</v>
      </c>
      <c r="R60" s="84">
        <f t="shared" ca="1" si="0"/>
        <v>0</v>
      </c>
      <c r="S60" s="84">
        <f ca="1">IF('Invoer gegevens'!$C$17=E60,M60,IF(C60=0,0,T59))</f>
        <v>0</v>
      </c>
      <c r="T60" s="84">
        <f t="shared" ca="1" si="9"/>
        <v>0</v>
      </c>
      <c r="AI60" s="71">
        <f ca="1">IF(C60=1,((F60+H60)/2*Reeksen!AI60*12)+(('Invoer gegevens'!$C$10-(F60+H60)/2)*Reeksen!AD60*12),0)</f>
        <v>0</v>
      </c>
      <c r="AJ60" s="71">
        <f ca="1">-AI60*'Invoer gegevens'!$F$28</f>
        <v>0</v>
      </c>
      <c r="AK60" s="71">
        <f t="shared" ca="1" si="4"/>
        <v>0</v>
      </c>
      <c r="AL60" s="71">
        <f ca="1">IF(C60=1,(12*((F60+H60)/2)*Reeksen!AL60)+(12*('Invoer gegevens'!$C$10-(F60+H60)/2)*Reeksen!AM60),0)</f>
        <v>0</v>
      </c>
      <c r="AM60" s="71">
        <f ca="1">-AL60*'Invoer gegevens'!$F$31</f>
        <v>0</v>
      </c>
      <c r="AN60" s="71">
        <f t="shared" ca="1" si="5"/>
        <v>0</v>
      </c>
      <c r="AO60" s="71"/>
      <c r="AP60" s="71"/>
      <c r="AQ60" s="71">
        <f ca="1">-IF(C60=1,('Invoer gegevens'!$C$10*'Invoer gegevens'!$F$35)*Reeksen!J60,0)*2</f>
        <v>0</v>
      </c>
      <c r="AR60" s="71">
        <f ca="1">-IF(C60=1,(G60*'Invoer gegevens'!$F$36)*Reeksen!J60,0)</f>
        <v>0</v>
      </c>
      <c r="AS60" s="71">
        <f ca="1">-IF(C60=1,'Invoer gegevens'!$C$10*'Invoer gegevens'!$F$37*Reeksen!L60,0)</f>
        <v>0</v>
      </c>
      <c r="AT60" s="71">
        <f ca="1">-IF(C60=1,IF(E60='Invoer gegevens'!$C$17,'Invoer gegevens'!$C$11,Q60)*Reeksen!S60*'Invoer gegevens'!$C$18*Reeksen!P60,0)</f>
        <v>0</v>
      </c>
      <c r="AU60" s="71">
        <f ca="1">-IF(C60=1,'Invoer gegevens'!$C$10*'Invoer gegevens'!$F$38*Reeksen!H60,0)</f>
        <v>0</v>
      </c>
      <c r="AV60" s="71">
        <f t="shared" si="10"/>
        <v>0</v>
      </c>
      <c r="AW60" s="71">
        <f t="shared" ca="1" si="6"/>
        <v>0</v>
      </c>
      <c r="AX60" s="71">
        <f ca="1">IF(E60&lt;'Invoer gegevens'!$C$17+15,0,IF('RW - MW - DE - DE'!E60&gt;'Invoer gegevens'!$C$17+215,0,'RW - MW - DE - DE'!AW60))</f>
        <v>0</v>
      </c>
      <c r="AY60" s="71">
        <f ca="1">AX60/(1+'Invoer gegevens'!$F$13)^($AZ60-('Invoer gegevens'!$C$17-'Invoer gegevens'!$C$16))/(1+'Invoer gegevens'!$C$39)^('Invoer gegevens'!$C$17-'Invoer gegevens'!$C$16)</f>
        <v>0</v>
      </c>
      <c r="AZ60" s="68">
        <f ca="1">IF(E60-'Invoer gegevens'!$C$17-14.5&lt;0,0,E60-'Invoer gegevens'!$C$17-14.5)</f>
        <v>40.5</v>
      </c>
      <c r="BC60" s="71"/>
    </row>
    <row r="61" spans="2:55" customFormat="1" x14ac:dyDescent="0.25">
      <c r="B61" s="70">
        <f t="shared" si="7"/>
        <v>57</v>
      </c>
      <c r="C61" s="67">
        <f ca="1">IF(E61-'Invoer gegevens'!$C$17&lt;0,0,1)</f>
        <v>1</v>
      </c>
      <c r="D61" s="68">
        <f t="shared" si="8"/>
        <v>56.5</v>
      </c>
      <c r="E61" s="69">
        <f ca="1">IF('Invoer gegevens'!$C$16="","",E60+1)</f>
        <v>2075</v>
      </c>
      <c r="F61" s="82">
        <f ca="1">IF('Invoer gegevens'!$C$17=E61,'Invoer gegevens'!$C$10,IF(C61=1,H60,0))</f>
        <v>0</v>
      </c>
      <c r="G61" s="83">
        <f ca="1">IF(C61&gt;=1,F61*Reeksen!C61,0)</f>
        <v>0</v>
      </c>
      <c r="H61" s="84">
        <f t="shared" ca="1" si="1"/>
        <v>0</v>
      </c>
      <c r="I61" s="85">
        <f ca="1">IF('Invoer gegevens'!$C$17=E61,'Invoer gegevens'!$C$11,IF(C61=1,L60,0))</f>
        <v>0</v>
      </c>
      <c r="J61" s="86">
        <f ca="1">IF(C61&lt;1,0,IF(Reeksen!AD61&lt;=Reeksen!AE61,I61*Reeksen!C61,0))</f>
        <v>0</v>
      </c>
      <c r="K61" s="86">
        <f ca="1">IF(C61&lt;1,0,IF(Reeksen!AD61&gt;Reeksen!AE61,I61*Reeksen!C61,0))</f>
        <v>0</v>
      </c>
      <c r="L61" s="86">
        <f t="shared" ca="1" si="2"/>
        <v>0</v>
      </c>
      <c r="M61" s="85">
        <f ca="1">IF('Invoer gegevens'!$C$17=E61,'Invoer gegevens'!$C$10-'Invoer gegevens'!$C$11,IF(C61=1,P60,0))</f>
        <v>0</v>
      </c>
      <c r="N61" s="86">
        <f ca="1">IF(C61&lt;1,0,IF(Reeksen!AD61&lt;=Reeksen!AE61,M61*Reeksen!C61,0))</f>
        <v>0</v>
      </c>
      <c r="O61" s="86">
        <f ca="1">IF(C61&lt;1,0,IF(Reeksen!AD61&gt;Reeksen!AE61,M61*Reeksen!C61,0))</f>
        <v>0</v>
      </c>
      <c r="P61" s="86">
        <f t="shared" ca="1" si="3"/>
        <v>0</v>
      </c>
      <c r="Q61" s="82">
        <f ca="1">IF('Invoer gegevens'!$C$17=E61,I61,IF(C61=0,0,R60))</f>
        <v>0</v>
      </c>
      <c r="R61" s="84">
        <f t="shared" ca="1" si="0"/>
        <v>0</v>
      </c>
      <c r="S61" s="84">
        <f ca="1">IF('Invoer gegevens'!$C$17=E61,M61,IF(C61=0,0,T60))</f>
        <v>0</v>
      </c>
      <c r="T61" s="84">
        <f t="shared" ca="1" si="9"/>
        <v>0</v>
      </c>
      <c r="AI61" s="71">
        <f ca="1">IF(C61=1,((F61+H61)/2*Reeksen!AI61*12)+(('Invoer gegevens'!$C$10-(F61+H61)/2)*Reeksen!AD61*12),0)</f>
        <v>0</v>
      </c>
      <c r="AJ61" s="71">
        <f ca="1">-AI61*'Invoer gegevens'!$F$28</f>
        <v>0</v>
      </c>
      <c r="AK61" s="71">
        <f t="shared" ca="1" si="4"/>
        <v>0</v>
      </c>
      <c r="AL61" s="71">
        <f ca="1">IF(C61=1,(12*((F61+H61)/2)*Reeksen!AL61)+(12*('Invoer gegevens'!$C$10-(F61+H61)/2)*Reeksen!AM61),0)</f>
        <v>0</v>
      </c>
      <c r="AM61" s="71">
        <f ca="1">-AL61*'Invoer gegevens'!$F$31</f>
        <v>0</v>
      </c>
      <c r="AN61" s="71">
        <f t="shared" ca="1" si="5"/>
        <v>0</v>
      </c>
      <c r="AO61" s="71"/>
      <c r="AP61" s="71"/>
      <c r="AQ61" s="71">
        <f ca="1">-IF(C61=1,('Invoer gegevens'!$C$10*'Invoer gegevens'!$F$35)*Reeksen!J61,0)*2</f>
        <v>0</v>
      </c>
      <c r="AR61" s="71">
        <f ca="1">-IF(C61=1,(G61*'Invoer gegevens'!$F$36)*Reeksen!J61,0)</f>
        <v>0</v>
      </c>
      <c r="AS61" s="71">
        <f ca="1">-IF(C61=1,'Invoer gegevens'!$C$10*'Invoer gegevens'!$F$37*Reeksen!L61,0)</f>
        <v>0</v>
      </c>
      <c r="AT61" s="71">
        <f ca="1">-IF(C61=1,IF(E61='Invoer gegevens'!$C$17,'Invoer gegevens'!$C$11,Q61)*Reeksen!S61*'Invoer gegevens'!$C$18*Reeksen!P61,0)</f>
        <v>0</v>
      </c>
      <c r="AU61" s="71">
        <f ca="1">-IF(C61=1,'Invoer gegevens'!$C$10*'Invoer gegevens'!$F$38*Reeksen!H61,0)</f>
        <v>0</v>
      </c>
      <c r="AV61" s="71">
        <f t="shared" si="10"/>
        <v>0</v>
      </c>
      <c r="AW61" s="71">
        <f t="shared" ca="1" si="6"/>
        <v>0</v>
      </c>
      <c r="AX61" s="71">
        <f ca="1">IF(E61&lt;'Invoer gegevens'!$C$17+15,0,IF('RW - MW - DE - DE'!E61&gt;'Invoer gegevens'!$C$17+215,0,'RW - MW - DE - DE'!AW61))</f>
        <v>0</v>
      </c>
      <c r="AY61" s="71">
        <f ca="1">AX61/(1+'Invoer gegevens'!$F$13)^($AZ61-('Invoer gegevens'!$C$17-'Invoer gegevens'!$C$16))/(1+'Invoer gegevens'!$C$39)^('Invoer gegevens'!$C$17-'Invoer gegevens'!$C$16)</f>
        <v>0</v>
      </c>
      <c r="AZ61" s="68">
        <f ca="1">IF(E61-'Invoer gegevens'!$C$17-14.5&lt;0,0,E61-'Invoer gegevens'!$C$17-14.5)</f>
        <v>41.5</v>
      </c>
      <c r="BC61" s="71"/>
    </row>
    <row r="62" spans="2:55" customFormat="1" x14ac:dyDescent="0.25">
      <c r="B62" s="70">
        <f t="shared" si="7"/>
        <v>58</v>
      </c>
      <c r="C62" s="67">
        <f ca="1">IF(E62-'Invoer gegevens'!$C$17&lt;0,0,1)</f>
        <v>1</v>
      </c>
      <c r="D62" s="68">
        <f t="shared" si="8"/>
        <v>57.5</v>
      </c>
      <c r="E62" s="69">
        <f ca="1">IF('Invoer gegevens'!$C$16="","",E61+1)</f>
        <v>2076</v>
      </c>
      <c r="F62" s="82">
        <f ca="1">IF('Invoer gegevens'!$C$17=E62,'Invoer gegevens'!$C$10,IF(C62=1,H61,0))</f>
        <v>0</v>
      </c>
      <c r="G62" s="83">
        <f ca="1">IF(C62&gt;=1,F62*Reeksen!C62,0)</f>
        <v>0</v>
      </c>
      <c r="H62" s="84">
        <f t="shared" ca="1" si="1"/>
        <v>0</v>
      </c>
      <c r="I62" s="85">
        <f ca="1">IF('Invoer gegevens'!$C$17=E62,'Invoer gegevens'!$C$11,IF(C62=1,L61,0))</f>
        <v>0</v>
      </c>
      <c r="J62" s="86">
        <f ca="1">IF(C62&lt;1,0,IF(Reeksen!AD62&lt;=Reeksen!AE62,I62*Reeksen!C62,0))</f>
        <v>0</v>
      </c>
      <c r="K62" s="86">
        <f ca="1">IF(C62&lt;1,0,IF(Reeksen!AD62&gt;Reeksen!AE62,I62*Reeksen!C62,0))</f>
        <v>0</v>
      </c>
      <c r="L62" s="86">
        <f t="shared" ca="1" si="2"/>
        <v>0</v>
      </c>
      <c r="M62" s="85">
        <f ca="1">IF('Invoer gegevens'!$C$17=E62,'Invoer gegevens'!$C$10-'Invoer gegevens'!$C$11,IF(C62=1,P61,0))</f>
        <v>0</v>
      </c>
      <c r="N62" s="86">
        <f ca="1">IF(C62&lt;1,0,IF(Reeksen!AD62&lt;=Reeksen!AE62,M62*Reeksen!C62,0))</f>
        <v>0</v>
      </c>
      <c r="O62" s="86">
        <f ca="1">IF(C62&lt;1,0,IF(Reeksen!AD62&gt;Reeksen!AE62,M62*Reeksen!C62,0))</f>
        <v>0</v>
      </c>
      <c r="P62" s="86">
        <f t="shared" ca="1" si="3"/>
        <v>0</v>
      </c>
      <c r="Q62" s="82">
        <f ca="1">IF('Invoer gegevens'!$C$17=E62,I62,IF(C62=0,0,R61))</f>
        <v>0</v>
      </c>
      <c r="R62" s="84">
        <f t="shared" ca="1" si="0"/>
        <v>0</v>
      </c>
      <c r="S62" s="84">
        <f ca="1">IF('Invoer gegevens'!$C$17=E62,M62,IF(C62=0,0,T61))</f>
        <v>0</v>
      </c>
      <c r="T62" s="84">
        <f t="shared" ca="1" si="9"/>
        <v>0</v>
      </c>
      <c r="AI62" s="71">
        <f ca="1">IF(C62=1,((F62+H62)/2*Reeksen!AI62*12)+(('Invoer gegevens'!$C$10-(F62+H62)/2)*Reeksen!AD62*12),0)</f>
        <v>0</v>
      </c>
      <c r="AJ62" s="71">
        <f ca="1">-AI62*'Invoer gegevens'!$F$28</f>
        <v>0</v>
      </c>
      <c r="AK62" s="71">
        <f t="shared" ca="1" si="4"/>
        <v>0</v>
      </c>
      <c r="AL62" s="71">
        <f ca="1">IF(C62=1,(12*((F62+H62)/2)*Reeksen!AL62)+(12*('Invoer gegevens'!$C$10-(F62+H62)/2)*Reeksen!AM62),0)</f>
        <v>0</v>
      </c>
      <c r="AM62" s="71">
        <f ca="1">-AL62*'Invoer gegevens'!$F$31</f>
        <v>0</v>
      </c>
      <c r="AN62" s="71">
        <f t="shared" ca="1" si="5"/>
        <v>0</v>
      </c>
      <c r="AO62" s="71"/>
      <c r="AP62" s="71"/>
      <c r="AQ62" s="71">
        <f ca="1">-IF(C62=1,('Invoer gegevens'!$C$10*'Invoer gegevens'!$F$35)*Reeksen!J62,0)*2</f>
        <v>0</v>
      </c>
      <c r="AR62" s="71">
        <f ca="1">-IF(C62=1,(G62*'Invoer gegevens'!$F$36)*Reeksen!J62,0)</f>
        <v>0</v>
      </c>
      <c r="AS62" s="71">
        <f ca="1">-IF(C62=1,'Invoer gegevens'!$C$10*'Invoer gegevens'!$F$37*Reeksen!L62,0)</f>
        <v>0</v>
      </c>
      <c r="AT62" s="71">
        <f ca="1">-IF(C62=1,IF(E62='Invoer gegevens'!$C$17,'Invoer gegevens'!$C$11,Q62)*Reeksen!S62*'Invoer gegevens'!$C$18*Reeksen!P62,0)</f>
        <v>0</v>
      </c>
      <c r="AU62" s="71">
        <f ca="1">-IF(C62=1,'Invoer gegevens'!$C$10*'Invoer gegevens'!$F$38*Reeksen!H62,0)</f>
        <v>0</v>
      </c>
      <c r="AV62" s="71">
        <f t="shared" si="10"/>
        <v>0</v>
      </c>
      <c r="AW62" s="71">
        <f t="shared" ca="1" si="6"/>
        <v>0</v>
      </c>
      <c r="AX62" s="71">
        <f ca="1">IF(E62&lt;'Invoer gegevens'!$C$17+15,0,IF('RW - MW - DE - DE'!E62&gt;'Invoer gegevens'!$C$17+215,0,'RW - MW - DE - DE'!AW62))</f>
        <v>0</v>
      </c>
      <c r="AY62" s="71">
        <f ca="1">AX62/(1+'Invoer gegevens'!$F$13)^($AZ62-('Invoer gegevens'!$C$17-'Invoer gegevens'!$C$16))/(1+'Invoer gegevens'!$C$39)^('Invoer gegevens'!$C$17-'Invoer gegevens'!$C$16)</f>
        <v>0</v>
      </c>
      <c r="AZ62" s="68">
        <f ca="1">IF(E62-'Invoer gegevens'!$C$17-14.5&lt;0,0,E62-'Invoer gegevens'!$C$17-14.5)</f>
        <v>42.5</v>
      </c>
      <c r="BC62" s="71"/>
    </row>
    <row r="63" spans="2:55" customFormat="1" x14ac:dyDescent="0.25">
      <c r="B63" s="70">
        <f t="shared" si="7"/>
        <v>59</v>
      </c>
      <c r="C63" s="67">
        <f ca="1">IF(E63-'Invoer gegevens'!$C$17&lt;0,0,1)</f>
        <v>1</v>
      </c>
      <c r="D63" s="68">
        <f t="shared" si="8"/>
        <v>58.5</v>
      </c>
      <c r="E63" s="69">
        <f ca="1">IF('Invoer gegevens'!$C$16="","",E62+1)</f>
        <v>2077</v>
      </c>
      <c r="F63" s="82">
        <f ca="1">IF('Invoer gegevens'!$C$17=E63,'Invoer gegevens'!$C$10,IF(C63=1,H62,0))</f>
        <v>0</v>
      </c>
      <c r="G63" s="83">
        <f ca="1">IF(C63&gt;=1,F63*Reeksen!C63,0)</f>
        <v>0</v>
      </c>
      <c r="H63" s="84">
        <f t="shared" ca="1" si="1"/>
        <v>0</v>
      </c>
      <c r="I63" s="85">
        <f ca="1">IF('Invoer gegevens'!$C$17=E63,'Invoer gegevens'!$C$11,IF(C63=1,L62,0))</f>
        <v>0</v>
      </c>
      <c r="J63" s="86">
        <f ca="1">IF(C63&lt;1,0,IF(Reeksen!AD63&lt;=Reeksen!AE63,I63*Reeksen!C63,0))</f>
        <v>0</v>
      </c>
      <c r="K63" s="86">
        <f ca="1">IF(C63&lt;1,0,IF(Reeksen!AD63&gt;Reeksen!AE63,I63*Reeksen!C63,0))</f>
        <v>0</v>
      </c>
      <c r="L63" s="86">
        <f t="shared" ca="1" si="2"/>
        <v>0</v>
      </c>
      <c r="M63" s="85">
        <f ca="1">IF('Invoer gegevens'!$C$17=E63,'Invoer gegevens'!$C$10-'Invoer gegevens'!$C$11,IF(C63=1,P62,0))</f>
        <v>0</v>
      </c>
      <c r="N63" s="86">
        <f ca="1">IF(C63&lt;1,0,IF(Reeksen!AD63&lt;=Reeksen!AE63,M63*Reeksen!C63,0))</f>
        <v>0</v>
      </c>
      <c r="O63" s="86">
        <f ca="1">IF(C63&lt;1,0,IF(Reeksen!AD63&gt;Reeksen!AE63,M63*Reeksen!C63,0))</f>
        <v>0</v>
      </c>
      <c r="P63" s="86">
        <f t="shared" ca="1" si="3"/>
        <v>0</v>
      </c>
      <c r="Q63" s="82">
        <f ca="1">IF('Invoer gegevens'!$C$17=E63,I63,IF(C63=0,0,R62))</f>
        <v>0</v>
      </c>
      <c r="R63" s="84">
        <f t="shared" ca="1" si="0"/>
        <v>0</v>
      </c>
      <c r="S63" s="84">
        <f ca="1">IF('Invoer gegevens'!$C$17=E63,M63,IF(C63=0,0,T62))</f>
        <v>0</v>
      </c>
      <c r="T63" s="84">
        <f t="shared" ca="1" si="9"/>
        <v>0</v>
      </c>
      <c r="AI63" s="71">
        <f ca="1">IF(C63=1,((F63+H63)/2*Reeksen!AI63*12)+(('Invoer gegevens'!$C$10-(F63+H63)/2)*Reeksen!AD63*12),0)</f>
        <v>0</v>
      </c>
      <c r="AJ63" s="71">
        <f ca="1">-AI63*'Invoer gegevens'!$F$28</f>
        <v>0</v>
      </c>
      <c r="AK63" s="71">
        <f t="shared" ca="1" si="4"/>
        <v>0</v>
      </c>
      <c r="AL63" s="71">
        <f ca="1">IF(C63=1,(12*((F63+H63)/2)*Reeksen!AL63)+(12*('Invoer gegevens'!$C$10-(F63+H63)/2)*Reeksen!AM63),0)</f>
        <v>0</v>
      </c>
      <c r="AM63" s="71">
        <f ca="1">-AL63*'Invoer gegevens'!$F$31</f>
        <v>0</v>
      </c>
      <c r="AN63" s="71">
        <f t="shared" ca="1" si="5"/>
        <v>0</v>
      </c>
      <c r="AO63" s="71"/>
      <c r="AP63" s="71"/>
      <c r="AQ63" s="71">
        <f ca="1">-IF(C63=1,('Invoer gegevens'!$C$10*'Invoer gegevens'!$F$35)*Reeksen!J63,0)*2</f>
        <v>0</v>
      </c>
      <c r="AR63" s="71">
        <f ca="1">-IF(C63=1,(G63*'Invoer gegevens'!$F$36)*Reeksen!J63,0)</f>
        <v>0</v>
      </c>
      <c r="AS63" s="71">
        <f ca="1">-IF(C63=1,'Invoer gegevens'!$C$10*'Invoer gegevens'!$F$37*Reeksen!L63,0)</f>
        <v>0</v>
      </c>
      <c r="AT63" s="71">
        <f ca="1">-IF(C63=1,IF(E63='Invoer gegevens'!$C$17,'Invoer gegevens'!$C$11,Q63)*Reeksen!S63*'Invoer gegevens'!$C$18*Reeksen!P63,0)</f>
        <v>0</v>
      </c>
      <c r="AU63" s="71">
        <f ca="1">-IF(C63=1,'Invoer gegevens'!$C$10*'Invoer gegevens'!$F$38*Reeksen!H63,0)</f>
        <v>0</v>
      </c>
      <c r="AV63" s="71">
        <f t="shared" si="10"/>
        <v>0</v>
      </c>
      <c r="AW63" s="71">
        <f t="shared" ca="1" si="6"/>
        <v>0</v>
      </c>
      <c r="AX63" s="71">
        <f ca="1">IF(E63&lt;'Invoer gegevens'!$C$17+15,0,IF('RW - MW - DE - DE'!E63&gt;'Invoer gegevens'!$C$17+215,0,'RW - MW - DE - DE'!AW63))</f>
        <v>0</v>
      </c>
      <c r="AY63" s="71">
        <f ca="1">AX63/(1+'Invoer gegevens'!$F$13)^($AZ63-('Invoer gegevens'!$C$17-'Invoer gegevens'!$C$16))/(1+'Invoer gegevens'!$C$39)^('Invoer gegevens'!$C$17-'Invoer gegevens'!$C$16)</f>
        <v>0</v>
      </c>
      <c r="AZ63" s="68">
        <f ca="1">IF(E63-'Invoer gegevens'!$C$17-14.5&lt;0,0,E63-'Invoer gegevens'!$C$17-14.5)</f>
        <v>43.5</v>
      </c>
      <c r="BC63" s="71"/>
    </row>
    <row r="64" spans="2:55" customFormat="1" x14ac:dyDescent="0.25">
      <c r="B64" s="70">
        <f t="shared" si="7"/>
        <v>60</v>
      </c>
      <c r="C64" s="67">
        <f ca="1">IF(E64-'Invoer gegevens'!$C$17&lt;0,0,1)</f>
        <v>1</v>
      </c>
      <c r="D64" s="68">
        <f t="shared" si="8"/>
        <v>59.5</v>
      </c>
      <c r="E64" s="69">
        <f ca="1">IF('Invoer gegevens'!$C$16="","",E63+1)</f>
        <v>2078</v>
      </c>
      <c r="F64" s="82">
        <f ca="1">IF('Invoer gegevens'!$C$17=E64,'Invoer gegevens'!$C$10,IF(C64=1,H63,0))</f>
        <v>0</v>
      </c>
      <c r="G64" s="83">
        <f ca="1">IF(C64&gt;=1,F64*Reeksen!C64,0)</f>
        <v>0</v>
      </c>
      <c r="H64" s="84">
        <f t="shared" ca="1" si="1"/>
        <v>0</v>
      </c>
      <c r="I64" s="85">
        <f ca="1">IF('Invoer gegevens'!$C$17=E64,'Invoer gegevens'!$C$11,IF(C64=1,L63,0))</f>
        <v>0</v>
      </c>
      <c r="J64" s="86">
        <f ca="1">IF(C64&lt;1,0,IF(Reeksen!AD64&lt;=Reeksen!AE64,I64*Reeksen!C64,0))</f>
        <v>0</v>
      </c>
      <c r="K64" s="86">
        <f ca="1">IF(C64&lt;1,0,IF(Reeksen!AD64&gt;Reeksen!AE64,I64*Reeksen!C64,0))</f>
        <v>0</v>
      </c>
      <c r="L64" s="86">
        <f t="shared" ca="1" si="2"/>
        <v>0</v>
      </c>
      <c r="M64" s="85">
        <f ca="1">IF('Invoer gegevens'!$C$17=E64,'Invoer gegevens'!$C$10-'Invoer gegevens'!$C$11,IF(C64=1,P63,0))</f>
        <v>0</v>
      </c>
      <c r="N64" s="86">
        <f ca="1">IF(C64&lt;1,0,IF(Reeksen!AD64&lt;=Reeksen!AE64,M64*Reeksen!C64,0))</f>
        <v>0</v>
      </c>
      <c r="O64" s="86">
        <f ca="1">IF(C64&lt;1,0,IF(Reeksen!AD64&gt;Reeksen!AE64,M64*Reeksen!C64,0))</f>
        <v>0</v>
      </c>
      <c r="P64" s="86">
        <f t="shared" ca="1" si="3"/>
        <v>0</v>
      </c>
      <c r="Q64" s="82">
        <f ca="1">IF('Invoer gegevens'!$C$17=E64,I64,IF(C64=0,0,R63))</f>
        <v>0</v>
      </c>
      <c r="R64" s="84">
        <f t="shared" ca="1" si="0"/>
        <v>0</v>
      </c>
      <c r="S64" s="84">
        <f ca="1">IF('Invoer gegevens'!$C$17=E64,M64,IF(C64=0,0,T63))</f>
        <v>0</v>
      </c>
      <c r="T64" s="84">
        <f t="shared" ca="1" si="9"/>
        <v>0</v>
      </c>
      <c r="AI64" s="71">
        <f ca="1">IF(C64=1,((F64+H64)/2*Reeksen!AI64*12)+(('Invoer gegevens'!$C$10-(F64+H64)/2)*Reeksen!AD64*12),0)</f>
        <v>0</v>
      </c>
      <c r="AJ64" s="71">
        <f ca="1">-AI64*'Invoer gegevens'!$F$28</f>
        <v>0</v>
      </c>
      <c r="AK64" s="71">
        <f t="shared" ca="1" si="4"/>
        <v>0</v>
      </c>
      <c r="AL64" s="71">
        <f ca="1">IF(C64=1,(12*((F64+H64)/2)*Reeksen!AL64)+(12*('Invoer gegevens'!$C$10-(F64+H64)/2)*Reeksen!AM64),0)</f>
        <v>0</v>
      </c>
      <c r="AM64" s="71">
        <f ca="1">-AL64*'Invoer gegevens'!$F$31</f>
        <v>0</v>
      </c>
      <c r="AN64" s="71">
        <f t="shared" ca="1" si="5"/>
        <v>0</v>
      </c>
      <c r="AO64" s="71"/>
      <c r="AP64" s="71"/>
      <c r="AQ64" s="71">
        <f ca="1">-IF(C64=1,('Invoer gegevens'!$C$10*'Invoer gegevens'!$F$35)*Reeksen!J64,0)*2</f>
        <v>0</v>
      </c>
      <c r="AR64" s="71">
        <f ca="1">-IF(C64=1,(G64*'Invoer gegevens'!$F$36)*Reeksen!J64,0)</f>
        <v>0</v>
      </c>
      <c r="AS64" s="71">
        <f ca="1">-IF(C64=1,'Invoer gegevens'!$C$10*'Invoer gegevens'!$F$37*Reeksen!L64,0)</f>
        <v>0</v>
      </c>
      <c r="AT64" s="71">
        <f ca="1">-IF(C64=1,IF(E64='Invoer gegevens'!$C$17,'Invoer gegevens'!$C$11,Q64)*Reeksen!S64*'Invoer gegevens'!$C$18*Reeksen!P64,0)</f>
        <v>0</v>
      </c>
      <c r="AU64" s="71">
        <f ca="1">-IF(C64=1,'Invoer gegevens'!$C$10*'Invoer gegevens'!$F$38*Reeksen!H64,0)</f>
        <v>0</v>
      </c>
      <c r="AV64" s="71">
        <f t="shared" si="10"/>
        <v>0</v>
      </c>
      <c r="AW64" s="71">
        <f t="shared" ca="1" si="6"/>
        <v>0</v>
      </c>
      <c r="AX64" s="71">
        <f ca="1">IF(E64&lt;'Invoer gegevens'!$C$17+15,0,IF('RW - MW - DE - DE'!E64&gt;'Invoer gegevens'!$C$17+215,0,'RW - MW - DE - DE'!AW64))</f>
        <v>0</v>
      </c>
      <c r="AY64" s="71">
        <f ca="1">AX64/(1+'Invoer gegevens'!$F$13)^($AZ64-('Invoer gegevens'!$C$17-'Invoer gegevens'!$C$16))/(1+'Invoer gegevens'!$C$39)^('Invoer gegevens'!$C$17-'Invoer gegevens'!$C$16)</f>
        <v>0</v>
      </c>
      <c r="AZ64" s="68">
        <f ca="1">IF(E64-'Invoer gegevens'!$C$17-14.5&lt;0,0,E64-'Invoer gegevens'!$C$17-14.5)</f>
        <v>44.5</v>
      </c>
      <c r="BC64" s="71"/>
    </row>
    <row r="65" spans="2:55" customFormat="1" x14ac:dyDescent="0.25">
      <c r="B65" s="70">
        <f t="shared" si="7"/>
        <v>61</v>
      </c>
      <c r="C65" s="67">
        <f ca="1">IF(E65-'Invoer gegevens'!$C$17&lt;0,0,1)</f>
        <v>1</v>
      </c>
      <c r="D65" s="68">
        <f t="shared" si="8"/>
        <v>60.5</v>
      </c>
      <c r="E65" s="69">
        <f ca="1">IF('Invoer gegevens'!$C$16="","",E64+1)</f>
        <v>2079</v>
      </c>
      <c r="F65" s="82">
        <f ca="1">IF('Invoer gegevens'!$C$17=E65,'Invoer gegevens'!$C$10,IF(C65=1,H64,0))</f>
        <v>0</v>
      </c>
      <c r="G65" s="83">
        <f ca="1">IF(C65&gt;=1,F65*Reeksen!C65,0)</f>
        <v>0</v>
      </c>
      <c r="H65" s="84">
        <f t="shared" ca="1" si="1"/>
        <v>0</v>
      </c>
      <c r="I65" s="85">
        <f ca="1">IF('Invoer gegevens'!$C$17=E65,'Invoer gegevens'!$C$11,IF(C65=1,L64,0))</f>
        <v>0</v>
      </c>
      <c r="J65" s="86">
        <f ca="1">IF(C65&lt;1,0,IF(Reeksen!AD65&lt;=Reeksen!AE65,I65*Reeksen!C65,0))</f>
        <v>0</v>
      </c>
      <c r="K65" s="86">
        <f ca="1">IF(C65&lt;1,0,IF(Reeksen!AD65&gt;Reeksen!AE65,I65*Reeksen!C65,0))</f>
        <v>0</v>
      </c>
      <c r="L65" s="86">
        <f t="shared" ca="1" si="2"/>
        <v>0</v>
      </c>
      <c r="M65" s="85">
        <f ca="1">IF('Invoer gegevens'!$C$17=E65,'Invoer gegevens'!$C$10-'Invoer gegevens'!$C$11,IF(C65=1,P64,0))</f>
        <v>0</v>
      </c>
      <c r="N65" s="86">
        <f ca="1">IF(C65&lt;1,0,IF(Reeksen!AD65&lt;=Reeksen!AE65,M65*Reeksen!C65,0))</f>
        <v>0</v>
      </c>
      <c r="O65" s="86">
        <f ca="1">IF(C65&lt;1,0,IF(Reeksen!AD65&gt;Reeksen!AE65,M65*Reeksen!C65,0))</f>
        <v>0</v>
      </c>
      <c r="P65" s="86">
        <f t="shared" ca="1" si="3"/>
        <v>0</v>
      </c>
      <c r="Q65" s="82">
        <f ca="1">IF('Invoer gegevens'!$C$17=E65,I65,IF(C65=0,0,R64))</f>
        <v>0</v>
      </c>
      <c r="R65" s="84">
        <f t="shared" ca="1" si="0"/>
        <v>0</v>
      </c>
      <c r="S65" s="84">
        <f ca="1">IF('Invoer gegevens'!$C$17=E65,M65,IF(C65=0,0,T64))</f>
        <v>0</v>
      </c>
      <c r="T65" s="84">
        <f t="shared" ca="1" si="9"/>
        <v>0</v>
      </c>
      <c r="AI65" s="71">
        <f ca="1">IF(C65=1,((F65+H65)/2*Reeksen!AI65*12)+(('Invoer gegevens'!$C$10-(F65+H65)/2)*Reeksen!AD65*12),0)</f>
        <v>0</v>
      </c>
      <c r="AJ65" s="71">
        <f ca="1">-AI65*'Invoer gegevens'!$F$28</f>
        <v>0</v>
      </c>
      <c r="AK65" s="71">
        <f t="shared" ca="1" si="4"/>
        <v>0</v>
      </c>
      <c r="AL65" s="71">
        <f ca="1">IF(C65=1,(12*((F65+H65)/2)*Reeksen!AL65)+(12*('Invoer gegevens'!$C$10-(F65+H65)/2)*Reeksen!AM65),0)</f>
        <v>0</v>
      </c>
      <c r="AM65" s="71">
        <f ca="1">-AL65*'Invoer gegevens'!$F$31</f>
        <v>0</v>
      </c>
      <c r="AN65" s="71">
        <f t="shared" ca="1" si="5"/>
        <v>0</v>
      </c>
      <c r="AO65" s="71"/>
      <c r="AP65" s="71"/>
      <c r="AQ65" s="71">
        <f ca="1">-IF(C65=1,('Invoer gegevens'!$C$10*'Invoer gegevens'!$F$35)*Reeksen!J65,0)*2</f>
        <v>0</v>
      </c>
      <c r="AR65" s="71">
        <f ca="1">-IF(C65=1,(G65*'Invoer gegevens'!$F$36)*Reeksen!J65,0)</f>
        <v>0</v>
      </c>
      <c r="AS65" s="71">
        <f ca="1">-IF(C65=1,'Invoer gegevens'!$C$10*'Invoer gegevens'!$F$37*Reeksen!L65,0)</f>
        <v>0</v>
      </c>
      <c r="AT65" s="71">
        <f ca="1">-IF(C65=1,IF(E65='Invoer gegevens'!$C$17,'Invoer gegevens'!$C$11,Q65)*Reeksen!S65*'Invoer gegevens'!$C$18*Reeksen!P65,0)</f>
        <v>0</v>
      </c>
      <c r="AU65" s="71">
        <f ca="1">-IF(C65=1,'Invoer gegevens'!$C$10*'Invoer gegevens'!$F$38*Reeksen!H65,0)</f>
        <v>0</v>
      </c>
      <c r="AV65" s="71">
        <f t="shared" si="10"/>
        <v>0</v>
      </c>
      <c r="AW65" s="71">
        <f t="shared" ca="1" si="6"/>
        <v>0</v>
      </c>
      <c r="AX65" s="71">
        <f ca="1">IF(E65&lt;'Invoer gegevens'!$C$17+15,0,IF('RW - MW - DE - DE'!E65&gt;'Invoer gegevens'!$C$17+215,0,'RW - MW - DE - DE'!AW65))</f>
        <v>0</v>
      </c>
      <c r="AY65" s="71">
        <f ca="1">AX65/(1+'Invoer gegevens'!$F$13)^($AZ65-('Invoer gegevens'!$C$17-'Invoer gegevens'!$C$16))/(1+'Invoer gegevens'!$C$39)^('Invoer gegevens'!$C$17-'Invoer gegevens'!$C$16)</f>
        <v>0</v>
      </c>
      <c r="AZ65" s="68">
        <f ca="1">IF(E65-'Invoer gegevens'!$C$17-14.5&lt;0,0,E65-'Invoer gegevens'!$C$17-14.5)</f>
        <v>45.5</v>
      </c>
      <c r="BC65" s="71"/>
    </row>
    <row r="66" spans="2:55" customFormat="1" x14ac:dyDescent="0.25">
      <c r="B66" s="70">
        <f t="shared" si="7"/>
        <v>62</v>
      </c>
      <c r="C66" s="67">
        <f ca="1">IF(E66-'Invoer gegevens'!$C$17&lt;0,0,1)</f>
        <v>1</v>
      </c>
      <c r="D66" s="68">
        <f t="shared" si="8"/>
        <v>61.5</v>
      </c>
      <c r="E66" s="69">
        <f ca="1">IF('Invoer gegevens'!$C$16="","",E65+1)</f>
        <v>2080</v>
      </c>
      <c r="F66" s="82">
        <f ca="1">IF('Invoer gegevens'!$C$17=E66,'Invoer gegevens'!$C$10,IF(C66=1,H65,0))</f>
        <v>0</v>
      </c>
      <c r="G66" s="83">
        <f ca="1">IF(C66&gt;=1,F66*Reeksen!C66,0)</f>
        <v>0</v>
      </c>
      <c r="H66" s="84">
        <f t="shared" ca="1" si="1"/>
        <v>0</v>
      </c>
      <c r="I66" s="85">
        <f ca="1">IF('Invoer gegevens'!$C$17=E66,'Invoer gegevens'!$C$11,IF(C66=1,L65,0))</f>
        <v>0</v>
      </c>
      <c r="J66" s="86">
        <f ca="1">IF(C66&lt;1,0,IF(Reeksen!AD66&lt;=Reeksen!AE66,I66*Reeksen!C66,0))</f>
        <v>0</v>
      </c>
      <c r="K66" s="86">
        <f ca="1">IF(C66&lt;1,0,IF(Reeksen!AD66&gt;Reeksen!AE66,I66*Reeksen!C66,0))</f>
        <v>0</v>
      </c>
      <c r="L66" s="86">
        <f t="shared" ca="1" si="2"/>
        <v>0</v>
      </c>
      <c r="M66" s="85">
        <f ca="1">IF('Invoer gegevens'!$C$17=E66,'Invoer gegevens'!$C$10-'Invoer gegevens'!$C$11,IF(C66=1,P65,0))</f>
        <v>0</v>
      </c>
      <c r="N66" s="86">
        <f ca="1">IF(C66&lt;1,0,IF(Reeksen!AD66&lt;=Reeksen!AE66,M66*Reeksen!C66,0))</f>
        <v>0</v>
      </c>
      <c r="O66" s="86">
        <f ca="1">IF(C66&lt;1,0,IF(Reeksen!AD66&gt;Reeksen!AE66,M66*Reeksen!C66,0))</f>
        <v>0</v>
      </c>
      <c r="P66" s="86">
        <f t="shared" ca="1" si="3"/>
        <v>0</v>
      </c>
      <c r="Q66" s="82">
        <f ca="1">IF('Invoer gegevens'!$C$17=E66,I66,IF(C66=0,0,R65))</f>
        <v>0</v>
      </c>
      <c r="R66" s="84">
        <f t="shared" ca="1" si="0"/>
        <v>0</v>
      </c>
      <c r="S66" s="84">
        <f ca="1">IF('Invoer gegevens'!$C$17=E66,M66,IF(C66=0,0,T65))</f>
        <v>0</v>
      </c>
      <c r="T66" s="84">
        <f t="shared" ca="1" si="9"/>
        <v>0</v>
      </c>
      <c r="AI66" s="71">
        <f ca="1">IF(C66=1,((F66+H66)/2*Reeksen!AI66*12)+(('Invoer gegevens'!$C$10-(F66+H66)/2)*Reeksen!AD66*12),0)</f>
        <v>0</v>
      </c>
      <c r="AJ66" s="71">
        <f ca="1">-AI66*'Invoer gegevens'!$F$28</f>
        <v>0</v>
      </c>
      <c r="AK66" s="71">
        <f t="shared" ca="1" si="4"/>
        <v>0</v>
      </c>
      <c r="AL66" s="71">
        <f ca="1">IF(C66=1,(12*((F66+H66)/2)*Reeksen!AL66)+(12*('Invoer gegevens'!$C$10-(F66+H66)/2)*Reeksen!AM66),0)</f>
        <v>0</v>
      </c>
      <c r="AM66" s="71">
        <f ca="1">-AL66*'Invoer gegevens'!$F$31</f>
        <v>0</v>
      </c>
      <c r="AN66" s="71">
        <f t="shared" ca="1" si="5"/>
        <v>0</v>
      </c>
      <c r="AO66" s="71"/>
      <c r="AP66" s="71"/>
      <c r="AQ66" s="71">
        <f ca="1">-IF(C66=1,('Invoer gegevens'!$C$10*'Invoer gegevens'!$F$35)*Reeksen!J66,0)*2</f>
        <v>0</v>
      </c>
      <c r="AR66" s="71">
        <f ca="1">-IF(C66=1,(G66*'Invoer gegevens'!$F$36)*Reeksen!J66,0)</f>
        <v>0</v>
      </c>
      <c r="AS66" s="71">
        <f ca="1">-IF(C66=1,'Invoer gegevens'!$C$10*'Invoer gegevens'!$F$37*Reeksen!L66,0)</f>
        <v>0</v>
      </c>
      <c r="AT66" s="71">
        <f ca="1">-IF(C66=1,IF(E66='Invoer gegevens'!$C$17,'Invoer gegevens'!$C$11,Q66)*Reeksen!S66*'Invoer gegevens'!$C$18*Reeksen!P66,0)</f>
        <v>0</v>
      </c>
      <c r="AU66" s="71">
        <f ca="1">-IF(C66=1,'Invoer gegevens'!$C$10*'Invoer gegevens'!$F$38*Reeksen!H66,0)</f>
        <v>0</v>
      </c>
      <c r="AV66" s="71">
        <f t="shared" si="10"/>
        <v>0</v>
      </c>
      <c r="AW66" s="71">
        <f t="shared" ca="1" si="6"/>
        <v>0</v>
      </c>
      <c r="AX66" s="71">
        <f ca="1">IF(E66&lt;'Invoer gegevens'!$C$17+15,0,IF('RW - MW - DE - DE'!E66&gt;'Invoer gegevens'!$C$17+215,0,'RW - MW - DE - DE'!AW66))</f>
        <v>0</v>
      </c>
      <c r="AY66" s="71">
        <f ca="1">AX66/(1+'Invoer gegevens'!$F$13)^($AZ66-('Invoer gegevens'!$C$17-'Invoer gegevens'!$C$16))/(1+'Invoer gegevens'!$C$39)^('Invoer gegevens'!$C$17-'Invoer gegevens'!$C$16)</f>
        <v>0</v>
      </c>
      <c r="AZ66" s="68">
        <f ca="1">IF(E66-'Invoer gegevens'!$C$17-14.5&lt;0,0,E66-'Invoer gegevens'!$C$17-14.5)</f>
        <v>46.5</v>
      </c>
      <c r="BC66" s="71"/>
    </row>
    <row r="67" spans="2:55" customFormat="1" x14ac:dyDescent="0.25">
      <c r="B67" s="70">
        <f t="shared" si="7"/>
        <v>63</v>
      </c>
      <c r="C67" s="67">
        <f ca="1">IF(E67-'Invoer gegevens'!$C$17&lt;0,0,1)</f>
        <v>1</v>
      </c>
      <c r="D67" s="68">
        <f t="shared" si="8"/>
        <v>62.5</v>
      </c>
      <c r="E67" s="69">
        <f ca="1">IF('Invoer gegevens'!$C$16="","",E66+1)</f>
        <v>2081</v>
      </c>
      <c r="F67" s="82">
        <f ca="1">IF('Invoer gegevens'!$C$17=E67,'Invoer gegevens'!$C$10,IF(C67=1,H66,0))</f>
        <v>0</v>
      </c>
      <c r="G67" s="83">
        <f ca="1">IF(C67&gt;=1,F67*Reeksen!C67,0)</f>
        <v>0</v>
      </c>
      <c r="H67" s="84">
        <f t="shared" ca="1" si="1"/>
        <v>0</v>
      </c>
      <c r="I67" s="85">
        <f ca="1">IF('Invoer gegevens'!$C$17=E67,'Invoer gegevens'!$C$11,IF(C67=1,L66,0))</f>
        <v>0</v>
      </c>
      <c r="J67" s="86">
        <f ca="1">IF(C67&lt;1,0,IF(Reeksen!AD67&lt;=Reeksen!AE67,I67*Reeksen!C67,0))</f>
        <v>0</v>
      </c>
      <c r="K67" s="86">
        <f ca="1">IF(C67&lt;1,0,IF(Reeksen!AD67&gt;Reeksen!AE67,I67*Reeksen!C67,0))</f>
        <v>0</v>
      </c>
      <c r="L67" s="86">
        <f t="shared" ca="1" si="2"/>
        <v>0</v>
      </c>
      <c r="M67" s="85">
        <f ca="1">IF('Invoer gegevens'!$C$17=E67,'Invoer gegevens'!$C$10-'Invoer gegevens'!$C$11,IF(C67=1,P66,0))</f>
        <v>0</v>
      </c>
      <c r="N67" s="86">
        <f ca="1">IF(C67&lt;1,0,IF(Reeksen!AD67&lt;=Reeksen!AE67,M67*Reeksen!C67,0))</f>
        <v>0</v>
      </c>
      <c r="O67" s="86">
        <f ca="1">IF(C67&lt;1,0,IF(Reeksen!AD67&gt;Reeksen!AE67,M67*Reeksen!C67,0))</f>
        <v>0</v>
      </c>
      <c r="P67" s="86">
        <f t="shared" ca="1" si="3"/>
        <v>0</v>
      </c>
      <c r="Q67" s="82">
        <f ca="1">IF('Invoer gegevens'!$C$17=E67,I67,IF(C67=0,0,R66))</f>
        <v>0</v>
      </c>
      <c r="R67" s="84">
        <f t="shared" ca="1" si="0"/>
        <v>0</v>
      </c>
      <c r="S67" s="84">
        <f ca="1">IF('Invoer gegevens'!$C$17=E67,M67,IF(C67=0,0,T66))</f>
        <v>0</v>
      </c>
      <c r="T67" s="84">
        <f t="shared" ca="1" si="9"/>
        <v>0</v>
      </c>
      <c r="AI67" s="71">
        <f ca="1">IF(C67=1,((F67+H67)/2*Reeksen!AI67*12)+(('Invoer gegevens'!$C$10-(F67+H67)/2)*Reeksen!AD67*12),0)</f>
        <v>0</v>
      </c>
      <c r="AJ67" s="71">
        <f ca="1">-AI67*'Invoer gegevens'!$F$28</f>
        <v>0</v>
      </c>
      <c r="AK67" s="71">
        <f t="shared" ca="1" si="4"/>
        <v>0</v>
      </c>
      <c r="AL67" s="71">
        <f ca="1">IF(C67=1,(12*((F67+H67)/2)*Reeksen!AL67)+(12*('Invoer gegevens'!$C$10-(F67+H67)/2)*Reeksen!AM67),0)</f>
        <v>0</v>
      </c>
      <c r="AM67" s="71">
        <f ca="1">-AL67*'Invoer gegevens'!$F$31</f>
        <v>0</v>
      </c>
      <c r="AN67" s="71">
        <f t="shared" ca="1" si="5"/>
        <v>0</v>
      </c>
      <c r="AO67" s="71"/>
      <c r="AP67" s="71"/>
      <c r="AQ67" s="71">
        <f ca="1">-IF(C67=1,('Invoer gegevens'!$C$10*'Invoer gegevens'!$F$35)*Reeksen!J67,0)*2</f>
        <v>0</v>
      </c>
      <c r="AR67" s="71">
        <f ca="1">-IF(C67=1,(G67*'Invoer gegevens'!$F$36)*Reeksen!J67,0)</f>
        <v>0</v>
      </c>
      <c r="AS67" s="71">
        <f ca="1">-IF(C67=1,'Invoer gegevens'!$C$10*'Invoer gegevens'!$F$37*Reeksen!L67,0)</f>
        <v>0</v>
      </c>
      <c r="AT67" s="71">
        <f ca="1">-IF(C67=1,IF(E67='Invoer gegevens'!$C$17,'Invoer gegevens'!$C$11,Q67)*Reeksen!S67*'Invoer gegevens'!$C$18*Reeksen!P67,0)</f>
        <v>0</v>
      </c>
      <c r="AU67" s="71">
        <f ca="1">-IF(C67=1,'Invoer gegevens'!$C$10*'Invoer gegevens'!$F$38*Reeksen!H67,0)</f>
        <v>0</v>
      </c>
      <c r="AV67" s="71">
        <f t="shared" si="10"/>
        <v>0</v>
      </c>
      <c r="AW67" s="71">
        <f t="shared" ca="1" si="6"/>
        <v>0</v>
      </c>
      <c r="AX67" s="71">
        <f ca="1">IF(E67&lt;'Invoer gegevens'!$C$17+15,0,IF('RW - MW - DE - DE'!E67&gt;'Invoer gegevens'!$C$17+215,0,'RW - MW - DE - DE'!AW67))</f>
        <v>0</v>
      </c>
      <c r="AY67" s="71">
        <f ca="1">AX67/(1+'Invoer gegevens'!$F$13)^($AZ67-('Invoer gegevens'!$C$17-'Invoer gegevens'!$C$16))/(1+'Invoer gegevens'!$C$39)^('Invoer gegevens'!$C$17-'Invoer gegevens'!$C$16)</f>
        <v>0</v>
      </c>
      <c r="AZ67" s="68">
        <f ca="1">IF(E67-'Invoer gegevens'!$C$17-14.5&lt;0,0,E67-'Invoer gegevens'!$C$17-14.5)</f>
        <v>47.5</v>
      </c>
      <c r="BC67" s="71"/>
    </row>
    <row r="68" spans="2:55" customFormat="1" x14ac:dyDescent="0.25">
      <c r="B68" s="70">
        <f t="shared" si="7"/>
        <v>64</v>
      </c>
      <c r="C68" s="67">
        <f ca="1">IF(E68-'Invoer gegevens'!$C$17&lt;0,0,1)</f>
        <v>1</v>
      </c>
      <c r="D68" s="68">
        <f t="shared" si="8"/>
        <v>63.5</v>
      </c>
      <c r="E68" s="69">
        <f ca="1">IF('Invoer gegevens'!$C$16="","",E67+1)</f>
        <v>2082</v>
      </c>
      <c r="F68" s="82">
        <f ca="1">IF('Invoer gegevens'!$C$17=E68,'Invoer gegevens'!$C$10,IF(C68=1,H67,0))</f>
        <v>0</v>
      </c>
      <c r="G68" s="83">
        <f ca="1">IF(C68&gt;=1,F68*Reeksen!C68,0)</f>
        <v>0</v>
      </c>
      <c r="H68" s="84">
        <f t="shared" ca="1" si="1"/>
        <v>0</v>
      </c>
      <c r="I68" s="85">
        <f ca="1">IF('Invoer gegevens'!$C$17=E68,'Invoer gegevens'!$C$11,IF(C68=1,L67,0))</f>
        <v>0</v>
      </c>
      <c r="J68" s="86">
        <f ca="1">IF(C68&lt;1,0,IF(Reeksen!AD68&lt;=Reeksen!AE68,I68*Reeksen!C68,0))</f>
        <v>0</v>
      </c>
      <c r="K68" s="86">
        <f ca="1">IF(C68&lt;1,0,IF(Reeksen!AD68&gt;Reeksen!AE68,I68*Reeksen!C68,0))</f>
        <v>0</v>
      </c>
      <c r="L68" s="86">
        <f t="shared" ca="1" si="2"/>
        <v>0</v>
      </c>
      <c r="M68" s="85">
        <f ca="1">IF('Invoer gegevens'!$C$17=E68,'Invoer gegevens'!$C$10-'Invoer gegevens'!$C$11,IF(C68=1,P67,0))</f>
        <v>0</v>
      </c>
      <c r="N68" s="86">
        <f ca="1">IF(C68&lt;1,0,IF(Reeksen!AD68&lt;=Reeksen!AE68,M68*Reeksen!C68,0))</f>
        <v>0</v>
      </c>
      <c r="O68" s="86">
        <f ca="1">IF(C68&lt;1,0,IF(Reeksen!AD68&gt;Reeksen!AE68,M68*Reeksen!C68,0))</f>
        <v>0</v>
      </c>
      <c r="P68" s="86">
        <f t="shared" ca="1" si="3"/>
        <v>0</v>
      </c>
      <c r="Q68" s="82">
        <f ca="1">IF('Invoer gegevens'!$C$17=E68,I68,IF(C68=0,0,R67))</f>
        <v>0</v>
      </c>
      <c r="R68" s="84">
        <f t="shared" ca="1" si="0"/>
        <v>0</v>
      </c>
      <c r="S68" s="84">
        <f ca="1">IF('Invoer gegevens'!$C$17=E68,M68,IF(C68=0,0,T67))</f>
        <v>0</v>
      </c>
      <c r="T68" s="84">
        <f t="shared" ca="1" si="9"/>
        <v>0</v>
      </c>
      <c r="AI68" s="71">
        <f ca="1">IF(C68=1,((F68+H68)/2*Reeksen!AI68*12)+(('Invoer gegevens'!$C$10-(F68+H68)/2)*Reeksen!AD68*12),0)</f>
        <v>0</v>
      </c>
      <c r="AJ68" s="71">
        <f ca="1">-AI68*'Invoer gegevens'!$F$28</f>
        <v>0</v>
      </c>
      <c r="AK68" s="71">
        <f t="shared" ca="1" si="4"/>
        <v>0</v>
      </c>
      <c r="AL68" s="71">
        <f ca="1">IF(C68=1,(12*((F68+H68)/2)*Reeksen!AL68)+(12*('Invoer gegevens'!$C$10-(F68+H68)/2)*Reeksen!AM68),0)</f>
        <v>0</v>
      </c>
      <c r="AM68" s="71">
        <f ca="1">-AL68*'Invoer gegevens'!$F$31</f>
        <v>0</v>
      </c>
      <c r="AN68" s="71">
        <f t="shared" ca="1" si="5"/>
        <v>0</v>
      </c>
      <c r="AO68" s="71"/>
      <c r="AP68" s="71"/>
      <c r="AQ68" s="71">
        <f ca="1">-IF(C68=1,('Invoer gegevens'!$C$10*'Invoer gegevens'!$F$35)*Reeksen!J68,0)*2</f>
        <v>0</v>
      </c>
      <c r="AR68" s="71">
        <f ca="1">-IF(C68=1,(G68*'Invoer gegevens'!$F$36)*Reeksen!J68,0)</f>
        <v>0</v>
      </c>
      <c r="AS68" s="71">
        <f ca="1">-IF(C68=1,'Invoer gegevens'!$C$10*'Invoer gegevens'!$F$37*Reeksen!L68,0)</f>
        <v>0</v>
      </c>
      <c r="AT68" s="71">
        <f ca="1">-IF(C68=1,IF(E68='Invoer gegevens'!$C$17,'Invoer gegevens'!$C$11,Q68)*Reeksen!S68*'Invoer gegevens'!$C$18*Reeksen!P68,0)</f>
        <v>0</v>
      </c>
      <c r="AU68" s="71">
        <f ca="1">-IF(C68=1,'Invoer gegevens'!$C$10*'Invoer gegevens'!$F$38*Reeksen!H68,0)</f>
        <v>0</v>
      </c>
      <c r="AV68" s="71">
        <f t="shared" si="10"/>
        <v>0</v>
      </c>
      <c r="AW68" s="71">
        <f t="shared" ca="1" si="6"/>
        <v>0</v>
      </c>
      <c r="AX68" s="71">
        <f ca="1">IF(E68&lt;'Invoer gegevens'!$C$17+15,0,IF('RW - MW - DE - DE'!E68&gt;'Invoer gegevens'!$C$17+215,0,'RW - MW - DE - DE'!AW68))</f>
        <v>0</v>
      </c>
      <c r="AY68" s="71">
        <f ca="1">AX68/(1+'Invoer gegevens'!$F$13)^($AZ68-('Invoer gegevens'!$C$17-'Invoer gegevens'!$C$16))/(1+'Invoer gegevens'!$C$39)^('Invoer gegevens'!$C$17-'Invoer gegevens'!$C$16)</f>
        <v>0</v>
      </c>
      <c r="AZ68" s="68">
        <f ca="1">IF(E68-'Invoer gegevens'!$C$17-14.5&lt;0,0,E68-'Invoer gegevens'!$C$17-14.5)</f>
        <v>48.5</v>
      </c>
      <c r="BC68" s="71"/>
    </row>
    <row r="69" spans="2:55" customFormat="1" x14ac:dyDescent="0.25">
      <c r="B69" s="70">
        <f t="shared" si="7"/>
        <v>65</v>
      </c>
      <c r="C69" s="67">
        <f ca="1">IF(E69-'Invoer gegevens'!$C$17&lt;0,0,1)</f>
        <v>1</v>
      </c>
      <c r="D69" s="68">
        <f t="shared" si="8"/>
        <v>64.5</v>
      </c>
      <c r="E69" s="69">
        <f ca="1">IF('Invoer gegevens'!$C$16="","",E68+1)</f>
        <v>2083</v>
      </c>
      <c r="F69" s="82">
        <f ca="1">IF('Invoer gegevens'!$C$17=E69,'Invoer gegevens'!$C$10,IF(C69=1,H68,0))</f>
        <v>0</v>
      </c>
      <c r="G69" s="83">
        <f ca="1">IF(C69&gt;=1,F69*Reeksen!C69,0)</f>
        <v>0</v>
      </c>
      <c r="H69" s="84">
        <f t="shared" ca="1" si="1"/>
        <v>0</v>
      </c>
      <c r="I69" s="85">
        <f ca="1">IF('Invoer gegevens'!$C$17=E69,'Invoer gegevens'!$C$11,IF(C69=1,L68,0))</f>
        <v>0</v>
      </c>
      <c r="J69" s="86">
        <f ca="1">IF(C69&lt;1,0,IF(Reeksen!AD69&lt;=Reeksen!AE69,I69*Reeksen!C69,0))</f>
        <v>0</v>
      </c>
      <c r="K69" s="86">
        <f ca="1">IF(C69&lt;1,0,IF(Reeksen!AD69&gt;Reeksen!AE69,I69*Reeksen!C69,0))</f>
        <v>0</v>
      </c>
      <c r="L69" s="86">
        <f t="shared" ca="1" si="2"/>
        <v>0</v>
      </c>
      <c r="M69" s="85">
        <f ca="1">IF('Invoer gegevens'!$C$17=E69,'Invoer gegevens'!$C$10-'Invoer gegevens'!$C$11,IF(C69=1,P68,0))</f>
        <v>0</v>
      </c>
      <c r="N69" s="86">
        <f ca="1">IF(C69&lt;1,0,IF(Reeksen!AD69&lt;=Reeksen!AE69,M69*Reeksen!C69,0))</f>
        <v>0</v>
      </c>
      <c r="O69" s="86">
        <f ca="1">IF(C69&lt;1,0,IF(Reeksen!AD69&gt;Reeksen!AE69,M69*Reeksen!C69,0))</f>
        <v>0</v>
      </c>
      <c r="P69" s="86">
        <f t="shared" ca="1" si="3"/>
        <v>0</v>
      </c>
      <c r="Q69" s="82">
        <f ca="1">IF('Invoer gegevens'!$C$17=E69,I69,IF(C69=0,0,R68))</f>
        <v>0</v>
      </c>
      <c r="R69" s="84">
        <f t="shared" ref="R69:R132" ca="1" si="11">IF(C69=0,0,Q69-K69+N69)</f>
        <v>0</v>
      </c>
      <c r="S69" s="84">
        <f ca="1">IF('Invoer gegevens'!$C$17=E69,M69,IF(C69=0,0,T68))</f>
        <v>0</v>
      </c>
      <c r="T69" s="84">
        <f t="shared" ca="1" si="9"/>
        <v>0</v>
      </c>
      <c r="AI69" s="71">
        <f ca="1">IF(C69=1,((F69+H69)/2*Reeksen!AI69*12)+(('Invoer gegevens'!$C$10-(F69+H69)/2)*Reeksen!AD69*12),0)</f>
        <v>0</v>
      </c>
      <c r="AJ69" s="71">
        <f ca="1">-AI69*'Invoer gegevens'!$F$28</f>
        <v>0</v>
      </c>
      <c r="AK69" s="71">
        <f t="shared" ca="1" si="4"/>
        <v>0</v>
      </c>
      <c r="AL69" s="71">
        <f ca="1">IF(C69=1,(12*((F69+H69)/2)*Reeksen!AL69)+(12*('Invoer gegevens'!$C$10-(F69+H69)/2)*Reeksen!AM69),0)</f>
        <v>0</v>
      </c>
      <c r="AM69" s="71">
        <f ca="1">-AL69*'Invoer gegevens'!$F$31</f>
        <v>0</v>
      </c>
      <c r="AN69" s="71">
        <f t="shared" ca="1" si="5"/>
        <v>0</v>
      </c>
      <c r="AO69" s="71"/>
      <c r="AP69" s="71"/>
      <c r="AQ69" s="71">
        <f ca="1">-IF(C69=1,('Invoer gegevens'!$C$10*'Invoer gegevens'!$F$35)*Reeksen!J69,0)*2</f>
        <v>0</v>
      </c>
      <c r="AR69" s="71">
        <f ca="1">-IF(C69=1,(G69*'Invoer gegevens'!$F$36)*Reeksen!J69,0)</f>
        <v>0</v>
      </c>
      <c r="AS69" s="71">
        <f ca="1">-IF(C69=1,'Invoer gegevens'!$C$10*'Invoer gegevens'!$F$37*Reeksen!L69,0)</f>
        <v>0</v>
      </c>
      <c r="AT69" s="71">
        <f ca="1">-IF(C69=1,IF(E69='Invoer gegevens'!$C$17,'Invoer gegevens'!$C$11,Q69)*Reeksen!S69*'Invoer gegevens'!$C$18*Reeksen!P69,0)</f>
        <v>0</v>
      </c>
      <c r="AU69" s="71">
        <f ca="1">-IF(C69=1,'Invoer gegevens'!$C$10*'Invoer gegevens'!$F$38*Reeksen!H69,0)</f>
        <v>0</v>
      </c>
      <c r="AV69" s="71">
        <f t="shared" si="10"/>
        <v>0</v>
      </c>
      <c r="AW69" s="71">
        <f t="shared" ca="1" si="6"/>
        <v>0</v>
      </c>
      <c r="AX69" s="71">
        <f ca="1">IF(E69&lt;'Invoer gegevens'!$C$17+15,0,IF('RW - MW - DE - DE'!E69&gt;'Invoer gegevens'!$C$17+215,0,'RW - MW - DE - DE'!AW69))</f>
        <v>0</v>
      </c>
      <c r="AY69" s="71">
        <f ca="1">AX69/(1+'Invoer gegevens'!$F$13)^($AZ69-('Invoer gegevens'!$C$17-'Invoer gegevens'!$C$16))/(1+'Invoer gegevens'!$C$39)^('Invoer gegevens'!$C$17-'Invoer gegevens'!$C$16)</f>
        <v>0</v>
      </c>
      <c r="AZ69" s="68">
        <f ca="1">IF(E69-'Invoer gegevens'!$C$17-14.5&lt;0,0,E69-'Invoer gegevens'!$C$17-14.5)</f>
        <v>49.5</v>
      </c>
      <c r="BC69" s="71"/>
    </row>
    <row r="70" spans="2:55" customFormat="1" x14ac:dyDescent="0.25">
      <c r="B70" s="70">
        <f t="shared" si="7"/>
        <v>66</v>
      </c>
      <c r="C70" s="67">
        <f ca="1">IF(E70-'Invoer gegevens'!$C$17&lt;0,0,1)</f>
        <v>1</v>
      </c>
      <c r="D70" s="68">
        <f t="shared" si="8"/>
        <v>65.5</v>
      </c>
      <c r="E70" s="69">
        <f ca="1">IF('Invoer gegevens'!$C$16="","",E69+1)</f>
        <v>2084</v>
      </c>
      <c r="F70" s="82">
        <f ca="1">IF('Invoer gegevens'!$C$17=E70,'Invoer gegevens'!$C$10,IF(C70=1,H69,0))</f>
        <v>0</v>
      </c>
      <c r="G70" s="83">
        <f ca="1">IF(C70&gt;=1,F70*Reeksen!C70,0)</f>
        <v>0</v>
      </c>
      <c r="H70" s="84">
        <f t="shared" ref="H70:H133" ca="1" si="12">F70-G70</f>
        <v>0</v>
      </c>
      <c r="I70" s="85">
        <f ca="1">IF('Invoer gegevens'!$C$17=E70,'Invoer gegevens'!$C$11,IF(C70=1,L69,0))</f>
        <v>0</v>
      </c>
      <c r="J70" s="86">
        <f ca="1">IF(C70&lt;1,0,IF(Reeksen!AD70&lt;=Reeksen!AE70,I70*Reeksen!C70,0))</f>
        <v>0</v>
      </c>
      <c r="K70" s="86">
        <f ca="1">IF(C70&lt;1,0,IF(Reeksen!AD70&gt;Reeksen!AE70,I70*Reeksen!C70,0))</f>
        <v>0</v>
      </c>
      <c r="L70" s="86">
        <f t="shared" ref="L70:L133" ca="1" si="13">I70-J70-K70</f>
        <v>0</v>
      </c>
      <c r="M70" s="85">
        <f ca="1">IF('Invoer gegevens'!$C$17=E70,'Invoer gegevens'!$C$10-'Invoer gegevens'!$C$11,IF(C70=1,P69,0))</f>
        <v>0</v>
      </c>
      <c r="N70" s="86">
        <f ca="1">IF(C70&lt;1,0,IF(Reeksen!AD70&lt;=Reeksen!AE70,M70*Reeksen!C70,0))</f>
        <v>0</v>
      </c>
      <c r="O70" s="86">
        <f ca="1">IF(C70&lt;1,0,IF(Reeksen!AD70&gt;Reeksen!AE70,M70*Reeksen!C70,0))</f>
        <v>0</v>
      </c>
      <c r="P70" s="86">
        <f t="shared" ref="P70:P133" ca="1" si="14">M70-N70-O70</f>
        <v>0</v>
      </c>
      <c r="Q70" s="82">
        <f ca="1">IF('Invoer gegevens'!$C$17=E70,I70,IF(C70=0,0,R69))</f>
        <v>0</v>
      </c>
      <c r="R70" s="84">
        <f t="shared" ca="1" si="11"/>
        <v>0</v>
      </c>
      <c r="S70" s="84">
        <f ca="1">IF('Invoer gegevens'!$C$17=E70,M70,IF(C70=0,0,T69))</f>
        <v>0</v>
      </c>
      <c r="T70" s="84">
        <f t="shared" ca="1" si="9"/>
        <v>0</v>
      </c>
      <c r="AI70" s="71">
        <f ca="1">IF(C70=1,((F70+H70)/2*Reeksen!AI70*12)+(('Invoer gegevens'!$C$10-(F70+H70)/2)*Reeksen!AD70*12),0)</f>
        <v>0</v>
      </c>
      <c r="AJ70" s="71">
        <f ca="1">-AI70*'Invoer gegevens'!$F$28</f>
        <v>0</v>
      </c>
      <c r="AK70" s="71">
        <f t="shared" ref="AK70:AK133" ca="1" si="15">AI70+AJ70</f>
        <v>0</v>
      </c>
      <c r="AL70" s="71">
        <f ca="1">IF(C70=1,(12*((F70+H70)/2)*Reeksen!AL70)+(12*('Invoer gegevens'!$C$10-(F70+H70)/2)*Reeksen!AM70),0)</f>
        <v>0</v>
      </c>
      <c r="AM70" s="71">
        <f ca="1">-AL70*'Invoer gegevens'!$F$31</f>
        <v>0</v>
      </c>
      <c r="AN70" s="71">
        <f t="shared" ref="AN70:AN133" ca="1" si="16">AL70+AM70</f>
        <v>0</v>
      </c>
      <c r="AO70" s="71"/>
      <c r="AP70" s="71"/>
      <c r="AQ70" s="71">
        <f ca="1">-IF(C70=1,('Invoer gegevens'!$C$10*'Invoer gegevens'!$F$35)*Reeksen!J70,0)*2</f>
        <v>0</v>
      </c>
      <c r="AR70" s="71">
        <f ca="1">-IF(C70=1,(G70*'Invoer gegevens'!$F$36)*Reeksen!J70,0)</f>
        <v>0</v>
      </c>
      <c r="AS70" s="71">
        <f ca="1">-IF(C70=1,'Invoer gegevens'!$C$10*'Invoer gegevens'!$F$37*Reeksen!L70,0)</f>
        <v>0</v>
      </c>
      <c r="AT70" s="71">
        <f ca="1">-IF(C70=1,IF(E70='Invoer gegevens'!$C$17,'Invoer gegevens'!$C$11,Q70)*Reeksen!S70*'Invoer gegevens'!$C$18*Reeksen!P70,0)</f>
        <v>0</v>
      </c>
      <c r="AU70" s="71">
        <f ca="1">-IF(C70=1,'Invoer gegevens'!$C$10*'Invoer gegevens'!$F$38*Reeksen!H70,0)</f>
        <v>0</v>
      </c>
      <c r="AV70" s="71">
        <f t="shared" si="10"/>
        <v>0</v>
      </c>
      <c r="AW70" s="71">
        <f t="shared" ref="AW70:AW133" ca="1" si="17">SUM(AK70,AN70:AV70)</f>
        <v>0</v>
      </c>
      <c r="AX70" s="71">
        <f ca="1">IF(E70&lt;'Invoer gegevens'!$C$17+15,0,IF('RW - MW - DE - DE'!E70&gt;'Invoer gegevens'!$C$17+215,0,'RW - MW - DE - DE'!AW70))</f>
        <v>0</v>
      </c>
      <c r="AY70" s="71">
        <f ca="1">AX70/(1+'Invoer gegevens'!$F$13)^($AZ70-('Invoer gegevens'!$C$17-'Invoer gegevens'!$C$16))/(1+'Invoer gegevens'!$C$39)^('Invoer gegevens'!$C$17-'Invoer gegevens'!$C$16)</f>
        <v>0</v>
      </c>
      <c r="AZ70" s="68">
        <f ca="1">IF(E70-'Invoer gegevens'!$C$17-14.5&lt;0,0,E70-'Invoer gegevens'!$C$17-14.5)</f>
        <v>50.5</v>
      </c>
      <c r="BC70" s="71"/>
    </row>
    <row r="71" spans="2:55" customFormat="1" x14ac:dyDescent="0.25">
      <c r="B71" s="70">
        <f t="shared" ref="B71:B134" si="18">B70+1</f>
        <v>67</v>
      </c>
      <c r="C71" s="67">
        <f ca="1">IF(E71-'Invoer gegevens'!$C$17&lt;0,0,1)</f>
        <v>1</v>
      </c>
      <c r="D71" s="68">
        <f t="shared" ref="D71:D134" si="19">D70+1</f>
        <v>66.5</v>
      </c>
      <c r="E71" s="69">
        <f ca="1">IF('Invoer gegevens'!$C$16="","",E70+1)</f>
        <v>2085</v>
      </c>
      <c r="F71" s="82">
        <f ca="1">IF('Invoer gegevens'!$C$17=E71,'Invoer gegevens'!$C$10,IF(C71=1,H70,0))</f>
        <v>0</v>
      </c>
      <c r="G71" s="83">
        <f ca="1">IF(C71&gt;=1,F71*Reeksen!C71,0)</f>
        <v>0</v>
      </c>
      <c r="H71" s="84">
        <f t="shared" ca="1" si="12"/>
        <v>0</v>
      </c>
      <c r="I71" s="85">
        <f ca="1">IF('Invoer gegevens'!$C$17=E71,'Invoer gegevens'!$C$11,IF(C71=1,L70,0))</f>
        <v>0</v>
      </c>
      <c r="J71" s="86">
        <f ca="1">IF(C71&lt;1,0,IF(Reeksen!AD71&lt;=Reeksen!AE71,I71*Reeksen!C71,0))</f>
        <v>0</v>
      </c>
      <c r="K71" s="86">
        <f ca="1">IF(C71&lt;1,0,IF(Reeksen!AD71&gt;Reeksen!AE71,I71*Reeksen!C71,0))</f>
        <v>0</v>
      </c>
      <c r="L71" s="86">
        <f t="shared" ca="1" si="13"/>
        <v>0</v>
      </c>
      <c r="M71" s="85">
        <f ca="1">IF('Invoer gegevens'!$C$17=E71,'Invoer gegevens'!$C$10-'Invoer gegevens'!$C$11,IF(C71=1,P70,0))</f>
        <v>0</v>
      </c>
      <c r="N71" s="86">
        <f ca="1">IF(C71&lt;1,0,IF(Reeksen!AD71&lt;=Reeksen!AE71,M71*Reeksen!C71,0))</f>
        <v>0</v>
      </c>
      <c r="O71" s="86">
        <f ca="1">IF(C71&lt;1,0,IF(Reeksen!AD71&gt;Reeksen!AE71,M71*Reeksen!C71,0))</f>
        <v>0</v>
      </c>
      <c r="P71" s="86">
        <f t="shared" ca="1" si="14"/>
        <v>0</v>
      </c>
      <c r="Q71" s="82">
        <f ca="1">IF('Invoer gegevens'!$C$17=E71,I71,IF(C71=0,0,R70))</f>
        <v>0</v>
      </c>
      <c r="R71" s="84">
        <f t="shared" ca="1" si="11"/>
        <v>0</v>
      </c>
      <c r="S71" s="84">
        <f ca="1">IF('Invoer gegevens'!$C$17=E71,M71,IF(C71=0,0,T70))</f>
        <v>0</v>
      </c>
      <c r="T71" s="84">
        <f t="shared" ref="T71:T134" ca="1" si="20">IF(C71=0,0,S71-N71+K71)</f>
        <v>0</v>
      </c>
      <c r="AI71" s="71">
        <f ca="1">IF(C71=1,((F71+H71)/2*Reeksen!AI71*12)+(('Invoer gegevens'!$C$10-(F71+H71)/2)*Reeksen!AD71*12),0)</f>
        <v>0</v>
      </c>
      <c r="AJ71" s="71">
        <f ca="1">-AI71*'Invoer gegevens'!$F$28</f>
        <v>0</v>
      </c>
      <c r="AK71" s="71">
        <f t="shared" ca="1" si="15"/>
        <v>0</v>
      </c>
      <c r="AL71" s="71">
        <f ca="1">IF(C71=1,(12*((F71+H71)/2)*Reeksen!AL71)+(12*('Invoer gegevens'!$C$10-(F71+H71)/2)*Reeksen!AM71),0)</f>
        <v>0</v>
      </c>
      <c r="AM71" s="71">
        <f ca="1">-AL71*'Invoer gegevens'!$F$31</f>
        <v>0</v>
      </c>
      <c r="AN71" s="71">
        <f t="shared" ca="1" si="16"/>
        <v>0</v>
      </c>
      <c r="AO71" s="71"/>
      <c r="AP71" s="71"/>
      <c r="AQ71" s="71">
        <f ca="1">-IF(C71=1,('Invoer gegevens'!$C$10*'Invoer gegevens'!$F$35)*Reeksen!J71,0)*2</f>
        <v>0</v>
      </c>
      <c r="AR71" s="71">
        <f ca="1">-IF(C71=1,(G71*'Invoer gegevens'!$F$36)*Reeksen!J71,0)</f>
        <v>0</v>
      </c>
      <c r="AS71" s="71">
        <f ca="1">-IF(C71=1,'Invoer gegevens'!$C$10*'Invoer gegevens'!$F$37*Reeksen!L71,0)</f>
        <v>0</v>
      </c>
      <c r="AT71" s="71">
        <f ca="1">-IF(C71=1,IF(E71='Invoer gegevens'!$C$17,'Invoer gegevens'!$C$11,Q71)*Reeksen!S71*'Invoer gegevens'!$C$18*Reeksen!P71,0)</f>
        <v>0</v>
      </c>
      <c r="AU71" s="71">
        <f ca="1">-IF(C71=1,'Invoer gegevens'!$C$10*'Invoer gegevens'!$F$38*Reeksen!H71,0)</f>
        <v>0</v>
      </c>
      <c r="AV71" s="71">
        <f t="shared" si="10"/>
        <v>0</v>
      </c>
      <c r="AW71" s="71">
        <f t="shared" ca="1" si="17"/>
        <v>0</v>
      </c>
      <c r="AX71" s="71">
        <f ca="1">IF(E71&lt;'Invoer gegevens'!$C$17+15,0,IF('RW - MW - DE - DE'!E71&gt;'Invoer gegevens'!$C$17+215,0,'RW - MW - DE - DE'!AW71))</f>
        <v>0</v>
      </c>
      <c r="AY71" s="71">
        <f ca="1">AX71/(1+'Invoer gegevens'!$F$13)^($AZ71-('Invoer gegevens'!$C$17-'Invoer gegevens'!$C$16))/(1+'Invoer gegevens'!$C$39)^('Invoer gegevens'!$C$17-'Invoer gegevens'!$C$16)</f>
        <v>0</v>
      </c>
      <c r="AZ71" s="68">
        <f ca="1">IF(E71-'Invoer gegevens'!$C$17-14.5&lt;0,0,E71-'Invoer gegevens'!$C$17-14.5)</f>
        <v>51.5</v>
      </c>
      <c r="BC71" s="71"/>
    </row>
    <row r="72" spans="2:55" customFormat="1" x14ac:dyDescent="0.25">
      <c r="B72" s="70">
        <f t="shared" si="18"/>
        <v>68</v>
      </c>
      <c r="C72" s="67">
        <f ca="1">IF(E72-'Invoer gegevens'!$C$17&lt;0,0,1)</f>
        <v>1</v>
      </c>
      <c r="D72" s="68">
        <f t="shared" si="19"/>
        <v>67.5</v>
      </c>
      <c r="E72" s="69">
        <f ca="1">IF('Invoer gegevens'!$C$16="","",E71+1)</f>
        <v>2086</v>
      </c>
      <c r="F72" s="82">
        <f ca="1">IF('Invoer gegevens'!$C$17=E72,'Invoer gegevens'!$C$10,IF(C72=1,H71,0))</f>
        <v>0</v>
      </c>
      <c r="G72" s="83">
        <f ca="1">IF(C72&gt;=1,F72*Reeksen!C72,0)</f>
        <v>0</v>
      </c>
      <c r="H72" s="84">
        <f t="shared" ca="1" si="12"/>
        <v>0</v>
      </c>
      <c r="I72" s="85">
        <f ca="1">IF('Invoer gegevens'!$C$17=E72,'Invoer gegevens'!$C$11,IF(C72=1,L71,0))</f>
        <v>0</v>
      </c>
      <c r="J72" s="86">
        <f ca="1">IF(C72&lt;1,0,IF(Reeksen!AD72&lt;=Reeksen!AE72,I72*Reeksen!C72,0))</f>
        <v>0</v>
      </c>
      <c r="K72" s="86">
        <f ca="1">IF(C72&lt;1,0,IF(Reeksen!AD72&gt;Reeksen!AE72,I72*Reeksen!C72,0))</f>
        <v>0</v>
      </c>
      <c r="L72" s="86">
        <f t="shared" ca="1" si="13"/>
        <v>0</v>
      </c>
      <c r="M72" s="85">
        <f ca="1">IF('Invoer gegevens'!$C$17=E72,'Invoer gegevens'!$C$10-'Invoer gegevens'!$C$11,IF(C72=1,P71,0))</f>
        <v>0</v>
      </c>
      <c r="N72" s="86">
        <f ca="1">IF(C72&lt;1,0,IF(Reeksen!AD72&lt;=Reeksen!AE72,M72*Reeksen!C72,0))</f>
        <v>0</v>
      </c>
      <c r="O72" s="86">
        <f ca="1">IF(C72&lt;1,0,IF(Reeksen!AD72&gt;Reeksen!AE72,M72*Reeksen!C72,0))</f>
        <v>0</v>
      </c>
      <c r="P72" s="86">
        <f t="shared" ca="1" si="14"/>
        <v>0</v>
      </c>
      <c r="Q72" s="82">
        <f ca="1">IF('Invoer gegevens'!$C$17=E72,I72,IF(C72=0,0,R71))</f>
        <v>0</v>
      </c>
      <c r="R72" s="84">
        <f t="shared" ca="1" si="11"/>
        <v>0</v>
      </c>
      <c r="S72" s="84">
        <f ca="1">IF('Invoer gegevens'!$C$17=E72,M72,IF(C72=0,0,T71))</f>
        <v>0</v>
      </c>
      <c r="T72" s="84">
        <f t="shared" ca="1" si="20"/>
        <v>0</v>
      </c>
      <c r="AI72" s="71">
        <f ca="1">IF(C72=1,((F72+H72)/2*Reeksen!AI72*12)+(('Invoer gegevens'!$C$10-(F72+H72)/2)*Reeksen!AD72*12),0)</f>
        <v>0</v>
      </c>
      <c r="AJ72" s="71">
        <f ca="1">-AI72*'Invoer gegevens'!$F$28</f>
        <v>0</v>
      </c>
      <c r="AK72" s="71">
        <f t="shared" ca="1" si="15"/>
        <v>0</v>
      </c>
      <c r="AL72" s="71">
        <f ca="1">IF(C72=1,(12*((F72+H72)/2)*Reeksen!AL72)+(12*('Invoer gegevens'!$C$10-(F72+H72)/2)*Reeksen!AM72),0)</f>
        <v>0</v>
      </c>
      <c r="AM72" s="71">
        <f ca="1">-AL72*'Invoer gegevens'!$F$31</f>
        <v>0</v>
      </c>
      <c r="AN72" s="71">
        <f t="shared" ca="1" si="16"/>
        <v>0</v>
      </c>
      <c r="AO72" s="71"/>
      <c r="AP72" s="71"/>
      <c r="AQ72" s="71">
        <f ca="1">-IF(C72=1,('Invoer gegevens'!$C$10*'Invoer gegevens'!$F$35)*Reeksen!J72,0)*2</f>
        <v>0</v>
      </c>
      <c r="AR72" s="71">
        <f ca="1">-IF(C72=1,(G72*'Invoer gegevens'!$F$36)*Reeksen!J72,0)</f>
        <v>0</v>
      </c>
      <c r="AS72" s="71">
        <f ca="1">-IF(C72=1,'Invoer gegevens'!$C$10*'Invoer gegevens'!$F$37*Reeksen!L72,0)</f>
        <v>0</v>
      </c>
      <c r="AT72" s="71">
        <f ca="1">-IF(C72=1,IF(E72='Invoer gegevens'!$C$17,'Invoer gegevens'!$C$11,Q72)*Reeksen!S72*'Invoer gegevens'!$C$18*Reeksen!P72,0)</f>
        <v>0</v>
      </c>
      <c r="AU72" s="71">
        <f ca="1">-IF(C72=1,'Invoer gegevens'!$C$10*'Invoer gegevens'!$F$38*Reeksen!H72,0)</f>
        <v>0</v>
      </c>
      <c r="AV72" s="71">
        <f t="shared" si="10"/>
        <v>0</v>
      </c>
      <c r="AW72" s="71">
        <f t="shared" ca="1" si="17"/>
        <v>0</v>
      </c>
      <c r="AX72" s="71">
        <f ca="1">IF(E72&lt;'Invoer gegevens'!$C$17+15,0,IF('RW - MW - DE - DE'!E72&gt;'Invoer gegevens'!$C$17+215,0,'RW - MW - DE - DE'!AW72))</f>
        <v>0</v>
      </c>
      <c r="AY72" s="71">
        <f ca="1">AX72/(1+'Invoer gegevens'!$F$13)^($AZ72-('Invoer gegevens'!$C$17-'Invoer gegevens'!$C$16))/(1+'Invoer gegevens'!$C$39)^('Invoer gegevens'!$C$17-'Invoer gegevens'!$C$16)</f>
        <v>0</v>
      </c>
      <c r="AZ72" s="68">
        <f ca="1">IF(E72-'Invoer gegevens'!$C$17-14.5&lt;0,0,E72-'Invoer gegevens'!$C$17-14.5)</f>
        <v>52.5</v>
      </c>
      <c r="BC72" s="71"/>
    </row>
    <row r="73" spans="2:55" customFormat="1" x14ac:dyDescent="0.25">
      <c r="B73" s="70">
        <f t="shared" si="18"/>
        <v>69</v>
      </c>
      <c r="C73" s="67">
        <f ca="1">IF(E73-'Invoer gegevens'!$C$17&lt;0,0,1)</f>
        <v>1</v>
      </c>
      <c r="D73" s="68">
        <f t="shared" si="19"/>
        <v>68.5</v>
      </c>
      <c r="E73" s="69">
        <f ca="1">IF('Invoer gegevens'!$C$16="","",E72+1)</f>
        <v>2087</v>
      </c>
      <c r="F73" s="82">
        <f ca="1">IF('Invoer gegevens'!$C$17=E73,'Invoer gegevens'!$C$10,IF(C73=1,H72,0))</f>
        <v>0</v>
      </c>
      <c r="G73" s="83">
        <f ca="1">IF(C73&gt;=1,F73*Reeksen!C73,0)</f>
        <v>0</v>
      </c>
      <c r="H73" s="84">
        <f t="shared" ca="1" si="12"/>
        <v>0</v>
      </c>
      <c r="I73" s="85">
        <f ca="1">IF('Invoer gegevens'!$C$17=E73,'Invoer gegevens'!$C$11,IF(C73=1,L72,0))</f>
        <v>0</v>
      </c>
      <c r="J73" s="86">
        <f ca="1">IF(C73&lt;1,0,IF(Reeksen!AD73&lt;=Reeksen!AE73,I73*Reeksen!C73,0))</f>
        <v>0</v>
      </c>
      <c r="K73" s="86">
        <f ca="1">IF(C73&lt;1,0,IF(Reeksen!AD73&gt;Reeksen!AE73,I73*Reeksen!C73,0))</f>
        <v>0</v>
      </c>
      <c r="L73" s="86">
        <f t="shared" ca="1" si="13"/>
        <v>0</v>
      </c>
      <c r="M73" s="85">
        <f ca="1">IF('Invoer gegevens'!$C$17=E73,'Invoer gegevens'!$C$10-'Invoer gegevens'!$C$11,IF(C73=1,P72,0))</f>
        <v>0</v>
      </c>
      <c r="N73" s="86">
        <f ca="1">IF(C73&lt;1,0,IF(Reeksen!AD73&lt;=Reeksen!AE73,M73*Reeksen!C73,0))</f>
        <v>0</v>
      </c>
      <c r="O73" s="86">
        <f ca="1">IF(C73&lt;1,0,IF(Reeksen!AD73&gt;Reeksen!AE73,M73*Reeksen!C73,0))</f>
        <v>0</v>
      </c>
      <c r="P73" s="86">
        <f t="shared" ca="1" si="14"/>
        <v>0</v>
      </c>
      <c r="Q73" s="82">
        <f ca="1">IF('Invoer gegevens'!$C$17=E73,I73,IF(C73=0,0,R72))</f>
        <v>0</v>
      </c>
      <c r="R73" s="84">
        <f t="shared" ca="1" si="11"/>
        <v>0</v>
      </c>
      <c r="S73" s="84">
        <f ca="1">IF('Invoer gegevens'!$C$17=E73,M73,IF(C73=0,0,T72))</f>
        <v>0</v>
      </c>
      <c r="T73" s="84">
        <f t="shared" ca="1" si="20"/>
        <v>0</v>
      </c>
      <c r="AI73" s="71">
        <f ca="1">IF(C73=1,((F73+H73)/2*Reeksen!AI73*12)+(('Invoer gegevens'!$C$10-(F73+H73)/2)*Reeksen!AD73*12),0)</f>
        <v>0</v>
      </c>
      <c r="AJ73" s="71">
        <f ca="1">-AI73*'Invoer gegevens'!$F$28</f>
        <v>0</v>
      </c>
      <c r="AK73" s="71">
        <f t="shared" ca="1" si="15"/>
        <v>0</v>
      </c>
      <c r="AL73" s="71">
        <f ca="1">IF(C73=1,(12*((F73+H73)/2)*Reeksen!AL73)+(12*('Invoer gegevens'!$C$10-(F73+H73)/2)*Reeksen!AM73),0)</f>
        <v>0</v>
      </c>
      <c r="AM73" s="71">
        <f ca="1">-AL73*'Invoer gegevens'!$F$31</f>
        <v>0</v>
      </c>
      <c r="AN73" s="71">
        <f t="shared" ca="1" si="16"/>
        <v>0</v>
      </c>
      <c r="AO73" s="71"/>
      <c r="AP73" s="71"/>
      <c r="AQ73" s="71">
        <f ca="1">-IF(C73=1,('Invoer gegevens'!$C$10*'Invoer gegevens'!$F$35)*Reeksen!J73,0)*2</f>
        <v>0</v>
      </c>
      <c r="AR73" s="71">
        <f ca="1">-IF(C73=1,(G73*'Invoer gegevens'!$F$36)*Reeksen!J73,0)</f>
        <v>0</v>
      </c>
      <c r="AS73" s="71">
        <f ca="1">-IF(C73=1,'Invoer gegevens'!$C$10*'Invoer gegevens'!$F$37*Reeksen!L73,0)</f>
        <v>0</v>
      </c>
      <c r="AT73" s="71">
        <f ca="1">-IF(C73=1,IF(E73='Invoer gegevens'!$C$17,'Invoer gegevens'!$C$11,Q73)*Reeksen!S73*'Invoer gegevens'!$C$18*Reeksen!P73,0)</f>
        <v>0</v>
      </c>
      <c r="AU73" s="71">
        <f ca="1">-IF(C73=1,'Invoer gegevens'!$C$10*'Invoer gegevens'!$F$38*Reeksen!H73,0)</f>
        <v>0</v>
      </c>
      <c r="AV73" s="71">
        <f t="shared" si="10"/>
        <v>0</v>
      </c>
      <c r="AW73" s="71">
        <f t="shared" ca="1" si="17"/>
        <v>0</v>
      </c>
      <c r="AX73" s="71">
        <f ca="1">IF(E73&lt;'Invoer gegevens'!$C$17+15,0,IF('RW - MW - DE - DE'!E73&gt;'Invoer gegevens'!$C$17+215,0,'RW - MW - DE - DE'!AW73))</f>
        <v>0</v>
      </c>
      <c r="AY73" s="71">
        <f ca="1">AX73/(1+'Invoer gegevens'!$F$13)^($AZ73-('Invoer gegevens'!$C$17-'Invoer gegevens'!$C$16))/(1+'Invoer gegevens'!$C$39)^('Invoer gegevens'!$C$17-'Invoer gegevens'!$C$16)</f>
        <v>0</v>
      </c>
      <c r="AZ73" s="68">
        <f ca="1">IF(E73-'Invoer gegevens'!$C$17-14.5&lt;0,0,E73-'Invoer gegevens'!$C$17-14.5)</f>
        <v>53.5</v>
      </c>
      <c r="BC73" s="71"/>
    </row>
    <row r="74" spans="2:55" customFormat="1" x14ac:dyDescent="0.25">
      <c r="B74" s="70">
        <f t="shared" si="18"/>
        <v>70</v>
      </c>
      <c r="C74" s="67">
        <f ca="1">IF(E74-'Invoer gegevens'!$C$17&lt;0,0,1)</f>
        <v>1</v>
      </c>
      <c r="D74" s="68">
        <f t="shared" si="19"/>
        <v>69.5</v>
      </c>
      <c r="E74" s="69">
        <f ca="1">IF('Invoer gegevens'!$C$16="","",E73+1)</f>
        <v>2088</v>
      </c>
      <c r="F74" s="82">
        <f ca="1">IF('Invoer gegevens'!$C$17=E74,'Invoer gegevens'!$C$10,IF(C74=1,H73,0))</f>
        <v>0</v>
      </c>
      <c r="G74" s="83">
        <f ca="1">IF(C74&gt;=1,F74*Reeksen!C74,0)</f>
        <v>0</v>
      </c>
      <c r="H74" s="84">
        <f t="shared" ca="1" si="12"/>
        <v>0</v>
      </c>
      <c r="I74" s="85">
        <f ca="1">IF('Invoer gegevens'!$C$17=E74,'Invoer gegevens'!$C$11,IF(C74=1,L73,0))</f>
        <v>0</v>
      </c>
      <c r="J74" s="86">
        <f ca="1">IF(C74&lt;1,0,IF(Reeksen!AD74&lt;=Reeksen!AE74,I74*Reeksen!C74,0))</f>
        <v>0</v>
      </c>
      <c r="K74" s="86">
        <f ca="1">IF(C74&lt;1,0,IF(Reeksen!AD74&gt;Reeksen!AE74,I74*Reeksen!C74,0))</f>
        <v>0</v>
      </c>
      <c r="L74" s="86">
        <f t="shared" ca="1" si="13"/>
        <v>0</v>
      </c>
      <c r="M74" s="85">
        <f ca="1">IF('Invoer gegevens'!$C$17=E74,'Invoer gegevens'!$C$10-'Invoer gegevens'!$C$11,IF(C74=1,P73,0))</f>
        <v>0</v>
      </c>
      <c r="N74" s="86">
        <f ca="1">IF(C74&lt;1,0,IF(Reeksen!AD74&lt;=Reeksen!AE74,M74*Reeksen!C74,0))</f>
        <v>0</v>
      </c>
      <c r="O74" s="86">
        <f ca="1">IF(C74&lt;1,0,IF(Reeksen!AD74&gt;Reeksen!AE74,M74*Reeksen!C74,0))</f>
        <v>0</v>
      </c>
      <c r="P74" s="86">
        <f t="shared" ca="1" si="14"/>
        <v>0</v>
      </c>
      <c r="Q74" s="82">
        <f ca="1">IF('Invoer gegevens'!$C$17=E74,I74,IF(C74=0,0,R73))</f>
        <v>0</v>
      </c>
      <c r="R74" s="84">
        <f t="shared" ca="1" si="11"/>
        <v>0</v>
      </c>
      <c r="S74" s="84">
        <f ca="1">IF('Invoer gegevens'!$C$17=E74,M74,IF(C74=0,0,T73))</f>
        <v>0</v>
      </c>
      <c r="T74" s="84">
        <f t="shared" ca="1" si="20"/>
        <v>0</v>
      </c>
      <c r="AI74" s="71">
        <f ca="1">IF(C74=1,((F74+H74)/2*Reeksen!AI74*12)+(('Invoer gegevens'!$C$10-(F74+H74)/2)*Reeksen!AD74*12),0)</f>
        <v>0</v>
      </c>
      <c r="AJ74" s="71">
        <f ca="1">-AI74*'Invoer gegevens'!$F$28</f>
        <v>0</v>
      </c>
      <c r="AK74" s="71">
        <f t="shared" ca="1" si="15"/>
        <v>0</v>
      </c>
      <c r="AL74" s="71">
        <f ca="1">IF(C74=1,(12*((F74+H74)/2)*Reeksen!AL74)+(12*('Invoer gegevens'!$C$10-(F74+H74)/2)*Reeksen!AM74),0)</f>
        <v>0</v>
      </c>
      <c r="AM74" s="71">
        <f ca="1">-AL74*'Invoer gegevens'!$F$31</f>
        <v>0</v>
      </c>
      <c r="AN74" s="71">
        <f t="shared" ca="1" si="16"/>
        <v>0</v>
      </c>
      <c r="AO74" s="71"/>
      <c r="AP74" s="71"/>
      <c r="AQ74" s="71">
        <f ca="1">-IF(C74=1,('Invoer gegevens'!$C$10*'Invoer gegevens'!$F$35)*Reeksen!J74,0)*2</f>
        <v>0</v>
      </c>
      <c r="AR74" s="71">
        <f ca="1">-IF(C74=1,(G74*'Invoer gegevens'!$F$36)*Reeksen!J74,0)</f>
        <v>0</v>
      </c>
      <c r="AS74" s="71">
        <f ca="1">-IF(C74=1,'Invoer gegevens'!$C$10*'Invoer gegevens'!$F$37*Reeksen!L74,0)</f>
        <v>0</v>
      </c>
      <c r="AT74" s="71">
        <f ca="1">-IF(C74=1,IF(E74='Invoer gegevens'!$C$17,'Invoer gegevens'!$C$11,Q74)*Reeksen!S74*'Invoer gegevens'!$C$18*Reeksen!P74,0)</f>
        <v>0</v>
      </c>
      <c r="AU74" s="71">
        <f ca="1">-IF(C74=1,'Invoer gegevens'!$C$10*'Invoer gegevens'!$F$38*Reeksen!H74,0)</f>
        <v>0</v>
      </c>
      <c r="AV74" s="71">
        <f t="shared" si="10"/>
        <v>0</v>
      </c>
      <c r="AW74" s="71">
        <f t="shared" ca="1" si="17"/>
        <v>0</v>
      </c>
      <c r="AX74" s="71">
        <f ca="1">IF(E74&lt;'Invoer gegevens'!$C$17+15,0,IF('RW - MW - DE - DE'!E74&gt;'Invoer gegevens'!$C$17+215,0,'RW - MW - DE - DE'!AW74))</f>
        <v>0</v>
      </c>
      <c r="AY74" s="71">
        <f ca="1">AX74/(1+'Invoer gegevens'!$F$13)^($AZ74-('Invoer gegevens'!$C$17-'Invoer gegevens'!$C$16))/(1+'Invoer gegevens'!$C$39)^('Invoer gegevens'!$C$17-'Invoer gegevens'!$C$16)</f>
        <v>0</v>
      </c>
      <c r="AZ74" s="68">
        <f ca="1">IF(E74-'Invoer gegevens'!$C$17-14.5&lt;0,0,E74-'Invoer gegevens'!$C$17-14.5)</f>
        <v>54.5</v>
      </c>
      <c r="BC74" s="71"/>
    </row>
    <row r="75" spans="2:55" customFormat="1" x14ac:dyDescent="0.25">
      <c r="B75" s="70">
        <f t="shared" si="18"/>
        <v>71</v>
      </c>
      <c r="C75" s="67">
        <f ca="1">IF(E75-'Invoer gegevens'!$C$17&lt;0,0,1)</f>
        <v>1</v>
      </c>
      <c r="D75" s="68">
        <f t="shared" si="19"/>
        <v>70.5</v>
      </c>
      <c r="E75" s="69">
        <f ca="1">IF('Invoer gegevens'!$C$16="","",E74+1)</f>
        <v>2089</v>
      </c>
      <c r="F75" s="82">
        <f ca="1">IF('Invoer gegevens'!$C$17=E75,'Invoer gegevens'!$C$10,IF(C75=1,H74,0))</f>
        <v>0</v>
      </c>
      <c r="G75" s="83">
        <f ca="1">IF(C75&gt;=1,F75*Reeksen!C75,0)</f>
        <v>0</v>
      </c>
      <c r="H75" s="84">
        <f t="shared" ca="1" si="12"/>
        <v>0</v>
      </c>
      <c r="I75" s="85">
        <f ca="1">IF('Invoer gegevens'!$C$17=E75,'Invoer gegevens'!$C$11,IF(C75=1,L74,0))</f>
        <v>0</v>
      </c>
      <c r="J75" s="86">
        <f ca="1">IF(C75&lt;1,0,IF(Reeksen!AD75&lt;=Reeksen!AE75,I75*Reeksen!C75,0))</f>
        <v>0</v>
      </c>
      <c r="K75" s="86">
        <f ca="1">IF(C75&lt;1,0,IF(Reeksen!AD75&gt;Reeksen!AE75,I75*Reeksen!C75,0))</f>
        <v>0</v>
      </c>
      <c r="L75" s="86">
        <f t="shared" ca="1" si="13"/>
        <v>0</v>
      </c>
      <c r="M75" s="85">
        <f ca="1">IF('Invoer gegevens'!$C$17=E75,'Invoer gegevens'!$C$10-'Invoer gegevens'!$C$11,IF(C75=1,P74,0))</f>
        <v>0</v>
      </c>
      <c r="N75" s="86">
        <f ca="1">IF(C75&lt;1,0,IF(Reeksen!AD75&lt;=Reeksen!AE75,M75*Reeksen!C75,0))</f>
        <v>0</v>
      </c>
      <c r="O75" s="86">
        <f ca="1">IF(C75&lt;1,0,IF(Reeksen!AD75&gt;Reeksen!AE75,M75*Reeksen!C75,0))</f>
        <v>0</v>
      </c>
      <c r="P75" s="86">
        <f t="shared" ca="1" si="14"/>
        <v>0</v>
      </c>
      <c r="Q75" s="82">
        <f ca="1">IF('Invoer gegevens'!$C$17=E75,I75,IF(C75=0,0,R74))</f>
        <v>0</v>
      </c>
      <c r="R75" s="84">
        <f t="shared" ca="1" si="11"/>
        <v>0</v>
      </c>
      <c r="S75" s="84">
        <f ca="1">IF('Invoer gegevens'!$C$17=E75,M75,IF(C75=0,0,T74))</f>
        <v>0</v>
      </c>
      <c r="T75" s="84">
        <f t="shared" ca="1" si="20"/>
        <v>0</v>
      </c>
      <c r="AI75" s="71">
        <f ca="1">IF(C75=1,((F75+H75)/2*Reeksen!AI75*12)+(('Invoer gegevens'!$C$10-(F75+H75)/2)*Reeksen!AD75*12),0)</f>
        <v>0</v>
      </c>
      <c r="AJ75" s="71">
        <f ca="1">-AI75*'Invoer gegevens'!$F$28</f>
        <v>0</v>
      </c>
      <c r="AK75" s="71">
        <f t="shared" ca="1" si="15"/>
        <v>0</v>
      </c>
      <c r="AL75" s="71">
        <f ca="1">IF(C75=1,(12*((F75+H75)/2)*Reeksen!AL75)+(12*('Invoer gegevens'!$C$10-(F75+H75)/2)*Reeksen!AM75),0)</f>
        <v>0</v>
      </c>
      <c r="AM75" s="71">
        <f ca="1">-AL75*'Invoer gegevens'!$F$31</f>
        <v>0</v>
      </c>
      <c r="AN75" s="71">
        <f t="shared" ca="1" si="16"/>
        <v>0</v>
      </c>
      <c r="AO75" s="71"/>
      <c r="AP75" s="71"/>
      <c r="AQ75" s="71">
        <f ca="1">-IF(C75=1,('Invoer gegevens'!$C$10*'Invoer gegevens'!$F$35)*Reeksen!J75,0)*2</f>
        <v>0</v>
      </c>
      <c r="AR75" s="71">
        <f ca="1">-IF(C75=1,(G75*'Invoer gegevens'!$F$36)*Reeksen!J75,0)</f>
        <v>0</v>
      </c>
      <c r="AS75" s="71">
        <f ca="1">-IF(C75=1,'Invoer gegevens'!$C$10*'Invoer gegevens'!$F$37*Reeksen!L75,0)</f>
        <v>0</v>
      </c>
      <c r="AT75" s="71">
        <f ca="1">-IF(C75=1,IF(E75='Invoer gegevens'!$C$17,'Invoer gegevens'!$C$11,Q75)*Reeksen!S75*'Invoer gegevens'!$C$18*Reeksen!P75,0)</f>
        <v>0</v>
      </c>
      <c r="AU75" s="71">
        <f ca="1">-IF(C75=1,'Invoer gegevens'!$C$10*'Invoer gegevens'!$F$38*Reeksen!H75,0)</f>
        <v>0</v>
      </c>
      <c r="AV75" s="71">
        <f t="shared" si="10"/>
        <v>0</v>
      </c>
      <c r="AW75" s="71">
        <f t="shared" ca="1" si="17"/>
        <v>0</v>
      </c>
      <c r="AX75" s="71">
        <f ca="1">IF(E75&lt;'Invoer gegevens'!$C$17+15,0,IF('RW - MW - DE - DE'!E75&gt;'Invoer gegevens'!$C$17+215,0,'RW - MW - DE - DE'!AW75))</f>
        <v>0</v>
      </c>
      <c r="AY75" s="71">
        <f ca="1">AX75/(1+'Invoer gegevens'!$F$13)^($AZ75-('Invoer gegevens'!$C$17-'Invoer gegevens'!$C$16))/(1+'Invoer gegevens'!$C$39)^('Invoer gegevens'!$C$17-'Invoer gegevens'!$C$16)</f>
        <v>0</v>
      </c>
      <c r="AZ75" s="68">
        <f ca="1">IF(E75-'Invoer gegevens'!$C$17-14.5&lt;0,0,E75-'Invoer gegevens'!$C$17-14.5)</f>
        <v>55.5</v>
      </c>
      <c r="BC75" s="71"/>
    </row>
    <row r="76" spans="2:55" customFormat="1" x14ac:dyDescent="0.25">
      <c r="B76" s="70">
        <f t="shared" si="18"/>
        <v>72</v>
      </c>
      <c r="C76" s="67">
        <f ca="1">IF(E76-'Invoer gegevens'!$C$17&lt;0,0,1)</f>
        <v>1</v>
      </c>
      <c r="D76" s="68">
        <f t="shared" si="19"/>
        <v>71.5</v>
      </c>
      <c r="E76" s="69">
        <f ca="1">IF('Invoer gegevens'!$C$16="","",E75+1)</f>
        <v>2090</v>
      </c>
      <c r="F76" s="82">
        <f ca="1">IF('Invoer gegevens'!$C$17=E76,'Invoer gegevens'!$C$10,IF(C76=1,H75,0))</f>
        <v>0</v>
      </c>
      <c r="G76" s="83">
        <f ca="1">IF(C76&gt;=1,F76*Reeksen!C76,0)</f>
        <v>0</v>
      </c>
      <c r="H76" s="84">
        <f t="shared" ca="1" si="12"/>
        <v>0</v>
      </c>
      <c r="I76" s="85">
        <f ca="1">IF('Invoer gegevens'!$C$17=E76,'Invoer gegevens'!$C$11,IF(C76=1,L75,0))</f>
        <v>0</v>
      </c>
      <c r="J76" s="86">
        <f ca="1">IF(C76&lt;1,0,IF(Reeksen!AD76&lt;=Reeksen!AE76,I76*Reeksen!C76,0))</f>
        <v>0</v>
      </c>
      <c r="K76" s="86">
        <f ca="1">IF(C76&lt;1,0,IF(Reeksen!AD76&gt;Reeksen!AE76,I76*Reeksen!C76,0))</f>
        <v>0</v>
      </c>
      <c r="L76" s="86">
        <f t="shared" ca="1" si="13"/>
        <v>0</v>
      </c>
      <c r="M76" s="85">
        <f ca="1">IF('Invoer gegevens'!$C$17=E76,'Invoer gegevens'!$C$10-'Invoer gegevens'!$C$11,IF(C76=1,P75,0))</f>
        <v>0</v>
      </c>
      <c r="N76" s="86">
        <f ca="1">IF(C76&lt;1,0,IF(Reeksen!AD76&lt;=Reeksen!AE76,M76*Reeksen!C76,0))</f>
        <v>0</v>
      </c>
      <c r="O76" s="86">
        <f ca="1">IF(C76&lt;1,0,IF(Reeksen!AD76&gt;Reeksen!AE76,M76*Reeksen!C76,0))</f>
        <v>0</v>
      </c>
      <c r="P76" s="86">
        <f t="shared" ca="1" si="14"/>
        <v>0</v>
      </c>
      <c r="Q76" s="82">
        <f ca="1">IF('Invoer gegevens'!$C$17=E76,I76,IF(C76=0,0,R75))</f>
        <v>0</v>
      </c>
      <c r="R76" s="84">
        <f t="shared" ca="1" si="11"/>
        <v>0</v>
      </c>
      <c r="S76" s="84">
        <f ca="1">IF('Invoer gegevens'!$C$17=E76,M76,IF(C76=0,0,T75))</f>
        <v>0</v>
      </c>
      <c r="T76" s="84">
        <f t="shared" ca="1" si="20"/>
        <v>0</v>
      </c>
      <c r="AI76" s="71">
        <f ca="1">IF(C76=1,((F76+H76)/2*Reeksen!AI76*12)+(('Invoer gegevens'!$C$10-(F76+H76)/2)*Reeksen!AD76*12),0)</f>
        <v>0</v>
      </c>
      <c r="AJ76" s="71">
        <f ca="1">-AI76*'Invoer gegevens'!$F$28</f>
        <v>0</v>
      </c>
      <c r="AK76" s="71">
        <f t="shared" ca="1" si="15"/>
        <v>0</v>
      </c>
      <c r="AL76" s="71">
        <f ca="1">IF(C76=1,(12*((F76+H76)/2)*Reeksen!AL76)+(12*('Invoer gegevens'!$C$10-(F76+H76)/2)*Reeksen!AM76),0)</f>
        <v>0</v>
      </c>
      <c r="AM76" s="71">
        <f ca="1">-AL76*'Invoer gegevens'!$F$31</f>
        <v>0</v>
      </c>
      <c r="AN76" s="71">
        <f t="shared" ca="1" si="16"/>
        <v>0</v>
      </c>
      <c r="AO76" s="71"/>
      <c r="AP76" s="71"/>
      <c r="AQ76" s="71">
        <f ca="1">-IF(C76=1,('Invoer gegevens'!$C$10*'Invoer gegevens'!$F$35)*Reeksen!J76,0)*2</f>
        <v>0</v>
      </c>
      <c r="AR76" s="71">
        <f ca="1">-IF(C76=1,(G76*'Invoer gegevens'!$F$36)*Reeksen!J76,0)</f>
        <v>0</v>
      </c>
      <c r="AS76" s="71">
        <f ca="1">-IF(C76=1,'Invoer gegevens'!$C$10*'Invoer gegevens'!$F$37*Reeksen!L76,0)</f>
        <v>0</v>
      </c>
      <c r="AT76" s="71">
        <f ca="1">-IF(C76=1,IF(E76='Invoer gegevens'!$C$17,'Invoer gegevens'!$C$11,Q76)*Reeksen!S76*'Invoer gegevens'!$C$18*Reeksen!P76,0)</f>
        <v>0</v>
      </c>
      <c r="AU76" s="71">
        <f ca="1">-IF(C76=1,'Invoer gegevens'!$C$10*'Invoer gegevens'!$F$38*Reeksen!H76,0)</f>
        <v>0</v>
      </c>
      <c r="AV76" s="71">
        <f t="shared" si="10"/>
        <v>0</v>
      </c>
      <c r="AW76" s="71">
        <f t="shared" ca="1" si="17"/>
        <v>0</v>
      </c>
      <c r="AX76" s="71">
        <f ca="1">IF(E76&lt;'Invoer gegevens'!$C$17+15,0,IF('RW - MW - DE - DE'!E76&gt;'Invoer gegevens'!$C$17+215,0,'RW - MW - DE - DE'!AW76))</f>
        <v>0</v>
      </c>
      <c r="AY76" s="71">
        <f ca="1">AX76/(1+'Invoer gegevens'!$F$13)^($AZ76-('Invoer gegevens'!$C$17-'Invoer gegevens'!$C$16))/(1+'Invoer gegevens'!$C$39)^('Invoer gegevens'!$C$17-'Invoer gegevens'!$C$16)</f>
        <v>0</v>
      </c>
      <c r="AZ76" s="68">
        <f ca="1">IF(E76-'Invoer gegevens'!$C$17-14.5&lt;0,0,E76-'Invoer gegevens'!$C$17-14.5)</f>
        <v>56.5</v>
      </c>
      <c r="BC76" s="71"/>
    </row>
    <row r="77" spans="2:55" customFormat="1" x14ac:dyDescent="0.25">
      <c r="B77" s="70">
        <f t="shared" si="18"/>
        <v>73</v>
      </c>
      <c r="C77" s="67">
        <f ca="1">IF(E77-'Invoer gegevens'!$C$17&lt;0,0,1)</f>
        <v>1</v>
      </c>
      <c r="D77" s="68">
        <f t="shared" si="19"/>
        <v>72.5</v>
      </c>
      <c r="E77" s="69">
        <f ca="1">IF('Invoer gegevens'!$C$16="","",E76+1)</f>
        <v>2091</v>
      </c>
      <c r="F77" s="82">
        <f ca="1">IF('Invoer gegevens'!$C$17=E77,'Invoer gegevens'!$C$10,IF(C77=1,H76,0))</f>
        <v>0</v>
      </c>
      <c r="G77" s="83">
        <f ca="1">IF(C77&gt;=1,F77*Reeksen!C77,0)</f>
        <v>0</v>
      </c>
      <c r="H77" s="84">
        <f t="shared" ca="1" si="12"/>
        <v>0</v>
      </c>
      <c r="I77" s="85">
        <f ca="1">IF('Invoer gegevens'!$C$17=E77,'Invoer gegevens'!$C$11,IF(C77=1,L76,0))</f>
        <v>0</v>
      </c>
      <c r="J77" s="86">
        <f ca="1">IF(C77&lt;1,0,IF(Reeksen!AD77&lt;=Reeksen!AE77,I77*Reeksen!C77,0))</f>
        <v>0</v>
      </c>
      <c r="K77" s="86">
        <f ca="1">IF(C77&lt;1,0,IF(Reeksen!AD77&gt;Reeksen!AE77,I77*Reeksen!C77,0))</f>
        <v>0</v>
      </c>
      <c r="L77" s="86">
        <f t="shared" ca="1" si="13"/>
        <v>0</v>
      </c>
      <c r="M77" s="85">
        <f ca="1">IF('Invoer gegevens'!$C$17=E77,'Invoer gegevens'!$C$10-'Invoer gegevens'!$C$11,IF(C77=1,P76,0))</f>
        <v>0</v>
      </c>
      <c r="N77" s="86">
        <f ca="1">IF(C77&lt;1,0,IF(Reeksen!AD77&lt;=Reeksen!AE77,M77*Reeksen!C77,0))</f>
        <v>0</v>
      </c>
      <c r="O77" s="86">
        <f ca="1">IF(C77&lt;1,0,IF(Reeksen!AD77&gt;Reeksen!AE77,M77*Reeksen!C77,0))</f>
        <v>0</v>
      </c>
      <c r="P77" s="86">
        <f t="shared" ca="1" si="14"/>
        <v>0</v>
      </c>
      <c r="Q77" s="82">
        <f ca="1">IF('Invoer gegevens'!$C$17=E77,I77,IF(C77=0,0,R76))</f>
        <v>0</v>
      </c>
      <c r="R77" s="84">
        <f t="shared" ca="1" si="11"/>
        <v>0</v>
      </c>
      <c r="S77" s="84">
        <f ca="1">IF('Invoer gegevens'!$C$17=E77,M77,IF(C77=0,0,T76))</f>
        <v>0</v>
      </c>
      <c r="T77" s="84">
        <f t="shared" ca="1" si="20"/>
        <v>0</v>
      </c>
      <c r="AI77" s="71">
        <f ca="1">IF(C77=1,((F77+H77)/2*Reeksen!AI77*12)+(('Invoer gegevens'!$C$10-(F77+H77)/2)*Reeksen!AD77*12),0)</f>
        <v>0</v>
      </c>
      <c r="AJ77" s="71">
        <f ca="1">-AI77*'Invoer gegevens'!$F$28</f>
        <v>0</v>
      </c>
      <c r="AK77" s="71">
        <f t="shared" ca="1" si="15"/>
        <v>0</v>
      </c>
      <c r="AL77" s="71">
        <f ca="1">IF(C77=1,(12*((F77+H77)/2)*Reeksen!AL77)+(12*('Invoer gegevens'!$C$10-(F77+H77)/2)*Reeksen!AM77),0)</f>
        <v>0</v>
      </c>
      <c r="AM77" s="71">
        <f ca="1">-AL77*'Invoer gegevens'!$F$31</f>
        <v>0</v>
      </c>
      <c r="AN77" s="71">
        <f t="shared" ca="1" si="16"/>
        <v>0</v>
      </c>
      <c r="AO77" s="71"/>
      <c r="AP77" s="71"/>
      <c r="AQ77" s="71">
        <f ca="1">-IF(C77=1,('Invoer gegevens'!$C$10*'Invoer gegevens'!$F$35)*Reeksen!J77,0)*2</f>
        <v>0</v>
      </c>
      <c r="AR77" s="71">
        <f ca="1">-IF(C77=1,(G77*'Invoer gegevens'!$F$36)*Reeksen!J77,0)</f>
        <v>0</v>
      </c>
      <c r="AS77" s="71">
        <f ca="1">-IF(C77=1,'Invoer gegevens'!$C$10*'Invoer gegevens'!$F$37*Reeksen!L77,0)</f>
        <v>0</v>
      </c>
      <c r="AT77" s="71">
        <f ca="1">-IF(C77=1,IF(E77='Invoer gegevens'!$C$17,'Invoer gegevens'!$C$11,Q77)*Reeksen!S77*'Invoer gegevens'!$C$18*Reeksen!P77,0)</f>
        <v>0</v>
      </c>
      <c r="AU77" s="71">
        <f ca="1">-IF(C77=1,'Invoer gegevens'!$C$10*'Invoer gegevens'!$F$38*Reeksen!H77,0)</f>
        <v>0</v>
      </c>
      <c r="AV77" s="71">
        <f t="shared" si="10"/>
        <v>0</v>
      </c>
      <c r="AW77" s="71">
        <f t="shared" ca="1" si="17"/>
        <v>0</v>
      </c>
      <c r="AX77" s="71">
        <f ca="1">IF(E77&lt;'Invoer gegevens'!$C$17+15,0,IF('RW - MW - DE - DE'!E77&gt;'Invoer gegevens'!$C$17+215,0,'RW - MW - DE - DE'!AW77))</f>
        <v>0</v>
      </c>
      <c r="AY77" s="71">
        <f ca="1">AX77/(1+'Invoer gegevens'!$F$13)^($AZ77-('Invoer gegevens'!$C$17-'Invoer gegevens'!$C$16))/(1+'Invoer gegevens'!$C$39)^('Invoer gegevens'!$C$17-'Invoer gegevens'!$C$16)</f>
        <v>0</v>
      </c>
      <c r="AZ77" s="68">
        <f ca="1">IF(E77-'Invoer gegevens'!$C$17-14.5&lt;0,0,E77-'Invoer gegevens'!$C$17-14.5)</f>
        <v>57.5</v>
      </c>
      <c r="BC77" s="71"/>
    </row>
    <row r="78" spans="2:55" customFormat="1" x14ac:dyDescent="0.25">
      <c r="B78" s="70">
        <f t="shared" si="18"/>
        <v>74</v>
      </c>
      <c r="C78" s="67">
        <f ca="1">IF(E78-'Invoer gegevens'!$C$17&lt;0,0,1)</f>
        <v>1</v>
      </c>
      <c r="D78" s="68">
        <f t="shared" si="19"/>
        <v>73.5</v>
      </c>
      <c r="E78" s="69">
        <f ca="1">IF('Invoer gegevens'!$C$16="","",E77+1)</f>
        <v>2092</v>
      </c>
      <c r="F78" s="82">
        <f ca="1">IF('Invoer gegevens'!$C$17=E78,'Invoer gegevens'!$C$10,IF(C78=1,H77,0))</f>
        <v>0</v>
      </c>
      <c r="G78" s="83">
        <f ca="1">IF(C78&gt;=1,F78*Reeksen!C78,0)</f>
        <v>0</v>
      </c>
      <c r="H78" s="84">
        <f t="shared" ca="1" si="12"/>
        <v>0</v>
      </c>
      <c r="I78" s="85">
        <f ca="1">IF('Invoer gegevens'!$C$17=E78,'Invoer gegevens'!$C$11,IF(C78=1,L77,0))</f>
        <v>0</v>
      </c>
      <c r="J78" s="86">
        <f ca="1">IF(C78&lt;1,0,IF(Reeksen!AD78&lt;=Reeksen!AE78,I78*Reeksen!C78,0))</f>
        <v>0</v>
      </c>
      <c r="K78" s="86">
        <f ca="1">IF(C78&lt;1,0,IF(Reeksen!AD78&gt;Reeksen!AE78,I78*Reeksen!C78,0))</f>
        <v>0</v>
      </c>
      <c r="L78" s="86">
        <f t="shared" ca="1" si="13"/>
        <v>0</v>
      </c>
      <c r="M78" s="85">
        <f ca="1">IF('Invoer gegevens'!$C$17=E78,'Invoer gegevens'!$C$10-'Invoer gegevens'!$C$11,IF(C78=1,P77,0))</f>
        <v>0</v>
      </c>
      <c r="N78" s="86">
        <f ca="1">IF(C78&lt;1,0,IF(Reeksen!AD78&lt;=Reeksen!AE78,M78*Reeksen!C78,0))</f>
        <v>0</v>
      </c>
      <c r="O78" s="86">
        <f ca="1">IF(C78&lt;1,0,IF(Reeksen!AD78&gt;Reeksen!AE78,M78*Reeksen!C78,0))</f>
        <v>0</v>
      </c>
      <c r="P78" s="86">
        <f t="shared" ca="1" si="14"/>
        <v>0</v>
      </c>
      <c r="Q78" s="82">
        <f ca="1">IF('Invoer gegevens'!$C$17=E78,I78,IF(C78=0,0,R77))</f>
        <v>0</v>
      </c>
      <c r="R78" s="84">
        <f t="shared" ca="1" si="11"/>
        <v>0</v>
      </c>
      <c r="S78" s="84">
        <f ca="1">IF('Invoer gegevens'!$C$17=E78,M78,IF(C78=0,0,T77))</f>
        <v>0</v>
      </c>
      <c r="T78" s="84">
        <f t="shared" ca="1" si="20"/>
        <v>0</v>
      </c>
      <c r="AI78" s="71">
        <f ca="1">IF(C78=1,((F78+H78)/2*Reeksen!AI78*12)+(('Invoer gegevens'!$C$10-(F78+H78)/2)*Reeksen!AD78*12),0)</f>
        <v>0</v>
      </c>
      <c r="AJ78" s="71">
        <f ca="1">-AI78*'Invoer gegevens'!$F$28</f>
        <v>0</v>
      </c>
      <c r="AK78" s="71">
        <f t="shared" ca="1" si="15"/>
        <v>0</v>
      </c>
      <c r="AL78" s="71">
        <f ca="1">IF(C78=1,(12*((F78+H78)/2)*Reeksen!AL78)+(12*('Invoer gegevens'!$C$10-(F78+H78)/2)*Reeksen!AM78),0)</f>
        <v>0</v>
      </c>
      <c r="AM78" s="71">
        <f ca="1">-AL78*'Invoer gegevens'!$F$31</f>
        <v>0</v>
      </c>
      <c r="AN78" s="71">
        <f t="shared" ca="1" si="16"/>
        <v>0</v>
      </c>
      <c r="AO78" s="71"/>
      <c r="AP78" s="71"/>
      <c r="AQ78" s="71">
        <f ca="1">-IF(C78=1,('Invoer gegevens'!$C$10*'Invoer gegevens'!$F$35)*Reeksen!J78,0)*2</f>
        <v>0</v>
      </c>
      <c r="AR78" s="71">
        <f ca="1">-IF(C78=1,(G78*'Invoer gegevens'!$F$36)*Reeksen!J78,0)</f>
        <v>0</v>
      </c>
      <c r="AS78" s="71">
        <f ca="1">-IF(C78=1,'Invoer gegevens'!$C$10*'Invoer gegevens'!$F$37*Reeksen!L78,0)</f>
        <v>0</v>
      </c>
      <c r="AT78" s="71">
        <f ca="1">-IF(C78=1,IF(E78='Invoer gegevens'!$C$17,'Invoer gegevens'!$C$11,Q78)*Reeksen!S78*'Invoer gegevens'!$C$18*Reeksen!P78,0)</f>
        <v>0</v>
      </c>
      <c r="AU78" s="71">
        <f ca="1">-IF(C78=1,'Invoer gegevens'!$C$10*'Invoer gegevens'!$F$38*Reeksen!H78,0)</f>
        <v>0</v>
      </c>
      <c r="AV78" s="71">
        <f t="shared" si="10"/>
        <v>0</v>
      </c>
      <c r="AW78" s="71">
        <f t="shared" ca="1" si="17"/>
        <v>0</v>
      </c>
      <c r="AX78" s="71">
        <f ca="1">IF(E78&lt;'Invoer gegevens'!$C$17+15,0,IF('RW - MW - DE - DE'!E78&gt;'Invoer gegevens'!$C$17+215,0,'RW - MW - DE - DE'!AW78))</f>
        <v>0</v>
      </c>
      <c r="AY78" s="71">
        <f ca="1">AX78/(1+'Invoer gegevens'!$F$13)^($AZ78-('Invoer gegevens'!$C$17-'Invoer gegevens'!$C$16))/(1+'Invoer gegevens'!$C$39)^('Invoer gegevens'!$C$17-'Invoer gegevens'!$C$16)</f>
        <v>0</v>
      </c>
      <c r="AZ78" s="68">
        <f ca="1">IF(E78-'Invoer gegevens'!$C$17-14.5&lt;0,0,E78-'Invoer gegevens'!$C$17-14.5)</f>
        <v>58.5</v>
      </c>
      <c r="BC78" s="71"/>
    </row>
    <row r="79" spans="2:55" customFormat="1" x14ac:dyDescent="0.25">
      <c r="B79" s="70">
        <f t="shared" si="18"/>
        <v>75</v>
      </c>
      <c r="C79" s="67">
        <f ca="1">IF(E79-'Invoer gegevens'!$C$17&lt;0,0,1)</f>
        <v>1</v>
      </c>
      <c r="D79" s="68">
        <f t="shared" si="19"/>
        <v>74.5</v>
      </c>
      <c r="E79" s="69">
        <f ca="1">IF('Invoer gegevens'!$C$16="","",E78+1)</f>
        <v>2093</v>
      </c>
      <c r="F79" s="82">
        <f ca="1">IF('Invoer gegevens'!$C$17=E79,'Invoer gegevens'!$C$10,IF(C79=1,H78,0))</f>
        <v>0</v>
      </c>
      <c r="G79" s="83">
        <f ca="1">IF(C79&gt;=1,F79*Reeksen!C79,0)</f>
        <v>0</v>
      </c>
      <c r="H79" s="84">
        <f t="shared" ca="1" si="12"/>
        <v>0</v>
      </c>
      <c r="I79" s="85">
        <f ca="1">IF('Invoer gegevens'!$C$17=E79,'Invoer gegevens'!$C$11,IF(C79=1,L78,0))</f>
        <v>0</v>
      </c>
      <c r="J79" s="86">
        <f ca="1">IF(C79&lt;1,0,IF(Reeksen!AD79&lt;=Reeksen!AE79,I79*Reeksen!C79,0))</f>
        <v>0</v>
      </c>
      <c r="K79" s="86">
        <f ca="1">IF(C79&lt;1,0,IF(Reeksen!AD79&gt;Reeksen!AE79,I79*Reeksen!C79,0))</f>
        <v>0</v>
      </c>
      <c r="L79" s="86">
        <f t="shared" ca="1" si="13"/>
        <v>0</v>
      </c>
      <c r="M79" s="85">
        <f ca="1">IF('Invoer gegevens'!$C$17=E79,'Invoer gegevens'!$C$10-'Invoer gegevens'!$C$11,IF(C79=1,P78,0))</f>
        <v>0</v>
      </c>
      <c r="N79" s="86">
        <f ca="1">IF(C79&lt;1,0,IF(Reeksen!AD79&lt;=Reeksen!AE79,M79*Reeksen!C79,0))</f>
        <v>0</v>
      </c>
      <c r="O79" s="86">
        <f ca="1">IF(C79&lt;1,0,IF(Reeksen!AD79&gt;Reeksen!AE79,M79*Reeksen!C79,0))</f>
        <v>0</v>
      </c>
      <c r="P79" s="86">
        <f t="shared" ca="1" si="14"/>
        <v>0</v>
      </c>
      <c r="Q79" s="82">
        <f ca="1">IF('Invoer gegevens'!$C$17=E79,I79,IF(C79=0,0,R78))</f>
        <v>0</v>
      </c>
      <c r="R79" s="84">
        <f t="shared" ca="1" si="11"/>
        <v>0</v>
      </c>
      <c r="S79" s="84">
        <f ca="1">IF('Invoer gegevens'!$C$17=E79,M79,IF(C79=0,0,T78))</f>
        <v>0</v>
      </c>
      <c r="T79" s="84">
        <f t="shared" ca="1" si="20"/>
        <v>0</v>
      </c>
      <c r="AI79" s="71">
        <f ca="1">IF(C79=1,((F79+H79)/2*Reeksen!AI79*12)+(('Invoer gegevens'!$C$10-(F79+H79)/2)*Reeksen!AD79*12),0)</f>
        <v>0</v>
      </c>
      <c r="AJ79" s="71">
        <f ca="1">-AI79*'Invoer gegevens'!$F$28</f>
        <v>0</v>
      </c>
      <c r="AK79" s="71">
        <f t="shared" ca="1" si="15"/>
        <v>0</v>
      </c>
      <c r="AL79" s="71">
        <f ca="1">IF(C79=1,(12*((F79+H79)/2)*Reeksen!AL79)+(12*('Invoer gegevens'!$C$10-(F79+H79)/2)*Reeksen!AM79),0)</f>
        <v>0</v>
      </c>
      <c r="AM79" s="71">
        <f ca="1">-AL79*'Invoer gegevens'!$F$31</f>
        <v>0</v>
      </c>
      <c r="AN79" s="71">
        <f t="shared" ca="1" si="16"/>
        <v>0</v>
      </c>
      <c r="AO79" s="71"/>
      <c r="AP79" s="71"/>
      <c r="AQ79" s="71">
        <f ca="1">-IF(C79=1,('Invoer gegevens'!$C$10*'Invoer gegevens'!$F$35)*Reeksen!J79,0)*2</f>
        <v>0</v>
      </c>
      <c r="AR79" s="71">
        <f ca="1">-IF(C79=1,(G79*'Invoer gegevens'!$F$36)*Reeksen!J79,0)</f>
        <v>0</v>
      </c>
      <c r="AS79" s="71">
        <f ca="1">-IF(C79=1,'Invoer gegevens'!$C$10*'Invoer gegevens'!$F$37*Reeksen!L79,0)</f>
        <v>0</v>
      </c>
      <c r="AT79" s="71">
        <f ca="1">-IF(C79=1,IF(E79='Invoer gegevens'!$C$17,'Invoer gegevens'!$C$11,Q79)*Reeksen!S79*'Invoer gegevens'!$C$18*Reeksen!P79,0)</f>
        <v>0</v>
      </c>
      <c r="AU79" s="71">
        <f ca="1">-IF(C79=1,'Invoer gegevens'!$C$10*'Invoer gegevens'!$F$38*Reeksen!H79,0)</f>
        <v>0</v>
      </c>
      <c r="AV79" s="71">
        <f t="shared" si="10"/>
        <v>0</v>
      </c>
      <c r="AW79" s="71">
        <f t="shared" ca="1" si="17"/>
        <v>0</v>
      </c>
      <c r="AX79" s="71">
        <f ca="1">IF(E79&lt;'Invoer gegevens'!$C$17+15,0,IF('RW - MW - DE - DE'!E79&gt;'Invoer gegevens'!$C$17+215,0,'RW - MW - DE - DE'!AW79))</f>
        <v>0</v>
      </c>
      <c r="AY79" s="71">
        <f ca="1">AX79/(1+'Invoer gegevens'!$F$13)^($AZ79-('Invoer gegevens'!$C$17-'Invoer gegevens'!$C$16))/(1+'Invoer gegevens'!$C$39)^('Invoer gegevens'!$C$17-'Invoer gegevens'!$C$16)</f>
        <v>0</v>
      </c>
      <c r="AZ79" s="68">
        <f ca="1">IF(E79-'Invoer gegevens'!$C$17-14.5&lt;0,0,E79-'Invoer gegevens'!$C$17-14.5)</f>
        <v>59.5</v>
      </c>
      <c r="BC79" s="71"/>
    </row>
    <row r="80" spans="2:55" customFormat="1" x14ac:dyDescent="0.25">
      <c r="B80" s="70">
        <f t="shared" si="18"/>
        <v>76</v>
      </c>
      <c r="C80" s="67">
        <f ca="1">IF(E80-'Invoer gegevens'!$C$17&lt;0,0,1)</f>
        <v>1</v>
      </c>
      <c r="D80" s="68">
        <f t="shared" si="19"/>
        <v>75.5</v>
      </c>
      <c r="E80" s="69">
        <f ca="1">IF('Invoer gegevens'!$C$16="","",E79+1)</f>
        <v>2094</v>
      </c>
      <c r="F80" s="82">
        <f ca="1">IF('Invoer gegevens'!$C$17=E80,'Invoer gegevens'!$C$10,IF(C80=1,H79,0))</f>
        <v>0</v>
      </c>
      <c r="G80" s="83">
        <f ca="1">IF(C80&gt;=1,F80*Reeksen!C80,0)</f>
        <v>0</v>
      </c>
      <c r="H80" s="84">
        <f t="shared" ca="1" si="12"/>
        <v>0</v>
      </c>
      <c r="I80" s="85">
        <f ca="1">IF('Invoer gegevens'!$C$17=E80,'Invoer gegevens'!$C$11,IF(C80=1,L79,0))</f>
        <v>0</v>
      </c>
      <c r="J80" s="86">
        <f ca="1">IF(C80&lt;1,0,IF(Reeksen!AD80&lt;=Reeksen!AE80,I80*Reeksen!C80,0))</f>
        <v>0</v>
      </c>
      <c r="K80" s="86">
        <f ca="1">IF(C80&lt;1,0,IF(Reeksen!AD80&gt;Reeksen!AE80,I80*Reeksen!C80,0))</f>
        <v>0</v>
      </c>
      <c r="L80" s="86">
        <f t="shared" ca="1" si="13"/>
        <v>0</v>
      </c>
      <c r="M80" s="85">
        <f ca="1">IF('Invoer gegevens'!$C$17=E80,'Invoer gegevens'!$C$10-'Invoer gegevens'!$C$11,IF(C80=1,P79,0))</f>
        <v>0</v>
      </c>
      <c r="N80" s="86">
        <f ca="1">IF(C80&lt;1,0,IF(Reeksen!AD80&lt;=Reeksen!AE80,M80*Reeksen!C80,0))</f>
        <v>0</v>
      </c>
      <c r="O80" s="86">
        <f ca="1">IF(C80&lt;1,0,IF(Reeksen!AD80&gt;Reeksen!AE80,M80*Reeksen!C80,0))</f>
        <v>0</v>
      </c>
      <c r="P80" s="86">
        <f t="shared" ca="1" si="14"/>
        <v>0</v>
      </c>
      <c r="Q80" s="82">
        <f ca="1">IF('Invoer gegevens'!$C$17=E80,I80,IF(C80=0,0,R79))</f>
        <v>0</v>
      </c>
      <c r="R80" s="84">
        <f t="shared" ca="1" si="11"/>
        <v>0</v>
      </c>
      <c r="S80" s="84">
        <f ca="1">IF('Invoer gegevens'!$C$17=E80,M80,IF(C80=0,0,T79))</f>
        <v>0</v>
      </c>
      <c r="T80" s="84">
        <f t="shared" ca="1" si="20"/>
        <v>0</v>
      </c>
      <c r="AI80" s="71">
        <f ca="1">IF(C80=1,((F80+H80)/2*Reeksen!AI80*12)+(('Invoer gegevens'!$C$10-(F80+H80)/2)*Reeksen!AD80*12),0)</f>
        <v>0</v>
      </c>
      <c r="AJ80" s="71">
        <f ca="1">-AI80*'Invoer gegevens'!$F$28</f>
        <v>0</v>
      </c>
      <c r="AK80" s="71">
        <f t="shared" ca="1" si="15"/>
        <v>0</v>
      </c>
      <c r="AL80" s="71">
        <f ca="1">IF(C80=1,(12*((F80+H80)/2)*Reeksen!AL80)+(12*('Invoer gegevens'!$C$10-(F80+H80)/2)*Reeksen!AM80),0)</f>
        <v>0</v>
      </c>
      <c r="AM80" s="71">
        <f ca="1">-AL80*'Invoer gegevens'!$F$31</f>
        <v>0</v>
      </c>
      <c r="AN80" s="71">
        <f t="shared" ca="1" si="16"/>
        <v>0</v>
      </c>
      <c r="AO80" s="71"/>
      <c r="AP80" s="71"/>
      <c r="AQ80" s="71">
        <f ca="1">-IF(C80=1,('Invoer gegevens'!$C$10*'Invoer gegevens'!$F$35)*Reeksen!J80,0)*2</f>
        <v>0</v>
      </c>
      <c r="AR80" s="71">
        <f ca="1">-IF(C80=1,(G80*'Invoer gegevens'!$F$36)*Reeksen!J80,0)</f>
        <v>0</v>
      </c>
      <c r="AS80" s="71">
        <f ca="1">-IF(C80=1,'Invoer gegevens'!$C$10*'Invoer gegevens'!$F$37*Reeksen!L80,0)</f>
        <v>0</v>
      </c>
      <c r="AT80" s="71">
        <f ca="1">-IF(C80=1,IF(E80='Invoer gegevens'!$C$17,'Invoer gegevens'!$C$11,Q80)*Reeksen!S80*'Invoer gegevens'!$C$18*Reeksen!P80,0)</f>
        <v>0</v>
      </c>
      <c r="AU80" s="71">
        <f ca="1">-IF(C80=1,'Invoer gegevens'!$C$10*'Invoer gegevens'!$F$38*Reeksen!H80,0)</f>
        <v>0</v>
      </c>
      <c r="AV80" s="71">
        <f t="shared" si="10"/>
        <v>0</v>
      </c>
      <c r="AW80" s="71">
        <f t="shared" ca="1" si="17"/>
        <v>0</v>
      </c>
      <c r="AX80" s="71">
        <f ca="1">IF(E80&lt;'Invoer gegevens'!$C$17+15,0,IF('RW - MW - DE - DE'!E80&gt;'Invoer gegevens'!$C$17+215,0,'RW - MW - DE - DE'!AW80))</f>
        <v>0</v>
      </c>
      <c r="AY80" s="71">
        <f ca="1">AX80/(1+'Invoer gegevens'!$F$13)^($AZ80-('Invoer gegevens'!$C$17-'Invoer gegevens'!$C$16))/(1+'Invoer gegevens'!$C$39)^('Invoer gegevens'!$C$17-'Invoer gegevens'!$C$16)</f>
        <v>0</v>
      </c>
      <c r="AZ80" s="68">
        <f ca="1">IF(E80-'Invoer gegevens'!$C$17-14.5&lt;0,0,E80-'Invoer gegevens'!$C$17-14.5)</f>
        <v>60.5</v>
      </c>
      <c r="BC80" s="71"/>
    </row>
    <row r="81" spans="2:55" customFormat="1" x14ac:dyDescent="0.25">
      <c r="B81" s="70">
        <f t="shared" si="18"/>
        <v>77</v>
      </c>
      <c r="C81" s="67">
        <f ca="1">IF(E81-'Invoer gegevens'!$C$17&lt;0,0,1)</f>
        <v>1</v>
      </c>
      <c r="D81" s="68">
        <f t="shared" si="19"/>
        <v>76.5</v>
      </c>
      <c r="E81" s="69">
        <f ca="1">IF('Invoer gegevens'!$C$16="","",E80+1)</f>
        <v>2095</v>
      </c>
      <c r="F81" s="82">
        <f ca="1">IF('Invoer gegevens'!$C$17=E81,'Invoer gegevens'!$C$10,IF(C81=1,H80,0))</f>
        <v>0</v>
      </c>
      <c r="G81" s="83">
        <f ca="1">IF(C81&gt;=1,F81*Reeksen!C81,0)</f>
        <v>0</v>
      </c>
      <c r="H81" s="84">
        <f t="shared" ca="1" si="12"/>
        <v>0</v>
      </c>
      <c r="I81" s="85">
        <f ca="1">IF('Invoer gegevens'!$C$17=E81,'Invoer gegevens'!$C$11,IF(C81=1,L80,0))</f>
        <v>0</v>
      </c>
      <c r="J81" s="86">
        <f ca="1">IF(C81&lt;1,0,IF(Reeksen!AD81&lt;=Reeksen!AE81,I81*Reeksen!C81,0))</f>
        <v>0</v>
      </c>
      <c r="K81" s="86">
        <f ca="1">IF(C81&lt;1,0,IF(Reeksen!AD81&gt;Reeksen!AE81,I81*Reeksen!C81,0))</f>
        <v>0</v>
      </c>
      <c r="L81" s="86">
        <f t="shared" ca="1" si="13"/>
        <v>0</v>
      </c>
      <c r="M81" s="85">
        <f ca="1">IF('Invoer gegevens'!$C$17=E81,'Invoer gegevens'!$C$10-'Invoer gegevens'!$C$11,IF(C81=1,P80,0))</f>
        <v>0</v>
      </c>
      <c r="N81" s="86">
        <f ca="1">IF(C81&lt;1,0,IF(Reeksen!AD81&lt;=Reeksen!AE81,M81*Reeksen!C81,0))</f>
        <v>0</v>
      </c>
      <c r="O81" s="86">
        <f ca="1">IF(C81&lt;1,0,IF(Reeksen!AD81&gt;Reeksen!AE81,M81*Reeksen!C81,0))</f>
        <v>0</v>
      </c>
      <c r="P81" s="86">
        <f t="shared" ca="1" si="14"/>
        <v>0</v>
      </c>
      <c r="Q81" s="82">
        <f ca="1">IF('Invoer gegevens'!$C$17=E81,I81,IF(C81=0,0,R80))</f>
        <v>0</v>
      </c>
      <c r="R81" s="84">
        <f t="shared" ca="1" si="11"/>
        <v>0</v>
      </c>
      <c r="S81" s="84">
        <f ca="1">IF('Invoer gegevens'!$C$17=E81,M81,IF(C81=0,0,T80))</f>
        <v>0</v>
      </c>
      <c r="T81" s="84">
        <f t="shared" ca="1" si="20"/>
        <v>0</v>
      </c>
      <c r="AI81" s="71">
        <f ca="1">IF(C81=1,((F81+H81)/2*Reeksen!AI81*12)+(('Invoer gegevens'!$C$10-(F81+H81)/2)*Reeksen!AD81*12),0)</f>
        <v>0</v>
      </c>
      <c r="AJ81" s="71">
        <f ca="1">-AI81*'Invoer gegevens'!$F$28</f>
        <v>0</v>
      </c>
      <c r="AK81" s="71">
        <f t="shared" ca="1" si="15"/>
        <v>0</v>
      </c>
      <c r="AL81" s="71">
        <f ca="1">IF(C81=1,(12*((F81+H81)/2)*Reeksen!AL81)+(12*('Invoer gegevens'!$C$10-(F81+H81)/2)*Reeksen!AM81),0)</f>
        <v>0</v>
      </c>
      <c r="AM81" s="71">
        <f ca="1">-AL81*'Invoer gegevens'!$F$31</f>
        <v>0</v>
      </c>
      <c r="AN81" s="71">
        <f t="shared" ca="1" si="16"/>
        <v>0</v>
      </c>
      <c r="AO81" s="71"/>
      <c r="AP81" s="71"/>
      <c r="AQ81" s="71">
        <f ca="1">-IF(C81=1,('Invoer gegevens'!$C$10*'Invoer gegevens'!$F$35)*Reeksen!J81,0)*2</f>
        <v>0</v>
      </c>
      <c r="AR81" s="71">
        <f ca="1">-IF(C81=1,(G81*'Invoer gegevens'!$F$36)*Reeksen!J81,0)</f>
        <v>0</v>
      </c>
      <c r="AS81" s="71">
        <f ca="1">-IF(C81=1,'Invoer gegevens'!$C$10*'Invoer gegevens'!$F$37*Reeksen!L81,0)</f>
        <v>0</v>
      </c>
      <c r="AT81" s="71">
        <f ca="1">-IF(C81=1,IF(E81='Invoer gegevens'!$C$17,'Invoer gegevens'!$C$11,Q81)*Reeksen!S81*'Invoer gegevens'!$C$18*Reeksen!P81,0)</f>
        <v>0</v>
      </c>
      <c r="AU81" s="71">
        <f ca="1">-IF(C81=1,'Invoer gegevens'!$C$10*'Invoer gegevens'!$F$38*Reeksen!H81,0)</f>
        <v>0</v>
      </c>
      <c r="AV81" s="71">
        <f t="shared" si="10"/>
        <v>0</v>
      </c>
      <c r="AW81" s="71">
        <f t="shared" ca="1" si="17"/>
        <v>0</v>
      </c>
      <c r="AX81" s="71">
        <f ca="1">IF(E81&lt;'Invoer gegevens'!$C$17+15,0,IF('RW - MW - DE - DE'!E81&gt;'Invoer gegevens'!$C$17+215,0,'RW - MW - DE - DE'!AW81))</f>
        <v>0</v>
      </c>
      <c r="AY81" s="71">
        <f ca="1">AX81/(1+'Invoer gegevens'!$F$13)^($AZ81-('Invoer gegevens'!$C$17-'Invoer gegevens'!$C$16))/(1+'Invoer gegevens'!$C$39)^('Invoer gegevens'!$C$17-'Invoer gegevens'!$C$16)</f>
        <v>0</v>
      </c>
      <c r="AZ81" s="68">
        <f ca="1">IF(E81-'Invoer gegevens'!$C$17-14.5&lt;0,0,E81-'Invoer gegevens'!$C$17-14.5)</f>
        <v>61.5</v>
      </c>
      <c r="BC81" s="71"/>
    </row>
    <row r="82" spans="2:55" customFormat="1" x14ac:dyDescent="0.25">
      <c r="B82" s="70">
        <f t="shared" si="18"/>
        <v>78</v>
      </c>
      <c r="C82" s="67">
        <f ca="1">IF(E82-'Invoer gegevens'!$C$17&lt;0,0,1)</f>
        <v>1</v>
      </c>
      <c r="D82" s="68">
        <f t="shared" si="19"/>
        <v>77.5</v>
      </c>
      <c r="E82" s="69">
        <f ca="1">IF('Invoer gegevens'!$C$16="","",E81+1)</f>
        <v>2096</v>
      </c>
      <c r="F82" s="82">
        <f ca="1">IF('Invoer gegevens'!$C$17=E82,'Invoer gegevens'!$C$10,IF(C82=1,H81,0))</f>
        <v>0</v>
      </c>
      <c r="G82" s="83">
        <f ca="1">IF(C82&gt;=1,F82*Reeksen!C82,0)</f>
        <v>0</v>
      </c>
      <c r="H82" s="84">
        <f t="shared" ca="1" si="12"/>
        <v>0</v>
      </c>
      <c r="I82" s="85">
        <f ca="1">IF('Invoer gegevens'!$C$17=E82,'Invoer gegevens'!$C$11,IF(C82=1,L81,0))</f>
        <v>0</v>
      </c>
      <c r="J82" s="86">
        <f ca="1">IF(C82&lt;1,0,IF(Reeksen!AD82&lt;=Reeksen!AE82,I82*Reeksen!C82,0))</f>
        <v>0</v>
      </c>
      <c r="K82" s="86">
        <f ca="1">IF(C82&lt;1,0,IF(Reeksen!AD82&gt;Reeksen!AE82,I82*Reeksen!C82,0))</f>
        <v>0</v>
      </c>
      <c r="L82" s="86">
        <f t="shared" ca="1" si="13"/>
        <v>0</v>
      </c>
      <c r="M82" s="85">
        <f ca="1">IF('Invoer gegevens'!$C$17=E82,'Invoer gegevens'!$C$10-'Invoer gegevens'!$C$11,IF(C82=1,P81,0))</f>
        <v>0</v>
      </c>
      <c r="N82" s="86">
        <f ca="1">IF(C82&lt;1,0,IF(Reeksen!AD82&lt;=Reeksen!AE82,M82*Reeksen!C82,0))</f>
        <v>0</v>
      </c>
      <c r="O82" s="86">
        <f ca="1">IF(C82&lt;1,0,IF(Reeksen!AD82&gt;Reeksen!AE82,M82*Reeksen!C82,0))</f>
        <v>0</v>
      </c>
      <c r="P82" s="86">
        <f t="shared" ca="1" si="14"/>
        <v>0</v>
      </c>
      <c r="Q82" s="82">
        <f ca="1">IF('Invoer gegevens'!$C$17=E82,I82,IF(C82=0,0,R81))</f>
        <v>0</v>
      </c>
      <c r="R82" s="84">
        <f t="shared" ca="1" si="11"/>
        <v>0</v>
      </c>
      <c r="S82" s="84">
        <f ca="1">IF('Invoer gegevens'!$C$17=E82,M82,IF(C82=0,0,T81))</f>
        <v>0</v>
      </c>
      <c r="T82" s="84">
        <f t="shared" ca="1" si="20"/>
        <v>0</v>
      </c>
      <c r="AI82" s="71">
        <f ca="1">IF(C82=1,((F82+H82)/2*Reeksen!AI82*12)+(('Invoer gegevens'!$C$10-(F82+H82)/2)*Reeksen!AD82*12),0)</f>
        <v>0</v>
      </c>
      <c r="AJ82" s="71">
        <f ca="1">-AI82*'Invoer gegevens'!$F$28</f>
        <v>0</v>
      </c>
      <c r="AK82" s="71">
        <f t="shared" ca="1" si="15"/>
        <v>0</v>
      </c>
      <c r="AL82" s="71">
        <f ca="1">IF(C82=1,(12*((F82+H82)/2)*Reeksen!AL82)+(12*('Invoer gegevens'!$C$10-(F82+H82)/2)*Reeksen!AM82),0)</f>
        <v>0</v>
      </c>
      <c r="AM82" s="71">
        <f ca="1">-AL82*'Invoer gegevens'!$F$31</f>
        <v>0</v>
      </c>
      <c r="AN82" s="71">
        <f t="shared" ca="1" si="16"/>
        <v>0</v>
      </c>
      <c r="AO82" s="71"/>
      <c r="AP82" s="71"/>
      <c r="AQ82" s="71">
        <f ca="1">-IF(C82=1,('Invoer gegevens'!$C$10*'Invoer gegevens'!$F$35)*Reeksen!J82,0)*2</f>
        <v>0</v>
      </c>
      <c r="AR82" s="71">
        <f ca="1">-IF(C82=1,(G82*'Invoer gegevens'!$F$36)*Reeksen!J82,0)</f>
        <v>0</v>
      </c>
      <c r="AS82" s="71">
        <f ca="1">-IF(C82=1,'Invoer gegevens'!$C$10*'Invoer gegevens'!$F$37*Reeksen!L82,0)</f>
        <v>0</v>
      </c>
      <c r="AT82" s="71">
        <f ca="1">-IF(C82=1,IF(E82='Invoer gegevens'!$C$17,'Invoer gegevens'!$C$11,Q82)*Reeksen!S82*'Invoer gegevens'!$C$18*Reeksen!P82,0)</f>
        <v>0</v>
      </c>
      <c r="AU82" s="71">
        <f ca="1">-IF(C82=1,'Invoer gegevens'!$C$10*'Invoer gegevens'!$F$38*Reeksen!H82,0)</f>
        <v>0</v>
      </c>
      <c r="AV82" s="71">
        <f t="shared" si="10"/>
        <v>0</v>
      </c>
      <c r="AW82" s="71">
        <f t="shared" ca="1" si="17"/>
        <v>0</v>
      </c>
      <c r="AX82" s="71">
        <f ca="1">IF(E82&lt;'Invoer gegevens'!$C$17+15,0,IF('RW - MW - DE - DE'!E82&gt;'Invoer gegevens'!$C$17+215,0,'RW - MW - DE - DE'!AW82))</f>
        <v>0</v>
      </c>
      <c r="AY82" s="71">
        <f ca="1">AX82/(1+'Invoer gegevens'!$F$13)^($AZ82-('Invoer gegevens'!$C$17-'Invoer gegevens'!$C$16))/(1+'Invoer gegevens'!$C$39)^('Invoer gegevens'!$C$17-'Invoer gegevens'!$C$16)</f>
        <v>0</v>
      </c>
      <c r="AZ82" s="68">
        <f ca="1">IF(E82-'Invoer gegevens'!$C$17-14.5&lt;0,0,E82-'Invoer gegevens'!$C$17-14.5)</f>
        <v>62.5</v>
      </c>
      <c r="BC82" s="71"/>
    </row>
    <row r="83" spans="2:55" customFormat="1" x14ac:dyDescent="0.25">
      <c r="B83" s="70">
        <f t="shared" si="18"/>
        <v>79</v>
      </c>
      <c r="C83" s="67">
        <f ca="1">IF(E83-'Invoer gegevens'!$C$17&lt;0,0,1)</f>
        <v>1</v>
      </c>
      <c r="D83" s="68">
        <f t="shared" si="19"/>
        <v>78.5</v>
      </c>
      <c r="E83" s="69">
        <f ca="1">IF('Invoer gegevens'!$C$16="","",E82+1)</f>
        <v>2097</v>
      </c>
      <c r="F83" s="82">
        <f ca="1">IF('Invoer gegevens'!$C$17=E83,'Invoer gegevens'!$C$10,IF(C83=1,H82,0))</f>
        <v>0</v>
      </c>
      <c r="G83" s="83">
        <f ca="1">IF(C83&gt;=1,F83*Reeksen!C83,0)</f>
        <v>0</v>
      </c>
      <c r="H83" s="84">
        <f t="shared" ca="1" si="12"/>
        <v>0</v>
      </c>
      <c r="I83" s="85">
        <f ca="1">IF('Invoer gegevens'!$C$17=E83,'Invoer gegevens'!$C$11,IF(C83=1,L82,0))</f>
        <v>0</v>
      </c>
      <c r="J83" s="86">
        <f ca="1">IF(C83&lt;1,0,IF(Reeksen!AD83&lt;=Reeksen!AE83,I83*Reeksen!C83,0))</f>
        <v>0</v>
      </c>
      <c r="K83" s="86">
        <f ca="1">IF(C83&lt;1,0,IF(Reeksen!AD83&gt;Reeksen!AE83,I83*Reeksen!C83,0))</f>
        <v>0</v>
      </c>
      <c r="L83" s="86">
        <f t="shared" ca="1" si="13"/>
        <v>0</v>
      </c>
      <c r="M83" s="85">
        <f ca="1">IF('Invoer gegevens'!$C$17=E83,'Invoer gegevens'!$C$10-'Invoer gegevens'!$C$11,IF(C83=1,P82,0))</f>
        <v>0</v>
      </c>
      <c r="N83" s="86">
        <f ca="1">IF(C83&lt;1,0,IF(Reeksen!AD83&lt;=Reeksen!AE83,M83*Reeksen!C83,0))</f>
        <v>0</v>
      </c>
      <c r="O83" s="86">
        <f ca="1">IF(C83&lt;1,0,IF(Reeksen!AD83&gt;Reeksen!AE83,M83*Reeksen!C83,0))</f>
        <v>0</v>
      </c>
      <c r="P83" s="86">
        <f t="shared" ca="1" si="14"/>
        <v>0</v>
      </c>
      <c r="Q83" s="82">
        <f ca="1">IF('Invoer gegevens'!$C$17=E83,I83,IF(C83=0,0,R82))</f>
        <v>0</v>
      </c>
      <c r="R83" s="84">
        <f t="shared" ca="1" si="11"/>
        <v>0</v>
      </c>
      <c r="S83" s="84">
        <f ca="1">IF('Invoer gegevens'!$C$17=E83,M83,IF(C83=0,0,T82))</f>
        <v>0</v>
      </c>
      <c r="T83" s="84">
        <f t="shared" ca="1" si="20"/>
        <v>0</v>
      </c>
      <c r="AI83" s="71">
        <f ca="1">IF(C83=1,((F83+H83)/2*Reeksen!AI83*12)+(('Invoer gegevens'!$C$10-(F83+H83)/2)*Reeksen!AD83*12),0)</f>
        <v>0</v>
      </c>
      <c r="AJ83" s="71">
        <f ca="1">-AI83*'Invoer gegevens'!$F$28</f>
        <v>0</v>
      </c>
      <c r="AK83" s="71">
        <f t="shared" ca="1" si="15"/>
        <v>0</v>
      </c>
      <c r="AL83" s="71">
        <f ca="1">IF(C83=1,(12*((F83+H83)/2)*Reeksen!AL83)+(12*('Invoer gegevens'!$C$10-(F83+H83)/2)*Reeksen!AM83),0)</f>
        <v>0</v>
      </c>
      <c r="AM83" s="71">
        <f ca="1">-AL83*'Invoer gegevens'!$F$31</f>
        <v>0</v>
      </c>
      <c r="AN83" s="71">
        <f t="shared" ca="1" si="16"/>
        <v>0</v>
      </c>
      <c r="AO83" s="71"/>
      <c r="AP83" s="71"/>
      <c r="AQ83" s="71">
        <f ca="1">-IF(C83=1,('Invoer gegevens'!$C$10*'Invoer gegevens'!$F$35)*Reeksen!J83,0)*2</f>
        <v>0</v>
      </c>
      <c r="AR83" s="71">
        <f ca="1">-IF(C83=1,(G83*'Invoer gegevens'!$F$36)*Reeksen!J83,0)</f>
        <v>0</v>
      </c>
      <c r="AS83" s="71">
        <f ca="1">-IF(C83=1,'Invoer gegevens'!$C$10*'Invoer gegevens'!$F$37*Reeksen!L83,0)</f>
        <v>0</v>
      </c>
      <c r="AT83" s="71">
        <f ca="1">-IF(C83=1,IF(E83='Invoer gegevens'!$C$17,'Invoer gegevens'!$C$11,Q83)*Reeksen!S83*'Invoer gegevens'!$C$18*Reeksen!P83,0)</f>
        <v>0</v>
      </c>
      <c r="AU83" s="71">
        <f ca="1">-IF(C83=1,'Invoer gegevens'!$C$10*'Invoer gegevens'!$F$38*Reeksen!H83,0)</f>
        <v>0</v>
      </c>
      <c r="AV83" s="71">
        <f t="shared" si="10"/>
        <v>0</v>
      </c>
      <c r="AW83" s="71">
        <f t="shared" ca="1" si="17"/>
        <v>0</v>
      </c>
      <c r="AX83" s="71">
        <f ca="1">IF(E83&lt;'Invoer gegevens'!$C$17+15,0,IF('RW - MW - DE - DE'!E83&gt;'Invoer gegevens'!$C$17+215,0,'RW - MW - DE - DE'!AW83))</f>
        <v>0</v>
      </c>
      <c r="AY83" s="71">
        <f ca="1">AX83/(1+'Invoer gegevens'!$F$13)^($AZ83-('Invoer gegevens'!$C$17-'Invoer gegevens'!$C$16))/(1+'Invoer gegevens'!$C$39)^('Invoer gegevens'!$C$17-'Invoer gegevens'!$C$16)</f>
        <v>0</v>
      </c>
      <c r="AZ83" s="68">
        <f ca="1">IF(E83-'Invoer gegevens'!$C$17-14.5&lt;0,0,E83-'Invoer gegevens'!$C$17-14.5)</f>
        <v>63.5</v>
      </c>
      <c r="BC83" s="71"/>
    </row>
    <row r="84" spans="2:55" customFormat="1" x14ac:dyDescent="0.25">
      <c r="B84" s="70">
        <f t="shared" si="18"/>
        <v>80</v>
      </c>
      <c r="C84" s="67">
        <f ca="1">IF(E84-'Invoer gegevens'!$C$17&lt;0,0,1)</f>
        <v>1</v>
      </c>
      <c r="D84" s="68">
        <f t="shared" si="19"/>
        <v>79.5</v>
      </c>
      <c r="E84" s="69">
        <f ca="1">IF('Invoer gegevens'!$C$16="","",E83+1)</f>
        <v>2098</v>
      </c>
      <c r="F84" s="82">
        <f ca="1">IF('Invoer gegevens'!$C$17=E84,'Invoer gegevens'!$C$10,IF(C84=1,H83,0))</f>
        <v>0</v>
      </c>
      <c r="G84" s="83">
        <f ca="1">IF(C84&gt;=1,F84*Reeksen!C84,0)</f>
        <v>0</v>
      </c>
      <c r="H84" s="84">
        <f t="shared" ca="1" si="12"/>
        <v>0</v>
      </c>
      <c r="I84" s="85">
        <f ca="1">IF('Invoer gegevens'!$C$17=E84,'Invoer gegevens'!$C$11,IF(C84=1,L83,0))</f>
        <v>0</v>
      </c>
      <c r="J84" s="86">
        <f ca="1">IF(C84&lt;1,0,IF(Reeksen!AD84&lt;=Reeksen!AE84,I84*Reeksen!C84,0))</f>
        <v>0</v>
      </c>
      <c r="K84" s="86">
        <f ca="1">IF(C84&lt;1,0,IF(Reeksen!AD84&gt;Reeksen!AE84,I84*Reeksen!C84,0))</f>
        <v>0</v>
      </c>
      <c r="L84" s="86">
        <f t="shared" ca="1" si="13"/>
        <v>0</v>
      </c>
      <c r="M84" s="85">
        <f ca="1">IF('Invoer gegevens'!$C$17=E84,'Invoer gegevens'!$C$10-'Invoer gegevens'!$C$11,IF(C84=1,P83,0))</f>
        <v>0</v>
      </c>
      <c r="N84" s="86">
        <f ca="1">IF(C84&lt;1,0,IF(Reeksen!AD84&lt;=Reeksen!AE84,M84*Reeksen!C84,0))</f>
        <v>0</v>
      </c>
      <c r="O84" s="86">
        <f ca="1">IF(C84&lt;1,0,IF(Reeksen!AD84&gt;Reeksen!AE84,M84*Reeksen!C84,0))</f>
        <v>0</v>
      </c>
      <c r="P84" s="86">
        <f t="shared" ca="1" si="14"/>
        <v>0</v>
      </c>
      <c r="Q84" s="82">
        <f ca="1">IF('Invoer gegevens'!$C$17=E84,I84,IF(C84=0,0,R83))</f>
        <v>0</v>
      </c>
      <c r="R84" s="84">
        <f t="shared" ca="1" si="11"/>
        <v>0</v>
      </c>
      <c r="S84" s="84">
        <f ca="1">IF('Invoer gegevens'!$C$17=E84,M84,IF(C84=0,0,T83))</f>
        <v>0</v>
      </c>
      <c r="T84" s="84">
        <f t="shared" ca="1" si="20"/>
        <v>0</v>
      </c>
      <c r="AI84" s="71">
        <f ca="1">IF(C84=1,((F84+H84)/2*Reeksen!AI84*12)+(('Invoer gegevens'!$C$10-(F84+H84)/2)*Reeksen!AD84*12),0)</f>
        <v>0</v>
      </c>
      <c r="AJ84" s="71">
        <f ca="1">-AI84*'Invoer gegevens'!$F$28</f>
        <v>0</v>
      </c>
      <c r="AK84" s="71">
        <f t="shared" ca="1" si="15"/>
        <v>0</v>
      </c>
      <c r="AL84" s="71">
        <f ca="1">IF(C84=1,(12*((F84+H84)/2)*Reeksen!AL84)+(12*('Invoer gegevens'!$C$10-(F84+H84)/2)*Reeksen!AM84),0)</f>
        <v>0</v>
      </c>
      <c r="AM84" s="71">
        <f ca="1">-AL84*'Invoer gegevens'!$F$31</f>
        <v>0</v>
      </c>
      <c r="AN84" s="71">
        <f t="shared" ca="1" si="16"/>
        <v>0</v>
      </c>
      <c r="AO84" s="71"/>
      <c r="AP84" s="71"/>
      <c r="AQ84" s="71">
        <f ca="1">-IF(C84=1,('Invoer gegevens'!$C$10*'Invoer gegevens'!$F$35)*Reeksen!J84,0)*2</f>
        <v>0</v>
      </c>
      <c r="AR84" s="71">
        <f ca="1">-IF(C84=1,(G84*'Invoer gegevens'!$F$36)*Reeksen!J84,0)</f>
        <v>0</v>
      </c>
      <c r="AS84" s="71">
        <f ca="1">-IF(C84=1,'Invoer gegevens'!$C$10*'Invoer gegevens'!$F$37*Reeksen!L84,0)</f>
        <v>0</v>
      </c>
      <c r="AT84" s="71">
        <f ca="1">-IF(C84=1,IF(E84='Invoer gegevens'!$C$17,'Invoer gegevens'!$C$11,Q84)*Reeksen!S84*'Invoer gegevens'!$C$18*Reeksen!P84,0)</f>
        <v>0</v>
      </c>
      <c r="AU84" s="71">
        <f ca="1">-IF(C84=1,'Invoer gegevens'!$C$10*'Invoer gegevens'!$F$38*Reeksen!H84,0)</f>
        <v>0</v>
      </c>
      <c r="AV84" s="71">
        <f t="shared" si="10"/>
        <v>0</v>
      </c>
      <c r="AW84" s="71">
        <f t="shared" ca="1" si="17"/>
        <v>0</v>
      </c>
      <c r="AX84" s="71">
        <f ca="1">IF(E84&lt;'Invoer gegevens'!$C$17+15,0,IF('RW - MW - DE - DE'!E84&gt;'Invoer gegevens'!$C$17+215,0,'RW - MW - DE - DE'!AW84))</f>
        <v>0</v>
      </c>
      <c r="AY84" s="71">
        <f ca="1">AX84/(1+'Invoer gegevens'!$F$13)^($AZ84-('Invoer gegevens'!$C$17-'Invoer gegevens'!$C$16))/(1+'Invoer gegevens'!$C$39)^('Invoer gegevens'!$C$17-'Invoer gegevens'!$C$16)</f>
        <v>0</v>
      </c>
      <c r="AZ84" s="68">
        <f ca="1">IF(E84-'Invoer gegevens'!$C$17-14.5&lt;0,0,E84-'Invoer gegevens'!$C$17-14.5)</f>
        <v>64.5</v>
      </c>
      <c r="BC84" s="71"/>
    </row>
    <row r="85" spans="2:55" customFormat="1" x14ac:dyDescent="0.25">
      <c r="B85" s="70">
        <f t="shared" si="18"/>
        <v>81</v>
      </c>
      <c r="C85" s="67">
        <f ca="1">IF(E85-'Invoer gegevens'!$C$17&lt;0,0,1)</f>
        <v>1</v>
      </c>
      <c r="D85" s="68">
        <f t="shared" si="19"/>
        <v>80.5</v>
      </c>
      <c r="E85" s="69">
        <f ca="1">IF('Invoer gegevens'!$C$16="","",E84+1)</f>
        <v>2099</v>
      </c>
      <c r="F85" s="82">
        <f ca="1">IF('Invoer gegevens'!$C$17=E85,'Invoer gegevens'!$C$10,IF(C85=1,H84,0))</f>
        <v>0</v>
      </c>
      <c r="G85" s="83">
        <f ca="1">IF(C85&gt;=1,F85*Reeksen!C85,0)</f>
        <v>0</v>
      </c>
      <c r="H85" s="84">
        <f t="shared" ca="1" si="12"/>
        <v>0</v>
      </c>
      <c r="I85" s="85">
        <f ca="1">IF('Invoer gegevens'!$C$17=E85,'Invoer gegevens'!$C$11,IF(C85=1,L84,0))</f>
        <v>0</v>
      </c>
      <c r="J85" s="86">
        <f ca="1">IF(C85&lt;1,0,IF(Reeksen!AD85&lt;=Reeksen!AE85,I85*Reeksen!C85,0))</f>
        <v>0</v>
      </c>
      <c r="K85" s="86">
        <f ca="1">IF(C85&lt;1,0,IF(Reeksen!AD85&gt;Reeksen!AE85,I85*Reeksen!C85,0))</f>
        <v>0</v>
      </c>
      <c r="L85" s="86">
        <f t="shared" ca="1" si="13"/>
        <v>0</v>
      </c>
      <c r="M85" s="85">
        <f ca="1">IF('Invoer gegevens'!$C$17=E85,'Invoer gegevens'!$C$10-'Invoer gegevens'!$C$11,IF(C85=1,P84,0))</f>
        <v>0</v>
      </c>
      <c r="N85" s="86">
        <f ca="1">IF(C85&lt;1,0,IF(Reeksen!AD85&lt;=Reeksen!AE85,M85*Reeksen!C85,0))</f>
        <v>0</v>
      </c>
      <c r="O85" s="86">
        <f ca="1">IF(C85&lt;1,0,IF(Reeksen!AD85&gt;Reeksen!AE85,M85*Reeksen!C85,0))</f>
        <v>0</v>
      </c>
      <c r="P85" s="86">
        <f t="shared" ca="1" si="14"/>
        <v>0</v>
      </c>
      <c r="Q85" s="82">
        <f ca="1">IF('Invoer gegevens'!$C$17=E85,I85,IF(C85=0,0,R84))</f>
        <v>0</v>
      </c>
      <c r="R85" s="84">
        <f t="shared" ca="1" si="11"/>
        <v>0</v>
      </c>
      <c r="S85" s="84">
        <f ca="1">IF('Invoer gegevens'!$C$17=E85,M85,IF(C85=0,0,T84))</f>
        <v>0</v>
      </c>
      <c r="T85" s="84">
        <f t="shared" ca="1" si="20"/>
        <v>0</v>
      </c>
      <c r="AI85" s="71">
        <f ca="1">IF(C85=1,((F85+H85)/2*Reeksen!AI85*12)+(('Invoer gegevens'!$C$10-(F85+H85)/2)*Reeksen!AD85*12),0)</f>
        <v>0</v>
      </c>
      <c r="AJ85" s="71">
        <f ca="1">-AI85*'Invoer gegevens'!$F$28</f>
        <v>0</v>
      </c>
      <c r="AK85" s="71">
        <f t="shared" ca="1" si="15"/>
        <v>0</v>
      </c>
      <c r="AL85" s="71">
        <f ca="1">IF(C85=1,(12*((F85+H85)/2)*Reeksen!AL85)+(12*('Invoer gegevens'!$C$10-(F85+H85)/2)*Reeksen!AM85),0)</f>
        <v>0</v>
      </c>
      <c r="AM85" s="71">
        <f ca="1">-AL85*'Invoer gegevens'!$F$31</f>
        <v>0</v>
      </c>
      <c r="AN85" s="71">
        <f t="shared" ca="1" si="16"/>
        <v>0</v>
      </c>
      <c r="AO85" s="71"/>
      <c r="AP85" s="71"/>
      <c r="AQ85" s="71">
        <f ca="1">-IF(C85=1,('Invoer gegevens'!$C$10*'Invoer gegevens'!$F$35)*Reeksen!J85,0)*2</f>
        <v>0</v>
      </c>
      <c r="AR85" s="71">
        <f ca="1">-IF(C85=1,(G85*'Invoer gegevens'!$F$36)*Reeksen!J85,0)</f>
        <v>0</v>
      </c>
      <c r="AS85" s="71">
        <f ca="1">-IF(C85=1,'Invoer gegevens'!$C$10*'Invoer gegevens'!$F$37*Reeksen!L85,0)</f>
        <v>0</v>
      </c>
      <c r="AT85" s="71">
        <f ca="1">-IF(C85=1,IF(E85='Invoer gegevens'!$C$17,'Invoer gegevens'!$C$11,Q85)*Reeksen!S85*'Invoer gegevens'!$C$18*Reeksen!P85,0)</f>
        <v>0</v>
      </c>
      <c r="AU85" s="71">
        <f ca="1">-IF(C85=1,'Invoer gegevens'!$C$10*'Invoer gegevens'!$F$38*Reeksen!H85,0)</f>
        <v>0</v>
      </c>
      <c r="AV85" s="71">
        <f t="shared" ref="AV85:AV148" si="21">AV84</f>
        <v>0</v>
      </c>
      <c r="AW85" s="71">
        <f t="shared" ca="1" si="17"/>
        <v>0</v>
      </c>
      <c r="AX85" s="71">
        <f ca="1">IF(E85&lt;'Invoer gegevens'!$C$17+15,0,IF('RW - MW - DE - DE'!E85&gt;'Invoer gegevens'!$C$17+215,0,'RW - MW - DE - DE'!AW85))</f>
        <v>0</v>
      </c>
      <c r="AY85" s="71">
        <f ca="1">AX85/(1+'Invoer gegevens'!$F$13)^($AZ85-('Invoer gegevens'!$C$17-'Invoer gegevens'!$C$16))/(1+'Invoer gegevens'!$C$39)^('Invoer gegevens'!$C$17-'Invoer gegevens'!$C$16)</f>
        <v>0</v>
      </c>
      <c r="AZ85" s="68">
        <f ca="1">IF(E85-'Invoer gegevens'!$C$17-14.5&lt;0,0,E85-'Invoer gegevens'!$C$17-14.5)</f>
        <v>65.5</v>
      </c>
      <c r="BC85" s="71"/>
    </row>
    <row r="86" spans="2:55" customFormat="1" x14ac:dyDescent="0.25">
      <c r="B86" s="70">
        <f t="shared" si="18"/>
        <v>82</v>
      </c>
      <c r="C86" s="67">
        <f ca="1">IF(E86-'Invoer gegevens'!$C$17&lt;0,0,1)</f>
        <v>1</v>
      </c>
      <c r="D86" s="68">
        <f t="shared" si="19"/>
        <v>81.5</v>
      </c>
      <c r="E86" s="69">
        <f ca="1">IF('Invoer gegevens'!$C$16="","",E85+1)</f>
        <v>2100</v>
      </c>
      <c r="F86" s="82">
        <f ca="1">IF('Invoer gegevens'!$C$17=E86,'Invoer gegevens'!$C$10,IF(C86=1,H85,0))</f>
        <v>0</v>
      </c>
      <c r="G86" s="83">
        <f ca="1">IF(C86&gt;=1,F86*Reeksen!C86,0)</f>
        <v>0</v>
      </c>
      <c r="H86" s="84">
        <f t="shared" ca="1" si="12"/>
        <v>0</v>
      </c>
      <c r="I86" s="85">
        <f ca="1">IF('Invoer gegevens'!$C$17=E86,'Invoer gegevens'!$C$11,IF(C86=1,L85,0))</f>
        <v>0</v>
      </c>
      <c r="J86" s="86">
        <f ca="1">IF(C86&lt;1,0,IF(Reeksen!AD86&lt;=Reeksen!AE86,I86*Reeksen!C86,0))</f>
        <v>0</v>
      </c>
      <c r="K86" s="86">
        <f ca="1">IF(C86&lt;1,0,IF(Reeksen!AD86&gt;Reeksen!AE86,I86*Reeksen!C86,0))</f>
        <v>0</v>
      </c>
      <c r="L86" s="86">
        <f t="shared" ca="1" si="13"/>
        <v>0</v>
      </c>
      <c r="M86" s="85">
        <f ca="1">IF('Invoer gegevens'!$C$17=E86,'Invoer gegevens'!$C$10-'Invoer gegevens'!$C$11,IF(C86=1,P85,0))</f>
        <v>0</v>
      </c>
      <c r="N86" s="86">
        <f ca="1">IF(C86&lt;1,0,IF(Reeksen!AD86&lt;=Reeksen!AE86,M86*Reeksen!C86,0))</f>
        <v>0</v>
      </c>
      <c r="O86" s="86">
        <f ca="1">IF(C86&lt;1,0,IF(Reeksen!AD86&gt;Reeksen!AE86,M86*Reeksen!C86,0))</f>
        <v>0</v>
      </c>
      <c r="P86" s="86">
        <f t="shared" ca="1" si="14"/>
        <v>0</v>
      </c>
      <c r="Q86" s="82">
        <f ca="1">IF('Invoer gegevens'!$C$17=E86,I86,IF(C86=0,0,R85))</f>
        <v>0</v>
      </c>
      <c r="R86" s="84">
        <f t="shared" ca="1" si="11"/>
        <v>0</v>
      </c>
      <c r="S86" s="84">
        <f ca="1">IF('Invoer gegevens'!$C$17=E86,M86,IF(C86=0,0,T85))</f>
        <v>0</v>
      </c>
      <c r="T86" s="84">
        <f t="shared" ca="1" si="20"/>
        <v>0</v>
      </c>
      <c r="AI86" s="71">
        <f ca="1">IF(C86=1,((F86+H86)/2*Reeksen!AI86*12)+(('Invoer gegevens'!$C$10-(F86+H86)/2)*Reeksen!AD86*12),0)</f>
        <v>0</v>
      </c>
      <c r="AJ86" s="71">
        <f ca="1">-AI86*'Invoer gegevens'!$F$28</f>
        <v>0</v>
      </c>
      <c r="AK86" s="71">
        <f t="shared" ca="1" si="15"/>
        <v>0</v>
      </c>
      <c r="AL86" s="71">
        <f ca="1">IF(C86=1,(12*((F86+H86)/2)*Reeksen!AL86)+(12*('Invoer gegevens'!$C$10-(F86+H86)/2)*Reeksen!AM86),0)</f>
        <v>0</v>
      </c>
      <c r="AM86" s="71">
        <f ca="1">-AL86*'Invoer gegevens'!$F$31</f>
        <v>0</v>
      </c>
      <c r="AN86" s="71">
        <f t="shared" ca="1" si="16"/>
        <v>0</v>
      </c>
      <c r="AO86" s="71"/>
      <c r="AP86" s="71"/>
      <c r="AQ86" s="71">
        <f ca="1">-IF(C86=1,('Invoer gegevens'!$C$10*'Invoer gegevens'!$F$35)*Reeksen!J86,0)*2</f>
        <v>0</v>
      </c>
      <c r="AR86" s="71">
        <f ca="1">-IF(C86=1,(G86*'Invoer gegevens'!$F$36)*Reeksen!J86,0)</f>
        <v>0</v>
      </c>
      <c r="AS86" s="71">
        <f ca="1">-IF(C86=1,'Invoer gegevens'!$C$10*'Invoer gegevens'!$F$37*Reeksen!L86,0)</f>
        <v>0</v>
      </c>
      <c r="AT86" s="71">
        <f ca="1">-IF(C86=1,IF(E86='Invoer gegevens'!$C$17,'Invoer gegevens'!$C$11,Q86)*Reeksen!S86*'Invoer gegevens'!$C$18*Reeksen!P86,0)</f>
        <v>0</v>
      </c>
      <c r="AU86" s="71">
        <f ca="1">-IF(C86=1,'Invoer gegevens'!$C$10*'Invoer gegevens'!$F$38*Reeksen!H86,0)</f>
        <v>0</v>
      </c>
      <c r="AV86" s="71">
        <f t="shared" si="21"/>
        <v>0</v>
      </c>
      <c r="AW86" s="71">
        <f t="shared" ca="1" si="17"/>
        <v>0</v>
      </c>
      <c r="AX86" s="71">
        <f ca="1">IF(E86&lt;'Invoer gegevens'!$C$17+15,0,IF('RW - MW - DE - DE'!E86&gt;'Invoer gegevens'!$C$17+215,0,'RW - MW - DE - DE'!AW86))</f>
        <v>0</v>
      </c>
      <c r="AY86" s="71">
        <f ca="1">AX86/(1+'Invoer gegevens'!$F$13)^($AZ86-('Invoer gegevens'!$C$17-'Invoer gegevens'!$C$16))/(1+'Invoer gegevens'!$C$39)^('Invoer gegevens'!$C$17-'Invoer gegevens'!$C$16)</f>
        <v>0</v>
      </c>
      <c r="AZ86" s="68">
        <f ca="1">IF(E86-'Invoer gegevens'!$C$17-14.5&lt;0,0,E86-'Invoer gegevens'!$C$17-14.5)</f>
        <v>66.5</v>
      </c>
      <c r="BC86" s="71"/>
    </row>
    <row r="87" spans="2:55" customFormat="1" x14ac:dyDescent="0.25">
      <c r="B87" s="70">
        <f t="shared" si="18"/>
        <v>83</v>
      </c>
      <c r="C87" s="67">
        <f ca="1">IF(E87-'Invoer gegevens'!$C$17&lt;0,0,1)</f>
        <v>1</v>
      </c>
      <c r="D87" s="68">
        <f t="shared" si="19"/>
        <v>82.5</v>
      </c>
      <c r="E87" s="69">
        <f ca="1">IF('Invoer gegevens'!$C$16="","",E86+1)</f>
        <v>2101</v>
      </c>
      <c r="F87" s="82">
        <f ca="1">IF('Invoer gegevens'!$C$17=E87,'Invoer gegevens'!$C$10,IF(C87=1,H86,0))</f>
        <v>0</v>
      </c>
      <c r="G87" s="83">
        <f ca="1">IF(C87&gt;=1,F87*Reeksen!C87,0)</f>
        <v>0</v>
      </c>
      <c r="H87" s="84">
        <f t="shared" ca="1" si="12"/>
        <v>0</v>
      </c>
      <c r="I87" s="85">
        <f ca="1">IF('Invoer gegevens'!$C$17=E87,'Invoer gegevens'!$C$11,IF(C87=1,L86,0))</f>
        <v>0</v>
      </c>
      <c r="J87" s="86">
        <f ca="1">IF(C87&lt;1,0,IF(Reeksen!AD87&lt;=Reeksen!AE87,I87*Reeksen!C87,0))</f>
        <v>0</v>
      </c>
      <c r="K87" s="86">
        <f ca="1">IF(C87&lt;1,0,IF(Reeksen!AD87&gt;Reeksen!AE87,I87*Reeksen!C87,0))</f>
        <v>0</v>
      </c>
      <c r="L87" s="86">
        <f t="shared" ca="1" si="13"/>
        <v>0</v>
      </c>
      <c r="M87" s="85">
        <f ca="1">IF('Invoer gegevens'!$C$17=E87,'Invoer gegevens'!$C$10-'Invoer gegevens'!$C$11,IF(C87=1,P86,0))</f>
        <v>0</v>
      </c>
      <c r="N87" s="86">
        <f ca="1">IF(C87&lt;1,0,IF(Reeksen!AD87&lt;=Reeksen!AE87,M87*Reeksen!C87,0))</f>
        <v>0</v>
      </c>
      <c r="O87" s="86">
        <f ca="1">IF(C87&lt;1,0,IF(Reeksen!AD87&gt;Reeksen!AE87,M87*Reeksen!C87,0))</f>
        <v>0</v>
      </c>
      <c r="P87" s="86">
        <f t="shared" ca="1" si="14"/>
        <v>0</v>
      </c>
      <c r="Q87" s="82">
        <f ca="1">IF('Invoer gegevens'!$C$17=E87,I87,IF(C87=0,0,R86))</f>
        <v>0</v>
      </c>
      <c r="R87" s="84">
        <f t="shared" ca="1" si="11"/>
        <v>0</v>
      </c>
      <c r="S87" s="84">
        <f ca="1">IF('Invoer gegevens'!$C$17=E87,M87,IF(C87=0,0,T86))</f>
        <v>0</v>
      </c>
      <c r="T87" s="84">
        <f t="shared" ca="1" si="20"/>
        <v>0</v>
      </c>
      <c r="AI87" s="71">
        <f ca="1">IF(C87=1,((F87+H87)/2*Reeksen!AI87*12)+(('Invoer gegevens'!$C$10-(F87+H87)/2)*Reeksen!AD87*12),0)</f>
        <v>0</v>
      </c>
      <c r="AJ87" s="71">
        <f ca="1">-AI87*'Invoer gegevens'!$F$28</f>
        <v>0</v>
      </c>
      <c r="AK87" s="71">
        <f t="shared" ca="1" si="15"/>
        <v>0</v>
      </c>
      <c r="AL87" s="71">
        <f ca="1">IF(C87=1,(12*((F87+H87)/2)*Reeksen!AL87)+(12*('Invoer gegevens'!$C$10-(F87+H87)/2)*Reeksen!AM87),0)</f>
        <v>0</v>
      </c>
      <c r="AM87" s="71">
        <f ca="1">-AL87*'Invoer gegevens'!$F$31</f>
        <v>0</v>
      </c>
      <c r="AN87" s="71">
        <f t="shared" ca="1" si="16"/>
        <v>0</v>
      </c>
      <c r="AO87" s="71"/>
      <c r="AP87" s="71"/>
      <c r="AQ87" s="71">
        <f ca="1">-IF(C87=1,('Invoer gegevens'!$C$10*'Invoer gegevens'!$F$35)*Reeksen!J87,0)*2</f>
        <v>0</v>
      </c>
      <c r="AR87" s="71">
        <f ca="1">-IF(C87=1,(G87*'Invoer gegevens'!$F$36)*Reeksen!J87,0)</f>
        <v>0</v>
      </c>
      <c r="AS87" s="71">
        <f ca="1">-IF(C87=1,'Invoer gegevens'!$C$10*'Invoer gegevens'!$F$37*Reeksen!L87,0)</f>
        <v>0</v>
      </c>
      <c r="AT87" s="71">
        <f ca="1">-IF(C87=1,IF(E87='Invoer gegevens'!$C$17,'Invoer gegevens'!$C$11,Q87)*Reeksen!S87*'Invoer gegevens'!$C$18*Reeksen!P87,0)</f>
        <v>0</v>
      </c>
      <c r="AU87" s="71">
        <f ca="1">-IF(C87=1,'Invoer gegevens'!$C$10*'Invoer gegevens'!$F$38*Reeksen!H87,0)</f>
        <v>0</v>
      </c>
      <c r="AV87" s="71">
        <f t="shared" si="21"/>
        <v>0</v>
      </c>
      <c r="AW87" s="71">
        <f t="shared" ca="1" si="17"/>
        <v>0</v>
      </c>
      <c r="AX87" s="71">
        <f ca="1">IF(E87&lt;'Invoer gegevens'!$C$17+15,0,IF('RW - MW - DE - DE'!E87&gt;'Invoer gegevens'!$C$17+215,0,'RW - MW - DE - DE'!AW87))</f>
        <v>0</v>
      </c>
      <c r="AY87" s="71">
        <f ca="1">AX87/(1+'Invoer gegevens'!$F$13)^($AZ87-('Invoer gegevens'!$C$17-'Invoer gegevens'!$C$16))/(1+'Invoer gegevens'!$C$39)^('Invoer gegevens'!$C$17-'Invoer gegevens'!$C$16)</f>
        <v>0</v>
      </c>
      <c r="AZ87" s="68">
        <f ca="1">IF(E87-'Invoer gegevens'!$C$17-14.5&lt;0,0,E87-'Invoer gegevens'!$C$17-14.5)</f>
        <v>67.5</v>
      </c>
      <c r="BC87" s="71"/>
    </row>
    <row r="88" spans="2:55" customFormat="1" x14ac:dyDescent="0.25">
      <c r="B88" s="70">
        <f t="shared" si="18"/>
        <v>84</v>
      </c>
      <c r="C88" s="67">
        <f ca="1">IF(E88-'Invoer gegevens'!$C$17&lt;0,0,1)</f>
        <v>1</v>
      </c>
      <c r="D88" s="68">
        <f t="shared" si="19"/>
        <v>83.5</v>
      </c>
      <c r="E88" s="69">
        <f ca="1">IF('Invoer gegevens'!$C$16="","",E87+1)</f>
        <v>2102</v>
      </c>
      <c r="F88" s="82">
        <f ca="1">IF('Invoer gegevens'!$C$17=E88,'Invoer gegevens'!$C$10,IF(C88=1,H87,0))</f>
        <v>0</v>
      </c>
      <c r="G88" s="83">
        <f ca="1">IF(C88&gt;=1,F88*Reeksen!C88,0)</f>
        <v>0</v>
      </c>
      <c r="H88" s="84">
        <f t="shared" ca="1" si="12"/>
        <v>0</v>
      </c>
      <c r="I88" s="85">
        <f ca="1">IF('Invoer gegevens'!$C$17=E88,'Invoer gegevens'!$C$11,IF(C88=1,L87,0))</f>
        <v>0</v>
      </c>
      <c r="J88" s="86">
        <f ca="1">IF(C88&lt;1,0,IF(Reeksen!AD88&lt;=Reeksen!AE88,I88*Reeksen!C88,0))</f>
        <v>0</v>
      </c>
      <c r="K88" s="86">
        <f ca="1">IF(C88&lt;1,0,IF(Reeksen!AD88&gt;Reeksen!AE88,I88*Reeksen!C88,0))</f>
        <v>0</v>
      </c>
      <c r="L88" s="86">
        <f t="shared" ca="1" si="13"/>
        <v>0</v>
      </c>
      <c r="M88" s="85">
        <f ca="1">IF('Invoer gegevens'!$C$17=E88,'Invoer gegevens'!$C$10-'Invoer gegevens'!$C$11,IF(C88=1,P87,0))</f>
        <v>0</v>
      </c>
      <c r="N88" s="86">
        <f ca="1">IF(C88&lt;1,0,IF(Reeksen!AD88&lt;=Reeksen!AE88,M88*Reeksen!C88,0))</f>
        <v>0</v>
      </c>
      <c r="O88" s="86">
        <f ca="1">IF(C88&lt;1,0,IF(Reeksen!AD88&gt;Reeksen!AE88,M88*Reeksen!C88,0))</f>
        <v>0</v>
      </c>
      <c r="P88" s="86">
        <f t="shared" ca="1" si="14"/>
        <v>0</v>
      </c>
      <c r="Q88" s="82">
        <f ca="1">IF('Invoer gegevens'!$C$17=E88,I88,IF(C88=0,0,R87))</f>
        <v>0</v>
      </c>
      <c r="R88" s="84">
        <f t="shared" ca="1" si="11"/>
        <v>0</v>
      </c>
      <c r="S88" s="84">
        <f ca="1">IF('Invoer gegevens'!$C$17=E88,M88,IF(C88=0,0,T87))</f>
        <v>0</v>
      </c>
      <c r="T88" s="84">
        <f t="shared" ca="1" si="20"/>
        <v>0</v>
      </c>
      <c r="AI88" s="71">
        <f ca="1">IF(C88=1,((F88+H88)/2*Reeksen!AI88*12)+(('Invoer gegevens'!$C$10-(F88+H88)/2)*Reeksen!AD88*12),0)</f>
        <v>0</v>
      </c>
      <c r="AJ88" s="71">
        <f ca="1">-AI88*'Invoer gegevens'!$F$28</f>
        <v>0</v>
      </c>
      <c r="AK88" s="71">
        <f t="shared" ca="1" si="15"/>
        <v>0</v>
      </c>
      <c r="AL88" s="71">
        <f ca="1">IF(C88=1,(12*((F88+H88)/2)*Reeksen!AL88)+(12*('Invoer gegevens'!$C$10-(F88+H88)/2)*Reeksen!AM88),0)</f>
        <v>0</v>
      </c>
      <c r="AM88" s="71">
        <f ca="1">-AL88*'Invoer gegevens'!$F$31</f>
        <v>0</v>
      </c>
      <c r="AN88" s="71">
        <f t="shared" ca="1" si="16"/>
        <v>0</v>
      </c>
      <c r="AO88" s="71"/>
      <c r="AP88" s="71"/>
      <c r="AQ88" s="71">
        <f ca="1">-IF(C88=1,('Invoer gegevens'!$C$10*'Invoer gegevens'!$F$35)*Reeksen!J88,0)*2</f>
        <v>0</v>
      </c>
      <c r="AR88" s="71">
        <f ca="1">-IF(C88=1,(G88*'Invoer gegevens'!$F$36)*Reeksen!J88,0)</f>
        <v>0</v>
      </c>
      <c r="AS88" s="71">
        <f ca="1">-IF(C88=1,'Invoer gegevens'!$C$10*'Invoer gegevens'!$F$37*Reeksen!L88,0)</f>
        <v>0</v>
      </c>
      <c r="AT88" s="71">
        <f ca="1">-IF(C88=1,IF(E88='Invoer gegevens'!$C$17,'Invoer gegevens'!$C$11,Q88)*Reeksen!S88*'Invoer gegevens'!$C$18*Reeksen!P88,0)</f>
        <v>0</v>
      </c>
      <c r="AU88" s="71">
        <f ca="1">-IF(C88=1,'Invoer gegevens'!$C$10*'Invoer gegevens'!$F$38*Reeksen!H88,0)</f>
        <v>0</v>
      </c>
      <c r="AV88" s="71">
        <f t="shared" si="21"/>
        <v>0</v>
      </c>
      <c r="AW88" s="71">
        <f t="shared" ca="1" si="17"/>
        <v>0</v>
      </c>
      <c r="AX88" s="71">
        <f ca="1">IF(E88&lt;'Invoer gegevens'!$C$17+15,0,IF('RW - MW - DE - DE'!E88&gt;'Invoer gegevens'!$C$17+215,0,'RW - MW - DE - DE'!AW88))</f>
        <v>0</v>
      </c>
      <c r="AY88" s="71">
        <f ca="1">AX88/(1+'Invoer gegevens'!$F$13)^($AZ88-('Invoer gegevens'!$C$17-'Invoer gegevens'!$C$16))/(1+'Invoer gegevens'!$C$39)^('Invoer gegevens'!$C$17-'Invoer gegevens'!$C$16)</f>
        <v>0</v>
      </c>
      <c r="AZ88" s="68">
        <f ca="1">IF(E88-'Invoer gegevens'!$C$17-14.5&lt;0,0,E88-'Invoer gegevens'!$C$17-14.5)</f>
        <v>68.5</v>
      </c>
      <c r="BC88" s="71"/>
    </row>
    <row r="89" spans="2:55" customFormat="1" x14ac:dyDescent="0.25">
      <c r="B89" s="70">
        <f t="shared" si="18"/>
        <v>85</v>
      </c>
      <c r="C89" s="67">
        <f ca="1">IF(E89-'Invoer gegevens'!$C$17&lt;0,0,1)</f>
        <v>1</v>
      </c>
      <c r="D89" s="68">
        <f t="shared" si="19"/>
        <v>84.5</v>
      </c>
      <c r="E89" s="69">
        <f ca="1">IF('Invoer gegevens'!$C$16="","",E88+1)</f>
        <v>2103</v>
      </c>
      <c r="F89" s="82">
        <f ca="1">IF('Invoer gegevens'!$C$17=E89,'Invoer gegevens'!$C$10,IF(C89=1,H88,0))</f>
        <v>0</v>
      </c>
      <c r="G89" s="83">
        <f ca="1">IF(C89&gt;=1,F89*Reeksen!C89,0)</f>
        <v>0</v>
      </c>
      <c r="H89" s="84">
        <f t="shared" ca="1" si="12"/>
        <v>0</v>
      </c>
      <c r="I89" s="85">
        <f ca="1">IF('Invoer gegevens'!$C$17=E89,'Invoer gegevens'!$C$11,IF(C89=1,L88,0))</f>
        <v>0</v>
      </c>
      <c r="J89" s="86">
        <f ca="1">IF(C89&lt;1,0,IF(Reeksen!AD89&lt;=Reeksen!AE89,I89*Reeksen!C89,0))</f>
        <v>0</v>
      </c>
      <c r="K89" s="86">
        <f ca="1">IF(C89&lt;1,0,IF(Reeksen!AD89&gt;Reeksen!AE89,I89*Reeksen!C89,0))</f>
        <v>0</v>
      </c>
      <c r="L89" s="86">
        <f t="shared" ca="1" si="13"/>
        <v>0</v>
      </c>
      <c r="M89" s="85">
        <f ca="1">IF('Invoer gegevens'!$C$17=E89,'Invoer gegevens'!$C$10-'Invoer gegevens'!$C$11,IF(C89=1,P88,0))</f>
        <v>0</v>
      </c>
      <c r="N89" s="86">
        <f ca="1">IF(C89&lt;1,0,IF(Reeksen!AD89&lt;=Reeksen!AE89,M89*Reeksen!C89,0))</f>
        <v>0</v>
      </c>
      <c r="O89" s="86">
        <f ca="1">IF(C89&lt;1,0,IF(Reeksen!AD89&gt;Reeksen!AE89,M89*Reeksen!C89,0))</f>
        <v>0</v>
      </c>
      <c r="P89" s="86">
        <f t="shared" ca="1" si="14"/>
        <v>0</v>
      </c>
      <c r="Q89" s="82">
        <f ca="1">IF('Invoer gegevens'!$C$17=E89,I89,IF(C89=0,0,R88))</f>
        <v>0</v>
      </c>
      <c r="R89" s="84">
        <f t="shared" ca="1" si="11"/>
        <v>0</v>
      </c>
      <c r="S89" s="84">
        <f ca="1">IF('Invoer gegevens'!$C$17=E89,M89,IF(C89=0,0,T88))</f>
        <v>0</v>
      </c>
      <c r="T89" s="84">
        <f t="shared" ca="1" si="20"/>
        <v>0</v>
      </c>
      <c r="AI89" s="71">
        <f ca="1">IF(C89=1,((F89+H89)/2*Reeksen!AI89*12)+(('Invoer gegevens'!$C$10-(F89+H89)/2)*Reeksen!AD89*12),0)</f>
        <v>0</v>
      </c>
      <c r="AJ89" s="71">
        <f ca="1">-AI89*'Invoer gegevens'!$F$28</f>
        <v>0</v>
      </c>
      <c r="AK89" s="71">
        <f t="shared" ca="1" si="15"/>
        <v>0</v>
      </c>
      <c r="AL89" s="71">
        <f ca="1">IF(C89=1,(12*((F89+H89)/2)*Reeksen!AL89)+(12*('Invoer gegevens'!$C$10-(F89+H89)/2)*Reeksen!AM89),0)</f>
        <v>0</v>
      </c>
      <c r="AM89" s="71">
        <f ca="1">-AL89*'Invoer gegevens'!$F$31</f>
        <v>0</v>
      </c>
      <c r="AN89" s="71">
        <f t="shared" ca="1" si="16"/>
        <v>0</v>
      </c>
      <c r="AO89" s="71"/>
      <c r="AP89" s="71"/>
      <c r="AQ89" s="71">
        <f ca="1">-IF(C89=1,('Invoer gegevens'!$C$10*'Invoer gegevens'!$F$35)*Reeksen!J89,0)*2</f>
        <v>0</v>
      </c>
      <c r="AR89" s="71">
        <f ca="1">-IF(C89=1,(G89*'Invoer gegevens'!$F$36)*Reeksen!J89,0)</f>
        <v>0</v>
      </c>
      <c r="AS89" s="71">
        <f ca="1">-IF(C89=1,'Invoer gegevens'!$C$10*'Invoer gegevens'!$F$37*Reeksen!L89,0)</f>
        <v>0</v>
      </c>
      <c r="AT89" s="71">
        <f ca="1">-IF(C89=1,IF(E89='Invoer gegevens'!$C$17,'Invoer gegevens'!$C$11,Q89)*Reeksen!S89*'Invoer gegevens'!$C$18*Reeksen!P89,0)</f>
        <v>0</v>
      </c>
      <c r="AU89" s="71">
        <f ca="1">-IF(C89=1,'Invoer gegevens'!$C$10*'Invoer gegevens'!$F$38*Reeksen!H89,0)</f>
        <v>0</v>
      </c>
      <c r="AV89" s="71">
        <f t="shared" si="21"/>
        <v>0</v>
      </c>
      <c r="AW89" s="71">
        <f t="shared" ca="1" si="17"/>
        <v>0</v>
      </c>
      <c r="AX89" s="71">
        <f ca="1">IF(E89&lt;'Invoer gegevens'!$C$17+15,0,IF('RW - MW - DE - DE'!E89&gt;'Invoer gegevens'!$C$17+215,0,'RW - MW - DE - DE'!AW89))</f>
        <v>0</v>
      </c>
      <c r="AY89" s="71">
        <f ca="1">AX89/(1+'Invoer gegevens'!$F$13)^($AZ89-('Invoer gegevens'!$C$17-'Invoer gegevens'!$C$16))/(1+'Invoer gegevens'!$C$39)^('Invoer gegevens'!$C$17-'Invoer gegevens'!$C$16)</f>
        <v>0</v>
      </c>
      <c r="AZ89" s="68">
        <f ca="1">IF(E89-'Invoer gegevens'!$C$17-14.5&lt;0,0,E89-'Invoer gegevens'!$C$17-14.5)</f>
        <v>69.5</v>
      </c>
      <c r="BC89" s="71"/>
    </row>
    <row r="90" spans="2:55" customFormat="1" x14ac:dyDescent="0.25">
      <c r="B90" s="70">
        <f t="shared" si="18"/>
        <v>86</v>
      </c>
      <c r="C90" s="67">
        <f ca="1">IF(E90-'Invoer gegevens'!$C$17&lt;0,0,1)</f>
        <v>1</v>
      </c>
      <c r="D90" s="68">
        <f t="shared" si="19"/>
        <v>85.5</v>
      </c>
      <c r="E90" s="69">
        <f ca="1">IF('Invoer gegevens'!$C$16="","",E89+1)</f>
        <v>2104</v>
      </c>
      <c r="F90" s="82">
        <f ca="1">IF('Invoer gegevens'!$C$17=E90,'Invoer gegevens'!$C$10,IF(C90=1,H89,0))</f>
        <v>0</v>
      </c>
      <c r="G90" s="83">
        <f ca="1">IF(C90&gt;=1,F90*Reeksen!C90,0)</f>
        <v>0</v>
      </c>
      <c r="H90" s="84">
        <f t="shared" ca="1" si="12"/>
        <v>0</v>
      </c>
      <c r="I90" s="85">
        <f ca="1">IF('Invoer gegevens'!$C$17=E90,'Invoer gegevens'!$C$11,IF(C90=1,L89,0))</f>
        <v>0</v>
      </c>
      <c r="J90" s="86">
        <f ca="1">IF(C90&lt;1,0,IF(Reeksen!AD90&lt;=Reeksen!AE90,I90*Reeksen!C90,0))</f>
        <v>0</v>
      </c>
      <c r="K90" s="86">
        <f ca="1">IF(C90&lt;1,0,IF(Reeksen!AD90&gt;Reeksen!AE90,I90*Reeksen!C90,0))</f>
        <v>0</v>
      </c>
      <c r="L90" s="86">
        <f t="shared" ca="1" si="13"/>
        <v>0</v>
      </c>
      <c r="M90" s="85">
        <f ca="1">IF('Invoer gegevens'!$C$17=E90,'Invoer gegevens'!$C$10-'Invoer gegevens'!$C$11,IF(C90=1,P89,0))</f>
        <v>0</v>
      </c>
      <c r="N90" s="86">
        <f ca="1">IF(C90&lt;1,0,IF(Reeksen!AD90&lt;=Reeksen!AE90,M90*Reeksen!C90,0))</f>
        <v>0</v>
      </c>
      <c r="O90" s="86">
        <f ca="1">IF(C90&lt;1,0,IF(Reeksen!AD90&gt;Reeksen!AE90,M90*Reeksen!C90,0))</f>
        <v>0</v>
      </c>
      <c r="P90" s="86">
        <f t="shared" ca="1" si="14"/>
        <v>0</v>
      </c>
      <c r="Q90" s="82">
        <f ca="1">IF('Invoer gegevens'!$C$17=E90,I90,IF(C90=0,0,R89))</f>
        <v>0</v>
      </c>
      <c r="R90" s="84">
        <f t="shared" ca="1" si="11"/>
        <v>0</v>
      </c>
      <c r="S90" s="84">
        <f ca="1">IF('Invoer gegevens'!$C$17=E90,M90,IF(C90=0,0,T89))</f>
        <v>0</v>
      </c>
      <c r="T90" s="84">
        <f t="shared" ca="1" si="20"/>
        <v>0</v>
      </c>
      <c r="AI90" s="71">
        <f ca="1">IF(C90=1,((F90+H90)/2*Reeksen!AI90*12)+(('Invoer gegevens'!$C$10-(F90+H90)/2)*Reeksen!AD90*12),0)</f>
        <v>0</v>
      </c>
      <c r="AJ90" s="71">
        <f ca="1">-AI90*'Invoer gegevens'!$F$28</f>
        <v>0</v>
      </c>
      <c r="AK90" s="71">
        <f t="shared" ca="1" si="15"/>
        <v>0</v>
      </c>
      <c r="AL90" s="71">
        <f ca="1">IF(C90=1,(12*((F90+H90)/2)*Reeksen!AL90)+(12*('Invoer gegevens'!$C$10-(F90+H90)/2)*Reeksen!AM90),0)</f>
        <v>0</v>
      </c>
      <c r="AM90" s="71">
        <f ca="1">-AL90*'Invoer gegevens'!$F$31</f>
        <v>0</v>
      </c>
      <c r="AN90" s="71">
        <f t="shared" ca="1" si="16"/>
        <v>0</v>
      </c>
      <c r="AO90" s="71"/>
      <c r="AP90" s="71"/>
      <c r="AQ90" s="71">
        <f ca="1">-IF(C90=1,('Invoer gegevens'!$C$10*'Invoer gegevens'!$F$35)*Reeksen!J90,0)*2</f>
        <v>0</v>
      </c>
      <c r="AR90" s="71">
        <f ca="1">-IF(C90=1,(G90*'Invoer gegevens'!$F$36)*Reeksen!J90,0)</f>
        <v>0</v>
      </c>
      <c r="AS90" s="71">
        <f ca="1">-IF(C90=1,'Invoer gegevens'!$C$10*'Invoer gegevens'!$F$37*Reeksen!L90,0)</f>
        <v>0</v>
      </c>
      <c r="AT90" s="71">
        <f ca="1">-IF(C90=1,IF(E90='Invoer gegevens'!$C$17,'Invoer gegevens'!$C$11,Q90)*Reeksen!S90*'Invoer gegevens'!$C$18*Reeksen!P90,0)</f>
        <v>0</v>
      </c>
      <c r="AU90" s="71">
        <f ca="1">-IF(C90=1,'Invoer gegevens'!$C$10*'Invoer gegevens'!$F$38*Reeksen!H90,0)</f>
        <v>0</v>
      </c>
      <c r="AV90" s="71">
        <f t="shared" si="21"/>
        <v>0</v>
      </c>
      <c r="AW90" s="71">
        <f t="shared" ca="1" si="17"/>
        <v>0</v>
      </c>
      <c r="AX90" s="71">
        <f ca="1">IF(E90&lt;'Invoer gegevens'!$C$17+15,0,IF('RW - MW - DE - DE'!E90&gt;'Invoer gegevens'!$C$17+215,0,'RW - MW - DE - DE'!AW90))</f>
        <v>0</v>
      </c>
      <c r="AY90" s="71">
        <f ca="1">AX90/(1+'Invoer gegevens'!$F$13)^($AZ90-('Invoer gegevens'!$C$17-'Invoer gegevens'!$C$16))/(1+'Invoer gegevens'!$C$39)^('Invoer gegevens'!$C$17-'Invoer gegevens'!$C$16)</f>
        <v>0</v>
      </c>
      <c r="AZ90" s="68">
        <f ca="1">IF(E90-'Invoer gegevens'!$C$17-14.5&lt;0,0,E90-'Invoer gegevens'!$C$17-14.5)</f>
        <v>70.5</v>
      </c>
      <c r="BC90" s="71"/>
    </row>
    <row r="91" spans="2:55" customFormat="1" x14ac:dyDescent="0.25">
      <c r="B91" s="70">
        <f t="shared" si="18"/>
        <v>87</v>
      </c>
      <c r="C91" s="67">
        <f ca="1">IF(E91-'Invoer gegevens'!$C$17&lt;0,0,1)</f>
        <v>1</v>
      </c>
      <c r="D91" s="68">
        <f t="shared" si="19"/>
        <v>86.5</v>
      </c>
      <c r="E91" s="69">
        <f ca="1">IF('Invoer gegevens'!$C$16="","",E90+1)</f>
        <v>2105</v>
      </c>
      <c r="F91" s="82">
        <f ca="1">IF('Invoer gegevens'!$C$17=E91,'Invoer gegevens'!$C$10,IF(C91=1,H90,0))</f>
        <v>0</v>
      </c>
      <c r="G91" s="83">
        <f ca="1">IF(C91&gt;=1,F91*Reeksen!C91,0)</f>
        <v>0</v>
      </c>
      <c r="H91" s="84">
        <f t="shared" ca="1" si="12"/>
        <v>0</v>
      </c>
      <c r="I91" s="85">
        <f ca="1">IF('Invoer gegevens'!$C$17=E91,'Invoer gegevens'!$C$11,IF(C91=1,L90,0))</f>
        <v>0</v>
      </c>
      <c r="J91" s="86">
        <f ca="1">IF(C91&lt;1,0,IF(Reeksen!AD91&lt;=Reeksen!AE91,I91*Reeksen!C91,0))</f>
        <v>0</v>
      </c>
      <c r="K91" s="86">
        <f ca="1">IF(C91&lt;1,0,IF(Reeksen!AD91&gt;Reeksen!AE91,I91*Reeksen!C91,0))</f>
        <v>0</v>
      </c>
      <c r="L91" s="86">
        <f t="shared" ca="1" si="13"/>
        <v>0</v>
      </c>
      <c r="M91" s="85">
        <f ca="1">IF('Invoer gegevens'!$C$17=E91,'Invoer gegevens'!$C$10-'Invoer gegevens'!$C$11,IF(C91=1,P90,0))</f>
        <v>0</v>
      </c>
      <c r="N91" s="86">
        <f ca="1">IF(C91&lt;1,0,IF(Reeksen!AD91&lt;=Reeksen!AE91,M91*Reeksen!C91,0))</f>
        <v>0</v>
      </c>
      <c r="O91" s="86">
        <f ca="1">IF(C91&lt;1,0,IF(Reeksen!AD91&gt;Reeksen!AE91,M91*Reeksen!C91,0))</f>
        <v>0</v>
      </c>
      <c r="P91" s="86">
        <f t="shared" ca="1" si="14"/>
        <v>0</v>
      </c>
      <c r="Q91" s="82">
        <f ca="1">IF('Invoer gegevens'!$C$17=E91,I91,IF(C91=0,0,R90))</f>
        <v>0</v>
      </c>
      <c r="R91" s="84">
        <f t="shared" ca="1" si="11"/>
        <v>0</v>
      </c>
      <c r="S91" s="84">
        <f ca="1">IF('Invoer gegevens'!$C$17=E91,M91,IF(C91=0,0,T90))</f>
        <v>0</v>
      </c>
      <c r="T91" s="84">
        <f t="shared" ca="1" si="20"/>
        <v>0</v>
      </c>
      <c r="AI91" s="71">
        <f ca="1">IF(C91=1,((F91+H91)/2*Reeksen!AI91*12)+(('Invoer gegevens'!$C$10-(F91+H91)/2)*Reeksen!AD91*12),0)</f>
        <v>0</v>
      </c>
      <c r="AJ91" s="71">
        <f ca="1">-AI91*'Invoer gegevens'!$F$28</f>
        <v>0</v>
      </c>
      <c r="AK91" s="71">
        <f t="shared" ca="1" si="15"/>
        <v>0</v>
      </c>
      <c r="AL91" s="71">
        <f ca="1">IF(C91=1,(12*((F91+H91)/2)*Reeksen!AL91)+(12*('Invoer gegevens'!$C$10-(F91+H91)/2)*Reeksen!AM91),0)</f>
        <v>0</v>
      </c>
      <c r="AM91" s="71">
        <f ca="1">-AL91*'Invoer gegevens'!$F$31</f>
        <v>0</v>
      </c>
      <c r="AN91" s="71">
        <f t="shared" ca="1" si="16"/>
        <v>0</v>
      </c>
      <c r="AO91" s="71"/>
      <c r="AP91" s="71"/>
      <c r="AQ91" s="71">
        <f ca="1">-IF(C91=1,('Invoer gegevens'!$C$10*'Invoer gegevens'!$F$35)*Reeksen!J91,0)*2</f>
        <v>0</v>
      </c>
      <c r="AR91" s="71">
        <f ca="1">-IF(C91=1,(G91*'Invoer gegevens'!$F$36)*Reeksen!J91,0)</f>
        <v>0</v>
      </c>
      <c r="AS91" s="71">
        <f ca="1">-IF(C91=1,'Invoer gegevens'!$C$10*'Invoer gegevens'!$F$37*Reeksen!L91,0)</f>
        <v>0</v>
      </c>
      <c r="AT91" s="71">
        <f ca="1">-IF(C91=1,IF(E91='Invoer gegevens'!$C$17,'Invoer gegevens'!$C$11,Q91)*Reeksen!S91*'Invoer gegevens'!$C$18*Reeksen!P91,0)</f>
        <v>0</v>
      </c>
      <c r="AU91" s="71">
        <f ca="1">-IF(C91=1,'Invoer gegevens'!$C$10*'Invoer gegevens'!$F$38*Reeksen!H91,0)</f>
        <v>0</v>
      </c>
      <c r="AV91" s="71">
        <f t="shared" si="21"/>
        <v>0</v>
      </c>
      <c r="AW91" s="71">
        <f t="shared" ca="1" si="17"/>
        <v>0</v>
      </c>
      <c r="AX91" s="71">
        <f ca="1">IF(E91&lt;'Invoer gegevens'!$C$17+15,0,IF('RW - MW - DE - DE'!E91&gt;'Invoer gegevens'!$C$17+215,0,'RW - MW - DE - DE'!AW91))</f>
        <v>0</v>
      </c>
      <c r="AY91" s="71">
        <f ca="1">AX91/(1+'Invoer gegevens'!$F$13)^($AZ91-('Invoer gegevens'!$C$17-'Invoer gegevens'!$C$16))/(1+'Invoer gegevens'!$C$39)^('Invoer gegevens'!$C$17-'Invoer gegevens'!$C$16)</f>
        <v>0</v>
      </c>
      <c r="AZ91" s="68">
        <f ca="1">IF(E91-'Invoer gegevens'!$C$17-14.5&lt;0,0,E91-'Invoer gegevens'!$C$17-14.5)</f>
        <v>71.5</v>
      </c>
      <c r="BC91" s="71"/>
    </row>
    <row r="92" spans="2:55" customFormat="1" x14ac:dyDescent="0.25">
      <c r="B92" s="70">
        <f t="shared" si="18"/>
        <v>88</v>
      </c>
      <c r="C92" s="67">
        <f ca="1">IF(E92-'Invoer gegevens'!$C$17&lt;0,0,1)</f>
        <v>1</v>
      </c>
      <c r="D92" s="68">
        <f t="shared" si="19"/>
        <v>87.5</v>
      </c>
      <c r="E92" s="69">
        <f ca="1">IF('Invoer gegevens'!$C$16="","",E91+1)</f>
        <v>2106</v>
      </c>
      <c r="F92" s="82">
        <f ca="1">IF('Invoer gegevens'!$C$17=E92,'Invoer gegevens'!$C$10,IF(C92=1,H91,0))</f>
        <v>0</v>
      </c>
      <c r="G92" s="83">
        <f ca="1">IF(C92&gt;=1,F92*Reeksen!C92,0)</f>
        <v>0</v>
      </c>
      <c r="H92" s="84">
        <f t="shared" ca="1" si="12"/>
        <v>0</v>
      </c>
      <c r="I92" s="85">
        <f ca="1">IF('Invoer gegevens'!$C$17=E92,'Invoer gegevens'!$C$11,IF(C92=1,L91,0))</f>
        <v>0</v>
      </c>
      <c r="J92" s="86">
        <f ca="1">IF(C92&lt;1,0,IF(Reeksen!AD92&lt;=Reeksen!AE92,I92*Reeksen!C92,0))</f>
        <v>0</v>
      </c>
      <c r="K92" s="86">
        <f ca="1">IF(C92&lt;1,0,IF(Reeksen!AD92&gt;Reeksen!AE92,I92*Reeksen!C92,0))</f>
        <v>0</v>
      </c>
      <c r="L92" s="86">
        <f t="shared" ca="1" si="13"/>
        <v>0</v>
      </c>
      <c r="M92" s="85">
        <f ca="1">IF('Invoer gegevens'!$C$17=E92,'Invoer gegevens'!$C$10-'Invoer gegevens'!$C$11,IF(C92=1,P91,0))</f>
        <v>0</v>
      </c>
      <c r="N92" s="86">
        <f ca="1">IF(C92&lt;1,0,IF(Reeksen!AD92&lt;=Reeksen!AE92,M92*Reeksen!C92,0))</f>
        <v>0</v>
      </c>
      <c r="O92" s="86">
        <f ca="1">IF(C92&lt;1,0,IF(Reeksen!AD92&gt;Reeksen!AE92,M92*Reeksen!C92,0))</f>
        <v>0</v>
      </c>
      <c r="P92" s="86">
        <f t="shared" ca="1" si="14"/>
        <v>0</v>
      </c>
      <c r="Q92" s="82">
        <f ca="1">IF('Invoer gegevens'!$C$17=E92,I92,IF(C92=0,0,R91))</f>
        <v>0</v>
      </c>
      <c r="R92" s="84">
        <f t="shared" ca="1" si="11"/>
        <v>0</v>
      </c>
      <c r="S92" s="84">
        <f ca="1">IF('Invoer gegevens'!$C$17=E92,M92,IF(C92=0,0,T91))</f>
        <v>0</v>
      </c>
      <c r="T92" s="84">
        <f t="shared" ca="1" si="20"/>
        <v>0</v>
      </c>
      <c r="AI92" s="71">
        <f ca="1">IF(C92=1,((F92+H92)/2*Reeksen!AI92*12)+(('Invoer gegevens'!$C$10-(F92+H92)/2)*Reeksen!AD92*12),0)</f>
        <v>0</v>
      </c>
      <c r="AJ92" s="71">
        <f ca="1">-AI92*'Invoer gegevens'!$F$28</f>
        <v>0</v>
      </c>
      <c r="AK92" s="71">
        <f t="shared" ca="1" si="15"/>
        <v>0</v>
      </c>
      <c r="AL92" s="71">
        <f ca="1">IF(C92=1,(12*((F92+H92)/2)*Reeksen!AL92)+(12*('Invoer gegevens'!$C$10-(F92+H92)/2)*Reeksen!AM92),0)</f>
        <v>0</v>
      </c>
      <c r="AM92" s="71">
        <f ca="1">-AL92*'Invoer gegevens'!$F$31</f>
        <v>0</v>
      </c>
      <c r="AN92" s="71">
        <f t="shared" ca="1" si="16"/>
        <v>0</v>
      </c>
      <c r="AO92" s="71"/>
      <c r="AP92" s="71"/>
      <c r="AQ92" s="71">
        <f ca="1">-IF(C92=1,('Invoer gegevens'!$C$10*'Invoer gegevens'!$F$35)*Reeksen!J92,0)*2</f>
        <v>0</v>
      </c>
      <c r="AR92" s="71">
        <f ca="1">-IF(C92=1,(G92*'Invoer gegevens'!$F$36)*Reeksen!J92,0)</f>
        <v>0</v>
      </c>
      <c r="AS92" s="71">
        <f ca="1">-IF(C92=1,'Invoer gegevens'!$C$10*'Invoer gegevens'!$F$37*Reeksen!L92,0)</f>
        <v>0</v>
      </c>
      <c r="AT92" s="71">
        <f ca="1">-IF(C92=1,IF(E92='Invoer gegevens'!$C$17,'Invoer gegevens'!$C$11,Q92)*Reeksen!S92*'Invoer gegevens'!$C$18*Reeksen!P92,0)</f>
        <v>0</v>
      </c>
      <c r="AU92" s="71">
        <f ca="1">-IF(C92=1,'Invoer gegevens'!$C$10*'Invoer gegevens'!$F$38*Reeksen!H92,0)</f>
        <v>0</v>
      </c>
      <c r="AV92" s="71">
        <f t="shared" si="21"/>
        <v>0</v>
      </c>
      <c r="AW92" s="71">
        <f t="shared" ca="1" si="17"/>
        <v>0</v>
      </c>
      <c r="AX92" s="71">
        <f ca="1">IF(E92&lt;'Invoer gegevens'!$C$17+15,0,IF('RW - MW - DE - DE'!E92&gt;'Invoer gegevens'!$C$17+215,0,'RW - MW - DE - DE'!AW92))</f>
        <v>0</v>
      </c>
      <c r="AY92" s="71">
        <f ca="1">AX92/(1+'Invoer gegevens'!$F$13)^($AZ92-('Invoer gegevens'!$C$17-'Invoer gegevens'!$C$16))/(1+'Invoer gegevens'!$C$39)^('Invoer gegevens'!$C$17-'Invoer gegevens'!$C$16)</f>
        <v>0</v>
      </c>
      <c r="AZ92" s="68">
        <f ca="1">IF(E92-'Invoer gegevens'!$C$17-14.5&lt;0,0,E92-'Invoer gegevens'!$C$17-14.5)</f>
        <v>72.5</v>
      </c>
      <c r="BC92" s="71"/>
    </row>
    <row r="93" spans="2:55" customFormat="1" x14ac:dyDescent="0.25">
      <c r="B93" s="70">
        <f t="shared" si="18"/>
        <v>89</v>
      </c>
      <c r="C93" s="67">
        <f ca="1">IF(E93-'Invoer gegevens'!$C$17&lt;0,0,1)</f>
        <v>1</v>
      </c>
      <c r="D93" s="68">
        <f t="shared" si="19"/>
        <v>88.5</v>
      </c>
      <c r="E93" s="69">
        <f ca="1">IF('Invoer gegevens'!$C$16="","",E92+1)</f>
        <v>2107</v>
      </c>
      <c r="F93" s="82">
        <f ca="1">IF('Invoer gegevens'!$C$17=E93,'Invoer gegevens'!$C$10,IF(C93=1,H92,0))</f>
        <v>0</v>
      </c>
      <c r="G93" s="83">
        <f ca="1">IF(C93&gt;=1,F93*Reeksen!C93,0)</f>
        <v>0</v>
      </c>
      <c r="H93" s="84">
        <f t="shared" ca="1" si="12"/>
        <v>0</v>
      </c>
      <c r="I93" s="85">
        <f ca="1">IF('Invoer gegevens'!$C$17=E93,'Invoer gegevens'!$C$11,IF(C93=1,L92,0))</f>
        <v>0</v>
      </c>
      <c r="J93" s="86">
        <f ca="1">IF(C93&lt;1,0,IF(Reeksen!AD93&lt;=Reeksen!AE93,I93*Reeksen!C93,0))</f>
        <v>0</v>
      </c>
      <c r="K93" s="86">
        <f ca="1">IF(C93&lt;1,0,IF(Reeksen!AD93&gt;Reeksen!AE93,I93*Reeksen!C93,0))</f>
        <v>0</v>
      </c>
      <c r="L93" s="86">
        <f t="shared" ca="1" si="13"/>
        <v>0</v>
      </c>
      <c r="M93" s="85">
        <f ca="1">IF('Invoer gegevens'!$C$17=E93,'Invoer gegevens'!$C$10-'Invoer gegevens'!$C$11,IF(C93=1,P92,0))</f>
        <v>0</v>
      </c>
      <c r="N93" s="86">
        <f ca="1">IF(C93&lt;1,0,IF(Reeksen!AD93&lt;=Reeksen!AE93,M93*Reeksen!C93,0))</f>
        <v>0</v>
      </c>
      <c r="O93" s="86">
        <f ca="1">IF(C93&lt;1,0,IF(Reeksen!AD93&gt;Reeksen!AE93,M93*Reeksen!C93,0))</f>
        <v>0</v>
      </c>
      <c r="P93" s="86">
        <f t="shared" ca="1" si="14"/>
        <v>0</v>
      </c>
      <c r="Q93" s="82">
        <f ca="1">IF('Invoer gegevens'!$C$17=E93,I93,IF(C93=0,0,R92))</f>
        <v>0</v>
      </c>
      <c r="R93" s="84">
        <f t="shared" ca="1" si="11"/>
        <v>0</v>
      </c>
      <c r="S93" s="84">
        <f ca="1">IF('Invoer gegevens'!$C$17=E93,M93,IF(C93=0,0,T92))</f>
        <v>0</v>
      </c>
      <c r="T93" s="84">
        <f t="shared" ca="1" si="20"/>
        <v>0</v>
      </c>
      <c r="AI93" s="71">
        <f ca="1">IF(C93=1,((F93+H93)/2*Reeksen!AI93*12)+(('Invoer gegevens'!$C$10-(F93+H93)/2)*Reeksen!AD93*12),0)</f>
        <v>0</v>
      </c>
      <c r="AJ93" s="71">
        <f ca="1">-AI93*'Invoer gegevens'!$F$28</f>
        <v>0</v>
      </c>
      <c r="AK93" s="71">
        <f t="shared" ca="1" si="15"/>
        <v>0</v>
      </c>
      <c r="AL93" s="71">
        <f ca="1">IF(C93=1,(12*((F93+H93)/2)*Reeksen!AL93)+(12*('Invoer gegevens'!$C$10-(F93+H93)/2)*Reeksen!AM93),0)</f>
        <v>0</v>
      </c>
      <c r="AM93" s="71">
        <f ca="1">-AL93*'Invoer gegevens'!$F$31</f>
        <v>0</v>
      </c>
      <c r="AN93" s="71">
        <f t="shared" ca="1" si="16"/>
        <v>0</v>
      </c>
      <c r="AO93" s="71"/>
      <c r="AP93" s="71"/>
      <c r="AQ93" s="71">
        <f ca="1">-IF(C93=1,('Invoer gegevens'!$C$10*'Invoer gegevens'!$F$35)*Reeksen!J93,0)*2</f>
        <v>0</v>
      </c>
      <c r="AR93" s="71">
        <f ca="1">-IF(C93=1,(G93*'Invoer gegevens'!$F$36)*Reeksen!J93,0)</f>
        <v>0</v>
      </c>
      <c r="AS93" s="71">
        <f ca="1">-IF(C93=1,'Invoer gegevens'!$C$10*'Invoer gegevens'!$F$37*Reeksen!L93,0)</f>
        <v>0</v>
      </c>
      <c r="AT93" s="71">
        <f ca="1">-IF(C93=1,IF(E93='Invoer gegevens'!$C$17,'Invoer gegevens'!$C$11,Q93)*Reeksen!S93*'Invoer gegevens'!$C$18*Reeksen!P93,0)</f>
        <v>0</v>
      </c>
      <c r="AU93" s="71">
        <f ca="1">-IF(C93=1,'Invoer gegevens'!$C$10*'Invoer gegevens'!$F$38*Reeksen!H93,0)</f>
        <v>0</v>
      </c>
      <c r="AV93" s="71">
        <f t="shared" si="21"/>
        <v>0</v>
      </c>
      <c r="AW93" s="71">
        <f t="shared" ca="1" si="17"/>
        <v>0</v>
      </c>
      <c r="AX93" s="71">
        <f ca="1">IF(E93&lt;'Invoer gegevens'!$C$17+15,0,IF('RW - MW - DE - DE'!E93&gt;'Invoer gegevens'!$C$17+215,0,'RW - MW - DE - DE'!AW93))</f>
        <v>0</v>
      </c>
      <c r="AY93" s="71">
        <f ca="1">AX93/(1+'Invoer gegevens'!$F$13)^($AZ93-('Invoer gegevens'!$C$17-'Invoer gegevens'!$C$16))/(1+'Invoer gegevens'!$C$39)^('Invoer gegevens'!$C$17-'Invoer gegevens'!$C$16)</f>
        <v>0</v>
      </c>
      <c r="AZ93" s="68">
        <f ca="1">IF(E93-'Invoer gegevens'!$C$17-14.5&lt;0,0,E93-'Invoer gegevens'!$C$17-14.5)</f>
        <v>73.5</v>
      </c>
      <c r="BC93" s="71"/>
    </row>
    <row r="94" spans="2:55" customFormat="1" x14ac:dyDescent="0.25">
      <c r="B94" s="70">
        <f t="shared" si="18"/>
        <v>90</v>
      </c>
      <c r="C94" s="67">
        <f ca="1">IF(E94-'Invoer gegevens'!$C$17&lt;0,0,1)</f>
        <v>1</v>
      </c>
      <c r="D94" s="68">
        <f t="shared" si="19"/>
        <v>89.5</v>
      </c>
      <c r="E94" s="69">
        <f ca="1">IF('Invoer gegevens'!$C$16="","",E93+1)</f>
        <v>2108</v>
      </c>
      <c r="F94" s="82">
        <f ca="1">IF('Invoer gegevens'!$C$17=E94,'Invoer gegevens'!$C$10,IF(C94=1,H93,0))</f>
        <v>0</v>
      </c>
      <c r="G94" s="83">
        <f ca="1">IF(C94&gt;=1,F94*Reeksen!C94,0)</f>
        <v>0</v>
      </c>
      <c r="H94" s="84">
        <f t="shared" ca="1" si="12"/>
        <v>0</v>
      </c>
      <c r="I94" s="85">
        <f ca="1">IF('Invoer gegevens'!$C$17=E94,'Invoer gegevens'!$C$11,IF(C94=1,L93,0))</f>
        <v>0</v>
      </c>
      <c r="J94" s="86">
        <f ca="1">IF(C94&lt;1,0,IF(Reeksen!AD94&lt;=Reeksen!AE94,I94*Reeksen!C94,0))</f>
        <v>0</v>
      </c>
      <c r="K94" s="86">
        <f ca="1">IF(C94&lt;1,0,IF(Reeksen!AD94&gt;Reeksen!AE94,I94*Reeksen!C94,0))</f>
        <v>0</v>
      </c>
      <c r="L94" s="86">
        <f t="shared" ca="1" si="13"/>
        <v>0</v>
      </c>
      <c r="M94" s="85">
        <f ca="1">IF('Invoer gegevens'!$C$17=E94,'Invoer gegevens'!$C$10-'Invoer gegevens'!$C$11,IF(C94=1,P93,0))</f>
        <v>0</v>
      </c>
      <c r="N94" s="86">
        <f ca="1">IF(C94&lt;1,0,IF(Reeksen!AD94&lt;=Reeksen!AE94,M94*Reeksen!C94,0))</f>
        <v>0</v>
      </c>
      <c r="O94" s="86">
        <f ca="1">IF(C94&lt;1,0,IF(Reeksen!AD94&gt;Reeksen!AE94,M94*Reeksen!C94,0))</f>
        <v>0</v>
      </c>
      <c r="P94" s="86">
        <f t="shared" ca="1" si="14"/>
        <v>0</v>
      </c>
      <c r="Q94" s="82">
        <f ca="1">IF('Invoer gegevens'!$C$17=E94,I94,IF(C94=0,0,R93))</f>
        <v>0</v>
      </c>
      <c r="R94" s="84">
        <f t="shared" ca="1" si="11"/>
        <v>0</v>
      </c>
      <c r="S94" s="84">
        <f ca="1">IF('Invoer gegevens'!$C$17=E94,M94,IF(C94=0,0,T93))</f>
        <v>0</v>
      </c>
      <c r="T94" s="84">
        <f t="shared" ca="1" si="20"/>
        <v>0</v>
      </c>
      <c r="AI94" s="71">
        <f ca="1">IF(C94=1,((F94+H94)/2*Reeksen!AI94*12)+(('Invoer gegevens'!$C$10-(F94+H94)/2)*Reeksen!AD94*12),0)</f>
        <v>0</v>
      </c>
      <c r="AJ94" s="71">
        <f ca="1">-AI94*'Invoer gegevens'!$F$28</f>
        <v>0</v>
      </c>
      <c r="AK94" s="71">
        <f t="shared" ca="1" si="15"/>
        <v>0</v>
      </c>
      <c r="AL94" s="71">
        <f ca="1">IF(C94=1,(12*((F94+H94)/2)*Reeksen!AL94)+(12*('Invoer gegevens'!$C$10-(F94+H94)/2)*Reeksen!AM94),0)</f>
        <v>0</v>
      </c>
      <c r="AM94" s="71">
        <f ca="1">-AL94*'Invoer gegevens'!$F$31</f>
        <v>0</v>
      </c>
      <c r="AN94" s="71">
        <f t="shared" ca="1" si="16"/>
        <v>0</v>
      </c>
      <c r="AO94" s="71"/>
      <c r="AP94" s="71"/>
      <c r="AQ94" s="71">
        <f ca="1">-IF(C94=1,('Invoer gegevens'!$C$10*'Invoer gegevens'!$F$35)*Reeksen!J94,0)*2</f>
        <v>0</v>
      </c>
      <c r="AR94" s="71">
        <f ca="1">-IF(C94=1,(G94*'Invoer gegevens'!$F$36)*Reeksen!J94,0)</f>
        <v>0</v>
      </c>
      <c r="AS94" s="71">
        <f ca="1">-IF(C94=1,'Invoer gegevens'!$C$10*'Invoer gegevens'!$F$37*Reeksen!L94,0)</f>
        <v>0</v>
      </c>
      <c r="AT94" s="71">
        <f ca="1">-IF(C94=1,IF(E94='Invoer gegevens'!$C$17,'Invoer gegevens'!$C$11,Q94)*Reeksen!S94*'Invoer gegevens'!$C$18*Reeksen!P94,0)</f>
        <v>0</v>
      </c>
      <c r="AU94" s="71">
        <f ca="1">-IF(C94=1,'Invoer gegevens'!$C$10*'Invoer gegevens'!$F$38*Reeksen!H94,0)</f>
        <v>0</v>
      </c>
      <c r="AV94" s="71">
        <f t="shared" si="21"/>
        <v>0</v>
      </c>
      <c r="AW94" s="71">
        <f t="shared" ca="1" si="17"/>
        <v>0</v>
      </c>
      <c r="AX94" s="71">
        <f ca="1">IF(E94&lt;'Invoer gegevens'!$C$17+15,0,IF('RW - MW - DE - DE'!E94&gt;'Invoer gegevens'!$C$17+215,0,'RW - MW - DE - DE'!AW94))</f>
        <v>0</v>
      </c>
      <c r="AY94" s="71">
        <f ca="1">AX94/(1+'Invoer gegevens'!$F$13)^($AZ94-('Invoer gegevens'!$C$17-'Invoer gegevens'!$C$16))/(1+'Invoer gegevens'!$C$39)^('Invoer gegevens'!$C$17-'Invoer gegevens'!$C$16)</f>
        <v>0</v>
      </c>
      <c r="AZ94" s="68">
        <f ca="1">IF(E94-'Invoer gegevens'!$C$17-14.5&lt;0,0,E94-'Invoer gegevens'!$C$17-14.5)</f>
        <v>74.5</v>
      </c>
      <c r="BC94" s="71"/>
    </row>
    <row r="95" spans="2:55" customFormat="1" x14ac:dyDescent="0.25">
      <c r="B95" s="70">
        <f t="shared" si="18"/>
        <v>91</v>
      </c>
      <c r="C95" s="67">
        <f ca="1">IF(E95-'Invoer gegevens'!$C$17&lt;0,0,1)</f>
        <v>1</v>
      </c>
      <c r="D95" s="68">
        <f t="shared" si="19"/>
        <v>90.5</v>
      </c>
      <c r="E95" s="69">
        <f ca="1">IF('Invoer gegevens'!$C$16="","",E94+1)</f>
        <v>2109</v>
      </c>
      <c r="F95" s="82">
        <f ca="1">IF('Invoer gegevens'!$C$17=E95,'Invoer gegevens'!$C$10,IF(C95=1,H94,0))</f>
        <v>0</v>
      </c>
      <c r="G95" s="83">
        <f ca="1">IF(C95&gt;=1,F95*Reeksen!C95,0)</f>
        <v>0</v>
      </c>
      <c r="H95" s="84">
        <f t="shared" ca="1" si="12"/>
        <v>0</v>
      </c>
      <c r="I95" s="85">
        <f ca="1">IF('Invoer gegevens'!$C$17=E95,'Invoer gegevens'!$C$11,IF(C95=1,L94,0))</f>
        <v>0</v>
      </c>
      <c r="J95" s="86">
        <f ca="1">IF(C95&lt;1,0,IF(Reeksen!AD95&lt;=Reeksen!AE95,I95*Reeksen!C95,0))</f>
        <v>0</v>
      </c>
      <c r="K95" s="86">
        <f ca="1">IF(C95&lt;1,0,IF(Reeksen!AD95&gt;Reeksen!AE95,I95*Reeksen!C95,0))</f>
        <v>0</v>
      </c>
      <c r="L95" s="86">
        <f t="shared" ca="1" si="13"/>
        <v>0</v>
      </c>
      <c r="M95" s="85">
        <f ca="1">IF('Invoer gegevens'!$C$17=E95,'Invoer gegevens'!$C$10-'Invoer gegevens'!$C$11,IF(C95=1,P94,0))</f>
        <v>0</v>
      </c>
      <c r="N95" s="86">
        <f ca="1">IF(C95&lt;1,0,IF(Reeksen!AD95&lt;=Reeksen!AE95,M95*Reeksen!C95,0))</f>
        <v>0</v>
      </c>
      <c r="O95" s="86">
        <f ca="1">IF(C95&lt;1,0,IF(Reeksen!AD95&gt;Reeksen!AE95,M95*Reeksen!C95,0))</f>
        <v>0</v>
      </c>
      <c r="P95" s="86">
        <f t="shared" ca="1" si="14"/>
        <v>0</v>
      </c>
      <c r="Q95" s="82">
        <f ca="1">IF('Invoer gegevens'!$C$17=E95,I95,IF(C95=0,0,R94))</f>
        <v>0</v>
      </c>
      <c r="R95" s="84">
        <f t="shared" ca="1" si="11"/>
        <v>0</v>
      </c>
      <c r="S95" s="84">
        <f ca="1">IF('Invoer gegevens'!$C$17=E95,M95,IF(C95=0,0,T94))</f>
        <v>0</v>
      </c>
      <c r="T95" s="84">
        <f t="shared" ca="1" si="20"/>
        <v>0</v>
      </c>
      <c r="AI95" s="71">
        <f ca="1">IF(C95=1,((F95+H95)/2*Reeksen!AI95*12)+(('Invoer gegevens'!$C$10-(F95+H95)/2)*Reeksen!AD95*12),0)</f>
        <v>0</v>
      </c>
      <c r="AJ95" s="71">
        <f ca="1">-AI95*'Invoer gegevens'!$F$28</f>
        <v>0</v>
      </c>
      <c r="AK95" s="71">
        <f t="shared" ca="1" si="15"/>
        <v>0</v>
      </c>
      <c r="AL95" s="71">
        <f ca="1">IF(C95=1,(12*((F95+H95)/2)*Reeksen!AL95)+(12*('Invoer gegevens'!$C$10-(F95+H95)/2)*Reeksen!AM95),0)</f>
        <v>0</v>
      </c>
      <c r="AM95" s="71">
        <f ca="1">-AL95*'Invoer gegevens'!$F$31</f>
        <v>0</v>
      </c>
      <c r="AN95" s="71">
        <f t="shared" ca="1" si="16"/>
        <v>0</v>
      </c>
      <c r="AO95" s="71"/>
      <c r="AP95" s="71"/>
      <c r="AQ95" s="71">
        <f ca="1">-IF(C95=1,('Invoer gegevens'!$C$10*'Invoer gegevens'!$F$35)*Reeksen!J95,0)*2</f>
        <v>0</v>
      </c>
      <c r="AR95" s="71">
        <f ca="1">-IF(C95=1,(G95*'Invoer gegevens'!$F$36)*Reeksen!J95,0)</f>
        <v>0</v>
      </c>
      <c r="AS95" s="71">
        <f ca="1">-IF(C95=1,'Invoer gegevens'!$C$10*'Invoer gegevens'!$F$37*Reeksen!L95,0)</f>
        <v>0</v>
      </c>
      <c r="AT95" s="71">
        <f ca="1">-IF(C95=1,IF(E95='Invoer gegevens'!$C$17,'Invoer gegevens'!$C$11,Q95)*Reeksen!S95*'Invoer gegevens'!$C$18*Reeksen!P95,0)</f>
        <v>0</v>
      </c>
      <c r="AU95" s="71">
        <f ca="1">-IF(C95=1,'Invoer gegevens'!$C$10*'Invoer gegevens'!$F$38*Reeksen!H95,0)</f>
        <v>0</v>
      </c>
      <c r="AV95" s="71">
        <f t="shared" si="21"/>
        <v>0</v>
      </c>
      <c r="AW95" s="71">
        <f t="shared" ca="1" si="17"/>
        <v>0</v>
      </c>
      <c r="AX95" s="71">
        <f ca="1">IF(E95&lt;'Invoer gegevens'!$C$17+15,0,IF('RW - MW - DE - DE'!E95&gt;'Invoer gegevens'!$C$17+215,0,'RW - MW - DE - DE'!AW95))</f>
        <v>0</v>
      </c>
      <c r="AY95" s="71">
        <f ca="1">AX95/(1+'Invoer gegevens'!$F$13)^($AZ95-('Invoer gegevens'!$C$17-'Invoer gegevens'!$C$16))/(1+'Invoer gegevens'!$C$39)^('Invoer gegevens'!$C$17-'Invoer gegevens'!$C$16)</f>
        <v>0</v>
      </c>
      <c r="AZ95" s="68">
        <f ca="1">IF(E95-'Invoer gegevens'!$C$17-14.5&lt;0,0,E95-'Invoer gegevens'!$C$17-14.5)</f>
        <v>75.5</v>
      </c>
      <c r="BC95" s="71"/>
    </row>
    <row r="96" spans="2:55" customFormat="1" x14ac:dyDescent="0.25">
      <c r="B96" s="70">
        <f t="shared" si="18"/>
        <v>92</v>
      </c>
      <c r="C96" s="67">
        <f ca="1">IF(E96-'Invoer gegevens'!$C$17&lt;0,0,1)</f>
        <v>1</v>
      </c>
      <c r="D96" s="68">
        <f t="shared" si="19"/>
        <v>91.5</v>
      </c>
      <c r="E96" s="69">
        <f ca="1">IF('Invoer gegevens'!$C$16="","",E95+1)</f>
        <v>2110</v>
      </c>
      <c r="F96" s="82">
        <f ca="1">IF('Invoer gegevens'!$C$17=E96,'Invoer gegevens'!$C$10,IF(C96=1,H95,0))</f>
        <v>0</v>
      </c>
      <c r="G96" s="83">
        <f ca="1">IF(C96&gt;=1,F96*Reeksen!C96,0)</f>
        <v>0</v>
      </c>
      <c r="H96" s="84">
        <f t="shared" ca="1" si="12"/>
        <v>0</v>
      </c>
      <c r="I96" s="85">
        <f ca="1">IF('Invoer gegevens'!$C$17=E96,'Invoer gegevens'!$C$11,IF(C96=1,L95,0))</f>
        <v>0</v>
      </c>
      <c r="J96" s="86">
        <f ca="1">IF(C96&lt;1,0,IF(Reeksen!AD96&lt;=Reeksen!AE96,I96*Reeksen!C96,0))</f>
        <v>0</v>
      </c>
      <c r="K96" s="86">
        <f ca="1">IF(C96&lt;1,0,IF(Reeksen!AD96&gt;Reeksen!AE96,I96*Reeksen!C96,0))</f>
        <v>0</v>
      </c>
      <c r="L96" s="86">
        <f t="shared" ca="1" si="13"/>
        <v>0</v>
      </c>
      <c r="M96" s="85">
        <f ca="1">IF('Invoer gegevens'!$C$17=E96,'Invoer gegevens'!$C$10-'Invoer gegevens'!$C$11,IF(C96=1,P95,0))</f>
        <v>0</v>
      </c>
      <c r="N96" s="86">
        <f ca="1">IF(C96&lt;1,0,IF(Reeksen!AD96&lt;=Reeksen!AE96,M96*Reeksen!C96,0))</f>
        <v>0</v>
      </c>
      <c r="O96" s="86">
        <f ca="1">IF(C96&lt;1,0,IF(Reeksen!AD96&gt;Reeksen!AE96,M96*Reeksen!C96,0))</f>
        <v>0</v>
      </c>
      <c r="P96" s="86">
        <f t="shared" ca="1" si="14"/>
        <v>0</v>
      </c>
      <c r="Q96" s="82">
        <f ca="1">IF('Invoer gegevens'!$C$17=E96,I96,IF(C96=0,0,R95))</f>
        <v>0</v>
      </c>
      <c r="R96" s="84">
        <f t="shared" ca="1" si="11"/>
        <v>0</v>
      </c>
      <c r="S96" s="84">
        <f ca="1">IF('Invoer gegevens'!$C$17=E96,M96,IF(C96=0,0,T95))</f>
        <v>0</v>
      </c>
      <c r="T96" s="84">
        <f t="shared" ca="1" si="20"/>
        <v>0</v>
      </c>
      <c r="AI96" s="71">
        <f ca="1">IF(C96=1,((F96+H96)/2*Reeksen!AI96*12)+(('Invoer gegevens'!$C$10-(F96+H96)/2)*Reeksen!AD96*12),0)</f>
        <v>0</v>
      </c>
      <c r="AJ96" s="71">
        <f ca="1">-AI96*'Invoer gegevens'!$F$28</f>
        <v>0</v>
      </c>
      <c r="AK96" s="71">
        <f t="shared" ca="1" si="15"/>
        <v>0</v>
      </c>
      <c r="AL96" s="71">
        <f ca="1">IF(C96=1,(12*((F96+H96)/2)*Reeksen!AL96)+(12*('Invoer gegevens'!$C$10-(F96+H96)/2)*Reeksen!AM96),0)</f>
        <v>0</v>
      </c>
      <c r="AM96" s="71">
        <f ca="1">-AL96*'Invoer gegevens'!$F$31</f>
        <v>0</v>
      </c>
      <c r="AN96" s="71">
        <f t="shared" ca="1" si="16"/>
        <v>0</v>
      </c>
      <c r="AO96" s="71"/>
      <c r="AP96" s="71"/>
      <c r="AQ96" s="71">
        <f ca="1">-IF(C96=1,('Invoer gegevens'!$C$10*'Invoer gegevens'!$F$35)*Reeksen!J96,0)*2</f>
        <v>0</v>
      </c>
      <c r="AR96" s="71">
        <f ca="1">-IF(C96=1,(G96*'Invoer gegevens'!$F$36)*Reeksen!J96,0)</f>
        <v>0</v>
      </c>
      <c r="AS96" s="71">
        <f ca="1">-IF(C96=1,'Invoer gegevens'!$C$10*'Invoer gegevens'!$F$37*Reeksen!L96,0)</f>
        <v>0</v>
      </c>
      <c r="AT96" s="71">
        <f ca="1">-IF(C96=1,IF(E96='Invoer gegevens'!$C$17,'Invoer gegevens'!$C$11,Q96)*Reeksen!S96*'Invoer gegevens'!$C$18*Reeksen!P96,0)</f>
        <v>0</v>
      </c>
      <c r="AU96" s="71">
        <f ca="1">-IF(C96=1,'Invoer gegevens'!$C$10*'Invoer gegevens'!$F$38*Reeksen!H96,0)</f>
        <v>0</v>
      </c>
      <c r="AV96" s="71">
        <f t="shared" si="21"/>
        <v>0</v>
      </c>
      <c r="AW96" s="71">
        <f t="shared" ca="1" si="17"/>
        <v>0</v>
      </c>
      <c r="AX96" s="71">
        <f ca="1">IF(E96&lt;'Invoer gegevens'!$C$17+15,0,IF('RW - MW - DE - DE'!E96&gt;'Invoer gegevens'!$C$17+215,0,'RW - MW - DE - DE'!AW96))</f>
        <v>0</v>
      </c>
      <c r="AY96" s="71">
        <f ca="1">AX96/(1+'Invoer gegevens'!$F$13)^($AZ96-('Invoer gegevens'!$C$17-'Invoer gegevens'!$C$16))/(1+'Invoer gegevens'!$C$39)^('Invoer gegevens'!$C$17-'Invoer gegevens'!$C$16)</f>
        <v>0</v>
      </c>
      <c r="AZ96" s="68">
        <f ca="1">IF(E96-'Invoer gegevens'!$C$17-14.5&lt;0,0,E96-'Invoer gegevens'!$C$17-14.5)</f>
        <v>76.5</v>
      </c>
      <c r="BC96" s="71"/>
    </row>
    <row r="97" spans="2:55" customFormat="1" x14ac:dyDescent="0.25">
      <c r="B97" s="70">
        <f t="shared" si="18"/>
        <v>93</v>
      </c>
      <c r="C97" s="67">
        <f ca="1">IF(E97-'Invoer gegevens'!$C$17&lt;0,0,1)</f>
        <v>1</v>
      </c>
      <c r="D97" s="68">
        <f t="shared" si="19"/>
        <v>92.5</v>
      </c>
      <c r="E97" s="69">
        <f ca="1">IF('Invoer gegevens'!$C$16="","",E96+1)</f>
        <v>2111</v>
      </c>
      <c r="F97" s="82">
        <f ca="1">IF('Invoer gegevens'!$C$17=E97,'Invoer gegevens'!$C$10,IF(C97=1,H96,0))</f>
        <v>0</v>
      </c>
      <c r="G97" s="83">
        <f ca="1">IF(C97&gt;=1,F97*Reeksen!C97,0)</f>
        <v>0</v>
      </c>
      <c r="H97" s="84">
        <f t="shared" ca="1" si="12"/>
        <v>0</v>
      </c>
      <c r="I97" s="85">
        <f ca="1">IF('Invoer gegevens'!$C$17=E97,'Invoer gegevens'!$C$11,IF(C97=1,L96,0))</f>
        <v>0</v>
      </c>
      <c r="J97" s="86">
        <f ca="1">IF(C97&lt;1,0,IF(Reeksen!AD97&lt;=Reeksen!AE97,I97*Reeksen!C97,0))</f>
        <v>0</v>
      </c>
      <c r="K97" s="86">
        <f ca="1">IF(C97&lt;1,0,IF(Reeksen!AD97&gt;Reeksen!AE97,I97*Reeksen!C97,0))</f>
        <v>0</v>
      </c>
      <c r="L97" s="86">
        <f t="shared" ca="1" si="13"/>
        <v>0</v>
      </c>
      <c r="M97" s="85">
        <f ca="1">IF('Invoer gegevens'!$C$17=E97,'Invoer gegevens'!$C$10-'Invoer gegevens'!$C$11,IF(C97=1,P96,0))</f>
        <v>0</v>
      </c>
      <c r="N97" s="86">
        <f ca="1">IF(C97&lt;1,0,IF(Reeksen!AD97&lt;=Reeksen!AE97,M97*Reeksen!C97,0))</f>
        <v>0</v>
      </c>
      <c r="O97" s="86">
        <f ca="1">IF(C97&lt;1,0,IF(Reeksen!AD97&gt;Reeksen!AE97,M97*Reeksen!C97,0))</f>
        <v>0</v>
      </c>
      <c r="P97" s="86">
        <f t="shared" ca="1" si="14"/>
        <v>0</v>
      </c>
      <c r="Q97" s="82">
        <f ca="1">IF('Invoer gegevens'!$C$17=E97,I97,IF(C97=0,0,R96))</f>
        <v>0</v>
      </c>
      <c r="R97" s="84">
        <f t="shared" ca="1" si="11"/>
        <v>0</v>
      </c>
      <c r="S97" s="84">
        <f ca="1">IF('Invoer gegevens'!$C$17=E97,M97,IF(C97=0,0,T96))</f>
        <v>0</v>
      </c>
      <c r="T97" s="84">
        <f t="shared" ca="1" si="20"/>
        <v>0</v>
      </c>
      <c r="AI97" s="71">
        <f ca="1">IF(C97=1,((F97+H97)/2*Reeksen!AI97*12)+(('Invoer gegevens'!$C$10-(F97+H97)/2)*Reeksen!AD97*12),0)</f>
        <v>0</v>
      </c>
      <c r="AJ97" s="71">
        <f ca="1">-AI97*'Invoer gegevens'!$F$28</f>
        <v>0</v>
      </c>
      <c r="AK97" s="71">
        <f t="shared" ca="1" si="15"/>
        <v>0</v>
      </c>
      <c r="AL97" s="71">
        <f ca="1">IF(C97=1,(12*((F97+H97)/2)*Reeksen!AL97)+(12*('Invoer gegevens'!$C$10-(F97+H97)/2)*Reeksen!AM97),0)</f>
        <v>0</v>
      </c>
      <c r="AM97" s="71">
        <f ca="1">-AL97*'Invoer gegevens'!$F$31</f>
        <v>0</v>
      </c>
      <c r="AN97" s="71">
        <f t="shared" ca="1" si="16"/>
        <v>0</v>
      </c>
      <c r="AO97" s="71"/>
      <c r="AP97" s="71"/>
      <c r="AQ97" s="71">
        <f ca="1">-IF(C97=1,('Invoer gegevens'!$C$10*'Invoer gegevens'!$F$35)*Reeksen!J97,0)*2</f>
        <v>0</v>
      </c>
      <c r="AR97" s="71">
        <f ca="1">-IF(C97=1,(G97*'Invoer gegevens'!$F$36)*Reeksen!J97,0)</f>
        <v>0</v>
      </c>
      <c r="AS97" s="71">
        <f ca="1">-IF(C97=1,'Invoer gegevens'!$C$10*'Invoer gegevens'!$F$37*Reeksen!L97,0)</f>
        <v>0</v>
      </c>
      <c r="AT97" s="71">
        <f ca="1">-IF(C97=1,IF(E97='Invoer gegevens'!$C$17,'Invoer gegevens'!$C$11,Q97)*Reeksen!S97*'Invoer gegevens'!$C$18*Reeksen!P97,0)</f>
        <v>0</v>
      </c>
      <c r="AU97" s="71">
        <f ca="1">-IF(C97=1,'Invoer gegevens'!$C$10*'Invoer gegevens'!$F$38*Reeksen!H97,0)</f>
        <v>0</v>
      </c>
      <c r="AV97" s="71">
        <f t="shared" si="21"/>
        <v>0</v>
      </c>
      <c r="AW97" s="71">
        <f t="shared" ca="1" si="17"/>
        <v>0</v>
      </c>
      <c r="AX97" s="71">
        <f ca="1">IF(E97&lt;'Invoer gegevens'!$C$17+15,0,IF('RW - MW - DE - DE'!E97&gt;'Invoer gegevens'!$C$17+215,0,'RW - MW - DE - DE'!AW97))</f>
        <v>0</v>
      </c>
      <c r="AY97" s="71">
        <f ca="1">AX97/(1+'Invoer gegevens'!$F$13)^($AZ97-('Invoer gegevens'!$C$17-'Invoer gegevens'!$C$16))/(1+'Invoer gegevens'!$C$39)^('Invoer gegevens'!$C$17-'Invoer gegevens'!$C$16)</f>
        <v>0</v>
      </c>
      <c r="AZ97" s="68">
        <f ca="1">IF(E97-'Invoer gegevens'!$C$17-14.5&lt;0,0,E97-'Invoer gegevens'!$C$17-14.5)</f>
        <v>77.5</v>
      </c>
      <c r="BC97" s="71"/>
    </row>
    <row r="98" spans="2:55" customFormat="1" x14ac:dyDescent="0.25">
      <c r="B98" s="70">
        <f t="shared" si="18"/>
        <v>94</v>
      </c>
      <c r="C98" s="67">
        <f ca="1">IF(E98-'Invoer gegevens'!$C$17&lt;0,0,1)</f>
        <v>1</v>
      </c>
      <c r="D98" s="68">
        <f t="shared" si="19"/>
        <v>93.5</v>
      </c>
      <c r="E98" s="69">
        <f ca="1">IF('Invoer gegevens'!$C$16="","",E97+1)</f>
        <v>2112</v>
      </c>
      <c r="F98" s="82">
        <f ca="1">IF('Invoer gegevens'!$C$17=E98,'Invoer gegevens'!$C$10,IF(C98=1,H97,0))</f>
        <v>0</v>
      </c>
      <c r="G98" s="83">
        <f ca="1">IF(C98&gt;=1,F98*Reeksen!C98,0)</f>
        <v>0</v>
      </c>
      <c r="H98" s="84">
        <f t="shared" ca="1" si="12"/>
        <v>0</v>
      </c>
      <c r="I98" s="85">
        <f ca="1">IF('Invoer gegevens'!$C$17=E98,'Invoer gegevens'!$C$11,IF(C98=1,L97,0))</f>
        <v>0</v>
      </c>
      <c r="J98" s="86">
        <f ca="1">IF(C98&lt;1,0,IF(Reeksen!AD98&lt;=Reeksen!AE98,I98*Reeksen!C98,0))</f>
        <v>0</v>
      </c>
      <c r="K98" s="86">
        <f ca="1">IF(C98&lt;1,0,IF(Reeksen!AD98&gt;Reeksen!AE98,I98*Reeksen!C98,0))</f>
        <v>0</v>
      </c>
      <c r="L98" s="86">
        <f t="shared" ca="1" si="13"/>
        <v>0</v>
      </c>
      <c r="M98" s="85">
        <f ca="1">IF('Invoer gegevens'!$C$17=E98,'Invoer gegevens'!$C$10-'Invoer gegevens'!$C$11,IF(C98=1,P97,0))</f>
        <v>0</v>
      </c>
      <c r="N98" s="86">
        <f ca="1">IF(C98&lt;1,0,IF(Reeksen!AD98&lt;=Reeksen!AE98,M98*Reeksen!C98,0))</f>
        <v>0</v>
      </c>
      <c r="O98" s="86">
        <f ca="1">IF(C98&lt;1,0,IF(Reeksen!AD98&gt;Reeksen!AE98,M98*Reeksen!C98,0))</f>
        <v>0</v>
      </c>
      <c r="P98" s="86">
        <f t="shared" ca="1" si="14"/>
        <v>0</v>
      </c>
      <c r="Q98" s="82">
        <f ca="1">IF('Invoer gegevens'!$C$17=E98,I98,IF(C98=0,0,R97))</f>
        <v>0</v>
      </c>
      <c r="R98" s="84">
        <f t="shared" ca="1" si="11"/>
        <v>0</v>
      </c>
      <c r="S98" s="84">
        <f ca="1">IF('Invoer gegevens'!$C$17=E98,M98,IF(C98=0,0,T97))</f>
        <v>0</v>
      </c>
      <c r="T98" s="84">
        <f t="shared" ca="1" si="20"/>
        <v>0</v>
      </c>
      <c r="AI98" s="71">
        <f ca="1">IF(C98=1,((F98+H98)/2*Reeksen!AI98*12)+(('Invoer gegevens'!$C$10-(F98+H98)/2)*Reeksen!AD98*12),0)</f>
        <v>0</v>
      </c>
      <c r="AJ98" s="71">
        <f ca="1">-AI98*'Invoer gegevens'!$F$28</f>
        <v>0</v>
      </c>
      <c r="AK98" s="71">
        <f t="shared" ca="1" si="15"/>
        <v>0</v>
      </c>
      <c r="AL98" s="71">
        <f ca="1">IF(C98=1,(12*((F98+H98)/2)*Reeksen!AL98)+(12*('Invoer gegevens'!$C$10-(F98+H98)/2)*Reeksen!AM98),0)</f>
        <v>0</v>
      </c>
      <c r="AM98" s="71">
        <f ca="1">-AL98*'Invoer gegevens'!$F$31</f>
        <v>0</v>
      </c>
      <c r="AN98" s="71">
        <f t="shared" ca="1" si="16"/>
        <v>0</v>
      </c>
      <c r="AO98" s="71"/>
      <c r="AP98" s="71"/>
      <c r="AQ98" s="71">
        <f ca="1">-IF(C98=1,('Invoer gegevens'!$C$10*'Invoer gegevens'!$F$35)*Reeksen!J98,0)*2</f>
        <v>0</v>
      </c>
      <c r="AR98" s="71">
        <f ca="1">-IF(C98=1,(G98*'Invoer gegevens'!$F$36)*Reeksen!J98,0)</f>
        <v>0</v>
      </c>
      <c r="AS98" s="71">
        <f ca="1">-IF(C98=1,'Invoer gegevens'!$C$10*'Invoer gegevens'!$F$37*Reeksen!L98,0)</f>
        <v>0</v>
      </c>
      <c r="AT98" s="71">
        <f ca="1">-IF(C98=1,IF(E98='Invoer gegevens'!$C$17,'Invoer gegevens'!$C$11,Q98)*Reeksen!S98*'Invoer gegevens'!$C$18*Reeksen!P98,0)</f>
        <v>0</v>
      </c>
      <c r="AU98" s="71">
        <f ca="1">-IF(C98=1,'Invoer gegevens'!$C$10*'Invoer gegevens'!$F$38*Reeksen!H98,0)</f>
        <v>0</v>
      </c>
      <c r="AV98" s="71">
        <f t="shared" si="21"/>
        <v>0</v>
      </c>
      <c r="AW98" s="71">
        <f t="shared" ca="1" si="17"/>
        <v>0</v>
      </c>
      <c r="AX98" s="71">
        <f ca="1">IF(E98&lt;'Invoer gegevens'!$C$17+15,0,IF('RW - MW - DE - DE'!E98&gt;'Invoer gegevens'!$C$17+215,0,'RW - MW - DE - DE'!AW98))</f>
        <v>0</v>
      </c>
      <c r="AY98" s="71">
        <f ca="1">AX98/(1+'Invoer gegevens'!$F$13)^($AZ98-('Invoer gegevens'!$C$17-'Invoer gegevens'!$C$16))/(1+'Invoer gegevens'!$C$39)^('Invoer gegevens'!$C$17-'Invoer gegevens'!$C$16)</f>
        <v>0</v>
      </c>
      <c r="AZ98" s="68">
        <f ca="1">IF(E98-'Invoer gegevens'!$C$17-14.5&lt;0,0,E98-'Invoer gegevens'!$C$17-14.5)</f>
        <v>78.5</v>
      </c>
      <c r="BC98" s="71"/>
    </row>
    <row r="99" spans="2:55" customFormat="1" x14ac:dyDescent="0.25">
      <c r="B99" s="70">
        <f t="shared" si="18"/>
        <v>95</v>
      </c>
      <c r="C99" s="67">
        <f ca="1">IF(E99-'Invoer gegevens'!$C$17&lt;0,0,1)</f>
        <v>1</v>
      </c>
      <c r="D99" s="68">
        <f t="shared" si="19"/>
        <v>94.5</v>
      </c>
      <c r="E99" s="69">
        <f ca="1">IF('Invoer gegevens'!$C$16="","",E98+1)</f>
        <v>2113</v>
      </c>
      <c r="F99" s="82">
        <f ca="1">IF('Invoer gegevens'!$C$17=E99,'Invoer gegevens'!$C$10,IF(C99=1,H98,0))</f>
        <v>0</v>
      </c>
      <c r="G99" s="83">
        <f ca="1">IF(C99&gt;=1,F99*Reeksen!C99,0)</f>
        <v>0</v>
      </c>
      <c r="H99" s="84">
        <f t="shared" ca="1" si="12"/>
        <v>0</v>
      </c>
      <c r="I99" s="85">
        <f ca="1">IF('Invoer gegevens'!$C$17=E99,'Invoer gegevens'!$C$11,IF(C99=1,L98,0))</f>
        <v>0</v>
      </c>
      <c r="J99" s="86">
        <f ca="1">IF(C99&lt;1,0,IF(Reeksen!AD99&lt;=Reeksen!AE99,I99*Reeksen!C99,0))</f>
        <v>0</v>
      </c>
      <c r="K99" s="86">
        <f ca="1">IF(C99&lt;1,0,IF(Reeksen!AD99&gt;Reeksen!AE99,I99*Reeksen!C99,0))</f>
        <v>0</v>
      </c>
      <c r="L99" s="86">
        <f t="shared" ca="1" si="13"/>
        <v>0</v>
      </c>
      <c r="M99" s="85">
        <f ca="1">IF('Invoer gegevens'!$C$17=E99,'Invoer gegevens'!$C$10-'Invoer gegevens'!$C$11,IF(C99=1,P98,0))</f>
        <v>0</v>
      </c>
      <c r="N99" s="86">
        <f ca="1">IF(C99&lt;1,0,IF(Reeksen!AD99&lt;=Reeksen!AE99,M99*Reeksen!C99,0))</f>
        <v>0</v>
      </c>
      <c r="O99" s="86">
        <f ca="1">IF(C99&lt;1,0,IF(Reeksen!AD99&gt;Reeksen!AE99,M99*Reeksen!C99,0))</f>
        <v>0</v>
      </c>
      <c r="P99" s="86">
        <f t="shared" ca="1" si="14"/>
        <v>0</v>
      </c>
      <c r="Q99" s="82">
        <f ca="1">IF('Invoer gegevens'!$C$17=E99,I99,IF(C99=0,0,R98))</f>
        <v>0</v>
      </c>
      <c r="R99" s="84">
        <f t="shared" ca="1" si="11"/>
        <v>0</v>
      </c>
      <c r="S99" s="84">
        <f ca="1">IF('Invoer gegevens'!$C$17=E99,M99,IF(C99=0,0,T98))</f>
        <v>0</v>
      </c>
      <c r="T99" s="84">
        <f t="shared" ca="1" si="20"/>
        <v>0</v>
      </c>
      <c r="AI99" s="71">
        <f ca="1">IF(C99=1,((F99+H99)/2*Reeksen!AI99*12)+(('Invoer gegevens'!$C$10-(F99+H99)/2)*Reeksen!AD99*12),0)</f>
        <v>0</v>
      </c>
      <c r="AJ99" s="71">
        <f ca="1">-AI99*'Invoer gegevens'!$F$28</f>
        <v>0</v>
      </c>
      <c r="AK99" s="71">
        <f t="shared" ca="1" si="15"/>
        <v>0</v>
      </c>
      <c r="AL99" s="71">
        <f ca="1">IF(C99=1,(12*((F99+H99)/2)*Reeksen!AL99)+(12*('Invoer gegevens'!$C$10-(F99+H99)/2)*Reeksen!AM99),0)</f>
        <v>0</v>
      </c>
      <c r="AM99" s="71">
        <f ca="1">-AL99*'Invoer gegevens'!$F$31</f>
        <v>0</v>
      </c>
      <c r="AN99" s="71">
        <f t="shared" ca="1" si="16"/>
        <v>0</v>
      </c>
      <c r="AO99" s="71"/>
      <c r="AP99" s="71"/>
      <c r="AQ99" s="71">
        <f ca="1">-IF(C99=1,('Invoer gegevens'!$C$10*'Invoer gegevens'!$F$35)*Reeksen!J99,0)*2</f>
        <v>0</v>
      </c>
      <c r="AR99" s="71">
        <f ca="1">-IF(C99=1,(G99*'Invoer gegevens'!$F$36)*Reeksen!J99,0)</f>
        <v>0</v>
      </c>
      <c r="AS99" s="71">
        <f ca="1">-IF(C99=1,'Invoer gegevens'!$C$10*'Invoer gegevens'!$F$37*Reeksen!L99,0)</f>
        <v>0</v>
      </c>
      <c r="AT99" s="71">
        <f ca="1">-IF(C99=1,IF(E99='Invoer gegevens'!$C$17,'Invoer gegevens'!$C$11,Q99)*Reeksen!S99*'Invoer gegevens'!$C$18*Reeksen!P99,0)</f>
        <v>0</v>
      </c>
      <c r="AU99" s="71">
        <f ca="1">-IF(C99=1,'Invoer gegevens'!$C$10*'Invoer gegevens'!$F$38*Reeksen!H99,0)</f>
        <v>0</v>
      </c>
      <c r="AV99" s="71">
        <f t="shared" si="21"/>
        <v>0</v>
      </c>
      <c r="AW99" s="71">
        <f t="shared" ca="1" si="17"/>
        <v>0</v>
      </c>
      <c r="AX99" s="71">
        <f ca="1">IF(E99&lt;'Invoer gegevens'!$C$17+15,0,IF('RW - MW - DE - DE'!E99&gt;'Invoer gegevens'!$C$17+215,0,'RW - MW - DE - DE'!AW99))</f>
        <v>0</v>
      </c>
      <c r="AY99" s="71">
        <f ca="1">AX99/(1+'Invoer gegevens'!$F$13)^($AZ99-('Invoer gegevens'!$C$17-'Invoer gegevens'!$C$16))/(1+'Invoer gegevens'!$C$39)^('Invoer gegevens'!$C$17-'Invoer gegevens'!$C$16)</f>
        <v>0</v>
      </c>
      <c r="AZ99" s="68">
        <f ca="1">IF(E99-'Invoer gegevens'!$C$17-14.5&lt;0,0,E99-'Invoer gegevens'!$C$17-14.5)</f>
        <v>79.5</v>
      </c>
      <c r="BC99" s="71"/>
    </row>
    <row r="100" spans="2:55" customFormat="1" x14ac:dyDescent="0.25">
      <c r="B100" s="70">
        <f t="shared" si="18"/>
        <v>96</v>
      </c>
      <c r="C100" s="67">
        <f ca="1">IF(E100-'Invoer gegevens'!$C$17&lt;0,0,1)</f>
        <v>1</v>
      </c>
      <c r="D100" s="68">
        <f t="shared" si="19"/>
        <v>95.5</v>
      </c>
      <c r="E100" s="69">
        <f ca="1">IF('Invoer gegevens'!$C$16="","",E99+1)</f>
        <v>2114</v>
      </c>
      <c r="F100" s="82">
        <f ca="1">IF('Invoer gegevens'!$C$17=E100,'Invoer gegevens'!$C$10,IF(C100=1,H99,0))</f>
        <v>0</v>
      </c>
      <c r="G100" s="83">
        <f ca="1">IF(C100&gt;=1,F100*Reeksen!C100,0)</f>
        <v>0</v>
      </c>
      <c r="H100" s="84">
        <f t="shared" ca="1" si="12"/>
        <v>0</v>
      </c>
      <c r="I100" s="85">
        <f ca="1">IF('Invoer gegevens'!$C$17=E100,'Invoer gegevens'!$C$11,IF(C100=1,L99,0))</f>
        <v>0</v>
      </c>
      <c r="J100" s="86">
        <f ca="1">IF(C100&lt;1,0,IF(Reeksen!AD100&lt;=Reeksen!AE100,I100*Reeksen!C100,0))</f>
        <v>0</v>
      </c>
      <c r="K100" s="86">
        <f ca="1">IF(C100&lt;1,0,IF(Reeksen!AD100&gt;Reeksen!AE100,I100*Reeksen!C100,0))</f>
        <v>0</v>
      </c>
      <c r="L100" s="86">
        <f t="shared" ca="1" si="13"/>
        <v>0</v>
      </c>
      <c r="M100" s="85">
        <f ca="1">IF('Invoer gegevens'!$C$17=E100,'Invoer gegevens'!$C$10-'Invoer gegevens'!$C$11,IF(C100=1,P99,0))</f>
        <v>0</v>
      </c>
      <c r="N100" s="86">
        <f ca="1">IF(C100&lt;1,0,IF(Reeksen!AD100&lt;=Reeksen!AE100,M100*Reeksen!C100,0))</f>
        <v>0</v>
      </c>
      <c r="O100" s="86">
        <f ca="1">IF(C100&lt;1,0,IF(Reeksen!AD100&gt;Reeksen!AE100,M100*Reeksen!C100,0))</f>
        <v>0</v>
      </c>
      <c r="P100" s="86">
        <f t="shared" ca="1" si="14"/>
        <v>0</v>
      </c>
      <c r="Q100" s="82">
        <f ca="1">IF('Invoer gegevens'!$C$17=E100,I100,IF(C100=0,0,R99))</f>
        <v>0</v>
      </c>
      <c r="R100" s="84">
        <f t="shared" ca="1" si="11"/>
        <v>0</v>
      </c>
      <c r="S100" s="84">
        <f ca="1">IF('Invoer gegevens'!$C$17=E100,M100,IF(C100=0,0,T99))</f>
        <v>0</v>
      </c>
      <c r="T100" s="84">
        <f t="shared" ca="1" si="20"/>
        <v>0</v>
      </c>
      <c r="AI100" s="71">
        <f ca="1">IF(C100=1,((F100+H100)/2*Reeksen!AI100*12)+(('Invoer gegevens'!$C$10-(F100+H100)/2)*Reeksen!AD100*12),0)</f>
        <v>0</v>
      </c>
      <c r="AJ100" s="71">
        <f ca="1">-AI100*'Invoer gegevens'!$F$28</f>
        <v>0</v>
      </c>
      <c r="AK100" s="71">
        <f t="shared" ca="1" si="15"/>
        <v>0</v>
      </c>
      <c r="AL100" s="71">
        <f ca="1">IF(C100=1,(12*((F100+H100)/2)*Reeksen!AL100)+(12*('Invoer gegevens'!$C$10-(F100+H100)/2)*Reeksen!AM100),0)</f>
        <v>0</v>
      </c>
      <c r="AM100" s="71">
        <f ca="1">-AL100*'Invoer gegevens'!$F$31</f>
        <v>0</v>
      </c>
      <c r="AN100" s="71">
        <f t="shared" ca="1" si="16"/>
        <v>0</v>
      </c>
      <c r="AO100" s="71"/>
      <c r="AP100" s="71"/>
      <c r="AQ100" s="71">
        <f ca="1">-IF(C100=1,('Invoer gegevens'!$C$10*'Invoer gegevens'!$F$35)*Reeksen!J100,0)*2</f>
        <v>0</v>
      </c>
      <c r="AR100" s="71">
        <f ca="1">-IF(C100=1,(G100*'Invoer gegevens'!$F$36)*Reeksen!J100,0)</f>
        <v>0</v>
      </c>
      <c r="AS100" s="71">
        <f ca="1">-IF(C100=1,'Invoer gegevens'!$C$10*'Invoer gegevens'!$F$37*Reeksen!L100,0)</f>
        <v>0</v>
      </c>
      <c r="AT100" s="71">
        <f ca="1">-IF(C100=1,IF(E100='Invoer gegevens'!$C$17,'Invoer gegevens'!$C$11,Q100)*Reeksen!S100*'Invoer gegevens'!$C$18*Reeksen!P100,0)</f>
        <v>0</v>
      </c>
      <c r="AU100" s="71">
        <f ca="1">-IF(C100=1,'Invoer gegevens'!$C$10*'Invoer gegevens'!$F$38*Reeksen!H100,0)</f>
        <v>0</v>
      </c>
      <c r="AV100" s="71">
        <f t="shared" si="21"/>
        <v>0</v>
      </c>
      <c r="AW100" s="71">
        <f t="shared" ca="1" si="17"/>
        <v>0</v>
      </c>
      <c r="AX100" s="71">
        <f ca="1">IF(E100&lt;'Invoer gegevens'!$C$17+15,0,IF('RW - MW - DE - DE'!E100&gt;'Invoer gegevens'!$C$17+215,0,'RW - MW - DE - DE'!AW100))</f>
        <v>0</v>
      </c>
      <c r="AY100" s="71">
        <f ca="1">AX100/(1+'Invoer gegevens'!$F$13)^($AZ100-('Invoer gegevens'!$C$17-'Invoer gegevens'!$C$16))/(1+'Invoer gegevens'!$C$39)^('Invoer gegevens'!$C$17-'Invoer gegevens'!$C$16)</f>
        <v>0</v>
      </c>
      <c r="AZ100" s="68">
        <f ca="1">IF(E100-'Invoer gegevens'!$C$17-14.5&lt;0,0,E100-'Invoer gegevens'!$C$17-14.5)</f>
        <v>80.5</v>
      </c>
      <c r="BC100" s="71"/>
    </row>
    <row r="101" spans="2:55" customFormat="1" x14ac:dyDescent="0.25">
      <c r="B101" s="70">
        <f t="shared" si="18"/>
        <v>97</v>
      </c>
      <c r="C101" s="67">
        <f ca="1">IF(E101-'Invoer gegevens'!$C$17&lt;0,0,1)</f>
        <v>1</v>
      </c>
      <c r="D101" s="68">
        <f t="shared" si="19"/>
        <v>96.5</v>
      </c>
      <c r="E101" s="69">
        <f ca="1">IF('Invoer gegevens'!$C$16="","",E100+1)</f>
        <v>2115</v>
      </c>
      <c r="F101" s="82">
        <f ca="1">IF('Invoer gegevens'!$C$17=E101,'Invoer gegevens'!$C$10,IF(C101=1,H100,0))</f>
        <v>0</v>
      </c>
      <c r="G101" s="83">
        <f ca="1">IF(C101&gt;=1,F101*Reeksen!C101,0)</f>
        <v>0</v>
      </c>
      <c r="H101" s="84">
        <f t="shared" ca="1" si="12"/>
        <v>0</v>
      </c>
      <c r="I101" s="85">
        <f ca="1">IF('Invoer gegevens'!$C$17=E101,'Invoer gegevens'!$C$11,IF(C101=1,L100,0))</f>
        <v>0</v>
      </c>
      <c r="J101" s="86">
        <f ca="1">IF(C101&lt;1,0,IF(Reeksen!AD101&lt;=Reeksen!AE101,I101*Reeksen!C101,0))</f>
        <v>0</v>
      </c>
      <c r="K101" s="86">
        <f ca="1">IF(C101&lt;1,0,IF(Reeksen!AD101&gt;Reeksen!AE101,I101*Reeksen!C101,0))</f>
        <v>0</v>
      </c>
      <c r="L101" s="86">
        <f t="shared" ca="1" si="13"/>
        <v>0</v>
      </c>
      <c r="M101" s="85">
        <f ca="1">IF('Invoer gegevens'!$C$17=E101,'Invoer gegevens'!$C$10-'Invoer gegevens'!$C$11,IF(C101=1,P100,0))</f>
        <v>0</v>
      </c>
      <c r="N101" s="86">
        <f ca="1">IF(C101&lt;1,0,IF(Reeksen!AD101&lt;=Reeksen!AE101,M101*Reeksen!C101,0))</f>
        <v>0</v>
      </c>
      <c r="O101" s="86">
        <f ca="1">IF(C101&lt;1,0,IF(Reeksen!AD101&gt;Reeksen!AE101,M101*Reeksen!C101,0))</f>
        <v>0</v>
      </c>
      <c r="P101" s="86">
        <f t="shared" ca="1" si="14"/>
        <v>0</v>
      </c>
      <c r="Q101" s="82">
        <f ca="1">IF('Invoer gegevens'!$C$17=E101,I101,IF(C101=0,0,R100))</f>
        <v>0</v>
      </c>
      <c r="R101" s="84">
        <f t="shared" ca="1" si="11"/>
        <v>0</v>
      </c>
      <c r="S101" s="84">
        <f ca="1">IF('Invoer gegevens'!$C$17=E101,M101,IF(C101=0,0,T100))</f>
        <v>0</v>
      </c>
      <c r="T101" s="84">
        <f t="shared" ca="1" si="20"/>
        <v>0</v>
      </c>
      <c r="AI101" s="71">
        <f ca="1">IF(C101=1,((F101+H101)/2*Reeksen!AI101*12)+(('Invoer gegevens'!$C$10-(F101+H101)/2)*Reeksen!AD101*12),0)</f>
        <v>0</v>
      </c>
      <c r="AJ101" s="71">
        <f ca="1">-AI101*'Invoer gegevens'!$F$28</f>
        <v>0</v>
      </c>
      <c r="AK101" s="71">
        <f t="shared" ca="1" si="15"/>
        <v>0</v>
      </c>
      <c r="AL101" s="71">
        <f ca="1">IF(C101=1,(12*((F101+H101)/2)*Reeksen!AL101)+(12*('Invoer gegevens'!$C$10-(F101+H101)/2)*Reeksen!AM101),0)</f>
        <v>0</v>
      </c>
      <c r="AM101" s="71">
        <f ca="1">-AL101*'Invoer gegevens'!$F$31</f>
        <v>0</v>
      </c>
      <c r="AN101" s="71">
        <f t="shared" ca="1" si="16"/>
        <v>0</v>
      </c>
      <c r="AO101" s="71"/>
      <c r="AP101" s="71"/>
      <c r="AQ101" s="71">
        <f ca="1">-IF(C101=1,('Invoer gegevens'!$C$10*'Invoer gegevens'!$F$35)*Reeksen!J101,0)*2</f>
        <v>0</v>
      </c>
      <c r="AR101" s="71">
        <f ca="1">-IF(C101=1,(G101*'Invoer gegevens'!$F$36)*Reeksen!J101,0)</f>
        <v>0</v>
      </c>
      <c r="AS101" s="71">
        <f ca="1">-IF(C101=1,'Invoer gegevens'!$C$10*'Invoer gegevens'!$F$37*Reeksen!L101,0)</f>
        <v>0</v>
      </c>
      <c r="AT101" s="71">
        <f ca="1">-IF(C101=1,IF(E101='Invoer gegevens'!$C$17,'Invoer gegevens'!$C$11,Q101)*Reeksen!S101*'Invoer gegevens'!$C$18*Reeksen!P101,0)</f>
        <v>0</v>
      </c>
      <c r="AU101" s="71">
        <f ca="1">-IF(C101=1,'Invoer gegevens'!$C$10*'Invoer gegevens'!$F$38*Reeksen!H101,0)</f>
        <v>0</v>
      </c>
      <c r="AV101" s="71">
        <f t="shared" si="21"/>
        <v>0</v>
      </c>
      <c r="AW101" s="71">
        <f t="shared" ca="1" si="17"/>
        <v>0</v>
      </c>
      <c r="AX101" s="71">
        <f ca="1">IF(E101&lt;'Invoer gegevens'!$C$17+15,0,IF('RW - MW - DE - DE'!E101&gt;'Invoer gegevens'!$C$17+215,0,'RW - MW - DE - DE'!AW101))</f>
        <v>0</v>
      </c>
      <c r="AY101" s="71">
        <f ca="1">AX101/(1+'Invoer gegevens'!$F$13)^($AZ101-('Invoer gegevens'!$C$17-'Invoer gegevens'!$C$16))/(1+'Invoer gegevens'!$C$39)^('Invoer gegevens'!$C$17-'Invoer gegevens'!$C$16)</f>
        <v>0</v>
      </c>
      <c r="AZ101" s="68">
        <f ca="1">IF(E101-'Invoer gegevens'!$C$17-14.5&lt;0,0,E101-'Invoer gegevens'!$C$17-14.5)</f>
        <v>81.5</v>
      </c>
      <c r="BC101" s="71"/>
    </row>
    <row r="102" spans="2:55" customFormat="1" x14ac:dyDescent="0.25">
      <c r="B102" s="70">
        <f t="shared" si="18"/>
        <v>98</v>
      </c>
      <c r="C102" s="67">
        <f ca="1">IF(E102-'Invoer gegevens'!$C$17&lt;0,0,1)</f>
        <v>1</v>
      </c>
      <c r="D102" s="68">
        <f t="shared" si="19"/>
        <v>97.5</v>
      </c>
      <c r="E102" s="69">
        <f ca="1">IF('Invoer gegevens'!$C$16="","",E101+1)</f>
        <v>2116</v>
      </c>
      <c r="F102" s="82">
        <f ca="1">IF('Invoer gegevens'!$C$17=E102,'Invoer gegevens'!$C$10,IF(C102=1,H101,0))</f>
        <v>0</v>
      </c>
      <c r="G102" s="83">
        <f ca="1">IF(C102&gt;=1,F102*Reeksen!C102,0)</f>
        <v>0</v>
      </c>
      <c r="H102" s="84">
        <f t="shared" ca="1" si="12"/>
        <v>0</v>
      </c>
      <c r="I102" s="85">
        <f ca="1">IF('Invoer gegevens'!$C$17=E102,'Invoer gegevens'!$C$11,IF(C102=1,L101,0))</f>
        <v>0</v>
      </c>
      <c r="J102" s="86">
        <f ca="1">IF(C102&lt;1,0,IF(Reeksen!AD102&lt;=Reeksen!AE102,I102*Reeksen!C102,0))</f>
        <v>0</v>
      </c>
      <c r="K102" s="86">
        <f ca="1">IF(C102&lt;1,0,IF(Reeksen!AD102&gt;Reeksen!AE102,I102*Reeksen!C102,0))</f>
        <v>0</v>
      </c>
      <c r="L102" s="86">
        <f t="shared" ca="1" si="13"/>
        <v>0</v>
      </c>
      <c r="M102" s="85">
        <f ca="1">IF('Invoer gegevens'!$C$17=E102,'Invoer gegevens'!$C$10-'Invoer gegevens'!$C$11,IF(C102=1,P101,0))</f>
        <v>0</v>
      </c>
      <c r="N102" s="86">
        <f ca="1">IF(C102&lt;1,0,IF(Reeksen!AD102&lt;=Reeksen!AE102,M102*Reeksen!C102,0))</f>
        <v>0</v>
      </c>
      <c r="O102" s="86">
        <f ca="1">IF(C102&lt;1,0,IF(Reeksen!AD102&gt;Reeksen!AE102,M102*Reeksen!C102,0))</f>
        <v>0</v>
      </c>
      <c r="P102" s="86">
        <f t="shared" ca="1" si="14"/>
        <v>0</v>
      </c>
      <c r="Q102" s="82">
        <f ca="1">IF('Invoer gegevens'!$C$17=E102,I102,IF(C102=0,0,R101))</f>
        <v>0</v>
      </c>
      <c r="R102" s="84">
        <f t="shared" ca="1" si="11"/>
        <v>0</v>
      </c>
      <c r="S102" s="84">
        <f ca="1">IF('Invoer gegevens'!$C$17=E102,M102,IF(C102=0,0,T101))</f>
        <v>0</v>
      </c>
      <c r="T102" s="84">
        <f t="shared" ca="1" si="20"/>
        <v>0</v>
      </c>
      <c r="AI102" s="71">
        <f ca="1">IF(C102=1,((F102+H102)/2*Reeksen!AI102*12)+(('Invoer gegevens'!$C$10-(F102+H102)/2)*Reeksen!AD102*12),0)</f>
        <v>0</v>
      </c>
      <c r="AJ102" s="71">
        <f ca="1">-AI102*'Invoer gegevens'!$F$28</f>
        <v>0</v>
      </c>
      <c r="AK102" s="71">
        <f t="shared" ca="1" si="15"/>
        <v>0</v>
      </c>
      <c r="AL102" s="71">
        <f ca="1">IF(C102=1,(12*((F102+H102)/2)*Reeksen!AL102)+(12*('Invoer gegevens'!$C$10-(F102+H102)/2)*Reeksen!AM102),0)</f>
        <v>0</v>
      </c>
      <c r="AM102" s="71">
        <f ca="1">-AL102*'Invoer gegevens'!$F$31</f>
        <v>0</v>
      </c>
      <c r="AN102" s="71">
        <f t="shared" ca="1" si="16"/>
        <v>0</v>
      </c>
      <c r="AO102" s="71"/>
      <c r="AP102" s="71"/>
      <c r="AQ102" s="71">
        <f ca="1">-IF(C102=1,('Invoer gegevens'!$C$10*'Invoer gegevens'!$F$35)*Reeksen!J102,0)*2</f>
        <v>0</v>
      </c>
      <c r="AR102" s="71">
        <f ca="1">-IF(C102=1,(G102*'Invoer gegevens'!$F$36)*Reeksen!J102,0)</f>
        <v>0</v>
      </c>
      <c r="AS102" s="71">
        <f ca="1">-IF(C102=1,'Invoer gegevens'!$C$10*'Invoer gegevens'!$F$37*Reeksen!L102,0)</f>
        <v>0</v>
      </c>
      <c r="AT102" s="71">
        <f ca="1">-IF(C102=1,IF(E102='Invoer gegevens'!$C$17,'Invoer gegevens'!$C$11,Q102)*Reeksen!S102*'Invoer gegevens'!$C$18*Reeksen!P102,0)</f>
        <v>0</v>
      </c>
      <c r="AU102" s="71">
        <f ca="1">-IF(C102=1,'Invoer gegevens'!$C$10*'Invoer gegevens'!$F$38*Reeksen!H102,0)</f>
        <v>0</v>
      </c>
      <c r="AV102" s="71">
        <f t="shared" si="21"/>
        <v>0</v>
      </c>
      <c r="AW102" s="71">
        <f t="shared" ca="1" si="17"/>
        <v>0</v>
      </c>
      <c r="AX102" s="71">
        <f ca="1">IF(E102&lt;'Invoer gegevens'!$C$17+15,0,IF('RW - MW - DE - DE'!E102&gt;'Invoer gegevens'!$C$17+215,0,'RW - MW - DE - DE'!AW102))</f>
        <v>0</v>
      </c>
      <c r="AY102" s="71">
        <f ca="1">AX102/(1+'Invoer gegevens'!$F$13)^($AZ102-('Invoer gegevens'!$C$17-'Invoer gegevens'!$C$16))/(1+'Invoer gegevens'!$C$39)^('Invoer gegevens'!$C$17-'Invoer gegevens'!$C$16)</f>
        <v>0</v>
      </c>
      <c r="AZ102" s="68">
        <f ca="1">IF(E102-'Invoer gegevens'!$C$17-14.5&lt;0,0,E102-'Invoer gegevens'!$C$17-14.5)</f>
        <v>82.5</v>
      </c>
      <c r="BC102" s="71"/>
    </row>
    <row r="103" spans="2:55" customFormat="1" x14ac:dyDescent="0.25">
      <c r="B103" s="70">
        <f t="shared" si="18"/>
        <v>99</v>
      </c>
      <c r="C103" s="67">
        <f ca="1">IF(E103-'Invoer gegevens'!$C$17&lt;0,0,1)</f>
        <v>1</v>
      </c>
      <c r="D103" s="68">
        <f t="shared" si="19"/>
        <v>98.5</v>
      </c>
      <c r="E103" s="69">
        <f ca="1">IF('Invoer gegevens'!$C$16="","",E102+1)</f>
        <v>2117</v>
      </c>
      <c r="F103" s="82">
        <f ca="1">IF('Invoer gegevens'!$C$17=E103,'Invoer gegevens'!$C$10,IF(C103=1,H102,0))</f>
        <v>0</v>
      </c>
      <c r="G103" s="83">
        <f ca="1">IF(C103&gt;=1,F103*Reeksen!C103,0)</f>
        <v>0</v>
      </c>
      <c r="H103" s="84">
        <f t="shared" ca="1" si="12"/>
        <v>0</v>
      </c>
      <c r="I103" s="85">
        <f ca="1">IF('Invoer gegevens'!$C$17=E103,'Invoer gegevens'!$C$11,IF(C103=1,L102,0))</f>
        <v>0</v>
      </c>
      <c r="J103" s="86">
        <f ca="1">IF(C103&lt;1,0,IF(Reeksen!AD103&lt;=Reeksen!AE103,I103*Reeksen!C103,0))</f>
        <v>0</v>
      </c>
      <c r="K103" s="86">
        <f ca="1">IF(C103&lt;1,0,IF(Reeksen!AD103&gt;Reeksen!AE103,I103*Reeksen!C103,0))</f>
        <v>0</v>
      </c>
      <c r="L103" s="86">
        <f t="shared" ca="1" si="13"/>
        <v>0</v>
      </c>
      <c r="M103" s="85">
        <f ca="1">IF('Invoer gegevens'!$C$17=E103,'Invoer gegevens'!$C$10-'Invoer gegevens'!$C$11,IF(C103=1,P102,0))</f>
        <v>0</v>
      </c>
      <c r="N103" s="86">
        <f ca="1">IF(C103&lt;1,0,IF(Reeksen!AD103&lt;=Reeksen!AE103,M103*Reeksen!C103,0))</f>
        <v>0</v>
      </c>
      <c r="O103" s="86">
        <f ca="1">IF(C103&lt;1,0,IF(Reeksen!AD103&gt;Reeksen!AE103,M103*Reeksen!C103,0))</f>
        <v>0</v>
      </c>
      <c r="P103" s="86">
        <f t="shared" ca="1" si="14"/>
        <v>0</v>
      </c>
      <c r="Q103" s="82">
        <f ca="1">IF('Invoer gegevens'!$C$17=E103,I103,IF(C103=0,0,R102))</f>
        <v>0</v>
      </c>
      <c r="R103" s="84">
        <f t="shared" ca="1" si="11"/>
        <v>0</v>
      </c>
      <c r="S103" s="84">
        <f ca="1">IF('Invoer gegevens'!$C$17=E103,M103,IF(C103=0,0,T102))</f>
        <v>0</v>
      </c>
      <c r="T103" s="84">
        <f t="shared" ca="1" si="20"/>
        <v>0</v>
      </c>
      <c r="AI103" s="71">
        <f ca="1">IF(C103=1,((F103+H103)/2*Reeksen!AI103*12)+(('Invoer gegevens'!$C$10-(F103+H103)/2)*Reeksen!AD103*12),0)</f>
        <v>0</v>
      </c>
      <c r="AJ103" s="71">
        <f ca="1">-AI103*'Invoer gegevens'!$F$28</f>
        <v>0</v>
      </c>
      <c r="AK103" s="71">
        <f t="shared" ca="1" si="15"/>
        <v>0</v>
      </c>
      <c r="AL103" s="71">
        <f ca="1">IF(C103=1,(12*((F103+H103)/2)*Reeksen!AL103)+(12*('Invoer gegevens'!$C$10-(F103+H103)/2)*Reeksen!AM103),0)</f>
        <v>0</v>
      </c>
      <c r="AM103" s="71">
        <f ca="1">-AL103*'Invoer gegevens'!$F$31</f>
        <v>0</v>
      </c>
      <c r="AN103" s="71">
        <f t="shared" ca="1" si="16"/>
        <v>0</v>
      </c>
      <c r="AO103" s="71"/>
      <c r="AP103" s="71"/>
      <c r="AQ103" s="71">
        <f ca="1">-IF(C103=1,('Invoer gegevens'!$C$10*'Invoer gegevens'!$F$35)*Reeksen!J103,0)*2</f>
        <v>0</v>
      </c>
      <c r="AR103" s="71">
        <f ca="1">-IF(C103=1,(G103*'Invoer gegevens'!$F$36)*Reeksen!J103,0)</f>
        <v>0</v>
      </c>
      <c r="AS103" s="71">
        <f ca="1">-IF(C103=1,'Invoer gegevens'!$C$10*'Invoer gegevens'!$F$37*Reeksen!L103,0)</f>
        <v>0</v>
      </c>
      <c r="AT103" s="71">
        <f ca="1">-IF(C103=1,IF(E103='Invoer gegevens'!$C$17,'Invoer gegevens'!$C$11,Q103)*Reeksen!S103*'Invoer gegevens'!$C$18*Reeksen!P103,0)</f>
        <v>0</v>
      </c>
      <c r="AU103" s="71">
        <f ca="1">-IF(C103=1,'Invoer gegevens'!$C$10*'Invoer gegevens'!$F$38*Reeksen!H103,0)</f>
        <v>0</v>
      </c>
      <c r="AV103" s="71">
        <f t="shared" si="21"/>
        <v>0</v>
      </c>
      <c r="AW103" s="71">
        <f t="shared" ca="1" si="17"/>
        <v>0</v>
      </c>
      <c r="AX103" s="71">
        <f ca="1">IF(E103&lt;'Invoer gegevens'!$C$17+15,0,IF('RW - MW - DE - DE'!E103&gt;'Invoer gegevens'!$C$17+215,0,'RW - MW - DE - DE'!AW103))</f>
        <v>0</v>
      </c>
      <c r="AY103" s="71">
        <f ca="1">AX103/(1+'Invoer gegevens'!$F$13)^($AZ103-('Invoer gegevens'!$C$17-'Invoer gegevens'!$C$16))/(1+'Invoer gegevens'!$C$39)^('Invoer gegevens'!$C$17-'Invoer gegevens'!$C$16)</f>
        <v>0</v>
      </c>
      <c r="AZ103" s="68">
        <f ca="1">IF(E103-'Invoer gegevens'!$C$17-14.5&lt;0,0,E103-'Invoer gegevens'!$C$17-14.5)</f>
        <v>83.5</v>
      </c>
      <c r="BC103" s="71"/>
    </row>
    <row r="104" spans="2:55" customFormat="1" x14ac:dyDescent="0.25">
      <c r="B104" s="70">
        <f t="shared" si="18"/>
        <v>100</v>
      </c>
      <c r="C104" s="67">
        <f ca="1">IF(E104-'Invoer gegevens'!$C$17&lt;0,0,1)</f>
        <v>1</v>
      </c>
      <c r="D104" s="68">
        <f t="shared" si="19"/>
        <v>99.5</v>
      </c>
      <c r="E104" s="69">
        <f ca="1">IF('Invoer gegevens'!$C$16="","",E103+1)</f>
        <v>2118</v>
      </c>
      <c r="F104" s="82">
        <f ca="1">IF('Invoer gegevens'!$C$17=E104,'Invoer gegevens'!$C$10,IF(C104=1,H103,0))</f>
        <v>0</v>
      </c>
      <c r="G104" s="83">
        <f ca="1">IF(C104&gt;=1,F104*Reeksen!C104,0)</f>
        <v>0</v>
      </c>
      <c r="H104" s="84">
        <f t="shared" ca="1" si="12"/>
        <v>0</v>
      </c>
      <c r="I104" s="85">
        <f ca="1">IF('Invoer gegevens'!$C$17=E104,'Invoer gegevens'!$C$11,IF(C104=1,L103,0))</f>
        <v>0</v>
      </c>
      <c r="J104" s="86">
        <f ca="1">IF(C104&lt;1,0,IF(Reeksen!AD104&lt;=Reeksen!AE104,I104*Reeksen!C104,0))</f>
        <v>0</v>
      </c>
      <c r="K104" s="86">
        <f ca="1">IF(C104&lt;1,0,IF(Reeksen!AD104&gt;Reeksen!AE104,I104*Reeksen!C104,0))</f>
        <v>0</v>
      </c>
      <c r="L104" s="86">
        <f t="shared" ca="1" si="13"/>
        <v>0</v>
      </c>
      <c r="M104" s="85">
        <f ca="1">IF('Invoer gegevens'!$C$17=E104,'Invoer gegevens'!$C$10-'Invoer gegevens'!$C$11,IF(C104=1,P103,0))</f>
        <v>0</v>
      </c>
      <c r="N104" s="86">
        <f ca="1">IF(C104&lt;1,0,IF(Reeksen!AD104&lt;=Reeksen!AE104,M104*Reeksen!C104,0))</f>
        <v>0</v>
      </c>
      <c r="O104" s="86">
        <f ca="1">IF(C104&lt;1,0,IF(Reeksen!AD104&gt;Reeksen!AE104,M104*Reeksen!C104,0))</f>
        <v>0</v>
      </c>
      <c r="P104" s="86">
        <f t="shared" ca="1" si="14"/>
        <v>0</v>
      </c>
      <c r="Q104" s="82">
        <f ca="1">IF('Invoer gegevens'!$C$17=E104,I104,IF(C104=0,0,R103))</f>
        <v>0</v>
      </c>
      <c r="R104" s="84">
        <f t="shared" ca="1" si="11"/>
        <v>0</v>
      </c>
      <c r="S104" s="84">
        <f ca="1">IF('Invoer gegevens'!$C$17=E104,M104,IF(C104=0,0,T103))</f>
        <v>0</v>
      </c>
      <c r="T104" s="84">
        <f t="shared" ca="1" si="20"/>
        <v>0</v>
      </c>
      <c r="AI104" s="71">
        <f ca="1">IF(C104=1,((F104+H104)/2*Reeksen!AI104*12)+(('Invoer gegevens'!$C$10-(F104+H104)/2)*Reeksen!AD104*12),0)</f>
        <v>0</v>
      </c>
      <c r="AJ104" s="71">
        <f ca="1">-AI104*'Invoer gegevens'!$F$28</f>
        <v>0</v>
      </c>
      <c r="AK104" s="71">
        <f t="shared" ca="1" si="15"/>
        <v>0</v>
      </c>
      <c r="AL104" s="71">
        <f ca="1">IF(C104=1,(12*((F104+H104)/2)*Reeksen!AL104)+(12*('Invoer gegevens'!$C$10-(F104+H104)/2)*Reeksen!AM104),0)</f>
        <v>0</v>
      </c>
      <c r="AM104" s="71">
        <f ca="1">-AL104*'Invoer gegevens'!$F$31</f>
        <v>0</v>
      </c>
      <c r="AN104" s="71">
        <f t="shared" ca="1" si="16"/>
        <v>0</v>
      </c>
      <c r="AO104" s="71"/>
      <c r="AP104" s="71"/>
      <c r="AQ104" s="71">
        <f ca="1">-IF(C104=1,('Invoer gegevens'!$C$10*'Invoer gegevens'!$F$35)*Reeksen!J104,0)*2</f>
        <v>0</v>
      </c>
      <c r="AR104" s="71">
        <f ca="1">-IF(C104=1,(G104*'Invoer gegevens'!$F$36)*Reeksen!J104,0)</f>
        <v>0</v>
      </c>
      <c r="AS104" s="71">
        <f ca="1">-IF(C104=1,'Invoer gegevens'!$C$10*'Invoer gegevens'!$F$37*Reeksen!L104,0)</f>
        <v>0</v>
      </c>
      <c r="AT104" s="71">
        <f ca="1">-IF(C104=1,IF(E104='Invoer gegevens'!$C$17,'Invoer gegevens'!$C$11,Q104)*Reeksen!S104*'Invoer gegevens'!$C$18*Reeksen!P104,0)</f>
        <v>0</v>
      </c>
      <c r="AU104" s="71">
        <f ca="1">-IF(C104=1,'Invoer gegevens'!$C$10*'Invoer gegevens'!$F$38*Reeksen!H104,0)</f>
        <v>0</v>
      </c>
      <c r="AV104" s="71">
        <f t="shared" si="21"/>
        <v>0</v>
      </c>
      <c r="AW104" s="71">
        <f t="shared" ca="1" si="17"/>
        <v>0</v>
      </c>
      <c r="AX104" s="71">
        <f ca="1">IF(E104&lt;'Invoer gegevens'!$C$17+15,0,IF('RW - MW - DE - DE'!E104&gt;'Invoer gegevens'!$C$17+215,0,'RW - MW - DE - DE'!AW104))</f>
        <v>0</v>
      </c>
      <c r="AY104" s="71">
        <f ca="1">AX104/(1+'Invoer gegevens'!$F$13)^($AZ104-('Invoer gegevens'!$C$17-'Invoer gegevens'!$C$16))/(1+'Invoer gegevens'!$C$39)^('Invoer gegevens'!$C$17-'Invoer gegevens'!$C$16)</f>
        <v>0</v>
      </c>
      <c r="AZ104" s="68">
        <f ca="1">IF(E104-'Invoer gegevens'!$C$17-14.5&lt;0,0,E104-'Invoer gegevens'!$C$17-14.5)</f>
        <v>84.5</v>
      </c>
      <c r="BC104" s="71"/>
    </row>
    <row r="105" spans="2:55" customFormat="1" x14ac:dyDescent="0.25">
      <c r="B105" s="70">
        <f t="shared" si="18"/>
        <v>101</v>
      </c>
      <c r="C105" s="67">
        <f ca="1">IF(E105-'Invoer gegevens'!$C$17&lt;0,0,1)</f>
        <v>1</v>
      </c>
      <c r="D105" s="68">
        <f t="shared" si="19"/>
        <v>100.5</v>
      </c>
      <c r="E105" s="69">
        <f ca="1">IF('Invoer gegevens'!$C$16="","",E104+1)</f>
        <v>2119</v>
      </c>
      <c r="F105" s="82">
        <f ca="1">IF('Invoer gegevens'!$C$17=E105,'Invoer gegevens'!$C$10,IF(C105=1,H104,0))</f>
        <v>0</v>
      </c>
      <c r="G105" s="83">
        <f ca="1">IF(C105&gt;=1,F105*Reeksen!C105,0)</f>
        <v>0</v>
      </c>
      <c r="H105" s="84">
        <f t="shared" ca="1" si="12"/>
        <v>0</v>
      </c>
      <c r="I105" s="85">
        <f ca="1">IF('Invoer gegevens'!$C$17=E105,'Invoer gegevens'!$C$11,IF(C105=1,L104,0))</f>
        <v>0</v>
      </c>
      <c r="J105" s="86">
        <f ca="1">IF(C105&lt;1,0,IF(Reeksen!AD105&lt;=Reeksen!AE105,I105*Reeksen!C105,0))</f>
        <v>0</v>
      </c>
      <c r="K105" s="86">
        <f ca="1">IF(C105&lt;1,0,IF(Reeksen!AD105&gt;Reeksen!AE105,I105*Reeksen!C105,0))</f>
        <v>0</v>
      </c>
      <c r="L105" s="86">
        <f t="shared" ca="1" si="13"/>
        <v>0</v>
      </c>
      <c r="M105" s="85">
        <f ca="1">IF('Invoer gegevens'!$C$17=E105,'Invoer gegevens'!$C$10-'Invoer gegevens'!$C$11,IF(C105=1,P104,0))</f>
        <v>0</v>
      </c>
      <c r="N105" s="86">
        <f ca="1">IF(C105&lt;1,0,IF(Reeksen!AD105&lt;=Reeksen!AE105,M105*Reeksen!C105,0))</f>
        <v>0</v>
      </c>
      <c r="O105" s="86">
        <f ca="1">IF(C105&lt;1,0,IF(Reeksen!AD105&gt;Reeksen!AE105,M105*Reeksen!C105,0))</f>
        <v>0</v>
      </c>
      <c r="P105" s="86">
        <f t="shared" ca="1" si="14"/>
        <v>0</v>
      </c>
      <c r="Q105" s="82">
        <f ca="1">IF('Invoer gegevens'!$C$17=E105,I105,IF(C105=0,0,R104))</f>
        <v>0</v>
      </c>
      <c r="R105" s="84">
        <f t="shared" ca="1" si="11"/>
        <v>0</v>
      </c>
      <c r="S105" s="84">
        <f ca="1">IF('Invoer gegevens'!$C$17=E105,M105,IF(C105=0,0,T104))</f>
        <v>0</v>
      </c>
      <c r="T105" s="84">
        <f t="shared" ca="1" si="20"/>
        <v>0</v>
      </c>
      <c r="AI105" s="71">
        <f ca="1">IF(C105=1,((F105+H105)/2*Reeksen!AI105*12)+(('Invoer gegevens'!$C$10-(F105+H105)/2)*Reeksen!AD105*12),0)</f>
        <v>0</v>
      </c>
      <c r="AJ105" s="71">
        <f ca="1">-AI105*'Invoer gegevens'!$F$28</f>
        <v>0</v>
      </c>
      <c r="AK105" s="71">
        <f t="shared" ca="1" si="15"/>
        <v>0</v>
      </c>
      <c r="AL105" s="71">
        <f ca="1">IF(C105=1,(12*((F105+H105)/2)*Reeksen!AL105)+(12*('Invoer gegevens'!$C$10-(F105+H105)/2)*Reeksen!AM105),0)</f>
        <v>0</v>
      </c>
      <c r="AM105" s="71">
        <f ca="1">-AL105*'Invoer gegevens'!$F$31</f>
        <v>0</v>
      </c>
      <c r="AN105" s="71">
        <f t="shared" ca="1" si="16"/>
        <v>0</v>
      </c>
      <c r="AO105" s="71"/>
      <c r="AP105" s="71"/>
      <c r="AQ105" s="71">
        <f ca="1">-IF(C105=1,('Invoer gegevens'!$C$10*'Invoer gegevens'!$F$35)*Reeksen!J105,0)*2</f>
        <v>0</v>
      </c>
      <c r="AR105" s="71">
        <f ca="1">-IF(C105=1,(G105*'Invoer gegevens'!$F$36)*Reeksen!J105,0)</f>
        <v>0</v>
      </c>
      <c r="AS105" s="71">
        <f ca="1">-IF(C105=1,'Invoer gegevens'!$C$10*'Invoer gegevens'!$F$37*Reeksen!L105,0)</f>
        <v>0</v>
      </c>
      <c r="AT105" s="71">
        <f ca="1">-IF(C105=1,IF(E105='Invoer gegevens'!$C$17,'Invoer gegevens'!$C$11,Q105)*Reeksen!S105*'Invoer gegevens'!$C$18*Reeksen!P105,0)</f>
        <v>0</v>
      </c>
      <c r="AU105" s="71">
        <f ca="1">-IF(C105=1,'Invoer gegevens'!$C$10*'Invoer gegevens'!$F$38*Reeksen!H105,0)</f>
        <v>0</v>
      </c>
      <c r="AV105" s="71">
        <f t="shared" si="21"/>
        <v>0</v>
      </c>
      <c r="AW105" s="71">
        <f t="shared" ca="1" si="17"/>
        <v>0</v>
      </c>
      <c r="AX105" s="71">
        <f ca="1">IF(E105&lt;'Invoer gegevens'!$C$17+15,0,IF('RW - MW - DE - DE'!E105&gt;'Invoer gegevens'!$C$17+215,0,'RW - MW - DE - DE'!AW105))</f>
        <v>0</v>
      </c>
      <c r="AY105" s="71">
        <f ca="1">AX105/(1+'Invoer gegevens'!$F$13)^($AZ105-('Invoer gegevens'!$C$17-'Invoer gegevens'!$C$16))/(1+'Invoer gegevens'!$C$39)^('Invoer gegevens'!$C$17-'Invoer gegevens'!$C$16)</f>
        <v>0</v>
      </c>
      <c r="AZ105" s="68">
        <f ca="1">IF(E105-'Invoer gegevens'!$C$17-14.5&lt;0,0,E105-'Invoer gegevens'!$C$17-14.5)</f>
        <v>85.5</v>
      </c>
      <c r="BC105" s="71"/>
    </row>
    <row r="106" spans="2:55" customFormat="1" x14ac:dyDescent="0.25">
      <c r="B106" s="70">
        <f t="shared" si="18"/>
        <v>102</v>
      </c>
      <c r="C106" s="67">
        <f ca="1">IF(E106-'Invoer gegevens'!$C$17&lt;0,0,1)</f>
        <v>1</v>
      </c>
      <c r="D106" s="68">
        <f t="shared" si="19"/>
        <v>101.5</v>
      </c>
      <c r="E106" s="69">
        <f ca="1">IF('Invoer gegevens'!$C$16="","",E105+1)</f>
        <v>2120</v>
      </c>
      <c r="F106" s="82">
        <f ca="1">IF('Invoer gegevens'!$C$17=E106,'Invoer gegevens'!$C$10,IF(C106=1,H105,0))</f>
        <v>0</v>
      </c>
      <c r="G106" s="83">
        <f ca="1">IF(C106&gt;=1,F106*Reeksen!C106,0)</f>
        <v>0</v>
      </c>
      <c r="H106" s="84">
        <f t="shared" ca="1" si="12"/>
        <v>0</v>
      </c>
      <c r="I106" s="85">
        <f ca="1">IF('Invoer gegevens'!$C$17=E106,'Invoer gegevens'!$C$11,IF(C106=1,L105,0))</f>
        <v>0</v>
      </c>
      <c r="J106" s="86">
        <f ca="1">IF(C106&lt;1,0,IF(Reeksen!AD106&lt;=Reeksen!AE106,I106*Reeksen!C106,0))</f>
        <v>0</v>
      </c>
      <c r="K106" s="86">
        <f ca="1">IF(C106&lt;1,0,IF(Reeksen!AD106&gt;Reeksen!AE106,I106*Reeksen!C106,0))</f>
        <v>0</v>
      </c>
      <c r="L106" s="86">
        <f t="shared" ca="1" si="13"/>
        <v>0</v>
      </c>
      <c r="M106" s="85">
        <f ca="1">IF('Invoer gegevens'!$C$17=E106,'Invoer gegevens'!$C$10-'Invoer gegevens'!$C$11,IF(C106=1,P105,0))</f>
        <v>0</v>
      </c>
      <c r="N106" s="86">
        <f ca="1">IF(C106&lt;1,0,IF(Reeksen!AD106&lt;=Reeksen!AE106,M106*Reeksen!C106,0))</f>
        <v>0</v>
      </c>
      <c r="O106" s="86">
        <f ca="1">IF(C106&lt;1,0,IF(Reeksen!AD106&gt;Reeksen!AE106,M106*Reeksen!C106,0))</f>
        <v>0</v>
      </c>
      <c r="P106" s="86">
        <f t="shared" ca="1" si="14"/>
        <v>0</v>
      </c>
      <c r="Q106" s="82">
        <f ca="1">IF('Invoer gegevens'!$C$17=E106,I106,IF(C106=0,0,R105))</f>
        <v>0</v>
      </c>
      <c r="R106" s="84">
        <f t="shared" ca="1" si="11"/>
        <v>0</v>
      </c>
      <c r="S106" s="84">
        <f ca="1">IF('Invoer gegevens'!$C$17=E106,M106,IF(C106=0,0,T105))</f>
        <v>0</v>
      </c>
      <c r="T106" s="84">
        <f t="shared" ca="1" si="20"/>
        <v>0</v>
      </c>
      <c r="AI106" s="71">
        <f ca="1">IF(C106=1,((F106+H106)/2*Reeksen!AI106*12)+(('Invoer gegevens'!$C$10-(F106+H106)/2)*Reeksen!AD106*12),0)</f>
        <v>0</v>
      </c>
      <c r="AJ106" s="71">
        <f ca="1">-AI106*'Invoer gegevens'!$F$28</f>
        <v>0</v>
      </c>
      <c r="AK106" s="71">
        <f t="shared" ca="1" si="15"/>
        <v>0</v>
      </c>
      <c r="AL106" s="71">
        <f ca="1">IF(C106=1,(12*((F106+H106)/2)*Reeksen!AL106)+(12*('Invoer gegevens'!$C$10-(F106+H106)/2)*Reeksen!AM106),0)</f>
        <v>0</v>
      </c>
      <c r="AM106" s="71">
        <f ca="1">-AL106*'Invoer gegevens'!$F$31</f>
        <v>0</v>
      </c>
      <c r="AN106" s="71">
        <f t="shared" ca="1" si="16"/>
        <v>0</v>
      </c>
      <c r="AO106" s="71"/>
      <c r="AP106" s="71"/>
      <c r="AQ106" s="71">
        <f ca="1">-IF(C106=1,('Invoer gegevens'!$C$10*'Invoer gegevens'!$F$35)*Reeksen!J106,0)*2</f>
        <v>0</v>
      </c>
      <c r="AR106" s="71">
        <f ca="1">-IF(C106=1,(G106*'Invoer gegevens'!$F$36)*Reeksen!J106,0)</f>
        <v>0</v>
      </c>
      <c r="AS106" s="71">
        <f ca="1">-IF(C106=1,'Invoer gegevens'!$C$10*'Invoer gegevens'!$F$37*Reeksen!L106,0)</f>
        <v>0</v>
      </c>
      <c r="AT106" s="71">
        <f ca="1">-IF(C106=1,IF(E106='Invoer gegevens'!$C$17,'Invoer gegevens'!$C$11,Q106)*Reeksen!S106*'Invoer gegevens'!$C$18*Reeksen!P106,0)</f>
        <v>0</v>
      </c>
      <c r="AU106" s="71">
        <f ca="1">-IF(C106=1,'Invoer gegevens'!$C$10*'Invoer gegevens'!$F$38*Reeksen!H106,0)</f>
        <v>0</v>
      </c>
      <c r="AV106" s="71">
        <f t="shared" si="21"/>
        <v>0</v>
      </c>
      <c r="AW106" s="71">
        <f t="shared" ca="1" si="17"/>
        <v>0</v>
      </c>
      <c r="AX106" s="71">
        <f ca="1">IF(E106&lt;'Invoer gegevens'!$C$17+15,0,IF('RW - MW - DE - DE'!E106&gt;'Invoer gegevens'!$C$17+215,0,'RW - MW - DE - DE'!AW106))</f>
        <v>0</v>
      </c>
      <c r="AY106" s="71">
        <f ca="1">AX106/(1+'Invoer gegevens'!$F$13)^($AZ106-('Invoer gegevens'!$C$17-'Invoer gegevens'!$C$16))/(1+'Invoer gegevens'!$C$39)^('Invoer gegevens'!$C$17-'Invoer gegevens'!$C$16)</f>
        <v>0</v>
      </c>
      <c r="AZ106" s="68">
        <f ca="1">IF(E106-'Invoer gegevens'!$C$17-14.5&lt;0,0,E106-'Invoer gegevens'!$C$17-14.5)</f>
        <v>86.5</v>
      </c>
      <c r="BC106" s="71"/>
    </row>
    <row r="107" spans="2:55" customFormat="1" x14ac:dyDescent="0.25">
      <c r="B107" s="70">
        <f t="shared" si="18"/>
        <v>103</v>
      </c>
      <c r="C107" s="67">
        <f ca="1">IF(E107-'Invoer gegevens'!$C$17&lt;0,0,1)</f>
        <v>1</v>
      </c>
      <c r="D107" s="68">
        <f t="shared" si="19"/>
        <v>102.5</v>
      </c>
      <c r="E107" s="69">
        <f ca="1">IF('Invoer gegevens'!$C$16="","",E106+1)</f>
        <v>2121</v>
      </c>
      <c r="F107" s="82">
        <f ca="1">IF('Invoer gegevens'!$C$17=E107,'Invoer gegevens'!$C$10,IF(C107=1,H106,0))</f>
        <v>0</v>
      </c>
      <c r="G107" s="83">
        <f ca="1">IF(C107&gt;=1,F107*Reeksen!C107,0)</f>
        <v>0</v>
      </c>
      <c r="H107" s="84">
        <f t="shared" ca="1" si="12"/>
        <v>0</v>
      </c>
      <c r="I107" s="85">
        <f ca="1">IF('Invoer gegevens'!$C$17=E107,'Invoer gegevens'!$C$11,IF(C107=1,L106,0))</f>
        <v>0</v>
      </c>
      <c r="J107" s="86">
        <f ca="1">IF(C107&lt;1,0,IF(Reeksen!AD107&lt;=Reeksen!AE107,I107*Reeksen!C107,0))</f>
        <v>0</v>
      </c>
      <c r="K107" s="86">
        <f ca="1">IF(C107&lt;1,0,IF(Reeksen!AD107&gt;Reeksen!AE107,I107*Reeksen!C107,0))</f>
        <v>0</v>
      </c>
      <c r="L107" s="86">
        <f t="shared" ca="1" si="13"/>
        <v>0</v>
      </c>
      <c r="M107" s="85">
        <f ca="1">IF('Invoer gegevens'!$C$17=E107,'Invoer gegevens'!$C$10-'Invoer gegevens'!$C$11,IF(C107=1,P106,0))</f>
        <v>0</v>
      </c>
      <c r="N107" s="86">
        <f ca="1">IF(C107&lt;1,0,IF(Reeksen!AD107&lt;=Reeksen!AE107,M107*Reeksen!C107,0))</f>
        <v>0</v>
      </c>
      <c r="O107" s="86">
        <f ca="1">IF(C107&lt;1,0,IF(Reeksen!AD107&gt;Reeksen!AE107,M107*Reeksen!C107,0))</f>
        <v>0</v>
      </c>
      <c r="P107" s="86">
        <f t="shared" ca="1" si="14"/>
        <v>0</v>
      </c>
      <c r="Q107" s="82">
        <f ca="1">IF('Invoer gegevens'!$C$17=E107,I107,IF(C107=0,0,R106))</f>
        <v>0</v>
      </c>
      <c r="R107" s="84">
        <f t="shared" ca="1" si="11"/>
        <v>0</v>
      </c>
      <c r="S107" s="84">
        <f ca="1">IF('Invoer gegevens'!$C$17=E107,M107,IF(C107=0,0,T106))</f>
        <v>0</v>
      </c>
      <c r="T107" s="84">
        <f t="shared" ca="1" si="20"/>
        <v>0</v>
      </c>
      <c r="AI107" s="71">
        <f ca="1">IF(C107=1,((F107+H107)/2*Reeksen!AI107*12)+(('Invoer gegevens'!$C$10-(F107+H107)/2)*Reeksen!AD107*12),0)</f>
        <v>0</v>
      </c>
      <c r="AJ107" s="71">
        <f ca="1">-AI107*'Invoer gegevens'!$F$28</f>
        <v>0</v>
      </c>
      <c r="AK107" s="71">
        <f t="shared" ca="1" si="15"/>
        <v>0</v>
      </c>
      <c r="AL107" s="71">
        <f ca="1">IF(C107=1,(12*((F107+H107)/2)*Reeksen!AL107)+(12*('Invoer gegevens'!$C$10-(F107+H107)/2)*Reeksen!AM107),0)</f>
        <v>0</v>
      </c>
      <c r="AM107" s="71">
        <f ca="1">-AL107*'Invoer gegevens'!$F$31</f>
        <v>0</v>
      </c>
      <c r="AN107" s="71">
        <f t="shared" ca="1" si="16"/>
        <v>0</v>
      </c>
      <c r="AO107" s="71"/>
      <c r="AP107" s="71"/>
      <c r="AQ107" s="71">
        <f ca="1">-IF(C107=1,('Invoer gegevens'!$C$10*'Invoer gegevens'!$F$35)*Reeksen!J107,0)*2</f>
        <v>0</v>
      </c>
      <c r="AR107" s="71">
        <f ca="1">-IF(C107=1,(G107*'Invoer gegevens'!$F$36)*Reeksen!J107,0)</f>
        <v>0</v>
      </c>
      <c r="AS107" s="71">
        <f ca="1">-IF(C107=1,'Invoer gegevens'!$C$10*'Invoer gegevens'!$F$37*Reeksen!L107,0)</f>
        <v>0</v>
      </c>
      <c r="AT107" s="71">
        <f ca="1">-IF(C107=1,IF(E107='Invoer gegevens'!$C$17,'Invoer gegevens'!$C$11,Q107)*Reeksen!S107*'Invoer gegevens'!$C$18*Reeksen!P107,0)</f>
        <v>0</v>
      </c>
      <c r="AU107" s="71">
        <f ca="1">-IF(C107=1,'Invoer gegevens'!$C$10*'Invoer gegevens'!$F$38*Reeksen!H107,0)</f>
        <v>0</v>
      </c>
      <c r="AV107" s="71">
        <f t="shared" si="21"/>
        <v>0</v>
      </c>
      <c r="AW107" s="71">
        <f t="shared" ca="1" si="17"/>
        <v>0</v>
      </c>
      <c r="AX107" s="71">
        <f ca="1">IF(E107&lt;'Invoer gegevens'!$C$17+15,0,IF('RW - MW - DE - DE'!E107&gt;'Invoer gegevens'!$C$17+215,0,'RW - MW - DE - DE'!AW107))</f>
        <v>0</v>
      </c>
      <c r="AY107" s="71">
        <f ca="1">AX107/(1+'Invoer gegevens'!$F$13)^($AZ107-('Invoer gegevens'!$C$17-'Invoer gegevens'!$C$16))/(1+'Invoer gegevens'!$C$39)^('Invoer gegevens'!$C$17-'Invoer gegevens'!$C$16)</f>
        <v>0</v>
      </c>
      <c r="AZ107" s="68">
        <f ca="1">IF(E107-'Invoer gegevens'!$C$17-14.5&lt;0,0,E107-'Invoer gegevens'!$C$17-14.5)</f>
        <v>87.5</v>
      </c>
      <c r="BC107" s="71"/>
    </row>
    <row r="108" spans="2:55" customFormat="1" x14ac:dyDescent="0.25">
      <c r="B108" s="70">
        <f t="shared" si="18"/>
        <v>104</v>
      </c>
      <c r="C108" s="67">
        <f ca="1">IF(E108-'Invoer gegevens'!$C$17&lt;0,0,1)</f>
        <v>1</v>
      </c>
      <c r="D108" s="68">
        <f t="shared" si="19"/>
        <v>103.5</v>
      </c>
      <c r="E108" s="69">
        <f ca="1">IF('Invoer gegevens'!$C$16="","",E107+1)</f>
        <v>2122</v>
      </c>
      <c r="F108" s="82">
        <f ca="1">IF('Invoer gegevens'!$C$17=E108,'Invoer gegevens'!$C$10,IF(C108=1,H107,0))</f>
        <v>0</v>
      </c>
      <c r="G108" s="83">
        <f ca="1">IF(C108&gt;=1,F108*Reeksen!C108,0)</f>
        <v>0</v>
      </c>
      <c r="H108" s="84">
        <f t="shared" ca="1" si="12"/>
        <v>0</v>
      </c>
      <c r="I108" s="85">
        <f ca="1">IF('Invoer gegevens'!$C$17=E108,'Invoer gegevens'!$C$11,IF(C108=1,L107,0))</f>
        <v>0</v>
      </c>
      <c r="J108" s="86">
        <f ca="1">IF(C108&lt;1,0,IF(Reeksen!AD108&lt;=Reeksen!AE108,I108*Reeksen!C108,0))</f>
        <v>0</v>
      </c>
      <c r="K108" s="86">
        <f ca="1">IF(C108&lt;1,0,IF(Reeksen!AD108&gt;Reeksen!AE108,I108*Reeksen!C108,0))</f>
        <v>0</v>
      </c>
      <c r="L108" s="86">
        <f t="shared" ca="1" si="13"/>
        <v>0</v>
      </c>
      <c r="M108" s="85">
        <f ca="1">IF('Invoer gegevens'!$C$17=E108,'Invoer gegevens'!$C$10-'Invoer gegevens'!$C$11,IF(C108=1,P107,0))</f>
        <v>0</v>
      </c>
      <c r="N108" s="86">
        <f ca="1">IF(C108&lt;1,0,IF(Reeksen!AD108&lt;=Reeksen!AE108,M108*Reeksen!C108,0))</f>
        <v>0</v>
      </c>
      <c r="O108" s="86">
        <f ca="1">IF(C108&lt;1,0,IF(Reeksen!AD108&gt;Reeksen!AE108,M108*Reeksen!C108,0))</f>
        <v>0</v>
      </c>
      <c r="P108" s="86">
        <f t="shared" ca="1" si="14"/>
        <v>0</v>
      </c>
      <c r="Q108" s="82">
        <f ca="1">IF('Invoer gegevens'!$C$17=E108,I108,IF(C108=0,0,R107))</f>
        <v>0</v>
      </c>
      <c r="R108" s="84">
        <f t="shared" ca="1" si="11"/>
        <v>0</v>
      </c>
      <c r="S108" s="84">
        <f ca="1">IF('Invoer gegevens'!$C$17=E108,M108,IF(C108=0,0,T107))</f>
        <v>0</v>
      </c>
      <c r="T108" s="84">
        <f t="shared" ca="1" si="20"/>
        <v>0</v>
      </c>
      <c r="AI108" s="71">
        <f ca="1">IF(C108=1,((F108+H108)/2*Reeksen!AI108*12)+(('Invoer gegevens'!$C$10-(F108+H108)/2)*Reeksen!AD108*12),0)</f>
        <v>0</v>
      </c>
      <c r="AJ108" s="71">
        <f ca="1">-AI108*'Invoer gegevens'!$F$28</f>
        <v>0</v>
      </c>
      <c r="AK108" s="71">
        <f t="shared" ca="1" si="15"/>
        <v>0</v>
      </c>
      <c r="AL108" s="71">
        <f ca="1">IF(C108=1,(12*((F108+H108)/2)*Reeksen!AL108)+(12*('Invoer gegevens'!$C$10-(F108+H108)/2)*Reeksen!AM108),0)</f>
        <v>0</v>
      </c>
      <c r="AM108" s="71">
        <f ca="1">-AL108*'Invoer gegevens'!$F$31</f>
        <v>0</v>
      </c>
      <c r="AN108" s="71">
        <f t="shared" ca="1" si="16"/>
        <v>0</v>
      </c>
      <c r="AO108" s="71"/>
      <c r="AP108" s="71"/>
      <c r="AQ108" s="71">
        <f ca="1">-IF(C108=1,('Invoer gegevens'!$C$10*'Invoer gegevens'!$F$35)*Reeksen!J108,0)*2</f>
        <v>0</v>
      </c>
      <c r="AR108" s="71">
        <f ca="1">-IF(C108=1,(G108*'Invoer gegevens'!$F$36)*Reeksen!J108,0)</f>
        <v>0</v>
      </c>
      <c r="AS108" s="71">
        <f ca="1">-IF(C108=1,'Invoer gegevens'!$C$10*'Invoer gegevens'!$F$37*Reeksen!L108,0)</f>
        <v>0</v>
      </c>
      <c r="AT108" s="71">
        <f ca="1">-IF(C108=1,IF(E108='Invoer gegevens'!$C$17,'Invoer gegevens'!$C$11,Q108)*Reeksen!S108*'Invoer gegevens'!$C$18*Reeksen!P108,0)</f>
        <v>0</v>
      </c>
      <c r="AU108" s="71">
        <f ca="1">-IF(C108=1,'Invoer gegevens'!$C$10*'Invoer gegevens'!$F$38*Reeksen!H108,0)</f>
        <v>0</v>
      </c>
      <c r="AV108" s="71">
        <f t="shared" si="21"/>
        <v>0</v>
      </c>
      <c r="AW108" s="71">
        <f t="shared" ca="1" si="17"/>
        <v>0</v>
      </c>
      <c r="AX108" s="71">
        <f ca="1">IF(E108&lt;'Invoer gegevens'!$C$17+15,0,IF('RW - MW - DE - DE'!E108&gt;'Invoer gegevens'!$C$17+215,0,'RW - MW - DE - DE'!AW108))</f>
        <v>0</v>
      </c>
      <c r="AY108" s="71">
        <f ca="1">AX108/(1+'Invoer gegevens'!$F$13)^($AZ108-('Invoer gegevens'!$C$17-'Invoer gegevens'!$C$16))/(1+'Invoer gegevens'!$C$39)^('Invoer gegevens'!$C$17-'Invoer gegevens'!$C$16)</f>
        <v>0</v>
      </c>
      <c r="AZ108" s="68">
        <f ca="1">IF(E108-'Invoer gegevens'!$C$17-14.5&lt;0,0,E108-'Invoer gegevens'!$C$17-14.5)</f>
        <v>88.5</v>
      </c>
      <c r="BC108" s="71"/>
    </row>
    <row r="109" spans="2:55" customFormat="1" x14ac:dyDescent="0.25">
      <c r="B109" s="70">
        <f t="shared" si="18"/>
        <v>105</v>
      </c>
      <c r="C109" s="67">
        <f ca="1">IF(E109-'Invoer gegevens'!$C$17&lt;0,0,1)</f>
        <v>1</v>
      </c>
      <c r="D109" s="68">
        <f t="shared" si="19"/>
        <v>104.5</v>
      </c>
      <c r="E109" s="69">
        <f ca="1">IF('Invoer gegevens'!$C$16="","",E108+1)</f>
        <v>2123</v>
      </c>
      <c r="F109" s="82">
        <f ca="1">IF('Invoer gegevens'!$C$17=E109,'Invoer gegevens'!$C$10,IF(C109=1,H108,0))</f>
        <v>0</v>
      </c>
      <c r="G109" s="83">
        <f ca="1">IF(C109&gt;=1,F109*Reeksen!C109,0)</f>
        <v>0</v>
      </c>
      <c r="H109" s="84">
        <f t="shared" ca="1" si="12"/>
        <v>0</v>
      </c>
      <c r="I109" s="85">
        <f ca="1">IF('Invoer gegevens'!$C$17=E109,'Invoer gegevens'!$C$11,IF(C109=1,L108,0))</f>
        <v>0</v>
      </c>
      <c r="J109" s="86">
        <f ca="1">IF(C109&lt;1,0,IF(Reeksen!AD109&lt;=Reeksen!AE109,I109*Reeksen!C109,0))</f>
        <v>0</v>
      </c>
      <c r="K109" s="86">
        <f ca="1">IF(C109&lt;1,0,IF(Reeksen!AD109&gt;Reeksen!AE109,I109*Reeksen!C109,0))</f>
        <v>0</v>
      </c>
      <c r="L109" s="86">
        <f t="shared" ca="1" si="13"/>
        <v>0</v>
      </c>
      <c r="M109" s="85">
        <f ca="1">IF('Invoer gegevens'!$C$17=E109,'Invoer gegevens'!$C$10-'Invoer gegevens'!$C$11,IF(C109=1,P108,0))</f>
        <v>0</v>
      </c>
      <c r="N109" s="86">
        <f ca="1">IF(C109&lt;1,0,IF(Reeksen!AD109&lt;=Reeksen!AE109,M109*Reeksen!C109,0))</f>
        <v>0</v>
      </c>
      <c r="O109" s="86">
        <f ca="1">IF(C109&lt;1,0,IF(Reeksen!AD109&gt;Reeksen!AE109,M109*Reeksen!C109,0))</f>
        <v>0</v>
      </c>
      <c r="P109" s="86">
        <f t="shared" ca="1" si="14"/>
        <v>0</v>
      </c>
      <c r="Q109" s="82">
        <f ca="1">IF('Invoer gegevens'!$C$17=E109,I109,IF(C109=0,0,R108))</f>
        <v>0</v>
      </c>
      <c r="R109" s="84">
        <f t="shared" ca="1" si="11"/>
        <v>0</v>
      </c>
      <c r="S109" s="84">
        <f ca="1">IF('Invoer gegevens'!$C$17=E109,M109,IF(C109=0,0,T108))</f>
        <v>0</v>
      </c>
      <c r="T109" s="84">
        <f t="shared" ca="1" si="20"/>
        <v>0</v>
      </c>
      <c r="AI109" s="71">
        <f ca="1">IF(C109=1,((F109+H109)/2*Reeksen!AI109*12)+(('Invoer gegevens'!$C$10-(F109+H109)/2)*Reeksen!AD109*12),0)</f>
        <v>0</v>
      </c>
      <c r="AJ109" s="71">
        <f ca="1">-AI109*'Invoer gegevens'!$F$28</f>
        <v>0</v>
      </c>
      <c r="AK109" s="71">
        <f t="shared" ca="1" si="15"/>
        <v>0</v>
      </c>
      <c r="AL109" s="71">
        <f ca="1">IF(C109=1,(12*((F109+H109)/2)*Reeksen!AL109)+(12*('Invoer gegevens'!$C$10-(F109+H109)/2)*Reeksen!AM109),0)</f>
        <v>0</v>
      </c>
      <c r="AM109" s="71">
        <f ca="1">-AL109*'Invoer gegevens'!$F$31</f>
        <v>0</v>
      </c>
      <c r="AN109" s="71">
        <f t="shared" ca="1" si="16"/>
        <v>0</v>
      </c>
      <c r="AO109" s="71"/>
      <c r="AP109" s="71"/>
      <c r="AQ109" s="71">
        <f ca="1">-IF(C109=1,('Invoer gegevens'!$C$10*'Invoer gegevens'!$F$35)*Reeksen!J109,0)*2</f>
        <v>0</v>
      </c>
      <c r="AR109" s="71">
        <f ca="1">-IF(C109=1,(G109*'Invoer gegevens'!$F$36)*Reeksen!J109,0)</f>
        <v>0</v>
      </c>
      <c r="AS109" s="71">
        <f ca="1">-IF(C109=1,'Invoer gegevens'!$C$10*'Invoer gegevens'!$F$37*Reeksen!L109,0)</f>
        <v>0</v>
      </c>
      <c r="AT109" s="71">
        <f ca="1">-IF(C109=1,IF(E109='Invoer gegevens'!$C$17,'Invoer gegevens'!$C$11,Q109)*Reeksen!S109*'Invoer gegevens'!$C$18*Reeksen!P109,0)</f>
        <v>0</v>
      </c>
      <c r="AU109" s="71">
        <f ca="1">-IF(C109=1,'Invoer gegevens'!$C$10*'Invoer gegevens'!$F$38*Reeksen!H109,0)</f>
        <v>0</v>
      </c>
      <c r="AV109" s="71">
        <f t="shared" si="21"/>
        <v>0</v>
      </c>
      <c r="AW109" s="71">
        <f t="shared" ca="1" si="17"/>
        <v>0</v>
      </c>
      <c r="AX109" s="71">
        <f ca="1">IF(E109&lt;'Invoer gegevens'!$C$17+15,0,IF('RW - MW - DE - DE'!E109&gt;'Invoer gegevens'!$C$17+215,0,'RW - MW - DE - DE'!AW109))</f>
        <v>0</v>
      </c>
      <c r="AY109" s="71">
        <f ca="1">AX109/(1+'Invoer gegevens'!$F$13)^($AZ109-('Invoer gegevens'!$C$17-'Invoer gegevens'!$C$16))/(1+'Invoer gegevens'!$C$39)^('Invoer gegevens'!$C$17-'Invoer gegevens'!$C$16)</f>
        <v>0</v>
      </c>
      <c r="AZ109" s="68">
        <f ca="1">IF(E109-'Invoer gegevens'!$C$17-14.5&lt;0,0,E109-'Invoer gegevens'!$C$17-14.5)</f>
        <v>89.5</v>
      </c>
      <c r="BC109" s="71"/>
    </row>
    <row r="110" spans="2:55" customFormat="1" x14ac:dyDescent="0.25">
      <c r="B110" s="70">
        <f t="shared" si="18"/>
        <v>106</v>
      </c>
      <c r="C110" s="67">
        <f ca="1">IF(E110-'Invoer gegevens'!$C$17&lt;0,0,1)</f>
        <v>1</v>
      </c>
      <c r="D110" s="68">
        <f t="shared" si="19"/>
        <v>105.5</v>
      </c>
      <c r="E110" s="69">
        <f ca="1">IF('Invoer gegevens'!$C$16="","",E109+1)</f>
        <v>2124</v>
      </c>
      <c r="F110" s="82">
        <f ca="1">IF('Invoer gegevens'!$C$17=E110,'Invoer gegevens'!$C$10,IF(C110=1,H109,0))</f>
        <v>0</v>
      </c>
      <c r="G110" s="83">
        <f ca="1">IF(C110&gt;=1,F110*Reeksen!C110,0)</f>
        <v>0</v>
      </c>
      <c r="H110" s="84">
        <f t="shared" ca="1" si="12"/>
        <v>0</v>
      </c>
      <c r="I110" s="85">
        <f ca="1">IF('Invoer gegevens'!$C$17=E110,'Invoer gegevens'!$C$11,IF(C110=1,L109,0))</f>
        <v>0</v>
      </c>
      <c r="J110" s="86">
        <f ca="1">IF(C110&lt;1,0,IF(Reeksen!AD110&lt;=Reeksen!AE110,I110*Reeksen!C110,0))</f>
        <v>0</v>
      </c>
      <c r="K110" s="86">
        <f ca="1">IF(C110&lt;1,0,IF(Reeksen!AD110&gt;Reeksen!AE110,I110*Reeksen!C110,0))</f>
        <v>0</v>
      </c>
      <c r="L110" s="86">
        <f t="shared" ca="1" si="13"/>
        <v>0</v>
      </c>
      <c r="M110" s="85">
        <f ca="1">IF('Invoer gegevens'!$C$17=E110,'Invoer gegevens'!$C$10-'Invoer gegevens'!$C$11,IF(C110=1,P109,0))</f>
        <v>0</v>
      </c>
      <c r="N110" s="86">
        <f ca="1">IF(C110&lt;1,0,IF(Reeksen!AD110&lt;=Reeksen!AE110,M110*Reeksen!C110,0))</f>
        <v>0</v>
      </c>
      <c r="O110" s="86">
        <f ca="1">IF(C110&lt;1,0,IF(Reeksen!AD110&gt;Reeksen!AE110,M110*Reeksen!C110,0))</f>
        <v>0</v>
      </c>
      <c r="P110" s="86">
        <f t="shared" ca="1" si="14"/>
        <v>0</v>
      </c>
      <c r="Q110" s="82">
        <f ca="1">IF('Invoer gegevens'!$C$17=E110,I110,IF(C110=0,0,R109))</f>
        <v>0</v>
      </c>
      <c r="R110" s="84">
        <f t="shared" ca="1" si="11"/>
        <v>0</v>
      </c>
      <c r="S110" s="84">
        <f ca="1">IF('Invoer gegevens'!$C$17=E110,M110,IF(C110=0,0,T109))</f>
        <v>0</v>
      </c>
      <c r="T110" s="84">
        <f t="shared" ca="1" si="20"/>
        <v>0</v>
      </c>
      <c r="AI110" s="71">
        <f ca="1">IF(C110=1,((F110+H110)/2*Reeksen!AI110*12)+(('Invoer gegevens'!$C$10-(F110+H110)/2)*Reeksen!AD110*12),0)</f>
        <v>0</v>
      </c>
      <c r="AJ110" s="71">
        <f ca="1">-AI110*'Invoer gegevens'!$F$28</f>
        <v>0</v>
      </c>
      <c r="AK110" s="71">
        <f t="shared" ca="1" si="15"/>
        <v>0</v>
      </c>
      <c r="AL110" s="71">
        <f ca="1">IF(C110=1,(12*((F110+H110)/2)*Reeksen!AL110)+(12*('Invoer gegevens'!$C$10-(F110+H110)/2)*Reeksen!AM110),0)</f>
        <v>0</v>
      </c>
      <c r="AM110" s="71">
        <f ca="1">-AL110*'Invoer gegevens'!$F$31</f>
        <v>0</v>
      </c>
      <c r="AN110" s="71">
        <f t="shared" ca="1" si="16"/>
        <v>0</v>
      </c>
      <c r="AO110" s="71"/>
      <c r="AP110" s="71"/>
      <c r="AQ110" s="71">
        <f ca="1">-IF(C110=1,('Invoer gegevens'!$C$10*'Invoer gegevens'!$F$35)*Reeksen!J110,0)*2</f>
        <v>0</v>
      </c>
      <c r="AR110" s="71">
        <f ca="1">-IF(C110=1,(G110*'Invoer gegevens'!$F$36)*Reeksen!J110,0)</f>
        <v>0</v>
      </c>
      <c r="AS110" s="71">
        <f ca="1">-IF(C110=1,'Invoer gegevens'!$C$10*'Invoer gegevens'!$F$37*Reeksen!L110,0)</f>
        <v>0</v>
      </c>
      <c r="AT110" s="71">
        <f ca="1">-IF(C110=1,IF(E110='Invoer gegevens'!$C$17,'Invoer gegevens'!$C$11,Q110)*Reeksen!S110*'Invoer gegevens'!$C$18*Reeksen!P110,0)</f>
        <v>0</v>
      </c>
      <c r="AU110" s="71">
        <f ca="1">-IF(C110=1,'Invoer gegevens'!$C$10*'Invoer gegevens'!$F$38*Reeksen!H110,0)</f>
        <v>0</v>
      </c>
      <c r="AV110" s="71">
        <f t="shared" si="21"/>
        <v>0</v>
      </c>
      <c r="AW110" s="71">
        <f t="shared" ca="1" si="17"/>
        <v>0</v>
      </c>
      <c r="AX110" s="71">
        <f ca="1">IF(E110&lt;'Invoer gegevens'!$C$17+15,0,IF('RW - MW - DE - DE'!E110&gt;'Invoer gegevens'!$C$17+215,0,'RW - MW - DE - DE'!AW110))</f>
        <v>0</v>
      </c>
      <c r="AY110" s="71">
        <f ca="1">AX110/(1+'Invoer gegevens'!$F$13)^($AZ110-('Invoer gegevens'!$C$17-'Invoer gegevens'!$C$16))/(1+'Invoer gegevens'!$C$39)^('Invoer gegevens'!$C$17-'Invoer gegevens'!$C$16)</f>
        <v>0</v>
      </c>
      <c r="AZ110" s="68">
        <f ca="1">IF(E110-'Invoer gegevens'!$C$17-14.5&lt;0,0,E110-'Invoer gegevens'!$C$17-14.5)</f>
        <v>90.5</v>
      </c>
      <c r="BC110" s="71"/>
    </row>
    <row r="111" spans="2:55" customFormat="1" x14ac:dyDescent="0.25">
      <c r="B111" s="70">
        <f t="shared" si="18"/>
        <v>107</v>
      </c>
      <c r="C111" s="67">
        <f ca="1">IF(E111-'Invoer gegevens'!$C$17&lt;0,0,1)</f>
        <v>1</v>
      </c>
      <c r="D111" s="68">
        <f t="shared" si="19"/>
        <v>106.5</v>
      </c>
      <c r="E111" s="69">
        <f ca="1">IF('Invoer gegevens'!$C$16="","",E110+1)</f>
        <v>2125</v>
      </c>
      <c r="F111" s="82">
        <f ca="1">IF('Invoer gegevens'!$C$17=E111,'Invoer gegevens'!$C$10,IF(C111=1,H110,0))</f>
        <v>0</v>
      </c>
      <c r="G111" s="83">
        <f ca="1">IF(C111&gt;=1,F111*Reeksen!C111,0)</f>
        <v>0</v>
      </c>
      <c r="H111" s="84">
        <f t="shared" ca="1" si="12"/>
        <v>0</v>
      </c>
      <c r="I111" s="85">
        <f ca="1">IF('Invoer gegevens'!$C$17=E111,'Invoer gegevens'!$C$11,IF(C111=1,L110,0))</f>
        <v>0</v>
      </c>
      <c r="J111" s="86">
        <f ca="1">IF(C111&lt;1,0,IF(Reeksen!AD111&lt;=Reeksen!AE111,I111*Reeksen!C111,0))</f>
        <v>0</v>
      </c>
      <c r="K111" s="86">
        <f ca="1">IF(C111&lt;1,0,IF(Reeksen!AD111&gt;Reeksen!AE111,I111*Reeksen!C111,0))</f>
        <v>0</v>
      </c>
      <c r="L111" s="86">
        <f t="shared" ca="1" si="13"/>
        <v>0</v>
      </c>
      <c r="M111" s="85">
        <f ca="1">IF('Invoer gegevens'!$C$17=E111,'Invoer gegevens'!$C$10-'Invoer gegevens'!$C$11,IF(C111=1,P110,0))</f>
        <v>0</v>
      </c>
      <c r="N111" s="86">
        <f ca="1">IF(C111&lt;1,0,IF(Reeksen!AD111&lt;=Reeksen!AE111,M111*Reeksen!C111,0))</f>
        <v>0</v>
      </c>
      <c r="O111" s="86">
        <f ca="1">IF(C111&lt;1,0,IF(Reeksen!AD111&gt;Reeksen!AE111,M111*Reeksen!C111,0))</f>
        <v>0</v>
      </c>
      <c r="P111" s="86">
        <f t="shared" ca="1" si="14"/>
        <v>0</v>
      </c>
      <c r="Q111" s="82">
        <f ca="1">IF('Invoer gegevens'!$C$17=E111,I111,IF(C111=0,0,R110))</f>
        <v>0</v>
      </c>
      <c r="R111" s="84">
        <f t="shared" ca="1" si="11"/>
        <v>0</v>
      </c>
      <c r="S111" s="84">
        <f ca="1">IF('Invoer gegevens'!$C$17=E111,M111,IF(C111=0,0,T110))</f>
        <v>0</v>
      </c>
      <c r="T111" s="84">
        <f t="shared" ca="1" si="20"/>
        <v>0</v>
      </c>
      <c r="AI111" s="71">
        <f ca="1">IF(C111=1,((F111+H111)/2*Reeksen!AI111*12)+(('Invoer gegevens'!$C$10-(F111+H111)/2)*Reeksen!AD111*12),0)</f>
        <v>0</v>
      </c>
      <c r="AJ111" s="71">
        <f ca="1">-AI111*'Invoer gegevens'!$F$28</f>
        <v>0</v>
      </c>
      <c r="AK111" s="71">
        <f t="shared" ca="1" si="15"/>
        <v>0</v>
      </c>
      <c r="AL111" s="71">
        <f ca="1">IF(C111=1,(12*((F111+H111)/2)*Reeksen!AL111)+(12*('Invoer gegevens'!$C$10-(F111+H111)/2)*Reeksen!AM111),0)</f>
        <v>0</v>
      </c>
      <c r="AM111" s="71">
        <f ca="1">-AL111*'Invoer gegevens'!$F$31</f>
        <v>0</v>
      </c>
      <c r="AN111" s="71">
        <f t="shared" ca="1" si="16"/>
        <v>0</v>
      </c>
      <c r="AO111" s="71"/>
      <c r="AP111" s="71"/>
      <c r="AQ111" s="71">
        <f ca="1">-IF(C111=1,('Invoer gegevens'!$C$10*'Invoer gegevens'!$F$35)*Reeksen!J111,0)*2</f>
        <v>0</v>
      </c>
      <c r="AR111" s="71">
        <f ca="1">-IF(C111=1,(G111*'Invoer gegevens'!$F$36)*Reeksen!J111,0)</f>
        <v>0</v>
      </c>
      <c r="AS111" s="71">
        <f ca="1">-IF(C111=1,'Invoer gegevens'!$C$10*'Invoer gegevens'!$F$37*Reeksen!L111,0)</f>
        <v>0</v>
      </c>
      <c r="AT111" s="71">
        <f ca="1">-IF(C111=1,IF(E111='Invoer gegevens'!$C$17,'Invoer gegevens'!$C$11,Q111)*Reeksen!S111*'Invoer gegevens'!$C$18*Reeksen!P111,0)</f>
        <v>0</v>
      </c>
      <c r="AU111" s="71">
        <f ca="1">-IF(C111=1,'Invoer gegevens'!$C$10*'Invoer gegevens'!$F$38*Reeksen!H111,0)</f>
        <v>0</v>
      </c>
      <c r="AV111" s="71">
        <f t="shared" si="21"/>
        <v>0</v>
      </c>
      <c r="AW111" s="71">
        <f t="shared" ca="1" si="17"/>
        <v>0</v>
      </c>
      <c r="AX111" s="71">
        <f ca="1">IF(E111&lt;'Invoer gegevens'!$C$17+15,0,IF('RW - MW - DE - DE'!E111&gt;'Invoer gegevens'!$C$17+215,0,'RW - MW - DE - DE'!AW111))</f>
        <v>0</v>
      </c>
      <c r="AY111" s="71">
        <f ca="1">AX111/(1+'Invoer gegevens'!$F$13)^($AZ111-('Invoer gegevens'!$C$17-'Invoer gegevens'!$C$16))/(1+'Invoer gegevens'!$C$39)^('Invoer gegevens'!$C$17-'Invoer gegevens'!$C$16)</f>
        <v>0</v>
      </c>
      <c r="AZ111" s="68">
        <f ca="1">IF(E111-'Invoer gegevens'!$C$17-14.5&lt;0,0,E111-'Invoer gegevens'!$C$17-14.5)</f>
        <v>91.5</v>
      </c>
      <c r="BC111" s="71"/>
    </row>
    <row r="112" spans="2:55" customFormat="1" x14ac:dyDescent="0.25">
      <c r="B112" s="70">
        <f t="shared" si="18"/>
        <v>108</v>
      </c>
      <c r="C112" s="67">
        <f ca="1">IF(E112-'Invoer gegevens'!$C$17&lt;0,0,1)</f>
        <v>1</v>
      </c>
      <c r="D112" s="68">
        <f t="shared" si="19"/>
        <v>107.5</v>
      </c>
      <c r="E112" s="69">
        <f ca="1">IF('Invoer gegevens'!$C$16="","",E111+1)</f>
        <v>2126</v>
      </c>
      <c r="F112" s="82">
        <f ca="1">IF('Invoer gegevens'!$C$17=E112,'Invoer gegevens'!$C$10,IF(C112=1,H111,0))</f>
        <v>0</v>
      </c>
      <c r="G112" s="83">
        <f ca="1">IF(C112&gt;=1,F112*Reeksen!C112,0)</f>
        <v>0</v>
      </c>
      <c r="H112" s="84">
        <f t="shared" ca="1" si="12"/>
        <v>0</v>
      </c>
      <c r="I112" s="85">
        <f ca="1">IF('Invoer gegevens'!$C$17=E112,'Invoer gegevens'!$C$11,IF(C112=1,L111,0))</f>
        <v>0</v>
      </c>
      <c r="J112" s="86">
        <f ca="1">IF(C112&lt;1,0,IF(Reeksen!AD112&lt;=Reeksen!AE112,I112*Reeksen!C112,0))</f>
        <v>0</v>
      </c>
      <c r="K112" s="86">
        <f ca="1">IF(C112&lt;1,0,IF(Reeksen!AD112&gt;Reeksen!AE112,I112*Reeksen!C112,0))</f>
        <v>0</v>
      </c>
      <c r="L112" s="86">
        <f t="shared" ca="1" si="13"/>
        <v>0</v>
      </c>
      <c r="M112" s="85">
        <f ca="1">IF('Invoer gegevens'!$C$17=E112,'Invoer gegevens'!$C$10-'Invoer gegevens'!$C$11,IF(C112=1,P111,0))</f>
        <v>0</v>
      </c>
      <c r="N112" s="86">
        <f ca="1">IF(C112&lt;1,0,IF(Reeksen!AD112&lt;=Reeksen!AE112,M112*Reeksen!C112,0))</f>
        <v>0</v>
      </c>
      <c r="O112" s="86">
        <f ca="1">IF(C112&lt;1,0,IF(Reeksen!AD112&gt;Reeksen!AE112,M112*Reeksen!C112,0))</f>
        <v>0</v>
      </c>
      <c r="P112" s="86">
        <f t="shared" ca="1" si="14"/>
        <v>0</v>
      </c>
      <c r="Q112" s="82">
        <f ca="1">IF('Invoer gegevens'!$C$17=E112,I112,IF(C112=0,0,R111))</f>
        <v>0</v>
      </c>
      <c r="R112" s="84">
        <f t="shared" ca="1" si="11"/>
        <v>0</v>
      </c>
      <c r="S112" s="84">
        <f ca="1">IF('Invoer gegevens'!$C$17=E112,M112,IF(C112=0,0,T111))</f>
        <v>0</v>
      </c>
      <c r="T112" s="84">
        <f t="shared" ca="1" si="20"/>
        <v>0</v>
      </c>
      <c r="AI112" s="71">
        <f ca="1">IF(C112=1,((F112+H112)/2*Reeksen!AI112*12)+(('Invoer gegevens'!$C$10-(F112+H112)/2)*Reeksen!AD112*12),0)</f>
        <v>0</v>
      </c>
      <c r="AJ112" s="71">
        <f ca="1">-AI112*'Invoer gegevens'!$F$28</f>
        <v>0</v>
      </c>
      <c r="AK112" s="71">
        <f t="shared" ca="1" si="15"/>
        <v>0</v>
      </c>
      <c r="AL112" s="71">
        <f ca="1">IF(C112=1,(12*((F112+H112)/2)*Reeksen!AL112)+(12*('Invoer gegevens'!$C$10-(F112+H112)/2)*Reeksen!AM112),0)</f>
        <v>0</v>
      </c>
      <c r="AM112" s="71">
        <f ca="1">-AL112*'Invoer gegevens'!$F$31</f>
        <v>0</v>
      </c>
      <c r="AN112" s="71">
        <f t="shared" ca="1" si="16"/>
        <v>0</v>
      </c>
      <c r="AO112" s="71"/>
      <c r="AP112" s="71"/>
      <c r="AQ112" s="71">
        <f ca="1">-IF(C112=1,('Invoer gegevens'!$C$10*'Invoer gegevens'!$F$35)*Reeksen!J112,0)*2</f>
        <v>0</v>
      </c>
      <c r="AR112" s="71">
        <f ca="1">-IF(C112=1,(G112*'Invoer gegevens'!$F$36)*Reeksen!J112,0)</f>
        <v>0</v>
      </c>
      <c r="AS112" s="71">
        <f ca="1">-IF(C112=1,'Invoer gegevens'!$C$10*'Invoer gegevens'!$F$37*Reeksen!L112,0)</f>
        <v>0</v>
      </c>
      <c r="AT112" s="71">
        <f ca="1">-IF(C112=1,IF(E112='Invoer gegevens'!$C$17,'Invoer gegevens'!$C$11,Q112)*Reeksen!S112*'Invoer gegevens'!$C$18*Reeksen!P112,0)</f>
        <v>0</v>
      </c>
      <c r="AU112" s="71">
        <f ca="1">-IF(C112=1,'Invoer gegevens'!$C$10*'Invoer gegevens'!$F$38*Reeksen!H112,0)</f>
        <v>0</v>
      </c>
      <c r="AV112" s="71">
        <f t="shared" si="21"/>
        <v>0</v>
      </c>
      <c r="AW112" s="71">
        <f t="shared" ca="1" si="17"/>
        <v>0</v>
      </c>
      <c r="AX112" s="71">
        <f ca="1">IF(E112&lt;'Invoer gegevens'!$C$17+15,0,IF('RW - MW - DE - DE'!E112&gt;'Invoer gegevens'!$C$17+215,0,'RW - MW - DE - DE'!AW112))</f>
        <v>0</v>
      </c>
      <c r="AY112" s="71">
        <f ca="1">AX112/(1+'Invoer gegevens'!$F$13)^($AZ112-('Invoer gegevens'!$C$17-'Invoer gegevens'!$C$16))/(1+'Invoer gegevens'!$C$39)^('Invoer gegevens'!$C$17-'Invoer gegevens'!$C$16)</f>
        <v>0</v>
      </c>
      <c r="AZ112" s="68">
        <f ca="1">IF(E112-'Invoer gegevens'!$C$17-14.5&lt;0,0,E112-'Invoer gegevens'!$C$17-14.5)</f>
        <v>92.5</v>
      </c>
      <c r="BC112" s="71"/>
    </row>
    <row r="113" spans="2:55" customFormat="1" x14ac:dyDescent="0.25">
      <c r="B113" s="70">
        <f t="shared" si="18"/>
        <v>109</v>
      </c>
      <c r="C113" s="67">
        <f ca="1">IF(E113-'Invoer gegevens'!$C$17&lt;0,0,1)</f>
        <v>1</v>
      </c>
      <c r="D113" s="68">
        <f t="shared" si="19"/>
        <v>108.5</v>
      </c>
      <c r="E113" s="69">
        <f ca="1">IF('Invoer gegevens'!$C$16="","",E112+1)</f>
        <v>2127</v>
      </c>
      <c r="F113" s="82">
        <f ca="1">IF('Invoer gegevens'!$C$17=E113,'Invoer gegevens'!$C$10,IF(C113=1,H112,0))</f>
        <v>0</v>
      </c>
      <c r="G113" s="83">
        <f ca="1">IF(C113&gt;=1,F113*Reeksen!C113,0)</f>
        <v>0</v>
      </c>
      <c r="H113" s="84">
        <f t="shared" ca="1" si="12"/>
        <v>0</v>
      </c>
      <c r="I113" s="85">
        <f ca="1">IF('Invoer gegevens'!$C$17=E113,'Invoer gegevens'!$C$11,IF(C113=1,L112,0))</f>
        <v>0</v>
      </c>
      <c r="J113" s="86">
        <f ca="1">IF(C113&lt;1,0,IF(Reeksen!AD113&lt;=Reeksen!AE113,I113*Reeksen!C113,0))</f>
        <v>0</v>
      </c>
      <c r="K113" s="86">
        <f ca="1">IF(C113&lt;1,0,IF(Reeksen!AD113&gt;Reeksen!AE113,I113*Reeksen!C113,0))</f>
        <v>0</v>
      </c>
      <c r="L113" s="86">
        <f t="shared" ca="1" si="13"/>
        <v>0</v>
      </c>
      <c r="M113" s="85">
        <f ca="1">IF('Invoer gegevens'!$C$17=E113,'Invoer gegevens'!$C$10-'Invoer gegevens'!$C$11,IF(C113=1,P112,0))</f>
        <v>0</v>
      </c>
      <c r="N113" s="86">
        <f ca="1">IF(C113&lt;1,0,IF(Reeksen!AD113&lt;=Reeksen!AE113,M113*Reeksen!C113,0))</f>
        <v>0</v>
      </c>
      <c r="O113" s="86">
        <f ca="1">IF(C113&lt;1,0,IF(Reeksen!AD113&gt;Reeksen!AE113,M113*Reeksen!C113,0))</f>
        <v>0</v>
      </c>
      <c r="P113" s="86">
        <f t="shared" ca="1" si="14"/>
        <v>0</v>
      </c>
      <c r="Q113" s="82">
        <f ca="1">IF('Invoer gegevens'!$C$17=E113,I113,IF(C113=0,0,R112))</f>
        <v>0</v>
      </c>
      <c r="R113" s="84">
        <f t="shared" ca="1" si="11"/>
        <v>0</v>
      </c>
      <c r="S113" s="84">
        <f ca="1">IF('Invoer gegevens'!$C$17=E113,M113,IF(C113=0,0,T112))</f>
        <v>0</v>
      </c>
      <c r="T113" s="84">
        <f t="shared" ca="1" si="20"/>
        <v>0</v>
      </c>
      <c r="AI113" s="71">
        <f ca="1">IF(C113=1,((F113+H113)/2*Reeksen!AI113*12)+(('Invoer gegevens'!$C$10-(F113+H113)/2)*Reeksen!AD113*12),0)</f>
        <v>0</v>
      </c>
      <c r="AJ113" s="71">
        <f ca="1">-AI113*'Invoer gegevens'!$F$28</f>
        <v>0</v>
      </c>
      <c r="AK113" s="71">
        <f t="shared" ca="1" si="15"/>
        <v>0</v>
      </c>
      <c r="AL113" s="71">
        <f ca="1">IF(C113=1,(12*((F113+H113)/2)*Reeksen!AL113)+(12*('Invoer gegevens'!$C$10-(F113+H113)/2)*Reeksen!AM113),0)</f>
        <v>0</v>
      </c>
      <c r="AM113" s="71">
        <f ca="1">-AL113*'Invoer gegevens'!$F$31</f>
        <v>0</v>
      </c>
      <c r="AN113" s="71">
        <f t="shared" ca="1" si="16"/>
        <v>0</v>
      </c>
      <c r="AO113" s="71"/>
      <c r="AP113" s="71"/>
      <c r="AQ113" s="71">
        <f ca="1">-IF(C113=1,('Invoer gegevens'!$C$10*'Invoer gegevens'!$F$35)*Reeksen!J113,0)*2</f>
        <v>0</v>
      </c>
      <c r="AR113" s="71">
        <f ca="1">-IF(C113=1,(G113*'Invoer gegevens'!$F$36)*Reeksen!J113,0)</f>
        <v>0</v>
      </c>
      <c r="AS113" s="71">
        <f ca="1">-IF(C113=1,'Invoer gegevens'!$C$10*'Invoer gegevens'!$F$37*Reeksen!L113,0)</f>
        <v>0</v>
      </c>
      <c r="AT113" s="71">
        <f ca="1">-IF(C113=1,IF(E113='Invoer gegevens'!$C$17,'Invoer gegevens'!$C$11,Q113)*Reeksen!S113*'Invoer gegevens'!$C$18*Reeksen!P113,0)</f>
        <v>0</v>
      </c>
      <c r="AU113" s="71">
        <f ca="1">-IF(C113=1,'Invoer gegevens'!$C$10*'Invoer gegevens'!$F$38*Reeksen!H113,0)</f>
        <v>0</v>
      </c>
      <c r="AV113" s="71">
        <f t="shared" si="21"/>
        <v>0</v>
      </c>
      <c r="AW113" s="71">
        <f t="shared" ca="1" si="17"/>
        <v>0</v>
      </c>
      <c r="AX113" s="71">
        <f ca="1">IF(E113&lt;'Invoer gegevens'!$C$17+15,0,IF('RW - MW - DE - DE'!E113&gt;'Invoer gegevens'!$C$17+215,0,'RW - MW - DE - DE'!AW113))</f>
        <v>0</v>
      </c>
      <c r="AY113" s="71">
        <f ca="1">AX113/(1+'Invoer gegevens'!$F$13)^($AZ113-('Invoer gegevens'!$C$17-'Invoer gegevens'!$C$16))/(1+'Invoer gegevens'!$C$39)^('Invoer gegevens'!$C$17-'Invoer gegevens'!$C$16)</f>
        <v>0</v>
      </c>
      <c r="AZ113" s="68">
        <f ca="1">IF(E113-'Invoer gegevens'!$C$17-14.5&lt;0,0,E113-'Invoer gegevens'!$C$17-14.5)</f>
        <v>93.5</v>
      </c>
      <c r="BC113" s="71"/>
    </row>
    <row r="114" spans="2:55" customFormat="1" x14ac:dyDescent="0.25">
      <c r="B114" s="70">
        <f t="shared" si="18"/>
        <v>110</v>
      </c>
      <c r="C114" s="67">
        <f ca="1">IF(E114-'Invoer gegevens'!$C$17&lt;0,0,1)</f>
        <v>1</v>
      </c>
      <c r="D114" s="68">
        <f t="shared" si="19"/>
        <v>109.5</v>
      </c>
      <c r="E114" s="69">
        <f ca="1">IF('Invoer gegevens'!$C$16="","",E113+1)</f>
        <v>2128</v>
      </c>
      <c r="F114" s="82">
        <f ca="1">IF('Invoer gegevens'!$C$17=E114,'Invoer gegevens'!$C$10,IF(C114=1,H113,0))</f>
        <v>0</v>
      </c>
      <c r="G114" s="83">
        <f ca="1">IF(C114&gt;=1,F114*Reeksen!C114,0)</f>
        <v>0</v>
      </c>
      <c r="H114" s="84">
        <f t="shared" ca="1" si="12"/>
        <v>0</v>
      </c>
      <c r="I114" s="85">
        <f ca="1">IF('Invoer gegevens'!$C$17=E114,'Invoer gegevens'!$C$11,IF(C114=1,L113,0))</f>
        <v>0</v>
      </c>
      <c r="J114" s="86">
        <f ca="1">IF(C114&lt;1,0,IF(Reeksen!AD114&lt;=Reeksen!AE114,I114*Reeksen!C114,0))</f>
        <v>0</v>
      </c>
      <c r="K114" s="86">
        <f ca="1">IF(C114&lt;1,0,IF(Reeksen!AD114&gt;Reeksen!AE114,I114*Reeksen!C114,0))</f>
        <v>0</v>
      </c>
      <c r="L114" s="86">
        <f t="shared" ca="1" si="13"/>
        <v>0</v>
      </c>
      <c r="M114" s="85">
        <f ca="1">IF('Invoer gegevens'!$C$17=E114,'Invoer gegevens'!$C$10-'Invoer gegevens'!$C$11,IF(C114=1,P113,0))</f>
        <v>0</v>
      </c>
      <c r="N114" s="86">
        <f ca="1">IF(C114&lt;1,0,IF(Reeksen!AD114&lt;=Reeksen!AE114,M114*Reeksen!C114,0))</f>
        <v>0</v>
      </c>
      <c r="O114" s="86">
        <f ca="1">IF(C114&lt;1,0,IF(Reeksen!AD114&gt;Reeksen!AE114,M114*Reeksen!C114,0))</f>
        <v>0</v>
      </c>
      <c r="P114" s="86">
        <f t="shared" ca="1" si="14"/>
        <v>0</v>
      </c>
      <c r="Q114" s="82">
        <f ca="1">IF('Invoer gegevens'!$C$17=E114,I114,IF(C114=0,0,R113))</f>
        <v>0</v>
      </c>
      <c r="R114" s="84">
        <f t="shared" ca="1" si="11"/>
        <v>0</v>
      </c>
      <c r="S114" s="84">
        <f ca="1">IF('Invoer gegevens'!$C$17=E114,M114,IF(C114=0,0,T113))</f>
        <v>0</v>
      </c>
      <c r="T114" s="84">
        <f t="shared" ca="1" si="20"/>
        <v>0</v>
      </c>
      <c r="AI114" s="71">
        <f ca="1">IF(C114=1,((F114+H114)/2*Reeksen!AI114*12)+(('Invoer gegevens'!$C$10-(F114+H114)/2)*Reeksen!AD114*12),0)</f>
        <v>0</v>
      </c>
      <c r="AJ114" s="71">
        <f ca="1">-AI114*'Invoer gegevens'!$F$28</f>
        <v>0</v>
      </c>
      <c r="AK114" s="71">
        <f t="shared" ca="1" si="15"/>
        <v>0</v>
      </c>
      <c r="AL114" s="71">
        <f ca="1">IF(C114=1,(12*((F114+H114)/2)*Reeksen!AL114)+(12*('Invoer gegevens'!$C$10-(F114+H114)/2)*Reeksen!AM114),0)</f>
        <v>0</v>
      </c>
      <c r="AM114" s="71">
        <f ca="1">-AL114*'Invoer gegevens'!$F$31</f>
        <v>0</v>
      </c>
      <c r="AN114" s="71">
        <f t="shared" ca="1" si="16"/>
        <v>0</v>
      </c>
      <c r="AO114" s="71"/>
      <c r="AP114" s="71"/>
      <c r="AQ114" s="71">
        <f ca="1">-IF(C114=1,('Invoer gegevens'!$C$10*'Invoer gegevens'!$F$35)*Reeksen!J114,0)*2</f>
        <v>0</v>
      </c>
      <c r="AR114" s="71">
        <f ca="1">-IF(C114=1,(G114*'Invoer gegevens'!$F$36)*Reeksen!J114,0)</f>
        <v>0</v>
      </c>
      <c r="AS114" s="71">
        <f ca="1">-IF(C114=1,'Invoer gegevens'!$C$10*'Invoer gegevens'!$F$37*Reeksen!L114,0)</f>
        <v>0</v>
      </c>
      <c r="AT114" s="71">
        <f ca="1">-IF(C114=1,IF(E114='Invoer gegevens'!$C$17,'Invoer gegevens'!$C$11,Q114)*Reeksen!S114*'Invoer gegevens'!$C$18*Reeksen!P114,0)</f>
        <v>0</v>
      </c>
      <c r="AU114" s="71">
        <f ca="1">-IF(C114=1,'Invoer gegevens'!$C$10*'Invoer gegevens'!$F$38*Reeksen!H114,0)</f>
        <v>0</v>
      </c>
      <c r="AV114" s="71">
        <f t="shared" si="21"/>
        <v>0</v>
      </c>
      <c r="AW114" s="71">
        <f t="shared" ca="1" si="17"/>
        <v>0</v>
      </c>
      <c r="AX114" s="71">
        <f ca="1">IF(E114&lt;'Invoer gegevens'!$C$17+15,0,IF('RW - MW - DE - DE'!E114&gt;'Invoer gegevens'!$C$17+215,0,'RW - MW - DE - DE'!AW114))</f>
        <v>0</v>
      </c>
      <c r="AY114" s="71">
        <f ca="1">AX114/(1+'Invoer gegevens'!$F$13)^($AZ114-('Invoer gegevens'!$C$17-'Invoer gegevens'!$C$16))/(1+'Invoer gegevens'!$C$39)^('Invoer gegevens'!$C$17-'Invoer gegevens'!$C$16)</f>
        <v>0</v>
      </c>
      <c r="AZ114" s="68">
        <f ca="1">IF(E114-'Invoer gegevens'!$C$17-14.5&lt;0,0,E114-'Invoer gegevens'!$C$17-14.5)</f>
        <v>94.5</v>
      </c>
      <c r="BC114" s="71"/>
    </row>
    <row r="115" spans="2:55" customFormat="1" x14ac:dyDescent="0.25">
      <c r="B115" s="70">
        <f t="shared" si="18"/>
        <v>111</v>
      </c>
      <c r="C115" s="67">
        <f ca="1">IF(E115-'Invoer gegevens'!$C$17&lt;0,0,1)</f>
        <v>1</v>
      </c>
      <c r="D115" s="68">
        <f t="shared" si="19"/>
        <v>110.5</v>
      </c>
      <c r="E115" s="69">
        <f ca="1">IF('Invoer gegevens'!$C$16="","",E114+1)</f>
        <v>2129</v>
      </c>
      <c r="F115" s="82">
        <f ca="1">IF('Invoer gegevens'!$C$17=E115,'Invoer gegevens'!$C$10,IF(C115=1,H114,0))</f>
        <v>0</v>
      </c>
      <c r="G115" s="83">
        <f ca="1">IF(C115&gt;=1,F115*Reeksen!C115,0)</f>
        <v>0</v>
      </c>
      <c r="H115" s="84">
        <f t="shared" ca="1" si="12"/>
        <v>0</v>
      </c>
      <c r="I115" s="85">
        <f ca="1">IF('Invoer gegevens'!$C$17=E115,'Invoer gegevens'!$C$11,IF(C115=1,L114,0))</f>
        <v>0</v>
      </c>
      <c r="J115" s="86">
        <f ca="1">IF(C115&lt;1,0,IF(Reeksen!AD115&lt;=Reeksen!AE115,I115*Reeksen!C115,0))</f>
        <v>0</v>
      </c>
      <c r="K115" s="86">
        <f ca="1">IF(C115&lt;1,0,IF(Reeksen!AD115&gt;Reeksen!AE115,I115*Reeksen!C115,0))</f>
        <v>0</v>
      </c>
      <c r="L115" s="86">
        <f t="shared" ca="1" si="13"/>
        <v>0</v>
      </c>
      <c r="M115" s="85">
        <f ca="1">IF('Invoer gegevens'!$C$17=E115,'Invoer gegevens'!$C$10-'Invoer gegevens'!$C$11,IF(C115=1,P114,0))</f>
        <v>0</v>
      </c>
      <c r="N115" s="86">
        <f ca="1">IF(C115&lt;1,0,IF(Reeksen!AD115&lt;=Reeksen!AE115,M115*Reeksen!C115,0))</f>
        <v>0</v>
      </c>
      <c r="O115" s="86">
        <f ca="1">IF(C115&lt;1,0,IF(Reeksen!AD115&gt;Reeksen!AE115,M115*Reeksen!C115,0))</f>
        <v>0</v>
      </c>
      <c r="P115" s="86">
        <f t="shared" ca="1" si="14"/>
        <v>0</v>
      </c>
      <c r="Q115" s="82">
        <f ca="1">IF('Invoer gegevens'!$C$17=E115,I115,IF(C115=0,0,R114))</f>
        <v>0</v>
      </c>
      <c r="R115" s="84">
        <f t="shared" ca="1" si="11"/>
        <v>0</v>
      </c>
      <c r="S115" s="84">
        <f ca="1">IF('Invoer gegevens'!$C$17=E115,M115,IF(C115=0,0,T114))</f>
        <v>0</v>
      </c>
      <c r="T115" s="84">
        <f t="shared" ca="1" si="20"/>
        <v>0</v>
      </c>
      <c r="AI115" s="71">
        <f ca="1">IF(C115=1,((F115+H115)/2*Reeksen!AI115*12)+(('Invoer gegevens'!$C$10-(F115+H115)/2)*Reeksen!AD115*12),0)</f>
        <v>0</v>
      </c>
      <c r="AJ115" s="71">
        <f ca="1">-AI115*'Invoer gegevens'!$F$28</f>
        <v>0</v>
      </c>
      <c r="AK115" s="71">
        <f t="shared" ca="1" si="15"/>
        <v>0</v>
      </c>
      <c r="AL115" s="71">
        <f ca="1">IF(C115=1,(12*((F115+H115)/2)*Reeksen!AL115)+(12*('Invoer gegevens'!$C$10-(F115+H115)/2)*Reeksen!AM115),0)</f>
        <v>0</v>
      </c>
      <c r="AM115" s="71">
        <f ca="1">-AL115*'Invoer gegevens'!$F$31</f>
        <v>0</v>
      </c>
      <c r="AN115" s="71">
        <f t="shared" ca="1" si="16"/>
        <v>0</v>
      </c>
      <c r="AO115" s="71"/>
      <c r="AP115" s="71"/>
      <c r="AQ115" s="71">
        <f ca="1">-IF(C115=1,('Invoer gegevens'!$C$10*'Invoer gegevens'!$F$35)*Reeksen!J115,0)*2</f>
        <v>0</v>
      </c>
      <c r="AR115" s="71">
        <f ca="1">-IF(C115=1,(G115*'Invoer gegevens'!$F$36)*Reeksen!J115,0)</f>
        <v>0</v>
      </c>
      <c r="AS115" s="71">
        <f ca="1">-IF(C115=1,'Invoer gegevens'!$C$10*'Invoer gegevens'!$F$37*Reeksen!L115,0)</f>
        <v>0</v>
      </c>
      <c r="AT115" s="71">
        <f ca="1">-IF(C115=1,IF(E115='Invoer gegevens'!$C$17,'Invoer gegevens'!$C$11,Q115)*Reeksen!S115*'Invoer gegevens'!$C$18*Reeksen!P115,0)</f>
        <v>0</v>
      </c>
      <c r="AU115" s="71">
        <f ca="1">-IF(C115=1,'Invoer gegevens'!$C$10*'Invoer gegevens'!$F$38*Reeksen!H115,0)</f>
        <v>0</v>
      </c>
      <c r="AV115" s="71">
        <f t="shared" si="21"/>
        <v>0</v>
      </c>
      <c r="AW115" s="71">
        <f t="shared" ca="1" si="17"/>
        <v>0</v>
      </c>
      <c r="AX115" s="71">
        <f ca="1">IF(E115&lt;'Invoer gegevens'!$C$17+15,0,IF('RW - MW - DE - DE'!E115&gt;'Invoer gegevens'!$C$17+215,0,'RW - MW - DE - DE'!AW115))</f>
        <v>0</v>
      </c>
      <c r="AY115" s="71">
        <f ca="1">AX115/(1+'Invoer gegevens'!$F$13)^($AZ115-('Invoer gegevens'!$C$17-'Invoer gegevens'!$C$16))/(1+'Invoer gegevens'!$C$39)^('Invoer gegevens'!$C$17-'Invoer gegevens'!$C$16)</f>
        <v>0</v>
      </c>
      <c r="AZ115" s="68">
        <f ca="1">IF(E115-'Invoer gegevens'!$C$17-14.5&lt;0,0,E115-'Invoer gegevens'!$C$17-14.5)</f>
        <v>95.5</v>
      </c>
      <c r="BC115" s="71"/>
    </row>
    <row r="116" spans="2:55" customFormat="1" x14ac:dyDescent="0.25">
      <c r="B116" s="70">
        <f t="shared" si="18"/>
        <v>112</v>
      </c>
      <c r="C116" s="67">
        <f ca="1">IF(E116-'Invoer gegevens'!$C$17&lt;0,0,1)</f>
        <v>1</v>
      </c>
      <c r="D116" s="68">
        <f t="shared" si="19"/>
        <v>111.5</v>
      </c>
      <c r="E116" s="69">
        <f ca="1">IF('Invoer gegevens'!$C$16="","",E115+1)</f>
        <v>2130</v>
      </c>
      <c r="F116" s="82">
        <f ca="1">IF('Invoer gegevens'!$C$17=E116,'Invoer gegevens'!$C$10,IF(C116=1,H115,0))</f>
        <v>0</v>
      </c>
      <c r="G116" s="83">
        <f ca="1">IF(C116&gt;=1,F116*Reeksen!C116,0)</f>
        <v>0</v>
      </c>
      <c r="H116" s="84">
        <f t="shared" ca="1" si="12"/>
        <v>0</v>
      </c>
      <c r="I116" s="85">
        <f ca="1">IF('Invoer gegevens'!$C$17=E116,'Invoer gegevens'!$C$11,IF(C116=1,L115,0))</f>
        <v>0</v>
      </c>
      <c r="J116" s="86">
        <f ca="1">IF(C116&lt;1,0,IF(Reeksen!AD116&lt;=Reeksen!AE116,I116*Reeksen!C116,0))</f>
        <v>0</v>
      </c>
      <c r="K116" s="86">
        <f ca="1">IF(C116&lt;1,0,IF(Reeksen!AD116&gt;Reeksen!AE116,I116*Reeksen!C116,0))</f>
        <v>0</v>
      </c>
      <c r="L116" s="86">
        <f t="shared" ca="1" si="13"/>
        <v>0</v>
      </c>
      <c r="M116" s="85">
        <f ca="1">IF('Invoer gegevens'!$C$17=E116,'Invoer gegevens'!$C$10-'Invoer gegevens'!$C$11,IF(C116=1,P115,0))</f>
        <v>0</v>
      </c>
      <c r="N116" s="86">
        <f ca="1">IF(C116&lt;1,0,IF(Reeksen!AD116&lt;=Reeksen!AE116,M116*Reeksen!C116,0))</f>
        <v>0</v>
      </c>
      <c r="O116" s="86">
        <f ca="1">IF(C116&lt;1,0,IF(Reeksen!AD116&gt;Reeksen!AE116,M116*Reeksen!C116,0))</f>
        <v>0</v>
      </c>
      <c r="P116" s="86">
        <f t="shared" ca="1" si="14"/>
        <v>0</v>
      </c>
      <c r="Q116" s="82">
        <f ca="1">IF('Invoer gegevens'!$C$17=E116,I116,IF(C116=0,0,R115))</f>
        <v>0</v>
      </c>
      <c r="R116" s="84">
        <f t="shared" ca="1" si="11"/>
        <v>0</v>
      </c>
      <c r="S116" s="84">
        <f ca="1">IF('Invoer gegevens'!$C$17=E116,M116,IF(C116=0,0,T115))</f>
        <v>0</v>
      </c>
      <c r="T116" s="84">
        <f t="shared" ca="1" si="20"/>
        <v>0</v>
      </c>
      <c r="AI116" s="71">
        <f ca="1">IF(C116=1,((F116+H116)/2*Reeksen!AI116*12)+(('Invoer gegevens'!$C$10-(F116+H116)/2)*Reeksen!AD116*12),0)</f>
        <v>0</v>
      </c>
      <c r="AJ116" s="71">
        <f ca="1">-AI116*'Invoer gegevens'!$F$28</f>
        <v>0</v>
      </c>
      <c r="AK116" s="71">
        <f t="shared" ca="1" si="15"/>
        <v>0</v>
      </c>
      <c r="AL116" s="71">
        <f ca="1">IF(C116=1,(12*((F116+H116)/2)*Reeksen!AL116)+(12*('Invoer gegevens'!$C$10-(F116+H116)/2)*Reeksen!AM116),0)</f>
        <v>0</v>
      </c>
      <c r="AM116" s="71">
        <f ca="1">-AL116*'Invoer gegevens'!$F$31</f>
        <v>0</v>
      </c>
      <c r="AN116" s="71">
        <f t="shared" ca="1" si="16"/>
        <v>0</v>
      </c>
      <c r="AO116" s="71"/>
      <c r="AP116" s="71"/>
      <c r="AQ116" s="71">
        <f ca="1">-IF(C116=1,('Invoer gegevens'!$C$10*'Invoer gegevens'!$F$35)*Reeksen!J116,0)*2</f>
        <v>0</v>
      </c>
      <c r="AR116" s="71">
        <f ca="1">-IF(C116=1,(G116*'Invoer gegevens'!$F$36)*Reeksen!J116,0)</f>
        <v>0</v>
      </c>
      <c r="AS116" s="71">
        <f ca="1">-IF(C116=1,'Invoer gegevens'!$C$10*'Invoer gegevens'!$F$37*Reeksen!L116,0)</f>
        <v>0</v>
      </c>
      <c r="AT116" s="71">
        <f ca="1">-IF(C116=1,IF(E116='Invoer gegevens'!$C$17,'Invoer gegevens'!$C$11,Q116)*Reeksen!S116*'Invoer gegevens'!$C$18*Reeksen!P116,0)</f>
        <v>0</v>
      </c>
      <c r="AU116" s="71">
        <f ca="1">-IF(C116=1,'Invoer gegevens'!$C$10*'Invoer gegevens'!$F$38*Reeksen!H116,0)</f>
        <v>0</v>
      </c>
      <c r="AV116" s="71">
        <f t="shared" si="21"/>
        <v>0</v>
      </c>
      <c r="AW116" s="71">
        <f t="shared" ca="1" si="17"/>
        <v>0</v>
      </c>
      <c r="AX116" s="71">
        <f ca="1">IF(E116&lt;'Invoer gegevens'!$C$17+15,0,IF('RW - MW - DE - DE'!E116&gt;'Invoer gegevens'!$C$17+215,0,'RW - MW - DE - DE'!AW116))</f>
        <v>0</v>
      </c>
      <c r="AY116" s="71">
        <f ca="1">AX116/(1+'Invoer gegevens'!$F$13)^($AZ116-('Invoer gegevens'!$C$17-'Invoer gegevens'!$C$16))/(1+'Invoer gegevens'!$C$39)^('Invoer gegevens'!$C$17-'Invoer gegevens'!$C$16)</f>
        <v>0</v>
      </c>
      <c r="AZ116" s="68">
        <f ca="1">IF(E116-'Invoer gegevens'!$C$17-14.5&lt;0,0,E116-'Invoer gegevens'!$C$17-14.5)</f>
        <v>96.5</v>
      </c>
      <c r="BC116" s="71"/>
    </row>
    <row r="117" spans="2:55" customFormat="1" x14ac:dyDescent="0.25">
      <c r="B117" s="70">
        <f t="shared" si="18"/>
        <v>113</v>
      </c>
      <c r="C117" s="67">
        <f ca="1">IF(E117-'Invoer gegevens'!$C$17&lt;0,0,1)</f>
        <v>1</v>
      </c>
      <c r="D117" s="68">
        <f t="shared" si="19"/>
        <v>112.5</v>
      </c>
      <c r="E117" s="69">
        <f ca="1">IF('Invoer gegevens'!$C$16="","",E116+1)</f>
        <v>2131</v>
      </c>
      <c r="F117" s="82">
        <f ca="1">IF('Invoer gegevens'!$C$17=E117,'Invoer gegevens'!$C$10,IF(C117=1,H116,0))</f>
        <v>0</v>
      </c>
      <c r="G117" s="83">
        <f ca="1">IF(C117&gt;=1,F117*Reeksen!C117,0)</f>
        <v>0</v>
      </c>
      <c r="H117" s="84">
        <f t="shared" ca="1" si="12"/>
        <v>0</v>
      </c>
      <c r="I117" s="85">
        <f ca="1">IF('Invoer gegevens'!$C$17=E117,'Invoer gegevens'!$C$11,IF(C117=1,L116,0))</f>
        <v>0</v>
      </c>
      <c r="J117" s="86">
        <f ca="1">IF(C117&lt;1,0,IF(Reeksen!AD117&lt;=Reeksen!AE117,I117*Reeksen!C117,0))</f>
        <v>0</v>
      </c>
      <c r="K117" s="86">
        <f ca="1">IF(C117&lt;1,0,IF(Reeksen!AD117&gt;Reeksen!AE117,I117*Reeksen!C117,0))</f>
        <v>0</v>
      </c>
      <c r="L117" s="86">
        <f t="shared" ca="1" si="13"/>
        <v>0</v>
      </c>
      <c r="M117" s="85">
        <f ca="1">IF('Invoer gegevens'!$C$17=E117,'Invoer gegevens'!$C$10-'Invoer gegevens'!$C$11,IF(C117=1,P116,0))</f>
        <v>0</v>
      </c>
      <c r="N117" s="86">
        <f ca="1">IF(C117&lt;1,0,IF(Reeksen!AD117&lt;=Reeksen!AE117,M117*Reeksen!C117,0))</f>
        <v>0</v>
      </c>
      <c r="O117" s="86">
        <f ca="1">IF(C117&lt;1,0,IF(Reeksen!AD117&gt;Reeksen!AE117,M117*Reeksen!C117,0))</f>
        <v>0</v>
      </c>
      <c r="P117" s="86">
        <f t="shared" ca="1" si="14"/>
        <v>0</v>
      </c>
      <c r="Q117" s="82">
        <f ca="1">IF('Invoer gegevens'!$C$17=E117,I117,IF(C117=0,0,R116))</f>
        <v>0</v>
      </c>
      <c r="R117" s="84">
        <f t="shared" ca="1" si="11"/>
        <v>0</v>
      </c>
      <c r="S117" s="84">
        <f ca="1">IF('Invoer gegevens'!$C$17=E117,M117,IF(C117=0,0,T116))</f>
        <v>0</v>
      </c>
      <c r="T117" s="84">
        <f t="shared" ca="1" si="20"/>
        <v>0</v>
      </c>
      <c r="AI117" s="71">
        <f ca="1">IF(C117=1,((F117+H117)/2*Reeksen!AI117*12)+(('Invoer gegevens'!$C$10-(F117+H117)/2)*Reeksen!AD117*12),0)</f>
        <v>0</v>
      </c>
      <c r="AJ117" s="71">
        <f ca="1">-AI117*'Invoer gegevens'!$F$28</f>
        <v>0</v>
      </c>
      <c r="AK117" s="71">
        <f t="shared" ca="1" si="15"/>
        <v>0</v>
      </c>
      <c r="AL117" s="71">
        <f ca="1">IF(C117=1,(12*((F117+H117)/2)*Reeksen!AL117)+(12*('Invoer gegevens'!$C$10-(F117+H117)/2)*Reeksen!AM117),0)</f>
        <v>0</v>
      </c>
      <c r="AM117" s="71">
        <f ca="1">-AL117*'Invoer gegevens'!$F$31</f>
        <v>0</v>
      </c>
      <c r="AN117" s="71">
        <f t="shared" ca="1" si="16"/>
        <v>0</v>
      </c>
      <c r="AO117" s="71"/>
      <c r="AP117" s="71"/>
      <c r="AQ117" s="71">
        <f ca="1">-IF(C117=1,('Invoer gegevens'!$C$10*'Invoer gegevens'!$F$35)*Reeksen!J117,0)*2</f>
        <v>0</v>
      </c>
      <c r="AR117" s="71">
        <f ca="1">-IF(C117=1,(G117*'Invoer gegevens'!$F$36)*Reeksen!J117,0)</f>
        <v>0</v>
      </c>
      <c r="AS117" s="71">
        <f ca="1">-IF(C117=1,'Invoer gegevens'!$C$10*'Invoer gegevens'!$F$37*Reeksen!L117,0)</f>
        <v>0</v>
      </c>
      <c r="AT117" s="71">
        <f ca="1">-IF(C117=1,IF(E117='Invoer gegevens'!$C$17,'Invoer gegevens'!$C$11,Q117)*Reeksen!S117*'Invoer gegevens'!$C$18*Reeksen!P117,0)</f>
        <v>0</v>
      </c>
      <c r="AU117" s="71">
        <f ca="1">-IF(C117=1,'Invoer gegevens'!$C$10*'Invoer gegevens'!$F$38*Reeksen!H117,0)</f>
        <v>0</v>
      </c>
      <c r="AV117" s="71">
        <f t="shared" si="21"/>
        <v>0</v>
      </c>
      <c r="AW117" s="71">
        <f t="shared" ca="1" si="17"/>
        <v>0</v>
      </c>
      <c r="AX117" s="71">
        <f ca="1">IF(E117&lt;'Invoer gegevens'!$C$17+15,0,IF('RW - MW - DE - DE'!E117&gt;'Invoer gegevens'!$C$17+215,0,'RW - MW - DE - DE'!AW117))</f>
        <v>0</v>
      </c>
      <c r="AY117" s="71">
        <f ca="1">AX117/(1+'Invoer gegevens'!$F$13)^($AZ117-('Invoer gegevens'!$C$17-'Invoer gegevens'!$C$16))/(1+'Invoer gegevens'!$C$39)^('Invoer gegevens'!$C$17-'Invoer gegevens'!$C$16)</f>
        <v>0</v>
      </c>
      <c r="AZ117" s="68">
        <f ca="1">IF(E117-'Invoer gegevens'!$C$17-14.5&lt;0,0,E117-'Invoer gegevens'!$C$17-14.5)</f>
        <v>97.5</v>
      </c>
      <c r="BC117" s="71"/>
    </row>
    <row r="118" spans="2:55" customFormat="1" x14ac:dyDescent="0.25">
      <c r="B118" s="70">
        <f t="shared" si="18"/>
        <v>114</v>
      </c>
      <c r="C118" s="67">
        <f ca="1">IF(E118-'Invoer gegevens'!$C$17&lt;0,0,1)</f>
        <v>1</v>
      </c>
      <c r="D118" s="68">
        <f t="shared" si="19"/>
        <v>113.5</v>
      </c>
      <c r="E118" s="69">
        <f ca="1">IF('Invoer gegevens'!$C$16="","",E117+1)</f>
        <v>2132</v>
      </c>
      <c r="F118" s="82">
        <f ca="1">IF('Invoer gegevens'!$C$17=E118,'Invoer gegevens'!$C$10,IF(C118=1,H117,0))</f>
        <v>0</v>
      </c>
      <c r="G118" s="83">
        <f ca="1">IF(C118&gt;=1,F118*Reeksen!C118,0)</f>
        <v>0</v>
      </c>
      <c r="H118" s="84">
        <f t="shared" ca="1" si="12"/>
        <v>0</v>
      </c>
      <c r="I118" s="85">
        <f ca="1">IF('Invoer gegevens'!$C$17=E118,'Invoer gegevens'!$C$11,IF(C118=1,L117,0))</f>
        <v>0</v>
      </c>
      <c r="J118" s="86">
        <f ca="1">IF(C118&lt;1,0,IF(Reeksen!AD118&lt;=Reeksen!AE118,I118*Reeksen!C118,0))</f>
        <v>0</v>
      </c>
      <c r="K118" s="86">
        <f ca="1">IF(C118&lt;1,0,IF(Reeksen!AD118&gt;Reeksen!AE118,I118*Reeksen!C118,0))</f>
        <v>0</v>
      </c>
      <c r="L118" s="86">
        <f t="shared" ca="1" si="13"/>
        <v>0</v>
      </c>
      <c r="M118" s="85">
        <f ca="1">IF('Invoer gegevens'!$C$17=E118,'Invoer gegevens'!$C$10-'Invoer gegevens'!$C$11,IF(C118=1,P117,0))</f>
        <v>0</v>
      </c>
      <c r="N118" s="86">
        <f ca="1">IF(C118&lt;1,0,IF(Reeksen!AD118&lt;=Reeksen!AE118,M118*Reeksen!C118,0))</f>
        <v>0</v>
      </c>
      <c r="O118" s="86">
        <f ca="1">IF(C118&lt;1,0,IF(Reeksen!AD118&gt;Reeksen!AE118,M118*Reeksen!C118,0))</f>
        <v>0</v>
      </c>
      <c r="P118" s="86">
        <f t="shared" ca="1" si="14"/>
        <v>0</v>
      </c>
      <c r="Q118" s="82">
        <f ca="1">IF('Invoer gegevens'!$C$17=E118,I118,IF(C118=0,0,R117))</f>
        <v>0</v>
      </c>
      <c r="R118" s="84">
        <f t="shared" ca="1" si="11"/>
        <v>0</v>
      </c>
      <c r="S118" s="84">
        <f ca="1">IF('Invoer gegevens'!$C$17=E118,M118,IF(C118=0,0,T117))</f>
        <v>0</v>
      </c>
      <c r="T118" s="84">
        <f t="shared" ca="1" si="20"/>
        <v>0</v>
      </c>
      <c r="AI118" s="71">
        <f ca="1">IF(C118=1,((F118+H118)/2*Reeksen!AI118*12)+(('Invoer gegevens'!$C$10-(F118+H118)/2)*Reeksen!AD118*12),0)</f>
        <v>0</v>
      </c>
      <c r="AJ118" s="71">
        <f ca="1">-AI118*'Invoer gegevens'!$F$28</f>
        <v>0</v>
      </c>
      <c r="AK118" s="71">
        <f t="shared" ca="1" si="15"/>
        <v>0</v>
      </c>
      <c r="AL118" s="71">
        <f ca="1">IF(C118=1,(12*((F118+H118)/2)*Reeksen!AL118)+(12*('Invoer gegevens'!$C$10-(F118+H118)/2)*Reeksen!AM118),0)</f>
        <v>0</v>
      </c>
      <c r="AM118" s="71">
        <f ca="1">-AL118*'Invoer gegevens'!$F$31</f>
        <v>0</v>
      </c>
      <c r="AN118" s="71">
        <f t="shared" ca="1" si="16"/>
        <v>0</v>
      </c>
      <c r="AO118" s="71"/>
      <c r="AP118" s="71"/>
      <c r="AQ118" s="71">
        <f ca="1">-IF(C118=1,('Invoer gegevens'!$C$10*'Invoer gegevens'!$F$35)*Reeksen!J118,0)*2</f>
        <v>0</v>
      </c>
      <c r="AR118" s="71">
        <f ca="1">-IF(C118=1,(G118*'Invoer gegevens'!$F$36)*Reeksen!J118,0)</f>
        <v>0</v>
      </c>
      <c r="AS118" s="71">
        <f ca="1">-IF(C118=1,'Invoer gegevens'!$C$10*'Invoer gegevens'!$F$37*Reeksen!L118,0)</f>
        <v>0</v>
      </c>
      <c r="AT118" s="71">
        <f ca="1">-IF(C118=1,IF(E118='Invoer gegevens'!$C$17,'Invoer gegevens'!$C$11,Q118)*Reeksen!S118*'Invoer gegevens'!$C$18*Reeksen!P118,0)</f>
        <v>0</v>
      </c>
      <c r="AU118" s="71">
        <f ca="1">-IF(C118=1,'Invoer gegevens'!$C$10*'Invoer gegevens'!$F$38*Reeksen!H118,0)</f>
        <v>0</v>
      </c>
      <c r="AV118" s="71">
        <f t="shared" si="21"/>
        <v>0</v>
      </c>
      <c r="AW118" s="71">
        <f t="shared" ca="1" si="17"/>
        <v>0</v>
      </c>
      <c r="AX118" s="71">
        <f ca="1">IF(E118&lt;'Invoer gegevens'!$C$17+15,0,IF('RW - MW - DE - DE'!E118&gt;'Invoer gegevens'!$C$17+215,0,'RW - MW - DE - DE'!AW118))</f>
        <v>0</v>
      </c>
      <c r="AY118" s="71">
        <f ca="1">AX118/(1+'Invoer gegevens'!$F$13)^($AZ118-('Invoer gegevens'!$C$17-'Invoer gegevens'!$C$16))/(1+'Invoer gegevens'!$C$39)^('Invoer gegevens'!$C$17-'Invoer gegevens'!$C$16)</f>
        <v>0</v>
      </c>
      <c r="AZ118" s="68">
        <f ca="1">IF(E118-'Invoer gegevens'!$C$17-14.5&lt;0,0,E118-'Invoer gegevens'!$C$17-14.5)</f>
        <v>98.5</v>
      </c>
      <c r="BC118" s="71"/>
    </row>
    <row r="119" spans="2:55" customFormat="1" x14ac:dyDescent="0.25">
      <c r="B119" s="70">
        <f t="shared" si="18"/>
        <v>115</v>
      </c>
      <c r="C119" s="67">
        <f ca="1">IF(E119-'Invoer gegevens'!$C$17&lt;0,0,1)</f>
        <v>1</v>
      </c>
      <c r="D119" s="68">
        <f t="shared" si="19"/>
        <v>114.5</v>
      </c>
      <c r="E119" s="69">
        <f ca="1">IF('Invoer gegevens'!$C$16="","",E118+1)</f>
        <v>2133</v>
      </c>
      <c r="F119" s="82">
        <f ca="1">IF('Invoer gegevens'!$C$17=E119,'Invoer gegevens'!$C$10,IF(C119=1,H118,0))</f>
        <v>0</v>
      </c>
      <c r="G119" s="83">
        <f ca="1">IF(C119&gt;=1,F119*Reeksen!C119,0)</f>
        <v>0</v>
      </c>
      <c r="H119" s="84">
        <f t="shared" ca="1" si="12"/>
        <v>0</v>
      </c>
      <c r="I119" s="85">
        <f ca="1">IF('Invoer gegevens'!$C$17=E119,'Invoer gegevens'!$C$11,IF(C119=1,L118,0))</f>
        <v>0</v>
      </c>
      <c r="J119" s="86">
        <f ca="1">IF(C119&lt;1,0,IF(Reeksen!AD119&lt;=Reeksen!AE119,I119*Reeksen!C119,0))</f>
        <v>0</v>
      </c>
      <c r="K119" s="86">
        <f ca="1">IF(C119&lt;1,0,IF(Reeksen!AD119&gt;Reeksen!AE119,I119*Reeksen!C119,0))</f>
        <v>0</v>
      </c>
      <c r="L119" s="86">
        <f t="shared" ca="1" si="13"/>
        <v>0</v>
      </c>
      <c r="M119" s="85">
        <f ca="1">IF('Invoer gegevens'!$C$17=E119,'Invoer gegevens'!$C$10-'Invoer gegevens'!$C$11,IF(C119=1,P118,0))</f>
        <v>0</v>
      </c>
      <c r="N119" s="86">
        <f ca="1">IF(C119&lt;1,0,IF(Reeksen!AD119&lt;=Reeksen!AE119,M119*Reeksen!C119,0))</f>
        <v>0</v>
      </c>
      <c r="O119" s="86">
        <f ca="1">IF(C119&lt;1,0,IF(Reeksen!AD119&gt;Reeksen!AE119,M119*Reeksen!C119,0))</f>
        <v>0</v>
      </c>
      <c r="P119" s="86">
        <f t="shared" ca="1" si="14"/>
        <v>0</v>
      </c>
      <c r="Q119" s="82">
        <f ca="1">IF('Invoer gegevens'!$C$17=E119,I119,IF(C119=0,0,R118))</f>
        <v>0</v>
      </c>
      <c r="R119" s="84">
        <f t="shared" ca="1" si="11"/>
        <v>0</v>
      </c>
      <c r="S119" s="84">
        <f ca="1">IF('Invoer gegevens'!$C$17=E119,M119,IF(C119=0,0,T118))</f>
        <v>0</v>
      </c>
      <c r="T119" s="84">
        <f t="shared" ca="1" si="20"/>
        <v>0</v>
      </c>
      <c r="AI119" s="71">
        <f ca="1">IF(C119=1,((F119+H119)/2*Reeksen!AI119*12)+(('Invoer gegevens'!$C$10-(F119+H119)/2)*Reeksen!AD119*12),0)</f>
        <v>0</v>
      </c>
      <c r="AJ119" s="71">
        <f ca="1">-AI119*'Invoer gegevens'!$F$28</f>
        <v>0</v>
      </c>
      <c r="AK119" s="71">
        <f t="shared" ca="1" si="15"/>
        <v>0</v>
      </c>
      <c r="AL119" s="71">
        <f ca="1">IF(C119=1,(12*((F119+H119)/2)*Reeksen!AL119)+(12*('Invoer gegevens'!$C$10-(F119+H119)/2)*Reeksen!AM119),0)</f>
        <v>0</v>
      </c>
      <c r="AM119" s="71">
        <f ca="1">-AL119*'Invoer gegevens'!$F$31</f>
        <v>0</v>
      </c>
      <c r="AN119" s="71">
        <f t="shared" ca="1" si="16"/>
        <v>0</v>
      </c>
      <c r="AO119" s="71"/>
      <c r="AP119" s="71"/>
      <c r="AQ119" s="71">
        <f ca="1">-IF(C119=1,('Invoer gegevens'!$C$10*'Invoer gegevens'!$F$35)*Reeksen!J119,0)*2</f>
        <v>0</v>
      </c>
      <c r="AR119" s="71">
        <f ca="1">-IF(C119=1,(G119*'Invoer gegevens'!$F$36)*Reeksen!J119,0)</f>
        <v>0</v>
      </c>
      <c r="AS119" s="71">
        <f ca="1">-IF(C119=1,'Invoer gegevens'!$C$10*'Invoer gegevens'!$F$37*Reeksen!L119,0)</f>
        <v>0</v>
      </c>
      <c r="AT119" s="71">
        <f ca="1">-IF(C119=1,IF(E119='Invoer gegevens'!$C$17,'Invoer gegevens'!$C$11,Q119)*Reeksen!S119*'Invoer gegevens'!$C$18*Reeksen!P119,0)</f>
        <v>0</v>
      </c>
      <c r="AU119" s="71">
        <f ca="1">-IF(C119=1,'Invoer gegevens'!$C$10*'Invoer gegevens'!$F$38*Reeksen!H119,0)</f>
        <v>0</v>
      </c>
      <c r="AV119" s="71">
        <f t="shared" si="21"/>
        <v>0</v>
      </c>
      <c r="AW119" s="71">
        <f t="shared" ca="1" si="17"/>
        <v>0</v>
      </c>
      <c r="AX119" s="71">
        <f ca="1">IF(E119&lt;'Invoer gegevens'!$C$17+15,0,IF('RW - MW - DE - DE'!E119&gt;'Invoer gegevens'!$C$17+215,0,'RW - MW - DE - DE'!AW119))</f>
        <v>0</v>
      </c>
      <c r="AY119" s="71">
        <f ca="1">AX119/(1+'Invoer gegevens'!$F$13)^($AZ119-('Invoer gegevens'!$C$17-'Invoer gegevens'!$C$16))/(1+'Invoer gegevens'!$C$39)^('Invoer gegevens'!$C$17-'Invoer gegevens'!$C$16)</f>
        <v>0</v>
      </c>
      <c r="AZ119" s="68">
        <f ca="1">IF(E119-'Invoer gegevens'!$C$17-14.5&lt;0,0,E119-'Invoer gegevens'!$C$17-14.5)</f>
        <v>99.5</v>
      </c>
      <c r="BC119" s="71"/>
    </row>
    <row r="120" spans="2:55" customFormat="1" x14ac:dyDescent="0.25">
      <c r="B120" s="70">
        <f t="shared" si="18"/>
        <v>116</v>
      </c>
      <c r="C120" s="67">
        <f ca="1">IF(E120-'Invoer gegevens'!$C$17&lt;0,0,1)</f>
        <v>1</v>
      </c>
      <c r="D120" s="68">
        <f t="shared" si="19"/>
        <v>115.5</v>
      </c>
      <c r="E120" s="69">
        <f ca="1">IF('Invoer gegevens'!$C$16="","",E119+1)</f>
        <v>2134</v>
      </c>
      <c r="F120" s="82">
        <f ca="1">IF('Invoer gegevens'!$C$17=E120,'Invoer gegevens'!$C$10,IF(C120=1,H119,0))</f>
        <v>0</v>
      </c>
      <c r="G120" s="83">
        <f ca="1">IF(C120&gt;=1,F120*Reeksen!C120,0)</f>
        <v>0</v>
      </c>
      <c r="H120" s="84">
        <f t="shared" ca="1" si="12"/>
        <v>0</v>
      </c>
      <c r="I120" s="85">
        <f ca="1">IF('Invoer gegevens'!$C$17=E120,'Invoer gegevens'!$C$11,IF(C120=1,L119,0))</f>
        <v>0</v>
      </c>
      <c r="J120" s="86">
        <f ca="1">IF(C120&lt;1,0,IF(Reeksen!AD120&lt;=Reeksen!AE120,I120*Reeksen!C120,0))</f>
        <v>0</v>
      </c>
      <c r="K120" s="86">
        <f ca="1">IF(C120&lt;1,0,IF(Reeksen!AD120&gt;Reeksen!AE120,I120*Reeksen!C120,0))</f>
        <v>0</v>
      </c>
      <c r="L120" s="86">
        <f t="shared" ca="1" si="13"/>
        <v>0</v>
      </c>
      <c r="M120" s="85">
        <f ca="1">IF('Invoer gegevens'!$C$17=E120,'Invoer gegevens'!$C$10-'Invoer gegevens'!$C$11,IF(C120=1,P119,0))</f>
        <v>0</v>
      </c>
      <c r="N120" s="86">
        <f ca="1">IF(C120&lt;1,0,IF(Reeksen!AD120&lt;=Reeksen!AE120,M120*Reeksen!C120,0))</f>
        <v>0</v>
      </c>
      <c r="O120" s="86">
        <f ca="1">IF(C120&lt;1,0,IF(Reeksen!AD120&gt;Reeksen!AE120,M120*Reeksen!C120,0))</f>
        <v>0</v>
      </c>
      <c r="P120" s="86">
        <f t="shared" ca="1" si="14"/>
        <v>0</v>
      </c>
      <c r="Q120" s="82">
        <f ca="1">IF('Invoer gegevens'!$C$17=E120,I120,IF(C120=0,0,R119))</f>
        <v>0</v>
      </c>
      <c r="R120" s="84">
        <f t="shared" ca="1" si="11"/>
        <v>0</v>
      </c>
      <c r="S120" s="84">
        <f ca="1">IF('Invoer gegevens'!$C$17=E120,M120,IF(C120=0,0,T119))</f>
        <v>0</v>
      </c>
      <c r="T120" s="84">
        <f t="shared" ca="1" si="20"/>
        <v>0</v>
      </c>
      <c r="AI120" s="71">
        <f ca="1">IF(C120=1,((F120+H120)/2*Reeksen!AI120*12)+(('Invoer gegevens'!$C$10-(F120+H120)/2)*Reeksen!AD120*12),0)</f>
        <v>0</v>
      </c>
      <c r="AJ120" s="71">
        <f ca="1">-AI120*'Invoer gegevens'!$F$28</f>
        <v>0</v>
      </c>
      <c r="AK120" s="71">
        <f t="shared" ca="1" si="15"/>
        <v>0</v>
      </c>
      <c r="AL120" s="71">
        <f ca="1">IF(C120=1,(12*((F120+H120)/2)*Reeksen!AL120)+(12*('Invoer gegevens'!$C$10-(F120+H120)/2)*Reeksen!AM120),0)</f>
        <v>0</v>
      </c>
      <c r="AM120" s="71">
        <f ca="1">-AL120*'Invoer gegevens'!$F$31</f>
        <v>0</v>
      </c>
      <c r="AN120" s="71">
        <f t="shared" ca="1" si="16"/>
        <v>0</v>
      </c>
      <c r="AO120" s="71"/>
      <c r="AP120" s="71"/>
      <c r="AQ120" s="71">
        <f ca="1">-IF(C120=1,('Invoer gegevens'!$C$10*'Invoer gegevens'!$F$35)*Reeksen!J120,0)*2</f>
        <v>0</v>
      </c>
      <c r="AR120" s="71">
        <f ca="1">-IF(C120=1,(G120*'Invoer gegevens'!$F$36)*Reeksen!J120,0)</f>
        <v>0</v>
      </c>
      <c r="AS120" s="71">
        <f ca="1">-IF(C120=1,'Invoer gegevens'!$C$10*'Invoer gegevens'!$F$37*Reeksen!L120,0)</f>
        <v>0</v>
      </c>
      <c r="AT120" s="71">
        <f ca="1">-IF(C120=1,IF(E120='Invoer gegevens'!$C$17,'Invoer gegevens'!$C$11,Q120)*Reeksen!S120*'Invoer gegevens'!$C$18*Reeksen!P120,0)</f>
        <v>0</v>
      </c>
      <c r="AU120" s="71">
        <f ca="1">-IF(C120=1,'Invoer gegevens'!$C$10*'Invoer gegevens'!$F$38*Reeksen!H120,0)</f>
        <v>0</v>
      </c>
      <c r="AV120" s="71">
        <f t="shared" si="21"/>
        <v>0</v>
      </c>
      <c r="AW120" s="71">
        <f t="shared" ca="1" si="17"/>
        <v>0</v>
      </c>
      <c r="AX120" s="71">
        <f ca="1">IF(E120&lt;'Invoer gegevens'!$C$17+15,0,IF('RW - MW - DE - DE'!E120&gt;'Invoer gegevens'!$C$17+215,0,'RW - MW - DE - DE'!AW120))</f>
        <v>0</v>
      </c>
      <c r="AY120" s="71">
        <f ca="1">AX120/(1+'Invoer gegevens'!$F$13)^($AZ120-('Invoer gegevens'!$C$17-'Invoer gegevens'!$C$16))/(1+'Invoer gegevens'!$C$39)^('Invoer gegevens'!$C$17-'Invoer gegevens'!$C$16)</f>
        <v>0</v>
      </c>
      <c r="AZ120" s="68">
        <f ca="1">IF(E120-'Invoer gegevens'!$C$17-14.5&lt;0,0,E120-'Invoer gegevens'!$C$17-14.5)</f>
        <v>100.5</v>
      </c>
      <c r="BC120" s="71"/>
    </row>
    <row r="121" spans="2:55" customFormat="1" x14ac:dyDescent="0.25">
      <c r="B121" s="70">
        <f t="shared" si="18"/>
        <v>117</v>
      </c>
      <c r="C121" s="67">
        <f ca="1">IF(E121-'Invoer gegevens'!$C$17&lt;0,0,1)</f>
        <v>1</v>
      </c>
      <c r="D121" s="68">
        <f t="shared" si="19"/>
        <v>116.5</v>
      </c>
      <c r="E121" s="69">
        <f ca="1">IF('Invoer gegevens'!$C$16="","",E120+1)</f>
        <v>2135</v>
      </c>
      <c r="F121" s="82">
        <f ca="1">IF('Invoer gegevens'!$C$17=E121,'Invoer gegevens'!$C$10,IF(C121=1,H120,0))</f>
        <v>0</v>
      </c>
      <c r="G121" s="83">
        <f ca="1">IF(C121&gt;=1,F121*Reeksen!C121,0)</f>
        <v>0</v>
      </c>
      <c r="H121" s="84">
        <f t="shared" ca="1" si="12"/>
        <v>0</v>
      </c>
      <c r="I121" s="85">
        <f ca="1">IF('Invoer gegevens'!$C$17=E121,'Invoer gegevens'!$C$11,IF(C121=1,L120,0))</f>
        <v>0</v>
      </c>
      <c r="J121" s="86">
        <f ca="1">IF(C121&lt;1,0,IF(Reeksen!AD121&lt;=Reeksen!AE121,I121*Reeksen!C121,0))</f>
        <v>0</v>
      </c>
      <c r="K121" s="86">
        <f ca="1">IF(C121&lt;1,0,IF(Reeksen!AD121&gt;Reeksen!AE121,I121*Reeksen!C121,0))</f>
        <v>0</v>
      </c>
      <c r="L121" s="86">
        <f t="shared" ca="1" si="13"/>
        <v>0</v>
      </c>
      <c r="M121" s="85">
        <f ca="1">IF('Invoer gegevens'!$C$17=E121,'Invoer gegevens'!$C$10-'Invoer gegevens'!$C$11,IF(C121=1,P120,0))</f>
        <v>0</v>
      </c>
      <c r="N121" s="86">
        <f ca="1">IF(C121&lt;1,0,IF(Reeksen!AD121&lt;=Reeksen!AE121,M121*Reeksen!C121,0))</f>
        <v>0</v>
      </c>
      <c r="O121" s="86">
        <f ca="1">IF(C121&lt;1,0,IF(Reeksen!AD121&gt;Reeksen!AE121,M121*Reeksen!C121,0))</f>
        <v>0</v>
      </c>
      <c r="P121" s="86">
        <f t="shared" ca="1" si="14"/>
        <v>0</v>
      </c>
      <c r="Q121" s="82">
        <f ca="1">IF('Invoer gegevens'!$C$17=E121,I121,IF(C121=0,0,R120))</f>
        <v>0</v>
      </c>
      <c r="R121" s="84">
        <f t="shared" ca="1" si="11"/>
        <v>0</v>
      </c>
      <c r="S121" s="84">
        <f ca="1">IF('Invoer gegevens'!$C$17=E121,M121,IF(C121=0,0,T120))</f>
        <v>0</v>
      </c>
      <c r="T121" s="84">
        <f t="shared" ca="1" si="20"/>
        <v>0</v>
      </c>
      <c r="AI121" s="71">
        <f ca="1">IF(C121=1,((F121+H121)/2*Reeksen!AI121*12)+(('Invoer gegevens'!$C$10-(F121+H121)/2)*Reeksen!AD121*12),0)</f>
        <v>0</v>
      </c>
      <c r="AJ121" s="71">
        <f ca="1">-AI121*'Invoer gegevens'!$F$28</f>
        <v>0</v>
      </c>
      <c r="AK121" s="71">
        <f t="shared" ca="1" si="15"/>
        <v>0</v>
      </c>
      <c r="AL121" s="71">
        <f ca="1">IF(C121=1,(12*((F121+H121)/2)*Reeksen!AL121)+(12*('Invoer gegevens'!$C$10-(F121+H121)/2)*Reeksen!AM121),0)</f>
        <v>0</v>
      </c>
      <c r="AM121" s="71">
        <f ca="1">-AL121*'Invoer gegevens'!$F$31</f>
        <v>0</v>
      </c>
      <c r="AN121" s="71">
        <f t="shared" ca="1" si="16"/>
        <v>0</v>
      </c>
      <c r="AO121" s="71"/>
      <c r="AP121" s="71"/>
      <c r="AQ121" s="71">
        <f ca="1">-IF(C121=1,('Invoer gegevens'!$C$10*'Invoer gegevens'!$F$35)*Reeksen!J121,0)*2</f>
        <v>0</v>
      </c>
      <c r="AR121" s="71">
        <f ca="1">-IF(C121=1,(G121*'Invoer gegevens'!$F$36)*Reeksen!J121,0)</f>
        <v>0</v>
      </c>
      <c r="AS121" s="71">
        <f ca="1">-IF(C121=1,'Invoer gegevens'!$C$10*'Invoer gegevens'!$F$37*Reeksen!L121,0)</f>
        <v>0</v>
      </c>
      <c r="AT121" s="71">
        <f ca="1">-IF(C121=1,IF(E121='Invoer gegevens'!$C$17,'Invoer gegevens'!$C$11,Q121)*Reeksen!S121*'Invoer gegevens'!$C$18*Reeksen!P121,0)</f>
        <v>0</v>
      </c>
      <c r="AU121" s="71">
        <f ca="1">-IF(C121=1,'Invoer gegevens'!$C$10*'Invoer gegevens'!$F$38*Reeksen!H121,0)</f>
        <v>0</v>
      </c>
      <c r="AV121" s="71">
        <f t="shared" si="21"/>
        <v>0</v>
      </c>
      <c r="AW121" s="71">
        <f t="shared" ca="1" si="17"/>
        <v>0</v>
      </c>
      <c r="AX121" s="71">
        <f ca="1">IF(E121&lt;'Invoer gegevens'!$C$17+15,0,IF('RW - MW - DE - DE'!E121&gt;'Invoer gegevens'!$C$17+215,0,'RW - MW - DE - DE'!AW121))</f>
        <v>0</v>
      </c>
      <c r="AY121" s="71">
        <f ca="1">AX121/(1+'Invoer gegevens'!$F$13)^($AZ121-('Invoer gegevens'!$C$17-'Invoer gegevens'!$C$16))/(1+'Invoer gegevens'!$C$39)^('Invoer gegevens'!$C$17-'Invoer gegevens'!$C$16)</f>
        <v>0</v>
      </c>
      <c r="AZ121" s="68">
        <f ca="1">IF(E121-'Invoer gegevens'!$C$17-14.5&lt;0,0,E121-'Invoer gegevens'!$C$17-14.5)</f>
        <v>101.5</v>
      </c>
      <c r="BC121" s="71"/>
    </row>
    <row r="122" spans="2:55" customFormat="1" x14ac:dyDescent="0.25">
      <c r="B122" s="70">
        <f t="shared" si="18"/>
        <v>118</v>
      </c>
      <c r="C122" s="67">
        <f ca="1">IF(E122-'Invoer gegevens'!$C$17&lt;0,0,1)</f>
        <v>1</v>
      </c>
      <c r="D122" s="68">
        <f t="shared" si="19"/>
        <v>117.5</v>
      </c>
      <c r="E122" s="69">
        <f ca="1">IF('Invoer gegevens'!$C$16="","",E121+1)</f>
        <v>2136</v>
      </c>
      <c r="F122" s="82">
        <f ca="1">IF('Invoer gegevens'!$C$17=E122,'Invoer gegevens'!$C$10,IF(C122=1,H121,0))</f>
        <v>0</v>
      </c>
      <c r="G122" s="83">
        <f ca="1">IF(C122&gt;=1,F122*Reeksen!C122,0)</f>
        <v>0</v>
      </c>
      <c r="H122" s="84">
        <f t="shared" ca="1" si="12"/>
        <v>0</v>
      </c>
      <c r="I122" s="85">
        <f ca="1">IF('Invoer gegevens'!$C$17=E122,'Invoer gegevens'!$C$11,IF(C122=1,L121,0))</f>
        <v>0</v>
      </c>
      <c r="J122" s="86">
        <f ca="1">IF(C122&lt;1,0,IF(Reeksen!AD122&lt;=Reeksen!AE122,I122*Reeksen!C122,0))</f>
        <v>0</v>
      </c>
      <c r="K122" s="86">
        <f ca="1">IF(C122&lt;1,0,IF(Reeksen!AD122&gt;Reeksen!AE122,I122*Reeksen!C122,0))</f>
        <v>0</v>
      </c>
      <c r="L122" s="86">
        <f t="shared" ca="1" si="13"/>
        <v>0</v>
      </c>
      <c r="M122" s="85">
        <f ca="1">IF('Invoer gegevens'!$C$17=E122,'Invoer gegevens'!$C$10-'Invoer gegevens'!$C$11,IF(C122=1,P121,0))</f>
        <v>0</v>
      </c>
      <c r="N122" s="86">
        <f ca="1">IF(C122&lt;1,0,IF(Reeksen!AD122&lt;=Reeksen!AE122,M122*Reeksen!C122,0))</f>
        <v>0</v>
      </c>
      <c r="O122" s="86">
        <f ca="1">IF(C122&lt;1,0,IF(Reeksen!AD122&gt;Reeksen!AE122,M122*Reeksen!C122,0))</f>
        <v>0</v>
      </c>
      <c r="P122" s="86">
        <f t="shared" ca="1" si="14"/>
        <v>0</v>
      </c>
      <c r="Q122" s="82">
        <f ca="1">IF('Invoer gegevens'!$C$17=E122,I122,IF(C122=0,0,R121))</f>
        <v>0</v>
      </c>
      <c r="R122" s="84">
        <f t="shared" ca="1" si="11"/>
        <v>0</v>
      </c>
      <c r="S122" s="84">
        <f ca="1">IF('Invoer gegevens'!$C$17=E122,M122,IF(C122=0,0,T121))</f>
        <v>0</v>
      </c>
      <c r="T122" s="84">
        <f t="shared" ca="1" si="20"/>
        <v>0</v>
      </c>
      <c r="AI122" s="71">
        <f ca="1">IF(C122=1,((F122+H122)/2*Reeksen!AI122*12)+(('Invoer gegevens'!$C$10-(F122+H122)/2)*Reeksen!AD122*12),0)</f>
        <v>0</v>
      </c>
      <c r="AJ122" s="71">
        <f ca="1">-AI122*'Invoer gegevens'!$F$28</f>
        <v>0</v>
      </c>
      <c r="AK122" s="71">
        <f t="shared" ca="1" si="15"/>
        <v>0</v>
      </c>
      <c r="AL122" s="71">
        <f ca="1">IF(C122=1,(12*((F122+H122)/2)*Reeksen!AL122)+(12*('Invoer gegevens'!$C$10-(F122+H122)/2)*Reeksen!AM122),0)</f>
        <v>0</v>
      </c>
      <c r="AM122" s="71">
        <f ca="1">-AL122*'Invoer gegevens'!$F$31</f>
        <v>0</v>
      </c>
      <c r="AN122" s="71">
        <f t="shared" ca="1" si="16"/>
        <v>0</v>
      </c>
      <c r="AO122" s="71"/>
      <c r="AP122" s="71"/>
      <c r="AQ122" s="71">
        <f ca="1">-IF(C122=1,('Invoer gegevens'!$C$10*'Invoer gegevens'!$F$35)*Reeksen!J122,0)*2</f>
        <v>0</v>
      </c>
      <c r="AR122" s="71">
        <f ca="1">-IF(C122=1,(G122*'Invoer gegevens'!$F$36)*Reeksen!J122,0)</f>
        <v>0</v>
      </c>
      <c r="AS122" s="71">
        <f ca="1">-IF(C122=1,'Invoer gegevens'!$C$10*'Invoer gegevens'!$F$37*Reeksen!L122,0)</f>
        <v>0</v>
      </c>
      <c r="AT122" s="71">
        <f ca="1">-IF(C122=1,IF(E122='Invoer gegevens'!$C$17,'Invoer gegevens'!$C$11,Q122)*Reeksen!S122*'Invoer gegevens'!$C$18*Reeksen!P122,0)</f>
        <v>0</v>
      </c>
      <c r="AU122" s="71">
        <f ca="1">-IF(C122=1,'Invoer gegevens'!$C$10*'Invoer gegevens'!$F$38*Reeksen!H122,0)</f>
        <v>0</v>
      </c>
      <c r="AV122" s="71">
        <f t="shared" si="21"/>
        <v>0</v>
      </c>
      <c r="AW122" s="71">
        <f t="shared" ca="1" si="17"/>
        <v>0</v>
      </c>
      <c r="AX122" s="71">
        <f ca="1">IF(E122&lt;'Invoer gegevens'!$C$17+15,0,IF('RW - MW - DE - DE'!E122&gt;'Invoer gegevens'!$C$17+215,0,'RW - MW - DE - DE'!AW122))</f>
        <v>0</v>
      </c>
      <c r="AY122" s="71">
        <f ca="1">AX122/(1+'Invoer gegevens'!$F$13)^($AZ122-('Invoer gegevens'!$C$17-'Invoer gegevens'!$C$16))/(1+'Invoer gegevens'!$C$39)^('Invoer gegevens'!$C$17-'Invoer gegevens'!$C$16)</f>
        <v>0</v>
      </c>
      <c r="AZ122" s="68">
        <f ca="1">IF(E122-'Invoer gegevens'!$C$17-14.5&lt;0,0,E122-'Invoer gegevens'!$C$17-14.5)</f>
        <v>102.5</v>
      </c>
      <c r="BC122" s="71"/>
    </row>
    <row r="123" spans="2:55" customFormat="1" x14ac:dyDescent="0.25">
      <c r="B123" s="70">
        <f t="shared" si="18"/>
        <v>119</v>
      </c>
      <c r="C123" s="67">
        <f ca="1">IF(E123-'Invoer gegevens'!$C$17&lt;0,0,1)</f>
        <v>1</v>
      </c>
      <c r="D123" s="68">
        <f t="shared" si="19"/>
        <v>118.5</v>
      </c>
      <c r="E123" s="69">
        <f ca="1">IF('Invoer gegevens'!$C$16="","",E122+1)</f>
        <v>2137</v>
      </c>
      <c r="F123" s="82">
        <f ca="1">IF('Invoer gegevens'!$C$17=E123,'Invoer gegevens'!$C$10,IF(C123=1,H122,0))</f>
        <v>0</v>
      </c>
      <c r="G123" s="83">
        <f ca="1">IF(C123&gt;=1,F123*Reeksen!C123,0)</f>
        <v>0</v>
      </c>
      <c r="H123" s="84">
        <f t="shared" ca="1" si="12"/>
        <v>0</v>
      </c>
      <c r="I123" s="85">
        <f ca="1">IF('Invoer gegevens'!$C$17=E123,'Invoer gegevens'!$C$11,IF(C123=1,L122,0))</f>
        <v>0</v>
      </c>
      <c r="J123" s="86">
        <f ca="1">IF(C123&lt;1,0,IF(Reeksen!AD123&lt;=Reeksen!AE123,I123*Reeksen!C123,0))</f>
        <v>0</v>
      </c>
      <c r="K123" s="86">
        <f ca="1">IF(C123&lt;1,0,IF(Reeksen!AD123&gt;Reeksen!AE123,I123*Reeksen!C123,0))</f>
        <v>0</v>
      </c>
      <c r="L123" s="86">
        <f t="shared" ca="1" si="13"/>
        <v>0</v>
      </c>
      <c r="M123" s="85">
        <f ca="1">IF('Invoer gegevens'!$C$17=E123,'Invoer gegevens'!$C$10-'Invoer gegevens'!$C$11,IF(C123=1,P122,0))</f>
        <v>0</v>
      </c>
      <c r="N123" s="86">
        <f ca="1">IF(C123&lt;1,0,IF(Reeksen!AD123&lt;=Reeksen!AE123,M123*Reeksen!C123,0))</f>
        <v>0</v>
      </c>
      <c r="O123" s="86">
        <f ca="1">IF(C123&lt;1,0,IF(Reeksen!AD123&gt;Reeksen!AE123,M123*Reeksen!C123,0))</f>
        <v>0</v>
      </c>
      <c r="P123" s="86">
        <f t="shared" ca="1" si="14"/>
        <v>0</v>
      </c>
      <c r="Q123" s="82">
        <f ca="1">IF('Invoer gegevens'!$C$17=E123,I123,IF(C123=0,0,R122))</f>
        <v>0</v>
      </c>
      <c r="R123" s="84">
        <f t="shared" ca="1" si="11"/>
        <v>0</v>
      </c>
      <c r="S123" s="84">
        <f ca="1">IF('Invoer gegevens'!$C$17=E123,M123,IF(C123=0,0,T122))</f>
        <v>0</v>
      </c>
      <c r="T123" s="84">
        <f t="shared" ca="1" si="20"/>
        <v>0</v>
      </c>
      <c r="AI123" s="71">
        <f ca="1">IF(C123=1,((F123+H123)/2*Reeksen!AI123*12)+(('Invoer gegevens'!$C$10-(F123+H123)/2)*Reeksen!AD123*12),0)</f>
        <v>0</v>
      </c>
      <c r="AJ123" s="71">
        <f ca="1">-AI123*'Invoer gegevens'!$F$28</f>
        <v>0</v>
      </c>
      <c r="AK123" s="71">
        <f t="shared" ca="1" si="15"/>
        <v>0</v>
      </c>
      <c r="AL123" s="71">
        <f ca="1">IF(C123=1,(12*((F123+H123)/2)*Reeksen!AL123)+(12*('Invoer gegevens'!$C$10-(F123+H123)/2)*Reeksen!AM123),0)</f>
        <v>0</v>
      </c>
      <c r="AM123" s="71">
        <f ca="1">-AL123*'Invoer gegevens'!$F$31</f>
        <v>0</v>
      </c>
      <c r="AN123" s="71">
        <f t="shared" ca="1" si="16"/>
        <v>0</v>
      </c>
      <c r="AO123" s="71"/>
      <c r="AP123" s="71"/>
      <c r="AQ123" s="71">
        <f ca="1">-IF(C123=1,('Invoer gegevens'!$C$10*'Invoer gegevens'!$F$35)*Reeksen!J123,0)*2</f>
        <v>0</v>
      </c>
      <c r="AR123" s="71">
        <f ca="1">-IF(C123=1,(G123*'Invoer gegevens'!$F$36)*Reeksen!J123,0)</f>
        <v>0</v>
      </c>
      <c r="AS123" s="71">
        <f ca="1">-IF(C123=1,'Invoer gegevens'!$C$10*'Invoer gegevens'!$F$37*Reeksen!L123,0)</f>
        <v>0</v>
      </c>
      <c r="AT123" s="71">
        <f ca="1">-IF(C123=1,IF(E123='Invoer gegevens'!$C$17,'Invoer gegevens'!$C$11,Q123)*Reeksen!S123*'Invoer gegevens'!$C$18*Reeksen!P123,0)</f>
        <v>0</v>
      </c>
      <c r="AU123" s="71">
        <f ca="1">-IF(C123=1,'Invoer gegevens'!$C$10*'Invoer gegevens'!$F$38*Reeksen!H123,0)</f>
        <v>0</v>
      </c>
      <c r="AV123" s="71">
        <f t="shared" si="21"/>
        <v>0</v>
      </c>
      <c r="AW123" s="71">
        <f t="shared" ca="1" si="17"/>
        <v>0</v>
      </c>
      <c r="AX123" s="71">
        <f ca="1">IF(E123&lt;'Invoer gegevens'!$C$17+15,0,IF('RW - MW - DE - DE'!E123&gt;'Invoer gegevens'!$C$17+215,0,'RW - MW - DE - DE'!AW123))</f>
        <v>0</v>
      </c>
      <c r="AY123" s="71">
        <f ca="1">AX123/(1+'Invoer gegevens'!$F$13)^($AZ123-('Invoer gegevens'!$C$17-'Invoer gegevens'!$C$16))/(1+'Invoer gegevens'!$C$39)^('Invoer gegevens'!$C$17-'Invoer gegevens'!$C$16)</f>
        <v>0</v>
      </c>
      <c r="AZ123" s="68">
        <f ca="1">IF(E123-'Invoer gegevens'!$C$17-14.5&lt;0,0,E123-'Invoer gegevens'!$C$17-14.5)</f>
        <v>103.5</v>
      </c>
      <c r="BC123" s="71"/>
    </row>
    <row r="124" spans="2:55" customFormat="1" x14ac:dyDescent="0.25">
      <c r="B124" s="70">
        <f t="shared" si="18"/>
        <v>120</v>
      </c>
      <c r="C124" s="67">
        <f ca="1">IF(E124-'Invoer gegevens'!$C$17&lt;0,0,1)</f>
        <v>1</v>
      </c>
      <c r="D124" s="68">
        <f t="shared" si="19"/>
        <v>119.5</v>
      </c>
      <c r="E124" s="69">
        <f ca="1">IF('Invoer gegevens'!$C$16="","",E123+1)</f>
        <v>2138</v>
      </c>
      <c r="F124" s="82">
        <f ca="1">IF('Invoer gegevens'!$C$17=E124,'Invoer gegevens'!$C$10,IF(C124=1,H123,0))</f>
        <v>0</v>
      </c>
      <c r="G124" s="83">
        <f ca="1">IF(C124&gt;=1,F124*Reeksen!C124,0)</f>
        <v>0</v>
      </c>
      <c r="H124" s="84">
        <f t="shared" ca="1" si="12"/>
        <v>0</v>
      </c>
      <c r="I124" s="85">
        <f ca="1">IF('Invoer gegevens'!$C$17=E124,'Invoer gegevens'!$C$11,IF(C124=1,L123,0))</f>
        <v>0</v>
      </c>
      <c r="J124" s="86">
        <f ca="1">IF(C124&lt;1,0,IF(Reeksen!AD124&lt;=Reeksen!AE124,I124*Reeksen!C124,0))</f>
        <v>0</v>
      </c>
      <c r="K124" s="86">
        <f ca="1">IF(C124&lt;1,0,IF(Reeksen!AD124&gt;Reeksen!AE124,I124*Reeksen!C124,0))</f>
        <v>0</v>
      </c>
      <c r="L124" s="86">
        <f t="shared" ca="1" si="13"/>
        <v>0</v>
      </c>
      <c r="M124" s="85">
        <f ca="1">IF('Invoer gegevens'!$C$17=E124,'Invoer gegevens'!$C$10-'Invoer gegevens'!$C$11,IF(C124=1,P123,0))</f>
        <v>0</v>
      </c>
      <c r="N124" s="86">
        <f ca="1">IF(C124&lt;1,0,IF(Reeksen!AD124&lt;=Reeksen!AE124,M124*Reeksen!C124,0))</f>
        <v>0</v>
      </c>
      <c r="O124" s="86">
        <f ca="1">IF(C124&lt;1,0,IF(Reeksen!AD124&gt;Reeksen!AE124,M124*Reeksen!C124,0))</f>
        <v>0</v>
      </c>
      <c r="P124" s="86">
        <f t="shared" ca="1" si="14"/>
        <v>0</v>
      </c>
      <c r="Q124" s="82">
        <f ca="1">IF('Invoer gegevens'!$C$17=E124,I124,IF(C124=0,0,R123))</f>
        <v>0</v>
      </c>
      <c r="R124" s="84">
        <f t="shared" ca="1" si="11"/>
        <v>0</v>
      </c>
      <c r="S124" s="84">
        <f ca="1">IF('Invoer gegevens'!$C$17=E124,M124,IF(C124=0,0,T123))</f>
        <v>0</v>
      </c>
      <c r="T124" s="84">
        <f t="shared" ca="1" si="20"/>
        <v>0</v>
      </c>
      <c r="AI124" s="71">
        <f ca="1">IF(C124=1,((F124+H124)/2*Reeksen!AI124*12)+(('Invoer gegevens'!$C$10-(F124+H124)/2)*Reeksen!AD124*12),0)</f>
        <v>0</v>
      </c>
      <c r="AJ124" s="71">
        <f ca="1">-AI124*'Invoer gegevens'!$F$28</f>
        <v>0</v>
      </c>
      <c r="AK124" s="71">
        <f t="shared" ca="1" si="15"/>
        <v>0</v>
      </c>
      <c r="AL124" s="71">
        <f ca="1">IF(C124=1,(12*((F124+H124)/2)*Reeksen!AL124)+(12*('Invoer gegevens'!$C$10-(F124+H124)/2)*Reeksen!AM124),0)</f>
        <v>0</v>
      </c>
      <c r="AM124" s="71">
        <f ca="1">-AL124*'Invoer gegevens'!$F$31</f>
        <v>0</v>
      </c>
      <c r="AN124" s="71">
        <f t="shared" ca="1" si="16"/>
        <v>0</v>
      </c>
      <c r="AO124" s="71"/>
      <c r="AP124" s="71"/>
      <c r="AQ124" s="71">
        <f ca="1">-IF(C124=1,('Invoer gegevens'!$C$10*'Invoer gegevens'!$F$35)*Reeksen!J124,0)*2</f>
        <v>0</v>
      </c>
      <c r="AR124" s="71">
        <f ca="1">-IF(C124=1,(G124*'Invoer gegevens'!$F$36)*Reeksen!J124,0)</f>
        <v>0</v>
      </c>
      <c r="AS124" s="71">
        <f ca="1">-IF(C124=1,'Invoer gegevens'!$C$10*'Invoer gegevens'!$F$37*Reeksen!L124,0)</f>
        <v>0</v>
      </c>
      <c r="AT124" s="71">
        <f ca="1">-IF(C124=1,IF(E124='Invoer gegevens'!$C$17,'Invoer gegevens'!$C$11,Q124)*Reeksen!S124*'Invoer gegevens'!$C$18*Reeksen!P124,0)</f>
        <v>0</v>
      </c>
      <c r="AU124" s="71">
        <f ca="1">-IF(C124=1,'Invoer gegevens'!$C$10*'Invoer gegevens'!$F$38*Reeksen!H124,0)</f>
        <v>0</v>
      </c>
      <c r="AV124" s="71">
        <f t="shared" si="21"/>
        <v>0</v>
      </c>
      <c r="AW124" s="71">
        <f t="shared" ca="1" si="17"/>
        <v>0</v>
      </c>
      <c r="AX124" s="71">
        <f ca="1">IF(E124&lt;'Invoer gegevens'!$C$17+15,0,IF('RW - MW - DE - DE'!E124&gt;'Invoer gegevens'!$C$17+215,0,'RW - MW - DE - DE'!AW124))</f>
        <v>0</v>
      </c>
      <c r="AY124" s="71">
        <f ca="1">AX124/(1+'Invoer gegevens'!$F$13)^($AZ124-('Invoer gegevens'!$C$17-'Invoer gegevens'!$C$16))/(1+'Invoer gegevens'!$C$39)^('Invoer gegevens'!$C$17-'Invoer gegevens'!$C$16)</f>
        <v>0</v>
      </c>
      <c r="AZ124" s="68">
        <f ca="1">IF(E124-'Invoer gegevens'!$C$17-14.5&lt;0,0,E124-'Invoer gegevens'!$C$17-14.5)</f>
        <v>104.5</v>
      </c>
      <c r="BC124" s="71"/>
    </row>
    <row r="125" spans="2:55" customFormat="1" x14ac:dyDescent="0.25">
      <c r="B125" s="70">
        <f t="shared" si="18"/>
        <v>121</v>
      </c>
      <c r="C125" s="67">
        <f ca="1">IF(E125-'Invoer gegevens'!$C$17&lt;0,0,1)</f>
        <v>1</v>
      </c>
      <c r="D125" s="68">
        <f t="shared" si="19"/>
        <v>120.5</v>
      </c>
      <c r="E125" s="69">
        <f ca="1">IF('Invoer gegevens'!$C$16="","",E124+1)</f>
        <v>2139</v>
      </c>
      <c r="F125" s="82">
        <f ca="1">IF('Invoer gegevens'!$C$17=E125,'Invoer gegevens'!$C$10,IF(C125=1,H124,0))</f>
        <v>0</v>
      </c>
      <c r="G125" s="83">
        <f ca="1">IF(C125&gt;=1,F125*Reeksen!C125,0)</f>
        <v>0</v>
      </c>
      <c r="H125" s="84">
        <f t="shared" ca="1" si="12"/>
        <v>0</v>
      </c>
      <c r="I125" s="85">
        <f ca="1">IF('Invoer gegevens'!$C$17=E125,'Invoer gegevens'!$C$11,IF(C125=1,L124,0))</f>
        <v>0</v>
      </c>
      <c r="J125" s="86">
        <f ca="1">IF(C125&lt;1,0,IF(Reeksen!AD125&lt;=Reeksen!AE125,I125*Reeksen!C125,0))</f>
        <v>0</v>
      </c>
      <c r="K125" s="86">
        <f ca="1">IF(C125&lt;1,0,IF(Reeksen!AD125&gt;Reeksen!AE125,I125*Reeksen!C125,0))</f>
        <v>0</v>
      </c>
      <c r="L125" s="86">
        <f t="shared" ca="1" si="13"/>
        <v>0</v>
      </c>
      <c r="M125" s="85">
        <f ca="1">IF('Invoer gegevens'!$C$17=E125,'Invoer gegevens'!$C$10-'Invoer gegevens'!$C$11,IF(C125=1,P124,0))</f>
        <v>0</v>
      </c>
      <c r="N125" s="86">
        <f ca="1">IF(C125&lt;1,0,IF(Reeksen!AD125&lt;=Reeksen!AE125,M125*Reeksen!C125,0))</f>
        <v>0</v>
      </c>
      <c r="O125" s="86">
        <f ca="1">IF(C125&lt;1,0,IF(Reeksen!AD125&gt;Reeksen!AE125,M125*Reeksen!C125,0))</f>
        <v>0</v>
      </c>
      <c r="P125" s="86">
        <f t="shared" ca="1" si="14"/>
        <v>0</v>
      </c>
      <c r="Q125" s="82">
        <f ca="1">IF('Invoer gegevens'!$C$17=E125,I125,IF(C125=0,0,R124))</f>
        <v>0</v>
      </c>
      <c r="R125" s="84">
        <f t="shared" ca="1" si="11"/>
        <v>0</v>
      </c>
      <c r="S125" s="84">
        <f ca="1">IF('Invoer gegevens'!$C$17=E125,M125,IF(C125=0,0,T124))</f>
        <v>0</v>
      </c>
      <c r="T125" s="84">
        <f t="shared" ca="1" si="20"/>
        <v>0</v>
      </c>
      <c r="AI125" s="71">
        <f ca="1">IF(C125=1,((F125+H125)/2*Reeksen!AI125*12)+(('Invoer gegevens'!$C$10-(F125+H125)/2)*Reeksen!AD125*12),0)</f>
        <v>0</v>
      </c>
      <c r="AJ125" s="71">
        <f ca="1">-AI125*'Invoer gegevens'!$F$28</f>
        <v>0</v>
      </c>
      <c r="AK125" s="71">
        <f t="shared" ca="1" si="15"/>
        <v>0</v>
      </c>
      <c r="AL125" s="71">
        <f ca="1">IF(C125=1,(12*((F125+H125)/2)*Reeksen!AL125)+(12*('Invoer gegevens'!$C$10-(F125+H125)/2)*Reeksen!AM125),0)</f>
        <v>0</v>
      </c>
      <c r="AM125" s="71">
        <f ca="1">-AL125*'Invoer gegevens'!$F$31</f>
        <v>0</v>
      </c>
      <c r="AN125" s="71">
        <f t="shared" ca="1" si="16"/>
        <v>0</v>
      </c>
      <c r="AO125" s="71"/>
      <c r="AP125" s="71"/>
      <c r="AQ125" s="71">
        <f ca="1">-IF(C125=1,('Invoer gegevens'!$C$10*'Invoer gegevens'!$F$35)*Reeksen!J125,0)*2</f>
        <v>0</v>
      </c>
      <c r="AR125" s="71">
        <f ca="1">-IF(C125=1,(G125*'Invoer gegevens'!$F$36)*Reeksen!J125,0)</f>
        <v>0</v>
      </c>
      <c r="AS125" s="71">
        <f ca="1">-IF(C125=1,'Invoer gegevens'!$C$10*'Invoer gegevens'!$F$37*Reeksen!L125,0)</f>
        <v>0</v>
      </c>
      <c r="AT125" s="71">
        <f ca="1">-IF(C125=1,IF(E125='Invoer gegevens'!$C$17,'Invoer gegevens'!$C$11,Q125)*Reeksen!S125*'Invoer gegevens'!$C$18*Reeksen!P125,0)</f>
        <v>0</v>
      </c>
      <c r="AU125" s="71">
        <f ca="1">-IF(C125=1,'Invoer gegevens'!$C$10*'Invoer gegevens'!$F$38*Reeksen!H125,0)</f>
        <v>0</v>
      </c>
      <c r="AV125" s="71">
        <f t="shared" si="21"/>
        <v>0</v>
      </c>
      <c r="AW125" s="71">
        <f t="shared" ca="1" si="17"/>
        <v>0</v>
      </c>
      <c r="AX125" s="71">
        <f ca="1">IF(E125&lt;'Invoer gegevens'!$C$17+15,0,IF('RW - MW - DE - DE'!E125&gt;'Invoer gegevens'!$C$17+215,0,'RW - MW - DE - DE'!AW125))</f>
        <v>0</v>
      </c>
      <c r="AY125" s="71">
        <f ca="1">AX125/(1+'Invoer gegevens'!$F$13)^($AZ125-('Invoer gegevens'!$C$17-'Invoer gegevens'!$C$16))/(1+'Invoer gegevens'!$C$39)^('Invoer gegevens'!$C$17-'Invoer gegevens'!$C$16)</f>
        <v>0</v>
      </c>
      <c r="AZ125" s="68">
        <f ca="1">IF(E125-'Invoer gegevens'!$C$17-14.5&lt;0,0,E125-'Invoer gegevens'!$C$17-14.5)</f>
        <v>105.5</v>
      </c>
      <c r="BC125" s="71"/>
    </row>
    <row r="126" spans="2:55" customFormat="1" x14ac:dyDescent="0.25">
      <c r="B126" s="70">
        <f t="shared" si="18"/>
        <v>122</v>
      </c>
      <c r="C126" s="67">
        <f ca="1">IF(E126-'Invoer gegevens'!$C$17&lt;0,0,1)</f>
        <v>1</v>
      </c>
      <c r="D126" s="68">
        <f t="shared" si="19"/>
        <v>121.5</v>
      </c>
      <c r="E126" s="69">
        <f ca="1">IF('Invoer gegevens'!$C$16="","",E125+1)</f>
        <v>2140</v>
      </c>
      <c r="F126" s="82">
        <f ca="1">IF('Invoer gegevens'!$C$17=E126,'Invoer gegevens'!$C$10,IF(C126=1,H125,0))</f>
        <v>0</v>
      </c>
      <c r="G126" s="83">
        <f ca="1">IF(C126&gt;=1,F126*Reeksen!C126,0)</f>
        <v>0</v>
      </c>
      <c r="H126" s="84">
        <f t="shared" ca="1" si="12"/>
        <v>0</v>
      </c>
      <c r="I126" s="85">
        <f ca="1">IF('Invoer gegevens'!$C$17=E126,'Invoer gegevens'!$C$11,IF(C126=1,L125,0))</f>
        <v>0</v>
      </c>
      <c r="J126" s="86">
        <f ca="1">IF(C126&lt;1,0,IF(Reeksen!AD126&lt;=Reeksen!AE126,I126*Reeksen!C126,0))</f>
        <v>0</v>
      </c>
      <c r="K126" s="86">
        <f ca="1">IF(C126&lt;1,0,IF(Reeksen!AD126&gt;Reeksen!AE126,I126*Reeksen!C126,0))</f>
        <v>0</v>
      </c>
      <c r="L126" s="86">
        <f t="shared" ca="1" si="13"/>
        <v>0</v>
      </c>
      <c r="M126" s="85">
        <f ca="1">IF('Invoer gegevens'!$C$17=E126,'Invoer gegevens'!$C$10-'Invoer gegevens'!$C$11,IF(C126=1,P125,0))</f>
        <v>0</v>
      </c>
      <c r="N126" s="86">
        <f ca="1">IF(C126&lt;1,0,IF(Reeksen!AD126&lt;=Reeksen!AE126,M126*Reeksen!C126,0))</f>
        <v>0</v>
      </c>
      <c r="O126" s="86">
        <f ca="1">IF(C126&lt;1,0,IF(Reeksen!AD126&gt;Reeksen!AE126,M126*Reeksen!C126,0))</f>
        <v>0</v>
      </c>
      <c r="P126" s="86">
        <f t="shared" ca="1" si="14"/>
        <v>0</v>
      </c>
      <c r="Q126" s="82">
        <f ca="1">IF('Invoer gegevens'!$C$17=E126,I126,IF(C126=0,0,R125))</f>
        <v>0</v>
      </c>
      <c r="R126" s="84">
        <f t="shared" ca="1" si="11"/>
        <v>0</v>
      </c>
      <c r="S126" s="84">
        <f ca="1">IF('Invoer gegevens'!$C$17=E126,M126,IF(C126=0,0,T125))</f>
        <v>0</v>
      </c>
      <c r="T126" s="84">
        <f t="shared" ca="1" si="20"/>
        <v>0</v>
      </c>
      <c r="AI126" s="71">
        <f ca="1">IF(C126=1,((F126+H126)/2*Reeksen!AI126*12)+(('Invoer gegevens'!$C$10-(F126+H126)/2)*Reeksen!AD126*12),0)</f>
        <v>0</v>
      </c>
      <c r="AJ126" s="71">
        <f ca="1">-AI126*'Invoer gegevens'!$F$28</f>
        <v>0</v>
      </c>
      <c r="AK126" s="71">
        <f t="shared" ca="1" si="15"/>
        <v>0</v>
      </c>
      <c r="AL126" s="71">
        <f ca="1">IF(C126=1,(12*((F126+H126)/2)*Reeksen!AL126)+(12*('Invoer gegevens'!$C$10-(F126+H126)/2)*Reeksen!AM126),0)</f>
        <v>0</v>
      </c>
      <c r="AM126" s="71">
        <f ca="1">-AL126*'Invoer gegevens'!$F$31</f>
        <v>0</v>
      </c>
      <c r="AN126" s="71">
        <f t="shared" ca="1" si="16"/>
        <v>0</v>
      </c>
      <c r="AO126" s="71"/>
      <c r="AP126" s="71"/>
      <c r="AQ126" s="71">
        <f ca="1">-IF(C126=1,('Invoer gegevens'!$C$10*'Invoer gegevens'!$F$35)*Reeksen!J126,0)*2</f>
        <v>0</v>
      </c>
      <c r="AR126" s="71">
        <f ca="1">-IF(C126=1,(G126*'Invoer gegevens'!$F$36)*Reeksen!J126,0)</f>
        <v>0</v>
      </c>
      <c r="AS126" s="71">
        <f ca="1">-IF(C126=1,'Invoer gegevens'!$C$10*'Invoer gegevens'!$F$37*Reeksen!L126,0)</f>
        <v>0</v>
      </c>
      <c r="AT126" s="71">
        <f ca="1">-IF(C126=1,IF(E126='Invoer gegevens'!$C$17,'Invoer gegevens'!$C$11,Q126)*Reeksen!S126*'Invoer gegevens'!$C$18*Reeksen!P126,0)</f>
        <v>0</v>
      </c>
      <c r="AU126" s="71">
        <f ca="1">-IF(C126=1,'Invoer gegevens'!$C$10*'Invoer gegevens'!$F$38*Reeksen!H126,0)</f>
        <v>0</v>
      </c>
      <c r="AV126" s="71">
        <f t="shared" si="21"/>
        <v>0</v>
      </c>
      <c r="AW126" s="71">
        <f t="shared" ca="1" si="17"/>
        <v>0</v>
      </c>
      <c r="AX126" s="71">
        <f ca="1">IF(E126&lt;'Invoer gegevens'!$C$17+15,0,IF('RW - MW - DE - DE'!E126&gt;'Invoer gegevens'!$C$17+215,0,'RW - MW - DE - DE'!AW126))</f>
        <v>0</v>
      </c>
      <c r="AY126" s="71">
        <f ca="1">AX126/(1+'Invoer gegevens'!$F$13)^($AZ126-('Invoer gegevens'!$C$17-'Invoer gegevens'!$C$16))/(1+'Invoer gegevens'!$C$39)^('Invoer gegevens'!$C$17-'Invoer gegevens'!$C$16)</f>
        <v>0</v>
      </c>
      <c r="AZ126" s="68">
        <f ca="1">IF(E126-'Invoer gegevens'!$C$17-14.5&lt;0,0,E126-'Invoer gegevens'!$C$17-14.5)</f>
        <v>106.5</v>
      </c>
      <c r="BC126" s="71"/>
    </row>
    <row r="127" spans="2:55" customFormat="1" x14ac:dyDescent="0.25">
      <c r="B127" s="70">
        <f t="shared" si="18"/>
        <v>123</v>
      </c>
      <c r="C127" s="67">
        <f ca="1">IF(E127-'Invoer gegevens'!$C$17&lt;0,0,1)</f>
        <v>1</v>
      </c>
      <c r="D127" s="68">
        <f t="shared" si="19"/>
        <v>122.5</v>
      </c>
      <c r="E127" s="69">
        <f ca="1">IF('Invoer gegevens'!$C$16="","",E126+1)</f>
        <v>2141</v>
      </c>
      <c r="F127" s="82">
        <f ca="1">IF('Invoer gegevens'!$C$17=E127,'Invoer gegevens'!$C$10,IF(C127=1,H126,0))</f>
        <v>0</v>
      </c>
      <c r="G127" s="83">
        <f ca="1">IF(C127&gt;=1,F127*Reeksen!C127,0)</f>
        <v>0</v>
      </c>
      <c r="H127" s="84">
        <f t="shared" ca="1" si="12"/>
        <v>0</v>
      </c>
      <c r="I127" s="85">
        <f ca="1">IF('Invoer gegevens'!$C$17=E127,'Invoer gegevens'!$C$11,IF(C127=1,L126,0))</f>
        <v>0</v>
      </c>
      <c r="J127" s="86">
        <f ca="1">IF(C127&lt;1,0,IF(Reeksen!AD127&lt;=Reeksen!AE127,I127*Reeksen!C127,0))</f>
        <v>0</v>
      </c>
      <c r="K127" s="86">
        <f ca="1">IF(C127&lt;1,0,IF(Reeksen!AD127&gt;Reeksen!AE127,I127*Reeksen!C127,0))</f>
        <v>0</v>
      </c>
      <c r="L127" s="86">
        <f t="shared" ca="1" si="13"/>
        <v>0</v>
      </c>
      <c r="M127" s="85">
        <f ca="1">IF('Invoer gegevens'!$C$17=E127,'Invoer gegevens'!$C$10-'Invoer gegevens'!$C$11,IF(C127=1,P126,0))</f>
        <v>0</v>
      </c>
      <c r="N127" s="86">
        <f ca="1">IF(C127&lt;1,0,IF(Reeksen!AD127&lt;=Reeksen!AE127,M127*Reeksen!C127,0))</f>
        <v>0</v>
      </c>
      <c r="O127" s="86">
        <f ca="1">IF(C127&lt;1,0,IF(Reeksen!AD127&gt;Reeksen!AE127,M127*Reeksen!C127,0))</f>
        <v>0</v>
      </c>
      <c r="P127" s="86">
        <f t="shared" ca="1" si="14"/>
        <v>0</v>
      </c>
      <c r="Q127" s="82">
        <f ca="1">IF('Invoer gegevens'!$C$17=E127,I127,IF(C127=0,0,R126))</f>
        <v>0</v>
      </c>
      <c r="R127" s="84">
        <f t="shared" ca="1" si="11"/>
        <v>0</v>
      </c>
      <c r="S127" s="84">
        <f ca="1">IF('Invoer gegevens'!$C$17=E127,M127,IF(C127=0,0,T126))</f>
        <v>0</v>
      </c>
      <c r="T127" s="84">
        <f t="shared" ca="1" si="20"/>
        <v>0</v>
      </c>
      <c r="AI127" s="71">
        <f ca="1">IF(C127=1,((F127+H127)/2*Reeksen!AI127*12)+(('Invoer gegevens'!$C$10-(F127+H127)/2)*Reeksen!AD127*12),0)</f>
        <v>0</v>
      </c>
      <c r="AJ127" s="71">
        <f ca="1">-AI127*'Invoer gegevens'!$F$28</f>
        <v>0</v>
      </c>
      <c r="AK127" s="71">
        <f t="shared" ca="1" si="15"/>
        <v>0</v>
      </c>
      <c r="AL127" s="71">
        <f ca="1">IF(C127=1,(12*((F127+H127)/2)*Reeksen!AL127)+(12*('Invoer gegevens'!$C$10-(F127+H127)/2)*Reeksen!AM127),0)</f>
        <v>0</v>
      </c>
      <c r="AM127" s="71">
        <f ca="1">-AL127*'Invoer gegevens'!$F$31</f>
        <v>0</v>
      </c>
      <c r="AN127" s="71">
        <f t="shared" ca="1" si="16"/>
        <v>0</v>
      </c>
      <c r="AO127" s="71"/>
      <c r="AP127" s="71"/>
      <c r="AQ127" s="71">
        <f ca="1">-IF(C127=1,('Invoer gegevens'!$C$10*'Invoer gegevens'!$F$35)*Reeksen!J127,0)*2</f>
        <v>0</v>
      </c>
      <c r="AR127" s="71">
        <f ca="1">-IF(C127=1,(G127*'Invoer gegevens'!$F$36)*Reeksen!J127,0)</f>
        <v>0</v>
      </c>
      <c r="AS127" s="71">
        <f ca="1">-IF(C127=1,'Invoer gegevens'!$C$10*'Invoer gegevens'!$F$37*Reeksen!L127,0)</f>
        <v>0</v>
      </c>
      <c r="AT127" s="71">
        <f ca="1">-IF(C127=1,IF(E127='Invoer gegevens'!$C$17,'Invoer gegevens'!$C$11,Q127)*Reeksen!S127*'Invoer gegevens'!$C$18*Reeksen!P127,0)</f>
        <v>0</v>
      </c>
      <c r="AU127" s="71">
        <f ca="1">-IF(C127=1,'Invoer gegevens'!$C$10*'Invoer gegevens'!$F$38*Reeksen!H127,0)</f>
        <v>0</v>
      </c>
      <c r="AV127" s="71">
        <f t="shared" si="21"/>
        <v>0</v>
      </c>
      <c r="AW127" s="71">
        <f t="shared" ca="1" si="17"/>
        <v>0</v>
      </c>
      <c r="AX127" s="71">
        <f ca="1">IF(E127&lt;'Invoer gegevens'!$C$17+15,0,IF('RW - MW - DE - DE'!E127&gt;'Invoer gegevens'!$C$17+215,0,'RW - MW - DE - DE'!AW127))</f>
        <v>0</v>
      </c>
      <c r="AY127" s="71">
        <f ca="1">AX127/(1+'Invoer gegevens'!$F$13)^($AZ127-('Invoer gegevens'!$C$17-'Invoer gegevens'!$C$16))/(1+'Invoer gegevens'!$C$39)^('Invoer gegevens'!$C$17-'Invoer gegevens'!$C$16)</f>
        <v>0</v>
      </c>
      <c r="AZ127" s="68">
        <f ca="1">IF(E127-'Invoer gegevens'!$C$17-14.5&lt;0,0,E127-'Invoer gegevens'!$C$17-14.5)</f>
        <v>107.5</v>
      </c>
      <c r="BC127" s="71"/>
    </row>
    <row r="128" spans="2:55" customFormat="1" x14ac:dyDescent="0.25">
      <c r="B128" s="70">
        <f t="shared" si="18"/>
        <v>124</v>
      </c>
      <c r="C128" s="67">
        <f ca="1">IF(E128-'Invoer gegevens'!$C$17&lt;0,0,1)</f>
        <v>1</v>
      </c>
      <c r="D128" s="68">
        <f t="shared" si="19"/>
        <v>123.5</v>
      </c>
      <c r="E128" s="69">
        <f ca="1">IF('Invoer gegevens'!$C$16="","",E127+1)</f>
        <v>2142</v>
      </c>
      <c r="F128" s="82">
        <f ca="1">IF('Invoer gegevens'!$C$17=E128,'Invoer gegevens'!$C$10,IF(C128=1,H127,0))</f>
        <v>0</v>
      </c>
      <c r="G128" s="83">
        <f ca="1">IF(C128&gt;=1,F128*Reeksen!C128,0)</f>
        <v>0</v>
      </c>
      <c r="H128" s="84">
        <f t="shared" ca="1" si="12"/>
        <v>0</v>
      </c>
      <c r="I128" s="85">
        <f ca="1">IF('Invoer gegevens'!$C$17=E128,'Invoer gegevens'!$C$11,IF(C128=1,L127,0))</f>
        <v>0</v>
      </c>
      <c r="J128" s="86">
        <f ca="1">IF(C128&lt;1,0,IF(Reeksen!AD128&lt;=Reeksen!AE128,I128*Reeksen!C128,0))</f>
        <v>0</v>
      </c>
      <c r="K128" s="86">
        <f ca="1">IF(C128&lt;1,0,IF(Reeksen!AD128&gt;Reeksen!AE128,I128*Reeksen!C128,0))</f>
        <v>0</v>
      </c>
      <c r="L128" s="86">
        <f t="shared" ca="1" si="13"/>
        <v>0</v>
      </c>
      <c r="M128" s="85">
        <f ca="1">IF('Invoer gegevens'!$C$17=E128,'Invoer gegevens'!$C$10-'Invoer gegevens'!$C$11,IF(C128=1,P127,0))</f>
        <v>0</v>
      </c>
      <c r="N128" s="86">
        <f ca="1">IF(C128&lt;1,0,IF(Reeksen!AD128&lt;=Reeksen!AE128,M128*Reeksen!C128,0))</f>
        <v>0</v>
      </c>
      <c r="O128" s="86">
        <f ca="1">IF(C128&lt;1,0,IF(Reeksen!AD128&gt;Reeksen!AE128,M128*Reeksen!C128,0))</f>
        <v>0</v>
      </c>
      <c r="P128" s="86">
        <f t="shared" ca="1" si="14"/>
        <v>0</v>
      </c>
      <c r="Q128" s="82">
        <f ca="1">IF('Invoer gegevens'!$C$17=E128,I128,IF(C128=0,0,R127))</f>
        <v>0</v>
      </c>
      <c r="R128" s="84">
        <f t="shared" ca="1" si="11"/>
        <v>0</v>
      </c>
      <c r="S128" s="84">
        <f ca="1">IF('Invoer gegevens'!$C$17=E128,M128,IF(C128=0,0,T127))</f>
        <v>0</v>
      </c>
      <c r="T128" s="84">
        <f t="shared" ca="1" si="20"/>
        <v>0</v>
      </c>
      <c r="AI128" s="71">
        <f ca="1">IF(C128=1,((F128+H128)/2*Reeksen!AI128*12)+(('Invoer gegevens'!$C$10-(F128+H128)/2)*Reeksen!AD128*12),0)</f>
        <v>0</v>
      </c>
      <c r="AJ128" s="71">
        <f ca="1">-AI128*'Invoer gegevens'!$F$28</f>
        <v>0</v>
      </c>
      <c r="AK128" s="71">
        <f t="shared" ca="1" si="15"/>
        <v>0</v>
      </c>
      <c r="AL128" s="71">
        <f ca="1">IF(C128=1,(12*((F128+H128)/2)*Reeksen!AL128)+(12*('Invoer gegevens'!$C$10-(F128+H128)/2)*Reeksen!AM128),0)</f>
        <v>0</v>
      </c>
      <c r="AM128" s="71">
        <f ca="1">-AL128*'Invoer gegevens'!$F$31</f>
        <v>0</v>
      </c>
      <c r="AN128" s="71">
        <f t="shared" ca="1" si="16"/>
        <v>0</v>
      </c>
      <c r="AO128" s="71"/>
      <c r="AP128" s="71"/>
      <c r="AQ128" s="71">
        <f ca="1">-IF(C128=1,('Invoer gegevens'!$C$10*'Invoer gegevens'!$F$35)*Reeksen!J128,0)*2</f>
        <v>0</v>
      </c>
      <c r="AR128" s="71">
        <f ca="1">-IF(C128=1,(G128*'Invoer gegevens'!$F$36)*Reeksen!J128,0)</f>
        <v>0</v>
      </c>
      <c r="AS128" s="71">
        <f ca="1">-IF(C128=1,'Invoer gegevens'!$C$10*'Invoer gegevens'!$F$37*Reeksen!L128,0)</f>
        <v>0</v>
      </c>
      <c r="AT128" s="71">
        <f ca="1">-IF(C128=1,IF(E128='Invoer gegevens'!$C$17,'Invoer gegevens'!$C$11,Q128)*Reeksen!S128*'Invoer gegevens'!$C$18*Reeksen!P128,0)</f>
        <v>0</v>
      </c>
      <c r="AU128" s="71">
        <f ca="1">-IF(C128=1,'Invoer gegevens'!$C$10*'Invoer gegevens'!$F$38*Reeksen!H128,0)</f>
        <v>0</v>
      </c>
      <c r="AV128" s="71">
        <f t="shared" si="21"/>
        <v>0</v>
      </c>
      <c r="AW128" s="71">
        <f t="shared" ca="1" si="17"/>
        <v>0</v>
      </c>
      <c r="AX128" s="71">
        <f ca="1">IF(E128&lt;'Invoer gegevens'!$C$17+15,0,IF('RW - MW - DE - DE'!E128&gt;'Invoer gegevens'!$C$17+215,0,'RW - MW - DE - DE'!AW128))</f>
        <v>0</v>
      </c>
      <c r="AY128" s="71">
        <f ca="1">AX128/(1+'Invoer gegevens'!$F$13)^($AZ128-('Invoer gegevens'!$C$17-'Invoer gegevens'!$C$16))/(1+'Invoer gegevens'!$C$39)^('Invoer gegevens'!$C$17-'Invoer gegevens'!$C$16)</f>
        <v>0</v>
      </c>
      <c r="AZ128" s="68">
        <f ca="1">IF(E128-'Invoer gegevens'!$C$17-14.5&lt;0,0,E128-'Invoer gegevens'!$C$17-14.5)</f>
        <v>108.5</v>
      </c>
      <c r="BC128" s="71"/>
    </row>
    <row r="129" spans="2:55" customFormat="1" x14ac:dyDescent="0.25">
      <c r="B129" s="70">
        <f t="shared" si="18"/>
        <v>125</v>
      </c>
      <c r="C129" s="67">
        <f ca="1">IF(E129-'Invoer gegevens'!$C$17&lt;0,0,1)</f>
        <v>1</v>
      </c>
      <c r="D129" s="68">
        <f t="shared" si="19"/>
        <v>124.5</v>
      </c>
      <c r="E129" s="69">
        <f ca="1">IF('Invoer gegevens'!$C$16="","",E128+1)</f>
        <v>2143</v>
      </c>
      <c r="F129" s="82">
        <f ca="1">IF('Invoer gegevens'!$C$17=E129,'Invoer gegevens'!$C$10,IF(C129=1,H128,0))</f>
        <v>0</v>
      </c>
      <c r="G129" s="83">
        <f ca="1">IF(C129&gt;=1,F129*Reeksen!C129,0)</f>
        <v>0</v>
      </c>
      <c r="H129" s="84">
        <f t="shared" ca="1" si="12"/>
        <v>0</v>
      </c>
      <c r="I129" s="85">
        <f ca="1">IF('Invoer gegevens'!$C$17=E129,'Invoer gegevens'!$C$11,IF(C129=1,L128,0))</f>
        <v>0</v>
      </c>
      <c r="J129" s="86">
        <f ca="1">IF(C129&lt;1,0,IF(Reeksen!AD129&lt;=Reeksen!AE129,I129*Reeksen!C129,0))</f>
        <v>0</v>
      </c>
      <c r="K129" s="86">
        <f ca="1">IF(C129&lt;1,0,IF(Reeksen!AD129&gt;Reeksen!AE129,I129*Reeksen!C129,0))</f>
        <v>0</v>
      </c>
      <c r="L129" s="86">
        <f t="shared" ca="1" si="13"/>
        <v>0</v>
      </c>
      <c r="M129" s="85">
        <f ca="1">IF('Invoer gegevens'!$C$17=E129,'Invoer gegevens'!$C$10-'Invoer gegevens'!$C$11,IF(C129=1,P128,0))</f>
        <v>0</v>
      </c>
      <c r="N129" s="86">
        <f ca="1">IF(C129&lt;1,0,IF(Reeksen!AD129&lt;=Reeksen!AE129,M129*Reeksen!C129,0))</f>
        <v>0</v>
      </c>
      <c r="O129" s="86">
        <f ca="1">IF(C129&lt;1,0,IF(Reeksen!AD129&gt;Reeksen!AE129,M129*Reeksen!C129,0))</f>
        <v>0</v>
      </c>
      <c r="P129" s="86">
        <f t="shared" ca="1" si="14"/>
        <v>0</v>
      </c>
      <c r="Q129" s="82">
        <f ca="1">IF('Invoer gegevens'!$C$17=E129,I129,IF(C129=0,0,R128))</f>
        <v>0</v>
      </c>
      <c r="R129" s="84">
        <f t="shared" ca="1" si="11"/>
        <v>0</v>
      </c>
      <c r="S129" s="84">
        <f ca="1">IF('Invoer gegevens'!$C$17=E129,M129,IF(C129=0,0,T128))</f>
        <v>0</v>
      </c>
      <c r="T129" s="84">
        <f t="shared" ca="1" si="20"/>
        <v>0</v>
      </c>
      <c r="AI129" s="71">
        <f ca="1">IF(C129=1,((F129+H129)/2*Reeksen!AI129*12)+(('Invoer gegevens'!$C$10-(F129+H129)/2)*Reeksen!AD129*12),0)</f>
        <v>0</v>
      </c>
      <c r="AJ129" s="71">
        <f ca="1">-AI129*'Invoer gegevens'!$F$28</f>
        <v>0</v>
      </c>
      <c r="AK129" s="71">
        <f t="shared" ca="1" si="15"/>
        <v>0</v>
      </c>
      <c r="AL129" s="71">
        <f ca="1">IF(C129=1,(12*((F129+H129)/2)*Reeksen!AL129)+(12*('Invoer gegevens'!$C$10-(F129+H129)/2)*Reeksen!AM129),0)</f>
        <v>0</v>
      </c>
      <c r="AM129" s="71">
        <f ca="1">-AL129*'Invoer gegevens'!$F$31</f>
        <v>0</v>
      </c>
      <c r="AN129" s="71">
        <f t="shared" ca="1" si="16"/>
        <v>0</v>
      </c>
      <c r="AO129" s="71"/>
      <c r="AP129" s="71"/>
      <c r="AQ129" s="71">
        <f ca="1">-IF(C129=1,('Invoer gegevens'!$C$10*'Invoer gegevens'!$F$35)*Reeksen!J129,0)*2</f>
        <v>0</v>
      </c>
      <c r="AR129" s="71">
        <f ca="1">-IF(C129=1,(G129*'Invoer gegevens'!$F$36)*Reeksen!J129,0)</f>
        <v>0</v>
      </c>
      <c r="AS129" s="71">
        <f ca="1">-IF(C129=1,'Invoer gegevens'!$C$10*'Invoer gegevens'!$F$37*Reeksen!L129,0)</f>
        <v>0</v>
      </c>
      <c r="AT129" s="71">
        <f ca="1">-IF(C129=1,IF(E129='Invoer gegevens'!$C$17,'Invoer gegevens'!$C$11,Q129)*Reeksen!S129*'Invoer gegevens'!$C$18*Reeksen!P129,0)</f>
        <v>0</v>
      </c>
      <c r="AU129" s="71">
        <f ca="1">-IF(C129=1,'Invoer gegevens'!$C$10*'Invoer gegevens'!$F$38*Reeksen!H129,0)</f>
        <v>0</v>
      </c>
      <c r="AV129" s="71">
        <f t="shared" si="21"/>
        <v>0</v>
      </c>
      <c r="AW129" s="71">
        <f t="shared" ca="1" si="17"/>
        <v>0</v>
      </c>
      <c r="AX129" s="71">
        <f ca="1">IF(E129&lt;'Invoer gegevens'!$C$17+15,0,IF('RW - MW - DE - DE'!E129&gt;'Invoer gegevens'!$C$17+215,0,'RW - MW - DE - DE'!AW129))</f>
        <v>0</v>
      </c>
      <c r="AY129" s="71">
        <f ca="1">AX129/(1+'Invoer gegevens'!$F$13)^($AZ129-('Invoer gegevens'!$C$17-'Invoer gegevens'!$C$16))/(1+'Invoer gegevens'!$C$39)^('Invoer gegevens'!$C$17-'Invoer gegevens'!$C$16)</f>
        <v>0</v>
      </c>
      <c r="AZ129" s="68">
        <f ca="1">IF(E129-'Invoer gegevens'!$C$17-14.5&lt;0,0,E129-'Invoer gegevens'!$C$17-14.5)</f>
        <v>109.5</v>
      </c>
      <c r="BC129" s="71"/>
    </row>
    <row r="130" spans="2:55" customFormat="1" x14ac:dyDescent="0.25">
      <c r="B130" s="70">
        <f t="shared" si="18"/>
        <v>126</v>
      </c>
      <c r="C130" s="67">
        <f ca="1">IF(E130-'Invoer gegevens'!$C$17&lt;0,0,1)</f>
        <v>1</v>
      </c>
      <c r="D130" s="68">
        <f t="shared" si="19"/>
        <v>125.5</v>
      </c>
      <c r="E130" s="69">
        <f ca="1">IF('Invoer gegevens'!$C$16="","",E129+1)</f>
        <v>2144</v>
      </c>
      <c r="F130" s="82">
        <f ca="1">IF('Invoer gegevens'!$C$17=E130,'Invoer gegevens'!$C$10,IF(C130=1,H129,0))</f>
        <v>0</v>
      </c>
      <c r="G130" s="83">
        <f ca="1">IF(C130&gt;=1,F130*Reeksen!C130,0)</f>
        <v>0</v>
      </c>
      <c r="H130" s="84">
        <f t="shared" ca="1" si="12"/>
        <v>0</v>
      </c>
      <c r="I130" s="85">
        <f ca="1">IF('Invoer gegevens'!$C$17=E130,'Invoer gegevens'!$C$11,IF(C130=1,L129,0))</f>
        <v>0</v>
      </c>
      <c r="J130" s="86">
        <f ca="1">IF(C130&lt;1,0,IF(Reeksen!AD130&lt;=Reeksen!AE130,I130*Reeksen!C130,0))</f>
        <v>0</v>
      </c>
      <c r="K130" s="86">
        <f ca="1">IF(C130&lt;1,0,IF(Reeksen!AD130&gt;Reeksen!AE130,I130*Reeksen!C130,0))</f>
        <v>0</v>
      </c>
      <c r="L130" s="86">
        <f t="shared" ca="1" si="13"/>
        <v>0</v>
      </c>
      <c r="M130" s="85">
        <f ca="1">IF('Invoer gegevens'!$C$17=E130,'Invoer gegevens'!$C$10-'Invoer gegevens'!$C$11,IF(C130=1,P129,0))</f>
        <v>0</v>
      </c>
      <c r="N130" s="86">
        <f ca="1">IF(C130&lt;1,0,IF(Reeksen!AD130&lt;=Reeksen!AE130,M130*Reeksen!C130,0))</f>
        <v>0</v>
      </c>
      <c r="O130" s="86">
        <f ca="1">IF(C130&lt;1,0,IF(Reeksen!AD130&gt;Reeksen!AE130,M130*Reeksen!C130,0))</f>
        <v>0</v>
      </c>
      <c r="P130" s="86">
        <f t="shared" ca="1" si="14"/>
        <v>0</v>
      </c>
      <c r="Q130" s="82">
        <f ca="1">IF('Invoer gegevens'!$C$17=E130,I130,IF(C130=0,0,R129))</f>
        <v>0</v>
      </c>
      <c r="R130" s="84">
        <f t="shared" ca="1" si="11"/>
        <v>0</v>
      </c>
      <c r="S130" s="84">
        <f ca="1">IF('Invoer gegevens'!$C$17=E130,M130,IF(C130=0,0,T129))</f>
        <v>0</v>
      </c>
      <c r="T130" s="84">
        <f t="shared" ca="1" si="20"/>
        <v>0</v>
      </c>
      <c r="AI130" s="71">
        <f ca="1">IF(C130=1,((F130+H130)/2*Reeksen!AI130*12)+(('Invoer gegevens'!$C$10-(F130+H130)/2)*Reeksen!AD130*12),0)</f>
        <v>0</v>
      </c>
      <c r="AJ130" s="71">
        <f ca="1">-AI130*'Invoer gegevens'!$F$28</f>
        <v>0</v>
      </c>
      <c r="AK130" s="71">
        <f t="shared" ca="1" si="15"/>
        <v>0</v>
      </c>
      <c r="AL130" s="71">
        <f ca="1">IF(C130=1,(12*((F130+H130)/2)*Reeksen!AL130)+(12*('Invoer gegevens'!$C$10-(F130+H130)/2)*Reeksen!AM130),0)</f>
        <v>0</v>
      </c>
      <c r="AM130" s="71">
        <f ca="1">-AL130*'Invoer gegevens'!$F$31</f>
        <v>0</v>
      </c>
      <c r="AN130" s="71">
        <f t="shared" ca="1" si="16"/>
        <v>0</v>
      </c>
      <c r="AO130" s="71"/>
      <c r="AP130" s="71"/>
      <c r="AQ130" s="71">
        <f ca="1">-IF(C130=1,('Invoer gegevens'!$C$10*'Invoer gegevens'!$F$35)*Reeksen!J130,0)*2</f>
        <v>0</v>
      </c>
      <c r="AR130" s="71">
        <f ca="1">-IF(C130=1,(G130*'Invoer gegevens'!$F$36)*Reeksen!J130,0)</f>
        <v>0</v>
      </c>
      <c r="AS130" s="71">
        <f ca="1">-IF(C130=1,'Invoer gegevens'!$C$10*'Invoer gegevens'!$F$37*Reeksen!L130,0)</f>
        <v>0</v>
      </c>
      <c r="AT130" s="71">
        <f ca="1">-IF(C130=1,IF(E130='Invoer gegevens'!$C$17,'Invoer gegevens'!$C$11,Q130)*Reeksen!S130*'Invoer gegevens'!$C$18*Reeksen!P130,0)</f>
        <v>0</v>
      </c>
      <c r="AU130" s="71">
        <f ca="1">-IF(C130=1,'Invoer gegevens'!$C$10*'Invoer gegevens'!$F$38*Reeksen!H130,0)</f>
        <v>0</v>
      </c>
      <c r="AV130" s="71">
        <f t="shared" si="21"/>
        <v>0</v>
      </c>
      <c r="AW130" s="71">
        <f t="shared" ca="1" si="17"/>
        <v>0</v>
      </c>
      <c r="AX130" s="71">
        <f ca="1">IF(E130&lt;'Invoer gegevens'!$C$17+15,0,IF('RW - MW - DE - DE'!E130&gt;'Invoer gegevens'!$C$17+215,0,'RW - MW - DE - DE'!AW130))</f>
        <v>0</v>
      </c>
      <c r="AY130" s="71">
        <f ca="1">AX130/(1+'Invoer gegevens'!$F$13)^($AZ130-('Invoer gegevens'!$C$17-'Invoer gegevens'!$C$16))/(1+'Invoer gegevens'!$C$39)^('Invoer gegevens'!$C$17-'Invoer gegevens'!$C$16)</f>
        <v>0</v>
      </c>
      <c r="AZ130" s="68">
        <f ca="1">IF(E130-'Invoer gegevens'!$C$17-14.5&lt;0,0,E130-'Invoer gegevens'!$C$17-14.5)</f>
        <v>110.5</v>
      </c>
      <c r="BC130" s="71"/>
    </row>
    <row r="131" spans="2:55" customFormat="1" x14ac:dyDescent="0.25">
      <c r="B131" s="70">
        <f t="shared" si="18"/>
        <v>127</v>
      </c>
      <c r="C131" s="67">
        <f ca="1">IF(E131-'Invoer gegevens'!$C$17&lt;0,0,1)</f>
        <v>1</v>
      </c>
      <c r="D131" s="68">
        <f t="shared" si="19"/>
        <v>126.5</v>
      </c>
      <c r="E131" s="69">
        <f ca="1">IF('Invoer gegevens'!$C$16="","",E130+1)</f>
        <v>2145</v>
      </c>
      <c r="F131" s="82">
        <f ca="1">IF('Invoer gegevens'!$C$17=E131,'Invoer gegevens'!$C$10,IF(C131=1,H130,0))</f>
        <v>0</v>
      </c>
      <c r="G131" s="83">
        <f ca="1">IF(C131&gt;=1,F131*Reeksen!C131,0)</f>
        <v>0</v>
      </c>
      <c r="H131" s="84">
        <f t="shared" ca="1" si="12"/>
        <v>0</v>
      </c>
      <c r="I131" s="85">
        <f ca="1">IF('Invoer gegevens'!$C$17=E131,'Invoer gegevens'!$C$11,IF(C131=1,L130,0))</f>
        <v>0</v>
      </c>
      <c r="J131" s="86">
        <f ca="1">IF(C131&lt;1,0,IF(Reeksen!AD131&lt;=Reeksen!AE131,I131*Reeksen!C131,0))</f>
        <v>0</v>
      </c>
      <c r="K131" s="86">
        <f ca="1">IF(C131&lt;1,0,IF(Reeksen!AD131&gt;Reeksen!AE131,I131*Reeksen!C131,0))</f>
        <v>0</v>
      </c>
      <c r="L131" s="86">
        <f t="shared" ca="1" si="13"/>
        <v>0</v>
      </c>
      <c r="M131" s="85">
        <f ca="1">IF('Invoer gegevens'!$C$17=E131,'Invoer gegevens'!$C$10-'Invoer gegevens'!$C$11,IF(C131=1,P130,0))</f>
        <v>0</v>
      </c>
      <c r="N131" s="86">
        <f ca="1">IF(C131&lt;1,0,IF(Reeksen!AD131&lt;=Reeksen!AE131,M131*Reeksen!C131,0))</f>
        <v>0</v>
      </c>
      <c r="O131" s="86">
        <f ca="1">IF(C131&lt;1,0,IF(Reeksen!AD131&gt;Reeksen!AE131,M131*Reeksen!C131,0))</f>
        <v>0</v>
      </c>
      <c r="P131" s="86">
        <f t="shared" ca="1" si="14"/>
        <v>0</v>
      </c>
      <c r="Q131" s="82">
        <f ca="1">IF('Invoer gegevens'!$C$17=E131,I131,IF(C131=0,0,R130))</f>
        <v>0</v>
      </c>
      <c r="R131" s="84">
        <f t="shared" ca="1" si="11"/>
        <v>0</v>
      </c>
      <c r="S131" s="84">
        <f ca="1">IF('Invoer gegevens'!$C$17=E131,M131,IF(C131=0,0,T130))</f>
        <v>0</v>
      </c>
      <c r="T131" s="84">
        <f t="shared" ca="1" si="20"/>
        <v>0</v>
      </c>
      <c r="AI131" s="71">
        <f ca="1">IF(C131=1,((F131+H131)/2*Reeksen!AI131*12)+(('Invoer gegevens'!$C$10-(F131+H131)/2)*Reeksen!AD131*12),0)</f>
        <v>0</v>
      </c>
      <c r="AJ131" s="71">
        <f ca="1">-AI131*'Invoer gegevens'!$F$28</f>
        <v>0</v>
      </c>
      <c r="AK131" s="71">
        <f t="shared" ca="1" si="15"/>
        <v>0</v>
      </c>
      <c r="AL131" s="71">
        <f ca="1">IF(C131=1,(12*((F131+H131)/2)*Reeksen!AL131)+(12*('Invoer gegevens'!$C$10-(F131+H131)/2)*Reeksen!AM131),0)</f>
        <v>0</v>
      </c>
      <c r="AM131" s="71">
        <f ca="1">-AL131*'Invoer gegevens'!$F$31</f>
        <v>0</v>
      </c>
      <c r="AN131" s="71">
        <f t="shared" ca="1" si="16"/>
        <v>0</v>
      </c>
      <c r="AO131" s="71"/>
      <c r="AP131" s="71"/>
      <c r="AQ131" s="71">
        <f ca="1">-IF(C131=1,('Invoer gegevens'!$C$10*'Invoer gegevens'!$F$35)*Reeksen!J131,0)*2</f>
        <v>0</v>
      </c>
      <c r="AR131" s="71">
        <f ca="1">-IF(C131=1,(G131*'Invoer gegevens'!$F$36)*Reeksen!J131,0)</f>
        <v>0</v>
      </c>
      <c r="AS131" s="71">
        <f ca="1">-IF(C131=1,'Invoer gegevens'!$C$10*'Invoer gegevens'!$F$37*Reeksen!L131,0)</f>
        <v>0</v>
      </c>
      <c r="AT131" s="71">
        <f ca="1">-IF(C131=1,IF(E131='Invoer gegevens'!$C$17,'Invoer gegevens'!$C$11,Q131)*Reeksen!S131*'Invoer gegevens'!$C$18*Reeksen!P131,0)</f>
        <v>0</v>
      </c>
      <c r="AU131" s="71">
        <f ca="1">-IF(C131=1,'Invoer gegevens'!$C$10*'Invoer gegevens'!$F$38*Reeksen!H131,0)</f>
        <v>0</v>
      </c>
      <c r="AV131" s="71">
        <f t="shared" si="21"/>
        <v>0</v>
      </c>
      <c r="AW131" s="71">
        <f t="shared" ca="1" si="17"/>
        <v>0</v>
      </c>
      <c r="AX131" s="71">
        <f ca="1">IF(E131&lt;'Invoer gegevens'!$C$17+15,0,IF('RW - MW - DE - DE'!E131&gt;'Invoer gegevens'!$C$17+215,0,'RW - MW - DE - DE'!AW131))</f>
        <v>0</v>
      </c>
      <c r="AY131" s="71">
        <f ca="1">AX131/(1+'Invoer gegevens'!$F$13)^($AZ131-('Invoer gegevens'!$C$17-'Invoer gegevens'!$C$16))/(1+'Invoer gegevens'!$C$39)^('Invoer gegevens'!$C$17-'Invoer gegevens'!$C$16)</f>
        <v>0</v>
      </c>
      <c r="AZ131" s="68">
        <f ca="1">IF(E131-'Invoer gegevens'!$C$17-14.5&lt;0,0,E131-'Invoer gegevens'!$C$17-14.5)</f>
        <v>111.5</v>
      </c>
      <c r="BC131" s="71"/>
    </row>
    <row r="132" spans="2:55" customFormat="1" x14ac:dyDescent="0.25">
      <c r="B132" s="70">
        <f t="shared" si="18"/>
        <v>128</v>
      </c>
      <c r="C132" s="67">
        <f ca="1">IF(E132-'Invoer gegevens'!$C$17&lt;0,0,1)</f>
        <v>1</v>
      </c>
      <c r="D132" s="68">
        <f t="shared" si="19"/>
        <v>127.5</v>
      </c>
      <c r="E132" s="69">
        <f ca="1">IF('Invoer gegevens'!$C$16="","",E131+1)</f>
        <v>2146</v>
      </c>
      <c r="F132" s="82">
        <f ca="1">IF('Invoer gegevens'!$C$17=E132,'Invoer gegevens'!$C$10,IF(C132=1,H131,0))</f>
        <v>0</v>
      </c>
      <c r="G132" s="83">
        <f ca="1">IF(C132&gt;=1,F132*Reeksen!C132,0)</f>
        <v>0</v>
      </c>
      <c r="H132" s="84">
        <f t="shared" ca="1" si="12"/>
        <v>0</v>
      </c>
      <c r="I132" s="85">
        <f ca="1">IF('Invoer gegevens'!$C$17=E132,'Invoer gegevens'!$C$11,IF(C132=1,L131,0))</f>
        <v>0</v>
      </c>
      <c r="J132" s="86">
        <f ca="1">IF(C132&lt;1,0,IF(Reeksen!AD132&lt;=Reeksen!AE132,I132*Reeksen!C132,0))</f>
        <v>0</v>
      </c>
      <c r="K132" s="86">
        <f ca="1">IF(C132&lt;1,0,IF(Reeksen!AD132&gt;Reeksen!AE132,I132*Reeksen!C132,0))</f>
        <v>0</v>
      </c>
      <c r="L132" s="86">
        <f t="shared" ca="1" si="13"/>
        <v>0</v>
      </c>
      <c r="M132" s="85">
        <f ca="1">IF('Invoer gegevens'!$C$17=E132,'Invoer gegevens'!$C$10-'Invoer gegevens'!$C$11,IF(C132=1,P131,0))</f>
        <v>0</v>
      </c>
      <c r="N132" s="86">
        <f ca="1">IF(C132&lt;1,0,IF(Reeksen!AD132&lt;=Reeksen!AE132,M132*Reeksen!C132,0))</f>
        <v>0</v>
      </c>
      <c r="O132" s="86">
        <f ca="1">IF(C132&lt;1,0,IF(Reeksen!AD132&gt;Reeksen!AE132,M132*Reeksen!C132,0))</f>
        <v>0</v>
      </c>
      <c r="P132" s="86">
        <f t="shared" ca="1" si="14"/>
        <v>0</v>
      </c>
      <c r="Q132" s="82">
        <f ca="1">IF('Invoer gegevens'!$C$17=E132,I132,IF(C132=0,0,R131))</f>
        <v>0</v>
      </c>
      <c r="R132" s="84">
        <f t="shared" ca="1" si="11"/>
        <v>0</v>
      </c>
      <c r="S132" s="84">
        <f ca="1">IF('Invoer gegevens'!$C$17=E132,M132,IF(C132=0,0,T131))</f>
        <v>0</v>
      </c>
      <c r="T132" s="84">
        <f t="shared" ca="1" si="20"/>
        <v>0</v>
      </c>
      <c r="AI132" s="71">
        <f ca="1">IF(C132=1,((F132+H132)/2*Reeksen!AI132*12)+(('Invoer gegevens'!$C$10-(F132+H132)/2)*Reeksen!AD132*12),0)</f>
        <v>0</v>
      </c>
      <c r="AJ132" s="71">
        <f ca="1">-AI132*'Invoer gegevens'!$F$28</f>
        <v>0</v>
      </c>
      <c r="AK132" s="71">
        <f t="shared" ca="1" si="15"/>
        <v>0</v>
      </c>
      <c r="AL132" s="71">
        <f ca="1">IF(C132=1,(12*((F132+H132)/2)*Reeksen!AL132)+(12*('Invoer gegevens'!$C$10-(F132+H132)/2)*Reeksen!AM132),0)</f>
        <v>0</v>
      </c>
      <c r="AM132" s="71">
        <f ca="1">-AL132*'Invoer gegevens'!$F$31</f>
        <v>0</v>
      </c>
      <c r="AN132" s="71">
        <f t="shared" ca="1" si="16"/>
        <v>0</v>
      </c>
      <c r="AO132" s="71"/>
      <c r="AP132" s="71"/>
      <c r="AQ132" s="71">
        <f ca="1">-IF(C132=1,('Invoer gegevens'!$C$10*'Invoer gegevens'!$F$35)*Reeksen!J132,0)*2</f>
        <v>0</v>
      </c>
      <c r="AR132" s="71">
        <f ca="1">-IF(C132=1,(G132*'Invoer gegevens'!$F$36)*Reeksen!J132,0)</f>
        <v>0</v>
      </c>
      <c r="AS132" s="71">
        <f ca="1">-IF(C132=1,'Invoer gegevens'!$C$10*'Invoer gegevens'!$F$37*Reeksen!L132,0)</f>
        <v>0</v>
      </c>
      <c r="AT132" s="71">
        <f ca="1">-IF(C132=1,IF(E132='Invoer gegevens'!$C$17,'Invoer gegevens'!$C$11,Q132)*Reeksen!S132*'Invoer gegevens'!$C$18*Reeksen!P132,0)</f>
        <v>0</v>
      </c>
      <c r="AU132" s="71">
        <f ca="1">-IF(C132=1,'Invoer gegevens'!$C$10*'Invoer gegevens'!$F$38*Reeksen!H132,0)</f>
        <v>0</v>
      </c>
      <c r="AV132" s="71">
        <f t="shared" si="21"/>
        <v>0</v>
      </c>
      <c r="AW132" s="71">
        <f t="shared" ca="1" si="17"/>
        <v>0</v>
      </c>
      <c r="AX132" s="71">
        <f ca="1">IF(E132&lt;'Invoer gegevens'!$C$17+15,0,IF('RW - MW - DE - DE'!E132&gt;'Invoer gegevens'!$C$17+215,0,'RW - MW - DE - DE'!AW132))</f>
        <v>0</v>
      </c>
      <c r="AY132" s="71">
        <f ca="1">AX132/(1+'Invoer gegevens'!$F$13)^($AZ132-('Invoer gegevens'!$C$17-'Invoer gegevens'!$C$16))/(1+'Invoer gegevens'!$C$39)^('Invoer gegevens'!$C$17-'Invoer gegevens'!$C$16)</f>
        <v>0</v>
      </c>
      <c r="AZ132" s="68">
        <f ca="1">IF(E132-'Invoer gegevens'!$C$17-14.5&lt;0,0,E132-'Invoer gegevens'!$C$17-14.5)</f>
        <v>112.5</v>
      </c>
      <c r="BC132" s="71"/>
    </row>
    <row r="133" spans="2:55" customFormat="1" x14ac:dyDescent="0.25">
      <c r="B133" s="70">
        <f t="shared" si="18"/>
        <v>129</v>
      </c>
      <c r="C133" s="67">
        <f ca="1">IF(E133-'Invoer gegevens'!$C$17&lt;0,0,1)</f>
        <v>1</v>
      </c>
      <c r="D133" s="68">
        <f t="shared" si="19"/>
        <v>128.5</v>
      </c>
      <c r="E133" s="69">
        <f ca="1">IF('Invoer gegevens'!$C$16="","",E132+1)</f>
        <v>2147</v>
      </c>
      <c r="F133" s="82">
        <f ca="1">IF('Invoer gegevens'!$C$17=E133,'Invoer gegevens'!$C$10,IF(C133=1,H132,0))</f>
        <v>0</v>
      </c>
      <c r="G133" s="83">
        <f ca="1">IF(C133&gt;=1,F133*Reeksen!C133,0)</f>
        <v>0</v>
      </c>
      <c r="H133" s="84">
        <f t="shared" ca="1" si="12"/>
        <v>0</v>
      </c>
      <c r="I133" s="85">
        <f ca="1">IF('Invoer gegevens'!$C$17=E133,'Invoer gegevens'!$C$11,IF(C133=1,L132,0))</f>
        <v>0</v>
      </c>
      <c r="J133" s="86">
        <f ca="1">IF(C133&lt;1,0,IF(Reeksen!AD133&lt;=Reeksen!AE133,I133*Reeksen!C133,0))</f>
        <v>0</v>
      </c>
      <c r="K133" s="86">
        <f ca="1">IF(C133&lt;1,0,IF(Reeksen!AD133&gt;Reeksen!AE133,I133*Reeksen!C133,0))</f>
        <v>0</v>
      </c>
      <c r="L133" s="86">
        <f t="shared" ca="1" si="13"/>
        <v>0</v>
      </c>
      <c r="M133" s="85">
        <f ca="1">IF('Invoer gegevens'!$C$17=E133,'Invoer gegevens'!$C$10-'Invoer gegevens'!$C$11,IF(C133=1,P132,0))</f>
        <v>0</v>
      </c>
      <c r="N133" s="86">
        <f ca="1">IF(C133&lt;1,0,IF(Reeksen!AD133&lt;=Reeksen!AE133,M133*Reeksen!C133,0))</f>
        <v>0</v>
      </c>
      <c r="O133" s="86">
        <f ca="1">IF(C133&lt;1,0,IF(Reeksen!AD133&gt;Reeksen!AE133,M133*Reeksen!C133,0))</f>
        <v>0</v>
      </c>
      <c r="P133" s="86">
        <f t="shared" ca="1" si="14"/>
        <v>0</v>
      </c>
      <c r="Q133" s="82">
        <f ca="1">IF('Invoer gegevens'!$C$17=E133,I133,IF(C133=0,0,R132))</f>
        <v>0</v>
      </c>
      <c r="R133" s="84">
        <f t="shared" ref="R133:R196" ca="1" si="22">IF(C133=0,0,Q133-K133+N133)</f>
        <v>0</v>
      </c>
      <c r="S133" s="84">
        <f ca="1">IF('Invoer gegevens'!$C$17=E133,M133,IF(C133=0,0,T132))</f>
        <v>0</v>
      </c>
      <c r="T133" s="84">
        <f t="shared" ca="1" si="20"/>
        <v>0</v>
      </c>
      <c r="AI133" s="71">
        <f ca="1">IF(C133=1,((F133+H133)/2*Reeksen!AI133*12)+(('Invoer gegevens'!$C$10-(F133+H133)/2)*Reeksen!AD133*12),0)</f>
        <v>0</v>
      </c>
      <c r="AJ133" s="71">
        <f ca="1">-AI133*'Invoer gegevens'!$F$28</f>
        <v>0</v>
      </c>
      <c r="AK133" s="71">
        <f t="shared" ca="1" si="15"/>
        <v>0</v>
      </c>
      <c r="AL133" s="71">
        <f ca="1">IF(C133=1,(12*((F133+H133)/2)*Reeksen!AL133)+(12*('Invoer gegevens'!$C$10-(F133+H133)/2)*Reeksen!AM133),0)</f>
        <v>0</v>
      </c>
      <c r="AM133" s="71">
        <f ca="1">-AL133*'Invoer gegevens'!$F$31</f>
        <v>0</v>
      </c>
      <c r="AN133" s="71">
        <f t="shared" ca="1" si="16"/>
        <v>0</v>
      </c>
      <c r="AO133" s="71"/>
      <c r="AP133" s="71"/>
      <c r="AQ133" s="71">
        <f ca="1">-IF(C133=1,('Invoer gegevens'!$C$10*'Invoer gegevens'!$F$35)*Reeksen!J133,0)*2</f>
        <v>0</v>
      </c>
      <c r="AR133" s="71">
        <f ca="1">-IF(C133=1,(G133*'Invoer gegevens'!$F$36)*Reeksen!J133,0)</f>
        <v>0</v>
      </c>
      <c r="AS133" s="71">
        <f ca="1">-IF(C133=1,'Invoer gegevens'!$C$10*'Invoer gegevens'!$F$37*Reeksen!L133,0)</f>
        <v>0</v>
      </c>
      <c r="AT133" s="71">
        <f ca="1">-IF(C133=1,IF(E133='Invoer gegevens'!$C$17,'Invoer gegevens'!$C$11,Q133)*Reeksen!S133*'Invoer gegevens'!$C$18*Reeksen!P133,0)</f>
        <v>0</v>
      </c>
      <c r="AU133" s="71">
        <f ca="1">-IF(C133=1,'Invoer gegevens'!$C$10*'Invoer gegevens'!$F$38*Reeksen!H133,0)</f>
        <v>0</v>
      </c>
      <c r="AV133" s="71">
        <f t="shared" si="21"/>
        <v>0</v>
      </c>
      <c r="AW133" s="71">
        <f t="shared" ca="1" si="17"/>
        <v>0</v>
      </c>
      <c r="AX133" s="71">
        <f ca="1">IF(E133&lt;'Invoer gegevens'!$C$17+15,0,IF('RW - MW - DE - DE'!E133&gt;'Invoer gegevens'!$C$17+215,0,'RW - MW - DE - DE'!AW133))</f>
        <v>0</v>
      </c>
      <c r="AY133" s="71">
        <f ca="1">AX133/(1+'Invoer gegevens'!$F$13)^($AZ133-('Invoer gegevens'!$C$17-'Invoer gegevens'!$C$16))/(1+'Invoer gegevens'!$C$39)^('Invoer gegevens'!$C$17-'Invoer gegevens'!$C$16)</f>
        <v>0</v>
      </c>
      <c r="AZ133" s="68">
        <f ca="1">IF(E133-'Invoer gegevens'!$C$17-14.5&lt;0,0,E133-'Invoer gegevens'!$C$17-14.5)</f>
        <v>113.5</v>
      </c>
      <c r="BC133" s="71"/>
    </row>
    <row r="134" spans="2:55" customFormat="1" x14ac:dyDescent="0.25">
      <c r="B134" s="70">
        <f t="shared" si="18"/>
        <v>130</v>
      </c>
      <c r="C134" s="67">
        <f ca="1">IF(E134-'Invoer gegevens'!$C$17&lt;0,0,1)</f>
        <v>1</v>
      </c>
      <c r="D134" s="68">
        <f t="shared" si="19"/>
        <v>129.5</v>
      </c>
      <c r="E134" s="69">
        <f ca="1">IF('Invoer gegevens'!$C$16="","",E133+1)</f>
        <v>2148</v>
      </c>
      <c r="F134" s="82">
        <f ca="1">IF('Invoer gegevens'!$C$17=E134,'Invoer gegevens'!$C$10,IF(C134=1,H133,0))</f>
        <v>0</v>
      </c>
      <c r="G134" s="83">
        <f ca="1">IF(C134&gt;=1,F134*Reeksen!C134,0)</f>
        <v>0</v>
      </c>
      <c r="H134" s="84">
        <f t="shared" ref="H134:H197" ca="1" si="23">F134-G134</f>
        <v>0</v>
      </c>
      <c r="I134" s="85">
        <f ca="1">IF('Invoer gegevens'!$C$17=E134,'Invoer gegevens'!$C$11,IF(C134=1,L133,0))</f>
        <v>0</v>
      </c>
      <c r="J134" s="86">
        <f ca="1">IF(C134&lt;1,0,IF(Reeksen!AD134&lt;=Reeksen!AE134,I134*Reeksen!C134,0))</f>
        <v>0</v>
      </c>
      <c r="K134" s="86">
        <f ca="1">IF(C134&lt;1,0,IF(Reeksen!AD134&gt;Reeksen!AE134,I134*Reeksen!C134,0))</f>
        <v>0</v>
      </c>
      <c r="L134" s="86">
        <f t="shared" ref="L134:L197" ca="1" si="24">I134-J134-K134</f>
        <v>0</v>
      </c>
      <c r="M134" s="85">
        <f ca="1">IF('Invoer gegevens'!$C$17=E134,'Invoer gegevens'!$C$10-'Invoer gegevens'!$C$11,IF(C134=1,P133,0))</f>
        <v>0</v>
      </c>
      <c r="N134" s="86">
        <f ca="1">IF(C134&lt;1,0,IF(Reeksen!AD134&lt;=Reeksen!AE134,M134*Reeksen!C134,0))</f>
        <v>0</v>
      </c>
      <c r="O134" s="86">
        <f ca="1">IF(C134&lt;1,0,IF(Reeksen!AD134&gt;Reeksen!AE134,M134*Reeksen!C134,0))</f>
        <v>0</v>
      </c>
      <c r="P134" s="86">
        <f t="shared" ref="P134:P197" ca="1" si="25">M134-N134-O134</f>
        <v>0</v>
      </c>
      <c r="Q134" s="82">
        <f ca="1">IF('Invoer gegevens'!$C$17=E134,I134,IF(C134=0,0,R133))</f>
        <v>0</v>
      </c>
      <c r="R134" s="84">
        <f t="shared" ca="1" si="22"/>
        <v>0</v>
      </c>
      <c r="S134" s="84">
        <f ca="1">IF('Invoer gegevens'!$C$17=E134,M134,IF(C134=0,0,T133))</f>
        <v>0</v>
      </c>
      <c r="T134" s="84">
        <f t="shared" ca="1" si="20"/>
        <v>0</v>
      </c>
      <c r="AI134" s="71">
        <f ca="1">IF(C134=1,((F134+H134)/2*Reeksen!AI134*12)+(('Invoer gegevens'!$C$10-(F134+H134)/2)*Reeksen!AD134*12),0)</f>
        <v>0</v>
      </c>
      <c r="AJ134" s="71">
        <f ca="1">-AI134*'Invoer gegevens'!$F$28</f>
        <v>0</v>
      </c>
      <c r="AK134" s="71">
        <f t="shared" ref="AK134:AK197" ca="1" si="26">AI134+AJ134</f>
        <v>0</v>
      </c>
      <c r="AL134" s="71">
        <f ca="1">IF(C134=1,(12*((F134+H134)/2)*Reeksen!AL134)+(12*('Invoer gegevens'!$C$10-(F134+H134)/2)*Reeksen!AM134),0)</f>
        <v>0</v>
      </c>
      <c r="AM134" s="71">
        <f ca="1">-AL134*'Invoer gegevens'!$F$31</f>
        <v>0</v>
      </c>
      <c r="AN134" s="71">
        <f t="shared" ref="AN134:AN197" ca="1" si="27">AL134+AM134</f>
        <v>0</v>
      </c>
      <c r="AO134" s="71"/>
      <c r="AP134" s="71"/>
      <c r="AQ134" s="71">
        <f ca="1">-IF(C134=1,('Invoer gegevens'!$C$10*'Invoer gegevens'!$F$35)*Reeksen!J134,0)*2</f>
        <v>0</v>
      </c>
      <c r="AR134" s="71">
        <f ca="1">-IF(C134=1,(G134*'Invoer gegevens'!$F$36)*Reeksen!J134,0)</f>
        <v>0</v>
      </c>
      <c r="AS134" s="71">
        <f ca="1">-IF(C134=1,'Invoer gegevens'!$C$10*'Invoer gegevens'!$F$37*Reeksen!L134,0)</f>
        <v>0</v>
      </c>
      <c r="AT134" s="71">
        <f ca="1">-IF(C134=1,IF(E134='Invoer gegevens'!$C$17,'Invoer gegevens'!$C$11,Q134)*Reeksen!S134*'Invoer gegevens'!$C$18*Reeksen!P134,0)</f>
        <v>0</v>
      </c>
      <c r="AU134" s="71">
        <f ca="1">-IF(C134=1,'Invoer gegevens'!$C$10*'Invoer gegevens'!$F$38*Reeksen!H134,0)</f>
        <v>0</v>
      </c>
      <c r="AV134" s="71">
        <f t="shared" si="21"/>
        <v>0</v>
      </c>
      <c r="AW134" s="71">
        <f t="shared" ref="AW134:AW197" ca="1" si="28">SUM(AK134,AN134:AV134)</f>
        <v>0</v>
      </c>
      <c r="AX134" s="71">
        <f ca="1">IF(E134&lt;'Invoer gegevens'!$C$17+15,0,IF('RW - MW - DE - DE'!E134&gt;'Invoer gegevens'!$C$17+215,0,'RW - MW - DE - DE'!AW134))</f>
        <v>0</v>
      </c>
      <c r="AY134" s="71">
        <f ca="1">AX134/(1+'Invoer gegevens'!$F$13)^($AZ134-('Invoer gegevens'!$C$17-'Invoer gegevens'!$C$16))/(1+'Invoer gegevens'!$C$39)^('Invoer gegevens'!$C$17-'Invoer gegevens'!$C$16)</f>
        <v>0</v>
      </c>
      <c r="AZ134" s="68">
        <f ca="1">IF(E134-'Invoer gegevens'!$C$17-14.5&lt;0,0,E134-'Invoer gegevens'!$C$17-14.5)</f>
        <v>114.5</v>
      </c>
      <c r="BC134" s="71"/>
    </row>
    <row r="135" spans="2:55" customFormat="1" x14ac:dyDescent="0.25">
      <c r="B135" s="70">
        <f t="shared" ref="B135:B198" si="29">B134+1</f>
        <v>131</v>
      </c>
      <c r="C135" s="67">
        <f ca="1">IF(E135-'Invoer gegevens'!$C$17&lt;0,0,1)</f>
        <v>1</v>
      </c>
      <c r="D135" s="68">
        <f t="shared" ref="D135:D198" si="30">D134+1</f>
        <v>130.5</v>
      </c>
      <c r="E135" s="69">
        <f ca="1">IF('Invoer gegevens'!$C$16="","",E134+1)</f>
        <v>2149</v>
      </c>
      <c r="F135" s="82">
        <f ca="1">IF('Invoer gegevens'!$C$17=E135,'Invoer gegevens'!$C$10,IF(C135=1,H134,0))</f>
        <v>0</v>
      </c>
      <c r="G135" s="83">
        <f ca="1">IF(C135&gt;=1,F135*Reeksen!C135,0)</f>
        <v>0</v>
      </c>
      <c r="H135" s="84">
        <f t="shared" ca="1" si="23"/>
        <v>0</v>
      </c>
      <c r="I135" s="85">
        <f ca="1">IF('Invoer gegevens'!$C$17=E135,'Invoer gegevens'!$C$11,IF(C135=1,L134,0))</f>
        <v>0</v>
      </c>
      <c r="J135" s="86">
        <f ca="1">IF(C135&lt;1,0,IF(Reeksen!AD135&lt;=Reeksen!AE135,I135*Reeksen!C135,0))</f>
        <v>0</v>
      </c>
      <c r="K135" s="86">
        <f ca="1">IF(C135&lt;1,0,IF(Reeksen!AD135&gt;Reeksen!AE135,I135*Reeksen!C135,0))</f>
        <v>0</v>
      </c>
      <c r="L135" s="86">
        <f t="shared" ca="1" si="24"/>
        <v>0</v>
      </c>
      <c r="M135" s="85">
        <f ca="1">IF('Invoer gegevens'!$C$17=E135,'Invoer gegevens'!$C$10-'Invoer gegevens'!$C$11,IF(C135=1,P134,0))</f>
        <v>0</v>
      </c>
      <c r="N135" s="86">
        <f ca="1">IF(C135&lt;1,0,IF(Reeksen!AD135&lt;=Reeksen!AE135,M135*Reeksen!C135,0))</f>
        <v>0</v>
      </c>
      <c r="O135" s="86">
        <f ca="1">IF(C135&lt;1,0,IF(Reeksen!AD135&gt;Reeksen!AE135,M135*Reeksen!C135,0))</f>
        <v>0</v>
      </c>
      <c r="P135" s="86">
        <f t="shared" ca="1" si="25"/>
        <v>0</v>
      </c>
      <c r="Q135" s="82">
        <f ca="1">IF('Invoer gegevens'!$C$17=E135,I135,IF(C135=0,0,R134))</f>
        <v>0</v>
      </c>
      <c r="R135" s="84">
        <f t="shared" ca="1" si="22"/>
        <v>0</v>
      </c>
      <c r="S135" s="84">
        <f ca="1">IF('Invoer gegevens'!$C$17=E135,M135,IF(C135=0,0,T134))</f>
        <v>0</v>
      </c>
      <c r="T135" s="84">
        <f t="shared" ref="T135:T198" ca="1" si="31">IF(C135=0,0,S135-N135+K135)</f>
        <v>0</v>
      </c>
      <c r="AI135" s="71">
        <f ca="1">IF(C135=1,((F135+H135)/2*Reeksen!AI135*12)+(('Invoer gegevens'!$C$10-(F135+H135)/2)*Reeksen!AD135*12),0)</f>
        <v>0</v>
      </c>
      <c r="AJ135" s="71">
        <f ca="1">-AI135*'Invoer gegevens'!$F$28</f>
        <v>0</v>
      </c>
      <c r="AK135" s="71">
        <f t="shared" ca="1" si="26"/>
        <v>0</v>
      </c>
      <c r="AL135" s="71">
        <f ca="1">IF(C135=1,(12*((F135+H135)/2)*Reeksen!AL135)+(12*('Invoer gegevens'!$C$10-(F135+H135)/2)*Reeksen!AM135),0)</f>
        <v>0</v>
      </c>
      <c r="AM135" s="71">
        <f ca="1">-AL135*'Invoer gegevens'!$F$31</f>
        <v>0</v>
      </c>
      <c r="AN135" s="71">
        <f t="shared" ca="1" si="27"/>
        <v>0</v>
      </c>
      <c r="AO135" s="71"/>
      <c r="AP135" s="71"/>
      <c r="AQ135" s="71">
        <f ca="1">-IF(C135=1,('Invoer gegevens'!$C$10*'Invoer gegevens'!$F$35)*Reeksen!J135,0)*2</f>
        <v>0</v>
      </c>
      <c r="AR135" s="71">
        <f ca="1">-IF(C135=1,(G135*'Invoer gegevens'!$F$36)*Reeksen!J135,0)</f>
        <v>0</v>
      </c>
      <c r="AS135" s="71">
        <f ca="1">-IF(C135=1,'Invoer gegevens'!$C$10*'Invoer gegevens'!$F$37*Reeksen!L135,0)</f>
        <v>0</v>
      </c>
      <c r="AT135" s="71">
        <f ca="1">-IF(C135=1,IF(E135='Invoer gegevens'!$C$17,'Invoer gegevens'!$C$11,Q135)*Reeksen!S135*'Invoer gegevens'!$C$18*Reeksen!P135,0)</f>
        <v>0</v>
      </c>
      <c r="AU135" s="71">
        <f ca="1">-IF(C135=1,'Invoer gegevens'!$C$10*'Invoer gegevens'!$F$38*Reeksen!H135,0)</f>
        <v>0</v>
      </c>
      <c r="AV135" s="71">
        <f t="shared" si="21"/>
        <v>0</v>
      </c>
      <c r="AW135" s="71">
        <f t="shared" ca="1" si="28"/>
        <v>0</v>
      </c>
      <c r="AX135" s="71">
        <f ca="1">IF(E135&lt;'Invoer gegevens'!$C$17+15,0,IF('RW - MW - DE - DE'!E135&gt;'Invoer gegevens'!$C$17+215,0,'RW - MW - DE - DE'!AW135))</f>
        <v>0</v>
      </c>
      <c r="AY135" s="71">
        <f ca="1">AX135/(1+'Invoer gegevens'!$F$13)^($AZ135-('Invoer gegevens'!$C$17-'Invoer gegevens'!$C$16))/(1+'Invoer gegevens'!$C$39)^('Invoer gegevens'!$C$17-'Invoer gegevens'!$C$16)</f>
        <v>0</v>
      </c>
      <c r="AZ135" s="68">
        <f ca="1">IF(E135-'Invoer gegevens'!$C$17-14.5&lt;0,0,E135-'Invoer gegevens'!$C$17-14.5)</f>
        <v>115.5</v>
      </c>
      <c r="BC135" s="71"/>
    </row>
    <row r="136" spans="2:55" customFormat="1" x14ac:dyDescent="0.25">
      <c r="B136" s="70">
        <f t="shared" si="29"/>
        <v>132</v>
      </c>
      <c r="C136" s="67">
        <f ca="1">IF(E136-'Invoer gegevens'!$C$17&lt;0,0,1)</f>
        <v>1</v>
      </c>
      <c r="D136" s="68">
        <f t="shared" si="30"/>
        <v>131.5</v>
      </c>
      <c r="E136" s="69">
        <f ca="1">IF('Invoer gegevens'!$C$16="","",E135+1)</f>
        <v>2150</v>
      </c>
      <c r="F136" s="82">
        <f ca="1">IF('Invoer gegevens'!$C$17=E136,'Invoer gegevens'!$C$10,IF(C136=1,H135,0))</f>
        <v>0</v>
      </c>
      <c r="G136" s="83">
        <f ca="1">IF(C136&gt;=1,F136*Reeksen!C136,0)</f>
        <v>0</v>
      </c>
      <c r="H136" s="84">
        <f t="shared" ca="1" si="23"/>
        <v>0</v>
      </c>
      <c r="I136" s="85">
        <f ca="1">IF('Invoer gegevens'!$C$17=E136,'Invoer gegevens'!$C$11,IF(C136=1,L135,0))</f>
        <v>0</v>
      </c>
      <c r="J136" s="86">
        <f ca="1">IF(C136&lt;1,0,IF(Reeksen!AD136&lt;=Reeksen!AE136,I136*Reeksen!C136,0))</f>
        <v>0</v>
      </c>
      <c r="K136" s="86">
        <f ca="1">IF(C136&lt;1,0,IF(Reeksen!AD136&gt;Reeksen!AE136,I136*Reeksen!C136,0))</f>
        <v>0</v>
      </c>
      <c r="L136" s="86">
        <f t="shared" ca="1" si="24"/>
        <v>0</v>
      </c>
      <c r="M136" s="85">
        <f ca="1">IF('Invoer gegevens'!$C$17=E136,'Invoer gegevens'!$C$10-'Invoer gegevens'!$C$11,IF(C136=1,P135,0))</f>
        <v>0</v>
      </c>
      <c r="N136" s="86">
        <f ca="1">IF(C136&lt;1,0,IF(Reeksen!AD136&lt;=Reeksen!AE136,M136*Reeksen!C136,0))</f>
        <v>0</v>
      </c>
      <c r="O136" s="86">
        <f ca="1">IF(C136&lt;1,0,IF(Reeksen!AD136&gt;Reeksen!AE136,M136*Reeksen!C136,0))</f>
        <v>0</v>
      </c>
      <c r="P136" s="86">
        <f t="shared" ca="1" si="25"/>
        <v>0</v>
      </c>
      <c r="Q136" s="82">
        <f ca="1">IF('Invoer gegevens'!$C$17=E136,I136,IF(C136=0,0,R135))</f>
        <v>0</v>
      </c>
      <c r="R136" s="84">
        <f t="shared" ca="1" si="22"/>
        <v>0</v>
      </c>
      <c r="S136" s="84">
        <f ca="1">IF('Invoer gegevens'!$C$17=E136,M136,IF(C136=0,0,T135))</f>
        <v>0</v>
      </c>
      <c r="T136" s="84">
        <f t="shared" ca="1" si="31"/>
        <v>0</v>
      </c>
      <c r="AI136" s="71">
        <f ca="1">IF(C136=1,((F136+H136)/2*Reeksen!AI136*12)+(('Invoer gegevens'!$C$10-(F136+H136)/2)*Reeksen!AD136*12),0)</f>
        <v>0</v>
      </c>
      <c r="AJ136" s="71">
        <f ca="1">-AI136*'Invoer gegevens'!$F$28</f>
        <v>0</v>
      </c>
      <c r="AK136" s="71">
        <f t="shared" ca="1" si="26"/>
        <v>0</v>
      </c>
      <c r="AL136" s="71">
        <f ca="1">IF(C136=1,(12*((F136+H136)/2)*Reeksen!AL136)+(12*('Invoer gegevens'!$C$10-(F136+H136)/2)*Reeksen!AM136),0)</f>
        <v>0</v>
      </c>
      <c r="AM136" s="71">
        <f ca="1">-AL136*'Invoer gegevens'!$F$31</f>
        <v>0</v>
      </c>
      <c r="AN136" s="71">
        <f t="shared" ca="1" si="27"/>
        <v>0</v>
      </c>
      <c r="AO136" s="71"/>
      <c r="AP136" s="71"/>
      <c r="AQ136" s="71">
        <f ca="1">-IF(C136=1,('Invoer gegevens'!$C$10*'Invoer gegevens'!$F$35)*Reeksen!J136,0)*2</f>
        <v>0</v>
      </c>
      <c r="AR136" s="71">
        <f ca="1">-IF(C136=1,(G136*'Invoer gegevens'!$F$36)*Reeksen!J136,0)</f>
        <v>0</v>
      </c>
      <c r="AS136" s="71">
        <f ca="1">-IF(C136=1,'Invoer gegevens'!$C$10*'Invoer gegevens'!$F$37*Reeksen!L136,0)</f>
        <v>0</v>
      </c>
      <c r="AT136" s="71">
        <f ca="1">-IF(C136=1,IF(E136='Invoer gegevens'!$C$17,'Invoer gegevens'!$C$11,Q136)*Reeksen!S136*'Invoer gegevens'!$C$18*Reeksen!P136,0)</f>
        <v>0</v>
      </c>
      <c r="AU136" s="71">
        <f ca="1">-IF(C136=1,'Invoer gegevens'!$C$10*'Invoer gegevens'!$F$38*Reeksen!H136,0)</f>
        <v>0</v>
      </c>
      <c r="AV136" s="71">
        <f t="shared" si="21"/>
        <v>0</v>
      </c>
      <c r="AW136" s="71">
        <f t="shared" ca="1" si="28"/>
        <v>0</v>
      </c>
      <c r="AX136" s="71">
        <f ca="1">IF(E136&lt;'Invoer gegevens'!$C$17+15,0,IF('RW - MW - DE - DE'!E136&gt;'Invoer gegevens'!$C$17+215,0,'RW - MW - DE - DE'!AW136))</f>
        <v>0</v>
      </c>
      <c r="AY136" s="71">
        <f ca="1">AX136/(1+'Invoer gegevens'!$F$13)^($AZ136-('Invoer gegevens'!$C$17-'Invoer gegevens'!$C$16))/(1+'Invoer gegevens'!$C$39)^('Invoer gegevens'!$C$17-'Invoer gegevens'!$C$16)</f>
        <v>0</v>
      </c>
      <c r="AZ136" s="68">
        <f ca="1">IF(E136-'Invoer gegevens'!$C$17-14.5&lt;0,0,E136-'Invoer gegevens'!$C$17-14.5)</f>
        <v>116.5</v>
      </c>
      <c r="BC136" s="71"/>
    </row>
    <row r="137" spans="2:55" customFormat="1" x14ac:dyDescent="0.25">
      <c r="B137" s="70">
        <f t="shared" si="29"/>
        <v>133</v>
      </c>
      <c r="C137" s="67">
        <f ca="1">IF(E137-'Invoer gegevens'!$C$17&lt;0,0,1)</f>
        <v>1</v>
      </c>
      <c r="D137" s="68">
        <f t="shared" si="30"/>
        <v>132.5</v>
      </c>
      <c r="E137" s="69">
        <f ca="1">IF('Invoer gegevens'!$C$16="","",E136+1)</f>
        <v>2151</v>
      </c>
      <c r="F137" s="82">
        <f ca="1">IF('Invoer gegevens'!$C$17=E137,'Invoer gegevens'!$C$10,IF(C137=1,H136,0))</f>
        <v>0</v>
      </c>
      <c r="G137" s="83">
        <f ca="1">IF(C137&gt;=1,F137*Reeksen!C137,0)</f>
        <v>0</v>
      </c>
      <c r="H137" s="84">
        <f t="shared" ca="1" si="23"/>
        <v>0</v>
      </c>
      <c r="I137" s="85">
        <f ca="1">IF('Invoer gegevens'!$C$17=E137,'Invoer gegevens'!$C$11,IF(C137=1,L136,0))</f>
        <v>0</v>
      </c>
      <c r="J137" s="86">
        <f ca="1">IF(C137&lt;1,0,IF(Reeksen!AD137&lt;=Reeksen!AE137,I137*Reeksen!C137,0))</f>
        <v>0</v>
      </c>
      <c r="K137" s="86">
        <f ca="1">IF(C137&lt;1,0,IF(Reeksen!AD137&gt;Reeksen!AE137,I137*Reeksen!C137,0))</f>
        <v>0</v>
      </c>
      <c r="L137" s="86">
        <f t="shared" ca="1" si="24"/>
        <v>0</v>
      </c>
      <c r="M137" s="85">
        <f ca="1">IF('Invoer gegevens'!$C$17=E137,'Invoer gegevens'!$C$10-'Invoer gegevens'!$C$11,IF(C137=1,P136,0))</f>
        <v>0</v>
      </c>
      <c r="N137" s="86">
        <f ca="1">IF(C137&lt;1,0,IF(Reeksen!AD137&lt;=Reeksen!AE137,M137*Reeksen!C137,0))</f>
        <v>0</v>
      </c>
      <c r="O137" s="86">
        <f ca="1">IF(C137&lt;1,0,IF(Reeksen!AD137&gt;Reeksen!AE137,M137*Reeksen!C137,0))</f>
        <v>0</v>
      </c>
      <c r="P137" s="86">
        <f t="shared" ca="1" si="25"/>
        <v>0</v>
      </c>
      <c r="Q137" s="82">
        <f ca="1">IF('Invoer gegevens'!$C$17=E137,I137,IF(C137=0,0,R136))</f>
        <v>0</v>
      </c>
      <c r="R137" s="84">
        <f t="shared" ca="1" si="22"/>
        <v>0</v>
      </c>
      <c r="S137" s="84">
        <f ca="1">IF('Invoer gegevens'!$C$17=E137,M137,IF(C137=0,0,T136))</f>
        <v>0</v>
      </c>
      <c r="T137" s="84">
        <f t="shared" ca="1" si="31"/>
        <v>0</v>
      </c>
      <c r="AI137" s="71">
        <f ca="1">IF(C137=1,((F137+H137)/2*Reeksen!AI137*12)+(('Invoer gegevens'!$C$10-(F137+H137)/2)*Reeksen!AD137*12),0)</f>
        <v>0</v>
      </c>
      <c r="AJ137" s="71">
        <f ca="1">-AI137*'Invoer gegevens'!$F$28</f>
        <v>0</v>
      </c>
      <c r="AK137" s="71">
        <f t="shared" ca="1" si="26"/>
        <v>0</v>
      </c>
      <c r="AL137" s="71">
        <f ca="1">IF(C137=1,(12*((F137+H137)/2)*Reeksen!AL137)+(12*('Invoer gegevens'!$C$10-(F137+H137)/2)*Reeksen!AM137),0)</f>
        <v>0</v>
      </c>
      <c r="AM137" s="71">
        <f ca="1">-AL137*'Invoer gegevens'!$F$31</f>
        <v>0</v>
      </c>
      <c r="AN137" s="71">
        <f t="shared" ca="1" si="27"/>
        <v>0</v>
      </c>
      <c r="AO137" s="71"/>
      <c r="AP137" s="71"/>
      <c r="AQ137" s="71">
        <f ca="1">-IF(C137=1,('Invoer gegevens'!$C$10*'Invoer gegevens'!$F$35)*Reeksen!J137,0)*2</f>
        <v>0</v>
      </c>
      <c r="AR137" s="71">
        <f ca="1">-IF(C137=1,(G137*'Invoer gegevens'!$F$36)*Reeksen!J137,0)</f>
        <v>0</v>
      </c>
      <c r="AS137" s="71">
        <f ca="1">-IF(C137=1,'Invoer gegevens'!$C$10*'Invoer gegevens'!$F$37*Reeksen!L137,0)</f>
        <v>0</v>
      </c>
      <c r="AT137" s="71">
        <f ca="1">-IF(C137=1,IF(E137='Invoer gegevens'!$C$17,'Invoer gegevens'!$C$11,Q137)*Reeksen!S137*'Invoer gegevens'!$C$18*Reeksen!P137,0)</f>
        <v>0</v>
      </c>
      <c r="AU137" s="71">
        <f ca="1">-IF(C137=1,'Invoer gegevens'!$C$10*'Invoer gegevens'!$F$38*Reeksen!H137,0)</f>
        <v>0</v>
      </c>
      <c r="AV137" s="71">
        <f t="shared" si="21"/>
        <v>0</v>
      </c>
      <c r="AW137" s="71">
        <f t="shared" ca="1" si="28"/>
        <v>0</v>
      </c>
      <c r="AX137" s="71">
        <f ca="1">IF(E137&lt;'Invoer gegevens'!$C$17+15,0,IF('RW - MW - DE - DE'!E137&gt;'Invoer gegevens'!$C$17+215,0,'RW - MW - DE - DE'!AW137))</f>
        <v>0</v>
      </c>
      <c r="AY137" s="71">
        <f ca="1">AX137/(1+'Invoer gegevens'!$F$13)^($AZ137-('Invoer gegevens'!$C$17-'Invoer gegevens'!$C$16))/(1+'Invoer gegevens'!$C$39)^('Invoer gegevens'!$C$17-'Invoer gegevens'!$C$16)</f>
        <v>0</v>
      </c>
      <c r="AZ137" s="68">
        <f ca="1">IF(E137-'Invoer gegevens'!$C$17-14.5&lt;0,0,E137-'Invoer gegevens'!$C$17-14.5)</f>
        <v>117.5</v>
      </c>
      <c r="BC137" s="71"/>
    </row>
    <row r="138" spans="2:55" customFormat="1" x14ac:dyDescent="0.25">
      <c r="B138" s="70">
        <f t="shared" si="29"/>
        <v>134</v>
      </c>
      <c r="C138" s="67">
        <f ca="1">IF(E138-'Invoer gegevens'!$C$17&lt;0,0,1)</f>
        <v>1</v>
      </c>
      <c r="D138" s="68">
        <f t="shared" si="30"/>
        <v>133.5</v>
      </c>
      <c r="E138" s="69">
        <f ca="1">IF('Invoer gegevens'!$C$16="","",E137+1)</f>
        <v>2152</v>
      </c>
      <c r="F138" s="82">
        <f ca="1">IF('Invoer gegevens'!$C$17=E138,'Invoer gegevens'!$C$10,IF(C138=1,H137,0))</f>
        <v>0</v>
      </c>
      <c r="G138" s="83">
        <f ca="1">IF(C138&gt;=1,F138*Reeksen!C138,0)</f>
        <v>0</v>
      </c>
      <c r="H138" s="84">
        <f t="shared" ca="1" si="23"/>
        <v>0</v>
      </c>
      <c r="I138" s="85">
        <f ca="1">IF('Invoer gegevens'!$C$17=E138,'Invoer gegevens'!$C$11,IF(C138=1,L137,0))</f>
        <v>0</v>
      </c>
      <c r="J138" s="86">
        <f ca="1">IF(C138&lt;1,0,IF(Reeksen!AD138&lt;=Reeksen!AE138,I138*Reeksen!C138,0))</f>
        <v>0</v>
      </c>
      <c r="K138" s="86">
        <f ca="1">IF(C138&lt;1,0,IF(Reeksen!AD138&gt;Reeksen!AE138,I138*Reeksen!C138,0))</f>
        <v>0</v>
      </c>
      <c r="L138" s="86">
        <f t="shared" ca="1" si="24"/>
        <v>0</v>
      </c>
      <c r="M138" s="85">
        <f ca="1">IF('Invoer gegevens'!$C$17=E138,'Invoer gegevens'!$C$10-'Invoer gegevens'!$C$11,IF(C138=1,P137,0))</f>
        <v>0</v>
      </c>
      <c r="N138" s="86">
        <f ca="1">IF(C138&lt;1,0,IF(Reeksen!AD138&lt;=Reeksen!AE138,M138*Reeksen!C138,0))</f>
        <v>0</v>
      </c>
      <c r="O138" s="86">
        <f ca="1">IF(C138&lt;1,0,IF(Reeksen!AD138&gt;Reeksen!AE138,M138*Reeksen!C138,0))</f>
        <v>0</v>
      </c>
      <c r="P138" s="86">
        <f t="shared" ca="1" si="25"/>
        <v>0</v>
      </c>
      <c r="Q138" s="82">
        <f ca="1">IF('Invoer gegevens'!$C$17=E138,I138,IF(C138=0,0,R137))</f>
        <v>0</v>
      </c>
      <c r="R138" s="84">
        <f t="shared" ca="1" si="22"/>
        <v>0</v>
      </c>
      <c r="S138" s="84">
        <f ca="1">IF('Invoer gegevens'!$C$17=E138,M138,IF(C138=0,0,T137))</f>
        <v>0</v>
      </c>
      <c r="T138" s="84">
        <f t="shared" ca="1" si="31"/>
        <v>0</v>
      </c>
      <c r="AI138" s="71">
        <f ca="1">IF(C138=1,((F138+H138)/2*Reeksen!AI138*12)+(('Invoer gegevens'!$C$10-(F138+H138)/2)*Reeksen!AD138*12),0)</f>
        <v>0</v>
      </c>
      <c r="AJ138" s="71">
        <f ca="1">-AI138*'Invoer gegevens'!$F$28</f>
        <v>0</v>
      </c>
      <c r="AK138" s="71">
        <f t="shared" ca="1" si="26"/>
        <v>0</v>
      </c>
      <c r="AL138" s="71">
        <f ca="1">IF(C138=1,(12*((F138+H138)/2)*Reeksen!AL138)+(12*('Invoer gegevens'!$C$10-(F138+H138)/2)*Reeksen!AM138),0)</f>
        <v>0</v>
      </c>
      <c r="AM138" s="71">
        <f ca="1">-AL138*'Invoer gegevens'!$F$31</f>
        <v>0</v>
      </c>
      <c r="AN138" s="71">
        <f t="shared" ca="1" si="27"/>
        <v>0</v>
      </c>
      <c r="AO138" s="71"/>
      <c r="AP138" s="71"/>
      <c r="AQ138" s="71">
        <f ca="1">-IF(C138=1,('Invoer gegevens'!$C$10*'Invoer gegevens'!$F$35)*Reeksen!J138,0)*2</f>
        <v>0</v>
      </c>
      <c r="AR138" s="71">
        <f ca="1">-IF(C138=1,(G138*'Invoer gegevens'!$F$36)*Reeksen!J138,0)</f>
        <v>0</v>
      </c>
      <c r="AS138" s="71">
        <f ca="1">-IF(C138=1,'Invoer gegevens'!$C$10*'Invoer gegevens'!$F$37*Reeksen!L138,0)</f>
        <v>0</v>
      </c>
      <c r="AT138" s="71">
        <f ca="1">-IF(C138=1,IF(E138='Invoer gegevens'!$C$17,'Invoer gegevens'!$C$11,Q138)*Reeksen!S138*'Invoer gegevens'!$C$18*Reeksen!P138,0)</f>
        <v>0</v>
      </c>
      <c r="AU138" s="71">
        <f ca="1">-IF(C138=1,'Invoer gegevens'!$C$10*'Invoer gegevens'!$F$38*Reeksen!H138,0)</f>
        <v>0</v>
      </c>
      <c r="AV138" s="71">
        <f t="shared" si="21"/>
        <v>0</v>
      </c>
      <c r="AW138" s="71">
        <f t="shared" ca="1" si="28"/>
        <v>0</v>
      </c>
      <c r="AX138" s="71">
        <f ca="1">IF(E138&lt;'Invoer gegevens'!$C$17+15,0,IF('RW - MW - DE - DE'!E138&gt;'Invoer gegevens'!$C$17+215,0,'RW - MW - DE - DE'!AW138))</f>
        <v>0</v>
      </c>
      <c r="AY138" s="71">
        <f ca="1">AX138/(1+'Invoer gegevens'!$F$13)^($AZ138-('Invoer gegevens'!$C$17-'Invoer gegevens'!$C$16))/(1+'Invoer gegevens'!$C$39)^('Invoer gegevens'!$C$17-'Invoer gegevens'!$C$16)</f>
        <v>0</v>
      </c>
      <c r="AZ138" s="68">
        <f ca="1">IF(E138-'Invoer gegevens'!$C$17-14.5&lt;0,0,E138-'Invoer gegevens'!$C$17-14.5)</f>
        <v>118.5</v>
      </c>
      <c r="BC138" s="71"/>
    </row>
    <row r="139" spans="2:55" customFormat="1" x14ac:dyDescent="0.25">
      <c r="B139" s="70">
        <f t="shared" si="29"/>
        <v>135</v>
      </c>
      <c r="C139" s="67">
        <f ca="1">IF(E139-'Invoer gegevens'!$C$17&lt;0,0,1)</f>
        <v>1</v>
      </c>
      <c r="D139" s="68">
        <f t="shared" si="30"/>
        <v>134.5</v>
      </c>
      <c r="E139" s="69">
        <f ca="1">IF('Invoer gegevens'!$C$16="","",E138+1)</f>
        <v>2153</v>
      </c>
      <c r="F139" s="82">
        <f ca="1">IF('Invoer gegevens'!$C$17=E139,'Invoer gegevens'!$C$10,IF(C139=1,H138,0))</f>
        <v>0</v>
      </c>
      <c r="G139" s="83">
        <f ca="1">IF(C139&gt;=1,F139*Reeksen!C139,0)</f>
        <v>0</v>
      </c>
      <c r="H139" s="84">
        <f t="shared" ca="1" si="23"/>
        <v>0</v>
      </c>
      <c r="I139" s="85">
        <f ca="1">IF('Invoer gegevens'!$C$17=E139,'Invoer gegevens'!$C$11,IF(C139=1,L138,0))</f>
        <v>0</v>
      </c>
      <c r="J139" s="86">
        <f ca="1">IF(C139&lt;1,0,IF(Reeksen!AD139&lt;=Reeksen!AE139,I139*Reeksen!C139,0))</f>
        <v>0</v>
      </c>
      <c r="K139" s="86">
        <f ca="1">IF(C139&lt;1,0,IF(Reeksen!AD139&gt;Reeksen!AE139,I139*Reeksen!C139,0))</f>
        <v>0</v>
      </c>
      <c r="L139" s="86">
        <f t="shared" ca="1" si="24"/>
        <v>0</v>
      </c>
      <c r="M139" s="85">
        <f ca="1">IF('Invoer gegevens'!$C$17=E139,'Invoer gegevens'!$C$10-'Invoer gegevens'!$C$11,IF(C139=1,P138,0))</f>
        <v>0</v>
      </c>
      <c r="N139" s="86">
        <f ca="1">IF(C139&lt;1,0,IF(Reeksen!AD139&lt;=Reeksen!AE139,M139*Reeksen!C139,0))</f>
        <v>0</v>
      </c>
      <c r="O139" s="86">
        <f ca="1">IF(C139&lt;1,0,IF(Reeksen!AD139&gt;Reeksen!AE139,M139*Reeksen!C139,0))</f>
        <v>0</v>
      </c>
      <c r="P139" s="86">
        <f t="shared" ca="1" si="25"/>
        <v>0</v>
      </c>
      <c r="Q139" s="82">
        <f ca="1">IF('Invoer gegevens'!$C$17=E139,I139,IF(C139=0,0,R138))</f>
        <v>0</v>
      </c>
      <c r="R139" s="84">
        <f t="shared" ca="1" si="22"/>
        <v>0</v>
      </c>
      <c r="S139" s="84">
        <f ca="1">IF('Invoer gegevens'!$C$17=E139,M139,IF(C139=0,0,T138))</f>
        <v>0</v>
      </c>
      <c r="T139" s="84">
        <f t="shared" ca="1" si="31"/>
        <v>0</v>
      </c>
      <c r="AI139" s="71">
        <f ca="1">IF(C139=1,((F139+H139)/2*Reeksen!AI139*12)+(('Invoer gegevens'!$C$10-(F139+H139)/2)*Reeksen!AD139*12),0)</f>
        <v>0</v>
      </c>
      <c r="AJ139" s="71">
        <f ca="1">-AI139*'Invoer gegevens'!$F$28</f>
        <v>0</v>
      </c>
      <c r="AK139" s="71">
        <f t="shared" ca="1" si="26"/>
        <v>0</v>
      </c>
      <c r="AL139" s="71">
        <f ca="1">IF(C139=1,(12*((F139+H139)/2)*Reeksen!AL139)+(12*('Invoer gegevens'!$C$10-(F139+H139)/2)*Reeksen!AM139),0)</f>
        <v>0</v>
      </c>
      <c r="AM139" s="71">
        <f ca="1">-AL139*'Invoer gegevens'!$F$31</f>
        <v>0</v>
      </c>
      <c r="AN139" s="71">
        <f t="shared" ca="1" si="27"/>
        <v>0</v>
      </c>
      <c r="AO139" s="71"/>
      <c r="AP139" s="71"/>
      <c r="AQ139" s="71">
        <f ca="1">-IF(C139=1,('Invoer gegevens'!$C$10*'Invoer gegevens'!$F$35)*Reeksen!J139,0)*2</f>
        <v>0</v>
      </c>
      <c r="AR139" s="71">
        <f ca="1">-IF(C139=1,(G139*'Invoer gegevens'!$F$36)*Reeksen!J139,0)</f>
        <v>0</v>
      </c>
      <c r="AS139" s="71">
        <f ca="1">-IF(C139=1,'Invoer gegevens'!$C$10*'Invoer gegevens'!$F$37*Reeksen!L139,0)</f>
        <v>0</v>
      </c>
      <c r="AT139" s="71">
        <f ca="1">-IF(C139=1,IF(E139='Invoer gegevens'!$C$17,'Invoer gegevens'!$C$11,Q139)*Reeksen!S139*'Invoer gegevens'!$C$18*Reeksen!P139,0)</f>
        <v>0</v>
      </c>
      <c r="AU139" s="71">
        <f ca="1">-IF(C139=1,'Invoer gegevens'!$C$10*'Invoer gegevens'!$F$38*Reeksen!H139,0)</f>
        <v>0</v>
      </c>
      <c r="AV139" s="71">
        <f t="shared" si="21"/>
        <v>0</v>
      </c>
      <c r="AW139" s="71">
        <f t="shared" ca="1" si="28"/>
        <v>0</v>
      </c>
      <c r="AX139" s="71">
        <f ca="1">IF(E139&lt;'Invoer gegevens'!$C$17+15,0,IF('RW - MW - DE - DE'!E139&gt;'Invoer gegevens'!$C$17+215,0,'RW - MW - DE - DE'!AW139))</f>
        <v>0</v>
      </c>
      <c r="AY139" s="71">
        <f ca="1">AX139/(1+'Invoer gegevens'!$F$13)^($AZ139-('Invoer gegevens'!$C$17-'Invoer gegevens'!$C$16))/(1+'Invoer gegevens'!$C$39)^('Invoer gegevens'!$C$17-'Invoer gegevens'!$C$16)</f>
        <v>0</v>
      </c>
      <c r="AZ139" s="68">
        <f ca="1">IF(E139-'Invoer gegevens'!$C$17-14.5&lt;0,0,E139-'Invoer gegevens'!$C$17-14.5)</f>
        <v>119.5</v>
      </c>
      <c r="BC139" s="71"/>
    </row>
    <row r="140" spans="2:55" customFormat="1" x14ac:dyDescent="0.25">
      <c r="B140" s="70">
        <f t="shared" si="29"/>
        <v>136</v>
      </c>
      <c r="C140" s="67">
        <f ca="1">IF(E140-'Invoer gegevens'!$C$17&lt;0,0,1)</f>
        <v>1</v>
      </c>
      <c r="D140" s="68">
        <f t="shared" si="30"/>
        <v>135.5</v>
      </c>
      <c r="E140" s="69">
        <f ca="1">IF('Invoer gegevens'!$C$16="","",E139+1)</f>
        <v>2154</v>
      </c>
      <c r="F140" s="82">
        <f ca="1">IF('Invoer gegevens'!$C$17=E140,'Invoer gegevens'!$C$10,IF(C140=1,H139,0))</f>
        <v>0</v>
      </c>
      <c r="G140" s="83">
        <f ca="1">IF(C140&gt;=1,F140*Reeksen!C140,0)</f>
        <v>0</v>
      </c>
      <c r="H140" s="84">
        <f t="shared" ca="1" si="23"/>
        <v>0</v>
      </c>
      <c r="I140" s="85">
        <f ca="1">IF('Invoer gegevens'!$C$17=E140,'Invoer gegevens'!$C$11,IF(C140=1,L139,0))</f>
        <v>0</v>
      </c>
      <c r="J140" s="86">
        <f ca="1">IF(C140&lt;1,0,IF(Reeksen!AD140&lt;=Reeksen!AE140,I140*Reeksen!C140,0))</f>
        <v>0</v>
      </c>
      <c r="K140" s="86">
        <f ca="1">IF(C140&lt;1,0,IF(Reeksen!AD140&gt;Reeksen!AE140,I140*Reeksen!C140,0))</f>
        <v>0</v>
      </c>
      <c r="L140" s="86">
        <f t="shared" ca="1" si="24"/>
        <v>0</v>
      </c>
      <c r="M140" s="85">
        <f ca="1">IF('Invoer gegevens'!$C$17=E140,'Invoer gegevens'!$C$10-'Invoer gegevens'!$C$11,IF(C140=1,P139,0))</f>
        <v>0</v>
      </c>
      <c r="N140" s="86">
        <f ca="1">IF(C140&lt;1,0,IF(Reeksen!AD140&lt;=Reeksen!AE140,M140*Reeksen!C140,0))</f>
        <v>0</v>
      </c>
      <c r="O140" s="86">
        <f ca="1">IF(C140&lt;1,0,IF(Reeksen!AD140&gt;Reeksen!AE140,M140*Reeksen!C140,0))</f>
        <v>0</v>
      </c>
      <c r="P140" s="86">
        <f t="shared" ca="1" si="25"/>
        <v>0</v>
      </c>
      <c r="Q140" s="82">
        <f ca="1">IF('Invoer gegevens'!$C$17=E140,I140,IF(C140=0,0,R139))</f>
        <v>0</v>
      </c>
      <c r="R140" s="84">
        <f t="shared" ca="1" si="22"/>
        <v>0</v>
      </c>
      <c r="S140" s="84">
        <f ca="1">IF('Invoer gegevens'!$C$17=E140,M140,IF(C140=0,0,T139))</f>
        <v>0</v>
      </c>
      <c r="T140" s="84">
        <f t="shared" ca="1" si="31"/>
        <v>0</v>
      </c>
      <c r="AI140" s="71">
        <f ca="1">IF(C140=1,((F140+H140)/2*Reeksen!AI140*12)+(('Invoer gegevens'!$C$10-(F140+H140)/2)*Reeksen!AD140*12),0)</f>
        <v>0</v>
      </c>
      <c r="AJ140" s="71">
        <f ca="1">-AI140*'Invoer gegevens'!$F$28</f>
        <v>0</v>
      </c>
      <c r="AK140" s="71">
        <f t="shared" ca="1" si="26"/>
        <v>0</v>
      </c>
      <c r="AL140" s="71">
        <f ca="1">IF(C140=1,(12*((F140+H140)/2)*Reeksen!AL140)+(12*('Invoer gegevens'!$C$10-(F140+H140)/2)*Reeksen!AM140),0)</f>
        <v>0</v>
      </c>
      <c r="AM140" s="71">
        <f ca="1">-AL140*'Invoer gegevens'!$F$31</f>
        <v>0</v>
      </c>
      <c r="AN140" s="71">
        <f t="shared" ca="1" si="27"/>
        <v>0</v>
      </c>
      <c r="AO140" s="71"/>
      <c r="AP140" s="71"/>
      <c r="AQ140" s="71">
        <f ca="1">-IF(C140=1,('Invoer gegevens'!$C$10*'Invoer gegevens'!$F$35)*Reeksen!J140,0)*2</f>
        <v>0</v>
      </c>
      <c r="AR140" s="71">
        <f ca="1">-IF(C140=1,(G140*'Invoer gegevens'!$F$36)*Reeksen!J140,0)</f>
        <v>0</v>
      </c>
      <c r="AS140" s="71">
        <f ca="1">-IF(C140=1,'Invoer gegevens'!$C$10*'Invoer gegevens'!$F$37*Reeksen!L140,0)</f>
        <v>0</v>
      </c>
      <c r="AT140" s="71">
        <f ca="1">-IF(C140=1,IF(E140='Invoer gegevens'!$C$17,'Invoer gegevens'!$C$11,Q140)*Reeksen!S140*'Invoer gegevens'!$C$18*Reeksen!P140,0)</f>
        <v>0</v>
      </c>
      <c r="AU140" s="71">
        <f ca="1">-IF(C140=1,'Invoer gegevens'!$C$10*'Invoer gegevens'!$F$38*Reeksen!H140,0)</f>
        <v>0</v>
      </c>
      <c r="AV140" s="71">
        <f t="shared" si="21"/>
        <v>0</v>
      </c>
      <c r="AW140" s="71">
        <f t="shared" ca="1" si="28"/>
        <v>0</v>
      </c>
      <c r="AX140" s="71">
        <f ca="1">IF(E140&lt;'Invoer gegevens'!$C$17+15,0,IF('RW - MW - DE - DE'!E140&gt;'Invoer gegevens'!$C$17+215,0,'RW - MW - DE - DE'!AW140))</f>
        <v>0</v>
      </c>
      <c r="AY140" s="71">
        <f ca="1">AX140/(1+'Invoer gegevens'!$F$13)^($AZ140-('Invoer gegevens'!$C$17-'Invoer gegevens'!$C$16))/(1+'Invoer gegevens'!$C$39)^('Invoer gegevens'!$C$17-'Invoer gegevens'!$C$16)</f>
        <v>0</v>
      </c>
      <c r="AZ140" s="68">
        <f ca="1">IF(E140-'Invoer gegevens'!$C$17-14.5&lt;0,0,E140-'Invoer gegevens'!$C$17-14.5)</f>
        <v>120.5</v>
      </c>
      <c r="BC140" s="71"/>
    </row>
    <row r="141" spans="2:55" customFormat="1" x14ac:dyDescent="0.25">
      <c r="B141" s="70">
        <f t="shared" si="29"/>
        <v>137</v>
      </c>
      <c r="C141" s="67">
        <f ca="1">IF(E141-'Invoer gegevens'!$C$17&lt;0,0,1)</f>
        <v>1</v>
      </c>
      <c r="D141" s="68">
        <f t="shared" si="30"/>
        <v>136.5</v>
      </c>
      <c r="E141" s="69">
        <f ca="1">IF('Invoer gegevens'!$C$16="","",E140+1)</f>
        <v>2155</v>
      </c>
      <c r="F141" s="82">
        <f ca="1">IF('Invoer gegevens'!$C$17=E141,'Invoer gegevens'!$C$10,IF(C141=1,H140,0))</f>
        <v>0</v>
      </c>
      <c r="G141" s="83">
        <f ca="1">IF(C141&gt;=1,F141*Reeksen!C141,0)</f>
        <v>0</v>
      </c>
      <c r="H141" s="84">
        <f t="shared" ca="1" si="23"/>
        <v>0</v>
      </c>
      <c r="I141" s="85">
        <f ca="1">IF('Invoer gegevens'!$C$17=E141,'Invoer gegevens'!$C$11,IF(C141=1,L140,0))</f>
        <v>0</v>
      </c>
      <c r="J141" s="86">
        <f ca="1">IF(C141&lt;1,0,IF(Reeksen!AD141&lt;=Reeksen!AE141,I141*Reeksen!C141,0))</f>
        <v>0</v>
      </c>
      <c r="K141" s="86">
        <f ca="1">IF(C141&lt;1,0,IF(Reeksen!AD141&gt;Reeksen!AE141,I141*Reeksen!C141,0))</f>
        <v>0</v>
      </c>
      <c r="L141" s="86">
        <f t="shared" ca="1" si="24"/>
        <v>0</v>
      </c>
      <c r="M141" s="85">
        <f ca="1">IF('Invoer gegevens'!$C$17=E141,'Invoer gegevens'!$C$10-'Invoer gegevens'!$C$11,IF(C141=1,P140,0))</f>
        <v>0</v>
      </c>
      <c r="N141" s="86">
        <f ca="1">IF(C141&lt;1,0,IF(Reeksen!AD141&lt;=Reeksen!AE141,M141*Reeksen!C141,0))</f>
        <v>0</v>
      </c>
      <c r="O141" s="86">
        <f ca="1">IF(C141&lt;1,0,IF(Reeksen!AD141&gt;Reeksen!AE141,M141*Reeksen!C141,0))</f>
        <v>0</v>
      </c>
      <c r="P141" s="86">
        <f t="shared" ca="1" si="25"/>
        <v>0</v>
      </c>
      <c r="Q141" s="82">
        <f ca="1">IF('Invoer gegevens'!$C$17=E141,I141,IF(C141=0,0,R140))</f>
        <v>0</v>
      </c>
      <c r="R141" s="84">
        <f t="shared" ca="1" si="22"/>
        <v>0</v>
      </c>
      <c r="S141" s="84">
        <f ca="1">IF('Invoer gegevens'!$C$17=E141,M141,IF(C141=0,0,T140))</f>
        <v>0</v>
      </c>
      <c r="T141" s="84">
        <f t="shared" ca="1" si="31"/>
        <v>0</v>
      </c>
      <c r="AI141" s="71">
        <f ca="1">IF(C141=1,((F141+H141)/2*Reeksen!AI141*12)+(('Invoer gegevens'!$C$10-(F141+H141)/2)*Reeksen!AD141*12),0)</f>
        <v>0</v>
      </c>
      <c r="AJ141" s="71">
        <f ca="1">-AI141*'Invoer gegevens'!$F$28</f>
        <v>0</v>
      </c>
      <c r="AK141" s="71">
        <f t="shared" ca="1" si="26"/>
        <v>0</v>
      </c>
      <c r="AL141" s="71">
        <f ca="1">IF(C141=1,(12*((F141+H141)/2)*Reeksen!AL141)+(12*('Invoer gegevens'!$C$10-(F141+H141)/2)*Reeksen!AM141),0)</f>
        <v>0</v>
      </c>
      <c r="AM141" s="71">
        <f ca="1">-AL141*'Invoer gegevens'!$F$31</f>
        <v>0</v>
      </c>
      <c r="AN141" s="71">
        <f t="shared" ca="1" si="27"/>
        <v>0</v>
      </c>
      <c r="AO141" s="71"/>
      <c r="AP141" s="71"/>
      <c r="AQ141" s="71">
        <f ca="1">-IF(C141=1,('Invoer gegevens'!$C$10*'Invoer gegevens'!$F$35)*Reeksen!J141,0)*2</f>
        <v>0</v>
      </c>
      <c r="AR141" s="71">
        <f ca="1">-IF(C141=1,(G141*'Invoer gegevens'!$F$36)*Reeksen!J141,0)</f>
        <v>0</v>
      </c>
      <c r="AS141" s="71">
        <f ca="1">-IF(C141=1,'Invoer gegevens'!$C$10*'Invoer gegevens'!$F$37*Reeksen!L141,0)</f>
        <v>0</v>
      </c>
      <c r="AT141" s="71">
        <f ca="1">-IF(C141=1,IF(E141='Invoer gegevens'!$C$17,'Invoer gegevens'!$C$11,Q141)*Reeksen!S141*'Invoer gegevens'!$C$18*Reeksen!P141,0)</f>
        <v>0</v>
      </c>
      <c r="AU141" s="71">
        <f ca="1">-IF(C141=1,'Invoer gegevens'!$C$10*'Invoer gegevens'!$F$38*Reeksen!H141,0)</f>
        <v>0</v>
      </c>
      <c r="AV141" s="71">
        <f t="shared" si="21"/>
        <v>0</v>
      </c>
      <c r="AW141" s="71">
        <f t="shared" ca="1" si="28"/>
        <v>0</v>
      </c>
      <c r="AX141" s="71">
        <f ca="1">IF(E141&lt;'Invoer gegevens'!$C$17+15,0,IF('RW - MW - DE - DE'!E141&gt;'Invoer gegevens'!$C$17+215,0,'RW - MW - DE - DE'!AW141))</f>
        <v>0</v>
      </c>
      <c r="AY141" s="71">
        <f ca="1">AX141/(1+'Invoer gegevens'!$F$13)^($AZ141-('Invoer gegevens'!$C$17-'Invoer gegevens'!$C$16))/(1+'Invoer gegevens'!$C$39)^('Invoer gegevens'!$C$17-'Invoer gegevens'!$C$16)</f>
        <v>0</v>
      </c>
      <c r="AZ141" s="68">
        <f ca="1">IF(E141-'Invoer gegevens'!$C$17-14.5&lt;0,0,E141-'Invoer gegevens'!$C$17-14.5)</f>
        <v>121.5</v>
      </c>
      <c r="BC141" s="71"/>
    </row>
    <row r="142" spans="2:55" customFormat="1" x14ac:dyDescent="0.25">
      <c r="B142" s="70">
        <f t="shared" si="29"/>
        <v>138</v>
      </c>
      <c r="C142" s="67">
        <f ca="1">IF(E142-'Invoer gegevens'!$C$17&lt;0,0,1)</f>
        <v>1</v>
      </c>
      <c r="D142" s="68">
        <f t="shared" si="30"/>
        <v>137.5</v>
      </c>
      <c r="E142" s="69">
        <f ca="1">IF('Invoer gegevens'!$C$16="","",E141+1)</f>
        <v>2156</v>
      </c>
      <c r="F142" s="82">
        <f ca="1">IF('Invoer gegevens'!$C$17=E142,'Invoer gegevens'!$C$10,IF(C142=1,H141,0))</f>
        <v>0</v>
      </c>
      <c r="G142" s="83">
        <f ca="1">IF(C142&gt;=1,F142*Reeksen!C142,0)</f>
        <v>0</v>
      </c>
      <c r="H142" s="84">
        <f t="shared" ca="1" si="23"/>
        <v>0</v>
      </c>
      <c r="I142" s="85">
        <f ca="1">IF('Invoer gegevens'!$C$17=E142,'Invoer gegevens'!$C$11,IF(C142=1,L141,0))</f>
        <v>0</v>
      </c>
      <c r="J142" s="86">
        <f ca="1">IF(C142&lt;1,0,IF(Reeksen!AD142&lt;=Reeksen!AE142,I142*Reeksen!C142,0))</f>
        <v>0</v>
      </c>
      <c r="K142" s="86">
        <f ca="1">IF(C142&lt;1,0,IF(Reeksen!AD142&gt;Reeksen!AE142,I142*Reeksen!C142,0))</f>
        <v>0</v>
      </c>
      <c r="L142" s="86">
        <f t="shared" ca="1" si="24"/>
        <v>0</v>
      </c>
      <c r="M142" s="85">
        <f ca="1">IF('Invoer gegevens'!$C$17=E142,'Invoer gegevens'!$C$10-'Invoer gegevens'!$C$11,IF(C142=1,P141,0))</f>
        <v>0</v>
      </c>
      <c r="N142" s="86">
        <f ca="1">IF(C142&lt;1,0,IF(Reeksen!AD142&lt;=Reeksen!AE142,M142*Reeksen!C142,0))</f>
        <v>0</v>
      </c>
      <c r="O142" s="86">
        <f ca="1">IF(C142&lt;1,0,IF(Reeksen!AD142&gt;Reeksen!AE142,M142*Reeksen!C142,0))</f>
        <v>0</v>
      </c>
      <c r="P142" s="86">
        <f t="shared" ca="1" si="25"/>
        <v>0</v>
      </c>
      <c r="Q142" s="82">
        <f ca="1">IF('Invoer gegevens'!$C$17=E142,I142,IF(C142=0,0,R141))</f>
        <v>0</v>
      </c>
      <c r="R142" s="84">
        <f t="shared" ca="1" si="22"/>
        <v>0</v>
      </c>
      <c r="S142" s="84">
        <f ca="1">IF('Invoer gegevens'!$C$17=E142,M142,IF(C142=0,0,T141))</f>
        <v>0</v>
      </c>
      <c r="T142" s="84">
        <f t="shared" ca="1" si="31"/>
        <v>0</v>
      </c>
      <c r="AI142" s="71">
        <f ca="1">IF(C142=1,((F142+H142)/2*Reeksen!AI142*12)+(('Invoer gegevens'!$C$10-(F142+H142)/2)*Reeksen!AD142*12),0)</f>
        <v>0</v>
      </c>
      <c r="AJ142" s="71">
        <f ca="1">-AI142*'Invoer gegevens'!$F$28</f>
        <v>0</v>
      </c>
      <c r="AK142" s="71">
        <f t="shared" ca="1" si="26"/>
        <v>0</v>
      </c>
      <c r="AL142" s="71">
        <f ca="1">IF(C142=1,(12*((F142+H142)/2)*Reeksen!AL142)+(12*('Invoer gegevens'!$C$10-(F142+H142)/2)*Reeksen!AM142),0)</f>
        <v>0</v>
      </c>
      <c r="AM142" s="71">
        <f ca="1">-AL142*'Invoer gegevens'!$F$31</f>
        <v>0</v>
      </c>
      <c r="AN142" s="71">
        <f t="shared" ca="1" si="27"/>
        <v>0</v>
      </c>
      <c r="AO142" s="71"/>
      <c r="AP142" s="71"/>
      <c r="AQ142" s="71">
        <f ca="1">-IF(C142=1,('Invoer gegevens'!$C$10*'Invoer gegevens'!$F$35)*Reeksen!J142,0)*2</f>
        <v>0</v>
      </c>
      <c r="AR142" s="71">
        <f ca="1">-IF(C142=1,(G142*'Invoer gegevens'!$F$36)*Reeksen!J142,0)</f>
        <v>0</v>
      </c>
      <c r="AS142" s="71">
        <f ca="1">-IF(C142=1,'Invoer gegevens'!$C$10*'Invoer gegevens'!$F$37*Reeksen!L142,0)</f>
        <v>0</v>
      </c>
      <c r="AT142" s="71">
        <f ca="1">-IF(C142=1,IF(E142='Invoer gegevens'!$C$17,'Invoer gegevens'!$C$11,Q142)*Reeksen!S142*'Invoer gegevens'!$C$18*Reeksen!P142,0)</f>
        <v>0</v>
      </c>
      <c r="AU142" s="71">
        <f ca="1">-IF(C142=1,'Invoer gegevens'!$C$10*'Invoer gegevens'!$F$38*Reeksen!H142,0)</f>
        <v>0</v>
      </c>
      <c r="AV142" s="71">
        <f t="shared" si="21"/>
        <v>0</v>
      </c>
      <c r="AW142" s="71">
        <f t="shared" ca="1" si="28"/>
        <v>0</v>
      </c>
      <c r="AX142" s="71">
        <f ca="1">IF(E142&lt;'Invoer gegevens'!$C$17+15,0,IF('RW - MW - DE - DE'!E142&gt;'Invoer gegevens'!$C$17+215,0,'RW - MW - DE - DE'!AW142))</f>
        <v>0</v>
      </c>
      <c r="AY142" s="71">
        <f ca="1">AX142/(1+'Invoer gegevens'!$F$13)^($AZ142-('Invoer gegevens'!$C$17-'Invoer gegevens'!$C$16))/(1+'Invoer gegevens'!$C$39)^('Invoer gegevens'!$C$17-'Invoer gegevens'!$C$16)</f>
        <v>0</v>
      </c>
      <c r="AZ142" s="68">
        <f ca="1">IF(E142-'Invoer gegevens'!$C$17-14.5&lt;0,0,E142-'Invoer gegevens'!$C$17-14.5)</f>
        <v>122.5</v>
      </c>
      <c r="BC142" s="71"/>
    </row>
    <row r="143" spans="2:55" customFormat="1" x14ac:dyDescent="0.25">
      <c r="B143" s="70">
        <f t="shared" si="29"/>
        <v>139</v>
      </c>
      <c r="C143" s="67">
        <f ca="1">IF(E143-'Invoer gegevens'!$C$17&lt;0,0,1)</f>
        <v>1</v>
      </c>
      <c r="D143" s="68">
        <f t="shared" si="30"/>
        <v>138.5</v>
      </c>
      <c r="E143" s="69">
        <f ca="1">IF('Invoer gegevens'!$C$16="","",E142+1)</f>
        <v>2157</v>
      </c>
      <c r="F143" s="82">
        <f ca="1">IF('Invoer gegevens'!$C$17=E143,'Invoer gegevens'!$C$10,IF(C143=1,H142,0))</f>
        <v>0</v>
      </c>
      <c r="G143" s="83">
        <f ca="1">IF(C143&gt;=1,F143*Reeksen!C143,0)</f>
        <v>0</v>
      </c>
      <c r="H143" s="84">
        <f t="shared" ca="1" si="23"/>
        <v>0</v>
      </c>
      <c r="I143" s="85">
        <f ca="1">IF('Invoer gegevens'!$C$17=E143,'Invoer gegevens'!$C$11,IF(C143=1,L142,0))</f>
        <v>0</v>
      </c>
      <c r="J143" s="86">
        <f ca="1">IF(C143&lt;1,0,IF(Reeksen!AD143&lt;=Reeksen!AE143,I143*Reeksen!C143,0))</f>
        <v>0</v>
      </c>
      <c r="K143" s="86">
        <f ca="1">IF(C143&lt;1,0,IF(Reeksen!AD143&gt;Reeksen!AE143,I143*Reeksen!C143,0))</f>
        <v>0</v>
      </c>
      <c r="L143" s="86">
        <f t="shared" ca="1" si="24"/>
        <v>0</v>
      </c>
      <c r="M143" s="85">
        <f ca="1">IF('Invoer gegevens'!$C$17=E143,'Invoer gegevens'!$C$10-'Invoer gegevens'!$C$11,IF(C143=1,P142,0))</f>
        <v>0</v>
      </c>
      <c r="N143" s="86">
        <f ca="1">IF(C143&lt;1,0,IF(Reeksen!AD143&lt;=Reeksen!AE143,M143*Reeksen!C143,0))</f>
        <v>0</v>
      </c>
      <c r="O143" s="86">
        <f ca="1">IF(C143&lt;1,0,IF(Reeksen!AD143&gt;Reeksen!AE143,M143*Reeksen!C143,0))</f>
        <v>0</v>
      </c>
      <c r="P143" s="86">
        <f t="shared" ca="1" si="25"/>
        <v>0</v>
      </c>
      <c r="Q143" s="82">
        <f ca="1">IF('Invoer gegevens'!$C$17=E143,I143,IF(C143=0,0,R142))</f>
        <v>0</v>
      </c>
      <c r="R143" s="84">
        <f t="shared" ca="1" si="22"/>
        <v>0</v>
      </c>
      <c r="S143" s="84">
        <f ca="1">IF('Invoer gegevens'!$C$17=E143,M143,IF(C143=0,0,T142))</f>
        <v>0</v>
      </c>
      <c r="T143" s="84">
        <f t="shared" ca="1" si="31"/>
        <v>0</v>
      </c>
      <c r="AI143" s="71">
        <f ca="1">IF(C143=1,((F143+H143)/2*Reeksen!AI143*12)+(('Invoer gegevens'!$C$10-(F143+H143)/2)*Reeksen!AD143*12),0)</f>
        <v>0</v>
      </c>
      <c r="AJ143" s="71">
        <f ca="1">-AI143*'Invoer gegevens'!$F$28</f>
        <v>0</v>
      </c>
      <c r="AK143" s="71">
        <f t="shared" ca="1" si="26"/>
        <v>0</v>
      </c>
      <c r="AL143" s="71">
        <f ca="1">IF(C143=1,(12*((F143+H143)/2)*Reeksen!AL143)+(12*('Invoer gegevens'!$C$10-(F143+H143)/2)*Reeksen!AM143),0)</f>
        <v>0</v>
      </c>
      <c r="AM143" s="71">
        <f ca="1">-AL143*'Invoer gegevens'!$F$31</f>
        <v>0</v>
      </c>
      <c r="AN143" s="71">
        <f t="shared" ca="1" si="27"/>
        <v>0</v>
      </c>
      <c r="AO143" s="71"/>
      <c r="AP143" s="71"/>
      <c r="AQ143" s="71">
        <f ca="1">-IF(C143=1,('Invoer gegevens'!$C$10*'Invoer gegevens'!$F$35)*Reeksen!J143,0)*2</f>
        <v>0</v>
      </c>
      <c r="AR143" s="71">
        <f ca="1">-IF(C143=1,(G143*'Invoer gegevens'!$F$36)*Reeksen!J143,0)</f>
        <v>0</v>
      </c>
      <c r="AS143" s="71">
        <f ca="1">-IF(C143=1,'Invoer gegevens'!$C$10*'Invoer gegevens'!$F$37*Reeksen!L143,0)</f>
        <v>0</v>
      </c>
      <c r="AT143" s="71">
        <f ca="1">-IF(C143=1,IF(E143='Invoer gegevens'!$C$17,'Invoer gegevens'!$C$11,Q143)*Reeksen!S143*'Invoer gegevens'!$C$18*Reeksen!P143,0)</f>
        <v>0</v>
      </c>
      <c r="AU143" s="71">
        <f ca="1">-IF(C143=1,'Invoer gegevens'!$C$10*'Invoer gegevens'!$F$38*Reeksen!H143,0)</f>
        <v>0</v>
      </c>
      <c r="AV143" s="71">
        <f t="shared" si="21"/>
        <v>0</v>
      </c>
      <c r="AW143" s="71">
        <f t="shared" ca="1" si="28"/>
        <v>0</v>
      </c>
      <c r="AX143" s="71">
        <f ca="1">IF(E143&lt;'Invoer gegevens'!$C$17+15,0,IF('RW - MW - DE - DE'!E143&gt;'Invoer gegevens'!$C$17+215,0,'RW - MW - DE - DE'!AW143))</f>
        <v>0</v>
      </c>
      <c r="AY143" s="71">
        <f ca="1">AX143/(1+'Invoer gegevens'!$F$13)^($AZ143-('Invoer gegevens'!$C$17-'Invoer gegevens'!$C$16))/(1+'Invoer gegevens'!$C$39)^('Invoer gegevens'!$C$17-'Invoer gegevens'!$C$16)</f>
        <v>0</v>
      </c>
      <c r="AZ143" s="68">
        <f ca="1">IF(E143-'Invoer gegevens'!$C$17-14.5&lt;0,0,E143-'Invoer gegevens'!$C$17-14.5)</f>
        <v>123.5</v>
      </c>
      <c r="BC143" s="71"/>
    </row>
    <row r="144" spans="2:55" customFormat="1" x14ac:dyDescent="0.25">
      <c r="B144" s="70">
        <f t="shared" si="29"/>
        <v>140</v>
      </c>
      <c r="C144" s="67">
        <f ca="1">IF(E144-'Invoer gegevens'!$C$17&lt;0,0,1)</f>
        <v>1</v>
      </c>
      <c r="D144" s="68">
        <f t="shared" si="30"/>
        <v>139.5</v>
      </c>
      <c r="E144" s="69">
        <f ca="1">IF('Invoer gegevens'!$C$16="","",E143+1)</f>
        <v>2158</v>
      </c>
      <c r="F144" s="82">
        <f ca="1">IF('Invoer gegevens'!$C$17=E144,'Invoer gegevens'!$C$10,IF(C144=1,H143,0))</f>
        <v>0</v>
      </c>
      <c r="G144" s="83">
        <f ca="1">IF(C144&gt;=1,F144*Reeksen!C144,0)</f>
        <v>0</v>
      </c>
      <c r="H144" s="84">
        <f t="shared" ca="1" si="23"/>
        <v>0</v>
      </c>
      <c r="I144" s="85">
        <f ca="1">IF('Invoer gegevens'!$C$17=E144,'Invoer gegevens'!$C$11,IF(C144=1,L143,0))</f>
        <v>0</v>
      </c>
      <c r="J144" s="86">
        <f ca="1">IF(C144&lt;1,0,IF(Reeksen!AD144&lt;=Reeksen!AE144,I144*Reeksen!C144,0))</f>
        <v>0</v>
      </c>
      <c r="K144" s="86">
        <f ca="1">IF(C144&lt;1,0,IF(Reeksen!AD144&gt;Reeksen!AE144,I144*Reeksen!C144,0))</f>
        <v>0</v>
      </c>
      <c r="L144" s="86">
        <f t="shared" ca="1" si="24"/>
        <v>0</v>
      </c>
      <c r="M144" s="85">
        <f ca="1">IF('Invoer gegevens'!$C$17=E144,'Invoer gegevens'!$C$10-'Invoer gegevens'!$C$11,IF(C144=1,P143,0))</f>
        <v>0</v>
      </c>
      <c r="N144" s="86">
        <f ca="1">IF(C144&lt;1,0,IF(Reeksen!AD144&lt;=Reeksen!AE144,M144*Reeksen!C144,0))</f>
        <v>0</v>
      </c>
      <c r="O144" s="86">
        <f ca="1">IF(C144&lt;1,0,IF(Reeksen!AD144&gt;Reeksen!AE144,M144*Reeksen!C144,0))</f>
        <v>0</v>
      </c>
      <c r="P144" s="86">
        <f t="shared" ca="1" si="25"/>
        <v>0</v>
      </c>
      <c r="Q144" s="82">
        <f ca="1">IF('Invoer gegevens'!$C$17=E144,I144,IF(C144=0,0,R143))</f>
        <v>0</v>
      </c>
      <c r="R144" s="84">
        <f t="shared" ca="1" si="22"/>
        <v>0</v>
      </c>
      <c r="S144" s="84">
        <f ca="1">IF('Invoer gegevens'!$C$17=E144,M144,IF(C144=0,0,T143))</f>
        <v>0</v>
      </c>
      <c r="T144" s="84">
        <f t="shared" ca="1" si="31"/>
        <v>0</v>
      </c>
      <c r="AI144" s="71">
        <f ca="1">IF(C144=1,((F144+H144)/2*Reeksen!AI144*12)+(('Invoer gegevens'!$C$10-(F144+H144)/2)*Reeksen!AD144*12),0)</f>
        <v>0</v>
      </c>
      <c r="AJ144" s="71">
        <f ca="1">-AI144*'Invoer gegevens'!$F$28</f>
        <v>0</v>
      </c>
      <c r="AK144" s="71">
        <f t="shared" ca="1" si="26"/>
        <v>0</v>
      </c>
      <c r="AL144" s="71">
        <f ca="1">IF(C144=1,(12*((F144+H144)/2)*Reeksen!AL144)+(12*('Invoer gegevens'!$C$10-(F144+H144)/2)*Reeksen!AM144),0)</f>
        <v>0</v>
      </c>
      <c r="AM144" s="71">
        <f ca="1">-AL144*'Invoer gegevens'!$F$31</f>
        <v>0</v>
      </c>
      <c r="AN144" s="71">
        <f t="shared" ca="1" si="27"/>
        <v>0</v>
      </c>
      <c r="AO144" s="71"/>
      <c r="AP144" s="71"/>
      <c r="AQ144" s="71">
        <f ca="1">-IF(C144=1,('Invoer gegevens'!$C$10*'Invoer gegevens'!$F$35)*Reeksen!J144,0)*2</f>
        <v>0</v>
      </c>
      <c r="AR144" s="71">
        <f ca="1">-IF(C144=1,(G144*'Invoer gegevens'!$F$36)*Reeksen!J144,0)</f>
        <v>0</v>
      </c>
      <c r="AS144" s="71">
        <f ca="1">-IF(C144=1,'Invoer gegevens'!$C$10*'Invoer gegevens'!$F$37*Reeksen!L144,0)</f>
        <v>0</v>
      </c>
      <c r="AT144" s="71">
        <f ca="1">-IF(C144=1,IF(E144='Invoer gegevens'!$C$17,'Invoer gegevens'!$C$11,Q144)*Reeksen!S144*'Invoer gegevens'!$C$18*Reeksen!P144,0)</f>
        <v>0</v>
      </c>
      <c r="AU144" s="71">
        <f ca="1">-IF(C144=1,'Invoer gegevens'!$C$10*'Invoer gegevens'!$F$38*Reeksen!H144,0)</f>
        <v>0</v>
      </c>
      <c r="AV144" s="71">
        <f t="shared" si="21"/>
        <v>0</v>
      </c>
      <c r="AW144" s="71">
        <f t="shared" ca="1" si="28"/>
        <v>0</v>
      </c>
      <c r="AX144" s="71">
        <f ca="1">IF(E144&lt;'Invoer gegevens'!$C$17+15,0,IF('RW - MW - DE - DE'!E144&gt;'Invoer gegevens'!$C$17+215,0,'RW - MW - DE - DE'!AW144))</f>
        <v>0</v>
      </c>
      <c r="AY144" s="71">
        <f ca="1">AX144/(1+'Invoer gegevens'!$F$13)^($AZ144-('Invoer gegevens'!$C$17-'Invoer gegevens'!$C$16))/(1+'Invoer gegevens'!$C$39)^('Invoer gegevens'!$C$17-'Invoer gegevens'!$C$16)</f>
        <v>0</v>
      </c>
      <c r="AZ144" s="68">
        <f ca="1">IF(E144-'Invoer gegevens'!$C$17-14.5&lt;0,0,E144-'Invoer gegevens'!$C$17-14.5)</f>
        <v>124.5</v>
      </c>
      <c r="BC144" s="71"/>
    </row>
    <row r="145" spans="2:55" customFormat="1" x14ac:dyDescent="0.25">
      <c r="B145" s="70">
        <f t="shared" si="29"/>
        <v>141</v>
      </c>
      <c r="C145" s="67">
        <f ca="1">IF(E145-'Invoer gegevens'!$C$17&lt;0,0,1)</f>
        <v>1</v>
      </c>
      <c r="D145" s="68">
        <f t="shared" si="30"/>
        <v>140.5</v>
      </c>
      <c r="E145" s="69">
        <f ca="1">IF('Invoer gegevens'!$C$16="","",E144+1)</f>
        <v>2159</v>
      </c>
      <c r="F145" s="82">
        <f ca="1">IF('Invoer gegevens'!$C$17=E145,'Invoer gegevens'!$C$10,IF(C145=1,H144,0))</f>
        <v>0</v>
      </c>
      <c r="G145" s="83">
        <f ca="1">IF(C145&gt;=1,F145*Reeksen!C145,0)</f>
        <v>0</v>
      </c>
      <c r="H145" s="84">
        <f t="shared" ca="1" si="23"/>
        <v>0</v>
      </c>
      <c r="I145" s="85">
        <f ca="1">IF('Invoer gegevens'!$C$17=E145,'Invoer gegevens'!$C$11,IF(C145=1,L144,0))</f>
        <v>0</v>
      </c>
      <c r="J145" s="86">
        <f ca="1">IF(C145&lt;1,0,IF(Reeksen!AD145&lt;=Reeksen!AE145,I145*Reeksen!C145,0))</f>
        <v>0</v>
      </c>
      <c r="K145" s="86">
        <f ca="1">IF(C145&lt;1,0,IF(Reeksen!AD145&gt;Reeksen!AE145,I145*Reeksen!C145,0))</f>
        <v>0</v>
      </c>
      <c r="L145" s="86">
        <f t="shared" ca="1" si="24"/>
        <v>0</v>
      </c>
      <c r="M145" s="85">
        <f ca="1">IF('Invoer gegevens'!$C$17=E145,'Invoer gegevens'!$C$10-'Invoer gegevens'!$C$11,IF(C145=1,P144,0))</f>
        <v>0</v>
      </c>
      <c r="N145" s="86">
        <f ca="1">IF(C145&lt;1,0,IF(Reeksen!AD145&lt;=Reeksen!AE145,M145*Reeksen!C145,0))</f>
        <v>0</v>
      </c>
      <c r="O145" s="86">
        <f ca="1">IF(C145&lt;1,0,IF(Reeksen!AD145&gt;Reeksen!AE145,M145*Reeksen!C145,0))</f>
        <v>0</v>
      </c>
      <c r="P145" s="86">
        <f t="shared" ca="1" si="25"/>
        <v>0</v>
      </c>
      <c r="Q145" s="82">
        <f ca="1">IF('Invoer gegevens'!$C$17=E145,I145,IF(C145=0,0,R144))</f>
        <v>0</v>
      </c>
      <c r="R145" s="84">
        <f t="shared" ca="1" si="22"/>
        <v>0</v>
      </c>
      <c r="S145" s="84">
        <f ca="1">IF('Invoer gegevens'!$C$17=E145,M145,IF(C145=0,0,T144))</f>
        <v>0</v>
      </c>
      <c r="T145" s="84">
        <f t="shared" ca="1" si="31"/>
        <v>0</v>
      </c>
      <c r="AI145" s="71">
        <f ca="1">IF(C145=1,((F145+H145)/2*Reeksen!AI145*12)+(('Invoer gegevens'!$C$10-(F145+H145)/2)*Reeksen!AD145*12),0)</f>
        <v>0</v>
      </c>
      <c r="AJ145" s="71">
        <f ca="1">-AI145*'Invoer gegevens'!$F$28</f>
        <v>0</v>
      </c>
      <c r="AK145" s="71">
        <f t="shared" ca="1" si="26"/>
        <v>0</v>
      </c>
      <c r="AL145" s="71">
        <f ca="1">IF(C145=1,(12*((F145+H145)/2)*Reeksen!AL145)+(12*('Invoer gegevens'!$C$10-(F145+H145)/2)*Reeksen!AM145),0)</f>
        <v>0</v>
      </c>
      <c r="AM145" s="71">
        <f ca="1">-AL145*'Invoer gegevens'!$F$31</f>
        <v>0</v>
      </c>
      <c r="AN145" s="71">
        <f t="shared" ca="1" si="27"/>
        <v>0</v>
      </c>
      <c r="AO145" s="71"/>
      <c r="AP145" s="71"/>
      <c r="AQ145" s="71">
        <f ca="1">-IF(C145=1,('Invoer gegevens'!$C$10*'Invoer gegevens'!$F$35)*Reeksen!J145,0)*2</f>
        <v>0</v>
      </c>
      <c r="AR145" s="71">
        <f ca="1">-IF(C145=1,(G145*'Invoer gegevens'!$F$36)*Reeksen!J145,0)</f>
        <v>0</v>
      </c>
      <c r="AS145" s="71">
        <f ca="1">-IF(C145=1,'Invoer gegevens'!$C$10*'Invoer gegevens'!$F$37*Reeksen!L145,0)</f>
        <v>0</v>
      </c>
      <c r="AT145" s="71">
        <f ca="1">-IF(C145=1,IF(E145='Invoer gegevens'!$C$17,'Invoer gegevens'!$C$11,Q145)*Reeksen!S145*'Invoer gegevens'!$C$18*Reeksen!P145,0)</f>
        <v>0</v>
      </c>
      <c r="AU145" s="71">
        <f ca="1">-IF(C145=1,'Invoer gegevens'!$C$10*'Invoer gegevens'!$F$38*Reeksen!H145,0)</f>
        <v>0</v>
      </c>
      <c r="AV145" s="71">
        <f t="shared" si="21"/>
        <v>0</v>
      </c>
      <c r="AW145" s="71">
        <f t="shared" ca="1" si="28"/>
        <v>0</v>
      </c>
      <c r="AX145" s="71">
        <f ca="1">IF(E145&lt;'Invoer gegevens'!$C$17+15,0,IF('RW - MW - DE - DE'!E145&gt;'Invoer gegevens'!$C$17+215,0,'RW - MW - DE - DE'!AW145))</f>
        <v>0</v>
      </c>
      <c r="AY145" s="71">
        <f ca="1">AX145/(1+'Invoer gegevens'!$F$13)^($AZ145-('Invoer gegevens'!$C$17-'Invoer gegevens'!$C$16))/(1+'Invoer gegevens'!$C$39)^('Invoer gegevens'!$C$17-'Invoer gegevens'!$C$16)</f>
        <v>0</v>
      </c>
      <c r="AZ145" s="68">
        <f ca="1">IF(E145-'Invoer gegevens'!$C$17-14.5&lt;0,0,E145-'Invoer gegevens'!$C$17-14.5)</f>
        <v>125.5</v>
      </c>
      <c r="BC145" s="71"/>
    </row>
    <row r="146" spans="2:55" customFormat="1" x14ac:dyDescent="0.25">
      <c r="B146" s="70">
        <f t="shared" si="29"/>
        <v>142</v>
      </c>
      <c r="C146" s="67">
        <f ca="1">IF(E146-'Invoer gegevens'!$C$17&lt;0,0,1)</f>
        <v>1</v>
      </c>
      <c r="D146" s="68">
        <f t="shared" si="30"/>
        <v>141.5</v>
      </c>
      <c r="E146" s="69">
        <f ca="1">IF('Invoer gegevens'!$C$16="","",E145+1)</f>
        <v>2160</v>
      </c>
      <c r="F146" s="82">
        <f ca="1">IF('Invoer gegevens'!$C$17=E146,'Invoer gegevens'!$C$10,IF(C146=1,H145,0))</f>
        <v>0</v>
      </c>
      <c r="G146" s="83">
        <f ca="1">IF(C146&gt;=1,F146*Reeksen!C146,0)</f>
        <v>0</v>
      </c>
      <c r="H146" s="84">
        <f t="shared" ca="1" si="23"/>
        <v>0</v>
      </c>
      <c r="I146" s="85">
        <f ca="1">IF('Invoer gegevens'!$C$17=E146,'Invoer gegevens'!$C$11,IF(C146=1,L145,0))</f>
        <v>0</v>
      </c>
      <c r="J146" s="86">
        <f ca="1">IF(C146&lt;1,0,IF(Reeksen!AD146&lt;=Reeksen!AE146,I146*Reeksen!C146,0))</f>
        <v>0</v>
      </c>
      <c r="K146" s="86">
        <f ca="1">IF(C146&lt;1,0,IF(Reeksen!AD146&gt;Reeksen!AE146,I146*Reeksen!C146,0))</f>
        <v>0</v>
      </c>
      <c r="L146" s="86">
        <f t="shared" ca="1" si="24"/>
        <v>0</v>
      </c>
      <c r="M146" s="85">
        <f ca="1">IF('Invoer gegevens'!$C$17=E146,'Invoer gegevens'!$C$10-'Invoer gegevens'!$C$11,IF(C146=1,P145,0))</f>
        <v>0</v>
      </c>
      <c r="N146" s="86">
        <f ca="1">IF(C146&lt;1,0,IF(Reeksen!AD146&lt;=Reeksen!AE146,M146*Reeksen!C146,0))</f>
        <v>0</v>
      </c>
      <c r="O146" s="86">
        <f ca="1">IF(C146&lt;1,0,IF(Reeksen!AD146&gt;Reeksen!AE146,M146*Reeksen!C146,0))</f>
        <v>0</v>
      </c>
      <c r="P146" s="86">
        <f t="shared" ca="1" si="25"/>
        <v>0</v>
      </c>
      <c r="Q146" s="82">
        <f ca="1">IF('Invoer gegevens'!$C$17=E146,I146,IF(C146=0,0,R145))</f>
        <v>0</v>
      </c>
      <c r="R146" s="84">
        <f t="shared" ca="1" si="22"/>
        <v>0</v>
      </c>
      <c r="S146" s="84">
        <f ca="1">IF('Invoer gegevens'!$C$17=E146,M146,IF(C146=0,0,T145))</f>
        <v>0</v>
      </c>
      <c r="T146" s="84">
        <f t="shared" ca="1" si="31"/>
        <v>0</v>
      </c>
      <c r="AI146" s="71">
        <f ca="1">IF(C146=1,((F146+H146)/2*Reeksen!AI146*12)+(('Invoer gegevens'!$C$10-(F146+H146)/2)*Reeksen!AD146*12),0)</f>
        <v>0</v>
      </c>
      <c r="AJ146" s="71">
        <f ca="1">-AI146*'Invoer gegevens'!$F$28</f>
        <v>0</v>
      </c>
      <c r="AK146" s="71">
        <f t="shared" ca="1" si="26"/>
        <v>0</v>
      </c>
      <c r="AL146" s="71">
        <f ca="1">IF(C146=1,(12*((F146+H146)/2)*Reeksen!AL146)+(12*('Invoer gegevens'!$C$10-(F146+H146)/2)*Reeksen!AM146),0)</f>
        <v>0</v>
      </c>
      <c r="AM146" s="71">
        <f ca="1">-AL146*'Invoer gegevens'!$F$31</f>
        <v>0</v>
      </c>
      <c r="AN146" s="71">
        <f t="shared" ca="1" si="27"/>
        <v>0</v>
      </c>
      <c r="AO146" s="71"/>
      <c r="AP146" s="71"/>
      <c r="AQ146" s="71">
        <f ca="1">-IF(C146=1,('Invoer gegevens'!$C$10*'Invoer gegevens'!$F$35)*Reeksen!J146,0)*2</f>
        <v>0</v>
      </c>
      <c r="AR146" s="71">
        <f ca="1">-IF(C146=1,(G146*'Invoer gegevens'!$F$36)*Reeksen!J146,0)</f>
        <v>0</v>
      </c>
      <c r="AS146" s="71">
        <f ca="1">-IF(C146=1,'Invoer gegevens'!$C$10*'Invoer gegevens'!$F$37*Reeksen!L146,0)</f>
        <v>0</v>
      </c>
      <c r="AT146" s="71">
        <f ca="1">-IF(C146=1,IF(E146='Invoer gegevens'!$C$17,'Invoer gegevens'!$C$11,Q146)*Reeksen!S146*'Invoer gegevens'!$C$18*Reeksen!P146,0)</f>
        <v>0</v>
      </c>
      <c r="AU146" s="71">
        <f ca="1">-IF(C146=1,'Invoer gegevens'!$C$10*'Invoer gegevens'!$F$38*Reeksen!H146,0)</f>
        <v>0</v>
      </c>
      <c r="AV146" s="71">
        <f t="shared" si="21"/>
        <v>0</v>
      </c>
      <c r="AW146" s="71">
        <f t="shared" ca="1" si="28"/>
        <v>0</v>
      </c>
      <c r="AX146" s="71">
        <f ca="1">IF(E146&lt;'Invoer gegevens'!$C$17+15,0,IF('RW - MW - DE - DE'!E146&gt;'Invoer gegevens'!$C$17+215,0,'RW - MW - DE - DE'!AW146))</f>
        <v>0</v>
      </c>
      <c r="AY146" s="71">
        <f ca="1">AX146/(1+'Invoer gegevens'!$F$13)^($AZ146-('Invoer gegevens'!$C$17-'Invoer gegevens'!$C$16))/(1+'Invoer gegevens'!$C$39)^('Invoer gegevens'!$C$17-'Invoer gegevens'!$C$16)</f>
        <v>0</v>
      </c>
      <c r="AZ146" s="68">
        <f ca="1">IF(E146-'Invoer gegevens'!$C$17-14.5&lt;0,0,E146-'Invoer gegevens'!$C$17-14.5)</f>
        <v>126.5</v>
      </c>
      <c r="BC146" s="71"/>
    </row>
    <row r="147" spans="2:55" customFormat="1" x14ac:dyDescent="0.25">
      <c r="B147" s="70">
        <f t="shared" si="29"/>
        <v>143</v>
      </c>
      <c r="C147" s="67">
        <f ca="1">IF(E147-'Invoer gegevens'!$C$17&lt;0,0,1)</f>
        <v>1</v>
      </c>
      <c r="D147" s="68">
        <f t="shared" si="30"/>
        <v>142.5</v>
      </c>
      <c r="E147" s="69">
        <f ca="1">IF('Invoer gegevens'!$C$16="","",E146+1)</f>
        <v>2161</v>
      </c>
      <c r="F147" s="82">
        <f ca="1">IF('Invoer gegevens'!$C$17=E147,'Invoer gegevens'!$C$10,IF(C147=1,H146,0))</f>
        <v>0</v>
      </c>
      <c r="G147" s="83">
        <f ca="1">IF(C147&gt;=1,F147*Reeksen!C147,0)</f>
        <v>0</v>
      </c>
      <c r="H147" s="84">
        <f t="shared" ca="1" si="23"/>
        <v>0</v>
      </c>
      <c r="I147" s="85">
        <f ca="1">IF('Invoer gegevens'!$C$17=E147,'Invoer gegevens'!$C$11,IF(C147=1,L146,0))</f>
        <v>0</v>
      </c>
      <c r="J147" s="86">
        <f ca="1">IF(C147&lt;1,0,IF(Reeksen!AD147&lt;=Reeksen!AE147,I147*Reeksen!C147,0))</f>
        <v>0</v>
      </c>
      <c r="K147" s="86">
        <f ca="1">IF(C147&lt;1,0,IF(Reeksen!AD147&gt;Reeksen!AE147,I147*Reeksen!C147,0))</f>
        <v>0</v>
      </c>
      <c r="L147" s="86">
        <f t="shared" ca="1" si="24"/>
        <v>0</v>
      </c>
      <c r="M147" s="85">
        <f ca="1">IF('Invoer gegevens'!$C$17=E147,'Invoer gegevens'!$C$10-'Invoer gegevens'!$C$11,IF(C147=1,P146,0))</f>
        <v>0</v>
      </c>
      <c r="N147" s="86">
        <f ca="1">IF(C147&lt;1,0,IF(Reeksen!AD147&lt;=Reeksen!AE147,M147*Reeksen!C147,0))</f>
        <v>0</v>
      </c>
      <c r="O147" s="86">
        <f ca="1">IF(C147&lt;1,0,IF(Reeksen!AD147&gt;Reeksen!AE147,M147*Reeksen!C147,0))</f>
        <v>0</v>
      </c>
      <c r="P147" s="86">
        <f t="shared" ca="1" si="25"/>
        <v>0</v>
      </c>
      <c r="Q147" s="82">
        <f ca="1">IF('Invoer gegevens'!$C$17=E147,I147,IF(C147=0,0,R146))</f>
        <v>0</v>
      </c>
      <c r="R147" s="84">
        <f t="shared" ca="1" si="22"/>
        <v>0</v>
      </c>
      <c r="S147" s="84">
        <f ca="1">IF('Invoer gegevens'!$C$17=E147,M147,IF(C147=0,0,T146))</f>
        <v>0</v>
      </c>
      <c r="T147" s="84">
        <f t="shared" ca="1" si="31"/>
        <v>0</v>
      </c>
      <c r="AI147" s="71">
        <f ca="1">IF(C147=1,((F147+H147)/2*Reeksen!AI147*12)+(('Invoer gegevens'!$C$10-(F147+H147)/2)*Reeksen!AD147*12),0)</f>
        <v>0</v>
      </c>
      <c r="AJ147" s="71">
        <f ca="1">-AI147*'Invoer gegevens'!$F$28</f>
        <v>0</v>
      </c>
      <c r="AK147" s="71">
        <f t="shared" ca="1" si="26"/>
        <v>0</v>
      </c>
      <c r="AL147" s="71">
        <f ca="1">IF(C147=1,(12*((F147+H147)/2)*Reeksen!AL147)+(12*('Invoer gegevens'!$C$10-(F147+H147)/2)*Reeksen!AM147),0)</f>
        <v>0</v>
      </c>
      <c r="AM147" s="71">
        <f ca="1">-AL147*'Invoer gegevens'!$F$31</f>
        <v>0</v>
      </c>
      <c r="AN147" s="71">
        <f t="shared" ca="1" si="27"/>
        <v>0</v>
      </c>
      <c r="AO147" s="71"/>
      <c r="AP147" s="71"/>
      <c r="AQ147" s="71">
        <f ca="1">-IF(C147=1,('Invoer gegevens'!$C$10*'Invoer gegevens'!$F$35)*Reeksen!J147,0)*2</f>
        <v>0</v>
      </c>
      <c r="AR147" s="71">
        <f ca="1">-IF(C147=1,(G147*'Invoer gegevens'!$F$36)*Reeksen!J147,0)</f>
        <v>0</v>
      </c>
      <c r="AS147" s="71">
        <f ca="1">-IF(C147=1,'Invoer gegevens'!$C$10*'Invoer gegevens'!$F$37*Reeksen!L147,0)</f>
        <v>0</v>
      </c>
      <c r="AT147" s="71">
        <f ca="1">-IF(C147=1,IF(E147='Invoer gegevens'!$C$17,'Invoer gegevens'!$C$11,Q147)*Reeksen!S147*'Invoer gegevens'!$C$18*Reeksen!P147,0)</f>
        <v>0</v>
      </c>
      <c r="AU147" s="71">
        <f ca="1">-IF(C147=1,'Invoer gegevens'!$C$10*'Invoer gegevens'!$F$38*Reeksen!H147,0)</f>
        <v>0</v>
      </c>
      <c r="AV147" s="71">
        <f t="shared" si="21"/>
        <v>0</v>
      </c>
      <c r="AW147" s="71">
        <f t="shared" ca="1" si="28"/>
        <v>0</v>
      </c>
      <c r="AX147" s="71">
        <f ca="1">IF(E147&lt;'Invoer gegevens'!$C$17+15,0,IF('RW - MW - DE - DE'!E147&gt;'Invoer gegevens'!$C$17+215,0,'RW - MW - DE - DE'!AW147))</f>
        <v>0</v>
      </c>
      <c r="AY147" s="71">
        <f ca="1">AX147/(1+'Invoer gegevens'!$F$13)^($AZ147-('Invoer gegevens'!$C$17-'Invoer gegevens'!$C$16))/(1+'Invoer gegevens'!$C$39)^('Invoer gegevens'!$C$17-'Invoer gegevens'!$C$16)</f>
        <v>0</v>
      </c>
      <c r="AZ147" s="68">
        <f ca="1">IF(E147-'Invoer gegevens'!$C$17-14.5&lt;0,0,E147-'Invoer gegevens'!$C$17-14.5)</f>
        <v>127.5</v>
      </c>
      <c r="BC147" s="71"/>
    </row>
    <row r="148" spans="2:55" customFormat="1" x14ac:dyDescent="0.25">
      <c r="B148" s="70">
        <f t="shared" si="29"/>
        <v>144</v>
      </c>
      <c r="C148" s="67">
        <f ca="1">IF(E148-'Invoer gegevens'!$C$17&lt;0,0,1)</f>
        <v>1</v>
      </c>
      <c r="D148" s="68">
        <f t="shared" si="30"/>
        <v>143.5</v>
      </c>
      <c r="E148" s="69">
        <f ca="1">IF('Invoer gegevens'!$C$16="","",E147+1)</f>
        <v>2162</v>
      </c>
      <c r="F148" s="82">
        <f ca="1">IF('Invoer gegevens'!$C$17=E148,'Invoer gegevens'!$C$10,IF(C148=1,H147,0))</f>
        <v>0</v>
      </c>
      <c r="G148" s="83">
        <f ca="1">IF(C148&gt;=1,F148*Reeksen!C148,0)</f>
        <v>0</v>
      </c>
      <c r="H148" s="84">
        <f t="shared" ca="1" si="23"/>
        <v>0</v>
      </c>
      <c r="I148" s="85">
        <f ca="1">IF('Invoer gegevens'!$C$17=E148,'Invoer gegevens'!$C$11,IF(C148=1,L147,0))</f>
        <v>0</v>
      </c>
      <c r="J148" s="86">
        <f ca="1">IF(C148&lt;1,0,IF(Reeksen!AD148&lt;=Reeksen!AE148,I148*Reeksen!C148,0))</f>
        <v>0</v>
      </c>
      <c r="K148" s="86">
        <f ca="1">IF(C148&lt;1,0,IF(Reeksen!AD148&gt;Reeksen!AE148,I148*Reeksen!C148,0))</f>
        <v>0</v>
      </c>
      <c r="L148" s="86">
        <f t="shared" ca="1" si="24"/>
        <v>0</v>
      </c>
      <c r="M148" s="85">
        <f ca="1">IF('Invoer gegevens'!$C$17=E148,'Invoer gegevens'!$C$10-'Invoer gegevens'!$C$11,IF(C148=1,P147,0))</f>
        <v>0</v>
      </c>
      <c r="N148" s="86">
        <f ca="1">IF(C148&lt;1,0,IF(Reeksen!AD148&lt;=Reeksen!AE148,M148*Reeksen!C148,0))</f>
        <v>0</v>
      </c>
      <c r="O148" s="86">
        <f ca="1">IF(C148&lt;1,0,IF(Reeksen!AD148&gt;Reeksen!AE148,M148*Reeksen!C148,0))</f>
        <v>0</v>
      </c>
      <c r="P148" s="86">
        <f t="shared" ca="1" si="25"/>
        <v>0</v>
      </c>
      <c r="Q148" s="82">
        <f ca="1">IF('Invoer gegevens'!$C$17=E148,I148,IF(C148=0,0,R147))</f>
        <v>0</v>
      </c>
      <c r="R148" s="84">
        <f t="shared" ca="1" si="22"/>
        <v>0</v>
      </c>
      <c r="S148" s="84">
        <f ca="1">IF('Invoer gegevens'!$C$17=E148,M148,IF(C148=0,0,T147))</f>
        <v>0</v>
      </c>
      <c r="T148" s="84">
        <f t="shared" ca="1" si="31"/>
        <v>0</v>
      </c>
      <c r="AI148" s="71">
        <f ca="1">IF(C148=1,((F148+H148)/2*Reeksen!AI148*12)+(('Invoer gegevens'!$C$10-(F148+H148)/2)*Reeksen!AD148*12),0)</f>
        <v>0</v>
      </c>
      <c r="AJ148" s="71">
        <f ca="1">-AI148*'Invoer gegevens'!$F$28</f>
        <v>0</v>
      </c>
      <c r="AK148" s="71">
        <f t="shared" ca="1" si="26"/>
        <v>0</v>
      </c>
      <c r="AL148" s="71">
        <f ca="1">IF(C148=1,(12*((F148+H148)/2)*Reeksen!AL148)+(12*('Invoer gegevens'!$C$10-(F148+H148)/2)*Reeksen!AM148),0)</f>
        <v>0</v>
      </c>
      <c r="AM148" s="71">
        <f ca="1">-AL148*'Invoer gegevens'!$F$31</f>
        <v>0</v>
      </c>
      <c r="AN148" s="71">
        <f t="shared" ca="1" si="27"/>
        <v>0</v>
      </c>
      <c r="AO148" s="71"/>
      <c r="AP148" s="71"/>
      <c r="AQ148" s="71">
        <f ca="1">-IF(C148=1,('Invoer gegevens'!$C$10*'Invoer gegevens'!$F$35)*Reeksen!J148,0)*2</f>
        <v>0</v>
      </c>
      <c r="AR148" s="71">
        <f ca="1">-IF(C148=1,(G148*'Invoer gegevens'!$F$36)*Reeksen!J148,0)</f>
        <v>0</v>
      </c>
      <c r="AS148" s="71">
        <f ca="1">-IF(C148=1,'Invoer gegevens'!$C$10*'Invoer gegevens'!$F$37*Reeksen!L148,0)</f>
        <v>0</v>
      </c>
      <c r="AT148" s="71">
        <f ca="1">-IF(C148=1,IF(E148='Invoer gegevens'!$C$17,'Invoer gegevens'!$C$11,Q148)*Reeksen!S148*'Invoer gegevens'!$C$18*Reeksen!P148,0)</f>
        <v>0</v>
      </c>
      <c r="AU148" s="71">
        <f ca="1">-IF(C148=1,'Invoer gegevens'!$C$10*'Invoer gegevens'!$F$38*Reeksen!H148,0)</f>
        <v>0</v>
      </c>
      <c r="AV148" s="71">
        <f t="shared" si="21"/>
        <v>0</v>
      </c>
      <c r="AW148" s="71">
        <f t="shared" ca="1" si="28"/>
        <v>0</v>
      </c>
      <c r="AX148" s="71">
        <f ca="1">IF(E148&lt;'Invoer gegevens'!$C$17+15,0,IF('RW - MW - DE - DE'!E148&gt;'Invoer gegevens'!$C$17+215,0,'RW - MW - DE - DE'!AW148))</f>
        <v>0</v>
      </c>
      <c r="AY148" s="71">
        <f ca="1">AX148/(1+'Invoer gegevens'!$F$13)^($AZ148-('Invoer gegevens'!$C$17-'Invoer gegevens'!$C$16))/(1+'Invoer gegevens'!$C$39)^('Invoer gegevens'!$C$17-'Invoer gegevens'!$C$16)</f>
        <v>0</v>
      </c>
      <c r="AZ148" s="68">
        <f ca="1">IF(E148-'Invoer gegevens'!$C$17-14.5&lt;0,0,E148-'Invoer gegevens'!$C$17-14.5)</f>
        <v>128.5</v>
      </c>
      <c r="BC148" s="71"/>
    </row>
    <row r="149" spans="2:55" customFormat="1" x14ac:dyDescent="0.25">
      <c r="B149" s="70">
        <f t="shared" si="29"/>
        <v>145</v>
      </c>
      <c r="C149" s="67">
        <f ca="1">IF(E149-'Invoer gegevens'!$C$17&lt;0,0,1)</f>
        <v>1</v>
      </c>
      <c r="D149" s="68">
        <f t="shared" si="30"/>
        <v>144.5</v>
      </c>
      <c r="E149" s="69">
        <f ca="1">IF('Invoer gegevens'!$C$16="","",E148+1)</f>
        <v>2163</v>
      </c>
      <c r="F149" s="82">
        <f ca="1">IF('Invoer gegevens'!$C$17=E149,'Invoer gegevens'!$C$10,IF(C149=1,H148,0))</f>
        <v>0</v>
      </c>
      <c r="G149" s="83">
        <f ca="1">IF(C149&gt;=1,F149*Reeksen!C149,0)</f>
        <v>0</v>
      </c>
      <c r="H149" s="84">
        <f t="shared" ca="1" si="23"/>
        <v>0</v>
      </c>
      <c r="I149" s="85">
        <f ca="1">IF('Invoer gegevens'!$C$17=E149,'Invoer gegevens'!$C$11,IF(C149=1,L148,0))</f>
        <v>0</v>
      </c>
      <c r="J149" s="86">
        <f ca="1">IF(C149&lt;1,0,IF(Reeksen!AD149&lt;=Reeksen!AE149,I149*Reeksen!C149,0))</f>
        <v>0</v>
      </c>
      <c r="K149" s="86">
        <f ca="1">IF(C149&lt;1,0,IF(Reeksen!AD149&gt;Reeksen!AE149,I149*Reeksen!C149,0))</f>
        <v>0</v>
      </c>
      <c r="L149" s="86">
        <f t="shared" ca="1" si="24"/>
        <v>0</v>
      </c>
      <c r="M149" s="85">
        <f ca="1">IF('Invoer gegevens'!$C$17=E149,'Invoer gegevens'!$C$10-'Invoer gegevens'!$C$11,IF(C149=1,P148,0))</f>
        <v>0</v>
      </c>
      <c r="N149" s="86">
        <f ca="1">IF(C149&lt;1,0,IF(Reeksen!AD149&lt;=Reeksen!AE149,M149*Reeksen!C149,0))</f>
        <v>0</v>
      </c>
      <c r="O149" s="86">
        <f ca="1">IF(C149&lt;1,0,IF(Reeksen!AD149&gt;Reeksen!AE149,M149*Reeksen!C149,0))</f>
        <v>0</v>
      </c>
      <c r="P149" s="86">
        <f t="shared" ca="1" si="25"/>
        <v>0</v>
      </c>
      <c r="Q149" s="82">
        <f ca="1">IF('Invoer gegevens'!$C$17=E149,I149,IF(C149=0,0,R148))</f>
        <v>0</v>
      </c>
      <c r="R149" s="84">
        <f t="shared" ca="1" si="22"/>
        <v>0</v>
      </c>
      <c r="S149" s="84">
        <f ca="1">IF('Invoer gegevens'!$C$17=E149,M149,IF(C149=0,0,T148))</f>
        <v>0</v>
      </c>
      <c r="T149" s="84">
        <f t="shared" ca="1" si="31"/>
        <v>0</v>
      </c>
      <c r="AI149" s="71">
        <f ca="1">IF(C149=1,((F149+H149)/2*Reeksen!AI149*12)+(('Invoer gegevens'!$C$10-(F149+H149)/2)*Reeksen!AD149*12),0)</f>
        <v>0</v>
      </c>
      <c r="AJ149" s="71">
        <f ca="1">-AI149*'Invoer gegevens'!$F$28</f>
        <v>0</v>
      </c>
      <c r="AK149" s="71">
        <f t="shared" ca="1" si="26"/>
        <v>0</v>
      </c>
      <c r="AL149" s="71">
        <f ca="1">IF(C149=1,(12*((F149+H149)/2)*Reeksen!AL149)+(12*('Invoer gegevens'!$C$10-(F149+H149)/2)*Reeksen!AM149),0)</f>
        <v>0</v>
      </c>
      <c r="AM149" s="71">
        <f ca="1">-AL149*'Invoer gegevens'!$F$31</f>
        <v>0</v>
      </c>
      <c r="AN149" s="71">
        <f t="shared" ca="1" si="27"/>
        <v>0</v>
      </c>
      <c r="AO149" s="71"/>
      <c r="AP149" s="71"/>
      <c r="AQ149" s="71">
        <f ca="1">-IF(C149=1,('Invoer gegevens'!$C$10*'Invoer gegevens'!$F$35)*Reeksen!J149,0)*2</f>
        <v>0</v>
      </c>
      <c r="AR149" s="71">
        <f ca="1">-IF(C149=1,(G149*'Invoer gegevens'!$F$36)*Reeksen!J149,0)</f>
        <v>0</v>
      </c>
      <c r="AS149" s="71">
        <f ca="1">-IF(C149=1,'Invoer gegevens'!$C$10*'Invoer gegevens'!$F$37*Reeksen!L149,0)</f>
        <v>0</v>
      </c>
      <c r="AT149" s="71">
        <f ca="1">-IF(C149=1,IF(E149='Invoer gegevens'!$C$17,'Invoer gegevens'!$C$11,Q149)*Reeksen!S149*'Invoer gegevens'!$C$18*Reeksen!P149,0)</f>
        <v>0</v>
      </c>
      <c r="AU149" s="71">
        <f ca="1">-IF(C149=1,'Invoer gegevens'!$C$10*'Invoer gegevens'!$F$38*Reeksen!H149,0)</f>
        <v>0</v>
      </c>
      <c r="AV149" s="71">
        <f t="shared" ref="AV149:AV212" si="32">AV148</f>
        <v>0</v>
      </c>
      <c r="AW149" s="71">
        <f t="shared" ca="1" si="28"/>
        <v>0</v>
      </c>
      <c r="AX149" s="71">
        <f ca="1">IF(E149&lt;'Invoer gegevens'!$C$17+15,0,IF('RW - MW - DE - DE'!E149&gt;'Invoer gegevens'!$C$17+215,0,'RW - MW - DE - DE'!AW149))</f>
        <v>0</v>
      </c>
      <c r="AY149" s="71">
        <f ca="1">AX149/(1+'Invoer gegevens'!$F$13)^($AZ149-('Invoer gegevens'!$C$17-'Invoer gegevens'!$C$16))/(1+'Invoer gegevens'!$C$39)^('Invoer gegevens'!$C$17-'Invoer gegevens'!$C$16)</f>
        <v>0</v>
      </c>
      <c r="AZ149" s="68">
        <f ca="1">IF(E149-'Invoer gegevens'!$C$17-14.5&lt;0,0,E149-'Invoer gegevens'!$C$17-14.5)</f>
        <v>129.5</v>
      </c>
      <c r="BC149" s="71"/>
    </row>
    <row r="150" spans="2:55" customFormat="1" x14ac:dyDescent="0.25">
      <c r="B150" s="70">
        <f t="shared" si="29"/>
        <v>146</v>
      </c>
      <c r="C150" s="67">
        <f ca="1">IF(E150-'Invoer gegevens'!$C$17&lt;0,0,1)</f>
        <v>1</v>
      </c>
      <c r="D150" s="68">
        <f t="shared" si="30"/>
        <v>145.5</v>
      </c>
      <c r="E150" s="69">
        <f ca="1">IF('Invoer gegevens'!$C$16="","",E149+1)</f>
        <v>2164</v>
      </c>
      <c r="F150" s="82">
        <f ca="1">IF('Invoer gegevens'!$C$17=E150,'Invoer gegevens'!$C$10,IF(C150=1,H149,0))</f>
        <v>0</v>
      </c>
      <c r="G150" s="83">
        <f ca="1">IF(C150&gt;=1,F150*Reeksen!C150,0)</f>
        <v>0</v>
      </c>
      <c r="H150" s="84">
        <f t="shared" ca="1" si="23"/>
        <v>0</v>
      </c>
      <c r="I150" s="85">
        <f ca="1">IF('Invoer gegevens'!$C$17=E150,'Invoer gegevens'!$C$11,IF(C150=1,L149,0))</f>
        <v>0</v>
      </c>
      <c r="J150" s="86">
        <f ca="1">IF(C150&lt;1,0,IF(Reeksen!AD150&lt;=Reeksen!AE150,I150*Reeksen!C150,0))</f>
        <v>0</v>
      </c>
      <c r="K150" s="86">
        <f ca="1">IF(C150&lt;1,0,IF(Reeksen!AD150&gt;Reeksen!AE150,I150*Reeksen!C150,0))</f>
        <v>0</v>
      </c>
      <c r="L150" s="86">
        <f t="shared" ca="1" si="24"/>
        <v>0</v>
      </c>
      <c r="M150" s="85">
        <f ca="1">IF('Invoer gegevens'!$C$17=E150,'Invoer gegevens'!$C$10-'Invoer gegevens'!$C$11,IF(C150=1,P149,0))</f>
        <v>0</v>
      </c>
      <c r="N150" s="86">
        <f ca="1">IF(C150&lt;1,0,IF(Reeksen!AD150&lt;=Reeksen!AE150,M150*Reeksen!C150,0))</f>
        <v>0</v>
      </c>
      <c r="O150" s="86">
        <f ca="1">IF(C150&lt;1,0,IF(Reeksen!AD150&gt;Reeksen!AE150,M150*Reeksen!C150,0))</f>
        <v>0</v>
      </c>
      <c r="P150" s="86">
        <f t="shared" ca="1" si="25"/>
        <v>0</v>
      </c>
      <c r="Q150" s="82">
        <f ca="1">IF('Invoer gegevens'!$C$17=E150,I150,IF(C150=0,0,R149))</f>
        <v>0</v>
      </c>
      <c r="R150" s="84">
        <f t="shared" ca="1" si="22"/>
        <v>0</v>
      </c>
      <c r="S150" s="84">
        <f ca="1">IF('Invoer gegevens'!$C$17=E150,M150,IF(C150=0,0,T149))</f>
        <v>0</v>
      </c>
      <c r="T150" s="84">
        <f t="shared" ca="1" si="31"/>
        <v>0</v>
      </c>
      <c r="AI150" s="71">
        <f ca="1">IF(C150=1,((F150+H150)/2*Reeksen!AI150*12)+(('Invoer gegevens'!$C$10-(F150+H150)/2)*Reeksen!AD150*12),0)</f>
        <v>0</v>
      </c>
      <c r="AJ150" s="71">
        <f ca="1">-AI150*'Invoer gegevens'!$F$28</f>
        <v>0</v>
      </c>
      <c r="AK150" s="71">
        <f t="shared" ca="1" si="26"/>
        <v>0</v>
      </c>
      <c r="AL150" s="71">
        <f ca="1">IF(C150=1,(12*((F150+H150)/2)*Reeksen!AL150)+(12*('Invoer gegevens'!$C$10-(F150+H150)/2)*Reeksen!AM150),0)</f>
        <v>0</v>
      </c>
      <c r="AM150" s="71">
        <f ca="1">-AL150*'Invoer gegevens'!$F$31</f>
        <v>0</v>
      </c>
      <c r="AN150" s="71">
        <f t="shared" ca="1" si="27"/>
        <v>0</v>
      </c>
      <c r="AO150" s="71"/>
      <c r="AP150" s="71"/>
      <c r="AQ150" s="71">
        <f ca="1">-IF(C150=1,('Invoer gegevens'!$C$10*'Invoer gegevens'!$F$35)*Reeksen!J150,0)*2</f>
        <v>0</v>
      </c>
      <c r="AR150" s="71">
        <f ca="1">-IF(C150=1,(G150*'Invoer gegevens'!$F$36)*Reeksen!J150,0)</f>
        <v>0</v>
      </c>
      <c r="AS150" s="71">
        <f ca="1">-IF(C150=1,'Invoer gegevens'!$C$10*'Invoer gegevens'!$F$37*Reeksen!L150,0)</f>
        <v>0</v>
      </c>
      <c r="AT150" s="71">
        <f ca="1">-IF(C150=1,IF(E150='Invoer gegevens'!$C$17,'Invoer gegevens'!$C$11,Q150)*Reeksen!S150*'Invoer gegevens'!$C$18*Reeksen!P150,0)</f>
        <v>0</v>
      </c>
      <c r="AU150" s="71">
        <f ca="1">-IF(C150=1,'Invoer gegevens'!$C$10*'Invoer gegevens'!$F$38*Reeksen!H150,0)</f>
        <v>0</v>
      </c>
      <c r="AV150" s="71">
        <f t="shared" si="32"/>
        <v>0</v>
      </c>
      <c r="AW150" s="71">
        <f t="shared" ca="1" si="28"/>
        <v>0</v>
      </c>
      <c r="AX150" s="71">
        <f ca="1">IF(E150&lt;'Invoer gegevens'!$C$17+15,0,IF('RW - MW - DE - DE'!E150&gt;'Invoer gegevens'!$C$17+215,0,'RW - MW - DE - DE'!AW150))</f>
        <v>0</v>
      </c>
      <c r="AY150" s="71">
        <f ca="1">AX150/(1+'Invoer gegevens'!$F$13)^($AZ150-('Invoer gegevens'!$C$17-'Invoer gegevens'!$C$16))/(1+'Invoer gegevens'!$C$39)^('Invoer gegevens'!$C$17-'Invoer gegevens'!$C$16)</f>
        <v>0</v>
      </c>
      <c r="AZ150" s="68">
        <f ca="1">IF(E150-'Invoer gegevens'!$C$17-14.5&lt;0,0,E150-'Invoer gegevens'!$C$17-14.5)</f>
        <v>130.5</v>
      </c>
      <c r="BC150" s="71"/>
    </row>
    <row r="151" spans="2:55" customFormat="1" x14ac:dyDescent="0.25">
      <c r="B151" s="70">
        <f t="shared" si="29"/>
        <v>147</v>
      </c>
      <c r="C151" s="67">
        <f ca="1">IF(E151-'Invoer gegevens'!$C$17&lt;0,0,1)</f>
        <v>1</v>
      </c>
      <c r="D151" s="68">
        <f t="shared" si="30"/>
        <v>146.5</v>
      </c>
      <c r="E151" s="69">
        <f ca="1">IF('Invoer gegevens'!$C$16="","",E150+1)</f>
        <v>2165</v>
      </c>
      <c r="F151" s="82">
        <f ca="1">IF('Invoer gegevens'!$C$17=E151,'Invoer gegevens'!$C$10,IF(C151=1,H150,0))</f>
        <v>0</v>
      </c>
      <c r="G151" s="83">
        <f ca="1">IF(C151&gt;=1,F151*Reeksen!C151,0)</f>
        <v>0</v>
      </c>
      <c r="H151" s="84">
        <f t="shared" ca="1" si="23"/>
        <v>0</v>
      </c>
      <c r="I151" s="85">
        <f ca="1">IF('Invoer gegevens'!$C$17=E151,'Invoer gegevens'!$C$11,IF(C151=1,L150,0))</f>
        <v>0</v>
      </c>
      <c r="J151" s="86">
        <f ca="1">IF(C151&lt;1,0,IF(Reeksen!AD151&lt;=Reeksen!AE151,I151*Reeksen!C151,0))</f>
        <v>0</v>
      </c>
      <c r="K151" s="86">
        <f ca="1">IF(C151&lt;1,0,IF(Reeksen!AD151&gt;Reeksen!AE151,I151*Reeksen!C151,0))</f>
        <v>0</v>
      </c>
      <c r="L151" s="86">
        <f t="shared" ca="1" si="24"/>
        <v>0</v>
      </c>
      <c r="M151" s="85">
        <f ca="1">IF('Invoer gegevens'!$C$17=E151,'Invoer gegevens'!$C$10-'Invoer gegevens'!$C$11,IF(C151=1,P150,0))</f>
        <v>0</v>
      </c>
      <c r="N151" s="86">
        <f ca="1">IF(C151&lt;1,0,IF(Reeksen!AD151&lt;=Reeksen!AE151,M151*Reeksen!C151,0))</f>
        <v>0</v>
      </c>
      <c r="O151" s="86">
        <f ca="1">IF(C151&lt;1,0,IF(Reeksen!AD151&gt;Reeksen!AE151,M151*Reeksen!C151,0))</f>
        <v>0</v>
      </c>
      <c r="P151" s="86">
        <f t="shared" ca="1" si="25"/>
        <v>0</v>
      </c>
      <c r="Q151" s="82">
        <f ca="1">IF('Invoer gegevens'!$C$17=E151,I151,IF(C151=0,0,R150))</f>
        <v>0</v>
      </c>
      <c r="R151" s="84">
        <f t="shared" ca="1" si="22"/>
        <v>0</v>
      </c>
      <c r="S151" s="84">
        <f ca="1">IF('Invoer gegevens'!$C$17=E151,M151,IF(C151=0,0,T150))</f>
        <v>0</v>
      </c>
      <c r="T151" s="84">
        <f t="shared" ca="1" si="31"/>
        <v>0</v>
      </c>
      <c r="AI151" s="71">
        <f ca="1">IF(C151=1,((F151+H151)/2*Reeksen!AI151*12)+(('Invoer gegevens'!$C$10-(F151+H151)/2)*Reeksen!AD151*12),0)</f>
        <v>0</v>
      </c>
      <c r="AJ151" s="71">
        <f ca="1">-AI151*'Invoer gegevens'!$F$28</f>
        <v>0</v>
      </c>
      <c r="AK151" s="71">
        <f t="shared" ca="1" si="26"/>
        <v>0</v>
      </c>
      <c r="AL151" s="71">
        <f ca="1">IF(C151=1,(12*((F151+H151)/2)*Reeksen!AL151)+(12*('Invoer gegevens'!$C$10-(F151+H151)/2)*Reeksen!AM151),0)</f>
        <v>0</v>
      </c>
      <c r="AM151" s="71">
        <f ca="1">-AL151*'Invoer gegevens'!$F$31</f>
        <v>0</v>
      </c>
      <c r="AN151" s="71">
        <f t="shared" ca="1" si="27"/>
        <v>0</v>
      </c>
      <c r="AO151" s="71"/>
      <c r="AP151" s="71"/>
      <c r="AQ151" s="71">
        <f ca="1">-IF(C151=1,('Invoer gegevens'!$C$10*'Invoer gegevens'!$F$35)*Reeksen!J151,0)*2</f>
        <v>0</v>
      </c>
      <c r="AR151" s="71">
        <f ca="1">-IF(C151=1,(G151*'Invoer gegevens'!$F$36)*Reeksen!J151,0)</f>
        <v>0</v>
      </c>
      <c r="AS151" s="71">
        <f ca="1">-IF(C151=1,'Invoer gegevens'!$C$10*'Invoer gegevens'!$F$37*Reeksen!L151,0)</f>
        <v>0</v>
      </c>
      <c r="AT151" s="71">
        <f ca="1">-IF(C151=1,IF(E151='Invoer gegevens'!$C$17,'Invoer gegevens'!$C$11,Q151)*Reeksen!S151*'Invoer gegevens'!$C$18*Reeksen!P151,0)</f>
        <v>0</v>
      </c>
      <c r="AU151" s="71">
        <f ca="1">-IF(C151=1,'Invoer gegevens'!$C$10*'Invoer gegevens'!$F$38*Reeksen!H151,0)</f>
        <v>0</v>
      </c>
      <c r="AV151" s="71">
        <f t="shared" si="32"/>
        <v>0</v>
      </c>
      <c r="AW151" s="71">
        <f t="shared" ca="1" si="28"/>
        <v>0</v>
      </c>
      <c r="AX151" s="71">
        <f ca="1">IF(E151&lt;'Invoer gegevens'!$C$17+15,0,IF('RW - MW - DE - DE'!E151&gt;'Invoer gegevens'!$C$17+215,0,'RW - MW - DE - DE'!AW151))</f>
        <v>0</v>
      </c>
      <c r="AY151" s="71">
        <f ca="1">AX151/(1+'Invoer gegevens'!$F$13)^($AZ151-('Invoer gegevens'!$C$17-'Invoer gegevens'!$C$16))/(1+'Invoer gegevens'!$C$39)^('Invoer gegevens'!$C$17-'Invoer gegevens'!$C$16)</f>
        <v>0</v>
      </c>
      <c r="AZ151" s="68">
        <f ca="1">IF(E151-'Invoer gegevens'!$C$17-14.5&lt;0,0,E151-'Invoer gegevens'!$C$17-14.5)</f>
        <v>131.5</v>
      </c>
      <c r="BC151" s="71"/>
    </row>
    <row r="152" spans="2:55" customFormat="1" x14ac:dyDescent="0.25">
      <c r="B152" s="70">
        <f t="shared" si="29"/>
        <v>148</v>
      </c>
      <c r="C152" s="67">
        <f ca="1">IF(E152-'Invoer gegevens'!$C$17&lt;0,0,1)</f>
        <v>1</v>
      </c>
      <c r="D152" s="68">
        <f t="shared" si="30"/>
        <v>147.5</v>
      </c>
      <c r="E152" s="69">
        <f ca="1">IF('Invoer gegevens'!$C$16="","",E151+1)</f>
        <v>2166</v>
      </c>
      <c r="F152" s="82">
        <f ca="1">IF('Invoer gegevens'!$C$17=E152,'Invoer gegevens'!$C$10,IF(C152=1,H151,0))</f>
        <v>0</v>
      </c>
      <c r="G152" s="83">
        <f ca="1">IF(C152&gt;=1,F152*Reeksen!C152,0)</f>
        <v>0</v>
      </c>
      <c r="H152" s="84">
        <f t="shared" ca="1" si="23"/>
        <v>0</v>
      </c>
      <c r="I152" s="85">
        <f ca="1">IF('Invoer gegevens'!$C$17=E152,'Invoer gegevens'!$C$11,IF(C152=1,L151,0))</f>
        <v>0</v>
      </c>
      <c r="J152" s="86">
        <f ca="1">IF(C152&lt;1,0,IF(Reeksen!AD152&lt;=Reeksen!AE152,I152*Reeksen!C152,0))</f>
        <v>0</v>
      </c>
      <c r="K152" s="86">
        <f ca="1">IF(C152&lt;1,0,IF(Reeksen!AD152&gt;Reeksen!AE152,I152*Reeksen!C152,0))</f>
        <v>0</v>
      </c>
      <c r="L152" s="86">
        <f t="shared" ca="1" si="24"/>
        <v>0</v>
      </c>
      <c r="M152" s="85">
        <f ca="1">IF('Invoer gegevens'!$C$17=E152,'Invoer gegevens'!$C$10-'Invoer gegevens'!$C$11,IF(C152=1,P151,0))</f>
        <v>0</v>
      </c>
      <c r="N152" s="86">
        <f ca="1">IF(C152&lt;1,0,IF(Reeksen!AD152&lt;=Reeksen!AE152,M152*Reeksen!C152,0))</f>
        <v>0</v>
      </c>
      <c r="O152" s="86">
        <f ca="1">IF(C152&lt;1,0,IF(Reeksen!AD152&gt;Reeksen!AE152,M152*Reeksen!C152,0))</f>
        <v>0</v>
      </c>
      <c r="P152" s="86">
        <f t="shared" ca="1" si="25"/>
        <v>0</v>
      </c>
      <c r="Q152" s="82">
        <f ca="1">IF('Invoer gegevens'!$C$17=E152,I152,IF(C152=0,0,R151))</f>
        <v>0</v>
      </c>
      <c r="R152" s="84">
        <f t="shared" ca="1" si="22"/>
        <v>0</v>
      </c>
      <c r="S152" s="84">
        <f ca="1">IF('Invoer gegevens'!$C$17=E152,M152,IF(C152=0,0,T151))</f>
        <v>0</v>
      </c>
      <c r="T152" s="84">
        <f t="shared" ca="1" si="31"/>
        <v>0</v>
      </c>
      <c r="AI152" s="71">
        <f ca="1">IF(C152=1,((F152+H152)/2*Reeksen!AI152*12)+(('Invoer gegevens'!$C$10-(F152+H152)/2)*Reeksen!AD152*12),0)</f>
        <v>0</v>
      </c>
      <c r="AJ152" s="71">
        <f ca="1">-AI152*'Invoer gegevens'!$F$28</f>
        <v>0</v>
      </c>
      <c r="AK152" s="71">
        <f t="shared" ca="1" si="26"/>
        <v>0</v>
      </c>
      <c r="AL152" s="71">
        <f ca="1">IF(C152=1,(12*((F152+H152)/2)*Reeksen!AL152)+(12*('Invoer gegevens'!$C$10-(F152+H152)/2)*Reeksen!AM152),0)</f>
        <v>0</v>
      </c>
      <c r="AM152" s="71">
        <f ca="1">-AL152*'Invoer gegevens'!$F$31</f>
        <v>0</v>
      </c>
      <c r="AN152" s="71">
        <f t="shared" ca="1" si="27"/>
        <v>0</v>
      </c>
      <c r="AO152" s="71"/>
      <c r="AP152" s="71"/>
      <c r="AQ152" s="71">
        <f ca="1">-IF(C152=1,('Invoer gegevens'!$C$10*'Invoer gegevens'!$F$35)*Reeksen!J152,0)*2</f>
        <v>0</v>
      </c>
      <c r="AR152" s="71">
        <f ca="1">-IF(C152=1,(G152*'Invoer gegevens'!$F$36)*Reeksen!J152,0)</f>
        <v>0</v>
      </c>
      <c r="AS152" s="71">
        <f ca="1">-IF(C152=1,'Invoer gegevens'!$C$10*'Invoer gegevens'!$F$37*Reeksen!L152,0)</f>
        <v>0</v>
      </c>
      <c r="AT152" s="71">
        <f ca="1">-IF(C152=1,IF(E152='Invoer gegevens'!$C$17,'Invoer gegevens'!$C$11,Q152)*Reeksen!S152*'Invoer gegevens'!$C$18*Reeksen!P152,0)</f>
        <v>0</v>
      </c>
      <c r="AU152" s="71">
        <f ca="1">-IF(C152=1,'Invoer gegevens'!$C$10*'Invoer gegevens'!$F$38*Reeksen!H152,0)</f>
        <v>0</v>
      </c>
      <c r="AV152" s="71">
        <f t="shared" si="32"/>
        <v>0</v>
      </c>
      <c r="AW152" s="71">
        <f t="shared" ca="1" si="28"/>
        <v>0</v>
      </c>
      <c r="AX152" s="71">
        <f ca="1">IF(E152&lt;'Invoer gegevens'!$C$17+15,0,IF('RW - MW - DE - DE'!E152&gt;'Invoer gegevens'!$C$17+215,0,'RW - MW - DE - DE'!AW152))</f>
        <v>0</v>
      </c>
      <c r="AY152" s="71">
        <f ca="1">AX152/(1+'Invoer gegevens'!$F$13)^($AZ152-('Invoer gegevens'!$C$17-'Invoer gegevens'!$C$16))/(1+'Invoer gegevens'!$C$39)^('Invoer gegevens'!$C$17-'Invoer gegevens'!$C$16)</f>
        <v>0</v>
      </c>
      <c r="AZ152" s="68">
        <f ca="1">IF(E152-'Invoer gegevens'!$C$17-14.5&lt;0,0,E152-'Invoer gegevens'!$C$17-14.5)</f>
        <v>132.5</v>
      </c>
      <c r="BC152" s="71"/>
    </row>
    <row r="153" spans="2:55" customFormat="1" x14ac:dyDescent="0.25">
      <c r="B153" s="70">
        <f t="shared" si="29"/>
        <v>149</v>
      </c>
      <c r="C153" s="67">
        <f ca="1">IF(E153-'Invoer gegevens'!$C$17&lt;0,0,1)</f>
        <v>1</v>
      </c>
      <c r="D153" s="68">
        <f t="shared" si="30"/>
        <v>148.5</v>
      </c>
      <c r="E153" s="69">
        <f ca="1">IF('Invoer gegevens'!$C$16="","",E152+1)</f>
        <v>2167</v>
      </c>
      <c r="F153" s="82">
        <f ca="1">IF('Invoer gegevens'!$C$17=E153,'Invoer gegevens'!$C$10,IF(C153=1,H152,0))</f>
        <v>0</v>
      </c>
      <c r="G153" s="83">
        <f ca="1">IF(C153&gt;=1,F153*Reeksen!C153,0)</f>
        <v>0</v>
      </c>
      <c r="H153" s="84">
        <f t="shared" ca="1" si="23"/>
        <v>0</v>
      </c>
      <c r="I153" s="85">
        <f ca="1">IF('Invoer gegevens'!$C$17=E153,'Invoer gegevens'!$C$11,IF(C153=1,L152,0))</f>
        <v>0</v>
      </c>
      <c r="J153" s="86">
        <f ca="1">IF(C153&lt;1,0,IF(Reeksen!AD153&lt;=Reeksen!AE153,I153*Reeksen!C153,0))</f>
        <v>0</v>
      </c>
      <c r="K153" s="86">
        <f ca="1">IF(C153&lt;1,0,IF(Reeksen!AD153&gt;Reeksen!AE153,I153*Reeksen!C153,0))</f>
        <v>0</v>
      </c>
      <c r="L153" s="86">
        <f t="shared" ca="1" si="24"/>
        <v>0</v>
      </c>
      <c r="M153" s="85">
        <f ca="1">IF('Invoer gegevens'!$C$17=E153,'Invoer gegevens'!$C$10-'Invoer gegevens'!$C$11,IF(C153=1,P152,0))</f>
        <v>0</v>
      </c>
      <c r="N153" s="86">
        <f ca="1">IF(C153&lt;1,0,IF(Reeksen!AD153&lt;=Reeksen!AE153,M153*Reeksen!C153,0))</f>
        <v>0</v>
      </c>
      <c r="O153" s="86">
        <f ca="1">IF(C153&lt;1,0,IF(Reeksen!AD153&gt;Reeksen!AE153,M153*Reeksen!C153,0))</f>
        <v>0</v>
      </c>
      <c r="P153" s="86">
        <f t="shared" ca="1" si="25"/>
        <v>0</v>
      </c>
      <c r="Q153" s="82">
        <f ca="1">IF('Invoer gegevens'!$C$17=E153,I153,IF(C153=0,0,R152))</f>
        <v>0</v>
      </c>
      <c r="R153" s="84">
        <f t="shared" ca="1" si="22"/>
        <v>0</v>
      </c>
      <c r="S153" s="84">
        <f ca="1">IF('Invoer gegevens'!$C$17=E153,M153,IF(C153=0,0,T152))</f>
        <v>0</v>
      </c>
      <c r="T153" s="84">
        <f t="shared" ca="1" si="31"/>
        <v>0</v>
      </c>
      <c r="AI153" s="71">
        <f ca="1">IF(C153=1,((F153+H153)/2*Reeksen!AI153*12)+(('Invoer gegevens'!$C$10-(F153+H153)/2)*Reeksen!AD153*12),0)</f>
        <v>0</v>
      </c>
      <c r="AJ153" s="71">
        <f ca="1">-AI153*'Invoer gegevens'!$F$28</f>
        <v>0</v>
      </c>
      <c r="AK153" s="71">
        <f t="shared" ca="1" si="26"/>
        <v>0</v>
      </c>
      <c r="AL153" s="71">
        <f ca="1">IF(C153=1,(12*((F153+H153)/2)*Reeksen!AL153)+(12*('Invoer gegevens'!$C$10-(F153+H153)/2)*Reeksen!AM153),0)</f>
        <v>0</v>
      </c>
      <c r="AM153" s="71">
        <f ca="1">-AL153*'Invoer gegevens'!$F$31</f>
        <v>0</v>
      </c>
      <c r="AN153" s="71">
        <f t="shared" ca="1" si="27"/>
        <v>0</v>
      </c>
      <c r="AO153" s="71"/>
      <c r="AP153" s="71"/>
      <c r="AQ153" s="71">
        <f ca="1">-IF(C153=1,('Invoer gegevens'!$C$10*'Invoer gegevens'!$F$35)*Reeksen!J153,0)*2</f>
        <v>0</v>
      </c>
      <c r="AR153" s="71">
        <f ca="1">-IF(C153=1,(G153*'Invoer gegevens'!$F$36)*Reeksen!J153,0)</f>
        <v>0</v>
      </c>
      <c r="AS153" s="71">
        <f ca="1">-IF(C153=1,'Invoer gegevens'!$C$10*'Invoer gegevens'!$F$37*Reeksen!L153,0)</f>
        <v>0</v>
      </c>
      <c r="AT153" s="71">
        <f ca="1">-IF(C153=1,IF(E153='Invoer gegevens'!$C$17,'Invoer gegevens'!$C$11,Q153)*Reeksen!S153*'Invoer gegevens'!$C$18*Reeksen!P153,0)</f>
        <v>0</v>
      </c>
      <c r="AU153" s="71">
        <f ca="1">-IF(C153=1,'Invoer gegevens'!$C$10*'Invoer gegevens'!$F$38*Reeksen!H153,0)</f>
        <v>0</v>
      </c>
      <c r="AV153" s="71">
        <f t="shared" si="32"/>
        <v>0</v>
      </c>
      <c r="AW153" s="71">
        <f t="shared" ca="1" si="28"/>
        <v>0</v>
      </c>
      <c r="AX153" s="71">
        <f ca="1">IF(E153&lt;'Invoer gegevens'!$C$17+15,0,IF('RW - MW - DE - DE'!E153&gt;'Invoer gegevens'!$C$17+215,0,'RW - MW - DE - DE'!AW153))</f>
        <v>0</v>
      </c>
      <c r="AY153" s="71">
        <f ca="1">AX153/(1+'Invoer gegevens'!$F$13)^($AZ153-('Invoer gegevens'!$C$17-'Invoer gegevens'!$C$16))/(1+'Invoer gegevens'!$C$39)^('Invoer gegevens'!$C$17-'Invoer gegevens'!$C$16)</f>
        <v>0</v>
      </c>
      <c r="AZ153" s="68">
        <f ca="1">IF(E153-'Invoer gegevens'!$C$17-14.5&lt;0,0,E153-'Invoer gegevens'!$C$17-14.5)</f>
        <v>133.5</v>
      </c>
      <c r="BC153" s="71"/>
    </row>
    <row r="154" spans="2:55" customFormat="1" x14ac:dyDescent="0.25">
      <c r="B154" s="70">
        <f t="shared" si="29"/>
        <v>150</v>
      </c>
      <c r="C154" s="67">
        <f ca="1">IF(E154-'Invoer gegevens'!$C$17&lt;0,0,1)</f>
        <v>1</v>
      </c>
      <c r="D154" s="68">
        <f t="shared" si="30"/>
        <v>149.5</v>
      </c>
      <c r="E154" s="69">
        <f ca="1">IF('Invoer gegevens'!$C$16="","",E153+1)</f>
        <v>2168</v>
      </c>
      <c r="F154" s="82">
        <f ca="1">IF('Invoer gegevens'!$C$17=E154,'Invoer gegevens'!$C$10,IF(C154=1,H153,0))</f>
        <v>0</v>
      </c>
      <c r="G154" s="83">
        <f ca="1">IF(C154&gt;=1,F154*Reeksen!C154,0)</f>
        <v>0</v>
      </c>
      <c r="H154" s="84">
        <f t="shared" ca="1" si="23"/>
        <v>0</v>
      </c>
      <c r="I154" s="85">
        <f ca="1">IF('Invoer gegevens'!$C$17=E154,'Invoer gegevens'!$C$11,IF(C154=1,L153,0))</f>
        <v>0</v>
      </c>
      <c r="J154" s="86">
        <f ca="1">IF(C154&lt;1,0,IF(Reeksen!AD154&lt;=Reeksen!AE154,I154*Reeksen!C154,0))</f>
        <v>0</v>
      </c>
      <c r="K154" s="86">
        <f ca="1">IF(C154&lt;1,0,IF(Reeksen!AD154&gt;Reeksen!AE154,I154*Reeksen!C154,0))</f>
        <v>0</v>
      </c>
      <c r="L154" s="86">
        <f t="shared" ca="1" si="24"/>
        <v>0</v>
      </c>
      <c r="M154" s="85">
        <f ca="1">IF('Invoer gegevens'!$C$17=E154,'Invoer gegevens'!$C$10-'Invoer gegevens'!$C$11,IF(C154=1,P153,0))</f>
        <v>0</v>
      </c>
      <c r="N154" s="86">
        <f ca="1">IF(C154&lt;1,0,IF(Reeksen!AD154&lt;=Reeksen!AE154,M154*Reeksen!C154,0))</f>
        <v>0</v>
      </c>
      <c r="O154" s="86">
        <f ca="1">IF(C154&lt;1,0,IF(Reeksen!AD154&gt;Reeksen!AE154,M154*Reeksen!C154,0))</f>
        <v>0</v>
      </c>
      <c r="P154" s="86">
        <f t="shared" ca="1" si="25"/>
        <v>0</v>
      </c>
      <c r="Q154" s="82">
        <f ca="1">IF('Invoer gegevens'!$C$17=E154,I154,IF(C154=0,0,R153))</f>
        <v>0</v>
      </c>
      <c r="R154" s="84">
        <f t="shared" ca="1" si="22"/>
        <v>0</v>
      </c>
      <c r="S154" s="84">
        <f ca="1">IF('Invoer gegevens'!$C$17=E154,M154,IF(C154=0,0,T153))</f>
        <v>0</v>
      </c>
      <c r="T154" s="84">
        <f t="shared" ca="1" si="31"/>
        <v>0</v>
      </c>
      <c r="AI154" s="71">
        <f ca="1">IF(C154=1,((F154+H154)/2*Reeksen!AI154*12)+(('Invoer gegevens'!$C$10-(F154+H154)/2)*Reeksen!AD154*12),0)</f>
        <v>0</v>
      </c>
      <c r="AJ154" s="71">
        <f ca="1">-AI154*'Invoer gegevens'!$F$28</f>
        <v>0</v>
      </c>
      <c r="AK154" s="71">
        <f t="shared" ca="1" si="26"/>
        <v>0</v>
      </c>
      <c r="AL154" s="71">
        <f ca="1">IF(C154=1,(12*((F154+H154)/2)*Reeksen!AL154)+(12*('Invoer gegevens'!$C$10-(F154+H154)/2)*Reeksen!AM154),0)</f>
        <v>0</v>
      </c>
      <c r="AM154" s="71">
        <f ca="1">-AL154*'Invoer gegevens'!$F$31</f>
        <v>0</v>
      </c>
      <c r="AN154" s="71">
        <f t="shared" ca="1" si="27"/>
        <v>0</v>
      </c>
      <c r="AO154" s="71"/>
      <c r="AP154" s="71"/>
      <c r="AQ154" s="71">
        <f ca="1">-IF(C154=1,('Invoer gegevens'!$C$10*'Invoer gegevens'!$F$35)*Reeksen!J154,0)*2</f>
        <v>0</v>
      </c>
      <c r="AR154" s="71">
        <f ca="1">-IF(C154=1,(G154*'Invoer gegevens'!$F$36)*Reeksen!J154,0)</f>
        <v>0</v>
      </c>
      <c r="AS154" s="71">
        <f ca="1">-IF(C154=1,'Invoer gegevens'!$C$10*'Invoer gegevens'!$F$37*Reeksen!L154,0)</f>
        <v>0</v>
      </c>
      <c r="AT154" s="71">
        <f ca="1">-IF(C154=1,IF(E154='Invoer gegevens'!$C$17,'Invoer gegevens'!$C$11,Q154)*Reeksen!S154*'Invoer gegevens'!$C$18*Reeksen!P154,0)</f>
        <v>0</v>
      </c>
      <c r="AU154" s="71">
        <f ca="1">-IF(C154=1,'Invoer gegevens'!$C$10*'Invoer gegevens'!$F$38*Reeksen!H154,0)</f>
        <v>0</v>
      </c>
      <c r="AV154" s="71">
        <f t="shared" si="32"/>
        <v>0</v>
      </c>
      <c r="AW154" s="71">
        <f t="shared" ca="1" si="28"/>
        <v>0</v>
      </c>
      <c r="AX154" s="71">
        <f ca="1">IF(E154&lt;'Invoer gegevens'!$C$17+15,0,IF('RW - MW - DE - DE'!E154&gt;'Invoer gegevens'!$C$17+215,0,'RW - MW - DE - DE'!AW154))</f>
        <v>0</v>
      </c>
      <c r="AY154" s="71">
        <f ca="1">AX154/(1+'Invoer gegevens'!$F$13)^($AZ154-('Invoer gegevens'!$C$17-'Invoer gegevens'!$C$16))/(1+'Invoer gegevens'!$C$39)^('Invoer gegevens'!$C$17-'Invoer gegevens'!$C$16)</f>
        <v>0</v>
      </c>
      <c r="AZ154" s="68">
        <f ca="1">IF(E154-'Invoer gegevens'!$C$17-14.5&lt;0,0,E154-'Invoer gegevens'!$C$17-14.5)</f>
        <v>134.5</v>
      </c>
      <c r="BC154" s="71"/>
    </row>
    <row r="155" spans="2:55" customFormat="1" x14ac:dyDescent="0.25">
      <c r="B155" s="70">
        <f t="shared" si="29"/>
        <v>151</v>
      </c>
      <c r="C155" s="67">
        <f ca="1">IF(E155-'Invoer gegevens'!$C$17&lt;0,0,1)</f>
        <v>1</v>
      </c>
      <c r="D155" s="68">
        <f t="shared" si="30"/>
        <v>150.5</v>
      </c>
      <c r="E155" s="69">
        <f ca="1">IF('Invoer gegevens'!$C$16="","",E154+1)</f>
        <v>2169</v>
      </c>
      <c r="F155" s="82">
        <f ca="1">IF('Invoer gegevens'!$C$17=E155,'Invoer gegevens'!$C$10,IF(C155=1,H154,0))</f>
        <v>0</v>
      </c>
      <c r="G155" s="83">
        <f ca="1">IF(C155&gt;=1,F155*Reeksen!C155,0)</f>
        <v>0</v>
      </c>
      <c r="H155" s="84">
        <f t="shared" ca="1" si="23"/>
        <v>0</v>
      </c>
      <c r="I155" s="85">
        <f ca="1">IF('Invoer gegevens'!$C$17=E155,'Invoer gegevens'!$C$11,IF(C155=1,L154,0))</f>
        <v>0</v>
      </c>
      <c r="J155" s="86">
        <f ca="1">IF(C155&lt;1,0,IF(Reeksen!AD155&lt;=Reeksen!AE155,I155*Reeksen!C155,0))</f>
        <v>0</v>
      </c>
      <c r="K155" s="86">
        <f ca="1">IF(C155&lt;1,0,IF(Reeksen!AD155&gt;Reeksen!AE155,I155*Reeksen!C155,0))</f>
        <v>0</v>
      </c>
      <c r="L155" s="86">
        <f t="shared" ca="1" si="24"/>
        <v>0</v>
      </c>
      <c r="M155" s="85">
        <f ca="1">IF('Invoer gegevens'!$C$17=E155,'Invoer gegevens'!$C$10-'Invoer gegevens'!$C$11,IF(C155=1,P154,0))</f>
        <v>0</v>
      </c>
      <c r="N155" s="86">
        <f ca="1">IF(C155&lt;1,0,IF(Reeksen!AD155&lt;=Reeksen!AE155,M155*Reeksen!C155,0))</f>
        <v>0</v>
      </c>
      <c r="O155" s="86">
        <f ca="1">IF(C155&lt;1,0,IF(Reeksen!AD155&gt;Reeksen!AE155,M155*Reeksen!C155,0))</f>
        <v>0</v>
      </c>
      <c r="P155" s="86">
        <f t="shared" ca="1" si="25"/>
        <v>0</v>
      </c>
      <c r="Q155" s="82">
        <f ca="1">IF('Invoer gegevens'!$C$17=E155,I155,IF(C155=0,0,R154))</f>
        <v>0</v>
      </c>
      <c r="R155" s="84">
        <f t="shared" ca="1" si="22"/>
        <v>0</v>
      </c>
      <c r="S155" s="84">
        <f ca="1">IF('Invoer gegevens'!$C$17=E155,M155,IF(C155=0,0,T154))</f>
        <v>0</v>
      </c>
      <c r="T155" s="84">
        <f t="shared" ca="1" si="31"/>
        <v>0</v>
      </c>
      <c r="AI155" s="71">
        <f ca="1">IF(C155=1,((F155+H155)/2*Reeksen!AI155*12)+(('Invoer gegevens'!$C$10-(F155+H155)/2)*Reeksen!AD155*12),0)</f>
        <v>0</v>
      </c>
      <c r="AJ155" s="71">
        <f ca="1">-AI155*'Invoer gegevens'!$F$28</f>
        <v>0</v>
      </c>
      <c r="AK155" s="71">
        <f t="shared" ca="1" si="26"/>
        <v>0</v>
      </c>
      <c r="AL155" s="71">
        <f ca="1">IF(C155=1,(12*((F155+H155)/2)*Reeksen!AL155)+(12*('Invoer gegevens'!$C$10-(F155+H155)/2)*Reeksen!AM155),0)</f>
        <v>0</v>
      </c>
      <c r="AM155" s="71">
        <f ca="1">-AL155*'Invoer gegevens'!$F$31</f>
        <v>0</v>
      </c>
      <c r="AN155" s="71">
        <f t="shared" ca="1" si="27"/>
        <v>0</v>
      </c>
      <c r="AO155" s="71"/>
      <c r="AP155" s="71"/>
      <c r="AQ155" s="71">
        <f ca="1">-IF(C155=1,('Invoer gegevens'!$C$10*'Invoer gegevens'!$F$35)*Reeksen!J155,0)*2</f>
        <v>0</v>
      </c>
      <c r="AR155" s="71">
        <f ca="1">-IF(C155=1,(G155*'Invoer gegevens'!$F$36)*Reeksen!J155,0)</f>
        <v>0</v>
      </c>
      <c r="AS155" s="71">
        <f ca="1">-IF(C155=1,'Invoer gegevens'!$C$10*'Invoer gegevens'!$F$37*Reeksen!L155,0)</f>
        <v>0</v>
      </c>
      <c r="AT155" s="71">
        <f ca="1">-IF(C155=1,IF(E155='Invoer gegevens'!$C$17,'Invoer gegevens'!$C$11,Q155)*Reeksen!S155*'Invoer gegevens'!$C$18*Reeksen!P155,0)</f>
        <v>0</v>
      </c>
      <c r="AU155" s="71">
        <f ca="1">-IF(C155=1,'Invoer gegevens'!$C$10*'Invoer gegevens'!$F$38*Reeksen!H155,0)</f>
        <v>0</v>
      </c>
      <c r="AV155" s="71">
        <f t="shared" si="32"/>
        <v>0</v>
      </c>
      <c r="AW155" s="71">
        <f t="shared" ca="1" si="28"/>
        <v>0</v>
      </c>
      <c r="AX155" s="71">
        <f ca="1">IF(E155&lt;'Invoer gegevens'!$C$17+15,0,IF('RW - MW - DE - DE'!E155&gt;'Invoer gegevens'!$C$17+215,0,'RW - MW - DE - DE'!AW155))</f>
        <v>0</v>
      </c>
      <c r="AY155" s="71">
        <f ca="1">AX155/(1+'Invoer gegevens'!$F$13)^($AZ155-('Invoer gegevens'!$C$17-'Invoer gegevens'!$C$16))/(1+'Invoer gegevens'!$C$39)^('Invoer gegevens'!$C$17-'Invoer gegevens'!$C$16)</f>
        <v>0</v>
      </c>
      <c r="AZ155" s="68">
        <f ca="1">IF(E155-'Invoer gegevens'!$C$17-14.5&lt;0,0,E155-'Invoer gegevens'!$C$17-14.5)</f>
        <v>135.5</v>
      </c>
      <c r="BC155" s="71"/>
    </row>
    <row r="156" spans="2:55" customFormat="1" x14ac:dyDescent="0.25">
      <c r="B156" s="70">
        <f t="shared" si="29"/>
        <v>152</v>
      </c>
      <c r="C156" s="67">
        <f ca="1">IF(E156-'Invoer gegevens'!$C$17&lt;0,0,1)</f>
        <v>1</v>
      </c>
      <c r="D156" s="68">
        <f t="shared" si="30"/>
        <v>151.5</v>
      </c>
      <c r="E156" s="69">
        <f ca="1">IF('Invoer gegevens'!$C$16="","",E155+1)</f>
        <v>2170</v>
      </c>
      <c r="F156" s="82">
        <f ca="1">IF('Invoer gegevens'!$C$17=E156,'Invoer gegevens'!$C$10,IF(C156=1,H155,0))</f>
        <v>0</v>
      </c>
      <c r="G156" s="83">
        <f ca="1">IF(C156&gt;=1,F156*Reeksen!C156,0)</f>
        <v>0</v>
      </c>
      <c r="H156" s="84">
        <f t="shared" ca="1" si="23"/>
        <v>0</v>
      </c>
      <c r="I156" s="85">
        <f ca="1">IF('Invoer gegevens'!$C$17=E156,'Invoer gegevens'!$C$11,IF(C156=1,L155,0))</f>
        <v>0</v>
      </c>
      <c r="J156" s="86">
        <f ca="1">IF(C156&lt;1,0,IF(Reeksen!AD156&lt;=Reeksen!AE156,I156*Reeksen!C156,0))</f>
        <v>0</v>
      </c>
      <c r="K156" s="86">
        <f ca="1">IF(C156&lt;1,0,IF(Reeksen!AD156&gt;Reeksen!AE156,I156*Reeksen!C156,0))</f>
        <v>0</v>
      </c>
      <c r="L156" s="86">
        <f t="shared" ca="1" si="24"/>
        <v>0</v>
      </c>
      <c r="M156" s="85">
        <f ca="1">IF('Invoer gegevens'!$C$17=E156,'Invoer gegevens'!$C$10-'Invoer gegevens'!$C$11,IF(C156=1,P155,0))</f>
        <v>0</v>
      </c>
      <c r="N156" s="86">
        <f ca="1">IF(C156&lt;1,0,IF(Reeksen!AD156&lt;=Reeksen!AE156,M156*Reeksen!C156,0))</f>
        <v>0</v>
      </c>
      <c r="O156" s="86">
        <f ca="1">IF(C156&lt;1,0,IF(Reeksen!AD156&gt;Reeksen!AE156,M156*Reeksen!C156,0))</f>
        <v>0</v>
      </c>
      <c r="P156" s="86">
        <f t="shared" ca="1" si="25"/>
        <v>0</v>
      </c>
      <c r="Q156" s="82">
        <f ca="1">IF('Invoer gegevens'!$C$17=E156,I156,IF(C156=0,0,R155))</f>
        <v>0</v>
      </c>
      <c r="R156" s="84">
        <f t="shared" ca="1" si="22"/>
        <v>0</v>
      </c>
      <c r="S156" s="84">
        <f ca="1">IF('Invoer gegevens'!$C$17=E156,M156,IF(C156=0,0,T155))</f>
        <v>0</v>
      </c>
      <c r="T156" s="84">
        <f t="shared" ca="1" si="31"/>
        <v>0</v>
      </c>
      <c r="AI156" s="71">
        <f ca="1">IF(C156=1,((F156+H156)/2*Reeksen!AI156*12)+(('Invoer gegevens'!$C$10-(F156+H156)/2)*Reeksen!AD156*12),0)</f>
        <v>0</v>
      </c>
      <c r="AJ156" s="71">
        <f ca="1">-AI156*'Invoer gegevens'!$F$28</f>
        <v>0</v>
      </c>
      <c r="AK156" s="71">
        <f t="shared" ca="1" si="26"/>
        <v>0</v>
      </c>
      <c r="AL156" s="71">
        <f ca="1">IF(C156=1,(12*((F156+H156)/2)*Reeksen!AL156)+(12*('Invoer gegevens'!$C$10-(F156+H156)/2)*Reeksen!AM156),0)</f>
        <v>0</v>
      </c>
      <c r="AM156" s="71">
        <f ca="1">-AL156*'Invoer gegevens'!$F$31</f>
        <v>0</v>
      </c>
      <c r="AN156" s="71">
        <f t="shared" ca="1" si="27"/>
        <v>0</v>
      </c>
      <c r="AO156" s="71"/>
      <c r="AP156" s="71"/>
      <c r="AQ156" s="71">
        <f ca="1">-IF(C156=1,('Invoer gegevens'!$C$10*'Invoer gegevens'!$F$35)*Reeksen!J156,0)*2</f>
        <v>0</v>
      </c>
      <c r="AR156" s="71">
        <f ca="1">-IF(C156=1,(G156*'Invoer gegevens'!$F$36)*Reeksen!J156,0)</f>
        <v>0</v>
      </c>
      <c r="AS156" s="71">
        <f ca="1">-IF(C156=1,'Invoer gegevens'!$C$10*'Invoer gegevens'!$F$37*Reeksen!L156,0)</f>
        <v>0</v>
      </c>
      <c r="AT156" s="71">
        <f ca="1">-IF(C156=1,IF(E156='Invoer gegevens'!$C$17,'Invoer gegevens'!$C$11,Q156)*Reeksen!S156*'Invoer gegevens'!$C$18*Reeksen!P156,0)</f>
        <v>0</v>
      </c>
      <c r="AU156" s="71">
        <f ca="1">-IF(C156=1,'Invoer gegevens'!$C$10*'Invoer gegevens'!$F$38*Reeksen!H156,0)</f>
        <v>0</v>
      </c>
      <c r="AV156" s="71">
        <f t="shared" si="32"/>
        <v>0</v>
      </c>
      <c r="AW156" s="71">
        <f t="shared" ca="1" si="28"/>
        <v>0</v>
      </c>
      <c r="AX156" s="71">
        <f ca="1">IF(E156&lt;'Invoer gegevens'!$C$17+15,0,IF('RW - MW - DE - DE'!E156&gt;'Invoer gegevens'!$C$17+215,0,'RW - MW - DE - DE'!AW156))</f>
        <v>0</v>
      </c>
      <c r="AY156" s="71">
        <f ca="1">AX156/(1+'Invoer gegevens'!$F$13)^($AZ156-('Invoer gegevens'!$C$17-'Invoer gegevens'!$C$16))/(1+'Invoer gegevens'!$C$39)^('Invoer gegevens'!$C$17-'Invoer gegevens'!$C$16)</f>
        <v>0</v>
      </c>
      <c r="AZ156" s="68">
        <f ca="1">IF(E156-'Invoer gegevens'!$C$17-14.5&lt;0,0,E156-'Invoer gegevens'!$C$17-14.5)</f>
        <v>136.5</v>
      </c>
      <c r="BC156" s="71"/>
    </row>
    <row r="157" spans="2:55" customFormat="1" x14ac:dyDescent="0.25">
      <c r="B157" s="70">
        <f t="shared" si="29"/>
        <v>153</v>
      </c>
      <c r="C157" s="67">
        <f ca="1">IF(E157-'Invoer gegevens'!$C$17&lt;0,0,1)</f>
        <v>1</v>
      </c>
      <c r="D157" s="68">
        <f t="shared" si="30"/>
        <v>152.5</v>
      </c>
      <c r="E157" s="69">
        <f ca="1">IF('Invoer gegevens'!$C$16="","",E156+1)</f>
        <v>2171</v>
      </c>
      <c r="F157" s="82">
        <f ca="1">IF('Invoer gegevens'!$C$17=E157,'Invoer gegevens'!$C$10,IF(C157=1,H156,0))</f>
        <v>0</v>
      </c>
      <c r="G157" s="83">
        <f ca="1">IF(C157&gt;=1,F157*Reeksen!C157,0)</f>
        <v>0</v>
      </c>
      <c r="H157" s="84">
        <f t="shared" ca="1" si="23"/>
        <v>0</v>
      </c>
      <c r="I157" s="85">
        <f ca="1">IF('Invoer gegevens'!$C$17=E157,'Invoer gegevens'!$C$11,IF(C157=1,L156,0))</f>
        <v>0</v>
      </c>
      <c r="J157" s="86">
        <f ca="1">IF(C157&lt;1,0,IF(Reeksen!AD157&lt;=Reeksen!AE157,I157*Reeksen!C157,0))</f>
        <v>0</v>
      </c>
      <c r="K157" s="86">
        <f ca="1">IF(C157&lt;1,0,IF(Reeksen!AD157&gt;Reeksen!AE157,I157*Reeksen!C157,0))</f>
        <v>0</v>
      </c>
      <c r="L157" s="86">
        <f t="shared" ca="1" si="24"/>
        <v>0</v>
      </c>
      <c r="M157" s="85">
        <f ca="1">IF('Invoer gegevens'!$C$17=E157,'Invoer gegevens'!$C$10-'Invoer gegevens'!$C$11,IF(C157=1,P156,0))</f>
        <v>0</v>
      </c>
      <c r="N157" s="86">
        <f ca="1">IF(C157&lt;1,0,IF(Reeksen!AD157&lt;=Reeksen!AE157,M157*Reeksen!C157,0))</f>
        <v>0</v>
      </c>
      <c r="O157" s="86">
        <f ca="1">IF(C157&lt;1,0,IF(Reeksen!AD157&gt;Reeksen!AE157,M157*Reeksen!C157,0))</f>
        <v>0</v>
      </c>
      <c r="P157" s="86">
        <f t="shared" ca="1" si="25"/>
        <v>0</v>
      </c>
      <c r="Q157" s="82">
        <f ca="1">IF('Invoer gegevens'!$C$17=E157,I157,IF(C157=0,0,R156))</f>
        <v>0</v>
      </c>
      <c r="R157" s="84">
        <f t="shared" ca="1" si="22"/>
        <v>0</v>
      </c>
      <c r="S157" s="84">
        <f ca="1">IF('Invoer gegevens'!$C$17=E157,M157,IF(C157=0,0,T156))</f>
        <v>0</v>
      </c>
      <c r="T157" s="84">
        <f t="shared" ca="1" si="31"/>
        <v>0</v>
      </c>
      <c r="AI157" s="71">
        <f ca="1">IF(C157=1,((F157+H157)/2*Reeksen!AI157*12)+(('Invoer gegevens'!$C$10-(F157+H157)/2)*Reeksen!AD157*12),0)</f>
        <v>0</v>
      </c>
      <c r="AJ157" s="71">
        <f ca="1">-AI157*'Invoer gegevens'!$F$28</f>
        <v>0</v>
      </c>
      <c r="AK157" s="71">
        <f t="shared" ca="1" si="26"/>
        <v>0</v>
      </c>
      <c r="AL157" s="71">
        <f ca="1">IF(C157=1,(12*((F157+H157)/2)*Reeksen!AL157)+(12*('Invoer gegevens'!$C$10-(F157+H157)/2)*Reeksen!AM157),0)</f>
        <v>0</v>
      </c>
      <c r="AM157" s="71">
        <f ca="1">-AL157*'Invoer gegevens'!$F$31</f>
        <v>0</v>
      </c>
      <c r="AN157" s="71">
        <f t="shared" ca="1" si="27"/>
        <v>0</v>
      </c>
      <c r="AO157" s="71"/>
      <c r="AP157" s="71"/>
      <c r="AQ157" s="71">
        <f ca="1">-IF(C157=1,('Invoer gegevens'!$C$10*'Invoer gegevens'!$F$35)*Reeksen!J157,0)*2</f>
        <v>0</v>
      </c>
      <c r="AR157" s="71">
        <f ca="1">-IF(C157=1,(G157*'Invoer gegevens'!$F$36)*Reeksen!J157,0)</f>
        <v>0</v>
      </c>
      <c r="AS157" s="71">
        <f ca="1">-IF(C157=1,'Invoer gegevens'!$C$10*'Invoer gegevens'!$F$37*Reeksen!L157,0)</f>
        <v>0</v>
      </c>
      <c r="AT157" s="71">
        <f ca="1">-IF(C157=1,IF(E157='Invoer gegevens'!$C$17,'Invoer gegevens'!$C$11,Q157)*Reeksen!S157*'Invoer gegevens'!$C$18*Reeksen!P157,0)</f>
        <v>0</v>
      </c>
      <c r="AU157" s="71">
        <f ca="1">-IF(C157=1,'Invoer gegevens'!$C$10*'Invoer gegevens'!$F$38*Reeksen!H157,0)</f>
        <v>0</v>
      </c>
      <c r="AV157" s="71">
        <f t="shared" si="32"/>
        <v>0</v>
      </c>
      <c r="AW157" s="71">
        <f t="shared" ca="1" si="28"/>
        <v>0</v>
      </c>
      <c r="AX157" s="71">
        <f ca="1">IF(E157&lt;'Invoer gegevens'!$C$17+15,0,IF('RW - MW - DE - DE'!E157&gt;'Invoer gegevens'!$C$17+215,0,'RW - MW - DE - DE'!AW157))</f>
        <v>0</v>
      </c>
      <c r="AY157" s="71">
        <f ca="1">AX157/(1+'Invoer gegevens'!$F$13)^($AZ157-('Invoer gegevens'!$C$17-'Invoer gegevens'!$C$16))/(1+'Invoer gegevens'!$C$39)^('Invoer gegevens'!$C$17-'Invoer gegevens'!$C$16)</f>
        <v>0</v>
      </c>
      <c r="AZ157" s="68">
        <f ca="1">IF(E157-'Invoer gegevens'!$C$17-14.5&lt;0,0,E157-'Invoer gegevens'!$C$17-14.5)</f>
        <v>137.5</v>
      </c>
      <c r="BC157" s="71"/>
    </row>
    <row r="158" spans="2:55" customFormat="1" x14ac:dyDescent="0.25">
      <c r="B158" s="70">
        <f t="shared" si="29"/>
        <v>154</v>
      </c>
      <c r="C158" s="67">
        <f ca="1">IF(E158-'Invoer gegevens'!$C$17&lt;0,0,1)</f>
        <v>1</v>
      </c>
      <c r="D158" s="68">
        <f t="shared" si="30"/>
        <v>153.5</v>
      </c>
      <c r="E158" s="69">
        <f ca="1">IF('Invoer gegevens'!$C$16="","",E157+1)</f>
        <v>2172</v>
      </c>
      <c r="F158" s="82">
        <f ca="1">IF('Invoer gegevens'!$C$17=E158,'Invoer gegevens'!$C$10,IF(C158=1,H157,0))</f>
        <v>0</v>
      </c>
      <c r="G158" s="83">
        <f ca="1">IF(C158&gt;=1,F158*Reeksen!C158,0)</f>
        <v>0</v>
      </c>
      <c r="H158" s="84">
        <f t="shared" ca="1" si="23"/>
        <v>0</v>
      </c>
      <c r="I158" s="85">
        <f ca="1">IF('Invoer gegevens'!$C$17=E158,'Invoer gegevens'!$C$11,IF(C158=1,L157,0))</f>
        <v>0</v>
      </c>
      <c r="J158" s="86">
        <f ca="1">IF(C158&lt;1,0,IF(Reeksen!AD158&lt;=Reeksen!AE158,I158*Reeksen!C158,0))</f>
        <v>0</v>
      </c>
      <c r="K158" s="86">
        <f ca="1">IF(C158&lt;1,0,IF(Reeksen!AD158&gt;Reeksen!AE158,I158*Reeksen!C158,0))</f>
        <v>0</v>
      </c>
      <c r="L158" s="86">
        <f t="shared" ca="1" si="24"/>
        <v>0</v>
      </c>
      <c r="M158" s="85">
        <f ca="1">IF('Invoer gegevens'!$C$17=E158,'Invoer gegevens'!$C$10-'Invoer gegevens'!$C$11,IF(C158=1,P157,0))</f>
        <v>0</v>
      </c>
      <c r="N158" s="86">
        <f ca="1">IF(C158&lt;1,0,IF(Reeksen!AD158&lt;=Reeksen!AE158,M158*Reeksen!C158,0))</f>
        <v>0</v>
      </c>
      <c r="O158" s="86">
        <f ca="1">IF(C158&lt;1,0,IF(Reeksen!AD158&gt;Reeksen!AE158,M158*Reeksen!C158,0))</f>
        <v>0</v>
      </c>
      <c r="P158" s="86">
        <f t="shared" ca="1" si="25"/>
        <v>0</v>
      </c>
      <c r="Q158" s="82">
        <f ca="1">IF('Invoer gegevens'!$C$17=E158,I158,IF(C158=0,0,R157))</f>
        <v>0</v>
      </c>
      <c r="R158" s="84">
        <f t="shared" ca="1" si="22"/>
        <v>0</v>
      </c>
      <c r="S158" s="84">
        <f ca="1">IF('Invoer gegevens'!$C$17=E158,M158,IF(C158=0,0,T157))</f>
        <v>0</v>
      </c>
      <c r="T158" s="84">
        <f t="shared" ca="1" si="31"/>
        <v>0</v>
      </c>
      <c r="AI158" s="71">
        <f ca="1">IF(C158=1,((F158+H158)/2*Reeksen!AI158*12)+(('Invoer gegevens'!$C$10-(F158+H158)/2)*Reeksen!AD158*12),0)</f>
        <v>0</v>
      </c>
      <c r="AJ158" s="71">
        <f ca="1">-AI158*'Invoer gegevens'!$F$28</f>
        <v>0</v>
      </c>
      <c r="AK158" s="71">
        <f t="shared" ca="1" si="26"/>
        <v>0</v>
      </c>
      <c r="AL158" s="71">
        <f ca="1">IF(C158=1,(12*((F158+H158)/2)*Reeksen!AL158)+(12*('Invoer gegevens'!$C$10-(F158+H158)/2)*Reeksen!AM158),0)</f>
        <v>0</v>
      </c>
      <c r="AM158" s="71">
        <f ca="1">-AL158*'Invoer gegevens'!$F$31</f>
        <v>0</v>
      </c>
      <c r="AN158" s="71">
        <f t="shared" ca="1" si="27"/>
        <v>0</v>
      </c>
      <c r="AO158" s="71"/>
      <c r="AP158" s="71"/>
      <c r="AQ158" s="71">
        <f ca="1">-IF(C158=1,('Invoer gegevens'!$C$10*'Invoer gegevens'!$F$35)*Reeksen!J158,0)*2</f>
        <v>0</v>
      </c>
      <c r="AR158" s="71">
        <f ca="1">-IF(C158=1,(G158*'Invoer gegevens'!$F$36)*Reeksen!J158,0)</f>
        <v>0</v>
      </c>
      <c r="AS158" s="71">
        <f ca="1">-IF(C158=1,'Invoer gegevens'!$C$10*'Invoer gegevens'!$F$37*Reeksen!L158,0)</f>
        <v>0</v>
      </c>
      <c r="AT158" s="71">
        <f ca="1">-IF(C158=1,IF(E158='Invoer gegevens'!$C$17,'Invoer gegevens'!$C$11,Q158)*Reeksen!S158*'Invoer gegevens'!$C$18*Reeksen!P158,0)</f>
        <v>0</v>
      </c>
      <c r="AU158" s="71">
        <f ca="1">-IF(C158=1,'Invoer gegevens'!$C$10*'Invoer gegevens'!$F$38*Reeksen!H158,0)</f>
        <v>0</v>
      </c>
      <c r="AV158" s="71">
        <f t="shared" si="32"/>
        <v>0</v>
      </c>
      <c r="AW158" s="71">
        <f t="shared" ca="1" si="28"/>
        <v>0</v>
      </c>
      <c r="AX158" s="71">
        <f ca="1">IF(E158&lt;'Invoer gegevens'!$C$17+15,0,IF('RW - MW - DE - DE'!E158&gt;'Invoer gegevens'!$C$17+215,0,'RW - MW - DE - DE'!AW158))</f>
        <v>0</v>
      </c>
      <c r="AY158" s="71">
        <f ca="1">AX158/(1+'Invoer gegevens'!$F$13)^($AZ158-('Invoer gegevens'!$C$17-'Invoer gegevens'!$C$16))/(1+'Invoer gegevens'!$C$39)^('Invoer gegevens'!$C$17-'Invoer gegevens'!$C$16)</f>
        <v>0</v>
      </c>
      <c r="AZ158" s="68">
        <f ca="1">IF(E158-'Invoer gegevens'!$C$17-14.5&lt;0,0,E158-'Invoer gegevens'!$C$17-14.5)</f>
        <v>138.5</v>
      </c>
      <c r="BC158" s="71"/>
    </row>
    <row r="159" spans="2:55" customFormat="1" x14ac:dyDescent="0.25">
      <c r="B159" s="70">
        <f t="shared" si="29"/>
        <v>155</v>
      </c>
      <c r="C159" s="67">
        <f ca="1">IF(E159-'Invoer gegevens'!$C$17&lt;0,0,1)</f>
        <v>1</v>
      </c>
      <c r="D159" s="68">
        <f t="shared" si="30"/>
        <v>154.5</v>
      </c>
      <c r="E159" s="69">
        <f ca="1">IF('Invoer gegevens'!$C$16="","",E158+1)</f>
        <v>2173</v>
      </c>
      <c r="F159" s="82">
        <f ca="1">IF('Invoer gegevens'!$C$17=E159,'Invoer gegevens'!$C$10,IF(C159=1,H158,0))</f>
        <v>0</v>
      </c>
      <c r="G159" s="83">
        <f ca="1">IF(C159&gt;=1,F159*Reeksen!C159,0)</f>
        <v>0</v>
      </c>
      <c r="H159" s="84">
        <f t="shared" ca="1" si="23"/>
        <v>0</v>
      </c>
      <c r="I159" s="85">
        <f ca="1">IF('Invoer gegevens'!$C$17=E159,'Invoer gegevens'!$C$11,IF(C159=1,L158,0))</f>
        <v>0</v>
      </c>
      <c r="J159" s="86">
        <f ca="1">IF(C159&lt;1,0,IF(Reeksen!AD159&lt;=Reeksen!AE159,I159*Reeksen!C159,0))</f>
        <v>0</v>
      </c>
      <c r="K159" s="86">
        <f ca="1">IF(C159&lt;1,0,IF(Reeksen!AD159&gt;Reeksen!AE159,I159*Reeksen!C159,0))</f>
        <v>0</v>
      </c>
      <c r="L159" s="86">
        <f t="shared" ca="1" si="24"/>
        <v>0</v>
      </c>
      <c r="M159" s="85">
        <f ca="1">IF('Invoer gegevens'!$C$17=E159,'Invoer gegevens'!$C$10-'Invoer gegevens'!$C$11,IF(C159=1,P158,0))</f>
        <v>0</v>
      </c>
      <c r="N159" s="86">
        <f ca="1">IF(C159&lt;1,0,IF(Reeksen!AD159&lt;=Reeksen!AE159,M159*Reeksen!C159,0))</f>
        <v>0</v>
      </c>
      <c r="O159" s="86">
        <f ca="1">IF(C159&lt;1,0,IF(Reeksen!AD159&gt;Reeksen!AE159,M159*Reeksen!C159,0))</f>
        <v>0</v>
      </c>
      <c r="P159" s="86">
        <f t="shared" ca="1" si="25"/>
        <v>0</v>
      </c>
      <c r="Q159" s="82">
        <f ca="1">IF('Invoer gegevens'!$C$17=E159,I159,IF(C159=0,0,R158))</f>
        <v>0</v>
      </c>
      <c r="R159" s="84">
        <f t="shared" ca="1" si="22"/>
        <v>0</v>
      </c>
      <c r="S159" s="84">
        <f ca="1">IF('Invoer gegevens'!$C$17=E159,M159,IF(C159=0,0,T158))</f>
        <v>0</v>
      </c>
      <c r="T159" s="84">
        <f t="shared" ca="1" si="31"/>
        <v>0</v>
      </c>
      <c r="AI159" s="71">
        <f ca="1">IF(C159=1,((F159+H159)/2*Reeksen!AI159*12)+(('Invoer gegevens'!$C$10-(F159+H159)/2)*Reeksen!AD159*12),0)</f>
        <v>0</v>
      </c>
      <c r="AJ159" s="71">
        <f ca="1">-AI159*'Invoer gegevens'!$F$28</f>
        <v>0</v>
      </c>
      <c r="AK159" s="71">
        <f t="shared" ca="1" si="26"/>
        <v>0</v>
      </c>
      <c r="AL159" s="71">
        <f ca="1">IF(C159=1,(12*((F159+H159)/2)*Reeksen!AL159)+(12*('Invoer gegevens'!$C$10-(F159+H159)/2)*Reeksen!AM159),0)</f>
        <v>0</v>
      </c>
      <c r="AM159" s="71">
        <f ca="1">-AL159*'Invoer gegevens'!$F$31</f>
        <v>0</v>
      </c>
      <c r="AN159" s="71">
        <f t="shared" ca="1" si="27"/>
        <v>0</v>
      </c>
      <c r="AO159" s="71"/>
      <c r="AP159" s="71"/>
      <c r="AQ159" s="71">
        <f ca="1">-IF(C159=1,('Invoer gegevens'!$C$10*'Invoer gegevens'!$F$35)*Reeksen!J159,0)*2</f>
        <v>0</v>
      </c>
      <c r="AR159" s="71">
        <f ca="1">-IF(C159=1,(G159*'Invoer gegevens'!$F$36)*Reeksen!J159,0)</f>
        <v>0</v>
      </c>
      <c r="AS159" s="71">
        <f ca="1">-IF(C159=1,'Invoer gegevens'!$C$10*'Invoer gegevens'!$F$37*Reeksen!L159,0)</f>
        <v>0</v>
      </c>
      <c r="AT159" s="71">
        <f ca="1">-IF(C159=1,IF(E159='Invoer gegevens'!$C$17,'Invoer gegevens'!$C$11,Q159)*Reeksen!S159*'Invoer gegevens'!$C$18*Reeksen!P159,0)</f>
        <v>0</v>
      </c>
      <c r="AU159" s="71">
        <f ca="1">-IF(C159=1,'Invoer gegevens'!$C$10*'Invoer gegevens'!$F$38*Reeksen!H159,0)</f>
        <v>0</v>
      </c>
      <c r="AV159" s="71">
        <f t="shared" si="32"/>
        <v>0</v>
      </c>
      <c r="AW159" s="71">
        <f t="shared" ca="1" si="28"/>
        <v>0</v>
      </c>
      <c r="AX159" s="71">
        <f ca="1">IF(E159&lt;'Invoer gegevens'!$C$17+15,0,IF('RW - MW - DE - DE'!E159&gt;'Invoer gegevens'!$C$17+215,0,'RW - MW - DE - DE'!AW159))</f>
        <v>0</v>
      </c>
      <c r="AY159" s="71">
        <f ca="1">AX159/(1+'Invoer gegevens'!$F$13)^($AZ159-('Invoer gegevens'!$C$17-'Invoer gegevens'!$C$16))/(1+'Invoer gegevens'!$C$39)^('Invoer gegevens'!$C$17-'Invoer gegevens'!$C$16)</f>
        <v>0</v>
      </c>
      <c r="AZ159" s="68">
        <f ca="1">IF(E159-'Invoer gegevens'!$C$17-14.5&lt;0,0,E159-'Invoer gegevens'!$C$17-14.5)</f>
        <v>139.5</v>
      </c>
      <c r="BC159" s="71"/>
    </row>
    <row r="160" spans="2:55" customFormat="1" x14ac:dyDescent="0.25">
      <c r="B160" s="70">
        <f t="shared" si="29"/>
        <v>156</v>
      </c>
      <c r="C160" s="67">
        <f ca="1">IF(E160-'Invoer gegevens'!$C$17&lt;0,0,1)</f>
        <v>1</v>
      </c>
      <c r="D160" s="68">
        <f t="shared" si="30"/>
        <v>155.5</v>
      </c>
      <c r="E160" s="69">
        <f ca="1">IF('Invoer gegevens'!$C$16="","",E159+1)</f>
        <v>2174</v>
      </c>
      <c r="F160" s="82">
        <f ca="1">IF('Invoer gegevens'!$C$17=E160,'Invoer gegevens'!$C$10,IF(C160=1,H159,0))</f>
        <v>0</v>
      </c>
      <c r="G160" s="83">
        <f ca="1">IF(C160&gt;=1,F160*Reeksen!C160,0)</f>
        <v>0</v>
      </c>
      <c r="H160" s="84">
        <f t="shared" ca="1" si="23"/>
        <v>0</v>
      </c>
      <c r="I160" s="85">
        <f ca="1">IF('Invoer gegevens'!$C$17=E160,'Invoer gegevens'!$C$11,IF(C160=1,L159,0))</f>
        <v>0</v>
      </c>
      <c r="J160" s="86">
        <f ca="1">IF(C160&lt;1,0,IF(Reeksen!AD160&lt;=Reeksen!AE160,I160*Reeksen!C160,0))</f>
        <v>0</v>
      </c>
      <c r="K160" s="86">
        <f ca="1">IF(C160&lt;1,0,IF(Reeksen!AD160&gt;Reeksen!AE160,I160*Reeksen!C160,0))</f>
        <v>0</v>
      </c>
      <c r="L160" s="86">
        <f t="shared" ca="1" si="24"/>
        <v>0</v>
      </c>
      <c r="M160" s="85">
        <f ca="1">IF('Invoer gegevens'!$C$17=E160,'Invoer gegevens'!$C$10-'Invoer gegevens'!$C$11,IF(C160=1,P159,0))</f>
        <v>0</v>
      </c>
      <c r="N160" s="86">
        <f ca="1">IF(C160&lt;1,0,IF(Reeksen!AD160&lt;=Reeksen!AE160,M160*Reeksen!C160,0))</f>
        <v>0</v>
      </c>
      <c r="O160" s="86">
        <f ca="1">IF(C160&lt;1,0,IF(Reeksen!AD160&gt;Reeksen!AE160,M160*Reeksen!C160,0))</f>
        <v>0</v>
      </c>
      <c r="P160" s="86">
        <f t="shared" ca="1" si="25"/>
        <v>0</v>
      </c>
      <c r="Q160" s="82">
        <f ca="1">IF('Invoer gegevens'!$C$17=E160,I160,IF(C160=0,0,R159))</f>
        <v>0</v>
      </c>
      <c r="R160" s="84">
        <f t="shared" ca="1" si="22"/>
        <v>0</v>
      </c>
      <c r="S160" s="84">
        <f ca="1">IF('Invoer gegevens'!$C$17=E160,M160,IF(C160=0,0,T159))</f>
        <v>0</v>
      </c>
      <c r="T160" s="84">
        <f t="shared" ca="1" si="31"/>
        <v>0</v>
      </c>
      <c r="AI160" s="71">
        <f ca="1">IF(C160=1,((F160+H160)/2*Reeksen!AI160*12)+(('Invoer gegevens'!$C$10-(F160+H160)/2)*Reeksen!AD160*12),0)</f>
        <v>0</v>
      </c>
      <c r="AJ160" s="71">
        <f ca="1">-AI160*'Invoer gegevens'!$F$28</f>
        <v>0</v>
      </c>
      <c r="AK160" s="71">
        <f t="shared" ca="1" si="26"/>
        <v>0</v>
      </c>
      <c r="AL160" s="71">
        <f ca="1">IF(C160=1,(12*((F160+H160)/2)*Reeksen!AL160)+(12*('Invoer gegevens'!$C$10-(F160+H160)/2)*Reeksen!AM160),0)</f>
        <v>0</v>
      </c>
      <c r="AM160" s="71">
        <f ca="1">-AL160*'Invoer gegevens'!$F$31</f>
        <v>0</v>
      </c>
      <c r="AN160" s="71">
        <f t="shared" ca="1" si="27"/>
        <v>0</v>
      </c>
      <c r="AO160" s="71"/>
      <c r="AP160" s="71"/>
      <c r="AQ160" s="71">
        <f ca="1">-IF(C160=1,('Invoer gegevens'!$C$10*'Invoer gegevens'!$F$35)*Reeksen!J160,0)*2</f>
        <v>0</v>
      </c>
      <c r="AR160" s="71">
        <f ca="1">-IF(C160=1,(G160*'Invoer gegevens'!$F$36)*Reeksen!J160,0)</f>
        <v>0</v>
      </c>
      <c r="AS160" s="71">
        <f ca="1">-IF(C160=1,'Invoer gegevens'!$C$10*'Invoer gegevens'!$F$37*Reeksen!L160,0)</f>
        <v>0</v>
      </c>
      <c r="AT160" s="71">
        <f ca="1">-IF(C160=1,IF(E160='Invoer gegevens'!$C$17,'Invoer gegevens'!$C$11,Q160)*Reeksen!S160*'Invoer gegevens'!$C$18*Reeksen!P160,0)</f>
        <v>0</v>
      </c>
      <c r="AU160" s="71">
        <f ca="1">-IF(C160=1,'Invoer gegevens'!$C$10*'Invoer gegevens'!$F$38*Reeksen!H160,0)</f>
        <v>0</v>
      </c>
      <c r="AV160" s="71">
        <f t="shared" si="32"/>
        <v>0</v>
      </c>
      <c r="AW160" s="71">
        <f t="shared" ca="1" si="28"/>
        <v>0</v>
      </c>
      <c r="AX160" s="71">
        <f ca="1">IF(E160&lt;'Invoer gegevens'!$C$17+15,0,IF('RW - MW - DE - DE'!E160&gt;'Invoer gegevens'!$C$17+215,0,'RW - MW - DE - DE'!AW160))</f>
        <v>0</v>
      </c>
      <c r="AY160" s="71">
        <f ca="1">AX160/(1+'Invoer gegevens'!$F$13)^($AZ160-('Invoer gegevens'!$C$17-'Invoer gegevens'!$C$16))/(1+'Invoer gegevens'!$C$39)^('Invoer gegevens'!$C$17-'Invoer gegevens'!$C$16)</f>
        <v>0</v>
      </c>
      <c r="AZ160" s="68">
        <f ca="1">IF(E160-'Invoer gegevens'!$C$17-14.5&lt;0,0,E160-'Invoer gegevens'!$C$17-14.5)</f>
        <v>140.5</v>
      </c>
      <c r="BC160" s="71"/>
    </row>
    <row r="161" spans="2:55" customFormat="1" x14ac:dyDescent="0.25">
      <c r="B161" s="70">
        <f t="shared" si="29"/>
        <v>157</v>
      </c>
      <c r="C161" s="67">
        <f ca="1">IF(E161-'Invoer gegevens'!$C$17&lt;0,0,1)</f>
        <v>1</v>
      </c>
      <c r="D161" s="68">
        <f t="shared" si="30"/>
        <v>156.5</v>
      </c>
      <c r="E161" s="69">
        <f ca="1">IF('Invoer gegevens'!$C$16="","",E160+1)</f>
        <v>2175</v>
      </c>
      <c r="F161" s="82">
        <f ca="1">IF('Invoer gegevens'!$C$17=E161,'Invoer gegevens'!$C$10,IF(C161=1,H160,0))</f>
        <v>0</v>
      </c>
      <c r="G161" s="83">
        <f ca="1">IF(C161&gt;=1,F161*Reeksen!C161,0)</f>
        <v>0</v>
      </c>
      <c r="H161" s="84">
        <f t="shared" ca="1" si="23"/>
        <v>0</v>
      </c>
      <c r="I161" s="85">
        <f ca="1">IF('Invoer gegevens'!$C$17=E161,'Invoer gegevens'!$C$11,IF(C161=1,L160,0))</f>
        <v>0</v>
      </c>
      <c r="J161" s="86">
        <f ca="1">IF(C161&lt;1,0,IF(Reeksen!AD161&lt;=Reeksen!AE161,I161*Reeksen!C161,0))</f>
        <v>0</v>
      </c>
      <c r="K161" s="86">
        <f ca="1">IF(C161&lt;1,0,IF(Reeksen!AD161&gt;Reeksen!AE161,I161*Reeksen!C161,0))</f>
        <v>0</v>
      </c>
      <c r="L161" s="86">
        <f t="shared" ca="1" si="24"/>
        <v>0</v>
      </c>
      <c r="M161" s="85">
        <f ca="1">IF('Invoer gegevens'!$C$17=E161,'Invoer gegevens'!$C$10-'Invoer gegevens'!$C$11,IF(C161=1,P160,0))</f>
        <v>0</v>
      </c>
      <c r="N161" s="86">
        <f ca="1">IF(C161&lt;1,0,IF(Reeksen!AD161&lt;=Reeksen!AE161,M161*Reeksen!C161,0))</f>
        <v>0</v>
      </c>
      <c r="O161" s="86">
        <f ca="1">IF(C161&lt;1,0,IF(Reeksen!AD161&gt;Reeksen!AE161,M161*Reeksen!C161,0))</f>
        <v>0</v>
      </c>
      <c r="P161" s="86">
        <f t="shared" ca="1" si="25"/>
        <v>0</v>
      </c>
      <c r="Q161" s="82">
        <f ca="1">IF('Invoer gegevens'!$C$17=E161,I161,IF(C161=0,0,R160))</f>
        <v>0</v>
      </c>
      <c r="R161" s="84">
        <f t="shared" ca="1" si="22"/>
        <v>0</v>
      </c>
      <c r="S161" s="84">
        <f ca="1">IF('Invoer gegevens'!$C$17=E161,M161,IF(C161=0,0,T160))</f>
        <v>0</v>
      </c>
      <c r="T161" s="84">
        <f t="shared" ca="1" si="31"/>
        <v>0</v>
      </c>
      <c r="AI161" s="71">
        <f ca="1">IF(C161=1,((F161+H161)/2*Reeksen!AI161*12)+(('Invoer gegevens'!$C$10-(F161+H161)/2)*Reeksen!AD161*12),0)</f>
        <v>0</v>
      </c>
      <c r="AJ161" s="71">
        <f ca="1">-AI161*'Invoer gegevens'!$F$28</f>
        <v>0</v>
      </c>
      <c r="AK161" s="71">
        <f t="shared" ca="1" si="26"/>
        <v>0</v>
      </c>
      <c r="AL161" s="71">
        <f ca="1">IF(C161=1,(12*((F161+H161)/2)*Reeksen!AL161)+(12*('Invoer gegevens'!$C$10-(F161+H161)/2)*Reeksen!AM161),0)</f>
        <v>0</v>
      </c>
      <c r="AM161" s="71">
        <f ca="1">-AL161*'Invoer gegevens'!$F$31</f>
        <v>0</v>
      </c>
      <c r="AN161" s="71">
        <f t="shared" ca="1" si="27"/>
        <v>0</v>
      </c>
      <c r="AO161" s="71"/>
      <c r="AP161" s="71"/>
      <c r="AQ161" s="71">
        <f ca="1">-IF(C161=1,('Invoer gegevens'!$C$10*'Invoer gegevens'!$F$35)*Reeksen!J161,0)*2</f>
        <v>0</v>
      </c>
      <c r="AR161" s="71">
        <f ca="1">-IF(C161=1,(G161*'Invoer gegevens'!$F$36)*Reeksen!J161,0)</f>
        <v>0</v>
      </c>
      <c r="AS161" s="71">
        <f ca="1">-IF(C161=1,'Invoer gegevens'!$C$10*'Invoer gegevens'!$F$37*Reeksen!L161,0)</f>
        <v>0</v>
      </c>
      <c r="AT161" s="71">
        <f ca="1">-IF(C161=1,IF(E161='Invoer gegevens'!$C$17,'Invoer gegevens'!$C$11,Q161)*Reeksen!S161*'Invoer gegevens'!$C$18*Reeksen!P161,0)</f>
        <v>0</v>
      </c>
      <c r="AU161" s="71">
        <f ca="1">-IF(C161=1,'Invoer gegevens'!$C$10*'Invoer gegevens'!$F$38*Reeksen!H161,0)</f>
        <v>0</v>
      </c>
      <c r="AV161" s="71">
        <f t="shared" si="32"/>
        <v>0</v>
      </c>
      <c r="AW161" s="71">
        <f t="shared" ca="1" si="28"/>
        <v>0</v>
      </c>
      <c r="AX161" s="71">
        <f ca="1">IF(E161&lt;'Invoer gegevens'!$C$17+15,0,IF('RW - MW - DE - DE'!E161&gt;'Invoer gegevens'!$C$17+215,0,'RW - MW - DE - DE'!AW161))</f>
        <v>0</v>
      </c>
      <c r="AY161" s="71">
        <f ca="1">AX161/(1+'Invoer gegevens'!$F$13)^($AZ161-('Invoer gegevens'!$C$17-'Invoer gegevens'!$C$16))/(1+'Invoer gegevens'!$C$39)^('Invoer gegevens'!$C$17-'Invoer gegevens'!$C$16)</f>
        <v>0</v>
      </c>
      <c r="AZ161" s="68">
        <f ca="1">IF(E161-'Invoer gegevens'!$C$17-14.5&lt;0,0,E161-'Invoer gegevens'!$C$17-14.5)</f>
        <v>141.5</v>
      </c>
      <c r="BC161" s="71"/>
    </row>
    <row r="162" spans="2:55" customFormat="1" x14ac:dyDescent="0.25">
      <c r="B162" s="70">
        <f t="shared" si="29"/>
        <v>158</v>
      </c>
      <c r="C162" s="67">
        <f ca="1">IF(E162-'Invoer gegevens'!$C$17&lt;0,0,1)</f>
        <v>1</v>
      </c>
      <c r="D162" s="68">
        <f t="shared" si="30"/>
        <v>157.5</v>
      </c>
      <c r="E162" s="69">
        <f ca="1">IF('Invoer gegevens'!$C$16="","",E161+1)</f>
        <v>2176</v>
      </c>
      <c r="F162" s="82">
        <f ca="1">IF('Invoer gegevens'!$C$17=E162,'Invoer gegevens'!$C$10,IF(C162=1,H161,0))</f>
        <v>0</v>
      </c>
      <c r="G162" s="83">
        <f ca="1">IF(C162&gt;=1,F162*Reeksen!C162,0)</f>
        <v>0</v>
      </c>
      <c r="H162" s="84">
        <f t="shared" ca="1" si="23"/>
        <v>0</v>
      </c>
      <c r="I162" s="85">
        <f ca="1">IF('Invoer gegevens'!$C$17=E162,'Invoer gegevens'!$C$11,IF(C162=1,L161,0))</f>
        <v>0</v>
      </c>
      <c r="J162" s="86">
        <f ca="1">IF(C162&lt;1,0,IF(Reeksen!AD162&lt;=Reeksen!AE162,I162*Reeksen!C162,0))</f>
        <v>0</v>
      </c>
      <c r="K162" s="86">
        <f ca="1">IF(C162&lt;1,0,IF(Reeksen!AD162&gt;Reeksen!AE162,I162*Reeksen!C162,0))</f>
        <v>0</v>
      </c>
      <c r="L162" s="86">
        <f t="shared" ca="1" si="24"/>
        <v>0</v>
      </c>
      <c r="M162" s="85">
        <f ca="1">IF('Invoer gegevens'!$C$17=E162,'Invoer gegevens'!$C$10-'Invoer gegevens'!$C$11,IF(C162=1,P161,0))</f>
        <v>0</v>
      </c>
      <c r="N162" s="86">
        <f ca="1">IF(C162&lt;1,0,IF(Reeksen!AD162&lt;=Reeksen!AE162,M162*Reeksen!C162,0))</f>
        <v>0</v>
      </c>
      <c r="O162" s="86">
        <f ca="1">IF(C162&lt;1,0,IF(Reeksen!AD162&gt;Reeksen!AE162,M162*Reeksen!C162,0))</f>
        <v>0</v>
      </c>
      <c r="P162" s="86">
        <f t="shared" ca="1" si="25"/>
        <v>0</v>
      </c>
      <c r="Q162" s="82">
        <f ca="1">IF('Invoer gegevens'!$C$17=E162,I162,IF(C162=0,0,R161))</f>
        <v>0</v>
      </c>
      <c r="R162" s="84">
        <f t="shared" ca="1" si="22"/>
        <v>0</v>
      </c>
      <c r="S162" s="84">
        <f ca="1">IF('Invoer gegevens'!$C$17=E162,M162,IF(C162=0,0,T161))</f>
        <v>0</v>
      </c>
      <c r="T162" s="84">
        <f t="shared" ca="1" si="31"/>
        <v>0</v>
      </c>
      <c r="AI162" s="71">
        <f ca="1">IF(C162=1,((F162+H162)/2*Reeksen!AI162*12)+(('Invoer gegevens'!$C$10-(F162+H162)/2)*Reeksen!AD162*12),0)</f>
        <v>0</v>
      </c>
      <c r="AJ162" s="71">
        <f ca="1">-AI162*'Invoer gegevens'!$F$28</f>
        <v>0</v>
      </c>
      <c r="AK162" s="71">
        <f t="shared" ca="1" si="26"/>
        <v>0</v>
      </c>
      <c r="AL162" s="71">
        <f ca="1">IF(C162=1,(12*((F162+H162)/2)*Reeksen!AL162)+(12*('Invoer gegevens'!$C$10-(F162+H162)/2)*Reeksen!AM162),0)</f>
        <v>0</v>
      </c>
      <c r="AM162" s="71">
        <f ca="1">-AL162*'Invoer gegevens'!$F$31</f>
        <v>0</v>
      </c>
      <c r="AN162" s="71">
        <f t="shared" ca="1" si="27"/>
        <v>0</v>
      </c>
      <c r="AO162" s="71"/>
      <c r="AP162" s="71"/>
      <c r="AQ162" s="71">
        <f ca="1">-IF(C162=1,('Invoer gegevens'!$C$10*'Invoer gegevens'!$F$35)*Reeksen!J162,0)*2</f>
        <v>0</v>
      </c>
      <c r="AR162" s="71">
        <f ca="1">-IF(C162=1,(G162*'Invoer gegevens'!$F$36)*Reeksen!J162,0)</f>
        <v>0</v>
      </c>
      <c r="AS162" s="71">
        <f ca="1">-IF(C162=1,'Invoer gegevens'!$C$10*'Invoer gegevens'!$F$37*Reeksen!L162,0)</f>
        <v>0</v>
      </c>
      <c r="AT162" s="71">
        <f ca="1">-IF(C162=1,IF(E162='Invoer gegevens'!$C$17,'Invoer gegevens'!$C$11,Q162)*Reeksen!S162*'Invoer gegevens'!$C$18*Reeksen!P162,0)</f>
        <v>0</v>
      </c>
      <c r="AU162" s="71">
        <f ca="1">-IF(C162=1,'Invoer gegevens'!$C$10*'Invoer gegevens'!$F$38*Reeksen!H162,0)</f>
        <v>0</v>
      </c>
      <c r="AV162" s="71">
        <f t="shared" si="32"/>
        <v>0</v>
      </c>
      <c r="AW162" s="71">
        <f t="shared" ca="1" si="28"/>
        <v>0</v>
      </c>
      <c r="AX162" s="71">
        <f ca="1">IF(E162&lt;'Invoer gegevens'!$C$17+15,0,IF('RW - MW - DE - DE'!E162&gt;'Invoer gegevens'!$C$17+215,0,'RW - MW - DE - DE'!AW162))</f>
        <v>0</v>
      </c>
      <c r="AY162" s="71">
        <f ca="1">AX162/(1+'Invoer gegevens'!$F$13)^($AZ162-('Invoer gegevens'!$C$17-'Invoer gegevens'!$C$16))/(1+'Invoer gegevens'!$C$39)^('Invoer gegevens'!$C$17-'Invoer gegevens'!$C$16)</f>
        <v>0</v>
      </c>
      <c r="AZ162" s="68">
        <f ca="1">IF(E162-'Invoer gegevens'!$C$17-14.5&lt;0,0,E162-'Invoer gegevens'!$C$17-14.5)</f>
        <v>142.5</v>
      </c>
      <c r="BC162" s="71"/>
    </row>
    <row r="163" spans="2:55" customFormat="1" x14ac:dyDescent="0.25">
      <c r="B163" s="70">
        <f t="shared" si="29"/>
        <v>159</v>
      </c>
      <c r="C163" s="67">
        <f ca="1">IF(E163-'Invoer gegevens'!$C$17&lt;0,0,1)</f>
        <v>1</v>
      </c>
      <c r="D163" s="68">
        <f t="shared" si="30"/>
        <v>158.5</v>
      </c>
      <c r="E163" s="69">
        <f ca="1">IF('Invoer gegevens'!$C$16="","",E162+1)</f>
        <v>2177</v>
      </c>
      <c r="F163" s="82">
        <f ca="1">IF('Invoer gegevens'!$C$17=E163,'Invoer gegevens'!$C$10,IF(C163=1,H162,0))</f>
        <v>0</v>
      </c>
      <c r="G163" s="83">
        <f ca="1">IF(C163&gt;=1,F163*Reeksen!C163,0)</f>
        <v>0</v>
      </c>
      <c r="H163" s="84">
        <f t="shared" ca="1" si="23"/>
        <v>0</v>
      </c>
      <c r="I163" s="85">
        <f ca="1">IF('Invoer gegevens'!$C$17=E163,'Invoer gegevens'!$C$11,IF(C163=1,L162,0))</f>
        <v>0</v>
      </c>
      <c r="J163" s="86">
        <f ca="1">IF(C163&lt;1,0,IF(Reeksen!AD163&lt;=Reeksen!AE163,I163*Reeksen!C163,0))</f>
        <v>0</v>
      </c>
      <c r="K163" s="86">
        <f ca="1">IF(C163&lt;1,0,IF(Reeksen!AD163&gt;Reeksen!AE163,I163*Reeksen!C163,0))</f>
        <v>0</v>
      </c>
      <c r="L163" s="86">
        <f t="shared" ca="1" si="24"/>
        <v>0</v>
      </c>
      <c r="M163" s="85">
        <f ca="1">IF('Invoer gegevens'!$C$17=E163,'Invoer gegevens'!$C$10-'Invoer gegevens'!$C$11,IF(C163=1,P162,0))</f>
        <v>0</v>
      </c>
      <c r="N163" s="86">
        <f ca="1">IF(C163&lt;1,0,IF(Reeksen!AD163&lt;=Reeksen!AE163,M163*Reeksen!C163,0))</f>
        <v>0</v>
      </c>
      <c r="O163" s="86">
        <f ca="1">IF(C163&lt;1,0,IF(Reeksen!AD163&gt;Reeksen!AE163,M163*Reeksen!C163,0))</f>
        <v>0</v>
      </c>
      <c r="P163" s="86">
        <f t="shared" ca="1" si="25"/>
        <v>0</v>
      </c>
      <c r="Q163" s="82">
        <f ca="1">IF('Invoer gegevens'!$C$17=E163,I163,IF(C163=0,0,R162))</f>
        <v>0</v>
      </c>
      <c r="R163" s="84">
        <f t="shared" ca="1" si="22"/>
        <v>0</v>
      </c>
      <c r="S163" s="84">
        <f ca="1">IF('Invoer gegevens'!$C$17=E163,M163,IF(C163=0,0,T162))</f>
        <v>0</v>
      </c>
      <c r="T163" s="84">
        <f t="shared" ca="1" si="31"/>
        <v>0</v>
      </c>
      <c r="AI163" s="71">
        <f ca="1">IF(C163=1,((F163+H163)/2*Reeksen!AI163*12)+(('Invoer gegevens'!$C$10-(F163+H163)/2)*Reeksen!AD163*12),0)</f>
        <v>0</v>
      </c>
      <c r="AJ163" s="71">
        <f ca="1">-AI163*'Invoer gegevens'!$F$28</f>
        <v>0</v>
      </c>
      <c r="AK163" s="71">
        <f t="shared" ca="1" si="26"/>
        <v>0</v>
      </c>
      <c r="AL163" s="71">
        <f ca="1">IF(C163=1,(12*((F163+H163)/2)*Reeksen!AL163)+(12*('Invoer gegevens'!$C$10-(F163+H163)/2)*Reeksen!AM163),0)</f>
        <v>0</v>
      </c>
      <c r="AM163" s="71">
        <f ca="1">-AL163*'Invoer gegevens'!$F$31</f>
        <v>0</v>
      </c>
      <c r="AN163" s="71">
        <f t="shared" ca="1" si="27"/>
        <v>0</v>
      </c>
      <c r="AO163" s="71"/>
      <c r="AP163" s="71"/>
      <c r="AQ163" s="71">
        <f ca="1">-IF(C163=1,('Invoer gegevens'!$C$10*'Invoer gegevens'!$F$35)*Reeksen!J163,0)*2</f>
        <v>0</v>
      </c>
      <c r="AR163" s="71">
        <f ca="1">-IF(C163=1,(G163*'Invoer gegevens'!$F$36)*Reeksen!J163,0)</f>
        <v>0</v>
      </c>
      <c r="AS163" s="71">
        <f ca="1">-IF(C163=1,'Invoer gegevens'!$C$10*'Invoer gegevens'!$F$37*Reeksen!L163,0)</f>
        <v>0</v>
      </c>
      <c r="AT163" s="71">
        <f ca="1">-IF(C163=1,IF(E163='Invoer gegevens'!$C$17,'Invoer gegevens'!$C$11,Q163)*Reeksen!S163*'Invoer gegevens'!$C$18*Reeksen!P163,0)</f>
        <v>0</v>
      </c>
      <c r="AU163" s="71">
        <f ca="1">-IF(C163=1,'Invoer gegevens'!$C$10*'Invoer gegevens'!$F$38*Reeksen!H163,0)</f>
        <v>0</v>
      </c>
      <c r="AV163" s="71">
        <f t="shared" si="32"/>
        <v>0</v>
      </c>
      <c r="AW163" s="71">
        <f t="shared" ca="1" si="28"/>
        <v>0</v>
      </c>
      <c r="AX163" s="71">
        <f ca="1">IF(E163&lt;'Invoer gegevens'!$C$17+15,0,IF('RW - MW - DE - DE'!E163&gt;'Invoer gegevens'!$C$17+215,0,'RW - MW - DE - DE'!AW163))</f>
        <v>0</v>
      </c>
      <c r="AY163" s="71">
        <f ca="1">AX163/(1+'Invoer gegevens'!$F$13)^($AZ163-('Invoer gegevens'!$C$17-'Invoer gegevens'!$C$16))/(1+'Invoer gegevens'!$C$39)^('Invoer gegevens'!$C$17-'Invoer gegevens'!$C$16)</f>
        <v>0</v>
      </c>
      <c r="AZ163" s="68">
        <f ca="1">IF(E163-'Invoer gegevens'!$C$17-14.5&lt;0,0,E163-'Invoer gegevens'!$C$17-14.5)</f>
        <v>143.5</v>
      </c>
      <c r="BC163" s="71"/>
    </row>
    <row r="164" spans="2:55" customFormat="1" x14ac:dyDescent="0.25">
      <c r="B164" s="70">
        <f t="shared" si="29"/>
        <v>160</v>
      </c>
      <c r="C164" s="67">
        <f ca="1">IF(E164-'Invoer gegevens'!$C$17&lt;0,0,1)</f>
        <v>1</v>
      </c>
      <c r="D164" s="68">
        <f t="shared" si="30"/>
        <v>159.5</v>
      </c>
      <c r="E164" s="69">
        <f ca="1">IF('Invoer gegevens'!$C$16="","",E163+1)</f>
        <v>2178</v>
      </c>
      <c r="F164" s="82">
        <f ca="1">IF('Invoer gegevens'!$C$17=E164,'Invoer gegevens'!$C$10,IF(C164=1,H163,0))</f>
        <v>0</v>
      </c>
      <c r="G164" s="83">
        <f ca="1">IF(C164&gt;=1,F164*Reeksen!C164,0)</f>
        <v>0</v>
      </c>
      <c r="H164" s="84">
        <f t="shared" ca="1" si="23"/>
        <v>0</v>
      </c>
      <c r="I164" s="85">
        <f ca="1">IF('Invoer gegevens'!$C$17=E164,'Invoer gegevens'!$C$11,IF(C164=1,L163,0))</f>
        <v>0</v>
      </c>
      <c r="J164" s="86">
        <f ca="1">IF(C164&lt;1,0,IF(Reeksen!AD164&lt;=Reeksen!AE164,I164*Reeksen!C164,0))</f>
        <v>0</v>
      </c>
      <c r="K164" s="86">
        <f ca="1">IF(C164&lt;1,0,IF(Reeksen!AD164&gt;Reeksen!AE164,I164*Reeksen!C164,0))</f>
        <v>0</v>
      </c>
      <c r="L164" s="86">
        <f t="shared" ca="1" si="24"/>
        <v>0</v>
      </c>
      <c r="M164" s="85">
        <f ca="1">IF('Invoer gegevens'!$C$17=E164,'Invoer gegevens'!$C$10-'Invoer gegevens'!$C$11,IF(C164=1,P163,0))</f>
        <v>0</v>
      </c>
      <c r="N164" s="86">
        <f ca="1">IF(C164&lt;1,0,IF(Reeksen!AD164&lt;=Reeksen!AE164,M164*Reeksen!C164,0))</f>
        <v>0</v>
      </c>
      <c r="O164" s="86">
        <f ca="1">IF(C164&lt;1,0,IF(Reeksen!AD164&gt;Reeksen!AE164,M164*Reeksen!C164,0))</f>
        <v>0</v>
      </c>
      <c r="P164" s="86">
        <f t="shared" ca="1" si="25"/>
        <v>0</v>
      </c>
      <c r="Q164" s="82">
        <f ca="1">IF('Invoer gegevens'!$C$17=E164,I164,IF(C164=0,0,R163))</f>
        <v>0</v>
      </c>
      <c r="R164" s="84">
        <f t="shared" ca="1" si="22"/>
        <v>0</v>
      </c>
      <c r="S164" s="84">
        <f ca="1">IF('Invoer gegevens'!$C$17=E164,M164,IF(C164=0,0,T163))</f>
        <v>0</v>
      </c>
      <c r="T164" s="84">
        <f t="shared" ca="1" si="31"/>
        <v>0</v>
      </c>
      <c r="AI164" s="71">
        <f ca="1">IF(C164=1,((F164+H164)/2*Reeksen!AI164*12)+(('Invoer gegevens'!$C$10-(F164+H164)/2)*Reeksen!AD164*12),0)</f>
        <v>0</v>
      </c>
      <c r="AJ164" s="71">
        <f ca="1">-AI164*'Invoer gegevens'!$F$28</f>
        <v>0</v>
      </c>
      <c r="AK164" s="71">
        <f t="shared" ca="1" si="26"/>
        <v>0</v>
      </c>
      <c r="AL164" s="71">
        <f ca="1">IF(C164=1,(12*((F164+H164)/2)*Reeksen!AL164)+(12*('Invoer gegevens'!$C$10-(F164+H164)/2)*Reeksen!AM164),0)</f>
        <v>0</v>
      </c>
      <c r="AM164" s="71">
        <f ca="1">-AL164*'Invoer gegevens'!$F$31</f>
        <v>0</v>
      </c>
      <c r="AN164" s="71">
        <f t="shared" ca="1" si="27"/>
        <v>0</v>
      </c>
      <c r="AO164" s="71"/>
      <c r="AP164" s="71"/>
      <c r="AQ164" s="71">
        <f ca="1">-IF(C164=1,('Invoer gegevens'!$C$10*'Invoer gegevens'!$F$35)*Reeksen!J164,0)*2</f>
        <v>0</v>
      </c>
      <c r="AR164" s="71">
        <f ca="1">-IF(C164=1,(G164*'Invoer gegevens'!$F$36)*Reeksen!J164,0)</f>
        <v>0</v>
      </c>
      <c r="AS164" s="71">
        <f ca="1">-IF(C164=1,'Invoer gegevens'!$C$10*'Invoer gegevens'!$F$37*Reeksen!L164,0)</f>
        <v>0</v>
      </c>
      <c r="AT164" s="71">
        <f ca="1">-IF(C164=1,IF(E164='Invoer gegevens'!$C$17,'Invoer gegevens'!$C$11,Q164)*Reeksen!S164*'Invoer gegevens'!$C$18*Reeksen!P164,0)</f>
        <v>0</v>
      </c>
      <c r="AU164" s="71">
        <f ca="1">-IF(C164=1,'Invoer gegevens'!$C$10*'Invoer gegevens'!$F$38*Reeksen!H164,0)</f>
        <v>0</v>
      </c>
      <c r="AV164" s="71">
        <f t="shared" si="32"/>
        <v>0</v>
      </c>
      <c r="AW164" s="71">
        <f t="shared" ca="1" si="28"/>
        <v>0</v>
      </c>
      <c r="AX164" s="71">
        <f ca="1">IF(E164&lt;'Invoer gegevens'!$C$17+15,0,IF('RW - MW - DE - DE'!E164&gt;'Invoer gegevens'!$C$17+215,0,'RW - MW - DE - DE'!AW164))</f>
        <v>0</v>
      </c>
      <c r="AY164" s="71">
        <f ca="1">AX164/(1+'Invoer gegevens'!$F$13)^($AZ164-('Invoer gegevens'!$C$17-'Invoer gegevens'!$C$16))/(1+'Invoer gegevens'!$C$39)^('Invoer gegevens'!$C$17-'Invoer gegevens'!$C$16)</f>
        <v>0</v>
      </c>
      <c r="AZ164" s="68">
        <f ca="1">IF(E164-'Invoer gegevens'!$C$17-14.5&lt;0,0,E164-'Invoer gegevens'!$C$17-14.5)</f>
        <v>144.5</v>
      </c>
      <c r="BC164" s="71"/>
    </row>
    <row r="165" spans="2:55" customFormat="1" x14ac:dyDescent="0.25">
      <c r="B165" s="70">
        <f t="shared" si="29"/>
        <v>161</v>
      </c>
      <c r="C165" s="67">
        <f ca="1">IF(E165-'Invoer gegevens'!$C$17&lt;0,0,1)</f>
        <v>1</v>
      </c>
      <c r="D165" s="68">
        <f t="shared" si="30"/>
        <v>160.5</v>
      </c>
      <c r="E165" s="69">
        <f ca="1">IF('Invoer gegevens'!$C$16="","",E164+1)</f>
        <v>2179</v>
      </c>
      <c r="F165" s="82">
        <f ca="1">IF('Invoer gegevens'!$C$17=E165,'Invoer gegevens'!$C$10,IF(C165=1,H164,0))</f>
        <v>0</v>
      </c>
      <c r="G165" s="83">
        <f ca="1">IF(C165&gt;=1,F165*Reeksen!C165,0)</f>
        <v>0</v>
      </c>
      <c r="H165" s="84">
        <f t="shared" ca="1" si="23"/>
        <v>0</v>
      </c>
      <c r="I165" s="85">
        <f ca="1">IF('Invoer gegevens'!$C$17=E165,'Invoer gegevens'!$C$11,IF(C165=1,L164,0))</f>
        <v>0</v>
      </c>
      <c r="J165" s="86">
        <f ca="1">IF(C165&lt;1,0,IF(Reeksen!AD165&lt;=Reeksen!AE165,I165*Reeksen!C165,0))</f>
        <v>0</v>
      </c>
      <c r="K165" s="86">
        <f ca="1">IF(C165&lt;1,0,IF(Reeksen!AD165&gt;Reeksen!AE165,I165*Reeksen!C165,0))</f>
        <v>0</v>
      </c>
      <c r="L165" s="86">
        <f t="shared" ca="1" si="24"/>
        <v>0</v>
      </c>
      <c r="M165" s="85">
        <f ca="1">IF('Invoer gegevens'!$C$17=E165,'Invoer gegevens'!$C$10-'Invoer gegevens'!$C$11,IF(C165=1,P164,0))</f>
        <v>0</v>
      </c>
      <c r="N165" s="86">
        <f ca="1">IF(C165&lt;1,0,IF(Reeksen!AD165&lt;=Reeksen!AE165,M165*Reeksen!C165,0))</f>
        <v>0</v>
      </c>
      <c r="O165" s="86">
        <f ca="1">IF(C165&lt;1,0,IF(Reeksen!AD165&gt;Reeksen!AE165,M165*Reeksen!C165,0))</f>
        <v>0</v>
      </c>
      <c r="P165" s="86">
        <f t="shared" ca="1" si="25"/>
        <v>0</v>
      </c>
      <c r="Q165" s="82">
        <f ca="1">IF('Invoer gegevens'!$C$17=E165,I165,IF(C165=0,0,R164))</f>
        <v>0</v>
      </c>
      <c r="R165" s="84">
        <f t="shared" ca="1" si="22"/>
        <v>0</v>
      </c>
      <c r="S165" s="84">
        <f ca="1">IF('Invoer gegevens'!$C$17=E165,M165,IF(C165=0,0,T164))</f>
        <v>0</v>
      </c>
      <c r="T165" s="84">
        <f t="shared" ca="1" si="31"/>
        <v>0</v>
      </c>
      <c r="AI165" s="71">
        <f ca="1">IF(C165=1,((F165+H165)/2*Reeksen!AI165*12)+(('Invoer gegevens'!$C$10-(F165+H165)/2)*Reeksen!AD165*12),0)</f>
        <v>0</v>
      </c>
      <c r="AJ165" s="71">
        <f ca="1">-AI165*'Invoer gegevens'!$F$28</f>
        <v>0</v>
      </c>
      <c r="AK165" s="71">
        <f t="shared" ca="1" si="26"/>
        <v>0</v>
      </c>
      <c r="AL165" s="71">
        <f ca="1">IF(C165=1,(12*((F165+H165)/2)*Reeksen!AL165)+(12*('Invoer gegevens'!$C$10-(F165+H165)/2)*Reeksen!AM165),0)</f>
        <v>0</v>
      </c>
      <c r="AM165" s="71">
        <f ca="1">-AL165*'Invoer gegevens'!$F$31</f>
        <v>0</v>
      </c>
      <c r="AN165" s="71">
        <f t="shared" ca="1" si="27"/>
        <v>0</v>
      </c>
      <c r="AO165" s="71"/>
      <c r="AP165" s="71"/>
      <c r="AQ165" s="71">
        <f ca="1">-IF(C165=1,('Invoer gegevens'!$C$10*'Invoer gegevens'!$F$35)*Reeksen!J165,0)*2</f>
        <v>0</v>
      </c>
      <c r="AR165" s="71">
        <f ca="1">-IF(C165=1,(G165*'Invoer gegevens'!$F$36)*Reeksen!J165,0)</f>
        <v>0</v>
      </c>
      <c r="AS165" s="71">
        <f ca="1">-IF(C165=1,'Invoer gegevens'!$C$10*'Invoer gegevens'!$F$37*Reeksen!L165,0)</f>
        <v>0</v>
      </c>
      <c r="AT165" s="71">
        <f ca="1">-IF(C165=1,IF(E165='Invoer gegevens'!$C$17,'Invoer gegevens'!$C$11,Q165)*Reeksen!S165*'Invoer gegevens'!$C$18*Reeksen!P165,0)</f>
        <v>0</v>
      </c>
      <c r="AU165" s="71">
        <f ca="1">-IF(C165=1,'Invoer gegevens'!$C$10*'Invoer gegevens'!$F$38*Reeksen!H165,0)</f>
        <v>0</v>
      </c>
      <c r="AV165" s="71">
        <f t="shared" si="32"/>
        <v>0</v>
      </c>
      <c r="AW165" s="71">
        <f t="shared" ca="1" si="28"/>
        <v>0</v>
      </c>
      <c r="AX165" s="71">
        <f ca="1">IF(E165&lt;'Invoer gegevens'!$C$17+15,0,IF('RW - MW - DE - DE'!E165&gt;'Invoer gegevens'!$C$17+215,0,'RW - MW - DE - DE'!AW165))</f>
        <v>0</v>
      </c>
      <c r="AY165" s="71">
        <f ca="1">AX165/(1+'Invoer gegevens'!$F$13)^($AZ165-('Invoer gegevens'!$C$17-'Invoer gegevens'!$C$16))/(1+'Invoer gegevens'!$C$39)^('Invoer gegevens'!$C$17-'Invoer gegevens'!$C$16)</f>
        <v>0</v>
      </c>
      <c r="AZ165" s="68">
        <f ca="1">IF(E165-'Invoer gegevens'!$C$17-14.5&lt;0,0,E165-'Invoer gegevens'!$C$17-14.5)</f>
        <v>145.5</v>
      </c>
      <c r="BC165" s="71"/>
    </row>
    <row r="166" spans="2:55" customFormat="1" x14ac:dyDescent="0.25">
      <c r="B166" s="70">
        <f t="shared" si="29"/>
        <v>162</v>
      </c>
      <c r="C166" s="67">
        <f ca="1">IF(E166-'Invoer gegevens'!$C$17&lt;0,0,1)</f>
        <v>1</v>
      </c>
      <c r="D166" s="68">
        <f t="shared" si="30"/>
        <v>161.5</v>
      </c>
      <c r="E166" s="69">
        <f ca="1">IF('Invoer gegevens'!$C$16="","",E165+1)</f>
        <v>2180</v>
      </c>
      <c r="F166" s="82">
        <f ca="1">IF('Invoer gegevens'!$C$17=E166,'Invoer gegevens'!$C$10,IF(C166=1,H165,0))</f>
        <v>0</v>
      </c>
      <c r="G166" s="83">
        <f ca="1">IF(C166&gt;=1,F166*Reeksen!C166,0)</f>
        <v>0</v>
      </c>
      <c r="H166" s="84">
        <f t="shared" ca="1" si="23"/>
        <v>0</v>
      </c>
      <c r="I166" s="85">
        <f ca="1">IF('Invoer gegevens'!$C$17=E166,'Invoer gegevens'!$C$11,IF(C166=1,L165,0))</f>
        <v>0</v>
      </c>
      <c r="J166" s="86">
        <f ca="1">IF(C166&lt;1,0,IF(Reeksen!AD166&lt;=Reeksen!AE166,I166*Reeksen!C166,0))</f>
        <v>0</v>
      </c>
      <c r="K166" s="86">
        <f ca="1">IF(C166&lt;1,0,IF(Reeksen!AD166&gt;Reeksen!AE166,I166*Reeksen!C166,0))</f>
        <v>0</v>
      </c>
      <c r="L166" s="86">
        <f t="shared" ca="1" si="24"/>
        <v>0</v>
      </c>
      <c r="M166" s="85">
        <f ca="1">IF('Invoer gegevens'!$C$17=E166,'Invoer gegevens'!$C$10-'Invoer gegevens'!$C$11,IF(C166=1,P165,0))</f>
        <v>0</v>
      </c>
      <c r="N166" s="86">
        <f ca="1">IF(C166&lt;1,0,IF(Reeksen!AD166&lt;=Reeksen!AE166,M166*Reeksen!C166,0))</f>
        <v>0</v>
      </c>
      <c r="O166" s="86">
        <f ca="1">IF(C166&lt;1,0,IF(Reeksen!AD166&gt;Reeksen!AE166,M166*Reeksen!C166,0))</f>
        <v>0</v>
      </c>
      <c r="P166" s="86">
        <f t="shared" ca="1" si="25"/>
        <v>0</v>
      </c>
      <c r="Q166" s="82">
        <f ca="1">IF('Invoer gegevens'!$C$17=E166,I166,IF(C166=0,0,R165))</f>
        <v>0</v>
      </c>
      <c r="R166" s="84">
        <f t="shared" ca="1" si="22"/>
        <v>0</v>
      </c>
      <c r="S166" s="84">
        <f ca="1">IF('Invoer gegevens'!$C$17=E166,M166,IF(C166=0,0,T165))</f>
        <v>0</v>
      </c>
      <c r="T166" s="84">
        <f t="shared" ca="1" si="31"/>
        <v>0</v>
      </c>
      <c r="AI166" s="71">
        <f ca="1">IF(C166=1,((F166+H166)/2*Reeksen!AI166*12)+(('Invoer gegevens'!$C$10-(F166+H166)/2)*Reeksen!AD166*12),0)</f>
        <v>0</v>
      </c>
      <c r="AJ166" s="71">
        <f ca="1">-AI166*'Invoer gegevens'!$F$28</f>
        <v>0</v>
      </c>
      <c r="AK166" s="71">
        <f t="shared" ca="1" si="26"/>
        <v>0</v>
      </c>
      <c r="AL166" s="71">
        <f ca="1">IF(C166=1,(12*((F166+H166)/2)*Reeksen!AL166)+(12*('Invoer gegevens'!$C$10-(F166+H166)/2)*Reeksen!AM166),0)</f>
        <v>0</v>
      </c>
      <c r="AM166" s="71">
        <f ca="1">-AL166*'Invoer gegevens'!$F$31</f>
        <v>0</v>
      </c>
      <c r="AN166" s="71">
        <f t="shared" ca="1" si="27"/>
        <v>0</v>
      </c>
      <c r="AO166" s="71"/>
      <c r="AP166" s="71"/>
      <c r="AQ166" s="71">
        <f ca="1">-IF(C166=1,('Invoer gegevens'!$C$10*'Invoer gegevens'!$F$35)*Reeksen!J166,0)*2</f>
        <v>0</v>
      </c>
      <c r="AR166" s="71">
        <f ca="1">-IF(C166=1,(G166*'Invoer gegevens'!$F$36)*Reeksen!J166,0)</f>
        <v>0</v>
      </c>
      <c r="AS166" s="71">
        <f ca="1">-IF(C166=1,'Invoer gegevens'!$C$10*'Invoer gegevens'!$F$37*Reeksen!L166,0)</f>
        <v>0</v>
      </c>
      <c r="AT166" s="71">
        <f ca="1">-IF(C166=1,IF(E166='Invoer gegevens'!$C$17,'Invoer gegevens'!$C$11,Q166)*Reeksen!S166*'Invoer gegevens'!$C$18*Reeksen!P166,0)</f>
        <v>0</v>
      </c>
      <c r="AU166" s="71">
        <f ca="1">-IF(C166=1,'Invoer gegevens'!$C$10*'Invoer gegevens'!$F$38*Reeksen!H166,0)</f>
        <v>0</v>
      </c>
      <c r="AV166" s="71">
        <f t="shared" si="32"/>
        <v>0</v>
      </c>
      <c r="AW166" s="71">
        <f t="shared" ca="1" si="28"/>
        <v>0</v>
      </c>
      <c r="AX166" s="71">
        <f ca="1">IF(E166&lt;'Invoer gegevens'!$C$17+15,0,IF('RW - MW - DE - DE'!E166&gt;'Invoer gegevens'!$C$17+215,0,'RW - MW - DE - DE'!AW166))</f>
        <v>0</v>
      </c>
      <c r="AY166" s="71">
        <f ca="1">AX166/(1+'Invoer gegevens'!$F$13)^($AZ166-('Invoer gegevens'!$C$17-'Invoer gegevens'!$C$16))/(1+'Invoer gegevens'!$C$39)^('Invoer gegevens'!$C$17-'Invoer gegevens'!$C$16)</f>
        <v>0</v>
      </c>
      <c r="AZ166" s="68">
        <f ca="1">IF(E166-'Invoer gegevens'!$C$17-14.5&lt;0,0,E166-'Invoer gegevens'!$C$17-14.5)</f>
        <v>146.5</v>
      </c>
      <c r="BC166" s="71"/>
    </row>
    <row r="167" spans="2:55" customFormat="1" x14ac:dyDescent="0.25">
      <c r="B167" s="70">
        <f t="shared" si="29"/>
        <v>163</v>
      </c>
      <c r="C167" s="67">
        <f ca="1">IF(E167-'Invoer gegevens'!$C$17&lt;0,0,1)</f>
        <v>1</v>
      </c>
      <c r="D167" s="68">
        <f t="shared" si="30"/>
        <v>162.5</v>
      </c>
      <c r="E167" s="69">
        <f ca="1">IF('Invoer gegevens'!$C$16="","",E166+1)</f>
        <v>2181</v>
      </c>
      <c r="F167" s="82">
        <f ca="1">IF('Invoer gegevens'!$C$17=E167,'Invoer gegevens'!$C$10,IF(C167=1,H166,0))</f>
        <v>0</v>
      </c>
      <c r="G167" s="83">
        <f ca="1">IF(C167&gt;=1,F167*Reeksen!C167,0)</f>
        <v>0</v>
      </c>
      <c r="H167" s="84">
        <f t="shared" ca="1" si="23"/>
        <v>0</v>
      </c>
      <c r="I167" s="85">
        <f ca="1">IF('Invoer gegevens'!$C$17=E167,'Invoer gegevens'!$C$11,IF(C167=1,L166,0))</f>
        <v>0</v>
      </c>
      <c r="J167" s="86">
        <f ca="1">IF(C167&lt;1,0,IF(Reeksen!AD167&lt;=Reeksen!AE167,I167*Reeksen!C167,0))</f>
        <v>0</v>
      </c>
      <c r="K167" s="86">
        <f ca="1">IF(C167&lt;1,0,IF(Reeksen!AD167&gt;Reeksen!AE167,I167*Reeksen!C167,0))</f>
        <v>0</v>
      </c>
      <c r="L167" s="86">
        <f t="shared" ca="1" si="24"/>
        <v>0</v>
      </c>
      <c r="M167" s="85">
        <f ca="1">IF('Invoer gegevens'!$C$17=E167,'Invoer gegevens'!$C$10-'Invoer gegevens'!$C$11,IF(C167=1,P166,0))</f>
        <v>0</v>
      </c>
      <c r="N167" s="86">
        <f ca="1">IF(C167&lt;1,0,IF(Reeksen!AD167&lt;=Reeksen!AE167,M167*Reeksen!C167,0))</f>
        <v>0</v>
      </c>
      <c r="O167" s="86">
        <f ca="1">IF(C167&lt;1,0,IF(Reeksen!AD167&gt;Reeksen!AE167,M167*Reeksen!C167,0))</f>
        <v>0</v>
      </c>
      <c r="P167" s="86">
        <f t="shared" ca="1" si="25"/>
        <v>0</v>
      </c>
      <c r="Q167" s="82">
        <f ca="1">IF('Invoer gegevens'!$C$17=E167,I167,IF(C167=0,0,R166))</f>
        <v>0</v>
      </c>
      <c r="R167" s="84">
        <f t="shared" ca="1" si="22"/>
        <v>0</v>
      </c>
      <c r="S167" s="84">
        <f ca="1">IF('Invoer gegevens'!$C$17=E167,M167,IF(C167=0,0,T166))</f>
        <v>0</v>
      </c>
      <c r="T167" s="84">
        <f t="shared" ca="1" si="31"/>
        <v>0</v>
      </c>
      <c r="AI167" s="71">
        <f ca="1">IF(C167=1,((F167+H167)/2*Reeksen!AI167*12)+(('Invoer gegevens'!$C$10-(F167+H167)/2)*Reeksen!AD167*12),0)</f>
        <v>0</v>
      </c>
      <c r="AJ167" s="71">
        <f ca="1">-AI167*'Invoer gegevens'!$F$28</f>
        <v>0</v>
      </c>
      <c r="AK167" s="71">
        <f t="shared" ca="1" si="26"/>
        <v>0</v>
      </c>
      <c r="AL167" s="71">
        <f ca="1">IF(C167=1,(12*((F167+H167)/2)*Reeksen!AL167)+(12*('Invoer gegevens'!$C$10-(F167+H167)/2)*Reeksen!AM167),0)</f>
        <v>0</v>
      </c>
      <c r="AM167" s="71">
        <f ca="1">-AL167*'Invoer gegevens'!$F$31</f>
        <v>0</v>
      </c>
      <c r="AN167" s="71">
        <f t="shared" ca="1" si="27"/>
        <v>0</v>
      </c>
      <c r="AO167" s="71"/>
      <c r="AP167" s="71"/>
      <c r="AQ167" s="71">
        <f ca="1">-IF(C167=1,('Invoer gegevens'!$C$10*'Invoer gegevens'!$F$35)*Reeksen!J167,0)*2</f>
        <v>0</v>
      </c>
      <c r="AR167" s="71">
        <f ca="1">-IF(C167=1,(G167*'Invoer gegevens'!$F$36)*Reeksen!J167,0)</f>
        <v>0</v>
      </c>
      <c r="AS167" s="71">
        <f ca="1">-IF(C167=1,'Invoer gegevens'!$C$10*'Invoer gegevens'!$F$37*Reeksen!L167,0)</f>
        <v>0</v>
      </c>
      <c r="AT167" s="71">
        <f ca="1">-IF(C167=1,IF(E167='Invoer gegevens'!$C$17,'Invoer gegevens'!$C$11,Q167)*Reeksen!S167*'Invoer gegevens'!$C$18*Reeksen!P167,0)</f>
        <v>0</v>
      </c>
      <c r="AU167" s="71">
        <f ca="1">-IF(C167=1,'Invoer gegevens'!$C$10*'Invoer gegevens'!$F$38*Reeksen!H167,0)</f>
        <v>0</v>
      </c>
      <c r="AV167" s="71">
        <f t="shared" si="32"/>
        <v>0</v>
      </c>
      <c r="AW167" s="71">
        <f t="shared" ca="1" si="28"/>
        <v>0</v>
      </c>
      <c r="AX167" s="71">
        <f ca="1">IF(E167&lt;'Invoer gegevens'!$C$17+15,0,IF('RW - MW - DE - DE'!E167&gt;'Invoer gegevens'!$C$17+215,0,'RW - MW - DE - DE'!AW167))</f>
        <v>0</v>
      </c>
      <c r="AY167" s="71">
        <f ca="1">AX167/(1+'Invoer gegevens'!$F$13)^($AZ167-('Invoer gegevens'!$C$17-'Invoer gegevens'!$C$16))/(1+'Invoer gegevens'!$C$39)^('Invoer gegevens'!$C$17-'Invoer gegevens'!$C$16)</f>
        <v>0</v>
      </c>
      <c r="AZ167" s="68">
        <f ca="1">IF(E167-'Invoer gegevens'!$C$17-14.5&lt;0,0,E167-'Invoer gegevens'!$C$17-14.5)</f>
        <v>147.5</v>
      </c>
      <c r="BC167" s="71"/>
    </row>
    <row r="168" spans="2:55" customFormat="1" x14ac:dyDescent="0.25">
      <c r="B168" s="70">
        <f t="shared" si="29"/>
        <v>164</v>
      </c>
      <c r="C168" s="67">
        <f ca="1">IF(E168-'Invoer gegevens'!$C$17&lt;0,0,1)</f>
        <v>1</v>
      </c>
      <c r="D168" s="68">
        <f t="shared" si="30"/>
        <v>163.5</v>
      </c>
      <c r="E168" s="69">
        <f ca="1">IF('Invoer gegevens'!$C$16="","",E167+1)</f>
        <v>2182</v>
      </c>
      <c r="F168" s="82">
        <f ca="1">IF('Invoer gegevens'!$C$17=E168,'Invoer gegevens'!$C$10,IF(C168=1,H167,0))</f>
        <v>0</v>
      </c>
      <c r="G168" s="83">
        <f ca="1">IF(C168&gt;=1,F168*Reeksen!C168,0)</f>
        <v>0</v>
      </c>
      <c r="H168" s="84">
        <f t="shared" ca="1" si="23"/>
        <v>0</v>
      </c>
      <c r="I168" s="85">
        <f ca="1">IF('Invoer gegevens'!$C$17=E168,'Invoer gegevens'!$C$11,IF(C168=1,L167,0))</f>
        <v>0</v>
      </c>
      <c r="J168" s="86">
        <f ca="1">IF(C168&lt;1,0,IF(Reeksen!AD168&lt;=Reeksen!AE168,I168*Reeksen!C168,0))</f>
        <v>0</v>
      </c>
      <c r="K168" s="86">
        <f ca="1">IF(C168&lt;1,0,IF(Reeksen!AD168&gt;Reeksen!AE168,I168*Reeksen!C168,0))</f>
        <v>0</v>
      </c>
      <c r="L168" s="86">
        <f t="shared" ca="1" si="24"/>
        <v>0</v>
      </c>
      <c r="M168" s="85">
        <f ca="1">IF('Invoer gegevens'!$C$17=E168,'Invoer gegevens'!$C$10-'Invoer gegevens'!$C$11,IF(C168=1,P167,0))</f>
        <v>0</v>
      </c>
      <c r="N168" s="86">
        <f ca="1">IF(C168&lt;1,0,IF(Reeksen!AD168&lt;=Reeksen!AE168,M168*Reeksen!C168,0))</f>
        <v>0</v>
      </c>
      <c r="O168" s="86">
        <f ca="1">IF(C168&lt;1,0,IF(Reeksen!AD168&gt;Reeksen!AE168,M168*Reeksen!C168,0))</f>
        <v>0</v>
      </c>
      <c r="P168" s="86">
        <f t="shared" ca="1" si="25"/>
        <v>0</v>
      </c>
      <c r="Q168" s="82">
        <f ca="1">IF('Invoer gegevens'!$C$17=E168,I168,IF(C168=0,0,R167))</f>
        <v>0</v>
      </c>
      <c r="R168" s="84">
        <f t="shared" ca="1" si="22"/>
        <v>0</v>
      </c>
      <c r="S168" s="84">
        <f ca="1">IF('Invoer gegevens'!$C$17=E168,M168,IF(C168=0,0,T167))</f>
        <v>0</v>
      </c>
      <c r="T168" s="84">
        <f t="shared" ca="1" si="31"/>
        <v>0</v>
      </c>
      <c r="AI168" s="71">
        <f ca="1">IF(C168=1,((F168+H168)/2*Reeksen!AI168*12)+(('Invoer gegevens'!$C$10-(F168+H168)/2)*Reeksen!AD168*12),0)</f>
        <v>0</v>
      </c>
      <c r="AJ168" s="71">
        <f ca="1">-AI168*'Invoer gegevens'!$F$28</f>
        <v>0</v>
      </c>
      <c r="AK168" s="71">
        <f t="shared" ca="1" si="26"/>
        <v>0</v>
      </c>
      <c r="AL168" s="71">
        <f ca="1">IF(C168=1,(12*((F168+H168)/2)*Reeksen!AL168)+(12*('Invoer gegevens'!$C$10-(F168+H168)/2)*Reeksen!AM168),0)</f>
        <v>0</v>
      </c>
      <c r="AM168" s="71">
        <f ca="1">-AL168*'Invoer gegevens'!$F$31</f>
        <v>0</v>
      </c>
      <c r="AN168" s="71">
        <f t="shared" ca="1" si="27"/>
        <v>0</v>
      </c>
      <c r="AO168" s="71"/>
      <c r="AP168" s="71"/>
      <c r="AQ168" s="71">
        <f ca="1">-IF(C168=1,('Invoer gegevens'!$C$10*'Invoer gegevens'!$F$35)*Reeksen!J168,0)*2</f>
        <v>0</v>
      </c>
      <c r="AR168" s="71">
        <f ca="1">-IF(C168=1,(G168*'Invoer gegevens'!$F$36)*Reeksen!J168,0)</f>
        <v>0</v>
      </c>
      <c r="AS168" s="71">
        <f ca="1">-IF(C168=1,'Invoer gegevens'!$C$10*'Invoer gegevens'!$F$37*Reeksen!L168,0)</f>
        <v>0</v>
      </c>
      <c r="AT168" s="71">
        <f ca="1">-IF(C168=1,IF(E168='Invoer gegevens'!$C$17,'Invoer gegevens'!$C$11,Q168)*Reeksen!S168*'Invoer gegevens'!$C$18*Reeksen!P168,0)</f>
        <v>0</v>
      </c>
      <c r="AU168" s="71">
        <f ca="1">-IF(C168=1,'Invoer gegevens'!$C$10*'Invoer gegevens'!$F$38*Reeksen!H168,0)</f>
        <v>0</v>
      </c>
      <c r="AV168" s="71">
        <f t="shared" si="32"/>
        <v>0</v>
      </c>
      <c r="AW168" s="71">
        <f t="shared" ca="1" si="28"/>
        <v>0</v>
      </c>
      <c r="AX168" s="71">
        <f ca="1">IF(E168&lt;'Invoer gegevens'!$C$17+15,0,IF('RW - MW - DE - DE'!E168&gt;'Invoer gegevens'!$C$17+215,0,'RW - MW - DE - DE'!AW168))</f>
        <v>0</v>
      </c>
      <c r="AY168" s="71">
        <f ca="1">AX168/(1+'Invoer gegevens'!$F$13)^($AZ168-('Invoer gegevens'!$C$17-'Invoer gegevens'!$C$16))/(1+'Invoer gegevens'!$C$39)^('Invoer gegevens'!$C$17-'Invoer gegevens'!$C$16)</f>
        <v>0</v>
      </c>
      <c r="AZ168" s="68">
        <f ca="1">IF(E168-'Invoer gegevens'!$C$17-14.5&lt;0,0,E168-'Invoer gegevens'!$C$17-14.5)</f>
        <v>148.5</v>
      </c>
      <c r="BC168" s="71"/>
    </row>
    <row r="169" spans="2:55" customFormat="1" x14ac:dyDescent="0.25">
      <c r="B169" s="70">
        <f t="shared" si="29"/>
        <v>165</v>
      </c>
      <c r="C169" s="67">
        <f ca="1">IF(E169-'Invoer gegevens'!$C$17&lt;0,0,1)</f>
        <v>1</v>
      </c>
      <c r="D169" s="68">
        <f t="shared" si="30"/>
        <v>164.5</v>
      </c>
      <c r="E169" s="69">
        <f ca="1">IF('Invoer gegevens'!$C$16="","",E168+1)</f>
        <v>2183</v>
      </c>
      <c r="F169" s="82">
        <f ca="1">IF('Invoer gegevens'!$C$17=E169,'Invoer gegevens'!$C$10,IF(C169=1,H168,0))</f>
        <v>0</v>
      </c>
      <c r="G169" s="83">
        <f ca="1">IF(C169&gt;=1,F169*Reeksen!C169,0)</f>
        <v>0</v>
      </c>
      <c r="H169" s="84">
        <f t="shared" ca="1" si="23"/>
        <v>0</v>
      </c>
      <c r="I169" s="85">
        <f ca="1">IF('Invoer gegevens'!$C$17=E169,'Invoer gegevens'!$C$11,IF(C169=1,L168,0))</f>
        <v>0</v>
      </c>
      <c r="J169" s="86">
        <f ca="1">IF(C169&lt;1,0,IF(Reeksen!AD169&lt;=Reeksen!AE169,I169*Reeksen!C169,0))</f>
        <v>0</v>
      </c>
      <c r="K169" s="86">
        <f ca="1">IF(C169&lt;1,0,IF(Reeksen!AD169&gt;Reeksen!AE169,I169*Reeksen!C169,0))</f>
        <v>0</v>
      </c>
      <c r="L169" s="86">
        <f t="shared" ca="1" si="24"/>
        <v>0</v>
      </c>
      <c r="M169" s="85">
        <f ca="1">IF('Invoer gegevens'!$C$17=E169,'Invoer gegevens'!$C$10-'Invoer gegevens'!$C$11,IF(C169=1,P168,0))</f>
        <v>0</v>
      </c>
      <c r="N169" s="86">
        <f ca="1">IF(C169&lt;1,0,IF(Reeksen!AD169&lt;=Reeksen!AE169,M169*Reeksen!C169,0))</f>
        <v>0</v>
      </c>
      <c r="O169" s="86">
        <f ca="1">IF(C169&lt;1,0,IF(Reeksen!AD169&gt;Reeksen!AE169,M169*Reeksen!C169,0))</f>
        <v>0</v>
      </c>
      <c r="P169" s="86">
        <f t="shared" ca="1" si="25"/>
        <v>0</v>
      </c>
      <c r="Q169" s="82">
        <f ca="1">IF('Invoer gegevens'!$C$17=E169,I169,IF(C169=0,0,R168))</f>
        <v>0</v>
      </c>
      <c r="R169" s="84">
        <f t="shared" ca="1" si="22"/>
        <v>0</v>
      </c>
      <c r="S169" s="84">
        <f ca="1">IF('Invoer gegevens'!$C$17=E169,M169,IF(C169=0,0,T168))</f>
        <v>0</v>
      </c>
      <c r="T169" s="84">
        <f t="shared" ca="1" si="31"/>
        <v>0</v>
      </c>
      <c r="AI169" s="71">
        <f ca="1">IF(C169=1,((F169+H169)/2*Reeksen!AI169*12)+(('Invoer gegevens'!$C$10-(F169+H169)/2)*Reeksen!AD169*12),0)</f>
        <v>0</v>
      </c>
      <c r="AJ169" s="71">
        <f ca="1">-AI169*'Invoer gegevens'!$F$28</f>
        <v>0</v>
      </c>
      <c r="AK169" s="71">
        <f t="shared" ca="1" si="26"/>
        <v>0</v>
      </c>
      <c r="AL169" s="71">
        <f ca="1">IF(C169=1,(12*((F169+H169)/2)*Reeksen!AL169)+(12*('Invoer gegevens'!$C$10-(F169+H169)/2)*Reeksen!AM169),0)</f>
        <v>0</v>
      </c>
      <c r="AM169" s="71">
        <f ca="1">-AL169*'Invoer gegevens'!$F$31</f>
        <v>0</v>
      </c>
      <c r="AN169" s="71">
        <f t="shared" ca="1" si="27"/>
        <v>0</v>
      </c>
      <c r="AO169" s="71"/>
      <c r="AP169" s="71"/>
      <c r="AQ169" s="71">
        <f ca="1">-IF(C169=1,('Invoer gegevens'!$C$10*'Invoer gegevens'!$F$35)*Reeksen!J169,0)*2</f>
        <v>0</v>
      </c>
      <c r="AR169" s="71">
        <f ca="1">-IF(C169=1,(G169*'Invoer gegevens'!$F$36)*Reeksen!J169,0)</f>
        <v>0</v>
      </c>
      <c r="AS169" s="71">
        <f ca="1">-IF(C169=1,'Invoer gegevens'!$C$10*'Invoer gegevens'!$F$37*Reeksen!L169,0)</f>
        <v>0</v>
      </c>
      <c r="AT169" s="71">
        <f ca="1">-IF(C169=1,IF(E169='Invoer gegevens'!$C$17,'Invoer gegevens'!$C$11,Q169)*Reeksen!S169*'Invoer gegevens'!$C$18*Reeksen!P169,0)</f>
        <v>0</v>
      </c>
      <c r="AU169" s="71">
        <f ca="1">-IF(C169=1,'Invoer gegevens'!$C$10*'Invoer gegevens'!$F$38*Reeksen!H169,0)</f>
        <v>0</v>
      </c>
      <c r="AV169" s="71">
        <f t="shared" si="32"/>
        <v>0</v>
      </c>
      <c r="AW169" s="71">
        <f t="shared" ca="1" si="28"/>
        <v>0</v>
      </c>
      <c r="AX169" s="71">
        <f ca="1">IF(E169&lt;'Invoer gegevens'!$C$17+15,0,IF('RW - MW - DE - DE'!E169&gt;'Invoer gegevens'!$C$17+215,0,'RW - MW - DE - DE'!AW169))</f>
        <v>0</v>
      </c>
      <c r="AY169" s="71">
        <f ca="1">AX169/(1+'Invoer gegevens'!$F$13)^($AZ169-('Invoer gegevens'!$C$17-'Invoer gegevens'!$C$16))/(1+'Invoer gegevens'!$C$39)^('Invoer gegevens'!$C$17-'Invoer gegevens'!$C$16)</f>
        <v>0</v>
      </c>
      <c r="AZ169" s="68">
        <f ca="1">IF(E169-'Invoer gegevens'!$C$17-14.5&lt;0,0,E169-'Invoer gegevens'!$C$17-14.5)</f>
        <v>149.5</v>
      </c>
      <c r="BC169" s="71"/>
    </row>
    <row r="170" spans="2:55" customFormat="1" x14ac:dyDescent="0.25">
      <c r="B170" s="70">
        <f t="shared" si="29"/>
        <v>166</v>
      </c>
      <c r="C170" s="67">
        <f ca="1">IF(E170-'Invoer gegevens'!$C$17&lt;0,0,1)</f>
        <v>1</v>
      </c>
      <c r="D170" s="68">
        <f t="shared" si="30"/>
        <v>165.5</v>
      </c>
      <c r="E170" s="69">
        <f ca="1">IF('Invoer gegevens'!$C$16="","",E169+1)</f>
        <v>2184</v>
      </c>
      <c r="F170" s="82">
        <f ca="1">IF('Invoer gegevens'!$C$17=E170,'Invoer gegevens'!$C$10,IF(C170=1,H169,0))</f>
        <v>0</v>
      </c>
      <c r="G170" s="83">
        <f ca="1">IF(C170&gt;=1,F170*Reeksen!C170,0)</f>
        <v>0</v>
      </c>
      <c r="H170" s="84">
        <f t="shared" ca="1" si="23"/>
        <v>0</v>
      </c>
      <c r="I170" s="85">
        <f ca="1">IF('Invoer gegevens'!$C$17=E170,'Invoer gegevens'!$C$11,IF(C170=1,L169,0))</f>
        <v>0</v>
      </c>
      <c r="J170" s="86">
        <f ca="1">IF(C170&lt;1,0,IF(Reeksen!AD170&lt;=Reeksen!AE170,I170*Reeksen!C170,0))</f>
        <v>0</v>
      </c>
      <c r="K170" s="86">
        <f ca="1">IF(C170&lt;1,0,IF(Reeksen!AD170&gt;Reeksen!AE170,I170*Reeksen!C170,0))</f>
        <v>0</v>
      </c>
      <c r="L170" s="86">
        <f t="shared" ca="1" si="24"/>
        <v>0</v>
      </c>
      <c r="M170" s="85">
        <f ca="1">IF('Invoer gegevens'!$C$17=E170,'Invoer gegevens'!$C$10-'Invoer gegevens'!$C$11,IF(C170=1,P169,0))</f>
        <v>0</v>
      </c>
      <c r="N170" s="86">
        <f ca="1">IF(C170&lt;1,0,IF(Reeksen!AD170&lt;=Reeksen!AE170,M170*Reeksen!C170,0))</f>
        <v>0</v>
      </c>
      <c r="O170" s="86">
        <f ca="1">IF(C170&lt;1,0,IF(Reeksen!AD170&gt;Reeksen!AE170,M170*Reeksen!C170,0))</f>
        <v>0</v>
      </c>
      <c r="P170" s="86">
        <f t="shared" ca="1" si="25"/>
        <v>0</v>
      </c>
      <c r="Q170" s="82">
        <f ca="1">IF('Invoer gegevens'!$C$17=E170,I170,IF(C170=0,0,R169))</f>
        <v>0</v>
      </c>
      <c r="R170" s="84">
        <f t="shared" ca="1" si="22"/>
        <v>0</v>
      </c>
      <c r="S170" s="84">
        <f ca="1">IF('Invoer gegevens'!$C$17=E170,M170,IF(C170=0,0,T169))</f>
        <v>0</v>
      </c>
      <c r="T170" s="84">
        <f t="shared" ca="1" si="31"/>
        <v>0</v>
      </c>
      <c r="AI170" s="71">
        <f ca="1">IF(C170=1,((F170+H170)/2*Reeksen!AI170*12)+(('Invoer gegevens'!$C$10-(F170+H170)/2)*Reeksen!AD170*12),0)</f>
        <v>0</v>
      </c>
      <c r="AJ170" s="71">
        <f ca="1">-AI170*'Invoer gegevens'!$F$28</f>
        <v>0</v>
      </c>
      <c r="AK170" s="71">
        <f t="shared" ca="1" si="26"/>
        <v>0</v>
      </c>
      <c r="AL170" s="71">
        <f ca="1">IF(C170=1,(12*((F170+H170)/2)*Reeksen!AL170)+(12*('Invoer gegevens'!$C$10-(F170+H170)/2)*Reeksen!AM170),0)</f>
        <v>0</v>
      </c>
      <c r="AM170" s="71">
        <f ca="1">-AL170*'Invoer gegevens'!$F$31</f>
        <v>0</v>
      </c>
      <c r="AN170" s="71">
        <f t="shared" ca="1" si="27"/>
        <v>0</v>
      </c>
      <c r="AO170" s="71"/>
      <c r="AP170" s="71"/>
      <c r="AQ170" s="71">
        <f ca="1">-IF(C170=1,('Invoer gegevens'!$C$10*'Invoer gegevens'!$F$35)*Reeksen!J170,0)*2</f>
        <v>0</v>
      </c>
      <c r="AR170" s="71">
        <f ca="1">-IF(C170=1,(G170*'Invoer gegevens'!$F$36)*Reeksen!J170,0)</f>
        <v>0</v>
      </c>
      <c r="AS170" s="71">
        <f ca="1">-IF(C170=1,'Invoer gegevens'!$C$10*'Invoer gegevens'!$F$37*Reeksen!L170,0)</f>
        <v>0</v>
      </c>
      <c r="AT170" s="71">
        <f ca="1">-IF(C170=1,IF(E170='Invoer gegevens'!$C$17,'Invoer gegevens'!$C$11,Q170)*Reeksen!S170*'Invoer gegevens'!$C$18*Reeksen!P170,0)</f>
        <v>0</v>
      </c>
      <c r="AU170" s="71">
        <f ca="1">-IF(C170=1,'Invoer gegevens'!$C$10*'Invoer gegevens'!$F$38*Reeksen!H170,0)</f>
        <v>0</v>
      </c>
      <c r="AV170" s="71">
        <f t="shared" si="32"/>
        <v>0</v>
      </c>
      <c r="AW170" s="71">
        <f t="shared" ca="1" si="28"/>
        <v>0</v>
      </c>
      <c r="AX170" s="71">
        <f ca="1">IF(E170&lt;'Invoer gegevens'!$C$17+15,0,IF('RW - MW - DE - DE'!E170&gt;'Invoer gegevens'!$C$17+215,0,'RW - MW - DE - DE'!AW170))</f>
        <v>0</v>
      </c>
      <c r="AY170" s="71">
        <f ca="1">AX170/(1+'Invoer gegevens'!$F$13)^($AZ170-('Invoer gegevens'!$C$17-'Invoer gegevens'!$C$16))/(1+'Invoer gegevens'!$C$39)^('Invoer gegevens'!$C$17-'Invoer gegevens'!$C$16)</f>
        <v>0</v>
      </c>
      <c r="AZ170" s="68">
        <f ca="1">IF(E170-'Invoer gegevens'!$C$17-14.5&lt;0,0,E170-'Invoer gegevens'!$C$17-14.5)</f>
        <v>150.5</v>
      </c>
      <c r="BC170" s="71"/>
    </row>
    <row r="171" spans="2:55" customFormat="1" x14ac:dyDescent="0.25">
      <c r="B171" s="70">
        <f t="shared" si="29"/>
        <v>167</v>
      </c>
      <c r="C171" s="67">
        <f ca="1">IF(E171-'Invoer gegevens'!$C$17&lt;0,0,1)</f>
        <v>1</v>
      </c>
      <c r="D171" s="68">
        <f t="shared" si="30"/>
        <v>166.5</v>
      </c>
      <c r="E171" s="69">
        <f ca="1">IF('Invoer gegevens'!$C$16="","",E170+1)</f>
        <v>2185</v>
      </c>
      <c r="F171" s="82">
        <f ca="1">IF('Invoer gegevens'!$C$17=E171,'Invoer gegevens'!$C$10,IF(C171=1,H170,0))</f>
        <v>0</v>
      </c>
      <c r="G171" s="83">
        <f ca="1">IF(C171&gt;=1,F171*Reeksen!C171,0)</f>
        <v>0</v>
      </c>
      <c r="H171" s="84">
        <f t="shared" ca="1" si="23"/>
        <v>0</v>
      </c>
      <c r="I171" s="85">
        <f ca="1">IF('Invoer gegevens'!$C$17=E171,'Invoer gegevens'!$C$11,IF(C171=1,L170,0))</f>
        <v>0</v>
      </c>
      <c r="J171" s="86">
        <f ca="1">IF(C171&lt;1,0,IF(Reeksen!AD171&lt;=Reeksen!AE171,I171*Reeksen!C171,0))</f>
        <v>0</v>
      </c>
      <c r="K171" s="86">
        <f ca="1">IF(C171&lt;1,0,IF(Reeksen!AD171&gt;Reeksen!AE171,I171*Reeksen!C171,0))</f>
        <v>0</v>
      </c>
      <c r="L171" s="86">
        <f t="shared" ca="1" si="24"/>
        <v>0</v>
      </c>
      <c r="M171" s="85">
        <f ca="1">IF('Invoer gegevens'!$C$17=E171,'Invoer gegevens'!$C$10-'Invoer gegevens'!$C$11,IF(C171=1,P170,0))</f>
        <v>0</v>
      </c>
      <c r="N171" s="86">
        <f ca="1">IF(C171&lt;1,0,IF(Reeksen!AD171&lt;=Reeksen!AE171,M171*Reeksen!C171,0))</f>
        <v>0</v>
      </c>
      <c r="O171" s="86">
        <f ca="1">IF(C171&lt;1,0,IF(Reeksen!AD171&gt;Reeksen!AE171,M171*Reeksen!C171,0))</f>
        <v>0</v>
      </c>
      <c r="P171" s="86">
        <f t="shared" ca="1" si="25"/>
        <v>0</v>
      </c>
      <c r="Q171" s="82">
        <f ca="1">IF('Invoer gegevens'!$C$17=E171,I171,IF(C171=0,0,R170))</f>
        <v>0</v>
      </c>
      <c r="R171" s="84">
        <f t="shared" ca="1" si="22"/>
        <v>0</v>
      </c>
      <c r="S171" s="84">
        <f ca="1">IF('Invoer gegevens'!$C$17=E171,M171,IF(C171=0,0,T170))</f>
        <v>0</v>
      </c>
      <c r="T171" s="84">
        <f t="shared" ca="1" si="31"/>
        <v>0</v>
      </c>
      <c r="AI171" s="71">
        <f ca="1">IF(C171=1,((F171+H171)/2*Reeksen!AI171*12)+(('Invoer gegevens'!$C$10-(F171+H171)/2)*Reeksen!AD171*12),0)</f>
        <v>0</v>
      </c>
      <c r="AJ171" s="71">
        <f ca="1">-AI171*'Invoer gegevens'!$F$28</f>
        <v>0</v>
      </c>
      <c r="AK171" s="71">
        <f t="shared" ca="1" si="26"/>
        <v>0</v>
      </c>
      <c r="AL171" s="71">
        <f ca="1">IF(C171=1,(12*((F171+H171)/2)*Reeksen!AL171)+(12*('Invoer gegevens'!$C$10-(F171+H171)/2)*Reeksen!AM171),0)</f>
        <v>0</v>
      </c>
      <c r="AM171" s="71">
        <f ca="1">-AL171*'Invoer gegevens'!$F$31</f>
        <v>0</v>
      </c>
      <c r="AN171" s="71">
        <f t="shared" ca="1" si="27"/>
        <v>0</v>
      </c>
      <c r="AO171" s="71"/>
      <c r="AP171" s="71"/>
      <c r="AQ171" s="71">
        <f ca="1">-IF(C171=1,('Invoer gegevens'!$C$10*'Invoer gegevens'!$F$35)*Reeksen!J171,0)*2</f>
        <v>0</v>
      </c>
      <c r="AR171" s="71">
        <f ca="1">-IF(C171=1,(G171*'Invoer gegevens'!$F$36)*Reeksen!J171,0)</f>
        <v>0</v>
      </c>
      <c r="AS171" s="71">
        <f ca="1">-IF(C171=1,'Invoer gegevens'!$C$10*'Invoer gegevens'!$F$37*Reeksen!L171,0)</f>
        <v>0</v>
      </c>
      <c r="AT171" s="71">
        <f ca="1">-IF(C171=1,IF(E171='Invoer gegevens'!$C$17,'Invoer gegevens'!$C$11,Q171)*Reeksen!S171*'Invoer gegevens'!$C$18*Reeksen!P171,0)</f>
        <v>0</v>
      </c>
      <c r="AU171" s="71">
        <f ca="1">-IF(C171=1,'Invoer gegevens'!$C$10*'Invoer gegevens'!$F$38*Reeksen!H171,0)</f>
        <v>0</v>
      </c>
      <c r="AV171" s="71">
        <f t="shared" si="32"/>
        <v>0</v>
      </c>
      <c r="AW171" s="71">
        <f t="shared" ca="1" si="28"/>
        <v>0</v>
      </c>
      <c r="AX171" s="71">
        <f ca="1">IF(E171&lt;'Invoer gegevens'!$C$17+15,0,IF('RW - MW - DE - DE'!E171&gt;'Invoer gegevens'!$C$17+215,0,'RW - MW - DE - DE'!AW171))</f>
        <v>0</v>
      </c>
      <c r="AY171" s="71">
        <f ca="1">AX171/(1+'Invoer gegevens'!$F$13)^($AZ171-('Invoer gegevens'!$C$17-'Invoer gegevens'!$C$16))/(1+'Invoer gegevens'!$C$39)^('Invoer gegevens'!$C$17-'Invoer gegevens'!$C$16)</f>
        <v>0</v>
      </c>
      <c r="AZ171" s="68">
        <f ca="1">IF(E171-'Invoer gegevens'!$C$17-14.5&lt;0,0,E171-'Invoer gegevens'!$C$17-14.5)</f>
        <v>151.5</v>
      </c>
      <c r="BC171" s="71"/>
    </row>
    <row r="172" spans="2:55" customFormat="1" x14ac:dyDescent="0.25">
      <c r="B172" s="70">
        <f t="shared" si="29"/>
        <v>168</v>
      </c>
      <c r="C172" s="67">
        <f ca="1">IF(E172-'Invoer gegevens'!$C$17&lt;0,0,1)</f>
        <v>1</v>
      </c>
      <c r="D172" s="68">
        <f t="shared" si="30"/>
        <v>167.5</v>
      </c>
      <c r="E172" s="69">
        <f ca="1">IF('Invoer gegevens'!$C$16="","",E171+1)</f>
        <v>2186</v>
      </c>
      <c r="F172" s="82">
        <f ca="1">IF('Invoer gegevens'!$C$17=E172,'Invoer gegevens'!$C$10,IF(C172=1,H171,0))</f>
        <v>0</v>
      </c>
      <c r="G172" s="83">
        <f ca="1">IF(C172&gt;=1,F172*Reeksen!C172,0)</f>
        <v>0</v>
      </c>
      <c r="H172" s="84">
        <f t="shared" ca="1" si="23"/>
        <v>0</v>
      </c>
      <c r="I172" s="85">
        <f ca="1">IF('Invoer gegevens'!$C$17=E172,'Invoer gegevens'!$C$11,IF(C172=1,L171,0))</f>
        <v>0</v>
      </c>
      <c r="J172" s="86">
        <f ca="1">IF(C172&lt;1,0,IF(Reeksen!AD172&lt;=Reeksen!AE172,I172*Reeksen!C172,0))</f>
        <v>0</v>
      </c>
      <c r="K172" s="86">
        <f ca="1">IF(C172&lt;1,0,IF(Reeksen!AD172&gt;Reeksen!AE172,I172*Reeksen!C172,0))</f>
        <v>0</v>
      </c>
      <c r="L172" s="86">
        <f t="shared" ca="1" si="24"/>
        <v>0</v>
      </c>
      <c r="M172" s="85">
        <f ca="1">IF('Invoer gegevens'!$C$17=E172,'Invoer gegevens'!$C$10-'Invoer gegevens'!$C$11,IF(C172=1,P171,0))</f>
        <v>0</v>
      </c>
      <c r="N172" s="86">
        <f ca="1">IF(C172&lt;1,0,IF(Reeksen!AD172&lt;=Reeksen!AE172,M172*Reeksen!C172,0))</f>
        <v>0</v>
      </c>
      <c r="O172" s="86">
        <f ca="1">IF(C172&lt;1,0,IF(Reeksen!AD172&gt;Reeksen!AE172,M172*Reeksen!C172,0))</f>
        <v>0</v>
      </c>
      <c r="P172" s="86">
        <f t="shared" ca="1" si="25"/>
        <v>0</v>
      </c>
      <c r="Q172" s="82">
        <f ca="1">IF('Invoer gegevens'!$C$17=E172,I172,IF(C172=0,0,R171))</f>
        <v>0</v>
      </c>
      <c r="R172" s="84">
        <f t="shared" ca="1" si="22"/>
        <v>0</v>
      </c>
      <c r="S172" s="84">
        <f ca="1">IF('Invoer gegevens'!$C$17=E172,M172,IF(C172=0,0,T171))</f>
        <v>0</v>
      </c>
      <c r="T172" s="84">
        <f t="shared" ca="1" si="31"/>
        <v>0</v>
      </c>
      <c r="AI172" s="71">
        <f ca="1">IF(C172=1,((F172+H172)/2*Reeksen!AI172*12)+(('Invoer gegevens'!$C$10-(F172+H172)/2)*Reeksen!AD172*12),0)</f>
        <v>0</v>
      </c>
      <c r="AJ172" s="71">
        <f ca="1">-AI172*'Invoer gegevens'!$F$28</f>
        <v>0</v>
      </c>
      <c r="AK172" s="71">
        <f t="shared" ca="1" si="26"/>
        <v>0</v>
      </c>
      <c r="AL172" s="71">
        <f ca="1">IF(C172=1,(12*((F172+H172)/2)*Reeksen!AL172)+(12*('Invoer gegevens'!$C$10-(F172+H172)/2)*Reeksen!AM172),0)</f>
        <v>0</v>
      </c>
      <c r="AM172" s="71">
        <f ca="1">-AL172*'Invoer gegevens'!$F$31</f>
        <v>0</v>
      </c>
      <c r="AN172" s="71">
        <f t="shared" ca="1" si="27"/>
        <v>0</v>
      </c>
      <c r="AO172" s="71"/>
      <c r="AP172" s="71"/>
      <c r="AQ172" s="71">
        <f ca="1">-IF(C172=1,('Invoer gegevens'!$C$10*'Invoer gegevens'!$F$35)*Reeksen!J172,0)*2</f>
        <v>0</v>
      </c>
      <c r="AR172" s="71">
        <f ca="1">-IF(C172=1,(G172*'Invoer gegevens'!$F$36)*Reeksen!J172,0)</f>
        <v>0</v>
      </c>
      <c r="AS172" s="71">
        <f ca="1">-IF(C172=1,'Invoer gegevens'!$C$10*'Invoer gegevens'!$F$37*Reeksen!L172,0)</f>
        <v>0</v>
      </c>
      <c r="AT172" s="71">
        <f ca="1">-IF(C172=1,IF(E172='Invoer gegevens'!$C$17,'Invoer gegevens'!$C$11,Q172)*Reeksen!S172*'Invoer gegevens'!$C$18*Reeksen!P172,0)</f>
        <v>0</v>
      </c>
      <c r="AU172" s="71">
        <f ca="1">-IF(C172=1,'Invoer gegevens'!$C$10*'Invoer gegevens'!$F$38*Reeksen!H172,0)</f>
        <v>0</v>
      </c>
      <c r="AV172" s="71">
        <f t="shared" si="32"/>
        <v>0</v>
      </c>
      <c r="AW172" s="71">
        <f t="shared" ca="1" si="28"/>
        <v>0</v>
      </c>
      <c r="AX172" s="71">
        <f ca="1">IF(E172&lt;'Invoer gegevens'!$C$17+15,0,IF('RW - MW - DE - DE'!E172&gt;'Invoer gegevens'!$C$17+215,0,'RW - MW - DE - DE'!AW172))</f>
        <v>0</v>
      </c>
      <c r="AY172" s="71">
        <f ca="1">AX172/(1+'Invoer gegevens'!$F$13)^($AZ172-('Invoer gegevens'!$C$17-'Invoer gegevens'!$C$16))/(1+'Invoer gegevens'!$C$39)^('Invoer gegevens'!$C$17-'Invoer gegevens'!$C$16)</f>
        <v>0</v>
      </c>
      <c r="AZ172" s="68">
        <f ca="1">IF(E172-'Invoer gegevens'!$C$17-14.5&lt;0,0,E172-'Invoer gegevens'!$C$17-14.5)</f>
        <v>152.5</v>
      </c>
      <c r="BC172" s="71"/>
    </row>
    <row r="173" spans="2:55" customFormat="1" x14ac:dyDescent="0.25">
      <c r="B173" s="70">
        <f t="shared" si="29"/>
        <v>169</v>
      </c>
      <c r="C173" s="67">
        <f ca="1">IF(E173-'Invoer gegevens'!$C$17&lt;0,0,1)</f>
        <v>1</v>
      </c>
      <c r="D173" s="68">
        <f t="shared" si="30"/>
        <v>168.5</v>
      </c>
      <c r="E173" s="69">
        <f ca="1">IF('Invoer gegevens'!$C$16="","",E172+1)</f>
        <v>2187</v>
      </c>
      <c r="F173" s="82">
        <f ca="1">IF('Invoer gegevens'!$C$17=E173,'Invoer gegevens'!$C$10,IF(C173=1,H172,0))</f>
        <v>0</v>
      </c>
      <c r="G173" s="83">
        <f ca="1">IF(C173&gt;=1,F173*Reeksen!C173,0)</f>
        <v>0</v>
      </c>
      <c r="H173" s="84">
        <f t="shared" ca="1" si="23"/>
        <v>0</v>
      </c>
      <c r="I173" s="85">
        <f ca="1">IF('Invoer gegevens'!$C$17=E173,'Invoer gegevens'!$C$11,IF(C173=1,L172,0))</f>
        <v>0</v>
      </c>
      <c r="J173" s="86">
        <f ca="1">IF(C173&lt;1,0,IF(Reeksen!AD173&lt;=Reeksen!AE173,I173*Reeksen!C173,0))</f>
        <v>0</v>
      </c>
      <c r="K173" s="86">
        <f ca="1">IF(C173&lt;1,0,IF(Reeksen!AD173&gt;Reeksen!AE173,I173*Reeksen!C173,0))</f>
        <v>0</v>
      </c>
      <c r="L173" s="86">
        <f t="shared" ca="1" si="24"/>
        <v>0</v>
      </c>
      <c r="M173" s="85">
        <f ca="1">IF('Invoer gegevens'!$C$17=E173,'Invoer gegevens'!$C$10-'Invoer gegevens'!$C$11,IF(C173=1,P172,0))</f>
        <v>0</v>
      </c>
      <c r="N173" s="86">
        <f ca="1">IF(C173&lt;1,0,IF(Reeksen!AD173&lt;=Reeksen!AE173,M173*Reeksen!C173,0))</f>
        <v>0</v>
      </c>
      <c r="O173" s="86">
        <f ca="1">IF(C173&lt;1,0,IF(Reeksen!AD173&gt;Reeksen!AE173,M173*Reeksen!C173,0))</f>
        <v>0</v>
      </c>
      <c r="P173" s="86">
        <f t="shared" ca="1" si="25"/>
        <v>0</v>
      </c>
      <c r="Q173" s="82">
        <f ca="1">IF('Invoer gegevens'!$C$17=E173,I173,IF(C173=0,0,R172))</f>
        <v>0</v>
      </c>
      <c r="R173" s="84">
        <f t="shared" ca="1" si="22"/>
        <v>0</v>
      </c>
      <c r="S173" s="84">
        <f ca="1">IF('Invoer gegevens'!$C$17=E173,M173,IF(C173=0,0,T172))</f>
        <v>0</v>
      </c>
      <c r="T173" s="84">
        <f t="shared" ca="1" si="31"/>
        <v>0</v>
      </c>
      <c r="AI173" s="71">
        <f ca="1">IF(C173=1,((F173+H173)/2*Reeksen!AI173*12)+(('Invoer gegevens'!$C$10-(F173+H173)/2)*Reeksen!AD173*12),0)</f>
        <v>0</v>
      </c>
      <c r="AJ173" s="71">
        <f ca="1">-AI173*'Invoer gegevens'!$F$28</f>
        <v>0</v>
      </c>
      <c r="AK173" s="71">
        <f t="shared" ca="1" si="26"/>
        <v>0</v>
      </c>
      <c r="AL173" s="71">
        <f ca="1">IF(C173=1,(12*((F173+H173)/2)*Reeksen!AL173)+(12*('Invoer gegevens'!$C$10-(F173+H173)/2)*Reeksen!AM173),0)</f>
        <v>0</v>
      </c>
      <c r="AM173" s="71">
        <f ca="1">-AL173*'Invoer gegevens'!$F$31</f>
        <v>0</v>
      </c>
      <c r="AN173" s="71">
        <f t="shared" ca="1" si="27"/>
        <v>0</v>
      </c>
      <c r="AO173" s="71"/>
      <c r="AP173" s="71"/>
      <c r="AQ173" s="71">
        <f ca="1">-IF(C173=1,('Invoer gegevens'!$C$10*'Invoer gegevens'!$F$35)*Reeksen!J173,0)*2</f>
        <v>0</v>
      </c>
      <c r="AR173" s="71">
        <f ca="1">-IF(C173=1,(G173*'Invoer gegevens'!$F$36)*Reeksen!J173,0)</f>
        <v>0</v>
      </c>
      <c r="AS173" s="71">
        <f ca="1">-IF(C173=1,'Invoer gegevens'!$C$10*'Invoer gegevens'!$F$37*Reeksen!L173,0)</f>
        <v>0</v>
      </c>
      <c r="AT173" s="71">
        <f ca="1">-IF(C173=1,IF(E173='Invoer gegevens'!$C$17,'Invoer gegevens'!$C$11,Q173)*Reeksen!S173*'Invoer gegevens'!$C$18*Reeksen!P173,0)</f>
        <v>0</v>
      </c>
      <c r="AU173" s="71">
        <f ca="1">-IF(C173=1,'Invoer gegevens'!$C$10*'Invoer gegevens'!$F$38*Reeksen!H173,0)</f>
        <v>0</v>
      </c>
      <c r="AV173" s="71">
        <f t="shared" si="32"/>
        <v>0</v>
      </c>
      <c r="AW173" s="71">
        <f t="shared" ca="1" si="28"/>
        <v>0</v>
      </c>
      <c r="AX173" s="71">
        <f ca="1">IF(E173&lt;'Invoer gegevens'!$C$17+15,0,IF('RW - MW - DE - DE'!E173&gt;'Invoer gegevens'!$C$17+215,0,'RW - MW - DE - DE'!AW173))</f>
        <v>0</v>
      </c>
      <c r="AY173" s="71">
        <f ca="1">AX173/(1+'Invoer gegevens'!$F$13)^($AZ173-('Invoer gegevens'!$C$17-'Invoer gegevens'!$C$16))/(1+'Invoer gegevens'!$C$39)^('Invoer gegevens'!$C$17-'Invoer gegevens'!$C$16)</f>
        <v>0</v>
      </c>
      <c r="AZ173" s="68">
        <f ca="1">IF(E173-'Invoer gegevens'!$C$17-14.5&lt;0,0,E173-'Invoer gegevens'!$C$17-14.5)</f>
        <v>153.5</v>
      </c>
      <c r="BC173" s="71"/>
    </row>
    <row r="174" spans="2:55" customFormat="1" x14ac:dyDescent="0.25">
      <c r="B174" s="70">
        <f t="shared" si="29"/>
        <v>170</v>
      </c>
      <c r="C174" s="67">
        <f ca="1">IF(E174-'Invoer gegevens'!$C$17&lt;0,0,1)</f>
        <v>1</v>
      </c>
      <c r="D174" s="68">
        <f t="shared" si="30"/>
        <v>169.5</v>
      </c>
      <c r="E174" s="69">
        <f ca="1">IF('Invoer gegevens'!$C$16="","",E173+1)</f>
        <v>2188</v>
      </c>
      <c r="F174" s="82">
        <f ca="1">IF('Invoer gegevens'!$C$17=E174,'Invoer gegevens'!$C$10,IF(C174=1,H173,0))</f>
        <v>0</v>
      </c>
      <c r="G174" s="83">
        <f ca="1">IF(C174&gt;=1,F174*Reeksen!C174,0)</f>
        <v>0</v>
      </c>
      <c r="H174" s="84">
        <f t="shared" ca="1" si="23"/>
        <v>0</v>
      </c>
      <c r="I174" s="85">
        <f ca="1">IF('Invoer gegevens'!$C$17=E174,'Invoer gegevens'!$C$11,IF(C174=1,L173,0))</f>
        <v>0</v>
      </c>
      <c r="J174" s="86">
        <f ca="1">IF(C174&lt;1,0,IF(Reeksen!AD174&lt;=Reeksen!AE174,I174*Reeksen!C174,0))</f>
        <v>0</v>
      </c>
      <c r="K174" s="86">
        <f ca="1">IF(C174&lt;1,0,IF(Reeksen!AD174&gt;Reeksen!AE174,I174*Reeksen!C174,0))</f>
        <v>0</v>
      </c>
      <c r="L174" s="86">
        <f t="shared" ca="1" si="24"/>
        <v>0</v>
      </c>
      <c r="M174" s="85">
        <f ca="1">IF('Invoer gegevens'!$C$17=E174,'Invoer gegevens'!$C$10-'Invoer gegevens'!$C$11,IF(C174=1,P173,0))</f>
        <v>0</v>
      </c>
      <c r="N174" s="86">
        <f ca="1">IF(C174&lt;1,0,IF(Reeksen!AD174&lt;=Reeksen!AE174,M174*Reeksen!C174,0))</f>
        <v>0</v>
      </c>
      <c r="O174" s="86">
        <f ca="1">IF(C174&lt;1,0,IF(Reeksen!AD174&gt;Reeksen!AE174,M174*Reeksen!C174,0))</f>
        <v>0</v>
      </c>
      <c r="P174" s="86">
        <f t="shared" ca="1" si="25"/>
        <v>0</v>
      </c>
      <c r="Q174" s="82">
        <f ca="1">IF('Invoer gegevens'!$C$17=E174,I174,IF(C174=0,0,R173))</f>
        <v>0</v>
      </c>
      <c r="R174" s="84">
        <f t="shared" ca="1" si="22"/>
        <v>0</v>
      </c>
      <c r="S174" s="84">
        <f ca="1">IF('Invoer gegevens'!$C$17=E174,M174,IF(C174=0,0,T173))</f>
        <v>0</v>
      </c>
      <c r="T174" s="84">
        <f t="shared" ca="1" si="31"/>
        <v>0</v>
      </c>
      <c r="AI174" s="71">
        <f ca="1">IF(C174=1,((F174+H174)/2*Reeksen!AI174*12)+(('Invoer gegevens'!$C$10-(F174+H174)/2)*Reeksen!AD174*12),0)</f>
        <v>0</v>
      </c>
      <c r="AJ174" s="71">
        <f ca="1">-AI174*'Invoer gegevens'!$F$28</f>
        <v>0</v>
      </c>
      <c r="AK174" s="71">
        <f t="shared" ca="1" si="26"/>
        <v>0</v>
      </c>
      <c r="AL174" s="71">
        <f ca="1">IF(C174=1,(12*((F174+H174)/2)*Reeksen!AL174)+(12*('Invoer gegevens'!$C$10-(F174+H174)/2)*Reeksen!AM174),0)</f>
        <v>0</v>
      </c>
      <c r="AM174" s="71">
        <f ca="1">-AL174*'Invoer gegevens'!$F$31</f>
        <v>0</v>
      </c>
      <c r="AN174" s="71">
        <f t="shared" ca="1" si="27"/>
        <v>0</v>
      </c>
      <c r="AO174" s="71"/>
      <c r="AP174" s="71"/>
      <c r="AQ174" s="71">
        <f ca="1">-IF(C174=1,('Invoer gegevens'!$C$10*'Invoer gegevens'!$F$35)*Reeksen!J174,0)*2</f>
        <v>0</v>
      </c>
      <c r="AR174" s="71">
        <f ca="1">-IF(C174=1,(G174*'Invoer gegevens'!$F$36)*Reeksen!J174,0)</f>
        <v>0</v>
      </c>
      <c r="AS174" s="71">
        <f ca="1">-IF(C174=1,'Invoer gegevens'!$C$10*'Invoer gegevens'!$F$37*Reeksen!L174,0)</f>
        <v>0</v>
      </c>
      <c r="AT174" s="71">
        <f ca="1">-IF(C174=1,IF(E174='Invoer gegevens'!$C$17,'Invoer gegevens'!$C$11,Q174)*Reeksen!S174*'Invoer gegevens'!$C$18*Reeksen!P174,0)</f>
        <v>0</v>
      </c>
      <c r="AU174" s="71">
        <f ca="1">-IF(C174=1,'Invoer gegevens'!$C$10*'Invoer gegevens'!$F$38*Reeksen!H174,0)</f>
        <v>0</v>
      </c>
      <c r="AV174" s="71">
        <f t="shared" si="32"/>
        <v>0</v>
      </c>
      <c r="AW174" s="71">
        <f t="shared" ca="1" si="28"/>
        <v>0</v>
      </c>
      <c r="AX174" s="71">
        <f ca="1">IF(E174&lt;'Invoer gegevens'!$C$17+15,0,IF('RW - MW - DE - DE'!E174&gt;'Invoer gegevens'!$C$17+215,0,'RW - MW - DE - DE'!AW174))</f>
        <v>0</v>
      </c>
      <c r="AY174" s="71">
        <f ca="1">AX174/(1+'Invoer gegevens'!$F$13)^($AZ174-('Invoer gegevens'!$C$17-'Invoer gegevens'!$C$16))/(1+'Invoer gegevens'!$C$39)^('Invoer gegevens'!$C$17-'Invoer gegevens'!$C$16)</f>
        <v>0</v>
      </c>
      <c r="AZ174" s="68">
        <f ca="1">IF(E174-'Invoer gegevens'!$C$17-14.5&lt;0,0,E174-'Invoer gegevens'!$C$17-14.5)</f>
        <v>154.5</v>
      </c>
      <c r="BC174" s="71"/>
    </row>
    <row r="175" spans="2:55" customFormat="1" x14ac:dyDescent="0.25">
      <c r="B175" s="70">
        <f t="shared" si="29"/>
        <v>171</v>
      </c>
      <c r="C175" s="67">
        <f ca="1">IF(E175-'Invoer gegevens'!$C$17&lt;0,0,1)</f>
        <v>1</v>
      </c>
      <c r="D175" s="68">
        <f t="shared" si="30"/>
        <v>170.5</v>
      </c>
      <c r="E175" s="69">
        <f ca="1">IF('Invoer gegevens'!$C$16="","",E174+1)</f>
        <v>2189</v>
      </c>
      <c r="F175" s="82">
        <f ca="1">IF('Invoer gegevens'!$C$17=E175,'Invoer gegevens'!$C$10,IF(C175=1,H174,0))</f>
        <v>0</v>
      </c>
      <c r="G175" s="83">
        <f ca="1">IF(C175&gt;=1,F175*Reeksen!C175,0)</f>
        <v>0</v>
      </c>
      <c r="H175" s="84">
        <f t="shared" ca="1" si="23"/>
        <v>0</v>
      </c>
      <c r="I175" s="85">
        <f ca="1">IF('Invoer gegevens'!$C$17=E175,'Invoer gegevens'!$C$11,IF(C175=1,L174,0))</f>
        <v>0</v>
      </c>
      <c r="J175" s="86">
        <f ca="1">IF(C175&lt;1,0,IF(Reeksen!AD175&lt;=Reeksen!AE175,I175*Reeksen!C175,0))</f>
        <v>0</v>
      </c>
      <c r="K175" s="86">
        <f ca="1">IF(C175&lt;1,0,IF(Reeksen!AD175&gt;Reeksen!AE175,I175*Reeksen!C175,0))</f>
        <v>0</v>
      </c>
      <c r="L175" s="86">
        <f t="shared" ca="1" si="24"/>
        <v>0</v>
      </c>
      <c r="M175" s="85">
        <f ca="1">IF('Invoer gegevens'!$C$17=E175,'Invoer gegevens'!$C$10-'Invoer gegevens'!$C$11,IF(C175=1,P174,0))</f>
        <v>0</v>
      </c>
      <c r="N175" s="86">
        <f ca="1">IF(C175&lt;1,0,IF(Reeksen!AD175&lt;=Reeksen!AE175,M175*Reeksen!C175,0))</f>
        <v>0</v>
      </c>
      <c r="O175" s="86">
        <f ca="1">IF(C175&lt;1,0,IF(Reeksen!AD175&gt;Reeksen!AE175,M175*Reeksen!C175,0))</f>
        <v>0</v>
      </c>
      <c r="P175" s="86">
        <f t="shared" ca="1" si="25"/>
        <v>0</v>
      </c>
      <c r="Q175" s="82">
        <f ca="1">IF('Invoer gegevens'!$C$17=E175,I175,IF(C175=0,0,R174))</f>
        <v>0</v>
      </c>
      <c r="R175" s="84">
        <f t="shared" ca="1" si="22"/>
        <v>0</v>
      </c>
      <c r="S175" s="84">
        <f ca="1">IF('Invoer gegevens'!$C$17=E175,M175,IF(C175=0,0,T174))</f>
        <v>0</v>
      </c>
      <c r="T175" s="84">
        <f t="shared" ca="1" si="31"/>
        <v>0</v>
      </c>
      <c r="AI175" s="71">
        <f ca="1">IF(C175=1,((F175+H175)/2*Reeksen!AI175*12)+(('Invoer gegevens'!$C$10-(F175+H175)/2)*Reeksen!AD175*12),0)</f>
        <v>0</v>
      </c>
      <c r="AJ175" s="71">
        <f ca="1">-AI175*'Invoer gegevens'!$F$28</f>
        <v>0</v>
      </c>
      <c r="AK175" s="71">
        <f t="shared" ca="1" si="26"/>
        <v>0</v>
      </c>
      <c r="AL175" s="71">
        <f ca="1">IF(C175=1,(12*((F175+H175)/2)*Reeksen!AL175)+(12*('Invoer gegevens'!$C$10-(F175+H175)/2)*Reeksen!AM175),0)</f>
        <v>0</v>
      </c>
      <c r="AM175" s="71">
        <f ca="1">-AL175*'Invoer gegevens'!$F$31</f>
        <v>0</v>
      </c>
      <c r="AN175" s="71">
        <f t="shared" ca="1" si="27"/>
        <v>0</v>
      </c>
      <c r="AO175" s="71"/>
      <c r="AP175" s="71"/>
      <c r="AQ175" s="71">
        <f ca="1">-IF(C175=1,('Invoer gegevens'!$C$10*'Invoer gegevens'!$F$35)*Reeksen!J175,0)*2</f>
        <v>0</v>
      </c>
      <c r="AR175" s="71">
        <f ca="1">-IF(C175=1,(G175*'Invoer gegevens'!$F$36)*Reeksen!J175,0)</f>
        <v>0</v>
      </c>
      <c r="AS175" s="71">
        <f ca="1">-IF(C175=1,'Invoer gegevens'!$C$10*'Invoer gegevens'!$F$37*Reeksen!L175,0)</f>
        <v>0</v>
      </c>
      <c r="AT175" s="71">
        <f ca="1">-IF(C175=1,IF(E175='Invoer gegevens'!$C$17,'Invoer gegevens'!$C$11,Q175)*Reeksen!S175*'Invoer gegevens'!$C$18*Reeksen!P175,0)</f>
        <v>0</v>
      </c>
      <c r="AU175" s="71">
        <f ca="1">-IF(C175=1,'Invoer gegevens'!$C$10*'Invoer gegevens'!$F$38*Reeksen!H175,0)</f>
        <v>0</v>
      </c>
      <c r="AV175" s="71">
        <f t="shared" si="32"/>
        <v>0</v>
      </c>
      <c r="AW175" s="71">
        <f t="shared" ca="1" si="28"/>
        <v>0</v>
      </c>
      <c r="AX175" s="71">
        <f ca="1">IF(E175&lt;'Invoer gegevens'!$C$17+15,0,IF('RW - MW - DE - DE'!E175&gt;'Invoer gegevens'!$C$17+215,0,'RW - MW - DE - DE'!AW175))</f>
        <v>0</v>
      </c>
      <c r="AY175" s="71">
        <f ca="1">AX175/(1+'Invoer gegevens'!$F$13)^($AZ175-('Invoer gegevens'!$C$17-'Invoer gegevens'!$C$16))/(1+'Invoer gegevens'!$C$39)^('Invoer gegevens'!$C$17-'Invoer gegevens'!$C$16)</f>
        <v>0</v>
      </c>
      <c r="AZ175" s="68">
        <f ca="1">IF(E175-'Invoer gegevens'!$C$17-14.5&lt;0,0,E175-'Invoer gegevens'!$C$17-14.5)</f>
        <v>155.5</v>
      </c>
      <c r="BC175" s="71"/>
    </row>
    <row r="176" spans="2:55" customFormat="1" x14ac:dyDescent="0.25">
      <c r="B176" s="70">
        <f t="shared" si="29"/>
        <v>172</v>
      </c>
      <c r="C176" s="67">
        <f ca="1">IF(E176-'Invoer gegevens'!$C$17&lt;0,0,1)</f>
        <v>1</v>
      </c>
      <c r="D176" s="68">
        <f t="shared" si="30"/>
        <v>171.5</v>
      </c>
      <c r="E176" s="69">
        <f ca="1">IF('Invoer gegevens'!$C$16="","",E175+1)</f>
        <v>2190</v>
      </c>
      <c r="F176" s="82">
        <f ca="1">IF('Invoer gegevens'!$C$17=E176,'Invoer gegevens'!$C$10,IF(C176=1,H175,0))</f>
        <v>0</v>
      </c>
      <c r="G176" s="83">
        <f ca="1">IF(C176&gt;=1,F176*Reeksen!C176,0)</f>
        <v>0</v>
      </c>
      <c r="H176" s="84">
        <f t="shared" ca="1" si="23"/>
        <v>0</v>
      </c>
      <c r="I176" s="85">
        <f ca="1">IF('Invoer gegevens'!$C$17=E176,'Invoer gegevens'!$C$11,IF(C176=1,L175,0))</f>
        <v>0</v>
      </c>
      <c r="J176" s="86">
        <f ca="1">IF(C176&lt;1,0,IF(Reeksen!AD176&lt;=Reeksen!AE176,I176*Reeksen!C176,0))</f>
        <v>0</v>
      </c>
      <c r="K176" s="86">
        <f ca="1">IF(C176&lt;1,0,IF(Reeksen!AD176&gt;Reeksen!AE176,I176*Reeksen!C176,0))</f>
        <v>0</v>
      </c>
      <c r="L176" s="86">
        <f t="shared" ca="1" si="24"/>
        <v>0</v>
      </c>
      <c r="M176" s="85">
        <f ca="1">IF('Invoer gegevens'!$C$17=E176,'Invoer gegevens'!$C$10-'Invoer gegevens'!$C$11,IF(C176=1,P175,0))</f>
        <v>0</v>
      </c>
      <c r="N176" s="86">
        <f ca="1">IF(C176&lt;1,0,IF(Reeksen!AD176&lt;=Reeksen!AE176,M176*Reeksen!C176,0))</f>
        <v>0</v>
      </c>
      <c r="O176" s="86">
        <f ca="1">IF(C176&lt;1,0,IF(Reeksen!AD176&gt;Reeksen!AE176,M176*Reeksen!C176,0))</f>
        <v>0</v>
      </c>
      <c r="P176" s="86">
        <f t="shared" ca="1" si="25"/>
        <v>0</v>
      </c>
      <c r="Q176" s="82">
        <f ca="1">IF('Invoer gegevens'!$C$17=E176,I176,IF(C176=0,0,R175))</f>
        <v>0</v>
      </c>
      <c r="R176" s="84">
        <f t="shared" ca="1" si="22"/>
        <v>0</v>
      </c>
      <c r="S176" s="84">
        <f ca="1">IF('Invoer gegevens'!$C$17=E176,M176,IF(C176=0,0,T175))</f>
        <v>0</v>
      </c>
      <c r="T176" s="84">
        <f t="shared" ca="1" si="31"/>
        <v>0</v>
      </c>
      <c r="AI176" s="71">
        <f ca="1">IF(C176=1,((F176+H176)/2*Reeksen!AI176*12)+(('Invoer gegevens'!$C$10-(F176+H176)/2)*Reeksen!AD176*12),0)</f>
        <v>0</v>
      </c>
      <c r="AJ176" s="71">
        <f ca="1">-AI176*'Invoer gegevens'!$F$28</f>
        <v>0</v>
      </c>
      <c r="AK176" s="71">
        <f t="shared" ca="1" si="26"/>
        <v>0</v>
      </c>
      <c r="AL176" s="71">
        <f ca="1">IF(C176=1,(12*((F176+H176)/2)*Reeksen!AL176)+(12*('Invoer gegevens'!$C$10-(F176+H176)/2)*Reeksen!AM176),0)</f>
        <v>0</v>
      </c>
      <c r="AM176" s="71">
        <f ca="1">-AL176*'Invoer gegevens'!$F$31</f>
        <v>0</v>
      </c>
      <c r="AN176" s="71">
        <f t="shared" ca="1" si="27"/>
        <v>0</v>
      </c>
      <c r="AO176" s="71"/>
      <c r="AP176" s="71"/>
      <c r="AQ176" s="71">
        <f ca="1">-IF(C176=1,('Invoer gegevens'!$C$10*'Invoer gegevens'!$F$35)*Reeksen!J176,0)*2</f>
        <v>0</v>
      </c>
      <c r="AR176" s="71">
        <f ca="1">-IF(C176=1,(G176*'Invoer gegevens'!$F$36)*Reeksen!J176,0)</f>
        <v>0</v>
      </c>
      <c r="AS176" s="71">
        <f ca="1">-IF(C176=1,'Invoer gegevens'!$C$10*'Invoer gegevens'!$F$37*Reeksen!L176,0)</f>
        <v>0</v>
      </c>
      <c r="AT176" s="71">
        <f ca="1">-IF(C176=1,IF(E176='Invoer gegevens'!$C$17,'Invoer gegevens'!$C$11,Q176)*Reeksen!S176*'Invoer gegevens'!$C$18*Reeksen!P176,0)</f>
        <v>0</v>
      </c>
      <c r="AU176" s="71">
        <f ca="1">-IF(C176=1,'Invoer gegevens'!$C$10*'Invoer gegevens'!$F$38*Reeksen!H176,0)</f>
        <v>0</v>
      </c>
      <c r="AV176" s="71">
        <f t="shared" si="32"/>
        <v>0</v>
      </c>
      <c r="AW176" s="71">
        <f t="shared" ca="1" si="28"/>
        <v>0</v>
      </c>
      <c r="AX176" s="71">
        <f ca="1">IF(E176&lt;'Invoer gegevens'!$C$17+15,0,IF('RW - MW - DE - DE'!E176&gt;'Invoer gegevens'!$C$17+215,0,'RW - MW - DE - DE'!AW176))</f>
        <v>0</v>
      </c>
      <c r="AY176" s="71">
        <f ca="1">AX176/(1+'Invoer gegevens'!$F$13)^($AZ176-('Invoer gegevens'!$C$17-'Invoer gegevens'!$C$16))/(1+'Invoer gegevens'!$C$39)^('Invoer gegevens'!$C$17-'Invoer gegevens'!$C$16)</f>
        <v>0</v>
      </c>
      <c r="AZ176" s="68">
        <f ca="1">IF(E176-'Invoer gegevens'!$C$17-14.5&lt;0,0,E176-'Invoer gegevens'!$C$17-14.5)</f>
        <v>156.5</v>
      </c>
      <c r="BC176" s="71"/>
    </row>
    <row r="177" spans="2:55" customFormat="1" x14ac:dyDescent="0.25">
      <c r="B177" s="70">
        <f t="shared" si="29"/>
        <v>173</v>
      </c>
      <c r="C177" s="67">
        <f ca="1">IF(E177-'Invoer gegevens'!$C$17&lt;0,0,1)</f>
        <v>1</v>
      </c>
      <c r="D177" s="68">
        <f t="shared" si="30"/>
        <v>172.5</v>
      </c>
      <c r="E177" s="69">
        <f ca="1">IF('Invoer gegevens'!$C$16="","",E176+1)</f>
        <v>2191</v>
      </c>
      <c r="F177" s="82">
        <f ca="1">IF('Invoer gegevens'!$C$17=E177,'Invoer gegevens'!$C$10,IF(C177=1,H176,0))</f>
        <v>0</v>
      </c>
      <c r="G177" s="83">
        <f ca="1">IF(C177&gt;=1,F177*Reeksen!C177,0)</f>
        <v>0</v>
      </c>
      <c r="H177" s="84">
        <f t="shared" ca="1" si="23"/>
        <v>0</v>
      </c>
      <c r="I177" s="85">
        <f ca="1">IF('Invoer gegevens'!$C$17=E177,'Invoer gegevens'!$C$11,IF(C177=1,L176,0))</f>
        <v>0</v>
      </c>
      <c r="J177" s="86">
        <f ca="1">IF(C177&lt;1,0,IF(Reeksen!AD177&lt;=Reeksen!AE177,I177*Reeksen!C177,0))</f>
        <v>0</v>
      </c>
      <c r="K177" s="86">
        <f ca="1">IF(C177&lt;1,0,IF(Reeksen!AD177&gt;Reeksen!AE177,I177*Reeksen!C177,0))</f>
        <v>0</v>
      </c>
      <c r="L177" s="86">
        <f t="shared" ca="1" si="24"/>
        <v>0</v>
      </c>
      <c r="M177" s="85">
        <f ca="1">IF('Invoer gegevens'!$C$17=E177,'Invoer gegevens'!$C$10-'Invoer gegevens'!$C$11,IF(C177=1,P176,0))</f>
        <v>0</v>
      </c>
      <c r="N177" s="86">
        <f ca="1">IF(C177&lt;1,0,IF(Reeksen!AD177&lt;=Reeksen!AE177,M177*Reeksen!C177,0))</f>
        <v>0</v>
      </c>
      <c r="O177" s="86">
        <f ca="1">IF(C177&lt;1,0,IF(Reeksen!AD177&gt;Reeksen!AE177,M177*Reeksen!C177,0))</f>
        <v>0</v>
      </c>
      <c r="P177" s="86">
        <f t="shared" ca="1" si="25"/>
        <v>0</v>
      </c>
      <c r="Q177" s="82">
        <f ca="1">IF('Invoer gegevens'!$C$17=E177,I177,IF(C177=0,0,R176))</f>
        <v>0</v>
      </c>
      <c r="R177" s="84">
        <f t="shared" ca="1" si="22"/>
        <v>0</v>
      </c>
      <c r="S177" s="84">
        <f ca="1">IF('Invoer gegevens'!$C$17=E177,M177,IF(C177=0,0,T176))</f>
        <v>0</v>
      </c>
      <c r="T177" s="84">
        <f t="shared" ca="1" si="31"/>
        <v>0</v>
      </c>
      <c r="AI177" s="71">
        <f ca="1">IF(C177=1,((F177+H177)/2*Reeksen!AI177*12)+(('Invoer gegevens'!$C$10-(F177+H177)/2)*Reeksen!AD177*12),0)</f>
        <v>0</v>
      </c>
      <c r="AJ177" s="71">
        <f ca="1">-AI177*'Invoer gegevens'!$F$28</f>
        <v>0</v>
      </c>
      <c r="AK177" s="71">
        <f t="shared" ca="1" si="26"/>
        <v>0</v>
      </c>
      <c r="AL177" s="71">
        <f ca="1">IF(C177=1,(12*((F177+H177)/2)*Reeksen!AL177)+(12*('Invoer gegevens'!$C$10-(F177+H177)/2)*Reeksen!AM177),0)</f>
        <v>0</v>
      </c>
      <c r="AM177" s="71">
        <f ca="1">-AL177*'Invoer gegevens'!$F$31</f>
        <v>0</v>
      </c>
      <c r="AN177" s="71">
        <f t="shared" ca="1" si="27"/>
        <v>0</v>
      </c>
      <c r="AO177" s="71"/>
      <c r="AP177" s="71"/>
      <c r="AQ177" s="71">
        <f ca="1">-IF(C177=1,('Invoer gegevens'!$C$10*'Invoer gegevens'!$F$35)*Reeksen!J177,0)*2</f>
        <v>0</v>
      </c>
      <c r="AR177" s="71">
        <f ca="1">-IF(C177=1,(G177*'Invoer gegevens'!$F$36)*Reeksen!J177,0)</f>
        <v>0</v>
      </c>
      <c r="AS177" s="71">
        <f ca="1">-IF(C177=1,'Invoer gegevens'!$C$10*'Invoer gegevens'!$F$37*Reeksen!L177,0)</f>
        <v>0</v>
      </c>
      <c r="AT177" s="71">
        <f ca="1">-IF(C177=1,IF(E177='Invoer gegevens'!$C$17,'Invoer gegevens'!$C$11,Q177)*Reeksen!S177*'Invoer gegevens'!$C$18*Reeksen!P177,0)</f>
        <v>0</v>
      </c>
      <c r="AU177" s="71">
        <f ca="1">-IF(C177=1,'Invoer gegevens'!$C$10*'Invoer gegevens'!$F$38*Reeksen!H177,0)</f>
        <v>0</v>
      </c>
      <c r="AV177" s="71">
        <f t="shared" si="32"/>
        <v>0</v>
      </c>
      <c r="AW177" s="71">
        <f t="shared" ca="1" si="28"/>
        <v>0</v>
      </c>
      <c r="AX177" s="71">
        <f ca="1">IF(E177&lt;'Invoer gegevens'!$C$17+15,0,IF('RW - MW - DE - DE'!E177&gt;'Invoer gegevens'!$C$17+215,0,'RW - MW - DE - DE'!AW177))</f>
        <v>0</v>
      </c>
      <c r="AY177" s="71">
        <f ca="1">AX177/(1+'Invoer gegevens'!$F$13)^($AZ177-('Invoer gegevens'!$C$17-'Invoer gegevens'!$C$16))/(1+'Invoer gegevens'!$C$39)^('Invoer gegevens'!$C$17-'Invoer gegevens'!$C$16)</f>
        <v>0</v>
      </c>
      <c r="AZ177" s="68">
        <f ca="1">IF(E177-'Invoer gegevens'!$C$17-14.5&lt;0,0,E177-'Invoer gegevens'!$C$17-14.5)</f>
        <v>157.5</v>
      </c>
      <c r="BC177" s="71"/>
    </row>
    <row r="178" spans="2:55" customFormat="1" x14ac:dyDescent="0.25">
      <c r="B178" s="70">
        <f t="shared" si="29"/>
        <v>174</v>
      </c>
      <c r="C178" s="67">
        <f ca="1">IF(E178-'Invoer gegevens'!$C$17&lt;0,0,1)</f>
        <v>1</v>
      </c>
      <c r="D178" s="68">
        <f t="shared" si="30"/>
        <v>173.5</v>
      </c>
      <c r="E178" s="69">
        <f ca="1">IF('Invoer gegevens'!$C$16="","",E177+1)</f>
        <v>2192</v>
      </c>
      <c r="F178" s="82">
        <f ca="1">IF('Invoer gegevens'!$C$17=E178,'Invoer gegevens'!$C$10,IF(C178=1,H177,0))</f>
        <v>0</v>
      </c>
      <c r="G178" s="83">
        <f ca="1">IF(C178&gt;=1,F178*Reeksen!C178,0)</f>
        <v>0</v>
      </c>
      <c r="H178" s="84">
        <f t="shared" ca="1" si="23"/>
        <v>0</v>
      </c>
      <c r="I178" s="85">
        <f ca="1">IF('Invoer gegevens'!$C$17=E178,'Invoer gegevens'!$C$11,IF(C178=1,L177,0))</f>
        <v>0</v>
      </c>
      <c r="J178" s="86">
        <f ca="1">IF(C178&lt;1,0,IF(Reeksen!AD178&lt;=Reeksen!AE178,I178*Reeksen!C178,0))</f>
        <v>0</v>
      </c>
      <c r="K178" s="86">
        <f ca="1">IF(C178&lt;1,0,IF(Reeksen!AD178&gt;Reeksen!AE178,I178*Reeksen!C178,0))</f>
        <v>0</v>
      </c>
      <c r="L178" s="86">
        <f t="shared" ca="1" si="24"/>
        <v>0</v>
      </c>
      <c r="M178" s="85">
        <f ca="1">IF('Invoer gegevens'!$C$17=E178,'Invoer gegevens'!$C$10-'Invoer gegevens'!$C$11,IF(C178=1,P177,0))</f>
        <v>0</v>
      </c>
      <c r="N178" s="86">
        <f ca="1">IF(C178&lt;1,0,IF(Reeksen!AD178&lt;=Reeksen!AE178,M178*Reeksen!C178,0))</f>
        <v>0</v>
      </c>
      <c r="O178" s="86">
        <f ca="1">IF(C178&lt;1,0,IF(Reeksen!AD178&gt;Reeksen!AE178,M178*Reeksen!C178,0))</f>
        <v>0</v>
      </c>
      <c r="P178" s="86">
        <f t="shared" ca="1" si="25"/>
        <v>0</v>
      </c>
      <c r="Q178" s="82">
        <f ca="1">IF('Invoer gegevens'!$C$17=E178,I178,IF(C178=0,0,R177))</f>
        <v>0</v>
      </c>
      <c r="R178" s="84">
        <f t="shared" ca="1" si="22"/>
        <v>0</v>
      </c>
      <c r="S178" s="84">
        <f ca="1">IF('Invoer gegevens'!$C$17=E178,M178,IF(C178=0,0,T177))</f>
        <v>0</v>
      </c>
      <c r="T178" s="84">
        <f t="shared" ca="1" si="31"/>
        <v>0</v>
      </c>
      <c r="AI178" s="71">
        <f ca="1">IF(C178=1,((F178+H178)/2*Reeksen!AI178*12)+(('Invoer gegevens'!$C$10-(F178+H178)/2)*Reeksen!AD178*12),0)</f>
        <v>0</v>
      </c>
      <c r="AJ178" s="71">
        <f ca="1">-AI178*'Invoer gegevens'!$F$28</f>
        <v>0</v>
      </c>
      <c r="AK178" s="71">
        <f t="shared" ca="1" si="26"/>
        <v>0</v>
      </c>
      <c r="AL178" s="71">
        <f ca="1">IF(C178=1,(12*((F178+H178)/2)*Reeksen!AL178)+(12*('Invoer gegevens'!$C$10-(F178+H178)/2)*Reeksen!AM178),0)</f>
        <v>0</v>
      </c>
      <c r="AM178" s="71">
        <f ca="1">-AL178*'Invoer gegevens'!$F$31</f>
        <v>0</v>
      </c>
      <c r="AN178" s="71">
        <f t="shared" ca="1" si="27"/>
        <v>0</v>
      </c>
      <c r="AO178" s="71"/>
      <c r="AP178" s="71"/>
      <c r="AQ178" s="71">
        <f ca="1">-IF(C178=1,('Invoer gegevens'!$C$10*'Invoer gegevens'!$F$35)*Reeksen!J178,0)*2</f>
        <v>0</v>
      </c>
      <c r="AR178" s="71">
        <f ca="1">-IF(C178=1,(G178*'Invoer gegevens'!$F$36)*Reeksen!J178,0)</f>
        <v>0</v>
      </c>
      <c r="AS178" s="71">
        <f ca="1">-IF(C178=1,'Invoer gegevens'!$C$10*'Invoer gegevens'!$F$37*Reeksen!L178,0)</f>
        <v>0</v>
      </c>
      <c r="AT178" s="71">
        <f ca="1">-IF(C178=1,IF(E178='Invoer gegevens'!$C$17,'Invoer gegevens'!$C$11,Q178)*Reeksen!S178*'Invoer gegevens'!$C$18*Reeksen!P178,0)</f>
        <v>0</v>
      </c>
      <c r="AU178" s="71">
        <f ca="1">-IF(C178=1,'Invoer gegevens'!$C$10*'Invoer gegevens'!$F$38*Reeksen!H178,0)</f>
        <v>0</v>
      </c>
      <c r="AV178" s="71">
        <f t="shared" si="32"/>
        <v>0</v>
      </c>
      <c r="AW178" s="71">
        <f t="shared" ca="1" si="28"/>
        <v>0</v>
      </c>
      <c r="AX178" s="71">
        <f ca="1">IF(E178&lt;'Invoer gegevens'!$C$17+15,0,IF('RW - MW - DE - DE'!E178&gt;'Invoer gegevens'!$C$17+215,0,'RW - MW - DE - DE'!AW178))</f>
        <v>0</v>
      </c>
      <c r="AY178" s="71">
        <f ca="1">AX178/(1+'Invoer gegevens'!$F$13)^($AZ178-('Invoer gegevens'!$C$17-'Invoer gegevens'!$C$16))/(1+'Invoer gegevens'!$C$39)^('Invoer gegevens'!$C$17-'Invoer gegevens'!$C$16)</f>
        <v>0</v>
      </c>
      <c r="AZ178" s="68">
        <f ca="1">IF(E178-'Invoer gegevens'!$C$17-14.5&lt;0,0,E178-'Invoer gegevens'!$C$17-14.5)</f>
        <v>158.5</v>
      </c>
      <c r="BC178" s="71"/>
    </row>
    <row r="179" spans="2:55" customFormat="1" x14ac:dyDescent="0.25">
      <c r="B179" s="70">
        <f t="shared" si="29"/>
        <v>175</v>
      </c>
      <c r="C179" s="67">
        <f ca="1">IF(E179-'Invoer gegevens'!$C$17&lt;0,0,1)</f>
        <v>1</v>
      </c>
      <c r="D179" s="68">
        <f t="shared" si="30"/>
        <v>174.5</v>
      </c>
      <c r="E179" s="69">
        <f ca="1">IF('Invoer gegevens'!$C$16="","",E178+1)</f>
        <v>2193</v>
      </c>
      <c r="F179" s="82">
        <f ca="1">IF('Invoer gegevens'!$C$17=E179,'Invoer gegevens'!$C$10,IF(C179=1,H178,0))</f>
        <v>0</v>
      </c>
      <c r="G179" s="83">
        <f ca="1">IF(C179&gt;=1,F179*Reeksen!C179,0)</f>
        <v>0</v>
      </c>
      <c r="H179" s="84">
        <f t="shared" ca="1" si="23"/>
        <v>0</v>
      </c>
      <c r="I179" s="85">
        <f ca="1">IF('Invoer gegevens'!$C$17=E179,'Invoer gegevens'!$C$11,IF(C179=1,L178,0))</f>
        <v>0</v>
      </c>
      <c r="J179" s="86">
        <f ca="1">IF(C179&lt;1,0,IF(Reeksen!AD179&lt;=Reeksen!AE179,I179*Reeksen!C179,0))</f>
        <v>0</v>
      </c>
      <c r="K179" s="86">
        <f ca="1">IF(C179&lt;1,0,IF(Reeksen!AD179&gt;Reeksen!AE179,I179*Reeksen!C179,0))</f>
        <v>0</v>
      </c>
      <c r="L179" s="86">
        <f t="shared" ca="1" si="24"/>
        <v>0</v>
      </c>
      <c r="M179" s="85">
        <f ca="1">IF('Invoer gegevens'!$C$17=E179,'Invoer gegevens'!$C$10-'Invoer gegevens'!$C$11,IF(C179=1,P178,0))</f>
        <v>0</v>
      </c>
      <c r="N179" s="86">
        <f ca="1">IF(C179&lt;1,0,IF(Reeksen!AD179&lt;=Reeksen!AE179,M179*Reeksen!C179,0))</f>
        <v>0</v>
      </c>
      <c r="O179" s="86">
        <f ca="1">IF(C179&lt;1,0,IF(Reeksen!AD179&gt;Reeksen!AE179,M179*Reeksen!C179,0))</f>
        <v>0</v>
      </c>
      <c r="P179" s="86">
        <f t="shared" ca="1" si="25"/>
        <v>0</v>
      </c>
      <c r="Q179" s="82">
        <f ca="1">IF('Invoer gegevens'!$C$17=E179,I179,IF(C179=0,0,R178))</f>
        <v>0</v>
      </c>
      <c r="R179" s="84">
        <f t="shared" ca="1" si="22"/>
        <v>0</v>
      </c>
      <c r="S179" s="84">
        <f ca="1">IF('Invoer gegevens'!$C$17=E179,M179,IF(C179=0,0,T178))</f>
        <v>0</v>
      </c>
      <c r="T179" s="84">
        <f t="shared" ca="1" si="31"/>
        <v>0</v>
      </c>
      <c r="AI179" s="71">
        <f ca="1">IF(C179=1,((F179+H179)/2*Reeksen!AI179*12)+(('Invoer gegevens'!$C$10-(F179+H179)/2)*Reeksen!AD179*12),0)</f>
        <v>0</v>
      </c>
      <c r="AJ179" s="71">
        <f ca="1">-AI179*'Invoer gegevens'!$F$28</f>
        <v>0</v>
      </c>
      <c r="AK179" s="71">
        <f t="shared" ca="1" si="26"/>
        <v>0</v>
      </c>
      <c r="AL179" s="71">
        <f ca="1">IF(C179=1,(12*((F179+H179)/2)*Reeksen!AL179)+(12*('Invoer gegevens'!$C$10-(F179+H179)/2)*Reeksen!AM179),0)</f>
        <v>0</v>
      </c>
      <c r="AM179" s="71">
        <f ca="1">-AL179*'Invoer gegevens'!$F$31</f>
        <v>0</v>
      </c>
      <c r="AN179" s="71">
        <f t="shared" ca="1" si="27"/>
        <v>0</v>
      </c>
      <c r="AO179" s="71"/>
      <c r="AP179" s="71"/>
      <c r="AQ179" s="71">
        <f ca="1">-IF(C179=1,('Invoer gegevens'!$C$10*'Invoer gegevens'!$F$35)*Reeksen!J179,0)*2</f>
        <v>0</v>
      </c>
      <c r="AR179" s="71">
        <f ca="1">-IF(C179=1,(G179*'Invoer gegevens'!$F$36)*Reeksen!J179,0)</f>
        <v>0</v>
      </c>
      <c r="AS179" s="71">
        <f ca="1">-IF(C179=1,'Invoer gegevens'!$C$10*'Invoer gegevens'!$F$37*Reeksen!L179,0)</f>
        <v>0</v>
      </c>
      <c r="AT179" s="71">
        <f ca="1">-IF(C179=1,IF(E179='Invoer gegevens'!$C$17,'Invoer gegevens'!$C$11,Q179)*Reeksen!S179*'Invoer gegevens'!$C$18*Reeksen!P179,0)</f>
        <v>0</v>
      </c>
      <c r="AU179" s="71">
        <f ca="1">-IF(C179=1,'Invoer gegevens'!$C$10*'Invoer gegevens'!$F$38*Reeksen!H179,0)</f>
        <v>0</v>
      </c>
      <c r="AV179" s="71">
        <f t="shared" si="32"/>
        <v>0</v>
      </c>
      <c r="AW179" s="71">
        <f t="shared" ca="1" si="28"/>
        <v>0</v>
      </c>
      <c r="AX179" s="71">
        <f ca="1">IF(E179&lt;'Invoer gegevens'!$C$17+15,0,IF('RW - MW - DE - DE'!E179&gt;'Invoer gegevens'!$C$17+215,0,'RW - MW - DE - DE'!AW179))</f>
        <v>0</v>
      </c>
      <c r="AY179" s="71">
        <f ca="1">AX179/(1+'Invoer gegevens'!$F$13)^($AZ179-('Invoer gegevens'!$C$17-'Invoer gegevens'!$C$16))/(1+'Invoer gegevens'!$C$39)^('Invoer gegevens'!$C$17-'Invoer gegevens'!$C$16)</f>
        <v>0</v>
      </c>
      <c r="AZ179" s="68">
        <f ca="1">IF(E179-'Invoer gegevens'!$C$17-14.5&lt;0,0,E179-'Invoer gegevens'!$C$17-14.5)</f>
        <v>159.5</v>
      </c>
      <c r="BC179" s="71"/>
    </row>
    <row r="180" spans="2:55" customFormat="1" x14ac:dyDescent="0.25">
      <c r="B180" s="70">
        <f t="shared" si="29"/>
        <v>176</v>
      </c>
      <c r="C180" s="67">
        <f ca="1">IF(E180-'Invoer gegevens'!$C$17&lt;0,0,1)</f>
        <v>1</v>
      </c>
      <c r="D180" s="68">
        <f t="shared" si="30"/>
        <v>175.5</v>
      </c>
      <c r="E180" s="69">
        <f ca="1">IF('Invoer gegevens'!$C$16="","",E179+1)</f>
        <v>2194</v>
      </c>
      <c r="F180" s="82">
        <f ca="1">IF('Invoer gegevens'!$C$17=E180,'Invoer gegevens'!$C$10,IF(C180=1,H179,0))</f>
        <v>0</v>
      </c>
      <c r="G180" s="83">
        <f ca="1">IF(C180&gt;=1,F180*Reeksen!C180,0)</f>
        <v>0</v>
      </c>
      <c r="H180" s="84">
        <f t="shared" ca="1" si="23"/>
        <v>0</v>
      </c>
      <c r="I180" s="85">
        <f ca="1">IF('Invoer gegevens'!$C$17=E180,'Invoer gegevens'!$C$11,IF(C180=1,L179,0))</f>
        <v>0</v>
      </c>
      <c r="J180" s="86">
        <f ca="1">IF(C180&lt;1,0,IF(Reeksen!AD180&lt;=Reeksen!AE180,I180*Reeksen!C180,0))</f>
        <v>0</v>
      </c>
      <c r="K180" s="86">
        <f ca="1">IF(C180&lt;1,0,IF(Reeksen!AD180&gt;Reeksen!AE180,I180*Reeksen!C180,0))</f>
        <v>0</v>
      </c>
      <c r="L180" s="86">
        <f t="shared" ca="1" si="24"/>
        <v>0</v>
      </c>
      <c r="M180" s="85">
        <f ca="1">IF('Invoer gegevens'!$C$17=E180,'Invoer gegevens'!$C$10-'Invoer gegevens'!$C$11,IF(C180=1,P179,0))</f>
        <v>0</v>
      </c>
      <c r="N180" s="86">
        <f ca="1">IF(C180&lt;1,0,IF(Reeksen!AD180&lt;=Reeksen!AE180,M180*Reeksen!C180,0))</f>
        <v>0</v>
      </c>
      <c r="O180" s="86">
        <f ca="1">IF(C180&lt;1,0,IF(Reeksen!AD180&gt;Reeksen!AE180,M180*Reeksen!C180,0))</f>
        <v>0</v>
      </c>
      <c r="P180" s="86">
        <f t="shared" ca="1" si="25"/>
        <v>0</v>
      </c>
      <c r="Q180" s="82">
        <f ca="1">IF('Invoer gegevens'!$C$17=E180,I180,IF(C180=0,0,R179))</f>
        <v>0</v>
      </c>
      <c r="R180" s="84">
        <f t="shared" ca="1" si="22"/>
        <v>0</v>
      </c>
      <c r="S180" s="84">
        <f ca="1">IF('Invoer gegevens'!$C$17=E180,M180,IF(C180=0,0,T179))</f>
        <v>0</v>
      </c>
      <c r="T180" s="84">
        <f t="shared" ca="1" si="31"/>
        <v>0</v>
      </c>
      <c r="AI180" s="71">
        <f ca="1">IF(C180=1,((F180+H180)/2*Reeksen!AI180*12)+(('Invoer gegevens'!$C$10-(F180+H180)/2)*Reeksen!AD180*12),0)</f>
        <v>0</v>
      </c>
      <c r="AJ180" s="71">
        <f ca="1">-AI180*'Invoer gegevens'!$F$28</f>
        <v>0</v>
      </c>
      <c r="AK180" s="71">
        <f t="shared" ca="1" si="26"/>
        <v>0</v>
      </c>
      <c r="AL180" s="71">
        <f ca="1">IF(C180=1,(12*((F180+H180)/2)*Reeksen!AL180)+(12*('Invoer gegevens'!$C$10-(F180+H180)/2)*Reeksen!AM180),0)</f>
        <v>0</v>
      </c>
      <c r="AM180" s="71">
        <f ca="1">-AL180*'Invoer gegevens'!$F$31</f>
        <v>0</v>
      </c>
      <c r="AN180" s="71">
        <f t="shared" ca="1" si="27"/>
        <v>0</v>
      </c>
      <c r="AO180" s="71"/>
      <c r="AP180" s="71"/>
      <c r="AQ180" s="71">
        <f ca="1">-IF(C180=1,('Invoer gegevens'!$C$10*'Invoer gegevens'!$F$35)*Reeksen!J180,0)*2</f>
        <v>0</v>
      </c>
      <c r="AR180" s="71">
        <f ca="1">-IF(C180=1,(G180*'Invoer gegevens'!$F$36)*Reeksen!J180,0)</f>
        <v>0</v>
      </c>
      <c r="AS180" s="71">
        <f ca="1">-IF(C180=1,'Invoer gegevens'!$C$10*'Invoer gegevens'!$F$37*Reeksen!L180,0)</f>
        <v>0</v>
      </c>
      <c r="AT180" s="71">
        <f ca="1">-IF(C180=1,IF(E180='Invoer gegevens'!$C$17,'Invoer gegevens'!$C$11,Q180)*Reeksen!S180*'Invoer gegevens'!$C$18*Reeksen!P180,0)</f>
        <v>0</v>
      </c>
      <c r="AU180" s="71">
        <f ca="1">-IF(C180=1,'Invoer gegevens'!$C$10*'Invoer gegevens'!$F$38*Reeksen!H180,0)</f>
        <v>0</v>
      </c>
      <c r="AV180" s="71">
        <f t="shared" si="32"/>
        <v>0</v>
      </c>
      <c r="AW180" s="71">
        <f t="shared" ca="1" si="28"/>
        <v>0</v>
      </c>
      <c r="AX180" s="71">
        <f ca="1">IF(E180&lt;'Invoer gegevens'!$C$17+15,0,IF('RW - MW - DE - DE'!E180&gt;'Invoer gegevens'!$C$17+215,0,'RW - MW - DE - DE'!AW180))</f>
        <v>0</v>
      </c>
      <c r="AY180" s="71">
        <f ca="1">AX180/(1+'Invoer gegevens'!$F$13)^($AZ180-('Invoer gegevens'!$C$17-'Invoer gegevens'!$C$16))/(1+'Invoer gegevens'!$C$39)^('Invoer gegevens'!$C$17-'Invoer gegevens'!$C$16)</f>
        <v>0</v>
      </c>
      <c r="AZ180" s="68">
        <f ca="1">IF(E180-'Invoer gegevens'!$C$17-14.5&lt;0,0,E180-'Invoer gegevens'!$C$17-14.5)</f>
        <v>160.5</v>
      </c>
      <c r="BC180" s="71"/>
    </row>
    <row r="181" spans="2:55" customFormat="1" x14ac:dyDescent="0.25">
      <c r="B181" s="70">
        <f t="shared" si="29"/>
        <v>177</v>
      </c>
      <c r="C181" s="67">
        <f ca="1">IF(E181-'Invoer gegevens'!$C$17&lt;0,0,1)</f>
        <v>1</v>
      </c>
      <c r="D181" s="68">
        <f t="shared" si="30"/>
        <v>176.5</v>
      </c>
      <c r="E181" s="69">
        <f ca="1">IF('Invoer gegevens'!$C$16="","",E180+1)</f>
        <v>2195</v>
      </c>
      <c r="F181" s="82">
        <f ca="1">IF('Invoer gegevens'!$C$17=E181,'Invoer gegevens'!$C$10,IF(C181=1,H180,0))</f>
        <v>0</v>
      </c>
      <c r="G181" s="83">
        <f ca="1">IF(C181&gt;=1,F181*Reeksen!C181,0)</f>
        <v>0</v>
      </c>
      <c r="H181" s="84">
        <f t="shared" ca="1" si="23"/>
        <v>0</v>
      </c>
      <c r="I181" s="85">
        <f ca="1">IF('Invoer gegevens'!$C$17=E181,'Invoer gegevens'!$C$11,IF(C181=1,L180,0))</f>
        <v>0</v>
      </c>
      <c r="J181" s="86">
        <f ca="1">IF(C181&lt;1,0,IF(Reeksen!AD181&lt;=Reeksen!AE181,I181*Reeksen!C181,0))</f>
        <v>0</v>
      </c>
      <c r="K181" s="86">
        <f ca="1">IF(C181&lt;1,0,IF(Reeksen!AD181&gt;Reeksen!AE181,I181*Reeksen!C181,0))</f>
        <v>0</v>
      </c>
      <c r="L181" s="86">
        <f t="shared" ca="1" si="24"/>
        <v>0</v>
      </c>
      <c r="M181" s="85">
        <f ca="1">IF('Invoer gegevens'!$C$17=E181,'Invoer gegevens'!$C$10-'Invoer gegevens'!$C$11,IF(C181=1,P180,0))</f>
        <v>0</v>
      </c>
      <c r="N181" s="86">
        <f ca="1">IF(C181&lt;1,0,IF(Reeksen!AD181&lt;=Reeksen!AE181,M181*Reeksen!C181,0))</f>
        <v>0</v>
      </c>
      <c r="O181" s="86">
        <f ca="1">IF(C181&lt;1,0,IF(Reeksen!AD181&gt;Reeksen!AE181,M181*Reeksen!C181,0))</f>
        <v>0</v>
      </c>
      <c r="P181" s="86">
        <f t="shared" ca="1" si="25"/>
        <v>0</v>
      </c>
      <c r="Q181" s="82">
        <f ca="1">IF('Invoer gegevens'!$C$17=E181,I181,IF(C181=0,0,R180))</f>
        <v>0</v>
      </c>
      <c r="R181" s="84">
        <f t="shared" ca="1" si="22"/>
        <v>0</v>
      </c>
      <c r="S181" s="84">
        <f ca="1">IF('Invoer gegevens'!$C$17=E181,M181,IF(C181=0,0,T180))</f>
        <v>0</v>
      </c>
      <c r="T181" s="84">
        <f t="shared" ca="1" si="31"/>
        <v>0</v>
      </c>
      <c r="AI181" s="71">
        <f ca="1">IF(C181=1,((F181+H181)/2*Reeksen!AI181*12)+(('Invoer gegevens'!$C$10-(F181+H181)/2)*Reeksen!AD181*12),0)</f>
        <v>0</v>
      </c>
      <c r="AJ181" s="71">
        <f ca="1">-AI181*'Invoer gegevens'!$F$28</f>
        <v>0</v>
      </c>
      <c r="AK181" s="71">
        <f t="shared" ca="1" si="26"/>
        <v>0</v>
      </c>
      <c r="AL181" s="71">
        <f ca="1">IF(C181=1,(12*((F181+H181)/2)*Reeksen!AL181)+(12*('Invoer gegevens'!$C$10-(F181+H181)/2)*Reeksen!AM181),0)</f>
        <v>0</v>
      </c>
      <c r="AM181" s="71">
        <f ca="1">-AL181*'Invoer gegevens'!$F$31</f>
        <v>0</v>
      </c>
      <c r="AN181" s="71">
        <f t="shared" ca="1" si="27"/>
        <v>0</v>
      </c>
      <c r="AO181" s="71"/>
      <c r="AP181" s="71"/>
      <c r="AQ181" s="71">
        <f ca="1">-IF(C181=1,('Invoer gegevens'!$C$10*'Invoer gegevens'!$F$35)*Reeksen!J181,0)*2</f>
        <v>0</v>
      </c>
      <c r="AR181" s="71">
        <f ca="1">-IF(C181=1,(G181*'Invoer gegevens'!$F$36)*Reeksen!J181,0)</f>
        <v>0</v>
      </c>
      <c r="AS181" s="71">
        <f ca="1">-IF(C181=1,'Invoer gegevens'!$C$10*'Invoer gegevens'!$F$37*Reeksen!L181,0)</f>
        <v>0</v>
      </c>
      <c r="AT181" s="71">
        <f ca="1">-IF(C181=1,IF(E181='Invoer gegevens'!$C$17,'Invoer gegevens'!$C$11,Q181)*Reeksen!S181*'Invoer gegevens'!$C$18*Reeksen!P181,0)</f>
        <v>0</v>
      </c>
      <c r="AU181" s="71">
        <f ca="1">-IF(C181=1,'Invoer gegevens'!$C$10*'Invoer gegevens'!$F$38*Reeksen!H181,0)</f>
        <v>0</v>
      </c>
      <c r="AV181" s="71">
        <f t="shared" si="32"/>
        <v>0</v>
      </c>
      <c r="AW181" s="71">
        <f t="shared" ca="1" si="28"/>
        <v>0</v>
      </c>
      <c r="AX181" s="71">
        <f ca="1">IF(E181&lt;'Invoer gegevens'!$C$17+15,0,IF('RW - MW - DE - DE'!E181&gt;'Invoer gegevens'!$C$17+215,0,'RW - MW - DE - DE'!AW181))</f>
        <v>0</v>
      </c>
      <c r="AY181" s="71">
        <f ca="1">AX181/(1+'Invoer gegevens'!$F$13)^($AZ181-('Invoer gegevens'!$C$17-'Invoer gegevens'!$C$16))/(1+'Invoer gegevens'!$C$39)^('Invoer gegevens'!$C$17-'Invoer gegevens'!$C$16)</f>
        <v>0</v>
      </c>
      <c r="AZ181" s="68">
        <f ca="1">IF(E181-'Invoer gegevens'!$C$17-14.5&lt;0,0,E181-'Invoer gegevens'!$C$17-14.5)</f>
        <v>161.5</v>
      </c>
      <c r="BC181" s="71"/>
    </row>
    <row r="182" spans="2:55" customFormat="1" x14ac:dyDescent="0.25">
      <c r="B182" s="70">
        <f t="shared" si="29"/>
        <v>178</v>
      </c>
      <c r="C182" s="67">
        <f ca="1">IF(E182-'Invoer gegevens'!$C$17&lt;0,0,1)</f>
        <v>1</v>
      </c>
      <c r="D182" s="68">
        <f t="shared" si="30"/>
        <v>177.5</v>
      </c>
      <c r="E182" s="69">
        <f ca="1">IF('Invoer gegevens'!$C$16="","",E181+1)</f>
        <v>2196</v>
      </c>
      <c r="F182" s="82">
        <f ca="1">IF('Invoer gegevens'!$C$17=E182,'Invoer gegevens'!$C$10,IF(C182=1,H181,0))</f>
        <v>0</v>
      </c>
      <c r="G182" s="83">
        <f ca="1">IF(C182&gt;=1,F182*Reeksen!C182,0)</f>
        <v>0</v>
      </c>
      <c r="H182" s="84">
        <f t="shared" ca="1" si="23"/>
        <v>0</v>
      </c>
      <c r="I182" s="85">
        <f ca="1">IF('Invoer gegevens'!$C$17=E182,'Invoer gegevens'!$C$11,IF(C182=1,L181,0))</f>
        <v>0</v>
      </c>
      <c r="J182" s="86">
        <f ca="1">IF(C182&lt;1,0,IF(Reeksen!AD182&lt;=Reeksen!AE182,I182*Reeksen!C182,0))</f>
        <v>0</v>
      </c>
      <c r="K182" s="86">
        <f ca="1">IF(C182&lt;1,0,IF(Reeksen!AD182&gt;Reeksen!AE182,I182*Reeksen!C182,0))</f>
        <v>0</v>
      </c>
      <c r="L182" s="86">
        <f t="shared" ca="1" si="24"/>
        <v>0</v>
      </c>
      <c r="M182" s="85">
        <f ca="1">IF('Invoer gegevens'!$C$17=E182,'Invoer gegevens'!$C$10-'Invoer gegevens'!$C$11,IF(C182=1,P181,0))</f>
        <v>0</v>
      </c>
      <c r="N182" s="86">
        <f ca="1">IF(C182&lt;1,0,IF(Reeksen!AD182&lt;=Reeksen!AE182,M182*Reeksen!C182,0))</f>
        <v>0</v>
      </c>
      <c r="O182" s="86">
        <f ca="1">IF(C182&lt;1,0,IF(Reeksen!AD182&gt;Reeksen!AE182,M182*Reeksen!C182,0))</f>
        <v>0</v>
      </c>
      <c r="P182" s="86">
        <f t="shared" ca="1" si="25"/>
        <v>0</v>
      </c>
      <c r="Q182" s="82">
        <f ca="1">IF('Invoer gegevens'!$C$17=E182,I182,IF(C182=0,0,R181))</f>
        <v>0</v>
      </c>
      <c r="R182" s="84">
        <f t="shared" ca="1" si="22"/>
        <v>0</v>
      </c>
      <c r="S182" s="84">
        <f ca="1">IF('Invoer gegevens'!$C$17=E182,M182,IF(C182=0,0,T181))</f>
        <v>0</v>
      </c>
      <c r="T182" s="84">
        <f t="shared" ca="1" si="31"/>
        <v>0</v>
      </c>
      <c r="AI182" s="71">
        <f ca="1">IF(C182=1,((F182+H182)/2*Reeksen!AI182*12)+(('Invoer gegevens'!$C$10-(F182+H182)/2)*Reeksen!AD182*12),0)</f>
        <v>0</v>
      </c>
      <c r="AJ182" s="71">
        <f ca="1">-AI182*'Invoer gegevens'!$F$28</f>
        <v>0</v>
      </c>
      <c r="AK182" s="71">
        <f t="shared" ca="1" si="26"/>
        <v>0</v>
      </c>
      <c r="AL182" s="71">
        <f ca="1">IF(C182=1,(12*((F182+H182)/2)*Reeksen!AL182)+(12*('Invoer gegevens'!$C$10-(F182+H182)/2)*Reeksen!AM182),0)</f>
        <v>0</v>
      </c>
      <c r="AM182" s="71">
        <f ca="1">-AL182*'Invoer gegevens'!$F$31</f>
        <v>0</v>
      </c>
      <c r="AN182" s="71">
        <f t="shared" ca="1" si="27"/>
        <v>0</v>
      </c>
      <c r="AO182" s="71"/>
      <c r="AP182" s="71"/>
      <c r="AQ182" s="71">
        <f ca="1">-IF(C182=1,('Invoer gegevens'!$C$10*'Invoer gegevens'!$F$35)*Reeksen!J182,0)*2</f>
        <v>0</v>
      </c>
      <c r="AR182" s="71">
        <f ca="1">-IF(C182=1,(G182*'Invoer gegevens'!$F$36)*Reeksen!J182,0)</f>
        <v>0</v>
      </c>
      <c r="AS182" s="71">
        <f ca="1">-IF(C182=1,'Invoer gegevens'!$C$10*'Invoer gegevens'!$F$37*Reeksen!L182,0)</f>
        <v>0</v>
      </c>
      <c r="AT182" s="71">
        <f ca="1">-IF(C182=1,IF(E182='Invoer gegevens'!$C$17,'Invoer gegevens'!$C$11,Q182)*Reeksen!S182*'Invoer gegevens'!$C$18*Reeksen!P182,0)</f>
        <v>0</v>
      </c>
      <c r="AU182" s="71">
        <f ca="1">-IF(C182=1,'Invoer gegevens'!$C$10*'Invoer gegevens'!$F$38*Reeksen!H182,0)</f>
        <v>0</v>
      </c>
      <c r="AV182" s="71">
        <f t="shared" si="32"/>
        <v>0</v>
      </c>
      <c r="AW182" s="71">
        <f t="shared" ca="1" si="28"/>
        <v>0</v>
      </c>
      <c r="AX182" s="71">
        <f ca="1">IF(E182&lt;'Invoer gegevens'!$C$17+15,0,IF('RW - MW - DE - DE'!E182&gt;'Invoer gegevens'!$C$17+215,0,'RW - MW - DE - DE'!AW182))</f>
        <v>0</v>
      </c>
      <c r="AY182" s="71">
        <f ca="1">AX182/(1+'Invoer gegevens'!$F$13)^($AZ182-('Invoer gegevens'!$C$17-'Invoer gegevens'!$C$16))/(1+'Invoer gegevens'!$C$39)^('Invoer gegevens'!$C$17-'Invoer gegevens'!$C$16)</f>
        <v>0</v>
      </c>
      <c r="AZ182" s="68">
        <f ca="1">IF(E182-'Invoer gegevens'!$C$17-14.5&lt;0,0,E182-'Invoer gegevens'!$C$17-14.5)</f>
        <v>162.5</v>
      </c>
      <c r="BC182" s="71"/>
    </row>
    <row r="183" spans="2:55" customFormat="1" x14ac:dyDescent="0.25">
      <c r="B183" s="70">
        <f t="shared" si="29"/>
        <v>179</v>
      </c>
      <c r="C183" s="67">
        <f ca="1">IF(E183-'Invoer gegevens'!$C$17&lt;0,0,1)</f>
        <v>1</v>
      </c>
      <c r="D183" s="68">
        <f t="shared" si="30"/>
        <v>178.5</v>
      </c>
      <c r="E183" s="69">
        <f ca="1">IF('Invoer gegevens'!$C$16="","",E182+1)</f>
        <v>2197</v>
      </c>
      <c r="F183" s="82">
        <f ca="1">IF('Invoer gegevens'!$C$17=E183,'Invoer gegevens'!$C$10,IF(C183=1,H182,0))</f>
        <v>0</v>
      </c>
      <c r="G183" s="83">
        <f ca="1">IF(C183&gt;=1,F183*Reeksen!C183,0)</f>
        <v>0</v>
      </c>
      <c r="H183" s="84">
        <f t="shared" ca="1" si="23"/>
        <v>0</v>
      </c>
      <c r="I183" s="85">
        <f ca="1">IF('Invoer gegevens'!$C$17=E183,'Invoer gegevens'!$C$11,IF(C183=1,L182,0))</f>
        <v>0</v>
      </c>
      <c r="J183" s="86">
        <f ca="1">IF(C183&lt;1,0,IF(Reeksen!AD183&lt;=Reeksen!AE183,I183*Reeksen!C183,0))</f>
        <v>0</v>
      </c>
      <c r="K183" s="86">
        <f ca="1">IF(C183&lt;1,0,IF(Reeksen!AD183&gt;Reeksen!AE183,I183*Reeksen!C183,0))</f>
        <v>0</v>
      </c>
      <c r="L183" s="86">
        <f t="shared" ca="1" si="24"/>
        <v>0</v>
      </c>
      <c r="M183" s="85">
        <f ca="1">IF('Invoer gegevens'!$C$17=E183,'Invoer gegevens'!$C$10-'Invoer gegevens'!$C$11,IF(C183=1,P182,0))</f>
        <v>0</v>
      </c>
      <c r="N183" s="86">
        <f ca="1">IF(C183&lt;1,0,IF(Reeksen!AD183&lt;=Reeksen!AE183,M183*Reeksen!C183,0))</f>
        <v>0</v>
      </c>
      <c r="O183" s="86">
        <f ca="1">IF(C183&lt;1,0,IF(Reeksen!AD183&gt;Reeksen!AE183,M183*Reeksen!C183,0))</f>
        <v>0</v>
      </c>
      <c r="P183" s="86">
        <f t="shared" ca="1" si="25"/>
        <v>0</v>
      </c>
      <c r="Q183" s="82">
        <f ca="1">IF('Invoer gegevens'!$C$17=E183,I183,IF(C183=0,0,R182))</f>
        <v>0</v>
      </c>
      <c r="R183" s="84">
        <f t="shared" ca="1" si="22"/>
        <v>0</v>
      </c>
      <c r="S183" s="84">
        <f ca="1">IF('Invoer gegevens'!$C$17=E183,M183,IF(C183=0,0,T182))</f>
        <v>0</v>
      </c>
      <c r="T183" s="84">
        <f t="shared" ca="1" si="31"/>
        <v>0</v>
      </c>
      <c r="AI183" s="71">
        <f ca="1">IF(C183=1,((F183+H183)/2*Reeksen!AI183*12)+(('Invoer gegevens'!$C$10-(F183+H183)/2)*Reeksen!AD183*12),0)</f>
        <v>0</v>
      </c>
      <c r="AJ183" s="71">
        <f ca="1">-AI183*'Invoer gegevens'!$F$28</f>
        <v>0</v>
      </c>
      <c r="AK183" s="71">
        <f t="shared" ca="1" si="26"/>
        <v>0</v>
      </c>
      <c r="AL183" s="71">
        <f ca="1">IF(C183=1,(12*((F183+H183)/2)*Reeksen!AL183)+(12*('Invoer gegevens'!$C$10-(F183+H183)/2)*Reeksen!AM183),0)</f>
        <v>0</v>
      </c>
      <c r="AM183" s="71">
        <f ca="1">-AL183*'Invoer gegevens'!$F$31</f>
        <v>0</v>
      </c>
      <c r="AN183" s="71">
        <f t="shared" ca="1" si="27"/>
        <v>0</v>
      </c>
      <c r="AO183" s="71"/>
      <c r="AP183" s="71"/>
      <c r="AQ183" s="71">
        <f ca="1">-IF(C183=1,('Invoer gegevens'!$C$10*'Invoer gegevens'!$F$35)*Reeksen!J183,0)*2</f>
        <v>0</v>
      </c>
      <c r="AR183" s="71">
        <f ca="1">-IF(C183=1,(G183*'Invoer gegevens'!$F$36)*Reeksen!J183,0)</f>
        <v>0</v>
      </c>
      <c r="AS183" s="71">
        <f ca="1">-IF(C183=1,'Invoer gegevens'!$C$10*'Invoer gegevens'!$F$37*Reeksen!L183,0)</f>
        <v>0</v>
      </c>
      <c r="AT183" s="71">
        <f ca="1">-IF(C183=1,IF(E183='Invoer gegevens'!$C$17,'Invoer gegevens'!$C$11,Q183)*Reeksen!S183*'Invoer gegevens'!$C$18*Reeksen!P183,0)</f>
        <v>0</v>
      </c>
      <c r="AU183" s="71">
        <f ca="1">-IF(C183=1,'Invoer gegevens'!$C$10*'Invoer gegevens'!$F$38*Reeksen!H183,0)</f>
        <v>0</v>
      </c>
      <c r="AV183" s="71">
        <f t="shared" si="32"/>
        <v>0</v>
      </c>
      <c r="AW183" s="71">
        <f t="shared" ca="1" si="28"/>
        <v>0</v>
      </c>
      <c r="AX183" s="71">
        <f ca="1">IF(E183&lt;'Invoer gegevens'!$C$17+15,0,IF('RW - MW - DE - DE'!E183&gt;'Invoer gegevens'!$C$17+215,0,'RW - MW - DE - DE'!AW183))</f>
        <v>0</v>
      </c>
      <c r="AY183" s="71">
        <f ca="1">AX183/(1+'Invoer gegevens'!$F$13)^($AZ183-('Invoer gegevens'!$C$17-'Invoer gegevens'!$C$16))/(1+'Invoer gegevens'!$C$39)^('Invoer gegevens'!$C$17-'Invoer gegevens'!$C$16)</f>
        <v>0</v>
      </c>
      <c r="AZ183" s="68">
        <f ca="1">IF(E183-'Invoer gegevens'!$C$17-14.5&lt;0,0,E183-'Invoer gegevens'!$C$17-14.5)</f>
        <v>163.5</v>
      </c>
      <c r="BC183" s="71"/>
    </row>
    <row r="184" spans="2:55" customFormat="1" x14ac:dyDescent="0.25">
      <c r="B184" s="70">
        <f t="shared" si="29"/>
        <v>180</v>
      </c>
      <c r="C184" s="67">
        <f ca="1">IF(E184-'Invoer gegevens'!$C$17&lt;0,0,1)</f>
        <v>1</v>
      </c>
      <c r="D184" s="68">
        <f t="shared" si="30"/>
        <v>179.5</v>
      </c>
      <c r="E184" s="69">
        <f ca="1">IF('Invoer gegevens'!$C$16="","",E183+1)</f>
        <v>2198</v>
      </c>
      <c r="F184" s="82">
        <f ca="1">IF('Invoer gegevens'!$C$17=E184,'Invoer gegevens'!$C$10,IF(C184=1,H183,0))</f>
        <v>0</v>
      </c>
      <c r="G184" s="83">
        <f ca="1">IF(C184&gt;=1,F184*Reeksen!C184,0)</f>
        <v>0</v>
      </c>
      <c r="H184" s="84">
        <f t="shared" ca="1" si="23"/>
        <v>0</v>
      </c>
      <c r="I184" s="85">
        <f ca="1">IF('Invoer gegevens'!$C$17=E184,'Invoer gegevens'!$C$11,IF(C184=1,L183,0))</f>
        <v>0</v>
      </c>
      <c r="J184" s="86">
        <f ca="1">IF(C184&lt;1,0,IF(Reeksen!AD184&lt;=Reeksen!AE184,I184*Reeksen!C184,0))</f>
        <v>0</v>
      </c>
      <c r="K184" s="86">
        <f ca="1">IF(C184&lt;1,0,IF(Reeksen!AD184&gt;Reeksen!AE184,I184*Reeksen!C184,0))</f>
        <v>0</v>
      </c>
      <c r="L184" s="86">
        <f t="shared" ca="1" si="24"/>
        <v>0</v>
      </c>
      <c r="M184" s="85">
        <f ca="1">IF('Invoer gegevens'!$C$17=E184,'Invoer gegevens'!$C$10-'Invoer gegevens'!$C$11,IF(C184=1,P183,0))</f>
        <v>0</v>
      </c>
      <c r="N184" s="86">
        <f ca="1">IF(C184&lt;1,0,IF(Reeksen!AD184&lt;=Reeksen!AE184,M184*Reeksen!C184,0))</f>
        <v>0</v>
      </c>
      <c r="O184" s="86">
        <f ca="1">IF(C184&lt;1,0,IF(Reeksen!AD184&gt;Reeksen!AE184,M184*Reeksen!C184,0))</f>
        <v>0</v>
      </c>
      <c r="P184" s="86">
        <f t="shared" ca="1" si="25"/>
        <v>0</v>
      </c>
      <c r="Q184" s="82">
        <f ca="1">IF('Invoer gegevens'!$C$17=E184,I184,IF(C184=0,0,R183))</f>
        <v>0</v>
      </c>
      <c r="R184" s="84">
        <f t="shared" ca="1" si="22"/>
        <v>0</v>
      </c>
      <c r="S184" s="84">
        <f ca="1">IF('Invoer gegevens'!$C$17=E184,M184,IF(C184=0,0,T183))</f>
        <v>0</v>
      </c>
      <c r="T184" s="84">
        <f t="shared" ca="1" si="31"/>
        <v>0</v>
      </c>
      <c r="AI184" s="71">
        <f ca="1">IF(C184=1,((F184+H184)/2*Reeksen!AI184*12)+(('Invoer gegevens'!$C$10-(F184+H184)/2)*Reeksen!AD184*12),0)</f>
        <v>0</v>
      </c>
      <c r="AJ184" s="71">
        <f ca="1">-AI184*'Invoer gegevens'!$F$28</f>
        <v>0</v>
      </c>
      <c r="AK184" s="71">
        <f t="shared" ca="1" si="26"/>
        <v>0</v>
      </c>
      <c r="AL184" s="71">
        <f ca="1">IF(C184=1,(12*((F184+H184)/2)*Reeksen!AL184)+(12*('Invoer gegevens'!$C$10-(F184+H184)/2)*Reeksen!AM184),0)</f>
        <v>0</v>
      </c>
      <c r="AM184" s="71">
        <f ca="1">-AL184*'Invoer gegevens'!$F$31</f>
        <v>0</v>
      </c>
      <c r="AN184" s="71">
        <f t="shared" ca="1" si="27"/>
        <v>0</v>
      </c>
      <c r="AO184" s="71"/>
      <c r="AP184" s="71"/>
      <c r="AQ184" s="71">
        <f ca="1">-IF(C184=1,('Invoer gegevens'!$C$10*'Invoer gegevens'!$F$35)*Reeksen!J184,0)*2</f>
        <v>0</v>
      </c>
      <c r="AR184" s="71">
        <f ca="1">-IF(C184=1,(G184*'Invoer gegevens'!$F$36)*Reeksen!J184,0)</f>
        <v>0</v>
      </c>
      <c r="AS184" s="71">
        <f ca="1">-IF(C184=1,'Invoer gegevens'!$C$10*'Invoer gegevens'!$F$37*Reeksen!L184,0)</f>
        <v>0</v>
      </c>
      <c r="AT184" s="71">
        <f ca="1">-IF(C184=1,IF(E184='Invoer gegevens'!$C$17,'Invoer gegevens'!$C$11,Q184)*Reeksen!S184*'Invoer gegevens'!$C$18*Reeksen!P184,0)</f>
        <v>0</v>
      </c>
      <c r="AU184" s="71">
        <f ca="1">-IF(C184=1,'Invoer gegevens'!$C$10*'Invoer gegevens'!$F$38*Reeksen!H184,0)</f>
        <v>0</v>
      </c>
      <c r="AV184" s="71">
        <f t="shared" si="32"/>
        <v>0</v>
      </c>
      <c r="AW184" s="71">
        <f t="shared" ca="1" si="28"/>
        <v>0</v>
      </c>
      <c r="AX184" s="71">
        <f ca="1">IF(E184&lt;'Invoer gegevens'!$C$17+15,0,IF('RW - MW - DE - DE'!E184&gt;'Invoer gegevens'!$C$17+215,0,'RW - MW - DE - DE'!AW184))</f>
        <v>0</v>
      </c>
      <c r="AY184" s="71">
        <f ca="1">AX184/(1+'Invoer gegevens'!$F$13)^($AZ184-('Invoer gegevens'!$C$17-'Invoer gegevens'!$C$16))/(1+'Invoer gegevens'!$C$39)^('Invoer gegevens'!$C$17-'Invoer gegevens'!$C$16)</f>
        <v>0</v>
      </c>
      <c r="AZ184" s="68">
        <f ca="1">IF(E184-'Invoer gegevens'!$C$17-14.5&lt;0,0,E184-'Invoer gegevens'!$C$17-14.5)</f>
        <v>164.5</v>
      </c>
      <c r="BC184" s="71"/>
    </row>
    <row r="185" spans="2:55" customFormat="1" x14ac:dyDescent="0.25">
      <c r="B185" s="70">
        <f t="shared" si="29"/>
        <v>181</v>
      </c>
      <c r="C185" s="67">
        <f ca="1">IF(E185-'Invoer gegevens'!$C$17&lt;0,0,1)</f>
        <v>1</v>
      </c>
      <c r="D185" s="68">
        <f t="shared" si="30"/>
        <v>180.5</v>
      </c>
      <c r="E185" s="69">
        <f ca="1">IF('Invoer gegevens'!$C$16="","",E184+1)</f>
        <v>2199</v>
      </c>
      <c r="F185" s="82">
        <f ca="1">IF('Invoer gegevens'!$C$17=E185,'Invoer gegevens'!$C$10,IF(C185=1,H184,0))</f>
        <v>0</v>
      </c>
      <c r="G185" s="83">
        <f ca="1">IF(C185&gt;=1,F185*Reeksen!C185,0)</f>
        <v>0</v>
      </c>
      <c r="H185" s="84">
        <f t="shared" ca="1" si="23"/>
        <v>0</v>
      </c>
      <c r="I185" s="85">
        <f ca="1">IF('Invoer gegevens'!$C$17=E185,'Invoer gegevens'!$C$11,IF(C185=1,L184,0))</f>
        <v>0</v>
      </c>
      <c r="J185" s="86">
        <f ca="1">IF(C185&lt;1,0,IF(Reeksen!AD185&lt;=Reeksen!AE185,I185*Reeksen!C185,0))</f>
        <v>0</v>
      </c>
      <c r="K185" s="86">
        <f ca="1">IF(C185&lt;1,0,IF(Reeksen!AD185&gt;Reeksen!AE185,I185*Reeksen!C185,0))</f>
        <v>0</v>
      </c>
      <c r="L185" s="86">
        <f t="shared" ca="1" si="24"/>
        <v>0</v>
      </c>
      <c r="M185" s="85">
        <f ca="1">IF('Invoer gegevens'!$C$17=E185,'Invoer gegevens'!$C$10-'Invoer gegevens'!$C$11,IF(C185=1,P184,0))</f>
        <v>0</v>
      </c>
      <c r="N185" s="86">
        <f ca="1">IF(C185&lt;1,0,IF(Reeksen!AD185&lt;=Reeksen!AE185,M185*Reeksen!C185,0))</f>
        <v>0</v>
      </c>
      <c r="O185" s="86">
        <f ca="1">IF(C185&lt;1,0,IF(Reeksen!AD185&gt;Reeksen!AE185,M185*Reeksen!C185,0))</f>
        <v>0</v>
      </c>
      <c r="P185" s="86">
        <f t="shared" ca="1" si="25"/>
        <v>0</v>
      </c>
      <c r="Q185" s="82">
        <f ca="1">IF('Invoer gegevens'!$C$17=E185,I185,IF(C185=0,0,R184))</f>
        <v>0</v>
      </c>
      <c r="R185" s="84">
        <f t="shared" ca="1" si="22"/>
        <v>0</v>
      </c>
      <c r="S185" s="84">
        <f ca="1">IF('Invoer gegevens'!$C$17=E185,M185,IF(C185=0,0,T184))</f>
        <v>0</v>
      </c>
      <c r="T185" s="84">
        <f t="shared" ca="1" si="31"/>
        <v>0</v>
      </c>
      <c r="AI185" s="71">
        <f ca="1">IF(C185=1,((F185+H185)/2*Reeksen!AI185*12)+(('Invoer gegevens'!$C$10-(F185+H185)/2)*Reeksen!AD185*12),0)</f>
        <v>0</v>
      </c>
      <c r="AJ185" s="71">
        <f ca="1">-AI185*'Invoer gegevens'!$F$28</f>
        <v>0</v>
      </c>
      <c r="AK185" s="71">
        <f t="shared" ca="1" si="26"/>
        <v>0</v>
      </c>
      <c r="AL185" s="71">
        <f ca="1">IF(C185=1,(12*((F185+H185)/2)*Reeksen!AL185)+(12*('Invoer gegevens'!$C$10-(F185+H185)/2)*Reeksen!AM185),0)</f>
        <v>0</v>
      </c>
      <c r="AM185" s="71">
        <f ca="1">-AL185*'Invoer gegevens'!$F$31</f>
        <v>0</v>
      </c>
      <c r="AN185" s="71">
        <f t="shared" ca="1" si="27"/>
        <v>0</v>
      </c>
      <c r="AO185" s="71"/>
      <c r="AP185" s="71"/>
      <c r="AQ185" s="71">
        <f ca="1">-IF(C185=1,('Invoer gegevens'!$C$10*'Invoer gegevens'!$F$35)*Reeksen!J185,0)*2</f>
        <v>0</v>
      </c>
      <c r="AR185" s="71">
        <f ca="1">-IF(C185=1,(G185*'Invoer gegevens'!$F$36)*Reeksen!J185,0)</f>
        <v>0</v>
      </c>
      <c r="AS185" s="71">
        <f ca="1">-IF(C185=1,'Invoer gegevens'!$C$10*'Invoer gegevens'!$F$37*Reeksen!L185,0)</f>
        <v>0</v>
      </c>
      <c r="AT185" s="71">
        <f ca="1">-IF(C185=1,IF(E185='Invoer gegevens'!$C$17,'Invoer gegevens'!$C$11,Q185)*Reeksen!S185*'Invoer gegevens'!$C$18*Reeksen!P185,0)</f>
        <v>0</v>
      </c>
      <c r="AU185" s="71">
        <f ca="1">-IF(C185=1,'Invoer gegevens'!$C$10*'Invoer gegevens'!$F$38*Reeksen!H185,0)</f>
        <v>0</v>
      </c>
      <c r="AV185" s="71">
        <f t="shared" si="32"/>
        <v>0</v>
      </c>
      <c r="AW185" s="71">
        <f t="shared" ca="1" si="28"/>
        <v>0</v>
      </c>
      <c r="AX185" s="71">
        <f ca="1">IF(E185&lt;'Invoer gegevens'!$C$17+15,0,IF('RW - MW - DE - DE'!E185&gt;'Invoer gegevens'!$C$17+215,0,'RW - MW - DE - DE'!AW185))</f>
        <v>0</v>
      </c>
      <c r="AY185" s="71">
        <f ca="1">AX185/(1+'Invoer gegevens'!$F$13)^($AZ185-('Invoer gegevens'!$C$17-'Invoer gegevens'!$C$16))/(1+'Invoer gegevens'!$C$39)^('Invoer gegevens'!$C$17-'Invoer gegevens'!$C$16)</f>
        <v>0</v>
      </c>
      <c r="AZ185" s="68">
        <f ca="1">IF(E185-'Invoer gegevens'!$C$17-14.5&lt;0,0,E185-'Invoer gegevens'!$C$17-14.5)</f>
        <v>165.5</v>
      </c>
      <c r="BC185" s="71"/>
    </row>
    <row r="186" spans="2:55" customFormat="1" x14ac:dyDescent="0.25">
      <c r="B186" s="70">
        <f t="shared" si="29"/>
        <v>182</v>
      </c>
      <c r="C186" s="67">
        <f ca="1">IF(E186-'Invoer gegevens'!$C$17&lt;0,0,1)</f>
        <v>1</v>
      </c>
      <c r="D186" s="68">
        <f t="shared" si="30"/>
        <v>181.5</v>
      </c>
      <c r="E186" s="69">
        <f ca="1">IF('Invoer gegevens'!$C$16="","",E185+1)</f>
        <v>2200</v>
      </c>
      <c r="F186" s="82">
        <f ca="1">IF('Invoer gegevens'!$C$17=E186,'Invoer gegevens'!$C$10,IF(C186=1,H185,0))</f>
        <v>0</v>
      </c>
      <c r="G186" s="83">
        <f ca="1">IF(C186&gt;=1,F186*Reeksen!C186,0)</f>
        <v>0</v>
      </c>
      <c r="H186" s="84">
        <f t="shared" ca="1" si="23"/>
        <v>0</v>
      </c>
      <c r="I186" s="85">
        <f ca="1">IF('Invoer gegevens'!$C$17=E186,'Invoer gegevens'!$C$11,IF(C186=1,L185,0))</f>
        <v>0</v>
      </c>
      <c r="J186" s="86">
        <f ca="1">IF(C186&lt;1,0,IF(Reeksen!AD186&lt;=Reeksen!AE186,I186*Reeksen!C186,0))</f>
        <v>0</v>
      </c>
      <c r="K186" s="86">
        <f ca="1">IF(C186&lt;1,0,IF(Reeksen!AD186&gt;Reeksen!AE186,I186*Reeksen!C186,0))</f>
        <v>0</v>
      </c>
      <c r="L186" s="86">
        <f t="shared" ca="1" si="24"/>
        <v>0</v>
      </c>
      <c r="M186" s="85">
        <f ca="1">IF('Invoer gegevens'!$C$17=E186,'Invoer gegevens'!$C$10-'Invoer gegevens'!$C$11,IF(C186=1,P185,0))</f>
        <v>0</v>
      </c>
      <c r="N186" s="86">
        <f ca="1">IF(C186&lt;1,0,IF(Reeksen!AD186&lt;=Reeksen!AE186,M186*Reeksen!C186,0))</f>
        <v>0</v>
      </c>
      <c r="O186" s="86">
        <f ca="1">IF(C186&lt;1,0,IF(Reeksen!AD186&gt;Reeksen!AE186,M186*Reeksen!C186,0))</f>
        <v>0</v>
      </c>
      <c r="P186" s="86">
        <f t="shared" ca="1" si="25"/>
        <v>0</v>
      </c>
      <c r="Q186" s="82">
        <f ca="1">IF('Invoer gegevens'!$C$17=E186,I186,IF(C186=0,0,R185))</f>
        <v>0</v>
      </c>
      <c r="R186" s="84">
        <f t="shared" ca="1" si="22"/>
        <v>0</v>
      </c>
      <c r="S186" s="84">
        <f ca="1">IF('Invoer gegevens'!$C$17=E186,M186,IF(C186=0,0,T185))</f>
        <v>0</v>
      </c>
      <c r="T186" s="84">
        <f t="shared" ca="1" si="31"/>
        <v>0</v>
      </c>
      <c r="AI186" s="71">
        <f ca="1">IF(C186=1,((F186+H186)/2*Reeksen!AI186*12)+(('Invoer gegevens'!$C$10-(F186+H186)/2)*Reeksen!AD186*12),0)</f>
        <v>0</v>
      </c>
      <c r="AJ186" s="71">
        <f ca="1">-AI186*'Invoer gegevens'!$F$28</f>
        <v>0</v>
      </c>
      <c r="AK186" s="71">
        <f t="shared" ca="1" si="26"/>
        <v>0</v>
      </c>
      <c r="AL186" s="71">
        <f ca="1">IF(C186=1,(12*((F186+H186)/2)*Reeksen!AL186)+(12*('Invoer gegevens'!$C$10-(F186+H186)/2)*Reeksen!AM186),0)</f>
        <v>0</v>
      </c>
      <c r="AM186" s="71">
        <f ca="1">-AL186*'Invoer gegevens'!$F$31</f>
        <v>0</v>
      </c>
      <c r="AN186" s="71">
        <f t="shared" ca="1" si="27"/>
        <v>0</v>
      </c>
      <c r="AO186" s="71"/>
      <c r="AP186" s="71"/>
      <c r="AQ186" s="71">
        <f ca="1">-IF(C186=1,('Invoer gegevens'!$C$10*'Invoer gegevens'!$F$35)*Reeksen!J186,0)*2</f>
        <v>0</v>
      </c>
      <c r="AR186" s="71">
        <f ca="1">-IF(C186=1,(G186*'Invoer gegevens'!$F$36)*Reeksen!J186,0)</f>
        <v>0</v>
      </c>
      <c r="AS186" s="71">
        <f ca="1">-IF(C186=1,'Invoer gegevens'!$C$10*'Invoer gegevens'!$F$37*Reeksen!L186,0)</f>
        <v>0</v>
      </c>
      <c r="AT186" s="71">
        <f ca="1">-IF(C186=1,IF(E186='Invoer gegevens'!$C$17,'Invoer gegevens'!$C$11,Q186)*Reeksen!S186*'Invoer gegevens'!$C$18*Reeksen!P186,0)</f>
        <v>0</v>
      </c>
      <c r="AU186" s="71">
        <f ca="1">-IF(C186=1,'Invoer gegevens'!$C$10*'Invoer gegevens'!$F$38*Reeksen!H186,0)</f>
        <v>0</v>
      </c>
      <c r="AV186" s="71">
        <f t="shared" si="32"/>
        <v>0</v>
      </c>
      <c r="AW186" s="71">
        <f t="shared" ca="1" si="28"/>
        <v>0</v>
      </c>
      <c r="AX186" s="71">
        <f ca="1">IF(E186&lt;'Invoer gegevens'!$C$17+15,0,IF('RW - MW - DE - DE'!E186&gt;'Invoer gegevens'!$C$17+215,0,'RW - MW - DE - DE'!AW186))</f>
        <v>0</v>
      </c>
      <c r="AY186" s="71">
        <f ca="1">AX186/(1+'Invoer gegevens'!$F$13)^($AZ186-('Invoer gegevens'!$C$17-'Invoer gegevens'!$C$16))/(1+'Invoer gegevens'!$C$39)^('Invoer gegevens'!$C$17-'Invoer gegevens'!$C$16)</f>
        <v>0</v>
      </c>
      <c r="AZ186" s="68">
        <f ca="1">IF(E186-'Invoer gegevens'!$C$17-14.5&lt;0,0,E186-'Invoer gegevens'!$C$17-14.5)</f>
        <v>166.5</v>
      </c>
      <c r="BC186" s="71"/>
    </row>
    <row r="187" spans="2:55" customFormat="1" x14ac:dyDescent="0.25">
      <c r="B187" s="70">
        <f t="shared" si="29"/>
        <v>183</v>
      </c>
      <c r="C187" s="67">
        <f ca="1">IF(E187-'Invoer gegevens'!$C$17&lt;0,0,1)</f>
        <v>1</v>
      </c>
      <c r="D187" s="68">
        <f t="shared" si="30"/>
        <v>182.5</v>
      </c>
      <c r="E187" s="69">
        <f ca="1">IF('Invoer gegevens'!$C$16="","",E186+1)</f>
        <v>2201</v>
      </c>
      <c r="F187" s="82">
        <f ca="1">IF('Invoer gegevens'!$C$17=E187,'Invoer gegevens'!$C$10,IF(C187=1,H186,0))</f>
        <v>0</v>
      </c>
      <c r="G187" s="83">
        <f ca="1">IF(C187&gt;=1,F187*Reeksen!C187,0)</f>
        <v>0</v>
      </c>
      <c r="H187" s="84">
        <f t="shared" ca="1" si="23"/>
        <v>0</v>
      </c>
      <c r="I187" s="85">
        <f ca="1">IF('Invoer gegevens'!$C$17=E187,'Invoer gegevens'!$C$11,IF(C187=1,L186,0))</f>
        <v>0</v>
      </c>
      <c r="J187" s="86">
        <f ca="1">IF(C187&lt;1,0,IF(Reeksen!AD187&lt;=Reeksen!AE187,I187*Reeksen!C187,0))</f>
        <v>0</v>
      </c>
      <c r="K187" s="86">
        <f ca="1">IF(C187&lt;1,0,IF(Reeksen!AD187&gt;Reeksen!AE187,I187*Reeksen!C187,0))</f>
        <v>0</v>
      </c>
      <c r="L187" s="86">
        <f t="shared" ca="1" si="24"/>
        <v>0</v>
      </c>
      <c r="M187" s="85">
        <f ca="1">IF('Invoer gegevens'!$C$17=E187,'Invoer gegevens'!$C$10-'Invoer gegevens'!$C$11,IF(C187=1,P186,0))</f>
        <v>0</v>
      </c>
      <c r="N187" s="86">
        <f ca="1">IF(C187&lt;1,0,IF(Reeksen!AD187&lt;=Reeksen!AE187,M187*Reeksen!C187,0))</f>
        <v>0</v>
      </c>
      <c r="O187" s="86">
        <f ca="1">IF(C187&lt;1,0,IF(Reeksen!AD187&gt;Reeksen!AE187,M187*Reeksen!C187,0))</f>
        <v>0</v>
      </c>
      <c r="P187" s="86">
        <f t="shared" ca="1" si="25"/>
        <v>0</v>
      </c>
      <c r="Q187" s="82">
        <f ca="1">IF('Invoer gegevens'!$C$17=E187,I187,IF(C187=0,0,R186))</f>
        <v>0</v>
      </c>
      <c r="R187" s="84">
        <f t="shared" ca="1" si="22"/>
        <v>0</v>
      </c>
      <c r="S187" s="84">
        <f ca="1">IF('Invoer gegevens'!$C$17=E187,M187,IF(C187=0,0,T186))</f>
        <v>0</v>
      </c>
      <c r="T187" s="84">
        <f t="shared" ca="1" si="31"/>
        <v>0</v>
      </c>
      <c r="AI187" s="71">
        <f ca="1">IF(C187=1,((F187+H187)/2*Reeksen!AI187*12)+(('Invoer gegevens'!$C$10-(F187+H187)/2)*Reeksen!AD187*12),0)</f>
        <v>0</v>
      </c>
      <c r="AJ187" s="71">
        <f ca="1">-AI187*'Invoer gegevens'!$F$28</f>
        <v>0</v>
      </c>
      <c r="AK187" s="71">
        <f t="shared" ca="1" si="26"/>
        <v>0</v>
      </c>
      <c r="AL187" s="71">
        <f ca="1">IF(C187=1,(12*((F187+H187)/2)*Reeksen!AL187)+(12*('Invoer gegevens'!$C$10-(F187+H187)/2)*Reeksen!AM187),0)</f>
        <v>0</v>
      </c>
      <c r="AM187" s="71">
        <f ca="1">-AL187*'Invoer gegevens'!$F$31</f>
        <v>0</v>
      </c>
      <c r="AN187" s="71">
        <f t="shared" ca="1" si="27"/>
        <v>0</v>
      </c>
      <c r="AO187" s="71"/>
      <c r="AP187" s="71"/>
      <c r="AQ187" s="71">
        <f ca="1">-IF(C187=1,('Invoer gegevens'!$C$10*'Invoer gegevens'!$F$35)*Reeksen!J187,0)*2</f>
        <v>0</v>
      </c>
      <c r="AR187" s="71">
        <f ca="1">-IF(C187=1,(G187*'Invoer gegevens'!$F$36)*Reeksen!J187,0)</f>
        <v>0</v>
      </c>
      <c r="AS187" s="71">
        <f ca="1">-IF(C187=1,'Invoer gegevens'!$C$10*'Invoer gegevens'!$F$37*Reeksen!L187,0)</f>
        <v>0</v>
      </c>
      <c r="AT187" s="71">
        <f ca="1">-IF(C187=1,IF(E187='Invoer gegevens'!$C$17,'Invoer gegevens'!$C$11,Q187)*Reeksen!S187*'Invoer gegevens'!$C$18*Reeksen!P187,0)</f>
        <v>0</v>
      </c>
      <c r="AU187" s="71">
        <f ca="1">-IF(C187=1,'Invoer gegevens'!$C$10*'Invoer gegevens'!$F$38*Reeksen!H187,0)</f>
        <v>0</v>
      </c>
      <c r="AV187" s="71">
        <f t="shared" si="32"/>
        <v>0</v>
      </c>
      <c r="AW187" s="71">
        <f t="shared" ca="1" si="28"/>
        <v>0</v>
      </c>
      <c r="AX187" s="71">
        <f ca="1">IF(E187&lt;'Invoer gegevens'!$C$17+15,0,IF('RW - MW - DE - DE'!E187&gt;'Invoer gegevens'!$C$17+215,0,'RW - MW - DE - DE'!AW187))</f>
        <v>0</v>
      </c>
      <c r="AY187" s="71">
        <f ca="1">AX187/(1+'Invoer gegevens'!$F$13)^($AZ187-('Invoer gegevens'!$C$17-'Invoer gegevens'!$C$16))/(1+'Invoer gegevens'!$C$39)^('Invoer gegevens'!$C$17-'Invoer gegevens'!$C$16)</f>
        <v>0</v>
      </c>
      <c r="AZ187" s="68">
        <f ca="1">IF(E187-'Invoer gegevens'!$C$17-14.5&lt;0,0,E187-'Invoer gegevens'!$C$17-14.5)</f>
        <v>167.5</v>
      </c>
      <c r="BC187" s="71"/>
    </row>
    <row r="188" spans="2:55" customFormat="1" x14ac:dyDescent="0.25">
      <c r="B188" s="70">
        <f t="shared" si="29"/>
        <v>184</v>
      </c>
      <c r="C188" s="67">
        <f ca="1">IF(E188-'Invoer gegevens'!$C$17&lt;0,0,1)</f>
        <v>1</v>
      </c>
      <c r="D188" s="68">
        <f t="shared" si="30"/>
        <v>183.5</v>
      </c>
      <c r="E188" s="69">
        <f ca="1">IF('Invoer gegevens'!$C$16="","",E187+1)</f>
        <v>2202</v>
      </c>
      <c r="F188" s="82">
        <f ca="1">IF('Invoer gegevens'!$C$17=E188,'Invoer gegevens'!$C$10,IF(C188=1,H187,0))</f>
        <v>0</v>
      </c>
      <c r="G188" s="83">
        <f ca="1">IF(C188&gt;=1,F188*Reeksen!C188,0)</f>
        <v>0</v>
      </c>
      <c r="H188" s="84">
        <f t="shared" ca="1" si="23"/>
        <v>0</v>
      </c>
      <c r="I188" s="85">
        <f ca="1">IF('Invoer gegevens'!$C$17=E188,'Invoer gegevens'!$C$11,IF(C188=1,L187,0))</f>
        <v>0</v>
      </c>
      <c r="J188" s="86">
        <f ca="1">IF(C188&lt;1,0,IF(Reeksen!AD188&lt;=Reeksen!AE188,I188*Reeksen!C188,0))</f>
        <v>0</v>
      </c>
      <c r="K188" s="86">
        <f ca="1">IF(C188&lt;1,0,IF(Reeksen!AD188&gt;Reeksen!AE188,I188*Reeksen!C188,0))</f>
        <v>0</v>
      </c>
      <c r="L188" s="86">
        <f t="shared" ca="1" si="24"/>
        <v>0</v>
      </c>
      <c r="M188" s="85">
        <f ca="1">IF('Invoer gegevens'!$C$17=E188,'Invoer gegevens'!$C$10-'Invoer gegevens'!$C$11,IF(C188=1,P187,0))</f>
        <v>0</v>
      </c>
      <c r="N188" s="86">
        <f ca="1">IF(C188&lt;1,0,IF(Reeksen!AD188&lt;=Reeksen!AE188,M188*Reeksen!C188,0))</f>
        <v>0</v>
      </c>
      <c r="O188" s="86">
        <f ca="1">IF(C188&lt;1,0,IF(Reeksen!AD188&gt;Reeksen!AE188,M188*Reeksen!C188,0))</f>
        <v>0</v>
      </c>
      <c r="P188" s="86">
        <f t="shared" ca="1" si="25"/>
        <v>0</v>
      </c>
      <c r="Q188" s="82">
        <f ca="1">IF('Invoer gegevens'!$C$17=E188,I188,IF(C188=0,0,R187))</f>
        <v>0</v>
      </c>
      <c r="R188" s="84">
        <f t="shared" ca="1" si="22"/>
        <v>0</v>
      </c>
      <c r="S188" s="84">
        <f ca="1">IF('Invoer gegevens'!$C$17=E188,M188,IF(C188=0,0,T187))</f>
        <v>0</v>
      </c>
      <c r="T188" s="84">
        <f t="shared" ca="1" si="31"/>
        <v>0</v>
      </c>
      <c r="AI188" s="71">
        <f ca="1">IF(C188=1,((F188+H188)/2*Reeksen!AI188*12)+(('Invoer gegevens'!$C$10-(F188+H188)/2)*Reeksen!AD188*12),0)</f>
        <v>0</v>
      </c>
      <c r="AJ188" s="71">
        <f ca="1">-AI188*'Invoer gegevens'!$F$28</f>
        <v>0</v>
      </c>
      <c r="AK188" s="71">
        <f t="shared" ca="1" si="26"/>
        <v>0</v>
      </c>
      <c r="AL188" s="71">
        <f ca="1">IF(C188=1,(12*((F188+H188)/2)*Reeksen!AL188)+(12*('Invoer gegevens'!$C$10-(F188+H188)/2)*Reeksen!AM188),0)</f>
        <v>0</v>
      </c>
      <c r="AM188" s="71">
        <f ca="1">-AL188*'Invoer gegevens'!$F$31</f>
        <v>0</v>
      </c>
      <c r="AN188" s="71">
        <f t="shared" ca="1" si="27"/>
        <v>0</v>
      </c>
      <c r="AO188" s="71"/>
      <c r="AP188" s="71"/>
      <c r="AQ188" s="71">
        <f ca="1">-IF(C188=1,('Invoer gegevens'!$C$10*'Invoer gegevens'!$F$35)*Reeksen!J188,0)*2</f>
        <v>0</v>
      </c>
      <c r="AR188" s="71">
        <f ca="1">-IF(C188=1,(G188*'Invoer gegevens'!$F$36)*Reeksen!J188,0)</f>
        <v>0</v>
      </c>
      <c r="AS188" s="71">
        <f ca="1">-IF(C188=1,'Invoer gegevens'!$C$10*'Invoer gegevens'!$F$37*Reeksen!L188,0)</f>
        <v>0</v>
      </c>
      <c r="AT188" s="71">
        <f ca="1">-IF(C188=1,IF(E188='Invoer gegevens'!$C$17,'Invoer gegevens'!$C$11,Q188)*Reeksen!S188*'Invoer gegevens'!$C$18*Reeksen!P188,0)</f>
        <v>0</v>
      </c>
      <c r="AU188" s="71">
        <f ca="1">-IF(C188=1,'Invoer gegevens'!$C$10*'Invoer gegevens'!$F$38*Reeksen!H188,0)</f>
        <v>0</v>
      </c>
      <c r="AV188" s="71">
        <f t="shared" si="32"/>
        <v>0</v>
      </c>
      <c r="AW188" s="71">
        <f t="shared" ca="1" si="28"/>
        <v>0</v>
      </c>
      <c r="AX188" s="71">
        <f ca="1">IF(E188&lt;'Invoer gegevens'!$C$17+15,0,IF('RW - MW - DE - DE'!E188&gt;'Invoer gegevens'!$C$17+215,0,'RW - MW - DE - DE'!AW188))</f>
        <v>0</v>
      </c>
      <c r="AY188" s="71">
        <f ca="1">AX188/(1+'Invoer gegevens'!$F$13)^($AZ188-('Invoer gegevens'!$C$17-'Invoer gegevens'!$C$16))/(1+'Invoer gegevens'!$C$39)^('Invoer gegevens'!$C$17-'Invoer gegevens'!$C$16)</f>
        <v>0</v>
      </c>
      <c r="AZ188" s="68">
        <f ca="1">IF(E188-'Invoer gegevens'!$C$17-14.5&lt;0,0,E188-'Invoer gegevens'!$C$17-14.5)</f>
        <v>168.5</v>
      </c>
      <c r="BC188" s="71"/>
    </row>
    <row r="189" spans="2:55" customFormat="1" x14ac:dyDescent="0.25">
      <c r="B189" s="70">
        <f t="shared" si="29"/>
        <v>185</v>
      </c>
      <c r="C189" s="67">
        <f ca="1">IF(E189-'Invoer gegevens'!$C$17&lt;0,0,1)</f>
        <v>1</v>
      </c>
      <c r="D189" s="68">
        <f t="shared" si="30"/>
        <v>184.5</v>
      </c>
      <c r="E189" s="69">
        <f ca="1">IF('Invoer gegevens'!$C$16="","",E188+1)</f>
        <v>2203</v>
      </c>
      <c r="F189" s="82">
        <f ca="1">IF('Invoer gegevens'!$C$17=E189,'Invoer gegevens'!$C$10,IF(C189=1,H188,0))</f>
        <v>0</v>
      </c>
      <c r="G189" s="83">
        <f ca="1">IF(C189&gt;=1,F189*Reeksen!C189,0)</f>
        <v>0</v>
      </c>
      <c r="H189" s="84">
        <f t="shared" ca="1" si="23"/>
        <v>0</v>
      </c>
      <c r="I189" s="85">
        <f ca="1">IF('Invoer gegevens'!$C$17=E189,'Invoer gegevens'!$C$11,IF(C189=1,L188,0))</f>
        <v>0</v>
      </c>
      <c r="J189" s="86">
        <f ca="1">IF(C189&lt;1,0,IF(Reeksen!AD189&lt;=Reeksen!AE189,I189*Reeksen!C189,0))</f>
        <v>0</v>
      </c>
      <c r="K189" s="86">
        <f ca="1">IF(C189&lt;1,0,IF(Reeksen!AD189&gt;Reeksen!AE189,I189*Reeksen!C189,0))</f>
        <v>0</v>
      </c>
      <c r="L189" s="86">
        <f t="shared" ca="1" si="24"/>
        <v>0</v>
      </c>
      <c r="M189" s="85">
        <f ca="1">IF('Invoer gegevens'!$C$17=E189,'Invoer gegevens'!$C$10-'Invoer gegevens'!$C$11,IF(C189=1,P188,0))</f>
        <v>0</v>
      </c>
      <c r="N189" s="86">
        <f ca="1">IF(C189&lt;1,0,IF(Reeksen!AD189&lt;=Reeksen!AE189,M189*Reeksen!C189,0))</f>
        <v>0</v>
      </c>
      <c r="O189" s="86">
        <f ca="1">IF(C189&lt;1,0,IF(Reeksen!AD189&gt;Reeksen!AE189,M189*Reeksen!C189,0))</f>
        <v>0</v>
      </c>
      <c r="P189" s="86">
        <f t="shared" ca="1" si="25"/>
        <v>0</v>
      </c>
      <c r="Q189" s="82">
        <f ca="1">IF('Invoer gegevens'!$C$17=E189,I189,IF(C189=0,0,R188))</f>
        <v>0</v>
      </c>
      <c r="R189" s="84">
        <f t="shared" ca="1" si="22"/>
        <v>0</v>
      </c>
      <c r="S189" s="84">
        <f ca="1">IF('Invoer gegevens'!$C$17=E189,M189,IF(C189=0,0,T188))</f>
        <v>0</v>
      </c>
      <c r="T189" s="84">
        <f t="shared" ca="1" si="31"/>
        <v>0</v>
      </c>
      <c r="AI189" s="71">
        <f ca="1">IF(C189=1,((F189+H189)/2*Reeksen!AI189*12)+(('Invoer gegevens'!$C$10-(F189+H189)/2)*Reeksen!AD189*12),0)</f>
        <v>0</v>
      </c>
      <c r="AJ189" s="71">
        <f ca="1">-AI189*'Invoer gegevens'!$F$28</f>
        <v>0</v>
      </c>
      <c r="AK189" s="71">
        <f t="shared" ca="1" si="26"/>
        <v>0</v>
      </c>
      <c r="AL189" s="71">
        <f ca="1">IF(C189=1,(12*((F189+H189)/2)*Reeksen!AL189)+(12*('Invoer gegevens'!$C$10-(F189+H189)/2)*Reeksen!AM189),0)</f>
        <v>0</v>
      </c>
      <c r="AM189" s="71">
        <f ca="1">-AL189*'Invoer gegevens'!$F$31</f>
        <v>0</v>
      </c>
      <c r="AN189" s="71">
        <f t="shared" ca="1" si="27"/>
        <v>0</v>
      </c>
      <c r="AO189" s="71"/>
      <c r="AP189" s="71"/>
      <c r="AQ189" s="71">
        <f ca="1">-IF(C189=1,('Invoer gegevens'!$C$10*'Invoer gegevens'!$F$35)*Reeksen!J189,0)*2</f>
        <v>0</v>
      </c>
      <c r="AR189" s="71">
        <f ca="1">-IF(C189=1,(G189*'Invoer gegevens'!$F$36)*Reeksen!J189,0)</f>
        <v>0</v>
      </c>
      <c r="AS189" s="71">
        <f ca="1">-IF(C189=1,'Invoer gegevens'!$C$10*'Invoer gegevens'!$F$37*Reeksen!L189,0)</f>
        <v>0</v>
      </c>
      <c r="AT189" s="71">
        <f ca="1">-IF(C189=1,IF(E189='Invoer gegevens'!$C$17,'Invoer gegevens'!$C$11,Q189)*Reeksen!S189*'Invoer gegevens'!$C$18*Reeksen!P189,0)</f>
        <v>0</v>
      </c>
      <c r="AU189" s="71">
        <f ca="1">-IF(C189=1,'Invoer gegevens'!$C$10*'Invoer gegevens'!$F$38*Reeksen!H189,0)</f>
        <v>0</v>
      </c>
      <c r="AV189" s="71">
        <f t="shared" si="32"/>
        <v>0</v>
      </c>
      <c r="AW189" s="71">
        <f t="shared" ca="1" si="28"/>
        <v>0</v>
      </c>
      <c r="AX189" s="71">
        <f ca="1">IF(E189&lt;'Invoer gegevens'!$C$17+15,0,IF('RW - MW - DE - DE'!E189&gt;'Invoer gegevens'!$C$17+215,0,'RW - MW - DE - DE'!AW189))</f>
        <v>0</v>
      </c>
      <c r="AY189" s="71">
        <f ca="1">AX189/(1+'Invoer gegevens'!$F$13)^($AZ189-('Invoer gegevens'!$C$17-'Invoer gegevens'!$C$16))/(1+'Invoer gegevens'!$C$39)^('Invoer gegevens'!$C$17-'Invoer gegevens'!$C$16)</f>
        <v>0</v>
      </c>
      <c r="AZ189" s="68">
        <f ca="1">IF(E189-'Invoer gegevens'!$C$17-14.5&lt;0,0,E189-'Invoer gegevens'!$C$17-14.5)</f>
        <v>169.5</v>
      </c>
      <c r="BC189" s="71"/>
    </row>
    <row r="190" spans="2:55" customFormat="1" x14ac:dyDescent="0.25">
      <c r="B190" s="70">
        <f t="shared" si="29"/>
        <v>186</v>
      </c>
      <c r="C190" s="67">
        <f ca="1">IF(E190-'Invoer gegevens'!$C$17&lt;0,0,1)</f>
        <v>1</v>
      </c>
      <c r="D190" s="68">
        <f t="shared" si="30"/>
        <v>185.5</v>
      </c>
      <c r="E190" s="69">
        <f ca="1">IF('Invoer gegevens'!$C$16="","",E189+1)</f>
        <v>2204</v>
      </c>
      <c r="F190" s="82">
        <f ca="1">IF('Invoer gegevens'!$C$17=E190,'Invoer gegevens'!$C$10,IF(C190=1,H189,0))</f>
        <v>0</v>
      </c>
      <c r="G190" s="83">
        <f ca="1">IF(C190&gt;=1,F190*Reeksen!C190,0)</f>
        <v>0</v>
      </c>
      <c r="H190" s="84">
        <f t="shared" ca="1" si="23"/>
        <v>0</v>
      </c>
      <c r="I190" s="85">
        <f ca="1">IF('Invoer gegevens'!$C$17=E190,'Invoer gegevens'!$C$11,IF(C190=1,L189,0))</f>
        <v>0</v>
      </c>
      <c r="J190" s="86">
        <f ca="1">IF(C190&lt;1,0,IF(Reeksen!AD190&lt;=Reeksen!AE190,I190*Reeksen!C190,0))</f>
        <v>0</v>
      </c>
      <c r="K190" s="86">
        <f ca="1">IF(C190&lt;1,0,IF(Reeksen!AD190&gt;Reeksen!AE190,I190*Reeksen!C190,0))</f>
        <v>0</v>
      </c>
      <c r="L190" s="86">
        <f t="shared" ca="1" si="24"/>
        <v>0</v>
      </c>
      <c r="M190" s="85">
        <f ca="1">IF('Invoer gegevens'!$C$17=E190,'Invoer gegevens'!$C$10-'Invoer gegevens'!$C$11,IF(C190=1,P189,0))</f>
        <v>0</v>
      </c>
      <c r="N190" s="86">
        <f ca="1">IF(C190&lt;1,0,IF(Reeksen!AD190&lt;=Reeksen!AE190,M190*Reeksen!C190,0))</f>
        <v>0</v>
      </c>
      <c r="O190" s="86">
        <f ca="1">IF(C190&lt;1,0,IF(Reeksen!AD190&gt;Reeksen!AE190,M190*Reeksen!C190,0))</f>
        <v>0</v>
      </c>
      <c r="P190" s="86">
        <f t="shared" ca="1" si="25"/>
        <v>0</v>
      </c>
      <c r="Q190" s="82">
        <f ca="1">IF('Invoer gegevens'!$C$17=E190,I190,IF(C190=0,0,R189))</f>
        <v>0</v>
      </c>
      <c r="R190" s="84">
        <f t="shared" ca="1" si="22"/>
        <v>0</v>
      </c>
      <c r="S190" s="84">
        <f ca="1">IF('Invoer gegevens'!$C$17=E190,M190,IF(C190=0,0,T189))</f>
        <v>0</v>
      </c>
      <c r="T190" s="84">
        <f t="shared" ca="1" si="31"/>
        <v>0</v>
      </c>
      <c r="AI190" s="71">
        <f ca="1">IF(C190=1,((F190+H190)/2*Reeksen!AI190*12)+(('Invoer gegevens'!$C$10-(F190+H190)/2)*Reeksen!AD190*12),0)</f>
        <v>0</v>
      </c>
      <c r="AJ190" s="71">
        <f ca="1">-AI190*'Invoer gegevens'!$F$28</f>
        <v>0</v>
      </c>
      <c r="AK190" s="71">
        <f t="shared" ca="1" si="26"/>
        <v>0</v>
      </c>
      <c r="AL190" s="71">
        <f ca="1">IF(C190=1,(12*((F190+H190)/2)*Reeksen!AL190)+(12*('Invoer gegevens'!$C$10-(F190+H190)/2)*Reeksen!AM190),0)</f>
        <v>0</v>
      </c>
      <c r="AM190" s="71">
        <f ca="1">-AL190*'Invoer gegevens'!$F$31</f>
        <v>0</v>
      </c>
      <c r="AN190" s="71">
        <f t="shared" ca="1" si="27"/>
        <v>0</v>
      </c>
      <c r="AO190" s="71"/>
      <c r="AP190" s="71"/>
      <c r="AQ190" s="71">
        <f ca="1">-IF(C190=1,('Invoer gegevens'!$C$10*'Invoer gegevens'!$F$35)*Reeksen!J190,0)*2</f>
        <v>0</v>
      </c>
      <c r="AR190" s="71">
        <f ca="1">-IF(C190=1,(G190*'Invoer gegevens'!$F$36)*Reeksen!J190,0)</f>
        <v>0</v>
      </c>
      <c r="AS190" s="71">
        <f ca="1">-IF(C190=1,'Invoer gegevens'!$C$10*'Invoer gegevens'!$F$37*Reeksen!L190,0)</f>
        <v>0</v>
      </c>
      <c r="AT190" s="71">
        <f ca="1">-IF(C190=1,IF(E190='Invoer gegevens'!$C$17,'Invoer gegevens'!$C$11,Q190)*Reeksen!S190*'Invoer gegevens'!$C$18*Reeksen!P190,0)</f>
        <v>0</v>
      </c>
      <c r="AU190" s="71">
        <f ca="1">-IF(C190=1,'Invoer gegevens'!$C$10*'Invoer gegevens'!$F$38*Reeksen!H190,0)</f>
        <v>0</v>
      </c>
      <c r="AV190" s="71">
        <f t="shared" si="32"/>
        <v>0</v>
      </c>
      <c r="AW190" s="71">
        <f t="shared" ca="1" si="28"/>
        <v>0</v>
      </c>
      <c r="AX190" s="71">
        <f ca="1">IF(E190&lt;'Invoer gegevens'!$C$17+15,0,IF('RW - MW - DE - DE'!E190&gt;'Invoer gegevens'!$C$17+215,0,'RW - MW - DE - DE'!AW190))</f>
        <v>0</v>
      </c>
      <c r="AY190" s="71">
        <f ca="1">AX190/(1+'Invoer gegevens'!$F$13)^($AZ190-('Invoer gegevens'!$C$17-'Invoer gegevens'!$C$16))/(1+'Invoer gegevens'!$C$39)^('Invoer gegevens'!$C$17-'Invoer gegevens'!$C$16)</f>
        <v>0</v>
      </c>
      <c r="AZ190" s="68">
        <f ca="1">IF(E190-'Invoer gegevens'!$C$17-14.5&lt;0,0,E190-'Invoer gegevens'!$C$17-14.5)</f>
        <v>170.5</v>
      </c>
      <c r="BC190" s="71"/>
    </row>
    <row r="191" spans="2:55" customFormat="1" x14ac:dyDescent="0.25">
      <c r="B191" s="70">
        <f t="shared" si="29"/>
        <v>187</v>
      </c>
      <c r="C191" s="67">
        <f ca="1">IF(E191-'Invoer gegevens'!$C$17&lt;0,0,1)</f>
        <v>1</v>
      </c>
      <c r="D191" s="68">
        <f t="shared" si="30"/>
        <v>186.5</v>
      </c>
      <c r="E191" s="69">
        <f ca="1">IF('Invoer gegevens'!$C$16="","",E190+1)</f>
        <v>2205</v>
      </c>
      <c r="F191" s="82">
        <f ca="1">IF('Invoer gegevens'!$C$17=E191,'Invoer gegevens'!$C$10,IF(C191=1,H190,0))</f>
        <v>0</v>
      </c>
      <c r="G191" s="83">
        <f ca="1">IF(C191&gt;=1,F191*Reeksen!C191,0)</f>
        <v>0</v>
      </c>
      <c r="H191" s="84">
        <f t="shared" ca="1" si="23"/>
        <v>0</v>
      </c>
      <c r="I191" s="85">
        <f ca="1">IF('Invoer gegevens'!$C$17=E191,'Invoer gegevens'!$C$11,IF(C191=1,L190,0))</f>
        <v>0</v>
      </c>
      <c r="J191" s="86">
        <f ca="1">IF(C191&lt;1,0,IF(Reeksen!AD191&lt;=Reeksen!AE191,I191*Reeksen!C191,0))</f>
        <v>0</v>
      </c>
      <c r="K191" s="86">
        <f ca="1">IF(C191&lt;1,0,IF(Reeksen!AD191&gt;Reeksen!AE191,I191*Reeksen!C191,0))</f>
        <v>0</v>
      </c>
      <c r="L191" s="86">
        <f t="shared" ca="1" si="24"/>
        <v>0</v>
      </c>
      <c r="M191" s="85">
        <f ca="1">IF('Invoer gegevens'!$C$17=E191,'Invoer gegevens'!$C$10-'Invoer gegevens'!$C$11,IF(C191=1,P190,0))</f>
        <v>0</v>
      </c>
      <c r="N191" s="86">
        <f ca="1">IF(C191&lt;1,0,IF(Reeksen!AD191&lt;=Reeksen!AE191,M191*Reeksen!C191,0))</f>
        <v>0</v>
      </c>
      <c r="O191" s="86">
        <f ca="1">IF(C191&lt;1,0,IF(Reeksen!AD191&gt;Reeksen!AE191,M191*Reeksen!C191,0))</f>
        <v>0</v>
      </c>
      <c r="P191" s="86">
        <f t="shared" ca="1" si="25"/>
        <v>0</v>
      </c>
      <c r="Q191" s="82">
        <f ca="1">IF('Invoer gegevens'!$C$17=E191,I191,IF(C191=0,0,R190))</f>
        <v>0</v>
      </c>
      <c r="R191" s="84">
        <f t="shared" ca="1" si="22"/>
        <v>0</v>
      </c>
      <c r="S191" s="84">
        <f ca="1">IF('Invoer gegevens'!$C$17=E191,M191,IF(C191=0,0,T190))</f>
        <v>0</v>
      </c>
      <c r="T191" s="84">
        <f t="shared" ca="1" si="31"/>
        <v>0</v>
      </c>
      <c r="AI191" s="71">
        <f ca="1">IF(C191=1,((F191+H191)/2*Reeksen!AI191*12)+(('Invoer gegevens'!$C$10-(F191+H191)/2)*Reeksen!AD191*12),0)</f>
        <v>0</v>
      </c>
      <c r="AJ191" s="71">
        <f ca="1">-AI191*'Invoer gegevens'!$F$28</f>
        <v>0</v>
      </c>
      <c r="AK191" s="71">
        <f t="shared" ca="1" si="26"/>
        <v>0</v>
      </c>
      <c r="AL191" s="71">
        <f ca="1">IF(C191=1,(12*((F191+H191)/2)*Reeksen!AL191)+(12*('Invoer gegevens'!$C$10-(F191+H191)/2)*Reeksen!AM191),0)</f>
        <v>0</v>
      </c>
      <c r="AM191" s="71">
        <f ca="1">-AL191*'Invoer gegevens'!$F$31</f>
        <v>0</v>
      </c>
      <c r="AN191" s="71">
        <f t="shared" ca="1" si="27"/>
        <v>0</v>
      </c>
      <c r="AO191" s="71"/>
      <c r="AP191" s="71"/>
      <c r="AQ191" s="71">
        <f ca="1">-IF(C191=1,('Invoer gegevens'!$C$10*'Invoer gegevens'!$F$35)*Reeksen!J191,0)*2</f>
        <v>0</v>
      </c>
      <c r="AR191" s="71">
        <f ca="1">-IF(C191=1,(G191*'Invoer gegevens'!$F$36)*Reeksen!J191,0)</f>
        <v>0</v>
      </c>
      <c r="AS191" s="71">
        <f ca="1">-IF(C191=1,'Invoer gegevens'!$C$10*'Invoer gegevens'!$F$37*Reeksen!L191,0)</f>
        <v>0</v>
      </c>
      <c r="AT191" s="71">
        <f ca="1">-IF(C191=1,IF(E191='Invoer gegevens'!$C$17,'Invoer gegevens'!$C$11,Q191)*Reeksen!S191*'Invoer gegevens'!$C$18*Reeksen!P191,0)</f>
        <v>0</v>
      </c>
      <c r="AU191" s="71">
        <f ca="1">-IF(C191=1,'Invoer gegevens'!$C$10*'Invoer gegevens'!$F$38*Reeksen!H191,0)</f>
        <v>0</v>
      </c>
      <c r="AV191" s="71">
        <f t="shared" si="32"/>
        <v>0</v>
      </c>
      <c r="AW191" s="71">
        <f t="shared" ca="1" si="28"/>
        <v>0</v>
      </c>
      <c r="AX191" s="71">
        <f ca="1">IF(E191&lt;'Invoer gegevens'!$C$17+15,0,IF('RW - MW - DE - DE'!E191&gt;'Invoer gegevens'!$C$17+215,0,'RW - MW - DE - DE'!AW191))</f>
        <v>0</v>
      </c>
      <c r="AY191" s="71">
        <f ca="1">AX191/(1+'Invoer gegevens'!$F$13)^($AZ191-('Invoer gegevens'!$C$17-'Invoer gegevens'!$C$16))/(1+'Invoer gegevens'!$C$39)^('Invoer gegevens'!$C$17-'Invoer gegevens'!$C$16)</f>
        <v>0</v>
      </c>
      <c r="AZ191" s="68">
        <f ca="1">IF(E191-'Invoer gegevens'!$C$17-14.5&lt;0,0,E191-'Invoer gegevens'!$C$17-14.5)</f>
        <v>171.5</v>
      </c>
      <c r="BC191" s="71"/>
    </row>
    <row r="192" spans="2:55" customFormat="1" x14ac:dyDescent="0.25">
      <c r="B192" s="70">
        <f t="shared" si="29"/>
        <v>188</v>
      </c>
      <c r="C192" s="67">
        <f ca="1">IF(E192-'Invoer gegevens'!$C$17&lt;0,0,1)</f>
        <v>1</v>
      </c>
      <c r="D192" s="68">
        <f t="shared" si="30"/>
        <v>187.5</v>
      </c>
      <c r="E192" s="69">
        <f ca="1">IF('Invoer gegevens'!$C$16="","",E191+1)</f>
        <v>2206</v>
      </c>
      <c r="F192" s="82">
        <f ca="1">IF('Invoer gegevens'!$C$17=E192,'Invoer gegevens'!$C$10,IF(C192=1,H191,0))</f>
        <v>0</v>
      </c>
      <c r="G192" s="83">
        <f ca="1">IF(C192&gt;=1,F192*Reeksen!C192,0)</f>
        <v>0</v>
      </c>
      <c r="H192" s="84">
        <f t="shared" ca="1" si="23"/>
        <v>0</v>
      </c>
      <c r="I192" s="85">
        <f ca="1">IF('Invoer gegevens'!$C$17=E192,'Invoer gegevens'!$C$11,IF(C192=1,L191,0))</f>
        <v>0</v>
      </c>
      <c r="J192" s="86">
        <f ca="1">IF(C192&lt;1,0,IF(Reeksen!AD192&lt;=Reeksen!AE192,I192*Reeksen!C192,0))</f>
        <v>0</v>
      </c>
      <c r="K192" s="86">
        <f ca="1">IF(C192&lt;1,0,IF(Reeksen!AD192&gt;Reeksen!AE192,I192*Reeksen!C192,0))</f>
        <v>0</v>
      </c>
      <c r="L192" s="86">
        <f t="shared" ca="1" si="24"/>
        <v>0</v>
      </c>
      <c r="M192" s="85">
        <f ca="1">IF('Invoer gegevens'!$C$17=E192,'Invoer gegevens'!$C$10-'Invoer gegevens'!$C$11,IF(C192=1,P191,0))</f>
        <v>0</v>
      </c>
      <c r="N192" s="86">
        <f ca="1">IF(C192&lt;1,0,IF(Reeksen!AD192&lt;=Reeksen!AE192,M192*Reeksen!C192,0))</f>
        <v>0</v>
      </c>
      <c r="O192" s="86">
        <f ca="1">IF(C192&lt;1,0,IF(Reeksen!AD192&gt;Reeksen!AE192,M192*Reeksen!C192,0))</f>
        <v>0</v>
      </c>
      <c r="P192" s="86">
        <f t="shared" ca="1" si="25"/>
        <v>0</v>
      </c>
      <c r="Q192" s="82">
        <f ca="1">IF('Invoer gegevens'!$C$17=E192,I192,IF(C192=0,0,R191))</f>
        <v>0</v>
      </c>
      <c r="R192" s="84">
        <f t="shared" ca="1" si="22"/>
        <v>0</v>
      </c>
      <c r="S192" s="84">
        <f ca="1">IF('Invoer gegevens'!$C$17=E192,M192,IF(C192=0,0,T191))</f>
        <v>0</v>
      </c>
      <c r="T192" s="84">
        <f t="shared" ca="1" si="31"/>
        <v>0</v>
      </c>
      <c r="AI192" s="71">
        <f ca="1">IF(C192=1,((F192+H192)/2*Reeksen!AI192*12)+(('Invoer gegevens'!$C$10-(F192+H192)/2)*Reeksen!AD192*12),0)</f>
        <v>0</v>
      </c>
      <c r="AJ192" s="71">
        <f ca="1">-AI192*'Invoer gegevens'!$F$28</f>
        <v>0</v>
      </c>
      <c r="AK192" s="71">
        <f t="shared" ca="1" si="26"/>
        <v>0</v>
      </c>
      <c r="AL192" s="71">
        <f ca="1">IF(C192=1,(12*((F192+H192)/2)*Reeksen!AL192)+(12*('Invoer gegevens'!$C$10-(F192+H192)/2)*Reeksen!AM192),0)</f>
        <v>0</v>
      </c>
      <c r="AM192" s="71">
        <f ca="1">-AL192*'Invoer gegevens'!$F$31</f>
        <v>0</v>
      </c>
      <c r="AN192" s="71">
        <f t="shared" ca="1" si="27"/>
        <v>0</v>
      </c>
      <c r="AO192" s="71"/>
      <c r="AP192" s="71"/>
      <c r="AQ192" s="71">
        <f ca="1">-IF(C192=1,('Invoer gegevens'!$C$10*'Invoer gegevens'!$F$35)*Reeksen!J192,0)*2</f>
        <v>0</v>
      </c>
      <c r="AR192" s="71">
        <f ca="1">-IF(C192=1,(G192*'Invoer gegevens'!$F$36)*Reeksen!J192,0)</f>
        <v>0</v>
      </c>
      <c r="AS192" s="71">
        <f ca="1">-IF(C192=1,'Invoer gegevens'!$C$10*'Invoer gegevens'!$F$37*Reeksen!L192,0)</f>
        <v>0</v>
      </c>
      <c r="AT192" s="71">
        <f ca="1">-IF(C192=1,IF(E192='Invoer gegevens'!$C$17,'Invoer gegevens'!$C$11,Q192)*Reeksen!S192*'Invoer gegevens'!$C$18*Reeksen!P192,0)</f>
        <v>0</v>
      </c>
      <c r="AU192" s="71">
        <f ca="1">-IF(C192=1,'Invoer gegevens'!$C$10*'Invoer gegevens'!$F$38*Reeksen!H192,0)</f>
        <v>0</v>
      </c>
      <c r="AV192" s="71">
        <f t="shared" si="32"/>
        <v>0</v>
      </c>
      <c r="AW192" s="71">
        <f t="shared" ca="1" si="28"/>
        <v>0</v>
      </c>
      <c r="AX192" s="71">
        <f ca="1">IF(E192&lt;'Invoer gegevens'!$C$17+15,0,IF('RW - MW - DE - DE'!E192&gt;'Invoer gegevens'!$C$17+215,0,'RW - MW - DE - DE'!AW192))</f>
        <v>0</v>
      </c>
      <c r="AY192" s="71">
        <f ca="1">AX192/(1+'Invoer gegevens'!$F$13)^($AZ192-('Invoer gegevens'!$C$17-'Invoer gegevens'!$C$16))/(1+'Invoer gegevens'!$C$39)^('Invoer gegevens'!$C$17-'Invoer gegevens'!$C$16)</f>
        <v>0</v>
      </c>
      <c r="AZ192" s="68">
        <f ca="1">IF(E192-'Invoer gegevens'!$C$17-14.5&lt;0,0,E192-'Invoer gegevens'!$C$17-14.5)</f>
        <v>172.5</v>
      </c>
      <c r="BC192" s="71"/>
    </row>
    <row r="193" spans="2:55" customFormat="1" x14ac:dyDescent="0.25">
      <c r="B193" s="70">
        <f t="shared" si="29"/>
        <v>189</v>
      </c>
      <c r="C193" s="67">
        <f ca="1">IF(E193-'Invoer gegevens'!$C$17&lt;0,0,1)</f>
        <v>1</v>
      </c>
      <c r="D193" s="68">
        <f t="shared" si="30"/>
        <v>188.5</v>
      </c>
      <c r="E193" s="69">
        <f ca="1">IF('Invoer gegevens'!$C$16="","",E192+1)</f>
        <v>2207</v>
      </c>
      <c r="F193" s="82">
        <f ca="1">IF('Invoer gegevens'!$C$17=E193,'Invoer gegevens'!$C$10,IF(C193=1,H192,0))</f>
        <v>0</v>
      </c>
      <c r="G193" s="83">
        <f ca="1">IF(C193&gt;=1,F193*Reeksen!C193,0)</f>
        <v>0</v>
      </c>
      <c r="H193" s="84">
        <f t="shared" ca="1" si="23"/>
        <v>0</v>
      </c>
      <c r="I193" s="85">
        <f ca="1">IF('Invoer gegevens'!$C$17=E193,'Invoer gegevens'!$C$11,IF(C193=1,L192,0))</f>
        <v>0</v>
      </c>
      <c r="J193" s="86">
        <f ca="1">IF(C193&lt;1,0,IF(Reeksen!AD193&lt;=Reeksen!AE193,I193*Reeksen!C193,0))</f>
        <v>0</v>
      </c>
      <c r="K193" s="86">
        <f ca="1">IF(C193&lt;1,0,IF(Reeksen!AD193&gt;Reeksen!AE193,I193*Reeksen!C193,0))</f>
        <v>0</v>
      </c>
      <c r="L193" s="86">
        <f t="shared" ca="1" si="24"/>
        <v>0</v>
      </c>
      <c r="M193" s="85">
        <f ca="1">IF('Invoer gegevens'!$C$17=E193,'Invoer gegevens'!$C$10-'Invoer gegevens'!$C$11,IF(C193=1,P192,0))</f>
        <v>0</v>
      </c>
      <c r="N193" s="86">
        <f ca="1">IF(C193&lt;1,0,IF(Reeksen!AD193&lt;=Reeksen!AE193,M193*Reeksen!C193,0))</f>
        <v>0</v>
      </c>
      <c r="O193" s="86">
        <f ca="1">IF(C193&lt;1,0,IF(Reeksen!AD193&gt;Reeksen!AE193,M193*Reeksen!C193,0))</f>
        <v>0</v>
      </c>
      <c r="P193" s="86">
        <f t="shared" ca="1" si="25"/>
        <v>0</v>
      </c>
      <c r="Q193" s="82">
        <f ca="1">IF('Invoer gegevens'!$C$17=E193,I193,IF(C193=0,0,R192))</f>
        <v>0</v>
      </c>
      <c r="R193" s="84">
        <f t="shared" ca="1" si="22"/>
        <v>0</v>
      </c>
      <c r="S193" s="84">
        <f ca="1">IF('Invoer gegevens'!$C$17=E193,M193,IF(C193=0,0,T192))</f>
        <v>0</v>
      </c>
      <c r="T193" s="84">
        <f t="shared" ca="1" si="31"/>
        <v>0</v>
      </c>
      <c r="AI193" s="71">
        <f ca="1">IF(C193=1,((F193+H193)/2*Reeksen!AI193*12)+(('Invoer gegevens'!$C$10-(F193+H193)/2)*Reeksen!AD193*12),0)</f>
        <v>0</v>
      </c>
      <c r="AJ193" s="71">
        <f ca="1">-AI193*'Invoer gegevens'!$F$28</f>
        <v>0</v>
      </c>
      <c r="AK193" s="71">
        <f t="shared" ca="1" si="26"/>
        <v>0</v>
      </c>
      <c r="AL193" s="71">
        <f ca="1">IF(C193=1,(12*((F193+H193)/2)*Reeksen!AL193)+(12*('Invoer gegevens'!$C$10-(F193+H193)/2)*Reeksen!AM193),0)</f>
        <v>0</v>
      </c>
      <c r="AM193" s="71">
        <f ca="1">-AL193*'Invoer gegevens'!$F$31</f>
        <v>0</v>
      </c>
      <c r="AN193" s="71">
        <f t="shared" ca="1" si="27"/>
        <v>0</v>
      </c>
      <c r="AO193" s="71"/>
      <c r="AP193" s="71"/>
      <c r="AQ193" s="71">
        <f ca="1">-IF(C193=1,('Invoer gegevens'!$C$10*'Invoer gegevens'!$F$35)*Reeksen!J193,0)*2</f>
        <v>0</v>
      </c>
      <c r="AR193" s="71">
        <f ca="1">-IF(C193=1,(G193*'Invoer gegevens'!$F$36)*Reeksen!J193,0)</f>
        <v>0</v>
      </c>
      <c r="AS193" s="71">
        <f ca="1">-IF(C193=1,'Invoer gegevens'!$C$10*'Invoer gegevens'!$F$37*Reeksen!L193,0)</f>
        <v>0</v>
      </c>
      <c r="AT193" s="71">
        <f ca="1">-IF(C193=1,IF(E193='Invoer gegevens'!$C$17,'Invoer gegevens'!$C$11,Q193)*Reeksen!S193*'Invoer gegevens'!$C$18*Reeksen!P193,0)</f>
        <v>0</v>
      </c>
      <c r="AU193" s="71">
        <f ca="1">-IF(C193=1,'Invoer gegevens'!$C$10*'Invoer gegevens'!$F$38*Reeksen!H193,0)</f>
        <v>0</v>
      </c>
      <c r="AV193" s="71">
        <f t="shared" si="32"/>
        <v>0</v>
      </c>
      <c r="AW193" s="71">
        <f t="shared" ca="1" si="28"/>
        <v>0</v>
      </c>
      <c r="AX193" s="71">
        <f ca="1">IF(E193&lt;'Invoer gegevens'!$C$17+15,0,IF('RW - MW - DE - DE'!E193&gt;'Invoer gegevens'!$C$17+215,0,'RW - MW - DE - DE'!AW193))</f>
        <v>0</v>
      </c>
      <c r="AY193" s="71">
        <f ca="1">AX193/(1+'Invoer gegevens'!$F$13)^($AZ193-('Invoer gegevens'!$C$17-'Invoer gegevens'!$C$16))/(1+'Invoer gegevens'!$C$39)^('Invoer gegevens'!$C$17-'Invoer gegevens'!$C$16)</f>
        <v>0</v>
      </c>
      <c r="AZ193" s="68">
        <f ca="1">IF(E193-'Invoer gegevens'!$C$17-14.5&lt;0,0,E193-'Invoer gegevens'!$C$17-14.5)</f>
        <v>173.5</v>
      </c>
      <c r="BC193" s="71"/>
    </row>
    <row r="194" spans="2:55" customFormat="1" x14ac:dyDescent="0.25">
      <c r="B194" s="70">
        <f t="shared" si="29"/>
        <v>190</v>
      </c>
      <c r="C194" s="67">
        <f ca="1">IF(E194-'Invoer gegevens'!$C$17&lt;0,0,1)</f>
        <v>1</v>
      </c>
      <c r="D194" s="68">
        <f t="shared" si="30"/>
        <v>189.5</v>
      </c>
      <c r="E194" s="69">
        <f ca="1">IF('Invoer gegevens'!$C$16="","",E193+1)</f>
        <v>2208</v>
      </c>
      <c r="F194" s="82">
        <f ca="1">IF('Invoer gegevens'!$C$17=E194,'Invoer gegevens'!$C$10,IF(C194=1,H193,0))</f>
        <v>0</v>
      </c>
      <c r="G194" s="83">
        <f ca="1">IF(C194&gt;=1,F194*Reeksen!C194,0)</f>
        <v>0</v>
      </c>
      <c r="H194" s="84">
        <f t="shared" ca="1" si="23"/>
        <v>0</v>
      </c>
      <c r="I194" s="85">
        <f ca="1">IF('Invoer gegevens'!$C$17=E194,'Invoer gegevens'!$C$11,IF(C194=1,L193,0))</f>
        <v>0</v>
      </c>
      <c r="J194" s="86">
        <f ca="1">IF(C194&lt;1,0,IF(Reeksen!AD194&lt;=Reeksen!AE194,I194*Reeksen!C194,0))</f>
        <v>0</v>
      </c>
      <c r="K194" s="86">
        <f ca="1">IF(C194&lt;1,0,IF(Reeksen!AD194&gt;Reeksen!AE194,I194*Reeksen!C194,0))</f>
        <v>0</v>
      </c>
      <c r="L194" s="86">
        <f t="shared" ca="1" si="24"/>
        <v>0</v>
      </c>
      <c r="M194" s="85">
        <f ca="1">IF('Invoer gegevens'!$C$17=E194,'Invoer gegevens'!$C$10-'Invoer gegevens'!$C$11,IF(C194=1,P193,0))</f>
        <v>0</v>
      </c>
      <c r="N194" s="86">
        <f ca="1">IF(C194&lt;1,0,IF(Reeksen!AD194&lt;=Reeksen!AE194,M194*Reeksen!C194,0))</f>
        <v>0</v>
      </c>
      <c r="O194" s="86">
        <f ca="1">IF(C194&lt;1,0,IF(Reeksen!AD194&gt;Reeksen!AE194,M194*Reeksen!C194,0))</f>
        <v>0</v>
      </c>
      <c r="P194" s="86">
        <f t="shared" ca="1" si="25"/>
        <v>0</v>
      </c>
      <c r="Q194" s="82">
        <f ca="1">IF('Invoer gegevens'!$C$17=E194,I194,IF(C194=0,0,R193))</f>
        <v>0</v>
      </c>
      <c r="R194" s="84">
        <f t="shared" ca="1" si="22"/>
        <v>0</v>
      </c>
      <c r="S194" s="84">
        <f ca="1">IF('Invoer gegevens'!$C$17=E194,M194,IF(C194=0,0,T193))</f>
        <v>0</v>
      </c>
      <c r="T194" s="84">
        <f t="shared" ca="1" si="31"/>
        <v>0</v>
      </c>
      <c r="AI194" s="71">
        <f ca="1">IF(C194=1,((F194+H194)/2*Reeksen!AI194*12)+(('Invoer gegevens'!$C$10-(F194+H194)/2)*Reeksen!AD194*12),0)</f>
        <v>0</v>
      </c>
      <c r="AJ194" s="71">
        <f ca="1">-AI194*'Invoer gegevens'!$F$28</f>
        <v>0</v>
      </c>
      <c r="AK194" s="71">
        <f t="shared" ca="1" si="26"/>
        <v>0</v>
      </c>
      <c r="AL194" s="71">
        <f ca="1">IF(C194=1,(12*((F194+H194)/2)*Reeksen!AL194)+(12*('Invoer gegevens'!$C$10-(F194+H194)/2)*Reeksen!AM194),0)</f>
        <v>0</v>
      </c>
      <c r="AM194" s="71">
        <f ca="1">-AL194*'Invoer gegevens'!$F$31</f>
        <v>0</v>
      </c>
      <c r="AN194" s="71">
        <f t="shared" ca="1" si="27"/>
        <v>0</v>
      </c>
      <c r="AO194" s="71"/>
      <c r="AP194" s="71"/>
      <c r="AQ194" s="71">
        <f ca="1">-IF(C194=1,('Invoer gegevens'!$C$10*'Invoer gegevens'!$F$35)*Reeksen!J194,0)*2</f>
        <v>0</v>
      </c>
      <c r="AR194" s="71">
        <f ca="1">-IF(C194=1,(G194*'Invoer gegevens'!$F$36)*Reeksen!J194,0)</f>
        <v>0</v>
      </c>
      <c r="AS194" s="71">
        <f ca="1">-IF(C194=1,'Invoer gegevens'!$C$10*'Invoer gegevens'!$F$37*Reeksen!L194,0)</f>
        <v>0</v>
      </c>
      <c r="AT194" s="71">
        <f ca="1">-IF(C194=1,IF(E194='Invoer gegevens'!$C$17,'Invoer gegevens'!$C$11,Q194)*Reeksen!S194*'Invoer gegevens'!$C$18*Reeksen!P194,0)</f>
        <v>0</v>
      </c>
      <c r="AU194" s="71">
        <f ca="1">-IF(C194=1,'Invoer gegevens'!$C$10*'Invoer gegevens'!$F$38*Reeksen!H194,0)</f>
        <v>0</v>
      </c>
      <c r="AV194" s="71">
        <f t="shared" si="32"/>
        <v>0</v>
      </c>
      <c r="AW194" s="71">
        <f t="shared" ca="1" si="28"/>
        <v>0</v>
      </c>
      <c r="AX194" s="71">
        <f ca="1">IF(E194&lt;'Invoer gegevens'!$C$17+15,0,IF('RW - MW - DE - DE'!E194&gt;'Invoer gegevens'!$C$17+215,0,'RW - MW - DE - DE'!AW194))</f>
        <v>0</v>
      </c>
      <c r="AY194" s="71">
        <f ca="1">AX194/(1+'Invoer gegevens'!$F$13)^($AZ194-('Invoer gegevens'!$C$17-'Invoer gegevens'!$C$16))/(1+'Invoer gegevens'!$C$39)^('Invoer gegevens'!$C$17-'Invoer gegevens'!$C$16)</f>
        <v>0</v>
      </c>
      <c r="AZ194" s="68">
        <f ca="1">IF(E194-'Invoer gegevens'!$C$17-14.5&lt;0,0,E194-'Invoer gegevens'!$C$17-14.5)</f>
        <v>174.5</v>
      </c>
      <c r="BC194" s="71"/>
    </row>
    <row r="195" spans="2:55" customFormat="1" x14ac:dyDescent="0.25">
      <c r="B195" s="70">
        <f t="shared" si="29"/>
        <v>191</v>
      </c>
      <c r="C195" s="67">
        <f ca="1">IF(E195-'Invoer gegevens'!$C$17&lt;0,0,1)</f>
        <v>1</v>
      </c>
      <c r="D195" s="68">
        <f t="shared" si="30"/>
        <v>190.5</v>
      </c>
      <c r="E195" s="69">
        <f ca="1">IF('Invoer gegevens'!$C$16="","",E194+1)</f>
        <v>2209</v>
      </c>
      <c r="F195" s="82">
        <f ca="1">IF('Invoer gegevens'!$C$17=E195,'Invoer gegevens'!$C$10,IF(C195=1,H194,0))</f>
        <v>0</v>
      </c>
      <c r="G195" s="83">
        <f ca="1">IF(C195&gt;=1,F195*Reeksen!C195,0)</f>
        <v>0</v>
      </c>
      <c r="H195" s="84">
        <f t="shared" ca="1" si="23"/>
        <v>0</v>
      </c>
      <c r="I195" s="85">
        <f ca="1">IF('Invoer gegevens'!$C$17=E195,'Invoer gegevens'!$C$11,IF(C195=1,L194,0))</f>
        <v>0</v>
      </c>
      <c r="J195" s="86">
        <f ca="1">IF(C195&lt;1,0,IF(Reeksen!AD195&lt;=Reeksen!AE195,I195*Reeksen!C195,0))</f>
        <v>0</v>
      </c>
      <c r="K195" s="86">
        <f ca="1">IF(C195&lt;1,0,IF(Reeksen!AD195&gt;Reeksen!AE195,I195*Reeksen!C195,0))</f>
        <v>0</v>
      </c>
      <c r="L195" s="86">
        <f t="shared" ca="1" si="24"/>
        <v>0</v>
      </c>
      <c r="M195" s="85">
        <f ca="1">IF('Invoer gegevens'!$C$17=E195,'Invoer gegevens'!$C$10-'Invoer gegevens'!$C$11,IF(C195=1,P194,0))</f>
        <v>0</v>
      </c>
      <c r="N195" s="86">
        <f ca="1">IF(C195&lt;1,0,IF(Reeksen!AD195&lt;=Reeksen!AE195,M195*Reeksen!C195,0))</f>
        <v>0</v>
      </c>
      <c r="O195" s="86">
        <f ca="1">IF(C195&lt;1,0,IF(Reeksen!AD195&gt;Reeksen!AE195,M195*Reeksen!C195,0))</f>
        <v>0</v>
      </c>
      <c r="P195" s="86">
        <f t="shared" ca="1" si="25"/>
        <v>0</v>
      </c>
      <c r="Q195" s="82">
        <f ca="1">IF('Invoer gegevens'!$C$17=E195,I195,IF(C195=0,0,R194))</f>
        <v>0</v>
      </c>
      <c r="R195" s="84">
        <f t="shared" ca="1" si="22"/>
        <v>0</v>
      </c>
      <c r="S195" s="84">
        <f ca="1">IF('Invoer gegevens'!$C$17=E195,M195,IF(C195=0,0,T194))</f>
        <v>0</v>
      </c>
      <c r="T195" s="84">
        <f t="shared" ca="1" si="31"/>
        <v>0</v>
      </c>
      <c r="AI195" s="71">
        <f ca="1">IF(C195=1,((F195+H195)/2*Reeksen!AI195*12)+(('Invoer gegevens'!$C$10-(F195+H195)/2)*Reeksen!AD195*12),0)</f>
        <v>0</v>
      </c>
      <c r="AJ195" s="71">
        <f ca="1">-AI195*'Invoer gegevens'!$F$28</f>
        <v>0</v>
      </c>
      <c r="AK195" s="71">
        <f t="shared" ca="1" si="26"/>
        <v>0</v>
      </c>
      <c r="AL195" s="71">
        <f ca="1">IF(C195=1,(12*((F195+H195)/2)*Reeksen!AL195)+(12*('Invoer gegevens'!$C$10-(F195+H195)/2)*Reeksen!AM195),0)</f>
        <v>0</v>
      </c>
      <c r="AM195" s="71">
        <f ca="1">-AL195*'Invoer gegevens'!$F$31</f>
        <v>0</v>
      </c>
      <c r="AN195" s="71">
        <f t="shared" ca="1" si="27"/>
        <v>0</v>
      </c>
      <c r="AO195" s="71"/>
      <c r="AP195" s="71"/>
      <c r="AQ195" s="71">
        <f ca="1">-IF(C195=1,('Invoer gegevens'!$C$10*'Invoer gegevens'!$F$35)*Reeksen!J195,0)*2</f>
        <v>0</v>
      </c>
      <c r="AR195" s="71">
        <f ca="1">-IF(C195=1,(G195*'Invoer gegevens'!$F$36)*Reeksen!J195,0)</f>
        <v>0</v>
      </c>
      <c r="AS195" s="71">
        <f ca="1">-IF(C195=1,'Invoer gegevens'!$C$10*'Invoer gegevens'!$F$37*Reeksen!L195,0)</f>
        <v>0</v>
      </c>
      <c r="AT195" s="71">
        <f ca="1">-IF(C195=1,IF(E195='Invoer gegevens'!$C$17,'Invoer gegevens'!$C$11,Q195)*Reeksen!S195*'Invoer gegevens'!$C$18*Reeksen!P195,0)</f>
        <v>0</v>
      </c>
      <c r="AU195" s="71">
        <f ca="1">-IF(C195=1,'Invoer gegevens'!$C$10*'Invoer gegevens'!$F$38*Reeksen!H195,0)</f>
        <v>0</v>
      </c>
      <c r="AV195" s="71">
        <f t="shared" si="32"/>
        <v>0</v>
      </c>
      <c r="AW195" s="71">
        <f t="shared" ca="1" si="28"/>
        <v>0</v>
      </c>
      <c r="AX195" s="71">
        <f ca="1">IF(E195&lt;'Invoer gegevens'!$C$17+15,0,IF('RW - MW - DE - DE'!E195&gt;'Invoer gegevens'!$C$17+215,0,'RW - MW - DE - DE'!AW195))</f>
        <v>0</v>
      </c>
      <c r="AY195" s="71">
        <f ca="1">AX195/(1+'Invoer gegevens'!$F$13)^($AZ195-('Invoer gegevens'!$C$17-'Invoer gegevens'!$C$16))/(1+'Invoer gegevens'!$C$39)^('Invoer gegevens'!$C$17-'Invoer gegevens'!$C$16)</f>
        <v>0</v>
      </c>
      <c r="AZ195" s="68">
        <f ca="1">IF(E195-'Invoer gegevens'!$C$17-14.5&lt;0,0,E195-'Invoer gegevens'!$C$17-14.5)</f>
        <v>175.5</v>
      </c>
      <c r="BC195" s="71"/>
    </row>
    <row r="196" spans="2:55" customFormat="1" x14ac:dyDescent="0.25">
      <c r="B196" s="70">
        <f t="shared" si="29"/>
        <v>192</v>
      </c>
      <c r="C196" s="67">
        <f ca="1">IF(E196-'Invoer gegevens'!$C$17&lt;0,0,1)</f>
        <v>1</v>
      </c>
      <c r="D196" s="68">
        <f t="shared" si="30"/>
        <v>191.5</v>
      </c>
      <c r="E196" s="69">
        <f ca="1">IF('Invoer gegevens'!$C$16="","",E195+1)</f>
        <v>2210</v>
      </c>
      <c r="F196" s="82">
        <f ca="1">IF('Invoer gegevens'!$C$17=E196,'Invoer gegevens'!$C$10,IF(C196=1,H195,0))</f>
        <v>0</v>
      </c>
      <c r="G196" s="83">
        <f ca="1">IF(C196&gt;=1,F196*Reeksen!C196,0)</f>
        <v>0</v>
      </c>
      <c r="H196" s="84">
        <f t="shared" ca="1" si="23"/>
        <v>0</v>
      </c>
      <c r="I196" s="85">
        <f ca="1">IF('Invoer gegevens'!$C$17=E196,'Invoer gegevens'!$C$11,IF(C196=1,L195,0))</f>
        <v>0</v>
      </c>
      <c r="J196" s="86">
        <f ca="1">IF(C196&lt;1,0,IF(Reeksen!AD196&lt;=Reeksen!AE196,I196*Reeksen!C196,0))</f>
        <v>0</v>
      </c>
      <c r="K196" s="86">
        <f ca="1">IF(C196&lt;1,0,IF(Reeksen!AD196&gt;Reeksen!AE196,I196*Reeksen!C196,0))</f>
        <v>0</v>
      </c>
      <c r="L196" s="86">
        <f t="shared" ca="1" si="24"/>
        <v>0</v>
      </c>
      <c r="M196" s="85">
        <f ca="1">IF('Invoer gegevens'!$C$17=E196,'Invoer gegevens'!$C$10-'Invoer gegevens'!$C$11,IF(C196=1,P195,0))</f>
        <v>0</v>
      </c>
      <c r="N196" s="86">
        <f ca="1">IF(C196&lt;1,0,IF(Reeksen!AD196&lt;=Reeksen!AE196,M196*Reeksen!C196,0))</f>
        <v>0</v>
      </c>
      <c r="O196" s="86">
        <f ca="1">IF(C196&lt;1,0,IF(Reeksen!AD196&gt;Reeksen!AE196,M196*Reeksen!C196,0))</f>
        <v>0</v>
      </c>
      <c r="P196" s="86">
        <f t="shared" ca="1" si="25"/>
        <v>0</v>
      </c>
      <c r="Q196" s="82">
        <f ca="1">IF('Invoer gegevens'!$C$17=E196,I196,IF(C196=0,0,R195))</f>
        <v>0</v>
      </c>
      <c r="R196" s="84">
        <f t="shared" ca="1" si="22"/>
        <v>0</v>
      </c>
      <c r="S196" s="84">
        <f ca="1">IF('Invoer gegevens'!$C$17=E196,M196,IF(C196=0,0,T195))</f>
        <v>0</v>
      </c>
      <c r="T196" s="84">
        <f t="shared" ca="1" si="31"/>
        <v>0</v>
      </c>
      <c r="AI196" s="71">
        <f ca="1">IF(C196=1,((F196+H196)/2*Reeksen!AI196*12)+(('Invoer gegevens'!$C$10-(F196+H196)/2)*Reeksen!AD196*12),0)</f>
        <v>0</v>
      </c>
      <c r="AJ196" s="71">
        <f ca="1">-AI196*'Invoer gegevens'!$F$28</f>
        <v>0</v>
      </c>
      <c r="AK196" s="71">
        <f t="shared" ca="1" si="26"/>
        <v>0</v>
      </c>
      <c r="AL196" s="71">
        <f ca="1">IF(C196=1,(12*((F196+H196)/2)*Reeksen!AL196)+(12*('Invoer gegevens'!$C$10-(F196+H196)/2)*Reeksen!AM196),0)</f>
        <v>0</v>
      </c>
      <c r="AM196" s="71">
        <f ca="1">-AL196*'Invoer gegevens'!$F$31</f>
        <v>0</v>
      </c>
      <c r="AN196" s="71">
        <f t="shared" ca="1" si="27"/>
        <v>0</v>
      </c>
      <c r="AO196" s="71"/>
      <c r="AP196" s="71"/>
      <c r="AQ196" s="71">
        <f ca="1">-IF(C196=1,('Invoer gegevens'!$C$10*'Invoer gegevens'!$F$35)*Reeksen!J196,0)*2</f>
        <v>0</v>
      </c>
      <c r="AR196" s="71">
        <f ca="1">-IF(C196=1,(G196*'Invoer gegevens'!$F$36)*Reeksen!J196,0)</f>
        <v>0</v>
      </c>
      <c r="AS196" s="71">
        <f ca="1">-IF(C196=1,'Invoer gegevens'!$C$10*'Invoer gegevens'!$F$37*Reeksen!L196,0)</f>
        <v>0</v>
      </c>
      <c r="AT196" s="71">
        <f ca="1">-IF(C196=1,IF(E196='Invoer gegevens'!$C$17,'Invoer gegevens'!$C$11,Q196)*Reeksen!S196*'Invoer gegevens'!$C$18*Reeksen!P196,0)</f>
        <v>0</v>
      </c>
      <c r="AU196" s="71">
        <f ca="1">-IF(C196=1,'Invoer gegevens'!$C$10*'Invoer gegevens'!$F$38*Reeksen!H196,0)</f>
        <v>0</v>
      </c>
      <c r="AV196" s="71">
        <f t="shared" si="32"/>
        <v>0</v>
      </c>
      <c r="AW196" s="71">
        <f t="shared" ca="1" si="28"/>
        <v>0</v>
      </c>
      <c r="AX196" s="71">
        <f ca="1">IF(E196&lt;'Invoer gegevens'!$C$17+15,0,IF('RW - MW - DE - DE'!E196&gt;'Invoer gegevens'!$C$17+215,0,'RW - MW - DE - DE'!AW196))</f>
        <v>0</v>
      </c>
      <c r="AY196" s="71">
        <f ca="1">AX196/(1+'Invoer gegevens'!$F$13)^($AZ196-('Invoer gegevens'!$C$17-'Invoer gegevens'!$C$16))/(1+'Invoer gegevens'!$C$39)^('Invoer gegevens'!$C$17-'Invoer gegevens'!$C$16)</f>
        <v>0</v>
      </c>
      <c r="AZ196" s="68">
        <f ca="1">IF(E196-'Invoer gegevens'!$C$17-14.5&lt;0,0,E196-'Invoer gegevens'!$C$17-14.5)</f>
        <v>176.5</v>
      </c>
      <c r="BC196" s="71"/>
    </row>
    <row r="197" spans="2:55" customFormat="1" x14ac:dyDescent="0.25">
      <c r="B197" s="70">
        <f t="shared" si="29"/>
        <v>193</v>
      </c>
      <c r="C197" s="67">
        <f ca="1">IF(E197-'Invoer gegevens'!$C$17&lt;0,0,1)</f>
        <v>1</v>
      </c>
      <c r="D197" s="68">
        <f t="shared" si="30"/>
        <v>192.5</v>
      </c>
      <c r="E197" s="69">
        <f ca="1">IF('Invoer gegevens'!$C$16="","",E196+1)</f>
        <v>2211</v>
      </c>
      <c r="F197" s="82">
        <f ca="1">IF('Invoer gegevens'!$C$17=E197,'Invoer gegevens'!$C$10,IF(C197=1,H196,0))</f>
        <v>0</v>
      </c>
      <c r="G197" s="83">
        <f ca="1">IF(C197&gt;=1,F197*Reeksen!C197,0)</f>
        <v>0</v>
      </c>
      <c r="H197" s="84">
        <f t="shared" ca="1" si="23"/>
        <v>0</v>
      </c>
      <c r="I197" s="85">
        <f ca="1">IF('Invoer gegevens'!$C$17=E197,'Invoer gegevens'!$C$11,IF(C197=1,L196,0))</f>
        <v>0</v>
      </c>
      <c r="J197" s="86">
        <f ca="1">IF(C197&lt;1,0,IF(Reeksen!AD197&lt;=Reeksen!AE197,I197*Reeksen!C197,0))</f>
        <v>0</v>
      </c>
      <c r="K197" s="86">
        <f ca="1">IF(C197&lt;1,0,IF(Reeksen!AD197&gt;Reeksen!AE197,I197*Reeksen!C197,0))</f>
        <v>0</v>
      </c>
      <c r="L197" s="86">
        <f t="shared" ca="1" si="24"/>
        <v>0</v>
      </c>
      <c r="M197" s="85">
        <f ca="1">IF('Invoer gegevens'!$C$17=E197,'Invoer gegevens'!$C$10-'Invoer gegevens'!$C$11,IF(C197=1,P196,0))</f>
        <v>0</v>
      </c>
      <c r="N197" s="86">
        <f ca="1">IF(C197&lt;1,0,IF(Reeksen!AD197&lt;=Reeksen!AE197,M197*Reeksen!C197,0))</f>
        <v>0</v>
      </c>
      <c r="O197" s="86">
        <f ca="1">IF(C197&lt;1,0,IF(Reeksen!AD197&gt;Reeksen!AE197,M197*Reeksen!C197,0))</f>
        <v>0</v>
      </c>
      <c r="P197" s="86">
        <f t="shared" ca="1" si="25"/>
        <v>0</v>
      </c>
      <c r="Q197" s="82">
        <f ca="1">IF('Invoer gegevens'!$C$17=E197,I197,IF(C197=0,0,R196))</f>
        <v>0</v>
      </c>
      <c r="R197" s="84">
        <f t="shared" ref="R197:R234" ca="1" si="33">IF(C197=0,0,Q197-K197+N197)</f>
        <v>0</v>
      </c>
      <c r="S197" s="84">
        <f ca="1">IF('Invoer gegevens'!$C$17=E197,M197,IF(C197=0,0,T196))</f>
        <v>0</v>
      </c>
      <c r="T197" s="84">
        <f t="shared" ca="1" si="31"/>
        <v>0</v>
      </c>
      <c r="AI197" s="71">
        <f ca="1">IF(C197=1,((F197+H197)/2*Reeksen!AI197*12)+(('Invoer gegevens'!$C$10-(F197+H197)/2)*Reeksen!AD197*12),0)</f>
        <v>0</v>
      </c>
      <c r="AJ197" s="71">
        <f ca="1">-AI197*'Invoer gegevens'!$F$28</f>
        <v>0</v>
      </c>
      <c r="AK197" s="71">
        <f t="shared" ca="1" si="26"/>
        <v>0</v>
      </c>
      <c r="AL197" s="71">
        <f ca="1">IF(C197=1,(12*((F197+H197)/2)*Reeksen!AL197)+(12*('Invoer gegevens'!$C$10-(F197+H197)/2)*Reeksen!AM197),0)</f>
        <v>0</v>
      </c>
      <c r="AM197" s="71">
        <f ca="1">-AL197*'Invoer gegevens'!$F$31</f>
        <v>0</v>
      </c>
      <c r="AN197" s="71">
        <f t="shared" ca="1" si="27"/>
        <v>0</v>
      </c>
      <c r="AO197" s="71"/>
      <c r="AP197" s="71"/>
      <c r="AQ197" s="71">
        <f ca="1">-IF(C197=1,('Invoer gegevens'!$C$10*'Invoer gegevens'!$F$35)*Reeksen!J197,0)*2</f>
        <v>0</v>
      </c>
      <c r="AR197" s="71">
        <f ca="1">-IF(C197=1,(G197*'Invoer gegevens'!$F$36)*Reeksen!J197,0)</f>
        <v>0</v>
      </c>
      <c r="AS197" s="71">
        <f ca="1">-IF(C197=1,'Invoer gegevens'!$C$10*'Invoer gegevens'!$F$37*Reeksen!L197,0)</f>
        <v>0</v>
      </c>
      <c r="AT197" s="71">
        <f ca="1">-IF(C197=1,IF(E197='Invoer gegevens'!$C$17,'Invoer gegevens'!$C$11,Q197)*Reeksen!S197*'Invoer gegevens'!$C$18*Reeksen!P197,0)</f>
        <v>0</v>
      </c>
      <c r="AU197" s="71">
        <f ca="1">-IF(C197=1,'Invoer gegevens'!$C$10*'Invoer gegevens'!$F$38*Reeksen!H197,0)</f>
        <v>0</v>
      </c>
      <c r="AV197" s="71">
        <f t="shared" si="32"/>
        <v>0</v>
      </c>
      <c r="AW197" s="71">
        <f t="shared" ca="1" si="28"/>
        <v>0</v>
      </c>
      <c r="AX197" s="71">
        <f ca="1">IF(E197&lt;'Invoer gegevens'!$C$17+15,0,IF('RW - MW - DE - DE'!E197&gt;'Invoer gegevens'!$C$17+215,0,'RW - MW - DE - DE'!AW197))</f>
        <v>0</v>
      </c>
      <c r="AY197" s="71">
        <f ca="1">AX197/(1+'Invoer gegevens'!$F$13)^($AZ197-('Invoer gegevens'!$C$17-'Invoer gegevens'!$C$16))/(1+'Invoer gegevens'!$C$39)^('Invoer gegevens'!$C$17-'Invoer gegevens'!$C$16)</f>
        <v>0</v>
      </c>
      <c r="AZ197" s="68">
        <f ca="1">IF(E197-'Invoer gegevens'!$C$17-14.5&lt;0,0,E197-'Invoer gegevens'!$C$17-14.5)</f>
        <v>177.5</v>
      </c>
      <c r="BC197" s="71"/>
    </row>
    <row r="198" spans="2:55" customFormat="1" x14ac:dyDescent="0.25">
      <c r="B198" s="70">
        <f t="shared" si="29"/>
        <v>194</v>
      </c>
      <c r="C198" s="67">
        <f ca="1">IF(E198-'Invoer gegevens'!$C$17&lt;0,0,1)</f>
        <v>1</v>
      </c>
      <c r="D198" s="68">
        <f t="shared" si="30"/>
        <v>193.5</v>
      </c>
      <c r="E198" s="69">
        <f ca="1">IF('Invoer gegevens'!$C$16="","",E197+1)</f>
        <v>2212</v>
      </c>
      <c r="F198" s="82">
        <f ca="1">IF('Invoer gegevens'!$C$17=E198,'Invoer gegevens'!$C$10,IF(C198=1,H197,0))</f>
        <v>0</v>
      </c>
      <c r="G198" s="83">
        <f ca="1">IF(C198&gt;=1,F198*Reeksen!C198,0)</f>
        <v>0</v>
      </c>
      <c r="H198" s="84">
        <f t="shared" ref="H198:H234" ca="1" si="34">F198-G198</f>
        <v>0</v>
      </c>
      <c r="I198" s="85">
        <f ca="1">IF('Invoer gegevens'!$C$17=E198,'Invoer gegevens'!$C$11,IF(C198=1,L197,0))</f>
        <v>0</v>
      </c>
      <c r="J198" s="86">
        <f ca="1">IF(C198&lt;1,0,IF(Reeksen!AD198&lt;=Reeksen!AE198,I198*Reeksen!C198,0))</f>
        <v>0</v>
      </c>
      <c r="K198" s="86">
        <f ca="1">IF(C198&lt;1,0,IF(Reeksen!AD198&gt;Reeksen!AE198,I198*Reeksen!C198,0))</f>
        <v>0</v>
      </c>
      <c r="L198" s="86">
        <f t="shared" ref="L198:L234" ca="1" si="35">I198-J198-K198</f>
        <v>0</v>
      </c>
      <c r="M198" s="85">
        <f ca="1">IF('Invoer gegevens'!$C$17=E198,'Invoer gegevens'!$C$10-'Invoer gegevens'!$C$11,IF(C198=1,P197,0))</f>
        <v>0</v>
      </c>
      <c r="N198" s="86">
        <f ca="1">IF(C198&lt;1,0,IF(Reeksen!AD198&lt;=Reeksen!AE198,M198*Reeksen!C198,0))</f>
        <v>0</v>
      </c>
      <c r="O198" s="86">
        <f ca="1">IF(C198&lt;1,0,IF(Reeksen!AD198&gt;Reeksen!AE198,M198*Reeksen!C198,0))</f>
        <v>0</v>
      </c>
      <c r="P198" s="86">
        <f t="shared" ref="P198:P234" ca="1" si="36">M198-N198-O198</f>
        <v>0</v>
      </c>
      <c r="Q198" s="82">
        <f ca="1">IF('Invoer gegevens'!$C$17=E198,I198,IF(C198=0,0,R197))</f>
        <v>0</v>
      </c>
      <c r="R198" s="84">
        <f t="shared" ca="1" si="33"/>
        <v>0</v>
      </c>
      <c r="S198" s="84">
        <f ca="1">IF('Invoer gegevens'!$C$17=E198,M198,IF(C198=0,0,T197))</f>
        <v>0</v>
      </c>
      <c r="T198" s="84">
        <f t="shared" ca="1" si="31"/>
        <v>0</v>
      </c>
      <c r="AI198" s="71">
        <f ca="1">IF(C198=1,((F198+H198)/2*Reeksen!AI198*12)+(('Invoer gegevens'!$C$10-(F198+H198)/2)*Reeksen!AD198*12),0)</f>
        <v>0</v>
      </c>
      <c r="AJ198" s="71">
        <f ca="1">-AI198*'Invoer gegevens'!$F$28</f>
        <v>0</v>
      </c>
      <c r="AK198" s="71">
        <f t="shared" ref="AK198:AK234" ca="1" si="37">AI198+AJ198</f>
        <v>0</v>
      </c>
      <c r="AL198" s="71">
        <f ca="1">IF(C198=1,(12*((F198+H198)/2)*Reeksen!AL198)+(12*('Invoer gegevens'!$C$10-(F198+H198)/2)*Reeksen!AM198),0)</f>
        <v>0</v>
      </c>
      <c r="AM198" s="71">
        <f ca="1">-AL198*'Invoer gegevens'!$F$31</f>
        <v>0</v>
      </c>
      <c r="AN198" s="71">
        <f t="shared" ref="AN198:AN234" ca="1" si="38">AL198+AM198</f>
        <v>0</v>
      </c>
      <c r="AO198" s="71"/>
      <c r="AP198" s="71"/>
      <c r="AQ198" s="71">
        <f ca="1">-IF(C198=1,('Invoer gegevens'!$C$10*'Invoer gegevens'!$F$35)*Reeksen!J198,0)*2</f>
        <v>0</v>
      </c>
      <c r="AR198" s="71">
        <f ca="1">-IF(C198=1,(G198*'Invoer gegevens'!$F$36)*Reeksen!J198,0)</f>
        <v>0</v>
      </c>
      <c r="AS198" s="71">
        <f ca="1">-IF(C198=1,'Invoer gegevens'!$C$10*'Invoer gegevens'!$F$37*Reeksen!L198,0)</f>
        <v>0</v>
      </c>
      <c r="AT198" s="71">
        <f ca="1">-IF(C198=1,IF(E198='Invoer gegevens'!$C$17,'Invoer gegevens'!$C$11,Q198)*Reeksen!S198*'Invoer gegevens'!$C$18*Reeksen!P198,0)</f>
        <v>0</v>
      </c>
      <c r="AU198" s="71">
        <f ca="1">-IF(C198=1,'Invoer gegevens'!$C$10*'Invoer gegevens'!$F$38*Reeksen!H198,0)</f>
        <v>0</v>
      </c>
      <c r="AV198" s="71">
        <f t="shared" si="32"/>
        <v>0</v>
      </c>
      <c r="AW198" s="71">
        <f t="shared" ref="AW198:AW234" ca="1" si="39">SUM(AK198,AN198:AV198)</f>
        <v>0</v>
      </c>
      <c r="AX198" s="71">
        <f ca="1">IF(E198&lt;'Invoer gegevens'!$C$17+15,0,IF('RW - MW - DE - DE'!E198&gt;'Invoer gegevens'!$C$17+215,0,'RW - MW - DE - DE'!AW198))</f>
        <v>0</v>
      </c>
      <c r="AY198" s="71">
        <f ca="1">AX198/(1+'Invoer gegevens'!$F$13)^($AZ198-('Invoer gegevens'!$C$17-'Invoer gegevens'!$C$16))/(1+'Invoer gegevens'!$C$39)^('Invoer gegevens'!$C$17-'Invoer gegevens'!$C$16)</f>
        <v>0</v>
      </c>
      <c r="AZ198" s="68">
        <f ca="1">IF(E198-'Invoer gegevens'!$C$17-14.5&lt;0,0,E198-'Invoer gegevens'!$C$17-14.5)</f>
        <v>178.5</v>
      </c>
      <c r="BC198" s="71"/>
    </row>
    <row r="199" spans="2:55" customFormat="1" x14ac:dyDescent="0.25">
      <c r="B199" s="70">
        <f t="shared" ref="B199:B234" si="40">B198+1</f>
        <v>195</v>
      </c>
      <c r="C199" s="67">
        <f ca="1">IF(E199-'Invoer gegevens'!$C$17&lt;0,0,1)</f>
        <v>1</v>
      </c>
      <c r="D199" s="68">
        <f t="shared" ref="D199:D234" si="41">D198+1</f>
        <v>194.5</v>
      </c>
      <c r="E199" s="69">
        <f ca="1">IF('Invoer gegevens'!$C$16="","",E198+1)</f>
        <v>2213</v>
      </c>
      <c r="F199" s="82">
        <f ca="1">IF('Invoer gegevens'!$C$17=E199,'Invoer gegevens'!$C$10,IF(C199=1,H198,0))</f>
        <v>0</v>
      </c>
      <c r="G199" s="83">
        <f ca="1">IF(C199&gt;=1,F199*Reeksen!C199,0)</f>
        <v>0</v>
      </c>
      <c r="H199" s="84">
        <f t="shared" ca="1" si="34"/>
        <v>0</v>
      </c>
      <c r="I199" s="85">
        <f ca="1">IF('Invoer gegevens'!$C$17=E199,'Invoer gegevens'!$C$11,IF(C199=1,L198,0))</f>
        <v>0</v>
      </c>
      <c r="J199" s="86">
        <f ca="1">IF(C199&lt;1,0,IF(Reeksen!AD199&lt;=Reeksen!AE199,I199*Reeksen!C199,0))</f>
        <v>0</v>
      </c>
      <c r="K199" s="86">
        <f ca="1">IF(C199&lt;1,0,IF(Reeksen!AD199&gt;Reeksen!AE199,I199*Reeksen!C199,0))</f>
        <v>0</v>
      </c>
      <c r="L199" s="86">
        <f t="shared" ca="1" si="35"/>
        <v>0</v>
      </c>
      <c r="M199" s="85">
        <f ca="1">IF('Invoer gegevens'!$C$17=E199,'Invoer gegevens'!$C$10-'Invoer gegevens'!$C$11,IF(C199=1,P198,0))</f>
        <v>0</v>
      </c>
      <c r="N199" s="86">
        <f ca="1">IF(C199&lt;1,0,IF(Reeksen!AD199&lt;=Reeksen!AE199,M199*Reeksen!C199,0))</f>
        <v>0</v>
      </c>
      <c r="O199" s="86">
        <f ca="1">IF(C199&lt;1,0,IF(Reeksen!AD199&gt;Reeksen!AE199,M199*Reeksen!C199,0))</f>
        <v>0</v>
      </c>
      <c r="P199" s="86">
        <f t="shared" ca="1" si="36"/>
        <v>0</v>
      </c>
      <c r="Q199" s="82">
        <f ca="1">IF('Invoer gegevens'!$C$17=E199,I199,IF(C199=0,0,R198))</f>
        <v>0</v>
      </c>
      <c r="R199" s="84">
        <f t="shared" ca="1" si="33"/>
        <v>0</v>
      </c>
      <c r="S199" s="84">
        <f ca="1">IF('Invoer gegevens'!$C$17=E199,M199,IF(C199=0,0,T198))</f>
        <v>0</v>
      </c>
      <c r="T199" s="84">
        <f t="shared" ref="T199:T234" ca="1" si="42">IF(C199=0,0,S199-N199+K199)</f>
        <v>0</v>
      </c>
      <c r="AI199" s="71">
        <f ca="1">IF(C199=1,((F199+H199)/2*Reeksen!AI199*12)+(('Invoer gegevens'!$C$10-(F199+H199)/2)*Reeksen!AD199*12),0)</f>
        <v>0</v>
      </c>
      <c r="AJ199" s="71">
        <f ca="1">-AI199*'Invoer gegevens'!$F$28</f>
        <v>0</v>
      </c>
      <c r="AK199" s="71">
        <f t="shared" ca="1" si="37"/>
        <v>0</v>
      </c>
      <c r="AL199" s="71">
        <f ca="1">IF(C199=1,(12*((F199+H199)/2)*Reeksen!AL199)+(12*('Invoer gegevens'!$C$10-(F199+H199)/2)*Reeksen!AM199),0)</f>
        <v>0</v>
      </c>
      <c r="AM199" s="71">
        <f ca="1">-AL199*'Invoer gegevens'!$F$31</f>
        <v>0</v>
      </c>
      <c r="AN199" s="71">
        <f t="shared" ca="1" si="38"/>
        <v>0</v>
      </c>
      <c r="AO199" s="71"/>
      <c r="AP199" s="71"/>
      <c r="AQ199" s="71">
        <f ca="1">-IF(C199=1,('Invoer gegevens'!$C$10*'Invoer gegevens'!$F$35)*Reeksen!J199,0)*2</f>
        <v>0</v>
      </c>
      <c r="AR199" s="71">
        <f ca="1">-IF(C199=1,(G199*'Invoer gegevens'!$F$36)*Reeksen!J199,0)</f>
        <v>0</v>
      </c>
      <c r="AS199" s="71">
        <f ca="1">-IF(C199=1,'Invoer gegevens'!$C$10*'Invoer gegevens'!$F$37*Reeksen!L199,0)</f>
        <v>0</v>
      </c>
      <c r="AT199" s="71">
        <f ca="1">-IF(C199=1,IF(E199='Invoer gegevens'!$C$17,'Invoer gegevens'!$C$11,Q199)*Reeksen!S199*'Invoer gegevens'!$C$18*Reeksen!P199,0)</f>
        <v>0</v>
      </c>
      <c r="AU199" s="71">
        <f ca="1">-IF(C199=1,'Invoer gegevens'!$C$10*'Invoer gegevens'!$F$38*Reeksen!H199,0)</f>
        <v>0</v>
      </c>
      <c r="AV199" s="71">
        <f t="shared" si="32"/>
        <v>0</v>
      </c>
      <c r="AW199" s="71">
        <f t="shared" ca="1" si="39"/>
        <v>0</v>
      </c>
      <c r="AX199" s="71">
        <f ca="1">IF(E199&lt;'Invoer gegevens'!$C$17+15,0,IF('RW - MW - DE - DE'!E199&gt;'Invoer gegevens'!$C$17+215,0,'RW - MW - DE - DE'!AW199))</f>
        <v>0</v>
      </c>
      <c r="AY199" s="71">
        <f ca="1">AX199/(1+'Invoer gegevens'!$F$13)^($AZ199-('Invoer gegevens'!$C$17-'Invoer gegevens'!$C$16))/(1+'Invoer gegevens'!$C$39)^('Invoer gegevens'!$C$17-'Invoer gegevens'!$C$16)</f>
        <v>0</v>
      </c>
      <c r="AZ199" s="68">
        <f ca="1">IF(E199-'Invoer gegevens'!$C$17-14.5&lt;0,0,E199-'Invoer gegevens'!$C$17-14.5)</f>
        <v>179.5</v>
      </c>
      <c r="BC199" s="71"/>
    </row>
    <row r="200" spans="2:55" customFormat="1" x14ac:dyDescent="0.25">
      <c r="B200" s="70">
        <f t="shared" si="40"/>
        <v>196</v>
      </c>
      <c r="C200" s="67">
        <f ca="1">IF(E200-'Invoer gegevens'!$C$17&lt;0,0,1)</f>
        <v>1</v>
      </c>
      <c r="D200" s="68">
        <f t="shared" si="41"/>
        <v>195.5</v>
      </c>
      <c r="E200" s="69">
        <f ca="1">IF('Invoer gegevens'!$C$16="","",E199+1)</f>
        <v>2214</v>
      </c>
      <c r="F200" s="82">
        <f ca="1">IF('Invoer gegevens'!$C$17=E200,'Invoer gegevens'!$C$10,IF(C200=1,H199,0))</f>
        <v>0</v>
      </c>
      <c r="G200" s="83">
        <f ca="1">IF(C200&gt;=1,F200*Reeksen!C200,0)</f>
        <v>0</v>
      </c>
      <c r="H200" s="84">
        <f t="shared" ca="1" si="34"/>
        <v>0</v>
      </c>
      <c r="I200" s="85">
        <f ca="1">IF('Invoer gegevens'!$C$17=E200,'Invoer gegevens'!$C$11,IF(C200=1,L199,0))</f>
        <v>0</v>
      </c>
      <c r="J200" s="86">
        <f ca="1">IF(C200&lt;1,0,IF(Reeksen!AD200&lt;=Reeksen!AE200,I200*Reeksen!C200,0))</f>
        <v>0</v>
      </c>
      <c r="K200" s="86">
        <f ca="1">IF(C200&lt;1,0,IF(Reeksen!AD200&gt;Reeksen!AE200,I200*Reeksen!C200,0))</f>
        <v>0</v>
      </c>
      <c r="L200" s="86">
        <f t="shared" ca="1" si="35"/>
        <v>0</v>
      </c>
      <c r="M200" s="85">
        <f ca="1">IF('Invoer gegevens'!$C$17=E200,'Invoer gegevens'!$C$10-'Invoer gegevens'!$C$11,IF(C200=1,P199,0))</f>
        <v>0</v>
      </c>
      <c r="N200" s="86">
        <f ca="1">IF(C200&lt;1,0,IF(Reeksen!AD200&lt;=Reeksen!AE200,M200*Reeksen!C200,0))</f>
        <v>0</v>
      </c>
      <c r="O200" s="86">
        <f ca="1">IF(C200&lt;1,0,IF(Reeksen!AD200&gt;Reeksen!AE200,M200*Reeksen!C200,0))</f>
        <v>0</v>
      </c>
      <c r="P200" s="86">
        <f t="shared" ca="1" si="36"/>
        <v>0</v>
      </c>
      <c r="Q200" s="82">
        <f ca="1">IF('Invoer gegevens'!$C$17=E200,I200,IF(C200=0,0,R199))</f>
        <v>0</v>
      </c>
      <c r="R200" s="84">
        <f t="shared" ca="1" si="33"/>
        <v>0</v>
      </c>
      <c r="S200" s="84">
        <f ca="1">IF('Invoer gegevens'!$C$17=E200,M200,IF(C200=0,0,T199))</f>
        <v>0</v>
      </c>
      <c r="T200" s="84">
        <f t="shared" ca="1" si="42"/>
        <v>0</v>
      </c>
      <c r="AI200" s="71">
        <f ca="1">IF(C200=1,((F200+H200)/2*Reeksen!AI200*12)+(('Invoer gegevens'!$C$10-(F200+H200)/2)*Reeksen!AD200*12),0)</f>
        <v>0</v>
      </c>
      <c r="AJ200" s="71">
        <f ca="1">-AI200*'Invoer gegevens'!$F$28</f>
        <v>0</v>
      </c>
      <c r="AK200" s="71">
        <f t="shared" ca="1" si="37"/>
        <v>0</v>
      </c>
      <c r="AL200" s="71">
        <f ca="1">IF(C200=1,(12*((F200+H200)/2)*Reeksen!AL200)+(12*('Invoer gegevens'!$C$10-(F200+H200)/2)*Reeksen!AM200),0)</f>
        <v>0</v>
      </c>
      <c r="AM200" s="71">
        <f ca="1">-AL200*'Invoer gegevens'!$F$31</f>
        <v>0</v>
      </c>
      <c r="AN200" s="71">
        <f t="shared" ca="1" si="38"/>
        <v>0</v>
      </c>
      <c r="AO200" s="71"/>
      <c r="AP200" s="71"/>
      <c r="AQ200" s="71">
        <f ca="1">-IF(C200=1,('Invoer gegevens'!$C$10*'Invoer gegevens'!$F$35)*Reeksen!J200,0)*2</f>
        <v>0</v>
      </c>
      <c r="AR200" s="71">
        <f ca="1">-IF(C200=1,(G200*'Invoer gegevens'!$F$36)*Reeksen!J200,0)</f>
        <v>0</v>
      </c>
      <c r="AS200" s="71">
        <f ca="1">-IF(C200=1,'Invoer gegevens'!$C$10*'Invoer gegevens'!$F$37*Reeksen!L200,0)</f>
        <v>0</v>
      </c>
      <c r="AT200" s="71">
        <f ca="1">-IF(C200=1,IF(E200='Invoer gegevens'!$C$17,'Invoer gegevens'!$C$11,Q200)*Reeksen!S200*'Invoer gegevens'!$C$18*Reeksen!P200,0)</f>
        <v>0</v>
      </c>
      <c r="AU200" s="71">
        <f ca="1">-IF(C200=1,'Invoer gegevens'!$C$10*'Invoer gegevens'!$F$38*Reeksen!H200,0)</f>
        <v>0</v>
      </c>
      <c r="AV200" s="71">
        <f t="shared" si="32"/>
        <v>0</v>
      </c>
      <c r="AW200" s="71">
        <f t="shared" ca="1" si="39"/>
        <v>0</v>
      </c>
      <c r="AX200" s="71">
        <f ca="1">IF(E200&lt;'Invoer gegevens'!$C$17+15,0,IF('RW - MW - DE - DE'!E200&gt;'Invoer gegevens'!$C$17+215,0,'RW - MW - DE - DE'!AW200))</f>
        <v>0</v>
      </c>
      <c r="AY200" s="71">
        <f ca="1">AX200/(1+'Invoer gegevens'!$F$13)^($AZ200-('Invoer gegevens'!$C$17-'Invoer gegevens'!$C$16))/(1+'Invoer gegevens'!$C$39)^('Invoer gegevens'!$C$17-'Invoer gegevens'!$C$16)</f>
        <v>0</v>
      </c>
      <c r="AZ200" s="68">
        <f ca="1">IF(E200-'Invoer gegevens'!$C$17-14.5&lt;0,0,E200-'Invoer gegevens'!$C$17-14.5)</f>
        <v>180.5</v>
      </c>
      <c r="BC200" s="71"/>
    </row>
    <row r="201" spans="2:55" customFormat="1" x14ac:dyDescent="0.25">
      <c r="B201" s="70">
        <f t="shared" si="40"/>
        <v>197</v>
      </c>
      <c r="C201" s="67">
        <f ca="1">IF(E201-'Invoer gegevens'!$C$17&lt;0,0,1)</f>
        <v>1</v>
      </c>
      <c r="D201" s="68">
        <f t="shared" si="41"/>
        <v>196.5</v>
      </c>
      <c r="E201" s="69">
        <f ca="1">IF('Invoer gegevens'!$C$16="","",E200+1)</f>
        <v>2215</v>
      </c>
      <c r="F201" s="82">
        <f ca="1">IF('Invoer gegevens'!$C$17=E201,'Invoer gegevens'!$C$10,IF(C201=1,H200,0))</f>
        <v>0</v>
      </c>
      <c r="G201" s="83">
        <f ca="1">IF(C201&gt;=1,F201*Reeksen!C201,0)</f>
        <v>0</v>
      </c>
      <c r="H201" s="84">
        <f t="shared" ca="1" si="34"/>
        <v>0</v>
      </c>
      <c r="I201" s="85">
        <f ca="1">IF('Invoer gegevens'!$C$17=E201,'Invoer gegevens'!$C$11,IF(C201=1,L200,0))</f>
        <v>0</v>
      </c>
      <c r="J201" s="86">
        <f ca="1">IF(C201&lt;1,0,IF(Reeksen!AD201&lt;=Reeksen!AE201,I201*Reeksen!C201,0))</f>
        <v>0</v>
      </c>
      <c r="K201" s="86">
        <f ca="1">IF(C201&lt;1,0,IF(Reeksen!AD201&gt;Reeksen!AE201,I201*Reeksen!C201,0))</f>
        <v>0</v>
      </c>
      <c r="L201" s="86">
        <f t="shared" ca="1" si="35"/>
        <v>0</v>
      </c>
      <c r="M201" s="85">
        <f ca="1">IF('Invoer gegevens'!$C$17=E201,'Invoer gegevens'!$C$10-'Invoer gegevens'!$C$11,IF(C201=1,P200,0))</f>
        <v>0</v>
      </c>
      <c r="N201" s="86">
        <f ca="1">IF(C201&lt;1,0,IF(Reeksen!AD201&lt;=Reeksen!AE201,M201*Reeksen!C201,0))</f>
        <v>0</v>
      </c>
      <c r="O201" s="86">
        <f ca="1">IF(C201&lt;1,0,IF(Reeksen!AD201&gt;Reeksen!AE201,M201*Reeksen!C201,0))</f>
        <v>0</v>
      </c>
      <c r="P201" s="86">
        <f t="shared" ca="1" si="36"/>
        <v>0</v>
      </c>
      <c r="Q201" s="82">
        <f ca="1">IF('Invoer gegevens'!$C$17=E201,I201,IF(C201=0,0,R200))</f>
        <v>0</v>
      </c>
      <c r="R201" s="84">
        <f t="shared" ca="1" si="33"/>
        <v>0</v>
      </c>
      <c r="S201" s="84">
        <f ca="1">IF('Invoer gegevens'!$C$17=E201,M201,IF(C201=0,0,T200))</f>
        <v>0</v>
      </c>
      <c r="T201" s="84">
        <f t="shared" ca="1" si="42"/>
        <v>0</v>
      </c>
      <c r="AI201" s="71">
        <f ca="1">IF(C201=1,((F201+H201)/2*Reeksen!AI201*12)+(('Invoer gegevens'!$C$10-(F201+H201)/2)*Reeksen!AD201*12),0)</f>
        <v>0</v>
      </c>
      <c r="AJ201" s="71">
        <f ca="1">-AI201*'Invoer gegevens'!$F$28</f>
        <v>0</v>
      </c>
      <c r="AK201" s="71">
        <f t="shared" ca="1" si="37"/>
        <v>0</v>
      </c>
      <c r="AL201" s="71">
        <f ca="1">IF(C201=1,(12*((F201+H201)/2)*Reeksen!AL201)+(12*('Invoer gegevens'!$C$10-(F201+H201)/2)*Reeksen!AM201),0)</f>
        <v>0</v>
      </c>
      <c r="AM201" s="71">
        <f ca="1">-AL201*'Invoer gegevens'!$F$31</f>
        <v>0</v>
      </c>
      <c r="AN201" s="71">
        <f t="shared" ca="1" si="38"/>
        <v>0</v>
      </c>
      <c r="AO201" s="71"/>
      <c r="AP201" s="71"/>
      <c r="AQ201" s="71">
        <f ca="1">-IF(C201=1,('Invoer gegevens'!$C$10*'Invoer gegevens'!$F$35)*Reeksen!J201,0)*2</f>
        <v>0</v>
      </c>
      <c r="AR201" s="71">
        <f ca="1">-IF(C201=1,(G201*'Invoer gegevens'!$F$36)*Reeksen!J201,0)</f>
        <v>0</v>
      </c>
      <c r="AS201" s="71">
        <f ca="1">-IF(C201=1,'Invoer gegevens'!$C$10*'Invoer gegevens'!$F$37*Reeksen!L201,0)</f>
        <v>0</v>
      </c>
      <c r="AT201" s="71">
        <f ca="1">-IF(C201=1,IF(E201='Invoer gegevens'!$C$17,'Invoer gegevens'!$C$11,Q201)*Reeksen!S201*'Invoer gegevens'!$C$18*Reeksen!P201,0)</f>
        <v>0</v>
      </c>
      <c r="AU201" s="71">
        <f ca="1">-IF(C201=1,'Invoer gegevens'!$C$10*'Invoer gegevens'!$F$38*Reeksen!H201,0)</f>
        <v>0</v>
      </c>
      <c r="AV201" s="71">
        <f t="shared" si="32"/>
        <v>0</v>
      </c>
      <c r="AW201" s="71">
        <f t="shared" ca="1" si="39"/>
        <v>0</v>
      </c>
      <c r="AX201" s="71">
        <f ca="1">IF(E201&lt;'Invoer gegevens'!$C$17+15,0,IF('RW - MW - DE - DE'!E201&gt;'Invoer gegevens'!$C$17+215,0,'RW - MW - DE - DE'!AW201))</f>
        <v>0</v>
      </c>
      <c r="AY201" s="71">
        <f ca="1">AX201/(1+'Invoer gegevens'!$F$13)^($AZ201-('Invoer gegevens'!$C$17-'Invoer gegevens'!$C$16))/(1+'Invoer gegevens'!$C$39)^('Invoer gegevens'!$C$17-'Invoer gegevens'!$C$16)</f>
        <v>0</v>
      </c>
      <c r="AZ201" s="68">
        <f ca="1">IF(E201-'Invoer gegevens'!$C$17-14.5&lt;0,0,E201-'Invoer gegevens'!$C$17-14.5)</f>
        <v>181.5</v>
      </c>
      <c r="BC201" s="71"/>
    </row>
    <row r="202" spans="2:55" customFormat="1" x14ac:dyDescent="0.25">
      <c r="B202" s="70">
        <f t="shared" si="40"/>
        <v>198</v>
      </c>
      <c r="C202" s="67">
        <f ca="1">IF(E202-'Invoer gegevens'!$C$17&lt;0,0,1)</f>
        <v>1</v>
      </c>
      <c r="D202" s="68">
        <f t="shared" si="41"/>
        <v>197.5</v>
      </c>
      <c r="E202" s="69">
        <f ca="1">IF('Invoer gegevens'!$C$16="","",E201+1)</f>
        <v>2216</v>
      </c>
      <c r="F202" s="82">
        <f ca="1">IF('Invoer gegevens'!$C$17=E202,'Invoer gegevens'!$C$10,IF(C202=1,H201,0))</f>
        <v>0</v>
      </c>
      <c r="G202" s="83">
        <f ca="1">IF(C202&gt;=1,F202*Reeksen!C202,0)</f>
        <v>0</v>
      </c>
      <c r="H202" s="84">
        <f t="shared" ca="1" si="34"/>
        <v>0</v>
      </c>
      <c r="I202" s="85">
        <f ca="1">IF('Invoer gegevens'!$C$17=E202,'Invoer gegevens'!$C$11,IF(C202=1,L201,0))</f>
        <v>0</v>
      </c>
      <c r="J202" s="86">
        <f ca="1">IF(C202&lt;1,0,IF(Reeksen!AD202&lt;=Reeksen!AE202,I202*Reeksen!C202,0))</f>
        <v>0</v>
      </c>
      <c r="K202" s="86">
        <f ca="1">IF(C202&lt;1,0,IF(Reeksen!AD202&gt;Reeksen!AE202,I202*Reeksen!C202,0))</f>
        <v>0</v>
      </c>
      <c r="L202" s="86">
        <f t="shared" ca="1" si="35"/>
        <v>0</v>
      </c>
      <c r="M202" s="85">
        <f ca="1">IF('Invoer gegevens'!$C$17=E202,'Invoer gegevens'!$C$10-'Invoer gegevens'!$C$11,IF(C202=1,P201,0))</f>
        <v>0</v>
      </c>
      <c r="N202" s="86">
        <f ca="1">IF(C202&lt;1,0,IF(Reeksen!AD202&lt;=Reeksen!AE202,M202*Reeksen!C202,0))</f>
        <v>0</v>
      </c>
      <c r="O202" s="86">
        <f ca="1">IF(C202&lt;1,0,IF(Reeksen!AD202&gt;Reeksen!AE202,M202*Reeksen!C202,0))</f>
        <v>0</v>
      </c>
      <c r="P202" s="86">
        <f t="shared" ca="1" si="36"/>
        <v>0</v>
      </c>
      <c r="Q202" s="82">
        <f ca="1">IF('Invoer gegevens'!$C$17=E202,I202,IF(C202=0,0,R201))</f>
        <v>0</v>
      </c>
      <c r="R202" s="84">
        <f t="shared" ca="1" si="33"/>
        <v>0</v>
      </c>
      <c r="S202" s="84">
        <f ca="1">IF('Invoer gegevens'!$C$17=E202,M202,IF(C202=0,0,T201))</f>
        <v>0</v>
      </c>
      <c r="T202" s="84">
        <f t="shared" ca="1" si="42"/>
        <v>0</v>
      </c>
      <c r="AI202" s="71">
        <f ca="1">IF(C202=1,((F202+H202)/2*Reeksen!AI202*12)+(('Invoer gegevens'!$C$10-(F202+H202)/2)*Reeksen!AD202*12),0)</f>
        <v>0</v>
      </c>
      <c r="AJ202" s="71">
        <f ca="1">-AI202*'Invoer gegevens'!$F$28</f>
        <v>0</v>
      </c>
      <c r="AK202" s="71">
        <f t="shared" ca="1" si="37"/>
        <v>0</v>
      </c>
      <c r="AL202" s="71">
        <f ca="1">IF(C202=1,(12*((F202+H202)/2)*Reeksen!AL202)+(12*('Invoer gegevens'!$C$10-(F202+H202)/2)*Reeksen!AM202),0)</f>
        <v>0</v>
      </c>
      <c r="AM202" s="71">
        <f ca="1">-AL202*'Invoer gegevens'!$F$31</f>
        <v>0</v>
      </c>
      <c r="AN202" s="71">
        <f t="shared" ca="1" si="38"/>
        <v>0</v>
      </c>
      <c r="AO202" s="71"/>
      <c r="AP202" s="71"/>
      <c r="AQ202" s="71">
        <f ca="1">-IF(C202=1,('Invoer gegevens'!$C$10*'Invoer gegevens'!$F$35)*Reeksen!J202,0)*2</f>
        <v>0</v>
      </c>
      <c r="AR202" s="71">
        <f ca="1">-IF(C202=1,(G202*'Invoer gegevens'!$F$36)*Reeksen!J202,0)</f>
        <v>0</v>
      </c>
      <c r="AS202" s="71">
        <f ca="1">-IF(C202=1,'Invoer gegevens'!$C$10*'Invoer gegevens'!$F$37*Reeksen!L202,0)</f>
        <v>0</v>
      </c>
      <c r="AT202" s="71">
        <f ca="1">-IF(C202=1,IF(E202='Invoer gegevens'!$C$17,'Invoer gegevens'!$C$11,Q202)*Reeksen!S202*'Invoer gegevens'!$C$18*Reeksen!P202,0)</f>
        <v>0</v>
      </c>
      <c r="AU202" s="71">
        <f ca="1">-IF(C202=1,'Invoer gegevens'!$C$10*'Invoer gegevens'!$F$38*Reeksen!H202,0)</f>
        <v>0</v>
      </c>
      <c r="AV202" s="71">
        <f t="shared" si="32"/>
        <v>0</v>
      </c>
      <c r="AW202" s="71">
        <f t="shared" ca="1" si="39"/>
        <v>0</v>
      </c>
      <c r="AX202" s="71">
        <f ca="1">IF(E202&lt;'Invoer gegevens'!$C$17+15,0,IF('RW - MW - DE - DE'!E202&gt;'Invoer gegevens'!$C$17+215,0,'RW - MW - DE - DE'!AW202))</f>
        <v>0</v>
      </c>
      <c r="AY202" s="71">
        <f ca="1">AX202/(1+'Invoer gegevens'!$F$13)^($AZ202-('Invoer gegevens'!$C$17-'Invoer gegevens'!$C$16))/(1+'Invoer gegevens'!$C$39)^('Invoer gegevens'!$C$17-'Invoer gegevens'!$C$16)</f>
        <v>0</v>
      </c>
      <c r="AZ202" s="68">
        <f ca="1">IF(E202-'Invoer gegevens'!$C$17-14.5&lt;0,0,E202-'Invoer gegevens'!$C$17-14.5)</f>
        <v>182.5</v>
      </c>
      <c r="BC202" s="71"/>
    </row>
    <row r="203" spans="2:55" customFormat="1" x14ac:dyDescent="0.25">
      <c r="B203" s="70">
        <f t="shared" si="40"/>
        <v>199</v>
      </c>
      <c r="C203" s="67">
        <f ca="1">IF(E203-'Invoer gegevens'!$C$17&lt;0,0,1)</f>
        <v>1</v>
      </c>
      <c r="D203" s="68">
        <f t="shared" si="41"/>
        <v>198.5</v>
      </c>
      <c r="E203" s="69">
        <f ca="1">IF('Invoer gegevens'!$C$16="","",E202+1)</f>
        <v>2217</v>
      </c>
      <c r="F203" s="82">
        <f ca="1">IF('Invoer gegevens'!$C$17=E203,'Invoer gegevens'!$C$10,IF(C203=1,H202,0))</f>
        <v>0</v>
      </c>
      <c r="G203" s="83">
        <f ca="1">IF(C203&gt;=1,F203*Reeksen!C203,0)</f>
        <v>0</v>
      </c>
      <c r="H203" s="84">
        <f t="shared" ca="1" si="34"/>
        <v>0</v>
      </c>
      <c r="I203" s="85">
        <f ca="1">IF('Invoer gegevens'!$C$17=E203,'Invoer gegevens'!$C$11,IF(C203=1,L202,0))</f>
        <v>0</v>
      </c>
      <c r="J203" s="86">
        <f ca="1">IF(C203&lt;1,0,IF(Reeksen!AD203&lt;=Reeksen!AE203,I203*Reeksen!C203,0))</f>
        <v>0</v>
      </c>
      <c r="K203" s="86">
        <f ca="1">IF(C203&lt;1,0,IF(Reeksen!AD203&gt;Reeksen!AE203,I203*Reeksen!C203,0))</f>
        <v>0</v>
      </c>
      <c r="L203" s="86">
        <f t="shared" ca="1" si="35"/>
        <v>0</v>
      </c>
      <c r="M203" s="85">
        <f ca="1">IF('Invoer gegevens'!$C$17=E203,'Invoer gegevens'!$C$10-'Invoer gegevens'!$C$11,IF(C203=1,P202,0))</f>
        <v>0</v>
      </c>
      <c r="N203" s="86">
        <f ca="1">IF(C203&lt;1,0,IF(Reeksen!AD203&lt;=Reeksen!AE203,M203*Reeksen!C203,0))</f>
        <v>0</v>
      </c>
      <c r="O203" s="86">
        <f ca="1">IF(C203&lt;1,0,IF(Reeksen!AD203&gt;Reeksen!AE203,M203*Reeksen!C203,0))</f>
        <v>0</v>
      </c>
      <c r="P203" s="86">
        <f t="shared" ca="1" si="36"/>
        <v>0</v>
      </c>
      <c r="Q203" s="82">
        <f ca="1">IF('Invoer gegevens'!$C$17=E203,I203,IF(C203=0,0,R202))</f>
        <v>0</v>
      </c>
      <c r="R203" s="84">
        <f t="shared" ca="1" si="33"/>
        <v>0</v>
      </c>
      <c r="S203" s="84">
        <f ca="1">IF('Invoer gegevens'!$C$17=E203,M203,IF(C203=0,0,T202))</f>
        <v>0</v>
      </c>
      <c r="T203" s="84">
        <f t="shared" ca="1" si="42"/>
        <v>0</v>
      </c>
      <c r="AI203" s="71">
        <f ca="1">IF(C203=1,((F203+H203)/2*Reeksen!AI203*12)+(('Invoer gegevens'!$C$10-(F203+H203)/2)*Reeksen!AD203*12),0)</f>
        <v>0</v>
      </c>
      <c r="AJ203" s="71">
        <f ca="1">-AI203*'Invoer gegevens'!$F$28</f>
        <v>0</v>
      </c>
      <c r="AK203" s="71">
        <f t="shared" ca="1" si="37"/>
        <v>0</v>
      </c>
      <c r="AL203" s="71">
        <f ca="1">IF(C203=1,(12*((F203+H203)/2)*Reeksen!AL203)+(12*('Invoer gegevens'!$C$10-(F203+H203)/2)*Reeksen!AM203),0)</f>
        <v>0</v>
      </c>
      <c r="AM203" s="71">
        <f ca="1">-AL203*'Invoer gegevens'!$F$31</f>
        <v>0</v>
      </c>
      <c r="AN203" s="71">
        <f t="shared" ca="1" si="38"/>
        <v>0</v>
      </c>
      <c r="AO203" s="71"/>
      <c r="AP203" s="71"/>
      <c r="AQ203" s="71">
        <f ca="1">-IF(C203=1,('Invoer gegevens'!$C$10*'Invoer gegevens'!$F$35)*Reeksen!J203,0)*2</f>
        <v>0</v>
      </c>
      <c r="AR203" s="71">
        <f ca="1">-IF(C203=1,(G203*'Invoer gegevens'!$F$36)*Reeksen!J203,0)</f>
        <v>0</v>
      </c>
      <c r="AS203" s="71">
        <f ca="1">-IF(C203=1,'Invoer gegevens'!$C$10*'Invoer gegevens'!$F$37*Reeksen!L203,0)</f>
        <v>0</v>
      </c>
      <c r="AT203" s="71">
        <f ca="1">-IF(C203=1,IF(E203='Invoer gegevens'!$C$17,'Invoer gegevens'!$C$11,Q203)*Reeksen!S203*'Invoer gegevens'!$C$18*Reeksen!P203,0)</f>
        <v>0</v>
      </c>
      <c r="AU203" s="71">
        <f ca="1">-IF(C203=1,'Invoer gegevens'!$C$10*'Invoer gegevens'!$F$38*Reeksen!H203,0)</f>
        <v>0</v>
      </c>
      <c r="AV203" s="71">
        <f t="shared" si="32"/>
        <v>0</v>
      </c>
      <c r="AW203" s="71">
        <f t="shared" ca="1" si="39"/>
        <v>0</v>
      </c>
      <c r="AX203" s="71">
        <f ca="1">IF(E203&lt;'Invoer gegevens'!$C$17+15,0,IF('RW - MW - DE - DE'!E203&gt;'Invoer gegevens'!$C$17+215,0,'RW - MW - DE - DE'!AW203))</f>
        <v>0</v>
      </c>
      <c r="AY203" s="71">
        <f ca="1">AX203/(1+'Invoer gegevens'!$F$13)^($AZ203-('Invoer gegevens'!$C$17-'Invoer gegevens'!$C$16))/(1+'Invoer gegevens'!$C$39)^('Invoer gegevens'!$C$17-'Invoer gegevens'!$C$16)</f>
        <v>0</v>
      </c>
      <c r="AZ203" s="68">
        <f ca="1">IF(E203-'Invoer gegevens'!$C$17-14.5&lt;0,0,E203-'Invoer gegevens'!$C$17-14.5)</f>
        <v>183.5</v>
      </c>
      <c r="BC203" s="71"/>
    </row>
    <row r="204" spans="2:55" customFormat="1" x14ac:dyDescent="0.25">
      <c r="B204" s="70">
        <f t="shared" si="40"/>
        <v>200</v>
      </c>
      <c r="C204" s="67">
        <f ca="1">IF(E204-'Invoer gegevens'!$C$17&lt;0,0,1)</f>
        <v>1</v>
      </c>
      <c r="D204" s="68">
        <f t="shared" si="41"/>
        <v>199.5</v>
      </c>
      <c r="E204" s="69">
        <f ca="1">IF('Invoer gegevens'!$C$16="","",E203+1)</f>
        <v>2218</v>
      </c>
      <c r="F204" s="82">
        <f ca="1">IF('Invoer gegevens'!$C$17=E204,'Invoer gegevens'!$C$10,IF(C204=1,H203,0))</f>
        <v>0</v>
      </c>
      <c r="G204" s="83">
        <f ca="1">IF(C204&gt;=1,F204*Reeksen!C204,0)</f>
        <v>0</v>
      </c>
      <c r="H204" s="84">
        <f t="shared" ca="1" si="34"/>
        <v>0</v>
      </c>
      <c r="I204" s="85">
        <f ca="1">IF('Invoer gegevens'!$C$17=E204,'Invoer gegevens'!$C$11,IF(C204=1,L203,0))</f>
        <v>0</v>
      </c>
      <c r="J204" s="86">
        <f ca="1">IF(C204&lt;1,0,IF(Reeksen!AD204&lt;=Reeksen!AE204,I204*Reeksen!C204,0))</f>
        <v>0</v>
      </c>
      <c r="K204" s="86">
        <f ca="1">IF(C204&lt;1,0,IF(Reeksen!AD204&gt;Reeksen!AE204,I204*Reeksen!C204,0))</f>
        <v>0</v>
      </c>
      <c r="L204" s="86">
        <f t="shared" ca="1" si="35"/>
        <v>0</v>
      </c>
      <c r="M204" s="85">
        <f ca="1">IF('Invoer gegevens'!$C$17=E204,'Invoer gegevens'!$C$10-'Invoer gegevens'!$C$11,IF(C204=1,P203,0))</f>
        <v>0</v>
      </c>
      <c r="N204" s="86">
        <f ca="1">IF(C204&lt;1,0,IF(Reeksen!AD204&lt;=Reeksen!AE204,M204*Reeksen!C204,0))</f>
        <v>0</v>
      </c>
      <c r="O204" s="86">
        <f ca="1">IF(C204&lt;1,0,IF(Reeksen!AD204&gt;Reeksen!AE204,M204*Reeksen!C204,0))</f>
        <v>0</v>
      </c>
      <c r="P204" s="86">
        <f t="shared" ca="1" si="36"/>
        <v>0</v>
      </c>
      <c r="Q204" s="82">
        <f ca="1">IF('Invoer gegevens'!$C$17=E204,I204,IF(C204=0,0,R203))</f>
        <v>0</v>
      </c>
      <c r="R204" s="84">
        <f t="shared" ca="1" si="33"/>
        <v>0</v>
      </c>
      <c r="S204" s="84">
        <f ca="1">IF('Invoer gegevens'!$C$17=E204,M204,IF(C204=0,0,T203))</f>
        <v>0</v>
      </c>
      <c r="T204" s="84">
        <f t="shared" ca="1" si="42"/>
        <v>0</v>
      </c>
      <c r="AI204" s="71">
        <f ca="1">IF(C204=1,((F204+H204)/2*Reeksen!AI204*12)+(('Invoer gegevens'!$C$10-(F204+H204)/2)*Reeksen!AD204*12),0)</f>
        <v>0</v>
      </c>
      <c r="AJ204" s="71">
        <f ca="1">-AI204*'Invoer gegevens'!$F$28</f>
        <v>0</v>
      </c>
      <c r="AK204" s="71">
        <f t="shared" ca="1" si="37"/>
        <v>0</v>
      </c>
      <c r="AL204" s="71">
        <f ca="1">IF(C204=1,(12*((F204+H204)/2)*Reeksen!AL204)+(12*('Invoer gegevens'!$C$10-(F204+H204)/2)*Reeksen!AM204),0)</f>
        <v>0</v>
      </c>
      <c r="AM204" s="71">
        <f ca="1">-AL204*'Invoer gegevens'!$F$31</f>
        <v>0</v>
      </c>
      <c r="AN204" s="71">
        <f t="shared" ca="1" si="38"/>
        <v>0</v>
      </c>
      <c r="AO204" s="71"/>
      <c r="AP204" s="71"/>
      <c r="AQ204" s="71">
        <f ca="1">-IF(C204=1,('Invoer gegevens'!$C$10*'Invoer gegevens'!$F$35)*Reeksen!J204,0)*2</f>
        <v>0</v>
      </c>
      <c r="AR204" s="71">
        <f ca="1">-IF(C204=1,(G204*'Invoer gegevens'!$F$36)*Reeksen!J204,0)</f>
        <v>0</v>
      </c>
      <c r="AS204" s="71">
        <f ca="1">-IF(C204=1,'Invoer gegevens'!$C$10*'Invoer gegevens'!$F$37*Reeksen!L204,0)</f>
        <v>0</v>
      </c>
      <c r="AT204" s="71">
        <f ca="1">-IF(C204=1,IF(E204='Invoer gegevens'!$C$17,'Invoer gegevens'!$C$11,Q204)*Reeksen!S204*'Invoer gegevens'!$C$18*Reeksen!P204,0)</f>
        <v>0</v>
      </c>
      <c r="AU204" s="71">
        <f ca="1">-IF(C204=1,'Invoer gegevens'!$C$10*'Invoer gegevens'!$F$38*Reeksen!H204,0)</f>
        <v>0</v>
      </c>
      <c r="AV204" s="71">
        <f t="shared" si="32"/>
        <v>0</v>
      </c>
      <c r="AW204" s="71">
        <f t="shared" ca="1" si="39"/>
        <v>0</v>
      </c>
      <c r="AX204" s="71">
        <f ca="1">IF(E204&lt;'Invoer gegevens'!$C$17+15,0,IF('RW - MW - DE - DE'!E204&gt;'Invoer gegevens'!$C$17+215,0,'RW - MW - DE - DE'!AW204))</f>
        <v>0</v>
      </c>
      <c r="AY204" s="71">
        <f ca="1">AX204/(1+'Invoer gegevens'!$F$13)^($AZ204-('Invoer gegevens'!$C$17-'Invoer gegevens'!$C$16))/(1+'Invoer gegevens'!$C$39)^('Invoer gegevens'!$C$17-'Invoer gegevens'!$C$16)</f>
        <v>0</v>
      </c>
      <c r="AZ204" s="68">
        <f ca="1">IF(E204-'Invoer gegevens'!$C$17-14.5&lt;0,0,E204-'Invoer gegevens'!$C$17-14.5)</f>
        <v>184.5</v>
      </c>
      <c r="BC204" s="71"/>
    </row>
    <row r="205" spans="2:55" customFormat="1" x14ac:dyDescent="0.25">
      <c r="B205" s="70">
        <f t="shared" si="40"/>
        <v>201</v>
      </c>
      <c r="C205" s="67">
        <f ca="1">IF(E205-'Invoer gegevens'!$C$17&lt;0,0,1)</f>
        <v>1</v>
      </c>
      <c r="D205" s="68">
        <f t="shared" si="41"/>
        <v>200.5</v>
      </c>
      <c r="E205" s="69">
        <f ca="1">IF('Invoer gegevens'!$C$16="","",E204+1)</f>
        <v>2219</v>
      </c>
      <c r="F205" s="82">
        <f ca="1">IF('Invoer gegevens'!$C$17=E205,'Invoer gegevens'!$C$10,IF(C205=1,H204,0))</f>
        <v>0</v>
      </c>
      <c r="G205" s="83">
        <f ca="1">IF(C205&gt;=1,F205*Reeksen!C205,0)</f>
        <v>0</v>
      </c>
      <c r="H205" s="84">
        <f t="shared" ca="1" si="34"/>
        <v>0</v>
      </c>
      <c r="I205" s="85">
        <f ca="1">IF('Invoer gegevens'!$C$17=E205,'Invoer gegevens'!$C$11,IF(C205=1,L204,0))</f>
        <v>0</v>
      </c>
      <c r="J205" s="86">
        <f ca="1">IF(C205&lt;1,0,IF(Reeksen!AD205&lt;=Reeksen!AE205,I205*Reeksen!C205,0))</f>
        <v>0</v>
      </c>
      <c r="K205" s="86">
        <f ca="1">IF(C205&lt;1,0,IF(Reeksen!AD205&gt;Reeksen!AE205,I205*Reeksen!C205,0))</f>
        <v>0</v>
      </c>
      <c r="L205" s="86">
        <f t="shared" ca="1" si="35"/>
        <v>0</v>
      </c>
      <c r="M205" s="85">
        <f ca="1">IF('Invoer gegevens'!$C$17=E205,'Invoer gegevens'!$C$10-'Invoer gegevens'!$C$11,IF(C205=1,P204,0))</f>
        <v>0</v>
      </c>
      <c r="N205" s="86">
        <f ca="1">IF(C205&lt;1,0,IF(Reeksen!AD205&lt;=Reeksen!AE205,M205*Reeksen!C205,0))</f>
        <v>0</v>
      </c>
      <c r="O205" s="86">
        <f ca="1">IF(C205&lt;1,0,IF(Reeksen!AD205&gt;Reeksen!AE205,M205*Reeksen!C205,0))</f>
        <v>0</v>
      </c>
      <c r="P205" s="86">
        <f t="shared" ca="1" si="36"/>
        <v>0</v>
      </c>
      <c r="Q205" s="82">
        <f ca="1">IF('Invoer gegevens'!$C$17=E205,I205,IF(C205=0,0,R204))</f>
        <v>0</v>
      </c>
      <c r="R205" s="84">
        <f t="shared" ca="1" si="33"/>
        <v>0</v>
      </c>
      <c r="S205" s="84">
        <f ca="1">IF('Invoer gegevens'!$C$17=E205,M205,IF(C205=0,0,T204))</f>
        <v>0</v>
      </c>
      <c r="T205" s="84">
        <f t="shared" ca="1" si="42"/>
        <v>0</v>
      </c>
      <c r="AI205" s="71">
        <f ca="1">IF(C205=1,((F205+H205)/2*Reeksen!AI205*12)+(('Invoer gegevens'!$C$10-(F205+H205)/2)*Reeksen!AD205*12),0)</f>
        <v>0</v>
      </c>
      <c r="AJ205" s="71">
        <f ca="1">-AI205*'Invoer gegevens'!$F$28</f>
        <v>0</v>
      </c>
      <c r="AK205" s="71">
        <f t="shared" ca="1" si="37"/>
        <v>0</v>
      </c>
      <c r="AL205" s="71">
        <f ca="1">IF(C205=1,(12*((F205+H205)/2)*Reeksen!AL205)+(12*('Invoer gegevens'!$C$10-(F205+H205)/2)*Reeksen!AM205),0)</f>
        <v>0</v>
      </c>
      <c r="AM205" s="71">
        <f ca="1">-AL205*'Invoer gegevens'!$F$31</f>
        <v>0</v>
      </c>
      <c r="AN205" s="71">
        <f t="shared" ca="1" si="38"/>
        <v>0</v>
      </c>
      <c r="AO205" s="71"/>
      <c r="AP205" s="71"/>
      <c r="AQ205" s="71">
        <f ca="1">-IF(C205=1,('Invoer gegevens'!$C$10*'Invoer gegevens'!$F$35)*Reeksen!J205,0)*2</f>
        <v>0</v>
      </c>
      <c r="AR205" s="71">
        <f ca="1">-IF(C205=1,(G205*'Invoer gegevens'!$F$36)*Reeksen!J205,0)</f>
        <v>0</v>
      </c>
      <c r="AS205" s="71">
        <f ca="1">-IF(C205=1,'Invoer gegevens'!$C$10*'Invoer gegevens'!$F$37*Reeksen!L205,0)</f>
        <v>0</v>
      </c>
      <c r="AT205" s="71">
        <f ca="1">-IF(C205=1,IF(E205='Invoer gegevens'!$C$17,'Invoer gegevens'!$C$11,Q205)*Reeksen!S205*'Invoer gegevens'!$C$18*Reeksen!P205,0)</f>
        <v>0</v>
      </c>
      <c r="AU205" s="71">
        <f ca="1">-IF(C205=1,'Invoer gegevens'!$C$10*'Invoer gegevens'!$F$38*Reeksen!H205,0)</f>
        <v>0</v>
      </c>
      <c r="AV205" s="71">
        <f t="shared" si="32"/>
        <v>0</v>
      </c>
      <c r="AW205" s="71">
        <f t="shared" ca="1" si="39"/>
        <v>0</v>
      </c>
      <c r="AX205" s="71">
        <f ca="1">IF(E205&lt;'Invoer gegevens'!$C$17+15,0,IF('RW - MW - DE - DE'!E205&gt;'Invoer gegevens'!$C$17+215,0,'RW - MW - DE - DE'!AW205))</f>
        <v>0</v>
      </c>
      <c r="AY205" s="71">
        <f ca="1">AX205/(1+'Invoer gegevens'!$F$13)^($AZ205-('Invoer gegevens'!$C$17-'Invoer gegevens'!$C$16))/(1+'Invoer gegevens'!$C$39)^('Invoer gegevens'!$C$17-'Invoer gegevens'!$C$16)</f>
        <v>0</v>
      </c>
      <c r="AZ205" s="68">
        <f ca="1">IF(E205-'Invoer gegevens'!$C$17-14.5&lt;0,0,E205-'Invoer gegevens'!$C$17-14.5)</f>
        <v>185.5</v>
      </c>
      <c r="BC205" s="71"/>
    </row>
    <row r="206" spans="2:55" customFormat="1" x14ac:dyDescent="0.25">
      <c r="B206" s="70">
        <f t="shared" si="40"/>
        <v>202</v>
      </c>
      <c r="C206" s="67">
        <f ca="1">IF(E206-'Invoer gegevens'!$C$17&lt;0,0,1)</f>
        <v>1</v>
      </c>
      <c r="D206" s="68">
        <f t="shared" si="41"/>
        <v>201.5</v>
      </c>
      <c r="E206" s="69">
        <f ca="1">IF('Invoer gegevens'!$C$16="","",E205+1)</f>
        <v>2220</v>
      </c>
      <c r="F206" s="82">
        <f ca="1">IF('Invoer gegevens'!$C$17=E206,'Invoer gegevens'!$C$10,IF(C206=1,H205,0))</f>
        <v>0</v>
      </c>
      <c r="G206" s="83">
        <f ca="1">IF(C206&gt;=1,F206*Reeksen!C206,0)</f>
        <v>0</v>
      </c>
      <c r="H206" s="84">
        <f t="shared" ca="1" si="34"/>
        <v>0</v>
      </c>
      <c r="I206" s="85">
        <f ca="1">IF('Invoer gegevens'!$C$17=E206,'Invoer gegevens'!$C$11,IF(C206=1,L205,0))</f>
        <v>0</v>
      </c>
      <c r="J206" s="86">
        <f ca="1">IF(C206&lt;1,0,IF(Reeksen!AD206&lt;=Reeksen!AE206,I206*Reeksen!C206,0))</f>
        <v>0</v>
      </c>
      <c r="K206" s="86">
        <f ca="1">IF(C206&lt;1,0,IF(Reeksen!AD206&gt;Reeksen!AE206,I206*Reeksen!C206,0))</f>
        <v>0</v>
      </c>
      <c r="L206" s="86">
        <f t="shared" ca="1" si="35"/>
        <v>0</v>
      </c>
      <c r="M206" s="85">
        <f ca="1">IF('Invoer gegevens'!$C$17=E206,'Invoer gegevens'!$C$10-'Invoer gegevens'!$C$11,IF(C206=1,P205,0))</f>
        <v>0</v>
      </c>
      <c r="N206" s="86">
        <f ca="1">IF(C206&lt;1,0,IF(Reeksen!AD206&lt;=Reeksen!AE206,M206*Reeksen!C206,0))</f>
        <v>0</v>
      </c>
      <c r="O206" s="86">
        <f ca="1">IF(C206&lt;1,0,IF(Reeksen!AD206&gt;Reeksen!AE206,M206*Reeksen!C206,0))</f>
        <v>0</v>
      </c>
      <c r="P206" s="86">
        <f t="shared" ca="1" si="36"/>
        <v>0</v>
      </c>
      <c r="Q206" s="82">
        <f ca="1">IF('Invoer gegevens'!$C$17=E206,I206,IF(C206=0,0,R205))</f>
        <v>0</v>
      </c>
      <c r="R206" s="84">
        <f t="shared" ca="1" si="33"/>
        <v>0</v>
      </c>
      <c r="S206" s="84">
        <f ca="1">IF('Invoer gegevens'!$C$17=E206,M206,IF(C206=0,0,T205))</f>
        <v>0</v>
      </c>
      <c r="T206" s="84">
        <f t="shared" ca="1" si="42"/>
        <v>0</v>
      </c>
      <c r="AI206" s="71">
        <f ca="1">IF(C206=1,((F206+H206)/2*Reeksen!AI206*12)+(('Invoer gegevens'!$C$10-(F206+H206)/2)*Reeksen!AD206*12),0)</f>
        <v>0</v>
      </c>
      <c r="AJ206" s="71">
        <f ca="1">-AI206*'Invoer gegevens'!$F$28</f>
        <v>0</v>
      </c>
      <c r="AK206" s="71">
        <f t="shared" ca="1" si="37"/>
        <v>0</v>
      </c>
      <c r="AL206" s="71">
        <f ca="1">IF(C206=1,(12*((F206+H206)/2)*Reeksen!AL206)+(12*('Invoer gegevens'!$C$10-(F206+H206)/2)*Reeksen!AM206),0)</f>
        <v>0</v>
      </c>
      <c r="AM206" s="71">
        <f ca="1">-AL206*'Invoer gegevens'!$F$31</f>
        <v>0</v>
      </c>
      <c r="AN206" s="71">
        <f t="shared" ca="1" si="38"/>
        <v>0</v>
      </c>
      <c r="AO206" s="71"/>
      <c r="AP206" s="71"/>
      <c r="AQ206" s="71">
        <f ca="1">-IF(C206=1,('Invoer gegevens'!$C$10*'Invoer gegevens'!$F$35)*Reeksen!J206,0)*2</f>
        <v>0</v>
      </c>
      <c r="AR206" s="71">
        <f ca="1">-IF(C206=1,(G206*'Invoer gegevens'!$F$36)*Reeksen!J206,0)</f>
        <v>0</v>
      </c>
      <c r="AS206" s="71">
        <f ca="1">-IF(C206=1,'Invoer gegevens'!$C$10*'Invoer gegevens'!$F$37*Reeksen!L206,0)</f>
        <v>0</v>
      </c>
      <c r="AT206" s="71">
        <f ca="1">-IF(C206=1,IF(E206='Invoer gegevens'!$C$17,'Invoer gegevens'!$C$11,Q206)*Reeksen!S206*'Invoer gegevens'!$C$18*Reeksen!P206,0)</f>
        <v>0</v>
      </c>
      <c r="AU206" s="71">
        <f ca="1">-IF(C206=1,'Invoer gegevens'!$C$10*'Invoer gegevens'!$F$38*Reeksen!H206,0)</f>
        <v>0</v>
      </c>
      <c r="AV206" s="71">
        <f t="shared" si="32"/>
        <v>0</v>
      </c>
      <c r="AW206" s="71">
        <f t="shared" ca="1" si="39"/>
        <v>0</v>
      </c>
      <c r="AX206" s="71">
        <f ca="1">IF(E206&lt;'Invoer gegevens'!$C$17+15,0,IF('RW - MW - DE - DE'!E206&gt;'Invoer gegevens'!$C$17+215,0,'RW - MW - DE - DE'!AW206))</f>
        <v>0</v>
      </c>
      <c r="AY206" s="71">
        <f ca="1">AX206/(1+'Invoer gegevens'!$F$13)^($AZ206-('Invoer gegevens'!$C$17-'Invoer gegevens'!$C$16))/(1+'Invoer gegevens'!$C$39)^('Invoer gegevens'!$C$17-'Invoer gegevens'!$C$16)</f>
        <v>0</v>
      </c>
      <c r="AZ206" s="68">
        <f ca="1">IF(E206-'Invoer gegevens'!$C$17-14.5&lt;0,0,E206-'Invoer gegevens'!$C$17-14.5)</f>
        <v>186.5</v>
      </c>
      <c r="BC206" s="71"/>
    </row>
    <row r="207" spans="2:55" customFormat="1" x14ac:dyDescent="0.25">
      <c r="B207" s="70">
        <f t="shared" si="40"/>
        <v>203</v>
      </c>
      <c r="C207" s="67">
        <f ca="1">IF(E207-'Invoer gegevens'!$C$17&lt;0,0,1)</f>
        <v>1</v>
      </c>
      <c r="D207" s="68">
        <f t="shared" si="41"/>
        <v>202.5</v>
      </c>
      <c r="E207" s="69">
        <f ca="1">IF('Invoer gegevens'!$C$16="","",E206+1)</f>
        <v>2221</v>
      </c>
      <c r="F207" s="82">
        <f ca="1">IF('Invoer gegevens'!$C$17=E207,'Invoer gegevens'!$C$10,IF(C207=1,H206,0))</f>
        <v>0</v>
      </c>
      <c r="G207" s="83">
        <f ca="1">IF(C207&gt;=1,F207*Reeksen!C207,0)</f>
        <v>0</v>
      </c>
      <c r="H207" s="84">
        <f t="shared" ca="1" si="34"/>
        <v>0</v>
      </c>
      <c r="I207" s="85">
        <f ca="1">IF('Invoer gegevens'!$C$17=E207,'Invoer gegevens'!$C$11,IF(C207=1,L206,0))</f>
        <v>0</v>
      </c>
      <c r="J207" s="86">
        <f ca="1">IF(C207&lt;1,0,IF(Reeksen!AD207&lt;=Reeksen!AE207,I207*Reeksen!C207,0))</f>
        <v>0</v>
      </c>
      <c r="K207" s="86">
        <f ca="1">IF(C207&lt;1,0,IF(Reeksen!AD207&gt;Reeksen!AE207,I207*Reeksen!C207,0))</f>
        <v>0</v>
      </c>
      <c r="L207" s="86">
        <f t="shared" ca="1" si="35"/>
        <v>0</v>
      </c>
      <c r="M207" s="85">
        <f ca="1">IF('Invoer gegevens'!$C$17=E207,'Invoer gegevens'!$C$10-'Invoer gegevens'!$C$11,IF(C207=1,P206,0))</f>
        <v>0</v>
      </c>
      <c r="N207" s="86">
        <f ca="1">IF(C207&lt;1,0,IF(Reeksen!AD207&lt;=Reeksen!AE207,M207*Reeksen!C207,0))</f>
        <v>0</v>
      </c>
      <c r="O207" s="86">
        <f ca="1">IF(C207&lt;1,0,IF(Reeksen!AD207&gt;Reeksen!AE207,M207*Reeksen!C207,0))</f>
        <v>0</v>
      </c>
      <c r="P207" s="86">
        <f t="shared" ca="1" si="36"/>
        <v>0</v>
      </c>
      <c r="Q207" s="82">
        <f ca="1">IF('Invoer gegevens'!$C$17=E207,I207,IF(C207=0,0,R206))</f>
        <v>0</v>
      </c>
      <c r="R207" s="84">
        <f t="shared" ca="1" si="33"/>
        <v>0</v>
      </c>
      <c r="S207" s="84">
        <f ca="1">IF('Invoer gegevens'!$C$17=E207,M207,IF(C207=0,0,T206))</f>
        <v>0</v>
      </c>
      <c r="T207" s="84">
        <f t="shared" ca="1" si="42"/>
        <v>0</v>
      </c>
      <c r="AI207" s="71">
        <f ca="1">IF(C207=1,((F207+H207)/2*Reeksen!AI207*12)+(('Invoer gegevens'!$C$10-(F207+H207)/2)*Reeksen!AD207*12),0)</f>
        <v>0</v>
      </c>
      <c r="AJ207" s="71">
        <f ca="1">-AI207*'Invoer gegevens'!$F$28</f>
        <v>0</v>
      </c>
      <c r="AK207" s="71">
        <f t="shared" ca="1" si="37"/>
        <v>0</v>
      </c>
      <c r="AL207" s="71">
        <f ca="1">IF(C207=1,(12*((F207+H207)/2)*Reeksen!AL207)+(12*('Invoer gegevens'!$C$10-(F207+H207)/2)*Reeksen!AM207),0)</f>
        <v>0</v>
      </c>
      <c r="AM207" s="71">
        <f ca="1">-AL207*'Invoer gegevens'!$F$31</f>
        <v>0</v>
      </c>
      <c r="AN207" s="71">
        <f t="shared" ca="1" si="38"/>
        <v>0</v>
      </c>
      <c r="AO207" s="71"/>
      <c r="AP207" s="71"/>
      <c r="AQ207" s="71">
        <f ca="1">-IF(C207=1,('Invoer gegevens'!$C$10*'Invoer gegevens'!$F$35)*Reeksen!J207,0)*2</f>
        <v>0</v>
      </c>
      <c r="AR207" s="71">
        <f ca="1">-IF(C207=1,(G207*'Invoer gegevens'!$F$36)*Reeksen!J207,0)</f>
        <v>0</v>
      </c>
      <c r="AS207" s="71">
        <f ca="1">-IF(C207=1,'Invoer gegevens'!$C$10*'Invoer gegevens'!$F$37*Reeksen!L207,0)</f>
        <v>0</v>
      </c>
      <c r="AT207" s="71">
        <f ca="1">-IF(C207=1,IF(E207='Invoer gegevens'!$C$17,'Invoer gegevens'!$C$11,Q207)*Reeksen!S207*'Invoer gegevens'!$C$18*Reeksen!P207,0)</f>
        <v>0</v>
      </c>
      <c r="AU207" s="71">
        <f ca="1">-IF(C207=1,'Invoer gegevens'!$C$10*'Invoer gegevens'!$F$38*Reeksen!H207,0)</f>
        <v>0</v>
      </c>
      <c r="AV207" s="71">
        <f t="shared" si="32"/>
        <v>0</v>
      </c>
      <c r="AW207" s="71">
        <f t="shared" ca="1" si="39"/>
        <v>0</v>
      </c>
      <c r="AX207" s="71">
        <f ca="1">IF(E207&lt;'Invoer gegevens'!$C$17+15,0,IF('RW - MW - DE - DE'!E207&gt;'Invoer gegevens'!$C$17+215,0,'RW - MW - DE - DE'!AW207))</f>
        <v>0</v>
      </c>
      <c r="AY207" s="71">
        <f ca="1">AX207/(1+'Invoer gegevens'!$F$13)^($AZ207-('Invoer gegevens'!$C$17-'Invoer gegevens'!$C$16))/(1+'Invoer gegevens'!$C$39)^('Invoer gegevens'!$C$17-'Invoer gegevens'!$C$16)</f>
        <v>0</v>
      </c>
      <c r="AZ207" s="68">
        <f ca="1">IF(E207-'Invoer gegevens'!$C$17-14.5&lt;0,0,E207-'Invoer gegevens'!$C$17-14.5)</f>
        <v>187.5</v>
      </c>
      <c r="BC207" s="71"/>
    </row>
    <row r="208" spans="2:55" customFormat="1" x14ac:dyDescent="0.25">
      <c r="B208" s="70">
        <f t="shared" si="40"/>
        <v>204</v>
      </c>
      <c r="C208" s="67">
        <f ca="1">IF(E208-'Invoer gegevens'!$C$17&lt;0,0,1)</f>
        <v>1</v>
      </c>
      <c r="D208" s="68">
        <f t="shared" si="41"/>
        <v>203.5</v>
      </c>
      <c r="E208" s="69">
        <f ca="1">IF('Invoer gegevens'!$C$16="","",E207+1)</f>
        <v>2222</v>
      </c>
      <c r="F208" s="82">
        <f ca="1">IF('Invoer gegevens'!$C$17=E208,'Invoer gegevens'!$C$10,IF(C208=1,H207,0))</f>
        <v>0</v>
      </c>
      <c r="G208" s="83">
        <f ca="1">IF(C208&gt;=1,F208*Reeksen!C208,0)</f>
        <v>0</v>
      </c>
      <c r="H208" s="84">
        <f t="shared" ca="1" si="34"/>
        <v>0</v>
      </c>
      <c r="I208" s="85">
        <f ca="1">IF('Invoer gegevens'!$C$17=E208,'Invoer gegevens'!$C$11,IF(C208=1,L207,0))</f>
        <v>0</v>
      </c>
      <c r="J208" s="86">
        <f ca="1">IF(C208&lt;1,0,IF(Reeksen!AD208&lt;=Reeksen!AE208,I208*Reeksen!C208,0))</f>
        <v>0</v>
      </c>
      <c r="K208" s="86">
        <f ca="1">IF(C208&lt;1,0,IF(Reeksen!AD208&gt;Reeksen!AE208,I208*Reeksen!C208,0))</f>
        <v>0</v>
      </c>
      <c r="L208" s="86">
        <f t="shared" ca="1" si="35"/>
        <v>0</v>
      </c>
      <c r="M208" s="85">
        <f ca="1">IF('Invoer gegevens'!$C$17=E208,'Invoer gegevens'!$C$10-'Invoer gegevens'!$C$11,IF(C208=1,P207,0))</f>
        <v>0</v>
      </c>
      <c r="N208" s="86">
        <f ca="1">IF(C208&lt;1,0,IF(Reeksen!AD208&lt;=Reeksen!AE208,M208*Reeksen!C208,0))</f>
        <v>0</v>
      </c>
      <c r="O208" s="86">
        <f ca="1">IF(C208&lt;1,0,IF(Reeksen!AD208&gt;Reeksen!AE208,M208*Reeksen!C208,0))</f>
        <v>0</v>
      </c>
      <c r="P208" s="86">
        <f t="shared" ca="1" si="36"/>
        <v>0</v>
      </c>
      <c r="Q208" s="82">
        <f ca="1">IF('Invoer gegevens'!$C$17=E208,I208,IF(C208=0,0,R207))</f>
        <v>0</v>
      </c>
      <c r="R208" s="84">
        <f t="shared" ca="1" si="33"/>
        <v>0</v>
      </c>
      <c r="S208" s="84">
        <f ca="1">IF('Invoer gegevens'!$C$17=E208,M208,IF(C208=0,0,T207))</f>
        <v>0</v>
      </c>
      <c r="T208" s="84">
        <f t="shared" ca="1" si="42"/>
        <v>0</v>
      </c>
      <c r="AI208" s="71">
        <f ca="1">IF(C208=1,((F208+H208)/2*Reeksen!AI208*12)+(('Invoer gegevens'!$C$10-(F208+H208)/2)*Reeksen!AD208*12),0)</f>
        <v>0</v>
      </c>
      <c r="AJ208" s="71">
        <f ca="1">-AI208*'Invoer gegevens'!$F$28</f>
        <v>0</v>
      </c>
      <c r="AK208" s="71">
        <f t="shared" ca="1" si="37"/>
        <v>0</v>
      </c>
      <c r="AL208" s="71">
        <f ca="1">IF(C208=1,(12*((F208+H208)/2)*Reeksen!AL208)+(12*('Invoer gegevens'!$C$10-(F208+H208)/2)*Reeksen!AM208),0)</f>
        <v>0</v>
      </c>
      <c r="AM208" s="71">
        <f ca="1">-AL208*'Invoer gegevens'!$F$31</f>
        <v>0</v>
      </c>
      <c r="AN208" s="71">
        <f t="shared" ca="1" si="38"/>
        <v>0</v>
      </c>
      <c r="AO208" s="71"/>
      <c r="AP208" s="71"/>
      <c r="AQ208" s="71">
        <f ca="1">-IF(C208=1,('Invoer gegevens'!$C$10*'Invoer gegevens'!$F$35)*Reeksen!J208,0)*2</f>
        <v>0</v>
      </c>
      <c r="AR208" s="71">
        <f ca="1">-IF(C208=1,(G208*'Invoer gegevens'!$F$36)*Reeksen!J208,0)</f>
        <v>0</v>
      </c>
      <c r="AS208" s="71">
        <f ca="1">-IF(C208=1,'Invoer gegevens'!$C$10*'Invoer gegevens'!$F$37*Reeksen!L208,0)</f>
        <v>0</v>
      </c>
      <c r="AT208" s="71">
        <f ca="1">-IF(C208=1,IF(E208='Invoer gegevens'!$C$17,'Invoer gegevens'!$C$11,Q208)*Reeksen!S208*'Invoer gegevens'!$C$18*Reeksen!P208,0)</f>
        <v>0</v>
      </c>
      <c r="AU208" s="71">
        <f ca="1">-IF(C208=1,'Invoer gegevens'!$C$10*'Invoer gegevens'!$F$38*Reeksen!H208,0)</f>
        <v>0</v>
      </c>
      <c r="AV208" s="71">
        <f t="shared" si="32"/>
        <v>0</v>
      </c>
      <c r="AW208" s="71">
        <f t="shared" ca="1" si="39"/>
        <v>0</v>
      </c>
      <c r="AX208" s="71">
        <f ca="1">IF(E208&lt;'Invoer gegevens'!$C$17+15,0,IF('RW - MW - DE - DE'!E208&gt;'Invoer gegevens'!$C$17+215,0,'RW - MW - DE - DE'!AW208))</f>
        <v>0</v>
      </c>
      <c r="AY208" s="71">
        <f ca="1">AX208/(1+'Invoer gegevens'!$F$13)^($AZ208-('Invoer gegevens'!$C$17-'Invoer gegevens'!$C$16))/(1+'Invoer gegevens'!$C$39)^('Invoer gegevens'!$C$17-'Invoer gegevens'!$C$16)</f>
        <v>0</v>
      </c>
      <c r="AZ208" s="68">
        <f ca="1">IF(E208-'Invoer gegevens'!$C$17-14.5&lt;0,0,E208-'Invoer gegevens'!$C$17-14.5)</f>
        <v>188.5</v>
      </c>
      <c r="BC208" s="71"/>
    </row>
    <row r="209" spans="1:55" customFormat="1" x14ac:dyDescent="0.25">
      <c r="B209" s="70">
        <f t="shared" si="40"/>
        <v>205</v>
      </c>
      <c r="C209" s="67">
        <f ca="1">IF(E209-'Invoer gegevens'!$C$17&lt;0,0,1)</f>
        <v>1</v>
      </c>
      <c r="D209" s="68">
        <f t="shared" si="41"/>
        <v>204.5</v>
      </c>
      <c r="E209" s="69">
        <f ca="1">IF('Invoer gegevens'!$C$16="","",E208+1)</f>
        <v>2223</v>
      </c>
      <c r="F209" s="82">
        <f ca="1">IF('Invoer gegevens'!$C$17=E209,'Invoer gegevens'!$C$10,IF(C209=1,H208,0))</f>
        <v>0</v>
      </c>
      <c r="G209" s="83">
        <f ca="1">IF(C209&gt;=1,F209*Reeksen!C209,0)</f>
        <v>0</v>
      </c>
      <c r="H209" s="84">
        <f t="shared" ca="1" si="34"/>
        <v>0</v>
      </c>
      <c r="I209" s="85">
        <f ca="1">IF('Invoer gegevens'!$C$17=E209,'Invoer gegevens'!$C$11,IF(C209=1,L208,0))</f>
        <v>0</v>
      </c>
      <c r="J209" s="86">
        <f ca="1">IF(C209&lt;1,0,IF(Reeksen!AD209&lt;=Reeksen!AE209,I209*Reeksen!C209,0))</f>
        <v>0</v>
      </c>
      <c r="K209" s="86">
        <f ca="1">IF(C209&lt;1,0,IF(Reeksen!AD209&gt;Reeksen!AE209,I209*Reeksen!C209,0))</f>
        <v>0</v>
      </c>
      <c r="L209" s="86">
        <f t="shared" ca="1" si="35"/>
        <v>0</v>
      </c>
      <c r="M209" s="85">
        <f ca="1">IF('Invoer gegevens'!$C$17=E209,'Invoer gegevens'!$C$10-'Invoer gegevens'!$C$11,IF(C209=1,P208,0))</f>
        <v>0</v>
      </c>
      <c r="N209" s="86">
        <f ca="1">IF(C209&lt;1,0,IF(Reeksen!AD209&lt;=Reeksen!AE209,M209*Reeksen!C209,0))</f>
        <v>0</v>
      </c>
      <c r="O209" s="86">
        <f ca="1">IF(C209&lt;1,0,IF(Reeksen!AD209&gt;Reeksen!AE209,M209*Reeksen!C209,0))</f>
        <v>0</v>
      </c>
      <c r="P209" s="86">
        <f t="shared" ca="1" si="36"/>
        <v>0</v>
      </c>
      <c r="Q209" s="82">
        <f ca="1">IF('Invoer gegevens'!$C$17=E209,I209,IF(C209=0,0,R208))</f>
        <v>0</v>
      </c>
      <c r="R209" s="84">
        <f t="shared" ca="1" si="33"/>
        <v>0</v>
      </c>
      <c r="S209" s="84">
        <f ca="1">IF('Invoer gegevens'!$C$17=E209,M209,IF(C209=0,0,T208))</f>
        <v>0</v>
      </c>
      <c r="T209" s="84">
        <f t="shared" ca="1" si="42"/>
        <v>0</v>
      </c>
      <c r="AI209" s="71">
        <f ca="1">IF(C209=1,((F209+H209)/2*Reeksen!AI209*12)+(('Invoer gegevens'!$C$10-(F209+H209)/2)*Reeksen!AD209*12),0)</f>
        <v>0</v>
      </c>
      <c r="AJ209" s="71">
        <f ca="1">-AI209*'Invoer gegevens'!$F$28</f>
        <v>0</v>
      </c>
      <c r="AK209" s="71">
        <f t="shared" ca="1" si="37"/>
        <v>0</v>
      </c>
      <c r="AL209" s="71">
        <f ca="1">IF(C209=1,(12*((F209+H209)/2)*Reeksen!AL209)+(12*('Invoer gegevens'!$C$10-(F209+H209)/2)*Reeksen!AM209),0)</f>
        <v>0</v>
      </c>
      <c r="AM209" s="71">
        <f ca="1">-AL209*'Invoer gegevens'!$F$31</f>
        <v>0</v>
      </c>
      <c r="AN209" s="71">
        <f t="shared" ca="1" si="38"/>
        <v>0</v>
      </c>
      <c r="AO209" s="71"/>
      <c r="AP209" s="71"/>
      <c r="AQ209" s="71">
        <f ca="1">-IF(C209=1,('Invoer gegevens'!$C$10*'Invoer gegevens'!$F$35)*Reeksen!J209,0)*2</f>
        <v>0</v>
      </c>
      <c r="AR209" s="71">
        <f ca="1">-IF(C209=1,(G209*'Invoer gegevens'!$F$36)*Reeksen!J209,0)</f>
        <v>0</v>
      </c>
      <c r="AS209" s="71">
        <f ca="1">-IF(C209=1,'Invoer gegevens'!$C$10*'Invoer gegevens'!$F$37*Reeksen!L209,0)</f>
        <v>0</v>
      </c>
      <c r="AT209" s="71">
        <f ca="1">-IF(C209=1,IF(E209='Invoer gegevens'!$C$17,'Invoer gegevens'!$C$11,Q209)*Reeksen!S209*'Invoer gegevens'!$C$18*Reeksen!P209,0)</f>
        <v>0</v>
      </c>
      <c r="AU209" s="71">
        <f ca="1">-IF(C209=1,'Invoer gegevens'!$C$10*'Invoer gegevens'!$F$38*Reeksen!H209,0)</f>
        <v>0</v>
      </c>
      <c r="AV209" s="71">
        <f t="shared" si="32"/>
        <v>0</v>
      </c>
      <c r="AW209" s="71">
        <f t="shared" ca="1" si="39"/>
        <v>0</v>
      </c>
      <c r="AX209" s="71">
        <f ca="1">IF(E209&lt;'Invoer gegevens'!$C$17+15,0,IF('RW - MW - DE - DE'!E209&gt;'Invoer gegevens'!$C$17+215,0,'RW - MW - DE - DE'!AW209))</f>
        <v>0</v>
      </c>
      <c r="AY209" s="71">
        <f ca="1">AX209/(1+'Invoer gegevens'!$F$13)^($AZ209-('Invoer gegevens'!$C$17-'Invoer gegevens'!$C$16))/(1+'Invoer gegevens'!$C$39)^('Invoer gegevens'!$C$17-'Invoer gegevens'!$C$16)</f>
        <v>0</v>
      </c>
      <c r="AZ209" s="68">
        <f ca="1">IF(E209-'Invoer gegevens'!$C$17-14.5&lt;0,0,E209-'Invoer gegevens'!$C$17-14.5)</f>
        <v>189.5</v>
      </c>
      <c r="BC209" s="71"/>
    </row>
    <row r="210" spans="1:55" customFormat="1" x14ac:dyDescent="0.25">
      <c r="B210" s="70">
        <f t="shared" si="40"/>
        <v>206</v>
      </c>
      <c r="C210" s="67">
        <f ca="1">IF(E210-'Invoer gegevens'!$C$17&lt;0,0,1)</f>
        <v>1</v>
      </c>
      <c r="D210" s="68">
        <f t="shared" si="41"/>
        <v>205.5</v>
      </c>
      <c r="E210" s="69">
        <f ca="1">IF('Invoer gegevens'!$C$16="","",E209+1)</f>
        <v>2224</v>
      </c>
      <c r="F210" s="82">
        <f ca="1">IF('Invoer gegevens'!$C$17=E210,'Invoer gegevens'!$C$10,IF(C210=1,H209,0))</f>
        <v>0</v>
      </c>
      <c r="G210" s="83">
        <f ca="1">IF(C210&gt;=1,F210*Reeksen!C210,0)</f>
        <v>0</v>
      </c>
      <c r="H210" s="84">
        <f t="shared" ca="1" si="34"/>
        <v>0</v>
      </c>
      <c r="I210" s="85">
        <f ca="1">IF('Invoer gegevens'!$C$17=E210,'Invoer gegevens'!$C$11,IF(C210=1,L209,0))</f>
        <v>0</v>
      </c>
      <c r="J210" s="86">
        <f ca="1">IF(C210&lt;1,0,IF(Reeksen!AD210&lt;=Reeksen!AE210,I210*Reeksen!C210,0))</f>
        <v>0</v>
      </c>
      <c r="K210" s="86">
        <f ca="1">IF(C210&lt;1,0,IF(Reeksen!AD210&gt;Reeksen!AE210,I210*Reeksen!C210,0))</f>
        <v>0</v>
      </c>
      <c r="L210" s="86">
        <f t="shared" ca="1" si="35"/>
        <v>0</v>
      </c>
      <c r="M210" s="85">
        <f ca="1">IF('Invoer gegevens'!$C$17=E210,'Invoer gegevens'!$C$10-'Invoer gegevens'!$C$11,IF(C210=1,P209,0))</f>
        <v>0</v>
      </c>
      <c r="N210" s="86">
        <f ca="1">IF(C210&lt;1,0,IF(Reeksen!AD210&lt;=Reeksen!AE210,M210*Reeksen!C210,0))</f>
        <v>0</v>
      </c>
      <c r="O210" s="86">
        <f ca="1">IF(C210&lt;1,0,IF(Reeksen!AD210&gt;Reeksen!AE210,M210*Reeksen!C210,0))</f>
        <v>0</v>
      </c>
      <c r="P210" s="86">
        <f t="shared" ca="1" si="36"/>
        <v>0</v>
      </c>
      <c r="Q210" s="82">
        <f ca="1">IF('Invoer gegevens'!$C$17=E210,I210,IF(C210=0,0,R209))</f>
        <v>0</v>
      </c>
      <c r="R210" s="84">
        <f t="shared" ca="1" si="33"/>
        <v>0</v>
      </c>
      <c r="S210" s="84">
        <f ca="1">IF('Invoer gegevens'!$C$17=E210,M210,IF(C210=0,0,T209))</f>
        <v>0</v>
      </c>
      <c r="T210" s="84">
        <f t="shared" ca="1" si="42"/>
        <v>0</v>
      </c>
      <c r="AI210" s="71">
        <f ca="1">IF(C210=1,((F210+H210)/2*Reeksen!AI210*12)+(('Invoer gegevens'!$C$10-(F210+H210)/2)*Reeksen!AD210*12),0)</f>
        <v>0</v>
      </c>
      <c r="AJ210" s="71">
        <f ca="1">-AI210*'Invoer gegevens'!$F$28</f>
        <v>0</v>
      </c>
      <c r="AK210" s="71">
        <f t="shared" ca="1" si="37"/>
        <v>0</v>
      </c>
      <c r="AL210" s="71">
        <f ca="1">IF(C210=1,(12*((F210+H210)/2)*Reeksen!AL210)+(12*('Invoer gegevens'!$C$10-(F210+H210)/2)*Reeksen!AM210),0)</f>
        <v>0</v>
      </c>
      <c r="AM210" s="71">
        <f ca="1">-AL210*'Invoer gegevens'!$F$31</f>
        <v>0</v>
      </c>
      <c r="AN210" s="71">
        <f t="shared" ca="1" si="38"/>
        <v>0</v>
      </c>
      <c r="AO210" s="71"/>
      <c r="AP210" s="71"/>
      <c r="AQ210" s="71">
        <f ca="1">-IF(C210=1,('Invoer gegevens'!$C$10*'Invoer gegevens'!$F$35)*Reeksen!J210,0)*2</f>
        <v>0</v>
      </c>
      <c r="AR210" s="71">
        <f ca="1">-IF(C210=1,(G210*'Invoer gegevens'!$F$36)*Reeksen!J210,0)</f>
        <v>0</v>
      </c>
      <c r="AS210" s="71">
        <f ca="1">-IF(C210=1,'Invoer gegevens'!$C$10*'Invoer gegevens'!$F$37*Reeksen!L210,0)</f>
        <v>0</v>
      </c>
      <c r="AT210" s="71">
        <f ca="1">-IF(C210=1,IF(E210='Invoer gegevens'!$C$17,'Invoer gegevens'!$C$11,Q210)*Reeksen!S210*'Invoer gegevens'!$C$18*Reeksen!P210,0)</f>
        <v>0</v>
      </c>
      <c r="AU210" s="71">
        <f ca="1">-IF(C210=1,'Invoer gegevens'!$C$10*'Invoer gegevens'!$F$38*Reeksen!H210,0)</f>
        <v>0</v>
      </c>
      <c r="AV210" s="71">
        <f t="shared" si="32"/>
        <v>0</v>
      </c>
      <c r="AW210" s="71">
        <f t="shared" ca="1" si="39"/>
        <v>0</v>
      </c>
      <c r="AX210" s="71">
        <f ca="1">IF(E210&lt;'Invoer gegevens'!$C$17+15,0,IF('RW - MW - DE - DE'!E210&gt;'Invoer gegevens'!$C$17+215,0,'RW - MW - DE - DE'!AW210))</f>
        <v>0</v>
      </c>
      <c r="AY210" s="71">
        <f ca="1">AX210/(1+'Invoer gegevens'!$F$13)^($AZ210-('Invoer gegevens'!$C$17-'Invoer gegevens'!$C$16))/(1+'Invoer gegevens'!$C$39)^('Invoer gegevens'!$C$17-'Invoer gegevens'!$C$16)</f>
        <v>0</v>
      </c>
      <c r="AZ210" s="68">
        <f ca="1">IF(E210-'Invoer gegevens'!$C$17-14.5&lt;0,0,E210-'Invoer gegevens'!$C$17-14.5)</f>
        <v>190.5</v>
      </c>
      <c r="BC210" s="71"/>
    </row>
    <row r="211" spans="1:55" customFormat="1" x14ac:dyDescent="0.25">
      <c r="B211" s="70">
        <f t="shared" si="40"/>
        <v>207</v>
      </c>
      <c r="C211" s="67">
        <f ca="1">IF(E211-'Invoer gegevens'!$C$17&lt;0,0,1)</f>
        <v>1</v>
      </c>
      <c r="D211" s="68">
        <f t="shared" si="41"/>
        <v>206.5</v>
      </c>
      <c r="E211" s="69">
        <f ca="1">IF('Invoer gegevens'!$C$16="","",E210+1)</f>
        <v>2225</v>
      </c>
      <c r="F211" s="82">
        <f ca="1">IF('Invoer gegevens'!$C$17=E211,'Invoer gegevens'!$C$10,IF(C211=1,H210,0))</f>
        <v>0</v>
      </c>
      <c r="G211" s="83">
        <f ca="1">IF(C211&gt;=1,F211*Reeksen!C211,0)</f>
        <v>0</v>
      </c>
      <c r="H211" s="84">
        <f t="shared" ca="1" si="34"/>
        <v>0</v>
      </c>
      <c r="I211" s="85">
        <f ca="1">IF('Invoer gegevens'!$C$17=E211,'Invoer gegevens'!$C$11,IF(C211=1,L210,0))</f>
        <v>0</v>
      </c>
      <c r="J211" s="86">
        <f ca="1">IF(C211&lt;1,0,IF(Reeksen!AD211&lt;=Reeksen!AE211,I211*Reeksen!C211,0))</f>
        <v>0</v>
      </c>
      <c r="K211" s="86">
        <f ca="1">IF(C211&lt;1,0,IF(Reeksen!AD211&gt;Reeksen!AE211,I211*Reeksen!C211,0))</f>
        <v>0</v>
      </c>
      <c r="L211" s="86">
        <f t="shared" ca="1" si="35"/>
        <v>0</v>
      </c>
      <c r="M211" s="85">
        <f ca="1">IF('Invoer gegevens'!$C$17=E211,'Invoer gegevens'!$C$10-'Invoer gegevens'!$C$11,IF(C211=1,P210,0))</f>
        <v>0</v>
      </c>
      <c r="N211" s="86">
        <f ca="1">IF(C211&lt;1,0,IF(Reeksen!AD211&lt;=Reeksen!AE211,M211*Reeksen!C211,0))</f>
        <v>0</v>
      </c>
      <c r="O211" s="86">
        <f ca="1">IF(C211&lt;1,0,IF(Reeksen!AD211&gt;Reeksen!AE211,M211*Reeksen!C211,0))</f>
        <v>0</v>
      </c>
      <c r="P211" s="86">
        <f t="shared" ca="1" si="36"/>
        <v>0</v>
      </c>
      <c r="Q211" s="82">
        <f ca="1">IF('Invoer gegevens'!$C$17=E211,I211,IF(C211=0,0,R210))</f>
        <v>0</v>
      </c>
      <c r="R211" s="84">
        <f t="shared" ca="1" si="33"/>
        <v>0</v>
      </c>
      <c r="S211" s="84">
        <f ca="1">IF('Invoer gegevens'!$C$17=E211,M211,IF(C211=0,0,T210))</f>
        <v>0</v>
      </c>
      <c r="T211" s="84">
        <f t="shared" ca="1" si="42"/>
        <v>0</v>
      </c>
      <c r="AI211" s="71">
        <f ca="1">IF(C211=1,((F211+H211)/2*Reeksen!AI211*12)+(('Invoer gegevens'!$C$10-(F211+H211)/2)*Reeksen!AD211*12),0)</f>
        <v>0</v>
      </c>
      <c r="AJ211" s="71">
        <f ca="1">-AI211*'Invoer gegevens'!$F$28</f>
        <v>0</v>
      </c>
      <c r="AK211" s="71">
        <f t="shared" ca="1" si="37"/>
        <v>0</v>
      </c>
      <c r="AL211" s="71">
        <f ca="1">IF(C211=1,(12*((F211+H211)/2)*Reeksen!AL211)+(12*('Invoer gegevens'!$C$10-(F211+H211)/2)*Reeksen!AM211),0)</f>
        <v>0</v>
      </c>
      <c r="AM211" s="71">
        <f ca="1">-AL211*'Invoer gegevens'!$F$31</f>
        <v>0</v>
      </c>
      <c r="AN211" s="71">
        <f t="shared" ca="1" si="38"/>
        <v>0</v>
      </c>
      <c r="AO211" s="71"/>
      <c r="AP211" s="71"/>
      <c r="AQ211" s="71">
        <f ca="1">-IF(C211=1,('Invoer gegevens'!$C$10*'Invoer gegevens'!$F$35)*Reeksen!J211,0)*2</f>
        <v>0</v>
      </c>
      <c r="AR211" s="71">
        <f ca="1">-IF(C211=1,(G211*'Invoer gegevens'!$F$36)*Reeksen!J211,0)</f>
        <v>0</v>
      </c>
      <c r="AS211" s="71">
        <f ca="1">-IF(C211=1,'Invoer gegevens'!$C$10*'Invoer gegevens'!$F$37*Reeksen!L211,0)</f>
        <v>0</v>
      </c>
      <c r="AT211" s="71">
        <f ca="1">-IF(C211=1,IF(E211='Invoer gegevens'!$C$17,'Invoer gegevens'!$C$11,Q211)*Reeksen!S211*'Invoer gegevens'!$C$18*Reeksen!P211,0)</f>
        <v>0</v>
      </c>
      <c r="AU211" s="71">
        <f ca="1">-IF(C211=1,'Invoer gegevens'!$C$10*'Invoer gegevens'!$F$38*Reeksen!H211,0)</f>
        <v>0</v>
      </c>
      <c r="AV211" s="71">
        <f t="shared" si="32"/>
        <v>0</v>
      </c>
      <c r="AW211" s="71">
        <f t="shared" ca="1" si="39"/>
        <v>0</v>
      </c>
      <c r="AX211" s="71">
        <f ca="1">IF(E211&lt;'Invoer gegevens'!$C$17+15,0,IF('RW - MW - DE - DE'!E211&gt;'Invoer gegevens'!$C$17+215,0,'RW - MW - DE - DE'!AW211))</f>
        <v>0</v>
      </c>
      <c r="AY211" s="71">
        <f ca="1">AX211/(1+'Invoer gegevens'!$F$13)^($AZ211-('Invoer gegevens'!$C$17-'Invoer gegevens'!$C$16))/(1+'Invoer gegevens'!$C$39)^('Invoer gegevens'!$C$17-'Invoer gegevens'!$C$16)</f>
        <v>0</v>
      </c>
      <c r="AZ211" s="68">
        <f ca="1">IF(E211-'Invoer gegevens'!$C$17-14.5&lt;0,0,E211-'Invoer gegevens'!$C$17-14.5)</f>
        <v>191.5</v>
      </c>
      <c r="BC211" s="71"/>
    </row>
    <row r="212" spans="1:55" customFormat="1" x14ac:dyDescent="0.25">
      <c r="B212" s="70">
        <f t="shared" si="40"/>
        <v>208</v>
      </c>
      <c r="C212" s="67">
        <f ca="1">IF(E212-'Invoer gegevens'!$C$17&lt;0,0,1)</f>
        <v>1</v>
      </c>
      <c r="D212" s="68">
        <f t="shared" si="41"/>
        <v>207.5</v>
      </c>
      <c r="E212" s="69">
        <f ca="1">IF('Invoer gegevens'!$C$16="","",E211+1)</f>
        <v>2226</v>
      </c>
      <c r="F212" s="82">
        <f ca="1">IF('Invoer gegevens'!$C$17=E212,'Invoer gegevens'!$C$10,IF(C212=1,H211,0))</f>
        <v>0</v>
      </c>
      <c r="G212" s="83">
        <f ca="1">IF(C212&gt;=1,F212*Reeksen!C212,0)</f>
        <v>0</v>
      </c>
      <c r="H212" s="84">
        <f t="shared" ca="1" si="34"/>
        <v>0</v>
      </c>
      <c r="I212" s="85">
        <f ca="1">IF('Invoer gegevens'!$C$17=E212,'Invoer gegevens'!$C$11,IF(C212=1,L211,0))</f>
        <v>0</v>
      </c>
      <c r="J212" s="86">
        <f ca="1">IF(C212&lt;1,0,IF(Reeksen!AD212&lt;=Reeksen!AE212,I212*Reeksen!C212,0))</f>
        <v>0</v>
      </c>
      <c r="K212" s="86">
        <f ca="1">IF(C212&lt;1,0,IF(Reeksen!AD212&gt;Reeksen!AE212,I212*Reeksen!C212,0))</f>
        <v>0</v>
      </c>
      <c r="L212" s="86">
        <f t="shared" ca="1" si="35"/>
        <v>0</v>
      </c>
      <c r="M212" s="85">
        <f ca="1">IF('Invoer gegevens'!$C$17=E212,'Invoer gegevens'!$C$10-'Invoer gegevens'!$C$11,IF(C212=1,P211,0))</f>
        <v>0</v>
      </c>
      <c r="N212" s="86">
        <f ca="1">IF(C212&lt;1,0,IF(Reeksen!AD212&lt;=Reeksen!AE212,M212*Reeksen!C212,0))</f>
        <v>0</v>
      </c>
      <c r="O212" s="86">
        <f ca="1">IF(C212&lt;1,0,IF(Reeksen!AD212&gt;Reeksen!AE212,M212*Reeksen!C212,0))</f>
        <v>0</v>
      </c>
      <c r="P212" s="86">
        <f t="shared" ca="1" si="36"/>
        <v>0</v>
      </c>
      <c r="Q212" s="82">
        <f ca="1">IF('Invoer gegevens'!$C$17=E212,I212,IF(C212=0,0,R211))</f>
        <v>0</v>
      </c>
      <c r="R212" s="84">
        <f t="shared" ca="1" si="33"/>
        <v>0</v>
      </c>
      <c r="S212" s="84">
        <f ca="1">IF('Invoer gegevens'!$C$17=E212,M212,IF(C212=0,0,T211))</f>
        <v>0</v>
      </c>
      <c r="T212" s="84">
        <f t="shared" ca="1" si="42"/>
        <v>0</v>
      </c>
      <c r="AI212" s="71">
        <f ca="1">IF(C212=1,((F212+H212)/2*Reeksen!AI212*12)+(('Invoer gegevens'!$C$10-(F212+H212)/2)*Reeksen!AD212*12),0)</f>
        <v>0</v>
      </c>
      <c r="AJ212" s="71">
        <f ca="1">-AI212*'Invoer gegevens'!$F$28</f>
        <v>0</v>
      </c>
      <c r="AK212" s="71">
        <f t="shared" ca="1" si="37"/>
        <v>0</v>
      </c>
      <c r="AL212" s="71">
        <f ca="1">IF(C212=1,(12*((F212+H212)/2)*Reeksen!AL212)+(12*('Invoer gegevens'!$C$10-(F212+H212)/2)*Reeksen!AM212),0)</f>
        <v>0</v>
      </c>
      <c r="AM212" s="71">
        <f ca="1">-AL212*'Invoer gegevens'!$F$31</f>
        <v>0</v>
      </c>
      <c r="AN212" s="71">
        <f t="shared" ca="1" si="38"/>
        <v>0</v>
      </c>
      <c r="AO212" s="71"/>
      <c r="AP212" s="71"/>
      <c r="AQ212" s="71">
        <f ca="1">-IF(C212=1,('Invoer gegevens'!$C$10*'Invoer gegevens'!$F$35)*Reeksen!J212,0)*2</f>
        <v>0</v>
      </c>
      <c r="AR212" s="71">
        <f ca="1">-IF(C212=1,(G212*'Invoer gegevens'!$F$36)*Reeksen!J212,0)</f>
        <v>0</v>
      </c>
      <c r="AS212" s="71">
        <f ca="1">-IF(C212=1,'Invoer gegevens'!$C$10*'Invoer gegevens'!$F$37*Reeksen!L212,0)</f>
        <v>0</v>
      </c>
      <c r="AT212" s="71">
        <f ca="1">-IF(C212=1,IF(E212='Invoer gegevens'!$C$17,'Invoer gegevens'!$C$11,Q212)*Reeksen!S212*'Invoer gegevens'!$C$18*Reeksen!P212,0)</f>
        <v>0</v>
      </c>
      <c r="AU212" s="71">
        <f ca="1">-IF(C212=1,'Invoer gegevens'!$C$10*'Invoer gegevens'!$F$38*Reeksen!H212,0)</f>
        <v>0</v>
      </c>
      <c r="AV212" s="71">
        <f t="shared" si="32"/>
        <v>0</v>
      </c>
      <c r="AW212" s="71">
        <f t="shared" ca="1" si="39"/>
        <v>0</v>
      </c>
      <c r="AX212" s="71">
        <f ca="1">IF(E212&lt;'Invoer gegevens'!$C$17+15,0,IF('RW - MW - DE - DE'!E212&gt;'Invoer gegevens'!$C$17+215,0,'RW - MW - DE - DE'!AW212))</f>
        <v>0</v>
      </c>
      <c r="AY212" s="71">
        <f ca="1">AX212/(1+'Invoer gegevens'!$F$13)^($AZ212-('Invoer gegevens'!$C$17-'Invoer gegevens'!$C$16))/(1+'Invoer gegevens'!$C$39)^('Invoer gegevens'!$C$17-'Invoer gegevens'!$C$16)</f>
        <v>0</v>
      </c>
      <c r="AZ212" s="68">
        <f ca="1">IF(E212-'Invoer gegevens'!$C$17-14.5&lt;0,0,E212-'Invoer gegevens'!$C$17-14.5)</f>
        <v>192.5</v>
      </c>
      <c r="BC212" s="71"/>
    </row>
    <row r="213" spans="1:55" customFormat="1" x14ac:dyDescent="0.25">
      <c r="B213" s="70">
        <f t="shared" si="40"/>
        <v>209</v>
      </c>
      <c r="C213" s="67">
        <f ca="1">IF(E213-'Invoer gegevens'!$C$17&lt;0,0,1)</f>
        <v>1</v>
      </c>
      <c r="D213" s="68">
        <f t="shared" si="41"/>
        <v>208.5</v>
      </c>
      <c r="E213" s="69">
        <f ca="1">IF('Invoer gegevens'!$C$16="","",E212+1)</f>
        <v>2227</v>
      </c>
      <c r="F213" s="82">
        <f ca="1">IF('Invoer gegevens'!$C$17=E213,'Invoer gegevens'!$C$10,IF(C213=1,H212,0))</f>
        <v>0</v>
      </c>
      <c r="G213" s="83">
        <f ca="1">IF(C213&gt;=1,F213*Reeksen!C213,0)</f>
        <v>0</v>
      </c>
      <c r="H213" s="84">
        <f t="shared" ca="1" si="34"/>
        <v>0</v>
      </c>
      <c r="I213" s="85">
        <f ca="1">IF('Invoer gegevens'!$C$17=E213,'Invoer gegevens'!$C$11,IF(C213=1,L212,0))</f>
        <v>0</v>
      </c>
      <c r="J213" s="86">
        <f ca="1">IF(C213&lt;1,0,IF(Reeksen!AD213&lt;=Reeksen!AE213,I213*Reeksen!C213,0))</f>
        <v>0</v>
      </c>
      <c r="K213" s="86">
        <f ca="1">IF(C213&lt;1,0,IF(Reeksen!AD213&gt;Reeksen!AE213,I213*Reeksen!C213,0))</f>
        <v>0</v>
      </c>
      <c r="L213" s="86">
        <f t="shared" ca="1" si="35"/>
        <v>0</v>
      </c>
      <c r="M213" s="85">
        <f ca="1">IF('Invoer gegevens'!$C$17=E213,'Invoer gegevens'!$C$10-'Invoer gegevens'!$C$11,IF(C213=1,P212,0))</f>
        <v>0</v>
      </c>
      <c r="N213" s="86">
        <f ca="1">IF(C213&lt;1,0,IF(Reeksen!AD213&lt;=Reeksen!AE213,M213*Reeksen!C213,0))</f>
        <v>0</v>
      </c>
      <c r="O213" s="86">
        <f ca="1">IF(C213&lt;1,0,IF(Reeksen!AD213&gt;Reeksen!AE213,M213*Reeksen!C213,0))</f>
        <v>0</v>
      </c>
      <c r="P213" s="86">
        <f t="shared" ca="1" si="36"/>
        <v>0</v>
      </c>
      <c r="Q213" s="82">
        <f ca="1">IF('Invoer gegevens'!$C$17=E213,I213,IF(C213=0,0,R212))</f>
        <v>0</v>
      </c>
      <c r="R213" s="84">
        <f t="shared" ca="1" si="33"/>
        <v>0</v>
      </c>
      <c r="S213" s="84">
        <f ca="1">IF('Invoer gegevens'!$C$17=E213,M213,IF(C213=0,0,T212))</f>
        <v>0</v>
      </c>
      <c r="T213" s="84">
        <f t="shared" ca="1" si="42"/>
        <v>0</v>
      </c>
      <c r="AI213" s="71">
        <f ca="1">IF(C213=1,((F213+H213)/2*Reeksen!AI213*12)+(('Invoer gegevens'!$C$10-(F213+H213)/2)*Reeksen!AD213*12),0)</f>
        <v>0</v>
      </c>
      <c r="AJ213" s="71">
        <f ca="1">-AI213*'Invoer gegevens'!$F$28</f>
        <v>0</v>
      </c>
      <c r="AK213" s="71">
        <f t="shared" ca="1" si="37"/>
        <v>0</v>
      </c>
      <c r="AL213" s="71">
        <f ca="1">IF(C213=1,(12*((F213+H213)/2)*Reeksen!AL213)+(12*('Invoer gegevens'!$C$10-(F213+H213)/2)*Reeksen!AM213),0)</f>
        <v>0</v>
      </c>
      <c r="AM213" s="71">
        <f ca="1">-AL213*'Invoer gegevens'!$F$31</f>
        <v>0</v>
      </c>
      <c r="AN213" s="71">
        <f t="shared" ca="1" si="38"/>
        <v>0</v>
      </c>
      <c r="AO213" s="71"/>
      <c r="AP213" s="71"/>
      <c r="AQ213" s="71">
        <f ca="1">-IF(C213=1,('Invoer gegevens'!$C$10*'Invoer gegevens'!$F$35)*Reeksen!J213,0)*2</f>
        <v>0</v>
      </c>
      <c r="AR213" s="71">
        <f ca="1">-IF(C213=1,(G213*'Invoer gegevens'!$F$36)*Reeksen!J213,0)</f>
        <v>0</v>
      </c>
      <c r="AS213" s="71">
        <f ca="1">-IF(C213=1,'Invoer gegevens'!$C$10*'Invoer gegevens'!$F$37*Reeksen!L213,0)</f>
        <v>0</v>
      </c>
      <c r="AT213" s="71">
        <f ca="1">-IF(C213=1,IF(E213='Invoer gegevens'!$C$17,'Invoer gegevens'!$C$11,Q213)*Reeksen!S213*'Invoer gegevens'!$C$18*Reeksen!P213,0)</f>
        <v>0</v>
      </c>
      <c r="AU213" s="71">
        <f ca="1">-IF(C213=1,'Invoer gegevens'!$C$10*'Invoer gegevens'!$F$38*Reeksen!H213,0)</f>
        <v>0</v>
      </c>
      <c r="AV213" s="71">
        <f t="shared" ref="AV213:AV234" si="43">AV212</f>
        <v>0</v>
      </c>
      <c r="AW213" s="71">
        <f t="shared" ca="1" si="39"/>
        <v>0</v>
      </c>
      <c r="AX213" s="71">
        <f ca="1">IF(E213&lt;'Invoer gegevens'!$C$17+15,0,IF('RW - MW - DE - DE'!E213&gt;'Invoer gegevens'!$C$17+215,0,'RW - MW - DE - DE'!AW213))</f>
        <v>0</v>
      </c>
      <c r="AY213" s="71">
        <f ca="1">AX213/(1+'Invoer gegevens'!$F$13)^($AZ213-('Invoer gegevens'!$C$17-'Invoer gegevens'!$C$16))/(1+'Invoer gegevens'!$C$39)^('Invoer gegevens'!$C$17-'Invoer gegevens'!$C$16)</f>
        <v>0</v>
      </c>
      <c r="AZ213" s="68">
        <f ca="1">IF(E213-'Invoer gegevens'!$C$17-14.5&lt;0,0,E213-'Invoer gegevens'!$C$17-14.5)</f>
        <v>193.5</v>
      </c>
      <c r="BC213" s="71"/>
    </row>
    <row r="214" spans="1:55" customFormat="1" x14ac:dyDescent="0.25">
      <c r="B214" s="70">
        <f t="shared" si="40"/>
        <v>210</v>
      </c>
      <c r="C214" s="67">
        <f ca="1">IF(E214-'Invoer gegevens'!$C$17&lt;0,0,1)</f>
        <v>1</v>
      </c>
      <c r="D214" s="68">
        <f t="shared" si="41"/>
        <v>209.5</v>
      </c>
      <c r="E214" s="69">
        <f ca="1">IF('Invoer gegevens'!$C$16="","",E213+1)</f>
        <v>2228</v>
      </c>
      <c r="F214" s="82">
        <f ca="1">IF('Invoer gegevens'!$C$17=E214,'Invoer gegevens'!$C$10,IF(C214=1,H213,0))</f>
        <v>0</v>
      </c>
      <c r="G214" s="83">
        <f ca="1">IF(C214&gt;=1,F214*Reeksen!C214,0)</f>
        <v>0</v>
      </c>
      <c r="H214" s="84">
        <f t="shared" ca="1" si="34"/>
        <v>0</v>
      </c>
      <c r="I214" s="85">
        <f ca="1">IF('Invoer gegevens'!$C$17=E214,'Invoer gegevens'!$C$11,IF(C214=1,L213,0))</f>
        <v>0</v>
      </c>
      <c r="J214" s="86">
        <f ca="1">IF(C214&lt;1,0,IF(Reeksen!AD214&lt;=Reeksen!AE214,I214*Reeksen!C214,0))</f>
        <v>0</v>
      </c>
      <c r="K214" s="86">
        <f ca="1">IF(C214&lt;1,0,IF(Reeksen!AD214&gt;Reeksen!AE214,I214*Reeksen!C214,0))</f>
        <v>0</v>
      </c>
      <c r="L214" s="86">
        <f t="shared" ca="1" si="35"/>
        <v>0</v>
      </c>
      <c r="M214" s="85">
        <f ca="1">IF('Invoer gegevens'!$C$17=E214,'Invoer gegevens'!$C$10-'Invoer gegevens'!$C$11,IF(C214=1,P213,0))</f>
        <v>0</v>
      </c>
      <c r="N214" s="86">
        <f ca="1">IF(C214&lt;1,0,IF(Reeksen!AD214&lt;=Reeksen!AE214,M214*Reeksen!C214,0))</f>
        <v>0</v>
      </c>
      <c r="O214" s="86">
        <f ca="1">IF(C214&lt;1,0,IF(Reeksen!AD214&gt;Reeksen!AE214,M214*Reeksen!C214,0))</f>
        <v>0</v>
      </c>
      <c r="P214" s="86">
        <f t="shared" ca="1" si="36"/>
        <v>0</v>
      </c>
      <c r="Q214" s="82">
        <f ca="1">IF('Invoer gegevens'!$C$17=E214,I214,IF(C214=0,0,R213))</f>
        <v>0</v>
      </c>
      <c r="R214" s="84">
        <f t="shared" ca="1" si="33"/>
        <v>0</v>
      </c>
      <c r="S214" s="84">
        <f ca="1">IF('Invoer gegevens'!$C$17=E214,M214,IF(C214=0,0,T213))</f>
        <v>0</v>
      </c>
      <c r="T214" s="84">
        <f t="shared" ca="1" si="42"/>
        <v>0</v>
      </c>
      <c r="AI214" s="71">
        <f ca="1">IF(C214=1,((F214+H214)/2*Reeksen!AI214*12)+(('Invoer gegevens'!$C$10-(F214+H214)/2)*Reeksen!AD214*12),0)</f>
        <v>0</v>
      </c>
      <c r="AJ214" s="71">
        <f ca="1">-AI214*'Invoer gegevens'!$F$28</f>
        <v>0</v>
      </c>
      <c r="AK214" s="71">
        <f t="shared" ca="1" si="37"/>
        <v>0</v>
      </c>
      <c r="AL214" s="71">
        <f ca="1">IF(C214=1,(12*((F214+H214)/2)*Reeksen!AL214)+(12*('Invoer gegevens'!$C$10-(F214+H214)/2)*Reeksen!AM214),0)</f>
        <v>0</v>
      </c>
      <c r="AM214" s="71">
        <f ca="1">-AL214*'Invoer gegevens'!$F$31</f>
        <v>0</v>
      </c>
      <c r="AN214" s="71">
        <f t="shared" ca="1" si="38"/>
        <v>0</v>
      </c>
      <c r="AO214" s="71"/>
      <c r="AP214" s="71"/>
      <c r="AQ214" s="71">
        <f ca="1">-IF(C214=1,('Invoer gegevens'!$C$10*'Invoer gegevens'!$F$35)*Reeksen!J214,0)*2</f>
        <v>0</v>
      </c>
      <c r="AR214" s="71">
        <f ca="1">-IF(C214=1,(G214*'Invoer gegevens'!$F$36)*Reeksen!J214,0)</f>
        <v>0</v>
      </c>
      <c r="AS214" s="71">
        <f ca="1">-IF(C214=1,'Invoer gegevens'!$C$10*'Invoer gegevens'!$F$37*Reeksen!L214,0)</f>
        <v>0</v>
      </c>
      <c r="AT214" s="71">
        <f ca="1">-IF(C214=1,IF(E214='Invoer gegevens'!$C$17,'Invoer gegevens'!$C$11,Q214)*Reeksen!S214*'Invoer gegevens'!$C$18*Reeksen!P214,0)</f>
        <v>0</v>
      </c>
      <c r="AU214" s="71">
        <f ca="1">-IF(C214=1,'Invoer gegevens'!$C$10*'Invoer gegevens'!$F$38*Reeksen!H214,0)</f>
        <v>0</v>
      </c>
      <c r="AV214" s="71">
        <f t="shared" si="43"/>
        <v>0</v>
      </c>
      <c r="AW214" s="71">
        <f t="shared" ca="1" si="39"/>
        <v>0</v>
      </c>
      <c r="AX214" s="71">
        <f ca="1">IF(E214&lt;'Invoer gegevens'!$C$17+15,0,IF('RW - MW - DE - DE'!E214&gt;'Invoer gegevens'!$C$17+215,0,'RW - MW - DE - DE'!AW214))</f>
        <v>0</v>
      </c>
      <c r="AY214" s="71">
        <f ca="1">AX214/(1+'Invoer gegevens'!$F$13)^($AZ214-('Invoer gegevens'!$C$17-'Invoer gegevens'!$C$16))/(1+'Invoer gegevens'!$C$39)^('Invoer gegevens'!$C$17-'Invoer gegevens'!$C$16)</f>
        <v>0</v>
      </c>
      <c r="AZ214" s="68">
        <f ca="1">IF(E214-'Invoer gegevens'!$C$17-14.5&lt;0,0,E214-'Invoer gegevens'!$C$17-14.5)</f>
        <v>194.5</v>
      </c>
      <c r="BC214" s="71"/>
    </row>
    <row r="215" spans="1:55" customFormat="1" x14ac:dyDescent="0.25">
      <c r="B215" s="70">
        <f t="shared" si="40"/>
        <v>211</v>
      </c>
      <c r="C215" s="67">
        <f ca="1">IF(E215-'Invoer gegevens'!$C$17&lt;0,0,1)</f>
        <v>1</v>
      </c>
      <c r="D215" s="68">
        <f t="shared" si="41"/>
        <v>210.5</v>
      </c>
      <c r="E215" s="69">
        <f ca="1">IF('Invoer gegevens'!$C$16="","",E214+1)</f>
        <v>2229</v>
      </c>
      <c r="F215" s="82">
        <f ca="1">IF('Invoer gegevens'!$C$17=E215,'Invoer gegevens'!$C$10,IF(C215=1,H214,0))</f>
        <v>0</v>
      </c>
      <c r="G215" s="83">
        <f ca="1">IF(C215&gt;=1,F215*Reeksen!C215,0)</f>
        <v>0</v>
      </c>
      <c r="H215" s="84">
        <f t="shared" ca="1" si="34"/>
        <v>0</v>
      </c>
      <c r="I215" s="85">
        <f ca="1">IF('Invoer gegevens'!$C$17=E215,'Invoer gegevens'!$C$11,IF(C215=1,L214,0))</f>
        <v>0</v>
      </c>
      <c r="J215" s="86">
        <f ca="1">IF(C215&lt;1,0,IF(Reeksen!AD215&lt;=Reeksen!AE215,I215*Reeksen!C215,0))</f>
        <v>0</v>
      </c>
      <c r="K215" s="86">
        <f ca="1">IF(C215&lt;1,0,IF(Reeksen!AD215&gt;Reeksen!AE215,I215*Reeksen!C215,0))</f>
        <v>0</v>
      </c>
      <c r="L215" s="86">
        <f t="shared" ca="1" si="35"/>
        <v>0</v>
      </c>
      <c r="M215" s="85">
        <f ca="1">IF('Invoer gegevens'!$C$17=E215,'Invoer gegevens'!$C$10-'Invoer gegevens'!$C$11,IF(C215=1,P214,0))</f>
        <v>0</v>
      </c>
      <c r="N215" s="86">
        <f ca="1">IF(C215&lt;1,0,IF(Reeksen!AD215&lt;=Reeksen!AE215,M215*Reeksen!C215,0))</f>
        <v>0</v>
      </c>
      <c r="O215" s="86">
        <f ca="1">IF(C215&lt;1,0,IF(Reeksen!AD215&gt;Reeksen!AE215,M215*Reeksen!C215,0))</f>
        <v>0</v>
      </c>
      <c r="P215" s="86">
        <f t="shared" ca="1" si="36"/>
        <v>0</v>
      </c>
      <c r="Q215" s="82">
        <f ca="1">IF('Invoer gegevens'!$C$17=E215,I215,IF(C215=0,0,R214))</f>
        <v>0</v>
      </c>
      <c r="R215" s="84">
        <f t="shared" ca="1" si="33"/>
        <v>0</v>
      </c>
      <c r="S215" s="84">
        <f ca="1">IF('Invoer gegevens'!$C$17=E215,M215,IF(C215=0,0,T214))</f>
        <v>0</v>
      </c>
      <c r="T215" s="84">
        <f t="shared" ca="1" si="42"/>
        <v>0</v>
      </c>
      <c r="AI215" s="71">
        <f ca="1">IF(C215=1,((F215+H215)/2*Reeksen!AI215*12)+(('Invoer gegevens'!$C$10-(F215+H215)/2)*Reeksen!AD215*12),0)</f>
        <v>0</v>
      </c>
      <c r="AJ215" s="71">
        <f ca="1">-AI215*'Invoer gegevens'!$F$28</f>
        <v>0</v>
      </c>
      <c r="AK215" s="71">
        <f t="shared" ca="1" si="37"/>
        <v>0</v>
      </c>
      <c r="AL215" s="71">
        <f ca="1">IF(C215=1,(12*((F215+H215)/2)*Reeksen!AL215)+(12*('Invoer gegevens'!$C$10-(F215+H215)/2)*Reeksen!AM215),0)</f>
        <v>0</v>
      </c>
      <c r="AM215" s="71">
        <f ca="1">-AL215*'Invoer gegevens'!$F$31</f>
        <v>0</v>
      </c>
      <c r="AN215" s="71">
        <f t="shared" ca="1" si="38"/>
        <v>0</v>
      </c>
      <c r="AO215" s="71"/>
      <c r="AP215" s="71"/>
      <c r="AQ215" s="71">
        <f ca="1">-IF(C215=1,('Invoer gegevens'!$C$10*'Invoer gegevens'!$F$35)*Reeksen!J215,0)*2</f>
        <v>0</v>
      </c>
      <c r="AR215" s="71">
        <f ca="1">-IF(C215=1,(G215*'Invoer gegevens'!$F$36)*Reeksen!J215,0)</f>
        <v>0</v>
      </c>
      <c r="AS215" s="71">
        <f ca="1">-IF(C215=1,'Invoer gegevens'!$C$10*'Invoer gegevens'!$F$37*Reeksen!L215,0)</f>
        <v>0</v>
      </c>
      <c r="AT215" s="71">
        <f ca="1">-IF(C215=1,IF(E215='Invoer gegevens'!$C$17,'Invoer gegevens'!$C$11,Q215)*Reeksen!S215*'Invoer gegevens'!$C$18*Reeksen!P215,0)</f>
        <v>0</v>
      </c>
      <c r="AU215" s="71">
        <f ca="1">-IF(C215=1,'Invoer gegevens'!$C$10*'Invoer gegevens'!$F$38*Reeksen!H215,0)</f>
        <v>0</v>
      </c>
      <c r="AV215" s="71">
        <f t="shared" si="43"/>
        <v>0</v>
      </c>
      <c r="AW215" s="71">
        <f t="shared" ca="1" si="39"/>
        <v>0</v>
      </c>
      <c r="AX215" s="71">
        <f ca="1">IF(E215&lt;'Invoer gegevens'!$C$17+15,0,IF('RW - MW - DE - DE'!E215&gt;'Invoer gegevens'!$C$17+215,0,'RW - MW - DE - DE'!AW215))</f>
        <v>0</v>
      </c>
      <c r="AY215" s="71">
        <f ca="1">AX215/(1+'Invoer gegevens'!$F$13)^($AZ215-('Invoer gegevens'!$C$17-'Invoer gegevens'!$C$16))/(1+'Invoer gegevens'!$C$39)^('Invoer gegevens'!$C$17-'Invoer gegevens'!$C$16)</f>
        <v>0</v>
      </c>
      <c r="AZ215" s="68">
        <f ca="1">IF(E215-'Invoer gegevens'!$C$17-14.5&lt;0,0,E215-'Invoer gegevens'!$C$17-14.5)</f>
        <v>195.5</v>
      </c>
      <c r="BC215" s="71"/>
    </row>
    <row r="216" spans="1:55" customFormat="1" x14ac:dyDescent="0.25">
      <c r="B216" s="70">
        <f t="shared" si="40"/>
        <v>212</v>
      </c>
      <c r="C216" s="67">
        <f ca="1">IF(E216-'Invoer gegevens'!$C$17&lt;0,0,1)</f>
        <v>1</v>
      </c>
      <c r="D216" s="68">
        <f t="shared" si="41"/>
        <v>211.5</v>
      </c>
      <c r="E216" s="69">
        <f ca="1">IF('Invoer gegevens'!$C$16="","",E215+1)</f>
        <v>2230</v>
      </c>
      <c r="F216" s="82">
        <f ca="1">IF('Invoer gegevens'!$C$17=E216,'Invoer gegevens'!$C$10,IF(C216=1,H215,0))</f>
        <v>0</v>
      </c>
      <c r="G216" s="83">
        <f ca="1">IF(C216&gt;=1,F216*Reeksen!C216,0)</f>
        <v>0</v>
      </c>
      <c r="H216" s="84">
        <f t="shared" ca="1" si="34"/>
        <v>0</v>
      </c>
      <c r="I216" s="85">
        <f ca="1">IF('Invoer gegevens'!$C$17=E216,'Invoer gegevens'!$C$11,IF(C216=1,L215,0))</f>
        <v>0</v>
      </c>
      <c r="J216" s="86">
        <f ca="1">IF(C216&lt;1,0,IF(Reeksen!AD216&lt;=Reeksen!AE216,I216*Reeksen!C216,0))</f>
        <v>0</v>
      </c>
      <c r="K216" s="86">
        <f ca="1">IF(C216&lt;1,0,IF(Reeksen!AD216&gt;Reeksen!AE216,I216*Reeksen!C216,0))</f>
        <v>0</v>
      </c>
      <c r="L216" s="86">
        <f t="shared" ca="1" si="35"/>
        <v>0</v>
      </c>
      <c r="M216" s="85">
        <f ca="1">IF('Invoer gegevens'!$C$17=E216,'Invoer gegevens'!$C$10-'Invoer gegevens'!$C$11,IF(C216=1,P215,0))</f>
        <v>0</v>
      </c>
      <c r="N216" s="86">
        <f ca="1">IF(C216&lt;1,0,IF(Reeksen!AD216&lt;=Reeksen!AE216,M216*Reeksen!C216,0))</f>
        <v>0</v>
      </c>
      <c r="O216" s="86">
        <f ca="1">IF(C216&lt;1,0,IF(Reeksen!AD216&gt;Reeksen!AE216,M216*Reeksen!C216,0))</f>
        <v>0</v>
      </c>
      <c r="P216" s="86">
        <f t="shared" ca="1" si="36"/>
        <v>0</v>
      </c>
      <c r="Q216" s="82">
        <f ca="1">IF('Invoer gegevens'!$C$17=E216,I216,IF(C216=0,0,R215))</f>
        <v>0</v>
      </c>
      <c r="R216" s="84">
        <f t="shared" ca="1" si="33"/>
        <v>0</v>
      </c>
      <c r="S216" s="84">
        <f ca="1">IF('Invoer gegevens'!$C$17=E216,M216,IF(C216=0,0,T215))</f>
        <v>0</v>
      </c>
      <c r="T216" s="84">
        <f t="shared" ca="1" si="42"/>
        <v>0</v>
      </c>
      <c r="AI216" s="71">
        <f ca="1">IF(C216=1,((F216+H216)/2*Reeksen!AI216*12)+(('Invoer gegevens'!$C$10-(F216+H216)/2)*Reeksen!AD216*12),0)</f>
        <v>0</v>
      </c>
      <c r="AJ216" s="71">
        <f ca="1">-AI216*'Invoer gegevens'!$F$28</f>
        <v>0</v>
      </c>
      <c r="AK216" s="71">
        <f t="shared" ca="1" si="37"/>
        <v>0</v>
      </c>
      <c r="AL216" s="71">
        <f ca="1">IF(C216=1,(12*((F216+H216)/2)*Reeksen!AL216)+(12*('Invoer gegevens'!$C$10-(F216+H216)/2)*Reeksen!AM216),0)</f>
        <v>0</v>
      </c>
      <c r="AM216" s="71">
        <f ca="1">-AL216*'Invoer gegevens'!$F$31</f>
        <v>0</v>
      </c>
      <c r="AN216" s="71">
        <f t="shared" ca="1" si="38"/>
        <v>0</v>
      </c>
      <c r="AO216" s="71"/>
      <c r="AP216" s="71"/>
      <c r="AQ216" s="71">
        <f ca="1">-IF(C216=1,('Invoer gegevens'!$C$10*'Invoer gegevens'!$F$35)*Reeksen!J216,0)*2</f>
        <v>0</v>
      </c>
      <c r="AR216" s="71">
        <f ca="1">-IF(C216=1,(G216*'Invoer gegevens'!$F$36)*Reeksen!J216,0)</f>
        <v>0</v>
      </c>
      <c r="AS216" s="71">
        <f ca="1">-IF(C216=1,'Invoer gegevens'!$C$10*'Invoer gegevens'!$F$37*Reeksen!L216,0)</f>
        <v>0</v>
      </c>
      <c r="AT216" s="71">
        <f ca="1">-IF(C216=1,IF(E216='Invoer gegevens'!$C$17,'Invoer gegevens'!$C$11,Q216)*Reeksen!S216*'Invoer gegevens'!$C$18*Reeksen!P216,0)</f>
        <v>0</v>
      </c>
      <c r="AU216" s="71">
        <f ca="1">-IF(C216=1,'Invoer gegevens'!$C$10*'Invoer gegevens'!$F$38*Reeksen!H216,0)</f>
        <v>0</v>
      </c>
      <c r="AV216" s="71">
        <f t="shared" si="43"/>
        <v>0</v>
      </c>
      <c r="AW216" s="71">
        <f t="shared" ca="1" si="39"/>
        <v>0</v>
      </c>
      <c r="AX216" s="71">
        <f ca="1">IF(E216&lt;'Invoer gegevens'!$C$17+15,0,IF('RW - MW - DE - DE'!E216&gt;'Invoer gegevens'!$C$17+215,0,'RW - MW - DE - DE'!AW216))</f>
        <v>0</v>
      </c>
      <c r="AY216" s="71">
        <f ca="1">AX216/(1+'Invoer gegevens'!$F$13)^($AZ216-('Invoer gegevens'!$C$17-'Invoer gegevens'!$C$16))/(1+'Invoer gegevens'!$C$39)^('Invoer gegevens'!$C$17-'Invoer gegevens'!$C$16)</f>
        <v>0</v>
      </c>
      <c r="AZ216" s="68">
        <f ca="1">IF(E216-'Invoer gegevens'!$C$17-14.5&lt;0,0,E216-'Invoer gegevens'!$C$17-14.5)</f>
        <v>196.5</v>
      </c>
      <c r="BC216" s="71"/>
    </row>
    <row r="217" spans="1:55" customFormat="1" x14ac:dyDescent="0.25">
      <c r="B217" s="70">
        <f t="shared" si="40"/>
        <v>213</v>
      </c>
      <c r="C217" s="67">
        <f ca="1">IF(E217-'Invoer gegevens'!$C$17&lt;0,0,1)</f>
        <v>1</v>
      </c>
      <c r="D217" s="68">
        <f t="shared" si="41"/>
        <v>212.5</v>
      </c>
      <c r="E217" s="69">
        <f ca="1">IF('Invoer gegevens'!$C$16="","",E216+1)</f>
        <v>2231</v>
      </c>
      <c r="F217" s="82">
        <f ca="1">IF('Invoer gegevens'!$C$17=E217,'Invoer gegevens'!$C$10,IF(C217=1,H216,0))</f>
        <v>0</v>
      </c>
      <c r="G217" s="83">
        <f ca="1">IF(C217&gt;=1,F217*Reeksen!C217,0)</f>
        <v>0</v>
      </c>
      <c r="H217" s="84">
        <f t="shared" ca="1" si="34"/>
        <v>0</v>
      </c>
      <c r="I217" s="85">
        <f ca="1">IF('Invoer gegevens'!$C$17=E217,'Invoer gegevens'!$C$11,IF(C217=1,L216,0))</f>
        <v>0</v>
      </c>
      <c r="J217" s="86">
        <f ca="1">IF(C217&lt;1,0,IF(Reeksen!AD217&lt;=Reeksen!AE217,I217*Reeksen!C217,0))</f>
        <v>0</v>
      </c>
      <c r="K217" s="86">
        <f ca="1">IF(C217&lt;1,0,IF(Reeksen!AD217&gt;Reeksen!AE217,I217*Reeksen!C217,0))</f>
        <v>0</v>
      </c>
      <c r="L217" s="86">
        <f t="shared" ca="1" si="35"/>
        <v>0</v>
      </c>
      <c r="M217" s="85">
        <f ca="1">IF('Invoer gegevens'!$C$17=E217,'Invoer gegevens'!$C$10-'Invoer gegevens'!$C$11,IF(C217=1,P216,0))</f>
        <v>0</v>
      </c>
      <c r="N217" s="86">
        <f ca="1">IF(C217&lt;1,0,IF(Reeksen!AD217&lt;=Reeksen!AE217,M217*Reeksen!C217,0))</f>
        <v>0</v>
      </c>
      <c r="O217" s="86">
        <f ca="1">IF(C217&lt;1,0,IF(Reeksen!AD217&gt;Reeksen!AE217,M217*Reeksen!C217,0))</f>
        <v>0</v>
      </c>
      <c r="P217" s="86">
        <f t="shared" ca="1" si="36"/>
        <v>0</v>
      </c>
      <c r="Q217" s="82">
        <f ca="1">IF('Invoer gegevens'!$C$17=E217,I217,IF(C217=0,0,R216))</f>
        <v>0</v>
      </c>
      <c r="R217" s="84">
        <f t="shared" ca="1" si="33"/>
        <v>0</v>
      </c>
      <c r="S217" s="84">
        <f ca="1">IF('Invoer gegevens'!$C$17=E217,M217,IF(C217=0,0,T216))</f>
        <v>0</v>
      </c>
      <c r="T217" s="84">
        <f t="shared" ca="1" si="42"/>
        <v>0</v>
      </c>
      <c r="AI217" s="71">
        <f ca="1">IF(C217=1,((F217+H217)/2*Reeksen!AI217*12)+(('Invoer gegevens'!$C$10-(F217+H217)/2)*Reeksen!AD217*12),0)</f>
        <v>0</v>
      </c>
      <c r="AJ217" s="71">
        <f ca="1">-AI217*'Invoer gegevens'!$F$28</f>
        <v>0</v>
      </c>
      <c r="AK217" s="71">
        <f t="shared" ca="1" si="37"/>
        <v>0</v>
      </c>
      <c r="AL217" s="71">
        <f ca="1">IF(C217=1,(12*((F217+H217)/2)*Reeksen!AL217)+(12*('Invoer gegevens'!$C$10-(F217+H217)/2)*Reeksen!AM217),0)</f>
        <v>0</v>
      </c>
      <c r="AM217" s="71">
        <f ca="1">-AL217*'Invoer gegevens'!$F$31</f>
        <v>0</v>
      </c>
      <c r="AN217" s="71">
        <f t="shared" ca="1" si="38"/>
        <v>0</v>
      </c>
      <c r="AO217" s="71"/>
      <c r="AP217" s="71"/>
      <c r="AQ217" s="71">
        <f ca="1">-IF(C217=1,('Invoer gegevens'!$C$10*'Invoer gegevens'!$F$35)*Reeksen!J217,0)*2</f>
        <v>0</v>
      </c>
      <c r="AR217" s="71">
        <f ca="1">-IF(C217=1,(G217*'Invoer gegevens'!$F$36)*Reeksen!J217,0)</f>
        <v>0</v>
      </c>
      <c r="AS217" s="71">
        <f ca="1">-IF(C217=1,'Invoer gegevens'!$C$10*'Invoer gegevens'!$F$37*Reeksen!L217,0)</f>
        <v>0</v>
      </c>
      <c r="AT217" s="71">
        <f ca="1">-IF(C217=1,IF(E217='Invoer gegevens'!$C$17,'Invoer gegevens'!$C$11,Q217)*Reeksen!S217*'Invoer gegevens'!$C$18*Reeksen!P217,0)</f>
        <v>0</v>
      </c>
      <c r="AU217" s="71">
        <f ca="1">-IF(C217=1,'Invoer gegevens'!$C$10*'Invoer gegevens'!$F$38*Reeksen!H217,0)</f>
        <v>0</v>
      </c>
      <c r="AV217" s="71">
        <f t="shared" si="43"/>
        <v>0</v>
      </c>
      <c r="AW217" s="71">
        <f t="shared" ca="1" si="39"/>
        <v>0</v>
      </c>
      <c r="AX217" s="71">
        <f ca="1">IF(E217&lt;'Invoer gegevens'!$C$17+15,0,IF('RW - MW - DE - DE'!E217&gt;'Invoer gegevens'!$C$17+215,0,'RW - MW - DE - DE'!AW217))</f>
        <v>0</v>
      </c>
      <c r="AY217" s="71">
        <f ca="1">AX217/(1+'Invoer gegevens'!$F$13)^($AZ217-('Invoer gegevens'!$C$17-'Invoer gegevens'!$C$16))/(1+'Invoer gegevens'!$C$39)^('Invoer gegevens'!$C$17-'Invoer gegevens'!$C$16)</f>
        <v>0</v>
      </c>
      <c r="AZ217" s="68">
        <f ca="1">IF(E217-'Invoer gegevens'!$C$17-14.5&lt;0,0,E217-'Invoer gegevens'!$C$17-14.5)</f>
        <v>197.5</v>
      </c>
      <c r="BC217" s="71"/>
    </row>
    <row r="218" spans="1:55" customFormat="1" x14ac:dyDescent="0.25">
      <c r="B218" s="70">
        <f t="shared" si="40"/>
        <v>214</v>
      </c>
      <c r="C218" s="67">
        <f ca="1">IF(E218-'Invoer gegevens'!$C$17&lt;0,0,1)</f>
        <v>1</v>
      </c>
      <c r="D218" s="68">
        <f t="shared" si="41"/>
        <v>213.5</v>
      </c>
      <c r="E218" s="69">
        <f ca="1">IF('Invoer gegevens'!$C$16="","",E217+1)</f>
        <v>2232</v>
      </c>
      <c r="F218" s="82">
        <f ca="1">IF('Invoer gegevens'!$C$17=E218,'Invoer gegevens'!$C$10,IF(C218=1,H217,0))</f>
        <v>0</v>
      </c>
      <c r="G218" s="83">
        <f ca="1">IF(C218&gt;=1,F218*Reeksen!C218,0)</f>
        <v>0</v>
      </c>
      <c r="H218" s="84">
        <f t="shared" ca="1" si="34"/>
        <v>0</v>
      </c>
      <c r="I218" s="85">
        <f ca="1">IF('Invoer gegevens'!$C$17=E218,'Invoer gegevens'!$C$11,IF(C218=1,L217,0))</f>
        <v>0</v>
      </c>
      <c r="J218" s="86">
        <f ca="1">IF(C218&lt;1,0,IF(Reeksen!AD218&lt;=Reeksen!AE218,I218*Reeksen!C218,0))</f>
        <v>0</v>
      </c>
      <c r="K218" s="86">
        <f ca="1">IF(C218&lt;1,0,IF(Reeksen!AD218&gt;Reeksen!AE218,I218*Reeksen!C218,0))</f>
        <v>0</v>
      </c>
      <c r="L218" s="86">
        <f t="shared" ca="1" si="35"/>
        <v>0</v>
      </c>
      <c r="M218" s="85">
        <f ca="1">IF('Invoer gegevens'!$C$17=E218,'Invoer gegevens'!$C$10-'Invoer gegevens'!$C$11,IF(C218=1,P217,0))</f>
        <v>0</v>
      </c>
      <c r="N218" s="86">
        <f ca="1">IF(C218&lt;1,0,IF(Reeksen!AD218&lt;=Reeksen!AE218,M218*Reeksen!C218,0))</f>
        <v>0</v>
      </c>
      <c r="O218" s="86">
        <f ca="1">IF(C218&lt;1,0,IF(Reeksen!AD218&gt;Reeksen!AE218,M218*Reeksen!C218,0))</f>
        <v>0</v>
      </c>
      <c r="P218" s="86">
        <f t="shared" ca="1" si="36"/>
        <v>0</v>
      </c>
      <c r="Q218" s="82">
        <f ca="1">IF('Invoer gegevens'!$C$17=E218,I218,IF(C218=0,0,R217))</f>
        <v>0</v>
      </c>
      <c r="R218" s="84">
        <f t="shared" ca="1" si="33"/>
        <v>0</v>
      </c>
      <c r="S218" s="84">
        <f ca="1">IF('Invoer gegevens'!$C$17=E218,M218,IF(C218=0,0,T217))</f>
        <v>0</v>
      </c>
      <c r="T218" s="84">
        <f t="shared" ca="1" si="42"/>
        <v>0</v>
      </c>
      <c r="AI218" s="71">
        <f ca="1">IF(C218=1,((F218+H218)/2*Reeksen!AI218*12)+(('Invoer gegevens'!$C$10-(F218+H218)/2)*Reeksen!AD218*12),0)</f>
        <v>0</v>
      </c>
      <c r="AJ218" s="71">
        <f ca="1">-AI218*'Invoer gegevens'!$F$28</f>
        <v>0</v>
      </c>
      <c r="AK218" s="71">
        <f t="shared" ca="1" si="37"/>
        <v>0</v>
      </c>
      <c r="AL218" s="71">
        <f ca="1">IF(C218=1,(12*((F218+H218)/2)*Reeksen!AL218)+(12*('Invoer gegevens'!$C$10-(F218+H218)/2)*Reeksen!AM218),0)</f>
        <v>0</v>
      </c>
      <c r="AM218" s="71">
        <f ca="1">-AL218*'Invoer gegevens'!$F$31</f>
        <v>0</v>
      </c>
      <c r="AN218" s="71">
        <f t="shared" ca="1" si="38"/>
        <v>0</v>
      </c>
      <c r="AO218" s="71"/>
      <c r="AP218" s="71"/>
      <c r="AQ218" s="71">
        <f ca="1">-IF(C218=1,('Invoer gegevens'!$C$10*'Invoer gegevens'!$F$35)*Reeksen!J218,0)*2</f>
        <v>0</v>
      </c>
      <c r="AR218" s="71">
        <f ca="1">-IF(C218=1,(G218*'Invoer gegevens'!$F$36)*Reeksen!J218,0)</f>
        <v>0</v>
      </c>
      <c r="AS218" s="71">
        <f ca="1">-IF(C218=1,'Invoer gegevens'!$C$10*'Invoer gegevens'!$F$37*Reeksen!L218,0)</f>
        <v>0</v>
      </c>
      <c r="AT218" s="71">
        <f ca="1">-IF(C218=1,IF(E218='Invoer gegevens'!$C$17,'Invoer gegevens'!$C$11,Q218)*Reeksen!S218*'Invoer gegevens'!$C$18*Reeksen!P218,0)</f>
        <v>0</v>
      </c>
      <c r="AU218" s="71">
        <f ca="1">-IF(C218=1,'Invoer gegevens'!$C$10*'Invoer gegevens'!$F$38*Reeksen!H218,0)</f>
        <v>0</v>
      </c>
      <c r="AV218" s="71">
        <f t="shared" si="43"/>
        <v>0</v>
      </c>
      <c r="AW218" s="71">
        <f t="shared" ca="1" si="39"/>
        <v>0</v>
      </c>
      <c r="AX218" s="71">
        <f ca="1">IF(E218&lt;'Invoer gegevens'!$C$17+15,0,IF('RW - MW - DE - DE'!E218&gt;'Invoer gegevens'!$C$17+215,0,'RW - MW - DE - DE'!AW218))</f>
        <v>0</v>
      </c>
      <c r="AY218" s="71">
        <f ca="1">AX218/(1+'Invoer gegevens'!$F$13)^($AZ218-('Invoer gegevens'!$C$17-'Invoer gegevens'!$C$16))/(1+'Invoer gegevens'!$C$39)^('Invoer gegevens'!$C$17-'Invoer gegevens'!$C$16)</f>
        <v>0</v>
      </c>
      <c r="AZ218" s="68">
        <f ca="1">IF(E218-'Invoer gegevens'!$C$17-14.5&lt;0,0,E218-'Invoer gegevens'!$C$17-14.5)</f>
        <v>198.5</v>
      </c>
      <c r="BC218" s="71"/>
    </row>
    <row r="219" spans="1:55" customFormat="1" x14ac:dyDescent="0.25">
      <c r="B219" s="70">
        <f t="shared" si="40"/>
        <v>215</v>
      </c>
      <c r="C219" s="67">
        <f ca="1">IF(E219-'Invoer gegevens'!$C$17&lt;0,0,1)</f>
        <v>1</v>
      </c>
      <c r="D219" s="68">
        <f t="shared" si="41"/>
        <v>214.5</v>
      </c>
      <c r="E219" s="69">
        <f ca="1">IF('Invoer gegevens'!$C$16="","",E218+1)</f>
        <v>2233</v>
      </c>
      <c r="F219" s="82">
        <f ca="1">IF('Invoer gegevens'!$C$17=E219,'Invoer gegevens'!$C$10,IF(C219=1,H218,0))</f>
        <v>0</v>
      </c>
      <c r="G219" s="83">
        <f ca="1">IF(C219&gt;=1,F219*Reeksen!C219,0)</f>
        <v>0</v>
      </c>
      <c r="H219" s="84">
        <f t="shared" ca="1" si="34"/>
        <v>0</v>
      </c>
      <c r="I219" s="85">
        <f ca="1">IF('Invoer gegevens'!$C$17=E219,'Invoer gegevens'!$C$11,IF(C219=1,L218,0))</f>
        <v>0</v>
      </c>
      <c r="J219" s="86">
        <f ca="1">IF(C219&lt;1,0,IF(Reeksen!AD219&lt;=Reeksen!AE219,I219*Reeksen!C219,0))</f>
        <v>0</v>
      </c>
      <c r="K219" s="86">
        <f ca="1">IF(C219&lt;1,0,IF(Reeksen!AD219&gt;Reeksen!AE219,I219*Reeksen!C219,0))</f>
        <v>0</v>
      </c>
      <c r="L219" s="86">
        <f t="shared" ca="1" si="35"/>
        <v>0</v>
      </c>
      <c r="M219" s="85">
        <f ca="1">IF('Invoer gegevens'!$C$17=E219,'Invoer gegevens'!$C$10-'Invoer gegevens'!$C$11,IF(C219=1,P218,0))</f>
        <v>0</v>
      </c>
      <c r="N219" s="86">
        <f ca="1">IF(C219&lt;1,0,IF(Reeksen!AD219&lt;=Reeksen!AE219,M219*Reeksen!C219,0))</f>
        <v>0</v>
      </c>
      <c r="O219" s="86">
        <f ca="1">IF(C219&lt;1,0,IF(Reeksen!AD219&gt;Reeksen!AE219,M219*Reeksen!C219,0))</f>
        <v>0</v>
      </c>
      <c r="P219" s="86">
        <f t="shared" ca="1" si="36"/>
        <v>0</v>
      </c>
      <c r="Q219" s="82">
        <f ca="1">IF('Invoer gegevens'!$C$17=E219,I219,IF(C219=0,0,R218))</f>
        <v>0</v>
      </c>
      <c r="R219" s="84">
        <f t="shared" ca="1" si="33"/>
        <v>0</v>
      </c>
      <c r="S219" s="84">
        <f ca="1">IF('Invoer gegevens'!$C$17=E219,M219,IF(C219=0,0,T218))</f>
        <v>0</v>
      </c>
      <c r="T219" s="84">
        <f t="shared" ca="1" si="42"/>
        <v>0</v>
      </c>
      <c r="AI219" s="71">
        <f ca="1">IF(C219=1,((F219+H219)/2*Reeksen!AI219*12)+(('Invoer gegevens'!$C$10-(F219+H219)/2)*Reeksen!AD219*12),0)</f>
        <v>0</v>
      </c>
      <c r="AJ219" s="71">
        <f ca="1">-AI219*'Invoer gegevens'!$F$28</f>
        <v>0</v>
      </c>
      <c r="AK219" s="71">
        <f t="shared" ca="1" si="37"/>
        <v>0</v>
      </c>
      <c r="AL219" s="71">
        <f ca="1">IF(C219=1,(12*((F219+H219)/2)*Reeksen!AL219)+(12*('Invoer gegevens'!$C$10-(F219+H219)/2)*Reeksen!AM219),0)</f>
        <v>0</v>
      </c>
      <c r="AM219" s="71">
        <f ca="1">-AL219*'Invoer gegevens'!$F$31</f>
        <v>0</v>
      </c>
      <c r="AN219" s="71">
        <f t="shared" ca="1" si="38"/>
        <v>0</v>
      </c>
      <c r="AO219" s="71"/>
      <c r="AP219" s="71"/>
      <c r="AQ219" s="71">
        <f ca="1">-IF(C219=1,('Invoer gegevens'!$C$10*'Invoer gegevens'!$F$35)*Reeksen!J219,0)*2</f>
        <v>0</v>
      </c>
      <c r="AR219" s="71">
        <f ca="1">-IF(C219=1,(G219*'Invoer gegevens'!$F$36)*Reeksen!J219,0)</f>
        <v>0</v>
      </c>
      <c r="AS219" s="71">
        <f ca="1">-IF(C219=1,'Invoer gegevens'!$C$10*'Invoer gegevens'!$F$37*Reeksen!L219,0)</f>
        <v>0</v>
      </c>
      <c r="AT219" s="71">
        <f ca="1">-IF(C219=1,IF(E219='Invoer gegevens'!$C$17,'Invoer gegevens'!$C$11,Q219)*Reeksen!S219*'Invoer gegevens'!$C$18*Reeksen!P219,0)</f>
        <v>0</v>
      </c>
      <c r="AU219" s="71">
        <f ca="1">-IF(C219=1,'Invoer gegevens'!$C$10*'Invoer gegevens'!$F$38*Reeksen!H219,0)</f>
        <v>0</v>
      </c>
      <c r="AV219" s="71">
        <f t="shared" si="43"/>
        <v>0</v>
      </c>
      <c r="AW219" s="71">
        <f t="shared" ca="1" si="39"/>
        <v>0</v>
      </c>
      <c r="AX219" s="71">
        <f ca="1">IF(E219&lt;'Invoer gegevens'!$C$17+15,0,IF('RW - MW - DE - DE'!E219&gt;'Invoer gegevens'!$C$17+215,0,'RW - MW - DE - DE'!AW219))</f>
        <v>0</v>
      </c>
      <c r="AY219" s="71">
        <f ca="1">AX219/(1+'Invoer gegevens'!$F$13)^($AZ219-('Invoer gegevens'!$C$17-'Invoer gegevens'!$C$16))/(1+'Invoer gegevens'!$C$39)^('Invoer gegevens'!$C$17-'Invoer gegevens'!$C$16)</f>
        <v>0</v>
      </c>
      <c r="AZ219" s="68">
        <f ca="1">IF(E219-'Invoer gegevens'!$C$17-14.5&lt;0,0,E219-'Invoer gegevens'!$C$17-14.5)</f>
        <v>199.5</v>
      </c>
      <c r="BC219" s="71"/>
    </row>
    <row r="220" spans="1:55" customFormat="1" x14ac:dyDescent="0.25">
      <c r="A220" s="102"/>
      <c r="B220" s="70">
        <f t="shared" si="40"/>
        <v>216</v>
      </c>
      <c r="C220" s="67">
        <f ca="1">IF(E220-'Invoer gegevens'!$C$17&lt;0,0,1)</f>
        <v>1</v>
      </c>
      <c r="D220" s="68">
        <f t="shared" si="41"/>
        <v>215.5</v>
      </c>
      <c r="E220" s="69">
        <f ca="1">IF('Invoer gegevens'!$C$16="","",E219+1)</f>
        <v>2234</v>
      </c>
      <c r="F220" s="82">
        <f ca="1">IF('Invoer gegevens'!$C$17=E220,'Invoer gegevens'!$C$10,IF(C220=1,H219,0))</f>
        <v>0</v>
      </c>
      <c r="G220" s="83">
        <f ca="1">IF(C220&gt;=1,F220*Reeksen!C220,0)</f>
        <v>0</v>
      </c>
      <c r="H220" s="84">
        <f t="shared" ca="1" si="34"/>
        <v>0</v>
      </c>
      <c r="I220" s="85">
        <f ca="1">IF('Invoer gegevens'!$C$17=E220,'Invoer gegevens'!$C$11,IF(C220=1,L219,0))</f>
        <v>0</v>
      </c>
      <c r="J220" s="86">
        <f ca="1">IF(C220&lt;1,0,IF(Reeksen!AD220&lt;=Reeksen!AE220,I220*Reeksen!C220,0))</f>
        <v>0</v>
      </c>
      <c r="K220" s="86">
        <f ca="1">IF(C220&lt;1,0,IF(Reeksen!AD220&gt;Reeksen!AE220,I220*Reeksen!C220,0))</f>
        <v>0</v>
      </c>
      <c r="L220" s="86">
        <f t="shared" ca="1" si="35"/>
        <v>0</v>
      </c>
      <c r="M220" s="85">
        <f ca="1">IF('Invoer gegevens'!$C$17=E220,'Invoer gegevens'!$C$10-'Invoer gegevens'!$C$11,IF(C220=1,P219,0))</f>
        <v>0</v>
      </c>
      <c r="N220" s="86">
        <f ca="1">IF(C220&lt;1,0,IF(Reeksen!AD220&lt;=Reeksen!AE220,M220*Reeksen!C220,0))</f>
        <v>0</v>
      </c>
      <c r="O220" s="86">
        <f ca="1">IF(C220&lt;1,0,IF(Reeksen!AD220&gt;Reeksen!AE220,M220*Reeksen!C220,0))</f>
        <v>0</v>
      </c>
      <c r="P220" s="86">
        <f t="shared" ca="1" si="36"/>
        <v>0</v>
      </c>
      <c r="Q220" s="82">
        <f ca="1">IF('Invoer gegevens'!$C$17=E220,I220,IF(C220=0,0,R219))</f>
        <v>0</v>
      </c>
      <c r="R220" s="84">
        <f t="shared" ca="1" si="33"/>
        <v>0</v>
      </c>
      <c r="S220" s="84">
        <f ca="1">IF('Invoer gegevens'!$C$17=E220,M220,IF(C220=0,0,T219))</f>
        <v>0</v>
      </c>
      <c r="T220" s="84">
        <f t="shared" ca="1" si="42"/>
        <v>0</v>
      </c>
      <c r="AI220" s="71">
        <f ca="1">IF(C220=1,((F220+H220)/2*Reeksen!AI220*12)+(('Invoer gegevens'!$C$10-(F220+H220)/2)*Reeksen!AD220*12),0)</f>
        <v>0</v>
      </c>
      <c r="AJ220" s="71">
        <f ca="1">-AI220*'Invoer gegevens'!$F$28</f>
        <v>0</v>
      </c>
      <c r="AK220" s="71">
        <f t="shared" ca="1" si="37"/>
        <v>0</v>
      </c>
      <c r="AL220" s="71">
        <f ca="1">IF(C220=1,(12*((F220+H220)/2)*Reeksen!AL220)+(12*('Invoer gegevens'!$C$10-(F220+H220)/2)*Reeksen!AM220),0)</f>
        <v>0</v>
      </c>
      <c r="AM220" s="71">
        <f ca="1">-AL220*'Invoer gegevens'!$F$31</f>
        <v>0</v>
      </c>
      <c r="AN220" s="71">
        <f t="shared" ca="1" si="38"/>
        <v>0</v>
      </c>
      <c r="AO220" s="71"/>
      <c r="AP220" s="71"/>
      <c r="AQ220" s="71">
        <f ca="1">-IF(C220=1,('Invoer gegevens'!$C$10*'Invoer gegevens'!$F$35)*Reeksen!J220,0)*2</f>
        <v>0</v>
      </c>
      <c r="AR220" s="71">
        <f ca="1">-IF(C220=1,(G220*'Invoer gegevens'!$F$36)*Reeksen!J220,0)</f>
        <v>0</v>
      </c>
      <c r="AS220" s="71">
        <f ca="1">-IF(C220=1,'Invoer gegevens'!$C$10*'Invoer gegevens'!$F$37*Reeksen!L220,0)</f>
        <v>0</v>
      </c>
      <c r="AT220" s="71">
        <f ca="1">-IF(C220=1,IF(E220='Invoer gegevens'!$C$17,'Invoer gegevens'!$C$11,Q220)*Reeksen!S220*'Invoer gegevens'!$C$18*Reeksen!P220,0)</f>
        <v>0</v>
      </c>
      <c r="AU220" s="71">
        <f ca="1">-IF(C220=1,'Invoer gegevens'!$C$10*'Invoer gegevens'!$F$38*Reeksen!H220,0)</f>
        <v>0</v>
      </c>
      <c r="AV220" s="71">
        <f t="shared" si="43"/>
        <v>0</v>
      </c>
      <c r="AW220" s="71">
        <f t="shared" ca="1" si="39"/>
        <v>0</v>
      </c>
      <c r="AX220" s="71">
        <f ca="1">IF(E220&lt;'Invoer gegevens'!$C$17+15,0,IF('RW - MW - DE - DE'!E220&gt;'Invoer gegevens'!$C$17+215,0,'RW - MW - DE - DE'!AW220))</f>
        <v>0</v>
      </c>
      <c r="AY220" s="71">
        <f ca="1">AX220/(1+'Invoer gegevens'!$F$13)^($AZ220-('Invoer gegevens'!$C$17-'Invoer gegevens'!$C$16))/(1+'Invoer gegevens'!$C$39)^('Invoer gegevens'!$C$17-'Invoer gegevens'!$C$16)</f>
        <v>0</v>
      </c>
      <c r="AZ220" s="68">
        <f ca="1">IF(E220-'Invoer gegevens'!$C$17-14.5&lt;0,0,E220-'Invoer gegevens'!$C$17-14.5)</f>
        <v>200.5</v>
      </c>
      <c r="BC220" s="71"/>
    </row>
    <row r="221" spans="1:55" customFormat="1" x14ac:dyDescent="0.25">
      <c r="A221" s="102"/>
      <c r="B221" s="70">
        <f t="shared" si="40"/>
        <v>217</v>
      </c>
      <c r="C221" s="67">
        <f ca="1">IF(E221-'Invoer gegevens'!$C$17&lt;0,0,1)</f>
        <v>1</v>
      </c>
      <c r="D221" s="68">
        <f t="shared" si="41"/>
        <v>216.5</v>
      </c>
      <c r="E221" s="69">
        <f ca="1">IF('Invoer gegevens'!$C$16="","",E220+1)</f>
        <v>2235</v>
      </c>
      <c r="F221" s="82">
        <f ca="1">IF('Invoer gegevens'!$C$17=E221,'Invoer gegevens'!$C$10,IF(C221=1,H220,0))</f>
        <v>0</v>
      </c>
      <c r="G221" s="83">
        <f ca="1">IF(C221&gt;=1,F221*Reeksen!C221,0)</f>
        <v>0</v>
      </c>
      <c r="H221" s="84">
        <f t="shared" ca="1" si="34"/>
        <v>0</v>
      </c>
      <c r="I221" s="85">
        <f ca="1">IF('Invoer gegevens'!$C$17=E221,'Invoer gegevens'!$C$11,IF(C221=1,L220,0))</f>
        <v>0</v>
      </c>
      <c r="J221" s="86">
        <f ca="1">IF(C221&lt;1,0,IF(Reeksen!AD221&lt;=Reeksen!AE221,I221*Reeksen!C221,0))</f>
        <v>0</v>
      </c>
      <c r="K221" s="86">
        <f ca="1">IF(C221&lt;1,0,IF(Reeksen!AD221&gt;Reeksen!AE221,I221*Reeksen!C221,0))</f>
        <v>0</v>
      </c>
      <c r="L221" s="86">
        <f t="shared" ca="1" si="35"/>
        <v>0</v>
      </c>
      <c r="M221" s="85">
        <f ca="1">IF('Invoer gegevens'!$C$17=E221,'Invoer gegevens'!$C$10-'Invoer gegevens'!$C$11,IF(C221=1,P220,0))</f>
        <v>0</v>
      </c>
      <c r="N221" s="86">
        <f ca="1">IF(C221&lt;1,0,IF(Reeksen!AD221&lt;=Reeksen!AE221,M221*Reeksen!C221,0))</f>
        <v>0</v>
      </c>
      <c r="O221" s="86">
        <f ca="1">IF(C221&lt;1,0,IF(Reeksen!AD221&gt;Reeksen!AE221,M221*Reeksen!C221,0))</f>
        <v>0</v>
      </c>
      <c r="P221" s="86">
        <f t="shared" ca="1" si="36"/>
        <v>0</v>
      </c>
      <c r="Q221" s="82">
        <f ca="1">IF('Invoer gegevens'!$C$17=E221,I221,IF(C221=0,0,R220))</f>
        <v>0</v>
      </c>
      <c r="R221" s="84">
        <f t="shared" ca="1" si="33"/>
        <v>0</v>
      </c>
      <c r="S221" s="84">
        <f ca="1">IF('Invoer gegevens'!$C$17=E221,M221,IF(C221=0,0,T220))</f>
        <v>0</v>
      </c>
      <c r="T221" s="84">
        <f t="shared" ca="1" si="42"/>
        <v>0</v>
      </c>
      <c r="AI221" s="71">
        <f ca="1">IF(C221=1,((F221+H221)/2*Reeksen!AI221*12)+(('Invoer gegevens'!$C$10-(F221+H221)/2)*Reeksen!AD221*12),0)</f>
        <v>0</v>
      </c>
      <c r="AJ221" s="71">
        <f ca="1">-AI221*'Invoer gegevens'!$F$28</f>
        <v>0</v>
      </c>
      <c r="AK221" s="71">
        <f t="shared" ca="1" si="37"/>
        <v>0</v>
      </c>
      <c r="AL221" s="71">
        <f ca="1">IF(C221=1,(12*((F221+H221)/2)*Reeksen!AL221)+(12*('Invoer gegevens'!$C$10-(F221+H221)/2)*Reeksen!AM221),0)</f>
        <v>0</v>
      </c>
      <c r="AM221" s="71">
        <f ca="1">-AL221*'Invoer gegevens'!$F$31</f>
        <v>0</v>
      </c>
      <c r="AN221" s="71">
        <f t="shared" ca="1" si="38"/>
        <v>0</v>
      </c>
      <c r="AO221" s="71"/>
      <c r="AP221" s="71"/>
      <c r="AQ221" s="71">
        <f ca="1">-IF(C221=1,('Invoer gegevens'!$C$10*'Invoer gegevens'!$F$35)*Reeksen!J221,0)*2</f>
        <v>0</v>
      </c>
      <c r="AR221" s="71">
        <f ca="1">-IF(C221=1,(G221*'Invoer gegevens'!$F$36)*Reeksen!J221,0)</f>
        <v>0</v>
      </c>
      <c r="AS221" s="71">
        <f ca="1">-IF(C221=1,'Invoer gegevens'!$C$10*'Invoer gegevens'!$F$37*Reeksen!L221,0)</f>
        <v>0</v>
      </c>
      <c r="AT221" s="71">
        <f ca="1">-IF(C221=1,IF(E221='Invoer gegevens'!$C$17,'Invoer gegevens'!$C$11,Q221)*Reeksen!S221*'Invoer gegevens'!$C$18*Reeksen!P221,0)</f>
        <v>0</v>
      </c>
      <c r="AU221" s="71">
        <f ca="1">-IF(C221=1,'Invoer gegevens'!$C$10*'Invoer gegevens'!$F$38*Reeksen!H221,0)</f>
        <v>0</v>
      </c>
      <c r="AV221" s="71">
        <f t="shared" si="43"/>
        <v>0</v>
      </c>
      <c r="AW221" s="71">
        <f t="shared" ca="1" si="39"/>
        <v>0</v>
      </c>
      <c r="AX221" s="71">
        <f ca="1">IF(E221&lt;'Invoer gegevens'!$C$17+15,0,IF('RW - MW - DE - DE'!E221&gt;'Invoer gegevens'!$C$17+215,0,'RW - MW - DE - DE'!AW221))</f>
        <v>0</v>
      </c>
      <c r="AY221" s="71">
        <f ca="1">AX221/(1+'Invoer gegevens'!$F$13)^($AZ221-('Invoer gegevens'!$C$17-'Invoer gegevens'!$C$16))/(1+'Invoer gegevens'!$C$39)^('Invoer gegevens'!$C$17-'Invoer gegevens'!$C$16)</f>
        <v>0</v>
      </c>
      <c r="AZ221" s="68">
        <f ca="1">IF(E221-'Invoer gegevens'!$C$17-14.5&lt;0,0,E221-'Invoer gegevens'!$C$17-14.5)</f>
        <v>201.5</v>
      </c>
      <c r="BC221" s="71"/>
    </row>
    <row r="222" spans="1:55" customFormat="1" x14ac:dyDescent="0.25">
      <c r="A222" s="102"/>
      <c r="B222" s="70">
        <f t="shared" si="40"/>
        <v>218</v>
      </c>
      <c r="C222" s="67">
        <f ca="1">IF(E222-'Invoer gegevens'!$C$17&lt;0,0,1)</f>
        <v>1</v>
      </c>
      <c r="D222" s="68">
        <f t="shared" si="41"/>
        <v>217.5</v>
      </c>
      <c r="E222" s="69">
        <f ca="1">IF('Invoer gegevens'!$C$16="","",E221+1)</f>
        <v>2236</v>
      </c>
      <c r="F222" s="82">
        <f ca="1">IF('Invoer gegevens'!$C$17=E222,'Invoer gegevens'!$C$10,IF(C222=1,H221,0))</f>
        <v>0</v>
      </c>
      <c r="G222" s="83">
        <f ca="1">IF(C222&gt;=1,F222*Reeksen!C222,0)</f>
        <v>0</v>
      </c>
      <c r="H222" s="84">
        <f t="shared" ca="1" si="34"/>
        <v>0</v>
      </c>
      <c r="I222" s="85">
        <f ca="1">IF('Invoer gegevens'!$C$17=E222,'Invoer gegevens'!$C$11,IF(C222=1,L221,0))</f>
        <v>0</v>
      </c>
      <c r="J222" s="86">
        <f ca="1">IF(C222&lt;1,0,IF(Reeksen!AD222&lt;=Reeksen!AE222,I222*Reeksen!C222,0))</f>
        <v>0</v>
      </c>
      <c r="K222" s="86">
        <f ca="1">IF(C222&lt;1,0,IF(Reeksen!AD222&gt;Reeksen!AE222,I222*Reeksen!C222,0))</f>
        <v>0</v>
      </c>
      <c r="L222" s="86">
        <f t="shared" ca="1" si="35"/>
        <v>0</v>
      </c>
      <c r="M222" s="85">
        <f ca="1">IF('Invoer gegevens'!$C$17=E222,'Invoer gegevens'!$C$10-'Invoer gegevens'!$C$11,IF(C222=1,P221,0))</f>
        <v>0</v>
      </c>
      <c r="N222" s="86">
        <f ca="1">IF(C222&lt;1,0,IF(Reeksen!AD222&lt;=Reeksen!AE222,M222*Reeksen!C222,0))</f>
        <v>0</v>
      </c>
      <c r="O222" s="86">
        <f ca="1">IF(C222&lt;1,0,IF(Reeksen!AD222&gt;Reeksen!AE222,M222*Reeksen!C222,0))</f>
        <v>0</v>
      </c>
      <c r="P222" s="86">
        <f t="shared" ca="1" si="36"/>
        <v>0</v>
      </c>
      <c r="Q222" s="82">
        <f ca="1">IF('Invoer gegevens'!$C$17=E222,I222,IF(C222=0,0,R221))</f>
        <v>0</v>
      </c>
      <c r="R222" s="84">
        <f t="shared" ca="1" si="33"/>
        <v>0</v>
      </c>
      <c r="S222" s="84">
        <f ca="1">IF('Invoer gegevens'!$C$17=E222,M222,IF(C222=0,0,T221))</f>
        <v>0</v>
      </c>
      <c r="T222" s="84">
        <f t="shared" ca="1" si="42"/>
        <v>0</v>
      </c>
      <c r="AI222" s="71">
        <f ca="1">IF(C222=1,((F222+H222)/2*Reeksen!AI222*12)+(('Invoer gegevens'!$C$10-(F222+H222)/2)*Reeksen!AD222*12),0)</f>
        <v>0</v>
      </c>
      <c r="AJ222" s="71">
        <f ca="1">-AI222*'Invoer gegevens'!$F$28</f>
        <v>0</v>
      </c>
      <c r="AK222" s="71">
        <f t="shared" ca="1" si="37"/>
        <v>0</v>
      </c>
      <c r="AL222" s="71">
        <f ca="1">IF(C222=1,(12*((F222+H222)/2)*Reeksen!AL222)+(12*('Invoer gegevens'!$C$10-(F222+H222)/2)*Reeksen!AM222),0)</f>
        <v>0</v>
      </c>
      <c r="AM222" s="71">
        <f ca="1">-AL222*'Invoer gegevens'!$F$31</f>
        <v>0</v>
      </c>
      <c r="AN222" s="71">
        <f t="shared" ca="1" si="38"/>
        <v>0</v>
      </c>
      <c r="AO222" s="71"/>
      <c r="AP222" s="71"/>
      <c r="AQ222" s="71">
        <f ca="1">-IF(C222=1,('Invoer gegevens'!$C$10*'Invoer gegevens'!$F$35)*Reeksen!J222,0)*2</f>
        <v>0</v>
      </c>
      <c r="AR222" s="71">
        <f ca="1">-IF(C222=1,(G222*'Invoer gegevens'!$F$36)*Reeksen!J222,0)</f>
        <v>0</v>
      </c>
      <c r="AS222" s="71">
        <f ca="1">-IF(C222=1,'Invoer gegevens'!$C$10*'Invoer gegevens'!$F$37*Reeksen!L222,0)</f>
        <v>0</v>
      </c>
      <c r="AT222" s="71">
        <f ca="1">-IF(C222=1,IF(E222='Invoer gegevens'!$C$17,'Invoer gegevens'!$C$11,Q222)*Reeksen!S222*'Invoer gegevens'!$C$18*Reeksen!P222,0)</f>
        <v>0</v>
      </c>
      <c r="AU222" s="71">
        <f ca="1">-IF(C222=1,'Invoer gegevens'!$C$10*'Invoer gegevens'!$F$38*Reeksen!H222,0)</f>
        <v>0</v>
      </c>
      <c r="AV222" s="71">
        <f t="shared" si="43"/>
        <v>0</v>
      </c>
      <c r="AW222" s="71">
        <f t="shared" ca="1" si="39"/>
        <v>0</v>
      </c>
      <c r="AX222" s="71">
        <f ca="1">IF(E222&lt;'Invoer gegevens'!$C$17+15,0,IF('RW - MW - DE - DE'!E222&gt;'Invoer gegevens'!$C$17+215,0,'RW - MW - DE - DE'!AW222))</f>
        <v>0</v>
      </c>
      <c r="AY222" s="71">
        <f ca="1">AX222/(1+'Invoer gegevens'!$F$13)^($AZ222-('Invoer gegevens'!$C$17-'Invoer gegevens'!$C$16))/(1+'Invoer gegevens'!$C$39)^('Invoer gegevens'!$C$17-'Invoer gegevens'!$C$16)</f>
        <v>0</v>
      </c>
      <c r="AZ222" s="68">
        <f ca="1">IF(E222-'Invoer gegevens'!$C$17-14.5&lt;0,0,E222-'Invoer gegevens'!$C$17-14.5)</f>
        <v>202.5</v>
      </c>
      <c r="BC222" s="71"/>
    </row>
    <row r="223" spans="1:55" customFormat="1" x14ac:dyDescent="0.25">
      <c r="A223" s="102"/>
      <c r="B223" s="70">
        <f t="shared" si="40"/>
        <v>219</v>
      </c>
      <c r="C223" s="67">
        <f ca="1">IF(E223-'Invoer gegevens'!$C$17&lt;0,0,1)</f>
        <v>1</v>
      </c>
      <c r="D223" s="68">
        <f t="shared" si="41"/>
        <v>218.5</v>
      </c>
      <c r="E223" s="69">
        <f ca="1">IF('Invoer gegevens'!$C$16="","",E222+1)</f>
        <v>2237</v>
      </c>
      <c r="F223" s="82">
        <f ca="1">IF('Invoer gegevens'!$C$17=E223,'Invoer gegevens'!$C$10,IF(C223=1,H222,0))</f>
        <v>0</v>
      </c>
      <c r="G223" s="83">
        <f ca="1">IF(C223&gt;=1,F223*Reeksen!C223,0)</f>
        <v>0</v>
      </c>
      <c r="H223" s="84">
        <f t="shared" ca="1" si="34"/>
        <v>0</v>
      </c>
      <c r="I223" s="85">
        <f ca="1">IF('Invoer gegevens'!$C$17=E223,'Invoer gegevens'!$C$11,IF(C223=1,L222,0))</f>
        <v>0</v>
      </c>
      <c r="J223" s="86">
        <f ca="1">IF(C223&lt;1,0,IF(Reeksen!AD223&lt;=Reeksen!AE223,I223*Reeksen!C223,0))</f>
        <v>0</v>
      </c>
      <c r="K223" s="86">
        <f ca="1">IF(C223&lt;1,0,IF(Reeksen!AD223&gt;Reeksen!AE223,I223*Reeksen!C223,0))</f>
        <v>0</v>
      </c>
      <c r="L223" s="86">
        <f t="shared" ca="1" si="35"/>
        <v>0</v>
      </c>
      <c r="M223" s="85">
        <f ca="1">IF('Invoer gegevens'!$C$17=E223,'Invoer gegevens'!$C$10-'Invoer gegevens'!$C$11,IF(C223=1,P222,0))</f>
        <v>0</v>
      </c>
      <c r="N223" s="86">
        <f ca="1">IF(C223&lt;1,0,IF(Reeksen!AD223&lt;=Reeksen!AE223,M223*Reeksen!C223,0))</f>
        <v>0</v>
      </c>
      <c r="O223" s="86">
        <f ca="1">IF(C223&lt;1,0,IF(Reeksen!AD223&gt;Reeksen!AE223,M223*Reeksen!C223,0))</f>
        <v>0</v>
      </c>
      <c r="P223" s="86">
        <f t="shared" ca="1" si="36"/>
        <v>0</v>
      </c>
      <c r="Q223" s="82">
        <f ca="1">IF('Invoer gegevens'!$C$17=E223,I223,IF(C223=0,0,R222))</f>
        <v>0</v>
      </c>
      <c r="R223" s="84">
        <f t="shared" ca="1" si="33"/>
        <v>0</v>
      </c>
      <c r="S223" s="84">
        <f ca="1">IF('Invoer gegevens'!$C$17=E223,M223,IF(C223=0,0,T222))</f>
        <v>0</v>
      </c>
      <c r="T223" s="84">
        <f t="shared" ca="1" si="42"/>
        <v>0</v>
      </c>
      <c r="AI223" s="71">
        <f ca="1">IF(C223=1,((F223+H223)/2*Reeksen!AI223*12)+(('Invoer gegevens'!$C$10-(F223+H223)/2)*Reeksen!AD223*12),0)</f>
        <v>0</v>
      </c>
      <c r="AJ223" s="71">
        <f ca="1">-AI223*'Invoer gegevens'!$F$28</f>
        <v>0</v>
      </c>
      <c r="AK223" s="71">
        <f t="shared" ca="1" si="37"/>
        <v>0</v>
      </c>
      <c r="AL223" s="71">
        <f ca="1">IF(C223=1,(12*((F223+H223)/2)*Reeksen!AL223)+(12*('Invoer gegevens'!$C$10-(F223+H223)/2)*Reeksen!AM223),0)</f>
        <v>0</v>
      </c>
      <c r="AM223" s="71">
        <f ca="1">-AL223*'Invoer gegevens'!$F$31</f>
        <v>0</v>
      </c>
      <c r="AN223" s="71">
        <f t="shared" ca="1" si="38"/>
        <v>0</v>
      </c>
      <c r="AO223" s="71"/>
      <c r="AP223" s="71"/>
      <c r="AQ223" s="71">
        <f ca="1">-IF(C223=1,('Invoer gegevens'!$C$10*'Invoer gegevens'!$F$35)*Reeksen!J223,0)*2</f>
        <v>0</v>
      </c>
      <c r="AR223" s="71">
        <f ca="1">-IF(C223=1,(G223*'Invoer gegevens'!$F$36)*Reeksen!J223,0)</f>
        <v>0</v>
      </c>
      <c r="AS223" s="71">
        <f ca="1">-IF(C223=1,'Invoer gegevens'!$C$10*'Invoer gegevens'!$F$37*Reeksen!L223,0)</f>
        <v>0</v>
      </c>
      <c r="AT223" s="71">
        <f ca="1">-IF(C223=1,IF(E223='Invoer gegevens'!$C$17,'Invoer gegevens'!$C$11,Q223)*Reeksen!S223*'Invoer gegevens'!$C$18*Reeksen!P223,0)</f>
        <v>0</v>
      </c>
      <c r="AU223" s="71">
        <f ca="1">-IF(C223=1,'Invoer gegevens'!$C$10*'Invoer gegevens'!$F$38*Reeksen!H223,0)</f>
        <v>0</v>
      </c>
      <c r="AV223" s="71">
        <f t="shared" si="43"/>
        <v>0</v>
      </c>
      <c r="AW223" s="71">
        <f t="shared" ca="1" si="39"/>
        <v>0</v>
      </c>
      <c r="AX223" s="71">
        <f ca="1">IF(E223&lt;'Invoer gegevens'!$C$17+15,0,IF('RW - MW - DE - DE'!E223&gt;'Invoer gegevens'!$C$17+215,0,'RW - MW - DE - DE'!AW223))</f>
        <v>0</v>
      </c>
      <c r="AY223" s="71">
        <f ca="1">AX223/(1+'Invoer gegevens'!$F$13)^($AZ223-('Invoer gegevens'!$C$17-'Invoer gegevens'!$C$16))/(1+'Invoer gegevens'!$C$39)^('Invoer gegevens'!$C$17-'Invoer gegevens'!$C$16)</f>
        <v>0</v>
      </c>
      <c r="AZ223" s="68">
        <f ca="1">IF(E223-'Invoer gegevens'!$C$17-14.5&lt;0,0,E223-'Invoer gegevens'!$C$17-14.5)</f>
        <v>203.5</v>
      </c>
      <c r="BC223" s="71"/>
    </row>
    <row r="224" spans="1:55" customFormat="1" x14ac:dyDescent="0.25">
      <c r="A224" s="102"/>
      <c r="B224" s="70">
        <f t="shared" si="40"/>
        <v>220</v>
      </c>
      <c r="C224" s="67">
        <f ca="1">IF(E224-'Invoer gegevens'!$C$17&lt;0,0,1)</f>
        <v>1</v>
      </c>
      <c r="D224" s="68">
        <f t="shared" si="41"/>
        <v>219.5</v>
      </c>
      <c r="E224" s="69">
        <f ca="1">IF('Invoer gegevens'!$C$16="","",E223+1)</f>
        <v>2238</v>
      </c>
      <c r="F224" s="82">
        <f ca="1">IF('Invoer gegevens'!$C$17=E224,'Invoer gegevens'!$C$10,IF(C224=1,H223,0))</f>
        <v>0</v>
      </c>
      <c r="G224" s="83">
        <f ca="1">IF(C224&gt;=1,F224*Reeksen!C224,0)</f>
        <v>0</v>
      </c>
      <c r="H224" s="84">
        <f t="shared" ca="1" si="34"/>
        <v>0</v>
      </c>
      <c r="I224" s="85">
        <f ca="1">IF('Invoer gegevens'!$C$17=E224,'Invoer gegevens'!$C$11,IF(C224=1,L223,0))</f>
        <v>0</v>
      </c>
      <c r="J224" s="86">
        <f ca="1">IF(C224&lt;1,0,IF(Reeksen!AD224&lt;=Reeksen!AE224,I224*Reeksen!C224,0))</f>
        <v>0</v>
      </c>
      <c r="K224" s="86">
        <f ca="1">IF(C224&lt;1,0,IF(Reeksen!AD224&gt;Reeksen!AE224,I224*Reeksen!C224,0))</f>
        <v>0</v>
      </c>
      <c r="L224" s="86">
        <f t="shared" ca="1" si="35"/>
        <v>0</v>
      </c>
      <c r="M224" s="85">
        <f ca="1">IF('Invoer gegevens'!$C$17=E224,'Invoer gegevens'!$C$10-'Invoer gegevens'!$C$11,IF(C224=1,P223,0))</f>
        <v>0</v>
      </c>
      <c r="N224" s="86">
        <f ca="1">IF(C224&lt;1,0,IF(Reeksen!AD224&lt;=Reeksen!AE224,M224*Reeksen!C224,0))</f>
        <v>0</v>
      </c>
      <c r="O224" s="86">
        <f ca="1">IF(C224&lt;1,0,IF(Reeksen!AD224&gt;Reeksen!AE224,M224*Reeksen!C224,0))</f>
        <v>0</v>
      </c>
      <c r="P224" s="86">
        <f t="shared" ca="1" si="36"/>
        <v>0</v>
      </c>
      <c r="Q224" s="82">
        <f ca="1">IF('Invoer gegevens'!$C$17=E224,I224,IF(C224=0,0,R223))</f>
        <v>0</v>
      </c>
      <c r="R224" s="84">
        <f t="shared" ca="1" si="33"/>
        <v>0</v>
      </c>
      <c r="S224" s="84">
        <f ca="1">IF('Invoer gegevens'!$C$17=E224,M224,IF(C224=0,0,T223))</f>
        <v>0</v>
      </c>
      <c r="T224" s="84">
        <f t="shared" ca="1" si="42"/>
        <v>0</v>
      </c>
      <c r="AI224" s="71">
        <f ca="1">IF(C224=1,((F224+H224)/2*Reeksen!AI224*12)+(('Invoer gegevens'!$C$10-(F224+H224)/2)*Reeksen!AD224*12),0)</f>
        <v>0</v>
      </c>
      <c r="AJ224" s="71">
        <f ca="1">-AI224*'Invoer gegevens'!$F$28</f>
        <v>0</v>
      </c>
      <c r="AK224" s="71">
        <f t="shared" ca="1" si="37"/>
        <v>0</v>
      </c>
      <c r="AL224" s="71">
        <f ca="1">IF(C224=1,(12*((F224+H224)/2)*Reeksen!AL224)+(12*('Invoer gegevens'!$C$10-(F224+H224)/2)*Reeksen!AM224),0)</f>
        <v>0</v>
      </c>
      <c r="AM224" s="71">
        <f ca="1">-AL224*'Invoer gegevens'!$F$31</f>
        <v>0</v>
      </c>
      <c r="AN224" s="71">
        <f t="shared" ca="1" si="38"/>
        <v>0</v>
      </c>
      <c r="AO224" s="71"/>
      <c r="AP224" s="71"/>
      <c r="AQ224" s="71">
        <f ca="1">-IF(C224=1,('Invoer gegevens'!$C$10*'Invoer gegevens'!$F$35)*Reeksen!J224,0)*2</f>
        <v>0</v>
      </c>
      <c r="AR224" s="71">
        <f ca="1">-IF(C224=1,(G224*'Invoer gegevens'!$F$36)*Reeksen!J224,0)</f>
        <v>0</v>
      </c>
      <c r="AS224" s="71">
        <f ca="1">-IF(C224=1,'Invoer gegevens'!$C$10*'Invoer gegevens'!$F$37*Reeksen!L224,0)</f>
        <v>0</v>
      </c>
      <c r="AT224" s="71">
        <f ca="1">-IF(C224=1,IF(E224='Invoer gegevens'!$C$17,'Invoer gegevens'!$C$11,Q224)*Reeksen!S224*'Invoer gegevens'!$C$18*Reeksen!P224,0)</f>
        <v>0</v>
      </c>
      <c r="AU224" s="71">
        <f ca="1">-IF(C224=1,'Invoer gegevens'!$C$10*'Invoer gegevens'!$F$38*Reeksen!H224,0)</f>
        <v>0</v>
      </c>
      <c r="AV224" s="71">
        <f t="shared" si="43"/>
        <v>0</v>
      </c>
      <c r="AW224" s="71">
        <f t="shared" ca="1" si="39"/>
        <v>0</v>
      </c>
      <c r="AX224" s="71">
        <f ca="1">IF(E224&lt;'Invoer gegevens'!$C$17+15,0,IF('RW - MW - DE - DE'!E224&gt;'Invoer gegevens'!$C$17+215,0,'RW - MW - DE - DE'!AW224))</f>
        <v>0</v>
      </c>
      <c r="AY224" s="71">
        <f ca="1">AX224/(1+'Invoer gegevens'!$F$13)^($AZ224-('Invoer gegevens'!$C$17-'Invoer gegevens'!$C$16))/(1+'Invoer gegevens'!$C$39)^('Invoer gegevens'!$C$17-'Invoer gegevens'!$C$16)</f>
        <v>0</v>
      </c>
      <c r="AZ224" s="68">
        <f ca="1">IF(E224-'Invoer gegevens'!$C$17-14.5&lt;0,0,E224-'Invoer gegevens'!$C$17-14.5)</f>
        <v>204.5</v>
      </c>
      <c r="BC224" s="71"/>
    </row>
    <row r="225" spans="1:60" customFormat="1" x14ac:dyDescent="0.25">
      <c r="A225" s="102"/>
      <c r="B225" s="70">
        <f t="shared" si="40"/>
        <v>221</v>
      </c>
      <c r="C225" s="67">
        <f ca="1">IF(E225-'Invoer gegevens'!$C$17&lt;0,0,1)</f>
        <v>1</v>
      </c>
      <c r="D225" s="68">
        <f t="shared" si="41"/>
        <v>220.5</v>
      </c>
      <c r="E225" s="69">
        <f ca="1">IF('Invoer gegevens'!$C$16="","",E224+1)</f>
        <v>2239</v>
      </c>
      <c r="F225" s="82">
        <f ca="1">IF('Invoer gegevens'!$C$17=E225,'Invoer gegevens'!$C$10,IF(C225=1,H224,0))</f>
        <v>0</v>
      </c>
      <c r="G225" s="83">
        <f ca="1">IF(C225&gt;=1,F225*Reeksen!C225,0)</f>
        <v>0</v>
      </c>
      <c r="H225" s="84">
        <f t="shared" ca="1" si="34"/>
        <v>0</v>
      </c>
      <c r="I225" s="85">
        <f ca="1">IF('Invoer gegevens'!$C$17=E225,'Invoer gegevens'!$C$11,IF(C225=1,L224,0))</f>
        <v>0</v>
      </c>
      <c r="J225" s="86">
        <f ca="1">IF(C225&lt;1,0,IF(Reeksen!AD225&lt;=Reeksen!AE225,I225*Reeksen!C225,0))</f>
        <v>0</v>
      </c>
      <c r="K225" s="86">
        <f ca="1">IF(C225&lt;1,0,IF(Reeksen!AD225&gt;Reeksen!AE225,I225*Reeksen!C225,0))</f>
        <v>0</v>
      </c>
      <c r="L225" s="86">
        <f t="shared" ca="1" si="35"/>
        <v>0</v>
      </c>
      <c r="M225" s="85">
        <f ca="1">IF('Invoer gegevens'!$C$17=E225,'Invoer gegevens'!$C$10-'Invoer gegevens'!$C$11,IF(C225=1,P224,0))</f>
        <v>0</v>
      </c>
      <c r="N225" s="86">
        <f ca="1">IF(C225&lt;1,0,IF(Reeksen!AD225&lt;=Reeksen!AE225,M225*Reeksen!C225,0))</f>
        <v>0</v>
      </c>
      <c r="O225" s="86">
        <f ca="1">IF(C225&lt;1,0,IF(Reeksen!AD225&gt;Reeksen!AE225,M225*Reeksen!C225,0))</f>
        <v>0</v>
      </c>
      <c r="P225" s="86">
        <f t="shared" ca="1" si="36"/>
        <v>0</v>
      </c>
      <c r="Q225" s="82">
        <f ca="1">IF('Invoer gegevens'!$C$17=E225,I225,IF(C225=0,0,R224))</f>
        <v>0</v>
      </c>
      <c r="R225" s="84">
        <f t="shared" ca="1" si="33"/>
        <v>0</v>
      </c>
      <c r="S225" s="84">
        <f ca="1">IF('Invoer gegevens'!$C$17=E225,M225,IF(C225=0,0,T224))</f>
        <v>0</v>
      </c>
      <c r="T225" s="84">
        <f t="shared" ca="1" si="42"/>
        <v>0</v>
      </c>
      <c r="AI225" s="71">
        <f ca="1">IF(C225=1,((F225+H225)/2*Reeksen!AI225*12)+(('Invoer gegevens'!$C$10-(F225+H225)/2)*Reeksen!AD225*12),0)</f>
        <v>0</v>
      </c>
      <c r="AJ225" s="71">
        <f ca="1">-AI225*'Invoer gegevens'!$F$28</f>
        <v>0</v>
      </c>
      <c r="AK225" s="71">
        <f t="shared" ca="1" si="37"/>
        <v>0</v>
      </c>
      <c r="AL225" s="71">
        <f ca="1">IF(C225=1,(12*((F225+H225)/2)*Reeksen!AL225)+(12*('Invoer gegevens'!$C$10-(F225+H225)/2)*Reeksen!AM225),0)</f>
        <v>0</v>
      </c>
      <c r="AM225" s="71">
        <f ca="1">-AL225*'Invoer gegevens'!$F$31</f>
        <v>0</v>
      </c>
      <c r="AN225" s="71">
        <f t="shared" ca="1" si="38"/>
        <v>0</v>
      </c>
      <c r="AO225" s="71"/>
      <c r="AP225" s="71"/>
      <c r="AQ225" s="71">
        <f ca="1">-IF(C225=1,('Invoer gegevens'!$C$10*'Invoer gegevens'!$F$35)*Reeksen!J225,0)*2</f>
        <v>0</v>
      </c>
      <c r="AR225" s="71">
        <f ca="1">-IF(C225=1,(G225*'Invoer gegevens'!$F$36)*Reeksen!J225,0)</f>
        <v>0</v>
      </c>
      <c r="AS225" s="71">
        <f ca="1">-IF(C225=1,'Invoer gegevens'!$C$10*'Invoer gegevens'!$F$37*Reeksen!L225,0)</f>
        <v>0</v>
      </c>
      <c r="AT225" s="71">
        <f ca="1">-IF(C225=1,IF(E225='Invoer gegevens'!$C$17,'Invoer gegevens'!$C$11,Q225)*Reeksen!S225*'Invoer gegevens'!$C$18*Reeksen!P225,0)</f>
        <v>0</v>
      </c>
      <c r="AU225" s="71">
        <f ca="1">-IF(C225=1,'Invoer gegevens'!$C$10*'Invoer gegevens'!$F$38*Reeksen!H225,0)</f>
        <v>0</v>
      </c>
      <c r="AV225" s="71">
        <f t="shared" si="43"/>
        <v>0</v>
      </c>
      <c r="AW225" s="71">
        <f t="shared" ca="1" si="39"/>
        <v>0</v>
      </c>
      <c r="AX225" s="71">
        <f ca="1">IF(E225&lt;'Invoer gegevens'!$C$17+15,0,IF('RW - MW - DE - DE'!E225&gt;'Invoer gegevens'!$C$17+215,0,'RW - MW - DE - DE'!AW225))</f>
        <v>0</v>
      </c>
      <c r="AY225" s="71">
        <f ca="1">AX225/(1+'Invoer gegevens'!$F$13)^($AZ225-('Invoer gegevens'!$C$17-'Invoer gegevens'!$C$16))/(1+'Invoer gegevens'!$C$39)^('Invoer gegevens'!$C$17-'Invoer gegevens'!$C$16)</f>
        <v>0</v>
      </c>
      <c r="AZ225" s="68">
        <f ca="1">IF(E225-'Invoer gegevens'!$C$17-14.5&lt;0,0,E225-'Invoer gegevens'!$C$17-14.5)</f>
        <v>205.5</v>
      </c>
      <c r="BC225" s="71"/>
    </row>
    <row r="226" spans="1:60" customFormat="1" x14ac:dyDescent="0.25">
      <c r="A226" s="102"/>
      <c r="B226" s="70">
        <f t="shared" si="40"/>
        <v>222</v>
      </c>
      <c r="C226" s="67">
        <f ca="1">IF(E226-'Invoer gegevens'!$C$17&lt;0,0,1)</f>
        <v>1</v>
      </c>
      <c r="D226" s="68">
        <f t="shared" si="41"/>
        <v>221.5</v>
      </c>
      <c r="E226" s="69">
        <f ca="1">IF('Invoer gegevens'!$C$16="","",E225+1)</f>
        <v>2240</v>
      </c>
      <c r="F226" s="82">
        <f ca="1">IF('Invoer gegevens'!$C$17=E226,'Invoer gegevens'!$C$10,IF(C226=1,H225,0))</f>
        <v>0</v>
      </c>
      <c r="G226" s="83">
        <f ca="1">IF(C226&gt;=1,F226*Reeksen!C226,0)</f>
        <v>0</v>
      </c>
      <c r="H226" s="84">
        <f t="shared" ca="1" si="34"/>
        <v>0</v>
      </c>
      <c r="I226" s="85">
        <f ca="1">IF('Invoer gegevens'!$C$17=E226,'Invoer gegevens'!$C$11,IF(C226=1,L225,0))</f>
        <v>0</v>
      </c>
      <c r="J226" s="86">
        <f ca="1">IF(C226&lt;1,0,IF(Reeksen!AD226&lt;=Reeksen!AE226,I226*Reeksen!C226,0))</f>
        <v>0</v>
      </c>
      <c r="K226" s="86">
        <f ca="1">IF(C226&lt;1,0,IF(Reeksen!AD226&gt;Reeksen!AE226,I226*Reeksen!C226,0))</f>
        <v>0</v>
      </c>
      <c r="L226" s="86">
        <f t="shared" ca="1" si="35"/>
        <v>0</v>
      </c>
      <c r="M226" s="85">
        <f ca="1">IF('Invoer gegevens'!$C$17=E226,'Invoer gegevens'!$C$10-'Invoer gegevens'!$C$11,IF(C226=1,P225,0))</f>
        <v>0</v>
      </c>
      <c r="N226" s="86">
        <f ca="1">IF(C226&lt;1,0,IF(Reeksen!AD226&lt;=Reeksen!AE226,M226*Reeksen!C226,0))</f>
        <v>0</v>
      </c>
      <c r="O226" s="86">
        <f ca="1">IF(C226&lt;1,0,IF(Reeksen!AD226&gt;Reeksen!AE226,M226*Reeksen!C226,0))</f>
        <v>0</v>
      </c>
      <c r="P226" s="86">
        <f t="shared" ca="1" si="36"/>
        <v>0</v>
      </c>
      <c r="Q226" s="82">
        <f ca="1">IF('Invoer gegevens'!$C$17=E226,I226,IF(C226=0,0,R225))</f>
        <v>0</v>
      </c>
      <c r="R226" s="84">
        <f t="shared" ca="1" si="33"/>
        <v>0</v>
      </c>
      <c r="S226" s="84">
        <f ca="1">IF('Invoer gegevens'!$C$17=E226,M226,IF(C226=0,0,T225))</f>
        <v>0</v>
      </c>
      <c r="T226" s="84">
        <f t="shared" ca="1" si="42"/>
        <v>0</v>
      </c>
      <c r="AI226" s="71">
        <f ca="1">IF(C226=1,((F226+H226)/2*Reeksen!AI226*12)+(('Invoer gegevens'!$C$10-(F226+H226)/2)*Reeksen!AD226*12),0)</f>
        <v>0</v>
      </c>
      <c r="AJ226" s="71">
        <f ca="1">-AI226*'Invoer gegevens'!$F$28</f>
        <v>0</v>
      </c>
      <c r="AK226" s="71">
        <f t="shared" ca="1" si="37"/>
        <v>0</v>
      </c>
      <c r="AL226" s="71">
        <f ca="1">IF(C226=1,(12*((F226+H226)/2)*Reeksen!AL226)+(12*('Invoer gegevens'!$C$10-(F226+H226)/2)*Reeksen!AM226),0)</f>
        <v>0</v>
      </c>
      <c r="AM226" s="71">
        <f ca="1">-AL226*'Invoer gegevens'!$F$31</f>
        <v>0</v>
      </c>
      <c r="AN226" s="71">
        <f t="shared" ca="1" si="38"/>
        <v>0</v>
      </c>
      <c r="AO226" s="71"/>
      <c r="AP226" s="71"/>
      <c r="AQ226" s="71">
        <f ca="1">-IF(C226=1,('Invoer gegevens'!$C$10*'Invoer gegevens'!$F$35)*Reeksen!J226,0)*2</f>
        <v>0</v>
      </c>
      <c r="AR226" s="71">
        <f ca="1">-IF(C226=1,(G226*'Invoer gegevens'!$F$36)*Reeksen!J226,0)</f>
        <v>0</v>
      </c>
      <c r="AS226" s="71">
        <f ca="1">-IF(C226=1,'Invoer gegevens'!$C$10*'Invoer gegevens'!$F$37*Reeksen!L226,0)</f>
        <v>0</v>
      </c>
      <c r="AT226" s="71">
        <f ca="1">-IF(C226=1,IF(E226='Invoer gegevens'!$C$17,'Invoer gegevens'!$C$11,Q226)*Reeksen!S226*'Invoer gegevens'!$C$18*Reeksen!P226,0)</f>
        <v>0</v>
      </c>
      <c r="AU226" s="71">
        <f ca="1">-IF(C226=1,'Invoer gegevens'!$C$10*'Invoer gegevens'!$F$38*Reeksen!H226,0)</f>
        <v>0</v>
      </c>
      <c r="AV226" s="71">
        <f t="shared" si="43"/>
        <v>0</v>
      </c>
      <c r="AW226" s="71">
        <f t="shared" ca="1" si="39"/>
        <v>0</v>
      </c>
      <c r="AX226" s="71">
        <f ca="1">IF(E226&lt;'Invoer gegevens'!$C$17+15,0,IF('RW - MW - DE - DE'!E226&gt;'Invoer gegevens'!$C$17+215,0,'RW - MW - DE - DE'!AW226))</f>
        <v>0</v>
      </c>
      <c r="AY226" s="71">
        <f ca="1">AX226/(1+'Invoer gegevens'!$F$13)^($AZ226-('Invoer gegevens'!$C$17-'Invoer gegevens'!$C$16))/(1+'Invoer gegevens'!$C$39)^('Invoer gegevens'!$C$17-'Invoer gegevens'!$C$16)</f>
        <v>0</v>
      </c>
      <c r="AZ226" s="68">
        <f ca="1">IF(E226-'Invoer gegevens'!$C$17-14.5&lt;0,0,E226-'Invoer gegevens'!$C$17-14.5)</f>
        <v>206.5</v>
      </c>
      <c r="BC226" s="71"/>
    </row>
    <row r="227" spans="1:60" customFormat="1" x14ac:dyDescent="0.25">
      <c r="A227" s="102"/>
      <c r="B227" s="70">
        <f t="shared" si="40"/>
        <v>223</v>
      </c>
      <c r="C227" s="67">
        <f ca="1">IF(E227-'Invoer gegevens'!$C$17&lt;0,0,1)</f>
        <v>1</v>
      </c>
      <c r="D227" s="68">
        <f t="shared" si="41"/>
        <v>222.5</v>
      </c>
      <c r="E227" s="69">
        <f ca="1">IF('Invoer gegevens'!$C$16="","",E226+1)</f>
        <v>2241</v>
      </c>
      <c r="F227" s="82">
        <f ca="1">IF('Invoer gegevens'!$C$17=E227,'Invoer gegevens'!$C$10,IF(C227=1,H226,0))</f>
        <v>0</v>
      </c>
      <c r="G227" s="83">
        <f ca="1">IF(C227&gt;=1,F227*Reeksen!C227,0)</f>
        <v>0</v>
      </c>
      <c r="H227" s="84">
        <f t="shared" ca="1" si="34"/>
        <v>0</v>
      </c>
      <c r="I227" s="85">
        <f ca="1">IF('Invoer gegevens'!$C$17=E227,'Invoer gegevens'!$C$11,IF(C227=1,L226,0))</f>
        <v>0</v>
      </c>
      <c r="J227" s="86">
        <f ca="1">IF(C227&lt;1,0,IF(Reeksen!AD227&lt;=Reeksen!AE227,I227*Reeksen!C227,0))</f>
        <v>0</v>
      </c>
      <c r="K227" s="86">
        <f ca="1">IF(C227&lt;1,0,IF(Reeksen!AD227&gt;Reeksen!AE227,I227*Reeksen!C227,0))</f>
        <v>0</v>
      </c>
      <c r="L227" s="86">
        <f t="shared" ca="1" si="35"/>
        <v>0</v>
      </c>
      <c r="M227" s="85">
        <f ca="1">IF('Invoer gegevens'!$C$17=E227,'Invoer gegevens'!$C$10-'Invoer gegevens'!$C$11,IF(C227=1,P226,0))</f>
        <v>0</v>
      </c>
      <c r="N227" s="86">
        <f ca="1">IF(C227&lt;1,0,IF(Reeksen!AD227&lt;=Reeksen!AE227,M227*Reeksen!C227,0))</f>
        <v>0</v>
      </c>
      <c r="O227" s="86">
        <f ca="1">IF(C227&lt;1,0,IF(Reeksen!AD227&gt;Reeksen!AE227,M227*Reeksen!C227,0))</f>
        <v>0</v>
      </c>
      <c r="P227" s="86">
        <f t="shared" ca="1" si="36"/>
        <v>0</v>
      </c>
      <c r="Q227" s="82">
        <f ca="1">IF('Invoer gegevens'!$C$17=E227,I227,IF(C227=0,0,R226))</f>
        <v>0</v>
      </c>
      <c r="R227" s="84">
        <f t="shared" ca="1" si="33"/>
        <v>0</v>
      </c>
      <c r="S227" s="84">
        <f ca="1">IF('Invoer gegevens'!$C$17=E227,M227,IF(C227=0,0,T226))</f>
        <v>0</v>
      </c>
      <c r="T227" s="84">
        <f t="shared" ca="1" si="42"/>
        <v>0</v>
      </c>
      <c r="AI227" s="71">
        <f ca="1">IF(C227=1,((F227+H227)/2*Reeksen!AI227*12)+(('Invoer gegevens'!$C$10-(F227+H227)/2)*Reeksen!AD227*12),0)</f>
        <v>0</v>
      </c>
      <c r="AJ227" s="71">
        <f ca="1">-AI227*'Invoer gegevens'!$F$28</f>
        <v>0</v>
      </c>
      <c r="AK227" s="71">
        <f t="shared" ca="1" si="37"/>
        <v>0</v>
      </c>
      <c r="AL227" s="71">
        <f ca="1">IF(C227=1,(12*((F227+H227)/2)*Reeksen!AL227)+(12*('Invoer gegevens'!$C$10-(F227+H227)/2)*Reeksen!AM227),0)</f>
        <v>0</v>
      </c>
      <c r="AM227" s="71">
        <f ca="1">-AL227*'Invoer gegevens'!$F$31</f>
        <v>0</v>
      </c>
      <c r="AN227" s="71">
        <f t="shared" ca="1" si="38"/>
        <v>0</v>
      </c>
      <c r="AO227" s="71"/>
      <c r="AP227" s="71"/>
      <c r="AQ227" s="71">
        <f ca="1">-IF(C227=1,('Invoer gegevens'!$C$10*'Invoer gegevens'!$F$35)*Reeksen!J227,0)*2</f>
        <v>0</v>
      </c>
      <c r="AR227" s="71">
        <f ca="1">-IF(C227=1,(G227*'Invoer gegevens'!$F$36)*Reeksen!J227,0)</f>
        <v>0</v>
      </c>
      <c r="AS227" s="71">
        <f ca="1">-IF(C227=1,'Invoer gegevens'!$C$10*'Invoer gegevens'!$F$37*Reeksen!L227,0)</f>
        <v>0</v>
      </c>
      <c r="AT227" s="71">
        <f ca="1">-IF(C227=1,IF(E227='Invoer gegevens'!$C$17,'Invoer gegevens'!$C$11,Q227)*Reeksen!S227*'Invoer gegevens'!$C$18*Reeksen!P227,0)</f>
        <v>0</v>
      </c>
      <c r="AU227" s="71">
        <f ca="1">-IF(C227=1,'Invoer gegevens'!$C$10*'Invoer gegevens'!$F$38*Reeksen!H227,0)</f>
        <v>0</v>
      </c>
      <c r="AV227" s="71">
        <f t="shared" si="43"/>
        <v>0</v>
      </c>
      <c r="AW227" s="71">
        <f t="shared" ca="1" si="39"/>
        <v>0</v>
      </c>
      <c r="AX227" s="71">
        <f ca="1">IF(E227&lt;'Invoer gegevens'!$C$17+15,0,IF('RW - MW - DE - DE'!E227&gt;'Invoer gegevens'!$C$17+215,0,'RW - MW - DE - DE'!AW227))</f>
        <v>0</v>
      </c>
      <c r="AY227" s="71">
        <f ca="1">AX227/(1+'Invoer gegevens'!$F$13)^($AZ227-('Invoer gegevens'!$C$17-'Invoer gegevens'!$C$16))/(1+'Invoer gegevens'!$C$39)^('Invoer gegevens'!$C$17-'Invoer gegevens'!$C$16)</f>
        <v>0</v>
      </c>
      <c r="AZ227" s="68">
        <f ca="1">IF(E227-'Invoer gegevens'!$C$17-14.5&lt;0,0,E227-'Invoer gegevens'!$C$17-14.5)</f>
        <v>207.5</v>
      </c>
      <c r="BC227" s="71"/>
    </row>
    <row r="228" spans="1:60" customFormat="1" x14ac:dyDescent="0.25">
      <c r="A228" s="102"/>
      <c r="B228" s="70">
        <f t="shared" si="40"/>
        <v>224</v>
      </c>
      <c r="C228" s="67">
        <f ca="1">IF(E228-'Invoer gegevens'!$C$17&lt;0,0,1)</f>
        <v>1</v>
      </c>
      <c r="D228" s="68">
        <f t="shared" si="41"/>
        <v>223.5</v>
      </c>
      <c r="E228" s="69">
        <f ca="1">IF('Invoer gegevens'!$C$16="","",E227+1)</f>
        <v>2242</v>
      </c>
      <c r="F228" s="82">
        <f ca="1">IF('Invoer gegevens'!$C$17=E228,'Invoer gegevens'!$C$10,IF(C228=1,H227,0))</f>
        <v>0</v>
      </c>
      <c r="G228" s="83">
        <f ca="1">IF(C228&gt;=1,F228*Reeksen!C228,0)</f>
        <v>0</v>
      </c>
      <c r="H228" s="84">
        <f t="shared" ca="1" si="34"/>
        <v>0</v>
      </c>
      <c r="I228" s="85">
        <f ca="1">IF('Invoer gegevens'!$C$17=E228,'Invoer gegevens'!$C$11,IF(C228=1,L227,0))</f>
        <v>0</v>
      </c>
      <c r="J228" s="86">
        <f ca="1">IF(C228&lt;1,0,IF(Reeksen!AD228&lt;=Reeksen!AE228,I228*Reeksen!C228,0))</f>
        <v>0</v>
      </c>
      <c r="K228" s="86">
        <f ca="1">IF(C228&lt;1,0,IF(Reeksen!AD228&gt;Reeksen!AE228,I228*Reeksen!C228,0))</f>
        <v>0</v>
      </c>
      <c r="L228" s="86">
        <f t="shared" ca="1" si="35"/>
        <v>0</v>
      </c>
      <c r="M228" s="85">
        <f ca="1">IF('Invoer gegevens'!$C$17=E228,'Invoer gegevens'!$C$10-'Invoer gegevens'!$C$11,IF(C228=1,P227,0))</f>
        <v>0</v>
      </c>
      <c r="N228" s="86">
        <f ca="1">IF(C228&lt;1,0,IF(Reeksen!AD228&lt;=Reeksen!AE228,M228*Reeksen!C228,0))</f>
        <v>0</v>
      </c>
      <c r="O228" s="86">
        <f ca="1">IF(C228&lt;1,0,IF(Reeksen!AD228&gt;Reeksen!AE228,M228*Reeksen!C228,0))</f>
        <v>0</v>
      </c>
      <c r="P228" s="86">
        <f t="shared" ca="1" si="36"/>
        <v>0</v>
      </c>
      <c r="Q228" s="82">
        <f ca="1">IF('Invoer gegevens'!$C$17=E228,I228,IF(C228=0,0,R227))</f>
        <v>0</v>
      </c>
      <c r="R228" s="84">
        <f t="shared" ca="1" si="33"/>
        <v>0</v>
      </c>
      <c r="S228" s="84">
        <f ca="1">IF('Invoer gegevens'!$C$17=E228,M228,IF(C228=0,0,T227))</f>
        <v>0</v>
      </c>
      <c r="T228" s="84">
        <f t="shared" ca="1" si="42"/>
        <v>0</v>
      </c>
      <c r="AI228" s="71">
        <f ca="1">IF(C228=1,((F228+H228)/2*Reeksen!AI228*12)+(('Invoer gegevens'!$C$10-(F228+H228)/2)*Reeksen!AD228*12),0)</f>
        <v>0</v>
      </c>
      <c r="AJ228" s="71">
        <f ca="1">-AI228*'Invoer gegevens'!$F$28</f>
        <v>0</v>
      </c>
      <c r="AK228" s="71">
        <f t="shared" ca="1" si="37"/>
        <v>0</v>
      </c>
      <c r="AL228" s="71">
        <f ca="1">IF(C228=1,(12*((F228+H228)/2)*Reeksen!AL228)+(12*('Invoer gegevens'!$C$10-(F228+H228)/2)*Reeksen!AM228),0)</f>
        <v>0</v>
      </c>
      <c r="AM228" s="71">
        <f ca="1">-AL228*'Invoer gegevens'!$F$31</f>
        <v>0</v>
      </c>
      <c r="AN228" s="71">
        <f t="shared" ca="1" si="38"/>
        <v>0</v>
      </c>
      <c r="AO228" s="71"/>
      <c r="AP228" s="71"/>
      <c r="AQ228" s="71">
        <f ca="1">-IF(C228=1,('Invoer gegevens'!$C$10*'Invoer gegevens'!$F$35)*Reeksen!J228,0)*2</f>
        <v>0</v>
      </c>
      <c r="AR228" s="71">
        <f ca="1">-IF(C228=1,(G228*'Invoer gegevens'!$F$36)*Reeksen!J228,0)</f>
        <v>0</v>
      </c>
      <c r="AS228" s="71">
        <f ca="1">-IF(C228=1,'Invoer gegevens'!$C$10*'Invoer gegevens'!$F$37*Reeksen!L228,0)</f>
        <v>0</v>
      </c>
      <c r="AT228" s="71">
        <f ca="1">-IF(C228=1,IF(E228='Invoer gegevens'!$C$17,'Invoer gegevens'!$C$11,Q228)*Reeksen!S228*'Invoer gegevens'!$C$18*Reeksen!P228,0)</f>
        <v>0</v>
      </c>
      <c r="AU228" s="71">
        <f ca="1">-IF(C228=1,'Invoer gegevens'!$C$10*'Invoer gegevens'!$F$38*Reeksen!H228,0)</f>
        <v>0</v>
      </c>
      <c r="AV228" s="71">
        <f t="shared" si="43"/>
        <v>0</v>
      </c>
      <c r="AW228" s="71">
        <f t="shared" ca="1" si="39"/>
        <v>0</v>
      </c>
      <c r="AX228" s="71">
        <f ca="1">IF(E228&lt;'Invoer gegevens'!$C$17+15,0,IF('RW - MW - DE - DE'!E228&gt;'Invoer gegevens'!$C$17+215,0,'RW - MW - DE - DE'!AW228))</f>
        <v>0</v>
      </c>
      <c r="AY228" s="71">
        <f ca="1">AX228/(1+'Invoer gegevens'!$F$13)^($AZ228-('Invoer gegevens'!$C$17-'Invoer gegevens'!$C$16))/(1+'Invoer gegevens'!$C$39)^('Invoer gegevens'!$C$17-'Invoer gegevens'!$C$16)</f>
        <v>0</v>
      </c>
      <c r="AZ228" s="68">
        <f ca="1">IF(E228-'Invoer gegevens'!$C$17-14.5&lt;0,0,E228-'Invoer gegevens'!$C$17-14.5)</f>
        <v>208.5</v>
      </c>
      <c r="BC228" s="71"/>
    </row>
    <row r="229" spans="1:60" customFormat="1" x14ac:dyDescent="0.25">
      <c r="A229" s="102"/>
      <c r="B229" s="70">
        <f t="shared" si="40"/>
        <v>225</v>
      </c>
      <c r="C229" s="67">
        <f ca="1">IF(E229-'Invoer gegevens'!$C$17&lt;0,0,1)</f>
        <v>1</v>
      </c>
      <c r="D229" s="68">
        <f t="shared" si="41"/>
        <v>224.5</v>
      </c>
      <c r="E229" s="69">
        <f ca="1">IF('Invoer gegevens'!$C$16="","",E228+1)</f>
        <v>2243</v>
      </c>
      <c r="F229" s="82">
        <f ca="1">IF('Invoer gegevens'!$C$17=E229,'Invoer gegevens'!$C$10,IF(C229=1,H228,0))</f>
        <v>0</v>
      </c>
      <c r="G229" s="83">
        <f ca="1">IF(C229&gt;=1,F229*Reeksen!C229,0)</f>
        <v>0</v>
      </c>
      <c r="H229" s="84">
        <f t="shared" ca="1" si="34"/>
        <v>0</v>
      </c>
      <c r="I229" s="85">
        <f ca="1">IF('Invoer gegevens'!$C$17=E229,'Invoer gegevens'!$C$11,IF(C229=1,L228,0))</f>
        <v>0</v>
      </c>
      <c r="J229" s="86">
        <f ca="1">IF(C229&lt;1,0,IF(Reeksen!AD229&lt;=Reeksen!AE229,I229*Reeksen!C229,0))</f>
        <v>0</v>
      </c>
      <c r="K229" s="86">
        <f ca="1">IF(C229&lt;1,0,IF(Reeksen!AD229&gt;Reeksen!AE229,I229*Reeksen!C229,0))</f>
        <v>0</v>
      </c>
      <c r="L229" s="86">
        <f t="shared" ca="1" si="35"/>
        <v>0</v>
      </c>
      <c r="M229" s="85">
        <f ca="1">IF('Invoer gegevens'!$C$17=E229,'Invoer gegevens'!$C$10-'Invoer gegevens'!$C$11,IF(C229=1,P228,0))</f>
        <v>0</v>
      </c>
      <c r="N229" s="86">
        <f ca="1">IF(C229&lt;1,0,IF(Reeksen!AD229&lt;=Reeksen!AE229,M229*Reeksen!C229,0))</f>
        <v>0</v>
      </c>
      <c r="O229" s="86">
        <f ca="1">IF(C229&lt;1,0,IF(Reeksen!AD229&gt;Reeksen!AE229,M229*Reeksen!C229,0))</f>
        <v>0</v>
      </c>
      <c r="P229" s="86">
        <f t="shared" ca="1" si="36"/>
        <v>0</v>
      </c>
      <c r="Q229" s="82">
        <f ca="1">IF('Invoer gegevens'!$C$17=E229,I229,IF(C229=0,0,R228))</f>
        <v>0</v>
      </c>
      <c r="R229" s="84">
        <f t="shared" ca="1" si="33"/>
        <v>0</v>
      </c>
      <c r="S229" s="84">
        <f ca="1">IF('Invoer gegevens'!$C$17=E229,M229,IF(C229=0,0,T228))</f>
        <v>0</v>
      </c>
      <c r="T229" s="84">
        <f t="shared" ca="1" si="42"/>
        <v>0</v>
      </c>
      <c r="AI229" s="71">
        <f ca="1">IF(C229=1,((F229+H229)/2*Reeksen!AI229*12)+(('Invoer gegevens'!$C$10-(F229+H229)/2)*Reeksen!AD229*12),0)</f>
        <v>0</v>
      </c>
      <c r="AJ229" s="71">
        <f ca="1">-AI229*'Invoer gegevens'!$F$28</f>
        <v>0</v>
      </c>
      <c r="AK229" s="71">
        <f t="shared" ca="1" si="37"/>
        <v>0</v>
      </c>
      <c r="AL229" s="71">
        <f ca="1">IF(C229=1,(12*((F229+H229)/2)*Reeksen!AL229)+(12*('Invoer gegevens'!$C$10-(F229+H229)/2)*Reeksen!AM229),0)</f>
        <v>0</v>
      </c>
      <c r="AM229" s="71">
        <f ca="1">-AL229*'Invoer gegevens'!$F$31</f>
        <v>0</v>
      </c>
      <c r="AN229" s="71">
        <f t="shared" ca="1" si="38"/>
        <v>0</v>
      </c>
      <c r="AO229" s="71"/>
      <c r="AP229" s="71"/>
      <c r="AQ229" s="71">
        <f ca="1">-IF(C229=1,('Invoer gegevens'!$C$10*'Invoer gegevens'!$F$35)*Reeksen!J229,0)*2</f>
        <v>0</v>
      </c>
      <c r="AR229" s="71">
        <f ca="1">-IF(C229=1,(G229*'Invoer gegevens'!$F$36)*Reeksen!J229,0)</f>
        <v>0</v>
      </c>
      <c r="AS229" s="71">
        <f ca="1">-IF(C229=1,'Invoer gegevens'!$C$10*'Invoer gegevens'!$F$37*Reeksen!L229,0)</f>
        <v>0</v>
      </c>
      <c r="AT229" s="71">
        <f ca="1">-IF(C229=1,IF(E229='Invoer gegevens'!$C$17,'Invoer gegevens'!$C$11,Q229)*Reeksen!S229*'Invoer gegevens'!$C$18*Reeksen!P229,0)</f>
        <v>0</v>
      </c>
      <c r="AU229" s="71">
        <f ca="1">-IF(C229=1,'Invoer gegevens'!$C$10*'Invoer gegevens'!$F$38*Reeksen!H229,0)</f>
        <v>0</v>
      </c>
      <c r="AV229" s="71">
        <f t="shared" si="43"/>
        <v>0</v>
      </c>
      <c r="AW229" s="71">
        <f t="shared" ca="1" si="39"/>
        <v>0</v>
      </c>
      <c r="AX229" s="71">
        <f ca="1">IF(E229&lt;'Invoer gegevens'!$C$17+15,0,IF('RW - MW - DE - DE'!E229&gt;'Invoer gegevens'!$C$17+215,0,'RW - MW - DE - DE'!AW229))</f>
        <v>0</v>
      </c>
      <c r="AY229" s="71">
        <f ca="1">AX229/(1+'Invoer gegevens'!$F$13)^($AZ229-('Invoer gegevens'!$C$17-'Invoer gegevens'!$C$16))/(1+'Invoer gegevens'!$C$39)^('Invoer gegevens'!$C$17-'Invoer gegevens'!$C$16)</f>
        <v>0</v>
      </c>
      <c r="AZ229" s="68">
        <f ca="1">IF(E229-'Invoer gegevens'!$C$17-14.5&lt;0,0,E229-'Invoer gegevens'!$C$17-14.5)</f>
        <v>209.5</v>
      </c>
      <c r="BC229" s="71"/>
    </row>
    <row r="230" spans="1:60" customFormat="1" x14ac:dyDescent="0.25">
      <c r="A230" s="102"/>
      <c r="B230" s="70">
        <f t="shared" si="40"/>
        <v>226</v>
      </c>
      <c r="C230" s="67">
        <f ca="1">IF(E230-'Invoer gegevens'!$C$17&lt;0,0,1)</f>
        <v>1</v>
      </c>
      <c r="D230" s="68">
        <f t="shared" si="41"/>
        <v>225.5</v>
      </c>
      <c r="E230" s="69">
        <f ca="1">IF('Invoer gegevens'!$C$16="","",E229+1)</f>
        <v>2244</v>
      </c>
      <c r="F230" s="82">
        <f ca="1">IF('Invoer gegevens'!$C$17=E230,'Invoer gegevens'!$C$10,IF(C230=1,H229,0))</f>
        <v>0</v>
      </c>
      <c r="G230" s="83">
        <f ca="1">IF(C230&gt;=1,F230*Reeksen!C230,0)</f>
        <v>0</v>
      </c>
      <c r="H230" s="84">
        <f t="shared" ca="1" si="34"/>
        <v>0</v>
      </c>
      <c r="I230" s="85">
        <f ca="1">IF('Invoer gegevens'!$C$17=E230,'Invoer gegevens'!$C$11,IF(C230=1,L229,0))</f>
        <v>0</v>
      </c>
      <c r="J230" s="86">
        <f ca="1">IF(C230&lt;1,0,IF(Reeksen!AD230&lt;=Reeksen!AE230,I230*Reeksen!C230,0))</f>
        <v>0</v>
      </c>
      <c r="K230" s="86">
        <f ca="1">IF(C230&lt;1,0,IF(Reeksen!AD230&gt;Reeksen!AE230,I230*Reeksen!C230,0))</f>
        <v>0</v>
      </c>
      <c r="L230" s="86">
        <f t="shared" ca="1" si="35"/>
        <v>0</v>
      </c>
      <c r="M230" s="85">
        <f ca="1">IF('Invoer gegevens'!$C$17=E230,'Invoer gegevens'!$C$10-'Invoer gegevens'!$C$11,IF(C230=1,P229,0))</f>
        <v>0</v>
      </c>
      <c r="N230" s="86">
        <f ca="1">IF(C230&lt;1,0,IF(Reeksen!AD230&lt;=Reeksen!AE230,M230*Reeksen!C230,0))</f>
        <v>0</v>
      </c>
      <c r="O230" s="86">
        <f ca="1">IF(C230&lt;1,0,IF(Reeksen!AD230&gt;Reeksen!AE230,M230*Reeksen!C230,0))</f>
        <v>0</v>
      </c>
      <c r="P230" s="86">
        <f t="shared" ca="1" si="36"/>
        <v>0</v>
      </c>
      <c r="Q230" s="82">
        <f ca="1">IF('Invoer gegevens'!$C$17=E230,I230,IF(C230=0,0,R229))</f>
        <v>0</v>
      </c>
      <c r="R230" s="84">
        <f t="shared" ca="1" si="33"/>
        <v>0</v>
      </c>
      <c r="S230" s="84">
        <f ca="1">IF('Invoer gegevens'!$C$17=E230,M230,IF(C230=0,0,T229))</f>
        <v>0</v>
      </c>
      <c r="T230" s="84">
        <f t="shared" ca="1" si="42"/>
        <v>0</v>
      </c>
      <c r="AI230" s="71">
        <f ca="1">IF(C230=1,((F230+H230)/2*Reeksen!AI230*12)+(('Invoer gegevens'!$C$10-(F230+H230)/2)*Reeksen!AD230*12),0)</f>
        <v>0</v>
      </c>
      <c r="AJ230" s="71">
        <f ca="1">-AI230*'Invoer gegevens'!$F$28</f>
        <v>0</v>
      </c>
      <c r="AK230" s="71">
        <f t="shared" ca="1" si="37"/>
        <v>0</v>
      </c>
      <c r="AL230" s="71">
        <f ca="1">IF(C230=1,(12*((F230+H230)/2)*Reeksen!AL230)+(12*('Invoer gegevens'!$C$10-(F230+H230)/2)*Reeksen!AM230),0)</f>
        <v>0</v>
      </c>
      <c r="AM230" s="71">
        <f ca="1">-AL230*'Invoer gegevens'!$F$31</f>
        <v>0</v>
      </c>
      <c r="AN230" s="71">
        <f t="shared" ca="1" si="38"/>
        <v>0</v>
      </c>
      <c r="AO230" s="71"/>
      <c r="AP230" s="71"/>
      <c r="AQ230" s="71">
        <f ca="1">-IF(C230=1,('Invoer gegevens'!$C$10*'Invoer gegevens'!$F$35)*Reeksen!J230,0)*2</f>
        <v>0</v>
      </c>
      <c r="AR230" s="71">
        <f ca="1">-IF(C230=1,(G230*'Invoer gegevens'!$F$36)*Reeksen!J230,0)</f>
        <v>0</v>
      </c>
      <c r="AS230" s="71">
        <f ca="1">-IF(C230=1,'Invoer gegevens'!$C$10*'Invoer gegevens'!$F$37*Reeksen!L230,0)</f>
        <v>0</v>
      </c>
      <c r="AT230" s="71">
        <f ca="1">-IF(C230=1,IF(E230='Invoer gegevens'!$C$17,'Invoer gegevens'!$C$11,Q230)*Reeksen!S230*'Invoer gegevens'!$C$18*Reeksen!P230,0)</f>
        <v>0</v>
      </c>
      <c r="AU230" s="71">
        <f ca="1">-IF(C230=1,'Invoer gegevens'!$C$10*'Invoer gegevens'!$F$38*Reeksen!H230,0)</f>
        <v>0</v>
      </c>
      <c r="AV230" s="71">
        <f t="shared" si="43"/>
        <v>0</v>
      </c>
      <c r="AW230" s="71">
        <f t="shared" ca="1" si="39"/>
        <v>0</v>
      </c>
      <c r="AX230" s="71">
        <f ca="1">IF(E230&lt;'Invoer gegevens'!$C$17+15,0,IF('RW - MW - DE - DE'!E230&gt;'Invoer gegevens'!$C$17+215,0,'RW - MW - DE - DE'!AW230))</f>
        <v>0</v>
      </c>
      <c r="AY230" s="71">
        <f ca="1">AX230/(1+'Invoer gegevens'!$F$13)^($AZ230-('Invoer gegevens'!$C$17-'Invoer gegevens'!$C$16))/(1+'Invoer gegevens'!$C$39)^('Invoer gegevens'!$C$17-'Invoer gegevens'!$C$16)</f>
        <v>0</v>
      </c>
      <c r="AZ230" s="68">
        <f ca="1">IF(E230-'Invoer gegevens'!$C$17-14.5&lt;0,0,E230-'Invoer gegevens'!$C$17-14.5)</f>
        <v>210.5</v>
      </c>
      <c r="BC230" s="71"/>
    </row>
    <row r="231" spans="1:60" customFormat="1" x14ac:dyDescent="0.25">
      <c r="A231" s="102"/>
      <c r="B231" s="70">
        <f t="shared" si="40"/>
        <v>227</v>
      </c>
      <c r="C231" s="67">
        <f ca="1">IF(E231-'Invoer gegevens'!$C$17&lt;0,0,1)</f>
        <v>1</v>
      </c>
      <c r="D231" s="68">
        <f t="shared" si="41"/>
        <v>226.5</v>
      </c>
      <c r="E231" s="69">
        <f ca="1">IF('Invoer gegevens'!$C$16="","",E230+1)</f>
        <v>2245</v>
      </c>
      <c r="F231" s="82">
        <f ca="1">IF('Invoer gegevens'!$C$17=E231,'Invoer gegevens'!$C$10,IF(C231=1,H230,0))</f>
        <v>0</v>
      </c>
      <c r="G231" s="83">
        <f ca="1">IF(C231&gt;=1,F231*Reeksen!C231,0)</f>
        <v>0</v>
      </c>
      <c r="H231" s="84">
        <f t="shared" ca="1" si="34"/>
        <v>0</v>
      </c>
      <c r="I231" s="85">
        <f ca="1">IF('Invoer gegevens'!$C$17=E231,'Invoer gegevens'!$C$11,IF(C231=1,L230,0))</f>
        <v>0</v>
      </c>
      <c r="J231" s="86">
        <f ca="1">IF(C231&lt;1,0,IF(Reeksen!AD231&lt;=Reeksen!AE231,I231*Reeksen!C231,0))</f>
        <v>0</v>
      </c>
      <c r="K231" s="86">
        <f ca="1">IF(C231&lt;1,0,IF(Reeksen!AD231&gt;Reeksen!AE231,I231*Reeksen!C231,0))</f>
        <v>0</v>
      </c>
      <c r="L231" s="86">
        <f t="shared" ca="1" si="35"/>
        <v>0</v>
      </c>
      <c r="M231" s="85">
        <f ca="1">IF('Invoer gegevens'!$C$17=E231,'Invoer gegevens'!$C$10-'Invoer gegevens'!$C$11,IF(C231=1,P230,0))</f>
        <v>0</v>
      </c>
      <c r="N231" s="86">
        <f ca="1">IF(C231&lt;1,0,IF(Reeksen!AD231&lt;=Reeksen!AE231,M231*Reeksen!C231,0))</f>
        <v>0</v>
      </c>
      <c r="O231" s="86">
        <f ca="1">IF(C231&lt;1,0,IF(Reeksen!AD231&gt;Reeksen!AE231,M231*Reeksen!C231,0))</f>
        <v>0</v>
      </c>
      <c r="P231" s="86">
        <f t="shared" ca="1" si="36"/>
        <v>0</v>
      </c>
      <c r="Q231" s="82">
        <f ca="1">IF('Invoer gegevens'!$C$17=E231,I231,IF(C231=0,0,R230))</f>
        <v>0</v>
      </c>
      <c r="R231" s="84">
        <f t="shared" ca="1" si="33"/>
        <v>0</v>
      </c>
      <c r="S231" s="84">
        <f ca="1">IF('Invoer gegevens'!$C$17=E231,M231,IF(C231=0,0,T230))</f>
        <v>0</v>
      </c>
      <c r="T231" s="84">
        <f t="shared" ca="1" si="42"/>
        <v>0</v>
      </c>
      <c r="AI231" s="71">
        <f ca="1">IF(C231=1,((F231+H231)/2*Reeksen!AI231*12)+(('Invoer gegevens'!$C$10-(F231+H231)/2)*Reeksen!AD231*12),0)</f>
        <v>0</v>
      </c>
      <c r="AJ231" s="71">
        <f ca="1">-AI231*'Invoer gegevens'!$F$28</f>
        <v>0</v>
      </c>
      <c r="AK231" s="71">
        <f t="shared" ca="1" si="37"/>
        <v>0</v>
      </c>
      <c r="AL231" s="71">
        <f ca="1">IF(C231=1,(12*((F231+H231)/2)*Reeksen!AL231)+(12*('Invoer gegevens'!$C$10-(F231+H231)/2)*Reeksen!AM231),0)</f>
        <v>0</v>
      </c>
      <c r="AM231" s="71">
        <f ca="1">-AL231*'Invoer gegevens'!$F$31</f>
        <v>0</v>
      </c>
      <c r="AN231" s="71">
        <f t="shared" ca="1" si="38"/>
        <v>0</v>
      </c>
      <c r="AO231" s="71"/>
      <c r="AP231" s="71"/>
      <c r="AQ231" s="71">
        <f ca="1">-IF(C231=1,('Invoer gegevens'!$C$10*'Invoer gegevens'!$F$35)*Reeksen!J231,0)*2</f>
        <v>0</v>
      </c>
      <c r="AR231" s="71">
        <f ca="1">-IF(C231=1,(G231*'Invoer gegevens'!$F$36)*Reeksen!J231,0)</f>
        <v>0</v>
      </c>
      <c r="AS231" s="71">
        <f ca="1">-IF(C231=1,'Invoer gegevens'!$C$10*'Invoer gegevens'!$F$37*Reeksen!L231,0)</f>
        <v>0</v>
      </c>
      <c r="AT231" s="71">
        <f ca="1">-IF(C231=1,IF(E231='Invoer gegevens'!$C$17,'Invoer gegevens'!$C$11,Q231)*Reeksen!S231*'Invoer gegevens'!$C$18*Reeksen!P231,0)</f>
        <v>0</v>
      </c>
      <c r="AU231" s="71">
        <f ca="1">-IF(C231=1,'Invoer gegevens'!$C$10*'Invoer gegevens'!$F$38*Reeksen!H231,0)</f>
        <v>0</v>
      </c>
      <c r="AV231" s="71">
        <f t="shared" si="43"/>
        <v>0</v>
      </c>
      <c r="AW231" s="71">
        <f t="shared" ca="1" si="39"/>
        <v>0</v>
      </c>
      <c r="AX231" s="71">
        <f ca="1">IF(E231&lt;'Invoer gegevens'!$C$17+15,0,IF('RW - MW - DE - DE'!E231&gt;'Invoer gegevens'!$C$17+215,0,'RW - MW - DE - DE'!AW231))</f>
        <v>0</v>
      </c>
      <c r="AY231" s="71">
        <f ca="1">AX231/(1+'Invoer gegevens'!$F$13)^($AZ231-('Invoer gegevens'!$C$17-'Invoer gegevens'!$C$16))/(1+'Invoer gegevens'!$C$39)^('Invoer gegevens'!$C$17-'Invoer gegevens'!$C$16)</f>
        <v>0</v>
      </c>
      <c r="AZ231" s="68">
        <f ca="1">IF(E231-'Invoer gegevens'!$C$17-14.5&lt;0,0,E231-'Invoer gegevens'!$C$17-14.5)</f>
        <v>211.5</v>
      </c>
      <c r="BC231" s="71"/>
    </row>
    <row r="232" spans="1:60" customFormat="1" x14ac:dyDescent="0.25">
      <c r="A232" s="102"/>
      <c r="B232" s="70">
        <f t="shared" si="40"/>
        <v>228</v>
      </c>
      <c r="C232" s="67">
        <f ca="1">IF(E232-'Invoer gegevens'!$C$17&lt;0,0,1)</f>
        <v>1</v>
      </c>
      <c r="D232" s="68">
        <f t="shared" si="41"/>
        <v>227.5</v>
      </c>
      <c r="E232" s="69">
        <f ca="1">IF('Invoer gegevens'!$C$16="","",E231+1)</f>
        <v>2246</v>
      </c>
      <c r="F232" s="82">
        <f ca="1">IF('Invoer gegevens'!$C$17=E232,'Invoer gegevens'!$C$10,IF(C232=1,H231,0))</f>
        <v>0</v>
      </c>
      <c r="G232" s="83">
        <f ca="1">IF(C232&gt;=1,F232*Reeksen!C232,0)</f>
        <v>0</v>
      </c>
      <c r="H232" s="84">
        <f t="shared" ca="1" si="34"/>
        <v>0</v>
      </c>
      <c r="I232" s="85">
        <f ca="1">IF('Invoer gegevens'!$C$17=E232,'Invoer gegevens'!$C$11,IF(C232=1,L231,0))</f>
        <v>0</v>
      </c>
      <c r="J232" s="86">
        <f ca="1">IF(C232&lt;1,0,IF(Reeksen!AD232&lt;=Reeksen!AE232,I232*Reeksen!C232,0))</f>
        <v>0</v>
      </c>
      <c r="K232" s="86">
        <f ca="1">IF(C232&lt;1,0,IF(Reeksen!AD232&gt;Reeksen!AE232,I232*Reeksen!C232,0))</f>
        <v>0</v>
      </c>
      <c r="L232" s="86">
        <f t="shared" ca="1" si="35"/>
        <v>0</v>
      </c>
      <c r="M232" s="85">
        <f ca="1">IF('Invoer gegevens'!$C$17=E232,'Invoer gegevens'!$C$10-'Invoer gegevens'!$C$11,IF(C232=1,P231,0))</f>
        <v>0</v>
      </c>
      <c r="N232" s="86">
        <f ca="1">IF(C232&lt;1,0,IF(Reeksen!AD232&lt;=Reeksen!AE232,M232*Reeksen!C232,0))</f>
        <v>0</v>
      </c>
      <c r="O232" s="86">
        <f ca="1">IF(C232&lt;1,0,IF(Reeksen!AD232&gt;Reeksen!AE232,M232*Reeksen!C232,0))</f>
        <v>0</v>
      </c>
      <c r="P232" s="86">
        <f t="shared" ca="1" si="36"/>
        <v>0</v>
      </c>
      <c r="Q232" s="82">
        <f ca="1">IF('Invoer gegevens'!$C$17=E232,I232,IF(C232=0,0,R231))</f>
        <v>0</v>
      </c>
      <c r="R232" s="84">
        <f t="shared" ca="1" si="33"/>
        <v>0</v>
      </c>
      <c r="S232" s="84">
        <f ca="1">IF('Invoer gegevens'!$C$17=E232,M232,IF(C232=0,0,T231))</f>
        <v>0</v>
      </c>
      <c r="T232" s="84">
        <f t="shared" ca="1" si="42"/>
        <v>0</v>
      </c>
      <c r="AI232" s="71">
        <f ca="1">IF(C232=1,((F232+H232)/2*Reeksen!AI232*12)+(('Invoer gegevens'!$C$10-(F232+H232)/2)*Reeksen!AD232*12),0)</f>
        <v>0</v>
      </c>
      <c r="AJ232" s="71">
        <f ca="1">-AI232*'Invoer gegevens'!$F$28</f>
        <v>0</v>
      </c>
      <c r="AK232" s="71">
        <f t="shared" ca="1" si="37"/>
        <v>0</v>
      </c>
      <c r="AL232" s="71">
        <f ca="1">IF(C232=1,(12*((F232+H232)/2)*Reeksen!AL232)+(12*('Invoer gegevens'!$C$10-(F232+H232)/2)*Reeksen!AM232),0)</f>
        <v>0</v>
      </c>
      <c r="AM232" s="71">
        <f ca="1">-AL232*'Invoer gegevens'!$F$31</f>
        <v>0</v>
      </c>
      <c r="AN232" s="71">
        <f t="shared" ca="1" si="38"/>
        <v>0</v>
      </c>
      <c r="AO232" s="71"/>
      <c r="AP232" s="71"/>
      <c r="AQ232" s="71">
        <f ca="1">-IF(C232=1,('Invoer gegevens'!$C$10*'Invoer gegevens'!$F$35)*Reeksen!J232,0)*2</f>
        <v>0</v>
      </c>
      <c r="AR232" s="71">
        <f ca="1">-IF(C232=1,(G232*'Invoer gegevens'!$F$36)*Reeksen!J232,0)</f>
        <v>0</v>
      </c>
      <c r="AS232" s="71">
        <f ca="1">-IF(C232=1,'Invoer gegevens'!$C$10*'Invoer gegevens'!$F$37*Reeksen!L232,0)</f>
        <v>0</v>
      </c>
      <c r="AT232" s="71">
        <f ca="1">-IF(C232=1,IF(E232='Invoer gegevens'!$C$17,'Invoer gegevens'!$C$11,Q232)*Reeksen!S232*'Invoer gegevens'!$C$18*Reeksen!P232,0)</f>
        <v>0</v>
      </c>
      <c r="AU232" s="71">
        <f ca="1">-IF(C232=1,'Invoer gegevens'!$C$10*'Invoer gegevens'!$F$38*Reeksen!H232,0)</f>
        <v>0</v>
      </c>
      <c r="AV232" s="71">
        <f t="shared" si="43"/>
        <v>0</v>
      </c>
      <c r="AW232" s="71">
        <f t="shared" ca="1" si="39"/>
        <v>0</v>
      </c>
      <c r="AX232" s="71">
        <f ca="1">IF(E232&lt;'Invoer gegevens'!$C$17+15,0,IF('RW - MW - DE - DE'!E232&gt;'Invoer gegevens'!$C$17+215,0,'RW - MW - DE - DE'!AW232))</f>
        <v>0</v>
      </c>
      <c r="AY232" s="71">
        <f ca="1">AX232/(1+'Invoer gegevens'!$F$13)^($AZ232-('Invoer gegevens'!$C$17-'Invoer gegevens'!$C$16))/(1+'Invoer gegevens'!$C$39)^('Invoer gegevens'!$C$17-'Invoer gegevens'!$C$16)</f>
        <v>0</v>
      </c>
      <c r="AZ232" s="68">
        <f ca="1">IF(E232-'Invoer gegevens'!$C$17-14.5&lt;0,0,E232-'Invoer gegevens'!$C$17-14.5)</f>
        <v>212.5</v>
      </c>
      <c r="BC232" s="71"/>
    </row>
    <row r="233" spans="1:60" customFormat="1" x14ac:dyDescent="0.25">
      <c r="B233" s="70">
        <f t="shared" si="40"/>
        <v>229</v>
      </c>
      <c r="C233" s="67">
        <f ca="1">IF(E233-'Invoer gegevens'!$C$17&lt;0,0,1)</f>
        <v>1</v>
      </c>
      <c r="D233" s="68">
        <f t="shared" si="41"/>
        <v>228.5</v>
      </c>
      <c r="E233" s="69">
        <f ca="1">IF('Invoer gegevens'!$C$16="","",E232+1)</f>
        <v>2247</v>
      </c>
      <c r="F233" s="82">
        <f ca="1">IF('Invoer gegevens'!$C$17=E233,'Invoer gegevens'!$C$10,IF(C233=1,H232,0))</f>
        <v>0</v>
      </c>
      <c r="G233" s="83">
        <f ca="1">IF(C233&gt;=1,F233*Reeksen!C233,0)</f>
        <v>0</v>
      </c>
      <c r="H233" s="84">
        <f t="shared" ca="1" si="34"/>
        <v>0</v>
      </c>
      <c r="I233" s="85">
        <f ca="1">IF('Invoer gegevens'!$C$17=E233,'Invoer gegevens'!$C$11,IF(C233=1,L232,0))</f>
        <v>0</v>
      </c>
      <c r="J233" s="86">
        <f ca="1">IF(C233&lt;1,0,IF(Reeksen!AD233&lt;=Reeksen!AE233,I233*Reeksen!C233,0))</f>
        <v>0</v>
      </c>
      <c r="K233" s="86">
        <f ca="1">IF(C233&lt;1,0,IF(Reeksen!AD233&gt;Reeksen!AE233,I233*Reeksen!C233,0))</f>
        <v>0</v>
      </c>
      <c r="L233" s="86">
        <f t="shared" ca="1" si="35"/>
        <v>0</v>
      </c>
      <c r="M233" s="85">
        <f ca="1">IF('Invoer gegevens'!$C$17=E233,'Invoer gegevens'!$C$10-'Invoer gegevens'!$C$11,IF(C233=1,P232,0))</f>
        <v>0</v>
      </c>
      <c r="N233" s="86">
        <f ca="1">IF(C233&lt;1,0,IF(Reeksen!AD233&lt;=Reeksen!AE233,M233*Reeksen!C233,0))</f>
        <v>0</v>
      </c>
      <c r="O233" s="86">
        <f ca="1">IF(C233&lt;1,0,IF(Reeksen!AD233&gt;Reeksen!AE233,M233*Reeksen!C233,0))</f>
        <v>0</v>
      </c>
      <c r="P233" s="86">
        <f t="shared" ca="1" si="36"/>
        <v>0</v>
      </c>
      <c r="Q233" s="82">
        <f ca="1">IF('Invoer gegevens'!$C$17=E233,I233,IF(C233=0,0,R232))</f>
        <v>0</v>
      </c>
      <c r="R233" s="84">
        <f t="shared" ca="1" si="33"/>
        <v>0</v>
      </c>
      <c r="S233" s="84">
        <f ca="1">IF('Invoer gegevens'!$C$17=E233,M233,IF(C233=0,0,T232))</f>
        <v>0</v>
      </c>
      <c r="T233" s="84">
        <f t="shared" ca="1" si="42"/>
        <v>0</v>
      </c>
      <c r="AI233" s="71">
        <f ca="1">IF(C233=1,((F233+H233)/2*Reeksen!AI233*12)+(('Invoer gegevens'!$C$10-(F233+H233)/2)*Reeksen!AD233*12),0)</f>
        <v>0</v>
      </c>
      <c r="AJ233" s="71">
        <f ca="1">-AI233*'Invoer gegevens'!$F$28</f>
        <v>0</v>
      </c>
      <c r="AK233" s="71">
        <f t="shared" ca="1" si="37"/>
        <v>0</v>
      </c>
      <c r="AL233" s="71">
        <f ca="1">IF(C233=1,(12*((F233+H233)/2)*Reeksen!AL233)+(12*('Invoer gegevens'!$C$10-(F233+H233)/2)*Reeksen!AM233),0)</f>
        <v>0</v>
      </c>
      <c r="AM233" s="71">
        <f ca="1">-AL233*'Invoer gegevens'!$F$31</f>
        <v>0</v>
      </c>
      <c r="AN233" s="71">
        <f t="shared" ca="1" si="38"/>
        <v>0</v>
      </c>
      <c r="AO233" s="71"/>
      <c r="AP233" s="71"/>
      <c r="AQ233" s="71">
        <f ca="1">-IF(C233=1,('Invoer gegevens'!$C$10*'Invoer gegevens'!$F$35)*Reeksen!J233,0)*2</f>
        <v>0</v>
      </c>
      <c r="AR233" s="71">
        <f ca="1">-IF(C233=1,(G233*'Invoer gegevens'!$F$36)*Reeksen!J233,0)</f>
        <v>0</v>
      </c>
      <c r="AS233" s="71">
        <f ca="1">-IF(C233=1,'Invoer gegevens'!$C$10*'Invoer gegevens'!$F$37*Reeksen!L233,0)</f>
        <v>0</v>
      </c>
      <c r="AT233" s="71">
        <f ca="1">-IF(C233=1,IF(E233='Invoer gegevens'!$C$17,'Invoer gegevens'!$C$11,Q233)*Reeksen!S233*'Invoer gegevens'!$C$18*Reeksen!P233,0)</f>
        <v>0</v>
      </c>
      <c r="AU233" s="71">
        <f ca="1">-IF(C233=1,'Invoer gegevens'!$C$10*'Invoer gegevens'!$F$38*Reeksen!H233,0)</f>
        <v>0</v>
      </c>
      <c r="AV233" s="71">
        <f t="shared" si="43"/>
        <v>0</v>
      </c>
      <c r="AW233" s="71">
        <f t="shared" ca="1" si="39"/>
        <v>0</v>
      </c>
      <c r="AX233" s="71">
        <f ca="1">IF(E233&lt;'Invoer gegevens'!$C$17+15,0,IF('RW - MW - DE - DE'!E233&gt;'Invoer gegevens'!$C$17+215,0,'RW - MW - DE - DE'!AW233))</f>
        <v>0</v>
      </c>
      <c r="AY233" s="71">
        <f ca="1">AX233/(1+'Invoer gegevens'!$F$13)^($AZ233-('Invoer gegevens'!$C$17-'Invoer gegevens'!$C$16))/(1+'Invoer gegevens'!$C$39)^('Invoer gegevens'!$C$17-'Invoer gegevens'!$C$16)</f>
        <v>0</v>
      </c>
      <c r="AZ233" s="68">
        <f ca="1">IF(E233-'Invoer gegevens'!$C$17-14.5&lt;0,0,E233-'Invoer gegevens'!$C$17-14.5)</f>
        <v>213.5</v>
      </c>
      <c r="BC233" s="71"/>
    </row>
    <row r="234" spans="1:60" customFormat="1" x14ac:dyDescent="0.25">
      <c r="B234" s="70">
        <f t="shared" si="40"/>
        <v>230</v>
      </c>
      <c r="C234" s="67">
        <f ca="1">IF(E234-'Invoer gegevens'!$C$17&lt;0,0,1)</f>
        <v>1</v>
      </c>
      <c r="D234" s="68">
        <f t="shared" si="41"/>
        <v>229.5</v>
      </c>
      <c r="E234" s="69">
        <f ca="1">IF('Invoer gegevens'!$C$16="","",E233+1)</f>
        <v>2248</v>
      </c>
      <c r="F234" s="82">
        <f ca="1">IF('Invoer gegevens'!$C$17=E234,'Invoer gegevens'!$C$10,IF(C234=1,H233,0))</f>
        <v>0</v>
      </c>
      <c r="G234" s="83">
        <f ca="1">IF(C234&gt;=1,F234*Reeksen!C234,0)</f>
        <v>0</v>
      </c>
      <c r="H234" s="84">
        <f t="shared" ca="1" si="34"/>
        <v>0</v>
      </c>
      <c r="I234" s="85">
        <f ca="1">IF('Invoer gegevens'!$C$17=E234,'Invoer gegevens'!$C$11,IF(C234=1,L233,0))</f>
        <v>0</v>
      </c>
      <c r="J234" s="86">
        <f ca="1">IF(C234&lt;1,0,IF(Reeksen!AD234&lt;=Reeksen!AE234,I234*Reeksen!C234,0))</f>
        <v>0</v>
      </c>
      <c r="K234" s="86">
        <f ca="1">IF(C234&lt;1,0,IF(Reeksen!AD234&gt;Reeksen!AE234,I234*Reeksen!C234,0))</f>
        <v>0</v>
      </c>
      <c r="L234" s="86">
        <f t="shared" ca="1" si="35"/>
        <v>0</v>
      </c>
      <c r="M234" s="85">
        <f ca="1">IF('Invoer gegevens'!$C$17=E234,'Invoer gegevens'!$C$10-'Invoer gegevens'!$C$11,IF(C234=1,P233,0))</f>
        <v>0</v>
      </c>
      <c r="N234" s="86">
        <f ca="1">IF(C234&lt;1,0,IF(Reeksen!AD234&lt;=Reeksen!AE234,M234*Reeksen!C234,0))</f>
        <v>0</v>
      </c>
      <c r="O234" s="86">
        <f ca="1">IF(C234&lt;1,0,IF(Reeksen!AD234&gt;Reeksen!AE234,M234*Reeksen!C234,0))</f>
        <v>0</v>
      </c>
      <c r="P234" s="86">
        <f t="shared" ca="1" si="36"/>
        <v>0</v>
      </c>
      <c r="Q234" s="82">
        <f ca="1">IF('Invoer gegevens'!$C$17=E234,I234,IF(C234=0,0,R233))</f>
        <v>0</v>
      </c>
      <c r="R234" s="84">
        <f t="shared" ca="1" si="33"/>
        <v>0</v>
      </c>
      <c r="S234" s="84">
        <f ca="1">IF('Invoer gegevens'!$C$17=E234,M234,IF(C234=0,0,T233))</f>
        <v>0</v>
      </c>
      <c r="T234" s="84">
        <f t="shared" ca="1" si="42"/>
        <v>0</v>
      </c>
      <c r="AI234" s="71">
        <f ca="1">IF(C234=1,((F234+H234)/2*Reeksen!AI234*12)+(('Invoer gegevens'!$C$10-(F234+H234)/2)*Reeksen!AD234*12),0)</f>
        <v>0</v>
      </c>
      <c r="AJ234" s="71">
        <f ca="1">-AI234*'Invoer gegevens'!$F$28</f>
        <v>0</v>
      </c>
      <c r="AK234" s="71">
        <f t="shared" ca="1" si="37"/>
        <v>0</v>
      </c>
      <c r="AL234" s="71">
        <f ca="1">IF(C234=1,(12*((F234+H234)/2)*Reeksen!AL234)+(12*('Invoer gegevens'!$C$10-(F234+H234)/2)*Reeksen!AM234),0)</f>
        <v>0</v>
      </c>
      <c r="AM234" s="71">
        <f ca="1">-AL234*'Invoer gegevens'!$F$31</f>
        <v>0</v>
      </c>
      <c r="AN234" s="71">
        <f t="shared" ca="1" si="38"/>
        <v>0</v>
      </c>
      <c r="AO234" s="71"/>
      <c r="AP234" s="71"/>
      <c r="AQ234" s="71">
        <f ca="1">-IF(C234=1,('Invoer gegevens'!$C$10*'Invoer gegevens'!$F$35)*Reeksen!J234,0)*2</f>
        <v>0</v>
      </c>
      <c r="AR234" s="71">
        <f ca="1">-IF(C234=1,(G234*'Invoer gegevens'!$F$36)*Reeksen!J234,0)</f>
        <v>0</v>
      </c>
      <c r="AS234" s="71">
        <f ca="1">-IF(C234=1,'Invoer gegevens'!$C$10*'Invoer gegevens'!$F$37*Reeksen!L234,0)</f>
        <v>0</v>
      </c>
      <c r="AT234" s="71">
        <f ca="1">-IF(C234=1,IF(E234='Invoer gegevens'!$C$17,'Invoer gegevens'!$C$11,Q234)*Reeksen!S234*'Invoer gegevens'!$C$18*Reeksen!P234,0)</f>
        <v>0</v>
      </c>
      <c r="AU234" s="71">
        <f ca="1">-IF(C234=1,'Invoer gegevens'!$C$10*'Invoer gegevens'!$F$38*Reeksen!H234,0)</f>
        <v>0</v>
      </c>
      <c r="AV234" s="71">
        <f t="shared" si="43"/>
        <v>0</v>
      </c>
      <c r="AW234" s="71">
        <f t="shared" ca="1" si="39"/>
        <v>0</v>
      </c>
      <c r="AX234" s="71">
        <f ca="1">IF(E234&lt;'Invoer gegevens'!$C$17+15,0,IF('RW - MW - DE - DE'!E234&gt;'Invoer gegevens'!$C$17+215,0,'RW - MW - DE - DE'!AW234))</f>
        <v>0</v>
      </c>
      <c r="AY234" s="71">
        <f ca="1">AX234/(1+'Invoer gegevens'!$F$13)^($AZ234-('Invoer gegevens'!$C$17-'Invoer gegevens'!$C$16))/(1+'Invoer gegevens'!$C$39)^('Invoer gegevens'!$C$17-'Invoer gegevens'!$C$16)</f>
        <v>0</v>
      </c>
      <c r="AZ234" s="68">
        <f ca="1">IF(E234-'Invoer gegevens'!$C$17-14.5&lt;0,0,E234-'Invoer gegevens'!$C$17-14.5)</f>
        <v>214.5</v>
      </c>
      <c r="BC234" s="71"/>
    </row>
    <row r="235" spans="1:60" customFormat="1" x14ac:dyDescent="0.25">
      <c r="A235" s="102"/>
      <c r="B235" s="70"/>
      <c r="C235" s="67"/>
      <c r="D235" s="68"/>
      <c r="E235" s="69"/>
      <c r="F235" s="84"/>
      <c r="G235" s="83"/>
      <c r="H235" s="84"/>
      <c r="I235" s="86"/>
      <c r="J235" s="86"/>
      <c r="K235" s="86"/>
      <c r="L235" s="86"/>
      <c r="M235" s="86"/>
      <c r="N235" s="86"/>
      <c r="O235" s="86"/>
      <c r="P235" s="86"/>
      <c r="Q235" s="84"/>
      <c r="R235" s="84"/>
      <c r="S235" s="84"/>
      <c r="T235" s="84"/>
    </row>
    <row r="236" spans="1:60" customFormat="1" x14ac:dyDescent="0.25">
      <c r="A236" s="102"/>
      <c r="B236" s="70"/>
      <c r="C236" s="67"/>
      <c r="D236" s="68"/>
      <c r="E236" s="69"/>
      <c r="F236" s="84"/>
      <c r="G236" s="83"/>
      <c r="H236" s="84"/>
      <c r="I236" s="86"/>
      <c r="J236" s="86"/>
      <c r="K236" s="86"/>
      <c r="L236" s="86"/>
      <c r="M236" s="86"/>
      <c r="N236" s="86"/>
      <c r="O236" s="86"/>
      <c r="P236" s="86"/>
      <c r="Q236" s="84"/>
      <c r="R236" s="84"/>
      <c r="S236" s="84"/>
      <c r="T236" s="84"/>
      <c r="AY236" s="78">
        <f ca="1">SUM(AY5:AY234)</f>
        <v>0</v>
      </c>
      <c r="AZ236" s="71"/>
    </row>
    <row r="237" spans="1:60" customFormat="1" x14ac:dyDescent="0.25"/>
    <row r="238" spans="1:60" ht="15.75" x14ac:dyDescent="0.25">
      <c r="A238" s="103"/>
      <c r="B238" s="103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</row>
    <row r="239" spans="1:60" x14ac:dyDescent="0.25">
      <c r="A239" s="59"/>
      <c r="B239" s="70"/>
      <c r="C239" s="70"/>
      <c r="D239" s="70"/>
      <c r="E239" s="70"/>
      <c r="F239" s="398"/>
      <c r="G239" s="398"/>
      <c r="H239" s="398"/>
      <c r="I239" s="398"/>
      <c r="J239" s="398"/>
      <c r="K239" s="398"/>
      <c r="L239" s="401"/>
      <c r="M239" s="401"/>
      <c r="N239" s="401"/>
      <c r="O239" s="401"/>
      <c r="P239" s="401"/>
      <c r="Q239" s="401"/>
      <c r="R239" s="398"/>
      <c r="S239" s="398"/>
      <c r="T239" s="398"/>
      <c r="U239" s="398"/>
      <c r="V239" s="398"/>
      <c r="W239" s="398"/>
      <c r="X239" s="398"/>
      <c r="Y239" s="398"/>
      <c r="Z239" s="398"/>
      <c r="AA239" s="398"/>
      <c r="AB239" s="398"/>
      <c r="AC239" s="398"/>
      <c r="AD239" s="398"/>
      <c r="AE239" s="398"/>
      <c r="AF239" s="398"/>
      <c r="AG239" s="398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</row>
    <row r="240" spans="1:60" x14ac:dyDescent="0.25">
      <c r="A240" s="59"/>
      <c r="B240" s="95"/>
      <c r="C240" s="95"/>
      <c r="D240" s="95"/>
      <c r="E240" s="95"/>
      <c r="F240" s="409"/>
      <c r="G240" s="409"/>
      <c r="H240" s="409"/>
      <c r="I240" s="409"/>
      <c r="J240" s="409"/>
      <c r="K240" s="106"/>
      <c r="L240" s="410"/>
      <c r="M240" s="410"/>
      <c r="N240" s="410"/>
      <c r="O240" s="410"/>
      <c r="P240" s="410"/>
      <c r="Q240" s="410"/>
      <c r="R240" s="410"/>
      <c r="S240" s="409"/>
      <c r="T240" s="409"/>
      <c r="U240" s="409"/>
      <c r="V240" s="409"/>
      <c r="W240" s="410"/>
      <c r="X240" s="410"/>
      <c r="Y240" s="410"/>
      <c r="Z240" s="410"/>
      <c r="AA240" s="410"/>
      <c r="AB240" s="410"/>
      <c r="AC240" s="410"/>
      <c r="AD240" s="411"/>
      <c r="AE240" s="409"/>
      <c r="AF240" s="409"/>
      <c r="AG240" s="106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64"/>
      <c r="AV240" s="64"/>
      <c r="AW240" s="64"/>
      <c r="AX240" s="95"/>
      <c r="AY240" s="64"/>
      <c r="AZ240" s="95"/>
      <c r="BA240" s="95"/>
      <c r="BB240" s="95"/>
      <c r="BC240" s="95"/>
      <c r="BD240" s="95"/>
      <c r="BE240" s="95"/>
      <c r="BF240" s="95"/>
      <c r="BG240" s="95"/>
      <c r="BH240" s="95"/>
    </row>
    <row r="241" spans="1:60" x14ac:dyDescent="0.25">
      <c r="A241" s="59"/>
      <c r="B241" s="95"/>
      <c r="C241" s="95"/>
      <c r="D241" s="95"/>
      <c r="E241" s="95"/>
      <c r="F241" s="409"/>
      <c r="G241" s="409"/>
      <c r="H241" s="409"/>
      <c r="I241" s="409"/>
      <c r="J241" s="409"/>
      <c r="K241" s="106"/>
      <c r="L241" s="410"/>
      <c r="M241" s="410"/>
      <c r="N241" s="410"/>
      <c r="O241" s="410"/>
      <c r="P241" s="410"/>
      <c r="Q241" s="410"/>
      <c r="R241" s="410"/>
      <c r="S241" s="409"/>
      <c r="T241" s="409"/>
      <c r="U241" s="409"/>
      <c r="V241" s="409"/>
      <c r="W241" s="410"/>
      <c r="X241" s="410"/>
      <c r="Y241" s="410"/>
      <c r="Z241" s="410"/>
      <c r="AA241" s="410"/>
      <c r="AB241" s="410"/>
      <c r="AC241" s="410"/>
      <c r="AD241" s="411"/>
      <c r="AE241" s="409"/>
      <c r="AF241" s="409"/>
      <c r="AG241" s="106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64"/>
      <c r="AV241" s="64"/>
      <c r="AW241" s="64"/>
      <c r="AX241" s="95"/>
      <c r="AY241" s="64"/>
      <c r="AZ241" s="95"/>
      <c r="BA241" s="95"/>
      <c r="BB241" s="95"/>
      <c r="BC241" s="95"/>
      <c r="BD241" s="95"/>
      <c r="BE241" s="95"/>
      <c r="BF241" s="95"/>
      <c r="BG241" s="95"/>
      <c r="BH241" s="107"/>
    </row>
    <row r="242" spans="1:60" x14ac:dyDescent="0.25">
      <c r="A242" s="59"/>
      <c r="B242" s="66"/>
      <c r="C242" s="67"/>
      <c r="D242" s="68"/>
      <c r="E242" s="69"/>
      <c r="F242" s="84"/>
      <c r="G242" s="83"/>
      <c r="H242" s="84"/>
      <c r="I242" s="84"/>
      <c r="J242" s="84"/>
      <c r="K242" s="84"/>
      <c r="L242" s="84"/>
      <c r="M242" s="83"/>
      <c r="N242" s="84"/>
      <c r="O242" s="84"/>
      <c r="P242" s="84"/>
      <c r="Q242" s="84"/>
      <c r="R242" s="84"/>
      <c r="S242" s="86"/>
      <c r="T242" s="84"/>
      <c r="U242" s="84"/>
      <c r="V242" s="86"/>
      <c r="W242" s="84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66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2"/>
      <c r="AY242" s="72"/>
      <c r="BA242" s="73"/>
      <c r="BB242" s="73"/>
      <c r="BC242" s="73"/>
      <c r="BD242" s="72"/>
      <c r="BE242" s="72"/>
      <c r="BF242" s="72"/>
      <c r="BG242" s="72"/>
      <c r="BH242" s="72"/>
    </row>
    <row r="243" spans="1:60" x14ac:dyDescent="0.25">
      <c r="A243" s="59"/>
      <c r="B243" s="70"/>
      <c r="C243" s="67"/>
      <c r="D243" s="68"/>
      <c r="E243" s="69"/>
      <c r="F243" s="84"/>
      <c r="G243" s="83"/>
      <c r="H243" s="84"/>
      <c r="I243" s="84"/>
      <c r="J243" s="84"/>
      <c r="K243" s="84"/>
      <c r="L243" s="84"/>
      <c r="M243" s="83"/>
      <c r="N243" s="84"/>
      <c r="O243" s="84"/>
      <c r="P243" s="84"/>
      <c r="Q243" s="84"/>
      <c r="R243" s="84"/>
      <c r="S243" s="86"/>
      <c r="T243" s="84"/>
      <c r="U243" s="84"/>
      <c r="V243" s="86"/>
      <c r="W243" s="84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66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2"/>
      <c r="AY243" s="72"/>
      <c r="BA243" s="73"/>
      <c r="BB243" s="73"/>
      <c r="BC243" s="73"/>
      <c r="BD243" s="72"/>
      <c r="BE243" s="72"/>
      <c r="BF243" s="72"/>
      <c r="BG243" s="72"/>
      <c r="BH243" s="72"/>
    </row>
    <row r="244" spans="1:60" x14ac:dyDescent="0.25">
      <c r="A244" s="59"/>
      <c r="B244" s="70"/>
      <c r="C244" s="67"/>
      <c r="D244" s="68"/>
      <c r="E244" s="69"/>
      <c r="F244" s="84"/>
      <c r="G244" s="83"/>
      <c r="H244" s="84"/>
      <c r="I244" s="84"/>
      <c r="J244" s="84"/>
      <c r="K244" s="84"/>
      <c r="L244" s="84"/>
      <c r="M244" s="83"/>
      <c r="N244" s="84"/>
      <c r="O244" s="84"/>
      <c r="P244" s="84"/>
      <c r="Q244" s="84"/>
      <c r="R244" s="84"/>
      <c r="S244" s="86"/>
      <c r="T244" s="84"/>
      <c r="U244" s="84"/>
      <c r="V244" s="86"/>
      <c r="W244" s="84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66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2"/>
      <c r="AY244" s="72"/>
      <c r="BA244" s="73"/>
      <c r="BB244" s="73"/>
      <c r="BC244" s="73"/>
      <c r="BD244" s="72"/>
      <c r="BE244" s="72"/>
      <c r="BF244" s="72"/>
      <c r="BG244" s="72"/>
      <c r="BH244" s="72"/>
    </row>
    <row r="245" spans="1:60" x14ac:dyDescent="0.25">
      <c r="A245" s="59"/>
      <c r="B245" s="70"/>
      <c r="C245" s="67"/>
      <c r="D245" s="68"/>
      <c r="E245" s="69"/>
      <c r="F245" s="84"/>
      <c r="G245" s="83"/>
      <c r="H245" s="84"/>
      <c r="I245" s="84"/>
      <c r="J245" s="84"/>
      <c r="K245" s="84"/>
      <c r="L245" s="84"/>
      <c r="M245" s="83"/>
      <c r="N245" s="84"/>
      <c r="O245" s="84"/>
      <c r="P245" s="84"/>
      <c r="Q245" s="84"/>
      <c r="R245" s="84"/>
      <c r="S245" s="86"/>
      <c r="T245" s="84"/>
      <c r="U245" s="84"/>
      <c r="V245" s="86"/>
      <c r="W245" s="84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66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2"/>
      <c r="AY245" s="72"/>
      <c r="BA245" s="73"/>
      <c r="BB245" s="73"/>
      <c r="BC245" s="73"/>
      <c r="BD245" s="72"/>
      <c r="BE245" s="72"/>
      <c r="BF245" s="72"/>
      <c r="BG245" s="72"/>
      <c r="BH245" s="72"/>
    </row>
    <row r="246" spans="1:60" x14ac:dyDescent="0.25">
      <c r="A246" s="59"/>
      <c r="B246" s="70"/>
      <c r="C246" s="67"/>
      <c r="D246" s="68"/>
      <c r="E246" s="69"/>
      <c r="F246" s="84"/>
      <c r="G246" s="83"/>
      <c r="H246" s="84"/>
      <c r="I246" s="84"/>
      <c r="J246" s="84"/>
      <c r="K246" s="84"/>
      <c r="L246" s="84"/>
      <c r="M246" s="83"/>
      <c r="N246" s="84"/>
      <c r="O246" s="84"/>
      <c r="P246" s="84"/>
      <c r="Q246" s="84"/>
      <c r="R246" s="84"/>
      <c r="S246" s="86"/>
      <c r="T246" s="84"/>
      <c r="U246" s="84"/>
      <c r="V246" s="86"/>
      <c r="W246" s="84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66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2"/>
      <c r="AY246" s="72"/>
      <c r="BA246" s="73"/>
      <c r="BB246" s="73"/>
      <c r="BC246" s="73"/>
      <c r="BD246" s="72"/>
      <c r="BE246" s="72"/>
      <c r="BF246" s="72"/>
      <c r="BG246" s="72"/>
      <c r="BH246" s="72"/>
    </row>
    <row r="247" spans="1:60" x14ac:dyDescent="0.25">
      <c r="A247" s="59"/>
      <c r="B247" s="70"/>
      <c r="C247" s="67"/>
      <c r="D247" s="68"/>
      <c r="E247" s="69"/>
      <c r="F247" s="84"/>
      <c r="G247" s="83"/>
      <c r="H247" s="84"/>
      <c r="I247" s="84"/>
      <c r="J247" s="84"/>
      <c r="K247" s="84"/>
      <c r="L247" s="84"/>
      <c r="M247" s="83"/>
      <c r="N247" s="84"/>
      <c r="O247" s="84"/>
      <c r="P247" s="84"/>
      <c r="Q247" s="84"/>
      <c r="R247" s="84"/>
      <c r="S247" s="86"/>
      <c r="T247" s="84"/>
      <c r="U247" s="84"/>
      <c r="V247" s="86"/>
      <c r="W247" s="84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66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2"/>
      <c r="AY247" s="72"/>
      <c r="BA247" s="73"/>
      <c r="BB247" s="73"/>
      <c r="BC247" s="73"/>
      <c r="BD247" s="72"/>
      <c r="BE247" s="72"/>
      <c r="BF247" s="72"/>
      <c r="BG247" s="72"/>
      <c r="BH247" s="72"/>
    </row>
    <row r="248" spans="1:60" x14ac:dyDescent="0.25">
      <c r="A248" s="59"/>
      <c r="B248" s="70"/>
      <c r="C248" s="67"/>
      <c r="D248" s="68"/>
      <c r="E248" s="69"/>
      <c r="F248" s="84"/>
      <c r="G248" s="83"/>
      <c r="H248" s="84"/>
      <c r="I248" s="84"/>
      <c r="J248" s="84"/>
      <c r="K248" s="84"/>
      <c r="L248" s="84"/>
      <c r="M248" s="83"/>
      <c r="N248" s="84"/>
      <c r="O248" s="84"/>
      <c r="P248" s="84"/>
      <c r="Q248" s="84"/>
      <c r="R248" s="84"/>
      <c r="S248" s="86"/>
      <c r="T248" s="84"/>
      <c r="U248" s="84"/>
      <c r="V248" s="86"/>
      <c r="W248" s="84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66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2"/>
      <c r="AY248" s="72"/>
      <c r="BA248" s="73"/>
      <c r="BB248" s="73"/>
      <c r="BC248" s="73"/>
      <c r="BD248" s="72"/>
      <c r="BE248" s="72"/>
      <c r="BF248" s="72"/>
      <c r="BG248" s="72"/>
      <c r="BH248" s="72"/>
    </row>
    <row r="249" spans="1:60" x14ac:dyDescent="0.25">
      <c r="A249" s="59"/>
      <c r="B249" s="70"/>
      <c r="C249" s="67"/>
      <c r="D249" s="68"/>
      <c r="E249" s="69"/>
      <c r="F249" s="84"/>
      <c r="G249" s="83"/>
      <c r="H249" s="84"/>
      <c r="I249" s="84"/>
      <c r="J249" s="84"/>
      <c r="K249" s="84"/>
      <c r="L249" s="84"/>
      <c r="M249" s="83"/>
      <c r="N249" s="84"/>
      <c r="O249" s="84"/>
      <c r="P249" s="84"/>
      <c r="Q249" s="84"/>
      <c r="R249" s="84"/>
      <c r="S249" s="86"/>
      <c r="T249" s="84"/>
      <c r="U249" s="84"/>
      <c r="V249" s="86"/>
      <c r="W249" s="84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66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2"/>
      <c r="AY249" s="72"/>
      <c r="BA249" s="73"/>
      <c r="BB249" s="73"/>
      <c r="BC249" s="73"/>
      <c r="BD249" s="72"/>
      <c r="BE249" s="72"/>
      <c r="BF249" s="72"/>
      <c r="BG249" s="72"/>
      <c r="BH249" s="72"/>
    </row>
    <row r="250" spans="1:60" x14ac:dyDescent="0.25">
      <c r="A250" s="59"/>
      <c r="B250" s="70"/>
      <c r="C250" s="67"/>
      <c r="D250" s="68"/>
      <c r="E250" s="69"/>
      <c r="F250" s="84"/>
      <c r="G250" s="83"/>
      <c r="H250" s="84"/>
      <c r="I250" s="84"/>
      <c r="J250" s="84"/>
      <c r="K250" s="84"/>
      <c r="L250" s="84"/>
      <c r="M250" s="83"/>
      <c r="N250" s="84"/>
      <c r="O250" s="84"/>
      <c r="P250" s="84"/>
      <c r="Q250" s="84"/>
      <c r="R250" s="84"/>
      <c r="S250" s="86"/>
      <c r="T250" s="84"/>
      <c r="U250" s="84"/>
      <c r="V250" s="86"/>
      <c r="W250" s="84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66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2"/>
      <c r="AY250" s="72"/>
      <c r="BA250" s="73"/>
      <c r="BB250" s="73"/>
      <c r="BC250" s="73"/>
      <c r="BD250" s="72"/>
      <c r="BE250" s="72"/>
      <c r="BF250" s="72"/>
      <c r="BG250" s="72"/>
      <c r="BH250" s="72"/>
    </row>
    <row r="251" spans="1:60" x14ac:dyDescent="0.25">
      <c r="A251" s="59"/>
      <c r="B251" s="70"/>
      <c r="C251" s="67"/>
      <c r="D251" s="68"/>
      <c r="E251" s="69"/>
      <c r="F251" s="84"/>
      <c r="G251" s="83"/>
      <c r="H251" s="84"/>
      <c r="I251" s="84"/>
      <c r="J251" s="84"/>
      <c r="K251" s="84"/>
      <c r="L251" s="84"/>
      <c r="M251" s="83"/>
      <c r="N251" s="84"/>
      <c r="O251" s="84"/>
      <c r="P251" s="84"/>
      <c r="Q251" s="84"/>
      <c r="R251" s="84"/>
      <c r="S251" s="86"/>
      <c r="T251" s="84"/>
      <c r="U251" s="84"/>
      <c r="V251" s="86"/>
      <c r="W251" s="84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66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2"/>
      <c r="AY251" s="72"/>
      <c r="BA251" s="73"/>
      <c r="BB251" s="73"/>
      <c r="BC251" s="73"/>
      <c r="BD251" s="72"/>
      <c r="BE251" s="72"/>
      <c r="BF251" s="72"/>
      <c r="BG251" s="72"/>
      <c r="BH251" s="72"/>
    </row>
    <row r="252" spans="1:60" x14ac:dyDescent="0.25">
      <c r="A252" s="59"/>
      <c r="B252" s="70"/>
      <c r="C252" s="67"/>
      <c r="D252" s="68"/>
      <c r="E252" s="69"/>
      <c r="F252" s="84"/>
      <c r="G252" s="83"/>
      <c r="H252" s="84"/>
      <c r="I252" s="84"/>
      <c r="J252" s="84"/>
      <c r="K252" s="84"/>
      <c r="L252" s="84"/>
      <c r="M252" s="83"/>
      <c r="N252" s="84"/>
      <c r="O252" s="84"/>
      <c r="P252" s="84"/>
      <c r="Q252" s="84"/>
      <c r="R252" s="84"/>
      <c r="S252" s="86"/>
      <c r="T252" s="84"/>
      <c r="U252" s="84"/>
      <c r="V252" s="86"/>
      <c r="W252" s="84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66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2"/>
      <c r="AY252" s="72"/>
      <c r="BA252" s="73"/>
      <c r="BB252" s="73"/>
      <c r="BC252" s="73"/>
      <c r="BD252" s="72"/>
      <c r="BE252" s="72"/>
      <c r="BF252" s="72"/>
      <c r="BG252" s="72"/>
      <c r="BH252" s="72"/>
    </row>
    <row r="253" spans="1:60" x14ac:dyDescent="0.25">
      <c r="A253" s="59"/>
      <c r="B253" s="70"/>
      <c r="C253" s="67"/>
      <c r="D253" s="68"/>
      <c r="E253" s="69"/>
      <c r="F253" s="84"/>
      <c r="G253" s="83"/>
      <c r="H253" s="84"/>
      <c r="I253" s="84"/>
      <c r="J253" s="84"/>
      <c r="K253" s="84"/>
      <c r="L253" s="84"/>
      <c r="M253" s="83"/>
      <c r="N253" s="84"/>
      <c r="O253" s="84"/>
      <c r="P253" s="84"/>
      <c r="Q253" s="84"/>
      <c r="R253" s="84"/>
      <c r="S253" s="86"/>
      <c r="T253" s="84"/>
      <c r="U253" s="84"/>
      <c r="V253" s="86"/>
      <c r="W253" s="84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66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2"/>
      <c r="AY253" s="72"/>
      <c r="BA253" s="73"/>
      <c r="BB253" s="73"/>
      <c r="BC253" s="73"/>
      <c r="BD253" s="72"/>
      <c r="BE253" s="72"/>
      <c r="BF253" s="72"/>
      <c r="BG253" s="72"/>
      <c r="BH253" s="72"/>
    </row>
    <row r="254" spans="1:60" x14ac:dyDescent="0.25">
      <c r="A254" s="59"/>
      <c r="B254" s="70"/>
      <c r="C254" s="67"/>
      <c r="D254" s="68"/>
      <c r="E254" s="69"/>
      <c r="F254" s="84"/>
      <c r="G254" s="83"/>
      <c r="H254" s="84"/>
      <c r="I254" s="84"/>
      <c r="J254" s="84"/>
      <c r="K254" s="84"/>
      <c r="L254" s="84"/>
      <c r="M254" s="83"/>
      <c r="N254" s="84"/>
      <c r="O254" s="84"/>
      <c r="P254" s="84"/>
      <c r="Q254" s="84"/>
      <c r="R254" s="84"/>
      <c r="S254" s="86"/>
      <c r="T254" s="84"/>
      <c r="U254" s="84"/>
      <c r="V254" s="86"/>
      <c r="W254" s="84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66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2"/>
      <c r="AY254" s="72"/>
      <c r="BA254" s="73"/>
      <c r="BB254" s="73"/>
      <c r="BC254" s="73"/>
      <c r="BD254" s="72"/>
      <c r="BE254" s="72"/>
      <c r="BF254" s="72"/>
      <c r="BG254" s="72"/>
      <c r="BH254" s="72"/>
    </row>
    <row r="255" spans="1:60" x14ac:dyDescent="0.25">
      <c r="A255" s="59"/>
      <c r="B255" s="70"/>
      <c r="C255" s="67"/>
      <c r="D255" s="68"/>
      <c r="E255" s="69"/>
      <c r="F255" s="84"/>
      <c r="G255" s="83"/>
      <c r="H255" s="84"/>
      <c r="I255" s="84"/>
      <c r="J255" s="84"/>
      <c r="K255" s="84"/>
      <c r="L255" s="84"/>
      <c r="M255" s="83"/>
      <c r="N255" s="84"/>
      <c r="O255" s="84"/>
      <c r="P255" s="84"/>
      <c r="Q255" s="84"/>
      <c r="R255" s="84"/>
      <c r="S255" s="86"/>
      <c r="T255" s="84"/>
      <c r="U255" s="84"/>
      <c r="V255" s="86"/>
      <c r="W255" s="84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66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2"/>
      <c r="AY255" s="72"/>
      <c r="BA255" s="73"/>
      <c r="BB255" s="73"/>
      <c r="BC255" s="73"/>
      <c r="BD255" s="72"/>
      <c r="BE255" s="72"/>
      <c r="BF255" s="72"/>
      <c r="BG255" s="72"/>
      <c r="BH255" s="72"/>
    </row>
    <row r="256" spans="1:60" x14ac:dyDescent="0.25">
      <c r="A256" s="59"/>
      <c r="B256" s="70"/>
      <c r="C256" s="67"/>
      <c r="D256" s="68"/>
      <c r="E256" s="69"/>
      <c r="F256" s="84"/>
      <c r="G256" s="83"/>
      <c r="H256" s="84"/>
      <c r="I256" s="84"/>
      <c r="J256" s="84"/>
      <c r="K256" s="84"/>
      <c r="L256" s="84"/>
      <c r="M256" s="83"/>
      <c r="N256" s="84"/>
      <c r="O256" s="84"/>
      <c r="P256" s="84"/>
      <c r="Q256" s="84"/>
      <c r="R256" s="84"/>
      <c r="S256" s="86"/>
      <c r="T256" s="84"/>
      <c r="U256" s="84"/>
      <c r="V256" s="86"/>
      <c r="W256" s="84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66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2"/>
      <c r="AY256" s="72"/>
      <c r="BA256" s="73"/>
      <c r="BB256" s="73"/>
      <c r="BC256" s="73"/>
      <c r="BD256" s="72"/>
      <c r="BE256" s="72"/>
      <c r="BF256" s="72"/>
      <c r="BG256" s="72"/>
      <c r="BH256" s="72"/>
    </row>
    <row r="257" spans="1:60" x14ac:dyDescent="0.25">
      <c r="A257" s="59"/>
      <c r="B257" s="70"/>
      <c r="C257" s="67"/>
      <c r="D257" s="68"/>
      <c r="E257" s="69"/>
      <c r="F257" s="84"/>
      <c r="G257" s="83"/>
      <c r="H257" s="84"/>
      <c r="I257" s="84"/>
      <c r="J257" s="84"/>
      <c r="K257" s="84"/>
      <c r="L257" s="84"/>
      <c r="M257" s="83"/>
      <c r="N257" s="84"/>
      <c r="O257" s="84"/>
      <c r="P257" s="84"/>
      <c r="Q257" s="84"/>
      <c r="R257" s="84"/>
      <c r="S257" s="86"/>
      <c r="T257" s="84"/>
      <c r="U257" s="84"/>
      <c r="V257" s="86"/>
      <c r="W257" s="84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66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2"/>
      <c r="AY257" s="72"/>
      <c r="BA257" s="73"/>
      <c r="BB257" s="73"/>
      <c r="BC257" s="73"/>
      <c r="BD257" s="72"/>
      <c r="BE257" s="72"/>
      <c r="BF257" s="72"/>
      <c r="BG257" s="72"/>
      <c r="BH257" s="72"/>
    </row>
    <row r="258" spans="1:60" x14ac:dyDescent="0.25">
      <c r="A258" s="59"/>
      <c r="B258" s="70"/>
      <c r="C258" s="67"/>
      <c r="D258" s="68"/>
      <c r="E258" s="69"/>
      <c r="F258" s="84"/>
      <c r="G258" s="83"/>
      <c r="H258" s="84"/>
      <c r="I258" s="84"/>
      <c r="J258" s="84"/>
      <c r="K258" s="84"/>
      <c r="L258" s="84"/>
      <c r="M258" s="83"/>
      <c r="N258" s="84"/>
      <c r="O258" s="84"/>
      <c r="P258" s="84"/>
      <c r="Q258" s="84"/>
      <c r="R258" s="84"/>
      <c r="S258" s="86"/>
      <c r="T258" s="84"/>
      <c r="U258" s="84"/>
      <c r="V258" s="86"/>
      <c r="W258" s="84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66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2"/>
      <c r="AY258" s="72"/>
      <c r="BA258" s="73"/>
      <c r="BB258" s="73"/>
      <c r="BC258" s="73"/>
      <c r="BD258" s="72"/>
      <c r="BE258" s="72"/>
      <c r="BF258" s="72"/>
      <c r="BG258" s="72"/>
      <c r="BH258" s="72"/>
    </row>
    <row r="259" spans="1:60" x14ac:dyDescent="0.25">
      <c r="A259" s="59"/>
      <c r="B259" s="70"/>
      <c r="C259" s="67"/>
      <c r="D259" s="68"/>
      <c r="E259" s="69"/>
      <c r="F259" s="84"/>
      <c r="G259" s="83"/>
      <c r="H259" s="84"/>
      <c r="I259" s="84"/>
      <c r="J259" s="84"/>
      <c r="K259" s="84"/>
      <c r="L259" s="84"/>
      <c r="M259" s="83"/>
      <c r="N259" s="84"/>
      <c r="O259" s="84"/>
      <c r="P259" s="84"/>
      <c r="Q259" s="84"/>
      <c r="R259" s="84"/>
      <c r="S259" s="86"/>
      <c r="T259" s="84"/>
      <c r="U259" s="84"/>
      <c r="V259" s="86"/>
      <c r="W259" s="84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66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2"/>
      <c r="AY259" s="72"/>
      <c r="BA259" s="73"/>
      <c r="BB259" s="73"/>
      <c r="BC259" s="73"/>
      <c r="BD259" s="72"/>
      <c r="BE259" s="72"/>
      <c r="BF259" s="72"/>
      <c r="BG259" s="72"/>
      <c r="BH259" s="72"/>
    </row>
    <row r="260" spans="1:60" x14ac:dyDescent="0.25">
      <c r="A260" s="59"/>
      <c r="B260" s="70"/>
      <c r="C260" s="67"/>
      <c r="D260" s="68"/>
      <c r="E260" s="69"/>
      <c r="F260" s="84"/>
      <c r="G260" s="83"/>
      <c r="H260" s="84"/>
      <c r="I260" s="84"/>
      <c r="J260" s="84"/>
      <c r="K260" s="84"/>
      <c r="L260" s="84"/>
      <c r="M260" s="83"/>
      <c r="N260" s="84"/>
      <c r="O260" s="84"/>
      <c r="P260" s="84"/>
      <c r="Q260" s="84"/>
      <c r="R260" s="84"/>
      <c r="S260" s="86"/>
      <c r="T260" s="84"/>
      <c r="U260" s="84"/>
      <c r="V260" s="86"/>
      <c r="W260" s="84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66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2"/>
      <c r="AY260" s="72"/>
      <c r="BA260" s="73"/>
      <c r="BB260" s="73"/>
      <c r="BC260" s="73"/>
      <c r="BD260" s="72"/>
      <c r="BE260" s="72"/>
      <c r="BF260" s="72"/>
      <c r="BG260" s="72"/>
      <c r="BH260" s="72"/>
    </row>
    <row r="261" spans="1:60" x14ac:dyDescent="0.25">
      <c r="A261" s="59"/>
      <c r="B261" s="70"/>
      <c r="C261" s="67"/>
      <c r="D261" s="68"/>
      <c r="E261" s="69"/>
      <c r="F261" s="84"/>
      <c r="G261" s="83"/>
      <c r="H261" s="84"/>
      <c r="I261" s="84"/>
      <c r="J261" s="84"/>
      <c r="K261" s="84"/>
      <c r="L261" s="84"/>
      <c r="M261" s="83"/>
      <c r="N261" s="84"/>
      <c r="O261" s="84"/>
      <c r="P261" s="84"/>
      <c r="Q261" s="84"/>
      <c r="R261" s="84"/>
      <c r="S261" s="86"/>
      <c r="T261" s="84"/>
      <c r="U261" s="84"/>
      <c r="V261" s="86"/>
      <c r="W261" s="84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66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2"/>
      <c r="AY261" s="72"/>
      <c r="BA261" s="73"/>
      <c r="BB261" s="73"/>
      <c r="BC261" s="73"/>
      <c r="BD261" s="72"/>
      <c r="BE261" s="72"/>
      <c r="BF261" s="72"/>
      <c r="BG261" s="72"/>
      <c r="BH261" s="72"/>
    </row>
    <row r="262" spans="1:60" x14ac:dyDescent="0.25">
      <c r="A262" s="59"/>
      <c r="B262" s="70"/>
      <c r="C262" s="67"/>
      <c r="D262" s="68"/>
      <c r="E262" s="69"/>
      <c r="F262" s="84"/>
      <c r="G262" s="83"/>
      <c r="H262" s="84"/>
      <c r="I262" s="84"/>
      <c r="J262" s="84"/>
      <c r="K262" s="84"/>
      <c r="L262" s="84"/>
      <c r="M262" s="83"/>
      <c r="N262" s="84"/>
      <c r="O262" s="84"/>
      <c r="P262" s="84"/>
      <c r="Q262" s="84"/>
      <c r="R262" s="84"/>
      <c r="S262" s="86"/>
      <c r="T262" s="84"/>
      <c r="U262" s="84"/>
      <c r="V262" s="86"/>
      <c r="W262" s="84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66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2"/>
      <c r="AY262" s="72"/>
      <c r="BA262" s="73"/>
      <c r="BB262" s="73"/>
      <c r="BC262" s="73"/>
      <c r="BD262" s="72"/>
      <c r="BE262" s="72"/>
      <c r="BF262" s="72"/>
      <c r="BG262" s="72"/>
      <c r="BH262" s="72"/>
    </row>
    <row r="263" spans="1:60" x14ac:dyDescent="0.25">
      <c r="A263" s="59"/>
      <c r="B263" s="70"/>
      <c r="C263" s="67"/>
      <c r="D263" s="68"/>
      <c r="E263" s="69"/>
      <c r="F263" s="84"/>
      <c r="G263" s="83"/>
      <c r="H263" s="84"/>
      <c r="I263" s="84"/>
      <c r="J263" s="84"/>
      <c r="K263" s="84"/>
      <c r="L263" s="84"/>
      <c r="M263" s="83"/>
      <c r="N263" s="84"/>
      <c r="O263" s="84"/>
      <c r="P263" s="84"/>
      <c r="Q263" s="84"/>
      <c r="R263" s="84"/>
      <c r="S263" s="86"/>
      <c r="T263" s="84"/>
      <c r="U263" s="84"/>
      <c r="V263" s="86"/>
      <c r="W263" s="84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66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2"/>
      <c r="AY263" s="72"/>
      <c r="BA263" s="73"/>
      <c r="BB263" s="73"/>
      <c r="BC263" s="73"/>
      <c r="BD263" s="72"/>
      <c r="BE263" s="72"/>
      <c r="BF263" s="72"/>
      <c r="BG263" s="72"/>
      <c r="BH263" s="72"/>
    </row>
    <row r="264" spans="1:60" x14ac:dyDescent="0.25">
      <c r="A264" s="59"/>
      <c r="B264" s="70"/>
      <c r="C264" s="67"/>
      <c r="D264" s="68"/>
      <c r="E264" s="69"/>
      <c r="F264" s="84"/>
      <c r="G264" s="83"/>
      <c r="H264" s="84"/>
      <c r="I264" s="84"/>
      <c r="J264" s="84"/>
      <c r="K264" s="84"/>
      <c r="L264" s="84"/>
      <c r="M264" s="83"/>
      <c r="N264" s="84"/>
      <c r="O264" s="84"/>
      <c r="P264" s="84"/>
      <c r="Q264" s="84"/>
      <c r="R264" s="84"/>
      <c r="S264" s="86"/>
      <c r="T264" s="84"/>
      <c r="U264" s="84"/>
      <c r="V264" s="86"/>
      <c r="W264" s="84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66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2"/>
      <c r="AY264" s="72"/>
      <c r="BA264" s="73"/>
      <c r="BB264" s="73"/>
      <c r="BC264" s="73"/>
      <c r="BD264" s="72"/>
      <c r="BE264" s="72"/>
      <c r="BF264" s="72"/>
      <c r="BG264" s="72"/>
      <c r="BH264" s="72"/>
    </row>
    <row r="265" spans="1:60" x14ac:dyDescent="0.25">
      <c r="A265" s="59"/>
      <c r="B265" s="70"/>
      <c r="C265" s="67"/>
      <c r="D265" s="68"/>
      <c r="E265" s="69"/>
      <c r="F265" s="84"/>
      <c r="G265" s="83"/>
      <c r="H265" s="84"/>
      <c r="I265" s="84"/>
      <c r="J265" s="84"/>
      <c r="K265" s="84"/>
      <c r="L265" s="84"/>
      <c r="M265" s="83"/>
      <c r="N265" s="84"/>
      <c r="O265" s="84"/>
      <c r="P265" s="84"/>
      <c r="Q265" s="84"/>
      <c r="R265" s="84"/>
      <c r="S265" s="86"/>
      <c r="T265" s="84"/>
      <c r="U265" s="84"/>
      <c r="V265" s="86"/>
      <c r="W265" s="84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66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2"/>
      <c r="AY265" s="72"/>
      <c r="BA265" s="73"/>
      <c r="BB265" s="73"/>
      <c r="BC265" s="73"/>
      <c r="BD265" s="72"/>
      <c r="BE265" s="72"/>
      <c r="BF265" s="72"/>
      <c r="BG265" s="72"/>
      <c r="BH265" s="72"/>
    </row>
    <row r="266" spans="1:60" x14ac:dyDescent="0.25">
      <c r="A266" s="59"/>
      <c r="B266" s="70"/>
      <c r="C266" s="67"/>
      <c r="D266" s="68"/>
      <c r="E266" s="69"/>
      <c r="F266" s="84"/>
      <c r="G266" s="83"/>
      <c r="H266" s="84"/>
      <c r="I266" s="84"/>
      <c r="J266" s="84"/>
      <c r="K266" s="84"/>
      <c r="L266" s="84"/>
      <c r="M266" s="83"/>
      <c r="N266" s="84"/>
      <c r="O266" s="84"/>
      <c r="P266" s="84"/>
      <c r="Q266" s="84"/>
      <c r="R266" s="84"/>
      <c r="S266" s="86"/>
      <c r="T266" s="84"/>
      <c r="U266" s="84"/>
      <c r="V266" s="86"/>
      <c r="W266" s="84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66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2"/>
      <c r="AY266" s="72"/>
      <c r="BA266" s="73"/>
      <c r="BB266" s="73"/>
      <c r="BC266" s="73"/>
      <c r="BD266" s="72"/>
      <c r="BE266" s="72"/>
      <c r="BF266" s="72"/>
      <c r="BG266" s="72"/>
      <c r="BH266" s="72"/>
    </row>
    <row r="267" spans="1:60" x14ac:dyDescent="0.25">
      <c r="B267" s="70"/>
      <c r="C267" s="67"/>
      <c r="D267" s="68"/>
      <c r="E267" s="69"/>
      <c r="F267" s="84"/>
      <c r="G267" s="83"/>
      <c r="H267" s="84"/>
      <c r="I267" s="84"/>
      <c r="J267" s="84"/>
      <c r="K267" s="84"/>
      <c r="L267" s="84"/>
      <c r="M267" s="83"/>
      <c r="N267" s="84"/>
      <c r="O267" s="84"/>
      <c r="P267" s="84"/>
      <c r="Q267" s="84"/>
      <c r="R267" s="84"/>
      <c r="S267" s="86"/>
      <c r="T267" s="84"/>
      <c r="U267" s="84"/>
      <c r="V267" s="86"/>
      <c r="W267" s="84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66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2"/>
      <c r="AY267" s="72"/>
    </row>
    <row r="268" spans="1:60" x14ac:dyDescent="0.25">
      <c r="B268" s="70"/>
      <c r="C268" s="67"/>
      <c r="D268" s="68"/>
      <c r="E268" s="69"/>
      <c r="F268" s="84"/>
      <c r="G268" s="83"/>
      <c r="H268" s="84"/>
      <c r="I268" s="84"/>
      <c r="J268" s="84"/>
      <c r="K268" s="84"/>
      <c r="L268" s="84"/>
      <c r="M268" s="83"/>
      <c r="N268" s="84"/>
      <c r="O268" s="84"/>
      <c r="P268" s="84"/>
      <c r="Q268" s="84"/>
      <c r="R268" s="84"/>
      <c r="S268" s="86"/>
      <c r="T268" s="84"/>
      <c r="U268" s="84"/>
      <c r="V268" s="86"/>
      <c r="W268" s="84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66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2"/>
      <c r="AY268" s="72"/>
    </row>
    <row r="269" spans="1:60" x14ac:dyDescent="0.25">
      <c r="B269" s="70"/>
      <c r="C269" s="67"/>
      <c r="D269" s="68"/>
      <c r="E269" s="69"/>
      <c r="F269" s="84"/>
      <c r="G269" s="83"/>
      <c r="H269" s="84"/>
      <c r="I269" s="84"/>
      <c r="J269" s="84"/>
      <c r="K269" s="84"/>
      <c r="L269" s="84"/>
      <c r="M269" s="83"/>
      <c r="N269" s="84"/>
      <c r="O269" s="84"/>
      <c r="P269" s="84"/>
      <c r="Q269" s="84"/>
      <c r="R269" s="84"/>
      <c r="S269" s="86"/>
      <c r="T269" s="84"/>
      <c r="U269" s="84"/>
      <c r="V269" s="86"/>
      <c r="W269" s="84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66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2"/>
      <c r="AY269" s="72"/>
    </row>
    <row r="270" spans="1:60" x14ac:dyDescent="0.25">
      <c r="B270" s="70"/>
      <c r="C270" s="67"/>
      <c r="D270" s="68"/>
      <c r="E270" s="69"/>
      <c r="F270" s="84"/>
      <c r="G270" s="83"/>
      <c r="H270" s="84"/>
      <c r="I270" s="84"/>
      <c r="J270" s="84"/>
      <c r="K270" s="84"/>
      <c r="L270" s="84"/>
      <c r="M270" s="83"/>
      <c r="N270" s="84"/>
      <c r="O270" s="84"/>
      <c r="P270" s="84"/>
      <c r="Q270" s="84"/>
      <c r="R270" s="84"/>
      <c r="S270" s="86"/>
      <c r="T270" s="84"/>
      <c r="U270" s="84"/>
      <c r="V270" s="86"/>
      <c r="W270" s="84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66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2"/>
      <c r="AY270" s="72"/>
    </row>
    <row r="271" spans="1:60" x14ac:dyDescent="0.25">
      <c r="B271" s="70"/>
      <c r="C271" s="67"/>
      <c r="D271" s="68"/>
      <c r="E271" s="69"/>
      <c r="F271" s="84"/>
      <c r="G271" s="83"/>
      <c r="H271" s="84"/>
      <c r="I271" s="84"/>
      <c r="J271" s="84"/>
      <c r="K271" s="84"/>
      <c r="L271" s="84"/>
      <c r="M271" s="83"/>
      <c r="N271" s="84"/>
      <c r="O271" s="84"/>
      <c r="P271" s="84"/>
      <c r="Q271" s="84"/>
      <c r="R271" s="84"/>
      <c r="S271" s="86"/>
      <c r="T271" s="84"/>
      <c r="U271" s="84"/>
      <c r="V271" s="86"/>
      <c r="W271" s="84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66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2"/>
      <c r="AY271" s="72"/>
    </row>
    <row r="272" spans="1:60" x14ac:dyDescent="0.25">
      <c r="B272" s="70"/>
      <c r="C272" s="67"/>
      <c r="D272" s="68"/>
      <c r="E272" s="69"/>
      <c r="F272" s="84"/>
      <c r="G272" s="83"/>
      <c r="H272" s="84"/>
      <c r="I272" s="84"/>
      <c r="J272" s="84"/>
      <c r="K272" s="84"/>
      <c r="L272" s="84"/>
      <c r="M272" s="83"/>
      <c r="N272" s="84"/>
      <c r="O272" s="84"/>
      <c r="P272" s="84"/>
      <c r="Q272" s="84"/>
      <c r="R272" s="84"/>
      <c r="S272" s="86"/>
      <c r="T272" s="84"/>
      <c r="U272" s="84"/>
      <c r="V272" s="86"/>
      <c r="W272" s="84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66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2"/>
      <c r="AY272" s="72"/>
    </row>
    <row r="273" spans="2:51" x14ac:dyDescent="0.25">
      <c r="B273" s="70"/>
      <c r="C273" s="67"/>
      <c r="D273" s="68"/>
      <c r="E273" s="69"/>
      <c r="F273" s="84"/>
      <c r="G273" s="83"/>
      <c r="H273" s="84"/>
      <c r="I273" s="84"/>
      <c r="J273" s="84"/>
      <c r="K273" s="84"/>
      <c r="L273" s="84"/>
      <c r="M273" s="83"/>
      <c r="N273" s="84"/>
      <c r="O273" s="84"/>
      <c r="P273" s="84"/>
      <c r="Q273" s="84"/>
      <c r="R273" s="84"/>
      <c r="S273" s="86"/>
      <c r="T273" s="84"/>
      <c r="U273" s="84"/>
      <c r="V273" s="86"/>
      <c r="W273" s="84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66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2"/>
      <c r="AY273" s="72"/>
    </row>
    <row r="274" spans="2:51" x14ac:dyDescent="0.25">
      <c r="B274" s="70"/>
      <c r="C274" s="67"/>
      <c r="D274" s="68"/>
      <c r="E274" s="69"/>
      <c r="F274" s="84"/>
      <c r="G274" s="83"/>
      <c r="H274" s="84"/>
      <c r="I274" s="84"/>
      <c r="J274" s="84"/>
      <c r="K274" s="84"/>
      <c r="L274" s="84"/>
      <c r="M274" s="83"/>
      <c r="N274" s="84"/>
      <c r="O274" s="84"/>
      <c r="P274" s="84"/>
      <c r="Q274" s="84"/>
      <c r="R274" s="84"/>
      <c r="S274" s="86"/>
      <c r="T274" s="84"/>
      <c r="U274" s="84"/>
      <c r="V274" s="86"/>
      <c r="W274" s="84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66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2"/>
      <c r="AY274" s="72"/>
    </row>
    <row r="275" spans="2:51" x14ac:dyDescent="0.25">
      <c r="B275" s="70"/>
      <c r="C275" s="67"/>
      <c r="D275" s="68"/>
      <c r="E275" s="69"/>
      <c r="F275" s="84"/>
      <c r="G275" s="83"/>
      <c r="H275" s="84"/>
      <c r="I275" s="84"/>
      <c r="J275" s="84"/>
      <c r="K275" s="84"/>
      <c r="L275" s="84"/>
      <c r="M275" s="83"/>
      <c r="N275" s="84"/>
      <c r="O275" s="84"/>
      <c r="P275" s="84"/>
      <c r="Q275" s="84"/>
      <c r="R275" s="84"/>
      <c r="S275" s="86"/>
      <c r="T275" s="84"/>
      <c r="U275" s="84"/>
      <c r="V275" s="86"/>
      <c r="W275" s="84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66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2"/>
      <c r="AY275" s="72"/>
    </row>
    <row r="276" spans="2:51" x14ac:dyDescent="0.25">
      <c r="B276" s="70"/>
      <c r="C276" s="67"/>
      <c r="D276" s="68"/>
      <c r="E276" s="69"/>
      <c r="F276" s="84"/>
      <c r="G276" s="83"/>
      <c r="H276" s="84"/>
      <c r="I276" s="84"/>
      <c r="J276" s="84"/>
      <c r="K276" s="84"/>
      <c r="L276" s="84"/>
      <c r="M276" s="83"/>
      <c r="N276" s="84"/>
      <c r="O276" s="84"/>
      <c r="P276" s="84"/>
      <c r="Q276" s="84"/>
      <c r="R276" s="84"/>
      <c r="S276" s="86"/>
      <c r="T276" s="84"/>
      <c r="U276" s="84"/>
      <c r="V276" s="86"/>
      <c r="W276" s="84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66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2"/>
      <c r="AY276" s="72"/>
    </row>
    <row r="277" spans="2:51" x14ac:dyDescent="0.25">
      <c r="B277" s="70"/>
      <c r="C277" s="67"/>
      <c r="D277" s="68"/>
      <c r="E277" s="69"/>
      <c r="F277" s="84"/>
      <c r="G277" s="83"/>
      <c r="H277" s="84"/>
      <c r="I277" s="84"/>
      <c r="J277" s="84"/>
      <c r="K277" s="84"/>
      <c r="L277" s="84"/>
      <c r="M277" s="83"/>
      <c r="N277" s="84"/>
      <c r="O277" s="84"/>
      <c r="P277" s="84"/>
      <c r="Q277" s="84"/>
      <c r="R277" s="84"/>
      <c r="S277" s="86"/>
      <c r="T277" s="84"/>
      <c r="U277" s="84"/>
      <c r="V277" s="86"/>
      <c r="W277" s="84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66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2"/>
      <c r="AY277" s="72"/>
    </row>
    <row r="278" spans="2:51" x14ac:dyDescent="0.25">
      <c r="B278" s="70"/>
      <c r="C278" s="67"/>
      <c r="D278" s="68"/>
      <c r="E278" s="69"/>
      <c r="F278" s="84"/>
      <c r="G278" s="83"/>
      <c r="H278" s="84"/>
      <c r="I278" s="84"/>
      <c r="J278" s="84"/>
      <c r="K278" s="84"/>
      <c r="L278" s="84"/>
      <c r="M278" s="83"/>
      <c r="N278" s="84"/>
      <c r="O278" s="84"/>
      <c r="P278" s="84"/>
      <c r="Q278" s="84"/>
      <c r="R278" s="84"/>
      <c r="S278" s="86"/>
      <c r="T278" s="84"/>
      <c r="U278" s="84"/>
      <c r="V278" s="86"/>
      <c r="W278" s="84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66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2"/>
      <c r="AY278" s="72"/>
    </row>
    <row r="279" spans="2:51" x14ac:dyDescent="0.25">
      <c r="B279" s="70"/>
      <c r="C279" s="67"/>
      <c r="D279" s="68"/>
      <c r="E279" s="69"/>
      <c r="F279" s="84"/>
      <c r="G279" s="83"/>
      <c r="H279" s="84"/>
      <c r="I279" s="84"/>
      <c r="J279" s="84"/>
      <c r="K279" s="84"/>
      <c r="L279" s="84"/>
      <c r="M279" s="83"/>
      <c r="N279" s="84"/>
      <c r="O279" s="84"/>
      <c r="P279" s="84"/>
      <c r="Q279" s="84"/>
      <c r="R279" s="84"/>
      <c r="S279" s="86"/>
      <c r="T279" s="84"/>
      <c r="U279" s="84"/>
      <c r="V279" s="86"/>
      <c r="W279" s="84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66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2"/>
      <c r="AY279" s="72"/>
    </row>
    <row r="280" spans="2:51" x14ac:dyDescent="0.25">
      <c r="B280" s="70"/>
      <c r="C280" s="67"/>
      <c r="D280" s="68"/>
      <c r="E280" s="69"/>
      <c r="F280" s="84"/>
      <c r="G280" s="83"/>
      <c r="H280" s="84"/>
      <c r="I280" s="84"/>
      <c r="J280" s="84"/>
      <c r="K280" s="84"/>
      <c r="L280" s="84"/>
      <c r="M280" s="83"/>
      <c r="N280" s="84"/>
      <c r="O280" s="84"/>
      <c r="P280" s="84"/>
      <c r="Q280" s="84"/>
      <c r="R280" s="84"/>
      <c r="S280" s="86"/>
      <c r="T280" s="84"/>
      <c r="U280" s="84"/>
      <c r="V280" s="86"/>
      <c r="W280" s="84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66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2"/>
      <c r="AY280" s="72"/>
    </row>
    <row r="281" spans="2:51" x14ac:dyDescent="0.25">
      <c r="B281" s="70"/>
      <c r="C281" s="67"/>
      <c r="D281" s="68"/>
      <c r="E281" s="69"/>
      <c r="F281" s="84"/>
      <c r="G281" s="83"/>
      <c r="H281" s="84"/>
      <c r="I281" s="84"/>
      <c r="J281" s="84"/>
      <c r="K281" s="84"/>
      <c r="L281" s="84"/>
      <c r="M281" s="83"/>
      <c r="N281" s="84"/>
      <c r="O281" s="84"/>
      <c r="P281" s="84"/>
      <c r="Q281" s="84"/>
      <c r="R281" s="84"/>
      <c r="S281" s="86"/>
      <c r="T281" s="84"/>
      <c r="U281" s="84"/>
      <c r="V281" s="86"/>
      <c r="W281" s="84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66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2"/>
      <c r="AY281" s="72"/>
    </row>
    <row r="282" spans="2:51" x14ac:dyDescent="0.25">
      <c r="B282" s="70"/>
      <c r="C282" s="67"/>
      <c r="D282" s="68"/>
      <c r="E282" s="69"/>
      <c r="F282" s="84"/>
      <c r="G282" s="83"/>
      <c r="H282" s="84"/>
      <c r="I282" s="84"/>
      <c r="J282" s="84"/>
      <c r="K282" s="84"/>
      <c r="L282" s="84"/>
      <c r="M282" s="83"/>
      <c r="N282" s="84"/>
      <c r="O282" s="84"/>
      <c r="P282" s="84"/>
      <c r="Q282" s="84"/>
      <c r="R282" s="84"/>
      <c r="S282" s="86"/>
      <c r="T282" s="84"/>
      <c r="U282" s="84"/>
      <c r="V282" s="86"/>
      <c r="W282" s="84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66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2"/>
      <c r="AY282" s="72"/>
    </row>
    <row r="283" spans="2:51" x14ac:dyDescent="0.25">
      <c r="B283" s="70"/>
      <c r="C283" s="67"/>
      <c r="D283" s="68"/>
      <c r="E283" s="69"/>
      <c r="F283" s="84"/>
      <c r="G283" s="83"/>
      <c r="H283" s="84"/>
      <c r="I283" s="84"/>
      <c r="J283" s="84"/>
      <c r="K283" s="84"/>
      <c r="L283" s="84"/>
      <c r="M283" s="83"/>
      <c r="N283" s="84"/>
      <c r="O283" s="84"/>
      <c r="P283" s="84"/>
      <c r="Q283" s="84"/>
      <c r="R283" s="84"/>
      <c r="S283" s="86"/>
      <c r="T283" s="84"/>
      <c r="U283" s="84"/>
      <c r="V283" s="86"/>
      <c r="W283" s="84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66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2"/>
      <c r="AY283" s="72"/>
    </row>
    <row r="284" spans="2:51" x14ac:dyDescent="0.25">
      <c r="B284" s="70"/>
      <c r="C284" s="67"/>
      <c r="D284" s="68"/>
      <c r="E284" s="69"/>
      <c r="F284" s="84"/>
      <c r="G284" s="83"/>
      <c r="H284" s="84"/>
      <c r="I284" s="84"/>
      <c r="J284" s="84"/>
      <c r="K284" s="84"/>
      <c r="L284" s="84"/>
      <c r="M284" s="83"/>
      <c r="N284" s="84"/>
      <c r="O284" s="84"/>
      <c r="P284" s="84"/>
      <c r="Q284" s="84"/>
      <c r="R284" s="84"/>
      <c r="S284" s="86"/>
      <c r="T284" s="84"/>
      <c r="U284" s="84"/>
      <c r="V284" s="86"/>
      <c r="W284" s="84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66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2"/>
      <c r="AY284" s="72"/>
    </row>
    <row r="285" spans="2:51" x14ac:dyDescent="0.25">
      <c r="B285" s="70"/>
      <c r="C285" s="67"/>
      <c r="D285" s="68"/>
      <c r="E285" s="69"/>
      <c r="F285" s="84"/>
      <c r="G285" s="83"/>
      <c r="H285" s="84"/>
      <c r="I285" s="84"/>
      <c r="J285" s="84"/>
      <c r="K285" s="84"/>
      <c r="L285" s="84"/>
      <c r="M285" s="83"/>
      <c r="N285" s="84"/>
      <c r="O285" s="84"/>
      <c r="P285" s="84"/>
      <c r="Q285" s="84"/>
      <c r="R285" s="84"/>
      <c r="S285" s="86"/>
      <c r="T285" s="84"/>
      <c r="U285" s="84"/>
      <c r="V285" s="86"/>
      <c r="W285" s="84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66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2"/>
      <c r="AY285" s="72"/>
    </row>
    <row r="286" spans="2:51" x14ac:dyDescent="0.25">
      <c r="B286" s="70"/>
      <c r="C286" s="67"/>
      <c r="D286" s="68"/>
      <c r="E286" s="69"/>
      <c r="F286" s="84"/>
      <c r="G286" s="83"/>
      <c r="H286" s="84"/>
      <c r="I286" s="84"/>
      <c r="J286" s="84"/>
      <c r="K286" s="84"/>
      <c r="L286" s="84"/>
      <c r="M286" s="83"/>
      <c r="N286" s="84"/>
      <c r="O286" s="84"/>
      <c r="P286" s="84"/>
      <c r="Q286" s="84"/>
      <c r="R286" s="84"/>
      <c r="S286" s="86"/>
      <c r="T286" s="84"/>
      <c r="U286" s="84"/>
      <c r="V286" s="86"/>
      <c r="W286" s="84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66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2"/>
      <c r="AY286" s="72"/>
    </row>
    <row r="287" spans="2:51" x14ac:dyDescent="0.25">
      <c r="B287" s="70"/>
      <c r="C287" s="67"/>
      <c r="D287" s="68"/>
      <c r="E287" s="69"/>
      <c r="F287" s="84"/>
      <c r="G287" s="83"/>
      <c r="H287" s="84"/>
      <c r="I287" s="84"/>
      <c r="J287" s="84"/>
      <c r="K287" s="84"/>
      <c r="L287" s="84"/>
      <c r="M287" s="83"/>
      <c r="N287" s="84"/>
      <c r="O287" s="84"/>
      <c r="P287" s="84"/>
      <c r="Q287" s="84"/>
      <c r="R287" s="84"/>
      <c r="S287" s="86"/>
      <c r="T287" s="84"/>
      <c r="U287" s="84"/>
      <c r="V287" s="86"/>
      <c r="W287" s="84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66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2"/>
      <c r="AY287" s="72"/>
    </row>
    <row r="288" spans="2:51" x14ac:dyDescent="0.25">
      <c r="B288" s="70"/>
      <c r="C288" s="67"/>
      <c r="D288" s="68"/>
      <c r="E288" s="69"/>
      <c r="F288" s="84"/>
      <c r="G288" s="83"/>
      <c r="H288" s="84"/>
      <c r="I288" s="84"/>
      <c r="J288" s="84"/>
      <c r="K288" s="84"/>
      <c r="L288" s="84"/>
      <c r="M288" s="83"/>
      <c r="N288" s="84"/>
      <c r="O288" s="84"/>
      <c r="P288" s="84"/>
      <c r="Q288" s="84"/>
      <c r="R288" s="84"/>
      <c r="S288" s="86"/>
      <c r="T288" s="84"/>
      <c r="U288" s="84"/>
      <c r="V288" s="86"/>
      <c r="W288" s="84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66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2"/>
      <c r="AY288" s="72"/>
    </row>
    <row r="289" spans="2:51" x14ac:dyDescent="0.25">
      <c r="B289" s="70"/>
      <c r="C289" s="67"/>
      <c r="D289" s="68"/>
      <c r="E289" s="69"/>
      <c r="F289" s="84"/>
      <c r="G289" s="83"/>
      <c r="H289" s="84"/>
      <c r="I289" s="84"/>
      <c r="J289" s="84"/>
      <c r="K289" s="84"/>
      <c r="L289" s="84"/>
      <c r="M289" s="83"/>
      <c r="N289" s="84"/>
      <c r="O289" s="84"/>
      <c r="P289" s="84"/>
      <c r="Q289" s="84"/>
      <c r="R289" s="84"/>
      <c r="S289" s="86"/>
      <c r="T289" s="84"/>
      <c r="U289" s="84"/>
      <c r="V289" s="86"/>
      <c r="W289" s="84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66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2"/>
      <c r="AY289" s="72"/>
    </row>
    <row r="290" spans="2:51" x14ac:dyDescent="0.25">
      <c r="B290" s="70"/>
      <c r="C290" s="67"/>
      <c r="D290" s="68"/>
      <c r="E290" s="69"/>
      <c r="F290" s="84"/>
      <c r="G290" s="83"/>
      <c r="H290" s="84"/>
      <c r="I290" s="84"/>
      <c r="J290" s="84"/>
      <c r="K290" s="84"/>
      <c r="L290" s="84"/>
      <c r="M290" s="83"/>
      <c r="N290" s="84"/>
      <c r="O290" s="84"/>
      <c r="P290" s="84"/>
      <c r="Q290" s="84"/>
      <c r="R290" s="84"/>
      <c r="S290" s="86"/>
      <c r="T290" s="84"/>
      <c r="U290" s="84"/>
      <c r="V290" s="86"/>
      <c r="W290" s="84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66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2"/>
      <c r="AY290" s="72"/>
    </row>
    <row r="291" spans="2:51" x14ac:dyDescent="0.25">
      <c r="B291" s="70"/>
      <c r="C291" s="67"/>
      <c r="D291" s="68"/>
      <c r="E291" s="69"/>
      <c r="F291" s="84"/>
      <c r="G291" s="83"/>
      <c r="H291" s="84"/>
      <c r="I291" s="84"/>
      <c r="J291" s="84"/>
      <c r="K291" s="84"/>
      <c r="L291" s="84"/>
      <c r="M291" s="83"/>
      <c r="N291" s="84"/>
      <c r="O291" s="84"/>
      <c r="P291" s="84"/>
      <c r="Q291" s="84"/>
      <c r="R291" s="84"/>
      <c r="S291" s="86"/>
      <c r="T291" s="84"/>
      <c r="U291" s="84"/>
      <c r="V291" s="86"/>
      <c r="W291" s="84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66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2"/>
      <c r="AY291" s="72"/>
    </row>
    <row r="292" spans="2:51" x14ac:dyDescent="0.25">
      <c r="B292" s="70"/>
      <c r="C292" s="67"/>
      <c r="D292" s="68"/>
      <c r="E292" s="69"/>
      <c r="F292" s="84"/>
      <c r="G292" s="83"/>
      <c r="H292" s="84"/>
      <c r="I292" s="84"/>
      <c r="J292" s="84"/>
      <c r="K292" s="84"/>
      <c r="L292" s="84"/>
      <c r="M292" s="83"/>
      <c r="N292" s="84"/>
      <c r="O292" s="84"/>
      <c r="P292" s="84"/>
      <c r="Q292" s="84"/>
      <c r="R292" s="84"/>
      <c r="S292" s="86"/>
      <c r="T292" s="84"/>
      <c r="U292" s="84"/>
      <c r="V292" s="86"/>
      <c r="W292" s="84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66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2"/>
      <c r="AY292" s="72"/>
    </row>
    <row r="293" spans="2:51" x14ac:dyDescent="0.25">
      <c r="B293" s="70"/>
      <c r="C293" s="67"/>
      <c r="D293" s="68"/>
      <c r="E293" s="69"/>
      <c r="F293" s="84"/>
      <c r="G293" s="83"/>
      <c r="H293" s="84"/>
      <c r="I293" s="84"/>
      <c r="J293" s="84"/>
      <c r="K293" s="84"/>
      <c r="L293" s="84"/>
      <c r="M293" s="83"/>
      <c r="N293" s="84"/>
      <c r="O293" s="84"/>
      <c r="P293" s="84"/>
      <c r="Q293" s="84"/>
      <c r="R293" s="84"/>
      <c r="S293" s="86"/>
      <c r="T293" s="84"/>
      <c r="U293" s="84"/>
      <c r="V293" s="86"/>
      <c r="W293" s="84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66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2"/>
      <c r="AY293" s="72"/>
    </row>
    <row r="294" spans="2:51" x14ac:dyDescent="0.25">
      <c r="B294" s="70"/>
      <c r="C294" s="67"/>
      <c r="D294" s="68"/>
      <c r="E294" s="69"/>
      <c r="F294" s="84"/>
      <c r="G294" s="83"/>
      <c r="H294" s="84"/>
      <c r="I294" s="84"/>
      <c r="J294" s="84"/>
      <c r="K294" s="84"/>
      <c r="L294" s="84"/>
      <c r="M294" s="83"/>
      <c r="N294" s="84"/>
      <c r="O294" s="84"/>
      <c r="P294" s="84"/>
      <c r="Q294" s="84"/>
      <c r="R294" s="84"/>
      <c r="S294" s="86"/>
      <c r="T294" s="84"/>
      <c r="U294" s="84"/>
      <c r="V294" s="86"/>
      <c r="W294" s="84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66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2"/>
      <c r="AY294" s="72"/>
    </row>
    <row r="295" spans="2:51" x14ac:dyDescent="0.25">
      <c r="B295" s="70"/>
      <c r="C295" s="67"/>
      <c r="D295" s="68"/>
      <c r="E295" s="69"/>
      <c r="F295" s="84"/>
      <c r="G295" s="83"/>
      <c r="H295" s="84"/>
      <c r="I295" s="84"/>
      <c r="J295" s="84"/>
      <c r="K295" s="84"/>
      <c r="L295" s="84"/>
      <c r="M295" s="83"/>
      <c r="N295" s="84"/>
      <c r="O295" s="84"/>
      <c r="P295" s="84"/>
      <c r="Q295" s="84"/>
      <c r="R295" s="84"/>
      <c r="S295" s="86"/>
      <c r="T295" s="84"/>
      <c r="U295" s="84"/>
      <c r="V295" s="86"/>
      <c r="W295" s="84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66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2"/>
      <c r="AY295" s="72"/>
    </row>
    <row r="296" spans="2:51" x14ac:dyDescent="0.25">
      <c r="B296" s="70"/>
      <c r="C296" s="67"/>
      <c r="D296" s="68"/>
      <c r="E296" s="69"/>
      <c r="F296" s="84"/>
      <c r="G296" s="83"/>
      <c r="H296" s="84"/>
      <c r="I296" s="84"/>
      <c r="J296" s="84"/>
      <c r="K296" s="84"/>
      <c r="L296" s="84"/>
      <c r="M296" s="83"/>
      <c r="N296" s="84"/>
      <c r="O296" s="84"/>
      <c r="P296" s="84"/>
      <c r="Q296" s="84"/>
      <c r="R296" s="84"/>
      <c r="S296" s="86"/>
      <c r="T296" s="84"/>
      <c r="U296" s="84"/>
      <c r="V296" s="86"/>
      <c r="W296" s="84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66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2"/>
      <c r="AY296" s="72"/>
    </row>
    <row r="297" spans="2:51" x14ac:dyDescent="0.25">
      <c r="B297" s="70"/>
      <c r="C297" s="67"/>
      <c r="D297" s="68"/>
      <c r="E297" s="69"/>
      <c r="F297" s="84"/>
      <c r="G297" s="83"/>
      <c r="H297" s="84"/>
      <c r="I297" s="84"/>
      <c r="J297" s="84"/>
      <c r="K297" s="84"/>
      <c r="L297" s="84"/>
      <c r="M297" s="83"/>
      <c r="N297" s="84"/>
      <c r="O297" s="84"/>
      <c r="P297" s="84"/>
      <c r="Q297" s="84"/>
      <c r="R297" s="84"/>
      <c r="S297" s="86"/>
      <c r="T297" s="84"/>
      <c r="U297" s="84"/>
      <c r="V297" s="86"/>
      <c r="W297" s="84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66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2"/>
      <c r="AY297" s="72"/>
    </row>
    <row r="298" spans="2:51" x14ac:dyDescent="0.25">
      <c r="B298" s="70"/>
      <c r="C298" s="67"/>
      <c r="D298" s="68"/>
      <c r="E298" s="69"/>
      <c r="F298" s="84"/>
      <c r="G298" s="83"/>
      <c r="H298" s="84"/>
      <c r="I298" s="84"/>
      <c r="J298" s="84"/>
      <c r="K298" s="84"/>
      <c r="L298" s="84"/>
      <c r="M298" s="83"/>
      <c r="N298" s="84"/>
      <c r="O298" s="84"/>
      <c r="P298" s="84"/>
      <c r="Q298" s="84"/>
      <c r="R298" s="84"/>
      <c r="S298" s="86"/>
      <c r="T298" s="84"/>
      <c r="U298" s="84"/>
      <c r="V298" s="86"/>
      <c r="W298" s="84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66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2"/>
      <c r="AY298" s="72"/>
    </row>
    <row r="299" spans="2:51" x14ac:dyDescent="0.25">
      <c r="B299" s="70"/>
      <c r="C299" s="67"/>
      <c r="D299" s="68"/>
      <c r="E299" s="69"/>
      <c r="F299" s="84"/>
      <c r="G299" s="83"/>
      <c r="H299" s="84"/>
      <c r="I299" s="84"/>
      <c r="J299" s="84"/>
      <c r="K299" s="84"/>
      <c r="L299" s="84"/>
      <c r="M299" s="83"/>
      <c r="N299" s="84"/>
      <c r="O299" s="84"/>
      <c r="P299" s="84"/>
      <c r="Q299" s="84"/>
      <c r="R299" s="84"/>
      <c r="S299" s="86"/>
      <c r="T299" s="84"/>
      <c r="U299" s="84"/>
      <c r="V299" s="86"/>
      <c r="W299" s="84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66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2"/>
      <c r="AY299" s="72"/>
    </row>
    <row r="300" spans="2:51" x14ac:dyDescent="0.25">
      <c r="B300" s="70"/>
      <c r="C300" s="67"/>
      <c r="D300" s="68"/>
      <c r="E300" s="69"/>
      <c r="F300" s="84"/>
      <c r="G300" s="83"/>
      <c r="H300" s="84"/>
      <c r="I300" s="84"/>
      <c r="J300" s="84"/>
      <c r="K300" s="84"/>
      <c r="L300" s="84"/>
      <c r="M300" s="83"/>
      <c r="N300" s="84"/>
      <c r="O300" s="84"/>
      <c r="P300" s="84"/>
      <c r="Q300" s="84"/>
      <c r="R300" s="84"/>
      <c r="S300" s="86"/>
      <c r="T300" s="84"/>
      <c r="U300" s="84"/>
      <c r="V300" s="86"/>
      <c r="W300" s="84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66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2"/>
      <c r="AY300" s="72"/>
    </row>
    <row r="301" spans="2:51" x14ac:dyDescent="0.25">
      <c r="B301" s="70"/>
      <c r="C301" s="67"/>
      <c r="D301" s="68"/>
      <c r="E301" s="69"/>
      <c r="F301" s="84"/>
      <c r="G301" s="83"/>
      <c r="H301" s="84"/>
      <c r="I301" s="84"/>
      <c r="J301" s="84"/>
      <c r="K301" s="84"/>
      <c r="L301" s="84"/>
      <c r="M301" s="83"/>
      <c r="N301" s="84"/>
      <c r="O301" s="84"/>
      <c r="P301" s="84"/>
      <c r="Q301" s="84"/>
      <c r="R301" s="84"/>
      <c r="S301" s="86"/>
      <c r="T301" s="84"/>
      <c r="U301" s="84"/>
      <c r="V301" s="86"/>
      <c r="W301" s="84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66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2"/>
      <c r="AY301" s="72"/>
    </row>
    <row r="302" spans="2:51" x14ac:dyDescent="0.25">
      <c r="B302" s="70"/>
      <c r="C302" s="67"/>
      <c r="D302" s="68"/>
      <c r="E302" s="69"/>
      <c r="F302" s="84"/>
      <c r="G302" s="83"/>
      <c r="H302" s="84"/>
      <c r="I302" s="84"/>
      <c r="J302" s="84"/>
      <c r="K302" s="84"/>
      <c r="L302" s="84"/>
      <c r="M302" s="83"/>
      <c r="N302" s="84"/>
      <c r="O302" s="84"/>
      <c r="P302" s="84"/>
      <c r="Q302" s="84"/>
      <c r="R302" s="84"/>
      <c r="S302" s="86"/>
      <c r="T302" s="84"/>
      <c r="U302" s="84"/>
      <c r="V302" s="86"/>
      <c r="W302" s="84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66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2"/>
      <c r="AY302" s="72"/>
    </row>
    <row r="303" spans="2:51" x14ac:dyDescent="0.25">
      <c r="B303" s="70"/>
      <c r="C303" s="67"/>
      <c r="D303" s="68"/>
      <c r="E303" s="69"/>
      <c r="F303" s="84"/>
      <c r="G303" s="83"/>
      <c r="H303" s="84"/>
      <c r="I303" s="84"/>
      <c r="J303" s="84"/>
      <c r="K303" s="84"/>
      <c r="L303" s="84"/>
      <c r="M303" s="83"/>
      <c r="N303" s="84"/>
      <c r="O303" s="84"/>
      <c r="P303" s="84"/>
      <c r="Q303" s="84"/>
      <c r="R303" s="84"/>
      <c r="S303" s="86"/>
      <c r="T303" s="84"/>
      <c r="U303" s="84"/>
      <c r="V303" s="86"/>
      <c r="W303" s="84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66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2"/>
      <c r="AY303" s="72"/>
    </row>
    <row r="304" spans="2:51" x14ac:dyDescent="0.25">
      <c r="B304" s="70"/>
      <c r="C304" s="67"/>
      <c r="D304" s="68"/>
      <c r="E304" s="69"/>
      <c r="F304" s="84"/>
      <c r="G304" s="83"/>
      <c r="H304" s="84"/>
      <c r="I304" s="84"/>
      <c r="J304" s="84"/>
      <c r="K304" s="84"/>
      <c r="L304" s="84"/>
      <c r="M304" s="83"/>
      <c r="N304" s="84"/>
      <c r="O304" s="84"/>
      <c r="P304" s="84"/>
      <c r="Q304" s="84"/>
      <c r="R304" s="84"/>
      <c r="S304" s="86"/>
      <c r="T304" s="84"/>
      <c r="U304" s="84"/>
      <c r="V304" s="86"/>
      <c r="W304" s="84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66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2"/>
      <c r="AY304" s="72"/>
    </row>
    <row r="305" spans="2:51" x14ac:dyDescent="0.25">
      <c r="B305" s="70"/>
      <c r="C305" s="67"/>
      <c r="D305" s="68"/>
      <c r="E305" s="69"/>
      <c r="F305" s="84"/>
      <c r="G305" s="83"/>
      <c r="H305" s="84"/>
      <c r="I305" s="84"/>
      <c r="J305" s="84"/>
      <c r="K305" s="84"/>
      <c r="L305" s="84"/>
      <c r="M305" s="83"/>
      <c r="N305" s="84"/>
      <c r="O305" s="84"/>
      <c r="P305" s="84"/>
      <c r="Q305" s="84"/>
      <c r="R305" s="84"/>
      <c r="S305" s="86"/>
      <c r="T305" s="84"/>
      <c r="U305" s="84"/>
      <c r="V305" s="86"/>
      <c r="W305" s="84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66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2"/>
      <c r="AY305" s="72"/>
    </row>
    <row r="306" spans="2:51" x14ac:dyDescent="0.25">
      <c r="B306" s="70"/>
      <c r="C306" s="67"/>
      <c r="D306" s="68"/>
      <c r="E306" s="69"/>
      <c r="F306" s="84"/>
      <c r="G306" s="83"/>
      <c r="H306" s="84"/>
      <c r="I306" s="84"/>
      <c r="J306" s="84"/>
      <c r="K306" s="84"/>
      <c r="L306" s="84"/>
      <c r="M306" s="83"/>
      <c r="N306" s="84"/>
      <c r="O306" s="84"/>
      <c r="P306" s="84"/>
      <c r="Q306" s="84"/>
      <c r="R306" s="84"/>
      <c r="S306" s="86"/>
      <c r="T306" s="84"/>
      <c r="U306" s="84"/>
      <c r="V306" s="86"/>
      <c r="W306" s="84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66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2"/>
      <c r="AY306" s="72"/>
    </row>
    <row r="307" spans="2:51" x14ac:dyDescent="0.25">
      <c r="B307" s="70"/>
      <c r="C307" s="67"/>
      <c r="D307" s="68"/>
      <c r="E307" s="69"/>
      <c r="F307" s="84"/>
      <c r="G307" s="83"/>
      <c r="H307" s="84"/>
      <c r="I307" s="84"/>
      <c r="J307" s="84"/>
      <c r="K307" s="84"/>
      <c r="L307" s="84"/>
      <c r="M307" s="83"/>
      <c r="N307" s="84"/>
      <c r="O307" s="84"/>
      <c r="P307" s="84"/>
      <c r="Q307" s="84"/>
      <c r="R307" s="84"/>
      <c r="S307" s="86"/>
      <c r="T307" s="84"/>
      <c r="U307" s="84"/>
      <c r="V307" s="86"/>
      <c r="W307" s="84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66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2"/>
      <c r="AY307" s="72"/>
    </row>
    <row r="308" spans="2:51" x14ac:dyDescent="0.25">
      <c r="B308" s="70"/>
      <c r="C308" s="67"/>
      <c r="D308" s="68"/>
      <c r="E308" s="69"/>
      <c r="F308" s="84"/>
      <c r="G308" s="83"/>
      <c r="H308" s="84"/>
      <c r="I308" s="84"/>
      <c r="J308" s="84"/>
      <c r="K308" s="84"/>
      <c r="L308" s="84"/>
      <c r="M308" s="83"/>
      <c r="N308" s="84"/>
      <c r="O308" s="84"/>
      <c r="P308" s="84"/>
      <c r="Q308" s="84"/>
      <c r="R308" s="84"/>
      <c r="S308" s="86"/>
      <c r="T308" s="84"/>
      <c r="U308" s="84"/>
      <c r="V308" s="86"/>
      <c r="W308" s="84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66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2"/>
      <c r="AY308" s="72"/>
    </row>
    <row r="309" spans="2:51" x14ac:dyDescent="0.25">
      <c r="B309" s="70"/>
      <c r="C309" s="67"/>
      <c r="D309" s="68"/>
      <c r="E309" s="69"/>
      <c r="F309" s="84"/>
      <c r="G309" s="83"/>
      <c r="H309" s="84"/>
      <c r="I309" s="84"/>
      <c r="J309" s="84"/>
      <c r="K309" s="84"/>
      <c r="L309" s="84"/>
      <c r="M309" s="83"/>
      <c r="N309" s="84"/>
      <c r="O309" s="84"/>
      <c r="P309" s="84"/>
      <c r="Q309" s="84"/>
      <c r="R309" s="84"/>
      <c r="S309" s="86"/>
      <c r="T309" s="84"/>
      <c r="U309" s="84"/>
      <c r="V309" s="86"/>
      <c r="W309" s="84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66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2"/>
      <c r="AY309" s="72"/>
    </row>
    <row r="310" spans="2:51" x14ac:dyDescent="0.25">
      <c r="B310" s="70"/>
      <c r="C310" s="67"/>
      <c r="D310" s="68"/>
      <c r="E310" s="69"/>
      <c r="F310" s="84"/>
      <c r="G310" s="83"/>
      <c r="H310" s="84"/>
      <c r="I310" s="84"/>
      <c r="J310" s="84"/>
      <c r="K310" s="84"/>
      <c r="L310" s="84"/>
      <c r="M310" s="83"/>
      <c r="N310" s="84"/>
      <c r="O310" s="84"/>
      <c r="P310" s="84"/>
      <c r="Q310" s="84"/>
      <c r="R310" s="84"/>
      <c r="S310" s="86"/>
      <c r="T310" s="84"/>
      <c r="U310" s="84"/>
      <c r="V310" s="86"/>
      <c r="W310" s="84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66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2"/>
      <c r="AY310" s="72"/>
    </row>
    <row r="311" spans="2:51" x14ac:dyDescent="0.25">
      <c r="B311" s="70"/>
      <c r="C311" s="67"/>
      <c r="D311" s="68"/>
      <c r="E311" s="69"/>
      <c r="F311" s="84"/>
      <c r="G311" s="83"/>
      <c r="H311" s="84"/>
      <c r="I311" s="84"/>
      <c r="J311" s="84"/>
      <c r="K311" s="84"/>
      <c r="L311" s="84"/>
      <c r="M311" s="83"/>
      <c r="N311" s="84"/>
      <c r="O311" s="84"/>
      <c r="P311" s="84"/>
      <c r="Q311" s="84"/>
      <c r="R311" s="84"/>
      <c r="S311" s="86"/>
      <c r="T311" s="84"/>
      <c r="U311" s="84"/>
      <c r="V311" s="86"/>
      <c r="W311" s="84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66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2"/>
      <c r="AY311" s="72"/>
    </row>
    <row r="312" spans="2:51" x14ac:dyDescent="0.25">
      <c r="B312" s="70"/>
      <c r="C312" s="67"/>
      <c r="D312" s="68"/>
      <c r="E312" s="69"/>
      <c r="F312" s="84"/>
      <c r="G312" s="83"/>
      <c r="H312" s="84"/>
      <c r="I312" s="84"/>
      <c r="J312" s="84"/>
      <c r="K312" s="84"/>
      <c r="L312" s="84"/>
      <c r="M312" s="83"/>
      <c r="N312" s="84"/>
      <c r="O312" s="84"/>
      <c r="P312" s="84"/>
      <c r="Q312" s="84"/>
      <c r="R312" s="84"/>
      <c r="S312" s="86"/>
      <c r="T312" s="84"/>
      <c r="U312" s="84"/>
      <c r="V312" s="86"/>
      <c r="W312" s="84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66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2"/>
      <c r="AY312" s="72"/>
    </row>
    <row r="313" spans="2:51" x14ac:dyDescent="0.25">
      <c r="B313" s="70"/>
      <c r="C313" s="67"/>
      <c r="D313" s="68"/>
      <c r="E313" s="69"/>
      <c r="F313" s="84"/>
      <c r="G313" s="83"/>
      <c r="H313" s="84"/>
      <c r="I313" s="84"/>
      <c r="J313" s="84"/>
      <c r="K313" s="84"/>
      <c r="L313" s="84"/>
      <c r="M313" s="83"/>
      <c r="N313" s="84"/>
      <c r="O313" s="84"/>
      <c r="P313" s="84"/>
      <c r="Q313" s="84"/>
      <c r="R313" s="84"/>
      <c r="S313" s="86"/>
      <c r="T313" s="84"/>
      <c r="U313" s="84"/>
      <c r="V313" s="86"/>
      <c r="W313" s="84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66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2"/>
      <c r="AY313" s="72"/>
    </row>
    <row r="314" spans="2:51" x14ac:dyDescent="0.25">
      <c r="B314" s="70"/>
      <c r="C314" s="67"/>
      <c r="D314" s="68"/>
      <c r="E314" s="69"/>
      <c r="F314" s="84"/>
      <c r="G314" s="83"/>
      <c r="H314" s="84"/>
      <c r="I314" s="84"/>
      <c r="J314" s="84"/>
      <c r="K314" s="84"/>
      <c r="L314" s="84"/>
      <c r="M314" s="83"/>
      <c r="N314" s="84"/>
      <c r="O314" s="84"/>
      <c r="P314" s="84"/>
      <c r="Q314" s="84"/>
      <c r="R314" s="84"/>
      <c r="S314" s="86"/>
      <c r="T314" s="84"/>
      <c r="U314" s="84"/>
      <c r="V314" s="86"/>
      <c r="W314" s="84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66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2"/>
      <c r="AY314" s="72"/>
    </row>
    <row r="315" spans="2:51" x14ac:dyDescent="0.25">
      <c r="B315" s="70"/>
      <c r="C315" s="67"/>
      <c r="D315" s="68"/>
      <c r="E315" s="69"/>
      <c r="F315" s="84"/>
      <c r="G315" s="83"/>
      <c r="H315" s="84"/>
      <c r="I315" s="84"/>
      <c r="J315" s="84"/>
      <c r="K315" s="84"/>
      <c r="L315" s="84"/>
      <c r="M315" s="83"/>
      <c r="N315" s="84"/>
      <c r="O315" s="84"/>
      <c r="P315" s="84"/>
      <c r="Q315" s="84"/>
      <c r="R315" s="84"/>
      <c r="S315" s="86"/>
      <c r="T315" s="84"/>
      <c r="U315" s="84"/>
      <c r="V315" s="86"/>
      <c r="W315" s="84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66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2"/>
      <c r="AY315" s="72"/>
    </row>
    <row r="316" spans="2:51" x14ac:dyDescent="0.25">
      <c r="B316" s="70"/>
      <c r="C316" s="67"/>
      <c r="D316" s="68"/>
      <c r="E316" s="69"/>
      <c r="F316" s="84"/>
      <c r="G316" s="83"/>
      <c r="H316" s="84"/>
      <c r="I316" s="84"/>
      <c r="J316" s="84"/>
      <c r="K316" s="84"/>
      <c r="L316" s="84"/>
      <c r="M316" s="83"/>
      <c r="N316" s="84"/>
      <c r="O316" s="84"/>
      <c r="P316" s="84"/>
      <c r="Q316" s="84"/>
      <c r="R316" s="84"/>
      <c r="S316" s="86"/>
      <c r="T316" s="84"/>
      <c r="U316" s="84"/>
      <c r="V316" s="86"/>
      <c r="W316" s="84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66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2"/>
      <c r="AY316" s="72"/>
    </row>
    <row r="317" spans="2:51" x14ac:dyDescent="0.25">
      <c r="B317" s="70"/>
      <c r="C317" s="67"/>
      <c r="D317" s="68"/>
      <c r="E317" s="69"/>
      <c r="F317" s="84"/>
      <c r="G317" s="83"/>
      <c r="H317" s="84"/>
      <c r="I317" s="84"/>
      <c r="J317" s="84"/>
      <c r="K317" s="84"/>
      <c r="L317" s="84"/>
      <c r="M317" s="83"/>
      <c r="N317" s="84"/>
      <c r="O317" s="84"/>
      <c r="P317" s="84"/>
      <c r="Q317" s="84"/>
      <c r="R317" s="84"/>
      <c r="S317" s="86"/>
      <c r="T317" s="84"/>
      <c r="U317" s="84"/>
      <c r="V317" s="86"/>
      <c r="W317" s="84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66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2"/>
      <c r="AY317" s="72"/>
    </row>
    <row r="318" spans="2:51" x14ac:dyDescent="0.25">
      <c r="B318" s="70"/>
      <c r="C318" s="67"/>
      <c r="D318" s="68"/>
      <c r="E318" s="69"/>
      <c r="F318" s="84"/>
      <c r="G318" s="83"/>
      <c r="H318" s="84"/>
      <c r="I318" s="84"/>
      <c r="J318" s="84"/>
      <c r="K318" s="84"/>
      <c r="L318" s="84"/>
      <c r="M318" s="83"/>
      <c r="N318" s="84"/>
      <c r="O318" s="84"/>
      <c r="P318" s="84"/>
      <c r="Q318" s="84"/>
      <c r="R318" s="84"/>
      <c r="S318" s="86"/>
      <c r="T318" s="84"/>
      <c r="U318" s="84"/>
      <c r="V318" s="86"/>
      <c r="W318" s="84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66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2"/>
      <c r="AY318" s="72"/>
    </row>
    <row r="319" spans="2:51" x14ac:dyDescent="0.25">
      <c r="B319" s="70"/>
      <c r="C319" s="67"/>
      <c r="D319" s="68"/>
      <c r="E319" s="69"/>
      <c r="F319" s="84"/>
      <c r="G319" s="83"/>
      <c r="H319" s="84"/>
      <c r="I319" s="84"/>
      <c r="J319" s="84"/>
      <c r="K319" s="84"/>
      <c r="L319" s="84"/>
      <c r="M319" s="83"/>
      <c r="N319" s="84"/>
      <c r="O319" s="84"/>
      <c r="P319" s="84"/>
      <c r="Q319" s="84"/>
      <c r="R319" s="84"/>
      <c r="S319" s="86"/>
      <c r="T319" s="84"/>
      <c r="U319" s="84"/>
      <c r="V319" s="86"/>
      <c r="W319" s="84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66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2"/>
      <c r="AY319" s="72"/>
    </row>
    <row r="320" spans="2:51" x14ac:dyDescent="0.25">
      <c r="B320" s="70"/>
      <c r="C320" s="67"/>
      <c r="D320" s="68"/>
      <c r="E320" s="69"/>
      <c r="F320" s="84"/>
      <c r="G320" s="83"/>
      <c r="H320" s="84"/>
      <c r="I320" s="84"/>
      <c r="J320" s="84"/>
      <c r="K320" s="84"/>
      <c r="L320" s="84"/>
      <c r="M320" s="83"/>
      <c r="N320" s="84"/>
      <c r="O320" s="84"/>
      <c r="P320" s="84"/>
      <c r="Q320" s="84"/>
      <c r="R320" s="84"/>
      <c r="S320" s="86"/>
      <c r="T320" s="84"/>
      <c r="U320" s="84"/>
      <c r="V320" s="86"/>
      <c r="W320" s="84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66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2"/>
      <c r="AY320" s="72"/>
    </row>
    <row r="321" spans="2:51" x14ac:dyDescent="0.25">
      <c r="B321" s="70"/>
      <c r="C321" s="67"/>
      <c r="D321" s="68"/>
      <c r="E321" s="69"/>
      <c r="F321" s="84"/>
      <c r="G321" s="83"/>
      <c r="H321" s="84"/>
      <c r="I321" s="84"/>
      <c r="J321" s="84"/>
      <c r="K321" s="84"/>
      <c r="L321" s="84"/>
      <c r="M321" s="83"/>
      <c r="N321" s="84"/>
      <c r="O321" s="84"/>
      <c r="P321" s="84"/>
      <c r="Q321" s="84"/>
      <c r="R321" s="84"/>
      <c r="S321" s="86"/>
      <c r="T321" s="84"/>
      <c r="U321" s="84"/>
      <c r="V321" s="86"/>
      <c r="W321" s="84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66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2"/>
      <c r="AY321" s="72"/>
    </row>
    <row r="322" spans="2:51" x14ac:dyDescent="0.25">
      <c r="B322" s="70"/>
      <c r="C322" s="67"/>
      <c r="D322" s="68"/>
      <c r="E322" s="69"/>
      <c r="F322" s="84"/>
      <c r="G322" s="83"/>
      <c r="H322" s="84"/>
      <c r="I322" s="84"/>
      <c r="J322" s="84"/>
      <c r="K322" s="84"/>
      <c r="L322" s="84"/>
      <c r="M322" s="83"/>
      <c r="N322" s="84"/>
      <c r="O322" s="84"/>
      <c r="P322" s="84"/>
      <c r="Q322" s="84"/>
      <c r="R322" s="84"/>
      <c r="S322" s="86"/>
      <c r="T322" s="84"/>
      <c r="U322" s="84"/>
      <c r="V322" s="86"/>
      <c r="W322" s="84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66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2"/>
      <c r="AY322" s="72"/>
    </row>
    <row r="323" spans="2:51" x14ac:dyDescent="0.25">
      <c r="B323" s="70"/>
      <c r="C323" s="67"/>
      <c r="D323" s="68"/>
      <c r="E323" s="69"/>
      <c r="F323" s="84"/>
      <c r="G323" s="83"/>
      <c r="H323" s="84"/>
      <c r="I323" s="84"/>
      <c r="J323" s="84"/>
      <c r="K323" s="84"/>
      <c r="L323" s="84"/>
      <c r="M323" s="83"/>
      <c r="N323" s="84"/>
      <c r="O323" s="84"/>
      <c r="P323" s="84"/>
      <c r="Q323" s="84"/>
      <c r="R323" s="84"/>
      <c r="S323" s="86"/>
      <c r="T323" s="84"/>
      <c r="U323" s="84"/>
      <c r="V323" s="86"/>
      <c r="W323" s="84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66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2"/>
      <c r="AY323" s="72"/>
    </row>
    <row r="324" spans="2:51" x14ac:dyDescent="0.25">
      <c r="B324" s="70"/>
      <c r="C324" s="67"/>
      <c r="D324" s="68"/>
      <c r="E324" s="69"/>
      <c r="F324" s="84"/>
      <c r="G324" s="83"/>
      <c r="H324" s="84"/>
      <c r="I324" s="84"/>
      <c r="J324" s="84"/>
      <c r="K324" s="84"/>
      <c r="L324" s="84"/>
      <c r="M324" s="83"/>
      <c r="N324" s="84"/>
      <c r="O324" s="84"/>
      <c r="P324" s="84"/>
      <c r="Q324" s="84"/>
      <c r="R324" s="84"/>
      <c r="S324" s="86"/>
      <c r="T324" s="84"/>
      <c r="U324" s="84"/>
      <c r="V324" s="86"/>
      <c r="W324" s="84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66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2"/>
      <c r="AY324" s="72"/>
    </row>
    <row r="325" spans="2:51" x14ac:dyDescent="0.25">
      <c r="B325" s="70"/>
      <c r="C325" s="67"/>
      <c r="D325" s="68"/>
      <c r="E325" s="69"/>
      <c r="F325" s="84"/>
      <c r="G325" s="83"/>
      <c r="H325" s="84"/>
      <c r="I325" s="84"/>
      <c r="J325" s="84"/>
      <c r="K325" s="84"/>
      <c r="L325" s="84"/>
      <c r="M325" s="83"/>
      <c r="N325" s="84"/>
      <c r="O325" s="84"/>
      <c r="P325" s="84"/>
      <c r="Q325" s="84"/>
      <c r="R325" s="84"/>
      <c r="S325" s="86"/>
      <c r="T325" s="84"/>
      <c r="U325" s="84"/>
      <c r="V325" s="86"/>
      <c r="W325" s="84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66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2"/>
      <c r="AY325" s="72"/>
    </row>
    <row r="326" spans="2:51" x14ac:dyDescent="0.25">
      <c r="B326" s="70"/>
      <c r="C326" s="67"/>
      <c r="D326" s="68"/>
      <c r="E326" s="69"/>
      <c r="F326" s="84"/>
      <c r="G326" s="83"/>
      <c r="H326" s="84"/>
      <c r="I326" s="84"/>
      <c r="J326" s="84"/>
      <c r="K326" s="84"/>
      <c r="L326" s="84"/>
      <c r="M326" s="83"/>
      <c r="N326" s="84"/>
      <c r="O326" s="84"/>
      <c r="P326" s="84"/>
      <c r="Q326" s="84"/>
      <c r="R326" s="84"/>
      <c r="S326" s="86"/>
      <c r="T326" s="84"/>
      <c r="U326" s="84"/>
      <c r="V326" s="86"/>
      <c r="W326" s="84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66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2"/>
      <c r="AY326" s="72"/>
    </row>
    <row r="327" spans="2:51" x14ac:dyDescent="0.25">
      <c r="B327" s="70"/>
      <c r="C327" s="67"/>
      <c r="D327" s="68"/>
      <c r="E327" s="69"/>
      <c r="F327" s="84"/>
      <c r="G327" s="83"/>
      <c r="H327" s="84"/>
      <c r="I327" s="84"/>
      <c r="J327" s="84"/>
      <c r="K327" s="84"/>
      <c r="L327" s="84"/>
      <c r="M327" s="83"/>
      <c r="N327" s="84"/>
      <c r="O327" s="84"/>
      <c r="P327" s="84"/>
      <c r="Q327" s="84"/>
      <c r="R327" s="84"/>
      <c r="S327" s="86"/>
      <c r="T327" s="84"/>
      <c r="U327" s="84"/>
      <c r="V327" s="86"/>
      <c r="W327" s="84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66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2"/>
      <c r="AY327" s="72"/>
    </row>
    <row r="328" spans="2:51" x14ac:dyDescent="0.25">
      <c r="B328" s="70"/>
      <c r="C328" s="67"/>
      <c r="D328" s="68"/>
      <c r="E328" s="69"/>
      <c r="F328" s="84"/>
      <c r="G328" s="83"/>
      <c r="H328" s="84"/>
      <c r="I328" s="84"/>
      <c r="J328" s="84"/>
      <c r="K328" s="84"/>
      <c r="L328" s="84"/>
      <c r="M328" s="83"/>
      <c r="N328" s="84"/>
      <c r="O328" s="84"/>
      <c r="P328" s="84"/>
      <c r="Q328" s="84"/>
      <c r="R328" s="84"/>
      <c r="S328" s="86"/>
      <c r="T328" s="84"/>
      <c r="U328" s="84"/>
      <c r="V328" s="86"/>
      <c r="W328" s="84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66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2"/>
      <c r="AY328" s="72"/>
    </row>
    <row r="329" spans="2:51" x14ac:dyDescent="0.25">
      <c r="B329" s="70"/>
      <c r="C329" s="67"/>
      <c r="D329" s="68"/>
      <c r="E329" s="69"/>
      <c r="F329" s="84"/>
      <c r="G329" s="83"/>
      <c r="H329" s="84"/>
      <c r="I329" s="84"/>
      <c r="J329" s="84"/>
      <c r="K329" s="84"/>
      <c r="L329" s="84"/>
      <c r="M329" s="83"/>
      <c r="N329" s="84"/>
      <c r="O329" s="84"/>
      <c r="P329" s="84"/>
      <c r="Q329" s="84"/>
      <c r="R329" s="84"/>
      <c r="S329" s="86"/>
      <c r="T329" s="84"/>
      <c r="U329" s="84"/>
      <c r="V329" s="86"/>
      <c r="W329" s="84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66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2"/>
      <c r="AY329" s="72"/>
    </row>
    <row r="330" spans="2:51" x14ac:dyDescent="0.25">
      <c r="B330" s="70"/>
      <c r="C330" s="67"/>
      <c r="D330" s="68"/>
      <c r="E330" s="69"/>
      <c r="F330" s="84"/>
      <c r="G330" s="83"/>
      <c r="H330" s="84"/>
      <c r="I330" s="84"/>
      <c r="J330" s="84"/>
      <c r="K330" s="84"/>
      <c r="L330" s="84"/>
      <c r="M330" s="83"/>
      <c r="N330" s="84"/>
      <c r="O330" s="84"/>
      <c r="P330" s="84"/>
      <c r="Q330" s="84"/>
      <c r="R330" s="84"/>
      <c r="S330" s="86"/>
      <c r="T330" s="84"/>
      <c r="U330" s="84"/>
      <c r="V330" s="86"/>
      <c r="W330" s="84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66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2"/>
      <c r="AY330" s="72"/>
    </row>
    <row r="331" spans="2:51" x14ac:dyDescent="0.25">
      <c r="B331" s="70"/>
      <c r="C331" s="67"/>
      <c r="D331" s="68"/>
      <c r="E331" s="69"/>
      <c r="F331" s="84"/>
      <c r="G331" s="83"/>
      <c r="H331" s="84"/>
      <c r="I331" s="84"/>
      <c r="J331" s="84"/>
      <c r="K331" s="84"/>
      <c r="L331" s="84"/>
      <c r="M331" s="83"/>
      <c r="N331" s="84"/>
      <c r="O331" s="84"/>
      <c r="P331" s="84"/>
      <c r="Q331" s="84"/>
      <c r="R331" s="84"/>
      <c r="S331" s="86"/>
      <c r="T331" s="84"/>
      <c r="U331" s="84"/>
      <c r="V331" s="86"/>
      <c r="W331" s="84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66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2"/>
      <c r="AY331" s="72"/>
    </row>
    <row r="332" spans="2:51" x14ac:dyDescent="0.25">
      <c r="B332" s="70"/>
      <c r="C332" s="67"/>
      <c r="D332" s="68"/>
      <c r="E332" s="69"/>
      <c r="F332" s="84"/>
      <c r="G332" s="83"/>
      <c r="H332" s="84"/>
      <c r="I332" s="84"/>
      <c r="J332" s="84"/>
      <c r="K332" s="84"/>
      <c r="L332" s="84"/>
      <c r="M332" s="83"/>
      <c r="N332" s="84"/>
      <c r="O332" s="84"/>
      <c r="P332" s="84"/>
      <c r="Q332" s="84"/>
      <c r="R332" s="84"/>
      <c r="S332" s="86"/>
      <c r="T332" s="84"/>
      <c r="U332" s="84"/>
      <c r="V332" s="86"/>
      <c r="W332" s="84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66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2"/>
      <c r="AY332" s="72"/>
    </row>
    <row r="333" spans="2:51" x14ac:dyDescent="0.25">
      <c r="B333" s="70"/>
      <c r="C333" s="67"/>
      <c r="D333" s="68"/>
      <c r="E333" s="69"/>
      <c r="F333" s="84"/>
      <c r="G333" s="83"/>
      <c r="H333" s="84"/>
      <c r="I333" s="84"/>
      <c r="J333" s="84"/>
      <c r="K333" s="84"/>
      <c r="L333" s="84"/>
      <c r="M333" s="83"/>
      <c r="N333" s="84"/>
      <c r="O333" s="84"/>
      <c r="P333" s="84"/>
      <c r="Q333" s="84"/>
      <c r="R333" s="84"/>
      <c r="S333" s="86"/>
      <c r="T333" s="84"/>
      <c r="U333" s="84"/>
      <c r="V333" s="86"/>
      <c r="W333" s="84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66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2"/>
      <c r="AY333" s="72"/>
    </row>
    <row r="334" spans="2:51" x14ac:dyDescent="0.25">
      <c r="B334" s="70"/>
      <c r="C334" s="67"/>
      <c r="D334" s="68"/>
      <c r="E334" s="69"/>
      <c r="F334" s="84"/>
      <c r="G334" s="83"/>
      <c r="H334" s="84"/>
      <c r="I334" s="84"/>
      <c r="J334" s="84"/>
      <c r="K334" s="84"/>
      <c r="L334" s="84"/>
      <c r="M334" s="83"/>
      <c r="N334" s="84"/>
      <c r="O334" s="84"/>
      <c r="P334" s="84"/>
      <c r="Q334" s="84"/>
      <c r="R334" s="84"/>
      <c r="S334" s="86"/>
      <c r="T334" s="84"/>
      <c r="U334" s="84"/>
      <c r="V334" s="86"/>
      <c r="W334" s="84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66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2"/>
      <c r="AY334" s="72"/>
    </row>
    <row r="335" spans="2:51" x14ac:dyDescent="0.25">
      <c r="B335" s="70"/>
      <c r="C335" s="67"/>
      <c r="D335" s="68"/>
      <c r="E335" s="69"/>
      <c r="F335" s="84"/>
      <c r="G335" s="83"/>
      <c r="H335" s="84"/>
      <c r="I335" s="84"/>
      <c r="J335" s="84"/>
      <c r="K335" s="84"/>
      <c r="L335" s="84"/>
      <c r="M335" s="83"/>
      <c r="N335" s="84"/>
      <c r="O335" s="84"/>
      <c r="P335" s="84"/>
      <c r="Q335" s="84"/>
      <c r="R335" s="84"/>
      <c r="S335" s="86"/>
      <c r="T335" s="84"/>
      <c r="U335" s="84"/>
      <c r="V335" s="86"/>
      <c r="W335" s="84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66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2"/>
      <c r="AY335" s="72"/>
    </row>
    <row r="336" spans="2:51" x14ac:dyDescent="0.25">
      <c r="B336" s="70"/>
      <c r="C336" s="67"/>
      <c r="D336" s="68"/>
      <c r="E336" s="69"/>
      <c r="F336" s="84"/>
      <c r="G336" s="83"/>
      <c r="H336" s="84"/>
      <c r="I336" s="84"/>
      <c r="J336" s="84"/>
      <c r="K336" s="84"/>
      <c r="L336" s="84"/>
      <c r="M336" s="83"/>
      <c r="N336" s="84"/>
      <c r="O336" s="84"/>
      <c r="P336" s="84"/>
      <c r="Q336" s="84"/>
      <c r="R336" s="84"/>
      <c r="S336" s="86"/>
      <c r="T336" s="84"/>
      <c r="U336" s="84"/>
      <c r="V336" s="86"/>
      <c r="W336" s="84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66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2"/>
      <c r="AY336" s="72"/>
    </row>
    <row r="337" spans="2:51" x14ac:dyDescent="0.25">
      <c r="B337" s="70"/>
      <c r="C337" s="67"/>
      <c r="D337" s="68"/>
      <c r="E337" s="69"/>
      <c r="F337" s="84"/>
      <c r="G337" s="83"/>
      <c r="H337" s="84"/>
      <c r="I337" s="84"/>
      <c r="J337" s="84"/>
      <c r="K337" s="84"/>
      <c r="L337" s="84"/>
      <c r="M337" s="83"/>
      <c r="N337" s="84"/>
      <c r="O337" s="84"/>
      <c r="P337" s="84"/>
      <c r="Q337" s="84"/>
      <c r="R337" s="84"/>
      <c r="S337" s="86"/>
      <c r="T337" s="84"/>
      <c r="U337" s="84"/>
      <c r="V337" s="86"/>
      <c r="W337" s="84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66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2"/>
      <c r="AY337" s="72"/>
    </row>
    <row r="338" spans="2:51" x14ac:dyDescent="0.25">
      <c r="B338" s="70"/>
      <c r="C338" s="67"/>
      <c r="D338" s="68"/>
      <c r="E338" s="69"/>
      <c r="F338" s="84"/>
      <c r="G338" s="83"/>
      <c r="H338" s="84"/>
      <c r="I338" s="84"/>
      <c r="J338" s="84"/>
      <c r="K338" s="84"/>
      <c r="L338" s="84"/>
      <c r="M338" s="83"/>
      <c r="N338" s="84"/>
      <c r="O338" s="84"/>
      <c r="P338" s="84"/>
      <c r="Q338" s="84"/>
      <c r="R338" s="84"/>
      <c r="S338" s="86"/>
      <c r="T338" s="84"/>
      <c r="U338" s="84"/>
      <c r="V338" s="86"/>
      <c r="W338" s="84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66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2"/>
      <c r="AY338" s="72"/>
    </row>
    <row r="339" spans="2:51" x14ac:dyDescent="0.25">
      <c r="B339" s="70"/>
      <c r="C339" s="67"/>
      <c r="D339" s="68"/>
      <c r="E339" s="69"/>
      <c r="F339" s="84"/>
      <c r="G339" s="83"/>
      <c r="H339" s="84"/>
      <c r="I339" s="84"/>
      <c r="J339" s="84"/>
      <c r="K339" s="84"/>
      <c r="L339" s="84"/>
      <c r="M339" s="83"/>
      <c r="N339" s="84"/>
      <c r="O339" s="84"/>
      <c r="P339" s="84"/>
      <c r="Q339" s="84"/>
      <c r="R339" s="84"/>
      <c r="S339" s="86"/>
      <c r="T339" s="84"/>
      <c r="U339" s="84"/>
      <c r="V339" s="86"/>
      <c r="W339" s="84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66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2"/>
      <c r="AY339" s="72"/>
    </row>
    <row r="340" spans="2:51" x14ac:dyDescent="0.25">
      <c r="B340" s="70"/>
      <c r="C340" s="67"/>
      <c r="D340" s="68"/>
      <c r="E340" s="69"/>
      <c r="F340" s="84"/>
      <c r="G340" s="83"/>
      <c r="H340" s="84"/>
      <c r="I340" s="84"/>
      <c r="J340" s="84"/>
      <c r="K340" s="84"/>
      <c r="L340" s="84"/>
      <c r="M340" s="83"/>
      <c r="N340" s="84"/>
      <c r="O340" s="84"/>
      <c r="P340" s="84"/>
      <c r="Q340" s="84"/>
      <c r="R340" s="84"/>
      <c r="S340" s="86"/>
      <c r="T340" s="84"/>
      <c r="U340" s="84"/>
      <c r="V340" s="86"/>
      <c r="W340" s="84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66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2"/>
      <c r="AY340" s="72"/>
    </row>
    <row r="341" spans="2:51" x14ac:dyDescent="0.25">
      <c r="B341" s="70"/>
      <c r="C341" s="67"/>
      <c r="D341" s="68"/>
      <c r="E341" s="69"/>
      <c r="F341" s="84"/>
      <c r="G341" s="83"/>
      <c r="H341" s="84"/>
      <c r="I341" s="84"/>
      <c r="J341" s="84"/>
      <c r="K341" s="84"/>
      <c r="L341" s="84"/>
      <c r="M341" s="83"/>
      <c r="N341" s="84"/>
      <c r="O341" s="84"/>
      <c r="P341" s="84"/>
      <c r="Q341" s="84"/>
      <c r="R341" s="84"/>
      <c r="S341" s="86"/>
      <c r="T341" s="84"/>
      <c r="U341" s="84"/>
      <c r="V341" s="86"/>
      <c r="W341" s="84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66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2"/>
      <c r="AY341" s="72"/>
    </row>
    <row r="342" spans="2:51" x14ac:dyDescent="0.25">
      <c r="B342" s="70"/>
      <c r="C342" s="67"/>
      <c r="D342" s="68"/>
      <c r="E342" s="69"/>
      <c r="F342" s="84"/>
      <c r="G342" s="83"/>
      <c r="H342" s="84"/>
      <c r="I342" s="84"/>
      <c r="J342" s="84"/>
      <c r="K342" s="84"/>
      <c r="L342" s="84"/>
      <c r="M342" s="83"/>
      <c r="N342" s="84"/>
      <c r="O342" s="84"/>
      <c r="P342" s="84"/>
      <c r="Q342" s="84"/>
      <c r="R342" s="84"/>
      <c r="S342" s="86"/>
      <c r="T342" s="84"/>
      <c r="U342" s="84"/>
      <c r="V342" s="86"/>
      <c r="W342" s="84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66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2"/>
      <c r="AY342" s="72"/>
    </row>
    <row r="343" spans="2:51" x14ac:dyDescent="0.25">
      <c r="B343" s="70"/>
      <c r="C343" s="67"/>
      <c r="D343" s="68"/>
      <c r="E343" s="69"/>
      <c r="F343" s="84"/>
      <c r="G343" s="83"/>
      <c r="H343" s="84"/>
      <c r="I343" s="84"/>
      <c r="J343" s="84"/>
      <c r="K343" s="84"/>
      <c r="L343" s="84"/>
      <c r="M343" s="83"/>
      <c r="N343" s="84"/>
      <c r="O343" s="84"/>
      <c r="P343" s="84"/>
      <c r="Q343" s="84"/>
      <c r="R343" s="84"/>
      <c r="S343" s="86"/>
      <c r="T343" s="84"/>
      <c r="U343" s="84"/>
      <c r="V343" s="86"/>
      <c r="W343" s="84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66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2"/>
      <c r="AY343" s="72"/>
    </row>
    <row r="344" spans="2:51" x14ac:dyDescent="0.25">
      <c r="B344" s="70"/>
      <c r="C344" s="67"/>
      <c r="D344" s="68"/>
      <c r="E344" s="69"/>
      <c r="F344" s="84"/>
      <c r="G344" s="83"/>
      <c r="H344" s="84"/>
      <c r="I344" s="84"/>
      <c r="J344" s="84"/>
      <c r="K344" s="84"/>
      <c r="L344" s="84"/>
      <c r="M344" s="83"/>
      <c r="N344" s="84"/>
      <c r="O344" s="84"/>
      <c r="P344" s="84"/>
      <c r="Q344" s="84"/>
      <c r="R344" s="84"/>
      <c r="S344" s="86"/>
      <c r="T344" s="84"/>
      <c r="U344" s="84"/>
      <c r="V344" s="86"/>
      <c r="W344" s="84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66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2"/>
      <c r="AY344" s="72"/>
    </row>
    <row r="345" spans="2:51" x14ac:dyDescent="0.25">
      <c r="B345" s="70"/>
      <c r="C345" s="67"/>
      <c r="D345" s="68"/>
      <c r="E345" s="69"/>
      <c r="F345" s="84"/>
      <c r="G345" s="83"/>
      <c r="H345" s="84"/>
      <c r="I345" s="84"/>
      <c r="J345" s="84"/>
      <c r="K345" s="84"/>
      <c r="L345" s="84"/>
      <c r="M345" s="83"/>
      <c r="N345" s="84"/>
      <c r="O345" s="84"/>
      <c r="P345" s="84"/>
      <c r="Q345" s="84"/>
      <c r="R345" s="84"/>
      <c r="S345" s="86"/>
      <c r="T345" s="84"/>
      <c r="U345" s="84"/>
      <c r="V345" s="86"/>
      <c r="W345" s="84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66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2"/>
      <c r="AY345" s="72"/>
    </row>
    <row r="346" spans="2:51" x14ac:dyDescent="0.25">
      <c r="B346" s="70"/>
      <c r="C346" s="67"/>
      <c r="D346" s="68"/>
      <c r="E346" s="69"/>
      <c r="F346" s="84"/>
      <c r="G346" s="83"/>
      <c r="H346" s="84"/>
      <c r="I346" s="84"/>
      <c r="J346" s="84"/>
      <c r="K346" s="84"/>
      <c r="L346" s="84"/>
      <c r="M346" s="83"/>
      <c r="N346" s="84"/>
      <c r="O346" s="84"/>
      <c r="P346" s="84"/>
      <c r="Q346" s="84"/>
      <c r="R346" s="84"/>
      <c r="S346" s="86"/>
      <c r="T346" s="84"/>
      <c r="U346" s="84"/>
      <c r="V346" s="86"/>
      <c r="W346" s="84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66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2"/>
      <c r="AY346" s="72"/>
    </row>
    <row r="347" spans="2:51" x14ac:dyDescent="0.25">
      <c r="B347" s="70"/>
      <c r="C347" s="67"/>
      <c r="D347" s="68"/>
      <c r="E347" s="69"/>
      <c r="F347" s="84"/>
      <c r="G347" s="83"/>
      <c r="H347" s="84"/>
      <c r="I347" s="84"/>
      <c r="J347" s="84"/>
      <c r="K347" s="84"/>
      <c r="L347" s="84"/>
      <c r="M347" s="83"/>
      <c r="N347" s="84"/>
      <c r="O347" s="84"/>
      <c r="P347" s="84"/>
      <c r="Q347" s="84"/>
      <c r="R347" s="84"/>
      <c r="S347" s="86"/>
      <c r="T347" s="84"/>
      <c r="U347" s="84"/>
      <c r="V347" s="86"/>
      <c r="W347" s="84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66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2"/>
      <c r="AY347" s="72"/>
    </row>
    <row r="348" spans="2:51" x14ac:dyDescent="0.25">
      <c r="B348" s="70"/>
      <c r="C348" s="67"/>
      <c r="D348" s="68"/>
      <c r="E348" s="69"/>
      <c r="F348" s="84"/>
      <c r="G348" s="83"/>
      <c r="H348" s="84"/>
      <c r="I348" s="84"/>
      <c r="J348" s="84"/>
      <c r="K348" s="84"/>
      <c r="L348" s="84"/>
      <c r="M348" s="83"/>
      <c r="N348" s="84"/>
      <c r="O348" s="84"/>
      <c r="P348" s="84"/>
      <c r="Q348" s="84"/>
      <c r="R348" s="84"/>
      <c r="S348" s="86"/>
      <c r="T348" s="84"/>
      <c r="U348" s="84"/>
      <c r="V348" s="86"/>
      <c r="W348" s="84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66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2"/>
      <c r="AY348" s="72"/>
    </row>
    <row r="349" spans="2:51" x14ac:dyDescent="0.25">
      <c r="B349" s="70"/>
      <c r="C349" s="67"/>
      <c r="D349" s="68"/>
      <c r="E349" s="69"/>
      <c r="F349" s="84"/>
      <c r="G349" s="83"/>
      <c r="H349" s="84"/>
      <c r="I349" s="84"/>
      <c r="J349" s="84"/>
      <c r="K349" s="84"/>
      <c r="L349" s="84"/>
      <c r="M349" s="83"/>
      <c r="N349" s="84"/>
      <c r="O349" s="84"/>
      <c r="P349" s="84"/>
      <c r="Q349" s="84"/>
      <c r="R349" s="84"/>
      <c r="S349" s="86"/>
      <c r="T349" s="84"/>
      <c r="U349" s="84"/>
      <c r="V349" s="86"/>
      <c r="W349" s="84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66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2"/>
      <c r="AY349" s="72"/>
    </row>
    <row r="350" spans="2:51" x14ac:dyDescent="0.25">
      <c r="B350" s="70"/>
      <c r="C350" s="67"/>
      <c r="D350" s="68"/>
      <c r="E350" s="69"/>
      <c r="F350" s="84"/>
      <c r="G350" s="83"/>
      <c r="H350" s="84"/>
      <c r="I350" s="84"/>
      <c r="J350" s="84"/>
      <c r="K350" s="84"/>
      <c r="L350" s="84"/>
      <c r="M350" s="83"/>
      <c r="N350" s="84"/>
      <c r="O350" s="84"/>
      <c r="P350" s="84"/>
      <c r="Q350" s="84"/>
      <c r="R350" s="84"/>
      <c r="S350" s="86"/>
      <c r="T350" s="84"/>
      <c r="U350" s="84"/>
      <c r="V350" s="86"/>
      <c r="W350" s="84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66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2"/>
      <c r="AY350" s="72"/>
    </row>
    <row r="351" spans="2:51" x14ac:dyDescent="0.25">
      <c r="B351" s="70"/>
      <c r="C351" s="67"/>
      <c r="D351" s="68"/>
      <c r="E351" s="69"/>
      <c r="F351" s="84"/>
      <c r="G351" s="83"/>
      <c r="H351" s="84"/>
      <c r="I351" s="84"/>
      <c r="J351" s="84"/>
      <c r="K351" s="84"/>
      <c r="L351" s="84"/>
      <c r="M351" s="83"/>
      <c r="N351" s="84"/>
      <c r="O351" s="84"/>
      <c r="P351" s="84"/>
      <c r="Q351" s="84"/>
      <c r="R351" s="84"/>
      <c r="S351" s="86"/>
      <c r="T351" s="84"/>
      <c r="U351" s="84"/>
      <c r="V351" s="86"/>
      <c r="W351" s="84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66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2"/>
      <c r="AY351" s="72"/>
    </row>
    <row r="352" spans="2:51" x14ac:dyDescent="0.25">
      <c r="B352" s="70"/>
      <c r="C352" s="67"/>
      <c r="D352" s="68"/>
      <c r="E352" s="69"/>
      <c r="F352" s="84"/>
      <c r="G352" s="83"/>
      <c r="H352" s="84"/>
      <c r="I352" s="84"/>
      <c r="J352" s="84"/>
      <c r="K352" s="84"/>
      <c r="L352" s="84"/>
      <c r="M352" s="83"/>
      <c r="N352" s="84"/>
      <c r="O352" s="84"/>
      <c r="P352" s="84"/>
      <c r="Q352" s="84"/>
      <c r="R352" s="84"/>
      <c r="S352" s="86"/>
      <c r="T352" s="84"/>
      <c r="U352" s="84"/>
      <c r="V352" s="86"/>
      <c r="W352" s="84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66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2"/>
      <c r="AY352" s="72"/>
    </row>
    <row r="353" spans="2:51" x14ac:dyDescent="0.25">
      <c r="B353" s="70"/>
      <c r="C353" s="67"/>
      <c r="D353" s="68"/>
      <c r="E353" s="69"/>
      <c r="F353" s="84"/>
      <c r="G353" s="83"/>
      <c r="H353" s="84"/>
      <c r="I353" s="84"/>
      <c r="J353" s="84"/>
      <c r="K353" s="84"/>
      <c r="L353" s="84"/>
      <c r="M353" s="83"/>
      <c r="N353" s="84"/>
      <c r="O353" s="84"/>
      <c r="P353" s="84"/>
      <c r="Q353" s="84"/>
      <c r="R353" s="84"/>
      <c r="S353" s="86"/>
      <c r="T353" s="84"/>
      <c r="U353" s="84"/>
      <c r="V353" s="86"/>
      <c r="W353" s="84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66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2"/>
      <c r="AY353" s="72"/>
    </row>
    <row r="354" spans="2:51" x14ac:dyDescent="0.25">
      <c r="B354" s="70"/>
      <c r="C354" s="67"/>
      <c r="D354" s="68"/>
      <c r="E354" s="69"/>
      <c r="F354" s="84"/>
      <c r="G354" s="83"/>
      <c r="H354" s="84"/>
      <c r="I354" s="84"/>
      <c r="J354" s="84"/>
      <c r="K354" s="84"/>
      <c r="L354" s="84"/>
      <c r="M354" s="83"/>
      <c r="N354" s="84"/>
      <c r="O354" s="84"/>
      <c r="P354" s="84"/>
      <c r="Q354" s="84"/>
      <c r="R354" s="84"/>
      <c r="S354" s="86"/>
      <c r="T354" s="84"/>
      <c r="U354" s="84"/>
      <c r="V354" s="86"/>
      <c r="W354" s="84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66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2"/>
      <c r="AY354" s="72"/>
    </row>
    <row r="355" spans="2:51" x14ac:dyDescent="0.25">
      <c r="B355" s="70"/>
      <c r="C355" s="67"/>
      <c r="D355" s="68"/>
      <c r="E355" s="69"/>
      <c r="F355" s="84"/>
      <c r="G355" s="83"/>
      <c r="H355" s="84"/>
      <c r="I355" s="84"/>
      <c r="J355" s="84"/>
      <c r="K355" s="84"/>
      <c r="L355" s="84"/>
      <c r="M355" s="83"/>
      <c r="N355" s="84"/>
      <c r="O355" s="84"/>
      <c r="P355" s="84"/>
      <c r="Q355" s="84"/>
      <c r="R355" s="84"/>
      <c r="S355" s="86"/>
      <c r="T355" s="84"/>
      <c r="U355" s="84"/>
      <c r="V355" s="86"/>
      <c r="W355" s="84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66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2"/>
      <c r="AY355" s="72"/>
    </row>
    <row r="356" spans="2:51" x14ac:dyDescent="0.25">
      <c r="B356" s="70"/>
      <c r="C356" s="67"/>
      <c r="D356" s="68"/>
      <c r="E356" s="69"/>
      <c r="F356" s="84"/>
      <c r="G356" s="83"/>
      <c r="H356" s="84"/>
      <c r="I356" s="84"/>
      <c r="J356" s="84"/>
      <c r="K356" s="84"/>
      <c r="L356" s="84"/>
      <c r="M356" s="83"/>
      <c r="N356" s="84"/>
      <c r="O356" s="84"/>
      <c r="P356" s="84"/>
      <c r="Q356" s="84"/>
      <c r="R356" s="84"/>
      <c r="S356" s="86"/>
      <c r="T356" s="84"/>
      <c r="U356" s="84"/>
      <c r="V356" s="86"/>
      <c r="W356" s="84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66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2"/>
      <c r="AY356" s="72"/>
    </row>
    <row r="357" spans="2:51" x14ac:dyDescent="0.25">
      <c r="B357" s="70"/>
      <c r="C357" s="67"/>
      <c r="D357" s="68"/>
      <c r="E357" s="69"/>
      <c r="F357" s="84"/>
      <c r="G357" s="83"/>
      <c r="H357" s="84"/>
      <c r="I357" s="84"/>
      <c r="J357" s="84"/>
      <c r="K357" s="84"/>
      <c r="L357" s="84"/>
      <c r="M357" s="83"/>
      <c r="N357" s="84"/>
      <c r="O357" s="84"/>
      <c r="P357" s="84"/>
      <c r="Q357" s="84"/>
      <c r="R357" s="84"/>
      <c r="S357" s="86"/>
      <c r="T357" s="84"/>
      <c r="U357" s="84"/>
      <c r="V357" s="86"/>
      <c r="W357" s="84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66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2"/>
      <c r="AY357" s="72"/>
    </row>
    <row r="358" spans="2:51" x14ac:dyDescent="0.25">
      <c r="B358" s="70"/>
      <c r="C358" s="67"/>
      <c r="D358" s="68"/>
      <c r="E358" s="69"/>
      <c r="F358" s="84"/>
      <c r="G358" s="83"/>
      <c r="H358" s="84"/>
      <c r="I358" s="84"/>
      <c r="J358" s="84"/>
      <c r="K358" s="84"/>
      <c r="L358" s="84"/>
      <c r="M358" s="83"/>
      <c r="N358" s="84"/>
      <c r="O358" s="84"/>
      <c r="P358" s="84"/>
      <c r="Q358" s="84"/>
      <c r="R358" s="84"/>
      <c r="S358" s="86"/>
      <c r="T358" s="84"/>
      <c r="U358" s="84"/>
      <c r="V358" s="86"/>
      <c r="W358" s="84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66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2"/>
      <c r="AY358" s="72"/>
    </row>
    <row r="359" spans="2:51" x14ac:dyDescent="0.25">
      <c r="B359" s="70"/>
      <c r="C359" s="67"/>
      <c r="D359" s="68"/>
      <c r="E359" s="69"/>
      <c r="F359" s="84"/>
      <c r="G359" s="83"/>
      <c r="H359" s="84"/>
      <c r="I359" s="84"/>
      <c r="J359" s="84"/>
      <c r="K359" s="84"/>
      <c r="L359" s="84"/>
      <c r="M359" s="83"/>
      <c r="N359" s="84"/>
      <c r="O359" s="84"/>
      <c r="P359" s="84"/>
      <c r="Q359" s="84"/>
      <c r="R359" s="84"/>
      <c r="S359" s="86"/>
      <c r="T359" s="84"/>
      <c r="U359" s="84"/>
      <c r="V359" s="86"/>
      <c r="W359" s="84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66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2"/>
      <c r="AY359" s="72"/>
    </row>
    <row r="360" spans="2:51" x14ac:dyDescent="0.25">
      <c r="B360" s="70"/>
      <c r="C360" s="67"/>
      <c r="D360" s="68"/>
      <c r="E360" s="69"/>
      <c r="F360" s="84"/>
      <c r="G360" s="83"/>
      <c r="H360" s="84"/>
      <c r="I360" s="84"/>
      <c r="J360" s="84"/>
      <c r="K360" s="84"/>
      <c r="L360" s="84"/>
      <c r="M360" s="83"/>
      <c r="N360" s="84"/>
      <c r="O360" s="84"/>
      <c r="P360" s="84"/>
      <c r="Q360" s="84"/>
      <c r="R360" s="84"/>
      <c r="S360" s="86"/>
      <c r="T360" s="84"/>
      <c r="U360" s="84"/>
      <c r="V360" s="86"/>
      <c r="W360" s="84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66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2"/>
      <c r="AY360" s="72"/>
    </row>
    <row r="361" spans="2:51" x14ac:dyDescent="0.25">
      <c r="B361" s="70"/>
      <c r="C361" s="67"/>
      <c r="D361" s="68"/>
      <c r="E361" s="69"/>
      <c r="F361" s="84"/>
      <c r="G361" s="83"/>
      <c r="H361" s="84"/>
      <c r="I361" s="84"/>
      <c r="J361" s="84"/>
      <c r="K361" s="84"/>
      <c r="L361" s="84"/>
      <c r="M361" s="83"/>
      <c r="N361" s="84"/>
      <c r="O361" s="84"/>
      <c r="P361" s="84"/>
      <c r="Q361" s="84"/>
      <c r="R361" s="84"/>
      <c r="S361" s="86"/>
      <c r="T361" s="84"/>
      <c r="U361" s="84"/>
      <c r="V361" s="86"/>
      <c r="W361" s="84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66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2"/>
      <c r="AY361" s="72"/>
    </row>
    <row r="362" spans="2:51" x14ac:dyDescent="0.25">
      <c r="B362" s="70"/>
      <c r="C362" s="67"/>
      <c r="D362" s="68"/>
      <c r="E362" s="69"/>
      <c r="F362" s="84"/>
      <c r="G362" s="83"/>
      <c r="H362" s="84"/>
      <c r="I362" s="84"/>
      <c r="J362" s="84"/>
      <c r="K362" s="84"/>
      <c r="L362" s="84"/>
      <c r="M362" s="83"/>
      <c r="N362" s="84"/>
      <c r="O362" s="84"/>
      <c r="P362" s="84"/>
      <c r="Q362" s="84"/>
      <c r="R362" s="84"/>
      <c r="S362" s="86"/>
      <c r="T362" s="84"/>
      <c r="U362" s="84"/>
      <c r="V362" s="86"/>
      <c r="W362" s="84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66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2"/>
      <c r="AY362" s="72"/>
    </row>
    <row r="363" spans="2:51" x14ac:dyDescent="0.25">
      <c r="B363" s="70"/>
      <c r="C363" s="67"/>
      <c r="D363" s="68"/>
      <c r="E363" s="69"/>
      <c r="F363" s="84"/>
      <c r="G363" s="83"/>
      <c r="H363" s="84"/>
      <c r="I363" s="84"/>
      <c r="J363" s="84"/>
      <c r="K363" s="84"/>
      <c r="L363" s="84"/>
      <c r="M363" s="83"/>
      <c r="N363" s="84"/>
      <c r="O363" s="84"/>
      <c r="P363" s="84"/>
      <c r="Q363" s="84"/>
      <c r="R363" s="84"/>
      <c r="S363" s="86"/>
      <c r="T363" s="84"/>
      <c r="U363" s="84"/>
      <c r="V363" s="86"/>
      <c r="W363" s="84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66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2"/>
      <c r="AY363" s="72"/>
    </row>
    <row r="364" spans="2:51" x14ac:dyDescent="0.25">
      <c r="B364" s="70"/>
      <c r="C364" s="67"/>
      <c r="D364" s="68"/>
      <c r="E364" s="69"/>
      <c r="F364" s="84"/>
      <c r="G364" s="83"/>
      <c r="H364" s="84"/>
      <c r="I364" s="84"/>
      <c r="J364" s="84"/>
      <c r="K364" s="84"/>
      <c r="L364" s="84"/>
      <c r="M364" s="83"/>
      <c r="N364" s="84"/>
      <c r="O364" s="84"/>
      <c r="P364" s="84"/>
      <c r="Q364" s="84"/>
      <c r="R364" s="84"/>
      <c r="S364" s="86"/>
      <c r="T364" s="84"/>
      <c r="U364" s="84"/>
      <c r="V364" s="86"/>
      <c r="W364" s="84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66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2"/>
      <c r="AY364" s="72"/>
    </row>
    <row r="365" spans="2:51" x14ac:dyDescent="0.25">
      <c r="B365" s="70"/>
      <c r="C365" s="67"/>
      <c r="D365" s="68"/>
      <c r="E365" s="69"/>
      <c r="F365" s="84"/>
      <c r="G365" s="83"/>
      <c r="H365" s="84"/>
      <c r="I365" s="84"/>
      <c r="J365" s="84"/>
      <c r="K365" s="84"/>
      <c r="L365" s="84"/>
      <c r="M365" s="83"/>
      <c r="N365" s="84"/>
      <c r="O365" s="84"/>
      <c r="P365" s="84"/>
      <c r="Q365" s="84"/>
      <c r="R365" s="84"/>
      <c r="S365" s="86"/>
      <c r="T365" s="84"/>
      <c r="U365" s="84"/>
      <c r="V365" s="86"/>
      <c r="W365" s="84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66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2"/>
      <c r="AY365" s="72"/>
    </row>
    <row r="366" spans="2:51" x14ac:dyDescent="0.25">
      <c r="B366" s="70"/>
      <c r="C366" s="67"/>
      <c r="D366" s="68"/>
      <c r="E366" s="69"/>
      <c r="F366" s="84"/>
      <c r="G366" s="83"/>
      <c r="H366" s="84"/>
      <c r="I366" s="84"/>
      <c r="J366" s="84"/>
      <c r="K366" s="84"/>
      <c r="L366" s="84"/>
      <c r="M366" s="83"/>
      <c r="N366" s="84"/>
      <c r="O366" s="84"/>
      <c r="P366" s="84"/>
      <c r="Q366" s="84"/>
      <c r="R366" s="84"/>
      <c r="S366" s="86"/>
      <c r="T366" s="84"/>
      <c r="U366" s="84"/>
      <c r="V366" s="86"/>
      <c r="W366" s="84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66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2"/>
      <c r="AY366" s="72"/>
    </row>
    <row r="367" spans="2:51" x14ac:dyDescent="0.25">
      <c r="B367" s="70"/>
      <c r="C367" s="67"/>
      <c r="D367" s="68"/>
      <c r="E367" s="69"/>
      <c r="F367" s="84"/>
      <c r="G367" s="83"/>
      <c r="H367" s="84"/>
      <c r="I367" s="84"/>
      <c r="J367" s="84"/>
      <c r="K367" s="84"/>
      <c r="L367" s="84"/>
      <c r="M367" s="83"/>
      <c r="N367" s="84"/>
      <c r="O367" s="84"/>
      <c r="P367" s="84"/>
      <c r="Q367" s="84"/>
      <c r="R367" s="84"/>
      <c r="S367" s="86"/>
      <c r="T367" s="84"/>
      <c r="U367" s="84"/>
      <c r="V367" s="86"/>
      <c r="W367" s="84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66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2"/>
      <c r="AY367" s="72"/>
    </row>
    <row r="368" spans="2:51" x14ac:dyDescent="0.25">
      <c r="B368" s="70"/>
      <c r="C368" s="67"/>
      <c r="D368" s="68"/>
      <c r="E368" s="69"/>
      <c r="F368" s="84"/>
      <c r="G368" s="83"/>
      <c r="H368" s="84"/>
      <c r="I368" s="84"/>
      <c r="J368" s="84"/>
      <c r="K368" s="84"/>
      <c r="L368" s="84"/>
      <c r="M368" s="83"/>
      <c r="N368" s="84"/>
      <c r="O368" s="84"/>
      <c r="P368" s="84"/>
      <c r="Q368" s="84"/>
      <c r="R368" s="84"/>
      <c r="S368" s="86"/>
      <c r="T368" s="84"/>
      <c r="U368" s="84"/>
      <c r="V368" s="86"/>
      <c r="W368" s="84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66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2"/>
      <c r="AY368" s="72"/>
    </row>
    <row r="369" spans="2:51" x14ac:dyDescent="0.25">
      <c r="B369" s="70"/>
      <c r="C369" s="67"/>
      <c r="D369" s="68"/>
      <c r="E369" s="69"/>
      <c r="F369" s="84"/>
      <c r="G369" s="83"/>
      <c r="H369" s="84"/>
      <c r="I369" s="84"/>
      <c r="J369" s="84"/>
      <c r="K369" s="84"/>
      <c r="L369" s="84"/>
      <c r="M369" s="83"/>
      <c r="N369" s="84"/>
      <c r="O369" s="84"/>
      <c r="P369" s="84"/>
      <c r="Q369" s="84"/>
      <c r="R369" s="84"/>
      <c r="S369" s="86"/>
      <c r="T369" s="84"/>
      <c r="U369" s="84"/>
      <c r="V369" s="86"/>
      <c r="W369" s="84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66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2"/>
      <c r="AY369" s="72"/>
    </row>
    <row r="370" spans="2:51" x14ac:dyDescent="0.25">
      <c r="B370" s="70"/>
      <c r="C370" s="67"/>
      <c r="D370" s="68"/>
      <c r="E370" s="69"/>
      <c r="F370" s="84"/>
      <c r="G370" s="83"/>
      <c r="H370" s="84"/>
      <c r="I370" s="84"/>
      <c r="J370" s="84"/>
      <c r="K370" s="84"/>
      <c r="L370" s="84"/>
      <c r="M370" s="83"/>
      <c r="N370" s="84"/>
      <c r="O370" s="84"/>
      <c r="P370" s="84"/>
      <c r="Q370" s="84"/>
      <c r="R370" s="84"/>
      <c r="S370" s="86"/>
      <c r="T370" s="84"/>
      <c r="U370" s="84"/>
      <c r="V370" s="86"/>
      <c r="W370" s="84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66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2"/>
      <c r="AY370" s="72"/>
    </row>
    <row r="371" spans="2:51" x14ac:dyDescent="0.25">
      <c r="B371" s="70"/>
      <c r="C371" s="67"/>
      <c r="D371" s="68"/>
      <c r="E371" s="69"/>
      <c r="F371" s="84"/>
      <c r="G371" s="83"/>
      <c r="H371" s="84"/>
      <c r="I371" s="84"/>
      <c r="J371" s="84"/>
      <c r="K371" s="84"/>
      <c r="L371" s="84"/>
      <c r="M371" s="83"/>
      <c r="N371" s="84"/>
      <c r="O371" s="84"/>
      <c r="P371" s="84"/>
      <c r="Q371" s="84"/>
      <c r="R371" s="84"/>
      <c r="S371" s="86"/>
      <c r="T371" s="84"/>
      <c r="U371" s="84"/>
      <c r="V371" s="86"/>
      <c r="W371" s="84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66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2"/>
      <c r="AY371" s="72"/>
    </row>
    <row r="372" spans="2:51" x14ac:dyDescent="0.25">
      <c r="B372" s="70"/>
      <c r="C372" s="67"/>
      <c r="D372" s="68"/>
      <c r="E372" s="69"/>
      <c r="F372" s="84"/>
      <c r="G372" s="83"/>
      <c r="H372" s="84"/>
      <c r="I372" s="84"/>
      <c r="J372" s="84"/>
      <c r="K372" s="84"/>
      <c r="L372" s="84"/>
      <c r="M372" s="83"/>
      <c r="N372" s="84"/>
      <c r="O372" s="84"/>
      <c r="P372" s="84"/>
      <c r="Q372" s="84"/>
      <c r="R372" s="84"/>
      <c r="S372" s="86"/>
      <c r="T372" s="84"/>
      <c r="U372" s="84"/>
      <c r="V372" s="86"/>
      <c r="W372" s="84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66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2"/>
      <c r="AY372" s="72"/>
    </row>
    <row r="373" spans="2:51" x14ac:dyDescent="0.25">
      <c r="B373" s="70"/>
      <c r="C373" s="67"/>
      <c r="D373" s="68"/>
      <c r="E373" s="69"/>
      <c r="F373" s="84"/>
      <c r="G373" s="83"/>
      <c r="H373" s="84"/>
      <c r="I373" s="84"/>
      <c r="J373" s="84"/>
      <c r="K373" s="84"/>
      <c r="L373" s="84"/>
      <c r="M373" s="83"/>
      <c r="N373" s="84"/>
      <c r="O373" s="84"/>
      <c r="P373" s="84"/>
      <c r="Q373" s="84"/>
      <c r="R373" s="84"/>
      <c r="S373" s="86"/>
      <c r="T373" s="84"/>
      <c r="U373" s="84"/>
      <c r="V373" s="86"/>
      <c r="W373" s="84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66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2"/>
      <c r="AY373" s="72"/>
    </row>
    <row r="374" spans="2:51" x14ac:dyDescent="0.25">
      <c r="B374" s="70"/>
      <c r="C374" s="67"/>
      <c r="D374" s="68"/>
      <c r="E374" s="69"/>
      <c r="F374" s="84"/>
      <c r="G374" s="83"/>
      <c r="H374" s="84"/>
      <c r="I374" s="84"/>
      <c r="J374" s="84"/>
      <c r="K374" s="84"/>
      <c r="L374" s="84"/>
      <c r="M374" s="83"/>
      <c r="N374" s="84"/>
      <c r="O374" s="84"/>
      <c r="P374" s="84"/>
      <c r="Q374" s="84"/>
      <c r="R374" s="84"/>
      <c r="S374" s="86"/>
      <c r="T374" s="84"/>
      <c r="U374" s="84"/>
      <c r="V374" s="86"/>
      <c r="W374" s="84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66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2"/>
      <c r="AY374" s="72"/>
    </row>
    <row r="375" spans="2:51" x14ac:dyDescent="0.25">
      <c r="B375" s="70"/>
      <c r="C375" s="67"/>
      <c r="D375" s="68"/>
      <c r="E375" s="69"/>
      <c r="F375" s="84"/>
      <c r="G375" s="83"/>
      <c r="H375" s="84"/>
      <c r="I375" s="84"/>
      <c r="J375" s="84"/>
      <c r="K375" s="84"/>
      <c r="L375" s="84"/>
      <c r="M375" s="83"/>
      <c r="N375" s="84"/>
      <c r="O375" s="84"/>
      <c r="P375" s="84"/>
      <c r="Q375" s="84"/>
      <c r="R375" s="84"/>
      <c r="S375" s="86"/>
      <c r="T375" s="84"/>
      <c r="U375" s="84"/>
      <c r="V375" s="86"/>
      <c r="W375" s="84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66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2"/>
      <c r="AY375" s="72"/>
    </row>
    <row r="376" spans="2:51" x14ac:dyDescent="0.25">
      <c r="B376" s="70"/>
      <c r="C376" s="67"/>
      <c r="D376" s="68"/>
      <c r="E376" s="69"/>
      <c r="F376" s="84"/>
      <c r="G376" s="83"/>
      <c r="H376" s="84"/>
      <c r="I376" s="84"/>
      <c r="J376" s="84"/>
      <c r="K376" s="84"/>
      <c r="L376" s="84"/>
      <c r="M376" s="83"/>
      <c r="N376" s="84"/>
      <c r="O376" s="84"/>
      <c r="P376" s="84"/>
      <c r="Q376" s="84"/>
      <c r="R376" s="84"/>
      <c r="S376" s="86"/>
      <c r="T376" s="84"/>
      <c r="U376" s="84"/>
      <c r="V376" s="86"/>
      <c r="W376" s="84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66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2"/>
      <c r="AY376" s="72"/>
    </row>
    <row r="377" spans="2:51" x14ac:dyDescent="0.25">
      <c r="B377" s="70"/>
      <c r="C377" s="67"/>
      <c r="D377" s="68"/>
      <c r="E377" s="69"/>
      <c r="F377" s="84"/>
      <c r="G377" s="83"/>
      <c r="H377" s="84"/>
      <c r="I377" s="84"/>
      <c r="J377" s="84"/>
      <c r="K377" s="84"/>
      <c r="L377" s="84"/>
      <c r="M377" s="83"/>
      <c r="N377" s="84"/>
      <c r="O377" s="84"/>
      <c r="P377" s="84"/>
      <c r="Q377" s="84"/>
      <c r="R377" s="84"/>
      <c r="S377" s="86"/>
      <c r="T377" s="84"/>
      <c r="U377" s="84"/>
      <c r="V377" s="86"/>
      <c r="W377" s="84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66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2"/>
      <c r="AY377" s="72"/>
    </row>
    <row r="378" spans="2:51" x14ac:dyDescent="0.25">
      <c r="B378" s="70"/>
      <c r="C378" s="67"/>
      <c r="D378" s="68"/>
      <c r="E378" s="69"/>
      <c r="F378" s="84"/>
      <c r="G378" s="83"/>
      <c r="H378" s="84"/>
      <c r="I378" s="84"/>
      <c r="J378" s="84"/>
      <c r="K378" s="84"/>
      <c r="L378" s="84"/>
      <c r="M378" s="83"/>
      <c r="N378" s="84"/>
      <c r="O378" s="84"/>
      <c r="P378" s="84"/>
      <c r="Q378" s="84"/>
      <c r="R378" s="84"/>
      <c r="S378" s="86"/>
      <c r="T378" s="84"/>
      <c r="U378" s="84"/>
      <c r="V378" s="86"/>
      <c r="W378" s="84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66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2"/>
      <c r="AY378" s="72"/>
    </row>
    <row r="379" spans="2:51" x14ac:dyDescent="0.25">
      <c r="B379" s="70"/>
      <c r="C379" s="67"/>
      <c r="D379" s="68"/>
      <c r="E379" s="69"/>
      <c r="F379" s="84"/>
      <c r="G379" s="83"/>
      <c r="H379" s="84"/>
      <c r="I379" s="84"/>
      <c r="J379" s="84"/>
      <c r="K379" s="84"/>
      <c r="L379" s="84"/>
      <c r="M379" s="83"/>
      <c r="N379" s="84"/>
      <c r="O379" s="84"/>
      <c r="P379" s="84"/>
      <c r="Q379" s="84"/>
      <c r="R379" s="84"/>
      <c r="S379" s="86"/>
      <c r="T379" s="84"/>
      <c r="U379" s="84"/>
      <c r="V379" s="86"/>
      <c r="W379" s="84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66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2"/>
      <c r="AY379" s="72"/>
    </row>
    <row r="380" spans="2:51" x14ac:dyDescent="0.25">
      <c r="B380" s="70"/>
      <c r="C380" s="67"/>
      <c r="D380" s="68"/>
      <c r="E380" s="69"/>
      <c r="F380" s="84"/>
      <c r="G380" s="83"/>
      <c r="H380" s="84"/>
      <c r="I380" s="84"/>
      <c r="J380" s="84"/>
      <c r="K380" s="84"/>
      <c r="L380" s="84"/>
      <c r="M380" s="83"/>
      <c r="N380" s="84"/>
      <c r="O380" s="84"/>
      <c r="P380" s="84"/>
      <c r="Q380" s="84"/>
      <c r="R380" s="84"/>
      <c r="S380" s="86"/>
      <c r="T380" s="84"/>
      <c r="U380" s="84"/>
      <c r="V380" s="86"/>
      <c r="W380" s="84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66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2"/>
      <c r="AY380" s="72"/>
    </row>
    <row r="381" spans="2:51" x14ac:dyDescent="0.25">
      <c r="B381" s="70"/>
      <c r="C381" s="67"/>
      <c r="D381" s="68"/>
      <c r="E381" s="69"/>
      <c r="F381" s="84"/>
      <c r="G381" s="83"/>
      <c r="H381" s="84"/>
      <c r="I381" s="84"/>
      <c r="J381" s="84"/>
      <c r="K381" s="84"/>
      <c r="L381" s="84"/>
      <c r="M381" s="83"/>
      <c r="N381" s="84"/>
      <c r="O381" s="84"/>
      <c r="P381" s="84"/>
      <c r="Q381" s="84"/>
      <c r="R381" s="84"/>
      <c r="S381" s="86"/>
      <c r="T381" s="84"/>
      <c r="U381" s="84"/>
      <c r="V381" s="86"/>
      <c r="W381" s="84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66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2"/>
      <c r="AY381" s="72"/>
    </row>
    <row r="382" spans="2:51" x14ac:dyDescent="0.25">
      <c r="B382" s="70"/>
      <c r="C382" s="67"/>
      <c r="D382" s="68"/>
      <c r="E382" s="69"/>
      <c r="F382" s="84"/>
      <c r="G382" s="83"/>
      <c r="H382" s="84"/>
      <c r="I382" s="84"/>
      <c r="J382" s="84"/>
      <c r="K382" s="84"/>
      <c r="L382" s="84"/>
      <c r="M382" s="83"/>
      <c r="N382" s="84"/>
      <c r="O382" s="84"/>
      <c r="P382" s="84"/>
      <c r="Q382" s="84"/>
      <c r="R382" s="84"/>
      <c r="S382" s="86"/>
      <c r="T382" s="84"/>
      <c r="U382" s="84"/>
      <c r="V382" s="86"/>
      <c r="W382" s="84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66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2"/>
      <c r="AY382" s="72"/>
    </row>
    <row r="383" spans="2:51" x14ac:dyDescent="0.25">
      <c r="B383" s="70"/>
      <c r="C383" s="67"/>
      <c r="D383" s="68"/>
      <c r="E383" s="69"/>
      <c r="F383" s="84"/>
      <c r="G383" s="83"/>
      <c r="H383" s="84"/>
      <c r="I383" s="84"/>
      <c r="J383" s="84"/>
      <c r="K383" s="84"/>
      <c r="L383" s="84"/>
      <c r="M383" s="83"/>
      <c r="N383" s="84"/>
      <c r="O383" s="84"/>
      <c r="P383" s="84"/>
      <c r="Q383" s="84"/>
      <c r="R383" s="84"/>
      <c r="S383" s="86"/>
      <c r="T383" s="84"/>
      <c r="U383" s="84"/>
      <c r="V383" s="86"/>
      <c r="W383" s="84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66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2"/>
      <c r="AY383" s="72"/>
    </row>
    <row r="384" spans="2:51" x14ac:dyDescent="0.25">
      <c r="B384" s="70"/>
      <c r="C384" s="67"/>
      <c r="D384" s="68"/>
      <c r="E384" s="69"/>
      <c r="F384" s="84"/>
      <c r="G384" s="83"/>
      <c r="H384" s="84"/>
      <c r="I384" s="84"/>
      <c r="J384" s="84"/>
      <c r="K384" s="84"/>
      <c r="L384" s="84"/>
      <c r="M384" s="83"/>
      <c r="N384" s="84"/>
      <c r="O384" s="84"/>
      <c r="P384" s="84"/>
      <c r="Q384" s="84"/>
      <c r="R384" s="84"/>
      <c r="S384" s="86"/>
      <c r="T384" s="84"/>
      <c r="U384" s="84"/>
      <c r="V384" s="86"/>
      <c r="W384" s="84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66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2"/>
      <c r="AY384" s="72"/>
    </row>
    <row r="385" spans="2:51" x14ac:dyDescent="0.25">
      <c r="B385" s="70"/>
      <c r="C385" s="67"/>
      <c r="D385" s="68"/>
      <c r="E385" s="69"/>
      <c r="F385" s="84"/>
      <c r="G385" s="83"/>
      <c r="H385" s="84"/>
      <c r="I385" s="84"/>
      <c r="J385" s="84"/>
      <c r="K385" s="84"/>
      <c r="L385" s="84"/>
      <c r="M385" s="83"/>
      <c r="N385" s="84"/>
      <c r="O385" s="84"/>
      <c r="P385" s="84"/>
      <c r="Q385" s="84"/>
      <c r="R385" s="84"/>
      <c r="S385" s="86"/>
      <c r="T385" s="84"/>
      <c r="U385" s="84"/>
      <c r="V385" s="86"/>
      <c r="W385" s="84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66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2"/>
      <c r="AY385" s="72"/>
    </row>
    <row r="386" spans="2:51" x14ac:dyDescent="0.25">
      <c r="B386" s="70"/>
      <c r="C386" s="67"/>
      <c r="D386" s="68"/>
      <c r="E386" s="69"/>
      <c r="F386" s="84"/>
      <c r="G386" s="83"/>
      <c r="H386" s="84"/>
      <c r="I386" s="84"/>
      <c r="J386" s="84"/>
      <c r="K386" s="84"/>
      <c r="L386" s="84"/>
      <c r="M386" s="83"/>
      <c r="N386" s="84"/>
      <c r="O386" s="84"/>
      <c r="P386" s="84"/>
      <c r="Q386" s="84"/>
      <c r="R386" s="84"/>
      <c r="S386" s="86"/>
      <c r="T386" s="84"/>
      <c r="U386" s="84"/>
      <c r="V386" s="86"/>
      <c r="W386" s="84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66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2"/>
      <c r="AY386" s="72"/>
    </row>
    <row r="387" spans="2:51" x14ac:dyDescent="0.25">
      <c r="B387" s="70"/>
      <c r="C387" s="67"/>
      <c r="D387" s="68"/>
      <c r="E387" s="69"/>
      <c r="F387" s="84"/>
      <c r="G387" s="83"/>
      <c r="H387" s="84"/>
      <c r="I387" s="84"/>
      <c r="J387" s="84"/>
      <c r="K387" s="84"/>
      <c r="L387" s="84"/>
      <c r="M387" s="83"/>
      <c r="N387" s="84"/>
      <c r="O387" s="84"/>
      <c r="P387" s="84"/>
      <c r="Q387" s="84"/>
      <c r="R387" s="84"/>
      <c r="S387" s="86"/>
      <c r="T387" s="84"/>
      <c r="U387" s="84"/>
      <c r="V387" s="86"/>
      <c r="W387" s="84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66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2"/>
      <c r="AY387" s="72"/>
    </row>
    <row r="388" spans="2:51" x14ac:dyDescent="0.25">
      <c r="B388" s="70"/>
      <c r="C388" s="67"/>
      <c r="D388" s="68"/>
      <c r="E388" s="69"/>
      <c r="F388" s="84"/>
      <c r="G388" s="83"/>
      <c r="H388" s="84"/>
      <c r="I388" s="84"/>
      <c r="J388" s="84"/>
      <c r="K388" s="84"/>
      <c r="L388" s="84"/>
      <c r="M388" s="83"/>
      <c r="N388" s="84"/>
      <c r="O388" s="84"/>
      <c r="P388" s="84"/>
      <c r="Q388" s="84"/>
      <c r="R388" s="84"/>
      <c r="S388" s="86"/>
      <c r="T388" s="84"/>
      <c r="U388" s="84"/>
      <c r="V388" s="86"/>
      <c r="W388" s="84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66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2"/>
      <c r="AY388" s="72"/>
    </row>
    <row r="389" spans="2:51" x14ac:dyDescent="0.25">
      <c r="B389" s="70"/>
      <c r="C389" s="67"/>
      <c r="D389" s="68"/>
      <c r="E389" s="69"/>
      <c r="F389" s="84"/>
      <c r="G389" s="83"/>
      <c r="H389" s="84"/>
      <c r="I389" s="84"/>
      <c r="J389" s="84"/>
      <c r="K389" s="84"/>
      <c r="L389" s="84"/>
      <c r="M389" s="83"/>
      <c r="N389" s="84"/>
      <c r="O389" s="84"/>
      <c r="P389" s="84"/>
      <c r="Q389" s="84"/>
      <c r="R389" s="84"/>
      <c r="S389" s="86"/>
      <c r="T389" s="84"/>
      <c r="U389" s="84"/>
      <c r="V389" s="86"/>
      <c r="W389" s="84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66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2"/>
      <c r="AY389" s="72"/>
    </row>
    <row r="390" spans="2:51" x14ac:dyDescent="0.25">
      <c r="B390" s="70"/>
      <c r="C390" s="67"/>
      <c r="D390" s="68"/>
      <c r="E390" s="69"/>
      <c r="F390" s="84"/>
      <c r="G390" s="83"/>
      <c r="H390" s="84"/>
      <c r="I390" s="84"/>
      <c r="J390" s="84"/>
      <c r="K390" s="84"/>
      <c r="L390" s="84"/>
      <c r="M390" s="83"/>
      <c r="N390" s="84"/>
      <c r="O390" s="84"/>
      <c r="P390" s="84"/>
      <c r="Q390" s="84"/>
      <c r="R390" s="84"/>
      <c r="S390" s="86"/>
      <c r="T390" s="84"/>
      <c r="U390" s="84"/>
      <c r="V390" s="86"/>
      <c r="W390" s="84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66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2"/>
      <c r="AY390" s="72"/>
    </row>
    <row r="391" spans="2:51" x14ac:dyDescent="0.25">
      <c r="B391" s="70"/>
      <c r="C391" s="67"/>
      <c r="D391" s="68"/>
      <c r="E391" s="69"/>
      <c r="F391" s="84"/>
      <c r="G391" s="83"/>
      <c r="H391" s="84"/>
      <c r="I391" s="84"/>
      <c r="J391" s="84"/>
      <c r="K391" s="84"/>
      <c r="L391" s="84"/>
      <c r="M391" s="83"/>
      <c r="N391" s="84"/>
      <c r="O391" s="84"/>
      <c r="P391" s="84"/>
      <c r="Q391" s="84"/>
      <c r="R391" s="84"/>
      <c r="S391" s="86"/>
      <c r="T391" s="84"/>
      <c r="U391" s="84"/>
      <c r="V391" s="86"/>
      <c r="W391" s="84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66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2"/>
      <c r="AY391" s="72"/>
    </row>
    <row r="392" spans="2:51" x14ac:dyDescent="0.25">
      <c r="B392" s="70"/>
      <c r="C392" s="67"/>
      <c r="D392" s="68"/>
      <c r="E392" s="69"/>
      <c r="F392" s="84"/>
      <c r="G392" s="83"/>
      <c r="H392" s="84"/>
      <c r="I392" s="84"/>
      <c r="J392" s="84"/>
      <c r="K392" s="84"/>
      <c r="L392" s="84"/>
      <c r="M392" s="83"/>
      <c r="N392" s="84"/>
      <c r="O392" s="84"/>
      <c r="P392" s="84"/>
      <c r="Q392" s="84"/>
      <c r="R392" s="84"/>
      <c r="S392" s="86"/>
      <c r="T392" s="84"/>
      <c r="U392" s="84"/>
      <c r="V392" s="86"/>
      <c r="W392" s="84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66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2"/>
      <c r="AY392" s="72"/>
    </row>
    <row r="393" spans="2:51" x14ac:dyDescent="0.25">
      <c r="B393" s="70"/>
      <c r="C393" s="67"/>
      <c r="D393" s="68"/>
      <c r="E393" s="69"/>
      <c r="F393" s="84"/>
      <c r="G393" s="83"/>
      <c r="H393" s="84"/>
      <c r="I393" s="84"/>
      <c r="J393" s="84"/>
      <c r="K393" s="84"/>
      <c r="L393" s="84"/>
      <c r="M393" s="83"/>
      <c r="N393" s="84"/>
      <c r="O393" s="84"/>
      <c r="P393" s="84"/>
      <c r="Q393" s="84"/>
      <c r="R393" s="84"/>
      <c r="S393" s="86"/>
      <c r="T393" s="84"/>
      <c r="U393" s="84"/>
      <c r="V393" s="86"/>
      <c r="W393" s="84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66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2"/>
      <c r="AY393" s="72"/>
    </row>
    <row r="394" spans="2:51" x14ac:dyDescent="0.25">
      <c r="B394" s="70"/>
      <c r="C394" s="67"/>
      <c r="D394" s="68"/>
      <c r="E394" s="69"/>
      <c r="F394" s="84"/>
      <c r="G394" s="83"/>
      <c r="H394" s="84"/>
      <c r="I394" s="84"/>
      <c r="J394" s="84"/>
      <c r="K394" s="84"/>
      <c r="L394" s="84"/>
      <c r="M394" s="83"/>
      <c r="N394" s="84"/>
      <c r="O394" s="84"/>
      <c r="P394" s="84"/>
      <c r="Q394" s="84"/>
      <c r="R394" s="84"/>
      <c r="S394" s="86"/>
      <c r="T394" s="84"/>
      <c r="U394" s="84"/>
      <c r="V394" s="86"/>
      <c r="W394" s="84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66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2"/>
      <c r="AY394" s="72"/>
    </row>
    <row r="395" spans="2:51" x14ac:dyDescent="0.25">
      <c r="B395" s="70"/>
      <c r="C395" s="67"/>
      <c r="D395" s="68"/>
      <c r="E395" s="69"/>
      <c r="F395" s="84"/>
      <c r="G395" s="83"/>
      <c r="H395" s="84"/>
      <c r="I395" s="84"/>
      <c r="J395" s="84"/>
      <c r="K395" s="84"/>
      <c r="L395" s="84"/>
      <c r="M395" s="83"/>
      <c r="N395" s="84"/>
      <c r="O395" s="84"/>
      <c r="P395" s="84"/>
      <c r="Q395" s="84"/>
      <c r="R395" s="84"/>
      <c r="S395" s="86"/>
      <c r="T395" s="84"/>
      <c r="U395" s="84"/>
      <c r="V395" s="86"/>
      <c r="W395" s="84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66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2"/>
      <c r="AY395" s="72"/>
    </row>
    <row r="396" spans="2:51" x14ac:dyDescent="0.25">
      <c r="B396" s="70"/>
      <c r="C396" s="67"/>
      <c r="D396" s="68"/>
      <c r="E396" s="69"/>
      <c r="F396" s="84"/>
      <c r="G396" s="83"/>
      <c r="H396" s="84"/>
      <c r="I396" s="84"/>
      <c r="J396" s="84"/>
      <c r="K396" s="84"/>
      <c r="L396" s="84"/>
      <c r="M396" s="83"/>
      <c r="N396" s="84"/>
      <c r="O396" s="84"/>
      <c r="P396" s="84"/>
      <c r="Q396" s="84"/>
      <c r="R396" s="84"/>
      <c r="S396" s="86"/>
      <c r="T396" s="84"/>
      <c r="U396" s="84"/>
      <c r="V396" s="86"/>
      <c r="W396" s="84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66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2"/>
      <c r="AY396" s="72"/>
    </row>
    <row r="397" spans="2:51" x14ac:dyDescent="0.25">
      <c r="B397" s="70"/>
      <c r="C397" s="67"/>
      <c r="D397" s="68"/>
      <c r="E397" s="69"/>
      <c r="F397" s="84"/>
      <c r="G397" s="83"/>
      <c r="H397" s="84"/>
      <c r="I397" s="84"/>
      <c r="J397" s="84"/>
      <c r="K397" s="84"/>
      <c r="L397" s="84"/>
      <c r="M397" s="83"/>
      <c r="N397" s="84"/>
      <c r="O397" s="84"/>
      <c r="P397" s="84"/>
      <c r="Q397" s="84"/>
      <c r="R397" s="84"/>
      <c r="S397" s="86"/>
      <c r="T397" s="84"/>
      <c r="U397" s="84"/>
      <c r="V397" s="86"/>
      <c r="W397" s="84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66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2"/>
      <c r="AY397" s="72"/>
    </row>
    <row r="398" spans="2:51" x14ac:dyDescent="0.25">
      <c r="B398" s="70"/>
      <c r="C398" s="67"/>
      <c r="D398" s="68"/>
      <c r="E398" s="69"/>
      <c r="F398" s="84"/>
      <c r="G398" s="83"/>
      <c r="H398" s="84"/>
      <c r="I398" s="84"/>
      <c r="J398" s="84"/>
      <c r="K398" s="84"/>
      <c r="L398" s="84"/>
      <c r="M398" s="83"/>
      <c r="N398" s="84"/>
      <c r="O398" s="84"/>
      <c r="P398" s="84"/>
      <c r="Q398" s="84"/>
      <c r="R398" s="84"/>
      <c r="S398" s="86"/>
      <c r="T398" s="84"/>
      <c r="U398" s="84"/>
      <c r="V398" s="86"/>
      <c r="W398" s="84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66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2"/>
      <c r="AY398" s="72"/>
    </row>
    <row r="399" spans="2:51" x14ac:dyDescent="0.25">
      <c r="B399" s="70"/>
      <c r="C399" s="67"/>
      <c r="D399" s="68"/>
      <c r="E399" s="69"/>
      <c r="F399" s="84"/>
      <c r="G399" s="83"/>
      <c r="H399" s="84"/>
      <c r="I399" s="84"/>
      <c r="J399" s="84"/>
      <c r="K399" s="84"/>
      <c r="L399" s="84"/>
      <c r="M399" s="83"/>
      <c r="N399" s="84"/>
      <c r="O399" s="84"/>
      <c r="P399" s="84"/>
      <c r="Q399" s="84"/>
      <c r="R399" s="84"/>
      <c r="S399" s="86"/>
      <c r="T399" s="84"/>
      <c r="U399" s="84"/>
      <c r="V399" s="86"/>
      <c r="W399" s="84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66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2"/>
      <c r="AY399" s="72"/>
    </row>
    <row r="400" spans="2:51" x14ac:dyDescent="0.25">
      <c r="B400" s="70"/>
      <c r="C400" s="67"/>
      <c r="D400" s="68"/>
      <c r="E400" s="69"/>
      <c r="F400" s="84"/>
      <c r="G400" s="83"/>
      <c r="H400" s="84"/>
      <c r="I400" s="84"/>
      <c r="J400" s="84"/>
      <c r="K400" s="84"/>
      <c r="L400" s="84"/>
      <c r="M400" s="83"/>
      <c r="N400" s="84"/>
      <c r="O400" s="84"/>
      <c r="P400" s="84"/>
      <c r="Q400" s="84"/>
      <c r="R400" s="84"/>
      <c r="S400" s="86"/>
      <c r="T400" s="84"/>
      <c r="U400" s="84"/>
      <c r="V400" s="86"/>
      <c r="W400" s="84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66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2"/>
      <c r="AY400" s="72"/>
    </row>
    <row r="401" spans="2:51" x14ac:dyDescent="0.25">
      <c r="B401" s="70"/>
      <c r="C401" s="67"/>
      <c r="D401" s="68"/>
      <c r="E401" s="69"/>
      <c r="F401" s="84"/>
      <c r="G401" s="83"/>
      <c r="H401" s="84"/>
      <c r="I401" s="84"/>
      <c r="J401" s="84"/>
      <c r="K401" s="84"/>
      <c r="L401" s="84"/>
      <c r="M401" s="83"/>
      <c r="N401" s="84"/>
      <c r="O401" s="84"/>
      <c r="P401" s="84"/>
      <c r="Q401" s="84"/>
      <c r="R401" s="84"/>
      <c r="S401" s="86"/>
      <c r="T401" s="84"/>
      <c r="U401" s="84"/>
      <c r="V401" s="86"/>
      <c r="W401" s="84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66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2"/>
      <c r="AY401" s="72"/>
    </row>
    <row r="402" spans="2:51" x14ac:dyDescent="0.25">
      <c r="B402" s="70"/>
      <c r="C402" s="67"/>
      <c r="D402" s="68"/>
      <c r="E402" s="69"/>
      <c r="F402" s="84"/>
      <c r="G402" s="83"/>
      <c r="H402" s="84"/>
      <c r="I402" s="84"/>
      <c r="J402" s="84"/>
      <c r="K402" s="84"/>
      <c r="L402" s="84"/>
      <c r="M402" s="83"/>
      <c r="N402" s="84"/>
      <c r="O402" s="84"/>
      <c r="P402" s="84"/>
      <c r="Q402" s="84"/>
      <c r="R402" s="84"/>
      <c r="S402" s="86"/>
      <c r="T402" s="84"/>
      <c r="U402" s="84"/>
      <c r="V402" s="86"/>
      <c r="W402" s="84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66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2"/>
      <c r="AY402" s="72"/>
    </row>
    <row r="403" spans="2:51" x14ac:dyDescent="0.25">
      <c r="B403" s="70"/>
      <c r="C403" s="67"/>
      <c r="D403" s="68"/>
      <c r="E403" s="69"/>
      <c r="F403" s="84"/>
      <c r="G403" s="83"/>
      <c r="H403" s="84"/>
      <c r="I403" s="84"/>
      <c r="J403" s="84"/>
      <c r="K403" s="84"/>
      <c r="L403" s="84"/>
      <c r="M403" s="83"/>
      <c r="N403" s="84"/>
      <c r="O403" s="84"/>
      <c r="P403" s="84"/>
      <c r="Q403" s="84"/>
      <c r="R403" s="84"/>
      <c r="S403" s="86"/>
      <c r="T403" s="84"/>
      <c r="U403" s="84"/>
      <c r="V403" s="86"/>
      <c r="W403" s="84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66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2"/>
      <c r="AY403" s="72"/>
    </row>
    <row r="404" spans="2:51" x14ac:dyDescent="0.25">
      <c r="B404" s="70"/>
      <c r="C404" s="67"/>
      <c r="D404" s="68"/>
      <c r="E404" s="69"/>
      <c r="F404" s="84"/>
      <c r="G404" s="83"/>
      <c r="H404" s="84"/>
      <c r="I404" s="84"/>
      <c r="J404" s="84"/>
      <c r="K404" s="84"/>
      <c r="L404" s="84"/>
      <c r="M404" s="83"/>
      <c r="N404" s="84"/>
      <c r="O404" s="84"/>
      <c r="P404" s="84"/>
      <c r="Q404" s="84"/>
      <c r="R404" s="84"/>
      <c r="S404" s="86"/>
      <c r="T404" s="84"/>
      <c r="U404" s="84"/>
      <c r="V404" s="86"/>
      <c r="W404" s="84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66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2"/>
      <c r="AY404" s="72"/>
    </row>
    <row r="405" spans="2:51" x14ac:dyDescent="0.25">
      <c r="B405" s="70"/>
      <c r="C405" s="67"/>
      <c r="D405" s="68"/>
      <c r="E405" s="69"/>
      <c r="F405" s="84"/>
      <c r="G405" s="83"/>
      <c r="H405" s="84"/>
      <c r="I405" s="84"/>
      <c r="J405" s="84"/>
      <c r="K405" s="84"/>
      <c r="L405" s="84"/>
      <c r="M405" s="83"/>
      <c r="N405" s="84"/>
      <c r="O405" s="84"/>
      <c r="P405" s="84"/>
      <c r="Q405" s="84"/>
      <c r="R405" s="84"/>
      <c r="S405" s="86"/>
      <c r="T405" s="84"/>
      <c r="U405" s="84"/>
      <c r="V405" s="86"/>
      <c r="W405" s="84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66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2"/>
      <c r="AY405" s="72"/>
    </row>
    <row r="406" spans="2:51" x14ac:dyDescent="0.25">
      <c r="B406" s="70"/>
      <c r="C406" s="67"/>
      <c r="D406" s="68"/>
      <c r="E406" s="69"/>
      <c r="F406" s="84"/>
      <c r="G406" s="83"/>
      <c r="H406" s="84"/>
      <c r="I406" s="84"/>
      <c r="J406" s="84"/>
      <c r="K406" s="84"/>
      <c r="L406" s="84"/>
      <c r="M406" s="83"/>
      <c r="N406" s="84"/>
      <c r="O406" s="84"/>
      <c r="P406" s="84"/>
      <c r="Q406" s="84"/>
      <c r="R406" s="84"/>
      <c r="S406" s="86"/>
      <c r="T406" s="84"/>
      <c r="U406" s="84"/>
      <c r="V406" s="86"/>
      <c r="W406" s="84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66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2"/>
      <c r="AY406" s="72"/>
    </row>
    <row r="407" spans="2:51" x14ac:dyDescent="0.25">
      <c r="B407" s="70"/>
      <c r="C407" s="67"/>
      <c r="D407" s="68"/>
      <c r="E407" s="69"/>
      <c r="F407" s="84"/>
      <c r="G407" s="83"/>
      <c r="H407" s="84"/>
      <c r="I407" s="84"/>
      <c r="J407" s="84"/>
      <c r="K407" s="84"/>
      <c r="L407" s="84"/>
      <c r="M407" s="83"/>
      <c r="N407" s="84"/>
      <c r="O407" s="84"/>
      <c r="P407" s="84"/>
      <c r="Q407" s="84"/>
      <c r="R407" s="84"/>
      <c r="S407" s="86"/>
      <c r="T407" s="84"/>
      <c r="U407" s="84"/>
      <c r="V407" s="86"/>
      <c r="W407" s="84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66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2"/>
      <c r="AY407" s="72"/>
    </row>
    <row r="408" spans="2:51" x14ac:dyDescent="0.25">
      <c r="B408" s="70"/>
      <c r="C408" s="67"/>
      <c r="D408" s="68"/>
      <c r="E408" s="69"/>
      <c r="F408" s="84"/>
      <c r="G408" s="83"/>
      <c r="H408" s="84"/>
      <c r="I408" s="84"/>
      <c r="J408" s="84"/>
      <c r="K408" s="84"/>
      <c r="L408" s="84"/>
      <c r="M408" s="83"/>
      <c r="N408" s="84"/>
      <c r="O408" s="84"/>
      <c r="P408" s="84"/>
      <c r="Q408" s="84"/>
      <c r="R408" s="84"/>
      <c r="S408" s="86"/>
      <c r="T408" s="84"/>
      <c r="U408" s="84"/>
      <c r="V408" s="86"/>
      <c r="W408" s="84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66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2"/>
      <c r="AY408" s="72"/>
    </row>
    <row r="409" spans="2:51" x14ac:dyDescent="0.25">
      <c r="B409" s="70"/>
      <c r="C409" s="67"/>
      <c r="D409" s="68"/>
      <c r="E409" s="69"/>
      <c r="F409" s="84"/>
      <c r="G409" s="83"/>
      <c r="H409" s="84"/>
      <c r="I409" s="84"/>
      <c r="J409" s="84"/>
      <c r="K409" s="84"/>
      <c r="L409" s="84"/>
      <c r="M409" s="83"/>
      <c r="N409" s="84"/>
      <c r="O409" s="84"/>
      <c r="P409" s="84"/>
      <c r="Q409" s="84"/>
      <c r="R409" s="84"/>
      <c r="S409" s="86"/>
      <c r="T409" s="84"/>
      <c r="U409" s="84"/>
      <c r="V409" s="86"/>
      <c r="W409" s="84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66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2"/>
      <c r="AY409" s="72"/>
    </row>
    <row r="410" spans="2:51" x14ac:dyDescent="0.25">
      <c r="B410" s="70"/>
      <c r="C410" s="67"/>
      <c r="D410" s="68"/>
      <c r="E410" s="69"/>
      <c r="F410" s="84"/>
      <c r="G410" s="83"/>
      <c r="H410" s="84"/>
      <c r="I410" s="84"/>
      <c r="J410" s="84"/>
      <c r="K410" s="84"/>
      <c r="L410" s="84"/>
      <c r="M410" s="83"/>
      <c r="N410" s="84"/>
      <c r="O410" s="84"/>
      <c r="P410" s="84"/>
      <c r="Q410" s="84"/>
      <c r="R410" s="84"/>
      <c r="S410" s="86"/>
      <c r="T410" s="84"/>
      <c r="U410" s="84"/>
      <c r="V410" s="86"/>
      <c r="W410" s="84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66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2"/>
      <c r="AY410" s="72"/>
    </row>
    <row r="411" spans="2:51" x14ac:dyDescent="0.25">
      <c r="B411" s="70"/>
      <c r="C411" s="67"/>
      <c r="D411" s="68"/>
      <c r="E411" s="69"/>
      <c r="F411" s="84"/>
      <c r="G411" s="83"/>
      <c r="H411" s="84"/>
      <c r="I411" s="84"/>
      <c r="J411" s="84"/>
      <c r="K411" s="84"/>
      <c r="L411" s="84"/>
      <c r="M411" s="83"/>
      <c r="N411" s="84"/>
      <c r="O411" s="84"/>
      <c r="P411" s="84"/>
      <c r="Q411" s="84"/>
      <c r="R411" s="84"/>
      <c r="S411" s="86"/>
      <c r="T411" s="84"/>
      <c r="U411" s="84"/>
      <c r="V411" s="86"/>
      <c r="W411" s="84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66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2"/>
      <c r="AY411" s="72"/>
    </row>
    <row r="412" spans="2:51" x14ac:dyDescent="0.25">
      <c r="B412" s="70"/>
      <c r="C412" s="67"/>
      <c r="D412" s="68"/>
      <c r="E412" s="69"/>
      <c r="F412" s="84"/>
      <c r="G412" s="83"/>
      <c r="H412" s="84"/>
      <c r="I412" s="84"/>
      <c r="J412" s="84"/>
      <c r="K412" s="84"/>
      <c r="L412" s="84"/>
      <c r="M412" s="83"/>
      <c r="N412" s="84"/>
      <c r="O412" s="84"/>
      <c r="P412" s="84"/>
      <c r="Q412" s="84"/>
      <c r="R412" s="84"/>
      <c r="S412" s="86"/>
      <c r="T412" s="84"/>
      <c r="U412" s="84"/>
      <c r="V412" s="86"/>
      <c r="W412" s="84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66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2"/>
      <c r="AY412" s="72"/>
    </row>
    <row r="413" spans="2:51" x14ac:dyDescent="0.25">
      <c r="B413" s="70"/>
      <c r="C413" s="67"/>
      <c r="D413" s="68"/>
      <c r="E413" s="69"/>
      <c r="F413" s="84"/>
      <c r="G413" s="83"/>
      <c r="H413" s="84"/>
      <c r="I413" s="84"/>
      <c r="J413" s="84"/>
      <c r="K413" s="84"/>
      <c r="L413" s="84"/>
      <c r="M413" s="83"/>
      <c r="N413" s="84"/>
      <c r="O413" s="84"/>
      <c r="P413" s="84"/>
      <c r="Q413" s="84"/>
      <c r="R413" s="84"/>
      <c r="S413" s="86"/>
      <c r="T413" s="84"/>
      <c r="U413" s="84"/>
      <c r="V413" s="86"/>
      <c r="W413" s="84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66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2"/>
      <c r="AY413" s="72"/>
    </row>
    <row r="414" spans="2:51" x14ac:dyDescent="0.25">
      <c r="B414" s="70"/>
      <c r="C414" s="67"/>
      <c r="D414" s="68"/>
      <c r="E414" s="69"/>
      <c r="F414" s="84"/>
      <c r="G414" s="83"/>
      <c r="H414" s="84"/>
      <c r="I414" s="84"/>
      <c r="J414" s="84"/>
      <c r="K414" s="84"/>
      <c r="L414" s="84"/>
      <c r="M414" s="83"/>
      <c r="N414" s="84"/>
      <c r="O414" s="84"/>
      <c r="P414" s="84"/>
      <c r="Q414" s="84"/>
      <c r="R414" s="84"/>
      <c r="S414" s="86"/>
      <c r="T414" s="84"/>
      <c r="U414" s="84"/>
      <c r="V414" s="86"/>
      <c r="W414" s="84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66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2"/>
      <c r="AY414" s="72"/>
    </row>
    <row r="415" spans="2:51" x14ac:dyDescent="0.25">
      <c r="B415" s="70"/>
      <c r="C415" s="67"/>
      <c r="D415" s="68"/>
      <c r="E415" s="69"/>
      <c r="F415" s="84"/>
      <c r="G415" s="83"/>
      <c r="H415" s="84"/>
      <c r="I415" s="84"/>
      <c r="J415" s="84"/>
      <c r="K415" s="84"/>
      <c r="L415" s="84"/>
      <c r="M415" s="83"/>
      <c r="N415" s="84"/>
      <c r="O415" s="84"/>
      <c r="P415" s="84"/>
      <c r="Q415" s="84"/>
      <c r="R415" s="84"/>
      <c r="S415" s="86"/>
      <c r="T415" s="84"/>
      <c r="U415" s="84"/>
      <c r="V415" s="86"/>
      <c r="W415" s="84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66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2"/>
      <c r="AY415" s="72"/>
    </row>
    <row r="416" spans="2:51" x14ac:dyDescent="0.25">
      <c r="B416" s="70"/>
      <c r="C416" s="67"/>
      <c r="D416" s="68"/>
      <c r="E416" s="69"/>
      <c r="F416" s="84"/>
      <c r="G416" s="83"/>
      <c r="H416" s="84"/>
      <c r="I416" s="84"/>
      <c r="J416" s="84"/>
      <c r="K416" s="84"/>
      <c r="L416" s="84"/>
      <c r="M416" s="83"/>
      <c r="N416" s="84"/>
      <c r="O416" s="84"/>
      <c r="P416" s="84"/>
      <c r="Q416" s="84"/>
      <c r="R416" s="84"/>
      <c r="S416" s="86"/>
      <c r="T416" s="84"/>
      <c r="U416" s="84"/>
      <c r="V416" s="86"/>
      <c r="W416" s="84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66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2"/>
      <c r="AY416" s="72"/>
    </row>
    <row r="417" spans="2:51" x14ac:dyDescent="0.25">
      <c r="B417" s="70"/>
      <c r="C417" s="67"/>
      <c r="D417" s="68"/>
      <c r="E417" s="69"/>
      <c r="F417" s="84"/>
      <c r="G417" s="83"/>
      <c r="H417" s="84"/>
      <c r="I417" s="84"/>
      <c r="J417" s="84"/>
      <c r="K417" s="84"/>
      <c r="L417" s="84"/>
      <c r="M417" s="83"/>
      <c r="N417" s="84"/>
      <c r="O417" s="84"/>
      <c r="P417" s="84"/>
      <c r="Q417" s="84"/>
      <c r="R417" s="84"/>
      <c r="S417" s="86"/>
      <c r="T417" s="84"/>
      <c r="U417" s="84"/>
      <c r="V417" s="86"/>
      <c r="W417" s="84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66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2"/>
      <c r="AY417" s="72"/>
    </row>
    <row r="418" spans="2:51" x14ac:dyDescent="0.25">
      <c r="B418" s="70"/>
      <c r="C418" s="67"/>
      <c r="D418" s="68"/>
      <c r="E418" s="69"/>
      <c r="F418" s="84"/>
      <c r="G418" s="83"/>
      <c r="H418" s="84"/>
      <c r="I418" s="84"/>
      <c r="J418" s="84"/>
      <c r="K418" s="84"/>
      <c r="L418" s="84"/>
      <c r="M418" s="83"/>
      <c r="N418" s="84"/>
      <c r="O418" s="84"/>
      <c r="P418" s="84"/>
      <c r="Q418" s="84"/>
      <c r="R418" s="84"/>
      <c r="S418" s="86"/>
      <c r="T418" s="84"/>
      <c r="U418" s="84"/>
      <c r="V418" s="86"/>
      <c r="W418" s="84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66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2"/>
      <c r="AY418" s="72"/>
    </row>
    <row r="419" spans="2:51" x14ac:dyDescent="0.25">
      <c r="B419" s="70"/>
      <c r="C419" s="67"/>
      <c r="D419" s="68"/>
      <c r="E419" s="69"/>
      <c r="F419" s="84"/>
      <c r="G419" s="83"/>
      <c r="H419" s="84"/>
      <c r="I419" s="84"/>
      <c r="J419" s="84"/>
      <c r="K419" s="84"/>
      <c r="L419" s="84"/>
      <c r="M419" s="83"/>
      <c r="N419" s="84"/>
      <c r="O419" s="84"/>
      <c r="P419" s="84"/>
      <c r="Q419" s="84"/>
      <c r="R419" s="84"/>
      <c r="S419" s="86"/>
      <c r="T419" s="84"/>
      <c r="U419" s="84"/>
      <c r="V419" s="86"/>
      <c r="W419" s="84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66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2"/>
      <c r="AY419" s="72"/>
    </row>
    <row r="420" spans="2:51" x14ac:dyDescent="0.25">
      <c r="B420" s="70"/>
      <c r="C420" s="67"/>
      <c r="D420" s="68"/>
      <c r="E420" s="69"/>
      <c r="F420" s="84"/>
      <c r="G420" s="83"/>
      <c r="H420" s="84"/>
      <c r="I420" s="84"/>
      <c r="J420" s="84"/>
      <c r="K420" s="84"/>
      <c r="L420" s="84"/>
      <c r="M420" s="83"/>
      <c r="N420" s="84"/>
      <c r="O420" s="84"/>
      <c r="P420" s="84"/>
      <c r="Q420" s="84"/>
      <c r="R420" s="84"/>
      <c r="S420" s="86"/>
      <c r="T420" s="84"/>
      <c r="U420" s="84"/>
      <c r="V420" s="86"/>
      <c r="W420" s="84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66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2"/>
      <c r="AY420" s="72"/>
    </row>
    <row r="421" spans="2:51" x14ac:dyDescent="0.25">
      <c r="B421" s="70"/>
      <c r="C421" s="67"/>
      <c r="D421" s="68"/>
      <c r="E421" s="69"/>
      <c r="F421" s="84"/>
      <c r="G421" s="83"/>
      <c r="H421" s="84"/>
      <c r="I421" s="84"/>
      <c r="J421" s="84"/>
      <c r="K421" s="84"/>
      <c r="L421" s="84"/>
      <c r="M421" s="83"/>
      <c r="N421" s="84"/>
      <c r="O421" s="84"/>
      <c r="P421" s="84"/>
      <c r="Q421" s="84"/>
      <c r="R421" s="84"/>
      <c r="S421" s="86"/>
      <c r="T421" s="84"/>
      <c r="U421" s="84"/>
      <c r="V421" s="86"/>
      <c r="W421" s="84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66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2"/>
      <c r="AY421" s="72"/>
    </row>
    <row r="422" spans="2:51" x14ac:dyDescent="0.25">
      <c r="B422" s="70"/>
      <c r="C422" s="67"/>
      <c r="D422" s="68"/>
      <c r="E422" s="69"/>
      <c r="F422" s="84"/>
      <c r="G422" s="83"/>
      <c r="H422" s="84"/>
      <c r="I422" s="84"/>
      <c r="J422" s="84"/>
      <c r="K422" s="84"/>
      <c r="L422" s="84"/>
      <c r="M422" s="83"/>
      <c r="N422" s="84"/>
      <c r="O422" s="84"/>
      <c r="P422" s="84"/>
      <c r="Q422" s="84"/>
      <c r="R422" s="84"/>
      <c r="S422" s="86"/>
      <c r="T422" s="84"/>
      <c r="U422" s="84"/>
      <c r="V422" s="86"/>
      <c r="W422" s="84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66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2"/>
      <c r="AY422" s="72"/>
    </row>
    <row r="423" spans="2:51" x14ac:dyDescent="0.25">
      <c r="B423" s="70"/>
      <c r="C423" s="67"/>
      <c r="D423" s="68"/>
      <c r="E423" s="69"/>
      <c r="F423" s="84"/>
      <c r="G423" s="83"/>
      <c r="H423" s="84"/>
      <c r="I423" s="84"/>
      <c r="J423" s="84"/>
      <c r="K423" s="84"/>
      <c r="L423" s="84"/>
      <c r="M423" s="83"/>
      <c r="N423" s="84"/>
      <c r="O423" s="84"/>
      <c r="P423" s="84"/>
      <c r="Q423" s="84"/>
      <c r="R423" s="84"/>
      <c r="S423" s="86"/>
      <c r="T423" s="84"/>
      <c r="U423" s="84"/>
      <c r="V423" s="86"/>
      <c r="W423" s="84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66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2"/>
      <c r="AY423" s="72"/>
    </row>
    <row r="424" spans="2:51" x14ac:dyDescent="0.25">
      <c r="B424" s="70"/>
      <c r="C424" s="67"/>
      <c r="D424" s="68"/>
      <c r="E424" s="69"/>
      <c r="F424" s="84"/>
      <c r="G424" s="83"/>
      <c r="H424" s="84"/>
      <c r="I424" s="84"/>
      <c r="J424" s="84"/>
      <c r="K424" s="84"/>
      <c r="L424" s="84"/>
      <c r="M424" s="83"/>
      <c r="N424" s="84"/>
      <c r="O424" s="84"/>
      <c r="P424" s="84"/>
      <c r="Q424" s="84"/>
      <c r="R424" s="84"/>
      <c r="S424" s="86"/>
      <c r="T424" s="84"/>
      <c r="U424" s="84"/>
      <c r="V424" s="86"/>
      <c r="W424" s="84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66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2"/>
      <c r="AY424" s="72"/>
    </row>
    <row r="425" spans="2:51" x14ac:dyDescent="0.25">
      <c r="B425" s="70"/>
      <c r="C425" s="67"/>
      <c r="D425" s="68"/>
      <c r="E425" s="69"/>
      <c r="F425" s="84"/>
      <c r="G425" s="83"/>
      <c r="H425" s="84"/>
      <c r="I425" s="84"/>
      <c r="J425" s="84"/>
      <c r="K425" s="84"/>
      <c r="L425" s="84"/>
      <c r="M425" s="83"/>
      <c r="N425" s="84"/>
      <c r="O425" s="84"/>
      <c r="P425" s="84"/>
      <c r="Q425" s="84"/>
      <c r="R425" s="84"/>
      <c r="S425" s="86"/>
      <c r="T425" s="84"/>
      <c r="U425" s="84"/>
      <c r="V425" s="86"/>
      <c r="W425" s="84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66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2"/>
      <c r="AY425" s="72"/>
    </row>
    <row r="426" spans="2:51" x14ac:dyDescent="0.25">
      <c r="B426" s="70"/>
      <c r="C426" s="67"/>
      <c r="D426" s="68"/>
      <c r="E426" s="69"/>
      <c r="F426" s="84"/>
      <c r="G426" s="83"/>
      <c r="H426" s="84"/>
      <c r="I426" s="84"/>
      <c r="J426" s="84"/>
      <c r="K426" s="84"/>
      <c r="L426" s="84"/>
      <c r="M426" s="83"/>
      <c r="N426" s="84"/>
      <c r="O426" s="84"/>
      <c r="P426" s="84"/>
      <c r="Q426" s="84"/>
      <c r="R426" s="84"/>
      <c r="S426" s="86"/>
      <c r="T426" s="84"/>
      <c r="U426" s="84"/>
      <c r="V426" s="86"/>
      <c r="W426" s="84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66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2"/>
      <c r="AY426" s="72"/>
    </row>
    <row r="427" spans="2:51" x14ac:dyDescent="0.25">
      <c r="B427" s="70"/>
      <c r="C427" s="67"/>
      <c r="D427" s="68"/>
      <c r="E427" s="69"/>
      <c r="F427" s="84"/>
      <c r="G427" s="83"/>
      <c r="H427" s="84"/>
      <c r="I427" s="84"/>
      <c r="J427" s="84"/>
      <c r="K427" s="84"/>
      <c r="L427" s="84"/>
      <c r="M427" s="83"/>
      <c r="N427" s="84"/>
      <c r="O427" s="84"/>
      <c r="P427" s="84"/>
      <c r="Q427" s="84"/>
      <c r="R427" s="84"/>
      <c r="S427" s="86"/>
      <c r="T427" s="84"/>
      <c r="U427" s="84"/>
      <c r="V427" s="86"/>
      <c r="W427" s="84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66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2"/>
      <c r="AY427" s="72"/>
    </row>
    <row r="428" spans="2:51" x14ac:dyDescent="0.25">
      <c r="B428" s="70"/>
      <c r="C428" s="67"/>
      <c r="D428" s="68"/>
      <c r="E428" s="69"/>
      <c r="F428" s="84"/>
      <c r="G428" s="83"/>
      <c r="H428" s="84"/>
      <c r="I428" s="84"/>
      <c r="J428" s="84"/>
      <c r="K428" s="84"/>
      <c r="L428" s="84"/>
      <c r="M428" s="83"/>
      <c r="N428" s="84"/>
      <c r="O428" s="84"/>
      <c r="P428" s="84"/>
      <c r="Q428" s="84"/>
      <c r="R428" s="84"/>
      <c r="S428" s="86"/>
      <c r="T428" s="84"/>
      <c r="U428" s="84"/>
      <c r="V428" s="86"/>
      <c r="W428" s="84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66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2"/>
      <c r="AY428" s="72"/>
    </row>
    <row r="429" spans="2:51" x14ac:dyDescent="0.25">
      <c r="B429" s="70"/>
      <c r="C429" s="67"/>
      <c r="D429" s="68"/>
      <c r="E429" s="69"/>
      <c r="F429" s="84"/>
      <c r="G429" s="83"/>
      <c r="H429" s="84"/>
      <c r="I429" s="84"/>
      <c r="J429" s="84"/>
      <c r="K429" s="84"/>
      <c r="L429" s="84"/>
      <c r="M429" s="83"/>
      <c r="N429" s="84"/>
      <c r="O429" s="84"/>
      <c r="P429" s="84"/>
      <c r="Q429" s="84"/>
      <c r="R429" s="84"/>
      <c r="S429" s="86"/>
      <c r="T429" s="84"/>
      <c r="U429" s="84"/>
      <c r="V429" s="86"/>
      <c r="W429" s="84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66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2"/>
      <c r="AY429" s="72"/>
    </row>
    <row r="430" spans="2:51" x14ac:dyDescent="0.25">
      <c r="B430" s="70"/>
      <c r="C430" s="67"/>
      <c r="D430" s="68"/>
      <c r="E430" s="69"/>
      <c r="F430" s="84"/>
      <c r="G430" s="83"/>
      <c r="H430" s="84"/>
      <c r="I430" s="84"/>
      <c r="J430" s="84"/>
      <c r="K430" s="84"/>
      <c r="L430" s="84"/>
      <c r="M430" s="83"/>
      <c r="N430" s="84"/>
      <c r="O430" s="84"/>
      <c r="P430" s="84"/>
      <c r="Q430" s="84"/>
      <c r="R430" s="84"/>
      <c r="S430" s="86"/>
      <c r="T430" s="84"/>
      <c r="U430" s="84"/>
      <c r="V430" s="86"/>
      <c r="W430" s="84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66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2"/>
      <c r="AY430" s="72"/>
    </row>
    <row r="431" spans="2:51" x14ac:dyDescent="0.25">
      <c r="B431" s="70"/>
      <c r="C431" s="67"/>
      <c r="D431" s="68"/>
      <c r="E431" s="69"/>
      <c r="F431" s="84"/>
      <c r="G431" s="83"/>
      <c r="H431" s="84"/>
      <c r="I431" s="84"/>
      <c r="J431" s="84"/>
      <c r="K431" s="84"/>
      <c r="L431" s="84"/>
      <c r="M431" s="83"/>
      <c r="N431" s="84"/>
      <c r="O431" s="84"/>
      <c r="P431" s="84"/>
      <c r="Q431" s="84"/>
      <c r="R431" s="84"/>
      <c r="S431" s="86"/>
      <c r="T431" s="84"/>
      <c r="U431" s="84"/>
      <c r="V431" s="86"/>
      <c r="W431" s="84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66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2"/>
      <c r="AY431" s="72"/>
    </row>
    <row r="432" spans="2:51" x14ac:dyDescent="0.25">
      <c r="B432" s="70"/>
      <c r="C432" s="67"/>
      <c r="D432" s="68"/>
      <c r="E432" s="69"/>
      <c r="F432" s="84"/>
      <c r="G432" s="83"/>
      <c r="H432" s="84"/>
      <c r="I432" s="84"/>
      <c r="J432" s="84"/>
      <c r="K432" s="84"/>
      <c r="L432" s="84"/>
      <c r="M432" s="83"/>
      <c r="N432" s="84"/>
      <c r="O432" s="84"/>
      <c r="P432" s="84"/>
      <c r="Q432" s="84"/>
      <c r="R432" s="84"/>
      <c r="S432" s="86"/>
      <c r="T432" s="84"/>
      <c r="U432" s="84"/>
      <c r="V432" s="86"/>
      <c r="W432" s="84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66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2"/>
      <c r="AY432" s="72"/>
    </row>
    <row r="433" spans="2:51" x14ac:dyDescent="0.25">
      <c r="B433" s="70"/>
      <c r="C433" s="67"/>
      <c r="D433" s="68"/>
      <c r="E433" s="69"/>
      <c r="F433" s="84"/>
      <c r="G433" s="83"/>
      <c r="H433" s="84"/>
      <c r="I433" s="84"/>
      <c r="J433" s="84"/>
      <c r="K433" s="84"/>
      <c r="L433" s="84"/>
      <c r="M433" s="83"/>
      <c r="N433" s="84"/>
      <c r="O433" s="84"/>
      <c r="P433" s="84"/>
      <c r="Q433" s="84"/>
      <c r="R433" s="84"/>
      <c r="S433" s="86"/>
      <c r="T433" s="84"/>
      <c r="U433" s="84"/>
      <c r="V433" s="86"/>
      <c r="W433" s="84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66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2"/>
      <c r="AY433" s="72"/>
    </row>
    <row r="434" spans="2:51" x14ac:dyDescent="0.25">
      <c r="B434" s="70"/>
      <c r="C434" s="67"/>
      <c r="D434" s="68"/>
      <c r="E434" s="69"/>
      <c r="F434" s="84"/>
      <c r="G434" s="83"/>
      <c r="H434" s="84"/>
      <c r="I434" s="84"/>
      <c r="J434" s="84"/>
      <c r="K434" s="84"/>
      <c r="L434" s="84"/>
      <c r="M434" s="83"/>
      <c r="N434" s="84"/>
      <c r="O434" s="84"/>
      <c r="P434" s="84"/>
      <c r="Q434" s="84"/>
      <c r="R434" s="84"/>
      <c r="S434" s="86"/>
      <c r="T434" s="84"/>
      <c r="U434" s="84"/>
      <c r="V434" s="86"/>
      <c r="W434" s="84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66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2"/>
      <c r="AY434" s="72"/>
    </row>
    <row r="435" spans="2:51" x14ac:dyDescent="0.25">
      <c r="B435" s="70"/>
      <c r="C435" s="67"/>
      <c r="D435" s="68"/>
      <c r="E435" s="69"/>
      <c r="F435" s="84"/>
      <c r="G435" s="83"/>
      <c r="H435" s="84"/>
      <c r="I435" s="84"/>
      <c r="J435" s="84"/>
      <c r="K435" s="84"/>
      <c r="L435" s="84"/>
      <c r="M435" s="83"/>
      <c r="N435" s="84"/>
      <c r="O435" s="84"/>
      <c r="P435" s="84"/>
      <c r="Q435" s="84"/>
      <c r="R435" s="84"/>
      <c r="S435" s="86"/>
      <c r="T435" s="84"/>
      <c r="U435" s="84"/>
      <c r="V435" s="86"/>
      <c r="W435" s="84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66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2"/>
      <c r="AY435" s="72"/>
    </row>
    <row r="436" spans="2:51" x14ac:dyDescent="0.25">
      <c r="B436" s="70"/>
      <c r="C436" s="67"/>
      <c r="D436" s="68"/>
      <c r="E436" s="69"/>
      <c r="F436" s="84"/>
      <c r="G436" s="83"/>
      <c r="H436" s="84"/>
      <c r="I436" s="84"/>
      <c r="J436" s="84"/>
      <c r="K436" s="84"/>
      <c r="L436" s="84"/>
      <c r="M436" s="83"/>
      <c r="N436" s="84"/>
      <c r="O436" s="84"/>
      <c r="P436" s="84"/>
      <c r="Q436" s="84"/>
      <c r="R436" s="84"/>
      <c r="S436" s="86"/>
      <c r="T436" s="84"/>
      <c r="U436" s="84"/>
      <c r="V436" s="86"/>
      <c r="W436" s="84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66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2"/>
      <c r="AY436" s="72"/>
    </row>
    <row r="437" spans="2:51" x14ac:dyDescent="0.25">
      <c r="B437" s="70"/>
      <c r="C437" s="67"/>
      <c r="D437" s="68"/>
      <c r="E437" s="69"/>
      <c r="F437" s="84"/>
      <c r="G437" s="83"/>
      <c r="H437" s="84"/>
      <c r="I437" s="84"/>
      <c r="J437" s="84"/>
      <c r="K437" s="84"/>
      <c r="L437" s="84"/>
      <c r="M437" s="83"/>
      <c r="N437" s="84"/>
      <c r="O437" s="84"/>
      <c r="P437" s="84"/>
      <c r="Q437" s="84"/>
      <c r="R437" s="84"/>
      <c r="S437" s="86"/>
      <c r="T437" s="84"/>
      <c r="U437" s="84"/>
      <c r="V437" s="86"/>
      <c r="W437" s="84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66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2"/>
      <c r="AY437" s="72"/>
    </row>
    <row r="438" spans="2:51" x14ac:dyDescent="0.25">
      <c r="B438" s="70"/>
      <c r="C438" s="67"/>
      <c r="D438" s="68"/>
      <c r="E438" s="69"/>
      <c r="F438" s="84"/>
      <c r="G438" s="83"/>
      <c r="H438" s="84"/>
      <c r="I438" s="84"/>
      <c r="J438" s="84"/>
      <c r="K438" s="84"/>
      <c r="L438" s="84"/>
      <c r="M438" s="83"/>
      <c r="N438" s="84"/>
      <c r="O438" s="84"/>
      <c r="P438" s="84"/>
      <c r="Q438" s="84"/>
      <c r="R438" s="84"/>
      <c r="S438" s="86"/>
      <c r="T438" s="84"/>
      <c r="U438" s="84"/>
      <c r="V438" s="86"/>
      <c r="W438" s="84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66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2"/>
      <c r="AY438" s="72"/>
    </row>
    <row r="439" spans="2:51" x14ac:dyDescent="0.25">
      <c r="B439" s="70"/>
      <c r="C439" s="67"/>
      <c r="D439" s="68"/>
      <c r="E439" s="69"/>
      <c r="F439" s="84"/>
      <c r="G439" s="83"/>
      <c r="H439" s="84"/>
      <c r="I439" s="84"/>
      <c r="J439" s="84"/>
      <c r="K439" s="84"/>
      <c r="L439" s="84"/>
      <c r="M439" s="83"/>
      <c r="N439" s="84"/>
      <c r="O439" s="84"/>
      <c r="P439" s="84"/>
      <c r="Q439" s="84"/>
      <c r="R439" s="84"/>
      <c r="S439" s="86"/>
      <c r="T439" s="84"/>
      <c r="U439" s="84"/>
      <c r="V439" s="86"/>
      <c r="W439" s="84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66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2"/>
      <c r="AY439" s="72"/>
    </row>
    <row r="440" spans="2:51" x14ac:dyDescent="0.25">
      <c r="B440" s="70"/>
      <c r="C440" s="67"/>
      <c r="D440" s="68"/>
      <c r="E440" s="69"/>
      <c r="F440" s="84"/>
      <c r="G440" s="83"/>
      <c r="H440" s="84"/>
      <c r="I440" s="84"/>
      <c r="J440" s="84"/>
      <c r="K440" s="84"/>
      <c r="L440" s="84"/>
      <c r="M440" s="83"/>
      <c r="N440" s="84"/>
      <c r="O440" s="84"/>
      <c r="P440" s="84"/>
      <c r="Q440" s="84"/>
      <c r="R440" s="84"/>
      <c r="S440" s="86"/>
      <c r="T440" s="84"/>
      <c r="U440" s="84"/>
      <c r="V440" s="86"/>
      <c r="W440" s="84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66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2"/>
      <c r="AY440" s="72"/>
    </row>
    <row r="441" spans="2:51" x14ac:dyDescent="0.25">
      <c r="B441" s="70"/>
      <c r="C441" s="67"/>
      <c r="D441" s="68"/>
      <c r="E441" s="69"/>
      <c r="F441" s="84"/>
      <c r="G441" s="83"/>
      <c r="H441" s="84"/>
      <c r="I441" s="84"/>
      <c r="J441" s="84"/>
      <c r="K441" s="84"/>
      <c r="L441" s="84"/>
      <c r="M441" s="83"/>
      <c r="N441" s="84"/>
      <c r="O441" s="84"/>
      <c r="P441" s="84"/>
      <c r="Q441" s="84"/>
      <c r="R441" s="84"/>
      <c r="S441" s="86"/>
      <c r="T441" s="84"/>
      <c r="U441" s="84"/>
      <c r="V441" s="86"/>
      <c r="W441" s="84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66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2"/>
      <c r="AY441" s="72"/>
    </row>
    <row r="442" spans="2:51" x14ac:dyDescent="0.25">
      <c r="B442" s="70"/>
      <c r="C442" s="67"/>
      <c r="D442" s="68"/>
      <c r="E442" s="69"/>
      <c r="F442" s="84"/>
      <c r="G442" s="83"/>
      <c r="H442" s="84"/>
      <c r="I442" s="84"/>
      <c r="J442" s="84"/>
      <c r="K442" s="84"/>
      <c r="L442" s="84"/>
      <c r="M442" s="83"/>
      <c r="N442" s="84"/>
      <c r="O442" s="84"/>
      <c r="P442" s="84"/>
      <c r="Q442" s="84"/>
      <c r="R442" s="84"/>
      <c r="S442" s="86"/>
      <c r="T442" s="84"/>
      <c r="U442" s="84"/>
      <c r="V442" s="86"/>
      <c r="W442" s="84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66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2"/>
      <c r="AY442" s="72"/>
    </row>
    <row r="443" spans="2:51" x14ac:dyDescent="0.25">
      <c r="B443" s="70"/>
      <c r="C443" s="67"/>
      <c r="D443" s="68"/>
      <c r="E443" s="69"/>
      <c r="F443" s="84"/>
      <c r="G443" s="83"/>
      <c r="H443" s="84"/>
      <c r="I443" s="84"/>
      <c r="J443" s="84"/>
      <c r="K443" s="84"/>
      <c r="L443" s="84"/>
      <c r="M443" s="83"/>
      <c r="N443" s="84"/>
      <c r="O443" s="84"/>
      <c r="P443" s="84"/>
      <c r="Q443" s="84"/>
      <c r="R443" s="84"/>
      <c r="S443" s="86"/>
      <c r="T443" s="84"/>
      <c r="U443" s="84"/>
      <c r="V443" s="86"/>
      <c r="W443" s="84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66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2"/>
      <c r="AY443" s="72"/>
    </row>
    <row r="444" spans="2:51" x14ac:dyDescent="0.25">
      <c r="B444" s="70"/>
      <c r="C444" s="67"/>
      <c r="D444" s="68"/>
      <c r="E444" s="69"/>
      <c r="F444" s="84"/>
      <c r="G444" s="83"/>
      <c r="H444" s="84"/>
      <c r="I444" s="84"/>
      <c r="J444" s="84"/>
      <c r="K444" s="84"/>
      <c r="L444" s="84"/>
      <c r="M444" s="83"/>
      <c r="N444" s="84"/>
      <c r="O444" s="84"/>
      <c r="P444" s="84"/>
      <c r="Q444" s="84"/>
      <c r="R444" s="84"/>
      <c r="S444" s="86"/>
      <c r="T444" s="84"/>
      <c r="U444" s="84"/>
      <c r="V444" s="86"/>
      <c r="W444" s="84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66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2"/>
      <c r="AY444" s="72"/>
    </row>
    <row r="445" spans="2:51" x14ac:dyDescent="0.25">
      <c r="B445" s="70"/>
      <c r="C445" s="67"/>
      <c r="D445" s="68"/>
      <c r="E445" s="69"/>
      <c r="F445" s="84"/>
      <c r="G445" s="83"/>
      <c r="H445" s="84"/>
      <c r="I445" s="84"/>
      <c r="J445" s="84"/>
      <c r="K445" s="84"/>
      <c r="L445" s="84"/>
      <c r="M445" s="83"/>
      <c r="N445" s="84"/>
      <c r="O445" s="84"/>
      <c r="P445" s="84"/>
      <c r="Q445" s="84"/>
      <c r="R445" s="84"/>
      <c r="S445" s="86"/>
      <c r="T445" s="84"/>
      <c r="U445" s="84"/>
      <c r="V445" s="86"/>
      <c r="W445" s="84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66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2"/>
      <c r="AY445" s="72"/>
    </row>
    <row r="446" spans="2:51" x14ac:dyDescent="0.25">
      <c r="B446" s="70"/>
      <c r="C446" s="67"/>
      <c r="D446" s="68"/>
      <c r="E446" s="69"/>
      <c r="F446" s="84"/>
      <c r="G446" s="83"/>
      <c r="H446" s="84"/>
      <c r="I446" s="84"/>
      <c r="J446" s="84"/>
      <c r="K446" s="84"/>
      <c r="L446" s="84"/>
      <c r="M446" s="83"/>
      <c r="N446" s="84"/>
      <c r="O446" s="84"/>
      <c r="P446" s="84"/>
      <c r="Q446" s="84"/>
      <c r="R446" s="84"/>
      <c r="S446" s="86"/>
      <c r="T446" s="84"/>
      <c r="U446" s="84"/>
      <c r="V446" s="86"/>
      <c r="W446" s="84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66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2"/>
      <c r="AY446" s="72"/>
    </row>
    <row r="447" spans="2:51" x14ac:dyDescent="0.25">
      <c r="B447" s="70"/>
      <c r="C447" s="67"/>
      <c r="D447" s="68"/>
      <c r="E447" s="69"/>
      <c r="F447" s="84"/>
      <c r="G447" s="83"/>
      <c r="H447" s="84"/>
      <c r="I447" s="84"/>
      <c r="J447" s="84"/>
      <c r="K447" s="84"/>
      <c r="L447" s="84"/>
      <c r="M447" s="83"/>
      <c r="N447" s="84"/>
      <c r="O447" s="84"/>
      <c r="P447" s="84"/>
      <c r="Q447" s="84"/>
      <c r="R447" s="84"/>
      <c r="S447" s="86"/>
      <c r="T447" s="84"/>
      <c r="U447" s="84"/>
      <c r="V447" s="86"/>
      <c r="W447" s="84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66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2"/>
      <c r="AY447" s="72"/>
    </row>
    <row r="448" spans="2:51" x14ac:dyDescent="0.25">
      <c r="B448" s="70"/>
      <c r="C448" s="67"/>
      <c r="D448" s="68"/>
      <c r="E448" s="69"/>
      <c r="F448" s="84"/>
      <c r="G448" s="83"/>
      <c r="H448" s="84"/>
      <c r="I448" s="84"/>
      <c r="J448" s="84"/>
      <c r="K448" s="84"/>
      <c r="L448" s="84"/>
      <c r="M448" s="83"/>
      <c r="N448" s="84"/>
      <c r="O448" s="84"/>
      <c r="P448" s="84"/>
      <c r="Q448" s="84"/>
      <c r="R448" s="84"/>
      <c r="S448" s="86"/>
      <c r="T448" s="84"/>
      <c r="U448" s="84"/>
      <c r="V448" s="86"/>
      <c r="W448" s="84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66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2"/>
      <c r="AY448" s="72"/>
    </row>
    <row r="449" spans="2:51" x14ac:dyDescent="0.25">
      <c r="B449" s="70"/>
      <c r="C449" s="67"/>
      <c r="D449" s="68"/>
      <c r="E449" s="69"/>
      <c r="F449" s="84"/>
      <c r="G449" s="83"/>
      <c r="H449" s="84"/>
      <c r="I449" s="84"/>
      <c r="J449" s="84"/>
      <c r="K449" s="84"/>
      <c r="L449" s="84"/>
      <c r="M449" s="83"/>
      <c r="N449" s="84"/>
      <c r="O449" s="84"/>
      <c r="P449" s="84"/>
      <c r="Q449" s="84"/>
      <c r="R449" s="84"/>
      <c r="S449" s="86"/>
      <c r="T449" s="84"/>
      <c r="U449" s="84"/>
      <c r="V449" s="86"/>
      <c r="W449" s="84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66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2"/>
      <c r="AY449" s="72"/>
    </row>
    <row r="450" spans="2:51" x14ac:dyDescent="0.25">
      <c r="B450" s="70"/>
      <c r="C450" s="67"/>
      <c r="D450" s="68"/>
      <c r="E450" s="69"/>
      <c r="F450" s="84"/>
      <c r="G450" s="83"/>
      <c r="H450" s="84"/>
      <c r="I450" s="84"/>
      <c r="J450" s="84"/>
      <c r="K450" s="84"/>
      <c r="L450" s="84"/>
      <c r="M450" s="83"/>
      <c r="N450" s="84"/>
      <c r="O450" s="84"/>
      <c r="P450" s="84"/>
      <c r="Q450" s="84"/>
      <c r="R450" s="84"/>
      <c r="S450" s="86"/>
      <c r="T450" s="84"/>
      <c r="U450" s="84"/>
      <c r="V450" s="86"/>
      <c r="W450" s="84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66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2"/>
      <c r="AY450" s="72"/>
    </row>
    <row r="451" spans="2:51" x14ac:dyDescent="0.25">
      <c r="B451" s="70"/>
      <c r="C451" s="67"/>
      <c r="D451" s="68"/>
      <c r="E451" s="69"/>
      <c r="F451" s="84"/>
      <c r="G451" s="83"/>
      <c r="H451" s="84"/>
      <c r="I451" s="84"/>
      <c r="J451" s="84"/>
      <c r="K451" s="84"/>
      <c r="L451" s="84"/>
      <c r="M451" s="83"/>
      <c r="N451" s="84"/>
      <c r="O451" s="84"/>
      <c r="P451" s="84"/>
      <c r="Q451" s="84"/>
      <c r="R451" s="84"/>
      <c r="S451" s="86"/>
      <c r="T451" s="84"/>
      <c r="U451" s="84"/>
      <c r="V451" s="86"/>
      <c r="W451" s="84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66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2"/>
      <c r="AY451" s="72"/>
    </row>
    <row r="452" spans="2:51" x14ac:dyDescent="0.25">
      <c r="B452" s="70"/>
      <c r="C452" s="67"/>
      <c r="D452" s="68"/>
      <c r="E452" s="69"/>
      <c r="F452" s="84"/>
      <c r="G452" s="83"/>
      <c r="H452" s="84"/>
      <c r="I452" s="84"/>
      <c r="J452" s="84"/>
      <c r="K452" s="84"/>
      <c r="L452" s="84"/>
      <c r="M452" s="83"/>
      <c r="N452" s="84"/>
      <c r="O452" s="84"/>
      <c r="P452" s="84"/>
      <c r="Q452" s="84"/>
      <c r="R452" s="84"/>
      <c r="S452" s="86"/>
      <c r="T452" s="84"/>
      <c r="U452" s="84"/>
      <c r="V452" s="86"/>
      <c r="W452" s="84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66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2"/>
      <c r="AY452" s="72"/>
    </row>
    <row r="453" spans="2:51" x14ac:dyDescent="0.25">
      <c r="B453" s="70"/>
      <c r="C453" s="67"/>
      <c r="D453" s="68"/>
      <c r="E453" s="69"/>
      <c r="F453" s="84"/>
      <c r="G453" s="83"/>
      <c r="H453" s="84"/>
      <c r="I453" s="84"/>
      <c r="J453" s="84"/>
      <c r="K453" s="84"/>
      <c r="L453" s="84"/>
      <c r="M453" s="83"/>
      <c r="N453" s="84"/>
      <c r="O453" s="84"/>
      <c r="P453" s="84"/>
      <c r="Q453" s="84"/>
      <c r="R453" s="84"/>
      <c r="S453" s="86"/>
      <c r="T453" s="84"/>
      <c r="U453" s="84"/>
      <c r="V453" s="86"/>
      <c r="W453" s="84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66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2"/>
      <c r="AY453" s="72"/>
    </row>
    <row r="454" spans="2:51" x14ac:dyDescent="0.25">
      <c r="B454" s="70"/>
      <c r="C454" s="67"/>
      <c r="D454" s="68"/>
      <c r="E454" s="69"/>
      <c r="F454" s="84"/>
      <c r="G454" s="83"/>
      <c r="H454" s="84"/>
      <c r="I454" s="84"/>
      <c r="J454" s="84"/>
      <c r="K454" s="84"/>
      <c r="L454" s="84"/>
      <c r="M454" s="83"/>
      <c r="N454" s="84"/>
      <c r="O454" s="84"/>
      <c r="P454" s="84"/>
      <c r="Q454" s="84"/>
      <c r="R454" s="84"/>
      <c r="S454" s="86"/>
      <c r="T454" s="84"/>
      <c r="U454" s="84"/>
      <c r="V454" s="86"/>
      <c r="W454" s="84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66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2"/>
      <c r="AY454" s="72"/>
    </row>
    <row r="455" spans="2:51" x14ac:dyDescent="0.25">
      <c r="B455" s="70"/>
      <c r="C455" s="67"/>
      <c r="D455" s="68"/>
      <c r="E455" s="69"/>
      <c r="F455" s="84"/>
      <c r="G455" s="83"/>
      <c r="H455" s="84"/>
      <c r="I455" s="84"/>
      <c r="J455" s="84"/>
      <c r="K455" s="84"/>
      <c r="L455" s="84"/>
      <c r="M455" s="83"/>
      <c r="N455" s="84"/>
      <c r="O455" s="84"/>
      <c r="P455" s="84"/>
      <c r="Q455" s="84"/>
      <c r="R455" s="84"/>
      <c r="S455" s="86"/>
      <c r="T455" s="84"/>
      <c r="U455" s="84"/>
      <c r="V455" s="86"/>
      <c r="W455" s="84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66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2"/>
      <c r="AY455" s="72"/>
    </row>
    <row r="456" spans="2:51" x14ac:dyDescent="0.25">
      <c r="B456" s="70"/>
      <c r="C456" s="67"/>
      <c r="D456" s="68"/>
      <c r="E456" s="69"/>
      <c r="F456" s="84"/>
      <c r="G456" s="83"/>
      <c r="H456" s="84"/>
      <c r="I456" s="84"/>
      <c r="J456" s="84"/>
      <c r="K456" s="84"/>
      <c r="L456" s="84"/>
      <c r="M456" s="83"/>
      <c r="N456" s="84"/>
      <c r="O456" s="84"/>
      <c r="P456" s="84"/>
      <c r="Q456" s="84"/>
      <c r="R456" s="84"/>
      <c r="S456" s="86"/>
      <c r="T456" s="84"/>
      <c r="U456" s="84"/>
      <c r="V456" s="86"/>
      <c r="W456" s="84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66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2"/>
      <c r="AY456" s="72"/>
    </row>
    <row r="457" spans="2:51" x14ac:dyDescent="0.25">
      <c r="B457" s="70"/>
      <c r="C457" s="67"/>
      <c r="D457" s="68"/>
      <c r="E457" s="69"/>
      <c r="F457" s="84"/>
      <c r="G457" s="83"/>
      <c r="H457" s="84"/>
      <c r="I457" s="84"/>
      <c r="J457" s="84"/>
      <c r="K457" s="84"/>
      <c r="L457" s="84"/>
      <c r="M457" s="83"/>
      <c r="N457" s="84"/>
      <c r="O457" s="84"/>
      <c r="P457" s="84"/>
      <c r="Q457" s="84"/>
      <c r="R457" s="84"/>
      <c r="S457" s="86"/>
      <c r="T457" s="84"/>
      <c r="U457" s="84"/>
      <c r="V457" s="86"/>
      <c r="W457" s="84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66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2"/>
      <c r="AY457" s="72"/>
    </row>
    <row r="458" spans="2:51" x14ac:dyDescent="0.25">
      <c r="B458" s="70"/>
      <c r="C458" s="67"/>
      <c r="D458" s="68"/>
      <c r="E458" s="69"/>
      <c r="F458" s="84"/>
      <c r="G458" s="83"/>
      <c r="H458" s="84"/>
      <c r="I458" s="84"/>
      <c r="J458" s="84"/>
      <c r="K458" s="84"/>
      <c r="L458" s="84"/>
      <c r="M458" s="83"/>
      <c r="N458" s="84"/>
      <c r="O458" s="84"/>
      <c r="P458" s="84"/>
      <c r="Q458" s="84"/>
      <c r="R458" s="84"/>
      <c r="S458" s="86"/>
      <c r="T458" s="84"/>
      <c r="U458" s="84"/>
      <c r="V458" s="86"/>
      <c r="W458" s="84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66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2"/>
      <c r="AY458" s="72"/>
    </row>
    <row r="459" spans="2:51" x14ac:dyDescent="0.25">
      <c r="B459" s="70"/>
      <c r="C459" s="67"/>
      <c r="D459" s="68"/>
      <c r="E459" s="69"/>
      <c r="F459" s="84"/>
      <c r="G459" s="83"/>
      <c r="H459" s="84"/>
      <c r="I459" s="84"/>
      <c r="J459" s="84"/>
      <c r="K459" s="84"/>
      <c r="L459" s="84"/>
      <c r="M459" s="83"/>
      <c r="N459" s="84"/>
      <c r="O459" s="84"/>
      <c r="P459" s="84"/>
      <c r="Q459" s="84"/>
      <c r="R459" s="84"/>
      <c r="S459" s="86"/>
      <c r="T459" s="84"/>
      <c r="U459" s="84"/>
      <c r="V459" s="86"/>
      <c r="W459" s="84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66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2"/>
      <c r="AY459" s="72"/>
    </row>
    <row r="460" spans="2:51" x14ac:dyDescent="0.25">
      <c r="B460" s="70"/>
      <c r="C460" s="67"/>
      <c r="D460" s="68"/>
      <c r="E460" s="69"/>
      <c r="F460" s="84"/>
      <c r="G460" s="83"/>
      <c r="H460" s="84"/>
      <c r="I460" s="84"/>
      <c r="J460" s="84"/>
      <c r="K460" s="84"/>
      <c r="L460" s="84"/>
      <c r="M460" s="83"/>
      <c r="N460" s="84"/>
      <c r="O460" s="84"/>
      <c r="P460" s="84"/>
      <c r="Q460" s="84"/>
      <c r="R460" s="84"/>
      <c r="S460" s="86"/>
      <c r="T460" s="84"/>
      <c r="U460" s="84"/>
      <c r="V460" s="86"/>
      <c r="W460" s="84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66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2"/>
      <c r="AY460" s="72"/>
    </row>
    <row r="461" spans="2:51" x14ac:dyDescent="0.25">
      <c r="B461" s="70"/>
      <c r="C461" s="67"/>
      <c r="D461" s="68"/>
      <c r="E461" s="69"/>
      <c r="F461" s="84"/>
      <c r="G461" s="83"/>
      <c r="H461" s="84"/>
      <c r="I461" s="84"/>
      <c r="J461" s="84"/>
      <c r="K461" s="84"/>
      <c r="L461" s="84"/>
      <c r="M461" s="83"/>
      <c r="N461" s="84"/>
      <c r="O461" s="84"/>
      <c r="P461" s="84"/>
      <c r="Q461" s="84"/>
      <c r="R461" s="84"/>
      <c r="S461" s="86"/>
      <c r="T461" s="84"/>
      <c r="U461" s="84"/>
      <c r="V461" s="86"/>
      <c r="W461" s="84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66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2"/>
      <c r="AY461" s="72"/>
    </row>
    <row r="462" spans="2:51" x14ac:dyDescent="0.25">
      <c r="B462" s="70"/>
      <c r="C462" s="67"/>
      <c r="D462" s="68"/>
      <c r="E462" s="69"/>
      <c r="F462" s="84"/>
      <c r="G462" s="83"/>
      <c r="H462" s="84"/>
      <c r="I462" s="84"/>
      <c r="J462" s="84"/>
      <c r="K462" s="84"/>
      <c r="L462" s="84"/>
      <c r="M462" s="83"/>
      <c r="N462" s="84"/>
      <c r="O462" s="84"/>
      <c r="P462" s="84"/>
      <c r="Q462" s="84"/>
      <c r="R462" s="84"/>
      <c r="S462" s="86"/>
      <c r="T462" s="84"/>
      <c r="U462" s="84"/>
      <c r="V462" s="86"/>
      <c r="W462" s="84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66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2"/>
      <c r="AY462" s="72"/>
    </row>
    <row r="463" spans="2:51" x14ac:dyDescent="0.25">
      <c r="B463" s="70"/>
      <c r="C463" s="67"/>
      <c r="D463" s="68"/>
      <c r="E463" s="69"/>
      <c r="F463" s="84"/>
      <c r="G463" s="83"/>
      <c r="H463" s="84"/>
      <c r="I463" s="84"/>
      <c r="J463" s="84"/>
      <c r="K463" s="84"/>
      <c r="L463" s="84"/>
      <c r="M463" s="83"/>
      <c r="N463" s="84"/>
      <c r="O463" s="84"/>
      <c r="P463" s="84"/>
      <c r="Q463" s="84"/>
      <c r="R463" s="84"/>
      <c r="S463" s="86"/>
      <c r="T463" s="84"/>
      <c r="U463" s="84"/>
      <c r="V463" s="86"/>
      <c r="W463" s="84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66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2"/>
      <c r="AY463" s="72"/>
    </row>
    <row r="464" spans="2:51" x14ac:dyDescent="0.25">
      <c r="B464" s="70"/>
      <c r="C464" s="67"/>
      <c r="D464" s="68"/>
      <c r="E464" s="69"/>
      <c r="F464" s="84"/>
      <c r="G464" s="83"/>
      <c r="H464" s="84"/>
      <c r="I464" s="84"/>
      <c r="J464" s="84"/>
      <c r="K464" s="84"/>
      <c r="L464" s="84"/>
      <c r="M464" s="83"/>
      <c r="N464" s="84"/>
      <c r="O464" s="84"/>
      <c r="P464" s="84"/>
      <c r="Q464" s="84"/>
      <c r="R464" s="84"/>
      <c r="S464" s="86"/>
      <c r="T464" s="84"/>
      <c r="U464" s="84"/>
      <c r="V464" s="86"/>
      <c r="W464" s="84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66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2"/>
      <c r="AY464" s="72"/>
    </row>
    <row r="465" spans="2:51" x14ac:dyDescent="0.25">
      <c r="B465" s="70"/>
      <c r="C465" s="67"/>
      <c r="D465" s="68"/>
      <c r="E465" s="69"/>
      <c r="F465" s="84"/>
      <c r="G465" s="83"/>
      <c r="H465" s="84"/>
      <c r="I465" s="84"/>
      <c r="J465" s="84"/>
      <c r="K465" s="84"/>
      <c r="L465" s="84"/>
      <c r="M465" s="83"/>
      <c r="N465" s="84"/>
      <c r="O465" s="84"/>
      <c r="P465" s="84"/>
      <c r="Q465" s="84"/>
      <c r="R465" s="84"/>
      <c r="S465" s="86"/>
      <c r="T465" s="84"/>
      <c r="U465" s="84"/>
      <c r="V465" s="86"/>
      <c r="W465" s="84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66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2"/>
      <c r="AY465" s="72"/>
    </row>
    <row r="466" spans="2:51" x14ac:dyDescent="0.25">
      <c r="B466" s="70"/>
      <c r="C466" s="67"/>
      <c r="D466" s="68"/>
      <c r="E466" s="69"/>
      <c r="F466" s="84"/>
      <c r="G466" s="83"/>
      <c r="H466" s="84"/>
      <c r="I466" s="84"/>
      <c r="J466" s="84"/>
      <c r="K466" s="84"/>
      <c r="L466" s="84"/>
      <c r="M466" s="83"/>
      <c r="N466" s="84"/>
      <c r="O466" s="84"/>
      <c r="P466" s="84"/>
      <c r="Q466" s="84"/>
      <c r="R466" s="84"/>
      <c r="S466" s="86"/>
      <c r="T466" s="84"/>
      <c r="U466" s="84"/>
      <c r="V466" s="86"/>
      <c r="W466" s="84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66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2"/>
      <c r="AY466" s="72"/>
    </row>
    <row r="467" spans="2:51" x14ac:dyDescent="0.25">
      <c r="B467" s="70"/>
      <c r="C467" s="67"/>
      <c r="D467" s="68"/>
      <c r="E467" s="69"/>
      <c r="F467" s="84"/>
      <c r="G467" s="83"/>
      <c r="H467" s="84"/>
      <c r="I467" s="84"/>
      <c r="J467" s="84"/>
      <c r="K467" s="84"/>
      <c r="L467" s="84"/>
      <c r="M467" s="83"/>
      <c r="N467" s="84"/>
      <c r="O467" s="84"/>
      <c r="P467" s="84"/>
      <c r="Q467" s="84"/>
      <c r="R467" s="84"/>
      <c r="S467" s="86"/>
      <c r="T467" s="84"/>
      <c r="U467" s="84"/>
      <c r="V467" s="86"/>
      <c r="W467" s="84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66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2"/>
      <c r="AY467" s="72"/>
    </row>
    <row r="468" spans="2:51" x14ac:dyDescent="0.25">
      <c r="B468" s="70"/>
      <c r="C468" s="67"/>
      <c r="D468" s="68"/>
      <c r="E468" s="69"/>
      <c r="F468" s="84"/>
      <c r="G468" s="83"/>
      <c r="H468" s="84"/>
      <c r="I468" s="84"/>
      <c r="J468" s="84"/>
      <c r="K468" s="84"/>
      <c r="L468" s="84"/>
      <c r="M468" s="83"/>
      <c r="N468" s="84"/>
      <c r="O468" s="84"/>
      <c r="P468" s="84"/>
      <c r="Q468" s="84"/>
      <c r="R468" s="84"/>
      <c r="S468" s="86"/>
      <c r="T468" s="84"/>
      <c r="U468" s="84"/>
      <c r="V468" s="86"/>
      <c r="W468" s="84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66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2"/>
      <c r="AY468" s="72"/>
    </row>
    <row r="469" spans="2:51" x14ac:dyDescent="0.25">
      <c r="B469" s="70"/>
      <c r="C469" s="67"/>
      <c r="D469" s="68"/>
      <c r="E469" s="69"/>
      <c r="F469" s="84"/>
      <c r="G469" s="83"/>
      <c r="H469" s="84"/>
      <c r="I469" s="84"/>
      <c r="J469" s="84"/>
      <c r="K469" s="84"/>
      <c r="L469" s="84"/>
      <c r="M469" s="83"/>
      <c r="N469" s="84"/>
      <c r="O469" s="84"/>
      <c r="P469" s="84"/>
      <c r="Q469" s="84"/>
      <c r="R469" s="84"/>
      <c r="S469" s="86"/>
      <c r="T469" s="84"/>
      <c r="U469" s="84"/>
      <c r="V469" s="86"/>
      <c r="W469" s="84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66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2"/>
      <c r="AY469" s="72"/>
    </row>
    <row r="470" spans="2:51" x14ac:dyDescent="0.25">
      <c r="B470" s="70"/>
      <c r="C470" s="67"/>
      <c r="D470" s="68"/>
      <c r="E470" s="69"/>
      <c r="F470" s="84"/>
      <c r="G470" s="83"/>
      <c r="H470" s="84"/>
      <c r="I470" s="84"/>
      <c r="J470" s="84"/>
      <c r="K470" s="84"/>
      <c r="L470" s="84"/>
      <c r="M470" s="83"/>
      <c r="N470" s="84"/>
      <c r="O470" s="84"/>
      <c r="P470" s="84"/>
      <c r="Q470" s="84"/>
      <c r="R470" s="84"/>
      <c r="S470" s="86"/>
      <c r="T470" s="84"/>
      <c r="U470" s="84"/>
      <c r="V470" s="86"/>
      <c r="W470" s="84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66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2"/>
      <c r="AY470" s="72"/>
    </row>
    <row r="471" spans="2:51" x14ac:dyDescent="0.25">
      <c r="B471" s="70"/>
      <c r="C471" s="67"/>
      <c r="D471" s="68"/>
      <c r="E471" s="69"/>
      <c r="F471" s="84"/>
      <c r="G471" s="83"/>
      <c r="H471" s="84"/>
      <c r="I471" s="84"/>
      <c r="J471" s="84"/>
      <c r="K471" s="84"/>
      <c r="L471" s="84"/>
      <c r="M471" s="83"/>
      <c r="N471" s="84"/>
      <c r="O471" s="84"/>
      <c r="P471" s="84"/>
      <c r="Q471" s="84"/>
      <c r="R471" s="84"/>
      <c r="S471" s="86"/>
      <c r="T471" s="84"/>
      <c r="U471" s="84"/>
      <c r="V471" s="86"/>
      <c r="W471" s="84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66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2"/>
      <c r="AY471" s="72"/>
    </row>
    <row r="472" spans="2:51" x14ac:dyDescent="0.25">
      <c r="B472" s="70"/>
      <c r="C472" s="67"/>
      <c r="D472" s="68"/>
      <c r="E472" s="69"/>
      <c r="F472" s="84"/>
      <c r="G472" s="83"/>
      <c r="H472" s="84"/>
      <c r="I472" s="84"/>
      <c r="J472" s="84"/>
      <c r="K472" s="84"/>
      <c r="L472" s="84"/>
      <c r="M472" s="83"/>
      <c r="N472" s="84"/>
      <c r="O472" s="84"/>
      <c r="P472" s="84"/>
      <c r="Q472" s="84"/>
      <c r="R472" s="84"/>
      <c r="S472" s="86"/>
      <c r="T472" s="84"/>
      <c r="U472" s="84"/>
      <c r="V472" s="86"/>
      <c r="W472" s="84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66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2"/>
      <c r="AY472" s="72"/>
    </row>
    <row r="473" spans="2:51" x14ac:dyDescent="0.25">
      <c r="B473" s="70"/>
      <c r="C473" s="67"/>
      <c r="D473" s="68"/>
      <c r="E473" s="69"/>
      <c r="F473" s="84"/>
      <c r="G473" s="83"/>
      <c r="H473" s="84"/>
      <c r="I473" s="84"/>
      <c r="J473" s="84"/>
      <c r="K473" s="84"/>
      <c r="L473" s="84"/>
      <c r="M473" s="83"/>
      <c r="N473" s="84"/>
      <c r="O473" s="84"/>
      <c r="P473" s="84"/>
      <c r="Q473" s="84"/>
      <c r="R473" s="84"/>
      <c r="S473" s="86"/>
      <c r="T473" s="84"/>
      <c r="U473" s="84"/>
      <c r="V473" s="86"/>
      <c r="W473" s="84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66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2"/>
      <c r="AY473" s="72"/>
    </row>
    <row r="474" spans="2:51" x14ac:dyDescent="0.25">
      <c r="B474" s="70"/>
      <c r="C474" s="67"/>
      <c r="D474" s="68"/>
      <c r="E474" s="69"/>
      <c r="F474" s="84"/>
      <c r="G474" s="83"/>
      <c r="H474" s="84"/>
      <c r="I474" s="84"/>
      <c r="J474" s="84"/>
      <c r="K474" s="84"/>
      <c r="L474" s="84"/>
      <c r="M474" s="83"/>
      <c r="N474" s="84"/>
      <c r="O474" s="84"/>
      <c r="P474" s="84"/>
      <c r="Q474" s="84"/>
      <c r="R474" s="84"/>
      <c r="S474" s="86"/>
      <c r="T474" s="84"/>
      <c r="U474" s="84"/>
      <c r="V474" s="86"/>
      <c r="W474" s="84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66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2"/>
      <c r="AY474" s="72"/>
    </row>
    <row r="475" spans="2:51" x14ac:dyDescent="0.25">
      <c r="B475" s="70"/>
      <c r="C475" s="67"/>
      <c r="D475" s="68"/>
      <c r="E475" s="69"/>
      <c r="F475" s="84"/>
      <c r="G475" s="83"/>
      <c r="H475" s="84"/>
      <c r="I475" s="84"/>
      <c r="J475" s="84"/>
      <c r="K475" s="84"/>
      <c r="L475" s="84"/>
      <c r="M475" s="83"/>
      <c r="N475" s="84"/>
      <c r="O475" s="84"/>
      <c r="P475" s="84"/>
      <c r="Q475" s="84"/>
      <c r="R475" s="84"/>
      <c r="S475" s="86"/>
      <c r="T475" s="84"/>
      <c r="U475" s="84"/>
      <c r="V475" s="86"/>
      <c r="W475" s="84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66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2"/>
      <c r="AY475" s="72"/>
    </row>
    <row r="476" spans="2:51" x14ac:dyDescent="0.25">
      <c r="B476" s="70"/>
      <c r="C476" s="67"/>
      <c r="D476" s="68"/>
      <c r="E476" s="69"/>
      <c r="F476" s="84"/>
      <c r="G476" s="83"/>
      <c r="H476" s="84"/>
      <c r="I476" s="84"/>
      <c r="J476" s="84"/>
      <c r="K476" s="84"/>
      <c r="L476" s="84"/>
      <c r="M476" s="83"/>
      <c r="N476" s="84"/>
      <c r="O476" s="84"/>
      <c r="P476" s="84"/>
      <c r="Q476" s="84"/>
      <c r="R476" s="84"/>
      <c r="S476" s="86"/>
      <c r="T476" s="84"/>
      <c r="U476" s="84"/>
      <c r="V476" s="86"/>
      <c r="W476" s="84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66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2"/>
      <c r="AY476" s="72"/>
    </row>
    <row r="477" spans="2:51" x14ac:dyDescent="0.25">
      <c r="B477" s="70"/>
      <c r="C477" s="67"/>
      <c r="D477" s="68"/>
      <c r="E477" s="69"/>
      <c r="F477" s="84"/>
      <c r="G477" s="83"/>
      <c r="H477" s="84"/>
      <c r="I477" s="84"/>
      <c r="J477" s="84"/>
      <c r="K477" s="84"/>
      <c r="L477" s="84"/>
      <c r="M477" s="83"/>
      <c r="N477" s="84"/>
      <c r="O477" s="84"/>
      <c r="P477" s="84"/>
      <c r="Q477" s="84"/>
      <c r="R477" s="84"/>
      <c r="S477" s="86"/>
      <c r="T477" s="84"/>
      <c r="U477" s="84"/>
      <c r="V477" s="86"/>
      <c r="W477" s="84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66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2"/>
      <c r="AY477" s="72"/>
    </row>
    <row r="478" spans="2:51" x14ac:dyDescent="0.25">
      <c r="B478" s="70"/>
      <c r="C478" s="67"/>
      <c r="D478" s="68"/>
      <c r="E478" s="69"/>
      <c r="F478" s="84"/>
      <c r="G478" s="83"/>
      <c r="H478" s="84"/>
      <c r="I478" s="84"/>
      <c r="J478" s="84"/>
      <c r="K478" s="84"/>
      <c r="L478" s="84"/>
      <c r="M478" s="83"/>
      <c r="N478" s="84"/>
      <c r="O478" s="84"/>
      <c r="P478" s="84"/>
      <c r="Q478" s="84"/>
      <c r="R478" s="84"/>
      <c r="S478" s="86"/>
      <c r="T478" s="84"/>
      <c r="U478" s="84"/>
      <c r="V478" s="86"/>
      <c r="W478" s="84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66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2"/>
      <c r="AY478" s="72"/>
    </row>
    <row r="479" spans="2:51" x14ac:dyDescent="0.25">
      <c r="B479" s="70"/>
      <c r="C479" s="67"/>
      <c r="D479" s="68"/>
      <c r="E479" s="69"/>
      <c r="F479" s="84"/>
      <c r="G479" s="83"/>
      <c r="H479" s="84"/>
      <c r="I479" s="84"/>
      <c r="J479" s="84"/>
      <c r="K479" s="84"/>
      <c r="L479" s="84"/>
      <c r="M479" s="83"/>
      <c r="N479" s="84"/>
      <c r="O479" s="84"/>
      <c r="P479" s="84"/>
      <c r="Q479" s="84"/>
      <c r="R479" s="84"/>
      <c r="S479" s="86"/>
      <c r="T479" s="84"/>
      <c r="U479" s="84"/>
      <c r="V479" s="86"/>
      <c r="W479" s="84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66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2"/>
      <c r="AY479" s="72"/>
    </row>
    <row r="480" spans="2:51" x14ac:dyDescent="0.25">
      <c r="B480" s="70"/>
      <c r="C480" s="67"/>
      <c r="D480" s="68"/>
      <c r="E480" s="69"/>
      <c r="F480" s="84"/>
      <c r="G480" s="83"/>
      <c r="H480" s="84"/>
      <c r="I480" s="84"/>
      <c r="J480" s="84"/>
      <c r="K480" s="84"/>
      <c r="L480" s="84"/>
      <c r="M480" s="83"/>
      <c r="N480" s="84"/>
      <c r="O480" s="84"/>
      <c r="P480" s="84"/>
      <c r="Q480" s="84"/>
      <c r="R480" s="84"/>
      <c r="S480" s="86"/>
      <c r="T480" s="84"/>
      <c r="U480" s="84"/>
      <c r="V480" s="86"/>
      <c r="W480" s="84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66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2"/>
      <c r="AY480" s="72"/>
    </row>
    <row r="481" spans="2:51" x14ac:dyDescent="0.25">
      <c r="B481" s="70"/>
      <c r="C481" s="67"/>
      <c r="D481" s="68"/>
      <c r="E481" s="69"/>
      <c r="F481" s="84"/>
      <c r="G481" s="83"/>
      <c r="H481" s="84"/>
      <c r="I481" s="84"/>
      <c r="J481" s="84"/>
      <c r="K481" s="84"/>
      <c r="L481" s="84"/>
      <c r="M481" s="83"/>
      <c r="N481" s="84"/>
      <c r="O481" s="84"/>
      <c r="P481" s="84"/>
      <c r="Q481" s="84"/>
      <c r="R481" s="84"/>
      <c r="S481" s="86"/>
      <c r="T481" s="84"/>
      <c r="U481" s="84"/>
      <c r="V481" s="86"/>
      <c r="W481" s="84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66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2"/>
      <c r="AY481" s="72"/>
    </row>
    <row r="482" spans="2:51" x14ac:dyDescent="0.25">
      <c r="B482" s="70"/>
      <c r="C482" s="67"/>
      <c r="D482" s="68"/>
      <c r="E482" s="69"/>
      <c r="F482" s="84"/>
      <c r="G482" s="83"/>
      <c r="H482" s="84"/>
      <c r="I482" s="84"/>
      <c r="J482" s="84"/>
      <c r="K482" s="84"/>
      <c r="L482" s="84"/>
      <c r="M482" s="83"/>
      <c r="N482" s="84"/>
      <c r="O482" s="84"/>
      <c r="P482" s="84"/>
      <c r="Q482" s="84"/>
      <c r="R482" s="84"/>
      <c r="S482" s="86"/>
      <c r="T482" s="84"/>
      <c r="U482" s="84"/>
      <c r="V482" s="86"/>
      <c r="W482" s="84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66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2"/>
      <c r="AY482" s="72"/>
    </row>
    <row r="483" spans="2:51" x14ac:dyDescent="0.25">
      <c r="B483" s="70"/>
      <c r="C483" s="67"/>
      <c r="D483" s="68"/>
      <c r="E483" s="69"/>
      <c r="F483" s="84"/>
      <c r="G483" s="83"/>
      <c r="H483" s="84"/>
      <c r="I483" s="84"/>
      <c r="J483" s="84"/>
      <c r="K483" s="84"/>
      <c r="L483" s="84"/>
      <c r="M483" s="83"/>
      <c r="N483" s="84"/>
      <c r="O483" s="84"/>
      <c r="P483" s="84"/>
      <c r="Q483" s="84"/>
      <c r="R483" s="84"/>
      <c r="S483" s="86"/>
      <c r="T483" s="84"/>
      <c r="U483" s="84"/>
      <c r="V483" s="86"/>
      <c r="W483" s="84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66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2"/>
      <c r="AY483" s="72"/>
    </row>
    <row r="484" spans="2:51" x14ac:dyDescent="0.25">
      <c r="B484" s="70"/>
      <c r="C484" s="67"/>
      <c r="D484" s="68"/>
      <c r="E484" s="69"/>
      <c r="F484" s="84"/>
      <c r="G484" s="83"/>
      <c r="H484" s="84"/>
      <c r="I484" s="84"/>
      <c r="J484" s="84"/>
      <c r="K484" s="84"/>
      <c r="L484" s="84"/>
      <c r="M484" s="83"/>
      <c r="N484" s="84"/>
      <c r="O484" s="84"/>
      <c r="P484" s="84"/>
      <c r="Q484" s="84"/>
      <c r="R484" s="84"/>
      <c r="S484" s="86"/>
      <c r="T484" s="84"/>
      <c r="U484" s="84"/>
      <c r="V484" s="86"/>
      <c r="W484" s="84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66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2"/>
      <c r="AY484" s="72"/>
    </row>
    <row r="485" spans="2:51" x14ac:dyDescent="0.25">
      <c r="B485" s="70"/>
      <c r="C485" s="67"/>
      <c r="D485" s="68"/>
      <c r="E485" s="69"/>
      <c r="F485" s="84"/>
      <c r="G485" s="83"/>
      <c r="H485" s="84"/>
      <c r="I485" s="84"/>
      <c r="J485" s="84"/>
      <c r="K485" s="84"/>
      <c r="L485" s="84"/>
      <c r="M485" s="83"/>
      <c r="N485" s="84"/>
      <c r="O485" s="84"/>
      <c r="P485" s="84"/>
      <c r="Q485" s="84"/>
      <c r="R485" s="84"/>
      <c r="S485" s="86"/>
      <c r="T485" s="84"/>
      <c r="U485" s="84"/>
      <c r="V485" s="86"/>
      <c r="W485" s="84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66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2"/>
      <c r="AY485" s="72"/>
    </row>
    <row r="486" spans="2:51" x14ac:dyDescent="0.25">
      <c r="B486" s="70"/>
      <c r="C486" s="67"/>
      <c r="D486" s="68"/>
      <c r="E486" s="69"/>
      <c r="F486" s="84"/>
      <c r="G486" s="83"/>
      <c r="H486" s="84"/>
      <c r="I486" s="84"/>
      <c r="J486" s="84"/>
      <c r="K486" s="84"/>
      <c r="L486" s="84"/>
      <c r="M486" s="83"/>
      <c r="N486" s="84"/>
      <c r="O486" s="84"/>
      <c r="P486" s="84"/>
      <c r="Q486" s="84"/>
      <c r="R486" s="84"/>
      <c r="S486" s="86"/>
      <c r="T486" s="84"/>
      <c r="U486" s="84"/>
      <c r="V486" s="86"/>
      <c r="W486" s="84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66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2"/>
      <c r="AY486" s="72"/>
    </row>
    <row r="487" spans="2:51" x14ac:dyDescent="0.25">
      <c r="B487" s="70"/>
      <c r="C487" s="67"/>
      <c r="D487" s="68"/>
      <c r="E487" s="69"/>
      <c r="F487" s="84"/>
      <c r="G487" s="83"/>
      <c r="H487" s="84"/>
      <c r="I487" s="84"/>
      <c r="J487" s="84"/>
      <c r="K487" s="84"/>
      <c r="L487" s="84"/>
      <c r="M487" s="83"/>
      <c r="N487" s="84"/>
      <c r="O487" s="84"/>
      <c r="P487" s="84"/>
      <c r="Q487" s="84"/>
      <c r="R487" s="84"/>
      <c r="S487" s="86"/>
      <c r="T487" s="84"/>
      <c r="U487" s="84"/>
      <c r="V487" s="86"/>
      <c r="W487" s="84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66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2"/>
      <c r="AY487" s="72"/>
    </row>
    <row r="488" spans="2:51" x14ac:dyDescent="0.25">
      <c r="B488" s="70"/>
      <c r="C488" s="67"/>
      <c r="D488" s="68"/>
      <c r="E488" s="69"/>
      <c r="F488" s="84"/>
      <c r="G488" s="83"/>
      <c r="H488" s="84"/>
      <c r="I488" s="84"/>
      <c r="J488" s="84"/>
      <c r="K488" s="84"/>
      <c r="L488" s="84"/>
      <c r="M488" s="83"/>
      <c r="N488" s="84"/>
      <c r="O488" s="84"/>
      <c r="P488" s="84"/>
      <c r="Q488" s="84"/>
      <c r="R488" s="84"/>
      <c r="S488" s="86"/>
      <c r="T488" s="84"/>
      <c r="U488" s="84"/>
      <c r="V488" s="86"/>
      <c r="W488" s="84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66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2"/>
      <c r="AY488" s="72"/>
    </row>
    <row r="489" spans="2:51" x14ac:dyDescent="0.25">
      <c r="B489" s="70"/>
      <c r="C489" s="67"/>
      <c r="D489" s="68"/>
      <c r="E489" s="69"/>
      <c r="F489" s="84"/>
      <c r="G489" s="83"/>
      <c r="H489" s="84"/>
      <c r="I489" s="84"/>
      <c r="J489" s="84"/>
      <c r="K489" s="84"/>
      <c r="L489" s="84"/>
      <c r="M489" s="83"/>
      <c r="N489" s="84"/>
      <c r="O489" s="84"/>
      <c r="P489" s="84"/>
      <c r="Q489" s="84"/>
      <c r="R489" s="84"/>
      <c r="S489" s="86"/>
      <c r="T489" s="84"/>
      <c r="U489" s="84"/>
      <c r="V489" s="86"/>
      <c r="W489" s="84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66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2"/>
      <c r="AY489" s="72"/>
    </row>
    <row r="490" spans="2:51" x14ac:dyDescent="0.25">
      <c r="B490" s="70"/>
      <c r="C490" s="67"/>
      <c r="D490" s="68"/>
      <c r="E490" s="69"/>
      <c r="F490" s="84"/>
      <c r="G490" s="83"/>
      <c r="H490" s="84"/>
      <c r="I490" s="84"/>
      <c r="J490" s="84"/>
      <c r="K490" s="84"/>
      <c r="L490" s="84"/>
      <c r="M490" s="83"/>
      <c r="N490" s="84"/>
      <c r="O490" s="84"/>
      <c r="P490" s="84"/>
      <c r="Q490" s="84"/>
      <c r="R490" s="84"/>
      <c r="S490" s="86"/>
      <c r="T490" s="84"/>
      <c r="U490" s="84"/>
      <c r="V490" s="86"/>
      <c r="W490" s="84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66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2"/>
      <c r="AY490" s="72"/>
    </row>
    <row r="491" spans="2:51" x14ac:dyDescent="0.25">
      <c r="B491" s="70"/>
      <c r="C491" s="67"/>
      <c r="D491" s="68"/>
      <c r="E491" s="69"/>
      <c r="F491" s="84"/>
      <c r="G491" s="83"/>
      <c r="H491" s="84"/>
      <c r="I491" s="84"/>
      <c r="J491" s="84"/>
      <c r="K491" s="84"/>
      <c r="L491" s="84"/>
      <c r="M491" s="83"/>
      <c r="N491" s="84"/>
      <c r="O491" s="84"/>
      <c r="P491" s="84"/>
      <c r="Q491" s="84"/>
      <c r="R491" s="84"/>
      <c r="S491" s="86"/>
      <c r="T491" s="84"/>
      <c r="U491" s="84"/>
      <c r="V491" s="86"/>
      <c r="W491" s="84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66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2"/>
      <c r="AY491" s="72"/>
    </row>
    <row r="492" spans="2:51" x14ac:dyDescent="0.25">
      <c r="B492" s="70"/>
      <c r="C492" s="67"/>
      <c r="D492" s="68"/>
      <c r="E492" s="69"/>
      <c r="F492" s="84"/>
      <c r="G492" s="83"/>
      <c r="H492" s="84"/>
      <c r="I492" s="84"/>
      <c r="J492" s="84"/>
      <c r="K492" s="84"/>
      <c r="L492" s="84"/>
      <c r="M492" s="83"/>
      <c r="N492" s="84"/>
      <c r="O492" s="84"/>
      <c r="P492" s="84"/>
      <c r="Q492" s="84"/>
      <c r="R492" s="84"/>
      <c r="S492" s="86"/>
      <c r="T492" s="84"/>
      <c r="U492" s="84"/>
      <c r="V492" s="86"/>
      <c r="W492" s="84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66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2"/>
      <c r="AY492" s="72"/>
    </row>
    <row r="493" spans="2:51" x14ac:dyDescent="0.25">
      <c r="B493" s="70"/>
      <c r="C493" s="67"/>
      <c r="D493" s="68"/>
      <c r="E493" s="69"/>
      <c r="F493" s="84"/>
      <c r="G493" s="83"/>
      <c r="H493" s="84"/>
      <c r="I493" s="84"/>
      <c r="J493" s="84"/>
      <c r="K493" s="84"/>
      <c r="L493" s="84"/>
      <c r="M493" s="83"/>
      <c r="N493" s="84"/>
      <c r="O493" s="84"/>
      <c r="P493" s="84"/>
      <c r="Q493" s="84"/>
      <c r="R493" s="84"/>
      <c r="S493" s="86"/>
      <c r="T493" s="84"/>
      <c r="U493" s="84"/>
      <c r="V493" s="86"/>
      <c r="W493" s="84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66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2"/>
      <c r="AY493" s="72"/>
    </row>
    <row r="494" spans="2:51" x14ac:dyDescent="0.25">
      <c r="B494" s="70"/>
      <c r="C494" s="67"/>
      <c r="D494" s="68"/>
      <c r="E494" s="69"/>
      <c r="F494" s="84"/>
      <c r="G494" s="83"/>
      <c r="H494" s="84"/>
      <c r="I494" s="84"/>
      <c r="J494" s="84"/>
      <c r="K494" s="84"/>
      <c r="L494" s="84"/>
      <c r="M494" s="83"/>
      <c r="N494" s="84"/>
      <c r="O494" s="84"/>
      <c r="P494" s="84"/>
      <c r="Q494" s="84"/>
      <c r="R494" s="84"/>
      <c r="S494" s="86"/>
      <c r="T494" s="84"/>
      <c r="U494" s="84"/>
      <c r="V494" s="86"/>
      <c r="W494" s="84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66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2"/>
      <c r="AY494" s="72"/>
    </row>
    <row r="495" spans="2:51" x14ac:dyDescent="0.25">
      <c r="B495" s="70"/>
      <c r="C495" s="67"/>
      <c r="D495" s="68"/>
      <c r="E495" s="69"/>
      <c r="F495" s="84"/>
      <c r="G495" s="83"/>
      <c r="H495" s="84"/>
      <c r="I495" s="84"/>
      <c r="J495" s="84"/>
      <c r="K495" s="84"/>
      <c r="L495" s="84"/>
      <c r="M495" s="83"/>
      <c r="N495" s="84"/>
      <c r="O495" s="84"/>
      <c r="P495" s="84"/>
      <c r="Q495" s="84"/>
      <c r="R495" s="84"/>
      <c r="S495" s="86"/>
      <c r="T495" s="84"/>
      <c r="U495" s="84"/>
      <c r="V495" s="86"/>
      <c r="W495" s="84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66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2"/>
      <c r="AY495" s="72"/>
    </row>
    <row r="496" spans="2:51" x14ac:dyDescent="0.25">
      <c r="B496" s="70"/>
      <c r="C496" s="67"/>
      <c r="D496" s="68"/>
      <c r="E496" s="69"/>
      <c r="F496" s="84"/>
      <c r="G496" s="83"/>
      <c r="H496" s="84"/>
      <c r="I496" s="84"/>
      <c r="J496" s="84"/>
      <c r="K496" s="84"/>
      <c r="L496" s="84"/>
      <c r="M496" s="83"/>
      <c r="N496" s="84"/>
      <c r="O496" s="84"/>
      <c r="P496" s="84"/>
      <c r="Q496" s="84"/>
      <c r="R496" s="84"/>
      <c r="S496" s="86"/>
      <c r="T496" s="84"/>
      <c r="U496" s="84"/>
      <c r="V496" s="86"/>
      <c r="W496" s="84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66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2"/>
      <c r="AY496" s="72"/>
    </row>
    <row r="497" spans="2:51" x14ac:dyDescent="0.25">
      <c r="B497" s="70"/>
      <c r="C497" s="67"/>
      <c r="D497" s="68"/>
      <c r="E497" s="69"/>
      <c r="F497" s="84"/>
      <c r="G497" s="83"/>
      <c r="H497" s="84"/>
      <c r="I497" s="84"/>
      <c r="J497" s="84"/>
      <c r="K497" s="84"/>
      <c r="L497" s="84"/>
      <c r="M497" s="83"/>
      <c r="N497" s="84"/>
      <c r="O497" s="84"/>
      <c r="P497" s="84"/>
      <c r="Q497" s="84"/>
      <c r="R497" s="84"/>
      <c r="S497" s="86"/>
      <c r="T497" s="84"/>
      <c r="U497" s="84"/>
      <c r="V497" s="86"/>
      <c r="W497" s="84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66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2"/>
      <c r="AY497" s="72"/>
    </row>
    <row r="498" spans="2:51" x14ac:dyDescent="0.25">
      <c r="B498" s="70"/>
      <c r="C498" s="67"/>
      <c r="D498" s="68"/>
      <c r="E498" s="69"/>
      <c r="F498" s="84"/>
      <c r="G498" s="83"/>
      <c r="H498" s="84"/>
      <c r="I498" s="84"/>
      <c r="J498" s="84"/>
      <c r="K498" s="84"/>
      <c r="L498" s="84"/>
      <c r="M498" s="83"/>
      <c r="N498" s="84"/>
      <c r="O498" s="84"/>
      <c r="P498" s="84"/>
      <c r="Q498" s="84"/>
      <c r="R498" s="84"/>
      <c r="S498" s="86"/>
      <c r="T498" s="84"/>
      <c r="U498" s="84"/>
      <c r="V498" s="86"/>
      <c r="W498" s="84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66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2"/>
      <c r="AY498" s="72"/>
    </row>
    <row r="499" spans="2:51" x14ac:dyDescent="0.25">
      <c r="B499" s="70"/>
      <c r="C499" s="67"/>
      <c r="D499" s="68"/>
      <c r="E499" s="69"/>
      <c r="F499" s="84"/>
      <c r="G499" s="83"/>
      <c r="H499" s="84"/>
      <c r="I499" s="84"/>
      <c r="J499" s="84"/>
      <c r="K499" s="84"/>
      <c r="L499" s="84"/>
      <c r="M499" s="83"/>
      <c r="N499" s="84"/>
      <c r="O499" s="84"/>
      <c r="P499" s="84"/>
      <c r="Q499" s="84"/>
      <c r="R499" s="84"/>
      <c r="S499" s="86"/>
      <c r="T499" s="84"/>
      <c r="U499" s="84"/>
      <c r="V499" s="86"/>
      <c r="W499" s="84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66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2"/>
      <c r="AY499" s="72"/>
    </row>
    <row r="500" spans="2:51" x14ac:dyDescent="0.25">
      <c r="B500" s="70"/>
      <c r="C500" s="67"/>
      <c r="D500" s="68"/>
      <c r="E500" s="69"/>
      <c r="F500" s="84"/>
      <c r="G500" s="83"/>
      <c r="H500" s="84"/>
      <c r="I500" s="84"/>
      <c r="J500" s="84"/>
      <c r="K500" s="84"/>
      <c r="L500" s="84"/>
      <c r="M500" s="83"/>
      <c r="N500" s="84"/>
      <c r="O500" s="84"/>
      <c r="P500" s="84"/>
      <c r="Q500" s="84"/>
      <c r="R500" s="84"/>
      <c r="S500" s="86"/>
      <c r="T500" s="84"/>
      <c r="U500" s="84"/>
      <c r="V500" s="86"/>
      <c r="W500" s="84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66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2"/>
      <c r="AY500" s="72"/>
    </row>
    <row r="501" spans="2:51" x14ac:dyDescent="0.25">
      <c r="B501" s="70"/>
      <c r="C501" s="67"/>
      <c r="D501" s="68"/>
      <c r="E501" s="69"/>
      <c r="F501" s="84"/>
      <c r="G501" s="83"/>
      <c r="H501" s="84"/>
      <c r="I501" s="84"/>
      <c r="J501" s="84"/>
      <c r="K501" s="84"/>
      <c r="L501" s="84"/>
      <c r="M501" s="83"/>
      <c r="N501" s="84"/>
      <c r="O501" s="84"/>
      <c r="P501" s="84"/>
      <c r="Q501" s="84"/>
      <c r="R501" s="84"/>
      <c r="S501" s="86"/>
      <c r="T501" s="84"/>
      <c r="U501" s="84"/>
      <c r="V501" s="86"/>
      <c r="W501" s="84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66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2"/>
      <c r="AY501" s="72"/>
    </row>
    <row r="502" spans="2:51" x14ac:dyDescent="0.25">
      <c r="B502" s="70"/>
      <c r="C502" s="67"/>
      <c r="D502" s="68"/>
      <c r="E502" s="69"/>
      <c r="F502" s="84"/>
      <c r="G502" s="83"/>
      <c r="H502" s="84"/>
      <c r="I502" s="84"/>
      <c r="J502" s="84"/>
      <c r="K502" s="84"/>
      <c r="L502" s="84"/>
      <c r="M502" s="83"/>
      <c r="N502" s="84"/>
      <c r="O502" s="84"/>
      <c r="P502" s="84"/>
      <c r="Q502" s="84"/>
      <c r="R502" s="84"/>
      <c r="S502" s="86"/>
      <c r="T502" s="84"/>
      <c r="U502" s="84"/>
      <c r="V502" s="86"/>
      <c r="W502" s="84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66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2"/>
      <c r="AY502" s="72"/>
    </row>
    <row r="503" spans="2:51" x14ac:dyDescent="0.25">
      <c r="B503" s="70"/>
      <c r="C503" s="67"/>
      <c r="D503" s="68"/>
      <c r="E503" s="69"/>
      <c r="F503" s="84"/>
      <c r="G503" s="83"/>
      <c r="H503" s="84"/>
      <c r="I503" s="84"/>
      <c r="J503" s="84"/>
      <c r="K503" s="84"/>
      <c r="L503" s="84"/>
      <c r="M503" s="83"/>
      <c r="N503" s="84"/>
      <c r="O503" s="84"/>
      <c r="P503" s="84"/>
      <c r="Q503" s="84"/>
      <c r="R503" s="84"/>
      <c r="S503" s="86"/>
      <c r="T503" s="84"/>
      <c r="U503" s="84"/>
      <c r="V503" s="86"/>
      <c r="W503" s="84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66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2"/>
      <c r="AY503" s="72"/>
    </row>
    <row r="504" spans="2:51" x14ac:dyDescent="0.25">
      <c r="B504" s="70"/>
      <c r="C504" s="67"/>
      <c r="D504" s="68"/>
      <c r="E504" s="69"/>
      <c r="F504" s="84"/>
      <c r="G504" s="83"/>
      <c r="H504" s="84"/>
      <c r="I504" s="84"/>
      <c r="J504" s="84"/>
      <c r="K504" s="84"/>
      <c r="L504" s="84"/>
      <c r="M504" s="83"/>
      <c r="N504" s="84"/>
      <c r="O504" s="84"/>
      <c r="P504" s="84"/>
      <c r="Q504" s="84"/>
      <c r="R504" s="84"/>
      <c r="S504" s="86"/>
      <c r="T504" s="84"/>
      <c r="U504" s="84"/>
      <c r="V504" s="86"/>
      <c r="W504" s="84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66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2"/>
      <c r="AY504" s="72"/>
    </row>
    <row r="505" spans="2:51" x14ac:dyDescent="0.25">
      <c r="B505" s="70"/>
      <c r="C505" s="67"/>
      <c r="D505" s="68"/>
      <c r="E505" s="69"/>
      <c r="F505" s="84"/>
      <c r="G505" s="83"/>
      <c r="H505" s="84"/>
      <c r="I505" s="84"/>
      <c r="J505" s="84"/>
      <c r="K505" s="84"/>
      <c r="L505" s="84"/>
      <c r="M505" s="83"/>
      <c r="N505" s="84"/>
      <c r="O505" s="84"/>
      <c r="P505" s="84"/>
      <c r="Q505" s="84"/>
      <c r="R505" s="84"/>
      <c r="S505" s="86"/>
      <c r="T505" s="84"/>
      <c r="U505" s="84"/>
      <c r="V505" s="86"/>
      <c r="W505" s="84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66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2"/>
      <c r="AY505" s="72"/>
    </row>
    <row r="506" spans="2:51" x14ac:dyDescent="0.25">
      <c r="B506" s="70"/>
      <c r="C506" s="67"/>
      <c r="D506" s="68"/>
      <c r="E506" s="69"/>
      <c r="F506" s="84"/>
      <c r="G506" s="83"/>
      <c r="H506" s="84"/>
      <c r="I506" s="84"/>
      <c r="J506" s="84"/>
      <c r="K506" s="84"/>
      <c r="L506" s="84"/>
      <c r="M506" s="83"/>
      <c r="N506" s="84"/>
      <c r="O506" s="84"/>
      <c r="P506" s="84"/>
      <c r="Q506" s="84"/>
      <c r="R506" s="84"/>
      <c r="S506" s="86"/>
      <c r="T506" s="84"/>
      <c r="U506" s="84"/>
      <c r="V506" s="86"/>
      <c r="W506" s="84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66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2"/>
      <c r="AY506" s="72"/>
    </row>
    <row r="507" spans="2:51" x14ac:dyDescent="0.25">
      <c r="B507" s="70"/>
      <c r="C507" s="67"/>
      <c r="D507" s="68"/>
      <c r="E507" s="69"/>
      <c r="F507" s="84"/>
      <c r="G507" s="83"/>
      <c r="H507" s="84"/>
      <c r="I507" s="84"/>
      <c r="J507" s="84"/>
      <c r="K507" s="84"/>
      <c r="L507" s="84"/>
      <c r="M507" s="83"/>
      <c r="N507" s="84"/>
      <c r="O507" s="84"/>
      <c r="P507" s="84"/>
      <c r="Q507" s="84"/>
      <c r="R507" s="84"/>
      <c r="S507" s="86"/>
      <c r="T507" s="84"/>
      <c r="U507" s="84"/>
      <c r="V507" s="86"/>
      <c r="W507" s="84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66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2"/>
      <c r="AY507" s="72"/>
    </row>
    <row r="508" spans="2:51" x14ac:dyDescent="0.25">
      <c r="B508" s="70"/>
      <c r="C508" s="67"/>
      <c r="D508" s="68"/>
      <c r="E508" s="69"/>
      <c r="F508" s="84"/>
      <c r="G508" s="83"/>
      <c r="H508" s="84"/>
      <c r="I508" s="84"/>
      <c r="J508" s="84"/>
      <c r="K508" s="84"/>
      <c r="L508" s="84"/>
      <c r="M508" s="83"/>
      <c r="N508" s="84"/>
      <c r="O508" s="84"/>
      <c r="P508" s="84"/>
      <c r="Q508" s="84"/>
      <c r="R508" s="84"/>
      <c r="S508" s="86"/>
      <c r="T508" s="84"/>
      <c r="U508" s="84"/>
      <c r="V508" s="86"/>
      <c r="W508" s="84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66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2"/>
      <c r="AY508" s="72"/>
    </row>
    <row r="509" spans="2:51" x14ac:dyDescent="0.25">
      <c r="B509" s="70"/>
      <c r="C509" s="67"/>
      <c r="D509" s="68"/>
      <c r="E509" s="69"/>
      <c r="F509" s="84"/>
      <c r="G509" s="83"/>
      <c r="H509" s="84"/>
      <c r="I509" s="84"/>
      <c r="J509" s="84"/>
      <c r="K509" s="84"/>
      <c r="L509" s="84"/>
      <c r="M509" s="83"/>
      <c r="N509" s="84"/>
      <c r="O509" s="84"/>
      <c r="P509" s="84"/>
      <c r="Q509" s="84"/>
      <c r="R509" s="84"/>
      <c r="S509" s="86"/>
      <c r="T509" s="84"/>
      <c r="U509" s="84"/>
      <c r="V509" s="86"/>
      <c r="W509" s="84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66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2"/>
      <c r="AY509" s="72"/>
    </row>
    <row r="510" spans="2:51" x14ac:dyDescent="0.25">
      <c r="B510" s="70"/>
      <c r="C510" s="67"/>
      <c r="D510" s="68"/>
      <c r="E510" s="69"/>
      <c r="F510" s="84"/>
      <c r="G510" s="83"/>
      <c r="H510" s="84"/>
      <c r="I510" s="84"/>
      <c r="J510" s="84"/>
      <c r="K510" s="84"/>
      <c r="L510" s="84"/>
      <c r="M510" s="83"/>
      <c r="N510" s="84"/>
      <c r="O510" s="84"/>
      <c r="P510" s="84"/>
      <c r="Q510" s="84"/>
      <c r="R510" s="84"/>
      <c r="S510" s="86"/>
      <c r="T510" s="84"/>
      <c r="U510" s="84"/>
      <c r="V510" s="86"/>
      <c r="W510" s="84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66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2"/>
      <c r="AY510" s="72"/>
    </row>
    <row r="511" spans="2:51" x14ac:dyDescent="0.25">
      <c r="B511" s="70"/>
      <c r="C511" s="67"/>
      <c r="D511" s="68"/>
      <c r="E511" s="69"/>
      <c r="F511" s="84"/>
      <c r="G511" s="83"/>
      <c r="H511" s="84"/>
      <c r="I511" s="84"/>
      <c r="J511" s="84"/>
      <c r="K511" s="84"/>
      <c r="L511" s="84"/>
      <c r="M511" s="83"/>
      <c r="N511" s="84"/>
      <c r="O511" s="84"/>
      <c r="P511" s="84"/>
      <c r="Q511" s="84"/>
      <c r="R511" s="84"/>
      <c r="S511" s="86"/>
      <c r="T511" s="84"/>
      <c r="U511" s="84"/>
      <c r="V511" s="86"/>
      <c r="W511" s="84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66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2"/>
      <c r="AY511" s="72"/>
    </row>
    <row r="512" spans="2:51" x14ac:dyDescent="0.25">
      <c r="B512" s="70"/>
      <c r="C512" s="67"/>
      <c r="D512" s="68"/>
      <c r="E512" s="69"/>
      <c r="F512" s="84"/>
      <c r="G512" s="83"/>
      <c r="H512" s="84"/>
      <c r="I512" s="84"/>
      <c r="J512" s="84"/>
      <c r="K512" s="84"/>
      <c r="L512" s="84"/>
      <c r="M512" s="83"/>
      <c r="N512" s="84"/>
      <c r="O512" s="84"/>
      <c r="P512" s="84"/>
      <c r="Q512" s="84"/>
      <c r="R512" s="84"/>
      <c r="S512" s="86"/>
      <c r="T512" s="84"/>
      <c r="U512" s="84"/>
      <c r="V512" s="86"/>
      <c r="W512" s="84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66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2"/>
      <c r="AY512" s="72"/>
    </row>
    <row r="513" spans="2:51" x14ac:dyDescent="0.25">
      <c r="B513" s="70"/>
      <c r="C513" s="67"/>
      <c r="D513" s="68"/>
      <c r="E513" s="69"/>
      <c r="F513" s="84"/>
      <c r="G513" s="83"/>
      <c r="H513" s="84"/>
      <c r="I513" s="84"/>
      <c r="J513" s="84"/>
      <c r="K513" s="84"/>
      <c r="L513" s="84"/>
      <c r="M513" s="83"/>
      <c r="N513" s="84"/>
      <c r="O513" s="84"/>
      <c r="P513" s="84"/>
      <c r="Q513" s="84"/>
      <c r="R513" s="84"/>
      <c r="S513" s="86"/>
      <c r="T513" s="84"/>
      <c r="U513" s="84"/>
      <c r="V513" s="86"/>
      <c r="W513" s="84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66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2"/>
      <c r="AY513" s="72"/>
    </row>
    <row r="514" spans="2:51" x14ac:dyDescent="0.25">
      <c r="B514" s="70"/>
      <c r="C514" s="67"/>
      <c r="D514" s="68"/>
      <c r="E514" s="69"/>
      <c r="F514" s="84"/>
      <c r="G514" s="83"/>
      <c r="H514" s="84"/>
      <c r="I514" s="84"/>
      <c r="J514" s="84"/>
      <c r="K514" s="84"/>
      <c r="L514" s="84"/>
      <c r="M514" s="83"/>
      <c r="N514" s="84"/>
      <c r="O514" s="84"/>
      <c r="P514" s="84"/>
      <c r="Q514" s="84"/>
      <c r="R514" s="84"/>
      <c r="S514" s="86"/>
      <c r="T514" s="84"/>
      <c r="U514" s="84"/>
      <c r="V514" s="86"/>
      <c r="W514" s="84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66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2"/>
      <c r="AY514" s="72"/>
    </row>
    <row r="515" spans="2:51" x14ac:dyDescent="0.25">
      <c r="B515" s="70"/>
      <c r="C515" s="67"/>
      <c r="D515" s="68"/>
      <c r="E515" s="69"/>
      <c r="F515" s="84"/>
      <c r="G515" s="83"/>
      <c r="H515" s="84"/>
      <c r="I515" s="84"/>
      <c r="J515" s="84"/>
      <c r="K515" s="84"/>
      <c r="L515" s="84"/>
      <c r="M515" s="83"/>
      <c r="N515" s="84"/>
      <c r="O515" s="84"/>
      <c r="P515" s="84"/>
      <c r="Q515" s="84"/>
      <c r="R515" s="84"/>
      <c r="S515" s="86"/>
      <c r="T515" s="84"/>
      <c r="U515" s="84"/>
      <c r="V515" s="86"/>
      <c r="W515" s="84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66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2"/>
      <c r="AY515" s="72"/>
    </row>
    <row r="516" spans="2:51" x14ac:dyDescent="0.25">
      <c r="B516" s="70"/>
      <c r="C516" s="67"/>
      <c r="D516" s="68"/>
      <c r="E516" s="69"/>
      <c r="F516" s="84"/>
      <c r="G516" s="83"/>
      <c r="H516" s="84"/>
      <c r="I516" s="84"/>
      <c r="J516" s="84"/>
      <c r="K516" s="84"/>
      <c r="L516" s="84"/>
      <c r="M516" s="83"/>
      <c r="N516" s="84"/>
      <c r="O516" s="84"/>
      <c r="P516" s="84"/>
      <c r="Q516" s="84"/>
      <c r="R516" s="84"/>
      <c r="S516" s="86"/>
      <c r="T516" s="84"/>
      <c r="U516" s="84"/>
      <c r="V516" s="86"/>
      <c r="W516" s="84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66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2"/>
      <c r="AY516" s="72"/>
    </row>
    <row r="517" spans="2:51" x14ac:dyDescent="0.25">
      <c r="B517" s="70"/>
      <c r="C517" s="67"/>
      <c r="D517" s="68"/>
      <c r="E517" s="69"/>
      <c r="F517" s="84"/>
      <c r="G517" s="83"/>
      <c r="H517" s="84"/>
      <c r="I517" s="84"/>
      <c r="J517" s="84"/>
      <c r="K517" s="84"/>
      <c r="L517" s="84"/>
      <c r="M517" s="83"/>
      <c r="N517" s="84"/>
      <c r="O517" s="84"/>
      <c r="P517" s="84"/>
      <c r="Q517" s="84"/>
      <c r="R517" s="84"/>
      <c r="S517" s="86"/>
      <c r="T517" s="84"/>
      <c r="U517" s="84"/>
      <c r="V517" s="86"/>
      <c r="W517" s="84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66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2"/>
      <c r="AY517" s="72"/>
    </row>
    <row r="518" spans="2:51" x14ac:dyDescent="0.25">
      <c r="B518" s="70"/>
      <c r="C518" s="67"/>
      <c r="D518" s="68"/>
      <c r="E518" s="69"/>
      <c r="F518" s="84"/>
      <c r="G518" s="83"/>
      <c r="H518" s="84"/>
      <c r="I518" s="84"/>
      <c r="J518" s="84"/>
      <c r="K518" s="84"/>
      <c r="L518" s="84"/>
      <c r="M518" s="83"/>
      <c r="N518" s="84"/>
      <c r="O518" s="84"/>
      <c r="P518" s="84"/>
      <c r="Q518" s="84"/>
      <c r="R518" s="84"/>
      <c r="S518" s="86"/>
      <c r="T518" s="84"/>
      <c r="U518" s="84"/>
      <c r="V518" s="86"/>
      <c r="W518" s="84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66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2"/>
      <c r="AY518" s="72"/>
    </row>
    <row r="519" spans="2:51" x14ac:dyDescent="0.25">
      <c r="B519" s="70"/>
      <c r="C519" s="67"/>
      <c r="D519" s="68"/>
      <c r="E519" s="69"/>
      <c r="F519" s="84"/>
      <c r="G519" s="83"/>
      <c r="H519" s="84"/>
      <c r="I519" s="84"/>
      <c r="J519" s="84"/>
      <c r="K519" s="84"/>
      <c r="L519" s="84"/>
      <c r="M519" s="83"/>
      <c r="N519" s="84"/>
      <c r="O519" s="84"/>
      <c r="P519" s="84"/>
      <c r="Q519" s="84"/>
      <c r="R519" s="84"/>
      <c r="S519" s="86"/>
      <c r="T519" s="84"/>
      <c r="U519" s="84"/>
      <c r="V519" s="86"/>
      <c r="W519" s="84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66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2"/>
      <c r="AY519" s="72"/>
    </row>
    <row r="520" spans="2:51" x14ac:dyDescent="0.25">
      <c r="B520" s="70"/>
      <c r="C520" s="67"/>
      <c r="D520" s="68"/>
      <c r="E520" s="69"/>
      <c r="F520" s="84"/>
      <c r="G520" s="83"/>
      <c r="H520" s="84"/>
      <c r="I520" s="84"/>
      <c r="J520" s="84"/>
      <c r="K520" s="84"/>
      <c r="L520" s="84"/>
      <c r="M520" s="83"/>
      <c r="N520" s="84"/>
      <c r="O520" s="84"/>
      <c r="P520" s="84"/>
      <c r="Q520" s="84"/>
      <c r="R520" s="84"/>
      <c r="S520" s="86"/>
      <c r="T520" s="84"/>
      <c r="U520" s="84"/>
      <c r="V520" s="86"/>
      <c r="W520" s="84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66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2"/>
      <c r="AY520" s="72"/>
    </row>
    <row r="521" spans="2:51" x14ac:dyDescent="0.25">
      <c r="B521" s="70"/>
      <c r="C521" s="67"/>
      <c r="D521" s="68"/>
      <c r="E521" s="69"/>
      <c r="F521" s="84"/>
      <c r="G521" s="83"/>
      <c r="H521" s="84"/>
      <c r="I521" s="84"/>
      <c r="J521" s="84"/>
      <c r="K521" s="84"/>
      <c r="L521" s="84"/>
      <c r="M521" s="83"/>
      <c r="N521" s="84"/>
      <c r="O521" s="84"/>
      <c r="P521" s="84"/>
      <c r="Q521" s="84"/>
      <c r="R521" s="84"/>
      <c r="S521" s="86"/>
      <c r="T521" s="84"/>
      <c r="U521" s="84"/>
      <c r="V521" s="86"/>
      <c r="W521" s="84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66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2"/>
      <c r="AY521" s="72"/>
    </row>
    <row r="522" spans="2:51" x14ac:dyDescent="0.25">
      <c r="B522" s="70"/>
      <c r="C522" s="67"/>
      <c r="D522" s="68"/>
      <c r="E522" s="69"/>
      <c r="F522" s="84"/>
      <c r="G522" s="83"/>
      <c r="H522" s="84"/>
      <c r="I522" s="84"/>
      <c r="J522" s="84"/>
      <c r="K522" s="84"/>
      <c r="L522" s="84"/>
      <c r="M522" s="83"/>
      <c r="N522" s="84"/>
      <c r="O522" s="84"/>
      <c r="P522" s="84"/>
      <c r="Q522" s="84"/>
      <c r="R522" s="84"/>
      <c r="S522" s="86"/>
      <c r="T522" s="84"/>
      <c r="U522" s="84"/>
      <c r="V522" s="86"/>
      <c r="W522" s="84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66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2"/>
      <c r="AY522" s="72"/>
    </row>
    <row r="523" spans="2:51" x14ac:dyDescent="0.25">
      <c r="B523" s="70"/>
      <c r="C523" s="67"/>
      <c r="D523" s="68"/>
      <c r="E523" s="69"/>
      <c r="F523" s="84"/>
      <c r="G523" s="83"/>
      <c r="H523" s="84"/>
      <c r="I523" s="84"/>
      <c r="J523" s="84"/>
      <c r="K523" s="84"/>
      <c r="L523" s="84"/>
      <c r="M523" s="83"/>
      <c r="N523" s="84"/>
      <c r="O523" s="84"/>
      <c r="P523" s="84"/>
      <c r="Q523" s="84"/>
      <c r="R523" s="84"/>
      <c r="S523" s="86"/>
      <c r="T523" s="84"/>
      <c r="U523" s="84"/>
      <c r="V523" s="86"/>
      <c r="W523" s="84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66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2"/>
      <c r="AY523" s="72"/>
    </row>
    <row r="524" spans="2:51" x14ac:dyDescent="0.25">
      <c r="B524" s="70"/>
      <c r="C524" s="67"/>
      <c r="D524" s="68"/>
      <c r="E524" s="69"/>
      <c r="F524" s="84"/>
      <c r="G524" s="83"/>
      <c r="H524" s="84"/>
      <c r="I524" s="84"/>
      <c r="J524" s="84"/>
      <c r="K524" s="84"/>
      <c r="L524" s="84"/>
      <c r="M524" s="83"/>
      <c r="N524" s="84"/>
      <c r="O524" s="84"/>
      <c r="P524" s="84"/>
      <c r="Q524" s="84"/>
      <c r="R524" s="84"/>
      <c r="S524" s="86"/>
      <c r="T524" s="84"/>
      <c r="U524" s="84"/>
      <c r="V524" s="86"/>
      <c r="W524" s="84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66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2"/>
      <c r="AY524" s="72"/>
    </row>
    <row r="525" spans="2:51" x14ac:dyDescent="0.25">
      <c r="B525" s="70"/>
      <c r="C525" s="67"/>
      <c r="D525" s="68"/>
      <c r="E525" s="69"/>
      <c r="F525" s="84"/>
      <c r="G525" s="83"/>
      <c r="H525" s="84"/>
      <c r="I525" s="84"/>
      <c r="J525" s="84"/>
      <c r="K525" s="84"/>
      <c r="L525" s="84"/>
      <c r="M525" s="83"/>
      <c r="N525" s="84"/>
      <c r="O525" s="84"/>
      <c r="P525" s="84"/>
      <c r="Q525" s="84"/>
      <c r="R525" s="84"/>
      <c r="S525" s="86"/>
      <c r="T525" s="84"/>
      <c r="U525" s="84"/>
      <c r="V525" s="86"/>
      <c r="W525" s="84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66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2"/>
      <c r="AY525" s="72"/>
    </row>
    <row r="526" spans="2:51" x14ac:dyDescent="0.25">
      <c r="B526" s="70"/>
      <c r="C526" s="67"/>
      <c r="D526" s="68"/>
      <c r="E526" s="69"/>
      <c r="F526" s="84"/>
      <c r="G526" s="83"/>
      <c r="H526" s="84"/>
      <c r="I526" s="84"/>
      <c r="J526" s="84"/>
      <c r="K526" s="84"/>
      <c r="L526" s="84"/>
      <c r="M526" s="83"/>
      <c r="N526" s="84"/>
      <c r="O526" s="84"/>
      <c r="P526" s="84"/>
      <c r="Q526" s="84"/>
      <c r="R526" s="84"/>
      <c r="S526" s="86"/>
      <c r="T526" s="84"/>
      <c r="U526" s="84"/>
      <c r="V526" s="86"/>
      <c r="W526" s="84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66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2"/>
      <c r="AY526" s="72"/>
    </row>
    <row r="527" spans="2:51" x14ac:dyDescent="0.25">
      <c r="B527" s="70"/>
      <c r="C527" s="67"/>
      <c r="D527" s="68"/>
      <c r="E527" s="69"/>
      <c r="F527" s="84"/>
      <c r="G527" s="83"/>
      <c r="H527" s="84"/>
      <c r="I527" s="84"/>
      <c r="J527" s="84"/>
      <c r="K527" s="84"/>
      <c r="L527" s="84"/>
      <c r="M527" s="83"/>
      <c r="N527" s="84"/>
      <c r="O527" s="84"/>
      <c r="P527" s="84"/>
      <c r="Q527" s="84"/>
      <c r="R527" s="84"/>
      <c r="S527" s="86"/>
      <c r="T527" s="84"/>
      <c r="U527" s="84"/>
      <c r="V527" s="86"/>
      <c r="W527" s="84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66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2"/>
      <c r="AY527" s="72"/>
    </row>
    <row r="528" spans="2:51" x14ac:dyDescent="0.25">
      <c r="B528" s="70"/>
      <c r="C528" s="67"/>
      <c r="D528" s="68"/>
      <c r="E528" s="69"/>
      <c r="F528" s="84"/>
      <c r="G528" s="83"/>
      <c r="H528" s="84"/>
      <c r="I528" s="84"/>
      <c r="J528" s="84"/>
      <c r="K528" s="84"/>
      <c r="L528" s="84"/>
      <c r="M528" s="83"/>
      <c r="N528" s="84"/>
      <c r="O528" s="84"/>
      <c r="P528" s="84"/>
      <c r="Q528" s="84"/>
      <c r="R528" s="84"/>
      <c r="S528" s="86"/>
      <c r="T528" s="84"/>
      <c r="U528" s="84"/>
      <c r="V528" s="86"/>
      <c r="W528" s="84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66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2"/>
      <c r="AY528" s="72"/>
    </row>
    <row r="529" spans="2:51" x14ac:dyDescent="0.25">
      <c r="B529" s="70"/>
      <c r="C529" s="67"/>
      <c r="D529" s="68"/>
      <c r="E529" s="69"/>
      <c r="F529" s="84"/>
      <c r="G529" s="83"/>
      <c r="H529" s="84"/>
      <c r="I529" s="84"/>
      <c r="J529" s="84"/>
      <c r="K529" s="84"/>
      <c r="L529" s="84"/>
      <c r="M529" s="83"/>
      <c r="N529" s="84"/>
      <c r="O529" s="84"/>
      <c r="P529" s="84"/>
      <c r="Q529" s="84"/>
      <c r="R529" s="84"/>
      <c r="S529" s="86"/>
      <c r="T529" s="84"/>
      <c r="U529" s="84"/>
      <c r="V529" s="86"/>
      <c r="W529" s="84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66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2"/>
      <c r="AY529" s="72"/>
    </row>
    <row r="530" spans="2:51" x14ac:dyDescent="0.25">
      <c r="B530" s="70"/>
      <c r="C530" s="67"/>
      <c r="D530" s="68"/>
      <c r="E530" s="69"/>
      <c r="F530" s="84"/>
      <c r="G530" s="83"/>
      <c r="H530" s="84"/>
      <c r="I530" s="84"/>
      <c r="J530" s="84"/>
      <c r="K530" s="84"/>
      <c r="L530" s="84"/>
      <c r="M530" s="83"/>
      <c r="N530" s="84"/>
      <c r="O530" s="84"/>
      <c r="P530" s="84"/>
      <c r="Q530" s="84"/>
      <c r="R530" s="84"/>
      <c r="S530" s="86"/>
      <c r="T530" s="84"/>
      <c r="U530" s="84"/>
      <c r="V530" s="86"/>
      <c r="W530" s="84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66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2"/>
      <c r="AY530" s="72"/>
    </row>
    <row r="531" spans="2:51" x14ac:dyDescent="0.25">
      <c r="B531" s="70"/>
      <c r="C531" s="67"/>
      <c r="D531" s="68"/>
      <c r="E531" s="69"/>
      <c r="F531" s="84"/>
      <c r="G531" s="83"/>
      <c r="H531" s="84"/>
      <c r="I531" s="84"/>
      <c r="J531" s="84"/>
      <c r="K531" s="84"/>
      <c r="L531" s="84"/>
      <c r="M531" s="83"/>
      <c r="N531" s="84"/>
      <c r="O531" s="84"/>
      <c r="P531" s="84"/>
      <c r="Q531" s="84"/>
      <c r="R531" s="84"/>
      <c r="S531" s="86"/>
      <c r="T531" s="84"/>
      <c r="U531" s="84"/>
      <c r="V531" s="86"/>
      <c r="W531" s="84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66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2"/>
      <c r="AY531" s="72"/>
    </row>
    <row r="532" spans="2:51" x14ac:dyDescent="0.25">
      <c r="B532" s="70"/>
      <c r="C532" s="67"/>
      <c r="D532" s="68"/>
      <c r="E532" s="69"/>
      <c r="F532" s="84"/>
      <c r="G532" s="83"/>
      <c r="H532" s="84"/>
      <c r="I532" s="84"/>
      <c r="J532" s="84"/>
      <c r="K532" s="84"/>
      <c r="L532" s="84"/>
      <c r="M532" s="83"/>
      <c r="N532" s="84"/>
      <c r="O532" s="84"/>
      <c r="P532" s="84"/>
      <c r="Q532" s="84"/>
      <c r="R532" s="84"/>
      <c r="S532" s="86"/>
      <c r="T532" s="84"/>
      <c r="U532" s="84"/>
      <c r="V532" s="86"/>
      <c r="W532" s="84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66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2"/>
      <c r="AY532" s="72"/>
    </row>
    <row r="533" spans="2:51" x14ac:dyDescent="0.25">
      <c r="B533" s="70"/>
      <c r="C533" s="67"/>
      <c r="D533" s="68"/>
      <c r="E533" s="69"/>
      <c r="F533" s="84"/>
      <c r="G533" s="83"/>
      <c r="H533" s="84"/>
      <c r="I533" s="84"/>
      <c r="J533" s="84"/>
      <c r="K533" s="84"/>
      <c r="L533" s="84"/>
      <c r="M533" s="83"/>
      <c r="N533" s="84"/>
      <c r="O533" s="84"/>
      <c r="P533" s="84"/>
      <c r="Q533" s="84"/>
      <c r="R533" s="84"/>
      <c r="S533" s="86"/>
      <c r="T533" s="84"/>
      <c r="U533" s="84"/>
      <c r="V533" s="86"/>
      <c r="W533" s="84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66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2"/>
      <c r="AY533" s="72"/>
    </row>
    <row r="534" spans="2:51" x14ac:dyDescent="0.25">
      <c r="B534" s="70"/>
      <c r="C534" s="67"/>
      <c r="D534" s="68"/>
      <c r="E534" s="69"/>
      <c r="F534" s="84"/>
      <c r="G534" s="83"/>
      <c r="H534" s="84"/>
      <c r="I534" s="84"/>
      <c r="J534" s="84"/>
      <c r="K534" s="84"/>
      <c r="L534" s="84"/>
      <c r="M534" s="83"/>
      <c r="N534" s="84"/>
      <c r="O534" s="84"/>
      <c r="P534" s="84"/>
      <c r="Q534" s="84"/>
      <c r="R534" s="84"/>
      <c r="S534" s="86"/>
      <c r="T534" s="84"/>
      <c r="U534" s="84"/>
      <c r="V534" s="86"/>
      <c r="W534" s="84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66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2"/>
      <c r="AY534" s="72"/>
    </row>
    <row r="535" spans="2:51" x14ac:dyDescent="0.25">
      <c r="B535" s="70"/>
      <c r="C535" s="67"/>
      <c r="D535" s="68"/>
      <c r="E535" s="69"/>
      <c r="F535" s="84"/>
      <c r="G535" s="83"/>
      <c r="H535" s="84"/>
      <c r="I535" s="84"/>
      <c r="J535" s="84"/>
      <c r="K535" s="84"/>
      <c r="L535" s="84"/>
      <c r="M535" s="83"/>
      <c r="N535" s="84"/>
      <c r="O535" s="84"/>
      <c r="P535" s="84"/>
      <c r="Q535" s="84"/>
      <c r="R535" s="84"/>
      <c r="S535" s="86"/>
      <c r="T535" s="84"/>
      <c r="U535" s="84"/>
      <c r="V535" s="86"/>
      <c r="W535" s="84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66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2"/>
      <c r="AY535" s="72"/>
    </row>
    <row r="536" spans="2:51" x14ac:dyDescent="0.25">
      <c r="B536" s="70"/>
      <c r="C536" s="67"/>
      <c r="D536" s="68"/>
      <c r="E536" s="69"/>
      <c r="F536" s="84"/>
      <c r="G536" s="83"/>
      <c r="H536" s="84"/>
      <c r="I536" s="84"/>
      <c r="J536" s="84"/>
      <c r="K536" s="84"/>
      <c r="L536" s="84"/>
      <c r="M536" s="83"/>
      <c r="N536" s="84"/>
      <c r="O536" s="84"/>
      <c r="P536" s="84"/>
      <c r="Q536" s="84"/>
      <c r="R536" s="84"/>
      <c r="S536" s="86"/>
      <c r="T536" s="84"/>
      <c r="U536" s="84"/>
      <c r="V536" s="86"/>
      <c r="W536" s="84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66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2"/>
      <c r="AY536" s="72"/>
    </row>
    <row r="537" spans="2:51" x14ac:dyDescent="0.25">
      <c r="B537" s="70"/>
      <c r="C537" s="67"/>
      <c r="D537" s="68"/>
      <c r="E537" s="69"/>
      <c r="F537" s="84"/>
      <c r="G537" s="83"/>
      <c r="H537" s="84"/>
      <c r="I537" s="84"/>
      <c r="J537" s="84"/>
      <c r="K537" s="84"/>
      <c r="L537" s="84"/>
      <c r="M537" s="83"/>
      <c r="N537" s="84"/>
      <c r="O537" s="84"/>
      <c r="P537" s="84"/>
      <c r="Q537" s="84"/>
      <c r="R537" s="84"/>
      <c r="S537" s="86"/>
      <c r="T537" s="84"/>
      <c r="U537" s="84"/>
      <c r="V537" s="86"/>
      <c r="W537" s="84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66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2"/>
      <c r="AY537" s="72"/>
    </row>
    <row r="538" spans="2:51" x14ac:dyDescent="0.25">
      <c r="B538" s="70"/>
      <c r="C538" s="67"/>
      <c r="D538" s="68"/>
      <c r="E538" s="69"/>
      <c r="F538" s="84"/>
      <c r="G538" s="83"/>
      <c r="H538" s="84"/>
      <c r="I538" s="84"/>
      <c r="J538" s="84"/>
      <c r="K538" s="84"/>
      <c r="L538" s="84"/>
      <c r="M538" s="83"/>
      <c r="N538" s="84"/>
      <c r="O538" s="84"/>
      <c r="P538" s="84"/>
      <c r="Q538" s="84"/>
      <c r="R538" s="84"/>
      <c r="S538" s="86"/>
      <c r="T538" s="84"/>
      <c r="U538" s="84"/>
      <c r="V538" s="86"/>
      <c r="W538" s="84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66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2"/>
      <c r="AY538" s="72"/>
    </row>
    <row r="539" spans="2:51" x14ac:dyDescent="0.25">
      <c r="B539" s="70"/>
      <c r="C539" s="67"/>
      <c r="D539" s="68"/>
      <c r="E539" s="69"/>
      <c r="F539" s="84"/>
      <c r="G539" s="83"/>
      <c r="H539" s="84"/>
      <c r="I539" s="84"/>
      <c r="J539" s="84"/>
      <c r="K539" s="84"/>
      <c r="L539" s="84"/>
      <c r="M539" s="83"/>
      <c r="N539" s="84"/>
      <c r="O539" s="84"/>
      <c r="P539" s="84"/>
      <c r="Q539" s="84"/>
      <c r="R539" s="84"/>
      <c r="S539" s="86"/>
      <c r="T539" s="84"/>
      <c r="U539" s="84"/>
      <c r="V539" s="86"/>
      <c r="W539" s="84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66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2"/>
      <c r="AY539" s="72"/>
    </row>
    <row r="540" spans="2:51" x14ac:dyDescent="0.25">
      <c r="B540" s="70"/>
      <c r="C540" s="67"/>
      <c r="D540" s="68"/>
      <c r="E540" s="69"/>
      <c r="F540" s="84"/>
      <c r="G540" s="83"/>
      <c r="H540" s="84"/>
      <c r="I540" s="84"/>
      <c r="J540" s="84"/>
      <c r="K540" s="84"/>
      <c r="L540" s="84"/>
      <c r="M540" s="83"/>
      <c r="N540" s="84"/>
      <c r="O540" s="84"/>
      <c r="P540" s="84"/>
      <c r="Q540" s="84"/>
      <c r="R540" s="84"/>
      <c r="S540" s="86"/>
      <c r="T540" s="84"/>
      <c r="U540" s="84"/>
      <c r="V540" s="86"/>
      <c r="W540" s="84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66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2"/>
      <c r="AY540" s="72"/>
    </row>
    <row r="541" spans="2:51" x14ac:dyDescent="0.25">
      <c r="B541" s="70"/>
      <c r="C541" s="67"/>
      <c r="D541" s="68"/>
      <c r="E541" s="69"/>
      <c r="F541" s="84"/>
      <c r="G541" s="83"/>
      <c r="H541" s="84"/>
      <c r="I541" s="84"/>
      <c r="J541" s="84"/>
      <c r="K541" s="84"/>
      <c r="L541" s="84"/>
      <c r="M541" s="83"/>
      <c r="N541" s="84"/>
      <c r="O541" s="84"/>
      <c r="P541" s="84"/>
      <c r="Q541" s="84"/>
      <c r="R541" s="84"/>
      <c r="S541" s="86"/>
      <c r="T541" s="84"/>
      <c r="U541" s="84"/>
      <c r="V541" s="86"/>
      <c r="W541" s="84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66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2"/>
      <c r="AY541" s="72"/>
    </row>
    <row r="542" spans="2:51" x14ac:dyDescent="0.25">
      <c r="B542" s="70"/>
      <c r="C542" s="67"/>
      <c r="D542" s="68"/>
      <c r="E542" s="69"/>
      <c r="F542" s="84"/>
      <c r="G542" s="83"/>
      <c r="H542" s="84"/>
      <c r="I542" s="84"/>
      <c r="J542" s="84"/>
      <c r="K542" s="84"/>
      <c r="L542" s="84"/>
      <c r="M542" s="83"/>
      <c r="N542" s="84"/>
      <c r="O542" s="84"/>
      <c r="P542" s="84"/>
      <c r="Q542" s="84"/>
      <c r="R542" s="84"/>
      <c r="S542" s="86"/>
      <c r="T542" s="84"/>
      <c r="U542" s="84"/>
      <c r="V542" s="86"/>
      <c r="W542" s="84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66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2"/>
      <c r="AY542" s="72"/>
    </row>
    <row r="543" spans="2:51" x14ac:dyDescent="0.25">
      <c r="B543" s="70"/>
      <c r="C543" s="67"/>
      <c r="D543" s="68"/>
      <c r="E543" s="69"/>
      <c r="F543" s="84"/>
      <c r="G543" s="83"/>
      <c r="H543" s="84"/>
      <c r="I543" s="84"/>
      <c r="J543" s="84"/>
      <c r="K543" s="84"/>
      <c r="L543" s="84"/>
      <c r="M543" s="83"/>
      <c r="N543" s="84"/>
      <c r="O543" s="84"/>
      <c r="P543" s="84"/>
      <c r="Q543" s="84"/>
      <c r="R543" s="84"/>
      <c r="S543" s="86"/>
      <c r="T543" s="84"/>
      <c r="U543" s="84"/>
      <c r="V543" s="86"/>
      <c r="W543" s="84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66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2"/>
      <c r="AY543" s="72"/>
    </row>
    <row r="544" spans="2:51" x14ac:dyDescent="0.25">
      <c r="B544" s="70"/>
      <c r="C544" s="67"/>
      <c r="D544" s="68"/>
      <c r="E544" s="69"/>
      <c r="F544" s="84"/>
      <c r="G544" s="83"/>
      <c r="H544" s="84"/>
      <c r="I544" s="84"/>
      <c r="J544" s="84"/>
      <c r="K544" s="84"/>
      <c r="L544" s="84"/>
      <c r="M544" s="83"/>
      <c r="N544" s="84"/>
      <c r="O544" s="84"/>
      <c r="P544" s="84"/>
      <c r="Q544" s="84"/>
      <c r="R544" s="84"/>
      <c r="S544" s="86"/>
      <c r="T544" s="84"/>
      <c r="U544" s="84"/>
      <c r="V544" s="86"/>
      <c r="W544" s="84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66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2"/>
      <c r="AY544" s="72"/>
    </row>
    <row r="545" spans="2:51" x14ac:dyDescent="0.25">
      <c r="B545" s="70"/>
      <c r="C545" s="67"/>
      <c r="D545" s="68"/>
      <c r="E545" s="69"/>
      <c r="F545" s="84"/>
      <c r="G545" s="83"/>
      <c r="H545" s="84"/>
      <c r="I545" s="84"/>
      <c r="J545" s="84"/>
      <c r="K545" s="84"/>
      <c r="L545" s="84"/>
      <c r="M545" s="83"/>
      <c r="N545" s="84"/>
      <c r="O545" s="84"/>
      <c r="P545" s="84"/>
      <c r="Q545" s="84"/>
      <c r="R545" s="84"/>
      <c r="S545" s="86"/>
      <c r="T545" s="84"/>
      <c r="U545" s="84"/>
      <c r="V545" s="86"/>
      <c r="W545" s="84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66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2"/>
      <c r="AY545" s="72"/>
    </row>
    <row r="546" spans="2:51" x14ac:dyDescent="0.25">
      <c r="B546" s="70"/>
      <c r="C546" s="67"/>
      <c r="D546" s="68"/>
      <c r="E546" s="69"/>
      <c r="F546" s="84"/>
      <c r="G546" s="83"/>
      <c r="H546" s="84"/>
      <c r="I546" s="84"/>
      <c r="J546" s="84"/>
      <c r="K546" s="84"/>
      <c r="L546" s="84"/>
      <c r="M546" s="83"/>
      <c r="N546" s="84"/>
      <c r="O546" s="84"/>
      <c r="P546" s="84"/>
      <c r="Q546" s="84"/>
      <c r="R546" s="84"/>
      <c r="S546" s="86"/>
      <c r="T546" s="84"/>
      <c r="U546" s="84"/>
      <c r="V546" s="86"/>
      <c r="W546" s="84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66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2"/>
      <c r="AY546" s="72"/>
    </row>
    <row r="547" spans="2:51" x14ac:dyDescent="0.25">
      <c r="B547" s="70"/>
      <c r="C547" s="67"/>
      <c r="D547" s="68"/>
      <c r="E547" s="69"/>
      <c r="F547" s="84"/>
      <c r="G547" s="83"/>
      <c r="H547" s="84"/>
      <c r="I547" s="84"/>
      <c r="J547" s="84"/>
      <c r="K547" s="84"/>
      <c r="L547" s="84"/>
      <c r="M547" s="83"/>
      <c r="N547" s="84"/>
      <c r="O547" s="84"/>
      <c r="P547" s="84"/>
      <c r="Q547" s="84"/>
      <c r="R547" s="84"/>
      <c r="S547" s="86"/>
      <c r="T547" s="84"/>
      <c r="U547" s="84"/>
      <c r="V547" s="86"/>
      <c r="W547" s="84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66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2"/>
      <c r="AY547" s="72"/>
    </row>
    <row r="548" spans="2:51" x14ac:dyDescent="0.25">
      <c r="B548" s="70"/>
      <c r="C548" s="67"/>
      <c r="D548" s="68"/>
      <c r="E548" s="69"/>
      <c r="F548" s="84"/>
      <c r="G548" s="83"/>
      <c r="H548" s="84"/>
      <c r="I548" s="84"/>
      <c r="J548" s="84"/>
      <c r="K548" s="84"/>
      <c r="L548" s="84"/>
      <c r="M548" s="83"/>
      <c r="N548" s="84"/>
      <c r="O548" s="84"/>
      <c r="P548" s="84"/>
      <c r="Q548" s="84"/>
      <c r="R548" s="84"/>
      <c r="S548" s="86"/>
      <c r="T548" s="84"/>
      <c r="U548" s="84"/>
      <c r="V548" s="86"/>
      <c r="W548" s="84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66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2"/>
      <c r="AY548" s="72"/>
    </row>
    <row r="549" spans="2:51" x14ac:dyDescent="0.25">
      <c r="B549" s="70"/>
      <c r="C549" s="67"/>
      <c r="D549" s="68"/>
      <c r="E549" s="69"/>
      <c r="F549" s="84"/>
      <c r="G549" s="83"/>
      <c r="H549" s="84"/>
      <c r="I549" s="84"/>
      <c r="J549" s="84"/>
      <c r="K549" s="84"/>
      <c r="L549" s="84"/>
      <c r="M549" s="83"/>
      <c r="N549" s="84"/>
      <c r="O549" s="84"/>
      <c r="P549" s="84"/>
      <c r="Q549" s="84"/>
      <c r="R549" s="84"/>
      <c r="S549" s="86"/>
      <c r="T549" s="84"/>
      <c r="U549" s="84"/>
      <c r="V549" s="86"/>
      <c r="W549" s="84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66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2"/>
      <c r="AY549" s="72"/>
    </row>
    <row r="550" spans="2:51" x14ac:dyDescent="0.25">
      <c r="B550" s="70"/>
      <c r="C550" s="67"/>
      <c r="D550" s="68"/>
      <c r="E550" s="69"/>
      <c r="F550" s="84"/>
      <c r="G550" s="83"/>
      <c r="H550" s="84"/>
      <c r="I550" s="84"/>
      <c r="J550" s="84"/>
      <c r="K550" s="84"/>
      <c r="L550" s="84"/>
      <c r="M550" s="83"/>
      <c r="N550" s="84"/>
      <c r="O550" s="84"/>
      <c r="P550" s="84"/>
      <c r="Q550" s="84"/>
      <c r="R550" s="84"/>
      <c r="S550" s="86"/>
      <c r="T550" s="84"/>
      <c r="U550" s="84"/>
      <c r="V550" s="86"/>
      <c r="W550" s="84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66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2"/>
      <c r="AY550" s="72"/>
    </row>
    <row r="551" spans="2:51" x14ac:dyDescent="0.25">
      <c r="B551" s="70"/>
      <c r="C551" s="67"/>
      <c r="D551" s="68"/>
      <c r="E551" s="69"/>
      <c r="F551" s="84"/>
      <c r="G551" s="83"/>
      <c r="H551" s="84"/>
      <c r="I551" s="84"/>
      <c r="J551" s="84"/>
      <c r="K551" s="84"/>
      <c r="L551" s="84"/>
      <c r="M551" s="83"/>
      <c r="N551" s="84"/>
      <c r="O551" s="84"/>
      <c r="P551" s="84"/>
      <c r="Q551" s="84"/>
      <c r="R551" s="84"/>
      <c r="S551" s="86"/>
      <c r="T551" s="84"/>
      <c r="U551" s="84"/>
      <c r="V551" s="86"/>
      <c r="W551" s="84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66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2"/>
      <c r="AY551" s="72"/>
    </row>
    <row r="552" spans="2:51" x14ac:dyDescent="0.25">
      <c r="B552" s="70"/>
      <c r="C552" s="67"/>
      <c r="D552" s="68"/>
      <c r="E552" s="69"/>
      <c r="F552" s="84"/>
      <c r="G552" s="83"/>
      <c r="H552" s="84"/>
      <c r="I552" s="84"/>
      <c r="J552" s="84"/>
      <c r="K552" s="84"/>
      <c r="L552" s="84"/>
      <c r="M552" s="83"/>
      <c r="N552" s="84"/>
      <c r="O552" s="84"/>
      <c r="P552" s="84"/>
      <c r="Q552" s="84"/>
      <c r="R552" s="84"/>
      <c r="S552" s="86"/>
      <c r="T552" s="84"/>
      <c r="U552" s="84"/>
      <c r="V552" s="86"/>
      <c r="W552" s="84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66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2"/>
      <c r="AY552" s="72"/>
    </row>
    <row r="553" spans="2:51" x14ac:dyDescent="0.25">
      <c r="B553" s="70"/>
      <c r="C553" s="67"/>
      <c r="D553" s="68"/>
      <c r="E553" s="69"/>
      <c r="F553" s="84"/>
      <c r="G553" s="83"/>
      <c r="H553" s="84"/>
      <c r="I553" s="84"/>
      <c r="J553" s="84"/>
      <c r="K553" s="84"/>
      <c r="L553" s="84"/>
      <c r="M553" s="83"/>
      <c r="N553" s="84"/>
      <c r="O553" s="84"/>
      <c r="P553" s="84"/>
      <c r="Q553" s="84"/>
      <c r="R553" s="84"/>
      <c r="S553" s="86"/>
      <c r="T553" s="84"/>
      <c r="U553" s="84"/>
      <c r="V553" s="86"/>
      <c r="W553" s="84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66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2"/>
      <c r="AY553" s="72"/>
    </row>
    <row r="554" spans="2:51" x14ac:dyDescent="0.25">
      <c r="B554" s="70"/>
      <c r="C554" s="67"/>
      <c r="D554" s="68"/>
      <c r="E554" s="69"/>
      <c r="F554" s="84"/>
      <c r="G554" s="83"/>
      <c r="H554" s="84"/>
      <c r="I554" s="84"/>
      <c r="J554" s="84"/>
      <c r="K554" s="84"/>
      <c r="L554" s="84"/>
      <c r="M554" s="83"/>
      <c r="N554" s="84"/>
      <c r="O554" s="84"/>
      <c r="P554" s="84"/>
      <c r="Q554" s="84"/>
      <c r="R554" s="84"/>
      <c r="S554" s="86"/>
      <c r="T554" s="84"/>
      <c r="U554" s="84"/>
      <c r="V554" s="86"/>
      <c r="W554" s="84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66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2"/>
      <c r="AY554" s="72"/>
    </row>
    <row r="555" spans="2:51" x14ac:dyDescent="0.25">
      <c r="B555" s="70"/>
      <c r="C555" s="67"/>
      <c r="D555" s="68"/>
      <c r="E555" s="69"/>
      <c r="F555" s="84"/>
      <c r="G555" s="83"/>
      <c r="H555" s="84"/>
      <c r="I555" s="84"/>
      <c r="J555" s="84"/>
      <c r="K555" s="84"/>
      <c r="L555" s="84"/>
      <c r="M555" s="83"/>
      <c r="N555" s="84"/>
      <c r="O555" s="84"/>
      <c r="P555" s="84"/>
      <c r="Q555" s="84"/>
      <c r="R555" s="84"/>
      <c r="S555" s="86"/>
      <c r="T555" s="84"/>
      <c r="U555" s="84"/>
      <c r="V555" s="86"/>
      <c r="W555" s="84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66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2"/>
      <c r="AY555" s="72"/>
    </row>
    <row r="556" spans="2:51" x14ac:dyDescent="0.25">
      <c r="B556" s="70"/>
      <c r="C556" s="67"/>
      <c r="D556" s="68"/>
      <c r="E556" s="69"/>
      <c r="F556" s="84"/>
      <c r="G556" s="83"/>
      <c r="H556" s="84"/>
      <c r="I556" s="84"/>
      <c r="J556" s="84"/>
      <c r="K556" s="84"/>
      <c r="L556" s="84"/>
      <c r="M556" s="83"/>
      <c r="N556" s="84"/>
      <c r="O556" s="84"/>
      <c r="P556" s="84"/>
      <c r="Q556" s="84"/>
      <c r="R556" s="84"/>
      <c r="S556" s="86"/>
      <c r="T556" s="84"/>
      <c r="U556" s="84"/>
      <c r="V556" s="86"/>
      <c r="W556" s="84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66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2"/>
      <c r="AY556" s="72"/>
    </row>
    <row r="557" spans="2:51" x14ac:dyDescent="0.25">
      <c r="B557" s="70"/>
      <c r="C557" s="67"/>
      <c r="D557" s="68"/>
      <c r="E557" s="69"/>
      <c r="F557" s="84"/>
      <c r="G557" s="83"/>
      <c r="H557" s="84"/>
      <c r="I557" s="84"/>
      <c r="J557" s="84"/>
      <c r="K557" s="84"/>
      <c r="L557" s="84"/>
      <c r="M557" s="83"/>
      <c r="N557" s="84"/>
      <c r="O557" s="84"/>
      <c r="P557" s="84"/>
      <c r="Q557" s="84"/>
      <c r="R557" s="84"/>
      <c r="S557" s="86"/>
      <c r="T557" s="84"/>
      <c r="U557" s="84"/>
      <c r="V557" s="86"/>
      <c r="W557" s="84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66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2"/>
      <c r="AY557" s="72"/>
    </row>
    <row r="558" spans="2:51" x14ac:dyDescent="0.25">
      <c r="B558" s="70"/>
      <c r="C558" s="67"/>
      <c r="D558" s="68"/>
      <c r="E558" s="69"/>
      <c r="F558" s="84"/>
      <c r="G558" s="83"/>
      <c r="H558" s="84"/>
      <c r="I558" s="84"/>
      <c r="J558" s="84"/>
      <c r="K558" s="84"/>
      <c r="L558" s="84"/>
      <c r="M558" s="83"/>
      <c r="N558" s="84"/>
      <c r="O558" s="84"/>
      <c r="P558" s="84"/>
      <c r="Q558" s="84"/>
      <c r="R558" s="84"/>
      <c r="S558" s="86"/>
      <c r="T558" s="84"/>
      <c r="U558" s="84"/>
      <c r="V558" s="86"/>
      <c r="W558" s="84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66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2"/>
      <c r="AY558" s="72"/>
    </row>
    <row r="559" spans="2:51" x14ac:dyDescent="0.25">
      <c r="B559" s="70"/>
      <c r="C559" s="67"/>
      <c r="D559" s="68"/>
      <c r="E559" s="69"/>
      <c r="F559" s="84"/>
      <c r="G559" s="83"/>
      <c r="H559" s="84"/>
      <c r="I559" s="84"/>
      <c r="J559" s="84"/>
      <c r="K559" s="84"/>
      <c r="L559" s="84"/>
      <c r="M559" s="83"/>
      <c r="N559" s="84"/>
      <c r="O559" s="84"/>
      <c r="P559" s="84"/>
      <c r="Q559" s="84"/>
      <c r="R559" s="84"/>
      <c r="S559" s="86"/>
      <c r="T559" s="84"/>
      <c r="U559" s="84"/>
      <c r="V559" s="86"/>
      <c r="W559" s="84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66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2"/>
      <c r="AY559" s="72"/>
    </row>
    <row r="560" spans="2:51" x14ac:dyDescent="0.25">
      <c r="B560" s="70"/>
      <c r="C560" s="67"/>
      <c r="D560" s="68"/>
      <c r="E560" s="69"/>
      <c r="F560" s="84"/>
      <c r="G560" s="83"/>
      <c r="H560" s="84"/>
      <c r="I560" s="84"/>
      <c r="J560" s="84"/>
      <c r="K560" s="84"/>
      <c r="L560" s="84"/>
      <c r="M560" s="83"/>
      <c r="N560" s="84"/>
      <c r="O560" s="84"/>
      <c r="P560" s="84"/>
      <c r="Q560" s="84"/>
      <c r="R560" s="84"/>
      <c r="S560" s="86"/>
      <c r="T560" s="84"/>
      <c r="U560" s="84"/>
      <c r="V560" s="86"/>
      <c r="W560" s="84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66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2"/>
      <c r="AY560" s="72"/>
    </row>
    <row r="561" spans="2:51" x14ac:dyDescent="0.25">
      <c r="B561" s="70"/>
      <c r="C561" s="67"/>
      <c r="D561" s="68"/>
      <c r="E561" s="69"/>
      <c r="F561" s="84"/>
      <c r="G561" s="83"/>
      <c r="H561" s="84"/>
      <c r="I561" s="84"/>
      <c r="J561" s="84"/>
      <c r="K561" s="84"/>
      <c r="L561" s="84"/>
      <c r="M561" s="83"/>
      <c r="N561" s="84"/>
      <c r="O561" s="84"/>
      <c r="P561" s="84"/>
      <c r="Q561" s="84"/>
      <c r="R561" s="84"/>
      <c r="S561" s="86"/>
      <c r="T561" s="84"/>
      <c r="U561" s="84"/>
      <c r="V561" s="86"/>
      <c r="W561" s="84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66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2"/>
      <c r="AY561" s="72"/>
    </row>
    <row r="562" spans="2:51" x14ac:dyDescent="0.25">
      <c r="B562" s="70"/>
      <c r="C562" s="67"/>
      <c r="D562" s="68"/>
      <c r="E562" s="69"/>
      <c r="F562" s="84"/>
      <c r="G562" s="83"/>
      <c r="H562" s="84"/>
      <c r="I562" s="84"/>
      <c r="J562" s="84"/>
      <c r="K562" s="84"/>
      <c r="L562" s="84"/>
      <c r="M562" s="83"/>
      <c r="N562" s="84"/>
      <c r="O562" s="84"/>
      <c r="P562" s="84"/>
      <c r="Q562" s="84"/>
      <c r="R562" s="84"/>
      <c r="S562" s="86"/>
      <c r="T562" s="84"/>
      <c r="U562" s="84"/>
      <c r="V562" s="86"/>
      <c r="W562" s="84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66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2"/>
      <c r="AY562" s="72"/>
    </row>
    <row r="563" spans="2:51" x14ac:dyDescent="0.25">
      <c r="B563" s="70"/>
      <c r="C563" s="67"/>
      <c r="D563" s="68"/>
      <c r="E563" s="69"/>
      <c r="F563" s="84"/>
      <c r="G563" s="83"/>
      <c r="H563" s="84"/>
      <c r="I563" s="84"/>
      <c r="J563" s="84"/>
      <c r="K563" s="84"/>
      <c r="L563" s="84"/>
      <c r="M563" s="83"/>
      <c r="N563" s="84"/>
      <c r="O563" s="84"/>
      <c r="P563" s="84"/>
      <c r="Q563" s="84"/>
      <c r="R563" s="84"/>
      <c r="S563" s="86"/>
      <c r="T563" s="84"/>
      <c r="U563" s="84"/>
      <c r="V563" s="86"/>
      <c r="W563" s="84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66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2"/>
      <c r="AY563" s="72"/>
    </row>
    <row r="564" spans="2:51" x14ac:dyDescent="0.25">
      <c r="B564" s="70"/>
      <c r="C564" s="67"/>
      <c r="D564" s="68"/>
      <c r="E564" s="69"/>
      <c r="F564" s="84"/>
      <c r="G564" s="83"/>
      <c r="H564" s="84"/>
      <c r="I564" s="84"/>
      <c r="J564" s="84"/>
      <c r="K564" s="84"/>
      <c r="L564" s="84"/>
      <c r="M564" s="83"/>
      <c r="N564" s="84"/>
      <c r="O564" s="84"/>
      <c r="P564" s="84"/>
      <c r="Q564" s="84"/>
      <c r="R564" s="84"/>
      <c r="S564" s="86"/>
      <c r="T564" s="84"/>
      <c r="U564" s="84"/>
      <c r="V564" s="86"/>
      <c r="W564" s="84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66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2"/>
      <c r="AY564" s="72"/>
    </row>
    <row r="565" spans="2:51" x14ac:dyDescent="0.25">
      <c r="B565" s="70"/>
      <c r="C565" s="67"/>
      <c r="D565" s="68"/>
      <c r="E565" s="69"/>
      <c r="F565" s="84"/>
      <c r="G565" s="83"/>
      <c r="H565" s="84"/>
      <c r="I565" s="84"/>
      <c r="J565" s="84"/>
      <c r="K565" s="84"/>
      <c r="L565" s="84"/>
      <c r="M565" s="83"/>
      <c r="N565" s="84"/>
      <c r="O565" s="84"/>
      <c r="P565" s="84"/>
      <c r="Q565" s="84"/>
      <c r="R565" s="84"/>
      <c r="S565" s="86"/>
      <c r="T565" s="84"/>
      <c r="U565" s="84"/>
      <c r="V565" s="86"/>
      <c r="W565" s="84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66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2"/>
      <c r="AY565" s="72"/>
    </row>
    <row r="566" spans="2:51" x14ac:dyDescent="0.25">
      <c r="B566" s="70"/>
      <c r="C566" s="67"/>
      <c r="D566" s="68"/>
      <c r="E566" s="69"/>
      <c r="F566" s="84"/>
      <c r="G566" s="83"/>
      <c r="H566" s="84"/>
      <c r="I566" s="84"/>
      <c r="J566" s="84"/>
      <c r="K566" s="84"/>
      <c r="L566" s="84"/>
      <c r="M566" s="83"/>
      <c r="N566" s="84"/>
      <c r="O566" s="84"/>
      <c r="P566" s="84"/>
      <c r="Q566" s="84"/>
      <c r="R566" s="84"/>
      <c r="S566" s="86"/>
      <c r="T566" s="84"/>
      <c r="U566" s="84"/>
      <c r="V566" s="86"/>
      <c r="W566" s="84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66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2"/>
      <c r="AY566" s="72"/>
    </row>
    <row r="567" spans="2:51" x14ac:dyDescent="0.25">
      <c r="B567" s="70"/>
      <c r="C567" s="67"/>
      <c r="D567" s="68"/>
      <c r="E567" s="69"/>
      <c r="F567" s="84"/>
      <c r="G567" s="83"/>
      <c r="H567" s="84"/>
      <c r="I567" s="84"/>
      <c r="J567" s="84"/>
      <c r="K567" s="84"/>
      <c r="L567" s="84"/>
      <c r="M567" s="83"/>
      <c r="N567" s="84"/>
      <c r="O567" s="84"/>
      <c r="P567" s="84"/>
      <c r="Q567" s="84"/>
      <c r="R567" s="84"/>
      <c r="S567" s="86"/>
      <c r="T567" s="84"/>
      <c r="U567" s="84"/>
      <c r="V567" s="86"/>
      <c r="W567" s="84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66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2"/>
      <c r="AY567" s="72"/>
    </row>
    <row r="568" spans="2:51" x14ac:dyDescent="0.25">
      <c r="B568" s="70"/>
      <c r="C568" s="67"/>
      <c r="D568" s="68"/>
      <c r="E568" s="69"/>
      <c r="F568" s="84"/>
      <c r="G568" s="83"/>
      <c r="H568" s="84"/>
      <c r="I568" s="84"/>
      <c r="J568" s="84"/>
      <c r="K568" s="84"/>
      <c r="L568" s="84"/>
      <c r="M568" s="83"/>
      <c r="N568" s="84"/>
      <c r="O568" s="84"/>
      <c r="P568" s="84"/>
      <c r="Q568" s="84"/>
      <c r="R568" s="84"/>
      <c r="S568" s="86"/>
      <c r="T568" s="84"/>
      <c r="U568" s="84"/>
      <c r="V568" s="86"/>
      <c r="W568" s="84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66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2"/>
      <c r="AY568" s="72"/>
    </row>
    <row r="569" spans="2:51" x14ac:dyDescent="0.25">
      <c r="B569" s="70"/>
      <c r="C569" s="67"/>
      <c r="D569" s="68"/>
      <c r="E569" s="69"/>
      <c r="F569" s="84"/>
      <c r="G569" s="83"/>
      <c r="H569" s="84"/>
      <c r="I569" s="84"/>
      <c r="J569" s="84"/>
      <c r="K569" s="84"/>
      <c r="L569" s="84"/>
      <c r="M569" s="83"/>
      <c r="N569" s="84"/>
      <c r="O569" s="84"/>
      <c r="P569" s="84"/>
      <c r="Q569" s="84"/>
      <c r="R569" s="84"/>
      <c r="S569" s="86"/>
      <c r="T569" s="84"/>
      <c r="U569" s="84"/>
      <c r="V569" s="86"/>
      <c r="W569" s="84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66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2"/>
      <c r="AY569" s="72"/>
    </row>
    <row r="570" spans="2:51" x14ac:dyDescent="0.25">
      <c r="B570" s="70"/>
      <c r="C570" s="67"/>
      <c r="D570" s="68"/>
      <c r="E570" s="69"/>
      <c r="F570" s="84"/>
      <c r="G570" s="83"/>
      <c r="H570" s="84"/>
      <c r="I570" s="84"/>
      <c r="J570" s="84"/>
      <c r="K570" s="84"/>
      <c r="L570" s="84"/>
      <c r="M570" s="83"/>
      <c r="N570" s="84"/>
      <c r="O570" s="84"/>
      <c r="P570" s="84"/>
      <c r="Q570" s="84"/>
      <c r="R570" s="84"/>
      <c r="S570" s="86"/>
      <c r="T570" s="84"/>
      <c r="U570" s="84"/>
      <c r="V570" s="86"/>
      <c r="W570" s="84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66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2"/>
      <c r="AY570" s="72"/>
    </row>
    <row r="571" spans="2:51" x14ac:dyDescent="0.25">
      <c r="B571" s="70"/>
      <c r="C571" s="67"/>
      <c r="D571" s="68"/>
      <c r="E571" s="69"/>
      <c r="F571" s="84"/>
      <c r="G571" s="83"/>
      <c r="H571" s="84"/>
      <c r="I571" s="84"/>
      <c r="J571" s="84"/>
      <c r="K571" s="84"/>
      <c r="L571" s="84"/>
      <c r="M571" s="83"/>
      <c r="N571" s="84"/>
      <c r="O571" s="84"/>
      <c r="P571" s="84"/>
      <c r="Q571" s="84"/>
      <c r="R571" s="84"/>
      <c r="S571" s="86"/>
      <c r="T571" s="84"/>
      <c r="U571" s="84"/>
      <c r="V571" s="86"/>
      <c r="W571" s="84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66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2"/>
      <c r="AY571" s="72"/>
    </row>
    <row r="572" spans="2:51" x14ac:dyDescent="0.25">
      <c r="B572" s="70"/>
      <c r="C572" s="67"/>
      <c r="D572" s="68"/>
      <c r="E572" s="69"/>
      <c r="F572" s="84"/>
      <c r="G572" s="83"/>
      <c r="H572" s="84"/>
      <c r="I572" s="84"/>
      <c r="J572" s="84"/>
      <c r="K572" s="84"/>
      <c r="L572" s="84"/>
      <c r="M572" s="83"/>
      <c r="N572" s="84"/>
      <c r="O572" s="84"/>
      <c r="P572" s="84"/>
      <c r="Q572" s="84"/>
      <c r="R572" s="84"/>
      <c r="S572" s="86"/>
      <c r="T572" s="84"/>
      <c r="U572" s="84"/>
      <c r="V572" s="86"/>
      <c r="W572" s="84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66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2"/>
      <c r="AY572" s="72"/>
    </row>
    <row r="573" spans="2:51" x14ac:dyDescent="0.25">
      <c r="B573" s="70"/>
      <c r="C573" s="67"/>
      <c r="D573" s="68"/>
      <c r="E573" s="69"/>
      <c r="F573" s="84"/>
      <c r="G573" s="83"/>
      <c r="H573" s="84"/>
      <c r="I573" s="84"/>
      <c r="J573" s="84"/>
      <c r="K573" s="84"/>
      <c r="L573" s="84"/>
      <c r="M573" s="83"/>
      <c r="N573" s="84"/>
      <c r="O573" s="84"/>
      <c r="P573" s="84"/>
      <c r="Q573" s="84"/>
      <c r="R573" s="84"/>
      <c r="S573" s="86"/>
      <c r="T573" s="84"/>
      <c r="U573" s="84"/>
      <c r="V573" s="86"/>
      <c r="W573" s="84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66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2"/>
      <c r="AY573" s="72"/>
    </row>
    <row r="574" spans="2:51" x14ac:dyDescent="0.25">
      <c r="B574" s="70"/>
      <c r="C574" s="67"/>
      <c r="D574" s="68"/>
      <c r="E574" s="69"/>
      <c r="F574" s="84"/>
      <c r="G574" s="83"/>
      <c r="H574" s="84"/>
      <c r="I574" s="84"/>
      <c r="J574" s="84"/>
      <c r="K574" s="84"/>
      <c r="L574" s="84"/>
      <c r="M574" s="83"/>
      <c r="N574" s="84"/>
      <c r="O574" s="84"/>
      <c r="P574" s="84"/>
      <c r="Q574" s="84"/>
      <c r="R574" s="84"/>
      <c r="S574" s="86"/>
      <c r="T574" s="84"/>
      <c r="U574" s="84"/>
      <c r="V574" s="86"/>
      <c r="W574" s="84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66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2"/>
      <c r="AY574" s="72"/>
    </row>
    <row r="575" spans="2:51" x14ac:dyDescent="0.25">
      <c r="B575" s="70"/>
      <c r="C575" s="67"/>
      <c r="D575" s="68"/>
      <c r="E575" s="69"/>
      <c r="F575" s="84"/>
      <c r="G575" s="83"/>
      <c r="H575" s="84"/>
      <c r="I575" s="84"/>
      <c r="J575" s="84"/>
      <c r="K575" s="84"/>
      <c r="L575" s="84"/>
      <c r="M575" s="83"/>
      <c r="N575" s="84"/>
      <c r="O575" s="84"/>
      <c r="P575" s="84"/>
      <c r="Q575" s="84"/>
      <c r="R575" s="84"/>
      <c r="S575" s="86"/>
      <c r="T575" s="84"/>
      <c r="U575" s="84"/>
      <c r="V575" s="86"/>
      <c r="W575" s="84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66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2"/>
      <c r="AY575" s="72"/>
    </row>
    <row r="576" spans="2:51" x14ac:dyDescent="0.25">
      <c r="B576" s="70"/>
      <c r="C576" s="67"/>
      <c r="D576" s="68"/>
      <c r="E576" s="69"/>
      <c r="F576" s="84"/>
      <c r="G576" s="83"/>
      <c r="H576" s="84"/>
      <c r="I576" s="84"/>
      <c r="J576" s="84"/>
      <c r="K576" s="84"/>
      <c r="L576" s="84"/>
      <c r="M576" s="83"/>
      <c r="N576" s="84"/>
      <c r="O576" s="84"/>
      <c r="P576" s="84"/>
      <c r="Q576" s="84"/>
      <c r="R576" s="84"/>
      <c r="S576" s="86"/>
      <c r="T576" s="84"/>
      <c r="U576" s="84"/>
      <c r="V576" s="86"/>
      <c r="W576" s="84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66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2"/>
      <c r="AY576" s="72"/>
    </row>
    <row r="577" spans="2:51" x14ac:dyDescent="0.25">
      <c r="B577" s="70"/>
      <c r="C577" s="67"/>
      <c r="D577" s="68"/>
      <c r="E577" s="69"/>
      <c r="F577" s="84"/>
      <c r="G577" s="83"/>
      <c r="H577" s="84"/>
      <c r="I577" s="84"/>
      <c r="J577" s="84"/>
      <c r="K577" s="84"/>
      <c r="L577" s="84"/>
      <c r="M577" s="83"/>
      <c r="N577" s="84"/>
      <c r="O577" s="84"/>
      <c r="P577" s="84"/>
      <c r="Q577" s="84"/>
      <c r="R577" s="84"/>
      <c r="S577" s="86"/>
      <c r="T577" s="84"/>
      <c r="U577" s="84"/>
      <c r="V577" s="86"/>
      <c r="W577" s="84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66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2"/>
      <c r="AY577" s="72"/>
    </row>
    <row r="578" spans="2:51" x14ac:dyDescent="0.25">
      <c r="B578" s="70"/>
      <c r="C578" s="67"/>
      <c r="D578" s="68"/>
      <c r="E578" s="69"/>
      <c r="F578" s="84"/>
      <c r="G578" s="83"/>
      <c r="H578" s="84"/>
      <c r="I578" s="84"/>
      <c r="J578" s="84"/>
      <c r="K578" s="84"/>
      <c r="L578" s="84"/>
      <c r="M578" s="83"/>
      <c r="N578" s="84"/>
      <c r="O578" s="84"/>
      <c r="P578" s="84"/>
      <c r="Q578" s="84"/>
      <c r="R578" s="84"/>
      <c r="S578" s="86"/>
      <c r="T578" s="84"/>
      <c r="U578" s="84"/>
      <c r="V578" s="86"/>
      <c r="W578" s="84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66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2"/>
      <c r="AY578" s="72"/>
    </row>
    <row r="579" spans="2:51" x14ac:dyDescent="0.25">
      <c r="B579" s="70"/>
      <c r="C579" s="67"/>
      <c r="D579" s="68"/>
      <c r="E579" s="69"/>
      <c r="F579" s="84"/>
      <c r="G579" s="83"/>
      <c r="H579" s="84"/>
      <c r="I579" s="84"/>
      <c r="J579" s="84"/>
      <c r="K579" s="84"/>
      <c r="L579" s="84"/>
      <c r="M579" s="83"/>
      <c r="N579" s="84"/>
      <c r="O579" s="84"/>
      <c r="P579" s="84"/>
      <c r="Q579" s="84"/>
      <c r="R579" s="84"/>
      <c r="S579" s="86"/>
      <c r="T579" s="84"/>
      <c r="U579" s="84"/>
      <c r="V579" s="86"/>
      <c r="W579" s="84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66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2"/>
      <c r="AY579" s="72"/>
    </row>
    <row r="580" spans="2:51" x14ac:dyDescent="0.25">
      <c r="B580" s="70"/>
      <c r="C580" s="67"/>
      <c r="D580" s="68"/>
      <c r="E580" s="69"/>
      <c r="F580" s="84"/>
      <c r="G580" s="83"/>
      <c r="H580" s="84"/>
      <c r="I580" s="84"/>
      <c r="J580" s="84"/>
      <c r="K580" s="84"/>
      <c r="L580" s="84"/>
      <c r="M580" s="83"/>
      <c r="N580" s="84"/>
      <c r="O580" s="84"/>
      <c r="P580" s="84"/>
      <c r="Q580" s="84"/>
      <c r="R580" s="84"/>
      <c r="S580" s="86"/>
      <c r="T580" s="84"/>
      <c r="U580" s="84"/>
      <c r="V580" s="86"/>
      <c r="W580" s="84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66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2"/>
      <c r="AY580" s="72"/>
    </row>
    <row r="581" spans="2:51" x14ac:dyDescent="0.25">
      <c r="B581" s="70"/>
      <c r="C581" s="67"/>
      <c r="D581" s="68"/>
      <c r="E581" s="69"/>
      <c r="F581" s="84"/>
      <c r="G581" s="83"/>
      <c r="H581" s="84"/>
      <c r="I581" s="84"/>
      <c r="J581" s="84"/>
      <c r="K581" s="84"/>
      <c r="L581" s="84"/>
      <c r="M581" s="83"/>
      <c r="N581" s="84"/>
      <c r="O581" s="84"/>
      <c r="P581" s="84"/>
      <c r="Q581" s="84"/>
      <c r="R581" s="84"/>
      <c r="S581" s="86"/>
      <c r="T581" s="84"/>
      <c r="U581" s="84"/>
      <c r="V581" s="86"/>
      <c r="W581" s="84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66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2"/>
      <c r="AY581" s="72"/>
    </row>
    <row r="582" spans="2:51" x14ac:dyDescent="0.25">
      <c r="B582" s="70"/>
      <c r="C582" s="67"/>
      <c r="D582" s="68"/>
      <c r="E582" s="69"/>
      <c r="F582" s="84"/>
      <c r="G582" s="83"/>
      <c r="H582" s="84"/>
      <c r="I582" s="84"/>
      <c r="J582" s="84"/>
      <c r="K582" s="84"/>
      <c r="L582" s="84"/>
      <c r="M582" s="83"/>
      <c r="N582" s="84"/>
      <c r="O582" s="84"/>
      <c r="P582" s="84"/>
      <c r="Q582" s="84"/>
      <c r="R582" s="84"/>
      <c r="S582" s="86"/>
      <c r="T582" s="84"/>
      <c r="U582" s="84"/>
      <c r="V582" s="86"/>
      <c r="W582" s="84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66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2"/>
      <c r="AY582" s="72"/>
    </row>
    <row r="583" spans="2:51" x14ac:dyDescent="0.25">
      <c r="B583" s="70"/>
      <c r="C583" s="67"/>
      <c r="D583" s="68"/>
      <c r="E583" s="69"/>
      <c r="F583" s="84"/>
      <c r="G583" s="83"/>
      <c r="H583" s="84"/>
      <c r="I583" s="84"/>
      <c r="J583" s="84"/>
      <c r="K583" s="84"/>
      <c r="L583" s="84"/>
      <c r="M583" s="83"/>
      <c r="N583" s="84"/>
      <c r="O583" s="84"/>
      <c r="P583" s="84"/>
      <c r="Q583" s="84"/>
      <c r="R583" s="84"/>
      <c r="S583" s="86"/>
      <c r="T583" s="84"/>
      <c r="U583" s="84"/>
      <c r="V583" s="86"/>
      <c r="W583" s="84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66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2"/>
      <c r="AY583" s="72"/>
    </row>
    <row r="584" spans="2:51" x14ac:dyDescent="0.25">
      <c r="B584" s="70"/>
      <c r="C584" s="67"/>
      <c r="D584" s="68"/>
      <c r="E584" s="69"/>
      <c r="F584" s="84"/>
      <c r="G584" s="83"/>
      <c r="H584" s="84"/>
      <c r="I584" s="84"/>
      <c r="J584" s="84"/>
      <c r="K584" s="84"/>
      <c r="L584" s="84"/>
      <c r="M584" s="83"/>
      <c r="N584" s="84"/>
      <c r="O584" s="84"/>
      <c r="P584" s="84"/>
      <c r="Q584" s="84"/>
      <c r="R584" s="84"/>
      <c r="S584" s="86"/>
      <c r="T584" s="84"/>
      <c r="U584" s="84"/>
      <c r="V584" s="86"/>
      <c r="W584" s="84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66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2"/>
      <c r="AY584" s="72"/>
    </row>
    <row r="585" spans="2:51" x14ac:dyDescent="0.25">
      <c r="B585" s="70"/>
      <c r="C585" s="67"/>
      <c r="D585" s="68"/>
      <c r="E585" s="69"/>
      <c r="F585" s="84"/>
      <c r="G585" s="83"/>
      <c r="H585" s="84"/>
      <c r="I585" s="84"/>
      <c r="J585" s="84"/>
      <c r="K585" s="84"/>
      <c r="L585" s="84"/>
      <c r="M585" s="83"/>
      <c r="N585" s="84"/>
      <c r="O585" s="84"/>
      <c r="P585" s="84"/>
      <c r="Q585" s="84"/>
      <c r="R585" s="84"/>
      <c r="S585" s="86"/>
      <c r="T585" s="84"/>
      <c r="U585" s="84"/>
      <c r="V585" s="86"/>
      <c r="W585" s="84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66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2"/>
      <c r="AY585" s="72"/>
    </row>
    <row r="586" spans="2:51" x14ac:dyDescent="0.25">
      <c r="B586" s="70"/>
      <c r="C586" s="67"/>
      <c r="D586" s="68"/>
      <c r="E586" s="69"/>
      <c r="F586" s="84"/>
      <c r="G586" s="83"/>
      <c r="H586" s="84"/>
      <c r="I586" s="84"/>
      <c r="J586" s="84"/>
      <c r="K586" s="84"/>
      <c r="L586" s="84"/>
      <c r="M586" s="83"/>
      <c r="N586" s="84"/>
      <c r="O586" s="84"/>
      <c r="P586" s="84"/>
      <c r="Q586" s="84"/>
      <c r="R586" s="84"/>
      <c r="S586" s="86"/>
      <c r="T586" s="84"/>
      <c r="U586" s="84"/>
      <c r="V586" s="86"/>
      <c r="W586" s="84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66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2"/>
      <c r="AY586" s="72"/>
    </row>
    <row r="587" spans="2:51" x14ac:dyDescent="0.25">
      <c r="B587" s="70"/>
      <c r="C587" s="67"/>
      <c r="D587" s="68"/>
      <c r="E587" s="69"/>
      <c r="F587" s="84"/>
      <c r="G587" s="83"/>
      <c r="H587" s="84"/>
      <c r="I587" s="84"/>
      <c r="J587" s="84"/>
      <c r="K587" s="84"/>
      <c r="L587" s="84"/>
      <c r="M587" s="83"/>
      <c r="N587" s="84"/>
      <c r="O587" s="84"/>
      <c r="P587" s="84"/>
      <c r="Q587" s="84"/>
      <c r="R587" s="84"/>
      <c r="S587" s="86"/>
      <c r="T587" s="84"/>
      <c r="U587" s="84"/>
      <c r="V587" s="86"/>
      <c r="W587" s="84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66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2"/>
      <c r="AY587" s="72"/>
    </row>
    <row r="588" spans="2:51" x14ac:dyDescent="0.25">
      <c r="B588" s="70"/>
      <c r="C588" s="67"/>
      <c r="D588" s="68"/>
      <c r="E588" s="69"/>
      <c r="F588" s="84"/>
      <c r="G588" s="83"/>
      <c r="H588" s="84"/>
      <c r="I588" s="84"/>
      <c r="J588" s="84"/>
      <c r="K588" s="84"/>
      <c r="L588" s="84"/>
      <c r="M588" s="83"/>
      <c r="N588" s="84"/>
      <c r="O588" s="84"/>
      <c r="P588" s="84"/>
      <c r="Q588" s="84"/>
      <c r="R588" s="84"/>
      <c r="S588" s="86"/>
      <c r="T588" s="84"/>
      <c r="U588" s="84"/>
      <c r="V588" s="86"/>
      <c r="W588" s="84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66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2"/>
      <c r="AY588" s="72"/>
    </row>
    <row r="589" spans="2:51" x14ac:dyDescent="0.25">
      <c r="B589" s="70"/>
      <c r="C589" s="67"/>
      <c r="D589" s="68"/>
      <c r="E589" s="69"/>
      <c r="F589" s="84"/>
      <c r="G589" s="83"/>
      <c r="H589" s="84"/>
      <c r="I589" s="84"/>
      <c r="J589" s="84"/>
      <c r="K589" s="84"/>
      <c r="L589" s="84"/>
      <c r="M589" s="83"/>
      <c r="N589" s="84"/>
      <c r="O589" s="84"/>
      <c r="P589" s="84"/>
      <c r="Q589" s="84"/>
      <c r="R589" s="84"/>
      <c r="S589" s="86"/>
      <c r="T589" s="84"/>
      <c r="U589" s="84"/>
      <c r="V589" s="86"/>
      <c r="W589" s="84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66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2"/>
      <c r="AY589" s="72"/>
    </row>
    <row r="590" spans="2:51" x14ac:dyDescent="0.25">
      <c r="B590" s="70"/>
      <c r="C590" s="67"/>
      <c r="D590" s="68"/>
      <c r="E590" s="69"/>
      <c r="F590" s="84"/>
      <c r="G590" s="83"/>
      <c r="H590" s="84"/>
      <c r="I590" s="84"/>
      <c r="J590" s="84"/>
      <c r="K590" s="84"/>
      <c r="L590" s="84"/>
      <c r="M590" s="83"/>
      <c r="N590" s="84"/>
      <c r="O590" s="84"/>
      <c r="P590" s="84"/>
      <c r="Q590" s="84"/>
      <c r="R590" s="84"/>
      <c r="S590" s="86"/>
      <c r="T590" s="84"/>
      <c r="U590" s="84"/>
      <c r="V590" s="86"/>
      <c r="W590" s="84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66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2"/>
      <c r="AY590" s="72"/>
    </row>
    <row r="591" spans="2:51" x14ac:dyDescent="0.25">
      <c r="B591" s="70"/>
      <c r="C591" s="67"/>
      <c r="D591" s="68"/>
      <c r="E591" s="69"/>
      <c r="F591" s="84"/>
      <c r="G591" s="83"/>
      <c r="H591" s="84"/>
      <c r="I591" s="84"/>
      <c r="J591" s="84"/>
      <c r="K591" s="84"/>
      <c r="L591" s="84"/>
      <c r="M591" s="83"/>
      <c r="N591" s="84"/>
      <c r="O591" s="84"/>
      <c r="P591" s="84"/>
      <c r="Q591" s="84"/>
      <c r="R591" s="84"/>
      <c r="S591" s="86"/>
      <c r="T591" s="84"/>
      <c r="U591" s="84"/>
      <c r="V591" s="86"/>
      <c r="W591" s="84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66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2"/>
      <c r="AY591" s="72"/>
    </row>
    <row r="592" spans="2:51" x14ac:dyDescent="0.25">
      <c r="B592" s="70"/>
      <c r="C592" s="67"/>
      <c r="D592" s="68"/>
      <c r="E592" s="69"/>
      <c r="F592" s="84"/>
      <c r="G592" s="83"/>
      <c r="H592" s="84"/>
      <c r="I592" s="84"/>
      <c r="J592" s="84"/>
      <c r="K592" s="84"/>
      <c r="L592" s="84"/>
      <c r="M592" s="83"/>
      <c r="N592" s="84"/>
      <c r="O592" s="84"/>
      <c r="P592" s="84"/>
      <c r="Q592" s="84"/>
      <c r="R592" s="84"/>
      <c r="S592" s="86"/>
      <c r="T592" s="84"/>
      <c r="U592" s="84"/>
      <c r="V592" s="86"/>
      <c r="W592" s="84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66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2"/>
      <c r="AY592" s="72"/>
    </row>
    <row r="593" spans="2:51" x14ac:dyDescent="0.25">
      <c r="B593" s="70"/>
      <c r="C593" s="67"/>
      <c r="D593" s="68"/>
      <c r="E593" s="69"/>
      <c r="F593" s="84"/>
      <c r="G593" s="83"/>
      <c r="H593" s="84"/>
      <c r="I593" s="84"/>
      <c r="J593" s="84"/>
      <c r="K593" s="84"/>
      <c r="L593" s="84"/>
      <c r="M593" s="83"/>
      <c r="N593" s="84"/>
      <c r="O593" s="84"/>
      <c r="P593" s="84"/>
      <c r="Q593" s="84"/>
      <c r="R593" s="84"/>
      <c r="S593" s="86"/>
      <c r="T593" s="84"/>
      <c r="U593" s="84"/>
      <c r="V593" s="86"/>
      <c r="W593" s="84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66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2"/>
      <c r="AY593" s="72"/>
    </row>
    <row r="594" spans="2:51" x14ac:dyDescent="0.25">
      <c r="B594" s="70"/>
      <c r="C594" s="67"/>
      <c r="D594" s="68"/>
      <c r="E594" s="69"/>
      <c r="F594" s="84"/>
      <c r="G594" s="83"/>
      <c r="H594" s="84"/>
      <c r="I594" s="84"/>
      <c r="J594" s="84"/>
      <c r="K594" s="84"/>
      <c r="L594" s="84"/>
      <c r="M594" s="83"/>
      <c r="N594" s="84"/>
      <c r="O594" s="84"/>
      <c r="P594" s="84"/>
      <c r="Q594" s="84"/>
      <c r="R594" s="84"/>
      <c r="S594" s="86"/>
      <c r="T594" s="84"/>
      <c r="U594" s="84"/>
      <c r="V594" s="86"/>
      <c r="W594" s="84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66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2"/>
      <c r="AY594" s="72"/>
    </row>
    <row r="595" spans="2:51" x14ac:dyDescent="0.25">
      <c r="B595" s="70"/>
      <c r="C595" s="67"/>
      <c r="D595" s="68"/>
      <c r="E595" s="69"/>
      <c r="F595" s="84"/>
      <c r="G595" s="83"/>
      <c r="H595" s="84"/>
      <c r="I595" s="84"/>
      <c r="J595" s="84"/>
      <c r="K595" s="84"/>
      <c r="L595" s="84"/>
      <c r="M595" s="83"/>
      <c r="N595" s="84"/>
      <c r="O595" s="84"/>
      <c r="P595" s="84"/>
      <c r="Q595" s="84"/>
      <c r="R595" s="84"/>
      <c r="S595" s="86"/>
      <c r="T595" s="84"/>
      <c r="U595" s="84"/>
      <c r="V595" s="86"/>
      <c r="W595" s="84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66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2"/>
      <c r="AY595" s="72"/>
    </row>
    <row r="596" spans="2:51" x14ac:dyDescent="0.25">
      <c r="B596" s="70"/>
      <c r="C596" s="67"/>
      <c r="D596" s="68"/>
      <c r="E596" s="69"/>
      <c r="F596" s="84"/>
      <c r="G596" s="83"/>
      <c r="H596" s="84"/>
      <c r="I596" s="84"/>
      <c r="J596" s="84"/>
      <c r="K596" s="84"/>
      <c r="L596" s="84"/>
      <c r="M596" s="83"/>
      <c r="N596" s="84"/>
      <c r="O596" s="84"/>
      <c r="P596" s="84"/>
      <c r="Q596" s="84"/>
      <c r="R596" s="84"/>
      <c r="S596" s="86"/>
      <c r="T596" s="84"/>
      <c r="U596" s="84"/>
      <c r="V596" s="86"/>
      <c r="W596" s="84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66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2"/>
      <c r="AY596" s="72"/>
    </row>
    <row r="597" spans="2:51" x14ac:dyDescent="0.25">
      <c r="B597" s="70"/>
      <c r="C597" s="67"/>
      <c r="D597" s="68"/>
      <c r="E597" s="69"/>
      <c r="F597" s="84"/>
      <c r="G597" s="83"/>
      <c r="H597" s="84"/>
      <c r="I597" s="84"/>
      <c r="J597" s="84"/>
      <c r="K597" s="84"/>
      <c r="L597" s="84"/>
      <c r="M597" s="83"/>
      <c r="N597" s="84"/>
      <c r="O597" s="84"/>
      <c r="P597" s="84"/>
      <c r="Q597" s="84"/>
      <c r="R597" s="84"/>
      <c r="S597" s="86"/>
      <c r="T597" s="84"/>
      <c r="U597" s="84"/>
      <c r="V597" s="86"/>
      <c r="W597" s="84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66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2"/>
      <c r="AY597" s="72"/>
    </row>
    <row r="598" spans="2:51" x14ac:dyDescent="0.25">
      <c r="B598" s="70"/>
      <c r="C598" s="67"/>
      <c r="D598" s="68"/>
      <c r="E598" s="69"/>
      <c r="F598" s="84"/>
      <c r="G598" s="83"/>
      <c r="H598" s="84"/>
      <c r="I598" s="84"/>
      <c r="J598" s="84"/>
      <c r="K598" s="84"/>
      <c r="L598" s="84"/>
      <c r="M598" s="83"/>
      <c r="N598" s="84"/>
      <c r="O598" s="84"/>
      <c r="P598" s="84"/>
      <c r="Q598" s="84"/>
      <c r="R598" s="84"/>
      <c r="S598" s="86"/>
      <c r="T598" s="84"/>
      <c r="U598" s="84"/>
      <c r="V598" s="86"/>
      <c r="W598" s="84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66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2"/>
      <c r="AY598" s="72"/>
    </row>
    <row r="599" spans="2:51" x14ac:dyDescent="0.25">
      <c r="B599" s="70"/>
      <c r="C599" s="67"/>
      <c r="D599" s="68"/>
      <c r="E599" s="69"/>
      <c r="F599" s="84"/>
      <c r="G599" s="83"/>
      <c r="H599" s="84"/>
      <c r="I599" s="84"/>
      <c r="J599" s="84"/>
      <c r="K599" s="84"/>
      <c r="L599" s="84"/>
      <c r="M599" s="83"/>
      <c r="N599" s="84"/>
      <c r="O599" s="84"/>
      <c r="P599" s="84"/>
      <c r="Q599" s="84"/>
      <c r="R599" s="84"/>
      <c r="S599" s="86"/>
      <c r="T599" s="84"/>
      <c r="U599" s="84"/>
      <c r="V599" s="86"/>
      <c r="W599" s="84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66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2"/>
      <c r="AY599" s="72"/>
    </row>
    <row r="600" spans="2:51" x14ac:dyDescent="0.25">
      <c r="B600" s="70"/>
      <c r="C600" s="67"/>
      <c r="D600" s="68"/>
      <c r="E600" s="69"/>
      <c r="F600" s="84"/>
      <c r="G600" s="83"/>
      <c r="H600" s="84"/>
      <c r="I600" s="84"/>
      <c r="J600" s="84"/>
      <c r="K600" s="84"/>
      <c r="L600" s="84"/>
      <c r="M600" s="83"/>
      <c r="N600" s="84"/>
      <c r="O600" s="84"/>
      <c r="P600" s="84"/>
      <c r="Q600" s="84"/>
      <c r="R600" s="84"/>
      <c r="S600" s="86"/>
      <c r="T600" s="84"/>
      <c r="U600" s="84"/>
      <c r="V600" s="86"/>
      <c r="W600" s="84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66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2"/>
      <c r="AY600" s="72"/>
    </row>
    <row r="601" spans="2:51" x14ac:dyDescent="0.25">
      <c r="B601" s="70"/>
      <c r="C601" s="67"/>
      <c r="D601" s="68"/>
      <c r="E601" s="69"/>
      <c r="F601" s="84"/>
      <c r="G601" s="83"/>
      <c r="H601" s="84"/>
      <c r="I601" s="84"/>
      <c r="J601" s="84"/>
      <c r="K601" s="84"/>
      <c r="L601" s="84"/>
      <c r="M601" s="83"/>
      <c r="N601" s="84"/>
      <c r="O601" s="84"/>
      <c r="P601" s="84"/>
      <c r="Q601" s="84"/>
      <c r="R601" s="84"/>
      <c r="S601" s="86"/>
      <c r="T601" s="84"/>
      <c r="U601" s="84"/>
      <c r="V601" s="86"/>
      <c r="W601" s="84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66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2"/>
      <c r="AY601" s="72"/>
    </row>
    <row r="602" spans="2:51" x14ac:dyDescent="0.25">
      <c r="B602" s="70"/>
      <c r="C602" s="67"/>
      <c r="D602" s="68"/>
      <c r="E602" s="69"/>
      <c r="F602" s="84"/>
      <c r="G602" s="83"/>
      <c r="H602" s="84"/>
      <c r="I602" s="84"/>
      <c r="J602" s="84"/>
      <c r="K602" s="84"/>
      <c r="L602" s="84"/>
      <c r="M602" s="83"/>
      <c r="N602" s="84"/>
      <c r="O602" s="84"/>
      <c r="P602" s="84"/>
      <c r="Q602" s="84"/>
      <c r="R602" s="84"/>
      <c r="S602" s="86"/>
      <c r="T602" s="84"/>
      <c r="U602" s="84"/>
      <c r="V602" s="86"/>
      <c r="W602" s="84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66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2"/>
      <c r="AY602" s="72"/>
    </row>
    <row r="603" spans="2:51" x14ac:dyDescent="0.25">
      <c r="B603" s="70"/>
      <c r="C603" s="67"/>
      <c r="D603" s="68"/>
      <c r="E603" s="69"/>
      <c r="F603" s="84"/>
      <c r="G603" s="83"/>
      <c r="H603" s="84"/>
      <c r="I603" s="84"/>
      <c r="J603" s="84"/>
      <c r="K603" s="84"/>
      <c r="L603" s="84"/>
      <c r="M603" s="83"/>
      <c r="N603" s="84"/>
      <c r="O603" s="84"/>
      <c r="P603" s="84"/>
      <c r="Q603" s="84"/>
      <c r="R603" s="84"/>
      <c r="S603" s="86"/>
      <c r="T603" s="84"/>
      <c r="U603" s="84"/>
      <c r="V603" s="86"/>
      <c r="W603" s="84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66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2"/>
      <c r="AY603" s="72"/>
    </row>
    <row r="604" spans="2:51" x14ac:dyDescent="0.25">
      <c r="B604" s="70"/>
      <c r="C604" s="67"/>
      <c r="D604" s="68"/>
      <c r="E604" s="69"/>
      <c r="F604" s="84"/>
      <c r="G604" s="83"/>
      <c r="H604" s="84"/>
      <c r="I604" s="84"/>
      <c r="J604" s="84"/>
      <c r="K604" s="84"/>
      <c r="L604" s="84"/>
      <c r="M604" s="83"/>
      <c r="N604" s="84"/>
      <c r="O604" s="84"/>
      <c r="P604" s="84"/>
      <c r="Q604" s="84"/>
      <c r="R604" s="84"/>
      <c r="S604" s="86"/>
      <c r="T604" s="84"/>
      <c r="U604" s="84"/>
      <c r="V604" s="86"/>
      <c r="W604" s="84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66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2"/>
      <c r="AY604" s="72"/>
    </row>
    <row r="605" spans="2:51" x14ac:dyDescent="0.25">
      <c r="B605" s="70"/>
      <c r="C605" s="67"/>
      <c r="D605" s="68"/>
      <c r="E605" s="69"/>
      <c r="F605" s="84"/>
      <c r="G605" s="83"/>
      <c r="H605" s="84"/>
      <c r="I605" s="84"/>
      <c r="J605" s="84"/>
      <c r="K605" s="84"/>
      <c r="L605" s="84"/>
      <c r="M605" s="83"/>
      <c r="N605" s="84"/>
      <c r="O605" s="84"/>
      <c r="P605" s="84"/>
      <c r="Q605" s="84"/>
      <c r="R605" s="84"/>
      <c r="S605" s="86"/>
      <c r="T605" s="84"/>
      <c r="U605" s="84"/>
      <c r="V605" s="86"/>
      <c r="W605" s="84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66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2"/>
      <c r="AY605" s="72"/>
    </row>
    <row r="606" spans="2:51" x14ac:dyDescent="0.25">
      <c r="B606" s="70"/>
      <c r="C606" s="67"/>
      <c r="D606" s="68"/>
      <c r="E606" s="69"/>
      <c r="F606" s="84"/>
      <c r="G606" s="83"/>
      <c r="H606" s="84"/>
      <c r="I606" s="84"/>
      <c r="J606" s="84"/>
      <c r="K606" s="84"/>
      <c r="L606" s="84"/>
      <c r="M606" s="83"/>
      <c r="N606" s="84"/>
      <c r="O606" s="84"/>
      <c r="P606" s="84"/>
      <c r="Q606" s="84"/>
      <c r="R606" s="84"/>
      <c r="S606" s="86"/>
      <c r="T606" s="84"/>
      <c r="U606" s="84"/>
      <c r="V606" s="86"/>
      <c r="W606" s="84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66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2"/>
      <c r="AY606" s="72"/>
    </row>
    <row r="607" spans="2:51" x14ac:dyDescent="0.25">
      <c r="B607" s="70"/>
      <c r="C607" s="67"/>
      <c r="D607" s="68"/>
      <c r="E607" s="69"/>
      <c r="F607" s="84"/>
      <c r="G607" s="83"/>
      <c r="H607" s="84"/>
      <c r="I607" s="84"/>
      <c r="J607" s="84"/>
      <c r="K607" s="84"/>
      <c r="L607" s="84"/>
      <c r="M607" s="83"/>
      <c r="N607" s="84"/>
      <c r="O607" s="84"/>
      <c r="P607" s="84"/>
      <c r="Q607" s="84"/>
      <c r="R607" s="84"/>
      <c r="S607" s="86"/>
      <c r="T607" s="84"/>
      <c r="U607" s="84"/>
      <c r="V607" s="86"/>
      <c r="W607" s="84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66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2"/>
      <c r="AY607" s="72"/>
    </row>
    <row r="608" spans="2:51" x14ac:dyDescent="0.25">
      <c r="B608" s="70"/>
      <c r="C608" s="67"/>
      <c r="D608" s="68"/>
      <c r="E608" s="69"/>
      <c r="F608" s="84"/>
      <c r="G608" s="83"/>
      <c r="H608" s="84"/>
      <c r="I608" s="84"/>
      <c r="J608" s="84"/>
      <c r="K608" s="84"/>
      <c r="L608" s="84"/>
      <c r="M608" s="83"/>
      <c r="N608" s="84"/>
      <c r="O608" s="84"/>
      <c r="P608" s="84"/>
      <c r="Q608" s="84"/>
      <c r="R608" s="84"/>
      <c r="S608" s="86"/>
      <c r="T608" s="84"/>
      <c r="U608" s="84"/>
      <c r="V608" s="86"/>
      <c r="W608" s="84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66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2"/>
      <c r="AY608" s="72"/>
    </row>
    <row r="609" spans="2:51" x14ac:dyDescent="0.25">
      <c r="B609" s="70"/>
      <c r="C609" s="67"/>
      <c r="D609" s="68"/>
      <c r="E609" s="69"/>
      <c r="F609" s="84"/>
      <c r="G609" s="83"/>
      <c r="H609" s="84"/>
      <c r="I609" s="84"/>
      <c r="J609" s="84"/>
      <c r="K609" s="84"/>
      <c r="L609" s="84"/>
      <c r="M609" s="83"/>
      <c r="N609" s="84"/>
      <c r="O609" s="84"/>
      <c r="P609" s="84"/>
      <c r="Q609" s="84"/>
      <c r="R609" s="84"/>
      <c r="S609" s="86"/>
      <c r="T609" s="84"/>
      <c r="U609" s="84"/>
      <c r="V609" s="86"/>
      <c r="W609" s="84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66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2"/>
      <c r="AY609" s="72"/>
    </row>
    <row r="610" spans="2:51" x14ac:dyDescent="0.25">
      <c r="B610" s="70"/>
      <c r="C610" s="67"/>
      <c r="D610" s="68"/>
      <c r="E610" s="69"/>
      <c r="F610" s="84"/>
      <c r="G610" s="83"/>
      <c r="H610" s="84"/>
      <c r="I610" s="84"/>
      <c r="J610" s="84"/>
      <c r="K610" s="84"/>
      <c r="L610" s="84"/>
      <c r="M610" s="83"/>
      <c r="N610" s="84"/>
      <c r="O610" s="84"/>
      <c r="P610" s="84"/>
      <c r="Q610" s="84"/>
      <c r="R610" s="84"/>
      <c r="S610" s="86"/>
      <c r="T610" s="84"/>
      <c r="U610" s="84"/>
      <c r="V610" s="86"/>
      <c r="W610" s="84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66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2"/>
      <c r="AY610" s="72"/>
    </row>
    <row r="611" spans="2:51" x14ac:dyDescent="0.25">
      <c r="B611" s="70"/>
      <c r="C611" s="67"/>
      <c r="D611" s="68"/>
      <c r="E611" s="69"/>
      <c r="F611" s="84"/>
      <c r="G611" s="83"/>
      <c r="H611" s="84"/>
      <c r="I611" s="84"/>
      <c r="J611" s="84"/>
      <c r="K611" s="84"/>
      <c r="L611" s="84"/>
      <c r="M611" s="83"/>
      <c r="N611" s="84"/>
      <c r="O611" s="84"/>
      <c r="P611" s="84"/>
      <c r="Q611" s="84"/>
      <c r="R611" s="84"/>
      <c r="S611" s="86"/>
      <c r="T611" s="84"/>
      <c r="U611" s="84"/>
      <c r="V611" s="86"/>
      <c r="W611" s="84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66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2"/>
      <c r="AY611" s="72"/>
    </row>
    <row r="612" spans="2:51" x14ac:dyDescent="0.25">
      <c r="B612" s="70"/>
      <c r="C612" s="67"/>
      <c r="D612" s="68"/>
      <c r="E612" s="69"/>
      <c r="F612" s="84"/>
      <c r="G612" s="83"/>
      <c r="H612" s="84"/>
      <c r="I612" s="84"/>
      <c r="J612" s="84"/>
      <c r="K612" s="84"/>
      <c r="L612" s="84"/>
      <c r="M612" s="83"/>
      <c r="N612" s="84"/>
      <c r="O612" s="84"/>
      <c r="P612" s="84"/>
      <c r="Q612" s="84"/>
      <c r="R612" s="84"/>
      <c r="S612" s="86"/>
      <c r="T612" s="84"/>
      <c r="U612" s="84"/>
      <c r="V612" s="86"/>
      <c r="W612" s="84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66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2"/>
      <c r="AY612" s="72"/>
    </row>
    <row r="613" spans="2:51" x14ac:dyDescent="0.25">
      <c r="B613" s="70"/>
      <c r="C613" s="67"/>
      <c r="D613" s="68"/>
      <c r="E613" s="69"/>
      <c r="F613" s="84"/>
      <c r="G613" s="83"/>
      <c r="H613" s="84"/>
      <c r="I613" s="84"/>
      <c r="J613" s="84"/>
      <c r="K613" s="84"/>
      <c r="L613" s="84"/>
      <c r="M613" s="83"/>
      <c r="N613" s="84"/>
      <c r="O613" s="84"/>
      <c r="P613" s="84"/>
      <c r="Q613" s="84"/>
      <c r="R613" s="84"/>
      <c r="S613" s="86"/>
      <c r="T613" s="84"/>
      <c r="U613" s="84"/>
      <c r="V613" s="86"/>
      <c r="W613" s="84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66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2"/>
      <c r="AY613" s="72"/>
    </row>
    <row r="614" spans="2:51" x14ac:dyDescent="0.25">
      <c r="B614" s="70"/>
      <c r="C614" s="67"/>
      <c r="D614" s="68"/>
      <c r="E614" s="69"/>
      <c r="F614" s="84"/>
      <c r="G614" s="83"/>
      <c r="H614" s="84"/>
      <c r="I614" s="84"/>
      <c r="J614" s="84"/>
      <c r="K614" s="84"/>
      <c r="L614" s="84"/>
      <c r="M614" s="83"/>
      <c r="N614" s="84"/>
      <c r="O614" s="84"/>
      <c r="P614" s="84"/>
      <c r="Q614" s="84"/>
      <c r="R614" s="84"/>
      <c r="S614" s="86"/>
      <c r="T614" s="84"/>
      <c r="U614" s="84"/>
      <c r="V614" s="86"/>
      <c r="W614" s="84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66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2"/>
      <c r="AY614" s="72"/>
    </row>
    <row r="615" spans="2:51" x14ac:dyDescent="0.25">
      <c r="B615" s="70"/>
      <c r="C615" s="67"/>
      <c r="D615" s="68"/>
      <c r="E615" s="69"/>
      <c r="F615" s="84"/>
      <c r="G615" s="83"/>
      <c r="H615" s="84"/>
      <c r="I615" s="84"/>
      <c r="J615" s="84"/>
      <c r="K615" s="84"/>
      <c r="L615" s="84"/>
      <c r="M615" s="83"/>
      <c r="N615" s="84"/>
      <c r="O615" s="84"/>
      <c r="P615" s="84"/>
      <c r="Q615" s="84"/>
      <c r="R615" s="84"/>
      <c r="S615" s="86"/>
      <c r="T615" s="84"/>
      <c r="U615" s="84"/>
      <c r="V615" s="86"/>
      <c r="W615" s="84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66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2"/>
      <c r="AY615" s="72"/>
    </row>
    <row r="616" spans="2:51" x14ac:dyDescent="0.25">
      <c r="B616" s="70"/>
      <c r="C616" s="67"/>
      <c r="D616" s="68"/>
      <c r="E616" s="69"/>
      <c r="F616" s="84"/>
      <c r="G616" s="83"/>
      <c r="H616" s="84"/>
      <c r="I616" s="84"/>
      <c r="J616" s="84"/>
      <c r="K616" s="84"/>
      <c r="L616" s="84"/>
      <c r="M616" s="83"/>
      <c r="N616" s="84"/>
      <c r="O616" s="84"/>
      <c r="P616" s="84"/>
      <c r="Q616" s="84"/>
      <c r="R616" s="84"/>
      <c r="S616" s="86"/>
      <c r="T616" s="84"/>
      <c r="U616" s="84"/>
      <c r="V616" s="86"/>
      <c r="W616" s="84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66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2"/>
      <c r="AY616" s="72"/>
    </row>
    <row r="617" spans="2:51" x14ac:dyDescent="0.25">
      <c r="B617" s="70"/>
      <c r="C617" s="67"/>
      <c r="D617" s="68"/>
      <c r="E617" s="69"/>
      <c r="F617" s="84"/>
      <c r="G617" s="83"/>
      <c r="H617" s="84"/>
      <c r="I617" s="84"/>
      <c r="J617" s="84"/>
      <c r="K617" s="84"/>
      <c r="L617" s="84"/>
      <c r="M617" s="83"/>
      <c r="N617" s="84"/>
      <c r="O617" s="84"/>
      <c r="P617" s="84"/>
      <c r="Q617" s="84"/>
      <c r="R617" s="84"/>
      <c r="S617" s="86"/>
      <c r="T617" s="84"/>
      <c r="U617" s="84"/>
      <c r="V617" s="86"/>
      <c r="W617" s="84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66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2"/>
      <c r="AY617" s="72"/>
    </row>
    <row r="618" spans="2:51" x14ac:dyDescent="0.25">
      <c r="B618" s="70"/>
      <c r="C618" s="67"/>
      <c r="D618" s="68"/>
      <c r="E618" s="69"/>
      <c r="F618" s="84"/>
      <c r="G618" s="83"/>
      <c r="H618" s="84"/>
      <c r="I618" s="84"/>
      <c r="J618" s="84"/>
      <c r="K618" s="84"/>
      <c r="L618" s="84"/>
      <c r="M618" s="83"/>
      <c r="N618" s="84"/>
      <c r="O618" s="84"/>
      <c r="P618" s="84"/>
      <c r="Q618" s="84"/>
      <c r="R618" s="84"/>
      <c r="S618" s="86"/>
      <c r="T618" s="84"/>
      <c r="U618" s="84"/>
      <c r="V618" s="86"/>
      <c r="W618" s="84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66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2"/>
      <c r="AY618" s="72"/>
    </row>
    <row r="619" spans="2:51" x14ac:dyDescent="0.25">
      <c r="B619" s="70"/>
      <c r="C619" s="67"/>
      <c r="D619" s="68"/>
      <c r="E619" s="69"/>
      <c r="F619" s="84"/>
      <c r="G619" s="83"/>
      <c r="H619" s="84"/>
      <c r="I619" s="84"/>
      <c r="J619" s="84"/>
      <c r="K619" s="84"/>
      <c r="L619" s="84"/>
      <c r="M619" s="83"/>
      <c r="N619" s="84"/>
      <c r="O619" s="84"/>
      <c r="P619" s="84"/>
      <c r="Q619" s="84"/>
      <c r="R619" s="84"/>
      <c r="S619" s="86"/>
      <c r="T619" s="84"/>
      <c r="U619" s="84"/>
      <c r="V619" s="86"/>
      <c r="W619" s="84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66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2"/>
      <c r="AY619" s="72"/>
    </row>
    <row r="620" spans="2:51" x14ac:dyDescent="0.25">
      <c r="B620" s="70"/>
      <c r="C620" s="67"/>
      <c r="D620" s="68"/>
      <c r="E620" s="69"/>
      <c r="F620" s="84"/>
      <c r="G620" s="83"/>
      <c r="H620" s="84"/>
      <c r="I620" s="84"/>
      <c r="J620" s="84"/>
      <c r="K620" s="84"/>
      <c r="L620" s="84"/>
      <c r="M620" s="83"/>
      <c r="N620" s="84"/>
      <c r="O620" s="84"/>
      <c r="P620" s="84"/>
      <c r="Q620" s="84"/>
      <c r="R620" s="84"/>
      <c r="S620" s="86"/>
      <c r="T620" s="84"/>
      <c r="U620" s="84"/>
      <c r="V620" s="86"/>
      <c r="W620" s="84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66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2"/>
      <c r="AY620" s="72"/>
    </row>
    <row r="621" spans="2:51" x14ac:dyDescent="0.25">
      <c r="B621" s="70"/>
      <c r="C621" s="67"/>
      <c r="D621" s="68"/>
      <c r="E621" s="69"/>
      <c r="F621" s="84"/>
      <c r="G621" s="83"/>
      <c r="H621" s="84"/>
      <c r="I621" s="84"/>
      <c r="J621" s="84"/>
      <c r="K621" s="84"/>
      <c r="L621" s="84"/>
      <c r="M621" s="83"/>
      <c r="N621" s="84"/>
      <c r="O621" s="84"/>
      <c r="P621" s="84"/>
      <c r="Q621" s="84"/>
      <c r="R621" s="84"/>
      <c r="S621" s="86"/>
      <c r="T621" s="84"/>
      <c r="U621" s="84"/>
      <c r="V621" s="86"/>
      <c r="W621" s="84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66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2"/>
      <c r="AY621" s="72"/>
    </row>
    <row r="622" spans="2:51" x14ac:dyDescent="0.25">
      <c r="B622" s="70"/>
      <c r="C622" s="67"/>
      <c r="D622" s="68"/>
      <c r="E622" s="69"/>
      <c r="F622" s="84"/>
      <c r="G622" s="83"/>
      <c r="H622" s="84"/>
      <c r="I622" s="84"/>
      <c r="J622" s="84"/>
      <c r="K622" s="84"/>
      <c r="L622" s="84"/>
      <c r="M622" s="83"/>
      <c r="N622" s="84"/>
      <c r="O622" s="84"/>
      <c r="P622" s="84"/>
      <c r="Q622" s="84"/>
      <c r="R622" s="84"/>
      <c r="S622" s="86"/>
      <c r="T622" s="84"/>
      <c r="U622" s="84"/>
      <c r="V622" s="86"/>
      <c r="W622" s="84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66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2"/>
      <c r="AY622" s="72"/>
    </row>
    <row r="623" spans="2:51" x14ac:dyDescent="0.25">
      <c r="B623" s="70"/>
      <c r="C623" s="67"/>
      <c r="D623" s="68"/>
      <c r="E623" s="69"/>
      <c r="F623" s="84"/>
      <c r="G623" s="83"/>
      <c r="H623" s="84"/>
      <c r="I623" s="84"/>
      <c r="J623" s="84"/>
      <c r="K623" s="84"/>
      <c r="L623" s="84"/>
      <c r="M623" s="83"/>
      <c r="N623" s="84"/>
      <c r="O623" s="84"/>
      <c r="P623" s="84"/>
      <c r="Q623" s="84"/>
      <c r="R623" s="84"/>
      <c r="S623" s="86"/>
      <c r="T623" s="84"/>
      <c r="U623" s="84"/>
      <c r="V623" s="86"/>
      <c r="W623" s="84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66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2"/>
      <c r="AY623" s="72"/>
    </row>
    <row r="624" spans="2:51" x14ac:dyDescent="0.25">
      <c r="B624" s="70"/>
      <c r="C624" s="67"/>
      <c r="D624" s="68"/>
      <c r="E624" s="69"/>
      <c r="F624" s="84"/>
      <c r="G624" s="83"/>
      <c r="H624" s="84"/>
      <c r="I624" s="84"/>
      <c r="J624" s="84"/>
      <c r="K624" s="84"/>
      <c r="L624" s="84"/>
      <c r="M624" s="83"/>
      <c r="N624" s="84"/>
      <c r="O624" s="84"/>
      <c r="P624" s="84"/>
      <c r="Q624" s="84"/>
      <c r="R624" s="84"/>
      <c r="S624" s="86"/>
      <c r="T624" s="84"/>
      <c r="U624" s="84"/>
      <c r="V624" s="86"/>
      <c r="W624" s="84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66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2"/>
      <c r="AY624" s="72"/>
    </row>
    <row r="625" spans="2:51" x14ac:dyDescent="0.25">
      <c r="B625" s="70"/>
      <c r="C625" s="67"/>
      <c r="D625" s="68"/>
      <c r="E625" s="69"/>
      <c r="F625" s="84"/>
      <c r="G625" s="83"/>
      <c r="H625" s="84"/>
      <c r="I625" s="84"/>
      <c r="J625" s="84"/>
      <c r="K625" s="84"/>
      <c r="L625" s="84"/>
      <c r="M625" s="83"/>
      <c r="N625" s="84"/>
      <c r="O625" s="84"/>
      <c r="P625" s="84"/>
      <c r="Q625" s="84"/>
      <c r="R625" s="84"/>
      <c r="S625" s="86"/>
      <c r="T625" s="84"/>
      <c r="U625" s="84"/>
      <c r="V625" s="86"/>
      <c r="W625" s="84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66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2"/>
      <c r="AY625" s="72"/>
    </row>
    <row r="626" spans="2:51" x14ac:dyDescent="0.25">
      <c r="B626" s="70"/>
      <c r="C626" s="67"/>
      <c r="D626" s="68"/>
      <c r="E626" s="69"/>
      <c r="F626" s="84"/>
      <c r="G626" s="83"/>
      <c r="H626" s="84"/>
      <c r="I626" s="84"/>
      <c r="J626" s="84"/>
      <c r="K626" s="84"/>
      <c r="L626" s="84"/>
      <c r="M626" s="83"/>
      <c r="N626" s="84"/>
      <c r="O626" s="84"/>
      <c r="P626" s="84"/>
      <c r="Q626" s="84"/>
      <c r="R626" s="84"/>
      <c r="S626" s="86"/>
      <c r="T626" s="84"/>
      <c r="U626" s="84"/>
      <c r="V626" s="86"/>
      <c r="W626" s="84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66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2"/>
      <c r="AY626" s="72"/>
    </row>
    <row r="627" spans="2:51" x14ac:dyDescent="0.25">
      <c r="B627" s="70"/>
      <c r="C627" s="67"/>
      <c r="D627" s="68"/>
      <c r="E627" s="69"/>
      <c r="F627" s="84"/>
      <c r="G627" s="83"/>
      <c r="H627" s="84"/>
      <c r="I627" s="84"/>
      <c r="J627" s="84"/>
      <c r="K627" s="84"/>
      <c r="L627" s="84"/>
      <c r="M627" s="83"/>
      <c r="N627" s="84"/>
      <c r="O627" s="84"/>
      <c r="P627" s="84"/>
      <c r="Q627" s="84"/>
      <c r="R627" s="84"/>
      <c r="S627" s="86"/>
      <c r="T627" s="84"/>
      <c r="U627" s="84"/>
      <c r="V627" s="86"/>
      <c r="W627" s="84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66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2"/>
      <c r="AY627" s="72"/>
    </row>
    <row r="628" spans="2:51" x14ac:dyDescent="0.25">
      <c r="B628" s="70"/>
      <c r="C628" s="67"/>
      <c r="D628" s="68"/>
      <c r="E628" s="69"/>
      <c r="F628" s="84"/>
      <c r="G628" s="83"/>
      <c r="H628" s="84"/>
      <c r="I628" s="84"/>
      <c r="J628" s="84"/>
      <c r="K628" s="84"/>
      <c r="L628" s="84"/>
      <c r="M628" s="83"/>
      <c r="N628" s="84"/>
      <c r="O628" s="84"/>
      <c r="P628" s="84"/>
      <c r="Q628" s="84"/>
      <c r="R628" s="84"/>
      <c r="S628" s="86"/>
      <c r="T628" s="84"/>
      <c r="U628" s="84"/>
      <c r="V628" s="86"/>
      <c r="W628" s="84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66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2"/>
      <c r="AY628" s="72"/>
    </row>
    <row r="629" spans="2:51" x14ac:dyDescent="0.25">
      <c r="B629" s="70"/>
      <c r="C629" s="67"/>
      <c r="D629" s="68"/>
      <c r="E629" s="69"/>
      <c r="F629" s="84"/>
      <c r="G629" s="83"/>
      <c r="H629" s="84"/>
      <c r="I629" s="84"/>
      <c r="J629" s="84"/>
      <c r="K629" s="84"/>
      <c r="L629" s="84"/>
      <c r="M629" s="83"/>
      <c r="N629" s="84"/>
      <c r="O629" s="84"/>
      <c r="P629" s="84"/>
      <c r="Q629" s="84"/>
      <c r="R629" s="84"/>
      <c r="S629" s="86"/>
      <c r="T629" s="84"/>
      <c r="U629" s="84"/>
      <c r="V629" s="86"/>
      <c r="W629" s="84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66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2"/>
      <c r="AY629" s="72"/>
    </row>
    <row r="630" spans="2:51" x14ac:dyDescent="0.25">
      <c r="B630" s="70"/>
      <c r="C630" s="67"/>
      <c r="D630" s="68"/>
      <c r="E630" s="69"/>
      <c r="F630" s="84"/>
      <c r="G630" s="83"/>
      <c r="H630" s="84"/>
      <c r="I630" s="84"/>
      <c r="J630" s="84"/>
      <c r="K630" s="84"/>
      <c r="L630" s="84"/>
      <c r="M630" s="83"/>
      <c r="N630" s="84"/>
      <c r="O630" s="84"/>
      <c r="P630" s="84"/>
      <c r="Q630" s="84"/>
      <c r="R630" s="84"/>
      <c r="S630" s="86"/>
      <c r="T630" s="84"/>
      <c r="U630" s="84"/>
      <c r="V630" s="86"/>
      <c r="W630" s="84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66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2"/>
      <c r="AY630" s="72"/>
    </row>
    <row r="631" spans="2:51" x14ac:dyDescent="0.25">
      <c r="B631" s="70"/>
      <c r="C631" s="67"/>
      <c r="D631" s="68"/>
      <c r="E631" s="69"/>
      <c r="F631" s="84"/>
      <c r="G631" s="83"/>
      <c r="H631" s="84"/>
      <c r="I631" s="84"/>
      <c r="J631" s="84"/>
      <c r="K631" s="84"/>
      <c r="L631" s="84"/>
      <c r="M631" s="83"/>
      <c r="N631" s="84"/>
      <c r="O631" s="84"/>
      <c r="P631" s="84"/>
      <c r="Q631" s="84"/>
      <c r="R631" s="84"/>
      <c r="S631" s="86"/>
      <c r="T631" s="84"/>
      <c r="U631" s="84"/>
      <c r="V631" s="86"/>
      <c r="W631" s="84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66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2"/>
      <c r="AY631" s="72"/>
    </row>
    <row r="632" spans="2:51" x14ac:dyDescent="0.25">
      <c r="B632" s="70"/>
      <c r="C632" s="67"/>
      <c r="D632" s="68"/>
      <c r="E632" s="69"/>
      <c r="F632" s="84"/>
      <c r="G632" s="83"/>
      <c r="H632" s="84"/>
      <c r="I632" s="84"/>
      <c r="J632" s="84"/>
      <c r="K632" s="84"/>
      <c r="L632" s="84"/>
      <c r="M632" s="83"/>
      <c r="N632" s="84"/>
      <c r="O632" s="84"/>
      <c r="P632" s="84"/>
      <c r="Q632" s="84"/>
      <c r="R632" s="84"/>
      <c r="S632" s="86"/>
      <c r="T632" s="84"/>
      <c r="U632" s="84"/>
      <c r="V632" s="86"/>
      <c r="W632" s="84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66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2"/>
      <c r="AY632" s="72"/>
    </row>
    <row r="633" spans="2:51" x14ac:dyDescent="0.25">
      <c r="B633" s="70"/>
      <c r="C633" s="67"/>
      <c r="D633" s="68"/>
      <c r="E633" s="69"/>
      <c r="F633" s="84"/>
      <c r="G633" s="83"/>
      <c r="H633" s="84"/>
      <c r="I633" s="84"/>
      <c r="J633" s="84"/>
      <c r="K633" s="84"/>
      <c r="L633" s="84"/>
      <c r="M633" s="83"/>
      <c r="N633" s="84"/>
      <c r="O633" s="84"/>
      <c r="P633" s="84"/>
      <c r="Q633" s="84"/>
      <c r="R633" s="84"/>
      <c r="S633" s="86"/>
      <c r="T633" s="84"/>
      <c r="U633" s="84"/>
      <c r="V633" s="86"/>
      <c r="W633" s="84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66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2"/>
      <c r="AY633" s="72"/>
    </row>
    <row r="634" spans="2:51" x14ac:dyDescent="0.25">
      <c r="B634" s="70"/>
      <c r="C634" s="67"/>
      <c r="D634" s="68"/>
      <c r="E634" s="69"/>
      <c r="F634" s="84"/>
      <c r="G634" s="83"/>
      <c r="H634" s="84"/>
      <c r="I634" s="84"/>
      <c r="J634" s="84"/>
      <c r="K634" s="84"/>
      <c r="L634" s="84"/>
      <c r="M634" s="83"/>
      <c r="N634" s="84"/>
      <c r="O634" s="84"/>
      <c r="P634" s="84"/>
      <c r="Q634" s="84"/>
      <c r="R634" s="84"/>
      <c r="S634" s="86"/>
      <c r="T634" s="84"/>
      <c r="U634" s="84"/>
      <c r="V634" s="86"/>
      <c r="W634" s="84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66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2"/>
      <c r="AY634" s="72"/>
    </row>
    <row r="635" spans="2:51" x14ac:dyDescent="0.25">
      <c r="B635" s="70"/>
      <c r="C635" s="67"/>
      <c r="D635" s="68"/>
      <c r="E635" s="69"/>
      <c r="F635" s="84"/>
      <c r="G635" s="83"/>
      <c r="H635" s="84"/>
      <c r="I635" s="84"/>
      <c r="J635" s="84"/>
      <c r="K635" s="84"/>
      <c r="L635" s="84"/>
      <c r="M635" s="83"/>
      <c r="N635" s="84"/>
      <c r="O635" s="84"/>
      <c r="P635" s="84"/>
      <c r="Q635" s="84"/>
      <c r="R635" s="84"/>
      <c r="S635" s="86"/>
      <c r="T635" s="84"/>
      <c r="U635" s="84"/>
      <c r="V635" s="86"/>
      <c r="W635" s="84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66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2"/>
      <c r="AY635" s="72"/>
    </row>
    <row r="636" spans="2:51" x14ac:dyDescent="0.25">
      <c r="B636" s="70"/>
      <c r="C636" s="67"/>
      <c r="D636" s="68"/>
      <c r="E636" s="69"/>
      <c r="F636" s="84"/>
      <c r="G636" s="83"/>
      <c r="H636" s="84"/>
      <c r="I636" s="84"/>
      <c r="J636" s="84"/>
      <c r="K636" s="84"/>
      <c r="L636" s="84"/>
      <c r="M636" s="83"/>
      <c r="N636" s="84"/>
      <c r="O636" s="84"/>
      <c r="P636" s="84"/>
      <c r="Q636" s="84"/>
      <c r="R636" s="84"/>
      <c r="S636" s="86"/>
      <c r="T636" s="84"/>
      <c r="U636" s="84"/>
      <c r="V636" s="86"/>
      <c r="W636" s="84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66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2"/>
      <c r="AY636" s="72"/>
    </row>
    <row r="637" spans="2:51" x14ac:dyDescent="0.25">
      <c r="B637" s="70"/>
      <c r="C637" s="67"/>
      <c r="D637" s="68"/>
      <c r="E637" s="69"/>
      <c r="F637" s="84"/>
      <c r="G637" s="83"/>
      <c r="H637" s="84"/>
      <c r="I637" s="84"/>
      <c r="J637" s="84"/>
      <c r="K637" s="84"/>
      <c r="L637" s="84"/>
      <c r="M637" s="83"/>
      <c r="N637" s="84"/>
      <c r="O637" s="84"/>
      <c r="P637" s="84"/>
      <c r="Q637" s="84"/>
      <c r="R637" s="84"/>
      <c r="S637" s="86"/>
      <c r="T637" s="84"/>
      <c r="U637" s="84"/>
      <c r="V637" s="86"/>
      <c r="W637" s="84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66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2"/>
      <c r="AY637" s="72"/>
    </row>
    <row r="638" spans="2:51" x14ac:dyDescent="0.25">
      <c r="B638" s="70"/>
      <c r="C638" s="67"/>
      <c r="D638" s="68"/>
      <c r="E638" s="69"/>
      <c r="F638" s="84"/>
      <c r="G638" s="83"/>
      <c r="H638" s="84"/>
      <c r="I638" s="84"/>
      <c r="J638" s="84"/>
      <c r="K638" s="84"/>
      <c r="L638" s="84"/>
      <c r="M638" s="83"/>
      <c r="N638" s="84"/>
      <c r="O638" s="84"/>
      <c r="P638" s="84"/>
      <c r="Q638" s="84"/>
      <c r="R638" s="84"/>
      <c r="S638" s="86"/>
      <c r="T638" s="84"/>
      <c r="U638" s="84"/>
      <c r="V638" s="86"/>
      <c r="W638" s="84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66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2"/>
      <c r="AY638" s="72"/>
    </row>
    <row r="639" spans="2:51" x14ac:dyDescent="0.25">
      <c r="B639" s="70"/>
      <c r="C639" s="67"/>
      <c r="D639" s="68"/>
      <c r="E639" s="69"/>
      <c r="F639" s="84"/>
      <c r="G639" s="83"/>
      <c r="H639" s="84"/>
      <c r="I639" s="84"/>
      <c r="J639" s="84"/>
      <c r="K639" s="84"/>
      <c r="L639" s="84"/>
      <c r="M639" s="83"/>
      <c r="N639" s="84"/>
      <c r="O639" s="84"/>
      <c r="P639" s="84"/>
      <c r="Q639" s="84"/>
      <c r="R639" s="84"/>
      <c r="S639" s="86"/>
      <c r="T639" s="84"/>
      <c r="U639" s="84"/>
      <c r="V639" s="86"/>
      <c r="W639" s="84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66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2"/>
      <c r="AY639" s="72"/>
    </row>
    <row r="640" spans="2:51" x14ac:dyDescent="0.25">
      <c r="B640" s="70"/>
      <c r="C640" s="67"/>
      <c r="D640" s="68"/>
      <c r="E640" s="69"/>
      <c r="F640" s="84"/>
      <c r="G640" s="83"/>
      <c r="H640" s="84"/>
      <c r="I640" s="84"/>
      <c r="J640" s="84"/>
      <c r="K640" s="84"/>
      <c r="L640" s="84"/>
      <c r="M640" s="83"/>
      <c r="N640" s="84"/>
      <c r="O640" s="84"/>
      <c r="P640" s="84"/>
      <c r="Q640" s="84"/>
      <c r="R640" s="84"/>
      <c r="S640" s="86"/>
      <c r="T640" s="84"/>
      <c r="U640" s="84"/>
      <c r="V640" s="86"/>
      <c r="W640" s="84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66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2"/>
      <c r="AY640" s="72"/>
    </row>
    <row r="641" spans="2:51" x14ac:dyDescent="0.25">
      <c r="B641" s="70"/>
      <c r="C641" s="67"/>
      <c r="D641" s="68"/>
      <c r="E641" s="69"/>
      <c r="F641" s="84"/>
      <c r="G641" s="83"/>
      <c r="H641" s="84"/>
      <c r="I641" s="84"/>
      <c r="J641" s="84"/>
      <c r="K641" s="84"/>
      <c r="L641" s="84"/>
      <c r="M641" s="83"/>
      <c r="N641" s="84"/>
      <c r="O641" s="84"/>
      <c r="P641" s="84"/>
      <c r="Q641" s="84"/>
      <c r="R641" s="84"/>
      <c r="S641" s="86"/>
      <c r="T641" s="84"/>
      <c r="U641" s="84"/>
      <c r="V641" s="86"/>
      <c r="W641" s="84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66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2"/>
      <c r="AY641" s="72"/>
    </row>
    <row r="642" spans="2:51" x14ac:dyDescent="0.25">
      <c r="B642" s="70"/>
      <c r="C642" s="67"/>
      <c r="D642" s="68"/>
      <c r="E642" s="69"/>
      <c r="F642" s="84"/>
      <c r="G642" s="83"/>
      <c r="H642" s="84"/>
      <c r="I642" s="84"/>
      <c r="J642" s="84"/>
      <c r="K642" s="84"/>
      <c r="L642" s="84"/>
      <c r="M642" s="83"/>
      <c r="N642" s="84"/>
      <c r="O642" s="84"/>
      <c r="P642" s="84"/>
      <c r="Q642" s="84"/>
      <c r="R642" s="84"/>
      <c r="S642" s="86"/>
      <c r="T642" s="84"/>
      <c r="U642" s="84"/>
      <c r="V642" s="86"/>
      <c r="W642" s="84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66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2"/>
      <c r="AY642" s="72"/>
    </row>
    <row r="643" spans="2:51" x14ac:dyDescent="0.25">
      <c r="B643" s="70"/>
      <c r="C643" s="67"/>
      <c r="D643" s="68"/>
      <c r="E643" s="69"/>
      <c r="F643" s="84"/>
      <c r="G643" s="83"/>
      <c r="H643" s="84"/>
      <c r="I643" s="84"/>
      <c r="J643" s="84"/>
      <c r="K643" s="84"/>
      <c r="L643" s="84"/>
      <c r="M643" s="83"/>
      <c r="N643" s="84"/>
      <c r="O643" s="84"/>
      <c r="P643" s="84"/>
      <c r="Q643" s="84"/>
      <c r="R643" s="84"/>
      <c r="S643" s="86"/>
      <c r="T643" s="84"/>
      <c r="U643" s="84"/>
      <c r="V643" s="86"/>
      <c r="W643" s="84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66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2"/>
      <c r="AY643" s="72"/>
    </row>
    <row r="644" spans="2:51" x14ac:dyDescent="0.25">
      <c r="B644" s="70"/>
      <c r="C644" s="67"/>
      <c r="D644" s="68"/>
      <c r="E644" s="69"/>
      <c r="F644" s="84"/>
      <c r="G644" s="83"/>
      <c r="H644" s="84"/>
      <c r="I644" s="84"/>
      <c r="J644" s="84"/>
      <c r="K644" s="84"/>
      <c r="L644" s="84"/>
      <c r="M644" s="83"/>
      <c r="N644" s="84"/>
      <c r="O644" s="84"/>
      <c r="P644" s="84"/>
      <c r="Q644" s="84"/>
      <c r="R644" s="84"/>
      <c r="S644" s="86"/>
      <c r="T644" s="84"/>
      <c r="U644" s="84"/>
      <c r="V644" s="86"/>
      <c r="W644" s="84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66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2"/>
      <c r="AY644" s="72"/>
    </row>
    <row r="645" spans="2:51" x14ac:dyDescent="0.25">
      <c r="B645" s="70"/>
      <c r="C645" s="67"/>
      <c r="D645" s="68"/>
      <c r="E645" s="69"/>
      <c r="F645" s="84"/>
      <c r="G645" s="83"/>
      <c r="H645" s="84"/>
      <c r="I645" s="84"/>
      <c r="J645" s="84"/>
      <c r="K645" s="84"/>
      <c r="L645" s="84"/>
      <c r="M645" s="83"/>
      <c r="N645" s="84"/>
      <c r="O645" s="84"/>
      <c r="P645" s="84"/>
      <c r="Q645" s="84"/>
      <c r="R645" s="84"/>
      <c r="S645" s="86"/>
      <c r="T645" s="84"/>
      <c r="U645" s="84"/>
      <c r="V645" s="86"/>
      <c r="W645" s="84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66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2"/>
      <c r="AY645" s="72"/>
    </row>
    <row r="646" spans="2:51" x14ac:dyDescent="0.25">
      <c r="B646" s="70"/>
      <c r="C646" s="67"/>
      <c r="D646" s="68"/>
      <c r="E646" s="69"/>
      <c r="F646" s="84"/>
      <c r="G646" s="83"/>
      <c r="H646" s="84"/>
      <c r="I646" s="84"/>
      <c r="J646" s="84"/>
      <c r="K646" s="84"/>
      <c r="L646" s="84"/>
      <c r="M646" s="83"/>
      <c r="N646" s="84"/>
      <c r="O646" s="84"/>
      <c r="P646" s="84"/>
      <c r="Q646" s="84"/>
      <c r="R646" s="84"/>
      <c r="S646" s="86"/>
      <c r="T646" s="84"/>
      <c r="U646" s="84"/>
      <c r="V646" s="86"/>
      <c r="W646" s="84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66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2"/>
      <c r="AY646" s="72"/>
    </row>
    <row r="647" spans="2:51" x14ac:dyDescent="0.25">
      <c r="B647" s="70"/>
      <c r="C647" s="67"/>
      <c r="D647" s="68"/>
      <c r="E647" s="69"/>
      <c r="F647" s="84"/>
      <c r="G647" s="83"/>
      <c r="H647" s="84"/>
      <c r="I647" s="84"/>
      <c r="J647" s="84"/>
      <c r="K647" s="84"/>
      <c r="L647" s="84"/>
      <c r="M647" s="83"/>
      <c r="N647" s="84"/>
      <c r="O647" s="84"/>
      <c r="P647" s="84"/>
      <c r="Q647" s="84"/>
      <c r="R647" s="84"/>
      <c r="S647" s="86"/>
      <c r="T647" s="84"/>
      <c r="U647" s="84"/>
      <c r="V647" s="86"/>
      <c r="W647" s="84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66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2"/>
      <c r="AY647" s="72"/>
    </row>
    <row r="648" spans="2:51" x14ac:dyDescent="0.25">
      <c r="B648" s="70"/>
      <c r="C648" s="67"/>
      <c r="D648" s="68"/>
      <c r="E648" s="69"/>
      <c r="F648" s="84"/>
      <c r="G648" s="83"/>
      <c r="H648" s="84"/>
      <c r="I648" s="84"/>
      <c r="J648" s="84"/>
      <c r="K648" s="84"/>
      <c r="L648" s="84"/>
      <c r="M648" s="83"/>
      <c r="N648" s="84"/>
      <c r="O648" s="84"/>
      <c r="P648" s="84"/>
      <c r="Q648" s="84"/>
      <c r="R648" s="84"/>
      <c r="S648" s="86"/>
      <c r="T648" s="84"/>
      <c r="U648" s="84"/>
      <c r="V648" s="86"/>
      <c r="W648" s="84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66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2"/>
      <c r="AY648" s="72"/>
    </row>
    <row r="649" spans="2:51" x14ac:dyDescent="0.25">
      <c r="B649" s="70"/>
      <c r="C649" s="67"/>
      <c r="D649" s="68"/>
      <c r="E649" s="69"/>
      <c r="F649" s="84"/>
      <c r="G649" s="83"/>
      <c r="H649" s="84"/>
      <c r="I649" s="84"/>
      <c r="J649" s="84"/>
      <c r="K649" s="84"/>
      <c r="L649" s="84"/>
      <c r="M649" s="83"/>
      <c r="N649" s="84"/>
      <c r="O649" s="84"/>
      <c r="P649" s="84"/>
      <c r="Q649" s="84"/>
      <c r="R649" s="84"/>
      <c r="S649" s="86"/>
      <c r="T649" s="84"/>
      <c r="U649" s="84"/>
      <c r="V649" s="86"/>
      <c r="W649" s="84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66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2"/>
      <c r="AY649" s="72"/>
    </row>
    <row r="650" spans="2:51" x14ac:dyDescent="0.25">
      <c r="B650" s="70"/>
      <c r="C650" s="67"/>
      <c r="D650" s="68"/>
      <c r="E650" s="69"/>
      <c r="F650" s="84"/>
      <c r="G650" s="83"/>
      <c r="H650" s="84"/>
      <c r="I650" s="84"/>
      <c r="J650" s="84"/>
      <c r="K650" s="84"/>
      <c r="L650" s="84"/>
      <c r="M650" s="83"/>
      <c r="N650" s="84"/>
      <c r="O650" s="84"/>
      <c r="P650" s="84"/>
      <c r="Q650" s="84"/>
      <c r="R650" s="84"/>
      <c r="S650" s="86"/>
      <c r="T650" s="84"/>
      <c r="U650" s="84"/>
      <c r="V650" s="86"/>
      <c r="W650" s="84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66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2"/>
      <c r="AY650" s="72"/>
    </row>
    <row r="651" spans="2:51" x14ac:dyDescent="0.25">
      <c r="B651" s="70"/>
      <c r="C651" s="67"/>
      <c r="D651" s="68"/>
      <c r="E651" s="69"/>
      <c r="F651" s="84"/>
      <c r="G651" s="83"/>
      <c r="H651" s="84"/>
      <c r="I651" s="84"/>
      <c r="J651" s="84"/>
      <c r="K651" s="84"/>
      <c r="L651" s="84"/>
      <c r="M651" s="83"/>
      <c r="N651" s="84"/>
      <c r="O651" s="84"/>
      <c r="P651" s="84"/>
      <c r="Q651" s="84"/>
      <c r="R651" s="84"/>
      <c r="S651" s="86"/>
      <c r="T651" s="84"/>
      <c r="U651" s="84"/>
      <c r="V651" s="86"/>
      <c r="W651" s="84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66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2"/>
      <c r="AY651" s="72"/>
    </row>
    <row r="652" spans="2:51" x14ac:dyDescent="0.25">
      <c r="B652" s="70"/>
      <c r="C652" s="67"/>
      <c r="D652" s="68"/>
      <c r="E652" s="69"/>
      <c r="F652" s="84"/>
      <c r="G652" s="83"/>
      <c r="H652" s="84"/>
      <c r="I652" s="84"/>
      <c r="J652" s="84"/>
      <c r="K652" s="84"/>
      <c r="L652" s="84"/>
      <c r="M652" s="83"/>
      <c r="N652" s="84"/>
      <c r="O652" s="84"/>
      <c r="P652" s="84"/>
      <c r="Q652" s="84"/>
      <c r="R652" s="84"/>
      <c r="S652" s="86"/>
      <c r="T652" s="84"/>
      <c r="U652" s="84"/>
      <c r="V652" s="86"/>
      <c r="W652" s="84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66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2"/>
      <c r="AY652" s="72"/>
    </row>
    <row r="653" spans="2:51" x14ac:dyDescent="0.25">
      <c r="B653" s="70"/>
      <c r="C653" s="67"/>
      <c r="D653" s="68"/>
      <c r="E653" s="69"/>
      <c r="F653" s="84"/>
      <c r="G653" s="83"/>
      <c r="H653" s="84"/>
      <c r="I653" s="84"/>
      <c r="J653" s="84"/>
      <c r="K653" s="84"/>
      <c r="L653" s="84"/>
      <c r="M653" s="83"/>
      <c r="N653" s="84"/>
      <c r="O653" s="84"/>
      <c r="P653" s="84"/>
      <c r="Q653" s="84"/>
      <c r="R653" s="84"/>
      <c r="S653" s="86"/>
      <c r="T653" s="84"/>
      <c r="U653" s="84"/>
      <c r="V653" s="86"/>
      <c r="W653" s="84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66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2"/>
      <c r="AY653" s="72"/>
    </row>
    <row r="654" spans="2:51" x14ac:dyDescent="0.25">
      <c r="B654" s="70"/>
      <c r="C654" s="67"/>
      <c r="D654" s="68"/>
      <c r="E654" s="69"/>
      <c r="F654" s="84"/>
      <c r="G654" s="83"/>
      <c r="H654" s="84"/>
      <c r="I654" s="84"/>
      <c r="J654" s="84"/>
      <c r="K654" s="84"/>
      <c r="L654" s="84"/>
      <c r="M654" s="83"/>
      <c r="N654" s="84"/>
      <c r="O654" s="84"/>
      <c r="P654" s="84"/>
      <c r="Q654" s="84"/>
      <c r="R654" s="84"/>
      <c r="S654" s="86"/>
      <c r="T654" s="84"/>
      <c r="U654" s="84"/>
      <c r="V654" s="86"/>
      <c r="W654" s="84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66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2"/>
      <c r="AY654" s="72"/>
    </row>
    <row r="655" spans="2:51" x14ac:dyDescent="0.25">
      <c r="B655" s="70"/>
      <c r="C655" s="67"/>
      <c r="D655" s="68"/>
      <c r="E655" s="69"/>
      <c r="F655" s="84"/>
      <c r="G655" s="83"/>
      <c r="H655" s="84"/>
      <c r="I655" s="84"/>
      <c r="J655" s="84"/>
      <c r="K655" s="84"/>
      <c r="L655" s="84"/>
      <c r="M655" s="83"/>
      <c r="N655" s="84"/>
      <c r="O655" s="84"/>
      <c r="P655" s="84"/>
      <c r="Q655" s="84"/>
      <c r="R655" s="84"/>
      <c r="S655" s="86"/>
      <c r="T655" s="84"/>
      <c r="U655" s="84"/>
      <c r="V655" s="86"/>
      <c r="W655" s="84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66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2"/>
      <c r="AY655" s="72"/>
    </row>
    <row r="656" spans="2:51" x14ac:dyDescent="0.25">
      <c r="B656" s="70"/>
      <c r="C656" s="67"/>
      <c r="D656" s="68"/>
      <c r="E656" s="69"/>
      <c r="F656" s="84"/>
      <c r="G656" s="83"/>
      <c r="H656" s="84"/>
      <c r="I656" s="84"/>
      <c r="J656" s="84"/>
      <c r="K656" s="84"/>
      <c r="L656" s="84"/>
      <c r="M656" s="83"/>
      <c r="N656" s="84"/>
      <c r="O656" s="84"/>
      <c r="P656" s="84"/>
      <c r="Q656" s="84"/>
      <c r="R656" s="84"/>
      <c r="S656" s="86"/>
      <c r="T656" s="84"/>
      <c r="U656" s="84"/>
      <c r="V656" s="86"/>
      <c r="W656" s="84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66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2"/>
      <c r="AY656" s="72"/>
    </row>
    <row r="657" spans="2:51" x14ac:dyDescent="0.25">
      <c r="B657" s="70"/>
      <c r="C657" s="67"/>
      <c r="D657" s="68"/>
      <c r="E657" s="69"/>
      <c r="F657" s="84"/>
      <c r="G657" s="83"/>
      <c r="H657" s="84"/>
      <c r="I657" s="84"/>
      <c r="J657" s="84"/>
      <c r="K657" s="84"/>
      <c r="L657" s="84"/>
      <c r="M657" s="83"/>
      <c r="N657" s="84"/>
      <c r="O657" s="84"/>
      <c r="P657" s="84"/>
      <c r="Q657" s="84"/>
      <c r="R657" s="84"/>
      <c r="S657" s="86"/>
      <c r="T657" s="84"/>
      <c r="U657" s="84"/>
      <c r="V657" s="86"/>
      <c r="W657" s="84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66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2"/>
      <c r="AY657" s="72"/>
    </row>
    <row r="658" spans="2:51" x14ac:dyDescent="0.25">
      <c r="B658" s="70"/>
      <c r="C658" s="67"/>
      <c r="D658" s="68"/>
      <c r="E658" s="69"/>
      <c r="F658" s="84"/>
      <c r="G658" s="83"/>
      <c r="H658" s="84"/>
      <c r="I658" s="84"/>
      <c r="J658" s="84"/>
      <c r="K658" s="84"/>
      <c r="L658" s="84"/>
      <c r="M658" s="83"/>
      <c r="N658" s="84"/>
      <c r="O658" s="84"/>
      <c r="P658" s="84"/>
      <c r="Q658" s="84"/>
      <c r="R658" s="84"/>
      <c r="S658" s="86"/>
      <c r="T658" s="84"/>
      <c r="U658" s="84"/>
      <c r="V658" s="86"/>
      <c r="W658" s="84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66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2"/>
      <c r="AY658" s="72"/>
    </row>
    <row r="659" spans="2:51" x14ac:dyDescent="0.25">
      <c r="B659" s="70"/>
      <c r="C659" s="67"/>
      <c r="D659" s="68"/>
      <c r="E659" s="69"/>
      <c r="F659" s="84"/>
      <c r="G659" s="83"/>
      <c r="H659" s="84"/>
      <c r="I659" s="84"/>
      <c r="J659" s="84"/>
      <c r="K659" s="84"/>
      <c r="L659" s="84"/>
      <c r="M659" s="83"/>
      <c r="N659" s="84"/>
      <c r="O659" s="84"/>
      <c r="P659" s="84"/>
      <c r="Q659" s="84"/>
      <c r="R659" s="84"/>
      <c r="S659" s="86"/>
      <c r="T659" s="84"/>
      <c r="U659" s="84"/>
      <c r="V659" s="86"/>
      <c r="W659" s="84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66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2"/>
      <c r="AY659" s="72"/>
    </row>
    <row r="660" spans="2:51" x14ac:dyDescent="0.25">
      <c r="B660" s="70"/>
      <c r="C660" s="67"/>
      <c r="D660" s="68"/>
      <c r="E660" s="69"/>
      <c r="F660" s="84"/>
      <c r="G660" s="83"/>
      <c r="H660" s="84"/>
      <c r="I660" s="84"/>
      <c r="J660" s="84"/>
      <c r="K660" s="84"/>
      <c r="L660" s="84"/>
      <c r="M660" s="83"/>
      <c r="N660" s="84"/>
      <c r="O660" s="84"/>
      <c r="P660" s="84"/>
      <c r="Q660" s="84"/>
      <c r="R660" s="84"/>
      <c r="S660" s="86"/>
      <c r="T660" s="84"/>
      <c r="U660" s="84"/>
      <c r="V660" s="86"/>
      <c r="W660" s="84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66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2"/>
      <c r="AY660" s="72"/>
    </row>
    <row r="661" spans="2:51" x14ac:dyDescent="0.25">
      <c r="B661" s="70"/>
      <c r="C661" s="67"/>
      <c r="D661" s="68"/>
      <c r="E661" s="69"/>
      <c r="F661" s="84"/>
      <c r="G661" s="83"/>
      <c r="H661" s="84"/>
      <c r="I661" s="84"/>
      <c r="J661" s="84"/>
      <c r="K661" s="84"/>
      <c r="L661" s="84"/>
      <c r="M661" s="83"/>
      <c r="N661" s="84"/>
      <c r="O661" s="84"/>
      <c r="P661" s="84"/>
      <c r="Q661" s="84"/>
      <c r="R661" s="84"/>
      <c r="S661" s="86"/>
      <c r="T661" s="84"/>
      <c r="U661" s="84"/>
      <c r="V661" s="86"/>
      <c r="W661" s="84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66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2"/>
      <c r="AY661" s="72"/>
    </row>
    <row r="662" spans="2:51" x14ac:dyDescent="0.25">
      <c r="B662" s="70"/>
      <c r="C662" s="67"/>
      <c r="D662" s="68"/>
      <c r="E662" s="69"/>
      <c r="F662" s="84"/>
      <c r="G662" s="83"/>
      <c r="H662" s="84"/>
      <c r="I662" s="84"/>
      <c r="J662" s="84"/>
      <c r="K662" s="84"/>
      <c r="L662" s="84"/>
      <c r="M662" s="83"/>
      <c r="N662" s="84"/>
      <c r="O662" s="84"/>
      <c r="P662" s="84"/>
      <c r="Q662" s="84"/>
      <c r="R662" s="84"/>
      <c r="S662" s="86"/>
      <c r="T662" s="84"/>
      <c r="U662" s="84"/>
      <c r="V662" s="86"/>
      <c r="W662" s="84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66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2"/>
      <c r="AY662" s="72"/>
    </row>
    <row r="663" spans="2:51" x14ac:dyDescent="0.25">
      <c r="B663" s="70"/>
      <c r="C663" s="67"/>
      <c r="D663" s="68"/>
      <c r="E663" s="69"/>
      <c r="F663" s="84"/>
      <c r="G663" s="83"/>
      <c r="H663" s="84"/>
      <c r="I663" s="84"/>
      <c r="J663" s="84"/>
      <c r="K663" s="84"/>
      <c r="L663" s="84"/>
      <c r="M663" s="83"/>
      <c r="N663" s="84"/>
      <c r="O663" s="84"/>
      <c r="P663" s="84"/>
      <c r="Q663" s="84"/>
      <c r="R663" s="84"/>
      <c r="S663" s="86"/>
      <c r="T663" s="84"/>
      <c r="U663" s="84"/>
      <c r="V663" s="86"/>
      <c r="W663" s="84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66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2"/>
      <c r="AY663" s="72"/>
    </row>
    <row r="664" spans="2:51" x14ac:dyDescent="0.25">
      <c r="B664" s="70"/>
      <c r="C664" s="67"/>
      <c r="D664" s="68"/>
      <c r="E664" s="69"/>
      <c r="F664" s="84"/>
      <c r="G664" s="83"/>
      <c r="H664" s="84"/>
      <c r="I664" s="84"/>
      <c r="J664" s="84"/>
      <c r="K664" s="84"/>
      <c r="L664" s="84"/>
      <c r="M664" s="83"/>
      <c r="N664" s="84"/>
      <c r="O664" s="84"/>
      <c r="P664" s="84"/>
      <c r="Q664" s="84"/>
      <c r="R664" s="84"/>
      <c r="S664" s="86"/>
      <c r="T664" s="84"/>
      <c r="U664" s="84"/>
      <c r="V664" s="86"/>
      <c r="W664" s="84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66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2"/>
      <c r="AY664" s="72"/>
    </row>
    <row r="665" spans="2:51" x14ac:dyDescent="0.25">
      <c r="B665" s="70"/>
      <c r="C665" s="67"/>
      <c r="D665" s="68"/>
      <c r="E665" s="69"/>
      <c r="F665" s="84"/>
      <c r="G665" s="83"/>
      <c r="H665" s="84"/>
      <c r="I665" s="84"/>
      <c r="J665" s="84"/>
      <c r="K665" s="84"/>
      <c r="L665" s="84"/>
      <c r="M665" s="83"/>
      <c r="N665" s="84"/>
      <c r="O665" s="84"/>
      <c r="P665" s="84"/>
      <c r="Q665" s="84"/>
      <c r="R665" s="84"/>
      <c r="S665" s="86"/>
      <c r="T665" s="84"/>
      <c r="U665" s="84"/>
      <c r="V665" s="86"/>
      <c r="W665" s="84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66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2"/>
      <c r="AY665" s="72"/>
    </row>
    <row r="666" spans="2:51" x14ac:dyDescent="0.25">
      <c r="B666" s="70"/>
      <c r="C666" s="67"/>
      <c r="D666" s="68"/>
      <c r="E666" s="69"/>
      <c r="F666" s="84"/>
      <c r="G666" s="83"/>
      <c r="H666" s="84"/>
      <c r="I666" s="84"/>
      <c r="J666" s="84"/>
      <c r="K666" s="84"/>
      <c r="L666" s="84"/>
      <c r="M666" s="83"/>
      <c r="N666" s="84"/>
      <c r="O666" s="84"/>
      <c r="P666" s="84"/>
      <c r="Q666" s="84"/>
      <c r="R666" s="84"/>
      <c r="S666" s="86"/>
      <c r="T666" s="84"/>
      <c r="U666" s="84"/>
      <c r="V666" s="86"/>
      <c r="W666" s="84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66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2"/>
      <c r="AY666" s="72"/>
    </row>
    <row r="667" spans="2:51" x14ac:dyDescent="0.25">
      <c r="B667" s="70"/>
      <c r="C667" s="67"/>
      <c r="D667" s="68"/>
      <c r="E667" s="69"/>
      <c r="F667" s="84"/>
      <c r="G667" s="83"/>
      <c r="H667" s="84"/>
      <c r="I667" s="84"/>
      <c r="J667" s="84"/>
      <c r="K667" s="84"/>
      <c r="L667" s="84"/>
      <c r="M667" s="83"/>
      <c r="N667" s="84"/>
      <c r="O667" s="84"/>
      <c r="P667" s="84"/>
      <c r="Q667" s="84"/>
      <c r="R667" s="84"/>
      <c r="S667" s="86"/>
      <c r="T667" s="84"/>
      <c r="U667" s="84"/>
      <c r="V667" s="86"/>
      <c r="W667" s="84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66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2"/>
      <c r="AY667" s="72"/>
    </row>
    <row r="668" spans="2:51" x14ac:dyDescent="0.25">
      <c r="B668" s="70"/>
      <c r="C668" s="67"/>
      <c r="D668" s="68"/>
      <c r="E668" s="69"/>
      <c r="F668" s="84"/>
      <c r="G668" s="83"/>
      <c r="H668" s="84"/>
      <c r="I668" s="84"/>
      <c r="J668" s="84"/>
      <c r="K668" s="84"/>
      <c r="L668" s="84"/>
      <c r="M668" s="83"/>
      <c r="N668" s="84"/>
      <c r="O668" s="84"/>
      <c r="P668" s="84"/>
      <c r="Q668" s="84"/>
      <c r="R668" s="84"/>
      <c r="S668" s="86"/>
      <c r="T668" s="84"/>
      <c r="U668" s="84"/>
      <c r="V668" s="86"/>
      <c r="W668" s="84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66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2"/>
      <c r="AY668" s="72"/>
    </row>
    <row r="669" spans="2:51" x14ac:dyDescent="0.25">
      <c r="B669" s="70"/>
      <c r="C669" s="67"/>
      <c r="D669" s="68"/>
      <c r="E669" s="69"/>
      <c r="F669" s="84"/>
      <c r="G669" s="83"/>
      <c r="H669" s="84"/>
      <c r="I669" s="84"/>
      <c r="J669" s="84"/>
      <c r="K669" s="84"/>
      <c r="L669" s="84"/>
      <c r="M669" s="83"/>
      <c r="N669" s="84"/>
      <c r="O669" s="84"/>
      <c r="P669" s="84"/>
      <c r="Q669" s="84"/>
      <c r="R669" s="84"/>
      <c r="S669" s="86"/>
      <c r="T669" s="84"/>
      <c r="U669" s="84"/>
      <c r="V669" s="86"/>
      <c r="W669" s="84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66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2"/>
      <c r="AY669" s="72"/>
    </row>
    <row r="670" spans="2:51" x14ac:dyDescent="0.25">
      <c r="B670" s="70"/>
      <c r="C670" s="67"/>
      <c r="D670" s="68"/>
      <c r="E670" s="69"/>
      <c r="F670" s="84"/>
      <c r="G670" s="83"/>
      <c r="H670" s="84"/>
      <c r="I670" s="84"/>
      <c r="J670" s="84"/>
      <c r="K670" s="84"/>
      <c r="L670" s="84"/>
      <c r="M670" s="83"/>
      <c r="N670" s="84"/>
      <c r="O670" s="84"/>
      <c r="P670" s="84"/>
      <c r="Q670" s="84"/>
      <c r="R670" s="84"/>
      <c r="S670" s="86"/>
      <c r="T670" s="84"/>
      <c r="U670" s="84"/>
      <c r="V670" s="86"/>
      <c r="W670" s="84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66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2"/>
      <c r="AY670" s="72"/>
    </row>
    <row r="671" spans="2:51" x14ac:dyDescent="0.25">
      <c r="B671" s="70"/>
      <c r="C671" s="67"/>
      <c r="D671" s="68"/>
      <c r="E671" s="69"/>
      <c r="F671" s="84"/>
      <c r="G671" s="83"/>
      <c r="H671" s="84"/>
      <c r="I671" s="84"/>
      <c r="J671" s="84"/>
      <c r="K671" s="84"/>
      <c r="L671" s="84"/>
      <c r="M671" s="83"/>
      <c r="N671" s="84"/>
      <c r="O671" s="84"/>
      <c r="P671" s="84"/>
      <c r="Q671" s="84"/>
      <c r="R671" s="84"/>
      <c r="S671" s="86"/>
      <c r="T671" s="84"/>
      <c r="U671" s="84"/>
      <c r="V671" s="86"/>
      <c r="W671" s="84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66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2"/>
      <c r="AY671" s="72"/>
    </row>
    <row r="672" spans="2:51" x14ac:dyDescent="0.25">
      <c r="B672" s="70"/>
      <c r="C672" s="67"/>
      <c r="D672" s="68"/>
      <c r="E672" s="69"/>
      <c r="F672" s="84"/>
      <c r="G672" s="83"/>
      <c r="H672" s="84"/>
      <c r="I672" s="84"/>
      <c r="J672" s="84"/>
      <c r="K672" s="84"/>
      <c r="L672" s="84"/>
      <c r="M672" s="83"/>
      <c r="N672" s="84"/>
      <c r="O672" s="84"/>
      <c r="P672" s="84"/>
      <c r="Q672" s="84"/>
      <c r="R672" s="84"/>
      <c r="S672" s="86"/>
      <c r="T672" s="84"/>
      <c r="U672" s="84"/>
      <c r="V672" s="86"/>
      <c r="W672" s="84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66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2"/>
      <c r="AY672" s="72"/>
    </row>
    <row r="673" spans="2:51" x14ac:dyDescent="0.25">
      <c r="B673" s="70"/>
      <c r="C673" s="67"/>
      <c r="D673" s="68"/>
      <c r="E673" s="69"/>
      <c r="F673" s="84"/>
      <c r="G673" s="83"/>
      <c r="H673" s="84"/>
      <c r="I673" s="84"/>
      <c r="J673" s="84"/>
      <c r="K673" s="84"/>
      <c r="L673" s="84"/>
      <c r="M673" s="83"/>
      <c r="N673" s="84"/>
      <c r="O673" s="84"/>
      <c r="P673" s="84"/>
      <c r="Q673" s="84"/>
      <c r="R673" s="84"/>
      <c r="S673" s="86"/>
      <c r="T673" s="84"/>
      <c r="U673" s="84"/>
      <c r="V673" s="86"/>
      <c r="W673" s="84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66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2"/>
      <c r="AY673" s="72"/>
    </row>
    <row r="674" spans="2:51" x14ac:dyDescent="0.25">
      <c r="B674" s="70"/>
      <c r="C674" s="67"/>
      <c r="D674" s="68"/>
      <c r="E674" s="69"/>
      <c r="F674" s="84"/>
      <c r="G674" s="83"/>
      <c r="H674" s="84"/>
      <c r="I674" s="84"/>
      <c r="J674" s="84"/>
      <c r="K674" s="84"/>
      <c r="L674" s="84"/>
      <c r="M674" s="83"/>
      <c r="N674" s="84"/>
      <c r="O674" s="84"/>
      <c r="P674" s="84"/>
      <c r="Q674" s="84"/>
      <c r="R674" s="84"/>
      <c r="S674" s="86"/>
      <c r="T674" s="84"/>
      <c r="U674" s="84"/>
      <c r="V674" s="86"/>
      <c r="W674" s="84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66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2"/>
      <c r="AY674" s="72"/>
    </row>
    <row r="675" spans="2:51" x14ac:dyDescent="0.25">
      <c r="B675" s="70"/>
      <c r="C675" s="67"/>
      <c r="D675" s="68"/>
      <c r="E675" s="69"/>
      <c r="F675" s="84"/>
      <c r="G675" s="83"/>
      <c r="H675" s="84"/>
      <c r="I675" s="84"/>
      <c r="J675" s="84"/>
      <c r="K675" s="84"/>
      <c r="L675" s="84"/>
      <c r="M675" s="83"/>
      <c r="N675" s="84"/>
      <c r="O675" s="84"/>
      <c r="P675" s="84"/>
      <c r="Q675" s="84"/>
      <c r="R675" s="84"/>
      <c r="S675" s="86"/>
      <c r="T675" s="84"/>
      <c r="U675" s="84"/>
      <c r="V675" s="86"/>
      <c r="W675" s="84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66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2"/>
      <c r="AY675" s="72"/>
    </row>
    <row r="676" spans="2:51" x14ac:dyDescent="0.25">
      <c r="B676" s="70"/>
      <c r="C676" s="67"/>
      <c r="D676" s="68"/>
      <c r="E676" s="69"/>
      <c r="F676" s="84"/>
      <c r="G676" s="83"/>
      <c r="H676" s="84"/>
      <c r="I676" s="84"/>
      <c r="J676" s="84"/>
      <c r="K676" s="84"/>
      <c r="L676" s="84"/>
      <c r="M676" s="83"/>
      <c r="N676" s="84"/>
      <c r="O676" s="84"/>
      <c r="P676" s="84"/>
      <c r="Q676" s="84"/>
      <c r="R676" s="84"/>
      <c r="S676" s="86"/>
      <c r="T676" s="84"/>
      <c r="U676" s="84"/>
      <c r="V676" s="86"/>
      <c r="W676" s="84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66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2"/>
      <c r="AY676" s="72"/>
    </row>
    <row r="677" spans="2:51" x14ac:dyDescent="0.25">
      <c r="B677" s="70"/>
      <c r="C677" s="67"/>
      <c r="D677" s="68"/>
      <c r="E677" s="69"/>
      <c r="F677" s="84"/>
      <c r="G677" s="83"/>
      <c r="H677" s="84"/>
      <c r="I677" s="84"/>
      <c r="J677" s="84"/>
      <c r="K677" s="84"/>
      <c r="L677" s="84"/>
      <c r="M677" s="83"/>
      <c r="N677" s="84"/>
      <c r="O677" s="84"/>
      <c r="P677" s="84"/>
      <c r="Q677" s="84"/>
      <c r="R677" s="84"/>
      <c r="S677" s="86"/>
      <c r="T677" s="84"/>
      <c r="U677" s="84"/>
      <c r="V677" s="86"/>
      <c r="W677" s="84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66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2"/>
      <c r="AY677" s="72"/>
    </row>
    <row r="678" spans="2:51" x14ac:dyDescent="0.25">
      <c r="B678" s="70"/>
      <c r="C678" s="67"/>
      <c r="D678" s="68"/>
      <c r="E678" s="69"/>
      <c r="F678" s="84"/>
      <c r="G678" s="83"/>
      <c r="H678" s="84"/>
      <c r="I678" s="84"/>
      <c r="J678" s="84"/>
      <c r="K678" s="84"/>
      <c r="L678" s="84"/>
      <c r="M678" s="83"/>
      <c r="N678" s="84"/>
      <c r="O678" s="84"/>
      <c r="P678" s="84"/>
      <c r="Q678" s="84"/>
      <c r="R678" s="84"/>
      <c r="S678" s="86"/>
      <c r="T678" s="84"/>
      <c r="U678" s="84"/>
      <c r="V678" s="86"/>
      <c r="W678" s="84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66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2"/>
      <c r="AY678" s="72"/>
    </row>
    <row r="679" spans="2:51" x14ac:dyDescent="0.25">
      <c r="B679" s="70"/>
      <c r="C679" s="67"/>
      <c r="D679" s="68"/>
      <c r="E679" s="69"/>
      <c r="F679" s="84"/>
      <c r="G679" s="83"/>
      <c r="H679" s="84"/>
      <c r="I679" s="84"/>
      <c r="J679" s="84"/>
      <c r="K679" s="84"/>
      <c r="L679" s="84"/>
      <c r="M679" s="83"/>
      <c r="N679" s="84"/>
      <c r="O679" s="84"/>
      <c r="P679" s="84"/>
      <c r="Q679" s="84"/>
      <c r="R679" s="84"/>
      <c r="S679" s="86"/>
      <c r="T679" s="84"/>
      <c r="U679" s="84"/>
      <c r="V679" s="86"/>
      <c r="W679" s="84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66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2"/>
      <c r="AY679" s="72"/>
    </row>
    <row r="680" spans="2:51" x14ac:dyDescent="0.25">
      <c r="B680" s="70"/>
      <c r="C680" s="67"/>
      <c r="D680" s="68"/>
      <c r="E680" s="69"/>
      <c r="F680" s="84"/>
      <c r="G680" s="83"/>
      <c r="H680" s="84"/>
      <c r="I680" s="84"/>
      <c r="J680" s="84"/>
      <c r="K680" s="84"/>
      <c r="L680" s="84"/>
      <c r="M680" s="83"/>
      <c r="N680" s="84"/>
      <c r="O680" s="84"/>
      <c r="P680" s="84"/>
      <c r="Q680" s="84"/>
      <c r="R680" s="84"/>
      <c r="S680" s="86"/>
      <c r="T680" s="84"/>
      <c r="U680" s="84"/>
      <c r="V680" s="86"/>
      <c r="W680" s="84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66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2"/>
      <c r="AY680" s="72"/>
    </row>
    <row r="681" spans="2:51" x14ac:dyDescent="0.25">
      <c r="B681" s="70"/>
      <c r="C681" s="67"/>
      <c r="D681" s="68"/>
      <c r="E681" s="69"/>
      <c r="F681" s="84"/>
      <c r="G681" s="83"/>
      <c r="H681" s="84"/>
      <c r="I681" s="84"/>
      <c r="J681" s="84"/>
      <c r="K681" s="84"/>
      <c r="L681" s="84"/>
      <c r="M681" s="83"/>
      <c r="N681" s="84"/>
      <c r="O681" s="84"/>
      <c r="P681" s="84"/>
      <c r="Q681" s="84"/>
      <c r="R681" s="84"/>
      <c r="S681" s="86"/>
      <c r="T681" s="84"/>
      <c r="U681" s="84"/>
      <c r="V681" s="86"/>
      <c r="W681" s="84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66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2"/>
      <c r="AY681" s="72"/>
    </row>
    <row r="682" spans="2:51" x14ac:dyDescent="0.25">
      <c r="B682" s="70"/>
      <c r="C682" s="67"/>
      <c r="D682" s="68"/>
      <c r="E682" s="69"/>
      <c r="F682" s="84"/>
      <c r="G682" s="83"/>
      <c r="H682" s="84"/>
      <c r="I682" s="84"/>
      <c r="J682" s="84"/>
      <c r="K682" s="84"/>
      <c r="L682" s="84"/>
      <c r="M682" s="83"/>
      <c r="N682" s="84"/>
      <c r="O682" s="84"/>
      <c r="P682" s="84"/>
      <c r="Q682" s="84"/>
      <c r="R682" s="84"/>
      <c r="S682" s="86"/>
      <c r="T682" s="84"/>
      <c r="U682" s="84"/>
      <c r="V682" s="86"/>
      <c r="W682" s="84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66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2"/>
      <c r="AY682" s="72"/>
    </row>
    <row r="683" spans="2:51" x14ac:dyDescent="0.25">
      <c r="B683" s="70"/>
      <c r="C683" s="67"/>
      <c r="D683" s="68"/>
      <c r="E683" s="69"/>
      <c r="F683" s="84"/>
      <c r="G683" s="83"/>
      <c r="H683" s="84"/>
      <c r="I683" s="84"/>
      <c r="J683" s="84"/>
      <c r="K683" s="84"/>
      <c r="L683" s="84"/>
      <c r="M683" s="83"/>
      <c r="N683" s="84"/>
      <c r="O683" s="84"/>
      <c r="P683" s="84"/>
      <c r="Q683" s="84"/>
      <c r="R683" s="84"/>
      <c r="S683" s="86"/>
      <c r="T683" s="84"/>
      <c r="U683" s="84"/>
      <c r="V683" s="86"/>
      <c r="W683" s="84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66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2"/>
      <c r="AY683" s="72"/>
    </row>
    <row r="684" spans="2:51" x14ac:dyDescent="0.25">
      <c r="B684" s="70"/>
      <c r="C684" s="67"/>
      <c r="D684" s="68"/>
      <c r="E684" s="69"/>
      <c r="F684" s="84"/>
      <c r="G684" s="83"/>
      <c r="H684" s="84"/>
      <c r="I684" s="84"/>
      <c r="J684" s="84"/>
      <c r="K684" s="84"/>
      <c r="L684" s="84"/>
      <c r="M684" s="83"/>
      <c r="N684" s="84"/>
      <c r="O684" s="84"/>
      <c r="P684" s="84"/>
      <c r="Q684" s="84"/>
      <c r="R684" s="84"/>
      <c r="S684" s="86"/>
      <c r="T684" s="84"/>
      <c r="U684" s="84"/>
      <c r="V684" s="86"/>
      <c r="W684" s="84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66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2"/>
      <c r="AY684" s="72"/>
    </row>
    <row r="685" spans="2:51" x14ac:dyDescent="0.25">
      <c r="B685" s="70"/>
      <c r="C685" s="67"/>
      <c r="D685" s="68"/>
      <c r="E685" s="69"/>
      <c r="F685" s="84"/>
      <c r="G685" s="83"/>
      <c r="H685" s="84"/>
      <c r="I685" s="84"/>
      <c r="J685" s="84"/>
      <c r="K685" s="84"/>
      <c r="L685" s="84"/>
      <c r="M685" s="83"/>
      <c r="N685" s="84"/>
      <c r="O685" s="84"/>
      <c r="P685" s="84"/>
      <c r="Q685" s="84"/>
      <c r="R685" s="84"/>
      <c r="S685" s="86"/>
      <c r="T685" s="84"/>
      <c r="U685" s="84"/>
      <c r="V685" s="86"/>
      <c r="W685" s="84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66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2"/>
      <c r="AY685" s="72"/>
    </row>
    <row r="686" spans="2:51" x14ac:dyDescent="0.25">
      <c r="B686" s="70"/>
      <c r="C686" s="67"/>
      <c r="D686" s="68"/>
      <c r="E686" s="69"/>
      <c r="F686" s="84"/>
      <c r="G686" s="83"/>
      <c r="H686" s="84"/>
      <c r="I686" s="84"/>
      <c r="J686" s="84"/>
      <c r="K686" s="84"/>
      <c r="L686" s="84"/>
      <c r="M686" s="83"/>
      <c r="N686" s="84"/>
      <c r="O686" s="84"/>
      <c r="P686" s="84"/>
      <c r="Q686" s="84"/>
      <c r="R686" s="84"/>
      <c r="S686" s="86"/>
      <c r="T686" s="84"/>
      <c r="U686" s="84"/>
      <c r="V686" s="86"/>
      <c r="W686" s="84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66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2"/>
      <c r="AY686" s="72"/>
    </row>
    <row r="687" spans="2:51" x14ac:dyDescent="0.25">
      <c r="B687" s="70"/>
      <c r="C687" s="67"/>
      <c r="D687" s="68"/>
      <c r="E687" s="69"/>
      <c r="F687" s="84"/>
      <c r="G687" s="83"/>
      <c r="H687" s="84"/>
      <c r="I687" s="84"/>
      <c r="J687" s="84"/>
      <c r="K687" s="84"/>
      <c r="L687" s="84"/>
      <c r="M687" s="83"/>
      <c r="N687" s="84"/>
      <c r="O687" s="84"/>
      <c r="P687" s="84"/>
      <c r="Q687" s="84"/>
      <c r="R687" s="84"/>
      <c r="S687" s="86"/>
      <c r="T687" s="84"/>
      <c r="U687" s="84"/>
      <c r="V687" s="86"/>
      <c r="W687" s="84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66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2"/>
      <c r="AY687" s="72"/>
    </row>
    <row r="688" spans="2:51" x14ac:dyDescent="0.25">
      <c r="B688" s="70"/>
      <c r="C688" s="67"/>
      <c r="D688" s="68"/>
      <c r="E688" s="69"/>
      <c r="F688" s="84"/>
      <c r="G688" s="83"/>
      <c r="H688" s="84"/>
      <c r="I688" s="84"/>
      <c r="J688" s="84"/>
      <c r="K688" s="84"/>
      <c r="L688" s="84"/>
      <c r="M688" s="83"/>
      <c r="N688" s="84"/>
      <c r="O688" s="84"/>
      <c r="P688" s="84"/>
      <c r="Q688" s="84"/>
      <c r="R688" s="84"/>
      <c r="S688" s="86"/>
      <c r="T688" s="84"/>
      <c r="U688" s="84"/>
      <c r="V688" s="86"/>
      <c r="W688" s="84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66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2"/>
      <c r="AY688" s="72"/>
    </row>
    <row r="689" spans="2:51" x14ac:dyDescent="0.25">
      <c r="B689" s="70"/>
      <c r="C689" s="67"/>
      <c r="D689" s="68"/>
      <c r="E689" s="69"/>
      <c r="F689" s="84"/>
      <c r="G689" s="83"/>
      <c r="H689" s="84"/>
      <c r="I689" s="84"/>
      <c r="J689" s="84"/>
      <c r="K689" s="84"/>
      <c r="L689" s="84"/>
      <c r="M689" s="83"/>
      <c r="N689" s="84"/>
      <c r="O689" s="84"/>
      <c r="P689" s="84"/>
      <c r="Q689" s="84"/>
      <c r="R689" s="84"/>
      <c r="S689" s="86"/>
      <c r="T689" s="84"/>
      <c r="U689" s="84"/>
      <c r="V689" s="86"/>
      <c r="W689" s="84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66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2"/>
      <c r="AY689" s="72"/>
    </row>
    <row r="690" spans="2:51" x14ac:dyDescent="0.25">
      <c r="B690" s="70"/>
      <c r="C690" s="67"/>
      <c r="D690" s="68"/>
      <c r="E690" s="69"/>
      <c r="F690" s="84"/>
      <c r="G690" s="83"/>
      <c r="H690" s="84"/>
      <c r="I690" s="84"/>
      <c r="J690" s="84"/>
      <c r="K690" s="84"/>
      <c r="L690" s="84"/>
      <c r="M690" s="83"/>
      <c r="N690" s="84"/>
      <c r="O690" s="84"/>
      <c r="P690" s="84"/>
      <c r="Q690" s="84"/>
      <c r="R690" s="84"/>
      <c r="S690" s="86"/>
      <c r="T690" s="84"/>
      <c r="U690" s="84"/>
      <c r="V690" s="86"/>
      <c r="W690" s="84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66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2"/>
      <c r="AY690" s="72"/>
    </row>
    <row r="691" spans="2:51" x14ac:dyDescent="0.25">
      <c r="B691" s="70"/>
      <c r="C691" s="67"/>
      <c r="D691" s="68"/>
      <c r="E691" s="69"/>
      <c r="F691" s="84"/>
      <c r="G691" s="83"/>
      <c r="H691" s="84"/>
      <c r="I691" s="84"/>
      <c r="J691" s="84"/>
      <c r="K691" s="84"/>
      <c r="L691" s="84"/>
      <c r="M691" s="83"/>
      <c r="N691" s="84"/>
      <c r="O691" s="84"/>
      <c r="P691" s="84"/>
      <c r="Q691" s="84"/>
      <c r="R691" s="84"/>
      <c r="S691" s="86"/>
      <c r="T691" s="84"/>
      <c r="U691" s="84"/>
      <c r="V691" s="86"/>
      <c r="W691" s="84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66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2"/>
      <c r="AY691" s="72"/>
    </row>
    <row r="692" spans="2:51" x14ac:dyDescent="0.25">
      <c r="B692" s="70"/>
      <c r="C692" s="67"/>
      <c r="D692" s="68"/>
      <c r="E692" s="69"/>
      <c r="F692" s="84"/>
      <c r="G692" s="83"/>
      <c r="H692" s="84"/>
      <c r="I692" s="84"/>
      <c r="J692" s="84"/>
      <c r="K692" s="84"/>
      <c r="L692" s="84"/>
      <c r="M692" s="83"/>
      <c r="N692" s="84"/>
      <c r="O692" s="84"/>
      <c r="P692" s="84"/>
      <c r="Q692" s="84"/>
      <c r="R692" s="84"/>
      <c r="S692" s="86"/>
      <c r="T692" s="84"/>
      <c r="U692" s="84"/>
      <c r="V692" s="86"/>
      <c r="W692" s="84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66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2"/>
      <c r="AY692" s="72"/>
    </row>
    <row r="693" spans="2:51" x14ac:dyDescent="0.25">
      <c r="B693" s="70"/>
      <c r="C693" s="67"/>
      <c r="D693" s="68"/>
      <c r="E693" s="69"/>
      <c r="F693" s="84"/>
      <c r="G693" s="83"/>
      <c r="H693" s="84"/>
      <c r="I693" s="84"/>
      <c r="J693" s="84"/>
      <c r="K693" s="84"/>
      <c r="L693" s="84"/>
      <c r="M693" s="83"/>
      <c r="N693" s="84"/>
      <c r="O693" s="84"/>
      <c r="P693" s="84"/>
      <c r="Q693" s="84"/>
      <c r="R693" s="84"/>
      <c r="S693" s="86"/>
      <c r="T693" s="84"/>
      <c r="U693" s="84"/>
      <c r="V693" s="86"/>
      <c r="W693" s="84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66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2"/>
      <c r="AY693" s="72"/>
    </row>
    <row r="694" spans="2:51" x14ac:dyDescent="0.25">
      <c r="B694" s="70"/>
      <c r="C694" s="67"/>
      <c r="D694" s="68"/>
      <c r="E694" s="69"/>
      <c r="F694" s="84"/>
      <c r="G694" s="83"/>
      <c r="H694" s="84"/>
      <c r="I694" s="84"/>
      <c r="J694" s="84"/>
      <c r="K694" s="84"/>
      <c r="L694" s="84"/>
      <c r="M694" s="83"/>
      <c r="N694" s="84"/>
      <c r="O694" s="84"/>
      <c r="P694" s="84"/>
      <c r="Q694" s="84"/>
      <c r="R694" s="84"/>
      <c r="S694" s="86"/>
      <c r="T694" s="84"/>
      <c r="U694" s="84"/>
      <c r="V694" s="86"/>
      <c r="W694" s="84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66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2"/>
      <c r="AY694" s="72"/>
    </row>
    <row r="695" spans="2:51" x14ac:dyDescent="0.25">
      <c r="B695" s="70"/>
      <c r="C695" s="67"/>
      <c r="D695" s="68"/>
      <c r="E695" s="69"/>
      <c r="F695" s="84"/>
      <c r="G695" s="83"/>
      <c r="H695" s="84"/>
      <c r="I695" s="84"/>
      <c r="J695" s="84"/>
      <c r="K695" s="84"/>
      <c r="L695" s="84"/>
      <c r="M695" s="83"/>
      <c r="N695" s="84"/>
      <c r="O695" s="84"/>
      <c r="P695" s="84"/>
      <c r="Q695" s="84"/>
      <c r="R695" s="84"/>
      <c r="S695" s="86"/>
      <c r="T695" s="84"/>
      <c r="U695" s="84"/>
      <c r="V695" s="86"/>
      <c r="W695" s="84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66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2"/>
      <c r="AY695" s="72"/>
    </row>
  </sheetData>
  <mergeCells count="35">
    <mergeCell ref="AF240:AF24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AC240:AC241"/>
    <mergeCell ref="AD240:AD241"/>
    <mergeCell ref="AE240:AE241"/>
    <mergeCell ref="T240:T241"/>
    <mergeCell ref="X239:AC239"/>
    <mergeCell ref="AD239:AG239"/>
    <mergeCell ref="F240:F241"/>
    <mergeCell ref="G240:G241"/>
    <mergeCell ref="H240:H241"/>
    <mergeCell ref="I240:I241"/>
    <mergeCell ref="J240:J241"/>
    <mergeCell ref="L240:L241"/>
    <mergeCell ref="M240:M241"/>
    <mergeCell ref="N240:N241"/>
    <mergeCell ref="O240:O241"/>
    <mergeCell ref="P240:P241"/>
    <mergeCell ref="Q240:Q241"/>
    <mergeCell ref="R240:R241"/>
    <mergeCell ref="S240:S241"/>
    <mergeCell ref="F2:H2"/>
    <mergeCell ref="I2:L2"/>
    <mergeCell ref="M2:P2"/>
    <mergeCell ref="Q2:T2"/>
    <mergeCell ref="F239:K239"/>
    <mergeCell ref="L239:Q239"/>
    <mergeCell ref="R239:W239"/>
  </mergeCells>
  <pageMargins left="0.7" right="0.7" top="0.75" bottom="0.75" header="0.3" footer="0.3"/>
  <pageSetup paperSize="0" orientation="portrait" horizontalDpi="0" verticalDpi="0" copies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/>
  <dimension ref="A1:BH695"/>
  <sheetViews>
    <sheetView showGridLines="0" topLeftCell="AI3" workbookViewId="0">
      <selection activeCell="AJ6" sqref="AJ6"/>
    </sheetView>
  </sheetViews>
  <sheetFormatPr defaultRowHeight="15" x14ac:dyDescent="0.25"/>
  <cols>
    <col min="1" max="1" width="1.5703125" style="105" customWidth="1"/>
    <col min="2" max="2" width="4.85546875" style="105" customWidth="1"/>
    <col min="3" max="3" width="6" style="105" customWidth="1"/>
    <col min="4" max="4" width="8.28515625" style="105" bestFit="1" customWidth="1"/>
    <col min="5" max="5" width="6.5703125" style="105" customWidth="1"/>
    <col min="6" max="6" width="9.140625" style="105" bestFit="1" customWidth="1"/>
    <col min="7" max="7" width="8.7109375" style="105" customWidth="1"/>
    <col min="8" max="8" width="11.5703125" style="105" customWidth="1"/>
    <col min="9" max="9" width="9.28515625" style="105" customWidth="1"/>
    <col min="10" max="10" width="9.7109375" style="105" customWidth="1"/>
    <col min="11" max="11" width="10.42578125" style="105" customWidth="1"/>
    <col min="12" max="14" width="8.7109375" style="105" customWidth="1"/>
    <col min="15" max="15" width="10.5703125" style="105" customWidth="1"/>
    <col min="16" max="16" width="9.85546875" style="105" customWidth="1"/>
    <col min="17" max="17" width="8.7109375" style="105" customWidth="1"/>
    <col min="18" max="18" width="10.28515625" style="105" customWidth="1"/>
    <col min="19" max="19" width="8.140625" style="105" bestFit="1" customWidth="1"/>
    <col min="20" max="20" width="14.42578125" style="105" customWidth="1"/>
    <col min="21" max="21" width="10.42578125" style="105" customWidth="1"/>
    <col min="22" max="22" width="14.140625" style="105" customWidth="1"/>
    <col min="23" max="28" width="8.85546875" style="105" customWidth="1"/>
    <col min="29" max="29" width="9.7109375" style="105" customWidth="1"/>
    <col min="30" max="31" width="9.5703125" style="105" customWidth="1"/>
    <col min="32" max="32" width="10.7109375" style="105" customWidth="1"/>
    <col min="33" max="33" width="9.5703125" style="105" customWidth="1"/>
    <col min="34" max="34" width="3.140625" style="105" customWidth="1"/>
    <col min="35" max="35" width="12.85546875" style="105" customWidth="1"/>
    <col min="36" max="36" width="10" style="105" customWidth="1"/>
    <col min="37" max="40" width="12.7109375" style="105" customWidth="1"/>
    <col min="41" max="41" width="11.85546875" style="105" bestFit="1" customWidth="1"/>
    <col min="42" max="42" width="9.85546875" style="105" bestFit="1" customWidth="1"/>
    <col min="43" max="43" width="12.5703125" style="105" customWidth="1"/>
    <col min="44" max="44" width="10.7109375" style="105" customWidth="1"/>
    <col min="45" max="45" width="10.85546875" style="105" customWidth="1"/>
    <col min="46" max="46" width="12.42578125" style="105" customWidth="1"/>
    <col min="47" max="47" width="16.42578125" style="105" bestFit="1" customWidth="1"/>
    <col min="48" max="48" width="20.140625" style="105" bestFit="1" customWidth="1"/>
    <col min="49" max="49" width="12.28515625" style="105" customWidth="1"/>
    <col min="50" max="50" width="13" style="105" bestFit="1" customWidth="1"/>
    <col min="51" max="52" width="14.42578125" style="105" bestFit="1" customWidth="1"/>
    <col min="53" max="53" width="9.7109375" style="105" bestFit="1" customWidth="1"/>
    <col min="54" max="54" width="9.140625" style="105"/>
    <col min="55" max="55" width="10" style="105" bestFit="1" customWidth="1"/>
    <col min="56" max="16384" width="9.140625" style="105"/>
  </cols>
  <sheetData>
    <row r="1" spans="1:52" s="230" customFormat="1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</row>
    <row r="2" spans="1:52" s="230" customFormat="1" x14ac:dyDescent="0.25">
      <c r="A2" s="61"/>
      <c r="B2" s="60"/>
      <c r="C2" s="60"/>
      <c r="D2" s="60"/>
      <c r="E2" s="233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</row>
    <row r="3" spans="1:52" s="230" customFormat="1" ht="30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231" t="s">
        <v>703</v>
      </c>
      <c r="R3" s="81" t="s">
        <v>666</v>
      </c>
      <c r="S3" s="232" t="s">
        <v>667</v>
      </c>
      <c r="T3" s="81" t="s">
        <v>667</v>
      </c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4"/>
      <c r="AI3" s="62" t="s">
        <v>16</v>
      </c>
      <c r="AJ3" s="62" t="s">
        <v>16</v>
      </c>
      <c r="AK3" s="62" t="s">
        <v>672</v>
      </c>
      <c r="AL3" s="27" t="s">
        <v>704</v>
      </c>
      <c r="AM3" s="27" t="s">
        <v>704</v>
      </c>
      <c r="AN3" s="27" t="s">
        <v>672</v>
      </c>
      <c r="AO3" s="62" t="s">
        <v>673</v>
      </c>
      <c r="AP3" s="62" t="s">
        <v>705</v>
      </c>
      <c r="AQ3" s="62" t="s">
        <v>674</v>
      </c>
      <c r="AR3" s="62" t="s">
        <v>706</v>
      </c>
      <c r="AS3" s="62" t="s">
        <v>675</v>
      </c>
      <c r="AT3" s="62" t="s">
        <v>676</v>
      </c>
      <c r="AU3" s="62" t="s">
        <v>588</v>
      </c>
      <c r="AV3" s="62" t="s">
        <v>707</v>
      </c>
      <c r="AW3" s="62" t="s">
        <v>677</v>
      </c>
      <c r="AX3" s="62" t="s">
        <v>677</v>
      </c>
      <c r="AY3" s="62" t="s">
        <v>679</v>
      </c>
      <c r="AZ3" s="62" t="s">
        <v>738</v>
      </c>
    </row>
    <row r="4" spans="1:52" s="230" customFormat="1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231" t="s">
        <v>710</v>
      </c>
      <c r="R4" s="81" t="s">
        <v>711</v>
      </c>
      <c r="S4" s="232" t="s">
        <v>710</v>
      </c>
      <c r="T4" s="81" t="s">
        <v>711</v>
      </c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4"/>
      <c r="AI4" s="62" t="s">
        <v>712</v>
      </c>
      <c r="AJ4" s="62" t="s">
        <v>683</v>
      </c>
      <c r="AK4" s="62" t="s">
        <v>684</v>
      </c>
      <c r="AL4" s="27" t="s">
        <v>713</v>
      </c>
      <c r="AM4" s="27" t="s">
        <v>683</v>
      </c>
      <c r="AN4" s="27" t="s">
        <v>714</v>
      </c>
      <c r="AO4" s="62" t="s">
        <v>715</v>
      </c>
      <c r="AP4" s="62" t="s">
        <v>685</v>
      </c>
      <c r="AQ4" s="62" t="s">
        <v>685</v>
      </c>
      <c r="AR4" s="62" t="s">
        <v>716</v>
      </c>
      <c r="AS4" s="62" t="s">
        <v>685</v>
      </c>
      <c r="AT4" s="62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689</v>
      </c>
      <c r="AZ4" s="62" t="s">
        <v>689</v>
      </c>
    </row>
    <row r="5" spans="1:52" s="230" customFormat="1" x14ac:dyDescent="0.25">
      <c r="A5" s="59"/>
      <c r="B5" s="66">
        <v>1</v>
      </c>
      <c r="C5" s="67">
        <f ca="1">IF(E5-'Invoer gegevens (N)'!$C$17&lt;0,0,1)</f>
        <v>1</v>
      </c>
      <c r="D5" s="68">
        <v>0.5</v>
      </c>
      <c r="E5" s="69">
        <f ca="1">IF('Invoer gegevens (N)'!$C$16="","",'Invoer gegevens (N)'!$C$16)</f>
        <v>2019</v>
      </c>
      <c r="F5" s="82">
        <f ca="1">IF('Invoer gegevens (N)'!$C$17=E5,'Invoer gegevens (N)'!$C$10,IF(C5=1,H4,0))</f>
        <v>0</v>
      </c>
      <c r="G5" s="83">
        <f ca="1">IF(C5&gt;=1,F5*'Reeksen (N)'!C5,0)</f>
        <v>0</v>
      </c>
      <c r="H5" s="84">
        <f ca="1">F5-G5</f>
        <v>0</v>
      </c>
      <c r="I5" s="82">
        <f ca="1">IF('Invoer gegevens (N)'!$C$17=E5,'Invoer gegevens (N)'!$C$11,IF(C5=1,L4,0))</f>
        <v>0</v>
      </c>
      <c r="J5" s="84">
        <f ca="1">IF(C5&lt;1,0,IF('Reeksen (N)'!AD5&lt;='Reeksen (N)'!AE5,I5*'Reeksen (N)'!C5,0))</f>
        <v>0</v>
      </c>
      <c r="K5" s="84">
        <f ca="1">IF(C5&lt;1,0,IF('Reeksen (N)'!AD5&gt;'Reeksen (N)'!AE5,I5*'Reeksen (N)'!C5,0))</f>
        <v>0</v>
      </c>
      <c r="L5" s="84">
        <f ca="1">I5-J5-K5</f>
        <v>0</v>
      </c>
      <c r="M5" s="82">
        <f ca="1">IF('Invoer gegevens (N)'!$C$17=E5,'Invoer gegevens (N)'!$C$10-'Invoer gegevens (N)'!$C$11,IF(C5=1,P4,0))</f>
        <v>0</v>
      </c>
      <c r="N5" s="84">
        <f ca="1">IF(C5&lt;1,0,IF('Reeksen (N)'!AD5&lt;='Reeksen (N)'!AE5,M5*'Reeksen (N)'!C5,0))</f>
        <v>0</v>
      </c>
      <c r="O5" s="84">
        <f ca="1">IF(C5&lt;1,0,IF('Reeksen (N)'!AD5&gt;'Reeksen (N)'!AE5,M5*'Reeksen (N)'!C5,0))</f>
        <v>0</v>
      </c>
      <c r="P5" s="84">
        <f ca="1">M5-N5-O5</f>
        <v>0</v>
      </c>
      <c r="Q5" s="82">
        <f ca="1">IF('Invoer gegevens (N)'!$C$17=E5,I5,IF(C5=0,0,R4))</f>
        <v>0</v>
      </c>
      <c r="R5" s="84">
        <f t="shared" ref="R5:R68" ca="1" si="0">IF(C5=0,0,Q5-K5+N5)</f>
        <v>0</v>
      </c>
      <c r="S5" s="84">
        <f ca="1">IF('Invoer gegevens (N)'!$C$17=E5,M5,IF(C5=0,0,T4))</f>
        <v>0</v>
      </c>
      <c r="T5" s="84">
        <f ca="1">IF(C5=0,0,S5-N5+K5)</f>
        <v>0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70"/>
      <c r="AI5" s="71">
        <f ca="1">IF(C5=1,((F5+H5)/2*'Reeksen (N)'!AI5*12)+(('Invoer gegevens (N)'!$C$10-(F5+H5)/2)*'Reeksen (N)'!AD5*12),0)</f>
        <v>0</v>
      </c>
      <c r="AJ5" s="71">
        <f ca="1">-AI5*'Invoer gegevens (N)'!$F$26</f>
        <v>0</v>
      </c>
      <c r="AK5" s="71">
        <f ca="1">AI5+AJ5</f>
        <v>0</v>
      </c>
      <c r="AL5" s="71">
        <f ca="1">IF(C5=1,(12*((F5+H5)/2)*'Reeksen (N)'!AL5)+(12*('Invoer gegevens (N)'!$C$10-(F5+H5)/2)*'Reeksen (N)'!AM5),0)</f>
        <v>0</v>
      </c>
      <c r="AM5" s="71">
        <f ca="1">-AL5*'Invoer gegevens (N)'!$F$31</f>
        <v>0</v>
      </c>
      <c r="AN5" s="71">
        <f ca="1">AL5+AM5</f>
        <v>0</v>
      </c>
      <c r="AO5" s="71"/>
      <c r="AP5" s="71"/>
      <c r="AQ5" s="71">
        <f ca="1">-IF(C5=1,('Invoer gegevens (N)'!$C$10*'Invoer gegevens (N)'!$F$35)*'Reeksen (N)'!J5,0)*2</f>
        <v>0</v>
      </c>
      <c r="AR5" s="71">
        <f ca="1">-IF(C5=1,(G5*'Invoer gegevens (N)'!$F$36)*'Reeksen (N)'!J5,0)</f>
        <v>0</v>
      </c>
      <c r="AS5" s="71">
        <f ca="1">-IF(C5=1,'Invoer gegevens (N)'!$C$10*'Invoer gegevens (N)'!$F$37*'Reeksen (N)'!L5,0)</f>
        <v>0</v>
      </c>
      <c r="AT5" s="71">
        <f ca="1">-IF(C5=1,IF(E5='Invoer gegevens (N)'!$C$17,'Invoer gegevens (N)'!$C$11,Q5)*'Reeksen (N)'!S5*'Invoer gegevens (N)'!$C$18*'Reeksen (N)'!P5,0)</f>
        <v>0</v>
      </c>
      <c r="AU5" s="71">
        <f ca="1">-IF(C5=1,'Invoer gegevens (N)'!$C$10*'Invoer gegevens (N)'!$F$38*'Reeksen (N)'!H5,0)</f>
        <v>0</v>
      </c>
      <c r="AV5" s="71">
        <v>0</v>
      </c>
      <c r="AW5" s="71">
        <f ca="1">SUM(AK5,AN5:AV5)</f>
        <v>0</v>
      </c>
      <c r="AX5" s="71">
        <f ca="1">IF(E5&lt;'Invoer gegevens (N)'!$C$17+15,0,IF('RW - MW - DE - DE (N)'!E5&gt;'Invoer gegevens (N)'!$C$17+215,0,'RW - MW - DE - DE (N)'!AW5))</f>
        <v>0</v>
      </c>
      <c r="AY5" s="71">
        <f ca="1">AX5/(1+'Invoer gegevens (N)'!$F$13)^($AZ5-('Invoer gegevens (N)'!$C$17-'Invoer gegevens (N)'!$C$16))/(1+'Invoer gegevens (N)'!$C$39)^('Invoer gegevens (N)'!$C$17-'Invoer gegevens (N)'!$C$16)</f>
        <v>0</v>
      </c>
      <c r="AZ5" s="68">
        <f ca="1">IF(E5-'Invoer gegevens (N)'!$C$17-14.5&lt;0,0,E5-'Invoer gegevens (N)'!$C$17-14.5)</f>
        <v>0</v>
      </c>
    </row>
    <row r="6" spans="1:52" s="230" customFormat="1" x14ac:dyDescent="0.25">
      <c r="A6" s="59"/>
      <c r="B6" s="70">
        <f>B5+1</f>
        <v>2</v>
      </c>
      <c r="C6" s="67">
        <f ca="1">IF(E6-'Invoer gegevens (N)'!$C$17&lt;0,0,1)</f>
        <v>1</v>
      </c>
      <c r="D6" s="68">
        <f>D5+1</f>
        <v>1.5</v>
      </c>
      <c r="E6" s="69">
        <f ca="1">IF('Invoer gegevens (N)'!$C$16="","",E5+1)</f>
        <v>2020</v>
      </c>
      <c r="F6" s="82">
        <f ca="1">IF('Invoer gegevens (N)'!$C$17=E6,'Invoer gegevens (N)'!$C$10,IF(C6=1,H5,0))</f>
        <v>0</v>
      </c>
      <c r="G6" s="83">
        <f ca="1">IF(C6&gt;=1,F6*'Reeksen (N)'!C6,0)</f>
        <v>0</v>
      </c>
      <c r="H6" s="84">
        <f t="shared" ref="H6:H69" ca="1" si="1">F6-G6</f>
        <v>0</v>
      </c>
      <c r="I6" s="82">
        <f ca="1">IF('Invoer gegevens (N)'!$C$17=E6,'Invoer gegevens (N)'!$C$11,IF(C6=1,L5,0))</f>
        <v>0</v>
      </c>
      <c r="J6" s="84">
        <f ca="1">IF(C6&lt;1,0,IF('Reeksen (N)'!AD6&lt;='Reeksen (N)'!AE6,I6*'Reeksen (N)'!C6,0))</f>
        <v>0</v>
      </c>
      <c r="K6" s="84">
        <f ca="1">IF(C6&lt;1,0,IF('Reeksen (N)'!AD6&gt;'Reeksen (N)'!AE6,I6*'Reeksen (N)'!C6,0))</f>
        <v>0</v>
      </c>
      <c r="L6" s="84">
        <f t="shared" ref="L6:L69" ca="1" si="2">I6-J6-K6</f>
        <v>0</v>
      </c>
      <c r="M6" s="82">
        <f ca="1">IF('Invoer gegevens (N)'!$C$17=E6,'Invoer gegevens (N)'!$C$10-'Invoer gegevens (N)'!$C$11,IF(C6=1,P5,0))</f>
        <v>0</v>
      </c>
      <c r="N6" s="84">
        <f ca="1">IF(C6&lt;1,0,IF('Reeksen (N)'!AD6&lt;='Reeksen (N)'!AE6,M6*'Reeksen (N)'!C6,0))</f>
        <v>0</v>
      </c>
      <c r="O6" s="84">
        <f ca="1">IF(C6&lt;1,0,IF('Reeksen (N)'!AD6&gt;'Reeksen (N)'!AE6,M6*'Reeksen (N)'!C6,0))</f>
        <v>0</v>
      </c>
      <c r="P6" s="84">
        <f t="shared" ref="P6:P69" ca="1" si="3">M6-N6-O6</f>
        <v>0</v>
      </c>
      <c r="Q6" s="82">
        <f ca="1">IF('Invoer gegevens (N)'!$C$17=E6,I6,IF(C6=0,0,R5))</f>
        <v>0</v>
      </c>
      <c r="R6" s="84">
        <f t="shared" ca="1" si="0"/>
        <v>0</v>
      </c>
      <c r="S6" s="84">
        <f ca="1">IF('Invoer gegevens (N)'!$C$17=E6,M6,IF(C6=0,0,T5))</f>
        <v>0</v>
      </c>
      <c r="T6" s="84">
        <f ca="1">IF(C6=0,0,S6-N6+K6)</f>
        <v>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70"/>
      <c r="AI6" s="71">
        <f ca="1">IF(C6=1,((F6+H6)/2*'Reeksen (N)'!AI6*12)+(('Invoer gegevens (N)'!$C$10-(F6+H6)/2)*'Reeksen (N)'!AD6*12),0)</f>
        <v>0</v>
      </c>
      <c r="AJ6" s="71">
        <f ca="1">-AI6*'Invoer gegevens (N)'!$F$27</f>
        <v>0</v>
      </c>
      <c r="AK6" s="71">
        <f t="shared" ref="AK6:AK69" ca="1" si="4">AI6+AJ6</f>
        <v>0</v>
      </c>
      <c r="AL6" s="71">
        <f ca="1">IF(C6=1,(12*((F6+H6)/2)*'Reeksen (N)'!AL6)+(12*('Invoer gegevens (N)'!$C$10-(F6+H6)/2)*'Reeksen (N)'!AM6),0)</f>
        <v>0</v>
      </c>
      <c r="AM6" s="71">
        <f ca="1">-AL6*'Invoer gegevens (N)'!$F$31</f>
        <v>0</v>
      </c>
      <c r="AN6" s="71">
        <f t="shared" ref="AN6:AN69" ca="1" si="5">AL6+AM6</f>
        <v>0</v>
      </c>
      <c r="AO6" s="71"/>
      <c r="AP6" s="71"/>
      <c r="AQ6" s="71">
        <f ca="1">-IF(C6=1,('Invoer gegevens (N)'!$C$10*'Invoer gegevens (N)'!$F$35)*'Reeksen (N)'!J6,0)*2</f>
        <v>0</v>
      </c>
      <c r="AR6" s="71">
        <f ca="1">-IF(C6=1,(G6*'Invoer gegevens (N)'!$F$36)*'Reeksen (N)'!J6,0)</f>
        <v>0</v>
      </c>
      <c r="AS6" s="71">
        <f ca="1">-IF(C6=1,'Invoer gegevens (N)'!$C$10*'Invoer gegevens (N)'!$F$37*'Reeksen (N)'!L6,0)</f>
        <v>0</v>
      </c>
      <c r="AT6" s="71">
        <f ca="1">-IF(C6=1,IF(E6='Invoer gegevens (N)'!$C$17,'Invoer gegevens (N)'!$C$11,Q6)*'Reeksen (N)'!S6*'Invoer gegevens (N)'!$C$18*'Reeksen (N)'!P6,0)</f>
        <v>0</v>
      </c>
      <c r="AU6" s="71">
        <f ca="1">-IF(C6=1,'Invoer gegevens (N)'!$C$10*'Invoer gegevens (N)'!$F$38*'Reeksen (N)'!H6,0)</f>
        <v>0</v>
      </c>
      <c r="AV6" s="71">
        <v>0</v>
      </c>
      <c r="AW6" s="71">
        <f t="shared" ref="AW6:AW69" ca="1" si="6">SUM(AK6,AN6:AV6)</f>
        <v>0</v>
      </c>
      <c r="AX6" s="71">
        <f ca="1">IF(E6&lt;'Invoer gegevens (N)'!$C$17+15,0,IF('RW - MW - DE - DE (N)'!E6&gt;'Invoer gegevens (N)'!$C$17+215,0,'RW - MW - DE - DE (N)'!AW6))</f>
        <v>0</v>
      </c>
      <c r="AY6" s="71">
        <f ca="1">AX6/(1+'Invoer gegevens (N)'!$F$13)^($AZ6-('Invoer gegevens (N)'!$C$17-'Invoer gegevens (N)'!$C$16))/(1+'Invoer gegevens (N)'!$C$39)^('Invoer gegevens (N)'!$C$17-'Invoer gegevens (N)'!$C$16)</f>
        <v>0</v>
      </c>
      <c r="AZ6" s="68">
        <f ca="1">IF(E6-'Invoer gegevens (N)'!$C$17-14.5&lt;0,0,E6-'Invoer gegevens (N)'!$C$17-14.5)</f>
        <v>0</v>
      </c>
    </row>
    <row r="7" spans="1:52" s="230" customFormat="1" x14ac:dyDescent="0.25">
      <c r="A7" s="59"/>
      <c r="B7" s="70">
        <f t="shared" ref="B7:B70" si="7">B6+1</f>
        <v>3</v>
      </c>
      <c r="C7" s="67">
        <f ca="1">IF(E7-'Invoer gegevens (N)'!$C$17&lt;0,0,1)</f>
        <v>1</v>
      </c>
      <c r="D7" s="68">
        <f t="shared" ref="D7:D70" si="8">D6+1</f>
        <v>2.5</v>
      </c>
      <c r="E7" s="69">
        <f ca="1">IF('Invoer gegevens (N)'!$C$16="","",E6+1)</f>
        <v>2021</v>
      </c>
      <c r="F7" s="82">
        <f ca="1">IF('Invoer gegevens (N)'!$C$17=E7,'Invoer gegevens (N)'!$C$10,IF(C7=1,H6,0))</f>
        <v>0</v>
      </c>
      <c r="G7" s="83">
        <f ca="1">IF(C7&gt;=1,F7*'Reeksen (N)'!C7,0)</f>
        <v>0</v>
      </c>
      <c r="H7" s="84">
        <f t="shared" ca="1" si="1"/>
        <v>0</v>
      </c>
      <c r="I7" s="82">
        <f ca="1">IF('Invoer gegevens (N)'!$C$17=E7,'Invoer gegevens (N)'!$C$11,IF(C7=1,L6,0))</f>
        <v>0</v>
      </c>
      <c r="J7" s="84">
        <f ca="1">IF(C7&lt;1,0,IF('Reeksen (N)'!AD7&lt;='Reeksen (N)'!AE7,I7*'Reeksen (N)'!C7,0))</f>
        <v>0</v>
      </c>
      <c r="K7" s="84">
        <f ca="1">IF(C7&lt;1,0,IF('Reeksen (N)'!AD7&gt;'Reeksen (N)'!AE7,I7*'Reeksen (N)'!C7,0))</f>
        <v>0</v>
      </c>
      <c r="L7" s="84">
        <f t="shared" ca="1" si="2"/>
        <v>0</v>
      </c>
      <c r="M7" s="82">
        <f ca="1">IF('Invoer gegevens (N)'!$C$17=E7,'Invoer gegevens (N)'!$C$10-'Invoer gegevens (N)'!$C$11,IF(C7=1,P6,0))</f>
        <v>0</v>
      </c>
      <c r="N7" s="84">
        <f ca="1">IF(C7&lt;1,0,IF('Reeksen (N)'!AD7&lt;='Reeksen (N)'!AE7,M7*'Reeksen (N)'!C7,0))</f>
        <v>0</v>
      </c>
      <c r="O7" s="84">
        <f ca="1">IF(C7&lt;1,0,IF('Reeksen (N)'!AD7&gt;'Reeksen (N)'!AE7,M7*'Reeksen (N)'!C7,0))</f>
        <v>0</v>
      </c>
      <c r="P7" s="84">
        <f t="shared" ca="1" si="3"/>
        <v>0</v>
      </c>
      <c r="Q7" s="82">
        <f ca="1">IF('Invoer gegevens (N)'!$C$17=E7,I7,IF(C7=0,0,R6))</f>
        <v>0</v>
      </c>
      <c r="R7" s="84">
        <f t="shared" ca="1" si="0"/>
        <v>0</v>
      </c>
      <c r="S7" s="84">
        <f ca="1">IF('Invoer gegevens (N)'!$C$17=E7,M7,IF(C7=0,0,T6))</f>
        <v>0</v>
      </c>
      <c r="T7" s="84">
        <f t="shared" ref="T7:T70" ca="1" si="9">IF(C7=0,0,S7-N7+K7)</f>
        <v>0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70"/>
      <c r="AI7" s="71">
        <f ca="1">IF(C7=1,((F7+H7)/2*'Reeksen (N)'!AI7*12)+(('Invoer gegevens (N)'!$C$10-(F7+H7)/2)*'Reeksen (N)'!AD7*12),0)</f>
        <v>0</v>
      </c>
      <c r="AJ7" s="71">
        <f ca="1">-AI7*'Invoer gegevens (N)'!$F$28</f>
        <v>0</v>
      </c>
      <c r="AK7" s="71">
        <f t="shared" ca="1" si="4"/>
        <v>0</v>
      </c>
      <c r="AL7" s="71">
        <f ca="1">IF(C7=1,(12*((F7+H7)/2)*'Reeksen (N)'!AL7)+(12*('Invoer gegevens (N)'!$C$10-(F7+H7)/2)*'Reeksen (N)'!AM7),0)</f>
        <v>0</v>
      </c>
      <c r="AM7" s="71">
        <f ca="1">-AL7*'Invoer gegevens (N)'!$F$31</f>
        <v>0</v>
      </c>
      <c r="AN7" s="71">
        <f t="shared" ca="1" si="5"/>
        <v>0</v>
      </c>
      <c r="AO7" s="71"/>
      <c r="AP7" s="71"/>
      <c r="AQ7" s="71">
        <f ca="1">-IF(C7=1,('Invoer gegevens (N)'!$C$10*'Invoer gegevens (N)'!$F$35)*'Reeksen (N)'!J7,0)*2</f>
        <v>0</v>
      </c>
      <c r="AR7" s="71">
        <f ca="1">-IF(C7=1,(G7*'Invoer gegevens (N)'!$F$36)*'Reeksen (N)'!J7,0)</f>
        <v>0</v>
      </c>
      <c r="AS7" s="71">
        <f ca="1">-IF(C7=1,'Invoer gegevens (N)'!$C$10*'Invoer gegevens (N)'!$F$37*'Reeksen (N)'!L7,0)</f>
        <v>0</v>
      </c>
      <c r="AT7" s="71">
        <f ca="1">-IF(C7=1,IF(E7='Invoer gegevens (N)'!$C$17,'Invoer gegevens (N)'!$C$11,Q7)*'Reeksen (N)'!S7*'Invoer gegevens (N)'!$C$18*'Reeksen (N)'!P7,0)</f>
        <v>0</v>
      </c>
      <c r="AU7" s="71">
        <f ca="1">-IF(C7=1,'Invoer gegevens (N)'!$C$10*'Invoer gegevens (N)'!$F$38*'Reeksen (N)'!H7,0)</f>
        <v>0</v>
      </c>
      <c r="AV7" s="71">
        <v>0</v>
      </c>
      <c r="AW7" s="71">
        <f t="shared" ca="1" si="6"/>
        <v>0</v>
      </c>
      <c r="AX7" s="71">
        <f ca="1">IF(E7&lt;'Invoer gegevens (N)'!$C$17+15,0,IF('RW - MW - DE - DE (N)'!E7&gt;'Invoer gegevens (N)'!$C$17+215,0,'RW - MW - DE - DE (N)'!AW7))</f>
        <v>0</v>
      </c>
      <c r="AY7" s="71">
        <f ca="1">AX7/(1+'Invoer gegevens (N)'!$F$13)^($AZ7-('Invoer gegevens (N)'!$C$17-'Invoer gegevens (N)'!$C$16))/(1+'Invoer gegevens (N)'!$C$39)^('Invoer gegevens (N)'!$C$17-'Invoer gegevens (N)'!$C$16)</f>
        <v>0</v>
      </c>
      <c r="AZ7" s="68">
        <f ca="1">IF(E7-'Invoer gegevens (N)'!$C$17-14.5&lt;0,0,E7-'Invoer gegevens (N)'!$C$17-14.5)</f>
        <v>0</v>
      </c>
    </row>
    <row r="8" spans="1:52" s="230" customFormat="1" x14ac:dyDescent="0.25">
      <c r="A8" s="59"/>
      <c r="B8" s="70">
        <f t="shared" si="7"/>
        <v>4</v>
      </c>
      <c r="C8" s="67">
        <f ca="1">IF(E8-'Invoer gegevens (N)'!$C$17&lt;0,0,1)</f>
        <v>1</v>
      </c>
      <c r="D8" s="68">
        <f t="shared" si="8"/>
        <v>3.5</v>
      </c>
      <c r="E8" s="69">
        <f ca="1">IF('Invoer gegevens (N)'!$C$16="","",E7+1)</f>
        <v>2022</v>
      </c>
      <c r="F8" s="82">
        <f ca="1">IF('Invoer gegevens (N)'!$C$17=E8,'Invoer gegevens (N)'!$C$10,IF(C8=1,H7,0))</f>
        <v>0</v>
      </c>
      <c r="G8" s="83">
        <f ca="1">IF(C8&gt;=1,F8*'Reeksen (N)'!C8,0)</f>
        <v>0</v>
      </c>
      <c r="H8" s="84">
        <f t="shared" ca="1" si="1"/>
        <v>0</v>
      </c>
      <c r="I8" s="85">
        <f ca="1">IF('Invoer gegevens (N)'!$C$17=E8,'Invoer gegevens (N)'!$C$11,IF(C8=1,L7,0))</f>
        <v>0</v>
      </c>
      <c r="J8" s="86">
        <f ca="1">IF(C8&lt;1,0,IF('Reeksen (N)'!AD8&lt;='Reeksen (N)'!AE8,I8*'Reeksen (N)'!C8,0))</f>
        <v>0</v>
      </c>
      <c r="K8" s="86">
        <f ca="1">IF(C8&lt;1,0,IF('Reeksen (N)'!AD8&gt;'Reeksen (N)'!AE8,I8*'Reeksen (N)'!C8,0))</f>
        <v>0</v>
      </c>
      <c r="L8" s="86">
        <f t="shared" ca="1" si="2"/>
        <v>0</v>
      </c>
      <c r="M8" s="85">
        <f ca="1">IF('Invoer gegevens (N)'!$C$17=E8,'Invoer gegevens (N)'!$C$10-'Invoer gegevens (N)'!$C$11,IF(C8=1,P7,0))</f>
        <v>0</v>
      </c>
      <c r="N8" s="86">
        <f ca="1">IF(C8&lt;1,0,IF('Reeksen (N)'!AD8&lt;='Reeksen (N)'!AE8,M8*'Reeksen (N)'!C8,0))</f>
        <v>0</v>
      </c>
      <c r="O8" s="86">
        <f ca="1">IF(C8&lt;1,0,IF('Reeksen (N)'!AD8&gt;'Reeksen (N)'!AE8,M8*'Reeksen (N)'!C8,0))</f>
        <v>0</v>
      </c>
      <c r="P8" s="86">
        <f t="shared" ca="1" si="3"/>
        <v>0</v>
      </c>
      <c r="Q8" s="82">
        <f ca="1">IF('Invoer gegevens (N)'!$C$17=E8,I8,IF(C8=0,0,R7))</f>
        <v>0</v>
      </c>
      <c r="R8" s="84">
        <f t="shared" ca="1" si="0"/>
        <v>0</v>
      </c>
      <c r="S8" s="84">
        <f ca="1">IF('Invoer gegevens (N)'!$C$17=E8,M8,IF(C8=0,0,T7))</f>
        <v>0</v>
      </c>
      <c r="T8" s="84">
        <f t="shared" ca="1" si="9"/>
        <v>0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70"/>
      <c r="AI8" s="71">
        <f ca="1">IF(C8=1,((F8+H8)/2*'Reeksen (N)'!AI8*12)+(('Invoer gegevens (N)'!$C$10-(F8+H8)/2)*'Reeksen (N)'!AD8*12),0)</f>
        <v>0</v>
      </c>
      <c r="AJ8" s="71">
        <f ca="1">-AI8*'Invoer gegevens (N)'!$F$28</f>
        <v>0</v>
      </c>
      <c r="AK8" s="71">
        <f t="shared" ca="1" si="4"/>
        <v>0</v>
      </c>
      <c r="AL8" s="71">
        <f ca="1">IF(C8=1,(12*((F8+H8)/2)*'Reeksen (N)'!AL8)+(12*('Invoer gegevens (N)'!$C$10-(F8+H8)/2)*'Reeksen (N)'!AM8),0)</f>
        <v>0</v>
      </c>
      <c r="AM8" s="71">
        <f ca="1">-AL8*'Invoer gegevens (N)'!$F$31</f>
        <v>0</v>
      </c>
      <c r="AN8" s="71">
        <f t="shared" ca="1" si="5"/>
        <v>0</v>
      </c>
      <c r="AO8" s="71"/>
      <c r="AP8" s="71"/>
      <c r="AQ8" s="71">
        <f ca="1">-IF(C8=1,('Invoer gegevens (N)'!$C$10*'Invoer gegevens (N)'!$F$35)*'Reeksen (N)'!J8,0)*2</f>
        <v>0</v>
      </c>
      <c r="AR8" s="71">
        <f ca="1">-IF(C8=1,(G8*'Invoer gegevens (N)'!$F$36)*'Reeksen (N)'!J8,0)</f>
        <v>0</v>
      </c>
      <c r="AS8" s="71">
        <f ca="1">-IF(C8=1,'Invoer gegevens (N)'!$C$10*'Invoer gegevens (N)'!$F$37*'Reeksen (N)'!L8,0)</f>
        <v>0</v>
      </c>
      <c r="AT8" s="71">
        <f ca="1">-IF(C8=1,IF(E8='Invoer gegevens (N)'!$C$17,'Invoer gegevens (N)'!$C$11,Q8)*'Reeksen (N)'!S8*'Invoer gegevens (N)'!$C$18*'Reeksen (N)'!P8,0)</f>
        <v>0</v>
      </c>
      <c r="AU8" s="71">
        <f ca="1">-IF(C8=1,'Invoer gegevens (N)'!$C$10*'Invoer gegevens (N)'!$F$38*'Reeksen (N)'!H8,0)</f>
        <v>0</v>
      </c>
      <c r="AV8" s="71">
        <v>0</v>
      </c>
      <c r="AW8" s="71">
        <f t="shared" ca="1" si="6"/>
        <v>0</v>
      </c>
      <c r="AX8" s="71">
        <f ca="1">IF(E8&lt;'Invoer gegevens (N)'!$C$17+15,0,IF('RW - MW - DE - DE (N)'!E8&gt;'Invoer gegevens (N)'!$C$17+215,0,'RW - MW - DE - DE (N)'!AW8))</f>
        <v>0</v>
      </c>
      <c r="AY8" s="71">
        <f ca="1">AX8/(1+'Invoer gegevens (N)'!$F$13)^($AZ8-('Invoer gegevens (N)'!$C$17-'Invoer gegevens (N)'!$C$16))/(1+'Invoer gegevens (N)'!$C$39)^('Invoer gegevens (N)'!$C$17-'Invoer gegevens (N)'!$C$16)</f>
        <v>0</v>
      </c>
      <c r="AZ8" s="68">
        <f ca="1">IF(E8-'Invoer gegevens (N)'!$C$17-14.5&lt;0,0,E8-'Invoer gegevens (N)'!$C$17-14.5)</f>
        <v>0</v>
      </c>
    </row>
    <row r="9" spans="1:52" s="230" customFormat="1" x14ac:dyDescent="0.25">
      <c r="A9" s="59"/>
      <c r="B9" s="70">
        <f t="shared" si="7"/>
        <v>5</v>
      </c>
      <c r="C9" s="67">
        <f ca="1">IF(E9-'Invoer gegevens (N)'!$C$17&lt;0,0,1)</f>
        <v>1</v>
      </c>
      <c r="D9" s="68">
        <f t="shared" si="8"/>
        <v>4.5</v>
      </c>
      <c r="E9" s="69">
        <f ca="1">IF('Invoer gegevens (N)'!$C$16="","",E8+1)</f>
        <v>2023</v>
      </c>
      <c r="F9" s="82">
        <f ca="1">IF('Invoer gegevens (N)'!$C$17=E9,'Invoer gegevens (N)'!$C$10,IF(C9=1,H8,0))</f>
        <v>0</v>
      </c>
      <c r="G9" s="83">
        <f ca="1">IF(C9&gt;=1,F9*'Reeksen (N)'!C9,0)</f>
        <v>0</v>
      </c>
      <c r="H9" s="84">
        <f t="shared" ca="1" si="1"/>
        <v>0</v>
      </c>
      <c r="I9" s="85">
        <f ca="1">IF('Invoer gegevens (N)'!$C$17=E9,'Invoer gegevens (N)'!$C$11,IF(C9=1,L8,0))</f>
        <v>0</v>
      </c>
      <c r="J9" s="86">
        <f ca="1">IF(C9&lt;1,0,IF('Reeksen (N)'!AD9&lt;='Reeksen (N)'!AE9,I9*'Reeksen (N)'!C9,0))</f>
        <v>0</v>
      </c>
      <c r="K9" s="86">
        <f ca="1">IF(C9&lt;1,0,IF('Reeksen (N)'!AD9&gt;'Reeksen (N)'!AE9,I9*'Reeksen (N)'!C9,0))</f>
        <v>0</v>
      </c>
      <c r="L9" s="86">
        <f t="shared" ca="1" si="2"/>
        <v>0</v>
      </c>
      <c r="M9" s="85">
        <f ca="1">IF('Invoer gegevens (N)'!$C$17=E9,'Invoer gegevens (N)'!$C$10-'Invoer gegevens (N)'!$C$11,IF(C9=1,P8,0))</f>
        <v>0</v>
      </c>
      <c r="N9" s="86">
        <f ca="1">IF(C9&lt;1,0,IF('Reeksen (N)'!AD9&lt;='Reeksen (N)'!AE9,M9*'Reeksen (N)'!C9,0))</f>
        <v>0</v>
      </c>
      <c r="O9" s="86">
        <f ca="1">IF(C9&lt;1,0,IF('Reeksen (N)'!AD9&gt;'Reeksen (N)'!AE9,M9*'Reeksen (N)'!C9,0))</f>
        <v>0</v>
      </c>
      <c r="P9" s="86">
        <f t="shared" ca="1" si="3"/>
        <v>0</v>
      </c>
      <c r="Q9" s="82">
        <f ca="1">IF('Invoer gegevens (N)'!$C$17=E9,I9,IF(C9=0,0,R8))</f>
        <v>0</v>
      </c>
      <c r="R9" s="84">
        <f t="shared" ca="1" si="0"/>
        <v>0</v>
      </c>
      <c r="S9" s="84">
        <f ca="1">IF('Invoer gegevens (N)'!$C$17=E9,M9,IF(C9=0,0,T8))</f>
        <v>0</v>
      </c>
      <c r="T9" s="84">
        <f t="shared" ca="1" si="9"/>
        <v>0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70"/>
      <c r="AI9" s="71">
        <f ca="1">IF(C9=1,((F9+H9)/2*'Reeksen (N)'!AI9*12)+(('Invoer gegevens (N)'!$C$10-(F9+H9)/2)*'Reeksen (N)'!AD9*12),0)</f>
        <v>0</v>
      </c>
      <c r="AJ9" s="71">
        <f ca="1">-AI9*'Invoer gegevens (N)'!$F$28</f>
        <v>0</v>
      </c>
      <c r="AK9" s="71">
        <f t="shared" ca="1" si="4"/>
        <v>0</v>
      </c>
      <c r="AL9" s="71">
        <f ca="1">IF(C9=1,(12*((F9+H9)/2)*'Reeksen (N)'!AL9)+(12*('Invoer gegevens (N)'!$C$10-(F9+H9)/2)*'Reeksen (N)'!AM9),0)</f>
        <v>0</v>
      </c>
      <c r="AM9" s="71">
        <f ca="1">-AL9*'Invoer gegevens (N)'!$F$31</f>
        <v>0</v>
      </c>
      <c r="AN9" s="71">
        <f t="shared" ca="1" si="5"/>
        <v>0</v>
      </c>
      <c r="AO9" s="71"/>
      <c r="AP9" s="71"/>
      <c r="AQ9" s="71">
        <f ca="1">-IF(C9=1,('Invoer gegevens (N)'!$C$10*'Invoer gegevens (N)'!$F$35)*'Reeksen (N)'!J9,0)*2</f>
        <v>0</v>
      </c>
      <c r="AR9" s="71">
        <f ca="1">-IF(C9=1,(G9*'Invoer gegevens (N)'!$F$36)*'Reeksen (N)'!J9,0)</f>
        <v>0</v>
      </c>
      <c r="AS9" s="71">
        <f ca="1">-IF(C9=1,'Invoer gegevens (N)'!$C$10*'Invoer gegevens (N)'!$F$37*'Reeksen (N)'!L9,0)</f>
        <v>0</v>
      </c>
      <c r="AT9" s="71">
        <f ca="1">-IF(C9=1,IF(E9='Invoer gegevens (N)'!$C$17,'Invoer gegevens (N)'!$C$11,Q9)*'Reeksen (N)'!S9*'Invoer gegevens (N)'!$C$18*'Reeksen (N)'!P9,0)</f>
        <v>0</v>
      </c>
      <c r="AU9" s="71">
        <f ca="1">-IF(C9=1,'Invoer gegevens (N)'!$C$10*'Invoer gegevens (N)'!$F$38*'Reeksen (N)'!H9,0)</f>
        <v>0</v>
      </c>
      <c r="AV9" s="71">
        <v>0</v>
      </c>
      <c r="AW9" s="71">
        <f t="shared" ca="1" si="6"/>
        <v>0</v>
      </c>
      <c r="AX9" s="71">
        <f ca="1">IF(E9&lt;'Invoer gegevens (N)'!$C$17+15,0,IF('RW - MW - DE - DE (N)'!E9&gt;'Invoer gegevens (N)'!$C$17+215,0,'RW - MW - DE - DE (N)'!AW9))</f>
        <v>0</v>
      </c>
      <c r="AY9" s="71">
        <f ca="1">AX9/(1+'Invoer gegevens (N)'!$F$13)^($AZ9-('Invoer gegevens (N)'!$C$17-'Invoer gegevens (N)'!$C$16))/(1+'Invoer gegevens (N)'!$C$39)^('Invoer gegevens (N)'!$C$17-'Invoer gegevens (N)'!$C$16)</f>
        <v>0</v>
      </c>
      <c r="AZ9" s="68">
        <f ca="1">IF(E9-'Invoer gegevens (N)'!$C$17-14.5&lt;0,0,E9-'Invoer gegevens (N)'!$C$17-14.5)</f>
        <v>0</v>
      </c>
    </row>
    <row r="10" spans="1:52" s="230" customFormat="1" x14ac:dyDescent="0.25">
      <c r="A10" s="59"/>
      <c r="B10" s="70">
        <f t="shared" si="7"/>
        <v>6</v>
      </c>
      <c r="C10" s="67">
        <f ca="1">IF(E10-'Invoer gegevens (N)'!$C$17&lt;0,0,1)</f>
        <v>1</v>
      </c>
      <c r="D10" s="68">
        <f t="shared" si="8"/>
        <v>5.5</v>
      </c>
      <c r="E10" s="69">
        <f ca="1">IF('Invoer gegevens (N)'!$C$16="","",E9+1)</f>
        <v>2024</v>
      </c>
      <c r="F10" s="82">
        <f ca="1">IF('Invoer gegevens (N)'!$C$17=E10,'Invoer gegevens (N)'!$C$10,IF(C10=1,H9,0))</f>
        <v>0</v>
      </c>
      <c r="G10" s="83">
        <f ca="1">IF(C10&gt;=1,F10*'Reeksen (N)'!C10,0)</f>
        <v>0</v>
      </c>
      <c r="H10" s="84">
        <f t="shared" ca="1" si="1"/>
        <v>0</v>
      </c>
      <c r="I10" s="85">
        <f ca="1">IF('Invoer gegevens (N)'!$C$17=E10,'Invoer gegevens (N)'!$C$11,IF(C10=1,L9,0))</f>
        <v>0</v>
      </c>
      <c r="J10" s="86">
        <f ca="1">IF(C10&lt;1,0,IF('Reeksen (N)'!AD10&lt;='Reeksen (N)'!AE10,I10*'Reeksen (N)'!C10,0))</f>
        <v>0</v>
      </c>
      <c r="K10" s="86">
        <f ca="1">IF(C10&lt;1,0,IF('Reeksen (N)'!AD10&gt;'Reeksen (N)'!AE10,I10*'Reeksen (N)'!C10,0))</f>
        <v>0</v>
      </c>
      <c r="L10" s="86">
        <f t="shared" ca="1" si="2"/>
        <v>0</v>
      </c>
      <c r="M10" s="85">
        <f ca="1">IF('Invoer gegevens (N)'!$C$17=E10,'Invoer gegevens (N)'!$C$10-'Invoer gegevens (N)'!$C$11,IF(C10=1,P9,0))</f>
        <v>0</v>
      </c>
      <c r="N10" s="86">
        <f ca="1">IF(C10&lt;1,0,IF('Reeksen (N)'!AD10&lt;='Reeksen (N)'!AE10,M10*'Reeksen (N)'!C10,0))</f>
        <v>0</v>
      </c>
      <c r="O10" s="86">
        <f ca="1">IF(C10&lt;1,0,IF('Reeksen (N)'!AD10&gt;'Reeksen (N)'!AE10,M10*'Reeksen (N)'!C10,0))</f>
        <v>0</v>
      </c>
      <c r="P10" s="86">
        <f t="shared" ca="1" si="3"/>
        <v>0</v>
      </c>
      <c r="Q10" s="82">
        <f ca="1">IF('Invoer gegevens (N)'!$C$17=E10,I10,IF(C10=0,0,R9))</f>
        <v>0</v>
      </c>
      <c r="R10" s="84">
        <f t="shared" ca="1" si="0"/>
        <v>0</v>
      </c>
      <c r="S10" s="84">
        <f ca="1">IF('Invoer gegevens (N)'!$C$17=E10,M10,IF(C10=0,0,T9))</f>
        <v>0</v>
      </c>
      <c r="T10" s="84">
        <f t="shared" ca="1" si="9"/>
        <v>0</v>
      </c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70"/>
      <c r="AI10" s="71">
        <f ca="1">IF(C10=1,((F10+H10)/2*'Reeksen (N)'!AI10*12)+(('Invoer gegevens (N)'!$C$10-(F10+H10)/2)*'Reeksen (N)'!AD10*12),0)</f>
        <v>0</v>
      </c>
      <c r="AJ10" s="71">
        <f ca="1">-AI10*'Invoer gegevens (N)'!$F$28</f>
        <v>0</v>
      </c>
      <c r="AK10" s="71">
        <f t="shared" ca="1" si="4"/>
        <v>0</v>
      </c>
      <c r="AL10" s="71">
        <f ca="1">IF(C10=1,(12*((F10+H10)/2)*'Reeksen (N)'!AL10)+(12*('Invoer gegevens (N)'!$C$10-(F10+H10)/2)*'Reeksen (N)'!AM10),0)</f>
        <v>0</v>
      </c>
      <c r="AM10" s="71">
        <f ca="1">-AL10*'Invoer gegevens (N)'!$F$31</f>
        <v>0</v>
      </c>
      <c r="AN10" s="71">
        <f t="shared" ca="1" si="5"/>
        <v>0</v>
      </c>
      <c r="AO10" s="71"/>
      <c r="AP10" s="71"/>
      <c r="AQ10" s="71">
        <f ca="1">-IF(C10=1,('Invoer gegevens (N)'!$C$10*'Invoer gegevens (N)'!$F$35)*'Reeksen (N)'!J10,0)*2</f>
        <v>0</v>
      </c>
      <c r="AR10" s="71">
        <f ca="1">-IF(C10=1,(G10*'Invoer gegevens (N)'!$F$36)*'Reeksen (N)'!J10,0)</f>
        <v>0</v>
      </c>
      <c r="AS10" s="71">
        <f ca="1">-IF(C10=1,'Invoer gegevens (N)'!$C$10*'Invoer gegevens (N)'!$F$37*'Reeksen (N)'!L10,0)</f>
        <v>0</v>
      </c>
      <c r="AT10" s="71">
        <f ca="1">-IF(C10=1,IF(E10='Invoer gegevens (N)'!$C$17,'Invoer gegevens (N)'!$C$11,Q10)*'Reeksen (N)'!S10*'Invoer gegevens (N)'!$C$18*'Reeksen (N)'!P10,0)</f>
        <v>0</v>
      </c>
      <c r="AU10" s="71">
        <f ca="1">-IF(C10=1,'Invoer gegevens (N)'!$C$10*'Invoer gegevens (N)'!$F$38*'Reeksen (N)'!H10,0)</f>
        <v>0</v>
      </c>
      <c r="AV10" s="71">
        <v>0</v>
      </c>
      <c r="AW10" s="71">
        <f t="shared" ca="1" si="6"/>
        <v>0</v>
      </c>
      <c r="AX10" s="71">
        <f ca="1">IF(E10&lt;'Invoer gegevens (N)'!$C$17+15,0,IF('RW - MW - DE - DE (N)'!E10&gt;'Invoer gegevens (N)'!$C$17+215,0,'RW - MW - DE - DE (N)'!AW10))</f>
        <v>0</v>
      </c>
      <c r="AY10" s="71">
        <f ca="1">AX10/(1+'Invoer gegevens (N)'!$F$13)^($AZ10-('Invoer gegevens (N)'!$C$17-'Invoer gegevens (N)'!$C$16))/(1+'Invoer gegevens (N)'!$C$39)^('Invoer gegevens (N)'!$C$17-'Invoer gegevens (N)'!$C$16)</f>
        <v>0</v>
      </c>
      <c r="AZ10" s="68">
        <f ca="1">IF(E10-'Invoer gegevens (N)'!$C$17-14.5&lt;0,0,E10-'Invoer gegevens (N)'!$C$17-14.5)</f>
        <v>0</v>
      </c>
    </row>
    <row r="11" spans="1:52" s="230" customFormat="1" x14ac:dyDescent="0.25">
      <c r="A11" s="59"/>
      <c r="B11" s="70">
        <f t="shared" si="7"/>
        <v>7</v>
      </c>
      <c r="C11" s="67">
        <f ca="1">IF(E11-'Invoer gegevens (N)'!$C$17&lt;0,0,1)</f>
        <v>1</v>
      </c>
      <c r="D11" s="68">
        <f t="shared" si="8"/>
        <v>6.5</v>
      </c>
      <c r="E11" s="69">
        <f ca="1">IF('Invoer gegevens (N)'!$C$16="","",E10+1)</f>
        <v>2025</v>
      </c>
      <c r="F11" s="82">
        <f ca="1">IF('Invoer gegevens (N)'!$C$17=E11,'Invoer gegevens (N)'!$C$10,IF(C11=1,H10,0))</f>
        <v>0</v>
      </c>
      <c r="G11" s="83">
        <f ca="1">IF(C11&gt;=1,F11*'Reeksen (N)'!C11,0)</f>
        <v>0</v>
      </c>
      <c r="H11" s="84">
        <f t="shared" ca="1" si="1"/>
        <v>0</v>
      </c>
      <c r="I11" s="85">
        <f ca="1">IF('Invoer gegevens (N)'!$C$17=E11,'Invoer gegevens (N)'!$C$11,IF(C11=1,L10,0))</f>
        <v>0</v>
      </c>
      <c r="J11" s="86">
        <f ca="1">IF(C11&lt;1,0,IF('Reeksen (N)'!AD11&lt;='Reeksen (N)'!AE11,I11*'Reeksen (N)'!C11,0))</f>
        <v>0</v>
      </c>
      <c r="K11" s="86">
        <f ca="1">IF(C11&lt;1,0,IF('Reeksen (N)'!AD11&gt;'Reeksen (N)'!AE11,I11*'Reeksen (N)'!C11,0))</f>
        <v>0</v>
      </c>
      <c r="L11" s="86">
        <f t="shared" ca="1" si="2"/>
        <v>0</v>
      </c>
      <c r="M11" s="85">
        <f ca="1">IF('Invoer gegevens (N)'!$C$17=E11,'Invoer gegevens (N)'!$C$10-'Invoer gegevens (N)'!$C$11,IF(C11=1,P10,0))</f>
        <v>0</v>
      </c>
      <c r="N11" s="86">
        <f ca="1">IF(C11&lt;1,0,IF('Reeksen (N)'!AD11&lt;='Reeksen (N)'!AE11,M11*'Reeksen (N)'!C11,0))</f>
        <v>0</v>
      </c>
      <c r="O11" s="86">
        <f ca="1">IF(C11&lt;1,0,IF('Reeksen (N)'!AD11&gt;'Reeksen (N)'!AE11,M11*'Reeksen (N)'!C11,0))</f>
        <v>0</v>
      </c>
      <c r="P11" s="86">
        <f t="shared" ca="1" si="3"/>
        <v>0</v>
      </c>
      <c r="Q11" s="82">
        <f ca="1">IF('Invoer gegevens (N)'!$C$17=E11,I11,IF(C11=0,0,R10))</f>
        <v>0</v>
      </c>
      <c r="R11" s="84">
        <f t="shared" ca="1" si="0"/>
        <v>0</v>
      </c>
      <c r="S11" s="84">
        <f ca="1">IF('Invoer gegevens (N)'!$C$17=E11,M11,IF(C11=0,0,T10))</f>
        <v>0</v>
      </c>
      <c r="T11" s="84">
        <f t="shared" ca="1" si="9"/>
        <v>0</v>
      </c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70"/>
      <c r="AI11" s="71">
        <f ca="1">IF(C11=1,((F11+H11)/2*'Reeksen (N)'!AI11*12)+(('Invoer gegevens (N)'!$C$10-(F11+H11)/2)*'Reeksen (N)'!AD11*12),0)</f>
        <v>0</v>
      </c>
      <c r="AJ11" s="71">
        <f ca="1">-AI11*'Invoer gegevens (N)'!$F$28</f>
        <v>0</v>
      </c>
      <c r="AK11" s="71">
        <f t="shared" ca="1" si="4"/>
        <v>0</v>
      </c>
      <c r="AL11" s="71">
        <f ca="1">IF(C11=1,(12*((F11+H11)/2)*'Reeksen (N)'!AL11)+(12*('Invoer gegevens (N)'!$C$10-(F11+H11)/2)*'Reeksen (N)'!AM11),0)</f>
        <v>0</v>
      </c>
      <c r="AM11" s="71">
        <f ca="1">-AL11*'Invoer gegevens (N)'!$F$31</f>
        <v>0</v>
      </c>
      <c r="AN11" s="71">
        <f t="shared" ca="1" si="5"/>
        <v>0</v>
      </c>
      <c r="AO11" s="71"/>
      <c r="AP11" s="71"/>
      <c r="AQ11" s="71">
        <f ca="1">-IF(C11=1,('Invoer gegevens (N)'!$C$10*'Invoer gegevens (N)'!$F$35)*'Reeksen (N)'!J11,0)*2</f>
        <v>0</v>
      </c>
      <c r="AR11" s="71">
        <f ca="1">-IF(C11=1,(G11*'Invoer gegevens (N)'!$F$36)*'Reeksen (N)'!J11,0)</f>
        <v>0</v>
      </c>
      <c r="AS11" s="71">
        <f ca="1">-IF(C11=1,'Invoer gegevens (N)'!$C$10*'Invoer gegevens (N)'!$F$37*'Reeksen (N)'!L11,0)</f>
        <v>0</v>
      </c>
      <c r="AT11" s="71">
        <f ca="1">-IF(C11=1,IF(E11='Invoer gegevens (N)'!$C$17,'Invoer gegevens (N)'!$C$11,Q11)*'Reeksen (N)'!S11*'Invoer gegevens (N)'!$C$18*'Reeksen (N)'!P11,0)</f>
        <v>0</v>
      </c>
      <c r="AU11" s="71">
        <f ca="1">-IF(C11=1,'Invoer gegevens (N)'!$C$10*'Invoer gegevens (N)'!$F$38*'Reeksen (N)'!H11,0)</f>
        <v>0</v>
      </c>
      <c r="AV11" s="71">
        <v>0</v>
      </c>
      <c r="AW11" s="71">
        <f t="shared" ca="1" si="6"/>
        <v>0</v>
      </c>
      <c r="AX11" s="71">
        <f ca="1">IF(E11&lt;'Invoer gegevens (N)'!$C$17+15,0,IF('RW - MW - DE - DE (N)'!E11&gt;'Invoer gegevens (N)'!$C$17+215,0,'RW - MW - DE - DE (N)'!AW11))</f>
        <v>0</v>
      </c>
      <c r="AY11" s="71">
        <f ca="1">AX11/(1+'Invoer gegevens (N)'!$F$13)^($AZ11-('Invoer gegevens (N)'!$C$17-'Invoer gegevens (N)'!$C$16))/(1+'Invoer gegevens (N)'!$C$39)^('Invoer gegevens (N)'!$C$17-'Invoer gegevens (N)'!$C$16)</f>
        <v>0</v>
      </c>
      <c r="AZ11" s="68">
        <f ca="1">IF(E11-'Invoer gegevens (N)'!$C$17-14.5&lt;0,0,E11-'Invoer gegevens (N)'!$C$17-14.5)</f>
        <v>0</v>
      </c>
    </row>
    <row r="12" spans="1:52" s="230" customFormat="1" x14ac:dyDescent="0.25">
      <c r="A12" s="59"/>
      <c r="B12" s="70">
        <f t="shared" si="7"/>
        <v>8</v>
      </c>
      <c r="C12" s="67">
        <f ca="1">IF(E12-'Invoer gegevens (N)'!$C$17&lt;0,0,1)</f>
        <v>1</v>
      </c>
      <c r="D12" s="68">
        <f t="shared" si="8"/>
        <v>7.5</v>
      </c>
      <c r="E12" s="69">
        <f ca="1">IF('Invoer gegevens (N)'!$C$16="","",E11+1)</f>
        <v>2026</v>
      </c>
      <c r="F12" s="82">
        <f ca="1">IF('Invoer gegevens (N)'!$C$17=E12,'Invoer gegevens (N)'!$C$10,IF(C12=1,H11,0))</f>
        <v>0</v>
      </c>
      <c r="G12" s="83">
        <f ca="1">IF(C12&gt;=1,F12*'Reeksen (N)'!C12,0)</f>
        <v>0</v>
      </c>
      <c r="H12" s="84">
        <f t="shared" ca="1" si="1"/>
        <v>0</v>
      </c>
      <c r="I12" s="85">
        <f ca="1">IF('Invoer gegevens (N)'!$C$17=E12,'Invoer gegevens (N)'!$C$11,IF(C12=1,L11,0))</f>
        <v>0</v>
      </c>
      <c r="J12" s="86">
        <f ca="1">IF(C12&lt;1,0,IF('Reeksen (N)'!AD12&lt;='Reeksen (N)'!AE12,I12*'Reeksen (N)'!C12,0))</f>
        <v>0</v>
      </c>
      <c r="K12" s="86">
        <f ca="1">IF(C12&lt;1,0,IF('Reeksen (N)'!AD12&gt;'Reeksen (N)'!AE12,I12*'Reeksen (N)'!C12,0))</f>
        <v>0</v>
      </c>
      <c r="L12" s="86">
        <f t="shared" ca="1" si="2"/>
        <v>0</v>
      </c>
      <c r="M12" s="85">
        <f ca="1">IF('Invoer gegevens (N)'!$C$17=E12,'Invoer gegevens (N)'!$C$10-'Invoer gegevens (N)'!$C$11,IF(C12=1,P11,0))</f>
        <v>0</v>
      </c>
      <c r="N12" s="86">
        <f ca="1">IF(C12&lt;1,0,IF('Reeksen (N)'!AD12&lt;='Reeksen (N)'!AE12,M12*'Reeksen (N)'!C12,0))</f>
        <v>0</v>
      </c>
      <c r="O12" s="86">
        <f ca="1">IF(C12&lt;1,0,IF('Reeksen (N)'!AD12&gt;'Reeksen (N)'!AE12,M12*'Reeksen (N)'!C12,0))</f>
        <v>0</v>
      </c>
      <c r="P12" s="86">
        <f t="shared" ca="1" si="3"/>
        <v>0</v>
      </c>
      <c r="Q12" s="82">
        <f ca="1">IF('Invoer gegevens (N)'!$C$17=E12,I12,IF(C12=0,0,R11))</f>
        <v>0</v>
      </c>
      <c r="R12" s="84">
        <f t="shared" ca="1" si="0"/>
        <v>0</v>
      </c>
      <c r="S12" s="84">
        <f ca="1">IF('Invoer gegevens (N)'!$C$17=E12,M12,IF(C12=0,0,T11))</f>
        <v>0</v>
      </c>
      <c r="T12" s="84">
        <f t="shared" ca="1" si="9"/>
        <v>0</v>
      </c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70"/>
      <c r="AI12" s="71">
        <f ca="1">IF(C12=1,((F12+H12)/2*'Reeksen (N)'!AI12*12)+(('Invoer gegevens (N)'!$C$10-(F12+H12)/2)*'Reeksen (N)'!AD12*12),0)</f>
        <v>0</v>
      </c>
      <c r="AJ12" s="71">
        <f ca="1">-AI12*'Invoer gegevens (N)'!$F$28</f>
        <v>0</v>
      </c>
      <c r="AK12" s="71">
        <f t="shared" ca="1" si="4"/>
        <v>0</v>
      </c>
      <c r="AL12" s="71">
        <f ca="1">IF(C12=1,(12*((F12+H12)/2)*'Reeksen (N)'!AL12)+(12*('Invoer gegevens (N)'!$C$10-(F12+H12)/2)*'Reeksen (N)'!AM12),0)</f>
        <v>0</v>
      </c>
      <c r="AM12" s="71">
        <f ca="1">-AL12*'Invoer gegevens (N)'!$F$31</f>
        <v>0</v>
      </c>
      <c r="AN12" s="71">
        <f t="shared" ca="1" si="5"/>
        <v>0</v>
      </c>
      <c r="AO12" s="71"/>
      <c r="AP12" s="71"/>
      <c r="AQ12" s="71">
        <f ca="1">-IF(C12=1,('Invoer gegevens (N)'!$C$10*'Invoer gegevens (N)'!$F$35)*'Reeksen (N)'!J12,0)*2</f>
        <v>0</v>
      </c>
      <c r="AR12" s="71">
        <f ca="1">-IF(C12=1,(G12*'Invoer gegevens (N)'!$F$36)*'Reeksen (N)'!J12,0)</f>
        <v>0</v>
      </c>
      <c r="AS12" s="71">
        <f ca="1">-IF(C12=1,'Invoer gegevens (N)'!$C$10*'Invoer gegevens (N)'!$F$37*'Reeksen (N)'!L12,0)</f>
        <v>0</v>
      </c>
      <c r="AT12" s="71">
        <f ca="1">-IF(C12=1,IF(E12='Invoer gegevens (N)'!$C$17,'Invoer gegevens (N)'!$C$11,Q12)*'Reeksen (N)'!S12*'Invoer gegevens (N)'!$C$18*'Reeksen (N)'!P12,0)</f>
        <v>0</v>
      </c>
      <c r="AU12" s="71">
        <f ca="1">-IF(C12=1,'Invoer gegevens (N)'!$C$10*'Invoer gegevens (N)'!$F$38*'Reeksen (N)'!H12,0)</f>
        <v>0</v>
      </c>
      <c r="AV12" s="71">
        <v>0</v>
      </c>
      <c r="AW12" s="71">
        <f t="shared" ca="1" si="6"/>
        <v>0</v>
      </c>
      <c r="AX12" s="71">
        <f ca="1">IF(E12&lt;'Invoer gegevens (N)'!$C$17+15,0,IF('RW - MW - DE - DE (N)'!E12&gt;'Invoer gegevens (N)'!$C$17+215,0,'RW - MW - DE - DE (N)'!AW12))</f>
        <v>0</v>
      </c>
      <c r="AY12" s="71">
        <f ca="1">AX12/(1+'Invoer gegevens (N)'!$F$13)^($AZ12-('Invoer gegevens (N)'!$C$17-'Invoer gegevens (N)'!$C$16))/(1+'Invoer gegevens (N)'!$C$39)^('Invoer gegevens (N)'!$C$17-'Invoer gegevens (N)'!$C$16)</f>
        <v>0</v>
      </c>
      <c r="AZ12" s="68">
        <f ca="1">IF(E12-'Invoer gegevens (N)'!$C$17-14.5&lt;0,0,E12-'Invoer gegevens (N)'!$C$17-14.5)</f>
        <v>0</v>
      </c>
    </row>
    <row r="13" spans="1:52" s="230" customFormat="1" x14ac:dyDescent="0.25">
      <c r="A13" s="59"/>
      <c r="B13" s="70">
        <f t="shared" si="7"/>
        <v>9</v>
      </c>
      <c r="C13" s="67">
        <f ca="1">IF(E13-'Invoer gegevens (N)'!$C$17&lt;0,0,1)</f>
        <v>1</v>
      </c>
      <c r="D13" s="68">
        <f t="shared" si="8"/>
        <v>8.5</v>
      </c>
      <c r="E13" s="69">
        <f ca="1">IF('Invoer gegevens (N)'!$C$16="","",E12+1)</f>
        <v>2027</v>
      </c>
      <c r="F13" s="82">
        <f ca="1">IF('Invoer gegevens (N)'!$C$17=E13,'Invoer gegevens (N)'!$C$10,IF(C13=1,H12,0))</f>
        <v>0</v>
      </c>
      <c r="G13" s="83">
        <f ca="1">IF(C13&gt;=1,F13*'Reeksen (N)'!C13,0)</f>
        <v>0</v>
      </c>
      <c r="H13" s="84">
        <f t="shared" ca="1" si="1"/>
        <v>0</v>
      </c>
      <c r="I13" s="85">
        <f ca="1">IF('Invoer gegevens (N)'!$C$17=E13,'Invoer gegevens (N)'!$C$11,IF(C13=1,L12,0))</f>
        <v>0</v>
      </c>
      <c r="J13" s="86">
        <f ca="1">IF(C13&lt;1,0,IF('Reeksen (N)'!AD13&lt;='Reeksen (N)'!AE13,I13*'Reeksen (N)'!C13,0))</f>
        <v>0</v>
      </c>
      <c r="K13" s="86">
        <f ca="1">IF(C13&lt;1,0,IF('Reeksen (N)'!AD13&gt;'Reeksen (N)'!AE13,I13*'Reeksen (N)'!C13,0))</f>
        <v>0</v>
      </c>
      <c r="L13" s="86">
        <f t="shared" ca="1" si="2"/>
        <v>0</v>
      </c>
      <c r="M13" s="85">
        <f ca="1">IF('Invoer gegevens (N)'!$C$17=E13,'Invoer gegevens (N)'!$C$10-'Invoer gegevens (N)'!$C$11,IF(C13=1,P12,0))</f>
        <v>0</v>
      </c>
      <c r="N13" s="86">
        <f ca="1">IF(C13&lt;1,0,IF('Reeksen (N)'!AD13&lt;='Reeksen (N)'!AE13,M13*'Reeksen (N)'!C13,0))</f>
        <v>0</v>
      </c>
      <c r="O13" s="86">
        <f ca="1">IF(C13&lt;1,0,IF('Reeksen (N)'!AD13&gt;'Reeksen (N)'!AE13,M13*'Reeksen (N)'!C13,0))</f>
        <v>0</v>
      </c>
      <c r="P13" s="86">
        <f t="shared" ca="1" si="3"/>
        <v>0</v>
      </c>
      <c r="Q13" s="82">
        <f ca="1">IF('Invoer gegevens (N)'!$C$17=E13,I13,IF(C13=0,0,R12))</f>
        <v>0</v>
      </c>
      <c r="R13" s="84">
        <f t="shared" ca="1" si="0"/>
        <v>0</v>
      </c>
      <c r="S13" s="84">
        <f ca="1">IF('Invoer gegevens (N)'!$C$17=E13,M13,IF(C13=0,0,T12))</f>
        <v>0</v>
      </c>
      <c r="T13" s="84">
        <f t="shared" ca="1" si="9"/>
        <v>0</v>
      </c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70"/>
      <c r="AI13" s="71">
        <f ca="1">IF(C13=1,((F13+H13)/2*'Reeksen (N)'!AI13*12)+(('Invoer gegevens (N)'!$C$10-(F13+H13)/2)*'Reeksen (N)'!AD13*12),0)</f>
        <v>0</v>
      </c>
      <c r="AJ13" s="71">
        <f ca="1">-AI13*'Invoer gegevens (N)'!$F$28</f>
        <v>0</v>
      </c>
      <c r="AK13" s="71">
        <f t="shared" ca="1" si="4"/>
        <v>0</v>
      </c>
      <c r="AL13" s="71">
        <f ca="1">IF(C13=1,(12*((F13+H13)/2)*'Reeksen (N)'!AL13)+(12*('Invoer gegevens (N)'!$C$10-(F13+H13)/2)*'Reeksen (N)'!AM13),0)</f>
        <v>0</v>
      </c>
      <c r="AM13" s="71">
        <f ca="1">-AL13*'Invoer gegevens (N)'!$F$31</f>
        <v>0</v>
      </c>
      <c r="AN13" s="71">
        <f t="shared" ca="1" si="5"/>
        <v>0</v>
      </c>
      <c r="AO13" s="71"/>
      <c r="AP13" s="71"/>
      <c r="AQ13" s="71">
        <f ca="1">-IF(C13=1,('Invoer gegevens (N)'!$C$10*'Invoer gegevens (N)'!$F$35)*'Reeksen (N)'!J13,0)*2</f>
        <v>0</v>
      </c>
      <c r="AR13" s="71">
        <f ca="1">-IF(C13=1,(G13*'Invoer gegevens (N)'!$F$36)*'Reeksen (N)'!J13,0)</f>
        <v>0</v>
      </c>
      <c r="AS13" s="71">
        <f ca="1">-IF(C13=1,'Invoer gegevens (N)'!$C$10*'Invoer gegevens (N)'!$F$37*'Reeksen (N)'!L13,0)</f>
        <v>0</v>
      </c>
      <c r="AT13" s="71">
        <f ca="1">-IF(C13=1,IF(E13='Invoer gegevens (N)'!$C$17,'Invoer gegevens (N)'!$C$11,Q13)*'Reeksen (N)'!S13*'Invoer gegevens (N)'!$C$18*'Reeksen (N)'!P13,0)</f>
        <v>0</v>
      </c>
      <c r="AU13" s="71">
        <f ca="1">-IF(C13=1,'Invoer gegevens (N)'!$C$10*'Invoer gegevens (N)'!$F$38*'Reeksen (N)'!H13,0)</f>
        <v>0</v>
      </c>
      <c r="AV13" s="71">
        <v>0</v>
      </c>
      <c r="AW13" s="71">
        <f t="shared" ca="1" si="6"/>
        <v>0</v>
      </c>
      <c r="AX13" s="71">
        <f ca="1">IF(E13&lt;'Invoer gegevens (N)'!$C$17+15,0,IF('RW - MW - DE - DE (N)'!E13&gt;'Invoer gegevens (N)'!$C$17+215,0,'RW - MW - DE - DE (N)'!AW13))</f>
        <v>0</v>
      </c>
      <c r="AY13" s="71">
        <f ca="1">AX13/(1+'Invoer gegevens (N)'!$F$13)^($AZ13-('Invoer gegevens (N)'!$C$17-'Invoer gegevens (N)'!$C$16))/(1+'Invoer gegevens (N)'!$C$39)^('Invoer gegevens (N)'!$C$17-'Invoer gegevens (N)'!$C$16)</f>
        <v>0</v>
      </c>
      <c r="AZ13" s="68">
        <f ca="1">IF(E13-'Invoer gegevens (N)'!$C$17-14.5&lt;0,0,E13-'Invoer gegevens (N)'!$C$17-14.5)</f>
        <v>0</v>
      </c>
    </row>
    <row r="14" spans="1:52" s="230" customFormat="1" x14ac:dyDescent="0.25">
      <c r="A14" s="59"/>
      <c r="B14" s="70">
        <f t="shared" si="7"/>
        <v>10</v>
      </c>
      <c r="C14" s="67">
        <f ca="1">IF(E14-'Invoer gegevens (N)'!$C$17&lt;0,0,1)</f>
        <v>1</v>
      </c>
      <c r="D14" s="68">
        <f t="shared" si="8"/>
        <v>9.5</v>
      </c>
      <c r="E14" s="69">
        <f ca="1">IF('Invoer gegevens (N)'!$C$16="","",E13+1)</f>
        <v>2028</v>
      </c>
      <c r="F14" s="82">
        <f ca="1">IF('Invoer gegevens (N)'!$C$17=E14,'Invoer gegevens (N)'!$C$10,IF(C14=1,H13,0))</f>
        <v>0</v>
      </c>
      <c r="G14" s="83">
        <f ca="1">IF(C14&gt;=1,F14*'Reeksen (N)'!C14,0)</f>
        <v>0</v>
      </c>
      <c r="H14" s="84">
        <f t="shared" ca="1" si="1"/>
        <v>0</v>
      </c>
      <c r="I14" s="85">
        <f ca="1">IF('Invoer gegevens (N)'!$C$17=E14,'Invoer gegevens (N)'!$C$11,IF(C14=1,L13,0))</f>
        <v>0</v>
      </c>
      <c r="J14" s="86">
        <f ca="1">IF(C14&lt;1,0,IF('Reeksen (N)'!AD14&lt;='Reeksen (N)'!AE14,I14*'Reeksen (N)'!C14,0))</f>
        <v>0</v>
      </c>
      <c r="K14" s="86">
        <f ca="1">IF(C14&lt;1,0,IF('Reeksen (N)'!AD14&gt;'Reeksen (N)'!AE14,I14*'Reeksen (N)'!C14,0))</f>
        <v>0</v>
      </c>
      <c r="L14" s="86">
        <f t="shared" ca="1" si="2"/>
        <v>0</v>
      </c>
      <c r="M14" s="85">
        <f ca="1">IF('Invoer gegevens (N)'!$C$17=E14,'Invoer gegevens (N)'!$C$10-'Invoer gegevens (N)'!$C$11,IF(C14=1,P13,0))</f>
        <v>0</v>
      </c>
      <c r="N14" s="86">
        <f ca="1">IF(C14&lt;1,0,IF('Reeksen (N)'!AD14&lt;='Reeksen (N)'!AE14,M14*'Reeksen (N)'!C14,0))</f>
        <v>0</v>
      </c>
      <c r="O14" s="86">
        <f ca="1">IF(C14&lt;1,0,IF('Reeksen (N)'!AD14&gt;'Reeksen (N)'!AE14,M14*'Reeksen (N)'!C14,0))</f>
        <v>0</v>
      </c>
      <c r="P14" s="86">
        <f t="shared" ca="1" si="3"/>
        <v>0</v>
      </c>
      <c r="Q14" s="82">
        <f ca="1">IF('Invoer gegevens (N)'!$C$17=E14,I14,IF(C14=0,0,R13))</f>
        <v>0</v>
      </c>
      <c r="R14" s="84">
        <f t="shared" ca="1" si="0"/>
        <v>0</v>
      </c>
      <c r="S14" s="84">
        <f ca="1">IF('Invoer gegevens (N)'!$C$17=E14,M14,IF(C14=0,0,T13))</f>
        <v>0</v>
      </c>
      <c r="T14" s="84">
        <f t="shared" ca="1" si="9"/>
        <v>0</v>
      </c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70"/>
      <c r="AI14" s="71">
        <f ca="1">IF(C14=1,((F14+H14)/2*'Reeksen (N)'!AI14*12)+(('Invoer gegevens (N)'!$C$10-(F14+H14)/2)*'Reeksen (N)'!AD14*12),0)</f>
        <v>0</v>
      </c>
      <c r="AJ14" s="71">
        <f ca="1">-AI14*'Invoer gegevens (N)'!$F$28</f>
        <v>0</v>
      </c>
      <c r="AK14" s="71">
        <f t="shared" ca="1" si="4"/>
        <v>0</v>
      </c>
      <c r="AL14" s="71">
        <f ca="1">IF(C14=1,(12*((F14+H14)/2)*'Reeksen (N)'!AL14)+(12*('Invoer gegevens (N)'!$C$10-(F14+H14)/2)*'Reeksen (N)'!AM14),0)</f>
        <v>0</v>
      </c>
      <c r="AM14" s="71">
        <f ca="1">-AL14*'Invoer gegevens (N)'!$F$31</f>
        <v>0</v>
      </c>
      <c r="AN14" s="71">
        <f t="shared" ca="1" si="5"/>
        <v>0</v>
      </c>
      <c r="AO14" s="71"/>
      <c r="AP14" s="71"/>
      <c r="AQ14" s="71">
        <f ca="1">-IF(C14=1,('Invoer gegevens (N)'!$C$10*'Invoer gegevens (N)'!$F$35)*'Reeksen (N)'!J14,0)*2</f>
        <v>0</v>
      </c>
      <c r="AR14" s="71">
        <f ca="1">-IF(C14=1,(G14*'Invoer gegevens (N)'!$F$36)*'Reeksen (N)'!J14,0)</f>
        <v>0</v>
      </c>
      <c r="AS14" s="71">
        <f ca="1">-IF(C14=1,'Invoer gegevens (N)'!$C$10*'Invoer gegevens (N)'!$F$37*'Reeksen (N)'!L14,0)</f>
        <v>0</v>
      </c>
      <c r="AT14" s="71">
        <f ca="1">-IF(C14=1,IF(E14='Invoer gegevens (N)'!$C$17,'Invoer gegevens (N)'!$C$11,Q14)*'Reeksen (N)'!S14*'Invoer gegevens (N)'!$C$18*'Reeksen (N)'!P14,0)</f>
        <v>0</v>
      </c>
      <c r="AU14" s="71">
        <f ca="1">-IF(C14=1,'Invoer gegevens (N)'!$C$10*'Invoer gegevens (N)'!$F$38*'Reeksen (N)'!H14,0)</f>
        <v>0</v>
      </c>
      <c r="AV14" s="71">
        <v>0</v>
      </c>
      <c r="AW14" s="71">
        <f t="shared" ca="1" si="6"/>
        <v>0</v>
      </c>
      <c r="AX14" s="71">
        <f ca="1">IF(E14&lt;'Invoer gegevens (N)'!$C$17+15,0,IF('RW - MW - DE - DE (N)'!E14&gt;'Invoer gegevens (N)'!$C$17+215,0,'RW - MW - DE - DE (N)'!AW14))</f>
        <v>0</v>
      </c>
      <c r="AY14" s="71">
        <f ca="1">AX14/(1+'Invoer gegevens (N)'!$F$13)^($AZ14-('Invoer gegevens (N)'!$C$17-'Invoer gegevens (N)'!$C$16))/(1+'Invoer gegevens (N)'!$C$39)^('Invoer gegevens (N)'!$C$17-'Invoer gegevens (N)'!$C$16)</f>
        <v>0</v>
      </c>
      <c r="AZ14" s="68">
        <f ca="1">IF(E14-'Invoer gegevens (N)'!$C$17-14.5&lt;0,0,E14-'Invoer gegevens (N)'!$C$17-14.5)</f>
        <v>0</v>
      </c>
    </row>
    <row r="15" spans="1:52" s="230" customFormat="1" x14ac:dyDescent="0.25">
      <c r="A15" s="59"/>
      <c r="B15" s="70">
        <f t="shared" si="7"/>
        <v>11</v>
      </c>
      <c r="C15" s="67">
        <f ca="1">IF(E15-'Invoer gegevens (N)'!$C$17&lt;0,0,1)</f>
        <v>1</v>
      </c>
      <c r="D15" s="68">
        <f t="shared" si="8"/>
        <v>10.5</v>
      </c>
      <c r="E15" s="69">
        <f ca="1">IF('Invoer gegevens (N)'!$C$16="","",E14+1)</f>
        <v>2029</v>
      </c>
      <c r="F15" s="82">
        <f ca="1">IF('Invoer gegevens (N)'!$C$17=E15,'Invoer gegevens (N)'!$C$10,IF(C15=1,H14,0))</f>
        <v>0</v>
      </c>
      <c r="G15" s="83">
        <f ca="1">IF(C15&gt;=1,F15*'Reeksen (N)'!C15,0)</f>
        <v>0</v>
      </c>
      <c r="H15" s="84">
        <f t="shared" ca="1" si="1"/>
        <v>0</v>
      </c>
      <c r="I15" s="85">
        <f ca="1">IF('Invoer gegevens (N)'!$C$17=E15,'Invoer gegevens (N)'!$C$11,IF(C15=1,L14,0))</f>
        <v>0</v>
      </c>
      <c r="J15" s="86">
        <f ca="1">IF(C15&lt;1,0,IF('Reeksen (N)'!AD15&lt;='Reeksen (N)'!AE15,I15*'Reeksen (N)'!C15,0))</f>
        <v>0</v>
      </c>
      <c r="K15" s="86">
        <f ca="1">IF(C15&lt;1,0,IF('Reeksen (N)'!AD15&gt;'Reeksen (N)'!AE15,I15*'Reeksen (N)'!C15,0))</f>
        <v>0</v>
      </c>
      <c r="L15" s="86">
        <f t="shared" ca="1" si="2"/>
        <v>0</v>
      </c>
      <c r="M15" s="85">
        <f ca="1">IF('Invoer gegevens (N)'!$C$17=E15,'Invoer gegevens (N)'!$C$10-'Invoer gegevens (N)'!$C$11,IF(C15=1,P14,0))</f>
        <v>0</v>
      </c>
      <c r="N15" s="86">
        <f ca="1">IF(C15&lt;1,0,IF('Reeksen (N)'!AD15&lt;='Reeksen (N)'!AE15,M15*'Reeksen (N)'!C15,0))</f>
        <v>0</v>
      </c>
      <c r="O15" s="86">
        <f ca="1">IF(C15&lt;1,0,IF('Reeksen (N)'!AD15&gt;'Reeksen (N)'!AE15,M15*'Reeksen (N)'!C15,0))</f>
        <v>0</v>
      </c>
      <c r="P15" s="86">
        <f t="shared" ca="1" si="3"/>
        <v>0</v>
      </c>
      <c r="Q15" s="82">
        <f ca="1">IF('Invoer gegevens (N)'!$C$17=E15,I15,IF(C15=0,0,R14))</f>
        <v>0</v>
      </c>
      <c r="R15" s="84">
        <f t="shared" ca="1" si="0"/>
        <v>0</v>
      </c>
      <c r="S15" s="84">
        <f ca="1">IF('Invoer gegevens (N)'!$C$17=E15,M15,IF(C15=0,0,T14))</f>
        <v>0</v>
      </c>
      <c r="T15" s="84">
        <f t="shared" ca="1" si="9"/>
        <v>0</v>
      </c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70"/>
      <c r="AI15" s="71">
        <f ca="1">IF(C15=1,((F15+H15)/2*'Reeksen (N)'!AI15*12)+(('Invoer gegevens (N)'!$C$10-(F15+H15)/2)*'Reeksen (N)'!AD15*12),0)</f>
        <v>0</v>
      </c>
      <c r="AJ15" s="71">
        <f ca="1">-AI15*'Invoer gegevens (N)'!$F$28</f>
        <v>0</v>
      </c>
      <c r="AK15" s="71">
        <f t="shared" ca="1" si="4"/>
        <v>0</v>
      </c>
      <c r="AL15" s="71">
        <f ca="1">IF(C15=1,(12*((F15+H15)/2)*'Reeksen (N)'!AL15)+(12*('Invoer gegevens (N)'!$C$10-(F15+H15)/2)*'Reeksen (N)'!AM15),0)</f>
        <v>0</v>
      </c>
      <c r="AM15" s="71">
        <f ca="1">-AL15*'Invoer gegevens (N)'!$F$31</f>
        <v>0</v>
      </c>
      <c r="AN15" s="71">
        <f t="shared" ca="1" si="5"/>
        <v>0</v>
      </c>
      <c r="AO15" s="71"/>
      <c r="AP15" s="71"/>
      <c r="AQ15" s="71">
        <f ca="1">-IF(C15=1,('Invoer gegevens (N)'!$C$10*'Invoer gegevens (N)'!$F$35)*'Reeksen (N)'!J15,0)*2</f>
        <v>0</v>
      </c>
      <c r="AR15" s="71">
        <f ca="1">-IF(C15=1,(G15*'Invoer gegevens (N)'!$F$36)*'Reeksen (N)'!J15,0)</f>
        <v>0</v>
      </c>
      <c r="AS15" s="71">
        <f ca="1">-IF(C15=1,'Invoer gegevens (N)'!$C$10*'Invoer gegevens (N)'!$F$37*'Reeksen (N)'!L15,0)</f>
        <v>0</v>
      </c>
      <c r="AT15" s="71">
        <f ca="1">-IF(C15=1,IF(E15='Invoer gegevens (N)'!$C$17,'Invoer gegevens (N)'!$C$11,Q15)*'Reeksen (N)'!S15*'Invoer gegevens (N)'!$C$18*'Reeksen (N)'!P15,0)</f>
        <v>0</v>
      </c>
      <c r="AU15" s="71">
        <f ca="1">-IF(C15=1,'Invoer gegevens (N)'!$C$10*'Invoer gegevens (N)'!$F$38*'Reeksen (N)'!H15,0)</f>
        <v>0</v>
      </c>
      <c r="AV15" s="71">
        <v>0</v>
      </c>
      <c r="AW15" s="71">
        <f t="shared" ca="1" si="6"/>
        <v>0</v>
      </c>
      <c r="AX15" s="71">
        <f ca="1">IF(E15&lt;'Invoer gegevens (N)'!$C$17+15,0,IF('RW - MW - DE - DE (N)'!E15&gt;'Invoer gegevens (N)'!$C$17+215,0,'RW - MW - DE - DE (N)'!AW15))</f>
        <v>0</v>
      </c>
      <c r="AY15" s="71">
        <f ca="1">AX15/(1+'Invoer gegevens (N)'!$F$13)^($AZ15-('Invoer gegevens (N)'!$C$17-'Invoer gegevens (N)'!$C$16))/(1+'Invoer gegevens (N)'!$C$39)^('Invoer gegevens (N)'!$C$17-'Invoer gegevens (N)'!$C$16)</f>
        <v>0</v>
      </c>
      <c r="AZ15" s="68">
        <f ca="1">IF(E15-'Invoer gegevens (N)'!$C$17-14.5&lt;0,0,E15-'Invoer gegevens (N)'!$C$17-14.5)</f>
        <v>0</v>
      </c>
    </row>
    <row r="16" spans="1:52" s="230" customFormat="1" x14ac:dyDescent="0.25">
      <c r="A16" s="59"/>
      <c r="B16" s="70">
        <f t="shared" si="7"/>
        <v>12</v>
      </c>
      <c r="C16" s="67">
        <f ca="1">IF(E16-'Invoer gegevens (N)'!$C$17&lt;0,0,1)</f>
        <v>1</v>
      </c>
      <c r="D16" s="68">
        <f t="shared" si="8"/>
        <v>11.5</v>
      </c>
      <c r="E16" s="69">
        <f ca="1">IF('Invoer gegevens (N)'!$C$16="","",E15+1)</f>
        <v>2030</v>
      </c>
      <c r="F16" s="82">
        <f ca="1">IF('Invoer gegevens (N)'!$C$17=E16,'Invoer gegevens (N)'!$C$10,IF(C16=1,H15,0))</f>
        <v>0</v>
      </c>
      <c r="G16" s="83">
        <f ca="1">IF(C16&gt;=1,F16*'Reeksen (N)'!C16,0)</f>
        <v>0</v>
      </c>
      <c r="H16" s="84">
        <f t="shared" ca="1" si="1"/>
        <v>0</v>
      </c>
      <c r="I16" s="85">
        <f ca="1">IF('Invoer gegevens (N)'!$C$17=E16,'Invoer gegevens (N)'!$C$11,IF(C16=1,L15,0))</f>
        <v>0</v>
      </c>
      <c r="J16" s="86">
        <f ca="1">IF(C16&lt;1,0,IF('Reeksen (N)'!AD16&lt;='Reeksen (N)'!AE16,I16*'Reeksen (N)'!C16,0))</f>
        <v>0</v>
      </c>
      <c r="K16" s="86">
        <f ca="1">IF(C16&lt;1,0,IF('Reeksen (N)'!AD16&gt;'Reeksen (N)'!AE16,I16*'Reeksen (N)'!C16,0))</f>
        <v>0</v>
      </c>
      <c r="L16" s="86">
        <f t="shared" ca="1" si="2"/>
        <v>0</v>
      </c>
      <c r="M16" s="85">
        <f ca="1">IF('Invoer gegevens (N)'!$C$17=E16,'Invoer gegevens (N)'!$C$10-'Invoer gegevens (N)'!$C$11,IF(C16=1,P15,0))</f>
        <v>0</v>
      </c>
      <c r="N16" s="86">
        <f ca="1">IF(C16&lt;1,0,IF('Reeksen (N)'!AD16&lt;='Reeksen (N)'!AE16,M16*'Reeksen (N)'!C16,0))</f>
        <v>0</v>
      </c>
      <c r="O16" s="86">
        <f ca="1">IF(C16&lt;1,0,IF('Reeksen (N)'!AD16&gt;'Reeksen (N)'!AE16,M16*'Reeksen (N)'!C16,0))</f>
        <v>0</v>
      </c>
      <c r="P16" s="86">
        <f t="shared" ca="1" si="3"/>
        <v>0</v>
      </c>
      <c r="Q16" s="82">
        <f ca="1">IF('Invoer gegevens (N)'!$C$17=E16,I16,IF(C16=0,0,R15))</f>
        <v>0</v>
      </c>
      <c r="R16" s="84">
        <f t="shared" ca="1" si="0"/>
        <v>0</v>
      </c>
      <c r="S16" s="84">
        <f ca="1">IF('Invoer gegevens (N)'!$C$17=E16,M16,IF(C16=0,0,T15))</f>
        <v>0</v>
      </c>
      <c r="T16" s="84">
        <f t="shared" ca="1" si="9"/>
        <v>0</v>
      </c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70"/>
      <c r="AI16" s="71">
        <f ca="1">IF(C16=1,((F16+H16)/2*'Reeksen (N)'!AI16*12)+(('Invoer gegevens (N)'!$C$10-(F16+H16)/2)*'Reeksen (N)'!AD16*12),0)</f>
        <v>0</v>
      </c>
      <c r="AJ16" s="71">
        <f ca="1">-AI16*'Invoer gegevens (N)'!$F$28</f>
        <v>0</v>
      </c>
      <c r="AK16" s="71">
        <f t="shared" ca="1" si="4"/>
        <v>0</v>
      </c>
      <c r="AL16" s="71">
        <f ca="1">IF(C16=1,(12*((F16+H16)/2)*'Reeksen (N)'!AL16)+(12*('Invoer gegevens (N)'!$C$10-(F16+H16)/2)*'Reeksen (N)'!AM16),0)</f>
        <v>0</v>
      </c>
      <c r="AM16" s="71">
        <f ca="1">-AL16*'Invoer gegevens (N)'!$F$31</f>
        <v>0</v>
      </c>
      <c r="AN16" s="71">
        <f t="shared" ca="1" si="5"/>
        <v>0</v>
      </c>
      <c r="AO16" s="71"/>
      <c r="AP16" s="71"/>
      <c r="AQ16" s="71">
        <f ca="1">-IF(C16=1,('Invoer gegevens (N)'!$C$10*'Invoer gegevens (N)'!$F$35)*'Reeksen (N)'!J16,0)*2</f>
        <v>0</v>
      </c>
      <c r="AR16" s="71">
        <f ca="1">-IF(C16=1,(G16*'Invoer gegevens (N)'!$F$36)*'Reeksen (N)'!J16,0)</f>
        <v>0</v>
      </c>
      <c r="AS16" s="71">
        <f ca="1">-IF(C16=1,'Invoer gegevens (N)'!$C$10*'Invoer gegevens (N)'!$F$37*'Reeksen (N)'!L16,0)</f>
        <v>0</v>
      </c>
      <c r="AT16" s="71">
        <f ca="1">-IF(C16=1,IF(E16='Invoer gegevens (N)'!$C$17,'Invoer gegevens (N)'!$C$11,Q16)*'Reeksen (N)'!S16*'Invoer gegevens (N)'!$C$18*'Reeksen (N)'!P16,0)</f>
        <v>0</v>
      </c>
      <c r="AU16" s="71">
        <f ca="1">-IF(C16=1,'Invoer gegevens (N)'!$C$10*'Invoer gegevens (N)'!$F$38*'Reeksen (N)'!H16,0)</f>
        <v>0</v>
      </c>
      <c r="AV16" s="71">
        <v>0</v>
      </c>
      <c r="AW16" s="71">
        <f t="shared" ca="1" si="6"/>
        <v>0</v>
      </c>
      <c r="AX16" s="71">
        <f ca="1">IF(E16&lt;'Invoer gegevens (N)'!$C$17+15,0,IF('RW - MW - DE - DE (N)'!E16&gt;'Invoer gegevens (N)'!$C$17+215,0,'RW - MW - DE - DE (N)'!AW16))</f>
        <v>0</v>
      </c>
      <c r="AY16" s="71">
        <f ca="1">AX16/(1+'Invoer gegevens (N)'!$F$13)^($AZ16-('Invoer gegevens (N)'!$C$17-'Invoer gegevens (N)'!$C$16))/(1+'Invoer gegevens (N)'!$C$39)^('Invoer gegevens (N)'!$C$17-'Invoer gegevens (N)'!$C$16)</f>
        <v>0</v>
      </c>
      <c r="AZ16" s="68">
        <f ca="1">IF(E16-'Invoer gegevens (N)'!$C$17-14.5&lt;0,0,E16-'Invoer gegevens (N)'!$C$17-14.5)</f>
        <v>0</v>
      </c>
    </row>
    <row r="17" spans="1:55" s="230" customFormat="1" x14ac:dyDescent="0.25">
      <c r="A17" s="59"/>
      <c r="B17" s="70">
        <f t="shared" si="7"/>
        <v>13</v>
      </c>
      <c r="C17" s="67">
        <f ca="1">IF(E17-'Invoer gegevens (N)'!$C$17&lt;0,0,1)</f>
        <v>1</v>
      </c>
      <c r="D17" s="68">
        <f t="shared" si="8"/>
        <v>12.5</v>
      </c>
      <c r="E17" s="69">
        <f ca="1">IF('Invoer gegevens (N)'!$C$16="","",E16+1)</f>
        <v>2031</v>
      </c>
      <c r="F17" s="82">
        <f ca="1">IF('Invoer gegevens (N)'!$C$17=E17,'Invoer gegevens (N)'!$C$10,IF(C17=1,H16,0))</f>
        <v>0</v>
      </c>
      <c r="G17" s="83">
        <f ca="1">IF(C17&gt;=1,F17*'Reeksen (N)'!C17,0)</f>
        <v>0</v>
      </c>
      <c r="H17" s="84">
        <f t="shared" ca="1" si="1"/>
        <v>0</v>
      </c>
      <c r="I17" s="85">
        <f ca="1">IF('Invoer gegevens (N)'!$C$17=E17,'Invoer gegevens (N)'!$C$11,IF(C17=1,L16,0))</f>
        <v>0</v>
      </c>
      <c r="J17" s="86">
        <f ca="1">IF(C17&lt;1,0,IF('Reeksen (N)'!AD17&lt;='Reeksen (N)'!AE17,I17*'Reeksen (N)'!C17,0))</f>
        <v>0</v>
      </c>
      <c r="K17" s="86">
        <f ca="1">IF(C17&lt;1,0,IF('Reeksen (N)'!AD17&gt;'Reeksen (N)'!AE17,I17*'Reeksen (N)'!C17,0))</f>
        <v>0</v>
      </c>
      <c r="L17" s="86">
        <f t="shared" ca="1" si="2"/>
        <v>0</v>
      </c>
      <c r="M17" s="85">
        <f ca="1">IF('Invoer gegevens (N)'!$C$17=E17,'Invoer gegevens (N)'!$C$10-'Invoer gegevens (N)'!$C$11,IF(C17=1,P16,0))</f>
        <v>0</v>
      </c>
      <c r="N17" s="86">
        <f ca="1">IF(C17&lt;1,0,IF('Reeksen (N)'!AD17&lt;='Reeksen (N)'!AE17,M17*'Reeksen (N)'!C17,0))</f>
        <v>0</v>
      </c>
      <c r="O17" s="86">
        <f ca="1">IF(C17&lt;1,0,IF('Reeksen (N)'!AD17&gt;'Reeksen (N)'!AE17,M17*'Reeksen (N)'!C17,0))</f>
        <v>0</v>
      </c>
      <c r="P17" s="86">
        <f t="shared" ca="1" si="3"/>
        <v>0</v>
      </c>
      <c r="Q17" s="82">
        <f ca="1">IF('Invoer gegevens (N)'!$C$17=E17,I17,IF(C17=0,0,R16))</f>
        <v>0</v>
      </c>
      <c r="R17" s="84">
        <f t="shared" ca="1" si="0"/>
        <v>0</v>
      </c>
      <c r="S17" s="84">
        <f ca="1">IF('Invoer gegevens (N)'!$C$17=E17,M17,IF(C17=0,0,T16))</f>
        <v>0</v>
      </c>
      <c r="T17" s="84">
        <f t="shared" ca="1" si="9"/>
        <v>0</v>
      </c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70"/>
      <c r="AI17" s="71">
        <f ca="1">IF(C17=1,((F17+H17)/2*'Reeksen (N)'!AI17*12)+(('Invoer gegevens (N)'!$C$10-(F17+H17)/2)*'Reeksen (N)'!AD17*12),0)</f>
        <v>0</v>
      </c>
      <c r="AJ17" s="71">
        <f ca="1">-AI17*'Invoer gegevens (N)'!$F$28</f>
        <v>0</v>
      </c>
      <c r="AK17" s="71">
        <f t="shared" ca="1" si="4"/>
        <v>0</v>
      </c>
      <c r="AL17" s="71">
        <f ca="1">IF(C17=1,(12*((F17+H17)/2)*'Reeksen (N)'!AL17)+(12*('Invoer gegevens (N)'!$C$10-(F17+H17)/2)*'Reeksen (N)'!AM17),0)</f>
        <v>0</v>
      </c>
      <c r="AM17" s="71">
        <f ca="1">-AL17*'Invoer gegevens (N)'!$F$31</f>
        <v>0</v>
      </c>
      <c r="AN17" s="71">
        <f t="shared" ca="1" si="5"/>
        <v>0</v>
      </c>
      <c r="AO17" s="71"/>
      <c r="AP17" s="71"/>
      <c r="AQ17" s="71">
        <f ca="1">-IF(C17=1,('Invoer gegevens (N)'!$C$10*'Invoer gegevens (N)'!$F$35)*'Reeksen (N)'!J17,0)*2</f>
        <v>0</v>
      </c>
      <c r="AR17" s="71">
        <f ca="1">-IF(C17=1,(G17*'Invoer gegevens (N)'!$F$36)*'Reeksen (N)'!J17,0)</f>
        <v>0</v>
      </c>
      <c r="AS17" s="71">
        <f ca="1">-IF(C17=1,'Invoer gegevens (N)'!$C$10*'Invoer gegevens (N)'!$F$37*'Reeksen (N)'!L17,0)</f>
        <v>0</v>
      </c>
      <c r="AT17" s="71">
        <f ca="1">-IF(C17=1,IF(E17='Invoer gegevens (N)'!$C$17,'Invoer gegevens (N)'!$C$11,Q17)*'Reeksen (N)'!S17*'Invoer gegevens (N)'!$C$18*'Reeksen (N)'!P17,0)</f>
        <v>0</v>
      </c>
      <c r="AU17" s="71">
        <f ca="1">-IF(C17=1,'Invoer gegevens (N)'!$C$10*'Invoer gegevens (N)'!$F$38*'Reeksen (N)'!H17,0)</f>
        <v>0</v>
      </c>
      <c r="AV17" s="71">
        <v>0</v>
      </c>
      <c r="AW17" s="71">
        <f t="shared" ca="1" si="6"/>
        <v>0</v>
      </c>
      <c r="AX17" s="71">
        <f ca="1">IF(E17&lt;'Invoer gegevens (N)'!$C$17+15,0,IF('RW - MW - DE - DE (N)'!E17&gt;'Invoer gegevens (N)'!$C$17+215,0,'RW - MW - DE - DE (N)'!AW17))</f>
        <v>0</v>
      </c>
      <c r="AY17" s="71">
        <f ca="1">AX17/(1+'Invoer gegevens (N)'!$F$13)^($AZ17-('Invoer gegevens (N)'!$C$17-'Invoer gegevens (N)'!$C$16))/(1+'Invoer gegevens (N)'!$C$39)^('Invoer gegevens (N)'!$C$17-'Invoer gegevens (N)'!$C$16)</f>
        <v>0</v>
      </c>
      <c r="AZ17" s="68">
        <f ca="1">IF(E17-'Invoer gegevens (N)'!$C$17-14.5&lt;0,0,E17-'Invoer gegevens (N)'!$C$17-14.5)</f>
        <v>0</v>
      </c>
    </row>
    <row r="18" spans="1:55" s="230" customFormat="1" x14ac:dyDescent="0.25">
      <c r="A18" s="59"/>
      <c r="B18" s="70">
        <f t="shared" si="7"/>
        <v>14</v>
      </c>
      <c r="C18" s="67">
        <f ca="1">IF(E18-'Invoer gegevens (N)'!$C$17&lt;0,0,1)</f>
        <v>1</v>
      </c>
      <c r="D18" s="68">
        <f t="shared" si="8"/>
        <v>13.5</v>
      </c>
      <c r="E18" s="69">
        <f ca="1">IF('Invoer gegevens (N)'!$C$16="","",E17+1)</f>
        <v>2032</v>
      </c>
      <c r="F18" s="82">
        <f ca="1">IF('Invoer gegevens (N)'!$C$17=E18,'Invoer gegevens (N)'!$C$10,IF(C18=1,H17,0))</f>
        <v>0</v>
      </c>
      <c r="G18" s="83">
        <f ca="1">IF(C18&gt;=1,F18*'Reeksen (N)'!C18,0)</f>
        <v>0</v>
      </c>
      <c r="H18" s="84">
        <f t="shared" ca="1" si="1"/>
        <v>0</v>
      </c>
      <c r="I18" s="85">
        <f ca="1">IF('Invoer gegevens (N)'!$C$17=E18,'Invoer gegevens (N)'!$C$11,IF(C18=1,L17,0))</f>
        <v>0</v>
      </c>
      <c r="J18" s="86">
        <f ca="1">IF(C18&lt;1,0,IF('Reeksen (N)'!AD18&lt;='Reeksen (N)'!AE18,I18*'Reeksen (N)'!C18,0))</f>
        <v>0</v>
      </c>
      <c r="K18" s="86">
        <f ca="1">IF(C18&lt;1,0,IF('Reeksen (N)'!AD18&gt;'Reeksen (N)'!AE18,I18*'Reeksen (N)'!C18,0))</f>
        <v>0</v>
      </c>
      <c r="L18" s="86">
        <f t="shared" ca="1" si="2"/>
        <v>0</v>
      </c>
      <c r="M18" s="85">
        <f ca="1">IF('Invoer gegevens (N)'!$C$17=E18,'Invoer gegevens (N)'!$C$10-'Invoer gegevens (N)'!$C$11,IF(C18=1,P17,0))</f>
        <v>0</v>
      </c>
      <c r="N18" s="86">
        <f ca="1">IF(C18&lt;1,0,IF('Reeksen (N)'!AD18&lt;='Reeksen (N)'!AE18,M18*'Reeksen (N)'!C18,0))</f>
        <v>0</v>
      </c>
      <c r="O18" s="86">
        <f ca="1">IF(C18&lt;1,0,IF('Reeksen (N)'!AD18&gt;'Reeksen (N)'!AE18,M18*'Reeksen (N)'!C18,0))</f>
        <v>0</v>
      </c>
      <c r="P18" s="86">
        <f t="shared" ca="1" si="3"/>
        <v>0</v>
      </c>
      <c r="Q18" s="82">
        <f ca="1">IF('Invoer gegevens (N)'!$C$17=E18,I18,IF(C18=0,0,R17))</f>
        <v>0</v>
      </c>
      <c r="R18" s="84">
        <f t="shared" ca="1" si="0"/>
        <v>0</v>
      </c>
      <c r="S18" s="84">
        <f ca="1">IF('Invoer gegevens (N)'!$C$17=E18,M18,IF(C18=0,0,T17))</f>
        <v>0</v>
      </c>
      <c r="T18" s="84">
        <f t="shared" ca="1" si="9"/>
        <v>0</v>
      </c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70"/>
      <c r="AI18" s="71">
        <f ca="1">IF(C18=1,((F18+H18)/2*'Reeksen (N)'!AI18*12)+(('Invoer gegevens (N)'!$C$10-(F18+H18)/2)*'Reeksen (N)'!AD18*12),0)</f>
        <v>0</v>
      </c>
      <c r="AJ18" s="71">
        <f ca="1">-AI18*'Invoer gegevens (N)'!$F$28</f>
        <v>0</v>
      </c>
      <c r="AK18" s="71">
        <f t="shared" ca="1" si="4"/>
        <v>0</v>
      </c>
      <c r="AL18" s="71">
        <f ca="1">IF(C18=1,(12*((F18+H18)/2)*'Reeksen (N)'!AL18)+(12*('Invoer gegevens (N)'!$C$10-(F18+H18)/2)*'Reeksen (N)'!AM18),0)</f>
        <v>0</v>
      </c>
      <c r="AM18" s="71">
        <f ca="1">-AL18*'Invoer gegevens (N)'!$F$31</f>
        <v>0</v>
      </c>
      <c r="AN18" s="71">
        <f t="shared" ca="1" si="5"/>
        <v>0</v>
      </c>
      <c r="AO18" s="71"/>
      <c r="AP18" s="71"/>
      <c r="AQ18" s="71">
        <f ca="1">-IF(C18=1,('Invoer gegevens (N)'!$C$10*'Invoer gegevens (N)'!$F$35)*'Reeksen (N)'!J18,0)*2</f>
        <v>0</v>
      </c>
      <c r="AR18" s="71">
        <f ca="1">-IF(C18=1,(G18*'Invoer gegevens (N)'!$F$36)*'Reeksen (N)'!J18,0)</f>
        <v>0</v>
      </c>
      <c r="AS18" s="71">
        <f ca="1">-IF(C18=1,'Invoer gegevens (N)'!$C$10*'Invoer gegevens (N)'!$F$37*'Reeksen (N)'!L18,0)</f>
        <v>0</v>
      </c>
      <c r="AT18" s="71">
        <f ca="1">-IF(C18=1,IF(E18='Invoer gegevens (N)'!$C$17,'Invoer gegevens (N)'!$C$11,Q18)*'Reeksen (N)'!S18*'Invoer gegevens (N)'!$C$18*'Reeksen (N)'!P18,0)</f>
        <v>0</v>
      </c>
      <c r="AU18" s="71">
        <f ca="1">-IF(C18=1,'Invoer gegevens (N)'!$C$10*'Invoer gegevens (N)'!$F$38*'Reeksen (N)'!H18,0)</f>
        <v>0</v>
      </c>
      <c r="AV18" s="71">
        <v>0</v>
      </c>
      <c r="AW18" s="71">
        <f t="shared" ca="1" si="6"/>
        <v>0</v>
      </c>
      <c r="AX18" s="71">
        <f ca="1">IF(E18&lt;'Invoer gegevens (N)'!$C$17+15,0,IF('RW - MW - DE - DE (N)'!E18&gt;'Invoer gegevens (N)'!$C$17+215,0,'RW - MW - DE - DE (N)'!AW18))</f>
        <v>0</v>
      </c>
      <c r="AY18" s="71">
        <f ca="1">AX18/(1+'Invoer gegevens (N)'!$F$13)^($AZ18-('Invoer gegevens (N)'!$C$17-'Invoer gegevens (N)'!$C$16))/(1+'Invoer gegevens (N)'!$C$39)^('Invoer gegevens (N)'!$C$17-'Invoer gegevens (N)'!$C$16)</f>
        <v>0</v>
      </c>
      <c r="AZ18" s="68">
        <f ca="1">IF(E18-'Invoer gegevens (N)'!$C$17-14.5&lt;0,0,E18-'Invoer gegevens (N)'!$C$17-14.5)</f>
        <v>0</v>
      </c>
    </row>
    <row r="19" spans="1:55" s="230" customFormat="1" x14ac:dyDescent="0.25">
      <c r="A19" s="59"/>
      <c r="B19" s="70">
        <f t="shared" si="7"/>
        <v>15</v>
      </c>
      <c r="C19" s="67">
        <f ca="1">IF(E19-'Invoer gegevens (N)'!$C$17&lt;0,0,1)</f>
        <v>1</v>
      </c>
      <c r="D19" s="68">
        <f t="shared" si="8"/>
        <v>14.5</v>
      </c>
      <c r="E19" s="69">
        <f ca="1">IF('Invoer gegevens (N)'!$C$16="","",E18+1)</f>
        <v>2033</v>
      </c>
      <c r="F19" s="82">
        <f ca="1">IF('Invoer gegevens (N)'!$C$17=E19,'Invoer gegevens (N)'!$C$10,IF(C19=1,H18,0))</f>
        <v>0</v>
      </c>
      <c r="G19" s="83">
        <f ca="1">IF(C19&gt;=1,F19*'Reeksen (N)'!C19,0)</f>
        <v>0</v>
      </c>
      <c r="H19" s="84">
        <f t="shared" ca="1" si="1"/>
        <v>0</v>
      </c>
      <c r="I19" s="85">
        <f ca="1">IF('Invoer gegevens (N)'!$C$17=E19,'Invoer gegevens (N)'!$C$11,IF(C19=1,L18,0))</f>
        <v>0</v>
      </c>
      <c r="J19" s="86">
        <f ca="1">IF(C19&lt;1,0,IF('Reeksen (N)'!AD19&lt;='Reeksen (N)'!AE19,I19*'Reeksen (N)'!C19,0))</f>
        <v>0</v>
      </c>
      <c r="K19" s="86">
        <f ca="1">IF(C19&lt;1,0,IF('Reeksen (N)'!AD19&gt;'Reeksen (N)'!AE19,I19*'Reeksen (N)'!C19,0))</f>
        <v>0</v>
      </c>
      <c r="L19" s="86">
        <f t="shared" ca="1" si="2"/>
        <v>0</v>
      </c>
      <c r="M19" s="85">
        <f ca="1">IF('Invoer gegevens (N)'!$C$17=E19,'Invoer gegevens (N)'!$C$10-'Invoer gegevens (N)'!$C$11,IF(C19=1,P18,0))</f>
        <v>0</v>
      </c>
      <c r="N19" s="86">
        <f ca="1">IF(C19&lt;1,0,IF('Reeksen (N)'!AD19&lt;='Reeksen (N)'!AE19,M19*'Reeksen (N)'!C19,0))</f>
        <v>0</v>
      </c>
      <c r="O19" s="86">
        <f ca="1">IF(C19&lt;1,0,IF('Reeksen (N)'!AD19&gt;'Reeksen (N)'!AE19,M19*'Reeksen (N)'!C19,0))</f>
        <v>0</v>
      </c>
      <c r="P19" s="86">
        <f t="shared" ca="1" si="3"/>
        <v>0</v>
      </c>
      <c r="Q19" s="82">
        <f ca="1">IF('Invoer gegevens (N)'!$C$17=E19,I19,IF(C19=0,0,R18))</f>
        <v>0</v>
      </c>
      <c r="R19" s="84">
        <f t="shared" ca="1" si="0"/>
        <v>0</v>
      </c>
      <c r="S19" s="84">
        <f ca="1">IF('Invoer gegevens (N)'!$C$17=E19,M19,IF(C19=0,0,T18))</f>
        <v>0</v>
      </c>
      <c r="T19" s="84">
        <f t="shared" ca="1" si="9"/>
        <v>0</v>
      </c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70"/>
      <c r="AI19" s="71">
        <f ca="1">IF(C19=1,((F19+H19)/2*'Reeksen (N)'!AI19*12)+(('Invoer gegevens (N)'!$C$10-(F19+H19)/2)*'Reeksen (N)'!AD19*12),0)</f>
        <v>0</v>
      </c>
      <c r="AJ19" s="71">
        <f ca="1">-AI19*'Invoer gegevens (N)'!$F$28</f>
        <v>0</v>
      </c>
      <c r="AK19" s="71">
        <f t="shared" ca="1" si="4"/>
        <v>0</v>
      </c>
      <c r="AL19" s="71">
        <f ca="1">IF(C19=1,(12*((F19+H19)/2)*'Reeksen (N)'!AL19)+(12*('Invoer gegevens (N)'!$C$10-(F19+H19)/2)*'Reeksen (N)'!AM19),0)</f>
        <v>0</v>
      </c>
      <c r="AM19" s="71">
        <f ca="1">-AL19*'Invoer gegevens (N)'!$F$31</f>
        <v>0</v>
      </c>
      <c r="AN19" s="71">
        <f t="shared" ca="1" si="5"/>
        <v>0</v>
      </c>
      <c r="AO19" s="71"/>
      <c r="AP19" s="71"/>
      <c r="AQ19" s="71">
        <f ca="1">-IF(C19=1,('Invoer gegevens (N)'!$C$10*'Invoer gegevens (N)'!$F$35)*'Reeksen (N)'!J19,0)*2</f>
        <v>0</v>
      </c>
      <c r="AR19" s="71">
        <f ca="1">-IF(C19=1,(G19*'Invoer gegevens (N)'!$F$36)*'Reeksen (N)'!J19,0)</f>
        <v>0</v>
      </c>
      <c r="AS19" s="71">
        <f ca="1">-IF(C19=1,'Invoer gegevens (N)'!$C$10*'Invoer gegevens (N)'!$F$37*'Reeksen (N)'!L19,0)</f>
        <v>0</v>
      </c>
      <c r="AT19" s="71">
        <f ca="1">-IF(C19=1,IF(E19='Invoer gegevens (N)'!$C$17,'Invoer gegevens (N)'!$C$11,Q19)*'Reeksen (N)'!S19*'Invoer gegevens (N)'!$C$18*'Reeksen (N)'!P19,0)</f>
        <v>0</v>
      </c>
      <c r="AU19" s="71">
        <f ca="1">-IF(C19=1,'Invoer gegevens (N)'!$C$10*'Invoer gegevens (N)'!$F$38*'Reeksen (N)'!H19,0)</f>
        <v>0</v>
      </c>
      <c r="AV19" s="71">
        <v>0</v>
      </c>
      <c r="AW19" s="71">
        <f t="shared" ca="1" si="6"/>
        <v>0</v>
      </c>
      <c r="AX19" s="71">
        <f ca="1">IF(E19&lt;'Invoer gegevens (N)'!$C$17+15,0,IF('RW - MW - DE - DE (N)'!E19&gt;'Invoer gegevens (N)'!$C$17+215,0,'RW - MW - DE - DE (N)'!AW19))</f>
        <v>0</v>
      </c>
      <c r="AY19" s="71">
        <f ca="1">AX19/(1+'Invoer gegevens (N)'!$F$13)^($AZ19-('Invoer gegevens (N)'!$C$17-'Invoer gegevens (N)'!$C$16))/(1+'Invoer gegevens (N)'!$C$39)^('Invoer gegevens (N)'!$C$17-'Invoer gegevens (N)'!$C$16)</f>
        <v>0</v>
      </c>
      <c r="AZ19" s="68">
        <f ca="1">IF(E19-'Invoer gegevens (N)'!$C$17-14.5&lt;0,0,E19-'Invoer gegevens (N)'!$C$17-14.5)</f>
        <v>0</v>
      </c>
    </row>
    <row r="20" spans="1:55" s="230" customFormat="1" x14ac:dyDescent="0.25">
      <c r="A20" s="59"/>
      <c r="B20" s="70">
        <f t="shared" si="7"/>
        <v>16</v>
      </c>
      <c r="C20" s="67">
        <f ca="1">IF(E20-'Invoer gegevens (N)'!$C$17&lt;0,0,1)</f>
        <v>1</v>
      </c>
      <c r="D20" s="68">
        <f t="shared" si="8"/>
        <v>15.5</v>
      </c>
      <c r="E20" s="69">
        <f ca="1">IF('Invoer gegevens (N)'!$C$16="","",E19+1)</f>
        <v>2034</v>
      </c>
      <c r="F20" s="82">
        <f ca="1">IF('Invoer gegevens (N)'!$C$17=E20,'Invoer gegevens (N)'!$C$10,IF(C20=1,H19,0))</f>
        <v>0</v>
      </c>
      <c r="G20" s="83">
        <f ca="1">IF(C20&gt;=1,F20*'Reeksen (N)'!C20,0)</f>
        <v>0</v>
      </c>
      <c r="H20" s="84">
        <f t="shared" ca="1" si="1"/>
        <v>0</v>
      </c>
      <c r="I20" s="85">
        <f ca="1">IF('Invoer gegevens (N)'!$C$17=E20,'Invoer gegevens (N)'!$C$11,IF(C20=1,L19,0))</f>
        <v>0</v>
      </c>
      <c r="J20" s="86">
        <f ca="1">IF(C20&lt;1,0,IF('Reeksen (N)'!AD20&lt;='Reeksen (N)'!AE20,I20*'Reeksen (N)'!C20,0))</f>
        <v>0</v>
      </c>
      <c r="K20" s="86">
        <f ca="1">IF(C20&lt;1,0,IF('Reeksen (N)'!AD20&gt;'Reeksen (N)'!AE20,I20*'Reeksen (N)'!C20,0))</f>
        <v>0</v>
      </c>
      <c r="L20" s="86">
        <f t="shared" ca="1" si="2"/>
        <v>0</v>
      </c>
      <c r="M20" s="85">
        <f ca="1">IF('Invoer gegevens (N)'!$C$17=E20,'Invoer gegevens (N)'!$C$10-'Invoer gegevens (N)'!$C$11,IF(C20=1,P19,0))</f>
        <v>0</v>
      </c>
      <c r="N20" s="86">
        <f ca="1">IF(C20&lt;1,0,IF('Reeksen (N)'!AD20&lt;='Reeksen (N)'!AE20,M20*'Reeksen (N)'!C20,0))</f>
        <v>0</v>
      </c>
      <c r="O20" s="86">
        <f ca="1">IF(C20&lt;1,0,IF('Reeksen (N)'!AD20&gt;'Reeksen (N)'!AE20,M20*'Reeksen (N)'!C20,0))</f>
        <v>0</v>
      </c>
      <c r="P20" s="86">
        <f t="shared" ca="1" si="3"/>
        <v>0</v>
      </c>
      <c r="Q20" s="82">
        <f ca="1">IF('Invoer gegevens (N)'!$C$17=E20,I20,IF(C20=0,0,R19))</f>
        <v>0</v>
      </c>
      <c r="R20" s="84">
        <f t="shared" ca="1" si="0"/>
        <v>0</v>
      </c>
      <c r="S20" s="84">
        <f ca="1">IF('Invoer gegevens (N)'!$C$17=E20,M20,IF(C20=0,0,T19))</f>
        <v>0</v>
      </c>
      <c r="T20" s="84">
        <f t="shared" ca="1" si="9"/>
        <v>0</v>
      </c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70"/>
      <c r="AI20" s="71">
        <f ca="1">IF(C20=1,((F20+H20)/2*'Reeksen (N)'!AI20*12)+(('Invoer gegevens (N)'!$C$10-(F20+H20)/2)*'Reeksen (N)'!AD20*12),0)</f>
        <v>0</v>
      </c>
      <c r="AJ20" s="71">
        <f ca="1">-AI20*'Invoer gegevens (N)'!$F$28</f>
        <v>0</v>
      </c>
      <c r="AK20" s="71">
        <f t="shared" ca="1" si="4"/>
        <v>0</v>
      </c>
      <c r="AL20" s="71">
        <f ca="1">IF(C20=1,(12*((F20+H20)/2)*'Reeksen (N)'!AL20)+(12*('Invoer gegevens (N)'!$C$10-(F20+H20)/2)*'Reeksen (N)'!AM20),0)</f>
        <v>0</v>
      </c>
      <c r="AM20" s="71">
        <f ca="1">-AL20*'Invoer gegevens (N)'!$F$31</f>
        <v>0</v>
      </c>
      <c r="AN20" s="71">
        <f t="shared" ca="1" si="5"/>
        <v>0</v>
      </c>
      <c r="AO20" s="71"/>
      <c r="AP20" s="71"/>
      <c r="AQ20" s="71">
        <f ca="1">-IF(C20=1,('Invoer gegevens (N)'!$C$10*'Invoer gegevens (N)'!$F$35)*'Reeksen (N)'!J20,0)*2</f>
        <v>0</v>
      </c>
      <c r="AR20" s="71">
        <f ca="1">-IF(C20=1,(G20*'Invoer gegevens (N)'!$F$36)*'Reeksen (N)'!J20,0)</f>
        <v>0</v>
      </c>
      <c r="AS20" s="71">
        <f ca="1">-IF(C20=1,'Invoer gegevens (N)'!$C$10*'Invoer gegevens (N)'!$F$37*'Reeksen (N)'!L20,0)</f>
        <v>0</v>
      </c>
      <c r="AT20" s="71">
        <f ca="1">-IF(C20=1,IF(E20='Invoer gegevens (N)'!$C$17,'Invoer gegevens (N)'!$C$11,Q20)*'Reeksen (N)'!S20*'Invoer gegevens (N)'!$C$18*'Reeksen (N)'!P20,0)</f>
        <v>0</v>
      </c>
      <c r="AU20" s="71">
        <f ca="1">-IF(C20=1,'Invoer gegevens (N)'!$C$10*'Invoer gegevens (N)'!$F$38*'Reeksen (N)'!H20,0)</f>
        <v>0</v>
      </c>
      <c r="AV20" s="71">
        <v>0</v>
      </c>
      <c r="AW20" s="71">
        <f t="shared" ca="1" si="6"/>
        <v>0</v>
      </c>
      <c r="AX20" s="71">
        <f ca="1">IF(E20&lt;'Invoer gegevens (N)'!$C$17+15,0,IF('RW - MW - DE - DE (N)'!E20&gt;'Invoer gegevens (N)'!$C$17+215,0,'RW - MW - DE - DE (N)'!AW20))</f>
        <v>0</v>
      </c>
      <c r="AY20" s="71">
        <f ca="1">AX20/(1+'Invoer gegevens (N)'!$F$13)^($AZ20-('Invoer gegevens (N)'!$C$17-'Invoer gegevens (N)'!$C$16))/(1+'Invoer gegevens (N)'!$C$39)^('Invoer gegevens (N)'!$C$17-'Invoer gegevens (N)'!$C$16)</f>
        <v>0</v>
      </c>
      <c r="AZ20" s="68">
        <f ca="1">IF(E20-'Invoer gegevens (N)'!$C$17-14.5&lt;0,0,E20-'Invoer gegevens (N)'!$C$17-14.5)</f>
        <v>0.5</v>
      </c>
      <c r="BC20" s="71"/>
    </row>
    <row r="21" spans="1:55" s="230" customFormat="1" x14ac:dyDescent="0.25">
      <c r="A21" s="59"/>
      <c r="B21" s="70">
        <f t="shared" si="7"/>
        <v>17</v>
      </c>
      <c r="C21" s="67">
        <f ca="1">IF(E21-'Invoer gegevens (N)'!$C$17&lt;0,0,1)</f>
        <v>1</v>
      </c>
      <c r="D21" s="68">
        <f t="shared" si="8"/>
        <v>16.5</v>
      </c>
      <c r="E21" s="69">
        <f ca="1">IF('Invoer gegevens (N)'!$C$16="","",E20+1)</f>
        <v>2035</v>
      </c>
      <c r="F21" s="82">
        <f ca="1">IF('Invoer gegevens (N)'!$C$17=E21,'Invoer gegevens (N)'!$C$10,IF(C21=1,H20,0))</f>
        <v>0</v>
      </c>
      <c r="G21" s="83">
        <f ca="1">IF(C21&gt;=1,F21*'Reeksen (N)'!C21,0)</f>
        <v>0</v>
      </c>
      <c r="H21" s="84">
        <f t="shared" ca="1" si="1"/>
        <v>0</v>
      </c>
      <c r="I21" s="85">
        <f ca="1">IF('Invoer gegevens (N)'!$C$17=E21,'Invoer gegevens (N)'!$C$11,IF(C21=1,L20,0))</f>
        <v>0</v>
      </c>
      <c r="J21" s="86">
        <f ca="1">IF(C21&lt;1,0,IF('Reeksen (N)'!AD21&lt;='Reeksen (N)'!AE21,I21*'Reeksen (N)'!C21,0))</f>
        <v>0</v>
      </c>
      <c r="K21" s="86">
        <f ca="1">IF(C21&lt;1,0,IF('Reeksen (N)'!AD21&gt;'Reeksen (N)'!AE21,I21*'Reeksen (N)'!C21,0))</f>
        <v>0</v>
      </c>
      <c r="L21" s="86">
        <f t="shared" ca="1" si="2"/>
        <v>0</v>
      </c>
      <c r="M21" s="85">
        <f ca="1">IF('Invoer gegevens (N)'!$C$17=E21,'Invoer gegevens (N)'!$C$10-'Invoer gegevens (N)'!$C$11,IF(C21=1,P20,0))</f>
        <v>0</v>
      </c>
      <c r="N21" s="86">
        <f ca="1">IF(C21&lt;1,0,IF('Reeksen (N)'!AD21&lt;='Reeksen (N)'!AE21,M21*'Reeksen (N)'!C21,0))</f>
        <v>0</v>
      </c>
      <c r="O21" s="86">
        <f ca="1">IF(C21&lt;1,0,IF('Reeksen (N)'!AD21&gt;'Reeksen (N)'!AE21,M21*'Reeksen (N)'!C21,0))</f>
        <v>0</v>
      </c>
      <c r="P21" s="86">
        <f t="shared" ca="1" si="3"/>
        <v>0</v>
      </c>
      <c r="Q21" s="82">
        <f ca="1">IF('Invoer gegevens (N)'!$C$17=E21,I21,IF(C21=0,0,R20))</f>
        <v>0</v>
      </c>
      <c r="R21" s="84">
        <f t="shared" ca="1" si="0"/>
        <v>0</v>
      </c>
      <c r="S21" s="84">
        <f ca="1">IF('Invoer gegevens (N)'!$C$17=E21,M21,IF(C21=0,0,T20))</f>
        <v>0</v>
      </c>
      <c r="T21" s="84">
        <f t="shared" ca="1" si="9"/>
        <v>0</v>
      </c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70"/>
      <c r="AI21" s="71">
        <f ca="1">IF(C21=1,((F21+H21)/2*'Reeksen (N)'!AI21*12)+(('Invoer gegevens (N)'!$C$10-(F21+H21)/2)*'Reeksen (N)'!AD21*12),0)</f>
        <v>0</v>
      </c>
      <c r="AJ21" s="71">
        <f ca="1">-AI21*'Invoer gegevens (N)'!$F$28</f>
        <v>0</v>
      </c>
      <c r="AK21" s="71">
        <f t="shared" ca="1" si="4"/>
        <v>0</v>
      </c>
      <c r="AL21" s="71">
        <f ca="1">IF(C21=1,(12*((F21+H21)/2)*'Reeksen (N)'!AL21)+(12*('Invoer gegevens (N)'!$C$10-(F21+H21)/2)*'Reeksen (N)'!AM21),0)</f>
        <v>0</v>
      </c>
      <c r="AM21" s="71">
        <f ca="1">-AL21*'Invoer gegevens (N)'!$F$31</f>
        <v>0</v>
      </c>
      <c r="AN21" s="71">
        <f t="shared" ca="1" si="5"/>
        <v>0</v>
      </c>
      <c r="AO21" s="71"/>
      <c r="AP21" s="71"/>
      <c r="AQ21" s="71">
        <f ca="1">-IF(C21=1,('Invoer gegevens (N)'!$C$10*'Invoer gegevens (N)'!$F$35)*'Reeksen (N)'!J21,0)*2</f>
        <v>0</v>
      </c>
      <c r="AR21" s="71">
        <f ca="1">-IF(C21=1,(G21*'Invoer gegevens (N)'!$F$36)*'Reeksen (N)'!J21,0)</f>
        <v>0</v>
      </c>
      <c r="AS21" s="71">
        <f ca="1">-IF(C21=1,'Invoer gegevens (N)'!$C$10*'Invoer gegevens (N)'!$F$37*'Reeksen (N)'!L21,0)</f>
        <v>0</v>
      </c>
      <c r="AT21" s="71">
        <f ca="1">-IF(C21=1,IF(E21='Invoer gegevens (N)'!$C$17,'Invoer gegevens (N)'!$C$11,Q21)*'Reeksen (N)'!S21*'Invoer gegevens (N)'!$C$18*'Reeksen (N)'!P21,0)</f>
        <v>0</v>
      </c>
      <c r="AU21" s="71">
        <f ca="1">-IF(C21=1,'Invoer gegevens (N)'!$C$10*'Invoer gegevens (N)'!$F$38*'Reeksen (N)'!H21,0)</f>
        <v>0</v>
      </c>
      <c r="AV21" s="71">
        <v>0</v>
      </c>
      <c r="AW21" s="71">
        <f t="shared" ca="1" si="6"/>
        <v>0</v>
      </c>
      <c r="AX21" s="71">
        <f ca="1">IF(E21&lt;'Invoer gegevens (N)'!$C$17+15,0,IF('RW - MW - DE - DE (N)'!E21&gt;'Invoer gegevens (N)'!$C$17+215,0,'RW - MW - DE - DE (N)'!AW21))</f>
        <v>0</v>
      </c>
      <c r="AY21" s="71">
        <f ca="1">AX21/(1+'Invoer gegevens (N)'!$F$13)^($AZ21-('Invoer gegevens (N)'!$C$17-'Invoer gegevens (N)'!$C$16))/(1+'Invoer gegevens (N)'!$C$39)^('Invoer gegevens (N)'!$C$17-'Invoer gegevens (N)'!$C$16)</f>
        <v>0</v>
      </c>
      <c r="AZ21" s="68">
        <f ca="1">IF(E21-'Invoer gegevens (N)'!$C$17-14.5&lt;0,0,E21-'Invoer gegevens (N)'!$C$17-14.5)</f>
        <v>1.5</v>
      </c>
      <c r="BC21" s="71"/>
    </row>
    <row r="22" spans="1:55" s="230" customFormat="1" x14ac:dyDescent="0.25">
      <c r="A22" s="59"/>
      <c r="B22" s="70">
        <f t="shared" si="7"/>
        <v>18</v>
      </c>
      <c r="C22" s="67">
        <f ca="1">IF(E22-'Invoer gegevens (N)'!$C$17&lt;0,0,1)</f>
        <v>1</v>
      </c>
      <c r="D22" s="68">
        <f t="shared" si="8"/>
        <v>17.5</v>
      </c>
      <c r="E22" s="69">
        <f ca="1">IF('Invoer gegevens (N)'!$C$16="","",E21+1)</f>
        <v>2036</v>
      </c>
      <c r="F22" s="82">
        <f ca="1">IF('Invoer gegevens (N)'!$C$17=E22,'Invoer gegevens (N)'!$C$10,IF(C22=1,H21,0))</f>
        <v>0</v>
      </c>
      <c r="G22" s="83">
        <f ca="1">IF(C22&gt;=1,F22*'Reeksen (N)'!C22,0)</f>
        <v>0</v>
      </c>
      <c r="H22" s="84">
        <f t="shared" ca="1" si="1"/>
        <v>0</v>
      </c>
      <c r="I22" s="85">
        <f ca="1">IF('Invoer gegevens (N)'!$C$17=E22,'Invoer gegevens (N)'!$C$11,IF(C22=1,L21,0))</f>
        <v>0</v>
      </c>
      <c r="J22" s="86">
        <f ca="1">IF(C22&lt;1,0,IF('Reeksen (N)'!AD22&lt;='Reeksen (N)'!AE22,I22*'Reeksen (N)'!C22,0))</f>
        <v>0</v>
      </c>
      <c r="K22" s="86">
        <f ca="1">IF(C22&lt;1,0,IF('Reeksen (N)'!AD22&gt;'Reeksen (N)'!AE22,I22*'Reeksen (N)'!C22,0))</f>
        <v>0</v>
      </c>
      <c r="L22" s="86">
        <f t="shared" ca="1" si="2"/>
        <v>0</v>
      </c>
      <c r="M22" s="85">
        <f ca="1">IF('Invoer gegevens (N)'!$C$17=E22,'Invoer gegevens (N)'!$C$10-'Invoer gegevens (N)'!$C$11,IF(C22=1,P21,0))</f>
        <v>0</v>
      </c>
      <c r="N22" s="86">
        <f ca="1">IF(C22&lt;1,0,IF('Reeksen (N)'!AD22&lt;='Reeksen (N)'!AE22,M22*'Reeksen (N)'!C22,0))</f>
        <v>0</v>
      </c>
      <c r="O22" s="86">
        <f ca="1">IF(C22&lt;1,0,IF('Reeksen (N)'!AD22&gt;'Reeksen (N)'!AE22,M22*'Reeksen (N)'!C22,0))</f>
        <v>0</v>
      </c>
      <c r="P22" s="86">
        <f t="shared" ca="1" si="3"/>
        <v>0</v>
      </c>
      <c r="Q22" s="82">
        <f ca="1">IF('Invoer gegevens (N)'!$C$17=E22,I22,IF(C22=0,0,R21))</f>
        <v>0</v>
      </c>
      <c r="R22" s="84">
        <f t="shared" ca="1" si="0"/>
        <v>0</v>
      </c>
      <c r="S22" s="84">
        <f ca="1">IF('Invoer gegevens (N)'!$C$17=E22,M22,IF(C22=0,0,T21))</f>
        <v>0</v>
      </c>
      <c r="T22" s="84">
        <f t="shared" ca="1" si="9"/>
        <v>0</v>
      </c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70"/>
      <c r="AI22" s="71">
        <f ca="1">IF(C22=1,((F22+H22)/2*'Reeksen (N)'!AI22*12)+(('Invoer gegevens (N)'!$C$10-(F22+H22)/2)*'Reeksen (N)'!AD22*12),0)</f>
        <v>0</v>
      </c>
      <c r="AJ22" s="71">
        <f ca="1">-AI22*'Invoer gegevens (N)'!$F$28</f>
        <v>0</v>
      </c>
      <c r="AK22" s="71">
        <f t="shared" ca="1" si="4"/>
        <v>0</v>
      </c>
      <c r="AL22" s="71">
        <f ca="1">IF(C22=1,(12*((F22+H22)/2)*'Reeksen (N)'!AL22)+(12*('Invoer gegevens (N)'!$C$10-(F22+H22)/2)*'Reeksen (N)'!AM22),0)</f>
        <v>0</v>
      </c>
      <c r="AM22" s="71">
        <f ca="1">-AL22*'Invoer gegevens (N)'!$F$31</f>
        <v>0</v>
      </c>
      <c r="AN22" s="71">
        <f t="shared" ca="1" si="5"/>
        <v>0</v>
      </c>
      <c r="AO22" s="71"/>
      <c r="AP22" s="71"/>
      <c r="AQ22" s="71">
        <f ca="1">-IF(C22=1,('Invoer gegevens (N)'!$C$10*'Invoer gegevens (N)'!$F$35)*'Reeksen (N)'!J22,0)*2</f>
        <v>0</v>
      </c>
      <c r="AR22" s="71">
        <f ca="1">-IF(C22=1,(G22*'Invoer gegevens (N)'!$F$36)*'Reeksen (N)'!J22,0)</f>
        <v>0</v>
      </c>
      <c r="AS22" s="71">
        <f ca="1">-IF(C22=1,'Invoer gegevens (N)'!$C$10*'Invoer gegevens (N)'!$F$37*'Reeksen (N)'!L22,0)</f>
        <v>0</v>
      </c>
      <c r="AT22" s="71">
        <f ca="1">-IF(C22=1,IF(E22='Invoer gegevens (N)'!$C$17,'Invoer gegevens (N)'!$C$11,Q22)*'Reeksen (N)'!S22*'Invoer gegevens (N)'!$C$18*'Reeksen (N)'!P22,0)</f>
        <v>0</v>
      </c>
      <c r="AU22" s="71">
        <f ca="1">-IF(C22=1,'Invoer gegevens (N)'!$C$10*'Invoer gegevens (N)'!$F$38*'Reeksen (N)'!H22,0)</f>
        <v>0</v>
      </c>
      <c r="AV22" s="71">
        <v>0</v>
      </c>
      <c r="AW22" s="71">
        <f t="shared" ca="1" si="6"/>
        <v>0</v>
      </c>
      <c r="AX22" s="71">
        <f ca="1">IF(E22&lt;'Invoer gegevens (N)'!$C$17+15,0,IF('RW - MW - DE - DE (N)'!E22&gt;'Invoer gegevens (N)'!$C$17+215,0,'RW - MW - DE - DE (N)'!AW22))</f>
        <v>0</v>
      </c>
      <c r="AY22" s="71">
        <f ca="1">AX22/(1+'Invoer gegevens (N)'!$F$13)^($AZ22-('Invoer gegevens (N)'!$C$17-'Invoer gegevens (N)'!$C$16))/(1+'Invoer gegevens (N)'!$C$39)^('Invoer gegevens (N)'!$C$17-'Invoer gegevens (N)'!$C$16)</f>
        <v>0</v>
      </c>
      <c r="AZ22" s="68">
        <f ca="1">IF(E22-'Invoer gegevens (N)'!$C$17-14.5&lt;0,0,E22-'Invoer gegevens (N)'!$C$17-14.5)</f>
        <v>2.5</v>
      </c>
      <c r="BC22" s="71"/>
    </row>
    <row r="23" spans="1:55" s="230" customFormat="1" x14ac:dyDescent="0.25">
      <c r="A23" s="59"/>
      <c r="B23" s="70">
        <f t="shared" si="7"/>
        <v>19</v>
      </c>
      <c r="C23" s="67">
        <f ca="1">IF(E23-'Invoer gegevens (N)'!$C$17&lt;0,0,1)</f>
        <v>1</v>
      </c>
      <c r="D23" s="68">
        <f t="shared" si="8"/>
        <v>18.5</v>
      </c>
      <c r="E23" s="69">
        <f ca="1">IF('Invoer gegevens (N)'!$C$16="","",E22+1)</f>
        <v>2037</v>
      </c>
      <c r="F23" s="82">
        <f ca="1">IF('Invoer gegevens (N)'!$C$17=E23,'Invoer gegevens (N)'!$C$10,IF(C23=1,H22,0))</f>
        <v>0</v>
      </c>
      <c r="G23" s="83">
        <f ca="1">IF(C23&gt;=1,F23*'Reeksen (N)'!C23,0)</f>
        <v>0</v>
      </c>
      <c r="H23" s="84">
        <f t="shared" ca="1" si="1"/>
        <v>0</v>
      </c>
      <c r="I23" s="85">
        <f ca="1">IF('Invoer gegevens (N)'!$C$17=E23,'Invoer gegevens (N)'!$C$11,IF(C23=1,L22,0))</f>
        <v>0</v>
      </c>
      <c r="J23" s="86">
        <f ca="1">IF(C23&lt;1,0,IF('Reeksen (N)'!AD23&lt;='Reeksen (N)'!AE23,I23*'Reeksen (N)'!C23,0))</f>
        <v>0</v>
      </c>
      <c r="K23" s="86">
        <f ca="1">IF(C23&lt;1,0,IF('Reeksen (N)'!AD23&gt;'Reeksen (N)'!AE23,I23*'Reeksen (N)'!C23,0))</f>
        <v>0</v>
      </c>
      <c r="L23" s="86">
        <f t="shared" ca="1" si="2"/>
        <v>0</v>
      </c>
      <c r="M23" s="85">
        <f ca="1">IF('Invoer gegevens (N)'!$C$17=E23,'Invoer gegevens (N)'!$C$10-'Invoer gegevens (N)'!$C$11,IF(C23=1,P22,0))</f>
        <v>0</v>
      </c>
      <c r="N23" s="86">
        <f ca="1">IF(C23&lt;1,0,IF('Reeksen (N)'!AD23&lt;='Reeksen (N)'!AE23,M23*'Reeksen (N)'!C23,0))</f>
        <v>0</v>
      </c>
      <c r="O23" s="86">
        <f ca="1">IF(C23&lt;1,0,IF('Reeksen (N)'!AD23&gt;'Reeksen (N)'!AE23,M23*'Reeksen (N)'!C23,0))</f>
        <v>0</v>
      </c>
      <c r="P23" s="86">
        <f t="shared" ca="1" si="3"/>
        <v>0</v>
      </c>
      <c r="Q23" s="82">
        <f ca="1">IF('Invoer gegevens (N)'!$C$17=E23,I23,IF(C23=0,0,R22))</f>
        <v>0</v>
      </c>
      <c r="R23" s="84">
        <f t="shared" ca="1" si="0"/>
        <v>0</v>
      </c>
      <c r="S23" s="84">
        <f ca="1">IF('Invoer gegevens (N)'!$C$17=E23,M23,IF(C23=0,0,T22))</f>
        <v>0</v>
      </c>
      <c r="T23" s="84">
        <f t="shared" ca="1" si="9"/>
        <v>0</v>
      </c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70"/>
      <c r="AI23" s="71">
        <f ca="1">IF(C23=1,((F23+H23)/2*'Reeksen (N)'!AI23*12)+(('Invoer gegevens (N)'!$C$10-(F23+H23)/2)*'Reeksen (N)'!AD23*12),0)</f>
        <v>0</v>
      </c>
      <c r="AJ23" s="71">
        <f ca="1">-AI23*'Invoer gegevens (N)'!$F$28</f>
        <v>0</v>
      </c>
      <c r="AK23" s="71">
        <f t="shared" ca="1" si="4"/>
        <v>0</v>
      </c>
      <c r="AL23" s="71">
        <f ca="1">IF(C23=1,(12*((F23+H23)/2)*'Reeksen (N)'!AL23)+(12*('Invoer gegevens (N)'!$C$10-(F23+H23)/2)*'Reeksen (N)'!AM23),0)</f>
        <v>0</v>
      </c>
      <c r="AM23" s="71">
        <f ca="1">-AL23*'Invoer gegevens (N)'!$F$31</f>
        <v>0</v>
      </c>
      <c r="AN23" s="71">
        <f t="shared" ca="1" si="5"/>
        <v>0</v>
      </c>
      <c r="AO23" s="71"/>
      <c r="AP23" s="71"/>
      <c r="AQ23" s="71">
        <f ca="1">-IF(C23=1,('Invoer gegevens (N)'!$C$10*'Invoer gegevens (N)'!$F$35)*'Reeksen (N)'!J23,0)*2</f>
        <v>0</v>
      </c>
      <c r="AR23" s="71">
        <f ca="1">-IF(C23=1,(G23*'Invoer gegevens (N)'!$F$36)*'Reeksen (N)'!J23,0)</f>
        <v>0</v>
      </c>
      <c r="AS23" s="71">
        <f ca="1">-IF(C23=1,'Invoer gegevens (N)'!$C$10*'Invoer gegevens (N)'!$F$37*'Reeksen (N)'!L23,0)</f>
        <v>0</v>
      </c>
      <c r="AT23" s="71">
        <f ca="1">-IF(C23=1,IF(E23='Invoer gegevens (N)'!$C$17,'Invoer gegevens (N)'!$C$11,Q23)*'Reeksen (N)'!S23*'Invoer gegevens (N)'!$C$18*'Reeksen (N)'!P23,0)</f>
        <v>0</v>
      </c>
      <c r="AU23" s="71">
        <f ca="1">-IF(C23=1,'Invoer gegevens (N)'!$C$10*'Invoer gegevens (N)'!$F$38*'Reeksen (N)'!H23,0)</f>
        <v>0</v>
      </c>
      <c r="AV23" s="71">
        <v>0</v>
      </c>
      <c r="AW23" s="71">
        <f t="shared" ca="1" si="6"/>
        <v>0</v>
      </c>
      <c r="AX23" s="71">
        <f ca="1">IF(E23&lt;'Invoer gegevens (N)'!$C$17+15,0,IF('RW - MW - DE - DE (N)'!E23&gt;'Invoer gegevens (N)'!$C$17+215,0,'RW - MW - DE - DE (N)'!AW23))</f>
        <v>0</v>
      </c>
      <c r="AY23" s="71">
        <f ca="1">AX23/(1+'Invoer gegevens (N)'!$F$13)^($AZ23-('Invoer gegevens (N)'!$C$17-'Invoer gegevens (N)'!$C$16))/(1+'Invoer gegevens (N)'!$C$39)^('Invoer gegevens (N)'!$C$17-'Invoer gegevens (N)'!$C$16)</f>
        <v>0</v>
      </c>
      <c r="AZ23" s="68">
        <f ca="1">IF(E23-'Invoer gegevens (N)'!$C$17-14.5&lt;0,0,E23-'Invoer gegevens (N)'!$C$17-14.5)</f>
        <v>3.5</v>
      </c>
      <c r="BC23" s="71"/>
    </row>
    <row r="24" spans="1:55" s="230" customFormat="1" x14ac:dyDescent="0.25">
      <c r="A24" s="59"/>
      <c r="B24" s="70">
        <f t="shared" si="7"/>
        <v>20</v>
      </c>
      <c r="C24" s="67">
        <f ca="1">IF(E24-'Invoer gegevens (N)'!$C$17&lt;0,0,1)</f>
        <v>1</v>
      </c>
      <c r="D24" s="68">
        <f t="shared" si="8"/>
        <v>19.5</v>
      </c>
      <c r="E24" s="69">
        <f ca="1">IF('Invoer gegevens (N)'!$C$16="","",E23+1)</f>
        <v>2038</v>
      </c>
      <c r="F24" s="82">
        <f ca="1">IF('Invoer gegevens (N)'!$C$17=E24,'Invoer gegevens (N)'!$C$10,IF(C24=1,H23,0))</f>
        <v>0</v>
      </c>
      <c r="G24" s="83">
        <f ca="1">IF(C24&gt;=1,F24*'Reeksen (N)'!C24,0)</f>
        <v>0</v>
      </c>
      <c r="H24" s="84">
        <f t="shared" ca="1" si="1"/>
        <v>0</v>
      </c>
      <c r="I24" s="85">
        <f ca="1">IF('Invoer gegevens (N)'!$C$17=E24,'Invoer gegevens (N)'!$C$11,IF(C24=1,L23,0))</f>
        <v>0</v>
      </c>
      <c r="J24" s="86">
        <f ca="1">IF(C24&lt;1,0,IF('Reeksen (N)'!AD24&lt;='Reeksen (N)'!AE24,I24*'Reeksen (N)'!C24,0))</f>
        <v>0</v>
      </c>
      <c r="K24" s="86">
        <f ca="1">IF(C24&lt;1,0,IF('Reeksen (N)'!AD24&gt;'Reeksen (N)'!AE24,I24*'Reeksen (N)'!C24,0))</f>
        <v>0</v>
      </c>
      <c r="L24" s="86">
        <f t="shared" ca="1" si="2"/>
        <v>0</v>
      </c>
      <c r="M24" s="85">
        <f ca="1">IF('Invoer gegevens (N)'!$C$17=E24,'Invoer gegevens (N)'!$C$10-'Invoer gegevens (N)'!$C$11,IF(C24=1,P23,0))</f>
        <v>0</v>
      </c>
      <c r="N24" s="86">
        <f ca="1">IF(C24&lt;1,0,IF('Reeksen (N)'!AD24&lt;='Reeksen (N)'!AE24,M24*'Reeksen (N)'!C24,0))</f>
        <v>0</v>
      </c>
      <c r="O24" s="86">
        <f ca="1">IF(C24&lt;1,0,IF('Reeksen (N)'!AD24&gt;'Reeksen (N)'!AE24,M24*'Reeksen (N)'!C24,0))</f>
        <v>0</v>
      </c>
      <c r="P24" s="86">
        <f t="shared" ca="1" si="3"/>
        <v>0</v>
      </c>
      <c r="Q24" s="82">
        <f ca="1">IF('Invoer gegevens (N)'!$C$17=E24,I24,IF(C24=0,0,R23))</f>
        <v>0</v>
      </c>
      <c r="R24" s="84">
        <f t="shared" ca="1" si="0"/>
        <v>0</v>
      </c>
      <c r="S24" s="84">
        <f ca="1">IF('Invoer gegevens (N)'!$C$17=E24,M24,IF(C24=0,0,T23))</f>
        <v>0</v>
      </c>
      <c r="T24" s="84">
        <f t="shared" ca="1" si="9"/>
        <v>0</v>
      </c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70"/>
      <c r="AI24" s="71">
        <f ca="1">IF(C24=1,((F24+H24)/2*'Reeksen (N)'!AI24*12)+(('Invoer gegevens (N)'!$C$10-(F24+H24)/2)*'Reeksen (N)'!AD24*12),0)</f>
        <v>0</v>
      </c>
      <c r="AJ24" s="71">
        <f ca="1">-AI24*'Invoer gegevens (N)'!$F$28</f>
        <v>0</v>
      </c>
      <c r="AK24" s="71">
        <f t="shared" ca="1" si="4"/>
        <v>0</v>
      </c>
      <c r="AL24" s="71">
        <f ca="1">IF(C24=1,(12*((F24+H24)/2)*'Reeksen (N)'!AL24)+(12*('Invoer gegevens (N)'!$C$10-(F24+H24)/2)*'Reeksen (N)'!AM24),0)</f>
        <v>0</v>
      </c>
      <c r="AM24" s="71">
        <f ca="1">-AL24*'Invoer gegevens (N)'!$F$31</f>
        <v>0</v>
      </c>
      <c r="AN24" s="71">
        <f t="shared" ca="1" si="5"/>
        <v>0</v>
      </c>
      <c r="AO24" s="71"/>
      <c r="AP24" s="71"/>
      <c r="AQ24" s="71">
        <f ca="1">-IF(C24=1,('Invoer gegevens (N)'!$C$10*'Invoer gegevens (N)'!$F$35)*'Reeksen (N)'!J24,0)*2</f>
        <v>0</v>
      </c>
      <c r="AR24" s="71">
        <f ca="1">-IF(C24=1,(G24*'Invoer gegevens (N)'!$F$36)*'Reeksen (N)'!J24,0)</f>
        <v>0</v>
      </c>
      <c r="AS24" s="71">
        <f ca="1">-IF(C24=1,'Invoer gegevens (N)'!$C$10*'Invoer gegevens (N)'!$F$37*'Reeksen (N)'!L24,0)</f>
        <v>0</v>
      </c>
      <c r="AT24" s="71">
        <f ca="1">-IF(C24=1,IF(E24='Invoer gegevens (N)'!$C$17,'Invoer gegevens (N)'!$C$11,Q24)*'Reeksen (N)'!S24*'Invoer gegevens (N)'!$C$18*'Reeksen (N)'!P24,0)</f>
        <v>0</v>
      </c>
      <c r="AU24" s="71">
        <f ca="1">-IF(C24=1,'Invoer gegevens (N)'!$C$10*'Invoer gegevens (N)'!$F$38*'Reeksen (N)'!H24,0)</f>
        <v>0</v>
      </c>
      <c r="AV24" s="71">
        <v>0</v>
      </c>
      <c r="AW24" s="71">
        <f t="shared" ca="1" si="6"/>
        <v>0</v>
      </c>
      <c r="AX24" s="71">
        <f ca="1">IF(E24&lt;'Invoer gegevens (N)'!$C$17+15,0,IF('RW - MW - DE - DE (N)'!E24&gt;'Invoer gegevens (N)'!$C$17+215,0,'RW - MW - DE - DE (N)'!AW24))</f>
        <v>0</v>
      </c>
      <c r="AY24" s="71">
        <f ca="1">AX24/(1+'Invoer gegevens (N)'!$F$13)^($AZ24-('Invoer gegevens (N)'!$C$17-'Invoer gegevens (N)'!$C$16))/(1+'Invoer gegevens (N)'!$C$39)^('Invoer gegevens (N)'!$C$17-'Invoer gegevens (N)'!$C$16)</f>
        <v>0</v>
      </c>
      <c r="AZ24" s="68">
        <f ca="1">IF(E24-'Invoer gegevens (N)'!$C$17-14.5&lt;0,0,E24-'Invoer gegevens (N)'!$C$17-14.5)</f>
        <v>4.5</v>
      </c>
      <c r="BC24" s="71"/>
    </row>
    <row r="25" spans="1:55" s="230" customFormat="1" x14ac:dyDescent="0.25">
      <c r="A25" s="59"/>
      <c r="B25" s="70">
        <f t="shared" si="7"/>
        <v>21</v>
      </c>
      <c r="C25" s="67">
        <f ca="1">IF(E25-'Invoer gegevens (N)'!$C$17&lt;0,0,1)</f>
        <v>1</v>
      </c>
      <c r="D25" s="68">
        <f t="shared" si="8"/>
        <v>20.5</v>
      </c>
      <c r="E25" s="69">
        <f ca="1">IF('Invoer gegevens (N)'!$C$16="","",E24+1)</f>
        <v>2039</v>
      </c>
      <c r="F25" s="82">
        <f ca="1">IF('Invoer gegevens (N)'!$C$17=E25,'Invoer gegevens (N)'!$C$10,IF(C25=1,H24,0))</f>
        <v>0</v>
      </c>
      <c r="G25" s="83">
        <f ca="1">IF(C25&gt;=1,F25*'Reeksen (N)'!C25,0)</f>
        <v>0</v>
      </c>
      <c r="H25" s="84">
        <f t="shared" ca="1" si="1"/>
        <v>0</v>
      </c>
      <c r="I25" s="85">
        <f ca="1">IF('Invoer gegevens (N)'!$C$17=E25,'Invoer gegevens (N)'!$C$11,IF(C25=1,L24,0))</f>
        <v>0</v>
      </c>
      <c r="J25" s="86">
        <f ca="1">IF(C25&lt;1,0,IF('Reeksen (N)'!AD25&lt;='Reeksen (N)'!AE25,I25*'Reeksen (N)'!C25,0))</f>
        <v>0</v>
      </c>
      <c r="K25" s="86">
        <f ca="1">IF(C25&lt;1,0,IF('Reeksen (N)'!AD25&gt;'Reeksen (N)'!AE25,I25*'Reeksen (N)'!C25,0))</f>
        <v>0</v>
      </c>
      <c r="L25" s="86">
        <f t="shared" ca="1" si="2"/>
        <v>0</v>
      </c>
      <c r="M25" s="85">
        <f ca="1">IF('Invoer gegevens (N)'!$C$17=E25,'Invoer gegevens (N)'!$C$10-'Invoer gegevens (N)'!$C$11,IF(C25=1,P24,0))</f>
        <v>0</v>
      </c>
      <c r="N25" s="86">
        <f ca="1">IF(C25&lt;1,0,IF('Reeksen (N)'!AD25&lt;='Reeksen (N)'!AE25,M25*'Reeksen (N)'!C25,0))</f>
        <v>0</v>
      </c>
      <c r="O25" s="86">
        <f ca="1">IF(C25&lt;1,0,IF('Reeksen (N)'!AD25&gt;'Reeksen (N)'!AE25,M25*'Reeksen (N)'!C25,0))</f>
        <v>0</v>
      </c>
      <c r="P25" s="86">
        <f t="shared" ca="1" si="3"/>
        <v>0</v>
      </c>
      <c r="Q25" s="82">
        <f ca="1">IF('Invoer gegevens (N)'!$C$17=E25,I25,IF(C25=0,0,R24))</f>
        <v>0</v>
      </c>
      <c r="R25" s="84">
        <f t="shared" ca="1" si="0"/>
        <v>0</v>
      </c>
      <c r="S25" s="84">
        <f ca="1">IF('Invoer gegevens (N)'!$C$17=E25,M25,IF(C25=0,0,T24))</f>
        <v>0</v>
      </c>
      <c r="T25" s="84">
        <f t="shared" ca="1" si="9"/>
        <v>0</v>
      </c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70"/>
      <c r="AI25" s="71">
        <f ca="1">IF(C25=1,((F25+H25)/2*'Reeksen (N)'!AI25*12)+(('Invoer gegevens (N)'!$C$10-(F25+H25)/2)*'Reeksen (N)'!AD25*12),0)</f>
        <v>0</v>
      </c>
      <c r="AJ25" s="71">
        <f ca="1">-AI25*'Invoer gegevens (N)'!$F$28</f>
        <v>0</v>
      </c>
      <c r="AK25" s="71">
        <f t="shared" ca="1" si="4"/>
        <v>0</v>
      </c>
      <c r="AL25" s="71">
        <f ca="1">IF(C25=1,(12*((F25+H25)/2)*'Reeksen (N)'!AL25)+(12*('Invoer gegevens (N)'!$C$10-(F25+H25)/2)*'Reeksen (N)'!AM25),0)</f>
        <v>0</v>
      </c>
      <c r="AM25" s="71">
        <f ca="1">-AL25*'Invoer gegevens (N)'!$F$31</f>
        <v>0</v>
      </c>
      <c r="AN25" s="71">
        <f t="shared" ca="1" si="5"/>
        <v>0</v>
      </c>
      <c r="AO25" s="71"/>
      <c r="AP25" s="71"/>
      <c r="AQ25" s="71">
        <f ca="1">-IF(C25=1,('Invoer gegevens (N)'!$C$10*'Invoer gegevens (N)'!$F$35)*'Reeksen (N)'!J25,0)*2</f>
        <v>0</v>
      </c>
      <c r="AR25" s="71">
        <f ca="1">-IF(C25=1,(G25*'Invoer gegevens (N)'!$F$36)*'Reeksen (N)'!J25,0)</f>
        <v>0</v>
      </c>
      <c r="AS25" s="71">
        <f ca="1">-IF(C25=1,'Invoer gegevens (N)'!$C$10*'Invoer gegevens (N)'!$F$37*'Reeksen (N)'!L25,0)</f>
        <v>0</v>
      </c>
      <c r="AT25" s="71">
        <f ca="1">-IF(C25=1,IF(E25='Invoer gegevens (N)'!$C$17,'Invoer gegevens (N)'!$C$11,Q25)*'Reeksen (N)'!S25*'Invoer gegevens (N)'!$C$18*'Reeksen (N)'!P25,0)</f>
        <v>0</v>
      </c>
      <c r="AU25" s="71">
        <f ca="1">-IF(C25=1,'Invoer gegevens (N)'!$C$10*'Invoer gegevens (N)'!$F$38*'Reeksen (N)'!H25,0)</f>
        <v>0</v>
      </c>
      <c r="AV25" s="71">
        <v>0</v>
      </c>
      <c r="AW25" s="71">
        <f t="shared" ca="1" si="6"/>
        <v>0</v>
      </c>
      <c r="AX25" s="71">
        <f ca="1">IF(E25&lt;'Invoer gegevens (N)'!$C$17+15,0,IF('RW - MW - DE - DE (N)'!E25&gt;'Invoer gegevens (N)'!$C$17+215,0,'RW - MW - DE - DE (N)'!AW25))</f>
        <v>0</v>
      </c>
      <c r="AY25" s="71">
        <f ca="1">AX25/(1+'Invoer gegevens (N)'!$F$13)^($AZ25-('Invoer gegevens (N)'!$C$17-'Invoer gegevens (N)'!$C$16))/(1+'Invoer gegevens (N)'!$C$39)^('Invoer gegevens (N)'!$C$17-'Invoer gegevens (N)'!$C$16)</f>
        <v>0</v>
      </c>
      <c r="AZ25" s="68">
        <f ca="1">IF(E25-'Invoer gegevens (N)'!$C$17-14.5&lt;0,0,E25-'Invoer gegevens (N)'!$C$17-14.5)</f>
        <v>5.5</v>
      </c>
      <c r="BC25" s="71"/>
    </row>
    <row r="26" spans="1:55" s="230" customFormat="1" x14ac:dyDescent="0.25">
      <c r="A26" s="59"/>
      <c r="B26" s="70">
        <f>B25+1</f>
        <v>22</v>
      </c>
      <c r="C26" s="67">
        <f ca="1">IF(E26-'Invoer gegevens (N)'!$C$17&lt;0,0,1)</f>
        <v>1</v>
      </c>
      <c r="D26" s="68">
        <f t="shared" si="8"/>
        <v>21.5</v>
      </c>
      <c r="E26" s="69">
        <f ca="1">IF('Invoer gegevens (N)'!$C$16="","",E25+1)</f>
        <v>2040</v>
      </c>
      <c r="F26" s="82">
        <f ca="1">IF('Invoer gegevens (N)'!$C$17=E26,'Invoer gegevens (N)'!$C$10,IF(C26=1,H25,0))</f>
        <v>0</v>
      </c>
      <c r="G26" s="83">
        <f ca="1">IF(C26&gt;=1,F26*'Reeksen (N)'!C26,0)</f>
        <v>0</v>
      </c>
      <c r="H26" s="84">
        <f t="shared" ca="1" si="1"/>
        <v>0</v>
      </c>
      <c r="I26" s="85">
        <f ca="1">IF('Invoer gegevens (N)'!$C$17=E26,'Invoer gegevens (N)'!$C$11,IF(C26=1,L25,0))</f>
        <v>0</v>
      </c>
      <c r="J26" s="86">
        <f ca="1">IF(C26&lt;1,0,IF('Reeksen (N)'!AD26&lt;='Reeksen (N)'!AE26,I26*'Reeksen (N)'!C26,0))</f>
        <v>0</v>
      </c>
      <c r="K26" s="86">
        <f ca="1">IF(C26&lt;1,0,IF('Reeksen (N)'!AD26&gt;'Reeksen (N)'!AE26,I26*'Reeksen (N)'!C26,0))</f>
        <v>0</v>
      </c>
      <c r="L26" s="86">
        <f t="shared" ca="1" si="2"/>
        <v>0</v>
      </c>
      <c r="M26" s="85">
        <f ca="1">IF('Invoer gegevens (N)'!$C$17=E26,'Invoer gegevens (N)'!$C$10-'Invoer gegevens (N)'!$C$11,IF(C26=1,P25,0))</f>
        <v>0</v>
      </c>
      <c r="N26" s="86">
        <f ca="1">IF(C26&lt;1,0,IF('Reeksen (N)'!AD26&lt;='Reeksen (N)'!AE26,M26*'Reeksen (N)'!C26,0))</f>
        <v>0</v>
      </c>
      <c r="O26" s="86">
        <f ca="1">IF(C26&lt;1,0,IF('Reeksen (N)'!AD26&gt;'Reeksen (N)'!AE26,M26*'Reeksen (N)'!C26,0))</f>
        <v>0</v>
      </c>
      <c r="P26" s="86">
        <f t="shared" ca="1" si="3"/>
        <v>0</v>
      </c>
      <c r="Q26" s="82">
        <f ca="1">IF('Invoer gegevens (N)'!$C$17=E26,I26,IF(C26=0,0,R25))</f>
        <v>0</v>
      </c>
      <c r="R26" s="84">
        <f t="shared" ca="1" si="0"/>
        <v>0</v>
      </c>
      <c r="S26" s="84">
        <f ca="1">IF('Invoer gegevens (N)'!$C$17=E26,M26,IF(C26=0,0,T25))</f>
        <v>0</v>
      </c>
      <c r="T26" s="84">
        <f t="shared" ca="1" si="9"/>
        <v>0</v>
      </c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70"/>
      <c r="AI26" s="71">
        <f ca="1">IF(C26=1,((F26+H26)/2*'Reeksen (N)'!AI26*12)+(('Invoer gegevens (N)'!$C$10-(F26+H26)/2)*'Reeksen (N)'!AD26*12),0)</f>
        <v>0</v>
      </c>
      <c r="AJ26" s="71">
        <f ca="1">-AI26*'Invoer gegevens (N)'!$F$28</f>
        <v>0</v>
      </c>
      <c r="AK26" s="71">
        <f t="shared" ca="1" si="4"/>
        <v>0</v>
      </c>
      <c r="AL26" s="71">
        <f ca="1">IF(C26=1,(12*((F26+H26)/2)*'Reeksen (N)'!AL26)+(12*('Invoer gegevens (N)'!$C$10-(F26+H26)/2)*'Reeksen (N)'!AM26),0)</f>
        <v>0</v>
      </c>
      <c r="AM26" s="71">
        <f ca="1">-AL26*'Invoer gegevens (N)'!$F$31</f>
        <v>0</v>
      </c>
      <c r="AN26" s="71">
        <f t="shared" ca="1" si="5"/>
        <v>0</v>
      </c>
      <c r="AO26" s="71"/>
      <c r="AP26" s="71"/>
      <c r="AQ26" s="71">
        <f ca="1">-IF(C26=1,('Invoer gegevens (N)'!$C$10*'Invoer gegevens (N)'!$F$35)*'Reeksen (N)'!J26,0)*2</f>
        <v>0</v>
      </c>
      <c r="AR26" s="71">
        <f ca="1">-IF(C26=1,(G26*'Invoer gegevens (N)'!$F$36)*'Reeksen (N)'!J26,0)</f>
        <v>0</v>
      </c>
      <c r="AS26" s="71">
        <f ca="1">-IF(C26=1,'Invoer gegevens (N)'!$C$10*'Invoer gegevens (N)'!$F$37*'Reeksen (N)'!L26,0)</f>
        <v>0</v>
      </c>
      <c r="AT26" s="71">
        <f ca="1">-IF(C26=1,IF(E26='Invoer gegevens (N)'!$C$17,'Invoer gegevens (N)'!$C$11,Q26)*'Reeksen (N)'!S26*'Invoer gegevens (N)'!$C$18*'Reeksen (N)'!P26,0)</f>
        <v>0</v>
      </c>
      <c r="AU26" s="71">
        <f ca="1">-IF(C26=1,'Invoer gegevens (N)'!$C$10*'Invoer gegevens (N)'!$F$38*'Reeksen (N)'!H26,0)</f>
        <v>0</v>
      </c>
      <c r="AV26" s="71">
        <v>0</v>
      </c>
      <c r="AW26" s="71">
        <f t="shared" ca="1" si="6"/>
        <v>0</v>
      </c>
      <c r="AX26" s="71">
        <f ca="1">IF(E26&lt;'Invoer gegevens (N)'!$C$17+15,0,IF('RW - MW - DE - DE (N)'!E26&gt;'Invoer gegevens (N)'!$C$17+215,0,'RW - MW - DE - DE (N)'!AW26))</f>
        <v>0</v>
      </c>
      <c r="AY26" s="71">
        <f ca="1">AX26/(1+'Invoer gegevens (N)'!$F$13)^($AZ26-('Invoer gegevens (N)'!$C$17-'Invoer gegevens (N)'!$C$16))/(1+'Invoer gegevens (N)'!$C$39)^('Invoer gegevens (N)'!$C$17-'Invoer gegevens (N)'!$C$16)</f>
        <v>0</v>
      </c>
      <c r="AZ26" s="68">
        <f ca="1">IF(E26-'Invoer gegevens (N)'!$C$17-14.5&lt;0,0,E26-'Invoer gegevens (N)'!$C$17-14.5)</f>
        <v>6.5</v>
      </c>
      <c r="BC26" s="71"/>
    </row>
    <row r="27" spans="1:55" s="230" customFormat="1" x14ac:dyDescent="0.25">
      <c r="A27" s="59"/>
      <c r="B27" s="70">
        <f t="shared" si="7"/>
        <v>23</v>
      </c>
      <c r="C27" s="67">
        <f ca="1">IF(E27-'Invoer gegevens (N)'!$C$17&lt;0,0,1)</f>
        <v>1</v>
      </c>
      <c r="D27" s="68">
        <f t="shared" si="8"/>
        <v>22.5</v>
      </c>
      <c r="E27" s="69">
        <f ca="1">IF('Invoer gegevens (N)'!$C$16="","",E26+1)</f>
        <v>2041</v>
      </c>
      <c r="F27" s="82">
        <f ca="1">IF('Invoer gegevens (N)'!$C$17=E27,'Invoer gegevens (N)'!$C$10,IF(C27=1,H26,0))</f>
        <v>0</v>
      </c>
      <c r="G27" s="83">
        <f ca="1">IF(C27&gt;=1,F27*'Reeksen (N)'!C27,0)</f>
        <v>0</v>
      </c>
      <c r="H27" s="84">
        <f t="shared" ca="1" si="1"/>
        <v>0</v>
      </c>
      <c r="I27" s="85">
        <f ca="1">IF('Invoer gegevens (N)'!$C$17=E27,'Invoer gegevens (N)'!$C$11,IF(C27=1,L26,0))</f>
        <v>0</v>
      </c>
      <c r="J27" s="86">
        <f ca="1">IF(C27&lt;1,0,IF('Reeksen (N)'!AD27&lt;='Reeksen (N)'!AE27,I27*'Reeksen (N)'!C27,0))</f>
        <v>0</v>
      </c>
      <c r="K27" s="86">
        <f ca="1">IF(C27&lt;1,0,IF('Reeksen (N)'!AD27&gt;'Reeksen (N)'!AE27,I27*'Reeksen (N)'!C27,0))</f>
        <v>0</v>
      </c>
      <c r="L27" s="86">
        <f t="shared" ca="1" si="2"/>
        <v>0</v>
      </c>
      <c r="M27" s="85">
        <f ca="1">IF('Invoer gegevens (N)'!$C$17=E27,'Invoer gegevens (N)'!$C$10-'Invoer gegevens (N)'!$C$11,IF(C27=1,P26,0))</f>
        <v>0</v>
      </c>
      <c r="N27" s="86">
        <f ca="1">IF(C27&lt;1,0,IF('Reeksen (N)'!AD27&lt;='Reeksen (N)'!AE27,M27*'Reeksen (N)'!C27,0))</f>
        <v>0</v>
      </c>
      <c r="O27" s="86">
        <f ca="1">IF(C27&lt;1,0,IF('Reeksen (N)'!AD27&gt;'Reeksen (N)'!AE27,M27*'Reeksen (N)'!C27,0))</f>
        <v>0</v>
      </c>
      <c r="P27" s="86">
        <f t="shared" ca="1" si="3"/>
        <v>0</v>
      </c>
      <c r="Q27" s="82">
        <f ca="1">IF('Invoer gegevens (N)'!$C$17=E27,I27,IF(C27=0,0,R26))</f>
        <v>0</v>
      </c>
      <c r="R27" s="84">
        <f t="shared" ca="1" si="0"/>
        <v>0</v>
      </c>
      <c r="S27" s="84">
        <f ca="1">IF('Invoer gegevens (N)'!$C$17=E27,M27,IF(C27=0,0,T26))</f>
        <v>0</v>
      </c>
      <c r="T27" s="84">
        <f t="shared" ca="1" si="9"/>
        <v>0</v>
      </c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70"/>
      <c r="AI27" s="71">
        <f ca="1">IF(C27=1,((F27+H27)/2*'Reeksen (N)'!AI27*12)+(('Invoer gegevens (N)'!$C$10-(F27+H27)/2)*'Reeksen (N)'!AD27*12),0)</f>
        <v>0</v>
      </c>
      <c r="AJ27" s="71">
        <f ca="1">-AI27*'Invoer gegevens (N)'!$F$28</f>
        <v>0</v>
      </c>
      <c r="AK27" s="71">
        <f t="shared" ca="1" si="4"/>
        <v>0</v>
      </c>
      <c r="AL27" s="71">
        <f ca="1">IF(C27=1,(12*((F27+H27)/2)*'Reeksen (N)'!AL27)+(12*('Invoer gegevens (N)'!$C$10-(F27+H27)/2)*'Reeksen (N)'!AM27),0)</f>
        <v>0</v>
      </c>
      <c r="AM27" s="71">
        <f ca="1">-AL27*'Invoer gegevens (N)'!$F$31</f>
        <v>0</v>
      </c>
      <c r="AN27" s="71">
        <f t="shared" ca="1" si="5"/>
        <v>0</v>
      </c>
      <c r="AO27" s="71"/>
      <c r="AP27" s="71"/>
      <c r="AQ27" s="71">
        <f ca="1">-IF(C27=1,('Invoer gegevens (N)'!$C$10*'Invoer gegevens (N)'!$F$35)*'Reeksen (N)'!J27,0)*2</f>
        <v>0</v>
      </c>
      <c r="AR27" s="71">
        <f ca="1">-IF(C27=1,(G27*'Invoer gegevens (N)'!$F$36)*'Reeksen (N)'!J27,0)</f>
        <v>0</v>
      </c>
      <c r="AS27" s="71">
        <f ca="1">-IF(C27=1,'Invoer gegevens (N)'!$C$10*'Invoer gegevens (N)'!$F$37*'Reeksen (N)'!L27,0)</f>
        <v>0</v>
      </c>
      <c r="AT27" s="71">
        <f ca="1">-IF(C27=1,IF(E27='Invoer gegevens (N)'!$C$17,'Invoer gegevens (N)'!$C$11,Q27)*'Reeksen (N)'!S27*'Invoer gegevens (N)'!$C$18*'Reeksen (N)'!P27,0)</f>
        <v>0</v>
      </c>
      <c r="AU27" s="71">
        <f ca="1">-IF(C27=1,'Invoer gegevens (N)'!$C$10*'Invoer gegevens (N)'!$F$38*'Reeksen (N)'!H27,0)</f>
        <v>0</v>
      </c>
      <c r="AV27" s="71">
        <v>0</v>
      </c>
      <c r="AW27" s="71">
        <f t="shared" ca="1" si="6"/>
        <v>0</v>
      </c>
      <c r="AX27" s="71">
        <f ca="1">IF(E27&lt;'Invoer gegevens (N)'!$C$17+15,0,IF('RW - MW - DE - DE (N)'!E27&gt;'Invoer gegevens (N)'!$C$17+215,0,'RW - MW - DE - DE (N)'!AW27))</f>
        <v>0</v>
      </c>
      <c r="AY27" s="71">
        <f ca="1">AX27/(1+'Invoer gegevens (N)'!$F$13)^($AZ27-('Invoer gegevens (N)'!$C$17-'Invoer gegevens (N)'!$C$16))/(1+'Invoer gegevens (N)'!$C$39)^('Invoer gegevens (N)'!$C$17-'Invoer gegevens (N)'!$C$16)</f>
        <v>0</v>
      </c>
      <c r="AZ27" s="68">
        <f ca="1">IF(E27-'Invoer gegevens (N)'!$C$17-14.5&lt;0,0,E27-'Invoer gegevens (N)'!$C$17-14.5)</f>
        <v>7.5</v>
      </c>
      <c r="BC27" s="71"/>
    </row>
    <row r="28" spans="1:55" s="230" customFormat="1" x14ac:dyDescent="0.25">
      <c r="A28" s="59"/>
      <c r="B28" s="70">
        <f t="shared" si="7"/>
        <v>24</v>
      </c>
      <c r="C28" s="67">
        <f ca="1">IF(E28-'Invoer gegevens (N)'!$C$17&lt;0,0,1)</f>
        <v>1</v>
      </c>
      <c r="D28" s="68">
        <f t="shared" si="8"/>
        <v>23.5</v>
      </c>
      <c r="E28" s="69">
        <f ca="1">IF('Invoer gegevens (N)'!$C$16="","",E27+1)</f>
        <v>2042</v>
      </c>
      <c r="F28" s="82">
        <f ca="1">IF('Invoer gegevens (N)'!$C$17=E28,'Invoer gegevens (N)'!$C$10,IF(C28=1,H27,0))</f>
        <v>0</v>
      </c>
      <c r="G28" s="83">
        <f ca="1">IF(C28&gt;=1,F28*'Reeksen (N)'!C28,0)</f>
        <v>0</v>
      </c>
      <c r="H28" s="84">
        <f t="shared" ca="1" si="1"/>
        <v>0</v>
      </c>
      <c r="I28" s="85">
        <f ca="1">IF('Invoer gegevens (N)'!$C$17=E28,'Invoer gegevens (N)'!$C$11,IF(C28=1,L27,0))</f>
        <v>0</v>
      </c>
      <c r="J28" s="86">
        <f ca="1">IF(C28&lt;1,0,IF('Reeksen (N)'!AD28&lt;='Reeksen (N)'!AE28,I28*'Reeksen (N)'!C28,0))</f>
        <v>0</v>
      </c>
      <c r="K28" s="86">
        <f ca="1">IF(C28&lt;1,0,IF('Reeksen (N)'!AD28&gt;'Reeksen (N)'!AE28,I28*'Reeksen (N)'!C28,0))</f>
        <v>0</v>
      </c>
      <c r="L28" s="86">
        <f t="shared" ca="1" si="2"/>
        <v>0</v>
      </c>
      <c r="M28" s="85">
        <f ca="1">IF('Invoer gegevens (N)'!$C$17=E28,'Invoer gegevens (N)'!$C$10-'Invoer gegevens (N)'!$C$11,IF(C28=1,P27,0))</f>
        <v>0</v>
      </c>
      <c r="N28" s="86">
        <f ca="1">IF(C28&lt;1,0,IF('Reeksen (N)'!AD28&lt;='Reeksen (N)'!AE28,M28*'Reeksen (N)'!C28,0))</f>
        <v>0</v>
      </c>
      <c r="O28" s="86">
        <f ca="1">IF(C28&lt;1,0,IF('Reeksen (N)'!AD28&gt;'Reeksen (N)'!AE28,M28*'Reeksen (N)'!C28,0))</f>
        <v>0</v>
      </c>
      <c r="P28" s="86">
        <f t="shared" ca="1" si="3"/>
        <v>0</v>
      </c>
      <c r="Q28" s="82">
        <f ca="1">IF('Invoer gegevens (N)'!$C$17=E28,I28,IF(C28=0,0,R27))</f>
        <v>0</v>
      </c>
      <c r="R28" s="84">
        <f t="shared" ca="1" si="0"/>
        <v>0</v>
      </c>
      <c r="S28" s="84">
        <f ca="1">IF('Invoer gegevens (N)'!$C$17=E28,M28,IF(C28=0,0,T27))</f>
        <v>0</v>
      </c>
      <c r="T28" s="84">
        <f t="shared" ca="1" si="9"/>
        <v>0</v>
      </c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70"/>
      <c r="AI28" s="71">
        <f ca="1">IF(C28=1,((F28+H28)/2*'Reeksen (N)'!AI28*12)+(('Invoer gegevens (N)'!$C$10-(F28+H28)/2)*'Reeksen (N)'!AD28*12),0)</f>
        <v>0</v>
      </c>
      <c r="AJ28" s="71">
        <f ca="1">-AI28*'Invoer gegevens (N)'!$F$28</f>
        <v>0</v>
      </c>
      <c r="AK28" s="71">
        <f t="shared" ca="1" si="4"/>
        <v>0</v>
      </c>
      <c r="AL28" s="71">
        <f ca="1">IF(C28=1,(12*((F28+H28)/2)*'Reeksen (N)'!AL28)+(12*('Invoer gegevens (N)'!$C$10-(F28+H28)/2)*'Reeksen (N)'!AM28),0)</f>
        <v>0</v>
      </c>
      <c r="AM28" s="71">
        <f ca="1">-AL28*'Invoer gegevens (N)'!$F$31</f>
        <v>0</v>
      </c>
      <c r="AN28" s="71">
        <f t="shared" ca="1" si="5"/>
        <v>0</v>
      </c>
      <c r="AO28" s="71"/>
      <c r="AP28" s="71"/>
      <c r="AQ28" s="71">
        <f ca="1">-IF(C28=1,('Invoer gegevens (N)'!$C$10*'Invoer gegevens (N)'!$F$35)*'Reeksen (N)'!J28,0)*2</f>
        <v>0</v>
      </c>
      <c r="AR28" s="71">
        <f ca="1">-IF(C28=1,(G28*'Invoer gegevens (N)'!$F$36)*'Reeksen (N)'!J28,0)</f>
        <v>0</v>
      </c>
      <c r="AS28" s="71">
        <f ca="1">-IF(C28=1,'Invoer gegevens (N)'!$C$10*'Invoer gegevens (N)'!$F$37*'Reeksen (N)'!L28,0)</f>
        <v>0</v>
      </c>
      <c r="AT28" s="71">
        <f ca="1">-IF(C28=1,IF(E28='Invoer gegevens (N)'!$C$17,'Invoer gegevens (N)'!$C$11,Q28)*'Reeksen (N)'!S28*'Invoer gegevens (N)'!$C$18*'Reeksen (N)'!P28,0)</f>
        <v>0</v>
      </c>
      <c r="AU28" s="71">
        <f ca="1">-IF(C28=1,'Invoer gegevens (N)'!$C$10*'Invoer gegevens (N)'!$F$38*'Reeksen (N)'!H28,0)</f>
        <v>0</v>
      </c>
      <c r="AV28" s="71">
        <v>0</v>
      </c>
      <c r="AW28" s="71">
        <f t="shared" ca="1" si="6"/>
        <v>0</v>
      </c>
      <c r="AX28" s="71">
        <f ca="1">IF(E28&lt;'Invoer gegevens (N)'!$C$17+15,0,IF('RW - MW - DE - DE (N)'!E28&gt;'Invoer gegevens (N)'!$C$17+215,0,'RW - MW - DE - DE (N)'!AW28))</f>
        <v>0</v>
      </c>
      <c r="AY28" s="71">
        <f ca="1">AX28/(1+'Invoer gegevens (N)'!$F$13)^($AZ28-('Invoer gegevens (N)'!$C$17-'Invoer gegevens (N)'!$C$16))/(1+'Invoer gegevens (N)'!$C$39)^('Invoer gegevens (N)'!$C$17-'Invoer gegevens (N)'!$C$16)</f>
        <v>0</v>
      </c>
      <c r="AZ28" s="68">
        <f ca="1">IF(E28-'Invoer gegevens (N)'!$C$17-14.5&lt;0,0,E28-'Invoer gegevens (N)'!$C$17-14.5)</f>
        <v>8.5</v>
      </c>
      <c r="BC28" s="71"/>
    </row>
    <row r="29" spans="1:55" s="230" customFormat="1" x14ac:dyDescent="0.25">
      <c r="A29" s="59"/>
      <c r="B29" s="70">
        <f t="shared" si="7"/>
        <v>25</v>
      </c>
      <c r="C29" s="67">
        <f ca="1">IF(E29-'Invoer gegevens (N)'!$C$17&lt;0,0,1)</f>
        <v>1</v>
      </c>
      <c r="D29" s="68">
        <f t="shared" si="8"/>
        <v>24.5</v>
      </c>
      <c r="E29" s="69">
        <f ca="1">IF('Invoer gegevens (N)'!$C$16="","",E28+1)</f>
        <v>2043</v>
      </c>
      <c r="F29" s="82">
        <f ca="1">IF('Invoer gegevens (N)'!$C$17=E29,'Invoer gegevens (N)'!$C$10,IF(C29=1,H28,0))</f>
        <v>0</v>
      </c>
      <c r="G29" s="83">
        <f ca="1">IF(C29&gt;=1,F29*'Reeksen (N)'!C29,0)</f>
        <v>0</v>
      </c>
      <c r="H29" s="84">
        <f t="shared" ca="1" si="1"/>
        <v>0</v>
      </c>
      <c r="I29" s="85">
        <f ca="1">IF('Invoer gegevens (N)'!$C$17=E29,'Invoer gegevens (N)'!$C$11,IF(C29=1,L28,0))</f>
        <v>0</v>
      </c>
      <c r="J29" s="86">
        <f ca="1">IF(C29&lt;1,0,IF('Reeksen (N)'!AD29&lt;='Reeksen (N)'!AE29,I29*'Reeksen (N)'!C29,0))</f>
        <v>0</v>
      </c>
      <c r="K29" s="86">
        <f ca="1">IF(C29&lt;1,0,IF('Reeksen (N)'!AD29&gt;'Reeksen (N)'!AE29,I29*'Reeksen (N)'!C29,0))</f>
        <v>0</v>
      </c>
      <c r="L29" s="86">
        <f t="shared" ca="1" si="2"/>
        <v>0</v>
      </c>
      <c r="M29" s="85">
        <f ca="1">IF('Invoer gegevens (N)'!$C$17=E29,'Invoer gegevens (N)'!$C$10-'Invoer gegevens (N)'!$C$11,IF(C29=1,P28,0))</f>
        <v>0</v>
      </c>
      <c r="N29" s="86">
        <f ca="1">IF(C29&lt;1,0,IF('Reeksen (N)'!AD29&lt;='Reeksen (N)'!AE29,M29*'Reeksen (N)'!C29,0))</f>
        <v>0</v>
      </c>
      <c r="O29" s="86">
        <f ca="1">IF(C29&lt;1,0,IF('Reeksen (N)'!AD29&gt;'Reeksen (N)'!AE29,M29*'Reeksen (N)'!C29,0))</f>
        <v>0</v>
      </c>
      <c r="P29" s="86">
        <f t="shared" ca="1" si="3"/>
        <v>0</v>
      </c>
      <c r="Q29" s="82">
        <f ca="1">IF('Invoer gegevens (N)'!$C$17=E29,I29,IF(C29=0,0,R28))</f>
        <v>0</v>
      </c>
      <c r="R29" s="84">
        <f t="shared" ca="1" si="0"/>
        <v>0</v>
      </c>
      <c r="S29" s="84">
        <f ca="1">IF('Invoer gegevens (N)'!$C$17=E29,M29,IF(C29=0,0,T28))</f>
        <v>0</v>
      </c>
      <c r="T29" s="84">
        <f t="shared" ca="1" si="9"/>
        <v>0</v>
      </c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70"/>
      <c r="AI29" s="71">
        <f ca="1">IF(C29=1,((F29+H29)/2*'Reeksen (N)'!AI29*12)+(('Invoer gegevens (N)'!$C$10-(F29+H29)/2)*'Reeksen (N)'!AD29*12),0)</f>
        <v>0</v>
      </c>
      <c r="AJ29" s="71">
        <f ca="1">-AI29*'Invoer gegevens (N)'!$F$28</f>
        <v>0</v>
      </c>
      <c r="AK29" s="71">
        <f t="shared" ca="1" si="4"/>
        <v>0</v>
      </c>
      <c r="AL29" s="71">
        <f ca="1">IF(C29=1,(12*((F29+H29)/2)*'Reeksen (N)'!AL29)+(12*('Invoer gegevens (N)'!$C$10-(F29+H29)/2)*'Reeksen (N)'!AM29),0)</f>
        <v>0</v>
      </c>
      <c r="AM29" s="71">
        <f ca="1">-AL29*'Invoer gegevens (N)'!$F$31</f>
        <v>0</v>
      </c>
      <c r="AN29" s="71">
        <f t="shared" ca="1" si="5"/>
        <v>0</v>
      </c>
      <c r="AO29" s="71"/>
      <c r="AP29" s="71"/>
      <c r="AQ29" s="71">
        <f ca="1">-IF(C29=1,('Invoer gegevens (N)'!$C$10*'Invoer gegevens (N)'!$F$35)*'Reeksen (N)'!J29,0)*2</f>
        <v>0</v>
      </c>
      <c r="AR29" s="71">
        <f ca="1">-IF(C29=1,(G29*'Invoer gegevens (N)'!$F$36)*'Reeksen (N)'!J29,0)</f>
        <v>0</v>
      </c>
      <c r="AS29" s="71">
        <f ca="1">-IF(C29=1,'Invoer gegevens (N)'!$C$10*'Invoer gegevens (N)'!$F$37*'Reeksen (N)'!L29,0)</f>
        <v>0</v>
      </c>
      <c r="AT29" s="71">
        <f ca="1">-IF(C29=1,IF(E29='Invoer gegevens (N)'!$C$17,'Invoer gegevens (N)'!$C$11,Q29)*'Reeksen (N)'!S29*'Invoer gegevens (N)'!$C$18*'Reeksen (N)'!P29,0)</f>
        <v>0</v>
      </c>
      <c r="AU29" s="71">
        <f ca="1">-IF(C29=1,'Invoer gegevens (N)'!$C$10*'Invoer gegevens (N)'!$F$38*'Reeksen (N)'!H29,0)</f>
        <v>0</v>
      </c>
      <c r="AV29" s="71">
        <v>0</v>
      </c>
      <c r="AW29" s="71">
        <f t="shared" ca="1" si="6"/>
        <v>0</v>
      </c>
      <c r="AX29" s="71">
        <f ca="1">IF(E29&lt;'Invoer gegevens (N)'!$C$17+15,0,IF('RW - MW - DE - DE (N)'!E29&gt;'Invoer gegevens (N)'!$C$17+215,0,'RW - MW - DE - DE (N)'!AW29))</f>
        <v>0</v>
      </c>
      <c r="AY29" s="71">
        <f ca="1">AX29/(1+'Invoer gegevens (N)'!$F$13)^($AZ29-('Invoer gegevens (N)'!$C$17-'Invoer gegevens (N)'!$C$16))/(1+'Invoer gegevens (N)'!$C$39)^('Invoer gegevens (N)'!$C$17-'Invoer gegevens (N)'!$C$16)</f>
        <v>0</v>
      </c>
      <c r="AZ29" s="68">
        <f ca="1">IF(E29-'Invoer gegevens (N)'!$C$17-14.5&lt;0,0,E29-'Invoer gegevens (N)'!$C$17-14.5)</f>
        <v>9.5</v>
      </c>
      <c r="BC29" s="71"/>
    </row>
    <row r="30" spans="1:55" s="230" customFormat="1" x14ac:dyDescent="0.25">
      <c r="A30" s="59"/>
      <c r="B30" s="70">
        <f t="shared" si="7"/>
        <v>26</v>
      </c>
      <c r="C30" s="67">
        <f ca="1">IF(E30-'Invoer gegevens (N)'!$C$17&lt;0,0,1)</f>
        <v>1</v>
      </c>
      <c r="D30" s="68">
        <f t="shared" si="8"/>
        <v>25.5</v>
      </c>
      <c r="E30" s="69">
        <f ca="1">IF('Invoer gegevens (N)'!$C$16="","",E29+1)</f>
        <v>2044</v>
      </c>
      <c r="F30" s="82">
        <f ca="1">IF('Invoer gegevens (N)'!$C$17=E30,'Invoer gegevens (N)'!$C$10,IF(C30=1,H29,0))</f>
        <v>0</v>
      </c>
      <c r="G30" s="83">
        <f ca="1">IF(C30&gt;=1,F30*'Reeksen (N)'!C30,0)</f>
        <v>0</v>
      </c>
      <c r="H30" s="84">
        <f t="shared" ca="1" si="1"/>
        <v>0</v>
      </c>
      <c r="I30" s="85">
        <f ca="1">IF('Invoer gegevens (N)'!$C$17=E30,'Invoer gegevens (N)'!$C$11,IF(C30=1,L29,0))</f>
        <v>0</v>
      </c>
      <c r="J30" s="86">
        <f ca="1">IF(C30&lt;1,0,IF('Reeksen (N)'!AD30&lt;='Reeksen (N)'!AE30,I30*'Reeksen (N)'!C30,0))</f>
        <v>0</v>
      </c>
      <c r="K30" s="86">
        <f ca="1">IF(C30&lt;1,0,IF('Reeksen (N)'!AD30&gt;'Reeksen (N)'!AE30,I30*'Reeksen (N)'!C30,0))</f>
        <v>0</v>
      </c>
      <c r="L30" s="86">
        <f t="shared" ca="1" si="2"/>
        <v>0</v>
      </c>
      <c r="M30" s="85">
        <f ca="1">IF('Invoer gegevens (N)'!$C$17=E30,'Invoer gegevens (N)'!$C$10-'Invoer gegevens (N)'!$C$11,IF(C30=1,P29,0))</f>
        <v>0</v>
      </c>
      <c r="N30" s="86">
        <f ca="1">IF(C30&lt;1,0,IF('Reeksen (N)'!AD30&lt;='Reeksen (N)'!AE30,M30*'Reeksen (N)'!C30,0))</f>
        <v>0</v>
      </c>
      <c r="O30" s="86">
        <f ca="1">IF(C30&lt;1,0,IF('Reeksen (N)'!AD30&gt;'Reeksen (N)'!AE30,M30*'Reeksen (N)'!C30,0))</f>
        <v>0</v>
      </c>
      <c r="P30" s="86">
        <f t="shared" ca="1" si="3"/>
        <v>0</v>
      </c>
      <c r="Q30" s="82">
        <f ca="1">IF('Invoer gegevens (N)'!$C$17=E30,I30,IF(C30=0,0,R29))</f>
        <v>0</v>
      </c>
      <c r="R30" s="84">
        <f t="shared" ca="1" si="0"/>
        <v>0</v>
      </c>
      <c r="S30" s="84">
        <f ca="1">IF('Invoer gegevens (N)'!$C$17=E30,M30,IF(C30=0,0,T29))</f>
        <v>0</v>
      </c>
      <c r="T30" s="84">
        <f t="shared" ca="1" si="9"/>
        <v>0</v>
      </c>
      <c r="U30" s="60"/>
      <c r="V30" s="60"/>
      <c r="W30" s="60"/>
      <c r="X30" s="60"/>
      <c r="Y30" s="60"/>
      <c r="Z30" s="60"/>
      <c r="AA30" s="60"/>
      <c r="AB30" s="60"/>
      <c r="AC30" s="68"/>
      <c r="AD30" s="68"/>
      <c r="AE30" s="68"/>
      <c r="AF30" s="68"/>
      <c r="AG30" s="68"/>
      <c r="AH30" s="60"/>
      <c r="AI30" s="71">
        <f ca="1">IF(C30=1,((F30+H30)/2*'Reeksen (N)'!AI30*12)+(('Invoer gegevens (N)'!$C$10-(F30+H30)/2)*'Reeksen (N)'!AD30*12),0)</f>
        <v>0</v>
      </c>
      <c r="AJ30" s="71">
        <f ca="1">-AI30*'Invoer gegevens (N)'!$F$28</f>
        <v>0</v>
      </c>
      <c r="AK30" s="71">
        <f t="shared" ca="1" si="4"/>
        <v>0</v>
      </c>
      <c r="AL30" s="71">
        <f ca="1">IF(C30=1,(12*((F30+H30)/2)*'Reeksen (N)'!AL30)+(12*('Invoer gegevens (N)'!$C$10-(F30+H30)/2)*'Reeksen (N)'!AM30),0)</f>
        <v>0</v>
      </c>
      <c r="AM30" s="71">
        <f ca="1">-AL30*'Invoer gegevens (N)'!$F$31</f>
        <v>0</v>
      </c>
      <c r="AN30" s="71">
        <f t="shared" ca="1" si="5"/>
        <v>0</v>
      </c>
      <c r="AO30" s="71"/>
      <c r="AP30" s="71"/>
      <c r="AQ30" s="71">
        <f ca="1">-IF(C30=1,('Invoer gegevens (N)'!$C$10*'Invoer gegevens (N)'!$F$35)*'Reeksen (N)'!J30,0)*2</f>
        <v>0</v>
      </c>
      <c r="AR30" s="71">
        <f ca="1">-IF(C30=1,(G30*'Invoer gegevens (N)'!$F$36)*'Reeksen (N)'!J30,0)</f>
        <v>0</v>
      </c>
      <c r="AS30" s="71">
        <f ca="1">-IF(C30=1,'Invoer gegevens (N)'!$C$10*'Invoer gegevens (N)'!$F$37*'Reeksen (N)'!L30,0)</f>
        <v>0</v>
      </c>
      <c r="AT30" s="71">
        <f ca="1">-IF(C30=1,IF(E30='Invoer gegevens (N)'!$C$17,'Invoer gegevens (N)'!$C$11,Q30)*'Reeksen (N)'!S30*'Invoer gegevens (N)'!$C$18*'Reeksen (N)'!P30,0)</f>
        <v>0</v>
      </c>
      <c r="AU30" s="71">
        <f ca="1">-IF(C30=1,'Invoer gegevens (N)'!$C$10*'Invoer gegevens (N)'!$F$38*'Reeksen (N)'!H30,0)</f>
        <v>0</v>
      </c>
      <c r="AV30" s="71">
        <v>0</v>
      </c>
      <c r="AW30" s="71">
        <f t="shared" ca="1" si="6"/>
        <v>0</v>
      </c>
      <c r="AX30" s="71">
        <f ca="1">IF(E30&lt;'Invoer gegevens (N)'!$C$17+15,0,IF('RW - MW - DE - DE (N)'!E30&gt;'Invoer gegevens (N)'!$C$17+215,0,'RW - MW - DE - DE (N)'!AW30))</f>
        <v>0</v>
      </c>
      <c r="AY30" s="71">
        <f ca="1">AX30/(1+'Invoer gegevens (N)'!$F$13)^($AZ30-('Invoer gegevens (N)'!$C$17-'Invoer gegevens (N)'!$C$16))/(1+'Invoer gegevens (N)'!$C$39)^('Invoer gegevens (N)'!$C$17-'Invoer gegevens (N)'!$C$16)</f>
        <v>0</v>
      </c>
      <c r="AZ30" s="68">
        <f ca="1">IF(E30-'Invoer gegevens (N)'!$C$17-14.5&lt;0,0,E30-'Invoer gegevens (N)'!$C$17-14.5)</f>
        <v>10.5</v>
      </c>
      <c r="BC30" s="71"/>
    </row>
    <row r="31" spans="1:55" s="230" customFormat="1" x14ac:dyDescent="0.25">
      <c r="A31" s="59"/>
      <c r="B31" s="70">
        <f t="shared" si="7"/>
        <v>27</v>
      </c>
      <c r="C31" s="67">
        <f ca="1">IF(E31-'Invoer gegevens (N)'!$C$17&lt;0,0,1)</f>
        <v>1</v>
      </c>
      <c r="D31" s="68">
        <f t="shared" si="8"/>
        <v>26.5</v>
      </c>
      <c r="E31" s="69">
        <f ca="1">IF('Invoer gegevens (N)'!$C$16="","",E30+1)</f>
        <v>2045</v>
      </c>
      <c r="F31" s="82">
        <f ca="1">IF('Invoer gegevens (N)'!$C$17=E31,'Invoer gegevens (N)'!$C$10,IF(C31=1,H30,0))</f>
        <v>0</v>
      </c>
      <c r="G31" s="83">
        <f ca="1">IF(C31&gt;=1,F31*'Reeksen (N)'!C31,0)</f>
        <v>0</v>
      </c>
      <c r="H31" s="84">
        <f t="shared" ca="1" si="1"/>
        <v>0</v>
      </c>
      <c r="I31" s="85">
        <f ca="1">IF('Invoer gegevens (N)'!$C$17=E31,'Invoer gegevens (N)'!$C$11,IF(C31=1,L30,0))</f>
        <v>0</v>
      </c>
      <c r="J31" s="86">
        <f ca="1">IF(C31&lt;1,0,IF('Reeksen (N)'!AD31&lt;='Reeksen (N)'!AE31,I31*'Reeksen (N)'!C31,0))</f>
        <v>0</v>
      </c>
      <c r="K31" s="86">
        <f ca="1">IF(C31&lt;1,0,IF('Reeksen (N)'!AD31&gt;'Reeksen (N)'!AE31,I31*'Reeksen (N)'!C31,0))</f>
        <v>0</v>
      </c>
      <c r="L31" s="86">
        <f t="shared" ca="1" si="2"/>
        <v>0</v>
      </c>
      <c r="M31" s="85">
        <f ca="1">IF('Invoer gegevens (N)'!$C$17=E31,'Invoer gegevens (N)'!$C$10-'Invoer gegevens (N)'!$C$11,IF(C31=1,P30,0))</f>
        <v>0</v>
      </c>
      <c r="N31" s="86">
        <f ca="1">IF(C31&lt;1,0,IF('Reeksen (N)'!AD31&lt;='Reeksen (N)'!AE31,M31*'Reeksen (N)'!C31,0))</f>
        <v>0</v>
      </c>
      <c r="O31" s="86">
        <f ca="1">IF(C31&lt;1,0,IF('Reeksen (N)'!AD31&gt;'Reeksen (N)'!AE31,M31*'Reeksen (N)'!C31,0))</f>
        <v>0</v>
      </c>
      <c r="P31" s="86">
        <f t="shared" ca="1" si="3"/>
        <v>0</v>
      </c>
      <c r="Q31" s="82">
        <f ca="1">IF('Invoer gegevens (N)'!$C$17=E31,I31,IF(C31=0,0,R30))</f>
        <v>0</v>
      </c>
      <c r="R31" s="84">
        <f t="shared" ca="1" si="0"/>
        <v>0</v>
      </c>
      <c r="S31" s="84">
        <f ca="1">IF('Invoer gegevens (N)'!$C$17=E31,M31,IF(C31=0,0,T30))</f>
        <v>0</v>
      </c>
      <c r="T31" s="84">
        <f t="shared" ca="1" si="9"/>
        <v>0</v>
      </c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7"/>
      <c r="AI31" s="71">
        <f ca="1">IF(C31=1,((F31+H31)/2*'Reeksen (N)'!AI31*12)+(('Invoer gegevens (N)'!$C$10-(F31+H31)/2)*'Reeksen (N)'!AD31*12),0)</f>
        <v>0</v>
      </c>
      <c r="AJ31" s="71">
        <f ca="1">-AI31*'Invoer gegevens (N)'!$F$28</f>
        <v>0</v>
      </c>
      <c r="AK31" s="71">
        <f t="shared" ca="1" si="4"/>
        <v>0</v>
      </c>
      <c r="AL31" s="71">
        <f ca="1">IF(C31=1,(12*((F31+H31)/2)*'Reeksen (N)'!AL31)+(12*('Invoer gegevens (N)'!$C$10-(F31+H31)/2)*'Reeksen (N)'!AM31),0)</f>
        <v>0</v>
      </c>
      <c r="AM31" s="71">
        <f ca="1">-AL31*'Invoer gegevens (N)'!$F$31</f>
        <v>0</v>
      </c>
      <c r="AN31" s="71">
        <f t="shared" ca="1" si="5"/>
        <v>0</v>
      </c>
      <c r="AO31" s="71"/>
      <c r="AP31" s="71"/>
      <c r="AQ31" s="71">
        <f ca="1">-IF(C31=1,('Invoer gegevens (N)'!$C$10*'Invoer gegevens (N)'!$F$35)*'Reeksen (N)'!J31,0)*2</f>
        <v>0</v>
      </c>
      <c r="AR31" s="71">
        <f ca="1">-IF(C31=1,(G31*'Invoer gegevens (N)'!$F$36)*'Reeksen (N)'!J31,0)</f>
        <v>0</v>
      </c>
      <c r="AS31" s="71">
        <f ca="1">-IF(C31=1,'Invoer gegevens (N)'!$C$10*'Invoer gegevens (N)'!$F$37*'Reeksen (N)'!L31,0)</f>
        <v>0</v>
      </c>
      <c r="AT31" s="71">
        <f ca="1">-IF(C31=1,IF(E31='Invoer gegevens (N)'!$C$17,'Invoer gegevens (N)'!$C$11,Q31)*'Reeksen (N)'!S31*'Invoer gegevens (N)'!$C$18*'Reeksen (N)'!P31,0)</f>
        <v>0</v>
      </c>
      <c r="AU31" s="71">
        <f ca="1">-IF(C31=1,'Invoer gegevens (N)'!$C$10*'Invoer gegevens (N)'!$F$38*'Reeksen (N)'!H31,0)</f>
        <v>0</v>
      </c>
      <c r="AV31" s="71">
        <v>0</v>
      </c>
      <c r="AW31" s="71">
        <f t="shared" ca="1" si="6"/>
        <v>0</v>
      </c>
      <c r="AX31" s="71">
        <f ca="1">IF(E31&lt;'Invoer gegevens (N)'!$C$17+15,0,IF('RW - MW - DE - DE (N)'!E31&gt;'Invoer gegevens (N)'!$C$17+215,0,'RW - MW - DE - DE (N)'!AW31))</f>
        <v>0</v>
      </c>
      <c r="AY31" s="71">
        <f ca="1">AX31/(1+'Invoer gegevens (N)'!$F$13)^($AZ31-('Invoer gegevens (N)'!$C$17-'Invoer gegevens (N)'!$C$16))/(1+'Invoer gegevens (N)'!$C$39)^('Invoer gegevens (N)'!$C$17-'Invoer gegevens (N)'!$C$16)</f>
        <v>0</v>
      </c>
      <c r="AZ31" s="68">
        <f ca="1">IF(E31-'Invoer gegevens (N)'!$C$17-14.5&lt;0,0,E31-'Invoer gegevens (N)'!$C$17-14.5)</f>
        <v>11.5</v>
      </c>
      <c r="BC31" s="71"/>
    </row>
    <row r="32" spans="1:55" s="230" customFormat="1" x14ac:dyDescent="0.25">
      <c r="B32" s="70">
        <f t="shared" si="7"/>
        <v>28</v>
      </c>
      <c r="C32" s="67">
        <f ca="1">IF(E32-'Invoer gegevens (N)'!$C$17&lt;0,0,1)</f>
        <v>1</v>
      </c>
      <c r="D32" s="68">
        <f t="shared" si="8"/>
        <v>27.5</v>
      </c>
      <c r="E32" s="69">
        <f ca="1">IF('Invoer gegevens (N)'!$C$16="","",E31+1)</f>
        <v>2046</v>
      </c>
      <c r="F32" s="82">
        <f ca="1">IF('Invoer gegevens (N)'!$C$17=E32,'Invoer gegevens (N)'!$C$10,IF(C32=1,H31,0))</f>
        <v>0</v>
      </c>
      <c r="G32" s="83">
        <f ca="1">IF(C32&gt;=1,F32*'Reeksen (N)'!C32,0)</f>
        <v>0</v>
      </c>
      <c r="H32" s="84">
        <f t="shared" ca="1" si="1"/>
        <v>0</v>
      </c>
      <c r="I32" s="85">
        <f ca="1">IF('Invoer gegevens (N)'!$C$17=E32,'Invoer gegevens (N)'!$C$11,IF(C32=1,L31,0))</f>
        <v>0</v>
      </c>
      <c r="J32" s="86">
        <f ca="1">IF(C32&lt;1,0,IF('Reeksen (N)'!AD32&lt;='Reeksen (N)'!AE32,I32*'Reeksen (N)'!C32,0))</f>
        <v>0</v>
      </c>
      <c r="K32" s="86">
        <f ca="1">IF(C32&lt;1,0,IF('Reeksen (N)'!AD32&gt;'Reeksen (N)'!AE32,I32*'Reeksen (N)'!C32,0))</f>
        <v>0</v>
      </c>
      <c r="L32" s="86">
        <f t="shared" ca="1" si="2"/>
        <v>0</v>
      </c>
      <c r="M32" s="85">
        <f ca="1">IF('Invoer gegevens (N)'!$C$17=E32,'Invoer gegevens (N)'!$C$10-'Invoer gegevens (N)'!$C$11,IF(C32=1,P31,0))</f>
        <v>0</v>
      </c>
      <c r="N32" s="86">
        <f ca="1">IF(C32&lt;1,0,IF('Reeksen (N)'!AD32&lt;='Reeksen (N)'!AE32,M32*'Reeksen (N)'!C32,0))</f>
        <v>0</v>
      </c>
      <c r="O32" s="86">
        <f ca="1">IF(C32&lt;1,0,IF('Reeksen (N)'!AD32&gt;'Reeksen (N)'!AE32,M32*'Reeksen (N)'!C32,0))</f>
        <v>0</v>
      </c>
      <c r="P32" s="86">
        <f t="shared" ca="1" si="3"/>
        <v>0</v>
      </c>
      <c r="Q32" s="82">
        <f ca="1">IF('Invoer gegevens (N)'!$C$17=E32,I32,IF(C32=0,0,R31))</f>
        <v>0</v>
      </c>
      <c r="R32" s="84">
        <f t="shared" ca="1" si="0"/>
        <v>0</v>
      </c>
      <c r="S32" s="84">
        <f ca="1">IF('Invoer gegevens (N)'!$C$17=E32,M32,IF(C32=0,0,T31))</f>
        <v>0</v>
      </c>
      <c r="T32" s="84">
        <f t="shared" ca="1" si="9"/>
        <v>0</v>
      </c>
      <c r="AI32" s="71">
        <f ca="1">IF(C32=1,((F32+H32)/2*'Reeksen (N)'!AI32*12)+(('Invoer gegevens (N)'!$C$10-(F32+H32)/2)*'Reeksen (N)'!AD32*12),0)</f>
        <v>0</v>
      </c>
      <c r="AJ32" s="71">
        <f ca="1">-AI32*'Invoer gegevens (N)'!$F$28</f>
        <v>0</v>
      </c>
      <c r="AK32" s="71">
        <f t="shared" ca="1" si="4"/>
        <v>0</v>
      </c>
      <c r="AL32" s="71">
        <f ca="1">IF(C32=1,(12*((F32+H32)/2)*'Reeksen (N)'!AL32)+(12*('Invoer gegevens (N)'!$C$10-(F32+H32)/2)*'Reeksen (N)'!AM32),0)</f>
        <v>0</v>
      </c>
      <c r="AM32" s="71">
        <f ca="1">-AL32*'Invoer gegevens (N)'!$F$31</f>
        <v>0</v>
      </c>
      <c r="AN32" s="71">
        <f t="shared" ca="1" si="5"/>
        <v>0</v>
      </c>
      <c r="AO32" s="71"/>
      <c r="AP32" s="71"/>
      <c r="AQ32" s="71">
        <f ca="1">-IF(C32=1,('Invoer gegevens (N)'!$C$10*'Invoer gegevens (N)'!$F$35)*'Reeksen (N)'!J32,0)*2</f>
        <v>0</v>
      </c>
      <c r="AR32" s="71">
        <f ca="1">-IF(C32=1,(G32*'Invoer gegevens (N)'!$F$36)*'Reeksen (N)'!J32,0)</f>
        <v>0</v>
      </c>
      <c r="AS32" s="71">
        <f ca="1">-IF(C32=1,'Invoer gegevens (N)'!$C$10*'Invoer gegevens (N)'!$F$37*'Reeksen (N)'!L32,0)</f>
        <v>0</v>
      </c>
      <c r="AT32" s="71">
        <f ca="1">-IF(C32=1,IF(E32='Invoer gegevens (N)'!$C$17,'Invoer gegevens (N)'!$C$11,Q32)*'Reeksen (N)'!S32*'Invoer gegevens (N)'!$C$18*'Reeksen (N)'!P32,0)</f>
        <v>0</v>
      </c>
      <c r="AU32" s="71">
        <f ca="1">-IF(C32=1,'Invoer gegevens (N)'!$C$10*'Invoer gegevens (N)'!$F$38*'Reeksen (N)'!H32,0)</f>
        <v>0</v>
      </c>
      <c r="AV32" s="71">
        <v>0</v>
      </c>
      <c r="AW32" s="71">
        <f t="shared" ca="1" si="6"/>
        <v>0</v>
      </c>
      <c r="AX32" s="71">
        <f ca="1">IF(E32&lt;'Invoer gegevens (N)'!$C$17+15,0,IF('RW - MW - DE - DE (N)'!E32&gt;'Invoer gegevens (N)'!$C$17+215,0,'RW - MW - DE - DE (N)'!AW32))</f>
        <v>0</v>
      </c>
      <c r="AY32" s="71">
        <f ca="1">AX32/(1+'Invoer gegevens (N)'!$F$13)^($AZ32-('Invoer gegevens (N)'!$C$17-'Invoer gegevens (N)'!$C$16))/(1+'Invoer gegevens (N)'!$C$39)^('Invoer gegevens (N)'!$C$17-'Invoer gegevens (N)'!$C$16)</f>
        <v>0</v>
      </c>
      <c r="AZ32" s="68">
        <f ca="1">IF(E32-'Invoer gegevens (N)'!$C$17-14.5&lt;0,0,E32-'Invoer gegevens (N)'!$C$17-14.5)</f>
        <v>12.5</v>
      </c>
      <c r="BC32" s="71"/>
    </row>
    <row r="33" spans="2:55" s="230" customFormat="1" x14ac:dyDescent="0.25">
      <c r="B33" s="70">
        <f t="shared" si="7"/>
        <v>29</v>
      </c>
      <c r="C33" s="67">
        <f ca="1">IF(E33-'Invoer gegevens (N)'!$C$17&lt;0,0,1)</f>
        <v>1</v>
      </c>
      <c r="D33" s="68">
        <f t="shared" si="8"/>
        <v>28.5</v>
      </c>
      <c r="E33" s="69">
        <f ca="1">IF('Invoer gegevens (N)'!$C$16="","",E32+1)</f>
        <v>2047</v>
      </c>
      <c r="F33" s="82">
        <f ca="1">IF('Invoer gegevens (N)'!$C$17=E33,'Invoer gegevens (N)'!$C$10,IF(C33=1,H32,0))</f>
        <v>0</v>
      </c>
      <c r="G33" s="83">
        <f ca="1">IF(C33&gt;=1,F33*'Reeksen (N)'!C33,0)</f>
        <v>0</v>
      </c>
      <c r="H33" s="84">
        <f t="shared" ca="1" si="1"/>
        <v>0</v>
      </c>
      <c r="I33" s="85">
        <f ca="1">IF('Invoer gegevens (N)'!$C$17=E33,'Invoer gegevens (N)'!$C$11,IF(C33=1,L32,0))</f>
        <v>0</v>
      </c>
      <c r="J33" s="86">
        <f ca="1">IF(C33&lt;1,0,IF('Reeksen (N)'!AD33&lt;='Reeksen (N)'!AE33,I33*'Reeksen (N)'!C33,0))</f>
        <v>0</v>
      </c>
      <c r="K33" s="86">
        <f ca="1">IF(C33&lt;1,0,IF('Reeksen (N)'!AD33&gt;'Reeksen (N)'!AE33,I33*'Reeksen (N)'!C33,0))</f>
        <v>0</v>
      </c>
      <c r="L33" s="86">
        <f t="shared" ca="1" si="2"/>
        <v>0</v>
      </c>
      <c r="M33" s="85">
        <f ca="1">IF('Invoer gegevens (N)'!$C$17=E33,'Invoer gegevens (N)'!$C$10-'Invoer gegevens (N)'!$C$11,IF(C33=1,P32,0))</f>
        <v>0</v>
      </c>
      <c r="N33" s="86">
        <f ca="1">IF(C33&lt;1,0,IF('Reeksen (N)'!AD33&lt;='Reeksen (N)'!AE33,M33*'Reeksen (N)'!C33,0))</f>
        <v>0</v>
      </c>
      <c r="O33" s="86">
        <f ca="1">IF(C33&lt;1,0,IF('Reeksen (N)'!AD33&gt;'Reeksen (N)'!AE33,M33*'Reeksen (N)'!C33,0))</f>
        <v>0</v>
      </c>
      <c r="P33" s="86">
        <f t="shared" ca="1" si="3"/>
        <v>0</v>
      </c>
      <c r="Q33" s="82">
        <f ca="1">IF('Invoer gegevens (N)'!$C$17=E33,I33,IF(C33=0,0,R32))</f>
        <v>0</v>
      </c>
      <c r="R33" s="84">
        <f t="shared" ca="1" si="0"/>
        <v>0</v>
      </c>
      <c r="S33" s="84">
        <f ca="1">IF('Invoer gegevens (N)'!$C$17=E33,M33,IF(C33=0,0,T32))</f>
        <v>0</v>
      </c>
      <c r="T33" s="84">
        <f t="shared" ca="1" si="9"/>
        <v>0</v>
      </c>
      <c r="AI33" s="71">
        <f ca="1">IF(C33=1,((F33+H33)/2*'Reeksen (N)'!AI33*12)+(('Invoer gegevens (N)'!$C$10-(F33+H33)/2)*'Reeksen (N)'!AD33*12),0)</f>
        <v>0</v>
      </c>
      <c r="AJ33" s="71">
        <f ca="1">-AI33*'Invoer gegevens (N)'!$F$28</f>
        <v>0</v>
      </c>
      <c r="AK33" s="71">
        <f t="shared" ca="1" si="4"/>
        <v>0</v>
      </c>
      <c r="AL33" s="71">
        <f ca="1">IF(C33=1,(12*((F33+H33)/2)*'Reeksen (N)'!AL33)+(12*('Invoer gegevens (N)'!$C$10-(F33+H33)/2)*'Reeksen (N)'!AM33),0)</f>
        <v>0</v>
      </c>
      <c r="AM33" s="71">
        <f ca="1">-AL33*'Invoer gegevens (N)'!$F$31</f>
        <v>0</v>
      </c>
      <c r="AN33" s="71">
        <f t="shared" ca="1" si="5"/>
        <v>0</v>
      </c>
      <c r="AO33" s="71"/>
      <c r="AP33" s="71"/>
      <c r="AQ33" s="71">
        <f ca="1">-IF(C33=1,('Invoer gegevens (N)'!$C$10*'Invoer gegevens (N)'!$F$35)*'Reeksen (N)'!J33,0)*2</f>
        <v>0</v>
      </c>
      <c r="AR33" s="71">
        <f ca="1">-IF(C33=1,(G33*'Invoer gegevens (N)'!$F$36)*'Reeksen (N)'!J33,0)</f>
        <v>0</v>
      </c>
      <c r="AS33" s="71">
        <f ca="1">-IF(C33=1,'Invoer gegevens (N)'!$C$10*'Invoer gegevens (N)'!$F$37*'Reeksen (N)'!L33,0)</f>
        <v>0</v>
      </c>
      <c r="AT33" s="71">
        <f ca="1">-IF(C33=1,IF(E33='Invoer gegevens (N)'!$C$17,'Invoer gegevens (N)'!$C$11,Q33)*'Reeksen (N)'!S33*'Invoer gegevens (N)'!$C$18*'Reeksen (N)'!P33,0)</f>
        <v>0</v>
      </c>
      <c r="AU33" s="71">
        <f ca="1">-IF(C33=1,'Invoer gegevens (N)'!$C$10*'Invoer gegevens (N)'!$F$38*'Reeksen (N)'!H33,0)</f>
        <v>0</v>
      </c>
      <c r="AV33" s="71">
        <v>0</v>
      </c>
      <c r="AW33" s="71">
        <f ca="1">SUM(AK33,AN33:AV33)</f>
        <v>0</v>
      </c>
      <c r="AX33" s="71">
        <f ca="1">IF(E33&lt;'Invoer gegevens (N)'!$C$17+15,0,IF('RW - MW - DE - DE (N)'!E33&gt;'Invoer gegevens (N)'!$C$17+215,0,'RW - MW - DE - DE (N)'!AW33))</f>
        <v>0</v>
      </c>
      <c r="AY33" s="71">
        <f ca="1">AX33/(1+'Invoer gegevens (N)'!$F$13)^($AZ33-('Invoer gegevens (N)'!$C$17-'Invoer gegevens (N)'!$C$16))/(1+'Invoer gegevens (N)'!$C$39)^('Invoer gegevens (N)'!$C$17-'Invoer gegevens (N)'!$C$16)</f>
        <v>0</v>
      </c>
      <c r="AZ33" s="68">
        <f ca="1">IF(E33-'Invoer gegevens (N)'!$C$17-14.5&lt;0,0,E33-'Invoer gegevens (N)'!$C$17-14.5)</f>
        <v>13.5</v>
      </c>
      <c r="BC33" s="71"/>
    </row>
    <row r="34" spans="2:55" s="230" customFormat="1" x14ac:dyDescent="0.25">
      <c r="B34" s="70">
        <f t="shared" si="7"/>
        <v>30</v>
      </c>
      <c r="C34" s="67">
        <f ca="1">IF(E34-'Invoer gegevens (N)'!$C$17&lt;0,0,1)</f>
        <v>1</v>
      </c>
      <c r="D34" s="68">
        <f t="shared" si="8"/>
        <v>29.5</v>
      </c>
      <c r="E34" s="69">
        <f ca="1">IF('Invoer gegevens (N)'!$C$16="","",E33+1)</f>
        <v>2048</v>
      </c>
      <c r="F34" s="82">
        <f ca="1">IF('Invoer gegevens (N)'!$C$17=E34,'Invoer gegevens (N)'!$C$10,IF(C34=1,H33,0))</f>
        <v>0</v>
      </c>
      <c r="G34" s="83">
        <f ca="1">IF(C34&gt;=1,F34*'Reeksen (N)'!C34,0)</f>
        <v>0</v>
      </c>
      <c r="H34" s="84">
        <f t="shared" ca="1" si="1"/>
        <v>0</v>
      </c>
      <c r="I34" s="85">
        <f ca="1">IF('Invoer gegevens (N)'!$C$17=E34,'Invoer gegevens (N)'!$C$11,IF(C34=1,L33,0))</f>
        <v>0</v>
      </c>
      <c r="J34" s="86">
        <f ca="1">IF(C34&lt;1,0,IF('Reeksen (N)'!AD34&lt;='Reeksen (N)'!AE34,I34*'Reeksen (N)'!C34,0))</f>
        <v>0</v>
      </c>
      <c r="K34" s="86">
        <f ca="1">IF(C34&lt;1,0,IF('Reeksen (N)'!AD34&gt;'Reeksen (N)'!AE34,I34*'Reeksen (N)'!C34,0))</f>
        <v>0</v>
      </c>
      <c r="L34" s="86">
        <f t="shared" ca="1" si="2"/>
        <v>0</v>
      </c>
      <c r="M34" s="85">
        <f ca="1">IF('Invoer gegevens (N)'!$C$17=E34,'Invoer gegevens (N)'!$C$10-'Invoer gegevens (N)'!$C$11,IF(C34=1,P33,0))</f>
        <v>0</v>
      </c>
      <c r="N34" s="86">
        <f ca="1">IF(C34&lt;1,0,IF('Reeksen (N)'!AD34&lt;='Reeksen (N)'!AE34,M34*'Reeksen (N)'!C34,0))</f>
        <v>0</v>
      </c>
      <c r="O34" s="86">
        <f ca="1">IF(C34&lt;1,0,IF('Reeksen (N)'!AD34&gt;'Reeksen (N)'!AE34,M34*'Reeksen (N)'!C34,0))</f>
        <v>0</v>
      </c>
      <c r="P34" s="86">
        <f t="shared" ca="1" si="3"/>
        <v>0</v>
      </c>
      <c r="Q34" s="82">
        <f ca="1">IF('Invoer gegevens (N)'!$C$17=E34,I34,IF(C34=0,0,R33))</f>
        <v>0</v>
      </c>
      <c r="R34" s="84">
        <f t="shared" ca="1" si="0"/>
        <v>0</v>
      </c>
      <c r="S34" s="84">
        <f ca="1">IF('Invoer gegevens (N)'!$C$17=E34,M34,IF(C34=0,0,T33))</f>
        <v>0</v>
      </c>
      <c r="T34" s="84">
        <f t="shared" ca="1" si="9"/>
        <v>0</v>
      </c>
      <c r="AI34" s="71">
        <f ca="1">IF(C34=1,((F34+H34)/2*'Reeksen (N)'!AI34*12)+(('Invoer gegevens (N)'!$C$10-(F34+H34)/2)*'Reeksen (N)'!AD34*12),0)</f>
        <v>0</v>
      </c>
      <c r="AJ34" s="71">
        <f ca="1">-AI34*'Invoer gegevens (N)'!$F$28</f>
        <v>0</v>
      </c>
      <c r="AK34" s="71">
        <f t="shared" ca="1" si="4"/>
        <v>0</v>
      </c>
      <c r="AL34" s="71">
        <f ca="1">IF(C34=1,(12*((F34+H34)/2)*'Reeksen (N)'!AL34)+(12*('Invoer gegevens (N)'!$C$10-(F34+H34)/2)*'Reeksen (N)'!AM34),0)</f>
        <v>0</v>
      </c>
      <c r="AM34" s="71">
        <f ca="1">-AL34*'Invoer gegevens (N)'!$F$31</f>
        <v>0</v>
      </c>
      <c r="AN34" s="71">
        <f t="shared" ca="1" si="5"/>
        <v>0</v>
      </c>
      <c r="AO34" s="71"/>
      <c r="AP34" s="71"/>
      <c r="AQ34" s="71">
        <f ca="1">-IF(C34=1,('Invoer gegevens (N)'!$C$10*'Invoer gegevens (N)'!$F$35)*'Reeksen (N)'!J34,0)*2</f>
        <v>0</v>
      </c>
      <c r="AR34" s="71">
        <f ca="1">-IF(C34=1,(G34*'Invoer gegevens (N)'!$F$36)*'Reeksen (N)'!J34,0)</f>
        <v>0</v>
      </c>
      <c r="AS34" s="71">
        <f ca="1">-IF(C34=1,'Invoer gegevens (N)'!$C$10*'Invoer gegevens (N)'!$F$37*'Reeksen (N)'!L34,0)</f>
        <v>0</v>
      </c>
      <c r="AT34" s="71">
        <f ca="1">-IF(C34=1,IF(E34='Invoer gegevens (N)'!$C$17,'Invoer gegevens (N)'!$C$11,Q34)*'Reeksen (N)'!S34*'Invoer gegevens (N)'!$C$18*'Reeksen (N)'!P34,0)</f>
        <v>0</v>
      </c>
      <c r="AU34" s="71">
        <f ca="1">-IF(C34=1,'Invoer gegevens (N)'!$C$10*'Invoer gegevens (N)'!$F$38*'Reeksen (N)'!H34,0)</f>
        <v>0</v>
      </c>
      <c r="AV34" s="71">
        <v>0</v>
      </c>
      <c r="AW34" s="71">
        <f t="shared" ca="1" si="6"/>
        <v>0</v>
      </c>
      <c r="AX34" s="71">
        <f ca="1">IF(E34&lt;'Invoer gegevens (N)'!$C$17+15,0,IF('RW - MW - DE - DE (N)'!E34&gt;'Invoer gegevens (N)'!$C$17+215,0,'RW - MW - DE - DE (N)'!AW34))</f>
        <v>0</v>
      </c>
      <c r="AY34" s="71">
        <f ca="1">AX34/(1+'Invoer gegevens (N)'!$F$13)^($AZ34-('Invoer gegevens (N)'!$C$17-'Invoer gegevens (N)'!$C$16))/(1+'Invoer gegevens (N)'!$C$39)^('Invoer gegevens (N)'!$C$17-'Invoer gegevens (N)'!$C$16)</f>
        <v>0</v>
      </c>
      <c r="AZ34" s="68">
        <f ca="1">IF(E34-'Invoer gegevens (N)'!$C$17-14.5&lt;0,0,E34-'Invoer gegevens (N)'!$C$17-14.5)</f>
        <v>14.5</v>
      </c>
      <c r="BC34" s="71"/>
    </row>
    <row r="35" spans="2:55" s="230" customFormat="1" x14ac:dyDescent="0.25">
      <c r="B35" s="70">
        <f t="shared" si="7"/>
        <v>31</v>
      </c>
      <c r="C35" s="67">
        <f ca="1">IF(E35-'Invoer gegevens (N)'!$C$17&lt;0,0,1)</f>
        <v>1</v>
      </c>
      <c r="D35" s="68">
        <f t="shared" si="8"/>
        <v>30.5</v>
      </c>
      <c r="E35" s="69">
        <f ca="1">IF('Invoer gegevens (N)'!$C$16="","",E34+1)</f>
        <v>2049</v>
      </c>
      <c r="F35" s="82">
        <f ca="1">IF('Invoer gegevens (N)'!$C$17=E35,'Invoer gegevens (N)'!$C$10,IF(C35=1,H34,0))</f>
        <v>0</v>
      </c>
      <c r="G35" s="83">
        <f ca="1">IF(C35&gt;=1,F35*'Reeksen (N)'!C35,0)</f>
        <v>0</v>
      </c>
      <c r="H35" s="84">
        <f t="shared" ca="1" si="1"/>
        <v>0</v>
      </c>
      <c r="I35" s="85">
        <f ca="1">IF('Invoer gegevens (N)'!$C$17=E35,'Invoer gegevens (N)'!$C$11,IF(C35=1,L34,0))</f>
        <v>0</v>
      </c>
      <c r="J35" s="86">
        <f ca="1">IF(C35&lt;1,0,IF('Reeksen (N)'!AD35&lt;='Reeksen (N)'!AE35,I35*'Reeksen (N)'!C35,0))</f>
        <v>0</v>
      </c>
      <c r="K35" s="86">
        <f ca="1">IF(C35&lt;1,0,IF('Reeksen (N)'!AD35&gt;'Reeksen (N)'!AE35,I35*'Reeksen (N)'!C35,0))</f>
        <v>0</v>
      </c>
      <c r="L35" s="86">
        <f t="shared" ca="1" si="2"/>
        <v>0</v>
      </c>
      <c r="M35" s="85">
        <f ca="1">IF('Invoer gegevens (N)'!$C$17=E35,'Invoer gegevens (N)'!$C$10-'Invoer gegevens (N)'!$C$11,IF(C35=1,P34,0))</f>
        <v>0</v>
      </c>
      <c r="N35" s="86">
        <f ca="1">IF(C35&lt;1,0,IF('Reeksen (N)'!AD35&lt;='Reeksen (N)'!AE35,M35*'Reeksen (N)'!C35,0))</f>
        <v>0</v>
      </c>
      <c r="O35" s="86">
        <f ca="1">IF(C35&lt;1,0,IF('Reeksen (N)'!AD35&gt;'Reeksen (N)'!AE35,M35*'Reeksen (N)'!C35,0))</f>
        <v>0</v>
      </c>
      <c r="P35" s="86">
        <f t="shared" ca="1" si="3"/>
        <v>0</v>
      </c>
      <c r="Q35" s="82">
        <f ca="1">IF('Invoer gegevens (N)'!$C$17=E35,I35,IF(C35=0,0,R34))</f>
        <v>0</v>
      </c>
      <c r="R35" s="84">
        <f t="shared" ca="1" si="0"/>
        <v>0</v>
      </c>
      <c r="S35" s="84">
        <f ca="1">IF('Invoer gegevens (N)'!$C$17=E35,M35,IF(C35=0,0,T34))</f>
        <v>0</v>
      </c>
      <c r="T35" s="84">
        <f t="shared" ca="1" si="9"/>
        <v>0</v>
      </c>
      <c r="AI35" s="71">
        <f ca="1">IF(C35=1,((F35+H35)/2*'Reeksen (N)'!AI35*12)+(('Invoer gegevens (N)'!$C$10-(F35+H35)/2)*'Reeksen (N)'!AD35*12),0)</f>
        <v>0</v>
      </c>
      <c r="AJ35" s="71">
        <f ca="1">-AI35*'Invoer gegevens (N)'!$F$28</f>
        <v>0</v>
      </c>
      <c r="AK35" s="71">
        <f t="shared" ca="1" si="4"/>
        <v>0</v>
      </c>
      <c r="AL35" s="71">
        <f ca="1">IF(C35=1,(12*((F35+H35)/2)*'Reeksen (N)'!AL35)+(12*('Invoer gegevens (N)'!$C$10-(F35+H35)/2)*'Reeksen (N)'!AM35),0)</f>
        <v>0</v>
      </c>
      <c r="AM35" s="71">
        <f ca="1">-AL35*'Invoer gegevens (N)'!$F$31</f>
        <v>0</v>
      </c>
      <c r="AN35" s="71">
        <f t="shared" ca="1" si="5"/>
        <v>0</v>
      </c>
      <c r="AO35" s="71"/>
      <c r="AP35" s="71"/>
      <c r="AQ35" s="71">
        <f ca="1">-IF(C35=1,('Invoer gegevens (N)'!$C$10*'Invoer gegevens (N)'!$F$35)*'Reeksen (N)'!J35,0)*2</f>
        <v>0</v>
      </c>
      <c r="AR35" s="71">
        <f ca="1">-IF(C35=1,(G35*'Invoer gegevens (N)'!$F$36)*'Reeksen (N)'!J35,0)</f>
        <v>0</v>
      </c>
      <c r="AS35" s="71">
        <f ca="1">-IF(C35=1,'Invoer gegevens (N)'!$C$10*'Invoer gegevens (N)'!$F$37*'Reeksen (N)'!L35,0)</f>
        <v>0</v>
      </c>
      <c r="AT35" s="71">
        <f ca="1">-IF(C35=1,IF(E35='Invoer gegevens (N)'!$C$17,'Invoer gegevens (N)'!$C$11,Q35)*'Reeksen (N)'!S35*'Invoer gegevens (N)'!$C$18*'Reeksen (N)'!P35,0)</f>
        <v>0</v>
      </c>
      <c r="AU35" s="71">
        <f ca="1">-IF(C35=1,'Invoer gegevens (N)'!$C$10*'Invoer gegevens (N)'!$F$38*'Reeksen (N)'!H35,0)</f>
        <v>0</v>
      </c>
      <c r="AV35" s="71">
        <v>0</v>
      </c>
      <c r="AW35" s="71">
        <f t="shared" ca="1" si="6"/>
        <v>0</v>
      </c>
      <c r="AX35" s="71">
        <f ca="1">IF(E35&lt;'Invoer gegevens (N)'!$C$17+15,0,IF('RW - MW - DE - DE (N)'!E35&gt;'Invoer gegevens (N)'!$C$17+215,0,'RW - MW - DE - DE (N)'!AW35))</f>
        <v>0</v>
      </c>
      <c r="AY35" s="71">
        <f ca="1">AX35/(1+'Invoer gegevens (N)'!$F$13)^($AZ35-('Invoer gegevens (N)'!$C$17-'Invoer gegevens (N)'!$C$16))/(1+'Invoer gegevens (N)'!$C$39)^('Invoer gegevens (N)'!$C$17-'Invoer gegevens (N)'!$C$16)</f>
        <v>0</v>
      </c>
      <c r="AZ35" s="68">
        <f ca="1">IF(E35-'Invoer gegevens (N)'!$C$17-14.5&lt;0,0,E35-'Invoer gegevens (N)'!$C$17-14.5)</f>
        <v>15.5</v>
      </c>
      <c r="BC35" s="71"/>
    </row>
    <row r="36" spans="2:55" s="230" customFormat="1" x14ac:dyDescent="0.25">
      <c r="B36" s="70">
        <f t="shared" si="7"/>
        <v>32</v>
      </c>
      <c r="C36" s="67">
        <f ca="1">IF(E36-'Invoer gegevens (N)'!$C$17&lt;0,0,1)</f>
        <v>1</v>
      </c>
      <c r="D36" s="68">
        <f t="shared" si="8"/>
        <v>31.5</v>
      </c>
      <c r="E36" s="69">
        <f ca="1">IF('Invoer gegevens (N)'!$C$16="","",E35+1)</f>
        <v>2050</v>
      </c>
      <c r="F36" s="82">
        <f ca="1">IF('Invoer gegevens (N)'!$C$17=E36,'Invoer gegevens (N)'!$C$10,IF(C36=1,H35,0))</f>
        <v>0</v>
      </c>
      <c r="G36" s="83">
        <f ca="1">IF(C36&gt;=1,F36*'Reeksen (N)'!C36,0)</f>
        <v>0</v>
      </c>
      <c r="H36" s="84">
        <f t="shared" ca="1" si="1"/>
        <v>0</v>
      </c>
      <c r="I36" s="85">
        <f ca="1">IF('Invoer gegevens (N)'!$C$17=E36,'Invoer gegevens (N)'!$C$11,IF(C36=1,L35,0))</f>
        <v>0</v>
      </c>
      <c r="J36" s="86">
        <f ca="1">IF(C36&lt;1,0,IF('Reeksen (N)'!AD36&lt;='Reeksen (N)'!AE36,I36*'Reeksen (N)'!C36,0))</f>
        <v>0</v>
      </c>
      <c r="K36" s="86">
        <f ca="1">IF(C36&lt;1,0,IF('Reeksen (N)'!AD36&gt;'Reeksen (N)'!AE36,I36*'Reeksen (N)'!C36,0))</f>
        <v>0</v>
      </c>
      <c r="L36" s="86">
        <f t="shared" ca="1" si="2"/>
        <v>0</v>
      </c>
      <c r="M36" s="85">
        <f ca="1">IF('Invoer gegevens (N)'!$C$17=E36,'Invoer gegevens (N)'!$C$10-'Invoer gegevens (N)'!$C$11,IF(C36=1,P35,0))</f>
        <v>0</v>
      </c>
      <c r="N36" s="86">
        <f ca="1">IF(C36&lt;1,0,IF('Reeksen (N)'!AD36&lt;='Reeksen (N)'!AE36,M36*'Reeksen (N)'!C36,0))</f>
        <v>0</v>
      </c>
      <c r="O36" s="86">
        <f ca="1">IF(C36&lt;1,0,IF('Reeksen (N)'!AD36&gt;'Reeksen (N)'!AE36,M36*'Reeksen (N)'!C36,0))</f>
        <v>0</v>
      </c>
      <c r="P36" s="86">
        <f t="shared" ca="1" si="3"/>
        <v>0</v>
      </c>
      <c r="Q36" s="82">
        <f ca="1">IF('Invoer gegevens (N)'!$C$17=E36,I36,IF(C36=0,0,R35))</f>
        <v>0</v>
      </c>
      <c r="R36" s="84">
        <f t="shared" ca="1" si="0"/>
        <v>0</v>
      </c>
      <c r="S36" s="84">
        <f ca="1">IF('Invoer gegevens (N)'!$C$17=E36,M36,IF(C36=0,0,T35))</f>
        <v>0</v>
      </c>
      <c r="T36" s="84">
        <f t="shared" ca="1" si="9"/>
        <v>0</v>
      </c>
      <c r="AI36" s="71">
        <f ca="1">IF(C36=1,((F36+H36)/2*'Reeksen (N)'!AI36*12)+(('Invoer gegevens (N)'!$C$10-(F36+H36)/2)*'Reeksen (N)'!AD36*12),0)</f>
        <v>0</v>
      </c>
      <c r="AJ36" s="71">
        <f ca="1">-AI36*'Invoer gegevens (N)'!$F$28</f>
        <v>0</v>
      </c>
      <c r="AK36" s="71">
        <f t="shared" ca="1" si="4"/>
        <v>0</v>
      </c>
      <c r="AL36" s="71">
        <f ca="1">IF(C36=1,(12*((F36+H36)/2)*'Reeksen (N)'!AL36)+(12*('Invoer gegevens (N)'!$C$10-(F36+H36)/2)*'Reeksen (N)'!AM36),0)</f>
        <v>0</v>
      </c>
      <c r="AM36" s="71">
        <f ca="1">-AL36*'Invoer gegevens (N)'!$F$31</f>
        <v>0</v>
      </c>
      <c r="AN36" s="71">
        <f t="shared" ca="1" si="5"/>
        <v>0</v>
      </c>
      <c r="AO36" s="71"/>
      <c r="AP36" s="71"/>
      <c r="AQ36" s="71">
        <f ca="1">-IF(C36=1,('Invoer gegevens (N)'!$C$10*'Invoer gegevens (N)'!$F$35)*'Reeksen (N)'!J36,0)*2</f>
        <v>0</v>
      </c>
      <c r="AR36" s="71">
        <f ca="1">-IF(C36=1,(G36*'Invoer gegevens (N)'!$F$36)*'Reeksen (N)'!J36,0)</f>
        <v>0</v>
      </c>
      <c r="AS36" s="71">
        <f ca="1">-IF(C36=1,'Invoer gegevens (N)'!$C$10*'Invoer gegevens (N)'!$F$37*'Reeksen (N)'!L36,0)</f>
        <v>0</v>
      </c>
      <c r="AT36" s="71">
        <f ca="1">-IF(C36=1,IF(E36='Invoer gegevens (N)'!$C$17,'Invoer gegevens (N)'!$C$11,Q36)*'Reeksen (N)'!S36*'Invoer gegevens (N)'!$C$18*'Reeksen (N)'!P36,0)</f>
        <v>0</v>
      </c>
      <c r="AU36" s="71">
        <f ca="1">-IF(C36=1,'Invoer gegevens (N)'!$C$10*'Invoer gegevens (N)'!$F$38*'Reeksen (N)'!H36,0)</f>
        <v>0</v>
      </c>
      <c r="AV36" s="71">
        <v>0</v>
      </c>
      <c r="AW36" s="71">
        <f t="shared" ca="1" si="6"/>
        <v>0</v>
      </c>
      <c r="AX36" s="71">
        <f ca="1">IF(E36&lt;'Invoer gegevens (N)'!$C$17+15,0,IF('RW - MW - DE - DE (N)'!E36&gt;'Invoer gegevens (N)'!$C$17+215,0,'RW - MW - DE - DE (N)'!AW36))</f>
        <v>0</v>
      </c>
      <c r="AY36" s="71">
        <f ca="1">AX36/(1+'Invoer gegevens (N)'!$F$13)^($AZ36-('Invoer gegevens (N)'!$C$17-'Invoer gegevens (N)'!$C$16))/(1+'Invoer gegevens (N)'!$C$39)^('Invoer gegevens (N)'!$C$17-'Invoer gegevens (N)'!$C$16)</f>
        <v>0</v>
      </c>
      <c r="AZ36" s="68">
        <f ca="1">IF(E36-'Invoer gegevens (N)'!$C$17-14.5&lt;0,0,E36-'Invoer gegevens (N)'!$C$17-14.5)</f>
        <v>16.5</v>
      </c>
      <c r="BC36" s="71"/>
    </row>
    <row r="37" spans="2:55" s="230" customFormat="1" x14ac:dyDescent="0.25">
      <c r="B37" s="70">
        <f t="shared" si="7"/>
        <v>33</v>
      </c>
      <c r="C37" s="67">
        <f ca="1">IF(E37-'Invoer gegevens (N)'!$C$17&lt;0,0,1)</f>
        <v>1</v>
      </c>
      <c r="D37" s="68">
        <f t="shared" si="8"/>
        <v>32.5</v>
      </c>
      <c r="E37" s="69">
        <f ca="1">IF('Invoer gegevens (N)'!$C$16="","",E36+1)</f>
        <v>2051</v>
      </c>
      <c r="F37" s="82">
        <f ca="1">IF('Invoer gegevens (N)'!$C$17=E37,'Invoer gegevens (N)'!$C$10,IF(C37=1,H36,0))</f>
        <v>0</v>
      </c>
      <c r="G37" s="83">
        <f ca="1">IF(C37&gt;=1,F37*'Reeksen (N)'!C37,0)</f>
        <v>0</v>
      </c>
      <c r="H37" s="84">
        <f t="shared" ca="1" si="1"/>
        <v>0</v>
      </c>
      <c r="I37" s="85">
        <f ca="1">IF('Invoer gegevens (N)'!$C$17=E37,'Invoer gegevens (N)'!$C$11,IF(C37=1,L36,0))</f>
        <v>0</v>
      </c>
      <c r="J37" s="86">
        <f ca="1">IF(C37&lt;1,0,IF('Reeksen (N)'!AD37&lt;='Reeksen (N)'!AE37,I37*'Reeksen (N)'!C37,0))</f>
        <v>0</v>
      </c>
      <c r="K37" s="86">
        <f ca="1">IF(C37&lt;1,0,IF('Reeksen (N)'!AD37&gt;'Reeksen (N)'!AE37,I37*'Reeksen (N)'!C37,0))</f>
        <v>0</v>
      </c>
      <c r="L37" s="86">
        <f t="shared" ca="1" si="2"/>
        <v>0</v>
      </c>
      <c r="M37" s="85">
        <f ca="1">IF('Invoer gegevens (N)'!$C$17=E37,'Invoer gegevens (N)'!$C$10-'Invoer gegevens (N)'!$C$11,IF(C37=1,P36,0))</f>
        <v>0</v>
      </c>
      <c r="N37" s="86">
        <f ca="1">IF(C37&lt;1,0,IF('Reeksen (N)'!AD37&lt;='Reeksen (N)'!AE37,M37*'Reeksen (N)'!C37,0))</f>
        <v>0</v>
      </c>
      <c r="O37" s="86">
        <f ca="1">IF(C37&lt;1,0,IF('Reeksen (N)'!AD37&gt;'Reeksen (N)'!AE37,M37*'Reeksen (N)'!C37,0))</f>
        <v>0</v>
      </c>
      <c r="P37" s="86">
        <f t="shared" ca="1" si="3"/>
        <v>0</v>
      </c>
      <c r="Q37" s="82">
        <f ca="1">IF('Invoer gegevens (N)'!$C$17=E37,I37,IF(C37=0,0,R36))</f>
        <v>0</v>
      </c>
      <c r="R37" s="84">
        <f t="shared" ca="1" si="0"/>
        <v>0</v>
      </c>
      <c r="S37" s="84">
        <f ca="1">IF('Invoer gegevens (N)'!$C$17=E37,M37,IF(C37=0,0,T36))</f>
        <v>0</v>
      </c>
      <c r="T37" s="84">
        <f t="shared" ca="1" si="9"/>
        <v>0</v>
      </c>
      <c r="AI37" s="71">
        <f ca="1">IF(C37=1,((F37+H37)/2*'Reeksen (N)'!AI37*12)+(('Invoer gegevens (N)'!$C$10-(F37+H37)/2)*'Reeksen (N)'!AD37*12),0)</f>
        <v>0</v>
      </c>
      <c r="AJ37" s="71">
        <f ca="1">-AI37*'Invoer gegevens (N)'!$F$28</f>
        <v>0</v>
      </c>
      <c r="AK37" s="71">
        <f t="shared" ca="1" si="4"/>
        <v>0</v>
      </c>
      <c r="AL37" s="71">
        <f ca="1">IF(C37=1,(12*((F37+H37)/2)*'Reeksen (N)'!AL37)+(12*('Invoer gegevens (N)'!$C$10-(F37+H37)/2)*'Reeksen (N)'!AM37),0)</f>
        <v>0</v>
      </c>
      <c r="AM37" s="71">
        <f ca="1">-AL37*'Invoer gegevens (N)'!$F$31</f>
        <v>0</v>
      </c>
      <c r="AN37" s="71">
        <f t="shared" ca="1" si="5"/>
        <v>0</v>
      </c>
      <c r="AO37" s="71"/>
      <c r="AP37" s="71"/>
      <c r="AQ37" s="71">
        <f ca="1">-IF(C37=1,('Invoer gegevens (N)'!$C$10*'Invoer gegevens (N)'!$F$35)*'Reeksen (N)'!J37,0)*2</f>
        <v>0</v>
      </c>
      <c r="AR37" s="71">
        <f ca="1">-IF(C37=1,(G37*'Invoer gegevens (N)'!$F$36)*'Reeksen (N)'!J37,0)</f>
        <v>0</v>
      </c>
      <c r="AS37" s="71">
        <f ca="1">-IF(C37=1,'Invoer gegevens (N)'!$C$10*'Invoer gegevens (N)'!$F$37*'Reeksen (N)'!L37,0)</f>
        <v>0</v>
      </c>
      <c r="AT37" s="71">
        <f ca="1">-IF(C37=1,IF(E37='Invoer gegevens (N)'!$C$17,'Invoer gegevens (N)'!$C$11,Q37)*'Reeksen (N)'!S37*'Invoer gegevens (N)'!$C$18*'Reeksen (N)'!P37,0)</f>
        <v>0</v>
      </c>
      <c r="AU37" s="71">
        <f ca="1">-IF(C37=1,'Invoer gegevens (N)'!$C$10*'Invoer gegevens (N)'!$F$38*'Reeksen (N)'!H37,0)</f>
        <v>0</v>
      </c>
      <c r="AV37" s="71">
        <v>0</v>
      </c>
      <c r="AW37" s="71">
        <f t="shared" ca="1" si="6"/>
        <v>0</v>
      </c>
      <c r="AX37" s="71">
        <f ca="1">IF(E37&lt;'Invoer gegevens (N)'!$C$17+15,0,IF('RW - MW - DE - DE (N)'!E37&gt;'Invoer gegevens (N)'!$C$17+215,0,'RW - MW - DE - DE (N)'!AW37))</f>
        <v>0</v>
      </c>
      <c r="AY37" s="71">
        <f ca="1">AX37/(1+'Invoer gegevens (N)'!$F$13)^($AZ37-('Invoer gegevens (N)'!$C$17-'Invoer gegevens (N)'!$C$16))/(1+'Invoer gegevens (N)'!$C$39)^('Invoer gegevens (N)'!$C$17-'Invoer gegevens (N)'!$C$16)</f>
        <v>0</v>
      </c>
      <c r="AZ37" s="68">
        <f ca="1">IF(E37-'Invoer gegevens (N)'!$C$17-14.5&lt;0,0,E37-'Invoer gegevens (N)'!$C$17-14.5)</f>
        <v>17.5</v>
      </c>
      <c r="BC37" s="71"/>
    </row>
    <row r="38" spans="2:55" s="230" customFormat="1" x14ac:dyDescent="0.25">
      <c r="B38" s="70">
        <f t="shared" si="7"/>
        <v>34</v>
      </c>
      <c r="C38" s="67">
        <f ca="1">IF(E38-'Invoer gegevens (N)'!$C$17&lt;0,0,1)</f>
        <v>1</v>
      </c>
      <c r="D38" s="68">
        <f t="shared" si="8"/>
        <v>33.5</v>
      </c>
      <c r="E38" s="69">
        <f ca="1">IF('Invoer gegevens (N)'!$C$16="","",E37+1)</f>
        <v>2052</v>
      </c>
      <c r="F38" s="82">
        <f ca="1">IF('Invoer gegevens (N)'!$C$17=E38,'Invoer gegevens (N)'!$C$10,IF(C38=1,H37,0))</f>
        <v>0</v>
      </c>
      <c r="G38" s="83">
        <f ca="1">IF(C38&gt;=1,F38*'Reeksen (N)'!C38,0)</f>
        <v>0</v>
      </c>
      <c r="H38" s="84">
        <f t="shared" ca="1" si="1"/>
        <v>0</v>
      </c>
      <c r="I38" s="85">
        <f ca="1">IF('Invoer gegevens (N)'!$C$17=E38,'Invoer gegevens (N)'!$C$11,IF(C38=1,L37,0))</f>
        <v>0</v>
      </c>
      <c r="J38" s="86">
        <f ca="1">IF(C38&lt;1,0,IF('Reeksen (N)'!AD38&lt;='Reeksen (N)'!AE38,I38*'Reeksen (N)'!C38,0))</f>
        <v>0</v>
      </c>
      <c r="K38" s="86">
        <f ca="1">IF(C38&lt;1,0,IF('Reeksen (N)'!AD38&gt;'Reeksen (N)'!AE38,I38*'Reeksen (N)'!C38,0))</f>
        <v>0</v>
      </c>
      <c r="L38" s="86">
        <f t="shared" ca="1" si="2"/>
        <v>0</v>
      </c>
      <c r="M38" s="85">
        <f ca="1">IF('Invoer gegevens (N)'!$C$17=E38,'Invoer gegevens (N)'!$C$10-'Invoer gegevens (N)'!$C$11,IF(C38=1,P37,0))</f>
        <v>0</v>
      </c>
      <c r="N38" s="86">
        <f ca="1">IF(C38&lt;1,0,IF('Reeksen (N)'!AD38&lt;='Reeksen (N)'!AE38,M38*'Reeksen (N)'!C38,0))</f>
        <v>0</v>
      </c>
      <c r="O38" s="86">
        <f ca="1">IF(C38&lt;1,0,IF('Reeksen (N)'!AD38&gt;'Reeksen (N)'!AE38,M38*'Reeksen (N)'!C38,0))</f>
        <v>0</v>
      </c>
      <c r="P38" s="86">
        <f t="shared" ca="1" si="3"/>
        <v>0</v>
      </c>
      <c r="Q38" s="82">
        <f ca="1">IF('Invoer gegevens (N)'!$C$17=E38,I38,IF(C38=0,0,R37))</f>
        <v>0</v>
      </c>
      <c r="R38" s="84">
        <f t="shared" ca="1" si="0"/>
        <v>0</v>
      </c>
      <c r="S38" s="84">
        <f ca="1">IF('Invoer gegevens (N)'!$C$17=E38,M38,IF(C38=0,0,T37))</f>
        <v>0</v>
      </c>
      <c r="T38" s="84">
        <f t="shared" ca="1" si="9"/>
        <v>0</v>
      </c>
      <c r="AI38" s="71">
        <f ca="1">IF(C38=1,((F38+H38)/2*'Reeksen (N)'!AI38*12)+(('Invoer gegevens (N)'!$C$10-(F38+H38)/2)*'Reeksen (N)'!AD38*12),0)</f>
        <v>0</v>
      </c>
      <c r="AJ38" s="71">
        <f ca="1">-AI38*'Invoer gegevens (N)'!$F$28</f>
        <v>0</v>
      </c>
      <c r="AK38" s="71">
        <f t="shared" ca="1" si="4"/>
        <v>0</v>
      </c>
      <c r="AL38" s="71">
        <f ca="1">IF(C38=1,(12*((F38+H38)/2)*'Reeksen (N)'!AL38)+(12*('Invoer gegevens (N)'!$C$10-(F38+H38)/2)*'Reeksen (N)'!AM38),0)</f>
        <v>0</v>
      </c>
      <c r="AM38" s="71">
        <f ca="1">-AL38*'Invoer gegevens (N)'!$F$31</f>
        <v>0</v>
      </c>
      <c r="AN38" s="71">
        <f t="shared" ca="1" si="5"/>
        <v>0</v>
      </c>
      <c r="AO38" s="71"/>
      <c r="AP38" s="71"/>
      <c r="AQ38" s="71">
        <f ca="1">-IF(C38=1,('Invoer gegevens (N)'!$C$10*'Invoer gegevens (N)'!$F$35)*'Reeksen (N)'!J38,0)*2</f>
        <v>0</v>
      </c>
      <c r="AR38" s="71">
        <f ca="1">-IF(C38=1,(G38*'Invoer gegevens (N)'!$F$36)*'Reeksen (N)'!J38,0)</f>
        <v>0</v>
      </c>
      <c r="AS38" s="71">
        <f ca="1">-IF(C38=1,'Invoer gegevens (N)'!$C$10*'Invoer gegevens (N)'!$F$37*'Reeksen (N)'!L38,0)</f>
        <v>0</v>
      </c>
      <c r="AT38" s="71">
        <f ca="1">-IF(C38=1,IF(E38='Invoer gegevens (N)'!$C$17,'Invoer gegevens (N)'!$C$11,Q38)*'Reeksen (N)'!S38*'Invoer gegevens (N)'!$C$18*'Reeksen (N)'!P38,0)</f>
        <v>0</v>
      </c>
      <c r="AU38" s="71">
        <f ca="1">-IF(C38=1,'Invoer gegevens (N)'!$C$10*'Invoer gegevens (N)'!$F$38*'Reeksen (N)'!H38,0)</f>
        <v>0</v>
      </c>
      <c r="AV38" s="71">
        <v>0</v>
      </c>
      <c r="AW38" s="71">
        <f t="shared" ca="1" si="6"/>
        <v>0</v>
      </c>
      <c r="AX38" s="71">
        <f ca="1">IF(E38&lt;'Invoer gegevens (N)'!$C$17+15,0,IF('RW - MW - DE - DE (N)'!E38&gt;'Invoer gegevens (N)'!$C$17+215,0,'RW - MW - DE - DE (N)'!AW38))</f>
        <v>0</v>
      </c>
      <c r="AY38" s="71">
        <f ca="1">AX38/(1+'Invoer gegevens (N)'!$F$13)^($AZ38-('Invoer gegevens (N)'!$C$17-'Invoer gegevens (N)'!$C$16))/(1+'Invoer gegevens (N)'!$C$39)^('Invoer gegevens (N)'!$C$17-'Invoer gegevens (N)'!$C$16)</f>
        <v>0</v>
      </c>
      <c r="AZ38" s="68">
        <f ca="1">IF(E38-'Invoer gegevens (N)'!$C$17-14.5&lt;0,0,E38-'Invoer gegevens (N)'!$C$17-14.5)</f>
        <v>18.5</v>
      </c>
      <c r="BC38" s="71"/>
    </row>
    <row r="39" spans="2:55" s="230" customFormat="1" x14ac:dyDescent="0.25">
      <c r="B39" s="70">
        <f t="shared" si="7"/>
        <v>35</v>
      </c>
      <c r="C39" s="67">
        <f ca="1">IF(E39-'Invoer gegevens (N)'!$C$17&lt;0,0,1)</f>
        <v>1</v>
      </c>
      <c r="D39" s="68">
        <f t="shared" si="8"/>
        <v>34.5</v>
      </c>
      <c r="E39" s="69">
        <f ca="1">IF('Invoer gegevens (N)'!$C$16="","",E38+1)</f>
        <v>2053</v>
      </c>
      <c r="F39" s="82">
        <f ca="1">IF('Invoer gegevens (N)'!$C$17=E39,'Invoer gegevens (N)'!$C$10,IF(C39=1,H38,0))</f>
        <v>0</v>
      </c>
      <c r="G39" s="83">
        <f ca="1">IF(C39&gt;=1,F39*'Reeksen (N)'!C39,0)</f>
        <v>0</v>
      </c>
      <c r="H39" s="84">
        <f t="shared" ca="1" si="1"/>
        <v>0</v>
      </c>
      <c r="I39" s="85">
        <f ca="1">IF('Invoer gegevens (N)'!$C$17=E39,'Invoer gegevens (N)'!$C$11,IF(C39=1,L38,0))</f>
        <v>0</v>
      </c>
      <c r="J39" s="86">
        <f ca="1">IF(C39&lt;1,0,IF('Reeksen (N)'!AD39&lt;='Reeksen (N)'!AE39,I39*'Reeksen (N)'!C39,0))</f>
        <v>0</v>
      </c>
      <c r="K39" s="86">
        <f ca="1">IF(C39&lt;1,0,IF('Reeksen (N)'!AD39&gt;'Reeksen (N)'!AE39,I39*'Reeksen (N)'!C39,0))</f>
        <v>0</v>
      </c>
      <c r="L39" s="86">
        <f t="shared" ca="1" si="2"/>
        <v>0</v>
      </c>
      <c r="M39" s="85">
        <f ca="1">IF('Invoer gegevens (N)'!$C$17=E39,'Invoer gegevens (N)'!$C$10-'Invoer gegevens (N)'!$C$11,IF(C39=1,P38,0))</f>
        <v>0</v>
      </c>
      <c r="N39" s="86">
        <f ca="1">IF(C39&lt;1,0,IF('Reeksen (N)'!AD39&lt;='Reeksen (N)'!AE39,M39*'Reeksen (N)'!C39,0))</f>
        <v>0</v>
      </c>
      <c r="O39" s="86">
        <f ca="1">IF(C39&lt;1,0,IF('Reeksen (N)'!AD39&gt;'Reeksen (N)'!AE39,M39*'Reeksen (N)'!C39,0))</f>
        <v>0</v>
      </c>
      <c r="P39" s="86">
        <f t="shared" ca="1" si="3"/>
        <v>0</v>
      </c>
      <c r="Q39" s="82">
        <f ca="1">IF('Invoer gegevens (N)'!$C$17=E39,I39,IF(C39=0,0,R38))</f>
        <v>0</v>
      </c>
      <c r="R39" s="84">
        <f t="shared" ca="1" si="0"/>
        <v>0</v>
      </c>
      <c r="S39" s="84">
        <f ca="1">IF('Invoer gegevens (N)'!$C$17=E39,M39,IF(C39=0,0,T38))</f>
        <v>0</v>
      </c>
      <c r="T39" s="84">
        <f t="shared" ca="1" si="9"/>
        <v>0</v>
      </c>
      <c r="AI39" s="71">
        <f ca="1">IF(C39=1,((F39+H39)/2*'Reeksen (N)'!AI39*12)+(('Invoer gegevens (N)'!$C$10-(F39+H39)/2)*'Reeksen (N)'!AD39*12),0)</f>
        <v>0</v>
      </c>
      <c r="AJ39" s="71">
        <f ca="1">-AI39*'Invoer gegevens (N)'!$F$28</f>
        <v>0</v>
      </c>
      <c r="AK39" s="71">
        <f t="shared" ca="1" si="4"/>
        <v>0</v>
      </c>
      <c r="AL39" s="71">
        <f ca="1">IF(C39=1,(12*((F39+H39)/2)*'Reeksen (N)'!AL39)+(12*('Invoer gegevens (N)'!$C$10-(F39+H39)/2)*'Reeksen (N)'!AM39),0)</f>
        <v>0</v>
      </c>
      <c r="AM39" s="71">
        <f ca="1">-AL39*'Invoer gegevens (N)'!$F$31</f>
        <v>0</v>
      </c>
      <c r="AN39" s="71">
        <f t="shared" ca="1" si="5"/>
        <v>0</v>
      </c>
      <c r="AO39" s="71"/>
      <c r="AP39" s="71"/>
      <c r="AQ39" s="71">
        <f ca="1">-IF(C39=1,('Invoer gegevens (N)'!$C$10*'Invoer gegevens (N)'!$F$35)*'Reeksen (N)'!J39,0)*2</f>
        <v>0</v>
      </c>
      <c r="AR39" s="71">
        <f ca="1">-IF(C39=1,(G39*'Invoer gegevens (N)'!$F$36)*'Reeksen (N)'!J39,0)</f>
        <v>0</v>
      </c>
      <c r="AS39" s="71">
        <f ca="1">-IF(C39=1,'Invoer gegevens (N)'!$C$10*'Invoer gegevens (N)'!$F$37*'Reeksen (N)'!L39,0)</f>
        <v>0</v>
      </c>
      <c r="AT39" s="71">
        <f ca="1">-IF(C39=1,IF(E39='Invoer gegevens (N)'!$C$17,'Invoer gegevens (N)'!$C$11,Q39)*'Reeksen (N)'!S39*'Invoer gegevens (N)'!$C$18*'Reeksen (N)'!P39,0)</f>
        <v>0</v>
      </c>
      <c r="AU39" s="71">
        <f ca="1">-IF(C39=1,'Invoer gegevens (N)'!$C$10*'Invoer gegevens (N)'!$F$38*'Reeksen (N)'!H39,0)</f>
        <v>0</v>
      </c>
      <c r="AV39" s="71">
        <v>0</v>
      </c>
      <c r="AW39" s="71">
        <f t="shared" ca="1" si="6"/>
        <v>0</v>
      </c>
      <c r="AX39" s="71">
        <f ca="1">IF(E39&lt;'Invoer gegevens (N)'!$C$17+15,0,IF('RW - MW - DE - DE (N)'!E39&gt;'Invoer gegevens (N)'!$C$17+215,0,'RW - MW - DE - DE (N)'!AW39))</f>
        <v>0</v>
      </c>
      <c r="AY39" s="71">
        <f ca="1">AX39/(1+'Invoer gegevens (N)'!$F$13)^($AZ39-('Invoer gegevens (N)'!$C$17-'Invoer gegevens (N)'!$C$16))/(1+'Invoer gegevens (N)'!$C$39)^('Invoer gegevens (N)'!$C$17-'Invoer gegevens (N)'!$C$16)</f>
        <v>0</v>
      </c>
      <c r="AZ39" s="68">
        <f ca="1">IF(E39-'Invoer gegevens (N)'!$C$17-14.5&lt;0,0,E39-'Invoer gegevens (N)'!$C$17-14.5)</f>
        <v>19.5</v>
      </c>
      <c r="BC39" s="71"/>
    </row>
    <row r="40" spans="2:55" s="230" customFormat="1" x14ac:dyDescent="0.25">
      <c r="B40" s="70">
        <f t="shared" si="7"/>
        <v>36</v>
      </c>
      <c r="C40" s="67">
        <f ca="1">IF(E40-'Invoer gegevens (N)'!$C$17&lt;0,0,1)</f>
        <v>1</v>
      </c>
      <c r="D40" s="68">
        <f t="shared" si="8"/>
        <v>35.5</v>
      </c>
      <c r="E40" s="69">
        <f ca="1">IF('Invoer gegevens (N)'!$C$16="","",E39+1)</f>
        <v>2054</v>
      </c>
      <c r="F40" s="82">
        <f ca="1">IF('Invoer gegevens (N)'!$C$17=E40,'Invoer gegevens (N)'!$C$10,IF(C40=1,H39,0))</f>
        <v>0</v>
      </c>
      <c r="G40" s="83">
        <f ca="1">IF(C40&gt;=1,F40*'Reeksen (N)'!C40,0)</f>
        <v>0</v>
      </c>
      <c r="H40" s="84">
        <f t="shared" ca="1" si="1"/>
        <v>0</v>
      </c>
      <c r="I40" s="85">
        <f ca="1">IF('Invoer gegevens (N)'!$C$17=E40,'Invoer gegevens (N)'!$C$11,IF(C40=1,L39,0))</f>
        <v>0</v>
      </c>
      <c r="J40" s="86">
        <f ca="1">IF(C40&lt;1,0,IF('Reeksen (N)'!AD40&lt;='Reeksen (N)'!AE40,I40*'Reeksen (N)'!C40,0))</f>
        <v>0</v>
      </c>
      <c r="K40" s="86">
        <f ca="1">IF(C40&lt;1,0,IF('Reeksen (N)'!AD40&gt;'Reeksen (N)'!AE40,I40*'Reeksen (N)'!C40,0))</f>
        <v>0</v>
      </c>
      <c r="L40" s="86">
        <f t="shared" ca="1" si="2"/>
        <v>0</v>
      </c>
      <c r="M40" s="85">
        <f ca="1">IF('Invoer gegevens (N)'!$C$17=E40,'Invoer gegevens (N)'!$C$10-'Invoer gegevens (N)'!$C$11,IF(C40=1,P39,0))</f>
        <v>0</v>
      </c>
      <c r="N40" s="86">
        <f ca="1">IF(C40&lt;1,0,IF('Reeksen (N)'!AD40&lt;='Reeksen (N)'!AE40,M40*'Reeksen (N)'!C40,0))</f>
        <v>0</v>
      </c>
      <c r="O40" s="86">
        <f ca="1">IF(C40&lt;1,0,IF('Reeksen (N)'!AD40&gt;'Reeksen (N)'!AE40,M40*'Reeksen (N)'!C40,0))</f>
        <v>0</v>
      </c>
      <c r="P40" s="86">
        <f t="shared" ca="1" si="3"/>
        <v>0</v>
      </c>
      <c r="Q40" s="82">
        <f ca="1">IF('Invoer gegevens (N)'!$C$17=E40,I40,IF(C40=0,0,R39))</f>
        <v>0</v>
      </c>
      <c r="R40" s="84">
        <f t="shared" ca="1" si="0"/>
        <v>0</v>
      </c>
      <c r="S40" s="84">
        <f ca="1">IF('Invoer gegevens (N)'!$C$17=E40,M40,IF(C40=0,0,T39))</f>
        <v>0</v>
      </c>
      <c r="T40" s="84">
        <f t="shared" ca="1" si="9"/>
        <v>0</v>
      </c>
      <c r="AI40" s="71">
        <f ca="1">IF(C40=1,((F40+H40)/2*'Reeksen (N)'!AI40*12)+(('Invoer gegevens (N)'!$C$10-(F40+H40)/2)*'Reeksen (N)'!AD40*12),0)</f>
        <v>0</v>
      </c>
      <c r="AJ40" s="71">
        <f ca="1">-AI40*'Invoer gegevens (N)'!$F$28</f>
        <v>0</v>
      </c>
      <c r="AK40" s="71">
        <f t="shared" ca="1" si="4"/>
        <v>0</v>
      </c>
      <c r="AL40" s="71">
        <f ca="1">IF(C40=1,(12*((F40+H40)/2)*'Reeksen (N)'!AL40)+(12*('Invoer gegevens (N)'!$C$10-(F40+H40)/2)*'Reeksen (N)'!AM40),0)</f>
        <v>0</v>
      </c>
      <c r="AM40" s="71">
        <f ca="1">-AL40*'Invoer gegevens (N)'!$F$31</f>
        <v>0</v>
      </c>
      <c r="AN40" s="71">
        <f t="shared" ca="1" si="5"/>
        <v>0</v>
      </c>
      <c r="AO40" s="71"/>
      <c r="AP40" s="71"/>
      <c r="AQ40" s="71">
        <f ca="1">-IF(C40=1,('Invoer gegevens (N)'!$C$10*'Invoer gegevens (N)'!$F$35)*'Reeksen (N)'!J40,0)*2</f>
        <v>0</v>
      </c>
      <c r="AR40" s="71">
        <f ca="1">-IF(C40=1,(G40*'Invoer gegevens (N)'!$F$36)*'Reeksen (N)'!J40,0)</f>
        <v>0</v>
      </c>
      <c r="AS40" s="71">
        <f ca="1">-IF(C40=1,'Invoer gegevens (N)'!$C$10*'Invoer gegevens (N)'!$F$37*'Reeksen (N)'!L40,0)</f>
        <v>0</v>
      </c>
      <c r="AT40" s="71">
        <f ca="1">-IF(C40=1,IF(E40='Invoer gegevens (N)'!$C$17,'Invoer gegevens (N)'!$C$11,Q40)*'Reeksen (N)'!S40*'Invoer gegevens (N)'!$C$18*'Reeksen (N)'!P40,0)</f>
        <v>0</v>
      </c>
      <c r="AU40" s="71">
        <f ca="1">-IF(C40=1,'Invoer gegevens (N)'!$C$10*'Invoer gegevens (N)'!$F$38*'Reeksen (N)'!H40,0)</f>
        <v>0</v>
      </c>
      <c r="AV40" s="71">
        <v>0</v>
      </c>
      <c r="AW40" s="71">
        <f t="shared" ca="1" si="6"/>
        <v>0</v>
      </c>
      <c r="AX40" s="71">
        <f ca="1">IF(E40&lt;'Invoer gegevens (N)'!$C$17+15,0,IF('RW - MW - DE - DE (N)'!E40&gt;'Invoer gegevens (N)'!$C$17+215,0,'RW - MW - DE - DE (N)'!AW40))</f>
        <v>0</v>
      </c>
      <c r="AY40" s="71">
        <f ca="1">AX40/(1+'Invoer gegevens (N)'!$F$13)^($AZ40-('Invoer gegevens (N)'!$C$17-'Invoer gegevens (N)'!$C$16))/(1+'Invoer gegevens (N)'!$C$39)^('Invoer gegevens (N)'!$C$17-'Invoer gegevens (N)'!$C$16)</f>
        <v>0</v>
      </c>
      <c r="AZ40" s="68">
        <f ca="1">IF(E40-'Invoer gegevens (N)'!$C$17-14.5&lt;0,0,E40-'Invoer gegevens (N)'!$C$17-14.5)</f>
        <v>20.5</v>
      </c>
      <c r="BC40" s="71"/>
    </row>
    <row r="41" spans="2:55" s="230" customFormat="1" x14ac:dyDescent="0.25">
      <c r="B41" s="70">
        <f t="shared" si="7"/>
        <v>37</v>
      </c>
      <c r="C41" s="67">
        <f ca="1">IF(E41-'Invoer gegevens (N)'!$C$17&lt;0,0,1)</f>
        <v>1</v>
      </c>
      <c r="D41" s="68">
        <f t="shared" si="8"/>
        <v>36.5</v>
      </c>
      <c r="E41" s="69">
        <f ca="1">IF('Invoer gegevens (N)'!$C$16="","",E40+1)</f>
        <v>2055</v>
      </c>
      <c r="F41" s="82">
        <f ca="1">IF('Invoer gegevens (N)'!$C$17=E41,'Invoer gegevens (N)'!$C$10,IF(C41=1,H40,0))</f>
        <v>0</v>
      </c>
      <c r="G41" s="83">
        <f ca="1">IF(C41&gt;=1,F41*'Reeksen (N)'!C41,0)</f>
        <v>0</v>
      </c>
      <c r="H41" s="84">
        <f t="shared" ca="1" si="1"/>
        <v>0</v>
      </c>
      <c r="I41" s="85">
        <f ca="1">IF('Invoer gegevens (N)'!$C$17=E41,'Invoer gegevens (N)'!$C$11,IF(C41=1,L40,0))</f>
        <v>0</v>
      </c>
      <c r="J41" s="86">
        <f ca="1">IF(C41&lt;1,0,IF('Reeksen (N)'!AD41&lt;='Reeksen (N)'!AE41,I41*'Reeksen (N)'!C41,0))</f>
        <v>0</v>
      </c>
      <c r="K41" s="86">
        <f ca="1">IF(C41&lt;1,0,IF('Reeksen (N)'!AD41&gt;'Reeksen (N)'!AE41,I41*'Reeksen (N)'!C41,0))</f>
        <v>0</v>
      </c>
      <c r="L41" s="86">
        <f t="shared" ca="1" si="2"/>
        <v>0</v>
      </c>
      <c r="M41" s="85">
        <f ca="1">IF('Invoer gegevens (N)'!$C$17=E41,'Invoer gegevens (N)'!$C$10-'Invoer gegevens (N)'!$C$11,IF(C41=1,P40,0))</f>
        <v>0</v>
      </c>
      <c r="N41" s="86">
        <f ca="1">IF(C41&lt;1,0,IF('Reeksen (N)'!AD41&lt;='Reeksen (N)'!AE41,M41*'Reeksen (N)'!C41,0))</f>
        <v>0</v>
      </c>
      <c r="O41" s="86">
        <f ca="1">IF(C41&lt;1,0,IF('Reeksen (N)'!AD41&gt;'Reeksen (N)'!AE41,M41*'Reeksen (N)'!C41,0))</f>
        <v>0</v>
      </c>
      <c r="P41" s="86">
        <f t="shared" ca="1" si="3"/>
        <v>0</v>
      </c>
      <c r="Q41" s="82">
        <f ca="1">IF('Invoer gegevens (N)'!$C$17=E41,I41,IF(C41=0,0,R40))</f>
        <v>0</v>
      </c>
      <c r="R41" s="84">
        <f t="shared" ca="1" si="0"/>
        <v>0</v>
      </c>
      <c r="S41" s="84">
        <f ca="1">IF('Invoer gegevens (N)'!$C$17=E41,M41,IF(C41=0,0,T40))</f>
        <v>0</v>
      </c>
      <c r="T41" s="84">
        <f t="shared" ca="1" si="9"/>
        <v>0</v>
      </c>
      <c r="AI41" s="71">
        <f ca="1">IF(C41=1,((F41+H41)/2*'Reeksen (N)'!AI41*12)+(('Invoer gegevens (N)'!$C$10-(F41+H41)/2)*'Reeksen (N)'!AD41*12),0)</f>
        <v>0</v>
      </c>
      <c r="AJ41" s="71">
        <f ca="1">-AI41*'Invoer gegevens (N)'!$F$28</f>
        <v>0</v>
      </c>
      <c r="AK41" s="71">
        <f t="shared" ca="1" si="4"/>
        <v>0</v>
      </c>
      <c r="AL41" s="71">
        <f ca="1">IF(C41=1,(12*((F41+H41)/2)*'Reeksen (N)'!AL41)+(12*('Invoer gegevens (N)'!$C$10-(F41+H41)/2)*'Reeksen (N)'!AM41),0)</f>
        <v>0</v>
      </c>
      <c r="AM41" s="71">
        <f ca="1">-AL41*'Invoer gegevens (N)'!$F$31</f>
        <v>0</v>
      </c>
      <c r="AN41" s="71">
        <f t="shared" ca="1" si="5"/>
        <v>0</v>
      </c>
      <c r="AO41" s="71"/>
      <c r="AP41" s="71"/>
      <c r="AQ41" s="71">
        <f ca="1">-IF(C41=1,('Invoer gegevens (N)'!$C$10*'Invoer gegevens (N)'!$F$35)*'Reeksen (N)'!J41,0)*2</f>
        <v>0</v>
      </c>
      <c r="AR41" s="71">
        <f ca="1">-IF(C41=1,(G41*'Invoer gegevens (N)'!$F$36)*'Reeksen (N)'!J41,0)</f>
        <v>0</v>
      </c>
      <c r="AS41" s="71">
        <f ca="1">-IF(C41=1,'Invoer gegevens (N)'!$C$10*'Invoer gegevens (N)'!$F$37*'Reeksen (N)'!L41,0)</f>
        <v>0</v>
      </c>
      <c r="AT41" s="71">
        <f ca="1">-IF(C41=1,IF(E41='Invoer gegevens (N)'!$C$17,'Invoer gegevens (N)'!$C$11,Q41)*'Reeksen (N)'!S41*'Invoer gegevens (N)'!$C$18*'Reeksen (N)'!P41,0)</f>
        <v>0</v>
      </c>
      <c r="AU41" s="71">
        <f ca="1">-IF(C41=1,'Invoer gegevens (N)'!$C$10*'Invoer gegevens (N)'!$F$38*'Reeksen (N)'!H41,0)</f>
        <v>0</v>
      </c>
      <c r="AV41" s="71">
        <v>0</v>
      </c>
      <c r="AW41" s="71">
        <f t="shared" ca="1" si="6"/>
        <v>0</v>
      </c>
      <c r="AX41" s="71">
        <f ca="1">IF(E41&lt;'Invoer gegevens (N)'!$C$17+15,0,IF('RW - MW - DE - DE (N)'!E41&gt;'Invoer gegevens (N)'!$C$17+215,0,'RW - MW - DE - DE (N)'!AW41))</f>
        <v>0</v>
      </c>
      <c r="AY41" s="71">
        <f ca="1">AX41/(1+'Invoer gegevens (N)'!$F$13)^($AZ41-('Invoer gegevens (N)'!$C$17-'Invoer gegevens (N)'!$C$16))/(1+'Invoer gegevens (N)'!$C$39)^('Invoer gegevens (N)'!$C$17-'Invoer gegevens (N)'!$C$16)</f>
        <v>0</v>
      </c>
      <c r="AZ41" s="68">
        <f ca="1">IF(E41-'Invoer gegevens (N)'!$C$17-14.5&lt;0,0,E41-'Invoer gegevens (N)'!$C$17-14.5)</f>
        <v>21.5</v>
      </c>
      <c r="BC41" s="71"/>
    </row>
    <row r="42" spans="2:55" s="230" customFormat="1" x14ac:dyDescent="0.25">
      <c r="B42" s="70">
        <f t="shared" si="7"/>
        <v>38</v>
      </c>
      <c r="C42" s="67">
        <f ca="1">IF(E42-'Invoer gegevens (N)'!$C$17&lt;0,0,1)</f>
        <v>1</v>
      </c>
      <c r="D42" s="68">
        <f t="shared" si="8"/>
        <v>37.5</v>
      </c>
      <c r="E42" s="69">
        <f ca="1">IF('Invoer gegevens (N)'!$C$16="","",E41+1)</f>
        <v>2056</v>
      </c>
      <c r="F42" s="82">
        <f ca="1">IF('Invoer gegevens (N)'!$C$17=E42,'Invoer gegevens (N)'!$C$10,IF(C42=1,H41,0))</f>
        <v>0</v>
      </c>
      <c r="G42" s="83">
        <f ca="1">IF(C42&gt;=1,F42*'Reeksen (N)'!C42,0)</f>
        <v>0</v>
      </c>
      <c r="H42" s="84">
        <f t="shared" ca="1" si="1"/>
        <v>0</v>
      </c>
      <c r="I42" s="85">
        <f ca="1">IF('Invoer gegevens (N)'!$C$17=E42,'Invoer gegevens (N)'!$C$11,IF(C42=1,L41,0))</f>
        <v>0</v>
      </c>
      <c r="J42" s="86">
        <f ca="1">IF(C42&lt;1,0,IF('Reeksen (N)'!AD42&lt;='Reeksen (N)'!AE42,I42*'Reeksen (N)'!C42,0))</f>
        <v>0</v>
      </c>
      <c r="K42" s="86">
        <f ca="1">IF(C42&lt;1,0,IF('Reeksen (N)'!AD42&gt;'Reeksen (N)'!AE42,I42*'Reeksen (N)'!C42,0))</f>
        <v>0</v>
      </c>
      <c r="L42" s="86">
        <f t="shared" ca="1" si="2"/>
        <v>0</v>
      </c>
      <c r="M42" s="85">
        <f ca="1">IF('Invoer gegevens (N)'!$C$17=E42,'Invoer gegevens (N)'!$C$10-'Invoer gegevens (N)'!$C$11,IF(C42=1,P41,0))</f>
        <v>0</v>
      </c>
      <c r="N42" s="86">
        <f ca="1">IF(C42&lt;1,0,IF('Reeksen (N)'!AD42&lt;='Reeksen (N)'!AE42,M42*'Reeksen (N)'!C42,0))</f>
        <v>0</v>
      </c>
      <c r="O42" s="86">
        <f ca="1">IF(C42&lt;1,0,IF('Reeksen (N)'!AD42&gt;'Reeksen (N)'!AE42,M42*'Reeksen (N)'!C42,0))</f>
        <v>0</v>
      </c>
      <c r="P42" s="86">
        <f t="shared" ca="1" si="3"/>
        <v>0</v>
      </c>
      <c r="Q42" s="82">
        <f ca="1">IF('Invoer gegevens (N)'!$C$17=E42,I42,IF(C42=0,0,R41))</f>
        <v>0</v>
      </c>
      <c r="R42" s="84">
        <f t="shared" ca="1" si="0"/>
        <v>0</v>
      </c>
      <c r="S42" s="84">
        <f ca="1">IF('Invoer gegevens (N)'!$C$17=E42,M42,IF(C42=0,0,T41))</f>
        <v>0</v>
      </c>
      <c r="T42" s="84">
        <f t="shared" ca="1" si="9"/>
        <v>0</v>
      </c>
      <c r="AI42" s="71">
        <f ca="1">IF(C42=1,((F42+H42)/2*'Reeksen (N)'!AI42*12)+(('Invoer gegevens (N)'!$C$10-(F42+H42)/2)*'Reeksen (N)'!AD42*12),0)</f>
        <v>0</v>
      </c>
      <c r="AJ42" s="71">
        <f ca="1">-AI42*'Invoer gegevens (N)'!$F$28</f>
        <v>0</v>
      </c>
      <c r="AK42" s="71">
        <f t="shared" ca="1" si="4"/>
        <v>0</v>
      </c>
      <c r="AL42" s="71">
        <f ca="1">IF(C42=1,(12*((F42+H42)/2)*'Reeksen (N)'!AL42)+(12*('Invoer gegevens (N)'!$C$10-(F42+H42)/2)*'Reeksen (N)'!AM42),0)</f>
        <v>0</v>
      </c>
      <c r="AM42" s="71">
        <f ca="1">-AL42*'Invoer gegevens (N)'!$F$31</f>
        <v>0</v>
      </c>
      <c r="AN42" s="71">
        <f t="shared" ca="1" si="5"/>
        <v>0</v>
      </c>
      <c r="AO42" s="71"/>
      <c r="AP42" s="71"/>
      <c r="AQ42" s="71">
        <f ca="1">-IF(C42=1,('Invoer gegevens (N)'!$C$10*'Invoer gegevens (N)'!$F$35)*'Reeksen (N)'!J42,0)*2</f>
        <v>0</v>
      </c>
      <c r="AR42" s="71">
        <f ca="1">-IF(C42=1,(G42*'Invoer gegevens (N)'!$F$36)*'Reeksen (N)'!J42,0)</f>
        <v>0</v>
      </c>
      <c r="AS42" s="71">
        <f ca="1">-IF(C42=1,'Invoer gegevens (N)'!$C$10*'Invoer gegevens (N)'!$F$37*'Reeksen (N)'!L42,0)</f>
        <v>0</v>
      </c>
      <c r="AT42" s="71">
        <f ca="1">-IF(C42=1,IF(E42='Invoer gegevens (N)'!$C$17,'Invoer gegevens (N)'!$C$11,Q42)*'Reeksen (N)'!S42*'Invoer gegevens (N)'!$C$18*'Reeksen (N)'!P42,0)</f>
        <v>0</v>
      </c>
      <c r="AU42" s="71">
        <f ca="1">-IF(C42=1,'Invoer gegevens (N)'!$C$10*'Invoer gegevens (N)'!$F$38*'Reeksen (N)'!H42,0)</f>
        <v>0</v>
      </c>
      <c r="AV42" s="71">
        <v>0</v>
      </c>
      <c r="AW42" s="71">
        <f t="shared" ca="1" si="6"/>
        <v>0</v>
      </c>
      <c r="AX42" s="71">
        <f ca="1">IF(E42&lt;'Invoer gegevens (N)'!$C$17+15,0,IF('RW - MW - DE - DE (N)'!E42&gt;'Invoer gegevens (N)'!$C$17+215,0,'RW - MW - DE - DE (N)'!AW42))</f>
        <v>0</v>
      </c>
      <c r="AY42" s="71">
        <f ca="1">AX42/(1+'Invoer gegevens (N)'!$F$13)^($AZ42-('Invoer gegevens (N)'!$C$17-'Invoer gegevens (N)'!$C$16))/(1+'Invoer gegevens (N)'!$C$39)^('Invoer gegevens (N)'!$C$17-'Invoer gegevens (N)'!$C$16)</f>
        <v>0</v>
      </c>
      <c r="AZ42" s="68">
        <f ca="1">IF(E42-'Invoer gegevens (N)'!$C$17-14.5&lt;0,0,E42-'Invoer gegevens (N)'!$C$17-14.5)</f>
        <v>22.5</v>
      </c>
      <c r="BC42" s="71"/>
    </row>
    <row r="43" spans="2:55" s="230" customFormat="1" x14ac:dyDescent="0.25">
      <c r="B43" s="70">
        <f t="shared" si="7"/>
        <v>39</v>
      </c>
      <c r="C43" s="67">
        <f ca="1">IF(E43-'Invoer gegevens (N)'!$C$17&lt;0,0,1)</f>
        <v>1</v>
      </c>
      <c r="D43" s="68">
        <f t="shared" si="8"/>
        <v>38.5</v>
      </c>
      <c r="E43" s="69">
        <f ca="1">IF('Invoer gegevens (N)'!$C$16="","",E42+1)</f>
        <v>2057</v>
      </c>
      <c r="F43" s="82">
        <f ca="1">IF('Invoer gegevens (N)'!$C$17=E43,'Invoer gegevens (N)'!$C$10,IF(C43=1,H42,0))</f>
        <v>0</v>
      </c>
      <c r="G43" s="83">
        <f ca="1">IF(C43&gt;=1,F43*'Reeksen (N)'!C43,0)</f>
        <v>0</v>
      </c>
      <c r="H43" s="84">
        <f t="shared" ca="1" si="1"/>
        <v>0</v>
      </c>
      <c r="I43" s="85">
        <f ca="1">IF('Invoer gegevens (N)'!$C$17=E43,'Invoer gegevens (N)'!$C$11,IF(C43=1,L42,0))</f>
        <v>0</v>
      </c>
      <c r="J43" s="86">
        <f ca="1">IF(C43&lt;1,0,IF('Reeksen (N)'!AD43&lt;='Reeksen (N)'!AE43,I43*'Reeksen (N)'!C43,0))</f>
        <v>0</v>
      </c>
      <c r="K43" s="86">
        <f ca="1">IF(C43&lt;1,0,IF('Reeksen (N)'!AD43&gt;'Reeksen (N)'!AE43,I43*'Reeksen (N)'!C43,0))</f>
        <v>0</v>
      </c>
      <c r="L43" s="86">
        <f t="shared" ca="1" si="2"/>
        <v>0</v>
      </c>
      <c r="M43" s="85">
        <f ca="1">IF('Invoer gegevens (N)'!$C$17=E43,'Invoer gegevens (N)'!$C$10-'Invoer gegevens (N)'!$C$11,IF(C43=1,P42,0))</f>
        <v>0</v>
      </c>
      <c r="N43" s="86">
        <f ca="1">IF(C43&lt;1,0,IF('Reeksen (N)'!AD43&lt;='Reeksen (N)'!AE43,M43*'Reeksen (N)'!C43,0))</f>
        <v>0</v>
      </c>
      <c r="O43" s="86">
        <f ca="1">IF(C43&lt;1,0,IF('Reeksen (N)'!AD43&gt;'Reeksen (N)'!AE43,M43*'Reeksen (N)'!C43,0))</f>
        <v>0</v>
      </c>
      <c r="P43" s="86">
        <f t="shared" ca="1" si="3"/>
        <v>0</v>
      </c>
      <c r="Q43" s="82">
        <f ca="1">IF('Invoer gegevens (N)'!$C$17=E43,I43,IF(C43=0,0,R42))</f>
        <v>0</v>
      </c>
      <c r="R43" s="84">
        <f t="shared" ca="1" si="0"/>
        <v>0</v>
      </c>
      <c r="S43" s="84">
        <f ca="1">IF('Invoer gegevens (N)'!$C$17=E43,M43,IF(C43=0,0,T42))</f>
        <v>0</v>
      </c>
      <c r="T43" s="84">
        <f t="shared" ca="1" si="9"/>
        <v>0</v>
      </c>
      <c r="AI43" s="71">
        <f ca="1">IF(C43=1,((F43+H43)/2*'Reeksen (N)'!AI43*12)+(('Invoer gegevens (N)'!$C$10-(F43+H43)/2)*'Reeksen (N)'!AD43*12),0)</f>
        <v>0</v>
      </c>
      <c r="AJ43" s="71">
        <f ca="1">-AI43*'Invoer gegevens (N)'!$F$28</f>
        <v>0</v>
      </c>
      <c r="AK43" s="71">
        <f t="shared" ca="1" si="4"/>
        <v>0</v>
      </c>
      <c r="AL43" s="71">
        <f ca="1">IF(C43=1,(12*((F43+H43)/2)*'Reeksen (N)'!AL43)+(12*('Invoer gegevens (N)'!$C$10-(F43+H43)/2)*'Reeksen (N)'!AM43),0)</f>
        <v>0</v>
      </c>
      <c r="AM43" s="71">
        <f ca="1">-AL43*'Invoer gegevens (N)'!$F$31</f>
        <v>0</v>
      </c>
      <c r="AN43" s="71">
        <f t="shared" ca="1" si="5"/>
        <v>0</v>
      </c>
      <c r="AO43" s="71"/>
      <c r="AP43" s="71"/>
      <c r="AQ43" s="71">
        <f ca="1">-IF(C43=1,('Invoer gegevens (N)'!$C$10*'Invoer gegevens (N)'!$F$35)*'Reeksen (N)'!J43,0)*2</f>
        <v>0</v>
      </c>
      <c r="AR43" s="71">
        <f ca="1">-IF(C43=1,(G43*'Invoer gegevens (N)'!$F$36)*'Reeksen (N)'!J43,0)</f>
        <v>0</v>
      </c>
      <c r="AS43" s="71">
        <f ca="1">-IF(C43=1,'Invoer gegevens (N)'!$C$10*'Invoer gegevens (N)'!$F$37*'Reeksen (N)'!L43,0)</f>
        <v>0</v>
      </c>
      <c r="AT43" s="71">
        <f ca="1">-IF(C43=1,IF(E43='Invoer gegevens (N)'!$C$17,'Invoer gegevens (N)'!$C$11,Q43)*'Reeksen (N)'!S43*'Invoer gegevens (N)'!$C$18*'Reeksen (N)'!P43,0)</f>
        <v>0</v>
      </c>
      <c r="AU43" s="71">
        <f ca="1">-IF(C43=1,'Invoer gegevens (N)'!$C$10*'Invoer gegevens (N)'!$F$38*'Reeksen (N)'!H43,0)</f>
        <v>0</v>
      </c>
      <c r="AV43" s="71">
        <v>0</v>
      </c>
      <c r="AW43" s="71">
        <f t="shared" ca="1" si="6"/>
        <v>0</v>
      </c>
      <c r="AX43" s="71">
        <f ca="1">IF(E43&lt;'Invoer gegevens (N)'!$C$17+15,0,IF('RW - MW - DE - DE (N)'!E43&gt;'Invoer gegevens (N)'!$C$17+215,0,'RW - MW - DE - DE (N)'!AW43))</f>
        <v>0</v>
      </c>
      <c r="AY43" s="71">
        <f ca="1">AX43/(1+'Invoer gegevens (N)'!$F$13)^($AZ43-('Invoer gegevens (N)'!$C$17-'Invoer gegevens (N)'!$C$16))/(1+'Invoer gegevens (N)'!$C$39)^('Invoer gegevens (N)'!$C$17-'Invoer gegevens (N)'!$C$16)</f>
        <v>0</v>
      </c>
      <c r="AZ43" s="68">
        <f ca="1">IF(E43-'Invoer gegevens (N)'!$C$17-14.5&lt;0,0,E43-'Invoer gegevens (N)'!$C$17-14.5)</f>
        <v>23.5</v>
      </c>
      <c r="BC43" s="71"/>
    </row>
    <row r="44" spans="2:55" s="230" customFormat="1" x14ac:dyDescent="0.25">
      <c r="B44" s="70">
        <f t="shared" si="7"/>
        <v>40</v>
      </c>
      <c r="C44" s="67">
        <f ca="1">IF(E44-'Invoer gegevens (N)'!$C$17&lt;0,0,1)</f>
        <v>1</v>
      </c>
      <c r="D44" s="68">
        <f t="shared" si="8"/>
        <v>39.5</v>
      </c>
      <c r="E44" s="69">
        <f ca="1">IF('Invoer gegevens (N)'!$C$16="","",E43+1)</f>
        <v>2058</v>
      </c>
      <c r="F44" s="82">
        <f ca="1">IF('Invoer gegevens (N)'!$C$17=E44,'Invoer gegevens (N)'!$C$10,IF(C44=1,H43,0))</f>
        <v>0</v>
      </c>
      <c r="G44" s="83">
        <f ca="1">IF(C44&gt;=1,F44*'Reeksen (N)'!C44,0)</f>
        <v>0</v>
      </c>
      <c r="H44" s="84">
        <f t="shared" ca="1" si="1"/>
        <v>0</v>
      </c>
      <c r="I44" s="85">
        <f ca="1">IF('Invoer gegevens (N)'!$C$17=E44,'Invoer gegevens (N)'!$C$11,IF(C44=1,L43,0))</f>
        <v>0</v>
      </c>
      <c r="J44" s="86">
        <f ca="1">IF(C44&lt;1,0,IF('Reeksen (N)'!AD44&lt;='Reeksen (N)'!AE44,I44*'Reeksen (N)'!C44,0))</f>
        <v>0</v>
      </c>
      <c r="K44" s="86">
        <f ca="1">IF(C44&lt;1,0,IF('Reeksen (N)'!AD44&gt;'Reeksen (N)'!AE44,I44*'Reeksen (N)'!C44,0))</f>
        <v>0</v>
      </c>
      <c r="L44" s="86">
        <f t="shared" ca="1" si="2"/>
        <v>0</v>
      </c>
      <c r="M44" s="85">
        <f ca="1">IF('Invoer gegevens (N)'!$C$17=E44,'Invoer gegevens (N)'!$C$10-'Invoer gegevens (N)'!$C$11,IF(C44=1,P43,0))</f>
        <v>0</v>
      </c>
      <c r="N44" s="86">
        <f ca="1">IF(C44&lt;1,0,IF('Reeksen (N)'!AD44&lt;='Reeksen (N)'!AE44,M44*'Reeksen (N)'!C44,0))</f>
        <v>0</v>
      </c>
      <c r="O44" s="86">
        <f ca="1">IF(C44&lt;1,0,IF('Reeksen (N)'!AD44&gt;'Reeksen (N)'!AE44,M44*'Reeksen (N)'!C44,0))</f>
        <v>0</v>
      </c>
      <c r="P44" s="86">
        <f t="shared" ca="1" si="3"/>
        <v>0</v>
      </c>
      <c r="Q44" s="82">
        <f ca="1">IF('Invoer gegevens (N)'!$C$17=E44,I44,IF(C44=0,0,R43))</f>
        <v>0</v>
      </c>
      <c r="R44" s="84">
        <f t="shared" ca="1" si="0"/>
        <v>0</v>
      </c>
      <c r="S44" s="84">
        <f ca="1">IF('Invoer gegevens (N)'!$C$17=E44,M44,IF(C44=0,0,T43))</f>
        <v>0</v>
      </c>
      <c r="T44" s="84">
        <f t="shared" ca="1" si="9"/>
        <v>0</v>
      </c>
      <c r="AI44" s="71">
        <f ca="1">IF(C44=1,((F44+H44)/2*'Reeksen (N)'!AI44*12)+(('Invoer gegevens (N)'!$C$10-(F44+H44)/2)*'Reeksen (N)'!AD44*12),0)</f>
        <v>0</v>
      </c>
      <c r="AJ44" s="71">
        <f ca="1">-AI44*'Invoer gegevens (N)'!$F$28</f>
        <v>0</v>
      </c>
      <c r="AK44" s="71">
        <f t="shared" ca="1" si="4"/>
        <v>0</v>
      </c>
      <c r="AL44" s="71">
        <f ca="1">IF(C44=1,(12*((F44+H44)/2)*'Reeksen (N)'!AL44)+(12*('Invoer gegevens (N)'!$C$10-(F44+H44)/2)*'Reeksen (N)'!AM44),0)</f>
        <v>0</v>
      </c>
      <c r="AM44" s="71">
        <f ca="1">-AL44*'Invoer gegevens (N)'!$F$31</f>
        <v>0</v>
      </c>
      <c r="AN44" s="71">
        <f t="shared" ca="1" si="5"/>
        <v>0</v>
      </c>
      <c r="AO44" s="71"/>
      <c r="AP44" s="71"/>
      <c r="AQ44" s="71">
        <f ca="1">-IF(C44=1,('Invoer gegevens (N)'!$C$10*'Invoer gegevens (N)'!$F$35)*'Reeksen (N)'!J44,0)*2</f>
        <v>0</v>
      </c>
      <c r="AR44" s="71">
        <f ca="1">-IF(C44=1,(G44*'Invoer gegevens (N)'!$F$36)*'Reeksen (N)'!J44,0)</f>
        <v>0</v>
      </c>
      <c r="AS44" s="71">
        <f ca="1">-IF(C44=1,'Invoer gegevens (N)'!$C$10*'Invoer gegevens (N)'!$F$37*'Reeksen (N)'!L44,0)</f>
        <v>0</v>
      </c>
      <c r="AT44" s="71">
        <f ca="1">-IF(C44=1,IF(E44='Invoer gegevens (N)'!$C$17,'Invoer gegevens (N)'!$C$11,Q44)*'Reeksen (N)'!S44*'Invoer gegevens (N)'!$C$18*'Reeksen (N)'!P44,0)</f>
        <v>0</v>
      </c>
      <c r="AU44" s="71">
        <f ca="1">-IF(C44=1,'Invoer gegevens (N)'!$C$10*'Invoer gegevens (N)'!$F$38*'Reeksen (N)'!H44,0)</f>
        <v>0</v>
      </c>
      <c r="AV44" s="71">
        <v>0</v>
      </c>
      <c r="AW44" s="71">
        <f t="shared" ca="1" si="6"/>
        <v>0</v>
      </c>
      <c r="AX44" s="71">
        <f ca="1">IF(E44&lt;'Invoer gegevens (N)'!$C$17+15,0,IF('RW - MW - DE - DE (N)'!E44&gt;'Invoer gegevens (N)'!$C$17+215,0,'RW - MW - DE - DE (N)'!AW44))</f>
        <v>0</v>
      </c>
      <c r="AY44" s="71">
        <f ca="1">AX44/(1+'Invoer gegevens (N)'!$F$13)^($AZ44-('Invoer gegevens (N)'!$C$17-'Invoer gegevens (N)'!$C$16))/(1+'Invoer gegevens (N)'!$C$39)^('Invoer gegevens (N)'!$C$17-'Invoer gegevens (N)'!$C$16)</f>
        <v>0</v>
      </c>
      <c r="AZ44" s="68">
        <f ca="1">IF(E44-'Invoer gegevens (N)'!$C$17-14.5&lt;0,0,E44-'Invoer gegevens (N)'!$C$17-14.5)</f>
        <v>24.5</v>
      </c>
      <c r="BC44" s="71"/>
    </row>
    <row r="45" spans="2:55" s="230" customFormat="1" x14ac:dyDescent="0.25">
      <c r="B45" s="70">
        <f t="shared" si="7"/>
        <v>41</v>
      </c>
      <c r="C45" s="67">
        <f ca="1">IF(E45-'Invoer gegevens (N)'!$C$17&lt;0,0,1)</f>
        <v>1</v>
      </c>
      <c r="D45" s="68">
        <f t="shared" si="8"/>
        <v>40.5</v>
      </c>
      <c r="E45" s="69">
        <f ca="1">IF('Invoer gegevens (N)'!$C$16="","",E44+1)</f>
        <v>2059</v>
      </c>
      <c r="F45" s="82">
        <f ca="1">IF('Invoer gegevens (N)'!$C$17=E45,'Invoer gegevens (N)'!$C$10,IF(C45=1,H44,0))</f>
        <v>0</v>
      </c>
      <c r="G45" s="83">
        <f ca="1">IF(C45&gt;=1,F45*'Reeksen (N)'!C45,0)</f>
        <v>0</v>
      </c>
      <c r="H45" s="84">
        <f t="shared" ca="1" si="1"/>
        <v>0</v>
      </c>
      <c r="I45" s="85">
        <f ca="1">IF('Invoer gegevens (N)'!$C$17=E45,'Invoer gegevens (N)'!$C$11,IF(C45=1,L44,0))</f>
        <v>0</v>
      </c>
      <c r="J45" s="86">
        <f ca="1">IF(C45&lt;1,0,IF('Reeksen (N)'!AD45&lt;='Reeksen (N)'!AE45,I45*'Reeksen (N)'!C45,0))</f>
        <v>0</v>
      </c>
      <c r="K45" s="86">
        <f ca="1">IF(C45&lt;1,0,IF('Reeksen (N)'!AD45&gt;'Reeksen (N)'!AE45,I45*'Reeksen (N)'!C45,0))</f>
        <v>0</v>
      </c>
      <c r="L45" s="86">
        <f t="shared" ca="1" si="2"/>
        <v>0</v>
      </c>
      <c r="M45" s="85">
        <f ca="1">IF('Invoer gegevens (N)'!$C$17=E45,'Invoer gegevens (N)'!$C$10-'Invoer gegevens (N)'!$C$11,IF(C45=1,P44,0))</f>
        <v>0</v>
      </c>
      <c r="N45" s="86">
        <f ca="1">IF(C45&lt;1,0,IF('Reeksen (N)'!AD45&lt;='Reeksen (N)'!AE45,M45*'Reeksen (N)'!C45,0))</f>
        <v>0</v>
      </c>
      <c r="O45" s="86">
        <f ca="1">IF(C45&lt;1,0,IF('Reeksen (N)'!AD45&gt;'Reeksen (N)'!AE45,M45*'Reeksen (N)'!C45,0))</f>
        <v>0</v>
      </c>
      <c r="P45" s="86">
        <f t="shared" ca="1" si="3"/>
        <v>0</v>
      </c>
      <c r="Q45" s="82">
        <f ca="1">IF('Invoer gegevens (N)'!$C$17=E45,I45,IF(C45=0,0,R44))</f>
        <v>0</v>
      </c>
      <c r="R45" s="84">
        <f t="shared" ca="1" si="0"/>
        <v>0</v>
      </c>
      <c r="S45" s="84">
        <f ca="1">IF('Invoer gegevens (N)'!$C$17=E45,M45,IF(C45=0,0,T44))</f>
        <v>0</v>
      </c>
      <c r="T45" s="84">
        <f t="shared" ca="1" si="9"/>
        <v>0</v>
      </c>
      <c r="AI45" s="71">
        <f ca="1">IF(C45=1,((F45+H45)/2*'Reeksen (N)'!AI45*12)+(('Invoer gegevens (N)'!$C$10-(F45+H45)/2)*'Reeksen (N)'!AD45*12),0)</f>
        <v>0</v>
      </c>
      <c r="AJ45" s="71">
        <f ca="1">-AI45*'Invoer gegevens (N)'!$F$28</f>
        <v>0</v>
      </c>
      <c r="AK45" s="71">
        <f t="shared" ca="1" si="4"/>
        <v>0</v>
      </c>
      <c r="AL45" s="71">
        <f ca="1">IF(C45=1,(12*((F45+H45)/2)*'Reeksen (N)'!AL45)+(12*('Invoer gegevens (N)'!$C$10-(F45+H45)/2)*'Reeksen (N)'!AM45),0)</f>
        <v>0</v>
      </c>
      <c r="AM45" s="71">
        <f ca="1">-AL45*'Invoer gegevens (N)'!$F$31</f>
        <v>0</v>
      </c>
      <c r="AN45" s="71">
        <f t="shared" ca="1" si="5"/>
        <v>0</v>
      </c>
      <c r="AO45" s="71"/>
      <c r="AP45" s="71"/>
      <c r="AQ45" s="71">
        <f ca="1">-IF(C45=1,('Invoer gegevens (N)'!$C$10*'Invoer gegevens (N)'!$F$35)*'Reeksen (N)'!J45,0)*2</f>
        <v>0</v>
      </c>
      <c r="AR45" s="71">
        <f ca="1">-IF(C45=1,(G45*'Invoer gegevens (N)'!$F$36)*'Reeksen (N)'!J45,0)</f>
        <v>0</v>
      </c>
      <c r="AS45" s="71">
        <f ca="1">-IF(C45=1,'Invoer gegevens (N)'!$C$10*'Invoer gegevens (N)'!$F$37*'Reeksen (N)'!L45,0)</f>
        <v>0</v>
      </c>
      <c r="AT45" s="71">
        <f ca="1">-IF(C45=1,IF(E45='Invoer gegevens (N)'!$C$17,'Invoer gegevens (N)'!$C$11,Q45)*'Reeksen (N)'!S45*'Invoer gegevens (N)'!$C$18*'Reeksen (N)'!P45,0)</f>
        <v>0</v>
      </c>
      <c r="AU45" s="71">
        <f ca="1">-IF(C45=1,'Invoer gegevens (N)'!$C$10*'Invoer gegevens (N)'!$F$38*'Reeksen (N)'!H45,0)</f>
        <v>0</v>
      </c>
      <c r="AV45" s="71">
        <v>0</v>
      </c>
      <c r="AW45" s="71">
        <f t="shared" ca="1" si="6"/>
        <v>0</v>
      </c>
      <c r="AX45" s="71">
        <f ca="1">IF(E45&lt;'Invoer gegevens (N)'!$C$17+15,0,IF('RW - MW - DE - DE (N)'!E45&gt;'Invoer gegevens (N)'!$C$17+215,0,'RW - MW - DE - DE (N)'!AW45))</f>
        <v>0</v>
      </c>
      <c r="AY45" s="71">
        <f ca="1">AX45/(1+'Invoer gegevens (N)'!$F$13)^($AZ45-('Invoer gegevens (N)'!$C$17-'Invoer gegevens (N)'!$C$16))/(1+'Invoer gegevens (N)'!$C$39)^('Invoer gegevens (N)'!$C$17-'Invoer gegevens (N)'!$C$16)</f>
        <v>0</v>
      </c>
      <c r="AZ45" s="68">
        <f ca="1">IF(E45-'Invoer gegevens (N)'!$C$17-14.5&lt;0,0,E45-'Invoer gegevens (N)'!$C$17-14.5)</f>
        <v>25.5</v>
      </c>
      <c r="BC45" s="71"/>
    </row>
    <row r="46" spans="2:55" s="230" customFormat="1" x14ac:dyDescent="0.25">
      <c r="B46" s="70">
        <f t="shared" si="7"/>
        <v>42</v>
      </c>
      <c r="C46" s="67">
        <f ca="1">IF(E46-'Invoer gegevens (N)'!$C$17&lt;0,0,1)</f>
        <v>1</v>
      </c>
      <c r="D46" s="68">
        <f t="shared" si="8"/>
        <v>41.5</v>
      </c>
      <c r="E46" s="69">
        <f ca="1">IF('Invoer gegevens (N)'!$C$16="","",E45+1)</f>
        <v>2060</v>
      </c>
      <c r="F46" s="82">
        <f ca="1">IF('Invoer gegevens (N)'!$C$17=E46,'Invoer gegevens (N)'!$C$10,IF(C46=1,H45,0))</f>
        <v>0</v>
      </c>
      <c r="G46" s="83">
        <f ca="1">IF(C46&gt;=1,F46*'Reeksen (N)'!C46,0)</f>
        <v>0</v>
      </c>
      <c r="H46" s="84">
        <f t="shared" ca="1" si="1"/>
        <v>0</v>
      </c>
      <c r="I46" s="85">
        <f ca="1">IF('Invoer gegevens (N)'!$C$17=E46,'Invoer gegevens (N)'!$C$11,IF(C46=1,L45,0))</f>
        <v>0</v>
      </c>
      <c r="J46" s="86">
        <f ca="1">IF(C46&lt;1,0,IF('Reeksen (N)'!AD46&lt;='Reeksen (N)'!AE46,I46*'Reeksen (N)'!C46,0))</f>
        <v>0</v>
      </c>
      <c r="K46" s="86">
        <f ca="1">IF(C46&lt;1,0,IF('Reeksen (N)'!AD46&gt;'Reeksen (N)'!AE46,I46*'Reeksen (N)'!C46,0))</f>
        <v>0</v>
      </c>
      <c r="L46" s="86">
        <f t="shared" ca="1" si="2"/>
        <v>0</v>
      </c>
      <c r="M46" s="85">
        <f ca="1">IF('Invoer gegevens (N)'!$C$17=E46,'Invoer gegevens (N)'!$C$10-'Invoer gegevens (N)'!$C$11,IF(C46=1,P45,0))</f>
        <v>0</v>
      </c>
      <c r="N46" s="86">
        <f ca="1">IF(C46&lt;1,0,IF('Reeksen (N)'!AD46&lt;='Reeksen (N)'!AE46,M46*'Reeksen (N)'!C46,0))</f>
        <v>0</v>
      </c>
      <c r="O46" s="86">
        <f ca="1">IF(C46&lt;1,0,IF('Reeksen (N)'!AD46&gt;'Reeksen (N)'!AE46,M46*'Reeksen (N)'!C46,0))</f>
        <v>0</v>
      </c>
      <c r="P46" s="86">
        <f t="shared" ca="1" si="3"/>
        <v>0</v>
      </c>
      <c r="Q46" s="82">
        <f ca="1">IF('Invoer gegevens (N)'!$C$17=E46,I46,IF(C46=0,0,R45))</f>
        <v>0</v>
      </c>
      <c r="R46" s="84">
        <f t="shared" ca="1" si="0"/>
        <v>0</v>
      </c>
      <c r="S46" s="84">
        <f ca="1">IF('Invoer gegevens (N)'!$C$17=E46,M46,IF(C46=0,0,T45))</f>
        <v>0</v>
      </c>
      <c r="T46" s="84">
        <f t="shared" ca="1" si="9"/>
        <v>0</v>
      </c>
      <c r="AI46" s="71">
        <f ca="1">IF(C46=1,((F46+H46)/2*'Reeksen (N)'!AI46*12)+(('Invoer gegevens (N)'!$C$10-(F46+H46)/2)*'Reeksen (N)'!AD46*12),0)</f>
        <v>0</v>
      </c>
      <c r="AJ46" s="71">
        <f ca="1">-AI46*'Invoer gegevens (N)'!$F$28</f>
        <v>0</v>
      </c>
      <c r="AK46" s="71">
        <f t="shared" ca="1" si="4"/>
        <v>0</v>
      </c>
      <c r="AL46" s="71">
        <f ca="1">IF(C46=1,(12*((F46+H46)/2)*'Reeksen (N)'!AL46)+(12*('Invoer gegevens (N)'!$C$10-(F46+H46)/2)*'Reeksen (N)'!AM46),0)</f>
        <v>0</v>
      </c>
      <c r="AM46" s="71">
        <f ca="1">-AL46*'Invoer gegevens (N)'!$F$31</f>
        <v>0</v>
      </c>
      <c r="AN46" s="71">
        <f t="shared" ca="1" si="5"/>
        <v>0</v>
      </c>
      <c r="AO46" s="71"/>
      <c r="AP46" s="71"/>
      <c r="AQ46" s="71">
        <f ca="1">-IF(C46=1,('Invoer gegevens (N)'!$C$10*'Invoer gegevens (N)'!$F$35)*'Reeksen (N)'!J46,0)*2</f>
        <v>0</v>
      </c>
      <c r="AR46" s="71">
        <f ca="1">-IF(C46=1,(G46*'Invoer gegevens (N)'!$F$36)*'Reeksen (N)'!J46,0)</f>
        <v>0</v>
      </c>
      <c r="AS46" s="71">
        <f ca="1">-IF(C46=1,'Invoer gegevens (N)'!$C$10*'Invoer gegevens (N)'!$F$37*'Reeksen (N)'!L46,0)</f>
        <v>0</v>
      </c>
      <c r="AT46" s="71">
        <f ca="1">-IF(C46=1,IF(E46='Invoer gegevens (N)'!$C$17,'Invoer gegevens (N)'!$C$11,Q46)*'Reeksen (N)'!S46*'Invoer gegevens (N)'!$C$18*'Reeksen (N)'!P46,0)</f>
        <v>0</v>
      </c>
      <c r="AU46" s="71">
        <f ca="1">-IF(C46=1,'Invoer gegevens (N)'!$C$10*'Invoer gegevens (N)'!$F$38*'Reeksen (N)'!H46,0)</f>
        <v>0</v>
      </c>
      <c r="AV46" s="71">
        <v>0</v>
      </c>
      <c r="AW46" s="71">
        <f t="shared" ca="1" si="6"/>
        <v>0</v>
      </c>
      <c r="AX46" s="71">
        <f ca="1">IF(E46&lt;'Invoer gegevens (N)'!$C$17+15,0,IF('RW - MW - DE - DE (N)'!E46&gt;'Invoer gegevens (N)'!$C$17+215,0,'RW - MW - DE - DE (N)'!AW46))</f>
        <v>0</v>
      </c>
      <c r="AY46" s="71">
        <f ca="1">AX46/(1+'Invoer gegevens (N)'!$F$13)^($AZ46-('Invoer gegevens (N)'!$C$17-'Invoer gegevens (N)'!$C$16))/(1+'Invoer gegevens (N)'!$C$39)^('Invoer gegevens (N)'!$C$17-'Invoer gegevens (N)'!$C$16)</f>
        <v>0</v>
      </c>
      <c r="AZ46" s="68">
        <f ca="1">IF(E46-'Invoer gegevens (N)'!$C$17-14.5&lt;0,0,E46-'Invoer gegevens (N)'!$C$17-14.5)</f>
        <v>26.5</v>
      </c>
      <c r="BC46" s="71"/>
    </row>
    <row r="47" spans="2:55" s="230" customFormat="1" x14ac:dyDescent="0.25">
      <c r="B47" s="70">
        <f t="shared" si="7"/>
        <v>43</v>
      </c>
      <c r="C47" s="67">
        <f ca="1">IF(E47-'Invoer gegevens (N)'!$C$17&lt;0,0,1)</f>
        <v>1</v>
      </c>
      <c r="D47" s="68">
        <f t="shared" si="8"/>
        <v>42.5</v>
      </c>
      <c r="E47" s="69">
        <f ca="1">IF('Invoer gegevens (N)'!$C$16="","",E46+1)</f>
        <v>2061</v>
      </c>
      <c r="F47" s="82">
        <f ca="1">IF('Invoer gegevens (N)'!$C$17=E47,'Invoer gegevens (N)'!$C$10,IF(C47=1,H46,0))</f>
        <v>0</v>
      </c>
      <c r="G47" s="83">
        <f ca="1">IF(C47&gt;=1,F47*'Reeksen (N)'!C47,0)</f>
        <v>0</v>
      </c>
      <c r="H47" s="84">
        <f t="shared" ca="1" si="1"/>
        <v>0</v>
      </c>
      <c r="I47" s="85">
        <f ca="1">IF('Invoer gegevens (N)'!$C$17=E47,'Invoer gegevens (N)'!$C$11,IF(C47=1,L46,0))</f>
        <v>0</v>
      </c>
      <c r="J47" s="86">
        <f ca="1">IF(C47&lt;1,0,IF('Reeksen (N)'!AD47&lt;='Reeksen (N)'!AE47,I47*'Reeksen (N)'!C47,0))</f>
        <v>0</v>
      </c>
      <c r="K47" s="86">
        <f ca="1">IF(C47&lt;1,0,IF('Reeksen (N)'!AD47&gt;'Reeksen (N)'!AE47,I47*'Reeksen (N)'!C47,0))</f>
        <v>0</v>
      </c>
      <c r="L47" s="86">
        <f t="shared" ca="1" si="2"/>
        <v>0</v>
      </c>
      <c r="M47" s="85">
        <f ca="1">IF('Invoer gegevens (N)'!$C$17=E47,'Invoer gegevens (N)'!$C$10-'Invoer gegevens (N)'!$C$11,IF(C47=1,P46,0))</f>
        <v>0</v>
      </c>
      <c r="N47" s="86">
        <f ca="1">IF(C47&lt;1,0,IF('Reeksen (N)'!AD47&lt;='Reeksen (N)'!AE47,M47*'Reeksen (N)'!C47,0))</f>
        <v>0</v>
      </c>
      <c r="O47" s="86">
        <f ca="1">IF(C47&lt;1,0,IF('Reeksen (N)'!AD47&gt;'Reeksen (N)'!AE47,M47*'Reeksen (N)'!C47,0))</f>
        <v>0</v>
      </c>
      <c r="P47" s="86">
        <f t="shared" ca="1" si="3"/>
        <v>0</v>
      </c>
      <c r="Q47" s="82">
        <f ca="1">IF('Invoer gegevens (N)'!$C$17=E47,I47,IF(C47=0,0,R46))</f>
        <v>0</v>
      </c>
      <c r="R47" s="84">
        <f t="shared" ca="1" si="0"/>
        <v>0</v>
      </c>
      <c r="S47" s="84">
        <f ca="1">IF('Invoer gegevens (N)'!$C$17=E47,M47,IF(C47=0,0,T46))</f>
        <v>0</v>
      </c>
      <c r="T47" s="84">
        <f t="shared" ca="1" si="9"/>
        <v>0</v>
      </c>
      <c r="AI47" s="71">
        <f ca="1">IF(C47=1,((F47+H47)/2*'Reeksen (N)'!AI47*12)+(('Invoer gegevens (N)'!$C$10-(F47+H47)/2)*'Reeksen (N)'!AD47*12),0)</f>
        <v>0</v>
      </c>
      <c r="AJ47" s="71">
        <f ca="1">-AI47*'Invoer gegevens (N)'!$F$28</f>
        <v>0</v>
      </c>
      <c r="AK47" s="71">
        <f t="shared" ca="1" si="4"/>
        <v>0</v>
      </c>
      <c r="AL47" s="71">
        <f ca="1">IF(C47=1,(12*((F47+H47)/2)*'Reeksen (N)'!AL47)+(12*('Invoer gegevens (N)'!$C$10-(F47+H47)/2)*'Reeksen (N)'!AM47),0)</f>
        <v>0</v>
      </c>
      <c r="AM47" s="71">
        <f ca="1">-AL47*'Invoer gegevens (N)'!$F$31</f>
        <v>0</v>
      </c>
      <c r="AN47" s="71">
        <f t="shared" ca="1" si="5"/>
        <v>0</v>
      </c>
      <c r="AO47" s="71"/>
      <c r="AP47" s="71"/>
      <c r="AQ47" s="71">
        <f ca="1">-IF(C47=1,('Invoer gegevens (N)'!$C$10*'Invoer gegevens (N)'!$F$35)*'Reeksen (N)'!J47,0)*2</f>
        <v>0</v>
      </c>
      <c r="AR47" s="71">
        <f ca="1">-IF(C47=1,(G47*'Invoer gegevens (N)'!$F$36)*'Reeksen (N)'!J47,0)</f>
        <v>0</v>
      </c>
      <c r="AS47" s="71">
        <f ca="1">-IF(C47=1,'Invoer gegevens (N)'!$C$10*'Invoer gegevens (N)'!$F$37*'Reeksen (N)'!L47,0)</f>
        <v>0</v>
      </c>
      <c r="AT47" s="71">
        <f ca="1">-IF(C47=1,IF(E47='Invoer gegevens (N)'!$C$17,'Invoer gegevens (N)'!$C$11,Q47)*'Reeksen (N)'!S47*'Invoer gegevens (N)'!$C$18*'Reeksen (N)'!P47,0)</f>
        <v>0</v>
      </c>
      <c r="AU47" s="71">
        <f ca="1">-IF(C47=1,'Invoer gegevens (N)'!$C$10*'Invoer gegevens (N)'!$F$38*'Reeksen (N)'!H47,0)</f>
        <v>0</v>
      </c>
      <c r="AV47" s="71">
        <v>0</v>
      </c>
      <c r="AW47" s="71">
        <f t="shared" ca="1" si="6"/>
        <v>0</v>
      </c>
      <c r="AX47" s="71">
        <f ca="1">IF(E47&lt;'Invoer gegevens (N)'!$C$17+15,0,IF('RW - MW - DE - DE (N)'!E47&gt;'Invoer gegevens (N)'!$C$17+215,0,'RW - MW - DE - DE (N)'!AW47))</f>
        <v>0</v>
      </c>
      <c r="AY47" s="71">
        <f ca="1">AX47/(1+'Invoer gegevens (N)'!$F$13)^($AZ47-('Invoer gegevens (N)'!$C$17-'Invoer gegevens (N)'!$C$16))/(1+'Invoer gegevens (N)'!$C$39)^('Invoer gegevens (N)'!$C$17-'Invoer gegevens (N)'!$C$16)</f>
        <v>0</v>
      </c>
      <c r="AZ47" s="68">
        <f ca="1">IF(E47-'Invoer gegevens (N)'!$C$17-14.5&lt;0,0,E47-'Invoer gegevens (N)'!$C$17-14.5)</f>
        <v>27.5</v>
      </c>
      <c r="BC47" s="71"/>
    </row>
    <row r="48" spans="2:55" s="230" customFormat="1" x14ac:dyDescent="0.25">
      <c r="B48" s="70">
        <f t="shared" si="7"/>
        <v>44</v>
      </c>
      <c r="C48" s="67">
        <f ca="1">IF(E48-'Invoer gegevens (N)'!$C$17&lt;0,0,1)</f>
        <v>1</v>
      </c>
      <c r="D48" s="68">
        <f t="shared" si="8"/>
        <v>43.5</v>
      </c>
      <c r="E48" s="69">
        <f ca="1">IF('Invoer gegevens (N)'!$C$16="","",E47+1)</f>
        <v>2062</v>
      </c>
      <c r="F48" s="82">
        <f ca="1">IF('Invoer gegevens (N)'!$C$17=E48,'Invoer gegevens (N)'!$C$10,IF(C48=1,H47,0))</f>
        <v>0</v>
      </c>
      <c r="G48" s="83">
        <f ca="1">IF(C48&gt;=1,F48*'Reeksen (N)'!C48,0)</f>
        <v>0</v>
      </c>
      <c r="H48" s="84">
        <f t="shared" ca="1" si="1"/>
        <v>0</v>
      </c>
      <c r="I48" s="85">
        <f ca="1">IF('Invoer gegevens (N)'!$C$17=E48,'Invoer gegevens (N)'!$C$11,IF(C48=1,L47,0))</f>
        <v>0</v>
      </c>
      <c r="J48" s="86">
        <f ca="1">IF(C48&lt;1,0,IF('Reeksen (N)'!AD48&lt;='Reeksen (N)'!AE48,I48*'Reeksen (N)'!C48,0))</f>
        <v>0</v>
      </c>
      <c r="K48" s="86">
        <f ca="1">IF(C48&lt;1,0,IF('Reeksen (N)'!AD48&gt;'Reeksen (N)'!AE48,I48*'Reeksen (N)'!C48,0))</f>
        <v>0</v>
      </c>
      <c r="L48" s="86">
        <f t="shared" ca="1" si="2"/>
        <v>0</v>
      </c>
      <c r="M48" s="85">
        <f ca="1">IF('Invoer gegevens (N)'!$C$17=E48,'Invoer gegevens (N)'!$C$10-'Invoer gegevens (N)'!$C$11,IF(C48=1,P47,0))</f>
        <v>0</v>
      </c>
      <c r="N48" s="86">
        <f ca="1">IF(C48&lt;1,0,IF('Reeksen (N)'!AD48&lt;='Reeksen (N)'!AE48,M48*'Reeksen (N)'!C48,0))</f>
        <v>0</v>
      </c>
      <c r="O48" s="86">
        <f ca="1">IF(C48&lt;1,0,IF('Reeksen (N)'!AD48&gt;'Reeksen (N)'!AE48,M48*'Reeksen (N)'!C48,0))</f>
        <v>0</v>
      </c>
      <c r="P48" s="86">
        <f t="shared" ca="1" si="3"/>
        <v>0</v>
      </c>
      <c r="Q48" s="82">
        <f ca="1">IF('Invoer gegevens (N)'!$C$17=E48,I48,IF(C48=0,0,R47))</f>
        <v>0</v>
      </c>
      <c r="R48" s="84">
        <f t="shared" ca="1" si="0"/>
        <v>0</v>
      </c>
      <c r="S48" s="84">
        <f ca="1">IF('Invoer gegevens (N)'!$C$17=E48,M48,IF(C48=0,0,T47))</f>
        <v>0</v>
      </c>
      <c r="T48" s="84">
        <f t="shared" ca="1" si="9"/>
        <v>0</v>
      </c>
      <c r="AI48" s="71">
        <f ca="1">IF(C48=1,((F48+H48)/2*'Reeksen (N)'!AI48*12)+(('Invoer gegevens (N)'!$C$10-(F48+H48)/2)*'Reeksen (N)'!AD48*12),0)</f>
        <v>0</v>
      </c>
      <c r="AJ48" s="71">
        <f ca="1">-AI48*'Invoer gegevens (N)'!$F$28</f>
        <v>0</v>
      </c>
      <c r="AK48" s="71">
        <f t="shared" ca="1" si="4"/>
        <v>0</v>
      </c>
      <c r="AL48" s="71">
        <f ca="1">IF(C48=1,(12*((F48+H48)/2)*'Reeksen (N)'!AL48)+(12*('Invoer gegevens (N)'!$C$10-(F48+H48)/2)*'Reeksen (N)'!AM48),0)</f>
        <v>0</v>
      </c>
      <c r="AM48" s="71">
        <f ca="1">-AL48*'Invoer gegevens (N)'!$F$31</f>
        <v>0</v>
      </c>
      <c r="AN48" s="71">
        <f t="shared" ca="1" si="5"/>
        <v>0</v>
      </c>
      <c r="AO48" s="71"/>
      <c r="AP48" s="71"/>
      <c r="AQ48" s="71">
        <f ca="1">-IF(C48=1,('Invoer gegevens (N)'!$C$10*'Invoer gegevens (N)'!$F$35)*'Reeksen (N)'!J48,0)*2</f>
        <v>0</v>
      </c>
      <c r="AR48" s="71">
        <f ca="1">-IF(C48=1,(G48*'Invoer gegevens (N)'!$F$36)*'Reeksen (N)'!J48,0)</f>
        <v>0</v>
      </c>
      <c r="AS48" s="71">
        <f ca="1">-IF(C48=1,'Invoer gegevens (N)'!$C$10*'Invoer gegevens (N)'!$F$37*'Reeksen (N)'!L48,0)</f>
        <v>0</v>
      </c>
      <c r="AT48" s="71">
        <f ca="1">-IF(C48=1,IF(E48='Invoer gegevens (N)'!$C$17,'Invoer gegevens (N)'!$C$11,Q48)*'Reeksen (N)'!S48*'Invoer gegevens (N)'!$C$18*'Reeksen (N)'!P48,0)</f>
        <v>0</v>
      </c>
      <c r="AU48" s="71">
        <f ca="1">-IF(C48=1,'Invoer gegevens (N)'!$C$10*'Invoer gegevens (N)'!$F$38*'Reeksen (N)'!H48,0)</f>
        <v>0</v>
      </c>
      <c r="AV48" s="71">
        <v>0</v>
      </c>
      <c r="AW48" s="71">
        <f t="shared" ca="1" si="6"/>
        <v>0</v>
      </c>
      <c r="AX48" s="71">
        <f ca="1">IF(E48&lt;'Invoer gegevens (N)'!$C$17+15,0,IF('RW - MW - DE - DE (N)'!E48&gt;'Invoer gegevens (N)'!$C$17+215,0,'RW - MW - DE - DE (N)'!AW48))</f>
        <v>0</v>
      </c>
      <c r="AY48" s="71">
        <f ca="1">AX48/(1+'Invoer gegevens (N)'!$F$13)^($AZ48-('Invoer gegevens (N)'!$C$17-'Invoer gegevens (N)'!$C$16))/(1+'Invoer gegevens (N)'!$C$39)^('Invoer gegevens (N)'!$C$17-'Invoer gegevens (N)'!$C$16)</f>
        <v>0</v>
      </c>
      <c r="AZ48" s="68">
        <f ca="1">IF(E48-'Invoer gegevens (N)'!$C$17-14.5&lt;0,0,E48-'Invoer gegevens (N)'!$C$17-14.5)</f>
        <v>28.5</v>
      </c>
      <c r="BC48" s="71"/>
    </row>
    <row r="49" spans="2:55" s="230" customFormat="1" x14ac:dyDescent="0.25">
      <c r="B49" s="70">
        <f t="shared" si="7"/>
        <v>45</v>
      </c>
      <c r="C49" s="67">
        <f ca="1">IF(E49-'Invoer gegevens (N)'!$C$17&lt;0,0,1)</f>
        <v>1</v>
      </c>
      <c r="D49" s="68">
        <f t="shared" si="8"/>
        <v>44.5</v>
      </c>
      <c r="E49" s="69">
        <f ca="1">IF('Invoer gegevens (N)'!$C$16="","",E48+1)</f>
        <v>2063</v>
      </c>
      <c r="F49" s="82">
        <f ca="1">IF('Invoer gegevens (N)'!$C$17=E49,'Invoer gegevens (N)'!$C$10,IF(C49=1,H48,0))</f>
        <v>0</v>
      </c>
      <c r="G49" s="83">
        <f ca="1">IF(C49&gt;=1,F49*'Reeksen (N)'!C49,0)</f>
        <v>0</v>
      </c>
      <c r="H49" s="84">
        <f t="shared" ca="1" si="1"/>
        <v>0</v>
      </c>
      <c r="I49" s="85">
        <f ca="1">IF('Invoer gegevens (N)'!$C$17=E49,'Invoer gegevens (N)'!$C$11,IF(C49=1,L48,0))</f>
        <v>0</v>
      </c>
      <c r="J49" s="86">
        <f ca="1">IF(C49&lt;1,0,IF('Reeksen (N)'!AD49&lt;='Reeksen (N)'!AE49,I49*'Reeksen (N)'!C49,0))</f>
        <v>0</v>
      </c>
      <c r="K49" s="86">
        <f ca="1">IF(C49&lt;1,0,IF('Reeksen (N)'!AD49&gt;'Reeksen (N)'!AE49,I49*'Reeksen (N)'!C49,0))</f>
        <v>0</v>
      </c>
      <c r="L49" s="86">
        <f t="shared" ca="1" si="2"/>
        <v>0</v>
      </c>
      <c r="M49" s="85">
        <f ca="1">IF('Invoer gegevens (N)'!$C$17=E49,'Invoer gegevens (N)'!$C$10-'Invoer gegevens (N)'!$C$11,IF(C49=1,P48,0))</f>
        <v>0</v>
      </c>
      <c r="N49" s="86">
        <f ca="1">IF(C49&lt;1,0,IF('Reeksen (N)'!AD49&lt;='Reeksen (N)'!AE49,M49*'Reeksen (N)'!C49,0))</f>
        <v>0</v>
      </c>
      <c r="O49" s="86">
        <f ca="1">IF(C49&lt;1,0,IF('Reeksen (N)'!AD49&gt;'Reeksen (N)'!AE49,M49*'Reeksen (N)'!C49,0))</f>
        <v>0</v>
      </c>
      <c r="P49" s="86">
        <f t="shared" ca="1" si="3"/>
        <v>0</v>
      </c>
      <c r="Q49" s="82">
        <f ca="1">IF('Invoer gegevens (N)'!$C$17=E49,I49,IF(C49=0,0,R48))</f>
        <v>0</v>
      </c>
      <c r="R49" s="84">
        <f t="shared" ca="1" si="0"/>
        <v>0</v>
      </c>
      <c r="S49" s="84">
        <f ca="1">IF('Invoer gegevens (N)'!$C$17=E49,M49,IF(C49=0,0,T48))</f>
        <v>0</v>
      </c>
      <c r="T49" s="84">
        <f t="shared" ca="1" si="9"/>
        <v>0</v>
      </c>
      <c r="AI49" s="71">
        <f ca="1">IF(C49=1,((F49+H49)/2*'Reeksen (N)'!AI49*12)+(('Invoer gegevens (N)'!$C$10-(F49+H49)/2)*'Reeksen (N)'!AD49*12),0)</f>
        <v>0</v>
      </c>
      <c r="AJ49" s="71">
        <f ca="1">-AI49*'Invoer gegevens (N)'!$F$28</f>
        <v>0</v>
      </c>
      <c r="AK49" s="71">
        <f t="shared" ca="1" si="4"/>
        <v>0</v>
      </c>
      <c r="AL49" s="71">
        <f ca="1">IF(C49=1,(12*((F49+H49)/2)*'Reeksen (N)'!AL49)+(12*('Invoer gegevens (N)'!$C$10-(F49+H49)/2)*'Reeksen (N)'!AM49),0)</f>
        <v>0</v>
      </c>
      <c r="AM49" s="71">
        <f ca="1">-AL49*'Invoer gegevens (N)'!$F$31</f>
        <v>0</v>
      </c>
      <c r="AN49" s="71">
        <f t="shared" ca="1" si="5"/>
        <v>0</v>
      </c>
      <c r="AO49" s="71"/>
      <c r="AP49" s="71"/>
      <c r="AQ49" s="71">
        <f ca="1">-IF(C49=1,('Invoer gegevens (N)'!$C$10*'Invoer gegevens (N)'!$F$35)*'Reeksen (N)'!J49,0)*2</f>
        <v>0</v>
      </c>
      <c r="AR49" s="71">
        <f ca="1">-IF(C49=1,(G49*'Invoer gegevens (N)'!$F$36)*'Reeksen (N)'!J49,0)</f>
        <v>0</v>
      </c>
      <c r="AS49" s="71">
        <f ca="1">-IF(C49=1,'Invoer gegevens (N)'!$C$10*'Invoer gegevens (N)'!$F$37*'Reeksen (N)'!L49,0)</f>
        <v>0</v>
      </c>
      <c r="AT49" s="71">
        <f ca="1">-IF(C49=1,IF(E49='Invoer gegevens (N)'!$C$17,'Invoer gegevens (N)'!$C$11,Q49)*'Reeksen (N)'!S49*'Invoer gegevens (N)'!$C$18*'Reeksen (N)'!P49,0)</f>
        <v>0</v>
      </c>
      <c r="AU49" s="71">
        <f ca="1">-IF(C49=1,'Invoer gegevens (N)'!$C$10*'Invoer gegevens (N)'!$F$38*'Reeksen (N)'!H49,0)</f>
        <v>0</v>
      </c>
      <c r="AV49" s="71">
        <v>0</v>
      </c>
      <c r="AW49" s="71">
        <f t="shared" ca="1" si="6"/>
        <v>0</v>
      </c>
      <c r="AX49" s="71">
        <f ca="1">IF(E49&lt;'Invoer gegevens (N)'!$C$17+15,0,IF('RW - MW - DE - DE (N)'!E49&gt;'Invoer gegevens (N)'!$C$17+215,0,'RW - MW - DE - DE (N)'!AW49))</f>
        <v>0</v>
      </c>
      <c r="AY49" s="71">
        <f ca="1">AX49/(1+'Invoer gegevens (N)'!$F$13)^($AZ49-('Invoer gegevens (N)'!$C$17-'Invoer gegevens (N)'!$C$16))/(1+'Invoer gegevens (N)'!$C$39)^('Invoer gegevens (N)'!$C$17-'Invoer gegevens (N)'!$C$16)</f>
        <v>0</v>
      </c>
      <c r="AZ49" s="68">
        <f ca="1">IF(E49-'Invoer gegevens (N)'!$C$17-14.5&lt;0,0,E49-'Invoer gegevens (N)'!$C$17-14.5)</f>
        <v>29.5</v>
      </c>
      <c r="BC49" s="71"/>
    </row>
    <row r="50" spans="2:55" s="230" customFormat="1" x14ac:dyDescent="0.25">
      <c r="B50" s="70">
        <f t="shared" si="7"/>
        <v>46</v>
      </c>
      <c r="C50" s="67">
        <f ca="1">IF(E50-'Invoer gegevens (N)'!$C$17&lt;0,0,1)</f>
        <v>1</v>
      </c>
      <c r="D50" s="68">
        <f t="shared" si="8"/>
        <v>45.5</v>
      </c>
      <c r="E50" s="69">
        <f ca="1">IF('Invoer gegevens (N)'!$C$16="","",E49+1)</f>
        <v>2064</v>
      </c>
      <c r="F50" s="82">
        <f ca="1">IF('Invoer gegevens (N)'!$C$17=E50,'Invoer gegevens (N)'!$C$10,IF(C50=1,H49,0))</f>
        <v>0</v>
      </c>
      <c r="G50" s="83">
        <f ca="1">IF(C50&gt;=1,F50*'Reeksen (N)'!C50,0)</f>
        <v>0</v>
      </c>
      <c r="H50" s="84">
        <f t="shared" ca="1" si="1"/>
        <v>0</v>
      </c>
      <c r="I50" s="85">
        <f ca="1">IF('Invoer gegevens (N)'!$C$17=E50,'Invoer gegevens (N)'!$C$11,IF(C50=1,L49,0))</f>
        <v>0</v>
      </c>
      <c r="J50" s="86">
        <f ca="1">IF(C50&lt;1,0,IF('Reeksen (N)'!AD50&lt;='Reeksen (N)'!AE50,I50*'Reeksen (N)'!C50,0))</f>
        <v>0</v>
      </c>
      <c r="K50" s="86">
        <f ca="1">IF(C50&lt;1,0,IF('Reeksen (N)'!AD50&gt;'Reeksen (N)'!AE50,I50*'Reeksen (N)'!C50,0))</f>
        <v>0</v>
      </c>
      <c r="L50" s="86">
        <f t="shared" ca="1" si="2"/>
        <v>0</v>
      </c>
      <c r="M50" s="85">
        <f ca="1">IF('Invoer gegevens (N)'!$C$17=E50,'Invoer gegevens (N)'!$C$10-'Invoer gegevens (N)'!$C$11,IF(C50=1,P49,0))</f>
        <v>0</v>
      </c>
      <c r="N50" s="86">
        <f ca="1">IF(C50&lt;1,0,IF('Reeksen (N)'!AD50&lt;='Reeksen (N)'!AE50,M50*'Reeksen (N)'!C50,0))</f>
        <v>0</v>
      </c>
      <c r="O50" s="86">
        <f ca="1">IF(C50&lt;1,0,IF('Reeksen (N)'!AD50&gt;'Reeksen (N)'!AE50,M50*'Reeksen (N)'!C50,0))</f>
        <v>0</v>
      </c>
      <c r="P50" s="86">
        <f t="shared" ca="1" si="3"/>
        <v>0</v>
      </c>
      <c r="Q50" s="82">
        <f ca="1">IF('Invoer gegevens (N)'!$C$17=E50,I50,IF(C50=0,0,R49))</f>
        <v>0</v>
      </c>
      <c r="R50" s="84">
        <f t="shared" ca="1" si="0"/>
        <v>0</v>
      </c>
      <c r="S50" s="84">
        <f ca="1">IF('Invoer gegevens (N)'!$C$17=E50,M50,IF(C50=0,0,T49))</f>
        <v>0</v>
      </c>
      <c r="T50" s="84">
        <f t="shared" ca="1" si="9"/>
        <v>0</v>
      </c>
      <c r="AI50" s="71">
        <f ca="1">IF(C50=1,((F50+H50)/2*'Reeksen (N)'!AI50*12)+(('Invoer gegevens (N)'!$C$10-(F50+H50)/2)*'Reeksen (N)'!AD50*12),0)</f>
        <v>0</v>
      </c>
      <c r="AJ50" s="71">
        <f ca="1">-AI50*'Invoer gegevens (N)'!$F$28</f>
        <v>0</v>
      </c>
      <c r="AK50" s="71">
        <f t="shared" ca="1" si="4"/>
        <v>0</v>
      </c>
      <c r="AL50" s="71">
        <f ca="1">IF(C50=1,(12*((F50+H50)/2)*'Reeksen (N)'!AL50)+(12*('Invoer gegevens (N)'!$C$10-(F50+H50)/2)*'Reeksen (N)'!AM50),0)</f>
        <v>0</v>
      </c>
      <c r="AM50" s="71">
        <f ca="1">-AL50*'Invoer gegevens (N)'!$F$31</f>
        <v>0</v>
      </c>
      <c r="AN50" s="71">
        <f t="shared" ca="1" si="5"/>
        <v>0</v>
      </c>
      <c r="AO50" s="71"/>
      <c r="AP50" s="71"/>
      <c r="AQ50" s="71">
        <f ca="1">-IF(C50=1,('Invoer gegevens (N)'!$C$10*'Invoer gegevens (N)'!$F$35)*'Reeksen (N)'!J50,0)*2</f>
        <v>0</v>
      </c>
      <c r="AR50" s="71">
        <f ca="1">-IF(C50=1,(G50*'Invoer gegevens (N)'!$F$36)*'Reeksen (N)'!J50,0)</f>
        <v>0</v>
      </c>
      <c r="AS50" s="71">
        <f ca="1">-IF(C50=1,'Invoer gegevens (N)'!$C$10*'Invoer gegevens (N)'!$F$37*'Reeksen (N)'!L50,0)</f>
        <v>0</v>
      </c>
      <c r="AT50" s="71">
        <f ca="1">-IF(C50=1,IF(E50='Invoer gegevens (N)'!$C$17,'Invoer gegevens (N)'!$C$11,Q50)*'Reeksen (N)'!S50*'Invoer gegevens (N)'!$C$18*'Reeksen (N)'!P50,0)</f>
        <v>0</v>
      </c>
      <c r="AU50" s="71">
        <f ca="1">-IF(C50=1,'Invoer gegevens (N)'!$C$10*'Invoer gegevens (N)'!$F$38*'Reeksen (N)'!H50,0)</f>
        <v>0</v>
      </c>
      <c r="AV50" s="71">
        <v>0</v>
      </c>
      <c r="AW50" s="71">
        <f t="shared" ca="1" si="6"/>
        <v>0</v>
      </c>
      <c r="AX50" s="71">
        <f ca="1">IF(E50&lt;'Invoer gegevens (N)'!$C$17+15,0,IF('RW - MW - DE - DE (N)'!E50&gt;'Invoer gegevens (N)'!$C$17+215,0,'RW - MW - DE - DE (N)'!AW50))</f>
        <v>0</v>
      </c>
      <c r="AY50" s="71">
        <f ca="1">AX50/(1+'Invoer gegevens (N)'!$F$13)^($AZ50-('Invoer gegevens (N)'!$C$17-'Invoer gegevens (N)'!$C$16))/(1+'Invoer gegevens (N)'!$C$39)^('Invoer gegevens (N)'!$C$17-'Invoer gegevens (N)'!$C$16)</f>
        <v>0</v>
      </c>
      <c r="AZ50" s="68">
        <f ca="1">IF(E50-'Invoer gegevens (N)'!$C$17-14.5&lt;0,0,E50-'Invoer gegevens (N)'!$C$17-14.5)</f>
        <v>30.5</v>
      </c>
      <c r="BC50" s="71"/>
    </row>
    <row r="51" spans="2:55" s="230" customFormat="1" x14ac:dyDescent="0.25">
      <c r="B51" s="70">
        <f t="shared" si="7"/>
        <v>47</v>
      </c>
      <c r="C51" s="67">
        <f ca="1">IF(E51-'Invoer gegevens (N)'!$C$17&lt;0,0,1)</f>
        <v>1</v>
      </c>
      <c r="D51" s="68">
        <f t="shared" si="8"/>
        <v>46.5</v>
      </c>
      <c r="E51" s="69">
        <f ca="1">IF('Invoer gegevens (N)'!$C$16="","",E50+1)</f>
        <v>2065</v>
      </c>
      <c r="F51" s="82">
        <f ca="1">IF('Invoer gegevens (N)'!$C$17=E51,'Invoer gegevens (N)'!$C$10,IF(C51=1,H50,0))</f>
        <v>0</v>
      </c>
      <c r="G51" s="83">
        <f ca="1">IF(C51&gt;=1,F51*'Reeksen (N)'!C51,0)</f>
        <v>0</v>
      </c>
      <c r="H51" s="84">
        <f t="shared" ca="1" si="1"/>
        <v>0</v>
      </c>
      <c r="I51" s="85">
        <f ca="1">IF('Invoer gegevens (N)'!$C$17=E51,'Invoer gegevens (N)'!$C$11,IF(C51=1,L50,0))</f>
        <v>0</v>
      </c>
      <c r="J51" s="86">
        <f ca="1">IF(C51&lt;1,0,IF('Reeksen (N)'!AD51&lt;='Reeksen (N)'!AE51,I51*'Reeksen (N)'!C51,0))</f>
        <v>0</v>
      </c>
      <c r="K51" s="86">
        <f ca="1">IF(C51&lt;1,0,IF('Reeksen (N)'!AD51&gt;'Reeksen (N)'!AE51,I51*'Reeksen (N)'!C51,0))</f>
        <v>0</v>
      </c>
      <c r="L51" s="86">
        <f t="shared" ca="1" si="2"/>
        <v>0</v>
      </c>
      <c r="M51" s="85">
        <f ca="1">IF('Invoer gegevens (N)'!$C$17=E51,'Invoer gegevens (N)'!$C$10-'Invoer gegevens (N)'!$C$11,IF(C51=1,P50,0))</f>
        <v>0</v>
      </c>
      <c r="N51" s="86">
        <f ca="1">IF(C51&lt;1,0,IF('Reeksen (N)'!AD51&lt;='Reeksen (N)'!AE51,M51*'Reeksen (N)'!C51,0))</f>
        <v>0</v>
      </c>
      <c r="O51" s="86">
        <f ca="1">IF(C51&lt;1,0,IF('Reeksen (N)'!AD51&gt;'Reeksen (N)'!AE51,M51*'Reeksen (N)'!C51,0))</f>
        <v>0</v>
      </c>
      <c r="P51" s="86">
        <f t="shared" ca="1" si="3"/>
        <v>0</v>
      </c>
      <c r="Q51" s="82">
        <f ca="1">IF('Invoer gegevens (N)'!$C$17=E51,I51,IF(C51=0,0,R50))</f>
        <v>0</v>
      </c>
      <c r="R51" s="84">
        <f t="shared" ca="1" si="0"/>
        <v>0</v>
      </c>
      <c r="S51" s="84">
        <f ca="1">IF('Invoer gegevens (N)'!$C$17=E51,M51,IF(C51=0,0,T50))</f>
        <v>0</v>
      </c>
      <c r="T51" s="84">
        <f t="shared" ca="1" si="9"/>
        <v>0</v>
      </c>
      <c r="AI51" s="71">
        <f ca="1">IF(C51=1,((F51+H51)/2*'Reeksen (N)'!AI51*12)+(('Invoer gegevens (N)'!$C$10-(F51+H51)/2)*'Reeksen (N)'!AD51*12),0)</f>
        <v>0</v>
      </c>
      <c r="AJ51" s="71">
        <f ca="1">-AI51*'Invoer gegevens (N)'!$F$28</f>
        <v>0</v>
      </c>
      <c r="AK51" s="71">
        <f t="shared" ca="1" si="4"/>
        <v>0</v>
      </c>
      <c r="AL51" s="71">
        <f ca="1">IF(C51=1,(12*((F51+H51)/2)*'Reeksen (N)'!AL51)+(12*('Invoer gegevens (N)'!$C$10-(F51+H51)/2)*'Reeksen (N)'!AM51),0)</f>
        <v>0</v>
      </c>
      <c r="AM51" s="71">
        <f ca="1">-AL51*'Invoer gegevens (N)'!$F$31</f>
        <v>0</v>
      </c>
      <c r="AN51" s="71">
        <f t="shared" ca="1" si="5"/>
        <v>0</v>
      </c>
      <c r="AO51" s="71"/>
      <c r="AP51" s="71"/>
      <c r="AQ51" s="71">
        <f ca="1">-IF(C51=1,('Invoer gegevens (N)'!$C$10*'Invoer gegevens (N)'!$F$35)*'Reeksen (N)'!J51,0)*2</f>
        <v>0</v>
      </c>
      <c r="AR51" s="71">
        <f ca="1">-IF(C51=1,(G51*'Invoer gegevens (N)'!$F$36)*'Reeksen (N)'!J51,0)</f>
        <v>0</v>
      </c>
      <c r="AS51" s="71">
        <f ca="1">-IF(C51=1,'Invoer gegevens (N)'!$C$10*'Invoer gegevens (N)'!$F$37*'Reeksen (N)'!L51,0)</f>
        <v>0</v>
      </c>
      <c r="AT51" s="71">
        <f ca="1">-IF(C51=1,IF(E51='Invoer gegevens (N)'!$C$17,'Invoer gegevens (N)'!$C$11,Q51)*'Reeksen (N)'!S51*'Invoer gegevens (N)'!$C$18*'Reeksen (N)'!P51,0)</f>
        <v>0</v>
      </c>
      <c r="AU51" s="71">
        <f ca="1">-IF(C51=1,'Invoer gegevens (N)'!$C$10*'Invoer gegevens (N)'!$F$38*'Reeksen (N)'!H51,0)</f>
        <v>0</v>
      </c>
      <c r="AV51" s="71">
        <v>0</v>
      </c>
      <c r="AW51" s="71">
        <f t="shared" ca="1" si="6"/>
        <v>0</v>
      </c>
      <c r="AX51" s="71">
        <f ca="1">IF(E51&lt;'Invoer gegevens (N)'!$C$17+15,0,IF('RW - MW - DE - DE (N)'!E51&gt;'Invoer gegevens (N)'!$C$17+215,0,'RW - MW - DE - DE (N)'!AW51))</f>
        <v>0</v>
      </c>
      <c r="AY51" s="71">
        <f ca="1">AX51/(1+'Invoer gegevens (N)'!$F$13)^($AZ51-('Invoer gegevens (N)'!$C$17-'Invoer gegevens (N)'!$C$16))/(1+'Invoer gegevens (N)'!$C$39)^('Invoer gegevens (N)'!$C$17-'Invoer gegevens (N)'!$C$16)</f>
        <v>0</v>
      </c>
      <c r="AZ51" s="68">
        <f ca="1">IF(E51-'Invoer gegevens (N)'!$C$17-14.5&lt;0,0,E51-'Invoer gegevens (N)'!$C$17-14.5)</f>
        <v>31.5</v>
      </c>
      <c r="BC51" s="71"/>
    </row>
    <row r="52" spans="2:55" s="230" customFormat="1" x14ac:dyDescent="0.25">
      <c r="B52" s="70">
        <f t="shared" si="7"/>
        <v>48</v>
      </c>
      <c r="C52" s="67">
        <f ca="1">IF(E52-'Invoer gegevens (N)'!$C$17&lt;0,0,1)</f>
        <v>1</v>
      </c>
      <c r="D52" s="68">
        <f t="shared" si="8"/>
        <v>47.5</v>
      </c>
      <c r="E52" s="69">
        <f ca="1">IF('Invoer gegevens (N)'!$C$16="","",E51+1)</f>
        <v>2066</v>
      </c>
      <c r="F52" s="82">
        <f ca="1">IF('Invoer gegevens (N)'!$C$17=E52,'Invoer gegevens (N)'!$C$10,IF(C52=1,H51,0))</f>
        <v>0</v>
      </c>
      <c r="G52" s="83">
        <f ca="1">IF(C52&gt;=1,F52*'Reeksen (N)'!C52,0)</f>
        <v>0</v>
      </c>
      <c r="H52" s="84">
        <f t="shared" ca="1" si="1"/>
        <v>0</v>
      </c>
      <c r="I52" s="85">
        <f ca="1">IF('Invoer gegevens (N)'!$C$17=E52,'Invoer gegevens (N)'!$C$11,IF(C52=1,L51,0))</f>
        <v>0</v>
      </c>
      <c r="J52" s="86">
        <f ca="1">IF(C52&lt;1,0,IF('Reeksen (N)'!AD52&lt;='Reeksen (N)'!AE52,I52*'Reeksen (N)'!C52,0))</f>
        <v>0</v>
      </c>
      <c r="K52" s="86">
        <f ca="1">IF(C52&lt;1,0,IF('Reeksen (N)'!AD52&gt;'Reeksen (N)'!AE52,I52*'Reeksen (N)'!C52,0))</f>
        <v>0</v>
      </c>
      <c r="L52" s="86">
        <f t="shared" ca="1" si="2"/>
        <v>0</v>
      </c>
      <c r="M52" s="85">
        <f ca="1">IF('Invoer gegevens (N)'!$C$17=E52,'Invoer gegevens (N)'!$C$10-'Invoer gegevens (N)'!$C$11,IF(C52=1,P51,0))</f>
        <v>0</v>
      </c>
      <c r="N52" s="86">
        <f ca="1">IF(C52&lt;1,0,IF('Reeksen (N)'!AD52&lt;='Reeksen (N)'!AE52,M52*'Reeksen (N)'!C52,0))</f>
        <v>0</v>
      </c>
      <c r="O52" s="86">
        <f ca="1">IF(C52&lt;1,0,IF('Reeksen (N)'!AD52&gt;'Reeksen (N)'!AE52,M52*'Reeksen (N)'!C52,0))</f>
        <v>0</v>
      </c>
      <c r="P52" s="86">
        <f t="shared" ca="1" si="3"/>
        <v>0</v>
      </c>
      <c r="Q52" s="82">
        <f ca="1">IF('Invoer gegevens (N)'!$C$17=E52,I52,IF(C52=0,0,R51))</f>
        <v>0</v>
      </c>
      <c r="R52" s="84">
        <f t="shared" ca="1" si="0"/>
        <v>0</v>
      </c>
      <c r="S52" s="84">
        <f ca="1">IF('Invoer gegevens (N)'!$C$17=E52,M52,IF(C52=0,0,T51))</f>
        <v>0</v>
      </c>
      <c r="T52" s="84">
        <f t="shared" ca="1" si="9"/>
        <v>0</v>
      </c>
      <c r="AI52" s="71">
        <f ca="1">IF(C52=1,((F52+H52)/2*'Reeksen (N)'!AI52*12)+(('Invoer gegevens (N)'!$C$10-(F52+H52)/2)*'Reeksen (N)'!AD52*12),0)</f>
        <v>0</v>
      </c>
      <c r="AJ52" s="71">
        <f ca="1">-AI52*'Invoer gegevens (N)'!$F$28</f>
        <v>0</v>
      </c>
      <c r="AK52" s="71">
        <f t="shared" ca="1" si="4"/>
        <v>0</v>
      </c>
      <c r="AL52" s="71">
        <f ca="1">IF(C52=1,(12*((F52+H52)/2)*'Reeksen (N)'!AL52)+(12*('Invoer gegevens (N)'!$C$10-(F52+H52)/2)*'Reeksen (N)'!AM52),0)</f>
        <v>0</v>
      </c>
      <c r="AM52" s="71">
        <f ca="1">-AL52*'Invoer gegevens (N)'!$F$31</f>
        <v>0</v>
      </c>
      <c r="AN52" s="71">
        <f t="shared" ca="1" si="5"/>
        <v>0</v>
      </c>
      <c r="AO52" s="71"/>
      <c r="AP52" s="71"/>
      <c r="AQ52" s="71">
        <f ca="1">-IF(C52=1,('Invoer gegevens (N)'!$C$10*'Invoer gegevens (N)'!$F$35)*'Reeksen (N)'!J52,0)*2</f>
        <v>0</v>
      </c>
      <c r="AR52" s="71">
        <f ca="1">-IF(C52=1,(G52*'Invoer gegevens (N)'!$F$36)*'Reeksen (N)'!J52,0)</f>
        <v>0</v>
      </c>
      <c r="AS52" s="71">
        <f ca="1">-IF(C52=1,'Invoer gegevens (N)'!$C$10*'Invoer gegevens (N)'!$F$37*'Reeksen (N)'!L52,0)</f>
        <v>0</v>
      </c>
      <c r="AT52" s="71">
        <f ca="1">-IF(C52=1,IF(E52='Invoer gegevens (N)'!$C$17,'Invoer gegevens (N)'!$C$11,Q52)*'Reeksen (N)'!S52*'Invoer gegevens (N)'!$C$18*'Reeksen (N)'!P52,0)</f>
        <v>0</v>
      </c>
      <c r="AU52" s="71">
        <f ca="1">-IF(C52=1,'Invoer gegevens (N)'!$C$10*'Invoer gegevens (N)'!$F$38*'Reeksen (N)'!H52,0)</f>
        <v>0</v>
      </c>
      <c r="AV52" s="71">
        <v>0</v>
      </c>
      <c r="AW52" s="71">
        <f t="shared" ca="1" si="6"/>
        <v>0</v>
      </c>
      <c r="AX52" s="71">
        <f ca="1">IF(E52&lt;'Invoer gegevens (N)'!$C$17+15,0,IF('RW - MW - DE - DE (N)'!E52&gt;'Invoer gegevens (N)'!$C$17+215,0,'RW - MW - DE - DE (N)'!AW52))</f>
        <v>0</v>
      </c>
      <c r="AY52" s="71">
        <f ca="1">AX52/(1+'Invoer gegevens (N)'!$F$13)^($AZ52-('Invoer gegevens (N)'!$C$17-'Invoer gegevens (N)'!$C$16))/(1+'Invoer gegevens (N)'!$C$39)^('Invoer gegevens (N)'!$C$17-'Invoer gegevens (N)'!$C$16)</f>
        <v>0</v>
      </c>
      <c r="AZ52" s="68">
        <f ca="1">IF(E52-'Invoer gegevens (N)'!$C$17-14.5&lt;0,0,E52-'Invoer gegevens (N)'!$C$17-14.5)</f>
        <v>32.5</v>
      </c>
      <c r="BC52" s="71"/>
    </row>
    <row r="53" spans="2:55" s="230" customFormat="1" x14ac:dyDescent="0.25">
      <c r="B53" s="70">
        <f t="shared" si="7"/>
        <v>49</v>
      </c>
      <c r="C53" s="67">
        <f ca="1">IF(E53-'Invoer gegevens (N)'!$C$17&lt;0,0,1)</f>
        <v>1</v>
      </c>
      <c r="D53" s="68">
        <f t="shared" si="8"/>
        <v>48.5</v>
      </c>
      <c r="E53" s="69">
        <f ca="1">IF('Invoer gegevens (N)'!$C$16="","",E52+1)</f>
        <v>2067</v>
      </c>
      <c r="F53" s="82">
        <f ca="1">IF('Invoer gegevens (N)'!$C$17=E53,'Invoer gegevens (N)'!$C$10,IF(C53=1,H52,0))</f>
        <v>0</v>
      </c>
      <c r="G53" s="83">
        <f ca="1">IF(C53&gt;=1,F53*'Reeksen (N)'!C53,0)</f>
        <v>0</v>
      </c>
      <c r="H53" s="84">
        <f t="shared" ca="1" si="1"/>
        <v>0</v>
      </c>
      <c r="I53" s="85">
        <f ca="1">IF('Invoer gegevens (N)'!$C$17=E53,'Invoer gegevens (N)'!$C$11,IF(C53=1,L52,0))</f>
        <v>0</v>
      </c>
      <c r="J53" s="86">
        <f ca="1">IF(C53&lt;1,0,IF('Reeksen (N)'!AD53&lt;='Reeksen (N)'!AE53,I53*'Reeksen (N)'!C53,0))</f>
        <v>0</v>
      </c>
      <c r="K53" s="86">
        <f ca="1">IF(C53&lt;1,0,IF('Reeksen (N)'!AD53&gt;'Reeksen (N)'!AE53,I53*'Reeksen (N)'!C53,0))</f>
        <v>0</v>
      </c>
      <c r="L53" s="86">
        <f t="shared" ca="1" si="2"/>
        <v>0</v>
      </c>
      <c r="M53" s="85">
        <f ca="1">IF('Invoer gegevens (N)'!$C$17=E53,'Invoer gegevens (N)'!$C$10-'Invoer gegevens (N)'!$C$11,IF(C53=1,P52,0))</f>
        <v>0</v>
      </c>
      <c r="N53" s="86">
        <f ca="1">IF(C53&lt;1,0,IF('Reeksen (N)'!AD53&lt;='Reeksen (N)'!AE53,M53*'Reeksen (N)'!C53,0))</f>
        <v>0</v>
      </c>
      <c r="O53" s="86">
        <f ca="1">IF(C53&lt;1,0,IF('Reeksen (N)'!AD53&gt;'Reeksen (N)'!AE53,M53*'Reeksen (N)'!C53,0))</f>
        <v>0</v>
      </c>
      <c r="P53" s="86">
        <f t="shared" ca="1" si="3"/>
        <v>0</v>
      </c>
      <c r="Q53" s="82">
        <f ca="1">IF('Invoer gegevens (N)'!$C$17=E53,I53,IF(C53=0,0,R52))</f>
        <v>0</v>
      </c>
      <c r="R53" s="84">
        <f t="shared" ca="1" si="0"/>
        <v>0</v>
      </c>
      <c r="S53" s="84">
        <f ca="1">IF('Invoer gegevens (N)'!$C$17=E53,M53,IF(C53=0,0,T52))</f>
        <v>0</v>
      </c>
      <c r="T53" s="84">
        <f t="shared" ca="1" si="9"/>
        <v>0</v>
      </c>
      <c r="AI53" s="71">
        <f ca="1">IF(C53=1,((F53+H53)/2*'Reeksen (N)'!AI53*12)+(('Invoer gegevens (N)'!$C$10-(F53+H53)/2)*'Reeksen (N)'!AD53*12),0)</f>
        <v>0</v>
      </c>
      <c r="AJ53" s="71">
        <f ca="1">-AI53*'Invoer gegevens (N)'!$F$28</f>
        <v>0</v>
      </c>
      <c r="AK53" s="71">
        <f t="shared" ca="1" si="4"/>
        <v>0</v>
      </c>
      <c r="AL53" s="71">
        <f ca="1">IF(C53=1,(12*((F53+H53)/2)*'Reeksen (N)'!AL53)+(12*('Invoer gegevens (N)'!$C$10-(F53+H53)/2)*'Reeksen (N)'!AM53),0)</f>
        <v>0</v>
      </c>
      <c r="AM53" s="71">
        <f ca="1">-AL53*'Invoer gegevens (N)'!$F$31</f>
        <v>0</v>
      </c>
      <c r="AN53" s="71">
        <f t="shared" ca="1" si="5"/>
        <v>0</v>
      </c>
      <c r="AO53" s="71"/>
      <c r="AP53" s="71"/>
      <c r="AQ53" s="71">
        <f ca="1">-IF(C53=1,('Invoer gegevens (N)'!$C$10*'Invoer gegevens (N)'!$F$35)*'Reeksen (N)'!J53,0)*2</f>
        <v>0</v>
      </c>
      <c r="AR53" s="71">
        <f ca="1">-IF(C53=1,(G53*'Invoer gegevens (N)'!$F$36)*'Reeksen (N)'!J53,0)</f>
        <v>0</v>
      </c>
      <c r="AS53" s="71">
        <f ca="1">-IF(C53=1,'Invoer gegevens (N)'!$C$10*'Invoer gegevens (N)'!$F$37*'Reeksen (N)'!L53,0)</f>
        <v>0</v>
      </c>
      <c r="AT53" s="71">
        <f ca="1">-IF(C53=1,IF(E53='Invoer gegevens (N)'!$C$17,'Invoer gegevens (N)'!$C$11,Q53)*'Reeksen (N)'!S53*'Invoer gegevens (N)'!$C$18*'Reeksen (N)'!P53,0)</f>
        <v>0</v>
      </c>
      <c r="AU53" s="71">
        <f ca="1">-IF(C53=1,'Invoer gegevens (N)'!$C$10*'Invoer gegevens (N)'!$F$38*'Reeksen (N)'!H53,0)</f>
        <v>0</v>
      </c>
      <c r="AV53" s="71">
        <v>0</v>
      </c>
      <c r="AW53" s="71">
        <f t="shared" ca="1" si="6"/>
        <v>0</v>
      </c>
      <c r="AX53" s="71">
        <f ca="1">IF(E53&lt;'Invoer gegevens (N)'!$C$17+15,0,IF('RW - MW - DE - DE (N)'!E53&gt;'Invoer gegevens (N)'!$C$17+215,0,'RW - MW - DE - DE (N)'!AW53))</f>
        <v>0</v>
      </c>
      <c r="AY53" s="71">
        <f ca="1">AX53/(1+'Invoer gegevens (N)'!$F$13)^($AZ53-('Invoer gegevens (N)'!$C$17-'Invoer gegevens (N)'!$C$16))/(1+'Invoer gegevens (N)'!$C$39)^('Invoer gegevens (N)'!$C$17-'Invoer gegevens (N)'!$C$16)</f>
        <v>0</v>
      </c>
      <c r="AZ53" s="68">
        <f ca="1">IF(E53-'Invoer gegevens (N)'!$C$17-14.5&lt;0,0,E53-'Invoer gegevens (N)'!$C$17-14.5)</f>
        <v>33.5</v>
      </c>
      <c r="BC53" s="71"/>
    </row>
    <row r="54" spans="2:55" s="230" customFormat="1" x14ac:dyDescent="0.25">
      <c r="B54" s="70">
        <f t="shared" si="7"/>
        <v>50</v>
      </c>
      <c r="C54" s="67">
        <f ca="1">IF(E54-'Invoer gegevens (N)'!$C$17&lt;0,0,1)</f>
        <v>1</v>
      </c>
      <c r="D54" s="68">
        <f t="shared" si="8"/>
        <v>49.5</v>
      </c>
      <c r="E54" s="69">
        <f ca="1">IF('Invoer gegevens (N)'!$C$16="","",E53+1)</f>
        <v>2068</v>
      </c>
      <c r="F54" s="82">
        <f ca="1">IF('Invoer gegevens (N)'!$C$17=E54,'Invoer gegevens (N)'!$C$10,IF(C54=1,H53,0))</f>
        <v>0</v>
      </c>
      <c r="G54" s="83">
        <f ca="1">IF(C54&gt;=1,F54*'Reeksen (N)'!C54,0)</f>
        <v>0</v>
      </c>
      <c r="H54" s="84">
        <f t="shared" ca="1" si="1"/>
        <v>0</v>
      </c>
      <c r="I54" s="85">
        <f ca="1">IF('Invoer gegevens (N)'!$C$17=E54,'Invoer gegevens (N)'!$C$11,IF(C54=1,L53,0))</f>
        <v>0</v>
      </c>
      <c r="J54" s="86">
        <f ca="1">IF(C54&lt;1,0,IF('Reeksen (N)'!AD54&lt;='Reeksen (N)'!AE54,I54*'Reeksen (N)'!C54,0))</f>
        <v>0</v>
      </c>
      <c r="K54" s="86">
        <f ca="1">IF(C54&lt;1,0,IF('Reeksen (N)'!AD54&gt;'Reeksen (N)'!AE54,I54*'Reeksen (N)'!C54,0))</f>
        <v>0</v>
      </c>
      <c r="L54" s="86">
        <f t="shared" ca="1" si="2"/>
        <v>0</v>
      </c>
      <c r="M54" s="85">
        <f ca="1">IF('Invoer gegevens (N)'!$C$17=E54,'Invoer gegevens (N)'!$C$10-'Invoer gegevens (N)'!$C$11,IF(C54=1,P53,0))</f>
        <v>0</v>
      </c>
      <c r="N54" s="86">
        <f ca="1">IF(C54&lt;1,0,IF('Reeksen (N)'!AD54&lt;='Reeksen (N)'!AE54,M54*'Reeksen (N)'!C54,0))</f>
        <v>0</v>
      </c>
      <c r="O54" s="86">
        <f ca="1">IF(C54&lt;1,0,IF('Reeksen (N)'!AD54&gt;'Reeksen (N)'!AE54,M54*'Reeksen (N)'!C54,0))</f>
        <v>0</v>
      </c>
      <c r="P54" s="86">
        <f t="shared" ca="1" si="3"/>
        <v>0</v>
      </c>
      <c r="Q54" s="82">
        <f ca="1">IF('Invoer gegevens (N)'!$C$17=E54,I54,IF(C54=0,0,R53))</f>
        <v>0</v>
      </c>
      <c r="R54" s="84">
        <f t="shared" ca="1" si="0"/>
        <v>0</v>
      </c>
      <c r="S54" s="84">
        <f ca="1">IF('Invoer gegevens (N)'!$C$17=E54,M54,IF(C54=0,0,T53))</f>
        <v>0</v>
      </c>
      <c r="T54" s="84">
        <f t="shared" ca="1" si="9"/>
        <v>0</v>
      </c>
      <c r="AI54" s="71">
        <f ca="1">IF(C54=1,((F54+H54)/2*'Reeksen (N)'!AI54*12)+(('Invoer gegevens (N)'!$C$10-(F54+H54)/2)*'Reeksen (N)'!AD54*12),0)</f>
        <v>0</v>
      </c>
      <c r="AJ54" s="71">
        <f ca="1">-AI54*'Invoer gegevens (N)'!$F$28</f>
        <v>0</v>
      </c>
      <c r="AK54" s="71">
        <f t="shared" ca="1" si="4"/>
        <v>0</v>
      </c>
      <c r="AL54" s="71">
        <f ca="1">IF(C54=1,(12*((F54+H54)/2)*'Reeksen (N)'!AL54)+(12*('Invoer gegevens (N)'!$C$10-(F54+H54)/2)*'Reeksen (N)'!AM54),0)</f>
        <v>0</v>
      </c>
      <c r="AM54" s="71">
        <f ca="1">-AL54*'Invoer gegevens (N)'!$F$31</f>
        <v>0</v>
      </c>
      <c r="AN54" s="71">
        <f t="shared" ca="1" si="5"/>
        <v>0</v>
      </c>
      <c r="AO54" s="71"/>
      <c r="AP54" s="71"/>
      <c r="AQ54" s="71">
        <f ca="1">-IF(C54=1,('Invoer gegevens (N)'!$C$10*'Invoer gegevens (N)'!$F$35)*'Reeksen (N)'!J54,0)*2</f>
        <v>0</v>
      </c>
      <c r="AR54" s="71">
        <f ca="1">-IF(C54=1,(G54*'Invoer gegevens (N)'!$F$36)*'Reeksen (N)'!J54,0)</f>
        <v>0</v>
      </c>
      <c r="AS54" s="71">
        <f ca="1">-IF(C54=1,'Invoer gegevens (N)'!$C$10*'Invoer gegevens (N)'!$F$37*'Reeksen (N)'!L54,0)</f>
        <v>0</v>
      </c>
      <c r="AT54" s="71">
        <f ca="1">-IF(C54=1,IF(E54='Invoer gegevens (N)'!$C$17,'Invoer gegevens (N)'!$C$11,Q54)*'Reeksen (N)'!S54*'Invoer gegevens (N)'!$C$18*'Reeksen (N)'!P54,0)</f>
        <v>0</v>
      </c>
      <c r="AU54" s="71">
        <f ca="1">-IF(C54=1,'Invoer gegevens (N)'!$C$10*'Invoer gegevens (N)'!$F$38*'Reeksen (N)'!H54,0)</f>
        <v>0</v>
      </c>
      <c r="AV54" s="71">
        <v>0</v>
      </c>
      <c r="AW54" s="71">
        <f t="shared" ca="1" si="6"/>
        <v>0</v>
      </c>
      <c r="AX54" s="71">
        <f ca="1">IF(E54&lt;'Invoer gegevens (N)'!$C$17+15,0,IF('RW - MW - DE - DE (N)'!E54&gt;'Invoer gegevens (N)'!$C$17+215,0,'RW - MW - DE - DE (N)'!AW54))</f>
        <v>0</v>
      </c>
      <c r="AY54" s="71">
        <f ca="1">AX54/(1+'Invoer gegevens (N)'!$F$13)^($AZ54-('Invoer gegevens (N)'!$C$17-'Invoer gegevens (N)'!$C$16))/(1+'Invoer gegevens (N)'!$C$39)^('Invoer gegevens (N)'!$C$17-'Invoer gegevens (N)'!$C$16)</f>
        <v>0</v>
      </c>
      <c r="AZ54" s="68">
        <f ca="1">IF(E54-'Invoer gegevens (N)'!$C$17-14.5&lt;0,0,E54-'Invoer gegevens (N)'!$C$17-14.5)</f>
        <v>34.5</v>
      </c>
      <c r="BC54" s="71"/>
    </row>
    <row r="55" spans="2:55" s="230" customFormat="1" x14ac:dyDescent="0.25">
      <c r="B55" s="70">
        <f t="shared" si="7"/>
        <v>51</v>
      </c>
      <c r="C55" s="67">
        <f ca="1">IF(E55-'Invoer gegevens (N)'!$C$17&lt;0,0,1)</f>
        <v>1</v>
      </c>
      <c r="D55" s="68">
        <f t="shared" si="8"/>
        <v>50.5</v>
      </c>
      <c r="E55" s="69">
        <f ca="1">IF('Invoer gegevens (N)'!$C$16="","",E54+1)</f>
        <v>2069</v>
      </c>
      <c r="F55" s="82">
        <f ca="1">IF('Invoer gegevens (N)'!$C$17=E55,'Invoer gegevens (N)'!$C$10,IF(C55=1,H54,0))</f>
        <v>0</v>
      </c>
      <c r="G55" s="83">
        <f ca="1">IF(C55&gt;=1,F55*'Reeksen (N)'!C55,0)</f>
        <v>0</v>
      </c>
      <c r="H55" s="84">
        <f t="shared" ca="1" si="1"/>
        <v>0</v>
      </c>
      <c r="I55" s="85">
        <f ca="1">IF('Invoer gegevens (N)'!$C$17=E55,'Invoer gegevens (N)'!$C$11,IF(C55=1,L54,0))</f>
        <v>0</v>
      </c>
      <c r="J55" s="86">
        <f ca="1">IF(C55&lt;1,0,IF('Reeksen (N)'!AD55&lt;='Reeksen (N)'!AE55,I55*'Reeksen (N)'!C55,0))</f>
        <v>0</v>
      </c>
      <c r="K55" s="86">
        <f ca="1">IF(C55&lt;1,0,IF('Reeksen (N)'!AD55&gt;'Reeksen (N)'!AE55,I55*'Reeksen (N)'!C55,0))</f>
        <v>0</v>
      </c>
      <c r="L55" s="86">
        <f t="shared" ca="1" si="2"/>
        <v>0</v>
      </c>
      <c r="M55" s="85">
        <f ca="1">IF('Invoer gegevens (N)'!$C$17=E55,'Invoer gegevens (N)'!$C$10-'Invoer gegevens (N)'!$C$11,IF(C55=1,P54,0))</f>
        <v>0</v>
      </c>
      <c r="N55" s="86">
        <f ca="1">IF(C55&lt;1,0,IF('Reeksen (N)'!AD55&lt;='Reeksen (N)'!AE55,M55*'Reeksen (N)'!C55,0))</f>
        <v>0</v>
      </c>
      <c r="O55" s="86">
        <f ca="1">IF(C55&lt;1,0,IF('Reeksen (N)'!AD55&gt;'Reeksen (N)'!AE55,M55*'Reeksen (N)'!C55,0))</f>
        <v>0</v>
      </c>
      <c r="P55" s="86">
        <f t="shared" ca="1" si="3"/>
        <v>0</v>
      </c>
      <c r="Q55" s="82">
        <f ca="1">IF('Invoer gegevens (N)'!$C$17=E55,I55,IF(C55=0,0,R54))</f>
        <v>0</v>
      </c>
      <c r="R55" s="84">
        <f t="shared" ca="1" si="0"/>
        <v>0</v>
      </c>
      <c r="S55" s="84">
        <f ca="1">IF('Invoer gegevens (N)'!$C$17=E55,M55,IF(C55=0,0,T54))</f>
        <v>0</v>
      </c>
      <c r="T55" s="84">
        <f t="shared" ca="1" si="9"/>
        <v>0</v>
      </c>
      <c r="AI55" s="71">
        <f ca="1">IF(C55=1,((F55+H55)/2*'Reeksen (N)'!AI55*12)+(('Invoer gegevens (N)'!$C$10-(F55+H55)/2)*'Reeksen (N)'!AD55*12),0)</f>
        <v>0</v>
      </c>
      <c r="AJ55" s="71">
        <f ca="1">-AI55*'Invoer gegevens (N)'!$F$28</f>
        <v>0</v>
      </c>
      <c r="AK55" s="71">
        <f t="shared" ca="1" si="4"/>
        <v>0</v>
      </c>
      <c r="AL55" s="71">
        <f ca="1">IF(C55=1,(12*((F55+H55)/2)*'Reeksen (N)'!AL55)+(12*('Invoer gegevens (N)'!$C$10-(F55+H55)/2)*'Reeksen (N)'!AM55),0)</f>
        <v>0</v>
      </c>
      <c r="AM55" s="71">
        <f ca="1">-AL55*'Invoer gegevens (N)'!$F$31</f>
        <v>0</v>
      </c>
      <c r="AN55" s="71">
        <f t="shared" ca="1" si="5"/>
        <v>0</v>
      </c>
      <c r="AO55" s="71"/>
      <c r="AP55" s="71"/>
      <c r="AQ55" s="71">
        <f ca="1">-IF(C55=1,('Invoer gegevens (N)'!$C$10*'Invoer gegevens (N)'!$F$35)*'Reeksen (N)'!J55,0)*2</f>
        <v>0</v>
      </c>
      <c r="AR55" s="71">
        <f ca="1">-IF(C55=1,(G55*'Invoer gegevens (N)'!$F$36)*'Reeksen (N)'!J55,0)</f>
        <v>0</v>
      </c>
      <c r="AS55" s="71">
        <f ca="1">-IF(C55=1,'Invoer gegevens (N)'!$C$10*'Invoer gegevens (N)'!$F$37*'Reeksen (N)'!L55,0)</f>
        <v>0</v>
      </c>
      <c r="AT55" s="71">
        <f ca="1">-IF(C55=1,IF(E55='Invoer gegevens (N)'!$C$17,'Invoer gegevens (N)'!$C$11,Q55)*'Reeksen (N)'!S55*'Invoer gegevens (N)'!$C$18*'Reeksen (N)'!P55,0)</f>
        <v>0</v>
      </c>
      <c r="AU55" s="71">
        <f ca="1">-IF(C55=1,'Invoer gegevens (N)'!$C$10*'Invoer gegevens (N)'!$F$38*'Reeksen (N)'!H55,0)</f>
        <v>0</v>
      </c>
      <c r="AV55" s="71">
        <v>0</v>
      </c>
      <c r="AW55" s="71">
        <f t="shared" ca="1" si="6"/>
        <v>0</v>
      </c>
      <c r="AX55" s="71">
        <f ca="1">IF(E55&lt;'Invoer gegevens (N)'!$C$17+15,0,IF('RW - MW - DE - DE (N)'!E55&gt;'Invoer gegevens (N)'!$C$17+215,0,'RW - MW - DE - DE (N)'!AW55))</f>
        <v>0</v>
      </c>
      <c r="AY55" s="71">
        <f ca="1">AX55/(1+'Invoer gegevens (N)'!$F$13)^($AZ55-('Invoer gegevens (N)'!$C$17-'Invoer gegevens (N)'!$C$16))/(1+'Invoer gegevens (N)'!$C$39)^('Invoer gegevens (N)'!$C$17-'Invoer gegevens (N)'!$C$16)</f>
        <v>0</v>
      </c>
      <c r="AZ55" s="68">
        <f ca="1">IF(E55-'Invoer gegevens (N)'!$C$17-14.5&lt;0,0,E55-'Invoer gegevens (N)'!$C$17-14.5)</f>
        <v>35.5</v>
      </c>
      <c r="BC55" s="71"/>
    </row>
    <row r="56" spans="2:55" s="230" customFormat="1" x14ac:dyDescent="0.25">
      <c r="B56" s="70">
        <f t="shared" si="7"/>
        <v>52</v>
      </c>
      <c r="C56" s="67">
        <f ca="1">IF(E56-'Invoer gegevens (N)'!$C$17&lt;0,0,1)</f>
        <v>1</v>
      </c>
      <c r="D56" s="68">
        <f t="shared" si="8"/>
        <v>51.5</v>
      </c>
      <c r="E56" s="69">
        <f ca="1">IF('Invoer gegevens (N)'!$C$16="","",E55+1)</f>
        <v>2070</v>
      </c>
      <c r="F56" s="82">
        <f ca="1">IF('Invoer gegevens (N)'!$C$17=E56,'Invoer gegevens (N)'!$C$10,IF(C56=1,H55,0))</f>
        <v>0</v>
      </c>
      <c r="G56" s="83">
        <f ca="1">IF(C56&gt;=1,F56*'Reeksen (N)'!C56,0)</f>
        <v>0</v>
      </c>
      <c r="H56" s="84">
        <f t="shared" ca="1" si="1"/>
        <v>0</v>
      </c>
      <c r="I56" s="85">
        <f ca="1">IF('Invoer gegevens (N)'!$C$17=E56,'Invoer gegevens (N)'!$C$11,IF(C56=1,L55,0))</f>
        <v>0</v>
      </c>
      <c r="J56" s="86">
        <f ca="1">IF(C56&lt;1,0,IF('Reeksen (N)'!AD56&lt;='Reeksen (N)'!AE56,I56*'Reeksen (N)'!C56,0))</f>
        <v>0</v>
      </c>
      <c r="K56" s="86">
        <f ca="1">IF(C56&lt;1,0,IF('Reeksen (N)'!AD56&gt;'Reeksen (N)'!AE56,I56*'Reeksen (N)'!C56,0))</f>
        <v>0</v>
      </c>
      <c r="L56" s="86">
        <f t="shared" ca="1" si="2"/>
        <v>0</v>
      </c>
      <c r="M56" s="85">
        <f ca="1">IF('Invoer gegevens (N)'!$C$17=E56,'Invoer gegevens (N)'!$C$10-'Invoer gegevens (N)'!$C$11,IF(C56=1,P55,0))</f>
        <v>0</v>
      </c>
      <c r="N56" s="86">
        <f ca="1">IF(C56&lt;1,0,IF('Reeksen (N)'!AD56&lt;='Reeksen (N)'!AE56,M56*'Reeksen (N)'!C56,0))</f>
        <v>0</v>
      </c>
      <c r="O56" s="86">
        <f ca="1">IF(C56&lt;1,0,IF('Reeksen (N)'!AD56&gt;'Reeksen (N)'!AE56,M56*'Reeksen (N)'!C56,0))</f>
        <v>0</v>
      </c>
      <c r="P56" s="86">
        <f t="shared" ca="1" si="3"/>
        <v>0</v>
      </c>
      <c r="Q56" s="82">
        <f ca="1">IF('Invoer gegevens (N)'!$C$17=E56,I56,IF(C56=0,0,R55))</f>
        <v>0</v>
      </c>
      <c r="R56" s="84">
        <f t="shared" ca="1" si="0"/>
        <v>0</v>
      </c>
      <c r="S56" s="84">
        <f ca="1">IF('Invoer gegevens (N)'!$C$17=E56,M56,IF(C56=0,0,T55))</f>
        <v>0</v>
      </c>
      <c r="T56" s="84">
        <f t="shared" ca="1" si="9"/>
        <v>0</v>
      </c>
      <c r="AI56" s="71">
        <f ca="1">IF(C56=1,((F56+H56)/2*'Reeksen (N)'!AI56*12)+(('Invoer gegevens (N)'!$C$10-(F56+H56)/2)*'Reeksen (N)'!AD56*12),0)</f>
        <v>0</v>
      </c>
      <c r="AJ56" s="71">
        <f ca="1">-AI56*'Invoer gegevens (N)'!$F$28</f>
        <v>0</v>
      </c>
      <c r="AK56" s="71">
        <f t="shared" ca="1" si="4"/>
        <v>0</v>
      </c>
      <c r="AL56" s="71">
        <f ca="1">IF(C56=1,(12*((F56+H56)/2)*'Reeksen (N)'!AL56)+(12*('Invoer gegevens (N)'!$C$10-(F56+H56)/2)*'Reeksen (N)'!AM56),0)</f>
        <v>0</v>
      </c>
      <c r="AM56" s="71">
        <f ca="1">-AL56*'Invoer gegevens (N)'!$F$31</f>
        <v>0</v>
      </c>
      <c r="AN56" s="71">
        <f t="shared" ca="1" si="5"/>
        <v>0</v>
      </c>
      <c r="AO56" s="71"/>
      <c r="AP56" s="71"/>
      <c r="AQ56" s="71">
        <f ca="1">-IF(C56=1,('Invoer gegevens (N)'!$C$10*'Invoer gegevens (N)'!$F$35)*'Reeksen (N)'!J56,0)*2</f>
        <v>0</v>
      </c>
      <c r="AR56" s="71">
        <f ca="1">-IF(C56=1,(G56*'Invoer gegevens (N)'!$F$36)*'Reeksen (N)'!J56,0)</f>
        <v>0</v>
      </c>
      <c r="AS56" s="71">
        <f ca="1">-IF(C56=1,'Invoer gegevens (N)'!$C$10*'Invoer gegevens (N)'!$F$37*'Reeksen (N)'!L56,0)</f>
        <v>0</v>
      </c>
      <c r="AT56" s="71">
        <f ca="1">-IF(C56=1,IF(E56='Invoer gegevens (N)'!$C$17,'Invoer gegevens (N)'!$C$11,Q56)*'Reeksen (N)'!S56*'Invoer gegevens (N)'!$C$18*'Reeksen (N)'!P56,0)</f>
        <v>0</v>
      </c>
      <c r="AU56" s="71">
        <f ca="1">-IF(C56=1,'Invoer gegevens (N)'!$C$10*'Invoer gegevens (N)'!$F$38*'Reeksen (N)'!H56,0)</f>
        <v>0</v>
      </c>
      <c r="AV56" s="71">
        <v>0</v>
      </c>
      <c r="AW56" s="71">
        <f t="shared" ca="1" si="6"/>
        <v>0</v>
      </c>
      <c r="AX56" s="71">
        <f ca="1">IF(E56&lt;'Invoer gegevens (N)'!$C$17+15,0,IF('RW - MW - DE - DE (N)'!E56&gt;'Invoer gegevens (N)'!$C$17+215,0,'RW - MW - DE - DE (N)'!AW56))</f>
        <v>0</v>
      </c>
      <c r="AY56" s="71">
        <f ca="1">AX56/(1+'Invoer gegevens (N)'!$F$13)^($AZ56-('Invoer gegevens (N)'!$C$17-'Invoer gegevens (N)'!$C$16))/(1+'Invoer gegevens (N)'!$C$39)^('Invoer gegevens (N)'!$C$17-'Invoer gegevens (N)'!$C$16)</f>
        <v>0</v>
      </c>
      <c r="AZ56" s="68">
        <f ca="1">IF(E56-'Invoer gegevens (N)'!$C$17-14.5&lt;0,0,E56-'Invoer gegevens (N)'!$C$17-14.5)</f>
        <v>36.5</v>
      </c>
      <c r="BC56" s="71"/>
    </row>
    <row r="57" spans="2:55" s="230" customFormat="1" x14ac:dyDescent="0.25">
      <c r="B57" s="70">
        <f t="shared" si="7"/>
        <v>53</v>
      </c>
      <c r="C57" s="67">
        <f ca="1">IF(E57-'Invoer gegevens (N)'!$C$17&lt;0,0,1)</f>
        <v>1</v>
      </c>
      <c r="D57" s="68">
        <f t="shared" si="8"/>
        <v>52.5</v>
      </c>
      <c r="E57" s="69">
        <f ca="1">IF('Invoer gegevens (N)'!$C$16="","",E56+1)</f>
        <v>2071</v>
      </c>
      <c r="F57" s="82">
        <f ca="1">IF('Invoer gegevens (N)'!$C$17=E57,'Invoer gegevens (N)'!$C$10,IF(C57=1,H56,0))</f>
        <v>0</v>
      </c>
      <c r="G57" s="83">
        <f ca="1">IF(C57&gt;=1,F57*'Reeksen (N)'!C57,0)</f>
        <v>0</v>
      </c>
      <c r="H57" s="84">
        <f t="shared" ca="1" si="1"/>
        <v>0</v>
      </c>
      <c r="I57" s="85">
        <f ca="1">IF('Invoer gegevens (N)'!$C$17=E57,'Invoer gegevens (N)'!$C$11,IF(C57=1,L56,0))</f>
        <v>0</v>
      </c>
      <c r="J57" s="86">
        <f ca="1">IF(C57&lt;1,0,IF('Reeksen (N)'!AD57&lt;='Reeksen (N)'!AE57,I57*'Reeksen (N)'!C57,0))</f>
        <v>0</v>
      </c>
      <c r="K57" s="86">
        <f ca="1">IF(C57&lt;1,0,IF('Reeksen (N)'!AD57&gt;'Reeksen (N)'!AE57,I57*'Reeksen (N)'!C57,0))</f>
        <v>0</v>
      </c>
      <c r="L57" s="86">
        <f t="shared" ca="1" si="2"/>
        <v>0</v>
      </c>
      <c r="M57" s="85">
        <f ca="1">IF('Invoer gegevens (N)'!$C$17=E57,'Invoer gegevens (N)'!$C$10-'Invoer gegevens (N)'!$C$11,IF(C57=1,P56,0))</f>
        <v>0</v>
      </c>
      <c r="N57" s="86">
        <f ca="1">IF(C57&lt;1,0,IF('Reeksen (N)'!AD57&lt;='Reeksen (N)'!AE57,M57*'Reeksen (N)'!C57,0))</f>
        <v>0</v>
      </c>
      <c r="O57" s="86">
        <f ca="1">IF(C57&lt;1,0,IF('Reeksen (N)'!AD57&gt;'Reeksen (N)'!AE57,M57*'Reeksen (N)'!C57,0))</f>
        <v>0</v>
      </c>
      <c r="P57" s="86">
        <f t="shared" ca="1" si="3"/>
        <v>0</v>
      </c>
      <c r="Q57" s="82">
        <f ca="1">IF('Invoer gegevens (N)'!$C$17=E57,I57,IF(C57=0,0,R56))</f>
        <v>0</v>
      </c>
      <c r="R57" s="84">
        <f t="shared" ca="1" si="0"/>
        <v>0</v>
      </c>
      <c r="S57" s="84">
        <f ca="1">IF('Invoer gegevens (N)'!$C$17=E57,M57,IF(C57=0,0,T56))</f>
        <v>0</v>
      </c>
      <c r="T57" s="84">
        <f t="shared" ca="1" si="9"/>
        <v>0</v>
      </c>
      <c r="AI57" s="71">
        <f ca="1">IF(C57=1,((F57+H57)/2*'Reeksen (N)'!AI57*12)+(('Invoer gegevens (N)'!$C$10-(F57+H57)/2)*'Reeksen (N)'!AD57*12),0)</f>
        <v>0</v>
      </c>
      <c r="AJ57" s="71">
        <f ca="1">-AI57*'Invoer gegevens (N)'!$F$28</f>
        <v>0</v>
      </c>
      <c r="AK57" s="71">
        <f t="shared" ca="1" si="4"/>
        <v>0</v>
      </c>
      <c r="AL57" s="71">
        <f ca="1">IF(C57=1,(12*((F57+H57)/2)*'Reeksen (N)'!AL57)+(12*('Invoer gegevens (N)'!$C$10-(F57+H57)/2)*'Reeksen (N)'!AM57),0)</f>
        <v>0</v>
      </c>
      <c r="AM57" s="71">
        <f ca="1">-AL57*'Invoer gegevens (N)'!$F$31</f>
        <v>0</v>
      </c>
      <c r="AN57" s="71">
        <f t="shared" ca="1" si="5"/>
        <v>0</v>
      </c>
      <c r="AO57" s="71"/>
      <c r="AP57" s="71"/>
      <c r="AQ57" s="71">
        <f ca="1">-IF(C57=1,('Invoer gegevens (N)'!$C$10*'Invoer gegevens (N)'!$F$35)*'Reeksen (N)'!J57,0)*2</f>
        <v>0</v>
      </c>
      <c r="AR57" s="71">
        <f ca="1">-IF(C57=1,(G57*'Invoer gegevens (N)'!$F$36)*'Reeksen (N)'!J57,0)</f>
        <v>0</v>
      </c>
      <c r="AS57" s="71">
        <f ca="1">-IF(C57=1,'Invoer gegevens (N)'!$C$10*'Invoer gegevens (N)'!$F$37*'Reeksen (N)'!L57,0)</f>
        <v>0</v>
      </c>
      <c r="AT57" s="71">
        <f ca="1">-IF(C57=1,IF(E57='Invoer gegevens (N)'!$C$17,'Invoer gegevens (N)'!$C$11,Q57)*'Reeksen (N)'!S57*'Invoer gegevens (N)'!$C$18*'Reeksen (N)'!P57,0)</f>
        <v>0</v>
      </c>
      <c r="AU57" s="71">
        <f ca="1">-IF(C57=1,'Invoer gegevens (N)'!$C$10*'Invoer gegevens (N)'!$F$38*'Reeksen (N)'!H57,0)</f>
        <v>0</v>
      </c>
      <c r="AV57" s="71">
        <v>0</v>
      </c>
      <c r="AW57" s="71">
        <f t="shared" ca="1" si="6"/>
        <v>0</v>
      </c>
      <c r="AX57" s="71">
        <f ca="1">IF(E57&lt;'Invoer gegevens (N)'!$C$17+15,0,IF('RW - MW - DE - DE (N)'!E57&gt;'Invoer gegevens (N)'!$C$17+215,0,'RW - MW - DE - DE (N)'!AW57))</f>
        <v>0</v>
      </c>
      <c r="AY57" s="71">
        <f ca="1">AX57/(1+'Invoer gegevens (N)'!$F$13)^($AZ57-('Invoer gegevens (N)'!$C$17-'Invoer gegevens (N)'!$C$16))/(1+'Invoer gegevens (N)'!$C$39)^('Invoer gegevens (N)'!$C$17-'Invoer gegevens (N)'!$C$16)</f>
        <v>0</v>
      </c>
      <c r="AZ57" s="68">
        <f ca="1">IF(E57-'Invoer gegevens (N)'!$C$17-14.5&lt;0,0,E57-'Invoer gegevens (N)'!$C$17-14.5)</f>
        <v>37.5</v>
      </c>
      <c r="BC57" s="71"/>
    </row>
    <row r="58" spans="2:55" s="230" customFormat="1" x14ac:dyDescent="0.25">
      <c r="B58" s="70">
        <f t="shared" si="7"/>
        <v>54</v>
      </c>
      <c r="C58" s="67">
        <f ca="1">IF(E58-'Invoer gegevens (N)'!$C$17&lt;0,0,1)</f>
        <v>1</v>
      </c>
      <c r="D58" s="68">
        <f t="shared" si="8"/>
        <v>53.5</v>
      </c>
      <c r="E58" s="69">
        <f ca="1">IF('Invoer gegevens (N)'!$C$16="","",E57+1)</f>
        <v>2072</v>
      </c>
      <c r="F58" s="82">
        <f ca="1">IF('Invoer gegevens (N)'!$C$17=E58,'Invoer gegevens (N)'!$C$10,IF(C58=1,H57,0))</f>
        <v>0</v>
      </c>
      <c r="G58" s="83">
        <f ca="1">IF(C58&gt;=1,F58*'Reeksen (N)'!C58,0)</f>
        <v>0</v>
      </c>
      <c r="H58" s="84">
        <f t="shared" ca="1" si="1"/>
        <v>0</v>
      </c>
      <c r="I58" s="85">
        <f ca="1">IF('Invoer gegevens (N)'!$C$17=E58,'Invoer gegevens (N)'!$C$11,IF(C58=1,L57,0))</f>
        <v>0</v>
      </c>
      <c r="J58" s="86">
        <f ca="1">IF(C58&lt;1,0,IF('Reeksen (N)'!AD58&lt;='Reeksen (N)'!AE58,I58*'Reeksen (N)'!C58,0))</f>
        <v>0</v>
      </c>
      <c r="K58" s="86">
        <f ca="1">IF(C58&lt;1,0,IF('Reeksen (N)'!AD58&gt;'Reeksen (N)'!AE58,I58*'Reeksen (N)'!C58,0))</f>
        <v>0</v>
      </c>
      <c r="L58" s="86">
        <f t="shared" ca="1" si="2"/>
        <v>0</v>
      </c>
      <c r="M58" s="85">
        <f ca="1">IF('Invoer gegevens (N)'!$C$17=E58,'Invoer gegevens (N)'!$C$10-'Invoer gegevens (N)'!$C$11,IF(C58=1,P57,0))</f>
        <v>0</v>
      </c>
      <c r="N58" s="86">
        <f ca="1">IF(C58&lt;1,0,IF('Reeksen (N)'!AD58&lt;='Reeksen (N)'!AE58,M58*'Reeksen (N)'!C58,0))</f>
        <v>0</v>
      </c>
      <c r="O58" s="86">
        <f ca="1">IF(C58&lt;1,0,IF('Reeksen (N)'!AD58&gt;'Reeksen (N)'!AE58,M58*'Reeksen (N)'!C58,0))</f>
        <v>0</v>
      </c>
      <c r="P58" s="86">
        <f t="shared" ca="1" si="3"/>
        <v>0</v>
      </c>
      <c r="Q58" s="82">
        <f ca="1">IF('Invoer gegevens (N)'!$C$17=E58,I58,IF(C58=0,0,R57))</f>
        <v>0</v>
      </c>
      <c r="R58" s="84">
        <f t="shared" ca="1" si="0"/>
        <v>0</v>
      </c>
      <c r="S58" s="84">
        <f ca="1">IF('Invoer gegevens (N)'!$C$17=E58,M58,IF(C58=0,0,T57))</f>
        <v>0</v>
      </c>
      <c r="T58" s="84">
        <f t="shared" ca="1" si="9"/>
        <v>0</v>
      </c>
      <c r="AI58" s="71">
        <f ca="1">IF(C58=1,((F58+H58)/2*'Reeksen (N)'!AI58*12)+(('Invoer gegevens (N)'!$C$10-(F58+H58)/2)*'Reeksen (N)'!AD58*12),0)</f>
        <v>0</v>
      </c>
      <c r="AJ58" s="71">
        <f ca="1">-AI58*'Invoer gegevens (N)'!$F$28</f>
        <v>0</v>
      </c>
      <c r="AK58" s="71">
        <f t="shared" ca="1" si="4"/>
        <v>0</v>
      </c>
      <c r="AL58" s="71">
        <f ca="1">IF(C58=1,(12*((F58+H58)/2)*'Reeksen (N)'!AL58)+(12*('Invoer gegevens (N)'!$C$10-(F58+H58)/2)*'Reeksen (N)'!AM58),0)</f>
        <v>0</v>
      </c>
      <c r="AM58" s="71">
        <f ca="1">-AL58*'Invoer gegevens (N)'!$F$31</f>
        <v>0</v>
      </c>
      <c r="AN58" s="71">
        <f t="shared" ca="1" si="5"/>
        <v>0</v>
      </c>
      <c r="AO58" s="71"/>
      <c r="AP58" s="71"/>
      <c r="AQ58" s="71">
        <f ca="1">-IF(C58=1,('Invoer gegevens (N)'!$C$10*'Invoer gegevens (N)'!$F$35)*'Reeksen (N)'!J58,0)*2</f>
        <v>0</v>
      </c>
      <c r="AR58" s="71">
        <f ca="1">-IF(C58=1,(G58*'Invoer gegevens (N)'!$F$36)*'Reeksen (N)'!J58,0)</f>
        <v>0</v>
      </c>
      <c r="AS58" s="71">
        <f ca="1">-IF(C58=1,'Invoer gegevens (N)'!$C$10*'Invoer gegevens (N)'!$F$37*'Reeksen (N)'!L58,0)</f>
        <v>0</v>
      </c>
      <c r="AT58" s="71">
        <f ca="1">-IF(C58=1,IF(E58='Invoer gegevens (N)'!$C$17,'Invoer gegevens (N)'!$C$11,Q58)*'Reeksen (N)'!S58*'Invoer gegevens (N)'!$C$18*'Reeksen (N)'!P58,0)</f>
        <v>0</v>
      </c>
      <c r="AU58" s="71">
        <f ca="1">-IF(C58=1,'Invoer gegevens (N)'!$C$10*'Invoer gegevens (N)'!$F$38*'Reeksen (N)'!H58,0)</f>
        <v>0</v>
      </c>
      <c r="AV58" s="71">
        <v>0</v>
      </c>
      <c r="AW58" s="71">
        <f t="shared" ca="1" si="6"/>
        <v>0</v>
      </c>
      <c r="AX58" s="71">
        <f ca="1">IF(E58&lt;'Invoer gegevens (N)'!$C$17+15,0,IF('RW - MW - DE - DE (N)'!E58&gt;'Invoer gegevens (N)'!$C$17+215,0,'RW - MW - DE - DE (N)'!AW58))</f>
        <v>0</v>
      </c>
      <c r="AY58" s="71">
        <f ca="1">AX58/(1+'Invoer gegevens (N)'!$F$13)^($AZ58-('Invoer gegevens (N)'!$C$17-'Invoer gegevens (N)'!$C$16))/(1+'Invoer gegevens (N)'!$C$39)^('Invoer gegevens (N)'!$C$17-'Invoer gegevens (N)'!$C$16)</f>
        <v>0</v>
      </c>
      <c r="AZ58" s="68">
        <f ca="1">IF(E58-'Invoer gegevens (N)'!$C$17-14.5&lt;0,0,E58-'Invoer gegevens (N)'!$C$17-14.5)</f>
        <v>38.5</v>
      </c>
      <c r="BC58" s="71"/>
    </row>
    <row r="59" spans="2:55" s="230" customFormat="1" x14ac:dyDescent="0.25">
      <c r="B59" s="70">
        <f t="shared" si="7"/>
        <v>55</v>
      </c>
      <c r="C59" s="67">
        <f ca="1">IF(E59-'Invoer gegevens (N)'!$C$17&lt;0,0,1)</f>
        <v>1</v>
      </c>
      <c r="D59" s="68">
        <f t="shared" si="8"/>
        <v>54.5</v>
      </c>
      <c r="E59" s="69">
        <f ca="1">IF('Invoer gegevens (N)'!$C$16="","",E58+1)</f>
        <v>2073</v>
      </c>
      <c r="F59" s="82">
        <f ca="1">IF('Invoer gegevens (N)'!$C$17=E59,'Invoer gegevens (N)'!$C$10,IF(C59=1,H58,0))</f>
        <v>0</v>
      </c>
      <c r="G59" s="83">
        <f ca="1">IF(C59&gt;=1,F59*'Reeksen (N)'!C59,0)</f>
        <v>0</v>
      </c>
      <c r="H59" s="84">
        <f t="shared" ca="1" si="1"/>
        <v>0</v>
      </c>
      <c r="I59" s="85">
        <f ca="1">IF('Invoer gegevens (N)'!$C$17=E59,'Invoer gegevens (N)'!$C$11,IF(C59=1,L58,0))</f>
        <v>0</v>
      </c>
      <c r="J59" s="86">
        <f ca="1">IF(C59&lt;1,0,IF('Reeksen (N)'!AD59&lt;='Reeksen (N)'!AE59,I59*'Reeksen (N)'!C59,0))</f>
        <v>0</v>
      </c>
      <c r="K59" s="86">
        <f ca="1">IF(C59&lt;1,0,IF('Reeksen (N)'!AD59&gt;'Reeksen (N)'!AE59,I59*'Reeksen (N)'!C59,0))</f>
        <v>0</v>
      </c>
      <c r="L59" s="86">
        <f t="shared" ca="1" si="2"/>
        <v>0</v>
      </c>
      <c r="M59" s="85">
        <f ca="1">IF('Invoer gegevens (N)'!$C$17=E59,'Invoer gegevens (N)'!$C$10-'Invoer gegevens (N)'!$C$11,IF(C59=1,P58,0))</f>
        <v>0</v>
      </c>
      <c r="N59" s="86">
        <f ca="1">IF(C59&lt;1,0,IF('Reeksen (N)'!AD59&lt;='Reeksen (N)'!AE59,M59*'Reeksen (N)'!C59,0))</f>
        <v>0</v>
      </c>
      <c r="O59" s="86">
        <f ca="1">IF(C59&lt;1,0,IF('Reeksen (N)'!AD59&gt;'Reeksen (N)'!AE59,M59*'Reeksen (N)'!C59,0))</f>
        <v>0</v>
      </c>
      <c r="P59" s="86">
        <f t="shared" ca="1" si="3"/>
        <v>0</v>
      </c>
      <c r="Q59" s="82">
        <f ca="1">IF('Invoer gegevens (N)'!$C$17=E59,I59,IF(C59=0,0,R58))</f>
        <v>0</v>
      </c>
      <c r="R59" s="84">
        <f t="shared" ca="1" si="0"/>
        <v>0</v>
      </c>
      <c r="S59" s="84">
        <f ca="1">IF('Invoer gegevens (N)'!$C$17=E59,M59,IF(C59=0,0,T58))</f>
        <v>0</v>
      </c>
      <c r="T59" s="84">
        <f t="shared" ca="1" si="9"/>
        <v>0</v>
      </c>
      <c r="AI59" s="71">
        <f ca="1">IF(C59=1,((F59+H59)/2*'Reeksen (N)'!AI59*12)+(('Invoer gegevens (N)'!$C$10-(F59+H59)/2)*'Reeksen (N)'!AD59*12),0)</f>
        <v>0</v>
      </c>
      <c r="AJ59" s="71">
        <f ca="1">-AI59*'Invoer gegevens (N)'!$F$28</f>
        <v>0</v>
      </c>
      <c r="AK59" s="71">
        <f t="shared" ca="1" si="4"/>
        <v>0</v>
      </c>
      <c r="AL59" s="71">
        <f ca="1">IF(C59=1,(12*((F59+H59)/2)*'Reeksen (N)'!AL59)+(12*('Invoer gegevens (N)'!$C$10-(F59+H59)/2)*'Reeksen (N)'!AM59),0)</f>
        <v>0</v>
      </c>
      <c r="AM59" s="71">
        <f ca="1">-AL59*'Invoer gegevens (N)'!$F$31</f>
        <v>0</v>
      </c>
      <c r="AN59" s="71">
        <f t="shared" ca="1" si="5"/>
        <v>0</v>
      </c>
      <c r="AO59" s="71"/>
      <c r="AP59" s="71"/>
      <c r="AQ59" s="71">
        <f ca="1">-IF(C59=1,('Invoer gegevens (N)'!$C$10*'Invoer gegevens (N)'!$F$35)*'Reeksen (N)'!J59,0)*2</f>
        <v>0</v>
      </c>
      <c r="AR59" s="71">
        <f ca="1">-IF(C59=1,(G59*'Invoer gegevens (N)'!$F$36)*'Reeksen (N)'!J59,0)</f>
        <v>0</v>
      </c>
      <c r="AS59" s="71">
        <f ca="1">-IF(C59=1,'Invoer gegevens (N)'!$C$10*'Invoer gegevens (N)'!$F$37*'Reeksen (N)'!L59,0)</f>
        <v>0</v>
      </c>
      <c r="AT59" s="71">
        <f ca="1">-IF(C59=1,IF(E59='Invoer gegevens (N)'!$C$17,'Invoer gegevens (N)'!$C$11,Q59)*'Reeksen (N)'!S59*'Invoer gegevens (N)'!$C$18*'Reeksen (N)'!P59,0)</f>
        <v>0</v>
      </c>
      <c r="AU59" s="71">
        <f ca="1">-IF(C59=1,'Invoer gegevens (N)'!$C$10*'Invoer gegevens (N)'!$F$38*'Reeksen (N)'!H59,0)</f>
        <v>0</v>
      </c>
      <c r="AV59" s="71">
        <v>0</v>
      </c>
      <c r="AW59" s="71">
        <f t="shared" ca="1" si="6"/>
        <v>0</v>
      </c>
      <c r="AX59" s="71">
        <f ca="1">IF(E59&lt;'Invoer gegevens (N)'!$C$17+15,0,IF('RW - MW - DE - DE (N)'!E59&gt;'Invoer gegevens (N)'!$C$17+215,0,'RW - MW - DE - DE (N)'!AW59))</f>
        <v>0</v>
      </c>
      <c r="AY59" s="71">
        <f ca="1">AX59/(1+'Invoer gegevens (N)'!$F$13)^($AZ59-('Invoer gegevens (N)'!$C$17-'Invoer gegevens (N)'!$C$16))/(1+'Invoer gegevens (N)'!$C$39)^('Invoer gegevens (N)'!$C$17-'Invoer gegevens (N)'!$C$16)</f>
        <v>0</v>
      </c>
      <c r="AZ59" s="68">
        <f ca="1">IF(E59-'Invoer gegevens (N)'!$C$17-14.5&lt;0,0,E59-'Invoer gegevens (N)'!$C$17-14.5)</f>
        <v>39.5</v>
      </c>
      <c r="BC59" s="71"/>
    </row>
    <row r="60" spans="2:55" s="230" customFormat="1" x14ac:dyDescent="0.25">
      <c r="B60" s="70">
        <f t="shared" si="7"/>
        <v>56</v>
      </c>
      <c r="C60" s="67">
        <f ca="1">IF(E60-'Invoer gegevens (N)'!$C$17&lt;0,0,1)</f>
        <v>1</v>
      </c>
      <c r="D60" s="68">
        <f t="shared" si="8"/>
        <v>55.5</v>
      </c>
      <c r="E60" s="69">
        <f ca="1">IF('Invoer gegevens (N)'!$C$16="","",E59+1)</f>
        <v>2074</v>
      </c>
      <c r="F60" s="82">
        <f ca="1">IF('Invoer gegevens (N)'!$C$17=E60,'Invoer gegevens (N)'!$C$10,IF(C60=1,H59,0))</f>
        <v>0</v>
      </c>
      <c r="G60" s="83">
        <f ca="1">IF(C60&gt;=1,F60*'Reeksen (N)'!C60,0)</f>
        <v>0</v>
      </c>
      <c r="H60" s="84">
        <f t="shared" ca="1" si="1"/>
        <v>0</v>
      </c>
      <c r="I60" s="85">
        <f ca="1">IF('Invoer gegevens (N)'!$C$17=E60,'Invoer gegevens (N)'!$C$11,IF(C60=1,L59,0))</f>
        <v>0</v>
      </c>
      <c r="J60" s="86">
        <f ca="1">IF(C60&lt;1,0,IF('Reeksen (N)'!AD60&lt;='Reeksen (N)'!AE60,I60*'Reeksen (N)'!C60,0))</f>
        <v>0</v>
      </c>
      <c r="K60" s="86">
        <f ca="1">IF(C60&lt;1,0,IF('Reeksen (N)'!AD60&gt;'Reeksen (N)'!AE60,I60*'Reeksen (N)'!C60,0))</f>
        <v>0</v>
      </c>
      <c r="L60" s="86">
        <f t="shared" ca="1" si="2"/>
        <v>0</v>
      </c>
      <c r="M60" s="85">
        <f ca="1">IF('Invoer gegevens (N)'!$C$17=E60,'Invoer gegevens (N)'!$C$10-'Invoer gegevens (N)'!$C$11,IF(C60=1,P59,0))</f>
        <v>0</v>
      </c>
      <c r="N60" s="86">
        <f ca="1">IF(C60&lt;1,0,IF('Reeksen (N)'!AD60&lt;='Reeksen (N)'!AE60,M60*'Reeksen (N)'!C60,0))</f>
        <v>0</v>
      </c>
      <c r="O60" s="86">
        <f ca="1">IF(C60&lt;1,0,IF('Reeksen (N)'!AD60&gt;'Reeksen (N)'!AE60,M60*'Reeksen (N)'!C60,0))</f>
        <v>0</v>
      </c>
      <c r="P60" s="86">
        <f t="shared" ca="1" si="3"/>
        <v>0</v>
      </c>
      <c r="Q60" s="82">
        <f ca="1">IF('Invoer gegevens (N)'!$C$17=E60,I60,IF(C60=0,0,R59))</f>
        <v>0</v>
      </c>
      <c r="R60" s="84">
        <f t="shared" ca="1" si="0"/>
        <v>0</v>
      </c>
      <c r="S60" s="84">
        <f ca="1">IF('Invoer gegevens (N)'!$C$17=E60,M60,IF(C60=0,0,T59))</f>
        <v>0</v>
      </c>
      <c r="T60" s="84">
        <f t="shared" ca="1" si="9"/>
        <v>0</v>
      </c>
      <c r="AI60" s="71">
        <f ca="1">IF(C60=1,((F60+H60)/2*'Reeksen (N)'!AI60*12)+(('Invoer gegevens (N)'!$C$10-(F60+H60)/2)*'Reeksen (N)'!AD60*12),0)</f>
        <v>0</v>
      </c>
      <c r="AJ60" s="71">
        <f ca="1">-AI60*'Invoer gegevens (N)'!$F$28</f>
        <v>0</v>
      </c>
      <c r="AK60" s="71">
        <f t="shared" ca="1" si="4"/>
        <v>0</v>
      </c>
      <c r="AL60" s="71">
        <f ca="1">IF(C60=1,(12*((F60+H60)/2)*'Reeksen (N)'!AL60)+(12*('Invoer gegevens (N)'!$C$10-(F60+H60)/2)*'Reeksen (N)'!AM60),0)</f>
        <v>0</v>
      </c>
      <c r="AM60" s="71">
        <f ca="1">-AL60*'Invoer gegevens (N)'!$F$31</f>
        <v>0</v>
      </c>
      <c r="AN60" s="71">
        <f t="shared" ca="1" si="5"/>
        <v>0</v>
      </c>
      <c r="AO60" s="71"/>
      <c r="AP60" s="71"/>
      <c r="AQ60" s="71">
        <f ca="1">-IF(C60=1,('Invoer gegevens (N)'!$C$10*'Invoer gegevens (N)'!$F$35)*'Reeksen (N)'!J60,0)*2</f>
        <v>0</v>
      </c>
      <c r="AR60" s="71">
        <f ca="1">-IF(C60=1,(G60*'Invoer gegevens (N)'!$F$36)*'Reeksen (N)'!J60,0)</f>
        <v>0</v>
      </c>
      <c r="AS60" s="71">
        <f ca="1">-IF(C60=1,'Invoer gegevens (N)'!$C$10*'Invoer gegevens (N)'!$F$37*'Reeksen (N)'!L60,0)</f>
        <v>0</v>
      </c>
      <c r="AT60" s="71">
        <f ca="1">-IF(C60=1,IF(E60='Invoer gegevens (N)'!$C$17,'Invoer gegevens (N)'!$C$11,Q60)*'Reeksen (N)'!S60*'Invoer gegevens (N)'!$C$18*'Reeksen (N)'!P60,0)</f>
        <v>0</v>
      </c>
      <c r="AU60" s="71">
        <f ca="1">-IF(C60=1,'Invoer gegevens (N)'!$C$10*'Invoer gegevens (N)'!$F$38*'Reeksen (N)'!H60,0)</f>
        <v>0</v>
      </c>
      <c r="AV60" s="71">
        <v>0</v>
      </c>
      <c r="AW60" s="71">
        <f t="shared" ca="1" si="6"/>
        <v>0</v>
      </c>
      <c r="AX60" s="71">
        <f ca="1">IF(E60&lt;'Invoer gegevens (N)'!$C$17+15,0,IF('RW - MW - DE - DE (N)'!E60&gt;'Invoer gegevens (N)'!$C$17+215,0,'RW - MW - DE - DE (N)'!AW60))</f>
        <v>0</v>
      </c>
      <c r="AY60" s="71">
        <f ca="1">AX60/(1+'Invoer gegevens (N)'!$F$13)^($AZ60-('Invoer gegevens (N)'!$C$17-'Invoer gegevens (N)'!$C$16))/(1+'Invoer gegevens (N)'!$C$39)^('Invoer gegevens (N)'!$C$17-'Invoer gegevens (N)'!$C$16)</f>
        <v>0</v>
      </c>
      <c r="AZ60" s="68">
        <f ca="1">IF(E60-'Invoer gegevens (N)'!$C$17-14.5&lt;0,0,E60-'Invoer gegevens (N)'!$C$17-14.5)</f>
        <v>40.5</v>
      </c>
      <c r="BC60" s="71"/>
    </row>
    <row r="61" spans="2:55" s="230" customFormat="1" x14ac:dyDescent="0.25">
      <c r="B61" s="70">
        <f t="shared" si="7"/>
        <v>57</v>
      </c>
      <c r="C61" s="67">
        <f ca="1">IF(E61-'Invoer gegevens (N)'!$C$17&lt;0,0,1)</f>
        <v>1</v>
      </c>
      <c r="D61" s="68">
        <f t="shared" si="8"/>
        <v>56.5</v>
      </c>
      <c r="E61" s="69">
        <f ca="1">IF('Invoer gegevens (N)'!$C$16="","",E60+1)</f>
        <v>2075</v>
      </c>
      <c r="F61" s="82">
        <f ca="1">IF('Invoer gegevens (N)'!$C$17=E61,'Invoer gegevens (N)'!$C$10,IF(C61=1,H60,0))</f>
        <v>0</v>
      </c>
      <c r="G61" s="83">
        <f ca="1">IF(C61&gt;=1,F61*'Reeksen (N)'!C61,0)</f>
        <v>0</v>
      </c>
      <c r="H61" s="84">
        <f t="shared" ca="1" si="1"/>
        <v>0</v>
      </c>
      <c r="I61" s="85">
        <f ca="1">IF('Invoer gegevens (N)'!$C$17=E61,'Invoer gegevens (N)'!$C$11,IF(C61=1,L60,0))</f>
        <v>0</v>
      </c>
      <c r="J61" s="86">
        <f ca="1">IF(C61&lt;1,0,IF('Reeksen (N)'!AD61&lt;='Reeksen (N)'!AE61,I61*'Reeksen (N)'!C61,0))</f>
        <v>0</v>
      </c>
      <c r="K61" s="86">
        <f ca="1">IF(C61&lt;1,0,IF('Reeksen (N)'!AD61&gt;'Reeksen (N)'!AE61,I61*'Reeksen (N)'!C61,0))</f>
        <v>0</v>
      </c>
      <c r="L61" s="86">
        <f t="shared" ca="1" si="2"/>
        <v>0</v>
      </c>
      <c r="M61" s="85">
        <f ca="1">IF('Invoer gegevens (N)'!$C$17=E61,'Invoer gegevens (N)'!$C$10-'Invoer gegevens (N)'!$C$11,IF(C61=1,P60,0))</f>
        <v>0</v>
      </c>
      <c r="N61" s="86">
        <f ca="1">IF(C61&lt;1,0,IF('Reeksen (N)'!AD61&lt;='Reeksen (N)'!AE61,M61*'Reeksen (N)'!C61,0))</f>
        <v>0</v>
      </c>
      <c r="O61" s="86">
        <f ca="1">IF(C61&lt;1,0,IF('Reeksen (N)'!AD61&gt;'Reeksen (N)'!AE61,M61*'Reeksen (N)'!C61,0))</f>
        <v>0</v>
      </c>
      <c r="P61" s="86">
        <f t="shared" ca="1" si="3"/>
        <v>0</v>
      </c>
      <c r="Q61" s="82">
        <f ca="1">IF('Invoer gegevens (N)'!$C$17=E61,I61,IF(C61=0,0,R60))</f>
        <v>0</v>
      </c>
      <c r="R61" s="84">
        <f t="shared" ca="1" si="0"/>
        <v>0</v>
      </c>
      <c r="S61" s="84">
        <f ca="1">IF('Invoer gegevens (N)'!$C$17=E61,M61,IF(C61=0,0,T60))</f>
        <v>0</v>
      </c>
      <c r="T61" s="84">
        <f t="shared" ca="1" si="9"/>
        <v>0</v>
      </c>
      <c r="AI61" s="71">
        <f ca="1">IF(C61=1,((F61+H61)/2*'Reeksen (N)'!AI61*12)+(('Invoer gegevens (N)'!$C$10-(F61+H61)/2)*'Reeksen (N)'!AD61*12),0)</f>
        <v>0</v>
      </c>
      <c r="AJ61" s="71">
        <f ca="1">-AI61*'Invoer gegevens (N)'!$F$28</f>
        <v>0</v>
      </c>
      <c r="AK61" s="71">
        <f t="shared" ca="1" si="4"/>
        <v>0</v>
      </c>
      <c r="AL61" s="71">
        <f ca="1">IF(C61=1,(12*((F61+H61)/2)*'Reeksen (N)'!AL61)+(12*('Invoer gegevens (N)'!$C$10-(F61+H61)/2)*'Reeksen (N)'!AM61),0)</f>
        <v>0</v>
      </c>
      <c r="AM61" s="71">
        <f ca="1">-AL61*'Invoer gegevens (N)'!$F$31</f>
        <v>0</v>
      </c>
      <c r="AN61" s="71">
        <f t="shared" ca="1" si="5"/>
        <v>0</v>
      </c>
      <c r="AO61" s="71"/>
      <c r="AP61" s="71"/>
      <c r="AQ61" s="71">
        <f ca="1">-IF(C61=1,('Invoer gegevens (N)'!$C$10*'Invoer gegevens (N)'!$F$35)*'Reeksen (N)'!J61,0)*2</f>
        <v>0</v>
      </c>
      <c r="AR61" s="71">
        <f ca="1">-IF(C61=1,(G61*'Invoer gegevens (N)'!$F$36)*'Reeksen (N)'!J61,0)</f>
        <v>0</v>
      </c>
      <c r="AS61" s="71">
        <f ca="1">-IF(C61=1,'Invoer gegevens (N)'!$C$10*'Invoer gegevens (N)'!$F$37*'Reeksen (N)'!L61,0)</f>
        <v>0</v>
      </c>
      <c r="AT61" s="71">
        <f ca="1">-IF(C61=1,IF(E61='Invoer gegevens (N)'!$C$17,'Invoer gegevens (N)'!$C$11,Q61)*'Reeksen (N)'!S61*'Invoer gegevens (N)'!$C$18*'Reeksen (N)'!P61,0)</f>
        <v>0</v>
      </c>
      <c r="AU61" s="71">
        <f ca="1">-IF(C61=1,'Invoer gegevens (N)'!$C$10*'Invoer gegevens (N)'!$F$38*'Reeksen (N)'!H61,0)</f>
        <v>0</v>
      </c>
      <c r="AV61" s="71">
        <v>0</v>
      </c>
      <c r="AW61" s="71">
        <f t="shared" ca="1" si="6"/>
        <v>0</v>
      </c>
      <c r="AX61" s="71">
        <f ca="1">IF(E61&lt;'Invoer gegevens (N)'!$C$17+15,0,IF('RW - MW - DE - DE (N)'!E61&gt;'Invoer gegevens (N)'!$C$17+215,0,'RW - MW - DE - DE (N)'!AW61))</f>
        <v>0</v>
      </c>
      <c r="AY61" s="71">
        <f ca="1">AX61/(1+'Invoer gegevens (N)'!$F$13)^($AZ61-('Invoer gegevens (N)'!$C$17-'Invoer gegevens (N)'!$C$16))/(1+'Invoer gegevens (N)'!$C$39)^('Invoer gegevens (N)'!$C$17-'Invoer gegevens (N)'!$C$16)</f>
        <v>0</v>
      </c>
      <c r="AZ61" s="68">
        <f ca="1">IF(E61-'Invoer gegevens (N)'!$C$17-14.5&lt;0,0,E61-'Invoer gegevens (N)'!$C$17-14.5)</f>
        <v>41.5</v>
      </c>
      <c r="BC61" s="71"/>
    </row>
    <row r="62" spans="2:55" s="230" customFormat="1" x14ac:dyDescent="0.25">
      <c r="B62" s="70">
        <f t="shared" si="7"/>
        <v>58</v>
      </c>
      <c r="C62" s="67">
        <f ca="1">IF(E62-'Invoer gegevens (N)'!$C$17&lt;0,0,1)</f>
        <v>1</v>
      </c>
      <c r="D62" s="68">
        <f t="shared" si="8"/>
        <v>57.5</v>
      </c>
      <c r="E62" s="69">
        <f ca="1">IF('Invoer gegevens (N)'!$C$16="","",E61+1)</f>
        <v>2076</v>
      </c>
      <c r="F62" s="82">
        <f ca="1">IF('Invoer gegevens (N)'!$C$17=E62,'Invoer gegevens (N)'!$C$10,IF(C62=1,H61,0))</f>
        <v>0</v>
      </c>
      <c r="G62" s="83">
        <f ca="1">IF(C62&gt;=1,F62*'Reeksen (N)'!C62,0)</f>
        <v>0</v>
      </c>
      <c r="H62" s="84">
        <f t="shared" ca="1" si="1"/>
        <v>0</v>
      </c>
      <c r="I62" s="85">
        <f ca="1">IF('Invoer gegevens (N)'!$C$17=E62,'Invoer gegevens (N)'!$C$11,IF(C62=1,L61,0))</f>
        <v>0</v>
      </c>
      <c r="J62" s="86">
        <f ca="1">IF(C62&lt;1,0,IF('Reeksen (N)'!AD62&lt;='Reeksen (N)'!AE62,I62*'Reeksen (N)'!C62,0))</f>
        <v>0</v>
      </c>
      <c r="K62" s="86">
        <f ca="1">IF(C62&lt;1,0,IF('Reeksen (N)'!AD62&gt;'Reeksen (N)'!AE62,I62*'Reeksen (N)'!C62,0))</f>
        <v>0</v>
      </c>
      <c r="L62" s="86">
        <f t="shared" ca="1" si="2"/>
        <v>0</v>
      </c>
      <c r="M62" s="85">
        <f ca="1">IF('Invoer gegevens (N)'!$C$17=E62,'Invoer gegevens (N)'!$C$10-'Invoer gegevens (N)'!$C$11,IF(C62=1,P61,0))</f>
        <v>0</v>
      </c>
      <c r="N62" s="86">
        <f ca="1">IF(C62&lt;1,0,IF('Reeksen (N)'!AD62&lt;='Reeksen (N)'!AE62,M62*'Reeksen (N)'!C62,0))</f>
        <v>0</v>
      </c>
      <c r="O62" s="86">
        <f ca="1">IF(C62&lt;1,0,IF('Reeksen (N)'!AD62&gt;'Reeksen (N)'!AE62,M62*'Reeksen (N)'!C62,0))</f>
        <v>0</v>
      </c>
      <c r="P62" s="86">
        <f t="shared" ca="1" si="3"/>
        <v>0</v>
      </c>
      <c r="Q62" s="82">
        <f ca="1">IF('Invoer gegevens (N)'!$C$17=E62,I62,IF(C62=0,0,R61))</f>
        <v>0</v>
      </c>
      <c r="R62" s="84">
        <f t="shared" ca="1" si="0"/>
        <v>0</v>
      </c>
      <c r="S62" s="84">
        <f ca="1">IF('Invoer gegevens (N)'!$C$17=E62,M62,IF(C62=0,0,T61))</f>
        <v>0</v>
      </c>
      <c r="T62" s="84">
        <f t="shared" ca="1" si="9"/>
        <v>0</v>
      </c>
      <c r="AI62" s="71">
        <f ca="1">IF(C62=1,((F62+H62)/2*'Reeksen (N)'!AI62*12)+(('Invoer gegevens (N)'!$C$10-(F62+H62)/2)*'Reeksen (N)'!AD62*12),0)</f>
        <v>0</v>
      </c>
      <c r="AJ62" s="71">
        <f ca="1">-AI62*'Invoer gegevens (N)'!$F$28</f>
        <v>0</v>
      </c>
      <c r="AK62" s="71">
        <f t="shared" ca="1" si="4"/>
        <v>0</v>
      </c>
      <c r="AL62" s="71">
        <f ca="1">IF(C62=1,(12*((F62+H62)/2)*'Reeksen (N)'!AL62)+(12*('Invoer gegevens (N)'!$C$10-(F62+H62)/2)*'Reeksen (N)'!AM62),0)</f>
        <v>0</v>
      </c>
      <c r="AM62" s="71">
        <f ca="1">-AL62*'Invoer gegevens (N)'!$F$31</f>
        <v>0</v>
      </c>
      <c r="AN62" s="71">
        <f t="shared" ca="1" si="5"/>
        <v>0</v>
      </c>
      <c r="AO62" s="71"/>
      <c r="AP62" s="71"/>
      <c r="AQ62" s="71">
        <f ca="1">-IF(C62=1,('Invoer gegevens (N)'!$C$10*'Invoer gegevens (N)'!$F$35)*'Reeksen (N)'!J62,0)*2</f>
        <v>0</v>
      </c>
      <c r="AR62" s="71">
        <f ca="1">-IF(C62=1,(G62*'Invoer gegevens (N)'!$F$36)*'Reeksen (N)'!J62,0)</f>
        <v>0</v>
      </c>
      <c r="AS62" s="71">
        <f ca="1">-IF(C62=1,'Invoer gegevens (N)'!$C$10*'Invoer gegevens (N)'!$F$37*'Reeksen (N)'!L62,0)</f>
        <v>0</v>
      </c>
      <c r="AT62" s="71">
        <f ca="1">-IF(C62=1,IF(E62='Invoer gegevens (N)'!$C$17,'Invoer gegevens (N)'!$C$11,Q62)*'Reeksen (N)'!S62*'Invoer gegevens (N)'!$C$18*'Reeksen (N)'!P62,0)</f>
        <v>0</v>
      </c>
      <c r="AU62" s="71">
        <f ca="1">-IF(C62=1,'Invoer gegevens (N)'!$C$10*'Invoer gegevens (N)'!$F$38*'Reeksen (N)'!H62,0)</f>
        <v>0</v>
      </c>
      <c r="AV62" s="71">
        <v>0</v>
      </c>
      <c r="AW62" s="71">
        <f t="shared" ca="1" si="6"/>
        <v>0</v>
      </c>
      <c r="AX62" s="71">
        <f ca="1">IF(E62&lt;'Invoer gegevens (N)'!$C$17+15,0,IF('RW - MW - DE - DE (N)'!E62&gt;'Invoer gegevens (N)'!$C$17+215,0,'RW - MW - DE - DE (N)'!AW62))</f>
        <v>0</v>
      </c>
      <c r="AY62" s="71">
        <f ca="1">AX62/(1+'Invoer gegevens (N)'!$F$13)^($AZ62-('Invoer gegevens (N)'!$C$17-'Invoer gegevens (N)'!$C$16))/(1+'Invoer gegevens (N)'!$C$39)^('Invoer gegevens (N)'!$C$17-'Invoer gegevens (N)'!$C$16)</f>
        <v>0</v>
      </c>
      <c r="AZ62" s="68">
        <f ca="1">IF(E62-'Invoer gegevens (N)'!$C$17-14.5&lt;0,0,E62-'Invoer gegevens (N)'!$C$17-14.5)</f>
        <v>42.5</v>
      </c>
      <c r="BC62" s="71"/>
    </row>
    <row r="63" spans="2:55" s="230" customFormat="1" x14ac:dyDescent="0.25">
      <c r="B63" s="70">
        <f t="shared" si="7"/>
        <v>59</v>
      </c>
      <c r="C63" s="67">
        <f ca="1">IF(E63-'Invoer gegevens (N)'!$C$17&lt;0,0,1)</f>
        <v>1</v>
      </c>
      <c r="D63" s="68">
        <f t="shared" si="8"/>
        <v>58.5</v>
      </c>
      <c r="E63" s="69">
        <f ca="1">IF('Invoer gegevens (N)'!$C$16="","",E62+1)</f>
        <v>2077</v>
      </c>
      <c r="F63" s="82">
        <f ca="1">IF('Invoer gegevens (N)'!$C$17=E63,'Invoer gegevens (N)'!$C$10,IF(C63=1,H62,0))</f>
        <v>0</v>
      </c>
      <c r="G63" s="83">
        <f ca="1">IF(C63&gt;=1,F63*'Reeksen (N)'!C63,0)</f>
        <v>0</v>
      </c>
      <c r="H63" s="84">
        <f t="shared" ca="1" si="1"/>
        <v>0</v>
      </c>
      <c r="I63" s="85">
        <f ca="1">IF('Invoer gegevens (N)'!$C$17=E63,'Invoer gegevens (N)'!$C$11,IF(C63=1,L62,0))</f>
        <v>0</v>
      </c>
      <c r="J63" s="86">
        <f ca="1">IF(C63&lt;1,0,IF('Reeksen (N)'!AD63&lt;='Reeksen (N)'!AE63,I63*'Reeksen (N)'!C63,0))</f>
        <v>0</v>
      </c>
      <c r="K63" s="86">
        <f ca="1">IF(C63&lt;1,0,IF('Reeksen (N)'!AD63&gt;'Reeksen (N)'!AE63,I63*'Reeksen (N)'!C63,0))</f>
        <v>0</v>
      </c>
      <c r="L63" s="86">
        <f t="shared" ca="1" si="2"/>
        <v>0</v>
      </c>
      <c r="M63" s="85">
        <f ca="1">IF('Invoer gegevens (N)'!$C$17=E63,'Invoer gegevens (N)'!$C$10-'Invoer gegevens (N)'!$C$11,IF(C63=1,P62,0))</f>
        <v>0</v>
      </c>
      <c r="N63" s="86">
        <f ca="1">IF(C63&lt;1,0,IF('Reeksen (N)'!AD63&lt;='Reeksen (N)'!AE63,M63*'Reeksen (N)'!C63,0))</f>
        <v>0</v>
      </c>
      <c r="O63" s="86">
        <f ca="1">IF(C63&lt;1,0,IF('Reeksen (N)'!AD63&gt;'Reeksen (N)'!AE63,M63*'Reeksen (N)'!C63,0))</f>
        <v>0</v>
      </c>
      <c r="P63" s="86">
        <f t="shared" ca="1" si="3"/>
        <v>0</v>
      </c>
      <c r="Q63" s="82">
        <f ca="1">IF('Invoer gegevens (N)'!$C$17=E63,I63,IF(C63=0,0,R62))</f>
        <v>0</v>
      </c>
      <c r="R63" s="84">
        <f t="shared" ca="1" si="0"/>
        <v>0</v>
      </c>
      <c r="S63" s="84">
        <f ca="1">IF('Invoer gegevens (N)'!$C$17=E63,M63,IF(C63=0,0,T62))</f>
        <v>0</v>
      </c>
      <c r="T63" s="84">
        <f t="shared" ca="1" si="9"/>
        <v>0</v>
      </c>
      <c r="AI63" s="71">
        <f ca="1">IF(C63=1,((F63+H63)/2*'Reeksen (N)'!AI63*12)+(('Invoer gegevens (N)'!$C$10-(F63+H63)/2)*'Reeksen (N)'!AD63*12),0)</f>
        <v>0</v>
      </c>
      <c r="AJ63" s="71">
        <f ca="1">-AI63*'Invoer gegevens (N)'!$F$28</f>
        <v>0</v>
      </c>
      <c r="AK63" s="71">
        <f t="shared" ca="1" si="4"/>
        <v>0</v>
      </c>
      <c r="AL63" s="71">
        <f ca="1">IF(C63=1,(12*((F63+H63)/2)*'Reeksen (N)'!AL63)+(12*('Invoer gegevens (N)'!$C$10-(F63+H63)/2)*'Reeksen (N)'!AM63),0)</f>
        <v>0</v>
      </c>
      <c r="AM63" s="71">
        <f ca="1">-AL63*'Invoer gegevens (N)'!$F$31</f>
        <v>0</v>
      </c>
      <c r="AN63" s="71">
        <f t="shared" ca="1" si="5"/>
        <v>0</v>
      </c>
      <c r="AO63" s="71"/>
      <c r="AP63" s="71"/>
      <c r="AQ63" s="71">
        <f ca="1">-IF(C63=1,('Invoer gegevens (N)'!$C$10*'Invoer gegevens (N)'!$F$35)*'Reeksen (N)'!J63,0)*2</f>
        <v>0</v>
      </c>
      <c r="AR63" s="71">
        <f ca="1">-IF(C63=1,(G63*'Invoer gegevens (N)'!$F$36)*'Reeksen (N)'!J63,0)</f>
        <v>0</v>
      </c>
      <c r="AS63" s="71">
        <f ca="1">-IF(C63=1,'Invoer gegevens (N)'!$C$10*'Invoer gegevens (N)'!$F$37*'Reeksen (N)'!L63,0)</f>
        <v>0</v>
      </c>
      <c r="AT63" s="71">
        <f ca="1">-IF(C63=1,IF(E63='Invoer gegevens (N)'!$C$17,'Invoer gegevens (N)'!$C$11,Q63)*'Reeksen (N)'!S63*'Invoer gegevens (N)'!$C$18*'Reeksen (N)'!P63,0)</f>
        <v>0</v>
      </c>
      <c r="AU63" s="71">
        <f ca="1">-IF(C63=1,'Invoer gegevens (N)'!$C$10*'Invoer gegevens (N)'!$F$38*'Reeksen (N)'!H63,0)</f>
        <v>0</v>
      </c>
      <c r="AV63" s="71">
        <v>0</v>
      </c>
      <c r="AW63" s="71">
        <f t="shared" ca="1" si="6"/>
        <v>0</v>
      </c>
      <c r="AX63" s="71">
        <f ca="1">IF(E63&lt;'Invoer gegevens (N)'!$C$17+15,0,IF('RW - MW - DE - DE (N)'!E63&gt;'Invoer gegevens (N)'!$C$17+215,0,'RW - MW - DE - DE (N)'!AW63))</f>
        <v>0</v>
      </c>
      <c r="AY63" s="71">
        <f ca="1">AX63/(1+'Invoer gegevens (N)'!$F$13)^($AZ63-('Invoer gegevens (N)'!$C$17-'Invoer gegevens (N)'!$C$16))/(1+'Invoer gegevens (N)'!$C$39)^('Invoer gegevens (N)'!$C$17-'Invoer gegevens (N)'!$C$16)</f>
        <v>0</v>
      </c>
      <c r="AZ63" s="68">
        <f ca="1">IF(E63-'Invoer gegevens (N)'!$C$17-14.5&lt;0,0,E63-'Invoer gegevens (N)'!$C$17-14.5)</f>
        <v>43.5</v>
      </c>
      <c r="BC63" s="71"/>
    </row>
    <row r="64" spans="2:55" s="230" customFormat="1" x14ac:dyDescent="0.25">
      <c r="B64" s="70">
        <f t="shared" si="7"/>
        <v>60</v>
      </c>
      <c r="C64" s="67">
        <f ca="1">IF(E64-'Invoer gegevens (N)'!$C$17&lt;0,0,1)</f>
        <v>1</v>
      </c>
      <c r="D64" s="68">
        <f t="shared" si="8"/>
        <v>59.5</v>
      </c>
      <c r="E64" s="69">
        <f ca="1">IF('Invoer gegevens (N)'!$C$16="","",E63+1)</f>
        <v>2078</v>
      </c>
      <c r="F64" s="82">
        <f ca="1">IF('Invoer gegevens (N)'!$C$17=E64,'Invoer gegevens (N)'!$C$10,IF(C64=1,H63,0))</f>
        <v>0</v>
      </c>
      <c r="G64" s="83">
        <f ca="1">IF(C64&gt;=1,F64*'Reeksen (N)'!C64,0)</f>
        <v>0</v>
      </c>
      <c r="H64" s="84">
        <f t="shared" ca="1" si="1"/>
        <v>0</v>
      </c>
      <c r="I64" s="85">
        <f ca="1">IF('Invoer gegevens (N)'!$C$17=E64,'Invoer gegevens (N)'!$C$11,IF(C64=1,L63,0))</f>
        <v>0</v>
      </c>
      <c r="J64" s="86">
        <f ca="1">IF(C64&lt;1,0,IF('Reeksen (N)'!AD64&lt;='Reeksen (N)'!AE64,I64*'Reeksen (N)'!C64,0))</f>
        <v>0</v>
      </c>
      <c r="K64" s="86">
        <f ca="1">IF(C64&lt;1,0,IF('Reeksen (N)'!AD64&gt;'Reeksen (N)'!AE64,I64*'Reeksen (N)'!C64,0))</f>
        <v>0</v>
      </c>
      <c r="L64" s="86">
        <f t="shared" ca="1" si="2"/>
        <v>0</v>
      </c>
      <c r="M64" s="85">
        <f ca="1">IF('Invoer gegevens (N)'!$C$17=E64,'Invoer gegevens (N)'!$C$10-'Invoer gegevens (N)'!$C$11,IF(C64=1,P63,0))</f>
        <v>0</v>
      </c>
      <c r="N64" s="86">
        <f ca="1">IF(C64&lt;1,0,IF('Reeksen (N)'!AD64&lt;='Reeksen (N)'!AE64,M64*'Reeksen (N)'!C64,0))</f>
        <v>0</v>
      </c>
      <c r="O64" s="86">
        <f ca="1">IF(C64&lt;1,0,IF('Reeksen (N)'!AD64&gt;'Reeksen (N)'!AE64,M64*'Reeksen (N)'!C64,0))</f>
        <v>0</v>
      </c>
      <c r="P64" s="86">
        <f t="shared" ca="1" si="3"/>
        <v>0</v>
      </c>
      <c r="Q64" s="82">
        <f ca="1">IF('Invoer gegevens (N)'!$C$17=E64,I64,IF(C64=0,0,R63))</f>
        <v>0</v>
      </c>
      <c r="R64" s="84">
        <f t="shared" ca="1" si="0"/>
        <v>0</v>
      </c>
      <c r="S64" s="84">
        <f ca="1">IF('Invoer gegevens (N)'!$C$17=E64,M64,IF(C64=0,0,T63))</f>
        <v>0</v>
      </c>
      <c r="T64" s="84">
        <f t="shared" ca="1" si="9"/>
        <v>0</v>
      </c>
      <c r="AI64" s="71">
        <f ca="1">IF(C64=1,((F64+H64)/2*'Reeksen (N)'!AI64*12)+(('Invoer gegevens (N)'!$C$10-(F64+H64)/2)*'Reeksen (N)'!AD64*12),0)</f>
        <v>0</v>
      </c>
      <c r="AJ64" s="71">
        <f ca="1">-AI64*'Invoer gegevens (N)'!$F$28</f>
        <v>0</v>
      </c>
      <c r="AK64" s="71">
        <f t="shared" ca="1" si="4"/>
        <v>0</v>
      </c>
      <c r="AL64" s="71">
        <f ca="1">IF(C64=1,(12*((F64+H64)/2)*'Reeksen (N)'!AL64)+(12*('Invoer gegevens (N)'!$C$10-(F64+H64)/2)*'Reeksen (N)'!AM64),0)</f>
        <v>0</v>
      </c>
      <c r="AM64" s="71">
        <f ca="1">-AL64*'Invoer gegevens (N)'!$F$31</f>
        <v>0</v>
      </c>
      <c r="AN64" s="71">
        <f t="shared" ca="1" si="5"/>
        <v>0</v>
      </c>
      <c r="AO64" s="71"/>
      <c r="AP64" s="71"/>
      <c r="AQ64" s="71">
        <f ca="1">-IF(C64=1,('Invoer gegevens (N)'!$C$10*'Invoer gegevens (N)'!$F$35)*'Reeksen (N)'!J64,0)*2</f>
        <v>0</v>
      </c>
      <c r="AR64" s="71">
        <f ca="1">-IF(C64=1,(G64*'Invoer gegevens (N)'!$F$36)*'Reeksen (N)'!J64,0)</f>
        <v>0</v>
      </c>
      <c r="AS64" s="71">
        <f ca="1">-IF(C64=1,'Invoer gegevens (N)'!$C$10*'Invoer gegevens (N)'!$F$37*'Reeksen (N)'!L64,0)</f>
        <v>0</v>
      </c>
      <c r="AT64" s="71">
        <f ca="1">-IF(C64=1,IF(E64='Invoer gegevens (N)'!$C$17,'Invoer gegevens (N)'!$C$11,Q64)*'Reeksen (N)'!S64*'Invoer gegevens (N)'!$C$18*'Reeksen (N)'!P64,0)</f>
        <v>0</v>
      </c>
      <c r="AU64" s="71">
        <f ca="1">-IF(C64=1,'Invoer gegevens (N)'!$C$10*'Invoer gegevens (N)'!$F$38*'Reeksen (N)'!H64,0)</f>
        <v>0</v>
      </c>
      <c r="AV64" s="71">
        <v>0</v>
      </c>
      <c r="AW64" s="71">
        <f t="shared" ca="1" si="6"/>
        <v>0</v>
      </c>
      <c r="AX64" s="71">
        <f ca="1">IF(E64&lt;'Invoer gegevens (N)'!$C$17+15,0,IF('RW - MW - DE - DE (N)'!E64&gt;'Invoer gegevens (N)'!$C$17+215,0,'RW - MW - DE - DE (N)'!AW64))</f>
        <v>0</v>
      </c>
      <c r="AY64" s="71">
        <f ca="1">AX64/(1+'Invoer gegevens (N)'!$F$13)^($AZ64-('Invoer gegevens (N)'!$C$17-'Invoer gegevens (N)'!$C$16))/(1+'Invoer gegevens (N)'!$C$39)^('Invoer gegevens (N)'!$C$17-'Invoer gegevens (N)'!$C$16)</f>
        <v>0</v>
      </c>
      <c r="AZ64" s="68">
        <f ca="1">IF(E64-'Invoer gegevens (N)'!$C$17-14.5&lt;0,0,E64-'Invoer gegevens (N)'!$C$17-14.5)</f>
        <v>44.5</v>
      </c>
      <c r="BC64" s="71"/>
    </row>
    <row r="65" spans="2:55" s="230" customFormat="1" x14ac:dyDescent="0.25">
      <c r="B65" s="70">
        <f t="shared" si="7"/>
        <v>61</v>
      </c>
      <c r="C65" s="67">
        <f ca="1">IF(E65-'Invoer gegevens (N)'!$C$17&lt;0,0,1)</f>
        <v>1</v>
      </c>
      <c r="D65" s="68">
        <f t="shared" si="8"/>
        <v>60.5</v>
      </c>
      <c r="E65" s="69">
        <f ca="1">IF('Invoer gegevens (N)'!$C$16="","",E64+1)</f>
        <v>2079</v>
      </c>
      <c r="F65" s="82">
        <f ca="1">IF('Invoer gegevens (N)'!$C$17=E65,'Invoer gegevens (N)'!$C$10,IF(C65=1,H64,0))</f>
        <v>0</v>
      </c>
      <c r="G65" s="83">
        <f ca="1">IF(C65&gt;=1,F65*'Reeksen (N)'!C65,0)</f>
        <v>0</v>
      </c>
      <c r="H65" s="84">
        <f t="shared" ca="1" si="1"/>
        <v>0</v>
      </c>
      <c r="I65" s="85">
        <f ca="1">IF('Invoer gegevens (N)'!$C$17=E65,'Invoer gegevens (N)'!$C$11,IF(C65=1,L64,0))</f>
        <v>0</v>
      </c>
      <c r="J65" s="86">
        <f ca="1">IF(C65&lt;1,0,IF('Reeksen (N)'!AD65&lt;='Reeksen (N)'!AE65,I65*'Reeksen (N)'!C65,0))</f>
        <v>0</v>
      </c>
      <c r="K65" s="86">
        <f ca="1">IF(C65&lt;1,0,IF('Reeksen (N)'!AD65&gt;'Reeksen (N)'!AE65,I65*'Reeksen (N)'!C65,0))</f>
        <v>0</v>
      </c>
      <c r="L65" s="86">
        <f t="shared" ca="1" si="2"/>
        <v>0</v>
      </c>
      <c r="M65" s="85">
        <f ca="1">IF('Invoer gegevens (N)'!$C$17=E65,'Invoer gegevens (N)'!$C$10-'Invoer gegevens (N)'!$C$11,IF(C65=1,P64,0))</f>
        <v>0</v>
      </c>
      <c r="N65" s="86">
        <f ca="1">IF(C65&lt;1,0,IF('Reeksen (N)'!AD65&lt;='Reeksen (N)'!AE65,M65*'Reeksen (N)'!C65,0))</f>
        <v>0</v>
      </c>
      <c r="O65" s="86">
        <f ca="1">IF(C65&lt;1,0,IF('Reeksen (N)'!AD65&gt;'Reeksen (N)'!AE65,M65*'Reeksen (N)'!C65,0))</f>
        <v>0</v>
      </c>
      <c r="P65" s="86">
        <f t="shared" ca="1" si="3"/>
        <v>0</v>
      </c>
      <c r="Q65" s="82">
        <f ca="1">IF('Invoer gegevens (N)'!$C$17=E65,I65,IF(C65=0,0,R64))</f>
        <v>0</v>
      </c>
      <c r="R65" s="84">
        <f t="shared" ca="1" si="0"/>
        <v>0</v>
      </c>
      <c r="S65" s="84">
        <f ca="1">IF('Invoer gegevens (N)'!$C$17=E65,M65,IF(C65=0,0,T64))</f>
        <v>0</v>
      </c>
      <c r="T65" s="84">
        <f t="shared" ca="1" si="9"/>
        <v>0</v>
      </c>
      <c r="AI65" s="71">
        <f ca="1">IF(C65=1,((F65+H65)/2*'Reeksen (N)'!AI65*12)+(('Invoer gegevens (N)'!$C$10-(F65+H65)/2)*'Reeksen (N)'!AD65*12),0)</f>
        <v>0</v>
      </c>
      <c r="AJ65" s="71">
        <f ca="1">-AI65*'Invoer gegevens (N)'!$F$28</f>
        <v>0</v>
      </c>
      <c r="AK65" s="71">
        <f t="shared" ca="1" si="4"/>
        <v>0</v>
      </c>
      <c r="AL65" s="71">
        <f ca="1">IF(C65=1,(12*((F65+H65)/2)*'Reeksen (N)'!AL65)+(12*('Invoer gegevens (N)'!$C$10-(F65+H65)/2)*'Reeksen (N)'!AM65),0)</f>
        <v>0</v>
      </c>
      <c r="AM65" s="71">
        <f ca="1">-AL65*'Invoer gegevens (N)'!$F$31</f>
        <v>0</v>
      </c>
      <c r="AN65" s="71">
        <f t="shared" ca="1" si="5"/>
        <v>0</v>
      </c>
      <c r="AO65" s="71"/>
      <c r="AP65" s="71"/>
      <c r="AQ65" s="71">
        <f ca="1">-IF(C65=1,('Invoer gegevens (N)'!$C$10*'Invoer gegevens (N)'!$F$35)*'Reeksen (N)'!J65,0)*2</f>
        <v>0</v>
      </c>
      <c r="AR65" s="71">
        <f ca="1">-IF(C65=1,(G65*'Invoer gegevens (N)'!$F$36)*'Reeksen (N)'!J65,0)</f>
        <v>0</v>
      </c>
      <c r="AS65" s="71">
        <f ca="1">-IF(C65=1,'Invoer gegevens (N)'!$C$10*'Invoer gegevens (N)'!$F$37*'Reeksen (N)'!L65,0)</f>
        <v>0</v>
      </c>
      <c r="AT65" s="71">
        <f ca="1">-IF(C65=1,IF(E65='Invoer gegevens (N)'!$C$17,'Invoer gegevens (N)'!$C$11,Q65)*'Reeksen (N)'!S65*'Invoer gegevens (N)'!$C$18*'Reeksen (N)'!P65,0)</f>
        <v>0</v>
      </c>
      <c r="AU65" s="71">
        <f ca="1">-IF(C65=1,'Invoer gegevens (N)'!$C$10*'Invoer gegevens (N)'!$F$38*'Reeksen (N)'!H65,0)</f>
        <v>0</v>
      </c>
      <c r="AV65" s="71">
        <v>0</v>
      </c>
      <c r="AW65" s="71">
        <f t="shared" ca="1" si="6"/>
        <v>0</v>
      </c>
      <c r="AX65" s="71">
        <f ca="1">IF(E65&lt;'Invoer gegevens (N)'!$C$17+15,0,IF('RW - MW - DE - DE (N)'!E65&gt;'Invoer gegevens (N)'!$C$17+215,0,'RW - MW - DE - DE (N)'!AW65))</f>
        <v>0</v>
      </c>
      <c r="AY65" s="71">
        <f ca="1">AX65/(1+'Invoer gegevens (N)'!$F$13)^($AZ65-('Invoer gegevens (N)'!$C$17-'Invoer gegevens (N)'!$C$16))/(1+'Invoer gegevens (N)'!$C$39)^('Invoer gegevens (N)'!$C$17-'Invoer gegevens (N)'!$C$16)</f>
        <v>0</v>
      </c>
      <c r="AZ65" s="68">
        <f ca="1">IF(E65-'Invoer gegevens (N)'!$C$17-14.5&lt;0,0,E65-'Invoer gegevens (N)'!$C$17-14.5)</f>
        <v>45.5</v>
      </c>
      <c r="BC65" s="71"/>
    </row>
    <row r="66" spans="2:55" s="230" customFormat="1" x14ac:dyDescent="0.25">
      <c r="B66" s="70">
        <f t="shared" si="7"/>
        <v>62</v>
      </c>
      <c r="C66" s="67">
        <f ca="1">IF(E66-'Invoer gegevens (N)'!$C$17&lt;0,0,1)</f>
        <v>1</v>
      </c>
      <c r="D66" s="68">
        <f t="shared" si="8"/>
        <v>61.5</v>
      </c>
      <c r="E66" s="69">
        <f ca="1">IF('Invoer gegevens (N)'!$C$16="","",E65+1)</f>
        <v>2080</v>
      </c>
      <c r="F66" s="82">
        <f ca="1">IF('Invoer gegevens (N)'!$C$17=E66,'Invoer gegevens (N)'!$C$10,IF(C66=1,H65,0))</f>
        <v>0</v>
      </c>
      <c r="G66" s="83">
        <f ca="1">IF(C66&gt;=1,F66*'Reeksen (N)'!C66,0)</f>
        <v>0</v>
      </c>
      <c r="H66" s="84">
        <f t="shared" ca="1" si="1"/>
        <v>0</v>
      </c>
      <c r="I66" s="85">
        <f ca="1">IF('Invoer gegevens (N)'!$C$17=E66,'Invoer gegevens (N)'!$C$11,IF(C66=1,L65,0))</f>
        <v>0</v>
      </c>
      <c r="J66" s="86">
        <f ca="1">IF(C66&lt;1,0,IF('Reeksen (N)'!AD66&lt;='Reeksen (N)'!AE66,I66*'Reeksen (N)'!C66,0))</f>
        <v>0</v>
      </c>
      <c r="K66" s="86">
        <f ca="1">IF(C66&lt;1,0,IF('Reeksen (N)'!AD66&gt;'Reeksen (N)'!AE66,I66*'Reeksen (N)'!C66,0))</f>
        <v>0</v>
      </c>
      <c r="L66" s="86">
        <f t="shared" ca="1" si="2"/>
        <v>0</v>
      </c>
      <c r="M66" s="85">
        <f ca="1">IF('Invoer gegevens (N)'!$C$17=E66,'Invoer gegevens (N)'!$C$10-'Invoer gegevens (N)'!$C$11,IF(C66=1,P65,0))</f>
        <v>0</v>
      </c>
      <c r="N66" s="86">
        <f ca="1">IF(C66&lt;1,0,IF('Reeksen (N)'!AD66&lt;='Reeksen (N)'!AE66,M66*'Reeksen (N)'!C66,0))</f>
        <v>0</v>
      </c>
      <c r="O66" s="86">
        <f ca="1">IF(C66&lt;1,0,IF('Reeksen (N)'!AD66&gt;'Reeksen (N)'!AE66,M66*'Reeksen (N)'!C66,0))</f>
        <v>0</v>
      </c>
      <c r="P66" s="86">
        <f t="shared" ca="1" si="3"/>
        <v>0</v>
      </c>
      <c r="Q66" s="82">
        <f ca="1">IF('Invoer gegevens (N)'!$C$17=E66,I66,IF(C66=0,0,R65))</f>
        <v>0</v>
      </c>
      <c r="R66" s="84">
        <f t="shared" ca="1" si="0"/>
        <v>0</v>
      </c>
      <c r="S66" s="84">
        <f ca="1">IF('Invoer gegevens (N)'!$C$17=E66,M66,IF(C66=0,0,T65))</f>
        <v>0</v>
      </c>
      <c r="T66" s="84">
        <f t="shared" ca="1" si="9"/>
        <v>0</v>
      </c>
      <c r="AI66" s="71">
        <f ca="1">IF(C66=1,((F66+H66)/2*'Reeksen (N)'!AI66*12)+(('Invoer gegevens (N)'!$C$10-(F66+H66)/2)*'Reeksen (N)'!AD66*12),0)</f>
        <v>0</v>
      </c>
      <c r="AJ66" s="71">
        <f ca="1">-AI66*'Invoer gegevens (N)'!$F$28</f>
        <v>0</v>
      </c>
      <c r="AK66" s="71">
        <f t="shared" ca="1" si="4"/>
        <v>0</v>
      </c>
      <c r="AL66" s="71">
        <f ca="1">IF(C66=1,(12*((F66+H66)/2)*'Reeksen (N)'!AL66)+(12*('Invoer gegevens (N)'!$C$10-(F66+H66)/2)*'Reeksen (N)'!AM66),0)</f>
        <v>0</v>
      </c>
      <c r="AM66" s="71">
        <f ca="1">-AL66*'Invoer gegevens (N)'!$F$31</f>
        <v>0</v>
      </c>
      <c r="AN66" s="71">
        <f t="shared" ca="1" si="5"/>
        <v>0</v>
      </c>
      <c r="AO66" s="71"/>
      <c r="AP66" s="71"/>
      <c r="AQ66" s="71">
        <f ca="1">-IF(C66=1,('Invoer gegevens (N)'!$C$10*'Invoer gegevens (N)'!$F$35)*'Reeksen (N)'!J66,0)*2</f>
        <v>0</v>
      </c>
      <c r="AR66" s="71">
        <f ca="1">-IF(C66=1,(G66*'Invoer gegevens (N)'!$F$36)*'Reeksen (N)'!J66,0)</f>
        <v>0</v>
      </c>
      <c r="AS66" s="71">
        <f ca="1">-IF(C66=1,'Invoer gegevens (N)'!$C$10*'Invoer gegevens (N)'!$F$37*'Reeksen (N)'!L66,0)</f>
        <v>0</v>
      </c>
      <c r="AT66" s="71">
        <f ca="1">-IF(C66=1,IF(E66='Invoer gegevens (N)'!$C$17,'Invoer gegevens (N)'!$C$11,Q66)*'Reeksen (N)'!S66*'Invoer gegevens (N)'!$C$18*'Reeksen (N)'!P66,0)</f>
        <v>0</v>
      </c>
      <c r="AU66" s="71">
        <f ca="1">-IF(C66=1,'Invoer gegevens (N)'!$C$10*'Invoer gegevens (N)'!$F$38*'Reeksen (N)'!H66,0)</f>
        <v>0</v>
      </c>
      <c r="AV66" s="71">
        <v>0</v>
      </c>
      <c r="AW66" s="71">
        <f t="shared" ca="1" si="6"/>
        <v>0</v>
      </c>
      <c r="AX66" s="71">
        <f ca="1">IF(E66&lt;'Invoer gegevens (N)'!$C$17+15,0,IF('RW - MW - DE - DE (N)'!E66&gt;'Invoer gegevens (N)'!$C$17+215,0,'RW - MW - DE - DE (N)'!AW66))</f>
        <v>0</v>
      </c>
      <c r="AY66" s="71">
        <f ca="1">AX66/(1+'Invoer gegevens (N)'!$F$13)^($AZ66-('Invoer gegevens (N)'!$C$17-'Invoer gegevens (N)'!$C$16))/(1+'Invoer gegevens (N)'!$C$39)^('Invoer gegevens (N)'!$C$17-'Invoer gegevens (N)'!$C$16)</f>
        <v>0</v>
      </c>
      <c r="AZ66" s="68">
        <f ca="1">IF(E66-'Invoer gegevens (N)'!$C$17-14.5&lt;0,0,E66-'Invoer gegevens (N)'!$C$17-14.5)</f>
        <v>46.5</v>
      </c>
      <c r="BC66" s="71"/>
    </row>
    <row r="67" spans="2:55" s="230" customFormat="1" x14ac:dyDescent="0.25">
      <c r="B67" s="70">
        <f t="shared" si="7"/>
        <v>63</v>
      </c>
      <c r="C67" s="67">
        <f ca="1">IF(E67-'Invoer gegevens (N)'!$C$17&lt;0,0,1)</f>
        <v>1</v>
      </c>
      <c r="D67" s="68">
        <f t="shared" si="8"/>
        <v>62.5</v>
      </c>
      <c r="E67" s="69">
        <f ca="1">IF('Invoer gegevens (N)'!$C$16="","",E66+1)</f>
        <v>2081</v>
      </c>
      <c r="F67" s="82">
        <f ca="1">IF('Invoer gegevens (N)'!$C$17=E67,'Invoer gegevens (N)'!$C$10,IF(C67=1,H66,0))</f>
        <v>0</v>
      </c>
      <c r="G67" s="83">
        <f ca="1">IF(C67&gt;=1,F67*'Reeksen (N)'!C67,0)</f>
        <v>0</v>
      </c>
      <c r="H67" s="84">
        <f t="shared" ca="1" si="1"/>
        <v>0</v>
      </c>
      <c r="I67" s="85">
        <f ca="1">IF('Invoer gegevens (N)'!$C$17=E67,'Invoer gegevens (N)'!$C$11,IF(C67=1,L66,0))</f>
        <v>0</v>
      </c>
      <c r="J67" s="86">
        <f ca="1">IF(C67&lt;1,0,IF('Reeksen (N)'!AD67&lt;='Reeksen (N)'!AE67,I67*'Reeksen (N)'!C67,0))</f>
        <v>0</v>
      </c>
      <c r="K67" s="86">
        <f ca="1">IF(C67&lt;1,0,IF('Reeksen (N)'!AD67&gt;'Reeksen (N)'!AE67,I67*'Reeksen (N)'!C67,0))</f>
        <v>0</v>
      </c>
      <c r="L67" s="86">
        <f t="shared" ca="1" si="2"/>
        <v>0</v>
      </c>
      <c r="M67" s="85">
        <f ca="1">IF('Invoer gegevens (N)'!$C$17=E67,'Invoer gegevens (N)'!$C$10-'Invoer gegevens (N)'!$C$11,IF(C67=1,P66,0))</f>
        <v>0</v>
      </c>
      <c r="N67" s="86">
        <f ca="1">IF(C67&lt;1,0,IF('Reeksen (N)'!AD67&lt;='Reeksen (N)'!AE67,M67*'Reeksen (N)'!C67,0))</f>
        <v>0</v>
      </c>
      <c r="O67" s="86">
        <f ca="1">IF(C67&lt;1,0,IF('Reeksen (N)'!AD67&gt;'Reeksen (N)'!AE67,M67*'Reeksen (N)'!C67,0))</f>
        <v>0</v>
      </c>
      <c r="P67" s="86">
        <f t="shared" ca="1" si="3"/>
        <v>0</v>
      </c>
      <c r="Q67" s="82">
        <f ca="1">IF('Invoer gegevens (N)'!$C$17=E67,I67,IF(C67=0,0,R66))</f>
        <v>0</v>
      </c>
      <c r="R67" s="84">
        <f t="shared" ca="1" si="0"/>
        <v>0</v>
      </c>
      <c r="S67" s="84">
        <f ca="1">IF('Invoer gegevens (N)'!$C$17=E67,M67,IF(C67=0,0,T66))</f>
        <v>0</v>
      </c>
      <c r="T67" s="84">
        <f t="shared" ca="1" si="9"/>
        <v>0</v>
      </c>
      <c r="AI67" s="71">
        <f ca="1">IF(C67=1,((F67+H67)/2*'Reeksen (N)'!AI67*12)+(('Invoer gegevens (N)'!$C$10-(F67+H67)/2)*'Reeksen (N)'!AD67*12),0)</f>
        <v>0</v>
      </c>
      <c r="AJ67" s="71">
        <f ca="1">-AI67*'Invoer gegevens (N)'!$F$28</f>
        <v>0</v>
      </c>
      <c r="AK67" s="71">
        <f t="shared" ca="1" si="4"/>
        <v>0</v>
      </c>
      <c r="AL67" s="71">
        <f ca="1">IF(C67=1,(12*((F67+H67)/2)*'Reeksen (N)'!AL67)+(12*('Invoer gegevens (N)'!$C$10-(F67+H67)/2)*'Reeksen (N)'!AM67),0)</f>
        <v>0</v>
      </c>
      <c r="AM67" s="71">
        <f ca="1">-AL67*'Invoer gegevens (N)'!$F$31</f>
        <v>0</v>
      </c>
      <c r="AN67" s="71">
        <f t="shared" ca="1" si="5"/>
        <v>0</v>
      </c>
      <c r="AO67" s="71"/>
      <c r="AP67" s="71"/>
      <c r="AQ67" s="71">
        <f ca="1">-IF(C67=1,('Invoer gegevens (N)'!$C$10*'Invoer gegevens (N)'!$F$35)*'Reeksen (N)'!J67,0)*2</f>
        <v>0</v>
      </c>
      <c r="AR67" s="71">
        <f ca="1">-IF(C67=1,(G67*'Invoer gegevens (N)'!$F$36)*'Reeksen (N)'!J67,0)</f>
        <v>0</v>
      </c>
      <c r="AS67" s="71">
        <f ca="1">-IF(C67=1,'Invoer gegevens (N)'!$C$10*'Invoer gegevens (N)'!$F$37*'Reeksen (N)'!L67,0)</f>
        <v>0</v>
      </c>
      <c r="AT67" s="71">
        <f ca="1">-IF(C67=1,IF(E67='Invoer gegevens (N)'!$C$17,'Invoer gegevens (N)'!$C$11,Q67)*'Reeksen (N)'!S67*'Invoer gegevens (N)'!$C$18*'Reeksen (N)'!P67,0)</f>
        <v>0</v>
      </c>
      <c r="AU67" s="71">
        <f ca="1">-IF(C67=1,'Invoer gegevens (N)'!$C$10*'Invoer gegevens (N)'!$F$38*'Reeksen (N)'!H67,0)</f>
        <v>0</v>
      </c>
      <c r="AV67" s="71">
        <v>0</v>
      </c>
      <c r="AW67" s="71">
        <f t="shared" ca="1" si="6"/>
        <v>0</v>
      </c>
      <c r="AX67" s="71">
        <f ca="1">IF(E67&lt;'Invoer gegevens (N)'!$C$17+15,0,IF('RW - MW - DE - DE (N)'!E67&gt;'Invoer gegevens (N)'!$C$17+215,0,'RW - MW - DE - DE (N)'!AW67))</f>
        <v>0</v>
      </c>
      <c r="AY67" s="71">
        <f ca="1">AX67/(1+'Invoer gegevens (N)'!$F$13)^($AZ67-('Invoer gegevens (N)'!$C$17-'Invoer gegevens (N)'!$C$16))/(1+'Invoer gegevens (N)'!$C$39)^('Invoer gegevens (N)'!$C$17-'Invoer gegevens (N)'!$C$16)</f>
        <v>0</v>
      </c>
      <c r="AZ67" s="68">
        <f ca="1">IF(E67-'Invoer gegevens (N)'!$C$17-14.5&lt;0,0,E67-'Invoer gegevens (N)'!$C$17-14.5)</f>
        <v>47.5</v>
      </c>
      <c r="BC67" s="71"/>
    </row>
    <row r="68" spans="2:55" s="230" customFormat="1" x14ac:dyDescent="0.25">
      <c r="B68" s="70">
        <f t="shared" si="7"/>
        <v>64</v>
      </c>
      <c r="C68" s="67">
        <f ca="1">IF(E68-'Invoer gegevens (N)'!$C$17&lt;0,0,1)</f>
        <v>1</v>
      </c>
      <c r="D68" s="68">
        <f t="shared" si="8"/>
        <v>63.5</v>
      </c>
      <c r="E68" s="69">
        <f ca="1">IF('Invoer gegevens (N)'!$C$16="","",E67+1)</f>
        <v>2082</v>
      </c>
      <c r="F68" s="82">
        <f ca="1">IF('Invoer gegevens (N)'!$C$17=E68,'Invoer gegevens (N)'!$C$10,IF(C68=1,H67,0))</f>
        <v>0</v>
      </c>
      <c r="G68" s="83">
        <f ca="1">IF(C68&gt;=1,F68*'Reeksen (N)'!C68,0)</f>
        <v>0</v>
      </c>
      <c r="H68" s="84">
        <f t="shared" ca="1" si="1"/>
        <v>0</v>
      </c>
      <c r="I68" s="85">
        <f ca="1">IF('Invoer gegevens (N)'!$C$17=E68,'Invoer gegevens (N)'!$C$11,IF(C68=1,L67,0))</f>
        <v>0</v>
      </c>
      <c r="J68" s="86">
        <f ca="1">IF(C68&lt;1,0,IF('Reeksen (N)'!AD68&lt;='Reeksen (N)'!AE68,I68*'Reeksen (N)'!C68,0))</f>
        <v>0</v>
      </c>
      <c r="K68" s="86">
        <f ca="1">IF(C68&lt;1,0,IF('Reeksen (N)'!AD68&gt;'Reeksen (N)'!AE68,I68*'Reeksen (N)'!C68,0))</f>
        <v>0</v>
      </c>
      <c r="L68" s="86">
        <f t="shared" ca="1" si="2"/>
        <v>0</v>
      </c>
      <c r="M68" s="85">
        <f ca="1">IF('Invoer gegevens (N)'!$C$17=E68,'Invoer gegevens (N)'!$C$10-'Invoer gegevens (N)'!$C$11,IF(C68=1,P67,0))</f>
        <v>0</v>
      </c>
      <c r="N68" s="86">
        <f ca="1">IF(C68&lt;1,0,IF('Reeksen (N)'!AD68&lt;='Reeksen (N)'!AE68,M68*'Reeksen (N)'!C68,0))</f>
        <v>0</v>
      </c>
      <c r="O68" s="86">
        <f ca="1">IF(C68&lt;1,0,IF('Reeksen (N)'!AD68&gt;'Reeksen (N)'!AE68,M68*'Reeksen (N)'!C68,0))</f>
        <v>0</v>
      </c>
      <c r="P68" s="86">
        <f t="shared" ca="1" si="3"/>
        <v>0</v>
      </c>
      <c r="Q68" s="82">
        <f ca="1">IF('Invoer gegevens (N)'!$C$17=E68,I68,IF(C68=0,0,R67))</f>
        <v>0</v>
      </c>
      <c r="R68" s="84">
        <f t="shared" ca="1" si="0"/>
        <v>0</v>
      </c>
      <c r="S68" s="84">
        <f ca="1">IF('Invoer gegevens (N)'!$C$17=E68,M68,IF(C68=0,0,T67))</f>
        <v>0</v>
      </c>
      <c r="T68" s="84">
        <f t="shared" ca="1" si="9"/>
        <v>0</v>
      </c>
      <c r="AI68" s="71">
        <f ca="1">IF(C68=1,((F68+H68)/2*'Reeksen (N)'!AI68*12)+(('Invoer gegevens (N)'!$C$10-(F68+H68)/2)*'Reeksen (N)'!AD68*12),0)</f>
        <v>0</v>
      </c>
      <c r="AJ68" s="71">
        <f ca="1">-AI68*'Invoer gegevens (N)'!$F$28</f>
        <v>0</v>
      </c>
      <c r="AK68" s="71">
        <f t="shared" ca="1" si="4"/>
        <v>0</v>
      </c>
      <c r="AL68" s="71">
        <f ca="1">IF(C68=1,(12*((F68+H68)/2)*'Reeksen (N)'!AL68)+(12*('Invoer gegevens (N)'!$C$10-(F68+H68)/2)*'Reeksen (N)'!AM68),0)</f>
        <v>0</v>
      </c>
      <c r="AM68" s="71">
        <f ca="1">-AL68*'Invoer gegevens (N)'!$F$31</f>
        <v>0</v>
      </c>
      <c r="AN68" s="71">
        <f t="shared" ca="1" si="5"/>
        <v>0</v>
      </c>
      <c r="AO68" s="71"/>
      <c r="AP68" s="71"/>
      <c r="AQ68" s="71">
        <f ca="1">-IF(C68=1,('Invoer gegevens (N)'!$C$10*'Invoer gegevens (N)'!$F$35)*'Reeksen (N)'!J68,0)*2</f>
        <v>0</v>
      </c>
      <c r="AR68" s="71">
        <f ca="1">-IF(C68=1,(G68*'Invoer gegevens (N)'!$F$36)*'Reeksen (N)'!J68,0)</f>
        <v>0</v>
      </c>
      <c r="AS68" s="71">
        <f ca="1">-IF(C68=1,'Invoer gegevens (N)'!$C$10*'Invoer gegevens (N)'!$F$37*'Reeksen (N)'!L68,0)</f>
        <v>0</v>
      </c>
      <c r="AT68" s="71">
        <f ca="1">-IF(C68=1,IF(E68='Invoer gegevens (N)'!$C$17,'Invoer gegevens (N)'!$C$11,Q68)*'Reeksen (N)'!S68*'Invoer gegevens (N)'!$C$18*'Reeksen (N)'!P68,0)</f>
        <v>0</v>
      </c>
      <c r="AU68" s="71">
        <f ca="1">-IF(C68=1,'Invoer gegevens (N)'!$C$10*'Invoer gegevens (N)'!$F$38*'Reeksen (N)'!H68,0)</f>
        <v>0</v>
      </c>
      <c r="AV68" s="71">
        <v>0</v>
      </c>
      <c r="AW68" s="71">
        <f t="shared" ca="1" si="6"/>
        <v>0</v>
      </c>
      <c r="AX68" s="71">
        <f ca="1">IF(E68&lt;'Invoer gegevens (N)'!$C$17+15,0,IF('RW - MW - DE - DE (N)'!E68&gt;'Invoer gegevens (N)'!$C$17+215,0,'RW - MW - DE - DE (N)'!AW68))</f>
        <v>0</v>
      </c>
      <c r="AY68" s="71">
        <f ca="1">AX68/(1+'Invoer gegevens (N)'!$F$13)^($AZ68-('Invoer gegevens (N)'!$C$17-'Invoer gegevens (N)'!$C$16))/(1+'Invoer gegevens (N)'!$C$39)^('Invoer gegevens (N)'!$C$17-'Invoer gegevens (N)'!$C$16)</f>
        <v>0</v>
      </c>
      <c r="AZ68" s="68">
        <f ca="1">IF(E68-'Invoer gegevens (N)'!$C$17-14.5&lt;0,0,E68-'Invoer gegevens (N)'!$C$17-14.5)</f>
        <v>48.5</v>
      </c>
      <c r="BC68" s="71"/>
    </row>
    <row r="69" spans="2:55" s="230" customFormat="1" x14ac:dyDescent="0.25">
      <c r="B69" s="70">
        <f t="shared" si="7"/>
        <v>65</v>
      </c>
      <c r="C69" s="67">
        <f ca="1">IF(E69-'Invoer gegevens (N)'!$C$17&lt;0,0,1)</f>
        <v>1</v>
      </c>
      <c r="D69" s="68">
        <f t="shared" si="8"/>
        <v>64.5</v>
      </c>
      <c r="E69" s="69">
        <f ca="1">IF('Invoer gegevens (N)'!$C$16="","",E68+1)</f>
        <v>2083</v>
      </c>
      <c r="F69" s="82">
        <f ca="1">IF('Invoer gegevens (N)'!$C$17=E69,'Invoer gegevens (N)'!$C$10,IF(C69=1,H68,0))</f>
        <v>0</v>
      </c>
      <c r="G69" s="83">
        <f ca="1">IF(C69&gt;=1,F69*'Reeksen (N)'!C69,0)</f>
        <v>0</v>
      </c>
      <c r="H69" s="84">
        <f t="shared" ca="1" si="1"/>
        <v>0</v>
      </c>
      <c r="I69" s="85">
        <f ca="1">IF('Invoer gegevens (N)'!$C$17=E69,'Invoer gegevens (N)'!$C$11,IF(C69=1,L68,0))</f>
        <v>0</v>
      </c>
      <c r="J69" s="86">
        <f ca="1">IF(C69&lt;1,0,IF('Reeksen (N)'!AD69&lt;='Reeksen (N)'!AE69,I69*'Reeksen (N)'!C69,0))</f>
        <v>0</v>
      </c>
      <c r="K69" s="86">
        <f ca="1">IF(C69&lt;1,0,IF('Reeksen (N)'!AD69&gt;'Reeksen (N)'!AE69,I69*'Reeksen (N)'!C69,0))</f>
        <v>0</v>
      </c>
      <c r="L69" s="86">
        <f t="shared" ca="1" si="2"/>
        <v>0</v>
      </c>
      <c r="M69" s="85">
        <f ca="1">IF('Invoer gegevens (N)'!$C$17=E69,'Invoer gegevens (N)'!$C$10-'Invoer gegevens (N)'!$C$11,IF(C69=1,P68,0))</f>
        <v>0</v>
      </c>
      <c r="N69" s="86">
        <f ca="1">IF(C69&lt;1,0,IF('Reeksen (N)'!AD69&lt;='Reeksen (N)'!AE69,M69*'Reeksen (N)'!C69,0))</f>
        <v>0</v>
      </c>
      <c r="O69" s="86">
        <f ca="1">IF(C69&lt;1,0,IF('Reeksen (N)'!AD69&gt;'Reeksen (N)'!AE69,M69*'Reeksen (N)'!C69,0))</f>
        <v>0</v>
      </c>
      <c r="P69" s="86">
        <f t="shared" ca="1" si="3"/>
        <v>0</v>
      </c>
      <c r="Q69" s="82">
        <f ca="1">IF('Invoer gegevens (N)'!$C$17=E69,I69,IF(C69=0,0,R68))</f>
        <v>0</v>
      </c>
      <c r="R69" s="84">
        <f t="shared" ref="R69:R132" ca="1" si="10">IF(C69=0,0,Q69-K69+N69)</f>
        <v>0</v>
      </c>
      <c r="S69" s="84">
        <f ca="1">IF('Invoer gegevens (N)'!$C$17=E69,M69,IF(C69=0,0,T68))</f>
        <v>0</v>
      </c>
      <c r="T69" s="84">
        <f t="shared" ca="1" si="9"/>
        <v>0</v>
      </c>
      <c r="AI69" s="71">
        <f ca="1">IF(C69=1,((F69+H69)/2*'Reeksen (N)'!AI69*12)+(('Invoer gegevens (N)'!$C$10-(F69+H69)/2)*'Reeksen (N)'!AD69*12),0)</f>
        <v>0</v>
      </c>
      <c r="AJ69" s="71">
        <f ca="1">-AI69*'Invoer gegevens (N)'!$F$28</f>
        <v>0</v>
      </c>
      <c r="AK69" s="71">
        <f t="shared" ca="1" si="4"/>
        <v>0</v>
      </c>
      <c r="AL69" s="71">
        <f ca="1">IF(C69=1,(12*((F69+H69)/2)*'Reeksen (N)'!AL69)+(12*('Invoer gegevens (N)'!$C$10-(F69+H69)/2)*'Reeksen (N)'!AM69),0)</f>
        <v>0</v>
      </c>
      <c r="AM69" s="71">
        <f ca="1">-AL69*'Invoer gegevens (N)'!$F$31</f>
        <v>0</v>
      </c>
      <c r="AN69" s="71">
        <f t="shared" ca="1" si="5"/>
        <v>0</v>
      </c>
      <c r="AO69" s="71"/>
      <c r="AP69" s="71"/>
      <c r="AQ69" s="71">
        <f ca="1">-IF(C69=1,('Invoer gegevens (N)'!$C$10*'Invoer gegevens (N)'!$F$35)*'Reeksen (N)'!J69,0)*2</f>
        <v>0</v>
      </c>
      <c r="AR69" s="71">
        <f ca="1">-IF(C69=1,(G69*'Invoer gegevens (N)'!$F$36)*'Reeksen (N)'!J69,0)</f>
        <v>0</v>
      </c>
      <c r="AS69" s="71">
        <f ca="1">-IF(C69=1,'Invoer gegevens (N)'!$C$10*'Invoer gegevens (N)'!$F$37*'Reeksen (N)'!L69,0)</f>
        <v>0</v>
      </c>
      <c r="AT69" s="71">
        <f ca="1">-IF(C69=1,IF(E69='Invoer gegevens (N)'!$C$17,'Invoer gegevens (N)'!$C$11,Q69)*'Reeksen (N)'!S69*'Invoer gegevens (N)'!$C$18*'Reeksen (N)'!P69,0)</f>
        <v>0</v>
      </c>
      <c r="AU69" s="71">
        <f ca="1">-IF(C69=1,'Invoer gegevens (N)'!$C$10*'Invoer gegevens (N)'!$F$38*'Reeksen (N)'!H69,0)</f>
        <v>0</v>
      </c>
      <c r="AV69" s="71">
        <v>0</v>
      </c>
      <c r="AW69" s="71">
        <f t="shared" ca="1" si="6"/>
        <v>0</v>
      </c>
      <c r="AX69" s="71">
        <f ca="1">IF(E69&lt;'Invoer gegevens (N)'!$C$17+15,0,IF('RW - MW - DE - DE (N)'!E69&gt;'Invoer gegevens (N)'!$C$17+215,0,'RW - MW - DE - DE (N)'!AW69))</f>
        <v>0</v>
      </c>
      <c r="AY69" s="71">
        <f ca="1">AX69/(1+'Invoer gegevens (N)'!$F$13)^($AZ69-('Invoer gegevens (N)'!$C$17-'Invoer gegevens (N)'!$C$16))/(1+'Invoer gegevens (N)'!$C$39)^('Invoer gegevens (N)'!$C$17-'Invoer gegevens (N)'!$C$16)</f>
        <v>0</v>
      </c>
      <c r="AZ69" s="68">
        <f ca="1">IF(E69-'Invoer gegevens (N)'!$C$17-14.5&lt;0,0,E69-'Invoer gegevens (N)'!$C$17-14.5)</f>
        <v>49.5</v>
      </c>
      <c r="BC69" s="71"/>
    </row>
    <row r="70" spans="2:55" s="230" customFormat="1" x14ac:dyDescent="0.25">
      <c r="B70" s="70">
        <f t="shared" si="7"/>
        <v>66</v>
      </c>
      <c r="C70" s="67">
        <f ca="1">IF(E70-'Invoer gegevens (N)'!$C$17&lt;0,0,1)</f>
        <v>1</v>
      </c>
      <c r="D70" s="68">
        <f t="shared" si="8"/>
        <v>65.5</v>
      </c>
      <c r="E70" s="69">
        <f ca="1">IF('Invoer gegevens (N)'!$C$16="","",E69+1)</f>
        <v>2084</v>
      </c>
      <c r="F70" s="82">
        <f ca="1">IF('Invoer gegevens (N)'!$C$17=E70,'Invoer gegevens (N)'!$C$10,IF(C70=1,H69,0))</f>
        <v>0</v>
      </c>
      <c r="G70" s="83">
        <f ca="1">IF(C70&gt;=1,F70*'Reeksen (N)'!C70,0)</f>
        <v>0</v>
      </c>
      <c r="H70" s="84">
        <f t="shared" ref="H70:H133" ca="1" si="11">F70-G70</f>
        <v>0</v>
      </c>
      <c r="I70" s="85">
        <f ca="1">IF('Invoer gegevens (N)'!$C$17=E70,'Invoer gegevens (N)'!$C$11,IF(C70=1,L69,0))</f>
        <v>0</v>
      </c>
      <c r="J70" s="86">
        <f ca="1">IF(C70&lt;1,0,IF('Reeksen (N)'!AD70&lt;='Reeksen (N)'!AE70,I70*'Reeksen (N)'!C70,0))</f>
        <v>0</v>
      </c>
      <c r="K70" s="86">
        <f ca="1">IF(C70&lt;1,0,IF('Reeksen (N)'!AD70&gt;'Reeksen (N)'!AE70,I70*'Reeksen (N)'!C70,0))</f>
        <v>0</v>
      </c>
      <c r="L70" s="86">
        <f t="shared" ref="L70:L133" ca="1" si="12">I70-J70-K70</f>
        <v>0</v>
      </c>
      <c r="M70" s="85">
        <f ca="1">IF('Invoer gegevens (N)'!$C$17=E70,'Invoer gegevens (N)'!$C$10-'Invoer gegevens (N)'!$C$11,IF(C70=1,P69,0))</f>
        <v>0</v>
      </c>
      <c r="N70" s="86">
        <f ca="1">IF(C70&lt;1,0,IF('Reeksen (N)'!AD70&lt;='Reeksen (N)'!AE70,M70*'Reeksen (N)'!C70,0))</f>
        <v>0</v>
      </c>
      <c r="O70" s="86">
        <f ca="1">IF(C70&lt;1,0,IF('Reeksen (N)'!AD70&gt;'Reeksen (N)'!AE70,M70*'Reeksen (N)'!C70,0))</f>
        <v>0</v>
      </c>
      <c r="P70" s="86">
        <f t="shared" ref="P70:P133" ca="1" si="13">M70-N70-O70</f>
        <v>0</v>
      </c>
      <c r="Q70" s="82">
        <f ca="1">IF('Invoer gegevens (N)'!$C$17=E70,I70,IF(C70=0,0,R69))</f>
        <v>0</v>
      </c>
      <c r="R70" s="84">
        <f t="shared" ca="1" si="10"/>
        <v>0</v>
      </c>
      <c r="S70" s="84">
        <f ca="1">IF('Invoer gegevens (N)'!$C$17=E70,M70,IF(C70=0,0,T69))</f>
        <v>0</v>
      </c>
      <c r="T70" s="84">
        <f t="shared" ca="1" si="9"/>
        <v>0</v>
      </c>
      <c r="AI70" s="71">
        <f ca="1">IF(C70=1,((F70+H70)/2*'Reeksen (N)'!AI70*12)+(('Invoer gegevens (N)'!$C$10-(F70+H70)/2)*'Reeksen (N)'!AD70*12),0)</f>
        <v>0</v>
      </c>
      <c r="AJ70" s="71">
        <f ca="1">-AI70*'Invoer gegevens (N)'!$F$28</f>
        <v>0</v>
      </c>
      <c r="AK70" s="71">
        <f t="shared" ref="AK70:AK133" ca="1" si="14">AI70+AJ70</f>
        <v>0</v>
      </c>
      <c r="AL70" s="71">
        <f ca="1">IF(C70=1,(12*((F70+H70)/2)*'Reeksen (N)'!AL70)+(12*('Invoer gegevens (N)'!$C$10-(F70+H70)/2)*'Reeksen (N)'!AM70),0)</f>
        <v>0</v>
      </c>
      <c r="AM70" s="71">
        <f ca="1">-AL70*'Invoer gegevens (N)'!$F$31</f>
        <v>0</v>
      </c>
      <c r="AN70" s="71">
        <f t="shared" ref="AN70:AN133" ca="1" si="15">AL70+AM70</f>
        <v>0</v>
      </c>
      <c r="AO70" s="71"/>
      <c r="AP70" s="71"/>
      <c r="AQ70" s="71">
        <f ca="1">-IF(C70=1,('Invoer gegevens (N)'!$C$10*'Invoer gegevens (N)'!$F$35)*'Reeksen (N)'!J70,0)*2</f>
        <v>0</v>
      </c>
      <c r="AR70" s="71">
        <f ca="1">-IF(C70=1,(G70*'Invoer gegevens (N)'!$F$36)*'Reeksen (N)'!J70,0)</f>
        <v>0</v>
      </c>
      <c r="AS70" s="71">
        <f ca="1">-IF(C70=1,'Invoer gegevens (N)'!$C$10*'Invoer gegevens (N)'!$F$37*'Reeksen (N)'!L70,0)</f>
        <v>0</v>
      </c>
      <c r="AT70" s="71">
        <f ca="1">-IF(C70=1,IF(E70='Invoer gegevens (N)'!$C$17,'Invoer gegevens (N)'!$C$11,Q70)*'Reeksen (N)'!S70*'Invoer gegevens (N)'!$C$18*'Reeksen (N)'!P70,0)</f>
        <v>0</v>
      </c>
      <c r="AU70" s="71">
        <f ca="1">-IF(C70=1,'Invoer gegevens (N)'!$C$10*'Invoer gegevens (N)'!$F$38*'Reeksen (N)'!H70,0)</f>
        <v>0</v>
      </c>
      <c r="AV70" s="71">
        <v>0</v>
      </c>
      <c r="AW70" s="71">
        <f t="shared" ref="AW70:AW133" ca="1" si="16">SUM(AK70,AN70:AV70)</f>
        <v>0</v>
      </c>
      <c r="AX70" s="71">
        <f ca="1">IF(E70&lt;'Invoer gegevens (N)'!$C$17+15,0,IF('RW - MW - DE - DE (N)'!E70&gt;'Invoer gegevens (N)'!$C$17+215,0,'RW - MW - DE - DE (N)'!AW70))</f>
        <v>0</v>
      </c>
      <c r="AY70" s="71">
        <f ca="1">AX70/(1+'Invoer gegevens (N)'!$F$13)^($AZ70-('Invoer gegevens (N)'!$C$17-'Invoer gegevens (N)'!$C$16))/(1+'Invoer gegevens (N)'!$C$39)^('Invoer gegevens (N)'!$C$17-'Invoer gegevens (N)'!$C$16)</f>
        <v>0</v>
      </c>
      <c r="AZ70" s="68">
        <f ca="1">IF(E70-'Invoer gegevens (N)'!$C$17-14.5&lt;0,0,E70-'Invoer gegevens (N)'!$C$17-14.5)</f>
        <v>50.5</v>
      </c>
      <c r="BC70" s="71"/>
    </row>
    <row r="71" spans="2:55" s="230" customFormat="1" x14ac:dyDescent="0.25">
      <c r="B71" s="70">
        <f t="shared" ref="B71:B134" si="17">B70+1</f>
        <v>67</v>
      </c>
      <c r="C71" s="67">
        <f ca="1">IF(E71-'Invoer gegevens (N)'!$C$17&lt;0,0,1)</f>
        <v>1</v>
      </c>
      <c r="D71" s="68">
        <f t="shared" ref="D71:D134" si="18">D70+1</f>
        <v>66.5</v>
      </c>
      <c r="E71" s="69">
        <f ca="1">IF('Invoer gegevens (N)'!$C$16="","",E70+1)</f>
        <v>2085</v>
      </c>
      <c r="F71" s="82">
        <f ca="1">IF('Invoer gegevens (N)'!$C$17=E71,'Invoer gegevens (N)'!$C$10,IF(C71=1,H70,0))</f>
        <v>0</v>
      </c>
      <c r="G71" s="83">
        <f ca="1">IF(C71&gt;=1,F71*'Reeksen (N)'!C71,0)</f>
        <v>0</v>
      </c>
      <c r="H71" s="84">
        <f t="shared" ca="1" si="11"/>
        <v>0</v>
      </c>
      <c r="I71" s="85">
        <f ca="1">IF('Invoer gegevens (N)'!$C$17=E71,'Invoer gegevens (N)'!$C$11,IF(C71=1,L70,0))</f>
        <v>0</v>
      </c>
      <c r="J71" s="86">
        <f ca="1">IF(C71&lt;1,0,IF('Reeksen (N)'!AD71&lt;='Reeksen (N)'!AE71,I71*'Reeksen (N)'!C71,0))</f>
        <v>0</v>
      </c>
      <c r="K71" s="86">
        <f ca="1">IF(C71&lt;1,0,IF('Reeksen (N)'!AD71&gt;'Reeksen (N)'!AE71,I71*'Reeksen (N)'!C71,0))</f>
        <v>0</v>
      </c>
      <c r="L71" s="86">
        <f t="shared" ca="1" si="12"/>
        <v>0</v>
      </c>
      <c r="M71" s="85">
        <f ca="1">IF('Invoer gegevens (N)'!$C$17=E71,'Invoer gegevens (N)'!$C$10-'Invoer gegevens (N)'!$C$11,IF(C71=1,P70,0))</f>
        <v>0</v>
      </c>
      <c r="N71" s="86">
        <f ca="1">IF(C71&lt;1,0,IF('Reeksen (N)'!AD71&lt;='Reeksen (N)'!AE71,M71*'Reeksen (N)'!C71,0))</f>
        <v>0</v>
      </c>
      <c r="O71" s="86">
        <f ca="1">IF(C71&lt;1,0,IF('Reeksen (N)'!AD71&gt;'Reeksen (N)'!AE71,M71*'Reeksen (N)'!C71,0))</f>
        <v>0</v>
      </c>
      <c r="P71" s="86">
        <f t="shared" ca="1" si="13"/>
        <v>0</v>
      </c>
      <c r="Q71" s="82">
        <f ca="1">IF('Invoer gegevens (N)'!$C$17=E71,I71,IF(C71=0,0,R70))</f>
        <v>0</v>
      </c>
      <c r="R71" s="84">
        <f t="shared" ca="1" si="10"/>
        <v>0</v>
      </c>
      <c r="S71" s="84">
        <f ca="1">IF('Invoer gegevens (N)'!$C$17=E71,M71,IF(C71=0,0,T70))</f>
        <v>0</v>
      </c>
      <c r="T71" s="84">
        <f t="shared" ref="T71:T134" ca="1" si="19">IF(C71=0,0,S71-N71+K71)</f>
        <v>0</v>
      </c>
      <c r="AI71" s="71">
        <f ca="1">IF(C71=1,((F71+H71)/2*'Reeksen (N)'!AI71*12)+(('Invoer gegevens (N)'!$C$10-(F71+H71)/2)*'Reeksen (N)'!AD71*12),0)</f>
        <v>0</v>
      </c>
      <c r="AJ71" s="71">
        <f ca="1">-AI71*'Invoer gegevens (N)'!$F$28</f>
        <v>0</v>
      </c>
      <c r="AK71" s="71">
        <f t="shared" ca="1" si="14"/>
        <v>0</v>
      </c>
      <c r="AL71" s="71">
        <f ca="1">IF(C71=1,(12*((F71+H71)/2)*'Reeksen (N)'!AL71)+(12*('Invoer gegevens (N)'!$C$10-(F71+H71)/2)*'Reeksen (N)'!AM71),0)</f>
        <v>0</v>
      </c>
      <c r="AM71" s="71">
        <f ca="1">-AL71*'Invoer gegevens (N)'!$F$31</f>
        <v>0</v>
      </c>
      <c r="AN71" s="71">
        <f t="shared" ca="1" si="15"/>
        <v>0</v>
      </c>
      <c r="AO71" s="71"/>
      <c r="AP71" s="71"/>
      <c r="AQ71" s="71">
        <f ca="1">-IF(C71=1,('Invoer gegevens (N)'!$C$10*'Invoer gegevens (N)'!$F$35)*'Reeksen (N)'!J71,0)*2</f>
        <v>0</v>
      </c>
      <c r="AR71" s="71">
        <f ca="1">-IF(C71=1,(G71*'Invoer gegevens (N)'!$F$36)*'Reeksen (N)'!J71,0)</f>
        <v>0</v>
      </c>
      <c r="AS71" s="71">
        <f ca="1">-IF(C71=1,'Invoer gegevens (N)'!$C$10*'Invoer gegevens (N)'!$F$37*'Reeksen (N)'!L71,0)</f>
        <v>0</v>
      </c>
      <c r="AT71" s="71">
        <f ca="1">-IF(C71=1,IF(E71='Invoer gegevens (N)'!$C$17,'Invoer gegevens (N)'!$C$11,Q71)*'Reeksen (N)'!S71*'Invoer gegevens (N)'!$C$18*'Reeksen (N)'!P71,0)</f>
        <v>0</v>
      </c>
      <c r="AU71" s="71">
        <f ca="1">-IF(C71=1,'Invoer gegevens (N)'!$C$10*'Invoer gegevens (N)'!$F$38*'Reeksen (N)'!H71,0)</f>
        <v>0</v>
      </c>
      <c r="AV71" s="71">
        <v>0</v>
      </c>
      <c r="AW71" s="71">
        <f t="shared" ca="1" si="16"/>
        <v>0</v>
      </c>
      <c r="AX71" s="71">
        <f ca="1">IF(E71&lt;'Invoer gegevens (N)'!$C$17+15,0,IF('RW - MW - DE - DE (N)'!E71&gt;'Invoer gegevens (N)'!$C$17+215,0,'RW - MW - DE - DE (N)'!AW71))</f>
        <v>0</v>
      </c>
      <c r="AY71" s="71">
        <f ca="1">AX71/(1+'Invoer gegevens (N)'!$F$13)^($AZ71-('Invoer gegevens (N)'!$C$17-'Invoer gegevens (N)'!$C$16))/(1+'Invoer gegevens (N)'!$C$39)^('Invoer gegevens (N)'!$C$17-'Invoer gegevens (N)'!$C$16)</f>
        <v>0</v>
      </c>
      <c r="AZ71" s="68">
        <f ca="1">IF(E71-'Invoer gegevens (N)'!$C$17-14.5&lt;0,0,E71-'Invoer gegevens (N)'!$C$17-14.5)</f>
        <v>51.5</v>
      </c>
      <c r="BC71" s="71"/>
    </row>
    <row r="72" spans="2:55" s="230" customFormat="1" x14ac:dyDescent="0.25">
      <c r="B72" s="70">
        <f t="shared" si="17"/>
        <v>68</v>
      </c>
      <c r="C72" s="67">
        <f ca="1">IF(E72-'Invoer gegevens (N)'!$C$17&lt;0,0,1)</f>
        <v>1</v>
      </c>
      <c r="D72" s="68">
        <f t="shared" si="18"/>
        <v>67.5</v>
      </c>
      <c r="E72" s="69">
        <f ca="1">IF('Invoer gegevens (N)'!$C$16="","",E71+1)</f>
        <v>2086</v>
      </c>
      <c r="F72" s="82">
        <f ca="1">IF('Invoer gegevens (N)'!$C$17=E72,'Invoer gegevens (N)'!$C$10,IF(C72=1,H71,0))</f>
        <v>0</v>
      </c>
      <c r="G72" s="83">
        <f ca="1">IF(C72&gt;=1,F72*'Reeksen (N)'!C72,0)</f>
        <v>0</v>
      </c>
      <c r="H72" s="84">
        <f t="shared" ca="1" si="11"/>
        <v>0</v>
      </c>
      <c r="I72" s="85">
        <f ca="1">IF('Invoer gegevens (N)'!$C$17=E72,'Invoer gegevens (N)'!$C$11,IF(C72=1,L71,0))</f>
        <v>0</v>
      </c>
      <c r="J72" s="86">
        <f ca="1">IF(C72&lt;1,0,IF('Reeksen (N)'!AD72&lt;='Reeksen (N)'!AE72,I72*'Reeksen (N)'!C72,0))</f>
        <v>0</v>
      </c>
      <c r="K72" s="86">
        <f ca="1">IF(C72&lt;1,0,IF('Reeksen (N)'!AD72&gt;'Reeksen (N)'!AE72,I72*'Reeksen (N)'!C72,0))</f>
        <v>0</v>
      </c>
      <c r="L72" s="86">
        <f t="shared" ca="1" si="12"/>
        <v>0</v>
      </c>
      <c r="M72" s="85">
        <f ca="1">IF('Invoer gegevens (N)'!$C$17=E72,'Invoer gegevens (N)'!$C$10-'Invoer gegevens (N)'!$C$11,IF(C72=1,P71,0))</f>
        <v>0</v>
      </c>
      <c r="N72" s="86">
        <f ca="1">IF(C72&lt;1,0,IF('Reeksen (N)'!AD72&lt;='Reeksen (N)'!AE72,M72*'Reeksen (N)'!C72,0))</f>
        <v>0</v>
      </c>
      <c r="O72" s="86">
        <f ca="1">IF(C72&lt;1,0,IF('Reeksen (N)'!AD72&gt;'Reeksen (N)'!AE72,M72*'Reeksen (N)'!C72,0))</f>
        <v>0</v>
      </c>
      <c r="P72" s="86">
        <f t="shared" ca="1" si="13"/>
        <v>0</v>
      </c>
      <c r="Q72" s="82">
        <f ca="1">IF('Invoer gegevens (N)'!$C$17=E72,I72,IF(C72=0,0,R71))</f>
        <v>0</v>
      </c>
      <c r="R72" s="84">
        <f t="shared" ca="1" si="10"/>
        <v>0</v>
      </c>
      <c r="S72" s="84">
        <f ca="1">IF('Invoer gegevens (N)'!$C$17=E72,M72,IF(C72=0,0,T71))</f>
        <v>0</v>
      </c>
      <c r="T72" s="84">
        <f t="shared" ca="1" si="19"/>
        <v>0</v>
      </c>
      <c r="AI72" s="71">
        <f ca="1">IF(C72=1,((F72+H72)/2*'Reeksen (N)'!AI72*12)+(('Invoer gegevens (N)'!$C$10-(F72+H72)/2)*'Reeksen (N)'!AD72*12),0)</f>
        <v>0</v>
      </c>
      <c r="AJ72" s="71">
        <f ca="1">-AI72*'Invoer gegevens (N)'!$F$28</f>
        <v>0</v>
      </c>
      <c r="AK72" s="71">
        <f t="shared" ca="1" si="14"/>
        <v>0</v>
      </c>
      <c r="AL72" s="71">
        <f ca="1">IF(C72=1,(12*((F72+H72)/2)*'Reeksen (N)'!AL72)+(12*('Invoer gegevens (N)'!$C$10-(F72+H72)/2)*'Reeksen (N)'!AM72),0)</f>
        <v>0</v>
      </c>
      <c r="AM72" s="71">
        <f ca="1">-AL72*'Invoer gegevens (N)'!$F$31</f>
        <v>0</v>
      </c>
      <c r="AN72" s="71">
        <f t="shared" ca="1" si="15"/>
        <v>0</v>
      </c>
      <c r="AO72" s="71"/>
      <c r="AP72" s="71"/>
      <c r="AQ72" s="71">
        <f ca="1">-IF(C72=1,('Invoer gegevens (N)'!$C$10*'Invoer gegevens (N)'!$F$35)*'Reeksen (N)'!J72,0)*2</f>
        <v>0</v>
      </c>
      <c r="AR72" s="71">
        <f ca="1">-IF(C72=1,(G72*'Invoer gegevens (N)'!$F$36)*'Reeksen (N)'!J72,0)</f>
        <v>0</v>
      </c>
      <c r="AS72" s="71">
        <f ca="1">-IF(C72=1,'Invoer gegevens (N)'!$C$10*'Invoer gegevens (N)'!$F$37*'Reeksen (N)'!L72,0)</f>
        <v>0</v>
      </c>
      <c r="AT72" s="71">
        <f ca="1">-IF(C72=1,IF(E72='Invoer gegevens (N)'!$C$17,'Invoer gegevens (N)'!$C$11,Q72)*'Reeksen (N)'!S72*'Invoer gegevens (N)'!$C$18*'Reeksen (N)'!P72,0)</f>
        <v>0</v>
      </c>
      <c r="AU72" s="71">
        <f ca="1">-IF(C72=1,'Invoer gegevens (N)'!$C$10*'Invoer gegevens (N)'!$F$38*'Reeksen (N)'!H72,0)</f>
        <v>0</v>
      </c>
      <c r="AV72" s="71">
        <v>0</v>
      </c>
      <c r="AW72" s="71">
        <f t="shared" ca="1" si="16"/>
        <v>0</v>
      </c>
      <c r="AX72" s="71">
        <f ca="1">IF(E72&lt;'Invoer gegevens (N)'!$C$17+15,0,IF('RW - MW - DE - DE (N)'!E72&gt;'Invoer gegevens (N)'!$C$17+215,0,'RW - MW - DE - DE (N)'!AW72))</f>
        <v>0</v>
      </c>
      <c r="AY72" s="71">
        <f ca="1">AX72/(1+'Invoer gegevens (N)'!$F$13)^($AZ72-('Invoer gegevens (N)'!$C$17-'Invoer gegevens (N)'!$C$16))/(1+'Invoer gegevens (N)'!$C$39)^('Invoer gegevens (N)'!$C$17-'Invoer gegevens (N)'!$C$16)</f>
        <v>0</v>
      </c>
      <c r="AZ72" s="68">
        <f ca="1">IF(E72-'Invoer gegevens (N)'!$C$17-14.5&lt;0,0,E72-'Invoer gegevens (N)'!$C$17-14.5)</f>
        <v>52.5</v>
      </c>
      <c r="BC72" s="71"/>
    </row>
    <row r="73" spans="2:55" s="230" customFormat="1" x14ac:dyDescent="0.25">
      <c r="B73" s="70">
        <f t="shared" si="17"/>
        <v>69</v>
      </c>
      <c r="C73" s="67">
        <f ca="1">IF(E73-'Invoer gegevens (N)'!$C$17&lt;0,0,1)</f>
        <v>1</v>
      </c>
      <c r="D73" s="68">
        <f t="shared" si="18"/>
        <v>68.5</v>
      </c>
      <c r="E73" s="69">
        <f ca="1">IF('Invoer gegevens (N)'!$C$16="","",E72+1)</f>
        <v>2087</v>
      </c>
      <c r="F73" s="82">
        <f ca="1">IF('Invoer gegevens (N)'!$C$17=E73,'Invoer gegevens (N)'!$C$10,IF(C73=1,H72,0))</f>
        <v>0</v>
      </c>
      <c r="G73" s="83">
        <f ca="1">IF(C73&gt;=1,F73*'Reeksen (N)'!C73,0)</f>
        <v>0</v>
      </c>
      <c r="H73" s="84">
        <f t="shared" ca="1" si="11"/>
        <v>0</v>
      </c>
      <c r="I73" s="85">
        <f ca="1">IF('Invoer gegevens (N)'!$C$17=E73,'Invoer gegevens (N)'!$C$11,IF(C73=1,L72,0))</f>
        <v>0</v>
      </c>
      <c r="J73" s="86">
        <f ca="1">IF(C73&lt;1,0,IF('Reeksen (N)'!AD73&lt;='Reeksen (N)'!AE73,I73*'Reeksen (N)'!C73,0))</f>
        <v>0</v>
      </c>
      <c r="K73" s="86">
        <f ca="1">IF(C73&lt;1,0,IF('Reeksen (N)'!AD73&gt;'Reeksen (N)'!AE73,I73*'Reeksen (N)'!C73,0))</f>
        <v>0</v>
      </c>
      <c r="L73" s="86">
        <f t="shared" ca="1" si="12"/>
        <v>0</v>
      </c>
      <c r="M73" s="85">
        <f ca="1">IF('Invoer gegevens (N)'!$C$17=E73,'Invoer gegevens (N)'!$C$10-'Invoer gegevens (N)'!$C$11,IF(C73=1,P72,0))</f>
        <v>0</v>
      </c>
      <c r="N73" s="86">
        <f ca="1">IF(C73&lt;1,0,IF('Reeksen (N)'!AD73&lt;='Reeksen (N)'!AE73,M73*'Reeksen (N)'!C73,0))</f>
        <v>0</v>
      </c>
      <c r="O73" s="86">
        <f ca="1">IF(C73&lt;1,0,IF('Reeksen (N)'!AD73&gt;'Reeksen (N)'!AE73,M73*'Reeksen (N)'!C73,0))</f>
        <v>0</v>
      </c>
      <c r="P73" s="86">
        <f t="shared" ca="1" si="13"/>
        <v>0</v>
      </c>
      <c r="Q73" s="82">
        <f ca="1">IF('Invoer gegevens (N)'!$C$17=E73,I73,IF(C73=0,0,R72))</f>
        <v>0</v>
      </c>
      <c r="R73" s="84">
        <f t="shared" ca="1" si="10"/>
        <v>0</v>
      </c>
      <c r="S73" s="84">
        <f ca="1">IF('Invoer gegevens (N)'!$C$17=E73,M73,IF(C73=0,0,T72))</f>
        <v>0</v>
      </c>
      <c r="T73" s="84">
        <f t="shared" ca="1" si="19"/>
        <v>0</v>
      </c>
      <c r="AI73" s="71">
        <f ca="1">IF(C73=1,((F73+H73)/2*'Reeksen (N)'!AI73*12)+(('Invoer gegevens (N)'!$C$10-(F73+H73)/2)*'Reeksen (N)'!AD73*12),0)</f>
        <v>0</v>
      </c>
      <c r="AJ73" s="71">
        <f ca="1">-AI73*'Invoer gegevens (N)'!$F$28</f>
        <v>0</v>
      </c>
      <c r="AK73" s="71">
        <f t="shared" ca="1" si="14"/>
        <v>0</v>
      </c>
      <c r="AL73" s="71">
        <f ca="1">IF(C73=1,(12*((F73+H73)/2)*'Reeksen (N)'!AL73)+(12*('Invoer gegevens (N)'!$C$10-(F73+H73)/2)*'Reeksen (N)'!AM73),0)</f>
        <v>0</v>
      </c>
      <c r="AM73" s="71">
        <f ca="1">-AL73*'Invoer gegevens (N)'!$F$31</f>
        <v>0</v>
      </c>
      <c r="AN73" s="71">
        <f t="shared" ca="1" si="15"/>
        <v>0</v>
      </c>
      <c r="AO73" s="71"/>
      <c r="AP73" s="71"/>
      <c r="AQ73" s="71">
        <f ca="1">-IF(C73=1,('Invoer gegevens (N)'!$C$10*'Invoer gegevens (N)'!$F$35)*'Reeksen (N)'!J73,0)*2</f>
        <v>0</v>
      </c>
      <c r="AR73" s="71">
        <f ca="1">-IF(C73=1,(G73*'Invoer gegevens (N)'!$F$36)*'Reeksen (N)'!J73,0)</f>
        <v>0</v>
      </c>
      <c r="AS73" s="71">
        <f ca="1">-IF(C73=1,'Invoer gegevens (N)'!$C$10*'Invoer gegevens (N)'!$F$37*'Reeksen (N)'!L73,0)</f>
        <v>0</v>
      </c>
      <c r="AT73" s="71">
        <f ca="1">-IF(C73=1,IF(E73='Invoer gegevens (N)'!$C$17,'Invoer gegevens (N)'!$C$11,Q73)*'Reeksen (N)'!S73*'Invoer gegevens (N)'!$C$18*'Reeksen (N)'!P73,0)</f>
        <v>0</v>
      </c>
      <c r="AU73" s="71">
        <f ca="1">-IF(C73=1,'Invoer gegevens (N)'!$C$10*'Invoer gegevens (N)'!$F$38*'Reeksen (N)'!H73,0)</f>
        <v>0</v>
      </c>
      <c r="AV73" s="71">
        <v>0</v>
      </c>
      <c r="AW73" s="71">
        <f t="shared" ca="1" si="16"/>
        <v>0</v>
      </c>
      <c r="AX73" s="71">
        <f ca="1">IF(E73&lt;'Invoer gegevens (N)'!$C$17+15,0,IF('RW - MW - DE - DE (N)'!E73&gt;'Invoer gegevens (N)'!$C$17+215,0,'RW - MW - DE - DE (N)'!AW73))</f>
        <v>0</v>
      </c>
      <c r="AY73" s="71">
        <f ca="1">AX73/(1+'Invoer gegevens (N)'!$F$13)^($AZ73-('Invoer gegevens (N)'!$C$17-'Invoer gegevens (N)'!$C$16))/(1+'Invoer gegevens (N)'!$C$39)^('Invoer gegevens (N)'!$C$17-'Invoer gegevens (N)'!$C$16)</f>
        <v>0</v>
      </c>
      <c r="AZ73" s="68">
        <f ca="1">IF(E73-'Invoer gegevens (N)'!$C$17-14.5&lt;0,0,E73-'Invoer gegevens (N)'!$C$17-14.5)</f>
        <v>53.5</v>
      </c>
      <c r="BC73" s="71"/>
    </row>
    <row r="74" spans="2:55" s="230" customFormat="1" x14ac:dyDescent="0.25">
      <c r="B74" s="70">
        <f t="shared" si="17"/>
        <v>70</v>
      </c>
      <c r="C74" s="67">
        <f ca="1">IF(E74-'Invoer gegevens (N)'!$C$17&lt;0,0,1)</f>
        <v>1</v>
      </c>
      <c r="D74" s="68">
        <f t="shared" si="18"/>
        <v>69.5</v>
      </c>
      <c r="E74" s="69">
        <f ca="1">IF('Invoer gegevens (N)'!$C$16="","",E73+1)</f>
        <v>2088</v>
      </c>
      <c r="F74" s="82">
        <f ca="1">IF('Invoer gegevens (N)'!$C$17=E74,'Invoer gegevens (N)'!$C$10,IF(C74=1,H73,0))</f>
        <v>0</v>
      </c>
      <c r="G74" s="83">
        <f ca="1">IF(C74&gt;=1,F74*'Reeksen (N)'!C74,0)</f>
        <v>0</v>
      </c>
      <c r="H74" s="84">
        <f t="shared" ca="1" si="11"/>
        <v>0</v>
      </c>
      <c r="I74" s="85">
        <f ca="1">IF('Invoer gegevens (N)'!$C$17=E74,'Invoer gegevens (N)'!$C$11,IF(C74=1,L73,0))</f>
        <v>0</v>
      </c>
      <c r="J74" s="86">
        <f ca="1">IF(C74&lt;1,0,IF('Reeksen (N)'!AD74&lt;='Reeksen (N)'!AE74,I74*'Reeksen (N)'!C74,0))</f>
        <v>0</v>
      </c>
      <c r="K74" s="86">
        <f ca="1">IF(C74&lt;1,0,IF('Reeksen (N)'!AD74&gt;'Reeksen (N)'!AE74,I74*'Reeksen (N)'!C74,0))</f>
        <v>0</v>
      </c>
      <c r="L74" s="86">
        <f t="shared" ca="1" si="12"/>
        <v>0</v>
      </c>
      <c r="M74" s="85">
        <f ca="1">IF('Invoer gegevens (N)'!$C$17=E74,'Invoer gegevens (N)'!$C$10-'Invoer gegevens (N)'!$C$11,IF(C74=1,P73,0))</f>
        <v>0</v>
      </c>
      <c r="N74" s="86">
        <f ca="1">IF(C74&lt;1,0,IF('Reeksen (N)'!AD74&lt;='Reeksen (N)'!AE74,M74*'Reeksen (N)'!C74,0))</f>
        <v>0</v>
      </c>
      <c r="O74" s="86">
        <f ca="1">IF(C74&lt;1,0,IF('Reeksen (N)'!AD74&gt;'Reeksen (N)'!AE74,M74*'Reeksen (N)'!C74,0))</f>
        <v>0</v>
      </c>
      <c r="P74" s="86">
        <f t="shared" ca="1" si="13"/>
        <v>0</v>
      </c>
      <c r="Q74" s="82">
        <f ca="1">IF('Invoer gegevens (N)'!$C$17=E74,I74,IF(C74=0,0,R73))</f>
        <v>0</v>
      </c>
      <c r="R74" s="84">
        <f t="shared" ca="1" si="10"/>
        <v>0</v>
      </c>
      <c r="S74" s="84">
        <f ca="1">IF('Invoer gegevens (N)'!$C$17=E74,M74,IF(C74=0,0,T73))</f>
        <v>0</v>
      </c>
      <c r="T74" s="84">
        <f t="shared" ca="1" si="19"/>
        <v>0</v>
      </c>
      <c r="AI74" s="71">
        <f ca="1">IF(C74=1,((F74+H74)/2*'Reeksen (N)'!AI74*12)+(('Invoer gegevens (N)'!$C$10-(F74+H74)/2)*'Reeksen (N)'!AD74*12),0)</f>
        <v>0</v>
      </c>
      <c r="AJ74" s="71">
        <f ca="1">-AI74*'Invoer gegevens (N)'!$F$28</f>
        <v>0</v>
      </c>
      <c r="AK74" s="71">
        <f t="shared" ca="1" si="14"/>
        <v>0</v>
      </c>
      <c r="AL74" s="71">
        <f ca="1">IF(C74=1,(12*((F74+H74)/2)*'Reeksen (N)'!AL74)+(12*('Invoer gegevens (N)'!$C$10-(F74+H74)/2)*'Reeksen (N)'!AM74),0)</f>
        <v>0</v>
      </c>
      <c r="AM74" s="71">
        <f ca="1">-AL74*'Invoer gegevens (N)'!$F$31</f>
        <v>0</v>
      </c>
      <c r="AN74" s="71">
        <f t="shared" ca="1" si="15"/>
        <v>0</v>
      </c>
      <c r="AO74" s="71"/>
      <c r="AP74" s="71"/>
      <c r="AQ74" s="71">
        <f ca="1">-IF(C74=1,('Invoer gegevens (N)'!$C$10*'Invoer gegevens (N)'!$F$35)*'Reeksen (N)'!J74,0)*2</f>
        <v>0</v>
      </c>
      <c r="AR74" s="71">
        <f ca="1">-IF(C74=1,(G74*'Invoer gegevens (N)'!$F$36)*'Reeksen (N)'!J74,0)</f>
        <v>0</v>
      </c>
      <c r="AS74" s="71">
        <f ca="1">-IF(C74=1,'Invoer gegevens (N)'!$C$10*'Invoer gegevens (N)'!$F$37*'Reeksen (N)'!L74,0)</f>
        <v>0</v>
      </c>
      <c r="AT74" s="71">
        <f ca="1">-IF(C74=1,IF(E74='Invoer gegevens (N)'!$C$17,'Invoer gegevens (N)'!$C$11,Q74)*'Reeksen (N)'!S74*'Invoer gegevens (N)'!$C$18*'Reeksen (N)'!P74,0)</f>
        <v>0</v>
      </c>
      <c r="AU74" s="71">
        <f ca="1">-IF(C74=1,'Invoer gegevens (N)'!$C$10*'Invoer gegevens (N)'!$F$38*'Reeksen (N)'!H74,0)</f>
        <v>0</v>
      </c>
      <c r="AV74" s="71">
        <v>0</v>
      </c>
      <c r="AW74" s="71">
        <f t="shared" ca="1" si="16"/>
        <v>0</v>
      </c>
      <c r="AX74" s="71">
        <f ca="1">IF(E74&lt;'Invoer gegevens (N)'!$C$17+15,0,IF('RW - MW - DE - DE (N)'!E74&gt;'Invoer gegevens (N)'!$C$17+215,0,'RW - MW - DE - DE (N)'!AW74))</f>
        <v>0</v>
      </c>
      <c r="AY74" s="71">
        <f ca="1">AX74/(1+'Invoer gegevens (N)'!$F$13)^($AZ74-('Invoer gegevens (N)'!$C$17-'Invoer gegevens (N)'!$C$16))/(1+'Invoer gegevens (N)'!$C$39)^('Invoer gegevens (N)'!$C$17-'Invoer gegevens (N)'!$C$16)</f>
        <v>0</v>
      </c>
      <c r="AZ74" s="68">
        <f ca="1">IF(E74-'Invoer gegevens (N)'!$C$17-14.5&lt;0,0,E74-'Invoer gegevens (N)'!$C$17-14.5)</f>
        <v>54.5</v>
      </c>
      <c r="BC74" s="71"/>
    </row>
    <row r="75" spans="2:55" s="230" customFormat="1" x14ac:dyDescent="0.25">
      <c r="B75" s="70">
        <f t="shared" si="17"/>
        <v>71</v>
      </c>
      <c r="C75" s="67">
        <f ca="1">IF(E75-'Invoer gegevens (N)'!$C$17&lt;0,0,1)</f>
        <v>1</v>
      </c>
      <c r="D75" s="68">
        <f t="shared" si="18"/>
        <v>70.5</v>
      </c>
      <c r="E75" s="69">
        <f ca="1">IF('Invoer gegevens (N)'!$C$16="","",E74+1)</f>
        <v>2089</v>
      </c>
      <c r="F75" s="82">
        <f ca="1">IF('Invoer gegevens (N)'!$C$17=E75,'Invoer gegevens (N)'!$C$10,IF(C75=1,H74,0))</f>
        <v>0</v>
      </c>
      <c r="G75" s="83">
        <f ca="1">IF(C75&gt;=1,F75*'Reeksen (N)'!C75,0)</f>
        <v>0</v>
      </c>
      <c r="H75" s="84">
        <f t="shared" ca="1" si="11"/>
        <v>0</v>
      </c>
      <c r="I75" s="85">
        <f ca="1">IF('Invoer gegevens (N)'!$C$17=E75,'Invoer gegevens (N)'!$C$11,IF(C75=1,L74,0))</f>
        <v>0</v>
      </c>
      <c r="J75" s="86">
        <f ca="1">IF(C75&lt;1,0,IF('Reeksen (N)'!AD75&lt;='Reeksen (N)'!AE75,I75*'Reeksen (N)'!C75,0))</f>
        <v>0</v>
      </c>
      <c r="K75" s="86">
        <f ca="1">IF(C75&lt;1,0,IF('Reeksen (N)'!AD75&gt;'Reeksen (N)'!AE75,I75*'Reeksen (N)'!C75,0))</f>
        <v>0</v>
      </c>
      <c r="L75" s="86">
        <f t="shared" ca="1" si="12"/>
        <v>0</v>
      </c>
      <c r="M75" s="85">
        <f ca="1">IF('Invoer gegevens (N)'!$C$17=E75,'Invoer gegevens (N)'!$C$10-'Invoer gegevens (N)'!$C$11,IF(C75=1,P74,0))</f>
        <v>0</v>
      </c>
      <c r="N75" s="86">
        <f ca="1">IF(C75&lt;1,0,IF('Reeksen (N)'!AD75&lt;='Reeksen (N)'!AE75,M75*'Reeksen (N)'!C75,0))</f>
        <v>0</v>
      </c>
      <c r="O75" s="86">
        <f ca="1">IF(C75&lt;1,0,IF('Reeksen (N)'!AD75&gt;'Reeksen (N)'!AE75,M75*'Reeksen (N)'!C75,0))</f>
        <v>0</v>
      </c>
      <c r="P75" s="86">
        <f t="shared" ca="1" si="13"/>
        <v>0</v>
      </c>
      <c r="Q75" s="82">
        <f ca="1">IF('Invoer gegevens (N)'!$C$17=E75,I75,IF(C75=0,0,R74))</f>
        <v>0</v>
      </c>
      <c r="R75" s="84">
        <f t="shared" ca="1" si="10"/>
        <v>0</v>
      </c>
      <c r="S75" s="84">
        <f ca="1">IF('Invoer gegevens (N)'!$C$17=E75,M75,IF(C75=0,0,T74))</f>
        <v>0</v>
      </c>
      <c r="T75" s="84">
        <f t="shared" ca="1" si="19"/>
        <v>0</v>
      </c>
      <c r="AI75" s="71">
        <f ca="1">IF(C75=1,((F75+H75)/2*'Reeksen (N)'!AI75*12)+(('Invoer gegevens (N)'!$C$10-(F75+H75)/2)*'Reeksen (N)'!AD75*12),0)</f>
        <v>0</v>
      </c>
      <c r="AJ75" s="71">
        <f ca="1">-AI75*'Invoer gegevens (N)'!$F$28</f>
        <v>0</v>
      </c>
      <c r="AK75" s="71">
        <f t="shared" ca="1" si="14"/>
        <v>0</v>
      </c>
      <c r="AL75" s="71">
        <f ca="1">IF(C75=1,(12*((F75+H75)/2)*'Reeksen (N)'!AL75)+(12*('Invoer gegevens (N)'!$C$10-(F75+H75)/2)*'Reeksen (N)'!AM75),0)</f>
        <v>0</v>
      </c>
      <c r="AM75" s="71">
        <f ca="1">-AL75*'Invoer gegevens (N)'!$F$31</f>
        <v>0</v>
      </c>
      <c r="AN75" s="71">
        <f t="shared" ca="1" si="15"/>
        <v>0</v>
      </c>
      <c r="AO75" s="71"/>
      <c r="AP75" s="71"/>
      <c r="AQ75" s="71">
        <f ca="1">-IF(C75=1,('Invoer gegevens (N)'!$C$10*'Invoer gegevens (N)'!$F$35)*'Reeksen (N)'!J75,0)*2</f>
        <v>0</v>
      </c>
      <c r="AR75" s="71">
        <f ca="1">-IF(C75=1,(G75*'Invoer gegevens (N)'!$F$36)*'Reeksen (N)'!J75,0)</f>
        <v>0</v>
      </c>
      <c r="AS75" s="71">
        <f ca="1">-IF(C75=1,'Invoer gegevens (N)'!$C$10*'Invoer gegevens (N)'!$F$37*'Reeksen (N)'!L75,0)</f>
        <v>0</v>
      </c>
      <c r="AT75" s="71">
        <f ca="1">-IF(C75=1,IF(E75='Invoer gegevens (N)'!$C$17,'Invoer gegevens (N)'!$C$11,Q75)*'Reeksen (N)'!S75*'Invoer gegevens (N)'!$C$18*'Reeksen (N)'!P75,0)</f>
        <v>0</v>
      </c>
      <c r="AU75" s="71">
        <f ca="1">-IF(C75=1,'Invoer gegevens (N)'!$C$10*'Invoer gegevens (N)'!$F$38*'Reeksen (N)'!H75,0)</f>
        <v>0</v>
      </c>
      <c r="AV75" s="71">
        <v>0</v>
      </c>
      <c r="AW75" s="71">
        <f t="shared" ca="1" si="16"/>
        <v>0</v>
      </c>
      <c r="AX75" s="71">
        <f ca="1">IF(E75&lt;'Invoer gegevens (N)'!$C$17+15,0,IF('RW - MW - DE - DE (N)'!E75&gt;'Invoer gegevens (N)'!$C$17+215,0,'RW - MW - DE - DE (N)'!AW75))</f>
        <v>0</v>
      </c>
      <c r="AY75" s="71">
        <f ca="1">AX75/(1+'Invoer gegevens (N)'!$F$13)^($AZ75-('Invoer gegevens (N)'!$C$17-'Invoer gegevens (N)'!$C$16))/(1+'Invoer gegevens (N)'!$C$39)^('Invoer gegevens (N)'!$C$17-'Invoer gegevens (N)'!$C$16)</f>
        <v>0</v>
      </c>
      <c r="AZ75" s="68">
        <f ca="1">IF(E75-'Invoer gegevens (N)'!$C$17-14.5&lt;0,0,E75-'Invoer gegevens (N)'!$C$17-14.5)</f>
        <v>55.5</v>
      </c>
      <c r="BC75" s="71"/>
    </row>
    <row r="76" spans="2:55" s="230" customFormat="1" x14ac:dyDescent="0.25">
      <c r="B76" s="70">
        <f t="shared" si="17"/>
        <v>72</v>
      </c>
      <c r="C76" s="67">
        <f ca="1">IF(E76-'Invoer gegevens (N)'!$C$17&lt;0,0,1)</f>
        <v>1</v>
      </c>
      <c r="D76" s="68">
        <f t="shared" si="18"/>
        <v>71.5</v>
      </c>
      <c r="E76" s="69">
        <f ca="1">IF('Invoer gegevens (N)'!$C$16="","",E75+1)</f>
        <v>2090</v>
      </c>
      <c r="F76" s="82">
        <f ca="1">IF('Invoer gegevens (N)'!$C$17=E76,'Invoer gegevens (N)'!$C$10,IF(C76=1,H75,0))</f>
        <v>0</v>
      </c>
      <c r="G76" s="83">
        <f ca="1">IF(C76&gt;=1,F76*'Reeksen (N)'!C76,0)</f>
        <v>0</v>
      </c>
      <c r="H76" s="84">
        <f t="shared" ca="1" si="11"/>
        <v>0</v>
      </c>
      <c r="I76" s="85">
        <f ca="1">IF('Invoer gegevens (N)'!$C$17=E76,'Invoer gegevens (N)'!$C$11,IF(C76=1,L75,0))</f>
        <v>0</v>
      </c>
      <c r="J76" s="86">
        <f ca="1">IF(C76&lt;1,0,IF('Reeksen (N)'!AD76&lt;='Reeksen (N)'!AE76,I76*'Reeksen (N)'!C76,0))</f>
        <v>0</v>
      </c>
      <c r="K76" s="86">
        <f ca="1">IF(C76&lt;1,0,IF('Reeksen (N)'!AD76&gt;'Reeksen (N)'!AE76,I76*'Reeksen (N)'!C76,0))</f>
        <v>0</v>
      </c>
      <c r="L76" s="86">
        <f t="shared" ca="1" si="12"/>
        <v>0</v>
      </c>
      <c r="M76" s="85">
        <f ca="1">IF('Invoer gegevens (N)'!$C$17=E76,'Invoer gegevens (N)'!$C$10-'Invoer gegevens (N)'!$C$11,IF(C76=1,P75,0))</f>
        <v>0</v>
      </c>
      <c r="N76" s="86">
        <f ca="1">IF(C76&lt;1,0,IF('Reeksen (N)'!AD76&lt;='Reeksen (N)'!AE76,M76*'Reeksen (N)'!C76,0))</f>
        <v>0</v>
      </c>
      <c r="O76" s="86">
        <f ca="1">IF(C76&lt;1,0,IF('Reeksen (N)'!AD76&gt;'Reeksen (N)'!AE76,M76*'Reeksen (N)'!C76,0))</f>
        <v>0</v>
      </c>
      <c r="P76" s="86">
        <f t="shared" ca="1" si="13"/>
        <v>0</v>
      </c>
      <c r="Q76" s="82">
        <f ca="1">IF('Invoer gegevens (N)'!$C$17=E76,I76,IF(C76=0,0,R75))</f>
        <v>0</v>
      </c>
      <c r="R76" s="84">
        <f t="shared" ca="1" si="10"/>
        <v>0</v>
      </c>
      <c r="S76" s="84">
        <f ca="1">IF('Invoer gegevens (N)'!$C$17=E76,M76,IF(C76=0,0,T75))</f>
        <v>0</v>
      </c>
      <c r="T76" s="84">
        <f t="shared" ca="1" si="19"/>
        <v>0</v>
      </c>
      <c r="AI76" s="71">
        <f ca="1">IF(C76=1,((F76+H76)/2*'Reeksen (N)'!AI76*12)+(('Invoer gegevens (N)'!$C$10-(F76+H76)/2)*'Reeksen (N)'!AD76*12),0)</f>
        <v>0</v>
      </c>
      <c r="AJ76" s="71">
        <f ca="1">-AI76*'Invoer gegevens (N)'!$F$28</f>
        <v>0</v>
      </c>
      <c r="AK76" s="71">
        <f t="shared" ca="1" si="14"/>
        <v>0</v>
      </c>
      <c r="AL76" s="71">
        <f ca="1">IF(C76=1,(12*((F76+H76)/2)*'Reeksen (N)'!AL76)+(12*('Invoer gegevens (N)'!$C$10-(F76+H76)/2)*'Reeksen (N)'!AM76),0)</f>
        <v>0</v>
      </c>
      <c r="AM76" s="71">
        <f ca="1">-AL76*'Invoer gegevens (N)'!$F$31</f>
        <v>0</v>
      </c>
      <c r="AN76" s="71">
        <f t="shared" ca="1" si="15"/>
        <v>0</v>
      </c>
      <c r="AO76" s="71"/>
      <c r="AP76" s="71"/>
      <c r="AQ76" s="71">
        <f ca="1">-IF(C76=1,('Invoer gegevens (N)'!$C$10*'Invoer gegevens (N)'!$F$35)*'Reeksen (N)'!J76,0)*2</f>
        <v>0</v>
      </c>
      <c r="AR76" s="71">
        <f ca="1">-IF(C76=1,(G76*'Invoer gegevens (N)'!$F$36)*'Reeksen (N)'!J76,0)</f>
        <v>0</v>
      </c>
      <c r="AS76" s="71">
        <f ca="1">-IF(C76=1,'Invoer gegevens (N)'!$C$10*'Invoer gegevens (N)'!$F$37*'Reeksen (N)'!L76,0)</f>
        <v>0</v>
      </c>
      <c r="AT76" s="71">
        <f ca="1">-IF(C76=1,IF(E76='Invoer gegevens (N)'!$C$17,'Invoer gegevens (N)'!$C$11,Q76)*'Reeksen (N)'!S76*'Invoer gegevens (N)'!$C$18*'Reeksen (N)'!P76,0)</f>
        <v>0</v>
      </c>
      <c r="AU76" s="71">
        <f ca="1">-IF(C76=1,'Invoer gegevens (N)'!$C$10*'Invoer gegevens (N)'!$F$38*'Reeksen (N)'!H76,0)</f>
        <v>0</v>
      </c>
      <c r="AV76" s="71">
        <v>0</v>
      </c>
      <c r="AW76" s="71">
        <f t="shared" ca="1" si="16"/>
        <v>0</v>
      </c>
      <c r="AX76" s="71">
        <f ca="1">IF(E76&lt;'Invoer gegevens (N)'!$C$17+15,0,IF('RW - MW - DE - DE (N)'!E76&gt;'Invoer gegevens (N)'!$C$17+215,0,'RW - MW - DE - DE (N)'!AW76))</f>
        <v>0</v>
      </c>
      <c r="AY76" s="71">
        <f ca="1">AX76/(1+'Invoer gegevens (N)'!$F$13)^($AZ76-('Invoer gegevens (N)'!$C$17-'Invoer gegevens (N)'!$C$16))/(1+'Invoer gegevens (N)'!$C$39)^('Invoer gegevens (N)'!$C$17-'Invoer gegevens (N)'!$C$16)</f>
        <v>0</v>
      </c>
      <c r="AZ76" s="68">
        <f ca="1">IF(E76-'Invoer gegevens (N)'!$C$17-14.5&lt;0,0,E76-'Invoer gegevens (N)'!$C$17-14.5)</f>
        <v>56.5</v>
      </c>
      <c r="BC76" s="71"/>
    </row>
    <row r="77" spans="2:55" s="230" customFormat="1" x14ac:dyDescent="0.25">
      <c r="B77" s="70">
        <f t="shared" si="17"/>
        <v>73</v>
      </c>
      <c r="C77" s="67">
        <f ca="1">IF(E77-'Invoer gegevens (N)'!$C$17&lt;0,0,1)</f>
        <v>1</v>
      </c>
      <c r="D77" s="68">
        <f t="shared" si="18"/>
        <v>72.5</v>
      </c>
      <c r="E77" s="69">
        <f ca="1">IF('Invoer gegevens (N)'!$C$16="","",E76+1)</f>
        <v>2091</v>
      </c>
      <c r="F77" s="82">
        <f ca="1">IF('Invoer gegevens (N)'!$C$17=E77,'Invoer gegevens (N)'!$C$10,IF(C77=1,H76,0))</f>
        <v>0</v>
      </c>
      <c r="G77" s="83">
        <f ca="1">IF(C77&gt;=1,F77*'Reeksen (N)'!C77,0)</f>
        <v>0</v>
      </c>
      <c r="H77" s="84">
        <f t="shared" ca="1" si="11"/>
        <v>0</v>
      </c>
      <c r="I77" s="85">
        <f ca="1">IF('Invoer gegevens (N)'!$C$17=E77,'Invoer gegevens (N)'!$C$11,IF(C77=1,L76,0))</f>
        <v>0</v>
      </c>
      <c r="J77" s="86">
        <f ca="1">IF(C77&lt;1,0,IF('Reeksen (N)'!AD77&lt;='Reeksen (N)'!AE77,I77*'Reeksen (N)'!C77,0))</f>
        <v>0</v>
      </c>
      <c r="K77" s="86">
        <f ca="1">IF(C77&lt;1,0,IF('Reeksen (N)'!AD77&gt;'Reeksen (N)'!AE77,I77*'Reeksen (N)'!C77,0))</f>
        <v>0</v>
      </c>
      <c r="L77" s="86">
        <f t="shared" ca="1" si="12"/>
        <v>0</v>
      </c>
      <c r="M77" s="85">
        <f ca="1">IF('Invoer gegevens (N)'!$C$17=E77,'Invoer gegevens (N)'!$C$10-'Invoer gegevens (N)'!$C$11,IF(C77=1,P76,0))</f>
        <v>0</v>
      </c>
      <c r="N77" s="86">
        <f ca="1">IF(C77&lt;1,0,IF('Reeksen (N)'!AD77&lt;='Reeksen (N)'!AE77,M77*'Reeksen (N)'!C77,0))</f>
        <v>0</v>
      </c>
      <c r="O77" s="86">
        <f ca="1">IF(C77&lt;1,0,IF('Reeksen (N)'!AD77&gt;'Reeksen (N)'!AE77,M77*'Reeksen (N)'!C77,0))</f>
        <v>0</v>
      </c>
      <c r="P77" s="86">
        <f t="shared" ca="1" si="13"/>
        <v>0</v>
      </c>
      <c r="Q77" s="82">
        <f ca="1">IF('Invoer gegevens (N)'!$C$17=E77,I77,IF(C77=0,0,R76))</f>
        <v>0</v>
      </c>
      <c r="R77" s="84">
        <f t="shared" ca="1" si="10"/>
        <v>0</v>
      </c>
      <c r="S77" s="84">
        <f ca="1">IF('Invoer gegevens (N)'!$C$17=E77,M77,IF(C77=0,0,T76))</f>
        <v>0</v>
      </c>
      <c r="T77" s="84">
        <f t="shared" ca="1" si="19"/>
        <v>0</v>
      </c>
      <c r="AI77" s="71">
        <f ca="1">IF(C77=1,((F77+H77)/2*'Reeksen (N)'!AI77*12)+(('Invoer gegevens (N)'!$C$10-(F77+H77)/2)*'Reeksen (N)'!AD77*12),0)</f>
        <v>0</v>
      </c>
      <c r="AJ77" s="71">
        <f ca="1">-AI77*'Invoer gegevens (N)'!$F$28</f>
        <v>0</v>
      </c>
      <c r="AK77" s="71">
        <f t="shared" ca="1" si="14"/>
        <v>0</v>
      </c>
      <c r="AL77" s="71">
        <f ca="1">IF(C77=1,(12*((F77+H77)/2)*'Reeksen (N)'!AL77)+(12*('Invoer gegevens (N)'!$C$10-(F77+H77)/2)*'Reeksen (N)'!AM77),0)</f>
        <v>0</v>
      </c>
      <c r="AM77" s="71">
        <f ca="1">-AL77*'Invoer gegevens (N)'!$F$31</f>
        <v>0</v>
      </c>
      <c r="AN77" s="71">
        <f t="shared" ca="1" si="15"/>
        <v>0</v>
      </c>
      <c r="AO77" s="71"/>
      <c r="AP77" s="71"/>
      <c r="AQ77" s="71">
        <f ca="1">-IF(C77=1,('Invoer gegevens (N)'!$C$10*'Invoer gegevens (N)'!$F$35)*'Reeksen (N)'!J77,0)*2</f>
        <v>0</v>
      </c>
      <c r="AR77" s="71">
        <f ca="1">-IF(C77=1,(G77*'Invoer gegevens (N)'!$F$36)*'Reeksen (N)'!J77,0)</f>
        <v>0</v>
      </c>
      <c r="AS77" s="71">
        <f ca="1">-IF(C77=1,'Invoer gegevens (N)'!$C$10*'Invoer gegevens (N)'!$F$37*'Reeksen (N)'!L77,0)</f>
        <v>0</v>
      </c>
      <c r="AT77" s="71">
        <f ca="1">-IF(C77=1,IF(E77='Invoer gegevens (N)'!$C$17,'Invoer gegevens (N)'!$C$11,Q77)*'Reeksen (N)'!S77*'Invoer gegevens (N)'!$C$18*'Reeksen (N)'!P77,0)</f>
        <v>0</v>
      </c>
      <c r="AU77" s="71">
        <f ca="1">-IF(C77=1,'Invoer gegevens (N)'!$C$10*'Invoer gegevens (N)'!$F$38*'Reeksen (N)'!H77,0)</f>
        <v>0</v>
      </c>
      <c r="AV77" s="71">
        <v>0</v>
      </c>
      <c r="AW77" s="71">
        <f t="shared" ca="1" si="16"/>
        <v>0</v>
      </c>
      <c r="AX77" s="71">
        <f ca="1">IF(E77&lt;'Invoer gegevens (N)'!$C$17+15,0,IF('RW - MW - DE - DE (N)'!E77&gt;'Invoer gegevens (N)'!$C$17+215,0,'RW - MW - DE - DE (N)'!AW77))</f>
        <v>0</v>
      </c>
      <c r="AY77" s="71">
        <f ca="1">AX77/(1+'Invoer gegevens (N)'!$F$13)^($AZ77-('Invoer gegevens (N)'!$C$17-'Invoer gegevens (N)'!$C$16))/(1+'Invoer gegevens (N)'!$C$39)^('Invoer gegevens (N)'!$C$17-'Invoer gegevens (N)'!$C$16)</f>
        <v>0</v>
      </c>
      <c r="AZ77" s="68">
        <f ca="1">IF(E77-'Invoer gegevens (N)'!$C$17-14.5&lt;0,0,E77-'Invoer gegevens (N)'!$C$17-14.5)</f>
        <v>57.5</v>
      </c>
      <c r="BC77" s="71"/>
    </row>
    <row r="78" spans="2:55" s="230" customFormat="1" x14ac:dyDescent="0.25">
      <c r="B78" s="70">
        <f t="shared" si="17"/>
        <v>74</v>
      </c>
      <c r="C78" s="67">
        <f ca="1">IF(E78-'Invoer gegevens (N)'!$C$17&lt;0,0,1)</f>
        <v>1</v>
      </c>
      <c r="D78" s="68">
        <f t="shared" si="18"/>
        <v>73.5</v>
      </c>
      <c r="E78" s="69">
        <f ca="1">IF('Invoer gegevens (N)'!$C$16="","",E77+1)</f>
        <v>2092</v>
      </c>
      <c r="F78" s="82">
        <f ca="1">IF('Invoer gegevens (N)'!$C$17=E78,'Invoer gegevens (N)'!$C$10,IF(C78=1,H77,0))</f>
        <v>0</v>
      </c>
      <c r="G78" s="83">
        <f ca="1">IF(C78&gt;=1,F78*'Reeksen (N)'!C78,0)</f>
        <v>0</v>
      </c>
      <c r="H78" s="84">
        <f t="shared" ca="1" si="11"/>
        <v>0</v>
      </c>
      <c r="I78" s="85">
        <f ca="1">IF('Invoer gegevens (N)'!$C$17=E78,'Invoer gegevens (N)'!$C$11,IF(C78=1,L77,0))</f>
        <v>0</v>
      </c>
      <c r="J78" s="86">
        <f ca="1">IF(C78&lt;1,0,IF('Reeksen (N)'!AD78&lt;='Reeksen (N)'!AE78,I78*'Reeksen (N)'!C78,0))</f>
        <v>0</v>
      </c>
      <c r="K78" s="86">
        <f ca="1">IF(C78&lt;1,0,IF('Reeksen (N)'!AD78&gt;'Reeksen (N)'!AE78,I78*'Reeksen (N)'!C78,0))</f>
        <v>0</v>
      </c>
      <c r="L78" s="86">
        <f t="shared" ca="1" si="12"/>
        <v>0</v>
      </c>
      <c r="M78" s="85">
        <f ca="1">IF('Invoer gegevens (N)'!$C$17=E78,'Invoer gegevens (N)'!$C$10-'Invoer gegevens (N)'!$C$11,IF(C78=1,P77,0))</f>
        <v>0</v>
      </c>
      <c r="N78" s="86">
        <f ca="1">IF(C78&lt;1,0,IF('Reeksen (N)'!AD78&lt;='Reeksen (N)'!AE78,M78*'Reeksen (N)'!C78,0))</f>
        <v>0</v>
      </c>
      <c r="O78" s="86">
        <f ca="1">IF(C78&lt;1,0,IF('Reeksen (N)'!AD78&gt;'Reeksen (N)'!AE78,M78*'Reeksen (N)'!C78,0))</f>
        <v>0</v>
      </c>
      <c r="P78" s="86">
        <f t="shared" ca="1" si="13"/>
        <v>0</v>
      </c>
      <c r="Q78" s="82">
        <f ca="1">IF('Invoer gegevens (N)'!$C$17=E78,I78,IF(C78=0,0,R77))</f>
        <v>0</v>
      </c>
      <c r="R78" s="84">
        <f t="shared" ca="1" si="10"/>
        <v>0</v>
      </c>
      <c r="S78" s="84">
        <f ca="1">IF('Invoer gegevens (N)'!$C$17=E78,M78,IF(C78=0,0,T77))</f>
        <v>0</v>
      </c>
      <c r="T78" s="84">
        <f t="shared" ca="1" si="19"/>
        <v>0</v>
      </c>
      <c r="AI78" s="71">
        <f ca="1">IF(C78=1,((F78+H78)/2*'Reeksen (N)'!AI78*12)+(('Invoer gegevens (N)'!$C$10-(F78+H78)/2)*'Reeksen (N)'!AD78*12),0)</f>
        <v>0</v>
      </c>
      <c r="AJ78" s="71">
        <f ca="1">-AI78*'Invoer gegevens (N)'!$F$28</f>
        <v>0</v>
      </c>
      <c r="AK78" s="71">
        <f t="shared" ca="1" si="14"/>
        <v>0</v>
      </c>
      <c r="AL78" s="71">
        <f ca="1">IF(C78=1,(12*((F78+H78)/2)*'Reeksen (N)'!AL78)+(12*('Invoer gegevens (N)'!$C$10-(F78+H78)/2)*'Reeksen (N)'!AM78),0)</f>
        <v>0</v>
      </c>
      <c r="AM78" s="71">
        <f ca="1">-AL78*'Invoer gegevens (N)'!$F$31</f>
        <v>0</v>
      </c>
      <c r="AN78" s="71">
        <f t="shared" ca="1" si="15"/>
        <v>0</v>
      </c>
      <c r="AO78" s="71"/>
      <c r="AP78" s="71"/>
      <c r="AQ78" s="71">
        <f ca="1">-IF(C78=1,('Invoer gegevens (N)'!$C$10*'Invoer gegevens (N)'!$F$35)*'Reeksen (N)'!J78,0)*2</f>
        <v>0</v>
      </c>
      <c r="AR78" s="71">
        <f ca="1">-IF(C78=1,(G78*'Invoer gegevens (N)'!$F$36)*'Reeksen (N)'!J78,0)</f>
        <v>0</v>
      </c>
      <c r="AS78" s="71">
        <f ca="1">-IF(C78=1,'Invoer gegevens (N)'!$C$10*'Invoer gegevens (N)'!$F$37*'Reeksen (N)'!L78,0)</f>
        <v>0</v>
      </c>
      <c r="AT78" s="71">
        <f ca="1">-IF(C78=1,IF(E78='Invoer gegevens (N)'!$C$17,'Invoer gegevens (N)'!$C$11,Q78)*'Reeksen (N)'!S78*'Invoer gegevens (N)'!$C$18*'Reeksen (N)'!P78,0)</f>
        <v>0</v>
      </c>
      <c r="AU78" s="71">
        <f ca="1">-IF(C78=1,'Invoer gegevens (N)'!$C$10*'Invoer gegevens (N)'!$F$38*'Reeksen (N)'!H78,0)</f>
        <v>0</v>
      </c>
      <c r="AV78" s="71">
        <v>0</v>
      </c>
      <c r="AW78" s="71">
        <f t="shared" ca="1" si="16"/>
        <v>0</v>
      </c>
      <c r="AX78" s="71">
        <f ca="1">IF(E78&lt;'Invoer gegevens (N)'!$C$17+15,0,IF('RW - MW - DE - DE (N)'!E78&gt;'Invoer gegevens (N)'!$C$17+215,0,'RW - MW - DE - DE (N)'!AW78))</f>
        <v>0</v>
      </c>
      <c r="AY78" s="71">
        <f ca="1">AX78/(1+'Invoer gegevens (N)'!$F$13)^($AZ78-('Invoer gegevens (N)'!$C$17-'Invoer gegevens (N)'!$C$16))/(1+'Invoer gegevens (N)'!$C$39)^('Invoer gegevens (N)'!$C$17-'Invoer gegevens (N)'!$C$16)</f>
        <v>0</v>
      </c>
      <c r="AZ78" s="68">
        <f ca="1">IF(E78-'Invoer gegevens (N)'!$C$17-14.5&lt;0,0,E78-'Invoer gegevens (N)'!$C$17-14.5)</f>
        <v>58.5</v>
      </c>
      <c r="BC78" s="71"/>
    </row>
    <row r="79" spans="2:55" s="230" customFormat="1" x14ac:dyDescent="0.25">
      <c r="B79" s="70">
        <f t="shared" si="17"/>
        <v>75</v>
      </c>
      <c r="C79" s="67">
        <f ca="1">IF(E79-'Invoer gegevens (N)'!$C$17&lt;0,0,1)</f>
        <v>1</v>
      </c>
      <c r="D79" s="68">
        <f t="shared" si="18"/>
        <v>74.5</v>
      </c>
      <c r="E79" s="69">
        <f ca="1">IF('Invoer gegevens (N)'!$C$16="","",E78+1)</f>
        <v>2093</v>
      </c>
      <c r="F79" s="82">
        <f ca="1">IF('Invoer gegevens (N)'!$C$17=E79,'Invoer gegevens (N)'!$C$10,IF(C79=1,H78,0))</f>
        <v>0</v>
      </c>
      <c r="G79" s="83">
        <f ca="1">IF(C79&gt;=1,F79*'Reeksen (N)'!C79,0)</f>
        <v>0</v>
      </c>
      <c r="H79" s="84">
        <f t="shared" ca="1" si="11"/>
        <v>0</v>
      </c>
      <c r="I79" s="85">
        <f ca="1">IF('Invoer gegevens (N)'!$C$17=E79,'Invoer gegevens (N)'!$C$11,IF(C79=1,L78,0))</f>
        <v>0</v>
      </c>
      <c r="J79" s="86">
        <f ca="1">IF(C79&lt;1,0,IF('Reeksen (N)'!AD79&lt;='Reeksen (N)'!AE79,I79*'Reeksen (N)'!C79,0))</f>
        <v>0</v>
      </c>
      <c r="K79" s="86">
        <f ca="1">IF(C79&lt;1,0,IF('Reeksen (N)'!AD79&gt;'Reeksen (N)'!AE79,I79*'Reeksen (N)'!C79,0))</f>
        <v>0</v>
      </c>
      <c r="L79" s="86">
        <f t="shared" ca="1" si="12"/>
        <v>0</v>
      </c>
      <c r="M79" s="85">
        <f ca="1">IF('Invoer gegevens (N)'!$C$17=E79,'Invoer gegevens (N)'!$C$10-'Invoer gegevens (N)'!$C$11,IF(C79=1,P78,0))</f>
        <v>0</v>
      </c>
      <c r="N79" s="86">
        <f ca="1">IF(C79&lt;1,0,IF('Reeksen (N)'!AD79&lt;='Reeksen (N)'!AE79,M79*'Reeksen (N)'!C79,0))</f>
        <v>0</v>
      </c>
      <c r="O79" s="86">
        <f ca="1">IF(C79&lt;1,0,IF('Reeksen (N)'!AD79&gt;'Reeksen (N)'!AE79,M79*'Reeksen (N)'!C79,0))</f>
        <v>0</v>
      </c>
      <c r="P79" s="86">
        <f t="shared" ca="1" si="13"/>
        <v>0</v>
      </c>
      <c r="Q79" s="82">
        <f ca="1">IF('Invoer gegevens (N)'!$C$17=E79,I79,IF(C79=0,0,R78))</f>
        <v>0</v>
      </c>
      <c r="R79" s="84">
        <f t="shared" ca="1" si="10"/>
        <v>0</v>
      </c>
      <c r="S79" s="84">
        <f ca="1">IF('Invoer gegevens (N)'!$C$17=E79,M79,IF(C79=0,0,T78))</f>
        <v>0</v>
      </c>
      <c r="T79" s="84">
        <f t="shared" ca="1" si="19"/>
        <v>0</v>
      </c>
      <c r="AI79" s="71">
        <f ca="1">IF(C79=1,((F79+H79)/2*'Reeksen (N)'!AI79*12)+(('Invoer gegevens (N)'!$C$10-(F79+H79)/2)*'Reeksen (N)'!AD79*12),0)</f>
        <v>0</v>
      </c>
      <c r="AJ79" s="71">
        <f ca="1">-AI79*'Invoer gegevens (N)'!$F$28</f>
        <v>0</v>
      </c>
      <c r="AK79" s="71">
        <f t="shared" ca="1" si="14"/>
        <v>0</v>
      </c>
      <c r="AL79" s="71">
        <f ca="1">IF(C79=1,(12*((F79+H79)/2)*'Reeksen (N)'!AL79)+(12*('Invoer gegevens (N)'!$C$10-(F79+H79)/2)*'Reeksen (N)'!AM79),0)</f>
        <v>0</v>
      </c>
      <c r="AM79" s="71">
        <f ca="1">-AL79*'Invoer gegevens (N)'!$F$31</f>
        <v>0</v>
      </c>
      <c r="AN79" s="71">
        <f t="shared" ca="1" si="15"/>
        <v>0</v>
      </c>
      <c r="AO79" s="71"/>
      <c r="AP79" s="71"/>
      <c r="AQ79" s="71">
        <f ca="1">-IF(C79=1,('Invoer gegevens (N)'!$C$10*'Invoer gegevens (N)'!$F$35)*'Reeksen (N)'!J79,0)*2</f>
        <v>0</v>
      </c>
      <c r="AR79" s="71">
        <f ca="1">-IF(C79=1,(G79*'Invoer gegevens (N)'!$F$36)*'Reeksen (N)'!J79,0)</f>
        <v>0</v>
      </c>
      <c r="AS79" s="71">
        <f ca="1">-IF(C79=1,'Invoer gegevens (N)'!$C$10*'Invoer gegevens (N)'!$F$37*'Reeksen (N)'!L79,0)</f>
        <v>0</v>
      </c>
      <c r="AT79" s="71">
        <f ca="1">-IF(C79=1,IF(E79='Invoer gegevens (N)'!$C$17,'Invoer gegevens (N)'!$C$11,Q79)*'Reeksen (N)'!S79*'Invoer gegevens (N)'!$C$18*'Reeksen (N)'!P79,0)</f>
        <v>0</v>
      </c>
      <c r="AU79" s="71">
        <f ca="1">-IF(C79=1,'Invoer gegevens (N)'!$C$10*'Invoer gegevens (N)'!$F$38*'Reeksen (N)'!H79,0)</f>
        <v>0</v>
      </c>
      <c r="AV79" s="71">
        <v>0</v>
      </c>
      <c r="AW79" s="71">
        <f t="shared" ca="1" si="16"/>
        <v>0</v>
      </c>
      <c r="AX79" s="71">
        <f ca="1">IF(E79&lt;'Invoer gegevens (N)'!$C$17+15,0,IF('RW - MW - DE - DE (N)'!E79&gt;'Invoer gegevens (N)'!$C$17+215,0,'RW - MW - DE - DE (N)'!AW79))</f>
        <v>0</v>
      </c>
      <c r="AY79" s="71">
        <f ca="1">AX79/(1+'Invoer gegevens (N)'!$F$13)^($AZ79-('Invoer gegevens (N)'!$C$17-'Invoer gegevens (N)'!$C$16))/(1+'Invoer gegevens (N)'!$C$39)^('Invoer gegevens (N)'!$C$17-'Invoer gegevens (N)'!$C$16)</f>
        <v>0</v>
      </c>
      <c r="AZ79" s="68">
        <f ca="1">IF(E79-'Invoer gegevens (N)'!$C$17-14.5&lt;0,0,E79-'Invoer gegevens (N)'!$C$17-14.5)</f>
        <v>59.5</v>
      </c>
      <c r="BC79" s="71"/>
    </row>
    <row r="80" spans="2:55" s="230" customFormat="1" x14ac:dyDescent="0.25">
      <c r="B80" s="70">
        <f t="shared" si="17"/>
        <v>76</v>
      </c>
      <c r="C80" s="67">
        <f ca="1">IF(E80-'Invoer gegevens (N)'!$C$17&lt;0,0,1)</f>
        <v>1</v>
      </c>
      <c r="D80" s="68">
        <f t="shared" si="18"/>
        <v>75.5</v>
      </c>
      <c r="E80" s="69">
        <f ca="1">IF('Invoer gegevens (N)'!$C$16="","",E79+1)</f>
        <v>2094</v>
      </c>
      <c r="F80" s="82">
        <f ca="1">IF('Invoer gegevens (N)'!$C$17=E80,'Invoer gegevens (N)'!$C$10,IF(C80=1,H79,0))</f>
        <v>0</v>
      </c>
      <c r="G80" s="83">
        <f ca="1">IF(C80&gt;=1,F80*'Reeksen (N)'!C80,0)</f>
        <v>0</v>
      </c>
      <c r="H80" s="84">
        <f t="shared" ca="1" si="11"/>
        <v>0</v>
      </c>
      <c r="I80" s="85">
        <f ca="1">IF('Invoer gegevens (N)'!$C$17=E80,'Invoer gegevens (N)'!$C$11,IF(C80=1,L79,0))</f>
        <v>0</v>
      </c>
      <c r="J80" s="86">
        <f ca="1">IF(C80&lt;1,0,IF('Reeksen (N)'!AD80&lt;='Reeksen (N)'!AE80,I80*'Reeksen (N)'!C80,0))</f>
        <v>0</v>
      </c>
      <c r="K80" s="86">
        <f ca="1">IF(C80&lt;1,0,IF('Reeksen (N)'!AD80&gt;'Reeksen (N)'!AE80,I80*'Reeksen (N)'!C80,0))</f>
        <v>0</v>
      </c>
      <c r="L80" s="86">
        <f t="shared" ca="1" si="12"/>
        <v>0</v>
      </c>
      <c r="M80" s="85">
        <f ca="1">IF('Invoer gegevens (N)'!$C$17=E80,'Invoer gegevens (N)'!$C$10-'Invoer gegevens (N)'!$C$11,IF(C80=1,P79,0))</f>
        <v>0</v>
      </c>
      <c r="N80" s="86">
        <f ca="1">IF(C80&lt;1,0,IF('Reeksen (N)'!AD80&lt;='Reeksen (N)'!AE80,M80*'Reeksen (N)'!C80,0))</f>
        <v>0</v>
      </c>
      <c r="O80" s="86">
        <f ca="1">IF(C80&lt;1,0,IF('Reeksen (N)'!AD80&gt;'Reeksen (N)'!AE80,M80*'Reeksen (N)'!C80,0))</f>
        <v>0</v>
      </c>
      <c r="P80" s="86">
        <f t="shared" ca="1" si="13"/>
        <v>0</v>
      </c>
      <c r="Q80" s="82">
        <f ca="1">IF('Invoer gegevens (N)'!$C$17=E80,I80,IF(C80=0,0,R79))</f>
        <v>0</v>
      </c>
      <c r="R80" s="84">
        <f t="shared" ca="1" si="10"/>
        <v>0</v>
      </c>
      <c r="S80" s="84">
        <f ca="1">IF('Invoer gegevens (N)'!$C$17=E80,M80,IF(C80=0,0,T79))</f>
        <v>0</v>
      </c>
      <c r="T80" s="84">
        <f t="shared" ca="1" si="19"/>
        <v>0</v>
      </c>
      <c r="AI80" s="71">
        <f ca="1">IF(C80=1,((F80+H80)/2*'Reeksen (N)'!AI80*12)+(('Invoer gegevens (N)'!$C$10-(F80+H80)/2)*'Reeksen (N)'!AD80*12),0)</f>
        <v>0</v>
      </c>
      <c r="AJ80" s="71">
        <f ca="1">-AI80*'Invoer gegevens (N)'!$F$28</f>
        <v>0</v>
      </c>
      <c r="AK80" s="71">
        <f t="shared" ca="1" si="14"/>
        <v>0</v>
      </c>
      <c r="AL80" s="71">
        <f ca="1">IF(C80=1,(12*((F80+H80)/2)*'Reeksen (N)'!AL80)+(12*('Invoer gegevens (N)'!$C$10-(F80+H80)/2)*'Reeksen (N)'!AM80),0)</f>
        <v>0</v>
      </c>
      <c r="AM80" s="71">
        <f ca="1">-AL80*'Invoer gegevens (N)'!$F$31</f>
        <v>0</v>
      </c>
      <c r="AN80" s="71">
        <f t="shared" ca="1" si="15"/>
        <v>0</v>
      </c>
      <c r="AO80" s="71"/>
      <c r="AP80" s="71"/>
      <c r="AQ80" s="71">
        <f ca="1">-IF(C80=1,('Invoer gegevens (N)'!$C$10*'Invoer gegevens (N)'!$F$35)*'Reeksen (N)'!J80,0)*2</f>
        <v>0</v>
      </c>
      <c r="AR80" s="71">
        <f ca="1">-IF(C80=1,(G80*'Invoer gegevens (N)'!$F$36)*'Reeksen (N)'!J80,0)</f>
        <v>0</v>
      </c>
      <c r="AS80" s="71">
        <f ca="1">-IF(C80=1,'Invoer gegevens (N)'!$C$10*'Invoer gegevens (N)'!$F$37*'Reeksen (N)'!L80,0)</f>
        <v>0</v>
      </c>
      <c r="AT80" s="71">
        <f ca="1">-IF(C80=1,IF(E80='Invoer gegevens (N)'!$C$17,'Invoer gegevens (N)'!$C$11,Q80)*'Reeksen (N)'!S80*'Invoer gegevens (N)'!$C$18*'Reeksen (N)'!P80,0)</f>
        <v>0</v>
      </c>
      <c r="AU80" s="71">
        <f ca="1">-IF(C80=1,'Invoer gegevens (N)'!$C$10*'Invoer gegevens (N)'!$F$38*'Reeksen (N)'!H80,0)</f>
        <v>0</v>
      </c>
      <c r="AV80" s="71">
        <v>0</v>
      </c>
      <c r="AW80" s="71">
        <f t="shared" ca="1" si="16"/>
        <v>0</v>
      </c>
      <c r="AX80" s="71">
        <f ca="1">IF(E80&lt;'Invoer gegevens (N)'!$C$17+15,0,IF('RW - MW - DE - DE (N)'!E80&gt;'Invoer gegevens (N)'!$C$17+215,0,'RW - MW - DE - DE (N)'!AW80))</f>
        <v>0</v>
      </c>
      <c r="AY80" s="71">
        <f ca="1">AX80/(1+'Invoer gegevens (N)'!$F$13)^($AZ80-('Invoer gegevens (N)'!$C$17-'Invoer gegevens (N)'!$C$16))/(1+'Invoer gegevens (N)'!$C$39)^('Invoer gegevens (N)'!$C$17-'Invoer gegevens (N)'!$C$16)</f>
        <v>0</v>
      </c>
      <c r="AZ80" s="68">
        <f ca="1">IF(E80-'Invoer gegevens (N)'!$C$17-14.5&lt;0,0,E80-'Invoer gegevens (N)'!$C$17-14.5)</f>
        <v>60.5</v>
      </c>
      <c r="BC80" s="71"/>
    </row>
    <row r="81" spans="2:55" s="230" customFormat="1" x14ac:dyDescent="0.25">
      <c r="B81" s="70">
        <f t="shared" si="17"/>
        <v>77</v>
      </c>
      <c r="C81" s="67">
        <f ca="1">IF(E81-'Invoer gegevens (N)'!$C$17&lt;0,0,1)</f>
        <v>1</v>
      </c>
      <c r="D81" s="68">
        <f t="shared" si="18"/>
        <v>76.5</v>
      </c>
      <c r="E81" s="69">
        <f ca="1">IF('Invoer gegevens (N)'!$C$16="","",E80+1)</f>
        <v>2095</v>
      </c>
      <c r="F81" s="82">
        <f ca="1">IF('Invoer gegevens (N)'!$C$17=E81,'Invoer gegevens (N)'!$C$10,IF(C81=1,H80,0))</f>
        <v>0</v>
      </c>
      <c r="G81" s="83">
        <f ca="1">IF(C81&gt;=1,F81*'Reeksen (N)'!C81,0)</f>
        <v>0</v>
      </c>
      <c r="H81" s="84">
        <f t="shared" ca="1" si="11"/>
        <v>0</v>
      </c>
      <c r="I81" s="85">
        <f ca="1">IF('Invoer gegevens (N)'!$C$17=E81,'Invoer gegevens (N)'!$C$11,IF(C81=1,L80,0))</f>
        <v>0</v>
      </c>
      <c r="J81" s="86">
        <f ca="1">IF(C81&lt;1,0,IF('Reeksen (N)'!AD81&lt;='Reeksen (N)'!AE81,I81*'Reeksen (N)'!C81,0))</f>
        <v>0</v>
      </c>
      <c r="K81" s="86">
        <f ca="1">IF(C81&lt;1,0,IF('Reeksen (N)'!AD81&gt;'Reeksen (N)'!AE81,I81*'Reeksen (N)'!C81,0))</f>
        <v>0</v>
      </c>
      <c r="L81" s="86">
        <f t="shared" ca="1" si="12"/>
        <v>0</v>
      </c>
      <c r="M81" s="85">
        <f ca="1">IF('Invoer gegevens (N)'!$C$17=E81,'Invoer gegevens (N)'!$C$10-'Invoer gegevens (N)'!$C$11,IF(C81=1,P80,0))</f>
        <v>0</v>
      </c>
      <c r="N81" s="86">
        <f ca="1">IF(C81&lt;1,0,IF('Reeksen (N)'!AD81&lt;='Reeksen (N)'!AE81,M81*'Reeksen (N)'!C81,0))</f>
        <v>0</v>
      </c>
      <c r="O81" s="86">
        <f ca="1">IF(C81&lt;1,0,IF('Reeksen (N)'!AD81&gt;'Reeksen (N)'!AE81,M81*'Reeksen (N)'!C81,0))</f>
        <v>0</v>
      </c>
      <c r="P81" s="86">
        <f t="shared" ca="1" si="13"/>
        <v>0</v>
      </c>
      <c r="Q81" s="82">
        <f ca="1">IF('Invoer gegevens (N)'!$C$17=E81,I81,IF(C81=0,0,R80))</f>
        <v>0</v>
      </c>
      <c r="R81" s="84">
        <f t="shared" ca="1" si="10"/>
        <v>0</v>
      </c>
      <c r="S81" s="84">
        <f ca="1">IF('Invoer gegevens (N)'!$C$17=E81,M81,IF(C81=0,0,T80))</f>
        <v>0</v>
      </c>
      <c r="T81" s="84">
        <f t="shared" ca="1" si="19"/>
        <v>0</v>
      </c>
      <c r="AI81" s="71">
        <f ca="1">IF(C81=1,((F81+H81)/2*'Reeksen (N)'!AI81*12)+(('Invoer gegevens (N)'!$C$10-(F81+H81)/2)*'Reeksen (N)'!AD81*12),0)</f>
        <v>0</v>
      </c>
      <c r="AJ81" s="71">
        <f ca="1">-AI81*'Invoer gegevens (N)'!$F$28</f>
        <v>0</v>
      </c>
      <c r="AK81" s="71">
        <f t="shared" ca="1" si="14"/>
        <v>0</v>
      </c>
      <c r="AL81" s="71">
        <f ca="1">IF(C81=1,(12*((F81+H81)/2)*'Reeksen (N)'!AL81)+(12*('Invoer gegevens (N)'!$C$10-(F81+H81)/2)*'Reeksen (N)'!AM81),0)</f>
        <v>0</v>
      </c>
      <c r="AM81" s="71">
        <f ca="1">-AL81*'Invoer gegevens (N)'!$F$31</f>
        <v>0</v>
      </c>
      <c r="AN81" s="71">
        <f t="shared" ca="1" si="15"/>
        <v>0</v>
      </c>
      <c r="AO81" s="71"/>
      <c r="AP81" s="71"/>
      <c r="AQ81" s="71">
        <f ca="1">-IF(C81=1,('Invoer gegevens (N)'!$C$10*'Invoer gegevens (N)'!$F$35)*'Reeksen (N)'!J81,0)*2</f>
        <v>0</v>
      </c>
      <c r="AR81" s="71">
        <f ca="1">-IF(C81=1,(G81*'Invoer gegevens (N)'!$F$36)*'Reeksen (N)'!J81,0)</f>
        <v>0</v>
      </c>
      <c r="AS81" s="71">
        <f ca="1">-IF(C81=1,'Invoer gegevens (N)'!$C$10*'Invoer gegevens (N)'!$F$37*'Reeksen (N)'!L81,0)</f>
        <v>0</v>
      </c>
      <c r="AT81" s="71">
        <f ca="1">-IF(C81=1,IF(E81='Invoer gegevens (N)'!$C$17,'Invoer gegevens (N)'!$C$11,Q81)*'Reeksen (N)'!S81*'Invoer gegevens (N)'!$C$18*'Reeksen (N)'!P81,0)</f>
        <v>0</v>
      </c>
      <c r="AU81" s="71">
        <f ca="1">-IF(C81=1,'Invoer gegevens (N)'!$C$10*'Invoer gegevens (N)'!$F$38*'Reeksen (N)'!H81,0)</f>
        <v>0</v>
      </c>
      <c r="AV81" s="71">
        <v>0</v>
      </c>
      <c r="AW81" s="71">
        <f t="shared" ca="1" si="16"/>
        <v>0</v>
      </c>
      <c r="AX81" s="71">
        <f ca="1">IF(E81&lt;'Invoer gegevens (N)'!$C$17+15,0,IF('RW - MW - DE - DE (N)'!E81&gt;'Invoer gegevens (N)'!$C$17+215,0,'RW - MW - DE - DE (N)'!AW81))</f>
        <v>0</v>
      </c>
      <c r="AY81" s="71">
        <f ca="1">AX81/(1+'Invoer gegevens (N)'!$F$13)^($AZ81-('Invoer gegevens (N)'!$C$17-'Invoer gegevens (N)'!$C$16))/(1+'Invoer gegevens (N)'!$C$39)^('Invoer gegevens (N)'!$C$17-'Invoer gegevens (N)'!$C$16)</f>
        <v>0</v>
      </c>
      <c r="AZ81" s="68">
        <f ca="1">IF(E81-'Invoer gegevens (N)'!$C$17-14.5&lt;0,0,E81-'Invoer gegevens (N)'!$C$17-14.5)</f>
        <v>61.5</v>
      </c>
      <c r="BC81" s="71"/>
    </row>
    <row r="82" spans="2:55" s="230" customFormat="1" x14ac:dyDescent="0.25">
      <c r="B82" s="70">
        <f t="shared" si="17"/>
        <v>78</v>
      </c>
      <c r="C82" s="67">
        <f ca="1">IF(E82-'Invoer gegevens (N)'!$C$17&lt;0,0,1)</f>
        <v>1</v>
      </c>
      <c r="D82" s="68">
        <f t="shared" si="18"/>
        <v>77.5</v>
      </c>
      <c r="E82" s="69">
        <f ca="1">IF('Invoer gegevens (N)'!$C$16="","",E81+1)</f>
        <v>2096</v>
      </c>
      <c r="F82" s="82">
        <f ca="1">IF('Invoer gegevens (N)'!$C$17=E82,'Invoer gegevens (N)'!$C$10,IF(C82=1,H81,0))</f>
        <v>0</v>
      </c>
      <c r="G82" s="83">
        <f ca="1">IF(C82&gt;=1,F82*'Reeksen (N)'!C82,0)</f>
        <v>0</v>
      </c>
      <c r="H82" s="84">
        <f t="shared" ca="1" si="11"/>
        <v>0</v>
      </c>
      <c r="I82" s="85">
        <f ca="1">IF('Invoer gegevens (N)'!$C$17=E82,'Invoer gegevens (N)'!$C$11,IF(C82=1,L81,0))</f>
        <v>0</v>
      </c>
      <c r="J82" s="86">
        <f ca="1">IF(C82&lt;1,0,IF('Reeksen (N)'!AD82&lt;='Reeksen (N)'!AE82,I82*'Reeksen (N)'!C82,0))</f>
        <v>0</v>
      </c>
      <c r="K82" s="86">
        <f ca="1">IF(C82&lt;1,0,IF('Reeksen (N)'!AD82&gt;'Reeksen (N)'!AE82,I82*'Reeksen (N)'!C82,0))</f>
        <v>0</v>
      </c>
      <c r="L82" s="86">
        <f t="shared" ca="1" si="12"/>
        <v>0</v>
      </c>
      <c r="M82" s="85">
        <f ca="1">IF('Invoer gegevens (N)'!$C$17=E82,'Invoer gegevens (N)'!$C$10-'Invoer gegevens (N)'!$C$11,IF(C82=1,P81,0))</f>
        <v>0</v>
      </c>
      <c r="N82" s="86">
        <f ca="1">IF(C82&lt;1,0,IF('Reeksen (N)'!AD82&lt;='Reeksen (N)'!AE82,M82*'Reeksen (N)'!C82,0))</f>
        <v>0</v>
      </c>
      <c r="O82" s="86">
        <f ca="1">IF(C82&lt;1,0,IF('Reeksen (N)'!AD82&gt;'Reeksen (N)'!AE82,M82*'Reeksen (N)'!C82,0))</f>
        <v>0</v>
      </c>
      <c r="P82" s="86">
        <f t="shared" ca="1" si="13"/>
        <v>0</v>
      </c>
      <c r="Q82" s="82">
        <f ca="1">IF('Invoer gegevens (N)'!$C$17=E82,I82,IF(C82=0,0,R81))</f>
        <v>0</v>
      </c>
      <c r="R82" s="84">
        <f t="shared" ca="1" si="10"/>
        <v>0</v>
      </c>
      <c r="S82" s="84">
        <f ca="1">IF('Invoer gegevens (N)'!$C$17=E82,M82,IF(C82=0,0,T81))</f>
        <v>0</v>
      </c>
      <c r="T82" s="84">
        <f t="shared" ca="1" si="19"/>
        <v>0</v>
      </c>
      <c r="AI82" s="71">
        <f ca="1">IF(C82=1,((F82+H82)/2*'Reeksen (N)'!AI82*12)+(('Invoer gegevens (N)'!$C$10-(F82+H82)/2)*'Reeksen (N)'!AD82*12),0)</f>
        <v>0</v>
      </c>
      <c r="AJ82" s="71">
        <f ca="1">-AI82*'Invoer gegevens (N)'!$F$28</f>
        <v>0</v>
      </c>
      <c r="AK82" s="71">
        <f t="shared" ca="1" si="14"/>
        <v>0</v>
      </c>
      <c r="AL82" s="71">
        <f ca="1">IF(C82=1,(12*((F82+H82)/2)*'Reeksen (N)'!AL82)+(12*('Invoer gegevens (N)'!$C$10-(F82+H82)/2)*'Reeksen (N)'!AM82),0)</f>
        <v>0</v>
      </c>
      <c r="AM82" s="71">
        <f ca="1">-AL82*'Invoer gegevens (N)'!$F$31</f>
        <v>0</v>
      </c>
      <c r="AN82" s="71">
        <f t="shared" ca="1" si="15"/>
        <v>0</v>
      </c>
      <c r="AO82" s="71"/>
      <c r="AP82" s="71"/>
      <c r="AQ82" s="71">
        <f ca="1">-IF(C82=1,('Invoer gegevens (N)'!$C$10*'Invoer gegevens (N)'!$F$35)*'Reeksen (N)'!J82,0)*2</f>
        <v>0</v>
      </c>
      <c r="AR82" s="71">
        <f ca="1">-IF(C82=1,(G82*'Invoer gegevens (N)'!$F$36)*'Reeksen (N)'!J82,0)</f>
        <v>0</v>
      </c>
      <c r="AS82" s="71">
        <f ca="1">-IF(C82=1,'Invoer gegevens (N)'!$C$10*'Invoer gegevens (N)'!$F$37*'Reeksen (N)'!L82,0)</f>
        <v>0</v>
      </c>
      <c r="AT82" s="71">
        <f ca="1">-IF(C82=1,IF(E82='Invoer gegevens (N)'!$C$17,'Invoer gegevens (N)'!$C$11,Q82)*'Reeksen (N)'!S82*'Invoer gegevens (N)'!$C$18*'Reeksen (N)'!P82,0)</f>
        <v>0</v>
      </c>
      <c r="AU82" s="71">
        <f ca="1">-IF(C82=1,'Invoer gegevens (N)'!$C$10*'Invoer gegevens (N)'!$F$38*'Reeksen (N)'!H82,0)</f>
        <v>0</v>
      </c>
      <c r="AV82" s="71">
        <v>0</v>
      </c>
      <c r="AW82" s="71">
        <f t="shared" ca="1" si="16"/>
        <v>0</v>
      </c>
      <c r="AX82" s="71">
        <f ca="1">IF(E82&lt;'Invoer gegevens (N)'!$C$17+15,0,IF('RW - MW - DE - DE (N)'!E82&gt;'Invoer gegevens (N)'!$C$17+215,0,'RW - MW - DE - DE (N)'!AW82))</f>
        <v>0</v>
      </c>
      <c r="AY82" s="71">
        <f ca="1">AX82/(1+'Invoer gegevens (N)'!$F$13)^($AZ82-('Invoer gegevens (N)'!$C$17-'Invoer gegevens (N)'!$C$16))/(1+'Invoer gegevens (N)'!$C$39)^('Invoer gegevens (N)'!$C$17-'Invoer gegevens (N)'!$C$16)</f>
        <v>0</v>
      </c>
      <c r="AZ82" s="68">
        <f ca="1">IF(E82-'Invoer gegevens (N)'!$C$17-14.5&lt;0,0,E82-'Invoer gegevens (N)'!$C$17-14.5)</f>
        <v>62.5</v>
      </c>
      <c r="BC82" s="71"/>
    </row>
    <row r="83" spans="2:55" s="230" customFormat="1" x14ac:dyDescent="0.25">
      <c r="B83" s="70">
        <f t="shared" si="17"/>
        <v>79</v>
      </c>
      <c r="C83" s="67">
        <f ca="1">IF(E83-'Invoer gegevens (N)'!$C$17&lt;0,0,1)</f>
        <v>1</v>
      </c>
      <c r="D83" s="68">
        <f t="shared" si="18"/>
        <v>78.5</v>
      </c>
      <c r="E83" s="69">
        <f ca="1">IF('Invoer gegevens (N)'!$C$16="","",E82+1)</f>
        <v>2097</v>
      </c>
      <c r="F83" s="82">
        <f ca="1">IF('Invoer gegevens (N)'!$C$17=E83,'Invoer gegevens (N)'!$C$10,IF(C83=1,H82,0))</f>
        <v>0</v>
      </c>
      <c r="G83" s="83">
        <f ca="1">IF(C83&gt;=1,F83*'Reeksen (N)'!C83,0)</f>
        <v>0</v>
      </c>
      <c r="H83" s="84">
        <f t="shared" ca="1" si="11"/>
        <v>0</v>
      </c>
      <c r="I83" s="85">
        <f ca="1">IF('Invoer gegevens (N)'!$C$17=E83,'Invoer gegevens (N)'!$C$11,IF(C83=1,L82,0))</f>
        <v>0</v>
      </c>
      <c r="J83" s="86">
        <f ca="1">IF(C83&lt;1,0,IF('Reeksen (N)'!AD83&lt;='Reeksen (N)'!AE83,I83*'Reeksen (N)'!C83,0))</f>
        <v>0</v>
      </c>
      <c r="K83" s="86">
        <f ca="1">IF(C83&lt;1,0,IF('Reeksen (N)'!AD83&gt;'Reeksen (N)'!AE83,I83*'Reeksen (N)'!C83,0))</f>
        <v>0</v>
      </c>
      <c r="L83" s="86">
        <f t="shared" ca="1" si="12"/>
        <v>0</v>
      </c>
      <c r="M83" s="85">
        <f ca="1">IF('Invoer gegevens (N)'!$C$17=E83,'Invoer gegevens (N)'!$C$10-'Invoer gegevens (N)'!$C$11,IF(C83=1,P82,0))</f>
        <v>0</v>
      </c>
      <c r="N83" s="86">
        <f ca="1">IF(C83&lt;1,0,IF('Reeksen (N)'!AD83&lt;='Reeksen (N)'!AE83,M83*'Reeksen (N)'!C83,0))</f>
        <v>0</v>
      </c>
      <c r="O83" s="86">
        <f ca="1">IF(C83&lt;1,0,IF('Reeksen (N)'!AD83&gt;'Reeksen (N)'!AE83,M83*'Reeksen (N)'!C83,0))</f>
        <v>0</v>
      </c>
      <c r="P83" s="86">
        <f t="shared" ca="1" si="13"/>
        <v>0</v>
      </c>
      <c r="Q83" s="82">
        <f ca="1">IF('Invoer gegevens (N)'!$C$17=E83,I83,IF(C83=0,0,R82))</f>
        <v>0</v>
      </c>
      <c r="R83" s="84">
        <f t="shared" ca="1" si="10"/>
        <v>0</v>
      </c>
      <c r="S83" s="84">
        <f ca="1">IF('Invoer gegevens (N)'!$C$17=E83,M83,IF(C83=0,0,T82))</f>
        <v>0</v>
      </c>
      <c r="T83" s="84">
        <f t="shared" ca="1" si="19"/>
        <v>0</v>
      </c>
      <c r="AI83" s="71">
        <f ca="1">IF(C83=1,((F83+H83)/2*'Reeksen (N)'!AI83*12)+(('Invoer gegevens (N)'!$C$10-(F83+H83)/2)*'Reeksen (N)'!AD83*12),0)</f>
        <v>0</v>
      </c>
      <c r="AJ83" s="71">
        <f ca="1">-AI83*'Invoer gegevens (N)'!$F$28</f>
        <v>0</v>
      </c>
      <c r="AK83" s="71">
        <f t="shared" ca="1" si="14"/>
        <v>0</v>
      </c>
      <c r="AL83" s="71">
        <f ca="1">IF(C83=1,(12*((F83+H83)/2)*'Reeksen (N)'!AL83)+(12*('Invoer gegevens (N)'!$C$10-(F83+H83)/2)*'Reeksen (N)'!AM83),0)</f>
        <v>0</v>
      </c>
      <c r="AM83" s="71">
        <f ca="1">-AL83*'Invoer gegevens (N)'!$F$31</f>
        <v>0</v>
      </c>
      <c r="AN83" s="71">
        <f t="shared" ca="1" si="15"/>
        <v>0</v>
      </c>
      <c r="AO83" s="71"/>
      <c r="AP83" s="71"/>
      <c r="AQ83" s="71">
        <f ca="1">-IF(C83=1,('Invoer gegevens (N)'!$C$10*'Invoer gegevens (N)'!$F$35)*'Reeksen (N)'!J83,0)*2</f>
        <v>0</v>
      </c>
      <c r="AR83" s="71">
        <f ca="1">-IF(C83=1,(G83*'Invoer gegevens (N)'!$F$36)*'Reeksen (N)'!J83,0)</f>
        <v>0</v>
      </c>
      <c r="AS83" s="71">
        <f ca="1">-IF(C83=1,'Invoer gegevens (N)'!$C$10*'Invoer gegevens (N)'!$F$37*'Reeksen (N)'!L83,0)</f>
        <v>0</v>
      </c>
      <c r="AT83" s="71">
        <f ca="1">-IF(C83=1,IF(E83='Invoer gegevens (N)'!$C$17,'Invoer gegevens (N)'!$C$11,Q83)*'Reeksen (N)'!S83*'Invoer gegevens (N)'!$C$18*'Reeksen (N)'!P83,0)</f>
        <v>0</v>
      </c>
      <c r="AU83" s="71">
        <f ca="1">-IF(C83=1,'Invoer gegevens (N)'!$C$10*'Invoer gegevens (N)'!$F$38*'Reeksen (N)'!H83,0)</f>
        <v>0</v>
      </c>
      <c r="AV83" s="71">
        <v>0</v>
      </c>
      <c r="AW83" s="71">
        <f t="shared" ca="1" si="16"/>
        <v>0</v>
      </c>
      <c r="AX83" s="71">
        <f ca="1">IF(E83&lt;'Invoer gegevens (N)'!$C$17+15,0,IF('RW - MW - DE - DE (N)'!E83&gt;'Invoer gegevens (N)'!$C$17+215,0,'RW - MW - DE - DE (N)'!AW83))</f>
        <v>0</v>
      </c>
      <c r="AY83" s="71">
        <f ca="1">AX83/(1+'Invoer gegevens (N)'!$F$13)^($AZ83-('Invoer gegevens (N)'!$C$17-'Invoer gegevens (N)'!$C$16))/(1+'Invoer gegevens (N)'!$C$39)^('Invoer gegevens (N)'!$C$17-'Invoer gegevens (N)'!$C$16)</f>
        <v>0</v>
      </c>
      <c r="AZ83" s="68">
        <f ca="1">IF(E83-'Invoer gegevens (N)'!$C$17-14.5&lt;0,0,E83-'Invoer gegevens (N)'!$C$17-14.5)</f>
        <v>63.5</v>
      </c>
      <c r="BC83" s="71"/>
    </row>
    <row r="84" spans="2:55" s="230" customFormat="1" x14ac:dyDescent="0.25">
      <c r="B84" s="70">
        <f t="shared" si="17"/>
        <v>80</v>
      </c>
      <c r="C84" s="67">
        <f ca="1">IF(E84-'Invoer gegevens (N)'!$C$17&lt;0,0,1)</f>
        <v>1</v>
      </c>
      <c r="D84" s="68">
        <f t="shared" si="18"/>
        <v>79.5</v>
      </c>
      <c r="E84" s="69">
        <f ca="1">IF('Invoer gegevens (N)'!$C$16="","",E83+1)</f>
        <v>2098</v>
      </c>
      <c r="F84" s="82">
        <f ca="1">IF('Invoer gegevens (N)'!$C$17=E84,'Invoer gegevens (N)'!$C$10,IF(C84=1,H83,0))</f>
        <v>0</v>
      </c>
      <c r="G84" s="83">
        <f ca="1">IF(C84&gt;=1,F84*'Reeksen (N)'!C84,0)</f>
        <v>0</v>
      </c>
      <c r="H84" s="84">
        <f t="shared" ca="1" si="11"/>
        <v>0</v>
      </c>
      <c r="I84" s="85">
        <f ca="1">IF('Invoer gegevens (N)'!$C$17=E84,'Invoer gegevens (N)'!$C$11,IF(C84=1,L83,0))</f>
        <v>0</v>
      </c>
      <c r="J84" s="86">
        <f ca="1">IF(C84&lt;1,0,IF('Reeksen (N)'!AD84&lt;='Reeksen (N)'!AE84,I84*'Reeksen (N)'!C84,0))</f>
        <v>0</v>
      </c>
      <c r="K84" s="86">
        <f ca="1">IF(C84&lt;1,0,IF('Reeksen (N)'!AD84&gt;'Reeksen (N)'!AE84,I84*'Reeksen (N)'!C84,0))</f>
        <v>0</v>
      </c>
      <c r="L84" s="86">
        <f t="shared" ca="1" si="12"/>
        <v>0</v>
      </c>
      <c r="M84" s="85">
        <f ca="1">IF('Invoer gegevens (N)'!$C$17=E84,'Invoer gegevens (N)'!$C$10-'Invoer gegevens (N)'!$C$11,IF(C84=1,P83,0))</f>
        <v>0</v>
      </c>
      <c r="N84" s="86">
        <f ca="1">IF(C84&lt;1,0,IF('Reeksen (N)'!AD84&lt;='Reeksen (N)'!AE84,M84*'Reeksen (N)'!C84,0))</f>
        <v>0</v>
      </c>
      <c r="O84" s="86">
        <f ca="1">IF(C84&lt;1,0,IF('Reeksen (N)'!AD84&gt;'Reeksen (N)'!AE84,M84*'Reeksen (N)'!C84,0))</f>
        <v>0</v>
      </c>
      <c r="P84" s="86">
        <f t="shared" ca="1" si="13"/>
        <v>0</v>
      </c>
      <c r="Q84" s="82">
        <f ca="1">IF('Invoer gegevens (N)'!$C$17=E84,I84,IF(C84=0,0,R83))</f>
        <v>0</v>
      </c>
      <c r="R84" s="84">
        <f t="shared" ca="1" si="10"/>
        <v>0</v>
      </c>
      <c r="S84" s="84">
        <f ca="1">IF('Invoer gegevens (N)'!$C$17=E84,M84,IF(C84=0,0,T83))</f>
        <v>0</v>
      </c>
      <c r="T84" s="84">
        <f t="shared" ca="1" si="19"/>
        <v>0</v>
      </c>
      <c r="AI84" s="71">
        <f ca="1">IF(C84=1,((F84+H84)/2*'Reeksen (N)'!AI84*12)+(('Invoer gegevens (N)'!$C$10-(F84+H84)/2)*'Reeksen (N)'!AD84*12),0)</f>
        <v>0</v>
      </c>
      <c r="AJ84" s="71">
        <f ca="1">-AI84*'Invoer gegevens (N)'!$F$28</f>
        <v>0</v>
      </c>
      <c r="AK84" s="71">
        <f t="shared" ca="1" si="14"/>
        <v>0</v>
      </c>
      <c r="AL84" s="71">
        <f ca="1">IF(C84=1,(12*((F84+H84)/2)*'Reeksen (N)'!AL84)+(12*('Invoer gegevens (N)'!$C$10-(F84+H84)/2)*'Reeksen (N)'!AM84),0)</f>
        <v>0</v>
      </c>
      <c r="AM84" s="71">
        <f ca="1">-AL84*'Invoer gegevens (N)'!$F$31</f>
        <v>0</v>
      </c>
      <c r="AN84" s="71">
        <f t="shared" ca="1" si="15"/>
        <v>0</v>
      </c>
      <c r="AO84" s="71"/>
      <c r="AP84" s="71"/>
      <c r="AQ84" s="71">
        <f ca="1">-IF(C84=1,('Invoer gegevens (N)'!$C$10*'Invoer gegevens (N)'!$F$35)*'Reeksen (N)'!J84,0)*2</f>
        <v>0</v>
      </c>
      <c r="AR84" s="71">
        <f ca="1">-IF(C84=1,(G84*'Invoer gegevens (N)'!$F$36)*'Reeksen (N)'!J84,0)</f>
        <v>0</v>
      </c>
      <c r="AS84" s="71">
        <f ca="1">-IF(C84=1,'Invoer gegevens (N)'!$C$10*'Invoer gegevens (N)'!$F$37*'Reeksen (N)'!L84,0)</f>
        <v>0</v>
      </c>
      <c r="AT84" s="71">
        <f ca="1">-IF(C84=1,IF(E84='Invoer gegevens (N)'!$C$17,'Invoer gegevens (N)'!$C$11,Q84)*'Reeksen (N)'!S84*'Invoer gegevens (N)'!$C$18*'Reeksen (N)'!P84,0)</f>
        <v>0</v>
      </c>
      <c r="AU84" s="71">
        <f ca="1">-IF(C84=1,'Invoer gegevens (N)'!$C$10*'Invoer gegevens (N)'!$F$38*'Reeksen (N)'!H84,0)</f>
        <v>0</v>
      </c>
      <c r="AV84" s="71">
        <v>0</v>
      </c>
      <c r="AW84" s="71">
        <f t="shared" ca="1" si="16"/>
        <v>0</v>
      </c>
      <c r="AX84" s="71">
        <f ca="1">IF(E84&lt;'Invoer gegevens (N)'!$C$17+15,0,IF('RW - MW - DE - DE (N)'!E84&gt;'Invoer gegevens (N)'!$C$17+215,0,'RW - MW - DE - DE (N)'!AW84))</f>
        <v>0</v>
      </c>
      <c r="AY84" s="71">
        <f ca="1">AX84/(1+'Invoer gegevens (N)'!$F$13)^($AZ84-('Invoer gegevens (N)'!$C$17-'Invoer gegevens (N)'!$C$16))/(1+'Invoer gegevens (N)'!$C$39)^('Invoer gegevens (N)'!$C$17-'Invoer gegevens (N)'!$C$16)</f>
        <v>0</v>
      </c>
      <c r="AZ84" s="68">
        <f ca="1">IF(E84-'Invoer gegevens (N)'!$C$17-14.5&lt;0,0,E84-'Invoer gegevens (N)'!$C$17-14.5)</f>
        <v>64.5</v>
      </c>
      <c r="BC84" s="71"/>
    </row>
    <row r="85" spans="2:55" s="230" customFormat="1" x14ac:dyDescent="0.25">
      <c r="B85" s="70">
        <f t="shared" si="17"/>
        <v>81</v>
      </c>
      <c r="C85" s="67">
        <f ca="1">IF(E85-'Invoer gegevens (N)'!$C$17&lt;0,0,1)</f>
        <v>1</v>
      </c>
      <c r="D85" s="68">
        <f t="shared" si="18"/>
        <v>80.5</v>
      </c>
      <c r="E85" s="69">
        <f ca="1">IF('Invoer gegevens (N)'!$C$16="","",E84+1)</f>
        <v>2099</v>
      </c>
      <c r="F85" s="82">
        <f ca="1">IF('Invoer gegevens (N)'!$C$17=E85,'Invoer gegevens (N)'!$C$10,IF(C85=1,H84,0))</f>
        <v>0</v>
      </c>
      <c r="G85" s="83">
        <f ca="1">IF(C85&gt;=1,F85*'Reeksen (N)'!C85,0)</f>
        <v>0</v>
      </c>
      <c r="H85" s="84">
        <f t="shared" ca="1" si="11"/>
        <v>0</v>
      </c>
      <c r="I85" s="85">
        <f ca="1">IF('Invoer gegevens (N)'!$C$17=E85,'Invoer gegevens (N)'!$C$11,IF(C85=1,L84,0))</f>
        <v>0</v>
      </c>
      <c r="J85" s="86">
        <f ca="1">IF(C85&lt;1,0,IF('Reeksen (N)'!AD85&lt;='Reeksen (N)'!AE85,I85*'Reeksen (N)'!C85,0))</f>
        <v>0</v>
      </c>
      <c r="K85" s="86">
        <f ca="1">IF(C85&lt;1,0,IF('Reeksen (N)'!AD85&gt;'Reeksen (N)'!AE85,I85*'Reeksen (N)'!C85,0))</f>
        <v>0</v>
      </c>
      <c r="L85" s="86">
        <f t="shared" ca="1" si="12"/>
        <v>0</v>
      </c>
      <c r="M85" s="85">
        <f ca="1">IF('Invoer gegevens (N)'!$C$17=E85,'Invoer gegevens (N)'!$C$10-'Invoer gegevens (N)'!$C$11,IF(C85=1,P84,0))</f>
        <v>0</v>
      </c>
      <c r="N85" s="86">
        <f ca="1">IF(C85&lt;1,0,IF('Reeksen (N)'!AD85&lt;='Reeksen (N)'!AE85,M85*'Reeksen (N)'!C85,0))</f>
        <v>0</v>
      </c>
      <c r="O85" s="86">
        <f ca="1">IF(C85&lt;1,0,IF('Reeksen (N)'!AD85&gt;'Reeksen (N)'!AE85,M85*'Reeksen (N)'!C85,0))</f>
        <v>0</v>
      </c>
      <c r="P85" s="86">
        <f t="shared" ca="1" si="13"/>
        <v>0</v>
      </c>
      <c r="Q85" s="82">
        <f ca="1">IF('Invoer gegevens (N)'!$C$17=E85,I85,IF(C85=0,0,R84))</f>
        <v>0</v>
      </c>
      <c r="R85" s="84">
        <f t="shared" ca="1" si="10"/>
        <v>0</v>
      </c>
      <c r="S85" s="84">
        <f ca="1">IF('Invoer gegevens (N)'!$C$17=E85,M85,IF(C85=0,0,T84))</f>
        <v>0</v>
      </c>
      <c r="T85" s="84">
        <f t="shared" ca="1" si="19"/>
        <v>0</v>
      </c>
      <c r="AI85" s="71">
        <f ca="1">IF(C85=1,((F85+H85)/2*'Reeksen (N)'!AI85*12)+(('Invoer gegevens (N)'!$C$10-(F85+H85)/2)*'Reeksen (N)'!AD85*12),0)</f>
        <v>0</v>
      </c>
      <c r="AJ85" s="71">
        <f ca="1">-AI85*'Invoer gegevens (N)'!$F$28</f>
        <v>0</v>
      </c>
      <c r="AK85" s="71">
        <f t="shared" ca="1" si="14"/>
        <v>0</v>
      </c>
      <c r="AL85" s="71">
        <f ca="1">IF(C85=1,(12*((F85+H85)/2)*'Reeksen (N)'!AL85)+(12*('Invoer gegevens (N)'!$C$10-(F85+H85)/2)*'Reeksen (N)'!AM85),0)</f>
        <v>0</v>
      </c>
      <c r="AM85" s="71">
        <f ca="1">-AL85*'Invoer gegevens (N)'!$F$31</f>
        <v>0</v>
      </c>
      <c r="AN85" s="71">
        <f t="shared" ca="1" si="15"/>
        <v>0</v>
      </c>
      <c r="AO85" s="71"/>
      <c r="AP85" s="71"/>
      <c r="AQ85" s="71">
        <f ca="1">-IF(C85=1,('Invoer gegevens (N)'!$C$10*'Invoer gegevens (N)'!$F$35)*'Reeksen (N)'!J85,0)*2</f>
        <v>0</v>
      </c>
      <c r="AR85" s="71">
        <f ca="1">-IF(C85=1,(G85*'Invoer gegevens (N)'!$F$36)*'Reeksen (N)'!J85,0)</f>
        <v>0</v>
      </c>
      <c r="AS85" s="71">
        <f ca="1">-IF(C85=1,'Invoer gegevens (N)'!$C$10*'Invoer gegevens (N)'!$F$37*'Reeksen (N)'!L85,0)</f>
        <v>0</v>
      </c>
      <c r="AT85" s="71">
        <f ca="1">-IF(C85=1,IF(E85='Invoer gegevens (N)'!$C$17,'Invoer gegevens (N)'!$C$11,Q85)*'Reeksen (N)'!S85*'Invoer gegevens (N)'!$C$18*'Reeksen (N)'!P85,0)</f>
        <v>0</v>
      </c>
      <c r="AU85" s="71">
        <f ca="1">-IF(C85=1,'Invoer gegevens (N)'!$C$10*'Invoer gegevens (N)'!$F$38*'Reeksen (N)'!H85,0)</f>
        <v>0</v>
      </c>
      <c r="AV85" s="71">
        <v>0</v>
      </c>
      <c r="AW85" s="71">
        <f t="shared" ca="1" si="16"/>
        <v>0</v>
      </c>
      <c r="AX85" s="71">
        <f ca="1">IF(E85&lt;'Invoer gegevens (N)'!$C$17+15,0,IF('RW - MW - DE - DE (N)'!E85&gt;'Invoer gegevens (N)'!$C$17+215,0,'RW - MW - DE - DE (N)'!AW85))</f>
        <v>0</v>
      </c>
      <c r="AY85" s="71">
        <f ca="1">AX85/(1+'Invoer gegevens (N)'!$F$13)^($AZ85-('Invoer gegevens (N)'!$C$17-'Invoer gegevens (N)'!$C$16))/(1+'Invoer gegevens (N)'!$C$39)^('Invoer gegevens (N)'!$C$17-'Invoer gegevens (N)'!$C$16)</f>
        <v>0</v>
      </c>
      <c r="AZ85" s="68">
        <f ca="1">IF(E85-'Invoer gegevens (N)'!$C$17-14.5&lt;0,0,E85-'Invoer gegevens (N)'!$C$17-14.5)</f>
        <v>65.5</v>
      </c>
      <c r="BC85" s="71"/>
    </row>
    <row r="86" spans="2:55" s="230" customFormat="1" x14ac:dyDescent="0.25">
      <c r="B86" s="70">
        <f t="shared" si="17"/>
        <v>82</v>
      </c>
      <c r="C86" s="67">
        <f ca="1">IF(E86-'Invoer gegevens (N)'!$C$17&lt;0,0,1)</f>
        <v>1</v>
      </c>
      <c r="D86" s="68">
        <f t="shared" si="18"/>
        <v>81.5</v>
      </c>
      <c r="E86" s="69">
        <f ca="1">IF('Invoer gegevens (N)'!$C$16="","",E85+1)</f>
        <v>2100</v>
      </c>
      <c r="F86" s="82">
        <f ca="1">IF('Invoer gegevens (N)'!$C$17=E86,'Invoer gegevens (N)'!$C$10,IF(C86=1,H85,0))</f>
        <v>0</v>
      </c>
      <c r="G86" s="83">
        <f ca="1">IF(C86&gt;=1,F86*'Reeksen (N)'!C86,0)</f>
        <v>0</v>
      </c>
      <c r="H86" s="84">
        <f t="shared" ca="1" si="11"/>
        <v>0</v>
      </c>
      <c r="I86" s="85">
        <f ca="1">IF('Invoer gegevens (N)'!$C$17=E86,'Invoer gegevens (N)'!$C$11,IF(C86=1,L85,0))</f>
        <v>0</v>
      </c>
      <c r="J86" s="86">
        <f ca="1">IF(C86&lt;1,0,IF('Reeksen (N)'!AD86&lt;='Reeksen (N)'!AE86,I86*'Reeksen (N)'!C86,0))</f>
        <v>0</v>
      </c>
      <c r="K86" s="86">
        <f ca="1">IF(C86&lt;1,0,IF('Reeksen (N)'!AD86&gt;'Reeksen (N)'!AE86,I86*'Reeksen (N)'!C86,0))</f>
        <v>0</v>
      </c>
      <c r="L86" s="86">
        <f t="shared" ca="1" si="12"/>
        <v>0</v>
      </c>
      <c r="M86" s="85">
        <f ca="1">IF('Invoer gegevens (N)'!$C$17=E86,'Invoer gegevens (N)'!$C$10-'Invoer gegevens (N)'!$C$11,IF(C86=1,P85,0))</f>
        <v>0</v>
      </c>
      <c r="N86" s="86">
        <f ca="1">IF(C86&lt;1,0,IF('Reeksen (N)'!AD86&lt;='Reeksen (N)'!AE86,M86*'Reeksen (N)'!C86,0))</f>
        <v>0</v>
      </c>
      <c r="O86" s="86">
        <f ca="1">IF(C86&lt;1,0,IF('Reeksen (N)'!AD86&gt;'Reeksen (N)'!AE86,M86*'Reeksen (N)'!C86,0))</f>
        <v>0</v>
      </c>
      <c r="P86" s="86">
        <f t="shared" ca="1" si="13"/>
        <v>0</v>
      </c>
      <c r="Q86" s="82">
        <f ca="1">IF('Invoer gegevens (N)'!$C$17=E86,I86,IF(C86=0,0,R85))</f>
        <v>0</v>
      </c>
      <c r="R86" s="84">
        <f t="shared" ca="1" si="10"/>
        <v>0</v>
      </c>
      <c r="S86" s="84">
        <f ca="1">IF('Invoer gegevens (N)'!$C$17=E86,M86,IF(C86=0,0,T85))</f>
        <v>0</v>
      </c>
      <c r="T86" s="84">
        <f t="shared" ca="1" si="19"/>
        <v>0</v>
      </c>
      <c r="AI86" s="71">
        <f ca="1">IF(C86=1,((F86+H86)/2*'Reeksen (N)'!AI86*12)+(('Invoer gegevens (N)'!$C$10-(F86+H86)/2)*'Reeksen (N)'!AD86*12),0)</f>
        <v>0</v>
      </c>
      <c r="AJ86" s="71">
        <f ca="1">-AI86*'Invoer gegevens (N)'!$F$28</f>
        <v>0</v>
      </c>
      <c r="AK86" s="71">
        <f t="shared" ca="1" si="14"/>
        <v>0</v>
      </c>
      <c r="AL86" s="71">
        <f ca="1">IF(C86=1,(12*((F86+H86)/2)*'Reeksen (N)'!AL86)+(12*('Invoer gegevens (N)'!$C$10-(F86+H86)/2)*'Reeksen (N)'!AM86),0)</f>
        <v>0</v>
      </c>
      <c r="AM86" s="71">
        <f ca="1">-AL86*'Invoer gegevens (N)'!$F$31</f>
        <v>0</v>
      </c>
      <c r="AN86" s="71">
        <f t="shared" ca="1" si="15"/>
        <v>0</v>
      </c>
      <c r="AO86" s="71"/>
      <c r="AP86" s="71"/>
      <c r="AQ86" s="71">
        <f ca="1">-IF(C86=1,('Invoer gegevens (N)'!$C$10*'Invoer gegevens (N)'!$F$35)*'Reeksen (N)'!J86,0)*2</f>
        <v>0</v>
      </c>
      <c r="AR86" s="71">
        <f ca="1">-IF(C86=1,(G86*'Invoer gegevens (N)'!$F$36)*'Reeksen (N)'!J86,0)</f>
        <v>0</v>
      </c>
      <c r="AS86" s="71">
        <f ca="1">-IF(C86=1,'Invoer gegevens (N)'!$C$10*'Invoer gegevens (N)'!$F$37*'Reeksen (N)'!L86,0)</f>
        <v>0</v>
      </c>
      <c r="AT86" s="71">
        <f ca="1">-IF(C86=1,IF(E86='Invoer gegevens (N)'!$C$17,'Invoer gegevens (N)'!$C$11,Q86)*'Reeksen (N)'!S86*'Invoer gegevens (N)'!$C$18*'Reeksen (N)'!P86,0)</f>
        <v>0</v>
      </c>
      <c r="AU86" s="71">
        <f ca="1">-IF(C86=1,'Invoer gegevens (N)'!$C$10*'Invoer gegevens (N)'!$F$38*'Reeksen (N)'!H86,0)</f>
        <v>0</v>
      </c>
      <c r="AV86" s="71">
        <v>0</v>
      </c>
      <c r="AW86" s="71">
        <f t="shared" ca="1" si="16"/>
        <v>0</v>
      </c>
      <c r="AX86" s="71">
        <f ca="1">IF(E86&lt;'Invoer gegevens (N)'!$C$17+15,0,IF('RW - MW - DE - DE (N)'!E86&gt;'Invoer gegevens (N)'!$C$17+215,0,'RW - MW - DE - DE (N)'!AW86))</f>
        <v>0</v>
      </c>
      <c r="AY86" s="71">
        <f ca="1">AX86/(1+'Invoer gegevens (N)'!$F$13)^($AZ86-('Invoer gegevens (N)'!$C$17-'Invoer gegevens (N)'!$C$16))/(1+'Invoer gegevens (N)'!$C$39)^('Invoer gegevens (N)'!$C$17-'Invoer gegevens (N)'!$C$16)</f>
        <v>0</v>
      </c>
      <c r="AZ86" s="68">
        <f ca="1">IF(E86-'Invoer gegevens (N)'!$C$17-14.5&lt;0,0,E86-'Invoer gegevens (N)'!$C$17-14.5)</f>
        <v>66.5</v>
      </c>
      <c r="BC86" s="71"/>
    </row>
    <row r="87" spans="2:55" s="230" customFormat="1" x14ac:dyDescent="0.25">
      <c r="B87" s="70">
        <f t="shared" si="17"/>
        <v>83</v>
      </c>
      <c r="C87" s="67">
        <f ca="1">IF(E87-'Invoer gegevens (N)'!$C$17&lt;0,0,1)</f>
        <v>1</v>
      </c>
      <c r="D87" s="68">
        <f t="shared" si="18"/>
        <v>82.5</v>
      </c>
      <c r="E87" s="69">
        <f ca="1">IF('Invoer gegevens (N)'!$C$16="","",E86+1)</f>
        <v>2101</v>
      </c>
      <c r="F87" s="82">
        <f ca="1">IF('Invoer gegevens (N)'!$C$17=E87,'Invoer gegevens (N)'!$C$10,IF(C87=1,H86,0))</f>
        <v>0</v>
      </c>
      <c r="G87" s="83">
        <f ca="1">IF(C87&gt;=1,F87*'Reeksen (N)'!C87,0)</f>
        <v>0</v>
      </c>
      <c r="H87" s="84">
        <f t="shared" ca="1" si="11"/>
        <v>0</v>
      </c>
      <c r="I87" s="85">
        <f ca="1">IF('Invoer gegevens (N)'!$C$17=E87,'Invoer gegevens (N)'!$C$11,IF(C87=1,L86,0))</f>
        <v>0</v>
      </c>
      <c r="J87" s="86">
        <f ca="1">IF(C87&lt;1,0,IF('Reeksen (N)'!AD87&lt;='Reeksen (N)'!AE87,I87*'Reeksen (N)'!C87,0))</f>
        <v>0</v>
      </c>
      <c r="K87" s="86">
        <f ca="1">IF(C87&lt;1,0,IF('Reeksen (N)'!AD87&gt;'Reeksen (N)'!AE87,I87*'Reeksen (N)'!C87,0))</f>
        <v>0</v>
      </c>
      <c r="L87" s="86">
        <f t="shared" ca="1" si="12"/>
        <v>0</v>
      </c>
      <c r="M87" s="85">
        <f ca="1">IF('Invoer gegevens (N)'!$C$17=E87,'Invoer gegevens (N)'!$C$10-'Invoer gegevens (N)'!$C$11,IF(C87=1,P86,0))</f>
        <v>0</v>
      </c>
      <c r="N87" s="86">
        <f ca="1">IF(C87&lt;1,0,IF('Reeksen (N)'!AD87&lt;='Reeksen (N)'!AE87,M87*'Reeksen (N)'!C87,0))</f>
        <v>0</v>
      </c>
      <c r="O87" s="86">
        <f ca="1">IF(C87&lt;1,0,IF('Reeksen (N)'!AD87&gt;'Reeksen (N)'!AE87,M87*'Reeksen (N)'!C87,0))</f>
        <v>0</v>
      </c>
      <c r="P87" s="86">
        <f t="shared" ca="1" si="13"/>
        <v>0</v>
      </c>
      <c r="Q87" s="82">
        <f ca="1">IF('Invoer gegevens (N)'!$C$17=E87,I87,IF(C87=0,0,R86))</f>
        <v>0</v>
      </c>
      <c r="R87" s="84">
        <f t="shared" ca="1" si="10"/>
        <v>0</v>
      </c>
      <c r="S87" s="84">
        <f ca="1">IF('Invoer gegevens (N)'!$C$17=E87,M87,IF(C87=0,0,T86))</f>
        <v>0</v>
      </c>
      <c r="T87" s="84">
        <f t="shared" ca="1" si="19"/>
        <v>0</v>
      </c>
      <c r="AI87" s="71">
        <f ca="1">IF(C87=1,((F87+H87)/2*'Reeksen (N)'!AI87*12)+(('Invoer gegevens (N)'!$C$10-(F87+H87)/2)*'Reeksen (N)'!AD87*12),0)</f>
        <v>0</v>
      </c>
      <c r="AJ87" s="71">
        <f ca="1">-AI87*'Invoer gegevens (N)'!$F$28</f>
        <v>0</v>
      </c>
      <c r="AK87" s="71">
        <f t="shared" ca="1" si="14"/>
        <v>0</v>
      </c>
      <c r="AL87" s="71">
        <f ca="1">IF(C87=1,(12*((F87+H87)/2)*'Reeksen (N)'!AL87)+(12*('Invoer gegevens (N)'!$C$10-(F87+H87)/2)*'Reeksen (N)'!AM87),0)</f>
        <v>0</v>
      </c>
      <c r="AM87" s="71">
        <f ca="1">-AL87*'Invoer gegevens (N)'!$F$31</f>
        <v>0</v>
      </c>
      <c r="AN87" s="71">
        <f t="shared" ca="1" si="15"/>
        <v>0</v>
      </c>
      <c r="AO87" s="71"/>
      <c r="AP87" s="71"/>
      <c r="AQ87" s="71">
        <f ca="1">-IF(C87=1,('Invoer gegevens (N)'!$C$10*'Invoer gegevens (N)'!$F$35)*'Reeksen (N)'!J87,0)*2</f>
        <v>0</v>
      </c>
      <c r="AR87" s="71">
        <f ca="1">-IF(C87=1,(G87*'Invoer gegevens (N)'!$F$36)*'Reeksen (N)'!J87,0)</f>
        <v>0</v>
      </c>
      <c r="AS87" s="71">
        <f ca="1">-IF(C87=1,'Invoer gegevens (N)'!$C$10*'Invoer gegevens (N)'!$F$37*'Reeksen (N)'!L87,0)</f>
        <v>0</v>
      </c>
      <c r="AT87" s="71">
        <f ca="1">-IF(C87=1,IF(E87='Invoer gegevens (N)'!$C$17,'Invoer gegevens (N)'!$C$11,Q87)*'Reeksen (N)'!S87*'Invoer gegevens (N)'!$C$18*'Reeksen (N)'!P87,0)</f>
        <v>0</v>
      </c>
      <c r="AU87" s="71">
        <f ca="1">-IF(C87=1,'Invoer gegevens (N)'!$C$10*'Invoer gegevens (N)'!$F$38*'Reeksen (N)'!H87,0)</f>
        <v>0</v>
      </c>
      <c r="AV87" s="71">
        <v>0</v>
      </c>
      <c r="AW87" s="71">
        <f t="shared" ca="1" si="16"/>
        <v>0</v>
      </c>
      <c r="AX87" s="71">
        <f ca="1">IF(E87&lt;'Invoer gegevens (N)'!$C$17+15,0,IF('RW - MW - DE - DE (N)'!E87&gt;'Invoer gegevens (N)'!$C$17+215,0,'RW - MW - DE - DE (N)'!AW87))</f>
        <v>0</v>
      </c>
      <c r="AY87" s="71">
        <f ca="1">AX87/(1+'Invoer gegevens (N)'!$F$13)^($AZ87-('Invoer gegevens (N)'!$C$17-'Invoer gegevens (N)'!$C$16))/(1+'Invoer gegevens (N)'!$C$39)^('Invoer gegevens (N)'!$C$17-'Invoer gegevens (N)'!$C$16)</f>
        <v>0</v>
      </c>
      <c r="AZ87" s="68">
        <f ca="1">IF(E87-'Invoer gegevens (N)'!$C$17-14.5&lt;0,0,E87-'Invoer gegevens (N)'!$C$17-14.5)</f>
        <v>67.5</v>
      </c>
      <c r="BC87" s="71"/>
    </row>
    <row r="88" spans="2:55" s="230" customFormat="1" x14ac:dyDescent="0.25">
      <c r="B88" s="70">
        <f t="shared" si="17"/>
        <v>84</v>
      </c>
      <c r="C88" s="67">
        <f ca="1">IF(E88-'Invoer gegevens (N)'!$C$17&lt;0,0,1)</f>
        <v>1</v>
      </c>
      <c r="D88" s="68">
        <f t="shared" si="18"/>
        <v>83.5</v>
      </c>
      <c r="E88" s="69">
        <f ca="1">IF('Invoer gegevens (N)'!$C$16="","",E87+1)</f>
        <v>2102</v>
      </c>
      <c r="F88" s="82">
        <f ca="1">IF('Invoer gegevens (N)'!$C$17=E88,'Invoer gegevens (N)'!$C$10,IF(C88=1,H87,0))</f>
        <v>0</v>
      </c>
      <c r="G88" s="83">
        <f ca="1">IF(C88&gt;=1,F88*'Reeksen (N)'!C88,0)</f>
        <v>0</v>
      </c>
      <c r="H88" s="84">
        <f t="shared" ca="1" si="11"/>
        <v>0</v>
      </c>
      <c r="I88" s="85">
        <f ca="1">IF('Invoer gegevens (N)'!$C$17=E88,'Invoer gegevens (N)'!$C$11,IF(C88=1,L87,0))</f>
        <v>0</v>
      </c>
      <c r="J88" s="86">
        <f ca="1">IF(C88&lt;1,0,IF('Reeksen (N)'!AD88&lt;='Reeksen (N)'!AE88,I88*'Reeksen (N)'!C88,0))</f>
        <v>0</v>
      </c>
      <c r="K88" s="86">
        <f ca="1">IF(C88&lt;1,0,IF('Reeksen (N)'!AD88&gt;'Reeksen (N)'!AE88,I88*'Reeksen (N)'!C88,0))</f>
        <v>0</v>
      </c>
      <c r="L88" s="86">
        <f t="shared" ca="1" si="12"/>
        <v>0</v>
      </c>
      <c r="M88" s="85">
        <f ca="1">IF('Invoer gegevens (N)'!$C$17=E88,'Invoer gegevens (N)'!$C$10-'Invoer gegevens (N)'!$C$11,IF(C88=1,P87,0))</f>
        <v>0</v>
      </c>
      <c r="N88" s="86">
        <f ca="1">IF(C88&lt;1,0,IF('Reeksen (N)'!AD88&lt;='Reeksen (N)'!AE88,M88*'Reeksen (N)'!C88,0))</f>
        <v>0</v>
      </c>
      <c r="O88" s="86">
        <f ca="1">IF(C88&lt;1,0,IF('Reeksen (N)'!AD88&gt;'Reeksen (N)'!AE88,M88*'Reeksen (N)'!C88,0))</f>
        <v>0</v>
      </c>
      <c r="P88" s="86">
        <f t="shared" ca="1" si="13"/>
        <v>0</v>
      </c>
      <c r="Q88" s="82">
        <f ca="1">IF('Invoer gegevens (N)'!$C$17=E88,I88,IF(C88=0,0,R87))</f>
        <v>0</v>
      </c>
      <c r="R88" s="84">
        <f t="shared" ca="1" si="10"/>
        <v>0</v>
      </c>
      <c r="S88" s="84">
        <f ca="1">IF('Invoer gegevens (N)'!$C$17=E88,M88,IF(C88=0,0,T87))</f>
        <v>0</v>
      </c>
      <c r="T88" s="84">
        <f t="shared" ca="1" si="19"/>
        <v>0</v>
      </c>
      <c r="AI88" s="71">
        <f ca="1">IF(C88=1,((F88+H88)/2*'Reeksen (N)'!AI88*12)+(('Invoer gegevens (N)'!$C$10-(F88+H88)/2)*'Reeksen (N)'!AD88*12),0)</f>
        <v>0</v>
      </c>
      <c r="AJ88" s="71">
        <f ca="1">-AI88*'Invoer gegevens (N)'!$F$28</f>
        <v>0</v>
      </c>
      <c r="AK88" s="71">
        <f t="shared" ca="1" si="14"/>
        <v>0</v>
      </c>
      <c r="AL88" s="71">
        <f ca="1">IF(C88=1,(12*((F88+H88)/2)*'Reeksen (N)'!AL88)+(12*('Invoer gegevens (N)'!$C$10-(F88+H88)/2)*'Reeksen (N)'!AM88),0)</f>
        <v>0</v>
      </c>
      <c r="AM88" s="71">
        <f ca="1">-AL88*'Invoer gegevens (N)'!$F$31</f>
        <v>0</v>
      </c>
      <c r="AN88" s="71">
        <f t="shared" ca="1" si="15"/>
        <v>0</v>
      </c>
      <c r="AO88" s="71"/>
      <c r="AP88" s="71"/>
      <c r="AQ88" s="71">
        <f ca="1">-IF(C88=1,('Invoer gegevens (N)'!$C$10*'Invoer gegevens (N)'!$F$35)*'Reeksen (N)'!J88,0)*2</f>
        <v>0</v>
      </c>
      <c r="AR88" s="71">
        <f ca="1">-IF(C88=1,(G88*'Invoer gegevens (N)'!$F$36)*'Reeksen (N)'!J88,0)</f>
        <v>0</v>
      </c>
      <c r="AS88" s="71">
        <f ca="1">-IF(C88=1,'Invoer gegevens (N)'!$C$10*'Invoer gegevens (N)'!$F$37*'Reeksen (N)'!L88,0)</f>
        <v>0</v>
      </c>
      <c r="AT88" s="71">
        <f ca="1">-IF(C88=1,IF(E88='Invoer gegevens (N)'!$C$17,'Invoer gegevens (N)'!$C$11,Q88)*'Reeksen (N)'!S88*'Invoer gegevens (N)'!$C$18*'Reeksen (N)'!P88,0)</f>
        <v>0</v>
      </c>
      <c r="AU88" s="71">
        <f ca="1">-IF(C88=1,'Invoer gegevens (N)'!$C$10*'Invoer gegevens (N)'!$F$38*'Reeksen (N)'!H88,0)</f>
        <v>0</v>
      </c>
      <c r="AV88" s="71">
        <v>0</v>
      </c>
      <c r="AW88" s="71">
        <f t="shared" ca="1" si="16"/>
        <v>0</v>
      </c>
      <c r="AX88" s="71">
        <f ca="1">IF(E88&lt;'Invoer gegevens (N)'!$C$17+15,0,IF('RW - MW - DE - DE (N)'!E88&gt;'Invoer gegevens (N)'!$C$17+215,0,'RW - MW - DE - DE (N)'!AW88))</f>
        <v>0</v>
      </c>
      <c r="AY88" s="71">
        <f ca="1">AX88/(1+'Invoer gegevens (N)'!$F$13)^($AZ88-('Invoer gegevens (N)'!$C$17-'Invoer gegevens (N)'!$C$16))/(1+'Invoer gegevens (N)'!$C$39)^('Invoer gegevens (N)'!$C$17-'Invoer gegevens (N)'!$C$16)</f>
        <v>0</v>
      </c>
      <c r="AZ88" s="68">
        <f ca="1">IF(E88-'Invoer gegevens (N)'!$C$17-14.5&lt;0,0,E88-'Invoer gegevens (N)'!$C$17-14.5)</f>
        <v>68.5</v>
      </c>
      <c r="BC88" s="71"/>
    </row>
    <row r="89" spans="2:55" s="230" customFormat="1" x14ac:dyDescent="0.25">
      <c r="B89" s="70">
        <f t="shared" si="17"/>
        <v>85</v>
      </c>
      <c r="C89" s="67">
        <f ca="1">IF(E89-'Invoer gegevens (N)'!$C$17&lt;0,0,1)</f>
        <v>1</v>
      </c>
      <c r="D89" s="68">
        <f t="shared" si="18"/>
        <v>84.5</v>
      </c>
      <c r="E89" s="69">
        <f ca="1">IF('Invoer gegevens (N)'!$C$16="","",E88+1)</f>
        <v>2103</v>
      </c>
      <c r="F89" s="82">
        <f ca="1">IF('Invoer gegevens (N)'!$C$17=E89,'Invoer gegevens (N)'!$C$10,IF(C89=1,H88,0))</f>
        <v>0</v>
      </c>
      <c r="G89" s="83">
        <f ca="1">IF(C89&gt;=1,F89*'Reeksen (N)'!C89,0)</f>
        <v>0</v>
      </c>
      <c r="H89" s="84">
        <f t="shared" ca="1" si="11"/>
        <v>0</v>
      </c>
      <c r="I89" s="85">
        <f ca="1">IF('Invoer gegevens (N)'!$C$17=E89,'Invoer gegevens (N)'!$C$11,IF(C89=1,L88,0))</f>
        <v>0</v>
      </c>
      <c r="J89" s="86">
        <f ca="1">IF(C89&lt;1,0,IF('Reeksen (N)'!AD89&lt;='Reeksen (N)'!AE89,I89*'Reeksen (N)'!C89,0))</f>
        <v>0</v>
      </c>
      <c r="K89" s="86">
        <f ca="1">IF(C89&lt;1,0,IF('Reeksen (N)'!AD89&gt;'Reeksen (N)'!AE89,I89*'Reeksen (N)'!C89,0))</f>
        <v>0</v>
      </c>
      <c r="L89" s="86">
        <f t="shared" ca="1" si="12"/>
        <v>0</v>
      </c>
      <c r="M89" s="85">
        <f ca="1">IF('Invoer gegevens (N)'!$C$17=E89,'Invoer gegevens (N)'!$C$10-'Invoer gegevens (N)'!$C$11,IF(C89=1,P88,0))</f>
        <v>0</v>
      </c>
      <c r="N89" s="86">
        <f ca="1">IF(C89&lt;1,0,IF('Reeksen (N)'!AD89&lt;='Reeksen (N)'!AE89,M89*'Reeksen (N)'!C89,0))</f>
        <v>0</v>
      </c>
      <c r="O89" s="86">
        <f ca="1">IF(C89&lt;1,0,IF('Reeksen (N)'!AD89&gt;'Reeksen (N)'!AE89,M89*'Reeksen (N)'!C89,0))</f>
        <v>0</v>
      </c>
      <c r="P89" s="86">
        <f t="shared" ca="1" si="13"/>
        <v>0</v>
      </c>
      <c r="Q89" s="82">
        <f ca="1">IF('Invoer gegevens (N)'!$C$17=E89,I89,IF(C89=0,0,R88))</f>
        <v>0</v>
      </c>
      <c r="R89" s="84">
        <f t="shared" ca="1" si="10"/>
        <v>0</v>
      </c>
      <c r="S89" s="84">
        <f ca="1">IF('Invoer gegevens (N)'!$C$17=E89,M89,IF(C89=0,0,T88))</f>
        <v>0</v>
      </c>
      <c r="T89" s="84">
        <f t="shared" ca="1" si="19"/>
        <v>0</v>
      </c>
      <c r="AI89" s="71">
        <f ca="1">IF(C89=1,((F89+H89)/2*'Reeksen (N)'!AI89*12)+(('Invoer gegevens (N)'!$C$10-(F89+H89)/2)*'Reeksen (N)'!AD89*12),0)</f>
        <v>0</v>
      </c>
      <c r="AJ89" s="71">
        <f ca="1">-AI89*'Invoer gegevens (N)'!$F$28</f>
        <v>0</v>
      </c>
      <c r="AK89" s="71">
        <f t="shared" ca="1" si="14"/>
        <v>0</v>
      </c>
      <c r="AL89" s="71">
        <f ca="1">IF(C89=1,(12*((F89+H89)/2)*'Reeksen (N)'!AL89)+(12*('Invoer gegevens (N)'!$C$10-(F89+H89)/2)*'Reeksen (N)'!AM89),0)</f>
        <v>0</v>
      </c>
      <c r="AM89" s="71">
        <f ca="1">-AL89*'Invoer gegevens (N)'!$F$31</f>
        <v>0</v>
      </c>
      <c r="AN89" s="71">
        <f t="shared" ca="1" si="15"/>
        <v>0</v>
      </c>
      <c r="AO89" s="71"/>
      <c r="AP89" s="71"/>
      <c r="AQ89" s="71">
        <f ca="1">-IF(C89=1,('Invoer gegevens (N)'!$C$10*'Invoer gegevens (N)'!$F$35)*'Reeksen (N)'!J89,0)*2</f>
        <v>0</v>
      </c>
      <c r="AR89" s="71">
        <f ca="1">-IF(C89=1,(G89*'Invoer gegevens (N)'!$F$36)*'Reeksen (N)'!J89,0)</f>
        <v>0</v>
      </c>
      <c r="AS89" s="71">
        <f ca="1">-IF(C89=1,'Invoer gegevens (N)'!$C$10*'Invoer gegevens (N)'!$F$37*'Reeksen (N)'!L89,0)</f>
        <v>0</v>
      </c>
      <c r="AT89" s="71">
        <f ca="1">-IF(C89=1,IF(E89='Invoer gegevens (N)'!$C$17,'Invoer gegevens (N)'!$C$11,Q89)*'Reeksen (N)'!S89*'Invoer gegevens (N)'!$C$18*'Reeksen (N)'!P89,0)</f>
        <v>0</v>
      </c>
      <c r="AU89" s="71">
        <f ca="1">-IF(C89=1,'Invoer gegevens (N)'!$C$10*'Invoer gegevens (N)'!$F$38*'Reeksen (N)'!H89,0)</f>
        <v>0</v>
      </c>
      <c r="AV89" s="71">
        <v>0</v>
      </c>
      <c r="AW89" s="71">
        <f t="shared" ca="1" si="16"/>
        <v>0</v>
      </c>
      <c r="AX89" s="71">
        <f ca="1">IF(E89&lt;'Invoer gegevens (N)'!$C$17+15,0,IF('RW - MW - DE - DE (N)'!E89&gt;'Invoer gegevens (N)'!$C$17+215,0,'RW - MW - DE - DE (N)'!AW89))</f>
        <v>0</v>
      </c>
      <c r="AY89" s="71">
        <f ca="1">AX89/(1+'Invoer gegevens (N)'!$F$13)^($AZ89-('Invoer gegevens (N)'!$C$17-'Invoer gegevens (N)'!$C$16))/(1+'Invoer gegevens (N)'!$C$39)^('Invoer gegevens (N)'!$C$17-'Invoer gegevens (N)'!$C$16)</f>
        <v>0</v>
      </c>
      <c r="AZ89" s="68">
        <f ca="1">IF(E89-'Invoer gegevens (N)'!$C$17-14.5&lt;0,0,E89-'Invoer gegevens (N)'!$C$17-14.5)</f>
        <v>69.5</v>
      </c>
      <c r="BC89" s="71"/>
    </row>
    <row r="90" spans="2:55" s="230" customFormat="1" x14ac:dyDescent="0.25">
      <c r="B90" s="70">
        <f t="shared" si="17"/>
        <v>86</v>
      </c>
      <c r="C90" s="67">
        <f ca="1">IF(E90-'Invoer gegevens (N)'!$C$17&lt;0,0,1)</f>
        <v>1</v>
      </c>
      <c r="D90" s="68">
        <f t="shared" si="18"/>
        <v>85.5</v>
      </c>
      <c r="E90" s="69">
        <f ca="1">IF('Invoer gegevens (N)'!$C$16="","",E89+1)</f>
        <v>2104</v>
      </c>
      <c r="F90" s="82">
        <f ca="1">IF('Invoer gegevens (N)'!$C$17=E90,'Invoer gegevens (N)'!$C$10,IF(C90=1,H89,0))</f>
        <v>0</v>
      </c>
      <c r="G90" s="83">
        <f ca="1">IF(C90&gt;=1,F90*'Reeksen (N)'!C90,0)</f>
        <v>0</v>
      </c>
      <c r="H90" s="84">
        <f t="shared" ca="1" si="11"/>
        <v>0</v>
      </c>
      <c r="I90" s="85">
        <f ca="1">IF('Invoer gegevens (N)'!$C$17=E90,'Invoer gegevens (N)'!$C$11,IF(C90=1,L89,0))</f>
        <v>0</v>
      </c>
      <c r="J90" s="86">
        <f ca="1">IF(C90&lt;1,0,IF('Reeksen (N)'!AD90&lt;='Reeksen (N)'!AE90,I90*'Reeksen (N)'!C90,0))</f>
        <v>0</v>
      </c>
      <c r="K90" s="86">
        <f ca="1">IF(C90&lt;1,0,IF('Reeksen (N)'!AD90&gt;'Reeksen (N)'!AE90,I90*'Reeksen (N)'!C90,0))</f>
        <v>0</v>
      </c>
      <c r="L90" s="86">
        <f t="shared" ca="1" si="12"/>
        <v>0</v>
      </c>
      <c r="M90" s="85">
        <f ca="1">IF('Invoer gegevens (N)'!$C$17=E90,'Invoer gegevens (N)'!$C$10-'Invoer gegevens (N)'!$C$11,IF(C90=1,P89,0))</f>
        <v>0</v>
      </c>
      <c r="N90" s="86">
        <f ca="1">IF(C90&lt;1,0,IF('Reeksen (N)'!AD90&lt;='Reeksen (N)'!AE90,M90*'Reeksen (N)'!C90,0))</f>
        <v>0</v>
      </c>
      <c r="O90" s="86">
        <f ca="1">IF(C90&lt;1,0,IF('Reeksen (N)'!AD90&gt;'Reeksen (N)'!AE90,M90*'Reeksen (N)'!C90,0))</f>
        <v>0</v>
      </c>
      <c r="P90" s="86">
        <f t="shared" ca="1" si="13"/>
        <v>0</v>
      </c>
      <c r="Q90" s="82">
        <f ca="1">IF('Invoer gegevens (N)'!$C$17=E90,I90,IF(C90=0,0,R89))</f>
        <v>0</v>
      </c>
      <c r="R90" s="84">
        <f t="shared" ca="1" si="10"/>
        <v>0</v>
      </c>
      <c r="S90" s="84">
        <f ca="1">IF('Invoer gegevens (N)'!$C$17=E90,M90,IF(C90=0,0,T89))</f>
        <v>0</v>
      </c>
      <c r="T90" s="84">
        <f t="shared" ca="1" si="19"/>
        <v>0</v>
      </c>
      <c r="AI90" s="71">
        <f ca="1">IF(C90=1,((F90+H90)/2*'Reeksen (N)'!AI90*12)+(('Invoer gegevens (N)'!$C$10-(F90+H90)/2)*'Reeksen (N)'!AD90*12),0)</f>
        <v>0</v>
      </c>
      <c r="AJ90" s="71">
        <f ca="1">-AI90*'Invoer gegevens (N)'!$F$28</f>
        <v>0</v>
      </c>
      <c r="AK90" s="71">
        <f t="shared" ca="1" si="14"/>
        <v>0</v>
      </c>
      <c r="AL90" s="71">
        <f ca="1">IF(C90=1,(12*((F90+H90)/2)*'Reeksen (N)'!AL90)+(12*('Invoer gegevens (N)'!$C$10-(F90+H90)/2)*'Reeksen (N)'!AM90),0)</f>
        <v>0</v>
      </c>
      <c r="AM90" s="71">
        <f ca="1">-AL90*'Invoer gegevens (N)'!$F$31</f>
        <v>0</v>
      </c>
      <c r="AN90" s="71">
        <f t="shared" ca="1" si="15"/>
        <v>0</v>
      </c>
      <c r="AO90" s="71"/>
      <c r="AP90" s="71"/>
      <c r="AQ90" s="71">
        <f ca="1">-IF(C90=1,('Invoer gegevens (N)'!$C$10*'Invoer gegevens (N)'!$F$35)*'Reeksen (N)'!J90,0)*2</f>
        <v>0</v>
      </c>
      <c r="AR90" s="71">
        <f ca="1">-IF(C90=1,(G90*'Invoer gegevens (N)'!$F$36)*'Reeksen (N)'!J90,0)</f>
        <v>0</v>
      </c>
      <c r="AS90" s="71">
        <f ca="1">-IF(C90=1,'Invoer gegevens (N)'!$C$10*'Invoer gegevens (N)'!$F$37*'Reeksen (N)'!L90,0)</f>
        <v>0</v>
      </c>
      <c r="AT90" s="71">
        <f ca="1">-IF(C90=1,IF(E90='Invoer gegevens (N)'!$C$17,'Invoer gegevens (N)'!$C$11,Q90)*'Reeksen (N)'!S90*'Invoer gegevens (N)'!$C$18*'Reeksen (N)'!P90,0)</f>
        <v>0</v>
      </c>
      <c r="AU90" s="71">
        <f ca="1">-IF(C90=1,'Invoer gegevens (N)'!$C$10*'Invoer gegevens (N)'!$F$38*'Reeksen (N)'!H90,0)</f>
        <v>0</v>
      </c>
      <c r="AV90" s="71">
        <v>0</v>
      </c>
      <c r="AW90" s="71">
        <f t="shared" ca="1" si="16"/>
        <v>0</v>
      </c>
      <c r="AX90" s="71">
        <f ca="1">IF(E90&lt;'Invoer gegevens (N)'!$C$17+15,0,IF('RW - MW - DE - DE (N)'!E90&gt;'Invoer gegevens (N)'!$C$17+215,0,'RW - MW - DE - DE (N)'!AW90))</f>
        <v>0</v>
      </c>
      <c r="AY90" s="71">
        <f ca="1">AX90/(1+'Invoer gegevens (N)'!$F$13)^($AZ90-('Invoer gegevens (N)'!$C$17-'Invoer gegevens (N)'!$C$16))/(1+'Invoer gegevens (N)'!$C$39)^('Invoer gegevens (N)'!$C$17-'Invoer gegevens (N)'!$C$16)</f>
        <v>0</v>
      </c>
      <c r="AZ90" s="68">
        <f ca="1">IF(E90-'Invoer gegevens (N)'!$C$17-14.5&lt;0,0,E90-'Invoer gegevens (N)'!$C$17-14.5)</f>
        <v>70.5</v>
      </c>
      <c r="BC90" s="71"/>
    </row>
    <row r="91" spans="2:55" s="230" customFormat="1" x14ac:dyDescent="0.25">
      <c r="B91" s="70">
        <f t="shared" si="17"/>
        <v>87</v>
      </c>
      <c r="C91" s="67">
        <f ca="1">IF(E91-'Invoer gegevens (N)'!$C$17&lt;0,0,1)</f>
        <v>1</v>
      </c>
      <c r="D91" s="68">
        <f t="shared" si="18"/>
        <v>86.5</v>
      </c>
      <c r="E91" s="69">
        <f ca="1">IF('Invoer gegevens (N)'!$C$16="","",E90+1)</f>
        <v>2105</v>
      </c>
      <c r="F91" s="82">
        <f ca="1">IF('Invoer gegevens (N)'!$C$17=E91,'Invoer gegevens (N)'!$C$10,IF(C91=1,H90,0))</f>
        <v>0</v>
      </c>
      <c r="G91" s="83">
        <f ca="1">IF(C91&gt;=1,F91*'Reeksen (N)'!C91,0)</f>
        <v>0</v>
      </c>
      <c r="H91" s="84">
        <f t="shared" ca="1" si="11"/>
        <v>0</v>
      </c>
      <c r="I91" s="85">
        <f ca="1">IF('Invoer gegevens (N)'!$C$17=E91,'Invoer gegevens (N)'!$C$11,IF(C91=1,L90,0))</f>
        <v>0</v>
      </c>
      <c r="J91" s="86">
        <f ca="1">IF(C91&lt;1,0,IF('Reeksen (N)'!AD91&lt;='Reeksen (N)'!AE91,I91*'Reeksen (N)'!C91,0))</f>
        <v>0</v>
      </c>
      <c r="K91" s="86">
        <f ca="1">IF(C91&lt;1,0,IF('Reeksen (N)'!AD91&gt;'Reeksen (N)'!AE91,I91*'Reeksen (N)'!C91,0))</f>
        <v>0</v>
      </c>
      <c r="L91" s="86">
        <f t="shared" ca="1" si="12"/>
        <v>0</v>
      </c>
      <c r="M91" s="85">
        <f ca="1">IF('Invoer gegevens (N)'!$C$17=E91,'Invoer gegevens (N)'!$C$10-'Invoer gegevens (N)'!$C$11,IF(C91=1,P90,0))</f>
        <v>0</v>
      </c>
      <c r="N91" s="86">
        <f ca="1">IF(C91&lt;1,0,IF('Reeksen (N)'!AD91&lt;='Reeksen (N)'!AE91,M91*'Reeksen (N)'!C91,0))</f>
        <v>0</v>
      </c>
      <c r="O91" s="86">
        <f ca="1">IF(C91&lt;1,0,IF('Reeksen (N)'!AD91&gt;'Reeksen (N)'!AE91,M91*'Reeksen (N)'!C91,0))</f>
        <v>0</v>
      </c>
      <c r="P91" s="86">
        <f t="shared" ca="1" si="13"/>
        <v>0</v>
      </c>
      <c r="Q91" s="82">
        <f ca="1">IF('Invoer gegevens (N)'!$C$17=E91,I91,IF(C91=0,0,R90))</f>
        <v>0</v>
      </c>
      <c r="R91" s="84">
        <f t="shared" ca="1" si="10"/>
        <v>0</v>
      </c>
      <c r="S91" s="84">
        <f ca="1">IF('Invoer gegevens (N)'!$C$17=E91,M91,IF(C91=0,0,T90))</f>
        <v>0</v>
      </c>
      <c r="T91" s="84">
        <f t="shared" ca="1" si="19"/>
        <v>0</v>
      </c>
      <c r="AI91" s="71">
        <f ca="1">IF(C91=1,((F91+H91)/2*'Reeksen (N)'!AI91*12)+(('Invoer gegevens (N)'!$C$10-(F91+H91)/2)*'Reeksen (N)'!AD91*12),0)</f>
        <v>0</v>
      </c>
      <c r="AJ91" s="71">
        <f ca="1">-AI91*'Invoer gegevens (N)'!$F$28</f>
        <v>0</v>
      </c>
      <c r="AK91" s="71">
        <f t="shared" ca="1" si="14"/>
        <v>0</v>
      </c>
      <c r="AL91" s="71">
        <f ca="1">IF(C91=1,(12*((F91+H91)/2)*'Reeksen (N)'!AL91)+(12*('Invoer gegevens (N)'!$C$10-(F91+H91)/2)*'Reeksen (N)'!AM91),0)</f>
        <v>0</v>
      </c>
      <c r="AM91" s="71">
        <f ca="1">-AL91*'Invoer gegevens (N)'!$F$31</f>
        <v>0</v>
      </c>
      <c r="AN91" s="71">
        <f t="shared" ca="1" si="15"/>
        <v>0</v>
      </c>
      <c r="AO91" s="71"/>
      <c r="AP91" s="71"/>
      <c r="AQ91" s="71">
        <f ca="1">-IF(C91=1,('Invoer gegevens (N)'!$C$10*'Invoer gegevens (N)'!$F$35)*'Reeksen (N)'!J91,0)*2</f>
        <v>0</v>
      </c>
      <c r="AR91" s="71">
        <f ca="1">-IF(C91=1,(G91*'Invoer gegevens (N)'!$F$36)*'Reeksen (N)'!J91,0)</f>
        <v>0</v>
      </c>
      <c r="AS91" s="71">
        <f ca="1">-IF(C91=1,'Invoer gegevens (N)'!$C$10*'Invoer gegevens (N)'!$F$37*'Reeksen (N)'!L91,0)</f>
        <v>0</v>
      </c>
      <c r="AT91" s="71">
        <f ca="1">-IF(C91=1,IF(E91='Invoer gegevens (N)'!$C$17,'Invoer gegevens (N)'!$C$11,Q91)*'Reeksen (N)'!S91*'Invoer gegevens (N)'!$C$18*'Reeksen (N)'!P91,0)</f>
        <v>0</v>
      </c>
      <c r="AU91" s="71">
        <f ca="1">-IF(C91=1,'Invoer gegevens (N)'!$C$10*'Invoer gegevens (N)'!$F$38*'Reeksen (N)'!H91,0)</f>
        <v>0</v>
      </c>
      <c r="AV91" s="71">
        <v>0</v>
      </c>
      <c r="AW91" s="71">
        <f t="shared" ca="1" si="16"/>
        <v>0</v>
      </c>
      <c r="AX91" s="71">
        <f ca="1">IF(E91&lt;'Invoer gegevens (N)'!$C$17+15,0,IF('RW - MW - DE - DE (N)'!E91&gt;'Invoer gegevens (N)'!$C$17+215,0,'RW - MW - DE - DE (N)'!AW91))</f>
        <v>0</v>
      </c>
      <c r="AY91" s="71">
        <f ca="1">AX91/(1+'Invoer gegevens (N)'!$F$13)^($AZ91-('Invoer gegevens (N)'!$C$17-'Invoer gegevens (N)'!$C$16))/(1+'Invoer gegevens (N)'!$C$39)^('Invoer gegevens (N)'!$C$17-'Invoer gegevens (N)'!$C$16)</f>
        <v>0</v>
      </c>
      <c r="AZ91" s="68">
        <f ca="1">IF(E91-'Invoer gegevens (N)'!$C$17-14.5&lt;0,0,E91-'Invoer gegevens (N)'!$C$17-14.5)</f>
        <v>71.5</v>
      </c>
      <c r="BC91" s="71"/>
    </row>
    <row r="92" spans="2:55" s="230" customFormat="1" x14ac:dyDescent="0.25">
      <c r="B92" s="70">
        <f t="shared" si="17"/>
        <v>88</v>
      </c>
      <c r="C92" s="67">
        <f ca="1">IF(E92-'Invoer gegevens (N)'!$C$17&lt;0,0,1)</f>
        <v>1</v>
      </c>
      <c r="D92" s="68">
        <f t="shared" si="18"/>
        <v>87.5</v>
      </c>
      <c r="E92" s="69">
        <f ca="1">IF('Invoer gegevens (N)'!$C$16="","",E91+1)</f>
        <v>2106</v>
      </c>
      <c r="F92" s="82">
        <f ca="1">IF('Invoer gegevens (N)'!$C$17=E92,'Invoer gegevens (N)'!$C$10,IF(C92=1,H91,0))</f>
        <v>0</v>
      </c>
      <c r="G92" s="83">
        <f ca="1">IF(C92&gt;=1,F92*'Reeksen (N)'!C92,0)</f>
        <v>0</v>
      </c>
      <c r="H92" s="84">
        <f t="shared" ca="1" si="11"/>
        <v>0</v>
      </c>
      <c r="I92" s="85">
        <f ca="1">IF('Invoer gegevens (N)'!$C$17=E92,'Invoer gegevens (N)'!$C$11,IF(C92=1,L91,0))</f>
        <v>0</v>
      </c>
      <c r="J92" s="86">
        <f ca="1">IF(C92&lt;1,0,IF('Reeksen (N)'!AD92&lt;='Reeksen (N)'!AE92,I92*'Reeksen (N)'!C92,0))</f>
        <v>0</v>
      </c>
      <c r="K92" s="86">
        <f ca="1">IF(C92&lt;1,0,IF('Reeksen (N)'!AD92&gt;'Reeksen (N)'!AE92,I92*'Reeksen (N)'!C92,0))</f>
        <v>0</v>
      </c>
      <c r="L92" s="86">
        <f t="shared" ca="1" si="12"/>
        <v>0</v>
      </c>
      <c r="M92" s="85">
        <f ca="1">IF('Invoer gegevens (N)'!$C$17=E92,'Invoer gegevens (N)'!$C$10-'Invoer gegevens (N)'!$C$11,IF(C92=1,P91,0))</f>
        <v>0</v>
      </c>
      <c r="N92" s="86">
        <f ca="1">IF(C92&lt;1,0,IF('Reeksen (N)'!AD92&lt;='Reeksen (N)'!AE92,M92*'Reeksen (N)'!C92,0))</f>
        <v>0</v>
      </c>
      <c r="O92" s="86">
        <f ca="1">IF(C92&lt;1,0,IF('Reeksen (N)'!AD92&gt;'Reeksen (N)'!AE92,M92*'Reeksen (N)'!C92,0))</f>
        <v>0</v>
      </c>
      <c r="P92" s="86">
        <f t="shared" ca="1" si="13"/>
        <v>0</v>
      </c>
      <c r="Q92" s="82">
        <f ca="1">IF('Invoer gegevens (N)'!$C$17=E92,I92,IF(C92=0,0,R91))</f>
        <v>0</v>
      </c>
      <c r="R92" s="84">
        <f t="shared" ca="1" si="10"/>
        <v>0</v>
      </c>
      <c r="S92" s="84">
        <f ca="1">IF('Invoer gegevens (N)'!$C$17=E92,M92,IF(C92=0,0,T91))</f>
        <v>0</v>
      </c>
      <c r="T92" s="84">
        <f t="shared" ca="1" si="19"/>
        <v>0</v>
      </c>
      <c r="AI92" s="71">
        <f ca="1">IF(C92=1,((F92+H92)/2*'Reeksen (N)'!AI92*12)+(('Invoer gegevens (N)'!$C$10-(F92+H92)/2)*'Reeksen (N)'!AD92*12),0)</f>
        <v>0</v>
      </c>
      <c r="AJ92" s="71">
        <f ca="1">-AI92*'Invoer gegevens (N)'!$F$28</f>
        <v>0</v>
      </c>
      <c r="AK92" s="71">
        <f t="shared" ca="1" si="14"/>
        <v>0</v>
      </c>
      <c r="AL92" s="71">
        <f ca="1">IF(C92=1,(12*((F92+H92)/2)*'Reeksen (N)'!AL92)+(12*('Invoer gegevens (N)'!$C$10-(F92+H92)/2)*'Reeksen (N)'!AM92),0)</f>
        <v>0</v>
      </c>
      <c r="AM92" s="71">
        <f ca="1">-AL92*'Invoer gegevens (N)'!$F$31</f>
        <v>0</v>
      </c>
      <c r="AN92" s="71">
        <f t="shared" ca="1" si="15"/>
        <v>0</v>
      </c>
      <c r="AO92" s="71"/>
      <c r="AP92" s="71"/>
      <c r="AQ92" s="71">
        <f ca="1">-IF(C92=1,('Invoer gegevens (N)'!$C$10*'Invoer gegevens (N)'!$F$35)*'Reeksen (N)'!J92,0)*2</f>
        <v>0</v>
      </c>
      <c r="AR92" s="71">
        <f ca="1">-IF(C92=1,(G92*'Invoer gegevens (N)'!$F$36)*'Reeksen (N)'!J92,0)</f>
        <v>0</v>
      </c>
      <c r="AS92" s="71">
        <f ca="1">-IF(C92=1,'Invoer gegevens (N)'!$C$10*'Invoer gegevens (N)'!$F$37*'Reeksen (N)'!L92,0)</f>
        <v>0</v>
      </c>
      <c r="AT92" s="71">
        <f ca="1">-IF(C92=1,IF(E92='Invoer gegevens (N)'!$C$17,'Invoer gegevens (N)'!$C$11,Q92)*'Reeksen (N)'!S92*'Invoer gegevens (N)'!$C$18*'Reeksen (N)'!P92,0)</f>
        <v>0</v>
      </c>
      <c r="AU92" s="71">
        <f ca="1">-IF(C92=1,'Invoer gegevens (N)'!$C$10*'Invoer gegevens (N)'!$F$38*'Reeksen (N)'!H92,0)</f>
        <v>0</v>
      </c>
      <c r="AV92" s="71">
        <v>0</v>
      </c>
      <c r="AW92" s="71">
        <f t="shared" ca="1" si="16"/>
        <v>0</v>
      </c>
      <c r="AX92" s="71">
        <f ca="1">IF(E92&lt;'Invoer gegevens (N)'!$C$17+15,0,IF('RW - MW - DE - DE (N)'!E92&gt;'Invoer gegevens (N)'!$C$17+215,0,'RW - MW - DE - DE (N)'!AW92))</f>
        <v>0</v>
      </c>
      <c r="AY92" s="71">
        <f ca="1">AX92/(1+'Invoer gegevens (N)'!$F$13)^($AZ92-('Invoer gegevens (N)'!$C$17-'Invoer gegevens (N)'!$C$16))/(1+'Invoer gegevens (N)'!$C$39)^('Invoer gegevens (N)'!$C$17-'Invoer gegevens (N)'!$C$16)</f>
        <v>0</v>
      </c>
      <c r="AZ92" s="68">
        <f ca="1">IF(E92-'Invoer gegevens (N)'!$C$17-14.5&lt;0,0,E92-'Invoer gegevens (N)'!$C$17-14.5)</f>
        <v>72.5</v>
      </c>
      <c r="BC92" s="71"/>
    </row>
    <row r="93" spans="2:55" s="230" customFormat="1" x14ac:dyDescent="0.25">
      <c r="B93" s="70">
        <f t="shared" si="17"/>
        <v>89</v>
      </c>
      <c r="C93" s="67">
        <f ca="1">IF(E93-'Invoer gegevens (N)'!$C$17&lt;0,0,1)</f>
        <v>1</v>
      </c>
      <c r="D93" s="68">
        <f t="shared" si="18"/>
        <v>88.5</v>
      </c>
      <c r="E93" s="69">
        <f ca="1">IF('Invoer gegevens (N)'!$C$16="","",E92+1)</f>
        <v>2107</v>
      </c>
      <c r="F93" s="82">
        <f ca="1">IF('Invoer gegevens (N)'!$C$17=E93,'Invoer gegevens (N)'!$C$10,IF(C93=1,H92,0))</f>
        <v>0</v>
      </c>
      <c r="G93" s="83">
        <f ca="1">IF(C93&gt;=1,F93*'Reeksen (N)'!C93,0)</f>
        <v>0</v>
      </c>
      <c r="H93" s="84">
        <f t="shared" ca="1" si="11"/>
        <v>0</v>
      </c>
      <c r="I93" s="85">
        <f ca="1">IF('Invoer gegevens (N)'!$C$17=E93,'Invoer gegevens (N)'!$C$11,IF(C93=1,L92,0))</f>
        <v>0</v>
      </c>
      <c r="J93" s="86">
        <f ca="1">IF(C93&lt;1,0,IF('Reeksen (N)'!AD93&lt;='Reeksen (N)'!AE93,I93*'Reeksen (N)'!C93,0))</f>
        <v>0</v>
      </c>
      <c r="K93" s="86">
        <f ca="1">IF(C93&lt;1,0,IF('Reeksen (N)'!AD93&gt;'Reeksen (N)'!AE93,I93*'Reeksen (N)'!C93,0))</f>
        <v>0</v>
      </c>
      <c r="L93" s="86">
        <f t="shared" ca="1" si="12"/>
        <v>0</v>
      </c>
      <c r="M93" s="85">
        <f ca="1">IF('Invoer gegevens (N)'!$C$17=E93,'Invoer gegevens (N)'!$C$10-'Invoer gegevens (N)'!$C$11,IF(C93=1,P92,0))</f>
        <v>0</v>
      </c>
      <c r="N93" s="86">
        <f ca="1">IF(C93&lt;1,0,IF('Reeksen (N)'!AD93&lt;='Reeksen (N)'!AE93,M93*'Reeksen (N)'!C93,0))</f>
        <v>0</v>
      </c>
      <c r="O93" s="86">
        <f ca="1">IF(C93&lt;1,0,IF('Reeksen (N)'!AD93&gt;'Reeksen (N)'!AE93,M93*'Reeksen (N)'!C93,0))</f>
        <v>0</v>
      </c>
      <c r="P93" s="86">
        <f t="shared" ca="1" si="13"/>
        <v>0</v>
      </c>
      <c r="Q93" s="82">
        <f ca="1">IF('Invoer gegevens (N)'!$C$17=E93,I93,IF(C93=0,0,R92))</f>
        <v>0</v>
      </c>
      <c r="R93" s="84">
        <f t="shared" ca="1" si="10"/>
        <v>0</v>
      </c>
      <c r="S93" s="84">
        <f ca="1">IF('Invoer gegevens (N)'!$C$17=E93,M93,IF(C93=0,0,T92))</f>
        <v>0</v>
      </c>
      <c r="T93" s="84">
        <f t="shared" ca="1" si="19"/>
        <v>0</v>
      </c>
      <c r="AI93" s="71">
        <f ca="1">IF(C93=1,((F93+H93)/2*'Reeksen (N)'!AI93*12)+(('Invoer gegevens (N)'!$C$10-(F93+H93)/2)*'Reeksen (N)'!AD93*12),0)</f>
        <v>0</v>
      </c>
      <c r="AJ93" s="71">
        <f ca="1">-AI93*'Invoer gegevens (N)'!$F$28</f>
        <v>0</v>
      </c>
      <c r="AK93" s="71">
        <f t="shared" ca="1" si="14"/>
        <v>0</v>
      </c>
      <c r="AL93" s="71">
        <f ca="1">IF(C93=1,(12*((F93+H93)/2)*'Reeksen (N)'!AL93)+(12*('Invoer gegevens (N)'!$C$10-(F93+H93)/2)*'Reeksen (N)'!AM93),0)</f>
        <v>0</v>
      </c>
      <c r="AM93" s="71">
        <f ca="1">-AL93*'Invoer gegevens (N)'!$F$31</f>
        <v>0</v>
      </c>
      <c r="AN93" s="71">
        <f t="shared" ca="1" si="15"/>
        <v>0</v>
      </c>
      <c r="AO93" s="71"/>
      <c r="AP93" s="71"/>
      <c r="AQ93" s="71">
        <f ca="1">-IF(C93=1,('Invoer gegevens (N)'!$C$10*'Invoer gegevens (N)'!$F$35)*'Reeksen (N)'!J93,0)*2</f>
        <v>0</v>
      </c>
      <c r="AR93" s="71">
        <f ca="1">-IF(C93=1,(G93*'Invoer gegevens (N)'!$F$36)*'Reeksen (N)'!J93,0)</f>
        <v>0</v>
      </c>
      <c r="AS93" s="71">
        <f ca="1">-IF(C93=1,'Invoer gegevens (N)'!$C$10*'Invoer gegevens (N)'!$F$37*'Reeksen (N)'!L93,0)</f>
        <v>0</v>
      </c>
      <c r="AT93" s="71">
        <f ca="1">-IF(C93=1,IF(E93='Invoer gegevens (N)'!$C$17,'Invoer gegevens (N)'!$C$11,Q93)*'Reeksen (N)'!S93*'Invoer gegevens (N)'!$C$18*'Reeksen (N)'!P93,0)</f>
        <v>0</v>
      </c>
      <c r="AU93" s="71">
        <f ca="1">-IF(C93=1,'Invoer gegevens (N)'!$C$10*'Invoer gegevens (N)'!$F$38*'Reeksen (N)'!H93,0)</f>
        <v>0</v>
      </c>
      <c r="AV93" s="71">
        <v>0</v>
      </c>
      <c r="AW93" s="71">
        <f t="shared" ca="1" si="16"/>
        <v>0</v>
      </c>
      <c r="AX93" s="71">
        <f ca="1">IF(E93&lt;'Invoer gegevens (N)'!$C$17+15,0,IF('RW - MW - DE - DE (N)'!E93&gt;'Invoer gegevens (N)'!$C$17+215,0,'RW - MW - DE - DE (N)'!AW93))</f>
        <v>0</v>
      </c>
      <c r="AY93" s="71">
        <f ca="1">AX93/(1+'Invoer gegevens (N)'!$F$13)^($AZ93-('Invoer gegevens (N)'!$C$17-'Invoer gegevens (N)'!$C$16))/(1+'Invoer gegevens (N)'!$C$39)^('Invoer gegevens (N)'!$C$17-'Invoer gegevens (N)'!$C$16)</f>
        <v>0</v>
      </c>
      <c r="AZ93" s="68">
        <f ca="1">IF(E93-'Invoer gegevens (N)'!$C$17-14.5&lt;0,0,E93-'Invoer gegevens (N)'!$C$17-14.5)</f>
        <v>73.5</v>
      </c>
      <c r="BC93" s="71"/>
    </row>
    <row r="94" spans="2:55" s="230" customFormat="1" x14ac:dyDescent="0.25">
      <c r="B94" s="70">
        <f t="shared" si="17"/>
        <v>90</v>
      </c>
      <c r="C94" s="67">
        <f ca="1">IF(E94-'Invoer gegevens (N)'!$C$17&lt;0,0,1)</f>
        <v>1</v>
      </c>
      <c r="D94" s="68">
        <f t="shared" si="18"/>
        <v>89.5</v>
      </c>
      <c r="E94" s="69">
        <f ca="1">IF('Invoer gegevens (N)'!$C$16="","",E93+1)</f>
        <v>2108</v>
      </c>
      <c r="F94" s="82">
        <f ca="1">IF('Invoer gegevens (N)'!$C$17=E94,'Invoer gegevens (N)'!$C$10,IF(C94=1,H93,0))</f>
        <v>0</v>
      </c>
      <c r="G94" s="83">
        <f ca="1">IF(C94&gt;=1,F94*'Reeksen (N)'!C94,0)</f>
        <v>0</v>
      </c>
      <c r="H94" s="84">
        <f t="shared" ca="1" si="11"/>
        <v>0</v>
      </c>
      <c r="I94" s="85">
        <f ca="1">IF('Invoer gegevens (N)'!$C$17=E94,'Invoer gegevens (N)'!$C$11,IF(C94=1,L93,0))</f>
        <v>0</v>
      </c>
      <c r="J94" s="86">
        <f ca="1">IF(C94&lt;1,0,IF('Reeksen (N)'!AD94&lt;='Reeksen (N)'!AE94,I94*'Reeksen (N)'!C94,0))</f>
        <v>0</v>
      </c>
      <c r="K94" s="86">
        <f ca="1">IF(C94&lt;1,0,IF('Reeksen (N)'!AD94&gt;'Reeksen (N)'!AE94,I94*'Reeksen (N)'!C94,0))</f>
        <v>0</v>
      </c>
      <c r="L94" s="86">
        <f t="shared" ca="1" si="12"/>
        <v>0</v>
      </c>
      <c r="M94" s="85">
        <f ca="1">IF('Invoer gegevens (N)'!$C$17=E94,'Invoer gegevens (N)'!$C$10-'Invoer gegevens (N)'!$C$11,IF(C94=1,P93,0))</f>
        <v>0</v>
      </c>
      <c r="N94" s="86">
        <f ca="1">IF(C94&lt;1,0,IF('Reeksen (N)'!AD94&lt;='Reeksen (N)'!AE94,M94*'Reeksen (N)'!C94,0))</f>
        <v>0</v>
      </c>
      <c r="O94" s="86">
        <f ca="1">IF(C94&lt;1,0,IF('Reeksen (N)'!AD94&gt;'Reeksen (N)'!AE94,M94*'Reeksen (N)'!C94,0))</f>
        <v>0</v>
      </c>
      <c r="P94" s="86">
        <f t="shared" ca="1" si="13"/>
        <v>0</v>
      </c>
      <c r="Q94" s="82">
        <f ca="1">IF('Invoer gegevens (N)'!$C$17=E94,I94,IF(C94=0,0,R93))</f>
        <v>0</v>
      </c>
      <c r="R94" s="84">
        <f t="shared" ca="1" si="10"/>
        <v>0</v>
      </c>
      <c r="S94" s="84">
        <f ca="1">IF('Invoer gegevens (N)'!$C$17=E94,M94,IF(C94=0,0,T93))</f>
        <v>0</v>
      </c>
      <c r="T94" s="84">
        <f t="shared" ca="1" si="19"/>
        <v>0</v>
      </c>
      <c r="AI94" s="71">
        <f ca="1">IF(C94=1,((F94+H94)/2*'Reeksen (N)'!AI94*12)+(('Invoer gegevens (N)'!$C$10-(F94+H94)/2)*'Reeksen (N)'!AD94*12),0)</f>
        <v>0</v>
      </c>
      <c r="AJ94" s="71">
        <f ca="1">-AI94*'Invoer gegevens (N)'!$F$28</f>
        <v>0</v>
      </c>
      <c r="AK94" s="71">
        <f t="shared" ca="1" si="14"/>
        <v>0</v>
      </c>
      <c r="AL94" s="71">
        <f ca="1">IF(C94=1,(12*((F94+H94)/2)*'Reeksen (N)'!AL94)+(12*('Invoer gegevens (N)'!$C$10-(F94+H94)/2)*'Reeksen (N)'!AM94),0)</f>
        <v>0</v>
      </c>
      <c r="AM94" s="71">
        <f ca="1">-AL94*'Invoer gegevens (N)'!$F$31</f>
        <v>0</v>
      </c>
      <c r="AN94" s="71">
        <f t="shared" ca="1" si="15"/>
        <v>0</v>
      </c>
      <c r="AO94" s="71"/>
      <c r="AP94" s="71"/>
      <c r="AQ94" s="71">
        <f ca="1">-IF(C94=1,('Invoer gegevens (N)'!$C$10*'Invoer gegevens (N)'!$F$35)*'Reeksen (N)'!J94,0)*2</f>
        <v>0</v>
      </c>
      <c r="AR94" s="71">
        <f ca="1">-IF(C94=1,(G94*'Invoer gegevens (N)'!$F$36)*'Reeksen (N)'!J94,0)</f>
        <v>0</v>
      </c>
      <c r="AS94" s="71">
        <f ca="1">-IF(C94=1,'Invoer gegevens (N)'!$C$10*'Invoer gegevens (N)'!$F$37*'Reeksen (N)'!L94,0)</f>
        <v>0</v>
      </c>
      <c r="AT94" s="71">
        <f ca="1">-IF(C94=1,IF(E94='Invoer gegevens (N)'!$C$17,'Invoer gegevens (N)'!$C$11,Q94)*'Reeksen (N)'!S94*'Invoer gegevens (N)'!$C$18*'Reeksen (N)'!P94,0)</f>
        <v>0</v>
      </c>
      <c r="AU94" s="71">
        <f ca="1">-IF(C94=1,'Invoer gegevens (N)'!$C$10*'Invoer gegevens (N)'!$F$38*'Reeksen (N)'!H94,0)</f>
        <v>0</v>
      </c>
      <c r="AV94" s="71">
        <v>0</v>
      </c>
      <c r="AW94" s="71">
        <f t="shared" ca="1" si="16"/>
        <v>0</v>
      </c>
      <c r="AX94" s="71">
        <f ca="1">IF(E94&lt;'Invoer gegevens (N)'!$C$17+15,0,IF('RW - MW - DE - DE (N)'!E94&gt;'Invoer gegevens (N)'!$C$17+215,0,'RW - MW - DE - DE (N)'!AW94))</f>
        <v>0</v>
      </c>
      <c r="AY94" s="71">
        <f ca="1">AX94/(1+'Invoer gegevens (N)'!$F$13)^($AZ94-('Invoer gegevens (N)'!$C$17-'Invoer gegevens (N)'!$C$16))/(1+'Invoer gegevens (N)'!$C$39)^('Invoer gegevens (N)'!$C$17-'Invoer gegevens (N)'!$C$16)</f>
        <v>0</v>
      </c>
      <c r="AZ94" s="68">
        <f ca="1">IF(E94-'Invoer gegevens (N)'!$C$17-14.5&lt;0,0,E94-'Invoer gegevens (N)'!$C$17-14.5)</f>
        <v>74.5</v>
      </c>
      <c r="BC94" s="71"/>
    </row>
    <row r="95" spans="2:55" s="230" customFormat="1" x14ac:dyDescent="0.25">
      <c r="B95" s="70">
        <f t="shared" si="17"/>
        <v>91</v>
      </c>
      <c r="C95" s="67">
        <f ca="1">IF(E95-'Invoer gegevens (N)'!$C$17&lt;0,0,1)</f>
        <v>1</v>
      </c>
      <c r="D95" s="68">
        <f t="shared" si="18"/>
        <v>90.5</v>
      </c>
      <c r="E95" s="69">
        <f ca="1">IF('Invoer gegevens (N)'!$C$16="","",E94+1)</f>
        <v>2109</v>
      </c>
      <c r="F95" s="82">
        <f ca="1">IF('Invoer gegevens (N)'!$C$17=E95,'Invoer gegevens (N)'!$C$10,IF(C95=1,H94,0))</f>
        <v>0</v>
      </c>
      <c r="G95" s="83">
        <f ca="1">IF(C95&gt;=1,F95*'Reeksen (N)'!C95,0)</f>
        <v>0</v>
      </c>
      <c r="H95" s="84">
        <f t="shared" ca="1" si="11"/>
        <v>0</v>
      </c>
      <c r="I95" s="85">
        <f ca="1">IF('Invoer gegevens (N)'!$C$17=E95,'Invoer gegevens (N)'!$C$11,IF(C95=1,L94,0))</f>
        <v>0</v>
      </c>
      <c r="J95" s="86">
        <f ca="1">IF(C95&lt;1,0,IF('Reeksen (N)'!AD95&lt;='Reeksen (N)'!AE95,I95*'Reeksen (N)'!C95,0))</f>
        <v>0</v>
      </c>
      <c r="K95" s="86">
        <f ca="1">IF(C95&lt;1,0,IF('Reeksen (N)'!AD95&gt;'Reeksen (N)'!AE95,I95*'Reeksen (N)'!C95,0))</f>
        <v>0</v>
      </c>
      <c r="L95" s="86">
        <f t="shared" ca="1" si="12"/>
        <v>0</v>
      </c>
      <c r="M95" s="85">
        <f ca="1">IF('Invoer gegevens (N)'!$C$17=E95,'Invoer gegevens (N)'!$C$10-'Invoer gegevens (N)'!$C$11,IF(C95=1,P94,0))</f>
        <v>0</v>
      </c>
      <c r="N95" s="86">
        <f ca="1">IF(C95&lt;1,0,IF('Reeksen (N)'!AD95&lt;='Reeksen (N)'!AE95,M95*'Reeksen (N)'!C95,0))</f>
        <v>0</v>
      </c>
      <c r="O95" s="86">
        <f ca="1">IF(C95&lt;1,0,IF('Reeksen (N)'!AD95&gt;'Reeksen (N)'!AE95,M95*'Reeksen (N)'!C95,0))</f>
        <v>0</v>
      </c>
      <c r="P95" s="86">
        <f t="shared" ca="1" si="13"/>
        <v>0</v>
      </c>
      <c r="Q95" s="82">
        <f ca="1">IF('Invoer gegevens (N)'!$C$17=E95,I95,IF(C95=0,0,R94))</f>
        <v>0</v>
      </c>
      <c r="R95" s="84">
        <f t="shared" ca="1" si="10"/>
        <v>0</v>
      </c>
      <c r="S95" s="84">
        <f ca="1">IF('Invoer gegevens (N)'!$C$17=E95,M95,IF(C95=0,0,T94))</f>
        <v>0</v>
      </c>
      <c r="T95" s="84">
        <f t="shared" ca="1" si="19"/>
        <v>0</v>
      </c>
      <c r="AI95" s="71">
        <f ca="1">IF(C95=1,((F95+H95)/2*'Reeksen (N)'!AI95*12)+(('Invoer gegevens (N)'!$C$10-(F95+H95)/2)*'Reeksen (N)'!AD95*12),0)</f>
        <v>0</v>
      </c>
      <c r="AJ95" s="71">
        <f ca="1">-AI95*'Invoer gegevens (N)'!$F$28</f>
        <v>0</v>
      </c>
      <c r="AK95" s="71">
        <f t="shared" ca="1" si="14"/>
        <v>0</v>
      </c>
      <c r="AL95" s="71">
        <f ca="1">IF(C95=1,(12*((F95+H95)/2)*'Reeksen (N)'!AL95)+(12*('Invoer gegevens (N)'!$C$10-(F95+H95)/2)*'Reeksen (N)'!AM95),0)</f>
        <v>0</v>
      </c>
      <c r="AM95" s="71">
        <f ca="1">-AL95*'Invoer gegevens (N)'!$F$31</f>
        <v>0</v>
      </c>
      <c r="AN95" s="71">
        <f t="shared" ca="1" si="15"/>
        <v>0</v>
      </c>
      <c r="AO95" s="71"/>
      <c r="AP95" s="71"/>
      <c r="AQ95" s="71">
        <f ca="1">-IF(C95=1,('Invoer gegevens (N)'!$C$10*'Invoer gegevens (N)'!$F$35)*'Reeksen (N)'!J95,0)*2</f>
        <v>0</v>
      </c>
      <c r="AR95" s="71">
        <f ca="1">-IF(C95=1,(G95*'Invoer gegevens (N)'!$F$36)*'Reeksen (N)'!J95,0)</f>
        <v>0</v>
      </c>
      <c r="AS95" s="71">
        <f ca="1">-IF(C95=1,'Invoer gegevens (N)'!$C$10*'Invoer gegevens (N)'!$F$37*'Reeksen (N)'!L95,0)</f>
        <v>0</v>
      </c>
      <c r="AT95" s="71">
        <f ca="1">-IF(C95=1,IF(E95='Invoer gegevens (N)'!$C$17,'Invoer gegevens (N)'!$C$11,Q95)*'Reeksen (N)'!S95*'Invoer gegevens (N)'!$C$18*'Reeksen (N)'!P95,0)</f>
        <v>0</v>
      </c>
      <c r="AU95" s="71">
        <f ca="1">-IF(C95=1,'Invoer gegevens (N)'!$C$10*'Invoer gegevens (N)'!$F$38*'Reeksen (N)'!H95,0)</f>
        <v>0</v>
      </c>
      <c r="AV95" s="71">
        <v>0</v>
      </c>
      <c r="AW95" s="71">
        <f t="shared" ca="1" si="16"/>
        <v>0</v>
      </c>
      <c r="AX95" s="71">
        <f ca="1">IF(E95&lt;'Invoer gegevens (N)'!$C$17+15,0,IF('RW - MW - DE - DE (N)'!E95&gt;'Invoer gegevens (N)'!$C$17+215,0,'RW - MW - DE - DE (N)'!AW95))</f>
        <v>0</v>
      </c>
      <c r="AY95" s="71">
        <f ca="1">AX95/(1+'Invoer gegevens (N)'!$F$13)^($AZ95-('Invoer gegevens (N)'!$C$17-'Invoer gegevens (N)'!$C$16))/(1+'Invoer gegevens (N)'!$C$39)^('Invoer gegevens (N)'!$C$17-'Invoer gegevens (N)'!$C$16)</f>
        <v>0</v>
      </c>
      <c r="AZ95" s="68">
        <f ca="1">IF(E95-'Invoer gegevens (N)'!$C$17-14.5&lt;0,0,E95-'Invoer gegevens (N)'!$C$17-14.5)</f>
        <v>75.5</v>
      </c>
      <c r="BC95" s="71"/>
    </row>
    <row r="96" spans="2:55" s="230" customFormat="1" x14ac:dyDescent="0.25">
      <c r="B96" s="70">
        <f t="shared" si="17"/>
        <v>92</v>
      </c>
      <c r="C96" s="67">
        <f ca="1">IF(E96-'Invoer gegevens (N)'!$C$17&lt;0,0,1)</f>
        <v>1</v>
      </c>
      <c r="D96" s="68">
        <f t="shared" si="18"/>
        <v>91.5</v>
      </c>
      <c r="E96" s="69">
        <f ca="1">IF('Invoer gegevens (N)'!$C$16="","",E95+1)</f>
        <v>2110</v>
      </c>
      <c r="F96" s="82">
        <f ca="1">IF('Invoer gegevens (N)'!$C$17=E96,'Invoer gegevens (N)'!$C$10,IF(C96=1,H95,0))</f>
        <v>0</v>
      </c>
      <c r="G96" s="83">
        <f ca="1">IF(C96&gt;=1,F96*'Reeksen (N)'!C96,0)</f>
        <v>0</v>
      </c>
      <c r="H96" s="84">
        <f t="shared" ca="1" si="11"/>
        <v>0</v>
      </c>
      <c r="I96" s="85">
        <f ca="1">IF('Invoer gegevens (N)'!$C$17=E96,'Invoer gegevens (N)'!$C$11,IF(C96=1,L95,0))</f>
        <v>0</v>
      </c>
      <c r="J96" s="86">
        <f ca="1">IF(C96&lt;1,0,IF('Reeksen (N)'!AD96&lt;='Reeksen (N)'!AE96,I96*'Reeksen (N)'!C96,0))</f>
        <v>0</v>
      </c>
      <c r="K96" s="86">
        <f ca="1">IF(C96&lt;1,0,IF('Reeksen (N)'!AD96&gt;'Reeksen (N)'!AE96,I96*'Reeksen (N)'!C96,0))</f>
        <v>0</v>
      </c>
      <c r="L96" s="86">
        <f t="shared" ca="1" si="12"/>
        <v>0</v>
      </c>
      <c r="M96" s="85">
        <f ca="1">IF('Invoer gegevens (N)'!$C$17=E96,'Invoer gegevens (N)'!$C$10-'Invoer gegevens (N)'!$C$11,IF(C96=1,P95,0))</f>
        <v>0</v>
      </c>
      <c r="N96" s="86">
        <f ca="1">IF(C96&lt;1,0,IF('Reeksen (N)'!AD96&lt;='Reeksen (N)'!AE96,M96*'Reeksen (N)'!C96,0))</f>
        <v>0</v>
      </c>
      <c r="O96" s="86">
        <f ca="1">IF(C96&lt;1,0,IF('Reeksen (N)'!AD96&gt;'Reeksen (N)'!AE96,M96*'Reeksen (N)'!C96,0))</f>
        <v>0</v>
      </c>
      <c r="P96" s="86">
        <f t="shared" ca="1" si="13"/>
        <v>0</v>
      </c>
      <c r="Q96" s="82">
        <f ca="1">IF('Invoer gegevens (N)'!$C$17=E96,I96,IF(C96=0,0,R95))</f>
        <v>0</v>
      </c>
      <c r="R96" s="84">
        <f t="shared" ca="1" si="10"/>
        <v>0</v>
      </c>
      <c r="S96" s="84">
        <f ca="1">IF('Invoer gegevens (N)'!$C$17=E96,M96,IF(C96=0,0,T95))</f>
        <v>0</v>
      </c>
      <c r="T96" s="84">
        <f t="shared" ca="1" si="19"/>
        <v>0</v>
      </c>
      <c r="AI96" s="71">
        <f ca="1">IF(C96=1,((F96+H96)/2*'Reeksen (N)'!AI96*12)+(('Invoer gegevens (N)'!$C$10-(F96+H96)/2)*'Reeksen (N)'!AD96*12),0)</f>
        <v>0</v>
      </c>
      <c r="AJ96" s="71">
        <f ca="1">-AI96*'Invoer gegevens (N)'!$F$28</f>
        <v>0</v>
      </c>
      <c r="AK96" s="71">
        <f t="shared" ca="1" si="14"/>
        <v>0</v>
      </c>
      <c r="AL96" s="71">
        <f ca="1">IF(C96=1,(12*((F96+H96)/2)*'Reeksen (N)'!AL96)+(12*('Invoer gegevens (N)'!$C$10-(F96+H96)/2)*'Reeksen (N)'!AM96),0)</f>
        <v>0</v>
      </c>
      <c r="AM96" s="71">
        <f ca="1">-AL96*'Invoer gegevens (N)'!$F$31</f>
        <v>0</v>
      </c>
      <c r="AN96" s="71">
        <f t="shared" ca="1" si="15"/>
        <v>0</v>
      </c>
      <c r="AO96" s="71"/>
      <c r="AP96" s="71"/>
      <c r="AQ96" s="71">
        <f ca="1">-IF(C96=1,('Invoer gegevens (N)'!$C$10*'Invoer gegevens (N)'!$F$35)*'Reeksen (N)'!J96,0)*2</f>
        <v>0</v>
      </c>
      <c r="AR96" s="71">
        <f ca="1">-IF(C96=1,(G96*'Invoer gegevens (N)'!$F$36)*'Reeksen (N)'!J96,0)</f>
        <v>0</v>
      </c>
      <c r="AS96" s="71">
        <f ca="1">-IF(C96=1,'Invoer gegevens (N)'!$C$10*'Invoer gegevens (N)'!$F$37*'Reeksen (N)'!L96,0)</f>
        <v>0</v>
      </c>
      <c r="AT96" s="71">
        <f ca="1">-IF(C96=1,IF(E96='Invoer gegevens (N)'!$C$17,'Invoer gegevens (N)'!$C$11,Q96)*'Reeksen (N)'!S96*'Invoer gegevens (N)'!$C$18*'Reeksen (N)'!P96,0)</f>
        <v>0</v>
      </c>
      <c r="AU96" s="71">
        <f ca="1">-IF(C96=1,'Invoer gegevens (N)'!$C$10*'Invoer gegevens (N)'!$F$38*'Reeksen (N)'!H96,0)</f>
        <v>0</v>
      </c>
      <c r="AV96" s="71">
        <v>0</v>
      </c>
      <c r="AW96" s="71">
        <f t="shared" ca="1" si="16"/>
        <v>0</v>
      </c>
      <c r="AX96" s="71">
        <f ca="1">IF(E96&lt;'Invoer gegevens (N)'!$C$17+15,0,IF('RW - MW - DE - DE (N)'!E96&gt;'Invoer gegevens (N)'!$C$17+215,0,'RW - MW - DE - DE (N)'!AW96))</f>
        <v>0</v>
      </c>
      <c r="AY96" s="71">
        <f ca="1">AX96/(1+'Invoer gegevens (N)'!$F$13)^($AZ96-('Invoer gegevens (N)'!$C$17-'Invoer gegevens (N)'!$C$16))/(1+'Invoer gegevens (N)'!$C$39)^('Invoer gegevens (N)'!$C$17-'Invoer gegevens (N)'!$C$16)</f>
        <v>0</v>
      </c>
      <c r="AZ96" s="68">
        <f ca="1">IF(E96-'Invoer gegevens (N)'!$C$17-14.5&lt;0,0,E96-'Invoer gegevens (N)'!$C$17-14.5)</f>
        <v>76.5</v>
      </c>
      <c r="BC96" s="71"/>
    </row>
    <row r="97" spans="2:55" s="230" customFormat="1" x14ac:dyDescent="0.25">
      <c r="B97" s="70">
        <f t="shared" si="17"/>
        <v>93</v>
      </c>
      <c r="C97" s="67">
        <f ca="1">IF(E97-'Invoer gegevens (N)'!$C$17&lt;0,0,1)</f>
        <v>1</v>
      </c>
      <c r="D97" s="68">
        <f t="shared" si="18"/>
        <v>92.5</v>
      </c>
      <c r="E97" s="69">
        <f ca="1">IF('Invoer gegevens (N)'!$C$16="","",E96+1)</f>
        <v>2111</v>
      </c>
      <c r="F97" s="82">
        <f ca="1">IF('Invoer gegevens (N)'!$C$17=E97,'Invoer gegevens (N)'!$C$10,IF(C97=1,H96,0))</f>
        <v>0</v>
      </c>
      <c r="G97" s="83">
        <f ca="1">IF(C97&gt;=1,F97*'Reeksen (N)'!C97,0)</f>
        <v>0</v>
      </c>
      <c r="H97" s="84">
        <f t="shared" ca="1" si="11"/>
        <v>0</v>
      </c>
      <c r="I97" s="85">
        <f ca="1">IF('Invoer gegevens (N)'!$C$17=E97,'Invoer gegevens (N)'!$C$11,IF(C97=1,L96,0))</f>
        <v>0</v>
      </c>
      <c r="J97" s="86">
        <f ca="1">IF(C97&lt;1,0,IF('Reeksen (N)'!AD97&lt;='Reeksen (N)'!AE97,I97*'Reeksen (N)'!C97,0))</f>
        <v>0</v>
      </c>
      <c r="K97" s="86">
        <f ca="1">IF(C97&lt;1,0,IF('Reeksen (N)'!AD97&gt;'Reeksen (N)'!AE97,I97*'Reeksen (N)'!C97,0))</f>
        <v>0</v>
      </c>
      <c r="L97" s="86">
        <f t="shared" ca="1" si="12"/>
        <v>0</v>
      </c>
      <c r="M97" s="85">
        <f ca="1">IF('Invoer gegevens (N)'!$C$17=E97,'Invoer gegevens (N)'!$C$10-'Invoer gegevens (N)'!$C$11,IF(C97=1,P96,0))</f>
        <v>0</v>
      </c>
      <c r="N97" s="86">
        <f ca="1">IF(C97&lt;1,0,IF('Reeksen (N)'!AD97&lt;='Reeksen (N)'!AE97,M97*'Reeksen (N)'!C97,0))</f>
        <v>0</v>
      </c>
      <c r="O97" s="86">
        <f ca="1">IF(C97&lt;1,0,IF('Reeksen (N)'!AD97&gt;'Reeksen (N)'!AE97,M97*'Reeksen (N)'!C97,0))</f>
        <v>0</v>
      </c>
      <c r="P97" s="86">
        <f t="shared" ca="1" si="13"/>
        <v>0</v>
      </c>
      <c r="Q97" s="82">
        <f ca="1">IF('Invoer gegevens (N)'!$C$17=E97,I97,IF(C97=0,0,R96))</f>
        <v>0</v>
      </c>
      <c r="R97" s="84">
        <f t="shared" ca="1" si="10"/>
        <v>0</v>
      </c>
      <c r="S97" s="84">
        <f ca="1">IF('Invoer gegevens (N)'!$C$17=E97,M97,IF(C97=0,0,T96))</f>
        <v>0</v>
      </c>
      <c r="T97" s="84">
        <f t="shared" ca="1" si="19"/>
        <v>0</v>
      </c>
      <c r="AI97" s="71">
        <f ca="1">IF(C97=1,((F97+H97)/2*'Reeksen (N)'!AI97*12)+(('Invoer gegevens (N)'!$C$10-(F97+H97)/2)*'Reeksen (N)'!AD97*12),0)</f>
        <v>0</v>
      </c>
      <c r="AJ97" s="71">
        <f ca="1">-AI97*'Invoer gegevens (N)'!$F$28</f>
        <v>0</v>
      </c>
      <c r="AK97" s="71">
        <f t="shared" ca="1" si="14"/>
        <v>0</v>
      </c>
      <c r="AL97" s="71">
        <f ca="1">IF(C97=1,(12*((F97+H97)/2)*'Reeksen (N)'!AL97)+(12*('Invoer gegevens (N)'!$C$10-(F97+H97)/2)*'Reeksen (N)'!AM97),0)</f>
        <v>0</v>
      </c>
      <c r="AM97" s="71">
        <f ca="1">-AL97*'Invoer gegevens (N)'!$F$31</f>
        <v>0</v>
      </c>
      <c r="AN97" s="71">
        <f t="shared" ca="1" si="15"/>
        <v>0</v>
      </c>
      <c r="AO97" s="71"/>
      <c r="AP97" s="71"/>
      <c r="AQ97" s="71">
        <f ca="1">-IF(C97=1,('Invoer gegevens (N)'!$C$10*'Invoer gegevens (N)'!$F$35)*'Reeksen (N)'!J97,0)*2</f>
        <v>0</v>
      </c>
      <c r="AR97" s="71">
        <f ca="1">-IF(C97=1,(G97*'Invoer gegevens (N)'!$F$36)*'Reeksen (N)'!J97,0)</f>
        <v>0</v>
      </c>
      <c r="AS97" s="71">
        <f ca="1">-IF(C97=1,'Invoer gegevens (N)'!$C$10*'Invoer gegevens (N)'!$F$37*'Reeksen (N)'!L97,0)</f>
        <v>0</v>
      </c>
      <c r="AT97" s="71">
        <f ca="1">-IF(C97=1,IF(E97='Invoer gegevens (N)'!$C$17,'Invoer gegevens (N)'!$C$11,Q97)*'Reeksen (N)'!S97*'Invoer gegevens (N)'!$C$18*'Reeksen (N)'!P97,0)</f>
        <v>0</v>
      </c>
      <c r="AU97" s="71">
        <f ca="1">-IF(C97=1,'Invoer gegevens (N)'!$C$10*'Invoer gegevens (N)'!$F$38*'Reeksen (N)'!H97,0)</f>
        <v>0</v>
      </c>
      <c r="AV97" s="71">
        <v>0</v>
      </c>
      <c r="AW97" s="71">
        <f t="shared" ca="1" si="16"/>
        <v>0</v>
      </c>
      <c r="AX97" s="71">
        <f ca="1">IF(E97&lt;'Invoer gegevens (N)'!$C$17+15,0,IF('RW - MW - DE - DE (N)'!E97&gt;'Invoer gegevens (N)'!$C$17+215,0,'RW - MW - DE - DE (N)'!AW97))</f>
        <v>0</v>
      </c>
      <c r="AY97" s="71">
        <f ca="1">AX97/(1+'Invoer gegevens (N)'!$F$13)^($AZ97-('Invoer gegevens (N)'!$C$17-'Invoer gegevens (N)'!$C$16))/(1+'Invoer gegevens (N)'!$C$39)^('Invoer gegevens (N)'!$C$17-'Invoer gegevens (N)'!$C$16)</f>
        <v>0</v>
      </c>
      <c r="AZ97" s="68">
        <f ca="1">IF(E97-'Invoer gegevens (N)'!$C$17-14.5&lt;0,0,E97-'Invoer gegevens (N)'!$C$17-14.5)</f>
        <v>77.5</v>
      </c>
      <c r="BC97" s="71"/>
    </row>
    <row r="98" spans="2:55" s="230" customFormat="1" x14ac:dyDescent="0.25">
      <c r="B98" s="70">
        <f t="shared" si="17"/>
        <v>94</v>
      </c>
      <c r="C98" s="67">
        <f ca="1">IF(E98-'Invoer gegevens (N)'!$C$17&lt;0,0,1)</f>
        <v>1</v>
      </c>
      <c r="D98" s="68">
        <f t="shared" si="18"/>
        <v>93.5</v>
      </c>
      <c r="E98" s="69">
        <f ca="1">IF('Invoer gegevens (N)'!$C$16="","",E97+1)</f>
        <v>2112</v>
      </c>
      <c r="F98" s="82">
        <f ca="1">IF('Invoer gegevens (N)'!$C$17=E98,'Invoer gegevens (N)'!$C$10,IF(C98=1,H97,0))</f>
        <v>0</v>
      </c>
      <c r="G98" s="83">
        <f ca="1">IF(C98&gt;=1,F98*'Reeksen (N)'!C98,0)</f>
        <v>0</v>
      </c>
      <c r="H98" s="84">
        <f t="shared" ca="1" si="11"/>
        <v>0</v>
      </c>
      <c r="I98" s="85">
        <f ca="1">IF('Invoer gegevens (N)'!$C$17=E98,'Invoer gegevens (N)'!$C$11,IF(C98=1,L97,0))</f>
        <v>0</v>
      </c>
      <c r="J98" s="86">
        <f ca="1">IF(C98&lt;1,0,IF('Reeksen (N)'!AD98&lt;='Reeksen (N)'!AE98,I98*'Reeksen (N)'!C98,0))</f>
        <v>0</v>
      </c>
      <c r="K98" s="86">
        <f ca="1">IF(C98&lt;1,0,IF('Reeksen (N)'!AD98&gt;'Reeksen (N)'!AE98,I98*'Reeksen (N)'!C98,0))</f>
        <v>0</v>
      </c>
      <c r="L98" s="86">
        <f t="shared" ca="1" si="12"/>
        <v>0</v>
      </c>
      <c r="M98" s="85">
        <f ca="1">IF('Invoer gegevens (N)'!$C$17=E98,'Invoer gegevens (N)'!$C$10-'Invoer gegevens (N)'!$C$11,IF(C98=1,P97,0))</f>
        <v>0</v>
      </c>
      <c r="N98" s="86">
        <f ca="1">IF(C98&lt;1,0,IF('Reeksen (N)'!AD98&lt;='Reeksen (N)'!AE98,M98*'Reeksen (N)'!C98,0))</f>
        <v>0</v>
      </c>
      <c r="O98" s="86">
        <f ca="1">IF(C98&lt;1,0,IF('Reeksen (N)'!AD98&gt;'Reeksen (N)'!AE98,M98*'Reeksen (N)'!C98,0))</f>
        <v>0</v>
      </c>
      <c r="P98" s="86">
        <f t="shared" ca="1" si="13"/>
        <v>0</v>
      </c>
      <c r="Q98" s="82">
        <f ca="1">IF('Invoer gegevens (N)'!$C$17=E98,I98,IF(C98=0,0,R97))</f>
        <v>0</v>
      </c>
      <c r="R98" s="84">
        <f t="shared" ca="1" si="10"/>
        <v>0</v>
      </c>
      <c r="S98" s="84">
        <f ca="1">IF('Invoer gegevens (N)'!$C$17=E98,M98,IF(C98=0,0,T97))</f>
        <v>0</v>
      </c>
      <c r="T98" s="84">
        <f t="shared" ca="1" si="19"/>
        <v>0</v>
      </c>
      <c r="AI98" s="71">
        <f ca="1">IF(C98=1,((F98+H98)/2*'Reeksen (N)'!AI98*12)+(('Invoer gegevens (N)'!$C$10-(F98+H98)/2)*'Reeksen (N)'!AD98*12),0)</f>
        <v>0</v>
      </c>
      <c r="AJ98" s="71">
        <f ca="1">-AI98*'Invoer gegevens (N)'!$F$28</f>
        <v>0</v>
      </c>
      <c r="AK98" s="71">
        <f t="shared" ca="1" si="14"/>
        <v>0</v>
      </c>
      <c r="AL98" s="71">
        <f ca="1">IF(C98=1,(12*((F98+H98)/2)*'Reeksen (N)'!AL98)+(12*('Invoer gegevens (N)'!$C$10-(F98+H98)/2)*'Reeksen (N)'!AM98),0)</f>
        <v>0</v>
      </c>
      <c r="AM98" s="71">
        <f ca="1">-AL98*'Invoer gegevens (N)'!$F$31</f>
        <v>0</v>
      </c>
      <c r="AN98" s="71">
        <f t="shared" ca="1" si="15"/>
        <v>0</v>
      </c>
      <c r="AO98" s="71"/>
      <c r="AP98" s="71"/>
      <c r="AQ98" s="71">
        <f ca="1">-IF(C98=1,('Invoer gegevens (N)'!$C$10*'Invoer gegevens (N)'!$F$35)*'Reeksen (N)'!J98,0)*2</f>
        <v>0</v>
      </c>
      <c r="AR98" s="71">
        <f ca="1">-IF(C98=1,(G98*'Invoer gegevens (N)'!$F$36)*'Reeksen (N)'!J98,0)</f>
        <v>0</v>
      </c>
      <c r="AS98" s="71">
        <f ca="1">-IF(C98=1,'Invoer gegevens (N)'!$C$10*'Invoer gegevens (N)'!$F$37*'Reeksen (N)'!L98,0)</f>
        <v>0</v>
      </c>
      <c r="AT98" s="71">
        <f ca="1">-IF(C98=1,IF(E98='Invoer gegevens (N)'!$C$17,'Invoer gegevens (N)'!$C$11,Q98)*'Reeksen (N)'!S98*'Invoer gegevens (N)'!$C$18*'Reeksen (N)'!P98,0)</f>
        <v>0</v>
      </c>
      <c r="AU98" s="71">
        <f ca="1">-IF(C98=1,'Invoer gegevens (N)'!$C$10*'Invoer gegevens (N)'!$F$38*'Reeksen (N)'!H98,0)</f>
        <v>0</v>
      </c>
      <c r="AV98" s="71">
        <v>0</v>
      </c>
      <c r="AW98" s="71">
        <f t="shared" ca="1" si="16"/>
        <v>0</v>
      </c>
      <c r="AX98" s="71">
        <f ca="1">IF(E98&lt;'Invoer gegevens (N)'!$C$17+15,0,IF('RW - MW - DE - DE (N)'!E98&gt;'Invoer gegevens (N)'!$C$17+215,0,'RW - MW - DE - DE (N)'!AW98))</f>
        <v>0</v>
      </c>
      <c r="AY98" s="71">
        <f ca="1">AX98/(1+'Invoer gegevens (N)'!$F$13)^($AZ98-('Invoer gegevens (N)'!$C$17-'Invoer gegevens (N)'!$C$16))/(1+'Invoer gegevens (N)'!$C$39)^('Invoer gegevens (N)'!$C$17-'Invoer gegevens (N)'!$C$16)</f>
        <v>0</v>
      </c>
      <c r="AZ98" s="68">
        <f ca="1">IF(E98-'Invoer gegevens (N)'!$C$17-14.5&lt;0,0,E98-'Invoer gegevens (N)'!$C$17-14.5)</f>
        <v>78.5</v>
      </c>
      <c r="BC98" s="71"/>
    </row>
    <row r="99" spans="2:55" s="230" customFormat="1" x14ac:dyDescent="0.25">
      <c r="B99" s="70">
        <f t="shared" si="17"/>
        <v>95</v>
      </c>
      <c r="C99" s="67">
        <f ca="1">IF(E99-'Invoer gegevens (N)'!$C$17&lt;0,0,1)</f>
        <v>1</v>
      </c>
      <c r="D99" s="68">
        <f t="shared" si="18"/>
        <v>94.5</v>
      </c>
      <c r="E99" s="69">
        <f ca="1">IF('Invoer gegevens (N)'!$C$16="","",E98+1)</f>
        <v>2113</v>
      </c>
      <c r="F99" s="82">
        <f ca="1">IF('Invoer gegevens (N)'!$C$17=E99,'Invoer gegevens (N)'!$C$10,IF(C99=1,H98,0))</f>
        <v>0</v>
      </c>
      <c r="G99" s="83">
        <f ca="1">IF(C99&gt;=1,F99*'Reeksen (N)'!C99,0)</f>
        <v>0</v>
      </c>
      <c r="H99" s="84">
        <f t="shared" ca="1" si="11"/>
        <v>0</v>
      </c>
      <c r="I99" s="85">
        <f ca="1">IF('Invoer gegevens (N)'!$C$17=E99,'Invoer gegevens (N)'!$C$11,IF(C99=1,L98,0))</f>
        <v>0</v>
      </c>
      <c r="J99" s="86">
        <f ca="1">IF(C99&lt;1,0,IF('Reeksen (N)'!AD99&lt;='Reeksen (N)'!AE99,I99*'Reeksen (N)'!C99,0))</f>
        <v>0</v>
      </c>
      <c r="K99" s="86">
        <f ca="1">IF(C99&lt;1,0,IF('Reeksen (N)'!AD99&gt;'Reeksen (N)'!AE99,I99*'Reeksen (N)'!C99,0))</f>
        <v>0</v>
      </c>
      <c r="L99" s="86">
        <f t="shared" ca="1" si="12"/>
        <v>0</v>
      </c>
      <c r="M99" s="85">
        <f ca="1">IF('Invoer gegevens (N)'!$C$17=E99,'Invoer gegevens (N)'!$C$10-'Invoer gegevens (N)'!$C$11,IF(C99=1,P98,0))</f>
        <v>0</v>
      </c>
      <c r="N99" s="86">
        <f ca="1">IF(C99&lt;1,0,IF('Reeksen (N)'!AD99&lt;='Reeksen (N)'!AE99,M99*'Reeksen (N)'!C99,0))</f>
        <v>0</v>
      </c>
      <c r="O99" s="86">
        <f ca="1">IF(C99&lt;1,0,IF('Reeksen (N)'!AD99&gt;'Reeksen (N)'!AE99,M99*'Reeksen (N)'!C99,0))</f>
        <v>0</v>
      </c>
      <c r="P99" s="86">
        <f t="shared" ca="1" si="13"/>
        <v>0</v>
      </c>
      <c r="Q99" s="82">
        <f ca="1">IF('Invoer gegevens (N)'!$C$17=E99,I99,IF(C99=0,0,R98))</f>
        <v>0</v>
      </c>
      <c r="R99" s="84">
        <f t="shared" ca="1" si="10"/>
        <v>0</v>
      </c>
      <c r="S99" s="84">
        <f ca="1">IF('Invoer gegevens (N)'!$C$17=E99,M99,IF(C99=0,0,T98))</f>
        <v>0</v>
      </c>
      <c r="T99" s="84">
        <f t="shared" ca="1" si="19"/>
        <v>0</v>
      </c>
      <c r="AI99" s="71">
        <f ca="1">IF(C99=1,((F99+H99)/2*'Reeksen (N)'!AI99*12)+(('Invoer gegevens (N)'!$C$10-(F99+H99)/2)*'Reeksen (N)'!AD99*12),0)</f>
        <v>0</v>
      </c>
      <c r="AJ99" s="71">
        <f ca="1">-AI99*'Invoer gegevens (N)'!$F$28</f>
        <v>0</v>
      </c>
      <c r="AK99" s="71">
        <f t="shared" ca="1" si="14"/>
        <v>0</v>
      </c>
      <c r="AL99" s="71">
        <f ca="1">IF(C99=1,(12*((F99+H99)/2)*'Reeksen (N)'!AL99)+(12*('Invoer gegevens (N)'!$C$10-(F99+H99)/2)*'Reeksen (N)'!AM99),0)</f>
        <v>0</v>
      </c>
      <c r="AM99" s="71">
        <f ca="1">-AL99*'Invoer gegevens (N)'!$F$31</f>
        <v>0</v>
      </c>
      <c r="AN99" s="71">
        <f t="shared" ca="1" si="15"/>
        <v>0</v>
      </c>
      <c r="AO99" s="71"/>
      <c r="AP99" s="71"/>
      <c r="AQ99" s="71">
        <f ca="1">-IF(C99=1,('Invoer gegevens (N)'!$C$10*'Invoer gegevens (N)'!$F$35)*'Reeksen (N)'!J99,0)*2</f>
        <v>0</v>
      </c>
      <c r="AR99" s="71">
        <f ca="1">-IF(C99=1,(G99*'Invoer gegevens (N)'!$F$36)*'Reeksen (N)'!J99,0)</f>
        <v>0</v>
      </c>
      <c r="AS99" s="71">
        <f ca="1">-IF(C99=1,'Invoer gegevens (N)'!$C$10*'Invoer gegevens (N)'!$F$37*'Reeksen (N)'!L99,0)</f>
        <v>0</v>
      </c>
      <c r="AT99" s="71">
        <f ca="1">-IF(C99=1,IF(E99='Invoer gegevens (N)'!$C$17,'Invoer gegevens (N)'!$C$11,Q99)*'Reeksen (N)'!S99*'Invoer gegevens (N)'!$C$18*'Reeksen (N)'!P99,0)</f>
        <v>0</v>
      </c>
      <c r="AU99" s="71">
        <f ca="1">-IF(C99=1,'Invoer gegevens (N)'!$C$10*'Invoer gegevens (N)'!$F$38*'Reeksen (N)'!H99,0)</f>
        <v>0</v>
      </c>
      <c r="AV99" s="71">
        <v>0</v>
      </c>
      <c r="AW99" s="71">
        <f t="shared" ca="1" si="16"/>
        <v>0</v>
      </c>
      <c r="AX99" s="71">
        <f ca="1">IF(E99&lt;'Invoer gegevens (N)'!$C$17+15,0,IF('RW - MW - DE - DE (N)'!E99&gt;'Invoer gegevens (N)'!$C$17+215,0,'RW - MW - DE - DE (N)'!AW99))</f>
        <v>0</v>
      </c>
      <c r="AY99" s="71">
        <f ca="1">AX99/(1+'Invoer gegevens (N)'!$F$13)^($AZ99-('Invoer gegevens (N)'!$C$17-'Invoer gegevens (N)'!$C$16))/(1+'Invoer gegevens (N)'!$C$39)^('Invoer gegevens (N)'!$C$17-'Invoer gegevens (N)'!$C$16)</f>
        <v>0</v>
      </c>
      <c r="AZ99" s="68">
        <f ca="1">IF(E99-'Invoer gegevens (N)'!$C$17-14.5&lt;0,0,E99-'Invoer gegevens (N)'!$C$17-14.5)</f>
        <v>79.5</v>
      </c>
      <c r="BC99" s="71"/>
    </row>
    <row r="100" spans="2:55" s="230" customFormat="1" x14ac:dyDescent="0.25">
      <c r="B100" s="70">
        <f t="shared" si="17"/>
        <v>96</v>
      </c>
      <c r="C100" s="67">
        <f ca="1">IF(E100-'Invoer gegevens (N)'!$C$17&lt;0,0,1)</f>
        <v>1</v>
      </c>
      <c r="D100" s="68">
        <f t="shared" si="18"/>
        <v>95.5</v>
      </c>
      <c r="E100" s="69">
        <f ca="1">IF('Invoer gegevens (N)'!$C$16="","",E99+1)</f>
        <v>2114</v>
      </c>
      <c r="F100" s="82">
        <f ca="1">IF('Invoer gegevens (N)'!$C$17=E100,'Invoer gegevens (N)'!$C$10,IF(C100=1,H99,0))</f>
        <v>0</v>
      </c>
      <c r="G100" s="83">
        <f ca="1">IF(C100&gt;=1,F100*'Reeksen (N)'!C100,0)</f>
        <v>0</v>
      </c>
      <c r="H100" s="84">
        <f t="shared" ca="1" si="11"/>
        <v>0</v>
      </c>
      <c r="I100" s="85">
        <f ca="1">IF('Invoer gegevens (N)'!$C$17=E100,'Invoer gegevens (N)'!$C$11,IF(C100=1,L99,0))</f>
        <v>0</v>
      </c>
      <c r="J100" s="86">
        <f ca="1">IF(C100&lt;1,0,IF('Reeksen (N)'!AD100&lt;='Reeksen (N)'!AE100,I100*'Reeksen (N)'!C100,0))</f>
        <v>0</v>
      </c>
      <c r="K100" s="86">
        <f ca="1">IF(C100&lt;1,0,IF('Reeksen (N)'!AD100&gt;'Reeksen (N)'!AE100,I100*'Reeksen (N)'!C100,0))</f>
        <v>0</v>
      </c>
      <c r="L100" s="86">
        <f t="shared" ca="1" si="12"/>
        <v>0</v>
      </c>
      <c r="M100" s="85">
        <f ca="1">IF('Invoer gegevens (N)'!$C$17=E100,'Invoer gegevens (N)'!$C$10-'Invoer gegevens (N)'!$C$11,IF(C100=1,P99,0))</f>
        <v>0</v>
      </c>
      <c r="N100" s="86">
        <f ca="1">IF(C100&lt;1,0,IF('Reeksen (N)'!AD100&lt;='Reeksen (N)'!AE100,M100*'Reeksen (N)'!C100,0))</f>
        <v>0</v>
      </c>
      <c r="O100" s="86">
        <f ca="1">IF(C100&lt;1,0,IF('Reeksen (N)'!AD100&gt;'Reeksen (N)'!AE100,M100*'Reeksen (N)'!C100,0))</f>
        <v>0</v>
      </c>
      <c r="P100" s="86">
        <f t="shared" ca="1" si="13"/>
        <v>0</v>
      </c>
      <c r="Q100" s="82">
        <f ca="1">IF('Invoer gegevens (N)'!$C$17=E100,I100,IF(C100=0,0,R99))</f>
        <v>0</v>
      </c>
      <c r="R100" s="84">
        <f t="shared" ca="1" si="10"/>
        <v>0</v>
      </c>
      <c r="S100" s="84">
        <f ca="1">IF('Invoer gegevens (N)'!$C$17=E100,M100,IF(C100=0,0,T99))</f>
        <v>0</v>
      </c>
      <c r="T100" s="84">
        <f t="shared" ca="1" si="19"/>
        <v>0</v>
      </c>
      <c r="AI100" s="71">
        <f ca="1">IF(C100=1,((F100+H100)/2*'Reeksen (N)'!AI100*12)+(('Invoer gegevens (N)'!$C$10-(F100+H100)/2)*'Reeksen (N)'!AD100*12),0)</f>
        <v>0</v>
      </c>
      <c r="AJ100" s="71">
        <f ca="1">-AI100*'Invoer gegevens (N)'!$F$28</f>
        <v>0</v>
      </c>
      <c r="AK100" s="71">
        <f t="shared" ca="1" si="14"/>
        <v>0</v>
      </c>
      <c r="AL100" s="71">
        <f ca="1">IF(C100=1,(12*((F100+H100)/2)*'Reeksen (N)'!AL100)+(12*('Invoer gegevens (N)'!$C$10-(F100+H100)/2)*'Reeksen (N)'!AM100),0)</f>
        <v>0</v>
      </c>
      <c r="AM100" s="71">
        <f ca="1">-AL100*'Invoer gegevens (N)'!$F$31</f>
        <v>0</v>
      </c>
      <c r="AN100" s="71">
        <f t="shared" ca="1" si="15"/>
        <v>0</v>
      </c>
      <c r="AO100" s="71"/>
      <c r="AP100" s="71"/>
      <c r="AQ100" s="71">
        <f ca="1">-IF(C100=1,('Invoer gegevens (N)'!$C$10*'Invoer gegevens (N)'!$F$35)*'Reeksen (N)'!J100,0)*2</f>
        <v>0</v>
      </c>
      <c r="AR100" s="71">
        <f ca="1">-IF(C100=1,(G100*'Invoer gegevens (N)'!$F$36)*'Reeksen (N)'!J100,0)</f>
        <v>0</v>
      </c>
      <c r="AS100" s="71">
        <f ca="1">-IF(C100=1,'Invoer gegevens (N)'!$C$10*'Invoer gegevens (N)'!$F$37*'Reeksen (N)'!L100,0)</f>
        <v>0</v>
      </c>
      <c r="AT100" s="71">
        <f ca="1">-IF(C100=1,IF(E100='Invoer gegevens (N)'!$C$17,'Invoer gegevens (N)'!$C$11,Q100)*'Reeksen (N)'!S100*'Invoer gegevens (N)'!$C$18*'Reeksen (N)'!P100,0)</f>
        <v>0</v>
      </c>
      <c r="AU100" s="71">
        <f ca="1">-IF(C100=1,'Invoer gegevens (N)'!$C$10*'Invoer gegevens (N)'!$F$38*'Reeksen (N)'!H100,0)</f>
        <v>0</v>
      </c>
      <c r="AV100" s="71">
        <v>0</v>
      </c>
      <c r="AW100" s="71">
        <f t="shared" ca="1" si="16"/>
        <v>0</v>
      </c>
      <c r="AX100" s="71">
        <f ca="1">IF(E100&lt;'Invoer gegevens (N)'!$C$17+15,0,IF('RW - MW - DE - DE (N)'!E100&gt;'Invoer gegevens (N)'!$C$17+215,0,'RW - MW - DE - DE (N)'!AW100))</f>
        <v>0</v>
      </c>
      <c r="AY100" s="71">
        <f ca="1">AX100/(1+'Invoer gegevens (N)'!$F$13)^($AZ100-('Invoer gegevens (N)'!$C$17-'Invoer gegevens (N)'!$C$16))/(1+'Invoer gegevens (N)'!$C$39)^('Invoer gegevens (N)'!$C$17-'Invoer gegevens (N)'!$C$16)</f>
        <v>0</v>
      </c>
      <c r="AZ100" s="68">
        <f ca="1">IF(E100-'Invoer gegevens (N)'!$C$17-14.5&lt;0,0,E100-'Invoer gegevens (N)'!$C$17-14.5)</f>
        <v>80.5</v>
      </c>
      <c r="BC100" s="71"/>
    </row>
    <row r="101" spans="2:55" s="230" customFormat="1" x14ac:dyDescent="0.25">
      <c r="B101" s="70">
        <f t="shared" si="17"/>
        <v>97</v>
      </c>
      <c r="C101" s="67">
        <f ca="1">IF(E101-'Invoer gegevens (N)'!$C$17&lt;0,0,1)</f>
        <v>1</v>
      </c>
      <c r="D101" s="68">
        <f t="shared" si="18"/>
        <v>96.5</v>
      </c>
      <c r="E101" s="69">
        <f ca="1">IF('Invoer gegevens (N)'!$C$16="","",E100+1)</f>
        <v>2115</v>
      </c>
      <c r="F101" s="82">
        <f ca="1">IF('Invoer gegevens (N)'!$C$17=E101,'Invoer gegevens (N)'!$C$10,IF(C101=1,H100,0))</f>
        <v>0</v>
      </c>
      <c r="G101" s="83">
        <f ca="1">IF(C101&gt;=1,F101*'Reeksen (N)'!C101,0)</f>
        <v>0</v>
      </c>
      <c r="H101" s="84">
        <f t="shared" ca="1" si="11"/>
        <v>0</v>
      </c>
      <c r="I101" s="85">
        <f ca="1">IF('Invoer gegevens (N)'!$C$17=E101,'Invoer gegevens (N)'!$C$11,IF(C101=1,L100,0))</f>
        <v>0</v>
      </c>
      <c r="J101" s="86">
        <f ca="1">IF(C101&lt;1,0,IF('Reeksen (N)'!AD101&lt;='Reeksen (N)'!AE101,I101*'Reeksen (N)'!C101,0))</f>
        <v>0</v>
      </c>
      <c r="K101" s="86">
        <f ca="1">IF(C101&lt;1,0,IF('Reeksen (N)'!AD101&gt;'Reeksen (N)'!AE101,I101*'Reeksen (N)'!C101,0))</f>
        <v>0</v>
      </c>
      <c r="L101" s="86">
        <f t="shared" ca="1" si="12"/>
        <v>0</v>
      </c>
      <c r="M101" s="85">
        <f ca="1">IF('Invoer gegevens (N)'!$C$17=E101,'Invoer gegevens (N)'!$C$10-'Invoer gegevens (N)'!$C$11,IF(C101=1,P100,0))</f>
        <v>0</v>
      </c>
      <c r="N101" s="86">
        <f ca="1">IF(C101&lt;1,0,IF('Reeksen (N)'!AD101&lt;='Reeksen (N)'!AE101,M101*'Reeksen (N)'!C101,0))</f>
        <v>0</v>
      </c>
      <c r="O101" s="86">
        <f ca="1">IF(C101&lt;1,0,IF('Reeksen (N)'!AD101&gt;'Reeksen (N)'!AE101,M101*'Reeksen (N)'!C101,0))</f>
        <v>0</v>
      </c>
      <c r="P101" s="86">
        <f t="shared" ca="1" si="13"/>
        <v>0</v>
      </c>
      <c r="Q101" s="82">
        <f ca="1">IF('Invoer gegevens (N)'!$C$17=E101,I101,IF(C101=0,0,R100))</f>
        <v>0</v>
      </c>
      <c r="R101" s="84">
        <f t="shared" ca="1" si="10"/>
        <v>0</v>
      </c>
      <c r="S101" s="84">
        <f ca="1">IF('Invoer gegevens (N)'!$C$17=E101,M101,IF(C101=0,0,T100))</f>
        <v>0</v>
      </c>
      <c r="T101" s="84">
        <f t="shared" ca="1" si="19"/>
        <v>0</v>
      </c>
      <c r="AI101" s="71">
        <f ca="1">IF(C101=1,((F101+H101)/2*'Reeksen (N)'!AI101*12)+(('Invoer gegevens (N)'!$C$10-(F101+H101)/2)*'Reeksen (N)'!AD101*12),0)</f>
        <v>0</v>
      </c>
      <c r="AJ101" s="71">
        <f ca="1">-AI101*'Invoer gegevens (N)'!$F$28</f>
        <v>0</v>
      </c>
      <c r="AK101" s="71">
        <f t="shared" ca="1" si="14"/>
        <v>0</v>
      </c>
      <c r="AL101" s="71">
        <f ca="1">IF(C101=1,(12*((F101+H101)/2)*'Reeksen (N)'!AL101)+(12*('Invoer gegevens (N)'!$C$10-(F101+H101)/2)*'Reeksen (N)'!AM101),0)</f>
        <v>0</v>
      </c>
      <c r="AM101" s="71">
        <f ca="1">-AL101*'Invoer gegevens (N)'!$F$31</f>
        <v>0</v>
      </c>
      <c r="AN101" s="71">
        <f t="shared" ca="1" si="15"/>
        <v>0</v>
      </c>
      <c r="AO101" s="71"/>
      <c r="AP101" s="71"/>
      <c r="AQ101" s="71">
        <f ca="1">-IF(C101=1,('Invoer gegevens (N)'!$C$10*'Invoer gegevens (N)'!$F$35)*'Reeksen (N)'!J101,0)*2</f>
        <v>0</v>
      </c>
      <c r="AR101" s="71">
        <f ca="1">-IF(C101=1,(G101*'Invoer gegevens (N)'!$F$36)*'Reeksen (N)'!J101,0)</f>
        <v>0</v>
      </c>
      <c r="AS101" s="71">
        <f ca="1">-IF(C101=1,'Invoer gegevens (N)'!$C$10*'Invoer gegevens (N)'!$F$37*'Reeksen (N)'!L101,0)</f>
        <v>0</v>
      </c>
      <c r="AT101" s="71">
        <f ca="1">-IF(C101=1,IF(E101='Invoer gegevens (N)'!$C$17,'Invoer gegevens (N)'!$C$11,Q101)*'Reeksen (N)'!S101*'Invoer gegevens (N)'!$C$18*'Reeksen (N)'!P101,0)</f>
        <v>0</v>
      </c>
      <c r="AU101" s="71">
        <f ca="1">-IF(C101=1,'Invoer gegevens (N)'!$C$10*'Invoer gegevens (N)'!$F$38*'Reeksen (N)'!H101,0)</f>
        <v>0</v>
      </c>
      <c r="AV101" s="71">
        <v>0</v>
      </c>
      <c r="AW101" s="71">
        <f t="shared" ca="1" si="16"/>
        <v>0</v>
      </c>
      <c r="AX101" s="71">
        <f ca="1">IF(E101&lt;'Invoer gegevens (N)'!$C$17+15,0,IF('RW - MW - DE - DE (N)'!E101&gt;'Invoer gegevens (N)'!$C$17+215,0,'RW - MW - DE - DE (N)'!AW101))</f>
        <v>0</v>
      </c>
      <c r="AY101" s="71">
        <f ca="1">AX101/(1+'Invoer gegevens (N)'!$F$13)^($AZ101-('Invoer gegevens (N)'!$C$17-'Invoer gegevens (N)'!$C$16))/(1+'Invoer gegevens (N)'!$C$39)^('Invoer gegevens (N)'!$C$17-'Invoer gegevens (N)'!$C$16)</f>
        <v>0</v>
      </c>
      <c r="AZ101" s="68">
        <f ca="1">IF(E101-'Invoer gegevens (N)'!$C$17-14.5&lt;0,0,E101-'Invoer gegevens (N)'!$C$17-14.5)</f>
        <v>81.5</v>
      </c>
      <c r="BC101" s="71"/>
    </row>
    <row r="102" spans="2:55" s="230" customFormat="1" x14ac:dyDescent="0.25">
      <c r="B102" s="70">
        <f t="shared" si="17"/>
        <v>98</v>
      </c>
      <c r="C102" s="67">
        <f ca="1">IF(E102-'Invoer gegevens (N)'!$C$17&lt;0,0,1)</f>
        <v>1</v>
      </c>
      <c r="D102" s="68">
        <f t="shared" si="18"/>
        <v>97.5</v>
      </c>
      <c r="E102" s="69">
        <f ca="1">IF('Invoer gegevens (N)'!$C$16="","",E101+1)</f>
        <v>2116</v>
      </c>
      <c r="F102" s="82">
        <f ca="1">IF('Invoer gegevens (N)'!$C$17=E102,'Invoer gegevens (N)'!$C$10,IF(C102=1,H101,0))</f>
        <v>0</v>
      </c>
      <c r="G102" s="83">
        <f ca="1">IF(C102&gt;=1,F102*'Reeksen (N)'!C102,0)</f>
        <v>0</v>
      </c>
      <c r="H102" s="84">
        <f t="shared" ca="1" si="11"/>
        <v>0</v>
      </c>
      <c r="I102" s="85">
        <f ca="1">IF('Invoer gegevens (N)'!$C$17=E102,'Invoer gegevens (N)'!$C$11,IF(C102=1,L101,0))</f>
        <v>0</v>
      </c>
      <c r="J102" s="86">
        <f ca="1">IF(C102&lt;1,0,IF('Reeksen (N)'!AD102&lt;='Reeksen (N)'!AE102,I102*'Reeksen (N)'!C102,0))</f>
        <v>0</v>
      </c>
      <c r="K102" s="86">
        <f ca="1">IF(C102&lt;1,0,IF('Reeksen (N)'!AD102&gt;'Reeksen (N)'!AE102,I102*'Reeksen (N)'!C102,0))</f>
        <v>0</v>
      </c>
      <c r="L102" s="86">
        <f t="shared" ca="1" si="12"/>
        <v>0</v>
      </c>
      <c r="M102" s="85">
        <f ca="1">IF('Invoer gegevens (N)'!$C$17=E102,'Invoer gegevens (N)'!$C$10-'Invoer gegevens (N)'!$C$11,IF(C102=1,P101,0))</f>
        <v>0</v>
      </c>
      <c r="N102" s="86">
        <f ca="1">IF(C102&lt;1,0,IF('Reeksen (N)'!AD102&lt;='Reeksen (N)'!AE102,M102*'Reeksen (N)'!C102,0))</f>
        <v>0</v>
      </c>
      <c r="O102" s="86">
        <f ca="1">IF(C102&lt;1,0,IF('Reeksen (N)'!AD102&gt;'Reeksen (N)'!AE102,M102*'Reeksen (N)'!C102,0))</f>
        <v>0</v>
      </c>
      <c r="P102" s="86">
        <f t="shared" ca="1" si="13"/>
        <v>0</v>
      </c>
      <c r="Q102" s="82">
        <f ca="1">IF('Invoer gegevens (N)'!$C$17=E102,I102,IF(C102=0,0,R101))</f>
        <v>0</v>
      </c>
      <c r="R102" s="84">
        <f t="shared" ca="1" si="10"/>
        <v>0</v>
      </c>
      <c r="S102" s="84">
        <f ca="1">IF('Invoer gegevens (N)'!$C$17=E102,M102,IF(C102=0,0,T101))</f>
        <v>0</v>
      </c>
      <c r="T102" s="84">
        <f t="shared" ca="1" si="19"/>
        <v>0</v>
      </c>
      <c r="AI102" s="71">
        <f ca="1">IF(C102=1,((F102+H102)/2*'Reeksen (N)'!AI102*12)+(('Invoer gegevens (N)'!$C$10-(F102+H102)/2)*'Reeksen (N)'!AD102*12),0)</f>
        <v>0</v>
      </c>
      <c r="AJ102" s="71">
        <f ca="1">-AI102*'Invoer gegevens (N)'!$F$28</f>
        <v>0</v>
      </c>
      <c r="AK102" s="71">
        <f t="shared" ca="1" si="14"/>
        <v>0</v>
      </c>
      <c r="AL102" s="71">
        <f ca="1">IF(C102=1,(12*((F102+H102)/2)*'Reeksen (N)'!AL102)+(12*('Invoer gegevens (N)'!$C$10-(F102+H102)/2)*'Reeksen (N)'!AM102),0)</f>
        <v>0</v>
      </c>
      <c r="AM102" s="71">
        <f ca="1">-AL102*'Invoer gegevens (N)'!$F$31</f>
        <v>0</v>
      </c>
      <c r="AN102" s="71">
        <f t="shared" ca="1" si="15"/>
        <v>0</v>
      </c>
      <c r="AO102" s="71"/>
      <c r="AP102" s="71"/>
      <c r="AQ102" s="71">
        <f ca="1">-IF(C102=1,('Invoer gegevens (N)'!$C$10*'Invoer gegevens (N)'!$F$35)*'Reeksen (N)'!J102,0)*2</f>
        <v>0</v>
      </c>
      <c r="AR102" s="71">
        <f ca="1">-IF(C102=1,(G102*'Invoer gegevens (N)'!$F$36)*'Reeksen (N)'!J102,0)</f>
        <v>0</v>
      </c>
      <c r="AS102" s="71">
        <f ca="1">-IF(C102=1,'Invoer gegevens (N)'!$C$10*'Invoer gegevens (N)'!$F$37*'Reeksen (N)'!L102,0)</f>
        <v>0</v>
      </c>
      <c r="AT102" s="71">
        <f ca="1">-IF(C102=1,IF(E102='Invoer gegevens (N)'!$C$17,'Invoer gegevens (N)'!$C$11,Q102)*'Reeksen (N)'!S102*'Invoer gegevens (N)'!$C$18*'Reeksen (N)'!P102,0)</f>
        <v>0</v>
      </c>
      <c r="AU102" s="71">
        <f ca="1">-IF(C102=1,'Invoer gegevens (N)'!$C$10*'Invoer gegevens (N)'!$F$38*'Reeksen (N)'!H102,0)</f>
        <v>0</v>
      </c>
      <c r="AV102" s="71">
        <v>0</v>
      </c>
      <c r="AW102" s="71">
        <f t="shared" ca="1" si="16"/>
        <v>0</v>
      </c>
      <c r="AX102" s="71">
        <f ca="1">IF(E102&lt;'Invoer gegevens (N)'!$C$17+15,0,IF('RW - MW - DE - DE (N)'!E102&gt;'Invoer gegevens (N)'!$C$17+215,0,'RW - MW - DE - DE (N)'!AW102))</f>
        <v>0</v>
      </c>
      <c r="AY102" s="71">
        <f ca="1">AX102/(1+'Invoer gegevens (N)'!$F$13)^($AZ102-('Invoer gegevens (N)'!$C$17-'Invoer gegevens (N)'!$C$16))/(1+'Invoer gegevens (N)'!$C$39)^('Invoer gegevens (N)'!$C$17-'Invoer gegevens (N)'!$C$16)</f>
        <v>0</v>
      </c>
      <c r="AZ102" s="68">
        <f ca="1">IF(E102-'Invoer gegevens (N)'!$C$17-14.5&lt;0,0,E102-'Invoer gegevens (N)'!$C$17-14.5)</f>
        <v>82.5</v>
      </c>
      <c r="BC102" s="71"/>
    </row>
    <row r="103" spans="2:55" s="230" customFormat="1" x14ac:dyDescent="0.25">
      <c r="B103" s="70">
        <f t="shared" si="17"/>
        <v>99</v>
      </c>
      <c r="C103" s="67">
        <f ca="1">IF(E103-'Invoer gegevens (N)'!$C$17&lt;0,0,1)</f>
        <v>1</v>
      </c>
      <c r="D103" s="68">
        <f t="shared" si="18"/>
        <v>98.5</v>
      </c>
      <c r="E103" s="69">
        <f ca="1">IF('Invoer gegevens (N)'!$C$16="","",E102+1)</f>
        <v>2117</v>
      </c>
      <c r="F103" s="82">
        <f ca="1">IF('Invoer gegevens (N)'!$C$17=E103,'Invoer gegevens (N)'!$C$10,IF(C103=1,H102,0))</f>
        <v>0</v>
      </c>
      <c r="G103" s="83">
        <f ca="1">IF(C103&gt;=1,F103*'Reeksen (N)'!C103,0)</f>
        <v>0</v>
      </c>
      <c r="H103" s="84">
        <f t="shared" ca="1" si="11"/>
        <v>0</v>
      </c>
      <c r="I103" s="85">
        <f ca="1">IF('Invoer gegevens (N)'!$C$17=E103,'Invoer gegevens (N)'!$C$11,IF(C103=1,L102,0))</f>
        <v>0</v>
      </c>
      <c r="J103" s="86">
        <f ca="1">IF(C103&lt;1,0,IF('Reeksen (N)'!AD103&lt;='Reeksen (N)'!AE103,I103*'Reeksen (N)'!C103,0))</f>
        <v>0</v>
      </c>
      <c r="K103" s="86">
        <f ca="1">IF(C103&lt;1,0,IF('Reeksen (N)'!AD103&gt;'Reeksen (N)'!AE103,I103*'Reeksen (N)'!C103,0))</f>
        <v>0</v>
      </c>
      <c r="L103" s="86">
        <f t="shared" ca="1" si="12"/>
        <v>0</v>
      </c>
      <c r="M103" s="85">
        <f ca="1">IF('Invoer gegevens (N)'!$C$17=E103,'Invoer gegevens (N)'!$C$10-'Invoer gegevens (N)'!$C$11,IF(C103=1,P102,0))</f>
        <v>0</v>
      </c>
      <c r="N103" s="86">
        <f ca="1">IF(C103&lt;1,0,IF('Reeksen (N)'!AD103&lt;='Reeksen (N)'!AE103,M103*'Reeksen (N)'!C103,0))</f>
        <v>0</v>
      </c>
      <c r="O103" s="86">
        <f ca="1">IF(C103&lt;1,0,IF('Reeksen (N)'!AD103&gt;'Reeksen (N)'!AE103,M103*'Reeksen (N)'!C103,0))</f>
        <v>0</v>
      </c>
      <c r="P103" s="86">
        <f t="shared" ca="1" si="13"/>
        <v>0</v>
      </c>
      <c r="Q103" s="82">
        <f ca="1">IF('Invoer gegevens (N)'!$C$17=E103,I103,IF(C103=0,0,R102))</f>
        <v>0</v>
      </c>
      <c r="R103" s="84">
        <f t="shared" ca="1" si="10"/>
        <v>0</v>
      </c>
      <c r="S103" s="84">
        <f ca="1">IF('Invoer gegevens (N)'!$C$17=E103,M103,IF(C103=0,0,T102))</f>
        <v>0</v>
      </c>
      <c r="T103" s="84">
        <f t="shared" ca="1" si="19"/>
        <v>0</v>
      </c>
      <c r="AI103" s="71">
        <f ca="1">IF(C103=1,((F103+H103)/2*'Reeksen (N)'!AI103*12)+(('Invoer gegevens (N)'!$C$10-(F103+H103)/2)*'Reeksen (N)'!AD103*12),0)</f>
        <v>0</v>
      </c>
      <c r="AJ103" s="71">
        <f ca="1">-AI103*'Invoer gegevens (N)'!$F$28</f>
        <v>0</v>
      </c>
      <c r="AK103" s="71">
        <f t="shared" ca="1" si="14"/>
        <v>0</v>
      </c>
      <c r="AL103" s="71">
        <f ca="1">IF(C103=1,(12*((F103+H103)/2)*'Reeksen (N)'!AL103)+(12*('Invoer gegevens (N)'!$C$10-(F103+H103)/2)*'Reeksen (N)'!AM103),0)</f>
        <v>0</v>
      </c>
      <c r="AM103" s="71">
        <f ca="1">-AL103*'Invoer gegevens (N)'!$F$31</f>
        <v>0</v>
      </c>
      <c r="AN103" s="71">
        <f t="shared" ca="1" si="15"/>
        <v>0</v>
      </c>
      <c r="AO103" s="71"/>
      <c r="AP103" s="71"/>
      <c r="AQ103" s="71">
        <f ca="1">-IF(C103=1,('Invoer gegevens (N)'!$C$10*'Invoer gegevens (N)'!$F$35)*'Reeksen (N)'!J103,0)*2</f>
        <v>0</v>
      </c>
      <c r="AR103" s="71">
        <f ca="1">-IF(C103=1,(G103*'Invoer gegevens (N)'!$F$36)*'Reeksen (N)'!J103,0)</f>
        <v>0</v>
      </c>
      <c r="AS103" s="71">
        <f ca="1">-IF(C103=1,'Invoer gegevens (N)'!$C$10*'Invoer gegevens (N)'!$F$37*'Reeksen (N)'!L103,0)</f>
        <v>0</v>
      </c>
      <c r="AT103" s="71">
        <f ca="1">-IF(C103=1,IF(E103='Invoer gegevens (N)'!$C$17,'Invoer gegevens (N)'!$C$11,Q103)*'Reeksen (N)'!S103*'Invoer gegevens (N)'!$C$18*'Reeksen (N)'!P103,0)</f>
        <v>0</v>
      </c>
      <c r="AU103" s="71">
        <f ca="1">-IF(C103=1,'Invoer gegevens (N)'!$C$10*'Invoer gegevens (N)'!$F$38*'Reeksen (N)'!H103,0)</f>
        <v>0</v>
      </c>
      <c r="AV103" s="71">
        <v>0</v>
      </c>
      <c r="AW103" s="71">
        <f t="shared" ca="1" si="16"/>
        <v>0</v>
      </c>
      <c r="AX103" s="71">
        <f ca="1">IF(E103&lt;'Invoer gegevens (N)'!$C$17+15,0,IF('RW - MW - DE - DE (N)'!E103&gt;'Invoer gegevens (N)'!$C$17+215,0,'RW - MW - DE - DE (N)'!AW103))</f>
        <v>0</v>
      </c>
      <c r="AY103" s="71">
        <f ca="1">AX103/(1+'Invoer gegevens (N)'!$F$13)^($AZ103-('Invoer gegevens (N)'!$C$17-'Invoer gegevens (N)'!$C$16))/(1+'Invoer gegevens (N)'!$C$39)^('Invoer gegevens (N)'!$C$17-'Invoer gegevens (N)'!$C$16)</f>
        <v>0</v>
      </c>
      <c r="AZ103" s="68">
        <f ca="1">IF(E103-'Invoer gegevens (N)'!$C$17-14.5&lt;0,0,E103-'Invoer gegevens (N)'!$C$17-14.5)</f>
        <v>83.5</v>
      </c>
      <c r="BC103" s="71"/>
    </row>
    <row r="104" spans="2:55" s="230" customFormat="1" x14ac:dyDescent="0.25">
      <c r="B104" s="70">
        <f t="shared" si="17"/>
        <v>100</v>
      </c>
      <c r="C104" s="67">
        <f ca="1">IF(E104-'Invoer gegevens (N)'!$C$17&lt;0,0,1)</f>
        <v>1</v>
      </c>
      <c r="D104" s="68">
        <f t="shared" si="18"/>
        <v>99.5</v>
      </c>
      <c r="E104" s="69">
        <f ca="1">IF('Invoer gegevens (N)'!$C$16="","",E103+1)</f>
        <v>2118</v>
      </c>
      <c r="F104" s="82">
        <f ca="1">IF('Invoer gegevens (N)'!$C$17=E104,'Invoer gegevens (N)'!$C$10,IF(C104=1,H103,0))</f>
        <v>0</v>
      </c>
      <c r="G104" s="83">
        <f ca="1">IF(C104&gt;=1,F104*'Reeksen (N)'!C104,0)</f>
        <v>0</v>
      </c>
      <c r="H104" s="84">
        <f t="shared" ca="1" si="11"/>
        <v>0</v>
      </c>
      <c r="I104" s="85">
        <f ca="1">IF('Invoer gegevens (N)'!$C$17=E104,'Invoer gegevens (N)'!$C$11,IF(C104=1,L103,0))</f>
        <v>0</v>
      </c>
      <c r="J104" s="86">
        <f ca="1">IF(C104&lt;1,0,IF('Reeksen (N)'!AD104&lt;='Reeksen (N)'!AE104,I104*'Reeksen (N)'!C104,0))</f>
        <v>0</v>
      </c>
      <c r="K104" s="86">
        <f ca="1">IF(C104&lt;1,0,IF('Reeksen (N)'!AD104&gt;'Reeksen (N)'!AE104,I104*'Reeksen (N)'!C104,0))</f>
        <v>0</v>
      </c>
      <c r="L104" s="86">
        <f t="shared" ca="1" si="12"/>
        <v>0</v>
      </c>
      <c r="M104" s="85">
        <f ca="1">IF('Invoer gegevens (N)'!$C$17=E104,'Invoer gegevens (N)'!$C$10-'Invoer gegevens (N)'!$C$11,IF(C104=1,P103,0))</f>
        <v>0</v>
      </c>
      <c r="N104" s="86">
        <f ca="1">IF(C104&lt;1,0,IF('Reeksen (N)'!AD104&lt;='Reeksen (N)'!AE104,M104*'Reeksen (N)'!C104,0))</f>
        <v>0</v>
      </c>
      <c r="O104" s="86">
        <f ca="1">IF(C104&lt;1,0,IF('Reeksen (N)'!AD104&gt;'Reeksen (N)'!AE104,M104*'Reeksen (N)'!C104,0))</f>
        <v>0</v>
      </c>
      <c r="P104" s="86">
        <f t="shared" ca="1" si="13"/>
        <v>0</v>
      </c>
      <c r="Q104" s="82">
        <f ca="1">IF('Invoer gegevens (N)'!$C$17=E104,I104,IF(C104=0,0,R103))</f>
        <v>0</v>
      </c>
      <c r="R104" s="84">
        <f t="shared" ca="1" si="10"/>
        <v>0</v>
      </c>
      <c r="S104" s="84">
        <f ca="1">IF('Invoer gegevens (N)'!$C$17=E104,M104,IF(C104=0,0,T103))</f>
        <v>0</v>
      </c>
      <c r="T104" s="84">
        <f t="shared" ca="1" si="19"/>
        <v>0</v>
      </c>
      <c r="AI104" s="71">
        <f ca="1">IF(C104=1,((F104+H104)/2*'Reeksen (N)'!AI104*12)+(('Invoer gegevens (N)'!$C$10-(F104+H104)/2)*'Reeksen (N)'!AD104*12),0)</f>
        <v>0</v>
      </c>
      <c r="AJ104" s="71">
        <f ca="1">-AI104*'Invoer gegevens (N)'!$F$28</f>
        <v>0</v>
      </c>
      <c r="AK104" s="71">
        <f t="shared" ca="1" si="14"/>
        <v>0</v>
      </c>
      <c r="AL104" s="71">
        <f ca="1">IF(C104=1,(12*((F104+H104)/2)*'Reeksen (N)'!AL104)+(12*('Invoer gegevens (N)'!$C$10-(F104+H104)/2)*'Reeksen (N)'!AM104),0)</f>
        <v>0</v>
      </c>
      <c r="AM104" s="71">
        <f ca="1">-AL104*'Invoer gegevens (N)'!$F$31</f>
        <v>0</v>
      </c>
      <c r="AN104" s="71">
        <f t="shared" ca="1" si="15"/>
        <v>0</v>
      </c>
      <c r="AO104" s="71"/>
      <c r="AP104" s="71"/>
      <c r="AQ104" s="71">
        <f ca="1">-IF(C104=1,('Invoer gegevens (N)'!$C$10*'Invoer gegevens (N)'!$F$35)*'Reeksen (N)'!J104,0)*2</f>
        <v>0</v>
      </c>
      <c r="AR104" s="71">
        <f ca="1">-IF(C104=1,(G104*'Invoer gegevens (N)'!$F$36)*'Reeksen (N)'!J104,0)</f>
        <v>0</v>
      </c>
      <c r="AS104" s="71">
        <f ca="1">-IF(C104=1,'Invoer gegevens (N)'!$C$10*'Invoer gegevens (N)'!$F$37*'Reeksen (N)'!L104,0)</f>
        <v>0</v>
      </c>
      <c r="AT104" s="71">
        <f ca="1">-IF(C104=1,IF(E104='Invoer gegevens (N)'!$C$17,'Invoer gegevens (N)'!$C$11,Q104)*'Reeksen (N)'!S104*'Invoer gegevens (N)'!$C$18*'Reeksen (N)'!P104,0)</f>
        <v>0</v>
      </c>
      <c r="AU104" s="71">
        <f ca="1">-IF(C104=1,'Invoer gegevens (N)'!$C$10*'Invoer gegevens (N)'!$F$38*'Reeksen (N)'!H104,0)</f>
        <v>0</v>
      </c>
      <c r="AV104" s="71">
        <v>0</v>
      </c>
      <c r="AW104" s="71">
        <f t="shared" ca="1" si="16"/>
        <v>0</v>
      </c>
      <c r="AX104" s="71">
        <f ca="1">IF(E104&lt;'Invoer gegevens (N)'!$C$17+15,0,IF('RW - MW - DE - DE (N)'!E104&gt;'Invoer gegevens (N)'!$C$17+215,0,'RW - MW - DE - DE (N)'!AW104))</f>
        <v>0</v>
      </c>
      <c r="AY104" s="71">
        <f ca="1">AX104/(1+'Invoer gegevens (N)'!$F$13)^($AZ104-('Invoer gegevens (N)'!$C$17-'Invoer gegevens (N)'!$C$16))/(1+'Invoer gegevens (N)'!$C$39)^('Invoer gegevens (N)'!$C$17-'Invoer gegevens (N)'!$C$16)</f>
        <v>0</v>
      </c>
      <c r="AZ104" s="68">
        <f ca="1">IF(E104-'Invoer gegevens (N)'!$C$17-14.5&lt;0,0,E104-'Invoer gegevens (N)'!$C$17-14.5)</f>
        <v>84.5</v>
      </c>
      <c r="BC104" s="71"/>
    </row>
    <row r="105" spans="2:55" s="230" customFormat="1" x14ac:dyDescent="0.25">
      <c r="B105" s="70">
        <f t="shared" si="17"/>
        <v>101</v>
      </c>
      <c r="C105" s="67">
        <f ca="1">IF(E105-'Invoer gegevens (N)'!$C$17&lt;0,0,1)</f>
        <v>1</v>
      </c>
      <c r="D105" s="68">
        <f t="shared" si="18"/>
        <v>100.5</v>
      </c>
      <c r="E105" s="69">
        <f ca="1">IF('Invoer gegevens (N)'!$C$16="","",E104+1)</f>
        <v>2119</v>
      </c>
      <c r="F105" s="82">
        <f ca="1">IF('Invoer gegevens (N)'!$C$17=E105,'Invoer gegevens (N)'!$C$10,IF(C105=1,H104,0))</f>
        <v>0</v>
      </c>
      <c r="G105" s="83">
        <f ca="1">IF(C105&gt;=1,F105*'Reeksen (N)'!C105,0)</f>
        <v>0</v>
      </c>
      <c r="H105" s="84">
        <f t="shared" ca="1" si="11"/>
        <v>0</v>
      </c>
      <c r="I105" s="85">
        <f ca="1">IF('Invoer gegevens (N)'!$C$17=E105,'Invoer gegevens (N)'!$C$11,IF(C105=1,L104,0))</f>
        <v>0</v>
      </c>
      <c r="J105" s="86">
        <f ca="1">IF(C105&lt;1,0,IF('Reeksen (N)'!AD105&lt;='Reeksen (N)'!AE105,I105*'Reeksen (N)'!C105,0))</f>
        <v>0</v>
      </c>
      <c r="K105" s="86">
        <f ca="1">IF(C105&lt;1,0,IF('Reeksen (N)'!AD105&gt;'Reeksen (N)'!AE105,I105*'Reeksen (N)'!C105,0))</f>
        <v>0</v>
      </c>
      <c r="L105" s="86">
        <f t="shared" ca="1" si="12"/>
        <v>0</v>
      </c>
      <c r="M105" s="85">
        <f ca="1">IF('Invoer gegevens (N)'!$C$17=E105,'Invoer gegevens (N)'!$C$10-'Invoer gegevens (N)'!$C$11,IF(C105=1,P104,0))</f>
        <v>0</v>
      </c>
      <c r="N105" s="86">
        <f ca="1">IF(C105&lt;1,0,IF('Reeksen (N)'!AD105&lt;='Reeksen (N)'!AE105,M105*'Reeksen (N)'!C105,0))</f>
        <v>0</v>
      </c>
      <c r="O105" s="86">
        <f ca="1">IF(C105&lt;1,0,IF('Reeksen (N)'!AD105&gt;'Reeksen (N)'!AE105,M105*'Reeksen (N)'!C105,0))</f>
        <v>0</v>
      </c>
      <c r="P105" s="86">
        <f t="shared" ca="1" si="13"/>
        <v>0</v>
      </c>
      <c r="Q105" s="82">
        <f ca="1">IF('Invoer gegevens (N)'!$C$17=E105,I105,IF(C105=0,0,R104))</f>
        <v>0</v>
      </c>
      <c r="R105" s="84">
        <f t="shared" ca="1" si="10"/>
        <v>0</v>
      </c>
      <c r="S105" s="84">
        <f ca="1">IF('Invoer gegevens (N)'!$C$17=E105,M105,IF(C105=0,0,T104))</f>
        <v>0</v>
      </c>
      <c r="T105" s="84">
        <f t="shared" ca="1" si="19"/>
        <v>0</v>
      </c>
      <c r="AI105" s="71">
        <f ca="1">IF(C105=1,((F105+H105)/2*'Reeksen (N)'!AI105*12)+(('Invoer gegevens (N)'!$C$10-(F105+H105)/2)*'Reeksen (N)'!AD105*12),0)</f>
        <v>0</v>
      </c>
      <c r="AJ105" s="71">
        <f ca="1">-AI105*'Invoer gegevens (N)'!$F$28</f>
        <v>0</v>
      </c>
      <c r="AK105" s="71">
        <f t="shared" ca="1" si="14"/>
        <v>0</v>
      </c>
      <c r="AL105" s="71">
        <f ca="1">IF(C105=1,(12*((F105+H105)/2)*'Reeksen (N)'!AL105)+(12*('Invoer gegevens (N)'!$C$10-(F105+H105)/2)*'Reeksen (N)'!AM105),0)</f>
        <v>0</v>
      </c>
      <c r="AM105" s="71">
        <f ca="1">-AL105*'Invoer gegevens (N)'!$F$31</f>
        <v>0</v>
      </c>
      <c r="AN105" s="71">
        <f t="shared" ca="1" si="15"/>
        <v>0</v>
      </c>
      <c r="AO105" s="71"/>
      <c r="AP105" s="71"/>
      <c r="AQ105" s="71">
        <f ca="1">-IF(C105=1,('Invoer gegevens (N)'!$C$10*'Invoer gegevens (N)'!$F$35)*'Reeksen (N)'!J105,0)*2</f>
        <v>0</v>
      </c>
      <c r="AR105" s="71">
        <f ca="1">-IF(C105=1,(G105*'Invoer gegevens (N)'!$F$36)*'Reeksen (N)'!J105,0)</f>
        <v>0</v>
      </c>
      <c r="AS105" s="71">
        <f ca="1">-IF(C105=1,'Invoer gegevens (N)'!$C$10*'Invoer gegevens (N)'!$F$37*'Reeksen (N)'!L105,0)</f>
        <v>0</v>
      </c>
      <c r="AT105" s="71">
        <f ca="1">-IF(C105=1,IF(E105='Invoer gegevens (N)'!$C$17,'Invoer gegevens (N)'!$C$11,Q105)*'Reeksen (N)'!S105*'Invoer gegevens (N)'!$C$18*'Reeksen (N)'!P105,0)</f>
        <v>0</v>
      </c>
      <c r="AU105" s="71">
        <f ca="1">-IF(C105=1,'Invoer gegevens (N)'!$C$10*'Invoer gegevens (N)'!$F$38*'Reeksen (N)'!H105,0)</f>
        <v>0</v>
      </c>
      <c r="AV105" s="71">
        <v>0</v>
      </c>
      <c r="AW105" s="71">
        <f t="shared" ca="1" si="16"/>
        <v>0</v>
      </c>
      <c r="AX105" s="71">
        <f ca="1">IF(E105&lt;'Invoer gegevens (N)'!$C$17+15,0,IF('RW - MW - DE - DE (N)'!E105&gt;'Invoer gegevens (N)'!$C$17+215,0,'RW - MW - DE - DE (N)'!AW105))</f>
        <v>0</v>
      </c>
      <c r="AY105" s="71">
        <f ca="1">AX105/(1+'Invoer gegevens (N)'!$F$13)^($AZ105-('Invoer gegevens (N)'!$C$17-'Invoer gegevens (N)'!$C$16))/(1+'Invoer gegevens (N)'!$C$39)^('Invoer gegevens (N)'!$C$17-'Invoer gegevens (N)'!$C$16)</f>
        <v>0</v>
      </c>
      <c r="AZ105" s="68">
        <f ca="1">IF(E105-'Invoer gegevens (N)'!$C$17-14.5&lt;0,0,E105-'Invoer gegevens (N)'!$C$17-14.5)</f>
        <v>85.5</v>
      </c>
      <c r="BC105" s="71"/>
    </row>
    <row r="106" spans="2:55" s="230" customFormat="1" x14ac:dyDescent="0.25">
      <c r="B106" s="70">
        <f t="shared" si="17"/>
        <v>102</v>
      </c>
      <c r="C106" s="67">
        <f ca="1">IF(E106-'Invoer gegevens (N)'!$C$17&lt;0,0,1)</f>
        <v>1</v>
      </c>
      <c r="D106" s="68">
        <f t="shared" si="18"/>
        <v>101.5</v>
      </c>
      <c r="E106" s="69">
        <f ca="1">IF('Invoer gegevens (N)'!$C$16="","",E105+1)</f>
        <v>2120</v>
      </c>
      <c r="F106" s="82">
        <f ca="1">IF('Invoer gegevens (N)'!$C$17=E106,'Invoer gegevens (N)'!$C$10,IF(C106=1,H105,0))</f>
        <v>0</v>
      </c>
      <c r="G106" s="83">
        <f ca="1">IF(C106&gt;=1,F106*'Reeksen (N)'!C106,0)</f>
        <v>0</v>
      </c>
      <c r="H106" s="84">
        <f t="shared" ca="1" si="11"/>
        <v>0</v>
      </c>
      <c r="I106" s="85">
        <f ca="1">IF('Invoer gegevens (N)'!$C$17=E106,'Invoer gegevens (N)'!$C$11,IF(C106=1,L105,0))</f>
        <v>0</v>
      </c>
      <c r="J106" s="86">
        <f ca="1">IF(C106&lt;1,0,IF('Reeksen (N)'!AD106&lt;='Reeksen (N)'!AE106,I106*'Reeksen (N)'!C106,0))</f>
        <v>0</v>
      </c>
      <c r="K106" s="86">
        <f ca="1">IF(C106&lt;1,0,IF('Reeksen (N)'!AD106&gt;'Reeksen (N)'!AE106,I106*'Reeksen (N)'!C106,0))</f>
        <v>0</v>
      </c>
      <c r="L106" s="86">
        <f t="shared" ca="1" si="12"/>
        <v>0</v>
      </c>
      <c r="M106" s="85">
        <f ca="1">IF('Invoer gegevens (N)'!$C$17=E106,'Invoer gegevens (N)'!$C$10-'Invoer gegevens (N)'!$C$11,IF(C106=1,P105,0))</f>
        <v>0</v>
      </c>
      <c r="N106" s="86">
        <f ca="1">IF(C106&lt;1,0,IF('Reeksen (N)'!AD106&lt;='Reeksen (N)'!AE106,M106*'Reeksen (N)'!C106,0))</f>
        <v>0</v>
      </c>
      <c r="O106" s="86">
        <f ca="1">IF(C106&lt;1,0,IF('Reeksen (N)'!AD106&gt;'Reeksen (N)'!AE106,M106*'Reeksen (N)'!C106,0))</f>
        <v>0</v>
      </c>
      <c r="P106" s="86">
        <f t="shared" ca="1" si="13"/>
        <v>0</v>
      </c>
      <c r="Q106" s="82">
        <f ca="1">IF('Invoer gegevens (N)'!$C$17=E106,I106,IF(C106=0,0,R105))</f>
        <v>0</v>
      </c>
      <c r="R106" s="84">
        <f t="shared" ca="1" si="10"/>
        <v>0</v>
      </c>
      <c r="S106" s="84">
        <f ca="1">IF('Invoer gegevens (N)'!$C$17=E106,M106,IF(C106=0,0,T105))</f>
        <v>0</v>
      </c>
      <c r="T106" s="84">
        <f t="shared" ca="1" si="19"/>
        <v>0</v>
      </c>
      <c r="AI106" s="71">
        <f ca="1">IF(C106=1,((F106+H106)/2*'Reeksen (N)'!AI106*12)+(('Invoer gegevens (N)'!$C$10-(F106+H106)/2)*'Reeksen (N)'!AD106*12),0)</f>
        <v>0</v>
      </c>
      <c r="AJ106" s="71">
        <f ca="1">-AI106*'Invoer gegevens (N)'!$F$28</f>
        <v>0</v>
      </c>
      <c r="AK106" s="71">
        <f t="shared" ca="1" si="14"/>
        <v>0</v>
      </c>
      <c r="AL106" s="71">
        <f ca="1">IF(C106=1,(12*((F106+H106)/2)*'Reeksen (N)'!AL106)+(12*('Invoer gegevens (N)'!$C$10-(F106+H106)/2)*'Reeksen (N)'!AM106),0)</f>
        <v>0</v>
      </c>
      <c r="AM106" s="71">
        <f ca="1">-AL106*'Invoer gegevens (N)'!$F$31</f>
        <v>0</v>
      </c>
      <c r="AN106" s="71">
        <f t="shared" ca="1" si="15"/>
        <v>0</v>
      </c>
      <c r="AO106" s="71"/>
      <c r="AP106" s="71"/>
      <c r="AQ106" s="71">
        <f ca="1">-IF(C106=1,('Invoer gegevens (N)'!$C$10*'Invoer gegevens (N)'!$F$35)*'Reeksen (N)'!J106,0)*2</f>
        <v>0</v>
      </c>
      <c r="AR106" s="71">
        <f ca="1">-IF(C106=1,(G106*'Invoer gegevens (N)'!$F$36)*'Reeksen (N)'!J106,0)</f>
        <v>0</v>
      </c>
      <c r="AS106" s="71">
        <f ca="1">-IF(C106=1,'Invoer gegevens (N)'!$C$10*'Invoer gegevens (N)'!$F$37*'Reeksen (N)'!L106,0)</f>
        <v>0</v>
      </c>
      <c r="AT106" s="71">
        <f ca="1">-IF(C106=1,IF(E106='Invoer gegevens (N)'!$C$17,'Invoer gegevens (N)'!$C$11,Q106)*'Reeksen (N)'!S106*'Invoer gegevens (N)'!$C$18*'Reeksen (N)'!P106,0)</f>
        <v>0</v>
      </c>
      <c r="AU106" s="71">
        <f ca="1">-IF(C106=1,'Invoer gegevens (N)'!$C$10*'Invoer gegevens (N)'!$F$38*'Reeksen (N)'!H106,0)</f>
        <v>0</v>
      </c>
      <c r="AV106" s="71">
        <v>0</v>
      </c>
      <c r="AW106" s="71">
        <f t="shared" ca="1" si="16"/>
        <v>0</v>
      </c>
      <c r="AX106" s="71">
        <f ca="1">IF(E106&lt;'Invoer gegevens (N)'!$C$17+15,0,IF('RW - MW - DE - DE (N)'!E106&gt;'Invoer gegevens (N)'!$C$17+215,0,'RW - MW - DE - DE (N)'!AW106))</f>
        <v>0</v>
      </c>
      <c r="AY106" s="71">
        <f ca="1">AX106/(1+'Invoer gegevens (N)'!$F$13)^($AZ106-('Invoer gegevens (N)'!$C$17-'Invoer gegevens (N)'!$C$16))/(1+'Invoer gegevens (N)'!$C$39)^('Invoer gegevens (N)'!$C$17-'Invoer gegevens (N)'!$C$16)</f>
        <v>0</v>
      </c>
      <c r="AZ106" s="68">
        <f ca="1">IF(E106-'Invoer gegevens (N)'!$C$17-14.5&lt;0,0,E106-'Invoer gegevens (N)'!$C$17-14.5)</f>
        <v>86.5</v>
      </c>
      <c r="BC106" s="71"/>
    </row>
    <row r="107" spans="2:55" s="230" customFormat="1" x14ac:dyDescent="0.25">
      <c r="B107" s="70">
        <f t="shared" si="17"/>
        <v>103</v>
      </c>
      <c r="C107" s="67">
        <f ca="1">IF(E107-'Invoer gegevens (N)'!$C$17&lt;0,0,1)</f>
        <v>1</v>
      </c>
      <c r="D107" s="68">
        <f t="shared" si="18"/>
        <v>102.5</v>
      </c>
      <c r="E107" s="69">
        <f ca="1">IF('Invoer gegevens (N)'!$C$16="","",E106+1)</f>
        <v>2121</v>
      </c>
      <c r="F107" s="82">
        <f ca="1">IF('Invoer gegevens (N)'!$C$17=E107,'Invoer gegevens (N)'!$C$10,IF(C107=1,H106,0))</f>
        <v>0</v>
      </c>
      <c r="G107" s="83">
        <f ca="1">IF(C107&gt;=1,F107*'Reeksen (N)'!C107,0)</f>
        <v>0</v>
      </c>
      <c r="H107" s="84">
        <f t="shared" ca="1" si="11"/>
        <v>0</v>
      </c>
      <c r="I107" s="85">
        <f ca="1">IF('Invoer gegevens (N)'!$C$17=E107,'Invoer gegevens (N)'!$C$11,IF(C107=1,L106,0))</f>
        <v>0</v>
      </c>
      <c r="J107" s="86">
        <f ca="1">IF(C107&lt;1,0,IF('Reeksen (N)'!AD107&lt;='Reeksen (N)'!AE107,I107*'Reeksen (N)'!C107,0))</f>
        <v>0</v>
      </c>
      <c r="K107" s="86">
        <f ca="1">IF(C107&lt;1,0,IF('Reeksen (N)'!AD107&gt;'Reeksen (N)'!AE107,I107*'Reeksen (N)'!C107,0))</f>
        <v>0</v>
      </c>
      <c r="L107" s="86">
        <f t="shared" ca="1" si="12"/>
        <v>0</v>
      </c>
      <c r="M107" s="85">
        <f ca="1">IF('Invoer gegevens (N)'!$C$17=E107,'Invoer gegevens (N)'!$C$10-'Invoer gegevens (N)'!$C$11,IF(C107=1,P106,0))</f>
        <v>0</v>
      </c>
      <c r="N107" s="86">
        <f ca="1">IF(C107&lt;1,0,IF('Reeksen (N)'!AD107&lt;='Reeksen (N)'!AE107,M107*'Reeksen (N)'!C107,0))</f>
        <v>0</v>
      </c>
      <c r="O107" s="86">
        <f ca="1">IF(C107&lt;1,0,IF('Reeksen (N)'!AD107&gt;'Reeksen (N)'!AE107,M107*'Reeksen (N)'!C107,0))</f>
        <v>0</v>
      </c>
      <c r="P107" s="86">
        <f t="shared" ca="1" si="13"/>
        <v>0</v>
      </c>
      <c r="Q107" s="82">
        <f ca="1">IF('Invoer gegevens (N)'!$C$17=E107,I107,IF(C107=0,0,R106))</f>
        <v>0</v>
      </c>
      <c r="R107" s="84">
        <f t="shared" ca="1" si="10"/>
        <v>0</v>
      </c>
      <c r="S107" s="84">
        <f ca="1">IF('Invoer gegevens (N)'!$C$17=E107,M107,IF(C107=0,0,T106))</f>
        <v>0</v>
      </c>
      <c r="T107" s="84">
        <f t="shared" ca="1" si="19"/>
        <v>0</v>
      </c>
      <c r="AI107" s="71">
        <f ca="1">IF(C107=1,((F107+H107)/2*'Reeksen (N)'!AI107*12)+(('Invoer gegevens (N)'!$C$10-(F107+H107)/2)*'Reeksen (N)'!AD107*12),0)</f>
        <v>0</v>
      </c>
      <c r="AJ107" s="71">
        <f ca="1">-AI107*'Invoer gegevens (N)'!$F$28</f>
        <v>0</v>
      </c>
      <c r="AK107" s="71">
        <f t="shared" ca="1" si="14"/>
        <v>0</v>
      </c>
      <c r="AL107" s="71">
        <f ca="1">IF(C107=1,(12*((F107+H107)/2)*'Reeksen (N)'!AL107)+(12*('Invoer gegevens (N)'!$C$10-(F107+H107)/2)*'Reeksen (N)'!AM107),0)</f>
        <v>0</v>
      </c>
      <c r="AM107" s="71">
        <f ca="1">-AL107*'Invoer gegevens (N)'!$F$31</f>
        <v>0</v>
      </c>
      <c r="AN107" s="71">
        <f t="shared" ca="1" si="15"/>
        <v>0</v>
      </c>
      <c r="AO107" s="71"/>
      <c r="AP107" s="71"/>
      <c r="AQ107" s="71">
        <f ca="1">-IF(C107=1,('Invoer gegevens (N)'!$C$10*'Invoer gegevens (N)'!$F$35)*'Reeksen (N)'!J107,0)*2</f>
        <v>0</v>
      </c>
      <c r="AR107" s="71">
        <f ca="1">-IF(C107=1,(G107*'Invoer gegevens (N)'!$F$36)*'Reeksen (N)'!J107,0)</f>
        <v>0</v>
      </c>
      <c r="AS107" s="71">
        <f ca="1">-IF(C107=1,'Invoer gegevens (N)'!$C$10*'Invoer gegevens (N)'!$F$37*'Reeksen (N)'!L107,0)</f>
        <v>0</v>
      </c>
      <c r="AT107" s="71">
        <f ca="1">-IF(C107=1,IF(E107='Invoer gegevens (N)'!$C$17,'Invoer gegevens (N)'!$C$11,Q107)*'Reeksen (N)'!S107*'Invoer gegevens (N)'!$C$18*'Reeksen (N)'!P107,0)</f>
        <v>0</v>
      </c>
      <c r="AU107" s="71">
        <f ca="1">-IF(C107=1,'Invoer gegevens (N)'!$C$10*'Invoer gegevens (N)'!$F$38*'Reeksen (N)'!H107,0)</f>
        <v>0</v>
      </c>
      <c r="AV107" s="71">
        <v>0</v>
      </c>
      <c r="AW107" s="71">
        <f t="shared" ca="1" si="16"/>
        <v>0</v>
      </c>
      <c r="AX107" s="71">
        <f ca="1">IF(E107&lt;'Invoer gegevens (N)'!$C$17+15,0,IF('RW - MW - DE - DE (N)'!E107&gt;'Invoer gegevens (N)'!$C$17+215,0,'RW - MW - DE - DE (N)'!AW107))</f>
        <v>0</v>
      </c>
      <c r="AY107" s="71">
        <f ca="1">AX107/(1+'Invoer gegevens (N)'!$F$13)^($AZ107-('Invoer gegevens (N)'!$C$17-'Invoer gegevens (N)'!$C$16))/(1+'Invoer gegevens (N)'!$C$39)^('Invoer gegevens (N)'!$C$17-'Invoer gegevens (N)'!$C$16)</f>
        <v>0</v>
      </c>
      <c r="AZ107" s="68">
        <f ca="1">IF(E107-'Invoer gegevens (N)'!$C$17-14.5&lt;0,0,E107-'Invoer gegevens (N)'!$C$17-14.5)</f>
        <v>87.5</v>
      </c>
      <c r="BC107" s="71"/>
    </row>
    <row r="108" spans="2:55" s="230" customFormat="1" x14ac:dyDescent="0.25">
      <c r="B108" s="70">
        <f t="shared" si="17"/>
        <v>104</v>
      </c>
      <c r="C108" s="67">
        <f ca="1">IF(E108-'Invoer gegevens (N)'!$C$17&lt;0,0,1)</f>
        <v>1</v>
      </c>
      <c r="D108" s="68">
        <f t="shared" si="18"/>
        <v>103.5</v>
      </c>
      <c r="E108" s="69">
        <f ca="1">IF('Invoer gegevens (N)'!$C$16="","",E107+1)</f>
        <v>2122</v>
      </c>
      <c r="F108" s="82">
        <f ca="1">IF('Invoer gegevens (N)'!$C$17=E108,'Invoer gegevens (N)'!$C$10,IF(C108=1,H107,0))</f>
        <v>0</v>
      </c>
      <c r="G108" s="83">
        <f ca="1">IF(C108&gt;=1,F108*'Reeksen (N)'!C108,0)</f>
        <v>0</v>
      </c>
      <c r="H108" s="84">
        <f t="shared" ca="1" si="11"/>
        <v>0</v>
      </c>
      <c r="I108" s="85">
        <f ca="1">IF('Invoer gegevens (N)'!$C$17=E108,'Invoer gegevens (N)'!$C$11,IF(C108=1,L107,0))</f>
        <v>0</v>
      </c>
      <c r="J108" s="86">
        <f ca="1">IF(C108&lt;1,0,IF('Reeksen (N)'!AD108&lt;='Reeksen (N)'!AE108,I108*'Reeksen (N)'!C108,0))</f>
        <v>0</v>
      </c>
      <c r="K108" s="86">
        <f ca="1">IF(C108&lt;1,0,IF('Reeksen (N)'!AD108&gt;'Reeksen (N)'!AE108,I108*'Reeksen (N)'!C108,0))</f>
        <v>0</v>
      </c>
      <c r="L108" s="86">
        <f t="shared" ca="1" si="12"/>
        <v>0</v>
      </c>
      <c r="M108" s="85">
        <f ca="1">IF('Invoer gegevens (N)'!$C$17=E108,'Invoer gegevens (N)'!$C$10-'Invoer gegevens (N)'!$C$11,IF(C108=1,P107,0))</f>
        <v>0</v>
      </c>
      <c r="N108" s="86">
        <f ca="1">IF(C108&lt;1,0,IF('Reeksen (N)'!AD108&lt;='Reeksen (N)'!AE108,M108*'Reeksen (N)'!C108,0))</f>
        <v>0</v>
      </c>
      <c r="O108" s="86">
        <f ca="1">IF(C108&lt;1,0,IF('Reeksen (N)'!AD108&gt;'Reeksen (N)'!AE108,M108*'Reeksen (N)'!C108,0))</f>
        <v>0</v>
      </c>
      <c r="P108" s="86">
        <f t="shared" ca="1" si="13"/>
        <v>0</v>
      </c>
      <c r="Q108" s="82">
        <f ca="1">IF('Invoer gegevens (N)'!$C$17=E108,I108,IF(C108=0,0,R107))</f>
        <v>0</v>
      </c>
      <c r="R108" s="84">
        <f t="shared" ca="1" si="10"/>
        <v>0</v>
      </c>
      <c r="S108" s="84">
        <f ca="1">IF('Invoer gegevens (N)'!$C$17=E108,M108,IF(C108=0,0,T107))</f>
        <v>0</v>
      </c>
      <c r="T108" s="84">
        <f t="shared" ca="1" si="19"/>
        <v>0</v>
      </c>
      <c r="AI108" s="71">
        <f ca="1">IF(C108=1,((F108+H108)/2*'Reeksen (N)'!AI108*12)+(('Invoer gegevens (N)'!$C$10-(F108+H108)/2)*'Reeksen (N)'!AD108*12),0)</f>
        <v>0</v>
      </c>
      <c r="AJ108" s="71">
        <f ca="1">-AI108*'Invoer gegevens (N)'!$F$28</f>
        <v>0</v>
      </c>
      <c r="AK108" s="71">
        <f t="shared" ca="1" si="14"/>
        <v>0</v>
      </c>
      <c r="AL108" s="71">
        <f ca="1">IF(C108=1,(12*((F108+H108)/2)*'Reeksen (N)'!AL108)+(12*('Invoer gegevens (N)'!$C$10-(F108+H108)/2)*'Reeksen (N)'!AM108),0)</f>
        <v>0</v>
      </c>
      <c r="AM108" s="71">
        <f ca="1">-AL108*'Invoer gegevens (N)'!$F$31</f>
        <v>0</v>
      </c>
      <c r="AN108" s="71">
        <f t="shared" ca="1" si="15"/>
        <v>0</v>
      </c>
      <c r="AO108" s="71"/>
      <c r="AP108" s="71"/>
      <c r="AQ108" s="71">
        <f ca="1">-IF(C108=1,('Invoer gegevens (N)'!$C$10*'Invoer gegevens (N)'!$F$35)*'Reeksen (N)'!J108,0)*2</f>
        <v>0</v>
      </c>
      <c r="AR108" s="71">
        <f ca="1">-IF(C108=1,(G108*'Invoer gegevens (N)'!$F$36)*'Reeksen (N)'!J108,0)</f>
        <v>0</v>
      </c>
      <c r="AS108" s="71">
        <f ca="1">-IF(C108=1,'Invoer gegevens (N)'!$C$10*'Invoer gegevens (N)'!$F$37*'Reeksen (N)'!L108,0)</f>
        <v>0</v>
      </c>
      <c r="AT108" s="71">
        <f ca="1">-IF(C108=1,IF(E108='Invoer gegevens (N)'!$C$17,'Invoer gegevens (N)'!$C$11,Q108)*'Reeksen (N)'!S108*'Invoer gegevens (N)'!$C$18*'Reeksen (N)'!P108,0)</f>
        <v>0</v>
      </c>
      <c r="AU108" s="71">
        <f ca="1">-IF(C108=1,'Invoer gegevens (N)'!$C$10*'Invoer gegevens (N)'!$F$38*'Reeksen (N)'!H108,0)</f>
        <v>0</v>
      </c>
      <c r="AV108" s="71">
        <v>0</v>
      </c>
      <c r="AW108" s="71">
        <f t="shared" ca="1" si="16"/>
        <v>0</v>
      </c>
      <c r="AX108" s="71">
        <f ca="1">IF(E108&lt;'Invoer gegevens (N)'!$C$17+15,0,IF('RW - MW - DE - DE (N)'!E108&gt;'Invoer gegevens (N)'!$C$17+215,0,'RW - MW - DE - DE (N)'!AW108))</f>
        <v>0</v>
      </c>
      <c r="AY108" s="71">
        <f ca="1">AX108/(1+'Invoer gegevens (N)'!$F$13)^($AZ108-('Invoer gegevens (N)'!$C$17-'Invoer gegevens (N)'!$C$16))/(1+'Invoer gegevens (N)'!$C$39)^('Invoer gegevens (N)'!$C$17-'Invoer gegevens (N)'!$C$16)</f>
        <v>0</v>
      </c>
      <c r="AZ108" s="68">
        <f ca="1">IF(E108-'Invoer gegevens (N)'!$C$17-14.5&lt;0,0,E108-'Invoer gegevens (N)'!$C$17-14.5)</f>
        <v>88.5</v>
      </c>
      <c r="BC108" s="71"/>
    </row>
    <row r="109" spans="2:55" s="230" customFormat="1" x14ac:dyDescent="0.25">
      <c r="B109" s="70">
        <f t="shared" si="17"/>
        <v>105</v>
      </c>
      <c r="C109" s="67">
        <f ca="1">IF(E109-'Invoer gegevens (N)'!$C$17&lt;0,0,1)</f>
        <v>1</v>
      </c>
      <c r="D109" s="68">
        <f t="shared" si="18"/>
        <v>104.5</v>
      </c>
      <c r="E109" s="69">
        <f ca="1">IF('Invoer gegevens (N)'!$C$16="","",E108+1)</f>
        <v>2123</v>
      </c>
      <c r="F109" s="82">
        <f ca="1">IF('Invoer gegevens (N)'!$C$17=E109,'Invoer gegevens (N)'!$C$10,IF(C109=1,H108,0))</f>
        <v>0</v>
      </c>
      <c r="G109" s="83">
        <f ca="1">IF(C109&gt;=1,F109*'Reeksen (N)'!C109,0)</f>
        <v>0</v>
      </c>
      <c r="H109" s="84">
        <f t="shared" ca="1" si="11"/>
        <v>0</v>
      </c>
      <c r="I109" s="85">
        <f ca="1">IF('Invoer gegevens (N)'!$C$17=E109,'Invoer gegevens (N)'!$C$11,IF(C109=1,L108,0))</f>
        <v>0</v>
      </c>
      <c r="J109" s="86">
        <f ca="1">IF(C109&lt;1,0,IF('Reeksen (N)'!AD109&lt;='Reeksen (N)'!AE109,I109*'Reeksen (N)'!C109,0))</f>
        <v>0</v>
      </c>
      <c r="K109" s="86">
        <f ca="1">IF(C109&lt;1,0,IF('Reeksen (N)'!AD109&gt;'Reeksen (N)'!AE109,I109*'Reeksen (N)'!C109,0))</f>
        <v>0</v>
      </c>
      <c r="L109" s="86">
        <f t="shared" ca="1" si="12"/>
        <v>0</v>
      </c>
      <c r="M109" s="85">
        <f ca="1">IF('Invoer gegevens (N)'!$C$17=E109,'Invoer gegevens (N)'!$C$10-'Invoer gegevens (N)'!$C$11,IF(C109=1,P108,0))</f>
        <v>0</v>
      </c>
      <c r="N109" s="86">
        <f ca="1">IF(C109&lt;1,0,IF('Reeksen (N)'!AD109&lt;='Reeksen (N)'!AE109,M109*'Reeksen (N)'!C109,0))</f>
        <v>0</v>
      </c>
      <c r="O109" s="86">
        <f ca="1">IF(C109&lt;1,0,IF('Reeksen (N)'!AD109&gt;'Reeksen (N)'!AE109,M109*'Reeksen (N)'!C109,0))</f>
        <v>0</v>
      </c>
      <c r="P109" s="86">
        <f t="shared" ca="1" si="13"/>
        <v>0</v>
      </c>
      <c r="Q109" s="82">
        <f ca="1">IF('Invoer gegevens (N)'!$C$17=E109,I109,IF(C109=0,0,R108))</f>
        <v>0</v>
      </c>
      <c r="R109" s="84">
        <f t="shared" ca="1" si="10"/>
        <v>0</v>
      </c>
      <c r="S109" s="84">
        <f ca="1">IF('Invoer gegevens (N)'!$C$17=E109,M109,IF(C109=0,0,T108))</f>
        <v>0</v>
      </c>
      <c r="T109" s="84">
        <f t="shared" ca="1" si="19"/>
        <v>0</v>
      </c>
      <c r="AI109" s="71">
        <f ca="1">IF(C109=1,((F109+H109)/2*'Reeksen (N)'!AI109*12)+(('Invoer gegevens (N)'!$C$10-(F109+H109)/2)*'Reeksen (N)'!AD109*12),0)</f>
        <v>0</v>
      </c>
      <c r="AJ109" s="71">
        <f ca="1">-AI109*'Invoer gegevens (N)'!$F$28</f>
        <v>0</v>
      </c>
      <c r="AK109" s="71">
        <f t="shared" ca="1" si="14"/>
        <v>0</v>
      </c>
      <c r="AL109" s="71">
        <f ca="1">IF(C109=1,(12*((F109+H109)/2)*'Reeksen (N)'!AL109)+(12*('Invoer gegevens (N)'!$C$10-(F109+H109)/2)*'Reeksen (N)'!AM109),0)</f>
        <v>0</v>
      </c>
      <c r="AM109" s="71">
        <f ca="1">-AL109*'Invoer gegevens (N)'!$F$31</f>
        <v>0</v>
      </c>
      <c r="AN109" s="71">
        <f t="shared" ca="1" si="15"/>
        <v>0</v>
      </c>
      <c r="AO109" s="71"/>
      <c r="AP109" s="71"/>
      <c r="AQ109" s="71">
        <f ca="1">-IF(C109=1,('Invoer gegevens (N)'!$C$10*'Invoer gegevens (N)'!$F$35)*'Reeksen (N)'!J109,0)*2</f>
        <v>0</v>
      </c>
      <c r="AR109" s="71">
        <f ca="1">-IF(C109=1,(G109*'Invoer gegevens (N)'!$F$36)*'Reeksen (N)'!J109,0)</f>
        <v>0</v>
      </c>
      <c r="AS109" s="71">
        <f ca="1">-IF(C109=1,'Invoer gegevens (N)'!$C$10*'Invoer gegevens (N)'!$F$37*'Reeksen (N)'!L109,0)</f>
        <v>0</v>
      </c>
      <c r="AT109" s="71">
        <f ca="1">-IF(C109=1,IF(E109='Invoer gegevens (N)'!$C$17,'Invoer gegevens (N)'!$C$11,Q109)*'Reeksen (N)'!S109*'Invoer gegevens (N)'!$C$18*'Reeksen (N)'!P109,0)</f>
        <v>0</v>
      </c>
      <c r="AU109" s="71">
        <f ca="1">-IF(C109=1,'Invoer gegevens (N)'!$C$10*'Invoer gegevens (N)'!$F$38*'Reeksen (N)'!H109,0)</f>
        <v>0</v>
      </c>
      <c r="AV109" s="71">
        <v>0</v>
      </c>
      <c r="AW109" s="71">
        <f t="shared" ca="1" si="16"/>
        <v>0</v>
      </c>
      <c r="AX109" s="71">
        <f ca="1">IF(E109&lt;'Invoer gegevens (N)'!$C$17+15,0,IF('RW - MW - DE - DE (N)'!E109&gt;'Invoer gegevens (N)'!$C$17+215,0,'RW - MW - DE - DE (N)'!AW109))</f>
        <v>0</v>
      </c>
      <c r="AY109" s="71">
        <f ca="1">AX109/(1+'Invoer gegevens (N)'!$F$13)^($AZ109-('Invoer gegevens (N)'!$C$17-'Invoer gegevens (N)'!$C$16))/(1+'Invoer gegevens (N)'!$C$39)^('Invoer gegevens (N)'!$C$17-'Invoer gegevens (N)'!$C$16)</f>
        <v>0</v>
      </c>
      <c r="AZ109" s="68">
        <f ca="1">IF(E109-'Invoer gegevens (N)'!$C$17-14.5&lt;0,0,E109-'Invoer gegevens (N)'!$C$17-14.5)</f>
        <v>89.5</v>
      </c>
      <c r="BC109" s="71"/>
    </row>
    <row r="110" spans="2:55" s="230" customFormat="1" x14ac:dyDescent="0.25">
      <c r="B110" s="70">
        <f t="shared" si="17"/>
        <v>106</v>
      </c>
      <c r="C110" s="67">
        <f ca="1">IF(E110-'Invoer gegevens (N)'!$C$17&lt;0,0,1)</f>
        <v>1</v>
      </c>
      <c r="D110" s="68">
        <f t="shared" si="18"/>
        <v>105.5</v>
      </c>
      <c r="E110" s="69">
        <f ca="1">IF('Invoer gegevens (N)'!$C$16="","",E109+1)</f>
        <v>2124</v>
      </c>
      <c r="F110" s="82">
        <f ca="1">IF('Invoer gegevens (N)'!$C$17=E110,'Invoer gegevens (N)'!$C$10,IF(C110=1,H109,0))</f>
        <v>0</v>
      </c>
      <c r="G110" s="83">
        <f ca="1">IF(C110&gt;=1,F110*'Reeksen (N)'!C110,0)</f>
        <v>0</v>
      </c>
      <c r="H110" s="84">
        <f t="shared" ca="1" si="11"/>
        <v>0</v>
      </c>
      <c r="I110" s="85">
        <f ca="1">IF('Invoer gegevens (N)'!$C$17=E110,'Invoer gegevens (N)'!$C$11,IF(C110=1,L109,0))</f>
        <v>0</v>
      </c>
      <c r="J110" s="86">
        <f ca="1">IF(C110&lt;1,0,IF('Reeksen (N)'!AD110&lt;='Reeksen (N)'!AE110,I110*'Reeksen (N)'!C110,0))</f>
        <v>0</v>
      </c>
      <c r="K110" s="86">
        <f ca="1">IF(C110&lt;1,0,IF('Reeksen (N)'!AD110&gt;'Reeksen (N)'!AE110,I110*'Reeksen (N)'!C110,0))</f>
        <v>0</v>
      </c>
      <c r="L110" s="86">
        <f t="shared" ca="1" si="12"/>
        <v>0</v>
      </c>
      <c r="M110" s="85">
        <f ca="1">IF('Invoer gegevens (N)'!$C$17=E110,'Invoer gegevens (N)'!$C$10-'Invoer gegevens (N)'!$C$11,IF(C110=1,P109,0))</f>
        <v>0</v>
      </c>
      <c r="N110" s="86">
        <f ca="1">IF(C110&lt;1,0,IF('Reeksen (N)'!AD110&lt;='Reeksen (N)'!AE110,M110*'Reeksen (N)'!C110,0))</f>
        <v>0</v>
      </c>
      <c r="O110" s="86">
        <f ca="1">IF(C110&lt;1,0,IF('Reeksen (N)'!AD110&gt;'Reeksen (N)'!AE110,M110*'Reeksen (N)'!C110,0))</f>
        <v>0</v>
      </c>
      <c r="P110" s="86">
        <f t="shared" ca="1" si="13"/>
        <v>0</v>
      </c>
      <c r="Q110" s="82">
        <f ca="1">IF('Invoer gegevens (N)'!$C$17=E110,I110,IF(C110=0,0,R109))</f>
        <v>0</v>
      </c>
      <c r="R110" s="84">
        <f t="shared" ca="1" si="10"/>
        <v>0</v>
      </c>
      <c r="S110" s="84">
        <f ca="1">IF('Invoer gegevens (N)'!$C$17=E110,M110,IF(C110=0,0,T109))</f>
        <v>0</v>
      </c>
      <c r="T110" s="84">
        <f t="shared" ca="1" si="19"/>
        <v>0</v>
      </c>
      <c r="AI110" s="71">
        <f ca="1">IF(C110=1,((F110+H110)/2*'Reeksen (N)'!AI110*12)+(('Invoer gegevens (N)'!$C$10-(F110+H110)/2)*'Reeksen (N)'!AD110*12),0)</f>
        <v>0</v>
      </c>
      <c r="AJ110" s="71">
        <f ca="1">-AI110*'Invoer gegevens (N)'!$F$28</f>
        <v>0</v>
      </c>
      <c r="AK110" s="71">
        <f t="shared" ca="1" si="14"/>
        <v>0</v>
      </c>
      <c r="AL110" s="71">
        <f ca="1">IF(C110=1,(12*((F110+H110)/2)*'Reeksen (N)'!AL110)+(12*('Invoer gegevens (N)'!$C$10-(F110+H110)/2)*'Reeksen (N)'!AM110),0)</f>
        <v>0</v>
      </c>
      <c r="AM110" s="71">
        <f ca="1">-AL110*'Invoer gegevens (N)'!$F$31</f>
        <v>0</v>
      </c>
      <c r="AN110" s="71">
        <f t="shared" ca="1" si="15"/>
        <v>0</v>
      </c>
      <c r="AO110" s="71"/>
      <c r="AP110" s="71"/>
      <c r="AQ110" s="71">
        <f ca="1">-IF(C110=1,('Invoer gegevens (N)'!$C$10*'Invoer gegevens (N)'!$F$35)*'Reeksen (N)'!J110,0)*2</f>
        <v>0</v>
      </c>
      <c r="AR110" s="71">
        <f ca="1">-IF(C110=1,(G110*'Invoer gegevens (N)'!$F$36)*'Reeksen (N)'!J110,0)</f>
        <v>0</v>
      </c>
      <c r="AS110" s="71">
        <f ca="1">-IF(C110=1,'Invoer gegevens (N)'!$C$10*'Invoer gegevens (N)'!$F$37*'Reeksen (N)'!L110,0)</f>
        <v>0</v>
      </c>
      <c r="AT110" s="71">
        <f ca="1">-IF(C110=1,IF(E110='Invoer gegevens (N)'!$C$17,'Invoer gegevens (N)'!$C$11,Q110)*'Reeksen (N)'!S110*'Invoer gegevens (N)'!$C$18*'Reeksen (N)'!P110,0)</f>
        <v>0</v>
      </c>
      <c r="AU110" s="71">
        <f ca="1">-IF(C110=1,'Invoer gegevens (N)'!$C$10*'Invoer gegevens (N)'!$F$38*'Reeksen (N)'!H110,0)</f>
        <v>0</v>
      </c>
      <c r="AV110" s="71">
        <v>0</v>
      </c>
      <c r="AW110" s="71">
        <f t="shared" ca="1" si="16"/>
        <v>0</v>
      </c>
      <c r="AX110" s="71">
        <f ca="1">IF(E110&lt;'Invoer gegevens (N)'!$C$17+15,0,IF('RW - MW - DE - DE (N)'!E110&gt;'Invoer gegevens (N)'!$C$17+215,0,'RW - MW - DE - DE (N)'!AW110))</f>
        <v>0</v>
      </c>
      <c r="AY110" s="71">
        <f ca="1">AX110/(1+'Invoer gegevens (N)'!$F$13)^($AZ110-('Invoer gegevens (N)'!$C$17-'Invoer gegevens (N)'!$C$16))/(1+'Invoer gegevens (N)'!$C$39)^('Invoer gegevens (N)'!$C$17-'Invoer gegevens (N)'!$C$16)</f>
        <v>0</v>
      </c>
      <c r="AZ110" s="68">
        <f ca="1">IF(E110-'Invoer gegevens (N)'!$C$17-14.5&lt;0,0,E110-'Invoer gegevens (N)'!$C$17-14.5)</f>
        <v>90.5</v>
      </c>
      <c r="BC110" s="71"/>
    </row>
    <row r="111" spans="2:55" s="230" customFormat="1" x14ac:dyDescent="0.25">
      <c r="B111" s="70">
        <f t="shared" si="17"/>
        <v>107</v>
      </c>
      <c r="C111" s="67">
        <f ca="1">IF(E111-'Invoer gegevens (N)'!$C$17&lt;0,0,1)</f>
        <v>1</v>
      </c>
      <c r="D111" s="68">
        <f t="shared" si="18"/>
        <v>106.5</v>
      </c>
      <c r="E111" s="69">
        <f ca="1">IF('Invoer gegevens (N)'!$C$16="","",E110+1)</f>
        <v>2125</v>
      </c>
      <c r="F111" s="82">
        <f ca="1">IF('Invoer gegevens (N)'!$C$17=E111,'Invoer gegevens (N)'!$C$10,IF(C111=1,H110,0))</f>
        <v>0</v>
      </c>
      <c r="G111" s="83">
        <f ca="1">IF(C111&gt;=1,F111*'Reeksen (N)'!C111,0)</f>
        <v>0</v>
      </c>
      <c r="H111" s="84">
        <f t="shared" ca="1" si="11"/>
        <v>0</v>
      </c>
      <c r="I111" s="85">
        <f ca="1">IF('Invoer gegevens (N)'!$C$17=E111,'Invoer gegevens (N)'!$C$11,IF(C111=1,L110,0))</f>
        <v>0</v>
      </c>
      <c r="J111" s="86">
        <f ca="1">IF(C111&lt;1,0,IF('Reeksen (N)'!AD111&lt;='Reeksen (N)'!AE111,I111*'Reeksen (N)'!C111,0))</f>
        <v>0</v>
      </c>
      <c r="K111" s="86">
        <f ca="1">IF(C111&lt;1,0,IF('Reeksen (N)'!AD111&gt;'Reeksen (N)'!AE111,I111*'Reeksen (N)'!C111,0))</f>
        <v>0</v>
      </c>
      <c r="L111" s="86">
        <f t="shared" ca="1" si="12"/>
        <v>0</v>
      </c>
      <c r="M111" s="85">
        <f ca="1">IF('Invoer gegevens (N)'!$C$17=E111,'Invoer gegevens (N)'!$C$10-'Invoer gegevens (N)'!$C$11,IF(C111=1,P110,0))</f>
        <v>0</v>
      </c>
      <c r="N111" s="86">
        <f ca="1">IF(C111&lt;1,0,IF('Reeksen (N)'!AD111&lt;='Reeksen (N)'!AE111,M111*'Reeksen (N)'!C111,0))</f>
        <v>0</v>
      </c>
      <c r="O111" s="86">
        <f ca="1">IF(C111&lt;1,0,IF('Reeksen (N)'!AD111&gt;'Reeksen (N)'!AE111,M111*'Reeksen (N)'!C111,0))</f>
        <v>0</v>
      </c>
      <c r="P111" s="86">
        <f t="shared" ca="1" si="13"/>
        <v>0</v>
      </c>
      <c r="Q111" s="82">
        <f ca="1">IF('Invoer gegevens (N)'!$C$17=E111,I111,IF(C111=0,0,R110))</f>
        <v>0</v>
      </c>
      <c r="R111" s="84">
        <f t="shared" ca="1" si="10"/>
        <v>0</v>
      </c>
      <c r="S111" s="84">
        <f ca="1">IF('Invoer gegevens (N)'!$C$17=E111,M111,IF(C111=0,0,T110))</f>
        <v>0</v>
      </c>
      <c r="T111" s="84">
        <f t="shared" ca="1" si="19"/>
        <v>0</v>
      </c>
      <c r="AI111" s="71">
        <f ca="1">IF(C111=1,((F111+H111)/2*'Reeksen (N)'!AI111*12)+(('Invoer gegevens (N)'!$C$10-(F111+H111)/2)*'Reeksen (N)'!AD111*12),0)</f>
        <v>0</v>
      </c>
      <c r="AJ111" s="71">
        <f ca="1">-AI111*'Invoer gegevens (N)'!$F$28</f>
        <v>0</v>
      </c>
      <c r="AK111" s="71">
        <f t="shared" ca="1" si="14"/>
        <v>0</v>
      </c>
      <c r="AL111" s="71">
        <f ca="1">IF(C111=1,(12*((F111+H111)/2)*'Reeksen (N)'!AL111)+(12*('Invoer gegevens (N)'!$C$10-(F111+H111)/2)*'Reeksen (N)'!AM111),0)</f>
        <v>0</v>
      </c>
      <c r="AM111" s="71">
        <f ca="1">-AL111*'Invoer gegevens (N)'!$F$31</f>
        <v>0</v>
      </c>
      <c r="AN111" s="71">
        <f t="shared" ca="1" si="15"/>
        <v>0</v>
      </c>
      <c r="AO111" s="71"/>
      <c r="AP111" s="71"/>
      <c r="AQ111" s="71">
        <f ca="1">-IF(C111=1,('Invoer gegevens (N)'!$C$10*'Invoer gegevens (N)'!$F$35)*'Reeksen (N)'!J111,0)*2</f>
        <v>0</v>
      </c>
      <c r="AR111" s="71">
        <f ca="1">-IF(C111=1,(G111*'Invoer gegevens (N)'!$F$36)*'Reeksen (N)'!J111,0)</f>
        <v>0</v>
      </c>
      <c r="AS111" s="71">
        <f ca="1">-IF(C111=1,'Invoer gegevens (N)'!$C$10*'Invoer gegevens (N)'!$F$37*'Reeksen (N)'!L111,0)</f>
        <v>0</v>
      </c>
      <c r="AT111" s="71">
        <f ca="1">-IF(C111=1,IF(E111='Invoer gegevens (N)'!$C$17,'Invoer gegevens (N)'!$C$11,Q111)*'Reeksen (N)'!S111*'Invoer gegevens (N)'!$C$18*'Reeksen (N)'!P111,0)</f>
        <v>0</v>
      </c>
      <c r="AU111" s="71">
        <f ca="1">-IF(C111=1,'Invoer gegevens (N)'!$C$10*'Invoer gegevens (N)'!$F$38*'Reeksen (N)'!H111,0)</f>
        <v>0</v>
      </c>
      <c r="AV111" s="71">
        <v>0</v>
      </c>
      <c r="AW111" s="71">
        <f t="shared" ca="1" si="16"/>
        <v>0</v>
      </c>
      <c r="AX111" s="71">
        <f ca="1">IF(E111&lt;'Invoer gegevens (N)'!$C$17+15,0,IF('RW - MW - DE - DE (N)'!E111&gt;'Invoer gegevens (N)'!$C$17+215,0,'RW - MW - DE - DE (N)'!AW111))</f>
        <v>0</v>
      </c>
      <c r="AY111" s="71">
        <f ca="1">AX111/(1+'Invoer gegevens (N)'!$F$13)^($AZ111-('Invoer gegevens (N)'!$C$17-'Invoer gegevens (N)'!$C$16))/(1+'Invoer gegevens (N)'!$C$39)^('Invoer gegevens (N)'!$C$17-'Invoer gegevens (N)'!$C$16)</f>
        <v>0</v>
      </c>
      <c r="AZ111" s="68">
        <f ca="1">IF(E111-'Invoer gegevens (N)'!$C$17-14.5&lt;0,0,E111-'Invoer gegevens (N)'!$C$17-14.5)</f>
        <v>91.5</v>
      </c>
      <c r="BC111" s="71"/>
    </row>
    <row r="112" spans="2:55" s="230" customFormat="1" x14ac:dyDescent="0.25">
      <c r="B112" s="70">
        <f t="shared" si="17"/>
        <v>108</v>
      </c>
      <c r="C112" s="67">
        <f ca="1">IF(E112-'Invoer gegevens (N)'!$C$17&lt;0,0,1)</f>
        <v>1</v>
      </c>
      <c r="D112" s="68">
        <f t="shared" si="18"/>
        <v>107.5</v>
      </c>
      <c r="E112" s="69">
        <f ca="1">IF('Invoer gegevens (N)'!$C$16="","",E111+1)</f>
        <v>2126</v>
      </c>
      <c r="F112" s="82">
        <f ca="1">IF('Invoer gegevens (N)'!$C$17=E112,'Invoer gegevens (N)'!$C$10,IF(C112=1,H111,0))</f>
        <v>0</v>
      </c>
      <c r="G112" s="83">
        <f ca="1">IF(C112&gt;=1,F112*'Reeksen (N)'!C112,0)</f>
        <v>0</v>
      </c>
      <c r="H112" s="84">
        <f t="shared" ca="1" si="11"/>
        <v>0</v>
      </c>
      <c r="I112" s="85">
        <f ca="1">IF('Invoer gegevens (N)'!$C$17=E112,'Invoer gegevens (N)'!$C$11,IF(C112=1,L111,0))</f>
        <v>0</v>
      </c>
      <c r="J112" s="86">
        <f ca="1">IF(C112&lt;1,0,IF('Reeksen (N)'!AD112&lt;='Reeksen (N)'!AE112,I112*'Reeksen (N)'!C112,0))</f>
        <v>0</v>
      </c>
      <c r="K112" s="86">
        <f ca="1">IF(C112&lt;1,0,IF('Reeksen (N)'!AD112&gt;'Reeksen (N)'!AE112,I112*'Reeksen (N)'!C112,0))</f>
        <v>0</v>
      </c>
      <c r="L112" s="86">
        <f t="shared" ca="1" si="12"/>
        <v>0</v>
      </c>
      <c r="M112" s="85">
        <f ca="1">IF('Invoer gegevens (N)'!$C$17=E112,'Invoer gegevens (N)'!$C$10-'Invoer gegevens (N)'!$C$11,IF(C112=1,P111,0))</f>
        <v>0</v>
      </c>
      <c r="N112" s="86">
        <f ca="1">IF(C112&lt;1,0,IF('Reeksen (N)'!AD112&lt;='Reeksen (N)'!AE112,M112*'Reeksen (N)'!C112,0))</f>
        <v>0</v>
      </c>
      <c r="O112" s="86">
        <f ca="1">IF(C112&lt;1,0,IF('Reeksen (N)'!AD112&gt;'Reeksen (N)'!AE112,M112*'Reeksen (N)'!C112,0))</f>
        <v>0</v>
      </c>
      <c r="P112" s="86">
        <f t="shared" ca="1" si="13"/>
        <v>0</v>
      </c>
      <c r="Q112" s="82">
        <f ca="1">IF('Invoer gegevens (N)'!$C$17=E112,I112,IF(C112=0,0,R111))</f>
        <v>0</v>
      </c>
      <c r="R112" s="84">
        <f t="shared" ca="1" si="10"/>
        <v>0</v>
      </c>
      <c r="S112" s="84">
        <f ca="1">IF('Invoer gegevens (N)'!$C$17=E112,M112,IF(C112=0,0,T111))</f>
        <v>0</v>
      </c>
      <c r="T112" s="84">
        <f t="shared" ca="1" si="19"/>
        <v>0</v>
      </c>
      <c r="AI112" s="71">
        <f ca="1">IF(C112=1,((F112+H112)/2*'Reeksen (N)'!AI112*12)+(('Invoer gegevens (N)'!$C$10-(F112+H112)/2)*'Reeksen (N)'!AD112*12),0)</f>
        <v>0</v>
      </c>
      <c r="AJ112" s="71">
        <f ca="1">-AI112*'Invoer gegevens (N)'!$F$28</f>
        <v>0</v>
      </c>
      <c r="AK112" s="71">
        <f t="shared" ca="1" si="14"/>
        <v>0</v>
      </c>
      <c r="AL112" s="71">
        <f ca="1">IF(C112=1,(12*((F112+H112)/2)*'Reeksen (N)'!AL112)+(12*('Invoer gegevens (N)'!$C$10-(F112+H112)/2)*'Reeksen (N)'!AM112),0)</f>
        <v>0</v>
      </c>
      <c r="AM112" s="71">
        <f ca="1">-AL112*'Invoer gegevens (N)'!$F$31</f>
        <v>0</v>
      </c>
      <c r="AN112" s="71">
        <f t="shared" ca="1" si="15"/>
        <v>0</v>
      </c>
      <c r="AO112" s="71"/>
      <c r="AP112" s="71"/>
      <c r="AQ112" s="71">
        <f ca="1">-IF(C112=1,('Invoer gegevens (N)'!$C$10*'Invoer gegevens (N)'!$F$35)*'Reeksen (N)'!J112,0)*2</f>
        <v>0</v>
      </c>
      <c r="AR112" s="71">
        <f ca="1">-IF(C112=1,(G112*'Invoer gegevens (N)'!$F$36)*'Reeksen (N)'!J112,0)</f>
        <v>0</v>
      </c>
      <c r="AS112" s="71">
        <f ca="1">-IF(C112=1,'Invoer gegevens (N)'!$C$10*'Invoer gegevens (N)'!$F$37*'Reeksen (N)'!L112,0)</f>
        <v>0</v>
      </c>
      <c r="AT112" s="71">
        <f ca="1">-IF(C112=1,IF(E112='Invoer gegevens (N)'!$C$17,'Invoer gegevens (N)'!$C$11,Q112)*'Reeksen (N)'!S112*'Invoer gegevens (N)'!$C$18*'Reeksen (N)'!P112,0)</f>
        <v>0</v>
      </c>
      <c r="AU112" s="71">
        <f ca="1">-IF(C112=1,'Invoer gegevens (N)'!$C$10*'Invoer gegevens (N)'!$F$38*'Reeksen (N)'!H112,0)</f>
        <v>0</v>
      </c>
      <c r="AV112" s="71">
        <v>0</v>
      </c>
      <c r="AW112" s="71">
        <f t="shared" ca="1" si="16"/>
        <v>0</v>
      </c>
      <c r="AX112" s="71">
        <f ca="1">IF(E112&lt;'Invoer gegevens (N)'!$C$17+15,0,IF('RW - MW - DE - DE (N)'!E112&gt;'Invoer gegevens (N)'!$C$17+215,0,'RW - MW - DE - DE (N)'!AW112))</f>
        <v>0</v>
      </c>
      <c r="AY112" s="71">
        <f ca="1">AX112/(1+'Invoer gegevens (N)'!$F$13)^($AZ112-('Invoer gegevens (N)'!$C$17-'Invoer gegevens (N)'!$C$16))/(1+'Invoer gegevens (N)'!$C$39)^('Invoer gegevens (N)'!$C$17-'Invoer gegevens (N)'!$C$16)</f>
        <v>0</v>
      </c>
      <c r="AZ112" s="68">
        <f ca="1">IF(E112-'Invoer gegevens (N)'!$C$17-14.5&lt;0,0,E112-'Invoer gegevens (N)'!$C$17-14.5)</f>
        <v>92.5</v>
      </c>
      <c r="BC112" s="71"/>
    </row>
    <row r="113" spans="2:55" s="230" customFormat="1" x14ac:dyDescent="0.25">
      <c r="B113" s="70">
        <f t="shared" si="17"/>
        <v>109</v>
      </c>
      <c r="C113" s="67">
        <f ca="1">IF(E113-'Invoer gegevens (N)'!$C$17&lt;0,0,1)</f>
        <v>1</v>
      </c>
      <c r="D113" s="68">
        <f t="shared" si="18"/>
        <v>108.5</v>
      </c>
      <c r="E113" s="69">
        <f ca="1">IF('Invoer gegevens (N)'!$C$16="","",E112+1)</f>
        <v>2127</v>
      </c>
      <c r="F113" s="82">
        <f ca="1">IF('Invoer gegevens (N)'!$C$17=E113,'Invoer gegevens (N)'!$C$10,IF(C113=1,H112,0))</f>
        <v>0</v>
      </c>
      <c r="G113" s="83">
        <f ca="1">IF(C113&gt;=1,F113*'Reeksen (N)'!C113,0)</f>
        <v>0</v>
      </c>
      <c r="H113" s="84">
        <f t="shared" ca="1" si="11"/>
        <v>0</v>
      </c>
      <c r="I113" s="85">
        <f ca="1">IF('Invoer gegevens (N)'!$C$17=E113,'Invoer gegevens (N)'!$C$11,IF(C113=1,L112,0))</f>
        <v>0</v>
      </c>
      <c r="J113" s="86">
        <f ca="1">IF(C113&lt;1,0,IF('Reeksen (N)'!AD113&lt;='Reeksen (N)'!AE113,I113*'Reeksen (N)'!C113,0))</f>
        <v>0</v>
      </c>
      <c r="K113" s="86">
        <f ca="1">IF(C113&lt;1,0,IF('Reeksen (N)'!AD113&gt;'Reeksen (N)'!AE113,I113*'Reeksen (N)'!C113,0))</f>
        <v>0</v>
      </c>
      <c r="L113" s="86">
        <f t="shared" ca="1" si="12"/>
        <v>0</v>
      </c>
      <c r="M113" s="85">
        <f ca="1">IF('Invoer gegevens (N)'!$C$17=E113,'Invoer gegevens (N)'!$C$10-'Invoer gegevens (N)'!$C$11,IF(C113=1,P112,0))</f>
        <v>0</v>
      </c>
      <c r="N113" s="86">
        <f ca="1">IF(C113&lt;1,0,IF('Reeksen (N)'!AD113&lt;='Reeksen (N)'!AE113,M113*'Reeksen (N)'!C113,0))</f>
        <v>0</v>
      </c>
      <c r="O113" s="86">
        <f ca="1">IF(C113&lt;1,0,IF('Reeksen (N)'!AD113&gt;'Reeksen (N)'!AE113,M113*'Reeksen (N)'!C113,0))</f>
        <v>0</v>
      </c>
      <c r="P113" s="86">
        <f t="shared" ca="1" si="13"/>
        <v>0</v>
      </c>
      <c r="Q113" s="82">
        <f ca="1">IF('Invoer gegevens (N)'!$C$17=E113,I113,IF(C113=0,0,R112))</f>
        <v>0</v>
      </c>
      <c r="R113" s="84">
        <f t="shared" ca="1" si="10"/>
        <v>0</v>
      </c>
      <c r="S113" s="84">
        <f ca="1">IF('Invoer gegevens (N)'!$C$17=E113,M113,IF(C113=0,0,T112))</f>
        <v>0</v>
      </c>
      <c r="T113" s="84">
        <f t="shared" ca="1" si="19"/>
        <v>0</v>
      </c>
      <c r="AI113" s="71">
        <f ca="1">IF(C113=1,((F113+H113)/2*'Reeksen (N)'!AI113*12)+(('Invoer gegevens (N)'!$C$10-(F113+H113)/2)*'Reeksen (N)'!AD113*12),0)</f>
        <v>0</v>
      </c>
      <c r="AJ113" s="71">
        <f ca="1">-AI113*'Invoer gegevens (N)'!$F$28</f>
        <v>0</v>
      </c>
      <c r="AK113" s="71">
        <f t="shared" ca="1" si="14"/>
        <v>0</v>
      </c>
      <c r="AL113" s="71">
        <f ca="1">IF(C113=1,(12*((F113+H113)/2)*'Reeksen (N)'!AL113)+(12*('Invoer gegevens (N)'!$C$10-(F113+H113)/2)*'Reeksen (N)'!AM113),0)</f>
        <v>0</v>
      </c>
      <c r="AM113" s="71">
        <f ca="1">-AL113*'Invoer gegevens (N)'!$F$31</f>
        <v>0</v>
      </c>
      <c r="AN113" s="71">
        <f t="shared" ca="1" si="15"/>
        <v>0</v>
      </c>
      <c r="AO113" s="71"/>
      <c r="AP113" s="71"/>
      <c r="AQ113" s="71">
        <f ca="1">-IF(C113=1,('Invoer gegevens (N)'!$C$10*'Invoer gegevens (N)'!$F$35)*'Reeksen (N)'!J113,0)*2</f>
        <v>0</v>
      </c>
      <c r="AR113" s="71">
        <f ca="1">-IF(C113=1,(G113*'Invoer gegevens (N)'!$F$36)*'Reeksen (N)'!J113,0)</f>
        <v>0</v>
      </c>
      <c r="AS113" s="71">
        <f ca="1">-IF(C113=1,'Invoer gegevens (N)'!$C$10*'Invoer gegevens (N)'!$F$37*'Reeksen (N)'!L113,0)</f>
        <v>0</v>
      </c>
      <c r="AT113" s="71">
        <f ca="1">-IF(C113=1,IF(E113='Invoer gegevens (N)'!$C$17,'Invoer gegevens (N)'!$C$11,Q113)*'Reeksen (N)'!S113*'Invoer gegevens (N)'!$C$18*'Reeksen (N)'!P113,0)</f>
        <v>0</v>
      </c>
      <c r="AU113" s="71">
        <f ca="1">-IF(C113=1,'Invoer gegevens (N)'!$C$10*'Invoer gegevens (N)'!$F$38*'Reeksen (N)'!H113,0)</f>
        <v>0</v>
      </c>
      <c r="AV113" s="71">
        <v>0</v>
      </c>
      <c r="AW113" s="71">
        <f t="shared" ca="1" si="16"/>
        <v>0</v>
      </c>
      <c r="AX113" s="71">
        <f ca="1">IF(E113&lt;'Invoer gegevens (N)'!$C$17+15,0,IF('RW - MW - DE - DE (N)'!E113&gt;'Invoer gegevens (N)'!$C$17+215,0,'RW - MW - DE - DE (N)'!AW113))</f>
        <v>0</v>
      </c>
      <c r="AY113" s="71">
        <f ca="1">AX113/(1+'Invoer gegevens (N)'!$F$13)^($AZ113-('Invoer gegevens (N)'!$C$17-'Invoer gegevens (N)'!$C$16))/(1+'Invoer gegevens (N)'!$C$39)^('Invoer gegevens (N)'!$C$17-'Invoer gegevens (N)'!$C$16)</f>
        <v>0</v>
      </c>
      <c r="AZ113" s="68">
        <f ca="1">IF(E113-'Invoer gegevens (N)'!$C$17-14.5&lt;0,0,E113-'Invoer gegevens (N)'!$C$17-14.5)</f>
        <v>93.5</v>
      </c>
      <c r="BC113" s="71"/>
    </row>
    <row r="114" spans="2:55" s="230" customFormat="1" x14ac:dyDescent="0.25">
      <c r="B114" s="70">
        <f t="shared" si="17"/>
        <v>110</v>
      </c>
      <c r="C114" s="67">
        <f ca="1">IF(E114-'Invoer gegevens (N)'!$C$17&lt;0,0,1)</f>
        <v>1</v>
      </c>
      <c r="D114" s="68">
        <f t="shared" si="18"/>
        <v>109.5</v>
      </c>
      <c r="E114" s="69">
        <f ca="1">IF('Invoer gegevens (N)'!$C$16="","",E113+1)</f>
        <v>2128</v>
      </c>
      <c r="F114" s="82">
        <f ca="1">IF('Invoer gegevens (N)'!$C$17=E114,'Invoer gegevens (N)'!$C$10,IF(C114=1,H113,0))</f>
        <v>0</v>
      </c>
      <c r="G114" s="83">
        <f ca="1">IF(C114&gt;=1,F114*'Reeksen (N)'!C114,0)</f>
        <v>0</v>
      </c>
      <c r="H114" s="84">
        <f t="shared" ca="1" si="11"/>
        <v>0</v>
      </c>
      <c r="I114" s="85">
        <f ca="1">IF('Invoer gegevens (N)'!$C$17=E114,'Invoer gegevens (N)'!$C$11,IF(C114=1,L113,0))</f>
        <v>0</v>
      </c>
      <c r="J114" s="86">
        <f ca="1">IF(C114&lt;1,0,IF('Reeksen (N)'!AD114&lt;='Reeksen (N)'!AE114,I114*'Reeksen (N)'!C114,0))</f>
        <v>0</v>
      </c>
      <c r="K114" s="86">
        <f ca="1">IF(C114&lt;1,0,IF('Reeksen (N)'!AD114&gt;'Reeksen (N)'!AE114,I114*'Reeksen (N)'!C114,0))</f>
        <v>0</v>
      </c>
      <c r="L114" s="86">
        <f t="shared" ca="1" si="12"/>
        <v>0</v>
      </c>
      <c r="M114" s="85">
        <f ca="1">IF('Invoer gegevens (N)'!$C$17=E114,'Invoer gegevens (N)'!$C$10-'Invoer gegevens (N)'!$C$11,IF(C114=1,P113,0))</f>
        <v>0</v>
      </c>
      <c r="N114" s="86">
        <f ca="1">IF(C114&lt;1,0,IF('Reeksen (N)'!AD114&lt;='Reeksen (N)'!AE114,M114*'Reeksen (N)'!C114,0))</f>
        <v>0</v>
      </c>
      <c r="O114" s="86">
        <f ca="1">IF(C114&lt;1,0,IF('Reeksen (N)'!AD114&gt;'Reeksen (N)'!AE114,M114*'Reeksen (N)'!C114,0))</f>
        <v>0</v>
      </c>
      <c r="P114" s="86">
        <f t="shared" ca="1" si="13"/>
        <v>0</v>
      </c>
      <c r="Q114" s="82">
        <f ca="1">IF('Invoer gegevens (N)'!$C$17=E114,I114,IF(C114=0,0,R113))</f>
        <v>0</v>
      </c>
      <c r="R114" s="84">
        <f t="shared" ca="1" si="10"/>
        <v>0</v>
      </c>
      <c r="S114" s="84">
        <f ca="1">IF('Invoer gegevens (N)'!$C$17=E114,M114,IF(C114=0,0,T113))</f>
        <v>0</v>
      </c>
      <c r="T114" s="84">
        <f t="shared" ca="1" si="19"/>
        <v>0</v>
      </c>
      <c r="AI114" s="71">
        <f ca="1">IF(C114=1,((F114+H114)/2*'Reeksen (N)'!AI114*12)+(('Invoer gegevens (N)'!$C$10-(F114+H114)/2)*'Reeksen (N)'!AD114*12),0)</f>
        <v>0</v>
      </c>
      <c r="AJ114" s="71">
        <f ca="1">-AI114*'Invoer gegevens (N)'!$F$28</f>
        <v>0</v>
      </c>
      <c r="AK114" s="71">
        <f t="shared" ca="1" si="14"/>
        <v>0</v>
      </c>
      <c r="AL114" s="71">
        <f ca="1">IF(C114=1,(12*((F114+H114)/2)*'Reeksen (N)'!AL114)+(12*('Invoer gegevens (N)'!$C$10-(F114+H114)/2)*'Reeksen (N)'!AM114),0)</f>
        <v>0</v>
      </c>
      <c r="AM114" s="71">
        <f ca="1">-AL114*'Invoer gegevens (N)'!$F$31</f>
        <v>0</v>
      </c>
      <c r="AN114" s="71">
        <f t="shared" ca="1" si="15"/>
        <v>0</v>
      </c>
      <c r="AO114" s="71"/>
      <c r="AP114" s="71"/>
      <c r="AQ114" s="71">
        <f ca="1">-IF(C114=1,('Invoer gegevens (N)'!$C$10*'Invoer gegevens (N)'!$F$35)*'Reeksen (N)'!J114,0)*2</f>
        <v>0</v>
      </c>
      <c r="AR114" s="71">
        <f ca="1">-IF(C114=1,(G114*'Invoer gegevens (N)'!$F$36)*'Reeksen (N)'!J114,0)</f>
        <v>0</v>
      </c>
      <c r="AS114" s="71">
        <f ca="1">-IF(C114=1,'Invoer gegevens (N)'!$C$10*'Invoer gegevens (N)'!$F$37*'Reeksen (N)'!L114,0)</f>
        <v>0</v>
      </c>
      <c r="AT114" s="71">
        <f ca="1">-IF(C114=1,IF(E114='Invoer gegevens (N)'!$C$17,'Invoer gegevens (N)'!$C$11,Q114)*'Reeksen (N)'!S114*'Invoer gegevens (N)'!$C$18*'Reeksen (N)'!P114,0)</f>
        <v>0</v>
      </c>
      <c r="AU114" s="71">
        <f ca="1">-IF(C114=1,'Invoer gegevens (N)'!$C$10*'Invoer gegevens (N)'!$F$38*'Reeksen (N)'!H114,0)</f>
        <v>0</v>
      </c>
      <c r="AV114" s="71">
        <v>0</v>
      </c>
      <c r="AW114" s="71">
        <f t="shared" ca="1" si="16"/>
        <v>0</v>
      </c>
      <c r="AX114" s="71">
        <f ca="1">IF(E114&lt;'Invoer gegevens (N)'!$C$17+15,0,IF('RW - MW - DE - DE (N)'!E114&gt;'Invoer gegevens (N)'!$C$17+215,0,'RW - MW - DE - DE (N)'!AW114))</f>
        <v>0</v>
      </c>
      <c r="AY114" s="71">
        <f ca="1">AX114/(1+'Invoer gegevens (N)'!$F$13)^($AZ114-('Invoer gegevens (N)'!$C$17-'Invoer gegevens (N)'!$C$16))/(1+'Invoer gegevens (N)'!$C$39)^('Invoer gegevens (N)'!$C$17-'Invoer gegevens (N)'!$C$16)</f>
        <v>0</v>
      </c>
      <c r="AZ114" s="68">
        <f ca="1">IF(E114-'Invoer gegevens (N)'!$C$17-14.5&lt;0,0,E114-'Invoer gegevens (N)'!$C$17-14.5)</f>
        <v>94.5</v>
      </c>
      <c r="BC114" s="71"/>
    </row>
    <row r="115" spans="2:55" s="230" customFormat="1" x14ac:dyDescent="0.25">
      <c r="B115" s="70">
        <f t="shared" si="17"/>
        <v>111</v>
      </c>
      <c r="C115" s="67">
        <f ca="1">IF(E115-'Invoer gegevens (N)'!$C$17&lt;0,0,1)</f>
        <v>1</v>
      </c>
      <c r="D115" s="68">
        <f t="shared" si="18"/>
        <v>110.5</v>
      </c>
      <c r="E115" s="69">
        <f ca="1">IF('Invoer gegevens (N)'!$C$16="","",E114+1)</f>
        <v>2129</v>
      </c>
      <c r="F115" s="82">
        <f ca="1">IF('Invoer gegevens (N)'!$C$17=E115,'Invoer gegevens (N)'!$C$10,IF(C115=1,H114,0))</f>
        <v>0</v>
      </c>
      <c r="G115" s="83">
        <f ca="1">IF(C115&gt;=1,F115*'Reeksen (N)'!C115,0)</f>
        <v>0</v>
      </c>
      <c r="H115" s="84">
        <f t="shared" ca="1" si="11"/>
        <v>0</v>
      </c>
      <c r="I115" s="85">
        <f ca="1">IF('Invoer gegevens (N)'!$C$17=E115,'Invoer gegevens (N)'!$C$11,IF(C115=1,L114,0))</f>
        <v>0</v>
      </c>
      <c r="J115" s="86">
        <f ca="1">IF(C115&lt;1,0,IF('Reeksen (N)'!AD115&lt;='Reeksen (N)'!AE115,I115*'Reeksen (N)'!C115,0))</f>
        <v>0</v>
      </c>
      <c r="K115" s="86">
        <f ca="1">IF(C115&lt;1,0,IF('Reeksen (N)'!AD115&gt;'Reeksen (N)'!AE115,I115*'Reeksen (N)'!C115,0))</f>
        <v>0</v>
      </c>
      <c r="L115" s="86">
        <f t="shared" ca="1" si="12"/>
        <v>0</v>
      </c>
      <c r="M115" s="85">
        <f ca="1">IF('Invoer gegevens (N)'!$C$17=E115,'Invoer gegevens (N)'!$C$10-'Invoer gegevens (N)'!$C$11,IF(C115=1,P114,0))</f>
        <v>0</v>
      </c>
      <c r="N115" s="86">
        <f ca="1">IF(C115&lt;1,0,IF('Reeksen (N)'!AD115&lt;='Reeksen (N)'!AE115,M115*'Reeksen (N)'!C115,0))</f>
        <v>0</v>
      </c>
      <c r="O115" s="86">
        <f ca="1">IF(C115&lt;1,0,IF('Reeksen (N)'!AD115&gt;'Reeksen (N)'!AE115,M115*'Reeksen (N)'!C115,0))</f>
        <v>0</v>
      </c>
      <c r="P115" s="86">
        <f t="shared" ca="1" si="13"/>
        <v>0</v>
      </c>
      <c r="Q115" s="82">
        <f ca="1">IF('Invoer gegevens (N)'!$C$17=E115,I115,IF(C115=0,0,R114))</f>
        <v>0</v>
      </c>
      <c r="R115" s="84">
        <f t="shared" ca="1" si="10"/>
        <v>0</v>
      </c>
      <c r="S115" s="84">
        <f ca="1">IF('Invoer gegevens (N)'!$C$17=E115,M115,IF(C115=0,0,T114))</f>
        <v>0</v>
      </c>
      <c r="T115" s="84">
        <f t="shared" ca="1" si="19"/>
        <v>0</v>
      </c>
      <c r="AI115" s="71">
        <f ca="1">IF(C115=1,((F115+H115)/2*'Reeksen (N)'!AI115*12)+(('Invoer gegevens (N)'!$C$10-(F115+H115)/2)*'Reeksen (N)'!AD115*12),0)</f>
        <v>0</v>
      </c>
      <c r="AJ115" s="71">
        <f ca="1">-AI115*'Invoer gegevens (N)'!$F$28</f>
        <v>0</v>
      </c>
      <c r="AK115" s="71">
        <f t="shared" ca="1" si="14"/>
        <v>0</v>
      </c>
      <c r="AL115" s="71">
        <f ca="1">IF(C115=1,(12*((F115+H115)/2)*'Reeksen (N)'!AL115)+(12*('Invoer gegevens (N)'!$C$10-(F115+H115)/2)*'Reeksen (N)'!AM115),0)</f>
        <v>0</v>
      </c>
      <c r="AM115" s="71">
        <f ca="1">-AL115*'Invoer gegevens (N)'!$F$31</f>
        <v>0</v>
      </c>
      <c r="AN115" s="71">
        <f t="shared" ca="1" si="15"/>
        <v>0</v>
      </c>
      <c r="AO115" s="71"/>
      <c r="AP115" s="71"/>
      <c r="AQ115" s="71">
        <f ca="1">-IF(C115=1,('Invoer gegevens (N)'!$C$10*'Invoer gegevens (N)'!$F$35)*'Reeksen (N)'!J115,0)*2</f>
        <v>0</v>
      </c>
      <c r="AR115" s="71">
        <f ca="1">-IF(C115=1,(G115*'Invoer gegevens (N)'!$F$36)*'Reeksen (N)'!J115,0)</f>
        <v>0</v>
      </c>
      <c r="AS115" s="71">
        <f ca="1">-IF(C115=1,'Invoer gegevens (N)'!$C$10*'Invoer gegevens (N)'!$F$37*'Reeksen (N)'!L115,0)</f>
        <v>0</v>
      </c>
      <c r="AT115" s="71">
        <f ca="1">-IF(C115=1,IF(E115='Invoer gegevens (N)'!$C$17,'Invoer gegevens (N)'!$C$11,Q115)*'Reeksen (N)'!S115*'Invoer gegevens (N)'!$C$18*'Reeksen (N)'!P115,0)</f>
        <v>0</v>
      </c>
      <c r="AU115" s="71">
        <f ca="1">-IF(C115=1,'Invoer gegevens (N)'!$C$10*'Invoer gegevens (N)'!$F$38*'Reeksen (N)'!H115,0)</f>
        <v>0</v>
      </c>
      <c r="AV115" s="71">
        <v>0</v>
      </c>
      <c r="AW115" s="71">
        <f t="shared" ca="1" si="16"/>
        <v>0</v>
      </c>
      <c r="AX115" s="71">
        <f ca="1">IF(E115&lt;'Invoer gegevens (N)'!$C$17+15,0,IF('RW - MW - DE - DE (N)'!E115&gt;'Invoer gegevens (N)'!$C$17+215,0,'RW - MW - DE - DE (N)'!AW115))</f>
        <v>0</v>
      </c>
      <c r="AY115" s="71">
        <f ca="1">AX115/(1+'Invoer gegevens (N)'!$F$13)^($AZ115-('Invoer gegevens (N)'!$C$17-'Invoer gegevens (N)'!$C$16))/(1+'Invoer gegevens (N)'!$C$39)^('Invoer gegevens (N)'!$C$17-'Invoer gegevens (N)'!$C$16)</f>
        <v>0</v>
      </c>
      <c r="AZ115" s="68">
        <f ca="1">IF(E115-'Invoer gegevens (N)'!$C$17-14.5&lt;0,0,E115-'Invoer gegevens (N)'!$C$17-14.5)</f>
        <v>95.5</v>
      </c>
      <c r="BC115" s="71"/>
    </row>
    <row r="116" spans="2:55" s="230" customFormat="1" x14ac:dyDescent="0.25">
      <c r="B116" s="70">
        <f t="shared" si="17"/>
        <v>112</v>
      </c>
      <c r="C116" s="67">
        <f ca="1">IF(E116-'Invoer gegevens (N)'!$C$17&lt;0,0,1)</f>
        <v>1</v>
      </c>
      <c r="D116" s="68">
        <f t="shared" si="18"/>
        <v>111.5</v>
      </c>
      <c r="E116" s="69">
        <f ca="1">IF('Invoer gegevens (N)'!$C$16="","",E115+1)</f>
        <v>2130</v>
      </c>
      <c r="F116" s="82">
        <f ca="1">IF('Invoer gegevens (N)'!$C$17=E116,'Invoer gegevens (N)'!$C$10,IF(C116=1,H115,0))</f>
        <v>0</v>
      </c>
      <c r="G116" s="83">
        <f ca="1">IF(C116&gt;=1,F116*'Reeksen (N)'!C116,0)</f>
        <v>0</v>
      </c>
      <c r="H116" s="84">
        <f t="shared" ca="1" si="11"/>
        <v>0</v>
      </c>
      <c r="I116" s="85">
        <f ca="1">IF('Invoer gegevens (N)'!$C$17=E116,'Invoer gegevens (N)'!$C$11,IF(C116=1,L115,0))</f>
        <v>0</v>
      </c>
      <c r="J116" s="86">
        <f ca="1">IF(C116&lt;1,0,IF('Reeksen (N)'!AD116&lt;='Reeksen (N)'!AE116,I116*'Reeksen (N)'!C116,0))</f>
        <v>0</v>
      </c>
      <c r="K116" s="86">
        <f ca="1">IF(C116&lt;1,0,IF('Reeksen (N)'!AD116&gt;'Reeksen (N)'!AE116,I116*'Reeksen (N)'!C116,0))</f>
        <v>0</v>
      </c>
      <c r="L116" s="86">
        <f t="shared" ca="1" si="12"/>
        <v>0</v>
      </c>
      <c r="M116" s="85">
        <f ca="1">IF('Invoer gegevens (N)'!$C$17=E116,'Invoer gegevens (N)'!$C$10-'Invoer gegevens (N)'!$C$11,IF(C116=1,P115,0))</f>
        <v>0</v>
      </c>
      <c r="N116" s="86">
        <f ca="1">IF(C116&lt;1,0,IF('Reeksen (N)'!AD116&lt;='Reeksen (N)'!AE116,M116*'Reeksen (N)'!C116,0))</f>
        <v>0</v>
      </c>
      <c r="O116" s="86">
        <f ca="1">IF(C116&lt;1,0,IF('Reeksen (N)'!AD116&gt;'Reeksen (N)'!AE116,M116*'Reeksen (N)'!C116,0))</f>
        <v>0</v>
      </c>
      <c r="P116" s="86">
        <f t="shared" ca="1" si="13"/>
        <v>0</v>
      </c>
      <c r="Q116" s="82">
        <f ca="1">IF('Invoer gegevens (N)'!$C$17=E116,I116,IF(C116=0,0,R115))</f>
        <v>0</v>
      </c>
      <c r="R116" s="84">
        <f t="shared" ca="1" si="10"/>
        <v>0</v>
      </c>
      <c r="S116" s="84">
        <f ca="1">IF('Invoer gegevens (N)'!$C$17=E116,M116,IF(C116=0,0,T115))</f>
        <v>0</v>
      </c>
      <c r="T116" s="84">
        <f t="shared" ca="1" si="19"/>
        <v>0</v>
      </c>
      <c r="AI116" s="71">
        <f ca="1">IF(C116=1,((F116+H116)/2*'Reeksen (N)'!AI116*12)+(('Invoer gegevens (N)'!$C$10-(F116+H116)/2)*'Reeksen (N)'!AD116*12),0)</f>
        <v>0</v>
      </c>
      <c r="AJ116" s="71">
        <f ca="1">-AI116*'Invoer gegevens (N)'!$F$28</f>
        <v>0</v>
      </c>
      <c r="AK116" s="71">
        <f t="shared" ca="1" si="14"/>
        <v>0</v>
      </c>
      <c r="AL116" s="71">
        <f ca="1">IF(C116=1,(12*((F116+H116)/2)*'Reeksen (N)'!AL116)+(12*('Invoer gegevens (N)'!$C$10-(F116+H116)/2)*'Reeksen (N)'!AM116),0)</f>
        <v>0</v>
      </c>
      <c r="AM116" s="71">
        <f ca="1">-AL116*'Invoer gegevens (N)'!$F$31</f>
        <v>0</v>
      </c>
      <c r="AN116" s="71">
        <f t="shared" ca="1" si="15"/>
        <v>0</v>
      </c>
      <c r="AO116" s="71"/>
      <c r="AP116" s="71"/>
      <c r="AQ116" s="71">
        <f ca="1">-IF(C116=1,('Invoer gegevens (N)'!$C$10*'Invoer gegevens (N)'!$F$35)*'Reeksen (N)'!J116,0)*2</f>
        <v>0</v>
      </c>
      <c r="AR116" s="71">
        <f ca="1">-IF(C116=1,(G116*'Invoer gegevens (N)'!$F$36)*'Reeksen (N)'!J116,0)</f>
        <v>0</v>
      </c>
      <c r="AS116" s="71">
        <f ca="1">-IF(C116=1,'Invoer gegevens (N)'!$C$10*'Invoer gegevens (N)'!$F$37*'Reeksen (N)'!L116,0)</f>
        <v>0</v>
      </c>
      <c r="AT116" s="71">
        <f ca="1">-IF(C116=1,IF(E116='Invoer gegevens (N)'!$C$17,'Invoer gegevens (N)'!$C$11,Q116)*'Reeksen (N)'!S116*'Invoer gegevens (N)'!$C$18*'Reeksen (N)'!P116,0)</f>
        <v>0</v>
      </c>
      <c r="AU116" s="71">
        <f ca="1">-IF(C116=1,'Invoer gegevens (N)'!$C$10*'Invoer gegevens (N)'!$F$38*'Reeksen (N)'!H116,0)</f>
        <v>0</v>
      </c>
      <c r="AV116" s="71">
        <v>0</v>
      </c>
      <c r="AW116" s="71">
        <f t="shared" ca="1" si="16"/>
        <v>0</v>
      </c>
      <c r="AX116" s="71">
        <f ca="1">IF(E116&lt;'Invoer gegevens (N)'!$C$17+15,0,IF('RW - MW - DE - DE (N)'!E116&gt;'Invoer gegevens (N)'!$C$17+215,0,'RW - MW - DE - DE (N)'!AW116))</f>
        <v>0</v>
      </c>
      <c r="AY116" s="71">
        <f ca="1">AX116/(1+'Invoer gegevens (N)'!$F$13)^($AZ116-('Invoer gegevens (N)'!$C$17-'Invoer gegevens (N)'!$C$16))/(1+'Invoer gegevens (N)'!$C$39)^('Invoer gegevens (N)'!$C$17-'Invoer gegevens (N)'!$C$16)</f>
        <v>0</v>
      </c>
      <c r="AZ116" s="68">
        <f ca="1">IF(E116-'Invoer gegevens (N)'!$C$17-14.5&lt;0,0,E116-'Invoer gegevens (N)'!$C$17-14.5)</f>
        <v>96.5</v>
      </c>
      <c r="BC116" s="71"/>
    </row>
    <row r="117" spans="2:55" s="230" customFormat="1" x14ac:dyDescent="0.25">
      <c r="B117" s="70">
        <f t="shared" si="17"/>
        <v>113</v>
      </c>
      <c r="C117" s="67">
        <f ca="1">IF(E117-'Invoer gegevens (N)'!$C$17&lt;0,0,1)</f>
        <v>1</v>
      </c>
      <c r="D117" s="68">
        <f t="shared" si="18"/>
        <v>112.5</v>
      </c>
      <c r="E117" s="69">
        <f ca="1">IF('Invoer gegevens (N)'!$C$16="","",E116+1)</f>
        <v>2131</v>
      </c>
      <c r="F117" s="82">
        <f ca="1">IF('Invoer gegevens (N)'!$C$17=E117,'Invoer gegevens (N)'!$C$10,IF(C117=1,H116,0))</f>
        <v>0</v>
      </c>
      <c r="G117" s="83">
        <f ca="1">IF(C117&gt;=1,F117*'Reeksen (N)'!C117,0)</f>
        <v>0</v>
      </c>
      <c r="H117" s="84">
        <f t="shared" ca="1" si="11"/>
        <v>0</v>
      </c>
      <c r="I117" s="85">
        <f ca="1">IF('Invoer gegevens (N)'!$C$17=E117,'Invoer gegevens (N)'!$C$11,IF(C117=1,L116,0))</f>
        <v>0</v>
      </c>
      <c r="J117" s="86">
        <f ca="1">IF(C117&lt;1,0,IF('Reeksen (N)'!AD117&lt;='Reeksen (N)'!AE117,I117*'Reeksen (N)'!C117,0))</f>
        <v>0</v>
      </c>
      <c r="K117" s="86">
        <f ca="1">IF(C117&lt;1,0,IF('Reeksen (N)'!AD117&gt;'Reeksen (N)'!AE117,I117*'Reeksen (N)'!C117,0))</f>
        <v>0</v>
      </c>
      <c r="L117" s="86">
        <f t="shared" ca="1" si="12"/>
        <v>0</v>
      </c>
      <c r="M117" s="85">
        <f ca="1">IF('Invoer gegevens (N)'!$C$17=E117,'Invoer gegevens (N)'!$C$10-'Invoer gegevens (N)'!$C$11,IF(C117=1,P116,0))</f>
        <v>0</v>
      </c>
      <c r="N117" s="86">
        <f ca="1">IF(C117&lt;1,0,IF('Reeksen (N)'!AD117&lt;='Reeksen (N)'!AE117,M117*'Reeksen (N)'!C117,0))</f>
        <v>0</v>
      </c>
      <c r="O117" s="86">
        <f ca="1">IF(C117&lt;1,0,IF('Reeksen (N)'!AD117&gt;'Reeksen (N)'!AE117,M117*'Reeksen (N)'!C117,0))</f>
        <v>0</v>
      </c>
      <c r="P117" s="86">
        <f t="shared" ca="1" si="13"/>
        <v>0</v>
      </c>
      <c r="Q117" s="82">
        <f ca="1">IF('Invoer gegevens (N)'!$C$17=E117,I117,IF(C117=0,0,R116))</f>
        <v>0</v>
      </c>
      <c r="R117" s="84">
        <f t="shared" ca="1" si="10"/>
        <v>0</v>
      </c>
      <c r="S117" s="84">
        <f ca="1">IF('Invoer gegevens (N)'!$C$17=E117,M117,IF(C117=0,0,T116))</f>
        <v>0</v>
      </c>
      <c r="T117" s="84">
        <f t="shared" ca="1" si="19"/>
        <v>0</v>
      </c>
      <c r="AI117" s="71">
        <f ca="1">IF(C117=1,((F117+H117)/2*'Reeksen (N)'!AI117*12)+(('Invoer gegevens (N)'!$C$10-(F117+H117)/2)*'Reeksen (N)'!AD117*12),0)</f>
        <v>0</v>
      </c>
      <c r="AJ117" s="71">
        <f ca="1">-AI117*'Invoer gegevens (N)'!$F$28</f>
        <v>0</v>
      </c>
      <c r="AK117" s="71">
        <f t="shared" ca="1" si="14"/>
        <v>0</v>
      </c>
      <c r="AL117" s="71">
        <f ca="1">IF(C117=1,(12*((F117+H117)/2)*'Reeksen (N)'!AL117)+(12*('Invoer gegevens (N)'!$C$10-(F117+H117)/2)*'Reeksen (N)'!AM117),0)</f>
        <v>0</v>
      </c>
      <c r="AM117" s="71">
        <f ca="1">-AL117*'Invoer gegevens (N)'!$F$31</f>
        <v>0</v>
      </c>
      <c r="AN117" s="71">
        <f t="shared" ca="1" si="15"/>
        <v>0</v>
      </c>
      <c r="AO117" s="71"/>
      <c r="AP117" s="71"/>
      <c r="AQ117" s="71">
        <f ca="1">-IF(C117=1,('Invoer gegevens (N)'!$C$10*'Invoer gegevens (N)'!$F$35)*'Reeksen (N)'!J117,0)*2</f>
        <v>0</v>
      </c>
      <c r="AR117" s="71">
        <f ca="1">-IF(C117=1,(G117*'Invoer gegevens (N)'!$F$36)*'Reeksen (N)'!J117,0)</f>
        <v>0</v>
      </c>
      <c r="AS117" s="71">
        <f ca="1">-IF(C117=1,'Invoer gegevens (N)'!$C$10*'Invoer gegevens (N)'!$F$37*'Reeksen (N)'!L117,0)</f>
        <v>0</v>
      </c>
      <c r="AT117" s="71">
        <f ca="1">-IF(C117=1,IF(E117='Invoer gegevens (N)'!$C$17,'Invoer gegevens (N)'!$C$11,Q117)*'Reeksen (N)'!S117*'Invoer gegevens (N)'!$C$18*'Reeksen (N)'!P117,0)</f>
        <v>0</v>
      </c>
      <c r="AU117" s="71">
        <f ca="1">-IF(C117=1,'Invoer gegevens (N)'!$C$10*'Invoer gegevens (N)'!$F$38*'Reeksen (N)'!H117,0)</f>
        <v>0</v>
      </c>
      <c r="AV117" s="71">
        <v>0</v>
      </c>
      <c r="AW117" s="71">
        <f t="shared" ca="1" si="16"/>
        <v>0</v>
      </c>
      <c r="AX117" s="71">
        <f ca="1">IF(E117&lt;'Invoer gegevens (N)'!$C$17+15,0,IF('RW - MW - DE - DE (N)'!E117&gt;'Invoer gegevens (N)'!$C$17+215,0,'RW - MW - DE - DE (N)'!AW117))</f>
        <v>0</v>
      </c>
      <c r="AY117" s="71">
        <f ca="1">AX117/(1+'Invoer gegevens (N)'!$F$13)^($AZ117-('Invoer gegevens (N)'!$C$17-'Invoer gegevens (N)'!$C$16))/(1+'Invoer gegevens (N)'!$C$39)^('Invoer gegevens (N)'!$C$17-'Invoer gegevens (N)'!$C$16)</f>
        <v>0</v>
      </c>
      <c r="AZ117" s="68">
        <f ca="1">IF(E117-'Invoer gegevens (N)'!$C$17-14.5&lt;0,0,E117-'Invoer gegevens (N)'!$C$17-14.5)</f>
        <v>97.5</v>
      </c>
      <c r="BC117" s="71"/>
    </row>
    <row r="118" spans="2:55" s="230" customFormat="1" x14ac:dyDescent="0.25">
      <c r="B118" s="70">
        <f t="shared" si="17"/>
        <v>114</v>
      </c>
      <c r="C118" s="67">
        <f ca="1">IF(E118-'Invoer gegevens (N)'!$C$17&lt;0,0,1)</f>
        <v>1</v>
      </c>
      <c r="D118" s="68">
        <f t="shared" si="18"/>
        <v>113.5</v>
      </c>
      <c r="E118" s="69">
        <f ca="1">IF('Invoer gegevens (N)'!$C$16="","",E117+1)</f>
        <v>2132</v>
      </c>
      <c r="F118" s="82">
        <f ca="1">IF('Invoer gegevens (N)'!$C$17=E118,'Invoer gegevens (N)'!$C$10,IF(C118=1,H117,0))</f>
        <v>0</v>
      </c>
      <c r="G118" s="83">
        <f ca="1">IF(C118&gt;=1,F118*'Reeksen (N)'!C118,0)</f>
        <v>0</v>
      </c>
      <c r="H118" s="84">
        <f t="shared" ca="1" si="11"/>
        <v>0</v>
      </c>
      <c r="I118" s="85">
        <f ca="1">IF('Invoer gegevens (N)'!$C$17=E118,'Invoer gegevens (N)'!$C$11,IF(C118=1,L117,0))</f>
        <v>0</v>
      </c>
      <c r="J118" s="86">
        <f ca="1">IF(C118&lt;1,0,IF('Reeksen (N)'!AD118&lt;='Reeksen (N)'!AE118,I118*'Reeksen (N)'!C118,0))</f>
        <v>0</v>
      </c>
      <c r="K118" s="86">
        <f ca="1">IF(C118&lt;1,0,IF('Reeksen (N)'!AD118&gt;'Reeksen (N)'!AE118,I118*'Reeksen (N)'!C118,0))</f>
        <v>0</v>
      </c>
      <c r="L118" s="86">
        <f t="shared" ca="1" si="12"/>
        <v>0</v>
      </c>
      <c r="M118" s="85">
        <f ca="1">IF('Invoer gegevens (N)'!$C$17=E118,'Invoer gegevens (N)'!$C$10-'Invoer gegevens (N)'!$C$11,IF(C118=1,P117,0))</f>
        <v>0</v>
      </c>
      <c r="N118" s="86">
        <f ca="1">IF(C118&lt;1,0,IF('Reeksen (N)'!AD118&lt;='Reeksen (N)'!AE118,M118*'Reeksen (N)'!C118,0))</f>
        <v>0</v>
      </c>
      <c r="O118" s="86">
        <f ca="1">IF(C118&lt;1,0,IF('Reeksen (N)'!AD118&gt;'Reeksen (N)'!AE118,M118*'Reeksen (N)'!C118,0))</f>
        <v>0</v>
      </c>
      <c r="P118" s="86">
        <f t="shared" ca="1" si="13"/>
        <v>0</v>
      </c>
      <c r="Q118" s="82">
        <f ca="1">IF('Invoer gegevens (N)'!$C$17=E118,I118,IF(C118=0,0,R117))</f>
        <v>0</v>
      </c>
      <c r="R118" s="84">
        <f t="shared" ca="1" si="10"/>
        <v>0</v>
      </c>
      <c r="S118" s="84">
        <f ca="1">IF('Invoer gegevens (N)'!$C$17=E118,M118,IF(C118=0,0,T117))</f>
        <v>0</v>
      </c>
      <c r="T118" s="84">
        <f t="shared" ca="1" si="19"/>
        <v>0</v>
      </c>
      <c r="AI118" s="71">
        <f ca="1">IF(C118=1,((F118+H118)/2*'Reeksen (N)'!AI118*12)+(('Invoer gegevens (N)'!$C$10-(F118+H118)/2)*'Reeksen (N)'!AD118*12),0)</f>
        <v>0</v>
      </c>
      <c r="AJ118" s="71">
        <f ca="1">-AI118*'Invoer gegevens (N)'!$F$28</f>
        <v>0</v>
      </c>
      <c r="AK118" s="71">
        <f t="shared" ca="1" si="14"/>
        <v>0</v>
      </c>
      <c r="AL118" s="71">
        <f ca="1">IF(C118=1,(12*((F118+H118)/2)*'Reeksen (N)'!AL118)+(12*('Invoer gegevens (N)'!$C$10-(F118+H118)/2)*'Reeksen (N)'!AM118),0)</f>
        <v>0</v>
      </c>
      <c r="AM118" s="71">
        <f ca="1">-AL118*'Invoer gegevens (N)'!$F$31</f>
        <v>0</v>
      </c>
      <c r="AN118" s="71">
        <f t="shared" ca="1" si="15"/>
        <v>0</v>
      </c>
      <c r="AO118" s="71"/>
      <c r="AP118" s="71"/>
      <c r="AQ118" s="71">
        <f ca="1">-IF(C118=1,('Invoer gegevens (N)'!$C$10*'Invoer gegevens (N)'!$F$35)*'Reeksen (N)'!J118,0)*2</f>
        <v>0</v>
      </c>
      <c r="AR118" s="71">
        <f ca="1">-IF(C118=1,(G118*'Invoer gegevens (N)'!$F$36)*'Reeksen (N)'!J118,0)</f>
        <v>0</v>
      </c>
      <c r="AS118" s="71">
        <f ca="1">-IF(C118=1,'Invoer gegevens (N)'!$C$10*'Invoer gegevens (N)'!$F$37*'Reeksen (N)'!L118,0)</f>
        <v>0</v>
      </c>
      <c r="AT118" s="71">
        <f ca="1">-IF(C118=1,IF(E118='Invoer gegevens (N)'!$C$17,'Invoer gegevens (N)'!$C$11,Q118)*'Reeksen (N)'!S118*'Invoer gegevens (N)'!$C$18*'Reeksen (N)'!P118,0)</f>
        <v>0</v>
      </c>
      <c r="AU118" s="71">
        <f ca="1">-IF(C118=1,'Invoer gegevens (N)'!$C$10*'Invoer gegevens (N)'!$F$38*'Reeksen (N)'!H118,0)</f>
        <v>0</v>
      </c>
      <c r="AV118" s="71">
        <v>0</v>
      </c>
      <c r="AW118" s="71">
        <f t="shared" ca="1" si="16"/>
        <v>0</v>
      </c>
      <c r="AX118" s="71">
        <f ca="1">IF(E118&lt;'Invoer gegevens (N)'!$C$17+15,0,IF('RW - MW - DE - DE (N)'!E118&gt;'Invoer gegevens (N)'!$C$17+215,0,'RW - MW - DE - DE (N)'!AW118))</f>
        <v>0</v>
      </c>
      <c r="AY118" s="71">
        <f ca="1">AX118/(1+'Invoer gegevens (N)'!$F$13)^($AZ118-('Invoer gegevens (N)'!$C$17-'Invoer gegevens (N)'!$C$16))/(1+'Invoer gegevens (N)'!$C$39)^('Invoer gegevens (N)'!$C$17-'Invoer gegevens (N)'!$C$16)</f>
        <v>0</v>
      </c>
      <c r="AZ118" s="68">
        <f ca="1">IF(E118-'Invoer gegevens (N)'!$C$17-14.5&lt;0,0,E118-'Invoer gegevens (N)'!$C$17-14.5)</f>
        <v>98.5</v>
      </c>
      <c r="BC118" s="71"/>
    </row>
    <row r="119" spans="2:55" s="230" customFormat="1" x14ac:dyDescent="0.25">
      <c r="B119" s="70">
        <f t="shared" si="17"/>
        <v>115</v>
      </c>
      <c r="C119" s="67">
        <f ca="1">IF(E119-'Invoer gegevens (N)'!$C$17&lt;0,0,1)</f>
        <v>1</v>
      </c>
      <c r="D119" s="68">
        <f t="shared" si="18"/>
        <v>114.5</v>
      </c>
      <c r="E119" s="69">
        <f ca="1">IF('Invoer gegevens (N)'!$C$16="","",E118+1)</f>
        <v>2133</v>
      </c>
      <c r="F119" s="82">
        <f ca="1">IF('Invoer gegevens (N)'!$C$17=E119,'Invoer gegevens (N)'!$C$10,IF(C119=1,H118,0))</f>
        <v>0</v>
      </c>
      <c r="G119" s="83">
        <f ca="1">IF(C119&gt;=1,F119*'Reeksen (N)'!C119,0)</f>
        <v>0</v>
      </c>
      <c r="H119" s="84">
        <f t="shared" ca="1" si="11"/>
        <v>0</v>
      </c>
      <c r="I119" s="85">
        <f ca="1">IF('Invoer gegevens (N)'!$C$17=E119,'Invoer gegevens (N)'!$C$11,IF(C119=1,L118,0))</f>
        <v>0</v>
      </c>
      <c r="J119" s="86">
        <f ca="1">IF(C119&lt;1,0,IF('Reeksen (N)'!AD119&lt;='Reeksen (N)'!AE119,I119*'Reeksen (N)'!C119,0))</f>
        <v>0</v>
      </c>
      <c r="K119" s="86">
        <f ca="1">IF(C119&lt;1,0,IF('Reeksen (N)'!AD119&gt;'Reeksen (N)'!AE119,I119*'Reeksen (N)'!C119,0))</f>
        <v>0</v>
      </c>
      <c r="L119" s="86">
        <f t="shared" ca="1" si="12"/>
        <v>0</v>
      </c>
      <c r="M119" s="85">
        <f ca="1">IF('Invoer gegevens (N)'!$C$17=E119,'Invoer gegevens (N)'!$C$10-'Invoer gegevens (N)'!$C$11,IF(C119=1,P118,0))</f>
        <v>0</v>
      </c>
      <c r="N119" s="86">
        <f ca="1">IF(C119&lt;1,0,IF('Reeksen (N)'!AD119&lt;='Reeksen (N)'!AE119,M119*'Reeksen (N)'!C119,0))</f>
        <v>0</v>
      </c>
      <c r="O119" s="86">
        <f ca="1">IF(C119&lt;1,0,IF('Reeksen (N)'!AD119&gt;'Reeksen (N)'!AE119,M119*'Reeksen (N)'!C119,0))</f>
        <v>0</v>
      </c>
      <c r="P119" s="86">
        <f t="shared" ca="1" si="13"/>
        <v>0</v>
      </c>
      <c r="Q119" s="82">
        <f ca="1">IF('Invoer gegevens (N)'!$C$17=E119,I119,IF(C119=0,0,R118))</f>
        <v>0</v>
      </c>
      <c r="R119" s="84">
        <f t="shared" ca="1" si="10"/>
        <v>0</v>
      </c>
      <c r="S119" s="84">
        <f ca="1">IF('Invoer gegevens (N)'!$C$17=E119,M119,IF(C119=0,0,T118))</f>
        <v>0</v>
      </c>
      <c r="T119" s="84">
        <f t="shared" ca="1" si="19"/>
        <v>0</v>
      </c>
      <c r="AI119" s="71">
        <f ca="1">IF(C119=1,((F119+H119)/2*'Reeksen (N)'!AI119*12)+(('Invoer gegevens (N)'!$C$10-(F119+H119)/2)*'Reeksen (N)'!AD119*12),0)</f>
        <v>0</v>
      </c>
      <c r="AJ119" s="71">
        <f ca="1">-AI119*'Invoer gegevens (N)'!$F$28</f>
        <v>0</v>
      </c>
      <c r="AK119" s="71">
        <f t="shared" ca="1" si="14"/>
        <v>0</v>
      </c>
      <c r="AL119" s="71">
        <f ca="1">IF(C119=1,(12*((F119+H119)/2)*'Reeksen (N)'!AL119)+(12*('Invoer gegevens (N)'!$C$10-(F119+H119)/2)*'Reeksen (N)'!AM119),0)</f>
        <v>0</v>
      </c>
      <c r="AM119" s="71">
        <f ca="1">-AL119*'Invoer gegevens (N)'!$F$31</f>
        <v>0</v>
      </c>
      <c r="AN119" s="71">
        <f t="shared" ca="1" si="15"/>
        <v>0</v>
      </c>
      <c r="AO119" s="71"/>
      <c r="AP119" s="71"/>
      <c r="AQ119" s="71">
        <f ca="1">-IF(C119=1,('Invoer gegevens (N)'!$C$10*'Invoer gegevens (N)'!$F$35)*'Reeksen (N)'!J119,0)*2</f>
        <v>0</v>
      </c>
      <c r="AR119" s="71">
        <f ca="1">-IF(C119=1,(G119*'Invoer gegevens (N)'!$F$36)*'Reeksen (N)'!J119,0)</f>
        <v>0</v>
      </c>
      <c r="AS119" s="71">
        <f ca="1">-IF(C119=1,'Invoer gegevens (N)'!$C$10*'Invoer gegevens (N)'!$F$37*'Reeksen (N)'!L119,0)</f>
        <v>0</v>
      </c>
      <c r="AT119" s="71">
        <f ca="1">-IF(C119=1,IF(E119='Invoer gegevens (N)'!$C$17,'Invoer gegevens (N)'!$C$11,Q119)*'Reeksen (N)'!S119*'Invoer gegevens (N)'!$C$18*'Reeksen (N)'!P119,0)</f>
        <v>0</v>
      </c>
      <c r="AU119" s="71">
        <f ca="1">-IF(C119=1,'Invoer gegevens (N)'!$C$10*'Invoer gegevens (N)'!$F$38*'Reeksen (N)'!H119,0)</f>
        <v>0</v>
      </c>
      <c r="AV119" s="71">
        <v>0</v>
      </c>
      <c r="AW119" s="71">
        <f t="shared" ca="1" si="16"/>
        <v>0</v>
      </c>
      <c r="AX119" s="71">
        <f ca="1">IF(E119&lt;'Invoer gegevens (N)'!$C$17+15,0,IF('RW - MW - DE - DE (N)'!E119&gt;'Invoer gegevens (N)'!$C$17+215,0,'RW - MW - DE - DE (N)'!AW119))</f>
        <v>0</v>
      </c>
      <c r="AY119" s="71">
        <f ca="1">AX119/(1+'Invoer gegevens (N)'!$F$13)^($AZ119-('Invoer gegevens (N)'!$C$17-'Invoer gegevens (N)'!$C$16))/(1+'Invoer gegevens (N)'!$C$39)^('Invoer gegevens (N)'!$C$17-'Invoer gegevens (N)'!$C$16)</f>
        <v>0</v>
      </c>
      <c r="AZ119" s="68">
        <f ca="1">IF(E119-'Invoer gegevens (N)'!$C$17-14.5&lt;0,0,E119-'Invoer gegevens (N)'!$C$17-14.5)</f>
        <v>99.5</v>
      </c>
      <c r="BC119" s="71"/>
    </row>
    <row r="120" spans="2:55" s="230" customFormat="1" x14ac:dyDescent="0.25">
      <c r="B120" s="70">
        <f t="shared" si="17"/>
        <v>116</v>
      </c>
      <c r="C120" s="67">
        <f ca="1">IF(E120-'Invoer gegevens (N)'!$C$17&lt;0,0,1)</f>
        <v>1</v>
      </c>
      <c r="D120" s="68">
        <f t="shared" si="18"/>
        <v>115.5</v>
      </c>
      <c r="E120" s="69">
        <f ca="1">IF('Invoer gegevens (N)'!$C$16="","",E119+1)</f>
        <v>2134</v>
      </c>
      <c r="F120" s="82">
        <f ca="1">IF('Invoer gegevens (N)'!$C$17=E120,'Invoer gegevens (N)'!$C$10,IF(C120=1,H119,0))</f>
        <v>0</v>
      </c>
      <c r="G120" s="83">
        <f ca="1">IF(C120&gt;=1,F120*'Reeksen (N)'!C120,0)</f>
        <v>0</v>
      </c>
      <c r="H120" s="84">
        <f t="shared" ca="1" si="11"/>
        <v>0</v>
      </c>
      <c r="I120" s="85">
        <f ca="1">IF('Invoer gegevens (N)'!$C$17=E120,'Invoer gegevens (N)'!$C$11,IF(C120=1,L119,0))</f>
        <v>0</v>
      </c>
      <c r="J120" s="86">
        <f ca="1">IF(C120&lt;1,0,IF('Reeksen (N)'!AD120&lt;='Reeksen (N)'!AE120,I120*'Reeksen (N)'!C120,0))</f>
        <v>0</v>
      </c>
      <c r="K120" s="86">
        <f ca="1">IF(C120&lt;1,0,IF('Reeksen (N)'!AD120&gt;'Reeksen (N)'!AE120,I120*'Reeksen (N)'!C120,0))</f>
        <v>0</v>
      </c>
      <c r="L120" s="86">
        <f t="shared" ca="1" si="12"/>
        <v>0</v>
      </c>
      <c r="M120" s="85">
        <f ca="1">IF('Invoer gegevens (N)'!$C$17=E120,'Invoer gegevens (N)'!$C$10-'Invoer gegevens (N)'!$C$11,IF(C120=1,P119,0))</f>
        <v>0</v>
      </c>
      <c r="N120" s="86">
        <f ca="1">IF(C120&lt;1,0,IF('Reeksen (N)'!AD120&lt;='Reeksen (N)'!AE120,M120*'Reeksen (N)'!C120,0))</f>
        <v>0</v>
      </c>
      <c r="O120" s="86">
        <f ca="1">IF(C120&lt;1,0,IF('Reeksen (N)'!AD120&gt;'Reeksen (N)'!AE120,M120*'Reeksen (N)'!C120,0))</f>
        <v>0</v>
      </c>
      <c r="P120" s="86">
        <f t="shared" ca="1" si="13"/>
        <v>0</v>
      </c>
      <c r="Q120" s="82">
        <f ca="1">IF('Invoer gegevens (N)'!$C$17=E120,I120,IF(C120=0,0,R119))</f>
        <v>0</v>
      </c>
      <c r="R120" s="84">
        <f t="shared" ca="1" si="10"/>
        <v>0</v>
      </c>
      <c r="S120" s="84">
        <f ca="1">IF('Invoer gegevens (N)'!$C$17=E120,M120,IF(C120=0,0,T119))</f>
        <v>0</v>
      </c>
      <c r="T120" s="84">
        <f t="shared" ca="1" si="19"/>
        <v>0</v>
      </c>
      <c r="AI120" s="71">
        <f ca="1">IF(C120=1,((F120+H120)/2*'Reeksen (N)'!AI120*12)+(('Invoer gegevens (N)'!$C$10-(F120+H120)/2)*'Reeksen (N)'!AD120*12),0)</f>
        <v>0</v>
      </c>
      <c r="AJ120" s="71">
        <f ca="1">-AI120*'Invoer gegevens (N)'!$F$28</f>
        <v>0</v>
      </c>
      <c r="AK120" s="71">
        <f t="shared" ca="1" si="14"/>
        <v>0</v>
      </c>
      <c r="AL120" s="71">
        <f ca="1">IF(C120=1,(12*((F120+H120)/2)*'Reeksen (N)'!AL120)+(12*('Invoer gegevens (N)'!$C$10-(F120+H120)/2)*'Reeksen (N)'!AM120),0)</f>
        <v>0</v>
      </c>
      <c r="AM120" s="71">
        <f ca="1">-AL120*'Invoer gegevens (N)'!$F$31</f>
        <v>0</v>
      </c>
      <c r="AN120" s="71">
        <f t="shared" ca="1" si="15"/>
        <v>0</v>
      </c>
      <c r="AO120" s="71"/>
      <c r="AP120" s="71"/>
      <c r="AQ120" s="71">
        <f ca="1">-IF(C120=1,('Invoer gegevens (N)'!$C$10*'Invoer gegevens (N)'!$F$35)*'Reeksen (N)'!J120,0)*2</f>
        <v>0</v>
      </c>
      <c r="AR120" s="71">
        <f ca="1">-IF(C120=1,(G120*'Invoer gegevens (N)'!$F$36)*'Reeksen (N)'!J120,0)</f>
        <v>0</v>
      </c>
      <c r="AS120" s="71">
        <f ca="1">-IF(C120=1,'Invoer gegevens (N)'!$C$10*'Invoer gegevens (N)'!$F$37*'Reeksen (N)'!L120,0)</f>
        <v>0</v>
      </c>
      <c r="AT120" s="71">
        <f ca="1">-IF(C120=1,IF(E120='Invoer gegevens (N)'!$C$17,'Invoer gegevens (N)'!$C$11,Q120)*'Reeksen (N)'!S120*'Invoer gegevens (N)'!$C$18*'Reeksen (N)'!P120,0)</f>
        <v>0</v>
      </c>
      <c r="AU120" s="71">
        <f ca="1">-IF(C120=1,'Invoer gegevens (N)'!$C$10*'Invoer gegevens (N)'!$F$38*'Reeksen (N)'!H120,0)</f>
        <v>0</v>
      </c>
      <c r="AV120" s="71">
        <v>0</v>
      </c>
      <c r="AW120" s="71">
        <f t="shared" ca="1" si="16"/>
        <v>0</v>
      </c>
      <c r="AX120" s="71">
        <f ca="1">IF(E120&lt;'Invoer gegevens (N)'!$C$17+15,0,IF('RW - MW - DE - DE (N)'!E120&gt;'Invoer gegevens (N)'!$C$17+215,0,'RW - MW - DE - DE (N)'!AW120))</f>
        <v>0</v>
      </c>
      <c r="AY120" s="71">
        <f ca="1">AX120/(1+'Invoer gegevens (N)'!$F$13)^($AZ120-('Invoer gegevens (N)'!$C$17-'Invoer gegevens (N)'!$C$16))/(1+'Invoer gegevens (N)'!$C$39)^('Invoer gegevens (N)'!$C$17-'Invoer gegevens (N)'!$C$16)</f>
        <v>0</v>
      </c>
      <c r="AZ120" s="68">
        <f ca="1">IF(E120-'Invoer gegevens (N)'!$C$17-14.5&lt;0,0,E120-'Invoer gegevens (N)'!$C$17-14.5)</f>
        <v>100.5</v>
      </c>
      <c r="BC120" s="71"/>
    </row>
    <row r="121" spans="2:55" s="230" customFormat="1" x14ac:dyDescent="0.25">
      <c r="B121" s="70">
        <f t="shared" si="17"/>
        <v>117</v>
      </c>
      <c r="C121" s="67">
        <f ca="1">IF(E121-'Invoer gegevens (N)'!$C$17&lt;0,0,1)</f>
        <v>1</v>
      </c>
      <c r="D121" s="68">
        <f t="shared" si="18"/>
        <v>116.5</v>
      </c>
      <c r="E121" s="69">
        <f ca="1">IF('Invoer gegevens (N)'!$C$16="","",E120+1)</f>
        <v>2135</v>
      </c>
      <c r="F121" s="82">
        <f ca="1">IF('Invoer gegevens (N)'!$C$17=E121,'Invoer gegevens (N)'!$C$10,IF(C121=1,H120,0))</f>
        <v>0</v>
      </c>
      <c r="G121" s="83">
        <f ca="1">IF(C121&gt;=1,F121*'Reeksen (N)'!C121,0)</f>
        <v>0</v>
      </c>
      <c r="H121" s="84">
        <f t="shared" ca="1" si="11"/>
        <v>0</v>
      </c>
      <c r="I121" s="85">
        <f ca="1">IF('Invoer gegevens (N)'!$C$17=E121,'Invoer gegevens (N)'!$C$11,IF(C121=1,L120,0))</f>
        <v>0</v>
      </c>
      <c r="J121" s="86">
        <f ca="1">IF(C121&lt;1,0,IF('Reeksen (N)'!AD121&lt;='Reeksen (N)'!AE121,I121*'Reeksen (N)'!C121,0))</f>
        <v>0</v>
      </c>
      <c r="K121" s="86">
        <f ca="1">IF(C121&lt;1,0,IF('Reeksen (N)'!AD121&gt;'Reeksen (N)'!AE121,I121*'Reeksen (N)'!C121,0))</f>
        <v>0</v>
      </c>
      <c r="L121" s="86">
        <f t="shared" ca="1" si="12"/>
        <v>0</v>
      </c>
      <c r="M121" s="85">
        <f ca="1">IF('Invoer gegevens (N)'!$C$17=E121,'Invoer gegevens (N)'!$C$10-'Invoer gegevens (N)'!$C$11,IF(C121=1,P120,0))</f>
        <v>0</v>
      </c>
      <c r="N121" s="86">
        <f ca="1">IF(C121&lt;1,0,IF('Reeksen (N)'!AD121&lt;='Reeksen (N)'!AE121,M121*'Reeksen (N)'!C121,0))</f>
        <v>0</v>
      </c>
      <c r="O121" s="86">
        <f ca="1">IF(C121&lt;1,0,IF('Reeksen (N)'!AD121&gt;'Reeksen (N)'!AE121,M121*'Reeksen (N)'!C121,0))</f>
        <v>0</v>
      </c>
      <c r="P121" s="86">
        <f t="shared" ca="1" si="13"/>
        <v>0</v>
      </c>
      <c r="Q121" s="82">
        <f ca="1">IF('Invoer gegevens (N)'!$C$17=E121,I121,IF(C121=0,0,R120))</f>
        <v>0</v>
      </c>
      <c r="R121" s="84">
        <f t="shared" ca="1" si="10"/>
        <v>0</v>
      </c>
      <c r="S121" s="84">
        <f ca="1">IF('Invoer gegevens (N)'!$C$17=E121,M121,IF(C121=0,0,T120))</f>
        <v>0</v>
      </c>
      <c r="T121" s="84">
        <f t="shared" ca="1" si="19"/>
        <v>0</v>
      </c>
      <c r="AI121" s="71">
        <f ca="1">IF(C121=1,((F121+H121)/2*'Reeksen (N)'!AI121*12)+(('Invoer gegevens (N)'!$C$10-(F121+H121)/2)*'Reeksen (N)'!AD121*12),0)</f>
        <v>0</v>
      </c>
      <c r="AJ121" s="71">
        <f ca="1">-AI121*'Invoer gegevens (N)'!$F$28</f>
        <v>0</v>
      </c>
      <c r="AK121" s="71">
        <f t="shared" ca="1" si="14"/>
        <v>0</v>
      </c>
      <c r="AL121" s="71">
        <f ca="1">IF(C121=1,(12*((F121+H121)/2)*'Reeksen (N)'!AL121)+(12*('Invoer gegevens (N)'!$C$10-(F121+H121)/2)*'Reeksen (N)'!AM121),0)</f>
        <v>0</v>
      </c>
      <c r="AM121" s="71">
        <f ca="1">-AL121*'Invoer gegevens (N)'!$F$31</f>
        <v>0</v>
      </c>
      <c r="AN121" s="71">
        <f t="shared" ca="1" si="15"/>
        <v>0</v>
      </c>
      <c r="AO121" s="71"/>
      <c r="AP121" s="71"/>
      <c r="AQ121" s="71">
        <f ca="1">-IF(C121=1,('Invoer gegevens (N)'!$C$10*'Invoer gegevens (N)'!$F$35)*'Reeksen (N)'!J121,0)*2</f>
        <v>0</v>
      </c>
      <c r="AR121" s="71">
        <f ca="1">-IF(C121=1,(G121*'Invoer gegevens (N)'!$F$36)*'Reeksen (N)'!J121,0)</f>
        <v>0</v>
      </c>
      <c r="AS121" s="71">
        <f ca="1">-IF(C121=1,'Invoer gegevens (N)'!$C$10*'Invoer gegevens (N)'!$F$37*'Reeksen (N)'!L121,0)</f>
        <v>0</v>
      </c>
      <c r="AT121" s="71">
        <f ca="1">-IF(C121=1,IF(E121='Invoer gegevens (N)'!$C$17,'Invoer gegevens (N)'!$C$11,Q121)*'Reeksen (N)'!S121*'Invoer gegevens (N)'!$C$18*'Reeksen (N)'!P121,0)</f>
        <v>0</v>
      </c>
      <c r="AU121" s="71">
        <f ca="1">-IF(C121=1,'Invoer gegevens (N)'!$C$10*'Invoer gegevens (N)'!$F$38*'Reeksen (N)'!H121,0)</f>
        <v>0</v>
      </c>
      <c r="AV121" s="71">
        <v>0</v>
      </c>
      <c r="AW121" s="71">
        <f t="shared" ca="1" si="16"/>
        <v>0</v>
      </c>
      <c r="AX121" s="71">
        <f ca="1">IF(E121&lt;'Invoer gegevens (N)'!$C$17+15,0,IF('RW - MW - DE - DE (N)'!E121&gt;'Invoer gegevens (N)'!$C$17+215,0,'RW - MW - DE - DE (N)'!AW121))</f>
        <v>0</v>
      </c>
      <c r="AY121" s="71">
        <f ca="1">AX121/(1+'Invoer gegevens (N)'!$F$13)^($AZ121-('Invoer gegevens (N)'!$C$17-'Invoer gegevens (N)'!$C$16))/(1+'Invoer gegevens (N)'!$C$39)^('Invoer gegevens (N)'!$C$17-'Invoer gegevens (N)'!$C$16)</f>
        <v>0</v>
      </c>
      <c r="AZ121" s="68">
        <f ca="1">IF(E121-'Invoer gegevens (N)'!$C$17-14.5&lt;0,0,E121-'Invoer gegevens (N)'!$C$17-14.5)</f>
        <v>101.5</v>
      </c>
      <c r="BC121" s="71"/>
    </row>
    <row r="122" spans="2:55" s="230" customFormat="1" x14ac:dyDescent="0.25">
      <c r="B122" s="70">
        <f t="shared" si="17"/>
        <v>118</v>
      </c>
      <c r="C122" s="67">
        <f ca="1">IF(E122-'Invoer gegevens (N)'!$C$17&lt;0,0,1)</f>
        <v>1</v>
      </c>
      <c r="D122" s="68">
        <f t="shared" si="18"/>
        <v>117.5</v>
      </c>
      <c r="E122" s="69">
        <f ca="1">IF('Invoer gegevens (N)'!$C$16="","",E121+1)</f>
        <v>2136</v>
      </c>
      <c r="F122" s="82">
        <f ca="1">IF('Invoer gegevens (N)'!$C$17=E122,'Invoer gegevens (N)'!$C$10,IF(C122=1,H121,0))</f>
        <v>0</v>
      </c>
      <c r="G122" s="83">
        <f ca="1">IF(C122&gt;=1,F122*'Reeksen (N)'!C122,0)</f>
        <v>0</v>
      </c>
      <c r="H122" s="84">
        <f t="shared" ca="1" si="11"/>
        <v>0</v>
      </c>
      <c r="I122" s="85">
        <f ca="1">IF('Invoer gegevens (N)'!$C$17=E122,'Invoer gegevens (N)'!$C$11,IF(C122=1,L121,0))</f>
        <v>0</v>
      </c>
      <c r="J122" s="86">
        <f ca="1">IF(C122&lt;1,0,IF('Reeksen (N)'!AD122&lt;='Reeksen (N)'!AE122,I122*'Reeksen (N)'!C122,0))</f>
        <v>0</v>
      </c>
      <c r="K122" s="86">
        <f ca="1">IF(C122&lt;1,0,IF('Reeksen (N)'!AD122&gt;'Reeksen (N)'!AE122,I122*'Reeksen (N)'!C122,0))</f>
        <v>0</v>
      </c>
      <c r="L122" s="86">
        <f t="shared" ca="1" si="12"/>
        <v>0</v>
      </c>
      <c r="M122" s="85">
        <f ca="1">IF('Invoer gegevens (N)'!$C$17=E122,'Invoer gegevens (N)'!$C$10-'Invoer gegevens (N)'!$C$11,IF(C122=1,P121,0))</f>
        <v>0</v>
      </c>
      <c r="N122" s="86">
        <f ca="1">IF(C122&lt;1,0,IF('Reeksen (N)'!AD122&lt;='Reeksen (N)'!AE122,M122*'Reeksen (N)'!C122,0))</f>
        <v>0</v>
      </c>
      <c r="O122" s="86">
        <f ca="1">IF(C122&lt;1,0,IF('Reeksen (N)'!AD122&gt;'Reeksen (N)'!AE122,M122*'Reeksen (N)'!C122,0))</f>
        <v>0</v>
      </c>
      <c r="P122" s="86">
        <f t="shared" ca="1" si="13"/>
        <v>0</v>
      </c>
      <c r="Q122" s="82">
        <f ca="1">IF('Invoer gegevens (N)'!$C$17=E122,I122,IF(C122=0,0,R121))</f>
        <v>0</v>
      </c>
      <c r="R122" s="84">
        <f t="shared" ca="1" si="10"/>
        <v>0</v>
      </c>
      <c r="S122" s="84">
        <f ca="1">IF('Invoer gegevens (N)'!$C$17=E122,M122,IF(C122=0,0,T121))</f>
        <v>0</v>
      </c>
      <c r="T122" s="84">
        <f t="shared" ca="1" si="19"/>
        <v>0</v>
      </c>
      <c r="AI122" s="71">
        <f ca="1">IF(C122=1,((F122+H122)/2*'Reeksen (N)'!AI122*12)+(('Invoer gegevens (N)'!$C$10-(F122+H122)/2)*'Reeksen (N)'!AD122*12),0)</f>
        <v>0</v>
      </c>
      <c r="AJ122" s="71">
        <f ca="1">-AI122*'Invoer gegevens (N)'!$F$28</f>
        <v>0</v>
      </c>
      <c r="AK122" s="71">
        <f t="shared" ca="1" si="14"/>
        <v>0</v>
      </c>
      <c r="AL122" s="71">
        <f ca="1">IF(C122=1,(12*((F122+H122)/2)*'Reeksen (N)'!AL122)+(12*('Invoer gegevens (N)'!$C$10-(F122+H122)/2)*'Reeksen (N)'!AM122),0)</f>
        <v>0</v>
      </c>
      <c r="AM122" s="71">
        <f ca="1">-AL122*'Invoer gegevens (N)'!$F$31</f>
        <v>0</v>
      </c>
      <c r="AN122" s="71">
        <f t="shared" ca="1" si="15"/>
        <v>0</v>
      </c>
      <c r="AO122" s="71"/>
      <c r="AP122" s="71"/>
      <c r="AQ122" s="71">
        <f ca="1">-IF(C122=1,('Invoer gegevens (N)'!$C$10*'Invoer gegevens (N)'!$F$35)*'Reeksen (N)'!J122,0)*2</f>
        <v>0</v>
      </c>
      <c r="AR122" s="71">
        <f ca="1">-IF(C122=1,(G122*'Invoer gegevens (N)'!$F$36)*'Reeksen (N)'!J122,0)</f>
        <v>0</v>
      </c>
      <c r="AS122" s="71">
        <f ca="1">-IF(C122=1,'Invoer gegevens (N)'!$C$10*'Invoer gegevens (N)'!$F$37*'Reeksen (N)'!L122,0)</f>
        <v>0</v>
      </c>
      <c r="AT122" s="71">
        <f ca="1">-IF(C122=1,IF(E122='Invoer gegevens (N)'!$C$17,'Invoer gegevens (N)'!$C$11,Q122)*'Reeksen (N)'!S122*'Invoer gegevens (N)'!$C$18*'Reeksen (N)'!P122,0)</f>
        <v>0</v>
      </c>
      <c r="AU122" s="71">
        <f ca="1">-IF(C122=1,'Invoer gegevens (N)'!$C$10*'Invoer gegevens (N)'!$F$38*'Reeksen (N)'!H122,0)</f>
        <v>0</v>
      </c>
      <c r="AV122" s="71">
        <v>0</v>
      </c>
      <c r="AW122" s="71">
        <f t="shared" ca="1" si="16"/>
        <v>0</v>
      </c>
      <c r="AX122" s="71">
        <f ca="1">IF(E122&lt;'Invoer gegevens (N)'!$C$17+15,0,IF('RW - MW - DE - DE (N)'!E122&gt;'Invoer gegevens (N)'!$C$17+215,0,'RW - MW - DE - DE (N)'!AW122))</f>
        <v>0</v>
      </c>
      <c r="AY122" s="71">
        <f ca="1">AX122/(1+'Invoer gegevens (N)'!$F$13)^($AZ122-('Invoer gegevens (N)'!$C$17-'Invoer gegevens (N)'!$C$16))/(1+'Invoer gegevens (N)'!$C$39)^('Invoer gegevens (N)'!$C$17-'Invoer gegevens (N)'!$C$16)</f>
        <v>0</v>
      </c>
      <c r="AZ122" s="68">
        <f ca="1">IF(E122-'Invoer gegevens (N)'!$C$17-14.5&lt;0,0,E122-'Invoer gegevens (N)'!$C$17-14.5)</f>
        <v>102.5</v>
      </c>
      <c r="BC122" s="71"/>
    </row>
    <row r="123" spans="2:55" s="230" customFormat="1" x14ac:dyDescent="0.25">
      <c r="B123" s="70">
        <f t="shared" si="17"/>
        <v>119</v>
      </c>
      <c r="C123" s="67">
        <f ca="1">IF(E123-'Invoer gegevens (N)'!$C$17&lt;0,0,1)</f>
        <v>1</v>
      </c>
      <c r="D123" s="68">
        <f t="shared" si="18"/>
        <v>118.5</v>
      </c>
      <c r="E123" s="69">
        <f ca="1">IF('Invoer gegevens (N)'!$C$16="","",E122+1)</f>
        <v>2137</v>
      </c>
      <c r="F123" s="82">
        <f ca="1">IF('Invoer gegevens (N)'!$C$17=E123,'Invoer gegevens (N)'!$C$10,IF(C123=1,H122,0))</f>
        <v>0</v>
      </c>
      <c r="G123" s="83">
        <f ca="1">IF(C123&gt;=1,F123*'Reeksen (N)'!C123,0)</f>
        <v>0</v>
      </c>
      <c r="H123" s="84">
        <f t="shared" ca="1" si="11"/>
        <v>0</v>
      </c>
      <c r="I123" s="85">
        <f ca="1">IF('Invoer gegevens (N)'!$C$17=E123,'Invoer gegevens (N)'!$C$11,IF(C123=1,L122,0))</f>
        <v>0</v>
      </c>
      <c r="J123" s="86">
        <f ca="1">IF(C123&lt;1,0,IF('Reeksen (N)'!AD123&lt;='Reeksen (N)'!AE123,I123*'Reeksen (N)'!C123,0))</f>
        <v>0</v>
      </c>
      <c r="K123" s="86">
        <f ca="1">IF(C123&lt;1,0,IF('Reeksen (N)'!AD123&gt;'Reeksen (N)'!AE123,I123*'Reeksen (N)'!C123,0))</f>
        <v>0</v>
      </c>
      <c r="L123" s="86">
        <f t="shared" ca="1" si="12"/>
        <v>0</v>
      </c>
      <c r="M123" s="85">
        <f ca="1">IF('Invoer gegevens (N)'!$C$17=E123,'Invoer gegevens (N)'!$C$10-'Invoer gegevens (N)'!$C$11,IF(C123=1,P122,0))</f>
        <v>0</v>
      </c>
      <c r="N123" s="86">
        <f ca="1">IF(C123&lt;1,0,IF('Reeksen (N)'!AD123&lt;='Reeksen (N)'!AE123,M123*'Reeksen (N)'!C123,0))</f>
        <v>0</v>
      </c>
      <c r="O123" s="86">
        <f ca="1">IF(C123&lt;1,0,IF('Reeksen (N)'!AD123&gt;'Reeksen (N)'!AE123,M123*'Reeksen (N)'!C123,0))</f>
        <v>0</v>
      </c>
      <c r="P123" s="86">
        <f t="shared" ca="1" si="13"/>
        <v>0</v>
      </c>
      <c r="Q123" s="82">
        <f ca="1">IF('Invoer gegevens (N)'!$C$17=E123,I123,IF(C123=0,0,R122))</f>
        <v>0</v>
      </c>
      <c r="R123" s="84">
        <f t="shared" ca="1" si="10"/>
        <v>0</v>
      </c>
      <c r="S123" s="84">
        <f ca="1">IF('Invoer gegevens (N)'!$C$17=E123,M123,IF(C123=0,0,T122))</f>
        <v>0</v>
      </c>
      <c r="T123" s="84">
        <f t="shared" ca="1" si="19"/>
        <v>0</v>
      </c>
      <c r="AI123" s="71">
        <f ca="1">IF(C123=1,((F123+H123)/2*'Reeksen (N)'!AI123*12)+(('Invoer gegevens (N)'!$C$10-(F123+H123)/2)*'Reeksen (N)'!AD123*12),0)</f>
        <v>0</v>
      </c>
      <c r="AJ123" s="71">
        <f ca="1">-AI123*'Invoer gegevens (N)'!$F$28</f>
        <v>0</v>
      </c>
      <c r="AK123" s="71">
        <f t="shared" ca="1" si="14"/>
        <v>0</v>
      </c>
      <c r="AL123" s="71">
        <f ca="1">IF(C123=1,(12*((F123+H123)/2)*'Reeksen (N)'!AL123)+(12*('Invoer gegevens (N)'!$C$10-(F123+H123)/2)*'Reeksen (N)'!AM123),0)</f>
        <v>0</v>
      </c>
      <c r="AM123" s="71">
        <f ca="1">-AL123*'Invoer gegevens (N)'!$F$31</f>
        <v>0</v>
      </c>
      <c r="AN123" s="71">
        <f t="shared" ca="1" si="15"/>
        <v>0</v>
      </c>
      <c r="AO123" s="71"/>
      <c r="AP123" s="71"/>
      <c r="AQ123" s="71">
        <f ca="1">-IF(C123=1,('Invoer gegevens (N)'!$C$10*'Invoer gegevens (N)'!$F$35)*'Reeksen (N)'!J123,0)*2</f>
        <v>0</v>
      </c>
      <c r="AR123" s="71">
        <f ca="1">-IF(C123=1,(G123*'Invoer gegevens (N)'!$F$36)*'Reeksen (N)'!J123,0)</f>
        <v>0</v>
      </c>
      <c r="AS123" s="71">
        <f ca="1">-IF(C123=1,'Invoer gegevens (N)'!$C$10*'Invoer gegevens (N)'!$F$37*'Reeksen (N)'!L123,0)</f>
        <v>0</v>
      </c>
      <c r="AT123" s="71">
        <f ca="1">-IF(C123=1,IF(E123='Invoer gegevens (N)'!$C$17,'Invoer gegevens (N)'!$C$11,Q123)*'Reeksen (N)'!S123*'Invoer gegevens (N)'!$C$18*'Reeksen (N)'!P123,0)</f>
        <v>0</v>
      </c>
      <c r="AU123" s="71">
        <f ca="1">-IF(C123=1,'Invoer gegevens (N)'!$C$10*'Invoer gegevens (N)'!$F$38*'Reeksen (N)'!H123,0)</f>
        <v>0</v>
      </c>
      <c r="AV123" s="71">
        <v>0</v>
      </c>
      <c r="AW123" s="71">
        <f t="shared" ca="1" si="16"/>
        <v>0</v>
      </c>
      <c r="AX123" s="71">
        <f ca="1">IF(E123&lt;'Invoer gegevens (N)'!$C$17+15,0,IF('RW - MW - DE - DE (N)'!E123&gt;'Invoer gegevens (N)'!$C$17+215,0,'RW - MW - DE - DE (N)'!AW123))</f>
        <v>0</v>
      </c>
      <c r="AY123" s="71">
        <f ca="1">AX123/(1+'Invoer gegevens (N)'!$F$13)^($AZ123-('Invoer gegevens (N)'!$C$17-'Invoer gegevens (N)'!$C$16))/(1+'Invoer gegevens (N)'!$C$39)^('Invoer gegevens (N)'!$C$17-'Invoer gegevens (N)'!$C$16)</f>
        <v>0</v>
      </c>
      <c r="AZ123" s="68">
        <f ca="1">IF(E123-'Invoer gegevens (N)'!$C$17-14.5&lt;0,0,E123-'Invoer gegevens (N)'!$C$17-14.5)</f>
        <v>103.5</v>
      </c>
      <c r="BC123" s="71"/>
    </row>
    <row r="124" spans="2:55" s="230" customFormat="1" x14ac:dyDescent="0.25">
      <c r="B124" s="70">
        <f t="shared" si="17"/>
        <v>120</v>
      </c>
      <c r="C124" s="67">
        <f ca="1">IF(E124-'Invoer gegevens (N)'!$C$17&lt;0,0,1)</f>
        <v>1</v>
      </c>
      <c r="D124" s="68">
        <f t="shared" si="18"/>
        <v>119.5</v>
      </c>
      <c r="E124" s="69">
        <f ca="1">IF('Invoer gegevens (N)'!$C$16="","",E123+1)</f>
        <v>2138</v>
      </c>
      <c r="F124" s="82">
        <f ca="1">IF('Invoer gegevens (N)'!$C$17=E124,'Invoer gegevens (N)'!$C$10,IF(C124=1,H123,0))</f>
        <v>0</v>
      </c>
      <c r="G124" s="83">
        <f ca="1">IF(C124&gt;=1,F124*'Reeksen (N)'!C124,0)</f>
        <v>0</v>
      </c>
      <c r="H124" s="84">
        <f t="shared" ca="1" si="11"/>
        <v>0</v>
      </c>
      <c r="I124" s="85">
        <f ca="1">IF('Invoer gegevens (N)'!$C$17=E124,'Invoer gegevens (N)'!$C$11,IF(C124=1,L123,0))</f>
        <v>0</v>
      </c>
      <c r="J124" s="86">
        <f ca="1">IF(C124&lt;1,0,IF('Reeksen (N)'!AD124&lt;='Reeksen (N)'!AE124,I124*'Reeksen (N)'!C124,0))</f>
        <v>0</v>
      </c>
      <c r="K124" s="86">
        <f ca="1">IF(C124&lt;1,0,IF('Reeksen (N)'!AD124&gt;'Reeksen (N)'!AE124,I124*'Reeksen (N)'!C124,0))</f>
        <v>0</v>
      </c>
      <c r="L124" s="86">
        <f t="shared" ca="1" si="12"/>
        <v>0</v>
      </c>
      <c r="M124" s="85">
        <f ca="1">IF('Invoer gegevens (N)'!$C$17=E124,'Invoer gegevens (N)'!$C$10-'Invoer gegevens (N)'!$C$11,IF(C124=1,P123,0))</f>
        <v>0</v>
      </c>
      <c r="N124" s="86">
        <f ca="1">IF(C124&lt;1,0,IF('Reeksen (N)'!AD124&lt;='Reeksen (N)'!AE124,M124*'Reeksen (N)'!C124,0))</f>
        <v>0</v>
      </c>
      <c r="O124" s="86">
        <f ca="1">IF(C124&lt;1,0,IF('Reeksen (N)'!AD124&gt;'Reeksen (N)'!AE124,M124*'Reeksen (N)'!C124,0))</f>
        <v>0</v>
      </c>
      <c r="P124" s="86">
        <f t="shared" ca="1" si="13"/>
        <v>0</v>
      </c>
      <c r="Q124" s="82">
        <f ca="1">IF('Invoer gegevens (N)'!$C$17=E124,I124,IF(C124=0,0,R123))</f>
        <v>0</v>
      </c>
      <c r="R124" s="84">
        <f t="shared" ca="1" si="10"/>
        <v>0</v>
      </c>
      <c r="S124" s="84">
        <f ca="1">IF('Invoer gegevens (N)'!$C$17=E124,M124,IF(C124=0,0,T123))</f>
        <v>0</v>
      </c>
      <c r="T124" s="84">
        <f t="shared" ca="1" si="19"/>
        <v>0</v>
      </c>
      <c r="AI124" s="71">
        <f ca="1">IF(C124=1,((F124+H124)/2*'Reeksen (N)'!AI124*12)+(('Invoer gegevens (N)'!$C$10-(F124+H124)/2)*'Reeksen (N)'!AD124*12),0)</f>
        <v>0</v>
      </c>
      <c r="AJ124" s="71">
        <f ca="1">-AI124*'Invoer gegevens (N)'!$F$28</f>
        <v>0</v>
      </c>
      <c r="AK124" s="71">
        <f t="shared" ca="1" si="14"/>
        <v>0</v>
      </c>
      <c r="AL124" s="71">
        <f ca="1">IF(C124=1,(12*((F124+H124)/2)*'Reeksen (N)'!AL124)+(12*('Invoer gegevens (N)'!$C$10-(F124+H124)/2)*'Reeksen (N)'!AM124),0)</f>
        <v>0</v>
      </c>
      <c r="AM124" s="71">
        <f ca="1">-AL124*'Invoer gegevens (N)'!$F$31</f>
        <v>0</v>
      </c>
      <c r="AN124" s="71">
        <f t="shared" ca="1" si="15"/>
        <v>0</v>
      </c>
      <c r="AO124" s="71"/>
      <c r="AP124" s="71"/>
      <c r="AQ124" s="71">
        <f ca="1">-IF(C124=1,('Invoer gegevens (N)'!$C$10*'Invoer gegevens (N)'!$F$35)*'Reeksen (N)'!J124,0)*2</f>
        <v>0</v>
      </c>
      <c r="AR124" s="71">
        <f ca="1">-IF(C124=1,(G124*'Invoer gegevens (N)'!$F$36)*'Reeksen (N)'!J124,0)</f>
        <v>0</v>
      </c>
      <c r="AS124" s="71">
        <f ca="1">-IF(C124=1,'Invoer gegevens (N)'!$C$10*'Invoer gegevens (N)'!$F$37*'Reeksen (N)'!L124,0)</f>
        <v>0</v>
      </c>
      <c r="AT124" s="71">
        <f ca="1">-IF(C124=1,IF(E124='Invoer gegevens (N)'!$C$17,'Invoer gegevens (N)'!$C$11,Q124)*'Reeksen (N)'!S124*'Invoer gegevens (N)'!$C$18*'Reeksen (N)'!P124,0)</f>
        <v>0</v>
      </c>
      <c r="AU124" s="71">
        <f ca="1">-IF(C124=1,'Invoer gegevens (N)'!$C$10*'Invoer gegevens (N)'!$F$38*'Reeksen (N)'!H124,0)</f>
        <v>0</v>
      </c>
      <c r="AV124" s="71">
        <v>0</v>
      </c>
      <c r="AW124" s="71">
        <f t="shared" ca="1" si="16"/>
        <v>0</v>
      </c>
      <c r="AX124" s="71">
        <f ca="1">IF(E124&lt;'Invoer gegevens (N)'!$C$17+15,0,IF('RW - MW - DE - DE (N)'!E124&gt;'Invoer gegevens (N)'!$C$17+215,0,'RW - MW - DE - DE (N)'!AW124))</f>
        <v>0</v>
      </c>
      <c r="AY124" s="71">
        <f ca="1">AX124/(1+'Invoer gegevens (N)'!$F$13)^($AZ124-('Invoer gegevens (N)'!$C$17-'Invoer gegevens (N)'!$C$16))/(1+'Invoer gegevens (N)'!$C$39)^('Invoer gegevens (N)'!$C$17-'Invoer gegevens (N)'!$C$16)</f>
        <v>0</v>
      </c>
      <c r="AZ124" s="68">
        <f ca="1">IF(E124-'Invoer gegevens (N)'!$C$17-14.5&lt;0,0,E124-'Invoer gegevens (N)'!$C$17-14.5)</f>
        <v>104.5</v>
      </c>
      <c r="BC124" s="71"/>
    </row>
    <row r="125" spans="2:55" s="230" customFormat="1" x14ac:dyDescent="0.25">
      <c r="B125" s="70">
        <f t="shared" si="17"/>
        <v>121</v>
      </c>
      <c r="C125" s="67">
        <f ca="1">IF(E125-'Invoer gegevens (N)'!$C$17&lt;0,0,1)</f>
        <v>1</v>
      </c>
      <c r="D125" s="68">
        <f t="shared" si="18"/>
        <v>120.5</v>
      </c>
      <c r="E125" s="69">
        <f ca="1">IF('Invoer gegevens (N)'!$C$16="","",E124+1)</f>
        <v>2139</v>
      </c>
      <c r="F125" s="82">
        <f ca="1">IF('Invoer gegevens (N)'!$C$17=E125,'Invoer gegevens (N)'!$C$10,IF(C125=1,H124,0))</f>
        <v>0</v>
      </c>
      <c r="G125" s="83">
        <f ca="1">IF(C125&gt;=1,F125*'Reeksen (N)'!C125,0)</f>
        <v>0</v>
      </c>
      <c r="H125" s="84">
        <f t="shared" ca="1" si="11"/>
        <v>0</v>
      </c>
      <c r="I125" s="85">
        <f ca="1">IF('Invoer gegevens (N)'!$C$17=E125,'Invoer gegevens (N)'!$C$11,IF(C125=1,L124,0))</f>
        <v>0</v>
      </c>
      <c r="J125" s="86">
        <f ca="1">IF(C125&lt;1,0,IF('Reeksen (N)'!AD125&lt;='Reeksen (N)'!AE125,I125*'Reeksen (N)'!C125,0))</f>
        <v>0</v>
      </c>
      <c r="K125" s="86">
        <f ca="1">IF(C125&lt;1,0,IF('Reeksen (N)'!AD125&gt;'Reeksen (N)'!AE125,I125*'Reeksen (N)'!C125,0))</f>
        <v>0</v>
      </c>
      <c r="L125" s="86">
        <f t="shared" ca="1" si="12"/>
        <v>0</v>
      </c>
      <c r="M125" s="85">
        <f ca="1">IF('Invoer gegevens (N)'!$C$17=E125,'Invoer gegevens (N)'!$C$10-'Invoer gegevens (N)'!$C$11,IF(C125=1,P124,0))</f>
        <v>0</v>
      </c>
      <c r="N125" s="86">
        <f ca="1">IF(C125&lt;1,0,IF('Reeksen (N)'!AD125&lt;='Reeksen (N)'!AE125,M125*'Reeksen (N)'!C125,0))</f>
        <v>0</v>
      </c>
      <c r="O125" s="86">
        <f ca="1">IF(C125&lt;1,0,IF('Reeksen (N)'!AD125&gt;'Reeksen (N)'!AE125,M125*'Reeksen (N)'!C125,0))</f>
        <v>0</v>
      </c>
      <c r="P125" s="86">
        <f t="shared" ca="1" si="13"/>
        <v>0</v>
      </c>
      <c r="Q125" s="82">
        <f ca="1">IF('Invoer gegevens (N)'!$C$17=E125,I125,IF(C125=0,0,R124))</f>
        <v>0</v>
      </c>
      <c r="R125" s="84">
        <f t="shared" ca="1" si="10"/>
        <v>0</v>
      </c>
      <c r="S125" s="84">
        <f ca="1">IF('Invoer gegevens (N)'!$C$17=E125,M125,IF(C125=0,0,T124))</f>
        <v>0</v>
      </c>
      <c r="T125" s="84">
        <f t="shared" ca="1" si="19"/>
        <v>0</v>
      </c>
      <c r="AI125" s="71">
        <f ca="1">IF(C125=1,((F125+H125)/2*'Reeksen (N)'!AI125*12)+(('Invoer gegevens (N)'!$C$10-(F125+H125)/2)*'Reeksen (N)'!AD125*12),0)</f>
        <v>0</v>
      </c>
      <c r="AJ125" s="71">
        <f ca="1">-AI125*'Invoer gegevens (N)'!$F$28</f>
        <v>0</v>
      </c>
      <c r="AK125" s="71">
        <f t="shared" ca="1" si="14"/>
        <v>0</v>
      </c>
      <c r="AL125" s="71">
        <f ca="1">IF(C125=1,(12*((F125+H125)/2)*'Reeksen (N)'!AL125)+(12*('Invoer gegevens (N)'!$C$10-(F125+H125)/2)*'Reeksen (N)'!AM125),0)</f>
        <v>0</v>
      </c>
      <c r="AM125" s="71">
        <f ca="1">-AL125*'Invoer gegevens (N)'!$F$31</f>
        <v>0</v>
      </c>
      <c r="AN125" s="71">
        <f t="shared" ca="1" si="15"/>
        <v>0</v>
      </c>
      <c r="AO125" s="71"/>
      <c r="AP125" s="71"/>
      <c r="AQ125" s="71">
        <f ca="1">-IF(C125=1,('Invoer gegevens (N)'!$C$10*'Invoer gegevens (N)'!$F$35)*'Reeksen (N)'!J125,0)*2</f>
        <v>0</v>
      </c>
      <c r="AR125" s="71">
        <f ca="1">-IF(C125=1,(G125*'Invoer gegevens (N)'!$F$36)*'Reeksen (N)'!J125,0)</f>
        <v>0</v>
      </c>
      <c r="AS125" s="71">
        <f ca="1">-IF(C125=1,'Invoer gegevens (N)'!$C$10*'Invoer gegevens (N)'!$F$37*'Reeksen (N)'!L125,0)</f>
        <v>0</v>
      </c>
      <c r="AT125" s="71">
        <f ca="1">-IF(C125=1,IF(E125='Invoer gegevens (N)'!$C$17,'Invoer gegevens (N)'!$C$11,Q125)*'Reeksen (N)'!S125*'Invoer gegevens (N)'!$C$18*'Reeksen (N)'!P125,0)</f>
        <v>0</v>
      </c>
      <c r="AU125" s="71">
        <f ca="1">-IF(C125=1,'Invoer gegevens (N)'!$C$10*'Invoer gegevens (N)'!$F$38*'Reeksen (N)'!H125,0)</f>
        <v>0</v>
      </c>
      <c r="AV125" s="71">
        <v>0</v>
      </c>
      <c r="AW125" s="71">
        <f t="shared" ca="1" si="16"/>
        <v>0</v>
      </c>
      <c r="AX125" s="71">
        <f ca="1">IF(E125&lt;'Invoer gegevens (N)'!$C$17+15,0,IF('RW - MW - DE - DE (N)'!E125&gt;'Invoer gegevens (N)'!$C$17+215,0,'RW - MW - DE - DE (N)'!AW125))</f>
        <v>0</v>
      </c>
      <c r="AY125" s="71">
        <f ca="1">AX125/(1+'Invoer gegevens (N)'!$F$13)^($AZ125-('Invoer gegevens (N)'!$C$17-'Invoer gegevens (N)'!$C$16))/(1+'Invoer gegevens (N)'!$C$39)^('Invoer gegevens (N)'!$C$17-'Invoer gegevens (N)'!$C$16)</f>
        <v>0</v>
      </c>
      <c r="AZ125" s="68">
        <f ca="1">IF(E125-'Invoer gegevens (N)'!$C$17-14.5&lt;0,0,E125-'Invoer gegevens (N)'!$C$17-14.5)</f>
        <v>105.5</v>
      </c>
      <c r="BC125" s="71"/>
    </row>
    <row r="126" spans="2:55" s="230" customFormat="1" x14ac:dyDescent="0.25">
      <c r="B126" s="70">
        <f t="shared" si="17"/>
        <v>122</v>
      </c>
      <c r="C126" s="67">
        <f ca="1">IF(E126-'Invoer gegevens (N)'!$C$17&lt;0,0,1)</f>
        <v>1</v>
      </c>
      <c r="D126" s="68">
        <f t="shared" si="18"/>
        <v>121.5</v>
      </c>
      <c r="E126" s="69">
        <f ca="1">IF('Invoer gegevens (N)'!$C$16="","",E125+1)</f>
        <v>2140</v>
      </c>
      <c r="F126" s="82">
        <f ca="1">IF('Invoer gegevens (N)'!$C$17=E126,'Invoer gegevens (N)'!$C$10,IF(C126=1,H125,0))</f>
        <v>0</v>
      </c>
      <c r="G126" s="83">
        <f ca="1">IF(C126&gt;=1,F126*'Reeksen (N)'!C126,0)</f>
        <v>0</v>
      </c>
      <c r="H126" s="84">
        <f t="shared" ca="1" si="11"/>
        <v>0</v>
      </c>
      <c r="I126" s="85">
        <f ca="1">IF('Invoer gegevens (N)'!$C$17=E126,'Invoer gegevens (N)'!$C$11,IF(C126=1,L125,0))</f>
        <v>0</v>
      </c>
      <c r="J126" s="86">
        <f ca="1">IF(C126&lt;1,0,IF('Reeksen (N)'!AD126&lt;='Reeksen (N)'!AE126,I126*'Reeksen (N)'!C126,0))</f>
        <v>0</v>
      </c>
      <c r="K126" s="86">
        <f ca="1">IF(C126&lt;1,0,IF('Reeksen (N)'!AD126&gt;'Reeksen (N)'!AE126,I126*'Reeksen (N)'!C126,0))</f>
        <v>0</v>
      </c>
      <c r="L126" s="86">
        <f t="shared" ca="1" si="12"/>
        <v>0</v>
      </c>
      <c r="M126" s="85">
        <f ca="1">IF('Invoer gegevens (N)'!$C$17=E126,'Invoer gegevens (N)'!$C$10-'Invoer gegevens (N)'!$C$11,IF(C126=1,P125,0))</f>
        <v>0</v>
      </c>
      <c r="N126" s="86">
        <f ca="1">IF(C126&lt;1,0,IF('Reeksen (N)'!AD126&lt;='Reeksen (N)'!AE126,M126*'Reeksen (N)'!C126,0))</f>
        <v>0</v>
      </c>
      <c r="O126" s="86">
        <f ca="1">IF(C126&lt;1,0,IF('Reeksen (N)'!AD126&gt;'Reeksen (N)'!AE126,M126*'Reeksen (N)'!C126,0))</f>
        <v>0</v>
      </c>
      <c r="P126" s="86">
        <f t="shared" ca="1" si="13"/>
        <v>0</v>
      </c>
      <c r="Q126" s="82">
        <f ca="1">IF('Invoer gegevens (N)'!$C$17=E126,I126,IF(C126=0,0,R125))</f>
        <v>0</v>
      </c>
      <c r="R126" s="84">
        <f t="shared" ca="1" si="10"/>
        <v>0</v>
      </c>
      <c r="S126" s="84">
        <f ca="1">IF('Invoer gegevens (N)'!$C$17=E126,M126,IF(C126=0,0,T125))</f>
        <v>0</v>
      </c>
      <c r="T126" s="84">
        <f t="shared" ca="1" si="19"/>
        <v>0</v>
      </c>
      <c r="AI126" s="71">
        <f ca="1">IF(C126=1,((F126+H126)/2*'Reeksen (N)'!AI126*12)+(('Invoer gegevens (N)'!$C$10-(F126+H126)/2)*'Reeksen (N)'!AD126*12),0)</f>
        <v>0</v>
      </c>
      <c r="AJ126" s="71">
        <f ca="1">-AI126*'Invoer gegevens (N)'!$F$28</f>
        <v>0</v>
      </c>
      <c r="AK126" s="71">
        <f t="shared" ca="1" si="14"/>
        <v>0</v>
      </c>
      <c r="AL126" s="71">
        <f ca="1">IF(C126=1,(12*((F126+H126)/2)*'Reeksen (N)'!AL126)+(12*('Invoer gegevens (N)'!$C$10-(F126+H126)/2)*'Reeksen (N)'!AM126),0)</f>
        <v>0</v>
      </c>
      <c r="AM126" s="71">
        <f ca="1">-AL126*'Invoer gegevens (N)'!$F$31</f>
        <v>0</v>
      </c>
      <c r="AN126" s="71">
        <f t="shared" ca="1" si="15"/>
        <v>0</v>
      </c>
      <c r="AO126" s="71"/>
      <c r="AP126" s="71"/>
      <c r="AQ126" s="71">
        <f ca="1">-IF(C126=1,('Invoer gegevens (N)'!$C$10*'Invoer gegevens (N)'!$F$35)*'Reeksen (N)'!J126,0)*2</f>
        <v>0</v>
      </c>
      <c r="AR126" s="71">
        <f ca="1">-IF(C126=1,(G126*'Invoer gegevens (N)'!$F$36)*'Reeksen (N)'!J126,0)</f>
        <v>0</v>
      </c>
      <c r="AS126" s="71">
        <f ca="1">-IF(C126=1,'Invoer gegevens (N)'!$C$10*'Invoer gegevens (N)'!$F$37*'Reeksen (N)'!L126,0)</f>
        <v>0</v>
      </c>
      <c r="AT126" s="71">
        <f ca="1">-IF(C126=1,IF(E126='Invoer gegevens (N)'!$C$17,'Invoer gegevens (N)'!$C$11,Q126)*'Reeksen (N)'!S126*'Invoer gegevens (N)'!$C$18*'Reeksen (N)'!P126,0)</f>
        <v>0</v>
      </c>
      <c r="AU126" s="71">
        <f ca="1">-IF(C126=1,'Invoer gegevens (N)'!$C$10*'Invoer gegevens (N)'!$F$38*'Reeksen (N)'!H126,0)</f>
        <v>0</v>
      </c>
      <c r="AV126" s="71">
        <v>0</v>
      </c>
      <c r="AW126" s="71">
        <f t="shared" ca="1" si="16"/>
        <v>0</v>
      </c>
      <c r="AX126" s="71">
        <f ca="1">IF(E126&lt;'Invoer gegevens (N)'!$C$17+15,0,IF('RW - MW - DE - DE (N)'!E126&gt;'Invoer gegevens (N)'!$C$17+215,0,'RW - MW - DE - DE (N)'!AW126))</f>
        <v>0</v>
      </c>
      <c r="AY126" s="71">
        <f ca="1">AX126/(1+'Invoer gegevens (N)'!$F$13)^($AZ126-('Invoer gegevens (N)'!$C$17-'Invoer gegevens (N)'!$C$16))/(1+'Invoer gegevens (N)'!$C$39)^('Invoer gegevens (N)'!$C$17-'Invoer gegevens (N)'!$C$16)</f>
        <v>0</v>
      </c>
      <c r="AZ126" s="68">
        <f ca="1">IF(E126-'Invoer gegevens (N)'!$C$17-14.5&lt;0,0,E126-'Invoer gegevens (N)'!$C$17-14.5)</f>
        <v>106.5</v>
      </c>
      <c r="BC126" s="71"/>
    </row>
    <row r="127" spans="2:55" s="230" customFormat="1" x14ac:dyDescent="0.25">
      <c r="B127" s="70">
        <f t="shared" si="17"/>
        <v>123</v>
      </c>
      <c r="C127" s="67">
        <f ca="1">IF(E127-'Invoer gegevens (N)'!$C$17&lt;0,0,1)</f>
        <v>1</v>
      </c>
      <c r="D127" s="68">
        <f t="shared" si="18"/>
        <v>122.5</v>
      </c>
      <c r="E127" s="69">
        <f ca="1">IF('Invoer gegevens (N)'!$C$16="","",E126+1)</f>
        <v>2141</v>
      </c>
      <c r="F127" s="82">
        <f ca="1">IF('Invoer gegevens (N)'!$C$17=E127,'Invoer gegevens (N)'!$C$10,IF(C127=1,H126,0))</f>
        <v>0</v>
      </c>
      <c r="G127" s="83">
        <f ca="1">IF(C127&gt;=1,F127*'Reeksen (N)'!C127,0)</f>
        <v>0</v>
      </c>
      <c r="H127" s="84">
        <f t="shared" ca="1" si="11"/>
        <v>0</v>
      </c>
      <c r="I127" s="85">
        <f ca="1">IF('Invoer gegevens (N)'!$C$17=E127,'Invoer gegevens (N)'!$C$11,IF(C127=1,L126,0))</f>
        <v>0</v>
      </c>
      <c r="J127" s="86">
        <f ca="1">IF(C127&lt;1,0,IF('Reeksen (N)'!AD127&lt;='Reeksen (N)'!AE127,I127*'Reeksen (N)'!C127,0))</f>
        <v>0</v>
      </c>
      <c r="K127" s="86">
        <f ca="1">IF(C127&lt;1,0,IF('Reeksen (N)'!AD127&gt;'Reeksen (N)'!AE127,I127*'Reeksen (N)'!C127,0))</f>
        <v>0</v>
      </c>
      <c r="L127" s="86">
        <f t="shared" ca="1" si="12"/>
        <v>0</v>
      </c>
      <c r="M127" s="85">
        <f ca="1">IF('Invoer gegevens (N)'!$C$17=E127,'Invoer gegevens (N)'!$C$10-'Invoer gegevens (N)'!$C$11,IF(C127=1,P126,0))</f>
        <v>0</v>
      </c>
      <c r="N127" s="86">
        <f ca="1">IF(C127&lt;1,0,IF('Reeksen (N)'!AD127&lt;='Reeksen (N)'!AE127,M127*'Reeksen (N)'!C127,0))</f>
        <v>0</v>
      </c>
      <c r="O127" s="86">
        <f ca="1">IF(C127&lt;1,0,IF('Reeksen (N)'!AD127&gt;'Reeksen (N)'!AE127,M127*'Reeksen (N)'!C127,0))</f>
        <v>0</v>
      </c>
      <c r="P127" s="86">
        <f t="shared" ca="1" si="13"/>
        <v>0</v>
      </c>
      <c r="Q127" s="82">
        <f ca="1">IF('Invoer gegevens (N)'!$C$17=E127,I127,IF(C127=0,0,R126))</f>
        <v>0</v>
      </c>
      <c r="R127" s="84">
        <f t="shared" ca="1" si="10"/>
        <v>0</v>
      </c>
      <c r="S127" s="84">
        <f ca="1">IF('Invoer gegevens (N)'!$C$17=E127,M127,IF(C127=0,0,T126))</f>
        <v>0</v>
      </c>
      <c r="T127" s="84">
        <f t="shared" ca="1" si="19"/>
        <v>0</v>
      </c>
      <c r="AI127" s="71">
        <f ca="1">IF(C127=1,((F127+H127)/2*'Reeksen (N)'!AI127*12)+(('Invoer gegevens (N)'!$C$10-(F127+H127)/2)*'Reeksen (N)'!AD127*12),0)</f>
        <v>0</v>
      </c>
      <c r="AJ127" s="71">
        <f ca="1">-AI127*'Invoer gegevens (N)'!$F$28</f>
        <v>0</v>
      </c>
      <c r="AK127" s="71">
        <f t="shared" ca="1" si="14"/>
        <v>0</v>
      </c>
      <c r="AL127" s="71">
        <f ca="1">IF(C127=1,(12*((F127+H127)/2)*'Reeksen (N)'!AL127)+(12*('Invoer gegevens (N)'!$C$10-(F127+H127)/2)*'Reeksen (N)'!AM127),0)</f>
        <v>0</v>
      </c>
      <c r="AM127" s="71">
        <f ca="1">-AL127*'Invoer gegevens (N)'!$F$31</f>
        <v>0</v>
      </c>
      <c r="AN127" s="71">
        <f t="shared" ca="1" si="15"/>
        <v>0</v>
      </c>
      <c r="AO127" s="71"/>
      <c r="AP127" s="71"/>
      <c r="AQ127" s="71">
        <f ca="1">-IF(C127=1,('Invoer gegevens (N)'!$C$10*'Invoer gegevens (N)'!$F$35)*'Reeksen (N)'!J127,0)*2</f>
        <v>0</v>
      </c>
      <c r="AR127" s="71">
        <f ca="1">-IF(C127=1,(G127*'Invoer gegevens (N)'!$F$36)*'Reeksen (N)'!J127,0)</f>
        <v>0</v>
      </c>
      <c r="AS127" s="71">
        <f ca="1">-IF(C127=1,'Invoer gegevens (N)'!$C$10*'Invoer gegevens (N)'!$F$37*'Reeksen (N)'!L127,0)</f>
        <v>0</v>
      </c>
      <c r="AT127" s="71">
        <f ca="1">-IF(C127=1,IF(E127='Invoer gegevens (N)'!$C$17,'Invoer gegevens (N)'!$C$11,Q127)*'Reeksen (N)'!S127*'Invoer gegevens (N)'!$C$18*'Reeksen (N)'!P127,0)</f>
        <v>0</v>
      </c>
      <c r="AU127" s="71">
        <f ca="1">-IF(C127=1,'Invoer gegevens (N)'!$C$10*'Invoer gegevens (N)'!$F$38*'Reeksen (N)'!H127,0)</f>
        <v>0</v>
      </c>
      <c r="AV127" s="71">
        <v>0</v>
      </c>
      <c r="AW127" s="71">
        <f t="shared" ca="1" si="16"/>
        <v>0</v>
      </c>
      <c r="AX127" s="71">
        <f ca="1">IF(E127&lt;'Invoer gegevens (N)'!$C$17+15,0,IF('RW - MW - DE - DE (N)'!E127&gt;'Invoer gegevens (N)'!$C$17+215,0,'RW - MW - DE - DE (N)'!AW127))</f>
        <v>0</v>
      </c>
      <c r="AY127" s="71">
        <f ca="1">AX127/(1+'Invoer gegevens (N)'!$F$13)^($AZ127-('Invoer gegevens (N)'!$C$17-'Invoer gegevens (N)'!$C$16))/(1+'Invoer gegevens (N)'!$C$39)^('Invoer gegevens (N)'!$C$17-'Invoer gegevens (N)'!$C$16)</f>
        <v>0</v>
      </c>
      <c r="AZ127" s="68">
        <f ca="1">IF(E127-'Invoer gegevens (N)'!$C$17-14.5&lt;0,0,E127-'Invoer gegevens (N)'!$C$17-14.5)</f>
        <v>107.5</v>
      </c>
      <c r="BC127" s="71"/>
    </row>
    <row r="128" spans="2:55" s="230" customFormat="1" x14ac:dyDescent="0.25">
      <c r="B128" s="70">
        <f t="shared" si="17"/>
        <v>124</v>
      </c>
      <c r="C128" s="67">
        <f ca="1">IF(E128-'Invoer gegevens (N)'!$C$17&lt;0,0,1)</f>
        <v>1</v>
      </c>
      <c r="D128" s="68">
        <f t="shared" si="18"/>
        <v>123.5</v>
      </c>
      <c r="E128" s="69">
        <f ca="1">IF('Invoer gegevens (N)'!$C$16="","",E127+1)</f>
        <v>2142</v>
      </c>
      <c r="F128" s="82">
        <f ca="1">IF('Invoer gegevens (N)'!$C$17=E128,'Invoer gegevens (N)'!$C$10,IF(C128=1,H127,0))</f>
        <v>0</v>
      </c>
      <c r="G128" s="83">
        <f ca="1">IF(C128&gt;=1,F128*'Reeksen (N)'!C128,0)</f>
        <v>0</v>
      </c>
      <c r="H128" s="84">
        <f t="shared" ca="1" si="11"/>
        <v>0</v>
      </c>
      <c r="I128" s="85">
        <f ca="1">IF('Invoer gegevens (N)'!$C$17=E128,'Invoer gegevens (N)'!$C$11,IF(C128=1,L127,0))</f>
        <v>0</v>
      </c>
      <c r="J128" s="86">
        <f ca="1">IF(C128&lt;1,0,IF('Reeksen (N)'!AD128&lt;='Reeksen (N)'!AE128,I128*'Reeksen (N)'!C128,0))</f>
        <v>0</v>
      </c>
      <c r="K128" s="86">
        <f ca="1">IF(C128&lt;1,0,IF('Reeksen (N)'!AD128&gt;'Reeksen (N)'!AE128,I128*'Reeksen (N)'!C128,0))</f>
        <v>0</v>
      </c>
      <c r="L128" s="86">
        <f t="shared" ca="1" si="12"/>
        <v>0</v>
      </c>
      <c r="M128" s="85">
        <f ca="1">IF('Invoer gegevens (N)'!$C$17=E128,'Invoer gegevens (N)'!$C$10-'Invoer gegevens (N)'!$C$11,IF(C128=1,P127,0))</f>
        <v>0</v>
      </c>
      <c r="N128" s="86">
        <f ca="1">IF(C128&lt;1,0,IF('Reeksen (N)'!AD128&lt;='Reeksen (N)'!AE128,M128*'Reeksen (N)'!C128,0))</f>
        <v>0</v>
      </c>
      <c r="O128" s="86">
        <f ca="1">IF(C128&lt;1,0,IF('Reeksen (N)'!AD128&gt;'Reeksen (N)'!AE128,M128*'Reeksen (N)'!C128,0))</f>
        <v>0</v>
      </c>
      <c r="P128" s="86">
        <f t="shared" ca="1" si="13"/>
        <v>0</v>
      </c>
      <c r="Q128" s="82">
        <f ca="1">IF('Invoer gegevens (N)'!$C$17=E128,I128,IF(C128=0,0,R127))</f>
        <v>0</v>
      </c>
      <c r="R128" s="84">
        <f t="shared" ca="1" si="10"/>
        <v>0</v>
      </c>
      <c r="S128" s="84">
        <f ca="1">IF('Invoer gegevens (N)'!$C$17=E128,M128,IF(C128=0,0,T127))</f>
        <v>0</v>
      </c>
      <c r="T128" s="84">
        <f t="shared" ca="1" si="19"/>
        <v>0</v>
      </c>
      <c r="AI128" s="71">
        <f ca="1">IF(C128=1,((F128+H128)/2*'Reeksen (N)'!AI128*12)+(('Invoer gegevens (N)'!$C$10-(F128+H128)/2)*'Reeksen (N)'!AD128*12),0)</f>
        <v>0</v>
      </c>
      <c r="AJ128" s="71">
        <f ca="1">-AI128*'Invoer gegevens (N)'!$F$28</f>
        <v>0</v>
      </c>
      <c r="AK128" s="71">
        <f t="shared" ca="1" si="14"/>
        <v>0</v>
      </c>
      <c r="AL128" s="71">
        <f ca="1">IF(C128=1,(12*((F128+H128)/2)*'Reeksen (N)'!AL128)+(12*('Invoer gegevens (N)'!$C$10-(F128+H128)/2)*'Reeksen (N)'!AM128),0)</f>
        <v>0</v>
      </c>
      <c r="AM128" s="71">
        <f ca="1">-AL128*'Invoer gegevens (N)'!$F$31</f>
        <v>0</v>
      </c>
      <c r="AN128" s="71">
        <f t="shared" ca="1" si="15"/>
        <v>0</v>
      </c>
      <c r="AO128" s="71"/>
      <c r="AP128" s="71"/>
      <c r="AQ128" s="71">
        <f ca="1">-IF(C128=1,('Invoer gegevens (N)'!$C$10*'Invoer gegevens (N)'!$F$35)*'Reeksen (N)'!J128,0)*2</f>
        <v>0</v>
      </c>
      <c r="AR128" s="71">
        <f ca="1">-IF(C128=1,(G128*'Invoer gegevens (N)'!$F$36)*'Reeksen (N)'!J128,0)</f>
        <v>0</v>
      </c>
      <c r="AS128" s="71">
        <f ca="1">-IF(C128=1,'Invoer gegevens (N)'!$C$10*'Invoer gegevens (N)'!$F$37*'Reeksen (N)'!L128,0)</f>
        <v>0</v>
      </c>
      <c r="AT128" s="71">
        <f ca="1">-IF(C128=1,IF(E128='Invoer gegevens (N)'!$C$17,'Invoer gegevens (N)'!$C$11,Q128)*'Reeksen (N)'!S128*'Invoer gegevens (N)'!$C$18*'Reeksen (N)'!P128,0)</f>
        <v>0</v>
      </c>
      <c r="AU128" s="71">
        <f ca="1">-IF(C128=1,'Invoer gegevens (N)'!$C$10*'Invoer gegevens (N)'!$F$38*'Reeksen (N)'!H128,0)</f>
        <v>0</v>
      </c>
      <c r="AV128" s="71">
        <v>0</v>
      </c>
      <c r="AW128" s="71">
        <f t="shared" ca="1" si="16"/>
        <v>0</v>
      </c>
      <c r="AX128" s="71">
        <f ca="1">IF(E128&lt;'Invoer gegevens (N)'!$C$17+15,0,IF('RW - MW - DE - DE (N)'!E128&gt;'Invoer gegevens (N)'!$C$17+215,0,'RW - MW - DE - DE (N)'!AW128))</f>
        <v>0</v>
      </c>
      <c r="AY128" s="71">
        <f ca="1">AX128/(1+'Invoer gegevens (N)'!$F$13)^($AZ128-('Invoer gegevens (N)'!$C$17-'Invoer gegevens (N)'!$C$16))/(1+'Invoer gegevens (N)'!$C$39)^('Invoer gegevens (N)'!$C$17-'Invoer gegevens (N)'!$C$16)</f>
        <v>0</v>
      </c>
      <c r="AZ128" s="68">
        <f ca="1">IF(E128-'Invoer gegevens (N)'!$C$17-14.5&lt;0,0,E128-'Invoer gegevens (N)'!$C$17-14.5)</f>
        <v>108.5</v>
      </c>
      <c r="BC128" s="71"/>
    </row>
    <row r="129" spans="2:55" s="230" customFormat="1" x14ac:dyDescent="0.25">
      <c r="B129" s="70">
        <f t="shared" si="17"/>
        <v>125</v>
      </c>
      <c r="C129" s="67">
        <f ca="1">IF(E129-'Invoer gegevens (N)'!$C$17&lt;0,0,1)</f>
        <v>1</v>
      </c>
      <c r="D129" s="68">
        <f t="shared" si="18"/>
        <v>124.5</v>
      </c>
      <c r="E129" s="69">
        <f ca="1">IF('Invoer gegevens (N)'!$C$16="","",E128+1)</f>
        <v>2143</v>
      </c>
      <c r="F129" s="82">
        <f ca="1">IF('Invoer gegevens (N)'!$C$17=E129,'Invoer gegevens (N)'!$C$10,IF(C129=1,H128,0))</f>
        <v>0</v>
      </c>
      <c r="G129" s="83">
        <f ca="1">IF(C129&gt;=1,F129*'Reeksen (N)'!C129,0)</f>
        <v>0</v>
      </c>
      <c r="H129" s="84">
        <f t="shared" ca="1" si="11"/>
        <v>0</v>
      </c>
      <c r="I129" s="85">
        <f ca="1">IF('Invoer gegevens (N)'!$C$17=E129,'Invoer gegevens (N)'!$C$11,IF(C129=1,L128,0))</f>
        <v>0</v>
      </c>
      <c r="J129" s="86">
        <f ca="1">IF(C129&lt;1,0,IF('Reeksen (N)'!AD129&lt;='Reeksen (N)'!AE129,I129*'Reeksen (N)'!C129,0))</f>
        <v>0</v>
      </c>
      <c r="K129" s="86">
        <f ca="1">IF(C129&lt;1,0,IF('Reeksen (N)'!AD129&gt;'Reeksen (N)'!AE129,I129*'Reeksen (N)'!C129,0))</f>
        <v>0</v>
      </c>
      <c r="L129" s="86">
        <f t="shared" ca="1" si="12"/>
        <v>0</v>
      </c>
      <c r="M129" s="85">
        <f ca="1">IF('Invoer gegevens (N)'!$C$17=E129,'Invoer gegevens (N)'!$C$10-'Invoer gegevens (N)'!$C$11,IF(C129=1,P128,0))</f>
        <v>0</v>
      </c>
      <c r="N129" s="86">
        <f ca="1">IF(C129&lt;1,0,IF('Reeksen (N)'!AD129&lt;='Reeksen (N)'!AE129,M129*'Reeksen (N)'!C129,0))</f>
        <v>0</v>
      </c>
      <c r="O129" s="86">
        <f ca="1">IF(C129&lt;1,0,IF('Reeksen (N)'!AD129&gt;'Reeksen (N)'!AE129,M129*'Reeksen (N)'!C129,0))</f>
        <v>0</v>
      </c>
      <c r="P129" s="86">
        <f t="shared" ca="1" si="13"/>
        <v>0</v>
      </c>
      <c r="Q129" s="82">
        <f ca="1">IF('Invoer gegevens (N)'!$C$17=E129,I129,IF(C129=0,0,R128))</f>
        <v>0</v>
      </c>
      <c r="R129" s="84">
        <f t="shared" ca="1" si="10"/>
        <v>0</v>
      </c>
      <c r="S129" s="84">
        <f ca="1">IF('Invoer gegevens (N)'!$C$17=E129,M129,IF(C129=0,0,T128))</f>
        <v>0</v>
      </c>
      <c r="T129" s="84">
        <f t="shared" ca="1" si="19"/>
        <v>0</v>
      </c>
      <c r="AI129" s="71">
        <f ca="1">IF(C129=1,((F129+H129)/2*'Reeksen (N)'!AI129*12)+(('Invoer gegevens (N)'!$C$10-(F129+H129)/2)*'Reeksen (N)'!AD129*12),0)</f>
        <v>0</v>
      </c>
      <c r="AJ129" s="71">
        <f ca="1">-AI129*'Invoer gegevens (N)'!$F$28</f>
        <v>0</v>
      </c>
      <c r="AK129" s="71">
        <f t="shared" ca="1" si="14"/>
        <v>0</v>
      </c>
      <c r="AL129" s="71">
        <f ca="1">IF(C129=1,(12*((F129+H129)/2)*'Reeksen (N)'!AL129)+(12*('Invoer gegevens (N)'!$C$10-(F129+H129)/2)*'Reeksen (N)'!AM129),0)</f>
        <v>0</v>
      </c>
      <c r="AM129" s="71">
        <f ca="1">-AL129*'Invoer gegevens (N)'!$F$31</f>
        <v>0</v>
      </c>
      <c r="AN129" s="71">
        <f t="shared" ca="1" si="15"/>
        <v>0</v>
      </c>
      <c r="AO129" s="71"/>
      <c r="AP129" s="71"/>
      <c r="AQ129" s="71">
        <f ca="1">-IF(C129=1,('Invoer gegevens (N)'!$C$10*'Invoer gegevens (N)'!$F$35)*'Reeksen (N)'!J129,0)*2</f>
        <v>0</v>
      </c>
      <c r="AR129" s="71">
        <f ca="1">-IF(C129=1,(G129*'Invoer gegevens (N)'!$F$36)*'Reeksen (N)'!J129,0)</f>
        <v>0</v>
      </c>
      <c r="AS129" s="71">
        <f ca="1">-IF(C129=1,'Invoer gegevens (N)'!$C$10*'Invoer gegevens (N)'!$F$37*'Reeksen (N)'!L129,0)</f>
        <v>0</v>
      </c>
      <c r="AT129" s="71">
        <f ca="1">-IF(C129=1,IF(E129='Invoer gegevens (N)'!$C$17,'Invoer gegevens (N)'!$C$11,Q129)*'Reeksen (N)'!S129*'Invoer gegevens (N)'!$C$18*'Reeksen (N)'!P129,0)</f>
        <v>0</v>
      </c>
      <c r="AU129" s="71">
        <f ca="1">-IF(C129=1,'Invoer gegevens (N)'!$C$10*'Invoer gegevens (N)'!$F$38*'Reeksen (N)'!H129,0)</f>
        <v>0</v>
      </c>
      <c r="AV129" s="71">
        <v>0</v>
      </c>
      <c r="AW129" s="71">
        <f t="shared" ca="1" si="16"/>
        <v>0</v>
      </c>
      <c r="AX129" s="71">
        <f ca="1">IF(E129&lt;'Invoer gegevens (N)'!$C$17+15,0,IF('RW - MW - DE - DE (N)'!E129&gt;'Invoer gegevens (N)'!$C$17+215,0,'RW - MW - DE - DE (N)'!AW129))</f>
        <v>0</v>
      </c>
      <c r="AY129" s="71">
        <f ca="1">AX129/(1+'Invoer gegevens (N)'!$F$13)^($AZ129-('Invoer gegevens (N)'!$C$17-'Invoer gegevens (N)'!$C$16))/(1+'Invoer gegevens (N)'!$C$39)^('Invoer gegevens (N)'!$C$17-'Invoer gegevens (N)'!$C$16)</f>
        <v>0</v>
      </c>
      <c r="AZ129" s="68">
        <f ca="1">IF(E129-'Invoer gegevens (N)'!$C$17-14.5&lt;0,0,E129-'Invoer gegevens (N)'!$C$17-14.5)</f>
        <v>109.5</v>
      </c>
      <c r="BC129" s="71"/>
    </row>
    <row r="130" spans="2:55" s="230" customFormat="1" x14ac:dyDescent="0.25">
      <c r="B130" s="70">
        <f t="shared" si="17"/>
        <v>126</v>
      </c>
      <c r="C130" s="67">
        <f ca="1">IF(E130-'Invoer gegevens (N)'!$C$17&lt;0,0,1)</f>
        <v>1</v>
      </c>
      <c r="D130" s="68">
        <f t="shared" si="18"/>
        <v>125.5</v>
      </c>
      <c r="E130" s="69">
        <f ca="1">IF('Invoer gegevens (N)'!$C$16="","",E129+1)</f>
        <v>2144</v>
      </c>
      <c r="F130" s="82">
        <f ca="1">IF('Invoer gegevens (N)'!$C$17=E130,'Invoer gegevens (N)'!$C$10,IF(C130=1,H129,0))</f>
        <v>0</v>
      </c>
      <c r="G130" s="83">
        <f ca="1">IF(C130&gt;=1,F130*'Reeksen (N)'!C130,0)</f>
        <v>0</v>
      </c>
      <c r="H130" s="84">
        <f t="shared" ca="1" si="11"/>
        <v>0</v>
      </c>
      <c r="I130" s="85">
        <f ca="1">IF('Invoer gegevens (N)'!$C$17=E130,'Invoer gegevens (N)'!$C$11,IF(C130=1,L129,0))</f>
        <v>0</v>
      </c>
      <c r="J130" s="86">
        <f ca="1">IF(C130&lt;1,0,IF('Reeksen (N)'!AD130&lt;='Reeksen (N)'!AE130,I130*'Reeksen (N)'!C130,0))</f>
        <v>0</v>
      </c>
      <c r="K130" s="86">
        <f ca="1">IF(C130&lt;1,0,IF('Reeksen (N)'!AD130&gt;'Reeksen (N)'!AE130,I130*'Reeksen (N)'!C130,0))</f>
        <v>0</v>
      </c>
      <c r="L130" s="86">
        <f t="shared" ca="1" si="12"/>
        <v>0</v>
      </c>
      <c r="M130" s="85">
        <f ca="1">IF('Invoer gegevens (N)'!$C$17=E130,'Invoer gegevens (N)'!$C$10-'Invoer gegevens (N)'!$C$11,IF(C130=1,P129,0))</f>
        <v>0</v>
      </c>
      <c r="N130" s="86">
        <f ca="1">IF(C130&lt;1,0,IF('Reeksen (N)'!AD130&lt;='Reeksen (N)'!AE130,M130*'Reeksen (N)'!C130,0))</f>
        <v>0</v>
      </c>
      <c r="O130" s="86">
        <f ca="1">IF(C130&lt;1,0,IF('Reeksen (N)'!AD130&gt;'Reeksen (N)'!AE130,M130*'Reeksen (N)'!C130,0))</f>
        <v>0</v>
      </c>
      <c r="P130" s="86">
        <f t="shared" ca="1" si="13"/>
        <v>0</v>
      </c>
      <c r="Q130" s="82">
        <f ca="1">IF('Invoer gegevens (N)'!$C$17=E130,I130,IF(C130=0,0,R129))</f>
        <v>0</v>
      </c>
      <c r="R130" s="84">
        <f t="shared" ca="1" si="10"/>
        <v>0</v>
      </c>
      <c r="S130" s="84">
        <f ca="1">IF('Invoer gegevens (N)'!$C$17=E130,M130,IF(C130=0,0,T129))</f>
        <v>0</v>
      </c>
      <c r="T130" s="84">
        <f t="shared" ca="1" si="19"/>
        <v>0</v>
      </c>
      <c r="AI130" s="71">
        <f ca="1">IF(C130=1,((F130+H130)/2*'Reeksen (N)'!AI130*12)+(('Invoer gegevens (N)'!$C$10-(F130+H130)/2)*'Reeksen (N)'!AD130*12),0)</f>
        <v>0</v>
      </c>
      <c r="AJ130" s="71">
        <f ca="1">-AI130*'Invoer gegevens (N)'!$F$28</f>
        <v>0</v>
      </c>
      <c r="AK130" s="71">
        <f t="shared" ca="1" si="14"/>
        <v>0</v>
      </c>
      <c r="AL130" s="71">
        <f ca="1">IF(C130=1,(12*((F130+H130)/2)*'Reeksen (N)'!AL130)+(12*('Invoer gegevens (N)'!$C$10-(F130+H130)/2)*'Reeksen (N)'!AM130),0)</f>
        <v>0</v>
      </c>
      <c r="AM130" s="71">
        <f ca="1">-AL130*'Invoer gegevens (N)'!$F$31</f>
        <v>0</v>
      </c>
      <c r="AN130" s="71">
        <f t="shared" ca="1" si="15"/>
        <v>0</v>
      </c>
      <c r="AO130" s="71"/>
      <c r="AP130" s="71"/>
      <c r="AQ130" s="71">
        <f ca="1">-IF(C130=1,('Invoer gegevens (N)'!$C$10*'Invoer gegevens (N)'!$F$35)*'Reeksen (N)'!J130,0)*2</f>
        <v>0</v>
      </c>
      <c r="AR130" s="71">
        <f ca="1">-IF(C130=1,(G130*'Invoer gegevens (N)'!$F$36)*'Reeksen (N)'!J130,0)</f>
        <v>0</v>
      </c>
      <c r="AS130" s="71">
        <f ca="1">-IF(C130=1,'Invoer gegevens (N)'!$C$10*'Invoer gegevens (N)'!$F$37*'Reeksen (N)'!L130,0)</f>
        <v>0</v>
      </c>
      <c r="AT130" s="71">
        <f ca="1">-IF(C130=1,IF(E130='Invoer gegevens (N)'!$C$17,'Invoer gegevens (N)'!$C$11,Q130)*'Reeksen (N)'!S130*'Invoer gegevens (N)'!$C$18*'Reeksen (N)'!P130,0)</f>
        <v>0</v>
      </c>
      <c r="AU130" s="71">
        <f ca="1">-IF(C130=1,'Invoer gegevens (N)'!$C$10*'Invoer gegevens (N)'!$F$38*'Reeksen (N)'!H130,0)</f>
        <v>0</v>
      </c>
      <c r="AV130" s="71">
        <v>0</v>
      </c>
      <c r="AW130" s="71">
        <f t="shared" ca="1" si="16"/>
        <v>0</v>
      </c>
      <c r="AX130" s="71">
        <f ca="1">IF(E130&lt;'Invoer gegevens (N)'!$C$17+15,0,IF('RW - MW - DE - DE (N)'!E130&gt;'Invoer gegevens (N)'!$C$17+215,0,'RW - MW - DE - DE (N)'!AW130))</f>
        <v>0</v>
      </c>
      <c r="AY130" s="71">
        <f ca="1">AX130/(1+'Invoer gegevens (N)'!$F$13)^($AZ130-('Invoer gegevens (N)'!$C$17-'Invoer gegevens (N)'!$C$16))/(1+'Invoer gegevens (N)'!$C$39)^('Invoer gegevens (N)'!$C$17-'Invoer gegevens (N)'!$C$16)</f>
        <v>0</v>
      </c>
      <c r="AZ130" s="68">
        <f ca="1">IF(E130-'Invoer gegevens (N)'!$C$17-14.5&lt;0,0,E130-'Invoer gegevens (N)'!$C$17-14.5)</f>
        <v>110.5</v>
      </c>
      <c r="BC130" s="71"/>
    </row>
    <row r="131" spans="2:55" s="230" customFormat="1" x14ac:dyDescent="0.25">
      <c r="B131" s="70">
        <f t="shared" si="17"/>
        <v>127</v>
      </c>
      <c r="C131" s="67">
        <f ca="1">IF(E131-'Invoer gegevens (N)'!$C$17&lt;0,0,1)</f>
        <v>1</v>
      </c>
      <c r="D131" s="68">
        <f t="shared" si="18"/>
        <v>126.5</v>
      </c>
      <c r="E131" s="69">
        <f ca="1">IF('Invoer gegevens (N)'!$C$16="","",E130+1)</f>
        <v>2145</v>
      </c>
      <c r="F131" s="82">
        <f ca="1">IF('Invoer gegevens (N)'!$C$17=E131,'Invoer gegevens (N)'!$C$10,IF(C131=1,H130,0))</f>
        <v>0</v>
      </c>
      <c r="G131" s="83">
        <f ca="1">IF(C131&gt;=1,F131*'Reeksen (N)'!C131,0)</f>
        <v>0</v>
      </c>
      <c r="H131" s="84">
        <f t="shared" ca="1" si="11"/>
        <v>0</v>
      </c>
      <c r="I131" s="85">
        <f ca="1">IF('Invoer gegevens (N)'!$C$17=E131,'Invoer gegevens (N)'!$C$11,IF(C131=1,L130,0))</f>
        <v>0</v>
      </c>
      <c r="J131" s="86">
        <f ca="1">IF(C131&lt;1,0,IF('Reeksen (N)'!AD131&lt;='Reeksen (N)'!AE131,I131*'Reeksen (N)'!C131,0))</f>
        <v>0</v>
      </c>
      <c r="K131" s="86">
        <f ca="1">IF(C131&lt;1,0,IF('Reeksen (N)'!AD131&gt;'Reeksen (N)'!AE131,I131*'Reeksen (N)'!C131,0))</f>
        <v>0</v>
      </c>
      <c r="L131" s="86">
        <f t="shared" ca="1" si="12"/>
        <v>0</v>
      </c>
      <c r="M131" s="85">
        <f ca="1">IF('Invoer gegevens (N)'!$C$17=E131,'Invoer gegevens (N)'!$C$10-'Invoer gegevens (N)'!$C$11,IF(C131=1,P130,0))</f>
        <v>0</v>
      </c>
      <c r="N131" s="86">
        <f ca="1">IF(C131&lt;1,0,IF('Reeksen (N)'!AD131&lt;='Reeksen (N)'!AE131,M131*'Reeksen (N)'!C131,0))</f>
        <v>0</v>
      </c>
      <c r="O131" s="86">
        <f ca="1">IF(C131&lt;1,0,IF('Reeksen (N)'!AD131&gt;'Reeksen (N)'!AE131,M131*'Reeksen (N)'!C131,0))</f>
        <v>0</v>
      </c>
      <c r="P131" s="86">
        <f t="shared" ca="1" si="13"/>
        <v>0</v>
      </c>
      <c r="Q131" s="82">
        <f ca="1">IF('Invoer gegevens (N)'!$C$17=E131,I131,IF(C131=0,0,R130))</f>
        <v>0</v>
      </c>
      <c r="R131" s="84">
        <f t="shared" ca="1" si="10"/>
        <v>0</v>
      </c>
      <c r="S131" s="84">
        <f ca="1">IF('Invoer gegevens (N)'!$C$17=E131,M131,IF(C131=0,0,T130))</f>
        <v>0</v>
      </c>
      <c r="T131" s="84">
        <f t="shared" ca="1" si="19"/>
        <v>0</v>
      </c>
      <c r="AI131" s="71">
        <f ca="1">IF(C131=1,((F131+H131)/2*'Reeksen (N)'!AI131*12)+(('Invoer gegevens (N)'!$C$10-(F131+H131)/2)*'Reeksen (N)'!AD131*12),0)</f>
        <v>0</v>
      </c>
      <c r="AJ131" s="71">
        <f ca="1">-AI131*'Invoer gegevens (N)'!$F$28</f>
        <v>0</v>
      </c>
      <c r="AK131" s="71">
        <f t="shared" ca="1" si="14"/>
        <v>0</v>
      </c>
      <c r="AL131" s="71">
        <f ca="1">IF(C131=1,(12*((F131+H131)/2)*'Reeksen (N)'!AL131)+(12*('Invoer gegevens (N)'!$C$10-(F131+H131)/2)*'Reeksen (N)'!AM131),0)</f>
        <v>0</v>
      </c>
      <c r="AM131" s="71">
        <f ca="1">-AL131*'Invoer gegevens (N)'!$F$31</f>
        <v>0</v>
      </c>
      <c r="AN131" s="71">
        <f t="shared" ca="1" si="15"/>
        <v>0</v>
      </c>
      <c r="AO131" s="71"/>
      <c r="AP131" s="71"/>
      <c r="AQ131" s="71">
        <f ca="1">-IF(C131=1,('Invoer gegevens (N)'!$C$10*'Invoer gegevens (N)'!$F$35)*'Reeksen (N)'!J131,0)*2</f>
        <v>0</v>
      </c>
      <c r="AR131" s="71">
        <f ca="1">-IF(C131=1,(G131*'Invoer gegevens (N)'!$F$36)*'Reeksen (N)'!J131,0)</f>
        <v>0</v>
      </c>
      <c r="AS131" s="71">
        <f ca="1">-IF(C131=1,'Invoer gegevens (N)'!$C$10*'Invoer gegevens (N)'!$F$37*'Reeksen (N)'!L131,0)</f>
        <v>0</v>
      </c>
      <c r="AT131" s="71">
        <f ca="1">-IF(C131=1,IF(E131='Invoer gegevens (N)'!$C$17,'Invoer gegevens (N)'!$C$11,Q131)*'Reeksen (N)'!S131*'Invoer gegevens (N)'!$C$18*'Reeksen (N)'!P131,0)</f>
        <v>0</v>
      </c>
      <c r="AU131" s="71">
        <f ca="1">-IF(C131=1,'Invoer gegevens (N)'!$C$10*'Invoer gegevens (N)'!$F$38*'Reeksen (N)'!H131,0)</f>
        <v>0</v>
      </c>
      <c r="AV131" s="71">
        <v>0</v>
      </c>
      <c r="AW131" s="71">
        <f t="shared" ca="1" si="16"/>
        <v>0</v>
      </c>
      <c r="AX131" s="71">
        <f ca="1">IF(E131&lt;'Invoer gegevens (N)'!$C$17+15,0,IF('RW - MW - DE - DE (N)'!E131&gt;'Invoer gegevens (N)'!$C$17+215,0,'RW - MW - DE - DE (N)'!AW131))</f>
        <v>0</v>
      </c>
      <c r="AY131" s="71">
        <f ca="1">AX131/(1+'Invoer gegevens (N)'!$F$13)^($AZ131-('Invoer gegevens (N)'!$C$17-'Invoer gegevens (N)'!$C$16))/(1+'Invoer gegevens (N)'!$C$39)^('Invoer gegevens (N)'!$C$17-'Invoer gegevens (N)'!$C$16)</f>
        <v>0</v>
      </c>
      <c r="AZ131" s="68">
        <f ca="1">IF(E131-'Invoer gegevens (N)'!$C$17-14.5&lt;0,0,E131-'Invoer gegevens (N)'!$C$17-14.5)</f>
        <v>111.5</v>
      </c>
      <c r="BC131" s="71"/>
    </row>
    <row r="132" spans="2:55" s="230" customFormat="1" x14ac:dyDescent="0.25">
      <c r="B132" s="70">
        <f t="shared" si="17"/>
        <v>128</v>
      </c>
      <c r="C132" s="67">
        <f ca="1">IF(E132-'Invoer gegevens (N)'!$C$17&lt;0,0,1)</f>
        <v>1</v>
      </c>
      <c r="D132" s="68">
        <f t="shared" si="18"/>
        <v>127.5</v>
      </c>
      <c r="E132" s="69">
        <f ca="1">IF('Invoer gegevens (N)'!$C$16="","",E131+1)</f>
        <v>2146</v>
      </c>
      <c r="F132" s="82">
        <f ca="1">IF('Invoer gegevens (N)'!$C$17=E132,'Invoer gegevens (N)'!$C$10,IF(C132=1,H131,0))</f>
        <v>0</v>
      </c>
      <c r="G132" s="83">
        <f ca="1">IF(C132&gt;=1,F132*'Reeksen (N)'!C132,0)</f>
        <v>0</v>
      </c>
      <c r="H132" s="84">
        <f t="shared" ca="1" si="11"/>
        <v>0</v>
      </c>
      <c r="I132" s="85">
        <f ca="1">IF('Invoer gegevens (N)'!$C$17=E132,'Invoer gegevens (N)'!$C$11,IF(C132=1,L131,0))</f>
        <v>0</v>
      </c>
      <c r="J132" s="86">
        <f ca="1">IF(C132&lt;1,0,IF('Reeksen (N)'!AD132&lt;='Reeksen (N)'!AE132,I132*'Reeksen (N)'!C132,0))</f>
        <v>0</v>
      </c>
      <c r="K132" s="86">
        <f ca="1">IF(C132&lt;1,0,IF('Reeksen (N)'!AD132&gt;'Reeksen (N)'!AE132,I132*'Reeksen (N)'!C132,0))</f>
        <v>0</v>
      </c>
      <c r="L132" s="86">
        <f t="shared" ca="1" si="12"/>
        <v>0</v>
      </c>
      <c r="M132" s="85">
        <f ca="1">IF('Invoer gegevens (N)'!$C$17=E132,'Invoer gegevens (N)'!$C$10-'Invoer gegevens (N)'!$C$11,IF(C132=1,P131,0))</f>
        <v>0</v>
      </c>
      <c r="N132" s="86">
        <f ca="1">IF(C132&lt;1,0,IF('Reeksen (N)'!AD132&lt;='Reeksen (N)'!AE132,M132*'Reeksen (N)'!C132,0))</f>
        <v>0</v>
      </c>
      <c r="O132" s="86">
        <f ca="1">IF(C132&lt;1,0,IF('Reeksen (N)'!AD132&gt;'Reeksen (N)'!AE132,M132*'Reeksen (N)'!C132,0))</f>
        <v>0</v>
      </c>
      <c r="P132" s="86">
        <f t="shared" ca="1" si="13"/>
        <v>0</v>
      </c>
      <c r="Q132" s="82">
        <f ca="1">IF('Invoer gegevens (N)'!$C$17=E132,I132,IF(C132=0,0,R131))</f>
        <v>0</v>
      </c>
      <c r="R132" s="84">
        <f t="shared" ca="1" si="10"/>
        <v>0</v>
      </c>
      <c r="S132" s="84">
        <f ca="1">IF('Invoer gegevens (N)'!$C$17=E132,M132,IF(C132=0,0,T131))</f>
        <v>0</v>
      </c>
      <c r="T132" s="84">
        <f t="shared" ca="1" si="19"/>
        <v>0</v>
      </c>
      <c r="AI132" s="71">
        <f ca="1">IF(C132=1,((F132+H132)/2*'Reeksen (N)'!AI132*12)+(('Invoer gegevens (N)'!$C$10-(F132+H132)/2)*'Reeksen (N)'!AD132*12),0)</f>
        <v>0</v>
      </c>
      <c r="AJ132" s="71">
        <f ca="1">-AI132*'Invoer gegevens (N)'!$F$28</f>
        <v>0</v>
      </c>
      <c r="AK132" s="71">
        <f t="shared" ca="1" si="14"/>
        <v>0</v>
      </c>
      <c r="AL132" s="71">
        <f ca="1">IF(C132=1,(12*((F132+H132)/2)*'Reeksen (N)'!AL132)+(12*('Invoer gegevens (N)'!$C$10-(F132+H132)/2)*'Reeksen (N)'!AM132),0)</f>
        <v>0</v>
      </c>
      <c r="AM132" s="71">
        <f ca="1">-AL132*'Invoer gegevens (N)'!$F$31</f>
        <v>0</v>
      </c>
      <c r="AN132" s="71">
        <f t="shared" ca="1" si="15"/>
        <v>0</v>
      </c>
      <c r="AO132" s="71"/>
      <c r="AP132" s="71"/>
      <c r="AQ132" s="71">
        <f ca="1">-IF(C132=1,('Invoer gegevens (N)'!$C$10*'Invoer gegevens (N)'!$F$35)*'Reeksen (N)'!J132,0)*2</f>
        <v>0</v>
      </c>
      <c r="AR132" s="71">
        <f ca="1">-IF(C132=1,(G132*'Invoer gegevens (N)'!$F$36)*'Reeksen (N)'!J132,0)</f>
        <v>0</v>
      </c>
      <c r="AS132" s="71">
        <f ca="1">-IF(C132=1,'Invoer gegevens (N)'!$C$10*'Invoer gegevens (N)'!$F$37*'Reeksen (N)'!L132,0)</f>
        <v>0</v>
      </c>
      <c r="AT132" s="71">
        <f ca="1">-IF(C132=1,IF(E132='Invoer gegevens (N)'!$C$17,'Invoer gegevens (N)'!$C$11,Q132)*'Reeksen (N)'!S132*'Invoer gegevens (N)'!$C$18*'Reeksen (N)'!P132,0)</f>
        <v>0</v>
      </c>
      <c r="AU132" s="71">
        <f ca="1">-IF(C132=1,'Invoer gegevens (N)'!$C$10*'Invoer gegevens (N)'!$F$38*'Reeksen (N)'!H132,0)</f>
        <v>0</v>
      </c>
      <c r="AV132" s="71">
        <v>0</v>
      </c>
      <c r="AW132" s="71">
        <f t="shared" ca="1" si="16"/>
        <v>0</v>
      </c>
      <c r="AX132" s="71">
        <f ca="1">IF(E132&lt;'Invoer gegevens (N)'!$C$17+15,0,IF('RW - MW - DE - DE (N)'!E132&gt;'Invoer gegevens (N)'!$C$17+215,0,'RW - MW - DE - DE (N)'!AW132))</f>
        <v>0</v>
      </c>
      <c r="AY132" s="71">
        <f ca="1">AX132/(1+'Invoer gegevens (N)'!$F$13)^($AZ132-('Invoer gegevens (N)'!$C$17-'Invoer gegevens (N)'!$C$16))/(1+'Invoer gegevens (N)'!$C$39)^('Invoer gegevens (N)'!$C$17-'Invoer gegevens (N)'!$C$16)</f>
        <v>0</v>
      </c>
      <c r="AZ132" s="68">
        <f ca="1">IF(E132-'Invoer gegevens (N)'!$C$17-14.5&lt;0,0,E132-'Invoer gegevens (N)'!$C$17-14.5)</f>
        <v>112.5</v>
      </c>
      <c r="BC132" s="71"/>
    </row>
    <row r="133" spans="2:55" s="230" customFormat="1" x14ac:dyDescent="0.25">
      <c r="B133" s="70">
        <f t="shared" si="17"/>
        <v>129</v>
      </c>
      <c r="C133" s="67">
        <f ca="1">IF(E133-'Invoer gegevens (N)'!$C$17&lt;0,0,1)</f>
        <v>1</v>
      </c>
      <c r="D133" s="68">
        <f t="shared" si="18"/>
        <v>128.5</v>
      </c>
      <c r="E133" s="69">
        <f ca="1">IF('Invoer gegevens (N)'!$C$16="","",E132+1)</f>
        <v>2147</v>
      </c>
      <c r="F133" s="82">
        <f ca="1">IF('Invoer gegevens (N)'!$C$17=E133,'Invoer gegevens (N)'!$C$10,IF(C133=1,H132,0))</f>
        <v>0</v>
      </c>
      <c r="G133" s="83">
        <f ca="1">IF(C133&gt;=1,F133*'Reeksen (N)'!C133,0)</f>
        <v>0</v>
      </c>
      <c r="H133" s="84">
        <f t="shared" ca="1" si="11"/>
        <v>0</v>
      </c>
      <c r="I133" s="85">
        <f ca="1">IF('Invoer gegevens (N)'!$C$17=E133,'Invoer gegevens (N)'!$C$11,IF(C133=1,L132,0))</f>
        <v>0</v>
      </c>
      <c r="J133" s="86">
        <f ca="1">IF(C133&lt;1,0,IF('Reeksen (N)'!AD133&lt;='Reeksen (N)'!AE133,I133*'Reeksen (N)'!C133,0))</f>
        <v>0</v>
      </c>
      <c r="K133" s="86">
        <f ca="1">IF(C133&lt;1,0,IF('Reeksen (N)'!AD133&gt;'Reeksen (N)'!AE133,I133*'Reeksen (N)'!C133,0))</f>
        <v>0</v>
      </c>
      <c r="L133" s="86">
        <f t="shared" ca="1" si="12"/>
        <v>0</v>
      </c>
      <c r="M133" s="85">
        <f ca="1">IF('Invoer gegevens (N)'!$C$17=E133,'Invoer gegevens (N)'!$C$10-'Invoer gegevens (N)'!$C$11,IF(C133=1,P132,0))</f>
        <v>0</v>
      </c>
      <c r="N133" s="86">
        <f ca="1">IF(C133&lt;1,0,IF('Reeksen (N)'!AD133&lt;='Reeksen (N)'!AE133,M133*'Reeksen (N)'!C133,0))</f>
        <v>0</v>
      </c>
      <c r="O133" s="86">
        <f ca="1">IF(C133&lt;1,0,IF('Reeksen (N)'!AD133&gt;'Reeksen (N)'!AE133,M133*'Reeksen (N)'!C133,0))</f>
        <v>0</v>
      </c>
      <c r="P133" s="86">
        <f t="shared" ca="1" si="13"/>
        <v>0</v>
      </c>
      <c r="Q133" s="82">
        <f ca="1">IF('Invoer gegevens (N)'!$C$17=E133,I133,IF(C133=0,0,R132))</f>
        <v>0</v>
      </c>
      <c r="R133" s="84">
        <f t="shared" ref="R133:R196" ca="1" si="20">IF(C133=0,0,Q133-K133+N133)</f>
        <v>0</v>
      </c>
      <c r="S133" s="84">
        <f ca="1">IF('Invoer gegevens (N)'!$C$17=E133,M133,IF(C133=0,0,T132))</f>
        <v>0</v>
      </c>
      <c r="T133" s="84">
        <f t="shared" ca="1" si="19"/>
        <v>0</v>
      </c>
      <c r="AI133" s="71">
        <f ca="1">IF(C133=1,((F133+H133)/2*'Reeksen (N)'!AI133*12)+(('Invoer gegevens (N)'!$C$10-(F133+H133)/2)*'Reeksen (N)'!AD133*12),0)</f>
        <v>0</v>
      </c>
      <c r="AJ133" s="71">
        <f ca="1">-AI133*'Invoer gegevens (N)'!$F$28</f>
        <v>0</v>
      </c>
      <c r="AK133" s="71">
        <f t="shared" ca="1" si="14"/>
        <v>0</v>
      </c>
      <c r="AL133" s="71">
        <f ca="1">IF(C133=1,(12*((F133+H133)/2)*'Reeksen (N)'!AL133)+(12*('Invoer gegevens (N)'!$C$10-(F133+H133)/2)*'Reeksen (N)'!AM133),0)</f>
        <v>0</v>
      </c>
      <c r="AM133" s="71">
        <f ca="1">-AL133*'Invoer gegevens (N)'!$F$31</f>
        <v>0</v>
      </c>
      <c r="AN133" s="71">
        <f t="shared" ca="1" si="15"/>
        <v>0</v>
      </c>
      <c r="AO133" s="71"/>
      <c r="AP133" s="71"/>
      <c r="AQ133" s="71">
        <f ca="1">-IF(C133=1,('Invoer gegevens (N)'!$C$10*'Invoer gegevens (N)'!$F$35)*'Reeksen (N)'!J133,0)*2</f>
        <v>0</v>
      </c>
      <c r="AR133" s="71">
        <f ca="1">-IF(C133=1,(G133*'Invoer gegevens (N)'!$F$36)*'Reeksen (N)'!J133,0)</f>
        <v>0</v>
      </c>
      <c r="AS133" s="71">
        <f ca="1">-IF(C133=1,'Invoer gegevens (N)'!$C$10*'Invoer gegevens (N)'!$F$37*'Reeksen (N)'!L133,0)</f>
        <v>0</v>
      </c>
      <c r="AT133" s="71">
        <f ca="1">-IF(C133=1,IF(E133='Invoer gegevens (N)'!$C$17,'Invoer gegevens (N)'!$C$11,Q133)*'Reeksen (N)'!S133*'Invoer gegevens (N)'!$C$18*'Reeksen (N)'!P133,0)</f>
        <v>0</v>
      </c>
      <c r="AU133" s="71">
        <f ca="1">-IF(C133=1,'Invoer gegevens (N)'!$C$10*'Invoer gegevens (N)'!$F$38*'Reeksen (N)'!H133,0)</f>
        <v>0</v>
      </c>
      <c r="AV133" s="71">
        <v>0</v>
      </c>
      <c r="AW133" s="71">
        <f t="shared" ca="1" si="16"/>
        <v>0</v>
      </c>
      <c r="AX133" s="71">
        <f ca="1">IF(E133&lt;'Invoer gegevens (N)'!$C$17+15,0,IF('RW - MW - DE - DE (N)'!E133&gt;'Invoer gegevens (N)'!$C$17+215,0,'RW - MW - DE - DE (N)'!AW133))</f>
        <v>0</v>
      </c>
      <c r="AY133" s="71">
        <f ca="1">AX133/(1+'Invoer gegevens (N)'!$F$13)^($AZ133-('Invoer gegevens (N)'!$C$17-'Invoer gegevens (N)'!$C$16))/(1+'Invoer gegevens (N)'!$C$39)^('Invoer gegevens (N)'!$C$17-'Invoer gegevens (N)'!$C$16)</f>
        <v>0</v>
      </c>
      <c r="AZ133" s="68">
        <f ca="1">IF(E133-'Invoer gegevens (N)'!$C$17-14.5&lt;0,0,E133-'Invoer gegevens (N)'!$C$17-14.5)</f>
        <v>113.5</v>
      </c>
      <c r="BC133" s="71"/>
    </row>
    <row r="134" spans="2:55" s="230" customFormat="1" x14ac:dyDescent="0.25">
      <c r="B134" s="70">
        <f t="shared" si="17"/>
        <v>130</v>
      </c>
      <c r="C134" s="67">
        <f ca="1">IF(E134-'Invoer gegevens (N)'!$C$17&lt;0,0,1)</f>
        <v>1</v>
      </c>
      <c r="D134" s="68">
        <f t="shared" si="18"/>
        <v>129.5</v>
      </c>
      <c r="E134" s="69">
        <f ca="1">IF('Invoer gegevens (N)'!$C$16="","",E133+1)</f>
        <v>2148</v>
      </c>
      <c r="F134" s="82">
        <f ca="1">IF('Invoer gegevens (N)'!$C$17=E134,'Invoer gegevens (N)'!$C$10,IF(C134=1,H133,0))</f>
        <v>0</v>
      </c>
      <c r="G134" s="83">
        <f ca="1">IF(C134&gt;=1,F134*'Reeksen (N)'!C134,0)</f>
        <v>0</v>
      </c>
      <c r="H134" s="84">
        <f t="shared" ref="H134:H197" ca="1" si="21">F134-G134</f>
        <v>0</v>
      </c>
      <c r="I134" s="85">
        <f ca="1">IF('Invoer gegevens (N)'!$C$17=E134,'Invoer gegevens (N)'!$C$11,IF(C134=1,L133,0))</f>
        <v>0</v>
      </c>
      <c r="J134" s="86">
        <f ca="1">IF(C134&lt;1,0,IF('Reeksen (N)'!AD134&lt;='Reeksen (N)'!AE134,I134*'Reeksen (N)'!C134,0))</f>
        <v>0</v>
      </c>
      <c r="K134" s="86">
        <f ca="1">IF(C134&lt;1,0,IF('Reeksen (N)'!AD134&gt;'Reeksen (N)'!AE134,I134*'Reeksen (N)'!C134,0))</f>
        <v>0</v>
      </c>
      <c r="L134" s="86">
        <f t="shared" ref="L134:L197" ca="1" si="22">I134-J134-K134</f>
        <v>0</v>
      </c>
      <c r="M134" s="85">
        <f ca="1">IF('Invoer gegevens (N)'!$C$17=E134,'Invoer gegevens (N)'!$C$10-'Invoer gegevens (N)'!$C$11,IF(C134=1,P133,0))</f>
        <v>0</v>
      </c>
      <c r="N134" s="86">
        <f ca="1">IF(C134&lt;1,0,IF('Reeksen (N)'!AD134&lt;='Reeksen (N)'!AE134,M134*'Reeksen (N)'!C134,0))</f>
        <v>0</v>
      </c>
      <c r="O134" s="86">
        <f ca="1">IF(C134&lt;1,0,IF('Reeksen (N)'!AD134&gt;'Reeksen (N)'!AE134,M134*'Reeksen (N)'!C134,0))</f>
        <v>0</v>
      </c>
      <c r="P134" s="86">
        <f t="shared" ref="P134:P197" ca="1" si="23">M134-N134-O134</f>
        <v>0</v>
      </c>
      <c r="Q134" s="82">
        <f ca="1">IF('Invoer gegevens (N)'!$C$17=E134,I134,IF(C134=0,0,R133))</f>
        <v>0</v>
      </c>
      <c r="R134" s="84">
        <f t="shared" ca="1" si="20"/>
        <v>0</v>
      </c>
      <c r="S134" s="84">
        <f ca="1">IF('Invoer gegevens (N)'!$C$17=E134,M134,IF(C134=0,0,T133))</f>
        <v>0</v>
      </c>
      <c r="T134" s="84">
        <f t="shared" ca="1" si="19"/>
        <v>0</v>
      </c>
      <c r="AI134" s="71">
        <f ca="1">IF(C134=1,((F134+H134)/2*'Reeksen (N)'!AI134*12)+(('Invoer gegevens (N)'!$C$10-(F134+H134)/2)*'Reeksen (N)'!AD134*12),0)</f>
        <v>0</v>
      </c>
      <c r="AJ134" s="71">
        <f ca="1">-AI134*'Invoer gegevens (N)'!$F$28</f>
        <v>0</v>
      </c>
      <c r="AK134" s="71">
        <f t="shared" ref="AK134:AK197" ca="1" si="24">AI134+AJ134</f>
        <v>0</v>
      </c>
      <c r="AL134" s="71">
        <f ca="1">IF(C134=1,(12*((F134+H134)/2)*'Reeksen (N)'!AL134)+(12*('Invoer gegevens (N)'!$C$10-(F134+H134)/2)*'Reeksen (N)'!AM134),0)</f>
        <v>0</v>
      </c>
      <c r="AM134" s="71">
        <f ca="1">-AL134*'Invoer gegevens (N)'!$F$31</f>
        <v>0</v>
      </c>
      <c r="AN134" s="71">
        <f t="shared" ref="AN134:AN197" ca="1" si="25">AL134+AM134</f>
        <v>0</v>
      </c>
      <c r="AO134" s="71"/>
      <c r="AP134" s="71"/>
      <c r="AQ134" s="71">
        <f ca="1">-IF(C134=1,('Invoer gegevens (N)'!$C$10*'Invoer gegevens (N)'!$F$35)*'Reeksen (N)'!J134,0)*2</f>
        <v>0</v>
      </c>
      <c r="AR134" s="71">
        <f ca="1">-IF(C134=1,(G134*'Invoer gegevens (N)'!$F$36)*'Reeksen (N)'!J134,0)</f>
        <v>0</v>
      </c>
      <c r="AS134" s="71">
        <f ca="1">-IF(C134=1,'Invoer gegevens (N)'!$C$10*'Invoer gegevens (N)'!$F$37*'Reeksen (N)'!L134,0)</f>
        <v>0</v>
      </c>
      <c r="AT134" s="71">
        <f ca="1">-IF(C134=1,IF(E134='Invoer gegevens (N)'!$C$17,'Invoer gegevens (N)'!$C$11,Q134)*'Reeksen (N)'!S134*'Invoer gegevens (N)'!$C$18*'Reeksen (N)'!P134,0)</f>
        <v>0</v>
      </c>
      <c r="AU134" s="71">
        <f ca="1">-IF(C134=1,'Invoer gegevens (N)'!$C$10*'Invoer gegevens (N)'!$F$38*'Reeksen (N)'!H134,0)</f>
        <v>0</v>
      </c>
      <c r="AV134" s="71">
        <v>0</v>
      </c>
      <c r="AW134" s="71">
        <f t="shared" ref="AW134:AW197" ca="1" si="26">SUM(AK134,AN134:AV134)</f>
        <v>0</v>
      </c>
      <c r="AX134" s="71">
        <f ca="1">IF(E134&lt;'Invoer gegevens (N)'!$C$17+15,0,IF('RW - MW - DE - DE (N)'!E134&gt;'Invoer gegevens (N)'!$C$17+215,0,'RW - MW - DE - DE (N)'!AW134))</f>
        <v>0</v>
      </c>
      <c r="AY134" s="71">
        <f ca="1">AX134/(1+'Invoer gegevens (N)'!$F$13)^($AZ134-('Invoer gegevens (N)'!$C$17-'Invoer gegevens (N)'!$C$16))/(1+'Invoer gegevens (N)'!$C$39)^('Invoer gegevens (N)'!$C$17-'Invoer gegevens (N)'!$C$16)</f>
        <v>0</v>
      </c>
      <c r="AZ134" s="68">
        <f ca="1">IF(E134-'Invoer gegevens (N)'!$C$17-14.5&lt;0,0,E134-'Invoer gegevens (N)'!$C$17-14.5)</f>
        <v>114.5</v>
      </c>
      <c r="BC134" s="71"/>
    </row>
    <row r="135" spans="2:55" s="230" customFormat="1" x14ac:dyDescent="0.25">
      <c r="B135" s="70">
        <f t="shared" ref="B135:B198" si="27">B134+1</f>
        <v>131</v>
      </c>
      <c r="C135" s="67">
        <f ca="1">IF(E135-'Invoer gegevens (N)'!$C$17&lt;0,0,1)</f>
        <v>1</v>
      </c>
      <c r="D135" s="68">
        <f t="shared" ref="D135:D198" si="28">D134+1</f>
        <v>130.5</v>
      </c>
      <c r="E135" s="69">
        <f ca="1">IF('Invoer gegevens (N)'!$C$16="","",E134+1)</f>
        <v>2149</v>
      </c>
      <c r="F135" s="82">
        <f ca="1">IF('Invoer gegevens (N)'!$C$17=E135,'Invoer gegevens (N)'!$C$10,IF(C135=1,H134,0))</f>
        <v>0</v>
      </c>
      <c r="G135" s="83">
        <f ca="1">IF(C135&gt;=1,F135*'Reeksen (N)'!C135,0)</f>
        <v>0</v>
      </c>
      <c r="H135" s="84">
        <f t="shared" ca="1" si="21"/>
        <v>0</v>
      </c>
      <c r="I135" s="85">
        <f ca="1">IF('Invoer gegevens (N)'!$C$17=E135,'Invoer gegevens (N)'!$C$11,IF(C135=1,L134,0))</f>
        <v>0</v>
      </c>
      <c r="J135" s="86">
        <f ca="1">IF(C135&lt;1,0,IF('Reeksen (N)'!AD135&lt;='Reeksen (N)'!AE135,I135*'Reeksen (N)'!C135,0))</f>
        <v>0</v>
      </c>
      <c r="K135" s="86">
        <f ca="1">IF(C135&lt;1,0,IF('Reeksen (N)'!AD135&gt;'Reeksen (N)'!AE135,I135*'Reeksen (N)'!C135,0))</f>
        <v>0</v>
      </c>
      <c r="L135" s="86">
        <f t="shared" ca="1" si="22"/>
        <v>0</v>
      </c>
      <c r="M135" s="85">
        <f ca="1">IF('Invoer gegevens (N)'!$C$17=E135,'Invoer gegevens (N)'!$C$10-'Invoer gegevens (N)'!$C$11,IF(C135=1,P134,0))</f>
        <v>0</v>
      </c>
      <c r="N135" s="86">
        <f ca="1">IF(C135&lt;1,0,IF('Reeksen (N)'!AD135&lt;='Reeksen (N)'!AE135,M135*'Reeksen (N)'!C135,0))</f>
        <v>0</v>
      </c>
      <c r="O135" s="86">
        <f ca="1">IF(C135&lt;1,0,IF('Reeksen (N)'!AD135&gt;'Reeksen (N)'!AE135,M135*'Reeksen (N)'!C135,0))</f>
        <v>0</v>
      </c>
      <c r="P135" s="86">
        <f t="shared" ca="1" si="23"/>
        <v>0</v>
      </c>
      <c r="Q135" s="82">
        <f ca="1">IF('Invoer gegevens (N)'!$C$17=E135,I135,IF(C135=0,0,R134))</f>
        <v>0</v>
      </c>
      <c r="R135" s="84">
        <f t="shared" ca="1" si="20"/>
        <v>0</v>
      </c>
      <c r="S135" s="84">
        <f ca="1">IF('Invoer gegevens (N)'!$C$17=E135,M135,IF(C135=0,0,T134))</f>
        <v>0</v>
      </c>
      <c r="T135" s="84">
        <f t="shared" ref="T135:T198" ca="1" si="29">IF(C135=0,0,S135-N135+K135)</f>
        <v>0</v>
      </c>
      <c r="AI135" s="71">
        <f ca="1">IF(C135=1,((F135+H135)/2*'Reeksen (N)'!AI135*12)+(('Invoer gegevens (N)'!$C$10-(F135+H135)/2)*'Reeksen (N)'!AD135*12),0)</f>
        <v>0</v>
      </c>
      <c r="AJ135" s="71">
        <f ca="1">-AI135*'Invoer gegevens (N)'!$F$28</f>
        <v>0</v>
      </c>
      <c r="AK135" s="71">
        <f t="shared" ca="1" si="24"/>
        <v>0</v>
      </c>
      <c r="AL135" s="71">
        <f ca="1">IF(C135=1,(12*((F135+H135)/2)*'Reeksen (N)'!AL135)+(12*('Invoer gegevens (N)'!$C$10-(F135+H135)/2)*'Reeksen (N)'!AM135),0)</f>
        <v>0</v>
      </c>
      <c r="AM135" s="71">
        <f ca="1">-AL135*'Invoer gegevens (N)'!$F$31</f>
        <v>0</v>
      </c>
      <c r="AN135" s="71">
        <f t="shared" ca="1" si="25"/>
        <v>0</v>
      </c>
      <c r="AO135" s="71"/>
      <c r="AP135" s="71"/>
      <c r="AQ135" s="71">
        <f ca="1">-IF(C135=1,('Invoer gegevens (N)'!$C$10*'Invoer gegevens (N)'!$F$35)*'Reeksen (N)'!J135,0)*2</f>
        <v>0</v>
      </c>
      <c r="AR135" s="71">
        <f ca="1">-IF(C135=1,(G135*'Invoer gegevens (N)'!$F$36)*'Reeksen (N)'!J135,0)</f>
        <v>0</v>
      </c>
      <c r="AS135" s="71">
        <f ca="1">-IF(C135=1,'Invoer gegevens (N)'!$C$10*'Invoer gegevens (N)'!$F$37*'Reeksen (N)'!L135,0)</f>
        <v>0</v>
      </c>
      <c r="AT135" s="71">
        <f ca="1">-IF(C135=1,IF(E135='Invoer gegevens (N)'!$C$17,'Invoer gegevens (N)'!$C$11,Q135)*'Reeksen (N)'!S135*'Invoer gegevens (N)'!$C$18*'Reeksen (N)'!P135,0)</f>
        <v>0</v>
      </c>
      <c r="AU135" s="71">
        <f ca="1">-IF(C135=1,'Invoer gegevens (N)'!$C$10*'Invoer gegevens (N)'!$F$38*'Reeksen (N)'!H135,0)</f>
        <v>0</v>
      </c>
      <c r="AV135" s="71">
        <v>0</v>
      </c>
      <c r="AW135" s="71">
        <f t="shared" ca="1" si="26"/>
        <v>0</v>
      </c>
      <c r="AX135" s="71">
        <f ca="1">IF(E135&lt;'Invoer gegevens (N)'!$C$17+15,0,IF('RW - MW - DE - DE (N)'!E135&gt;'Invoer gegevens (N)'!$C$17+215,0,'RW - MW - DE - DE (N)'!AW135))</f>
        <v>0</v>
      </c>
      <c r="AY135" s="71">
        <f ca="1">AX135/(1+'Invoer gegevens (N)'!$F$13)^($AZ135-('Invoer gegevens (N)'!$C$17-'Invoer gegevens (N)'!$C$16))/(1+'Invoer gegevens (N)'!$C$39)^('Invoer gegevens (N)'!$C$17-'Invoer gegevens (N)'!$C$16)</f>
        <v>0</v>
      </c>
      <c r="AZ135" s="68">
        <f ca="1">IF(E135-'Invoer gegevens (N)'!$C$17-14.5&lt;0,0,E135-'Invoer gegevens (N)'!$C$17-14.5)</f>
        <v>115.5</v>
      </c>
      <c r="BC135" s="71"/>
    </row>
    <row r="136" spans="2:55" s="230" customFormat="1" x14ac:dyDescent="0.25">
      <c r="B136" s="70">
        <f t="shared" si="27"/>
        <v>132</v>
      </c>
      <c r="C136" s="67">
        <f ca="1">IF(E136-'Invoer gegevens (N)'!$C$17&lt;0,0,1)</f>
        <v>1</v>
      </c>
      <c r="D136" s="68">
        <f t="shared" si="28"/>
        <v>131.5</v>
      </c>
      <c r="E136" s="69">
        <f ca="1">IF('Invoer gegevens (N)'!$C$16="","",E135+1)</f>
        <v>2150</v>
      </c>
      <c r="F136" s="82">
        <f ca="1">IF('Invoer gegevens (N)'!$C$17=E136,'Invoer gegevens (N)'!$C$10,IF(C136=1,H135,0))</f>
        <v>0</v>
      </c>
      <c r="G136" s="83">
        <f ca="1">IF(C136&gt;=1,F136*'Reeksen (N)'!C136,0)</f>
        <v>0</v>
      </c>
      <c r="H136" s="84">
        <f t="shared" ca="1" si="21"/>
        <v>0</v>
      </c>
      <c r="I136" s="85">
        <f ca="1">IF('Invoer gegevens (N)'!$C$17=E136,'Invoer gegevens (N)'!$C$11,IF(C136=1,L135,0))</f>
        <v>0</v>
      </c>
      <c r="J136" s="86">
        <f ca="1">IF(C136&lt;1,0,IF('Reeksen (N)'!AD136&lt;='Reeksen (N)'!AE136,I136*'Reeksen (N)'!C136,0))</f>
        <v>0</v>
      </c>
      <c r="K136" s="86">
        <f ca="1">IF(C136&lt;1,0,IF('Reeksen (N)'!AD136&gt;'Reeksen (N)'!AE136,I136*'Reeksen (N)'!C136,0))</f>
        <v>0</v>
      </c>
      <c r="L136" s="86">
        <f t="shared" ca="1" si="22"/>
        <v>0</v>
      </c>
      <c r="M136" s="85">
        <f ca="1">IF('Invoer gegevens (N)'!$C$17=E136,'Invoer gegevens (N)'!$C$10-'Invoer gegevens (N)'!$C$11,IF(C136=1,P135,0))</f>
        <v>0</v>
      </c>
      <c r="N136" s="86">
        <f ca="1">IF(C136&lt;1,0,IF('Reeksen (N)'!AD136&lt;='Reeksen (N)'!AE136,M136*'Reeksen (N)'!C136,0))</f>
        <v>0</v>
      </c>
      <c r="O136" s="86">
        <f ca="1">IF(C136&lt;1,0,IF('Reeksen (N)'!AD136&gt;'Reeksen (N)'!AE136,M136*'Reeksen (N)'!C136,0))</f>
        <v>0</v>
      </c>
      <c r="P136" s="86">
        <f t="shared" ca="1" si="23"/>
        <v>0</v>
      </c>
      <c r="Q136" s="82">
        <f ca="1">IF('Invoer gegevens (N)'!$C$17=E136,I136,IF(C136=0,0,R135))</f>
        <v>0</v>
      </c>
      <c r="R136" s="84">
        <f t="shared" ca="1" si="20"/>
        <v>0</v>
      </c>
      <c r="S136" s="84">
        <f ca="1">IF('Invoer gegevens (N)'!$C$17=E136,M136,IF(C136=0,0,T135))</f>
        <v>0</v>
      </c>
      <c r="T136" s="84">
        <f t="shared" ca="1" si="29"/>
        <v>0</v>
      </c>
      <c r="AI136" s="71">
        <f ca="1">IF(C136=1,((F136+H136)/2*'Reeksen (N)'!AI136*12)+(('Invoer gegevens (N)'!$C$10-(F136+H136)/2)*'Reeksen (N)'!AD136*12),0)</f>
        <v>0</v>
      </c>
      <c r="AJ136" s="71">
        <f ca="1">-AI136*'Invoer gegevens (N)'!$F$28</f>
        <v>0</v>
      </c>
      <c r="AK136" s="71">
        <f t="shared" ca="1" si="24"/>
        <v>0</v>
      </c>
      <c r="AL136" s="71">
        <f ca="1">IF(C136=1,(12*((F136+H136)/2)*'Reeksen (N)'!AL136)+(12*('Invoer gegevens (N)'!$C$10-(F136+H136)/2)*'Reeksen (N)'!AM136),0)</f>
        <v>0</v>
      </c>
      <c r="AM136" s="71">
        <f ca="1">-AL136*'Invoer gegevens (N)'!$F$31</f>
        <v>0</v>
      </c>
      <c r="AN136" s="71">
        <f t="shared" ca="1" si="25"/>
        <v>0</v>
      </c>
      <c r="AO136" s="71"/>
      <c r="AP136" s="71"/>
      <c r="AQ136" s="71">
        <f ca="1">-IF(C136=1,('Invoer gegevens (N)'!$C$10*'Invoer gegevens (N)'!$F$35)*'Reeksen (N)'!J136,0)*2</f>
        <v>0</v>
      </c>
      <c r="AR136" s="71">
        <f ca="1">-IF(C136=1,(G136*'Invoer gegevens (N)'!$F$36)*'Reeksen (N)'!J136,0)</f>
        <v>0</v>
      </c>
      <c r="AS136" s="71">
        <f ca="1">-IF(C136=1,'Invoer gegevens (N)'!$C$10*'Invoer gegevens (N)'!$F$37*'Reeksen (N)'!L136,0)</f>
        <v>0</v>
      </c>
      <c r="AT136" s="71">
        <f ca="1">-IF(C136=1,IF(E136='Invoer gegevens (N)'!$C$17,'Invoer gegevens (N)'!$C$11,Q136)*'Reeksen (N)'!S136*'Invoer gegevens (N)'!$C$18*'Reeksen (N)'!P136,0)</f>
        <v>0</v>
      </c>
      <c r="AU136" s="71">
        <f ca="1">-IF(C136=1,'Invoer gegevens (N)'!$C$10*'Invoer gegevens (N)'!$F$38*'Reeksen (N)'!H136,0)</f>
        <v>0</v>
      </c>
      <c r="AV136" s="71">
        <v>0</v>
      </c>
      <c r="AW136" s="71">
        <f t="shared" ca="1" si="26"/>
        <v>0</v>
      </c>
      <c r="AX136" s="71">
        <f ca="1">IF(E136&lt;'Invoer gegevens (N)'!$C$17+15,0,IF('RW - MW - DE - DE (N)'!E136&gt;'Invoer gegevens (N)'!$C$17+215,0,'RW - MW - DE - DE (N)'!AW136))</f>
        <v>0</v>
      </c>
      <c r="AY136" s="71">
        <f ca="1">AX136/(1+'Invoer gegevens (N)'!$F$13)^($AZ136-('Invoer gegevens (N)'!$C$17-'Invoer gegevens (N)'!$C$16))/(1+'Invoer gegevens (N)'!$C$39)^('Invoer gegevens (N)'!$C$17-'Invoer gegevens (N)'!$C$16)</f>
        <v>0</v>
      </c>
      <c r="AZ136" s="68">
        <f ca="1">IF(E136-'Invoer gegevens (N)'!$C$17-14.5&lt;0,0,E136-'Invoer gegevens (N)'!$C$17-14.5)</f>
        <v>116.5</v>
      </c>
      <c r="BC136" s="71"/>
    </row>
    <row r="137" spans="2:55" s="230" customFormat="1" x14ac:dyDescent="0.25">
      <c r="B137" s="70">
        <f t="shared" si="27"/>
        <v>133</v>
      </c>
      <c r="C137" s="67">
        <f ca="1">IF(E137-'Invoer gegevens (N)'!$C$17&lt;0,0,1)</f>
        <v>1</v>
      </c>
      <c r="D137" s="68">
        <f t="shared" si="28"/>
        <v>132.5</v>
      </c>
      <c r="E137" s="69">
        <f ca="1">IF('Invoer gegevens (N)'!$C$16="","",E136+1)</f>
        <v>2151</v>
      </c>
      <c r="F137" s="82">
        <f ca="1">IF('Invoer gegevens (N)'!$C$17=E137,'Invoer gegevens (N)'!$C$10,IF(C137=1,H136,0))</f>
        <v>0</v>
      </c>
      <c r="G137" s="83">
        <f ca="1">IF(C137&gt;=1,F137*'Reeksen (N)'!C137,0)</f>
        <v>0</v>
      </c>
      <c r="H137" s="84">
        <f t="shared" ca="1" si="21"/>
        <v>0</v>
      </c>
      <c r="I137" s="85">
        <f ca="1">IF('Invoer gegevens (N)'!$C$17=E137,'Invoer gegevens (N)'!$C$11,IF(C137=1,L136,0))</f>
        <v>0</v>
      </c>
      <c r="J137" s="86">
        <f ca="1">IF(C137&lt;1,0,IF('Reeksen (N)'!AD137&lt;='Reeksen (N)'!AE137,I137*'Reeksen (N)'!C137,0))</f>
        <v>0</v>
      </c>
      <c r="K137" s="86">
        <f ca="1">IF(C137&lt;1,0,IF('Reeksen (N)'!AD137&gt;'Reeksen (N)'!AE137,I137*'Reeksen (N)'!C137,0))</f>
        <v>0</v>
      </c>
      <c r="L137" s="86">
        <f t="shared" ca="1" si="22"/>
        <v>0</v>
      </c>
      <c r="M137" s="85">
        <f ca="1">IF('Invoer gegevens (N)'!$C$17=E137,'Invoer gegevens (N)'!$C$10-'Invoer gegevens (N)'!$C$11,IF(C137=1,P136,0))</f>
        <v>0</v>
      </c>
      <c r="N137" s="86">
        <f ca="1">IF(C137&lt;1,0,IF('Reeksen (N)'!AD137&lt;='Reeksen (N)'!AE137,M137*'Reeksen (N)'!C137,0))</f>
        <v>0</v>
      </c>
      <c r="O137" s="86">
        <f ca="1">IF(C137&lt;1,0,IF('Reeksen (N)'!AD137&gt;'Reeksen (N)'!AE137,M137*'Reeksen (N)'!C137,0))</f>
        <v>0</v>
      </c>
      <c r="P137" s="86">
        <f t="shared" ca="1" si="23"/>
        <v>0</v>
      </c>
      <c r="Q137" s="82">
        <f ca="1">IF('Invoer gegevens (N)'!$C$17=E137,I137,IF(C137=0,0,R136))</f>
        <v>0</v>
      </c>
      <c r="R137" s="84">
        <f t="shared" ca="1" si="20"/>
        <v>0</v>
      </c>
      <c r="S137" s="84">
        <f ca="1">IF('Invoer gegevens (N)'!$C$17=E137,M137,IF(C137=0,0,T136))</f>
        <v>0</v>
      </c>
      <c r="T137" s="84">
        <f t="shared" ca="1" si="29"/>
        <v>0</v>
      </c>
      <c r="AI137" s="71">
        <f ca="1">IF(C137=1,((F137+H137)/2*'Reeksen (N)'!AI137*12)+(('Invoer gegevens (N)'!$C$10-(F137+H137)/2)*'Reeksen (N)'!AD137*12),0)</f>
        <v>0</v>
      </c>
      <c r="AJ137" s="71">
        <f ca="1">-AI137*'Invoer gegevens (N)'!$F$28</f>
        <v>0</v>
      </c>
      <c r="AK137" s="71">
        <f t="shared" ca="1" si="24"/>
        <v>0</v>
      </c>
      <c r="AL137" s="71">
        <f ca="1">IF(C137=1,(12*((F137+H137)/2)*'Reeksen (N)'!AL137)+(12*('Invoer gegevens (N)'!$C$10-(F137+H137)/2)*'Reeksen (N)'!AM137),0)</f>
        <v>0</v>
      </c>
      <c r="AM137" s="71">
        <f ca="1">-AL137*'Invoer gegevens (N)'!$F$31</f>
        <v>0</v>
      </c>
      <c r="AN137" s="71">
        <f t="shared" ca="1" si="25"/>
        <v>0</v>
      </c>
      <c r="AO137" s="71"/>
      <c r="AP137" s="71"/>
      <c r="AQ137" s="71">
        <f ca="1">-IF(C137=1,('Invoer gegevens (N)'!$C$10*'Invoer gegevens (N)'!$F$35)*'Reeksen (N)'!J137,0)*2</f>
        <v>0</v>
      </c>
      <c r="AR137" s="71">
        <f ca="1">-IF(C137=1,(G137*'Invoer gegevens (N)'!$F$36)*'Reeksen (N)'!J137,0)</f>
        <v>0</v>
      </c>
      <c r="AS137" s="71">
        <f ca="1">-IF(C137=1,'Invoer gegevens (N)'!$C$10*'Invoer gegevens (N)'!$F$37*'Reeksen (N)'!L137,0)</f>
        <v>0</v>
      </c>
      <c r="AT137" s="71">
        <f ca="1">-IF(C137=1,IF(E137='Invoer gegevens (N)'!$C$17,'Invoer gegevens (N)'!$C$11,Q137)*'Reeksen (N)'!S137*'Invoer gegevens (N)'!$C$18*'Reeksen (N)'!P137,0)</f>
        <v>0</v>
      </c>
      <c r="AU137" s="71">
        <f ca="1">-IF(C137=1,'Invoer gegevens (N)'!$C$10*'Invoer gegevens (N)'!$F$38*'Reeksen (N)'!H137,0)</f>
        <v>0</v>
      </c>
      <c r="AV137" s="71">
        <v>0</v>
      </c>
      <c r="AW137" s="71">
        <f t="shared" ca="1" si="26"/>
        <v>0</v>
      </c>
      <c r="AX137" s="71">
        <f ca="1">IF(E137&lt;'Invoer gegevens (N)'!$C$17+15,0,IF('RW - MW - DE - DE (N)'!E137&gt;'Invoer gegevens (N)'!$C$17+215,0,'RW - MW - DE - DE (N)'!AW137))</f>
        <v>0</v>
      </c>
      <c r="AY137" s="71">
        <f ca="1">AX137/(1+'Invoer gegevens (N)'!$F$13)^($AZ137-('Invoer gegevens (N)'!$C$17-'Invoer gegevens (N)'!$C$16))/(1+'Invoer gegevens (N)'!$C$39)^('Invoer gegevens (N)'!$C$17-'Invoer gegevens (N)'!$C$16)</f>
        <v>0</v>
      </c>
      <c r="AZ137" s="68">
        <f ca="1">IF(E137-'Invoer gegevens (N)'!$C$17-14.5&lt;0,0,E137-'Invoer gegevens (N)'!$C$17-14.5)</f>
        <v>117.5</v>
      </c>
      <c r="BC137" s="71"/>
    </row>
    <row r="138" spans="2:55" s="230" customFormat="1" x14ac:dyDescent="0.25">
      <c r="B138" s="70">
        <f t="shared" si="27"/>
        <v>134</v>
      </c>
      <c r="C138" s="67">
        <f ca="1">IF(E138-'Invoer gegevens (N)'!$C$17&lt;0,0,1)</f>
        <v>1</v>
      </c>
      <c r="D138" s="68">
        <f t="shared" si="28"/>
        <v>133.5</v>
      </c>
      <c r="E138" s="69">
        <f ca="1">IF('Invoer gegevens (N)'!$C$16="","",E137+1)</f>
        <v>2152</v>
      </c>
      <c r="F138" s="82">
        <f ca="1">IF('Invoer gegevens (N)'!$C$17=E138,'Invoer gegevens (N)'!$C$10,IF(C138=1,H137,0))</f>
        <v>0</v>
      </c>
      <c r="G138" s="83">
        <f ca="1">IF(C138&gt;=1,F138*'Reeksen (N)'!C138,0)</f>
        <v>0</v>
      </c>
      <c r="H138" s="84">
        <f t="shared" ca="1" si="21"/>
        <v>0</v>
      </c>
      <c r="I138" s="85">
        <f ca="1">IF('Invoer gegevens (N)'!$C$17=E138,'Invoer gegevens (N)'!$C$11,IF(C138=1,L137,0))</f>
        <v>0</v>
      </c>
      <c r="J138" s="86">
        <f ca="1">IF(C138&lt;1,0,IF('Reeksen (N)'!AD138&lt;='Reeksen (N)'!AE138,I138*'Reeksen (N)'!C138,0))</f>
        <v>0</v>
      </c>
      <c r="K138" s="86">
        <f ca="1">IF(C138&lt;1,0,IF('Reeksen (N)'!AD138&gt;'Reeksen (N)'!AE138,I138*'Reeksen (N)'!C138,0))</f>
        <v>0</v>
      </c>
      <c r="L138" s="86">
        <f t="shared" ca="1" si="22"/>
        <v>0</v>
      </c>
      <c r="M138" s="85">
        <f ca="1">IF('Invoer gegevens (N)'!$C$17=E138,'Invoer gegevens (N)'!$C$10-'Invoer gegevens (N)'!$C$11,IF(C138=1,P137,0))</f>
        <v>0</v>
      </c>
      <c r="N138" s="86">
        <f ca="1">IF(C138&lt;1,0,IF('Reeksen (N)'!AD138&lt;='Reeksen (N)'!AE138,M138*'Reeksen (N)'!C138,0))</f>
        <v>0</v>
      </c>
      <c r="O138" s="86">
        <f ca="1">IF(C138&lt;1,0,IF('Reeksen (N)'!AD138&gt;'Reeksen (N)'!AE138,M138*'Reeksen (N)'!C138,0))</f>
        <v>0</v>
      </c>
      <c r="P138" s="86">
        <f t="shared" ca="1" si="23"/>
        <v>0</v>
      </c>
      <c r="Q138" s="82">
        <f ca="1">IF('Invoer gegevens (N)'!$C$17=E138,I138,IF(C138=0,0,R137))</f>
        <v>0</v>
      </c>
      <c r="R138" s="84">
        <f t="shared" ca="1" si="20"/>
        <v>0</v>
      </c>
      <c r="S138" s="84">
        <f ca="1">IF('Invoer gegevens (N)'!$C$17=E138,M138,IF(C138=0,0,T137))</f>
        <v>0</v>
      </c>
      <c r="T138" s="84">
        <f t="shared" ca="1" si="29"/>
        <v>0</v>
      </c>
      <c r="AI138" s="71">
        <f ca="1">IF(C138=1,((F138+H138)/2*'Reeksen (N)'!AI138*12)+(('Invoer gegevens (N)'!$C$10-(F138+H138)/2)*'Reeksen (N)'!AD138*12),0)</f>
        <v>0</v>
      </c>
      <c r="AJ138" s="71">
        <f ca="1">-AI138*'Invoer gegevens (N)'!$F$28</f>
        <v>0</v>
      </c>
      <c r="AK138" s="71">
        <f t="shared" ca="1" si="24"/>
        <v>0</v>
      </c>
      <c r="AL138" s="71">
        <f ca="1">IF(C138=1,(12*((F138+H138)/2)*'Reeksen (N)'!AL138)+(12*('Invoer gegevens (N)'!$C$10-(F138+H138)/2)*'Reeksen (N)'!AM138),0)</f>
        <v>0</v>
      </c>
      <c r="AM138" s="71">
        <f ca="1">-AL138*'Invoer gegevens (N)'!$F$31</f>
        <v>0</v>
      </c>
      <c r="AN138" s="71">
        <f t="shared" ca="1" si="25"/>
        <v>0</v>
      </c>
      <c r="AO138" s="71"/>
      <c r="AP138" s="71"/>
      <c r="AQ138" s="71">
        <f ca="1">-IF(C138=1,('Invoer gegevens (N)'!$C$10*'Invoer gegevens (N)'!$F$35)*'Reeksen (N)'!J138,0)*2</f>
        <v>0</v>
      </c>
      <c r="AR138" s="71">
        <f ca="1">-IF(C138=1,(G138*'Invoer gegevens (N)'!$F$36)*'Reeksen (N)'!J138,0)</f>
        <v>0</v>
      </c>
      <c r="AS138" s="71">
        <f ca="1">-IF(C138=1,'Invoer gegevens (N)'!$C$10*'Invoer gegevens (N)'!$F$37*'Reeksen (N)'!L138,0)</f>
        <v>0</v>
      </c>
      <c r="AT138" s="71">
        <f ca="1">-IF(C138=1,IF(E138='Invoer gegevens (N)'!$C$17,'Invoer gegevens (N)'!$C$11,Q138)*'Reeksen (N)'!S138*'Invoer gegevens (N)'!$C$18*'Reeksen (N)'!P138,0)</f>
        <v>0</v>
      </c>
      <c r="AU138" s="71">
        <f ca="1">-IF(C138=1,'Invoer gegevens (N)'!$C$10*'Invoer gegevens (N)'!$F$38*'Reeksen (N)'!H138,0)</f>
        <v>0</v>
      </c>
      <c r="AV138" s="71">
        <v>0</v>
      </c>
      <c r="AW138" s="71">
        <f t="shared" ca="1" si="26"/>
        <v>0</v>
      </c>
      <c r="AX138" s="71">
        <f ca="1">IF(E138&lt;'Invoer gegevens (N)'!$C$17+15,0,IF('RW - MW - DE - DE (N)'!E138&gt;'Invoer gegevens (N)'!$C$17+215,0,'RW - MW - DE - DE (N)'!AW138))</f>
        <v>0</v>
      </c>
      <c r="AY138" s="71">
        <f ca="1">AX138/(1+'Invoer gegevens (N)'!$F$13)^($AZ138-('Invoer gegevens (N)'!$C$17-'Invoer gegevens (N)'!$C$16))/(1+'Invoer gegevens (N)'!$C$39)^('Invoer gegevens (N)'!$C$17-'Invoer gegevens (N)'!$C$16)</f>
        <v>0</v>
      </c>
      <c r="AZ138" s="68">
        <f ca="1">IF(E138-'Invoer gegevens (N)'!$C$17-14.5&lt;0,0,E138-'Invoer gegevens (N)'!$C$17-14.5)</f>
        <v>118.5</v>
      </c>
      <c r="BC138" s="71"/>
    </row>
    <row r="139" spans="2:55" s="230" customFormat="1" x14ac:dyDescent="0.25">
      <c r="B139" s="70">
        <f t="shared" si="27"/>
        <v>135</v>
      </c>
      <c r="C139" s="67">
        <f ca="1">IF(E139-'Invoer gegevens (N)'!$C$17&lt;0,0,1)</f>
        <v>1</v>
      </c>
      <c r="D139" s="68">
        <f t="shared" si="28"/>
        <v>134.5</v>
      </c>
      <c r="E139" s="69">
        <f ca="1">IF('Invoer gegevens (N)'!$C$16="","",E138+1)</f>
        <v>2153</v>
      </c>
      <c r="F139" s="82">
        <f ca="1">IF('Invoer gegevens (N)'!$C$17=E139,'Invoer gegevens (N)'!$C$10,IF(C139=1,H138,0))</f>
        <v>0</v>
      </c>
      <c r="G139" s="83">
        <f ca="1">IF(C139&gt;=1,F139*'Reeksen (N)'!C139,0)</f>
        <v>0</v>
      </c>
      <c r="H139" s="84">
        <f t="shared" ca="1" si="21"/>
        <v>0</v>
      </c>
      <c r="I139" s="85">
        <f ca="1">IF('Invoer gegevens (N)'!$C$17=E139,'Invoer gegevens (N)'!$C$11,IF(C139=1,L138,0))</f>
        <v>0</v>
      </c>
      <c r="J139" s="86">
        <f ca="1">IF(C139&lt;1,0,IF('Reeksen (N)'!AD139&lt;='Reeksen (N)'!AE139,I139*'Reeksen (N)'!C139,0))</f>
        <v>0</v>
      </c>
      <c r="K139" s="86">
        <f ca="1">IF(C139&lt;1,0,IF('Reeksen (N)'!AD139&gt;'Reeksen (N)'!AE139,I139*'Reeksen (N)'!C139,0))</f>
        <v>0</v>
      </c>
      <c r="L139" s="86">
        <f t="shared" ca="1" si="22"/>
        <v>0</v>
      </c>
      <c r="M139" s="85">
        <f ca="1">IF('Invoer gegevens (N)'!$C$17=E139,'Invoer gegevens (N)'!$C$10-'Invoer gegevens (N)'!$C$11,IF(C139=1,P138,0))</f>
        <v>0</v>
      </c>
      <c r="N139" s="86">
        <f ca="1">IF(C139&lt;1,0,IF('Reeksen (N)'!AD139&lt;='Reeksen (N)'!AE139,M139*'Reeksen (N)'!C139,0))</f>
        <v>0</v>
      </c>
      <c r="O139" s="86">
        <f ca="1">IF(C139&lt;1,0,IF('Reeksen (N)'!AD139&gt;'Reeksen (N)'!AE139,M139*'Reeksen (N)'!C139,0))</f>
        <v>0</v>
      </c>
      <c r="P139" s="86">
        <f t="shared" ca="1" si="23"/>
        <v>0</v>
      </c>
      <c r="Q139" s="82">
        <f ca="1">IF('Invoer gegevens (N)'!$C$17=E139,I139,IF(C139=0,0,R138))</f>
        <v>0</v>
      </c>
      <c r="R139" s="84">
        <f t="shared" ca="1" si="20"/>
        <v>0</v>
      </c>
      <c r="S139" s="84">
        <f ca="1">IF('Invoer gegevens (N)'!$C$17=E139,M139,IF(C139=0,0,T138))</f>
        <v>0</v>
      </c>
      <c r="T139" s="84">
        <f t="shared" ca="1" si="29"/>
        <v>0</v>
      </c>
      <c r="AI139" s="71">
        <f ca="1">IF(C139=1,((F139+H139)/2*'Reeksen (N)'!AI139*12)+(('Invoer gegevens (N)'!$C$10-(F139+H139)/2)*'Reeksen (N)'!AD139*12),0)</f>
        <v>0</v>
      </c>
      <c r="AJ139" s="71">
        <f ca="1">-AI139*'Invoer gegevens (N)'!$F$28</f>
        <v>0</v>
      </c>
      <c r="AK139" s="71">
        <f t="shared" ca="1" si="24"/>
        <v>0</v>
      </c>
      <c r="AL139" s="71">
        <f ca="1">IF(C139=1,(12*((F139+H139)/2)*'Reeksen (N)'!AL139)+(12*('Invoer gegevens (N)'!$C$10-(F139+H139)/2)*'Reeksen (N)'!AM139),0)</f>
        <v>0</v>
      </c>
      <c r="AM139" s="71">
        <f ca="1">-AL139*'Invoer gegevens (N)'!$F$31</f>
        <v>0</v>
      </c>
      <c r="AN139" s="71">
        <f t="shared" ca="1" si="25"/>
        <v>0</v>
      </c>
      <c r="AO139" s="71"/>
      <c r="AP139" s="71"/>
      <c r="AQ139" s="71">
        <f ca="1">-IF(C139=1,('Invoer gegevens (N)'!$C$10*'Invoer gegevens (N)'!$F$35)*'Reeksen (N)'!J139,0)*2</f>
        <v>0</v>
      </c>
      <c r="AR139" s="71">
        <f ca="1">-IF(C139=1,(G139*'Invoer gegevens (N)'!$F$36)*'Reeksen (N)'!J139,0)</f>
        <v>0</v>
      </c>
      <c r="AS139" s="71">
        <f ca="1">-IF(C139=1,'Invoer gegevens (N)'!$C$10*'Invoer gegevens (N)'!$F$37*'Reeksen (N)'!L139,0)</f>
        <v>0</v>
      </c>
      <c r="AT139" s="71">
        <f ca="1">-IF(C139=1,IF(E139='Invoer gegevens (N)'!$C$17,'Invoer gegevens (N)'!$C$11,Q139)*'Reeksen (N)'!S139*'Invoer gegevens (N)'!$C$18*'Reeksen (N)'!P139,0)</f>
        <v>0</v>
      </c>
      <c r="AU139" s="71">
        <f ca="1">-IF(C139=1,'Invoer gegevens (N)'!$C$10*'Invoer gegevens (N)'!$F$38*'Reeksen (N)'!H139,0)</f>
        <v>0</v>
      </c>
      <c r="AV139" s="71">
        <v>0</v>
      </c>
      <c r="AW139" s="71">
        <f t="shared" ca="1" si="26"/>
        <v>0</v>
      </c>
      <c r="AX139" s="71">
        <f ca="1">IF(E139&lt;'Invoer gegevens (N)'!$C$17+15,0,IF('RW - MW - DE - DE (N)'!E139&gt;'Invoer gegevens (N)'!$C$17+215,0,'RW - MW - DE - DE (N)'!AW139))</f>
        <v>0</v>
      </c>
      <c r="AY139" s="71">
        <f ca="1">AX139/(1+'Invoer gegevens (N)'!$F$13)^($AZ139-('Invoer gegevens (N)'!$C$17-'Invoer gegevens (N)'!$C$16))/(1+'Invoer gegevens (N)'!$C$39)^('Invoer gegevens (N)'!$C$17-'Invoer gegevens (N)'!$C$16)</f>
        <v>0</v>
      </c>
      <c r="AZ139" s="68">
        <f ca="1">IF(E139-'Invoer gegevens (N)'!$C$17-14.5&lt;0,0,E139-'Invoer gegevens (N)'!$C$17-14.5)</f>
        <v>119.5</v>
      </c>
      <c r="BC139" s="71"/>
    </row>
    <row r="140" spans="2:55" s="230" customFormat="1" x14ac:dyDescent="0.25">
      <c r="B140" s="70">
        <f t="shared" si="27"/>
        <v>136</v>
      </c>
      <c r="C140" s="67">
        <f ca="1">IF(E140-'Invoer gegevens (N)'!$C$17&lt;0,0,1)</f>
        <v>1</v>
      </c>
      <c r="D140" s="68">
        <f t="shared" si="28"/>
        <v>135.5</v>
      </c>
      <c r="E140" s="69">
        <f ca="1">IF('Invoer gegevens (N)'!$C$16="","",E139+1)</f>
        <v>2154</v>
      </c>
      <c r="F140" s="82">
        <f ca="1">IF('Invoer gegevens (N)'!$C$17=E140,'Invoer gegevens (N)'!$C$10,IF(C140=1,H139,0))</f>
        <v>0</v>
      </c>
      <c r="G140" s="83">
        <f ca="1">IF(C140&gt;=1,F140*'Reeksen (N)'!C140,0)</f>
        <v>0</v>
      </c>
      <c r="H140" s="84">
        <f t="shared" ca="1" si="21"/>
        <v>0</v>
      </c>
      <c r="I140" s="85">
        <f ca="1">IF('Invoer gegevens (N)'!$C$17=E140,'Invoer gegevens (N)'!$C$11,IF(C140=1,L139,0))</f>
        <v>0</v>
      </c>
      <c r="J140" s="86">
        <f ca="1">IF(C140&lt;1,0,IF('Reeksen (N)'!AD140&lt;='Reeksen (N)'!AE140,I140*'Reeksen (N)'!C140,0))</f>
        <v>0</v>
      </c>
      <c r="K140" s="86">
        <f ca="1">IF(C140&lt;1,0,IF('Reeksen (N)'!AD140&gt;'Reeksen (N)'!AE140,I140*'Reeksen (N)'!C140,0))</f>
        <v>0</v>
      </c>
      <c r="L140" s="86">
        <f t="shared" ca="1" si="22"/>
        <v>0</v>
      </c>
      <c r="M140" s="85">
        <f ca="1">IF('Invoer gegevens (N)'!$C$17=E140,'Invoer gegevens (N)'!$C$10-'Invoer gegevens (N)'!$C$11,IF(C140=1,P139,0))</f>
        <v>0</v>
      </c>
      <c r="N140" s="86">
        <f ca="1">IF(C140&lt;1,0,IF('Reeksen (N)'!AD140&lt;='Reeksen (N)'!AE140,M140*'Reeksen (N)'!C140,0))</f>
        <v>0</v>
      </c>
      <c r="O140" s="86">
        <f ca="1">IF(C140&lt;1,0,IF('Reeksen (N)'!AD140&gt;'Reeksen (N)'!AE140,M140*'Reeksen (N)'!C140,0))</f>
        <v>0</v>
      </c>
      <c r="P140" s="86">
        <f t="shared" ca="1" si="23"/>
        <v>0</v>
      </c>
      <c r="Q140" s="82">
        <f ca="1">IF('Invoer gegevens (N)'!$C$17=E140,I140,IF(C140=0,0,R139))</f>
        <v>0</v>
      </c>
      <c r="R140" s="84">
        <f t="shared" ca="1" si="20"/>
        <v>0</v>
      </c>
      <c r="S140" s="84">
        <f ca="1">IF('Invoer gegevens (N)'!$C$17=E140,M140,IF(C140=0,0,T139))</f>
        <v>0</v>
      </c>
      <c r="T140" s="84">
        <f t="shared" ca="1" si="29"/>
        <v>0</v>
      </c>
      <c r="AI140" s="71">
        <f ca="1">IF(C140=1,((F140+H140)/2*'Reeksen (N)'!AI140*12)+(('Invoer gegevens (N)'!$C$10-(F140+H140)/2)*'Reeksen (N)'!AD140*12),0)</f>
        <v>0</v>
      </c>
      <c r="AJ140" s="71">
        <f ca="1">-AI140*'Invoer gegevens (N)'!$F$28</f>
        <v>0</v>
      </c>
      <c r="AK140" s="71">
        <f t="shared" ca="1" si="24"/>
        <v>0</v>
      </c>
      <c r="AL140" s="71">
        <f ca="1">IF(C140=1,(12*((F140+H140)/2)*'Reeksen (N)'!AL140)+(12*('Invoer gegevens (N)'!$C$10-(F140+H140)/2)*'Reeksen (N)'!AM140),0)</f>
        <v>0</v>
      </c>
      <c r="AM140" s="71">
        <f ca="1">-AL140*'Invoer gegevens (N)'!$F$31</f>
        <v>0</v>
      </c>
      <c r="AN140" s="71">
        <f t="shared" ca="1" si="25"/>
        <v>0</v>
      </c>
      <c r="AO140" s="71"/>
      <c r="AP140" s="71"/>
      <c r="AQ140" s="71">
        <f ca="1">-IF(C140=1,('Invoer gegevens (N)'!$C$10*'Invoer gegevens (N)'!$F$35)*'Reeksen (N)'!J140,0)*2</f>
        <v>0</v>
      </c>
      <c r="AR140" s="71">
        <f ca="1">-IF(C140=1,(G140*'Invoer gegevens (N)'!$F$36)*'Reeksen (N)'!J140,0)</f>
        <v>0</v>
      </c>
      <c r="AS140" s="71">
        <f ca="1">-IF(C140=1,'Invoer gegevens (N)'!$C$10*'Invoer gegevens (N)'!$F$37*'Reeksen (N)'!L140,0)</f>
        <v>0</v>
      </c>
      <c r="AT140" s="71">
        <f ca="1">-IF(C140=1,IF(E140='Invoer gegevens (N)'!$C$17,'Invoer gegevens (N)'!$C$11,Q140)*'Reeksen (N)'!S140*'Invoer gegevens (N)'!$C$18*'Reeksen (N)'!P140,0)</f>
        <v>0</v>
      </c>
      <c r="AU140" s="71">
        <f ca="1">-IF(C140=1,'Invoer gegevens (N)'!$C$10*'Invoer gegevens (N)'!$F$38*'Reeksen (N)'!H140,0)</f>
        <v>0</v>
      </c>
      <c r="AV140" s="71">
        <v>0</v>
      </c>
      <c r="AW140" s="71">
        <f t="shared" ca="1" si="26"/>
        <v>0</v>
      </c>
      <c r="AX140" s="71">
        <f ca="1">IF(E140&lt;'Invoer gegevens (N)'!$C$17+15,0,IF('RW - MW - DE - DE (N)'!E140&gt;'Invoer gegevens (N)'!$C$17+215,0,'RW - MW - DE - DE (N)'!AW140))</f>
        <v>0</v>
      </c>
      <c r="AY140" s="71">
        <f ca="1">AX140/(1+'Invoer gegevens (N)'!$F$13)^($AZ140-('Invoer gegevens (N)'!$C$17-'Invoer gegevens (N)'!$C$16))/(1+'Invoer gegevens (N)'!$C$39)^('Invoer gegevens (N)'!$C$17-'Invoer gegevens (N)'!$C$16)</f>
        <v>0</v>
      </c>
      <c r="AZ140" s="68">
        <f ca="1">IF(E140-'Invoer gegevens (N)'!$C$17-14.5&lt;0,0,E140-'Invoer gegevens (N)'!$C$17-14.5)</f>
        <v>120.5</v>
      </c>
      <c r="BC140" s="71"/>
    </row>
    <row r="141" spans="2:55" s="230" customFormat="1" x14ac:dyDescent="0.25">
      <c r="B141" s="70">
        <f t="shared" si="27"/>
        <v>137</v>
      </c>
      <c r="C141" s="67">
        <f ca="1">IF(E141-'Invoer gegevens (N)'!$C$17&lt;0,0,1)</f>
        <v>1</v>
      </c>
      <c r="D141" s="68">
        <f t="shared" si="28"/>
        <v>136.5</v>
      </c>
      <c r="E141" s="69">
        <f ca="1">IF('Invoer gegevens (N)'!$C$16="","",E140+1)</f>
        <v>2155</v>
      </c>
      <c r="F141" s="82">
        <f ca="1">IF('Invoer gegevens (N)'!$C$17=E141,'Invoer gegevens (N)'!$C$10,IF(C141=1,H140,0))</f>
        <v>0</v>
      </c>
      <c r="G141" s="83">
        <f ca="1">IF(C141&gt;=1,F141*'Reeksen (N)'!C141,0)</f>
        <v>0</v>
      </c>
      <c r="H141" s="84">
        <f t="shared" ca="1" si="21"/>
        <v>0</v>
      </c>
      <c r="I141" s="85">
        <f ca="1">IF('Invoer gegevens (N)'!$C$17=E141,'Invoer gegevens (N)'!$C$11,IF(C141=1,L140,0))</f>
        <v>0</v>
      </c>
      <c r="J141" s="86">
        <f ca="1">IF(C141&lt;1,0,IF('Reeksen (N)'!AD141&lt;='Reeksen (N)'!AE141,I141*'Reeksen (N)'!C141,0))</f>
        <v>0</v>
      </c>
      <c r="K141" s="86">
        <f ca="1">IF(C141&lt;1,0,IF('Reeksen (N)'!AD141&gt;'Reeksen (N)'!AE141,I141*'Reeksen (N)'!C141,0))</f>
        <v>0</v>
      </c>
      <c r="L141" s="86">
        <f t="shared" ca="1" si="22"/>
        <v>0</v>
      </c>
      <c r="M141" s="85">
        <f ca="1">IF('Invoer gegevens (N)'!$C$17=E141,'Invoer gegevens (N)'!$C$10-'Invoer gegevens (N)'!$C$11,IF(C141=1,P140,0))</f>
        <v>0</v>
      </c>
      <c r="N141" s="86">
        <f ca="1">IF(C141&lt;1,0,IF('Reeksen (N)'!AD141&lt;='Reeksen (N)'!AE141,M141*'Reeksen (N)'!C141,0))</f>
        <v>0</v>
      </c>
      <c r="O141" s="86">
        <f ca="1">IF(C141&lt;1,0,IF('Reeksen (N)'!AD141&gt;'Reeksen (N)'!AE141,M141*'Reeksen (N)'!C141,0))</f>
        <v>0</v>
      </c>
      <c r="P141" s="86">
        <f t="shared" ca="1" si="23"/>
        <v>0</v>
      </c>
      <c r="Q141" s="82">
        <f ca="1">IF('Invoer gegevens (N)'!$C$17=E141,I141,IF(C141=0,0,R140))</f>
        <v>0</v>
      </c>
      <c r="R141" s="84">
        <f t="shared" ca="1" si="20"/>
        <v>0</v>
      </c>
      <c r="S141" s="84">
        <f ca="1">IF('Invoer gegevens (N)'!$C$17=E141,M141,IF(C141=0,0,T140))</f>
        <v>0</v>
      </c>
      <c r="T141" s="84">
        <f t="shared" ca="1" si="29"/>
        <v>0</v>
      </c>
      <c r="AI141" s="71">
        <f ca="1">IF(C141=1,((F141+H141)/2*'Reeksen (N)'!AI141*12)+(('Invoer gegevens (N)'!$C$10-(F141+H141)/2)*'Reeksen (N)'!AD141*12),0)</f>
        <v>0</v>
      </c>
      <c r="AJ141" s="71">
        <f ca="1">-AI141*'Invoer gegevens (N)'!$F$28</f>
        <v>0</v>
      </c>
      <c r="AK141" s="71">
        <f t="shared" ca="1" si="24"/>
        <v>0</v>
      </c>
      <c r="AL141" s="71">
        <f ca="1">IF(C141=1,(12*((F141+H141)/2)*'Reeksen (N)'!AL141)+(12*('Invoer gegevens (N)'!$C$10-(F141+H141)/2)*'Reeksen (N)'!AM141),0)</f>
        <v>0</v>
      </c>
      <c r="AM141" s="71">
        <f ca="1">-AL141*'Invoer gegevens (N)'!$F$31</f>
        <v>0</v>
      </c>
      <c r="AN141" s="71">
        <f t="shared" ca="1" si="25"/>
        <v>0</v>
      </c>
      <c r="AO141" s="71"/>
      <c r="AP141" s="71"/>
      <c r="AQ141" s="71">
        <f ca="1">-IF(C141=1,('Invoer gegevens (N)'!$C$10*'Invoer gegevens (N)'!$F$35)*'Reeksen (N)'!J141,0)*2</f>
        <v>0</v>
      </c>
      <c r="AR141" s="71">
        <f ca="1">-IF(C141=1,(G141*'Invoer gegevens (N)'!$F$36)*'Reeksen (N)'!J141,0)</f>
        <v>0</v>
      </c>
      <c r="AS141" s="71">
        <f ca="1">-IF(C141=1,'Invoer gegevens (N)'!$C$10*'Invoer gegevens (N)'!$F$37*'Reeksen (N)'!L141,0)</f>
        <v>0</v>
      </c>
      <c r="AT141" s="71">
        <f ca="1">-IF(C141=1,IF(E141='Invoer gegevens (N)'!$C$17,'Invoer gegevens (N)'!$C$11,Q141)*'Reeksen (N)'!S141*'Invoer gegevens (N)'!$C$18*'Reeksen (N)'!P141,0)</f>
        <v>0</v>
      </c>
      <c r="AU141" s="71">
        <f ca="1">-IF(C141=1,'Invoer gegevens (N)'!$C$10*'Invoer gegevens (N)'!$F$38*'Reeksen (N)'!H141,0)</f>
        <v>0</v>
      </c>
      <c r="AV141" s="71">
        <v>0</v>
      </c>
      <c r="AW141" s="71">
        <f t="shared" ca="1" si="26"/>
        <v>0</v>
      </c>
      <c r="AX141" s="71">
        <f ca="1">IF(E141&lt;'Invoer gegevens (N)'!$C$17+15,0,IF('RW - MW - DE - DE (N)'!E141&gt;'Invoer gegevens (N)'!$C$17+215,0,'RW - MW - DE - DE (N)'!AW141))</f>
        <v>0</v>
      </c>
      <c r="AY141" s="71">
        <f ca="1">AX141/(1+'Invoer gegevens (N)'!$F$13)^($AZ141-('Invoer gegevens (N)'!$C$17-'Invoer gegevens (N)'!$C$16))/(1+'Invoer gegevens (N)'!$C$39)^('Invoer gegevens (N)'!$C$17-'Invoer gegevens (N)'!$C$16)</f>
        <v>0</v>
      </c>
      <c r="AZ141" s="68">
        <f ca="1">IF(E141-'Invoer gegevens (N)'!$C$17-14.5&lt;0,0,E141-'Invoer gegevens (N)'!$C$17-14.5)</f>
        <v>121.5</v>
      </c>
      <c r="BC141" s="71"/>
    </row>
    <row r="142" spans="2:55" s="230" customFormat="1" x14ac:dyDescent="0.25">
      <c r="B142" s="70">
        <f t="shared" si="27"/>
        <v>138</v>
      </c>
      <c r="C142" s="67">
        <f ca="1">IF(E142-'Invoer gegevens (N)'!$C$17&lt;0,0,1)</f>
        <v>1</v>
      </c>
      <c r="D142" s="68">
        <f t="shared" si="28"/>
        <v>137.5</v>
      </c>
      <c r="E142" s="69">
        <f ca="1">IF('Invoer gegevens (N)'!$C$16="","",E141+1)</f>
        <v>2156</v>
      </c>
      <c r="F142" s="82">
        <f ca="1">IF('Invoer gegevens (N)'!$C$17=E142,'Invoer gegevens (N)'!$C$10,IF(C142=1,H141,0))</f>
        <v>0</v>
      </c>
      <c r="G142" s="83">
        <f ca="1">IF(C142&gt;=1,F142*'Reeksen (N)'!C142,0)</f>
        <v>0</v>
      </c>
      <c r="H142" s="84">
        <f t="shared" ca="1" si="21"/>
        <v>0</v>
      </c>
      <c r="I142" s="85">
        <f ca="1">IF('Invoer gegevens (N)'!$C$17=E142,'Invoer gegevens (N)'!$C$11,IF(C142=1,L141,0))</f>
        <v>0</v>
      </c>
      <c r="J142" s="86">
        <f ca="1">IF(C142&lt;1,0,IF('Reeksen (N)'!AD142&lt;='Reeksen (N)'!AE142,I142*'Reeksen (N)'!C142,0))</f>
        <v>0</v>
      </c>
      <c r="K142" s="86">
        <f ca="1">IF(C142&lt;1,0,IF('Reeksen (N)'!AD142&gt;'Reeksen (N)'!AE142,I142*'Reeksen (N)'!C142,0))</f>
        <v>0</v>
      </c>
      <c r="L142" s="86">
        <f t="shared" ca="1" si="22"/>
        <v>0</v>
      </c>
      <c r="M142" s="85">
        <f ca="1">IF('Invoer gegevens (N)'!$C$17=E142,'Invoer gegevens (N)'!$C$10-'Invoer gegevens (N)'!$C$11,IF(C142=1,P141,0))</f>
        <v>0</v>
      </c>
      <c r="N142" s="86">
        <f ca="1">IF(C142&lt;1,0,IF('Reeksen (N)'!AD142&lt;='Reeksen (N)'!AE142,M142*'Reeksen (N)'!C142,0))</f>
        <v>0</v>
      </c>
      <c r="O142" s="86">
        <f ca="1">IF(C142&lt;1,0,IF('Reeksen (N)'!AD142&gt;'Reeksen (N)'!AE142,M142*'Reeksen (N)'!C142,0))</f>
        <v>0</v>
      </c>
      <c r="P142" s="86">
        <f t="shared" ca="1" si="23"/>
        <v>0</v>
      </c>
      <c r="Q142" s="82">
        <f ca="1">IF('Invoer gegevens (N)'!$C$17=E142,I142,IF(C142=0,0,R141))</f>
        <v>0</v>
      </c>
      <c r="R142" s="84">
        <f t="shared" ca="1" si="20"/>
        <v>0</v>
      </c>
      <c r="S142" s="84">
        <f ca="1">IF('Invoer gegevens (N)'!$C$17=E142,M142,IF(C142=0,0,T141))</f>
        <v>0</v>
      </c>
      <c r="T142" s="84">
        <f t="shared" ca="1" si="29"/>
        <v>0</v>
      </c>
      <c r="AI142" s="71">
        <f ca="1">IF(C142=1,((F142+H142)/2*'Reeksen (N)'!AI142*12)+(('Invoer gegevens (N)'!$C$10-(F142+H142)/2)*'Reeksen (N)'!AD142*12),0)</f>
        <v>0</v>
      </c>
      <c r="AJ142" s="71">
        <f ca="1">-AI142*'Invoer gegevens (N)'!$F$28</f>
        <v>0</v>
      </c>
      <c r="AK142" s="71">
        <f t="shared" ca="1" si="24"/>
        <v>0</v>
      </c>
      <c r="AL142" s="71">
        <f ca="1">IF(C142=1,(12*((F142+H142)/2)*'Reeksen (N)'!AL142)+(12*('Invoer gegevens (N)'!$C$10-(F142+H142)/2)*'Reeksen (N)'!AM142),0)</f>
        <v>0</v>
      </c>
      <c r="AM142" s="71">
        <f ca="1">-AL142*'Invoer gegevens (N)'!$F$31</f>
        <v>0</v>
      </c>
      <c r="AN142" s="71">
        <f t="shared" ca="1" si="25"/>
        <v>0</v>
      </c>
      <c r="AO142" s="71"/>
      <c r="AP142" s="71"/>
      <c r="AQ142" s="71">
        <f ca="1">-IF(C142=1,('Invoer gegevens (N)'!$C$10*'Invoer gegevens (N)'!$F$35)*'Reeksen (N)'!J142,0)*2</f>
        <v>0</v>
      </c>
      <c r="AR142" s="71">
        <f ca="1">-IF(C142=1,(G142*'Invoer gegevens (N)'!$F$36)*'Reeksen (N)'!J142,0)</f>
        <v>0</v>
      </c>
      <c r="AS142" s="71">
        <f ca="1">-IF(C142=1,'Invoer gegevens (N)'!$C$10*'Invoer gegevens (N)'!$F$37*'Reeksen (N)'!L142,0)</f>
        <v>0</v>
      </c>
      <c r="AT142" s="71">
        <f ca="1">-IF(C142=1,IF(E142='Invoer gegevens (N)'!$C$17,'Invoer gegevens (N)'!$C$11,Q142)*'Reeksen (N)'!S142*'Invoer gegevens (N)'!$C$18*'Reeksen (N)'!P142,0)</f>
        <v>0</v>
      </c>
      <c r="AU142" s="71">
        <f ca="1">-IF(C142=1,'Invoer gegevens (N)'!$C$10*'Invoer gegevens (N)'!$F$38*'Reeksen (N)'!H142,0)</f>
        <v>0</v>
      </c>
      <c r="AV142" s="71">
        <v>0</v>
      </c>
      <c r="AW142" s="71">
        <f t="shared" ca="1" si="26"/>
        <v>0</v>
      </c>
      <c r="AX142" s="71">
        <f ca="1">IF(E142&lt;'Invoer gegevens (N)'!$C$17+15,0,IF('RW - MW - DE - DE (N)'!E142&gt;'Invoer gegevens (N)'!$C$17+215,0,'RW - MW - DE - DE (N)'!AW142))</f>
        <v>0</v>
      </c>
      <c r="AY142" s="71">
        <f ca="1">AX142/(1+'Invoer gegevens (N)'!$F$13)^($AZ142-('Invoer gegevens (N)'!$C$17-'Invoer gegevens (N)'!$C$16))/(1+'Invoer gegevens (N)'!$C$39)^('Invoer gegevens (N)'!$C$17-'Invoer gegevens (N)'!$C$16)</f>
        <v>0</v>
      </c>
      <c r="AZ142" s="68">
        <f ca="1">IF(E142-'Invoer gegevens (N)'!$C$17-14.5&lt;0,0,E142-'Invoer gegevens (N)'!$C$17-14.5)</f>
        <v>122.5</v>
      </c>
      <c r="BC142" s="71"/>
    </row>
    <row r="143" spans="2:55" s="230" customFormat="1" x14ac:dyDescent="0.25">
      <c r="B143" s="70">
        <f t="shared" si="27"/>
        <v>139</v>
      </c>
      <c r="C143" s="67">
        <f ca="1">IF(E143-'Invoer gegevens (N)'!$C$17&lt;0,0,1)</f>
        <v>1</v>
      </c>
      <c r="D143" s="68">
        <f t="shared" si="28"/>
        <v>138.5</v>
      </c>
      <c r="E143" s="69">
        <f ca="1">IF('Invoer gegevens (N)'!$C$16="","",E142+1)</f>
        <v>2157</v>
      </c>
      <c r="F143" s="82">
        <f ca="1">IF('Invoer gegevens (N)'!$C$17=E143,'Invoer gegevens (N)'!$C$10,IF(C143=1,H142,0))</f>
        <v>0</v>
      </c>
      <c r="G143" s="83">
        <f ca="1">IF(C143&gt;=1,F143*'Reeksen (N)'!C143,0)</f>
        <v>0</v>
      </c>
      <c r="H143" s="84">
        <f t="shared" ca="1" si="21"/>
        <v>0</v>
      </c>
      <c r="I143" s="85">
        <f ca="1">IF('Invoer gegevens (N)'!$C$17=E143,'Invoer gegevens (N)'!$C$11,IF(C143=1,L142,0))</f>
        <v>0</v>
      </c>
      <c r="J143" s="86">
        <f ca="1">IF(C143&lt;1,0,IF('Reeksen (N)'!AD143&lt;='Reeksen (N)'!AE143,I143*'Reeksen (N)'!C143,0))</f>
        <v>0</v>
      </c>
      <c r="K143" s="86">
        <f ca="1">IF(C143&lt;1,0,IF('Reeksen (N)'!AD143&gt;'Reeksen (N)'!AE143,I143*'Reeksen (N)'!C143,0))</f>
        <v>0</v>
      </c>
      <c r="L143" s="86">
        <f t="shared" ca="1" si="22"/>
        <v>0</v>
      </c>
      <c r="M143" s="85">
        <f ca="1">IF('Invoer gegevens (N)'!$C$17=E143,'Invoer gegevens (N)'!$C$10-'Invoer gegevens (N)'!$C$11,IF(C143=1,P142,0))</f>
        <v>0</v>
      </c>
      <c r="N143" s="86">
        <f ca="1">IF(C143&lt;1,0,IF('Reeksen (N)'!AD143&lt;='Reeksen (N)'!AE143,M143*'Reeksen (N)'!C143,0))</f>
        <v>0</v>
      </c>
      <c r="O143" s="86">
        <f ca="1">IF(C143&lt;1,0,IF('Reeksen (N)'!AD143&gt;'Reeksen (N)'!AE143,M143*'Reeksen (N)'!C143,0))</f>
        <v>0</v>
      </c>
      <c r="P143" s="86">
        <f t="shared" ca="1" si="23"/>
        <v>0</v>
      </c>
      <c r="Q143" s="82">
        <f ca="1">IF('Invoer gegevens (N)'!$C$17=E143,I143,IF(C143=0,0,R142))</f>
        <v>0</v>
      </c>
      <c r="R143" s="84">
        <f t="shared" ca="1" si="20"/>
        <v>0</v>
      </c>
      <c r="S143" s="84">
        <f ca="1">IF('Invoer gegevens (N)'!$C$17=E143,M143,IF(C143=0,0,T142))</f>
        <v>0</v>
      </c>
      <c r="T143" s="84">
        <f t="shared" ca="1" si="29"/>
        <v>0</v>
      </c>
      <c r="AI143" s="71">
        <f ca="1">IF(C143=1,((F143+H143)/2*'Reeksen (N)'!AI143*12)+(('Invoer gegevens (N)'!$C$10-(F143+H143)/2)*'Reeksen (N)'!AD143*12),0)</f>
        <v>0</v>
      </c>
      <c r="AJ143" s="71">
        <f ca="1">-AI143*'Invoer gegevens (N)'!$F$28</f>
        <v>0</v>
      </c>
      <c r="AK143" s="71">
        <f t="shared" ca="1" si="24"/>
        <v>0</v>
      </c>
      <c r="AL143" s="71">
        <f ca="1">IF(C143=1,(12*((F143+H143)/2)*'Reeksen (N)'!AL143)+(12*('Invoer gegevens (N)'!$C$10-(F143+H143)/2)*'Reeksen (N)'!AM143),0)</f>
        <v>0</v>
      </c>
      <c r="AM143" s="71">
        <f ca="1">-AL143*'Invoer gegevens (N)'!$F$31</f>
        <v>0</v>
      </c>
      <c r="AN143" s="71">
        <f t="shared" ca="1" si="25"/>
        <v>0</v>
      </c>
      <c r="AO143" s="71"/>
      <c r="AP143" s="71"/>
      <c r="AQ143" s="71">
        <f ca="1">-IF(C143=1,('Invoer gegevens (N)'!$C$10*'Invoer gegevens (N)'!$F$35)*'Reeksen (N)'!J143,0)*2</f>
        <v>0</v>
      </c>
      <c r="AR143" s="71">
        <f ca="1">-IF(C143=1,(G143*'Invoer gegevens (N)'!$F$36)*'Reeksen (N)'!J143,0)</f>
        <v>0</v>
      </c>
      <c r="AS143" s="71">
        <f ca="1">-IF(C143=1,'Invoer gegevens (N)'!$C$10*'Invoer gegevens (N)'!$F$37*'Reeksen (N)'!L143,0)</f>
        <v>0</v>
      </c>
      <c r="AT143" s="71">
        <f ca="1">-IF(C143=1,IF(E143='Invoer gegevens (N)'!$C$17,'Invoer gegevens (N)'!$C$11,Q143)*'Reeksen (N)'!S143*'Invoer gegevens (N)'!$C$18*'Reeksen (N)'!P143,0)</f>
        <v>0</v>
      </c>
      <c r="AU143" s="71">
        <f ca="1">-IF(C143=1,'Invoer gegevens (N)'!$C$10*'Invoer gegevens (N)'!$F$38*'Reeksen (N)'!H143,0)</f>
        <v>0</v>
      </c>
      <c r="AV143" s="71">
        <v>0</v>
      </c>
      <c r="AW143" s="71">
        <f t="shared" ca="1" si="26"/>
        <v>0</v>
      </c>
      <c r="AX143" s="71">
        <f ca="1">IF(E143&lt;'Invoer gegevens (N)'!$C$17+15,0,IF('RW - MW - DE - DE (N)'!E143&gt;'Invoer gegevens (N)'!$C$17+215,0,'RW - MW - DE - DE (N)'!AW143))</f>
        <v>0</v>
      </c>
      <c r="AY143" s="71">
        <f ca="1">AX143/(1+'Invoer gegevens (N)'!$F$13)^($AZ143-('Invoer gegevens (N)'!$C$17-'Invoer gegevens (N)'!$C$16))/(1+'Invoer gegevens (N)'!$C$39)^('Invoer gegevens (N)'!$C$17-'Invoer gegevens (N)'!$C$16)</f>
        <v>0</v>
      </c>
      <c r="AZ143" s="68">
        <f ca="1">IF(E143-'Invoer gegevens (N)'!$C$17-14.5&lt;0,0,E143-'Invoer gegevens (N)'!$C$17-14.5)</f>
        <v>123.5</v>
      </c>
      <c r="BC143" s="71"/>
    </row>
    <row r="144" spans="2:55" s="230" customFormat="1" x14ac:dyDescent="0.25">
      <c r="B144" s="70">
        <f t="shared" si="27"/>
        <v>140</v>
      </c>
      <c r="C144" s="67">
        <f ca="1">IF(E144-'Invoer gegevens (N)'!$C$17&lt;0,0,1)</f>
        <v>1</v>
      </c>
      <c r="D144" s="68">
        <f t="shared" si="28"/>
        <v>139.5</v>
      </c>
      <c r="E144" s="69">
        <f ca="1">IF('Invoer gegevens (N)'!$C$16="","",E143+1)</f>
        <v>2158</v>
      </c>
      <c r="F144" s="82">
        <f ca="1">IF('Invoer gegevens (N)'!$C$17=E144,'Invoer gegevens (N)'!$C$10,IF(C144=1,H143,0))</f>
        <v>0</v>
      </c>
      <c r="G144" s="83">
        <f ca="1">IF(C144&gt;=1,F144*'Reeksen (N)'!C144,0)</f>
        <v>0</v>
      </c>
      <c r="H144" s="84">
        <f t="shared" ca="1" si="21"/>
        <v>0</v>
      </c>
      <c r="I144" s="85">
        <f ca="1">IF('Invoer gegevens (N)'!$C$17=E144,'Invoer gegevens (N)'!$C$11,IF(C144=1,L143,0))</f>
        <v>0</v>
      </c>
      <c r="J144" s="86">
        <f ca="1">IF(C144&lt;1,0,IF('Reeksen (N)'!AD144&lt;='Reeksen (N)'!AE144,I144*'Reeksen (N)'!C144,0))</f>
        <v>0</v>
      </c>
      <c r="K144" s="86">
        <f ca="1">IF(C144&lt;1,0,IF('Reeksen (N)'!AD144&gt;'Reeksen (N)'!AE144,I144*'Reeksen (N)'!C144,0))</f>
        <v>0</v>
      </c>
      <c r="L144" s="86">
        <f t="shared" ca="1" si="22"/>
        <v>0</v>
      </c>
      <c r="M144" s="85">
        <f ca="1">IF('Invoer gegevens (N)'!$C$17=E144,'Invoer gegevens (N)'!$C$10-'Invoer gegevens (N)'!$C$11,IF(C144=1,P143,0))</f>
        <v>0</v>
      </c>
      <c r="N144" s="86">
        <f ca="1">IF(C144&lt;1,0,IF('Reeksen (N)'!AD144&lt;='Reeksen (N)'!AE144,M144*'Reeksen (N)'!C144,0))</f>
        <v>0</v>
      </c>
      <c r="O144" s="86">
        <f ca="1">IF(C144&lt;1,0,IF('Reeksen (N)'!AD144&gt;'Reeksen (N)'!AE144,M144*'Reeksen (N)'!C144,0))</f>
        <v>0</v>
      </c>
      <c r="P144" s="86">
        <f t="shared" ca="1" si="23"/>
        <v>0</v>
      </c>
      <c r="Q144" s="82">
        <f ca="1">IF('Invoer gegevens (N)'!$C$17=E144,I144,IF(C144=0,0,R143))</f>
        <v>0</v>
      </c>
      <c r="R144" s="84">
        <f t="shared" ca="1" si="20"/>
        <v>0</v>
      </c>
      <c r="S144" s="84">
        <f ca="1">IF('Invoer gegevens (N)'!$C$17=E144,M144,IF(C144=0,0,T143))</f>
        <v>0</v>
      </c>
      <c r="T144" s="84">
        <f t="shared" ca="1" si="29"/>
        <v>0</v>
      </c>
      <c r="AI144" s="71">
        <f ca="1">IF(C144=1,((F144+H144)/2*'Reeksen (N)'!AI144*12)+(('Invoer gegevens (N)'!$C$10-(F144+H144)/2)*'Reeksen (N)'!AD144*12),0)</f>
        <v>0</v>
      </c>
      <c r="AJ144" s="71">
        <f ca="1">-AI144*'Invoer gegevens (N)'!$F$28</f>
        <v>0</v>
      </c>
      <c r="AK144" s="71">
        <f t="shared" ca="1" si="24"/>
        <v>0</v>
      </c>
      <c r="AL144" s="71">
        <f ca="1">IF(C144=1,(12*((F144+H144)/2)*'Reeksen (N)'!AL144)+(12*('Invoer gegevens (N)'!$C$10-(F144+H144)/2)*'Reeksen (N)'!AM144),0)</f>
        <v>0</v>
      </c>
      <c r="AM144" s="71">
        <f ca="1">-AL144*'Invoer gegevens (N)'!$F$31</f>
        <v>0</v>
      </c>
      <c r="AN144" s="71">
        <f t="shared" ca="1" si="25"/>
        <v>0</v>
      </c>
      <c r="AO144" s="71"/>
      <c r="AP144" s="71"/>
      <c r="AQ144" s="71">
        <f ca="1">-IF(C144=1,('Invoer gegevens (N)'!$C$10*'Invoer gegevens (N)'!$F$35)*'Reeksen (N)'!J144,0)*2</f>
        <v>0</v>
      </c>
      <c r="AR144" s="71">
        <f ca="1">-IF(C144=1,(G144*'Invoer gegevens (N)'!$F$36)*'Reeksen (N)'!J144,0)</f>
        <v>0</v>
      </c>
      <c r="AS144" s="71">
        <f ca="1">-IF(C144=1,'Invoer gegevens (N)'!$C$10*'Invoer gegevens (N)'!$F$37*'Reeksen (N)'!L144,0)</f>
        <v>0</v>
      </c>
      <c r="AT144" s="71">
        <f ca="1">-IF(C144=1,IF(E144='Invoer gegevens (N)'!$C$17,'Invoer gegevens (N)'!$C$11,Q144)*'Reeksen (N)'!S144*'Invoer gegevens (N)'!$C$18*'Reeksen (N)'!P144,0)</f>
        <v>0</v>
      </c>
      <c r="AU144" s="71">
        <f ca="1">-IF(C144=1,'Invoer gegevens (N)'!$C$10*'Invoer gegevens (N)'!$F$38*'Reeksen (N)'!H144,0)</f>
        <v>0</v>
      </c>
      <c r="AV144" s="71">
        <v>0</v>
      </c>
      <c r="AW144" s="71">
        <f t="shared" ca="1" si="26"/>
        <v>0</v>
      </c>
      <c r="AX144" s="71">
        <f ca="1">IF(E144&lt;'Invoer gegevens (N)'!$C$17+15,0,IF('RW - MW - DE - DE (N)'!E144&gt;'Invoer gegevens (N)'!$C$17+215,0,'RW - MW - DE - DE (N)'!AW144))</f>
        <v>0</v>
      </c>
      <c r="AY144" s="71">
        <f ca="1">AX144/(1+'Invoer gegevens (N)'!$F$13)^($AZ144-('Invoer gegevens (N)'!$C$17-'Invoer gegevens (N)'!$C$16))/(1+'Invoer gegevens (N)'!$C$39)^('Invoer gegevens (N)'!$C$17-'Invoer gegevens (N)'!$C$16)</f>
        <v>0</v>
      </c>
      <c r="AZ144" s="68">
        <f ca="1">IF(E144-'Invoer gegevens (N)'!$C$17-14.5&lt;0,0,E144-'Invoer gegevens (N)'!$C$17-14.5)</f>
        <v>124.5</v>
      </c>
      <c r="BC144" s="71"/>
    </row>
    <row r="145" spans="2:55" s="230" customFormat="1" x14ac:dyDescent="0.25">
      <c r="B145" s="70">
        <f t="shared" si="27"/>
        <v>141</v>
      </c>
      <c r="C145" s="67">
        <f ca="1">IF(E145-'Invoer gegevens (N)'!$C$17&lt;0,0,1)</f>
        <v>1</v>
      </c>
      <c r="D145" s="68">
        <f t="shared" si="28"/>
        <v>140.5</v>
      </c>
      <c r="E145" s="69">
        <f ca="1">IF('Invoer gegevens (N)'!$C$16="","",E144+1)</f>
        <v>2159</v>
      </c>
      <c r="F145" s="82">
        <f ca="1">IF('Invoer gegevens (N)'!$C$17=E145,'Invoer gegevens (N)'!$C$10,IF(C145=1,H144,0))</f>
        <v>0</v>
      </c>
      <c r="G145" s="83">
        <f ca="1">IF(C145&gt;=1,F145*'Reeksen (N)'!C145,0)</f>
        <v>0</v>
      </c>
      <c r="H145" s="84">
        <f t="shared" ca="1" si="21"/>
        <v>0</v>
      </c>
      <c r="I145" s="85">
        <f ca="1">IF('Invoer gegevens (N)'!$C$17=E145,'Invoer gegevens (N)'!$C$11,IF(C145=1,L144,0))</f>
        <v>0</v>
      </c>
      <c r="J145" s="86">
        <f ca="1">IF(C145&lt;1,0,IF('Reeksen (N)'!AD145&lt;='Reeksen (N)'!AE145,I145*'Reeksen (N)'!C145,0))</f>
        <v>0</v>
      </c>
      <c r="K145" s="86">
        <f ca="1">IF(C145&lt;1,0,IF('Reeksen (N)'!AD145&gt;'Reeksen (N)'!AE145,I145*'Reeksen (N)'!C145,0))</f>
        <v>0</v>
      </c>
      <c r="L145" s="86">
        <f t="shared" ca="1" si="22"/>
        <v>0</v>
      </c>
      <c r="M145" s="85">
        <f ca="1">IF('Invoer gegevens (N)'!$C$17=E145,'Invoer gegevens (N)'!$C$10-'Invoer gegevens (N)'!$C$11,IF(C145=1,P144,0))</f>
        <v>0</v>
      </c>
      <c r="N145" s="86">
        <f ca="1">IF(C145&lt;1,0,IF('Reeksen (N)'!AD145&lt;='Reeksen (N)'!AE145,M145*'Reeksen (N)'!C145,0))</f>
        <v>0</v>
      </c>
      <c r="O145" s="86">
        <f ca="1">IF(C145&lt;1,0,IF('Reeksen (N)'!AD145&gt;'Reeksen (N)'!AE145,M145*'Reeksen (N)'!C145,0))</f>
        <v>0</v>
      </c>
      <c r="P145" s="86">
        <f t="shared" ca="1" si="23"/>
        <v>0</v>
      </c>
      <c r="Q145" s="82">
        <f ca="1">IF('Invoer gegevens (N)'!$C$17=E145,I145,IF(C145=0,0,R144))</f>
        <v>0</v>
      </c>
      <c r="R145" s="84">
        <f t="shared" ca="1" si="20"/>
        <v>0</v>
      </c>
      <c r="S145" s="84">
        <f ca="1">IF('Invoer gegevens (N)'!$C$17=E145,M145,IF(C145=0,0,T144))</f>
        <v>0</v>
      </c>
      <c r="T145" s="84">
        <f t="shared" ca="1" si="29"/>
        <v>0</v>
      </c>
      <c r="AI145" s="71">
        <f ca="1">IF(C145=1,((F145+H145)/2*'Reeksen (N)'!AI145*12)+(('Invoer gegevens (N)'!$C$10-(F145+H145)/2)*'Reeksen (N)'!AD145*12),0)</f>
        <v>0</v>
      </c>
      <c r="AJ145" s="71">
        <f ca="1">-AI145*'Invoer gegevens (N)'!$F$28</f>
        <v>0</v>
      </c>
      <c r="AK145" s="71">
        <f t="shared" ca="1" si="24"/>
        <v>0</v>
      </c>
      <c r="AL145" s="71">
        <f ca="1">IF(C145=1,(12*((F145+H145)/2)*'Reeksen (N)'!AL145)+(12*('Invoer gegevens (N)'!$C$10-(F145+H145)/2)*'Reeksen (N)'!AM145),0)</f>
        <v>0</v>
      </c>
      <c r="AM145" s="71">
        <f ca="1">-AL145*'Invoer gegevens (N)'!$F$31</f>
        <v>0</v>
      </c>
      <c r="AN145" s="71">
        <f t="shared" ca="1" si="25"/>
        <v>0</v>
      </c>
      <c r="AO145" s="71"/>
      <c r="AP145" s="71"/>
      <c r="AQ145" s="71">
        <f ca="1">-IF(C145=1,('Invoer gegevens (N)'!$C$10*'Invoer gegevens (N)'!$F$35)*'Reeksen (N)'!J145,0)*2</f>
        <v>0</v>
      </c>
      <c r="AR145" s="71">
        <f ca="1">-IF(C145=1,(G145*'Invoer gegevens (N)'!$F$36)*'Reeksen (N)'!J145,0)</f>
        <v>0</v>
      </c>
      <c r="AS145" s="71">
        <f ca="1">-IF(C145=1,'Invoer gegevens (N)'!$C$10*'Invoer gegevens (N)'!$F$37*'Reeksen (N)'!L145,0)</f>
        <v>0</v>
      </c>
      <c r="AT145" s="71">
        <f ca="1">-IF(C145=1,IF(E145='Invoer gegevens (N)'!$C$17,'Invoer gegevens (N)'!$C$11,Q145)*'Reeksen (N)'!S145*'Invoer gegevens (N)'!$C$18*'Reeksen (N)'!P145,0)</f>
        <v>0</v>
      </c>
      <c r="AU145" s="71">
        <f ca="1">-IF(C145=1,'Invoer gegevens (N)'!$C$10*'Invoer gegevens (N)'!$F$38*'Reeksen (N)'!H145,0)</f>
        <v>0</v>
      </c>
      <c r="AV145" s="71">
        <v>0</v>
      </c>
      <c r="AW145" s="71">
        <f t="shared" ca="1" si="26"/>
        <v>0</v>
      </c>
      <c r="AX145" s="71">
        <f ca="1">IF(E145&lt;'Invoer gegevens (N)'!$C$17+15,0,IF('RW - MW - DE - DE (N)'!E145&gt;'Invoer gegevens (N)'!$C$17+215,0,'RW - MW - DE - DE (N)'!AW145))</f>
        <v>0</v>
      </c>
      <c r="AY145" s="71">
        <f ca="1">AX145/(1+'Invoer gegevens (N)'!$F$13)^($AZ145-('Invoer gegevens (N)'!$C$17-'Invoer gegevens (N)'!$C$16))/(1+'Invoer gegevens (N)'!$C$39)^('Invoer gegevens (N)'!$C$17-'Invoer gegevens (N)'!$C$16)</f>
        <v>0</v>
      </c>
      <c r="AZ145" s="68">
        <f ca="1">IF(E145-'Invoer gegevens (N)'!$C$17-14.5&lt;0,0,E145-'Invoer gegevens (N)'!$C$17-14.5)</f>
        <v>125.5</v>
      </c>
      <c r="BC145" s="71"/>
    </row>
    <row r="146" spans="2:55" s="230" customFormat="1" x14ac:dyDescent="0.25">
      <c r="B146" s="70">
        <f t="shared" si="27"/>
        <v>142</v>
      </c>
      <c r="C146" s="67">
        <f ca="1">IF(E146-'Invoer gegevens (N)'!$C$17&lt;0,0,1)</f>
        <v>1</v>
      </c>
      <c r="D146" s="68">
        <f t="shared" si="28"/>
        <v>141.5</v>
      </c>
      <c r="E146" s="69">
        <f ca="1">IF('Invoer gegevens (N)'!$C$16="","",E145+1)</f>
        <v>2160</v>
      </c>
      <c r="F146" s="82">
        <f ca="1">IF('Invoer gegevens (N)'!$C$17=E146,'Invoer gegevens (N)'!$C$10,IF(C146=1,H145,0))</f>
        <v>0</v>
      </c>
      <c r="G146" s="83">
        <f ca="1">IF(C146&gt;=1,F146*'Reeksen (N)'!C146,0)</f>
        <v>0</v>
      </c>
      <c r="H146" s="84">
        <f t="shared" ca="1" si="21"/>
        <v>0</v>
      </c>
      <c r="I146" s="85">
        <f ca="1">IF('Invoer gegevens (N)'!$C$17=E146,'Invoer gegevens (N)'!$C$11,IF(C146=1,L145,0))</f>
        <v>0</v>
      </c>
      <c r="J146" s="86">
        <f ca="1">IF(C146&lt;1,0,IF('Reeksen (N)'!AD146&lt;='Reeksen (N)'!AE146,I146*'Reeksen (N)'!C146,0))</f>
        <v>0</v>
      </c>
      <c r="K146" s="86">
        <f ca="1">IF(C146&lt;1,0,IF('Reeksen (N)'!AD146&gt;'Reeksen (N)'!AE146,I146*'Reeksen (N)'!C146,0))</f>
        <v>0</v>
      </c>
      <c r="L146" s="86">
        <f t="shared" ca="1" si="22"/>
        <v>0</v>
      </c>
      <c r="M146" s="85">
        <f ca="1">IF('Invoer gegevens (N)'!$C$17=E146,'Invoer gegevens (N)'!$C$10-'Invoer gegevens (N)'!$C$11,IF(C146=1,P145,0))</f>
        <v>0</v>
      </c>
      <c r="N146" s="86">
        <f ca="1">IF(C146&lt;1,0,IF('Reeksen (N)'!AD146&lt;='Reeksen (N)'!AE146,M146*'Reeksen (N)'!C146,0))</f>
        <v>0</v>
      </c>
      <c r="O146" s="86">
        <f ca="1">IF(C146&lt;1,0,IF('Reeksen (N)'!AD146&gt;'Reeksen (N)'!AE146,M146*'Reeksen (N)'!C146,0))</f>
        <v>0</v>
      </c>
      <c r="P146" s="86">
        <f t="shared" ca="1" si="23"/>
        <v>0</v>
      </c>
      <c r="Q146" s="82">
        <f ca="1">IF('Invoer gegevens (N)'!$C$17=E146,I146,IF(C146=0,0,R145))</f>
        <v>0</v>
      </c>
      <c r="R146" s="84">
        <f t="shared" ca="1" si="20"/>
        <v>0</v>
      </c>
      <c r="S146" s="84">
        <f ca="1">IF('Invoer gegevens (N)'!$C$17=E146,M146,IF(C146=0,0,T145))</f>
        <v>0</v>
      </c>
      <c r="T146" s="84">
        <f t="shared" ca="1" si="29"/>
        <v>0</v>
      </c>
      <c r="AI146" s="71">
        <f ca="1">IF(C146=1,((F146+H146)/2*'Reeksen (N)'!AI146*12)+(('Invoer gegevens (N)'!$C$10-(F146+H146)/2)*'Reeksen (N)'!AD146*12),0)</f>
        <v>0</v>
      </c>
      <c r="AJ146" s="71">
        <f ca="1">-AI146*'Invoer gegevens (N)'!$F$28</f>
        <v>0</v>
      </c>
      <c r="AK146" s="71">
        <f t="shared" ca="1" si="24"/>
        <v>0</v>
      </c>
      <c r="AL146" s="71">
        <f ca="1">IF(C146=1,(12*((F146+H146)/2)*'Reeksen (N)'!AL146)+(12*('Invoer gegevens (N)'!$C$10-(F146+H146)/2)*'Reeksen (N)'!AM146),0)</f>
        <v>0</v>
      </c>
      <c r="AM146" s="71">
        <f ca="1">-AL146*'Invoer gegevens (N)'!$F$31</f>
        <v>0</v>
      </c>
      <c r="AN146" s="71">
        <f t="shared" ca="1" si="25"/>
        <v>0</v>
      </c>
      <c r="AO146" s="71"/>
      <c r="AP146" s="71"/>
      <c r="AQ146" s="71">
        <f ca="1">-IF(C146=1,('Invoer gegevens (N)'!$C$10*'Invoer gegevens (N)'!$F$35)*'Reeksen (N)'!J146,0)*2</f>
        <v>0</v>
      </c>
      <c r="AR146" s="71">
        <f ca="1">-IF(C146=1,(G146*'Invoer gegevens (N)'!$F$36)*'Reeksen (N)'!J146,0)</f>
        <v>0</v>
      </c>
      <c r="AS146" s="71">
        <f ca="1">-IF(C146=1,'Invoer gegevens (N)'!$C$10*'Invoer gegevens (N)'!$F$37*'Reeksen (N)'!L146,0)</f>
        <v>0</v>
      </c>
      <c r="AT146" s="71">
        <f ca="1">-IF(C146=1,IF(E146='Invoer gegevens (N)'!$C$17,'Invoer gegevens (N)'!$C$11,Q146)*'Reeksen (N)'!S146*'Invoer gegevens (N)'!$C$18*'Reeksen (N)'!P146,0)</f>
        <v>0</v>
      </c>
      <c r="AU146" s="71">
        <f ca="1">-IF(C146=1,'Invoer gegevens (N)'!$C$10*'Invoer gegevens (N)'!$F$38*'Reeksen (N)'!H146,0)</f>
        <v>0</v>
      </c>
      <c r="AV146" s="71">
        <v>0</v>
      </c>
      <c r="AW146" s="71">
        <f t="shared" ca="1" si="26"/>
        <v>0</v>
      </c>
      <c r="AX146" s="71">
        <f ca="1">IF(E146&lt;'Invoer gegevens (N)'!$C$17+15,0,IF('RW - MW - DE - DE (N)'!E146&gt;'Invoer gegevens (N)'!$C$17+215,0,'RW - MW - DE - DE (N)'!AW146))</f>
        <v>0</v>
      </c>
      <c r="AY146" s="71">
        <f ca="1">AX146/(1+'Invoer gegevens (N)'!$F$13)^($AZ146-('Invoer gegevens (N)'!$C$17-'Invoer gegevens (N)'!$C$16))/(1+'Invoer gegevens (N)'!$C$39)^('Invoer gegevens (N)'!$C$17-'Invoer gegevens (N)'!$C$16)</f>
        <v>0</v>
      </c>
      <c r="AZ146" s="68">
        <f ca="1">IF(E146-'Invoer gegevens (N)'!$C$17-14.5&lt;0,0,E146-'Invoer gegevens (N)'!$C$17-14.5)</f>
        <v>126.5</v>
      </c>
      <c r="BC146" s="71"/>
    </row>
    <row r="147" spans="2:55" s="230" customFormat="1" x14ac:dyDescent="0.25">
      <c r="B147" s="70">
        <f t="shared" si="27"/>
        <v>143</v>
      </c>
      <c r="C147" s="67">
        <f ca="1">IF(E147-'Invoer gegevens (N)'!$C$17&lt;0,0,1)</f>
        <v>1</v>
      </c>
      <c r="D147" s="68">
        <f t="shared" si="28"/>
        <v>142.5</v>
      </c>
      <c r="E147" s="69">
        <f ca="1">IF('Invoer gegevens (N)'!$C$16="","",E146+1)</f>
        <v>2161</v>
      </c>
      <c r="F147" s="82">
        <f ca="1">IF('Invoer gegevens (N)'!$C$17=E147,'Invoer gegevens (N)'!$C$10,IF(C147=1,H146,0))</f>
        <v>0</v>
      </c>
      <c r="G147" s="83">
        <f ca="1">IF(C147&gt;=1,F147*'Reeksen (N)'!C147,0)</f>
        <v>0</v>
      </c>
      <c r="H147" s="84">
        <f t="shared" ca="1" si="21"/>
        <v>0</v>
      </c>
      <c r="I147" s="85">
        <f ca="1">IF('Invoer gegevens (N)'!$C$17=E147,'Invoer gegevens (N)'!$C$11,IF(C147=1,L146,0))</f>
        <v>0</v>
      </c>
      <c r="J147" s="86">
        <f ca="1">IF(C147&lt;1,0,IF('Reeksen (N)'!AD147&lt;='Reeksen (N)'!AE147,I147*'Reeksen (N)'!C147,0))</f>
        <v>0</v>
      </c>
      <c r="K147" s="86">
        <f ca="1">IF(C147&lt;1,0,IF('Reeksen (N)'!AD147&gt;'Reeksen (N)'!AE147,I147*'Reeksen (N)'!C147,0))</f>
        <v>0</v>
      </c>
      <c r="L147" s="86">
        <f t="shared" ca="1" si="22"/>
        <v>0</v>
      </c>
      <c r="M147" s="85">
        <f ca="1">IF('Invoer gegevens (N)'!$C$17=E147,'Invoer gegevens (N)'!$C$10-'Invoer gegevens (N)'!$C$11,IF(C147=1,P146,0))</f>
        <v>0</v>
      </c>
      <c r="N147" s="86">
        <f ca="1">IF(C147&lt;1,0,IF('Reeksen (N)'!AD147&lt;='Reeksen (N)'!AE147,M147*'Reeksen (N)'!C147,0))</f>
        <v>0</v>
      </c>
      <c r="O147" s="86">
        <f ca="1">IF(C147&lt;1,0,IF('Reeksen (N)'!AD147&gt;'Reeksen (N)'!AE147,M147*'Reeksen (N)'!C147,0))</f>
        <v>0</v>
      </c>
      <c r="P147" s="86">
        <f t="shared" ca="1" si="23"/>
        <v>0</v>
      </c>
      <c r="Q147" s="82">
        <f ca="1">IF('Invoer gegevens (N)'!$C$17=E147,I147,IF(C147=0,0,R146))</f>
        <v>0</v>
      </c>
      <c r="R147" s="84">
        <f t="shared" ca="1" si="20"/>
        <v>0</v>
      </c>
      <c r="S147" s="84">
        <f ca="1">IF('Invoer gegevens (N)'!$C$17=E147,M147,IF(C147=0,0,T146))</f>
        <v>0</v>
      </c>
      <c r="T147" s="84">
        <f t="shared" ca="1" si="29"/>
        <v>0</v>
      </c>
      <c r="AI147" s="71">
        <f ca="1">IF(C147=1,((F147+H147)/2*'Reeksen (N)'!AI147*12)+(('Invoer gegevens (N)'!$C$10-(F147+H147)/2)*'Reeksen (N)'!AD147*12),0)</f>
        <v>0</v>
      </c>
      <c r="AJ147" s="71">
        <f ca="1">-AI147*'Invoer gegevens (N)'!$F$28</f>
        <v>0</v>
      </c>
      <c r="AK147" s="71">
        <f t="shared" ca="1" si="24"/>
        <v>0</v>
      </c>
      <c r="AL147" s="71">
        <f ca="1">IF(C147=1,(12*((F147+H147)/2)*'Reeksen (N)'!AL147)+(12*('Invoer gegevens (N)'!$C$10-(F147+H147)/2)*'Reeksen (N)'!AM147),0)</f>
        <v>0</v>
      </c>
      <c r="AM147" s="71">
        <f ca="1">-AL147*'Invoer gegevens (N)'!$F$31</f>
        <v>0</v>
      </c>
      <c r="AN147" s="71">
        <f t="shared" ca="1" si="25"/>
        <v>0</v>
      </c>
      <c r="AO147" s="71"/>
      <c r="AP147" s="71"/>
      <c r="AQ147" s="71">
        <f ca="1">-IF(C147=1,('Invoer gegevens (N)'!$C$10*'Invoer gegevens (N)'!$F$35)*'Reeksen (N)'!J147,0)*2</f>
        <v>0</v>
      </c>
      <c r="AR147" s="71">
        <f ca="1">-IF(C147=1,(G147*'Invoer gegevens (N)'!$F$36)*'Reeksen (N)'!J147,0)</f>
        <v>0</v>
      </c>
      <c r="AS147" s="71">
        <f ca="1">-IF(C147=1,'Invoer gegevens (N)'!$C$10*'Invoer gegevens (N)'!$F$37*'Reeksen (N)'!L147,0)</f>
        <v>0</v>
      </c>
      <c r="AT147" s="71">
        <f ca="1">-IF(C147=1,IF(E147='Invoer gegevens (N)'!$C$17,'Invoer gegevens (N)'!$C$11,Q147)*'Reeksen (N)'!S147*'Invoer gegevens (N)'!$C$18*'Reeksen (N)'!P147,0)</f>
        <v>0</v>
      </c>
      <c r="AU147" s="71">
        <f ca="1">-IF(C147=1,'Invoer gegevens (N)'!$C$10*'Invoer gegevens (N)'!$F$38*'Reeksen (N)'!H147,0)</f>
        <v>0</v>
      </c>
      <c r="AV147" s="71">
        <v>0</v>
      </c>
      <c r="AW147" s="71">
        <f t="shared" ca="1" si="26"/>
        <v>0</v>
      </c>
      <c r="AX147" s="71">
        <f ca="1">IF(E147&lt;'Invoer gegevens (N)'!$C$17+15,0,IF('RW - MW - DE - DE (N)'!E147&gt;'Invoer gegevens (N)'!$C$17+215,0,'RW - MW - DE - DE (N)'!AW147))</f>
        <v>0</v>
      </c>
      <c r="AY147" s="71">
        <f ca="1">AX147/(1+'Invoer gegevens (N)'!$F$13)^($AZ147-('Invoer gegevens (N)'!$C$17-'Invoer gegevens (N)'!$C$16))/(1+'Invoer gegevens (N)'!$C$39)^('Invoer gegevens (N)'!$C$17-'Invoer gegevens (N)'!$C$16)</f>
        <v>0</v>
      </c>
      <c r="AZ147" s="68">
        <f ca="1">IF(E147-'Invoer gegevens (N)'!$C$17-14.5&lt;0,0,E147-'Invoer gegevens (N)'!$C$17-14.5)</f>
        <v>127.5</v>
      </c>
      <c r="BC147" s="71"/>
    </row>
    <row r="148" spans="2:55" s="230" customFormat="1" x14ac:dyDescent="0.25">
      <c r="B148" s="70">
        <f t="shared" si="27"/>
        <v>144</v>
      </c>
      <c r="C148" s="67">
        <f ca="1">IF(E148-'Invoer gegevens (N)'!$C$17&lt;0,0,1)</f>
        <v>1</v>
      </c>
      <c r="D148" s="68">
        <f t="shared" si="28"/>
        <v>143.5</v>
      </c>
      <c r="E148" s="69">
        <f ca="1">IF('Invoer gegevens (N)'!$C$16="","",E147+1)</f>
        <v>2162</v>
      </c>
      <c r="F148" s="82">
        <f ca="1">IF('Invoer gegevens (N)'!$C$17=E148,'Invoer gegevens (N)'!$C$10,IF(C148=1,H147,0))</f>
        <v>0</v>
      </c>
      <c r="G148" s="83">
        <f ca="1">IF(C148&gt;=1,F148*'Reeksen (N)'!C148,0)</f>
        <v>0</v>
      </c>
      <c r="H148" s="84">
        <f t="shared" ca="1" si="21"/>
        <v>0</v>
      </c>
      <c r="I148" s="85">
        <f ca="1">IF('Invoer gegevens (N)'!$C$17=E148,'Invoer gegevens (N)'!$C$11,IF(C148=1,L147,0))</f>
        <v>0</v>
      </c>
      <c r="J148" s="86">
        <f ca="1">IF(C148&lt;1,0,IF('Reeksen (N)'!AD148&lt;='Reeksen (N)'!AE148,I148*'Reeksen (N)'!C148,0))</f>
        <v>0</v>
      </c>
      <c r="K148" s="86">
        <f ca="1">IF(C148&lt;1,0,IF('Reeksen (N)'!AD148&gt;'Reeksen (N)'!AE148,I148*'Reeksen (N)'!C148,0))</f>
        <v>0</v>
      </c>
      <c r="L148" s="86">
        <f t="shared" ca="1" si="22"/>
        <v>0</v>
      </c>
      <c r="M148" s="85">
        <f ca="1">IF('Invoer gegevens (N)'!$C$17=E148,'Invoer gegevens (N)'!$C$10-'Invoer gegevens (N)'!$C$11,IF(C148=1,P147,0))</f>
        <v>0</v>
      </c>
      <c r="N148" s="86">
        <f ca="1">IF(C148&lt;1,0,IF('Reeksen (N)'!AD148&lt;='Reeksen (N)'!AE148,M148*'Reeksen (N)'!C148,0))</f>
        <v>0</v>
      </c>
      <c r="O148" s="86">
        <f ca="1">IF(C148&lt;1,0,IF('Reeksen (N)'!AD148&gt;'Reeksen (N)'!AE148,M148*'Reeksen (N)'!C148,0))</f>
        <v>0</v>
      </c>
      <c r="P148" s="86">
        <f t="shared" ca="1" si="23"/>
        <v>0</v>
      </c>
      <c r="Q148" s="82">
        <f ca="1">IF('Invoer gegevens (N)'!$C$17=E148,I148,IF(C148=0,0,R147))</f>
        <v>0</v>
      </c>
      <c r="R148" s="84">
        <f t="shared" ca="1" si="20"/>
        <v>0</v>
      </c>
      <c r="S148" s="84">
        <f ca="1">IF('Invoer gegevens (N)'!$C$17=E148,M148,IF(C148=0,0,T147))</f>
        <v>0</v>
      </c>
      <c r="T148" s="84">
        <f t="shared" ca="1" si="29"/>
        <v>0</v>
      </c>
      <c r="AI148" s="71">
        <f ca="1">IF(C148=1,((F148+H148)/2*'Reeksen (N)'!AI148*12)+(('Invoer gegevens (N)'!$C$10-(F148+H148)/2)*'Reeksen (N)'!AD148*12),0)</f>
        <v>0</v>
      </c>
      <c r="AJ148" s="71">
        <f ca="1">-AI148*'Invoer gegevens (N)'!$F$28</f>
        <v>0</v>
      </c>
      <c r="AK148" s="71">
        <f t="shared" ca="1" si="24"/>
        <v>0</v>
      </c>
      <c r="AL148" s="71">
        <f ca="1">IF(C148=1,(12*((F148+H148)/2)*'Reeksen (N)'!AL148)+(12*('Invoer gegevens (N)'!$C$10-(F148+H148)/2)*'Reeksen (N)'!AM148),0)</f>
        <v>0</v>
      </c>
      <c r="AM148" s="71">
        <f ca="1">-AL148*'Invoer gegevens (N)'!$F$31</f>
        <v>0</v>
      </c>
      <c r="AN148" s="71">
        <f t="shared" ca="1" si="25"/>
        <v>0</v>
      </c>
      <c r="AO148" s="71"/>
      <c r="AP148" s="71"/>
      <c r="AQ148" s="71">
        <f ca="1">-IF(C148=1,('Invoer gegevens (N)'!$C$10*'Invoer gegevens (N)'!$F$35)*'Reeksen (N)'!J148,0)*2</f>
        <v>0</v>
      </c>
      <c r="AR148" s="71">
        <f ca="1">-IF(C148=1,(G148*'Invoer gegevens (N)'!$F$36)*'Reeksen (N)'!J148,0)</f>
        <v>0</v>
      </c>
      <c r="AS148" s="71">
        <f ca="1">-IF(C148=1,'Invoer gegevens (N)'!$C$10*'Invoer gegevens (N)'!$F$37*'Reeksen (N)'!L148,0)</f>
        <v>0</v>
      </c>
      <c r="AT148" s="71">
        <f ca="1">-IF(C148=1,IF(E148='Invoer gegevens (N)'!$C$17,'Invoer gegevens (N)'!$C$11,Q148)*'Reeksen (N)'!S148*'Invoer gegevens (N)'!$C$18*'Reeksen (N)'!P148,0)</f>
        <v>0</v>
      </c>
      <c r="AU148" s="71">
        <f ca="1">-IF(C148=1,'Invoer gegevens (N)'!$C$10*'Invoer gegevens (N)'!$F$38*'Reeksen (N)'!H148,0)</f>
        <v>0</v>
      </c>
      <c r="AV148" s="71">
        <v>0</v>
      </c>
      <c r="AW148" s="71">
        <f t="shared" ca="1" si="26"/>
        <v>0</v>
      </c>
      <c r="AX148" s="71">
        <f ca="1">IF(E148&lt;'Invoer gegevens (N)'!$C$17+15,0,IF('RW - MW - DE - DE (N)'!E148&gt;'Invoer gegevens (N)'!$C$17+215,0,'RW - MW - DE - DE (N)'!AW148))</f>
        <v>0</v>
      </c>
      <c r="AY148" s="71">
        <f ca="1">AX148/(1+'Invoer gegevens (N)'!$F$13)^($AZ148-('Invoer gegevens (N)'!$C$17-'Invoer gegevens (N)'!$C$16))/(1+'Invoer gegevens (N)'!$C$39)^('Invoer gegevens (N)'!$C$17-'Invoer gegevens (N)'!$C$16)</f>
        <v>0</v>
      </c>
      <c r="AZ148" s="68">
        <f ca="1">IF(E148-'Invoer gegevens (N)'!$C$17-14.5&lt;0,0,E148-'Invoer gegevens (N)'!$C$17-14.5)</f>
        <v>128.5</v>
      </c>
      <c r="BC148" s="71"/>
    </row>
    <row r="149" spans="2:55" s="230" customFormat="1" x14ac:dyDescent="0.25">
      <c r="B149" s="70">
        <f t="shared" si="27"/>
        <v>145</v>
      </c>
      <c r="C149" s="67">
        <f ca="1">IF(E149-'Invoer gegevens (N)'!$C$17&lt;0,0,1)</f>
        <v>1</v>
      </c>
      <c r="D149" s="68">
        <f t="shared" si="28"/>
        <v>144.5</v>
      </c>
      <c r="E149" s="69">
        <f ca="1">IF('Invoer gegevens (N)'!$C$16="","",E148+1)</f>
        <v>2163</v>
      </c>
      <c r="F149" s="82">
        <f ca="1">IF('Invoer gegevens (N)'!$C$17=E149,'Invoer gegevens (N)'!$C$10,IF(C149=1,H148,0))</f>
        <v>0</v>
      </c>
      <c r="G149" s="83">
        <f ca="1">IF(C149&gt;=1,F149*'Reeksen (N)'!C149,0)</f>
        <v>0</v>
      </c>
      <c r="H149" s="84">
        <f t="shared" ca="1" si="21"/>
        <v>0</v>
      </c>
      <c r="I149" s="85">
        <f ca="1">IF('Invoer gegevens (N)'!$C$17=E149,'Invoer gegevens (N)'!$C$11,IF(C149=1,L148,0))</f>
        <v>0</v>
      </c>
      <c r="J149" s="86">
        <f ca="1">IF(C149&lt;1,0,IF('Reeksen (N)'!AD149&lt;='Reeksen (N)'!AE149,I149*'Reeksen (N)'!C149,0))</f>
        <v>0</v>
      </c>
      <c r="K149" s="86">
        <f ca="1">IF(C149&lt;1,0,IF('Reeksen (N)'!AD149&gt;'Reeksen (N)'!AE149,I149*'Reeksen (N)'!C149,0))</f>
        <v>0</v>
      </c>
      <c r="L149" s="86">
        <f t="shared" ca="1" si="22"/>
        <v>0</v>
      </c>
      <c r="M149" s="85">
        <f ca="1">IF('Invoer gegevens (N)'!$C$17=E149,'Invoer gegevens (N)'!$C$10-'Invoer gegevens (N)'!$C$11,IF(C149=1,P148,0))</f>
        <v>0</v>
      </c>
      <c r="N149" s="86">
        <f ca="1">IF(C149&lt;1,0,IF('Reeksen (N)'!AD149&lt;='Reeksen (N)'!AE149,M149*'Reeksen (N)'!C149,0))</f>
        <v>0</v>
      </c>
      <c r="O149" s="86">
        <f ca="1">IF(C149&lt;1,0,IF('Reeksen (N)'!AD149&gt;'Reeksen (N)'!AE149,M149*'Reeksen (N)'!C149,0))</f>
        <v>0</v>
      </c>
      <c r="P149" s="86">
        <f t="shared" ca="1" si="23"/>
        <v>0</v>
      </c>
      <c r="Q149" s="82">
        <f ca="1">IF('Invoer gegevens (N)'!$C$17=E149,I149,IF(C149=0,0,R148))</f>
        <v>0</v>
      </c>
      <c r="R149" s="84">
        <f t="shared" ca="1" si="20"/>
        <v>0</v>
      </c>
      <c r="S149" s="84">
        <f ca="1">IF('Invoer gegevens (N)'!$C$17=E149,M149,IF(C149=0,0,T148))</f>
        <v>0</v>
      </c>
      <c r="T149" s="84">
        <f t="shared" ca="1" si="29"/>
        <v>0</v>
      </c>
      <c r="AI149" s="71">
        <f ca="1">IF(C149=1,((F149+H149)/2*'Reeksen (N)'!AI149*12)+(('Invoer gegevens (N)'!$C$10-(F149+H149)/2)*'Reeksen (N)'!AD149*12),0)</f>
        <v>0</v>
      </c>
      <c r="AJ149" s="71">
        <f ca="1">-AI149*'Invoer gegevens (N)'!$F$28</f>
        <v>0</v>
      </c>
      <c r="AK149" s="71">
        <f t="shared" ca="1" si="24"/>
        <v>0</v>
      </c>
      <c r="AL149" s="71">
        <f ca="1">IF(C149=1,(12*((F149+H149)/2)*'Reeksen (N)'!AL149)+(12*('Invoer gegevens (N)'!$C$10-(F149+H149)/2)*'Reeksen (N)'!AM149),0)</f>
        <v>0</v>
      </c>
      <c r="AM149" s="71">
        <f ca="1">-AL149*'Invoer gegevens (N)'!$F$31</f>
        <v>0</v>
      </c>
      <c r="AN149" s="71">
        <f t="shared" ca="1" si="25"/>
        <v>0</v>
      </c>
      <c r="AO149" s="71"/>
      <c r="AP149" s="71"/>
      <c r="AQ149" s="71">
        <f ca="1">-IF(C149=1,('Invoer gegevens (N)'!$C$10*'Invoer gegevens (N)'!$F$35)*'Reeksen (N)'!J149,0)*2</f>
        <v>0</v>
      </c>
      <c r="AR149" s="71">
        <f ca="1">-IF(C149=1,(G149*'Invoer gegevens (N)'!$F$36)*'Reeksen (N)'!J149,0)</f>
        <v>0</v>
      </c>
      <c r="AS149" s="71">
        <f ca="1">-IF(C149=1,'Invoer gegevens (N)'!$C$10*'Invoer gegevens (N)'!$F$37*'Reeksen (N)'!L149,0)</f>
        <v>0</v>
      </c>
      <c r="AT149" s="71">
        <f ca="1">-IF(C149=1,IF(E149='Invoer gegevens (N)'!$C$17,'Invoer gegevens (N)'!$C$11,Q149)*'Reeksen (N)'!S149*'Invoer gegevens (N)'!$C$18*'Reeksen (N)'!P149,0)</f>
        <v>0</v>
      </c>
      <c r="AU149" s="71">
        <f ca="1">-IF(C149=1,'Invoer gegevens (N)'!$C$10*'Invoer gegevens (N)'!$F$38*'Reeksen (N)'!H149,0)</f>
        <v>0</v>
      </c>
      <c r="AV149" s="71">
        <v>0</v>
      </c>
      <c r="AW149" s="71">
        <f t="shared" ca="1" si="26"/>
        <v>0</v>
      </c>
      <c r="AX149" s="71">
        <f ca="1">IF(E149&lt;'Invoer gegevens (N)'!$C$17+15,0,IF('RW - MW - DE - DE (N)'!E149&gt;'Invoer gegevens (N)'!$C$17+215,0,'RW - MW - DE - DE (N)'!AW149))</f>
        <v>0</v>
      </c>
      <c r="AY149" s="71">
        <f ca="1">AX149/(1+'Invoer gegevens (N)'!$F$13)^($AZ149-('Invoer gegevens (N)'!$C$17-'Invoer gegevens (N)'!$C$16))/(1+'Invoer gegevens (N)'!$C$39)^('Invoer gegevens (N)'!$C$17-'Invoer gegevens (N)'!$C$16)</f>
        <v>0</v>
      </c>
      <c r="AZ149" s="68">
        <f ca="1">IF(E149-'Invoer gegevens (N)'!$C$17-14.5&lt;0,0,E149-'Invoer gegevens (N)'!$C$17-14.5)</f>
        <v>129.5</v>
      </c>
      <c r="BC149" s="71"/>
    </row>
    <row r="150" spans="2:55" s="230" customFormat="1" x14ac:dyDescent="0.25">
      <c r="B150" s="70">
        <f t="shared" si="27"/>
        <v>146</v>
      </c>
      <c r="C150" s="67">
        <f ca="1">IF(E150-'Invoer gegevens (N)'!$C$17&lt;0,0,1)</f>
        <v>1</v>
      </c>
      <c r="D150" s="68">
        <f t="shared" si="28"/>
        <v>145.5</v>
      </c>
      <c r="E150" s="69">
        <f ca="1">IF('Invoer gegevens (N)'!$C$16="","",E149+1)</f>
        <v>2164</v>
      </c>
      <c r="F150" s="82">
        <f ca="1">IF('Invoer gegevens (N)'!$C$17=E150,'Invoer gegevens (N)'!$C$10,IF(C150=1,H149,0))</f>
        <v>0</v>
      </c>
      <c r="G150" s="83">
        <f ca="1">IF(C150&gt;=1,F150*'Reeksen (N)'!C150,0)</f>
        <v>0</v>
      </c>
      <c r="H150" s="84">
        <f t="shared" ca="1" si="21"/>
        <v>0</v>
      </c>
      <c r="I150" s="85">
        <f ca="1">IF('Invoer gegevens (N)'!$C$17=E150,'Invoer gegevens (N)'!$C$11,IF(C150=1,L149,0))</f>
        <v>0</v>
      </c>
      <c r="J150" s="86">
        <f ca="1">IF(C150&lt;1,0,IF('Reeksen (N)'!AD150&lt;='Reeksen (N)'!AE150,I150*'Reeksen (N)'!C150,0))</f>
        <v>0</v>
      </c>
      <c r="K150" s="86">
        <f ca="1">IF(C150&lt;1,0,IF('Reeksen (N)'!AD150&gt;'Reeksen (N)'!AE150,I150*'Reeksen (N)'!C150,0))</f>
        <v>0</v>
      </c>
      <c r="L150" s="86">
        <f t="shared" ca="1" si="22"/>
        <v>0</v>
      </c>
      <c r="M150" s="85">
        <f ca="1">IF('Invoer gegevens (N)'!$C$17=E150,'Invoer gegevens (N)'!$C$10-'Invoer gegevens (N)'!$C$11,IF(C150=1,P149,0))</f>
        <v>0</v>
      </c>
      <c r="N150" s="86">
        <f ca="1">IF(C150&lt;1,0,IF('Reeksen (N)'!AD150&lt;='Reeksen (N)'!AE150,M150*'Reeksen (N)'!C150,0))</f>
        <v>0</v>
      </c>
      <c r="O150" s="86">
        <f ca="1">IF(C150&lt;1,0,IF('Reeksen (N)'!AD150&gt;'Reeksen (N)'!AE150,M150*'Reeksen (N)'!C150,0))</f>
        <v>0</v>
      </c>
      <c r="P150" s="86">
        <f t="shared" ca="1" si="23"/>
        <v>0</v>
      </c>
      <c r="Q150" s="82">
        <f ca="1">IF('Invoer gegevens (N)'!$C$17=E150,I150,IF(C150=0,0,R149))</f>
        <v>0</v>
      </c>
      <c r="R150" s="84">
        <f t="shared" ca="1" si="20"/>
        <v>0</v>
      </c>
      <c r="S150" s="84">
        <f ca="1">IF('Invoer gegevens (N)'!$C$17=E150,M150,IF(C150=0,0,T149))</f>
        <v>0</v>
      </c>
      <c r="T150" s="84">
        <f t="shared" ca="1" si="29"/>
        <v>0</v>
      </c>
      <c r="AI150" s="71">
        <f ca="1">IF(C150=1,((F150+H150)/2*'Reeksen (N)'!AI150*12)+(('Invoer gegevens (N)'!$C$10-(F150+H150)/2)*'Reeksen (N)'!AD150*12),0)</f>
        <v>0</v>
      </c>
      <c r="AJ150" s="71">
        <f ca="1">-AI150*'Invoer gegevens (N)'!$F$28</f>
        <v>0</v>
      </c>
      <c r="AK150" s="71">
        <f t="shared" ca="1" si="24"/>
        <v>0</v>
      </c>
      <c r="AL150" s="71">
        <f ca="1">IF(C150=1,(12*((F150+H150)/2)*'Reeksen (N)'!AL150)+(12*('Invoer gegevens (N)'!$C$10-(F150+H150)/2)*'Reeksen (N)'!AM150),0)</f>
        <v>0</v>
      </c>
      <c r="AM150" s="71">
        <f ca="1">-AL150*'Invoer gegevens (N)'!$F$31</f>
        <v>0</v>
      </c>
      <c r="AN150" s="71">
        <f t="shared" ca="1" si="25"/>
        <v>0</v>
      </c>
      <c r="AO150" s="71"/>
      <c r="AP150" s="71"/>
      <c r="AQ150" s="71">
        <f ca="1">-IF(C150=1,('Invoer gegevens (N)'!$C$10*'Invoer gegevens (N)'!$F$35)*'Reeksen (N)'!J150,0)*2</f>
        <v>0</v>
      </c>
      <c r="AR150" s="71">
        <f ca="1">-IF(C150=1,(G150*'Invoer gegevens (N)'!$F$36)*'Reeksen (N)'!J150,0)</f>
        <v>0</v>
      </c>
      <c r="AS150" s="71">
        <f ca="1">-IF(C150=1,'Invoer gegevens (N)'!$C$10*'Invoer gegevens (N)'!$F$37*'Reeksen (N)'!L150,0)</f>
        <v>0</v>
      </c>
      <c r="AT150" s="71">
        <f ca="1">-IF(C150=1,IF(E150='Invoer gegevens (N)'!$C$17,'Invoer gegevens (N)'!$C$11,Q150)*'Reeksen (N)'!S150*'Invoer gegevens (N)'!$C$18*'Reeksen (N)'!P150,0)</f>
        <v>0</v>
      </c>
      <c r="AU150" s="71">
        <f ca="1">-IF(C150=1,'Invoer gegevens (N)'!$C$10*'Invoer gegevens (N)'!$F$38*'Reeksen (N)'!H150,0)</f>
        <v>0</v>
      </c>
      <c r="AV150" s="71">
        <v>0</v>
      </c>
      <c r="AW150" s="71">
        <f t="shared" ca="1" si="26"/>
        <v>0</v>
      </c>
      <c r="AX150" s="71">
        <f ca="1">IF(E150&lt;'Invoer gegevens (N)'!$C$17+15,0,IF('RW - MW - DE - DE (N)'!E150&gt;'Invoer gegevens (N)'!$C$17+215,0,'RW - MW - DE - DE (N)'!AW150))</f>
        <v>0</v>
      </c>
      <c r="AY150" s="71">
        <f ca="1">AX150/(1+'Invoer gegevens (N)'!$F$13)^($AZ150-('Invoer gegevens (N)'!$C$17-'Invoer gegevens (N)'!$C$16))/(1+'Invoer gegevens (N)'!$C$39)^('Invoer gegevens (N)'!$C$17-'Invoer gegevens (N)'!$C$16)</f>
        <v>0</v>
      </c>
      <c r="AZ150" s="68">
        <f ca="1">IF(E150-'Invoer gegevens (N)'!$C$17-14.5&lt;0,0,E150-'Invoer gegevens (N)'!$C$17-14.5)</f>
        <v>130.5</v>
      </c>
      <c r="BC150" s="71"/>
    </row>
    <row r="151" spans="2:55" s="230" customFormat="1" x14ac:dyDescent="0.25">
      <c r="B151" s="70">
        <f t="shared" si="27"/>
        <v>147</v>
      </c>
      <c r="C151" s="67">
        <f ca="1">IF(E151-'Invoer gegevens (N)'!$C$17&lt;0,0,1)</f>
        <v>1</v>
      </c>
      <c r="D151" s="68">
        <f t="shared" si="28"/>
        <v>146.5</v>
      </c>
      <c r="E151" s="69">
        <f ca="1">IF('Invoer gegevens (N)'!$C$16="","",E150+1)</f>
        <v>2165</v>
      </c>
      <c r="F151" s="82">
        <f ca="1">IF('Invoer gegevens (N)'!$C$17=E151,'Invoer gegevens (N)'!$C$10,IF(C151=1,H150,0))</f>
        <v>0</v>
      </c>
      <c r="G151" s="83">
        <f ca="1">IF(C151&gt;=1,F151*'Reeksen (N)'!C151,0)</f>
        <v>0</v>
      </c>
      <c r="H151" s="84">
        <f t="shared" ca="1" si="21"/>
        <v>0</v>
      </c>
      <c r="I151" s="85">
        <f ca="1">IF('Invoer gegevens (N)'!$C$17=E151,'Invoer gegevens (N)'!$C$11,IF(C151=1,L150,0))</f>
        <v>0</v>
      </c>
      <c r="J151" s="86">
        <f ca="1">IF(C151&lt;1,0,IF('Reeksen (N)'!AD151&lt;='Reeksen (N)'!AE151,I151*'Reeksen (N)'!C151,0))</f>
        <v>0</v>
      </c>
      <c r="K151" s="86">
        <f ca="1">IF(C151&lt;1,0,IF('Reeksen (N)'!AD151&gt;'Reeksen (N)'!AE151,I151*'Reeksen (N)'!C151,0))</f>
        <v>0</v>
      </c>
      <c r="L151" s="86">
        <f t="shared" ca="1" si="22"/>
        <v>0</v>
      </c>
      <c r="M151" s="85">
        <f ca="1">IF('Invoer gegevens (N)'!$C$17=E151,'Invoer gegevens (N)'!$C$10-'Invoer gegevens (N)'!$C$11,IF(C151=1,P150,0))</f>
        <v>0</v>
      </c>
      <c r="N151" s="86">
        <f ca="1">IF(C151&lt;1,0,IF('Reeksen (N)'!AD151&lt;='Reeksen (N)'!AE151,M151*'Reeksen (N)'!C151,0))</f>
        <v>0</v>
      </c>
      <c r="O151" s="86">
        <f ca="1">IF(C151&lt;1,0,IF('Reeksen (N)'!AD151&gt;'Reeksen (N)'!AE151,M151*'Reeksen (N)'!C151,0))</f>
        <v>0</v>
      </c>
      <c r="P151" s="86">
        <f t="shared" ca="1" si="23"/>
        <v>0</v>
      </c>
      <c r="Q151" s="82">
        <f ca="1">IF('Invoer gegevens (N)'!$C$17=E151,I151,IF(C151=0,0,R150))</f>
        <v>0</v>
      </c>
      <c r="R151" s="84">
        <f t="shared" ca="1" si="20"/>
        <v>0</v>
      </c>
      <c r="S151" s="84">
        <f ca="1">IF('Invoer gegevens (N)'!$C$17=E151,M151,IF(C151=0,0,T150))</f>
        <v>0</v>
      </c>
      <c r="T151" s="84">
        <f t="shared" ca="1" si="29"/>
        <v>0</v>
      </c>
      <c r="AI151" s="71">
        <f ca="1">IF(C151=1,((F151+H151)/2*'Reeksen (N)'!AI151*12)+(('Invoer gegevens (N)'!$C$10-(F151+H151)/2)*'Reeksen (N)'!AD151*12),0)</f>
        <v>0</v>
      </c>
      <c r="AJ151" s="71">
        <f ca="1">-AI151*'Invoer gegevens (N)'!$F$28</f>
        <v>0</v>
      </c>
      <c r="AK151" s="71">
        <f t="shared" ca="1" si="24"/>
        <v>0</v>
      </c>
      <c r="AL151" s="71">
        <f ca="1">IF(C151=1,(12*((F151+H151)/2)*'Reeksen (N)'!AL151)+(12*('Invoer gegevens (N)'!$C$10-(F151+H151)/2)*'Reeksen (N)'!AM151),0)</f>
        <v>0</v>
      </c>
      <c r="AM151" s="71">
        <f ca="1">-AL151*'Invoer gegevens (N)'!$F$31</f>
        <v>0</v>
      </c>
      <c r="AN151" s="71">
        <f t="shared" ca="1" si="25"/>
        <v>0</v>
      </c>
      <c r="AO151" s="71"/>
      <c r="AP151" s="71"/>
      <c r="AQ151" s="71">
        <f ca="1">-IF(C151=1,('Invoer gegevens (N)'!$C$10*'Invoer gegevens (N)'!$F$35)*'Reeksen (N)'!J151,0)*2</f>
        <v>0</v>
      </c>
      <c r="AR151" s="71">
        <f ca="1">-IF(C151=1,(G151*'Invoer gegevens (N)'!$F$36)*'Reeksen (N)'!J151,0)</f>
        <v>0</v>
      </c>
      <c r="AS151" s="71">
        <f ca="1">-IF(C151=1,'Invoer gegevens (N)'!$C$10*'Invoer gegevens (N)'!$F$37*'Reeksen (N)'!L151,0)</f>
        <v>0</v>
      </c>
      <c r="AT151" s="71">
        <f ca="1">-IF(C151=1,IF(E151='Invoer gegevens (N)'!$C$17,'Invoer gegevens (N)'!$C$11,Q151)*'Reeksen (N)'!S151*'Invoer gegevens (N)'!$C$18*'Reeksen (N)'!P151,0)</f>
        <v>0</v>
      </c>
      <c r="AU151" s="71">
        <f ca="1">-IF(C151=1,'Invoer gegevens (N)'!$C$10*'Invoer gegevens (N)'!$F$38*'Reeksen (N)'!H151,0)</f>
        <v>0</v>
      </c>
      <c r="AV151" s="71">
        <v>0</v>
      </c>
      <c r="AW151" s="71">
        <f t="shared" ca="1" si="26"/>
        <v>0</v>
      </c>
      <c r="AX151" s="71">
        <f ca="1">IF(E151&lt;'Invoer gegevens (N)'!$C$17+15,0,IF('RW - MW - DE - DE (N)'!E151&gt;'Invoer gegevens (N)'!$C$17+215,0,'RW - MW - DE - DE (N)'!AW151))</f>
        <v>0</v>
      </c>
      <c r="AY151" s="71">
        <f ca="1">AX151/(1+'Invoer gegevens (N)'!$F$13)^($AZ151-('Invoer gegevens (N)'!$C$17-'Invoer gegevens (N)'!$C$16))/(1+'Invoer gegevens (N)'!$C$39)^('Invoer gegevens (N)'!$C$17-'Invoer gegevens (N)'!$C$16)</f>
        <v>0</v>
      </c>
      <c r="AZ151" s="68">
        <f ca="1">IF(E151-'Invoer gegevens (N)'!$C$17-14.5&lt;0,0,E151-'Invoer gegevens (N)'!$C$17-14.5)</f>
        <v>131.5</v>
      </c>
      <c r="BC151" s="71"/>
    </row>
    <row r="152" spans="2:55" s="230" customFormat="1" x14ac:dyDescent="0.25">
      <c r="B152" s="70">
        <f t="shared" si="27"/>
        <v>148</v>
      </c>
      <c r="C152" s="67">
        <f ca="1">IF(E152-'Invoer gegevens (N)'!$C$17&lt;0,0,1)</f>
        <v>1</v>
      </c>
      <c r="D152" s="68">
        <f t="shared" si="28"/>
        <v>147.5</v>
      </c>
      <c r="E152" s="69">
        <f ca="1">IF('Invoer gegevens (N)'!$C$16="","",E151+1)</f>
        <v>2166</v>
      </c>
      <c r="F152" s="82">
        <f ca="1">IF('Invoer gegevens (N)'!$C$17=E152,'Invoer gegevens (N)'!$C$10,IF(C152=1,H151,0))</f>
        <v>0</v>
      </c>
      <c r="G152" s="83">
        <f ca="1">IF(C152&gt;=1,F152*'Reeksen (N)'!C152,0)</f>
        <v>0</v>
      </c>
      <c r="H152" s="84">
        <f t="shared" ca="1" si="21"/>
        <v>0</v>
      </c>
      <c r="I152" s="85">
        <f ca="1">IF('Invoer gegevens (N)'!$C$17=E152,'Invoer gegevens (N)'!$C$11,IF(C152=1,L151,0))</f>
        <v>0</v>
      </c>
      <c r="J152" s="86">
        <f ca="1">IF(C152&lt;1,0,IF('Reeksen (N)'!AD152&lt;='Reeksen (N)'!AE152,I152*'Reeksen (N)'!C152,0))</f>
        <v>0</v>
      </c>
      <c r="K152" s="86">
        <f ca="1">IF(C152&lt;1,0,IF('Reeksen (N)'!AD152&gt;'Reeksen (N)'!AE152,I152*'Reeksen (N)'!C152,0))</f>
        <v>0</v>
      </c>
      <c r="L152" s="86">
        <f t="shared" ca="1" si="22"/>
        <v>0</v>
      </c>
      <c r="M152" s="85">
        <f ca="1">IF('Invoer gegevens (N)'!$C$17=E152,'Invoer gegevens (N)'!$C$10-'Invoer gegevens (N)'!$C$11,IF(C152=1,P151,0))</f>
        <v>0</v>
      </c>
      <c r="N152" s="86">
        <f ca="1">IF(C152&lt;1,0,IF('Reeksen (N)'!AD152&lt;='Reeksen (N)'!AE152,M152*'Reeksen (N)'!C152,0))</f>
        <v>0</v>
      </c>
      <c r="O152" s="86">
        <f ca="1">IF(C152&lt;1,0,IF('Reeksen (N)'!AD152&gt;'Reeksen (N)'!AE152,M152*'Reeksen (N)'!C152,0))</f>
        <v>0</v>
      </c>
      <c r="P152" s="86">
        <f t="shared" ca="1" si="23"/>
        <v>0</v>
      </c>
      <c r="Q152" s="82">
        <f ca="1">IF('Invoer gegevens (N)'!$C$17=E152,I152,IF(C152=0,0,R151))</f>
        <v>0</v>
      </c>
      <c r="R152" s="84">
        <f t="shared" ca="1" si="20"/>
        <v>0</v>
      </c>
      <c r="S152" s="84">
        <f ca="1">IF('Invoer gegevens (N)'!$C$17=E152,M152,IF(C152=0,0,T151))</f>
        <v>0</v>
      </c>
      <c r="T152" s="84">
        <f t="shared" ca="1" si="29"/>
        <v>0</v>
      </c>
      <c r="AI152" s="71">
        <f ca="1">IF(C152=1,((F152+H152)/2*'Reeksen (N)'!AI152*12)+(('Invoer gegevens (N)'!$C$10-(F152+H152)/2)*'Reeksen (N)'!AD152*12),0)</f>
        <v>0</v>
      </c>
      <c r="AJ152" s="71">
        <f ca="1">-AI152*'Invoer gegevens (N)'!$F$28</f>
        <v>0</v>
      </c>
      <c r="AK152" s="71">
        <f t="shared" ca="1" si="24"/>
        <v>0</v>
      </c>
      <c r="AL152" s="71">
        <f ca="1">IF(C152=1,(12*((F152+H152)/2)*'Reeksen (N)'!AL152)+(12*('Invoer gegevens (N)'!$C$10-(F152+H152)/2)*'Reeksen (N)'!AM152),0)</f>
        <v>0</v>
      </c>
      <c r="AM152" s="71">
        <f ca="1">-AL152*'Invoer gegevens (N)'!$F$31</f>
        <v>0</v>
      </c>
      <c r="AN152" s="71">
        <f t="shared" ca="1" si="25"/>
        <v>0</v>
      </c>
      <c r="AO152" s="71"/>
      <c r="AP152" s="71"/>
      <c r="AQ152" s="71">
        <f ca="1">-IF(C152=1,('Invoer gegevens (N)'!$C$10*'Invoer gegevens (N)'!$F$35)*'Reeksen (N)'!J152,0)*2</f>
        <v>0</v>
      </c>
      <c r="AR152" s="71">
        <f ca="1">-IF(C152=1,(G152*'Invoer gegevens (N)'!$F$36)*'Reeksen (N)'!J152,0)</f>
        <v>0</v>
      </c>
      <c r="AS152" s="71">
        <f ca="1">-IF(C152=1,'Invoer gegevens (N)'!$C$10*'Invoer gegevens (N)'!$F$37*'Reeksen (N)'!L152,0)</f>
        <v>0</v>
      </c>
      <c r="AT152" s="71">
        <f ca="1">-IF(C152=1,IF(E152='Invoer gegevens (N)'!$C$17,'Invoer gegevens (N)'!$C$11,Q152)*'Reeksen (N)'!S152*'Invoer gegevens (N)'!$C$18*'Reeksen (N)'!P152,0)</f>
        <v>0</v>
      </c>
      <c r="AU152" s="71">
        <f ca="1">-IF(C152=1,'Invoer gegevens (N)'!$C$10*'Invoer gegevens (N)'!$F$38*'Reeksen (N)'!H152,0)</f>
        <v>0</v>
      </c>
      <c r="AV152" s="71">
        <v>0</v>
      </c>
      <c r="AW152" s="71">
        <f t="shared" ca="1" si="26"/>
        <v>0</v>
      </c>
      <c r="AX152" s="71">
        <f ca="1">IF(E152&lt;'Invoer gegevens (N)'!$C$17+15,0,IF('RW - MW - DE - DE (N)'!E152&gt;'Invoer gegevens (N)'!$C$17+215,0,'RW - MW - DE - DE (N)'!AW152))</f>
        <v>0</v>
      </c>
      <c r="AY152" s="71">
        <f ca="1">AX152/(1+'Invoer gegevens (N)'!$F$13)^($AZ152-('Invoer gegevens (N)'!$C$17-'Invoer gegevens (N)'!$C$16))/(1+'Invoer gegevens (N)'!$C$39)^('Invoer gegevens (N)'!$C$17-'Invoer gegevens (N)'!$C$16)</f>
        <v>0</v>
      </c>
      <c r="AZ152" s="68">
        <f ca="1">IF(E152-'Invoer gegevens (N)'!$C$17-14.5&lt;0,0,E152-'Invoer gegevens (N)'!$C$17-14.5)</f>
        <v>132.5</v>
      </c>
      <c r="BC152" s="71"/>
    </row>
    <row r="153" spans="2:55" s="230" customFormat="1" x14ac:dyDescent="0.25">
      <c r="B153" s="70">
        <f t="shared" si="27"/>
        <v>149</v>
      </c>
      <c r="C153" s="67">
        <f ca="1">IF(E153-'Invoer gegevens (N)'!$C$17&lt;0,0,1)</f>
        <v>1</v>
      </c>
      <c r="D153" s="68">
        <f t="shared" si="28"/>
        <v>148.5</v>
      </c>
      <c r="E153" s="69">
        <f ca="1">IF('Invoer gegevens (N)'!$C$16="","",E152+1)</f>
        <v>2167</v>
      </c>
      <c r="F153" s="82">
        <f ca="1">IF('Invoer gegevens (N)'!$C$17=E153,'Invoer gegevens (N)'!$C$10,IF(C153=1,H152,0))</f>
        <v>0</v>
      </c>
      <c r="G153" s="83">
        <f ca="1">IF(C153&gt;=1,F153*'Reeksen (N)'!C153,0)</f>
        <v>0</v>
      </c>
      <c r="H153" s="84">
        <f t="shared" ca="1" si="21"/>
        <v>0</v>
      </c>
      <c r="I153" s="85">
        <f ca="1">IF('Invoer gegevens (N)'!$C$17=E153,'Invoer gegevens (N)'!$C$11,IF(C153=1,L152,0))</f>
        <v>0</v>
      </c>
      <c r="J153" s="86">
        <f ca="1">IF(C153&lt;1,0,IF('Reeksen (N)'!AD153&lt;='Reeksen (N)'!AE153,I153*'Reeksen (N)'!C153,0))</f>
        <v>0</v>
      </c>
      <c r="K153" s="86">
        <f ca="1">IF(C153&lt;1,0,IF('Reeksen (N)'!AD153&gt;'Reeksen (N)'!AE153,I153*'Reeksen (N)'!C153,0))</f>
        <v>0</v>
      </c>
      <c r="L153" s="86">
        <f t="shared" ca="1" si="22"/>
        <v>0</v>
      </c>
      <c r="M153" s="85">
        <f ca="1">IF('Invoer gegevens (N)'!$C$17=E153,'Invoer gegevens (N)'!$C$10-'Invoer gegevens (N)'!$C$11,IF(C153=1,P152,0))</f>
        <v>0</v>
      </c>
      <c r="N153" s="86">
        <f ca="1">IF(C153&lt;1,0,IF('Reeksen (N)'!AD153&lt;='Reeksen (N)'!AE153,M153*'Reeksen (N)'!C153,0))</f>
        <v>0</v>
      </c>
      <c r="O153" s="86">
        <f ca="1">IF(C153&lt;1,0,IF('Reeksen (N)'!AD153&gt;'Reeksen (N)'!AE153,M153*'Reeksen (N)'!C153,0))</f>
        <v>0</v>
      </c>
      <c r="P153" s="86">
        <f t="shared" ca="1" si="23"/>
        <v>0</v>
      </c>
      <c r="Q153" s="82">
        <f ca="1">IF('Invoer gegevens (N)'!$C$17=E153,I153,IF(C153=0,0,R152))</f>
        <v>0</v>
      </c>
      <c r="R153" s="84">
        <f t="shared" ca="1" si="20"/>
        <v>0</v>
      </c>
      <c r="S153" s="84">
        <f ca="1">IF('Invoer gegevens (N)'!$C$17=E153,M153,IF(C153=0,0,T152))</f>
        <v>0</v>
      </c>
      <c r="T153" s="84">
        <f t="shared" ca="1" si="29"/>
        <v>0</v>
      </c>
      <c r="AI153" s="71">
        <f ca="1">IF(C153=1,((F153+H153)/2*'Reeksen (N)'!AI153*12)+(('Invoer gegevens (N)'!$C$10-(F153+H153)/2)*'Reeksen (N)'!AD153*12),0)</f>
        <v>0</v>
      </c>
      <c r="AJ153" s="71">
        <f ca="1">-AI153*'Invoer gegevens (N)'!$F$28</f>
        <v>0</v>
      </c>
      <c r="AK153" s="71">
        <f t="shared" ca="1" si="24"/>
        <v>0</v>
      </c>
      <c r="AL153" s="71">
        <f ca="1">IF(C153=1,(12*((F153+H153)/2)*'Reeksen (N)'!AL153)+(12*('Invoer gegevens (N)'!$C$10-(F153+H153)/2)*'Reeksen (N)'!AM153),0)</f>
        <v>0</v>
      </c>
      <c r="AM153" s="71">
        <f ca="1">-AL153*'Invoer gegevens (N)'!$F$31</f>
        <v>0</v>
      </c>
      <c r="AN153" s="71">
        <f t="shared" ca="1" si="25"/>
        <v>0</v>
      </c>
      <c r="AO153" s="71"/>
      <c r="AP153" s="71"/>
      <c r="AQ153" s="71">
        <f ca="1">-IF(C153=1,('Invoer gegevens (N)'!$C$10*'Invoer gegevens (N)'!$F$35)*'Reeksen (N)'!J153,0)*2</f>
        <v>0</v>
      </c>
      <c r="AR153" s="71">
        <f ca="1">-IF(C153=1,(G153*'Invoer gegevens (N)'!$F$36)*'Reeksen (N)'!J153,0)</f>
        <v>0</v>
      </c>
      <c r="AS153" s="71">
        <f ca="1">-IF(C153=1,'Invoer gegevens (N)'!$C$10*'Invoer gegevens (N)'!$F$37*'Reeksen (N)'!L153,0)</f>
        <v>0</v>
      </c>
      <c r="AT153" s="71">
        <f ca="1">-IF(C153=1,IF(E153='Invoer gegevens (N)'!$C$17,'Invoer gegevens (N)'!$C$11,Q153)*'Reeksen (N)'!S153*'Invoer gegevens (N)'!$C$18*'Reeksen (N)'!P153,0)</f>
        <v>0</v>
      </c>
      <c r="AU153" s="71">
        <f ca="1">-IF(C153=1,'Invoer gegevens (N)'!$C$10*'Invoer gegevens (N)'!$F$38*'Reeksen (N)'!H153,0)</f>
        <v>0</v>
      </c>
      <c r="AV153" s="71">
        <v>0</v>
      </c>
      <c r="AW153" s="71">
        <f t="shared" ca="1" si="26"/>
        <v>0</v>
      </c>
      <c r="AX153" s="71">
        <f ca="1">IF(E153&lt;'Invoer gegevens (N)'!$C$17+15,0,IF('RW - MW - DE - DE (N)'!E153&gt;'Invoer gegevens (N)'!$C$17+215,0,'RW - MW - DE - DE (N)'!AW153))</f>
        <v>0</v>
      </c>
      <c r="AY153" s="71">
        <f ca="1">AX153/(1+'Invoer gegevens (N)'!$F$13)^($AZ153-('Invoer gegevens (N)'!$C$17-'Invoer gegevens (N)'!$C$16))/(1+'Invoer gegevens (N)'!$C$39)^('Invoer gegevens (N)'!$C$17-'Invoer gegevens (N)'!$C$16)</f>
        <v>0</v>
      </c>
      <c r="AZ153" s="68">
        <f ca="1">IF(E153-'Invoer gegevens (N)'!$C$17-14.5&lt;0,0,E153-'Invoer gegevens (N)'!$C$17-14.5)</f>
        <v>133.5</v>
      </c>
      <c r="BC153" s="71"/>
    </row>
    <row r="154" spans="2:55" s="230" customFormat="1" x14ac:dyDescent="0.25">
      <c r="B154" s="70">
        <f t="shared" si="27"/>
        <v>150</v>
      </c>
      <c r="C154" s="67">
        <f ca="1">IF(E154-'Invoer gegevens (N)'!$C$17&lt;0,0,1)</f>
        <v>1</v>
      </c>
      <c r="D154" s="68">
        <f t="shared" si="28"/>
        <v>149.5</v>
      </c>
      <c r="E154" s="69">
        <f ca="1">IF('Invoer gegevens (N)'!$C$16="","",E153+1)</f>
        <v>2168</v>
      </c>
      <c r="F154" s="82">
        <f ca="1">IF('Invoer gegevens (N)'!$C$17=E154,'Invoer gegevens (N)'!$C$10,IF(C154=1,H153,0))</f>
        <v>0</v>
      </c>
      <c r="G154" s="83">
        <f ca="1">IF(C154&gt;=1,F154*'Reeksen (N)'!C154,0)</f>
        <v>0</v>
      </c>
      <c r="H154" s="84">
        <f t="shared" ca="1" si="21"/>
        <v>0</v>
      </c>
      <c r="I154" s="85">
        <f ca="1">IF('Invoer gegevens (N)'!$C$17=E154,'Invoer gegevens (N)'!$C$11,IF(C154=1,L153,0))</f>
        <v>0</v>
      </c>
      <c r="J154" s="86">
        <f ca="1">IF(C154&lt;1,0,IF('Reeksen (N)'!AD154&lt;='Reeksen (N)'!AE154,I154*'Reeksen (N)'!C154,0))</f>
        <v>0</v>
      </c>
      <c r="K154" s="86">
        <f ca="1">IF(C154&lt;1,0,IF('Reeksen (N)'!AD154&gt;'Reeksen (N)'!AE154,I154*'Reeksen (N)'!C154,0))</f>
        <v>0</v>
      </c>
      <c r="L154" s="86">
        <f t="shared" ca="1" si="22"/>
        <v>0</v>
      </c>
      <c r="M154" s="85">
        <f ca="1">IF('Invoer gegevens (N)'!$C$17=E154,'Invoer gegevens (N)'!$C$10-'Invoer gegevens (N)'!$C$11,IF(C154=1,P153,0))</f>
        <v>0</v>
      </c>
      <c r="N154" s="86">
        <f ca="1">IF(C154&lt;1,0,IF('Reeksen (N)'!AD154&lt;='Reeksen (N)'!AE154,M154*'Reeksen (N)'!C154,0))</f>
        <v>0</v>
      </c>
      <c r="O154" s="86">
        <f ca="1">IF(C154&lt;1,0,IF('Reeksen (N)'!AD154&gt;'Reeksen (N)'!AE154,M154*'Reeksen (N)'!C154,0))</f>
        <v>0</v>
      </c>
      <c r="P154" s="86">
        <f t="shared" ca="1" si="23"/>
        <v>0</v>
      </c>
      <c r="Q154" s="82">
        <f ca="1">IF('Invoer gegevens (N)'!$C$17=E154,I154,IF(C154=0,0,R153))</f>
        <v>0</v>
      </c>
      <c r="R154" s="84">
        <f t="shared" ca="1" si="20"/>
        <v>0</v>
      </c>
      <c r="S154" s="84">
        <f ca="1">IF('Invoer gegevens (N)'!$C$17=E154,M154,IF(C154=0,0,T153))</f>
        <v>0</v>
      </c>
      <c r="T154" s="84">
        <f t="shared" ca="1" si="29"/>
        <v>0</v>
      </c>
      <c r="AI154" s="71">
        <f ca="1">IF(C154=1,((F154+H154)/2*'Reeksen (N)'!AI154*12)+(('Invoer gegevens (N)'!$C$10-(F154+H154)/2)*'Reeksen (N)'!AD154*12),0)</f>
        <v>0</v>
      </c>
      <c r="AJ154" s="71">
        <f ca="1">-AI154*'Invoer gegevens (N)'!$F$28</f>
        <v>0</v>
      </c>
      <c r="AK154" s="71">
        <f t="shared" ca="1" si="24"/>
        <v>0</v>
      </c>
      <c r="AL154" s="71">
        <f ca="1">IF(C154=1,(12*((F154+H154)/2)*'Reeksen (N)'!AL154)+(12*('Invoer gegevens (N)'!$C$10-(F154+H154)/2)*'Reeksen (N)'!AM154),0)</f>
        <v>0</v>
      </c>
      <c r="AM154" s="71">
        <f ca="1">-AL154*'Invoer gegevens (N)'!$F$31</f>
        <v>0</v>
      </c>
      <c r="AN154" s="71">
        <f t="shared" ca="1" si="25"/>
        <v>0</v>
      </c>
      <c r="AO154" s="71"/>
      <c r="AP154" s="71"/>
      <c r="AQ154" s="71">
        <f ca="1">-IF(C154=1,('Invoer gegevens (N)'!$C$10*'Invoer gegevens (N)'!$F$35)*'Reeksen (N)'!J154,0)*2</f>
        <v>0</v>
      </c>
      <c r="AR154" s="71">
        <f ca="1">-IF(C154=1,(G154*'Invoer gegevens (N)'!$F$36)*'Reeksen (N)'!J154,0)</f>
        <v>0</v>
      </c>
      <c r="AS154" s="71">
        <f ca="1">-IF(C154=1,'Invoer gegevens (N)'!$C$10*'Invoer gegevens (N)'!$F$37*'Reeksen (N)'!L154,0)</f>
        <v>0</v>
      </c>
      <c r="AT154" s="71">
        <f ca="1">-IF(C154=1,IF(E154='Invoer gegevens (N)'!$C$17,'Invoer gegevens (N)'!$C$11,Q154)*'Reeksen (N)'!S154*'Invoer gegevens (N)'!$C$18*'Reeksen (N)'!P154,0)</f>
        <v>0</v>
      </c>
      <c r="AU154" s="71">
        <f ca="1">-IF(C154=1,'Invoer gegevens (N)'!$C$10*'Invoer gegevens (N)'!$F$38*'Reeksen (N)'!H154,0)</f>
        <v>0</v>
      </c>
      <c r="AV154" s="71">
        <v>0</v>
      </c>
      <c r="AW154" s="71">
        <f t="shared" ca="1" si="26"/>
        <v>0</v>
      </c>
      <c r="AX154" s="71">
        <f ca="1">IF(E154&lt;'Invoer gegevens (N)'!$C$17+15,0,IF('RW - MW - DE - DE (N)'!E154&gt;'Invoer gegevens (N)'!$C$17+215,0,'RW - MW - DE - DE (N)'!AW154))</f>
        <v>0</v>
      </c>
      <c r="AY154" s="71">
        <f ca="1">AX154/(1+'Invoer gegevens (N)'!$F$13)^($AZ154-('Invoer gegevens (N)'!$C$17-'Invoer gegevens (N)'!$C$16))/(1+'Invoer gegevens (N)'!$C$39)^('Invoer gegevens (N)'!$C$17-'Invoer gegevens (N)'!$C$16)</f>
        <v>0</v>
      </c>
      <c r="AZ154" s="68">
        <f ca="1">IF(E154-'Invoer gegevens (N)'!$C$17-14.5&lt;0,0,E154-'Invoer gegevens (N)'!$C$17-14.5)</f>
        <v>134.5</v>
      </c>
      <c r="BC154" s="71"/>
    </row>
    <row r="155" spans="2:55" s="230" customFormat="1" x14ac:dyDescent="0.25">
      <c r="B155" s="70">
        <f t="shared" si="27"/>
        <v>151</v>
      </c>
      <c r="C155" s="67">
        <f ca="1">IF(E155-'Invoer gegevens (N)'!$C$17&lt;0,0,1)</f>
        <v>1</v>
      </c>
      <c r="D155" s="68">
        <f t="shared" si="28"/>
        <v>150.5</v>
      </c>
      <c r="E155" s="69">
        <f ca="1">IF('Invoer gegevens (N)'!$C$16="","",E154+1)</f>
        <v>2169</v>
      </c>
      <c r="F155" s="82">
        <f ca="1">IF('Invoer gegevens (N)'!$C$17=E155,'Invoer gegevens (N)'!$C$10,IF(C155=1,H154,0))</f>
        <v>0</v>
      </c>
      <c r="G155" s="83">
        <f ca="1">IF(C155&gt;=1,F155*'Reeksen (N)'!C155,0)</f>
        <v>0</v>
      </c>
      <c r="H155" s="84">
        <f t="shared" ca="1" si="21"/>
        <v>0</v>
      </c>
      <c r="I155" s="85">
        <f ca="1">IF('Invoer gegevens (N)'!$C$17=E155,'Invoer gegevens (N)'!$C$11,IF(C155=1,L154,0))</f>
        <v>0</v>
      </c>
      <c r="J155" s="86">
        <f ca="1">IF(C155&lt;1,0,IF('Reeksen (N)'!AD155&lt;='Reeksen (N)'!AE155,I155*'Reeksen (N)'!C155,0))</f>
        <v>0</v>
      </c>
      <c r="K155" s="86">
        <f ca="1">IF(C155&lt;1,0,IF('Reeksen (N)'!AD155&gt;'Reeksen (N)'!AE155,I155*'Reeksen (N)'!C155,0))</f>
        <v>0</v>
      </c>
      <c r="L155" s="86">
        <f t="shared" ca="1" si="22"/>
        <v>0</v>
      </c>
      <c r="M155" s="85">
        <f ca="1">IF('Invoer gegevens (N)'!$C$17=E155,'Invoer gegevens (N)'!$C$10-'Invoer gegevens (N)'!$C$11,IF(C155=1,P154,0))</f>
        <v>0</v>
      </c>
      <c r="N155" s="86">
        <f ca="1">IF(C155&lt;1,0,IF('Reeksen (N)'!AD155&lt;='Reeksen (N)'!AE155,M155*'Reeksen (N)'!C155,0))</f>
        <v>0</v>
      </c>
      <c r="O155" s="86">
        <f ca="1">IF(C155&lt;1,0,IF('Reeksen (N)'!AD155&gt;'Reeksen (N)'!AE155,M155*'Reeksen (N)'!C155,0))</f>
        <v>0</v>
      </c>
      <c r="P155" s="86">
        <f t="shared" ca="1" si="23"/>
        <v>0</v>
      </c>
      <c r="Q155" s="82">
        <f ca="1">IF('Invoer gegevens (N)'!$C$17=E155,I155,IF(C155=0,0,R154))</f>
        <v>0</v>
      </c>
      <c r="R155" s="84">
        <f t="shared" ca="1" si="20"/>
        <v>0</v>
      </c>
      <c r="S155" s="84">
        <f ca="1">IF('Invoer gegevens (N)'!$C$17=E155,M155,IF(C155=0,0,T154))</f>
        <v>0</v>
      </c>
      <c r="T155" s="84">
        <f t="shared" ca="1" si="29"/>
        <v>0</v>
      </c>
      <c r="AI155" s="71">
        <f ca="1">IF(C155=1,((F155+H155)/2*'Reeksen (N)'!AI155*12)+(('Invoer gegevens (N)'!$C$10-(F155+H155)/2)*'Reeksen (N)'!AD155*12),0)</f>
        <v>0</v>
      </c>
      <c r="AJ155" s="71">
        <f ca="1">-AI155*'Invoer gegevens (N)'!$F$28</f>
        <v>0</v>
      </c>
      <c r="AK155" s="71">
        <f t="shared" ca="1" si="24"/>
        <v>0</v>
      </c>
      <c r="AL155" s="71">
        <f ca="1">IF(C155=1,(12*((F155+H155)/2)*'Reeksen (N)'!AL155)+(12*('Invoer gegevens (N)'!$C$10-(F155+H155)/2)*'Reeksen (N)'!AM155),0)</f>
        <v>0</v>
      </c>
      <c r="AM155" s="71">
        <f ca="1">-AL155*'Invoer gegevens (N)'!$F$31</f>
        <v>0</v>
      </c>
      <c r="AN155" s="71">
        <f t="shared" ca="1" si="25"/>
        <v>0</v>
      </c>
      <c r="AO155" s="71"/>
      <c r="AP155" s="71"/>
      <c r="AQ155" s="71">
        <f ca="1">-IF(C155=1,('Invoer gegevens (N)'!$C$10*'Invoer gegevens (N)'!$F$35)*'Reeksen (N)'!J155,0)*2</f>
        <v>0</v>
      </c>
      <c r="AR155" s="71">
        <f ca="1">-IF(C155=1,(G155*'Invoer gegevens (N)'!$F$36)*'Reeksen (N)'!J155,0)</f>
        <v>0</v>
      </c>
      <c r="AS155" s="71">
        <f ca="1">-IF(C155=1,'Invoer gegevens (N)'!$C$10*'Invoer gegevens (N)'!$F$37*'Reeksen (N)'!L155,0)</f>
        <v>0</v>
      </c>
      <c r="AT155" s="71">
        <f ca="1">-IF(C155=1,IF(E155='Invoer gegevens (N)'!$C$17,'Invoer gegevens (N)'!$C$11,Q155)*'Reeksen (N)'!S155*'Invoer gegevens (N)'!$C$18*'Reeksen (N)'!P155,0)</f>
        <v>0</v>
      </c>
      <c r="AU155" s="71">
        <f ca="1">-IF(C155=1,'Invoer gegevens (N)'!$C$10*'Invoer gegevens (N)'!$F$38*'Reeksen (N)'!H155,0)</f>
        <v>0</v>
      </c>
      <c r="AV155" s="71">
        <v>0</v>
      </c>
      <c r="AW155" s="71">
        <f t="shared" ca="1" si="26"/>
        <v>0</v>
      </c>
      <c r="AX155" s="71">
        <f ca="1">IF(E155&lt;'Invoer gegevens (N)'!$C$17+15,0,IF('RW - MW - DE - DE (N)'!E155&gt;'Invoer gegevens (N)'!$C$17+215,0,'RW - MW - DE - DE (N)'!AW155))</f>
        <v>0</v>
      </c>
      <c r="AY155" s="71">
        <f ca="1">AX155/(1+'Invoer gegevens (N)'!$F$13)^($AZ155-('Invoer gegevens (N)'!$C$17-'Invoer gegevens (N)'!$C$16))/(1+'Invoer gegevens (N)'!$C$39)^('Invoer gegevens (N)'!$C$17-'Invoer gegevens (N)'!$C$16)</f>
        <v>0</v>
      </c>
      <c r="AZ155" s="68">
        <f ca="1">IF(E155-'Invoer gegevens (N)'!$C$17-14.5&lt;0,0,E155-'Invoer gegevens (N)'!$C$17-14.5)</f>
        <v>135.5</v>
      </c>
      <c r="BC155" s="71"/>
    </row>
    <row r="156" spans="2:55" s="230" customFormat="1" x14ac:dyDescent="0.25">
      <c r="B156" s="70">
        <f t="shared" si="27"/>
        <v>152</v>
      </c>
      <c r="C156" s="67">
        <f ca="1">IF(E156-'Invoer gegevens (N)'!$C$17&lt;0,0,1)</f>
        <v>1</v>
      </c>
      <c r="D156" s="68">
        <f t="shared" si="28"/>
        <v>151.5</v>
      </c>
      <c r="E156" s="69">
        <f ca="1">IF('Invoer gegevens (N)'!$C$16="","",E155+1)</f>
        <v>2170</v>
      </c>
      <c r="F156" s="82">
        <f ca="1">IF('Invoer gegevens (N)'!$C$17=E156,'Invoer gegevens (N)'!$C$10,IF(C156=1,H155,0))</f>
        <v>0</v>
      </c>
      <c r="G156" s="83">
        <f ca="1">IF(C156&gt;=1,F156*'Reeksen (N)'!C156,0)</f>
        <v>0</v>
      </c>
      <c r="H156" s="84">
        <f t="shared" ca="1" si="21"/>
        <v>0</v>
      </c>
      <c r="I156" s="85">
        <f ca="1">IF('Invoer gegevens (N)'!$C$17=E156,'Invoer gegevens (N)'!$C$11,IF(C156=1,L155,0))</f>
        <v>0</v>
      </c>
      <c r="J156" s="86">
        <f ca="1">IF(C156&lt;1,0,IF('Reeksen (N)'!AD156&lt;='Reeksen (N)'!AE156,I156*'Reeksen (N)'!C156,0))</f>
        <v>0</v>
      </c>
      <c r="K156" s="86">
        <f ca="1">IF(C156&lt;1,0,IF('Reeksen (N)'!AD156&gt;'Reeksen (N)'!AE156,I156*'Reeksen (N)'!C156,0))</f>
        <v>0</v>
      </c>
      <c r="L156" s="86">
        <f t="shared" ca="1" si="22"/>
        <v>0</v>
      </c>
      <c r="M156" s="85">
        <f ca="1">IF('Invoer gegevens (N)'!$C$17=E156,'Invoer gegevens (N)'!$C$10-'Invoer gegevens (N)'!$C$11,IF(C156=1,P155,0))</f>
        <v>0</v>
      </c>
      <c r="N156" s="86">
        <f ca="1">IF(C156&lt;1,0,IF('Reeksen (N)'!AD156&lt;='Reeksen (N)'!AE156,M156*'Reeksen (N)'!C156,0))</f>
        <v>0</v>
      </c>
      <c r="O156" s="86">
        <f ca="1">IF(C156&lt;1,0,IF('Reeksen (N)'!AD156&gt;'Reeksen (N)'!AE156,M156*'Reeksen (N)'!C156,0))</f>
        <v>0</v>
      </c>
      <c r="P156" s="86">
        <f t="shared" ca="1" si="23"/>
        <v>0</v>
      </c>
      <c r="Q156" s="82">
        <f ca="1">IF('Invoer gegevens (N)'!$C$17=E156,I156,IF(C156=0,0,R155))</f>
        <v>0</v>
      </c>
      <c r="R156" s="84">
        <f t="shared" ca="1" si="20"/>
        <v>0</v>
      </c>
      <c r="S156" s="84">
        <f ca="1">IF('Invoer gegevens (N)'!$C$17=E156,M156,IF(C156=0,0,T155))</f>
        <v>0</v>
      </c>
      <c r="T156" s="84">
        <f t="shared" ca="1" si="29"/>
        <v>0</v>
      </c>
      <c r="AI156" s="71">
        <f ca="1">IF(C156=1,((F156+H156)/2*'Reeksen (N)'!AI156*12)+(('Invoer gegevens (N)'!$C$10-(F156+H156)/2)*'Reeksen (N)'!AD156*12),0)</f>
        <v>0</v>
      </c>
      <c r="AJ156" s="71">
        <f ca="1">-AI156*'Invoer gegevens (N)'!$F$28</f>
        <v>0</v>
      </c>
      <c r="AK156" s="71">
        <f t="shared" ca="1" si="24"/>
        <v>0</v>
      </c>
      <c r="AL156" s="71">
        <f ca="1">IF(C156=1,(12*((F156+H156)/2)*'Reeksen (N)'!AL156)+(12*('Invoer gegevens (N)'!$C$10-(F156+H156)/2)*'Reeksen (N)'!AM156),0)</f>
        <v>0</v>
      </c>
      <c r="AM156" s="71">
        <f ca="1">-AL156*'Invoer gegevens (N)'!$F$31</f>
        <v>0</v>
      </c>
      <c r="AN156" s="71">
        <f t="shared" ca="1" si="25"/>
        <v>0</v>
      </c>
      <c r="AO156" s="71"/>
      <c r="AP156" s="71"/>
      <c r="AQ156" s="71">
        <f ca="1">-IF(C156=1,('Invoer gegevens (N)'!$C$10*'Invoer gegevens (N)'!$F$35)*'Reeksen (N)'!J156,0)*2</f>
        <v>0</v>
      </c>
      <c r="AR156" s="71">
        <f ca="1">-IF(C156=1,(G156*'Invoer gegevens (N)'!$F$36)*'Reeksen (N)'!J156,0)</f>
        <v>0</v>
      </c>
      <c r="AS156" s="71">
        <f ca="1">-IF(C156=1,'Invoer gegevens (N)'!$C$10*'Invoer gegevens (N)'!$F$37*'Reeksen (N)'!L156,0)</f>
        <v>0</v>
      </c>
      <c r="AT156" s="71">
        <f ca="1">-IF(C156=1,IF(E156='Invoer gegevens (N)'!$C$17,'Invoer gegevens (N)'!$C$11,Q156)*'Reeksen (N)'!S156*'Invoer gegevens (N)'!$C$18*'Reeksen (N)'!P156,0)</f>
        <v>0</v>
      </c>
      <c r="AU156" s="71">
        <f ca="1">-IF(C156=1,'Invoer gegevens (N)'!$C$10*'Invoer gegevens (N)'!$F$38*'Reeksen (N)'!H156,0)</f>
        <v>0</v>
      </c>
      <c r="AV156" s="71">
        <v>0</v>
      </c>
      <c r="AW156" s="71">
        <f t="shared" ca="1" si="26"/>
        <v>0</v>
      </c>
      <c r="AX156" s="71">
        <f ca="1">IF(E156&lt;'Invoer gegevens (N)'!$C$17+15,0,IF('RW - MW - DE - DE (N)'!E156&gt;'Invoer gegevens (N)'!$C$17+215,0,'RW - MW - DE - DE (N)'!AW156))</f>
        <v>0</v>
      </c>
      <c r="AY156" s="71">
        <f ca="1">AX156/(1+'Invoer gegevens (N)'!$F$13)^($AZ156-('Invoer gegevens (N)'!$C$17-'Invoer gegevens (N)'!$C$16))/(1+'Invoer gegevens (N)'!$C$39)^('Invoer gegevens (N)'!$C$17-'Invoer gegevens (N)'!$C$16)</f>
        <v>0</v>
      </c>
      <c r="AZ156" s="68">
        <f ca="1">IF(E156-'Invoer gegevens (N)'!$C$17-14.5&lt;0,0,E156-'Invoer gegevens (N)'!$C$17-14.5)</f>
        <v>136.5</v>
      </c>
      <c r="BC156" s="71"/>
    </row>
    <row r="157" spans="2:55" s="230" customFormat="1" x14ac:dyDescent="0.25">
      <c r="B157" s="70">
        <f t="shared" si="27"/>
        <v>153</v>
      </c>
      <c r="C157" s="67">
        <f ca="1">IF(E157-'Invoer gegevens (N)'!$C$17&lt;0,0,1)</f>
        <v>1</v>
      </c>
      <c r="D157" s="68">
        <f t="shared" si="28"/>
        <v>152.5</v>
      </c>
      <c r="E157" s="69">
        <f ca="1">IF('Invoer gegevens (N)'!$C$16="","",E156+1)</f>
        <v>2171</v>
      </c>
      <c r="F157" s="82">
        <f ca="1">IF('Invoer gegevens (N)'!$C$17=E157,'Invoer gegevens (N)'!$C$10,IF(C157=1,H156,0))</f>
        <v>0</v>
      </c>
      <c r="G157" s="83">
        <f ca="1">IF(C157&gt;=1,F157*'Reeksen (N)'!C157,0)</f>
        <v>0</v>
      </c>
      <c r="H157" s="84">
        <f t="shared" ca="1" si="21"/>
        <v>0</v>
      </c>
      <c r="I157" s="85">
        <f ca="1">IF('Invoer gegevens (N)'!$C$17=E157,'Invoer gegevens (N)'!$C$11,IF(C157=1,L156,0))</f>
        <v>0</v>
      </c>
      <c r="J157" s="86">
        <f ca="1">IF(C157&lt;1,0,IF('Reeksen (N)'!AD157&lt;='Reeksen (N)'!AE157,I157*'Reeksen (N)'!C157,0))</f>
        <v>0</v>
      </c>
      <c r="K157" s="86">
        <f ca="1">IF(C157&lt;1,0,IF('Reeksen (N)'!AD157&gt;'Reeksen (N)'!AE157,I157*'Reeksen (N)'!C157,0))</f>
        <v>0</v>
      </c>
      <c r="L157" s="86">
        <f t="shared" ca="1" si="22"/>
        <v>0</v>
      </c>
      <c r="M157" s="85">
        <f ca="1">IF('Invoer gegevens (N)'!$C$17=E157,'Invoer gegevens (N)'!$C$10-'Invoer gegevens (N)'!$C$11,IF(C157=1,P156,0))</f>
        <v>0</v>
      </c>
      <c r="N157" s="86">
        <f ca="1">IF(C157&lt;1,0,IF('Reeksen (N)'!AD157&lt;='Reeksen (N)'!AE157,M157*'Reeksen (N)'!C157,0))</f>
        <v>0</v>
      </c>
      <c r="O157" s="86">
        <f ca="1">IF(C157&lt;1,0,IF('Reeksen (N)'!AD157&gt;'Reeksen (N)'!AE157,M157*'Reeksen (N)'!C157,0))</f>
        <v>0</v>
      </c>
      <c r="P157" s="86">
        <f t="shared" ca="1" si="23"/>
        <v>0</v>
      </c>
      <c r="Q157" s="82">
        <f ca="1">IF('Invoer gegevens (N)'!$C$17=E157,I157,IF(C157=0,0,R156))</f>
        <v>0</v>
      </c>
      <c r="R157" s="84">
        <f t="shared" ca="1" si="20"/>
        <v>0</v>
      </c>
      <c r="S157" s="84">
        <f ca="1">IF('Invoer gegevens (N)'!$C$17=E157,M157,IF(C157=0,0,T156))</f>
        <v>0</v>
      </c>
      <c r="T157" s="84">
        <f t="shared" ca="1" si="29"/>
        <v>0</v>
      </c>
      <c r="AI157" s="71">
        <f ca="1">IF(C157=1,((F157+H157)/2*'Reeksen (N)'!AI157*12)+(('Invoer gegevens (N)'!$C$10-(F157+H157)/2)*'Reeksen (N)'!AD157*12),0)</f>
        <v>0</v>
      </c>
      <c r="AJ157" s="71">
        <f ca="1">-AI157*'Invoer gegevens (N)'!$F$28</f>
        <v>0</v>
      </c>
      <c r="AK157" s="71">
        <f t="shared" ca="1" si="24"/>
        <v>0</v>
      </c>
      <c r="AL157" s="71">
        <f ca="1">IF(C157=1,(12*((F157+H157)/2)*'Reeksen (N)'!AL157)+(12*('Invoer gegevens (N)'!$C$10-(F157+H157)/2)*'Reeksen (N)'!AM157),0)</f>
        <v>0</v>
      </c>
      <c r="AM157" s="71">
        <f ca="1">-AL157*'Invoer gegevens (N)'!$F$31</f>
        <v>0</v>
      </c>
      <c r="AN157" s="71">
        <f t="shared" ca="1" si="25"/>
        <v>0</v>
      </c>
      <c r="AO157" s="71"/>
      <c r="AP157" s="71"/>
      <c r="AQ157" s="71">
        <f ca="1">-IF(C157=1,('Invoer gegevens (N)'!$C$10*'Invoer gegevens (N)'!$F$35)*'Reeksen (N)'!J157,0)*2</f>
        <v>0</v>
      </c>
      <c r="AR157" s="71">
        <f ca="1">-IF(C157=1,(G157*'Invoer gegevens (N)'!$F$36)*'Reeksen (N)'!J157,0)</f>
        <v>0</v>
      </c>
      <c r="AS157" s="71">
        <f ca="1">-IF(C157=1,'Invoer gegevens (N)'!$C$10*'Invoer gegevens (N)'!$F$37*'Reeksen (N)'!L157,0)</f>
        <v>0</v>
      </c>
      <c r="AT157" s="71">
        <f ca="1">-IF(C157=1,IF(E157='Invoer gegevens (N)'!$C$17,'Invoer gegevens (N)'!$C$11,Q157)*'Reeksen (N)'!S157*'Invoer gegevens (N)'!$C$18*'Reeksen (N)'!P157,0)</f>
        <v>0</v>
      </c>
      <c r="AU157" s="71">
        <f ca="1">-IF(C157=1,'Invoer gegevens (N)'!$C$10*'Invoer gegevens (N)'!$F$38*'Reeksen (N)'!H157,0)</f>
        <v>0</v>
      </c>
      <c r="AV157" s="71">
        <v>0</v>
      </c>
      <c r="AW157" s="71">
        <f t="shared" ca="1" si="26"/>
        <v>0</v>
      </c>
      <c r="AX157" s="71">
        <f ca="1">IF(E157&lt;'Invoer gegevens (N)'!$C$17+15,0,IF('RW - MW - DE - DE (N)'!E157&gt;'Invoer gegevens (N)'!$C$17+215,0,'RW - MW - DE - DE (N)'!AW157))</f>
        <v>0</v>
      </c>
      <c r="AY157" s="71">
        <f ca="1">AX157/(1+'Invoer gegevens (N)'!$F$13)^($AZ157-('Invoer gegevens (N)'!$C$17-'Invoer gegevens (N)'!$C$16))/(1+'Invoer gegevens (N)'!$C$39)^('Invoer gegevens (N)'!$C$17-'Invoer gegevens (N)'!$C$16)</f>
        <v>0</v>
      </c>
      <c r="AZ157" s="68">
        <f ca="1">IF(E157-'Invoer gegevens (N)'!$C$17-14.5&lt;0,0,E157-'Invoer gegevens (N)'!$C$17-14.5)</f>
        <v>137.5</v>
      </c>
      <c r="BC157" s="71"/>
    </row>
    <row r="158" spans="2:55" s="230" customFormat="1" x14ac:dyDescent="0.25">
      <c r="B158" s="70">
        <f t="shared" si="27"/>
        <v>154</v>
      </c>
      <c r="C158" s="67">
        <f ca="1">IF(E158-'Invoer gegevens (N)'!$C$17&lt;0,0,1)</f>
        <v>1</v>
      </c>
      <c r="D158" s="68">
        <f t="shared" si="28"/>
        <v>153.5</v>
      </c>
      <c r="E158" s="69">
        <f ca="1">IF('Invoer gegevens (N)'!$C$16="","",E157+1)</f>
        <v>2172</v>
      </c>
      <c r="F158" s="82">
        <f ca="1">IF('Invoer gegevens (N)'!$C$17=E158,'Invoer gegevens (N)'!$C$10,IF(C158=1,H157,0))</f>
        <v>0</v>
      </c>
      <c r="G158" s="83">
        <f ca="1">IF(C158&gt;=1,F158*'Reeksen (N)'!C158,0)</f>
        <v>0</v>
      </c>
      <c r="H158" s="84">
        <f t="shared" ca="1" si="21"/>
        <v>0</v>
      </c>
      <c r="I158" s="85">
        <f ca="1">IF('Invoer gegevens (N)'!$C$17=E158,'Invoer gegevens (N)'!$C$11,IF(C158=1,L157,0))</f>
        <v>0</v>
      </c>
      <c r="J158" s="86">
        <f ca="1">IF(C158&lt;1,0,IF('Reeksen (N)'!AD158&lt;='Reeksen (N)'!AE158,I158*'Reeksen (N)'!C158,0))</f>
        <v>0</v>
      </c>
      <c r="K158" s="86">
        <f ca="1">IF(C158&lt;1,0,IF('Reeksen (N)'!AD158&gt;'Reeksen (N)'!AE158,I158*'Reeksen (N)'!C158,0))</f>
        <v>0</v>
      </c>
      <c r="L158" s="86">
        <f t="shared" ca="1" si="22"/>
        <v>0</v>
      </c>
      <c r="M158" s="85">
        <f ca="1">IF('Invoer gegevens (N)'!$C$17=E158,'Invoer gegevens (N)'!$C$10-'Invoer gegevens (N)'!$C$11,IF(C158=1,P157,0))</f>
        <v>0</v>
      </c>
      <c r="N158" s="86">
        <f ca="1">IF(C158&lt;1,0,IF('Reeksen (N)'!AD158&lt;='Reeksen (N)'!AE158,M158*'Reeksen (N)'!C158,0))</f>
        <v>0</v>
      </c>
      <c r="O158" s="86">
        <f ca="1">IF(C158&lt;1,0,IF('Reeksen (N)'!AD158&gt;'Reeksen (N)'!AE158,M158*'Reeksen (N)'!C158,0))</f>
        <v>0</v>
      </c>
      <c r="P158" s="86">
        <f t="shared" ca="1" si="23"/>
        <v>0</v>
      </c>
      <c r="Q158" s="82">
        <f ca="1">IF('Invoer gegevens (N)'!$C$17=E158,I158,IF(C158=0,0,R157))</f>
        <v>0</v>
      </c>
      <c r="R158" s="84">
        <f t="shared" ca="1" si="20"/>
        <v>0</v>
      </c>
      <c r="S158" s="84">
        <f ca="1">IF('Invoer gegevens (N)'!$C$17=E158,M158,IF(C158=0,0,T157))</f>
        <v>0</v>
      </c>
      <c r="T158" s="84">
        <f t="shared" ca="1" si="29"/>
        <v>0</v>
      </c>
      <c r="AI158" s="71">
        <f ca="1">IF(C158=1,((F158+H158)/2*'Reeksen (N)'!AI158*12)+(('Invoer gegevens (N)'!$C$10-(F158+H158)/2)*'Reeksen (N)'!AD158*12),0)</f>
        <v>0</v>
      </c>
      <c r="AJ158" s="71">
        <f ca="1">-AI158*'Invoer gegevens (N)'!$F$28</f>
        <v>0</v>
      </c>
      <c r="AK158" s="71">
        <f t="shared" ca="1" si="24"/>
        <v>0</v>
      </c>
      <c r="AL158" s="71">
        <f ca="1">IF(C158=1,(12*((F158+H158)/2)*'Reeksen (N)'!AL158)+(12*('Invoer gegevens (N)'!$C$10-(F158+H158)/2)*'Reeksen (N)'!AM158),0)</f>
        <v>0</v>
      </c>
      <c r="AM158" s="71">
        <f ca="1">-AL158*'Invoer gegevens (N)'!$F$31</f>
        <v>0</v>
      </c>
      <c r="AN158" s="71">
        <f t="shared" ca="1" si="25"/>
        <v>0</v>
      </c>
      <c r="AO158" s="71"/>
      <c r="AP158" s="71"/>
      <c r="AQ158" s="71">
        <f ca="1">-IF(C158=1,('Invoer gegevens (N)'!$C$10*'Invoer gegevens (N)'!$F$35)*'Reeksen (N)'!J158,0)*2</f>
        <v>0</v>
      </c>
      <c r="AR158" s="71">
        <f ca="1">-IF(C158=1,(G158*'Invoer gegevens (N)'!$F$36)*'Reeksen (N)'!J158,0)</f>
        <v>0</v>
      </c>
      <c r="AS158" s="71">
        <f ca="1">-IF(C158=1,'Invoer gegevens (N)'!$C$10*'Invoer gegevens (N)'!$F$37*'Reeksen (N)'!L158,0)</f>
        <v>0</v>
      </c>
      <c r="AT158" s="71">
        <f ca="1">-IF(C158=1,IF(E158='Invoer gegevens (N)'!$C$17,'Invoer gegevens (N)'!$C$11,Q158)*'Reeksen (N)'!S158*'Invoer gegevens (N)'!$C$18*'Reeksen (N)'!P158,0)</f>
        <v>0</v>
      </c>
      <c r="AU158" s="71">
        <f ca="1">-IF(C158=1,'Invoer gegevens (N)'!$C$10*'Invoer gegevens (N)'!$F$38*'Reeksen (N)'!H158,0)</f>
        <v>0</v>
      </c>
      <c r="AV158" s="71">
        <v>0</v>
      </c>
      <c r="AW158" s="71">
        <f t="shared" ca="1" si="26"/>
        <v>0</v>
      </c>
      <c r="AX158" s="71">
        <f ca="1">IF(E158&lt;'Invoer gegevens (N)'!$C$17+15,0,IF('RW - MW - DE - DE (N)'!E158&gt;'Invoer gegevens (N)'!$C$17+215,0,'RW - MW - DE - DE (N)'!AW158))</f>
        <v>0</v>
      </c>
      <c r="AY158" s="71">
        <f ca="1">AX158/(1+'Invoer gegevens (N)'!$F$13)^($AZ158-('Invoer gegevens (N)'!$C$17-'Invoer gegevens (N)'!$C$16))/(1+'Invoer gegevens (N)'!$C$39)^('Invoer gegevens (N)'!$C$17-'Invoer gegevens (N)'!$C$16)</f>
        <v>0</v>
      </c>
      <c r="AZ158" s="68">
        <f ca="1">IF(E158-'Invoer gegevens (N)'!$C$17-14.5&lt;0,0,E158-'Invoer gegevens (N)'!$C$17-14.5)</f>
        <v>138.5</v>
      </c>
      <c r="BC158" s="71"/>
    </row>
    <row r="159" spans="2:55" s="230" customFormat="1" x14ac:dyDescent="0.25">
      <c r="B159" s="70">
        <f t="shared" si="27"/>
        <v>155</v>
      </c>
      <c r="C159" s="67">
        <f ca="1">IF(E159-'Invoer gegevens (N)'!$C$17&lt;0,0,1)</f>
        <v>1</v>
      </c>
      <c r="D159" s="68">
        <f t="shared" si="28"/>
        <v>154.5</v>
      </c>
      <c r="E159" s="69">
        <f ca="1">IF('Invoer gegevens (N)'!$C$16="","",E158+1)</f>
        <v>2173</v>
      </c>
      <c r="F159" s="82">
        <f ca="1">IF('Invoer gegevens (N)'!$C$17=E159,'Invoer gegevens (N)'!$C$10,IF(C159=1,H158,0))</f>
        <v>0</v>
      </c>
      <c r="G159" s="83">
        <f ca="1">IF(C159&gt;=1,F159*'Reeksen (N)'!C159,0)</f>
        <v>0</v>
      </c>
      <c r="H159" s="84">
        <f t="shared" ca="1" si="21"/>
        <v>0</v>
      </c>
      <c r="I159" s="85">
        <f ca="1">IF('Invoer gegevens (N)'!$C$17=E159,'Invoer gegevens (N)'!$C$11,IF(C159=1,L158,0))</f>
        <v>0</v>
      </c>
      <c r="J159" s="86">
        <f ca="1">IF(C159&lt;1,0,IF('Reeksen (N)'!AD159&lt;='Reeksen (N)'!AE159,I159*'Reeksen (N)'!C159,0))</f>
        <v>0</v>
      </c>
      <c r="K159" s="86">
        <f ca="1">IF(C159&lt;1,0,IF('Reeksen (N)'!AD159&gt;'Reeksen (N)'!AE159,I159*'Reeksen (N)'!C159,0))</f>
        <v>0</v>
      </c>
      <c r="L159" s="86">
        <f t="shared" ca="1" si="22"/>
        <v>0</v>
      </c>
      <c r="M159" s="85">
        <f ca="1">IF('Invoer gegevens (N)'!$C$17=E159,'Invoer gegevens (N)'!$C$10-'Invoer gegevens (N)'!$C$11,IF(C159=1,P158,0))</f>
        <v>0</v>
      </c>
      <c r="N159" s="86">
        <f ca="1">IF(C159&lt;1,0,IF('Reeksen (N)'!AD159&lt;='Reeksen (N)'!AE159,M159*'Reeksen (N)'!C159,0))</f>
        <v>0</v>
      </c>
      <c r="O159" s="86">
        <f ca="1">IF(C159&lt;1,0,IF('Reeksen (N)'!AD159&gt;'Reeksen (N)'!AE159,M159*'Reeksen (N)'!C159,0))</f>
        <v>0</v>
      </c>
      <c r="P159" s="86">
        <f t="shared" ca="1" si="23"/>
        <v>0</v>
      </c>
      <c r="Q159" s="82">
        <f ca="1">IF('Invoer gegevens (N)'!$C$17=E159,I159,IF(C159=0,0,R158))</f>
        <v>0</v>
      </c>
      <c r="R159" s="84">
        <f t="shared" ca="1" si="20"/>
        <v>0</v>
      </c>
      <c r="S159" s="84">
        <f ca="1">IF('Invoer gegevens (N)'!$C$17=E159,M159,IF(C159=0,0,T158))</f>
        <v>0</v>
      </c>
      <c r="T159" s="84">
        <f t="shared" ca="1" si="29"/>
        <v>0</v>
      </c>
      <c r="AI159" s="71">
        <f ca="1">IF(C159=1,((F159+H159)/2*'Reeksen (N)'!AI159*12)+(('Invoer gegevens (N)'!$C$10-(F159+H159)/2)*'Reeksen (N)'!AD159*12),0)</f>
        <v>0</v>
      </c>
      <c r="AJ159" s="71">
        <f ca="1">-AI159*'Invoer gegevens (N)'!$F$28</f>
        <v>0</v>
      </c>
      <c r="AK159" s="71">
        <f t="shared" ca="1" si="24"/>
        <v>0</v>
      </c>
      <c r="AL159" s="71">
        <f ca="1">IF(C159=1,(12*((F159+H159)/2)*'Reeksen (N)'!AL159)+(12*('Invoer gegevens (N)'!$C$10-(F159+H159)/2)*'Reeksen (N)'!AM159),0)</f>
        <v>0</v>
      </c>
      <c r="AM159" s="71">
        <f ca="1">-AL159*'Invoer gegevens (N)'!$F$31</f>
        <v>0</v>
      </c>
      <c r="AN159" s="71">
        <f t="shared" ca="1" si="25"/>
        <v>0</v>
      </c>
      <c r="AO159" s="71"/>
      <c r="AP159" s="71"/>
      <c r="AQ159" s="71">
        <f ca="1">-IF(C159=1,('Invoer gegevens (N)'!$C$10*'Invoer gegevens (N)'!$F$35)*'Reeksen (N)'!J159,0)*2</f>
        <v>0</v>
      </c>
      <c r="AR159" s="71">
        <f ca="1">-IF(C159=1,(G159*'Invoer gegevens (N)'!$F$36)*'Reeksen (N)'!J159,0)</f>
        <v>0</v>
      </c>
      <c r="AS159" s="71">
        <f ca="1">-IF(C159=1,'Invoer gegevens (N)'!$C$10*'Invoer gegevens (N)'!$F$37*'Reeksen (N)'!L159,0)</f>
        <v>0</v>
      </c>
      <c r="AT159" s="71">
        <f ca="1">-IF(C159=1,IF(E159='Invoer gegevens (N)'!$C$17,'Invoer gegevens (N)'!$C$11,Q159)*'Reeksen (N)'!S159*'Invoer gegevens (N)'!$C$18*'Reeksen (N)'!P159,0)</f>
        <v>0</v>
      </c>
      <c r="AU159" s="71">
        <f ca="1">-IF(C159=1,'Invoer gegevens (N)'!$C$10*'Invoer gegevens (N)'!$F$38*'Reeksen (N)'!H159,0)</f>
        <v>0</v>
      </c>
      <c r="AV159" s="71">
        <v>0</v>
      </c>
      <c r="AW159" s="71">
        <f t="shared" ca="1" si="26"/>
        <v>0</v>
      </c>
      <c r="AX159" s="71">
        <f ca="1">IF(E159&lt;'Invoer gegevens (N)'!$C$17+15,0,IF('RW - MW - DE - DE (N)'!E159&gt;'Invoer gegevens (N)'!$C$17+215,0,'RW - MW - DE - DE (N)'!AW159))</f>
        <v>0</v>
      </c>
      <c r="AY159" s="71">
        <f ca="1">AX159/(1+'Invoer gegevens (N)'!$F$13)^($AZ159-('Invoer gegevens (N)'!$C$17-'Invoer gegevens (N)'!$C$16))/(1+'Invoer gegevens (N)'!$C$39)^('Invoer gegevens (N)'!$C$17-'Invoer gegevens (N)'!$C$16)</f>
        <v>0</v>
      </c>
      <c r="AZ159" s="68">
        <f ca="1">IF(E159-'Invoer gegevens (N)'!$C$17-14.5&lt;0,0,E159-'Invoer gegevens (N)'!$C$17-14.5)</f>
        <v>139.5</v>
      </c>
      <c r="BC159" s="71"/>
    </row>
    <row r="160" spans="2:55" s="230" customFormat="1" x14ac:dyDescent="0.25">
      <c r="B160" s="70">
        <f t="shared" si="27"/>
        <v>156</v>
      </c>
      <c r="C160" s="67">
        <f ca="1">IF(E160-'Invoer gegevens (N)'!$C$17&lt;0,0,1)</f>
        <v>1</v>
      </c>
      <c r="D160" s="68">
        <f t="shared" si="28"/>
        <v>155.5</v>
      </c>
      <c r="E160" s="69">
        <f ca="1">IF('Invoer gegevens (N)'!$C$16="","",E159+1)</f>
        <v>2174</v>
      </c>
      <c r="F160" s="82">
        <f ca="1">IF('Invoer gegevens (N)'!$C$17=E160,'Invoer gegevens (N)'!$C$10,IF(C160=1,H159,0))</f>
        <v>0</v>
      </c>
      <c r="G160" s="83">
        <f ca="1">IF(C160&gt;=1,F160*'Reeksen (N)'!C160,0)</f>
        <v>0</v>
      </c>
      <c r="H160" s="84">
        <f t="shared" ca="1" si="21"/>
        <v>0</v>
      </c>
      <c r="I160" s="85">
        <f ca="1">IF('Invoer gegevens (N)'!$C$17=E160,'Invoer gegevens (N)'!$C$11,IF(C160=1,L159,0))</f>
        <v>0</v>
      </c>
      <c r="J160" s="86">
        <f ca="1">IF(C160&lt;1,0,IF('Reeksen (N)'!AD160&lt;='Reeksen (N)'!AE160,I160*'Reeksen (N)'!C160,0))</f>
        <v>0</v>
      </c>
      <c r="K160" s="86">
        <f ca="1">IF(C160&lt;1,0,IF('Reeksen (N)'!AD160&gt;'Reeksen (N)'!AE160,I160*'Reeksen (N)'!C160,0))</f>
        <v>0</v>
      </c>
      <c r="L160" s="86">
        <f t="shared" ca="1" si="22"/>
        <v>0</v>
      </c>
      <c r="M160" s="85">
        <f ca="1">IF('Invoer gegevens (N)'!$C$17=E160,'Invoer gegevens (N)'!$C$10-'Invoer gegevens (N)'!$C$11,IF(C160=1,P159,0))</f>
        <v>0</v>
      </c>
      <c r="N160" s="86">
        <f ca="1">IF(C160&lt;1,0,IF('Reeksen (N)'!AD160&lt;='Reeksen (N)'!AE160,M160*'Reeksen (N)'!C160,0))</f>
        <v>0</v>
      </c>
      <c r="O160" s="86">
        <f ca="1">IF(C160&lt;1,0,IF('Reeksen (N)'!AD160&gt;'Reeksen (N)'!AE160,M160*'Reeksen (N)'!C160,0))</f>
        <v>0</v>
      </c>
      <c r="P160" s="86">
        <f t="shared" ca="1" si="23"/>
        <v>0</v>
      </c>
      <c r="Q160" s="82">
        <f ca="1">IF('Invoer gegevens (N)'!$C$17=E160,I160,IF(C160=0,0,R159))</f>
        <v>0</v>
      </c>
      <c r="R160" s="84">
        <f t="shared" ca="1" si="20"/>
        <v>0</v>
      </c>
      <c r="S160" s="84">
        <f ca="1">IF('Invoer gegevens (N)'!$C$17=E160,M160,IF(C160=0,0,T159))</f>
        <v>0</v>
      </c>
      <c r="T160" s="84">
        <f t="shared" ca="1" si="29"/>
        <v>0</v>
      </c>
      <c r="AI160" s="71">
        <f ca="1">IF(C160=1,((F160+H160)/2*'Reeksen (N)'!AI160*12)+(('Invoer gegevens (N)'!$C$10-(F160+H160)/2)*'Reeksen (N)'!AD160*12),0)</f>
        <v>0</v>
      </c>
      <c r="AJ160" s="71">
        <f ca="1">-AI160*'Invoer gegevens (N)'!$F$28</f>
        <v>0</v>
      </c>
      <c r="AK160" s="71">
        <f t="shared" ca="1" si="24"/>
        <v>0</v>
      </c>
      <c r="AL160" s="71">
        <f ca="1">IF(C160=1,(12*((F160+H160)/2)*'Reeksen (N)'!AL160)+(12*('Invoer gegevens (N)'!$C$10-(F160+H160)/2)*'Reeksen (N)'!AM160),0)</f>
        <v>0</v>
      </c>
      <c r="AM160" s="71">
        <f ca="1">-AL160*'Invoer gegevens (N)'!$F$31</f>
        <v>0</v>
      </c>
      <c r="AN160" s="71">
        <f t="shared" ca="1" si="25"/>
        <v>0</v>
      </c>
      <c r="AO160" s="71"/>
      <c r="AP160" s="71"/>
      <c r="AQ160" s="71">
        <f ca="1">-IF(C160=1,('Invoer gegevens (N)'!$C$10*'Invoer gegevens (N)'!$F$35)*'Reeksen (N)'!J160,0)*2</f>
        <v>0</v>
      </c>
      <c r="AR160" s="71">
        <f ca="1">-IF(C160=1,(G160*'Invoer gegevens (N)'!$F$36)*'Reeksen (N)'!J160,0)</f>
        <v>0</v>
      </c>
      <c r="AS160" s="71">
        <f ca="1">-IF(C160=1,'Invoer gegevens (N)'!$C$10*'Invoer gegevens (N)'!$F$37*'Reeksen (N)'!L160,0)</f>
        <v>0</v>
      </c>
      <c r="AT160" s="71">
        <f ca="1">-IF(C160=1,IF(E160='Invoer gegevens (N)'!$C$17,'Invoer gegevens (N)'!$C$11,Q160)*'Reeksen (N)'!S160*'Invoer gegevens (N)'!$C$18*'Reeksen (N)'!P160,0)</f>
        <v>0</v>
      </c>
      <c r="AU160" s="71">
        <f ca="1">-IF(C160=1,'Invoer gegevens (N)'!$C$10*'Invoer gegevens (N)'!$F$38*'Reeksen (N)'!H160,0)</f>
        <v>0</v>
      </c>
      <c r="AV160" s="71">
        <v>0</v>
      </c>
      <c r="AW160" s="71">
        <f t="shared" ca="1" si="26"/>
        <v>0</v>
      </c>
      <c r="AX160" s="71">
        <f ca="1">IF(E160&lt;'Invoer gegevens (N)'!$C$17+15,0,IF('RW - MW - DE - DE (N)'!E160&gt;'Invoer gegevens (N)'!$C$17+215,0,'RW - MW - DE - DE (N)'!AW160))</f>
        <v>0</v>
      </c>
      <c r="AY160" s="71">
        <f ca="1">AX160/(1+'Invoer gegevens (N)'!$F$13)^($AZ160-('Invoer gegevens (N)'!$C$17-'Invoer gegevens (N)'!$C$16))/(1+'Invoer gegevens (N)'!$C$39)^('Invoer gegevens (N)'!$C$17-'Invoer gegevens (N)'!$C$16)</f>
        <v>0</v>
      </c>
      <c r="AZ160" s="68">
        <f ca="1">IF(E160-'Invoer gegevens (N)'!$C$17-14.5&lt;0,0,E160-'Invoer gegevens (N)'!$C$17-14.5)</f>
        <v>140.5</v>
      </c>
      <c r="BC160" s="71"/>
    </row>
    <row r="161" spans="2:55" s="230" customFormat="1" x14ac:dyDescent="0.25">
      <c r="B161" s="70">
        <f t="shared" si="27"/>
        <v>157</v>
      </c>
      <c r="C161" s="67">
        <f ca="1">IF(E161-'Invoer gegevens (N)'!$C$17&lt;0,0,1)</f>
        <v>1</v>
      </c>
      <c r="D161" s="68">
        <f t="shared" si="28"/>
        <v>156.5</v>
      </c>
      <c r="E161" s="69">
        <f ca="1">IF('Invoer gegevens (N)'!$C$16="","",E160+1)</f>
        <v>2175</v>
      </c>
      <c r="F161" s="82">
        <f ca="1">IF('Invoer gegevens (N)'!$C$17=E161,'Invoer gegevens (N)'!$C$10,IF(C161=1,H160,0))</f>
        <v>0</v>
      </c>
      <c r="G161" s="83">
        <f ca="1">IF(C161&gt;=1,F161*'Reeksen (N)'!C161,0)</f>
        <v>0</v>
      </c>
      <c r="H161" s="84">
        <f t="shared" ca="1" si="21"/>
        <v>0</v>
      </c>
      <c r="I161" s="85">
        <f ca="1">IF('Invoer gegevens (N)'!$C$17=E161,'Invoer gegevens (N)'!$C$11,IF(C161=1,L160,0))</f>
        <v>0</v>
      </c>
      <c r="J161" s="86">
        <f ca="1">IF(C161&lt;1,0,IF('Reeksen (N)'!AD161&lt;='Reeksen (N)'!AE161,I161*'Reeksen (N)'!C161,0))</f>
        <v>0</v>
      </c>
      <c r="K161" s="86">
        <f ca="1">IF(C161&lt;1,0,IF('Reeksen (N)'!AD161&gt;'Reeksen (N)'!AE161,I161*'Reeksen (N)'!C161,0))</f>
        <v>0</v>
      </c>
      <c r="L161" s="86">
        <f t="shared" ca="1" si="22"/>
        <v>0</v>
      </c>
      <c r="M161" s="85">
        <f ca="1">IF('Invoer gegevens (N)'!$C$17=E161,'Invoer gegevens (N)'!$C$10-'Invoer gegevens (N)'!$C$11,IF(C161=1,P160,0))</f>
        <v>0</v>
      </c>
      <c r="N161" s="86">
        <f ca="1">IF(C161&lt;1,0,IF('Reeksen (N)'!AD161&lt;='Reeksen (N)'!AE161,M161*'Reeksen (N)'!C161,0))</f>
        <v>0</v>
      </c>
      <c r="O161" s="86">
        <f ca="1">IF(C161&lt;1,0,IF('Reeksen (N)'!AD161&gt;'Reeksen (N)'!AE161,M161*'Reeksen (N)'!C161,0))</f>
        <v>0</v>
      </c>
      <c r="P161" s="86">
        <f t="shared" ca="1" si="23"/>
        <v>0</v>
      </c>
      <c r="Q161" s="82">
        <f ca="1">IF('Invoer gegevens (N)'!$C$17=E161,I161,IF(C161=0,0,R160))</f>
        <v>0</v>
      </c>
      <c r="R161" s="84">
        <f t="shared" ca="1" si="20"/>
        <v>0</v>
      </c>
      <c r="S161" s="84">
        <f ca="1">IF('Invoer gegevens (N)'!$C$17=E161,M161,IF(C161=0,0,T160))</f>
        <v>0</v>
      </c>
      <c r="T161" s="84">
        <f t="shared" ca="1" si="29"/>
        <v>0</v>
      </c>
      <c r="AI161" s="71">
        <f ca="1">IF(C161=1,((F161+H161)/2*'Reeksen (N)'!AI161*12)+(('Invoer gegevens (N)'!$C$10-(F161+H161)/2)*'Reeksen (N)'!AD161*12),0)</f>
        <v>0</v>
      </c>
      <c r="AJ161" s="71">
        <f ca="1">-AI161*'Invoer gegevens (N)'!$F$28</f>
        <v>0</v>
      </c>
      <c r="AK161" s="71">
        <f t="shared" ca="1" si="24"/>
        <v>0</v>
      </c>
      <c r="AL161" s="71">
        <f ca="1">IF(C161=1,(12*((F161+H161)/2)*'Reeksen (N)'!AL161)+(12*('Invoer gegevens (N)'!$C$10-(F161+H161)/2)*'Reeksen (N)'!AM161),0)</f>
        <v>0</v>
      </c>
      <c r="AM161" s="71">
        <f ca="1">-AL161*'Invoer gegevens (N)'!$F$31</f>
        <v>0</v>
      </c>
      <c r="AN161" s="71">
        <f t="shared" ca="1" si="25"/>
        <v>0</v>
      </c>
      <c r="AO161" s="71"/>
      <c r="AP161" s="71"/>
      <c r="AQ161" s="71">
        <f ca="1">-IF(C161=1,('Invoer gegevens (N)'!$C$10*'Invoer gegevens (N)'!$F$35)*'Reeksen (N)'!J161,0)*2</f>
        <v>0</v>
      </c>
      <c r="AR161" s="71">
        <f ca="1">-IF(C161=1,(G161*'Invoer gegevens (N)'!$F$36)*'Reeksen (N)'!J161,0)</f>
        <v>0</v>
      </c>
      <c r="AS161" s="71">
        <f ca="1">-IF(C161=1,'Invoer gegevens (N)'!$C$10*'Invoer gegevens (N)'!$F$37*'Reeksen (N)'!L161,0)</f>
        <v>0</v>
      </c>
      <c r="AT161" s="71">
        <f ca="1">-IF(C161=1,IF(E161='Invoer gegevens (N)'!$C$17,'Invoer gegevens (N)'!$C$11,Q161)*'Reeksen (N)'!S161*'Invoer gegevens (N)'!$C$18*'Reeksen (N)'!P161,0)</f>
        <v>0</v>
      </c>
      <c r="AU161" s="71">
        <f ca="1">-IF(C161=1,'Invoer gegevens (N)'!$C$10*'Invoer gegevens (N)'!$F$38*'Reeksen (N)'!H161,0)</f>
        <v>0</v>
      </c>
      <c r="AV161" s="71">
        <v>0</v>
      </c>
      <c r="AW161" s="71">
        <f t="shared" ca="1" si="26"/>
        <v>0</v>
      </c>
      <c r="AX161" s="71">
        <f ca="1">IF(E161&lt;'Invoer gegevens (N)'!$C$17+15,0,IF('RW - MW - DE - DE (N)'!E161&gt;'Invoer gegevens (N)'!$C$17+215,0,'RW - MW - DE - DE (N)'!AW161))</f>
        <v>0</v>
      </c>
      <c r="AY161" s="71">
        <f ca="1">AX161/(1+'Invoer gegevens (N)'!$F$13)^($AZ161-('Invoer gegevens (N)'!$C$17-'Invoer gegevens (N)'!$C$16))/(1+'Invoer gegevens (N)'!$C$39)^('Invoer gegevens (N)'!$C$17-'Invoer gegevens (N)'!$C$16)</f>
        <v>0</v>
      </c>
      <c r="AZ161" s="68">
        <f ca="1">IF(E161-'Invoer gegevens (N)'!$C$17-14.5&lt;0,0,E161-'Invoer gegevens (N)'!$C$17-14.5)</f>
        <v>141.5</v>
      </c>
      <c r="BC161" s="71"/>
    </row>
    <row r="162" spans="2:55" s="230" customFormat="1" x14ac:dyDescent="0.25">
      <c r="B162" s="70">
        <f t="shared" si="27"/>
        <v>158</v>
      </c>
      <c r="C162" s="67">
        <f ca="1">IF(E162-'Invoer gegevens (N)'!$C$17&lt;0,0,1)</f>
        <v>1</v>
      </c>
      <c r="D162" s="68">
        <f t="shared" si="28"/>
        <v>157.5</v>
      </c>
      <c r="E162" s="69">
        <f ca="1">IF('Invoer gegevens (N)'!$C$16="","",E161+1)</f>
        <v>2176</v>
      </c>
      <c r="F162" s="82">
        <f ca="1">IF('Invoer gegevens (N)'!$C$17=E162,'Invoer gegevens (N)'!$C$10,IF(C162=1,H161,0))</f>
        <v>0</v>
      </c>
      <c r="G162" s="83">
        <f ca="1">IF(C162&gt;=1,F162*'Reeksen (N)'!C162,0)</f>
        <v>0</v>
      </c>
      <c r="H162" s="84">
        <f t="shared" ca="1" si="21"/>
        <v>0</v>
      </c>
      <c r="I162" s="85">
        <f ca="1">IF('Invoer gegevens (N)'!$C$17=E162,'Invoer gegevens (N)'!$C$11,IF(C162=1,L161,0))</f>
        <v>0</v>
      </c>
      <c r="J162" s="86">
        <f ca="1">IF(C162&lt;1,0,IF('Reeksen (N)'!AD162&lt;='Reeksen (N)'!AE162,I162*'Reeksen (N)'!C162,0))</f>
        <v>0</v>
      </c>
      <c r="K162" s="86">
        <f ca="1">IF(C162&lt;1,0,IF('Reeksen (N)'!AD162&gt;'Reeksen (N)'!AE162,I162*'Reeksen (N)'!C162,0))</f>
        <v>0</v>
      </c>
      <c r="L162" s="86">
        <f t="shared" ca="1" si="22"/>
        <v>0</v>
      </c>
      <c r="M162" s="85">
        <f ca="1">IF('Invoer gegevens (N)'!$C$17=E162,'Invoer gegevens (N)'!$C$10-'Invoer gegevens (N)'!$C$11,IF(C162=1,P161,0))</f>
        <v>0</v>
      </c>
      <c r="N162" s="86">
        <f ca="1">IF(C162&lt;1,0,IF('Reeksen (N)'!AD162&lt;='Reeksen (N)'!AE162,M162*'Reeksen (N)'!C162,0))</f>
        <v>0</v>
      </c>
      <c r="O162" s="86">
        <f ca="1">IF(C162&lt;1,0,IF('Reeksen (N)'!AD162&gt;'Reeksen (N)'!AE162,M162*'Reeksen (N)'!C162,0))</f>
        <v>0</v>
      </c>
      <c r="P162" s="86">
        <f t="shared" ca="1" si="23"/>
        <v>0</v>
      </c>
      <c r="Q162" s="82">
        <f ca="1">IF('Invoer gegevens (N)'!$C$17=E162,I162,IF(C162=0,0,R161))</f>
        <v>0</v>
      </c>
      <c r="R162" s="84">
        <f t="shared" ca="1" si="20"/>
        <v>0</v>
      </c>
      <c r="S162" s="84">
        <f ca="1">IF('Invoer gegevens (N)'!$C$17=E162,M162,IF(C162=0,0,T161))</f>
        <v>0</v>
      </c>
      <c r="T162" s="84">
        <f t="shared" ca="1" si="29"/>
        <v>0</v>
      </c>
      <c r="AI162" s="71">
        <f ca="1">IF(C162=1,((F162+H162)/2*'Reeksen (N)'!AI162*12)+(('Invoer gegevens (N)'!$C$10-(F162+H162)/2)*'Reeksen (N)'!AD162*12),0)</f>
        <v>0</v>
      </c>
      <c r="AJ162" s="71">
        <f ca="1">-AI162*'Invoer gegevens (N)'!$F$28</f>
        <v>0</v>
      </c>
      <c r="AK162" s="71">
        <f t="shared" ca="1" si="24"/>
        <v>0</v>
      </c>
      <c r="AL162" s="71">
        <f ca="1">IF(C162=1,(12*((F162+H162)/2)*'Reeksen (N)'!AL162)+(12*('Invoer gegevens (N)'!$C$10-(F162+H162)/2)*'Reeksen (N)'!AM162),0)</f>
        <v>0</v>
      </c>
      <c r="AM162" s="71">
        <f ca="1">-AL162*'Invoer gegevens (N)'!$F$31</f>
        <v>0</v>
      </c>
      <c r="AN162" s="71">
        <f t="shared" ca="1" si="25"/>
        <v>0</v>
      </c>
      <c r="AO162" s="71"/>
      <c r="AP162" s="71"/>
      <c r="AQ162" s="71">
        <f ca="1">-IF(C162=1,('Invoer gegevens (N)'!$C$10*'Invoer gegevens (N)'!$F$35)*'Reeksen (N)'!J162,0)*2</f>
        <v>0</v>
      </c>
      <c r="AR162" s="71">
        <f ca="1">-IF(C162=1,(G162*'Invoer gegevens (N)'!$F$36)*'Reeksen (N)'!J162,0)</f>
        <v>0</v>
      </c>
      <c r="AS162" s="71">
        <f ca="1">-IF(C162=1,'Invoer gegevens (N)'!$C$10*'Invoer gegevens (N)'!$F$37*'Reeksen (N)'!L162,0)</f>
        <v>0</v>
      </c>
      <c r="AT162" s="71">
        <f ca="1">-IF(C162=1,IF(E162='Invoer gegevens (N)'!$C$17,'Invoer gegevens (N)'!$C$11,Q162)*'Reeksen (N)'!S162*'Invoer gegevens (N)'!$C$18*'Reeksen (N)'!P162,0)</f>
        <v>0</v>
      </c>
      <c r="AU162" s="71">
        <f ca="1">-IF(C162=1,'Invoer gegevens (N)'!$C$10*'Invoer gegevens (N)'!$F$38*'Reeksen (N)'!H162,0)</f>
        <v>0</v>
      </c>
      <c r="AV162" s="71">
        <v>0</v>
      </c>
      <c r="AW162" s="71">
        <f t="shared" ca="1" si="26"/>
        <v>0</v>
      </c>
      <c r="AX162" s="71">
        <f ca="1">IF(E162&lt;'Invoer gegevens (N)'!$C$17+15,0,IF('RW - MW - DE - DE (N)'!E162&gt;'Invoer gegevens (N)'!$C$17+215,0,'RW - MW - DE - DE (N)'!AW162))</f>
        <v>0</v>
      </c>
      <c r="AY162" s="71">
        <f ca="1">AX162/(1+'Invoer gegevens (N)'!$F$13)^($AZ162-('Invoer gegevens (N)'!$C$17-'Invoer gegevens (N)'!$C$16))/(1+'Invoer gegevens (N)'!$C$39)^('Invoer gegevens (N)'!$C$17-'Invoer gegevens (N)'!$C$16)</f>
        <v>0</v>
      </c>
      <c r="AZ162" s="68">
        <f ca="1">IF(E162-'Invoer gegevens (N)'!$C$17-14.5&lt;0,0,E162-'Invoer gegevens (N)'!$C$17-14.5)</f>
        <v>142.5</v>
      </c>
      <c r="BC162" s="71"/>
    </row>
    <row r="163" spans="2:55" s="230" customFormat="1" x14ac:dyDescent="0.25">
      <c r="B163" s="70">
        <f t="shared" si="27"/>
        <v>159</v>
      </c>
      <c r="C163" s="67">
        <f ca="1">IF(E163-'Invoer gegevens (N)'!$C$17&lt;0,0,1)</f>
        <v>1</v>
      </c>
      <c r="D163" s="68">
        <f t="shared" si="28"/>
        <v>158.5</v>
      </c>
      <c r="E163" s="69">
        <f ca="1">IF('Invoer gegevens (N)'!$C$16="","",E162+1)</f>
        <v>2177</v>
      </c>
      <c r="F163" s="82">
        <f ca="1">IF('Invoer gegevens (N)'!$C$17=E163,'Invoer gegevens (N)'!$C$10,IF(C163=1,H162,0))</f>
        <v>0</v>
      </c>
      <c r="G163" s="83">
        <f ca="1">IF(C163&gt;=1,F163*'Reeksen (N)'!C163,0)</f>
        <v>0</v>
      </c>
      <c r="H163" s="84">
        <f t="shared" ca="1" si="21"/>
        <v>0</v>
      </c>
      <c r="I163" s="85">
        <f ca="1">IF('Invoer gegevens (N)'!$C$17=E163,'Invoer gegevens (N)'!$C$11,IF(C163=1,L162,0))</f>
        <v>0</v>
      </c>
      <c r="J163" s="86">
        <f ca="1">IF(C163&lt;1,0,IF('Reeksen (N)'!AD163&lt;='Reeksen (N)'!AE163,I163*'Reeksen (N)'!C163,0))</f>
        <v>0</v>
      </c>
      <c r="K163" s="86">
        <f ca="1">IF(C163&lt;1,0,IF('Reeksen (N)'!AD163&gt;'Reeksen (N)'!AE163,I163*'Reeksen (N)'!C163,0))</f>
        <v>0</v>
      </c>
      <c r="L163" s="86">
        <f t="shared" ca="1" si="22"/>
        <v>0</v>
      </c>
      <c r="M163" s="85">
        <f ca="1">IF('Invoer gegevens (N)'!$C$17=E163,'Invoer gegevens (N)'!$C$10-'Invoer gegevens (N)'!$C$11,IF(C163=1,P162,0))</f>
        <v>0</v>
      </c>
      <c r="N163" s="86">
        <f ca="1">IF(C163&lt;1,0,IF('Reeksen (N)'!AD163&lt;='Reeksen (N)'!AE163,M163*'Reeksen (N)'!C163,0))</f>
        <v>0</v>
      </c>
      <c r="O163" s="86">
        <f ca="1">IF(C163&lt;1,0,IF('Reeksen (N)'!AD163&gt;'Reeksen (N)'!AE163,M163*'Reeksen (N)'!C163,0))</f>
        <v>0</v>
      </c>
      <c r="P163" s="86">
        <f t="shared" ca="1" si="23"/>
        <v>0</v>
      </c>
      <c r="Q163" s="82">
        <f ca="1">IF('Invoer gegevens (N)'!$C$17=E163,I163,IF(C163=0,0,R162))</f>
        <v>0</v>
      </c>
      <c r="R163" s="84">
        <f t="shared" ca="1" si="20"/>
        <v>0</v>
      </c>
      <c r="S163" s="84">
        <f ca="1">IF('Invoer gegevens (N)'!$C$17=E163,M163,IF(C163=0,0,T162))</f>
        <v>0</v>
      </c>
      <c r="T163" s="84">
        <f t="shared" ca="1" si="29"/>
        <v>0</v>
      </c>
      <c r="AI163" s="71">
        <f ca="1">IF(C163=1,((F163+H163)/2*'Reeksen (N)'!AI163*12)+(('Invoer gegevens (N)'!$C$10-(F163+H163)/2)*'Reeksen (N)'!AD163*12),0)</f>
        <v>0</v>
      </c>
      <c r="AJ163" s="71">
        <f ca="1">-AI163*'Invoer gegevens (N)'!$F$28</f>
        <v>0</v>
      </c>
      <c r="AK163" s="71">
        <f t="shared" ca="1" si="24"/>
        <v>0</v>
      </c>
      <c r="AL163" s="71">
        <f ca="1">IF(C163=1,(12*((F163+H163)/2)*'Reeksen (N)'!AL163)+(12*('Invoer gegevens (N)'!$C$10-(F163+H163)/2)*'Reeksen (N)'!AM163),0)</f>
        <v>0</v>
      </c>
      <c r="AM163" s="71">
        <f ca="1">-AL163*'Invoer gegevens (N)'!$F$31</f>
        <v>0</v>
      </c>
      <c r="AN163" s="71">
        <f t="shared" ca="1" si="25"/>
        <v>0</v>
      </c>
      <c r="AO163" s="71"/>
      <c r="AP163" s="71"/>
      <c r="AQ163" s="71">
        <f ca="1">-IF(C163=1,('Invoer gegevens (N)'!$C$10*'Invoer gegevens (N)'!$F$35)*'Reeksen (N)'!J163,0)*2</f>
        <v>0</v>
      </c>
      <c r="AR163" s="71">
        <f ca="1">-IF(C163=1,(G163*'Invoer gegevens (N)'!$F$36)*'Reeksen (N)'!J163,0)</f>
        <v>0</v>
      </c>
      <c r="AS163" s="71">
        <f ca="1">-IF(C163=1,'Invoer gegevens (N)'!$C$10*'Invoer gegevens (N)'!$F$37*'Reeksen (N)'!L163,0)</f>
        <v>0</v>
      </c>
      <c r="AT163" s="71">
        <f ca="1">-IF(C163=1,IF(E163='Invoer gegevens (N)'!$C$17,'Invoer gegevens (N)'!$C$11,Q163)*'Reeksen (N)'!S163*'Invoer gegevens (N)'!$C$18*'Reeksen (N)'!P163,0)</f>
        <v>0</v>
      </c>
      <c r="AU163" s="71">
        <f ca="1">-IF(C163=1,'Invoer gegevens (N)'!$C$10*'Invoer gegevens (N)'!$F$38*'Reeksen (N)'!H163,0)</f>
        <v>0</v>
      </c>
      <c r="AV163" s="71">
        <v>0</v>
      </c>
      <c r="AW163" s="71">
        <f t="shared" ca="1" si="26"/>
        <v>0</v>
      </c>
      <c r="AX163" s="71">
        <f ca="1">IF(E163&lt;'Invoer gegevens (N)'!$C$17+15,0,IF('RW - MW - DE - DE (N)'!E163&gt;'Invoer gegevens (N)'!$C$17+215,0,'RW - MW - DE - DE (N)'!AW163))</f>
        <v>0</v>
      </c>
      <c r="AY163" s="71">
        <f ca="1">AX163/(1+'Invoer gegevens (N)'!$F$13)^($AZ163-('Invoer gegevens (N)'!$C$17-'Invoer gegevens (N)'!$C$16))/(1+'Invoer gegevens (N)'!$C$39)^('Invoer gegevens (N)'!$C$17-'Invoer gegevens (N)'!$C$16)</f>
        <v>0</v>
      </c>
      <c r="AZ163" s="68">
        <f ca="1">IF(E163-'Invoer gegevens (N)'!$C$17-14.5&lt;0,0,E163-'Invoer gegevens (N)'!$C$17-14.5)</f>
        <v>143.5</v>
      </c>
      <c r="BC163" s="71"/>
    </row>
    <row r="164" spans="2:55" s="230" customFormat="1" x14ac:dyDescent="0.25">
      <c r="B164" s="70">
        <f t="shared" si="27"/>
        <v>160</v>
      </c>
      <c r="C164" s="67">
        <f ca="1">IF(E164-'Invoer gegevens (N)'!$C$17&lt;0,0,1)</f>
        <v>1</v>
      </c>
      <c r="D164" s="68">
        <f t="shared" si="28"/>
        <v>159.5</v>
      </c>
      <c r="E164" s="69">
        <f ca="1">IF('Invoer gegevens (N)'!$C$16="","",E163+1)</f>
        <v>2178</v>
      </c>
      <c r="F164" s="82">
        <f ca="1">IF('Invoer gegevens (N)'!$C$17=E164,'Invoer gegevens (N)'!$C$10,IF(C164=1,H163,0))</f>
        <v>0</v>
      </c>
      <c r="G164" s="83">
        <f ca="1">IF(C164&gt;=1,F164*'Reeksen (N)'!C164,0)</f>
        <v>0</v>
      </c>
      <c r="H164" s="84">
        <f t="shared" ca="1" si="21"/>
        <v>0</v>
      </c>
      <c r="I164" s="85">
        <f ca="1">IF('Invoer gegevens (N)'!$C$17=E164,'Invoer gegevens (N)'!$C$11,IF(C164=1,L163,0))</f>
        <v>0</v>
      </c>
      <c r="J164" s="86">
        <f ca="1">IF(C164&lt;1,0,IF('Reeksen (N)'!AD164&lt;='Reeksen (N)'!AE164,I164*'Reeksen (N)'!C164,0))</f>
        <v>0</v>
      </c>
      <c r="K164" s="86">
        <f ca="1">IF(C164&lt;1,0,IF('Reeksen (N)'!AD164&gt;'Reeksen (N)'!AE164,I164*'Reeksen (N)'!C164,0))</f>
        <v>0</v>
      </c>
      <c r="L164" s="86">
        <f t="shared" ca="1" si="22"/>
        <v>0</v>
      </c>
      <c r="M164" s="85">
        <f ca="1">IF('Invoer gegevens (N)'!$C$17=E164,'Invoer gegevens (N)'!$C$10-'Invoer gegevens (N)'!$C$11,IF(C164=1,P163,0))</f>
        <v>0</v>
      </c>
      <c r="N164" s="86">
        <f ca="1">IF(C164&lt;1,0,IF('Reeksen (N)'!AD164&lt;='Reeksen (N)'!AE164,M164*'Reeksen (N)'!C164,0))</f>
        <v>0</v>
      </c>
      <c r="O164" s="86">
        <f ca="1">IF(C164&lt;1,0,IF('Reeksen (N)'!AD164&gt;'Reeksen (N)'!AE164,M164*'Reeksen (N)'!C164,0))</f>
        <v>0</v>
      </c>
      <c r="P164" s="86">
        <f t="shared" ca="1" si="23"/>
        <v>0</v>
      </c>
      <c r="Q164" s="82">
        <f ca="1">IF('Invoer gegevens (N)'!$C$17=E164,I164,IF(C164=0,0,R163))</f>
        <v>0</v>
      </c>
      <c r="R164" s="84">
        <f t="shared" ca="1" si="20"/>
        <v>0</v>
      </c>
      <c r="S164" s="84">
        <f ca="1">IF('Invoer gegevens (N)'!$C$17=E164,M164,IF(C164=0,0,T163))</f>
        <v>0</v>
      </c>
      <c r="T164" s="84">
        <f t="shared" ca="1" si="29"/>
        <v>0</v>
      </c>
      <c r="AI164" s="71">
        <f ca="1">IF(C164=1,((F164+H164)/2*'Reeksen (N)'!AI164*12)+(('Invoer gegevens (N)'!$C$10-(F164+H164)/2)*'Reeksen (N)'!AD164*12),0)</f>
        <v>0</v>
      </c>
      <c r="AJ164" s="71">
        <f ca="1">-AI164*'Invoer gegevens (N)'!$F$28</f>
        <v>0</v>
      </c>
      <c r="AK164" s="71">
        <f t="shared" ca="1" si="24"/>
        <v>0</v>
      </c>
      <c r="AL164" s="71">
        <f ca="1">IF(C164=1,(12*((F164+H164)/2)*'Reeksen (N)'!AL164)+(12*('Invoer gegevens (N)'!$C$10-(F164+H164)/2)*'Reeksen (N)'!AM164),0)</f>
        <v>0</v>
      </c>
      <c r="AM164" s="71">
        <f ca="1">-AL164*'Invoer gegevens (N)'!$F$31</f>
        <v>0</v>
      </c>
      <c r="AN164" s="71">
        <f t="shared" ca="1" si="25"/>
        <v>0</v>
      </c>
      <c r="AO164" s="71"/>
      <c r="AP164" s="71"/>
      <c r="AQ164" s="71">
        <f ca="1">-IF(C164=1,('Invoer gegevens (N)'!$C$10*'Invoer gegevens (N)'!$F$35)*'Reeksen (N)'!J164,0)*2</f>
        <v>0</v>
      </c>
      <c r="AR164" s="71">
        <f ca="1">-IF(C164=1,(G164*'Invoer gegevens (N)'!$F$36)*'Reeksen (N)'!J164,0)</f>
        <v>0</v>
      </c>
      <c r="AS164" s="71">
        <f ca="1">-IF(C164=1,'Invoer gegevens (N)'!$C$10*'Invoer gegevens (N)'!$F$37*'Reeksen (N)'!L164,0)</f>
        <v>0</v>
      </c>
      <c r="AT164" s="71">
        <f ca="1">-IF(C164=1,IF(E164='Invoer gegevens (N)'!$C$17,'Invoer gegevens (N)'!$C$11,Q164)*'Reeksen (N)'!S164*'Invoer gegevens (N)'!$C$18*'Reeksen (N)'!P164,0)</f>
        <v>0</v>
      </c>
      <c r="AU164" s="71">
        <f ca="1">-IF(C164=1,'Invoer gegevens (N)'!$C$10*'Invoer gegevens (N)'!$F$38*'Reeksen (N)'!H164,0)</f>
        <v>0</v>
      </c>
      <c r="AV164" s="71">
        <v>0</v>
      </c>
      <c r="AW164" s="71">
        <f t="shared" ca="1" si="26"/>
        <v>0</v>
      </c>
      <c r="AX164" s="71">
        <f ca="1">IF(E164&lt;'Invoer gegevens (N)'!$C$17+15,0,IF('RW - MW - DE - DE (N)'!E164&gt;'Invoer gegevens (N)'!$C$17+215,0,'RW - MW - DE - DE (N)'!AW164))</f>
        <v>0</v>
      </c>
      <c r="AY164" s="71">
        <f ca="1">AX164/(1+'Invoer gegevens (N)'!$F$13)^($AZ164-('Invoer gegevens (N)'!$C$17-'Invoer gegevens (N)'!$C$16))/(1+'Invoer gegevens (N)'!$C$39)^('Invoer gegevens (N)'!$C$17-'Invoer gegevens (N)'!$C$16)</f>
        <v>0</v>
      </c>
      <c r="AZ164" s="68">
        <f ca="1">IF(E164-'Invoer gegevens (N)'!$C$17-14.5&lt;0,0,E164-'Invoer gegevens (N)'!$C$17-14.5)</f>
        <v>144.5</v>
      </c>
      <c r="BC164" s="71"/>
    </row>
    <row r="165" spans="2:55" s="230" customFormat="1" x14ac:dyDescent="0.25">
      <c r="B165" s="70">
        <f t="shared" si="27"/>
        <v>161</v>
      </c>
      <c r="C165" s="67">
        <f ca="1">IF(E165-'Invoer gegevens (N)'!$C$17&lt;0,0,1)</f>
        <v>1</v>
      </c>
      <c r="D165" s="68">
        <f t="shared" si="28"/>
        <v>160.5</v>
      </c>
      <c r="E165" s="69">
        <f ca="1">IF('Invoer gegevens (N)'!$C$16="","",E164+1)</f>
        <v>2179</v>
      </c>
      <c r="F165" s="82">
        <f ca="1">IF('Invoer gegevens (N)'!$C$17=E165,'Invoer gegevens (N)'!$C$10,IF(C165=1,H164,0))</f>
        <v>0</v>
      </c>
      <c r="G165" s="83">
        <f ca="1">IF(C165&gt;=1,F165*'Reeksen (N)'!C165,0)</f>
        <v>0</v>
      </c>
      <c r="H165" s="84">
        <f t="shared" ca="1" si="21"/>
        <v>0</v>
      </c>
      <c r="I165" s="85">
        <f ca="1">IF('Invoer gegevens (N)'!$C$17=E165,'Invoer gegevens (N)'!$C$11,IF(C165=1,L164,0))</f>
        <v>0</v>
      </c>
      <c r="J165" s="86">
        <f ca="1">IF(C165&lt;1,0,IF('Reeksen (N)'!AD165&lt;='Reeksen (N)'!AE165,I165*'Reeksen (N)'!C165,0))</f>
        <v>0</v>
      </c>
      <c r="K165" s="86">
        <f ca="1">IF(C165&lt;1,0,IF('Reeksen (N)'!AD165&gt;'Reeksen (N)'!AE165,I165*'Reeksen (N)'!C165,0))</f>
        <v>0</v>
      </c>
      <c r="L165" s="86">
        <f t="shared" ca="1" si="22"/>
        <v>0</v>
      </c>
      <c r="M165" s="85">
        <f ca="1">IF('Invoer gegevens (N)'!$C$17=E165,'Invoer gegevens (N)'!$C$10-'Invoer gegevens (N)'!$C$11,IF(C165=1,P164,0))</f>
        <v>0</v>
      </c>
      <c r="N165" s="86">
        <f ca="1">IF(C165&lt;1,0,IF('Reeksen (N)'!AD165&lt;='Reeksen (N)'!AE165,M165*'Reeksen (N)'!C165,0))</f>
        <v>0</v>
      </c>
      <c r="O165" s="86">
        <f ca="1">IF(C165&lt;1,0,IF('Reeksen (N)'!AD165&gt;'Reeksen (N)'!AE165,M165*'Reeksen (N)'!C165,0))</f>
        <v>0</v>
      </c>
      <c r="P165" s="86">
        <f t="shared" ca="1" si="23"/>
        <v>0</v>
      </c>
      <c r="Q165" s="82">
        <f ca="1">IF('Invoer gegevens (N)'!$C$17=E165,I165,IF(C165=0,0,R164))</f>
        <v>0</v>
      </c>
      <c r="R165" s="84">
        <f t="shared" ca="1" si="20"/>
        <v>0</v>
      </c>
      <c r="S165" s="84">
        <f ca="1">IF('Invoer gegevens (N)'!$C$17=E165,M165,IF(C165=0,0,T164))</f>
        <v>0</v>
      </c>
      <c r="T165" s="84">
        <f t="shared" ca="1" si="29"/>
        <v>0</v>
      </c>
      <c r="AI165" s="71">
        <f ca="1">IF(C165=1,((F165+H165)/2*'Reeksen (N)'!AI165*12)+(('Invoer gegevens (N)'!$C$10-(F165+H165)/2)*'Reeksen (N)'!AD165*12),0)</f>
        <v>0</v>
      </c>
      <c r="AJ165" s="71">
        <f ca="1">-AI165*'Invoer gegevens (N)'!$F$28</f>
        <v>0</v>
      </c>
      <c r="AK165" s="71">
        <f t="shared" ca="1" si="24"/>
        <v>0</v>
      </c>
      <c r="AL165" s="71">
        <f ca="1">IF(C165=1,(12*((F165+H165)/2)*'Reeksen (N)'!AL165)+(12*('Invoer gegevens (N)'!$C$10-(F165+H165)/2)*'Reeksen (N)'!AM165),0)</f>
        <v>0</v>
      </c>
      <c r="AM165" s="71">
        <f ca="1">-AL165*'Invoer gegevens (N)'!$F$31</f>
        <v>0</v>
      </c>
      <c r="AN165" s="71">
        <f t="shared" ca="1" si="25"/>
        <v>0</v>
      </c>
      <c r="AO165" s="71"/>
      <c r="AP165" s="71"/>
      <c r="AQ165" s="71">
        <f ca="1">-IF(C165=1,('Invoer gegevens (N)'!$C$10*'Invoer gegevens (N)'!$F$35)*'Reeksen (N)'!J165,0)*2</f>
        <v>0</v>
      </c>
      <c r="AR165" s="71">
        <f ca="1">-IF(C165=1,(G165*'Invoer gegevens (N)'!$F$36)*'Reeksen (N)'!J165,0)</f>
        <v>0</v>
      </c>
      <c r="AS165" s="71">
        <f ca="1">-IF(C165=1,'Invoer gegevens (N)'!$C$10*'Invoer gegevens (N)'!$F$37*'Reeksen (N)'!L165,0)</f>
        <v>0</v>
      </c>
      <c r="AT165" s="71">
        <f ca="1">-IF(C165=1,IF(E165='Invoer gegevens (N)'!$C$17,'Invoer gegevens (N)'!$C$11,Q165)*'Reeksen (N)'!S165*'Invoer gegevens (N)'!$C$18*'Reeksen (N)'!P165,0)</f>
        <v>0</v>
      </c>
      <c r="AU165" s="71">
        <f ca="1">-IF(C165=1,'Invoer gegevens (N)'!$C$10*'Invoer gegevens (N)'!$F$38*'Reeksen (N)'!H165,0)</f>
        <v>0</v>
      </c>
      <c r="AV165" s="71">
        <v>0</v>
      </c>
      <c r="AW165" s="71">
        <f t="shared" ca="1" si="26"/>
        <v>0</v>
      </c>
      <c r="AX165" s="71">
        <f ca="1">IF(E165&lt;'Invoer gegevens (N)'!$C$17+15,0,IF('RW - MW - DE - DE (N)'!E165&gt;'Invoer gegevens (N)'!$C$17+215,0,'RW - MW - DE - DE (N)'!AW165))</f>
        <v>0</v>
      </c>
      <c r="AY165" s="71">
        <f ca="1">AX165/(1+'Invoer gegevens (N)'!$F$13)^($AZ165-('Invoer gegevens (N)'!$C$17-'Invoer gegevens (N)'!$C$16))/(1+'Invoer gegevens (N)'!$C$39)^('Invoer gegevens (N)'!$C$17-'Invoer gegevens (N)'!$C$16)</f>
        <v>0</v>
      </c>
      <c r="AZ165" s="68">
        <f ca="1">IF(E165-'Invoer gegevens (N)'!$C$17-14.5&lt;0,0,E165-'Invoer gegevens (N)'!$C$17-14.5)</f>
        <v>145.5</v>
      </c>
      <c r="BC165" s="71"/>
    </row>
    <row r="166" spans="2:55" s="230" customFormat="1" x14ac:dyDescent="0.25">
      <c r="B166" s="70">
        <f t="shared" si="27"/>
        <v>162</v>
      </c>
      <c r="C166" s="67">
        <f ca="1">IF(E166-'Invoer gegevens (N)'!$C$17&lt;0,0,1)</f>
        <v>1</v>
      </c>
      <c r="D166" s="68">
        <f t="shared" si="28"/>
        <v>161.5</v>
      </c>
      <c r="E166" s="69">
        <f ca="1">IF('Invoer gegevens (N)'!$C$16="","",E165+1)</f>
        <v>2180</v>
      </c>
      <c r="F166" s="82">
        <f ca="1">IF('Invoer gegevens (N)'!$C$17=E166,'Invoer gegevens (N)'!$C$10,IF(C166=1,H165,0))</f>
        <v>0</v>
      </c>
      <c r="G166" s="83">
        <f ca="1">IF(C166&gt;=1,F166*'Reeksen (N)'!C166,0)</f>
        <v>0</v>
      </c>
      <c r="H166" s="84">
        <f t="shared" ca="1" si="21"/>
        <v>0</v>
      </c>
      <c r="I166" s="85">
        <f ca="1">IF('Invoer gegevens (N)'!$C$17=E166,'Invoer gegevens (N)'!$C$11,IF(C166=1,L165,0))</f>
        <v>0</v>
      </c>
      <c r="J166" s="86">
        <f ca="1">IF(C166&lt;1,0,IF('Reeksen (N)'!AD166&lt;='Reeksen (N)'!AE166,I166*'Reeksen (N)'!C166,0))</f>
        <v>0</v>
      </c>
      <c r="K166" s="86">
        <f ca="1">IF(C166&lt;1,0,IF('Reeksen (N)'!AD166&gt;'Reeksen (N)'!AE166,I166*'Reeksen (N)'!C166,0))</f>
        <v>0</v>
      </c>
      <c r="L166" s="86">
        <f t="shared" ca="1" si="22"/>
        <v>0</v>
      </c>
      <c r="M166" s="85">
        <f ca="1">IF('Invoer gegevens (N)'!$C$17=E166,'Invoer gegevens (N)'!$C$10-'Invoer gegevens (N)'!$C$11,IF(C166=1,P165,0))</f>
        <v>0</v>
      </c>
      <c r="N166" s="86">
        <f ca="1">IF(C166&lt;1,0,IF('Reeksen (N)'!AD166&lt;='Reeksen (N)'!AE166,M166*'Reeksen (N)'!C166,0))</f>
        <v>0</v>
      </c>
      <c r="O166" s="86">
        <f ca="1">IF(C166&lt;1,0,IF('Reeksen (N)'!AD166&gt;'Reeksen (N)'!AE166,M166*'Reeksen (N)'!C166,0))</f>
        <v>0</v>
      </c>
      <c r="P166" s="86">
        <f t="shared" ca="1" si="23"/>
        <v>0</v>
      </c>
      <c r="Q166" s="82">
        <f ca="1">IF('Invoer gegevens (N)'!$C$17=E166,I166,IF(C166=0,0,R165))</f>
        <v>0</v>
      </c>
      <c r="R166" s="84">
        <f t="shared" ca="1" si="20"/>
        <v>0</v>
      </c>
      <c r="S166" s="84">
        <f ca="1">IF('Invoer gegevens (N)'!$C$17=E166,M166,IF(C166=0,0,T165))</f>
        <v>0</v>
      </c>
      <c r="T166" s="84">
        <f t="shared" ca="1" si="29"/>
        <v>0</v>
      </c>
      <c r="AI166" s="71">
        <f ca="1">IF(C166=1,((F166+H166)/2*'Reeksen (N)'!AI166*12)+(('Invoer gegevens (N)'!$C$10-(F166+H166)/2)*'Reeksen (N)'!AD166*12),0)</f>
        <v>0</v>
      </c>
      <c r="AJ166" s="71">
        <f ca="1">-AI166*'Invoer gegevens (N)'!$F$28</f>
        <v>0</v>
      </c>
      <c r="AK166" s="71">
        <f t="shared" ca="1" si="24"/>
        <v>0</v>
      </c>
      <c r="AL166" s="71">
        <f ca="1">IF(C166=1,(12*((F166+H166)/2)*'Reeksen (N)'!AL166)+(12*('Invoer gegevens (N)'!$C$10-(F166+H166)/2)*'Reeksen (N)'!AM166),0)</f>
        <v>0</v>
      </c>
      <c r="AM166" s="71">
        <f ca="1">-AL166*'Invoer gegevens (N)'!$F$31</f>
        <v>0</v>
      </c>
      <c r="AN166" s="71">
        <f t="shared" ca="1" si="25"/>
        <v>0</v>
      </c>
      <c r="AO166" s="71"/>
      <c r="AP166" s="71"/>
      <c r="AQ166" s="71">
        <f ca="1">-IF(C166=1,('Invoer gegevens (N)'!$C$10*'Invoer gegevens (N)'!$F$35)*'Reeksen (N)'!J166,0)*2</f>
        <v>0</v>
      </c>
      <c r="AR166" s="71">
        <f ca="1">-IF(C166=1,(G166*'Invoer gegevens (N)'!$F$36)*'Reeksen (N)'!J166,0)</f>
        <v>0</v>
      </c>
      <c r="AS166" s="71">
        <f ca="1">-IF(C166=1,'Invoer gegevens (N)'!$C$10*'Invoer gegevens (N)'!$F$37*'Reeksen (N)'!L166,0)</f>
        <v>0</v>
      </c>
      <c r="AT166" s="71">
        <f ca="1">-IF(C166=1,IF(E166='Invoer gegevens (N)'!$C$17,'Invoer gegevens (N)'!$C$11,Q166)*'Reeksen (N)'!S166*'Invoer gegevens (N)'!$C$18*'Reeksen (N)'!P166,0)</f>
        <v>0</v>
      </c>
      <c r="AU166" s="71">
        <f ca="1">-IF(C166=1,'Invoer gegevens (N)'!$C$10*'Invoer gegevens (N)'!$F$38*'Reeksen (N)'!H166,0)</f>
        <v>0</v>
      </c>
      <c r="AV166" s="71">
        <v>0</v>
      </c>
      <c r="AW166" s="71">
        <f t="shared" ca="1" si="26"/>
        <v>0</v>
      </c>
      <c r="AX166" s="71">
        <f ca="1">IF(E166&lt;'Invoer gegevens (N)'!$C$17+15,0,IF('RW - MW - DE - DE (N)'!E166&gt;'Invoer gegevens (N)'!$C$17+215,0,'RW - MW - DE - DE (N)'!AW166))</f>
        <v>0</v>
      </c>
      <c r="AY166" s="71">
        <f ca="1">AX166/(1+'Invoer gegevens (N)'!$F$13)^($AZ166-('Invoer gegevens (N)'!$C$17-'Invoer gegevens (N)'!$C$16))/(1+'Invoer gegevens (N)'!$C$39)^('Invoer gegevens (N)'!$C$17-'Invoer gegevens (N)'!$C$16)</f>
        <v>0</v>
      </c>
      <c r="AZ166" s="68">
        <f ca="1">IF(E166-'Invoer gegevens (N)'!$C$17-14.5&lt;0,0,E166-'Invoer gegevens (N)'!$C$17-14.5)</f>
        <v>146.5</v>
      </c>
      <c r="BC166" s="71"/>
    </row>
    <row r="167" spans="2:55" s="230" customFormat="1" x14ac:dyDescent="0.25">
      <c r="B167" s="70">
        <f t="shared" si="27"/>
        <v>163</v>
      </c>
      <c r="C167" s="67">
        <f ca="1">IF(E167-'Invoer gegevens (N)'!$C$17&lt;0,0,1)</f>
        <v>1</v>
      </c>
      <c r="D167" s="68">
        <f t="shared" si="28"/>
        <v>162.5</v>
      </c>
      <c r="E167" s="69">
        <f ca="1">IF('Invoer gegevens (N)'!$C$16="","",E166+1)</f>
        <v>2181</v>
      </c>
      <c r="F167" s="82">
        <f ca="1">IF('Invoer gegevens (N)'!$C$17=E167,'Invoer gegevens (N)'!$C$10,IF(C167=1,H166,0))</f>
        <v>0</v>
      </c>
      <c r="G167" s="83">
        <f ca="1">IF(C167&gt;=1,F167*'Reeksen (N)'!C167,0)</f>
        <v>0</v>
      </c>
      <c r="H167" s="84">
        <f t="shared" ca="1" si="21"/>
        <v>0</v>
      </c>
      <c r="I167" s="85">
        <f ca="1">IF('Invoer gegevens (N)'!$C$17=E167,'Invoer gegevens (N)'!$C$11,IF(C167=1,L166,0))</f>
        <v>0</v>
      </c>
      <c r="J167" s="86">
        <f ca="1">IF(C167&lt;1,0,IF('Reeksen (N)'!AD167&lt;='Reeksen (N)'!AE167,I167*'Reeksen (N)'!C167,0))</f>
        <v>0</v>
      </c>
      <c r="K167" s="86">
        <f ca="1">IF(C167&lt;1,0,IF('Reeksen (N)'!AD167&gt;'Reeksen (N)'!AE167,I167*'Reeksen (N)'!C167,0))</f>
        <v>0</v>
      </c>
      <c r="L167" s="86">
        <f t="shared" ca="1" si="22"/>
        <v>0</v>
      </c>
      <c r="M167" s="85">
        <f ca="1">IF('Invoer gegevens (N)'!$C$17=E167,'Invoer gegevens (N)'!$C$10-'Invoer gegevens (N)'!$C$11,IF(C167=1,P166,0))</f>
        <v>0</v>
      </c>
      <c r="N167" s="86">
        <f ca="1">IF(C167&lt;1,0,IF('Reeksen (N)'!AD167&lt;='Reeksen (N)'!AE167,M167*'Reeksen (N)'!C167,0))</f>
        <v>0</v>
      </c>
      <c r="O167" s="86">
        <f ca="1">IF(C167&lt;1,0,IF('Reeksen (N)'!AD167&gt;'Reeksen (N)'!AE167,M167*'Reeksen (N)'!C167,0))</f>
        <v>0</v>
      </c>
      <c r="P167" s="86">
        <f t="shared" ca="1" si="23"/>
        <v>0</v>
      </c>
      <c r="Q167" s="82">
        <f ca="1">IF('Invoer gegevens (N)'!$C$17=E167,I167,IF(C167=0,0,R166))</f>
        <v>0</v>
      </c>
      <c r="R167" s="84">
        <f t="shared" ca="1" si="20"/>
        <v>0</v>
      </c>
      <c r="S167" s="84">
        <f ca="1">IF('Invoer gegevens (N)'!$C$17=E167,M167,IF(C167=0,0,T166))</f>
        <v>0</v>
      </c>
      <c r="T167" s="84">
        <f t="shared" ca="1" si="29"/>
        <v>0</v>
      </c>
      <c r="AI167" s="71">
        <f ca="1">IF(C167=1,((F167+H167)/2*'Reeksen (N)'!AI167*12)+(('Invoer gegevens (N)'!$C$10-(F167+H167)/2)*'Reeksen (N)'!AD167*12),0)</f>
        <v>0</v>
      </c>
      <c r="AJ167" s="71">
        <f ca="1">-AI167*'Invoer gegevens (N)'!$F$28</f>
        <v>0</v>
      </c>
      <c r="AK167" s="71">
        <f t="shared" ca="1" si="24"/>
        <v>0</v>
      </c>
      <c r="AL167" s="71">
        <f ca="1">IF(C167=1,(12*((F167+H167)/2)*'Reeksen (N)'!AL167)+(12*('Invoer gegevens (N)'!$C$10-(F167+H167)/2)*'Reeksen (N)'!AM167),0)</f>
        <v>0</v>
      </c>
      <c r="AM167" s="71">
        <f ca="1">-AL167*'Invoer gegevens (N)'!$F$31</f>
        <v>0</v>
      </c>
      <c r="AN167" s="71">
        <f t="shared" ca="1" si="25"/>
        <v>0</v>
      </c>
      <c r="AO167" s="71"/>
      <c r="AP167" s="71"/>
      <c r="AQ167" s="71">
        <f ca="1">-IF(C167=1,('Invoer gegevens (N)'!$C$10*'Invoer gegevens (N)'!$F$35)*'Reeksen (N)'!J167,0)*2</f>
        <v>0</v>
      </c>
      <c r="AR167" s="71">
        <f ca="1">-IF(C167=1,(G167*'Invoer gegevens (N)'!$F$36)*'Reeksen (N)'!J167,0)</f>
        <v>0</v>
      </c>
      <c r="AS167" s="71">
        <f ca="1">-IF(C167=1,'Invoer gegevens (N)'!$C$10*'Invoer gegevens (N)'!$F$37*'Reeksen (N)'!L167,0)</f>
        <v>0</v>
      </c>
      <c r="AT167" s="71">
        <f ca="1">-IF(C167=1,IF(E167='Invoer gegevens (N)'!$C$17,'Invoer gegevens (N)'!$C$11,Q167)*'Reeksen (N)'!S167*'Invoer gegevens (N)'!$C$18*'Reeksen (N)'!P167,0)</f>
        <v>0</v>
      </c>
      <c r="AU167" s="71">
        <f ca="1">-IF(C167=1,'Invoer gegevens (N)'!$C$10*'Invoer gegevens (N)'!$F$38*'Reeksen (N)'!H167,0)</f>
        <v>0</v>
      </c>
      <c r="AV167" s="71">
        <v>0</v>
      </c>
      <c r="AW167" s="71">
        <f t="shared" ca="1" si="26"/>
        <v>0</v>
      </c>
      <c r="AX167" s="71">
        <f ca="1">IF(E167&lt;'Invoer gegevens (N)'!$C$17+15,0,IF('RW - MW - DE - DE (N)'!E167&gt;'Invoer gegevens (N)'!$C$17+215,0,'RW - MW - DE - DE (N)'!AW167))</f>
        <v>0</v>
      </c>
      <c r="AY167" s="71">
        <f ca="1">AX167/(1+'Invoer gegevens (N)'!$F$13)^($AZ167-('Invoer gegevens (N)'!$C$17-'Invoer gegevens (N)'!$C$16))/(1+'Invoer gegevens (N)'!$C$39)^('Invoer gegevens (N)'!$C$17-'Invoer gegevens (N)'!$C$16)</f>
        <v>0</v>
      </c>
      <c r="AZ167" s="68">
        <f ca="1">IF(E167-'Invoer gegevens (N)'!$C$17-14.5&lt;0,0,E167-'Invoer gegevens (N)'!$C$17-14.5)</f>
        <v>147.5</v>
      </c>
      <c r="BC167" s="71"/>
    </row>
    <row r="168" spans="2:55" s="230" customFormat="1" x14ac:dyDescent="0.25">
      <c r="B168" s="70">
        <f t="shared" si="27"/>
        <v>164</v>
      </c>
      <c r="C168" s="67">
        <f ca="1">IF(E168-'Invoer gegevens (N)'!$C$17&lt;0,0,1)</f>
        <v>1</v>
      </c>
      <c r="D168" s="68">
        <f t="shared" si="28"/>
        <v>163.5</v>
      </c>
      <c r="E168" s="69">
        <f ca="1">IF('Invoer gegevens (N)'!$C$16="","",E167+1)</f>
        <v>2182</v>
      </c>
      <c r="F168" s="82">
        <f ca="1">IF('Invoer gegevens (N)'!$C$17=E168,'Invoer gegevens (N)'!$C$10,IF(C168=1,H167,0))</f>
        <v>0</v>
      </c>
      <c r="G168" s="83">
        <f ca="1">IF(C168&gt;=1,F168*'Reeksen (N)'!C168,0)</f>
        <v>0</v>
      </c>
      <c r="H168" s="84">
        <f t="shared" ca="1" si="21"/>
        <v>0</v>
      </c>
      <c r="I168" s="85">
        <f ca="1">IF('Invoer gegevens (N)'!$C$17=E168,'Invoer gegevens (N)'!$C$11,IF(C168=1,L167,0))</f>
        <v>0</v>
      </c>
      <c r="J168" s="86">
        <f ca="1">IF(C168&lt;1,0,IF('Reeksen (N)'!AD168&lt;='Reeksen (N)'!AE168,I168*'Reeksen (N)'!C168,0))</f>
        <v>0</v>
      </c>
      <c r="K168" s="86">
        <f ca="1">IF(C168&lt;1,0,IF('Reeksen (N)'!AD168&gt;'Reeksen (N)'!AE168,I168*'Reeksen (N)'!C168,0))</f>
        <v>0</v>
      </c>
      <c r="L168" s="86">
        <f t="shared" ca="1" si="22"/>
        <v>0</v>
      </c>
      <c r="M168" s="85">
        <f ca="1">IF('Invoer gegevens (N)'!$C$17=E168,'Invoer gegevens (N)'!$C$10-'Invoer gegevens (N)'!$C$11,IF(C168=1,P167,0))</f>
        <v>0</v>
      </c>
      <c r="N168" s="86">
        <f ca="1">IF(C168&lt;1,0,IF('Reeksen (N)'!AD168&lt;='Reeksen (N)'!AE168,M168*'Reeksen (N)'!C168,0))</f>
        <v>0</v>
      </c>
      <c r="O168" s="86">
        <f ca="1">IF(C168&lt;1,0,IF('Reeksen (N)'!AD168&gt;'Reeksen (N)'!AE168,M168*'Reeksen (N)'!C168,0))</f>
        <v>0</v>
      </c>
      <c r="P168" s="86">
        <f t="shared" ca="1" si="23"/>
        <v>0</v>
      </c>
      <c r="Q168" s="82">
        <f ca="1">IF('Invoer gegevens (N)'!$C$17=E168,I168,IF(C168=0,0,R167))</f>
        <v>0</v>
      </c>
      <c r="R168" s="84">
        <f t="shared" ca="1" si="20"/>
        <v>0</v>
      </c>
      <c r="S168" s="84">
        <f ca="1">IF('Invoer gegevens (N)'!$C$17=E168,M168,IF(C168=0,0,T167))</f>
        <v>0</v>
      </c>
      <c r="T168" s="84">
        <f t="shared" ca="1" si="29"/>
        <v>0</v>
      </c>
      <c r="AI168" s="71">
        <f ca="1">IF(C168=1,((F168+H168)/2*'Reeksen (N)'!AI168*12)+(('Invoer gegevens (N)'!$C$10-(F168+H168)/2)*'Reeksen (N)'!AD168*12),0)</f>
        <v>0</v>
      </c>
      <c r="AJ168" s="71">
        <f ca="1">-AI168*'Invoer gegevens (N)'!$F$28</f>
        <v>0</v>
      </c>
      <c r="AK168" s="71">
        <f t="shared" ca="1" si="24"/>
        <v>0</v>
      </c>
      <c r="AL168" s="71">
        <f ca="1">IF(C168=1,(12*((F168+H168)/2)*'Reeksen (N)'!AL168)+(12*('Invoer gegevens (N)'!$C$10-(F168+H168)/2)*'Reeksen (N)'!AM168),0)</f>
        <v>0</v>
      </c>
      <c r="AM168" s="71">
        <f ca="1">-AL168*'Invoer gegevens (N)'!$F$31</f>
        <v>0</v>
      </c>
      <c r="AN168" s="71">
        <f t="shared" ca="1" si="25"/>
        <v>0</v>
      </c>
      <c r="AO168" s="71"/>
      <c r="AP168" s="71"/>
      <c r="AQ168" s="71">
        <f ca="1">-IF(C168=1,('Invoer gegevens (N)'!$C$10*'Invoer gegevens (N)'!$F$35)*'Reeksen (N)'!J168,0)*2</f>
        <v>0</v>
      </c>
      <c r="AR168" s="71">
        <f ca="1">-IF(C168=1,(G168*'Invoer gegevens (N)'!$F$36)*'Reeksen (N)'!J168,0)</f>
        <v>0</v>
      </c>
      <c r="AS168" s="71">
        <f ca="1">-IF(C168=1,'Invoer gegevens (N)'!$C$10*'Invoer gegevens (N)'!$F$37*'Reeksen (N)'!L168,0)</f>
        <v>0</v>
      </c>
      <c r="AT168" s="71">
        <f ca="1">-IF(C168=1,IF(E168='Invoer gegevens (N)'!$C$17,'Invoer gegevens (N)'!$C$11,Q168)*'Reeksen (N)'!S168*'Invoer gegevens (N)'!$C$18*'Reeksen (N)'!P168,0)</f>
        <v>0</v>
      </c>
      <c r="AU168" s="71">
        <f ca="1">-IF(C168=1,'Invoer gegevens (N)'!$C$10*'Invoer gegevens (N)'!$F$38*'Reeksen (N)'!H168,0)</f>
        <v>0</v>
      </c>
      <c r="AV168" s="71">
        <v>0</v>
      </c>
      <c r="AW168" s="71">
        <f t="shared" ca="1" si="26"/>
        <v>0</v>
      </c>
      <c r="AX168" s="71">
        <f ca="1">IF(E168&lt;'Invoer gegevens (N)'!$C$17+15,0,IF('RW - MW - DE - DE (N)'!E168&gt;'Invoer gegevens (N)'!$C$17+215,0,'RW - MW - DE - DE (N)'!AW168))</f>
        <v>0</v>
      </c>
      <c r="AY168" s="71">
        <f ca="1">AX168/(1+'Invoer gegevens (N)'!$F$13)^($AZ168-('Invoer gegevens (N)'!$C$17-'Invoer gegevens (N)'!$C$16))/(1+'Invoer gegevens (N)'!$C$39)^('Invoer gegevens (N)'!$C$17-'Invoer gegevens (N)'!$C$16)</f>
        <v>0</v>
      </c>
      <c r="AZ168" s="68">
        <f ca="1">IF(E168-'Invoer gegevens (N)'!$C$17-14.5&lt;0,0,E168-'Invoer gegevens (N)'!$C$17-14.5)</f>
        <v>148.5</v>
      </c>
      <c r="BC168" s="71"/>
    </row>
    <row r="169" spans="2:55" s="230" customFormat="1" x14ac:dyDescent="0.25">
      <c r="B169" s="70">
        <f t="shared" si="27"/>
        <v>165</v>
      </c>
      <c r="C169" s="67">
        <f ca="1">IF(E169-'Invoer gegevens (N)'!$C$17&lt;0,0,1)</f>
        <v>1</v>
      </c>
      <c r="D169" s="68">
        <f t="shared" si="28"/>
        <v>164.5</v>
      </c>
      <c r="E169" s="69">
        <f ca="1">IF('Invoer gegevens (N)'!$C$16="","",E168+1)</f>
        <v>2183</v>
      </c>
      <c r="F169" s="82">
        <f ca="1">IF('Invoer gegevens (N)'!$C$17=E169,'Invoer gegevens (N)'!$C$10,IF(C169=1,H168,0))</f>
        <v>0</v>
      </c>
      <c r="G169" s="83">
        <f ca="1">IF(C169&gt;=1,F169*'Reeksen (N)'!C169,0)</f>
        <v>0</v>
      </c>
      <c r="H169" s="84">
        <f t="shared" ca="1" si="21"/>
        <v>0</v>
      </c>
      <c r="I169" s="85">
        <f ca="1">IF('Invoer gegevens (N)'!$C$17=E169,'Invoer gegevens (N)'!$C$11,IF(C169=1,L168,0))</f>
        <v>0</v>
      </c>
      <c r="J169" s="86">
        <f ca="1">IF(C169&lt;1,0,IF('Reeksen (N)'!AD169&lt;='Reeksen (N)'!AE169,I169*'Reeksen (N)'!C169,0))</f>
        <v>0</v>
      </c>
      <c r="K169" s="86">
        <f ca="1">IF(C169&lt;1,0,IF('Reeksen (N)'!AD169&gt;'Reeksen (N)'!AE169,I169*'Reeksen (N)'!C169,0))</f>
        <v>0</v>
      </c>
      <c r="L169" s="86">
        <f t="shared" ca="1" si="22"/>
        <v>0</v>
      </c>
      <c r="M169" s="85">
        <f ca="1">IF('Invoer gegevens (N)'!$C$17=E169,'Invoer gegevens (N)'!$C$10-'Invoer gegevens (N)'!$C$11,IF(C169=1,P168,0))</f>
        <v>0</v>
      </c>
      <c r="N169" s="86">
        <f ca="1">IF(C169&lt;1,0,IF('Reeksen (N)'!AD169&lt;='Reeksen (N)'!AE169,M169*'Reeksen (N)'!C169,0))</f>
        <v>0</v>
      </c>
      <c r="O169" s="86">
        <f ca="1">IF(C169&lt;1,0,IF('Reeksen (N)'!AD169&gt;'Reeksen (N)'!AE169,M169*'Reeksen (N)'!C169,0))</f>
        <v>0</v>
      </c>
      <c r="P169" s="86">
        <f t="shared" ca="1" si="23"/>
        <v>0</v>
      </c>
      <c r="Q169" s="82">
        <f ca="1">IF('Invoer gegevens (N)'!$C$17=E169,I169,IF(C169=0,0,R168))</f>
        <v>0</v>
      </c>
      <c r="R169" s="84">
        <f t="shared" ca="1" si="20"/>
        <v>0</v>
      </c>
      <c r="S169" s="84">
        <f ca="1">IF('Invoer gegevens (N)'!$C$17=E169,M169,IF(C169=0,0,T168))</f>
        <v>0</v>
      </c>
      <c r="T169" s="84">
        <f t="shared" ca="1" si="29"/>
        <v>0</v>
      </c>
      <c r="AI169" s="71">
        <f ca="1">IF(C169=1,((F169+H169)/2*'Reeksen (N)'!AI169*12)+(('Invoer gegevens (N)'!$C$10-(F169+H169)/2)*'Reeksen (N)'!AD169*12),0)</f>
        <v>0</v>
      </c>
      <c r="AJ169" s="71">
        <f ca="1">-AI169*'Invoer gegevens (N)'!$F$28</f>
        <v>0</v>
      </c>
      <c r="AK169" s="71">
        <f t="shared" ca="1" si="24"/>
        <v>0</v>
      </c>
      <c r="AL169" s="71">
        <f ca="1">IF(C169=1,(12*((F169+H169)/2)*'Reeksen (N)'!AL169)+(12*('Invoer gegevens (N)'!$C$10-(F169+H169)/2)*'Reeksen (N)'!AM169),0)</f>
        <v>0</v>
      </c>
      <c r="AM169" s="71">
        <f ca="1">-AL169*'Invoer gegevens (N)'!$F$31</f>
        <v>0</v>
      </c>
      <c r="AN169" s="71">
        <f t="shared" ca="1" si="25"/>
        <v>0</v>
      </c>
      <c r="AO169" s="71"/>
      <c r="AP169" s="71"/>
      <c r="AQ169" s="71">
        <f ca="1">-IF(C169=1,('Invoer gegevens (N)'!$C$10*'Invoer gegevens (N)'!$F$35)*'Reeksen (N)'!J169,0)*2</f>
        <v>0</v>
      </c>
      <c r="AR169" s="71">
        <f ca="1">-IF(C169=1,(G169*'Invoer gegevens (N)'!$F$36)*'Reeksen (N)'!J169,0)</f>
        <v>0</v>
      </c>
      <c r="AS169" s="71">
        <f ca="1">-IF(C169=1,'Invoer gegevens (N)'!$C$10*'Invoer gegevens (N)'!$F$37*'Reeksen (N)'!L169,0)</f>
        <v>0</v>
      </c>
      <c r="AT169" s="71">
        <f ca="1">-IF(C169=1,IF(E169='Invoer gegevens (N)'!$C$17,'Invoer gegevens (N)'!$C$11,Q169)*'Reeksen (N)'!S169*'Invoer gegevens (N)'!$C$18*'Reeksen (N)'!P169,0)</f>
        <v>0</v>
      </c>
      <c r="AU169" s="71">
        <f ca="1">-IF(C169=1,'Invoer gegevens (N)'!$C$10*'Invoer gegevens (N)'!$F$38*'Reeksen (N)'!H169,0)</f>
        <v>0</v>
      </c>
      <c r="AV169" s="71">
        <v>0</v>
      </c>
      <c r="AW169" s="71">
        <f t="shared" ca="1" si="26"/>
        <v>0</v>
      </c>
      <c r="AX169" s="71">
        <f ca="1">IF(E169&lt;'Invoer gegevens (N)'!$C$17+15,0,IF('RW - MW - DE - DE (N)'!E169&gt;'Invoer gegevens (N)'!$C$17+215,0,'RW - MW - DE - DE (N)'!AW169))</f>
        <v>0</v>
      </c>
      <c r="AY169" s="71">
        <f ca="1">AX169/(1+'Invoer gegevens (N)'!$F$13)^($AZ169-('Invoer gegevens (N)'!$C$17-'Invoer gegevens (N)'!$C$16))/(1+'Invoer gegevens (N)'!$C$39)^('Invoer gegevens (N)'!$C$17-'Invoer gegevens (N)'!$C$16)</f>
        <v>0</v>
      </c>
      <c r="AZ169" s="68">
        <f ca="1">IF(E169-'Invoer gegevens (N)'!$C$17-14.5&lt;0,0,E169-'Invoer gegevens (N)'!$C$17-14.5)</f>
        <v>149.5</v>
      </c>
      <c r="BC169" s="71"/>
    </row>
    <row r="170" spans="2:55" s="230" customFormat="1" x14ac:dyDescent="0.25">
      <c r="B170" s="70">
        <f t="shared" si="27"/>
        <v>166</v>
      </c>
      <c r="C170" s="67">
        <f ca="1">IF(E170-'Invoer gegevens (N)'!$C$17&lt;0,0,1)</f>
        <v>1</v>
      </c>
      <c r="D170" s="68">
        <f t="shared" si="28"/>
        <v>165.5</v>
      </c>
      <c r="E170" s="69">
        <f ca="1">IF('Invoer gegevens (N)'!$C$16="","",E169+1)</f>
        <v>2184</v>
      </c>
      <c r="F170" s="82">
        <f ca="1">IF('Invoer gegevens (N)'!$C$17=E170,'Invoer gegevens (N)'!$C$10,IF(C170=1,H169,0))</f>
        <v>0</v>
      </c>
      <c r="G170" s="83">
        <f ca="1">IF(C170&gt;=1,F170*'Reeksen (N)'!C170,0)</f>
        <v>0</v>
      </c>
      <c r="H170" s="84">
        <f t="shared" ca="1" si="21"/>
        <v>0</v>
      </c>
      <c r="I170" s="85">
        <f ca="1">IF('Invoer gegevens (N)'!$C$17=E170,'Invoer gegevens (N)'!$C$11,IF(C170=1,L169,0))</f>
        <v>0</v>
      </c>
      <c r="J170" s="86">
        <f ca="1">IF(C170&lt;1,0,IF('Reeksen (N)'!AD170&lt;='Reeksen (N)'!AE170,I170*'Reeksen (N)'!C170,0))</f>
        <v>0</v>
      </c>
      <c r="K170" s="86">
        <f ca="1">IF(C170&lt;1,0,IF('Reeksen (N)'!AD170&gt;'Reeksen (N)'!AE170,I170*'Reeksen (N)'!C170,0))</f>
        <v>0</v>
      </c>
      <c r="L170" s="86">
        <f t="shared" ca="1" si="22"/>
        <v>0</v>
      </c>
      <c r="M170" s="85">
        <f ca="1">IF('Invoer gegevens (N)'!$C$17=E170,'Invoer gegevens (N)'!$C$10-'Invoer gegevens (N)'!$C$11,IF(C170=1,P169,0))</f>
        <v>0</v>
      </c>
      <c r="N170" s="86">
        <f ca="1">IF(C170&lt;1,0,IF('Reeksen (N)'!AD170&lt;='Reeksen (N)'!AE170,M170*'Reeksen (N)'!C170,0))</f>
        <v>0</v>
      </c>
      <c r="O170" s="86">
        <f ca="1">IF(C170&lt;1,0,IF('Reeksen (N)'!AD170&gt;'Reeksen (N)'!AE170,M170*'Reeksen (N)'!C170,0))</f>
        <v>0</v>
      </c>
      <c r="P170" s="86">
        <f t="shared" ca="1" si="23"/>
        <v>0</v>
      </c>
      <c r="Q170" s="82">
        <f ca="1">IF('Invoer gegevens (N)'!$C$17=E170,I170,IF(C170=0,0,R169))</f>
        <v>0</v>
      </c>
      <c r="R170" s="84">
        <f t="shared" ca="1" si="20"/>
        <v>0</v>
      </c>
      <c r="S170" s="84">
        <f ca="1">IF('Invoer gegevens (N)'!$C$17=E170,M170,IF(C170=0,0,T169))</f>
        <v>0</v>
      </c>
      <c r="T170" s="84">
        <f t="shared" ca="1" si="29"/>
        <v>0</v>
      </c>
      <c r="AI170" s="71">
        <f ca="1">IF(C170=1,((F170+H170)/2*'Reeksen (N)'!AI170*12)+(('Invoer gegevens (N)'!$C$10-(F170+H170)/2)*'Reeksen (N)'!AD170*12),0)</f>
        <v>0</v>
      </c>
      <c r="AJ170" s="71">
        <f ca="1">-AI170*'Invoer gegevens (N)'!$F$28</f>
        <v>0</v>
      </c>
      <c r="AK170" s="71">
        <f t="shared" ca="1" si="24"/>
        <v>0</v>
      </c>
      <c r="AL170" s="71">
        <f ca="1">IF(C170=1,(12*((F170+H170)/2)*'Reeksen (N)'!AL170)+(12*('Invoer gegevens (N)'!$C$10-(F170+H170)/2)*'Reeksen (N)'!AM170),0)</f>
        <v>0</v>
      </c>
      <c r="AM170" s="71">
        <f ca="1">-AL170*'Invoer gegevens (N)'!$F$31</f>
        <v>0</v>
      </c>
      <c r="AN170" s="71">
        <f t="shared" ca="1" si="25"/>
        <v>0</v>
      </c>
      <c r="AO170" s="71"/>
      <c r="AP170" s="71"/>
      <c r="AQ170" s="71">
        <f ca="1">-IF(C170=1,('Invoer gegevens (N)'!$C$10*'Invoer gegevens (N)'!$F$35)*'Reeksen (N)'!J170,0)*2</f>
        <v>0</v>
      </c>
      <c r="AR170" s="71">
        <f ca="1">-IF(C170=1,(G170*'Invoer gegevens (N)'!$F$36)*'Reeksen (N)'!J170,0)</f>
        <v>0</v>
      </c>
      <c r="AS170" s="71">
        <f ca="1">-IF(C170=1,'Invoer gegevens (N)'!$C$10*'Invoer gegevens (N)'!$F$37*'Reeksen (N)'!L170,0)</f>
        <v>0</v>
      </c>
      <c r="AT170" s="71">
        <f ca="1">-IF(C170=1,IF(E170='Invoer gegevens (N)'!$C$17,'Invoer gegevens (N)'!$C$11,Q170)*'Reeksen (N)'!S170*'Invoer gegevens (N)'!$C$18*'Reeksen (N)'!P170,0)</f>
        <v>0</v>
      </c>
      <c r="AU170" s="71">
        <f ca="1">-IF(C170=1,'Invoer gegevens (N)'!$C$10*'Invoer gegevens (N)'!$F$38*'Reeksen (N)'!H170,0)</f>
        <v>0</v>
      </c>
      <c r="AV170" s="71">
        <v>0</v>
      </c>
      <c r="AW170" s="71">
        <f t="shared" ca="1" si="26"/>
        <v>0</v>
      </c>
      <c r="AX170" s="71">
        <f ca="1">IF(E170&lt;'Invoer gegevens (N)'!$C$17+15,0,IF('RW - MW - DE - DE (N)'!E170&gt;'Invoer gegevens (N)'!$C$17+215,0,'RW - MW - DE - DE (N)'!AW170))</f>
        <v>0</v>
      </c>
      <c r="AY170" s="71">
        <f ca="1">AX170/(1+'Invoer gegevens (N)'!$F$13)^($AZ170-('Invoer gegevens (N)'!$C$17-'Invoer gegevens (N)'!$C$16))/(1+'Invoer gegevens (N)'!$C$39)^('Invoer gegevens (N)'!$C$17-'Invoer gegevens (N)'!$C$16)</f>
        <v>0</v>
      </c>
      <c r="AZ170" s="68">
        <f ca="1">IF(E170-'Invoer gegevens (N)'!$C$17-14.5&lt;0,0,E170-'Invoer gegevens (N)'!$C$17-14.5)</f>
        <v>150.5</v>
      </c>
      <c r="BC170" s="71"/>
    </row>
    <row r="171" spans="2:55" s="230" customFormat="1" x14ac:dyDescent="0.25">
      <c r="B171" s="70">
        <f t="shared" si="27"/>
        <v>167</v>
      </c>
      <c r="C171" s="67">
        <f ca="1">IF(E171-'Invoer gegevens (N)'!$C$17&lt;0,0,1)</f>
        <v>1</v>
      </c>
      <c r="D171" s="68">
        <f t="shared" si="28"/>
        <v>166.5</v>
      </c>
      <c r="E171" s="69">
        <f ca="1">IF('Invoer gegevens (N)'!$C$16="","",E170+1)</f>
        <v>2185</v>
      </c>
      <c r="F171" s="82">
        <f ca="1">IF('Invoer gegevens (N)'!$C$17=E171,'Invoer gegevens (N)'!$C$10,IF(C171=1,H170,0))</f>
        <v>0</v>
      </c>
      <c r="G171" s="83">
        <f ca="1">IF(C171&gt;=1,F171*'Reeksen (N)'!C171,0)</f>
        <v>0</v>
      </c>
      <c r="H171" s="84">
        <f t="shared" ca="1" si="21"/>
        <v>0</v>
      </c>
      <c r="I171" s="85">
        <f ca="1">IF('Invoer gegevens (N)'!$C$17=E171,'Invoer gegevens (N)'!$C$11,IF(C171=1,L170,0))</f>
        <v>0</v>
      </c>
      <c r="J171" s="86">
        <f ca="1">IF(C171&lt;1,0,IF('Reeksen (N)'!AD171&lt;='Reeksen (N)'!AE171,I171*'Reeksen (N)'!C171,0))</f>
        <v>0</v>
      </c>
      <c r="K171" s="86">
        <f ca="1">IF(C171&lt;1,0,IF('Reeksen (N)'!AD171&gt;'Reeksen (N)'!AE171,I171*'Reeksen (N)'!C171,0))</f>
        <v>0</v>
      </c>
      <c r="L171" s="86">
        <f t="shared" ca="1" si="22"/>
        <v>0</v>
      </c>
      <c r="M171" s="85">
        <f ca="1">IF('Invoer gegevens (N)'!$C$17=E171,'Invoer gegevens (N)'!$C$10-'Invoer gegevens (N)'!$C$11,IF(C171=1,P170,0))</f>
        <v>0</v>
      </c>
      <c r="N171" s="86">
        <f ca="1">IF(C171&lt;1,0,IF('Reeksen (N)'!AD171&lt;='Reeksen (N)'!AE171,M171*'Reeksen (N)'!C171,0))</f>
        <v>0</v>
      </c>
      <c r="O171" s="86">
        <f ca="1">IF(C171&lt;1,0,IF('Reeksen (N)'!AD171&gt;'Reeksen (N)'!AE171,M171*'Reeksen (N)'!C171,0))</f>
        <v>0</v>
      </c>
      <c r="P171" s="86">
        <f t="shared" ca="1" si="23"/>
        <v>0</v>
      </c>
      <c r="Q171" s="82">
        <f ca="1">IF('Invoer gegevens (N)'!$C$17=E171,I171,IF(C171=0,0,R170))</f>
        <v>0</v>
      </c>
      <c r="R171" s="84">
        <f t="shared" ca="1" si="20"/>
        <v>0</v>
      </c>
      <c r="S171" s="84">
        <f ca="1">IF('Invoer gegevens (N)'!$C$17=E171,M171,IF(C171=0,0,T170))</f>
        <v>0</v>
      </c>
      <c r="T171" s="84">
        <f t="shared" ca="1" si="29"/>
        <v>0</v>
      </c>
      <c r="AI171" s="71">
        <f ca="1">IF(C171=1,((F171+H171)/2*'Reeksen (N)'!AI171*12)+(('Invoer gegevens (N)'!$C$10-(F171+H171)/2)*'Reeksen (N)'!AD171*12),0)</f>
        <v>0</v>
      </c>
      <c r="AJ171" s="71">
        <f ca="1">-AI171*'Invoer gegevens (N)'!$F$28</f>
        <v>0</v>
      </c>
      <c r="AK171" s="71">
        <f t="shared" ca="1" si="24"/>
        <v>0</v>
      </c>
      <c r="AL171" s="71">
        <f ca="1">IF(C171=1,(12*((F171+H171)/2)*'Reeksen (N)'!AL171)+(12*('Invoer gegevens (N)'!$C$10-(F171+H171)/2)*'Reeksen (N)'!AM171),0)</f>
        <v>0</v>
      </c>
      <c r="AM171" s="71">
        <f ca="1">-AL171*'Invoer gegevens (N)'!$F$31</f>
        <v>0</v>
      </c>
      <c r="AN171" s="71">
        <f t="shared" ca="1" si="25"/>
        <v>0</v>
      </c>
      <c r="AO171" s="71"/>
      <c r="AP171" s="71"/>
      <c r="AQ171" s="71">
        <f ca="1">-IF(C171=1,('Invoer gegevens (N)'!$C$10*'Invoer gegevens (N)'!$F$35)*'Reeksen (N)'!J171,0)*2</f>
        <v>0</v>
      </c>
      <c r="AR171" s="71">
        <f ca="1">-IF(C171=1,(G171*'Invoer gegevens (N)'!$F$36)*'Reeksen (N)'!J171,0)</f>
        <v>0</v>
      </c>
      <c r="AS171" s="71">
        <f ca="1">-IF(C171=1,'Invoer gegevens (N)'!$C$10*'Invoer gegevens (N)'!$F$37*'Reeksen (N)'!L171,0)</f>
        <v>0</v>
      </c>
      <c r="AT171" s="71">
        <f ca="1">-IF(C171=1,IF(E171='Invoer gegevens (N)'!$C$17,'Invoer gegevens (N)'!$C$11,Q171)*'Reeksen (N)'!S171*'Invoer gegevens (N)'!$C$18*'Reeksen (N)'!P171,0)</f>
        <v>0</v>
      </c>
      <c r="AU171" s="71">
        <f ca="1">-IF(C171=1,'Invoer gegevens (N)'!$C$10*'Invoer gegevens (N)'!$F$38*'Reeksen (N)'!H171,0)</f>
        <v>0</v>
      </c>
      <c r="AV171" s="71">
        <v>0</v>
      </c>
      <c r="AW171" s="71">
        <f t="shared" ca="1" si="26"/>
        <v>0</v>
      </c>
      <c r="AX171" s="71">
        <f ca="1">IF(E171&lt;'Invoer gegevens (N)'!$C$17+15,0,IF('RW - MW - DE - DE (N)'!E171&gt;'Invoer gegevens (N)'!$C$17+215,0,'RW - MW - DE - DE (N)'!AW171))</f>
        <v>0</v>
      </c>
      <c r="AY171" s="71">
        <f ca="1">AX171/(1+'Invoer gegevens (N)'!$F$13)^($AZ171-('Invoer gegevens (N)'!$C$17-'Invoer gegevens (N)'!$C$16))/(1+'Invoer gegevens (N)'!$C$39)^('Invoer gegevens (N)'!$C$17-'Invoer gegevens (N)'!$C$16)</f>
        <v>0</v>
      </c>
      <c r="AZ171" s="68">
        <f ca="1">IF(E171-'Invoer gegevens (N)'!$C$17-14.5&lt;0,0,E171-'Invoer gegevens (N)'!$C$17-14.5)</f>
        <v>151.5</v>
      </c>
      <c r="BC171" s="71"/>
    </row>
    <row r="172" spans="2:55" s="230" customFormat="1" x14ac:dyDescent="0.25">
      <c r="B172" s="70">
        <f t="shared" si="27"/>
        <v>168</v>
      </c>
      <c r="C172" s="67">
        <f ca="1">IF(E172-'Invoer gegevens (N)'!$C$17&lt;0,0,1)</f>
        <v>1</v>
      </c>
      <c r="D172" s="68">
        <f t="shared" si="28"/>
        <v>167.5</v>
      </c>
      <c r="E172" s="69">
        <f ca="1">IF('Invoer gegevens (N)'!$C$16="","",E171+1)</f>
        <v>2186</v>
      </c>
      <c r="F172" s="82">
        <f ca="1">IF('Invoer gegevens (N)'!$C$17=E172,'Invoer gegevens (N)'!$C$10,IF(C172=1,H171,0))</f>
        <v>0</v>
      </c>
      <c r="G172" s="83">
        <f ca="1">IF(C172&gt;=1,F172*'Reeksen (N)'!C172,0)</f>
        <v>0</v>
      </c>
      <c r="H172" s="84">
        <f t="shared" ca="1" si="21"/>
        <v>0</v>
      </c>
      <c r="I172" s="85">
        <f ca="1">IF('Invoer gegevens (N)'!$C$17=E172,'Invoer gegevens (N)'!$C$11,IF(C172=1,L171,0))</f>
        <v>0</v>
      </c>
      <c r="J172" s="86">
        <f ca="1">IF(C172&lt;1,0,IF('Reeksen (N)'!AD172&lt;='Reeksen (N)'!AE172,I172*'Reeksen (N)'!C172,0))</f>
        <v>0</v>
      </c>
      <c r="K172" s="86">
        <f ca="1">IF(C172&lt;1,0,IF('Reeksen (N)'!AD172&gt;'Reeksen (N)'!AE172,I172*'Reeksen (N)'!C172,0))</f>
        <v>0</v>
      </c>
      <c r="L172" s="86">
        <f t="shared" ca="1" si="22"/>
        <v>0</v>
      </c>
      <c r="M172" s="85">
        <f ca="1">IF('Invoer gegevens (N)'!$C$17=E172,'Invoer gegevens (N)'!$C$10-'Invoer gegevens (N)'!$C$11,IF(C172=1,P171,0))</f>
        <v>0</v>
      </c>
      <c r="N172" s="86">
        <f ca="1">IF(C172&lt;1,0,IF('Reeksen (N)'!AD172&lt;='Reeksen (N)'!AE172,M172*'Reeksen (N)'!C172,0))</f>
        <v>0</v>
      </c>
      <c r="O172" s="86">
        <f ca="1">IF(C172&lt;1,0,IF('Reeksen (N)'!AD172&gt;'Reeksen (N)'!AE172,M172*'Reeksen (N)'!C172,0))</f>
        <v>0</v>
      </c>
      <c r="P172" s="86">
        <f t="shared" ca="1" si="23"/>
        <v>0</v>
      </c>
      <c r="Q172" s="82">
        <f ca="1">IF('Invoer gegevens (N)'!$C$17=E172,I172,IF(C172=0,0,R171))</f>
        <v>0</v>
      </c>
      <c r="R172" s="84">
        <f t="shared" ca="1" si="20"/>
        <v>0</v>
      </c>
      <c r="S172" s="84">
        <f ca="1">IF('Invoer gegevens (N)'!$C$17=E172,M172,IF(C172=0,0,T171))</f>
        <v>0</v>
      </c>
      <c r="T172" s="84">
        <f t="shared" ca="1" si="29"/>
        <v>0</v>
      </c>
      <c r="AI172" s="71">
        <f ca="1">IF(C172=1,((F172+H172)/2*'Reeksen (N)'!AI172*12)+(('Invoer gegevens (N)'!$C$10-(F172+H172)/2)*'Reeksen (N)'!AD172*12),0)</f>
        <v>0</v>
      </c>
      <c r="AJ172" s="71">
        <f ca="1">-AI172*'Invoer gegevens (N)'!$F$28</f>
        <v>0</v>
      </c>
      <c r="AK172" s="71">
        <f t="shared" ca="1" si="24"/>
        <v>0</v>
      </c>
      <c r="AL172" s="71">
        <f ca="1">IF(C172=1,(12*((F172+H172)/2)*'Reeksen (N)'!AL172)+(12*('Invoer gegevens (N)'!$C$10-(F172+H172)/2)*'Reeksen (N)'!AM172),0)</f>
        <v>0</v>
      </c>
      <c r="AM172" s="71">
        <f ca="1">-AL172*'Invoer gegevens (N)'!$F$31</f>
        <v>0</v>
      </c>
      <c r="AN172" s="71">
        <f t="shared" ca="1" si="25"/>
        <v>0</v>
      </c>
      <c r="AO172" s="71"/>
      <c r="AP172" s="71"/>
      <c r="AQ172" s="71">
        <f ca="1">-IF(C172=1,('Invoer gegevens (N)'!$C$10*'Invoer gegevens (N)'!$F$35)*'Reeksen (N)'!J172,0)*2</f>
        <v>0</v>
      </c>
      <c r="AR172" s="71">
        <f ca="1">-IF(C172=1,(G172*'Invoer gegevens (N)'!$F$36)*'Reeksen (N)'!J172,0)</f>
        <v>0</v>
      </c>
      <c r="AS172" s="71">
        <f ca="1">-IF(C172=1,'Invoer gegevens (N)'!$C$10*'Invoer gegevens (N)'!$F$37*'Reeksen (N)'!L172,0)</f>
        <v>0</v>
      </c>
      <c r="AT172" s="71">
        <f ca="1">-IF(C172=1,IF(E172='Invoer gegevens (N)'!$C$17,'Invoer gegevens (N)'!$C$11,Q172)*'Reeksen (N)'!S172*'Invoer gegevens (N)'!$C$18*'Reeksen (N)'!P172,0)</f>
        <v>0</v>
      </c>
      <c r="AU172" s="71">
        <f ca="1">-IF(C172=1,'Invoer gegevens (N)'!$C$10*'Invoer gegevens (N)'!$F$38*'Reeksen (N)'!H172,0)</f>
        <v>0</v>
      </c>
      <c r="AV172" s="71">
        <v>0</v>
      </c>
      <c r="AW172" s="71">
        <f t="shared" ca="1" si="26"/>
        <v>0</v>
      </c>
      <c r="AX172" s="71">
        <f ca="1">IF(E172&lt;'Invoer gegevens (N)'!$C$17+15,0,IF('RW - MW - DE - DE (N)'!E172&gt;'Invoer gegevens (N)'!$C$17+215,0,'RW - MW - DE - DE (N)'!AW172))</f>
        <v>0</v>
      </c>
      <c r="AY172" s="71">
        <f ca="1">AX172/(1+'Invoer gegevens (N)'!$F$13)^($AZ172-('Invoer gegevens (N)'!$C$17-'Invoer gegevens (N)'!$C$16))/(1+'Invoer gegevens (N)'!$C$39)^('Invoer gegevens (N)'!$C$17-'Invoer gegevens (N)'!$C$16)</f>
        <v>0</v>
      </c>
      <c r="AZ172" s="68">
        <f ca="1">IF(E172-'Invoer gegevens (N)'!$C$17-14.5&lt;0,0,E172-'Invoer gegevens (N)'!$C$17-14.5)</f>
        <v>152.5</v>
      </c>
      <c r="BC172" s="71"/>
    </row>
    <row r="173" spans="2:55" s="230" customFormat="1" x14ac:dyDescent="0.25">
      <c r="B173" s="70">
        <f t="shared" si="27"/>
        <v>169</v>
      </c>
      <c r="C173" s="67">
        <f ca="1">IF(E173-'Invoer gegevens (N)'!$C$17&lt;0,0,1)</f>
        <v>1</v>
      </c>
      <c r="D173" s="68">
        <f t="shared" si="28"/>
        <v>168.5</v>
      </c>
      <c r="E173" s="69">
        <f ca="1">IF('Invoer gegevens (N)'!$C$16="","",E172+1)</f>
        <v>2187</v>
      </c>
      <c r="F173" s="82">
        <f ca="1">IF('Invoer gegevens (N)'!$C$17=E173,'Invoer gegevens (N)'!$C$10,IF(C173=1,H172,0))</f>
        <v>0</v>
      </c>
      <c r="G173" s="83">
        <f ca="1">IF(C173&gt;=1,F173*'Reeksen (N)'!C173,0)</f>
        <v>0</v>
      </c>
      <c r="H173" s="84">
        <f t="shared" ca="1" si="21"/>
        <v>0</v>
      </c>
      <c r="I173" s="85">
        <f ca="1">IF('Invoer gegevens (N)'!$C$17=E173,'Invoer gegevens (N)'!$C$11,IF(C173=1,L172,0))</f>
        <v>0</v>
      </c>
      <c r="J173" s="86">
        <f ca="1">IF(C173&lt;1,0,IF('Reeksen (N)'!AD173&lt;='Reeksen (N)'!AE173,I173*'Reeksen (N)'!C173,0))</f>
        <v>0</v>
      </c>
      <c r="K173" s="86">
        <f ca="1">IF(C173&lt;1,0,IF('Reeksen (N)'!AD173&gt;'Reeksen (N)'!AE173,I173*'Reeksen (N)'!C173,0))</f>
        <v>0</v>
      </c>
      <c r="L173" s="86">
        <f t="shared" ca="1" si="22"/>
        <v>0</v>
      </c>
      <c r="M173" s="85">
        <f ca="1">IF('Invoer gegevens (N)'!$C$17=E173,'Invoer gegevens (N)'!$C$10-'Invoer gegevens (N)'!$C$11,IF(C173=1,P172,0))</f>
        <v>0</v>
      </c>
      <c r="N173" s="86">
        <f ca="1">IF(C173&lt;1,0,IF('Reeksen (N)'!AD173&lt;='Reeksen (N)'!AE173,M173*'Reeksen (N)'!C173,0))</f>
        <v>0</v>
      </c>
      <c r="O173" s="86">
        <f ca="1">IF(C173&lt;1,0,IF('Reeksen (N)'!AD173&gt;'Reeksen (N)'!AE173,M173*'Reeksen (N)'!C173,0))</f>
        <v>0</v>
      </c>
      <c r="P173" s="86">
        <f t="shared" ca="1" si="23"/>
        <v>0</v>
      </c>
      <c r="Q173" s="82">
        <f ca="1">IF('Invoer gegevens (N)'!$C$17=E173,I173,IF(C173=0,0,R172))</f>
        <v>0</v>
      </c>
      <c r="R173" s="84">
        <f t="shared" ca="1" si="20"/>
        <v>0</v>
      </c>
      <c r="S173" s="84">
        <f ca="1">IF('Invoer gegevens (N)'!$C$17=E173,M173,IF(C173=0,0,T172))</f>
        <v>0</v>
      </c>
      <c r="T173" s="84">
        <f t="shared" ca="1" si="29"/>
        <v>0</v>
      </c>
      <c r="AI173" s="71">
        <f ca="1">IF(C173=1,((F173+H173)/2*'Reeksen (N)'!AI173*12)+(('Invoer gegevens (N)'!$C$10-(F173+H173)/2)*'Reeksen (N)'!AD173*12),0)</f>
        <v>0</v>
      </c>
      <c r="AJ173" s="71">
        <f ca="1">-AI173*'Invoer gegevens (N)'!$F$28</f>
        <v>0</v>
      </c>
      <c r="AK173" s="71">
        <f t="shared" ca="1" si="24"/>
        <v>0</v>
      </c>
      <c r="AL173" s="71">
        <f ca="1">IF(C173=1,(12*((F173+H173)/2)*'Reeksen (N)'!AL173)+(12*('Invoer gegevens (N)'!$C$10-(F173+H173)/2)*'Reeksen (N)'!AM173),0)</f>
        <v>0</v>
      </c>
      <c r="AM173" s="71">
        <f ca="1">-AL173*'Invoer gegevens (N)'!$F$31</f>
        <v>0</v>
      </c>
      <c r="AN173" s="71">
        <f t="shared" ca="1" si="25"/>
        <v>0</v>
      </c>
      <c r="AO173" s="71"/>
      <c r="AP173" s="71"/>
      <c r="AQ173" s="71">
        <f ca="1">-IF(C173=1,('Invoer gegevens (N)'!$C$10*'Invoer gegevens (N)'!$F$35)*'Reeksen (N)'!J173,0)*2</f>
        <v>0</v>
      </c>
      <c r="AR173" s="71">
        <f ca="1">-IF(C173=1,(G173*'Invoer gegevens (N)'!$F$36)*'Reeksen (N)'!J173,0)</f>
        <v>0</v>
      </c>
      <c r="AS173" s="71">
        <f ca="1">-IF(C173=1,'Invoer gegevens (N)'!$C$10*'Invoer gegevens (N)'!$F$37*'Reeksen (N)'!L173,0)</f>
        <v>0</v>
      </c>
      <c r="AT173" s="71">
        <f ca="1">-IF(C173=1,IF(E173='Invoer gegevens (N)'!$C$17,'Invoer gegevens (N)'!$C$11,Q173)*'Reeksen (N)'!S173*'Invoer gegevens (N)'!$C$18*'Reeksen (N)'!P173,0)</f>
        <v>0</v>
      </c>
      <c r="AU173" s="71">
        <f ca="1">-IF(C173=1,'Invoer gegevens (N)'!$C$10*'Invoer gegevens (N)'!$F$38*'Reeksen (N)'!H173,0)</f>
        <v>0</v>
      </c>
      <c r="AV173" s="71">
        <v>0</v>
      </c>
      <c r="AW173" s="71">
        <f t="shared" ca="1" si="26"/>
        <v>0</v>
      </c>
      <c r="AX173" s="71">
        <f ca="1">IF(E173&lt;'Invoer gegevens (N)'!$C$17+15,0,IF('RW - MW - DE - DE (N)'!E173&gt;'Invoer gegevens (N)'!$C$17+215,0,'RW - MW - DE - DE (N)'!AW173))</f>
        <v>0</v>
      </c>
      <c r="AY173" s="71">
        <f ca="1">AX173/(1+'Invoer gegevens (N)'!$F$13)^($AZ173-('Invoer gegevens (N)'!$C$17-'Invoer gegevens (N)'!$C$16))/(1+'Invoer gegevens (N)'!$C$39)^('Invoer gegevens (N)'!$C$17-'Invoer gegevens (N)'!$C$16)</f>
        <v>0</v>
      </c>
      <c r="AZ173" s="68">
        <f ca="1">IF(E173-'Invoer gegevens (N)'!$C$17-14.5&lt;0,0,E173-'Invoer gegevens (N)'!$C$17-14.5)</f>
        <v>153.5</v>
      </c>
      <c r="BC173" s="71"/>
    </row>
    <row r="174" spans="2:55" s="230" customFormat="1" x14ac:dyDescent="0.25">
      <c r="B174" s="70">
        <f t="shared" si="27"/>
        <v>170</v>
      </c>
      <c r="C174" s="67">
        <f ca="1">IF(E174-'Invoer gegevens (N)'!$C$17&lt;0,0,1)</f>
        <v>1</v>
      </c>
      <c r="D174" s="68">
        <f t="shared" si="28"/>
        <v>169.5</v>
      </c>
      <c r="E174" s="69">
        <f ca="1">IF('Invoer gegevens (N)'!$C$16="","",E173+1)</f>
        <v>2188</v>
      </c>
      <c r="F174" s="82">
        <f ca="1">IF('Invoer gegevens (N)'!$C$17=E174,'Invoer gegevens (N)'!$C$10,IF(C174=1,H173,0))</f>
        <v>0</v>
      </c>
      <c r="G174" s="83">
        <f ca="1">IF(C174&gt;=1,F174*'Reeksen (N)'!C174,0)</f>
        <v>0</v>
      </c>
      <c r="H174" s="84">
        <f t="shared" ca="1" si="21"/>
        <v>0</v>
      </c>
      <c r="I174" s="85">
        <f ca="1">IF('Invoer gegevens (N)'!$C$17=E174,'Invoer gegevens (N)'!$C$11,IF(C174=1,L173,0))</f>
        <v>0</v>
      </c>
      <c r="J174" s="86">
        <f ca="1">IF(C174&lt;1,0,IF('Reeksen (N)'!AD174&lt;='Reeksen (N)'!AE174,I174*'Reeksen (N)'!C174,0))</f>
        <v>0</v>
      </c>
      <c r="K174" s="86">
        <f ca="1">IF(C174&lt;1,0,IF('Reeksen (N)'!AD174&gt;'Reeksen (N)'!AE174,I174*'Reeksen (N)'!C174,0))</f>
        <v>0</v>
      </c>
      <c r="L174" s="86">
        <f t="shared" ca="1" si="22"/>
        <v>0</v>
      </c>
      <c r="M174" s="85">
        <f ca="1">IF('Invoer gegevens (N)'!$C$17=E174,'Invoer gegevens (N)'!$C$10-'Invoer gegevens (N)'!$C$11,IF(C174=1,P173,0))</f>
        <v>0</v>
      </c>
      <c r="N174" s="86">
        <f ca="1">IF(C174&lt;1,0,IF('Reeksen (N)'!AD174&lt;='Reeksen (N)'!AE174,M174*'Reeksen (N)'!C174,0))</f>
        <v>0</v>
      </c>
      <c r="O174" s="86">
        <f ca="1">IF(C174&lt;1,0,IF('Reeksen (N)'!AD174&gt;'Reeksen (N)'!AE174,M174*'Reeksen (N)'!C174,0))</f>
        <v>0</v>
      </c>
      <c r="P174" s="86">
        <f t="shared" ca="1" si="23"/>
        <v>0</v>
      </c>
      <c r="Q174" s="82">
        <f ca="1">IF('Invoer gegevens (N)'!$C$17=E174,I174,IF(C174=0,0,R173))</f>
        <v>0</v>
      </c>
      <c r="R174" s="84">
        <f t="shared" ca="1" si="20"/>
        <v>0</v>
      </c>
      <c r="S174" s="84">
        <f ca="1">IF('Invoer gegevens (N)'!$C$17=E174,M174,IF(C174=0,0,T173))</f>
        <v>0</v>
      </c>
      <c r="T174" s="84">
        <f t="shared" ca="1" si="29"/>
        <v>0</v>
      </c>
      <c r="AI174" s="71">
        <f ca="1">IF(C174=1,((F174+H174)/2*'Reeksen (N)'!AI174*12)+(('Invoer gegevens (N)'!$C$10-(F174+H174)/2)*'Reeksen (N)'!AD174*12),0)</f>
        <v>0</v>
      </c>
      <c r="AJ174" s="71">
        <f ca="1">-AI174*'Invoer gegevens (N)'!$F$28</f>
        <v>0</v>
      </c>
      <c r="AK174" s="71">
        <f t="shared" ca="1" si="24"/>
        <v>0</v>
      </c>
      <c r="AL174" s="71">
        <f ca="1">IF(C174=1,(12*((F174+H174)/2)*'Reeksen (N)'!AL174)+(12*('Invoer gegevens (N)'!$C$10-(F174+H174)/2)*'Reeksen (N)'!AM174),0)</f>
        <v>0</v>
      </c>
      <c r="AM174" s="71">
        <f ca="1">-AL174*'Invoer gegevens (N)'!$F$31</f>
        <v>0</v>
      </c>
      <c r="AN174" s="71">
        <f t="shared" ca="1" si="25"/>
        <v>0</v>
      </c>
      <c r="AO174" s="71"/>
      <c r="AP174" s="71"/>
      <c r="AQ174" s="71">
        <f ca="1">-IF(C174=1,('Invoer gegevens (N)'!$C$10*'Invoer gegevens (N)'!$F$35)*'Reeksen (N)'!J174,0)*2</f>
        <v>0</v>
      </c>
      <c r="AR174" s="71">
        <f ca="1">-IF(C174=1,(G174*'Invoer gegevens (N)'!$F$36)*'Reeksen (N)'!J174,0)</f>
        <v>0</v>
      </c>
      <c r="AS174" s="71">
        <f ca="1">-IF(C174=1,'Invoer gegevens (N)'!$C$10*'Invoer gegevens (N)'!$F$37*'Reeksen (N)'!L174,0)</f>
        <v>0</v>
      </c>
      <c r="AT174" s="71">
        <f ca="1">-IF(C174=1,IF(E174='Invoer gegevens (N)'!$C$17,'Invoer gegevens (N)'!$C$11,Q174)*'Reeksen (N)'!S174*'Invoer gegevens (N)'!$C$18*'Reeksen (N)'!P174,0)</f>
        <v>0</v>
      </c>
      <c r="AU174" s="71">
        <f ca="1">-IF(C174=1,'Invoer gegevens (N)'!$C$10*'Invoer gegevens (N)'!$F$38*'Reeksen (N)'!H174,0)</f>
        <v>0</v>
      </c>
      <c r="AV174" s="71">
        <v>0</v>
      </c>
      <c r="AW174" s="71">
        <f t="shared" ca="1" si="26"/>
        <v>0</v>
      </c>
      <c r="AX174" s="71">
        <f ca="1">IF(E174&lt;'Invoer gegevens (N)'!$C$17+15,0,IF('RW - MW - DE - DE (N)'!E174&gt;'Invoer gegevens (N)'!$C$17+215,0,'RW - MW - DE - DE (N)'!AW174))</f>
        <v>0</v>
      </c>
      <c r="AY174" s="71">
        <f ca="1">AX174/(1+'Invoer gegevens (N)'!$F$13)^($AZ174-('Invoer gegevens (N)'!$C$17-'Invoer gegevens (N)'!$C$16))/(1+'Invoer gegevens (N)'!$C$39)^('Invoer gegevens (N)'!$C$17-'Invoer gegevens (N)'!$C$16)</f>
        <v>0</v>
      </c>
      <c r="AZ174" s="68">
        <f ca="1">IF(E174-'Invoer gegevens (N)'!$C$17-14.5&lt;0,0,E174-'Invoer gegevens (N)'!$C$17-14.5)</f>
        <v>154.5</v>
      </c>
      <c r="BC174" s="71"/>
    </row>
    <row r="175" spans="2:55" s="230" customFormat="1" x14ac:dyDescent="0.25">
      <c r="B175" s="70">
        <f t="shared" si="27"/>
        <v>171</v>
      </c>
      <c r="C175" s="67">
        <f ca="1">IF(E175-'Invoer gegevens (N)'!$C$17&lt;0,0,1)</f>
        <v>1</v>
      </c>
      <c r="D175" s="68">
        <f t="shared" si="28"/>
        <v>170.5</v>
      </c>
      <c r="E175" s="69">
        <f ca="1">IF('Invoer gegevens (N)'!$C$16="","",E174+1)</f>
        <v>2189</v>
      </c>
      <c r="F175" s="82">
        <f ca="1">IF('Invoer gegevens (N)'!$C$17=E175,'Invoer gegevens (N)'!$C$10,IF(C175=1,H174,0))</f>
        <v>0</v>
      </c>
      <c r="G175" s="83">
        <f ca="1">IF(C175&gt;=1,F175*'Reeksen (N)'!C175,0)</f>
        <v>0</v>
      </c>
      <c r="H175" s="84">
        <f t="shared" ca="1" si="21"/>
        <v>0</v>
      </c>
      <c r="I175" s="85">
        <f ca="1">IF('Invoer gegevens (N)'!$C$17=E175,'Invoer gegevens (N)'!$C$11,IF(C175=1,L174,0))</f>
        <v>0</v>
      </c>
      <c r="J175" s="86">
        <f ca="1">IF(C175&lt;1,0,IF('Reeksen (N)'!AD175&lt;='Reeksen (N)'!AE175,I175*'Reeksen (N)'!C175,0))</f>
        <v>0</v>
      </c>
      <c r="K175" s="86">
        <f ca="1">IF(C175&lt;1,0,IF('Reeksen (N)'!AD175&gt;'Reeksen (N)'!AE175,I175*'Reeksen (N)'!C175,0))</f>
        <v>0</v>
      </c>
      <c r="L175" s="86">
        <f t="shared" ca="1" si="22"/>
        <v>0</v>
      </c>
      <c r="M175" s="85">
        <f ca="1">IF('Invoer gegevens (N)'!$C$17=E175,'Invoer gegevens (N)'!$C$10-'Invoer gegevens (N)'!$C$11,IF(C175=1,P174,0))</f>
        <v>0</v>
      </c>
      <c r="N175" s="86">
        <f ca="1">IF(C175&lt;1,0,IF('Reeksen (N)'!AD175&lt;='Reeksen (N)'!AE175,M175*'Reeksen (N)'!C175,0))</f>
        <v>0</v>
      </c>
      <c r="O175" s="86">
        <f ca="1">IF(C175&lt;1,0,IF('Reeksen (N)'!AD175&gt;'Reeksen (N)'!AE175,M175*'Reeksen (N)'!C175,0))</f>
        <v>0</v>
      </c>
      <c r="P175" s="86">
        <f t="shared" ca="1" si="23"/>
        <v>0</v>
      </c>
      <c r="Q175" s="82">
        <f ca="1">IF('Invoer gegevens (N)'!$C$17=E175,I175,IF(C175=0,0,R174))</f>
        <v>0</v>
      </c>
      <c r="R175" s="84">
        <f t="shared" ca="1" si="20"/>
        <v>0</v>
      </c>
      <c r="S175" s="84">
        <f ca="1">IF('Invoer gegevens (N)'!$C$17=E175,M175,IF(C175=0,0,T174))</f>
        <v>0</v>
      </c>
      <c r="T175" s="84">
        <f t="shared" ca="1" si="29"/>
        <v>0</v>
      </c>
      <c r="AI175" s="71">
        <f ca="1">IF(C175=1,((F175+H175)/2*'Reeksen (N)'!AI175*12)+(('Invoer gegevens (N)'!$C$10-(F175+H175)/2)*'Reeksen (N)'!AD175*12),0)</f>
        <v>0</v>
      </c>
      <c r="AJ175" s="71">
        <f ca="1">-AI175*'Invoer gegevens (N)'!$F$28</f>
        <v>0</v>
      </c>
      <c r="AK175" s="71">
        <f t="shared" ca="1" si="24"/>
        <v>0</v>
      </c>
      <c r="AL175" s="71">
        <f ca="1">IF(C175=1,(12*((F175+H175)/2)*'Reeksen (N)'!AL175)+(12*('Invoer gegevens (N)'!$C$10-(F175+H175)/2)*'Reeksen (N)'!AM175),0)</f>
        <v>0</v>
      </c>
      <c r="AM175" s="71">
        <f ca="1">-AL175*'Invoer gegevens (N)'!$F$31</f>
        <v>0</v>
      </c>
      <c r="AN175" s="71">
        <f t="shared" ca="1" si="25"/>
        <v>0</v>
      </c>
      <c r="AO175" s="71"/>
      <c r="AP175" s="71"/>
      <c r="AQ175" s="71">
        <f ca="1">-IF(C175=1,('Invoer gegevens (N)'!$C$10*'Invoer gegevens (N)'!$F$35)*'Reeksen (N)'!J175,0)*2</f>
        <v>0</v>
      </c>
      <c r="AR175" s="71">
        <f ca="1">-IF(C175=1,(G175*'Invoer gegevens (N)'!$F$36)*'Reeksen (N)'!J175,0)</f>
        <v>0</v>
      </c>
      <c r="AS175" s="71">
        <f ca="1">-IF(C175=1,'Invoer gegevens (N)'!$C$10*'Invoer gegevens (N)'!$F$37*'Reeksen (N)'!L175,0)</f>
        <v>0</v>
      </c>
      <c r="AT175" s="71">
        <f ca="1">-IF(C175=1,IF(E175='Invoer gegevens (N)'!$C$17,'Invoer gegevens (N)'!$C$11,Q175)*'Reeksen (N)'!S175*'Invoer gegevens (N)'!$C$18*'Reeksen (N)'!P175,0)</f>
        <v>0</v>
      </c>
      <c r="AU175" s="71">
        <f ca="1">-IF(C175=1,'Invoer gegevens (N)'!$C$10*'Invoer gegevens (N)'!$F$38*'Reeksen (N)'!H175,0)</f>
        <v>0</v>
      </c>
      <c r="AV175" s="71">
        <v>0</v>
      </c>
      <c r="AW175" s="71">
        <f t="shared" ca="1" si="26"/>
        <v>0</v>
      </c>
      <c r="AX175" s="71">
        <f ca="1">IF(E175&lt;'Invoer gegevens (N)'!$C$17+15,0,IF('RW - MW - DE - DE (N)'!E175&gt;'Invoer gegevens (N)'!$C$17+215,0,'RW - MW - DE - DE (N)'!AW175))</f>
        <v>0</v>
      </c>
      <c r="AY175" s="71">
        <f ca="1">AX175/(1+'Invoer gegevens (N)'!$F$13)^($AZ175-('Invoer gegevens (N)'!$C$17-'Invoer gegevens (N)'!$C$16))/(1+'Invoer gegevens (N)'!$C$39)^('Invoer gegevens (N)'!$C$17-'Invoer gegevens (N)'!$C$16)</f>
        <v>0</v>
      </c>
      <c r="AZ175" s="68">
        <f ca="1">IF(E175-'Invoer gegevens (N)'!$C$17-14.5&lt;0,0,E175-'Invoer gegevens (N)'!$C$17-14.5)</f>
        <v>155.5</v>
      </c>
      <c r="BC175" s="71"/>
    </row>
    <row r="176" spans="2:55" s="230" customFormat="1" x14ac:dyDescent="0.25">
      <c r="B176" s="70">
        <f t="shared" si="27"/>
        <v>172</v>
      </c>
      <c r="C176" s="67">
        <f ca="1">IF(E176-'Invoer gegevens (N)'!$C$17&lt;0,0,1)</f>
        <v>1</v>
      </c>
      <c r="D176" s="68">
        <f t="shared" si="28"/>
        <v>171.5</v>
      </c>
      <c r="E176" s="69">
        <f ca="1">IF('Invoer gegevens (N)'!$C$16="","",E175+1)</f>
        <v>2190</v>
      </c>
      <c r="F176" s="82">
        <f ca="1">IF('Invoer gegevens (N)'!$C$17=E176,'Invoer gegevens (N)'!$C$10,IF(C176=1,H175,0))</f>
        <v>0</v>
      </c>
      <c r="G176" s="83">
        <f ca="1">IF(C176&gt;=1,F176*'Reeksen (N)'!C176,0)</f>
        <v>0</v>
      </c>
      <c r="H176" s="84">
        <f t="shared" ca="1" si="21"/>
        <v>0</v>
      </c>
      <c r="I176" s="85">
        <f ca="1">IF('Invoer gegevens (N)'!$C$17=E176,'Invoer gegevens (N)'!$C$11,IF(C176=1,L175,0))</f>
        <v>0</v>
      </c>
      <c r="J176" s="86">
        <f ca="1">IF(C176&lt;1,0,IF('Reeksen (N)'!AD176&lt;='Reeksen (N)'!AE176,I176*'Reeksen (N)'!C176,0))</f>
        <v>0</v>
      </c>
      <c r="K176" s="86">
        <f ca="1">IF(C176&lt;1,0,IF('Reeksen (N)'!AD176&gt;'Reeksen (N)'!AE176,I176*'Reeksen (N)'!C176,0))</f>
        <v>0</v>
      </c>
      <c r="L176" s="86">
        <f t="shared" ca="1" si="22"/>
        <v>0</v>
      </c>
      <c r="M176" s="85">
        <f ca="1">IF('Invoer gegevens (N)'!$C$17=E176,'Invoer gegevens (N)'!$C$10-'Invoer gegevens (N)'!$C$11,IF(C176=1,P175,0))</f>
        <v>0</v>
      </c>
      <c r="N176" s="86">
        <f ca="1">IF(C176&lt;1,0,IF('Reeksen (N)'!AD176&lt;='Reeksen (N)'!AE176,M176*'Reeksen (N)'!C176,0))</f>
        <v>0</v>
      </c>
      <c r="O176" s="86">
        <f ca="1">IF(C176&lt;1,0,IF('Reeksen (N)'!AD176&gt;'Reeksen (N)'!AE176,M176*'Reeksen (N)'!C176,0))</f>
        <v>0</v>
      </c>
      <c r="P176" s="86">
        <f t="shared" ca="1" si="23"/>
        <v>0</v>
      </c>
      <c r="Q176" s="82">
        <f ca="1">IF('Invoer gegevens (N)'!$C$17=E176,I176,IF(C176=0,0,R175))</f>
        <v>0</v>
      </c>
      <c r="R176" s="84">
        <f t="shared" ca="1" si="20"/>
        <v>0</v>
      </c>
      <c r="S176" s="84">
        <f ca="1">IF('Invoer gegevens (N)'!$C$17=E176,M176,IF(C176=0,0,T175))</f>
        <v>0</v>
      </c>
      <c r="T176" s="84">
        <f t="shared" ca="1" si="29"/>
        <v>0</v>
      </c>
      <c r="AI176" s="71">
        <f ca="1">IF(C176=1,((F176+H176)/2*'Reeksen (N)'!AI176*12)+(('Invoer gegevens (N)'!$C$10-(F176+H176)/2)*'Reeksen (N)'!AD176*12),0)</f>
        <v>0</v>
      </c>
      <c r="AJ176" s="71">
        <f ca="1">-AI176*'Invoer gegevens (N)'!$F$28</f>
        <v>0</v>
      </c>
      <c r="AK176" s="71">
        <f t="shared" ca="1" si="24"/>
        <v>0</v>
      </c>
      <c r="AL176" s="71">
        <f ca="1">IF(C176=1,(12*((F176+H176)/2)*'Reeksen (N)'!AL176)+(12*('Invoer gegevens (N)'!$C$10-(F176+H176)/2)*'Reeksen (N)'!AM176),0)</f>
        <v>0</v>
      </c>
      <c r="AM176" s="71">
        <f ca="1">-AL176*'Invoer gegevens (N)'!$F$31</f>
        <v>0</v>
      </c>
      <c r="AN176" s="71">
        <f t="shared" ca="1" si="25"/>
        <v>0</v>
      </c>
      <c r="AO176" s="71"/>
      <c r="AP176" s="71"/>
      <c r="AQ176" s="71">
        <f ca="1">-IF(C176=1,('Invoer gegevens (N)'!$C$10*'Invoer gegevens (N)'!$F$35)*'Reeksen (N)'!J176,0)*2</f>
        <v>0</v>
      </c>
      <c r="AR176" s="71">
        <f ca="1">-IF(C176=1,(G176*'Invoer gegevens (N)'!$F$36)*'Reeksen (N)'!J176,0)</f>
        <v>0</v>
      </c>
      <c r="AS176" s="71">
        <f ca="1">-IF(C176=1,'Invoer gegevens (N)'!$C$10*'Invoer gegevens (N)'!$F$37*'Reeksen (N)'!L176,0)</f>
        <v>0</v>
      </c>
      <c r="AT176" s="71">
        <f ca="1">-IF(C176=1,IF(E176='Invoer gegevens (N)'!$C$17,'Invoer gegevens (N)'!$C$11,Q176)*'Reeksen (N)'!S176*'Invoer gegevens (N)'!$C$18*'Reeksen (N)'!P176,0)</f>
        <v>0</v>
      </c>
      <c r="AU176" s="71">
        <f ca="1">-IF(C176=1,'Invoer gegevens (N)'!$C$10*'Invoer gegevens (N)'!$F$38*'Reeksen (N)'!H176,0)</f>
        <v>0</v>
      </c>
      <c r="AV176" s="71">
        <v>0</v>
      </c>
      <c r="AW176" s="71">
        <f t="shared" ca="1" si="26"/>
        <v>0</v>
      </c>
      <c r="AX176" s="71">
        <f ca="1">IF(E176&lt;'Invoer gegevens (N)'!$C$17+15,0,IF('RW - MW - DE - DE (N)'!E176&gt;'Invoer gegevens (N)'!$C$17+215,0,'RW - MW - DE - DE (N)'!AW176))</f>
        <v>0</v>
      </c>
      <c r="AY176" s="71">
        <f ca="1">AX176/(1+'Invoer gegevens (N)'!$F$13)^($AZ176-('Invoer gegevens (N)'!$C$17-'Invoer gegevens (N)'!$C$16))/(1+'Invoer gegevens (N)'!$C$39)^('Invoer gegevens (N)'!$C$17-'Invoer gegevens (N)'!$C$16)</f>
        <v>0</v>
      </c>
      <c r="AZ176" s="68">
        <f ca="1">IF(E176-'Invoer gegevens (N)'!$C$17-14.5&lt;0,0,E176-'Invoer gegevens (N)'!$C$17-14.5)</f>
        <v>156.5</v>
      </c>
      <c r="BC176" s="71"/>
    </row>
    <row r="177" spans="2:55" s="230" customFormat="1" x14ac:dyDescent="0.25">
      <c r="B177" s="70">
        <f t="shared" si="27"/>
        <v>173</v>
      </c>
      <c r="C177" s="67">
        <f ca="1">IF(E177-'Invoer gegevens (N)'!$C$17&lt;0,0,1)</f>
        <v>1</v>
      </c>
      <c r="D177" s="68">
        <f t="shared" si="28"/>
        <v>172.5</v>
      </c>
      <c r="E177" s="69">
        <f ca="1">IF('Invoer gegevens (N)'!$C$16="","",E176+1)</f>
        <v>2191</v>
      </c>
      <c r="F177" s="82">
        <f ca="1">IF('Invoer gegevens (N)'!$C$17=E177,'Invoer gegevens (N)'!$C$10,IF(C177=1,H176,0))</f>
        <v>0</v>
      </c>
      <c r="G177" s="83">
        <f ca="1">IF(C177&gt;=1,F177*'Reeksen (N)'!C177,0)</f>
        <v>0</v>
      </c>
      <c r="H177" s="84">
        <f t="shared" ca="1" si="21"/>
        <v>0</v>
      </c>
      <c r="I177" s="85">
        <f ca="1">IF('Invoer gegevens (N)'!$C$17=E177,'Invoer gegevens (N)'!$C$11,IF(C177=1,L176,0))</f>
        <v>0</v>
      </c>
      <c r="J177" s="86">
        <f ca="1">IF(C177&lt;1,0,IF('Reeksen (N)'!AD177&lt;='Reeksen (N)'!AE177,I177*'Reeksen (N)'!C177,0))</f>
        <v>0</v>
      </c>
      <c r="K177" s="86">
        <f ca="1">IF(C177&lt;1,0,IF('Reeksen (N)'!AD177&gt;'Reeksen (N)'!AE177,I177*'Reeksen (N)'!C177,0))</f>
        <v>0</v>
      </c>
      <c r="L177" s="86">
        <f t="shared" ca="1" si="22"/>
        <v>0</v>
      </c>
      <c r="M177" s="85">
        <f ca="1">IF('Invoer gegevens (N)'!$C$17=E177,'Invoer gegevens (N)'!$C$10-'Invoer gegevens (N)'!$C$11,IF(C177=1,P176,0))</f>
        <v>0</v>
      </c>
      <c r="N177" s="86">
        <f ca="1">IF(C177&lt;1,0,IF('Reeksen (N)'!AD177&lt;='Reeksen (N)'!AE177,M177*'Reeksen (N)'!C177,0))</f>
        <v>0</v>
      </c>
      <c r="O177" s="86">
        <f ca="1">IF(C177&lt;1,0,IF('Reeksen (N)'!AD177&gt;'Reeksen (N)'!AE177,M177*'Reeksen (N)'!C177,0))</f>
        <v>0</v>
      </c>
      <c r="P177" s="86">
        <f t="shared" ca="1" si="23"/>
        <v>0</v>
      </c>
      <c r="Q177" s="82">
        <f ca="1">IF('Invoer gegevens (N)'!$C$17=E177,I177,IF(C177=0,0,R176))</f>
        <v>0</v>
      </c>
      <c r="R177" s="84">
        <f t="shared" ca="1" si="20"/>
        <v>0</v>
      </c>
      <c r="S177" s="84">
        <f ca="1">IF('Invoer gegevens (N)'!$C$17=E177,M177,IF(C177=0,0,T176))</f>
        <v>0</v>
      </c>
      <c r="T177" s="84">
        <f t="shared" ca="1" si="29"/>
        <v>0</v>
      </c>
      <c r="AI177" s="71">
        <f ca="1">IF(C177=1,((F177+H177)/2*'Reeksen (N)'!AI177*12)+(('Invoer gegevens (N)'!$C$10-(F177+H177)/2)*'Reeksen (N)'!AD177*12),0)</f>
        <v>0</v>
      </c>
      <c r="AJ177" s="71">
        <f ca="1">-AI177*'Invoer gegevens (N)'!$F$28</f>
        <v>0</v>
      </c>
      <c r="AK177" s="71">
        <f t="shared" ca="1" si="24"/>
        <v>0</v>
      </c>
      <c r="AL177" s="71">
        <f ca="1">IF(C177=1,(12*((F177+H177)/2)*'Reeksen (N)'!AL177)+(12*('Invoer gegevens (N)'!$C$10-(F177+H177)/2)*'Reeksen (N)'!AM177),0)</f>
        <v>0</v>
      </c>
      <c r="AM177" s="71">
        <f ca="1">-AL177*'Invoer gegevens (N)'!$F$31</f>
        <v>0</v>
      </c>
      <c r="AN177" s="71">
        <f t="shared" ca="1" si="25"/>
        <v>0</v>
      </c>
      <c r="AO177" s="71"/>
      <c r="AP177" s="71"/>
      <c r="AQ177" s="71">
        <f ca="1">-IF(C177=1,('Invoer gegevens (N)'!$C$10*'Invoer gegevens (N)'!$F$35)*'Reeksen (N)'!J177,0)*2</f>
        <v>0</v>
      </c>
      <c r="AR177" s="71">
        <f ca="1">-IF(C177=1,(G177*'Invoer gegevens (N)'!$F$36)*'Reeksen (N)'!J177,0)</f>
        <v>0</v>
      </c>
      <c r="AS177" s="71">
        <f ca="1">-IF(C177=1,'Invoer gegevens (N)'!$C$10*'Invoer gegevens (N)'!$F$37*'Reeksen (N)'!L177,0)</f>
        <v>0</v>
      </c>
      <c r="AT177" s="71">
        <f ca="1">-IF(C177=1,IF(E177='Invoer gegevens (N)'!$C$17,'Invoer gegevens (N)'!$C$11,Q177)*'Reeksen (N)'!S177*'Invoer gegevens (N)'!$C$18*'Reeksen (N)'!P177,0)</f>
        <v>0</v>
      </c>
      <c r="AU177" s="71">
        <f ca="1">-IF(C177=1,'Invoer gegevens (N)'!$C$10*'Invoer gegevens (N)'!$F$38*'Reeksen (N)'!H177,0)</f>
        <v>0</v>
      </c>
      <c r="AV177" s="71">
        <v>0</v>
      </c>
      <c r="AW177" s="71">
        <f t="shared" ca="1" si="26"/>
        <v>0</v>
      </c>
      <c r="AX177" s="71">
        <f ca="1">IF(E177&lt;'Invoer gegevens (N)'!$C$17+15,0,IF('RW - MW - DE - DE (N)'!E177&gt;'Invoer gegevens (N)'!$C$17+215,0,'RW - MW - DE - DE (N)'!AW177))</f>
        <v>0</v>
      </c>
      <c r="AY177" s="71">
        <f ca="1">AX177/(1+'Invoer gegevens (N)'!$F$13)^($AZ177-('Invoer gegevens (N)'!$C$17-'Invoer gegevens (N)'!$C$16))/(1+'Invoer gegevens (N)'!$C$39)^('Invoer gegevens (N)'!$C$17-'Invoer gegevens (N)'!$C$16)</f>
        <v>0</v>
      </c>
      <c r="AZ177" s="68">
        <f ca="1">IF(E177-'Invoer gegevens (N)'!$C$17-14.5&lt;0,0,E177-'Invoer gegevens (N)'!$C$17-14.5)</f>
        <v>157.5</v>
      </c>
      <c r="BC177" s="71"/>
    </row>
    <row r="178" spans="2:55" s="230" customFormat="1" x14ac:dyDescent="0.25">
      <c r="B178" s="70">
        <f t="shared" si="27"/>
        <v>174</v>
      </c>
      <c r="C178" s="67">
        <f ca="1">IF(E178-'Invoer gegevens (N)'!$C$17&lt;0,0,1)</f>
        <v>1</v>
      </c>
      <c r="D178" s="68">
        <f t="shared" si="28"/>
        <v>173.5</v>
      </c>
      <c r="E178" s="69">
        <f ca="1">IF('Invoer gegevens (N)'!$C$16="","",E177+1)</f>
        <v>2192</v>
      </c>
      <c r="F178" s="82">
        <f ca="1">IF('Invoer gegevens (N)'!$C$17=E178,'Invoer gegevens (N)'!$C$10,IF(C178=1,H177,0))</f>
        <v>0</v>
      </c>
      <c r="G178" s="83">
        <f ca="1">IF(C178&gt;=1,F178*'Reeksen (N)'!C178,0)</f>
        <v>0</v>
      </c>
      <c r="H178" s="84">
        <f t="shared" ca="1" si="21"/>
        <v>0</v>
      </c>
      <c r="I178" s="85">
        <f ca="1">IF('Invoer gegevens (N)'!$C$17=E178,'Invoer gegevens (N)'!$C$11,IF(C178=1,L177,0))</f>
        <v>0</v>
      </c>
      <c r="J178" s="86">
        <f ca="1">IF(C178&lt;1,0,IF('Reeksen (N)'!AD178&lt;='Reeksen (N)'!AE178,I178*'Reeksen (N)'!C178,0))</f>
        <v>0</v>
      </c>
      <c r="K178" s="86">
        <f ca="1">IF(C178&lt;1,0,IF('Reeksen (N)'!AD178&gt;'Reeksen (N)'!AE178,I178*'Reeksen (N)'!C178,0))</f>
        <v>0</v>
      </c>
      <c r="L178" s="86">
        <f t="shared" ca="1" si="22"/>
        <v>0</v>
      </c>
      <c r="M178" s="85">
        <f ca="1">IF('Invoer gegevens (N)'!$C$17=E178,'Invoer gegevens (N)'!$C$10-'Invoer gegevens (N)'!$C$11,IF(C178=1,P177,0))</f>
        <v>0</v>
      </c>
      <c r="N178" s="86">
        <f ca="1">IF(C178&lt;1,0,IF('Reeksen (N)'!AD178&lt;='Reeksen (N)'!AE178,M178*'Reeksen (N)'!C178,0))</f>
        <v>0</v>
      </c>
      <c r="O178" s="86">
        <f ca="1">IF(C178&lt;1,0,IF('Reeksen (N)'!AD178&gt;'Reeksen (N)'!AE178,M178*'Reeksen (N)'!C178,0))</f>
        <v>0</v>
      </c>
      <c r="P178" s="86">
        <f t="shared" ca="1" si="23"/>
        <v>0</v>
      </c>
      <c r="Q178" s="82">
        <f ca="1">IF('Invoer gegevens (N)'!$C$17=E178,I178,IF(C178=0,0,R177))</f>
        <v>0</v>
      </c>
      <c r="R178" s="84">
        <f t="shared" ca="1" si="20"/>
        <v>0</v>
      </c>
      <c r="S178" s="84">
        <f ca="1">IF('Invoer gegevens (N)'!$C$17=E178,M178,IF(C178=0,0,T177))</f>
        <v>0</v>
      </c>
      <c r="T178" s="84">
        <f t="shared" ca="1" si="29"/>
        <v>0</v>
      </c>
      <c r="AI178" s="71">
        <f ca="1">IF(C178=1,((F178+H178)/2*'Reeksen (N)'!AI178*12)+(('Invoer gegevens (N)'!$C$10-(F178+H178)/2)*'Reeksen (N)'!AD178*12),0)</f>
        <v>0</v>
      </c>
      <c r="AJ178" s="71">
        <f ca="1">-AI178*'Invoer gegevens (N)'!$F$28</f>
        <v>0</v>
      </c>
      <c r="AK178" s="71">
        <f t="shared" ca="1" si="24"/>
        <v>0</v>
      </c>
      <c r="AL178" s="71">
        <f ca="1">IF(C178=1,(12*((F178+H178)/2)*'Reeksen (N)'!AL178)+(12*('Invoer gegevens (N)'!$C$10-(F178+H178)/2)*'Reeksen (N)'!AM178),0)</f>
        <v>0</v>
      </c>
      <c r="AM178" s="71">
        <f ca="1">-AL178*'Invoer gegevens (N)'!$F$31</f>
        <v>0</v>
      </c>
      <c r="AN178" s="71">
        <f t="shared" ca="1" si="25"/>
        <v>0</v>
      </c>
      <c r="AO178" s="71"/>
      <c r="AP178" s="71"/>
      <c r="AQ178" s="71">
        <f ca="1">-IF(C178=1,('Invoer gegevens (N)'!$C$10*'Invoer gegevens (N)'!$F$35)*'Reeksen (N)'!J178,0)*2</f>
        <v>0</v>
      </c>
      <c r="AR178" s="71">
        <f ca="1">-IF(C178=1,(G178*'Invoer gegevens (N)'!$F$36)*'Reeksen (N)'!J178,0)</f>
        <v>0</v>
      </c>
      <c r="AS178" s="71">
        <f ca="1">-IF(C178=1,'Invoer gegevens (N)'!$C$10*'Invoer gegevens (N)'!$F$37*'Reeksen (N)'!L178,0)</f>
        <v>0</v>
      </c>
      <c r="AT178" s="71">
        <f ca="1">-IF(C178=1,IF(E178='Invoer gegevens (N)'!$C$17,'Invoer gegevens (N)'!$C$11,Q178)*'Reeksen (N)'!S178*'Invoer gegevens (N)'!$C$18*'Reeksen (N)'!P178,0)</f>
        <v>0</v>
      </c>
      <c r="AU178" s="71">
        <f ca="1">-IF(C178=1,'Invoer gegevens (N)'!$C$10*'Invoer gegevens (N)'!$F$38*'Reeksen (N)'!H178,0)</f>
        <v>0</v>
      </c>
      <c r="AV178" s="71">
        <v>0</v>
      </c>
      <c r="AW178" s="71">
        <f t="shared" ca="1" si="26"/>
        <v>0</v>
      </c>
      <c r="AX178" s="71">
        <f ca="1">IF(E178&lt;'Invoer gegevens (N)'!$C$17+15,0,IF('RW - MW - DE - DE (N)'!E178&gt;'Invoer gegevens (N)'!$C$17+215,0,'RW - MW - DE - DE (N)'!AW178))</f>
        <v>0</v>
      </c>
      <c r="AY178" s="71">
        <f ca="1">AX178/(1+'Invoer gegevens (N)'!$F$13)^($AZ178-('Invoer gegevens (N)'!$C$17-'Invoer gegevens (N)'!$C$16))/(1+'Invoer gegevens (N)'!$C$39)^('Invoer gegevens (N)'!$C$17-'Invoer gegevens (N)'!$C$16)</f>
        <v>0</v>
      </c>
      <c r="AZ178" s="68">
        <f ca="1">IF(E178-'Invoer gegevens (N)'!$C$17-14.5&lt;0,0,E178-'Invoer gegevens (N)'!$C$17-14.5)</f>
        <v>158.5</v>
      </c>
      <c r="BC178" s="71"/>
    </row>
    <row r="179" spans="2:55" s="230" customFormat="1" x14ac:dyDescent="0.25">
      <c r="B179" s="70">
        <f t="shared" si="27"/>
        <v>175</v>
      </c>
      <c r="C179" s="67">
        <f ca="1">IF(E179-'Invoer gegevens (N)'!$C$17&lt;0,0,1)</f>
        <v>1</v>
      </c>
      <c r="D179" s="68">
        <f t="shared" si="28"/>
        <v>174.5</v>
      </c>
      <c r="E179" s="69">
        <f ca="1">IF('Invoer gegevens (N)'!$C$16="","",E178+1)</f>
        <v>2193</v>
      </c>
      <c r="F179" s="82">
        <f ca="1">IF('Invoer gegevens (N)'!$C$17=E179,'Invoer gegevens (N)'!$C$10,IF(C179=1,H178,0))</f>
        <v>0</v>
      </c>
      <c r="G179" s="83">
        <f ca="1">IF(C179&gt;=1,F179*'Reeksen (N)'!C179,0)</f>
        <v>0</v>
      </c>
      <c r="H179" s="84">
        <f t="shared" ca="1" si="21"/>
        <v>0</v>
      </c>
      <c r="I179" s="85">
        <f ca="1">IF('Invoer gegevens (N)'!$C$17=E179,'Invoer gegevens (N)'!$C$11,IF(C179=1,L178,0))</f>
        <v>0</v>
      </c>
      <c r="J179" s="86">
        <f ca="1">IF(C179&lt;1,0,IF('Reeksen (N)'!AD179&lt;='Reeksen (N)'!AE179,I179*'Reeksen (N)'!C179,0))</f>
        <v>0</v>
      </c>
      <c r="K179" s="86">
        <f ca="1">IF(C179&lt;1,0,IF('Reeksen (N)'!AD179&gt;'Reeksen (N)'!AE179,I179*'Reeksen (N)'!C179,0))</f>
        <v>0</v>
      </c>
      <c r="L179" s="86">
        <f t="shared" ca="1" si="22"/>
        <v>0</v>
      </c>
      <c r="M179" s="85">
        <f ca="1">IF('Invoer gegevens (N)'!$C$17=E179,'Invoer gegevens (N)'!$C$10-'Invoer gegevens (N)'!$C$11,IF(C179=1,P178,0))</f>
        <v>0</v>
      </c>
      <c r="N179" s="86">
        <f ca="1">IF(C179&lt;1,0,IF('Reeksen (N)'!AD179&lt;='Reeksen (N)'!AE179,M179*'Reeksen (N)'!C179,0))</f>
        <v>0</v>
      </c>
      <c r="O179" s="86">
        <f ca="1">IF(C179&lt;1,0,IF('Reeksen (N)'!AD179&gt;'Reeksen (N)'!AE179,M179*'Reeksen (N)'!C179,0))</f>
        <v>0</v>
      </c>
      <c r="P179" s="86">
        <f t="shared" ca="1" si="23"/>
        <v>0</v>
      </c>
      <c r="Q179" s="82">
        <f ca="1">IF('Invoer gegevens (N)'!$C$17=E179,I179,IF(C179=0,0,R178))</f>
        <v>0</v>
      </c>
      <c r="R179" s="84">
        <f t="shared" ca="1" si="20"/>
        <v>0</v>
      </c>
      <c r="S179" s="84">
        <f ca="1">IF('Invoer gegevens (N)'!$C$17=E179,M179,IF(C179=0,0,T178))</f>
        <v>0</v>
      </c>
      <c r="T179" s="84">
        <f t="shared" ca="1" si="29"/>
        <v>0</v>
      </c>
      <c r="AI179" s="71">
        <f ca="1">IF(C179=1,((F179+H179)/2*'Reeksen (N)'!AI179*12)+(('Invoer gegevens (N)'!$C$10-(F179+H179)/2)*'Reeksen (N)'!AD179*12),0)</f>
        <v>0</v>
      </c>
      <c r="AJ179" s="71">
        <f ca="1">-AI179*'Invoer gegevens (N)'!$F$28</f>
        <v>0</v>
      </c>
      <c r="AK179" s="71">
        <f t="shared" ca="1" si="24"/>
        <v>0</v>
      </c>
      <c r="AL179" s="71">
        <f ca="1">IF(C179=1,(12*((F179+H179)/2)*'Reeksen (N)'!AL179)+(12*('Invoer gegevens (N)'!$C$10-(F179+H179)/2)*'Reeksen (N)'!AM179),0)</f>
        <v>0</v>
      </c>
      <c r="AM179" s="71">
        <f ca="1">-AL179*'Invoer gegevens (N)'!$F$31</f>
        <v>0</v>
      </c>
      <c r="AN179" s="71">
        <f t="shared" ca="1" si="25"/>
        <v>0</v>
      </c>
      <c r="AO179" s="71"/>
      <c r="AP179" s="71"/>
      <c r="AQ179" s="71">
        <f ca="1">-IF(C179=1,('Invoer gegevens (N)'!$C$10*'Invoer gegevens (N)'!$F$35)*'Reeksen (N)'!J179,0)*2</f>
        <v>0</v>
      </c>
      <c r="AR179" s="71">
        <f ca="1">-IF(C179=1,(G179*'Invoer gegevens (N)'!$F$36)*'Reeksen (N)'!J179,0)</f>
        <v>0</v>
      </c>
      <c r="AS179" s="71">
        <f ca="1">-IF(C179=1,'Invoer gegevens (N)'!$C$10*'Invoer gegevens (N)'!$F$37*'Reeksen (N)'!L179,0)</f>
        <v>0</v>
      </c>
      <c r="AT179" s="71">
        <f ca="1">-IF(C179=1,IF(E179='Invoer gegevens (N)'!$C$17,'Invoer gegevens (N)'!$C$11,Q179)*'Reeksen (N)'!S179*'Invoer gegevens (N)'!$C$18*'Reeksen (N)'!P179,0)</f>
        <v>0</v>
      </c>
      <c r="AU179" s="71">
        <f ca="1">-IF(C179=1,'Invoer gegevens (N)'!$C$10*'Invoer gegevens (N)'!$F$38*'Reeksen (N)'!H179,0)</f>
        <v>0</v>
      </c>
      <c r="AV179" s="71">
        <v>0</v>
      </c>
      <c r="AW179" s="71">
        <f t="shared" ca="1" si="26"/>
        <v>0</v>
      </c>
      <c r="AX179" s="71">
        <f ca="1">IF(E179&lt;'Invoer gegevens (N)'!$C$17+15,0,IF('RW - MW - DE - DE (N)'!E179&gt;'Invoer gegevens (N)'!$C$17+215,0,'RW - MW - DE - DE (N)'!AW179))</f>
        <v>0</v>
      </c>
      <c r="AY179" s="71">
        <f ca="1">AX179/(1+'Invoer gegevens (N)'!$F$13)^($AZ179-('Invoer gegevens (N)'!$C$17-'Invoer gegevens (N)'!$C$16))/(1+'Invoer gegevens (N)'!$C$39)^('Invoer gegevens (N)'!$C$17-'Invoer gegevens (N)'!$C$16)</f>
        <v>0</v>
      </c>
      <c r="AZ179" s="68">
        <f ca="1">IF(E179-'Invoer gegevens (N)'!$C$17-14.5&lt;0,0,E179-'Invoer gegevens (N)'!$C$17-14.5)</f>
        <v>159.5</v>
      </c>
      <c r="BC179" s="71"/>
    </row>
    <row r="180" spans="2:55" s="230" customFormat="1" x14ac:dyDescent="0.25">
      <c r="B180" s="70">
        <f t="shared" si="27"/>
        <v>176</v>
      </c>
      <c r="C180" s="67">
        <f ca="1">IF(E180-'Invoer gegevens (N)'!$C$17&lt;0,0,1)</f>
        <v>1</v>
      </c>
      <c r="D180" s="68">
        <f t="shared" si="28"/>
        <v>175.5</v>
      </c>
      <c r="E180" s="69">
        <f ca="1">IF('Invoer gegevens (N)'!$C$16="","",E179+1)</f>
        <v>2194</v>
      </c>
      <c r="F180" s="82">
        <f ca="1">IF('Invoer gegevens (N)'!$C$17=E180,'Invoer gegevens (N)'!$C$10,IF(C180=1,H179,0))</f>
        <v>0</v>
      </c>
      <c r="G180" s="83">
        <f ca="1">IF(C180&gt;=1,F180*'Reeksen (N)'!C180,0)</f>
        <v>0</v>
      </c>
      <c r="H180" s="84">
        <f t="shared" ca="1" si="21"/>
        <v>0</v>
      </c>
      <c r="I180" s="85">
        <f ca="1">IF('Invoer gegevens (N)'!$C$17=E180,'Invoer gegevens (N)'!$C$11,IF(C180=1,L179,0))</f>
        <v>0</v>
      </c>
      <c r="J180" s="86">
        <f ca="1">IF(C180&lt;1,0,IF('Reeksen (N)'!AD180&lt;='Reeksen (N)'!AE180,I180*'Reeksen (N)'!C180,0))</f>
        <v>0</v>
      </c>
      <c r="K180" s="86">
        <f ca="1">IF(C180&lt;1,0,IF('Reeksen (N)'!AD180&gt;'Reeksen (N)'!AE180,I180*'Reeksen (N)'!C180,0))</f>
        <v>0</v>
      </c>
      <c r="L180" s="86">
        <f t="shared" ca="1" si="22"/>
        <v>0</v>
      </c>
      <c r="M180" s="85">
        <f ca="1">IF('Invoer gegevens (N)'!$C$17=E180,'Invoer gegevens (N)'!$C$10-'Invoer gegevens (N)'!$C$11,IF(C180=1,P179,0))</f>
        <v>0</v>
      </c>
      <c r="N180" s="86">
        <f ca="1">IF(C180&lt;1,0,IF('Reeksen (N)'!AD180&lt;='Reeksen (N)'!AE180,M180*'Reeksen (N)'!C180,0))</f>
        <v>0</v>
      </c>
      <c r="O180" s="86">
        <f ca="1">IF(C180&lt;1,0,IF('Reeksen (N)'!AD180&gt;'Reeksen (N)'!AE180,M180*'Reeksen (N)'!C180,0))</f>
        <v>0</v>
      </c>
      <c r="P180" s="86">
        <f t="shared" ca="1" si="23"/>
        <v>0</v>
      </c>
      <c r="Q180" s="82">
        <f ca="1">IF('Invoer gegevens (N)'!$C$17=E180,I180,IF(C180=0,0,R179))</f>
        <v>0</v>
      </c>
      <c r="R180" s="84">
        <f t="shared" ca="1" si="20"/>
        <v>0</v>
      </c>
      <c r="S180" s="84">
        <f ca="1">IF('Invoer gegevens (N)'!$C$17=E180,M180,IF(C180=0,0,T179))</f>
        <v>0</v>
      </c>
      <c r="T180" s="84">
        <f t="shared" ca="1" si="29"/>
        <v>0</v>
      </c>
      <c r="AI180" s="71">
        <f ca="1">IF(C180=1,((F180+H180)/2*'Reeksen (N)'!AI180*12)+(('Invoer gegevens (N)'!$C$10-(F180+H180)/2)*'Reeksen (N)'!AD180*12),0)</f>
        <v>0</v>
      </c>
      <c r="AJ180" s="71">
        <f ca="1">-AI180*'Invoer gegevens (N)'!$F$28</f>
        <v>0</v>
      </c>
      <c r="AK180" s="71">
        <f t="shared" ca="1" si="24"/>
        <v>0</v>
      </c>
      <c r="AL180" s="71">
        <f ca="1">IF(C180=1,(12*((F180+H180)/2)*'Reeksen (N)'!AL180)+(12*('Invoer gegevens (N)'!$C$10-(F180+H180)/2)*'Reeksen (N)'!AM180),0)</f>
        <v>0</v>
      </c>
      <c r="AM180" s="71">
        <f ca="1">-AL180*'Invoer gegevens (N)'!$F$31</f>
        <v>0</v>
      </c>
      <c r="AN180" s="71">
        <f t="shared" ca="1" si="25"/>
        <v>0</v>
      </c>
      <c r="AO180" s="71"/>
      <c r="AP180" s="71"/>
      <c r="AQ180" s="71">
        <f ca="1">-IF(C180=1,('Invoer gegevens (N)'!$C$10*'Invoer gegevens (N)'!$F$35)*'Reeksen (N)'!J180,0)*2</f>
        <v>0</v>
      </c>
      <c r="AR180" s="71">
        <f ca="1">-IF(C180=1,(G180*'Invoer gegevens (N)'!$F$36)*'Reeksen (N)'!J180,0)</f>
        <v>0</v>
      </c>
      <c r="AS180" s="71">
        <f ca="1">-IF(C180=1,'Invoer gegevens (N)'!$C$10*'Invoer gegevens (N)'!$F$37*'Reeksen (N)'!L180,0)</f>
        <v>0</v>
      </c>
      <c r="AT180" s="71">
        <f ca="1">-IF(C180=1,IF(E180='Invoer gegevens (N)'!$C$17,'Invoer gegevens (N)'!$C$11,Q180)*'Reeksen (N)'!S180*'Invoer gegevens (N)'!$C$18*'Reeksen (N)'!P180,0)</f>
        <v>0</v>
      </c>
      <c r="AU180" s="71">
        <f ca="1">-IF(C180=1,'Invoer gegevens (N)'!$C$10*'Invoer gegevens (N)'!$F$38*'Reeksen (N)'!H180,0)</f>
        <v>0</v>
      </c>
      <c r="AV180" s="71">
        <v>0</v>
      </c>
      <c r="AW180" s="71">
        <f t="shared" ca="1" si="26"/>
        <v>0</v>
      </c>
      <c r="AX180" s="71">
        <f ca="1">IF(E180&lt;'Invoer gegevens (N)'!$C$17+15,0,IF('RW - MW - DE - DE (N)'!E180&gt;'Invoer gegevens (N)'!$C$17+215,0,'RW - MW - DE - DE (N)'!AW180))</f>
        <v>0</v>
      </c>
      <c r="AY180" s="71">
        <f ca="1">AX180/(1+'Invoer gegevens (N)'!$F$13)^($AZ180-('Invoer gegevens (N)'!$C$17-'Invoer gegevens (N)'!$C$16))/(1+'Invoer gegevens (N)'!$C$39)^('Invoer gegevens (N)'!$C$17-'Invoer gegevens (N)'!$C$16)</f>
        <v>0</v>
      </c>
      <c r="AZ180" s="68">
        <f ca="1">IF(E180-'Invoer gegevens (N)'!$C$17-14.5&lt;0,0,E180-'Invoer gegevens (N)'!$C$17-14.5)</f>
        <v>160.5</v>
      </c>
      <c r="BC180" s="71"/>
    </row>
    <row r="181" spans="2:55" s="230" customFormat="1" x14ac:dyDescent="0.25">
      <c r="B181" s="70">
        <f t="shared" si="27"/>
        <v>177</v>
      </c>
      <c r="C181" s="67">
        <f ca="1">IF(E181-'Invoer gegevens (N)'!$C$17&lt;0,0,1)</f>
        <v>1</v>
      </c>
      <c r="D181" s="68">
        <f t="shared" si="28"/>
        <v>176.5</v>
      </c>
      <c r="E181" s="69">
        <f ca="1">IF('Invoer gegevens (N)'!$C$16="","",E180+1)</f>
        <v>2195</v>
      </c>
      <c r="F181" s="82">
        <f ca="1">IF('Invoer gegevens (N)'!$C$17=E181,'Invoer gegevens (N)'!$C$10,IF(C181=1,H180,0))</f>
        <v>0</v>
      </c>
      <c r="G181" s="83">
        <f ca="1">IF(C181&gt;=1,F181*'Reeksen (N)'!C181,0)</f>
        <v>0</v>
      </c>
      <c r="H181" s="84">
        <f t="shared" ca="1" si="21"/>
        <v>0</v>
      </c>
      <c r="I181" s="85">
        <f ca="1">IF('Invoer gegevens (N)'!$C$17=E181,'Invoer gegevens (N)'!$C$11,IF(C181=1,L180,0))</f>
        <v>0</v>
      </c>
      <c r="J181" s="86">
        <f ca="1">IF(C181&lt;1,0,IF('Reeksen (N)'!AD181&lt;='Reeksen (N)'!AE181,I181*'Reeksen (N)'!C181,0))</f>
        <v>0</v>
      </c>
      <c r="K181" s="86">
        <f ca="1">IF(C181&lt;1,0,IF('Reeksen (N)'!AD181&gt;'Reeksen (N)'!AE181,I181*'Reeksen (N)'!C181,0))</f>
        <v>0</v>
      </c>
      <c r="L181" s="86">
        <f t="shared" ca="1" si="22"/>
        <v>0</v>
      </c>
      <c r="M181" s="85">
        <f ca="1">IF('Invoer gegevens (N)'!$C$17=E181,'Invoer gegevens (N)'!$C$10-'Invoer gegevens (N)'!$C$11,IF(C181=1,P180,0))</f>
        <v>0</v>
      </c>
      <c r="N181" s="86">
        <f ca="1">IF(C181&lt;1,0,IF('Reeksen (N)'!AD181&lt;='Reeksen (N)'!AE181,M181*'Reeksen (N)'!C181,0))</f>
        <v>0</v>
      </c>
      <c r="O181" s="86">
        <f ca="1">IF(C181&lt;1,0,IF('Reeksen (N)'!AD181&gt;'Reeksen (N)'!AE181,M181*'Reeksen (N)'!C181,0))</f>
        <v>0</v>
      </c>
      <c r="P181" s="86">
        <f t="shared" ca="1" si="23"/>
        <v>0</v>
      </c>
      <c r="Q181" s="82">
        <f ca="1">IF('Invoer gegevens (N)'!$C$17=E181,I181,IF(C181=0,0,R180))</f>
        <v>0</v>
      </c>
      <c r="R181" s="84">
        <f t="shared" ca="1" si="20"/>
        <v>0</v>
      </c>
      <c r="S181" s="84">
        <f ca="1">IF('Invoer gegevens (N)'!$C$17=E181,M181,IF(C181=0,0,T180))</f>
        <v>0</v>
      </c>
      <c r="T181" s="84">
        <f t="shared" ca="1" si="29"/>
        <v>0</v>
      </c>
      <c r="AI181" s="71">
        <f ca="1">IF(C181=1,((F181+H181)/2*'Reeksen (N)'!AI181*12)+(('Invoer gegevens (N)'!$C$10-(F181+H181)/2)*'Reeksen (N)'!AD181*12),0)</f>
        <v>0</v>
      </c>
      <c r="AJ181" s="71">
        <f ca="1">-AI181*'Invoer gegevens (N)'!$F$28</f>
        <v>0</v>
      </c>
      <c r="AK181" s="71">
        <f t="shared" ca="1" si="24"/>
        <v>0</v>
      </c>
      <c r="AL181" s="71">
        <f ca="1">IF(C181=1,(12*((F181+H181)/2)*'Reeksen (N)'!AL181)+(12*('Invoer gegevens (N)'!$C$10-(F181+H181)/2)*'Reeksen (N)'!AM181),0)</f>
        <v>0</v>
      </c>
      <c r="AM181" s="71">
        <f ca="1">-AL181*'Invoer gegevens (N)'!$F$31</f>
        <v>0</v>
      </c>
      <c r="AN181" s="71">
        <f t="shared" ca="1" si="25"/>
        <v>0</v>
      </c>
      <c r="AO181" s="71"/>
      <c r="AP181" s="71"/>
      <c r="AQ181" s="71">
        <f ca="1">-IF(C181=1,('Invoer gegevens (N)'!$C$10*'Invoer gegevens (N)'!$F$35)*'Reeksen (N)'!J181,0)*2</f>
        <v>0</v>
      </c>
      <c r="AR181" s="71">
        <f ca="1">-IF(C181=1,(G181*'Invoer gegevens (N)'!$F$36)*'Reeksen (N)'!J181,0)</f>
        <v>0</v>
      </c>
      <c r="AS181" s="71">
        <f ca="1">-IF(C181=1,'Invoer gegevens (N)'!$C$10*'Invoer gegevens (N)'!$F$37*'Reeksen (N)'!L181,0)</f>
        <v>0</v>
      </c>
      <c r="AT181" s="71">
        <f ca="1">-IF(C181=1,IF(E181='Invoer gegevens (N)'!$C$17,'Invoer gegevens (N)'!$C$11,Q181)*'Reeksen (N)'!S181*'Invoer gegevens (N)'!$C$18*'Reeksen (N)'!P181,0)</f>
        <v>0</v>
      </c>
      <c r="AU181" s="71">
        <f ca="1">-IF(C181=1,'Invoer gegevens (N)'!$C$10*'Invoer gegevens (N)'!$F$38*'Reeksen (N)'!H181,0)</f>
        <v>0</v>
      </c>
      <c r="AV181" s="71">
        <v>0</v>
      </c>
      <c r="AW181" s="71">
        <f t="shared" ca="1" si="26"/>
        <v>0</v>
      </c>
      <c r="AX181" s="71">
        <f ca="1">IF(E181&lt;'Invoer gegevens (N)'!$C$17+15,0,IF('RW - MW - DE - DE (N)'!E181&gt;'Invoer gegevens (N)'!$C$17+215,0,'RW - MW - DE - DE (N)'!AW181))</f>
        <v>0</v>
      </c>
      <c r="AY181" s="71">
        <f ca="1">AX181/(1+'Invoer gegevens (N)'!$F$13)^($AZ181-('Invoer gegevens (N)'!$C$17-'Invoer gegevens (N)'!$C$16))/(1+'Invoer gegevens (N)'!$C$39)^('Invoer gegevens (N)'!$C$17-'Invoer gegevens (N)'!$C$16)</f>
        <v>0</v>
      </c>
      <c r="AZ181" s="68">
        <f ca="1">IF(E181-'Invoer gegevens (N)'!$C$17-14.5&lt;0,0,E181-'Invoer gegevens (N)'!$C$17-14.5)</f>
        <v>161.5</v>
      </c>
      <c r="BC181" s="71"/>
    </row>
    <row r="182" spans="2:55" s="230" customFormat="1" x14ac:dyDescent="0.25">
      <c r="B182" s="70">
        <f t="shared" si="27"/>
        <v>178</v>
      </c>
      <c r="C182" s="67">
        <f ca="1">IF(E182-'Invoer gegevens (N)'!$C$17&lt;0,0,1)</f>
        <v>1</v>
      </c>
      <c r="D182" s="68">
        <f t="shared" si="28"/>
        <v>177.5</v>
      </c>
      <c r="E182" s="69">
        <f ca="1">IF('Invoer gegevens (N)'!$C$16="","",E181+1)</f>
        <v>2196</v>
      </c>
      <c r="F182" s="82">
        <f ca="1">IF('Invoer gegevens (N)'!$C$17=E182,'Invoer gegevens (N)'!$C$10,IF(C182=1,H181,0))</f>
        <v>0</v>
      </c>
      <c r="G182" s="83">
        <f ca="1">IF(C182&gt;=1,F182*'Reeksen (N)'!C182,0)</f>
        <v>0</v>
      </c>
      <c r="H182" s="84">
        <f t="shared" ca="1" si="21"/>
        <v>0</v>
      </c>
      <c r="I182" s="85">
        <f ca="1">IF('Invoer gegevens (N)'!$C$17=E182,'Invoer gegevens (N)'!$C$11,IF(C182=1,L181,0))</f>
        <v>0</v>
      </c>
      <c r="J182" s="86">
        <f ca="1">IF(C182&lt;1,0,IF('Reeksen (N)'!AD182&lt;='Reeksen (N)'!AE182,I182*'Reeksen (N)'!C182,0))</f>
        <v>0</v>
      </c>
      <c r="K182" s="86">
        <f ca="1">IF(C182&lt;1,0,IF('Reeksen (N)'!AD182&gt;'Reeksen (N)'!AE182,I182*'Reeksen (N)'!C182,0))</f>
        <v>0</v>
      </c>
      <c r="L182" s="86">
        <f t="shared" ca="1" si="22"/>
        <v>0</v>
      </c>
      <c r="M182" s="85">
        <f ca="1">IF('Invoer gegevens (N)'!$C$17=E182,'Invoer gegevens (N)'!$C$10-'Invoer gegevens (N)'!$C$11,IF(C182=1,P181,0))</f>
        <v>0</v>
      </c>
      <c r="N182" s="86">
        <f ca="1">IF(C182&lt;1,0,IF('Reeksen (N)'!AD182&lt;='Reeksen (N)'!AE182,M182*'Reeksen (N)'!C182,0))</f>
        <v>0</v>
      </c>
      <c r="O182" s="86">
        <f ca="1">IF(C182&lt;1,0,IF('Reeksen (N)'!AD182&gt;'Reeksen (N)'!AE182,M182*'Reeksen (N)'!C182,0))</f>
        <v>0</v>
      </c>
      <c r="P182" s="86">
        <f t="shared" ca="1" si="23"/>
        <v>0</v>
      </c>
      <c r="Q182" s="82">
        <f ca="1">IF('Invoer gegevens (N)'!$C$17=E182,I182,IF(C182=0,0,R181))</f>
        <v>0</v>
      </c>
      <c r="R182" s="84">
        <f t="shared" ca="1" si="20"/>
        <v>0</v>
      </c>
      <c r="S182" s="84">
        <f ca="1">IF('Invoer gegevens (N)'!$C$17=E182,M182,IF(C182=0,0,T181))</f>
        <v>0</v>
      </c>
      <c r="T182" s="84">
        <f t="shared" ca="1" si="29"/>
        <v>0</v>
      </c>
      <c r="AI182" s="71">
        <f ca="1">IF(C182=1,((F182+H182)/2*'Reeksen (N)'!AI182*12)+(('Invoer gegevens (N)'!$C$10-(F182+H182)/2)*'Reeksen (N)'!AD182*12),0)</f>
        <v>0</v>
      </c>
      <c r="AJ182" s="71">
        <f ca="1">-AI182*'Invoer gegevens (N)'!$F$28</f>
        <v>0</v>
      </c>
      <c r="AK182" s="71">
        <f t="shared" ca="1" si="24"/>
        <v>0</v>
      </c>
      <c r="AL182" s="71">
        <f ca="1">IF(C182=1,(12*((F182+H182)/2)*'Reeksen (N)'!AL182)+(12*('Invoer gegevens (N)'!$C$10-(F182+H182)/2)*'Reeksen (N)'!AM182),0)</f>
        <v>0</v>
      </c>
      <c r="AM182" s="71">
        <f ca="1">-AL182*'Invoer gegevens (N)'!$F$31</f>
        <v>0</v>
      </c>
      <c r="AN182" s="71">
        <f t="shared" ca="1" si="25"/>
        <v>0</v>
      </c>
      <c r="AO182" s="71"/>
      <c r="AP182" s="71"/>
      <c r="AQ182" s="71">
        <f ca="1">-IF(C182=1,('Invoer gegevens (N)'!$C$10*'Invoer gegevens (N)'!$F$35)*'Reeksen (N)'!J182,0)*2</f>
        <v>0</v>
      </c>
      <c r="AR182" s="71">
        <f ca="1">-IF(C182=1,(G182*'Invoer gegevens (N)'!$F$36)*'Reeksen (N)'!J182,0)</f>
        <v>0</v>
      </c>
      <c r="AS182" s="71">
        <f ca="1">-IF(C182=1,'Invoer gegevens (N)'!$C$10*'Invoer gegevens (N)'!$F$37*'Reeksen (N)'!L182,0)</f>
        <v>0</v>
      </c>
      <c r="AT182" s="71">
        <f ca="1">-IF(C182=1,IF(E182='Invoer gegevens (N)'!$C$17,'Invoer gegevens (N)'!$C$11,Q182)*'Reeksen (N)'!S182*'Invoer gegevens (N)'!$C$18*'Reeksen (N)'!P182,0)</f>
        <v>0</v>
      </c>
      <c r="AU182" s="71">
        <f ca="1">-IF(C182=1,'Invoer gegevens (N)'!$C$10*'Invoer gegevens (N)'!$F$38*'Reeksen (N)'!H182,0)</f>
        <v>0</v>
      </c>
      <c r="AV182" s="71">
        <v>0</v>
      </c>
      <c r="AW182" s="71">
        <f t="shared" ca="1" si="26"/>
        <v>0</v>
      </c>
      <c r="AX182" s="71">
        <f ca="1">IF(E182&lt;'Invoer gegevens (N)'!$C$17+15,0,IF('RW - MW - DE - DE (N)'!E182&gt;'Invoer gegevens (N)'!$C$17+215,0,'RW - MW - DE - DE (N)'!AW182))</f>
        <v>0</v>
      </c>
      <c r="AY182" s="71">
        <f ca="1">AX182/(1+'Invoer gegevens (N)'!$F$13)^($AZ182-('Invoer gegevens (N)'!$C$17-'Invoer gegevens (N)'!$C$16))/(1+'Invoer gegevens (N)'!$C$39)^('Invoer gegevens (N)'!$C$17-'Invoer gegevens (N)'!$C$16)</f>
        <v>0</v>
      </c>
      <c r="AZ182" s="68">
        <f ca="1">IF(E182-'Invoer gegevens (N)'!$C$17-14.5&lt;0,0,E182-'Invoer gegevens (N)'!$C$17-14.5)</f>
        <v>162.5</v>
      </c>
      <c r="BC182" s="71"/>
    </row>
    <row r="183" spans="2:55" s="230" customFormat="1" x14ac:dyDescent="0.25">
      <c r="B183" s="70">
        <f t="shared" si="27"/>
        <v>179</v>
      </c>
      <c r="C183" s="67">
        <f ca="1">IF(E183-'Invoer gegevens (N)'!$C$17&lt;0,0,1)</f>
        <v>1</v>
      </c>
      <c r="D183" s="68">
        <f t="shared" si="28"/>
        <v>178.5</v>
      </c>
      <c r="E183" s="69">
        <f ca="1">IF('Invoer gegevens (N)'!$C$16="","",E182+1)</f>
        <v>2197</v>
      </c>
      <c r="F183" s="82">
        <f ca="1">IF('Invoer gegevens (N)'!$C$17=E183,'Invoer gegevens (N)'!$C$10,IF(C183=1,H182,0))</f>
        <v>0</v>
      </c>
      <c r="G183" s="83">
        <f ca="1">IF(C183&gt;=1,F183*'Reeksen (N)'!C183,0)</f>
        <v>0</v>
      </c>
      <c r="H183" s="84">
        <f t="shared" ca="1" si="21"/>
        <v>0</v>
      </c>
      <c r="I183" s="85">
        <f ca="1">IF('Invoer gegevens (N)'!$C$17=E183,'Invoer gegevens (N)'!$C$11,IF(C183=1,L182,0))</f>
        <v>0</v>
      </c>
      <c r="J183" s="86">
        <f ca="1">IF(C183&lt;1,0,IF('Reeksen (N)'!AD183&lt;='Reeksen (N)'!AE183,I183*'Reeksen (N)'!C183,0))</f>
        <v>0</v>
      </c>
      <c r="K183" s="86">
        <f ca="1">IF(C183&lt;1,0,IF('Reeksen (N)'!AD183&gt;'Reeksen (N)'!AE183,I183*'Reeksen (N)'!C183,0))</f>
        <v>0</v>
      </c>
      <c r="L183" s="86">
        <f t="shared" ca="1" si="22"/>
        <v>0</v>
      </c>
      <c r="M183" s="85">
        <f ca="1">IF('Invoer gegevens (N)'!$C$17=E183,'Invoer gegevens (N)'!$C$10-'Invoer gegevens (N)'!$C$11,IF(C183=1,P182,0))</f>
        <v>0</v>
      </c>
      <c r="N183" s="86">
        <f ca="1">IF(C183&lt;1,0,IF('Reeksen (N)'!AD183&lt;='Reeksen (N)'!AE183,M183*'Reeksen (N)'!C183,0))</f>
        <v>0</v>
      </c>
      <c r="O183" s="86">
        <f ca="1">IF(C183&lt;1,0,IF('Reeksen (N)'!AD183&gt;'Reeksen (N)'!AE183,M183*'Reeksen (N)'!C183,0))</f>
        <v>0</v>
      </c>
      <c r="P183" s="86">
        <f t="shared" ca="1" si="23"/>
        <v>0</v>
      </c>
      <c r="Q183" s="82">
        <f ca="1">IF('Invoer gegevens (N)'!$C$17=E183,I183,IF(C183=0,0,R182))</f>
        <v>0</v>
      </c>
      <c r="R183" s="84">
        <f t="shared" ca="1" si="20"/>
        <v>0</v>
      </c>
      <c r="S183" s="84">
        <f ca="1">IF('Invoer gegevens (N)'!$C$17=E183,M183,IF(C183=0,0,T182))</f>
        <v>0</v>
      </c>
      <c r="T183" s="84">
        <f t="shared" ca="1" si="29"/>
        <v>0</v>
      </c>
      <c r="AI183" s="71">
        <f ca="1">IF(C183=1,((F183+H183)/2*'Reeksen (N)'!AI183*12)+(('Invoer gegevens (N)'!$C$10-(F183+H183)/2)*'Reeksen (N)'!AD183*12),0)</f>
        <v>0</v>
      </c>
      <c r="AJ183" s="71">
        <f ca="1">-AI183*'Invoer gegevens (N)'!$F$28</f>
        <v>0</v>
      </c>
      <c r="AK183" s="71">
        <f t="shared" ca="1" si="24"/>
        <v>0</v>
      </c>
      <c r="AL183" s="71">
        <f ca="1">IF(C183=1,(12*((F183+H183)/2)*'Reeksen (N)'!AL183)+(12*('Invoer gegevens (N)'!$C$10-(F183+H183)/2)*'Reeksen (N)'!AM183),0)</f>
        <v>0</v>
      </c>
      <c r="AM183" s="71">
        <f ca="1">-AL183*'Invoer gegevens (N)'!$F$31</f>
        <v>0</v>
      </c>
      <c r="AN183" s="71">
        <f t="shared" ca="1" si="25"/>
        <v>0</v>
      </c>
      <c r="AO183" s="71"/>
      <c r="AP183" s="71"/>
      <c r="AQ183" s="71">
        <f ca="1">-IF(C183=1,('Invoer gegevens (N)'!$C$10*'Invoer gegevens (N)'!$F$35)*'Reeksen (N)'!J183,0)*2</f>
        <v>0</v>
      </c>
      <c r="AR183" s="71">
        <f ca="1">-IF(C183=1,(G183*'Invoer gegevens (N)'!$F$36)*'Reeksen (N)'!J183,0)</f>
        <v>0</v>
      </c>
      <c r="AS183" s="71">
        <f ca="1">-IF(C183=1,'Invoer gegevens (N)'!$C$10*'Invoer gegevens (N)'!$F$37*'Reeksen (N)'!L183,0)</f>
        <v>0</v>
      </c>
      <c r="AT183" s="71">
        <f ca="1">-IF(C183=1,IF(E183='Invoer gegevens (N)'!$C$17,'Invoer gegevens (N)'!$C$11,Q183)*'Reeksen (N)'!S183*'Invoer gegevens (N)'!$C$18*'Reeksen (N)'!P183,0)</f>
        <v>0</v>
      </c>
      <c r="AU183" s="71">
        <f ca="1">-IF(C183=1,'Invoer gegevens (N)'!$C$10*'Invoer gegevens (N)'!$F$38*'Reeksen (N)'!H183,0)</f>
        <v>0</v>
      </c>
      <c r="AV183" s="71">
        <v>0</v>
      </c>
      <c r="AW183" s="71">
        <f t="shared" ca="1" si="26"/>
        <v>0</v>
      </c>
      <c r="AX183" s="71">
        <f ca="1">IF(E183&lt;'Invoer gegevens (N)'!$C$17+15,0,IF('RW - MW - DE - DE (N)'!E183&gt;'Invoer gegevens (N)'!$C$17+215,0,'RW - MW - DE - DE (N)'!AW183))</f>
        <v>0</v>
      </c>
      <c r="AY183" s="71">
        <f ca="1">AX183/(1+'Invoer gegevens (N)'!$F$13)^($AZ183-('Invoer gegevens (N)'!$C$17-'Invoer gegevens (N)'!$C$16))/(1+'Invoer gegevens (N)'!$C$39)^('Invoer gegevens (N)'!$C$17-'Invoer gegevens (N)'!$C$16)</f>
        <v>0</v>
      </c>
      <c r="AZ183" s="68">
        <f ca="1">IF(E183-'Invoer gegevens (N)'!$C$17-14.5&lt;0,0,E183-'Invoer gegevens (N)'!$C$17-14.5)</f>
        <v>163.5</v>
      </c>
      <c r="BC183" s="71"/>
    </row>
    <row r="184" spans="2:55" s="230" customFormat="1" x14ac:dyDescent="0.25">
      <c r="B184" s="70">
        <f t="shared" si="27"/>
        <v>180</v>
      </c>
      <c r="C184" s="67">
        <f ca="1">IF(E184-'Invoer gegevens (N)'!$C$17&lt;0,0,1)</f>
        <v>1</v>
      </c>
      <c r="D184" s="68">
        <f t="shared" si="28"/>
        <v>179.5</v>
      </c>
      <c r="E184" s="69">
        <f ca="1">IF('Invoer gegevens (N)'!$C$16="","",E183+1)</f>
        <v>2198</v>
      </c>
      <c r="F184" s="82">
        <f ca="1">IF('Invoer gegevens (N)'!$C$17=E184,'Invoer gegevens (N)'!$C$10,IF(C184=1,H183,0))</f>
        <v>0</v>
      </c>
      <c r="G184" s="83">
        <f ca="1">IF(C184&gt;=1,F184*'Reeksen (N)'!C184,0)</f>
        <v>0</v>
      </c>
      <c r="H184" s="84">
        <f t="shared" ca="1" si="21"/>
        <v>0</v>
      </c>
      <c r="I184" s="85">
        <f ca="1">IF('Invoer gegevens (N)'!$C$17=E184,'Invoer gegevens (N)'!$C$11,IF(C184=1,L183,0))</f>
        <v>0</v>
      </c>
      <c r="J184" s="86">
        <f ca="1">IF(C184&lt;1,0,IF('Reeksen (N)'!AD184&lt;='Reeksen (N)'!AE184,I184*'Reeksen (N)'!C184,0))</f>
        <v>0</v>
      </c>
      <c r="K184" s="86">
        <f ca="1">IF(C184&lt;1,0,IF('Reeksen (N)'!AD184&gt;'Reeksen (N)'!AE184,I184*'Reeksen (N)'!C184,0))</f>
        <v>0</v>
      </c>
      <c r="L184" s="86">
        <f t="shared" ca="1" si="22"/>
        <v>0</v>
      </c>
      <c r="M184" s="85">
        <f ca="1">IF('Invoer gegevens (N)'!$C$17=E184,'Invoer gegevens (N)'!$C$10-'Invoer gegevens (N)'!$C$11,IF(C184=1,P183,0))</f>
        <v>0</v>
      </c>
      <c r="N184" s="86">
        <f ca="1">IF(C184&lt;1,0,IF('Reeksen (N)'!AD184&lt;='Reeksen (N)'!AE184,M184*'Reeksen (N)'!C184,0))</f>
        <v>0</v>
      </c>
      <c r="O184" s="86">
        <f ca="1">IF(C184&lt;1,0,IF('Reeksen (N)'!AD184&gt;'Reeksen (N)'!AE184,M184*'Reeksen (N)'!C184,0))</f>
        <v>0</v>
      </c>
      <c r="P184" s="86">
        <f t="shared" ca="1" si="23"/>
        <v>0</v>
      </c>
      <c r="Q184" s="82">
        <f ca="1">IF('Invoer gegevens (N)'!$C$17=E184,I184,IF(C184=0,0,R183))</f>
        <v>0</v>
      </c>
      <c r="R184" s="84">
        <f t="shared" ca="1" si="20"/>
        <v>0</v>
      </c>
      <c r="S184" s="84">
        <f ca="1">IF('Invoer gegevens (N)'!$C$17=E184,M184,IF(C184=0,0,T183))</f>
        <v>0</v>
      </c>
      <c r="T184" s="84">
        <f t="shared" ca="1" si="29"/>
        <v>0</v>
      </c>
      <c r="AI184" s="71">
        <f ca="1">IF(C184=1,((F184+H184)/2*'Reeksen (N)'!AI184*12)+(('Invoer gegevens (N)'!$C$10-(F184+H184)/2)*'Reeksen (N)'!AD184*12),0)</f>
        <v>0</v>
      </c>
      <c r="AJ184" s="71">
        <f ca="1">-AI184*'Invoer gegevens (N)'!$F$28</f>
        <v>0</v>
      </c>
      <c r="AK184" s="71">
        <f t="shared" ca="1" si="24"/>
        <v>0</v>
      </c>
      <c r="AL184" s="71">
        <f ca="1">IF(C184=1,(12*((F184+H184)/2)*'Reeksen (N)'!AL184)+(12*('Invoer gegevens (N)'!$C$10-(F184+H184)/2)*'Reeksen (N)'!AM184),0)</f>
        <v>0</v>
      </c>
      <c r="AM184" s="71">
        <f ca="1">-AL184*'Invoer gegevens (N)'!$F$31</f>
        <v>0</v>
      </c>
      <c r="AN184" s="71">
        <f t="shared" ca="1" si="25"/>
        <v>0</v>
      </c>
      <c r="AO184" s="71"/>
      <c r="AP184" s="71"/>
      <c r="AQ184" s="71">
        <f ca="1">-IF(C184=1,('Invoer gegevens (N)'!$C$10*'Invoer gegevens (N)'!$F$35)*'Reeksen (N)'!J184,0)*2</f>
        <v>0</v>
      </c>
      <c r="AR184" s="71">
        <f ca="1">-IF(C184=1,(G184*'Invoer gegevens (N)'!$F$36)*'Reeksen (N)'!J184,0)</f>
        <v>0</v>
      </c>
      <c r="AS184" s="71">
        <f ca="1">-IF(C184=1,'Invoer gegevens (N)'!$C$10*'Invoer gegevens (N)'!$F$37*'Reeksen (N)'!L184,0)</f>
        <v>0</v>
      </c>
      <c r="AT184" s="71">
        <f ca="1">-IF(C184=1,IF(E184='Invoer gegevens (N)'!$C$17,'Invoer gegevens (N)'!$C$11,Q184)*'Reeksen (N)'!S184*'Invoer gegevens (N)'!$C$18*'Reeksen (N)'!P184,0)</f>
        <v>0</v>
      </c>
      <c r="AU184" s="71">
        <f ca="1">-IF(C184=1,'Invoer gegevens (N)'!$C$10*'Invoer gegevens (N)'!$F$38*'Reeksen (N)'!H184,0)</f>
        <v>0</v>
      </c>
      <c r="AV184" s="71">
        <v>0</v>
      </c>
      <c r="AW184" s="71">
        <f t="shared" ca="1" si="26"/>
        <v>0</v>
      </c>
      <c r="AX184" s="71">
        <f ca="1">IF(E184&lt;'Invoer gegevens (N)'!$C$17+15,0,IF('RW - MW - DE - DE (N)'!E184&gt;'Invoer gegevens (N)'!$C$17+215,0,'RW - MW - DE - DE (N)'!AW184))</f>
        <v>0</v>
      </c>
      <c r="AY184" s="71">
        <f ca="1">AX184/(1+'Invoer gegevens (N)'!$F$13)^($AZ184-('Invoer gegevens (N)'!$C$17-'Invoer gegevens (N)'!$C$16))/(1+'Invoer gegevens (N)'!$C$39)^('Invoer gegevens (N)'!$C$17-'Invoer gegevens (N)'!$C$16)</f>
        <v>0</v>
      </c>
      <c r="AZ184" s="68">
        <f ca="1">IF(E184-'Invoer gegevens (N)'!$C$17-14.5&lt;0,0,E184-'Invoer gegevens (N)'!$C$17-14.5)</f>
        <v>164.5</v>
      </c>
      <c r="BC184" s="71"/>
    </row>
    <row r="185" spans="2:55" s="230" customFormat="1" x14ac:dyDescent="0.25">
      <c r="B185" s="70">
        <f t="shared" si="27"/>
        <v>181</v>
      </c>
      <c r="C185" s="67">
        <f ca="1">IF(E185-'Invoer gegevens (N)'!$C$17&lt;0,0,1)</f>
        <v>1</v>
      </c>
      <c r="D185" s="68">
        <f t="shared" si="28"/>
        <v>180.5</v>
      </c>
      <c r="E185" s="69">
        <f ca="1">IF('Invoer gegevens (N)'!$C$16="","",E184+1)</f>
        <v>2199</v>
      </c>
      <c r="F185" s="82">
        <f ca="1">IF('Invoer gegevens (N)'!$C$17=E185,'Invoer gegevens (N)'!$C$10,IF(C185=1,H184,0))</f>
        <v>0</v>
      </c>
      <c r="G185" s="83">
        <f ca="1">IF(C185&gt;=1,F185*'Reeksen (N)'!C185,0)</f>
        <v>0</v>
      </c>
      <c r="H185" s="84">
        <f t="shared" ca="1" si="21"/>
        <v>0</v>
      </c>
      <c r="I185" s="85">
        <f ca="1">IF('Invoer gegevens (N)'!$C$17=E185,'Invoer gegevens (N)'!$C$11,IF(C185=1,L184,0))</f>
        <v>0</v>
      </c>
      <c r="J185" s="86">
        <f ca="1">IF(C185&lt;1,0,IF('Reeksen (N)'!AD185&lt;='Reeksen (N)'!AE185,I185*'Reeksen (N)'!C185,0))</f>
        <v>0</v>
      </c>
      <c r="K185" s="86">
        <f ca="1">IF(C185&lt;1,0,IF('Reeksen (N)'!AD185&gt;'Reeksen (N)'!AE185,I185*'Reeksen (N)'!C185,0))</f>
        <v>0</v>
      </c>
      <c r="L185" s="86">
        <f t="shared" ca="1" si="22"/>
        <v>0</v>
      </c>
      <c r="M185" s="85">
        <f ca="1">IF('Invoer gegevens (N)'!$C$17=E185,'Invoer gegevens (N)'!$C$10-'Invoer gegevens (N)'!$C$11,IF(C185=1,P184,0))</f>
        <v>0</v>
      </c>
      <c r="N185" s="86">
        <f ca="1">IF(C185&lt;1,0,IF('Reeksen (N)'!AD185&lt;='Reeksen (N)'!AE185,M185*'Reeksen (N)'!C185,0))</f>
        <v>0</v>
      </c>
      <c r="O185" s="86">
        <f ca="1">IF(C185&lt;1,0,IF('Reeksen (N)'!AD185&gt;'Reeksen (N)'!AE185,M185*'Reeksen (N)'!C185,0))</f>
        <v>0</v>
      </c>
      <c r="P185" s="86">
        <f t="shared" ca="1" si="23"/>
        <v>0</v>
      </c>
      <c r="Q185" s="82">
        <f ca="1">IF('Invoer gegevens (N)'!$C$17=E185,I185,IF(C185=0,0,R184))</f>
        <v>0</v>
      </c>
      <c r="R185" s="84">
        <f t="shared" ca="1" si="20"/>
        <v>0</v>
      </c>
      <c r="S185" s="84">
        <f ca="1">IF('Invoer gegevens (N)'!$C$17=E185,M185,IF(C185=0,0,T184))</f>
        <v>0</v>
      </c>
      <c r="T185" s="84">
        <f t="shared" ca="1" si="29"/>
        <v>0</v>
      </c>
      <c r="AI185" s="71">
        <f ca="1">IF(C185=1,((F185+H185)/2*'Reeksen (N)'!AI185*12)+(('Invoer gegevens (N)'!$C$10-(F185+H185)/2)*'Reeksen (N)'!AD185*12),0)</f>
        <v>0</v>
      </c>
      <c r="AJ185" s="71">
        <f ca="1">-AI185*'Invoer gegevens (N)'!$F$28</f>
        <v>0</v>
      </c>
      <c r="AK185" s="71">
        <f t="shared" ca="1" si="24"/>
        <v>0</v>
      </c>
      <c r="AL185" s="71">
        <f ca="1">IF(C185=1,(12*((F185+H185)/2)*'Reeksen (N)'!AL185)+(12*('Invoer gegevens (N)'!$C$10-(F185+H185)/2)*'Reeksen (N)'!AM185),0)</f>
        <v>0</v>
      </c>
      <c r="AM185" s="71">
        <f ca="1">-AL185*'Invoer gegevens (N)'!$F$31</f>
        <v>0</v>
      </c>
      <c r="AN185" s="71">
        <f t="shared" ca="1" si="25"/>
        <v>0</v>
      </c>
      <c r="AO185" s="71"/>
      <c r="AP185" s="71"/>
      <c r="AQ185" s="71">
        <f ca="1">-IF(C185=1,('Invoer gegevens (N)'!$C$10*'Invoer gegevens (N)'!$F$35)*'Reeksen (N)'!J185,0)*2</f>
        <v>0</v>
      </c>
      <c r="AR185" s="71">
        <f ca="1">-IF(C185=1,(G185*'Invoer gegevens (N)'!$F$36)*'Reeksen (N)'!J185,0)</f>
        <v>0</v>
      </c>
      <c r="AS185" s="71">
        <f ca="1">-IF(C185=1,'Invoer gegevens (N)'!$C$10*'Invoer gegevens (N)'!$F$37*'Reeksen (N)'!L185,0)</f>
        <v>0</v>
      </c>
      <c r="AT185" s="71">
        <f ca="1">-IF(C185=1,IF(E185='Invoer gegevens (N)'!$C$17,'Invoer gegevens (N)'!$C$11,Q185)*'Reeksen (N)'!S185*'Invoer gegevens (N)'!$C$18*'Reeksen (N)'!P185,0)</f>
        <v>0</v>
      </c>
      <c r="AU185" s="71">
        <f ca="1">-IF(C185=1,'Invoer gegevens (N)'!$C$10*'Invoer gegevens (N)'!$F$38*'Reeksen (N)'!H185,0)</f>
        <v>0</v>
      </c>
      <c r="AV185" s="71">
        <v>0</v>
      </c>
      <c r="AW185" s="71">
        <f t="shared" ca="1" si="26"/>
        <v>0</v>
      </c>
      <c r="AX185" s="71">
        <f ca="1">IF(E185&lt;'Invoer gegevens (N)'!$C$17+15,0,IF('RW - MW - DE - DE (N)'!E185&gt;'Invoer gegevens (N)'!$C$17+215,0,'RW - MW - DE - DE (N)'!AW185))</f>
        <v>0</v>
      </c>
      <c r="AY185" s="71">
        <f ca="1">AX185/(1+'Invoer gegevens (N)'!$F$13)^($AZ185-('Invoer gegevens (N)'!$C$17-'Invoer gegevens (N)'!$C$16))/(1+'Invoer gegevens (N)'!$C$39)^('Invoer gegevens (N)'!$C$17-'Invoer gegevens (N)'!$C$16)</f>
        <v>0</v>
      </c>
      <c r="AZ185" s="68">
        <f ca="1">IF(E185-'Invoer gegevens (N)'!$C$17-14.5&lt;0,0,E185-'Invoer gegevens (N)'!$C$17-14.5)</f>
        <v>165.5</v>
      </c>
      <c r="BC185" s="71"/>
    </row>
    <row r="186" spans="2:55" s="230" customFormat="1" x14ac:dyDescent="0.25">
      <c r="B186" s="70">
        <f t="shared" si="27"/>
        <v>182</v>
      </c>
      <c r="C186" s="67">
        <f ca="1">IF(E186-'Invoer gegevens (N)'!$C$17&lt;0,0,1)</f>
        <v>1</v>
      </c>
      <c r="D186" s="68">
        <f t="shared" si="28"/>
        <v>181.5</v>
      </c>
      <c r="E186" s="69">
        <f ca="1">IF('Invoer gegevens (N)'!$C$16="","",E185+1)</f>
        <v>2200</v>
      </c>
      <c r="F186" s="82">
        <f ca="1">IF('Invoer gegevens (N)'!$C$17=E186,'Invoer gegevens (N)'!$C$10,IF(C186=1,H185,0))</f>
        <v>0</v>
      </c>
      <c r="G186" s="83">
        <f ca="1">IF(C186&gt;=1,F186*'Reeksen (N)'!C186,0)</f>
        <v>0</v>
      </c>
      <c r="H186" s="84">
        <f t="shared" ca="1" si="21"/>
        <v>0</v>
      </c>
      <c r="I186" s="85">
        <f ca="1">IF('Invoer gegevens (N)'!$C$17=E186,'Invoer gegevens (N)'!$C$11,IF(C186=1,L185,0))</f>
        <v>0</v>
      </c>
      <c r="J186" s="86">
        <f ca="1">IF(C186&lt;1,0,IF('Reeksen (N)'!AD186&lt;='Reeksen (N)'!AE186,I186*'Reeksen (N)'!C186,0))</f>
        <v>0</v>
      </c>
      <c r="K186" s="86">
        <f ca="1">IF(C186&lt;1,0,IF('Reeksen (N)'!AD186&gt;'Reeksen (N)'!AE186,I186*'Reeksen (N)'!C186,0))</f>
        <v>0</v>
      </c>
      <c r="L186" s="86">
        <f t="shared" ca="1" si="22"/>
        <v>0</v>
      </c>
      <c r="M186" s="85">
        <f ca="1">IF('Invoer gegevens (N)'!$C$17=E186,'Invoer gegevens (N)'!$C$10-'Invoer gegevens (N)'!$C$11,IF(C186=1,P185,0))</f>
        <v>0</v>
      </c>
      <c r="N186" s="86">
        <f ca="1">IF(C186&lt;1,0,IF('Reeksen (N)'!AD186&lt;='Reeksen (N)'!AE186,M186*'Reeksen (N)'!C186,0))</f>
        <v>0</v>
      </c>
      <c r="O186" s="86">
        <f ca="1">IF(C186&lt;1,0,IF('Reeksen (N)'!AD186&gt;'Reeksen (N)'!AE186,M186*'Reeksen (N)'!C186,0))</f>
        <v>0</v>
      </c>
      <c r="P186" s="86">
        <f t="shared" ca="1" si="23"/>
        <v>0</v>
      </c>
      <c r="Q186" s="82">
        <f ca="1">IF('Invoer gegevens (N)'!$C$17=E186,I186,IF(C186=0,0,R185))</f>
        <v>0</v>
      </c>
      <c r="R186" s="84">
        <f t="shared" ca="1" si="20"/>
        <v>0</v>
      </c>
      <c r="S186" s="84">
        <f ca="1">IF('Invoer gegevens (N)'!$C$17=E186,M186,IF(C186=0,0,T185))</f>
        <v>0</v>
      </c>
      <c r="T186" s="84">
        <f t="shared" ca="1" si="29"/>
        <v>0</v>
      </c>
      <c r="AI186" s="71">
        <f ca="1">IF(C186=1,((F186+H186)/2*'Reeksen (N)'!AI186*12)+(('Invoer gegevens (N)'!$C$10-(F186+H186)/2)*'Reeksen (N)'!AD186*12),0)</f>
        <v>0</v>
      </c>
      <c r="AJ186" s="71">
        <f ca="1">-AI186*'Invoer gegevens (N)'!$F$28</f>
        <v>0</v>
      </c>
      <c r="AK186" s="71">
        <f t="shared" ca="1" si="24"/>
        <v>0</v>
      </c>
      <c r="AL186" s="71">
        <f ca="1">IF(C186=1,(12*((F186+H186)/2)*'Reeksen (N)'!AL186)+(12*('Invoer gegevens (N)'!$C$10-(F186+H186)/2)*'Reeksen (N)'!AM186),0)</f>
        <v>0</v>
      </c>
      <c r="AM186" s="71">
        <f ca="1">-AL186*'Invoer gegevens (N)'!$F$31</f>
        <v>0</v>
      </c>
      <c r="AN186" s="71">
        <f t="shared" ca="1" si="25"/>
        <v>0</v>
      </c>
      <c r="AO186" s="71"/>
      <c r="AP186" s="71"/>
      <c r="AQ186" s="71">
        <f ca="1">-IF(C186=1,('Invoer gegevens (N)'!$C$10*'Invoer gegevens (N)'!$F$35)*'Reeksen (N)'!J186,0)*2</f>
        <v>0</v>
      </c>
      <c r="AR186" s="71">
        <f ca="1">-IF(C186=1,(G186*'Invoer gegevens (N)'!$F$36)*'Reeksen (N)'!J186,0)</f>
        <v>0</v>
      </c>
      <c r="AS186" s="71">
        <f ca="1">-IF(C186=1,'Invoer gegevens (N)'!$C$10*'Invoer gegevens (N)'!$F$37*'Reeksen (N)'!L186,0)</f>
        <v>0</v>
      </c>
      <c r="AT186" s="71">
        <f ca="1">-IF(C186=1,IF(E186='Invoer gegevens (N)'!$C$17,'Invoer gegevens (N)'!$C$11,Q186)*'Reeksen (N)'!S186*'Invoer gegevens (N)'!$C$18*'Reeksen (N)'!P186,0)</f>
        <v>0</v>
      </c>
      <c r="AU186" s="71">
        <f ca="1">-IF(C186=1,'Invoer gegevens (N)'!$C$10*'Invoer gegevens (N)'!$F$38*'Reeksen (N)'!H186,0)</f>
        <v>0</v>
      </c>
      <c r="AV186" s="71">
        <v>0</v>
      </c>
      <c r="AW186" s="71">
        <f t="shared" ca="1" si="26"/>
        <v>0</v>
      </c>
      <c r="AX186" s="71">
        <f ca="1">IF(E186&lt;'Invoer gegevens (N)'!$C$17+15,0,IF('RW - MW - DE - DE (N)'!E186&gt;'Invoer gegevens (N)'!$C$17+215,0,'RW - MW - DE - DE (N)'!AW186))</f>
        <v>0</v>
      </c>
      <c r="AY186" s="71">
        <f ca="1">AX186/(1+'Invoer gegevens (N)'!$F$13)^($AZ186-('Invoer gegevens (N)'!$C$17-'Invoer gegevens (N)'!$C$16))/(1+'Invoer gegevens (N)'!$C$39)^('Invoer gegevens (N)'!$C$17-'Invoer gegevens (N)'!$C$16)</f>
        <v>0</v>
      </c>
      <c r="AZ186" s="68">
        <f ca="1">IF(E186-'Invoer gegevens (N)'!$C$17-14.5&lt;0,0,E186-'Invoer gegevens (N)'!$C$17-14.5)</f>
        <v>166.5</v>
      </c>
      <c r="BC186" s="71"/>
    </row>
    <row r="187" spans="2:55" s="230" customFormat="1" x14ac:dyDescent="0.25">
      <c r="B187" s="70">
        <f t="shared" si="27"/>
        <v>183</v>
      </c>
      <c r="C187" s="67">
        <f ca="1">IF(E187-'Invoer gegevens (N)'!$C$17&lt;0,0,1)</f>
        <v>1</v>
      </c>
      <c r="D187" s="68">
        <f t="shared" si="28"/>
        <v>182.5</v>
      </c>
      <c r="E187" s="69">
        <f ca="1">IF('Invoer gegevens (N)'!$C$16="","",E186+1)</f>
        <v>2201</v>
      </c>
      <c r="F187" s="82">
        <f ca="1">IF('Invoer gegevens (N)'!$C$17=E187,'Invoer gegevens (N)'!$C$10,IF(C187=1,H186,0))</f>
        <v>0</v>
      </c>
      <c r="G187" s="83">
        <f ca="1">IF(C187&gt;=1,F187*'Reeksen (N)'!C187,0)</f>
        <v>0</v>
      </c>
      <c r="H187" s="84">
        <f t="shared" ca="1" si="21"/>
        <v>0</v>
      </c>
      <c r="I187" s="85">
        <f ca="1">IF('Invoer gegevens (N)'!$C$17=E187,'Invoer gegevens (N)'!$C$11,IF(C187=1,L186,0))</f>
        <v>0</v>
      </c>
      <c r="J187" s="86">
        <f ca="1">IF(C187&lt;1,0,IF('Reeksen (N)'!AD187&lt;='Reeksen (N)'!AE187,I187*'Reeksen (N)'!C187,0))</f>
        <v>0</v>
      </c>
      <c r="K187" s="86">
        <f ca="1">IF(C187&lt;1,0,IF('Reeksen (N)'!AD187&gt;'Reeksen (N)'!AE187,I187*'Reeksen (N)'!C187,0))</f>
        <v>0</v>
      </c>
      <c r="L187" s="86">
        <f t="shared" ca="1" si="22"/>
        <v>0</v>
      </c>
      <c r="M187" s="85">
        <f ca="1">IF('Invoer gegevens (N)'!$C$17=E187,'Invoer gegevens (N)'!$C$10-'Invoer gegevens (N)'!$C$11,IF(C187=1,P186,0))</f>
        <v>0</v>
      </c>
      <c r="N187" s="86">
        <f ca="1">IF(C187&lt;1,0,IF('Reeksen (N)'!AD187&lt;='Reeksen (N)'!AE187,M187*'Reeksen (N)'!C187,0))</f>
        <v>0</v>
      </c>
      <c r="O187" s="86">
        <f ca="1">IF(C187&lt;1,0,IF('Reeksen (N)'!AD187&gt;'Reeksen (N)'!AE187,M187*'Reeksen (N)'!C187,0))</f>
        <v>0</v>
      </c>
      <c r="P187" s="86">
        <f t="shared" ca="1" si="23"/>
        <v>0</v>
      </c>
      <c r="Q187" s="82">
        <f ca="1">IF('Invoer gegevens (N)'!$C$17=E187,I187,IF(C187=0,0,R186))</f>
        <v>0</v>
      </c>
      <c r="R187" s="84">
        <f t="shared" ca="1" si="20"/>
        <v>0</v>
      </c>
      <c r="S187" s="84">
        <f ca="1">IF('Invoer gegevens (N)'!$C$17=E187,M187,IF(C187=0,0,T186))</f>
        <v>0</v>
      </c>
      <c r="T187" s="84">
        <f t="shared" ca="1" si="29"/>
        <v>0</v>
      </c>
      <c r="AI187" s="71">
        <f ca="1">IF(C187=1,((F187+H187)/2*'Reeksen (N)'!AI187*12)+(('Invoer gegevens (N)'!$C$10-(F187+H187)/2)*'Reeksen (N)'!AD187*12),0)</f>
        <v>0</v>
      </c>
      <c r="AJ187" s="71">
        <f ca="1">-AI187*'Invoer gegevens (N)'!$F$28</f>
        <v>0</v>
      </c>
      <c r="AK187" s="71">
        <f t="shared" ca="1" si="24"/>
        <v>0</v>
      </c>
      <c r="AL187" s="71">
        <f ca="1">IF(C187=1,(12*((F187+H187)/2)*'Reeksen (N)'!AL187)+(12*('Invoer gegevens (N)'!$C$10-(F187+H187)/2)*'Reeksen (N)'!AM187),0)</f>
        <v>0</v>
      </c>
      <c r="AM187" s="71">
        <f ca="1">-AL187*'Invoer gegevens (N)'!$F$31</f>
        <v>0</v>
      </c>
      <c r="AN187" s="71">
        <f t="shared" ca="1" si="25"/>
        <v>0</v>
      </c>
      <c r="AO187" s="71"/>
      <c r="AP187" s="71"/>
      <c r="AQ187" s="71">
        <f ca="1">-IF(C187=1,('Invoer gegevens (N)'!$C$10*'Invoer gegevens (N)'!$F$35)*'Reeksen (N)'!J187,0)*2</f>
        <v>0</v>
      </c>
      <c r="AR187" s="71">
        <f ca="1">-IF(C187=1,(G187*'Invoer gegevens (N)'!$F$36)*'Reeksen (N)'!J187,0)</f>
        <v>0</v>
      </c>
      <c r="AS187" s="71">
        <f ca="1">-IF(C187=1,'Invoer gegevens (N)'!$C$10*'Invoer gegevens (N)'!$F$37*'Reeksen (N)'!L187,0)</f>
        <v>0</v>
      </c>
      <c r="AT187" s="71">
        <f ca="1">-IF(C187=1,IF(E187='Invoer gegevens (N)'!$C$17,'Invoer gegevens (N)'!$C$11,Q187)*'Reeksen (N)'!S187*'Invoer gegevens (N)'!$C$18*'Reeksen (N)'!P187,0)</f>
        <v>0</v>
      </c>
      <c r="AU187" s="71">
        <f ca="1">-IF(C187=1,'Invoer gegevens (N)'!$C$10*'Invoer gegevens (N)'!$F$38*'Reeksen (N)'!H187,0)</f>
        <v>0</v>
      </c>
      <c r="AV187" s="71">
        <v>0</v>
      </c>
      <c r="AW187" s="71">
        <f t="shared" ca="1" si="26"/>
        <v>0</v>
      </c>
      <c r="AX187" s="71">
        <f ca="1">IF(E187&lt;'Invoer gegevens (N)'!$C$17+15,0,IF('RW - MW - DE - DE (N)'!E187&gt;'Invoer gegevens (N)'!$C$17+215,0,'RW - MW - DE - DE (N)'!AW187))</f>
        <v>0</v>
      </c>
      <c r="AY187" s="71">
        <f ca="1">AX187/(1+'Invoer gegevens (N)'!$F$13)^($AZ187-('Invoer gegevens (N)'!$C$17-'Invoer gegevens (N)'!$C$16))/(1+'Invoer gegevens (N)'!$C$39)^('Invoer gegevens (N)'!$C$17-'Invoer gegevens (N)'!$C$16)</f>
        <v>0</v>
      </c>
      <c r="AZ187" s="68">
        <f ca="1">IF(E187-'Invoer gegevens (N)'!$C$17-14.5&lt;0,0,E187-'Invoer gegevens (N)'!$C$17-14.5)</f>
        <v>167.5</v>
      </c>
      <c r="BC187" s="71"/>
    </row>
    <row r="188" spans="2:55" s="230" customFormat="1" x14ac:dyDescent="0.25">
      <c r="B188" s="70">
        <f t="shared" si="27"/>
        <v>184</v>
      </c>
      <c r="C188" s="67">
        <f ca="1">IF(E188-'Invoer gegevens (N)'!$C$17&lt;0,0,1)</f>
        <v>1</v>
      </c>
      <c r="D188" s="68">
        <f t="shared" si="28"/>
        <v>183.5</v>
      </c>
      <c r="E188" s="69">
        <f ca="1">IF('Invoer gegevens (N)'!$C$16="","",E187+1)</f>
        <v>2202</v>
      </c>
      <c r="F188" s="82">
        <f ca="1">IF('Invoer gegevens (N)'!$C$17=E188,'Invoer gegevens (N)'!$C$10,IF(C188=1,H187,0))</f>
        <v>0</v>
      </c>
      <c r="G188" s="83">
        <f ca="1">IF(C188&gt;=1,F188*'Reeksen (N)'!C188,0)</f>
        <v>0</v>
      </c>
      <c r="H188" s="84">
        <f t="shared" ca="1" si="21"/>
        <v>0</v>
      </c>
      <c r="I188" s="85">
        <f ca="1">IF('Invoer gegevens (N)'!$C$17=E188,'Invoer gegevens (N)'!$C$11,IF(C188=1,L187,0))</f>
        <v>0</v>
      </c>
      <c r="J188" s="86">
        <f ca="1">IF(C188&lt;1,0,IF('Reeksen (N)'!AD188&lt;='Reeksen (N)'!AE188,I188*'Reeksen (N)'!C188,0))</f>
        <v>0</v>
      </c>
      <c r="K188" s="86">
        <f ca="1">IF(C188&lt;1,0,IF('Reeksen (N)'!AD188&gt;'Reeksen (N)'!AE188,I188*'Reeksen (N)'!C188,0))</f>
        <v>0</v>
      </c>
      <c r="L188" s="86">
        <f t="shared" ca="1" si="22"/>
        <v>0</v>
      </c>
      <c r="M188" s="85">
        <f ca="1">IF('Invoer gegevens (N)'!$C$17=E188,'Invoer gegevens (N)'!$C$10-'Invoer gegevens (N)'!$C$11,IF(C188=1,P187,0))</f>
        <v>0</v>
      </c>
      <c r="N188" s="86">
        <f ca="1">IF(C188&lt;1,0,IF('Reeksen (N)'!AD188&lt;='Reeksen (N)'!AE188,M188*'Reeksen (N)'!C188,0))</f>
        <v>0</v>
      </c>
      <c r="O188" s="86">
        <f ca="1">IF(C188&lt;1,0,IF('Reeksen (N)'!AD188&gt;'Reeksen (N)'!AE188,M188*'Reeksen (N)'!C188,0))</f>
        <v>0</v>
      </c>
      <c r="P188" s="86">
        <f t="shared" ca="1" si="23"/>
        <v>0</v>
      </c>
      <c r="Q188" s="82">
        <f ca="1">IF('Invoer gegevens (N)'!$C$17=E188,I188,IF(C188=0,0,R187))</f>
        <v>0</v>
      </c>
      <c r="R188" s="84">
        <f t="shared" ca="1" si="20"/>
        <v>0</v>
      </c>
      <c r="S188" s="84">
        <f ca="1">IF('Invoer gegevens (N)'!$C$17=E188,M188,IF(C188=0,0,T187))</f>
        <v>0</v>
      </c>
      <c r="T188" s="84">
        <f t="shared" ca="1" si="29"/>
        <v>0</v>
      </c>
      <c r="AI188" s="71">
        <f ca="1">IF(C188=1,((F188+H188)/2*'Reeksen (N)'!AI188*12)+(('Invoer gegevens (N)'!$C$10-(F188+H188)/2)*'Reeksen (N)'!AD188*12),0)</f>
        <v>0</v>
      </c>
      <c r="AJ188" s="71">
        <f ca="1">-AI188*'Invoer gegevens (N)'!$F$28</f>
        <v>0</v>
      </c>
      <c r="AK188" s="71">
        <f t="shared" ca="1" si="24"/>
        <v>0</v>
      </c>
      <c r="AL188" s="71">
        <f ca="1">IF(C188=1,(12*((F188+H188)/2)*'Reeksen (N)'!AL188)+(12*('Invoer gegevens (N)'!$C$10-(F188+H188)/2)*'Reeksen (N)'!AM188),0)</f>
        <v>0</v>
      </c>
      <c r="AM188" s="71">
        <f ca="1">-AL188*'Invoer gegevens (N)'!$F$31</f>
        <v>0</v>
      </c>
      <c r="AN188" s="71">
        <f t="shared" ca="1" si="25"/>
        <v>0</v>
      </c>
      <c r="AO188" s="71"/>
      <c r="AP188" s="71"/>
      <c r="AQ188" s="71">
        <f ca="1">-IF(C188=1,('Invoer gegevens (N)'!$C$10*'Invoer gegevens (N)'!$F$35)*'Reeksen (N)'!J188,0)*2</f>
        <v>0</v>
      </c>
      <c r="AR188" s="71">
        <f ca="1">-IF(C188=1,(G188*'Invoer gegevens (N)'!$F$36)*'Reeksen (N)'!J188,0)</f>
        <v>0</v>
      </c>
      <c r="AS188" s="71">
        <f ca="1">-IF(C188=1,'Invoer gegevens (N)'!$C$10*'Invoer gegevens (N)'!$F$37*'Reeksen (N)'!L188,0)</f>
        <v>0</v>
      </c>
      <c r="AT188" s="71">
        <f ca="1">-IF(C188=1,IF(E188='Invoer gegevens (N)'!$C$17,'Invoer gegevens (N)'!$C$11,Q188)*'Reeksen (N)'!S188*'Invoer gegevens (N)'!$C$18*'Reeksen (N)'!P188,0)</f>
        <v>0</v>
      </c>
      <c r="AU188" s="71">
        <f ca="1">-IF(C188=1,'Invoer gegevens (N)'!$C$10*'Invoer gegevens (N)'!$F$38*'Reeksen (N)'!H188,0)</f>
        <v>0</v>
      </c>
      <c r="AV188" s="71">
        <v>0</v>
      </c>
      <c r="AW188" s="71">
        <f t="shared" ca="1" si="26"/>
        <v>0</v>
      </c>
      <c r="AX188" s="71">
        <f ca="1">IF(E188&lt;'Invoer gegevens (N)'!$C$17+15,0,IF('RW - MW - DE - DE (N)'!E188&gt;'Invoer gegevens (N)'!$C$17+215,0,'RW - MW - DE - DE (N)'!AW188))</f>
        <v>0</v>
      </c>
      <c r="AY188" s="71">
        <f ca="1">AX188/(1+'Invoer gegevens (N)'!$F$13)^($AZ188-('Invoer gegevens (N)'!$C$17-'Invoer gegevens (N)'!$C$16))/(1+'Invoer gegevens (N)'!$C$39)^('Invoer gegevens (N)'!$C$17-'Invoer gegevens (N)'!$C$16)</f>
        <v>0</v>
      </c>
      <c r="AZ188" s="68">
        <f ca="1">IF(E188-'Invoer gegevens (N)'!$C$17-14.5&lt;0,0,E188-'Invoer gegevens (N)'!$C$17-14.5)</f>
        <v>168.5</v>
      </c>
      <c r="BC188" s="71"/>
    </row>
    <row r="189" spans="2:55" s="230" customFormat="1" x14ac:dyDescent="0.25">
      <c r="B189" s="70">
        <f t="shared" si="27"/>
        <v>185</v>
      </c>
      <c r="C189" s="67">
        <f ca="1">IF(E189-'Invoer gegevens (N)'!$C$17&lt;0,0,1)</f>
        <v>1</v>
      </c>
      <c r="D189" s="68">
        <f t="shared" si="28"/>
        <v>184.5</v>
      </c>
      <c r="E189" s="69">
        <f ca="1">IF('Invoer gegevens (N)'!$C$16="","",E188+1)</f>
        <v>2203</v>
      </c>
      <c r="F189" s="82">
        <f ca="1">IF('Invoer gegevens (N)'!$C$17=E189,'Invoer gegevens (N)'!$C$10,IF(C189=1,H188,0))</f>
        <v>0</v>
      </c>
      <c r="G189" s="83">
        <f ca="1">IF(C189&gt;=1,F189*'Reeksen (N)'!C189,0)</f>
        <v>0</v>
      </c>
      <c r="H189" s="84">
        <f t="shared" ca="1" si="21"/>
        <v>0</v>
      </c>
      <c r="I189" s="85">
        <f ca="1">IF('Invoer gegevens (N)'!$C$17=E189,'Invoer gegevens (N)'!$C$11,IF(C189=1,L188,0))</f>
        <v>0</v>
      </c>
      <c r="J189" s="86">
        <f ca="1">IF(C189&lt;1,0,IF('Reeksen (N)'!AD189&lt;='Reeksen (N)'!AE189,I189*'Reeksen (N)'!C189,0))</f>
        <v>0</v>
      </c>
      <c r="K189" s="86">
        <f ca="1">IF(C189&lt;1,0,IF('Reeksen (N)'!AD189&gt;'Reeksen (N)'!AE189,I189*'Reeksen (N)'!C189,0))</f>
        <v>0</v>
      </c>
      <c r="L189" s="86">
        <f t="shared" ca="1" si="22"/>
        <v>0</v>
      </c>
      <c r="M189" s="85">
        <f ca="1">IF('Invoer gegevens (N)'!$C$17=E189,'Invoer gegevens (N)'!$C$10-'Invoer gegevens (N)'!$C$11,IF(C189=1,P188,0))</f>
        <v>0</v>
      </c>
      <c r="N189" s="86">
        <f ca="1">IF(C189&lt;1,0,IF('Reeksen (N)'!AD189&lt;='Reeksen (N)'!AE189,M189*'Reeksen (N)'!C189,0))</f>
        <v>0</v>
      </c>
      <c r="O189" s="86">
        <f ca="1">IF(C189&lt;1,0,IF('Reeksen (N)'!AD189&gt;'Reeksen (N)'!AE189,M189*'Reeksen (N)'!C189,0))</f>
        <v>0</v>
      </c>
      <c r="P189" s="86">
        <f t="shared" ca="1" si="23"/>
        <v>0</v>
      </c>
      <c r="Q189" s="82">
        <f ca="1">IF('Invoer gegevens (N)'!$C$17=E189,I189,IF(C189=0,0,R188))</f>
        <v>0</v>
      </c>
      <c r="R189" s="84">
        <f t="shared" ca="1" si="20"/>
        <v>0</v>
      </c>
      <c r="S189" s="84">
        <f ca="1">IF('Invoer gegevens (N)'!$C$17=E189,M189,IF(C189=0,0,T188))</f>
        <v>0</v>
      </c>
      <c r="T189" s="84">
        <f t="shared" ca="1" si="29"/>
        <v>0</v>
      </c>
      <c r="AI189" s="71">
        <f ca="1">IF(C189=1,((F189+H189)/2*'Reeksen (N)'!AI189*12)+(('Invoer gegevens (N)'!$C$10-(F189+H189)/2)*'Reeksen (N)'!AD189*12),0)</f>
        <v>0</v>
      </c>
      <c r="AJ189" s="71">
        <f ca="1">-AI189*'Invoer gegevens (N)'!$F$28</f>
        <v>0</v>
      </c>
      <c r="AK189" s="71">
        <f t="shared" ca="1" si="24"/>
        <v>0</v>
      </c>
      <c r="AL189" s="71">
        <f ca="1">IF(C189=1,(12*((F189+H189)/2)*'Reeksen (N)'!AL189)+(12*('Invoer gegevens (N)'!$C$10-(F189+H189)/2)*'Reeksen (N)'!AM189),0)</f>
        <v>0</v>
      </c>
      <c r="AM189" s="71">
        <f ca="1">-AL189*'Invoer gegevens (N)'!$F$31</f>
        <v>0</v>
      </c>
      <c r="AN189" s="71">
        <f t="shared" ca="1" si="25"/>
        <v>0</v>
      </c>
      <c r="AO189" s="71"/>
      <c r="AP189" s="71"/>
      <c r="AQ189" s="71">
        <f ca="1">-IF(C189=1,('Invoer gegevens (N)'!$C$10*'Invoer gegevens (N)'!$F$35)*'Reeksen (N)'!J189,0)*2</f>
        <v>0</v>
      </c>
      <c r="AR189" s="71">
        <f ca="1">-IF(C189=1,(G189*'Invoer gegevens (N)'!$F$36)*'Reeksen (N)'!J189,0)</f>
        <v>0</v>
      </c>
      <c r="AS189" s="71">
        <f ca="1">-IF(C189=1,'Invoer gegevens (N)'!$C$10*'Invoer gegevens (N)'!$F$37*'Reeksen (N)'!L189,0)</f>
        <v>0</v>
      </c>
      <c r="AT189" s="71">
        <f ca="1">-IF(C189=1,IF(E189='Invoer gegevens (N)'!$C$17,'Invoer gegevens (N)'!$C$11,Q189)*'Reeksen (N)'!S189*'Invoer gegevens (N)'!$C$18*'Reeksen (N)'!P189,0)</f>
        <v>0</v>
      </c>
      <c r="AU189" s="71">
        <f ca="1">-IF(C189=1,'Invoer gegevens (N)'!$C$10*'Invoer gegevens (N)'!$F$38*'Reeksen (N)'!H189,0)</f>
        <v>0</v>
      </c>
      <c r="AV189" s="71">
        <v>0</v>
      </c>
      <c r="AW189" s="71">
        <f t="shared" ca="1" si="26"/>
        <v>0</v>
      </c>
      <c r="AX189" s="71">
        <f ca="1">IF(E189&lt;'Invoer gegevens (N)'!$C$17+15,0,IF('RW - MW - DE - DE (N)'!E189&gt;'Invoer gegevens (N)'!$C$17+215,0,'RW - MW - DE - DE (N)'!AW189))</f>
        <v>0</v>
      </c>
      <c r="AY189" s="71">
        <f ca="1">AX189/(1+'Invoer gegevens (N)'!$F$13)^($AZ189-('Invoer gegevens (N)'!$C$17-'Invoer gegevens (N)'!$C$16))/(1+'Invoer gegevens (N)'!$C$39)^('Invoer gegevens (N)'!$C$17-'Invoer gegevens (N)'!$C$16)</f>
        <v>0</v>
      </c>
      <c r="AZ189" s="68">
        <f ca="1">IF(E189-'Invoer gegevens (N)'!$C$17-14.5&lt;0,0,E189-'Invoer gegevens (N)'!$C$17-14.5)</f>
        <v>169.5</v>
      </c>
      <c r="BC189" s="71"/>
    </row>
    <row r="190" spans="2:55" s="230" customFormat="1" x14ac:dyDescent="0.25">
      <c r="B190" s="70">
        <f t="shared" si="27"/>
        <v>186</v>
      </c>
      <c r="C190" s="67">
        <f ca="1">IF(E190-'Invoer gegevens (N)'!$C$17&lt;0,0,1)</f>
        <v>1</v>
      </c>
      <c r="D190" s="68">
        <f t="shared" si="28"/>
        <v>185.5</v>
      </c>
      <c r="E190" s="69">
        <f ca="1">IF('Invoer gegevens (N)'!$C$16="","",E189+1)</f>
        <v>2204</v>
      </c>
      <c r="F190" s="82">
        <f ca="1">IF('Invoer gegevens (N)'!$C$17=E190,'Invoer gegevens (N)'!$C$10,IF(C190=1,H189,0))</f>
        <v>0</v>
      </c>
      <c r="G190" s="83">
        <f ca="1">IF(C190&gt;=1,F190*'Reeksen (N)'!C190,0)</f>
        <v>0</v>
      </c>
      <c r="H190" s="84">
        <f t="shared" ca="1" si="21"/>
        <v>0</v>
      </c>
      <c r="I190" s="85">
        <f ca="1">IF('Invoer gegevens (N)'!$C$17=E190,'Invoer gegevens (N)'!$C$11,IF(C190=1,L189,0))</f>
        <v>0</v>
      </c>
      <c r="J190" s="86">
        <f ca="1">IF(C190&lt;1,0,IF('Reeksen (N)'!AD190&lt;='Reeksen (N)'!AE190,I190*'Reeksen (N)'!C190,0))</f>
        <v>0</v>
      </c>
      <c r="K190" s="86">
        <f ca="1">IF(C190&lt;1,0,IF('Reeksen (N)'!AD190&gt;'Reeksen (N)'!AE190,I190*'Reeksen (N)'!C190,0))</f>
        <v>0</v>
      </c>
      <c r="L190" s="86">
        <f t="shared" ca="1" si="22"/>
        <v>0</v>
      </c>
      <c r="M190" s="85">
        <f ca="1">IF('Invoer gegevens (N)'!$C$17=E190,'Invoer gegevens (N)'!$C$10-'Invoer gegevens (N)'!$C$11,IF(C190=1,P189,0))</f>
        <v>0</v>
      </c>
      <c r="N190" s="86">
        <f ca="1">IF(C190&lt;1,0,IF('Reeksen (N)'!AD190&lt;='Reeksen (N)'!AE190,M190*'Reeksen (N)'!C190,0))</f>
        <v>0</v>
      </c>
      <c r="O190" s="86">
        <f ca="1">IF(C190&lt;1,0,IF('Reeksen (N)'!AD190&gt;'Reeksen (N)'!AE190,M190*'Reeksen (N)'!C190,0))</f>
        <v>0</v>
      </c>
      <c r="P190" s="86">
        <f t="shared" ca="1" si="23"/>
        <v>0</v>
      </c>
      <c r="Q190" s="82">
        <f ca="1">IF('Invoer gegevens (N)'!$C$17=E190,I190,IF(C190=0,0,R189))</f>
        <v>0</v>
      </c>
      <c r="R190" s="84">
        <f t="shared" ca="1" si="20"/>
        <v>0</v>
      </c>
      <c r="S190" s="84">
        <f ca="1">IF('Invoer gegevens (N)'!$C$17=E190,M190,IF(C190=0,0,T189))</f>
        <v>0</v>
      </c>
      <c r="T190" s="84">
        <f t="shared" ca="1" si="29"/>
        <v>0</v>
      </c>
      <c r="AI190" s="71">
        <f ca="1">IF(C190=1,((F190+H190)/2*'Reeksen (N)'!AI190*12)+(('Invoer gegevens (N)'!$C$10-(F190+H190)/2)*'Reeksen (N)'!AD190*12),0)</f>
        <v>0</v>
      </c>
      <c r="AJ190" s="71">
        <f ca="1">-AI190*'Invoer gegevens (N)'!$F$28</f>
        <v>0</v>
      </c>
      <c r="AK190" s="71">
        <f t="shared" ca="1" si="24"/>
        <v>0</v>
      </c>
      <c r="AL190" s="71">
        <f ca="1">IF(C190=1,(12*((F190+H190)/2)*'Reeksen (N)'!AL190)+(12*('Invoer gegevens (N)'!$C$10-(F190+H190)/2)*'Reeksen (N)'!AM190),0)</f>
        <v>0</v>
      </c>
      <c r="AM190" s="71">
        <f ca="1">-AL190*'Invoer gegevens (N)'!$F$31</f>
        <v>0</v>
      </c>
      <c r="AN190" s="71">
        <f t="shared" ca="1" si="25"/>
        <v>0</v>
      </c>
      <c r="AO190" s="71"/>
      <c r="AP190" s="71"/>
      <c r="AQ190" s="71">
        <f ca="1">-IF(C190=1,('Invoer gegevens (N)'!$C$10*'Invoer gegevens (N)'!$F$35)*'Reeksen (N)'!J190,0)*2</f>
        <v>0</v>
      </c>
      <c r="AR190" s="71">
        <f ca="1">-IF(C190=1,(G190*'Invoer gegevens (N)'!$F$36)*'Reeksen (N)'!J190,0)</f>
        <v>0</v>
      </c>
      <c r="AS190" s="71">
        <f ca="1">-IF(C190=1,'Invoer gegevens (N)'!$C$10*'Invoer gegevens (N)'!$F$37*'Reeksen (N)'!L190,0)</f>
        <v>0</v>
      </c>
      <c r="AT190" s="71">
        <f ca="1">-IF(C190=1,IF(E190='Invoer gegevens (N)'!$C$17,'Invoer gegevens (N)'!$C$11,Q190)*'Reeksen (N)'!S190*'Invoer gegevens (N)'!$C$18*'Reeksen (N)'!P190,0)</f>
        <v>0</v>
      </c>
      <c r="AU190" s="71">
        <f ca="1">-IF(C190=1,'Invoer gegevens (N)'!$C$10*'Invoer gegevens (N)'!$F$38*'Reeksen (N)'!H190,0)</f>
        <v>0</v>
      </c>
      <c r="AV190" s="71">
        <v>0</v>
      </c>
      <c r="AW190" s="71">
        <f t="shared" ca="1" si="26"/>
        <v>0</v>
      </c>
      <c r="AX190" s="71">
        <f ca="1">IF(E190&lt;'Invoer gegevens (N)'!$C$17+15,0,IF('RW - MW - DE - DE (N)'!E190&gt;'Invoer gegevens (N)'!$C$17+215,0,'RW - MW - DE - DE (N)'!AW190))</f>
        <v>0</v>
      </c>
      <c r="AY190" s="71">
        <f ca="1">AX190/(1+'Invoer gegevens (N)'!$F$13)^($AZ190-('Invoer gegevens (N)'!$C$17-'Invoer gegevens (N)'!$C$16))/(1+'Invoer gegevens (N)'!$C$39)^('Invoer gegevens (N)'!$C$17-'Invoer gegevens (N)'!$C$16)</f>
        <v>0</v>
      </c>
      <c r="AZ190" s="68">
        <f ca="1">IF(E190-'Invoer gegevens (N)'!$C$17-14.5&lt;0,0,E190-'Invoer gegevens (N)'!$C$17-14.5)</f>
        <v>170.5</v>
      </c>
      <c r="BC190" s="71"/>
    </row>
    <row r="191" spans="2:55" s="230" customFormat="1" x14ac:dyDescent="0.25">
      <c r="B191" s="70">
        <f t="shared" si="27"/>
        <v>187</v>
      </c>
      <c r="C191" s="67">
        <f ca="1">IF(E191-'Invoer gegevens (N)'!$C$17&lt;0,0,1)</f>
        <v>1</v>
      </c>
      <c r="D191" s="68">
        <f t="shared" si="28"/>
        <v>186.5</v>
      </c>
      <c r="E191" s="69">
        <f ca="1">IF('Invoer gegevens (N)'!$C$16="","",E190+1)</f>
        <v>2205</v>
      </c>
      <c r="F191" s="82">
        <f ca="1">IF('Invoer gegevens (N)'!$C$17=E191,'Invoer gegevens (N)'!$C$10,IF(C191=1,H190,0))</f>
        <v>0</v>
      </c>
      <c r="G191" s="83">
        <f ca="1">IF(C191&gt;=1,F191*'Reeksen (N)'!C191,0)</f>
        <v>0</v>
      </c>
      <c r="H191" s="84">
        <f t="shared" ca="1" si="21"/>
        <v>0</v>
      </c>
      <c r="I191" s="85">
        <f ca="1">IF('Invoer gegevens (N)'!$C$17=E191,'Invoer gegevens (N)'!$C$11,IF(C191=1,L190,0))</f>
        <v>0</v>
      </c>
      <c r="J191" s="86">
        <f ca="1">IF(C191&lt;1,0,IF('Reeksen (N)'!AD191&lt;='Reeksen (N)'!AE191,I191*'Reeksen (N)'!C191,0))</f>
        <v>0</v>
      </c>
      <c r="K191" s="86">
        <f ca="1">IF(C191&lt;1,0,IF('Reeksen (N)'!AD191&gt;'Reeksen (N)'!AE191,I191*'Reeksen (N)'!C191,0))</f>
        <v>0</v>
      </c>
      <c r="L191" s="86">
        <f t="shared" ca="1" si="22"/>
        <v>0</v>
      </c>
      <c r="M191" s="85">
        <f ca="1">IF('Invoer gegevens (N)'!$C$17=E191,'Invoer gegevens (N)'!$C$10-'Invoer gegevens (N)'!$C$11,IF(C191=1,P190,0))</f>
        <v>0</v>
      </c>
      <c r="N191" s="86">
        <f ca="1">IF(C191&lt;1,0,IF('Reeksen (N)'!AD191&lt;='Reeksen (N)'!AE191,M191*'Reeksen (N)'!C191,0))</f>
        <v>0</v>
      </c>
      <c r="O191" s="86">
        <f ca="1">IF(C191&lt;1,0,IF('Reeksen (N)'!AD191&gt;'Reeksen (N)'!AE191,M191*'Reeksen (N)'!C191,0))</f>
        <v>0</v>
      </c>
      <c r="P191" s="86">
        <f t="shared" ca="1" si="23"/>
        <v>0</v>
      </c>
      <c r="Q191" s="82">
        <f ca="1">IF('Invoer gegevens (N)'!$C$17=E191,I191,IF(C191=0,0,R190))</f>
        <v>0</v>
      </c>
      <c r="R191" s="84">
        <f t="shared" ca="1" si="20"/>
        <v>0</v>
      </c>
      <c r="S191" s="84">
        <f ca="1">IF('Invoer gegevens (N)'!$C$17=E191,M191,IF(C191=0,0,T190))</f>
        <v>0</v>
      </c>
      <c r="T191" s="84">
        <f t="shared" ca="1" si="29"/>
        <v>0</v>
      </c>
      <c r="AI191" s="71">
        <f ca="1">IF(C191=1,((F191+H191)/2*'Reeksen (N)'!AI191*12)+(('Invoer gegevens (N)'!$C$10-(F191+H191)/2)*'Reeksen (N)'!AD191*12),0)</f>
        <v>0</v>
      </c>
      <c r="AJ191" s="71">
        <f ca="1">-AI191*'Invoer gegevens (N)'!$F$28</f>
        <v>0</v>
      </c>
      <c r="AK191" s="71">
        <f t="shared" ca="1" si="24"/>
        <v>0</v>
      </c>
      <c r="AL191" s="71">
        <f ca="1">IF(C191=1,(12*((F191+H191)/2)*'Reeksen (N)'!AL191)+(12*('Invoer gegevens (N)'!$C$10-(F191+H191)/2)*'Reeksen (N)'!AM191),0)</f>
        <v>0</v>
      </c>
      <c r="AM191" s="71">
        <f ca="1">-AL191*'Invoer gegevens (N)'!$F$31</f>
        <v>0</v>
      </c>
      <c r="AN191" s="71">
        <f t="shared" ca="1" si="25"/>
        <v>0</v>
      </c>
      <c r="AO191" s="71"/>
      <c r="AP191" s="71"/>
      <c r="AQ191" s="71">
        <f ca="1">-IF(C191=1,('Invoer gegevens (N)'!$C$10*'Invoer gegevens (N)'!$F$35)*'Reeksen (N)'!J191,0)*2</f>
        <v>0</v>
      </c>
      <c r="AR191" s="71">
        <f ca="1">-IF(C191=1,(G191*'Invoer gegevens (N)'!$F$36)*'Reeksen (N)'!J191,0)</f>
        <v>0</v>
      </c>
      <c r="AS191" s="71">
        <f ca="1">-IF(C191=1,'Invoer gegevens (N)'!$C$10*'Invoer gegevens (N)'!$F$37*'Reeksen (N)'!L191,0)</f>
        <v>0</v>
      </c>
      <c r="AT191" s="71">
        <f ca="1">-IF(C191=1,IF(E191='Invoer gegevens (N)'!$C$17,'Invoer gegevens (N)'!$C$11,Q191)*'Reeksen (N)'!S191*'Invoer gegevens (N)'!$C$18*'Reeksen (N)'!P191,0)</f>
        <v>0</v>
      </c>
      <c r="AU191" s="71">
        <f ca="1">-IF(C191=1,'Invoer gegevens (N)'!$C$10*'Invoer gegevens (N)'!$F$38*'Reeksen (N)'!H191,0)</f>
        <v>0</v>
      </c>
      <c r="AV191" s="71">
        <v>0</v>
      </c>
      <c r="AW191" s="71">
        <f t="shared" ca="1" si="26"/>
        <v>0</v>
      </c>
      <c r="AX191" s="71">
        <f ca="1">IF(E191&lt;'Invoer gegevens (N)'!$C$17+15,0,IF('RW - MW - DE - DE (N)'!E191&gt;'Invoer gegevens (N)'!$C$17+215,0,'RW - MW - DE - DE (N)'!AW191))</f>
        <v>0</v>
      </c>
      <c r="AY191" s="71">
        <f ca="1">AX191/(1+'Invoer gegevens (N)'!$F$13)^($AZ191-('Invoer gegevens (N)'!$C$17-'Invoer gegevens (N)'!$C$16))/(1+'Invoer gegevens (N)'!$C$39)^('Invoer gegevens (N)'!$C$17-'Invoer gegevens (N)'!$C$16)</f>
        <v>0</v>
      </c>
      <c r="AZ191" s="68">
        <f ca="1">IF(E191-'Invoer gegevens (N)'!$C$17-14.5&lt;0,0,E191-'Invoer gegevens (N)'!$C$17-14.5)</f>
        <v>171.5</v>
      </c>
      <c r="BC191" s="71"/>
    </row>
    <row r="192" spans="2:55" s="230" customFormat="1" x14ac:dyDescent="0.25">
      <c r="B192" s="70">
        <f t="shared" si="27"/>
        <v>188</v>
      </c>
      <c r="C192" s="67">
        <f ca="1">IF(E192-'Invoer gegevens (N)'!$C$17&lt;0,0,1)</f>
        <v>1</v>
      </c>
      <c r="D192" s="68">
        <f t="shared" si="28"/>
        <v>187.5</v>
      </c>
      <c r="E192" s="69">
        <f ca="1">IF('Invoer gegevens (N)'!$C$16="","",E191+1)</f>
        <v>2206</v>
      </c>
      <c r="F192" s="82">
        <f ca="1">IF('Invoer gegevens (N)'!$C$17=E192,'Invoer gegevens (N)'!$C$10,IF(C192=1,H191,0))</f>
        <v>0</v>
      </c>
      <c r="G192" s="83">
        <f ca="1">IF(C192&gt;=1,F192*'Reeksen (N)'!C192,0)</f>
        <v>0</v>
      </c>
      <c r="H192" s="84">
        <f t="shared" ca="1" si="21"/>
        <v>0</v>
      </c>
      <c r="I192" s="85">
        <f ca="1">IF('Invoer gegevens (N)'!$C$17=E192,'Invoer gegevens (N)'!$C$11,IF(C192=1,L191,0))</f>
        <v>0</v>
      </c>
      <c r="J192" s="86">
        <f ca="1">IF(C192&lt;1,0,IF('Reeksen (N)'!AD192&lt;='Reeksen (N)'!AE192,I192*'Reeksen (N)'!C192,0))</f>
        <v>0</v>
      </c>
      <c r="K192" s="86">
        <f ca="1">IF(C192&lt;1,0,IF('Reeksen (N)'!AD192&gt;'Reeksen (N)'!AE192,I192*'Reeksen (N)'!C192,0))</f>
        <v>0</v>
      </c>
      <c r="L192" s="86">
        <f t="shared" ca="1" si="22"/>
        <v>0</v>
      </c>
      <c r="M192" s="85">
        <f ca="1">IF('Invoer gegevens (N)'!$C$17=E192,'Invoer gegevens (N)'!$C$10-'Invoer gegevens (N)'!$C$11,IF(C192=1,P191,0))</f>
        <v>0</v>
      </c>
      <c r="N192" s="86">
        <f ca="1">IF(C192&lt;1,0,IF('Reeksen (N)'!AD192&lt;='Reeksen (N)'!AE192,M192*'Reeksen (N)'!C192,0))</f>
        <v>0</v>
      </c>
      <c r="O192" s="86">
        <f ca="1">IF(C192&lt;1,0,IF('Reeksen (N)'!AD192&gt;'Reeksen (N)'!AE192,M192*'Reeksen (N)'!C192,0))</f>
        <v>0</v>
      </c>
      <c r="P192" s="86">
        <f t="shared" ca="1" si="23"/>
        <v>0</v>
      </c>
      <c r="Q192" s="82">
        <f ca="1">IF('Invoer gegevens (N)'!$C$17=E192,I192,IF(C192=0,0,R191))</f>
        <v>0</v>
      </c>
      <c r="R192" s="84">
        <f t="shared" ca="1" si="20"/>
        <v>0</v>
      </c>
      <c r="S192" s="84">
        <f ca="1">IF('Invoer gegevens (N)'!$C$17=E192,M192,IF(C192=0,0,T191))</f>
        <v>0</v>
      </c>
      <c r="T192" s="84">
        <f t="shared" ca="1" si="29"/>
        <v>0</v>
      </c>
      <c r="AI192" s="71">
        <f ca="1">IF(C192=1,((F192+H192)/2*'Reeksen (N)'!AI192*12)+(('Invoer gegevens (N)'!$C$10-(F192+H192)/2)*'Reeksen (N)'!AD192*12),0)</f>
        <v>0</v>
      </c>
      <c r="AJ192" s="71">
        <f ca="1">-AI192*'Invoer gegevens (N)'!$F$28</f>
        <v>0</v>
      </c>
      <c r="AK192" s="71">
        <f t="shared" ca="1" si="24"/>
        <v>0</v>
      </c>
      <c r="AL192" s="71">
        <f ca="1">IF(C192=1,(12*((F192+H192)/2)*'Reeksen (N)'!AL192)+(12*('Invoer gegevens (N)'!$C$10-(F192+H192)/2)*'Reeksen (N)'!AM192),0)</f>
        <v>0</v>
      </c>
      <c r="AM192" s="71">
        <f ca="1">-AL192*'Invoer gegevens (N)'!$F$31</f>
        <v>0</v>
      </c>
      <c r="AN192" s="71">
        <f t="shared" ca="1" si="25"/>
        <v>0</v>
      </c>
      <c r="AO192" s="71"/>
      <c r="AP192" s="71"/>
      <c r="AQ192" s="71">
        <f ca="1">-IF(C192=1,('Invoer gegevens (N)'!$C$10*'Invoer gegevens (N)'!$F$35)*'Reeksen (N)'!J192,0)*2</f>
        <v>0</v>
      </c>
      <c r="AR192" s="71">
        <f ca="1">-IF(C192=1,(G192*'Invoer gegevens (N)'!$F$36)*'Reeksen (N)'!J192,0)</f>
        <v>0</v>
      </c>
      <c r="AS192" s="71">
        <f ca="1">-IF(C192=1,'Invoer gegevens (N)'!$C$10*'Invoer gegevens (N)'!$F$37*'Reeksen (N)'!L192,0)</f>
        <v>0</v>
      </c>
      <c r="AT192" s="71">
        <f ca="1">-IF(C192=1,IF(E192='Invoer gegevens (N)'!$C$17,'Invoer gegevens (N)'!$C$11,Q192)*'Reeksen (N)'!S192*'Invoer gegevens (N)'!$C$18*'Reeksen (N)'!P192,0)</f>
        <v>0</v>
      </c>
      <c r="AU192" s="71">
        <f ca="1">-IF(C192=1,'Invoer gegevens (N)'!$C$10*'Invoer gegevens (N)'!$F$38*'Reeksen (N)'!H192,0)</f>
        <v>0</v>
      </c>
      <c r="AV192" s="71">
        <v>0</v>
      </c>
      <c r="AW192" s="71">
        <f t="shared" ca="1" si="26"/>
        <v>0</v>
      </c>
      <c r="AX192" s="71">
        <f ca="1">IF(E192&lt;'Invoer gegevens (N)'!$C$17+15,0,IF('RW - MW - DE - DE (N)'!E192&gt;'Invoer gegevens (N)'!$C$17+215,0,'RW - MW - DE - DE (N)'!AW192))</f>
        <v>0</v>
      </c>
      <c r="AY192" s="71">
        <f ca="1">AX192/(1+'Invoer gegevens (N)'!$F$13)^($AZ192-('Invoer gegevens (N)'!$C$17-'Invoer gegevens (N)'!$C$16))/(1+'Invoer gegevens (N)'!$C$39)^('Invoer gegevens (N)'!$C$17-'Invoer gegevens (N)'!$C$16)</f>
        <v>0</v>
      </c>
      <c r="AZ192" s="68">
        <f ca="1">IF(E192-'Invoer gegevens (N)'!$C$17-14.5&lt;0,0,E192-'Invoer gegevens (N)'!$C$17-14.5)</f>
        <v>172.5</v>
      </c>
      <c r="BC192" s="71"/>
    </row>
    <row r="193" spans="2:55" s="230" customFormat="1" x14ac:dyDescent="0.25">
      <c r="B193" s="70">
        <f t="shared" si="27"/>
        <v>189</v>
      </c>
      <c r="C193" s="67">
        <f ca="1">IF(E193-'Invoer gegevens (N)'!$C$17&lt;0,0,1)</f>
        <v>1</v>
      </c>
      <c r="D193" s="68">
        <f t="shared" si="28"/>
        <v>188.5</v>
      </c>
      <c r="E193" s="69">
        <f ca="1">IF('Invoer gegevens (N)'!$C$16="","",E192+1)</f>
        <v>2207</v>
      </c>
      <c r="F193" s="82">
        <f ca="1">IF('Invoer gegevens (N)'!$C$17=E193,'Invoer gegevens (N)'!$C$10,IF(C193=1,H192,0))</f>
        <v>0</v>
      </c>
      <c r="G193" s="83">
        <f ca="1">IF(C193&gt;=1,F193*'Reeksen (N)'!C193,0)</f>
        <v>0</v>
      </c>
      <c r="H193" s="84">
        <f t="shared" ca="1" si="21"/>
        <v>0</v>
      </c>
      <c r="I193" s="85">
        <f ca="1">IF('Invoer gegevens (N)'!$C$17=E193,'Invoer gegevens (N)'!$C$11,IF(C193=1,L192,0))</f>
        <v>0</v>
      </c>
      <c r="J193" s="86">
        <f ca="1">IF(C193&lt;1,0,IF('Reeksen (N)'!AD193&lt;='Reeksen (N)'!AE193,I193*'Reeksen (N)'!C193,0))</f>
        <v>0</v>
      </c>
      <c r="K193" s="86">
        <f ca="1">IF(C193&lt;1,0,IF('Reeksen (N)'!AD193&gt;'Reeksen (N)'!AE193,I193*'Reeksen (N)'!C193,0))</f>
        <v>0</v>
      </c>
      <c r="L193" s="86">
        <f t="shared" ca="1" si="22"/>
        <v>0</v>
      </c>
      <c r="M193" s="85">
        <f ca="1">IF('Invoer gegevens (N)'!$C$17=E193,'Invoer gegevens (N)'!$C$10-'Invoer gegevens (N)'!$C$11,IF(C193=1,P192,0))</f>
        <v>0</v>
      </c>
      <c r="N193" s="86">
        <f ca="1">IF(C193&lt;1,0,IF('Reeksen (N)'!AD193&lt;='Reeksen (N)'!AE193,M193*'Reeksen (N)'!C193,0))</f>
        <v>0</v>
      </c>
      <c r="O193" s="86">
        <f ca="1">IF(C193&lt;1,0,IF('Reeksen (N)'!AD193&gt;'Reeksen (N)'!AE193,M193*'Reeksen (N)'!C193,0))</f>
        <v>0</v>
      </c>
      <c r="P193" s="86">
        <f t="shared" ca="1" si="23"/>
        <v>0</v>
      </c>
      <c r="Q193" s="82">
        <f ca="1">IF('Invoer gegevens (N)'!$C$17=E193,I193,IF(C193=0,0,R192))</f>
        <v>0</v>
      </c>
      <c r="R193" s="84">
        <f t="shared" ca="1" si="20"/>
        <v>0</v>
      </c>
      <c r="S193" s="84">
        <f ca="1">IF('Invoer gegevens (N)'!$C$17=E193,M193,IF(C193=0,0,T192))</f>
        <v>0</v>
      </c>
      <c r="T193" s="84">
        <f t="shared" ca="1" si="29"/>
        <v>0</v>
      </c>
      <c r="AI193" s="71">
        <f ca="1">IF(C193=1,((F193+H193)/2*'Reeksen (N)'!AI193*12)+(('Invoer gegevens (N)'!$C$10-(F193+H193)/2)*'Reeksen (N)'!AD193*12),0)</f>
        <v>0</v>
      </c>
      <c r="AJ193" s="71">
        <f ca="1">-AI193*'Invoer gegevens (N)'!$F$28</f>
        <v>0</v>
      </c>
      <c r="AK193" s="71">
        <f t="shared" ca="1" si="24"/>
        <v>0</v>
      </c>
      <c r="AL193" s="71">
        <f ca="1">IF(C193=1,(12*((F193+H193)/2)*'Reeksen (N)'!AL193)+(12*('Invoer gegevens (N)'!$C$10-(F193+H193)/2)*'Reeksen (N)'!AM193),0)</f>
        <v>0</v>
      </c>
      <c r="AM193" s="71">
        <f ca="1">-AL193*'Invoer gegevens (N)'!$F$31</f>
        <v>0</v>
      </c>
      <c r="AN193" s="71">
        <f t="shared" ca="1" si="25"/>
        <v>0</v>
      </c>
      <c r="AO193" s="71"/>
      <c r="AP193" s="71"/>
      <c r="AQ193" s="71">
        <f ca="1">-IF(C193=1,('Invoer gegevens (N)'!$C$10*'Invoer gegevens (N)'!$F$35)*'Reeksen (N)'!J193,0)*2</f>
        <v>0</v>
      </c>
      <c r="AR193" s="71">
        <f ca="1">-IF(C193=1,(G193*'Invoer gegevens (N)'!$F$36)*'Reeksen (N)'!J193,0)</f>
        <v>0</v>
      </c>
      <c r="AS193" s="71">
        <f ca="1">-IF(C193=1,'Invoer gegevens (N)'!$C$10*'Invoer gegevens (N)'!$F$37*'Reeksen (N)'!L193,0)</f>
        <v>0</v>
      </c>
      <c r="AT193" s="71">
        <f ca="1">-IF(C193=1,IF(E193='Invoer gegevens (N)'!$C$17,'Invoer gegevens (N)'!$C$11,Q193)*'Reeksen (N)'!S193*'Invoer gegevens (N)'!$C$18*'Reeksen (N)'!P193,0)</f>
        <v>0</v>
      </c>
      <c r="AU193" s="71">
        <f ca="1">-IF(C193=1,'Invoer gegevens (N)'!$C$10*'Invoer gegevens (N)'!$F$38*'Reeksen (N)'!H193,0)</f>
        <v>0</v>
      </c>
      <c r="AV193" s="71">
        <v>0</v>
      </c>
      <c r="AW193" s="71">
        <f t="shared" ca="1" si="26"/>
        <v>0</v>
      </c>
      <c r="AX193" s="71">
        <f ca="1">IF(E193&lt;'Invoer gegevens (N)'!$C$17+15,0,IF('RW - MW - DE - DE (N)'!E193&gt;'Invoer gegevens (N)'!$C$17+215,0,'RW - MW - DE - DE (N)'!AW193))</f>
        <v>0</v>
      </c>
      <c r="AY193" s="71">
        <f ca="1">AX193/(1+'Invoer gegevens (N)'!$F$13)^($AZ193-('Invoer gegevens (N)'!$C$17-'Invoer gegevens (N)'!$C$16))/(1+'Invoer gegevens (N)'!$C$39)^('Invoer gegevens (N)'!$C$17-'Invoer gegevens (N)'!$C$16)</f>
        <v>0</v>
      </c>
      <c r="AZ193" s="68">
        <f ca="1">IF(E193-'Invoer gegevens (N)'!$C$17-14.5&lt;0,0,E193-'Invoer gegevens (N)'!$C$17-14.5)</f>
        <v>173.5</v>
      </c>
      <c r="BC193" s="71"/>
    </row>
    <row r="194" spans="2:55" s="230" customFormat="1" x14ac:dyDescent="0.25">
      <c r="B194" s="70">
        <f t="shared" si="27"/>
        <v>190</v>
      </c>
      <c r="C194" s="67">
        <f ca="1">IF(E194-'Invoer gegevens (N)'!$C$17&lt;0,0,1)</f>
        <v>1</v>
      </c>
      <c r="D194" s="68">
        <f t="shared" si="28"/>
        <v>189.5</v>
      </c>
      <c r="E194" s="69">
        <f ca="1">IF('Invoer gegevens (N)'!$C$16="","",E193+1)</f>
        <v>2208</v>
      </c>
      <c r="F194" s="82">
        <f ca="1">IF('Invoer gegevens (N)'!$C$17=E194,'Invoer gegevens (N)'!$C$10,IF(C194=1,H193,0))</f>
        <v>0</v>
      </c>
      <c r="G194" s="83">
        <f ca="1">IF(C194&gt;=1,F194*'Reeksen (N)'!C194,0)</f>
        <v>0</v>
      </c>
      <c r="H194" s="84">
        <f t="shared" ca="1" si="21"/>
        <v>0</v>
      </c>
      <c r="I194" s="85">
        <f ca="1">IF('Invoer gegevens (N)'!$C$17=E194,'Invoer gegevens (N)'!$C$11,IF(C194=1,L193,0))</f>
        <v>0</v>
      </c>
      <c r="J194" s="86">
        <f ca="1">IF(C194&lt;1,0,IF('Reeksen (N)'!AD194&lt;='Reeksen (N)'!AE194,I194*'Reeksen (N)'!C194,0))</f>
        <v>0</v>
      </c>
      <c r="K194" s="86">
        <f ca="1">IF(C194&lt;1,0,IF('Reeksen (N)'!AD194&gt;'Reeksen (N)'!AE194,I194*'Reeksen (N)'!C194,0))</f>
        <v>0</v>
      </c>
      <c r="L194" s="86">
        <f t="shared" ca="1" si="22"/>
        <v>0</v>
      </c>
      <c r="M194" s="85">
        <f ca="1">IF('Invoer gegevens (N)'!$C$17=E194,'Invoer gegevens (N)'!$C$10-'Invoer gegevens (N)'!$C$11,IF(C194=1,P193,0))</f>
        <v>0</v>
      </c>
      <c r="N194" s="86">
        <f ca="1">IF(C194&lt;1,0,IF('Reeksen (N)'!AD194&lt;='Reeksen (N)'!AE194,M194*'Reeksen (N)'!C194,0))</f>
        <v>0</v>
      </c>
      <c r="O194" s="86">
        <f ca="1">IF(C194&lt;1,0,IF('Reeksen (N)'!AD194&gt;'Reeksen (N)'!AE194,M194*'Reeksen (N)'!C194,0))</f>
        <v>0</v>
      </c>
      <c r="P194" s="86">
        <f t="shared" ca="1" si="23"/>
        <v>0</v>
      </c>
      <c r="Q194" s="82">
        <f ca="1">IF('Invoer gegevens (N)'!$C$17=E194,I194,IF(C194=0,0,R193))</f>
        <v>0</v>
      </c>
      <c r="R194" s="84">
        <f t="shared" ca="1" si="20"/>
        <v>0</v>
      </c>
      <c r="S194" s="84">
        <f ca="1">IF('Invoer gegevens (N)'!$C$17=E194,M194,IF(C194=0,0,T193))</f>
        <v>0</v>
      </c>
      <c r="T194" s="84">
        <f t="shared" ca="1" si="29"/>
        <v>0</v>
      </c>
      <c r="AI194" s="71">
        <f ca="1">IF(C194=1,((F194+H194)/2*'Reeksen (N)'!AI194*12)+(('Invoer gegevens (N)'!$C$10-(F194+H194)/2)*'Reeksen (N)'!AD194*12),0)</f>
        <v>0</v>
      </c>
      <c r="AJ194" s="71">
        <f ca="1">-AI194*'Invoer gegevens (N)'!$F$28</f>
        <v>0</v>
      </c>
      <c r="AK194" s="71">
        <f t="shared" ca="1" si="24"/>
        <v>0</v>
      </c>
      <c r="AL194" s="71">
        <f ca="1">IF(C194=1,(12*((F194+H194)/2)*'Reeksen (N)'!AL194)+(12*('Invoer gegevens (N)'!$C$10-(F194+H194)/2)*'Reeksen (N)'!AM194),0)</f>
        <v>0</v>
      </c>
      <c r="AM194" s="71">
        <f ca="1">-AL194*'Invoer gegevens (N)'!$F$31</f>
        <v>0</v>
      </c>
      <c r="AN194" s="71">
        <f t="shared" ca="1" si="25"/>
        <v>0</v>
      </c>
      <c r="AO194" s="71"/>
      <c r="AP194" s="71"/>
      <c r="AQ194" s="71">
        <f ca="1">-IF(C194=1,('Invoer gegevens (N)'!$C$10*'Invoer gegevens (N)'!$F$35)*'Reeksen (N)'!J194,0)*2</f>
        <v>0</v>
      </c>
      <c r="AR194" s="71">
        <f ca="1">-IF(C194=1,(G194*'Invoer gegevens (N)'!$F$36)*'Reeksen (N)'!J194,0)</f>
        <v>0</v>
      </c>
      <c r="AS194" s="71">
        <f ca="1">-IF(C194=1,'Invoer gegevens (N)'!$C$10*'Invoer gegevens (N)'!$F$37*'Reeksen (N)'!L194,0)</f>
        <v>0</v>
      </c>
      <c r="AT194" s="71">
        <f ca="1">-IF(C194=1,IF(E194='Invoer gegevens (N)'!$C$17,'Invoer gegevens (N)'!$C$11,Q194)*'Reeksen (N)'!S194*'Invoer gegevens (N)'!$C$18*'Reeksen (N)'!P194,0)</f>
        <v>0</v>
      </c>
      <c r="AU194" s="71">
        <f ca="1">-IF(C194=1,'Invoer gegevens (N)'!$C$10*'Invoer gegevens (N)'!$F$38*'Reeksen (N)'!H194,0)</f>
        <v>0</v>
      </c>
      <c r="AV194" s="71">
        <v>0</v>
      </c>
      <c r="AW194" s="71">
        <f t="shared" ca="1" si="26"/>
        <v>0</v>
      </c>
      <c r="AX194" s="71">
        <f ca="1">IF(E194&lt;'Invoer gegevens (N)'!$C$17+15,0,IF('RW - MW - DE - DE (N)'!E194&gt;'Invoer gegevens (N)'!$C$17+215,0,'RW - MW - DE - DE (N)'!AW194))</f>
        <v>0</v>
      </c>
      <c r="AY194" s="71">
        <f ca="1">AX194/(1+'Invoer gegevens (N)'!$F$13)^($AZ194-('Invoer gegevens (N)'!$C$17-'Invoer gegevens (N)'!$C$16))/(1+'Invoer gegevens (N)'!$C$39)^('Invoer gegevens (N)'!$C$17-'Invoer gegevens (N)'!$C$16)</f>
        <v>0</v>
      </c>
      <c r="AZ194" s="68">
        <f ca="1">IF(E194-'Invoer gegevens (N)'!$C$17-14.5&lt;0,0,E194-'Invoer gegevens (N)'!$C$17-14.5)</f>
        <v>174.5</v>
      </c>
      <c r="BC194" s="71"/>
    </row>
    <row r="195" spans="2:55" s="230" customFormat="1" x14ac:dyDescent="0.25">
      <c r="B195" s="70">
        <f t="shared" si="27"/>
        <v>191</v>
      </c>
      <c r="C195" s="67">
        <f ca="1">IF(E195-'Invoer gegevens (N)'!$C$17&lt;0,0,1)</f>
        <v>1</v>
      </c>
      <c r="D195" s="68">
        <f t="shared" si="28"/>
        <v>190.5</v>
      </c>
      <c r="E195" s="69">
        <f ca="1">IF('Invoer gegevens (N)'!$C$16="","",E194+1)</f>
        <v>2209</v>
      </c>
      <c r="F195" s="82">
        <f ca="1">IF('Invoer gegevens (N)'!$C$17=E195,'Invoer gegevens (N)'!$C$10,IF(C195=1,H194,0))</f>
        <v>0</v>
      </c>
      <c r="G195" s="83">
        <f ca="1">IF(C195&gt;=1,F195*'Reeksen (N)'!C195,0)</f>
        <v>0</v>
      </c>
      <c r="H195" s="84">
        <f t="shared" ca="1" si="21"/>
        <v>0</v>
      </c>
      <c r="I195" s="85">
        <f ca="1">IF('Invoer gegevens (N)'!$C$17=E195,'Invoer gegevens (N)'!$C$11,IF(C195=1,L194,0))</f>
        <v>0</v>
      </c>
      <c r="J195" s="86">
        <f ca="1">IF(C195&lt;1,0,IF('Reeksen (N)'!AD195&lt;='Reeksen (N)'!AE195,I195*'Reeksen (N)'!C195,0))</f>
        <v>0</v>
      </c>
      <c r="K195" s="86">
        <f ca="1">IF(C195&lt;1,0,IF('Reeksen (N)'!AD195&gt;'Reeksen (N)'!AE195,I195*'Reeksen (N)'!C195,0))</f>
        <v>0</v>
      </c>
      <c r="L195" s="86">
        <f t="shared" ca="1" si="22"/>
        <v>0</v>
      </c>
      <c r="M195" s="85">
        <f ca="1">IF('Invoer gegevens (N)'!$C$17=E195,'Invoer gegevens (N)'!$C$10-'Invoer gegevens (N)'!$C$11,IF(C195=1,P194,0))</f>
        <v>0</v>
      </c>
      <c r="N195" s="86">
        <f ca="1">IF(C195&lt;1,0,IF('Reeksen (N)'!AD195&lt;='Reeksen (N)'!AE195,M195*'Reeksen (N)'!C195,0))</f>
        <v>0</v>
      </c>
      <c r="O195" s="86">
        <f ca="1">IF(C195&lt;1,0,IF('Reeksen (N)'!AD195&gt;'Reeksen (N)'!AE195,M195*'Reeksen (N)'!C195,0))</f>
        <v>0</v>
      </c>
      <c r="P195" s="86">
        <f t="shared" ca="1" si="23"/>
        <v>0</v>
      </c>
      <c r="Q195" s="82">
        <f ca="1">IF('Invoer gegevens (N)'!$C$17=E195,I195,IF(C195=0,0,R194))</f>
        <v>0</v>
      </c>
      <c r="R195" s="84">
        <f t="shared" ca="1" si="20"/>
        <v>0</v>
      </c>
      <c r="S195" s="84">
        <f ca="1">IF('Invoer gegevens (N)'!$C$17=E195,M195,IF(C195=0,0,T194))</f>
        <v>0</v>
      </c>
      <c r="T195" s="84">
        <f t="shared" ca="1" si="29"/>
        <v>0</v>
      </c>
      <c r="AI195" s="71">
        <f ca="1">IF(C195=1,((F195+H195)/2*'Reeksen (N)'!AI195*12)+(('Invoer gegevens (N)'!$C$10-(F195+H195)/2)*'Reeksen (N)'!AD195*12),0)</f>
        <v>0</v>
      </c>
      <c r="AJ195" s="71">
        <f ca="1">-AI195*'Invoer gegevens (N)'!$F$28</f>
        <v>0</v>
      </c>
      <c r="AK195" s="71">
        <f t="shared" ca="1" si="24"/>
        <v>0</v>
      </c>
      <c r="AL195" s="71">
        <f ca="1">IF(C195=1,(12*((F195+H195)/2)*'Reeksen (N)'!AL195)+(12*('Invoer gegevens (N)'!$C$10-(F195+H195)/2)*'Reeksen (N)'!AM195),0)</f>
        <v>0</v>
      </c>
      <c r="AM195" s="71">
        <f ca="1">-AL195*'Invoer gegevens (N)'!$F$31</f>
        <v>0</v>
      </c>
      <c r="AN195" s="71">
        <f t="shared" ca="1" si="25"/>
        <v>0</v>
      </c>
      <c r="AO195" s="71"/>
      <c r="AP195" s="71"/>
      <c r="AQ195" s="71">
        <f ca="1">-IF(C195=1,('Invoer gegevens (N)'!$C$10*'Invoer gegevens (N)'!$F$35)*'Reeksen (N)'!J195,0)*2</f>
        <v>0</v>
      </c>
      <c r="AR195" s="71">
        <f ca="1">-IF(C195=1,(G195*'Invoer gegevens (N)'!$F$36)*'Reeksen (N)'!J195,0)</f>
        <v>0</v>
      </c>
      <c r="AS195" s="71">
        <f ca="1">-IF(C195=1,'Invoer gegevens (N)'!$C$10*'Invoer gegevens (N)'!$F$37*'Reeksen (N)'!L195,0)</f>
        <v>0</v>
      </c>
      <c r="AT195" s="71">
        <f ca="1">-IF(C195=1,IF(E195='Invoer gegevens (N)'!$C$17,'Invoer gegevens (N)'!$C$11,Q195)*'Reeksen (N)'!S195*'Invoer gegevens (N)'!$C$18*'Reeksen (N)'!P195,0)</f>
        <v>0</v>
      </c>
      <c r="AU195" s="71">
        <f ca="1">-IF(C195=1,'Invoer gegevens (N)'!$C$10*'Invoer gegevens (N)'!$F$38*'Reeksen (N)'!H195,0)</f>
        <v>0</v>
      </c>
      <c r="AV195" s="71">
        <v>0</v>
      </c>
      <c r="AW195" s="71">
        <f t="shared" ca="1" si="26"/>
        <v>0</v>
      </c>
      <c r="AX195" s="71">
        <f ca="1">IF(E195&lt;'Invoer gegevens (N)'!$C$17+15,0,IF('RW - MW - DE - DE (N)'!E195&gt;'Invoer gegevens (N)'!$C$17+215,0,'RW - MW - DE - DE (N)'!AW195))</f>
        <v>0</v>
      </c>
      <c r="AY195" s="71">
        <f ca="1">AX195/(1+'Invoer gegevens (N)'!$F$13)^($AZ195-('Invoer gegevens (N)'!$C$17-'Invoer gegevens (N)'!$C$16))/(1+'Invoer gegevens (N)'!$C$39)^('Invoer gegevens (N)'!$C$17-'Invoer gegevens (N)'!$C$16)</f>
        <v>0</v>
      </c>
      <c r="AZ195" s="68">
        <f ca="1">IF(E195-'Invoer gegevens (N)'!$C$17-14.5&lt;0,0,E195-'Invoer gegevens (N)'!$C$17-14.5)</f>
        <v>175.5</v>
      </c>
      <c r="BC195" s="71"/>
    </row>
    <row r="196" spans="2:55" s="230" customFormat="1" x14ac:dyDescent="0.25">
      <c r="B196" s="70">
        <f t="shared" si="27"/>
        <v>192</v>
      </c>
      <c r="C196" s="67">
        <f ca="1">IF(E196-'Invoer gegevens (N)'!$C$17&lt;0,0,1)</f>
        <v>1</v>
      </c>
      <c r="D196" s="68">
        <f t="shared" si="28"/>
        <v>191.5</v>
      </c>
      <c r="E196" s="69">
        <f ca="1">IF('Invoer gegevens (N)'!$C$16="","",E195+1)</f>
        <v>2210</v>
      </c>
      <c r="F196" s="82">
        <f ca="1">IF('Invoer gegevens (N)'!$C$17=E196,'Invoer gegevens (N)'!$C$10,IF(C196=1,H195,0))</f>
        <v>0</v>
      </c>
      <c r="G196" s="83">
        <f ca="1">IF(C196&gt;=1,F196*'Reeksen (N)'!C196,0)</f>
        <v>0</v>
      </c>
      <c r="H196" s="84">
        <f t="shared" ca="1" si="21"/>
        <v>0</v>
      </c>
      <c r="I196" s="85">
        <f ca="1">IF('Invoer gegevens (N)'!$C$17=E196,'Invoer gegevens (N)'!$C$11,IF(C196=1,L195,0))</f>
        <v>0</v>
      </c>
      <c r="J196" s="86">
        <f ca="1">IF(C196&lt;1,0,IF('Reeksen (N)'!AD196&lt;='Reeksen (N)'!AE196,I196*'Reeksen (N)'!C196,0))</f>
        <v>0</v>
      </c>
      <c r="K196" s="86">
        <f ca="1">IF(C196&lt;1,0,IF('Reeksen (N)'!AD196&gt;'Reeksen (N)'!AE196,I196*'Reeksen (N)'!C196,0))</f>
        <v>0</v>
      </c>
      <c r="L196" s="86">
        <f t="shared" ca="1" si="22"/>
        <v>0</v>
      </c>
      <c r="M196" s="85">
        <f ca="1">IF('Invoer gegevens (N)'!$C$17=E196,'Invoer gegevens (N)'!$C$10-'Invoer gegevens (N)'!$C$11,IF(C196=1,P195,0))</f>
        <v>0</v>
      </c>
      <c r="N196" s="86">
        <f ca="1">IF(C196&lt;1,0,IF('Reeksen (N)'!AD196&lt;='Reeksen (N)'!AE196,M196*'Reeksen (N)'!C196,0))</f>
        <v>0</v>
      </c>
      <c r="O196" s="86">
        <f ca="1">IF(C196&lt;1,0,IF('Reeksen (N)'!AD196&gt;'Reeksen (N)'!AE196,M196*'Reeksen (N)'!C196,0))</f>
        <v>0</v>
      </c>
      <c r="P196" s="86">
        <f t="shared" ca="1" si="23"/>
        <v>0</v>
      </c>
      <c r="Q196" s="82">
        <f ca="1">IF('Invoer gegevens (N)'!$C$17=E196,I196,IF(C196=0,0,R195))</f>
        <v>0</v>
      </c>
      <c r="R196" s="84">
        <f t="shared" ca="1" si="20"/>
        <v>0</v>
      </c>
      <c r="S196" s="84">
        <f ca="1">IF('Invoer gegevens (N)'!$C$17=E196,M196,IF(C196=0,0,T195))</f>
        <v>0</v>
      </c>
      <c r="T196" s="84">
        <f t="shared" ca="1" si="29"/>
        <v>0</v>
      </c>
      <c r="AI196" s="71">
        <f ca="1">IF(C196=1,((F196+H196)/2*'Reeksen (N)'!AI196*12)+(('Invoer gegevens (N)'!$C$10-(F196+H196)/2)*'Reeksen (N)'!AD196*12),0)</f>
        <v>0</v>
      </c>
      <c r="AJ196" s="71">
        <f ca="1">-AI196*'Invoer gegevens (N)'!$F$28</f>
        <v>0</v>
      </c>
      <c r="AK196" s="71">
        <f t="shared" ca="1" si="24"/>
        <v>0</v>
      </c>
      <c r="AL196" s="71">
        <f ca="1">IF(C196=1,(12*((F196+H196)/2)*'Reeksen (N)'!AL196)+(12*('Invoer gegevens (N)'!$C$10-(F196+H196)/2)*'Reeksen (N)'!AM196),0)</f>
        <v>0</v>
      </c>
      <c r="AM196" s="71">
        <f ca="1">-AL196*'Invoer gegevens (N)'!$F$31</f>
        <v>0</v>
      </c>
      <c r="AN196" s="71">
        <f t="shared" ca="1" si="25"/>
        <v>0</v>
      </c>
      <c r="AO196" s="71"/>
      <c r="AP196" s="71"/>
      <c r="AQ196" s="71">
        <f ca="1">-IF(C196=1,('Invoer gegevens (N)'!$C$10*'Invoer gegevens (N)'!$F$35)*'Reeksen (N)'!J196,0)*2</f>
        <v>0</v>
      </c>
      <c r="AR196" s="71">
        <f ca="1">-IF(C196=1,(G196*'Invoer gegevens (N)'!$F$36)*'Reeksen (N)'!J196,0)</f>
        <v>0</v>
      </c>
      <c r="AS196" s="71">
        <f ca="1">-IF(C196=1,'Invoer gegevens (N)'!$C$10*'Invoer gegevens (N)'!$F$37*'Reeksen (N)'!L196,0)</f>
        <v>0</v>
      </c>
      <c r="AT196" s="71">
        <f ca="1">-IF(C196=1,IF(E196='Invoer gegevens (N)'!$C$17,'Invoer gegevens (N)'!$C$11,Q196)*'Reeksen (N)'!S196*'Invoer gegevens (N)'!$C$18*'Reeksen (N)'!P196,0)</f>
        <v>0</v>
      </c>
      <c r="AU196" s="71">
        <f ca="1">-IF(C196=1,'Invoer gegevens (N)'!$C$10*'Invoer gegevens (N)'!$F$38*'Reeksen (N)'!H196,0)</f>
        <v>0</v>
      </c>
      <c r="AV196" s="71">
        <v>0</v>
      </c>
      <c r="AW196" s="71">
        <f t="shared" ca="1" si="26"/>
        <v>0</v>
      </c>
      <c r="AX196" s="71">
        <f ca="1">IF(E196&lt;'Invoer gegevens (N)'!$C$17+15,0,IF('RW - MW - DE - DE (N)'!E196&gt;'Invoer gegevens (N)'!$C$17+215,0,'RW - MW - DE - DE (N)'!AW196))</f>
        <v>0</v>
      </c>
      <c r="AY196" s="71">
        <f ca="1">AX196/(1+'Invoer gegevens (N)'!$F$13)^($AZ196-('Invoer gegevens (N)'!$C$17-'Invoer gegevens (N)'!$C$16))/(1+'Invoer gegevens (N)'!$C$39)^('Invoer gegevens (N)'!$C$17-'Invoer gegevens (N)'!$C$16)</f>
        <v>0</v>
      </c>
      <c r="AZ196" s="68">
        <f ca="1">IF(E196-'Invoer gegevens (N)'!$C$17-14.5&lt;0,0,E196-'Invoer gegevens (N)'!$C$17-14.5)</f>
        <v>176.5</v>
      </c>
      <c r="BC196" s="71"/>
    </row>
    <row r="197" spans="2:55" s="230" customFormat="1" x14ac:dyDescent="0.25">
      <c r="B197" s="70">
        <f t="shared" si="27"/>
        <v>193</v>
      </c>
      <c r="C197" s="67">
        <f ca="1">IF(E197-'Invoer gegevens (N)'!$C$17&lt;0,0,1)</f>
        <v>1</v>
      </c>
      <c r="D197" s="68">
        <f t="shared" si="28"/>
        <v>192.5</v>
      </c>
      <c r="E197" s="69">
        <f ca="1">IF('Invoer gegevens (N)'!$C$16="","",E196+1)</f>
        <v>2211</v>
      </c>
      <c r="F197" s="82">
        <f ca="1">IF('Invoer gegevens (N)'!$C$17=E197,'Invoer gegevens (N)'!$C$10,IF(C197=1,H196,0))</f>
        <v>0</v>
      </c>
      <c r="G197" s="83">
        <f ca="1">IF(C197&gt;=1,F197*'Reeksen (N)'!C197,0)</f>
        <v>0</v>
      </c>
      <c r="H197" s="84">
        <f t="shared" ca="1" si="21"/>
        <v>0</v>
      </c>
      <c r="I197" s="85">
        <f ca="1">IF('Invoer gegevens (N)'!$C$17=E197,'Invoer gegevens (N)'!$C$11,IF(C197=1,L196,0))</f>
        <v>0</v>
      </c>
      <c r="J197" s="86">
        <f ca="1">IF(C197&lt;1,0,IF('Reeksen (N)'!AD197&lt;='Reeksen (N)'!AE197,I197*'Reeksen (N)'!C197,0))</f>
        <v>0</v>
      </c>
      <c r="K197" s="86">
        <f ca="1">IF(C197&lt;1,0,IF('Reeksen (N)'!AD197&gt;'Reeksen (N)'!AE197,I197*'Reeksen (N)'!C197,0))</f>
        <v>0</v>
      </c>
      <c r="L197" s="86">
        <f t="shared" ca="1" si="22"/>
        <v>0</v>
      </c>
      <c r="M197" s="85">
        <f ca="1">IF('Invoer gegevens (N)'!$C$17=E197,'Invoer gegevens (N)'!$C$10-'Invoer gegevens (N)'!$C$11,IF(C197=1,P196,0))</f>
        <v>0</v>
      </c>
      <c r="N197" s="86">
        <f ca="1">IF(C197&lt;1,0,IF('Reeksen (N)'!AD197&lt;='Reeksen (N)'!AE197,M197*'Reeksen (N)'!C197,0))</f>
        <v>0</v>
      </c>
      <c r="O197" s="86">
        <f ca="1">IF(C197&lt;1,0,IF('Reeksen (N)'!AD197&gt;'Reeksen (N)'!AE197,M197*'Reeksen (N)'!C197,0))</f>
        <v>0</v>
      </c>
      <c r="P197" s="86">
        <f t="shared" ca="1" si="23"/>
        <v>0</v>
      </c>
      <c r="Q197" s="82">
        <f ca="1">IF('Invoer gegevens (N)'!$C$17=E197,I197,IF(C197=0,0,R196))</f>
        <v>0</v>
      </c>
      <c r="R197" s="84">
        <f t="shared" ref="R197:R234" ca="1" si="30">IF(C197=0,0,Q197-K197+N197)</f>
        <v>0</v>
      </c>
      <c r="S197" s="84">
        <f ca="1">IF('Invoer gegevens (N)'!$C$17=E197,M197,IF(C197=0,0,T196))</f>
        <v>0</v>
      </c>
      <c r="T197" s="84">
        <f t="shared" ca="1" si="29"/>
        <v>0</v>
      </c>
      <c r="AI197" s="71">
        <f ca="1">IF(C197=1,((F197+H197)/2*'Reeksen (N)'!AI197*12)+(('Invoer gegevens (N)'!$C$10-(F197+H197)/2)*'Reeksen (N)'!AD197*12),0)</f>
        <v>0</v>
      </c>
      <c r="AJ197" s="71">
        <f ca="1">-AI197*'Invoer gegevens (N)'!$F$28</f>
        <v>0</v>
      </c>
      <c r="AK197" s="71">
        <f t="shared" ca="1" si="24"/>
        <v>0</v>
      </c>
      <c r="AL197" s="71">
        <f ca="1">IF(C197=1,(12*((F197+H197)/2)*'Reeksen (N)'!AL197)+(12*('Invoer gegevens (N)'!$C$10-(F197+H197)/2)*'Reeksen (N)'!AM197),0)</f>
        <v>0</v>
      </c>
      <c r="AM197" s="71">
        <f ca="1">-AL197*'Invoer gegevens (N)'!$F$31</f>
        <v>0</v>
      </c>
      <c r="AN197" s="71">
        <f t="shared" ca="1" si="25"/>
        <v>0</v>
      </c>
      <c r="AO197" s="71"/>
      <c r="AP197" s="71"/>
      <c r="AQ197" s="71">
        <f ca="1">-IF(C197=1,('Invoer gegevens (N)'!$C$10*'Invoer gegevens (N)'!$F$35)*'Reeksen (N)'!J197,0)*2</f>
        <v>0</v>
      </c>
      <c r="AR197" s="71">
        <f ca="1">-IF(C197=1,(G197*'Invoer gegevens (N)'!$F$36)*'Reeksen (N)'!J197,0)</f>
        <v>0</v>
      </c>
      <c r="AS197" s="71">
        <f ca="1">-IF(C197=1,'Invoer gegevens (N)'!$C$10*'Invoer gegevens (N)'!$F$37*'Reeksen (N)'!L197,0)</f>
        <v>0</v>
      </c>
      <c r="AT197" s="71">
        <f ca="1">-IF(C197=1,IF(E197='Invoer gegevens (N)'!$C$17,'Invoer gegevens (N)'!$C$11,Q197)*'Reeksen (N)'!S197*'Invoer gegevens (N)'!$C$18*'Reeksen (N)'!P197,0)</f>
        <v>0</v>
      </c>
      <c r="AU197" s="71">
        <f ca="1">-IF(C197=1,'Invoer gegevens (N)'!$C$10*'Invoer gegevens (N)'!$F$38*'Reeksen (N)'!H197,0)</f>
        <v>0</v>
      </c>
      <c r="AV197" s="71">
        <v>0</v>
      </c>
      <c r="AW197" s="71">
        <f t="shared" ca="1" si="26"/>
        <v>0</v>
      </c>
      <c r="AX197" s="71">
        <f ca="1">IF(E197&lt;'Invoer gegevens (N)'!$C$17+15,0,IF('RW - MW - DE - DE (N)'!E197&gt;'Invoer gegevens (N)'!$C$17+215,0,'RW - MW - DE - DE (N)'!AW197))</f>
        <v>0</v>
      </c>
      <c r="AY197" s="71">
        <f ca="1">AX197/(1+'Invoer gegevens (N)'!$F$13)^($AZ197-('Invoer gegevens (N)'!$C$17-'Invoer gegevens (N)'!$C$16))/(1+'Invoer gegevens (N)'!$C$39)^('Invoer gegevens (N)'!$C$17-'Invoer gegevens (N)'!$C$16)</f>
        <v>0</v>
      </c>
      <c r="AZ197" s="68">
        <f ca="1">IF(E197-'Invoer gegevens (N)'!$C$17-14.5&lt;0,0,E197-'Invoer gegevens (N)'!$C$17-14.5)</f>
        <v>177.5</v>
      </c>
      <c r="BC197" s="71"/>
    </row>
    <row r="198" spans="2:55" s="230" customFormat="1" x14ac:dyDescent="0.25">
      <c r="B198" s="70">
        <f t="shared" si="27"/>
        <v>194</v>
      </c>
      <c r="C198" s="67">
        <f ca="1">IF(E198-'Invoer gegevens (N)'!$C$17&lt;0,0,1)</f>
        <v>1</v>
      </c>
      <c r="D198" s="68">
        <f t="shared" si="28"/>
        <v>193.5</v>
      </c>
      <c r="E198" s="69">
        <f ca="1">IF('Invoer gegevens (N)'!$C$16="","",E197+1)</f>
        <v>2212</v>
      </c>
      <c r="F198" s="82">
        <f ca="1">IF('Invoer gegevens (N)'!$C$17=E198,'Invoer gegevens (N)'!$C$10,IF(C198=1,H197,0))</f>
        <v>0</v>
      </c>
      <c r="G198" s="83">
        <f ca="1">IF(C198&gt;=1,F198*'Reeksen (N)'!C198,0)</f>
        <v>0</v>
      </c>
      <c r="H198" s="84">
        <f t="shared" ref="H198:H234" ca="1" si="31">F198-G198</f>
        <v>0</v>
      </c>
      <c r="I198" s="85">
        <f ca="1">IF('Invoer gegevens (N)'!$C$17=E198,'Invoer gegevens (N)'!$C$11,IF(C198=1,L197,0))</f>
        <v>0</v>
      </c>
      <c r="J198" s="86">
        <f ca="1">IF(C198&lt;1,0,IF('Reeksen (N)'!AD198&lt;='Reeksen (N)'!AE198,I198*'Reeksen (N)'!C198,0))</f>
        <v>0</v>
      </c>
      <c r="K198" s="86">
        <f ca="1">IF(C198&lt;1,0,IF('Reeksen (N)'!AD198&gt;'Reeksen (N)'!AE198,I198*'Reeksen (N)'!C198,0))</f>
        <v>0</v>
      </c>
      <c r="L198" s="86">
        <f t="shared" ref="L198:L234" ca="1" si="32">I198-J198-K198</f>
        <v>0</v>
      </c>
      <c r="M198" s="85">
        <f ca="1">IF('Invoer gegevens (N)'!$C$17=E198,'Invoer gegevens (N)'!$C$10-'Invoer gegevens (N)'!$C$11,IF(C198=1,P197,0))</f>
        <v>0</v>
      </c>
      <c r="N198" s="86">
        <f ca="1">IF(C198&lt;1,0,IF('Reeksen (N)'!AD198&lt;='Reeksen (N)'!AE198,M198*'Reeksen (N)'!C198,0))</f>
        <v>0</v>
      </c>
      <c r="O198" s="86">
        <f ca="1">IF(C198&lt;1,0,IF('Reeksen (N)'!AD198&gt;'Reeksen (N)'!AE198,M198*'Reeksen (N)'!C198,0))</f>
        <v>0</v>
      </c>
      <c r="P198" s="86">
        <f t="shared" ref="P198:P234" ca="1" si="33">M198-N198-O198</f>
        <v>0</v>
      </c>
      <c r="Q198" s="82">
        <f ca="1">IF('Invoer gegevens (N)'!$C$17=E198,I198,IF(C198=0,0,R197))</f>
        <v>0</v>
      </c>
      <c r="R198" s="84">
        <f t="shared" ca="1" si="30"/>
        <v>0</v>
      </c>
      <c r="S198" s="84">
        <f ca="1">IF('Invoer gegevens (N)'!$C$17=E198,M198,IF(C198=0,0,T197))</f>
        <v>0</v>
      </c>
      <c r="T198" s="84">
        <f t="shared" ca="1" si="29"/>
        <v>0</v>
      </c>
      <c r="AI198" s="71">
        <f ca="1">IF(C198=1,((F198+H198)/2*'Reeksen (N)'!AI198*12)+(('Invoer gegevens (N)'!$C$10-(F198+H198)/2)*'Reeksen (N)'!AD198*12),0)</f>
        <v>0</v>
      </c>
      <c r="AJ198" s="71">
        <f ca="1">-AI198*'Invoer gegevens (N)'!$F$28</f>
        <v>0</v>
      </c>
      <c r="AK198" s="71">
        <f t="shared" ref="AK198:AK234" ca="1" si="34">AI198+AJ198</f>
        <v>0</v>
      </c>
      <c r="AL198" s="71">
        <f ca="1">IF(C198=1,(12*((F198+H198)/2)*'Reeksen (N)'!AL198)+(12*('Invoer gegevens (N)'!$C$10-(F198+H198)/2)*'Reeksen (N)'!AM198),0)</f>
        <v>0</v>
      </c>
      <c r="AM198" s="71">
        <f ca="1">-AL198*'Invoer gegevens (N)'!$F$31</f>
        <v>0</v>
      </c>
      <c r="AN198" s="71">
        <f t="shared" ref="AN198:AN234" ca="1" si="35">AL198+AM198</f>
        <v>0</v>
      </c>
      <c r="AO198" s="71"/>
      <c r="AP198" s="71"/>
      <c r="AQ198" s="71">
        <f ca="1">-IF(C198=1,('Invoer gegevens (N)'!$C$10*'Invoer gegevens (N)'!$F$35)*'Reeksen (N)'!J198,0)*2</f>
        <v>0</v>
      </c>
      <c r="AR198" s="71">
        <f ca="1">-IF(C198=1,(G198*'Invoer gegevens (N)'!$F$36)*'Reeksen (N)'!J198,0)</f>
        <v>0</v>
      </c>
      <c r="AS198" s="71">
        <f ca="1">-IF(C198=1,'Invoer gegevens (N)'!$C$10*'Invoer gegevens (N)'!$F$37*'Reeksen (N)'!L198,0)</f>
        <v>0</v>
      </c>
      <c r="AT198" s="71">
        <f ca="1">-IF(C198=1,IF(E198='Invoer gegevens (N)'!$C$17,'Invoer gegevens (N)'!$C$11,Q198)*'Reeksen (N)'!S198*'Invoer gegevens (N)'!$C$18*'Reeksen (N)'!P198,0)</f>
        <v>0</v>
      </c>
      <c r="AU198" s="71">
        <f ca="1">-IF(C198=1,'Invoer gegevens (N)'!$C$10*'Invoer gegevens (N)'!$F$38*'Reeksen (N)'!H198,0)</f>
        <v>0</v>
      </c>
      <c r="AV198" s="71">
        <v>0</v>
      </c>
      <c r="AW198" s="71">
        <f t="shared" ref="AW198:AW234" ca="1" si="36">SUM(AK198,AN198:AV198)</f>
        <v>0</v>
      </c>
      <c r="AX198" s="71">
        <f ca="1">IF(E198&lt;'Invoer gegevens (N)'!$C$17+15,0,IF('RW - MW - DE - DE (N)'!E198&gt;'Invoer gegevens (N)'!$C$17+215,0,'RW - MW - DE - DE (N)'!AW198))</f>
        <v>0</v>
      </c>
      <c r="AY198" s="71">
        <f ca="1">AX198/(1+'Invoer gegevens (N)'!$F$13)^($AZ198-('Invoer gegevens (N)'!$C$17-'Invoer gegevens (N)'!$C$16))/(1+'Invoer gegevens (N)'!$C$39)^('Invoer gegevens (N)'!$C$17-'Invoer gegevens (N)'!$C$16)</f>
        <v>0</v>
      </c>
      <c r="AZ198" s="68">
        <f ca="1">IF(E198-'Invoer gegevens (N)'!$C$17-14.5&lt;0,0,E198-'Invoer gegevens (N)'!$C$17-14.5)</f>
        <v>178.5</v>
      </c>
      <c r="BC198" s="71"/>
    </row>
    <row r="199" spans="2:55" s="230" customFormat="1" x14ac:dyDescent="0.25">
      <c r="B199" s="70">
        <f t="shared" ref="B199:B234" si="37">B198+1</f>
        <v>195</v>
      </c>
      <c r="C199" s="67">
        <f ca="1">IF(E199-'Invoer gegevens (N)'!$C$17&lt;0,0,1)</f>
        <v>1</v>
      </c>
      <c r="D199" s="68">
        <f t="shared" ref="D199:D234" si="38">D198+1</f>
        <v>194.5</v>
      </c>
      <c r="E199" s="69">
        <f ca="1">IF('Invoer gegevens (N)'!$C$16="","",E198+1)</f>
        <v>2213</v>
      </c>
      <c r="F199" s="82">
        <f ca="1">IF('Invoer gegevens (N)'!$C$17=E199,'Invoer gegevens (N)'!$C$10,IF(C199=1,H198,0))</f>
        <v>0</v>
      </c>
      <c r="G199" s="83">
        <f ca="1">IF(C199&gt;=1,F199*'Reeksen (N)'!C199,0)</f>
        <v>0</v>
      </c>
      <c r="H199" s="84">
        <f t="shared" ca="1" si="31"/>
        <v>0</v>
      </c>
      <c r="I199" s="85">
        <f ca="1">IF('Invoer gegevens (N)'!$C$17=E199,'Invoer gegevens (N)'!$C$11,IF(C199=1,L198,0))</f>
        <v>0</v>
      </c>
      <c r="J199" s="86">
        <f ca="1">IF(C199&lt;1,0,IF('Reeksen (N)'!AD199&lt;='Reeksen (N)'!AE199,I199*'Reeksen (N)'!C199,0))</f>
        <v>0</v>
      </c>
      <c r="K199" s="86">
        <f ca="1">IF(C199&lt;1,0,IF('Reeksen (N)'!AD199&gt;'Reeksen (N)'!AE199,I199*'Reeksen (N)'!C199,0))</f>
        <v>0</v>
      </c>
      <c r="L199" s="86">
        <f t="shared" ca="1" si="32"/>
        <v>0</v>
      </c>
      <c r="M199" s="85">
        <f ca="1">IF('Invoer gegevens (N)'!$C$17=E199,'Invoer gegevens (N)'!$C$10-'Invoer gegevens (N)'!$C$11,IF(C199=1,P198,0))</f>
        <v>0</v>
      </c>
      <c r="N199" s="86">
        <f ca="1">IF(C199&lt;1,0,IF('Reeksen (N)'!AD199&lt;='Reeksen (N)'!AE199,M199*'Reeksen (N)'!C199,0))</f>
        <v>0</v>
      </c>
      <c r="O199" s="86">
        <f ca="1">IF(C199&lt;1,0,IF('Reeksen (N)'!AD199&gt;'Reeksen (N)'!AE199,M199*'Reeksen (N)'!C199,0))</f>
        <v>0</v>
      </c>
      <c r="P199" s="86">
        <f t="shared" ca="1" si="33"/>
        <v>0</v>
      </c>
      <c r="Q199" s="82">
        <f ca="1">IF('Invoer gegevens (N)'!$C$17=E199,I199,IF(C199=0,0,R198))</f>
        <v>0</v>
      </c>
      <c r="R199" s="84">
        <f t="shared" ca="1" si="30"/>
        <v>0</v>
      </c>
      <c r="S199" s="84">
        <f ca="1">IF('Invoer gegevens (N)'!$C$17=E199,M199,IF(C199=0,0,T198))</f>
        <v>0</v>
      </c>
      <c r="T199" s="84">
        <f t="shared" ref="T199:T234" ca="1" si="39">IF(C199=0,0,S199-N199+K199)</f>
        <v>0</v>
      </c>
      <c r="AI199" s="71">
        <f ca="1">IF(C199=1,((F199+H199)/2*'Reeksen (N)'!AI199*12)+(('Invoer gegevens (N)'!$C$10-(F199+H199)/2)*'Reeksen (N)'!AD199*12),0)</f>
        <v>0</v>
      </c>
      <c r="AJ199" s="71">
        <f ca="1">-AI199*'Invoer gegevens (N)'!$F$28</f>
        <v>0</v>
      </c>
      <c r="AK199" s="71">
        <f t="shared" ca="1" si="34"/>
        <v>0</v>
      </c>
      <c r="AL199" s="71">
        <f ca="1">IF(C199=1,(12*((F199+H199)/2)*'Reeksen (N)'!AL199)+(12*('Invoer gegevens (N)'!$C$10-(F199+H199)/2)*'Reeksen (N)'!AM199),0)</f>
        <v>0</v>
      </c>
      <c r="AM199" s="71">
        <f ca="1">-AL199*'Invoer gegevens (N)'!$F$31</f>
        <v>0</v>
      </c>
      <c r="AN199" s="71">
        <f t="shared" ca="1" si="35"/>
        <v>0</v>
      </c>
      <c r="AO199" s="71"/>
      <c r="AP199" s="71"/>
      <c r="AQ199" s="71">
        <f ca="1">-IF(C199=1,('Invoer gegevens (N)'!$C$10*'Invoer gegevens (N)'!$F$35)*'Reeksen (N)'!J199,0)*2</f>
        <v>0</v>
      </c>
      <c r="AR199" s="71">
        <f ca="1">-IF(C199=1,(G199*'Invoer gegevens (N)'!$F$36)*'Reeksen (N)'!J199,0)</f>
        <v>0</v>
      </c>
      <c r="AS199" s="71">
        <f ca="1">-IF(C199=1,'Invoer gegevens (N)'!$C$10*'Invoer gegevens (N)'!$F$37*'Reeksen (N)'!L199,0)</f>
        <v>0</v>
      </c>
      <c r="AT199" s="71">
        <f ca="1">-IF(C199=1,IF(E199='Invoer gegevens (N)'!$C$17,'Invoer gegevens (N)'!$C$11,Q199)*'Reeksen (N)'!S199*'Invoer gegevens (N)'!$C$18*'Reeksen (N)'!P199,0)</f>
        <v>0</v>
      </c>
      <c r="AU199" s="71">
        <f ca="1">-IF(C199=1,'Invoer gegevens (N)'!$C$10*'Invoer gegevens (N)'!$F$38*'Reeksen (N)'!H199,0)</f>
        <v>0</v>
      </c>
      <c r="AV199" s="71">
        <v>0</v>
      </c>
      <c r="AW199" s="71">
        <f t="shared" ca="1" si="36"/>
        <v>0</v>
      </c>
      <c r="AX199" s="71">
        <f ca="1">IF(E199&lt;'Invoer gegevens (N)'!$C$17+15,0,IF('RW - MW - DE - DE (N)'!E199&gt;'Invoer gegevens (N)'!$C$17+215,0,'RW - MW - DE - DE (N)'!AW199))</f>
        <v>0</v>
      </c>
      <c r="AY199" s="71">
        <f ca="1">AX199/(1+'Invoer gegevens (N)'!$F$13)^($AZ199-('Invoer gegevens (N)'!$C$17-'Invoer gegevens (N)'!$C$16))/(1+'Invoer gegevens (N)'!$C$39)^('Invoer gegevens (N)'!$C$17-'Invoer gegevens (N)'!$C$16)</f>
        <v>0</v>
      </c>
      <c r="AZ199" s="68">
        <f ca="1">IF(E199-'Invoer gegevens (N)'!$C$17-14.5&lt;0,0,E199-'Invoer gegevens (N)'!$C$17-14.5)</f>
        <v>179.5</v>
      </c>
      <c r="BC199" s="71"/>
    </row>
    <row r="200" spans="2:55" s="230" customFormat="1" x14ac:dyDescent="0.25">
      <c r="B200" s="70">
        <f t="shared" si="37"/>
        <v>196</v>
      </c>
      <c r="C200" s="67">
        <f ca="1">IF(E200-'Invoer gegevens (N)'!$C$17&lt;0,0,1)</f>
        <v>1</v>
      </c>
      <c r="D200" s="68">
        <f t="shared" si="38"/>
        <v>195.5</v>
      </c>
      <c r="E200" s="69">
        <f ca="1">IF('Invoer gegevens (N)'!$C$16="","",E199+1)</f>
        <v>2214</v>
      </c>
      <c r="F200" s="82">
        <f ca="1">IF('Invoer gegevens (N)'!$C$17=E200,'Invoer gegevens (N)'!$C$10,IF(C200=1,H199,0))</f>
        <v>0</v>
      </c>
      <c r="G200" s="83">
        <f ca="1">IF(C200&gt;=1,F200*'Reeksen (N)'!C200,0)</f>
        <v>0</v>
      </c>
      <c r="H200" s="84">
        <f t="shared" ca="1" si="31"/>
        <v>0</v>
      </c>
      <c r="I200" s="85">
        <f ca="1">IF('Invoer gegevens (N)'!$C$17=E200,'Invoer gegevens (N)'!$C$11,IF(C200=1,L199,0))</f>
        <v>0</v>
      </c>
      <c r="J200" s="86">
        <f ca="1">IF(C200&lt;1,0,IF('Reeksen (N)'!AD200&lt;='Reeksen (N)'!AE200,I200*'Reeksen (N)'!C200,0))</f>
        <v>0</v>
      </c>
      <c r="K200" s="86">
        <f ca="1">IF(C200&lt;1,0,IF('Reeksen (N)'!AD200&gt;'Reeksen (N)'!AE200,I200*'Reeksen (N)'!C200,0))</f>
        <v>0</v>
      </c>
      <c r="L200" s="86">
        <f t="shared" ca="1" si="32"/>
        <v>0</v>
      </c>
      <c r="M200" s="85">
        <f ca="1">IF('Invoer gegevens (N)'!$C$17=E200,'Invoer gegevens (N)'!$C$10-'Invoer gegevens (N)'!$C$11,IF(C200=1,P199,0))</f>
        <v>0</v>
      </c>
      <c r="N200" s="86">
        <f ca="1">IF(C200&lt;1,0,IF('Reeksen (N)'!AD200&lt;='Reeksen (N)'!AE200,M200*'Reeksen (N)'!C200,0))</f>
        <v>0</v>
      </c>
      <c r="O200" s="86">
        <f ca="1">IF(C200&lt;1,0,IF('Reeksen (N)'!AD200&gt;'Reeksen (N)'!AE200,M200*'Reeksen (N)'!C200,0))</f>
        <v>0</v>
      </c>
      <c r="P200" s="86">
        <f t="shared" ca="1" si="33"/>
        <v>0</v>
      </c>
      <c r="Q200" s="82">
        <f ca="1">IF('Invoer gegevens (N)'!$C$17=E200,I200,IF(C200=0,0,R199))</f>
        <v>0</v>
      </c>
      <c r="R200" s="84">
        <f t="shared" ca="1" si="30"/>
        <v>0</v>
      </c>
      <c r="S200" s="84">
        <f ca="1">IF('Invoer gegevens (N)'!$C$17=E200,M200,IF(C200=0,0,T199))</f>
        <v>0</v>
      </c>
      <c r="T200" s="84">
        <f t="shared" ca="1" si="39"/>
        <v>0</v>
      </c>
      <c r="AI200" s="71">
        <f ca="1">IF(C200=1,((F200+H200)/2*'Reeksen (N)'!AI200*12)+(('Invoer gegevens (N)'!$C$10-(F200+H200)/2)*'Reeksen (N)'!AD200*12),0)</f>
        <v>0</v>
      </c>
      <c r="AJ200" s="71">
        <f ca="1">-AI200*'Invoer gegevens (N)'!$F$28</f>
        <v>0</v>
      </c>
      <c r="AK200" s="71">
        <f t="shared" ca="1" si="34"/>
        <v>0</v>
      </c>
      <c r="AL200" s="71">
        <f ca="1">IF(C200=1,(12*((F200+H200)/2)*'Reeksen (N)'!AL200)+(12*('Invoer gegevens (N)'!$C$10-(F200+H200)/2)*'Reeksen (N)'!AM200),0)</f>
        <v>0</v>
      </c>
      <c r="AM200" s="71">
        <f ca="1">-AL200*'Invoer gegevens (N)'!$F$31</f>
        <v>0</v>
      </c>
      <c r="AN200" s="71">
        <f t="shared" ca="1" si="35"/>
        <v>0</v>
      </c>
      <c r="AO200" s="71"/>
      <c r="AP200" s="71"/>
      <c r="AQ200" s="71">
        <f ca="1">-IF(C200=1,('Invoer gegevens (N)'!$C$10*'Invoer gegevens (N)'!$F$35)*'Reeksen (N)'!J200,0)*2</f>
        <v>0</v>
      </c>
      <c r="AR200" s="71">
        <f ca="1">-IF(C200=1,(G200*'Invoer gegevens (N)'!$F$36)*'Reeksen (N)'!J200,0)</f>
        <v>0</v>
      </c>
      <c r="AS200" s="71">
        <f ca="1">-IF(C200=1,'Invoer gegevens (N)'!$C$10*'Invoer gegevens (N)'!$F$37*'Reeksen (N)'!L200,0)</f>
        <v>0</v>
      </c>
      <c r="AT200" s="71">
        <f ca="1">-IF(C200=1,IF(E200='Invoer gegevens (N)'!$C$17,'Invoer gegevens (N)'!$C$11,Q200)*'Reeksen (N)'!S200*'Invoer gegevens (N)'!$C$18*'Reeksen (N)'!P200,0)</f>
        <v>0</v>
      </c>
      <c r="AU200" s="71">
        <f ca="1">-IF(C200=1,'Invoer gegevens (N)'!$C$10*'Invoer gegevens (N)'!$F$38*'Reeksen (N)'!H200,0)</f>
        <v>0</v>
      </c>
      <c r="AV200" s="71">
        <v>0</v>
      </c>
      <c r="AW200" s="71">
        <f t="shared" ca="1" si="36"/>
        <v>0</v>
      </c>
      <c r="AX200" s="71">
        <f ca="1">IF(E200&lt;'Invoer gegevens (N)'!$C$17+15,0,IF('RW - MW - DE - DE (N)'!E200&gt;'Invoer gegevens (N)'!$C$17+215,0,'RW - MW - DE - DE (N)'!AW200))</f>
        <v>0</v>
      </c>
      <c r="AY200" s="71">
        <f ca="1">AX200/(1+'Invoer gegevens (N)'!$F$13)^($AZ200-('Invoer gegevens (N)'!$C$17-'Invoer gegevens (N)'!$C$16))/(1+'Invoer gegevens (N)'!$C$39)^('Invoer gegevens (N)'!$C$17-'Invoer gegevens (N)'!$C$16)</f>
        <v>0</v>
      </c>
      <c r="AZ200" s="68">
        <f ca="1">IF(E200-'Invoer gegevens (N)'!$C$17-14.5&lt;0,0,E200-'Invoer gegevens (N)'!$C$17-14.5)</f>
        <v>180.5</v>
      </c>
      <c r="BC200" s="71"/>
    </row>
    <row r="201" spans="2:55" s="230" customFormat="1" x14ac:dyDescent="0.25">
      <c r="B201" s="70">
        <f t="shared" si="37"/>
        <v>197</v>
      </c>
      <c r="C201" s="67">
        <f ca="1">IF(E201-'Invoer gegevens (N)'!$C$17&lt;0,0,1)</f>
        <v>1</v>
      </c>
      <c r="D201" s="68">
        <f t="shared" si="38"/>
        <v>196.5</v>
      </c>
      <c r="E201" s="69">
        <f ca="1">IF('Invoer gegevens (N)'!$C$16="","",E200+1)</f>
        <v>2215</v>
      </c>
      <c r="F201" s="82">
        <f ca="1">IF('Invoer gegevens (N)'!$C$17=E201,'Invoer gegevens (N)'!$C$10,IF(C201=1,H200,0))</f>
        <v>0</v>
      </c>
      <c r="G201" s="83">
        <f ca="1">IF(C201&gt;=1,F201*'Reeksen (N)'!C201,0)</f>
        <v>0</v>
      </c>
      <c r="H201" s="84">
        <f t="shared" ca="1" si="31"/>
        <v>0</v>
      </c>
      <c r="I201" s="85">
        <f ca="1">IF('Invoer gegevens (N)'!$C$17=E201,'Invoer gegevens (N)'!$C$11,IF(C201=1,L200,0))</f>
        <v>0</v>
      </c>
      <c r="J201" s="86">
        <f ca="1">IF(C201&lt;1,0,IF('Reeksen (N)'!AD201&lt;='Reeksen (N)'!AE201,I201*'Reeksen (N)'!C201,0))</f>
        <v>0</v>
      </c>
      <c r="K201" s="86">
        <f ca="1">IF(C201&lt;1,0,IF('Reeksen (N)'!AD201&gt;'Reeksen (N)'!AE201,I201*'Reeksen (N)'!C201,0))</f>
        <v>0</v>
      </c>
      <c r="L201" s="86">
        <f t="shared" ca="1" si="32"/>
        <v>0</v>
      </c>
      <c r="M201" s="85">
        <f ca="1">IF('Invoer gegevens (N)'!$C$17=E201,'Invoer gegevens (N)'!$C$10-'Invoer gegevens (N)'!$C$11,IF(C201=1,P200,0))</f>
        <v>0</v>
      </c>
      <c r="N201" s="86">
        <f ca="1">IF(C201&lt;1,0,IF('Reeksen (N)'!AD201&lt;='Reeksen (N)'!AE201,M201*'Reeksen (N)'!C201,0))</f>
        <v>0</v>
      </c>
      <c r="O201" s="86">
        <f ca="1">IF(C201&lt;1,0,IF('Reeksen (N)'!AD201&gt;'Reeksen (N)'!AE201,M201*'Reeksen (N)'!C201,0))</f>
        <v>0</v>
      </c>
      <c r="P201" s="86">
        <f t="shared" ca="1" si="33"/>
        <v>0</v>
      </c>
      <c r="Q201" s="82">
        <f ca="1">IF('Invoer gegevens (N)'!$C$17=E201,I201,IF(C201=0,0,R200))</f>
        <v>0</v>
      </c>
      <c r="R201" s="84">
        <f t="shared" ca="1" si="30"/>
        <v>0</v>
      </c>
      <c r="S201" s="84">
        <f ca="1">IF('Invoer gegevens (N)'!$C$17=E201,M201,IF(C201=0,0,T200))</f>
        <v>0</v>
      </c>
      <c r="T201" s="84">
        <f t="shared" ca="1" si="39"/>
        <v>0</v>
      </c>
      <c r="AI201" s="71">
        <f ca="1">IF(C201=1,((F201+H201)/2*'Reeksen (N)'!AI201*12)+(('Invoer gegevens (N)'!$C$10-(F201+H201)/2)*'Reeksen (N)'!AD201*12),0)</f>
        <v>0</v>
      </c>
      <c r="AJ201" s="71">
        <f ca="1">-AI201*'Invoer gegevens (N)'!$F$28</f>
        <v>0</v>
      </c>
      <c r="AK201" s="71">
        <f t="shared" ca="1" si="34"/>
        <v>0</v>
      </c>
      <c r="AL201" s="71">
        <f ca="1">IF(C201=1,(12*((F201+H201)/2)*'Reeksen (N)'!AL201)+(12*('Invoer gegevens (N)'!$C$10-(F201+H201)/2)*'Reeksen (N)'!AM201),0)</f>
        <v>0</v>
      </c>
      <c r="AM201" s="71">
        <f ca="1">-AL201*'Invoer gegevens (N)'!$F$31</f>
        <v>0</v>
      </c>
      <c r="AN201" s="71">
        <f t="shared" ca="1" si="35"/>
        <v>0</v>
      </c>
      <c r="AO201" s="71"/>
      <c r="AP201" s="71"/>
      <c r="AQ201" s="71">
        <f ca="1">-IF(C201=1,('Invoer gegevens (N)'!$C$10*'Invoer gegevens (N)'!$F$35)*'Reeksen (N)'!J201,0)*2</f>
        <v>0</v>
      </c>
      <c r="AR201" s="71">
        <f ca="1">-IF(C201=1,(G201*'Invoer gegevens (N)'!$F$36)*'Reeksen (N)'!J201,0)</f>
        <v>0</v>
      </c>
      <c r="AS201" s="71">
        <f ca="1">-IF(C201=1,'Invoer gegevens (N)'!$C$10*'Invoer gegevens (N)'!$F$37*'Reeksen (N)'!L201,0)</f>
        <v>0</v>
      </c>
      <c r="AT201" s="71">
        <f ca="1">-IF(C201=1,IF(E201='Invoer gegevens (N)'!$C$17,'Invoer gegevens (N)'!$C$11,Q201)*'Reeksen (N)'!S201*'Invoer gegevens (N)'!$C$18*'Reeksen (N)'!P201,0)</f>
        <v>0</v>
      </c>
      <c r="AU201" s="71">
        <f ca="1">-IF(C201=1,'Invoer gegevens (N)'!$C$10*'Invoer gegevens (N)'!$F$38*'Reeksen (N)'!H201,0)</f>
        <v>0</v>
      </c>
      <c r="AV201" s="71">
        <v>0</v>
      </c>
      <c r="AW201" s="71">
        <f t="shared" ca="1" si="36"/>
        <v>0</v>
      </c>
      <c r="AX201" s="71">
        <f ca="1">IF(E201&lt;'Invoer gegevens (N)'!$C$17+15,0,IF('RW - MW - DE - DE (N)'!E201&gt;'Invoer gegevens (N)'!$C$17+215,0,'RW - MW - DE - DE (N)'!AW201))</f>
        <v>0</v>
      </c>
      <c r="AY201" s="71">
        <f ca="1">AX201/(1+'Invoer gegevens (N)'!$F$13)^($AZ201-('Invoer gegevens (N)'!$C$17-'Invoer gegevens (N)'!$C$16))/(1+'Invoer gegevens (N)'!$C$39)^('Invoer gegevens (N)'!$C$17-'Invoer gegevens (N)'!$C$16)</f>
        <v>0</v>
      </c>
      <c r="AZ201" s="68">
        <f ca="1">IF(E201-'Invoer gegevens (N)'!$C$17-14.5&lt;0,0,E201-'Invoer gegevens (N)'!$C$17-14.5)</f>
        <v>181.5</v>
      </c>
      <c r="BC201" s="71"/>
    </row>
    <row r="202" spans="2:55" s="230" customFormat="1" x14ac:dyDescent="0.25">
      <c r="B202" s="70">
        <f t="shared" si="37"/>
        <v>198</v>
      </c>
      <c r="C202" s="67">
        <f ca="1">IF(E202-'Invoer gegevens (N)'!$C$17&lt;0,0,1)</f>
        <v>1</v>
      </c>
      <c r="D202" s="68">
        <f t="shared" si="38"/>
        <v>197.5</v>
      </c>
      <c r="E202" s="69">
        <f ca="1">IF('Invoer gegevens (N)'!$C$16="","",E201+1)</f>
        <v>2216</v>
      </c>
      <c r="F202" s="82">
        <f ca="1">IF('Invoer gegevens (N)'!$C$17=E202,'Invoer gegevens (N)'!$C$10,IF(C202=1,H201,0))</f>
        <v>0</v>
      </c>
      <c r="G202" s="83">
        <f ca="1">IF(C202&gt;=1,F202*'Reeksen (N)'!C202,0)</f>
        <v>0</v>
      </c>
      <c r="H202" s="84">
        <f t="shared" ca="1" si="31"/>
        <v>0</v>
      </c>
      <c r="I202" s="85">
        <f ca="1">IF('Invoer gegevens (N)'!$C$17=E202,'Invoer gegevens (N)'!$C$11,IF(C202=1,L201,0))</f>
        <v>0</v>
      </c>
      <c r="J202" s="86">
        <f ca="1">IF(C202&lt;1,0,IF('Reeksen (N)'!AD202&lt;='Reeksen (N)'!AE202,I202*'Reeksen (N)'!C202,0))</f>
        <v>0</v>
      </c>
      <c r="K202" s="86">
        <f ca="1">IF(C202&lt;1,0,IF('Reeksen (N)'!AD202&gt;'Reeksen (N)'!AE202,I202*'Reeksen (N)'!C202,0))</f>
        <v>0</v>
      </c>
      <c r="L202" s="86">
        <f t="shared" ca="1" si="32"/>
        <v>0</v>
      </c>
      <c r="M202" s="85">
        <f ca="1">IF('Invoer gegevens (N)'!$C$17=E202,'Invoer gegevens (N)'!$C$10-'Invoer gegevens (N)'!$C$11,IF(C202=1,P201,0))</f>
        <v>0</v>
      </c>
      <c r="N202" s="86">
        <f ca="1">IF(C202&lt;1,0,IF('Reeksen (N)'!AD202&lt;='Reeksen (N)'!AE202,M202*'Reeksen (N)'!C202,0))</f>
        <v>0</v>
      </c>
      <c r="O202" s="86">
        <f ca="1">IF(C202&lt;1,0,IF('Reeksen (N)'!AD202&gt;'Reeksen (N)'!AE202,M202*'Reeksen (N)'!C202,0))</f>
        <v>0</v>
      </c>
      <c r="P202" s="86">
        <f t="shared" ca="1" si="33"/>
        <v>0</v>
      </c>
      <c r="Q202" s="82">
        <f ca="1">IF('Invoer gegevens (N)'!$C$17=E202,I202,IF(C202=0,0,R201))</f>
        <v>0</v>
      </c>
      <c r="R202" s="84">
        <f t="shared" ca="1" si="30"/>
        <v>0</v>
      </c>
      <c r="S202" s="84">
        <f ca="1">IF('Invoer gegevens (N)'!$C$17=E202,M202,IF(C202=0,0,T201))</f>
        <v>0</v>
      </c>
      <c r="T202" s="84">
        <f t="shared" ca="1" si="39"/>
        <v>0</v>
      </c>
      <c r="AI202" s="71">
        <f ca="1">IF(C202=1,((F202+H202)/2*'Reeksen (N)'!AI202*12)+(('Invoer gegevens (N)'!$C$10-(F202+H202)/2)*'Reeksen (N)'!AD202*12),0)</f>
        <v>0</v>
      </c>
      <c r="AJ202" s="71">
        <f ca="1">-AI202*'Invoer gegevens (N)'!$F$28</f>
        <v>0</v>
      </c>
      <c r="AK202" s="71">
        <f t="shared" ca="1" si="34"/>
        <v>0</v>
      </c>
      <c r="AL202" s="71">
        <f ca="1">IF(C202=1,(12*((F202+H202)/2)*'Reeksen (N)'!AL202)+(12*('Invoer gegevens (N)'!$C$10-(F202+H202)/2)*'Reeksen (N)'!AM202),0)</f>
        <v>0</v>
      </c>
      <c r="AM202" s="71">
        <f ca="1">-AL202*'Invoer gegevens (N)'!$F$31</f>
        <v>0</v>
      </c>
      <c r="AN202" s="71">
        <f t="shared" ca="1" si="35"/>
        <v>0</v>
      </c>
      <c r="AO202" s="71"/>
      <c r="AP202" s="71"/>
      <c r="AQ202" s="71">
        <f ca="1">-IF(C202=1,('Invoer gegevens (N)'!$C$10*'Invoer gegevens (N)'!$F$35)*'Reeksen (N)'!J202,0)*2</f>
        <v>0</v>
      </c>
      <c r="AR202" s="71">
        <f ca="1">-IF(C202=1,(G202*'Invoer gegevens (N)'!$F$36)*'Reeksen (N)'!J202,0)</f>
        <v>0</v>
      </c>
      <c r="AS202" s="71">
        <f ca="1">-IF(C202=1,'Invoer gegevens (N)'!$C$10*'Invoer gegevens (N)'!$F$37*'Reeksen (N)'!L202,0)</f>
        <v>0</v>
      </c>
      <c r="AT202" s="71">
        <f ca="1">-IF(C202=1,IF(E202='Invoer gegevens (N)'!$C$17,'Invoer gegevens (N)'!$C$11,Q202)*'Reeksen (N)'!S202*'Invoer gegevens (N)'!$C$18*'Reeksen (N)'!P202,0)</f>
        <v>0</v>
      </c>
      <c r="AU202" s="71">
        <f ca="1">-IF(C202=1,'Invoer gegevens (N)'!$C$10*'Invoer gegevens (N)'!$F$38*'Reeksen (N)'!H202,0)</f>
        <v>0</v>
      </c>
      <c r="AV202" s="71">
        <v>0</v>
      </c>
      <c r="AW202" s="71">
        <f t="shared" ca="1" si="36"/>
        <v>0</v>
      </c>
      <c r="AX202" s="71">
        <f ca="1">IF(E202&lt;'Invoer gegevens (N)'!$C$17+15,0,IF('RW - MW - DE - DE (N)'!E202&gt;'Invoer gegevens (N)'!$C$17+215,0,'RW - MW - DE - DE (N)'!AW202))</f>
        <v>0</v>
      </c>
      <c r="AY202" s="71">
        <f ca="1">AX202/(1+'Invoer gegevens (N)'!$F$13)^($AZ202-('Invoer gegevens (N)'!$C$17-'Invoer gegevens (N)'!$C$16))/(1+'Invoer gegevens (N)'!$C$39)^('Invoer gegevens (N)'!$C$17-'Invoer gegevens (N)'!$C$16)</f>
        <v>0</v>
      </c>
      <c r="AZ202" s="68">
        <f ca="1">IF(E202-'Invoer gegevens (N)'!$C$17-14.5&lt;0,0,E202-'Invoer gegevens (N)'!$C$17-14.5)</f>
        <v>182.5</v>
      </c>
      <c r="BC202" s="71"/>
    </row>
    <row r="203" spans="2:55" s="230" customFormat="1" x14ac:dyDescent="0.25">
      <c r="B203" s="70">
        <f t="shared" si="37"/>
        <v>199</v>
      </c>
      <c r="C203" s="67">
        <f ca="1">IF(E203-'Invoer gegevens (N)'!$C$17&lt;0,0,1)</f>
        <v>1</v>
      </c>
      <c r="D203" s="68">
        <f t="shared" si="38"/>
        <v>198.5</v>
      </c>
      <c r="E203" s="69">
        <f ca="1">IF('Invoer gegevens (N)'!$C$16="","",E202+1)</f>
        <v>2217</v>
      </c>
      <c r="F203" s="82">
        <f ca="1">IF('Invoer gegevens (N)'!$C$17=E203,'Invoer gegevens (N)'!$C$10,IF(C203=1,H202,0))</f>
        <v>0</v>
      </c>
      <c r="G203" s="83">
        <f ca="1">IF(C203&gt;=1,F203*'Reeksen (N)'!C203,0)</f>
        <v>0</v>
      </c>
      <c r="H203" s="84">
        <f t="shared" ca="1" si="31"/>
        <v>0</v>
      </c>
      <c r="I203" s="85">
        <f ca="1">IF('Invoer gegevens (N)'!$C$17=E203,'Invoer gegevens (N)'!$C$11,IF(C203=1,L202,0))</f>
        <v>0</v>
      </c>
      <c r="J203" s="86">
        <f ca="1">IF(C203&lt;1,0,IF('Reeksen (N)'!AD203&lt;='Reeksen (N)'!AE203,I203*'Reeksen (N)'!C203,0))</f>
        <v>0</v>
      </c>
      <c r="K203" s="86">
        <f ca="1">IF(C203&lt;1,0,IF('Reeksen (N)'!AD203&gt;'Reeksen (N)'!AE203,I203*'Reeksen (N)'!C203,0))</f>
        <v>0</v>
      </c>
      <c r="L203" s="86">
        <f t="shared" ca="1" si="32"/>
        <v>0</v>
      </c>
      <c r="M203" s="85">
        <f ca="1">IF('Invoer gegevens (N)'!$C$17=E203,'Invoer gegevens (N)'!$C$10-'Invoer gegevens (N)'!$C$11,IF(C203=1,P202,0))</f>
        <v>0</v>
      </c>
      <c r="N203" s="86">
        <f ca="1">IF(C203&lt;1,0,IF('Reeksen (N)'!AD203&lt;='Reeksen (N)'!AE203,M203*'Reeksen (N)'!C203,0))</f>
        <v>0</v>
      </c>
      <c r="O203" s="86">
        <f ca="1">IF(C203&lt;1,0,IF('Reeksen (N)'!AD203&gt;'Reeksen (N)'!AE203,M203*'Reeksen (N)'!C203,0))</f>
        <v>0</v>
      </c>
      <c r="P203" s="86">
        <f t="shared" ca="1" si="33"/>
        <v>0</v>
      </c>
      <c r="Q203" s="82">
        <f ca="1">IF('Invoer gegevens (N)'!$C$17=E203,I203,IF(C203=0,0,R202))</f>
        <v>0</v>
      </c>
      <c r="R203" s="84">
        <f t="shared" ca="1" si="30"/>
        <v>0</v>
      </c>
      <c r="S203" s="84">
        <f ca="1">IF('Invoer gegevens (N)'!$C$17=E203,M203,IF(C203=0,0,T202))</f>
        <v>0</v>
      </c>
      <c r="T203" s="84">
        <f t="shared" ca="1" si="39"/>
        <v>0</v>
      </c>
      <c r="AI203" s="71">
        <f ca="1">IF(C203=1,((F203+H203)/2*'Reeksen (N)'!AI203*12)+(('Invoer gegevens (N)'!$C$10-(F203+H203)/2)*'Reeksen (N)'!AD203*12),0)</f>
        <v>0</v>
      </c>
      <c r="AJ203" s="71">
        <f ca="1">-AI203*'Invoer gegevens (N)'!$F$28</f>
        <v>0</v>
      </c>
      <c r="AK203" s="71">
        <f t="shared" ca="1" si="34"/>
        <v>0</v>
      </c>
      <c r="AL203" s="71">
        <f ca="1">IF(C203=1,(12*((F203+H203)/2)*'Reeksen (N)'!AL203)+(12*('Invoer gegevens (N)'!$C$10-(F203+H203)/2)*'Reeksen (N)'!AM203),0)</f>
        <v>0</v>
      </c>
      <c r="AM203" s="71">
        <f ca="1">-AL203*'Invoer gegevens (N)'!$F$31</f>
        <v>0</v>
      </c>
      <c r="AN203" s="71">
        <f t="shared" ca="1" si="35"/>
        <v>0</v>
      </c>
      <c r="AO203" s="71"/>
      <c r="AP203" s="71"/>
      <c r="AQ203" s="71">
        <f ca="1">-IF(C203=1,('Invoer gegevens (N)'!$C$10*'Invoer gegevens (N)'!$F$35)*'Reeksen (N)'!J203,0)*2</f>
        <v>0</v>
      </c>
      <c r="AR203" s="71">
        <f ca="1">-IF(C203=1,(G203*'Invoer gegevens (N)'!$F$36)*'Reeksen (N)'!J203,0)</f>
        <v>0</v>
      </c>
      <c r="AS203" s="71">
        <f ca="1">-IF(C203=1,'Invoer gegevens (N)'!$C$10*'Invoer gegevens (N)'!$F$37*'Reeksen (N)'!L203,0)</f>
        <v>0</v>
      </c>
      <c r="AT203" s="71">
        <f ca="1">-IF(C203=1,IF(E203='Invoer gegevens (N)'!$C$17,'Invoer gegevens (N)'!$C$11,Q203)*'Reeksen (N)'!S203*'Invoer gegevens (N)'!$C$18*'Reeksen (N)'!P203,0)</f>
        <v>0</v>
      </c>
      <c r="AU203" s="71">
        <f ca="1">-IF(C203=1,'Invoer gegevens (N)'!$C$10*'Invoer gegevens (N)'!$F$38*'Reeksen (N)'!H203,0)</f>
        <v>0</v>
      </c>
      <c r="AV203" s="71">
        <v>0</v>
      </c>
      <c r="AW203" s="71">
        <f t="shared" ca="1" si="36"/>
        <v>0</v>
      </c>
      <c r="AX203" s="71">
        <f ca="1">IF(E203&lt;'Invoer gegevens (N)'!$C$17+15,0,IF('RW - MW - DE - DE (N)'!E203&gt;'Invoer gegevens (N)'!$C$17+215,0,'RW - MW - DE - DE (N)'!AW203))</f>
        <v>0</v>
      </c>
      <c r="AY203" s="71">
        <f ca="1">AX203/(1+'Invoer gegevens (N)'!$F$13)^($AZ203-('Invoer gegevens (N)'!$C$17-'Invoer gegevens (N)'!$C$16))/(1+'Invoer gegevens (N)'!$C$39)^('Invoer gegevens (N)'!$C$17-'Invoer gegevens (N)'!$C$16)</f>
        <v>0</v>
      </c>
      <c r="AZ203" s="68">
        <f ca="1">IF(E203-'Invoer gegevens (N)'!$C$17-14.5&lt;0,0,E203-'Invoer gegevens (N)'!$C$17-14.5)</f>
        <v>183.5</v>
      </c>
      <c r="BC203" s="71"/>
    </row>
    <row r="204" spans="2:55" s="230" customFormat="1" x14ac:dyDescent="0.25">
      <c r="B204" s="70">
        <f t="shared" si="37"/>
        <v>200</v>
      </c>
      <c r="C204" s="67">
        <f ca="1">IF(E204-'Invoer gegevens (N)'!$C$17&lt;0,0,1)</f>
        <v>1</v>
      </c>
      <c r="D204" s="68">
        <f t="shared" si="38"/>
        <v>199.5</v>
      </c>
      <c r="E204" s="69">
        <f ca="1">IF('Invoer gegevens (N)'!$C$16="","",E203+1)</f>
        <v>2218</v>
      </c>
      <c r="F204" s="82">
        <f ca="1">IF('Invoer gegevens (N)'!$C$17=E204,'Invoer gegevens (N)'!$C$10,IF(C204=1,H203,0))</f>
        <v>0</v>
      </c>
      <c r="G204" s="83">
        <f ca="1">IF(C204&gt;=1,F204*'Reeksen (N)'!C204,0)</f>
        <v>0</v>
      </c>
      <c r="H204" s="84">
        <f t="shared" ca="1" si="31"/>
        <v>0</v>
      </c>
      <c r="I204" s="85">
        <f ca="1">IF('Invoer gegevens (N)'!$C$17=E204,'Invoer gegevens (N)'!$C$11,IF(C204=1,L203,0))</f>
        <v>0</v>
      </c>
      <c r="J204" s="86">
        <f ca="1">IF(C204&lt;1,0,IF('Reeksen (N)'!AD204&lt;='Reeksen (N)'!AE204,I204*'Reeksen (N)'!C204,0))</f>
        <v>0</v>
      </c>
      <c r="K204" s="86">
        <f ca="1">IF(C204&lt;1,0,IF('Reeksen (N)'!AD204&gt;'Reeksen (N)'!AE204,I204*'Reeksen (N)'!C204,0))</f>
        <v>0</v>
      </c>
      <c r="L204" s="86">
        <f t="shared" ca="1" si="32"/>
        <v>0</v>
      </c>
      <c r="M204" s="85">
        <f ca="1">IF('Invoer gegevens (N)'!$C$17=E204,'Invoer gegevens (N)'!$C$10-'Invoer gegevens (N)'!$C$11,IF(C204=1,P203,0))</f>
        <v>0</v>
      </c>
      <c r="N204" s="86">
        <f ca="1">IF(C204&lt;1,0,IF('Reeksen (N)'!AD204&lt;='Reeksen (N)'!AE204,M204*'Reeksen (N)'!C204,0))</f>
        <v>0</v>
      </c>
      <c r="O204" s="86">
        <f ca="1">IF(C204&lt;1,0,IF('Reeksen (N)'!AD204&gt;'Reeksen (N)'!AE204,M204*'Reeksen (N)'!C204,0))</f>
        <v>0</v>
      </c>
      <c r="P204" s="86">
        <f t="shared" ca="1" si="33"/>
        <v>0</v>
      </c>
      <c r="Q204" s="82">
        <f ca="1">IF('Invoer gegevens (N)'!$C$17=E204,I204,IF(C204=0,0,R203))</f>
        <v>0</v>
      </c>
      <c r="R204" s="84">
        <f t="shared" ca="1" si="30"/>
        <v>0</v>
      </c>
      <c r="S204" s="84">
        <f ca="1">IF('Invoer gegevens (N)'!$C$17=E204,M204,IF(C204=0,0,T203))</f>
        <v>0</v>
      </c>
      <c r="T204" s="84">
        <f t="shared" ca="1" si="39"/>
        <v>0</v>
      </c>
      <c r="AI204" s="71">
        <f ca="1">IF(C204=1,((F204+H204)/2*'Reeksen (N)'!AI204*12)+(('Invoer gegevens (N)'!$C$10-(F204+H204)/2)*'Reeksen (N)'!AD204*12),0)</f>
        <v>0</v>
      </c>
      <c r="AJ204" s="71">
        <f ca="1">-AI204*'Invoer gegevens (N)'!$F$28</f>
        <v>0</v>
      </c>
      <c r="AK204" s="71">
        <f t="shared" ca="1" si="34"/>
        <v>0</v>
      </c>
      <c r="AL204" s="71">
        <f ca="1">IF(C204=1,(12*((F204+H204)/2)*'Reeksen (N)'!AL204)+(12*('Invoer gegevens (N)'!$C$10-(F204+H204)/2)*'Reeksen (N)'!AM204),0)</f>
        <v>0</v>
      </c>
      <c r="AM204" s="71">
        <f ca="1">-AL204*'Invoer gegevens (N)'!$F$31</f>
        <v>0</v>
      </c>
      <c r="AN204" s="71">
        <f t="shared" ca="1" si="35"/>
        <v>0</v>
      </c>
      <c r="AO204" s="71"/>
      <c r="AP204" s="71"/>
      <c r="AQ204" s="71">
        <f ca="1">-IF(C204=1,('Invoer gegevens (N)'!$C$10*'Invoer gegevens (N)'!$F$35)*'Reeksen (N)'!J204,0)*2</f>
        <v>0</v>
      </c>
      <c r="AR204" s="71">
        <f ca="1">-IF(C204=1,(G204*'Invoer gegevens (N)'!$F$36)*'Reeksen (N)'!J204,0)</f>
        <v>0</v>
      </c>
      <c r="AS204" s="71">
        <f ca="1">-IF(C204=1,'Invoer gegevens (N)'!$C$10*'Invoer gegevens (N)'!$F$37*'Reeksen (N)'!L204,0)</f>
        <v>0</v>
      </c>
      <c r="AT204" s="71">
        <f ca="1">-IF(C204=1,IF(E204='Invoer gegevens (N)'!$C$17,'Invoer gegevens (N)'!$C$11,Q204)*'Reeksen (N)'!S204*'Invoer gegevens (N)'!$C$18*'Reeksen (N)'!P204,0)</f>
        <v>0</v>
      </c>
      <c r="AU204" s="71">
        <f ca="1">-IF(C204=1,'Invoer gegevens (N)'!$C$10*'Invoer gegevens (N)'!$F$38*'Reeksen (N)'!H204,0)</f>
        <v>0</v>
      </c>
      <c r="AV204" s="71">
        <v>0</v>
      </c>
      <c r="AW204" s="71">
        <f t="shared" ca="1" si="36"/>
        <v>0</v>
      </c>
      <c r="AX204" s="71">
        <f ca="1">IF(E204&lt;'Invoer gegevens (N)'!$C$17+15,0,IF('RW - MW - DE - DE (N)'!E204&gt;'Invoer gegevens (N)'!$C$17+215,0,'RW - MW - DE - DE (N)'!AW204))</f>
        <v>0</v>
      </c>
      <c r="AY204" s="71">
        <f ca="1">AX204/(1+'Invoer gegevens (N)'!$F$13)^($AZ204-('Invoer gegevens (N)'!$C$17-'Invoer gegevens (N)'!$C$16))/(1+'Invoer gegevens (N)'!$C$39)^('Invoer gegevens (N)'!$C$17-'Invoer gegevens (N)'!$C$16)</f>
        <v>0</v>
      </c>
      <c r="AZ204" s="68">
        <f ca="1">IF(E204-'Invoer gegevens (N)'!$C$17-14.5&lt;0,0,E204-'Invoer gegevens (N)'!$C$17-14.5)</f>
        <v>184.5</v>
      </c>
      <c r="BC204" s="71"/>
    </row>
    <row r="205" spans="2:55" s="230" customFormat="1" x14ac:dyDescent="0.25">
      <c r="B205" s="70">
        <f t="shared" si="37"/>
        <v>201</v>
      </c>
      <c r="C205" s="67">
        <f ca="1">IF(E205-'Invoer gegevens (N)'!$C$17&lt;0,0,1)</f>
        <v>1</v>
      </c>
      <c r="D205" s="68">
        <f t="shared" si="38"/>
        <v>200.5</v>
      </c>
      <c r="E205" s="69">
        <f ca="1">IF('Invoer gegevens (N)'!$C$16="","",E204+1)</f>
        <v>2219</v>
      </c>
      <c r="F205" s="82">
        <f ca="1">IF('Invoer gegevens (N)'!$C$17=E205,'Invoer gegevens (N)'!$C$10,IF(C205=1,H204,0))</f>
        <v>0</v>
      </c>
      <c r="G205" s="83">
        <f ca="1">IF(C205&gt;=1,F205*'Reeksen (N)'!C205,0)</f>
        <v>0</v>
      </c>
      <c r="H205" s="84">
        <f t="shared" ca="1" si="31"/>
        <v>0</v>
      </c>
      <c r="I205" s="85">
        <f ca="1">IF('Invoer gegevens (N)'!$C$17=E205,'Invoer gegevens (N)'!$C$11,IF(C205=1,L204,0))</f>
        <v>0</v>
      </c>
      <c r="J205" s="86">
        <f ca="1">IF(C205&lt;1,0,IF('Reeksen (N)'!AD205&lt;='Reeksen (N)'!AE205,I205*'Reeksen (N)'!C205,0))</f>
        <v>0</v>
      </c>
      <c r="K205" s="86">
        <f ca="1">IF(C205&lt;1,0,IF('Reeksen (N)'!AD205&gt;'Reeksen (N)'!AE205,I205*'Reeksen (N)'!C205,0))</f>
        <v>0</v>
      </c>
      <c r="L205" s="86">
        <f t="shared" ca="1" si="32"/>
        <v>0</v>
      </c>
      <c r="M205" s="85">
        <f ca="1">IF('Invoer gegevens (N)'!$C$17=E205,'Invoer gegevens (N)'!$C$10-'Invoer gegevens (N)'!$C$11,IF(C205=1,P204,0))</f>
        <v>0</v>
      </c>
      <c r="N205" s="86">
        <f ca="1">IF(C205&lt;1,0,IF('Reeksen (N)'!AD205&lt;='Reeksen (N)'!AE205,M205*'Reeksen (N)'!C205,0))</f>
        <v>0</v>
      </c>
      <c r="O205" s="86">
        <f ca="1">IF(C205&lt;1,0,IF('Reeksen (N)'!AD205&gt;'Reeksen (N)'!AE205,M205*'Reeksen (N)'!C205,0))</f>
        <v>0</v>
      </c>
      <c r="P205" s="86">
        <f t="shared" ca="1" si="33"/>
        <v>0</v>
      </c>
      <c r="Q205" s="82">
        <f ca="1">IF('Invoer gegevens (N)'!$C$17=E205,I205,IF(C205=0,0,R204))</f>
        <v>0</v>
      </c>
      <c r="R205" s="84">
        <f t="shared" ca="1" si="30"/>
        <v>0</v>
      </c>
      <c r="S205" s="84">
        <f ca="1">IF('Invoer gegevens (N)'!$C$17=E205,M205,IF(C205=0,0,T204))</f>
        <v>0</v>
      </c>
      <c r="T205" s="84">
        <f t="shared" ca="1" si="39"/>
        <v>0</v>
      </c>
      <c r="AI205" s="71">
        <f ca="1">IF(C205=1,((F205+H205)/2*'Reeksen (N)'!AI205*12)+(('Invoer gegevens (N)'!$C$10-(F205+H205)/2)*'Reeksen (N)'!AD205*12),0)</f>
        <v>0</v>
      </c>
      <c r="AJ205" s="71">
        <f ca="1">-AI205*'Invoer gegevens (N)'!$F$28</f>
        <v>0</v>
      </c>
      <c r="AK205" s="71">
        <f t="shared" ca="1" si="34"/>
        <v>0</v>
      </c>
      <c r="AL205" s="71">
        <f ca="1">IF(C205=1,(12*((F205+H205)/2)*'Reeksen (N)'!AL205)+(12*('Invoer gegevens (N)'!$C$10-(F205+H205)/2)*'Reeksen (N)'!AM205),0)</f>
        <v>0</v>
      </c>
      <c r="AM205" s="71">
        <f ca="1">-AL205*'Invoer gegevens (N)'!$F$31</f>
        <v>0</v>
      </c>
      <c r="AN205" s="71">
        <f t="shared" ca="1" si="35"/>
        <v>0</v>
      </c>
      <c r="AO205" s="71"/>
      <c r="AP205" s="71"/>
      <c r="AQ205" s="71">
        <f ca="1">-IF(C205=1,('Invoer gegevens (N)'!$C$10*'Invoer gegevens (N)'!$F$35)*'Reeksen (N)'!J205,0)*2</f>
        <v>0</v>
      </c>
      <c r="AR205" s="71">
        <f ca="1">-IF(C205=1,(G205*'Invoer gegevens (N)'!$F$36)*'Reeksen (N)'!J205,0)</f>
        <v>0</v>
      </c>
      <c r="AS205" s="71">
        <f ca="1">-IF(C205=1,'Invoer gegevens (N)'!$C$10*'Invoer gegevens (N)'!$F$37*'Reeksen (N)'!L205,0)</f>
        <v>0</v>
      </c>
      <c r="AT205" s="71">
        <f ca="1">-IF(C205=1,IF(E205='Invoer gegevens (N)'!$C$17,'Invoer gegevens (N)'!$C$11,Q205)*'Reeksen (N)'!S205*'Invoer gegevens (N)'!$C$18*'Reeksen (N)'!P205,0)</f>
        <v>0</v>
      </c>
      <c r="AU205" s="71">
        <f ca="1">-IF(C205=1,'Invoer gegevens (N)'!$C$10*'Invoer gegevens (N)'!$F$38*'Reeksen (N)'!H205,0)</f>
        <v>0</v>
      </c>
      <c r="AV205" s="71">
        <v>0</v>
      </c>
      <c r="AW205" s="71">
        <f t="shared" ca="1" si="36"/>
        <v>0</v>
      </c>
      <c r="AX205" s="71">
        <f ca="1">IF(E205&lt;'Invoer gegevens (N)'!$C$17+15,0,IF('RW - MW - DE - DE (N)'!E205&gt;'Invoer gegevens (N)'!$C$17+215,0,'RW - MW - DE - DE (N)'!AW205))</f>
        <v>0</v>
      </c>
      <c r="AY205" s="71">
        <f ca="1">AX205/(1+'Invoer gegevens (N)'!$F$13)^($AZ205-('Invoer gegevens (N)'!$C$17-'Invoer gegevens (N)'!$C$16))/(1+'Invoer gegevens (N)'!$C$39)^('Invoer gegevens (N)'!$C$17-'Invoer gegevens (N)'!$C$16)</f>
        <v>0</v>
      </c>
      <c r="AZ205" s="68">
        <f ca="1">IF(E205-'Invoer gegevens (N)'!$C$17-14.5&lt;0,0,E205-'Invoer gegevens (N)'!$C$17-14.5)</f>
        <v>185.5</v>
      </c>
      <c r="BC205" s="71"/>
    </row>
    <row r="206" spans="2:55" s="230" customFormat="1" x14ac:dyDescent="0.25">
      <c r="B206" s="70">
        <f t="shared" si="37"/>
        <v>202</v>
      </c>
      <c r="C206" s="67">
        <f ca="1">IF(E206-'Invoer gegevens (N)'!$C$17&lt;0,0,1)</f>
        <v>1</v>
      </c>
      <c r="D206" s="68">
        <f t="shared" si="38"/>
        <v>201.5</v>
      </c>
      <c r="E206" s="69">
        <f ca="1">IF('Invoer gegevens (N)'!$C$16="","",E205+1)</f>
        <v>2220</v>
      </c>
      <c r="F206" s="82">
        <f ca="1">IF('Invoer gegevens (N)'!$C$17=E206,'Invoer gegevens (N)'!$C$10,IF(C206=1,H205,0))</f>
        <v>0</v>
      </c>
      <c r="G206" s="83">
        <f ca="1">IF(C206&gt;=1,F206*'Reeksen (N)'!C206,0)</f>
        <v>0</v>
      </c>
      <c r="H206" s="84">
        <f t="shared" ca="1" si="31"/>
        <v>0</v>
      </c>
      <c r="I206" s="85">
        <f ca="1">IF('Invoer gegevens (N)'!$C$17=E206,'Invoer gegevens (N)'!$C$11,IF(C206=1,L205,0))</f>
        <v>0</v>
      </c>
      <c r="J206" s="86">
        <f ca="1">IF(C206&lt;1,0,IF('Reeksen (N)'!AD206&lt;='Reeksen (N)'!AE206,I206*'Reeksen (N)'!C206,0))</f>
        <v>0</v>
      </c>
      <c r="K206" s="86">
        <f ca="1">IF(C206&lt;1,0,IF('Reeksen (N)'!AD206&gt;'Reeksen (N)'!AE206,I206*'Reeksen (N)'!C206,0))</f>
        <v>0</v>
      </c>
      <c r="L206" s="86">
        <f t="shared" ca="1" si="32"/>
        <v>0</v>
      </c>
      <c r="M206" s="85">
        <f ca="1">IF('Invoer gegevens (N)'!$C$17=E206,'Invoer gegevens (N)'!$C$10-'Invoer gegevens (N)'!$C$11,IF(C206=1,P205,0))</f>
        <v>0</v>
      </c>
      <c r="N206" s="86">
        <f ca="1">IF(C206&lt;1,0,IF('Reeksen (N)'!AD206&lt;='Reeksen (N)'!AE206,M206*'Reeksen (N)'!C206,0))</f>
        <v>0</v>
      </c>
      <c r="O206" s="86">
        <f ca="1">IF(C206&lt;1,0,IF('Reeksen (N)'!AD206&gt;'Reeksen (N)'!AE206,M206*'Reeksen (N)'!C206,0))</f>
        <v>0</v>
      </c>
      <c r="P206" s="86">
        <f t="shared" ca="1" si="33"/>
        <v>0</v>
      </c>
      <c r="Q206" s="82">
        <f ca="1">IF('Invoer gegevens (N)'!$C$17=E206,I206,IF(C206=0,0,R205))</f>
        <v>0</v>
      </c>
      <c r="R206" s="84">
        <f t="shared" ca="1" si="30"/>
        <v>0</v>
      </c>
      <c r="S206" s="84">
        <f ca="1">IF('Invoer gegevens (N)'!$C$17=E206,M206,IF(C206=0,0,T205))</f>
        <v>0</v>
      </c>
      <c r="T206" s="84">
        <f t="shared" ca="1" si="39"/>
        <v>0</v>
      </c>
      <c r="AI206" s="71">
        <f ca="1">IF(C206=1,((F206+H206)/2*'Reeksen (N)'!AI206*12)+(('Invoer gegevens (N)'!$C$10-(F206+H206)/2)*'Reeksen (N)'!AD206*12),0)</f>
        <v>0</v>
      </c>
      <c r="AJ206" s="71">
        <f ca="1">-AI206*'Invoer gegevens (N)'!$F$28</f>
        <v>0</v>
      </c>
      <c r="AK206" s="71">
        <f t="shared" ca="1" si="34"/>
        <v>0</v>
      </c>
      <c r="AL206" s="71">
        <f ca="1">IF(C206=1,(12*((F206+H206)/2)*'Reeksen (N)'!AL206)+(12*('Invoer gegevens (N)'!$C$10-(F206+H206)/2)*'Reeksen (N)'!AM206),0)</f>
        <v>0</v>
      </c>
      <c r="AM206" s="71">
        <f ca="1">-AL206*'Invoer gegevens (N)'!$F$31</f>
        <v>0</v>
      </c>
      <c r="AN206" s="71">
        <f t="shared" ca="1" si="35"/>
        <v>0</v>
      </c>
      <c r="AO206" s="71"/>
      <c r="AP206" s="71"/>
      <c r="AQ206" s="71">
        <f ca="1">-IF(C206=1,('Invoer gegevens (N)'!$C$10*'Invoer gegevens (N)'!$F$35)*'Reeksen (N)'!J206,0)*2</f>
        <v>0</v>
      </c>
      <c r="AR206" s="71">
        <f ca="1">-IF(C206=1,(G206*'Invoer gegevens (N)'!$F$36)*'Reeksen (N)'!J206,0)</f>
        <v>0</v>
      </c>
      <c r="AS206" s="71">
        <f ca="1">-IF(C206=1,'Invoer gegevens (N)'!$C$10*'Invoer gegevens (N)'!$F$37*'Reeksen (N)'!L206,0)</f>
        <v>0</v>
      </c>
      <c r="AT206" s="71">
        <f ca="1">-IF(C206=1,IF(E206='Invoer gegevens (N)'!$C$17,'Invoer gegevens (N)'!$C$11,Q206)*'Reeksen (N)'!S206*'Invoer gegevens (N)'!$C$18*'Reeksen (N)'!P206,0)</f>
        <v>0</v>
      </c>
      <c r="AU206" s="71">
        <f ca="1">-IF(C206=1,'Invoer gegevens (N)'!$C$10*'Invoer gegevens (N)'!$F$38*'Reeksen (N)'!H206,0)</f>
        <v>0</v>
      </c>
      <c r="AV206" s="71">
        <v>0</v>
      </c>
      <c r="AW206" s="71">
        <f t="shared" ca="1" si="36"/>
        <v>0</v>
      </c>
      <c r="AX206" s="71">
        <f ca="1">IF(E206&lt;'Invoer gegevens (N)'!$C$17+15,0,IF('RW - MW - DE - DE (N)'!E206&gt;'Invoer gegevens (N)'!$C$17+215,0,'RW - MW - DE - DE (N)'!AW206))</f>
        <v>0</v>
      </c>
      <c r="AY206" s="71">
        <f ca="1">AX206/(1+'Invoer gegevens (N)'!$F$13)^($AZ206-('Invoer gegevens (N)'!$C$17-'Invoer gegevens (N)'!$C$16))/(1+'Invoer gegevens (N)'!$C$39)^('Invoer gegevens (N)'!$C$17-'Invoer gegevens (N)'!$C$16)</f>
        <v>0</v>
      </c>
      <c r="AZ206" s="68">
        <f ca="1">IF(E206-'Invoer gegevens (N)'!$C$17-14.5&lt;0,0,E206-'Invoer gegevens (N)'!$C$17-14.5)</f>
        <v>186.5</v>
      </c>
      <c r="BC206" s="71"/>
    </row>
    <row r="207" spans="2:55" s="230" customFormat="1" x14ac:dyDescent="0.25">
      <c r="B207" s="70">
        <f t="shared" si="37"/>
        <v>203</v>
      </c>
      <c r="C207" s="67">
        <f ca="1">IF(E207-'Invoer gegevens (N)'!$C$17&lt;0,0,1)</f>
        <v>1</v>
      </c>
      <c r="D207" s="68">
        <f t="shared" si="38"/>
        <v>202.5</v>
      </c>
      <c r="E207" s="69">
        <f ca="1">IF('Invoer gegevens (N)'!$C$16="","",E206+1)</f>
        <v>2221</v>
      </c>
      <c r="F207" s="82">
        <f ca="1">IF('Invoer gegevens (N)'!$C$17=E207,'Invoer gegevens (N)'!$C$10,IF(C207=1,H206,0))</f>
        <v>0</v>
      </c>
      <c r="G207" s="83">
        <f ca="1">IF(C207&gt;=1,F207*'Reeksen (N)'!C207,0)</f>
        <v>0</v>
      </c>
      <c r="H207" s="84">
        <f t="shared" ca="1" si="31"/>
        <v>0</v>
      </c>
      <c r="I207" s="85">
        <f ca="1">IF('Invoer gegevens (N)'!$C$17=E207,'Invoer gegevens (N)'!$C$11,IF(C207=1,L206,0))</f>
        <v>0</v>
      </c>
      <c r="J207" s="86">
        <f ca="1">IF(C207&lt;1,0,IF('Reeksen (N)'!AD207&lt;='Reeksen (N)'!AE207,I207*'Reeksen (N)'!C207,0))</f>
        <v>0</v>
      </c>
      <c r="K207" s="86">
        <f ca="1">IF(C207&lt;1,0,IF('Reeksen (N)'!AD207&gt;'Reeksen (N)'!AE207,I207*'Reeksen (N)'!C207,0))</f>
        <v>0</v>
      </c>
      <c r="L207" s="86">
        <f t="shared" ca="1" si="32"/>
        <v>0</v>
      </c>
      <c r="M207" s="85">
        <f ca="1">IF('Invoer gegevens (N)'!$C$17=E207,'Invoer gegevens (N)'!$C$10-'Invoer gegevens (N)'!$C$11,IF(C207=1,P206,0))</f>
        <v>0</v>
      </c>
      <c r="N207" s="86">
        <f ca="1">IF(C207&lt;1,0,IF('Reeksen (N)'!AD207&lt;='Reeksen (N)'!AE207,M207*'Reeksen (N)'!C207,0))</f>
        <v>0</v>
      </c>
      <c r="O207" s="86">
        <f ca="1">IF(C207&lt;1,0,IF('Reeksen (N)'!AD207&gt;'Reeksen (N)'!AE207,M207*'Reeksen (N)'!C207,0))</f>
        <v>0</v>
      </c>
      <c r="P207" s="86">
        <f t="shared" ca="1" si="33"/>
        <v>0</v>
      </c>
      <c r="Q207" s="82">
        <f ca="1">IF('Invoer gegevens (N)'!$C$17=E207,I207,IF(C207=0,0,R206))</f>
        <v>0</v>
      </c>
      <c r="R207" s="84">
        <f t="shared" ca="1" si="30"/>
        <v>0</v>
      </c>
      <c r="S207" s="84">
        <f ca="1">IF('Invoer gegevens (N)'!$C$17=E207,M207,IF(C207=0,0,T206))</f>
        <v>0</v>
      </c>
      <c r="T207" s="84">
        <f t="shared" ca="1" si="39"/>
        <v>0</v>
      </c>
      <c r="AI207" s="71">
        <f ca="1">IF(C207=1,((F207+H207)/2*'Reeksen (N)'!AI207*12)+(('Invoer gegevens (N)'!$C$10-(F207+H207)/2)*'Reeksen (N)'!AD207*12),0)</f>
        <v>0</v>
      </c>
      <c r="AJ207" s="71">
        <f ca="1">-AI207*'Invoer gegevens (N)'!$F$28</f>
        <v>0</v>
      </c>
      <c r="AK207" s="71">
        <f t="shared" ca="1" si="34"/>
        <v>0</v>
      </c>
      <c r="AL207" s="71">
        <f ca="1">IF(C207=1,(12*((F207+H207)/2)*'Reeksen (N)'!AL207)+(12*('Invoer gegevens (N)'!$C$10-(F207+H207)/2)*'Reeksen (N)'!AM207),0)</f>
        <v>0</v>
      </c>
      <c r="AM207" s="71">
        <f ca="1">-AL207*'Invoer gegevens (N)'!$F$31</f>
        <v>0</v>
      </c>
      <c r="AN207" s="71">
        <f t="shared" ca="1" si="35"/>
        <v>0</v>
      </c>
      <c r="AO207" s="71"/>
      <c r="AP207" s="71"/>
      <c r="AQ207" s="71">
        <f ca="1">-IF(C207=1,('Invoer gegevens (N)'!$C$10*'Invoer gegevens (N)'!$F$35)*'Reeksen (N)'!J207,0)*2</f>
        <v>0</v>
      </c>
      <c r="AR207" s="71">
        <f ca="1">-IF(C207=1,(G207*'Invoer gegevens (N)'!$F$36)*'Reeksen (N)'!J207,0)</f>
        <v>0</v>
      </c>
      <c r="AS207" s="71">
        <f ca="1">-IF(C207=1,'Invoer gegevens (N)'!$C$10*'Invoer gegevens (N)'!$F$37*'Reeksen (N)'!L207,0)</f>
        <v>0</v>
      </c>
      <c r="AT207" s="71">
        <f ca="1">-IF(C207=1,IF(E207='Invoer gegevens (N)'!$C$17,'Invoer gegevens (N)'!$C$11,Q207)*'Reeksen (N)'!S207*'Invoer gegevens (N)'!$C$18*'Reeksen (N)'!P207,0)</f>
        <v>0</v>
      </c>
      <c r="AU207" s="71">
        <f ca="1">-IF(C207=1,'Invoer gegevens (N)'!$C$10*'Invoer gegevens (N)'!$F$38*'Reeksen (N)'!H207,0)</f>
        <v>0</v>
      </c>
      <c r="AV207" s="71">
        <v>0</v>
      </c>
      <c r="AW207" s="71">
        <f t="shared" ca="1" si="36"/>
        <v>0</v>
      </c>
      <c r="AX207" s="71">
        <f ca="1">IF(E207&lt;'Invoer gegevens (N)'!$C$17+15,0,IF('RW - MW - DE - DE (N)'!E207&gt;'Invoer gegevens (N)'!$C$17+215,0,'RW - MW - DE - DE (N)'!AW207))</f>
        <v>0</v>
      </c>
      <c r="AY207" s="71">
        <f ca="1">AX207/(1+'Invoer gegevens (N)'!$F$13)^($AZ207-('Invoer gegevens (N)'!$C$17-'Invoer gegevens (N)'!$C$16))/(1+'Invoer gegevens (N)'!$C$39)^('Invoer gegevens (N)'!$C$17-'Invoer gegevens (N)'!$C$16)</f>
        <v>0</v>
      </c>
      <c r="AZ207" s="68">
        <f ca="1">IF(E207-'Invoer gegevens (N)'!$C$17-14.5&lt;0,0,E207-'Invoer gegevens (N)'!$C$17-14.5)</f>
        <v>187.5</v>
      </c>
      <c r="BC207" s="71"/>
    </row>
    <row r="208" spans="2:55" s="230" customFormat="1" x14ac:dyDescent="0.25">
      <c r="B208" s="70">
        <f t="shared" si="37"/>
        <v>204</v>
      </c>
      <c r="C208" s="67">
        <f ca="1">IF(E208-'Invoer gegevens (N)'!$C$17&lt;0,0,1)</f>
        <v>1</v>
      </c>
      <c r="D208" s="68">
        <f t="shared" si="38"/>
        <v>203.5</v>
      </c>
      <c r="E208" s="69">
        <f ca="1">IF('Invoer gegevens (N)'!$C$16="","",E207+1)</f>
        <v>2222</v>
      </c>
      <c r="F208" s="82">
        <f ca="1">IF('Invoer gegevens (N)'!$C$17=E208,'Invoer gegevens (N)'!$C$10,IF(C208=1,H207,0))</f>
        <v>0</v>
      </c>
      <c r="G208" s="83">
        <f ca="1">IF(C208&gt;=1,F208*'Reeksen (N)'!C208,0)</f>
        <v>0</v>
      </c>
      <c r="H208" s="84">
        <f t="shared" ca="1" si="31"/>
        <v>0</v>
      </c>
      <c r="I208" s="85">
        <f ca="1">IF('Invoer gegevens (N)'!$C$17=E208,'Invoer gegevens (N)'!$C$11,IF(C208=1,L207,0))</f>
        <v>0</v>
      </c>
      <c r="J208" s="86">
        <f ca="1">IF(C208&lt;1,0,IF('Reeksen (N)'!AD208&lt;='Reeksen (N)'!AE208,I208*'Reeksen (N)'!C208,0))</f>
        <v>0</v>
      </c>
      <c r="K208" s="86">
        <f ca="1">IF(C208&lt;1,0,IF('Reeksen (N)'!AD208&gt;'Reeksen (N)'!AE208,I208*'Reeksen (N)'!C208,0))</f>
        <v>0</v>
      </c>
      <c r="L208" s="86">
        <f t="shared" ca="1" si="32"/>
        <v>0</v>
      </c>
      <c r="M208" s="85">
        <f ca="1">IF('Invoer gegevens (N)'!$C$17=E208,'Invoer gegevens (N)'!$C$10-'Invoer gegevens (N)'!$C$11,IF(C208=1,P207,0))</f>
        <v>0</v>
      </c>
      <c r="N208" s="86">
        <f ca="1">IF(C208&lt;1,0,IF('Reeksen (N)'!AD208&lt;='Reeksen (N)'!AE208,M208*'Reeksen (N)'!C208,0))</f>
        <v>0</v>
      </c>
      <c r="O208" s="86">
        <f ca="1">IF(C208&lt;1,0,IF('Reeksen (N)'!AD208&gt;'Reeksen (N)'!AE208,M208*'Reeksen (N)'!C208,0))</f>
        <v>0</v>
      </c>
      <c r="P208" s="86">
        <f t="shared" ca="1" si="33"/>
        <v>0</v>
      </c>
      <c r="Q208" s="82">
        <f ca="1">IF('Invoer gegevens (N)'!$C$17=E208,I208,IF(C208=0,0,R207))</f>
        <v>0</v>
      </c>
      <c r="R208" s="84">
        <f t="shared" ca="1" si="30"/>
        <v>0</v>
      </c>
      <c r="S208" s="84">
        <f ca="1">IF('Invoer gegevens (N)'!$C$17=E208,M208,IF(C208=0,0,T207))</f>
        <v>0</v>
      </c>
      <c r="T208" s="84">
        <f t="shared" ca="1" si="39"/>
        <v>0</v>
      </c>
      <c r="AI208" s="71">
        <f ca="1">IF(C208=1,((F208+H208)/2*'Reeksen (N)'!AI208*12)+(('Invoer gegevens (N)'!$C$10-(F208+H208)/2)*'Reeksen (N)'!AD208*12),0)</f>
        <v>0</v>
      </c>
      <c r="AJ208" s="71">
        <f ca="1">-AI208*'Invoer gegevens (N)'!$F$28</f>
        <v>0</v>
      </c>
      <c r="AK208" s="71">
        <f t="shared" ca="1" si="34"/>
        <v>0</v>
      </c>
      <c r="AL208" s="71">
        <f ca="1">IF(C208=1,(12*((F208+H208)/2)*'Reeksen (N)'!AL208)+(12*('Invoer gegevens (N)'!$C$10-(F208+H208)/2)*'Reeksen (N)'!AM208),0)</f>
        <v>0</v>
      </c>
      <c r="AM208" s="71">
        <f ca="1">-AL208*'Invoer gegevens (N)'!$F$31</f>
        <v>0</v>
      </c>
      <c r="AN208" s="71">
        <f t="shared" ca="1" si="35"/>
        <v>0</v>
      </c>
      <c r="AO208" s="71"/>
      <c r="AP208" s="71"/>
      <c r="AQ208" s="71">
        <f ca="1">-IF(C208=1,('Invoer gegevens (N)'!$C$10*'Invoer gegevens (N)'!$F$35)*'Reeksen (N)'!J208,0)*2</f>
        <v>0</v>
      </c>
      <c r="AR208" s="71">
        <f ca="1">-IF(C208=1,(G208*'Invoer gegevens (N)'!$F$36)*'Reeksen (N)'!J208,0)</f>
        <v>0</v>
      </c>
      <c r="AS208" s="71">
        <f ca="1">-IF(C208=1,'Invoer gegevens (N)'!$C$10*'Invoer gegevens (N)'!$F$37*'Reeksen (N)'!L208,0)</f>
        <v>0</v>
      </c>
      <c r="AT208" s="71">
        <f ca="1">-IF(C208=1,IF(E208='Invoer gegevens (N)'!$C$17,'Invoer gegevens (N)'!$C$11,Q208)*'Reeksen (N)'!S208*'Invoer gegevens (N)'!$C$18*'Reeksen (N)'!P208,0)</f>
        <v>0</v>
      </c>
      <c r="AU208" s="71">
        <f ca="1">-IF(C208=1,'Invoer gegevens (N)'!$C$10*'Invoer gegevens (N)'!$F$38*'Reeksen (N)'!H208,0)</f>
        <v>0</v>
      </c>
      <c r="AV208" s="71">
        <v>0</v>
      </c>
      <c r="AW208" s="71">
        <f t="shared" ca="1" si="36"/>
        <v>0</v>
      </c>
      <c r="AX208" s="71">
        <f ca="1">IF(E208&lt;'Invoer gegevens (N)'!$C$17+15,0,IF('RW - MW - DE - DE (N)'!E208&gt;'Invoer gegevens (N)'!$C$17+215,0,'RW - MW - DE - DE (N)'!AW208))</f>
        <v>0</v>
      </c>
      <c r="AY208" s="71">
        <f ca="1">AX208/(1+'Invoer gegevens (N)'!$F$13)^($AZ208-('Invoer gegevens (N)'!$C$17-'Invoer gegevens (N)'!$C$16))/(1+'Invoer gegevens (N)'!$C$39)^('Invoer gegevens (N)'!$C$17-'Invoer gegevens (N)'!$C$16)</f>
        <v>0</v>
      </c>
      <c r="AZ208" s="68">
        <f ca="1">IF(E208-'Invoer gegevens (N)'!$C$17-14.5&lt;0,0,E208-'Invoer gegevens (N)'!$C$17-14.5)</f>
        <v>188.5</v>
      </c>
      <c r="BC208" s="71"/>
    </row>
    <row r="209" spans="1:55" s="230" customFormat="1" x14ac:dyDescent="0.25">
      <c r="B209" s="70">
        <f t="shared" si="37"/>
        <v>205</v>
      </c>
      <c r="C209" s="67">
        <f ca="1">IF(E209-'Invoer gegevens (N)'!$C$17&lt;0,0,1)</f>
        <v>1</v>
      </c>
      <c r="D209" s="68">
        <f t="shared" si="38"/>
        <v>204.5</v>
      </c>
      <c r="E209" s="69">
        <f ca="1">IF('Invoer gegevens (N)'!$C$16="","",E208+1)</f>
        <v>2223</v>
      </c>
      <c r="F209" s="82">
        <f ca="1">IF('Invoer gegevens (N)'!$C$17=E209,'Invoer gegevens (N)'!$C$10,IF(C209=1,H208,0))</f>
        <v>0</v>
      </c>
      <c r="G209" s="83">
        <f ca="1">IF(C209&gt;=1,F209*'Reeksen (N)'!C209,0)</f>
        <v>0</v>
      </c>
      <c r="H209" s="84">
        <f t="shared" ca="1" si="31"/>
        <v>0</v>
      </c>
      <c r="I209" s="85">
        <f ca="1">IF('Invoer gegevens (N)'!$C$17=E209,'Invoer gegevens (N)'!$C$11,IF(C209=1,L208,0))</f>
        <v>0</v>
      </c>
      <c r="J209" s="86">
        <f ca="1">IF(C209&lt;1,0,IF('Reeksen (N)'!AD209&lt;='Reeksen (N)'!AE209,I209*'Reeksen (N)'!C209,0))</f>
        <v>0</v>
      </c>
      <c r="K209" s="86">
        <f ca="1">IF(C209&lt;1,0,IF('Reeksen (N)'!AD209&gt;'Reeksen (N)'!AE209,I209*'Reeksen (N)'!C209,0))</f>
        <v>0</v>
      </c>
      <c r="L209" s="86">
        <f t="shared" ca="1" si="32"/>
        <v>0</v>
      </c>
      <c r="M209" s="85">
        <f ca="1">IF('Invoer gegevens (N)'!$C$17=E209,'Invoer gegevens (N)'!$C$10-'Invoer gegevens (N)'!$C$11,IF(C209=1,P208,0))</f>
        <v>0</v>
      </c>
      <c r="N209" s="86">
        <f ca="1">IF(C209&lt;1,0,IF('Reeksen (N)'!AD209&lt;='Reeksen (N)'!AE209,M209*'Reeksen (N)'!C209,0))</f>
        <v>0</v>
      </c>
      <c r="O209" s="86">
        <f ca="1">IF(C209&lt;1,0,IF('Reeksen (N)'!AD209&gt;'Reeksen (N)'!AE209,M209*'Reeksen (N)'!C209,0))</f>
        <v>0</v>
      </c>
      <c r="P209" s="86">
        <f t="shared" ca="1" si="33"/>
        <v>0</v>
      </c>
      <c r="Q209" s="82">
        <f ca="1">IF('Invoer gegevens (N)'!$C$17=E209,I209,IF(C209=0,0,R208))</f>
        <v>0</v>
      </c>
      <c r="R209" s="84">
        <f t="shared" ca="1" si="30"/>
        <v>0</v>
      </c>
      <c r="S209" s="84">
        <f ca="1">IF('Invoer gegevens (N)'!$C$17=E209,M209,IF(C209=0,0,T208))</f>
        <v>0</v>
      </c>
      <c r="T209" s="84">
        <f t="shared" ca="1" si="39"/>
        <v>0</v>
      </c>
      <c r="AI209" s="71">
        <f ca="1">IF(C209=1,((F209+H209)/2*'Reeksen (N)'!AI209*12)+(('Invoer gegevens (N)'!$C$10-(F209+H209)/2)*'Reeksen (N)'!AD209*12),0)</f>
        <v>0</v>
      </c>
      <c r="AJ209" s="71">
        <f ca="1">-AI209*'Invoer gegevens (N)'!$F$28</f>
        <v>0</v>
      </c>
      <c r="AK209" s="71">
        <f t="shared" ca="1" si="34"/>
        <v>0</v>
      </c>
      <c r="AL209" s="71">
        <f ca="1">IF(C209=1,(12*((F209+H209)/2)*'Reeksen (N)'!AL209)+(12*('Invoer gegevens (N)'!$C$10-(F209+H209)/2)*'Reeksen (N)'!AM209),0)</f>
        <v>0</v>
      </c>
      <c r="AM209" s="71">
        <f ca="1">-AL209*'Invoer gegevens (N)'!$F$31</f>
        <v>0</v>
      </c>
      <c r="AN209" s="71">
        <f t="shared" ca="1" si="35"/>
        <v>0</v>
      </c>
      <c r="AO209" s="71"/>
      <c r="AP209" s="71"/>
      <c r="AQ209" s="71">
        <f ca="1">-IF(C209=1,('Invoer gegevens (N)'!$C$10*'Invoer gegevens (N)'!$F$35)*'Reeksen (N)'!J209,0)*2</f>
        <v>0</v>
      </c>
      <c r="AR209" s="71">
        <f ca="1">-IF(C209=1,(G209*'Invoer gegevens (N)'!$F$36)*'Reeksen (N)'!J209,0)</f>
        <v>0</v>
      </c>
      <c r="AS209" s="71">
        <f ca="1">-IF(C209=1,'Invoer gegevens (N)'!$C$10*'Invoer gegevens (N)'!$F$37*'Reeksen (N)'!L209,0)</f>
        <v>0</v>
      </c>
      <c r="AT209" s="71">
        <f ca="1">-IF(C209=1,IF(E209='Invoer gegevens (N)'!$C$17,'Invoer gegevens (N)'!$C$11,Q209)*'Reeksen (N)'!S209*'Invoer gegevens (N)'!$C$18*'Reeksen (N)'!P209,0)</f>
        <v>0</v>
      </c>
      <c r="AU209" s="71">
        <f ca="1">-IF(C209=1,'Invoer gegevens (N)'!$C$10*'Invoer gegevens (N)'!$F$38*'Reeksen (N)'!H209,0)</f>
        <v>0</v>
      </c>
      <c r="AV209" s="71">
        <v>0</v>
      </c>
      <c r="AW209" s="71">
        <f t="shared" ca="1" si="36"/>
        <v>0</v>
      </c>
      <c r="AX209" s="71">
        <f ca="1">IF(E209&lt;'Invoer gegevens (N)'!$C$17+15,0,IF('RW - MW - DE - DE (N)'!E209&gt;'Invoer gegevens (N)'!$C$17+215,0,'RW - MW - DE - DE (N)'!AW209))</f>
        <v>0</v>
      </c>
      <c r="AY209" s="71">
        <f ca="1">AX209/(1+'Invoer gegevens (N)'!$F$13)^($AZ209-('Invoer gegevens (N)'!$C$17-'Invoer gegevens (N)'!$C$16))/(1+'Invoer gegevens (N)'!$C$39)^('Invoer gegevens (N)'!$C$17-'Invoer gegevens (N)'!$C$16)</f>
        <v>0</v>
      </c>
      <c r="AZ209" s="68">
        <f ca="1">IF(E209-'Invoer gegevens (N)'!$C$17-14.5&lt;0,0,E209-'Invoer gegevens (N)'!$C$17-14.5)</f>
        <v>189.5</v>
      </c>
      <c r="BC209" s="71"/>
    </row>
    <row r="210" spans="1:55" s="230" customFormat="1" x14ac:dyDescent="0.25">
      <c r="B210" s="70">
        <f t="shared" si="37"/>
        <v>206</v>
      </c>
      <c r="C210" s="67">
        <f ca="1">IF(E210-'Invoer gegevens (N)'!$C$17&lt;0,0,1)</f>
        <v>1</v>
      </c>
      <c r="D210" s="68">
        <f t="shared" si="38"/>
        <v>205.5</v>
      </c>
      <c r="E210" s="69">
        <f ca="1">IF('Invoer gegevens (N)'!$C$16="","",E209+1)</f>
        <v>2224</v>
      </c>
      <c r="F210" s="82">
        <f ca="1">IF('Invoer gegevens (N)'!$C$17=E210,'Invoer gegevens (N)'!$C$10,IF(C210=1,H209,0))</f>
        <v>0</v>
      </c>
      <c r="G210" s="83">
        <f ca="1">IF(C210&gt;=1,F210*'Reeksen (N)'!C210,0)</f>
        <v>0</v>
      </c>
      <c r="H210" s="84">
        <f t="shared" ca="1" si="31"/>
        <v>0</v>
      </c>
      <c r="I210" s="85">
        <f ca="1">IF('Invoer gegevens (N)'!$C$17=E210,'Invoer gegevens (N)'!$C$11,IF(C210=1,L209,0))</f>
        <v>0</v>
      </c>
      <c r="J210" s="86">
        <f ca="1">IF(C210&lt;1,0,IF('Reeksen (N)'!AD210&lt;='Reeksen (N)'!AE210,I210*'Reeksen (N)'!C210,0))</f>
        <v>0</v>
      </c>
      <c r="K210" s="86">
        <f ca="1">IF(C210&lt;1,0,IF('Reeksen (N)'!AD210&gt;'Reeksen (N)'!AE210,I210*'Reeksen (N)'!C210,0))</f>
        <v>0</v>
      </c>
      <c r="L210" s="86">
        <f t="shared" ca="1" si="32"/>
        <v>0</v>
      </c>
      <c r="M210" s="85">
        <f ca="1">IF('Invoer gegevens (N)'!$C$17=E210,'Invoer gegevens (N)'!$C$10-'Invoer gegevens (N)'!$C$11,IF(C210=1,P209,0))</f>
        <v>0</v>
      </c>
      <c r="N210" s="86">
        <f ca="1">IF(C210&lt;1,0,IF('Reeksen (N)'!AD210&lt;='Reeksen (N)'!AE210,M210*'Reeksen (N)'!C210,0))</f>
        <v>0</v>
      </c>
      <c r="O210" s="86">
        <f ca="1">IF(C210&lt;1,0,IF('Reeksen (N)'!AD210&gt;'Reeksen (N)'!AE210,M210*'Reeksen (N)'!C210,0))</f>
        <v>0</v>
      </c>
      <c r="P210" s="86">
        <f t="shared" ca="1" si="33"/>
        <v>0</v>
      </c>
      <c r="Q210" s="82">
        <f ca="1">IF('Invoer gegevens (N)'!$C$17=E210,I210,IF(C210=0,0,R209))</f>
        <v>0</v>
      </c>
      <c r="R210" s="84">
        <f t="shared" ca="1" si="30"/>
        <v>0</v>
      </c>
      <c r="S210" s="84">
        <f ca="1">IF('Invoer gegevens (N)'!$C$17=E210,M210,IF(C210=0,0,T209))</f>
        <v>0</v>
      </c>
      <c r="T210" s="84">
        <f t="shared" ca="1" si="39"/>
        <v>0</v>
      </c>
      <c r="AI210" s="71">
        <f ca="1">IF(C210=1,((F210+H210)/2*'Reeksen (N)'!AI210*12)+(('Invoer gegevens (N)'!$C$10-(F210+H210)/2)*'Reeksen (N)'!AD210*12),0)</f>
        <v>0</v>
      </c>
      <c r="AJ210" s="71">
        <f ca="1">-AI210*'Invoer gegevens (N)'!$F$28</f>
        <v>0</v>
      </c>
      <c r="AK210" s="71">
        <f t="shared" ca="1" si="34"/>
        <v>0</v>
      </c>
      <c r="AL210" s="71">
        <f ca="1">IF(C210=1,(12*((F210+H210)/2)*'Reeksen (N)'!AL210)+(12*('Invoer gegevens (N)'!$C$10-(F210+H210)/2)*'Reeksen (N)'!AM210),0)</f>
        <v>0</v>
      </c>
      <c r="AM210" s="71">
        <f ca="1">-AL210*'Invoer gegevens (N)'!$F$31</f>
        <v>0</v>
      </c>
      <c r="AN210" s="71">
        <f t="shared" ca="1" si="35"/>
        <v>0</v>
      </c>
      <c r="AO210" s="71"/>
      <c r="AP210" s="71"/>
      <c r="AQ210" s="71">
        <f ca="1">-IF(C210=1,('Invoer gegevens (N)'!$C$10*'Invoer gegevens (N)'!$F$35)*'Reeksen (N)'!J210,0)*2</f>
        <v>0</v>
      </c>
      <c r="AR210" s="71">
        <f ca="1">-IF(C210=1,(G210*'Invoer gegevens (N)'!$F$36)*'Reeksen (N)'!J210,0)</f>
        <v>0</v>
      </c>
      <c r="AS210" s="71">
        <f ca="1">-IF(C210=1,'Invoer gegevens (N)'!$C$10*'Invoer gegevens (N)'!$F$37*'Reeksen (N)'!L210,0)</f>
        <v>0</v>
      </c>
      <c r="AT210" s="71">
        <f ca="1">-IF(C210=1,IF(E210='Invoer gegevens (N)'!$C$17,'Invoer gegevens (N)'!$C$11,Q210)*'Reeksen (N)'!S210*'Invoer gegevens (N)'!$C$18*'Reeksen (N)'!P210,0)</f>
        <v>0</v>
      </c>
      <c r="AU210" s="71">
        <f ca="1">-IF(C210=1,'Invoer gegevens (N)'!$C$10*'Invoer gegevens (N)'!$F$38*'Reeksen (N)'!H210,0)</f>
        <v>0</v>
      </c>
      <c r="AV210" s="71">
        <v>0</v>
      </c>
      <c r="AW210" s="71">
        <f t="shared" ca="1" si="36"/>
        <v>0</v>
      </c>
      <c r="AX210" s="71">
        <f ca="1">IF(E210&lt;'Invoer gegevens (N)'!$C$17+15,0,IF('RW - MW - DE - DE (N)'!E210&gt;'Invoer gegevens (N)'!$C$17+215,0,'RW - MW - DE - DE (N)'!AW210))</f>
        <v>0</v>
      </c>
      <c r="AY210" s="71">
        <f ca="1">AX210/(1+'Invoer gegevens (N)'!$F$13)^($AZ210-('Invoer gegevens (N)'!$C$17-'Invoer gegevens (N)'!$C$16))/(1+'Invoer gegevens (N)'!$C$39)^('Invoer gegevens (N)'!$C$17-'Invoer gegevens (N)'!$C$16)</f>
        <v>0</v>
      </c>
      <c r="AZ210" s="68">
        <f ca="1">IF(E210-'Invoer gegevens (N)'!$C$17-14.5&lt;0,0,E210-'Invoer gegevens (N)'!$C$17-14.5)</f>
        <v>190.5</v>
      </c>
      <c r="BC210" s="71"/>
    </row>
    <row r="211" spans="1:55" s="230" customFormat="1" x14ac:dyDescent="0.25">
      <c r="B211" s="70">
        <f t="shared" si="37"/>
        <v>207</v>
      </c>
      <c r="C211" s="67">
        <f ca="1">IF(E211-'Invoer gegevens (N)'!$C$17&lt;0,0,1)</f>
        <v>1</v>
      </c>
      <c r="D211" s="68">
        <f t="shared" si="38"/>
        <v>206.5</v>
      </c>
      <c r="E211" s="69">
        <f ca="1">IF('Invoer gegevens (N)'!$C$16="","",E210+1)</f>
        <v>2225</v>
      </c>
      <c r="F211" s="82">
        <f ca="1">IF('Invoer gegevens (N)'!$C$17=E211,'Invoer gegevens (N)'!$C$10,IF(C211=1,H210,0))</f>
        <v>0</v>
      </c>
      <c r="G211" s="83">
        <f ca="1">IF(C211&gt;=1,F211*'Reeksen (N)'!C211,0)</f>
        <v>0</v>
      </c>
      <c r="H211" s="84">
        <f t="shared" ca="1" si="31"/>
        <v>0</v>
      </c>
      <c r="I211" s="85">
        <f ca="1">IF('Invoer gegevens (N)'!$C$17=E211,'Invoer gegevens (N)'!$C$11,IF(C211=1,L210,0))</f>
        <v>0</v>
      </c>
      <c r="J211" s="86">
        <f ca="1">IF(C211&lt;1,0,IF('Reeksen (N)'!AD211&lt;='Reeksen (N)'!AE211,I211*'Reeksen (N)'!C211,0))</f>
        <v>0</v>
      </c>
      <c r="K211" s="86">
        <f ca="1">IF(C211&lt;1,0,IF('Reeksen (N)'!AD211&gt;'Reeksen (N)'!AE211,I211*'Reeksen (N)'!C211,0))</f>
        <v>0</v>
      </c>
      <c r="L211" s="86">
        <f t="shared" ca="1" si="32"/>
        <v>0</v>
      </c>
      <c r="M211" s="85">
        <f ca="1">IF('Invoer gegevens (N)'!$C$17=E211,'Invoer gegevens (N)'!$C$10-'Invoer gegevens (N)'!$C$11,IF(C211=1,P210,0))</f>
        <v>0</v>
      </c>
      <c r="N211" s="86">
        <f ca="1">IF(C211&lt;1,0,IF('Reeksen (N)'!AD211&lt;='Reeksen (N)'!AE211,M211*'Reeksen (N)'!C211,0))</f>
        <v>0</v>
      </c>
      <c r="O211" s="86">
        <f ca="1">IF(C211&lt;1,0,IF('Reeksen (N)'!AD211&gt;'Reeksen (N)'!AE211,M211*'Reeksen (N)'!C211,0))</f>
        <v>0</v>
      </c>
      <c r="P211" s="86">
        <f t="shared" ca="1" si="33"/>
        <v>0</v>
      </c>
      <c r="Q211" s="82">
        <f ca="1">IF('Invoer gegevens (N)'!$C$17=E211,I211,IF(C211=0,0,R210))</f>
        <v>0</v>
      </c>
      <c r="R211" s="84">
        <f t="shared" ca="1" si="30"/>
        <v>0</v>
      </c>
      <c r="S211" s="84">
        <f ca="1">IF('Invoer gegevens (N)'!$C$17=E211,M211,IF(C211=0,0,T210))</f>
        <v>0</v>
      </c>
      <c r="T211" s="84">
        <f t="shared" ca="1" si="39"/>
        <v>0</v>
      </c>
      <c r="AI211" s="71">
        <f ca="1">IF(C211=1,((F211+H211)/2*'Reeksen (N)'!AI211*12)+(('Invoer gegevens (N)'!$C$10-(F211+H211)/2)*'Reeksen (N)'!AD211*12),0)</f>
        <v>0</v>
      </c>
      <c r="AJ211" s="71">
        <f ca="1">-AI211*'Invoer gegevens (N)'!$F$28</f>
        <v>0</v>
      </c>
      <c r="AK211" s="71">
        <f t="shared" ca="1" si="34"/>
        <v>0</v>
      </c>
      <c r="AL211" s="71">
        <f ca="1">IF(C211=1,(12*((F211+H211)/2)*'Reeksen (N)'!AL211)+(12*('Invoer gegevens (N)'!$C$10-(F211+H211)/2)*'Reeksen (N)'!AM211),0)</f>
        <v>0</v>
      </c>
      <c r="AM211" s="71">
        <f ca="1">-AL211*'Invoer gegevens (N)'!$F$31</f>
        <v>0</v>
      </c>
      <c r="AN211" s="71">
        <f t="shared" ca="1" si="35"/>
        <v>0</v>
      </c>
      <c r="AO211" s="71"/>
      <c r="AP211" s="71"/>
      <c r="AQ211" s="71">
        <f ca="1">-IF(C211=1,('Invoer gegevens (N)'!$C$10*'Invoer gegevens (N)'!$F$35)*'Reeksen (N)'!J211,0)*2</f>
        <v>0</v>
      </c>
      <c r="AR211" s="71">
        <f ca="1">-IF(C211=1,(G211*'Invoer gegevens (N)'!$F$36)*'Reeksen (N)'!J211,0)</f>
        <v>0</v>
      </c>
      <c r="AS211" s="71">
        <f ca="1">-IF(C211=1,'Invoer gegevens (N)'!$C$10*'Invoer gegevens (N)'!$F$37*'Reeksen (N)'!L211,0)</f>
        <v>0</v>
      </c>
      <c r="AT211" s="71">
        <f ca="1">-IF(C211=1,IF(E211='Invoer gegevens (N)'!$C$17,'Invoer gegevens (N)'!$C$11,Q211)*'Reeksen (N)'!S211*'Invoer gegevens (N)'!$C$18*'Reeksen (N)'!P211,0)</f>
        <v>0</v>
      </c>
      <c r="AU211" s="71">
        <f ca="1">-IF(C211=1,'Invoer gegevens (N)'!$C$10*'Invoer gegevens (N)'!$F$38*'Reeksen (N)'!H211,0)</f>
        <v>0</v>
      </c>
      <c r="AV211" s="71">
        <v>0</v>
      </c>
      <c r="AW211" s="71">
        <f t="shared" ca="1" si="36"/>
        <v>0</v>
      </c>
      <c r="AX211" s="71">
        <f ca="1">IF(E211&lt;'Invoer gegevens (N)'!$C$17+15,0,IF('RW - MW - DE - DE (N)'!E211&gt;'Invoer gegevens (N)'!$C$17+215,0,'RW - MW - DE - DE (N)'!AW211))</f>
        <v>0</v>
      </c>
      <c r="AY211" s="71">
        <f ca="1">AX211/(1+'Invoer gegevens (N)'!$F$13)^($AZ211-('Invoer gegevens (N)'!$C$17-'Invoer gegevens (N)'!$C$16))/(1+'Invoer gegevens (N)'!$C$39)^('Invoer gegevens (N)'!$C$17-'Invoer gegevens (N)'!$C$16)</f>
        <v>0</v>
      </c>
      <c r="AZ211" s="68">
        <f ca="1">IF(E211-'Invoer gegevens (N)'!$C$17-14.5&lt;0,0,E211-'Invoer gegevens (N)'!$C$17-14.5)</f>
        <v>191.5</v>
      </c>
      <c r="BC211" s="71"/>
    </row>
    <row r="212" spans="1:55" s="230" customFormat="1" x14ac:dyDescent="0.25">
      <c r="B212" s="70">
        <f t="shared" si="37"/>
        <v>208</v>
      </c>
      <c r="C212" s="67">
        <f ca="1">IF(E212-'Invoer gegevens (N)'!$C$17&lt;0,0,1)</f>
        <v>1</v>
      </c>
      <c r="D212" s="68">
        <f t="shared" si="38"/>
        <v>207.5</v>
      </c>
      <c r="E212" s="69">
        <f ca="1">IF('Invoer gegevens (N)'!$C$16="","",E211+1)</f>
        <v>2226</v>
      </c>
      <c r="F212" s="82">
        <f ca="1">IF('Invoer gegevens (N)'!$C$17=E212,'Invoer gegevens (N)'!$C$10,IF(C212=1,H211,0))</f>
        <v>0</v>
      </c>
      <c r="G212" s="83">
        <f ca="1">IF(C212&gt;=1,F212*'Reeksen (N)'!C212,0)</f>
        <v>0</v>
      </c>
      <c r="H212" s="84">
        <f t="shared" ca="1" si="31"/>
        <v>0</v>
      </c>
      <c r="I212" s="85">
        <f ca="1">IF('Invoer gegevens (N)'!$C$17=E212,'Invoer gegevens (N)'!$C$11,IF(C212=1,L211,0))</f>
        <v>0</v>
      </c>
      <c r="J212" s="86">
        <f ca="1">IF(C212&lt;1,0,IF('Reeksen (N)'!AD212&lt;='Reeksen (N)'!AE212,I212*'Reeksen (N)'!C212,0))</f>
        <v>0</v>
      </c>
      <c r="K212" s="86">
        <f ca="1">IF(C212&lt;1,0,IF('Reeksen (N)'!AD212&gt;'Reeksen (N)'!AE212,I212*'Reeksen (N)'!C212,0))</f>
        <v>0</v>
      </c>
      <c r="L212" s="86">
        <f t="shared" ca="1" si="32"/>
        <v>0</v>
      </c>
      <c r="M212" s="85">
        <f ca="1">IF('Invoer gegevens (N)'!$C$17=E212,'Invoer gegevens (N)'!$C$10-'Invoer gegevens (N)'!$C$11,IF(C212=1,P211,0))</f>
        <v>0</v>
      </c>
      <c r="N212" s="86">
        <f ca="1">IF(C212&lt;1,0,IF('Reeksen (N)'!AD212&lt;='Reeksen (N)'!AE212,M212*'Reeksen (N)'!C212,0))</f>
        <v>0</v>
      </c>
      <c r="O212" s="86">
        <f ca="1">IF(C212&lt;1,0,IF('Reeksen (N)'!AD212&gt;'Reeksen (N)'!AE212,M212*'Reeksen (N)'!C212,0))</f>
        <v>0</v>
      </c>
      <c r="P212" s="86">
        <f t="shared" ca="1" si="33"/>
        <v>0</v>
      </c>
      <c r="Q212" s="82">
        <f ca="1">IF('Invoer gegevens (N)'!$C$17=E212,I212,IF(C212=0,0,R211))</f>
        <v>0</v>
      </c>
      <c r="R212" s="84">
        <f t="shared" ca="1" si="30"/>
        <v>0</v>
      </c>
      <c r="S212" s="84">
        <f ca="1">IF('Invoer gegevens (N)'!$C$17=E212,M212,IF(C212=0,0,T211))</f>
        <v>0</v>
      </c>
      <c r="T212" s="84">
        <f t="shared" ca="1" si="39"/>
        <v>0</v>
      </c>
      <c r="AI212" s="71">
        <f ca="1">IF(C212=1,((F212+H212)/2*'Reeksen (N)'!AI212*12)+(('Invoer gegevens (N)'!$C$10-(F212+H212)/2)*'Reeksen (N)'!AD212*12),0)</f>
        <v>0</v>
      </c>
      <c r="AJ212" s="71">
        <f ca="1">-AI212*'Invoer gegevens (N)'!$F$28</f>
        <v>0</v>
      </c>
      <c r="AK212" s="71">
        <f t="shared" ca="1" si="34"/>
        <v>0</v>
      </c>
      <c r="AL212" s="71">
        <f ca="1">IF(C212=1,(12*((F212+H212)/2)*'Reeksen (N)'!AL212)+(12*('Invoer gegevens (N)'!$C$10-(F212+H212)/2)*'Reeksen (N)'!AM212),0)</f>
        <v>0</v>
      </c>
      <c r="AM212" s="71">
        <f ca="1">-AL212*'Invoer gegevens (N)'!$F$31</f>
        <v>0</v>
      </c>
      <c r="AN212" s="71">
        <f t="shared" ca="1" si="35"/>
        <v>0</v>
      </c>
      <c r="AO212" s="71"/>
      <c r="AP212" s="71"/>
      <c r="AQ212" s="71">
        <f ca="1">-IF(C212=1,('Invoer gegevens (N)'!$C$10*'Invoer gegevens (N)'!$F$35)*'Reeksen (N)'!J212,0)*2</f>
        <v>0</v>
      </c>
      <c r="AR212" s="71">
        <f ca="1">-IF(C212=1,(G212*'Invoer gegevens (N)'!$F$36)*'Reeksen (N)'!J212,0)</f>
        <v>0</v>
      </c>
      <c r="AS212" s="71">
        <f ca="1">-IF(C212=1,'Invoer gegevens (N)'!$C$10*'Invoer gegevens (N)'!$F$37*'Reeksen (N)'!L212,0)</f>
        <v>0</v>
      </c>
      <c r="AT212" s="71">
        <f ca="1">-IF(C212=1,IF(E212='Invoer gegevens (N)'!$C$17,'Invoer gegevens (N)'!$C$11,Q212)*'Reeksen (N)'!S212*'Invoer gegevens (N)'!$C$18*'Reeksen (N)'!P212,0)</f>
        <v>0</v>
      </c>
      <c r="AU212" s="71">
        <f ca="1">-IF(C212=1,'Invoer gegevens (N)'!$C$10*'Invoer gegevens (N)'!$F$38*'Reeksen (N)'!H212,0)</f>
        <v>0</v>
      </c>
      <c r="AV212" s="71">
        <v>0</v>
      </c>
      <c r="AW212" s="71">
        <f t="shared" ca="1" si="36"/>
        <v>0</v>
      </c>
      <c r="AX212" s="71">
        <f ca="1">IF(E212&lt;'Invoer gegevens (N)'!$C$17+15,0,IF('RW - MW - DE - DE (N)'!E212&gt;'Invoer gegevens (N)'!$C$17+215,0,'RW - MW - DE - DE (N)'!AW212))</f>
        <v>0</v>
      </c>
      <c r="AY212" s="71">
        <f ca="1">AX212/(1+'Invoer gegevens (N)'!$F$13)^($AZ212-('Invoer gegevens (N)'!$C$17-'Invoer gegevens (N)'!$C$16))/(1+'Invoer gegevens (N)'!$C$39)^('Invoer gegevens (N)'!$C$17-'Invoer gegevens (N)'!$C$16)</f>
        <v>0</v>
      </c>
      <c r="AZ212" s="68">
        <f ca="1">IF(E212-'Invoer gegevens (N)'!$C$17-14.5&lt;0,0,E212-'Invoer gegevens (N)'!$C$17-14.5)</f>
        <v>192.5</v>
      </c>
      <c r="BC212" s="71"/>
    </row>
    <row r="213" spans="1:55" s="230" customFormat="1" x14ac:dyDescent="0.25">
      <c r="B213" s="70">
        <f t="shared" si="37"/>
        <v>209</v>
      </c>
      <c r="C213" s="67">
        <f ca="1">IF(E213-'Invoer gegevens (N)'!$C$17&lt;0,0,1)</f>
        <v>1</v>
      </c>
      <c r="D213" s="68">
        <f t="shared" si="38"/>
        <v>208.5</v>
      </c>
      <c r="E213" s="69">
        <f ca="1">IF('Invoer gegevens (N)'!$C$16="","",E212+1)</f>
        <v>2227</v>
      </c>
      <c r="F213" s="82">
        <f ca="1">IF('Invoer gegevens (N)'!$C$17=E213,'Invoer gegevens (N)'!$C$10,IF(C213=1,H212,0))</f>
        <v>0</v>
      </c>
      <c r="G213" s="83">
        <f ca="1">IF(C213&gt;=1,F213*'Reeksen (N)'!C213,0)</f>
        <v>0</v>
      </c>
      <c r="H213" s="84">
        <f t="shared" ca="1" si="31"/>
        <v>0</v>
      </c>
      <c r="I213" s="85">
        <f ca="1">IF('Invoer gegevens (N)'!$C$17=E213,'Invoer gegevens (N)'!$C$11,IF(C213=1,L212,0))</f>
        <v>0</v>
      </c>
      <c r="J213" s="86">
        <f ca="1">IF(C213&lt;1,0,IF('Reeksen (N)'!AD213&lt;='Reeksen (N)'!AE213,I213*'Reeksen (N)'!C213,0))</f>
        <v>0</v>
      </c>
      <c r="K213" s="86">
        <f ca="1">IF(C213&lt;1,0,IF('Reeksen (N)'!AD213&gt;'Reeksen (N)'!AE213,I213*'Reeksen (N)'!C213,0))</f>
        <v>0</v>
      </c>
      <c r="L213" s="86">
        <f t="shared" ca="1" si="32"/>
        <v>0</v>
      </c>
      <c r="M213" s="85">
        <f ca="1">IF('Invoer gegevens (N)'!$C$17=E213,'Invoer gegevens (N)'!$C$10-'Invoer gegevens (N)'!$C$11,IF(C213=1,P212,0))</f>
        <v>0</v>
      </c>
      <c r="N213" s="86">
        <f ca="1">IF(C213&lt;1,0,IF('Reeksen (N)'!AD213&lt;='Reeksen (N)'!AE213,M213*'Reeksen (N)'!C213,0))</f>
        <v>0</v>
      </c>
      <c r="O213" s="86">
        <f ca="1">IF(C213&lt;1,0,IF('Reeksen (N)'!AD213&gt;'Reeksen (N)'!AE213,M213*'Reeksen (N)'!C213,0))</f>
        <v>0</v>
      </c>
      <c r="P213" s="86">
        <f t="shared" ca="1" si="33"/>
        <v>0</v>
      </c>
      <c r="Q213" s="82">
        <f ca="1">IF('Invoer gegevens (N)'!$C$17=E213,I213,IF(C213=0,0,R212))</f>
        <v>0</v>
      </c>
      <c r="R213" s="84">
        <f t="shared" ca="1" si="30"/>
        <v>0</v>
      </c>
      <c r="S213" s="84">
        <f ca="1">IF('Invoer gegevens (N)'!$C$17=E213,M213,IF(C213=0,0,T212))</f>
        <v>0</v>
      </c>
      <c r="T213" s="84">
        <f t="shared" ca="1" si="39"/>
        <v>0</v>
      </c>
      <c r="AI213" s="71">
        <f ca="1">IF(C213=1,((F213+H213)/2*'Reeksen (N)'!AI213*12)+(('Invoer gegevens (N)'!$C$10-(F213+H213)/2)*'Reeksen (N)'!AD213*12),0)</f>
        <v>0</v>
      </c>
      <c r="AJ213" s="71">
        <f ca="1">-AI213*'Invoer gegevens (N)'!$F$28</f>
        <v>0</v>
      </c>
      <c r="AK213" s="71">
        <f t="shared" ca="1" si="34"/>
        <v>0</v>
      </c>
      <c r="AL213" s="71">
        <f ca="1">IF(C213=1,(12*((F213+H213)/2)*'Reeksen (N)'!AL213)+(12*('Invoer gegevens (N)'!$C$10-(F213+H213)/2)*'Reeksen (N)'!AM213),0)</f>
        <v>0</v>
      </c>
      <c r="AM213" s="71">
        <f ca="1">-AL213*'Invoer gegevens (N)'!$F$31</f>
        <v>0</v>
      </c>
      <c r="AN213" s="71">
        <f t="shared" ca="1" si="35"/>
        <v>0</v>
      </c>
      <c r="AO213" s="71"/>
      <c r="AP213" s="71"/>
      <c r="AQ213" s="71">
        <f ca="1">-IF(C213=1,('Invoer gegevens (N)'!$C$10*'Invoer gegevens (N)'!$F$35)*'Reeksen (N)'!J213,0)*2</f>
        <v>0</v>
      </c>
      <c r="AR213" s="71">
        <f ca="1">-IF(C213=1,(G213*'Invoer gegevens (N)'!$F$36)*'Reeksen (N)'!J213,0)</f>
        <v>0</v>
      </c>
      <c r="AS213" s="71">
        <f ca="1">-IF(C213=1,'Invoer gegevens (N)'!$C$10*'Invoer gegevens (N)'!$F$37*'Reeksen (N)'!L213,0)</f>
        <v>0</v>
      </c>
      <c r="AT213" s="71">
        <f ca="1">-IF(C213=1,IF(E213='Invoer gegevens (N)'!$C$17,'Invoer gegevens (N)'!$C$11,Q213)*'Reeksen (N)'!S213*'Invoer gegevens (N)'!$C$18*'Reeksen (N)'!P213,0)</f>
        <v>0</v>
      </c>
      <c r="AU213" s="71">
        <f ca="1">-IF(C213=1,'Invoer gegevens (N)'!$C$10*'Invoer gegevens (N)'!$F$38*'Reeksen (N)'!H213,0)</f>
        <v>0</v>
      </c>
      <c r="AV213" s="71">
        <v>0</v>
      </c>
      <c r="AW213" s="71">
        <f t="shared" ca="1" si="36"/>
        <v>0</v>
      </c>
      <c r="AX213" s="71">
        <f ca="1">IF(E213&lt;'Invoer gegevens (N)'!$C$17+15,0,IF('RW - MW - DE - DE (N)'!E213&gt;'Invoer gegevens (N)'!$C$17+215,0,'RW - MW - DE - DE (N)'!AW213))</f>
        <v>0</v>
      </c>
      <c r="AY213" s="71">
        <f ca="1">AX213/(1+'Invoer gegevens (N)'!$F$13)^($AZ213-('Invoer gegevens (N)'!$C$17-'Invoer gegevens (N)'!$C$16))/(1+'Invoer gegevens (N)'!$C$39)^('Invoer gegevens (N)'!$C$17-'Invoer gegevens (N)'!$C$16)</f>
        <v>0</v>
      </c>
      <c r="AZ213" s="68">
        <f ca="1">IF(E213-'Invoer gegevens (N)'!$C$17-14.5&lt;0,0,E213-'Invoer gegevens (N)'!$C$17-14.5)</f>
        <v>193.5</v>
      </c>
      <c r="BC213" s="71"/>
    </row>
    <row r="214" spans="1:55" s="230" customFormat="1" x14ac:dyDescent="0.25">
      <c r="B214" s="70">
        <f t="shared" si="37"/>
        <v>210</v>
      </c>
      <c r="C214" s="67">
        <f ca="1">IF(E214-'Invoer gegevens (N)'!$C$17&lt;0,0,1)</f>
        <v>1</v>
      </c>
      <c r="D214" s="68">
        <f t="shared" si="38"/>
        <v>209.5</v>
      </c>
      <c r="E214" s="69">
        <f ca="1">IF('Invoer gegevens (N)'!$C$16="","",E213+1)</f>
        <v>2228</v>
      </c>
      <c r="F214" s="82">
        <f ca="1">IF('Invoer gegevens (N)'!$C$17=E214,'Invoer gegevens (N)'!$C$10,IF(C214=1,H213,0))</f>
        <v>0</v>
      </c>
      <c r="G214" s="83">
        <f ca="1">IF(C214&gt;=1,F214*'Reeksen (N)'!C214,0)</f>
        <v>0</v>
      </c>
      <c r="H214" s="84">
        <f t="shared" ca="1" si="31"/>
        <v>0</v>
      </c>
      <c r="I214" s="85">
        <f ca="1">IF('Invoer gegevens (N)'!$C$17=E214,'Invoer gegevens (N)'!$C$11,IF(C214=1,L213,0))</f>
        <v>0</v>
      </c>
      <c r="J214" s="86">
        <f ca="1">IF(C214&lt;1,0,IF('Reeksen (N)'!AD214&lt;='Reeksen (N)'!AE214,I214*'Reeksen (N)'!C214,0))</f>
        <v>0</v>
      </c>
      <c r="K214" s="86">
        <f ca="1">IF(C214&lt;1,0,IF('Reeksen (N)'!AD214&gt;'Reeksen (N)'!AE214,I214*'Reeksen (N)'!C214,0))</f>
        <v>0</v>
      </c>
      <c r="L214" s="86">
        <f t="shared" ca="1" si="32"/>
        <v>0</v>
      </c>
      <c r="M214" s="85">
        <f ca="1">IF('Invoer gegevens (N)'!$C$17=E214,'Invoer gegevens (N)'!$C$10-'Invoer gegevens (N)'!$C$11,IF(C214=1,P213,0))</f>
        <v>0</v>
      </c>
      <c r="N214" s="86">
        <f ca="1">IF(C214&lt;1,0,IF('Reeksen (N)'!AD214&lt;='Reeksen (N)'!AE214,M214*'Reeksen (N)'!C214,0))</f>
        <v>0</v>
      </c>
      <c r="O214" s="86">
        <f ca="1">IF(C214&lt;1,0,IF('Reeksen (N)'!AD214&gt;'Reeksen (N)'!AE214,M214*'Reeksen (N)'!C214,0))</f>
        <v>0</v>
      </c>
      <c r="P214" s="86">
        <f t="shared" ca="1" si="33"/>
        <v>0</v>
      </c>
      <c r="Q214" s="82">
        <f ca="1">IF('Invoer gegevens (N)'!$C$17=E214,I214,IF(C214=0,0,R213))</f>
        <v>0</v>
      </c>
      <c r="R214" s="84">
        <f t="shared" ca="1" si="30"/>
        <v>0</v>
      </c>
      <c r="S214" s="84">
        <f ca="1">IF('Invoer gegevens (N)'!$C$17=E214,M214,IF(C214=0,0,T213))</f>
        <v>0</v>
      </c>
      <c r="T214" s="84">
        <f t="shared" ca="1" si="39"/>
        <v>0</v>
      </c>
      <c r="AI214" s="71">
        <f ca="1">IF(C214=1,((F214+H214)/2*'Reeksen (N)'!AI214*12)+(('Invoer gegevens (N)'!$C$10-(F214+H214)/2)*'Reeksen (N)'!AD214*12),0)</f>
        <v>0</v>
      </c>
      <c r="AJ214" s="71">
        <f ca="1">-AI214*'Invoer gegevens (N)'!$F$28</f>
        <v>0</v>
      </c>
      <c r="AK214" s="71">
        <f t="shared" ca="1" si="34"/>
        <v>0</v>
      </c>
      <c r="AL214" s="71">
        <f ca="1">IF(C214=1,(12*((F214+H214)/2)*'Reeksen (N)'!AL214)+(12*('Invoer gegevens (N)'!$C$10-(F214+H214)/2)*'Reeksen (N)'!AM214),0)</f>
        <v>0</v>
      </c>
      <c r="AM214" s="71">
        <f ca="1">-AL214*'Invoer gegevens (N)'!$F$31</f>
        <v>0</v>
      </c>
      <c r="AN214" s="71">
        <f t="shared" ca="1" si="35"/>
        <v>0</v>
      </c>
      <c r="AO214" s="71"/>
      <c r="AP214" s="71"/>
      <c r="AQ214" s="71">
        <f ca="1">-IF(C214=1,('Invoer gegevens (N)'!$C$10*'Invoer gegevens (N)'!$F$35)*'Reeksen (N)'!J214,0)*2</f>
        <v>0</v>
      </c>
      <c r="AR214" s="71">
        <f ca="1">-IF(C214=1,(G214*'Invoer gegevens (N)'!$F$36)*'Reeksen (N)'!J214,0)</f>
        <v>0</v>
      </c>
      <c r="AS214" s="71">
        <f ca="1">-IF(C214=1,'Invoer gegevens (N)'!$C$10*'Invoer gegevens (N)'!$F$37*'Reeksen (N)'!L214,0)</f>
        <v>0</v>
      </c>
      <c r="AT214" s="71">
        <f ca="1">-IF(C214=1,IF(E214='Invoer gegevens (N)'!$C$17,'Invoer gegevens (N)'!$C$11,Q214)*'Reeksen (N)'!S214*'Invoer gegevens (N)'!$C$18*'Reeksen (N)'!P214,0)</f>
        <v>0</v>
      </c>
      <c r="AU214" s="71">
        <f ca="1">-IF(C214=1,'Invoer gegevens (N)'!$C$10*'Invoer gegevens (N)'!$F$38*'Reeksen (N)'!H214,0)</f>
        <v>0</v>
      </c>
      <c r="AV214" s="71">
        <v>0</v>
      </c>
      <c r="AW214" s="71">
        <f t="shared" ca="1" si="36"/>
        <v>0</v>
      </c>
      <c r="AX214" s="71">
        <f ca="1">IF(E214&lt;'Invoer gegevens (N)'!$C$17+15,0,IF('RW - MW - DE - DE (N)'!E214&gt;'Invoer gegevens (N)'!$C$17+215,0,'RW - MW - DE - DE (N)'!AW214))</f>
        <v>0</v>
      </c>
      <c r="AY214" s="71">
        <f ca="1">AX214/(1+'Invoer gegevens (N)'!$F$13)^($AZ214-('Invoer gegevens (N)'!$C$17-'Invoer gegevens (N)'!$C$16))/(1+'Invoer gegevens (N)'!$C$39)^('Invoer gegevens (N)'!$C$17-'Invoer gegevens (N)'!$C$16)</f>
        <v>0</v>
      </c>
      <c r="AZ214" s="68">
        <f ca="1">IF(E214-'Invoer gegevens (N)'!$C$17-14.5&lt;0,0,E214-'Invoer gegevens (N)'!$C$17-14.5)</f>
        <v>194.5</v>
      </c>
      <c r="BC214" s="71"/>
    </row>
    <row r="215" spans="1:55" s="230" customFormat="1" x14ac:dyDescent="0.25">
      <c r="B215" s="70">
        <f t="shared" si="37"/>
        <v>211</v>
      </c>
      <c r="C215" s="67">
        <f ca="1">IF(E215-'Invoer gegevens (N)'!$C$17&lt;0,0,1)</f>
        <v>1</v>
      </c>
      <c r="D215" s="68">
        <f t="shared" si="38"/>
        <v>210.5</v>
      </c>
      <c r="E215" s="69">
        <f ca="1">IF('Invoer gegevens (N)'!$C$16="","",E214+1)</f>
        <v>2229</v>
      </c>
      <c r="F215" s="82">
        <f ca="1">IF('Invoer gegevens (N)'!$C$17=E215,'Invoer gegevens (N)'!$C$10,IF(C215=1,H214,0))</f>
        <v>0</v>
      </c>
      <c r="G215" s="83">
        <f ca="1">IF(C215&gt;=1,F215*'Reeksen (N)'!C215,0)</f>
        <v>0</v>
      </c>
      <c r="H215" s="84">
        <f t="shared" ca="1" si="31"/>
        <v>0</v>
      </c>
      <c r="I215" s="85">
        <f ca="1">IF('Invoer gegevens (N)'!$C$17=E215,'Invoer gegevens (N)'!$C$11,IF(C215=1,L214,0))</f>
        <v>0</v>
      </c>
      <c r="J215" s="86">
        <f ca="1">IF(C215&lt;1,0,IF('Reeksen (N)'!AD215&lt;='Reeksen (N)'!AE215,I215*'Reeksen (N)'!C215,0))</f>
        <v>0</v>
      </c>
      <c r="K215" s="86">
        <f ca="1">IF(C215&lt;1,0,IF('Reeksen (N)'!AD215&gt;'Reeksen (N)'!AE215,I215*'Reeksen (N)'!C215,0))</f>
        <v>0</v>
      </c>
      <c r="L215" s="86">
        <f t="shared" ca="1" si="32"/>
        <v>0</v>
      </c>
      <c r="M215" s="85">
        <f ca="1">IF('Invoer gegevens (N)'!$C$17=E215,'Invoer gegevens (N)'!$C$10-'Invoer gegevens (N)'!$C$11,IF(C215=1,P214,0))</f>
        <v>0</v>
      </c>
      <c r="N215" s="86">
        <f ca="1">IF(C215&lt;1,0,IF('Reeksen (N)'!AD215&lt;='Reeksen (N)'!AE215,M215*'Reeksen (N)'!C215,0))</f>
        <v>0</v>
      </c>
      <c r="O215" s="86">
        <f ca="1">IF(C215&lt;1,0,IF('Reeksen (N)'!AD215&gt;'Reeksen (N)'!AE215,M215*'Reeksen (N)'!C215,0))</f>
        <v>0</v>
      </c>
      <c r="P215" s="86">
        <f t="shared" ca="1" si="33"/>
        <v>0</v>
      </c>
      <c r="Q215" s="82">
        <f ca="1">IF('Invoer gegevens (N)'!$C$17=E215,I215,IF(C215=0,0,R214))</f>
        <v>0</v>
      </c>
      <c r="R215" s="84">
        <f t="shared" ca="1" si="30"/>
        <v>0</v>
      </c>
      <c r="S215" s="84">
        <f ca="1">IF('Invoer gegevens (N)'!$C$17=E215,M215,IF(C215=0,0,T214))</f>
        <v>0</v>
      </c>
      <c r="T215" s="84">
        <f t="shared" ca="1" si="39"/>
        <v>0</v>
      </c>
      <c r="AI215" s="71">
        <f ca="1">IF(C215=1,((F215+H215)/2*'Reeksen (N)'!AI215*12)+(('Invoer gegevens (N)'!$C$10-(F215+H215)/2)*'Reeksen (N)'!AD215*12),0)</f>
        <v>0</v>
      </c>
      <c r="AJ215" s="71">
        <f ca="1">-AI215*'Invoer gegevens (N)'!$F$28</f>
        <v>0</v>
      </c>
      <c r="AK215" s="71">
        <f t="shared" ca="1" si="34"/>
        <v>0</v>
      </c>
      <c r="AL215" s="71">
        <f ca="1">IF(C215=1,(12*((F215+H215)/2)*'Reeksen (N)'!AL215)+(12*('Invoer gegevens (N)'!$C$10-(F215+H215)/2)*'Reeksen (N)'!AM215),0)</f>
        <v>0</v>
      </c>
      <c r="AM215" s="71">
        <f ca="1">-AL215*'Invoer gegevens (N)'!$F$31</f>
        <v>0</v>
      </c>
      <c r="AN215" s="71">
        <f t="shared" ca="1" si="35"/>
        <v>0</v>
      </c>
      <c r="AO215" s="71"/>
      <c r="AP215" s="71"/>
      <c r="AQ215" s="71">
        <f ca="1">-IF(C215=1,('Invoer gegevens (N)'!$C$10*'Invoer gegevens (N)'!$F$35)*'Reeksen (N)'!J215,0)*2</f>
        <v>0</v>
      </c>
      <c r="AR215" s="71">
        <f ca="1">-IF(C215=1,(G215*'Invoer gegevens (N)'!$F$36)*'Reeksen (N)'!J215,0)</f>
        <v>0</v>
      </c>
      <c r="AS215" s="71">
        <f ca="1">-IF(C215=1,'Invoer gegevens (N)'!$C$10*'Invoer gegevens (N)'!$F$37*'Reeksen (N)'!L215,0)</f>
        <v>0</v>
      </c>
      <c r="AT215" s="71">
        <f ca="1">-IF(C215=1,IF(E215='Invoer gegevens (N)'!$C$17,'Invoer gegevens (N)'!$C$11,Q215)*'Reeksen (N)'!S215*'Invoer gegevens (N)'!$C$18*'Reeksen (N)'!P215,0)</f>
        <v>0</v>
      </c>
      <c r="AU215" s="71">
        <f ca="1">-IF(C215=1,'Invoer gegevens (N)'!$C$10*'Invoer gegevens (N)'!$F$38*'Reeksen (N)'!H215,0)</f>
        <v>0</v>
      </c>
      <c r="AV215" s="71">
        <v>0</v>
      </c>
      <c r="AW215" s="71">
        <f t="shared" ca="1" si="36"/>
        <v>0</v>
      </c>
      <c r="AX215" s="71">
        <f ca="1">IF(E215&lt;'Invoer gegevens (N)'!$C$17+15,0,IF('RW - MW - DE - DE (N)'!E215&gt;'Invoer gegevens (N)'!$C$17+215,0,'RW - MW - DE - DE (N)'!AW215))</f>
        <v>0</v>
      </c>
      <c r="AY215" s="71">
        <f ca="1">AX215/(1+'Invoer gegevens (N)'!$F$13)^($AZ215-('Invoer gegevens (N)'!$C$17-'Invoer gegevens (N)'!$C$16))/(1+'Invoer gegevens (N)'!$C$39)^('Invoer gegevens (N)'!$C$17-'Invoer gegevens (N)'!$C$16)</f>
        <v>0</v>
      </c>
      <c r="AZ215" s="68">
        <f ca="1">IF(E215-'Invoer gegevens (N)'!$C$17-14.5&lt;0,0,E215-'Invoer gegevens (N)'!$C$17-14.5)</f>
        <v>195.5</v>
      </c>
      <c r="BC215" s="71"/>
    </row>
    <row r="216" spans="1:55" s="230" customFormat="1" x14ac:dyDescent="0.25">
      <c r="B216" s="70">
        <f t="shared" si="37"/>
        <v>212</v>
      </c>
      <c r="C216" s="67">
        <f ca="1">IF(E216-'Invoer gegevens (N)'!$C$17&lt;0,0,1)</f>
        <v>1</v>
      </c>
      <c r="D216" s="68">
        <f t="shared" si="38"/>
        <v>211.5</v>
      </c>
      <c r="E216" s="69">
        <f ca="1">IF('Invoer gegevens (N)'!$C$16="","",E215+1)</f>
        <v>2230</v>
      </c>
      <c r="F216" s="82">
        <f ca="1">IF('Invoer gegevens (N)'!$C$17=E216,'Invoer gegevens (N)'!$C$10,IF(C216=1,H215,0))</f>
        <v>0</v>
      </c>
      <c r="G216" s="83">
        <f ca="1">IF(C216&gt;=1,F216*'Reeksen (N)'!C216,0)</f>
        <v>0</v>
      </c>
      <c r="H216" s="84">
        <f t="shared" ca="1" si="31"/>
        <v>0</v>
      </c>
      <c r="I216" s="85">
        <f ca="1">IF('Invoer gegevens (N)'!$C$17=E216,'Invoer gegevens (N)'!$C$11,IF(C216=1,L215,0))</f>
        <v>0</v>
      </c>
      <c r="J216" s="86">
        <f ca="1">IF(C216&lt;1,0,IF('Reeksen (N)'!AD216&lt;='Reeksen (N)'!AE216,I216*'Reeksen (N)'!C216,0))</f>
        <v>0</v>
      </c>
      <c r="K216" s="86">
        <f ca="1">IF(C216&lt;1,0,IF('Reeksen (N)'!AD216&gt;'Reeksen (N)'!AE216,I216*'Reeksen (N)'!C216,0))</f>
        <v>0</v>
      </c>
      <c r="L216" s="86">
        <f t="shared" ca="1" si="32"/>
        <v>0</v>
      </c>
      <c r="M216" s="85">
        <f ca="1">IF('Invoer gegevens (N)'!$C$17=E216,'Invoer gegevens (N)'!$C$10-'Invoer gegevens (N)'!$C$11,IF(C216=1,P215,0))</f>
        <v>0</v>
      </c>
      <c r="N216" s="86">
        <f ca="1">IF(C216&lt;1,0,IF('Reeksen (N)'!AD216&lt;='Reeksen (N)'!AE216,M216*'Reeksen (N)'!C216,0))</f>
        <v>0</v>
      </c>
      <c r="O216" s="86">
        <f ca="1">IF(C216&lt;1,0,IF('Reeksen (N)'!AD216&gt;'Reeksen (N)'!AE216,M216*'Reeksen (N)'!C216,0))</f>
        <v>0</v>
      </c>
      <c r="P216" s="86">
        <f t="shared" ca="1" si="33"/>
        <v>0</v>
      </c>
      <c r="Q216" s="82">
        <f ca="1">IF('Invoer gegevens (N)'!$C$17=E216,I216,IF(C216=0,0,R215))</f>
        <v>0</v>
      </c>
      <c r="R216" s="84">
        <f t="shared" ca="1" si="30"/>
        <v>0</v>
      </c>
      <c r="S216" s="84">
        <f ca="1">IF('Invoer gegevens (N)'!$C$17=E216,M216,IF(C216=0,0,T215))</f>
        <v>0</v>
      </c>
      <c r="T216" s="84">
        <f t="shared" ca="1" si="39"/>
        <v>0</v>
      </c>
      <c r="AI216" s="71">
        <f ca="1">IF(C216=1,((F216+H216)/2*'Reeksen (N)'!AI216*12)+(('Invoer gegevens (N)'!$C$10-(F216+H216)/2)*'Reeksen (N)'!AD216*12),0)</f>
        <v>0</v>
      </c>
      <c r="AJ216" s="71">
        <f ca="1">-AI216*'Invoer gegevens (N)'!$F$28</f>
        <v>0</v>
      </c>
      <c r="AK216" s="71">
        <f t="shared" ca="1" si="34"/>
        <v>0</v>
      </c>
      <c r="AL216" s="71">
        <f ca="1">IF(C216=1,(12*((F216+H216)/2)*'Reeksen (N)'!AL216)+(12*('Invoer gegevens (N)'!$C$10-(F216+H216)/2)*'Reeksen (N)'!AM216),0)</f>
        <v>0</v>
      </c>
      <c r="AM216" s="71">
        <f ca="1">-AL216*'Invoer gegevens (N)'!$F$31</f>
        <v>0</v>
      </c>
      <c r="AN216" s="71">
        <f t="shared" ca="1" si="35"/>
        <v>0</v>
      </c>
      <c r="AO216" s="71"/>
      <c r="AP216" s="71"/>
      <c r="AQ216" s="71">
        <f ca="1">-IF(C216=1,('Invoer gegevens (N)'!$C$10*'Invoer gegevens (N)'!$F$35)*'Reeksen (N)'!J216,0)*2</f>
        <v>0</v>
      </c>
      <c r="AR216" s="71">
        <f ca="1">-IF(C216=1,(G216*'Invoer gegevens (N)'!$F$36)*'Reeksen (N)'!J216,0)</f>
        <v>0</v>
      </c>
      <c r="AS216" s="71">
        <f ca="1">-IF(C216=1,'Invoer gegevens (N)'!$C$10*'Invoer gegevens (N)'!$F$37*'Reeksen (N)'!L216,0)</f>
        <v>0</v>
      </c>
      <c r="AT216" s="71">
        <f ca="1">-IF(C216=1,IF(E216='Invoer gegevens (N)'!$C$17,'Invoer gegevens (N)'!$C$11,Q216)*'Reeksen (N)'!S216*'Invoer gegevens (N)'!$C$18*'Reeksen (N)'!P216,0)</f>
        <v>0</v>
      </c>
      <c r="AU216" s="71">
        <f ca="1">-IF(C216=1,'Invoer gegevens (N)'!$C$10*'Invoer gegevens (N)'!$F$38*'Reeksen (N)'!H216,0)</f>
        <v>0</v>
      </c>
      <c r="AV216" s="71">
        <v>0</v>
      </c>
      <c r="AW216" s="71">
        <f t="shared" ca="1" si="36"/>
        <v>0</v>
      </c>
      <c r="AX216" s="71">
        <f ca="1">IF(E216&lt;'Invoer gegevens (N)'!$C$17+15,0,IF('RW - MW - DE - DE (N)'!E216&gt;'Invoer gegevens (N)'!$C$17+215,0,'RW - MW - DE - DE (N)'!AW216))</f>
        <v>0</v>
      </c>
      <c r="AY216" s="71">
        <f ca="1">AX216/(1+'Invoer gegevens (N)'!$F$13)^($AZ216-('Invoer gegevens (N)'!$C$17-'Invoer gegevens (N)'!$C$16))/(1+'Invoer gegevens (N)'!$C$39)^('Invoer gegevens (N)'!$C$17-'Invoer gegevens (N)'!$C$16)</f>
        <v>0</v>
      </c>
      <c r="AZ216" s="68">
        <f ca="1">IF(E216-'Invoer gegevens (N)'!$C$17-14.5&lt;0,0,E216-'Invoer gegevens (N)'!$C$17-14.5)</f>
        <v>196.5</v>
      </c>
      <c r="BC216" s="71"/>
    </row>
    <row r="217" spans="1:55" s="230" customFormat="1" x14ac:dyDescent="0.25">
      <c r="B217" s="70">
        <f t="shared" si="37"/>
        <v>213</v>
      </c>
      <c r="C217" s="67">
        <f ca="1">IF(E217-'Invoer gegevens (N)'!$C$17&lt;0,0,1)</f>
        <v>1</v>
      </c>
      <c r="D217" s="68">
        <f t="shared" si="38"/>
        <v>212.5</v>
      </c>
      <c r="E217" s="69">
        <f ca="1">IF('Invoer gegevens (N)'!$C$16="","",E216+1)</f>
        <v>2231</v>
      </c>
      <c r="F217" s="82">
        <f ca="1">IF('Invoer gegevens (N)'!$C$17=E217,'Invoer gegevens (N)'!$C$10,IF(C217=1,H216,0))</f>
        <v>0</v>
      </c>
      <c r="G217" s="83">
        <f ca="1">IF(C217&gt;=1,F217*'Reeksen (N)'!C217,0)</f>
        <v>0</v>
      </c>
      <c r="H217" s="84">
        <f t="shared" ca="1" si="31"/>
        <v>0</v>
      </c>
      <c r="I217" s="85">
        <f ca="1">IF('Invoer gegevens (N)'!$C$17=E217,'Invoer gegevens (N)'!$C$11,IF(C217=1,L216,0))</f>
        <v>0</v>
      </c>
      <c r="J217" s="86">
        <f ca="1">IF(C217&lt;1,0,IF('Reeksen (N)'!AD217&lt;='Reeksen (N)'!AE217,I217*'Reeksen (N)'!C217,0))</f>
        <v>0</v>
      </c>
      <c r="K217" s="86">
        <f ca="1">IF(C217&lt;1,0,IF('Reeksen (N)'!AD217&gt;'Reeksen (N)'!AE217,I217*'Reeksen (N)'!C217,0))</f>
        <v>0</v>
      </c>
      <c r="L217" s="86">
        <f t="shared" ca="1" si="32"/>
        <v>0</v>
      </c>
      <c r="M217" s="85">
        <f ca="1">IF('Invoer gegevens (N)'!$C$17=E217,'Invoer gegevens (N)'!$C$10-'Invoer gegevens (N)'!$C$11,IF(C217=1,P216,0))</f>
        <v>0</v>
      </c>
      <c r="N217" s="86">
        <f ca="1">IF(C217&lt;1,0,IF('Reeksen (N)'!AD217&lt;='Reeksen (N)'!AE217,M217*'Reeksen (N)'!C217,0))</f>
        <v>0</v>
      </c>
      <c r="O217" s="86">
        <f ca="1">IF(C217&lt;1,0,IF('Reeksen (N)'!AD217&gt;'Reeksen (N)'!AE217,M217*'Reeksen (N)'!C217,0))</f>
        <v>0</v>
      </c>
      <c r="P217" s="86">
        <f t="shared" ca="1" si="33"/>
        <v>0</v>
      </c>
      <c r="Q217" s="82">
        <f ca="1">IF('Invoer gegevens (N)'!$C$17=E217,I217,IF(C217=0,0,R216))</f>
        <v>0</v>
      </c>
      <c r="R217" s="84">
        <f t="shared" ca="1" si="30"/>
        <v>0</v>
      </c>
      <c r="S217" s="84">
        <f ca="1">IF('Invoer gegevens (N)'!$C$17=E217,M217,IF(C217=0,0,T216))</f>
        <v>0</v>
      </c>
      <c r="T217" s="84">
        <f t="shared" ca="1" si="39"/>
        <v>0</v>
      </c>
      <c r="AI217" s="71">
        <f ca="1">IF(C217=1,((F217+H217)/2*'Reeksen (N)'!AI217*12)+(('Invoer gegevens (N)'!$C$10-(F217+H217)/2)*'Reeksen (N)'!AD217*12),0)</f>
        <v>0</v>
      </c>
      <c r="AJ217" s="71">
        <f ca="1">-AI217*'Invoer gegevens (N)'!$F$28</f>
        <v>0</v>
      </c>
      <c r="AK217" s="71">
        <f t="shared" ca="1" si="34"/>
        <v>0</v>
      </c>
      <c r="AL217" s="71">
        <f ca="1">IF(C217=1,(12*((F217+H217)/2)*'Reeksen (N)'!AL217)+(12*('Invoer gegevens (N)'!$C$10-(F217+H217)/2)*'Reeksen (N)'!AM217),0)</f>
        <v>0</v>
      </c>
      <c r="AM217" s="71">
        <f ca="1">-AL217*'Invoer gegevens (N)'!$F$31</f>
        <v>0</v>
      </c>
      <c r="AN217" s="71">
        <f t="shared" ca="1" si="35"/>
        <v>0</v>
      </c>
      <c r="AO217" s="71"/>
      <c r="AP217" s="71"/>
      <c r="AQ217" s="71">
        <f ca="1">-IF(C217=1,('Invoer gegevens (N)'!$C$10*'Invoer gegevens (N)'!$F$35)*'Reeksen (N)'!J217,0)*2</f>
        <v>0</v>
      </c>
      <c r="AR217" s="71">
        <f ca="1">-IF(C217=1,(G217*'Invoer gegevens (N)'!$F$36)*'Reeksen (N)'!J217,0)</f>
        <v>0</v>
      </c>
      <c r="AS217" s="71">
        <f ca="1">-IF(C217=1,'Invoer gegevens (N)'!$C$10*'Invoer gegevens (N)'!$F$37*'Reeksen (N)'!L217,0)</f>
        <v>0</v>
      </c>
      <c r="AT217" s="71">
        <f ca="1">-IF(C217=1,IF(E217='Invoer gegevens (N)'!$C$17,'Invoer gegevens (N)'!$C$11,Q217)*'Reeksen (N)'!S217*'Invoer gegevens (N)'!$C$18*'Reeksen (N)'!P217,0)</f>
        <v>0</v>
      </c>
      <c r="AU217" s="71">
        <f ca="1">-IF(C217=1,'Invoer gegevens (N)'!$C$10*'Invoer gegevens (N)'!$F$38*'Reeksen (N)'!H217,0)</f>
        <v>0</v>
      </c>
      <c r="AV217" s="71">
        <v>0</v>
      </c>
      <c r="AW217" s="71">
        <f t="shared" ca="1" si="36"/>
        <v>0</v>
      </c>
      <c r="AX217" s="71">
        <f ca="1">IF(E217&lt;'Invoer gegevens (N)'!$C$17+15,0,IF('RW - MW - DE - DE (N)'!E217&gt;'Invoer gegevens (N)'!$C$17+215,0,'RW - MW - DE - DE (N)'!AW217))</f>
        <v>0</v>
      </c>
      <c r="AY217" s="71">
        <f ca="1">AX217/(1+'Invoer gegevens (N)'!$F$13)^($AZ217-('Invoer gegevens (N)'!$C$17-'Invoer gegevens (N)'!$C$16))/(1+'Invoer gegevens (N)'!$C$39)^('Invoer gegevens (N)'!$C$17-'Invoer gegevens (N)'!$C$16)</f>
        <v>0</v>
      </c>
      <c r="AZ217" s="68">
        <f ca="1">IF(E217-'Invoer gegevens (N)'!$C$17-14.5&lt;0,0,E217-'Invoer gegevens (N)'!$C$17-14.5)</f>
        <v>197.5</v>
      </c>
      <c r="BC217" s="71"/>
    </row>
    <row r="218" spans="1:55" s="230" customFormat="1" x14ac:dyDescent="0.25">
      <c r="B218" s="70">
        <f t="shared" si="37"/>
        <v>214</v>
      </c>
      <c r="C218" s="67">
        <f ca="1">IF(E218-'Invoer gegevens (N)'!$C$17&lt;0,0,1)</f>
        <v>1</v>
      </c>
      <c r="D218" s="68">
        <f t="shared" si="38"/>
        <v>213.5</v>
      </c>
      <c r="E218" s="69">
        <f ca="1">IF('Invoer gegevens (N)'!$C$16="","",E217+1)</f>
        <v>2232</v>
      </c>
      <c r="F218" s="82">
        <f ca="1">IF('Invoer gegevens (N)'!$C$17=E218,'Invoer gegevens (N)'!$C$10,IF(C218=1,H217,0))</f>
        <v>0</v>
      </c>
      <c r="G218" s="83">
        <f ca="1">IF(C218&gt;=1,F218*'Reeksen (N)'!C218,0)</f>
        <v>0</v>
      </c>
      <c r="H218" s="84">
        <f t="shared" ca="1" si="31"/>
        <v>0</v>
      </c>
      <c r="I218" s="85">
        <f ca="1">IF('Invoer gegevens (N)'!$C$17=E218,'Invoer gegevens (N)'!$C$11,IF(C218=1,L217,0))</f>
        <v>0</v>
      </c>
      <c r="J218" s="86">
        <f ca="1">IF(C218&lt;1,0,IF('Reeksen (N)'!AD218&lt;='Reeksen (N)'!AE218,I218*'Reeksen (N)'!C218,0))</f>
        <v>0</v>
      </c>
      <c r="K218" s="86">
        <f ca="1">IF(C218&lt;1,0,IF('Reeksen (N)'!AD218&gt;'Reeksen (N)'!AE218,I218*'Reeksen (N)'!C218,0))</f>
        <v>0</v>
      </c>
      <c r="L218" s="86">
        <f t="shared" ca="1" si="32"/>
        <v>0</v>
      </c>
      <c r="M218" s="85">
        <f ca="1">IF('Invoer gegevens (N)'!$C$17=E218,'Invoer gegevens (N)'!$C$10-'Invoer gegevens (N)'!$C$11,IF(C218=1,P217,0))</f>
        <v>0</v>
      </c>
      <c r="N218" s="86">
        <f ca="1">IF(C218&lt;1,0,IF('Reeksen (N)'!AD218&lt;='Reeksen (N)'!AE218,M218*'Reeksen (N)'!C218,0))</f>
        <v>0</v>
      </c>
      <c r="O218" s="86">
        <f ca="1">IF(C218&lt;1,0,IF('Reeksen (N)'!AD218&gt;'Reeksen (N)'!AE218,M218*'Reeksen (N)'!C218,0))</f>
        <v>0</v>
      </c>
      <c r="P218" s="86">
        <f t="shared" ca="1" si="33"/>
        <v>0</v>
      </c>
      <c r="Q218" s="82">
        <f ca="1">IF('Invoer gegevens (N)'!$C$17=E218,I218,IF(C218=0,0,R217))</f>
        <v>0</v>
      </c>
      <c r="R218" s="84">
        <f t="shared" ca="1" si="30"/>
        <v>0</v>
      </c>
      <c r="S218" s="84">
        <f ca="1">IF('Invoer gegevens (N)'!$C$17=E218,M218,IF(C218=0,0,T217))</f>
        <v>0</v>
      </c>
      <c r="T218" s="84">
        <f t="shared" ca="1" si="39"/>
        <v>0</v>
      </c>
      <c r="AI218" s="71">
        <f ca="1">IF(C218=1,((F218+H218)/2*'Reeksen (N)'!AI218*12)+(('Invoer gegevens (N)'!$C$10-(F218+H218)/2)*'Reeksen (N)'!AD218*12),0)</f>
        <v>0</v>
      </c>
      <c r="AJ218" s="71">
        <f ca="1">-AI218*'Invoer gegevens (N)'!$F$28</f>
        <v>0</v>
      </c>
      <c r="AK218" s="71">
        <f t="shared" ca="1" si="34"/>
        <v>0</v>
      </c>
      <c r="AL218" s="71">
        <f ca="1">IF(C218=1,(12*((F218+H218)/2)*'Reeksen (N)'!AL218)+(12*('Invoer gegevens (N)'!$C$10-(F218+H218)/2)*'Reeksen (N)'!AM218),0)</f>
        <v>0</v>
      </c>
      <c r="AM218" s="71">
        <f ca="1">-AL218*'Invoer gegevens (N)'!$F$31</f>
        <v>0</v>
      </c>
      <c r="AN218" s="71">
        <f t="shared" ca="1" si="35"/>
        <v>0</v>
      </c>
      <c r="AO218" s="71"/>
      <c r="AP218" s="71"/>
      <c r="AQ218" s="71">
        <f ca="1">-IF(C218=1,('Invoer gegevens (N)'!$C$10*'Invoer gegevens (N)'!$F$35)*'Reeksen (N)'!J218,0)*2</f>
        <v>0</v>
      </c>
      <c r="AR218" s="71">
        <f ca="1">-IF(C218=1,(G218*'Invoer gegevens (N)'!$F$36)*'Reeksen (N)'!J218,0)</f>
        <v>0</v>
      </c>
      <c r="AS218" s="71">
        <f ca="1">-IF(C218=1,'Invoer gegevens (N)'!$C$10*'Invoer gegevens (N)'!$F$37*'Reeksen (N)'!L218,0)</f>
        <v>0</v>
      </c>
      <c r="AT218" s="71">
        <f ca="1">-IF(C218=1,IF(E218='Invoer gegevens (N)'!$C$17,'Invoer gegevens (N)'!$C$11,Q218)*'Reeksen (N)'!S218*'Invoer gegevens (N)'!$C$18*'Reeksen (N)'!P218,0)</f>
        <v>0</v>
      </c>
      <c r="AU218" s="71">
        <f ca="1">-IF(C218=1,'Invoer gegevens (N)'!$C$10*'Invoer gegevens (N)'!$F$38*'Reeksen (N)'!H218,0)</f>
        <v>0</v>
      </c>
      <c r="AV218" s="71">
        <v>0</v>
      </c>
      <c r="AW218" s="71">
        <f t="shared" ca="1" si="36"/>
        <v>0</v>
      </c>
      <c r="AX218" s="71">
        <f ca="1">IF(E218&lt;'Invoer gegevens (N)'!$C$17+15,0,IF('RW - MW - DE - DE (N)'!E218&gt;'Invoer gegevens (N)'!$C$17+215,0,'RW - MW - DE - DE (N)'!AW218))</f>
        <v>0</v>
      </c>
      <c r="AY218" s="71">
        <f ca="1">AX218/(1+'Invoer gegevens (N)'!$F$13)^($AZ218-('Invoer gegevens (N)'!$C$17-'Invoer gegevens (N)'!$C$16))/(1+'Invoer gegevens (N)'!$C$39)^('Invoer gegevens (N)'!$C$17-'Invoer gegevens (N)'!$C$16)</f>
        <v>0</v>
      </c>
      <c r="AZ218" s="68">
        <f ca="1">IF(E218-'Invoer gegevens (N)'!$C$17-14.5&lt;0,0,E218-'Invoer gegevens (N)'!$C$17-14.5)</f>
        <v>198.5</v>
      </c>
      <c r="BC218" s="71"/>
    </row>
    <row r="219" spans="1:55" s="230" customFormat="1" x14ac:dyDescent="0.25">
      <c r="B219" s="70">
        <f t="shared" si="37"/>
        <v>215</v>
      </c>
      <c r="C219" s="67">
        <f ca="1">IF(E219-'Invoer gegevens (N)'!$C$17&lt;0,0,1)</f>
        <v>1</v>
      </c>
      <c r="D219" s="68">
        <f t="shared" si="38"/>
        <v>214.5</v>
      </c>
      <c r="E219" s="69">
        <f ca="1">IF('Invoer gegevens (N)'!$C$16="","",E218+1)</f>
        <v>2233</v>
      </c>
      <c r="F219" s="82">
        <f ca="1">IF('Invoer gegevens (N)'!$C$17=E219,'Invoer gegevens (N)'!$C$10,IF(C219=1,H218,0))</f>
        <v>0</v>
      </c>
      <c r="G219" s="83">
        <f ca="1">IF(C219&gt;=1,F219*'Reeksen (N)'!C219,0)</f>
        <v>0</v>
      </c>
      <c r="H219" s="84">
        <f t="shared" ca="1" si="31"/>
        <v>0</v>
      </c>
      <c r="I219" s="85">
        <f ca="1">IF('Invoer gegevens (N)'!$C$17=E219,'Invoer gegevens (N)'!$C$11,IF(C219=1,L218,0))</f>
        <v>0</v>
      </c>
      <c r="J219" s="86">
        <f ca="1">IF(C219&lt;1,0,IF('Reeksen (N)'!AD219&lt;='Reeksen (N)'!AE219,I219*'Reeksen (N)'!C219,0))</f>
        <v>0</v>
      </c>
      <c r="K219" s="86">
        <f ca="1">IF(C219&lt;1,0,IF('Reeksen (N)'!AD219&gt;'Reeksen (N)'!AE219,I219*'Reeksen (N)'!C219,0))</f>
        <v>0</v>
      </c>
      <c r="L219" s="86">
        <f t="shared" ca="1" si="32"/>
        <v>0</v>
      </c>
      <c r="M219" s="85">
        <f ca="1">IF('Invoer gegevens (N)'!$C$17=E219,'Invoer gegevens (N)'!$C$10-'Invoer gegevens (N)'!$C$11,IF(C219=1,P218,0))</f>
        <v>0</v>
      </c>
      <c r="N219" s="86">
        <f ca="1">IF(C219&lt;1,0,IF('Reeksen (N)'!AD219&lt;='Reeksen (N)'!AE219,M219*'Reeksen (N)'!C219,0))</f>
        <v>0</v>
      </c>
      <c r="O219" s="86">
        <f ca="1">IF(C219&lt;1,0,IF('Reeksen (N)'!AD219&gt;'Reeksen (N)'!AE219,M219*'Reeksen (N)'!C219,0))</f>
        <v>0</v>
      </c>
      <c r="P219" s="86">
        <f t="shared" ca="1" si="33"/>
        <v>0</v>
      </c>
      <c r="Q219" s="82">
        <f ca="1">IF('Invoer gegevens (N)'!$C$17=E219,I219,IF(C219=0,0,R218))</f>
        <v>0</v>
      </c>
      <c r="R219" s="84">
        <f t="shared" ca="1" si="30"/>
        <v>0</v>
      </c>
      <c r="S219" s="84">
        <f ca="1">IF('Invoer gegevens (N)'!$C$17=E219,M219,IF(C219=0,0,T218))</f>
        <v>0</v>
      </c>
      <c r="T219" s="84">
        <f t="shared" ca="1" si="39"/>
        <v>0</v>
      </c>
      <c r="AI219" s="71">
        <f ca="1">IF(C219=1,((F219+H219)/2*'Reeksen (N)'!AI219*12)+(('Invoer gegevens (N)'!$C$10-(F219+H219)/2)*'Reeksen (N)'!AD219*12),0)</f>
        <v>0</v>
      </c>
      <c r="AJ219" s="71">
        <f ca="1">-AI219*'Invoer gegevens (N)'!$F$28</f>
        <v>0</v>
      </c>
      <c r="AK219" s="71">
        <f t="shared" ca="1" si="34"/>
        <v>0</v>
      </c>
      <c r="AL219" s="71">
        <f ca="1">IF(C219=1,(12*((F219+H219)/2)*'Reeksen (N)'!AL219)+(12*('Invoer gegevens (N)'!$C$10-(F219+H219)/2)*'Reeksen (N)'!AM219),0)</f>
        <v>0</v>
      </c>
      <c r="AM219" s="71">
        <f ca="1">-AL219*'Invoer gegevens (N)'!$F$31</f>
        <v>0</v>
      </c>
      <c r="AN219" s="71">
        <f t="shared" ca="1" si="35"/>
        <v>0</v>
      </c>
      <c r="AO219" s="71"/>
      <c r="AP219" s="71"/>
      <c r="AQ219" s="71">
        <f ca="1">-IF(C219=1,('Invoer gegevens (N)'!$C$10*'Invoer gegevens (N)'!$F$35)*'Reeksen (N)'!J219,0)*2</f>
        <v>0</v>
      </c>
      <c r="AR219" s="71">
        <f ca="1">-IF(C219=1,(G219*'Invoer gegevens (N)'!$F$36)*'Reeksen (N)'!J219,0)</f>
        <v>0</v>
      </c>
      <c r="AS219" s="71">
        <f ca="1">-IF(C219=1,'Invoer gegevens (N)'!$C$10*'Invoer gegevens (N)'!$F$37*'Reeksen (N)'!L219,0)</f>
        <v>0</v>
      </c>
      <c r="AT219" s="71">
        <f ca="1">-IF(C219=1,IF(E219='Invoer gegevens (N)'!$C$17,'Invoer gegevens (N)'!$C$11,Q219)*'Reeksen (N)'!S219*'Invoer gegevens (N)'!$C$18*'Reeksen (N)'!P219,0)</f>
        <v>0</v>
      </c>
      <c r="AU219" s="71">
        <f ca="1">-IF(C219=1,'Invoer gegevens (N)'!$C$10*'Invoer gegevens (N)'!$F$38*'Reeksen (N)'!H219,0)</f>
        <v>0</v>
      </c>
      <c r="AV219" s="71">
        <v>0</v>
      </c>
      <c r="AW219" s="71">
        <f t="shared" ca="1" si="36"/>
        <v>0</v>
      </c>
      <c r="AX219" s="71">
        <f ca="1">IF(E219&lt;'Invoer gegevens (N)'!$C$17+15,0,IF('RW - MW - DE - DE (N)'!E219&gt;'Invoer gegevens (N)'!$C$17+215,0,'RW - MW - DE - DE (N)'!AW219))</f>
        <v>0</v>
      </c>
      <c r="AY219" s="71">
        <f ca="1">AX219/(1+'Invoer gegevens (N)'!$F$13)^($AZ219-('Invoer gegevens (N)'!$C$17-'Invoer gegevens (N)'!$C$16))/(1+'Invoer gegevens (N)'!$C$39)^('Invoer gegevens (N)'!$C$17-'Invoer gegevens (N)'!$C$16)</f>
        <v>0</v>
      </c>
      <c r="AZ219" s="68">
        <f ca="1">IF(E219-'Invoer gegevens (N)'!$C$17-14.5&lt;0,0,E219-'Invoer gegevens (N)'!$C$17-14.5)</f>
        <v>199.5</v>
      </c>
      <c r="BC219" s="71"/>
    </row>
    <row r="220" spans="1:55" s="230" customFormat="1" x14ac:dyDescent="0.25">
      <c r="A220" s="102"/>
      <c r="B220" s="70">
        <f t="shared" si="37"/>
        <v>216</v>
      </c>
      <c r="C220" s="67">
        <f ca="1">IF(E220-'Invoer gegevens (N)'!$C$17&lt;0,0,1)</f>
        <v>1</v>
      </c>
      <c r="D220" s="68">
        <f t="shared" si="38"/>
        <v>215.5</v>
      </c>
      <c r="E220" s="69">
        <f ca="1">IF('Invoer gegevens (N)'!$C$16="","",E219+1)</f>
        <v>2234</v>
      </c>
      <c r="F220" s="82">
        <f ca="1">IF('Invoer gegevens (N)'!$C$17=E220,'Invoer gegevens (N)'!$C$10,IF(C220=1,H219,0))</f>
        <v>0</v>
      </c>
      <c r="G220" s="83">
        <f ca="1">IF(C220&gt;=1,F220*'Reeksen (N)'!C220,0)</f>
        <v>0</v>
      </c>
      <c r="H220" s="84">
        <f t="shared" ca="1" si="31"/>
        <v>0</v>
      </c>
      <c r="I220" s="85">
        <f ca="1">IF('Invoer gegevens (N)'!$C$17=E220,'Invoer gegevens (N)'!$C$11,IF(C220=1,L219,0))</f>
        <v>0</v>
      </c>
      <c r="J220" s="86">
        <f ca="1">IF(C220&lt;1,0,IF('Reeksen (N)'!AD220&lt;='Reeksen (N)'!AE220,I220*'Reeksen (N)'!C220,0))</f>
        <v>0</v>
      </c>
      <c r="K220" s="86">
        <f ca="1">IF(C220&lt;1,0,IF('Reeksen (N)'!AD220&gt;'Reeksen (N)'!AE220,I220*'Reeksen (N)'!C220,0))</f>
        <v>0</v>
      </c>
      <c r="L220" s="86">
        <f t="shared" ca="1" si="32"/>
        <v>0</v>
      </c>
      <c r="M220" s="85">
        <f ca="1">IF('Invoer gegevens (N)'!$C$17=E220,'Invoer gegevens (N)'!$C$10-'Invoer gegevens (N)'!$C$11,IF(C220=1,P219,0))</f>
        <v>0</v>
      </c>
      <c r="N220" s="86">
        <f ca="1">IF(C220&lt;1,0,IF('Reeksen (N)'!AD220&lt;='Reeksen (N)'!AE220,M220*'Reeksen (N)'!C220,0))</f>
        <v>0</v>
      </c>
      <c r="O220" s="86">
        <f ca="1">IF(C220&lt;1,0,IF('Reeksen (N)'!AD220&gt;'Reeksen (N)'!AE220,M220*'Reeksen (N)'!C220,0))</f>
        <v>0</v>
      </c>
      <c r="P220" s="86">
        <f t="shared" ca="1" si="33"/>
        <v>0</v>
      </c>
      <c r="Q220" s="82">
        <f ca="1">IF('Invoer gegevens (N)'!$C$17=E220,I220,IF(C220=0,0,R219))</f>
        <v>0</v>
      </c>
      <c r="R220" s="84">
        <f t="shared" ca="1" si="30"/>
        <v>0</v>
      </c>
      <c r="S220" s="84">
        <f ca="1">IF('Invoer gegevens (N)'!$C$17=E220,M220,IF(C220=0,0,T219))</f>
        <v>0</v>
      </c>
      <c r="T220" s="84">
        <f t="shared" ca="1" si="39"/>
        <v>0</v>
      </c>
      <c r="AI220" s="71">
        <f ca="1">IF(C220=1,((F220+H220)/2*'Reeksen (N)'!AI220*12)+(('Invoer gegevens (N)'!$C$10-(F220+H220)/2)*'Reeksen (N)'!AD220*12),0)</f>
        <v>0</v>
      </c>
      <c r="AJ220" s="71">
        <f ca="1">-AI220*'Invoer gegevens (N)'!$F$28</f>
        <v>0</v>
      </c>
      <c r="AK220" s="71">
        <f t="shared" ca="1" si="34"/>
        <v>0</v>
      </c>
      <c r="AL220" s="71">
        <f ca="1">IF(C220=1,(12*((F220+H220)/2)*'Reeksen (N)'!AL220)+(12*('Invoer gegevens (N)'!$C$10-(F220+H220)/2)*'Reeksen (N)'!AM220),0)</f>
        <v>0</v>
      </c>
      <c r="AM220" s="71">
        <f ca="1">-AL220*'Invoer gegevens (N)'!$F$31</f>
        <v>0</v>
      </c>
      <c r="AN220" s="71">
        <f t="shared" ca="1" si="35"/>
        <v>0</v>
      </c>
      <c r="AO220" s="71"/>
      <c r="AP220" s="71"/>
      <c r="AQ220" s="71">
        <f ca="1">-IF(C220=1,('Invoer gegevens (N)'!$C$10*'Invoer gegevens (N)'!$F$35)*'Reeksen (N)'!J220,0)*2</f>
        <v>0</v>
      </c>
      <c r="AR220" s="71">
        <f ca="1">-IF(C220=1,(G220*'Invoer gegevens (N)'!$F$36)*'Reeksen (N)'!J220,0)</f>
        <v>0</v>
      </c>
      <c r="AS220" s="71">
        <f ca="1">-IF(C220=1,'Invoer gegevens (N)'!$C$10*'Invoer gegevens (N)'!$F$37*'Reeksen (N)'!L220,0)</f>
        <v>0</v>
      </c>
      <c r="AT220" s="71">
        <f ca="1">-IF(C220=1,IF(E220='Invoer gegevens (N)'!$C$17,'Invoer gegevens (N)'!$C$11,Q220)*'Reeksen (N)'!S220*'Invoer gegevens (N)'!$C$18*'Reeksen (N)'!P220,0)</f>
        <v>0</v>
      </c>
      <c r="AU220" s="71">
        <f ca="1">-IF(C220=1,'Invoer gegevens (N)'!$C$10*'Invoer gegevens (N)'!$F$38*'Reeksen (N)'!H220,0)</f>
        <v>0</v>
      </c>
      <c r="AV220" s="71">
        <v>0</v>
      </c>
      <c r="AW220" s="71">
        <f t="shared" ca="1" si="36"/>
        <v>0</v>
      </c>
      <c r="AX220" s="71">
        <f ca="1">IF(E220&lt;'Invoer gegevens (N)'!$C$17+15,0,IF('RW - MW - DE - DE (N)'!E220&gt;'Invoer gegevens (N)'!$C$17+215,0,'RW - MW - DE - DE (N)'!AW220))</f>
        <v>0</v>
      </c>
      <c r="AY220" s="71">
        <f ca="1">AX220/(1+'Invoer gegevens (N)'!$F$13)^($AZ220-('Invoer gegevens (N)'!$C$17-'Invoer gegevens (N)'!$C$16))/(1+'Invoer gegevens (N)'!$C$39)^('Invoer gegevens (N)'!$C$17-'Invoer gegevens (N)'!$C$16)</f>
        <v>0</v>
      </c>
      <c r="AZ220" s="68">
        <f ca="1">IF(E220-'Invoer gegevens (N)'!$C$17-14.5&lt;0,0,E220-'Invoer gegevens (N)'!$C$17-14.5)</f>
        <v>200.5</v>
      </c>
      <c r="BC220" s="71"/>
    </row>
    <row r="221" spans="1:55" s="230" customFormat="1" x14ac:dyDescent="0.25">
      <c r="A221" s="102"/>
      <c r="B221" s="70">
        <f t="shared" si="37"/>
        <v>217</v>
      </c>
      <c r="C221" s="67">
        <f ca="1">IF(E221-'Invoer gegevens (N)'!$C$17&lt;0,0,1)</f>
        <v>1</v>
      </c>
      <c r="D221" s="68">
        <f t="shared" si="38"/>
        <v>216.5</v>
      </c>
      <c r="E221" s="69">
        <f ca="1">IF('Invoer gegevens (N)'!$C$16="","",E220+1)</f>
        <v>2235</v>
      </c>
      <c r="F221" s="82">
        <f ca="1">IF('Invoer gegevens (N)'!$C$17=E221,'Invoer gegevens (N)'!$C$10,IF(C221=1,H220,0))</f>
        <v>0</v>
      </c>
      <c r="G221" s="83">
        <f ca="1">IF(C221&gt;=1,F221*'Reeksen (N)'!C221,0)</f>
        <v>0</v>
      </c>
      <c r="H221" s="84">
        <f t="shared" ca="1" si="31"/>
        <v>0</v>
      </c>
      <c r="I221" s="85">
        <f ca="1">IF('Invoer gegevens (N)'!$C$17=E221,'Invoer gegevens (N)'!$C$11,IF(C221=1,L220,0))</f>
        <v>0</v>
      </c>
      <c r="J221" s="86">
        <f ca="1">IF(C221&lt;1,0,IF('Reeksen (N)'!AD221&lt;='Reeksen (N)'!AE221,I221*'Reeksen (N)'!C221,0))</f>
        <v>0</v>
      </c>
      <c r="K221" s="86">
        <f ca="1">IF(C221&lt;1,0,IF('Reeksen (N)'!AD221&gt;'Reeksen (N)'!AE221,I221*'Reeksen (N)'!C221,0))</f>
        <v>0</v>
      </c>
      <c r="L221" s="86">
        <f t="shared" ca="1" si="32"/>
        <v>0</v>
      </c>
      <c r="M221" s="85">
        <f ca="1">IF('Invoer gegevens (N)'!$C$17=E221,'Invoer gegevens (N)'!$C$10-'Invoer gegevens (N)'!$C$11,IF(C221=1,P220,0))</f>
        <v>0</v>
      </c>
      <c r="N221" s="86">
        <f ca="1">IF(C221&lt;1,0,IF('Reeksen (N)'!AD221&lt;='Reeksen (N)'!AE221,M221*'Reeksen (N)'!C221,0))</f>
        <v>0</v>
      </c>
      <c r="O221" s="86">
        <f ca="1">IF(C221&lt;1,0,IF('Reeksen (N)'!AD221&gt;'Reeksen (N)'!AE221,M221*'Reeksen (N)'!C221,0))</f>
        <v>0</v>
      </c>
      <c r="P221" s="86">
        <f t="shared" ca="1" si="33"/>
        <v>0</v>
      </c>
      <c r="Q221" s="82">
        <f ca="1">IF('Invoer gegevens (N)'!$C$17=E221,I221,IF(C221=0,0,R220))</f>
        <v>0</v>
      </c>
      <c r="R221" s="84">
        <f t="shared" ca="1" si="30"/>
        <v>0</v>
      </c>
      <c r="S221" s="84">
        <f ca="1">IF('Invoer gegevens (N)'!$C$17=E221,M221,IF(C221=0,0,T220))</f>
        <v>0</v>
      </c>
      <c r="T221" s="84">
        <f t="shared" ca="1" si="39"/>
        <v>0</v>
      </c>
      <c r="AI221" s="71">
        <f ca="1">IF(C221=1,((F221+H221)/2*'Reeksen (N)'!AI221*12)+(('Invoer gegevens (N)'!$C$10-(F221+H221)/2)*'Reeksen (N)'!AD221*12),0)</f>
        <v>0</v>
      </c>
      <c r="AJ221" s="71">
        <f ca="1">-AI221*'Invoer gegevens (N)'!$F$28</f>
        <v>0</v>
      </c>
      <c r="AK221" s="71">
        <f t="shared" ca="1" si="34"/>
        <v>0</v>
      </c>
      <c r="AL221" s="71">
        <f ca="1">IF(C221=1,(12*((F221+H221)/2)*'Reeksen (N)'!AL221)+(12*('Invoer gegevens (N)'!$C$10-(F221+H221)/2)*'Reeksen (N)'!AM221),0)</f>
        <v>0</v>
      </c>
      <c r="AM221" s="71">
        <f ca="1">-AL221*'Invoer gegevens (N)'!$F$31</f>
        <v>0</v>
      </c>
      <c r="AN221" s="71">
        <f t="shared" ca="1" si="35"/>
        <v>0</v>
      </c>
      <c r="AO221" s="71"/>
      <c r="AP221" s="71"/>
      <c r="AQ221" s="71">
        <f ca="1">-IF(C221=1,('Invoer gegevens (N)'!$C$10*'Invoer gegevens (N)'!$F$35)*'Reeksen (N)'!J221,0)*2</f>
        <v>0</v>
      </c>
      <c r="AR221" s="71">
        <f ca="1">-IF(C221=1,(G221*'Invoer gegevens (N)'!$F$36)*'Reeksen (N)'!J221,0)</f>
        <v>0</v>
      </c>
      <c r="AS221" s="71">
        <f ca="1">-IF(C221=1,'Invoer gegevens (N)'!$C$10*'Invoer gegevens (N)'!$F$37*'Reeksen (N)'!L221,0)</f>
        <v>0</v>
      </c>
      <c r="AT221" s="71">
        <f ca="1">-IF(C221=1,IF(E221='Invoer gegevens (N)'!$C$17,'Invoer gegevens (N)'!$C$11,Q221)*'Reeksen (N)'!S221*'Invoer gegevens (N)'!$C$18*'Reeksen (N)'!P221,0)</f>
        <v>0</v>
      </c>
      <c r="AU221" s="71">
        <f ca="1">-IF(C221=1,'Invoer gegevens (N)'!$C$10*'Invoer gegevens (N)'!$F$38*'Reeksen (N)'!H221,0)</f>
        <v>0</v>
      </c>
      <c r="AV221" s="71">
        <v>0</v>
      </c>
      <c r="AW221" s="71">
        <f t="shared" ca="1" si="36"/>
        <v>0</v>
      </c>
      <c r="AX221" s="71">
        <f ca="1">IF(E221&lt;'Invoer gegevens (N)'!$C$17+15,0,IF('RW - MW - DE - DE (N)'!E221&gt;'Invoer gegevens (N)'!$C$17+215,0,'RW - MW - DE - DE (N)'!AW221))</f>
        <v>0</v>
      </c>
      <c r="AY221" s="71">
        <f ca="1">AX221/(1+'Invoer gegevens (N)'!$F$13)^($AZ221-('Invoer gegevens (N)'!$C$17-'Invoer gegevens (N)'!$C$16))/(1+'Invoer gegevens (N)'!$C$39)^('Invoer gegevens (N)'!$C$17-'Invoer gegevens (N)'!$C$16)</f>
        <v>0</v>
      </c>
      <c r="AZ221" s="68">
        <f ca="1">IF(E221-'Invoer gegevens (N)'!$C$17-14.5&lt;0,0,E221-'Invoer gegevens (N)'!$C$17-14.5)</f>
        <v>201.5</v>
      </c>
      <c r="BC221" s="71"/>
    </row>
    <row r="222" spans="1:55" s="230" customFormat="1" x14ac:dyDescent="0.25">
      <c r="A222" s="102"/>
      <c r="B222" s="70">
        <f t="shared" si="37"/>
        <v>218</v>
      </c>
      <c r="C222" s="67">
        <f ca="1">IF(E222-'Invoer gegevens (N)'!$C$17&lt;0,0,1)</f>
        <v>1</v>
      </c>
      <c r="D222" s="68">
        <f t="shared" si="38"/>
        <v>217.5</v>
      </c>
      <c r="E222" s="69">
        <f ca="1">IF('Invoer gegevens (N)'!$C$16="","",E221+1)</f>
        <v>2236</v>
      </c>
      <c r="F222" s="82">
        <f ca="1">IF('Invoer gegevens (N)'!$C$17=E222,'Invoer gegevens (N)'!$C$10,IF(C222=1,H221,0))</f>
        <v>0</v>
      </c>
      <c r="G222" s="83">
        <f ca="1">IF(C222&gt;=1,F222*'Reeksen (N)'!C222,0)</f>
        <v>0</v>
      </c>
      <c r="H222" s="84">
        <f t="shared" ca="1" si="31"/>
        <v>0</v>
      </c>
      <c r="I222" s="85">
        <f ca="1">IF('Invoer gegevens (N)'!$C$17=E222,'Invoer gegevens (N)'!$C$11,IF(C222=1,L221,0))</f>
        <v>0</v>
      </c>
      <c r="J222" s="86">
        <f ca="1">IF(C222&lt;1,0,IF('Reeksen (N)'!AD222&lt;='Reeksen (N)'!AE222,I222*'Reeksen (N)'!C222,0))</f>
        <v>0</v>
      </c>
      <c r="K222" s="86">
        <f ca="1">IF(C222&lt;1,0,IF('Reeksen (N)'!AD222&gt;'Reeksen (N)'!AE222,I222*'Reeksen (N)'!C222,0))</f>
        <v>0</v>
      </c>
      <c r="L222" s="86">
        <f t="shared" ca="1" si="32"/>
        <v>0</v>
      </c>
      <c r="M222" s="85">
        <f ca="1">IF('Invoer gegevens (N)'!$C$17=E222,'Invoer gegevens (N)'!$C$10-'Invoer gegevens (N)'!$C$11,IF(C222=1,P221,0))</f>
        <v>0</v>
      </c>
      <c r="N222" s="86">
        <f ca="1">IF(C222&lt;1,0,IF('Reeksen (N)'!AD222&lt;='Reeksen (N)'!AE222,M222*'Reeksen (N)'!C222,0))</f>
        <v>0</v>
      </c>
      <c r="O222" s="86">
        <f ca="1">IF(C222&lt;1,0,IF('Reeksen (N)'!AD222&gt;'Reeksen (N)'!AE222,M222*'Reeksen (N)'!C222,0))</f>
        <v>0</v>
      </c>
      <c r="P222" s="86">
        <f t="shared" ca="1" si="33"/>
        <v>0</v>
      </c>
      <c r="Q222" s="82">
        <f ca="1">IF('Invoer gegevens (N)'!$C$17=E222,I222,IF(C222=0,0,R221))</f>
        <v>0</v>
      </c>
      <c r="R222" s="84">
        <f t="shared" ca="1" si="30"/>
        <v>0</v>
      </c>
      <c r="S222" s="84">
        <f ca="1">IF('Invoer gegevens (N)'!$C$17=E222,M222,IF(C222=0,0,T221))</f>
        <v>0</v>
      </c>
      <c r="T222" s="84">
        <f t="shared" ca="1" si="39"/>
        <v>0</v>
      </c>
      <c r="AI222" s="71">
        <f ca="1">IF(C222=1,((F222+H222)/2*'Reeksen (N)'!AI222*12)+(('Invoer gegevens (N)'!$C$10-(F222+H222)/2)*'Reeksen (N)'!AD222*12),0)</f>
        <v>0</v>
      </c>
      <c r="AJ222" s="71">
        <f ca="1">-AI222*'Invoer gegevens (N)'!$F$28</f>
        <v>0</v>
      </c>
      <c r="AK222" s="71">
        <f t="shared" ca="1" si="34"/>
        <v>0</v>
      </c>
      <c r="AL222" s="71">
        <f ca="1">IF(C222=1,(12*((F222+H222)/2)*'Reeksen (N)'!AL222)+(12*('Invoer gegevens (N)'!$C$10-(F222+H222)/2)*'Reeksen (N)'!AM222),0)</f>
        <v>0</v>
      </c>
      <c r="AM222" s="71">
        <f ca="1">-AL222*'Invoer gegevens (N)'!$F$31</f>
        <v>0</v>
      </c>
      <c r="AN222" s="71">
        <f t="shared" ca="1" si="35"/>
        <v>0</v>
      </c>
      <c r="AO222" s="71"/>
      <c r="AP222" s="71"/>
      <c r="AQ222" s="71">
        <f ca="1">-IF(C222=1,('Invoer gegevens (N)'!$C$10*'Invoer gegevens (N)'!$F$35)*'Reeksen (N)'!J222,0)*2</f>
        <v>0</v>
      </c>
      <c r="AR222" s="71">
        <f ca="1">-IF(C222=1,(G222*'Invoer gegevens (N)'!$F$36)*'Reeksen (N)'!J222,0)</f>
        <v>0</v>
      </c>
      <c r="AS222" s="71">
        <f ca="1">-IF(C222=1,'Invoer gegevens (N)'!$C$10*'Invoer gegevens (N)'!$F$37*'Reeksen (N)'!L222,0)</f>
        <v>0</v>
      </c>
      <c r="AT222" s="71">
        <f ca="1">-IF(C222=1,IF(E222='Invoer gegevens (N)'!$C$17,'Invoer gegevens (N)'!$C$11,Q222)*'Reeksen (N)'!S222*'Invoer gegevens (N)'!$C$18*'Reeksen (N)'!P222,0)</f>
        <v>0</v>
      </c>
      <c r="AU222" s="71">
        <f ca="1">-IF(C222=1,'Invoer gegevens (N)'!$C$10*'Invoer gegevens (N)'!$F$38*'Reeksen (N)'!H222,0)</f>
        <v>0</v>
      </c>
      <c r="AV222" s="71">
        <v>0</v>
      </c>
      <c r="AW222" s="71">
        <f t="shared" ca="1" si="36"/>
        <v>0</v>
      </c>
      <c r="AX222" s="71">
        <f ca="1">IF(E222&lt;'Invoer gegevens (N)'!$C$17+15,0,IF('RW - MW - DE - DE (N)'!E222&gt;'Invoer gegevens (N)'!$C$17+215,0,'RW - MW - DE - DE (N)'!AW222))</f>
        <v>0</v>
      </c>
      <c r="AY222" s="71">
        <f ca="1">AX222/(1+'Invoer gegevens (N)'!$F$13)^($AZ222-('Invoer gegevens (N)'!$C$17-'Invoer gegevens (N)'!$C$16))/(1+'Invoer gegevens (N)'!$C$39)^('Invoer gegevens (N)'!$C$17-'Invoer gegevens (N)'!$C$16)</f>
        <v>0</v>
      </c>
      <c r="AZ222" s="68">
        <f ca="1">IF(E222-'Invoer gegevens (N)'!$C$17-14.5&lt;0,0,E222-'Invoer gegevens (N)'!$C$17-14.5)</f>
        <v>202.5</v>
      </c>
      <c r="BC222" s="71"/>
    </row>
    <row r="223" spans="1:55" s="230" customFormat="1" x14ac:dyDescent="0.25">
      <c r="A223" s="102"/>
      <c r="B223" s="70">
        <f t="shared" si="37"/>
        <v>219</v>
      </c>
      <c r="C223" s="67">
        <f ca="1">IF(E223-'Invoer gegevens (N)'!$C$17&lt;0,0,1)</f>
        <v>1</v>
      </c>
      <c r="D223" s="68">
        <f t="shared" si="38"/>
        <v>218.5</v>
      </c>
      <c r="E223" s="69">
        <f ca="1">IF('Invoer gegevens (N)'!$C$16="","",E222+1)</f>
        <v>2237</v>
      </c>
      <c r="F223" s="82">
        <f ca="1">IF('Invoer gegevens (N)'!$C$17=E223,'Invoer gegevens (N)'!$C$10,IF(C223=1,H222,0))</f>
        <v>0</v>
      </c>
      <c r="G223" s="83">
        <f ca="1">IF(C223&gt;=1,F223*'Reeksen (N)'!C223,0)</f>
        <v>0</v>
      </c>
      <c r="H223" s="84">
        <f t="shared" ca="1" si="31"/>
        <v>0</v>
      </c>
      <c r="I223" s="85">
        <f ca="1">IF('Invoer gegevens (N)'!$C$17=E223,'Invoer gegevens (N)'!$C$11,IF(C223=1,L222,0))</f>
        <v>0</v>
      </c>
      <c r="J223" s="86">
        <f ca="1">IF(C223&lt;1,0,IF('Reeksen (N)'!AD223&lt;='Reeksen (N)'!AE223,I223*'Reeksen (N)'!C223,0))</f>
        <v>0</v>
      </c>
      <c r="K223" s="86">
        <f ca="1">IF(C223&lt;1,0,IF('Reeksen (N)'!AD223&gt;'Reeksen (N)'!AE223,I223*'Reeksen (N)'!C223,0))</f>
        <v>0</v>
      </c>
      <c r="L223" s="86">
        <f t="shared" ca="1" si="32"/>
        <v>0</v>
      </c>
      <c r="M223" s="85">
        <f ca="1">IF('Invoer gegevens (N)'!$C$17=E223,'Invoer gegevens (N)'!$C$10-'Invoer gegevens (N)'!$C$11,IF(C223=1,P222,0))</f>
        <v>0</v>
      </c>
      <c r="N223" s="86">
        <f ca="1">IF(C223&lt;1,0,IF('Reeksen (N)'!AD223&lt;='Reeksen (N)'!AE223,M223*'Reeksen (N)'!C223,0))</f>
        <v>0</v>
      </c>
      <c r="O223" s="86">
        <f ca="1">IF(C223&lt;1,0,IF('Reeksen (N)'!AD223&gt;'Reeksen (N)'!AE223,M223*'Reeksen (N)'!C223,0))</f>
        <v>0</v>
      </c>
      <c r="P223" s="86">
        <f t="shared" ca="1" si="33"/>
        <v>0</v>
      </c>
      <c r="Q223" s="82">
        <f ca="1">IF('Invoer gegevens (N)'!$C$17=E223,I223,IF(C223=0,0,R222))</f>
        <v>0</v>
      </c>
      <c r="R223" s="84">
        <f t="shared" ca="1" si="30"/>
        <v>0</v>
      </c>
      <c r="S223" s="84">
        <f ca="1">IF('Invoer gegevens (N)'!$C$17=E223,M223,IF(C223=0,0,T222))</f>
        <v>0</v>
      </c>
      <c r="T223" s="84">
        <f t="shared" ca="1" si="39"/>
        <v>0</v>
      </c>
      <c r="AI223" s="71">
        <f ca="1">IF(C223=1,((F223+H223)/2*'Reeksen (N)'!AI223*12)+(('Invoer gegevens (N)'!$C$10-(F223+H223)/2)*'Reeksen (N)'!AD223*12),0)</f>
        <v>0</v>
      </c>
      <c r="AJ223" s="71">
        <f ca="1">-AI223*'Invoer gegevens (N)'!$F$28</f>
        <v>0</v>
      </c>
      <c r="AK223" s="71">
        <f t="shared" ca="1" si="34"/>
        <v>0</v>
      </c>
      <c r="AL223" s="71">
        <f ca="1">IF(C223=1,(12*((F223+H223)/2)*'Reeksen (N)'!AL223)+(12*('Invoer gegevens (N)'!$C$10-(F223+H223)/2)*'Reeksen (N)'!AM223),0)</f>
        <v>0</v>
      </c>
      <c r="AM223" s="71">
        <f ca="1">-AL223*'Invoer gegevens (N)'!$F$31</f>
        <v>0</v>
      </c>
      <c r="AN223" s="71">
        <f t="shared" ca="1" si="35"/>
        <v>0</v>
      </c>
      <c r="AO223" s="71"/>
      <c r="AP223" s="71"/>
      <c r="AQ223" s="71">
        <f ca="1">-IF(C223=1,('Invoer gegevens (N)'!$C$10*'Invoer gegevens (N)'!$F$35)*'Reeksen (N)'!J223,0)*2</f>
        <v>0</v>
      </c>
      <c r="AR223" s="71">
        <f ca="1">-IF(C223=1,(G223*'Invoer gegevens (N)'!$F$36)*'Reeksen (N)'!J223,0)</f>
        <v>0</v>
      </c>
      <c r="AS223" s="71">
        <f ca="1">-IF(C223=1,'Invoer gegevens (N)'!$C$10*'Invoer gegevens (N)'!$F$37*'Reeksen (N)'!L223,0)</f>
        <v>0</v>
      </c>
      <c r="AT223" s="71">
        <f ca="1">-IF(C223=1,IF(E223='Invoer gegevens (N)'!$C$17,'Invoer gegevens (N)'!$C$11,Q223)*'Reeksen (N)'!S223*'Invoer gegevens (N)'!$C$18*'Reeksen (N)'!P223,0)</f>
        <v>0</v>
      </c>
      <c r="AU223" s="71">
        <f ca="1">-IF(C223=1,'Invoer gegevens (N)'!$C$10*'Invoer gegevens (N)'!$F$38*'Reeksen (N)'!H223,0)</f>
        <v>0</v>
      </c>
      <c r="AV223" s="71">
        <v>0</v>
      </c>
      <c r="AW223" s="71">
        <f t="shared" ca="1" si="36"/>
        <v>0</v>
      </c>
      <c r="AX223" s="71">
        <f ca="1">IF(E223&lt;'Invoer gegevens (N)'!$C$17+15,0,IF('RW - MW - DE - DE (N)'!E223&gt;'Invoer gegevens (N)'!$C$17+215,0,'RW - MW - DE - DE (N)'!AW223))</f>
        <v>0</v>
      </c>
      <c r="AY223" s="71">
        <f ca="1">AX223/(1+'Invoer gegevens (N)'!$F$13)^($AZ223-('Invoer gegevens (N)'!$C$17-'Invoer gegevens (N)'!$C$16))/(1+'Invoer gegevens (N)'!$C$39)^('Invoer gegevens (N)'!$C$17-'Invoer gegevens (N)'!$C$16)</f>
        <v>0</v>
      </c>
      <c r="AZ223" s="68">
        <f ca="1">IF(E223-'Invoer gegevens (N)'!$C$17-14.5&lt;0,0,E223-'Invoer gegevens (N)'!$C$17-14.5)</f>
        <v>203.5</v>
      </c>
      <c r="BC223" s="71"/>
    </row>
    <row r="224" spans="1:55" s="230" customFormat="1" x14ac:dyDescent="0.25">
      <c r="A224" s="102"/>
      <c r="B224" s="70">
        <f t="shared" si="37"/>
        <v>220</v>
      </c>
      <c r="C224" s="67">
        <f ca="1">IF(E224-'Invoer gegevens (N)'!$C$17&lt;0,0,1)</f>
        <v>1</v>
      </c>
      <c r="D224" s="68">
        <f t="shared" si="38"/>
        <v>219.5</v>
      </c>
      <c r="E224" s="69">
        <f ca="1">IF('Invoer gegevens (N)'!$C$16="","",E223+1)</f>
        <v>2238</v>
      </c>
      <c r="F224" s="82">
        <f ca="1">IF('Invoer gegevens (N)'!$C$17=E224,'Invoer gegevens (N)'!$C$10,IF(C224=1,H223,0))</f>
        <v>0</v>
      </c>
      <c r="G224" s="83">
        <f ca="1">IF(C224&gt;=1,F224*'Reeksen (N)'!C224,0)</f>
        <v>0</v>
      </c>
      <c r="H224" s="84">
        <f t="shared" ca="1" si="31"/>
        <v>0</v>
      </c>
      <c r="I224" s="85">
        <f ca="1">IF('Invoer gegevens (N)'!$C$17=E224,'Invoer gegevens (N)'!$C$11,IF(C224=1,L223,0))</f>
        <v>0</v>
      </c>
      <c r="J224" s="86">
        <f ca="1">IF(C224&lt;1,0,IF('Reeksen (N)'!AD224&lt;='Reeksen (N)'!AE224,I224*'Reeksen (N)'!C224,0))</f>
        <v>0</v>
      </c>
      <c r="K224" s="86">
        <f ca="1">IF(C224&lt;1,0,IF('Reeksen (N)'!AD224&gt;'Reeksen (N)'!AE224,I224*'Reeksen (N)'!C224,0))</f>
        <v>0</v>
      </c>
      <c r="L224" s="86">
        <f t="shared" ca="1" si="32"/>
        <v>0</v>
      </c>
      <c r="M224" s="85">
        <f ca="1">IF('Invoer gegevens (N)'!$C$17=E224,'Invoer gegevens (N)'!$C$10-'Invoer gegevens (N)'!$C$11,IF(C224=1,P223,0))</f>
        <v>0</v>
      </c>
      <c r="N224" s="86">
        <f ca="1">IF(C224&lt;1,0,IF('Reeksen (N)'!AD224&lt;='Reeksen (N)'!AE224,M224*'Reeksen (N)'!C224,0))</f>
        <v>0</v>
      </c>
      <c r="O224" s="86">
        <f ca="1">IF(C224&lt;1,0,IF('Reeksen (N)'!AD224&gt;'Reeksen (N)'!AE224,M224*'Reeksen (N)'!C224,0))</f>
        <v>0</v>
      </c>
      <c r="P224" s="86">
        <f t="shared" ca="1" si="33"/>
        <v>0</v>
      </c>
      <c r="Q224" s="82">
        <f ca="1">IF('Invoer gegevens (N)'!$C$17=E224,I224,IF(C224=0,0,R223))</f>
        <v>0</v>
      </c>
      <c r="R224" s="84">
        <f t="shared" ca="1" si="30"/>
        <v>0</v>
      </c>
      <c r="S224" s="84">
        <f ca="1">IF('Invoer gegevens (N)'!$C$17=E224,M224,IF(C224=0,0,T223))</f>
        <v>0</v>
      </c>
      <c r="T224" s="84">
        <f t="shared" ca="1" si="39"/>
        <v>0</v>
      </c>
      <c r="AI224" s="71">
        <f ca="1">IF(C224=1,((F224+H224)/2*'Reeksen (N)'!AI224*12)+(('Invoer gegevens (N)'!$C$10-(F224+H224)/2)*'Reeksen (N)'!AD224*12),0)</f>
        <v>0</v>
      </c>
      <c r="AJ224" s="71">
        <f ca="1">-AI224*'Invoer gegevens (N)'!$F$28</f>
        <v>0</v>
      </c>
      <c r="AK224" s="71">
        <f t="shared" ca="1" si="34"/>
        <v>0</v>
      </c>
      <c r="AL224" s="71">
        <f ca="1">IF(C224=1,(12*((F224+H224)/2)*'Reeksen (N)'!AL224)+(12*('Invoer gegevens (N)'!$C$10-(F224+H224)/2)*'Reeksen (N)'!AM224),0)</f>
        <v>0</v>
      </c>
      <c r="AM224" s="71">
        <f ca="1">-AL224*'Invoer gegevens (N)'!$F$31</f>
        <v>0</v>
      </c>
      <c r="AN224" s="71">
        <f t="shared" ca="1" si="35"/>
        <v>0</v>
      </c>
      <c r="AO224" s="71"/>
      <c r="AP224" s="71"/>
      <c r="AQ224" s="71">
        <f ca="1">-IF(C224=1,('Invoer gegevens (N)'!$C$10*'Invoer gegevens (N)'!$F$35)*'Reeksen (N)'!J224,0)*2</f>
        <v>0</v>
      </c>
      <c r="AR224" s="71">
        <f ca="1">-IF(C224=1,(G224*'Invoer gegevens (N)'!$F$36)*'Reeksen (N)'!J224,0)</f>
        <v>0</v>
      </c>
      <c r="AS224" s="71">
        <f ca="1">-IF(C224=1,'Invoer gegevens (N)'!$C$10*'Invoer gegevens (N)'!$F$37*'Reeksen (N)'!L224,0)</f>
        <v>0</v>
      </c>
      <c r="AT224" s="71">
        <f ca="1">-IF(C224=1,IF(E224='Invoer gegevens (N)'!$C$17,'Invoer gegevens (N)'!$C$11,Q224)*'Reeksen (N)'!S224*'Invoer gegevens (N)'!$C$18*'Reeksen (N)'!P224,0)</f>
        <v>0</v>
      </c>
      <c r="AU224" s="71">
        <f ca="1">-IF(C224=1,'Invoer gegevens (N)'!$C$10*'Invoer gegevens (N)'!$F$38*'Reeksen (N)'!H224,0)</f>
        <v>0</v>
      </c>
      <c r="AV224" s="71">
        <v>0</v>
      </c>
      <c r="AW224" s="71">
        <f t="shared" ca="1" si="36"/>
        <v>0</v>
      </c>
      <c r="AX224" s="71">
        <f ca="1">IF(E224&lt;'Invoer gegevens (N)'!$C$17+15,0,IF('RW - MW - DE - DE (N)'!E224&gt;'Invoer gegevens (N)'!$C$17+215,0,'RW - MW - DE - DE (N)'!AW224))</f>
        <v>0</v>
      </c>
      <c r="AY224" s="71">
        <f ca="1">AX224/(1+'Invoer gegevens (N)'!$F$13)^($AZ224-('Invoer gegevens (N)'!$C$17-'Invoer gegevens (N)'!$C$16))/(1+'Invoer gegevens (N)'!$C$39)^('Invoer gegevens (N)'!$C$17-'Invoer gegevens (N)'!$C$16)</f>
        <v>0</v>
      </c>
      <c r="AZ224" s="68">
        <f ca="1">IF(E224-'Invoer gegevens (N)'!$C$17-14.5&lt;0,0,E224-'Invoer gegevens (N)'!$C$17-14.5)</f>
        <v>204.5</v>
      </c>
      <c r="BC224" s="71"/>
    </row>
    <row r="225" spans="1:60" s="230" customFormat="1" x14ac:dyDescent="0.25">
      <c r="A225" s="102"/>
      <c r="B225" s="70">
        <f t="shared" si="37"/>
        <v>221</v>
      </c>
      <c r="C225" s="67">
        <f ca="1">IF(E225-'Invoer gegevens (N)'!$C$17&lt;0,0,1)</f>
        <v>1</v>
      </c>
      <c r="D225" s="68">
        <f t="shared" si="38"/>
        <v>220.5</v>
      </c>
      <c r="E225" s="69">
        <f ca="1">IF('Invoer gegevens (N)'!$C$16="","",E224+1)</f>
        <v>2239</v>
      </c>
      <c r="F225" s="82">
        <f ca="1">IF('Invoer gegevens (N)'!$C$17=E225,'Invoer gegevens (N)'!$C$10,IF(C225=1,H224,0))</f>
        <v>0</v>
      </c>
      <c r="G225" s="83">
        <f ca="1">IF(C225&gt;=1,F225*'Reeksen (N)'!C225,0)</f>
        <v>0</v>
      </c>
      <c r="H225" s="84">
        <f t="shared" ca="1" si="31"/>
        <v>0</v>
      </c>
      <c r="I225" s="85">
        <f ca="1">IF('Invoer gegevens (N)'!$C$17=E225,'Invoer gegevens (N)'!$C$11,IF(C225=1,L224,0))</f>
        <v>0</v>
      </c>
      <c r="J225" s="86">
        <f ca="1">IF(C225&lt;1,0,IF('Reeksen (N)'!AD225&lt;='Reeksen (N)'!AE225,I225*'Reeksen (N)'!C225,0))</f>
        <v>0</v>
      </c>
      <c r="K225" s="86">
        <f ca="1">IF(C225&lt;1,0,IF('Reeksen (N)'!AD225&gt;'Reeksen (N)'!AE225,I225*'Reeksen (N)'!C225,0))</f>
        <v>0</v>
      </c>
      <c r="L225" s="86">
        <f t="shared" ca="1" si="32"/>
        <v>0</v>
      </c>
      <c r="M225" s="85">
        <f ca="1">IF('Invoer gegevens (N)'!$C$17=E225,'Invoer gegevens (N)'!$C$10-'Invoer gegevens (N)'!$C$11,IF(C225=1,P224,0))</f>
        <v>0</v>
      </c>
      <c r="N225" s="86">
        <f ca="1">IF(C225&lt;1,0,IF('Reeksen (N)'!AD225&lt;='Reeksen (N)'!AE225,M225*'Reeksen (N)'!C225,0))</f>
        <v>0</v>
      </c>
      <c r="O225" s="86">
        <f ca="1">IF(C225&lt;1,0,IF('Reeksen (N)'!AD225&gt;'Reeksen (N)'!AE225,M225*'Reeksen (N)'!C225,0))</f>
        <v>0</v>
      </c>
      <c r="P225" s="86">
        <f t="shared" ca="1" si="33"/>
        <v>0</v>
      </c>
      <c r="Q225" s="82">
        <f ca="1">IF('Invoer gegevens (N)'!$C$17=E225,I225,IF(C225=0,0,R224))</f>
        <v>0</v>
      </c>
      <c r="R225" s="84">
        <f t="shared" ca="1" si="30"/>
        <v>0</v>
      </c>
      <c r="S225" s="84">
        <f ca="1">IF('Invoer gegevens (N)'!$C$17=E225,M225,IF(C225=0,0,T224))</f>
        <v>0</v>
      </c>
      <c r="T225" s="84">
        <f t="shared" ca="1" si="39"/>
        <v>0</v>
      </c>
      <c r="AI225" s="71">
        <f ca="1">IF(C225=1,((F225+H225)/2*'Reeksen (N)'!AI225*12)+(('Invoer gegevens (N)'!$C$10-(F225+H225)/2)*'Reeksen (N)'!AD225*12),0)</f>
        <v>0</v>
      </c>
      <c r="AJ225" s="71">
        <f ca="1">-AI225*'Invoer gegevens (N)'!$F$28</f>
        <v>0</v>
      </c>
      <c r="AK225" s="71">
        <f t="shared" ca="1" si="34"/>
        <v>0</v>
      </c>
      <c r="AL225" s="71">
        <f ca="1">IF(C225=1,(12*((F225+H225)/2)*'Reeksen (N)'!AL225)+(12*('Invoer gegevens (N)'!$C$10-(F225+H225)/2)*'Reeksen (N)'!AM225),0)</f>
        <v>0</v>
      </c>
      <c r="AM225" s="71">
        <f ca="1">-AL225*'Invoer gegevens (N)'!$F$31</f>
        <v>0</v>
      </c>
      <c r="AN225" s="71">
        <f t="shared" ca="1" si="35"/>
        <v>0</v>
      </c>
      <c r="AO225" s="71"/>
      <c r="AP225" s="71"/>
      <c r="AQ225" s="71">
        <f ca="1">-IF(C225=1,('Invoer gegevens (N)'!$C$10*'Invoer gegevens (N)'!$F$35)*'Reeksen (N)'!J225,0)*2</f>
        <v>0</v>
      </c>
      <c r="AR225" s="71">
        <f ca="1">-IF(C225=1,(G225*'Invoer gegevens (N)'!$F$36)*'Reeksen (N)'!J225,0)</f>
        <v>0</v>
      </c>
      <c r="AS225" s="71">
        <f ca="1">-IF(C225=1,'Invoer gegevens (N)'!$C$10*'Invoer gegevens (N)'!$F$37*'Reeksen (N)'!L225,0)</f>
        <v>0</v>
      </c>
      <c r="AT225" s="71">
        <f ca="1">-IF(C225=1,IF(E225='Invoer gegevens (N)'!$C$17,'Invoer gegevens (N)'!$C$11,Q225)*'Reeksen (N)'!S225*'Invoer gegevens (N)'!$C$18*'Reeksen (N)'!P225,0)</f>
        <v>0</v>
      </c>
      <c r="AU225" s="71">
        <f ca="1">-IF(C225=1,'Invoer gegevens (N)'!$C$10*'Invoer gegevens (N)'!$F$38*'Reeksen (N)'!H225,0)</f>
        <v>0</v>
      </c>
      <c r="AV225" s="71">
        <v>0</v>
      </c>
      <c r="AW225" s="71">
        <f t="shared" ca="1" si="36"/>
        <v>0</v>
      </c>
      <c r="AX225" s="71">
        <f ca="1">IF(E225&lt;'Invoer gegevens (N)'!$C$17+15,0,IF('RW - MW - DE - DE (N)'!E225&gt;'Invoer gegevens (N)'!$C$17+215,0,'RW - MW - DE - DE (N)'!AW225))</f>
        <v>0</v>
      </c>
      <c r="AY225" s="71">
        <f ca="1">AX225/(1+'Invoer gegevens (N)'!$F$13)^($AZ225-('Invoer gegevens (N)'!$C$17-'Invoer gegevens (N)'!$C$16))/(1+'Invoer gegevens (N)'!$C$39)^('Invoer gegevens (N)'!$C$17-'Invoer gegevens (N)'!$C$16)</f>
        <v>0</v>
      </c>
      <c r="AZ225" s="68">
        <f ca="1">IF(E225-'Invoer gegevens (N)'!$C$17-14.5&lt;0,0,E225-'Invoer gegevens (N)'!$C$17-14.5)</f>
        <v>205.5</v>
      </c>
      <c r="BC225" s="71"/>
    </row>
    <row r="226" spans="1:60" s="230" customFormat="1" x14ac:dyDescent="0.25">
      <c r="A226" s="102"/>
      <c r="B226" s="70">
        <f t="shared" si="37"/>
        <v>222</v>
      </c>
      <c r="C226" s="67">
        <f ca="1">IF(E226-'Invoer gegevens (N)'!$C$17&lt;0,0,1)</f>
        <v>1</v>
      </c>
      <c r="D226" s="68">
        <f t="shared" si="38"/>
        <v>221.5</v>
      </c>
      <c r="E226" s="69">
        <f ca="1">IF('Invoer gegevens (N)'!$C$16="","",E225+1)</f>
        <v>2240</v>
      </c>
      <c r="F226" s="82">
        <f ca="1">IF('Invoer gegevens (N)'!$C$17=E226,'Invoer gegevens (N)'!$C$10,IF(C226=1,H225,0))</f>
        <v>0</v>
      </c>
      <c r="G226" s="83">
        <f ca="1">IF(C226&gt;=1,F226*'Reeksen (N)'!C226,0)</f>
        <v>0</v>
      </c>
      <c r="H226" s="84">
        <f t="shared" ca="1" si="31"/>
        <v>0</v>
      </c>
      <c r="I226" s="85">
        <f ca="1">IF('Invoer gegevens (N)'!$C$17=E226,'Invoer gegevens (N)'!$C$11,IF(C226=1,L225,0))</f>
        <v>0</v>
      </c>
      <c r="J226" s="86">
        <f ca="1">IF(C226&lt;1,0,IF('Reeksen (N)'!AD226&lt;='Reeksen (N)'!AE226,I226*'Reeksen (N)'!C226,0))</f>
        <v>0</v>
      </c>
      <c r="K226" s="86">
        <f ca="1">IF(C226&lt;1,0,IF('Reeksen (N)'!AD226&gt;'Reeksen (N)'!AE226,I226*'Reeksen (N)'!C226,0))</f>
        <v>0</v>
      </c>
      <c r="L226" s="86">
        <f t="shared" ca="1" si="32"/>
        <v>0</v>
      </c>
      <c r="M226" s="85">
        <f ca="1">IF('Invoer gegevens (N)'!$C$17=E226,'Invoer gegevens (N)'!$C$10-'Invoer gegevens (N)'!$C$11,IF(C226=1,P225,0))</f>
        <v>0</v>
      </c>
      <c r="N226" s="86">
        <f ca="1">IF(C226&lt;1,0,IF('Reeksen (N)'!AD226&lt;='Reeksen (N)'!AE226,M226*'Reeksen (N)'!C226,0))</f>
        <v>0</v>
      </c>
      <c r="O226" s="86">
        <f ca="1">IF(C226&lt;1,0,IF('Reeksen (N)'!AD226&gt;'Reeksen (N)'!AE226,M226*'Reeksen (N)'!C226,0))</f>
        <v>0</v>
      </c>
      <c r="P226" s="86">
        <f t="shared" ca="1" si="33"/>
        <v>0</v>
      </c>
      <c r="Q226" s="82">
        <f ca="1">IF('Invoer gegevens (N)'!$C$17=E226,I226,IF(C226=0,0,R225))</f>
        <v>0</v>
      </c>
      <c r="R226" s="84">
        <f t="shared" ca="1" si="30"/>
        <v>0</v>
      </c>
      <c r="S226" s="84">
        <f ca="1">IF('Invoer gegevens (N)'!$C$17=E226,M226,IF(C226=0,0,T225))</f>
        <v>0</v>
      </c>
      <c r="T226" s="84">
        <f t="shared" ca="1" si="39"/>
        <v>0</v>
      </c>
      <c r="AI226" s="71">
        <f ca="1">IF(C226=1,((F226+H226)/2*'Reeksen (N)'!AI226*12)+(('Invoer gegevens (N)'!$C$10-(F226+H226)/2)*'Reeksen (N)'!AD226*12),0)</f>
        <v>0</v>
      </c>
      <c r="AJ226" s="71">
        <f ca="1">-AI226*'Invoer gegevens (N)'!$F$28</f>
        <v>0</v>
      </c>
      <c r="AK226" s="71">
        <f t="shared" ca="1" si="34"/>
        <v>0</v>
      </c>
      <c r="AL226" s="71">
        <f ca="1">IF(C226=1,(12*((F226+H226)/2)*'Reeksen (N)'!AL226)+(12*('Invoer gegevens (N)'!$C$10-(F226+H226)/2)*'Reeksen (N)'!AM226),0)</f>
        <v>0</v>
      </c>
      <c r="AM226" s="71">
        <f ca="1">-AL226*'Invoer gegevens (N)'!$F$31</f>
        <v>0</v>
      </c>
      <c r="AN226" s="71">
        <f t="shared" ca="1" si="35"/>
        <v>0</v>
      </c>
      <c r="AO226" s="71"/>
      <c r="AP226" s="71"/>
      <c r="AQ226" s="71">
        <f ca="1">-IF(C226=1,('Invoer gegevens (N)'!$C$10*'Invoer gegevens (N)'!$F$35)*'Reeksen (N)'!J226,0)*2</f>
        <v>0</v>
      </c>
      <c r="AR226" s="71">
        <f ca="1">-IF(C226=1,(G226*'Invoer gegevens (N)'!$F$36)*'Reeksen (N)'!J226,0)</f>
        <v>0</v>
      </c>
      <c r="AS226" s="71">
        <f ca="1">-IF(C226=1,'Invoer gegevens (N)'!$C$10*'Invoer gegevens (N)'!$F$37*'Reeksen (N)'!L226,0)</f>
        <v>0</v>
      </c>
      <c r="AT226" s="71">
        <f ca="1">-IF(C226=1,IF(E226='Invoer gegevens (N)'!$C$17,'Invoer gegevens (N)'!$C$11,Q226)*'Reeksen (N)'!S226*'Invoer gegevens (N)'!$C$18*'Reeksen (N)'!P226,0)</f>
        <v>0</v>
      </c>
      <c r="AU226" s="71">
        <f ca="1">-IF(C226=1,'Invoer gegevens (N)'!$C$10*'Invoer gegevens (N)'!$F$38*'Reeksen (N)'!H226,0)</f>
        <v>0</v>
      </c>
      <c r="AV226" s="71">
        <v>0</v>
      </c>
      <c r="AW226" s="71">
        <f t="shared" ca="1" si="36"/>
        <v>0</v>
      </c>
      <c r="AX226" s="71">
        <f ca="1">IF(E226&lt;'Invoer gegevens (N)'!$C$17+15,0,IF('RW - MW - DE - DE (N)'!E226&gt;'Invoer gegevens (N)'!$C$17+215,0,'RW - MW - DE - DE (N)'!AW226))</f>
        <v>0</v>
      </c>
      <c r="AY226" s="71">
        <f ca="1">AX226/(1+'Invoer gegevens (N)'!$F$13)^($AZ226-('Invoer gegevens (N)'!$C$17-'Invoer gegevens (N)'!$C$16))/(1+'Invoer gegevens (N)'!$C$39)^('Invoer gegevens (N)'!$C$17-'Invoer gegevens (N)'!$C$16)</f>
        <v>0</v>
      </c>
      <c r="AZ226" s="68">
        <f ca="1">IF(E226-'Invoer gegevens (N)'!$C$17-14.5&lt;0,0,E226-'Invoer gegevens (N)'!$C$17-14.5)</f>
        <v>206.5</v>
      </c>
      <c r="BC226" s="71"/>
    </row>
    <row r="227" spans="1:60" s="230" customFormat="1" x14ac:dyDescent="0.25">
      <c r="A227" s="102"/>
      <c r="B227" s="70">
        <f t="shared" si="37"/>
        <v>223</v>
      </c>
      <c r="C227" s="67">
        <f ca="1">IF(E227-'Invoer gegevens (N)'!$C$17&lt;0,0,1)</f>
        <v>1</v>
      </c>
      <c r="D227" s="68">
        <f t="shared" si="38"/>
        <v>222.5</v>
      </c>
      <c r="E227" s="69">
        <f ca="1">IF('Invoer gegevens (N)'!$C$16="","",E226+1)</f>
        <v>2241</v>
      </c>
      <c r="F227" s="82">
        <f ca="1">IF('Invoer gegevens (N)'!$C$17=E227,'Invoer gegevens (N)'!$C$10,IF(C227=1,H226,0))</f>
        <v>0</v>
      </c>
      <c r="G227" s="83">
        <f ca="1">IF(C227&gt;=1,F227*'Reeksen (N)'!C227,0)</f>
        <v>0</v>
      </c>
      <c r="H227" s="84">
        <f t="shared" ca="1" si="31"/>
        <v>0</v>
      </c>
      <c r="I227" s="85">
        <f ca="1">IF('Invoer gegevens (N)'!$C$17=E227,'Invoer gegevens (N)'!$C$11,IF(C227=1,L226,0))</f>
        <v>0</v>
      </c>
      <c r="J227" s="86">
        <f ca="1">IF(C227&lt;1,0,IF('Reeksen (N)'!AD227&lt;='Reeksen (N)'!AE227,I227*'Reeksen (N)'!C227,0))</f>
        <v>0</v>
      </c>
      <c r="K227" s="86">
        <f ca="1">IF(C227&lt;1,0,IF('Reeksen (N)'!AD227&gt;'Reeksen (N)'!AE227,I227*'Reeksen (N)'!C227,0))</f>
        <v>0</v>
      </c>
      <c r="L227" s="86">
        <f t="shared" ca="1" si="32"/>
        <v>0</v>
      </c>
      <c r="M227" s="85">
        <f ca="1">IF('Invoer gegevens (N)'!$C$17=E227,'Invoer gegevens (N)'!$C$10-'Invoer gegevens (N)'!$C$11,IF(C227=1,P226,0))</f>
        <v>0</v>
      </c>
      <c r="N227" s="86">
        <f ca="1">IF(C227&lt;1,0,IF('Reeksen (N)'!AD227&lt;='Reeksen (N)'!AE227,M227*'Reeksen (N)'!C227,0))</f>
        <v>0</v>
      </c>
      <c r="O227" s="86">
        <f ca="1">IF(C227&lt;1,0,IF('Reeksen (N)'!AD227&gt;'Reeksen (N)'!AE227,M227*'Reeksen (N)'!C227,0))</f>
        <v>0</v>
      </c>
      <c r="P227" s="86">
        <f t="shared" ca="1" si="33"/>
        <v>0</v>
      </c>
      <c r="Q227" s="82">
        <f ca="1">IF('Invoer gegevens (N)'!$C$17=E227,I227,IF(C227=0,0,R226))</f>
        <v>0</v>
      </c>
      <c r="R227" s="84">
        <f t="shared" ca="1" si="30"/>
        <v>0</v>
      </c>
      <c r="S227" s="84">
        <f ca="1">IF('Invoer gegevens (N)'!$C$17=E227,M227,IF(C227=0,0,T226))</f>
        <v>0</v>
      </c>
      <c r="T227" s="84">
        <f t="shared" ca="1" si="39"/>
        <v>0</v>
      </c>
      <c r="AI227" s="71">
        <f ca="1">IF(C227=1,((F227+H227)/2*'Reeksen (N)'!AI227*12)+(('Invoer gegevens (N)'!$C$10-(F227+H227)/2)*'Reeksen (N)'!AD227*12),0)</f>
        <v>0</v>
      </c>
      <c r="AJ227" s="71">
        <f ca="1">-AI227*'Invoer gegevens (N)'!$F$28</f>
        <v>0</v>
      </c>
      <c r="AK227" s="71">
        <f t="shared" ca="1" si="34"/>
        <v>0</v>
      </c>
      <c r="AL227" s="71">
        <f ca="1">IF(C227=1,(12*((F227+H227)/2)*'Reeksen (N)'!AL227)+(12*('Invoer gegevens (N)'!$C$10-(F227+H227)/2)*'Reeksen (N)'!AM227),0)</f>
        <v>0</v>
      </c>
      <c r="AM227" s="71">
        <f ca="1">-AL227*'Invoer gegevens (N)'!$F$31</f>
        <v>0</v>
      </c>
      <c r="AN227" s="71">
        <f t="shared" ca="1" si="35"/>
        <v>0</v>
      </c>
      <c r="AO227" s="71"/>
      <c r="AP227" s="71"/>
      <c r="AQ227" s="71">
        <f ca="1">-IF(C227=1,('Invoer gegevens (N)'!$C$10*'Invoer gegevens (N)'!$F$35)*'Reeksen (N)'!J227,0)*2</f>
        <v>0</v>
      </c>
      <c r="AR227" s="71">
        <f ca="1">-IF(C227=1,(G227*'Invoer gegevens (N)'!$F$36)*'Reeksen (N)'!J227,0)</f>
        <v>0</v>
      </c>
      <c r="AS227" s="71">
        <f ca="1">-IF(C227=1,'Invoer gegevens (N)'!$C$10*'Invoer gegevens (N)'!$F$37*'Reeksen (N)'!L227,0)</f>
        <v>0</v>
      </c>
      <c r="AT227" s="71">
        <f ca="1">-IF(C227=1,IF(E227='Invoer gegevens (N)'!$C$17,'Invoer gegevens (N)'!$C$11,Q227)*'Reeksen (N)'!S227*'Invoer gegevens (N)'!$C$18*'Reeksen (N)'!P227,0)</f>
        <v>0</v>
      </c>
      <c r="AU227" s="71">
        <f ca="1">-IF(C227=1,'Invoer gegevens (N)'!$C$10*'Invoer gegevens (N)'!$F$38*'Reeksen (N)'!H227,0)</f>
        <v>0</v>
      </c>
      <c r="AV227" s="71">
        <v>0</v>
      </c>
      <c r="AW227" s="71">
        <f t="shared" ca="1" si="36"/>
        <v>0</v>
      </c>
      <c r="AX227" s="71">
        <f ca="1">IF(E227&lt;'Invoer gegevens (N)'!$C$17+15,0,IF('RW - MW - DE - DE (N)'!E227&gt;'Invoer gegevens (N)'!$C$17+215,0,'RW - MW - DE - DE (N)'!AW227))</f>
        <v>0</v>
      </c>
      <c r="AY227" s="71">
        <f ca="1">AX227/(1+'Invoer gegevens (N)'!$F$13)^($AZ227-('Invoer gegevens (N)'!$C$17-'Invoer gegevens (N)'!$C$16))/(1+'Invoer gegevens (N)'!$C$39)^('Invoer gegevens (N)'!$C$17-'Invoer gegevens (N)'!$C$16)</f>
        <v>0</v>
      </c>
      <c r="AZ227" s="68">
        <f ca="1">IF(E227-'Invoer gegevens (N)'!$C$17-14.5&lt;0,0,E227-'Invoer gegevens (N)'!$C$17-14.5)</f>
        <v>207.5</v>
      </c>
      <c r="BC227" s="71"/>
    </row>
    <row r="228" spans="1:60" s="230" customFormat="1" x14ac:dyDescent="0.25">
      <c r="A228" s="102"/>
      <c r="B228" s="70">
        <f t="shared" si="37"/>
        <v>224</v>
      </c>
      <c r="C228" s="67">
        <f ca="1">IF(E228-'Invoer gegevens (N)'!$C$17&lt;0,0,1)</f>
        <v>1</v>
      </c>
      <c r="D228" s="68">
        <f t="shared" si="38"/>
        <v>223.5</v>
      </c>
      <c r="E228" s="69">
        <f ca="1">IF('Invoer gegevens (N)'!$C$16="","",E227+1)</f>
        <v>2242</v>
      </c>
      <c r="F228" s="82">
        <f ca="1">IF('Invoer gegevens (N)'!$C$17=E228,'Invoer gegevens (N)'!$C$10,IF(C228=1,H227,0))</f>
        <v>0</v>
      </c>
      <c r="G228" s="83">
        <f ca="1">IF(C228&gt;=1,F228*'Reeksen (N)'!C228,0)</f>
        <v>0</v>
      </c>
      <c r="H228" s="84">
        <f t="shared" ca="1" si="31"/>
        <v>0</v>
      </c>
      <c r="I228" s="85">
        <f ca="1">IF('Invoer gegevens (N)'!$C$17=E228,'Invoer gegevens (N)'!$C$11,IF(C228=1,L227,0))</f>
        <v>0</v>
      </c>
      <c r="J228" s="86">
        <f ca="1">IF(C228&lt;1,0,IF('Reeksen (N)'!AD228&lt;='Reeksen (N)'!AE228,I228*'Reeksen (N)'!C228,0))</f>
        <v>0</v>
      </c>
      <c r="K228" s="86">
        <f ca="1">IF(C228&lt;1,0,IF('Reeksen (N)'!AD228&gt;'Reeksen (N)'!AE228,I228*'Reeksen (N)'!C228,0))</f>
        <v>0</v>
      </c>
      <c r="L228" s="86">
        <f t="shared" ca="1" si="32"/>
        <v>0</v>
      </c>
      <c r="M228" s="85">
        <f ca="1">IF('Invoer gegevens (N)'!$C$17=E228,'Invoer gegevens (N)'!$C$10-'Invoer gegevens (N)'!$C$11,IF(C228=1,P227,0))</f>
        <v>0</v>
      </c>
      <c r="N228" s="86">
        <f ca="1">IF(C228&lt;1,0,IF('Reeksen (N)'!AD228&lt;='Reeksen (N)'!AE228,M228*'Reeksen (N)'!C228,0))</f>
        <v>0</v>
      </c>
      <c r="O228" s="86">
        <f ca="1">IF(C228&lt;1,0,IF('Reeksen (N)'!AD228&gt;'Reeksen (N)'!AE228,M228*'Reeksen (N)'!C228,0))</f>
        <v>0</v>
      </c>
      <c r="P228" s="86">
        <f t="shared" ca="1" si="33"/>
        <v>0</v>
      </c>
      <c r="Q228" s="82">
        <f ca="1">IF('Invoer gegevens (N)'!$C$17=E228,I228,IF(C228=0,0,R227))</f>
        <v>0</v>
      </c>
      <c r="R228" s="84">
        <f t="shared" ca="1" si="30"/>
        <v>0</v>
      </c>
      <c r="S228" s="84">
        <f ca="1">IF('Invoer gegevens (N)'!$C$17=E228,M228,IF(C228=0,0,T227))</f>
        <v>0</v>
      </c>
      <c r="T228" s="84">
        <f t="shared" ca="1" si="39"/>
        <v>0</v>
      </c>
      <c r="AI228" s="71">
        <f ca="1">IF(C228=1,((F228+H228)/2*'Reeksen (N)'!AI228*12)+(('Invoer gegevens (N)'!$C$10-(F228+H228)/2)*'Reeksen (N)'!AD228*12),0)</f>
        <v>0</v>
      </c>
      <c r="AJ228" s="71">
        <f ca="1">-AI228*'Invoer gegevens (N)'!$F$28</f>
        <v>0</v>
      </c>
      <c r="AK228" s="71">
        <f t="shared" ca="1" si="34"/>
        <v>0</v>
      </c>
      <c r="AL228" s="71">
        <f ca="1">IF(C228=1,(12*((F228+H228)/2)*'Reeksen (N)'!AL228)+(12*('Invoer gegevens (N)'!$C$10-(F228+H228)/2)*'Reeksen (N)'!AM228),0)</f>
        <v>0</v>
      </c>
      <c r="AM228" s="71">
        <f ca="1">-AL228*'Invoer gegevens (N)'!$F$31</f>
        <v>0</v>
      </c>
      <c r="AN228" s="71">
        <f t="shared" ca="1" si="35"/>
        <v>0</v>
      </c>
      <c r="AO228" s="71"/>
      <c r="AP228" s="71"/>
      <c r="AQ228" s="71">
        <f ca="1">-IF(C228=1,('Invoer gegevens (N)'!$C$10*'Invoer gegevens (N)'!$F$35)*'Reeksen (N)'!J228,0)*2</f>
        <v>0</v>
      </c>
      <c r="AR228" s="71">
        <f ca="1">-IF(C228=1,(G228*'Invoer gegevens (N)'!$F$36)*'Reeksen (N)'!J228,0)</f>
        <v>0</v>
      </c>
      <c r="AS228" s="71">
        <f ca="1">-IF(C228=1,'Invoer gegevens (N)'!$C$10*'Invoer gegevens (N)'!$F$37*'Reeksen (N)'!L228,0)</f>
        <v>0</v>
      </c>
      <c r="AT228" s="71">
        <f ca="1">-IF(C228=1,IF(E228='Invoer gegevens (N)'!$C$17,'Invoer gegevens (N)'!$C$11,Q228)*'Reeksen (N)'!S228*'Invoer gegevens (N)'!$C$18*'Reeksen (N)'!P228,0)</f>
        <v>0</v>
      </c>
      <c r="AU228" s="71">
        <f ca="1">-IF(C228=1,'Invoer gegevens (N)'!$C$10*'Invoer gegevens (N)'!$F$38*'Reeksen (N)'!H228,0)</f>
        <v>0</v>
      </c>
      <c r="AV228" s="71">
        <v>0</v>
      </c>
      <c r="AW228" s="71">
        <f t="shared" ca="1" si="36"/>
        <v>0</v>
      </c>
      <c r="AX228" s="71">
        <f ca="1">IF(E228&lt;'Invoer gegevens (N)'!$C$17+15,0,IF('RW - MW - DE - DE (N)'!E228&gt;'Invoer gegevens (N)'!$C$17+215,0,'RW - MW - DE - DE (N)'!AW228))</f>
        <v>0</v>
      </c>
      <c r="AY228" s="71">
        <f ca="1">AX228/(1+'Invoer gegevens (N)'!$F$13)^($AZ228-('Invoer gegevens (N)'!$C$17-'Invoer gegevens (N)'!$C$16))/(1+'Invoer gegevens (N)'!$C$39)^('Invoer gegevens (N)'!$C$17-'Invoer gegevens (N)'!$C$16)</f>
        <v>0</v>
      </c>
      <c r="AZ228" s="68">
        <f ca="1">IF(E228-'Invoer gegevens (N)'!$C$17-14.5&lt;0,0,E228-'Invoer gegevens (N)'!$C$17-14.5)</f>
        <v>208.5</v>
      </c>
      <c r="BC228" s="71"/>
    </row>
    <row r="229" spans="1:60" s="230" customFormat="1" x14ac:dyDescent="0.25">
      <c r="A229" s="102"/>
      <c r="B229" s="70">
        <f t="shared" si="37"/>
        <v>225</v>
      </c>
      <c r="C229" s="67">
        <f ca="1">IF(E229-'Invoer gegevens (N)'!$C$17&lt;0,0,1)</f>
        <v>1</v>
      </c>
      <c r="D229" s="68">
        <f t="shared" si="38"/>
        <v>224.5</v>
      </c>
      <c r="E229" s="69">
        <f ca="1">IF('Invoer gegevens (N)'!$C$16="","",E228+1)</f>
        <v>2243</v>
      </c>
      <c r="F229" s="82">
        <f ca="1">IF('Invoer gegevens (N)'!$C$17=E229,'Invoer gegevens (N)'!$C$10,IF(C229=1,H228,0))</f>
        <v>0</v>
      </c>
      <c r="G229" s="83">
        <f ca="1">IF(C229&gt;=1,F229*'Reeksen (N)'!C229,0)</f>
        <v>0</v>
      </c>
      <c r="H229" s="84">
        <f t="shared" ca="1" si="31"/>
        <v>0</v>
      </c>
      <c r="I229" s="85">
        <f ca="1">IF('Invoer gegevens (N)'!$C$17=E229,'Invoer gegevens (N)'!$C$11,IF(C229=1,L228,0))</f>
        <v>0</v>
      </c>
      <c r="J229" s="86">
        <f ca="1">IF(C229&lt;1,0,IF('Reeksen (N)'!AD229&lt;='Reeksen (N)'!AE229,I229*'Reeksen (N)'!C229,0))</f>
        <v>0</v>
      </c>
      <c r="K229" s="86">
        <f ca="1">IF(C229&lt;1,0,IF('Reeksen (N)'!AD229&gt;'Reeksen (N)'!AE229,I229*'Reeksen (N)'!C229,0))</f>
        <v>0</v>
      </c>
      <c r="L229" s="86">
        <f t="shared" ca="1" si="32"/>
        <v>0</v>
      </c>
      <c r="M229" s="85">
        <f ca="1">IF('Invoer gegevens (N)'!$C$17=E229,'Invoer gegevens (N)'!$C$10-'Invoer gegevens (N)'!$C$11,IF(C229=1,P228,0))</f>
        <v>0</v>
      </c>
      <c r="N229" s="86">
        <f ca="1">IF(C229&lt;1,0,IF('Reeksen (N)'!AD229&lt;='Reeksen (N)'!AE229,M229*'Reeksen (N)'!C229,0))</f>
        <v>0</v>
      </c>
      <c r="O229" s="86">
        <f ca="1">IF(C229&lt;1,0,IF('Reeksen (N)'!AD229&gt;'Reeksen (N)'!AE229,M229*'Reeksen (N)'!C229,0))</f>
        <v>0</v>
      </c>
      <c r="P229" s="86">
        <f t="shared" ca="1" si="33"/>
        <v>0</v>
      </c>
      <c r="Q229" s="82">
        <f ca="1">IF('Invoer gegevens (N)'!$C$17=E229,I229,IF(C229=0,0,R228))</f>
        <v>0</v>
      </c>
      <c r="R229" s="84">
        <f t="shared" ca="1" si="30"/>
        <v>0</v>
      </c>
      <c r="S229" s="84">
        <f ca="1">IF('Invoer gegevens (N)'!$C$17=E229,M229,IF(C229=0,0,T228))</f>
        <v>0</v>
      </c>
      <c r="T229" s="84">
        <f t="shared" ca="1" si="39"/>
        <v>0</v>
      </c>
      <c r="AI229" s="71">
        <f ca="1">IF(C229=1,((F229+H229)/2*'Reeksen (N)'!AI229*12)+(('Invoer gegevens (N)'!$C$10-(F229+H229)/2)*'Reeksen (N)'!AD229*12),0)</f>
        <v>0</v>
      </c>
      <c r="AJ229" s="71">
        <f ca="1">-AI229*'Invoer gegevens (N)'!$F$28</f>
        <v>0</v>
      </c>
      <c r="AK229" s="71">
        <f t="shared" ca="1" si="34"/>
        <v>0</v>
      </c>
      <c r="AL229" s="71">
        <f ca="1">IF(C229=1,(12*((F229+H229)/2)*'Reeksen (N)'!AL229)+(12*('Invoer gegevens (N)'!$C$10-(F229+H229)/2)*'Reeksen (N)'!AM229),0)</f>
        <v>0</v>
      </c>
      <c r="AM229" s="71">
        <f ca="1">-AL229*'Invoer gegevens (N)'!$F$31</f>
        <v>0</v>
      </c>
      <c r="AN229" s="71">
        <f t="shared" ca="1" si="35"/>
        <v>0</v>
      </c>
      <c r="AO229" s="71"/>
      <c r="AP229" s="71"/>
      <c r="AQ229" s="71">
        <f ca="1">-IF(C229=1,('Invoer gegevens (N)'!$C$10*'Invoer gegevens (N)'!$F$35)*'Reeksen (N)'!J229,0)*2</f>
        <v>0</v>
      </c>
      <c r="AR229" s="71">
        <f ca="1">-IF(C229=1,(G229*'Invoer gegevens (N)'!$F$36)*'Reeksen (N)'!J229,0)</f>
        <v>0</v>
      </c>
      <c r="AS229" s="71">
        <f ca="1">-IF(C229=1,'Invoer gegevens (N)'!$C$10*'Invoer gegevens (N)'!$F$37*'Reeksen (N)'!L229,0)</f>
        <v>0</v>
      </c>
      <c r="AT229" s="71">
        <f ca="1">-IF(C229=1,IF(E229='Invoer gegevens (N)'!$C$17,'Invoer gegevens (N)'!$C$11,Q229)*'Reeksen (N)'!S229*'Invoer gegevens (N)'!$C$18*'Reeksen (N)'!P229,0)</f>
        <v>0</v>
      </c>
      <c r="AU229" s="71">
        <f ca="1">-IF(C229=1,'Invoer gegevens (N)'!$C$10*'Invoer gegevens (N)'!$F$38*'Reeksen (N)'!H229,0)</f>
        <v>0</v>
      </c>
      <c r="AV229" s="71">
        <v>0</v>
      </c>
      <c r="AW229" s="71">
        <f t="shared" ca="1" si="36"/>
        <v>0</v>
      </c>
      <c r="AX229" s="71">
        <f ca="1">IF(E229&lt;'Invoer gegevens (N)'!$C$17+15,0,IF('RW - MW - DE - DE (N)'!E229&gt;'Invoer gegevens (N)'!$C$17+215,0,'RW - MW - DE - DE (N)'!AW229))</f>
        <v>0</v>
      </c>
      <c r="AY229" s="71">
        <f ca="1">AX229/(1+'Invoer gegevens (N)'!$F$13)^($AZ229-('Invoer gegevens (N)'!$C$17-'Invoer gegevens (N)'!$C$16))/(1+'Invoer gegevens (N)'!$C$39)^('Invoer gegevens (N)'!$C$17-'Invoer gegevens (N)'!$C$16)</f>
        <v>0</v>
      </c>
      <c r="AZ229" s="68">
        <f ca="1">IF(E229-'Invoer gegevens (N)'!$C$17-14.5&lt;0,0,E229-'Invoer gegevens (N)'!$C$17-14.5)</f>
        <v>209.5</v>
      </c>
      <c r="BC229" s="71"/>
    </row>
    <row r="230" spans="1:60" s="230" customFormat="1" x14ac:dyDescent="0.25">
      <c r="A230" s="102"/>
      <c r="B230" s="70">
        <f t="shared" si="37"/>
        <v>226</v>
      </c>
      <c r="C230" s="67">
        <f ca="1">IF(E230-'Invoer gegevens (N)'!$C$17&lt;0,0,1)</f>
        <v>1</v>
      </c>
      <c r="D230" s="68">
        <f t="shared" si="38"/>
        <v>225.5</v>
      </c>
      <c r="E230" s="69">
        <f ca="1">IF('Invoer gegevens (N)'!$C$16="","",E229+1)</f>
        <v>2244</v>
      </c>
      <c r="F230" s="82">
        <f ca="1">IF('Invoer gegevens (N)'!$C$17=E230,'Invoer gegevens (N)'!$C$10,IF(C230=1,H229,0))</f>
        <v>0</v>
      </c>
      <c r="G230" s="83">
        <f ca="1">IF(C230&gt;=1,F230*'Reeksen (N)'!C230,0)</f>
        <v>0</v>
      </c>
      <c r="H230" s="84">
        <f t="shared" ca="1" si="31"/>
        <v>0</v>
      </c>
      <c r="I230" s="85">
        <f ca="1">IF('Invoer gegevens (N)'!$C$17=E230,'Invoer gegevens (N)'!$C$11,IF(C230=1,L229,0))</f>
        <v>0</v>
      </c>
      <c r="J230" s="86">
        <f ca="1">IF(C230&lt;1,0,IF('Reeksen (N)'!AD230&lt;='Reeksen (N)'!AE230,I230*'Reeksen (N)'!C230,0))</f>
        <v>0</v>
      </c>
      <c r="K230" s="86">
        <f ca="1">IF(C230&lt;1,0,IF('Reeksen (N)'!AD230&gt;'Reeksen (N)'!AE230,I230*'Reeksen (N)'!C230,0))</f>
        <v>0</v>
      </c>
      <c r="L230" s="86">
        <f t="shared" ca="1" si="32"/>
        <v>0</v>
      </c>
      <c r="M230" s="85">
        <f ca="1">IF('Invoer gegevens (N)'!$C$17=E230,'Invoer gegevens (N)'!$C$10-'Invoer gegevens (N)'!$C$11,IF(C230=1,P229,0))</f>
        <v>0</v>
      </c>
      <c r="N230" s="86">
        <f ca="1">IF(C230&lt;1,0,IF('Reeksen (N)'!AD230&lt;='Reeksen (N)'!AE230,M230*'Reeksen (N)'!C230,0))</f>
        <v>0</v>
      </c>
      <c r="O230" s="86">
        <f ca="1">IF(C230&lt;1,0,IF('Reeksen (N)'!AD230&gt;'Reeksen (N)'!AE230,M230*'Reeksen (N)'!C230,0))</f>
        <v>0</v>
      </c>
      <c r="P230" s="86">
        <f t="shared" ca="1" si="33"/>
        <v>0</v>
      </c>
      <c r="Q230" s="82">
        <f ca="1">IF('Invoer gegevens (N)'!$C$17=E230,I230,IF(C230=0,0,R229))</f>
        <v>0</v>
      </c>
      <c r="R230" s="84">
        <f t="shared" ca="1" si="30"/>
        <v>0</v>
      </c>
      <c r="S230" s="84">
        <f ca="1">IF('Invoer gegevens (N)'!$C$17=E230,M230,IF(C230=0,0,T229))</f>
        <v>0</v>
      </c>
      <c r="T230" s="84">
        <f t="shared" ca="1" si="39"/>
        <v>0</v>
      </c>
      <c r="AI230" s="71">
        <f ca="1">IF(C230=1,((F230+H230)/2*'Reeksen (N)'!AI230*12)+(('Invoer gegevens (N)'!$C$10-(F230+H230)/2)*'Reeksen (N)'!AD230*12),0)</f>
        <v>0</v>
      </c>
      <c r="AJ230" s="71">
        <f ca="1">-AI230*'Invoer gegevens (N)'!$F$28</f>
        <v>0</v>
      </c>
      <c r="AK230" s="71">
        <f t="shared" ca="1" si="34"/>
        <v>0</v>
      </c>
      <c r="AL230" s="71">
        <f ca="1">IF(C230=1,(12*((F230+H230)/2)*'Reeksen (N)'!AL230)+(12*('Invoer gegevens (N)'!$C$10-(F230+H230)/2)*'Reeksen (N)'!AM230),0)</f>
        <v>0</v>
      </c>
      <c r="AM230" s="71">
        <f ca="1">-AL230*'Invoer gegevens (N)'!$F$31</f>
        <v>0</v>
      </c>
      <c r="AN230" s="71">
        <f t="shared" ca="1" si="35"/>
        <v>0</v>
      </c>
      <c r="AO230" s="71"/>
      <c r="AP230" s="71"/>
      <c r="AQ230" s="71">
        <f ca="1">-IF(C230=1,('Invoer gegevens (N)'!$C$10*'Invoer gegevens (N)'!$F$35)*'Reeksen (N)'!J230,0)*2</f>
        <v>0</v>
      </c>
      <c r="AR230" s="71">
        <f ca="1">-IF(C230=1,(G230*'Invoer gegevens (N)'!$F$36)*'Reeksen (N)'!J230,0)</f>
        <v>0</v>
      </c>
      <c r="AS230" s="71">
        <f ca="1">-IF(C230=1,'Invoer gegevens (N)'!$C$10*'Invoer gegevens (N)'!$F$37*'Reeksen (N)'!L230,0)</f>
        <v>0</v>
      </c>
      <c r="AT230" s="71">
        <f ca="1">-IF(C230=1,IF(E230='Invoer gegevens (N)'!$C$17,'Invoer gegevens (N)'!$C$11,Q230)*'Reeksen (N)'!S230*'Invoer gegevens (N)'!$C$18*'Reeksen (N)'!P230,0)</f>
        <v>0</v>
      </c>
      <c r="AU230" s="71">
        <f ca="1">-IF(C230=1,'Invoer gegevens (N)'!$C$10*'Invoer gegevens (N)'!$F$38*'Reeksen (N)'!H230,0)</f>
        <v>0</v>
      </c>
      <c r="AV230" s="71">
        <v>0</v>
      </c>
      <c r="AW230" s="71">
        <f t="shared" ca="1" si="36"/>
        <v>0</v>
      </c>
      <c r="AX230" s="71">
        <f ca="1">IF(E230&lt;'Invoer gegevens (N)'!$C$17+15,0,IF('RW - MW - DE - DE (N)'!E230&gt;'Invoer gegevens (N)'!$C$17+215,0,'RW - MW - DE - DE (N)'!AW230))</f>
        <v>0</v>
      </c>
      <c r="AY230" s="71">
        <f ca="1">AX230/(1+'Invoer gegevens (N)'!$F$13)^($AZ230-('Invoer gegevens (N)'!$C$17-'Invoer gegevens (N)'!$C$16))/(1+'Invoer gegevens (N)'!$C$39)^('Invoer gegevens (N)'!$C$17-'Invoer gegevens (N)'!$C$16)</f>
        <v>0</v>
      </c>
      <c r="AZ230" s="68">
        <f ca="1">IF(E230-'Invoer gegevens (N)'!$C$17-14.5&lt;0,0,E230-'Invoer gegevens (N)'!$C$17-14.5)</f>
        <v>210.5</v>
      </c>
      <c r="BC230" s="71"/>
    </row>
    <row r="231" spans="1:60" s="230" customFormat="1" x14ac:dyDescent="0.25">
      <c r="A231" s="102"/>
      <c r="B231" s="70">
        <f t="shared" si="37"/>
        <v>227</v>
      </c>
      <c r="C231" s="67">
        <f ca="1">IF(E231-'Invoer gegevens (N)'!$C$17&lt;0,0,1)</f>
        <v>1</v>
      </c>
      <c r="D231" s="68">
        <f t="shared" si="38"/>
        <v>226.5</v>
      </c>
      <c r="E231" s="69">
        <f ca="1">IF('Invoer gegevens (N)'!$C$16="","",E230+1)</f>
        <v>2245</v>
      </c>
      <c r="F231" s="82">
        <f ca="1">IF('Invoer gegevens (N)'!$C$17=E231,'Invoer gegevens (N)'!$C$10,IF(C231=1,H230,0))</f>
        <v>0</v>
      </c>
      <c r="G231" s="83">
        <f ca="1">IF(C231&gt;=1,F231*'Reeksen (N)'!C231,0)</f>
        <v>0</v>
      </c>
      <c r="H231" s="84">
        <f t="shared" ca="1" si="31"/>
        <v>0</v>
      </c>
      <c r="I231" s="85">
        <f ca="1">IF('Invoer gegevens (N)'!$C$17=E231,'Invoer gegevens (N)'!$C$11,IF(C231=1,L230,0))</f>
        <v>0</v>
      </c>
      <c r="J231" s="86">
        <f ca="1">IF(C231&lt;1,0,IF('Reeksen (N)'!AD231&lt;='Reeksen (N)'!AE231,I231*'Reeksen (N)'!C231,0))</f>
        <v>0</v>
      </c>
      <c r="K231" s="86">
        <f ca="1">IF(C231&lt;1,0,IF('Reeksen (N)'!AD231&gt;'Reeksen (N)'!AE231,I231*'Reeksen (N)'!C231,0))</f>
        <v>0</v>
      </c>
      <c r="L231" s="86">
        <f t="shared" ca="1" si="32"/>
        <v>0</v>
      </c>
      <c r="M231" s="85">
        <f ca="1">IF('Invoer gegevens (N)'!$C$17=E231,'Invoer gegevens (N)'!$C$10-'Invoer gegevens (N)'!$C$11,IF(C231=1,P230,0))</f>
        <v>0</v>
      </c>
      <c r="N231" s="86">
        <f ca="1">IF(C231&lt;1,0,IF('Reeksen (N)'!AD231&lt;='Reeksen (N)'!AE231,M231*'Reeksen (N)'!C231,0))</f>
        <v>0</v>
      </c>
      <c r="O231" s="86">
        <f ca="1">IF(C231&lt;1,0,IF('Reeksen (N)'!AD231&gt;'Reeksen (N)'!AE231,M231*'Reeksen (N)'!C231,0))</f>
        <v>0</v>
      </c>
      <c r="P231" s="86">
        <f t="shared" ca="1" si="33"/>
        <v>0</v>
      </c>
      <c r="Q231" s="82">
        <f ca="1">IF('Invoer gegevens (N)'!$C$17=E231,I231,IF(C231=0,0,R230))</f>
        <v>0</v>
      </c>
      <c r="R231" s="84">
        <f t="shared" ca="1" si="30"/>
        <v>0</v>
      </c>
      <c r="S231" s="84">
        <f ca="1">IF('Invoer gegevens (N)'!$C$17=E231,M231,IF(C231=0,0,T230))</f>
        <v>0</v>
      </c>
      <c r="T231" s="84">
        <f t="shared" ca="1" si="39"/>
        <v>0</v>
      </c>
      <c r="AI231" s="71">
        <f ca="1">IF(C231=1,((F231+H231)/2*'Reeksen (N)'!AI231*12)+(('Invoer gegevens (N)'!$C$10-(F231+H231)/2)*'Reeksen (N)'!AD231*12),0)</f>
        <v>0</v>
      </c>
      <c r="AJ231" s="71">
        <f ca="1">-AI231*'Invoer gegevens (N)'!$F$28</f>
        <v>0</v>
      </c>
      <c r="AK231" s="71">
        <f t="shared" ca="1" si="34"/>
        <v>0</v>
      </c>
      <c r="AL231" s="71">
        <f ca="1">IF(C231=1,(12*((F231+H231)/2)*'Reeksen (N)'!AL231)+(12*('Invoer gegevens (N)'!$C$10-(F231+H231)/2)*'Reeksen (N)'!AM231),0)</f>
        <v>0</v>
      </c>
      <c r="AM231" s="71">
        <f ca="1">-AL231*'Invoer gegevens (N)'!$F$31</f>
        <v>0</v>
      </c>
      <c r="AN231" s="71">
        <f t="shared" ca="1" si="35"/>
        <v>0</v>
      </c>
      <c r="AO231" s="71"/>
      <c r="AP231" s="71"/>
      <c r="AQ231" s="71">
        <f ca="1">-IF(C231=1,('Invoer gegevens (N)'!$C$10*'Invoer gegevens (N)'!$F$35)*'Reeksen (N)'!J231,0)*2</f>
        <v>0</v>
      </c>
      <c r="AR231" s="71">
        <f ca="1">-IF(C231=1,(G231*'Invoer gegevens (N)'!$F$36)*'Reeksen (N)'!J231,0)</f>
        <v>0</v>
      </c>
      <c r="AS231" s="71">
        <f ca="1">-IF(C231=1,'Invoer gegevens (N)'!$C$10*'Invoer gegevens (N)'!$F$37*'Reeksen (N)'!L231,0)</f>
        <v>0</v>
      </c>
      <c r="AT231" s="71">
        <f ca="1">-IF(C231=1,IF(E231='Invoer gegevens (N)'!$C$17,'Invoer gegevens (N)'!$C$11,Q231)*'Reeksen (N)'!S231*'Invoer gegevens (N)'!$C$18*'Reeksen (N)'!P231,0)</f>
        <v>0</v>
      </c>
      <c r="AU231" s="71">
        <f ca="1">-IF(C231=1,'Invoer gegevens (N)'!$C$10*'Invoer gegevens (N)'!$F$38*'Reeksen (N)'!H231,0)</f>
        <v>0</v>
      </c>
      <c r="AV231" s="71">
        <v>0</v>
      </c>
      <c r="AW231" s="71">
        <f t="shared" ca="1" si="36"/>
        <v>0</v>
      </c>
      <c r="AX231" s="71">
        <f ca="1">IF(E231&lt;'Invoer gegevens (N)'!$C$17+15,0,IF('RW - MW - DE - DE (N)'!E231&gt;'Invoer gegevens (N)'!$C$17+215,0,'RW - MW - DE - DE (N)'!AW231))</f>
        <v>0</v>
      </c>
      <c r="AY231" s="71">
        <f ca="1">AX231/(1+'Invoer gegevens (N)'!$F$13)^($AZ231-('Invoer gegevens (N)'!$C$17-'Invoer gegevens (N)'!$C$16))/(1+'Invoer gegevens (N)'!$C$39)^('Invoer gegevens (N)'!$C$17-'Invoer gegevens (N)'!$C$16)</f>
        <v>0</v>
      </c>
      <c r="AZ231" s="68">
        <f ca="1">IF(E231-'Invoer gegevens (N)'!$C$17-14.5&lt;0,0,E231-'Invoer gegevens (N)'!$C$17-14.5)</f>
        <v>211.5</v>
      </c>
      <c r="BC231" s="71"/>
    </row>
    <row r="232" spans="1:60" s="230" customFormat="1" x14ac:dyDescent="0.25">
      <c r="A232" s="102"/>
      <c r="B232" s="70">
        <f t="shared" si="37"/>
        <v>228</v>
      </c>
      <c r="C232" s="67">
        <f ca="1">IF(E232-'Invoer gegevens (N)'!$C$17&lt;0,0,1)</f>
        <v>1</v>
      </c>
      <c r="D232" s="68">
        <f t="shared" si="38"/>
        <v>227.5</v>
      </c>
      <c r="E232" s="69">
        <f ca="1">IF('Invoer gegevens (N)'!$C$16="","",E231+1)</f>
        <v>2246</v>
      </c>
      <c r="F232" s="82">
        <f ca="1">IF('Invoer gegevens (N)'!$C$17=E232,'Invoer gegevens (N)'!$C$10,IF(C232=1,H231,0))</f>
        <v>0</v>
      </c>
      <c r="G232" s="83">
        <f ca="1">IF(C232&gt;=1,F232*'Reeksen (N)'!C232,0)</f>
        <v>0</v>
      </c>
      <c r="H232" s="84">
        <f t="shared" ca="1" si="31"/>
        <v>0</v>
      </c>
      <c r="I232" s="85">
        <f ca="1">IF('Invoer gegevens (N)'!$C$17=E232,'Invoer gegevens (N)'!$C$11,IF(C232=1,L231,0))</f>
        <v>0</v>
      </c>
      <c r="J232" s="86">
        <f ca="1">IF(C232&lt;1,0,IF('Reeksen (N)'!AD232&lt;='Reeksen (N)'!AE232,I232*'Reeksen (N)'!C232,0))</f>
        <v>0</v>
      </c>
      <c r="K232" s="86">
        <f ca="1">IF(C232&lt;1,0,IF('Reeksen (N)'!AD232&gt;'Reeksen (N)'!AE232,I232*'Reeksen (N)'!C232,0))</f>
        <v>0</v>
      </c>
      <c r="L232" s="86">
        <f t="shared" ca="1" si="32"/>
        <v>0</v>
      </c>
      <c r="M232" s="85">
        <f ca="1">IF('Invoer gegevens (N)'!$C$17=E232,'Invoer gegevens (N)'!$C$10-'Invoer gegevens (N)'!$C$11,IF(C232=1,P231,0))</f>
        <v>0</v>
      </c>
      <c r="N232" s="86">
        <f ca="1">IF(C232&lt;1,0,IF('Reeksen (N)'!AD232&lt;='Reeksen (N)'!AE232,M232*'Reeksen (N)'!C232,0))</f>
        <v>0</v>
      </c>
      <c r="O232" s="86">
        <f ca="1">IF(C232&lt;1,0,IF('Reeksen (N)'!AD232&gt;'Reeksen (N)'!AE232,M232*'Reeksen (N)'!C232,0))</f>
        <v>0</v>
      </c>
      <c r="P232" s="86">
        <f t="shared" ca="1" si="33"/>
        <v>0</v>
      </c>
      <c r="Q232" s="82">
        <f ca="1">IF('Invoer gegevens (N)'!$C$17=E232,I232,IF(C232=0,0,R231))</f>
        <v>0</v>
      </c>
      <c r="R232" s="84">
        <f t="shared" ca="1" si="30"/>
        <v>0</v>
      </c>
      <c r="S232" s="84">
        <f ca="1">IF('Invoer gegevens (N)'!$C$17=E232,M232,IF(C232=0,0,T231))</f>
        <v>0</v>
      </c>
      <c r="T232" s="84">
        <f t="shared" ca="1" si="39"/>
        <v>0</v>
      </c>
      <c r="AI232" s="71">
        <f ca="1">IF(C232=1,((F232+H232)/2*'Reeksen (N)'!AI232*12)+(('Invoer gegevens (N)'!$C$10-(F232+H232)/2)*'Reeksen (N)'!AD232*12),0)</f>
        <v>0</v>
      </c>
      <c r="AJ232" s="71">
        <f ca="1">-AI232*'Invoer gegevens (N)'!$F$28</f>
        <v>0</v>
      </c>
      <c r="AK232" s="71">
        <f t="shared" ca="1" si="34"/>
        <v>0</v>
      </c>
      <c r="AL232" s="71">
        <f ca="1">IF(C232=1,(12*((F232+H232)/2)*'Reeksen (N)'!AL232)+(12*('Invoer gegevens (N)'!$C$10-(F232+H232)/2)*'Reeksen (N)'!AM232),0)</f>
        <v>0</v>
      </c>
      <c r="AM232" s="71">
        <f ca="1">-AL232*'Invoer gegevens (N)'!$F$31</f>
        <v>0</v>
      </c>
      <c r="AN232" s="71">
        <f t="shared" ca="1" si="35"/>
        <v>0</v>
      </c>
      <c r="AO232" s="71"/>
      <c r="AP232" s="71"/>
      <c r="AQ232" s="71">
        <f ca="1">-IF(C232=1,('Invoer gegevens (N)'!$C$10*'Invoer gegevens (N)'!$F$35)*'Reeksen (N)'!J232,0)*2</f>
        <v>0</v>
      </c>
      <c r="AR232" s="71">
        <f ca="1">-IF(C232=1,(G232*'Invoer gegevens (N)'!$F$36)*'Reeksen (N)'!J232,0)</f>
        <v>0</v>
      </c>
      <c r="AS232" s="71">
        <f ca="1">-IF(C232=1,'Invoer gegevens (N)'!$C$10*'Invoer gegevens (N)'!$F$37*'Reeksen (N)'!L232,0)</f>
        <v>0</v>
      </c>
      <c r="AT232" s="71">
        <f ca="1">-IF(C232=1,IF(E232='Invoer gegevens (N)'!$C$17,'Invoer gegevens (N)'!$C$11,Q232)*'Reeksen (N)'!S232*'Invoer gegevens (N)'!$C$18*'Reeksen (N)'!P232,0)</f>
        <v>0</v>
      </c>
      <c r="AU232" s="71">
        <f ca="1">-IF(C232=1,'Invoer gegevens (N)'!$C$10*'Invoer gegevens (N)'!$F$38*'Reeksen (N)'!H232,0)</f>
        <v>0</v>
      </c>
      <c r="AV232" s="71">
        <v>0</v>
      </c>
      <c r="AW232" s="71">
        <f t="shared" ca="1" si="36"/>
        <v>0</v>
      </c>
      <c r="AX232" s="71">
        <f ca="1">IF(E232&lt;'Invoer gegevens (N)'!$C$17+15,0,IF('RW - MW - DE - DE (N)'!E232&gt;'Invoer gegevens (N)'!$C$17+215,0,'RW - MW - DE - DE (N)'!AW232))</f>
        <v>0</v>
      </c>
      <c r="AY232" s="71">
        <f ca="1">AX232/(1+'Invoer gegevens (N)'!$F$13)^($AZ232-('Invoer gegevens (N)'!$C$17-'Invoer gegevens (N)'!$C$16))/(1+'Invoer gegevens (N)'!$C$39)^('Invoer gegevens (N)'!$C$17-'Invoer gegevens (N)'!$C$16)</f>
        <v>0</v>
      </c>
      <c r="AZ232" s="68">
        <f ca="1">IF(E232-'Invoer gegevens (N)'!$C$17-14.5&lt;0,0,E232-'Invoer gegevens (N)'!$C$17-14.5)</f>
        <v>212.5</v>
      </c>
      <c r="BC232" s="71"/>
    </row>
    <row r="233" spans="1:60" s="230" customFormat="1" x14ac:dyDescent="0.25">
      <c r="B233" s="70">
        <f t="shared" si="37"/>
        <v>229</v>
      </c>
      <c r="C233" s="67">
        <f ca="1">IF(E233-'Invoer gegevens (N)'!$C$17&lt;0,0,1)</f>
        <v>1</v>
      </c>
      <c r="D233" s="68">
        <f t="shared" si="38"/>
        <v>228.5</v>
      </c>
      <c r="E233" s="69">
        <f ca="1">IF('Invoer gegevens (N)'!$C$16="","",E232+1)</f>
        <v>2247</v>
      </c>
      <c r="F233" s="82">
        <f ca="1">IF('Invoer gegevens (N)'!$C$17=E233,'Invoer gegevens (N)'!$C$10,IF(C233=1,H232,0))</f>
        <v>0</v>
      </c>
      <c r="G233" s="83">
        <f ca="1">IF(C233&gt;=1,F233*'Reeksen (N)'!C233,0)</f>
        <v>0</v>
      </c>
      <c r="H233" s="84">
        <f t="shared" ca="1" si="31"/>
        <v>0</v>
      </c>
      <c r="I233" s="85">
        <f ca="1">IF('Invoer gegevens (N)'!$C$17=E233,'Invoer gegevens (N)'!$C$11,IF(C233=1,L232,0))</f>
        <v>0</v>
      </c>
      <c r="J233" s="86">
        <f ca="1">IF(C233&lt;1,0,IF('Reeksen (N)'!AD233&lt;='Reeksen (N)'!AE233,I233*'Reeksen (N)'!C233,0))</f>
        <v>0</v>
      </c>
      <c r="K233" s="86">
        <f ca="1">IF(C233&lt;1,0,IF('Reeksen (N)'!AD233&gt;'Reeksen (N)'!AE233,I233*'Reeksen (N)'!C233,0))</f>
        <v>0</v>
      </c>
      <c r="L233" s="86">
        <f t="shared" ca="1" si="32"/>
        <v>0</v>
      </c>
      <c r="M233" s="85">
        <f ca="1">IF('Invoer gegevens (N)'!$C$17=E233,'Invoer gegevens (N)'!$C$10-'Invoer gegevens (N)'!$C$11,IF(C233=1,P232,0))</f>
        <v>0</v>
      </c>
      <c r="N233" s="86">
        <f ca="1">IF(C233&lt;1,0,IF('Reeksen (N)'!AD233&lt;='Reeksen (N)'!AE233,M233*'Reeksen (N)'!C233,0))</f>
        <v>0</v>
      </c>
      <c r="O233" s="86">
        <f ca="1">IF(C233&lt;1,0,IF('Reeksen (N)'!AD233&gt;'Reeksen (N)'!AE233,M233*'Reeksen (N)'!C233,0))</f>
        <v>0</v>
      </c>
      <c r="P233" s="86">
        <f t="shared" ca="1" si="33"/>
        <v>0</v>
      </c>
      <c r="Q233" s="82">
        <f ca="1">IF('Invoer gegevens (N)'!$C$17=E233,I233,IF(C233=0,0,R232))</f>
        <v>0</v>
      </c>
      <c r="R233" s="84">
        <f t="shared" ca="1" si="30"/>
        <v>0</v>
      </c>
      <c r="S233" s="84">
        <f ca="1">IF('Invoer gegevens (N)'!$C$17=E233,M233,IF(C233=0,0,T232))</f>
        <v>0</v>
      </c>
      <c r="T233" s="84">
        <f t="shared" ca="1" si="39"/>
        <v>0</v>
      </c>
      <c r="AI233" s="71">
        <f ca="1">IF(C233=1,((F233+H233)/2*'Reeksen (N)'!AI233*12)+(('Invoer gegevens (N)'!$C$10-(F233+H233)/2)*'Reeksen (N)'!AD233*12),0)</f>
        <v>0</v>
      </c>
      <c r="AJ233" s="71">
        <f ca="1">-AI233*'Invoer gegevens (N)'!$F$28</f>
        <v>0</v>
      </c>
      <c r="AK233" s="71">
        <f t="shared" ca="1" si="34"/>
        <v>0</v>
      </c>
      <c r="AL233" s="71">
        <f ca="1">IF(C233=1,(12*((F233+H233)/2)*'Reeksen (N)'!AL233)+(12*('Invoer gegevens (N)'!$C$10-(F233+H233)/2)*'Reeksen (N)'!AM233),0)</f>
        <v>0</v>
      </c>
      <c r="AM233" s="71">
        <f ca="1">-AL233*'Invoer gegevens (N)'!$F$31</f>
        <v>0</v>
      </c>
      <c r="AN233" s="71">
        <f t="shared" ca="1" si="35"/>
        <v>0</v>
      </c>
      <c r="AO233" s="71"/>
      <c r="AP233" s="71"/>
      <c r="AQ233" s="71">
        <f ca="1">-IF(C233=1,('Invoer gegevens (N)'!$C$10*'Invoer gegevens (N)'!$F$35)*'Reeksen (N)'!J233,0)*2</f>
        <v>0</v>
      </c>
      <c r="AR233" s="71">
        <f ca="1">-IF(C233=1,(G233*'Invoer gegevens (N)'!$F$36)*'Reeksen (N)'!J233,0)</f>
        <v>0</v>
      </c>
      <c r="AS233" s="71">
        <f ca="1">-IF(C233=1,'Invoer gegevens (N)'!$C$10*'Invoer gegevens (N)'!$F$37*'Reeksen (N)'!L233,0)</f>
        <v>0</v>
      </c>
      <c r="AT233" s="71">
        <f ca="1">-IF(C233=1,IF(E233='Invoer gegevens (N)'!$C$17,'Invoer gegevens (N)'!$C$11,Q233)*'Reeksen (N)'!S233*'Invoer gegevens (N)'!$C$18*'Reeksen (N)'!P233,0)</f>
        <v>0</v>
      </c>
      <c r="AU233" s="71">
        <f ca="1">-IF(C233=1,'Invoer gegevens (N)'!$C$10*'Invoer gegevens (N)'!$F$38*'Reeksen (N)'!H233,0)</f>
        <v>0</v>
      </c>
      <c r="AV233" s="71">
        <v>0</v>
      </c>
      <c r="AW233" s="71">
        <f t="shared" ca="1" si="36"/>
        <v>0</v>
      </c>
      <c r="AX233" s="71">
        <f ca="1">IF(E233&lt;'Invoer gegevens (N)'!$C$17+15,0,IF('RW - MW - DE - DE (N)'!E233&gt;'Invoer gegevens (N)'!$C$17+215,0,'RW - MW - DE - DE (N)'!AW233))</f>
        <v>0</v>
      </c>
      <c r="AY233" s="71">
        <f ca="1">AX233/(1+'Invoer gegevens (N)'!$F$13)^($AZ233-('Invoer gegevens (N)'!$C$17-'Invoer gegevens (N)'!$C$16))/(1+'Invoer gegevens (N)'!$C$39)^('Invoer gegevens (N)'!$C$17-'Invoer gegevens (N)'!$C$16)</f>
        <v>0</v>
      </c>
      <c r="AZ233" s="68">
        <f ca="1">IF(E233-'Invoer gegevens (N)'!$C$17-14.5&lt;0,0,E233-'Invoer gegevens (N)'!$C$17-14.5)</f>
        <v>213.5</v>
      </c>
      <c r="BC233" s="71"/>
    </row>
    <row r="234" spans="1:60" s="230" customFormat="1" x14ac:dyDescent="0.25">
      <c r="B234" s="70">
        <f t="shared" si="37"/>
        <v>230</v>
      </c>
      <c r="C234" s="67">
        <f ca="1">IF(E234-'Invoer gegevens (N)'!$C$17&lt;0,0,1)</f>
        <v>1</v>
      </c>
      <c r="D234" s="68">
        <f t="shared" si="38"/>
        <v>229.5</v>
      </c>
      <c r="E234" s="69">
        <f ca="1">IF('Invoer gegevens (N)'!$C$16="","",E233+1)</f>
        <v>2248</v>
      </c>
      <c r="F234" s="82">
        <f ca="1">IF('Invoer gegevens (N)'!$C$17=E234,'Invoer gegevens (N)'!$C$10,IF(C234=1,H233,0))</f>
        <v>0</v>
      </c>
      <c r="G234" s="83">
        <f ca="1">IF(C234&gt;=1,F234*'Reeksen (N)'!C234,0)</f>
        <v>0</v>
      </c>
      <c r="H234" s="84">
        <f t="shared" ca="1" si="31"/>
        <v>0</v>
      </c>
      <c r="I234" s="85">
        <f ca="1">IF('Invoer gegevens (N)'!$C$17=E234,'Invoer gegevens (N)'!$C$11,IF(C234=1,L233,0))</f>
        <v>0</v>
      </c>
      <c r="J234" s="86">
        <f ca="1">IF(C234&lt;1,0,IF('Reeksen (N)'!AD234&lt;='Reeksen (N)'!AE234,I234*'Reeksen (N)'!C234,0))</f>
        <v>0</v>
      </c>
      <c r="K234" s="86">
        <f ca="1">IF(C234&lt;1,0,IF('Reeksen (N)'!AD234&gt;'Reeksen (N)'!AE234,I234*'Reeksen (N)'!C234,0))</f>
        <v>0</v>
      </c>
      <c r="L234" s="86">
        <f t="shared" ca="1" si="32"/>
        <v>0</v>
      </c>
      <c r="M234" s="85">
        <f ca="1">IF('Invoer gegevens (N)'!$C$17=E234,'Invoer gegevens (N)'!$C$10-'Invoer gegevens (N)'!$C$11,IF(C234=1,P233,0))</f>
        <v>0</v>
      </c>
      <c r="N234" s="86">
        <f ca="1">IF(C234&lt;1,0,IF('Reeksen (N)'!AD234&lt;='Reeksen (N)'!AE234,M234*'Reeksen (N)'!C234,0))</f>
        <v>0</v>
      </c>
      <c r="O234" s="86">
        <f ca="1">IF(C234&lt;1,0,IF('Reeksen (N)'!AD234&gt;'Reeksen (N)'!AE234,M234*'Reeksen (N)'!C234,0))</f>
        <v>0</v>
      </c>
      <c r="P234" s="86">
        <f t="shared" ca="1" si="33"/>
        <v>0</v>
      </c>
      <c r="Q234" s="82">
        <f ca="1">IF('Invoer gegevens (N)'!$C$17=E234,I234,IF(C234=0,0,R233))</f>
        <v>0</v>
      </c>
      <c r="R234" s="84">
        <f t="shared" ca="1" si="30"/>
        <v>0</v>
      </c>
      <c r="S234" s="84">
        <f ca="1">IF('Invoer gegevens (N)'!$C$17=E234,M234,IF(C234=0,0,T233))</f>
        <v>0</v>
      </c>
      <c r="T234" s="84">
        <f t="shared" ca="1" si="39"/>
        <v>0</v>
      </c>
      <c r="AI234" s="71">
        <f ca="1">IF(C234=1,((F234+H234)/2*'Reeksen (N)'!AI234*12)+(('Invoer gegevens (N)'!$C$10-(F234+H234)/2)*'Reeksen (N)'!AD234*12),0)</f>
        <v>0</v>
      </c>
      <c r="AJ234" s="71">
        <f ca="1">-AI234*'Invoer gegevens (N)'!$F$28</f>
        <v>0</v>
      </c>
      <c r="AK234" s="71">
        <f t="shared" ca="1" si="34"/>
        <v>0</v>
      </c>
      <c r="AL234" s="71">
        <f ca="1">IF(C234=1,(12*((F234+H234)/2)*'Reeksen (N)'!AL234)+(12*('Invoer gegevens (N)'!$C$10-(F234+H234)/2)*'Reeksen (N)'!AM234),0)</f>
        <v>0</v>
      </c>
      <c r="AM234" s="71">
        <f ca="1">-AL234*'Invoer gegevens (N)'!$F$31</f>
        <v>0</v>
      </c>
      <c r="AN234" s="71">
        <f t="shared" ca="1" si="35"/>
        <v>0</v>
      </c>
      <c r="AO234" s="71"/>
      <c r="AP234" s="71"/>
      <c r="AQ234" s="71">
        <f ca="1">-IF(C234=1,('Invoer gegevens (N)'!$C$10*'Invoer gegevens (N)'!$F$35)*'Reeksen (N)'!J234,0)*2</f>
        <v>0</v>
      </c>
      <c r="AR234" s="71">
        <f ca="1">-IF(C234=1,(G234*'Invoer gegevens (N)'!$F$36)*'Reeksen (N)'!J234,0)</f>
        <v>0</v>
      </c>
      <c r="AS234" s="71">
        <f ca="1">-IF(C234=1,'Invoer gegevens (N)'!$C$10*'Invoer gegevens (N)'!$F$37*'Reeksen (N)'!L234,0)</f>
        <v>0</v>
      </c>
      <c r="AT234" s="71">
        <f ca="1">-IF(C234=1,IF(E234='Invoer gegevens (N)'!$C$17,'Invoer gegevens (N)'!$C$11,Q234)*'Reeksen (N)'!S234*'Invoer gegevens (N)'!$C$18*'Reeksen (N)'!P234,0)</f>
        <v>0</v>
      </c>
      <c r="AU234" s="71">
        <f ca="1">-IF(C234=1,'Invoer gegevens (N)'!$C$10*'Invoer gegevens (N)'!$F$38*'Reeksen (N)'!H234,0)</f>
        <v>0</v>
      </c>
      <c r="AV234" s="71">
        <v>0</v>
      </c>
      <c r="AW234" s="71">
        <f t="shared" ca="1" si="36"/>
        <v>0</v>
      </c>
      <c r="AX234" s="71">
        <f ca="1">IF(E234&lt;'Invoer gegevens (N)'!$C$17+15,0,IF('RW - MW - DE - DE (N)'!E234&gt;'Invoer gegevens (N)'!$C$17+215,0,'RW - MW - DE - DE (N)'!AW234))</f>
        <v>0</v>
      </c>
      <c r="AY234" s="71">
        <f ca="1">AX234/(1+'Invoer gegevens (N)'!$F$13)^($AZ234-('Invoer gegevens (N)'!$C$17-'Invoer gegevens (N)'!$C$16))/(1+'Invoer gegevens (N)'!$C$39)^('Invoer gegevens (N)'!$C$17-'Invoer gegevens (N)'!$C$16)</f>
        <v>0</v>
      </c>
      <c r="AZ234" s="68">
        <f ca="1">IF(E234-'Invoer gegevens (N)'!$C$17-14.5&lt;0,0,E234-'Invoer gegevens (N)'!$C$17-14.5)</f>
        <v>214.5</v>
      </c>
      <c r="BC234" s="71"/>
    </row>
    <row r="235" spans="1:60" s="230" customFormat="1" x14ac:dyDescent="0.25">
      <c r="A235" s="102"/>
      <c r="B235" s="70"/>
      <c r="C235" s="67"/>
      <c r="D235" s="68"/>
      <c r="E235" s="69"/>
      <c r="F235" s="84"/>
      <c r="G235" s="83"/>
      <c r="H235" s="84"/>
      <c r="I235" s="86"/>
      <c r="J235" s="86"/>
      <c r="K235" s="86"/>
      <c r="L235" s="86"/>
      <c r="M235" s="86"/>
      <c r="N235" s="86"/>
      <c r="O235" s="86"/>
      <c r="P235" s="86"/>
      <c r="Q235" s="84"/>
      <c r="R235" s="84"/>
      <c r="S235" s="84"/>
      <c r="T235" s="84"/>
    </row>
    <row r="236" spans="1:60" s="230" customFormat="1" x14ac:dyDescent="0.25">
      <c r="A236" s="102"/>
      <c r="B236" s="70"/>
      <c r="C236" s="67"/>
      <c r="D236" s="68"/>
      <c r="E236" s="69"/>
      <c r="F236" s="84"/>
      <c r="G236" s="83"/>
      <c r="H236" s="84"/>
      <c r="I236" s="86"/>
      <c r="J236" s="86"/>
      <c r="K236" s="86"/>
      <c r="L236" s="86"/>
      <c r="M236" s="86"/>
      <c r="N236" s="86"/>
      <c r="O236" s="86"/>
      <c r="P236" s="86"/>
      <c r="Q236" s="84"/>
      <c r="R236" s="84"/>
      <c r="S236" s="84"/>
      <c r="T236" s="84"/>
      <c r="AY236" s="78">
        <f ca="1">SUM(AY5:AY234)</f>
        <v>0</v>
      </c>
      <c r="AZ236" s="71"/>
    </row>
    <row r="237" spans="1:60" s="230" customFormat="1" x14ac:dyDescent="0.25"/>
    <row r="238" spans="1:60" ht="15.75" x14ac:dyDescent="0.25">
      <c r="A238" s="103"/>
      <c r="B238" s="103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</row>
    <row r="239" spans="1:60" x14ac:dyDescent="0.25">
      <c r="A239" s="59"/>
      <c r="B239" s="70"/>
      <c r="C239" s="70"/>
      <c r="D239" s="70"/>
      <c r="E239" s="70"/>
      <c r="F239" s="398"/>
      <c r="G239" s="398"/>
      <c r="H239" s="398"/>
      <c r="I239" s="398"/>
      <c r="J239" s="398"/>
      <c r="K239" s="398"/>
      <c r="L239" s="401"/>
      <c r="M239" s="401"/>
      <c r="N239" s="401"/>
      <c r="O239" s="401"/>
      <c r="P239" s="401"/>
      <c r="Q239" s="401"/>
      <c r="R239" s="398"/>
      <c r="S239" s="398"/>
      <c r="T239" s="398"/>
      <c r="U239" s="398"/>
      <c r="V239" s="398"/>
      <c r="W239" s="398"/>
      <c r="X239" s="398"/>
      <c r="Y239" s="398"/>
      <c r="Z239" s="398"/>
      <c r="AA239" s="398"/>
      <c r="AB239" s="398"/>
      <c r="AC239" s="398"/>
      <c r="AD239" s="398"/>
      <c r="AE239" s="398"/>
      <c r="AF239" s="398"/>
      <c r="AG239" s="398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</row>
    <row r="240" spans="1:60" x14ac:dyDescent="0.25">
      <c r="A240" s="59"/>
      <c r="B240" s="95"/>
      <c r="C240" s="95"/>
      <c r="D240" s="95"/>
      <c r="E240" s="95"/>
      <c r="F240" s="409"/>
      <c r="G240" s="409"/>
      <c r="H240" s="409"/>
      <c r="I240" s="409"/>
      <c r="J240" s="409"/>
      <c r="K240" s="106"/>
      <c r="L240" s="410"/>
      <c r="M240" s="410"/>
      <c r="N240" s="410"/>
      <c r="O240" s="410"/>
      <c r="P240" s="410"/>
      <c r="Q240" s="410"/>
      <c r="R240" s="410"/>
      <c r="S240" s="409"/>
      <c r="T240" s="409"/>
      <c r="U240" s="409"/>
      <c r="V240" s="409"/>
      <c r="W240" s="410"/>
      <c r="X240" s="410"/>
      <c r="Y240" s="410"/>
      <c r="Z240" s="410"/>
      <c r="AA240" s="410"/>
      <c r="AB240" s="410"/>
      <c r="AC240" s="410"/>
      <c r="AD240" s="411"/>
      <c r="AE240" s="409"/>
      <c r="AF240" s="409"/>
      <c r="AG240" s="106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64"/>
      <c r="AV240" s="64"/>
      <c r="AW240" s="64"/>
      <c r="AX240" s="95"/>
      <c r="AY240" s="64"/>
      <c r="AZ240" s="95"/>
      <c r="BA240" s="95"/>
      <c r="BB240" s="95"/>
      <c r="BC240" s="95"/>
      <c r="BD240" s="95"/>
      <c r="BE240" s="95"/>
      <c r="BF240" s="95"/>
      <c r="BG240" s="95"/>
      <c r="BH240" s="95"/>
    </row>
    <row r="241" spans="1:60" x14ac:dyDescent="0.25">
      <c r="A241" s="59"/>
      <c r="B241" s="95"/>
      <c r="C241" s="95"/>
      <c r="D241" s="95"/>
      <c r="E241" s="95"/>
      <c r="F241" s="409"/>
      <c r="G241" s="409"/>
      <c r="H241" s="409"/>
      <c r="I241" s="409"/>
      <c r="J241" s="409"/>
      <c r="K241" s="106"/>
      <c r="L241" s="410"/>
      <c r="M241" s="410"/>
      <c r="N241" s="410"/>
      <c r="O241" s="410"/>
      <c r="P241" s="410"/>
      <c r="Q241" s="410"/>
      <c r="R241" s="410"/>
      <c r="S241" s="409"/>
      <c r="T241" s="409"/>
      <c r="U241" s="409"/>
      <c r="V241" s="409"/>
      <c r="W241" s="410"/>
      <c r="X241" s="410"/>
      <c r="Y241" s="410"/>
      <c r="Z241" s="410"/>
      <c r="AA241" s="410"/>
      <c r="AB241" s="410"/>
      <c r="AC241" s="410"/>
      <c r="AD241" s="411"/>
      <c r="AE241" s="409"/>
      <c r="AF241" s="409"/>
      <c r="AG241" s="106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64"/>
      <c r="AV241" s="64"/>
      <c r="AW241" s="64"/>
      <c r="AX241" s="95"/>
      <c r="AY241" s="64"/>
      <c r="AZ241" s="95"/>
      <c r="BA241" s="95"/>
      <c r="BB241" s="95"/>
      <c r="BC241" s="95"/>
      <c r="BD241" s="95"/>
      <c r="BE241" s="95"/>
      <c r="BF241" s="95"/>
      <c r="BG241" s="95"/>
      <c r="BH241" s="107"/>
    </row>
    <row r="242" spans="1:60" x14ac:dyDescent="0.25">
      <c r="A242" s="59"/>
      <c r="B242" s="66"/>
      <c r="C242" s="67"/>
      <c r="D242" s="68"/>
      <c r="E242" s="69"/>
      <c r="F242" s="84"/>
      <c r="G242" s="83"/>
      <c r="H242" s="84"/>
      <c r="I242" s="84"/>
      <c r="J242" s="84"/>
      <c r="K242" s="84"/>
      <c r="L242" s="84"/>
      <c r="M242" s="83"/>
      <c r="N242" s="84"/>
      <c r="O242" s="84"/>
      <c r="P242" s="84"/>
      <c r="Q242" s="84"/>
      <c r="R242" s="84"/>
      <c r="S242" s="86"/>
      <c r="T242" s="84"/>
      <c r="U242" s="84"/>
      <c r="V242" s="86"/>
      <c r="W242" s="84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66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2"/>
      <c r="AY242" s="72"/>
      <c r="BA242" s="73"/>
      <c r="BB242" s="73"/>
      <c r="BC242" s="73"/>
      <c r="BD242" s="72"/>
      <c r="BE242" s="72"/>
      <c r="BF242" s="72"/>
      <c r="BG242" s="72"/>
      <c r="BH242" s="72"/>
    </row>
    <row r="243" spans="1:60" x14ac:dyDescent="0.25">
      <c r="A243" s="59"/>
      <c r="B243" s="70"/>
      <c r="C243" s="67"/>
      <c r="D243" s="68"/>
      <c r="E243" s="69"/>
      <c r="F243" s="84"/>
      <c r="G243" s="83"/>
      <c r="H243" s="84"/>
      <c r="I243" s="84"/>
      <c r="J243" s="84"/>
      <c r="K243" s="84"/>
      <c r="L243" s="84"/>
      <c r="M243" s="83"/>
      <c r="N243" s="84"/>
      <c r="O243" s="84"/>
      <c r="P243" s="84"/>
      <c r="Q243" s="84"/>
      <c r="R243" s="84"/>
      <c r="S243" s="86"/>
      <c r="T243" s="84"/>
      <c r="U243" s="84"/>
      <c r="V243" s="86"/>
      <c r="W243" s="84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66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2"/>
      <c r="AY243" s="72"/>
      <c r="BA243" s="73"/>
      <c r="BB243" s="73"/>
      <c r="BC243" s="73"/>
      <c r="BD243" s="72"/>
      <c r="BE243" s="72"/>
      <c r="BF243" s="72"/>
      <c r="BG243" s="72"/>
      <c r="BH243" s="72"/>
    </row>
    <row r="244" spans="1:60" x14ac:dyDescent="0.25">
      <c r="A244" s="59"/>
      <c r="B244" s="70"/>
      <c r="C244" s="67"/>
      <c r="D244" s="68"/>
      <c r="E244" s="69"/>
      <c r="F244" s="84"/>
      <c r="G244" s="83"/>
      <c r="H244" s="84"/>
      <c r="I244" s="84"/>
      <c r="J244" s="84"/>
      <c r="K244" s="84"/>
      <c r="L244" s="84"/>
      <c r="M244" s="83"/>
      <c r="N244" s="84"/>
      <c r="O244" s="84"/>
      <c r="P244" s="84"/>
      <c r="Q244" s="84"/>
      <c r="R244" s="84"/>
      <c r="S244" s="86"/>
      <c r="T244" s="84"/>
      <c r="U244" s="84"/>
      <c r="V244" s="86"/>
      <c r="W244" s="84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66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2"/>
      <c r="AY244" s="72"/>
      <c r="BA244" s="73"/>
      <c r="BB244" s="73"/>
      <c r="BC244" s="73"/>
      <c r="BD244" s="72"/>
      <c r="BE244" s="72"/>
      <c r="BF244" s="72"/>
      <c r="BG244" s="72"/>
      <c r="BH244" s="72"/>
    </row>
    <row r="245" spans="1:60" x14ac:dyDescent="0.25">
      <c r="A245" s="59"/>
      <c r="B245" s="70"/>
      <c r="C245" s="67"/>
      <c r="D245" s="68"/>
      <c r="E245" s="69"/>
      <c r="F245" s="84"/>
      <c r="G245" s="83"/>
      <c r="H245" s="84"/>
      <c r="I245" s="84"/>
      <c r="J245" s="84"/>
      <c r="K245" s="84"/>
      <c r="L245" s="84"/>
      <c r="M245" s="83"/>
      <c r="N245" s="84"/>
      <c r="O245" s="84"/>
      <c r="P245" s="84"/>
      <c r="Q245" s="84"/>
      <c r="R245" s="84"/>
      <c r="S245" s="86"/>
      <c r="T245" s="84"/>
      <c r="U245" s="84"/>
      <c r="V245" s="86"/>
      <c r="W245" s="84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66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2"/>
      <c r="AY245" s="72"/>
      <c r="BA245" s="73"/>
      <c r="BB245" s="73"/>
      <c r="BC245" s="73"/>
      <c r="BD245" s="72"/>
      <c r="BE245" s="72"/>
      <c r="BF245" s="72"/>
      <c r="BG245" s="72"/>
      <c r="BH245" s="72"/>
    </row>
    <row r="246" spans="1:60" x14ac:dyDescent="0.25">
      <c r="A246" s="59"/>
      <c r="B246" s="70"/>
      <c r="C246" s="67"/>
      <c r="D246" s="68"/>
      <c r="E246" s="69"/>
      <c r="F246" s="84"/>
      <c r="G246" s="83"/>
      <c r="H246" s="84"/>
      <c r="I246" s="84"/>
      <c r="J246" s="84"/>
      <c r="K246" s="84"/>
      <c r="L246" s="84"/>
      <c r="M246" s="83"/>
      <c r="N246" s="84"/>
      <c r="O246" s="84"/>
      <c r="P246" s="84"/>
      <c r="Q246" s="84"/>
      <c r="R246" s="84"/>
      <c r="S246" s="86"/>
      <c r="T246" s="84"/>
      <c r="U246" s="84"/>
      <c r="V246" s="86"/>
      <c r="W246" s="84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66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2"/>
      <c r="AY246" s="72"/>
      <c r="BA246" s="73"/>
      <c r="BB246" s="73"/>
      <c r="BC246" s="73"/>
      <c r="BD246" s="72"/>
      <c r="BE246" s="72"/>
      <c r="BF246" s="72"/>
      <c r="BG246" s="72"/>
      <c r="BH246" s="72"/>
    </row>
    <row r="247" spans="1:60" x14ac:dyDescent="0.25">
      <c r="A247" s="59"/>
      <c r="B247" s="70"/>
      <c r="C247" s="67"/>
      <c r="D247" s="68"/>
      <c r="E247" s="69"/>
      <c r="F247" s="84"/>
      <c r="G247" s="83"/>
      <c r="H247" s="84"/>
      <c r="I247" s="84"/>
      <c r="J247" s="84"/>
      <c r="K247" s="84"/>
      <c r="L247" s="84"/>
      <c r="M247" s="83"/>
      <c r="N247" s="84"/>
      <c r="O247" s="84"/>
      <c r="P247" s="84"/>
      <c r="Q247" s="84"/>
      <c r="R247" s="84"/>
      <c r="S247" s="86"/>
      <c r="T247" s="84"/>
      <c r="U247" s="84"/>
      <c r="V247" s="86"/>
      <c r="W247" s="84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66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2"/>
      <c r="AY247" s="72"/>
      <c r="BA247" s="73"/>
      <c r="BB247" s="73"/>
      <c r="BC247" s="73"/>
      <c r="BD247" s="72"/>
      <c r="BE247" s="72"/>
      <c r="BF247" s="72"/>
      <c r="BG247" s="72"/>
      <c r="BH247" s="72"/>
    </row>
    <row r="248" spans="1:60" x14ac:dyDescent="0.25">
      <c r="A248" s="59"/>
      <c r="B248" s="70"/>
      <c r="C248" s="67"/>
      <c r="D248" s="68"/>
      <c r="E248" s="69"/>
      <c r="F248" s="84"/>
      <c r="G248" s="83"/>
      <c r="H248" s="84"/>
      <c r="I248" s="84"/>
      <c r="J248" s="84"/>
      <c r="K248" s="84"/>
      <c r="L248" s="84"/>
      <c r="M248" s="83"/>
      <c r="N248" s="84"/>
      <c r="O248" s="84"/>
      <c r="P248" s="84"/>
      <c r="Q248" s="84"/>
      <c r="R248" s="84"/>
      <c r="S248" s="86"/>
      <c r="T248" s="84"/>
      <c r="U248" s="84"/>
      <c r="V248" s="86"/>
      <c r="W248" s="84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66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2"/>
      <c r="AY248" s="72"/>
      <c r="BA248" s="73"/>
      <c r="BB248" s="73"/>
      <c r="BC248" s="73"/>
      <c r="BD248" s="72"/>
      <c r="BE248" s="72"/>
      <c r="BF248" s="72"/>
      <c r="BG248" s="72"/>
      <c r="BH248" s="72"/>
    </row>
    <row r="249" spans="1:60" x14ac:dyDescent="0.25">
      <c r="A249" s="59"/>
      <c r="B249" s="70"/>
      <c r="C249" s="67"/>
      <c r="D249" s="68"/>
      <c r="E249" s="69"/>
      <c r="F249" s="84"/>
      <c r="G249" s="83"/>
      <c r="H249" s="84"/>
      <c r="I249" s="84"/>
      <c r="J249" s="84"/>
      <c r="K249" s="84"/>
      <c r="L249" s="84"/>
      <c r="M249" s="83"/>
      <c r="N249" s="84"/>
      <c r="O249" s="84"/>
      <c r="P249" s="84"/>
      <c r="Q249" s="84"/>
      <c r="R249" s="84"/>
      <c r="S249" s="86"/>
      <c r="T249" s="84"/>
      <c r="U249" s="84"/>
      <c r="V249" s="86"/>
      <c r="W249" s="84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66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2"/>
      <c r="AY249" s="72"/>
      <c r="BA249" s="73"/>
      <c r="BB249" s="73"/>
      <c r="BC249" s="73"/>
      <c r="BD249" s="72"/>
      <c r="BE249" s="72"/>
      <c r="BF249" s="72"/>
      <c r="BG249" s="72"/>
      <c r="BH249" s="72"/>
    </row>
    <row r="250" spans="1:60" x14ac:dyDescent="0.25">
      <c r="A250" s="59"/>
      <c r="B250" s="70"/>
      <c r="C250" s="67"/>
      <c r="D250" s="68"/>
      <c r="E250" s="69"/>
      <c r="F250" s="84"/>
      <c r="G250" s="83"/>
      <c r="H250" s="84"/>
      <c r="I250" s="84"/>
      <c r="J250" s="84"/>
      <c r="K250" s="84"/>
      <c r="L250" s="84"/>
      <c r="M250" s="83"/>
      <c r="N250" s="84"/>
      <c r="O250" s="84"/>
      <c r="P250" s="84"/>
      <c r="Q250" s="84"/>
      <c r="R250" s="84"/>
      <c r="S250" s="86"/>
      <c r="T250" s="84"/>
      <c r="U250" s="84"/>
      <c r="V250" s="86"/>
      <c r="W250" s="84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66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2"/>
      <c r="AY250" s="72"/>
      <c r="BA250" s="73"/>
      <c r="BB250" s="73"/>
      <c r="BC250" s="73"/>
      <c r="BD250" s="72"/>
      <c r="BE250" s="72"/>
      <c r="BF250" s="72"/>
      <c r="BG250" s="72"/>
      <c r="BH250" s="72"/>
    </row>
    <row r="251" spans="1:60" x14ac:dyDescent="0.25">
      <c r="A251" s="59"/>
      <c r="B251" s="70"/>
      <c r="C251" s="67"/>
      <c r="D251" s="68"/>
      <c r="E251" s="69"/>
      <c r="F251" s="84"/>
      <c r="G251" s="83"/>
      <c r="H251" s="84"/>
      <c r="I251" s="84"/>
      <c r="J251" s="84"/>
      <c r="K251" s="84"/>
      <c r="L251" s="84"/>
      <c r="M251" s="83"/>
      <c r="N251" s="84"/>
      <c r="O251" s="84"/>
      <c r="P251" s="84"/>
      <c r="Q251" s="84"/>
      <c r="R251" s="84"/>
      <c r="S251" s="86"/>
      <c r="T251" s="84"/>
      <c r="U251" s="84"/>
      <c r="V251" s="86"/>
      <c r="W251" s="84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66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2"/>
      <c r="AY251" s="72"/>
      <c r="BA251" s="73"/>
      <c r="BB251" s="73"/>
      <c r="BC251" s="73"/>
      <c r="BD251" s="72"/>
      <c r="BE251" s="72"/>
      <c r="BF251" s="72"/>
      <c r="BG251" s="72"/>
      <c r="BH251" s="72"/>
    </row>
    <row r="252" spans="1:60" x14ac:dyDescent="0.25">
      <c r="A252" s="59"/>
      <c r="B252" s="70"/>
      <c r="C252" s="67"/>
      <c r="D252" s="68"/>
      <c r="E252" s="69"/>
      <c r="F252" s="84"/>
      <c r="G252" s="83"/>
      <c r="H252" s="84"/>
      <c r="I252" s="84"/>
      <c r="J252" s="84"/>
      <c r="K252" s="84"/>
      <c r="L252" s="84"/>
      <c r="M252" s="83"/>
      <c r="N252" s="84"/>
      <c r="O252" s="84"/>
      <c r="P252" s="84"/>
      <c r="Q252" s="84"/>
      <c r="R252" s="84"/>
      <c r="S252" s="86"/>
      <c r="T252" s="84"/>
      <c r="U252" s="84"/>
      <c r="V252" s="86"/>
      <c r="W252" s="84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66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2"/>
      <c r="AY252" s="72"/>
      <c r="BA252" s="73"/>
      <c r="BB252" s="73"/>
      <c r="BC252" s="73"/>
      <c r="BD252" s="72"/>
      <c r="BE252" s="72"/>
      <c r="BF252" s="72"/>
      <c r="BG252" s="72"/>
      <c r="BH252" s="72"/>
    </row>
    <row r="253" spans="1:60" x14ac:dyDescent="0.25">
      <c r="A253" s="59"/>
      <c r="B253" s="70"/>
      <c r="C253" s="67"/>
      <c r="D253" s="68"/>
      <c r="E253" s="69"/>
      <c r="F253" s="84"/>
      <c r="G253" s="83"/>
      <c r="H253" s="84"/>
      <c r="I253" s="84"/>
      <c r="J253" s="84"/>
      <c r="K253" s="84"/>
      <c r="L253" s="84"/>
      <c r="M253" s="83"/>
      <c r="N253" s="84"/>
      <c r="O253" s="84"/>
      <c r="P253" s="84"/>
      <c r="Q253" s="84"/>
      <c r="R253" s="84"/>
      <c r="S253" s="86"/>
      <c r="T253" s="84"/>
      <c r="U253" s="84"/>
      <c r="V253" s="86"/>
      <c r="W253" s="84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66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2"/>
      <c r="AY253" s="72"/>
      <c r="BA253" s="73"/>
      <c r="BB253" s="73"/>
      <c r="BC253" s="73"/>
      <c r="BD253" s="72"/>
      <c r="BE253" s="72"/>
      <c r="BF253" s="72"/>
      <c r="BG253" s="72"/>
      <c r="BH253" s="72"/>
    </row>
    <row r="254" spans="1:60" x14ac:dyDescent="0.25">
      <c r="A254" s="59"/>
      <c r="B254" s="70"/>
      <c r="C254" s="67"/>
      <c r="D254" s="68"/>
      <c r="E254" s="69"/>
      <c r="F254" s="84"/>
      <c r="G254" s="83"/>
      <c r="H254" s="84"/>
      <c r="I254" s="84"/>
      <c r="J254" s="84"/>
      <c r="K254" s="84"/>
      <c r="L254" s="84"/>
      <c r="M254" s="83"/>
      <c r="N254" s="84"/>
      <c r="O254" s="84"/>
      <c r="P254" s="84"/>
      <c r="Q254" s="84"/>
      <c r="R254" s="84"/>
      <c r="S254" s="86"/>
      <c r="T254" s="84"/>
      <c r="U254" s="84"/>
      <c r="V254" s="86"/>
      <c r="W254" s="84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66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2"/>
      <c r="AY254" s="72"/>
      <c r="BA254" s="73"/>
      <c r="BB254" s="73"/>
      <c r="BC254" s="73"/>
      <c r="BD254" s="72"/>
      <c r="BE254" s="72"/>
      <c r="BF254" s="72"/>
      <c r="BG254" s="72"/>
      <c r="BH254" s="72"/>
    </row>
    <row r="255" spans="1:60" x14ac:dyDescent="0.25">
      <c r="A255" s="59"/>
      <c r="B255" s="70"/>
      <c r="C255" s="67"/>
      <c r="D255" s="68"/>
      <c r="E255" s="69"/>
      <c r="F255" s="84"/>
      <c r="G255" s="83"/>
      <c r="H255" s="84"/>
      <c r="I255" s="84"/>
      <c r="J255" s="84"/>
      <c r="K255" s="84"/>
      <c r="L255" s="84"/>
      <c r="M255" s="83"/>
      <c r="N255" s="84"/>
      <c r="O255" s="84"/>
      <c r="P255" s="84"/>
      <c r="Q255" s="84"/>
      <c r="R255" s="84"/>
      <c r="S255" s="86"/>
      <c r="T255" s="84"/>
      <c r="U255" s="84"/>
      <c r="V255" s="86"/>
      <c r="W255" s="84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66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2"/>
      <c r="AY255" s="72"/>
      <c r="BA255" s="73"/>
      <c r="BB255" s="73"/>
      <c r="BC255" s="73"/>
      <c r="BD255" s="72"/>
      <c r="BE255" s="72"/>
      <c r="BF255" s="72"/>
      <c r="BG255" s="72"/>
      <c r="BH255" s="72"/>
    </row>
    <row r="256" spans="1:60" x14ac:dyDescent="0.25">
      <c r="A256" s="59"/>
      <c r="B256" s="70"/>
      <c r="C256" s="67"/>
      <c r="D256" s="68"/>
      <c r="E256" s="69"/>
      <c r="F256" s="84"/>
      <c r="G256" s="83"/>
      <c r="H256" s="84"/>
      <c r="I256" s="84"/>
      <c r="J256" s="84"/>
      <c r="K256" s="84"/>
      <c r="L256" s="84"/>
      <c r="M256" s="83"/>
      <c r="N256" s="84"/>
      <c r="O256" s="84"/>
      <c r="P256" s="84"/>
      <c r="Q256" s="84"/>
      <c r="R256" s="84"/>
      <c r="S256" s="86"/>
      <c r="T256" s="84"/>
      <c r="U256" s="84"/>
      <c r="V256" s="86"/>
      <c r="W256" s="84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66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2"/>
      <c r="AY256" s="72"/>
      <c r="BA256" s="73"/>
      <c r="BB256" s="73"/>
      <c r="BC256" s="73"/>
      <c r="BD256" s="72"/>
      <c r="BE256" s="72"/>
      <c r="BF256" s="72"/>
      <c r="BG256" s="72"/>
      <c r="BH256" s="72"/>
    </row>
    <row r="257" spans="1:60" x14ac:dyDescent="0.25">
      <c r="A257" s="59"/>
      <c r="B257" s="70"/>
      <c r="C257" s="67"/>
      <c r="D257" s="68"/>
      <c r="E257" s="69"/>
      <c r="F257" s="84"/>
      <c r="G257" s="83"/>
      <c r="H257" s="84"/>
      <c r="I257" s="84"/>
      <c r="J257" s="84"/>
      <c r="K257" s="84"/>
      <c r="L257" s="84"/>
      <c r="M257" s="83"/>
      <c r="N257" s="84"/>
      <c r="O257" s="84"/>
      <c r="P257" s="84"/>
      <c r="Q257" s="84"/>
      <c r="R257" s="84"/>
      <c r="S257" s="86"/>
      <c r="T257" s="84"/>
      <c r="U257" s="84"/>
      <c r="V257" s="86"/>
      <c r="W257" s="84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66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2"/>
      <c r="AY257" s="72"/>
      <c r="BA257" s="73"/>
      <c r="BB257" s="73"/>
      <c r="BC257" s="73"/>
      <c r="BD257" s="72"/>
      <c r="BE257" s="72"/>
      <c r="BF257" s="72"/>
      <c r="BG257" s="72"/>
      <c r="BH257" s="72"/>
    </row>
    <row r="258" spans="1:60" x14ac:dyDescent="0.25">
      <c r="A258" s="59"/>
      <c r="B258" s="70"/>
      <c r="C258" s="67"/>
      <c r="D258" s="68"/>
      <c r="E258" s="69"/>
      <c r="F258" s="84"/>
      <c r="G258" s="83"/>
      <c r="H258" s="84"/>
      <c r="I258" s="84"/>
      <c r="J258" s="84"/>
      <c r="K258" s="84"/>
      <c r="L258" s="84"/>
      <c r="M258" s="83"/>
      <c r="N258" s="84"/>
      <c r="O258" s="84"/>
      <c r="P258" s="84"/>
      <c r="Q258" s="84"/>
      <c r="R258" s="84"/>
      <c r="S258" s="86"/>
      <c r="T258" s="84"/>
      <c r="U258" s="84"/>
      <c r="V258" s="86"/>
      <c r="W258" s="84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66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2"/>
      <c r="AY258" s="72"/>
      <c r="BA258" s="73"/>
      <c r="BB258" s="73"/>
      <c r="BC258" s="73"/>
      <c r="BD258" s="72"/>
      <c r="BE258" s="72"/>
      <c r="BF258" s="72"/>
      <c r="BG258" s="72"/>
      <c r="BH258" s="72"/>
    </row>
    <row r="259" spans="1:60" x14ac:dyDescent="0.25">
      <c r="A259" s="59"/>
      <c r="B259" s="70"/>
      <c r="C259" s="67"/>
      <c r="D259" s="68"/>
      <c r="E259" s="69"/>
      <c r="F259" s="84"/>
      <c r="G259" s="83"/>
      <c r="H259" s="84"/>
      <c r="I259" s="84"/>
      <c r="J259" s="84"/>
      <c r="K259" s="84"/>
      <c r="L259" s="84"/>
      <c r="M259" s="83"/>
      <c r="N259" s="84"/>
      <c r="O259" s="84"/>
      <c r="P259" s="84"/>
      <c r="Q259" s="84"/>
      <c r="R259" s="84"/>
      <c r="S259" s="86"/>
      <c r="T259" s="84"/>
      <c r="U259" s="84"/>
      <c r="V259" s="86"/>
      <c r="W259" s="84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66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2"/>
      <c r="AY259" s="72"/>
      <c r="BA259" s="73"/>
      <c r="BB259" s="73"/>
      <c r="BC259" s="73"/>
      <c r="BD259" s="72"/>
      <c r="BE259" s="72"/>
      <c r="BF259" s="72"/>
      <c r="BG259" s="72"/>
      <c r="BH259" s="72"/>
    </row>
    <row r="260" spans="1:60" x14ac:dyDescent="0.25">
      <c r="A260" s="59"/>
      <c r="B260" s="70"/>
      <c r="C260" s="67"/>
      <c r="D260" s="68"/>
      <c r="E260" s="69"/>
      <c r="F260" s="84"/>
      <c r="G260" s="83"/>
      <c r="H260" s="84"/>
      <c r="I260" s="84"/>
      <c r="J260" s="84"/>
      <c r="K260" s="84"/>
      <c r="L260" s="84"/>
      <c r="M260" s="83"/>
      <c r="N260" s="84"/>
      <c r="O260" s="84"/>
      <c r="P260" s="84"/>
      <c r="Q260" s="84"/>
      <c r="R260" s="84"/>
      <c r="S260" s="86"/>
      <c r="T260" s="84"/>
      <c r="U260" s="84"/>
      <c r="V260" s="86"/>
      <c r="W260" s="84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66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2"/>
      <c r="AY260" s="72"/>
      <c r="BA260" s="73"/>
      <c r="BB260" s="73"/>
      <c r="BC260" s="73"/>
      <c r="BD260" s="72"/>
      <c r="BE260" s="72"/>
      <c r="BF260" s="72"/>
      <c r="BG260" s="72"/>
      <c r="BH260" s="72"/>
    </row>
    <row r="261" spans="1:60" x14ac:dyDescent="0.25">
      <c r="A261" s="59"/>
      <c r="B261" s="70"/>
      <c r="C261" s="67"/>
      <c r="D261" s="68"/>
      <c r="E261" s="69"/>
      <c r="F261" s="84"/>
      <c r="G261" s="83"/>
      <c r="H261" s="84"/>
      <c r="I261" s="84"/>
      <c r="J261" s="84"/>
      <c r="K261" s="84"/>
      <c r="L261" s="84"/>
      <c r="M261" s="83"/>
      <c r="N261" s="84"/>
      <c r="O261" s="84"/>
      <c r="P261" s="84"/>
      <c r="Q261" s="84"/>
      <c r="R261" s="84"/>
      <c r="S261" s="86"/>
      <c r="T261" s="84"/>
      <c r="U261" s="84"/>
      <c r="V261" s="86"/>
      <c r="W261" s="84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66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2"/>
      <c r="AY261" s="72"/>
      <c r="BA261" s="73"/>
      <c r="BB261" s="73"/>
      <c r="BC261" s="73"/>
      <c r="BD261" s="72"/>
      <c r="BE261" s="72"/>
      <c r="BF261" s="72"/>
      <c r="BG261" s="72"/>
      <c r="BH261" s="72"/>
    </row>
    <row r="262" spans="1:60" x14ac:dyDescent="0.25">
      <c r="A262" s="59"/>
      <c r="B262" s="70"/>
      <c r="C262" s="67"/>
      <c r="D262" s="68"/>
      <c r="E262" s="69"/>
      <c r="F262" s="84"/>
      <c r="G262" s="83"/>
      <c r="H262" s="84"/>
      <c r="I262" s="84"/>
      <c r="J262" s="84"/>
      <c r="K262" s="84"/>
      <c r="L262" s="84"/>
      <c r="M262" s="83"/>
      <c r="N262" s="84"/>
      <c r="O262" s="84"/>
      <c r="P262" s="84"/>
      <c r="Q262" s="84"/>
      <c r="R262" s="84"/>
      <c r="S262" s="86"/>
      <c r="T262" s="84"/>
      <c r="U262" s="84"/>
      <c r="V262" s="86"/>
      <c r="W262" s="84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66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2"/>
      <c r="AY262" s="72"/>
      <c r="BA262" s="73"/>
      <c r="BB262" s="73"/>
      <c r="BC262" s="73"/>
      <c r="BD262" s="72"/>
      <c r="BE262" s="72"/>
      <c r="BF262" s="72"/>
      <c r="BG262" s="72"/>
      <c r="BH262" s="72"/>
    </row>
    <row r="263" spans="1:60" x14ac:dyDescent="0.25">
      <c r="A263" s="59"/>
      <c r="B263" s="70"/>
      <c r="C263" s="67"/>
      <c r="D263" s="68"/>
      <c r="E263" s="69"/>
      <c r="F263" s="84"/>
      <c r="G263" s="83"/>
      <c r="H263" s="84"/>
      <c r="I263" s="84"/>
      <c r="J263" s="84"/>
      <c r="K263" s="84"/>
      <c r="L263" s="84"/>
      <c r="M263" s="83"/>
      <c r="N263" s="84"/>
      <c r="O263" s="84"/>
      <c r="P263" s="84"/>
      <c r="Q263" s="84"/>
      <c r="R263" s="84"/>
      <c r="S263" s="86"/>
      <c r="T263" s="84"/>
      <c r="U263" s="84"/>
      <c r="V263" s="86"/>
      <c r="W263" s="84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66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2"/>
      <c r="AY263" s="72"/>
      <c r="BA263" s="73"/>
      <c r="BB263" s="73"/>
      <c r="BC263" s="73"/>
      <c r="BD263" s="72"/>
      <c r="BE263" s="72"/>
      <c r="BF263" s="72"/>
      <c r="BG263" s="72"/>
      <c r="BH263" s="72"/>
    </row>
    <row r="264" spans="1:60" x14ac:dyDescent="0.25">
      <c r="A264" s="59"/>
      <c r="B264" s="70"/>
      <c r="C264" s="67"/>
      <c r="D264" s="68"/>
      <c r="E264" s="69"/>
      <c r="F264" s="84"/>
      <c r="G264" s="83"/>
      <c r="H264" s="84"/>
      <c r="I264" s="84"/>
      <c r="J264" s="84"/>
      <c r="K264" s="84"/>
      <c r="L264" s="84"/>
      <c r="M264" s="83"/>
      <c r="N264" s="84"/>
      <c r="O264" s="84"/>
      <c r="P264" s="84"/>
      <c r="Q264" s="84"/>
      <c r="R264" s="84"/>
      <c r="S264" s="86"/>
      <c r="T264" s="84"/>
      <c r="U264" s="84"/>
      <c r="V264" s="86"/>
      <c r="W264" s="84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66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2"/>
      <c r="AY264" s="72"/>
      <c r="BA264" s="73"/>
      <c r="BB264" s="73"/>
      <c r="BC264" s="73"/>
      <c r="BD264" s="72"/>
      <c r="BE264" s="72"/>
      <c r="BF264" s="72"/>
      <c r="BG264" s="72"/>
      <c r="BH264" s="72"/>
    </row>
    <row r="265" spans="1:60" x14ac:dyDescent="0.25">
      <c r="A265" s="59"/>
      <c r="B265" s="70"/>
      <c r="C265" s="67"/>
      <c r="D265" s="68"/>
      <c r="E265" s="69"/>
      <c r="F265" s="84"/>
      <c r="G265" s="83"/>
      <c r="H265" s="84"/>
      <c r="I265" s="84"/>
      <c r="J265" s="84"/>
      <c r="K265" s="84"/>
      <c r="L265" s="84"/>
      <c r="M265" s="83"/>
      <c r="N265" s="84"/>
      <c r="O265" s="84"/>
      <c r="P265" s="84"/>
      <c r="Q265" s="84"/>
      <c r="R265" s="84"/>
      <c r="S265" s="86"/>
      <c r="T265" s="84"/>
      <c r="U265" s="84"/>
      <c r="V265" s="86"/>
      <c r="W265" s="84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66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2"/>
      <c r="AY265" s="72"/>
      <c r="BA265" s="73"/>
      <c r="BB265" s="73"/>
      <c r="BC265" s="73"/>
      <c r="BD265" s="72"/>
      <c r="BE265" s="72"/>
      <c r="BF265" s="72"/>
      <c r="BG265" s="72"/>
      <c r="BH265" s="72"/>
    </row>
    <row r="266" spans="1:60" x14ac:dyDescent="0.25">
      <c r="A266" s="59"/>
      <c r="B266" s="70"/>
      <c r="C266" s="67"/>
      <c r="D266" s="68"/>
      <c r="E266" s="69"/>
      <c r="F266" s="84"/>
      <c r="G266" s="83"/>
      <c r="H266" s="84"/>
      <c r="I266" s="84"/>
      <c r="J266" s="84"/>
      <c r="K266" s="84"/>
      <c r="L266" s="84"/>
      <c r="M266" s="83"/>
      <c r="N266" s="84"/>
      <c r="O266" s="84"/>
      <c r="P266" s="84"/>
      <c r="Q266" s="84"/>
      <c r="R266" s="84"/>
      <c r="S266" s="86"/>
      <c r="T266" s="84"/>
      <c r="U266" s="84"/>
      <c r="V266" s="86"/>
      <c r="W266" s="84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66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2"/>
      <c r="AY266" s="72"/>
      <c r="BA266" s="73"/>
      <c r="BB266" s="73"/>
      <c r="BC266" s="73"/>
      <c r="BD266" s="72"/>
      <c r="BE266" s="72"/>
      <c r="BF266" s="72"/>
      <c r="BG266" s="72"/>
      <c r="BH266" s="72"/>
    </row>
    <row r="267" spans="1:60" x14ac:dyDescent="0.25">
      <c r="B267" s="70"/>
      <c r="C267" s="67"/>
      <c r="D267" s="68"/>
      <c r="E267" s="69"/>
      <c r="F267" s="84"/>
      <c r="G267" s="83"/>
      <c r="H267" s="84"/>
      <c r="I267" s="84"/>
      <c r="J267" s="84"/>
      <c r="K267" s="84"/>
      <c r="L267" s="84"/>
      <c r="M267" s="83"/>
      <c r="N267" s="84"/>
      <c r="O267" s="84"/>
      <c r="P267" s="84"/>
      <c r="Q267" s="84"/>
      <c r="R267" s="84"/>
      <c r="S267" s="86"/>
      <c r="T267" s="84"/>
      <c r="U267" s="84"/>
      <c r="V267" s="86"/>
      <c r="W267" s="84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66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2"/>
      <c r="AY267" s="72"/>
    </row>
    <row r="268" spans="1:60" x14ac:dyDescent="0.25">
      <c r="B268" s="70"/>
      <c r="C268" s="67"/>
      <c r="D268" s="68"/>
      <c r="E268" s="69"/>
      <c r="F268" s="84"/>
      <c r="G268" s="83"/>
      <c r="H268" s="84"/>
      <c r="I268" s="84"/>
      <c r="J268" s="84"/>
      <c r="K268" s="84"/>
      <c r="L268" s="84"/>
      <c r="M268" s="83"/>
      <c r="N268" s="84"/>
      <c r="O268" s="84"/>
      <c r="P268" s="84"/>
      <c r="Q268" s="84"/>
      <c r="R268" s="84"/>
      <c r="S268" s="86"/>
      <c r="T268" s="84"/>
      <c r="U268" s="84"/>
      <c r="V268" s="86"/>
      <c r="W268" s="84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66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2"/>
      <c r="AY268" s="72"/>
    </row>
    <row r="269" spans="1:60" x14ac:dyDescent="0.25">
      <c r="B269" s="70"/>
      <c r="C269" s="67"/>
      <c r="D269" s="68"/>
      <c r="E269" s="69"/>
      <c r="F269" s="84"/>
      <c r="G269" s="83"/>
      <c r="H269" s="84"/>
      <c r="I269" s="84"/>
      <c r="J269" s="84"/>
      <c r="K269" s="84"/>
      <c r="L269" s="84"/>
      <c r="M269" s="83"/>
      <c r="N269" s="84"/>
      <c r="O269" s="84"/>
      <c r="P269" s="84"/>
      <c r="Q269" s="84"/>
      <c r="R269" s="84"/>
      <c r="S269" s="86"/>
      <c r="T269" s="84"/>
      <c r="U269" s="84"/>
      <c r="V269" s="86"/>
      <c r="W269" s="84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66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2"/>
      <c r="AY269" s="72"/>
    </row>
    <row r="270" spans="1:60" x14ac:dyDescent="0.25">
      <c r="B270" s="70"/>
      <c r="C270" s="67"/>
      <c r="D270" s="68"/>
      <c r="E270" s="69"/>
      <c r="F270" s="84"/>
      <c r="G270" s="83"/>
      <c r="H270" s="84"/>
      <c r="I270" s="84"/>
      <c r="J270" s="84"/>
      <c r="K270" s="84"/>
      <c r="L270" s="84"/>
      <c r="M270" s="83"/>
      <c r="N270" s="84"/>
      <c r="O270" s="84"/>
      <c r="P270" s="84"/>
      <c r="Q270" s="84"/>
      <c r="R270" s="84"/>
      <c r="S270" s="86"/>
      <c r="T270" s="84"/>
      <c r="U270" s="84"/>
      <c r="V270" s="86"/>
      <c r="W270" s="84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66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2"/>
      <c r="AY270" s="72"/>
    </row>
    <row r="271" spans="1:60" x14ac:dyDescent="0.25">
      <c r="B271" s="70"/>
      <c r="C271" s="67"/>
      <c r="D271" s="68"/>
      <c r="E271" s="69"/>
      <c r="F271" s="84"/>
      <c r="G271" s="83"/>
      <c r="H271" s="84"/>
      <c r="I271" s="84"/>
      <c r="J271" s="84"/>
      <c r="K271" s="84"/>
      <c r="L271" s="84"/>
      <c r="M271" s="83"/>
      <c r="N271" s="84"/>
      <c r="O271" s="84"/>
      <c r="P271" s="84"/>
      <c r="Q271" s="84"/>
      <c r="R271" s="84"/>
      <c r="S271" s="86"/>
      <c r="T271" s="84"/>
      <c r="U271" s="84"/>
      <c r="V271" s="86"/>
      <c r="W271" s="84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66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2"/>
      <c r="AY271" s="72"/>
    </row>
    <row r="272" spans="1:60" x14ac:dyDescent="0.25">
      <c r="B272" s="70"/>
      <c r="C272" s="67"/>
      <c r="D272" s="68"/>
      <c r="E272" s="69"/>
      <c r="F272" s="84"/>
      <c r="G272" s="83"/>
      <c r="H272" s="84"/>
      <c r="I272" s="84"/>
      <c r="J272" s="84"/>
      <c r="K272" s="84"/>
      <c r="L272" s="84"/>
      <c r="M272" s="83"/>
      <c r="N272" s="84"/>
      <c r="O272" s="84"/>
      <c r="P272" s="84"/>
      <c r="Q272" s="84"/>
      <c r="R272" s="84"/>
      <c r="S272" s="86"/>
      <c r="T272" s="84"/>
      <c r="U272" s="84"/>
      <c r="V272" s="86"/>
      <c r="W272" s="84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66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2"/>
      <c r="AY272" s="72"/>
    </row>
    <row r="273" spans="2:51" x14ac:dyDescent="0.25">
      <c r="B273" s="70"/>
      <c r="C273" s="67"/>
      <c r="D273" s="68"/>
      <c r="E273" s="69"/>
      <c r="F273" s="84"/>
      <c r="G273" s="83"/>
      <c r="H273" s="84"/>
      <c r="I273" s="84"/>
      <c r="J273" s="84"/>
      <c r="K273" s="84"/>
      <c r="L273" s="84"/>
      <c r="M273" s="83"/>
      <c r="N273" s="84"/>
      <c r="O273" s="84"/>
      <c r="P273" s="84"/>
      <c r="Q273" s="84"/>
      <c r="R273" s="84"/>
      <c r="S273" s="86"/>
      <c r="T273" s="84"/>
      <c r="U273" s="84"/>
      <c r="V273" s="86"/>
      <c r="W273" s="84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66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2"/>
      <c r="AY273" s="72"/>
    </row>
    <row r="274" spans="2:51" x14ac:dyDescent="0.25">
      <c r="B274" s="70"/>
      <c r="C274" s="67"/>
      <c r="D274" s="68"/>
      <c r="E274" s="69"/>
      <c r="F274" s="84"/>
      <c r="G274" s="83"/>
      <c r="H274" s="84"/>
      <c r="I274" s="84"/>
      <c r="J274" s="84"/>
      <c r="K274" s="84"/>
      <c r="L274" s="84"/>
      <c r="M274" s="83"/>
      <c r="N274" s="84"/>
      <c r="O274" s="84"/>
      <c r="P274" s="84"/>
      <c r="Q274" s="84"/>
      <c r="R274" s="84"/>
      <c r="S274" s="86"/>
      <c r="T274" s="84"/>
      <c r="U274" s="84"/>
      <c r="V274" s="86"/>
      <c r="W274" s="84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66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2"/>
      <c r="AY274" s="72"/>
    </row>
    <row r="275" spans="2:51" x14ac:dyDescent="0.25">
      <c r="B275" s="70"/>
      <c r="C275" s="67"/>
      <c r="D275" s="68"/>
      <c r="E275" s="69"/>
      <c r="F275" s="84"/>
      <c r="G275" s="83"/>
      <c r="H275" s="84"/>
      <c r="I275" s="84"/>
      <c r="J275" s="84"/>
      <c r="K275" s="84"/>
      <c r="L275" s="84"/>
      <c r="M275" s="83"/>
      <c r="N275" s="84"/>
      <c r="O275" s="84"/>
      <c r="P275" s="84"/>
      <c r="Q275" s="84"/>
      <c r="R275" s="84"/>
      <c r="S275" s="86"/>
      <c r="T275" s="84"/>
      <c r="U275" s="84"/>
      <c r="V275" s="86"/>
      <c r="W275" s="84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66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2"/>
      <c r="AY275" s="72"/>
    </row>
    <row r="276" spans="2:51" x14ac:dyDescent="0.25">
      <c r="B276" s="70"/>
      <c r="C276" s="67"/>
      <c r="D276" s="68"/>
      <c r="E276" s="69"/>
      <c r="F276" s="84"/>
      <c r="G276" s="83"/>
      <c r="H276" s="84"/>
      <c r="I276" s="84"/>
      <c r="J276" s="84"/>
      <c r="K276" s="84"/>
      <c r="L276" s="84"/>
      <c r="M276" s="83"/>
      <c r="N276" s="84"/>
      <c r="O276" s="84"/>
      <c r="P276" s="84"/>
      <c r="Q276" s="84"/>
      <c r="R276" s="84"/>
      <c r="S276" s="86"/>
      <c r="T276" s="84"/>
      <c r="U276" s="84"/>
      <c r="V276" s="86"/>
      <c r="W276" s="84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66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2"/>
      <c r="AY276" s="72"/>
    </row>
    <row r="277" spans="2:51" x14ac:dyDescent="0.25">
      <c r="B277" s="70"/>
      <c r="C277" s="67"/>
      <c r="D277" s="68"/>
      <c r="E277" s="69"/>
      <c r="F277" s="84"/>
      <c r="G277" s="83"/>
      <c r="H277" s="84"/>
      <c r="I277" s="84"/>
      <c r="J277" s="84"/>
      <c r="K277" s="84"/>
      <c r="L277" s="84"/>
      <c r="M277" s="83"/>
      <c r="N277" s="84"/>
      <c r="O277" s="84"/>
      <c r="P277" s="84"/>
      <c r="Q277" s="84"/>
      <c r="R277" s="84"/>
      <c r="S277" s="86"/>
      <c r="T277" s="84"/>
      <c r="U277" s="84"/>
      <c r="V277" s="86"/>
      <c r="W277" s="84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66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2"/>
      <c r="AY277" s="72"/>
    </row>
    <row r="278" spans="2:51" x14ac:dyDescent="0.25">
      <c r="B278" s="70"/>
      <c r="C278" s="67"/>
      <c r="D278" s="68"/>
      <c r="E278" s="69"/>
      <c r="F278" s="84"/>
      <c r="G278" s="83"/>
      <c r="H278" s="84"/>
      <c r="I278" s="84"/>
      <c r="J278" s="84"/>
      <c r="K278" s="84"/>
      <c r="L278" s="84"/>
      <c r="M278" s="83"/>
      <c r="N278" s="84"/>
      <c r="O278" s="84"/>
      <c r="P278" s="84"/>
      <c r="Q278" s="84"/>
      <c r="R278" s="84"/>
      <c r="S278" s="86"/>
      <c r="T278" s="84"/>
      <c r="U278" s="84"/>
      <c r="V278" s="86"/>
      <c r="W278" s="84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66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2"/>
      <c r="AY278" s="72"/>
    </row>
    <row r="279" spans="2:51" x14ac:dyDescent="0.25">
      <c r="B279" s="70"/>
      <c r="C279" s="67"/>
      <c r="D279" s="68"/>
      <c r="E279" s="69"/>
      <c r="F279" s="84"/>
      <c r="G279" s="83"/>
      <c r="H279" s="84"/>
      <c r="I279" s="84"/>
      <c r="J279" s="84"/>
      <c r="K279" s="84"/>
      <c r="L279" s="84"/>
      <c r="M279" s="83"/>
      <c r="N279" s="84"/>
      <c r="O279" s="84"/>
      <c r="P279" s="84"/>
      <c r="Q279" s="84"/>
      <c r="R279" s="84"/>
      <c r="S279" s="86"/>
      <c r="T279" s="84"/>
      <c r="U279" s="84"/>
      <c r="V279" s="86"/>
      <c r="W279" s="84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66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2"/>
      <c r="AY279" s="72"/>
    </row>
    <row r="280" spans="2:51" x14ac:dyDescent="0.25">
      <c r="B280" s="70"/>
      <c r="C280" s="67"/>
      <c r="D280" s="68"/>
      <c r="E280" s="69"/>
      <c r="F280" s="84"/>
      <c r="G280" s="83"/>
      <c r="H280" s="84"/>
      <c r="I280" s="84"/>
      <c r="J280" s="84"/>
      <c r="K280" s="84"/>
      <c r="L280" s="84"/>
      <c r="M280" s="83"/>
      <c r="N280" s="84"/>
      <c r="O280" s="84"/>
      <c r="P280" s="84"/>
      <c r="Q280" s="84"/>
      <c r="R280" s="84"/>
      <c r="S280" s="86"/>
      <c r="T280" s="84"/>
      <c r="U280" s="84"/>
      <c r="V280" s="86"/>
      <c r="W280" s="84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66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2"/>
      <c r="AY280" s="72"/>
    </row>
    <row r="281" spans="2:51" x14ac:dyDescent="0.25">
      <c r="B281" s="70"/>
      <c r="C281" s="67"/>
      <c r="D281" s="68"/>
      <c r="E281" s="69"/>
      <c r="F281" s="84"/>
      <c r="G281" s="83"/>
      <c r="H281" s="84"/>
      <c r="I281" s="84"/>
      <c r="J281" s="84"/>
      <c r="K281" s="84"/>
      <c r="L281" s="84"/>
      <c r="M281" s="83"/>
      <c r="N281" s="84"/>
      <c r="O281" s="84"/>
      <c r="P281" s="84"/>
      <c r="Q281" s="84"/>
      <c r="R281" s="84"/>
      <c r="S281" s="86"/>
      <c r="T281" s="84"/>
      <c r="U281" s="84"/>
      <c r="V281" s="86"/>
      <c r="W281" s="84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66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2"/>
      <c r="AY281" s="72"/>
    </row>
    <row r="282" spans="2:51" x14ac:dyDescent="0.25">
      <c r="B282" s="70"/>
      <c r="C282" s="67"/>
      <c r="D282" s="68"/>
      <c r="E282" s="69"/>
      <c r="F282" s="84"/>
      <c r="G282" s="83"/>
      <c r="H282" s="84"/>
      <c r="I282" s="84"/>
      <c r="J282" s="84"/>
      <c r="K282" s="84"/>
      <c r="L282" s="84"/>
      <c r="M282" s="83"/>
      <c r="N282" s="84"/>
      <c r="O282" s="84"/>
      <c r="P282" s="84"/>
      <c r="Q282" s="84"/>
      <c r="R282" s="84"/>
      <c r="S282" s="86"/>
      <c r="T282" s="84"/>
      <c r="U282" s="84"/>
      <c r="V282" s="86"/>
      <c r="W282" s="84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66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2"/>
      <c r="AY282" s="72"/>
    </row>
    <row r="283" spans="2:51" x14ac:dyDescent="0.25">
      <c r="B283" s="70"/>
      <c r="C283" s="67"/>
      <c r="D283" s="68"/>
      <c r="E283" s="69"/>
      <c r="F283" s="84"/>
      <c r="G283" s="83"/>
      <c r="H283" s="84"/>
      <c r="I283" s="84"/>
      <c r="J283" s="84"/>
      <c r="K283" s="84"/>
      <c r="L283" s="84"/>
      <c r="M283" s="83"/>
      <c r="N283" s="84"/>
      <c r="O283" s="84"/>
      <c r="P283" s="84"/>
      <c r="Q283" s="84"/>
      <c r="R283" s="84"/>
      <c r="S283" s="86"/>
      <c r="T283" s="84"/>
      <c r="U283" s="84"/>
      <c r="V283" s="86"/>
      <c r="W283" s="84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66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2"/>
      <c r="AY283" s="72"/>
    </row>
    <row r="284" spans="2:51" x14ac:dyDescent="0.25">
      <c r="B284" s="70"/>
      <c r="C284" s="67"/>
      <c r="D284" s="68"/>
      <c r="E284" s="69"/>
      <c r="F284" s="84"/>
      <c r="G284" s="83"/>
      <c r="H284" s="84"/>
      <c r="I284" s="84"/>
      <c r="J284" s="84"/>
      <c r="K284" s="84"/>
      <c r="L284" s="84"/>
      <c r="M284" s="83"/>
      <c r="N284" s="84"/>
      <c r="O284" s="84"/>
      <c r="P284" s="84"/>
      <c r="Q284" s="84"/>
      <c r="R284" s="84"/>
      <c r="S284" s="86"/>
      <c r="T284" s="84"/>
      <c r="U284" s="84"/>
      <c r="V284" s="86"/>
      <c r="W284" s="84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66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2"/>
      <c r="AY284" s="72"/>
    </row>
    <row r="285" spans="2:51" x14ac:dyDescent="0.25">
      <c r="B285" s="70"/>
      <c r="C285" s="67"/>
      <c r="D285" s="68"/>
      <c r="E285" s="69"/>
      <c r="F285" s="84"/>
      <c r="G285" s="83"/>
      <c r="H285" s="84"/>
      <c r="I285" s="84"/>
      <c r="J285" s="84"/>
      <c r="K285" s="84"/>
      <c r="L285" s="84"/>
      <c r="M285" s="83"/>
      <c r="N285" s="84"/>
      <c r="O285" s="84"/>
      <c r="P285" s="84"/>
      <c r="Q285" s="84"/>
      <c r="R285" s="84"/>
      <c r="S285" s="86"/>
      <c r="T285" s="84"/>
      <c r="U285" s="84"/>
      <c r="V285" s="86"/>
      <c r="W285" s="84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66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2"/>
      <c r="AY285" s="72"/>
    </row>
    <row r="286" spans="2:51" x14ac:dyDescent="0.25">
      <c r="B286" s="70"/>
      <c r="C286" s="67"/>
      <c r="D286" s="68"/>
      <c r="E286" s="69"/>
      <c r="F286" s="84"/>
      <c r="G286" s="83"/>
      <c r="H286" s="84"/>
      <c r="I286" s="84"/>
      <c r="J286" s="84"/>
      <c r="K286" s="84"/>
      <c r="L286" s="84"/>
      <c r="M286" s="83"/>
      <c r="N286" s="84"/>
      <c r="O286" s="84"/>
      <c r="P286" s="84"/>
      <c r="Q286" s="84"/>
      <c r="R286" s="84"/>
      <c r="S286" s="86"/>
      <c r="T286" s="84"/>
      <c r="U286" s="84"/>
      <c r="V286" s="86"/>
      <c r="W286" s="84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66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2"/>
      <c r="AY286" s="72"/>
    </row>
    <row r="287" spans="2:51" x14ac:dyDescent="0.25">
      <c r="B287" s="70"/>
      <c r="C287" s="67"/>
      <c r="D287" s="68"/>
      <c r="E287" s="69"/>
      <c r="F287" s="84"/>
      <c r="G287" s="83"/>
      <c r="H287" s="84"/>
      <c r="I287" s="84"/>
      <c r="J287" s="84"/>
      <c r="K287" s="84"/>
      <c r="L287" s="84"/>
      <c r="M287" s="83"/>
      <c r="N287" s="84"/>
      <c r="O287" s="84"/>
      <c r="P287" s="84"/>
      <c r="Q287" s="84"/>
      <c r="R287" s="84"/>
      <c r="S287" s="86"/>
      <c r="T287" s="84"/>
      <c r="U287" s="84"/>
      <c r="V287" s="86"/>
      <c r="W287" s="84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66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2"/>
      <c r="AY287" s="72"/>
    </row>
    <row r="288" spans="2:51" x14ac:dyDescent="0.25">
      <c r="B288" s="70"/>
      <c r="C288" s="67"/>
      <c r="D288" s="68"/>
      <c r="E288" s="69"/>
      <c r="F288" s="84"/>
      <c r="G288" s="83"/>
      <c r="H288" s="84"/>
      <c r="I288" s="84"/>
      <c r="J288" s="84"/>
      <c r="K288" s="84"/>
      <c r="L288" s="84"/>
      <c r="M288" s="83"/>
      <c r="N288" s="84"/>
      <c r="O288" s="84"/>
      <c r="P288" s="84"/>
      <c r="Q288" s="84"/>
      <c r="R288" s="84"/>
      <c r="S288" s="86"/>
      <c r="T288" s="84"/>
      <c r="U288" s="84"/>
      <c r="V288" s="86"/>
      <c r="W288" s="84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66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2"/>
      <c r="AY288" s="72"/>
    </row>
    <row r="289" spans="2:51" x14ac:dyDescent="0.25">
      <c r="B289" s="70"/>
      <c r="C289" s="67"/>
      <c r="D289" s="68"/>
      <c r="E289" s="69"/>
      <c r="F289" s="84"/>
      <c r="G289" s="83"/>
      <c r="H289" s="84"/>
      <c r="I289" s="84"/>
      <c r="J289" s="84"/>
      <c r="K289" s="84"/>
      <c r="L289" s="84"/>
      <c r="M289" s="83"/>
      <c r="N289" s="84"/>
      <c r="O289" s="84"/>
      <c r="P289" s="84"/>
      <c r="Q289" s="84"/>
      <c r="R289" s="84"/>
      <c r="S289" s="86"/>
      <c r="T289" s="84"/>
      <c r="U289" s="84"/>
      <c r="V289" s="86"/>
      <c r="W289" s="84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66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2"/>
      <c r="AY289" s="72"/>
    </row>
    <row r="290" spans="2:51" x14ac:dyDescent="0.25">
      <c r="B290" s="70"/>
      <c r="C290" s="67"/>
      <c r="D290" s="68"/>
      <c r="E290" s="69"/>
      <c r="F290" s="84"/>
      <c r="G290" s="83"/>
      <c r="H290" s="84"/>
      <c r="I290" s="84"/>
      <c r="J290" s="84"/>
      <c r="K290" s="84"/>
      <c r="L290" s="84"/>
      <c r="M290" s="83"/>
      <c r="N290" s="84"/>
      <c r="O290" s="84"/>
      <c r="P290" s="84"/>
      <c r="Q290" s="84"/>
      <c r="R290" s="84"/>
      <c r="S290" s="86"/>
      <c r="T290" s="84"/>
      <c r="U290" s="84"/>
      <c r="V290" s="86"/>
      <c r="W290" s="84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66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2"/>
      <c r="AY290" s="72"/>
    </row>
    <row r="291" spans="2:51" x14ac:dyDescent="0.25">
      <c r="B291" s="70"/>
      <c r="C291" s="67"/>
      <c r="D291" s="68"/>
      <c r="E291" s="69"/>
      <c r="F291" s="84"/>
      <c r="G291" s="83"/>
      <c r="H291" s="84"/>
      <c r="I291" s="84"/>
      <c r="J291" s="84"/>
      <c r="K291" s="84"/>
      <c r="L291" s="84"/>
      <c r="M291" s="83"/>
      <c r="N291" s="84"/>
      <c r="O291" s="84"/>
      <c r="P291" s="84"/>
      <c r="Q291" s="84"/>
      <c r="R291" s="84"/>
      <c r="S291" s="86"/>
      <c r="T291" s="84"/>
      <c r="U291" s="84"/>
      <c r="V291" s="86"/>
      <c r="W291" s="84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66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2"/>
      <c r="AY291" s="72"/>
    </row>
    <row r="292" spans="2:51" x14ac:dyDescent="0.25">
      <c r="B292" s="70"/>
      <c r="C292" s="67"/>
      <c r="D292" s="68"/>
      <c r="E292" s="69"/>
      <c r="F292" s="84"/>
      <c r="G292" s="83"/>
      <c r="H292" s="84"/>
      <c r="I292" s="84"/>
      <c r="J292" s="84"/>
      <c r="K292" s="84"/>
      <c r="L292" s="84"/>
      <c r="M292" s="83"/>
      <c r="N292" s="84"/>
      <c r="O292" s="84"/>
      <c r="P292" s="84"/>
      <c r="Q292" s="84"/>
      <c r="R292" s="84"/>
      <c r="S292" s="86"/>
      <c r="T292" s="84"/>
      <c r="U292" s="84"/>
      <c r="V292" s="86"/>
      <c r="W292" s="84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66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2"/>
      <c r="AY292" s="72"/>
    </row>
    <row r="293" spans="2:51" x14ac:dyDescent="0.25">
      <c r="B293" s="70"/>
      <c r="C293" s="67"/>
      <c r="D293" s="68"/>
      <c r="E293" s="69"/>
      <c r="F293" s="84"/>
      <c r="G293" s="83"/>
      <c r="H293" s="84"/>
      <c r="I293" s="84"/>
      <c r="J293" s="84"/>
      <c r="K293" s="84"/>
      <c r="L293" s="84"/>
      <c r="M293" s="83"/>
      <c r="N293" s="84"/>
      <c r="O293" s="84"/>
      <c r="P293" s="84"/>
      <c r="Q293" s="84"/>
      <c r="R293" s="84"/>
      <c r="S293" s="86"/>
      <c r="T293" s="84"/>
      <c r="U293" s="84"/>
      <c r="V293" s="86"/>
      <c r="W293" s="84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66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2"/>
      <c r="AY293" s="72"/>
    </row>
    <row r="294" spans="2:51" x14ac:dyDescent="0.25">
      <c r="B294" s="70"/>
      <c r="C294" s="67"/>
      <c r="D294" s="68"/>
      <c r="E294" s="69"/>
      <c r="F294" s="84"/>
      <c r="G294" s="83"/>
      <c r="H294" s="84"/>
      <c r="I294" s="84"/>
      <c r="J294" s="84"/>
      <c r="K294" s="84"/>
      <c r="L294" s="84"/>
      <c r="M294" s="83"/>
      <c r="N294" s="84"/>
      <c r="O294" s="84"/>
      <c r="P294" s="84"/>
      <c r="Q294" s="84"/>
      <c r="R294" s="84"/>
      <c r="S294" s="86"/>
      <c r="T294" s="84"/>
      <c r="U294" s="84"/>
      <c r="V294" s="86"/>
      <c r="W294" s="84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66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2"/>
      <c r="AY294" s="72"/>
    </row>
    <row r="295" spans="2:51" x14ac:dyDescent="0.25">
      <c r="B295" s="70"/>
      <c r="C295" s="67"/>
      <c r="D295" s="68"/>
      <c r="E295" s="69"/>
      <c r="F295" s="84"/>
      <c r="G295" s="83"/>
      <c r="H295" s="84"/>
      <c r="I295" s="84"/>
      <c r="J295" s="84"/>
      <c r="K295" s="84"/>
      <c r="L295" s="84"/>
      <c r="M295" s="83"/>
      <c r="N295" s="84"/>
      <c r="O295" s="84"/>
      <c r="P295" s="84"/>
      <c r="Q295" s="84"/>
      <c r="R295" s="84"/>
      <c r="S295" s="86"/>
      <c r="T295" s="84"/>
      <c r="U295" s="84"/>
      <c r="V295" s="86"/>
      <c r="W295" s="84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66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2"/>
      <c r="AY295" s="72"/>
    </row>
    <row r="296" spans="2:51" x14ac:dyDescent="0.25">
      <c r="B296" s="70"/>
      <c r="C296" s="67"/>
      <c r="D296" s="68"/>
      <c r="E296" s="69"/>
      <c r="F296" s="84"/>
      <c r="G296" s="83"/>
      <c r="H296" s="84"/>
      <c r="I296" s="84"/>
      <c r="J296" s="84"/>
      <c r="K296" s="84"/>
      <c r="L296" s="84"/>
      <c r="M296" s="83"/>
      <c r="N296" s="84"/>
      <c r="O296" s="84"/>
      <c r="P296" s="84"/>
      <c r="Q296" s="84"/>
      <c r="R296" s="84"/>
      <c r="S296" s="86"/>
      <c r="T296" s="84"/>
      <c r="U296" s="84"/>
      <c r="V296" s="86"/>
      <c r="W296" s="84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66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2"/>
      <c r="AY296" s="72"/>
    </row>
    <row r="297" spans="2:51" x14ac:dyDescent="0.25">
      <c r="B297" s="70"/>
      <c r="C297" s="67"/>
      <c r="D297" s="68"/>
      <c r="E297" s="69"/>
      <c r="F297" s="84"/>
      <c r="G297" s="83"/>
      <c r="H297" s="84"/>
      <c r="I297" s="84"/>
      <c r="J297" s="84"/>
      <c r="K297" s="84"/>
      <c r="L297" s="84"/>
      <c r="M297" s="83"/>
      <c r="N297" s="84"/>
      <c r="O297" s="84"/>
      <c r="P297" s="84"/>
      <c r="Q297" s="84"/>
      <c r="R297" s="84"/>
      <c r="S297" s="86"/>
      <c r="T297" s="84"/>
      <c r="U297" s="84"/>
      <c r="V297" s="86"/>
      <c r="W297" s="84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66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2"/>
      <c r="AY297" s="72"/>
    </row>
    <row r="298" spans="2:51" x14ac:dyDescent="0.25">
      <c r="B298" s="70"/>
      <c r="C298" s="67"/>
      <c r="D298" s="68"/>
      <c r="E298" s="69"/>
      <c r="F298" s="84"/>
      <c r="G298" s="83"/>
      <c r="H298" s="84"/>
      <c r="I298" s="84"/>
      <c r="J298" s="84"/>
      <c r="K298" s="84"/>
      <c r="L298" s="84"/>
      <c r="M298" s="83"/>
      <c r="N298" s="84"/>
      <c r="O298" s="84"/>
      <c r="P298" s="84"/>
      <c r="Q298" s="84"/>
      <c r="R298" s="84"/>
      <c r="S298" s="86"/>
      <c r="T298" s="84"/>
      <c r="U298" s="84"/>
      <c r="V298" s="86"/>
      <c r="W298" s="84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66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2"/>
      <c r="AY298" s="72"/>
    </row>
    <row r="299" spans="2:51" x14ac:dyDescent="0.25">
      <c r="B299" s="70"/>
      <c r="C299" s="67"/>
      <c r="D299" s="68"/>
      <c r="E299" s="69"/>
      <c r="F299" s="84"/>
      <c r="G299" s="83"/>
      <c r="H299" s="84"/>
      <c r="I299" s="84"/>
      <c r="J299" s="84"/>
      <c r="K299" s="84"/>
      <c r="L299" s="84"/>
      <c r="M299" s="83"/>
      <c r="N299" s="84"/>
      <c r="O299" s="84"/>
      <c r="P299" s="84"/>
      <c r="Q299" s="84"/>
      <c r="R299" s="84"/>
      <c r="S299" s="86"/>
      <c r="T299" s="84"/>
      <c r="U299" s="84"/>
      <c r="V299" s="86"/>
      <c r="W299" s="84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66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2"/>
      <c r="AY299" s="72"/>
    </row>
    <row r="300" spans="2:51" x14ac:dyDescent="0.25">
      <c r="B300" s="70"/>
      <c r="C300" s="67"/>
      <c r="D300" s="68"/>
      <c r="E300" s="69"/>
      <c r="F300" s="84"/>
      <c r="G300" s="83"/>
      <c r="H300" s="84"/>
      <c r="I300" s="84"/>
      <c r="J300" s="84"/>
      <c r="K300" s="84"/>
      <c r="L300" s="84"/>
      <c r="M300" s="83"/>
      <c r="N300" s="84"/>
      <c r="O300" s="84"/>
      <c r="P300" s="84"/>
      <c r="Q300" s="84"/>
      <c r="R300" s="84"/>
      <c r="S300" s="86"/>
      <c r="T300" s="84"/>
      <c r="U300" s="84"/>
      <c r="V300" s="86"/>
      <c r="W300" s="84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66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2"/>
      <c r="AY300" s="72"/>
    </row>
    <row r="301" spans="2:51" x14ac:dyDescent="0.25">
      <c r="B301" s="70"/>
      <c r="C301" s="67"/>
      <c r="D301" s="68"/>
      <c r="E301" s="69"/>
      <c r="F301" s="84"/>
      <c r="G301" s="83"/>
      <c r="H301" s="84"/>
      <c r="I301" s="84"/>
      <c r="J301" s="84"/>
      <c r="K301" s="84"/>
      <c r="L301" s="84"/>
      <c r="M301" s="83"/>
      <c r="N301" s="84"/>
      <c r="O301" s="84"/>
      <c r="P301" s="84"/>
      <c r="Q301" s="84"/>
      <c r="R301" s="84"/>
      <c r="S301" s="86"/>
      <c r="T301" s="84"/>
      <c r="U301" s="84"/>
      <c r="V301" s="86"/>
      <c r="W301" s="84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66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2"/>
      <c r="AY301" s="72"/>
    </row>
    <row r="302" spans="2:51" x14ac:dyDescent="0.25">
      <c r="B302" s="70"/>
      <c r="C302" s="67"/>
      <c r="D302" s="68"/>
      <c r="E302" s="69"/>
      <c r="F302" s="84"/>
      <c r="G302" s="83"/>
      <c r="H302" s="84"/>
      <c r="I302" s="84"/>
      <c r="J302" s="84"/>
      <c r="K302" s="84"/>
      <c r="L302" s="84"/>
      <c r="M302" s="83"/>
      <c r="N302" s="84"/>
      <c r="O302" s="84"/>
      <c r="P302" s="84"/>
      <c r="Q302" s="84"/>
      <c r="R302" s="84"/>
      <c r="S302" s="86"/>
      <c r="T302" s="84"/>
      <c r="U302" s="84"/>
      <c r="V302" s="86"/>
      <c r="W302" s="84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66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2"/>
      <c r="AY302" s="72"/>
    </row>
    <row r="303" spans="2:51" x14ac:dyDescent="0.25">
      <c r="B303" s="70"/>
      <c r="C303" s="67"/>
      <c r="D303" s="68"/>
      <c r="E303" s="69"/>
      <c r="F303" s="84"/>
      <c r="G303" s="83"/>
      <c r="H303" s="84"/>
      <c r="I303" s="84"/>
      <c r="J303" s="84"/>
      <c r="K303" s="84"/>
      <c r="L303" s="84"/>
      <c r="M303" s="83"/>
      <c r="N303" s="84"/>
      <c r="O303" s="84"/>
      <c r="P303" s="84"/>
      <c r="Q303" s="84"/>
      <c r="R303" s="84"/>
      <c r="S303" s="86"/>
      <c r="T303" s="84"/>
      <c r="U303" s="84"/>
      <c r="V303" s="86"/>
      <c r="W303" s="84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66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2"/>
      <c r="AY303" s="72"/>
    </row>
    <row r="304" spans="2:51" x14ac:dyDescent="0.25">
      <c r="B304" s="70"/>
      <c r="C304" s="67"/>
      <c r="D304" s="68"/>
      <c r="E304" s="69"/>
      <c r="F304" s="84"/>
      <c r="G304" s="83"/>
      <c r="H304" s="84"/>
      <c r="I304" s="84"/>
      <c r="J304" s="84"/>
      <c r="K304" s="84"/>
      <c r="L304" s="84"/>
      <c r="M304" s="83"/>
      <c r="N304" s="84"/>
      <c r="O304" s="84"/>
      <c r="P304" s="84"/>
      <c r="Q304" s="84"/>
      <c r="R304" s="84"/>
      <c r="S304" s="86"/>
      <c r="T304" s="84"/>
      <c r="U304" s="84"/>
      <c r="V304" s="86"/>
      <c r="W304" s="84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66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2"/>
      <c r="AY304" s="72"/>
    </row>
    <row r="305" spans="2:51" x14ac:dyDescent="0.25">
      <c r="B305" s="70"/>
      <c r="C305" s="67"/>
      <c r="D305" s="68"/>
      <c r="E305" s="69"/>
      <c r="F305" s="84"/>
      <c r="G305" s="83"/>
      <c r="H305" s="84"/>
      <c r="I305" s="84"/>
      <c r="J305" s="84"/>
      <c r="K305" s="84"/>
      <c r="L305" s="84"/>
      <c r="M305" s="83"/>
      <c r="N305" s="84"/>
      <c r="O305" s="84"/>
      <c r="P305" s="84"/>
      <c r="Q305" s="84"/>
      <c r="R305" s="84"/>
      <c r="S305" s="86"/>
      <c r="T305" s="84"/>
      <c r="U305" s="84"/>
      <c r="V305" s="86"/>
      <c r="W305" s="84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66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2"/>
      <c r="AY305" s="72"/>
    </row>
    <row r="306" spans="2:51" x14ac:dyDescent="0.25">
      <c r="B306" s="70"/>
      <c r="C306" s="67"/>
      <c r="D306" s="68"/>
      <c r="E306" s="69"/>
      <c r="F306" s="84"/>
      <c r="G306" s="83"/>
      <c r="H306" s="84"/>
      <c r="I306" s="84"/>
      <c r="J306" s="84"/>
      <c r="K306" s="84"/>
      <c r="L306" s="84"/>
      <c r="M306" s="83"/>
      <c r="N306" s="84"/>
      <c r="O306" s="84"/>
      <c r="P306" s="84"/>
      <c r="Q306" s="84"/>
      <c r="R306" s="84"/>
      <c r="S306" s="86"/>
      <c r="T306" s="84"/>
      <c r="U306" s="84"/>
      <c r="V306" s="86"/>
      <c r="W306" s="84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66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2"/>
      <c r="AY306" s="72"/>
    </row>
    <row r="307" spans="2:51" x14ac:dyDescent="0.25">
      <c r="B307" s="70"/>
      <c r="C307" s="67"/>
      <c r="D307" s="68"/>
      <c r="E307" s="69"/>
      <c r="F307" s="84"/>
      <c r="G307" s="83"/>
      <c r="H307" s="84"/>
      <c r="I307" s="84"/>
      <c r="J307" s="84"/>
      <c r="K307" s="84"/>
      <c r="L307" s="84"/>
      <c r="M307" s="83"/>
      <c r="N307" s="84"/>
      <c r="O307" s="84"/>
      <c r="P307" s="84"/>
      <c r="Q307" s="84"/>
      <c r="R307" s="84"/>
      <c r="S307" s="86"/>
      <c r="T307" s="84"/>
      <c r="U307" s="84"/>
      <c r="V307" s="86"/>
      <c r="W307" s="84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66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2"/>
      <c r="AY307" s="72"/>
    </row>
    <row r="308" spans="2:51" x14ac:dyDescent="0.25">
      <c r="B308" s="70"/>
      <c r="C308" s="67"/>
      <c r="D308" s="68"/>
      <c r="E308" s="69"/>
      <c r="F308" s="84"/>
      <c r="G308" s="83"/>
      <c r="H308" s="84"/>
      <c r="I308" s="84"/>
      <c r="J308" s="84"/>
      <c r="K308" s="84"/>
      <c r="L308" s="84"/>
      <c r="M308" s="83"/>
      <c r="N308" s="84"/>
      <c r="O308" s="84"/>
      <c r="P308" s="84"/>
      <c r="Q308" s="84"/>
      <c r="R308" s="84"/>
      <c r="S308" s="86"/>
      <c r="T308" s="84"/>
      <c r="U308" s="84"/>
      <c r="V308" s="86"/>
      <c r="W308" s="84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66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2"/>
      <c r="AY308" s="72"/>
    </row>
    <row r="309" spans="2:51" x14ac:dyDescent="0.25">
      <c r="B309" s="70"/>
      <c r="C309" s="67"/>
      <c r="D309" s="68"/>
      <c r="E309" s="69"/>
      <c r="F309" s="84"/>
      <c r="G309" s="83"/>
      <c r="H309" s="84"/>
      <c r="I309" s="84"/>
      <c r="J309" s="84"/>
      <c r="K309" s="84"/>
      <c r="L309" s="84"/>
      <c r="M309" s="83"/>
      <c r="N309" s="84"/>
      <c r="O309" s="84"/>
      <c r="P309" s="84"/>
      <c r="Q309" s="84"/>
      <c r="R309" s="84"/>
      <c r="S309" s="86"/>
      <c r="T309" s="84"/>
      <c r="U309" s="84"/>
      <c r="V309" s="86"/>
      <c r="W309" s="84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66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2"/>
      <c r="AY309" s="72"/>
    </row>
    <row r="310" spans="2:51" x14ac:dyDescent="0.25">
      <c r="B310" s="70"/>
      <c r="C310" s="67"/>
      <c r="D310" s="68"/>
      <c r="E310" s="69"/>
      <c r="F310" s="84"/>
      <c r="G310" s="83"/>
      <c r="H310" s="84"/>
      <c r="I310" s="84"/>
      <c r="J310" s="84"/>
      <c r="K310" s="84"/>
      <c r="L310" s="84"/>
      <c r="M310" s="83"/>
      <c r="N310" s="84"/>
      <c r="O310" s="84"/>
      <c r="P310" s="84"/>
      <c r="Q310" s="84"/>
      <c r="R310" s="84"/>
      <c r="S310" s="86"/>
      <c r="T310" s="84"/>
      <c r="U310" s="84"/>
      <c r="V310" s="86"/>
      <c r="W310" s="84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66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2"/>
      <c r="AY310" s="72"/>
    </row>
    <row r="311" spans="2:51" x14ac:dyDescent="0.25">
      <c r="B311" s="70"/>
      <c r="C311" s="67"/>
      <c r="D311" s="68"/>
      <c r="E311" s="69"/>
      <c r="F311" s="84"/>
      <c r="G311" s="83"/>
      <c r="H311" s="84"/>
      <c r="I311" s="84"/>
      <c r="J311" s="84"/>
      <c r="K311" s="84"/>
      <c r="L311" s="84"/>
      <c r="M311" s="83"/>
      <c r="N311" s="84"/>
      <c r="O311" s="84"/>
      <c r="P311" s="84"/>
      <c r="Q311" s="84"/>
      <c r="R311" s="84"/>
      <c r="S311" s="86"/>
      <c r="T311" s="84"/>
      <c r="U311" s="84"/>
      <c r="V311" s="86"/>
      <c r="W311" s="84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66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2"/>
      <c r="AY311" s="72"/>
    </row>
    <row r="312" spans="2:51" x14ac:dyDescent="0.25">
      <c r="B312" s="70"/>
      <c r="C312" s="67"/>
      <c r="D312" s="68"/>
      <c r="E312" s="69"/>
      <c r="F312" s="84"/>
      <c r="G312" s="83"/>
      <c r="H312" s="84"/>
      <c r="I312" s="84"/>
      <c r="J312" s="84"/>
      <c r="K312" s="84"/>
      <c r="L312" s="84"/>
      <c r="M312" s="83"/>
      <c r="N312" s="84"/>
      <c r="O312" s="84"/>
      <c r="P312" s="84"/>
      <c r="Q312" s="84"/>
      <c r="R312" s="84"/>
      <c r="S312" s="86"/>
      <c r="T312" s="84"/>
      <c r="U312" s="84"/>
      <c r="V312" s="86"/>
      <c r="W312" s="84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66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2"/>
      <c r="AY312" s="72"/>
    </row>
    <row r="313" spans="2:51" x14ac:dyDescent="0.25">
      <c r="B313" s="70"/>
      <c r="C313" s="67"/>
      <c r="D313" s="68"/>
      <c r="E313" s="69"/>
      <c r="F313" s="84"/>
      <c r="G313" s="83"/>
      <c r="H313" s="84"/>
      <c r="I313" s="84"/>
      <c r="J313" s="84"/>
      <c r="K313" s="84"/>
      <c r="L313" s="84"/>
      <c r="M313" s="83"/>
      <c r="N313" s="84"/>
      <c r="O313" s="84"/>
      <c r="P313" s="84"/>
      <c r="Q313" s="84"/>
      <c r="R313" s="84"/>
      <c r="S313" s="86"/>
      <c r="T313" s="84"/>
      <c r="U313" s="84"/>
      <c r="V313" s="86"/>
      <c r="W313" s="84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66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2"/>
      <c r="AY313" s="72"/>
    </row>
    <row r="314" spans="2:51" x14ac:dyDescent="0.25">
      <c r="B314" s="70"/>
      <c r="C314" s="67"/>
      <c r="D314" s="68"/>
      <c r="E314" s="69"/>
      <c r="F314" s="84"/>
      <c r="G314" s="83"/>
      <c r="H314" s="84"/>
      <c r="I314" s="84"/>
      <c r="J314" s="84"/>
      <c r="K314" s="84"/>
      <c r="L314" s="84"/>
      <c r="M314" s="83"/>
      <c r="N314" s="84"/>
      <c r="O314" s="84"/>
      <c r="P314" s="84"/>
      <c r="Q314" s="84"/>
      <c r="R314" s="84"/>
      <c r="S314" s="86"/>
      <c r="T314" s="84"/>
      <c r="U314" s="84"/>
      <c r="V314" s="86"/>
      <c r="W314" s="84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66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2"/>
      <c r="AY314" s="72"/>
    </row>
    <row r="315" spans="2:51" x14ac:dyDescent="0.25">
      <c r="B315" s="70"/>
      <c r="C315" s="67"/>
      <c r="D315" s="68"/>
      <c r="E315" s="69"/>
      <c r="F315" s="84"/>
      <c r="G315" s="83"/>
      <c r="H315" s="84"/>
      <c r="I315" s="84"/>
      <c r="J315" s="84"/>
      <c r="K315" s="84"/>
      <c r="L315" s="84"/>
      <c r="M315" s="83"/>
      <c r="N315" s="84"/>
      <c r="O315" s="84"/>
      <c r="P315" s="84"/>
      <c r="Q315" s="84"/>
      <c r="R315" s="84"/>
      <c r="S315" s="86"/>
      <c r="T315" s="84"/>
      <c r="U315" s="84"/>
      <c r="V315" s="86"/>
      <c r="W315" s="84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66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2"/>
      <c r="AY315" s="72"/>
    </row>
    <row r="316" spans="2:51" x14ac:dyDescent="0.25">
      <c r="B316" s="70"/>
      <c r="C316" s="67"/>
      <c r="D316" s="68"/>
      <c r="E316" s="69"/>
      <c r="F316" s="84"/>
      <c r="G316" s="83"/>
      <c r="H316" s="84"/>
      <c r="I316" s="84"/>
      <c r="J316" s="84"/>
      <c r="K316" s="84"/>
      <c r="L316" s="84"/>
      <c r="M316" s="83"/>
      <c r="N316" s="84"/>
      <c r="O316" s="84"/>
      <c r="P316" s="84"/>
      <c r="Q316" s="84"/>
      <c r="R316" s="84"/>
      <c r="S316" s="86"/>
      <c r="T316" s="84"/>
      <c r="U316" s="84"/>
      <c r="V316" s="86"/>
      <c r="W316" s="84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66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2"/>
      <c r="AY316" s="72"/>
    </row>
    <row r="317" spans="2:51" x14ac:dyDescent="0.25">
      <c r="B317" s="70"/>
      <c r="C317" s="67"/>
      <c r="D317" s="68"/>
      <c r="E317" s="69"/>
      <c r="F317" s="84"/>
      <c r="G317" s="83"/>
      <c r="H317" s="84"/>
      <c r="I317" s="84"/>
      <c r="J317" s="84"/>
      <c r="K317" s="84"/>
      <c r="L317" s="84"/>
      <c r="M317" s="83"/>
      <c r="N317" s="84"/>
      <c r="O317" s="84"/>
      <c r="P317" s="84"/>
      <c r="Q317" s="84"/>
      <c r="R317" s="84"/>
      <c r="S317" s="86"/>
      <c r="T317" s="84"/>
      <c r="U317" s="84"/>
      <c r="V317" s="86"/>
      <c r="W317" s="84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66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2"/>
      <c r="AY317" s="72"/>
    </row>
    <row r="318" spans="2:51" x14ac:dyDescent="0.25">
      <c r="B318" s="70"/>
      <c r="C318" s="67"/>
      <c r="D318" s="68"/>
      <c r="E318" s="69"/>
      <c r="F318" s="84"/>
      <c r="G318" s="83"/>
      <c r="H318" s="84"/>
      <c r="I318" s="84"/>
      <c r="J318" s="84"/>
      <c r="K318" s="84"/>
      <c r="L318" s="84"/>
      <c r="M318" s="83"/>
      <c r="N318" s="84"/>
      <c r="O318" s="84"/>
      <c r="P318" s="84"/>
      <c r="Q318" s="84"/>
      <c r="R318" s="84"/>
      <c r="S318" s="86"/>
      <c r="T318" s="84"/>
      <c r="U318" s="84"/>
      <c r="V318" s="86"/>
      <c r="W318" s="84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66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2"/>
      <c r="AY318" s="72"/>
    </row>
    <row r="319" spans="2:51" x14ac:dyDescent="0.25">
      <c r="B319" s="70"/>
      <c r="C319" s="67"/>
      <c r="D319" s="68"/>
      <c r="E319" s="69"/>
      <c r="F319" s="84"/>
      <c r="G319" s="83"/>
      <c r="H319" s="84"/>
      <c r="I319" s="84"/>
      <c r="J319" s="84"/>
      <c r="K319" s="84"/>
      <c r="L319" s="84"/>
      <c r="M319" s="83"/>
      <c r="N319" s="84"/>
      <c r="O319" s="84"/>
      <c r="P319" s="84"/>
      <c r="Q319" s="84"/>
      <c r="R319" s="84"/>
      <c r="S319" s="86"/>
      <c r="T319" s="84"/>
      <c r="U319" s="84"/>
      <c r="V319" s="86"/>
      <c r="W319" s="84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66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2"/>
      <c r="AY319" s="72"/>
    </row>
    <row r="320" spans="2:51" x14ac:dyDescent="0.25">
      <c r="B320" s="70"/>
      <c r="C320" s="67"/>
      <c r="D320" s="68"/>
      <c r="E320" s="69"/>
      <c r="F320" s="84"/>
      <c r="G320" s="83"/>
      <c r="H320" s="84"/>
      <c r="I320" s="84"/>
      <c r="J320" s="84"/>
      <c r="K320" s="84"/>
      <c r="L320" s="84"/>
      <c r="M320" s="83"/>
      <c r="N320" s="84"/>
      <c r="O320" s="84"/>
      <c r="P320" s="84"/>
      <c r="Q320" s="84"/>
      <c r="R320" s="84"/>
      <c r="S320" s="86"/>
      <c r="T320" s="84"/>
      <c r="U320" s="84"/>
      <c r="V320" s="86"/>
      <c r="W320" s="84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66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2"/>
      <c r="AY320" s="72"/>
    </row>
    <row r="321" spans="2:51" x14ac:dyDescent="0.25">
      <c r="B321" s="70"/>
      <c r="C321" s="67"/>
      <c r="D321" s="68"/>
      <c r="E321" s="69"/>
      <c r="F321" s="84"/>
      <c r="G321" s="83"/>
      <c r="H321" s="84"/>
      <c r="I321" s="84"/>
      <c r="J321" s="84"/>
      <c r="K321" s="84"/>
      <c r="L321" s="84"/>
      <c r="M321" s="83"/>
      <c r="N321" s="84"/>
      <c r="O321" s="84"/>
      <c r="P321" s="84"/>
      <c r="Q321" s="84"/>
      <c r="R321" s="84"/>
      <c r="S321" s="86"/>
      <c r="T321" s="84"/>
      <c r="U321" s="84"/>
      <c r="V321" s="86"/>
      <c r="W321" s="84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66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2"/>
      <c r="AY321" s="72"/>
    </row>
    <row r="322" spans="2:51" x14ac:dyDescent="0.25">
      <c r="B322" s="70"/>
      <c r="C322" s="67"/>
      <c r="D322" s="68"/>
      <c r="E322" s="69"/>
      <c r="F322" s="84"/>
      <c r="G322" s="83"/>
      <c r="H322" s="84"/>
      <c r="I322" s="84"/>
      <c r="J322" s="84"/>
      <c r="K322" s="84"/>
      <c r="L322" s="84"/>
      <c r="M322" s="83"/>
      <c r="N322" s="84"/>
      <c r="O322" s="84"/>
      <c r="P322" s="84"/>
      <c r="Q322" s="84"/>
      <c r="R322" s="84"/>
      <c r="S322" s="86"/>
      <c r="T322" s="84"/>
      <c r="U322" s="84"/>
      <c r="V322" s="86"/>
      <c r="W322" s="84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66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2"/>
      <c r="AY322" s="72"/>
    </row>
    <row r="323" spans="2:51" x14ac:dyDescent="0.25">
      <c r="B323" s="70"/>
      <c r="C323" s="67"/>
      <c r="D323" s="68"/>
      <c r="E323" s="69"/>
      <c r="F323" s="84"/>
      <c r="G323" s="83"/>
      <c r="H323" s="84"/>
      <c r="I323" s="84"/>
      <c r="J323" s="84"/>
      <c r="K323" s="84"/>
      <c r="L323" s="84"/>
      <c r="M323" s="83"/>
      <c r="N323" s="84"/>
      <c r="O323" s="84"/>
      <c r="P323" s="84"/>
      <c r="Q323" s="84"/>
      <c r="R323" s="84"/>
      <c r="S323" s="86"/>
      <c r="T323" s="84"/>
      <c r="U323" s="84"/>
      <c r="V323" s="86"/>
      <c r="W323" s="84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66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2"/>
      <c r="AY323" s="72"/>
    </row>
    <row r="324" spans="2:51" x14ac:dyDescent="0.25">
      <c r="B324" s="70"/>
      <c r="C324" s="67"/>
      <c r="D324" s="68"/>
      <c r="E324" s="69"/>
      <c r="F324" s="84"/>
      <c r="G324" s="83"/>
      <c r="H324" s="84"/>
      <c r="I324" s="84"/>
      <c r="J324" s="84"/>
      <c r="K324" s="84"/>
      <c r="L324" s="84"/>
      <c r="M324" s="83"/>
      <c r="N324" s="84"/>
      <c r="O324" s="84"/>
      <c r="P324" s="84"/>
      <c r="Q324" s="84"/>
      <c r="R324" s="84"/>
      <c r="S324" s="86"/>
      <c r="T324" s="84"/>
      <c r="U324" s="84"/>
      <c r="V324" s="86"/>
      <c r="W324" s="84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66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2"/>
      <c r="AY324" s="72"/>
    </row>
    <row r="325" spans="2:51" x14ac:dyDescent="0.25">
      <c r="B325" s="70"/>
      <c r="C325" s="67"/>
      <c r="D325" s="68"/>
      <c r="E325" s="69"/>
      <c r="F325" s="84"/>
      <c r="G325" s="83"/>
      <c r="H325" s="84"/>
      <c r="I325" s="84"/>
      <c r="J325" s="84"/>
      <c r="K325" s="84"/>
      <c r="L325" s="84"/>
      <c r="M325" s="83"/>
      <c r="N325" s="84"/>
      <c r="O325" s="84"/>
      <c r="P325" s="84"/>
      <c r="Q325" s="84"/>
      <c r="R325" s="84"/>
      <c r="S325" s="86"/>
      <c r="T325" s="84"/>
      <c r="U325" s="84"/>
      <c r="V325" s="86"/>
      <c r="W325" s="84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66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2"/>
      <c r="AY325" s="72"/>
    </row>
    <row r="326" spans="2:51" x14ac:dyDescent="0.25">
      <c r="B326" s="70"/>
      <c r="C326" s="67"/>
      <c r="D326" s="68"/>
      <c r="E326" s="69"/>
      <c r="F326" s="84"/>
      <c r="G326" s="83"/>
      <c r="H326" s="84"/>
      <c r="I326" s="84"/>
      <c r="J326" s="84"/>
      <c r="K326" s="84"/>
      <c r="L326" s="84"/>
      <c r="M326" s="83"/>
      <c r="N326" s="84"/>
      <c r="O326" s="84"/>
      <c r="P326" s="84"/>
      <c r="Q326" s="84"/>
      <c r="R326" s="84"/>
      <c r="S326" s="86"/>
      <c r="T326" s="84"/>
      <c r="U326" s="84"/>
      <c r="V326" s="86"/>
      <c r="W326" s="84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66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2"/>
      <c r="AY326" s="72"/>
    </row>
    <row r="327" spans="2:51" x14ac:dyDescent="0.25">
      <c r="B327" s="70"/>
      <c r="C327" s="67"/>
      <c r="D327" s="68"/>
      <c r="E327" s="69"/>
      <c r="F327" s="84"/>
      <c r="G327" s="83"/>
      <c r="H327" s="84"/>
      <c r="I327" s="84"/>
      <c r="J327" s="84"/>
      <c r="K327" s="84"/>
      <c r="L327" s="84"/>
      <c r="M327" s="83"/>
      <c r="N327" s="84"/>
      <c r="O327" s="84"/>
      <c r="P327" s="84"/>
      <c r="Q327" s="84"/>
      <c r="R327" s="84"/>
      <c r="S327" s="86"/>
      <c r="T327" s="84"/>
      <c r="U327" s="84"/>
      <c r="V327" s="86"/>
      <c r="W327" s="84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66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2"/>
      <c r="AY327" s="72"/>
    </row>
    <row r="328" spans="2:51" x14ac:dyDescent="0.25">
      <c r="B328" s="70"/>
      <c r="C328" s="67"/>
      <c r="D328" s="68"/>
      <c r="E328" s="69"/>
      <c r="F328" s="84"/>
      <c r="G328" s="83"/>
      <c r="H328" s="84"/>
      <c r="I328" s="84"/>
      <c r="J328" s="84"/>
      <c r="K328" s="84"/>
      <c r="L328" s="84"/>
      <c r="M328" s="83"/>
      <c r="N328" s="84"/>
      <c r="O328" s="84"/>
      <c r="P328" s="84"/>
      <c r="Q328" s="84"/>
      <c r="R328" s="84"/>
      <c r="S328" s="86"/>
      <c r="T328" s="84"/>
      <c r="U328" s="84"/>
      <c r="V328" s="86"/>
      <c r="W328" s="84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66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2"/>
      <c r="AY328" s="72"/>
    </row>
    <row r="329" spans="2:51" x14ac:dyDescent="0.25">
      <c r="B329" s="70"/>
      <c r="C329" s="67"/>
      <c r="D329" s="68"/>
      <c r="E329" s="69"/>
      <c r="F329" s="84"/>
      <c r="G329" s="83"/>
      <c r="H329" s="84"/>
      <c r="I329" s="84"/>
      <c r="J329" s="84"/>
      <c r="K329" s="84"/>
      <c r="L329" s="84"/>
      <c r="M329" s="83"/>
      <c r="N329" s="84"/>
      <c r="O329" s="84"/>
      <c r="P329" s="84"/>
      <c r="Q329" s="84"/>
      <c r="R329" s="84"/>
      <c r="S329" s="86"/>
      <c r="T329" s="84"/>
      <c r="U329" s="84"/>
      <c r="V329" s="86"/>
      <c r="W329" s="84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66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2"/>
      <c r="AY329" s="72"/>
    </row>
    <row r="330" spans="2:51" x14ac:dyDescent="0.25">
      <c r="B330" s="70"/>
      <c r="C330" s="67"/>
      <c r="D330" s="68"/>
      <c r="E330" s="69"/>
      <c r="F330" s="84"/>
      <c r="G330" s="83"/>
      <c r="H330" s="84"/>
      <c r="I330" s="84"/>
      <c r="J330" s="84"/>
      <c r="K330" s="84"/>
      <c r="L330" s="84"/>
      <c r="M330" s="83"/>
      <c r="N330" s="84"/>
      <c r="O330" s="84"/>
      <c r="P330" s="84"/>
      <c r="Q330" s="84"/>
      <c r="R330" s="84"/>
      <c r="S330" s="86"/>
      <c r="T330" s="84"/>
      <c r="U330" s="84"/>
      <c r="V330" s="86"/>
      <c r="W330" s="84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66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2"/>
      <c r="AY330" s="72"/>
    </row>
    <row r="331" spans="2:51" x14ac:dyDescent="0.25">
      <c r="B331" s="70"/>
      <c r="C331" s="67"/>
      <c r="D331" s="68"/>
      <c r="E331" s="69"/>
      <c r="F331" s="84"/>
      <c r="G331" s="83"/>
      <c r="H331" s="84"/>
      <c r="I331" s="84"/>
      <c r="J331" s="84"/>
      <c r="K331" s="84"/>
      <c r="L331" s="84"/>
      <c r="M331" s="83"/>
      <c r="N331" s="84"/>
      <c r="O331" s="84"/>
      <c r="P331" s="84"/>
      <c r="Q331" s="84"/>
      <c r="R331" s="84"/>
      <c r="S331" s="86"/>
      <c r="T331" s="84"/>
      <c r="U331" s="84"/>
      <c r="V331" s="86"/>
      <c r="W331" s="84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66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2"/>
      <c r="AY331" s="72"/>
    </row>
    <row r="332" spans="2:51" x14ac:dyDescent="0.25">
      <c r="B332" s="70"/>
      <c r="C332" s="67"/>
      <c r="D332" s="68"/>
      <c r="E332" s="69"/>
      <c r="F332" s="84"/>
      <c r="G332" s="83"/>
      <c r="H332" s="84"/>
      <c r="I332" s="84"/>
      <c r="J332" s="84"/>
      <c r="K332" s="84"/>
      <c r="L332" s="84"/>
      <c r="M332" s="83"/>
      <c r="N332" s="84"/>
      <c r="O332" s="84"/>
      <c r="P332" s="84"/>
      <c r="Q332" s="84"/>
      <c r="R332" s="84"/>
      <c r="S332" s="86"/>
      <c r="T332" s="84"/>
      <c r="U332" s="84"/>
      <c r="V332" s="86"/>
      <c r="W332" s="84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66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2"/>
      <c r="AY332" s="72"/>
    </row>
    <row r="333" spans="2:51" x14ac:dyDescent="0.25">
      <c r="B333" s="70"/>
      <c r="C333" s="67"/>
      <c r="D333" s="68"/>
      <c r="E333" s="69"/>
      <c r="F333" s="84"/>
      <c r="G333" s="83"/>
      <c r="H333" s="84"/>
      <c r="I333" s="84"/>
      <c r="J333" s="84"/>
      <c r="K333" s="84"/>
      <c r="L333" s="84"/>
      <c r="M333" s="83"/>
      <c r="N333" s="84"/>
      <c r="O333" s="84"/>
      <c r="P333" s="84"/>
      <c r="Q333" s="84"/>
      <c r="R333" s="84"/>
      <c r="S333" s="86"/>
      <c r="T333" s="84"/>
      <c r="U333" s="84"/>
      <c r="V333" s="86"/>
      <c r="W333" s="84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66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2"/>
      <c r="AY333" s="72"/>
    </row>
    <row r="334" spans="2:51" x14ac:dyDescent="0.25">
      <c r="B334" s="70"/>
      <c r="C334" s="67"/>
      <c r="D334" s="68"/>
      <c r="E334" s="69"/>
      <c r="F334" s="84"/>
      <c r="G334" s="83"/>
      <c r="H334" s="84"/>
      <c r="I334" s="84"/>
      <c r="J334" s="84"/>
      <c r="K334" s="84"/>
      <c r="L334" s="84"/>
      <c r="M334" s="83"/>
      <c r="N334" s="84"/>
      <c r="O334" s="84"/>
      <c r="P334" s="84"/>
      <c r="Q334" s="84"/>
      <c r="R334" s="84"/>
      <c r="S334" s="86"/>
      <c r="T334" s="84"/>
      <c r="U334" s="84"/>
      <c r="V334" s="86"/>
      <c r="W334" s="84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66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2"/>
      <c r="AY334" s="72"/>
    </row>
    <row r="335" spans="2:51" x14ac:dyDescent="0.25">
      <c r="B335" s="70"/>
      <c r="C335" s="67"/>
      <c r="D335" s="68"/>
      <c r="E335" s="69"/>
      <c r="F335" s="84"/>
      <c r="G335" s="83"/>
      <c r="H335" s="84"/>
      <c r="I335" s="84"/>
      <c r="J335" s="84"/>
      <c r="K335" s="84"/>
      <c r="L335" s="84"/>
      <c r="M335" s="83"/>
      <c r="N335" s="84"/>
      <c r="O335" s="84"/>
      <c r="P335" s="84"/>
      <c r="Q335" s="84"/>
      <c r="R335" s="84"/>
      <c r="S335" s="86"/>
      <c r="T335" s="84"/>
      <c r="U335" s="84"/>
      <c r="V335" s="86"/>
      <c r="W335" s="84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66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2"/>
      <c r="AY335" s="72"/>
    </row>
    <row r="336" spans="2:51" x14ac:dyDescent="0.25">
      <c r="B336" s="70"/>
      <c r="C336" s="67"/>
      <c r="D336" s="68"/>
      <c r="E336" s="69"/>
      <c r="F336" s="84"/>
      <c r="G336" s="83"/>
      <c r="H336" s="84"/>
      <c r="I336" s="84"/>
      <c r="J336" s="84"/>
      <c r="K336" s="84"/>
      <c r="L336" s="84"/>
      <c r="M336" s="83"/>
      <c r="N336" s="84"/>
      <c r="O336" s="84"/>
      <c r="P336" s="84"/>
      <c r="Q336" s="84"/>
      <c r="R336" s="84"/>
      <c r="S336" s="86"/>
      <c r="T336" s="84"/>
      <c r="U336" s="84"/>
      <c r="V336" s="86"/>
      <c r="W336" s="84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66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2"/>
      <c r="AY336" s="72"/>
    </row>
    <row r="337" spans="2:51" x14ac:dyDescent="0.25">
      <c r="B337" s="70"/>
      <c r="C337" s="67"/>
      <c r="D337" s="68"/>
      <c r="E337" s="69"/>
      <c r="F337" s="84"/>
      <c r="G337" s="83"/>
      <c r="H337" s="84"/>
      <c r="I337" s="84"/>
      <c r="J337" s="84"/>
      <c r="K337" s="84"/>
      <c r="L337" s="84"/>
      <c r="M337" s="83"/>
      <c r="N337" s="84"/>
      <c r="O337" s="84"/>
      <c r="P337" s="84"/>
      <c r="Q337" s="84"/>
      <c r="R337" s="84"/>
      <c r="S337" s="86"/>
      <c r="T337" s="84"/>
      <c r="U337" s="84"/>
      <c r="V337" s="86"/>
      <c r="W337" s="84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66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2"/>
      <c r="AY337" s="72"/>
    </row>
    <row r="338" spans="2:51" x14ac:dyDescent="0.25">
      <c r="B338" s="70"/>
      <c r="C338" s="67"/>
      <c r="D338" s="68"/>
      <c r="E338" s="69"/>
      <c r="F338" s="84"/>
      <c r="G338" s="83"/>
      <c r="H338" s="84"/>
      <c r="I338" s="84"/>
      <c r="J338" s="84"/>
      <c r="K338" s="84"/>
      <c r="L338" s="84"/>
      <c r="M338" s="83"/>
      <c r="N338" s="84"/>
      <c r="O338" s="84"/>
      <c r="P338" s="84"/>
      <c r="Q338" s="84"/>
      <c r="R338" s="84"/>
      <c r="S338" s="86"/>
      <c r="T338" s="84"/>
      <c r="U338" s="84"/>
      <c r="V338" s="86"/>
      <c r="W338" s="84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66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2"/>
      <c r="AY338" s="72"/>
    </row>
    <row r="339" spans="2:51" x14ac:dyDescent="0.25">
      <c r="B339" s="70"/>
      <c r="C339" s="67"/>
      <c r="D339" s="68"/>
      <c r="E339" s="69"/>
      <c r="F339" s="84"/>
      <c r="G339" s="83"/>
      <c r="H339" s="84"/>
      <c r="I339" s="84"/>
      <c r="J339" s="84"/>
      <c r="K339" s="84"/>
      <c r="L339" s="84"/>
      <c r="M339" s="83"/>
      <c r="N339" s="84"/>
      <c r="O339" s="84"/>
      <c r="P339" s="84"/>
      <c r="Q339" s="84"/>
      <c r="R339" s="84"/>
      <c r="S339" s="86"/>
      <c r="T339" s="84"/>
      <c r="U339" s="84"/>
      <c r="V339" s="86"/>
      <c r="W339" s="84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66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2"/>
      <c r="AY339" s="72"/>
    </row>
    <row r="340" spans="2:51" x14ac:dyDescent="0.25">
      <c r="B340" s="70"/>
      <c r="C340" s="67"/>
      <c r="D340" s="68"/>
      <c r="E340" s="69"/>
      <c r="F340" s="84"/>
      <c r="G340" s="83"/>
      <c r="H340" s="84"/>
      <c r="I340" s="84"/>
      <c r="J340" s="84"/>
      <c r="K340" s="84"/>
      <c r="L340" s="84"/>
      <c r="M340" s="83"/>
      <c r="N340" s="84"/>
      <c r="O340" s="84"/>
      <c r="P340" s="84"/>
      <c r="Q340" s="84"/>
      <c r="R340" s="84"/>
      <c r="S340" s="86"/>
      <c r="T340" s="84"/>
      <c r="U340" s="84"/>
      <c r="V340" s="86"/>
      <c r="W340" s="84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66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2"/>
      <c r="AY340" s="72"/>
    </row>
    <row r="341" spans="2:51" x14ac:dyDescent="0.25">
      <c r="B341" s="70"/>
      <c r="C341" s="67"/>
      <c r="D341" s="68"/>
      <c r="E341" s="69"/>
      <c r="F341" s="84"/>
      <c r="G341" s="83"/>
      <c r="H341" s="84"/>
      <c r="I341" s="84"/>
      <c r="J341" s="84"/>
      <c r="K341" s="84"/>
      <c r="L341" s="84"/>
      <c r="M341" s="83"/>
      <c r="N341" s="84"/>
      <c r="O341" s="84"/>
      <c r="P341" s="84"/>
      <c r="Q341" s="84"/>
      <c r="R341" s="84"/>
      <c r="S341" s="86"/>
      <c r="T341" s="84"/>
      <c r="U341" s="84"/>
      <c r="V341" s="86"/>
      <c r="W341" s="84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66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2"/>
      <c r="AY341" s="72"/>
    </row>
    <row r="342" spans="2:51" x14ac:dyDescent="0.25">
      <c r="B342" s="70"/>
      <c r="C342" s="67"/>
      <c r="D342" s="68"/>
      <c r="E342" s="69"/>
      <c r="F342" s="84"/>
      <c r="G342" s="83"/>
      <c r="H342" s="84"/>
      <c r="I342" s="84"/>
      <c r="J342" s="84"/>
      <c r="K342" s="84"/>
      <c r="L342" s="84"/>
      <c r="M342" s="83"/>
      <c r="N342" s="84"/>
      <c r="O342" s="84"/>
      <c r="P342" s="84"/>
      <c r="Q342" s="84"/>
      <c r="R342" s="84"/>
      <c r="S342" s="86"/>
      <c r="T342" s="84"/>
      <c r="U342" s="84"/>
      <c r="V342" s="86"/>
      <c r="W342" s="84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66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2"/>
      <c r="AY342" s="72"/>
    </row>
    <row r="343" spans="2:51" x14ac:dyDescent="0.25">
      <c r="B343" s="70"/>
      <c r="C343" s="67"/>
      <c r="D343" s="68"/>
      <c r="E343" s="69"/>
      <c r="F343" s="84"/>
      <c r="G343" s="83"/>
      <c r="H343" s="84"/>
      <c r="I343" s="84"/>
      <c r="J343" s="84"/>
      <c r="K343" s="84"/>
      <c r="L343" s="84"/>
      <c r="M343" s="83"/>
      <c r="N343" s="84"/>
      <c r="O343" s="84"/>
      <c r="P343" s="84"/>
      <c r="Q343" s="84"/>
      <c r="R343" s="84"/>
      <c r="S343" s="86"/>
      <c r="T343" s="84"/>
      <c r="U343" s="84"/>
      <c r="V343" s="86"/>
      <c r="W343" s="84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66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2"/>
      <c r="AY343" s="72"/>
    </row>
    <row r="344" spans="2:51" x14ac:dyDescent="0.25">
      <c r="B344" s="70"/>
      <c r="C344" s="67"/>
      <c r="D344" s="68"/>
      <c r="E344" s="69"/>
      <c r="F344" s="84"/>
      <c r="G344" s="83"/>
      <c r="H344" s="84"/>
      <c r="I344" s="84"/>
      <c r="J344" s="84"/>
      <c r="K344" s="84"/>
      <c r="L344" s="84"/>
      <c r="M344" s="83"/>
      <c r="N344" s="84"/>
      <c r="O344" s="84"/>
      <c r="P344" s="84"/>
      <c r="Q344" s="84"/>
      <c r="R344" s="84"/>
      <c r="S344" s="86"/>
      <c r="T344" s="84"/>
      <c r="U344" s="84"/>
      <c r="V344" s="86"/>
      <c r="W344" s="84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66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2"/>
      <c r="AY344" s="72"/>
    </row>
    <row r="345" spans="2:51" x14ac:dyDescent="0.25">
      <c r="B345" s="70"/>
      <c r="C345" s="67"/>
      <c r="D345" s="68"/>
      <c r="E345" s="69"/>
      <c r="F345" s="84"/>
      <c r="G345" s="83"/>
      <c r="H345" s="84"/>
      <c r="I345" s="84"/>
      <c r="J345" s="84"/>
      <c r="K345" s="84"/>
      <c r="L345" s="84"/>
      <c r="M345" s="83"/>
      <c r="N345" s="84"/>
      <c r="O345" s="84"/>
      <c r="P345" s="84"/>
      <c r="Q345" s="84"/>
      <c r="R345" s="84"/>
      <c r="S345" s="86"/>
      <c r="T345" s="84"/>
      <c r="U345" s="84"/>
      <c r="V345" s="86"/>
      <c r="W345" s="84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66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2"/>
      <c r="AY345" s="72"/>
    </row>
    <row r="346" spans="2:51" x14ac:dyDescent="0.25">
      <c r="B346" s="70"/>
      <c r="C346" s="67"/>
      <c r="D346" s="68"/>
      <c r="E346" s="69"/>
      <c r="F346" s="84"/>
      <c r="G346" s="83"/>
      <c r="H346" s="84"/>
      <c r="I346" s="84"/>
      <c r="J346" s="84"/>
      <c r="K346" s="84"/>
      <c r="L346" s="84"/>
      <c r="M346" s="83"/>
      <c r="N346" s="84"/>
      <c r="O346" s="84"/>
      <c r="P346" s="84"/>
      <c r="Q346" s="84"/>
      <c r="R346" s="84"/>
      <c r="S346" s="86"/>
      <c r="T346" s="84"/>
      <c r="U346" s="84"/>
      <c r="V346" s="86"/>
      <c r="W346" s="84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66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2"/>
      <c r="AY346" s="72"/>
    </row>
    <row r="347" spans="2:51" x14ac:dyDescent="0.25">
      <c r="B347" s="70"/>
      <c r="C347" s="67"/>
      <c r="D347" s="68"/>
      <c r="E347" s="69"/>
      <c r="F347" s="84"/>
      <c r="G347" s="83"/>
      <c r="H347" s="84"/>
      <c r="I347" s="84"/>
      <c r="J347" s="84"/>
      <c r="K347" s="84"/>
      <c r="L347" s="84"/>
      <c r="M347" s="83"/>
      <c r="N347" s="84"/>
      <c r="O347" s="84"/>
      <c r="P347" s="84"/>
      <c r="Q347" s="84"/>
      <c r="R347" s="84"/>
      <c r="S347" s="86"/>
      <c r="T347" s="84"/>
      <c r="U347" s="84"/>
      <c r="V347" s="86"/>
      <c r="W347" s="84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66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2"/>
      <c r="AY347" s="72"/>
    </row>
    <row r="348" spans="2:51" x14ac:dyDescent="0.25">
      <c r="B348" s="70"/>
      <c r="C348" s="67"/>
      <c r="D348" s="68"/>
      <c r="E348" s="69"/>
      <c r="F348" s="84"/>
      <c r="G348" s="83"/>
      <c r="H348" s="84"/>
      <c r="I348" s="84"/>
      <c r="J348" s="84"/>
      <c r="K348" s="84"/>
      <c r="L348" s="84"/>
      <c r="M348" s="83"/>
      <c r="N348" s="84"/>
      <c r="O348" s="84"/>
      <c r="P348" s="84"/>
      <c r="Q348" s="84"/>
      <c r="R348" s="84"/>
      <c r="S348" s="86"/>
      <c r="T348" s="84"/>
      <c r="U348" s="84"/>
      <c r="V348" s="86"/>
      <c r="W348" s="84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66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2"/>
      <c r="AY348" s="72"/>
    </row>
    <row r="349" spans="2:51" x14ac:dyDescent="0.25">
      <c r="B349" s="70"/>
      <c r="C349" s="67"/>
      <c r="D349" s="68"/>
      <c r="E349" s="69"/>
      <c r="F349" s="84"/>
      <c r="G349" s="83"/>
      <c r="H349" s="84"/>
      <c r="I349" s="84"/>
      <c r="J349" s="84"/>
      <c r="K349" s="84"/>
      <c r="L349" s="84"/>
      <c r="M349" s="83"/>
      <c r="N349" s="84"/>
      <c r="O349" s="84"/>
      <c r="P349" s="84"/>
      <c r="Q349" s="84"/>
      <c r="R349" s="84"/>
      <c r="S349" s="86"/>
      <c r="T349" s="84"/>
      <c r="U349" s="84"/>
      <c r="V349" s="86"/>
      <c r="W349" s="84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66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2"/>
      <c r="AY349" s="72"/>
    </row>
    <row r="350" spans="2:51" x14ac:dyDescent="0.25">
      <c r="B350" s="70"/>
      <c r="C350" s="67"/>
      <c r="D350" s="68"/>
      <c r="E350" s="69"/>
      <c r="F350" s="84"/>
      <c r="G350" s="83"/>
      <c r="H350" s="84"/>
      <c r="I350" s="84"/>
      <c r="J350" s="84"/>
      <c r="K350" s="84"/>
      <c r="L350" s="84"/>
      <c r="M350" s="83"/>
      <c r="N350" s="84"/>
      <c r="O350" s="84"/>
      <c r="P350" s="84"/>
      <c r="Q350" s="84"/>
      <c r="R350" s="84"/>
      <c r="S350" s="86"/>
      <c r="T350" s="84"/>
      <c r="U350" s="84"/>
      <c r="V350" s="86"/>
      <c r="W350" s="84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66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2"/>
      <c r="AY350" s="72"/>
    </row>
    <row r="351" spans="2:51" x14ac:dyDescent="0.25">
      <c r="B351" s="70"/>
      <c r="C351" s="67"/>
      <c r="D351" s="68"/>
      <c r="E351" s="69"/>
      <c r="F351" s="84"/>
      <c r="G351" s="83"/>
      <c r="H351" s="84"/>
      <c r="I351" s="84"/>
      <c r="J351" s="84"/>
      <c r="K351" s="84"/>
      <c r="L351" s="84"/>
      <c r="M351" s="83"/>
      <c r="N351" s="84"/>
      <c r="O351" s="84"/>
      <c r="P351" s="84"/>
      <c r="Q351" s="84"/>
      <c r="R351" s="84"/>
      <c r="S351" s="86"/>
      <c r="T351" s="84"/>
      <c r="U351" s="84"/>
      <c r="V351" s="86"/>
      <c r="W351" s="84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66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2"/>
      <c r="AY351" s="72"/>
    </row>
    <row r="352" spans="2:51" x14ac:dyDescent="0.25">
      <c r="B352" s="70"/>
      <c r="C352" s="67"/>
      <c r="D352" s="68"/>
      <c r="E352" s="69"/>
      <c r="F352" s="84"/>
      <c r="G352" s="83"/>
      <c r="H352" s="84"/>
      <c r="I352" s="84"/>
      <c r="J352" s="84"/>
      <c r="K352" s="84"/>
      <c r="L352" s="84"/>
      <c r="M352" s="83"/>
      <c r="N352" s="84"/>
      <c r="O352" s="84"/>
      <c r="P352" s="84"/>
      <c r="Q352" s="84"/>
      <c r="R352" s="84"/>
      <c r="S352" s="86"/>
      <c r="T352" s="84"/>
      <c r="U352" s="84"/>
      <c r="V352" s="86"/>
      <c r="W352" s="84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66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2"/>
      <c r="AY352" s="72"/>
    </row>
    <row r="353" spans="2:51" x14ac:dyDescent="0.25">
      <c r="B353" s="70"/>
      <c r="C353" s="67"/>
      <c r="D353" s="68"/>
      <c r="E353" s="69"/>
      <c r="F353" s="84"/>
      <c r="G353" s="83"/>
      <c r="H353" s="84"/>
      <c r="I353" s="84"/>
      <c r="J353" s="84"/>
      <c r="K353" s="84"/>
      <c r="L353" s="84"/>
      <c r="M353" s="83"/>
      <c r="N353" s="84"/>
      <c r="O353" s="84"/>
      <c r="P353" s="84"/>
      <c r="Q353" s="84"/>
      <c r="R353" s="84"/>
      <c r="S353" s="86"/>
      <c r="T353" s="84"/>
      <c r="U353" s="84"/>
      <c r="V353" s="86"/>
      <c r="W353" s="84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66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2"/>
      <c r="AY353" s="72"/>
    </row>
    <row r="354" spans="2:51" x14ac:dyDescent="0.25">
      <c r="B354" s="70"/>
      <c r="C354" s="67"/>
      <c r="D354" s="68"/>
      <c r="E354" s="69"/>
      <c r="F354" s="84"/>
      <c r="G354" s="83"/>
      <c r="H354" s="84"/>
      <c r="I354" s="84"/>
      <c r="J354" s="84"/>
      <c r="K354" s="84"/>
      <c r="L354" s="84"/>
      <c r="M354" s="83"/>
      <c r="N354" s="84"/>
      <c r="O354" s="84"/>
      <c r="P354" s="84"/>
      <c r="Q354" s="84"/>
      <c r="R354" s="84"/>
      <c r="S354" s="86"/>
      <c r="T354" s="84"/>
      <c r="U354" s="84"/>
      <c r="V354" s="86"/>
      <c r="W354" s="84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66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2"/>
      <c r="AY354" s="72"/>
    </row>
    <row r="355" spans="2:51" x14ac:dyDescent="0.25">
      <c r="B355" s="70"/>
      <c r="C355" s="67"/>
      <c r="D355" s="68"/>
      <c r="E355" s="69"/>
      <c r="F355" s="84"/>
      <c r="G355" s="83"/>
      <c r="H355" s="84"/>
      <c r="I355" s="84"/>
      <c r="J355" s="84"/>
      <c r="K355" s="84"/>
      <c r="L355" s="84"/>
      <c r="M355" s="83"/>
      <c r="N355" s="84"/>
      <c r="O355" s="84"/>
      <c r="P355" s="84"/>
      <c r="Q355" s="84"/>
      <c r="R355" s="84"/>
      <c r="S355" s="86"/>
      <c r="T355" s="84"/>
      <c r="U355" s="84"/>
      <c r="V355" s="86"/>
      <c r="W355" s="84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66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2"/>
      <c r="AY355" s="72"/>
    </row>
    <row r="356" spans="2:51" x14ac:dyDescent="0.25">
      <c r="B356" s="70"/>
      <c r="C356" s="67"/>
      <c r="D356" s="68"/>
      <c r="E356" s="69"/>
      <c r="F356" s="84"/>
      <c r="G356" s="83"/>
      <c r="H356" s="84"/>
      <c r="I356" s="84"/>
      <c r="J356" s="84"/>
      <c r="K356" s="84"/>
      <c r="L356" s="84"/>
      <c r="M356" s="83"/>
      <c r="N356" s="84"/>
      <c r="O356" s="84"/>
      <c r="P356" s="84"/>
      <c r="Q356" s="84"/>
      <c r="R356" s="84"/>
      <c r="S356" s="86"/>
      <c r="T356" s="84"/>
      <c r="U356" s="84"/>
      <c r="V356" s="86"/>
      <c r="W356" s="84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66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2"/>
      <c r="AY356" s="72"/>
    </row>
    <row r="357" spans="2:51" x14ac:dyDescent="0.25">
      <c r="B357" s="70"/>
      <c r="C357" s="67"/>
      <c r="D357" s="68"/>
      <c r="E357" s="69"/>
      <c r="F357" s="84"/>
      <c r="G357" s="83"/>
      <c r="H357" s="84"/>
      <c r="I357" s="84"/>
      <c r="J357" s="84"/>
      <c r="K357" s="84"/>
      <c r="L357" s="84"/>
      <c r="M357" s="83"/>
      <c r="N357" s="84"/>
      <c r="O357" s="84"/>
      <c r="P357" s="84"/>
      <c r="Q357" s="84"/>
      <c r="R357" s="84"/>
      <c r="S357" s="86"/>
      <c r="T357" s="84"/>
      <c r="U357" s="84"/>
      <c r="V357" s="86"/>
      <c r="W357" s="84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66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2"/>
      <c r="AY357" s="72"/>
    </row>
    <row r="358" spans="2:51" x14ac:dyDescent="0.25">
      <c r="B358" s="70"/>
      <c r="C358" s="67"/>
      <c r="D358" s="68"/>
      <c r="E358" s="69"/>
      <c r="F358" s="84"/>
      <c r="G358" s="83"/>
      <c r="H358" s="84"/>
      <c r="I358" s="84"/>
      <c r="J358" s="84"/>
      <c r="K358" s="84"/>
      <c r="L358" s="84"/>
      <c r="M358" s="83"/>
      <c r="N358" s="84"/>
      <c r="O358" s="84"/>
      <c r="P358" s="84"/>
      <c r="Q358" s="84"/>
      <c r="R358" s="84"/>
      <c r="S358" s="86"/>
      <c r="T358" s="84"/>
      <c r="U358" s="84"/>
      <c r="V358" s="86"/>
      <c r="W358" s="84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66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2"/>
      <c r="AY358" s="72"/>
    </row>
    <row r="359" spans="2:51" x14ac:dyDescent="0.25">
      <c r="B359" s="70"/>
      <c r="C359" s="67"/>
      <c r="D359" s="68"/>
      <c r="E359" s="69"/>
      <c r="F359" s="84"/>
      <c r="G359" s="83"/>
      <c r="H359" s="84"/>
      <c r="I359" s="84"/>
      <c r="J359" s="84"/>
      <c r="K359" s="84"/>
      <c r="L359" s="84"/>
      <c r="M359" s="83"/>
      <c r="N359" s="84"/>
      <c r="O359" s="84"/>
      <c r="P359" s="84"/>
      <c r="Q359" s="84"/>
      <c r="R359" s="84"/>
      <c r="S359" s="86"/>
      <c r="T359" s="84"/>
      <c r="U359" s="84"/>
      <c r="V359" s="86"/>
      <c r="W359" s="84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66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2"/>
      <c r="AY359" s="72"/>
    </row>
    <row r="360" spans="2:51" x14ac:dyDescent="0.25">
      <c r="B360" s="70"/>
      <c r="C360" s="67"/>
      <c r="D360" s="68"/>
      <c r="E360" s="69"/>
      <c r="F360" s="84"/>
      <c r="G360" s="83"/>
      <c r="H360" s="84"/>
      <c r="I360" s="84"/>
      <c r="J360" s="84"/>
      <c r="K360" s="84"/>
      <c r="L360" s="84"/>
      <c r="M360" s="83"/>
      <c r="N360" s="84"/>
      <c r="O360" s="84"/>
      <c r="P360" s="84"/>
      <c r="Q360" s="84"/>
      <c r="R360" s="84"/>
      <c r="S360" s="86"/>
      <c r="T360" s="84"/>
      <c r="U360" s="84"/>
      <c r="V360" s="86"/>
      <c r="W360" s="84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66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2"/>
      <c r="AY360" s="72"/>
    </row>
    <row r="361" spans="2:51" x14ac:dyDescent="0.25">
      <c r="B361" s="70"/>
      <c r="C361" s="67"/>
      <c r="D361" s="68"/>
      <c r="E361" s="69"/>
      <c r="F361" s="84"/>
      <c r="G361" s="83"/>
      <c r="H361" s="84"/>
      <c r="I361" s="84"/>
      <c r="J361" s="84"/>
      <c r="K361" s="84"/>
      <c r="L361" s="84"/>
      <c r="M361" s="83"/>
      <c r="N361" s="84"/>
      <c r="O361" s="84"/>
      <c r="P361" s="84"/>
      <c r="Q361" s="84"/>
      <c r="R361" s="84"/>
      <c r="S361" s="86"/>
      <c r="T361" s="84"/>
      <c r="U361" s="84"/>
      <c r="V361" s="86"/>
      <c r="W361" s="84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66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2"/>
      <c r="AY361" s="72"/>
    </row>
    <row r="362" spans="2:51" x14ac:dyDescent="0.25">
      <c r="B362" s="70"/>
      <c r="C362" s="67"/>
      <c r="D362" s="68"/>
      <c r="E362" s="69"/>
      <c r="F362" s="84"/>
      <c r="G362" s="83"/>
      <c r="H362" s="84"/>
      <c r="I362" s="84"/>
      <c r="J362" s="84"/>
      <c r="K362" s="84"/>
      <c r="L362" s="84"/>
      <c r="M362" s="83"/>
      <c r="N362" s="84"/>
      <c r="O362" s="84"/>
      <c r="P362" s="84"/>
      <c r="Q362" s="84"/>
      <c r="R362" s="84"/>
      <c r="S362" s="86"/>
      <c r="T362" s="84"/>
      <c r="U362" s="84"/>
      <c r="V362" s="86"/>
      <c r="W362" s="84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66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2"/>
      <c r="AY362" s="72"/>
    </row>
    <row r="363" spans="2:51" x14ac:dyDescent="0.25">
      <c r="B363" s="70"/>
      <c r="C363" s="67"/>
      <c r="D363" s="68"/>
      <c r="E363" s="69"/>
      <c r="F363" s="84"/>
      <c r="G363" s="83"/>
      <c r="H363" s="84"/>
      <c r="I363" s="84"/>
      <c r="J363" s="84"/>
      <c r="K363" s="84"/>
      <c r="L363" s="84"/>
      <c r="M363" s="83"/>
      <c r="N363" s="84"/>
      <c r="O363" s="84"/>
      <c r="P363" s="84"/>
      <c r="Q363" s="84"/>
      <c r="R363" s="84"/>
      <c r="S363" s="86"/>
      <c r="T363" s="84"/>
      <c r="U363" s="84"/>
      <c r="V363" s="86"/>
      <c r="W363" s="84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66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2"/>
      <c r="AY363" s="72"/>
    </row>
    <row r="364" spans="2:51" x14ac:dyDescent="0.25">
      <c r="B364" s="70"/>
      <c r="C364" s="67"/>
      <c r="D364" s="68"/>
      <c r="E364" s="69"/>
      <c r="F364" s="84"/>
      <c r="G364" s="83"/>
      <c r="H364" s="84"/>
      <c r="I364" s="84"/>
      <c r="J364" s="84"/>
      <c r="K364" s="84"/>
      <c r="L364" s="84"/>
      <c r="M364" s="83"/>
      <c r="N364" s="84"/>
      <c r="O364" s="84"/>
      <c r="P364" s="84"/>
      <c r="Q364" s="84"/>
      <c r="R364" s="84"/>
      <c r="S364" s="86"/>
      <c r="T364" s="84"/>
      <c r="U364" s="84"/>
      <c r="V364" s="86"/>
      <c r="W364" s="84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66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2"/>
      <c r="AY364" s="72"/>
    </row>
    <row r="365" spans="2:51" x14ac:dyDescent="0.25">
      <c r="B365" s="70"/>
      <c r="C365" s="67"/>
      <c r="D365" s="68"/>
      <c r="E365" s="69"/>
      <c r="F365" s="84"/>
      <c r="G365" s="83"/>
      <c r="H365" s="84"/>
      <c r="I365" s="84"/>
      <c r="J365" s="84"/>
      <c r="K365" s="84"/>
      <c r="L365" s="84"/>
      <c r="M365" s="83"/>
      <c r="N365" s="84"/>
      <c r="O365" s="84"/>
      <c r="P365" s="84"/>
      <c r="Q365" s="84"/>
      <c r="R365" s="84"/>
      <c r="S365" s="86"/>
      <c r="T365" s="84"/>
      <c r="U365" s="84"/>
      <c r="V365" s="86"/>
      <c r="W365" s="84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66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2"/>
      <c r="AY365" s="72"/>
    </row>
    <row r="366" spans="2:51" x14ac:dyDescent="0.25">
      <c r="B366" s="70"/>
      <c r="C366" s="67"/>
      <c r="D366" s="68"/>
      <c r="E366" s="69"/>
      <c r="F366" s="84"/>
      <c r="G366" s="83"/>
      <c r="H366" s="84"/>
      <c r="I366" s="84"/>
      <c r="J366" s="84"/>
      <c r="K366" s="84"/>
      <c r="L366" s="84"/>
      <c r="M366" s="83"/>
      <c r="N366" s="84"/>
      <c r="O366" s="84"/>
      <c r="P366" s="84"/>
      <c r="Q366" s="84"/>
      <c r="R366" s="84"/>
      <c r="S366" s="86"/>
      <c r="T366" s="84"/>
      <c r="U366" s="84"/>
      <c r="V366" s="86"/>
      <c r="W366" s="84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66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2"/>
      <c r="AY366" s="72"/>
    </row>
    <row r="367" spans="2:51" x14ac:dyDescent="0.25">
      <c r="B367" s="70"/>
      <c r="C367" s="67"/>
      <c r="D367" s="68"/>
      <c r="E367" s="69"/>
      <c r="F367" s="84"/>
      <c r="G367" s="83"/>
      <c r="H367" s="84"/>
      <c r="I367" s="84"/>
      <c r="J367" s="84"/>
      <c r="K367" s="84"/>
      <c r="L367" s="84"/>
      <c r="M367" s="83"/>
      <c r="N367" s="84"/>
      <c r="O367" s="84"/>
      <c r="P367" s="84"/>
      <c r="Q367" s="84"/>
      <c r="R367" s="84"/>
      <c r="S367" s="86"/>
      <c r="T367" s="84"/>
      <c r="U367" s="84"/>
      <c r="V367" s="86"/>
      <c r="W367" s="84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66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2"/>
      <c r="AY367" s="72"/>
    </row>
    <row r="368" spans="2:51" x14ac:dyDescent="0.25">
      <c r="B368" s="70"/>
      <c r="C368" s="67"/>
      <c r="D368" s="68"/>
      <c r="E368" s="69"/>
      <c r="F368" s="84"/>
      <c r="G368" s="83"/>
      <c r="H368" s="84"/>
      <c r="I368" s="84"/>
      <c r="J368" s="84"/>
      <c r="K368" s="84"/>
      <c r="L368" s="84"/>
      <c r="M368" s="83"/>
      <c r="N368" s="84"/>
      <c r="O368" s="84"/>
      <c r="P368" s="84"/>
      <c r="Q368" s="84"/>
      <c r="R368" s="84"/>
      <c r="S368" s="86"/>
      <c r="T368" s="84"/>
      <c r="U368" s="84"/>
      <c r="V368" s="86"/>
      <c r="W368" s="84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66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2"/>
      <c r="AY368" s="72"/>
    </row>
    <row r="369" spans="2:51" x14ac:dyDescent="0.25">
      <c r="B369" s="70"/>
      <c r="C369" s="67"/>
      <c r="D369" s="68"/>
      <c r="E369" s="69"/>
      <c r="F369" s="84"/>
      <c r="G369" s="83"/>
      <c r="H369" s="84"/>
      <c r="I369" s="84"/>
      <c r="J369" s="84"/>
      <c r="K369" s="84"/>
      <c r="L369" s="84"/>
      <c r="M369" s="83"/>
      <c r="N369" s="84"/>
      <c r="O369" s="84"/>
      <c r="P369" s="84"/>
      <c r="Q369" s="84"/>
      <c r="R369" s="84"/>
      <c r="S369" s="86"/>
      <c r="T369" s="84"/>
      <c r="U369" s="84"/>
      <c r="V369" s="86"/>
      <c r="W369" s="84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66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2"/>
      <c r="AY369" s="72"/>
    </row>
    <row r="370" spans="2:51" x14ac:dyDescent="0.25">
      <c r="B370" s="70"/>
      <c r="C370" s="67"/>
      <c r="D370" s="68"/>
      <c r="E370" s="69"/>
      <c r="F370" s="84"/>
      <c r="G370" s="83"/>
      <c r="H370" s="84"/>
      <c r="I370" s="84"/>
      <c r="J370" s="84"/>
      <c r="K370" s="84"/>
      <c r="L370" s="84"/>
      <c r="M370" s="83"/>
      <c r="N370" s="84"/>
      <c r="O370" s="84"/>
      <c r="P370" s="84"/>
      <c r="Q370" s="84"/>
      <c r="R370" s="84"/>
      <c r="S370" s="86"/>
      <c r="T370" s="84"/>
      <c r="U370" s="84"/>
      <c r="V370" s="86"/>
      <c r="W370" s="84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66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2"/>
      <c r="AY370" s="72"/>
    </row>
    <row r="371" spans="2:51" x14ac:dyDescent="0.25">
      <c r="B371" s="70"/>
      <c r="C371" s="67"/>
      <c r="D371" s="68"/>
      <c r="E371" s="69"/>
      <c r="F371" s="84"/>
      <c r="G371" s="83"/>
      <c r="H371" s="84"/>
      <c r="I371" s="84"/>
      <c r="J371" s="84"/>
      <c r="K371" s="84"/>
      <c r="L371" s="84"/>
      <c r="M371" s="83"/>
      <c r="N371" s="84"/>
      <c r="O371" s="84"/>
      <c r="P371" s="84"/>
      <c r="Q371" s="84"/>
      <c r="R371" s="84"/>
      <c r="S371" s="86"/>
      <c r="T371" s="84"/>
      <c r="U371" s="84"/>
      <c r="V371" s="86"/>
      <c r="W371" s="84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66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2"/>
      <c r="AY371" s="72"/>
    </row>
    <row r="372" spans="2:51" x14ac:dyDescent="0.25">
      <c r="B372" s="70"/>
      <c r="C372" s="67"/>
      <c r="D372" s="68"/>
      <c r="E372" s="69"/>
      <c r="F372" s="84"/>
      <c r="G372" s="83"/>
      <c r="H372" s="84"/>
      <c r="I372" s="84"/>
      <c r="J372" s="84"/>
      <c r="K372" s="84"/>
      <c r="L372" s="84"/>
      <c r="M372" s="83"/>
      <c r="N372" s="84"/>
      <c r="O372" s="84"/>
      <c r="P372" s="84"/>
      <c r="Q372" s="84"/>
      <c r="R372" s="84"/>
      <c r="S372" s="86"/>
      <c r="T372" s="84"/>
      <c r="U372" s="84"/>
      <c r="V372" s="86"/>
      <c r="W372" s="84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66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2"/>
      <c r="AY372" s="72"/>
    </row>
    <row r="373" spans="2:51" x14ac:dyDescent="0.25">
      <c r="B373" s="70"/>
      <c r="C373" s="67"/>
      <c r="D373" s="68"/>
      <c r="E373" s="69"/>
      <c r="F373" s="84"/>
      <c r="G373" s="83"/>
      <c r="H373" s="84"/>
      <c r="I373" s="84"/>
      <c r="J373" s="84"/>
      <c r="K373" s="84"/>
      <c r="L373" s="84"/>
      <c r="M373" s="83"/>
      <c r="N373" s="84"/>
      <c r="O373" s="84"/>
      <c r="P373" s="84"/>
      <c r="Q373" s="84"/>
      <c r="R373" s="84"/>
      <c r="S373" s="86"/>
      <c r="T373" s="84"/>
      <c r="U373" s="84"/>
      <c r="V373" s="86"/>
      <c r="W373" s="84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66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2"/>
      <c r="AY373" s="72"/>
    </row>
    <row r="374" spans="2:51" x14ac:dyDescent="0.25">
      <c r="B374" s="70"/>
      <c r="C374" s="67"/>
      <c r="D374" s="68"/>
      <c r="E374" s="69"/>
      <c r="F374" s="84"/>
      <c r="G374" s="83"/>
      <c r="H374" s="84"/>
      <c r="I374" s="84"/>
      <c r="J374" s="84"/>
      <c r="K374" s="84"/>
      <c r="L374" s="84"/>
      <c r="M374" s="83"/>
      <c r="N374" s="84"/>
      <c r="O374" s="84"/>
      <c r="P374" s="84"/>
      <c r="Q374" s="84"/>
      <c r="R374" s="84"/>
      <c r="S374" s="86"/>
      <c r="T374" s="84"/>
      <c r="U374" s="84"/>
      <c r="V374" s="86"/>
      <c r="W374" s="84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66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2"/>
      <c r="AY374" s="72"/>
    </row>
    <row r="375" spans="2:51" x14ac:dyDescent="0.25">
      <c r="B375" s="70"/>
      <c r="C375" s="67"/>
      <c r="D375" s="68"/>
      <c r="E375" s="69"/>
      <c r="F375" s="84"/>
      <c r="G375" s="83"/>
      <c r="H375" s="84"/>
      <c r="I375" s="84"/>
      <c r="J375" s="84"/>
      <c r="K375" s="84"/>
      <c r="L375" s="84"/>
      <c r="M375" s="83"/>
      <c r="N375" s="84"/>
      <c r="O375" s="84"/>
      <c r="P375" s="84"/>
      <c r="Q375" s="84"/>
      <c r="R375" s="84"/>
      <c r="S375" s="86"/>
      <c r="T375" s="84"/>
      <c r="U375" s="84"/>
      <c r="V375" s="86"/>
      <c r="W375" s="84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66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2"/>
      <c r="AY375" s="72"/>
    </row>
    <row r="376" spans="2:51" x14ac:dyDescent="0.25">
      <c r="B376" s="70"/>
      <c r="C376" s="67"/>
      <c r="D376" s="68"/>
      <c r="E376" s="69"/>
      <c r="F376" s="84"/>
      <c r="G376" s="83"/>
      <c r="H376" s="84"/>
      <c r="I376" s="84"/>
      <c r="J376" s="84"/>
      <c r="K376" s="84"/>
      <c r="L376" s="84"/>
      <c r="M376" s="83"/>
      <c r="N376" s="84"/>
      <c r="O376" s="84"/>
      <c r="P376" s="84"/>
      <c r="Q376" s="84"/>
      <c r="R376" s="84"/>
      <c r="S376" s="86"/>
      <c r="T376" s="84"/>
      <c r="U376" s="84"/>
      <c r="V376" s="86"/>
      <c r="W376" s="84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66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2"/>
      <c r="AY376" s="72"/>
    </row>
    <row r="377" spans="2:51" x14ac:dyDescent="0.25">
      <c r="B377" s="70"/>
      <c r="C377" s="67"/>
      <c r="D377" s="68"/>
      <c r="E377" s="69"/>
      <c r="F377" s="84"/>
      <c r="G377" s="83"/>
      <c r="H377" s="84"/>
      <c r="I377" s="84"/>
      <c r="J377" s="84"/>
      <c r="K377" s="84"/>
      <c r="L377" s="84"/>
      <c r="M377" s="83"/>
      <c r="N377" s="84"/>
      <c r="O377" s="84"/>
      <c r="P377" s="84"/>
      <c r="Q377" s="84"/>
      <c r="R377" s="84"/>
      <c r="S377" s="86"/>
      <c r="T377" s="84"/>
      <c r="U377" s="84"/>
      <c r="V377" s="86"/>
      <c r="W377" s="84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66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2"/>
      <c r="AY377" s="72"/>
    </row>
    <row r="378" spans="2:51" x14ac:dyDescent="0.25">
      <c r="B378" s="70"/>
      <c r="C378" s="67"/>
      <c r="D378" s="68"/>
      <c r="E378" s="69"/>
      <c r="F378" s="84"/>
      <c r="G378" s="83"/>
      <c r="H378" s="84"/>
      <c r="I378" s="84"/>
      <c r="J378" s="84"/>
      <c r="K378" s="84"/>
      <c r="L378" s="84"/>
      <c r="M378" s="83"/>
      <c r="N378" s="84"/>
      <c r="O378" s="84"/>
      <c r="P378" s="84"/>
      <c r="Q378" s="84"/>
      <c r="R378" s="84"/>
      <c r="S378" s="86"/>
      <c r="T378" s="84"/>
      <c r="U378" s="84"/>
      <c r="V378" s="86"/>
      <c r="W378" s="84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66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2"/>
      <c r="AY378" s="72"/>
    </row>
    <row r="379" spans="2:51" x14ac:dyDescent="0.25">
      <c r="B379" s="70"/>
      <c r="C379" s="67"/>
      <c r="D379" s="68"/>
      <c r="E379" s="69"/>
      <c r="F379" s="84"/>
      <c r="G379" s="83"/>
      <c r="H379" s="84"/>
      <c r="I379" s="84"/>
      <c r="J379" s="84"/>
      <c r="K379" s="84"/>
      <c r="L379" s="84"/>
      <c r="M379" s="83"/>
      <c r="N379" s="84"/>
      <c r="O379" s="84"/>
      <c r="P379" s="84"/>
      <c r="Q379" s="84"/>
      <c r="R379" s="84"/>
      <c r="S379" s="86"/>
      <c r="T379" s="84"/>
      <c r="U379" s="84"/>
      <c r="V379" s="86"/>
      <c r="W379" s="84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66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2"/>
      <c r="AY379" s="72"/>
    </row>
    <row r="380" spans="2:51" x14ac:dyDescent="0.25">
      <c r="B380" s="70"/>
      <c r="C380" s="67"/>
      <c r="D380" s="68"/>
      <c r="E380" s="69"/>
      <c r="F380" s="84"/>
      <c r="G380" s="83"/>
      <c r="H380" s="84"/>
      <c r="I380" s="84"/>
      <c r="J380" s="84"/>
      <c r="K380" s="84"/>
      <c r="L380" s="84"/>
      <c r="M380" s="83"/>
      <c r="N380" s="84"/>
      <c r="O380" s="84"/>
      <c r="P380" s="84"/>
      <c r="Q380" s="84"/>
      <c r="R380" s="84"/>
      <c r="S380" s="86"/>
      <c r="T380" s="84"/>
      <c r="U380" s="84"/>
      <c r="V380" s="86"/>
      <c r="W380" s="84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66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2"/>
      <c r="AY380" s="72"/>
    </row>
    <row r="381" spans="2:51" x14ac:dyDescent="0.25">
      <c r="B381" s="70"/>
      <c r="C381" s="67"/>
      <c r="D381" s="68"/>
      <c r="E381" s="69"/>
      <c r="F381" s="84"/>
      <c r="G381" s="83"/>
      <c r="H381" s="84"/>
      <c r="I381" s="84"/>
      <c r="J381" s="84"/>
      <c r="K381" s="84"/>
      <c r="L381" s="84"/>
      <c r="M381" s="83"/>
      <c r="N381" s="84"/>
      <c r="O381" s="84"/>
      <c r="P381" s="84"/>
      <c r="Q381" s="84"/>
      <c r="R381" s="84"/>
      <c r="S381" s="86"/>
      <c r="T381" s="84"/>
      <c r="U381" s="84"/>
      <c r="V381" s="86"/>
      <c r="W381" s="84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66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2"/>
      <c r="AY381" s="72"/>
    </row>
    <row r="382" spans="2:51" x14ac:dyDescent="0.25">
      <c r="B382" s="70"/>
      <c r="C382" s="67"/>
      <c r="D382" s="68"/>
      <c r="E382" s="69"/>
      <c r="F382" s="84"/>
      <c r="G382" s="83"/>
      <c r="H382" s="84"/>
      <c r="I382" s="84"/>
      <c r="J382" s="84"/>
      <c r="K382" s="84"/>
      <c r="L382" s="84"/>
      <c r="M382" s="83"/>
      <c r="N382" s="84"/>
      <c r="O382" s="84"/>
      <c r="P382" s="84"/>
      <c r="Q382" s="84"/>
      <c r="R382" s="84"/>
      <c r="S382" s="86"/>
      <c r="T382" s="84"/>
      <c r="U382" s="84"/>
      <c r="V382" s="86"/>
      <c r="W382" s="84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66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2"/>
      <c r="AY382" s="72"/>
    </row>
    <row r="383" spans="2:51" x14ac:dyDescent="0.25">
      <c r="B383" s="70"/>
      <c r="C383" s="67"/>
      <c r="D383" s="68"/>
      <c r="E383" s="69"/>
      <c r="F383" s="84"/>
      <c r="G383" s="83"/>
      <c r="H383" s="84"/>
      <c r="I383" s="84"/>
      <c r="J383" s="84"/>
      <c r="K383" s="84"/>
      <c r="L383" s="84"/>
      <c r="M383" s="83"/>
      <c r="N383" s="84"/>
      <c r="O383" s="84"/>
      <c r="P383" s="84"/>
      <c r="Q383" s="84"/>
      <c r="R383" s="84"/>
      <c r="S383" s="86"/>
      <c r="T383" s="84"/>
      <c r="U383" s="84"/>
      <c r="V383" s="86"/>
      <c r="W383" s="84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66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2"/>
      <c r="AY383" s="72"/>
    </row>
    <row r="384" spans="2:51" x14ac:dyDescent="0.25">
      <c r="B384" s="70"/>
      <c r="C384" s="67"/>
      <c r="D384" s="68"/>
      <c r="E384" s="69"/>
      <c r="F384" s="84"/>
      <c r="G384" s="83"/>
      <c r="H384" s="84"/>
      <c r="I384" s="84"/>
      <c r="J384" s="84"/>
      <c r="K384" s="84"/>
      <c r="L384" s="84"/>
      <c r="M384" s="83"/>
      <c r="N384" s="84"/>
      <c r="O384" s="84"/>
      <c r="P384" s="84"/>
      <c r="Q384" s="84"/>
      <c r="R384" s="84"/>
      <c r="S384" s="86"/>
      <c r="T384" s="84"/>
      <c r="U384" s="84"/>
      <c r="V384" s="86"/>
      <c r="W384" s="84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66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2"/>
      <c r="AY384" s="72"/>
    </row>
    <row r="385" spans="2:51" x14ac:dyDescent="0.25">
      <c r="B385" s="70"/>
      <c r="C385" s="67"/>
      <c r="D385" s="68"/>
      <c r="E385" s="69"/>
      <c r="F385" s="84"/>
      <c r="G385" s="83"/>
      <c r="H385" s="84"/>
      <c r="I385" s="84"/>
      <c r="J385" s="84"/>
      <c r="K385" s="84"/>
      <c r="L385" s="84"/>
      <c r="M385" s="83"/>
      <c r="N385" s="84"/>
      <c r="O385" s="84"/>
      <c r="P385" s="84"/>
      <c r="Q385" s="84"/>
      <c r="R385" s="84"/>
      <c r="S385" s="86"/>
      <c r="T385" s="84"/>
      <c r="U385" s="84"/>
      <c r="V385" s="86"/>
      <c r="W385" s="84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66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2"/>
      <c r="AY385" s="72"/>
    </row>
    <row r="386" spans="2:51" x14ac:dyDescent="0.25">
      <c r="B386" s="70"/>
      <c r="C386" s="67"/>
      <c r="D386" s="68"/>
      <c r="E386" s="69"/>
      <c r="F386" s="84"/>
      <c r="G386" s="83"/>
      <c r="H386" s="84"/>
      <c r="I386" s="84"/>
      <c r="J386" s="84"/>
      <c r="K386" s="84"/>
      <c r="L386" s="84"/>
      <c r="M386" s="83"/>
      <c r="N386" s="84"/>
      <c r="O386" s="84"/>
      <c r="P386" s="84"/>
      <c r="Q386" s="84"/>
      <c r="R386" s="84"/>
      <c r="S386" s="86"/>
      <c r="T386" s="84"/>
      <c r="U386" s="84"/>
      <c r="V386" s="86"/>
      <c r="W386" s="84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66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2"/>
      <c r="AY386" s="72"/>
    </row>
    <row r="387" spans="2:51" x14ac:dyDescent="0.25">
      <c r="B387" s="70"/>
      <c r="C387" s="67"/>
      <c r="D387" s="68"/>
      <c r="E387" s="69"/>
      <c r="F387" s="84"/>
      <c r="G387" s="83"/>
      <c r="H387" s="84"/>
      <c r="I387" s="84"/>
      <c r="J387" s="84"/>
      <c r="K387" s="84"/>
      <c r="L387" s="84"/>
      <c r="M387" s="83"/>
      <c r="N387" s="84"/>
      <c r="O387" s="84"/>
      <c r="P387" s="84"/>
      <c r="Q387" s="84"/>
      <c r="R387" s="84"/>
      <c r="S387" s="86"/>
      <c r="T387" s="84"/>
      <c r="U387" s="84"/>
      <c r="V387" s="86"/>
      <c r="W387" s="84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66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2"/>
      <c r="AY387" s="72"/>
    </row>
    <row r="388" spans="2:51" x14ac:dyDescent="0.25">
      <c r="B388" s="70"/>
      <c r="C388" s="67"/>
      <c r="D388" s="68"/>
      <c r="E388" s="69"/>
      <c r="F388" s="84"/>
      <c r="G388" s="83"/>
      <c r="H388" s="84"/>
      <c r="I388" s="84"/>
      <c r="J388" s="84"/>
      <c r="K388" s="84"/>
      <c r="L388" s="84"/>
      <c r="M388" s="83"/>
      <c r="N388" s="84"/>
      <c r="O388" s="84"/>
      <c r="P388" s="84"/>
      <c r="Q388" s="84"/>
      <c r="R388" s="84"/>
      <c r="S388" s="86"/>
      <c r="T388" s="84"/>
      <c r="U388" s="84"/>
      <c r="V388" s="86"/>
      <c r="W388" s="84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66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2"/>
      <c r="AY388" s="72"/>
    </row>
    <row r="389" spans="2:51" x14ac:dyDescent="0.25">
      <c r="B389" s="70"/>
      <c r="C389" s="67"/>
      <c r="D389" s="68"/>
      <c r="E389" s="69"/>
      <c r="F389" s="84"/>
      <c r="G389" s="83"/>
      <c r="H389" s="84"/>
      <c r="I389" s="84"/>
      <c r="J389" s="84"/>
      <c r="K389" s="84"/>
      <c r="L389" s="84"/>
      <c r="M389" s="83"/>
      <c r="N389" s="84"/>
      <c r="O389" s="84"/>
      <c r="P389" s="84"/>
      <c r="Q389" s="84"/>
      <c r="R389" s="84"/>
      <c r="S389" s="86"/>
      <c r="T389" s="84"/>
      <c r="U389" s="84"/>
      <c r="V389" s="86"/>
      <c r="W389" s="84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66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2"/>
      <c r="AY389" s="72"/>
    </row>
    <row r="390" spans="2:51" x14ac:dyDescent="0.25">
      <c r="B390" s="70"/>
      <c r="C390" s="67"/>
      <c r="D390" s="68"/>
      <c r="E390" s="69"/>
      <c r="F390" s="84"/>
      <c r="G390" s="83"/>
      <c r="H390" s="84"/>
      <c r="I390" s="84"/>
      <c r="J390" s="84"/>
      <c r="K390" s="84"/>
      <c r="L390" s="84"/>
      <c r="M390" s="83"/>
      <c r="N390" s="84"/>
      <c r="O390" s="84"/>
      <c r="P390" s="84"/>
      <c r="Q390" s="84"/>
      <c r="R390" s="84"/>
      <c r="S390" s="86"/>
      <c r="T390" s="84"/>
      <c r="U390" s="84"/>
      <c r="V390" s="86"/>
      <c r="W390" s="84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66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2"/>
      <c r="AY390" s="72"/>
    </row>
    <row r="391" spans="2:51" x14ac:dyDescent="0.25">
      <c r="B391" s="70"/>
      <c r="C391" s="67"/>
      <c r="D391" s="68"/>
      <c r="E391" s="69"/>
      <c r="F391" s="84"/>
      <c r="G391" s="83"/>
      <c r="H391" s="84"/>
      <c r="I391" s="84"/>
      <c r="J391" s="84"/>
      <c r="K391" s="84"/>
      <c r="L391" s="84"/>
      <c r="M391" s="83"/>
      <c r="N391" s="84"/>
      <c r="O391" s="84"/>
      <c r="P391" s="84"/>
      <c r="Q391" s="84"/>
      <c r="R391" s="84"/>
      <c r="S391" s="86"/>
      <c r="T391" s="84"/>
      <c r="U391" s="84"/>
      <c r="V391" s="86"/>
      <c r="W391" s="84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66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2"/>
      <c r="AY391" s="72"/>
    </row>
    <row r="392" spans="2:51" x14ac:dyDescent="0.25">
      <c r="B392" s="70"/>
      <c r="C392" s="67"/>
      <c r="D392" s="68"/>
      <c r="E392" s="69"/>
      <c r="F392" s="84"/>
      <c r="G392" s="83"/>
      <c r="H392" s="84"/>
      <c r="I392" s="84"/>
      <c r="J392" s="84"/>
      <c r="K392" s="84"/>
      <c r="L392" s="84"/>
      <c r="M392" s="83"/>
      <c r="N392" s="84"/>
      <c r="O392" s="84"/>
      <c r="P392" s="84"/>
      <c r="Q392" s="84"/>
      <c r="R392" s="84"/>
      <c r="S392" s="86"/>
      <c r="T392" s="84"/>
      <c r="U392" s="84"/>
      <c r="V392" s="86"/>
      <c r="W392" s="84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66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2"/>
      <c r="AY392" s="72"/>
    </row>
    <row r="393" spans="2:51" x14ac:dyDescent="0.25">
      <c r="B393" s="70"/>
      <c r="C393" s="67"/>
      <c r="D393" s="68"/>
      <c r="E393" s="69"/>
      <c r="F393" s="84"/>
      <c r="G393" s="83"/>
      <c r="H393" s="84"/>
      <c r="I393" s="84"/>
      <c r="J393" s="84"/>
      <c r="K393" s="84"/>
      <c r="L393" s="84"/>
      <c r="M393" s="83"/>
      <c r="N393" s="84"/>
      <c r="O393" s="84"/>
      <c r="P393" s="84"/>
      <c r="Q393" s="84"/>
      <c r="R393" s="84"/>
      <c r="S393" s="86"/>
      <c r="T393" s="84"/>
      <c r="U393" s="84"/>
      <c r="V393" s="86"/>
      <c r="W393" s="84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66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2"/>
      <c r="AY393" s="72"/>
    </row>
    <row r="394" spans="2:51" x14ac:dyDescent="0.25">
      <c r="B394" s="70"/>
      <c r="C394" s="67"/>
      <c r="D394" s="68"/>
      <c r="E394" s="69"/>
      <c r="F394" s="84"/>
      <c r="G394" s="83"/>
      <c r="H394" s="84"/>
      <c r="I394" s="84"/>
      <c r="J394" s="84"/>
      <c r="K394" s="84"/>
      <c r="L394" s="84"/>
      <c r="M394" s="83"/>
      <c r="N394" s="84"/>
      <c r="O394" s="84"/>
      <c r="P394" s="84"/>
      <c r="Q394" s="84"/>
      <c r="R394" s="84"/>
      <c r="S394" s="86"/>
      <c r="T394" s="84"/>
      <c r="U394" s="84"/>
      <c r="V394" s="86"/>
      <c r="W394" s="84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66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2"/>
      <c r="AY394" s="72"/>
    </row>
    <row r="395" spans="2:51" x14ac:dyDescent="0.25">
      <c r="B395" s="70"/>
      <c r="C395" s="67"/>
      <c r="D395" s="68"/>
      <c r="E395" s="69"/>
      <c r="F395" s="84"/>
      <c r="G395" s="83"/>
      <c r="H395" s="84"/>
      <c r="I395" s="84"/>
      <c r="J395" s="84"/>
      <c r="K395" s="84"/>
      <c r="L395" s="84"/>
      <c r="M395" s="83"/>
      <c r="N395" s="84"/>
      <c r="O395" s="84"/>
      <c r="P395" s="84"/>
      <c r="Q395" s="84"/>
      <c r="R395" s="84"/>
      <c r="S395" s="86"/>
      <c r="T395" s="84"/>
      <c r="U395" s="84"/>
      <c r="V395" s="86"/>
      <c r="W395" s="84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66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2"/>
      <c r="AY395" s="72"/>
    </row>
    <row r="396" spans="2:51" x14ac:dyDescent="0.25">
      <c r="B396" s="70"/>
      <c r="C396" s="67"/>
      <c r="D396" s="68"/>
      <c r="E396" s="69"/>
      <c r="F396" s="84"/>
      <c r="G396" s="83"/>
      <c r="H396" s="84"/>
      <c r="I396" s="84"/>
      <c r="J396" s="84"/>
      <c r="K396" s="84"/>
      <c r="L396" s="84"/>
      <c r="M396" s="83"/>
      <c r="N396" s="84"/>
      <c r="O396" s="84"/>
      <c r="P396" s="84"/>
      <c r="Q396" s="84"/>
      <c r="R396" s="84"/>
      <c r="S396" s="86"/>
      <c r="T396" s="84"/>
      <c r="U396" s="84"/>
      <c r="V396" s="86"/>
      <c r="W396" s="84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66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2"/>
      <c r="AY396" s="72"/>
    </row>
    <row r="397" spans="2:51" x14ac:dyDescent="0.25">
      <c r="B397" s="70"/>
      <c r="C397" s="67"/>
      <c r="D397" s="68"/>
      <c r="E397" s="69"/>
      <c r="F397" s="84"/>
      <c r="G397" s="83"/>
      <c r="H397" s="84"/>
      <c r="I397" s="84"/>
      <c r="J397" s="84"/>
      <c r="K397" s="84"/>
      <c r="L397" s="84"/>
      <c r="M397" s="83"/>
      <c r="N397" s="84"/>
      <c r="O397" s="84"/>
      <c r="P397" s="84"/>
      <c r="Q397" s="84"/>
      <c r="R397" s="84"/>
      <c r="S397" s="86"/>
      <c r="T397" s="84"/>
      <c r="U397" s="84"/>
      <c r="V397" s="86"/>
      <c r="W397" s="84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66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2"/>
      <c r="AY397" s="72"/>
    </row>
    <row r="398" spans="2:51" x14ac:dyDescent="0.25">
      <c r="B398" s="70"/>
      <c r="C398" s="67"/>
      <c r="D398" s="68"/>
      <c r="E398" s="69"/>
      <c r="F398" s="84"/>
      <c r="G398" s="83"/>
      <c r="H398" s="84"/>
      <c r="I398" s="84"/>
      <c r="J398" s="84"/>
      <c r="K398" s="84"/>
      <c r="L398" s="84"/>
      <c r="M398" s="83"/>
      <c r="N398" s="84"/>
      <c r="O398" s="84"/>
      <c r="P398" s="84"/>
      <c r="Q398" s="84"/>
      <c r="R398" s="84"/>
      <c r="S398" s="86"/>
      <c r="T398" s="84"/>
      <c r="U398" s="84"/>
      <c r="V398" s="86"/>
      <c r="W398" s="84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66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2"/>
      <c r="AY398" s="72"/>
    </row>
    <row r="399" spans="2:51" x14ac:dyDescent="0.25">
      <c r="B399" s="70"/>
      <c r="C399" s="67"/>
      <c r="D399" s="68"/>
      <c r="E399" s="69"/>
      <c r="F399" s="84"/>
      <c r="G399" s="83"/>
      <c r="H399" s="84"/>
      <c r="I399" s="84"/>
      <c r="J399" s="84"/>
      <c r="K399" s="84"/>
      <c r="L399" s="84"/>
      <c r="M399" s="83"/>
      <c r="N399" s="84"/>
      <c r="O399" s="84"/>
      <c r="P399" s="84"/>
      <c r="Q399" s="84"/>
      <c r="R399" s="84"/>
      <c r="S399" s="86"/>
      <c r="T399" s="84"/>
      <c r="U399" s="84"/>
      <c r="V399" s="86"/>
      <c r="W399" s="84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66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2"/>
      <c r="AY399" s="72"/>
    </row>
    <row r="400" spans="2:51" x14ac:dyDescent="0.25">
      <c r="B400" s="70"/>
      <c r="C400" s="67"/>
      <c r="D400" s="68"/>
      <c r="E400" s="69"/>
      <c r="F400" s="84"/>
      <c r="G400" s="83"/>
      <c r="H400" s="84"/>
      <c r="I400" s="84"/>
      <c r="J400" s="84"/>
      <c r="K400" s="84"/>
      <c r="L400" s="84"/>
      <c r="M400" s="83"/>
      <c r="N400" s="84"/>
      <c r="O400" s="84"/>
      <c r="P400" s="84"/>
      <c r="Q400" s="84"/>
      <c r="R400" s="84"/>
      <c r="S400" s="86"/>
      <c r="T400" s="84"/>
      <c r="U400" s="84"/>
      <c r="V400" s="86"/>
      <c r="W400" s="84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66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2"/>
      <c r="AY400" s="72"/>
    </row>
    <row r="401" spans="2:51" x14ac:dyDescent="0.25">
      <c r="B401" s="70"/>
      <c r="C401" s="67"/>
      <c r="D401" s="68"/>
      <c r="E401" s="69"/>
      <c r="F401" s="84"/>
      <c r="G401" s="83"/>
      <c r="H401" s="84"/>
      <c r="I401" s="84"/>
      <c r="J401" s="84"/>
      <c r="K401" s="84"/>
      <c r="L401" s="84"/>
      <c r="M401" s="83"/>
      <c r="N401" s="84"/>
      <c r="O401" s="84"/>
      <c r="P401" s="84"/>
      <c r="Q401" s="84"/>
      <c r="R401" s="84"/>
      <c r="S401" s="86"/>
      <c r="T401" s="84"/>
      <c r="U401" s="84"/>
      <c r="V401" s="86"/>
      <c r="W401" s="84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66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2"/>
      <c r="AY401" s="72"/>
    </row>
    <row r="402" spans="2:51" x14ac:dyDescent="0.25">
      <c r="B402" s="70"/>
      <c r="C402" s="67"/>
      <c r="D402" s="68"/>
      <c r="E402" s="69"/>
      <c r="F402" s="84"/>
      <c r="G402" s="83"/>
      <c r="H402" s="84"/>
      <c r="I402" s="84"/>
      <c r="J402" s="84"/>
      <c r="K402" s="84"/>
      <c r="L402" s="84"/>
      <c r="M402" s="83"/>
      <c r="N402" s="84"/>
      <c r="O402" s="84"/>
      <c r="P402" s="84"/>
      <c r="Q402" s="84"/>
      <c r="R402" s="84"/>
      <c r="S402" s="86"/>
      <c r="T402" s="84"/>
      <c r="U402" s="84"/>
      <c r="V402" s="86"/>
      <c r="W402" s="84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66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2"/>
      <c r="AY402" s="72"/>
    </row>
    <row r="403" spans="2:51" x14ac:dyDescent="0.25">
      <c r="B403" s="70"/>
      <c r="C403" s="67"/>
      <c r="D403" s="68"/>
      <c r="E403" s="69"/>
      <c r="F403" s="84"/>
      <c r="G403" s="83"/>
      <c r="H403" s="84"/>
      <c r="I403" s="84"/>
      <c r="J403" s="84"/>
      <c r="K403" s="84"/>
      <c r="L403" s="84"/>
      <c r="M403" s="83"/>
      <c r="N403" s="84"/>
      <c r="O403" s="84"/>
      <c r="P403" s="84"/>
      <c r="Q403" s="84"/>
      <c r="R403" s="84"/>
      <c r="S403" s="86"/>
      <c r="T403" s="84"/>
      <c r="U403" s="84"/>
      <c r="V403" s="86"/>
      <c r="W403" s="84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66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2"/>
      <c r="AY403" s="72"/>
    </row>
    <row r="404" spans="2:51" x14ac:dyDescent="0.25">
      <c r="B404" s="70"/>
      <c r="C404" s="67"/>
      <c r="D404" s="68"/>
      <c r="E404" s="69"/>
      <c r="F404" s="84"/>
      <c r="G404" s="83"/>
      <c r="H404" s="84"/>
      <c r="I404" s="84"/>
      <c r="J404" s="84"/>
      <c r="K404" s="84"/>
      <c r="L404" s="84"/>
      <c r="M404" s="83"/>
      <c r="N404" s="84"/>
      <c r="O404" s="84"/>
      <c r="P404" s="84"/>
      <c r="Q404" s="84"/>
      <c r="R404" s="84"/>
      <c r="S404" s="86"/>
      <c r="T404" s="84"/>
      <c r="U404" s="84"/>
      <c r="V404" s="86"/>
      <c r="W404" s="84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66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2"/>
      <c r="AY404" s="72"/>
    </row>
    <row r="405" spans="2:51" x14ac:dyDescent="0.25">
      <c r="B405" s="70"/>
      <c r="C405" s="67"/>
      <c r="D405" s="68"/>
      <c r="E405" s="69"/>
      <c r="F405" s="84"/>
      <c r="G405" s="83"/>
      <c r="H405" s="84"/>
      <c r="I405" s="84"/>
      <c r="J405" s="84"/>
      <c r="K405" s="84"/>
      <c r="L405" s="84"/>
      <c r="M405" s="83"/>
      <c r="N405" s="84"/>
      <c r="O405" s="84"/>
      <c r="P405" s="84"/>
      <c r="Q405" s="84"/>
      <c r="R405" s="84"/>
      <c r="S405" s="86"/>
      <c r="T405" s="84"/>
      <c r="U405" s="84"/>
      <c r="V405" s="86"/>
      <c r="W405" s="84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66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2"/>
      <c r="AY405" s="72"/>
    </row>
    <row r="406" spans="2:51" x14ac:dyDescent="0.25">
      <c r="B406" s="70"/>
      <c r="C406" s="67"/>
      <c r="D406" s="68"/>
      <c r="E406" s="69"/>
      <c r="F406" s="84"/>
      <c r="G406" s="83"/>
      <c r="H406" s="84"/>
      <c r="I406" s="84"/>
      <c r="J406" s="84"/>
      <c r="K406" s="84"/>
      <c r="L406" s="84"/>
      <c r="M406" s="83"/>
      <c r="N406" s="84"/>
      <c r="O406" s="84"/>
      <c r="P406" s="84"/>
      <c r="Q406" s="84"/>
      <c r="R406" s="84"/>
      <c r="S406" s="86"/>
      <c r="T406" s="84"/>
      <c r="U406" s="84"/>
      <c r="V406" s="86"/>
      <c r="W406" s="84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66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2"/>
      <c r="AY406" s="72"/>
    </row>
    <row r="407" spans="2:51" x14ac:dyDescent="0.25">
      <c r="B407" s="70"/>
      <c r="C407" s="67"/>
      <c r="D407" s="68"/>
      <c r="E407" s="69"/>
      <c r="F407" s="84"/>
      <c r="G407" s="83"/>
      <c r="H407" s="84"/>
      <c r="I407" s="84"/>
      <c r="J407" s="84"/>
      <c r="K407" s="84"/>
      <c r="L407" s="84"/>
      <c r="M407" s="83"/>
      <c r="N407" s="84"/>
      <c r="O407" s="84"/>
      <c r="P407" s="84"/>
      <c r="Q407" s="84"/>
      <c r="R407" s="84"/>
      <c r="S407" s="86"/>
      <c r="T407" s="84"/>
      <c r="U407" s="84"/>
      <c r="V407" s="86"/>
      <c r="W407" s="84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66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2"/>
      <c r="AY407" s="72"/>
    </row>
    <row r="408" spans="2:51" x14ac:dyDescent="0.25">
      <c r="B408" s="70"/>
      <c r="C408" s="67"/>
      <c r="D408" s="68"/>
      <c r="E408" s="69"/>
      <c r="F408" s="84"/>
      <c r="G408" s="83"/>
      <c r="H408" s="84"/>
      <c r="I408" s="84"/>
      <c r="J408" s="84"/>
      <c r="K408" s="84"/>
      <c r="L408" s="84"/>
      <c r="M408" s="83"/>
      <c r="N408" s="84"/>
      <c r="O408" s="84"/>
      <c r="P408" s="84"/>
      <c r="Q408" s="84"/>
      <c r="R408" s="84"/>
      <c r="S408" s="86"/>
      <c r="T408" s="84"/>
      <c r="U408" s="84"/>
      <c r="V408" s="86"/>
      <c r="W408" s="84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66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2"/>
      <c r="AY408" s="72"/>
    </row>
    <row r="409" spans="2:51" x14ac:dyDescent="0.25">
      <c r="B409" s="70"/>
      <c r="C409" s="67"/>
      <c r="D409" s="68"/>
      <c r="E409" s="69"/>
      <c r="F409" s="84"/>
      <c r="G409" s="83"/>
      <c r="H409" s="84"/>
      <c r="I409" s="84"/>
      <c r="J409" s="84"/>
      <c r="K409" s="84"/>
      <c r="L409" s="84"/>
      <c r="M409" s="83"/>
      <c r="N409" s="84"/>
      <c r="O409" s="84"/>
      <c r="P409" s="84"/>
      <c r="Q409" s="84"/>
      <c r="R409" s="84"/>
      <c r="S409" s="86"/>
      <c r="T409" s="84"/>
      <c r="U409" s="84"/>
      <c r="V409" s="86"/>
      <c r="W409" s="84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66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2"/>
      <c r="AY409" s="72"/>
    </row>
    <row r="410" spans="2:51" x14ac:dyDescent="0.25">
      <c r="B410" s="70"/>
      <c r="C410" s="67"/>
      <c r="D410" s="68"/>
      <c r="E410" s="69"/>
      <c r="F410" s="84"/>
      <c r="G410" s="83"/>
      <c r="H410" s="84"/>
      <c r="I410" s="84"/>
      <c r="J410" s="84"/>
      <c r="K410" s="84"/>
      <c r="L410" s="84"/>
      <c r="M410" s="83"/>
      <c r="N410" s="84"/>
      <c r="O410" s="84"/>
      <c r="P410" s="84"/>
      <c r="Q410" s="84"/>
      <c r="R410" s="84"/>
      <c r="S410" s="86"/>
      <c r="T410" s="84"/>
      <c r="U410" s="84"/>
      <c r="V410" s="86"/>
      <c r="W410" s="84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66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2"/>
      <c r="AY410" s="72"/>
    </row>
    <row r="411" spans="2:51" x14ac:dyDescent="0.25">
      <c r="B411" s="70"/>
      <c r="C411" s="67"/>
      <c r="D411" s="68"/>
      <c r="E411" s="69"/>
      <c r="F411" s="84"/>
      <c r="G411" s="83"/>
      <c r="H411" s="84"/>
      <c r="I411" s="84"/>
      <c r="J411" s="84"/>
      <c r="K411" s="84"/>
      <c r="L411" s="84"/>
      <c r="M411" s="83"/>
      <c r="N411" s="84"/>
      <c r="O411" s="84"/>
      <c r="P411" s="84"/>
      <c r="Q411" s="84"/>
      <c r="R411" s="84"/>
      <c r="S411" s="86"/>
      <c r="T411" s="84"/>
      <c r="U411" s="84"/>
      <c r="V411" s="86"/>
      <c r="W411" s="84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66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2"/>
      <c r="AY411" s="72"/>
    </row>
    <row r="412" spans="2:51" x14ac:dyDescent="0.25">
      <c r="B412" s="70"/>
      <c r="C412" s="67"/>
      <c r="D412" s="68"/>
      <c r="E412" s="69"/>
      <c r="F412" s="84"/>
      <c r="G412" s="83"/>
      <c r="H412" s="84"/>
      <c r="I412" s="84"/>
      <c r="J412" s="84"/>
      <c r="K412" s="84"/>
      <c r="L412" s="84"/>
      <c r="M412" s="83"/>
      <c r="N412" s="84"/>
      <c r="O412" s="84"/>
      <c r="P412" s="84"/>
      <c r="Q412" s="84"/>
      <c r="R412" s="84"/>
      <c r="S412" s="86"/>
      <c r="T412" s="84"/>
      <c r="U412" s="84"/>
      <c r="V412" s="86"/>
      <c r="W412" s="84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66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2"/>
      <c r="AY412" s="72"/>
    </row>
    <row r="413" spans="2:51" x14ac:dyDescent="0.25">
      <c r="B413" s="70"/>
      <c r="C413" s="67"/>
      <c r="D413" s="68"/>
      <c r="E413" s="69"/>
      <c r="F413" s="84"/>
      <c r="G413" s="83"/>
      <c r="H413" s="84"/>
      <c r="I413" s="84"/>
      <c r="J413" s="84"/>
      <c r="K413" s="84"/>
      <c r="L413" s="84"/>
      <c r="M413" s="83"/>
      <c r="N413" s="84"/>
      <c r="O413" s="84"/>
      <c r="P413" s="84"/>
      <c r="Q413" s="84"/>
      <c r="R413" s="84"/>
      <c r="S413" s="86"/>
      <c r="T413" s="84"/>
      <c r="U413" s="84"/>
      <c r="V413" s="86"/>
      <c r="W413" s="84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66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2"/>
      <c r="AY413" s="72"/>
    </row>
    <row r="414" spans="2:51" x14ac:dyDescent="0.25">
      <c r="B414" s="70"/>
      <c r="C414" s="67"/>
      <c r="D414" s="68"/>
      <c r="E414" s="69"/>
      <c r="F414" s="84"/>
      <c r="G414" s="83"/>
      <c r="H414" s="84"/>
      <c r="I414" s="84"/>
      <c r="J414" s="84"/>
      <c r="K414" s="84"/>
      <c r="L414" s="84"/>
      <c r="M414" s="83"/>
      <c r="N414" s="84"/>
      <c r="O414" s="84"/>
      <c r="P414" s="84"/>
      <c r="Q414" s="84"/>
      <c r="R414" s="84"/>
      <c r="S414" s="86"/>
      <c r="T414" s="84"/>
      <c r="U414" s="84"/>
      <c r="V414" s="86"/>
      <c r="W414" s="84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66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2"/>
      <c r="AY414" s="72"/>
    </row>
    <row r="415" spans="2:51" x14ac:dyDescent="0.25">
      <c r="B415" s="70"/>
      <c r="C415" s="67"/>
      <c r="D415" s="68"/>
      <c r="E415" s="69"/>
      <c r="F415" s="84"/>
      <c r="G415" s="83"/>
      <c r="H415" s="84"/>
      <c r="I415" s="84"/>
      <c r="J415" s="84"/>
      <c r="K415" s="84"/>
      <c r="L415" s="84"/>
      <c r="M415" s="83"/>
      <c r="N415" s="84"/>
      <c r="O415" s="84"/>
      <c r="P415" s="84"/>
      <c r="Q415" s="84"/>
      <c r="R415" s="84"/>
      <c r="S415" s="86"/>
      <c r="T415" s="84"/>
      <c r="U415" s="84"/>
      <c r="V415" s="86"/>
      <c r="W415" s="84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66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2"/>
      <c r="AY415" s="72"/>
    </row>
    <row r="416" spans="2:51" x14ac:dyDescent="0.25">
      <c r="B416" s="70"/>
      <c r="C416" s="67"/>
      <c r="D416" s="68"/>
      <c r="E416" s="69"/>
      <c r="F416" s="84"/>
      <c r="G416" s="83"/>
      <c r="H416" s="84"/>
      <c r="I416" s="84"/>
      <c r="J416" s="84"/>
      <c r="K416" s="84"/>
      <c r="L416" s="84"/>
      <c r="M416" s="83"/>
      <c r="N416" s="84"/>
      <c r="O416" s="84"/>
      <c r="P416" s="84"/>
      <c r="Q416" s="84"/>
      <c r="R416" s="84"/>
      <c r="S416" s="86"/>
      <c r="T416" s="84"/>
      <c r="U416" s="84"/>
      <c r="V416" s="86"/>
      <c r="W416" s="84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66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2"/>
      <c r="AY416" s="72"/>
    </row>
    <row r="417" spans="2:51" x14ac:dyDescent="0.25">
      <c r="B417" s="70"/>
      <c r="C417" s="67"/>
      <c r="D417" s="68"/>
      <c r="E417" s="69"/>
      <c r="F417" s="84"/>
      <c r="G417" s="83"/>
      <c r="H417" s="84"/>
      <c r="I417" s="84"/>
      <c r="J417" s="84"/>
      <c r="K417" s="84"/>
      <c r="L417" s="84"/>
      <c r="M417" s="83"/>
      <c r="N417" s="84"/>
      <c r="O417" s="84"/>
      <c r="P417" s="84"/>
      <c r="Q417" s="84"/>
      <c r="R417" s="84"/>
      <c r="S417" s="86"/>
      <c r="T417" s="84"/>
      <c r="U417" s="84"/>
      <c r="V417" s="86"/>
      <c r="W417" s="84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66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2"/>
      <c r="AY417" s="72"/>
    </row>
    <row r="418" spans="2:51" x14ac:dyDescent="0.25">
      <c r="B418" s="70"/>
      <c r="C418" s="67"/>
      <c r="D418" s="68"/>
      <c r="E418" s="69"/>
      <c r="F418" s="84"/>
      <c r="G418" s="83"/>
      <c r="H418" s="84"/>
      <c r="I418" s="84"/>
      <c r="J418" s="84"/>
      <c r="K418" s="84"/>
      <c r="L418" s="84"/>
      <c r="M418" s="83"/>
      <c r="N418" s="84"/>
      <c r="O418" s="84"/>
      <c r="P418" s="84"/>
      <c r="Q418" s="84"/>
      <c r="R418" s="84"/>
      <c r="S418" s="86"/>
      <c r="T418" s="84"/>
      <c r="U418" s="84"/>
      <c r="V418" s="86"/>
      <c r="W418" s="84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66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2"/>
      <c r="AY418" s="72"/>
    </row>
    <row r="419" spans="2:51" x14ac:dyDescent="0.25">
      <c r="B419" s="70"/>
      <c r="C419" s="67"/>
      <c r="D419" s="68"/>
      <c r="E419" s="69"/>
      <c r="F419" s="84"/>
      <c r="G419" s="83"/>
      <c r="H419" s="84"/>
      <c r="I419" s="84"/>
      <c r="J419" s="84"/>
      <c r="K419" s="84"/>
      <c r="L419" s="84"/>
      <c r="M419" s="83"/>
      <c r="N419" s="84"/>
      <c r="O419" s="84"/>
      <c r="P419" s="84"/>
      <c r="Q419" s="84"/>
      <c r="R419" s="84"/>
      <c r="S419" s="86"/>
      <c r="T419" s="84"/>
      <c r="U419" s="84"/>
      <c r="V419" s="86"/>
      <c r="W419" s="84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66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2"/>
      <c r="AY419" s="72"/>
    </row>
    <row r="420" spans="2:51" x14ac:dyDescent="0.25">
      <c r="B420" s="70"/>
      <c r="C420" s="67"/>
      <c r="D420" s="68"/>
      <c r="E420" s="69"/>
      <c r="F420" s="84"/>
      <c r="G420" s="83"/>
      <c r="H420" s="84"/>
      <c r="I420" s="84"/>
      <c r="J420" s="84"/>
      <c r="K420" s="84"/>
      <c r="L420" s="84"/>
      <c r="M420" s="83"/>
      <c r="N420" s="84"/>
      <c r="O420" s="84"/>
      <c r="P420" s="84"/>
      <c r="Q420" s="84"/>
      <c r="R420" s="84"/>
      <c r="S420" s="86"/>
      <c r="T420" s="84"/>
      <c r="U420" s="84"/>
      <c r="V420" s="86"/>
      <c r="W420" s="84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66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2"/>
      <c r="AY420" s="72"/>
    </row>
    <row r="421" spans="2:51" x14ac:dyDescent="0.25">
      <c r="B421" s="70"/>
      <c r="C421" s="67"/>
      <c r="D421" s="68"/>
      <c r="E421" s="69"/>
      <c r="F421" s="84"/>
      <c r="G421" s="83"/>
      <c r="H421" s="84"/>
      <c r="I421" s="84"/>
      <c r="J421" s="84"/>
      <c r="K421" s="84"/>
      <c r="L421" s="84"/>
      <c r="M421" s="83"/>
      <c r="N421" s="84"/>
      <c r="O421" s="84"/>
      <c r="P421" s="84"/>
      <c r="Q421" s="84"/>
      <c r="R421" s="84"/>
      <c r="S421" s="86"/>
      <c r="T421" s="84"/>
      <c r="U421" s="84"/>
      <c r="V421" s="86"/>
      <c r="W421" s="84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66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2"/>
      <c r="AY421" s="72"/>
    </row>
    <row r="422" spans="2:51" x14ac:dyDescent="0.25">
      <c r="B422" s="70"/>
      <c r="C422" s="67"/>
      <c r="D422" s="68"/>
      <c r="E422" s="69"/>
      <c r="F422" s="84"/>
      <c r="G422" s="83"/>
      <c r="H422" s="84"/>
      <c r="I422" s="84"/>
      <c r="J422" s="84"/>
      <c r="K422" s="84"/>
      <c r="L422" s="84"/>
      <c r="M422" s="83"/>
      <c r="N422" s="84"/>
      <c r="O422" s="84"/>
      <c r="P422" s="84"/>
      <c r="Q422" s="84"/>
      <c r="R422" s="84"/>
      <c r="S422" s="86"/>
      <c r="T422" s="84"/>
      <c r="U422" s="84"/>
      <c r="V422" s="86"/>
      <c r="W422" s="84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66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2"/>
      <c r="AY422" s="72"/>
    </row>
    <row r="423" spans="2:51" x14ac:dyDescent="0.25">
      <c r="B423" s="70"/>
      <c r="C423" s="67"/>
      <c r="D423" s="68"/>
      <c r="E423" s="69"/>
      <c r="F423" s="84"/>
      <c r="G423" s="83"/>
      <c r="H423" s="84"/>
      <c r="I423" s="84"/>
      <c r="J423" s="84"/>
      <c r="K423" s="84"/>
      <c r="L423" s="84"/>
      <c r="M423" s="83"/>
      <c r="N423" s="84"/>
      <c r="O423" s="84"/>
      <c r="P423" s="84"/>
      <c r="Q423" s="84"/>
      <c r="R423" s="84"/>
      <c r="S423" s="86"/>
      <c r="T423" s="84"/>
      <c r="U423" s="84"/>
      <c r="V423" s="86"/>
      <c r="W423" s="84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66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2"/>
      <c r="AY423" s="72"/>
    </row>
    <row r="424" spans="2:51" x14ac:dyDescent="0.25">
      <c r="B424" s="70"/>
      <c r="C424" s="67"/>
      <c r="D424" s="68"/>
      <c r="E424" s="69"/>
      <c r="F424" s="84"/>
      <c r="G424" s="83"/>
      <c r="H424" s="84"/>
      <c r="I424" s="84"/>
      <c r="J424" s="84"/>
      <c r="K424" s="84"/>
      <c r="L424" s="84"/>
      <c r="M424" s="83"/>
      <c r="N424" s="84"/>
      <c r="O424" s="84"/>
      <c r="P424" s="84"/>
      <c r="Q424" s="84"/>
      <c r="R424" s="84"/>
      <c r="S424" s="86"/>
      <c r="T424" s="84"/>
      <c r="U424" s="84"/>
      <c r="V424" s="86"/>
      <c r="W424" s="84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66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2"/>
      <c r="AY424" s="72"/>
    </row>
    <row r="425" spans="2:51" x14ac:dyDescent="0.25">
      <c r="B425" s="70"/>
      <c r="C425" s="67"/>
      <c r="D425" s="68"/>
      <c r="E425" s="69"/>
      <c r="F425" s="84"/>
      <c r="G425" s="83"/>
      <c r="H425" s="84"/>
      <c r="I425" s="84"/>
      <c r="J425" s="84"/>
      <c r="K425" s="84"/>
      <c r="L425" s="84"/>
      <c r="M425" s="83"/>
      <c r="N425" s="84"/>
      <c r="O425" s="84"/>
      <c r="P425" s="84"/>
      <c r="Q425" s="84"/>
      <c r="R425" s="84"/>
      <c r="S425" s="86"/>
      <c r="T425" s="84"/>
      <c r="U425" s="84"/>
      <c r="V425" s="86"/>
      <c r="W425" s="84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66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2"/>
      <c r="AY425" s="72"/>
    </row>
    <row r="426" spans="2:51" x14ac:dyDescent="0.25">
      <c r="B426" s="70"/>
      <c r="C426" s="67"/>
      <c r="D426" s="68"/>
      <c r="E426" s="69"/>
      <c r="F426" s="84"/>
      <c r="G426" s="83"/>
      <c r="H426" s="84"/>
      <c r="I426" s="84"/>
      <c r="J426" s="84"/>
      <c r="K426" s="84"/>
      <c r="L426" s="84"/>
      <c r="M426" s="83"/>
      <c r="N426" s="84"/>
      <c r="O426" s="84"/>
      <c r="P426" s="84"/>
      <c r="Q426" s="84"/>
      <c r="R426" s="84"/>
      <c r="S426" s="86"/>
      <c r="T426" s="84"/>
      <c r="U426" s="84"/>
      <c r="V426" s="86"/>
      <c r="W426" s="84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66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2"/>
      <c r="AY426" s="72"/>
    </row>
    <row r="427" spans="2:51" x14ac:dyDescent="0.25">
      <c r="B427" s="70"/>
      <c r="C427" s="67"/>
      <c r="D427" s="68"/>
      <c r="E427" s="69"/>
      <c r="F427" s="84"/>
      <c r="G427" s="83"/>
      <c r="H427" s="84"/>
      <c r="I427" s="84"/>
      <c r="J427" s="84"/>
      <c r="K427" s="84"/>
      <c r="L427" s="84"/>
      <c r="M427" s="83"/>
      <c r="N427" s="84"/>
      <c r="O427" s="84"/>
      <c r="P427" s="84"/>
      <c r="Q427" s="84"/>
      <c r="R427" s="84"/>
      <c r="S427" s="86"/>
      <c r="T427" s="84"/>
      <c r="U427" s="84"/>
      <c r="V427" s="86"/>
      <c r="W427" s="84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66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2"/>
      <c r="AY427" s="72"/>
    </row>
    <row r="428" spans="2:51" x14ac:dyDescent="0.25">
      <c r="B428" s="70"/>
      <c r="C428" s="67"/>
      <c r="D428" s="68"/>
      <c r="E428" s="69"/>
      <c r="F428" s="84"/>
      <c r="G428" s="83"/>
      <c r="H428" s="84"/>
      <c r="I428" s="84"/>
      <c r="J428" s="84"/>
      <c r="K428" s="84"/>
      <c r="L428" s="84"/>
      <c r="M428" s="83"/>
      <c r="N428" s="84"/>
      <c r="O428" s="84"/>
      <c r="P428" s="84"/>
      <c r="Q428" s="84"/>
      <c r="R428" s="84"/>
      <c r="S428" s="86"/>
      <c r="T428" s="84"/>
      <c r="U428" s="84"/>
      <c r="V428" s="86"/>
      <c r="W428" s="84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66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2"/>
      <c r="AY428" s="72"/>
    </row>
    <row r="429" spans="2:51" x14ac:dyDescent="0.25">
      <c r="B429" s="70"/>
      <c r="C429" s="67"/>
      <c r="D429" s="68"/>
      <c r="E429" s="69"/>
      <c r="F429" s="84"/>
      <c r="G429" s="83"/>
      <c r="H429" s="84"/>
      <c r="I429" s="84"/>
      <c r="J429" s="84"/>
      <c r="K429" s="84"/>
      <c r="L429" s="84"/>
      <c r="M429" s="83"/>
      <c r="N429" s="84"/>
      <c r="O429" s="84"/>
      <c r="P429" s="84"/>
      <c r="Q429" s="84"/>
      <c r="R429" s="84"/>
      <c r="S429" s="86"/>
      <c r="T429" s="84"/>
      <c r="U429" s="84"/>
      <c r="V429" s="86"/>
      <c r="W429" s="84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66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2"/>
      <c r="AY429" s="72"/>
    </row>
    <row r="430" spans="2:51" x14ac:dyDescent="0.25">
      <c r="B430" s="70"/>
      <c r="C430" s="67"/>
      <c r="D430" s="68"/>
      <c r="E430" s="69"/>
      <c r="F430" s="84"/>
      <c r="G430" s="83"/>
      <c r="H430" s="84"/>
      <c r="I430" s="84"/>
      <c r="J430" s="84"/>
      <c r="K430" s="84"/>
      <c r="L430" s="84"/>
      <c r="M430" s="83"/>
      <c r="N430" s="84"/>
      <c r="O430" s="84"/>
      <c r="P430" s="84"/>
      <c r="Q430" s="84"/>
      <c r="R430" s="84"/>
      <c r="S430" s="86"/>
      <c r="T430" s="84"/>
      <c r="U430" s="84"/>
      <c r="V430" s="86"/>
      <c r="W430" s="84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66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2"/>
      <c r="AY430" s="72"/>
    </row>
    <row r="431" spans="2:51" x14ac:dyDescent="0.25">
      <c r="B431" s="70"/>
      <c r="C431" s="67"/>
      <c r="D431" s="68"/>
      <c r="E431" s="69"/>
      <c r="F431" s="84"/>
      <c r="G431" s="83"/>
      <c r="H431" s="84"/>
      <c r="I431" s="84"/>
      <c r="J431" s="84"/>
      <c r="K431" s="84"/>
      <c r="L431" s="84"/>
      <c r="M431" s="83"/>
      <c r="N431" s="84"/>
      <c r="O431" s="84"/>
      <c r="P431" s="84"/>
      <c r="Q431" s="84"/>
      <c r="R431" s="84"/>
      <c r="S431" s="86"/>
      <c r="T431" s="84"/>
      <c r="U431" s="84"/>
      <c r="V431" s="86"/>
      <c r="W431" s="84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66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2"/>
      <c r="AY431" s="72"/>
    </row>
    <row r="432" spans="2:51" x14ac:dyDescent="0.25">
      <c r="B432" s="70"/>
      <c r="C432" s="67"/>
      <c r="D432" s="68"/>
      <c r="E432" s="69"/>
      <c r="F432" s="84"/>
      <c r="G432" s="83"/>
      <c r="H432" s="84"/>
      <c r="I432" s="84"/>
      <c r="J432" s="84"/>
      <c r="K432" s="84"/>
      <c r="L432" s="84"/>
      <c r="M432" s="83"/>
      <c r="N432" s="84"/>
      <c r="O432" s="84"/>
      <c r="P432" s="84"/>
      <c r="Q432" s="84"/>
      <c r="R432" s="84"/>
      <c r="S432" s="86"/>
      <c r="T432" s="84"/>
      <c r="U432" s="84"/>
      <c r="V432" s="86"/>
      <c r="W432" s="84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66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2"/>
      <c r="AY432" s="72"/>
    </row>
    <row r="433" spans="2:51" x14ac:dyDescent="0.25">
      <c r="B433" s="70"/>
      <c r="C433" s="67"/>
      <c r="D433" s="68"/>
      <c r="E433" s="69"/>
      <c r="F433" s="84"/>
      <c r="G433" s="83"/>
      <c r="H433" s="84"/>
      <c r="I433" s="84"/>
      <c r="J433" s="84"/>
      <c r="K433" s="84"/>
      <c r="L433" s="84"/>
      <c r="M433" s="83"/>
      <c r="N433" s="84"/>
      <c r="O433" s="84"/>
      <c r="P433" s="84"/>
      <c r="Q433" s="84"/>
      <c r="R433" s="84"/>
      <c r="S433" s="86"/>
      <c r="T433" s="84"/>
      <c r="U433" s="84"/>
      <c r="V433" s="86"/>
      <c r="W433" s="84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66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2"/>
      <c r="AY433" s="72"/>
    </row>
    <row r="434" spans="2:51" x14ac:dyDescent="0.25">
      <c r="B434" s="70"/>
      <c r="C434" s="67"/>
      <c r="D434" s="68"/>
      <c r="E434" s="69"/>
      <c r="F434" s="84"/>
      <c r="G434" s="83"/>
      <c r="H434" s="84"/>
      <c r="I434" s="84"/>
      <c r="J434" s="84"/>
      <c r="K434" s="84"/>
      <c r="L434" s="84"/>
      <c r="M434" s="83"/>
      <c r="N434" s="84"/>
      <c r="O434" s="84"/>
      <c r="P434" s="84"/>
      <c r="Q434" s="84"/>
      <c r="R434" s="84"/>
      <c r="S434" s="86"/>
      <c r="T434" s="84"/>
      <c r="U434" s="84"/>
      <c r="V434" s="86"/>
      <c r="W434" s="84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66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2"/>
      <c r="AY434" s="72"/>
    </row>
    <row r="435" spans="2:51" x14ac:dyDescent="0.25">
      <c r="B435" s="70"/>
      <c r="C435" s="67"/>
      <c r="D435" s="68"/>
      <c r="E435" s="69"/>
      <c r="F435" s="84"/>
      <c r="G435" s="83"/>
      <c r="H435" s="84"/>
      <c r="I435" s="84"/>
      <c r="J435" s="84"/>
      <c r="K435" s="84"/>
      <c r="L435" s="84"/>
      <c r="M435" s="83"/>
      <c r="N435" s="84"/>
      <c r="O435" s="84"/>
      <c r="P435" s="84"/>
      <c r="Q435" s="84"/>
      <c r="R435" s="84"/>
      <c r="S435" s="86"/>
      <c r="T435" s="84"/>
      <c r="U435" s="84"/>
      <c r="V435" s="86"/>
      <c r="W435" s="84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66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2"/>
      <c r="AY435" s="72"/>
    </row>
    <row r="436" spans="2:51" x14ac:dyDescent="0.25">
      <c r="B436" s="70"/>
      <c r="C436" s="67"/>
      <c r="D436" s="68"/>
      <c r="E436" s="69"/>
      <c r="F436" s="84"/>
      <c r="G436" s="83"/>
      <c r="H436" s="84"/>
      <c r="I436" s="84"/>
      <c r="J436" s="84"/>
      <c r="K436" s="84"/>
      <c r="L436" s="84"/>
      <c r="M436" s="83"/>
      <c r="N436" s="84"/>
      <c r="O436" s="84"/>
      <c r="P436" s="84"/>
      <c r="Q436" s="84"/>
      <c r="R436" s="84"/>
      <c r="S436" s="86"/>
      <c r="T436" s="84"/>
      <c r="U436" s="84"/>
      <c r="V436" s="86"/>
      <c r="W436" s="84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66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2"/>
      <c r="AY436" s="72"/>
    </row>
    <row r="437" spans="2:51" x14ac:dyDescent="0.25">
      <c r="B437" s="70"/>
      <c r="C437" s="67"/>
      <c r="D437" s="68"/>
      <c r="E437" s="69"/>
      <c r="F437" s="84"/>
      <c r="G437" s="83"/>
      <c r="H437" s="84"/>
      <c r="I437" s="84"/>
      <c r="J437" s="84"/>
      <c r="K437" s="84"/>
      <c r="L437" s="84"/>
      <c r="M437" s="83"/>
      <c r="N437" s="84"/>
      <c r="O437" s="84"/>
      <c r="P437" s="84"/>
      <c r="Q437" s="84"/>
      <c r="R437" s="84"/>
      <c r="S437" s="86"/>
      <c r="T437" s="84"/>
      <c r="U437" s="84"/>
      <c r="V437" s="86"/>
      <c r="W437" s="84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66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2"/>
      <c r="AY437" s="72"/>
    </row>
    <row r="438" spans="2:51" x14ac:dyDescent="0.25">
      <c r="B438" s="70"/>
      <c r="C438" s="67"/>
      <c r="D438" s="68"/>
      <c r="E438" s="69"/>
      <c r="F438" s="84"/>
      <c r="G438" s="83"/>
      <c r="H438" s="84"/>
      <c r="I438" s="84"/>
      <c r="J438" s="84"/>
      <c r="K438" s="84"/>
      <c r="L438" s="84"/>
      <c r="M438" s="83"/>
      <c r="N438" s="84"/>
      <c r="O438" s="84"/>
      <c r="P438" s="84"/>
      <c r="Q438" s="84"/>
      <c r="R438" s="84"/>
      <c r="S438" s="86"/>
      <c r="T438" s="84"/>
      <c r="U438" s="84"/>
      <c r="V438" s="86"/>
      <c r="W438" s="84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66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2"/>
      <c r="AY438" s="72"/>
    </row>
    <row r="439" spans="2:51" x14ac:dyDescent="0.25">
      <c r="B439" s="70"/>
      <c r="C439" s="67"/>
      <c r="D439" s="68"/>
      <c r="E439" s="69"/>
      <c r="F439" s="84"/>
      <c r="G439" s="83"/>
      <c r="H439" s="84"/>
      <c r="I439" s="84"/>
      <c r="J439" s="84"/>
      <c r="K439" s="84"/>
      <c r="L439" s="84"/>
      <c r="M439" s="83"/>
      <c r="N439" s="84"/>
      <c r="O439" s="84"/>
      <c r="P439" s="84"/>
      <c r="Q439" s="84"/>
      <c r="R439" s="84"/>
      <c r="S439" s="86"/>
      <c r="T439" s="84"/>
      <c r="U439" s="84"/>
      <c r="V439" s="86"/>
      <c r="W439" s="84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66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2"/>
      <c r="AY439" s="72"/>
    </row>
    <row r="440" spans="2:51" x14ac:dyDescent="0.25">
      <c r="B440" s="70"/>
      <c r="C440" s="67"/>
      <c r="D440" s="68"/>
      <c r="E440" s="69"/>
      <c r="F440" s="84"/>
      <c r="G440" s="83"/>
      <c r="H440" s="84"/>
      <c r="I440" s="84"/>
      <c r="J440" s="84"/>
      <c r="K440" s="84"/>
      <c r="L440" s="84"/>
      <c r="M440" s="83"/>
      <c r="N440" s="84"/>
      <c r="O440" s="84"/>
      <c r="P440" s="84"/>
      <c r="Q440" s="84"/>
      <c r="R440" s="84"/>
      <c r="S440" s="86"/>
      <c r="T440" s="84"/>
      <c r="U440" s="84"/>
      <c r="V440" s="86"/>
      <c r="W440" s="84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66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2"/>
      <c r="AY440" s="72"/>
    </row>
    <row r="441" spans="2:51" x14ac:dyDescent="0.25">
      <c r="B441" s="70"/>
      <c r="C441" s="67"/>
      <c r="D441" s="68"/>
      <c r="E441" s="69"/>
      <c r="F441" s="84"/>
      <c r="G441" s="83"/>
      <c r="H441" s="84"/>
      <c r="I441" s="84"/>
      <c r="J441" s="84"/>
      <c r="K441" s="84"/>
      <c r="L441" s="84"/>
      <c r="M441" s="83"/>
      <c r="N441" s="84"/>
      <c r="O441" s="84"/>
      <c r="P441" s="84"/>
      <c r="Q441" s="84"/>
      <c r="R441" s="84"/>
      <c r="S441" s="86"/>
      <c r="T441" s="84"/>
      <c r="U441" s="84"/>
      <c r="V441" s="86"/>
      <c r="W441" s="84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66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2"/>
      <c r="AY441" s="72"/>
    </row>
    <row r="442" spans="2:51" x14ac:dyDescent="0.25">
      <c r="B442" s="70"/>
      <c r="C442" s="67"/>
      <c r="D442" s="68"/>
      <c r="E442" s="69"/>
      <c r="F442" s="84"/>
      <c r="G442" s="83"/>
      <c r="H442" s="84"/>
      <c r="I442" s="84"/>
      <c r="J442" s="84"/>
      <c r="K442" s="84"/>
      <c r="L442" s="84"/>
      <c r="M442" s="83"/>
      <c r="N442" s="84"/>
      <c r="O442" s="84"/>
      <c r="P442" s="84"/>
      <c r="Q442" s="84"/>
      <c r="R442" s="84"/>
      <c r="S442" s="86"/>
      <c r="T442" s="84"/>
      <c r="U442" s="84"/>
      <c r="V442" s="86"/>
      <c r="W442" s="84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66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2"/>
      <c r="AY442" s="72"/>
    </row>
    <row r="443" spans="2:51" x14ac:dyDescent="0.25">
      <c r="B443" s="70"/>
      <c r="C443" s="67"/>
      <c r="D443" s="68"/>
      <c r="E443" s="69"/>
      <c r="F443" s="84"/>
      <c r="G443" s="83"/>
      <c r="H443" s="84"/>
      <c r="I443" s="84"/>
      <c r="J443" s="84"/>
      <c r="K443" s="84"/>
      <c r="L443" s="84"/>
      <c r="M443" s="83"/>
      <c r="N443" s="84"/>
      <c r="O443" s="84"/>
      <c r="P443" s="84"/>
      <c r="Q443" s="84"/>
      <c r="R443" s="84"/>
      <c r="S443" s="86"/>
      <c r="T443" s="84"/>
      <c r="U443" s="84"/>
      <c r="V443" s="86"/>
      <c r="W443" s="84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66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2"/>
      <c r="AY443" s="72"/>
    </row>
    <row r="444" spans="2:51" x14ac:dyDescent="0.25">
      <c r="B444" s="70"/>
      <c r="C444" s="67"/>
      <c r="D444" s="68"/>
      <c r="E444" s="69"/>
      <c r="F444" s="84"/>
      <c r="G444" s="83"/>
      <c r="H444" s="84"/>
      <c r="I444" s="84"/>
      <c r="J444" s="84"/>
      <c r="K444" s="84"/>
      <c r="L444" s="84"/>
      <c r="M444" s="83"/>
      <c r="N444" s="84"/>
      <c r="O444" s="84"/>
      <c r="P444" s="84"/>
      <c r="Q444" s="84"/>
      <c r="R444" s="84"/>
      <c r="S444" s="86"/>
      <c r="T444" s="84"/>
      <c r="U444" s="84"/>
      <c r="V444" s="86"/>
      <c r="W444" s="84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66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2"/>
      <c r="AY444" s="72"/>
    </row>
    <row r="445" spans="2:51" x14ac:dyDescent="0.25">
      <c r="B445" s="70"/>
      <c r="C445" s="67"/>
      <c r="D445" s="68"/>
      <c r="E445" s="69"/>
      <c r="F445" s="84"/>
      <c r="G445" s="83"/>
      <c r="H445" s="84"/>
      <c r="I445" s="84"/>
      <c r="J445" s="84"/>
      <c r="K445" s="84"/>
      <c r="L445" s="84"/>
      <c r="M445" s="83"/>
      <c r="N445" s="84"/>
      <c r="O445" s="84"/>
      <c r="P445" s="84"/>
      <c r="Q445" s="84"/>
      <c r="R445" s="84"/>
      <c r="S445" s="86"/>
      <c r="T445" s="84"/>
      <c r="U445" s="84"/>
      <c r="V445" s="86"/>
      <c r="W445" s="84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66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2"/>
      <c r="AY445" s="72"/>
    </row>
    <row r="446" spans="2:51" x14ac:dyDescent="0.25">
      <c r="B446" s="70"/>
      <c r="C446" s="67"/>
      <c r="D446" s="68"/>
      <c r="E446" s="69"/>
      <c r="F446" s="84"/>
      <c r="G446" s="83"/>
      <c r="H446" s="84"/>
      <c r="I446" s="84"/>
      <c r="J446" s="84"/>
      <c r="K446" s="84"/>
      <c r="L446" s="84"/>
      <c r="M446" s="83"/>
      <c r="N446" s="84"/>
      <c r="O446" s="84"/>
      <c r="P446" s="84"/>
      <c r="Q446" s="84"/>
      <c r="R446" s="84"/>
      <c r="S446" s="86"/>
      <c r="T446" s="84"/>
      <c r="U446" s="84"/>
      <c r="V446" s="86"/>
      <c r="W446" s="84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66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2"/>
      <c r="AY446" s="72"/>
    </row>
    <row r="447" spans="2:51" x14ac:dyDescent="0.25">
      <c r="B447" s="70"/>
      <c r="C447" s="67"/>
      <c r="D447" s="68"/>
      <c r="E447" s="69"/>
      <c r="F447" s="84"/>
      <c r="G447" s="83"/>
      <c r="H447" s="84"/>
      <c r="I447" s="84"/>
      <c r="J447" s="84"/>
      <c r="K447" s="84"/>
      <c r="L447" s="84"/>
      <c r="M447" s="83"/>
      <c r="N447" s="84"/>
      <c r="O447" s="84"/>
      <c r="P447" s="84"/>
      <c r="Q447" s="84"/>
      <c r="R447" s="84"/>
      <c r="S447" s="86"/>
      <c r="T447" s="84"/>
      <c r="U447" s="84"/>
      <c r="V447" s="86"/>
      <c r="W447" s="84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66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2"/>
      <c r="AY447" s="72"/>
    </row>
    <row r="448" spans="2:51" x14ac:dyDescent="0.25">
      <c r="B448" s="70"/>
      <c r="C448" s="67"/>
      <c r="D448" s="68"/>
      <c r="E448" s="69"/>
      <c r="F448" s="84"/>
      <c r="G448" s="83"/>
      <c r="H448" s="84"/>
      <c r="I448" s="84"/>
      <c r="J448" s="84"/>
      <c r="K448" s="84"/>
      <c r="L448" s="84"/>
      <c r="M448" s="83"/>
      <c r="N448" s="84"/>
      <c r="O448" s="84"/>
      <c r="P448" s="84"/>
      <c r="Q448" s="84"/>
      <c r="R448" s="84"/>
      <c r="S448" s="86"/>
      <c r="T448" s="84"/>
      <c r="U448" s="84"/>
      <c r="V448" s="86"/>
      <c r="W448" s="84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66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2"/>
      <c r="AY448" s="72"/>
    </row>
    <row r="449" spans="2:51" x14ac:dyDescent="0.25">
      <c r="B449" s="70"/>
      <c r="C449" s="67"/>
      <c r="D449" s="68"/>
      <c r="E449" s="69"/>
      <c r="F449" s="84"/>
      <c r="G449" s="83"/>
      <c r="H449" s="84"/>
      <c r="I449" s="84"/>
      <c r="J449" s="84"/>
      <c r="K449" s="84"/>
      <c r="L449" s="84"/>
      <c r="M449" s="83"/>
      <c r="N449" s="84"/>
      <c r="O449" s="84"/>
      <c r="P449" s="84"/>
      <c r="Q449" s="84"/>
      <c r="R449" s="84"/>
      <c r="S449" s="86"/>
      <c r="T449" s="84"/>
      <c r="U449" s="84"/>
      <c r="V449" s="86"/>
      <c r="W449" s="84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66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2"/>
      <c r="AY449" s="72"/>
    </row>
    <row r="450" spans="2:51" x14ac:dyDescent="0.25">
      <c r="B450" s="70"/>
      <c r="C450" s="67"/>
      <c r="D450" s="68"/>
      <c r="E450" s="69"/>
      <c r="F450" s="84"/>
      <c r="G450" s="83"/>
      <c r="H450" s="84"/>
      <c r="I450" s="84"/>
      <c r="J450" s="84"/>
      <c r="K450" s="84"/>
      <c r="L450" s="84"/>
      <c r="M450" s="83"/>
      <c r="N450" s="84"/>
      <c r="O450" s="84"/>
      <c r="P450" s="84"/>
      <c r="Q450" s="84"/>
      <c r="R450" s="84"/>
      <c r="S450" s="86"/>
      <c r="T450" s="84"/>
      <c r="U450" s="84"/>
      <c r="V450" s="86"/>
      <c r="W450" s="84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66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2"/>
      <c r="AY450" s="72"/>
    </row>
    <row r="451" spans="2:51" x14ac:dyDescent="0.25">
      <c r="B451" s="70"/>
      <c r="C451" s="67"/>
      <c r="D451" s="68"/>
      <c r="E451" s="69"/>
      <c r="F451" s="84"/>
      <c r="G451" s="83"/>
      <c r="H451" s="84"/>
      <c r="I451" s="84"/>
      <c r="J451" s="84"/>
      <c r="K451" s="84"/>
      <c r="L451" s="84"/>
      <c r="M451" s="83"/>
      <c r="N451" s="84"/>
      <c r="O451" s="84"/>
      <c r="P451" s="84"/>
      <c r="Q451" s="84"/>
      <c r="R451" s="84"/>
      <c r="S451" s="86"/>
      <c r="T451" s="84"/>
      <c r="U451" s="84"/>
      <c r="V451" s="86"/>
      <c r="W451" s="84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66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2"/>
      <c r="AY451" s="72"/>
    </row>
    <row r="452" spans="2:51" x14ac:dyDescent="0.25">
      <c r="B452" s="70"/>
      <c r="C452" s="67"/>
      <c r="D452" s="68"/>
      <c r="E452" s="69"/>
      <c r="F452" s="84"/>
      <c r="G452" s="83"/>
      <c r="H452" s="84"/>
      <c r="I452" s="84"/>
      <c r="J452" s="84"/>
      <c r="K452" s="84"/>
      <c r="L452" s="84"/>
      <c r="M452" s="83"/>
      <c r="N452" s="84"/>
      <c r="O452" s="84"/>
      <c r="P452" s="84"/>
      <c r="Q452" s="84"/>
      <c r="R452" s="84"/>
      <c r="S452" s="86"/>
      <c r="T452" s="84"/>
      <c r="U452" s="84"/>
      <c r="V452" s="86"/>
      <c r="W452" s="84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66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2"/>
      <c r="AY452" s="72"/>
    </row>
    <row r="453" spans="2:51" x14ac:dyDescent="0.25">
      <c r="B453" s="70"/>
      <c r="C453" s="67"/>
      <c r="D453" s="68"/>
      <c r="E453" s="69"/>
      <c r="F453" s="84"/>
      <c r="G453" s="83"/>
      <c r="H453" s="84"/>
      <c r="I453" s="84"/>
      <c r="J453" s="84"/>
      <c r="K453" s="84"/>
      <c r="L453" s="84"/>
      <c r="M453" s="83"/>
      <c r="N453" s="84"/>
      <c r="O453" s="84"/>
      <c r="P453" s="84"/>
      <c r="Q453" s="84"/>
      <c r="R453" s="84"/>
      <c r="S453" s="86"/>
      <c r="T453" s="84"/>
      <c r="U453" s="84"/>
      <c r="V453" s="86"/>
      <c r="W453" s="84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66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2"/>
      <c r="AY453" s="72"/>
    </row>
    <row r="454" spans="2:51" x14ac:dyDescent="0.25">
      <c r="B454" s="70"/>
      <c r="C454" s="67"/>
      <c r="D454" s="68"/>
      <c r="E454" s="69"/>
      <c r="F454" s="84"/>
      <c r="G454" s="83"/>
      <c r="H454" s="84"/>
      <c r="I454" s="84"/>
      <c r="J454" s="84"/>
      <c r="K454" s="84"/>
      <c r="L454" s="84"/>
      <c r="M454" s="83"/>
      <c r="N454" s="84"/>
      <c r="O454" s="84"/>
      <c r="P454" s="84"/>
      <c r="Q454" s="84"/>
      <c r="R454" s="84"/>
      <c r="S454" s="86"/>
      <c r="T454" s="84"/>
      <c r="U454" s="84"/>
      <c r="V454" s="86"/>
      <c r="W454" s="84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66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2"/>
      <c r="AY454" s="72"/>
    </row>
    <row r="455" spans="2:51" x14ac:dyDescent="0.25">
      <c r="B455" s="70"/>
      <c r="C455" s="67"/>
      <c r="D455" s="68"/>
      <c r="E455" s="69"/>
      <c r="F455" s="84"/>
      <c r="G455" s="83"/>
      <c r="H455" s="84"/>
      <c r="I455" s="84"/>
      <c r="J455" s="84"/>
      <c r="K455" s="84"/>
      <c r="L455" s="84"/>
      <c r="M455" s="83"/>
      <c r="N455" s="84"/>
      <c r="O455" s="84"/>
      <c r="P455" s="84"/>
      <c r="Q455" s="84"/>
      <c r="R455" s="84"/>
      <c r="S455" s="86"/>
      <c r="T455" s="84"/>
      <c r="U455" s="84"/>
      <c r="V455" s="86"/>
      <c r="W455" s="84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66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2"/>
      <c r="AY455" s="72"/>
    </row>
    <row r="456" spans="2:51" x14ac:dyDescent="0.25">
      <c r="B456" s="70"/>
      <c r="C456" s="67"/>
      <c r="D456" s="68"/>
      <c r="E456" s="69"/>
      <c r="F456" s="84"/>
      <c r="G456" s="83"/>
      <c r="H456" s="84"/>
      <c r="I456" s="84"/>
      <c r="J456" s="84"/>
      <c r="K456" s="84"/>
      <c r="L456" s="84"/>
      <c r="M456" s="83"/>
      <c r="N456" s="84"/>
      <c r="O456" s="84"/>
      <c r="P456" s="84"/>
      <c r="Q456" s="84"/>
      <c r="R456" s="84"/>
      <c r="S456" s="86"/>
      <c r="T456" s="84"/>
      <c r="U456" s="84"/>
      <c r="V456" s="86"/>
      <c r="W456" s="84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66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2"/>
      <c r="AY456" s="72"/>
    </row>
    <row r="457" spans="2:51" x14ac:dyDescent="0.25">
      <c r="B457" s="70"/>
      <c r="C457" s="67"/>
      <c r="D457" s="68"/>
      <c r="E457" s="69"/>
      <c r="F457" s="84"/>
      <c r="G457" s="83"/>
      <c r="H457" s="84"/>
      <c r="I457" s="84"/>
      <c r="J457" s="84"/>
      <c r="K457" s="84"/>
      <c r="L457" s="84"/>
      <c r="M457" s="83"/>
      <c r="N457" s="84"/>
      <c r="O457" s="84"/>
      <c r="P457" s="84"/>
      <c r="Q457" s="84"/>
      <c r="R457" s="84"/>
      <c r="S457" s="86"/>
      <c r="T457" s="84"/>
      <c r="U457" s="84"/>
      <c r="V457" s="86"/>
      <c r="W457" s="84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66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2"/>
      <c r="AY457" s="72"/>
    </row>
    <row r="458" spans="2:51" x14ac:dyDescent="0.25">
      <c r="B458" s="70"/>
      <c r="C458" s="67"/>
      <c r="D458" s="68"/>
      <c r="E458" s="69"/>
      <c r="F458" s="84"/>
      <c r="G458" s="83"/>
      <c r="H458" s="84"/>
      <c r="I458" s="84"/>
      <c r="J458" s="84"/>
      <c r="K458" s="84"/>
      <c r="L458" s="84"/>
      <c r="M458" s="83"/>
      <c r="N458" s="84"/>
      <c r="O458" s="84"/>
      <c r="P458" s="84"/>
      <c r="Q458" s="84"/>
      <c r="R458" s="84"/>
      <c r="S458" s="86"/>
      <c r="T458" s="84"/>
      <c r="U458" s="84"/>
      <c r="V458" s="86"/>
      <c r="W458" s="84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66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2"/>
      <c r="AY458" s="72"/>
    </row>
    <row r="459" spans="2:51" x14ac:dyDescent="0.25">
      <c r="B459" s="70"/>
      <c r="C459" s="67"/>
      <c r="D459" s="68"/>
      <c r="E459" s="69"/>
      <c r="F459" s="84"/>
      <c r="G459" s="83"/>
      <c r="H459" s="84"/>
      <c r="I459" s="84"/>
      <c r="J459" s="84"/>
      <c r="K459" s="84"/>
      <c r="L459" s="84"/>
      <c r="M459" s="83"/>
      <c r="N459" s="84"/>
      <c r="O459" s="84"/>
      <c r="P459" s="84"/>
      <c r="Q459" s="84"/>
      <c r="R459" s="84"/>
      <c r="S459" s="86"/>
      <c r="T459" s="84"/>
      <c r="U459" s="84"/>
      <c r="V459" s="86"/>
      <c r="W459" s="84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66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2"/>
      <c r="AY459" s="72"/>
    </row>
    <row r="460" spans="2:51" x14ac:dyDescent="0.25">
      <c r="B460" s="70"/>
      <c r="C460" s="67"/>
      <c r="D460" s="68"/>
      <c r="E460" s="69"/>
      <c r="F460" s="84"/>
      <c r="G460" s="83"/>
      <c r="H460" s="84"/>
      <c r="I460" s="84"/>
      <c r="J460" s="84"/>
      <c r="K460" s="84"/>
      <c r="L460" s="84"/>
      <c r="M460" s="83"/>
      <c r="N460" s="84"/>
      <c r="O460" s="84"/>
      <c r="P460" s="84"/>
      <c r="Q460" s="84"/>
      <c r="R460" s="84"/>
      <c r="S460" s="86"/>
      <c r="T460" s="84"/>
      <c r="U460" s="84"/>
      <c r="V460" s="86"/>
      <c r="W460" s="84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66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2"/>
      <c r="AY460" s="72"/>
    </row>
    <row r="461" spans="2:51" x14ac:dyDescent="0.25">
      <c r="B461" s="70"/>
      <c r="C461" s="67"/>
      <c r="D461" s="68"/>
      <c r="E461" s="69"/>
      <c r="F461" s="84"/>
      <c r="G461" s="83"/>
      <c r="H461" s="84"/>
      <c r="I461" s="84"/>
      <c r="J461" s="84"/>
      <c r="K461" s="84"/>
      <c r="L461" s="84"/>
      <c r="M461" s="83"/>
      <c r="N461" s="84"/>
      <c r="O461" s="84"/>
      <c r="P461" s="84"/>
      <c r="Q461" s="84"/>
      <c r="R461" s="84"/>
      <c r="S461" s="86"/>
      <c r="T461" s="84"/>
      <c r="U461" s="84"/>
      <c r="V461" s="86"/>
      <c r="W461" s="84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66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2"/>
      <c r="AY461" s="72"/>
    </row>
    <row r="462" spans="2:51" x14ac:dyDescent="0.25">
      <c r="B462" s="70"/>
      <c r="C462" s="67"/>
      <c r="D462" s="68"/>
      <c r="E462" s="69"/>
      <c r="F462" s="84"/>
      <c r="G462" s="83"/>
      <c r="H462" s="84"/>
      <c r="I462" s="84"/>
      <c r="J462" s="84"/>
      <c r="K462" s="84"/>
      <c r="L462" s="84"/>
      <c r="M462" s="83"/>
      <c r="N462" s="84"/>
      <c r="O462" s="84"/>
      <c r="P462" s="84"/>
      <c r="Q462" s="84"/>
      <c r="R462" s="84"/>
      <c r="S462" s="86"/>
      <c r="T462" s="84"/>
      <c r="U462" s="84"/>
      <c r="V462" s="86"/>
      <c r="W462" s="84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66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2"/>
      <c r="AY462" s="72"/>
    </row>
    <row r="463" spans="2:51" x14ac:dyDescent="0.25">
      <c r="B463" s="70"/>
      <c r="C463" s="67"/>
      <c r="D463" s="68"/>
      <c r="E463" s="69"/>
      <c r="F463" s="84"/>
      <c r="G463" s="83"/>
      <c r="H463" s="84"/>
      <c r="I463" s="84"/>
      <c r="J463" s="84"/>
      <c r="K463" s="84"/>
      <c r="L463" s="84"/>
      <c r="M463" s="83"/>
      <c r="N463" s="84"/>
      <c r="O463" s="84"/>
      <c r="P463" s="84"/>
      <c r="Q463" s="84"/>
      <c r="R463" s="84"/>
      <c r="S463" s="86"/>
      <c r="T463" s="84"/>
      <c r="U463" s="84"/>
      <c r="V463" s="86"/>
      <c r="W463" s="84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66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2"/>
      <c r="AY463" s="72"/>
    </row>
    <row r="464" spans="2:51" x14ac:dyDescent="0.25">
      <c r="B464" s="70"/>
      <c r="C464" s="67"/>
      <c r="D464" s="68"/>
      <c r="E464" s="69"/>
      <c r="F464" s="84"/>
      <c r="G464" s="83"/>
      <c r="H464" s="84"/>
      <c r="I464" s="84"/>
      <c r="J464" s="84"/>
      <c r="K464" s="84"/>
      <c r="L464" s="84"/>
      <c r="M464" s="83"/>
      <c r="N464" s="84"/>
      <c r="O464" s="84"/>
      <c r="P464" s="84"/>
      <c r="Q464" s="84"/>
      <c r="R464" s="84"/>
      <c r="S464" s="86"/>
      <c r="T464" s="84"/>
      <c r="U464" s="84"/>
      <c r="V464" s="86"/>
      <c r="W464" s="84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66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2"/>
      <c r="AY464" s="72"/>
    </row>
    <row r="465" spans="2:51" x14ac:dyDescent="0.25">
      <c r="B465" s="70"/>
      <c r="C465" s="67"/>
      <c r="D465" s="68"/>
      <c r="E465" s="69"/>
      <c r="F465" s="84"/>
      <c r="G465" s="83"/>
      <c r="H465" s="84"/>
      <c r="I465" s="84"/>
      <c r="J465" s="84"/>
      <c r="K465" s="84"/>
      <c r="L465" s="84"/>
      <c r="M465" s="83"/>
      <c r="N465" s="84"/>
      <c r="O465" s="84"/>
      <c r="P465" s="84"/>
      <c r="Q465" s="84"/>
      <c r="R465" s="84"/>
      <c r="S465" s="86"/>
      <c r="T465" s="84"/>
      <c r="U465" s="84"/>
      <c r="V465" s="86"/>
      <c r="W465" s="84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66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2"/>
      <c r="AY465" s="72"/>
    </row>
    <row r="466" spans="2:51" x14ac:dyDescent="0.25">
      <c r="B466" s="70"/>
      <c r="C466" s="67"/>
      <c r="D466" s="68"/>
      <c r="E466" s="69"/>
      <c r="F466" s="84"/>
      <c r="G466" s="83"/>
      <c r="H466" s="84"/>
      <c r="I466" s="84"/>
      <c r="J466" s="84"/>
      <c r="K466" s="84"/>
      <c r="L466" s="84"/>
      <c r="M466" s="83"/>
      <c r="N466" s="84"/>
      <c r="O466" s="84"/>
      <c r="P466" s="84"/>
      <c r="Q466" s="84"/>
      <c r="R466" s="84"/>
      <c r="S466" s="86"/>
      <c r="T466" s="84"/>
      <c r="U466" s="84"/>
      <c r="V466" s="86"/>
      <c r="W466" s="84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66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2"/>
      <c r="AY466" s="72"/>
    </row>
    <row r="467" spans="2:51" x14ac:dyDescent="0.25">
      <c r="B467" s="70"/>
      <c r="C467" s="67"/>
      <c r="D467" s="68"/>
      <c r="E467" s="69"/>
      <c r="F467" s="84"/>
      <c r="G467" s="83"/>
      <c r="H467" s="84"/>
      <c r="I467" s="84"/>
      <c r="J467" s="84"/>
      <c r="K467" s="84"/>
      <c r="L467" s="84"/>
      <c r="M467" s="83"/>
      <c r="N467" s="84"/>
      <c r="O467" s="84"/>
      <c r="P467" s="84"/>
      <c r="Q467" s="84"/>
      <c r="R467" s="84"/>
      <c r="S467" s="86"/>
      <c r="T467" s="84"/>
      <c r="U467" s="84"/>
      <c r="V467" s="86"/>
      <c r="W467" s="84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66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2"/>
      <c r="AY467" s="72"/>
    </row>
    <row r="468" spans="2:51" x14ac:dyDescent="0.25">
      <c r="B468" s="70"/>
      <c r="C468" s="67"/>
      <c r="D468" s="68"/>
      <c r="E468" s="69"/>
      <c r="F468" s="84"/>
      <c r="G468" s="83"/>
      <c r="H468" s="84"/>
      <c r="I468" s="84"/>
      <c r="J468" s="84"/>
      <c r="K468" s="84"/>
      <c r="L468" s="84"/>
      <c r="M468" s="83"/>
      <c r="N468" s="84"/>
      <c r="O468" s="84"/>
      <c r="P468" s="84"/>
      <c r="Q468" s="84"/>
      <c r="R468" s="84"/>
      <c r="S468" s="86"/>
      <c r="T468" s="84"/>
      <c r="U468" s="84"/>
      <c r="V468" s="86"/>
      <c r="W468" s="84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66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2"/>
      <c r="AY468" s="72"/>
    </row>
    <row r="469" spans="2:51" x14ac:dyDescent="0.25">
      <c r="B469" s="70"/>
      <c r="C469" s="67"/>
      <c r="D469" s="68"/>
      <c r="E469" s="69"/>
      <c r="F469" s="84"/>
      <c r="G469" s="83"/>
      <c r="H469" s="84"/>
      <c r="I469" s="84"/>
      <c r="J469" s="84"/>
      <c r="K469" s="84"/>
      <c r="L469" s="84"/>
      <c r="M469" s="83"/>
      <c r="N469" s="84"/>
      <c r="O469" s="84"/>
      <c r="P469" s="84"/>
      <c r="Q469" s="84"/>
      <c r="R469" s="84"/>
      <c r="S469" s="86"/>
      <c r="T469" s="84"/>
      <c r="U469" s="84"/>
      <c r="V469" s="86"/>
      <c r="W469" s="84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66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2"/>
      <c r="AY469" s="72"/>
    </row>
    <row r="470" spans="2:51" x14ac:dyDescent="0.25">
      <c r="B470" s="70"/>
      <c r="C470" s="67"/>
      <c r="D470" s="68"/>
      <c r="E470" s="69"/>
      <c r="F470" s="84"/>
      <c r="G470" s="83"/>
      <c r="H470" s="84"/>
      <c r="I470" s="84"/>
      <c r="J470" s="84"/>
      <c r="K470" s="84"/>
      <c r="L470" s="84"/>
      <c r="M470" s="83"/>
      <c r="N470" s="84"/>
      <c r="O470" s="84"/>
      <c r="P470" s="84"/>
      <c r="Q470" s="84"/>
      <c r="R470" s="84"/>
      <c r="S470" s="86"/>
      <c r="T470" s="84"/>
      <c r="U470" s="84"/>
      <c r="V470" s="86"/>
      <c r="W470" s="84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66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2"/>
      <c r="AY470" s="72"/>
    </row>
    <row r="471" spans="2:51" x14ac:dyDescent="0.25">
      <c r="B471" s="70"/>
      <c r="C471" s="67"/>
      <c r="D471" s="68"/>
      <c r="E471" s="69"/>
      <c r="F471" s="84"/>
      <c r="G471" s="83"/>
      <c r="H471" s="84"/>
      <c r="I471" s="84"/>
      <c r="J471" s="84"/>
      <c r="K471" s="84"/>
      <c r="L471" s="84"/>
      <c r="M471" s="83"/>
      <c r="N471" s="84"/>
      <c r="O471" s="84"/>
      <c r="P471" s="84"/>
      <c r="Q471" s="84"/>
      <c r="R471" s="84"/>
      <c r="S471" s="86"/>
      <c r="T471" s="84"/>
      <c r="U471" s="84"/>
      <c r="V471" s="86"/>
      <c r="W471" s="84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66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2"/>
      <c r="AY471" s="72"/>
    </row>
    <row r="472" spans="2:51" x14ac:dyDescent="0.25">
      <c r="B472" s="70"/>
      <c r="C472" s="67"/>
      <c r="D472" s="68"/>
      <c r="E472" s="69"/>
      <c r="F472" s="84"/>
      <c r="G472" s="83"/>
      <c r="H472" s="84"/>
      <c r="I472" s="84"/>
      <c r="J472" s="84"/>
      <c r="K472" s="84"/>
      <c r="L472" s="84"/>
      <c r="M472" s="83"/>
      <c r="N472" s="84"/>
      <c r="O472" s="84"/>
      <c r="P472" s="84"/>
      <c r="Q472" s="84"/>
      <c r="R472" s="84"/>
      <c r="S472" s="86"/>
      <c r="T472" s="84"/>
      <c r="U472" s="84"/>
      <c r="V472" s="86"/>
      <c r="W472" s="84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66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2"/>
      <c r="AY472" s="72"/>
    </row>
    <row r="473" spans="2:51" x14ac:dyDescent="0.25">
      <c r="B473" s="70"/>
      <c r="C473" s="67"/>
      <c r="D473" s="68"/>
      <c r="E473" s="69"/>
      <c r="F473" s="84"/>
      <c r="G473" s="83"/>
      <c r="H473" s="84"/>
      <c r="I473" s="84"/>
      <c r="J473" s="84"/>
      <c r="K473" s="84"/>
      <c r="L473" s="84"/>
      <c r="M473" s="83"/>
      <c r="N473" s="84"/>
      <c r="O473" s="84"/>
      <c r="P473" s="84"/>
      <c r="Q473" s="84"/>
      <c r="R473" s="84"/>
      <c r="S473" s="86"/>
      <c r="T473" s="84"/>
      <c r="U473" s="84"/>
      <c r="V473" s="86"/>
      <c r="W473" s="84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66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2"/>
      <c r="AY473" s="72"/>
    </row>
    <row r="474" spans="2:51" x14ac:dyDescent="0.25">
      <c r="B474" s="70"/>
      <c r="C474" s="67"/>
      <c r="D474" s="68"/>
      <c r="E474" s="69"/>
      <c r="F474" s="84"/>
      <c r="G474" s="83"/>
      <c r="H474" s="84"/>
      <c r="I474" s="84"/>
      <c r="J474" s="84"/>
      <c r="K474" s="84"/>
      <c r="L474" s="84"/>
      <c r="M474" s="83"/>
      <c r="N474" s="84"/>
      <c r="O474" s="84"/>
      <c r="P474" s="84"/>
      <c r="Q474" s="84"/>
      <c r="R474" s="84"/>
      <c r="S474" s="86"/>
      <c r="T474" s="84"/>
      <c r="U474" s="84"/>
      <c r="V474" s="86"/>
      <c r="W474" s="84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66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2"/>
      <c r="AY474" s="72"/>
    </row>
    <row r="475" spans="2:51" x14ac:dyDescent="0.25">
      <c r="B475" s="70"/>
      <c r="C475" s="67"/>
      <c r="D475" s="68"/>
      <c r="E475" s="69"/>
      <c r="F475" s="84"/>
      <c r="G475" s="83"/>
      <c r="H475" s="84"/>
      <c r="I475" s="84"/>
      <c r="J475" s="84"/>
      <c r="K475" s="84"/>
      <c r="L475" s="84"/>
      <c r="M475" s="83"/>
      <c r="N475" s="84"/>
      <c r="O475" s="84"/>
      <c r="P475" s="84"/>
      <c r="Q475" s="84"/>
      <c r="R475" s="84"/>
      <c r="S475" s="86"/>
      <c r="T475" s="84"/>
      <c r="U475" s="84"/>
      <c r="V475" s="86"/>
      <c r="W475" s="84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66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2"/>
      <c r="AY475" s="72"/>
    </row>
    <row r="476" spans="2:51" x14ac:dyDescent="0.25">
      <c r="B476" s="70"/>
      <c r="C476" s="67"/>
      <c r="D476" s="68"/>
      <c r="E476" s="69"/>
      <c r="F476" s="84"/>
      <c r="G476" s="83"/>
      <c r="H476" s="84"/>
      <c r="I476" s="84"/>
      <c r="J476" s="84"/>
      <c r="K476" s="84"/>
      <c r="L476" s="84"/>
      <c r="M476" s="83"/>
      <c r="N476" s="84"/>
      <c r="O476" s="84"/>
      <c r="P476" s="84"/>
      <c r="Q476" s="84"/>
      <c r="R476" s="84"/>
      <c r="S476" s="86"/>
      <c r="T476" s="84"/>
      <c r="U476" s="84"/>
      <c r="V476" s="86"/>
      <c r="W476" s="84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66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2"/>
      <c r="AY476" s="72"/>
    </row>
    <row r="477" spans="2:51" x14ac:dyDescent="0.25">
      <c r="B477" s="70"/>
      <c r="C477" s="67"/>
      <c r="D477" s="68"/>
      <c r="E477" s="69"/>
      <c r="F477" s="84"/>
      <c r="G477" s="83"/>
      <c r="H477" s="84"/>
      <c r="I477" s="84"/>
      <c r="J477" s="84"/>
      <c r="K477" s="84"/>
      <c r="L477" s="84"/>
      <c r="M477" s="83"/>
      <c r="N477" s="84"/>
      <c r="O477" s="84"/>
      <c r="P477" s="84"/>
      <c r="Q477" s="84"/>
      <c r="R477" s="84"/>
      <c r="S477" s="86"/>
      <c r="T477" s="84"/>
      <c r="U477" s="84"/>
      <c r="V477" s="86"/>
      <c r="W477" s="84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66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2"/>
      <c r="AY477" s="72"/>
    </row>
    <row r="478" spans="2:51" x14ac:dyDescent="0.25">
      <c r="B478" s="70"/>
      <c r="C478" s="67"/>
      <c r="D478" s="68"/>
      <c r="E478" s="69"/>
      <c r="F478" s="84"/>
      <c r="G478" s="83"/>
      <c r="H478" s="84"/>
      <c r="I478" s="84"/>
      <c r="J478" s="84"/>
      <c r="K478" s="84"/>
      <c r="L478" s="84"/>
      <c r="M478" s="83"/>
      <c r="N478" s="84"/>
      <c r="O478" s="84"/>
      <c r="P478" s="84"/>
      <c r="Q478" s="84"/>
      <c r="R478" s="84"/>
      <c r="S478" s="86"/>
      <c r="T478" s="84"/>
      <c r="U478" s="84"/>
      <c r="V478" s="86"/>
      <c r="W478" s="84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66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2"/>
      <c r="AY478" s="72"/>
    </row>
    <row r="479" spans="2:51" x14ac:dyDescent="0.25">
      <c r="B479" s="70"/>
      <c r="C479" s="67"/>
      <c r="D479" s="68"/>
      <c r="E479" s="69"/>
      <c r="F479" s="84"/>
      <c r="G479" s="83"/>
      <c r="H479" s="84"/>
      <c r="I479" s="84"/>
      <c r="J479" s="84"/>
      <c r="K479" s="84"/>
      <c r="L479" s="84"/>
      <c r="M479" s="83"/>
      <c r="N479" s="84"/>
      <c r="O479" s="84"/>
      <c r="P479" s="84"/>
      <c r="Q479" s="84"/>
      <c r="R479" s="84"/>
      <c r="S479" s="86"/>
      <c r="T479" s="84"/>
      <c r="U479" s="84"/>
      <c r="V479" s="86"/>
      <c r="W479" s="84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66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2"/>
      <c r="AY479" s="72"/>
    </row>
    <row r="480" spans="2:51" x14ac:dyDescent="0.25">
      <c r="B480" s="70"/>
      <c r="C480" s="67"/>
      <c r="D480" s="68"/>
      <c r="E480" s="69"/>
      <c r="F480" s="84"/>
      <c r="G480" s="83"/>
      <c r="H480" s="84"/>
      <c r="I480" s="84"/>
      <c r="J480" s="84"/>
      <c r="K480" s="84"/>
      <c r="L480" s="84"/>
      <c r="M480" s="83"/>
      <c r="N480" s="84"/>
      <c r="O480" s="84"/>
      <c r="P480" s="84"/>
      <c r="Q480" s="84"/>
      <c r="R480" s="84"/>
      <c r="S480" s="86"/>
      <c r="T480" s="84"/>
      <c r="U480" s="84"/>
      <c r="V480" s="86"/>
      <c r="W480" s="84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66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2"/>
      <c r="AY480" s="72"/>
    </row>
    <row r="481" spans="2:51" x14ac:dyDescent="0.25">
      <c r="B481" s="70"/>
      <c r="C481" s="67"/>
      <c r="D481" s="68"/>
      <c r="E481" s="69"/>
      <c r="F481" s="84"/>
      <c r="G481" s="83"/>
      <c r="H481" s="84"/>
      <c r="I481" s="84"/>
      <c r="J481" s="84"/>
      <c r="K481" s="84"/>
      <c r="L481" s="84"/>
      <c r="M481" s="83"/>
      <c r="N481" s="84"/>
      <c r="O481" s="84"/>
      <c r="P481" s="84"/>
      <c r="Q481" s="84"/>
      <c r="R481" s="84"/>
      <c r="S481" s="86"/>
      <c r="T481" s="84"/>
      <c r="U481" s="84"/>
      <c r="V481" s="86"/>
      <c r="W481" s="84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66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2"/>
      <c r="AY481" s="72"/>
    </row>
    <row r="482" spans="2:51" x14ac:dyDescent="0.25">
      <c r="B482" s="70"/>
      <c r="C482" s="67"/>
      <c r="D482" s="68"/>
      <c r="E482" s="69"/>
      <c r="F482" s="84"/>
      <c r="G482" s="83"/>
      <c r="H482" s="84"/>
      <c r="I482" s="84"/>
      <c r="J482" s="84"/>
      <c r="K482" s="84"/>
      <c r="L482" s="84"/>
      <c r="M482" s="83"/>
      <c r="N482" s="84"/>
      <c r="O482" s="84"/>
      <c r="P482" s="84"/>
      <c r="Q482" s="84"/>
      <c r="R482" s="84"/>
      <c r="S482" s="86"/>
      <c r="T482" s="84"/>
      <c r="U482" s="84"/>
      <c r="V482" s="86"/>
      <c r="W482" s="84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66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2"/>
      <c r="AY482" s="72"/>
    </row>
    <row r="483" spans="2:51" x14ac:dyDescent="0.25">
      <c r="B483" s="70"/>
      <c r="C483" s="67"/>
      <c r="D483" s="68"/>
      <c r="E483" s="69"/>
      <c r="F483" s="84"/>
      <c r="G483" s="83"/>
      <c r="H483" s="84"/>
      <c r="I483" s="84"/>
      <c r="J483" s="84"/>
      <c r="K483" s="84"/>
      <c r="L483" s="84"/>
      <c r="M483" s="83"/>
      <c r="N483" s="84"/>
      <c r="O483" s="84"/>
      <c r="P483" s="84"/>
      <c r="Q483" s="84"/>
      <c r="R483" s="84"/>
      <c r="S483" s="86"/>
      <c r="T483" s="84"/>
      <c r="U483" s="84"/>
      <c r="V483" s="86"/>
      <c r="W483" s="84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66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2"/>
      <c r="AY483" s="72"/>
    </row>
    <row r="484" spans="2:51" x14ac:dyDescent="0.25">
      <c r="B484" s="70"/>
      <c r="C484" s="67"/>
      <c r="D484" s="68"/>
      <c r="E484" s="69"/>
      <c r="F484" s="84"/>
      <c r="G484" s="83"/>
      <c r="H484" s="84"/>
      <c r="I484" s="84"/>
      <c r="J484" s="84"/>
      <c r="K484" s="84"/>
      <c r="L484" s="84"/>
      <c r="M484" s="83"/>
      <c r="N484" s="84"/>
      <c r="O484" s="84"/>
      <c r="P484" s="84"/>
      <c r="Q484" s="84"/>
      <c r="R484" s="84"/>
      <c r="S484" s="86"/>
      <c r="T484" s="84"/>
      <c r="U484" s="84"/>
      <c r="V484" s="86"/>
      <c r="W484" s="84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66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2"/>
      <c r="AY484" s="72"/>
    </row>
    <row r="485" spans="2:51" x14ac:dyDescent="0.25">
      <c r="B485" s="70"/>
      <c r="C485" s="67"/>
      <c r="D485" s="68"/>
      <c r="E485" s="69"/>
      <c r="F485" s="84"/>
      <c r="G485" s="83"/>
      <c r="H485" s="84"/>
      <c r="I485" s="84"/>
      <c r="J485" s="84"/>
      <c r="K485" s="84"/>
      <c r="L485" s="84"/>
      <c r="M485" s="83"/>
      <c r="N485" s="84"/>
      <c r="O485" s="84"/>
      <c r="P485" s="84"/>
      <c r="Q485" s="84"/>
      <c r="R485" s="84"/>
      <c r="S485" s="86"/>
      <c r="T485" s="84"/>
      <c r="U485" s="84"/>
      <c r="V485" s="86"/>
      <c r="W485" s="84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66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2"/>
      <c r="AY485" s="72"/>
    </row>
    <row r="486" spans="2:51" x14ac:dyDescent="0.25">
      <c r="B486" s="70"/>
      <c r="C486" s="67"/>
      <c r="D486" s="68"/>
      <c r="E486" s="69"/>
      <c r="F486" s="84"/>
      <c r="G486" s="83"/>
      <c r="H486" s="84"/>
      <c r="I486" s="84"/>
      <c r="J486" s="84"/>
      <c r="K486" s="84"/>
      <c r="L486" s="84"/>
      <c r="M486" s="83"/>
      <c r="N486" s="84"/>
      <c r="O486" s="84"/>
      <c r="P486" s="84"/>
      <c r="Q486" s="84"/>
      <c r="R486" s="84"/>
      <c r="S486" s="86"/>
      <c r="T486" s="84"/>
      <c r="U486" s="84"/>
      <c r="V486" s="86"/>
      <c r="W486" s="84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66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2"/>
      <c r="AY486" s="72"/>
    </row>
    <row r="487" spans="2:51" x14ac:dyDescent="0.25">
      <c r="B487" s="70"/>
      <c r="C487" s="67"/>
      <c r="D487" s="68"/>
      <c r="E487" s="69"/>
      <c r="F487" s="84"/>
      <c r="G487" s="83"/>
      <c r="H487" s="84"/>
      <c r="I487" s="84"/>
      <c r="J487" s="84"/>
      <c r="K487" s="84"/>
      <c r="L487" s="84"/>
      <c r="M487" s="83"/>
      <c r="N487" s="84"/>
      <c r="O487" s="84"/>
      <c r="P487" s="84"/>
      <c r="Q487" s="84"/>
      <c r="R487" s="84"/>
      <c r="S487" s="86"/>
      <c r="T487" s="84"/>
      <c r="U487" s="84"/>
      <c r="V487" s="86"/>
      <c r="W487" s="84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66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2"/>
      <c r="AY487" s="72"/>
    </row>
    <row r="488" spans="2:51" x14ac:dyDescent="0.25">
      <c r="B488" s="70"/>
      <c r="C488" s="67"/>
      <c r="D488" s="68"/>
      <c r="E488" s="69"/>
      <c r="F488" s="84"/>
      <c r="G488" s="83"/>
      <c r="H488" s="84"/>
      <c r="I488" s="84"/>
      <c r="J488" s="84"/>
      <c r="K488" s="84"/>
      <c r="L488" s="84"/>
      <c r="M488" s="83"/>
      <c r="N488" s="84"/>
      <c r="O488" s="84"/>
      <c r="P488" s="84"/>
      <c r="Q488" s="84"/>
      <c r="R488" s="84"/>
      <c r="S488" s="86"/>
      <c r="T488" s="84"/>
      <c r="U488" s="84"/>
      <c r="V488" s="86"/>
      <c r="W488" s="84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66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2"/>
      <c r="AY488" s="72"/>
    </row>
    <row r="489" spans="2:51" x14ac:dyDescent="0.25">
      <c r="B489" s="70"/>
      <c r="C489" s="67"/>
      <c r="D489" s="68"/>
      <c r="E489" s="69"/>
      <c r="F489" s="84"/>
      <c r="G489" s="83"/>
      <c r="H489" s="84"/>
      <c r="I489" s="84"/>
      <c r="J489" s="84"/>
      <c r="K489" s="84"/>
      <c r="L489" s="84"/>
      <c r="M489" s="83"/>
      <c r="N489" s="84"/>
      <c r="O489" s="84"/>
      <c r="P489" s="84"/>
      <c r="Q489" s="84"/>
      <c r="R489" s="84"/>
      <c r="S489" s="86"/>
      <c r="T489" s="84"/>
      <c r="U489" s="84"/>
      <c r="V489" s="86"/>
      <c r="W489" s="84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66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2"/>
      <c r="AY489" s="72"/>
    </row>
    <row r="490" spans="2:51" x14ac:dyDescent="0.25">
      <c r="B490" s="70"/>
      <c r="C490" s="67"/>
      <c r="D490" s="68"/>
      <c r="E490" s="69"/>
      <c r="F490" s="84"/>
      <c r="G490" s="83"/>
      <c r="H490" s="84"/>
      <c r="I490" s="84"/>
      <c r="J490" s="84"/>
      <c r="K490" s="84"/>
      <c r="L490" s="84"/>
      <c r="M490" s="83"/>
      <c r="N490" s="84"/>
      <c r="O490" s="84"/>
      <c r="P490" s="84"/>
      <c r="Q490" s="84"/>
      <c r="R490" s="84"/>
      <c r="S490" s="86"/>
      <c r="T490" s="84"/>
      <c r="U490" s="84"/>
      <c r="V490" s="86"/>
      <c r="W490" s="84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66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2"/>
      <c r="AY490" s="72"/>
    </row>
    <row r="491" spans="2:51" x14ac:dyDescent="0.25">
      <c r="B491" s="70"/>
      <c r="C491" s="67"/>
      <c r="D491" s="68"/>
      <c r="E491" s="69"/>
      <c r="F491" s="84"/>
      <c r="G491" s="83"/>
      <c r="H491" s="84"/>
      <c r="I491" s="84"/>
      <c r="J491" s="84"/>
      <c r="K491" s="84"/>
      <c r="L491" s="84"/>
      <c r="M491" s="83"/>
      <c r="N491" s="84"/>
      <c r="O491" s="84"/>
      <c r="P491" s="84"/>
      <c r="Q491" s="84"/>
      <c r="R491" s="84"/>
      <c r="S491" s="86"/>
      <c r="T491" s="84"/>
      <c r="U491" s="84"/>
      <c r="V491" s="86"/>
      <c r="W491" s="84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66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2"/>
      <c r="AY491" s="72"/>
    </row>
    <row r="492" spans="2:51" x14ac:dyDescent="0.25">
      <c r="B492" s="70"/>
      <c r="C492" s="67"/>
      <c r="D492" s="68"/>
      <c r="E492" s="69"/>
      <c r="F492" s="84"/>
      <c r="G492" s="83"/>
      <c r="H492" s="84"/>
      <c r="I492" s="84"/>
      <c r="J492" s="84"/>
      <c r="K492" s="84"/>
      <c r="L492" s="84"/>
      <c r="M492" s="83"/>
      <c r="N492" s="84"/>
      <c r="O492" s="84"/>
      <c r="P492" s="84"/>
      <c r="Q492" s="84"/>
      <c r="R492" s="84"/>
      <c r="S492" s="86"/>
      <c r="T492" s="84"/>
      <c r="U492" s="84"/>
      <c r="V492" s="86"/>
      <c r="W492" s="84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66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2"/>
      <c r="AY492" s="72"/>
    </row>
    <row r="493" spans="2:51" x14ac:dyDescent="0.25">
      <c r="B493" s="70"/>
      <c r="C493" s="67"/>
      <c r="D493" s="68"/>
      <c r="E493" s="69"/>
      <c r="F493" s="84"/>
      <c r="G493" s="83"/>
      <c r="H493" s="84"/>
      <c r="I493" s="84"/>
      <c r="J493" s="84"/>
      <c r="K493" s="84"/>
      <c r="L493" s="84"/>
      <c r="M493" s="83"/>
      <c r="N493" s="84"/>
      <c r="O493" s="84"/>
      <c r="P493" s="84"/>
      <c r="Q493" s="84"/>
      <c r="R493" s="84"/>
      <c r="S493" s="86"/>
      <c r="T493" s="84"/>
      <c r="U493" s="84"/>
      <c r="V493" s="86"/>
      <c r="W493" s="84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66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2"/>
      <c r="AY493" s="72"/>
    </row>
    <row r="494" spans="2:51" x14ac:dyDescent="0.25">
      <c r="B494" s="70"/>
      <c r="C494" s="67"/>
      <c r="D494" s="68"/>
      <c r="E494" s="69"/>
      <c r="F494" s="84"/>
      <c r="G494" s="83"/>
      <c r="H494" s="84"/>
      <c r="I494" s="84"/>
      <c r="J494" s="84"/>
      <c r="K494" s="84"/>
      <c r="L494" s="84"/>
      <c r="M494" s="83"/>
      <c r="N494" s="84"/>
      <c r="O494" s="84"/>
      <c r="P494" s="84"/>
      <c r="Q494" s="84"/>
      <c r="R494" s="84"/>
      <c r="S494" s="86"/>
      <c r="T494" s="84"/>
      <c r="U494" s="84"/>
      <c r="V494" s="86"/>
      <c r="W494" s="84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66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2"/>
      <c r="AY494" s="72"/>
    </row>
    <row r="495" spans="2:51" x14ac:dyDescent="0.25">
      <c r="B495" s="70"/>
      <c r="C495" s="67"/>
      <c r="D495" s="68"/>
      <c r="E495" s="69"/>
      <c r="F495" s="84"/>
      <c r="G495" s="83"/>
      <c r="H495" s="84"/>
      <c r="I495" s="84"/>
      <c r="J495" s="84"/>
      <c r="K495" s="84"/>
      <c r="L495" s="84"/>
      <c r="M495" s="83"/>
      <c r="N495" s="84"/>
      <c r="O495" s="84"/>
      <c r="P495" s="84"/>
      <c r="Q495" s="84"/>
      <c r="R495" s="84"/>
      <c r="S495" s="86"/>
      <c r="T495" s="84"/>
      <c r="U495" s="84"/>
      <c r="V495" s="86"/>
      <c r="W495" s="84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66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2"/>
      <c r="AY495" s="72"/>
    </row>
    <row r="496" spans="2:51" x14ac:dyDescent="0.25">
      <c r="B496" s="70"/>
      <c r="C496" s="67"/>
      <c r="D496" s="68"/>
      <c r="E496" s="69"/>
      <c r="F496" s="84"/>
      <c r="G496" s="83"/>
      <c r="H496" s="84"/>
      <c r="I496" s="84"/>
      <c r="J496" s="84"/>
      <c r="K496" s="84"/>
      <c r="L496" s="84"/>
      <c r="M496" s="83"/>
      <c r="N496" s="84"/>
      <c r="O496" s="84"/>
      <c r="P496" s="84"/>
      <c r="Q496" s="84"/>
      <c r="R496" s="84"/>
      <c r="S496" s="86"/>
      <c r="T496" s="84"/>
      <c r="U496" s="84"/>
      <c r="V496" s="86"/>
      <c r="W496" s="84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66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2"/>
      <c r="AY496" s="72"/>
    </row>
    <row r="497" spans="2:51" x14ac:dyDescent="0.25">
      <c r="B497" s="70"/>
      <c r="C497" s="67"/>
      <c r="D497" s="68"/>
      <c r="E497" s="69"/>
      <c r="F497" s="84"/>
      <c r="G497" s="83"/>
      <c r="H497" s="84"/>
      <c r="I497" s="84"/>
      <c r="J497" s="84"/>
      <c r="K497" s="84"/>
      <c r="L497" s="84"/>
      <c r="M497" s="83"/>
      <c r="N497" s="84"/>
      <c r="O497" s="84"/>
      <c r="P497" s="84"/>
      <c r="Q497" s="84"/>
      <c r="R497" s="84"/>
      <c r="S497" s="86"/>
      <c r="T497" s="84"/>
      <c r="U497" s="84"/>
      <c r="V497" s="86"/>
      <c r="W497" s="84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66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2"/>
      <c r="AY497" s="72"/>
    </row>
    <row r="498" spans="2:51" x14ac:dyDescent="0.25">
      <c r="B498" s="70"/>
      <c r="C498" s="67"/>
      <c r="D498" s="68"/>
      <c r="E498" s="69"/>
      <c r="F498" s="84"/>
      <c r="G498" s="83"/>
      <c r="H498" s="84"/>
      <c r="I498" s="84"/>
      <c r="J498" s="84"/>
      <c r="K498" s="84"/>
      <c r="L498" s="84"/>
      <c r="M498" s="83"/>
      <c r="N498" s="84"/>
      <c r="O498" s="84"/>
      <c r="P498" s="84"/>
      <c r="Q498" s="84"/>
      <c r="R498" s="84"/>
      <c r="S498" s="86"/>
      <c r="T498" s="84"/>
      <c r="U498" s="84"/>
      <c r="V498" s="86"/>
      <c r="W498" s="84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66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2"/>
      <c r="AY498" s="72"/>
    </row>
    <row r="499" spans="2:51" x14ac:dyDescent="0.25">
      <c r="B499" s="70"/>
      <c r="C499" s="67"/>
      <c r="D499" s="68"/>
      <c r="E499" s="69"/>
      <c r="F499" s="84"/>
      <c r="G499" s="83"/>
      <c r="H499" s="84"/>
      <c r="I499" s="84"/>
      <c r="J499" s="84"/>
      <c r="K499" s="84"/>
      <c r="L499" s="84"/>
      <c r="M499" s="83"/>
      <c r="N499" s="84"/>
      <c r="O499" s="84"/>
      <c r="P499" s="84"/>
      <c r="Q499" s="84"/>
      <c r="R499" s="84"/>
      <c r="S499" s="86"/>
      <c r="T499" s="84"/>
      <c r="U499" s="84"/>
      <c r="V499" s="86"/>
      <c r="W499" s="84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66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2"/>
      <c r="AY499" s="72"/>
    </row>
    <row r="500" spans="2:51" x14ac:dyDescent="0.25">
      <c r="B500" s="70"/>
      <c r="C500" s="67"/>
      <c r="D500" s="68"/>
      <c r="E500" s="69"/>
      <c r="F500" s="84"/>
      <c r="G500" s="83"/>
      <c r="H500" s="84"/>
      <c r="I500" s="84"/>
      <c r="J500" s="84"/>
      <c r="K500" s="84"/>
      <c r="L500" s="84"/>
      <c r="M500" s="83"/>
      <c r="N500" s="84"/>
      <c r="O500" s="84"/>
      <c r="P500" s="84"/>
      <c r="Q500" s="84"/>
      <c r="R500" s="84"/>
      <c r="S500" s="86"/>
      <c r="T500" s="84"/>
      <c r="U500" s="84"/>
      <c r="V500" s="86"/>
      <c r="W500" s="84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66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2"/>
      <c r="AY500" s="72"/>
    </row>
    <row r="501" spans="2:51" x14ac:dyDescent="0.25">
      <c r="B501" s="70"/>
      <c r="C501" s="67"/>
      <c r="D501" s="68"/>
      <c r="E501" s="69"/>
      <c r="F501" s="84"/>
      <c r="G501" s="83"/>
      <c r="H501" s="84"/>
      <c r="I501" s="84"/>
      <c r="J501" s="84"/>
      <c r="K501" s="84"/>
      <c r="L501" s="84"/>
      <c r="M501" s="83"/>
      <c r="N501" s="84"/>
      <c r="O501" s="84"/>
      <c r="P501" s="84"/>
      <c r="Q501" s="84"/>
      <c r="R501" s="84"/>
      <c r="S501" s="86"/>
      <c r="T501" s="84"/>
      <c r="U501" s="84"/>
      <c r="V501" s="86"/>
      <c r="W501" s="84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66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2"/>
      <c r="AY501" s="72"/>
    </row>
    <row r="502" spans="2:51" x14ac:dyDescent="0.25">
      <c r="B502" s="70"/>
      <c r="C502" s="67"/>
      <c r="D502" s="68"/>
      <c r="E502" s="69"/>
      <c r="F502" s="84"/>
      <c r="G502" s="83"/>
      <c r="H502" s="84"/>
      <c r="I502" s="84"/>
      <c r="J502" s="84"/>
      <c r="K502" s="84"/>
      <c r="L502" s="84"/>
      <c r="M502" s="83"/>
      <c r="N502" s="84"/>
      <c r="O502" s="84"/>
      <c r="P502" s="84"/>
      <c r="Q502" s="84"/>
      <c r="R502" s="84"/>
      <c r="S502" s="86"/>
      <c r="T502" s="84"/>
      <c r="U502" s="84"/>
      <c r="V502" s="86"/>
      <c r="W502" s="84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66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2"/>
      <c r="AY502" s="72"/>
    </row>
    <row r="503" spans="2:51" x14ac:dyDescent="0.25">
      <c r="B503" s="70"/>
      <c r="C503" s="67"/>
      <c r="D503" s="68"/>
      <c r="E503" s="69"/>
      <c r="F503" s="84"/>
      <c r="G503" s="83"/>
      <c r="H503" s="84"/>
      <c r="I503" s="84"/>
      <c r="J503" s="84"/>
      <c r="K503" s="84"/>
      <c r="L503" s="84"/>
      <c r="M503" s="83"/>
      <c r="N503" s="84"/>
      <c r="O503" s="84"/>
      <c r="P503" s="84"/>
      <c r="Q503" s="84"/>
      <c r="R503" s="84"/>
      <c r="S503" s="86"/>
      <c r="T503" s="84"/>
      <c r="U503" s="84"/>
      <c r="V503" s="86"/>
      <c r="W503" s="84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66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2"/>
      <c r="AY503" s="72"/>
    </row>
    <row r="504" spans="2:51" x14ac:dyDescent="0.25">
      <c r="B504" s="70"/>
      <c r="C504" s="67"/>
      <c r="D504" s="68"/>
      <c r="E504" s="69"/>
      <c r="F504" s="84"/>
      <c r="G504" s="83"/>
      <c r="H504" s="84"/>
      <c r="I504" s="84"/>
      <c r="J504" s="84"/>
      <c r="K504" s="84"/>
      <c r="L504" s="84"/>
      <c r="M504" s="83"/>
      <c r="N504" s="84"/>
      <c r="O504" s="84"/>
      <c r="P504" s="84"/>
      <c r="Q504" s="84"/>
      <c r="R504" s="84"/>
      <c r="S504" s="86"/>
      <c r="T504" s="84"/>
      <c r="U504" s="84"/>
      <c r="V504" s="86"/>
      <c r="W504" s="84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66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2"/>
      <c r="AY504" s="72"/>
    </row>
    <row r="505" spans="2:51" x14ac:dyDescent="0.25">
      <c r="B505" s="70"/>
      <c r="C505" s="67"/>
      <c r="D505" s="68"/>
      <c r="E505" s="69"/>
      <c r="F505" s="84"/>
      <c r="G505" s="83"/>
      <c r="H505" s="84"/>
      <c r="I505" s="84"/>
      <c r="J505" s="84"/>
      <c r="K505" s="84"/>
      <c r="L505" s="84"/>
      <c r="M505" s="83"/>
      <c r="N505" s="84"/>
      <c r="O505" s="84"/>
      <c r="P505" s="84"/>
      <c r="Q505" s="84"/>
      <c r="R505" s="84"/>
      <c r="S505" s="86"/>
      <c r="T505" s="84"/>
      <c r="U505" s="84"/>
      <c r="V505" s="86"/>
      <c r="W505" s="84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66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2"/>
      <c r="AY505" s="72"/>
    </row>
    <row r="506" spans="2:51" x14ac:dyDescent="0.25">
      <c r="B506" s="70"/>
      <c r="C506" s="67"/>
      <c r="D506" s="68"/>
      <c r="E506" s="69"/>
      <c r="F506" s="84"/>
      <c r="G506" s="83"/>
      <c r="H506" s="84"/>
      <c r="I506" s="84"/>
      <c r="J506" s="84"/>
      <c r="K506" s="84"/>
      <c r="L506" s="84"/>
      <c r="M506" s="83"/>
      <c r="N506" s="84"/>
      <c r="O506" s="84"/>
      <c r="P506" s="84"/>
      <c r="Q506" s="84"/>
      <c r="R506" s="84"/>
      <c r="S506" s="86"/>
      <c r="T506" s="84"/>
      <c r="U506" s="84"/>
      <c r="V506" s="86"/>
      <c r="W506" s="84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66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2"/>
      <c r="AY506" s="72"/>
    </row>
    <row r="507" spans="2:51" x14ac:dyDescent="0.25">
      <c r="B507" s="70"/>
      <c r="C507" s="67"/>
      <c r="D507" s="68"/>
      <c r="E507" s="69"/>
      <c r="F507" s="84"/>
      <c r="G507" s="83"/>
      <c r="H507" s="84"/>
      <c r="I507" s="84"/>
      <c r="J507" s="84"/>
      <c r="K507" s="84"/>
      <c r="L507" s="84"/>
      <c r="M507" s="83"/>
      <c r="N507" s="84"/>
      <c r="O507" s="84"/>
      <c r="P507" s="84"/>
      <c r="Q507" s="84"/>
      <c r="R507" s="84"/>
      <c r="S507" s="86"/>
      <c r="T507" s="84"/>
      <c r="U507" s="84"/>
      <c r="V507" s="86"/>
      <c r="W507" s="84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66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2"/>
      <c r="AY507" s="72"/>
    </row>
    <row r="508" spans="2:51" x14ac:dyDescent="0.25">
      <c r="B508" s="70"/>
      <c r="C508" s="67"/>
      <c r="D508" s="68"/>
      <c r="E508" s="69"/>
      <c r="F508" s="84"/>
      <c r="G508" s="83"/>
      <c r="H508" s="84"/>
      <c r="I508" s="84"/>
      <c r="J508" s="84"/>
      <c r="K508" s="84"/>
      <c r="L508" s="84"/>
      <c r="M508" s="83"/>
      <c r="N508" s="84"/>
      <c r="O508" s="84"/>
      <c r="P508" s="84"/>
      <c r="Q508" s="84"/>
      <c r="R508" s="84"/>
      <c r="S508" s="86"/>
      <c r="T508" s="84"/>
      <c r="U508" s="84"/>
      <c r="V508" s="86"/>
      <c r="W508" s="84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66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2"/>
      <c r="AY508" s="72"/>
    </row>
    <row r="509" spans="2:51" x14ac:dyDescent="0.25">
      <c r="B509" s="70"/>
      <c r="C509" s="67"/>
      <c r="D509" s="68"/>
      <c r="E509" s="69"/>
      <c r="F509" s="84"/>
      <c r="G509" s="83"/>
      <c r="H509" s="84"/>
      <c r="I509" s="84"/>
      <c r="J509" s="84"/>
      <c r="K509" s="84"/>
      <c r="L509" s="84"/>
      <c r="M509" s="83"/>
      <c r="N509" s="84"/>
      <c r="O509" s="84"/>
      <c r="P509" s="84"/>
      <c r="Q509" s="84"/>
      <c r="R509" s="84"/>
      <c r="S509" s="86"/>
      <c r="T509" s="84"/>
      <c r="U509" s="84"/>
      <c r="V509" s="86"/>
      <c r="W509" s="84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66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2"/>
      <c r="AY509" s="72"/>
    </row>
    <row r="510" spans="2:51" x14ac:dyDescent="0.25">
      <c r="B510" s="70"/>
      <c r="C510" s="67"/>
      <c r="D510" s="68"/>
      <c r="E510" s="69"/>
      <c r="F510" s="84"/>
      <c r="G510" s="83"/>
      <c r="H510" s="84"/>
      <c r="I510" s="84"/>
      <c r="J510" s="84"/>
      <c r="K510" s="84"/>
      <c r="L510" s="84"/>
      <c r="M510" s="83"/>
      <c r="N510" s="84"/>
      <c r="O510" s="84"/>
      <c r="P510" s="84"/>
      <c r="Q510" s="84"/>
      <c r="R510" s="84"/>
      <c r="S510" s="86"/>
      <c r="T510" s="84"/>
      <c r="U510" s="84"/>
      <c r="V510" s="86"/>
      <c r="W510" s="84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66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2"/>
      <c r="AY510" s="72"/>
    </row>
    <row r="511" spans="2:51" x14ac:dyDescent="0.25">
      <c r="B511" s="70"/>
      <c r="C511" s="67"/>
      <c r="D511" s="68"/>
      <c r="E511" s="69"/>
      <c r="F511" s="84"/>
      <c r="G511" s="83"/>
      <c r="H511" s="84"/>
      <c r="I511" s="84"/>
      <c r="J511" s="84"/>
      <c r="K511" s="84"/>
      <c r="L511" s="84"/>
      <c r="M511" s="83"/>
      <c r="N511" s="84"/>
      <c r="O511" s="84"/>
      <c r="P511" s="84"/>
      <c r="Q511" s="84"/>
      <c r="R511" s="84"/>
      <c r="S511" s="86"/>
      <c r="T511" s="84"/>
      <c r="U511" s="84"/>
      <c r="V511" s="86"/>
      <c r="W511" s="84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66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2"/>
      <c r="AY511" s="72"/>
    </row>
    <row r="512" spans="2:51" x14ac:dyDescent="0.25">
      <c r="B512" s="70"/>
      <c r="C512" s="67"/>
      <c r="D512" s="68"/>
      <c r="E512" s="69"/>
      <c r="F512" s="84"/>
      <c r="G512" s="83"/>
      <c r="H512" s="84"/>
      <c r="I512" s="84"/>
      <c r="J512" s="84"/>
      <c r="K512" s="84"/>
      <c r="L512" s="84"/>
      <c r="M512" s="83"/>
      <c r="N512" s="84"/>
      <c r="O512" s="84"/>
      <c r="P512" s="84"/>
      <c r="Q512" s="84"/>
      <c r="R512" s="84"/>
      <c r="S512" s="86"/>
      <c r="T512" s="84"/>
      <c r="U512" s="84"/>
      <c r="V512" s="86"/>
      <c r="W512" s="84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66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2"/>
      <c r="AY512" s="72"/>
    </row>
    <row r="513" spans="2:51" x14ac:dyDescent="0.25">
      <c r="B513" s="70"/>
      <c r="C513" s="67"/>
      <c r="D513" s="68"/>
      <c r="E513" s="69"/>
      <c r="F513" s="84"/>
      <c r="G513" s="83"/>
      <c r="H513" s="84"/>
      <c r="I513" s="84"/>
      <c r="J513" s="84"/>
      <c r="K513" s="84"/>
      <c r="L513" s="84"/>
      <c r="M513" s="83"/>
      <c r="N513" s="84"/>
      <c r="O513" s="84"/>
      <c r="P513" s="84"/>
      <c r="Q513" s="84"/>
      <c r="R513" s="84"/>
      <c r="S513" s="86"/>
      <c r="T513" s="84"/>
      <c r="U513" s="84"/>
      <c r="V513" s="86"/>
      <c r="W513" s="84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66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2"/>
      <c r="AY513" s="72"/>
    </row>
    <row r="514" spans="2:51" x14ac:dyDescent="0.25">
      <c r="B514" s="70"/>
      <c r="C514" s="67"/>
      <c r="D514" s="68"/>
      <c r="E514" s="69"/>
      <c r="F514" s="84"/>
      <c r="G514" s="83"/>
      <c r="H514" s="84"/>
      <c r="I514" s="84"/>
      <c r="J514" s="84"/>
      <c r="K514" s="84"/>
      <c r="L514" s="84"/>
      <c r="M514" s="83"/>
      <c r="N514" s="84"/>
      <c r="O514" s="84"/>
      <c r="P514" s="84"/>
      <c r="Q514" s="84"/>
      <c r="R514" s="84"/>
      <c r="S514" s="86"/>
      <c r="T514" s="84"/>
      <c r="U514" s="84"/>
      <c r="V514" s="86"/>
      <c r="W514" s="84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66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2"/>
      <c r="AY514" s="72"/>
    </row>
    <row r="515" spans="2:51" x14ac:dyDescent="0.25">
      <c r="B515" s="70"/>
      <c r="C515" s="67"/>
      <c r="D515" s="68"/>
      <c r="E515" s="69"/>
      <c r="F515" s="84"/>
      <c r="G515" s="83"/>
      <c r="H515" s="84"/>
      <c r="I515" s="84"/>
      <c r="J515" s="84"/>
      <c r="K515" s="84"/>
      <c r="L515" s="84"/>
      <c r="M515" s="83"/>
      <c r="N515" s="84"/>
      <c r="O515" s="84"/>
      <c r="P515" s="84"/>
      <c r="Q515" s="84"/>
      <c r="R515" s="84"/>
      <c r="S515" s="86"/>
      <c r="T515" s="84"/>
      <c r="U515" s="84"/>
      <c r="V515" s="86"/>
      <c r="W515" s="84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66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2"/>
      <c r="AY515" s="72"/>
    </row>
    <row r="516" spans="2:51" x14ac:dyDescent="0.25">
      <c r="B516" s="70"/>
      <c r="C516" s="67"/>
      <c r="D516" s="68"/>
      <c r="E516" s="69"/>
      <c r="F516" s="84"/>
      <c r="G516" s="83"/>
      <c r="H516" s="84"/>
      <c r="I516" s="84"/>
      <c r="J516" s="84"/>
      <c r="K516" s="84"/>
      <c r="L516" s="84"/>
      <c r="M516" s="83"/>
      <c r="N516" s="84"/>
      <c r="O516" s="84"/>
      <c r="P516" s="84"/>
      <c r="Q516" s="84"/>
      <c r="R516" s="84"/>
      <c r="S516" s="86"/>
      <c r="T516" s="84"/>
      <c r="U516" s="84"/>
      <c r="V516" s="86"/>
      <c r="W516" s="84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66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2"/>
      <c r="AY516" s="72"/>
    </row>
    <row r="517" spans="2:51" x14ac:dyDescent="0.25">
      <c r="B517" s="70"/>
      <c r="C517" s="67"/>
      <c r="D517" s="68"/>
      <c r="E517" s="69"/>
      <c r="F517" s="84"/>
      <c r="G517" s="83"/>
      <c r="H517" s="84"/>
      <c r="I517" s="84"/>
      <c r="J517" s="84"/>
      <c r="K517" s="84"/>
      <c r="L517" s="84"/>
      <c r="M517" s="83"/>
      <c r="N517" s="84"/>
      <c r="O517" s="84"/>
      <c r="P517" s="84"/>
      <c r="Q517" s="84"/>
      <c r="R517" s="84"/>
      <c r="S517" s="86"/>
      <c r="T517" s="84"/>
      <c r="U517" s="84"/>
      <c r="V517" s="86"/>
      <c r="W517" s="84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66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2"/>
      <c r="AY517" s="72"/>
    </row>
    <row r="518" spans="2:51" x14ac:dyDescent="0.25">
      <c r="B518" s="70"/>
      <c r="C518" s="67"/>
      <c r="D518" s="68"/>
      <c r="E518" s="69"/>
      <c r="F518" s="84"/>
      <c r="G518" s="83"/>
      <c r="H518" s="84"/>
      <c r="I518" s="84"/>
      <c r="J518" s="84"/>
      <c r="K518" s="84"/>
      <c r="L518" s="84"/>
      <c r="M518" s="83"/>
      <c r="N518" s="84"/>
      <c r="O518" s="84"/>
      <c r="P518" s="84"/>
      <c r="Q518" s="84"/>
      <c r="R518" s="84"/>
      <c r="S518" s="86"/>
      <c r="T518" s="84"/>
      <c r="U518" s="84"/>
      <c r="V518" s="86"/>
      <c r="W518" s="84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66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2"/>
      <c r="AY518" s="72"/>
    </row>
    <row r="519" spans="2:51" x14ac:dyDescent="0.25">
      <c r="B519" s="70"/>
      <c r="C519" s="67"/>
      <c r="D519" s="68"/>
      <c r="E519" s="69"/>
      <c r="F519" s="84"/>
      <c r="G519" s="83"/>
      <c r="H519" s="84"/>
      <c r="I519" s="84"/>
      <c r="J519" s="84"/>
      <c r="K519" s="84"/>
      <c r="L519" s="84"/>
      <c r="M519" s="83"/>
      <c r="N519" s="84"/>
      <c r="O519" s="84"/>
      <c r="P519" s="84"/>
      <c r="Q519" s="84"/>
      <c r="R519" s="84"/>
      <c r="S519" s="86"/>
      <c r="T519" s="84"/>
      <c r="U519" s="84"/>
      <c r="V519" s="86"/>
      <c r="W519" s="84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66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2"/>
      <c r="AY519" s="72"/>
    </row>
    <row r="520" spans="2:51" x14ac:dyDescent="0.25">
      <c r="B520" s="70"/>
      <c r="C520" s="67"/>
      <c r="D520" s="68"/>
      <c r="E520" s="69"/>
      <c r="F520" s="84"/>
      <c r="G520" s="83"/>
      <c r="H520" s="84"/>
      <c r="I520" s="84"/>
      <c r="J520" s="84"/>
      <c r="K520" s="84"/>
      <c r="L520" s="84"/>
      <c r="M520" s="83"/>
      <c r="N520" s="84"/>
      <c r="O520" s="84"/>
      <c r="P520" s="84"/>
      <c r="Q520" s="84"/>
      <c r="R520" s="84"/>
      <c r="S520" s="86"/>
      <c r="T520" s="84"/>
      <c r="U520" s="84"/>
      <c r="V520" s="86"/>
      <c r="W520" s="84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66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2"/>
      <c r="AY520" s="72"/>
    </row>
    <row r="521" spans="2:51" x14ac:dyDescent="0.25">
      <c r="B521" s="70"/>
      <c r="C521" s="67"/>
      <c r="D521" s="68"/>
      <c r="E521" s="69"/>
      <c r="F521" s="84"/>
      <c r="G521" s="83"/>
      <c r="H521" s="84"/>
      <c r="I521" s="84"/>
      <c r="J521" s="84"/>
      <c r="K521" s="84"/>
      <c r="L521" s="84"/>
      <c r="M521" s="83"/>
      <c r="N521" s="84"/>
      <c r="O521" s="84"/>
      <c r="P521" s="84"/>
      <c r="Q521" s="84"/>
      <c r="R521" s="84"/>
      <c r="S521" s="86"/>
      <c r="T521" s="84"/>
      <c r="U521" s="84"/>
      <c r="V521" s="86"/>
      <c r="W521" s="84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66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2"/>
      <c r="AY521" s="72"/>
    </row>
    <row r="522" spans="2:51" x14ac:dyDescent="0.25">
      <c r="B522" s="70"/>
      <c r="C522" s="67"/>
      <c r="D522" s="68"/>
      <c r="E522" s="69"/>
      <c r="F522" s="84"/>
      <c r="G522" s="83"/>
      <c r="H522" s="84"/>
      <c r="I522" s="84"/>
      <c r="J522" s="84"/>
      <c r="K522" s="84"/>
      <c r="L522" s="84"/>
      <c r="M522" s="83"/>
      <c r="N522" s="84"/>
      <c r="O522" s="84"/>
      <c r="P522" s="84"/>
      <c r="Q522" s="84"/>
      <c r="R522" s="84"/>
      <c r="S522" s="86"/>
      <c r="T522" s="84"/>
      <c r="U522" s="84"/>
      <c r="V522" s="86"/>
      <c r="W522" s="84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66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2"/>
      <c r="AY522" s="72"/>
    </row>
    <row r="523" spans="2:51" x14ac:dyDescent="0.25">
      <c r="B523" s="70"/>
      <c r="C523" s="67"/>
      <c r="D523" s="68"/>
      <c r="E523" s="69"/>
      <c r="F523" s="84"/>
      <c r="G523" s="83"/>
      <c r="H523" s="84"/>
      <c r="I523" s="84"/>
      <c r="J523" s="84"/>
      <c r="K523" s="84"/>
      <c r="L523" s="84"/>
      <c r="M523" s="83"/>
      <c r="N523" s="84"/>
      <c r="O523" s="84"/>
      <c r="P523" s="84"/>
      <c r="Q523" s="84"/>
      <c r="R523" s="84"/>
      <c r="S523" s="86"/>
      <c r="T523" s="84"/>
      <c r="U523" s="84"/>
      <c r="V523" s="86"/>
      <c r="W523" s="84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66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2"/>
      <c r="AY523" s="72"/>
    </row>
    <row r="524" spans="2:51" x14ac:dyDescent="0.25">
      <c r="B524" s="70"/>
      <c r="C524" s="67"/>
      <c r="D524" s="68"/>
      <c r="E524" s="69"/>
      <c r="F524" s="84"/>
      <c r="G524" s="83"/>
      <c r="H524" s="84"/>
      <c r="I524" s="84"/>
      <c r="J524" s="84"/>
      <c r="K524" s="84"/>
      <c r="L524" s="84"/>
      <c r="M524" s="83"/>
      <c r="N524" s="84"/>
      <c r="O524" s="84"/>
      <c r="P524" s="84"/>
      <c r="Q524" s="84"/>
      <c r="R524" s="84"/>
      <c r="S524" s="86"/>
      <c r="T524" s="84"/>
      <c r="U524" s="84"/>
      <c r="V524" s="86"/>
      <c r="W524" s="84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66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2"/>
      <c r="AY524" s="72"/>
    </row>
    <row r="525" spans="2:51" x14ac:dyDescent="0.25">
      <c r="B525" s="70"/>
      <c r="C525" s="67"/>
      <c r="D525" s="68"/>
      <c r="E525" s="69"/>
      <c r="F525" s="84"/>
      <c r="G525" s="83"/>
      <c r="H525" s="84"/>
      <c r="I525" s="84"/>
      <c r="J525" s="84"/>
      <c r="K525" s="84"/>
      <c r="L525" s="84"/>
      <c r="M525" s="83"/>
      <c r="N525" s="84"/>
      <c r="O525" s="84"/>
      <c r="P525" s="84"/>
      <c r="Q525" s="84"/>
      <c r="R525" s="84"/>
      <c r="S525" s="86"/>
      <c r="T525" s="84"/>
      <c r="U525" s="84"/>
      <c r="V525" s="86"/>
      <c r="W525" s="84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66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2"/>
      <c r="AY525" s="72"/>
    </row>
    <row r="526" spans="2:51" x14ac:dyDescent="0.25">
      <c r="B526" s="70"/>
      <c r="C526" s="67"/>
      <c r="D526" s="68"/>
      <c r="E526" s="69"/>
      <c r="F526" s="84"/>
      <c r="G526" s="83"/>
      <c r="H526" s="84"/>
      <c r="I526" s="84"/>
      <c r="J526" s="84"/>
      <c r="K526" s="84"/>
      <c r="L526" s="84"/>
      <c r="M526" s="83"/>
      <c r="N526" s="84"/>
      <c r="O526" s="84"/>
      <c r="P526" s="84"/>
      <c r="Q526" s="84"/>
      <c r="R526" s="84"/>
      <c r="S526" s="86"/>
      <c r="T526" s="84"/>
      <c r="U526" s="84"/>
      <c r="V526" s="86"/>
      <c r="W526" s="84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66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2"/>
      <c r="AY526" s="72"/>
    </row>
    <row r="527" spans="2:51" x14ac:dyDescent="0.25">
      <c r="B527" s="70"/>
      <c r="C527" s="67"/>
      <c r="D527" s="68"/>
      <c r="E527" s="69"/>
      <c r="F527" s="84"/>
      <c r="G527" s="83"/>
      <c r="H527" s="84"/>
      <c r="I527" s="84"/>
      <c r="J527" s="84"/>
      <c r="K527" s="84"/>
      <c r="L527" s="84"/>
      <c r="M527" s="83"/>
      <c r="N527" s="84"/>
      <c r="O527" s="84"/>
      <c r="P527" s="84"/>
      <c r="Q527" s="84"/>
      <c r="R527" s="84"/>
      <c r="S527" s="86"/>
      <c r="T527" s="84"/>
      <c r="U527" s="84"/>
      <c r="V527" s="86"/>
      <c r="W527" s="84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66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2"/>
      <c r="AY527" s="72"/>
    </row>
    <row r="528" spans="2:51" x14ac:dyDescent="0.25">
      <c r="B528" s="70"/>
      <c r="C528" s="67"/>
      <c r="D528" s="68"/>
      <c r="E528" s="69"/>
      <c r="F528" s="84"/>
      <c r="G528" s="83"/>
      <c r="H528" s="84"/>
      <c r="I528" s="84"/>
      <c r="J528" s="84"/>
      <c r="K528" s="84"/>
      <c r="L528" s="84"/>
      <c r="M528" s="83"/>
      <c r="N528" s="84"/>
      <c r="O528" s="84"/>
      <c r="P528" s="84"/>
      <c r="Q528" s="84"/>
      <c r="R528" s="84"/>
      <c r="S528" s="86"/>
      <c r="T528" s="84"/>
      <c r="U528" s="84"/>
      <c r="V528" s="86"/>
      <c r="W528" s="84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66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2"/>
      <c r="AY528" s="72"/>
    </row>
    <row r="529" spans="2:51" x14ac:dyDescent="0.25">
      <c r="B529" s="70"/>
      <c r="C529" s="67"/>
      <c r="D529" s="68"/>
      <c r="E529" s="69"/>
      <c r="F529" s="84"/>
      <c r="G529" s="83"/>
      <c r="H529" s="84"/>
      <c r="I529" s="84"/>
      <c r="J529" s="84"/>
      <c r="K529" s="84"/>
      <c r="L529" s="84"/>
      <c r="M529" s="83"/>
      <c r="N529" s="84"/>
      <c r="O529" s="84"/>
      <c r="P529" s="84"/>
      <c r="Q529" s="84"/>
      <c r="R529" s="84"/>
      <c r="S529" s="86"/>
      <c r="T529" s="84"/>
      <c r="U529" s="84"/>
      <c r="V529" s="86"/>
      <c r="W529" s="84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66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2"/>
      <c r="AY529" s="72"/>
    </row>
    <row r="530" spans="2:51" x14ac:dyDescent="0.25">
      <c r="B530" s="70"/>
      <c r="C530" s="67"/>
      <c r="D530" s="68"/>
      <c r="E530" s="69"/>
      <c r="F530" s="84"/>
      <c r="G530" s="83"/>
      <c r="H530" s="84"/>
      <c r="I530" s="84"/>
      <c r="J530" s="84"/>
      <c r="K530" s="84"/>
      <c r="L530" s="84"/>
      <c r="M530" s="83"/>
      <c r="N530" s="84"/>
      <c r="O530" s="84"/>
      <c r="P530" s="84"/>
      <c r="Q530" s="84"/>
      <c r="R530" s="84"/>
      <c r="S530" s="86"/>
      <c r="T530" s="84"/>
      <c r="U530" s="84"/>
      <c r="V530" s="86"/>
      <c r="W530" s="84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66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2"/>
      <c r="AY530" s="72"/>
    </row>
    <row r="531" spans="2:51" x14ac:dyDescent="0.25">
      <c r="B531" s="70"/>
      <c r="C531" s="67"/>
      <c r="D531" s="68"/>
      <c r="E531" s="69"/>
      <c r="F531" s="84"/>
      <c r="G531" s="83"/>
      <c r="H531" s="84"/>
      <c r="I531" s="84"/>
      <c r="J531" s="84"/>
      <c r="K531" s="84"/>
      <c r="L531" s="84"/>
      <c r="M531" s="83"/>
      <c r="N531" s="84"/>
      <c r="O531" s="84"/>
      <c r="P531" s="84"/>
      <c r="Q531" s="84"/>
      <c r="R531" s="84"/>
      <c r="S531" s="86"/>
      <c r="T531" s="84"/>
      <c r="U531" s="84"/>
      <c r="V531" s="86"/>
      <c r="W531" s="84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66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2"/>
      <c r="AY531" s="72"/>
    </row>
    <row r="532" spans="2:51" x14ac:dyDescent="0.25">
      <c r="B532" s="70"/>
      <c r="C532" s="67"/>
      <c r="D532" s="68"/>
      <c r="E532" s="69"/>
      <c r="F532" s="84"/>
      <c r="G532" s="83"/>
      <c r="H532" s="84"/>
      <c r="I532" s="84"/>
      <c r="J532" s="84"/>
      <c r="K532" s="84"/>
      <c r="L532" s="84"/>
      <c r="M532" s="83"/>
      <c r="N532" s="84"/>
      <c r="O532" s="84"/>
      <c r="P532" s="84"/>
      <c r="Q532" s="84"/>
      <c r="R532" s="84"/>
      <c r="S532" s="86"/>
      <c r="T532" s="84"/>
      <c r="U532" s="84"/>
      <c r="V532" s="86"/>
      <c r="W532" s="84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66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2"/>
      <c r="AY532" s="72"/>
    </row>
    <row r="533" spans="2:51" x14ac:dyDescent="0.25">
      <c r="B533" s="70"/>
      <c r="C533" s="67"/>
      <c r="D533" s="68"/>
      <c r="E533" s="69"/>
      <c r="F533" s="84"/>
      <c r="G533" s="83"/>
      <c r="H533" s="84"/>
      <c r="I533" s="84"/>
      <c r="J533" s="84"/>
      <c r="K533" s="84"/>
      <c r="L533" s="84"/>
      <c r="M533" s="83"/>
      <c r="N533" s="84"/>
      <c r="O533" s="84"/>
      <c r="P533" s="84"/>
      <c r="Q533" s="84"/>
      <c r="R533" s="84"/>
      <c r="S533" s="86"/>
      <c r="T533" s="84"/>
      <c r="U533" s="84"/>
      <c r="V533" s="86"/>
      <c r="W533" s="84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66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2"/>
      <c r="AY533" s="72"/>
    </row>
    <row r="534" spans="2:51" x14ac:dyDescent="0.25">
      <c r="B534" s="70"/>
      <c r="C534" s="67"/>
      <c r="D534" s="68"/>
      <c r="E534" s="69"/>
      <c r="F534" s="84"/>
      <c r="G534" s="83"/>
      <c r="H534" s="84"/>
      <c r="I534" s="84"/>
      <c r="J534" s="84"/>
      <c r="K534" s="84"/>
      <c r="L534" s="84"/>
      <c r="M534" s="83"/>
      <c r="N534" s="84"/>
      <c r="O534" s="84"/>
      <c r="P534" s="84"/>
      <c r="Q534" s="84"/>
      <c r="R534" s="84"/>
      <c r="S534" s="86"/>
      <c r="T534" s="84"/>
      <c r="U534" s="84"/>
      <c r="V534" s="86"/>
      <c r="W534" s="84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66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2"/>
      <c r="AY534" s="72"/>
    </row>
    <row r="535" spans="2:51" x14ac:dyDescent="0.25">
      <c r="B535" s="70"/>
      <c r="C535" s="67"/>
      <c r="D535" s="68"/>
      <c r="E535" s="69"/>
      <c r="F535" s="84"/>
      <c r="G535" s="83"/>
      <c r="H535" s="84"/>
      <c r="I535" s="84"/>
      <c r="J535" s="84"/>
      <c r="K535" s="84"/>
      <c r="L535" s="84"/>
      <c r="M535" s="83"/>
      <c r="N535" s="84"/>
      <c r="O535" s="84"/>
      <c r="P535" s="84"/>
      <c r="Q535" s="84"/>
      <c r="R535" s="84"/>
      <c r="S535" s="86"/>
      <c r="T535" s="84"/>
      <c r="U535" s="84"/>
      <c r="V535" s="86"/>
      <c r="W535" s="84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66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2"/>
      <c r="AY535" s="72"/>
    </row>
    <row r="536" spans="2:51" x14ac:dyDescent="0.25">
      <c r="B536" s="70"/>
      <c r="C536" s="67"/>
      <c r="D536" s="68"/>
      <c r="E536" s="69"/>
      <c r="F536" s="84"/>
      <c r="G536" s="83"/>
      <c r="H536" s="84"/>
      <c r="I536" s="84"/>
      <c r="J536" s="84"/>
      <c r="K536" s="84"/>
      <c r="L536" s="84"/>
      <c r="M536" s="83"/>
      <c r="N536" s="84"/>
      <c r="O536" s="84"/>
      <c r="P536" s="84"/>
      <c r="Q536" s="84"/>
      <c r="R536" s="84"/>
      <c r="S536" s="86"/>
      <c r="T536" s="84"/>
      <c r="U536" s="84"/>
      <c r="V536" s="86"/>
      <c r="W536" s="84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66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2"/>
      <c r="AY536" s="72"/>
    </row>
    <row r="537" spans="2:51" x14ac:dyDescent="0.25">
      <c r="B537" s="70"/>
      <c r="C537" s="67"/>
      <c r="D537" s="68"/>
      <c r="E537" s="69"/>
      <c r="F537" s="84"/>
      <c r="G537" s="83"/>
      <c r="H537" s="84"/>
      <c r="I537" s="84"/>
      <c r="J537" s="84"/>
      <c r="K537" s="84"/>
      <c r="L537" s="84"/>
      <c r="M537" s="83"/>
      <c r="N537" s="84"/>
      <c r="O537" s="84"/>
      <c r="P537" s="84"/>
      <c r="Q537" s="84"/>
      <c r="R537" s="84"/>
      <c r="S537" s="86"/>
      <c r="T537" s="84"/>
      <c r="U537" s="84"/>
      <c r="V537" s="86"/>
      <c r="W537" s="84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66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2"/>
      <c r="AY537" s="72"/>
    </row>
    <row r="538" spans="2:51" x14ac:dyDescent="0.25">
      <c r="B538" s="70"/>
      <c r="C538" s="67"/>
      <c r="D538" s="68"/>
      <c r="E538" s="69"/>
      <c r="F538" s="84"/>
      <c r="G538" s="83"/>
      <c r="H538" s="84"/>
      <c r="I538" s="84"/>
      <c r="J538" s="84"/>
      <c r="K538" s="84"/>
      <c r="L538" s="84"/>
      <c r="M538" s="83"/>
      <c r="N538" s="84"/>
      <c r="O538" s="84"/>
      <c r="P538" s="84"/>
      <c r="Q538" s="84"/>
      <c r="R538" s="84"/>
      <c r="S538" s="86"/>
      <c r="T538" s="84"/>
      <c r="U538" s="84"/>
      <c r="V538" s="86"/>
      <c r="W538" s="84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66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2"/>
      <c r="AY538" s="72"/>
    </row>
    <row r="539" spans="2:51" x14ac:dyDescent="0.25">
      <c r="B539" s="70"/>
      <c r="C539" s="67"/>
      <c r="D539" s="68"/>
      <c r="E539" s="69"/>
      <c r="F539" s="84"/>
      <c r="G539" s="83"/>
      <c r="H539" s="84"/>
      <c r="I539" s="84"/>
      <c r="J539" s="84"/>
      <c r="K539" s="84"/>
      <c r="L539" s="84"/>
      <c r="M539" s="83"/>
      <c r="N539" s="84"/>
      <c r="O539" s="84"/>
      <c r="P539" s="84"/>
      <c r="Q539" s="84"/>
      <c r="R539" s="84"/>
      <c r="S539" s="86"/>
      <c r="T539" s="84"/>
      <c r="U539" s="84"/>
      <c r="V539" s="86"/>
      <c r="W539" s="84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66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2"/>
      <c r="AY539" s="72"/>
    </row>
    <row r="540" spans="2:51" x14ac:dyDescent="0.25">
      <c r="B540" s="70"/>
      <c r="C540" s="67"/>
      <c r="D540" s="68"/>
      <c r="E540" s="69"/>
      <c r="F540" s="84"/>
      <c r="G540" s="83"/>
      <c r="H540" s="84"/>
      <c r="I540" s="84"/>
      <c r="J540" s="84"/>
      <c r="K540" s="84"/>
      <c r="L540" s="84"/>
      <c r="M540" s="83"/>
      <c r="N540" s="84"/>
      <c r="O540" s="84"/>
      <c r="P540" s="84"/>
      <c r="Q540" s="84"/>
      <c r="R540" s="84"/>
      <c r="S540" s="86"/>
      <c r="T540" s="84"/>
      <c r="U540" s="84"/>
      <c r="V540" s="86"/>
      <c r="W540" s="84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66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2"/>
      <c r="AY540" s="72"/>
    </row>
    <row r="541" spans="2:51" x14ac:dyDescent="0.25">
      <c r="B541" s="70"/>
      <c r="C541" s="67"/>
      <c r="D541" s="68"/>
      <c r="E541" s="69"/>
      <c r="F541" s="84"/>
      <c r="G541" s="83"/>
      <c r="H541" s="84"/>
      <c r="I541" s="84"/>
      <c r="J541" s="84"/>
      <c r="K541" s="84"/>
      <c r="L541" s="84"/>
      <c r="M541" s="83"/>
      <c r="N541" s="84"/>
      <c r="O541" s="84"/>
      <c r="P541" s="84"/>
      <c r="Q541" s="84"/>
      <c r="R541" s="84"/>
      <c r="S541" s="86"/>
      <c r="T541" s="84"/>
      <c r="U541" s="84"/>
      <c r="V541" s="86"/>
      <c r="W541" s="84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66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2"/>
      <c r="AY541" s="72"/>
    </row>
    <row r="542" spans="2:51" x14ac:dyDescent="0.25">
      <c r="B542" s="70"/>
      <c r="C542" s="67"/>
      <c r="D542" s="68"/>
      <c r="E542" s="69"/>
      <c r="F542" s="84"/>
      <c r="G542" s="83"/>
      <c r="H542" s="84"/>
      <c r="I542" s="84"/>
      <c r="J542" s="84"/>
      <c r="K542" s="84"/>
      <c r="L542" s="84"/>
      <c r="M542" s="83"/>
      <c r="N542" s="84"/>
      <c r="O542" s="84"/>
      <c r="P542" s="84"/>
      <c r="Q542" s="84"/>
      <c r="R542" s="84"/>
      <c r="S542" s="86"/>
      <c r="T542" s="84"/>
      <c r="U542" s="84"/>
      <c r="V542" s="86"/>
      <c r="W542" s="84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66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2"/>
      <c r="AY542" s="72"/>
    </row>
    <row r="543" spans="2:51" x14ac:dyDescent="0.25">
      <c r="B543" s="70"/>
      <c r="C543" s="67"/>
      <c r="D543" s="68"/>
      <c r="E543" s="69"/>
      <c r="F543" s="84"/>
      <c r="G543" s="83"/>
      <c r="H543" s="84"/>
      <c r="I543" s="84"/>
      <c r="J543" s="84"/>
      <c r="K543" s="84"/>
      <c r="L543" s="84"/>
      <c r="M543" s="83"/>
      <c r="N543" s="84"/>
      <c r="O543" s="84"/>
      <c r="P543" s="84"/>
      <c r="Q543" s="84"/>
      <c r="R543" s="84"/>
      <c r="S543" s="86"/>
      <c r="T543" s="84"/>
      <c r="U543" s="84"/>
      <c r="V543" s="86"/>
      <c r="W543" s="84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66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2"/>
      <c r="AY543" s="72"/>
    </row>
    <row r="544" spans="2:51" x14ac:dyDescent="0.25">
      <c r="B544" s="70"/>
      <c r="C544" s="67"/>
      <c r="D544" s="68"/>
      <c r="E544" s="69"/>
      <c r="F544" s="84"/>
      <c r="G544" s="83"/>
      <c r="H544" s="84"/>
      <c r="I544" s="84"/>
      <c r="J544" s="84"/>
      <c r="K544" s="84"/>
      <c r="L544" s="84"/>
      <c r="M544" s="83"/>
      <c r="N544" s="84"/>
      <c r="O544" s="84"/>
      <c r="P544" s="84"/>
      <c r="Q544" s="84"/>
      <c r="R544" s="84"/>
      <c r="S544" s="86"/>
      <c r="T544" s="84"/>
      <c r="U544" s="84"/>
      <c r="V544" s="86"/>
      <c r="W544" s="84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66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2"/>
      <c r="AY544" s="72"/>
    </row>
    <row r="545" spans="2:51" x14ac:dyDescent="0.25">
      <c r="B545" s="70"/>
      <c r="C545" s="67"/>
      <c r="D545" s="68"/>
      <c r="E545" s="69"/>
      <c r="F545" s="84"/>
      <c r="G545" s="83"/>
      <c r="H545" s="84"/>
      <c r="I545" s="84"/>
      <c r="J545" s="84"/>
      <c r="K545" s="84"/>
      <c r="L545" s="84"/>
      <c r="M545" s="83"/>
      <c r="N545" s="84"/>
      <c r="O545" s="84"/>
      <c r="P545" s="84"/>
      <c r="Q545" s="84"/>
      <c r="R545" s="84"/>
      <c r="S545" s="86"/>
      <c r="T545" s="84"/>
      <c r="U545" s="84"/>
      <c r="V545" s="86"/>
      <c r="W545" s="84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66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2"/>
      <c r="AY545" s="72"/>
    </row>
    <row r="546" spans="2:51" x14ac:dyDescent="0.25">
      <c r="B546" s="70"/>
      <c r="C546" s="67"/>
      <c r="D546" s="68"/>
      <c r="E546" s="69"/>
      <c r="F546" s="84"/>
      <c r="G546" s="83"/>
      <c r="H546" s="84"/>
      <c r="I546" s="84"/>
      <c r="J546" s="84"/>
      <c r="K546" s="84"/>
      <c r="L546" s="84"/>
      <c r="M546" s="83"/>
      <c r="N546" s="84"/>
      <c r="O546" s="84"/>
      <c r="P546" s="84"/>
      <c r="Q546" s="84"/>
      <c r="R546" s="84"/>
      <c r="S546" s="86"/>
      <c r="T546" s="84"/>
      <c r="U546" s="84"/>
      <c r="V546" s="86"/>
      <c r="W546" s="84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66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2"/>
      <c r="AY546" s="72"/>
    </row>
    <row r="547" spans="2:51" x14ac:dyDescent="0.25">
      <c r="B547" s="70"/>
      <c r="C547" s="67"/>
      <c r="D547" s="68"/>
      <c r="E547" s="69"/>
      <c r="F547" s="84"/>
      <c r="G547" s="83"/>
      <c r="H547" s="84"/>
      <c r="I547" s="84"/>
      <c r="J547" s="84"/>
      <c r="K547" s="84"/>
      <c r="L547" s="84"/>
      <c r="M547" s="83"/>
      <c r="N547" s="84"/>
      <c r="O547" s="84"/>
      <c r="P547" s="84"/>
      <c r="Q547" s="84"/>
      <c r="R547" s="84"/>
      <c r="S547" s="86"/>
      <c r="T547" s="84"/>
      <c r="U547" s="84"/>
      <c r="V547" s="86"/>
      <c r="W547" s="84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66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2"/>
      <c r="AY547" s="72"/>
    </row>
    <row r="548" spans="2:51" x14ac:dyDescent="0.25">
      <c r="B548" s="70"/>
      <c r="C548" s="67"/>
      <c r="D548" s="68"/>
      <c r="E548" s="69"/>
      <c r="F548" s="84"/>
      <c r="G548" s="83"/>
      <c r="H548" s="84"/>
      <c r="I548" s="84"/>
      <c r="J548" s="84"/>
      <c r="K548" s="84"/>
      <c r="L548" s="84"/>
      <c r="M548" s="83"/>
      <c r="N548" s="84"/>
      <c r="O548" s="84"/>
      <c r="P548" s="84"/>
      <c r="Q548" s="84"/>
      <c r="R548" s="84"/>
      <c r="S548" s="86"/>
      <c r="T548" s="84"/>
      <c r="U548" s="84"/>
      <c r="V548" s="86"/>
      <c r="W548" s="84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66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2"/>
      <c r="AY548" s="72"/>
    </row>
    <row r="549" spans="2:51" x14ac:dyDescent="0.25">
      <c r="B549" s="70"/>
      <c r="C549" s="67"/>
      <c r="D549" s="68"/>
      <c r="E549" s="69"/>
      <c r="F549" s="84"/>
      <c r="G549" s="83"/>
      <c r="H549" s="84"/>
      <c r="I549" s="84"/>
      <c r="J549" s="84"/>
      <c r="K549" s="84"/>
      <c r="L549" s="84"/>
      <c r="M549" s="83"/>
      <c r="N549" s="84"/>
      <c r="O549" s="84"/>
      <c r="P549" s="84"/>
      <c r="Q549" s="84"/>
      <c r="R549" s="84"/>
      <c r="S549" s="86"/>
      <c r="T549" s="84"/>
      <c r="U549" s="84"/>
      <c r="V549" s="86"/>
      <c r="W549" s="84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66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2"/>
      <c r="AY549" s="72"/>
    </row>
    <row r="550" spans="2:51" x14ac:dyDescent="0.25">
      <c r="B550" s="70"/>
      <c r="C550" s="67"/>
      <c r="D550" s="68"/>
      <c r="E550" s="69"/>
      <c r="F550" s="84"/>
      <c r="G550" s="83"/>
      <c r="H550" s="84"/>
      <c r="I550" s="84"/>
      <c r="J550" s="84"/>
      <c r="K550" s="84"/>
      <c r="L550" s="84"/>
      <c r="M550" s="83"/>
      <c r="N550" s="84"/>
      <c r="O550" s="84"/>
      <c r="P550" s="84"/>
      <c r="Q550" s="84"/>
      <c r="R550" s="84"/>
      <c r="S550" s="86"/>
      <c r="T550" s="84"/>
      <c r="U550" s="84"/>
      <c r="V550" s="86"/>
      <c r="W550" s="84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66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2"/>
      <c r="AY550" s="72"/>
    </row>
    <row r="551" spans="2:51" x14ac:dyDescent="0.25">
      <c r="B551" s="70"/>
      <c r="C551" s="67"/>
      <c r="D551" s="68"/>
      <c r="E551" s="69"/>
      <c r="F551" s="84"/>
      <c r="G551" s="83"/>
      <c r="H551" s="84"/>
      <c r="I551" s="84"/>
      <c r="J551" s="84"/>
      <c r="K551" s="84"/>
      <c r="L551" s="84"/>
      <c r="M551" s="83"/>
      <c r="N551" s="84"/>
      <c r="O551" s="84"/>
      <c r="P551" s="84"/>
      <c r="Q551" s="84"/>
      <c r="R551" s="84"/>
      <c r="S551" s="86"/>
      <c r="T551" s="84"/>
      <c r="U551" s="84"/>
      <c r="V551" s="86"/>
      <c r="W551" s="84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66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2"/>
      <c r="AY551" s="72"/>
    </row>
    <row r="552" spans="2:51" x14ac:dyDescent="0.25">
      <c r="B552" s="70"/>
      <c r="C552" s="67"/>
      <c r="D552" s="68"/>
      <c r="E552" s="69"/>
      <c r="F552" s="84"/>
      <c r="G552" s="83"/>
      <c r="H552" s="84"/>
      <c r="I552" s="84"/>
      <c r="J552" s="84"/>
      <c r="K552" s="84"/>
      <c r="L552" s="84"/>
      <c r="M552" s="83"/>
      <c r="N552" s="84"/>
      <c r="O552" s="84"/>
      <c r="P552" s="84"/>
      <c r="Q552" s="84"/>
      <c r="R552" s="84"/>
      <c r="S552" s="86"/>
      <c r="T552" s="84"/>
      <c r="U552" s="84"/>
      <c r="V552" s="86"/>
      <c r="W552" s="84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66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2"/>
      <c r="AY552" s="72"/>
    </row>
    <row r="553" spans="2:51" x14ac:dyDescent="0.25">
      <c r="B553" s="70"/>
      <c r="C553" s="67"/>
      <c r="D553" s="68"/>
      <c r="E553" s="69"/>
      <c r="F553" s="84"/>
      <c r="G553" s="83"/>
      <c r="H553" s="84"/>
      <c r="I553" s="84"/>
      <c r="J553" s="84"/>
      <c r="K553" s="84"/>
      <c r="L553" s="84"/>
      <c r="M553" s="83"/>
      <c r="N553" s="84"/>
      <c r="O553" s="84"/>
      <c r="P553" s="84"/>
      <c r="Q553" s="84"/>
      <c r="R553" s="84"/>
      <c r="S553" s="86"/>
      <c r="T553" s="84"/>
      <c r="U553" s="84"/>
      <c r="V553" s="86"/>
      <c r="W553" s="84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66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2"/>
      <c r="AY553" s="72"/>
    </row>
    <row r="554" spans="2:51" x14ac:dyDescent="0.25">
      <c r="B554" s="70"/>
      <c r="C554" s="67"/>
      <c r="D554" s="68"/>
      <c r="E554" s="69"/>
      <c r="F554" s="84"/>
      <c r="G554" s="83"/>
      <c r="H554" s="84"/>
      <c r="I554" s="84"/>
      <c r="J554" s="84"/>
      <c r="K554" s="84"/>
      <c r="L554" s="84"/>
      <c r="M554" s="83"/>
      <c r="N554" s="84"/>
      <c r="O554" s="84"/>
      <c r="P554" s="84"/>
      <c r="Q554" s="84"/>
      <c r="R554" s="84"/>
      <c r="S554" s="86"/>
      <c r="T554" s="84"/>
      <c r="U554" s="84"/>
      <c r="V554" s="86"/>
      <c r="W554" s="84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66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2"/>
      <c r="AY554" s="72"/>
    </row>
    <row r="555" spans="2:51" x14ac:dyDescent="0.25">
      <c r="B555" s="70"/>
      <c r="C555" s="67"/>
      <c r="D555" s="68"/>
      <c r="E555" s="69"/>
      <c r="F555" s="84"/>
      <c r="G555" s="83"/>
      <c r="H555" s="84"/>
      <c r="I555" s="84"/>
      <c r="J555" s="84"/>
      <c r="K555" s="84"/>
      <c r="L555" s="84"/>
      <c r="M555" s="83"/>
      <c r="N555" s="84"/>
      <c r="O555" s="84"/>
      <c r="P555" s="84"/>
      <c r="Q555" s="84"/>
      <c r="R555" s="84"/>
      <c r="S555" s="86"/>
      <c r="T555" s="84"/>
      <c r="U555" s="84"/>
      <c r="V555" s="86"/>
      <c r="W555" s="84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66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2"/>
      <c r="AY555" s="72"/>
    </row>
    <row r="556" spans="2:51" x14ac:dyDescent="0.25">
      <c r="B556" s="70"/>
      <c r="C556" s="67"/>
      <c r="D556" s="68"/>
      <c r="E556" s="69"/>
      <c r="F556" s="84"/>
      <c r="G556" s="83"/>
      <c r="H556" s="84"/>
      <c r="I556" s="84"/>
      <c r="J556" s="84"/>
      <c r="K556" s="84"/>
      <c r="L556" s="84"/>
      <c r="M556" s="83"/>
      <c r="N556" s="84"/>
      <c r="O556" s="84"/>
      <c r="P556" s="84"/>
      <c r="Q556" s="84"/>
      <c r="R556" s="84"/>
      <c r="S556" s="86"/>
      <c r="T556" s="84"/>
      <c r="U556" s="84"/>
      <c r="V556" s="86"/>
      <c r="W556" s="84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66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2"/>
      <c r="AY556" s="72"/>
    </row>
    <row r="557" spans="2:51" x14ac:dyDescent="0.25">
      <c r="B557" s="70"/>
      <c r="C557" s="67"/>
      <c r="D557" s="68"/>
      <c r="E557" s="69"/>
      <c r="F557" s="84"/>
      <c r="G557" s="83"/>
      <c r="H557" s="84"/>
      <c r="I557" s="84"/>
      <c r="J557" s="84"/>
      <c r="K557" s="84"/>
      <c r="L557" s="84"/>
      <c r="M557" s="83"/>
      <c r="N557" s="84"/>
      <c r="O557" s="84"/>
      <c r="P557" s="84"/>
      <c r="Q557" s="84"/>
      <c r="R557" s="84"/>
      <c r="S557" s="86"/>
      <c r="T557" s="84"/>
      <c r="U557" s="84"/>
      <c r="V557" s="86"/>
      <c r="W557" s="84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66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2"/>
      <c r="AY557" s="72"/>
    </row>
    <row r="558" spans="2:51" x14ac:dyDescent="0.25">
      <c r="B558" s="70"/>
      <c r="C558" s="67"/>
      <c r="D558" s="68"/>
      <c r="E558" s="69"/>
      <c r="F558" s="84"/>
      <c r="G558" s="83"/>
      <c r="H558" s="84"/>
      <c r="I558" s="84"/>
      <c r="J558" s="84"/>
      <c r="K558" s="84"/>
      <c r="L558" s="84"/>
      <c r="M558" s="83"/>
      <c r="N558" s="84"/>
      <c r="O558" s="84"/>
      <c r="P558" s="84"/>
      <c r="Q558" s="84"/>
      <c r="R558" s="84"/>
      <c r="S558" s="86"/>
      <c r="T558" s="84"/>
      <c r="U558" s="84"/>
      <c r="V558" s="86"/>
      <c r="W558" s="84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66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2"/>
      <c r="AY558" s="72"/>
    </row>
    <row r="559" spans="2:51" x14ac:dyDescent="0.25">
      <c r="B559" s="70"/>
      <c r="C559" s="67"/>
      <c r="D559" s="68"/>
      <c r="E559" s="69"/>
      <c r="F559" s="84"/>
      <c r="G559" s="83"/>
      <c r="H559" s="84"/>
      <c r="I559" s="84"/>
      <c r="J559" s="84"/>
      <c r="K559" s="84"/>
      <c r="L559" s="84"/>
      <c r="M559" s="83"/>
      <c r="N559" s="84"/>
      <c r="O559" s="84"/>
      <c r="P559" s="84"/>
      <c r="Q559" s="84"/>
      <c r="R559" s="84"/>
      <c r="S559" s="86"/>
      <c r="T559" s="84"/>
      <c r="U559" s="84"/>
      <c r="V559" s="86"/>
      <c r="W559" s="84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66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2"/>
      <c r="AY559" s="72"/>
    </row>
    <row r="560" spans="2:51" x14ac:dyDescent="0.25">
      <c r="B560" s="70"/>
      <c r="C560" s="67"/>
      <c r="D560" s="68"/>
      <c r="E560" s="69"/>
      <c r="F560" s="84"/>
      <c r="G560" s="83"/>
      <c r="H560" s="84"/>
      <c r="I560" s="84"/>
      <c r="J560" s="84"/>
      <c r="K560" s="84"/>
      <c r="L560" s="84"/>
      <c r="M560" s="83"/>
      <c r="N560" s="84"/>
      <c r="O560" s="84"/>
      <c r="P560" s="84"/>
      <c r="Q560" s="84"/>
      <c r="R560" s="84"/>
      <c r="S560" s="86"/>
      <c r="T560" s="84"/>
      <c r="U560" s="84"/>
      <c r="V560" s="86"/>
      <c r="W560" s="84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66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2"/>
      <c r="AY560" s="72"/>
    </row>
    <row r="561" spans="2:51" x14ac:dyDescent="0.25">
      <c r="B561" s="70"/>
      <c r="C561" s="67"/>
      <c r="D561" s="68"/>
      <c r="E561" s="69"/>
      <c r="F561" s="84"/>
      <c r="G561" s="83"/>
      <c r="H561" s="84"/>
      <c r="I561" s="84"/>
      <c r="J561" s="84"/>
      <c r="K561" s="84"/>
      <c r="L561" s="84"/>
      <c r="M561" s="83"/>
      <c r="N561" s="84"/>
      <c r="O561" s="84"/>
      <c r="P561" s="84"/>
      <c r="Q561" s="84"/>
      <c r="R561" s="84"/>
      <c r="S561" s="86"/>
      <c r="T561" s="84"/>
      <c r="U561" s="84"/>
      <c r="V561" s="86"/>
      <c r="W561" s="84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66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2"/>
      <c r="AY561" s="72"/>
    </row>
    <row r="562" spans="2:51" x14ac:dyDescent="0.25">
      <c r="B562" s="70"/>
      <c r="C562" s="67"/>
      <c r="D562" s="68"/>
      <c r="E562" s="69"/>
      <c r="F562" s="84"/>
      <c r="G562" s="83"/>
      <c r="H562" s="84"/>
      <c r="I562" s="84"/>
      <c r="J562" s="84"/>
      <c r="K562" s="84"/>
      <c r="L562" s="84"/>
      <c r="M562" s="83"/>
      <c r="N562" s="84"/>
      <c r="O562" s="84"/>
      <c r="P562" s="84"/>
      <c r="Q562" s="84"/>
      <c r="R562" s="84"/>
      <c r="S562" s="86"/>
      <c r="T562" s="84"/>
      <c r="U562" s="84"/>
      <c r="V562" s="86"/>
      <c r="W562" s="84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66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2"/>
      <c r="AY562" s="72"/>
    </row>
    <row r="563" spans="2:51" x14ac:dyDescent="0.25">
      <c r="B563" s="70"/>
      <c r="C563" s="67"/>
      <c r="D563" s="68"/>
      <c r="E563" s="69"/>
      <c r="F563" s="84"/>
      <c r="G563" s="83"/>
      <c r="H563" s="84"/>
      <c r="I563" s="84"/>
      <c r="J563" s="84"/>
      <c r="K563" s="84"/>
      <c r="L563" s="84"/>
      <c r="M563" s="83"/>
      <c r="N563" s="84"/>
      <c r="O563" s="84"/>
      <c r="P563" s="84"/>
      <c r="Q563" s="84"/>
      <c r="R563" s="84"/>
      <c r="S563" s="86"/>
      <c r="T563" s="84"/>
      <c r="U563" s="84"/>
      <c r="V563" s="86"/>
      <c r="W563" s="84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66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2"/>
      <c r="AY563" s="72"/>
    </row>
    <row r="564" spans="2:51" x14ac:dyDescent="0.25">
      <c r="B564" s="70"/>
      <c r="C564" s="67"/>
      <c r="D564" s="68"/>
      <c r="E564" s="69"/>
      <c r="F564" s="84"/>
      <c r="G564" s="83"/>
      <c r="H564" s="84"/>
      <c r="I564" s="84"/>
      <c r="J564" s="84"/>
      <c r="K564" s="84"/>
      <c r="L564" s="84"/>
      <c r="M564" s="83"/>
      <c r="N564" s="84"/>
      <c r="O564" s="84"/>
      <c r="P564" s="84"/>
      <c r="Q564" s="84"/>
      <c r="R564" s="84"/>
      <c r="S564" s="86"/>
      <c r="T564" s="84"/>
      <c r="U564" s="84"/>
      <c r="V564" s="86"/>
      <c r="W564" s="84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66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2"/>
      <c r="AY564" s="72"/>
    </row>
    <row r="565" spans="2:51" x14ac:dyDescent="0.25">
      <c r="B565" s="70"/>
      <c r="C565" s="67"/>
      <c r="D565" s="68"/>
      <c r="E565" s="69"/>
      <c r="F565" s="84"/>
      <c r="G565" s="83"/>
      <c r="H565" s="84"/>
      <c r="I565" s="84"/>
      <c r="J565" s="84"/>
      <c r="K565" s="84"/>
      <c r="L565" s="84"/>
      <c r="M565" s="83"/>
      <c r="N565" s="84"/>
      <c r="O565" s="84"/>
      <c r="P565" s="84"/>
      <c r="Q565" s="84"/>
      <c r="R565" s="84"/>
      <c r="S565" s="86"/>
      <c r="T565" s="84"/>
      <c r="U565" s="84"/>
      <c r="V565" s="86"/>
      <c r="W565" s="84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66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2"/>
      <c r="AY565" s="72"/>
    </row>
    <row r="566" spans="2:51" x14ac:dyDescent="0.25">
      <c r="B566" s="70"/>
      <c r="C566" s="67"/>
      <c r="D566" s="68"/>
      <c r="E566" s="69"/>
      <c r="F566" s="84"/>
      <c r="G566" s="83"/>
      <c r="H566" s="84"/>
      <c r="I566" s="84"/>
      <c r="J566" s="84"/>
      <c r="K566" s="84"/>
      <c r="L566" s="84"/>
      <c r="M566" s="83"/>
      <c r="N566" s="84"/>
      <c r="O566" s="84"/>
      <c r="P566" s="84"/>
      <c r="Q566" s="84"/>
      <c r="R566" s="84"/>
      <c r="S566" s="86"/>
      <c r="T566" s="84"/>
      <c r="U566" s="84"/>
      <c r="V566" s="86"/>
      <c r="W566" s="84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66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2"/>
      <c r="AY566" s="72"/>
    </row>
    <row r="567" spans="2:51" x14ac:dyDescent="0.25">
      <c r="B567" s="70"/>
      <c r="C567" s="67"/>
      <c r="D567" s="68"/>
      <c r="E567" s="69"/>
      <c r="F567" s="84"/>
      <c r="G567" s="83"/>
      <c r="H567" s="84"/>
      <c r="I567" s="84"/>
      <c r="J567" s="84"/>
      <c r="K567" s="84"/>
      <c r="L567" s="84"/>
      <c r="M567" s="83"/>
      <c r="N567" s="84"/>
      <c r="O567" s="84"/>
      <c r="P567" s="84"/>
      <c r="Q567" s="84"/>
      <c r="R567" s="84"/>
      <c r="S567" s="86"/>
      <c r="T567" s="84"/>
      <c r="U567" s="84"/>
      <c r="V567" s="86"/>
      <c r="W567" s="84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66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2"/>
      <c r="AY567" s="72"/>
    </row>
    <row r="568" spans="2:51" x14ac:dyDescent="0.25">
      <c r="B568" s="70"/>
      <c r="C568" s="67"/>
      <c r="D568" s="68"/>
      <c r="E568" s="69"/>
      <c r="F568" s="84"/>
      <c r="G568" s="83"/>
      <c r="H568" s="84"/>
      <c r="I568" s="84"/>
      <c r="J568" s="84"/>
      <c r="K568" s="84"/>
      <c r="L568" s="84"/>
      <c r="M568" s="83"/>
      <c r="N568" s="84"/>
      <c r="O568" s="84"/>
      <c r="P568" s="84"/>
      <c r="Q568" s="84"/>
      <c r="R568" s="84"/>
      <c r="S568" s="86"/>
      <c r="T568" s="84"/>
      <c r="U568" s="84"/>
      <c r="V568" s="86"/>
      <c r="W568" s="84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66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2"/>
      <c r="AY568" s="72"/>
    </row>
    <row r="569" spans="2:51" x14ac:dyDescent="0.25">
      <c r="B569" s="70"/>
      <c r="C569" s="67"/>
      <c r="D569" s="68"/>
      <c r="E569" s="69"/>
      <c r="F569" s="84"/>
      <c r="G569" s="83"/>
      <c r="H569" s="84"/>
      <c r="I569" s="84"/>
      <c r="J569" s="84"/>
      <c r="K569" s="84"/>
      <c r="L569" s="84"/>
      <c r="M569" s="83"/>
      <c r="N569" s="84"/>
      <c r="O569" s="84"/>
      <c r="P569" s="84"/>
      <c r="Q569" s="84"/>
      <c r="R569" s="84"/>
      <c r="S569" s="86"/>
      <c r="T569" s="84"/>
      <c r="U569" s="84"/>
      <c r="V569" s="86"/>
      <c r="W569" s="84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66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2"/>
      <c r="AY569" s="72"/>
    </row>
    <row r="570" spans="2:51" x14ac:dyDescent="0.25">
      <c r="B570" s="70"/>
      <c r="C570" s="67"/>
      <c r="D570" s="68"/>
      <c r="E570" s="69"/>
      <c r="F570" s="84"/>
      <c r="G570" s="83"/>
      <c r="H570" s="84"/>
      <c r="I570" s="84"/>
      <c r="J570" s="84"/>
      <c r="K570" s="84"/>
      <c r="L570" s="84"/>
      <c r="M570" s="83"/>
      <c r="N570" s="84"/>
      <c r="O570" s="84"/>
      <c r="P570" s="84"/>
      <c r="Q570" s="84"/>
      <c r="R570" s="84"/>
      <c r="S570" s="86"/>
      <c r="T570" s="84"/>
      <c r="U570" s="84"/>
      <c r="V570" s="86"/>
      <c r="W570" s="84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66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2"/>
      <c r="AY570" s="72"/>
    </row>
    <row r="571" spans="2:51" x14ac:dyDescent="0.25">
      <c r="B571" s="70"/>
      <c r="C571" s="67"/>
      <c r="D571" s="68"/>
      <c r="E571" s="69"/>
      <c r="F571" s="84"/>
      <c r="G571" s="83"/>
      <c r="H571" s="84"/>
      <c r="I571" s="84"/>
      <c r="J571" s="84"/>
      <c r="K571" s="84"/>
      <c r="L571" s="84"/>
      <c r="M571" s="83"/>
      <c r="N571" s="84"/>
      <c r="O571" s="84"/>
      <c r="P571" s="84"/>
      <c r="Q571" s="84"/>
      <c r="R571" s="84"/>
      <c r="S571" s="86"/>
      <c r="T571" s="84"/>
      <c r="U571" s="84"/>
      <c r="V571" s="86"/>
      <c r="W571" s="84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66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2"/>
      <c r="AY571" s="72"/>
    </row>
    <row r="572" spans="2:51" x14ac:dyDescent="0.25">
      <c r="B572" s="70"/>
      <c r="C572" s="67"/>
      <c r="D572" s="68"/>
      <c r="E572" s="69"/>
      <c r="F572" s="84"/>
      <c r="G572" s="83"/>
      <c r="H572" s="84"/>
      <c r="I572" s="84"/>
      <c r="J572" s="84"/>
      <c r="K572" s="84"/>
      <c r="L572" s="84"/>
      <c r="M572" s="83"/>
      <c r="N572" s="84"/>
      <c r="O572" s="84"/>
      <c r="P572" s="84"/>
      <c r="Q572" s="84"/>
      <c r="R572" s="84"/>
      <c r="S572" s="86"/>
      <c r="T572" s="84"/>
      <c r="U572" s="84"/>
      <c r="V572" s="86"/>
      <c r="W572" s="84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66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2"/>
      <c r="AY572" s="72"/>
    </row>
    <row r="573" spans="2:51" x14ac:dyDescent="0.25">
      <c r="B573" s="70"/>
      <c r="C573" s="67"/>
      <c r="D573" s="68"/>
      <c r="E573" s="69"/>
      <c r="F573" s="84"/>
      <c r="G573" s="83"/>
      <c r="H573" s="84"/>
      <c r="I573" s="84"/>
      <c r="J573" s="84"/>
      <c r="K573" s="84"/>
      <c r="L573" s="84"/>
      <c r="M573" s="83"/>
      <c r="N573" s="84"/>
      <c r="O573" s="84"/>
      <c r="P573" s="84"/>
      <c r="Q573" s="84"/>
      <c r="R573" s="84"/>
      <c r="S573" s="86"/>
      <c r="T573" s="84"/>
      <c r="U573" s="84"/>
      <c r="V573" s="86"/>
      <c r="W573" s="84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66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2"/>
      <c r="AY573" s="72"/>
    </row>
    <row r="574" spans="2:51" x14ac:dyDescent="0.25">
      <c r="B574" s="70"/>
      <c r="C574" s="67"/>
      <c r="D574" s="68"/>
      <c r="E574" s="69"/>
      <c r="F574" s="84"/>
      <c r="G574" s="83"/>
      <c r="H574" s="84"/>
      <c r="I574" s="84"/>
      <c r="J574" s="84"/>
      <c r="K574" s="84"/>
      <c r="L574" s="84"/>
      <c r="M574" s="83"/>
      <c r="N574" s="84"/>
      <c r="O574" s="84"/>
      <c r="P574" s="84"/>
      <c r="Q574" s="84"/>
      <c r="R574" s="84"/>
      <c r="S574" s="86"/>
      <c r="T574" s="84"/>
      <c r="U574" s="84"/>
      <c r="V574" s="86"/>
      <c r="W574" s="84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66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2"/>
      <c r="AY574" s="72"/>
    </row>
    <row r="575" spans="2:51" x14ac:dyDescent="0.25">
      <c r="B575" s="70"/>
      <c r="C575" s="67"/>
      <c r="D575" s="68"/>
      <c r="E575" s="69"/>
      <c r="F575" s="84"/>
      <c r="G575" s="83"/>
      <c r="H575" s="84"/>
      <c r="I575" s="84"/>
      <c r="J575" s="84"/>
      <c r="K575" s="84"/>
      <c r="L575" s="84"/>
      <c r="M575" s="83"/>
      <c r="N575" s="84"/>
      <c r="O575" s="84"/>
      <c r="P575" s="84"/>
      <c r="Q575" s="84"/>
      <c r="R575" s="84"/>
      <c r="S575" s="86"/>
      <c r="T575" s="84"/>
      <c r="U575" s="84"/>
      <c r="V575" s="86"/>
      <c r="W575" s="84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66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2"/>
      <c r="AY575" s="72"/>
    </row>
    <row r="576" spans="2:51" x14ac:dyDescent="0.25">
      <c r="B576" s="70"/>
      <c r="C576" s="67"/>
      <c r="D576" s="68"/>
      <c r="E576" s="69"/>
      <c r="F576" s="84"/>
      <c r="G576" s="83"/>
      <c r="H576" s="84"/>
      <c r="I576" s="84"/>
      <c r="J576" s="84"/>
      <c r="K576" s="84"/>
      <c r="L576" s="84"/>
      <c r="M576" s="83"/>
      <c r="N576" s="84"/>
      <c r="O576" s="84"/>
      <c r="P576" s="84"/>
      <c r="Q576" s="84"/>
      <c r="R576" s="84"/>
      <c r="S576" s="86"/>
      <c r="T576" s="84"/>
      <c r="U576" s="84"/>
      <c r="V576" s="86"/>
      <c r="W576" s="84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66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2"/>
      <c r="AY576" s="72"/>
    </row>
    <row r="577" spans="2:51" x14ac:dyDescent="0.25">
      <c r="B577" s="70"/>
      <c r="C577" s="67"/>
      <c r="D577" s="68"/>
      <c r="E577" s="69"/>
      <c r="F577" s="84"/>
      <c r="G577" s="83"/>
      <c r="H577" s="84"/>
      <c r="I577" s="84"/>
      <c r="J577" s="84"/>
      <c r="K577" s="84"/>
      <c r="L577" s="84"/>
      <c r="M577" s="83"/>
      <c r="N577" s="84"/>
      <c r="O577" s="84"/>
      <c r="P577" s="84"/>
      <c r="Q577" s="84"/>
      <c r="R577" s="84"/>
      <c r="S577" s="86"/>
      <c r="T577" s="84"/>
      <c r="U577" s="84"/>
      <c r="V577" s="86"/>
      <c r="W577" s="84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66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2"/>
      <c r="AY577" s="72"/>
    </row>
    <row r="578" spans="2:51" x14ac:dyDescent="0.25">
      <c r="B578" s="70"/>
      <c r="C578" s="67"/>
      <c r="D578" s="68"/>
      <c r="E578" s="69"/>
      <c r="F578" s="84"/>
      <c r="G578" s="83"/>
      <c r="H578" s="84"/>
      <c r="I578" s="84"/>
      <c r="J578" s="84"/>
      <c r="K578" s="84"/>
      <c r="L578" s="84"/>
      <c r="M578" s="83"/>
      <c r="N578" s="84"/>
      <c r="O578" s="84"/>
      <c r="P578" s="84"/>
      <c r="Q578" s="84"/>
      <c r="R578" s="84"/>
      <c r="S578" s="86"/>
      <c r="T578" s="84"/>
      <c r="U578" s="84"/>
      <c r="V578" s="86"/>
      <c r="W578" s="84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66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2"/>
      <c r="AY578" s="72"/>
    </row>
    <row r="579" spans="2:51" x14ac:dyDescent="0.25">
      <c r="B579" s="70"/>
      <c r="C579" s="67"/>
      <c r="D579" s="68"/>
      <c r="E579" s="69"/>
      <c r="F579" s="84"/>
      <c r="G579" s="83"/>
      <c r="H579" s="84"/>
      <c r="I579" s="84"/>
      <c r="J579" s="84"/>
      <c r="K579" s="84"/>
      <c r="L579" s="84"/>
      <c r="M579" s="83"/>
      <c r="N579" s="84"/>
      <c r="O579" s="84"/>
      <c r="P579" s="84"/>
      <c r="Q579" s="84"/>
      <c r="R579" s="84"/>
      <c r="S579" s="86"/>
      <c r="T579" s="84"/>
      <c r="U579" s="84"/>
      <c r="V579" s="86"/>
      <c r="W579" s="84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66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2"/>
      <c r="AY579" s="72"/>
    </row>
    <row r="580" spans="2:51" x14ac:dyDescent="0.25">
      <c r="B580" s="70"/>
      <c r="C580" s="67"/>
      <c r="D580" s="68"/>
      <c r="E580" s="69"/>
      <c r="F580" s="84"/>
      <c r="G580" s="83"/>
      <c r="H580" s="84"/>
      <c r="I580" s="84"/>
      <c r="J580" s="84"/>
      <c r="K580" s="84"/>
      <c r="L580" s="84"/>
      <c r="M580" s="83"/>
      <c r="N580" s="84"/>
      <c r="O580" s="84"/>
      <c r="P580" s="84"/>
      <c r="Q580" s="84"/>
      <c r="R580" s="84"/>
      <c r="S580" s="86"/>
      <c r="T580" s="84"/>
      <c r="U580" s="84"/>
      <c r="V580" s="86"/>
      <c r="W580" s="84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66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2"/>
      <c r="AY580" s="72"/>
    </row>
    <row r="581" spans="2:51" x14ac:dyDescent="0.25">
      <c r="B581" s="70"/>
      <c r="C581" s="67"/>
      <c r="D581" s="68"/>
      <c r="E581" s="69"/>
      <c r="F581" s="84"/>
      <c r="G581" s="83"/>
      <c r="H581" s="84"/>
      <c r="I581" s="84"/>
      <c r="J581" s="84"/>
      <c r="K581" s="84"/>
      <c r="L581" s="84"/>
      <c r="M581" s="83"/>
      <c r="N581" s="84"/>
      <c r="O581" s="84"/>
      <c r="P581" s="84"/>
      <c r="Q581" s="84"/>
      <c r="R581" s="84"/>
      <c r="S581" s="86"/>
      <c r="T581" s="84"/>
      <c r="U581" s="84"/>
      <c r="V581" s="86"/>
      <c r="W581" s="84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66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2"/>
      <c r="AY581" s="72"/>
    </row>
    <row r="582" spans="2:51" x14ac:dyDescent="0.25">
      <c r="B582" s="70"/>
      <c r="C582" s="67"/>
      <c r="D582" s="68"/>
      <c r="E582" s="69"/>
      <c r="F582" s="84"/>
      <c r="G582" s="83"/>
      <c r="H582" s="84"/>
      <c r="I582" s="84"/>
      <c r="J582" s="84"/>
      <c r="K582" s="84"/>
      <c r="L582" s="84"/>
      <c r="M582" s="83"/>
      <c r="N582" s="84"/>
      <c r="O582" s="84"/>
      <c r="P582" s="84"/>
      <c r="Q582" s="84"/>
      <c r="R582" s="84"/>
      <c r="S582" s="86"/>
      <c r="T582" s="84"/>
      <c r="U582" s="84"/>
      <c r="V582" s="86"/>
      <c r="W582" s="84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66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2"/>
      <c r="AY582" s="72"/>
    </row>
    <row r="583" spans="2:51" x14ac:dyDescent="0.25">
      <c r="B583" s="70"/>
      <c r="C583" s="67"/>
      <c r="D583" s="68"/>
      <c r="E583" s="69"/>
      <c r="F583" s="84"/>
      <c r="G583" s="83"/>
      <c r="H583" s="84"/>
      <c r="I583" s="84"/>
      <c r="J583" s="84"/>
      <c r="K583" s="84"/>
      <c r="L583" s="84"/>
      <c r="M583" s="83"/>
      <c r="N583" s="84"/>
      <c r="O583" s="84"/>
      <c r="P583" s="84"/>
      <c r="Q583" s="84"/>
      <c r="R583" s="84"/>
      <c r="S583" s="86"/>
      <c r="T583" s="84"/>
      <c r="U583" s="84"/>
      <c r="V583" s="86"/>
      <c r="W583" s="84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66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2"/>
      <c r="AY583" s="72"/>
    </row>
    <row r="584" spans="2:51" x14ac:dyDescent="0.25">
      <c r="B584" s="70"/>
      <c r="C584" s="67"/>
      <c r="D584" s="68"/>
      <c r="E584" s="69"/>
      <c r="F584" s="84"/>
      <c r="G584" s="83"/>
      <c r="H584" s="84"/>
      <c r="I584" s="84"/>
      <c r="J584" s="84"/>
      <c r="K584" s="84"/>
      <c r="L584" s="84"/>
      <c r="M584" s="83"/>
      <c r="N584" s="84"/>
      <c r="O584" s="84"/>
      <c r="P584" s="84"/>
      <c r="Q584" s="84"/>
      <c r="R584" s="84"/>
      <c r="S584" s="86"/>
      <c r="T584" s="84"/>
      <c r="U584" s="84"/>
      <c r="V584" s="86"/>
      <c r="W584" s="84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66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2"/>
      <c r="AY584" s="72"/>
    </row>
    <row r="585" spans="2:51" x14ac:dyDescent="0.25">
      <c r="B585" s="70"/>
      <c r="C585" s="67"/>
      <c r="D585" s="68"/>
      <c r="E585" s="69"/>
      <c r="F585" s="84"/>
      <c r="G585" s="83"/>
      <c r="H585" s="84"/>
      <c r="I585" s="84"/>
      <c r="J585" s="84"/>
      <c r="K585" s="84"/>
      <c r="L585" s="84"/>
      <c r="M585" s="83"/>
      <c r="N585" s="84"/>
      <c r="O585" s="84"/>
      <c r="P585" s="84"/>
      <c r="Q585" s="84"/>
      <c r="R585" s="84"/>
      <c r="S585" s="86"/>
      <c r="T585" s="84"/>
      <c r="U585" s="84"/>
      <c r="V585" s="86"/>
      <c r="W585" s="84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66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2"/>
      <c r="AY585" s="72"/>
    </row>
    <row r="586" spans="2:51" x14ac:dyDescent="0.25">
      <c r="B586" s="70"/>
      <c r="C586" s="67"/>
      <c r="D586" s="68"/>
      <c r="E586" s="69"/>
      <c r="F586" s="84"/>
      <c r="G586" s="83"/>
      <c r="H586" s="84"/>
      <c r="I586" s="84"/>
      <c r="J586" s="84"/>
      <c r="K586" s="84"/>
      <c r="L586" s="84"/>
      <c r="M586" s="83"/>
      <c r="N586" s="84"/>
      <c r="O586" s="84"/>
      <c r="P586" s="84"/>
      <c r="Q586" s="84"/>
      <c r="R586" s="84"/>
      <c r="S586" s="86"/>
      <c r="T586" s="84"/>
      <c r="U586" s="84"/>
      <c r="V586" s="86"/>
      <c r="W586" s="84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66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2"/>
      <c r="AY586" s="72"/>
    </row>
    <row r="587" spans="2:51" x14ac:dyDescent="0.25">
      <c r="B587" s="70"/>
      <c r="C587" s="67"/>
      <c r="D587" s="68"/>
      <c r="E587" s="69"/>
      <c r="F587" s="84"/>
      <c r="G587" s="83"/>
      <c r="H587" s="84"/>
      <c r="I587" s="84"/>
      <c r="J587" s="84"/>
      <c r="K587" s="84"/>
      <c r="L587" s="84"/>
      <c r="M587" s="83"/>
      <c r="N587" s="84"/>
      <c r="O587" s="84"/>
      <c r="P587" s="84"/>
      <c r="Q587" s="84"/>
      <c r="R587" s="84"/>
      <c r="S587" s="86"/>
      <c r="T587" s="84"/>
      <c r="U587" s="84"/>
      <c r="V587" s="86"/>
      <c r="W587" s="84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66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2"/>
      <c r="AY587" s="72"/>
    </row>
    <row r="588" spans="2:51" x14ac:dyDescent="0.25">
      <c r="B588" s="70"/>
      <c r="C588" s="67"/>
      <c r="D588" s="68"/>
      <c r="E588" s="69"/>
      <c r="F588" s="84"/>
      <c r="G588" s="83"/>
      <c r="H588" s="84"/>
      <c r="I588" s="84"/>
      <c r="J588" s="84"/>
      <c r="K588" s="84"/>
      <c r="L588" s="84"/>
      <c r="M588" s="83"/>
      <c r="N588" s="84"/>
      <c r="O588" s="84"/>
      <c r="P588" s="84"/>
      <c r="Q588" s="84"/>
      <c r="R588" s="84"/>
      <c r="S588" s="86"/>
      <c r="T588" s="84"/>
      <c r="U588" s="84"/>
      <c r="V588" s="86"/>
      <c r="W588" s="84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66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2"/>
      <c r="AY588" s="72"/>
    </row>
    <row r="589" spans="2:51" x14ac:dyDescent="0.25">
      <c r="B589" s="70"/>
      <c r="C589" s="67"/>
      <c r="D589" s="68"/>
      <c r="E589" s="69"/>
      <c r="F589" s="84"/>
      <c r="G589" s="83"/>
      <c r="H589" s="84"/>
      <c r="I589" s="84"/>
      <c r="J589" s="84"/>
      <c r="K589" s="84"/>
      <c r="L589" s="84"/>
      <c r="M589" s="83"/>
      <c r="N589" s="84"/>
      <c r="O589" s="84"/>
      <c r="P589" s="84"/>
      <c r="Q589" s="84"/>
      <c r="R589" s="84"/>
      <c r="S589" s="86"/>
      <c r="T589" s="84"/>
      <c r="U589" s="84"/>
      <c r="V589" s="86"/>
      <c r="W589" s="84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66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2"/>
      <c r="AY589" s="72"/>
    </row>
    <row r="590" spans="2:51" x14ac:dyDescent="0.25">
      <c r="B590" s="70"/>
      <c r="C590" s="67"/>
      <c r="D590" s="68"/>
      <c r="E590" s="69"/>
      <c r="F590" s="84"/>
      <c r="G590" s="83"/>
      <c r="H590" s="84"/>
      <c r="I590" s="84"/>
      <c r="J590" s="84"/>
      <c r="K590" s="84"/>
      <c r="L590" s="84"/>
      <c r="M590" s="83"/>
      <c r="N590" s="84"/>
      <c r="O590" s="84"/>
      <c r="P590" s="84"/>
      <c r="Q590" s="84"/>
      <c r="R590" s="84"/>
      <c r="S590" s="86"/>
      <c r="T590" s="84"/>
      <c r="U590" s="84"/>
      <c r="V590" s="86"/>
      <c r="W590" s="84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66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2"/>
      <c r="AY590" s="72"/>
    </row>
    <row r="591" spans="2:51" x14ac:dyDescent="0.25">
      <c r="B591" s="70"/>
      <c r="C591" s="67"/>
      <c r="D591" s="68"/>
      <c r="E591" s="69"/>
      <c r="F591" s="84"/>
      <c r="G591" s="83"/>
      <c r="H591" s="84"/>
      <c r="I591" s="84"/>
      <c r="J591" s="84"/>
      <c r="K591" s="84"/>
      <c r="L591" s="84"/>
      <c r="M591" s="83"/>
      <c r="N591" s="84"/>
      <c r="O591" s="84"/>
      <c r="P591" s="84"/>
      <c r="Q591" s="84"/>
      <c r="R591" s="84"/>
      <c r="S591" s="86"/>
      <c r="T591" s="84"/>
      <c r="U591" s="84"/>
      <c r="V591" s="86"/>
      <c r="W591" s="84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66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2"/>
      <c r="AY591" s="72"/>
    </row>
    <row r="592" spans="2:51" x14ac:dyDescent="0.25">
      <c r="B592" s="70"/>
      <c r="C592" s="67"/>
      <c r="D592" s="68"/>
      <c r="E592" s="69"/>
      <c r="F592" s="84"/>
      <c r="G592" s="83"/>
      <c r="H592" s="84"/>
      <c r="I592" s="84"/>
      <c r="J592" s="84"/>
      <c r="K592" s="84"/>
      <c r="L592" s="84"/>
      <c r="M592" s="83"/>
      <c r="N592" s="84"/>
      <c r="O592" s="84"/>
      <c r="P592" s="84"/>
      <c r="Q592" s="84"/>
      <c r="R592" s="84"/>
      <c r="S592" s="86"/>
      <c r="T592" s="84"/>
      <c r="U592" s="84"/>
      <c r="V592" s="86"/>
      <c r="W592" s="84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66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2"/>
      <c r="AY592" s="72"/>
    </row>
    <row r="593" spans="2:51" x14ac:dyDescent="0.25">
      <c r="B593" s="70"/>
      <c r="C593" s="67"/>
      <c r="D593" s="68"/>
      <c r="E593" s="69"/>
      <c r="F593" s="84"/>
      <c r="G593" s="83"/>
      <c r="H593" s="84"/>
      <c r="I593" s="84"/>
      <c r="J593" s="84"/>
      <c r="K593" s="84"/>
      <c r="L593" s="84"/>
      <c r="M593" s="83"/>
      <c r="N593" s="84"/>
      <c r="O593" s="84"/>
      <c r="P593" s="84"/>
      <c r="Q593" s="84"/>
      <c r="R593" s="84"/>
      <c r="S593" s="86"/>
      <c r="T593" s="84"/>
      <c r="U593" s="84"/>
      <c r="V593" s="86"/>
      <c r="W593" s="84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66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2"/>
      <c r="AY593" s="72"/>
    </row>
    <row r="594" spans="2:51" x14ac:dyDescent="0.25">
      <c r="B594" s="70"/>
      <c r="C594" s="67"/>
      <c r="D594" s="68"/>
      <c r="E594" s="69"/>
      <c r="F594" s="84"/>
      <c r="G594" s="83"/>
      <c r="H594" s="84"/>
      <c r="I594" s="84"/>
      <c r="J594" s="84"/>
      <c r="K594" s="84"/>
      <c r="L594" s="84"/>
      <c r="M594" s="83"/>
      <c r="N594" s="84"/>
      <c r="O594" s="84"/>
      <c r="P594" s="84"/>
      <c r="Q594" s="84"/>
      <c r="R594" s="84"/>
      <c r="S594" s="86"/>
      <c r="T594" s="84"/>
      <c r="U594" s="84"/>
      <c r="V594" s="86"/>
      <c r="W594" s="84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66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2"/>
      <c r="AY594" s="72"/>
    </row>
    <row r="595" spans="2:51" x14ac:dyDescent="0.25">
      <c r="B595" s="70"/>
      <c r="C595" s="67"/>
      <c r="D595" s="68"/>
      <c r="E595" s="69"/>
      <c r="F595" s="84"/>
      <c r="G595" s="83"/>
      <c r="H595" s="84"/>
      <c r="I595" s="84"/>
      <c r="J595" s="84"/>
      <c r="K595" s="84"/>
      <c r="L595" s="84"/>
      <c r="M595" s="83"/>
      <c r="N595" s="84"/>
      <c r="O595" s="84"/>
      <c r="P595" s="84"/>
      <c r="Q595" s="84"/>
      <c r="R595" s="84"/>
      <c r="S595" s="86"/>
      <c r="T595" s="84"/>
      <c r="U595" s="84"/>
      <c r="V595" s="86"/>
      <c r="W595" s="84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66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2"/>
      <c r="AY595" s="72"/>
    </row>
    <row r="596" spans="2:51" x14ac:dyDescent="0.25">
      <c r="B596" s="70"/>
      <c r="C596" s="67"/>
      <c r="D596" s="68"/>
      <c r="E596" s="69"/>
      <c r="F596" s="84"/>
      <c r="G596" s="83"/>
      <c r="H596" s="84"/>
      <c r="I596" s="84"/>
      <c r="J596" s="84"/>
      <c r="K596" s="84"/>
      <c r="L596" s="84"/>
      <c r="M596" s="83"/>
      <c r="N596" s="84"/>
      <c r="O596" s="84"/>
      <c r="P596" s="84"/>
      <c r="Q596" s="84"/>
      <c r="R596" s="84"/>
      <c r="S596" s="86"/>
      <c r="T596" s="84"/>
      <c r="U596" s="84"/>
      <c r="V596" s="86"/>
      <c r="W596" s="84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66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2"/>
      <c r="AY596" s="72"/>
    </row>
    <row r="597" spans="2:51" x14ac:dyDescent="0.25">
      <c r="B597" s="70"/>
      <c r="C597" s="67"/>
      <c r="D597" s="68"/>
      <c r="E597" s="69"/>
      <c r="F597" s="84"/>
      <c r="G597" s="83"/>
      <c r="H597" s="84"/>
      <c r="I597" s="84"/>
      <c r="J597" s="84"/>
      <c r="K597" s="84"/>
      <c r="L597" s="84"/>
      <c r="M597" s="83"/>
      <c r="N597" s="84"/>
      <c r="O597" s="84"/>
      <c r="P597" s="84"/>
      <c r="Q597" s="84"/>
      <c r="R597" s="84"/>
      <c r="S597" s="86"/>
      <c r="T597" s="84"/>
      <c r="U597" s="84"/>
      <c r="V597" s="86"/>
      <c r="W597" s="84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66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2"/>
      <c r="AY597" s="72"/>
    </row>
    <row r="598" spans="2:51" x14ac:dyDescent="0.25">
      <c r="B598" s="70"/>
      <c r="C598" s="67"/>
      <c r="D598" s="68"/>
      <c r="E598" s="69"/>
      <c r="F598" s="84"/>
      <c r="G598" s="83"/>
      <c r="H598" s="84"/>
      <c r="I598" s="84"/>
      <c r="J598" s="84"/>
      <c r="K598" s="84"/>
      <c r="L598" s="84"/>
      <c r="M598" s="83"/>
      <c r="N598" s="84"/>
      <c r="O598" s="84"/>
      <c r="P598" s="84"/>
      <c r="Q598" s="84"/>
      <c r="R598" s="84"/>
      <c r="S598" s="86"/>
      <c r="T598" s="84"/>
      <c r="U598" s="84"/>
      <c r="V598" s="86"/>
      <c r="W598" s="84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66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2"/>
      <c r="AY598" s="72"/>
    </row>
    <row r="599" spans="2:51" x14ac:dyDescent="0.25">
      <c r="B599" s="70"/>
      <c r="C599" s="67"/>
      <c r="D599" s="68"/>
      <c r="E599" s="69"/>
      <c r="F599" s="84"/>
      <c r="G599" s="83"/>
      <c r="H599" s="84"/>
      <c r="I599" s="84"/>
      <c r="J599" s="84"/>
      <c r="K599" s="84"/>
      <c r="L599" s="84"/>
      <c r="M599" s="83"/>
      <c r="N599" s="84"/>
      <c r="O599" s="84"/>
      <c r="P599" s="84"/>
      <c r="Q599" s="84"/>
      <c r="R599" s="84"/>
      <c r="S599" s="86"/>
      <c r="T599" s="84"/>
      <c r="U599" s="84"/>
      <c r="V599" s="86"/>
      <c r="W599" s="84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66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2"/>
      <c r="AY599" s="72"/>
    </row>
    <row r="600" spans="2:51" x14ac:dyDescent="0.25">
      <c r="B600" s="70"/>
      <c r="C600" s="67"/>
      <c r="D600" s="68"/>
      <c r="E600" s="69"/>
      <c r="F600" s="84"/>
      <c r="G600" s="83"/>
      <c r="H600" s="84"/>
      <c r="I600" s="84"/>
      <c r="J600" s="84"/>
      <c r="K600" s="84"/>
      <c r="L600" s="84"/>
      <c r="M600" s="83"/>
      <c r="N600" s="84"/>
      <c r="O600" s="84"/>
      <c r="P600" s="84"/>
      <c r="Q600" s="84"/>
      <c r="R600" s="84"/>
      <c r="S600" s="86"/>
      <c r="T600" s="84"/>
      <c r="U600" s="84"/>
      <c r="V600" s="86"/>
      <c r="W600" s="84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66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2"/>
      <c r="AY600" s="72"/>
    </row>
    <row r="601" spans="2:51" x14ac:dyDescent="0.25">
      <c r="B601" s="70"/>
      <c r="C601" s="67"/>
      <c r="D601" s="68"/>
      <c r="E601" s="69"/>
      <c r="F601" s="84"/>
      <c r="G601" s="83"/>
      <c r="H601" s="84"/>
      <c r="I601" s="84"/>
      <c r="J601" s="84"/>
      <c r="K601" s="84"/>
      <c r="L601" s="84"/>
      <c r="M601" s="83"/>
      <c r="N601" s="84"/>
      <c r="O601" s="84"/>
      <c r="P601" s="84"/>
      <c r="Q601" s="84"/>
      <c r="R601" s="84"/>
      <c r="S601" s="86"/>
      <c r="T601" s="84"/>
      <c r="U601" s="84"/>
      <c r="V601" s="86"/>
      <c r="W601" s="84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66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2"/>
      <c r="AY601" s="72"/>
    </row>
    <row r="602" spans="2:51" x14ac:dyDescent="0.25">
      <c r="B602" s="70"/>
      <c r="C602" s="67"/>
      <c r="D602" s="68"/>
      <c r="E602" s="69"/>
      <c r="F602" s="84"/>
      <c r="G602" s="83"/>
      <c r="H602" s="84"/>
      <c r="I602" s="84"/>
      <c r="J602" s="84"/>
      <c r="K602" s="84"/>
      <c r="L602" s="84"/>
      <c r="M602" s="83"/>
      <c r="N602" s="84"/>
      <c r="O602" s="84"/>
      <c r="P602" s="84"/>
      <c r="Q602" s="84"/>
      <c r="R602" s="84"/>
      <c r="S602" s="86"/>
      <c r="T602" s="84"/>
      <c r="U602" s="84"/>
      <c r="V602" s="86"/>
      <c r="W602" s="84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66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2"/>
      <c r="AY602" s="72"/>
    </row>
    <row r="603" spans="2:51" x14ac:dyDescent="0.25">
      <c r="B603" s="70"/>
      <c r="C603" s="67"/>
      <c r="D603" s="68"/>
      <c r="E603" s="69"/>
      <c r="F603" s="84"/>
      <c r="G603" s="83"/>
      <c r="H603" s="84"/>
      <c r="I603" s="84"/>
      <c r="J603" s="84"/>
      <c r="K603" s="84"/>
      <c r="L603" s="84"/>
      <c r="M603" s="83"/>
      <c r="N603" s="84"/>
      <c r="O603" s="84"/>
      <c r="P603" s="84"/>
      <c r="Q603" s="84"/>
      <c r="R603" s="84"/>
      <c r="S603" s="86"/>
      <c r="T603" s="84"/>
      <c r="U603" s="84"/>
      <c r="V603" s="86"/>
      <c r="W603" s="84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66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2"/>
      <c r="AY603" s="72"/>
    </row>
    <row r="604" spans="2:51" x14ac:dyDescent="0.25">
      <c r="B604" s="70"/>
      <c r="C604" s="67"/>
      <c r="D604" s="68"/>
      <c r="E604" s="69"/>
      <c r="F604" s="84"/>
      <c r="G604" s="83"/>
      <c r="H604" s="84"/>
      <c r="I604" s="84"/>
      <c r="J604" s="84"/>
      <c r="K604" s="84"/>
      <c r="L604" s="84"/>
      <c r="M604" s="83"/>
      <c r="N604" s="84"/>
      <c r="O604" s="84"/>
      <c r="P604" s="84"/>
      <c r="Q604" s="84"/>
      <c r="R604" s="84"/>
      <c r="S604" s="86"/>
      <c r="T604" s="84"/>
      <c r="U604" s="84"/>
      <c r="V604" s="86"/>
      <c r="W604" s="84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66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2"/>
      <c r="AY604" s="72"/>
    </row>
    <row r="605" spans="2:51" x14ac:dyDescent="0.25">
      <c r="B605" s="70"/>
      <c r="C605" s="67"/>
      <c r="D605" s="68"/>
      <c r="E605" s="69"/>
      <c r="F605" s="84"/>
      <c r="G605" s="83"/>
      <c r="H605" s="84"/>
      <c r="I605" s="84"/>
      <c r="J605" s="84"/>
      <c r="K605" s="84"/>
      <c r="L605" s="84"/>
      <c r="M605" s="83"/>
      <c r="N605" s="84"/>
      <c r="O605" s="84"/>
      <c r="P605" s="84"/>
      <c r="Q605" s="84"/>
      <c r="R605" s="84"/>
      <c r="S605" s="86"/>
      <c r="T605" s="84"/>
      <c r="U605" s="84"/>
      <c r="V605" s="86"/>
      <c r="W605" s="84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66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2"/>
      <c r="AY605" s="72"/>
    </row>
    <row r="606" spans="2:51" x14ac:dyDescent="0.25">
      <c r="B606" s="70"/>
      <c r="C606" s="67"/>
      <c r="D606" s="68"/>
      <c r="E606" s="69"/>
      <c r="F606" s="84"/>
      <c r="G606" s="83"/>
      <c r="H606" s="84"/>
      <c r="I606" s="84"/>
      <c r="J606" s="84"/>
      <c r="K606" s="84"/>
      <c r="L606" s="84"/>
      <c r="M606" s="83"/>
      <c r="N606" s="84"/>
      <c r="O606" s="84"/>
      <c r="P606" s="84"/>
      <c r="Q606" s="84"/>
      <c r="R606" s="84"/>
      <c r="S606" s="86"/>
      <c r="T606" s="84"/>
      <c r="U606" s="84"/>
      <c r="V606" s="86"/>
      <c r="W606" s="84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66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2"/>
      <c r="AY606" s="72"/>
    </row>
    <row r="607" spans="2:51" x14ac:dyDescent="0.25">
      <c r="B607" s="70"/>
      <c r="C607" s="67"/>
      <c r="D607" s="68"/>
      <c r="E607" s="69"/>
      <c r="F607" s="84"/>
      <c r="G607" s="83"/>
      <c r="H607" s="84"/>
      <c r="I607" s="84"/>
      <c r="J607" s="84"/>
      <c r="K607" s="84"/>
      <c r="L607" s="84"/>
      <c r="M607" s="83"/>
      <c r="N607" s="84"/>
      <c r="O607" s="84"/>
      <c r="P607" s="84"/>
      <c r="Q607" s="84"/>
      <c r="R607" s="84"/>
      <c r="S607" s="86"/>
      <c r="T607" s="84"/>
      <c r="U607" s="84"/>
      <c r="V607" s="86"/>
      <c r="W607" s="84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66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2"/>
      <c r="AY607" s="72"/>
    </row>
    <row r="608" spans="2:51" x14ac:dyDescent="0.25">
      <c r="B608" s="70"/>
      <c r="C608" s="67"/>
      <c r="D608" s="68"/>
      <c r="E608" s="69"/>
      <c r="F608" s="84"/>
      <c r="G608" s="83"/>
      <c r="H608" s="84"/>
      <c r="I608" s="84"/>
      <c r="J608" s="84"/>
      <c r="K608" s="84"/>
      <c r="L608" s="84"/>
      <c r="M608" s="83"/>
      <c r="N608" s="84"/>
      <c r="O608" s="84"/>
      <c r="P608" s="84"/>
      <c r="Q608" s="84"/>
      <c r="R608" s="84"/>
      <c r="S608" s="86"/>
      <c r="T608" s="84"/>
      <c r="U608" s="84"/>
      <c r="V608" s="86"/>
      <c r="W608" s="84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66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2"/>
      <c r="AY608" s="72"/>
    </row>
    <row r="609" spans="2:51" x14ac:dyDescent="0.25">
      <c r="B609" s="70"/>
      <c r="C609" s="67"/>
      <c r="D609" s="68"/>
      <c r="E609" s="69"/>
      <c r="F609" s="84"/>
      <c r="G609" s="83"/>
      <c r="H609" s="84"/>
      <c r="I609" s="84"/>
      <c r="J609" s="84"/>
      <c r="K609" s="84"/>
      <c r="L609" s="84"/>
      <c r="M609" s="83"/>
      <c r="N609" s="84"/>
      <c r="O609" s="84"/>
      <c r="P609" s="84"/>
      <c r="Q609" s="84"/>
      <c r="R609" s="84"/>
      <c r="S609" s="86"/>
      <c r="T609" s="84"/>
      <c r="U609" s="84"/>
      <c r="V609" s="86"/>
      <c r="W609" s="84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66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2"/>
      <c r="AY609" s="72"/>
    </row>
    <row r="610" spans="2:51" x14ac:dyDescent="0.25">
      <c r="B610" s="70"/>
      <c r="C610" s="67"/>
      <c r="D610" s="68"/>
      <c r="E610" s="69"/>
      <c r="F610" s="84"/>
      <c r="G610" s="83"/>
      <c r="H610" s="84"/>
      <c r="I610" s="84"/>
      <c r="J610" s="84"/>
      <c r="K610" s="84"/>
      <c r="L610" s="84"/>
      <c r="M610" s="83"/>
      <c r="N610" s="84"/>
      <c r="O610" s="84"/>
      <c r="P610" s="84"/>
      <c r="Q610" s="84"/>
      <c r="R610" s="84"/>
      <c r="S610" s="86"/>
      <c r="T610" s="84"/>
      <c r="U610" s="84"/>
      <c r="V610" s="86"/>
      <c r="W610" s="84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66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2"/>
      <c r="AY610" s="72"/>
    </row>
    <row r="611" spans="2:51" x14ac:dyDescent="0.25">
      <c r="B611" s="70"/>
      <c r="C611" s="67"/>
      <c r="D611" s="68"/>
      <c r="E611" s="69"/>
      <c r="F611" s="84"/>
      <c r="G611" s="83"/>
      <c r="H611" s="84"/>
      <c r="I611" s="84"/>
      <c r="J611" s="84"/>
      <c r="K611" s="84"/>
      <c r="L611" s="84"/>
      <c r="M611" s="83"/>
      <c r="N611" s="84"/>
      <c r="O611" s="84"/>
      <c r="P611" s="84"/>
      <c r="Q611" s="84"/>
      <c r="R611" s="84"/>
      <c r="S611" s="86"/>
      <c r="T611" s="84"/>
      <c r="U611" s="84"/>
      <c r="V611" s="86"/>
      <c r="W611" s="84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66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2"/>
      <c r="AY611" s="72"/>
    </row>
    <row r="612" spans="2:51" x14ac:dyDescent="0.25">
      <c r="B612" s="70"/>
      <c r="C612" s="67"/>
      <c r="D612" s="68"/>
      <c r="E612" s="69"/>
      <c r="F612" s="84"/>
      <c r="G612" s="83"/>
      <c r="H612" s="84"/>
      <c r="I612" s="84"/>
      <c r="J612" s="84"/>
      <c r="K612" s="84"/>
      <c r="L612" s="84"/>
      <c r="M612" s="83"/>
      <c r="N612" s="84"/>
      <c r="O612" s="84"/>
      <c r="P612" s="84"/>
      <c r="Q612" s="84"/>
      <c r="R612" s="84"/>
      <c r="S612" s="86"/>
      <c r="T612" s="84"/>
      <c r="U612" s="84"/>
      <c r="V612" s="86"/>
      <c r="W612" s="84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66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2"/>
      <c r="AY612" s="72"/>
    </row>
    <row r="613" spans="2:51" x14ac:dyDescent="0.25">
      <c r="B613" s="70"/>
      <c r="C613" s="67"/>
      <c r="D613" s="68"/>
      <c r="E613" s="69"/>
      <c r="F613" s="84"/>
      <c r="G613" s="83"/>
      <c r="H613" s="84"/>
      <c r="I613" s="84"/>
      <c r="J613" s="84"/>
      <c r="K613" s="84"/>
      <c r="L613" s="84"/>
      <c r="M613" s="83"/>
      <c r="N613" s="84"/>
      <c r="O613" s="84"/>
      <c r="P613" s="84"/>
      <c r="Q613" s="84"/>
      <c r="R613" s="84"/>
      <c r="S613" s="86"/>
      <c r="T613" s="84"/>
      <c r="U613" s="84"/>
      <c r="V613" s="86"/>
      <c r="W613" s="84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66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2"/>
      <c r="AY613" s="72"/>
    </row>
    <row r="614" spans="2:51" x14ac:dyDescent="0.25">
      <c r="B614" s="70"/>
      <c r="C614" s="67"/>
      <c r="D614" s="68"/>
      <c r="E614" s="69"/>
      <c r="F614" s="84"/>
      <c r="G614" s="83"/>
      <c r="H614" s="84"/>
      <c r="I614" s="84"/>
      <c r="J614" s="84"/>
      <c r="K614" s="84"/>
      <c r="L614" s="84"/>
      <c r="M614" s="83"/>
      <c r="N614" s="84"/>
      <c r="O614" s="84"/>
      <c r="P614" s="84"/>
      <c r="Q614" s="84"/>
      <c r="R614" s="84"/>
      <c r="S614" s="86"/>
      <c r="T614" s="84"/>
      <c r="U614" s="84"/>
      <c r="V614" s="86"/>
      <c r="W614" s="84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66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2"/>
      <c r="AY614" s="72"/>
    </row>
    <row r="615" spans="2:51" x14ac:dyDescent="0.25">
      <c r="B615" s="70"/>
      <c r="C615" s="67"/>
      <c r="D615" s="68"/>
      <c r="E615" s="69"/>
      <c r="F615" s="84"/>
      <c r="G615" s="83"/>
      <c r="H615" s="84"/>
      <c r="I615" s="84"/>
      <c r="J615" s="84"/>
      <c r="K615" s="84"/>
      <c r="L615" s="84"/>
      <c r="M615" s="83"/>
      <c r="N615" s="84"/>
      <c r="O615" s="84"/>
      <c r="P615" s="84"/>
      <c r="Q615" s="84"/>
      <c r="R615" s="84"/>
      <c r="S615" s="86"/>
      <c r="T615" s="84"/>
      <c r="U615" s="84"/>
      <c r="V615" s="86"/>
      <c r="W615" s="84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66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2"/>
      <c r="AY615" s="72"/>
    </row>
    <row r="616" spans="2:51" x14ac:dyDescent="0.25">
      <c r="B616" s="70"/>
      <c r="C616" s="67"/>
      <c r="D616" s="68"/>
      <c r="E616" s="69"/>
      <c r="F616" s="84"/>
      <c r="G616" s="83"/>
      <c r="H616" s="84"/>
      <c r="I616" s="84"/>
      <c r="J616" s="84"/>
      <c r="K616" s="84"/>
      <c r="L616" s="84"/>
      <c r="M616" s="83"/>
      <c r="N616" s="84"/>
      <c r="O616" s="84"/>
      <c r="P616" s="84"/>
      <c r="Q616" s="84"/>
      <c r="R616" s="84"/>
      <c r="S616" s="86"/>
      <c r="T616" s="84"/>
      <c r="U616" s="84"/>
      <c r="V616" s="86"/>
      <c r="W616" s="84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66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2"/>
      <c r="AY616" s="72"/>
    </row>
    <row r="617" spans="2:51" x14ac:dyDescent="0.25">
      <c r="B617" s="70"/>
      <c r="C617" s="67"/>
      <c r="D617" s="68"/>
      <c r="E617" s="69"/>
      <c r="F617" s="84"/>
      <c r="G617" s="83"/>
      <c r="H617" s="84"/>
      <c r="I617" s="84"/>
      <c r="J617" s="84"/>
      <c r="K617" s="84"/>
      <c r="L617" s="84"/>
      <c r="M617" s="83"/>
      <c r="N617" s="84"/>
      <c r="O617" s="84"/>
      <c r="P617" s="84"/>
      <c r="Q617" s="84"/>
      <c r="R617" s="84"/>
      <c r="S617" s="86"/>
      <c r="T617" s="84"/>
      <c r="U617" s="84"/>
      <c r="V617" s="86"/>
      <c r="W617" s="84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66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2"/>
      <c r="AY617" s="72"/>
    </row>
    <row r="618" spans="2:51" x14ac:dyDescent="0.25">
      <c r="B618" s="70"/>
      <c r="C618" s="67"/>
      <c r="D618" s="68"/>
      <c r="E618" s="69"/>
      <c r="F618" s="84"/>
      <c r="G618" s="83"/>
      <c r="H618" s="84"/>
      <c r="I618" s="84"/>
      <c r="J618" s="84"/>
      <c r="K618" s="84"/>
      <c r="L618" s="84"/>
      <c r="M618" s="83"/>
      <c r="N618" s="84"/>
      <c r="O618" s="84"/>
      <c r="P618" s="84"/>
      <c r="Q618" s="84"/>
      <c r="R618" s="84"/>
      <c r="S618" s="86"/>
      <c r="T618" s="84"/>
      <c r="U618" s="84"/>
      <c r="V618" s="86"/>
      <c r="W618" s="84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66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2"/>
      <c r="AY618" s="72"/>
    </row>
    <row r="619" spans="2:51" x14ac:dyDescent="0.25">
      <c r="B619" s="70"/>
      <c r="C619" s="67"/>
      <c r="D619" s="68"/>
      <c r="E619" s="69"/>
      <c r="F619" s="84"/>
      <c r="G619" s="83"/>
      <c r="H619" s="84"/>
      <c r="I619" s="84"/>
      <c r="J619" s="84"/>
      <c r="K619" s="84"/>
      <c r="L619" s="84"/>
      <c r="M619" s="83"/>
      <c r="N619" s="84"/>
      <c r="O619" s="84"/>
      <c r="P619" s="84"/>
      <c r="Q619" s="84"/>
      <c r="R619" s="84"/>
      <c r="S619" s="86"/>
      <c r="T619" s="84"/>
      <c r="U619" s="84"/>
      <c r="V619" s="86"/>
      <c r="W619" s="84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66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2"/>
      <c r="AY619" s="72"/>
    </row>
    <row r="620" spans="2:51" x14ac:dyDescent="0.25">
      <c r="B620" s="70"/>
      <c r="C620" s="67"/>
      <c r="D620" s="68"/>
      <c r="E620" s="69"/>
      <c r="F620" s="84"/>
      <c r="G620" s="83"/>
      <c r="H620" s="84"/>
      <c r="I620" s="84"/>
      <c r="J620" s="84"/>
      <c r="K620" s="84"/>
      <c r="L620" s="84"/>
      <c r="M620" s="83"/>
      <c r="N620" s="84"/>
      <c r="O620" s="84"/>
      <c r="P620" s="84"/>
      <c r="Q620" s="84"/>
      <c r="R620" s="84"/>
      <c r="S620" s="86"/>
      <c r="T620" s="84"/>
      <c r="U620" s="84"/>
      <c r="V620" s="86"/>
      <c r="W620" s="84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66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2"/>
      <c r="AY620" s="72"/>
    </row>
    <row r="621" spans="2:51" x14ac:dyDescent="0.25">
      <c r="B621" s="70"/>
      <c r="C621" s="67"/>
      <c r="D621" s="68"/>
      <c r="E621" s="69"/>
      <c r="F621" s="84"/>
      <c r="G621" s="83"/>
      <c r="H621" s="84"/>
      <c r="I621" s="84"/>
      <c r="J621" s="84"/>
      <c r="K621" s="84"/>
      <c r="L621" s="84"/>
      <c r="M621" s="83"/>
      <c r="N621" s="84"/>
      <c r="O621" s="84"/>
      <c r="P621" s="84"/>
      <c r="Q621" s="84"/>
      <c r="R621" s="84"/>
      <c r="S621" s="86"/>
      <c r="T621" s="84"/>
      <c r="U621" s="84"/>
      <c r="V621" s="86"/>
      <c r="W621" s="84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66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2"/>
      <c r="AY621" s="72"/>
    </row>
    <row r="622" spans="2:51" x14ac:dyDescent="0.25">
      <c r="B622" s="70"/>
      <c r="C622" s="67"/>
      <c r="D622" s="68"/>
      <c r="E622" s="69"/>
      <c r="F622" s="84"/>
      <c r="G622" s="83"/>
      <c r="H622" s="84"/>
      <c r="I622" s="84"/>
      <c r="J622" s="84"/>
      <c r="K622" s="84"/>
      <c r="L622" s="84"/>
      <c r="M622" s="83"/>
      <c r="N622" s="84"/>
      <c r="O622" s="84"/>
      <c r="P622" s="84"/>
      <c r="Q622" s="84"/>
      <c r="R622" s="84"/>
      <c r="S622" s="86"/>
      <c r="T622" s="84"/>
      <c r="U622" s="84"/>
      <c r="V622" s="86"/>
      <c r="W622" s="84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66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2"/>
      <c r="AY622" s="72"/>
    </row>
    <row r="623" spans="2:51" x14ac:dyDescent="0.25">
      <c r="B623" s="70"/>
      <c r="C623" s="67"/>
      <c r="D623" s="68"/>
      <c r="E623" s="69"/>
      <c r="F623" s="84"/>
      <c r="G623" s="83"/>
      <c r="H623" s="84"/>
      <c r="I623" s="84"/>
      <c r="J623" s="84"/>
      <c r="K623" s="84"/>
      <c r="L623" s="84"/>
      <c r="M623" s="83"/>
      <c r="N623" s="84"/>
      <c r="O623" s="84"/>
      <c r="P623" s="84"/>
      <c r="Q623" s="84"/>
      <c r="R623" s="84"/>
      <c r="S623" s="86"/>
      <c r="T623" s="84"/>
      <c r="U623" s="84"/>
      <c r="V623" s="86"/>
      <c r="W623" s="84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66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2"/>
      <c r="AY623" s="72"/>
    </row>
    <row r="624" spans="2:51" x14ac:dyDescent="0.25">
      <c r="B624" s="70"/>
      <c r="C624" s="67"/>
      <c r="D624" s="68"/>
      <c r="E624" s="69"/>
      <c r="F624" s="84"/>
      <c r="G624" s="83"/>
      <c r="H624" s="84"/>
      <c r="I624" s="84"/>
      <c r="J624" s="84"/>
      <c r="K624" s="84"/>
      <c r="L624" s="84"/>
      <c r="M624" s="83"/>
      <c r="N624" s="84"/>
      <c r="O624" s="84"/>
      <c r="P624" s="84"/>
      <c r="Q624" s="84"/>
      <c r="R624" s="84"/>
      <c r="S624" s="86"/>
      <c r="T624" s="84"/>
      <c r="U624" s="84"/>
      <c r="V624" s="86"/>
      <c r="W624" s="84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66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2"/>
      <c r="AY624" s="72"/>
    </row>
    <row r="625" spans="2:51" x14ac:dyDescent="0.25">
      <c r="B625" s="70"/>
      <c r="C625" s="67"/>
      <c r="D625" s="68"/>
      <c r="E625" s="69"/>
      <c r="F625" s="84"/>
      <c r="G625" s="83"/>
      <c r="H625" s="84"/>
      <c r="I625" s="84"/>
      <c r="J625" s="84"/>
      <c r="K625" s="84"/>
      <c r="L625" s="84"/>
      <c r="M625" s="83"/>
      <c r="N625" s="84"/>
      <c r="O625" s="84"/>
      <c r="P625" s="84"/>
      <c r="Q625" s="84"/>
      <c r="R625" s="84"/>
      <c r="S625" s="86"/>
      <c r="T625" s="84"/>
      <c r="U625" s="84"/>
      <c r="V625" s="86"/>
      <c r="W625" s="84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66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2"/>
      <c r="AY625" s="72"/>
    </row>
    <row r="626" spans="2:51" x14ac:dyDescent="0.25">
      <c r="B626" s="70"/>
      <c r="C626" s="67"/>
      <c r="D626" s="68"/>
      <c r="E626" s="69"/>
      <c r="F626" s="84"/>
      <c r="G626" s="83"/>
      <c r="H626" s="84"/>
      <c r="I626" s="84"/>
      <c r="J626" s="84"/>
      <c r="K626" s="84"/>
      <c r="L626" s="84"/>
      <c r="M626" s="83"/>
      <c r="N626" s="84"/>
      <c r="O626" s="84"/>
      <c r="P626" s="84"/>
      <c r="Q626" s="84"/>
      <c r="R626" s="84"/>
      <c r="S626" s="86"/>
      <c r="T626" s="84"/>
      <c r="U626" s="84"/>
      <c r="V626" s="86"/>
      <c r="W626" s="84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66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2"/>
      <c r="AY626" s="72"/>
    </row>
    <row r="627" spans="2:51" x14ac:dyDescent="0.25">
      <c r="B627" s="70"/>
      <c r="C627" s="67"/>
      <c r="D627" s="68"/>
      <c r="E627" s="69"/>
      <c r="F627" s="84"/>
      <c r="G627" s="83"/>
      <c r="H627" s="84"/>
      <c r="I627" s="84"/>
      <c r="J627" s="84"/>
      <c r="K627" s="84"/>
      <c r="L627" s="84"/>
      <c r="M627" s="83"/>
      <c r="N627" s="84"/>
      <c r="O627" s="84"/>
      <c r="P627" s="84"/>
      <c r="Q627" s="84"/>
      <c r="R627" s="84"/>
      <c r="S627" s="86"/>
      <c r="T627" s="84"/>
      <c r="U627" s="84"/>
      <c r="V627" s="86"/>
      <c r="W627" s="84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66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2"/>
      <c r="AY627" s="72"/>
    </row>
    <row r="628" spans="2:51" x14ac:dyDescent="0.25">
      <c r="B628" s="70"/>
      <c r="C628" s="67"/>
      <c r="D628" s="68"/>
      <c r="E628" s="69"/>
      <c r="F628" s="84"/>
      <c r="G628" s="83"/>
      <c r="H628" s="84"/>
      <c r="I628" s="84"/>
      <c r="J628" s="84"/>
      <c r="K628" s="84"/>
      <c r="L628" s="84"/>
      <c r="M628" s="83"/>
      <c r="N628" s="84"/>
      <c r="O628" s="84"/>
      <c r="P628" s="84"/>
      <c r="Q628" s="84"/>
      <c r="R628" s="84"/>
      <c r="S628" s="86"/>
      <c r="T628" s="84"/>
      <c r="U628" s="84"/>
      <c r="V628" s="86"/>
      <c r="W628" s="84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66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2"/>
      <c r="AY628" s="72"/>
    </row>
    <row r="629" spans="2:51" x14ac:dyDescent="0.25">
      <c r="B629" s="70"/>
      <c r="C629" s="67"/>
      <c r="D629" s="68"/>
      <c r="E629" s="69"/>
      <c r="F629" s="84"/>
      <c r="G629" s="83"/>
      <c r="H629" s="84"/>
      <c r="I629" s="84"/>
      <c r="J629" s="84"/>
      <c r="K629" s="84"/>
      <c r="L629" s="84"/>
      <c r="M629" s="83"/>
      <c r="N629" s="84"/>
      <c r="O629" s="84"/>
      <c r="P629" s="84"/>
      <c r="Q629" s="84"/>
      <c r="R629" s="84"/>
      <c r="S629" s="86"/>
      <c r="T629" s="84"/>
      <c r="U629" s="84"/>
      <c r="V629" s="86"/>
      <c r="W629" s="84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66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2"/>
      <c r="AY629" s="72"/>
    </row>
    <row r="630" spans="2:51" x14ac:dyDescent="0.25">
      <c r="B630" s="70"/>
      <c r="C630" s="67"/>
      <c r="D630" s="68"/>
      <c r="E630" s="69"/>
      <c r="F630" s="84"/>
      <c r="G630" s="83"/>
      <c r="H630" s="84"/>
      <c r="I630" s="84"/>
      <c r="J630" s="84"/>
      <c r="K630" s="84"/>
      <c r="L630" s="84"/>
      <c r="M630" s="83"/>
      <c r="N630" s="84"/>
      <c r="O630" s="84"/>
      <c r="P630" s="84"/>
      <c r="Q630" s="84"/>
      <c r="R630" s="84"/>
      <c r="S630" s="86"/>
      <c r="T630" s="84"/>
      <c r="U630" s="84"/>
      <c r="V630" s="86"/>
      <c r="W630" s="84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66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2"/>
      <c r="AY630" s="72"/>
    </row>
    <row r="631" spans="2:51" x14ac:dyDescent="0.25">
      <c r="B631" s="70"/>
      <c r="C631" s="67"/>
      <c r="D631" s="68"/>
      <c r="E631" s="69"/>
      <c r="F631" s="84"/>
      <c r="G631" s="83"/>
      <c r="H631" s="84"/>
      <c r="I631" s="84"/>
      <c r="J631" s="84"/>
      <c r="K631" s="84"/>
      <c r="L631" s="84"/>
      <c r="M631" s="83"/>
      <c r="N631" s="84"/>
      <c r="O631" s="84"/>
      <c r="P631" s="84"/>
      <c r="Q631" s="84"/>
      <c r="R631" s="84"/>
      <c r="S631" s="86"/>
      <c r="T631" s="84"/>
      <c r="U631" s="84"/>
      <c r="V631" s="86"/>
      <c r="W631" s="84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66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2"/>
      <c r="AY631" s="72"/>
    </row>
    <row r="632" spans="2:51" x14ac:dyDescent="0.25">
      <c r="B632" s="70"/>
      <c r="C632" s="67"/>
      <c r="D632" s="68"/>
      <c r="E632" s="69"/>
      <c r="F632" s="84"/>
      <c r="G632" s="83"/>
      <c r="H632" s="84"/>
      <c r="I632" s="84"/>
      <c r="J632" s="84"/>
      <c r="K632" s="84"/>
      <c r="L632" s="84"/>
      <c r="M632" s="83"/>
      <c r="N632" s="84"/>
      <c r="O632" s="84"/>
      <c r="P632" s="84"/>
      <c r="Q632" s="84"/>
      <c r="R632" s="84"/>
      <c r="S632" s="86"/>
      <c r="T632" s="84"/>
      <c r="U632" s="84"/>
      <c r="V632" s="86"/>
      <c r="W632" s="84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66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2"/>
      <c r="AY632" s="72"/>
    </row>
    <row r="633" spans="2:51" x14ac:dyDescent="0.25">
      <c r="B633" s="70"/>
      <c r="C633" s="67"/>
      <c r="D633" s="68"/>
      <c r="E633" s="69"/>
      <c r="F633" s="84"/>
      <c r="G633" s="83"/>
      <c r="H633" s="84"/>
      <c r="I633" s="84"/>
      <c r="J633" s="84"/>
      <c r="K633" s="84"/>
      <c r="L633" s="84"/>
      <c r="M633" s="83"/>
      <c r="N633" s="84"/>
      <c r="O633" s="84"/>
      <c r="P633" s="84"/>
      <c r="Q633" s="84"/>
      <c r="R633" s="84"/>
      <c r="S633" s="86"/>
      <c r="T633" s="84"/>
      <c r="U633" s="84"/>
      <c r="V633" s="86"/>
      <c r="W633" s="84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66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2"/>
      <c r="AY633" s="72"/>
    </row>
    <row r="634" spans="2:51" x14ac:dyDescent="0.25">
      <c r="B634" s="70"/>
      <c r="C634" s="67"/>
      <c r="D634" s="68"/>
      <c r="E634" s="69"/>
      <c r="F634" s="84"/>
      <c r="G634" s="83"/>
      <c r="H634" s="84"/>
      <c r="I634" s="84"/>
      <c r="J634" s="84"/>
      <c r="K634" s="84"/>
      <c r="L634" s="84"/>
      <c r="M634" s="83"/>
      <c r="N634" s="84"/>
      <c r="O634" s="84"/>
      <c r="P634" s="84"/>
      <c r="Q634" s="84"/>
      <c r="R634" s="84"/>
      <c r="S634" s="86"/>
      <c r="T634" s="84"/>
      <c r="U634" s="84"/>
      <c r="V634" s="86"/>
      <c r="W634" s="84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66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2"/>
      <c r="AY634" s="72"/>
    </row>
    <row r="635" spans="2:51" x14ac:dyDescent="0.25">
      <c r="B635" s="70"/>
      <c r="C635" s="67"/>
      <c r="D635" s="68"/>
      <c r="E635" s="69"/>
      <c r="F635" s="84"/>
      <c r="G635" s="83"/>
      <c r="H635" s="84"/>
      <c r="I635" s="84"/>
      <c r="J635" s="84"/>
      <c r="K635" s="84"/>
      <c r="L635" s="84"/>
      <c r="M635" s="83"/>
      <c r="N635" s="84"/>
      <c r="O635" s="84"/>
      <c r="P635" s="84"/>
      <c r="Q635" s="84"/>
      <c r="R635" s="84"/>
      <c r="S635" s="86"/>
      <c r="T635" s="84"/>
      <c r="U635" s="84"/>
      <c r="V635" s="86"/>
      <c r="W635" s="84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66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2"/>
      <c r="AY635" s="72"/>
    </row>
    <row r="636" spans="2:51" x14ac:dyDescent="0.25">
      <c r="B636" s="70"/>
      <c r="C636" s="67"/>
      <c r="D636" s="68"/>
      <c r="E636" s="69"/>
      <c r="F636" s="84"/>
      <c r="G636" s="83"/>
      <c r="H636" s="84"/>
      <c r="I636" s="84"/>
      <c r="J636" s="84"/>
      <c r="K636" s="84"/>
      <c r="L636" s="84"/>
      <c r="M636" s="83"/>
      <c r="N636" s="84"/>
      <c r="O636" s="84"/>
      <c r="P636" s="84"/>
      <c r="Q636" s="84"/>
      <c r="R636" s="84"/>
      <c r="S636" s="86"/>
      <c r="T636" s="84"/>
      <c r="U636" s="84"/>
      <c r="V636" s="86"/>
      <c r="W636" s="84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66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2"/>
      <c r="AY636" s="72"/>
    </row>
    <row r="637" spans="2:51" x14ac:dyDescent="0.25">
      <c r="B637" s="70"/>
      <c r="C637" s="67"/>
      <c r="D637" s="68"/>
      <c r="E637" s="69"/>
      <c r="F637" s="84"/>
      <c r="G637" s="83"/>
      <c r="H637" s="84"/>
      <c r="I637" s="84"/>
      <c r="J637" s="84"/>
      <c r="K637" s="84"/>
      <c r="L637" s="84"/>
      <c r="M637" s="83"/>
      <c r="N637" s="84"/>
      <c r="O637" s="84"/>
      <c r="P637" s="84"/>
      <c r="Q637" s="84"/>
      <c r="R637" s="84"/>
      <c r="S637" s="86"/>
      <c r="T637" s="84"/>
      <c r="U637" s="84"/>
      <c r="V637" s="86"/>
      <c r="W637" s="84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66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2"/>
      <c r="AY637" s="72"/>
    </row>
    <row r="638" spans="2:51" x14ac:dyDescent="0.25">
      <c r="B638" s="70"/>
      <c r="C638" s="67"/>
      <c r="D638" s="68"/>
      <c r="E638" s="69"/>
      <c r="F638" s="84"/>
      <c r="G638" s="83"/>
      <c r="H638" s="84"/>
      <c r="I638" s="84"/>
      <c r="J638" s="84"/>
      <c r="K638" s="84"/>
      <c r="L638" s="84"/>
      <c r="M638" s="83"/>
      <c r="N638" s="84"/>
      <c r="O638" s="84"/>
      <c r="P638" s="84"/>
      <c r="Q638" s="84"/>
      <c r="R638" s="84"/>
      <c r="S638" s="86"/>
      <c r="T638" s="84"/>
      <c r="U638" s="84"/>
      <c r="V638" s="86"/>
      <c r="W638" s="84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66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2"/>
      <c r="AY638" s="72"/>
    </row>
    <row r="639" spans="2:51" x14ac:dyDescent="0.25">
      <c r="B639" s="70"/>
      <c r="C639" s="67"/>
      <c r="D639" s="68"/>
      <c r="E639" s="69"/>
      <c r="F639" s="84"/>
      <c r="G639" s="83"/>
      <c r="H639" s="84"/>
      <c r="I639" s="84"/>
      <c r="J639" s="84"/>
      <c r="K639" s="84"/>
      <c r="L639" s="84"/>
      <c r="M639" s="83"/>
      <c r="N639" s="84"/>
      <c r="O639" s="84"/>
      <c r="P639" s="84"/>
      <c r="Q639" s="84"/>
      <c r="R639" s="84"/>
      <c r="S639" s="86"/>
      <c r="T639" s="84"/>
      <c r="U639" s="84"/>
      <c r="V639" s="86"/>
      <c r="W639" s="84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66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2"/>
      <c r="AY639" s="72"/>
    </row>
    <row r="640" spans="2:51" x14ac:dyDescent="0.25">
      <c r="B640" s="70"/>
      <c r="C640" s="67"/>
      <c r="D640" s="68"/>
      <c r="E640" s="69"/>
      <c r="F640" s="84"/>
      <c r="G640" s="83"/>
      <c r="H640" s="84"/>
      <c r="I640" s="84"/>
      <c r="J640" s="84"/>
      <c r="K640" s="84"/>
      <c r="L640" s="84"/>
      <c r="M640" s="83"/>
      <c r="N640" s="84"/>
      <c r="O640" s="84"/>
      <c r="P640" s="84"/>
      <c r="Q640" s="84"/>
      <c r="R640" s="84"/>
      <c r="S640" s="86"/>
      <c r="T640" s="84"/>
      <c r="U640" s="84"/>
      <c r="V640" s="86"/>
      <c r="W640" s="84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66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2"/>
      <c r="AY640" s="72"/>
    </row>
    <row r="641" spans="2:51" x14ac:dyDescent="0.25">
      <c r="B641" s="70"/>
      <c r="C641" s="67"/>
      <c r="D641" s="68"/>
      <c r="E641" s="69"/>
      <c r="F641" s="84"/>
      <c r="G641" s="83"/>
      <c r="H641" s="84"/>
      <c r="I641" s="84"/>
      <c r="J641" s="84"/>
      <c r="K641" s="84"/>
      <c r="L641" s="84"/>
      <c r="M641" s="83"/>
      <c r="N641" s="84"/>
      <c r="O641" s="84"/>
      <c r="P641" s="84"/>
      <c r="Q641" s="84"/>
      <c r="R641" s="84"/>
      <c r="S641" s="86"/>
      <c r="T641" s="84"/>
      <c r="U641" s="84"/>
      <c r="V641" s="86"/>
      <c r="W641" s="84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66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2"/>
      <c r="AY641" s="72"/>
    </row>
    <row r="642" spans="2:51" x14ac:dyDescent="0.25">
      <c r="B642" s="70"/>
      <c r="C642" s="67"/>
      <c r="D642" s="68"/>
      <c r="E642" s="69"/>
      <c r="F642" s="84"/>
      <c r="G642" s="83"/>
      <c r="H642" s="84"/>
      <c r="I642" s="84"/>
      <c r="J642" s="84"/>
      <c r="K642" s="84"/>
      <c r="L642" s="84"/>
      <c r="M642" s="83"/>
      <c r="N642" s="84"/>
      <c r="O642" s="84"/>
      <c r="P642" s="84"/>
      <c r="Q642" s="84"/>
      <c r="R642" s="84"/>
      <c r="S642" s="86"/>
      <c r="T642" s="84"/>
      <c r="U642" s="84"/>
      <c r="V642" s="86"/>
      <c r="W642" s="84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66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2"/>
      <c r="AY642" s="72"/>
    </row>
    <row r="643" spans="2:51" x14ac:dyDescent="0.25">
      <c r="B643" s="70"/>
      <c r="C643" s="67"/>
      <c r="D643" s="68"/>
      <c r="E643" s="69"/>
      <c r="F643" s="84"/>
      <c r="G643" s="83"/>
      <c r="H643" s="84"/>
      <c r="I643" s="84"/>
      <c r="J643" s="84"/>
      <c r="K643" s="84"/>
      <c r="L643" s="84"/>
      <c r="M643" s="83"/>
      <c r="N643" s="84"/>
      <c r="O643" s="84"/>
      <c r="P643" s="84"/>
      <c r="Q643" s="84"/>
      <c r="R643" s="84"/>
      <c r="S643" s="86"/>
      <c r="T643" s="84"/>
      <c r="U643" s="84"/>
      <c r="V643" s="86"/>
      <c r="W643" s="84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66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2"/>
      <c r="AY643" s="72"/>
    </row>
    <row r="644" spans="2:51" x14ac:dyDescent="0.25">
      <c r="B644" s="70"/>
      <c r="C644" s="67"/>
      <c r="D644" s="68"/>
      <c r="E644" s="69"/>
      <c r="F644" s="84"/>
      <c r="G644" s="83"/>
      <c r="H644" s="84"/>
      <c r="I644" s="84"/>
      <c r="J644" s="84"/>
      <c r="K644" s="84"/>
      <c r="L644" s="84"/>
      <c r="M644" s="83"/>
      <c r="N644" s="84"/>
      <c r="O644" s="84"/>
      <c r="P644" s="84"/>
      <c r="Q644" s="84"/>
      <c r="R644" s="84"/>
      <c r="S644" s="86"/>
      <c r="T644" s="84"/>
      <c r="U644" s="84"/>
      <c r="V644" s="86"/>
      <c r="W644" s="84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66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2"/>
      <c r="AY644" s="72"/>
    </row>
    <row r="645" spans="2:51" x14ac:dyDescent="0.25">
      <c r="B645" s="70"/>
      <c r="C645" s="67"/>
      <c r="D645" s="68"/>
      <c r="E645" s="69"/>
      <c r="F645" s="84"/>
      <c r="G645" s="83"/>
      <c r="H645" s="84"/>
      <c r="I645" s="84"/>
      <c r="J645" s="84"/>
      <c r="K645" s="84"/>
      <c r="L645" s="84"/>
      <c r="M645" s="83"/>
      <c r="N645" s="84"/>
      <c r="O645" s="84"/>
      <c r="P645" s="84"/>
      <c r="Q645" s="84"/>
      <c r="R645" s="84"/>
      <c r="S645" s="86"/>
      <c r="T645" s="84"/>
      <c r="U645" s="84"/>
      <c r="V645" s="86"/>
      <c r="W645" s="84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66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2"/>
      <c r="AY645" s="72"/>
    </row>
    <row r="646" spans="2:51" x14ac:dyDescent="0.25">
      <c r="B646" s="70"/>
      <c r="C646" s="67"/>
      <c r="D646" s="68"/>
      <c r="E646" s="69"/>
      <c r="F646" s="84"/>
      <c r="G646" s="83"/>
      <c r="H646" s="84"/>
      <c r="I646" s="84"/>
      <c r="J646" s="84"/>
      <c r="K646" s="84"/>
      <c r="L646" s="84"/>
      <c r="M646" s="83"/>
      <c r="N646" s="84"/>
      <c r="O646" s="84"/>
      <c r="P646" s="84"/>
      <c r="Q646" s="84"/>
      <c r="R646" s="84"/>
      <c r="S646" s="86"/>
      <c r="T646" s="84"/>
      <c r="U646" s="84"/>
      <c r="V646" s="86"/>
      <c r="W646" s="84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66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2"/>
      <c r="AY646" s="72"/>
    </row>
    <row r="647" spans="2:51" x14ac:dyDescent="0.25">
      <c r="B647" s="70"/>
      <c r="C647" s="67"/>
      <c r="D647" s="68"/>
      <c r="E647" s="69"/>
      <c r="F647" s="84"/>
      <c r="G647" s="83"/>
      <c r="H647" s="84"/>
      <c r="I647" s="84"/>
      <c r="J647" s="84"/>
      <c r="K647" s="84"/>
      <c r="L647" s="84"/>
      <c r="M647" s="83"/>
      <c r="N647" s="84"/>
      <c r="O647" s="84"/>
      <c r="P647" s="84"/>
      <c r="Q647" s="84"/>
      <c r="R647" s="84"/>
      <c r="S647" s="86"/>
      <c r="T647" s="84"/>
      <c r="U647" s="84"/>
      <c r="V647" s="86"/>
      <c r="W647" s="84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66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2"/>
      <c r="AY647" s="72"/>
    </row>
    <row r="648" spans="2:51" x14ac:dyDescent="0.25">
      <c r="B648" s="70"/>
      <c r="C648" s="67"/>
      <c r="D648" s="68"/>
      <c r="E648" s="69"/>
      <c r="F648" s="84"/>
      <c r="G648" s="83"/>
      <c r="H648" s="84"/>
      <c r="I648" s="84"/>
      <c r="J648" s="84"/>
      <c r="K648" s="84"/>
      <c r="L648" s="84"/>
      <c r="M648" s="83"/>
      <c r="N648" s="84"/>
      <c r="O648" s="84"/>
      <c r="P648" s="84"/>
      <c r="Q648" s="84"/>
      <c r="R648" s="84"/>
      <c r="S648" s="86"/>
      <c r="T648" s="84"/>
      <c r="U648" s="84"/>
      <c r="V648" s="86"/>
      <c r="W648" s="84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66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2"/>
      <c r="AY648" s="72"/>
    </row>
    <row r="649" spans="2:51" x14ac:dyDescent="0.25">
      <c r="B649" s="70"/>
      <c r="C649" s="67"/>
      <c r="D649" s="68"/>
      <c r="E649" s="69"/>
      <c r="F649" s="84"/>
      <c r="G649" s="83"/>
      <c r="H649" s="84"/>
      <c r="I649" s="84"/>
      <c r="J649" s="84"/>
      <c r="K649" s="84"/>
      <c r="L649" s="84"/>
      <c r="M649" s="83"/>
      <c r="N649" s="84"/>
      <c r="O649" s="84"/>
      <c r="P649" s="84"/>
      <c r="Q649" s="84"/>
      <c r="R649" s="84"/>
      <c r="S649" s="86"/>
      <c r="T649" s="84"/>
      <c r="U649" s="84"/>
      <c r="V649" s="86"/>
      <c r="W649" s="84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66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2"/>
      <c r="AY649" s="72"/>
    </row>
    <row r="650" spans="2:51" x14ac:dyDescent="0.25">
      <c r="B650" s="70"/>
      <c r="C650" s="67"/>
      <c r="D650" s="68"/>
      <c r="E650" s="69"/>
      <c r="F650" s="84"/>
      <c r="G650" s="83"/>
      <c r="H650" s="84"/>
      <c r="I650" s="84"/>
      <c r="J650" s="84"/>
      <c r="K650" s="84"/>
      <c r="L650" s="84"/>
      <c r="M650" s="83"/>
      <c r="N650" s="84"/>
      <c r="O650" s="84"/>
      <c r="P650" s="84"/>
      <c r="Q650" s="84"/>
      <c r="R650" s="84"/>
      <c r="S650" s="86"/>
      <c r="T650" s="84"/>
      <c r="U650" s="84"/>
      <c r="V650" s="86"/>
      <c r="W650" s="84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66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2"/>
      <c r="AY650" s="72"/>
    </row>
    <row r="651" spans="2:51" x14ac:dyDescent="0.25">
      <c r="B651" s="70"/>
      <c r="C651" s="67"/>
      <c r="D651" s="68"/>
      <c r="E651" s="69"/>
      <c r="F651" s="84"/>
      <c r="G651" s="83"/>
      <c r="H651" s="84"/>
      <c r="I651" s="84"/>
      <c r="J651" s="84"/>
      <c r="K651" s="84"/>
      <c r="L651" s="84"/>
      <c r="M651" s="83"/>
      <c r="N651" s="84"/>
      <c r="O651" s="84"/>
      <c r="P651" s="84"/>
      <c r="Q651" s="84"/>
      <c r="R651" s="84"/>
      <c r="S651" s="86"/>
      <c r="T651" s="84"/>
      <c r="U651" s="84"/>
      <c r="V651" s="86"/>
      <c r="W651" s="84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66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2"/>
      <c r="AY651" s="72"/>
    </row>
    <row r="652" spans="2:51" x14ac:dyDescent="0.25">
      <c r="B652" s="70"/>
      <c r="C652" s="67"/>
      <c r="D652" s="68"/>
      <c r="E652" s="69"/>
      <c r="F652" s="84"/>
      <c r="G652" s="83"/>
      <c r="H652" s="84"/>
      <c r="I652" s="84"/>
      <c r="J652" s="84"/>
      <c r="K652" s="84"/>
      <c r="L652" s="84"/>
      <c r="M652" s="83"/>
      <c r="N652" s="84"/>
      <c r="O652" s="84"/>
      <c r="P652" s="84"/>
      <c r="Q652" s="84"/>
      <c r="R652" s="84"/>
      <c r="S652" s="86"/>
      <c r="T652" s="84"/>
      <c r="U652" s="84"/>
      <c r="V652" s="86"/>
      <c r="W652" s="84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66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2"/>
      <c r="AY652" s="72"/>
    </row>
    <row r="653" spans="2:51" x14ac:dyDescent="0.25">
      <c r="B653" s="70"/>
      <c r="C653" s="67"/>
      <c r="D653" s="68"/>
      <c r="E653" s="69"/>
      <c r="F653" s="84"/>
      <c r="G653" s="83"/>
      <c r="H653" s="84"/>
      <c r="I653" s="84"/>
      <c r="J653" s="84"/>
      <c r="K653" s="84"/>
      <c r="L653" s="84"/>
      <c r="M653" s="83"/>
      <c r="N653" s="84"/>
      <c r="O653" s="84"/>
      <c r="P653" s="84"/>
      <c r="Q653" s="84"/>
      <c r="R653" s="84"/>
      <c r="S653" s="86"/>
      <c r="T653" s="84"/>
      <c r="U653" s="84"/>
      <c r="V653" s="86"/>
      <c r="W653" s="84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66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2"/>
      <c r="AY653" s="72"/>
    </row>
    <row r="654" spans="2:51" x14ac:dyDescent="0.25">
      <c r="B654" s="70"/>
      <c r="C654" s="67"/>
      <c r="D654" s="68"/>
      <c r="E654" s="69"/>
      <c r="F654" s="84"/>
      <c r="G654" s="83"/>
      <c r="H654" s="84"/>
      <c r="I654" s="84"/>
      <c r="J654" s="84"/>
      <c r="K654" s="84"/>
      <c r="L654" s="84"/>
      <c r="M654" s="83"/>
      <c r="N654" s="84"/>
      <c r="O654" s="84"/>
      <c r="P654" s="84"/>
      <c r="Q654" s="84"/>
      <c r="R654" s="84"/>
      <c r="S654" s="86"/>
      <c r="T654" s="84"/>
      <c r="U654" s="84"/>
      <c r="V654" s="86"/>
      <c r="W654" s="84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66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2"/>
      <c r="AY654" s="72"/>
    </row>
    <row r="655" spans="2:51" x14ac:dyDescent="0.25">
      <c r="B655" s="70"/>
      <c r="C655" s="67"/>
      <c r="D655" s="68"/>
      <c r="E655" s="69"/>
      <c r="F655" s="84"/>
      <c r="G655" s="83"/>
      <c r="H655" s="84"/>
      <c r="I655" s="84"/>
      <c r="J655" s="84"/>
      <c r="K655" s="84"/>
      <c r="L655" s="84"/>
      <c r="M655" s="83"/>
      <c r="N655" s="84"/>
      <c r="O655" s="84"/>
      <c r="P655" s="84"/>
      <c r="Q655" s="84"/>
      <c r="R655" s="84"/>
      <c r="S655" s="86"/>
      <c r="T655" s="84"/>
      <c r="U655" s="84"/>
      <c r="V655" s="86"/>
      <c r="W655" s="84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66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2"/>
      <c r="AY655" s="72"/>
    </row>
    <row r="656" spans="2:51" x14ac:dyDescent="0.25">
      <c r="B656" s="70"/>
      <c r="C656" s="67"/>
      <c r="D656" s="68"/>
      <c r="E656" s="69"/>
      <c r="F656" s="84"/>
      <c r="G656" s="83"/>
      <c r="H656" s="84"/>
      <c r="I656" s="84"/>
      <c r="J656" s="84"/>
      <c r="K656" s="84"/>
      <c r="L656" s="84"/>
      <c r="M656" s="83"/>
      <c r="N656" s="84"/>
      <c r="O656" s="84"/>
      <c r="P656" s="84"/>
      <c r="Q656" s="84"/>
      <c r="R656" s="84"/>
      <c r="S656" s="86"/>
      <c r="T656" s="84"/>
      <c r="U656" s="84"/>
      <c r="V656" s="86"/>
      <c r="W656" s="84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66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2"/>
      <c r="AY656" s="72"/>
    </row>
    <row r="657" spans="2:51" x14ac:dyDescent="0.25">
      <c r="B657" s="70"/>
      <c r="C657" s="67"/>
      <c r="D657" s="68"/>
      <c r="E657" s="69"/>
      <c r="F657" s="84"/>
      <c r="G657" s="83"/>
      <c r="H657" s="84"/>
      <c r="I657" s="84"/>
      <c r="J657" s="84"/>
      <c r="K657" s="84"/>
      <c r="L657" s="84"/>
      <c r="M657" s="83"/>
      <c r="N657" s="84"/>
      <c r="O657" s="84"/>
      <c r="P657" s="84"/>
      <c r="Q657" s="84"/>
      <c r="R657" s="84"/>
      <c r="S657" s="86"/>
      <c r="T657" s="84"/>
      <c r="U657" s="84"/>
      <c r="V657" s="86"/>
      <c r="W657" s="84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66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2"/>
      <c r="AY657" s="72"/>
    </row>
    <row r="658" spans="2:51" x14ac:dyDescent="0.25">
      <c r="B658" s="70"/>
      <c r="C658" s="67"/>
      <c r="D658" s="68"/>
      <c r="E658" s="69"/>
      <c r="F658" s="84"/>
      <c r="G658" s="83"/>
      <c r="H658" s="84"/>
      <c r="I658" s="84"/>
      <c r="J658" s="84"/>
      <c r="K658" s="84"/>
      <c r="L658" s="84"/>
      <c r="M658" s="83"/>
      <c r="N658" s="84"/>
      <c r="O658" s="84"/>
      <c r="P658" s="84"/>
      <c r="Q658" s="84"/>
      <c r="R658" s="84"/>
      <c r="S658" s="86"/>
      <c r="T658" s="84"/>
      <c r="U658" s="84"/>
      <c r="V658" s="86"/>
      <c r="W658" s="84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66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2"/>
      <c r="AY658" s="72"/>
    </row>
    <row r="659" spans="2:51" x14ac:dyDescent="0.25">
      <c r="B659" s="70"/>
      <c r="C659" s="67"/>
      <c r="D659" s="68"/>
      <c r="E659" s="69"/>
      <c r="F659" s="84"/>
      <c r="G659" s="83"/>
      <c r="H659" s="84"/>
      <c r="I659" s="84"/>
      <c r="J659" s="84"/>
      <c r="K659" s="84"/>
      <c r="L659" s="84"/>
      <c r="M659" s="83"/>
      <c r="N659" s="84"/>
      <c r="O659" s="84"/>
      <c r="P659" s="84"/>
      <c r="Q659" s="84"/>
      <c r="R659" s="84"/>
      <c r="S659" s="86"/>
      <c r="T659" s="84"/>
      <c r="U659" s="84"/>
      <c r="V659" s="86"/>
      <c r="W659" s="84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66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2"/>
      <c r="AY659" s="72"/>
    </row>
    <row r="660" spans="2:51" x14ac:dyDescent="0.25">
      <c r="B660" s="70"/>
      <c r="C660" s="67"/>
      <c r="D660" s="68"/>
      <c r="E660" s="69"/>
      <c r="F660" s="84"/>
      <c r="G660" s="83"/>
      <c r="H660" s="84"/>
      <c r="I660" s="84"/>
      <c r="J660" s="84"/>
      <c r="K660" s="84"/>
      <c r="L660" s="84"/>
      <c r="M660" s="83"/>
      <c r="N660" s="84"/>
      <c r="O660" s="84"/>
      <c r="P660" s="84"/>
      <c r="Q660" s="84"/>
      <c r="R660" s="84"/>
      <c r="S660" s="86"/>
      <c r="T660" s="84"/>
      <c r="U660" s="84"/>
      <c r="V660" s="86"/>
      <c r="W660" s="84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66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2"/>
      <c r="AY660" s="72"/>
    </row>
    <row r="661" spans="2:51" x14ac:dyDescent="0.25">
      <c r="B661" s="70"/>
      <c r="C661" s="67"/>
      <c r="D661" s="68"/>
      <c r="E661" s="69"/>
      <c r="F661" s="84"/>
      <c r="G661" s="83"/>
      <c r="H661" s="84"/>
      <c r="I661" s="84"/>
      <c r="J661" s="84"/>
      <c r="K661" s="84"/>
      <c r="L661" s="84"/>
      <c r="M661" s="83"/>
      <c r="N661" s="84"/>
      <c r="O661" s="84"/>
      <c r="P661" s="84"/>
      <c r="Q661" s="84"/>
      <c r="R661" s="84"/>
      <c r="S661" s="86"/>
      <c r="T661" s="84"/>
      <c r="U661" s="84"/>
      <c r="V661" s="86"/>
      <c r="W661" s="84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66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2"/>
      <c r="AY661" s="72"/>
    </row>
    <row r="662" spans="2:51" x14ac:dyDescent="0.25">
      <c r="B662" s="70"/>
      <c r="C662" s="67"/>
      <c r="D662" s="68"/>
      <c r="E662" s="69"/>
      <c r="F662" s="84"/>
      <c r="G662" s="83"/>
      <c r="H662" s="84"/>
      <c r="I662" s="84"/>
      <c r="J662" s="84"/>
      <c r="K662" s="84"/>
      <c r="L662" s="84"/>
      <c r="M662" s="83"/>
      <c r="N662" s="84"/>
      <c r="O662" s="84"/>
      <c r="P662" s="84"/>
      <c r="Q662" s="84"/>
      <c r="R662" s="84"/>
      <c r="S662" s="86"/>
      <c r="T662" s="84"/>
      <c r="U662" s="84"/>
      <c r="V662" s="86"/>
      <c r="W662" s="84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66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2"/>
      <c r="AY662" s="72"/>
    </row>
    <row r="663" spans="2:51" x14ac:dyDescent="0.25">
      <c r="B663" s="70"/>
      <c r="C663" s="67"/>
      <c r="D663" s="68"/>
      <c r="E663" s="69"/>
      <c r="F663" s="84"/>
      <c r="G663" s="83"/>
      <c r="H663" s="84"/>
      <c r="I663" s="84"/>
      <c r="J663" s="84"/>
      <c r="K663" s="84"/>
      <c r="L663" s="84"/>
      <c r="M663" s="83"/>
      <c r="N663" s="84"/>
      <c r="O663" s="84"/>
      <c r="P663" s="84"/>
      <c r="Q663" s="84"/>
      <c r="R663" s="84"/>
      <c r="S663" s="86"/>
      <c r="T663" s="84"/>
      <c r="U663" s="84"/>
      <c r="V663" s="86"/>
      <c r="W663" s="84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66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2"/>
      <c r="AY663" s="72"/>
    </row>
    <row r="664" spans="2:51" x14ac:dyDescent="0.25">
      <c r="B664" s="70"/>
      <c r="C664" s="67"/>
      <c r="D664" s="68"/>
      <c r="E664" s="69"/>
      <c r="F664" s="84"/>
      <c r="G664" s="83"/>
      <c r="H664" s="84"/>
      <c r="I664" s="84"/>
      <c r="J664" s="84"/>
      <c r="K664" s="84"/>
      <c r="L664" s="84"/>
      <c r="M664" s="83"/>
      <c r="N664" s="84"/>
      <c r="O664" s="84"/>
      <c r="P664" s="84"/>
      <c r="Q664" s="84"/>
      <c r="R664" s="84"/>
      <c r="S664" s="86"/>
      <c r="T664" s="84"/>
      <c r="U664" s="84"/>
      <c r="V664" s="86"/>
      <c r="W664" s="84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66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2"/>
      <c r="AY664" s="72"/>
    </row>
    <row r="665" spans="2:51" x14ac:dyDescent="0.25">
      <c r="B665" s="70"/>
      <c r="C665" s="67"/>
      <c r="D665" s="68"/>
      <c r="E665" s="69"/>
      <c r="F665" s="84"/>
      <c r="G665" s="83"/>
      <c r="H665" s="84"/>
      <c r="I665" s="84"/>
      <c r="J665" s="84"/>
      <c r="K665" s="84"/>
      <c r="L665" s="84"/>
      <c r="M665" s="83"/>
      <c r="N665" s="84"/>
      <c r="O665" s="84"/>
      <c r="P665" s="84"/>
      <c r="Q665" s="84"/>
      <c r="R665" s="84"/>
      <c r="S665" s="86"/>
      <c r="T665" s="84"/>
      <c r="U665" s="84"/>
      <c r="V665" s="86"/>
      <c r="W665" s="84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66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2"/>
      <c r="AY665" s="72"/>
    </row>
    <row r="666" spans="2:51" x14ac:dyDescent="0.25">
      <c r="B666" s="70"/>
      <c r="C666" s="67"/>
      <c r="D666" s="68"/>
      <c r="E666" s="69"/>
      <c r="F666" s="84"/>
      <c r="G666" s="83"/>
      <c r="H666" s="84"/>
      <c r="I666" s="84"/>
      <c r="J666" s="84"/>
      <c r="K666" s="84"/>
      <c r="L666" s="84"/>
      <c r="M666" s="83"/>
      <c r="N666" s="84"/>
      <c r="O666" s="84"/>
      <c r="P666" s="84"/>
      <c r="Q666" s="84"/>
      <c r="R666" s="84"/>
      <c r="S666" s="86"/>
      <c r="T666" s="84"/>
      <c r="U666" s="84"/>
      <c r="V666" s="86"/>
      <c r="W666" s="84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66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2"/>
      <c r="AY666" s="72"/>
    </row>
    <row r="667" spans="2:51" x14ac:dyDescent="0.25">
      <c r="B667" s="70"/>
      <c r="C667" s="67"/>
      <c r="D667" s="68"/>
      <c r="E667" s="69"/>
      <c r="F667" s="84"/>
      <c r="G667" s="83"/>
      <c r="H667" s="84"/>
      <c r="I667" s="84"/>
      <c r="J667" s="84"/>
      <c r="K667" s="84"/>
      <c r="L667" s="84"/>
      <c r="M667" s="83"/>
      <c r="N667" s="84"/>
      <c r="O667" s="84"/>
      <c r="P667" s="84"/>
      <c r="Q667" s="84"/>
      <c r="R667" s="84"/>
      <c r="S667" s="86"/>
      <c r="T667" s="84"/>
      <c r="U667" s="84"/>
      <c r="V667" s="86"/>
      <c r="W667" s="84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66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2"/>
      <c r="AY667" s="72"/>
    </row>
    <row r="668" spans="2:51" x14ac:dyDescent="0.25">
      <c r="B668" s="70"/>
      <c r="C668" s="67"/>
      <c r="D668" s="68"/>
      <c r="E668" s="69"/>
      <c r="F668" s="84"/>
      <c r="G668" s="83"/>
      <c r="H668" s="84"/>
      <c r="I668" s="84"/>
      <c r="J668" s="84"/>
      <c r="K668" s="84"/>
      <c r="L668" s="84"/>
      <c r="M668" s="83"/>
      <c r="N668" s="84"/>
      <c r="O668" s="84"/>
      <c r="P668" s="84"/>
      <c r="Q668" s="84"/>
      <c r="R668" s="84"/>
      <c r="S668" s="86"/>
      <c r="T668" s="84"/>
      <c r="U668" s="84"/>
      <c r="V668" s="86"/>
      <c r="W668" s="84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66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2"/>
      <c r="AY668" s="72"/>
    </row>
    <row r="669" spans="2:51" x14ac:dyDescent="0.25">
      <c r="B669" s="70"/>
      <c r="C669" s="67"/>
      <c r="D669" s="68"/>
      <c r="E669" s="69"/>
      <c r="F669" s="84"/>
      <c r="G669" s="83"/>
      <c r="H669" s="84"/>
      <c r="I669" s="84"/>
      <c r="J669" s="84"/>
      <c r="K669" s="84"/>
      <c r="L669" s="84"/>
      <c r="M669" s="83"/>
      <c r="N669" s="84"/>
      <c r="O669" s="84"/>
      <c r="P669" s="84"/>
      <c r="Q669" s="84"/>
      <c r="R669" s="84"/>
      <c r="S669" s="86"/>
      <c r="T669" s="84"/>
      <c r="U669" s="84"/>
      <c r="V669" s="86"/>
      <c r="W669" s="84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66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2"/>
      <c r="AY669" s="72"/>
    </row>
    <row r="670" spans="2:51" x14ac:dyDescent="0.25">
      <c r="B670" s="70"/>
      <c r="C670" s="67"/>
      <c r="D670" s="68"/>
      <c r="E670" s="69"/>
      <c r="F670" s="84"/>
      <c r="G670" s="83"/>
      <c r="H670" s="84"/>
      <c r="I670" s="84"/>
      <c r="J670" s="84"/>
      <c r="K670" s="84"/>
      <c r="L670" s="84"/>
      <c r="M670" s="83"/>
      <c r="N670" s="84"/>
      <c r="O670" s="84"/>
      <c r="P670" s="84"/>
      <c r="Q670" s="84"/>
      <c r="R670" s="84"/>
      <c r="S670" s="86"/>
      <c r="T670" s="84"/>
      <c r="U670" s="84"/>
      <c r="V670" s="86"/>
      <c r="W670" s="84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66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2"/>
      <c r="AY670" s="72"/>
    </row>
    <row r="671" spans="2:51" x14ac:dyDescent="0.25">
      <c r="B671" s="70"/>
      <c r="C671" s="67"/>
      <c r="D671" s="68"/>
      <c r="E671" s="69"/>
      <c r="F671" s="84"/>
      <c r="G671" s="83"/>
      <c r="H671" s="84"/>
      <c r="I671" s="84"/>
      <c r="J671" s="84"/>
      <c r="K671" s="84"/>
      <c r="L671" s="84"/>
      <c r="M671" s="83"/>
      <c r="N671" s="84"/>
      <c r="O671" s="84"/>
      <c r="P671" s="84"/>
      <c r="Q671" s="84"/>
      <c r="R671" s="84"/>
      <c r="S671" s="86"/>
      <c r="T671" s="84"/>
      <c r="U671" s="84"/>
      <c r="V671" s="86"/>
      <c r="W671" s="84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66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2"/>
      <c r="AY671" s="72"/>
    </row>
    <row r="672" spans="2:51" x14ac:dyDescent="0.25">
      <c r="B672" s="70"/>
      <c r="C672" s="67"/>
      <c r="D672" s="68"/>
      <c r="E672" s="69"/>
      <c r="F672" s="84"/>
      <c r="G672" s="83"/>
      <c r="H672" s="84"/>
      <c r="I672" s="84"/>
      <c r="J672" s="84"/>
      <c r="K672" s="84"/>
      <c r="L672" s="84"/>
      <c r="M672" s="83"/>
      <c r="N672" s="84"/>
      <c r="O672" s="84"/>
      <c r="P672" s="84"/>
      <c r="Q672" s="84"/>
      <c r="R672" s="84"/>
      <c r="S672" s="86"/>
      <c r="T672" s="84"/>
      <c r="U672" s="84"/>
      <c r="V672" s="86"/>
      <c r="W672" s="84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66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2"/>
      <c r="AY672" s="72"/>
    </row>
    <row r="673" spans="2:51" x14ac:dyDescent="0.25">
      <c r="B673" s="70"/>
      <c r="C673" s="67"/>
      <c r="D673" s="68"/>
      <c r="E673" s="69"/>
      <c r="F673" s="84"/>
      <c r="G673" s="83"/>
      <c r="H673" s="84"/>
      <c r="I673" s="84"/>
      <c r="J673" s="84"/>
      <c r="K673" s="84"/>
      <c r="L673" s="84"/>
      <c r="M673" s="83"/>
      <c r="N673" s="84"/>
      <c r="O673" s="84"/>
      <c r="P673" s="84"/>
      <c r="Q673" s="84"/>
      <c r="R673" s="84"/>
      <c r="S673" s="86"/>
      <c r="T673" s="84"/>
      <c r="U673" s="84"/>
      <c r="V673" s="86"/>
      <c r="W673" s="84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66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2"/>
      <c r="AY673" s="72"/>
    </row>
    <row r="674" spans="2:51" x14ac:dyDescent="0.25">
      <c r="B674" s="70"/>
      <c r="C674" s="67"/>
      <c r="D674" s="68"/>
      <c r="E674" s="69"/>
      <c r="F674" s="84"/>
      <c r="G674" s="83"/>
      <c r="H674" s="84"/>
      <c r="I674" s="84"/>
      <c r="J674" s="84"/>
      <c r="K674" s="84"/>
      <c r="L674" s="84"/>
      <c r="M674" s="83"/>
      <c r="N674" s="84"/>
      <c r="O674" s="84"/>
      <c r="P674" s="84"/>
      <c r="Q674" s="84"/>
      <c r="R674" s="84"/>
      <c r="S674" s="86"/>
      <c r="T674" s="84"/>
      <c r="U674" s="84"/>
      <c r="V674" s="86"/>
      <c r="W674" s="84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66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2"/>
      <c r="AY674" s="72"/>
    </row>
    <row r="675" spans="2:51" x14ac:dyDescent="0.25">
      <c r="B675" s="70"/>
      <c r="C675" s="67"/>
      <c r="D675" s="68"/>
      <c r="E675" s="69"/>
      <c r="F675" s="84"/>
      <c r="G675" s="83"/>
      <c r="H675" s="84"/>
      <c r="I675" s="84"/>
      <c r="J675" s="84"/>
      <c r="K675" s="84"/>
      <c r="L675" s="84"/>
      <c r="M675" s="83"/>
      <c r="N675" s="84"/>
      <c r="O675" s="84"/>
      <c r="P675" s="84"/>
      <c r="Q675" s="84"/>
      <c r="R675" s="84"/>
      <c r="S675" s="86"/>
      <c r="T675" s="84"/>
      <c r="U675" s="84"/>
      <c r="V675" s="86"/>
      <c r="W675" s="84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66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2"/>
      <c r="AY675" s="72"/>
    </row>
    <row r="676" spans="2:51" x14ac:dyDescent="0.25">
      <c r="B676" s="70"/>
      <c r="C676" s="67"/>
      <c r="D676" s="68"/>
      <c r="E676" s="69"/>
      <c r="F676" s="84"/>
      <c r="G676" s="83"/>
      <c r="H676" s="84"/>
      <c r="I676" s="84"/>
      <c r="J676" s="84"/>
      <c r="K676" s="84"/>
      <c r="L676" s="84"/>
      <c r="M676" s="83"/>
      <c r="N676" s="84"/>
      <c r="O676" s="84"/>
      <c r="P676" s="84"/>
      <c r="Q676" s="84"/>
      <c r="R676" s="84"/>
      <c r="S676" s="86"/>
      <c r="T676" s="84"/>
      <c r="U676" s="84"/>
      <c r="V676" s="86"/>
      <c r="W676" s="84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66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2"/>
      <c r="AY676" s="72"/>
    </row>
    <row r="677" spans="2:51" x14ac:dyDescent="0.25">
      <c r="B677" s="70"/>
      <c r="C677" s="67"/>
      <c r="D677" s="68"/>
      <c r="E677" s="69"/>
      <c r="F677" s="84"/>
      <c r="G677" s="83"/>
      <c r="H677" s="84"/>
      <c r="I677" s="84"/>
      <c r="J677" s="84"/>
      <c r="K677" s="84"/>
      <c r="L677" s="84"/>
      <c r="M677" s="83"/>
      <c r="N677" s="84"/>
      <c r="O677" s="84"/>
      <c r="P677" s="84"/>
      <c r="Q677" s="84"/>
      <c r="R677" s="84"/>
      <c r="S677" s="86"/>
      <c r="T677" s="84"/>
      <c r="U677" s="84"/>
      <c r="V677" s="86"/>
      <c r="W677" s="84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66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2"/>
      <c r="AY677" s="72"/>
    </row>
    <row r="678" spans="2:51" x14ac:dyDescent="0.25">
      <c r="B678" s="70"/>
      <c r="C678" s="67"/>
      <c r="D678" s="68"/>
      <c r="E678" s="69"/>
      <c r="F678" s="84"/>
      <c r="G678" s="83"/>
      <c r="H678" s="84"/>
      <c r="I678" s="84"/>
      <c r="J678" s="84"/>
      <c r="K678" s="84"/>
      <c r="L678" s="84"/>
      <c r="M678" s="83"/>
      <c r="N678" s="84"/>
      <c r="O678" s="84"/>
      <c r="P678" s="84"/>
      <c r="Q678" s="84"/>
      <c r="R678" s="84"/>
      <c r="S678" s="86"/>
      <c r="T678" s="84"/>
      <c r="U678" s="84"/>
      <c r="V678" s="86"/>
      <c r="W678" s="84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66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2"/>
      <c r="AY678" s="72"/>
    </row>
    <row r="679" spans="2:51" x14ac:dyDescent="0.25">
      <c r="B679" s="70"/>
      <c r="C679" s="67"/>
      <c r="D679" s="68"/>
      <c r="E679" s="69"/>
      <c r="F679" s="84"/>
      <c r="G679" s="83"/>
      <c r="H679" s="84"/>
      <c r="I679" s="84"/>
      <c r="J679" s="84"/>
      <c r="K679" s="84"/>
      <c r="L679" s="84"/>
      <c r="M679" s="83"/>
      <c r="N679" s="84"/>
      <c r="O679" s="84"/>
      <c r="P679" s="84"/>
      <c r="Q679" s="84"/>
      <c r="R679" s="84"/>
      <c r="S679" s="86"/>
      <c r="T679" s="84"/>
      <c r="U679" s="84"/>
      <c r="V679" s="86"/>
      <c r="W679" s="84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66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2"/>
      <c r="AY679" s="72"/>
    </row>
    <row r="680" spans="2:51" x14ac:dyDescent="0.25">
      <c r="B680" s="70"/>
      <c r="C680" s="67"/>
      <c r="D680" s="68"/>
      <c r="E680" s="69"/>
      <c r="F680" s="84"/>
      <c r="G680" s="83"/>
      <c r="H680" s="84"/>
      <c r="I680" s="84"/>
      <c r="J680" s="84"/>
      <c r="K680" s="84"/>
      <c r="L680" s="84"/>
      <c r="M680" s="83"/>
      <c r="N680" s="84"/>
      <c r="O680" s="84"/>
      <c r="P680" s="84"/>
      <c r="Q680" s="84"/>
      <c r="R680" s="84"/>
      <c r="S680" s="86"/>
      <c r="T680" s="84"/>
      <c r="U680" s="84"/>
      <c r="V680" s="86"/>
      <c r="W680" s="84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66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2"/>
      <c r="AY680" s="72"/>
    </row>
    <row r="681" spans="2:51" x14ac:dyDescent="0.25">
      <c r="B681" s="70"/>
      <c r="C681" s="67"/>
      <c r="D681" s="68"/>
      <c r="E681" s="69"/>
      <c r="F681" s="84"/>
      <c r="G681" s="83"/>
      <c r="H681" s="84"/>
      <c r="I681" s="84"/>
      <c r="J681" s="84"/>
      <c r="K681" s="84"/>
      <c r="L681" s="84"/>
      <c r="M681" s="83"/>
      <c r="N681" s="84"/>
      <c r="O681" s="84"/>
      <c r="P681" s="84"/>
      <c r="Q681" s="84"/>
      <c r="R681" s="84"/>
      <c r="S681" s="86"/>
      <c r="T681" s="84"/>
      <c r="U681" s="84"/>
      <c r="V681" s="86"/>
      <c r="W681" s="84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66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2"/>
      <c r="AY681" s="72"/>
    </row>
    <row r="682" spans="2:51" x14ac:dyDescent="0.25">
      <c r="B682" s="70"/>
      <c r="C682" s="67"/>
      <c r="D682" s="68"/>
      <c r="E682" s="69"/>
      <c r="F682" s="84"/>
      <c r="G682" s="83"/>
      <c r="H682" s="84"/>
      <c r="I682" s="84"/>
      <c r="J682" s="84"/>
      <c r="K682" s="84"/>
      <c r="L682" s="84"/>
      <c r="M682" s="83"/>
      <c r="N682" s="84"/>
      <c r="O682" s="84"/>
      <c r="P682" s="84"/>
      <c r="Q682" s="84"/>
      <c r="R682" s="84"/>
      <c r="S682" s="86"/>
      <c r="T682" s="84"/>
      <c r="U682" s="84"/>
      <c r="V682" s="86"/>
      <c r="W682" s="84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66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2"/>
      <c r="AY682" s="72"/>
    </row>
    <row r="683" spans="2:51" x14ac:dyDescent="0.25">
      <c r="B683" s="70"/>
      <c r="C683" s="67"/>
      <c r="D683" s="68"/>
      <c r="E683" s="69"/>
      <c r="F683" s="84"/>
      <c r="G683" s="83"/>
      <c r="H683" s="84"/>
      <c r="I683" s="84"/>
      <c r="J683" s="84"/>
      <c r="K683" s="84"/>
      <c r="L683" s="84"/>
      <c r="M683" s="83"/>
      <c r="N683" s="84"/>
      <c r="O683" s="84"/>
      <c r="P683" s="84"/>
      <c r="Q683" s="84"/>
      <c r="R683" s="84"/>
      <c r="S683" s="86"/>
      <c r="T683" s="84"/>
      <c r="U683" s="84"/>
      <c r="V683" s="86"/>
      <c r="W683" s="84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66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2"/>
      <c r="AY683" s="72"/>
    </row>
    <row r="684" spans="2:51" x14ac:dyDescent="0.25">
      <c r="B684" s="70"/>
      <c r="C684" s="67"/>
      <c r="D684" s="68"/>
      <c r="E684" s="69"/>
      <c r="F684" s="84"/>
      <c r="G684" s="83"/>
      <c r="H684" s="84"/>
      <c r="I684" s="84"/>
      <c r="J684" s="84"/>
      <c r="K684" s="84"/>
      <c r="L684" s="84"/>
      <c r="M684" s="83"/>
      <c r="N684" s="84"/>
      <c r="O684" s="84"/>
      <c r="P684" s="84"/>
      <c r="Q684" s="84"/>
      <c r="R684" s="84"/>
      <c r="S684" s="86"/>
      <c r="T684" s="84"/>
      <c r="U684" s="84"/>
      <c r="V684" s="86"/>
      <c r="W684" s="84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66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2"/>
      <c r="AY684" s="72"/>
    </row>
    <row r="685" spans="2:51" x14ac:dyDescent="0.25">
      <c r="B685" s="70"/>
      <c r="C685" s="67"/>
      <c r="D685" s="68"/>
      <c r="E685" s="69"/>
      <c r="F685" s="84"/>
      <c r="G685" s="83"/>
      <c r="H685" s="84"/>
      <c r="I685" s="84"/>
      <c r="J685" s="84"/>
      <c r="K685" s="84"/>
      <c r="L685" s="84"/>
      <c r="M685" s="83"/>
      <c r="N685" s="84"/>
      <c r="O685" s="84"/>
      <c r="P685" s="84"/>
      <c r="Q685" s="84"/>
      <c r="R685" s="84"/>
      <c r="S685" s="86"/>
      <c r="T685" s="84"/>
      <c r="U685" s="84"/>
      <c r="V685" s="86"/>
      <c r="W685" s="84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66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2"/>
      <c r="AY685" s="72"/>
    </row>
    <row r="686" spans="2:51" x14ac:dyDescent="0.25">
      <c r="B686" s="70"/>
      <c r="C686" s="67"/>
      <c r="D686" s="68"/>
      <c r="E686" s="69"/>
      <c r="F686" s="84"/>
      <c r="G686" s="83"/>
      <c r="H686" s="84"/>
      <c r="I686" s="84"/>
      <c r="J686" s="84"/>
      <c r="K686" s="84"/>
      <c r="L686" s="84"/>
      <c r="M686" s="83"/>
      <c r="N686" s="84"/>
      <c r="O686" s="84"/>
      <c r="P686" s="84"/>
      <c r="Q686" s="84"/>
      <c r="R686" s="84"/>
      <c r="S686" s="86"/>
      <c r="T686" s="84"/>
      <c r="U686" s="84"/>
      <c r="V686" s="86"/>
      <c r="W686" s="84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66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2"/>
      <c r="AY686" s="72"/>
    </row>
    <row r="687" spans="2:51" x14ac:dyDescent="0.25">
      <c r="B687" s="70"/>
      <c r="C687" s="67"/>
      <c r="D687" s="68"/>
      <c r="E687" s="69"/>
      <c r="F687" s="84"/>
      <c r="G687" s="83"/>
      <c r="H687" s="84"/>
      <c r="I687" s="84"/>
      <c r="J687" s="84"/>
      <c r="K687" s="84"/>
      <c r="L687" s="84"/>
      <c r="M687" s="83"/>
      <c r="N687" s="84"/>
      <c r="O687" s="84"/>
      <c r="P687" s="84"/>
      <c r="Q687" s="84"/>
      <c r="R687" s="84"/>
      <c r="S687" s="86"/>
      <c r="T687" s="84"/>
      <c r="U687" s="84"/>
      <c r="V687" s="86"/>
      <c r="W687" s="84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66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2"/>
      <c r="AY687" s="72"/>
    </row>
    <row r="688" spans="2:51" x14ac:dyDescent="0.25">
      <c r="B688" s="70"/>
      <c r="C688" s="67"/>
      <c r="D688" s="68"/>
      <c r="E688" s="69"/>
      <c r="F688" s="84"/>
      <c r="G688" s="83"/>
      <c r="H688" s="84"/>
      <c r="I688" s="84"/>
      <c r="J688" s="84"/>
      <c r="K688" s="84"/>
      <c r="L688" s="84"/>
      <c r="M688" s="83"/>
      <c r="N688" s="84"/>
      <c r="O688" s="84"/>
      <c r="P688" s="84"/>
      <c r="Q688" s="84"/>
      <c r="R688" s="84"/>
      <c r="S688" s="86"/>
      <c r="T688" s="84"/>
      <c r="U688" s="84"/>
      <c r="V688" s="86"/>
      <c r="W688" s="84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66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2"/>
      <c r="AY688" s="72"/>
    </row>
    <row r="689" spans="2:51" x14ac:dyDescent="0.25">
      <c r="B689" s="70"/>
      <c r="C689" s="67"/>
      <c r="D689" s="68"/>
      <c r="E689" s="69"/>
      <c r="F689" s="84"/>
      <c r="G689" s="83"/>
      <c r="H689" s="84"/>
      <c r="I689" s="84"/>
      <c r="J689" s="84"/>
      <c r="K689" s="84"/>
      <c r="L689" s="84"/>
      <c r="M689" s="83"/>
      <c r="N689" s="84"/>
      <c r="O689" s="84"/>
      <c r="P689" s="84"/>
      <c r="Q689" s="84"/>
      <c r="R689" s="84"/>
      <c r="S689" s="86"/>
      <c r="T689" s="84"/>
      <c r="U689" s="84"/>
      <c r="V689" s="86"/>
      <c r="W689" s="84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66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2"/>
      <c r="AY689" s="72"/>
    </row>
    <row r="690" spans="2:51" x14ac:dyDescent="0.25">
      <c r="B690" s="70"/>
      <c r="C690" s="67"/>
      <c r="D690" s="68"/>
      <c r="E690" s="69"/>
      <c r="F690" s="84"/>
      <c r="G690" s="83"/>
      <c r="H690" s="84"/>
      <c r="I690" s="84"/>
      <c r="J690" s="84"/>
      <c r="K690" s="84"/>
      <c r="L690" s="84"/>
      <c r="M690" s="83"/>
      <c r="N690" s="84"/>
      <c r="O690" s="84"/>
      <c r="P690" s="84"/>
      <c r="Q690" s="84"/>
      <c r="R690" s="84"/>
      <c r="S690" s="86"/>
      <c r="T690" s="84"/>
      <c r="U690" s="84"/>
      <c r="V690" s="86"/>
      <c r="W690" s="84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66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2"/>
      <c r="AY690" s="72"/>
    </row>
    <row r="691" spans="2:51" x14ac:dyDescent="0.25">
      <c r="B691" s="70"/>
      <c r="C691" s="67"/>
      <c r="D691" s="68"/>
      <c r="E691" s="69"/>
      <c r="F691" s="84"/>
      <c r="G691" s="83"/>
      <c r="H691" s="84"/>
      <c r="I691" s="84"/>
      <c r="J691" s="84"/>
      <c r="K691" s="84"/>
      <c r="L691" s="84"/>
      <c r="M691" s="83"/>
      <c r="N691" s="84"/>
      <c r="O691" s="84"/>
      <c r="P691" s="84"/>
      <c r="Q691" s="84"/>
      <c r="R691" s="84"/>
      <c r="S691" s="86"/>
      <c r="T691" s="84"/>
      <c r="U691" s="84"/>
      <c r="V691" s="86"/>
      <c r="W691" s="84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66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2"/>
      <c r="AY691" s="72"/>
    </row>
    <row r="692" spans="2:51" x14ac:dyDescent="0.25">
      <c r="B692" s="70"/>
      <c r="C692" s="67"/>
      <c r="D692" s="68"/>
      <c r="E692" s="69"/>
      <c r="F692" s="84"/>
      <c r="G692" s="83"/>
      <c r="H692" s="84"/>
      <c r="I692" s="84"/>
      <c r="J692" s="84"/>
      <c r="K692" s="84"/>
      <c r="L692" s="84"/>
      <c r="M692" s="83"/>
      <c r="N692" s="84"/>
      <c r="O692" s="84"/>
      <c r="P692" s="84"/>
      <c r="Q692" s="84"/>
      <c r="R692" s="84"/>
      <c r="S692" s="86"/>
      <c r="T692" s="84"/>
      <c r="U692" s="84"/>
      <c r="V692" s="86"/>
      <c r="W692" s="84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66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2"/>
      <c r="AY692" s="72"/>
    </row>
    <row r="693" spans="2:51" x14ac:dyDescent="0.25">
      <c r="B693" s="70"/>
      <c r="C693" s="67"/>
      <c r="D693" s="68"/>
      <c r="E693" s="69"/>
      <c r="F693" s="84"/>
      <c r="G693" s="83"/>
      <c r="H693" s="84"/>
      <c r="I693" s="84"/>
      <c r="J693" s="84"/>
      <c r="K693" s="84"/>
      <c r="L693" s="84"/>
      <c r="M693" s="83"/>
      <c r="N693" s="84"/>
      <c r="O693" s="84"/>
      <c r="P693" s="84"/>
      <c r="Q693" s="84"/>
      <c r="R693" s="84"/>
      <c r="S693" s="86"/>
      <c r="T693" s="84"/>
      <c r="U693" s="84"/>
      <c r="V693" s="86"/>
      <c r="W693" s="84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66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2"/>
      <c r="AY693" s="72"/>
    </row>
    <row r="694" spans="2:51" x14ac:dyDescent="0.25">
      <c r="B694" s="70"/>
      <c r="C694" s="67"/>
      <c r="D694" s="68"/>
      <c r="E694" s="69"/>
      <c r="F694" s="84"/>
      <c r="G694" s="83"/>
      <c r="H694" s="84"/>
      <c r="I694" s="84"/>
      <c r="J694" s="84"/>
      <c r="K694" s="84"/>
      <c r="L694" s="84"/>
      <c r="M694" s="83"/>
      <c r="N694" s="84"/>
      <c r="O694" s="84"/>
      <c r="P694" s="84"/>
      <c r="Q694" s="84"/>
      <c r="R694" s="84"/>
      <c r="S694" s="86"/>
      <c r="T694" s="84"/>
      <c r="U694" s="84"/>
      <c r="V694" s="86"/>
      <c r="W694" s="84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66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2"/>
      <c r="AY694" s="72"/>
    </row>
    <row r="695" spans="2:51" x14ac:dyDescent="0.25">
      <c r="B695" s="70"/>
      <c r="C695" s="67"/>
      <c r="D695" s="68"/>
      <c r="E695" s="69"/>
      <c r="F695" s="84"/>
      <c r="G695" s="83"/>
      <c r="H695" s="84"/>
      <c r="I695" s="84"/>
      <c r="J695" s="84"/>
      <c r="K695" s="84"/>
      <c r="L695" s="84"/>
      <c r="M695" s="83"/>
      <c r="N695" s="84"/>
      <c r="O695" s="84"/>
      <c r="P695" s="84"/>
      <c r="Q695" s="84"/>
      <c r="R695" s="84"/>
      <c r="S695" s="86"/>
      <c r="T695" s="84"/>
      <c r="U695" s="84"/>
      <c r="V695" s="86"/>
      <c r="W695" s="84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66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2"/>
      <c r="AY695" s="72"/>
    </row>
  </sheetData>
  <mergeCells count="35">
    <mergeCell ref="AF240:AF24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AC240:AC241"/>
    <mergeCell ref="AD240:AD241"/>
    <mergeCell ref="AE240:AE241"/>
    <mergeCell ref="T240:T241"/>
    <mergeCell ref="X239:AC239"/>
    <mergeCell ref="AD239:AG239"/>
    <mergeCell ref="F240:F241"/>
    <mergeCell ref="G240:G241"/>
    <mergeCell ref="H240:H241"/>
    <mergeCell ref="I240:I241"/>
    <mergeCell ref="J240:J241"/>
    <mergeCell ref="L240:L241"/>
    <mergeCell ref="M240:M241"/>
    <mergeCell ref="N240:N241"/>
    <mergeCell ref="O240:O241"/>
    <mergeCell ref="P240:P241"/>
    <mergeCell ref="Q240:Q241"/>
    <mergeCell ref="R240:R241"/>
    <mergeCell ref="S240:S241"/>
    <mergeCell ref="F2:H2"/>
    <mergeCell ref="I2:L2"/>
    <mergeCell ref="M2:P2"/>
    <mergeCell ref="Q2:T2"/>
    <mergeCell ref="F239:K239"/>
    <mergeCell ref="L239:Q239"/>
    <mergeCell ref="R239:W239"/>
  </mergeCells>
  <pageMargins left="0.7" right="0.7" top="0.75" bottom="0.75" header="0.3" footer="0.3"/>
  <pageSetup paperSize="0" orientation="portrait" horizontalDpi="0" verticalDpi="0" copies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/>
  <dimension ref="A1:BE244"/>
  <sheetViews>
    <sheetView showGridLines="0" topLeftCell="AH1" workbookViewId="0">
      <selection activeCell="AJ7" sqref="AJ7"/>
    </sheetView>
  </sheetViews>
  <sheetFormatPr defaultRowHeight="15" x14ac:dyDescent="0.25"/>
  <cols>
    <col min="1" max="1" width="1.5703125" customWidth="1"/>
    <col min="2" max="2" width="4.85546875" customWidth="1"/>
    <col min="3" max="4" width="6" customWidth="1"/>
    <col min="5" max="5" width="6.5703125" customWidth="1"/>
    <col min="6" max="6" width="9.42578125" customWidth="1"/>
    <col min="7" max="7" width="12.28515625" customWidth="1"/>
    <col min="8" max="8" width="12.85546875" customWidth="1"/>
    <col min="9" max="9" width="17.5703125" customWidth="1"/>
    <col min="10" max="10" width="12.5703125" customWidth="1"/>
    <col min="11" max="11" width="10.42578125" customWidth="1"/>
    <col min="12" max="12" width="8.7109375" customWidth="1"/>
    <col min="13" max="13" width="12.140625" customWidth="1"/>
    <col min="14" max="14" width="13.5703125" customWidth="1"/>
    <col min="15" max="15" width="20.7109375" customWidth="1"/>
    <col min="16" max="16" width="15.5703125" customWidth="1"/>
    <col min="17" max="17" width="8.7109375" customWidth="1"/>
    <col min="18" max="18" width="10.28515625" customWidth="1"/>
    <col min="19" max="19" width="17" bestFit="1" customWidth="1"/>
    <col min="20" max="20" width="13.140625" customWidth="1"/>
    <col min="21" max="21" width="10.42578125" customWidth="1"/>
    <col min="22" max="22" width="14.140625" customWidth="1"/>
    <col min="23" max="23" width="16.42578125" bestFit="1" customWidth="1"/>
    <col min="24" max="24" width="9.85546875" customWidth="1"/>
    <col min="25" max="25" width="11.5703125" customWidth="1"/>
    <col min="26" max="26" width="12.5703125" customWidth="1"/>
    <col min="27" max="27" width="9.85546875" customWidth="1"/>
    <col min="28" max="28" width="10.28515625" customWidth="1"/>
    <col min="29" max="29" width="9.7109375" customWidth="1"/>
    <col min="30" max="31" width="9.5703125" customWidth="1"/>
    <col min="32" max="32" width="14.7109375" customWidth="1"/>
    <col min="33" max="33" width="13.28515625" customWidth="1"/>
    <col min="34" max="34" width="3.140625" customWidth="1"/>
    <col min="35" max="35" width="12.85546875" customWidth="1"/>
    <col min="36" max="36" width="10" customWidth="1"/>
    <col min="37" max="40" width="12.7109375" customWidth="1"/>
    <col min="41" max="41" width="11.85546875" bestFit="1" customWidth="1"/>
    <col min="42" max="42" width="9.85546875" bestFit="1" customWidth="1"/>
    <col min="43" max="43" width="12.5703125" customWidth="1"/>
    <col min="44" max="44" width="10.7109375" customWidth="1"/>
    <col min="45" max="45" width="10.85546875" customWidth="1"/>
    <col min="46" max="46" width="12.42578125" customWidth="1"/>
    <col min="47" max="47" width="16.42578125" bestFit="1" customWidth="1"/>
    <col min="48" max="48" width="16.42578125" customWidth="1"/>
    <col min="49" max="49" width="12.28515625" customWidth="1"/>
    <col min="50" max="52" width="14.42578125" bestFit="1" customWidth="1"/>
  </cols>
  <sheetData>
    <row r="1" spans="1:56" ht="15.75" x14ac:dyDescent="0.25">
      <c r="A1" s="89" t="s">
        <v>720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</row>
    <row r="2" spans="1:56" x14ac:dyDescent="0.25">
      <c r="A2" s="59"/>
      <c r="B2" s="70"/>
      <c r="C2" s="70"/>
      <c r="D2" s="70"/>
      <c r="E2" s="70"/>
      <c r="F2" s="397" t="s">
        <v>721</v>
      </c>
      <c r="G2" s="398"/>
      <c r="H2" s="398"/>
      <c r="I2" s="398"/>
      <c r="J2" s="398"/>
      <c r="K2" s="399"/>
      <c r="L2" s="400" t="s">
        <v>722</v>
      </c>
      <c r="M2" s="401"/>
      <c r="N2" s="401"/>
      <c r="O2" s="401"/>
      <c r="P2" s="401"/>
      <c r="Q2" s="402"/>
      <c r="R2" s="397" t="s">
        <v>666</v>
      </c>
      <c r="S2" s="398"/>
      <c r="T2" s="398"/>
      <c r="U2" s="398"/>
      <c r="V2" s="398"/>
      <c r="W2" s="399"/>
      <c r="X2" s="397" t="s">
        <v>667</v>
      </c>
      <c r="Y2" s="398"/>
      <c r="Z2" s="398"/>
      <c r="AA2" s="398"/>
      <c r="AB2" s="398"/>
      <c r="AC2" s="399"/>
      <c r="AD2" s="397" t="s">
        <v>700</v>
      </c>
      <c r="AE2" s="398"/>
      <c r="AF2" s="398"/>
      <c r="AG2" s="398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6" ht="15" customHeight="1" x14ac:dyDescent="0.25">
      <c r="A3" s="59"/>
      <c r="B3" s="91" t="s">
        <v>668</v>
      </c>
      <c r="C3" s="91" t="s">
        <v>669</v>
      </c>
      <c r="D3" s="91" t="s">
        <v>669</v>
      </c>
      <c r="E3" s="91" t="s">
        <v>670</v>
      </c>
      <c r="F3" s="404" t="s">
        <v>723</v>
      </c>
      <c r="G3" s="403" t="s">
        <v>724</v>
      </c>
      <c r="H3" s="403" t="s">
        <v>731</v>
      </c>
      <c r="I3" s="403" t="s">
        <v>726</v>
      </c>
      <c r="J3" s="403" t="s">
        <v>727</v>
      </c>
      <c r="K3" s="93" t="s">
        <v>671</v>
      </c>
      <c r="L3" s="405" t="s">
        <v>723</v>
      </c>
      <c r="M3" s="406" t="s">
        <v>724</v>
      </c>
      <c r="N3" s="403" t="s">
        <v>731</v>
      </c>
      <c r="O3" s="406" t="s">
        <v>726</v>
      </c>
      <c r="P3" s="406" t="s">
        <v>727</v>
      </c>
      <c r="Q3" s="407" t="s">
        <v>729</v>
      </c>
      <c r="R3" s="405" t="s">
        <v>730</v>
      </c>
      <c r="S3" s="403" t="s">
        <v>724</v>
      </c>
      <c r="T3" s="403" t="s">
        <v>731</v>
      </c>
      <c r="U3" s="403" t="s">
        <v>732</v>
      </c>
      <c r="V3" s="403" t="s">
        <v>733</v>
      </c>
      <c r="W3" s="407" t="s">
        <v>730</v>
      </c>
      <c r="X3" s="406" t="s">
        <v>734</v>
      </c>
      <c r="Y3" s="406" t="s">
        <v>724</v>
      </c>
      <c r="Z3" s="406" t="s">
        <v>731</v>
      </c>
      <c r="AA3" s="406" t="s">
        <v>732</v>
      </c>
      <c r="AB3" s="406" t="s">
        <v>733</v>
      </c>
      <c r="AC3" s="407" t="s">
        <v>734</v>
      </c>
      <c r="AD3" s="408" t="s">
        <v>703</v>
      </c>
      <c r="AE3" s="403" t="s">
        <v>735</v>
      </c>
      <c r="AF3" s="403" t="s">
        <v>736</v>
      </c>
      <c r="AG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62" t="s">
        <v>677</v>
      </c>
      <c r="AX3" s="62" t="s">
        <v>677</v>
      </c>
      <c r="AY3" s="62" t="s">
        <v>679</v>
      </c>
      <c r="AZ3" s="62" t="s">
        <v>738</v>
      </c>
      <c r="BA3" s="62" t="s">
        <v>739</v>
      </c>
      <c r="BB3" s="62" t="s">
        <v>739</v>
      </c>
      <c r="BC3" s="62" t="s">
        <v>740</v>
      </c>
      <c r="BD3" s="62" t="s">
        <v>741</v>
      </c>
    </row>
    <row r="4" spans="1:56" x14ac:dyDescent="0.25">
      <c r="A4" s="59"/>
      <c r="B4" s="91"/>
      <c r="C4" s="91" t="s">
        <v>682</v>
      </c>
      <c r="D4" s="91" t="s">
        <v>682</v>
      </c>
      <c r="E4" s="91"/>
      <c r="F4" s="404"/>
      <c r="G4" s="403"/>
      <c r="H4" s="403"/>
      <c r="I4" s="403"/>
      <c r="J4" s="403"/>
      <c r="K4" s="93" t="s">
        <v>737</v>
      </c>
      <c r="L4" s="405"/>
      <c r="M4" s="406"/>
      <c r="N4" s="403"/>
      <c r="O4" s="406"/>
      <c r="P4" s="406"/>
      <c r="Q4" s="407"/>
      <c r="R4" s="405"/>
      <c r="S4" s="403"/>
      <c r="T4" s="403"/>
      <c r="U4" s="403"/>
      <c r="V4" s="403"/>
      <c r="W4" s="407"/>
      <c r="X4" s="406"/>
      <c r="Y4" s="406"/>
      <c r="Z4" s="406"/>
      <c r="AA4" s="406"/>
      <c r="AB4" s="406"/>
      <c r="AC4" s="407"/>
      <c r="AD4" s="408"/>
      <c r="AE4" s="403"/>
      <c r="AF4" s="403"/>
      <c r="AG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689</v>
      </c>
      <c r="AZ4" s="62" t="s">
        <v>689</v>
      </c>
      <c r="BA4" s="62" t="s">
        <v>715</v>
      </c>
      <c r="BB4" s="62" t="s">
        <v>742</v>
      </c>
      <c r="BC4" s="62" t="s">
        <v>743</v>
      </c>
      <c r="BD4" s="62"/>
    </row>
    <row r="5" spans="1:56" x14ac:dyDescent="0.25">
      <c r="A5" s="59"/>
      <c r="B5" s="66">
        <v>1</v>
      </c>
      <c r="C5" s="67">
        <f ca="1">IF(E5-'Invoer gegevens'!$C$17&lt;0,0,1)</f>
        <v>1</v>
      </c>
      <c r="D5" s="68">
        <v>0.5</v>
      </c>
      <c r="E5" s="108">
        <f ca="1">IF('Invoer gegevens'!$C$16="","",'Invoer gegevens'!$C$16)</f>
        <v>2019</v>
      </c>
      <c r="F5" s="84">
        <f ca="1">IF('Invoer gegevens'!$C$17=E5,'Invoer gegevens'!$C$10,IF(C5=1,K4,0))</f>
        <v>0</v>
      </c>
      <c r="G5" s="96">
        <f ca="1">IF(BD5&lt;1,F5*Reeksen!C5,IF(C5&gt;=1,F5*BA5,0))</f>
        <v>0</v>
      </c>
      <c r="H5" s="84">
        <f ca="1">(1-('Invoer gegevens'!$F$20/12))*F5*MIN(BA5,BC5)</f>
        <v>0</v>
      </c>
      <c r="I5" s="84">
        <f t="shared" ref="I5:I68" ca="1" si="0">IF(BD5&lt;1,G5-H5,IF(BC5&lt;BA5,(BA5-BC5)*F5,0))</f>
        <v>0</v>
      </c>
      <c r="J5" s="84">
        <f ca="1">('Invoer gegevens'!$F$20/12)*F4*MIN(BA5,BC5)</f>
        <v>0</v>
      </c>
      <c r="K5" s="97">
        <f ca="1">IF(F5-G5&lt;0,0,F5-G5)</f>
        <v>0</v>
      </c>
      <c r="L5" s="84">
        <f ca="1">IF('Invoer gegevens'!$C$17=E5,0,IF(C5=1,Q4,0))</f>
        <v>0</v>
      </c>
      <c r="M5" s="96">
        <f t="shared" ref="M5:M68" ca="1" si="1">IF(C5&gt;=1,L5*BA5,0)</f>
        <v>0</v>
      </c>
      <c r="N5" s="84">
        <f ca="1">(1-('Invoer gegevens'!$F$20/12))*L5*MIN(BA5,BC5)</f>
        <v>0</v>
      </c>
      <c r="O5" s="84">
        <f t="shared" ref="O5:O68" ca="1" si="2">IF(BC5&lt;BA5,(BA5-BC5)*L5,0)</f>
        <v>0</v>
      </c>
      <c r="P5" s="84">
        <f ca="1">('Invoer gegevens'!$F$20/12)*L4*MIN(BA5,BC5)</f>
        <v>0</v>
      </c>
      <c r="Q5" s="84">
        <f ca="1">IF(L5-M5+I5+O5&lt;0,0,L5-M5+I5+O5)</f>
        <v>0</v>
      </c>
      <c r="R5" s="85">
        <f ca="1">IF('Invoer gegevens'!$C$17=E5,'Invoer gegevens'!$C$11,IF(C5=1,W4,0))</f>
        <v>0</v>
      </c>
      <c r="S5" s="86">
        <f t="shared" ref="S5:S68" ca="1" si="3">IF(C5&gt;=1,R5*BA5,0)</f>
        <v>0</v>
      </c>
      <c r="T5" s="86">
        <f ca="1">(1-('Invoer gegevens'!$F$20/12))*R5*MIN(BC5,BA5)</f>
        <v>0</v>
      </c>
      <c r="U5" s="86">
        <f ca="1">IF(BD5&lt;1,IF(Reeksen!AD5&lt;=Reeksen!AE5,R5*Reeksen!C5,0),IF(BC5&gt;=BA5,0,IF(Reeksen!AD5&lt;=Reeksen!AE5,(BA5-BC5)*R5,0)))</f>
        <v>0</v>
      </c>
      <c r="V5" s="86">
        <f ca="1">IF(BD5&lt;1,IF(Reeksen!AD5&gt;Reeksen!AE5,R5*Reeksen!C5,0),IF(BC5&gt;=BA5,0,IF(Reeksen!AD5&gt;Reeksen!AE5,(BA5-BC5)*R5,0)))</f>
        <v>0</v>
      </c>
      <c r="W5" s="218">
        <f ca="1">R5-S5-V5+AA5</f>
        <v>0</v>
      </c>
      <c r="X5" s="98">
        <f ca="1">IF('Invoer gegevens'!$C$17=E5,'Invoer gegevens'!$C$10-'Invoer gegevens'!$C$11,IF(C5=1,AC4,0))</f>
        <v>0</v>
      </c>
      <c r="Y5" s="98">
        <f t="shared" ref="Y5:Y68" ca="1" si="4">IF(C5&gt;=1,X5*BA5,0)</f>
        <v>0</v>
      </c>
      <c r="Z5" s="98">
        <f ca="1">(1-('Invoer gegevens'!$F$20/12))*X5*MIN(BA5,BC5)</f>
        <v>0</v>
      </c>
      <c r="AA5" s="98">
        <f ca="1">IF(BD5&lt;1,IF(Reeksen!AD5&lt;=Reeksen!AE5,X5*Reeksen!C5,0),IF(BC5&gt;=BA5,0,IF(Reeksen!AD5&lt;=Reeksen!AE5,(BA5-BC5)*X5,0)))</f>
        <v>0</v>
      </c>
      <c r="AB5" s="98">
        <f ca="1">IF(BD5&lt;1,IF(Reeksen!AD5&gt;Reeksen!AE5,X5*Reeksen!C5,0),IF(BC5&gt;=BA5,0,IF(Reeksen!AD5&gt;Reeksen!AE5,(BA5-BC5)*X5,0)))</f>
        <v>0</v>
      </c>
      <c r="AC5" s="99">
        <f ca="1">X5-Y5+V5-AA5</f>
        <v>0</v>
      </c>
      <c r="AD5" s="98">
        <f ca="1">IF('Invoer gegevens'!$C$17=E5,R5,IF(C5=0,0,AE4))</f>
        <v>0</v>
      </c>
      <c r="AE5" s="98">
        <f ca="1">IF(C5=0,0,AD5-S5-V5+AA5)</f>
        <v>0</v>
      </c>
      <c r="AF5" s="98">
        <f ca="1">IF('Invoer gegevens'!$C$17=E5,X5,IF(C5=0,0,AG4))</f>
        <v>0</v>
      </c>
      <c r="AG5" s="98">
        <f ca="1">IF(C5=0,0,AF5-Y5-AA5+V5)</f>
        <v>0</v>
      </c>
      <c r="AH5" s="66"/>
      <c r="AI5" s="71">
        <f ca="1">IF(C5=1,Reeksen!AI5*((F5+K5)/2)*12+Reeksen!AD5*((L5+Q5)/2)*12,0)</f>
        <v>0</v>
      </c>
      <c r="AJ5" s="71">
        <f ca="1">-AI5*'Invoer gegevens'!$F$26</f>
        <v>0</v>
      </c>
      <c r="AK5" s="71">
        <f ca="1">AI5+AJ5</f>
        <v>0</v>
      </c>
      <c r="AL5" s="71">
        <f ca="1">IF(C5=1,Reeksen!AL5*((F5-G5+F5)/2)*12+Reeksen!AM5*((L5-M5+L5)/2)*12,0)</f>
        <v>0</v>
      </c>
      <c r="AM5" s="71">
        <f ca="1">-AL5*'Invoer gegevens'!$F$31</f>
        <v>0</v>
      </c>
      <c r="AN5" s="71">
        <f ca="1">AL5+AM5</f>
        <v>0</v>
      </c>
      <c r="AO5" s="71">
        <f ca="1">IF(C5=1,(H5+J5+N5+P5)*Reeksen!AN5,0)</f>
        <v>0</v>
      </c>
      <c r="AP5" s="71">
        <f ca="1">-IF(C5=1,(H5+J5+N5+P5)*'Hulp - basis'!$G$550*Reeksen!H5,0)</f>
        <v>0</v>
      </c>
      <c r="AQ5" s="71">
        <f ca="1">-IF(C5=1,(F5+K5+L5+Q5)/2*'Invoer gegevens'!$F$35*Reeksen!J5,0)*2</f>
        <v>0</v>
      </c>
      <c r="AR5" s="71">
        <f ca="1">IF(BD5&lt;1,-IF(C5=1,(G5*'Invoer gegevens'!$F$36)*Reeksen!J5,0),0)</f>
        <v>0</v>
      </c>
      <c r="AS5" s="71">
        <f ca="1">-IF(C5=1,(F5+K5+L5+Q5)/2*'Invoer gegevens'!$F$37*Reeksen!L5,0)</f>
        <v>0</v>
      </c>
      <c r="AT5" s="71">
        <f ca="1">-IF(C5=1,IF(E5='Invoer gegevens'!$C$17,'Invoer gegevens'!$C$11,AD5)*Reeksen!S5*'Invoer gegevens'!$C$18*Reeksen!P5,0)</f>
        <v>0</v>
      </c>
      <c r="AU5" s="71">
        <f ca="1">-IF(C5=1,(F5+K5+L5+Q5)/2*'Invoer gegevens'!$F$38*Reeksen!H5,0)</f>
        <v>0</v>
      </c>
      <c r="AV5" s="71">
        <f>IF('Invoer gegevens'!$C$3="Basis",0,#REF!)</f>
        <v>0</v>
      </c>
      <c r="AW5" s="71">
        <f ca="1">SUM(AK5,AN5:AV5)</f>
        <v>0</v>
      </c>
      <c r="AX5" s="71">
        <f ca="1">IF(E5&lt;'Invoer gegevens'!$C$17+15,0,IF(E5&gt;'Invoer gegevens'!$C$17+215,0,AW5))</f>
        <v>0</v>
      </c>
      <c r="AY5" s="71">
        <f ca="1">AX5/(1+'Invoer gegevens'!$F$18)^($AZ5-('Invoer gegevens'!$C$17-'Invoer gegevens'!$C$16))/(1+'Invoer gegevens'!$C$39)^('Invoer gegevens'!$C$17-'Invoer gegevens'!$C$16)</f>
        <v>0</v>
      </c>
      <c r="AZ5" s="68">
        <f ca="1">IF(E5-'Invoer gegevens'!$C$17-14.5&lt;0,0,E5-'Invoer gegevens'!$C$17-14.5)</f>
        <v>0</v>
      </c>
      <c r="BA5" s="109">
        <f ca="1">IFERROR(VLOOKUP(E5-15,Reeksen!$A$5:$D$234,2,FALSE),0)</f>
        <v>0</v>
      </c>
      <c r="BB5" s="109">
        <f ca="1">IFERROR(VLOOKUP(E5-15,Reeksen!$A$5:$D$234,3,FALSE),0)</f>
        <v>0</v>
      </c>
      <c r="BC5" s="109">
        <f ca="1">IFERROR(VLOOKUP(E5-15,Reeksen!$A$5:$D$234,4,FALSE),0)</f>
        <v>0</v>
      </c>
      <c r="BD5" s="67">
        <f ca="1">IF(E5-'Invoer gegevens'!$C$17&lt;15,0,1)</f>
        <v>0</v>
      </c>
    </row>
    <row r="6" spans="1:56" x14ac:dyDescent="0.25">
      <c r="A6" s="59"/>
      <c r="B6" s="70">
        <f>B5+1</f>
        <v>2</v>
      </c>
      <c r="C6" s="67">
        <f ca="1">IF(E6-'Invoer gegevens'!$C$17&lt;0,0,1)</f>
        <v>1</v>
      </c>
      <c r="D6" s="68">
        <f>D5+1</f>
        <v>1.5</v>
      </c>
      <c r="E6" s="108">
        <f ca="1">IF('Invoer gegevens'!$C$16="","",E5+1)</f>
        <v>2020</v>
      </c>
      <c r="F6" s="84">
        <f ca="1">IF('Invoer gegevens'!$C$17=E6,'Invoer gegevens'!$C$10,IF(C6=1,K5,0))</f>
        <v>0</v>
      </c>
      <c r="G6" s="96">
        <f ca="1">IF(BD6&lt;1,F6*Reeksen!C6,IF(C6&gt;=1,F6*BA6,0))</f>
        <v>0</v>
      </c>
      <c r="H6" s="84">
        <f ca="1">(1-('Invoer gegevens'!$F$20/12))*F6*MIN(BA6,BC6)</f>
        <v>0</v>
      </c>
      <c r="I6" s="84">
        <f t="shared" ca="1" si="0"/>
        <v>0</v>
      </c>
      <c r="J6" s="84">
        <f ca="1">('Invoer gegevens'!$F$20/12)*F5*MIN(BA6,BC6)</f>
        <v>0</v>
      </c>
      <c r="K6" s="97">
        <f t="shared" ref="K6:K69" ca="1" si="5">IF(F6-G6&lt;0,0,F6-G6)</f>
        <v>0</v>
      </c>
      <c r="L6" s="84">
        <f ca="1">IF('Invoer gegevens'!$C$17=E6,0,IF(C6=1,Q5,0))</f>
        <v>0</v>
      </c>
      <c r="M6" s="96">
        <f t="shared" ca="1" si="1"/>
        <v>0</v>
      </c>
      <c r="N6" s="84">
        <f ca="1">(1-('Invoer gegevens'!$F$20/12))*L6*MIN(BA6,BC6)</f>
        <v>0</v>
      </c>
      <c r="O6" s="84">
        <f t="shared" ca="1" si="2"/>
        <v>0</v>
      </c>
      <c r="P6" s="84">
        <f ca="1">('Invoer gegevens'!$F$20/12)*L5*MIN(BA6,BC6)</f>
        <v>0</v>
      </c>
      <c r="Q6" s="84">
        <f t="shared" ref="Q6:Q69" ca="1" si="6">IF(L6-M6+I6+O6&lt;0,0,L6-M6+I6+O6)</f>
        <v>0</v>
      </c>
      <c r="R6" s="85">
        <f ca="1">IF('Invoer gegevens'!$C$17=E6,'Invoer gegevens'!$C$11,IF(C6=1,W5,0))</f>
        <v>0</v>
      </c>
      <c r="S6" s="86">
        <f t="shared" ca="1" si="3"/>
        <v>0</v>
      </c>
      <c r="T6" s="86">
        <f ca="1">(1-('Invoer gegevens'!$F$20/12))*R6*MIN(BC6,BA6)</f>
        <v>0</v>
      </c>
      <c r="U6" s="86">
        <f ca="1">IF(BD6&lt;1,IF(Reeksen!AD6&lt;=Reeksen!AE6,R6*Reeksen!C6,0),IF(BC6&gt;=BA6,0,IF(Reeksen!AD6&lt;=Reeksen!AE6,(BA6-BC6)*R6,0)))</f>
        <v>0</v>
      </c>
      <c r="V6" s="86">
        <f ca="1">IF(BD6&lt;1,IF(Reeksen!AD6&gt;Reeksen!AE6,R6*Reeksen!C6,0),IF(BC6&gt;=BA6,0,IF(Reeksen!AD6&gt;Reeksen!AE6,(BA6-BC6)*R6,0)))</f>
        <v>0</v>
      </c>
      <c r="W6" s="218">
        <f t="shared" ref="W6:W69" ca="1" si="7">R6-S6-V6+AA6</f>
        <v>0</v>
      </c>
      <c r="X6" s="98">
        <f ca="1">IF('Invoer gegevens'!$C$17=E6,'Invoer gegevens'!$C$10-'Invoer gegevens'!$C$11,IF(C6=1,AC5,0))</f>
        <v>0</v>
      </c>
      <c r="Y6" s="98">
        <f t="shared" ca="1" si="4"/>
        <v>0</v>
      </c>
      <c r="Z6" s="98">
        <f ca="1">(1-('Invoer gegevens'!$F$20/12))*X6*MIN(BA6,BC6)</f>
        <v>0</v>
      </c>
      <c r="AA6" s="98">
        <f ca="1">IF(BD6&lt;1,IF(Reeksen!AD6&lt;=Reeksen!AE6,X6*Reeksen!C6,0),IF(BC6&gt;=BA6,0,IF(Reeksen!AD6&lt;=Reeksen!AE6,(BA6-BC6)*X6,0)))</f>
        <v>0</v>
      </c>
      <c r="AB6" s="98">
        <f ca="1">IF(BD6&lt;1,IF(Reeksen!AD6&gt;Reeksen!AE6,X6*Reeksen!C6,0),IF(BC6&gt;=BA6,0,IF(Reeksen!AD6&gt;Reeksen!AE6,(BA6-BC6)*X6,0)))</f>
        <v>0</v>
      </c>
      <c r="AC6" s="99">
        <f t="shared" ref="AC6:AC69" ca="1" si="8">X6-Y6+V6-AA6</f>
        <v>0</v>
      </c>
      <c r="AD6" s="98">
        <f ca="1">IF('Invoer gegevens'!$C$17=E6,R6,IF(C6=0,0,AE5))</f>
        <v>0</v>
      </c>
      <c r="AE6" s="98">
        <f t="shared" ref="AE6:AE69" ca="1" si="9">IF(C6=0,0,AD6-S6-V6+AA6)</f>
        <v>0</v>
      </c>
      <c r="AF6" s="98">
        <f ca="1">IF('Invoer gegevens'!$C$17=E6,X6,IF(C6=0,0,AG5))</f>
        <v>0</v>
      </c>
      <c r="AG6" s="98">
        <f t="shared" ref="AG6:AG69" ca="1" si="10">IF(C6=0,0,AF6-Y6-AA6+V6)</f>
        <v>0</v>
      </c>
      <c r="AH6" s="66"/>
      <c r="AI6" s="71">
        <f ca="1">IF(C6=1,Reeksen!AI6*((F6+K6)/2)*12+Reeksen!AD6*((L6+Q6)/2)*12,0)</f>
        <v>0</v>
      </c>
      <c r="AJ6" s="71">
        <f ca="1">-AI6*'Invoer gegevens'!$F$27</f>
        <v>0</v>
      </c>
      <c r="AK6" s="71">
        <f t="shared" ref="AK6:AK69" ca="1" si="11">AI6+AJ6</f>
        <v>0</v>
      </c>
      <c r="AL6" s="71">
        <f ca="1">IF(C6=1,Reeksen!AL6*((F6-G6+F6)/2)*12+Reeksen!AM6*((L6-M6+L6)/2)*12,0)</f>
        <v>0</v>
      </c>
      <c r="AM6" s="71">
        <f ca="1">-AL6*'Invoer gegevens'!$F$31</f>
        <v>0</v>
      </c>
      <c r="AN6" s="71">
        <f t="shared" ref="AN6:AN69" ca="1" si="12">AL6+AM6</f>
        <v>0</v>
      </c>
      <c r="AO6" s="71">
        <f ca="1">IF(C6=1,(H6+J6+N6+P6)*Reeksen!AN6,0)</f>
        <v>0</v>
      </c>
      <c r="AP6" s="71">
        <f ca="1">-IF(C6=1,(H6+J6+N6+P6)*'Hulp - basis'!$G$550*Reeksen!H6,0)</f>
        <v>0</v>
      </c>
      <c r="AQ6" s="71">
        <f ca="1">-IF(C6=1,(F6+K6+L6+Q6)/2*'Invoer gegevens'!$F$35*Reeksen!J6,0)*2</f>
        <v>0</v>
      </c>
      <c r="AR6" s="71">
        <f ca="1">IF(BD6&lt;1,-IF(C6=1,(G6*'Invoer gegevens'!$F$36)*Reeksen!J6,0),0)</f>
        <v>0</v>
      </c>
      <c r="AS6" s="71">
        <f ca="1">-IF(C6=1,(F6+K6+L6+Q6)/2*'Invoer gegevens'!$F$37*Reeksen!L6,0)</f>
        <v>0</v>
      </c>
      <c r="AT6" s="71">
        <f ca="1">-IF(C6=1,IF(E6='Invoer gegevens'!$C$17,'Invoer gegevens'!$C$11,AD6)*Reeksen!S6*'Invoer gegevens'!$C$18*Reeksen!P6,0)</f>
        <v>0</v>
      </c>
      <c r="AU6" s="71">
        <f ca="1">-IF(C6=1,(F6+K6+L6+Q6)/2*'Invoer gegevens'!$F$38*Reeksen!H6,0)</f>
        <v>0</v>
      </c>
      <c r="AV6" s="71">
        <f>IF('Invoer gegevens'!$C$3="Basis",0,#REF!)</f>
        <v>0</v>
      </c>
      <c r="AW6" s="71">
        <f t="shared" ref="AW6:AW69" ca="1" si="13">SUM(AK6,AN6:AV6)</f>
        <v>0</v>
      </c>
      <c r="AX6" s="71">
        <f ca="1">IF(E6&lt;'Invoer gegevens'!$C$17+15,0,IF(E6&gt;'Invoer gegevens'!$C$17+215,0,AW6))</f>
        <v>0</v>
      </c>
      <c r="AY6" s="71">
        <f ca="1">AX6/(1+'Invoer gegevens'!$F$18)^($AZ6-('Invoer gegevens'!$C$17-'Invoer gegevens'!$C$16))/(1+'Invoer gegevens'!$C$39)^('Invoer gegevens'!$C$17-'Invoer gegevens'!$C$16)</f>
        <v>0</v>
      </c>
      <c r="AZ6" s="68">
        <f ca="1">IF(E6-'Invoer gegevens'!$C$17-14.5&lt;0,0,E6-'Invoer gegevens'!$C$17-14.5)</f>
        <v>0</v>
      </c>
      <c r="BA6" s="109">
        <f ca="1">IFERROR(VLOOKUP(E6-15,Reeksen!$A$5:$D$234,2,FALSE),0)</f>
        <v>0</v>
      </c>
      <c r="BB6" s="109">
        <f ca="1">IFERROR(VLOOKUP(E6-15,Reeksen!$A$5:$D$234,3,FALSE),0)</f>
        <v>0</v>
      </c>
      <c r="BC6" s="109">
        <f ca="1">IFERROR(VLOOKUP(E6-15,Reeksen!$A$5:$D$234,4,FALSE),0)</f>
        <v>0</v>
      </c>
      <c r="BD6" s="67">
        <f ca="1">IF(E6-'Invoer gegevens'!$C$17&lt;15,0,1)</f>
        <v>0</v>
      </c>
    </row>
    <row r="7" spans="1:56" x14ac:dyDescent="0.25">
      <c r="A7" s="59"/>
      <c r="B7" s="70">
        <f>B6+1</f>
        <v>3</v>
      </c>
      <c r="C7" s="67">
        <f ca="1">IF(E7-'Invoer gegevens'!$C$17&lt;0,0,1)</f>
        <v>1</v>
      </c>
      <c r="D7" s="68">
        <f>D6+1</f>
        <v>2.5</v>
      </c>
      <c r="E7" s="108">
        <f ca="1">IF('Invoer gegevens'!$C$16="","",E6+1)</f>
        <v>2021</v>
      </c>
      <c r="F7" s="84">
        <f ca="1">IF('Invoer gegevens'!$C$17=E7,'Invoer gegevens'!$C$10,IF(C7=1,K6,0))</f>
        <v>0</v>
      </c>
      <c r="G7" s="96">
        <f ca="1">IF(BD7&lt;1,F7*Reeksen!C7,IF(C7&gt;=1,F7*BA7,0))</f>
        <v>0</v>
      </c>
      <c r="H7" s="84">
        <f ca="1">(1-('Invoer gegevens'!$F$20/12))*F7*MIN(BA7,BC7)</f>
        <v>0</v>
      </c>
      <c r="I7" s="84">
        <f t="shared" ca="1" si="0"/>
        <v>0</v>
      </c>
      <c r="J7" s="84">
        <f ca="1">('Invoer gegevens'!$F$20/12)*F6*MIN(BA7,BC7)</f>
        <v>0</v>
      </c>
      <c r="K7" s="97">
        <f t="shared" ca="1" si="5"/>
        <v>0</v>
      </c>
      <c r="L7" s="84">
        <f ca="1">IF('Invoer gegevens'!$C$17=E7,0,IF(C7=1,Q6,0))</f>
        <v>0</v>
      </c>
      <c r="M7" s="96">
        <f t="shared" ca="1" si="1"/>
        <v>0</v>
      </c>
      <c r="N7" s="84">
        <f ca="1">(1-('Invoer gegevens'!$F$20/12))*L7*MIN(BA7,BC7)</f>
        <v>0</v>
      </c>
      <c r="O7" s="84">
        <f t="shared" ca="1" si="2"/>
        <v>0</v>
      </c>
      <c r="P7" s="84">
        <f ca="1">('Invoer gegevens'!$F$20/12)*L6*MIN(BA7,BC7)</f>
        <v>0</v>
      </c>
      <c r="Q7" s="84">
        <f t="shared" ca="1" si="6"/>
        <v>0</v>
      </c>
      <c r="R7" s="85">
        <f ca="1">IF('Invoer gegevens'!$C$17=E7,'Invoer gegevens'!$C$11,IF(C7=1,W6,0))</f>
        <v>0</v>
      </c>
      <c r="S7" s="86">
        <f t="shared" ca="1" si="3"/>
        <v>0</v>
      </c>
      <c r="T7" s="86">
        <f ca="1">(1-('Invoer gegevens'!$F$20/12))*R7*MIN(BC7,BA7)</f>
        <v>0</v>
      </c>
      <c r="U7" s="86">
        <f ca="1">IF(BD7&lt;1,IF(Reeksen!AD7&lt;=Reeksen!AE7,R7*Reeksen!C7,0),IF(BC7&gt;=BA7,0,IF(Reeksen!AD7&lt;=Reeksen!AE7,(BA7-BC7)*R7,0)))</f>
        <v>0</v>
      </c>
      <c r="V7" s="86">
        <f ca="1">IF(BD7&lt;1,IF(Reeksen!AD7&gt;Reeksen!AE7,R7*Reeksen!C7,0),IF(BC7&gt;=BA7,0,IF(Reeksen!AD7&gt;Reeksen!AE7,(BA7-BC7)*R7,0)))</f>
        <v>0</v>
      </c>
      <c r="W7" s="218">
        <f t="shared" ca="1" si="7"/>
        <v>0</v>
      </c>
      <c r="X7" s="98">
        <f ca="1">IF('Invoer gegevens'!$C$17=E7,'Invoer gegevens'!$C$10-'Invoer gegevens'!$C$11,IF(C7=1,AC6,0))</f>
        <v>0</v>
      </c>
      <c r="Y7" s="98">
        <f t="shared" ca="1" si="4"/>
        <v>0</v>
      </c>
      <c r="Z7" s="98">
        <f ca="1">(1-('Invoer gegevens'!$F$20/12))*X7*MIN(BA7,BC7)</f>
        <v>0</v>
      </c>
      <c r="AA7" s="98">
        <f ca="1">IF(BD7&lt;1,IF(Reeksen!AD7&lt;=Reeksen!AE7,X7*Reeksen!C7,0),IF(BC7&gt;=BA7,0,IF(Reeksen!AD7&lt;=Reeksen!AE7,(BA7-BC7)*X7,0)))</f>
        <v>0</v>
      </c>
      <c r="AB7" s="98">
        <f ca="1">IF(BD7&lt;1,IF(Reeksen!AD7&gt;Reeksen!AE7,X7*Reeksen!C7,0),IF(BC7&gt;=BA7,0,IF(Reeksen!AD7&gt;Reeksen!AE7,(BA7-BC7)*X7,0)))</f>
        <v>0</v>
      </c>
      <c r="AC7" s="99">
        <f t="shared" ca="1" si="8"/>
        <v>0</v>
      </c>
      <c r="AD7" s="98">
        <f ca="1">IF('Invoer gegevens'!$C$17=E7,R7,IF(C7=0,0,AE6))</f>
        <v>0</v>
      </c>
      <c r="AE7" s="98">
        <f t="shared" ca="1" si="9"/>
        <v>0</v>
      </c>
      <c r="AF7" s="98">
        <f ca="1">IF('Invoer gegevens'!$C$17=E7,X7,IF(C7=0,0,AG6))</f>
        <v>0</v>
      </c>
      <c r="AG7" s="98">
        <f t="shared" ca="1" si="10"/>
        <v>0</v>
      </c>
      <c r="AH7" s="66"/>
      <c r="AI7" s="71">
        <f ca="1">IF(C7=1,Reeksen!AI7*((F7+K7)/2)*12+Reeksen!AD7*((L7+Q7)/2)*12,0)</f>
        <v>0</v>
      </c>
      <c r="AJ7" s="71">
        <f ca="1">-AI7*'Invoer gegevens'!$F$28</f>
        <v>0</v>
      </c>
      <c r="AK7" s="71">
        <f t="shared" ca="1" si="11"/>
        <v>0</v>
      </c>
      <c r="AL7" s="71">
        <f ca="1">IF(C7=1,Reeksen!AL7*((F7-G7+F7)/2)*12+Reeksen!AM7*((L7-M7+L7)/2)*12,0)</f>
        <v>0</v>
      </c>
      <c r="AM7" s="71">
        <f ca="1">-AL7*'Invoer gegevens'!$F$31</f>
        <v>0</v>
      </c>
      <c r="AN7" s="71">
        <f t="shared" ca="1" si="12"/>
        <v>0</v>
      </c>
      <c r="AO7" s="71">
        <f ca="1">IF(C7=1,(H7+J7+N7+P7)*Reeksen!AN7,0)</f>
        <v>0</v>
      </c>
      <c r="AP7" s="71">
        <f ca="1">-IF(C7=1,(H7+J7+N7+P7)*'Hulp - basis'!$G$550*Reeksen!H7,0)</f>
        <v>0</v>
      </c>
      <c r="AQ7" s="71">
        <f ca="1">-IF(C7=1,(F7+K7+L7+Q7)/2*'Invoer gegevens'!$F$35*Reeksen!J7,0)*2</f>
        <v>0</v>
      </c>
      <c r="AR7" s="71">
        <f ca="1">IF(BD7&lt;1,-IF(C7=1,(G7*'Invoer gegevens'!$F$36)*Reeksen!J7,0),0)</f>
        <v>0</v>
      </c>
      <c r="AS7" s="71">
        <f ca="1">-IF(C7=1,(F7+K7+L7+Q7)/2*'Invoer gegevens'!$F$37*Reeksen!L7,0)</f>
        <v>0</v>
      </c>
      <c r="AT7" s="71">
        <f ca="1">-IF(C7=1,IF(E7='Invoer gegevens'!$C$17,'Invoer gegevens'!$C$11,AD7)*Reeksen!S7*'Invoer gegevens'!$C$18*Reeksen!P7,0)</f>
        <v>0</v>
      </c>
      <c r="AU7" s="71">
        <f ca="1">-IF(C7=1,(F7+K7+L7+Q7)/2*'Invoer gegevens'!$F$38*Reeksen!H7,0)</f>
        <v>0</v>
      </c>
      <c r="AV7" s="71">
        <f>IF('Invoer gegevens'!$C$3="Basis",0,#REF!)</f>
        <v>0</v>
      </c>
      <c r="AW7" s="71">
        <f t="shared" ca="1" si="13"/>
        <v>0</v>
      </c>
      <c r="AX7" s="71">
        <f ca="1">IF(E7&lt;'Invoer gegevens'!$C$17+15,0,IF(E7&gt;'Invoer gegevens'!$C$17+215,0,AW7))</f>
        <v>0</v>
      </c>
      <c r="AY7" s="71">
        <f ca="1">AX7/(1+'Invoer gegevens'!$F$18)^($AZ7-('Invoer gegevens'!$C$17-'Invoer gegevens'!$C$16))/(1+'Invoer gegevens'!$C$39)^('Invoer gegevens'!$C$17-'Invoer gegevens'!$C$16)</f>
        <v>0</v>
      </c>
      <c r="AZ7" s="68">
        <f ca="1">IF(E7-'Invoer gegevens'!$C$17-14.5&lt;0,0,E7-'Invoer gegevens'!$C$17-14.5)</f>
        <v>0</v>
      </c>
      <c r="BA7" s="109">
        <f ca="1">IFERROR(VLOOKUP(E7-15,Reeksen!$A$5:$D$234,2,FALSE),0)</f>
        <v>0</v>
      </c>
      <c r="BB7" s="109">
        <f ca="1">IFERROR(VLOOKUP(E7-15,Reeksen!$A$5:$D$234,3,FALSE),0)</f>
        <v>0</v>
      </c>
      <c r="BC7" s="109">
        <f ca="1">IFERROR(VLOOKUP(E7-15,Reeksen!$A$5:$D$234,4,FALSE),0)</f>
        <v>0</v>
      </c>
      <c r="BD7" s="67">
        <f ca="1">IF(E7-'Invoer gegevens'!$C$17&lt;15,0,1)</f>
        <v>0</v>
      </c>
    </row>
    <row r="8" spans="1:56" x14ac:dyDescent="0.25">
      <c r="A8" s="59"/>
      <c r="B8" s="70">
        <f t="shared" ref="B8:B71" si="14">B7+1</f>
        <v>4</v>
      </c>
      <c r="C8" s="67">
        <f ca="1">IF(E8-'Invoer gegevens'!$C$17&lt;0,0,1)</f>
        <v>1</v>
      </c>
      <c r="D8" s="68">
        <f t="shared" ref="D8:D71" si="15">D7+1</f>
        <v>3.5</v>
      </c>
      <c r="E8" s="108">
        <f ca="1">IF('Invoer gegevens'!$C$16="","",E7+1)</f>
        <v>2022</v>
      </c>
      <c r="F8" s="84">
        <f ca="1">IF('Invoer gegevens'!$C$17=E8,'Invoer gegevens'!$C$10,IF(C8=1,K7,0))</f>
        <v>0</v>
      </c>
      <c r="G8" s="96">
        <f ca="1">IF(BD8&lt;1,F8*Reeksen!C8,IF(C8&gt;=1,F8*BA8,0))</f>
        <v>0</v>
      </c>
      <c r="H8" s="84">
        <f ca="1">(1-('Invoer gegevens'!$F$20/12))*F8*MIN(BA8,BC8)</f>
        <v>0</v>
      </c>
      <c r="I8" s="84">
        <f t="shared" ca="1" si="0"/>
        <v>0</v>
      </c>
      <c r="J8" s="84">
        <f ca="1">('Invoer gegevens'!$F$20/12)*F7*MIN(BA8,BC8)</f>
        <v>0</v>
      </c>
      <c r="K8" s="97">
        <f t="shared" ca="1" si="5"/>
        <v>0</v>
      </c>
      <c r="L8" s="84">
        <f ca="1">IF('Invoer gegevens'!$C$17=E8,0,IF(C8=1,Q7,0))</f>
        <v>0</v>
      </c>
      <c r="M8" s="96">
        <f t="shared" ca="1" si="1"/>
        <v>0</v>
      </c>
      <c r="N8" s="84">
        <f ca="1">(1-('Invoer gegevens'!$F$20/12))*L8*MIN(BA8,BC8)</f>
        <v>0</v>
      </c>
      <c r="O8" s="84">
        <f t="shared" ca="1" si="2"/>
        <v>0</v>
      </c>
      <c r="P8" s="84">
        <f ca="1">('Invoer gegevens'!$F$20/12)*L7*MIN(BA8,BC8)</f>
        <v>0</v>
      </c>
      <c r="Q8" s="84">
        <f t="shared" ca="1" si="6"/>
        <v>0</v>
      </c>
      <c r="R8" s="85">
        <f ca="1">IF('Invoer gegevens'!$C$17=E8,'Invoer gegevens'!$C$11,IF(C8=1,W7,0))</f>
        <v>0</v>
      </c>
      <c r="S8" s="86">
        <f t="shared" ca="1" si="3"/>
        <v>0</v>
      </c>
      <c r="T8" s="86">
        <f ca="1">(1-('Invoer gegevens'!$F$20/12))*R8*MIN(BC8,BA8)</f>
        <v>0</v>
      </c>
      <c r="U8" s="86">
        <f ca="1">IF(BD8&lt;1,IF(Reeksen!AD8&lt;=Reeksen!AE8,R8*Reeksen!C8,0),IF(BC8&gt;=BA8,0,IF(Reeksen!AD8&lt;=Reeksen!AE8,(BA8-BC8)*R8,0)))</f>
        <v>0</v>
      </c>
      <c r="V8" s="86">
        <f ca="1">IF(BD8&lt;1,IF(Reeksen!AD8&gt;Reeksen!AE8,R8*Reeksen!C8,0),IF(BC8&gt;=BA8,0,IF(Reeksen!AD8&gt;Reeksen!AE8,(BA8-BC8)*R8,0)))</f>
        <v>0</v>
      </c>
      <c r="W8" s="218">
        <f t="shared" ca="1" si="7"/>
        <v>0</v>
      </c>
      <c r="X8" s="98">
        <f ca="1">IF('Invoer gegevens'!$C$17=E8,'Invoer gegevens'!$C$10-'Invoer gegevens'!$C$11,IF(C8=1,AC7,0))</f>
        <v>0</v>
      </c>
      <c r="Y8" s="98">
        <f t="shared" ca="1" si="4"/>
        <v>0</v>
      </c>
      <c r="Z8" s="98">
        <f ca="1">(1-('Invoer gegevens'!$F$20/12))*X8*MIN(BA8,BC8)</f>
        <v>0</v>
      </c>
      <c r="AA8" s="98">
        <f ca="1">IF(BD8&lt;1,IF(Reeksen!AD8&lt;=Reeksen!AE8,X8*Reeksen!C8,0),IF(BC8&gt;=BA8,0,IF(Reeksen!AD8&lt;=Reeksen!AE8,(BA8-BC8)*X8,0)))</f>
        <v>0</v>
      </c>
      <c r="AB8" s="98">
        <f ca="1">IF(BD8&lt;1,IF(Reeksen!AD8&gt;Reeksen!AE8,X8*Reeksen!C8,0),IF(BC8&gt;=BA8,0,IF(Reeksen!AD8&gt;Reeksen!AE8,(BA8-BC8)*X8,0)))</f>
        <v>0</v>
      </c>
      <c r="AC8" s="99">
        <f t="shared" ca="1" si="8"/>
        <v>0</v>
      </c>
      <c r="AD8" s="98">
        <f ca="1">IF('Invoer gegevens'!$C$17=E8,R8,IF(C8=0,0,AE7))</f>
        <v>0</v>
      </c>
      <c r="AE8" s="98">
        <f t="shared" ca="1" si="9"/>
        <v>0</v>
      </c>
      <c r="AF8" s="98">
        <f ca="1">IF('Invoer gegevens'!$C$17=E8,X8,IF(C8=0,0,AG7))</f>
        <v>0</v>
      </c>
      <c r="AG8" s="98">
        <f t="shared" ca="1" si="10"/>
        <v>0</v>
      </c>
      <c r="AH8" s="66"/>
      <c r="AI8" s="71">
        <f ca="1">IF(C8=1,Reeksen!AI8*((F8+K8)/2)*12+Reeksen!AD8*((L8+Q8)/2)*12,0)</f>
        <v>0</v>
      </c>
      <c r="AJ8" s="71">
        <f ca="1">-AI8*'Invoer gegevens'!$F$28</f>
        <v>0</v>
      </c>
      <c r="AK8" s="71">
        <f t="shared" ca="1" si="11"/>
        <v>0</v>
      </c>
      <c r="AL8" s="71">
        <f ca="1">IF(C8=1,Reeksen!AL8*((F8-G8+F8)/2)*12+Reeksen!AM8*((L8-M8+L8)/2)*12,0)</f>
        <v>0</v>
      </c>
      <c r="AM8" s="71">
        <f ca="1">-AL8*'Invoer gegevens'!$F$31</f>
        <v>0</v>
      </c>
      <c r="AN8" s="71">
        <f t="shared" ca="1" si="12"/>
        <v>0</v>
      </c>
      <c r="AO8" s="71">
        <f ca="1">IF(C8=1,(H8+J8+N8+P8)*Reeksen!AN8,0)</f>
        <v>0</v>
      </c>
      <c r="AP8" s="71">
        <f ca="1">-IF(C8=1,(H8+J8+N8+P8)*'Hulp - basis'!$G$550*Reeksen!H8,0)</f>
        <v>0</v>
      </c>
      <c r="AQ8" s="71">
        <f ca="1">-IF(C8=1,(F8+K8+L8+Q8)/2*'Invoer gegevens'!$F$35*Reeksen!J8,0)*2</f>
        <v>0</v>
      </c>
      <c r="AR8" s="71">
        <f ca="1">IF(BD8&lt;1,-IF(C8=1,(G8*'Invoer gegevens'!$F$36)*Reeksen!J8,0),0)</f>
        <v>0</v>
      </c>
      <c r="AS8" s="71">
        <f ca="1">-IF(C8=1,(F8+K8+L8+Q8)/2*'Invoer gegevens'!$F$37*Reeksen!L8,0)</f>
        <v>0</v>
      </c>
      <c r="AT8" s="71">
        <f ca="1">-IF(C8=1,IF(E8='Invoer gegevens'!$C$17,'Invoer gegevens'!$C$11,AD8)*Reeksen!S8*'Invoer gegevens'!$C$18*Reeksen!P8,0)</f>
        <v>0</v>
      </c>
      <c r="AU8" s="71">
        <f ca="1">-IF(C8=1,(F8+K8+L8+Q8)/2*'Invoer gegevens'!$F$38*Reeksen!H8,0)</f>
        <v>0</v>
      </c>
      <c r="AV8" s="71">
        <f>IF('Invoer gegevens'!$C$3="Basis",0,#REF!)</f>
        <v>0</v>
      </c>
      <c r="AW8" s="71">
        <f t="shared" ca="1" si="13"/>
        <v>0</v>
      </c>
      <c r="AX8" s="71">
        <f ca="1">IF(E8&lt;'Invoer gegevens'!$C$17+15,0,IF(E8&gt;'Invoer gegevens'!$C$17+215,0,AW8))</f>
        <v>0</v>
      </c>
      <c r="AY8" s="71">
        <f ca="1">AX8/(1+'Invoer gegevens'!$F$18)^($AZ8-('Invoer gegevens'!$C$17-'Invoer gegevens'!$C$16))/(1+'Invoer gegevens'!$C$39)^('Invoer gegevens'!$C$17-'Invoer gegevens'!$C$16)</f>
        <v>0</v>
      </c>
      <c r="AZ8" s="68">
        <f ca="1">IF(E8-'Invoer gegevens'!$C$17-14.5&lt;0,0,E8-'Invoer gegevens'!$C$17-14.5)</f>
        <v>0</v>
      </c>
      <c r="BA8" s="109">
        <f ca="1">IFERROR(VLOOKUP(E8-15,Reeksen!$A$5:$D$234,2,FALSE),0)</f>
        <v>0</v>
      </c>
      <c r="BB8" s="109">
        <f ca="1">IFERROR(VLOOKUP(E8-15,Reeksen!$A$5:$D$234,3,FALSE),0)</f>
        <v>0</v>
      </c>
      <c r="BC8" s="109">
        <f ca="1">IFERROR(VLOOKUP(E8-15,Reeksen!$A$5:$D$234,4,FALSE),0)</f>
        <v>0</v>
      </c>
      <c r="BD8" s="67">
        <f ca="1">IF(E8-'Invoer gegevens'!$C$17&lt;15,0,1)</f>
        <v>0</v>
      </c>
    </row>
    <row r="9" spans="1:56" x14ac:dyDescent="0.25">
      <c r="A9" s="59"/>
      <c r="B9" s="70">
        <f t="shared" si="14"/>
        <v>5</v>
      </c>
      <c r="C9" s="67">
        <f ca="1">IF(E9-'Invoer gegevens'!$C$17&lt;0,0,1)</f>
        <v>1</v>
      </c>
      <c r="D9" s="68">
        <f t="shared" si="15"/>
        <v>4.5</v>
      </c>
      <c r="E9" s="108">
        <f ca="1">IF('Invoer gegevens'!$C$16="","",E8+1)</f>
        <v>2023</v>
      </c>
      <c r="F9" s="84">
        <f ca="1">IF('Invoer gegevens'!$C$17=E9,'Invoer gegevens'!$C$10,IF(C9=1,K8,0))</f>
        <v>0</v>
      </c>
      <c r="G9" s="96">
        <f ca="1">IF(BD9&lt;1,F9*Reeksen!C9,IF(C9&gt;=1,F9*BA9,0))</f>
        <v>0</v>
      </c>
      <c r="H9" s="84">
        <f ca="1">(1-('Invoer gegevens'!$F$20/12))*F9*MIN(BA9,BC9)</f>
        <v>0</v>
      </c>
      <c r="I9" s="84">
        <f t="shared" ca="1" si="0"/>
        <v>0</v>
      </c>
      <c r="J9" s="84">
        <f ca="1">('Invoer gegevens'!$F$20/12)*F8*MIN(BA9,BC9)</f>
        <v>0</v>
      </c>
      <c r="K9" s="97">
        <f t="shared" ca="1" si="5"/>
        <v>0</v>
      </c>
      <c r="L9" s="84">
        <f ca="1">IF('Invoer gegevens'!$C$17=E9,0,IF(C9=1,Q8,0))</f>
        <v>0</v>
      </c>
      <c r="M9" s="96">
        <f t="shared" ca="1" si="1"/>
        <v>0</v>
      </c>
      <c r="N9" s="84">
        <f ca="1">(1-('Invoer gegevens'!$F$20/12))*L9*MIN(BA9,BC9)</f>
        <v>0</v>
      </c>
      <c r="O9" s="84">
        <f t="shared" ca="1" si="2"/>
        <v>0</v>
      </c>
      <c r="P9" s="84">
        <f ca="1">('Invoer gegevens'!$F$20/12)*L8*MIN(BA9,BC9)</f>
        <v>0</v>
      </c>
      <c r="Q9" s="84">
        <f t="shared" ca="1" si="6"/>
        <v>0</v>
      </c>
      <c r="R9" s="85">
        <f ca="1">IF('Invoer gegevens'!$C$17=E9,'Invoer gegevens'!$C$11,IF(C9=1,W8,0))</f>
        <v>0</v>
      </c>
      <c r="S9" s="86">
        <f t="shared" ca="1" si="3"/>
        <v>0</v>
      </c>
      <c r="T9" s="86">
        <f ca="1">(1-('Invoer gegevens'!$F$20/12))*R9*MIN(BC9,BA9)</f>
        <v>0</v>
      </c>
      <c r="U9" s="86">
        <f ca="1">IF(BD9&lt;1,IF(Reeksen!AD9&lt;=Reeksen!AE9,R9*Reeksen!C9,0),IF(BC9&gt;=BA9,0,IF(Reeksen!AD9&lt;=Reeksen!AE9,(BA9-BC9)*R9,0)))</f>
        <v>0</v>
      </c>
      <c r="V9" s="86">
        <f ca="1">IF(BD9&lt;1,IF(Reeksen!AD9&gt;Reeksen!AE9,R9*Reeksen!C9,0),IF(BC9&gt;=BA9,0,IF(Reeksen!AD9&gt;Reeksen!AE9,(BA9-BC9)*R9,0)))</f>
        <v>0</v>
      </c>
      <c r="W9" s="218">
        <f t="shared" ca="1" si="7"/>
        <v>0</v>
      </c>
      <c r="X9" s="98">
        <f ca="1">IF('Invoer gegevens'!$C$17=E9,'Invoer gegevens'!$C$10-'Invoer gegevens'!$C$11,IF(C9=1,AC8,0))</f>
        <v>0</v>
      </c>
      <c r="Y9" s="98">
        <f t="shared" ca="1" si="4"/>
        <v>0</v>
      </c>
      <c r="Z9" s="98">
        <f ca="1">(1-('Invoer gegevens'!$F$20/12))*X9*MIN(BA9,BC9)</f>
        <v>0</v>
      </c>
      <c r="AA9" s="98">
        <f ca="1">IF(BD9&lt;1,IF(Reeksen!AD9&lt;=Reeksen!AE9,X9*Reeksen!C9,0),IF(BC9&gt;=BA9,0,IF(Reeksen!AD9&lt;=Reeksen!AE9,(BA9-BC9)*X9,0)))</f>
        <v>0</v>
      </c>
      <c r="AB9" s="98">
        <f ca="1">IF(BD9&lt;1,IF(Reeksen!AD9&gt;Reeksen!AE9,X9*Reeksen!C9,0),IF(BC9&gt;=BA9,0,IF(Reeksen!AD9&gt;Reeksen!AE9,(BA9-BC9)*X9,0)))</f>
        <v>0</v>
      </c>
      <c r="AC9" s="99">
        <f t="shared" ca="1" si="8"/>
        <v>0</v>
      </c>
      <c r="AD9" s="98">
        <f ca="1">IF('Invoer gegevens'!$C$17=E9,R9,IF(C9=0,0,AE8))</f>
        <v>0</v>
      </c>
      <c r="AE9" s="98">
        <f t="shared" ca="1" si="9"/>
        <v>0</v>
      </c>
      <c r="AF9" s="98">
        <f ca="1">IF('Invoer gegevens'!$C$17=E9,X9,IF(C9=0,0,AG8))</f>
        <v>0</v>
      </c>
      <c r="AG9" s="98">
        <f t="shared" ca="1" si="10"/>
        <v>0</v>
      </c>
      <c r="AH9" s="66"/>
      <c r="AI9" s="71">
        <f ca="1">IF(C9=1,Reeksen!AI9*((F9+K9)/2)*12+Reeksen!AD9*((L9+Q9)/2)*12,0)</f>
        <v>0</v>
      </c>
      <c r="AJ9" s="71">
        <f ca="1">-AI9*'Invoer gegevens'!$F$28</f>
        <v>0</v>
      </c>
      <c r="AK9" s="71">
        <f t="shared" ca="1" si="11"/>
        <v>0</v>
      </c>
      <c r="AL9" s="71">
        <f ca="1">IF(C9=1,Reeksen!AL9*((F9-G9+F9)/2)*12+Reeksen!AM9*((L9-M9+L9)/2)*12,0)</f>
        <v>0</v>
      </c>
      <c r="AM9" s="71">
        <f ca="1">-AL9*'Invoer gegevens'!$F$31</f>
        <v>0</v>
      </c>
      <c r="AN9" s="71">
        <f t="shared" ca="1" si="12"/>
        <v>0</v>
      </c>
      <c r="AO9" s="71">
        <f ca="1">IF(C9=1,(H9+J9+N9+P9)*Reeksen!AN9,0)</f>
        <v>0</v>
      </c>
      <c r="AP9" s="71">
        <f ca="1">-IF(C9=1,(H9+J9+N9+P9)*'Hulp - basis'!$G$550*Reeksen!H9,0)</f>
        <v>0</v>
      </c>
      <c r="AQ9" s="71">
        <f ca="1">-IF(C9=1,(F9+K9+L9+Q9)/2*'Invoer gegevens'!$F$35*Reeksen!J9,0)*2</f>
        <v>0</v>
      </c>
      <c r="AR9" s="71">
        <f ca="1">IF(BD9&lt;1,-IF(C9=1,(G9*'Invoer gegevens'!$F$36)*Reeksen!J9,0),0)</f>
        <v>0</v>
      </c>
      <c r="AS9" s="71">
        <f ca="1">-IF(C9=1,(F9+K9+L9+Q9)/2*'Invoer gegevens'!$F$37*Reeksen!L9,0)</f>
        <v>0</v>
      </c>
      <c r="AT9" s="71">
        <f ca="1">-IF(C9=1,IF(E9='Invoer gegevens'!$C$17,'Invoer gegevens'!$C$11,AD9)*Reeksen!S9*'Invoer gegevens'!$C$18*Reeksen!P9,0)</f>
        <v>0</v>
      </c>
      <c r="AU9" s="71">
        <f ca="1">-IF(C9=1,(F9+K9+L9+Q9)/2*'Invoer gegevens'!$F$38*Reeksen!H9,0)</f>
        <v>0</v>
      </c>
      <c r="AV9" s="71">
        <f>IF('Invoer gegevens'!$C$3="Basis",0,#REF!)</f>
        <v>0</v>
      </c>
      <c r="AW9" s="71">
        <f t="shared" ca="1" si="13"/>
        <v>0</v>
      </c>
      <c r="AX9" s="71">
        <f ca="1">IF(E9&lt;'Invoer gegevens'!$C$17+15,0,IF(E9&gt;'Invoer gegevens'!$C$17+215,0,AW9))</f>
        <v>0</v>
      </c>
      <c r="AY9" s="71">
        <f ca="1">AX9/(1+'Invoer gegevens'!$F$18)^($AZ9-('Invoer gegevens'!$C$17-'Invoer gegevens'!$C$16))/(1+'Invoer gegevens'!$C$39)^('Invoer gegevens'!$C$17-'Invoer gegevens'!$C$16)</f>
        <v>0</v>
      </c>
      <c r="AZ9" s="68">
        <f ca="1">IF(E9-'Invoer gegevens'!$C$17-14.5&lt;0,0,E9-'Invoer gegevens'!$C$17-14.5)</f>
        <v>0</v>
      </c>
      <c r="BA9" s="109">
        <f ca="1">IFERROR(VLOOKUP(E9-15,Reeksen!$A$5:$D$234,2,FALSE),0)</f>
        <v>0</v>
      </c>
      <c r="BB9" s="109">
        <f ca="1">IFERROR(VLOOKUP(E9-15,Reeksen!$A$5:$D$234,3,FALSE),0)</f>
        <v>0</v>
      </c>
      <c r="BC9" s="109">
        <f ca="1">IFERROR(VLOOKUP(E9-15,Reeksen!$A$5:$D$234,4,FALSE),0)</f>
        <v>0</v>
      </c>
      <c r="BD9" s="67">
        <f ca="1">IF(E9-'Invoer gegevens'!$C$17&lt;15,0,1)</f>
        <v>0</v>
      </c>
    </row>
    <row r="10" spans="1:56" x14ac:dyDescent="0.25">
      <c r="A10" s="59"/>
      <c r="B10" s="70">
        <f t="shared" si="14"/>
        <v>6</v>
      </c>
      <c r="C10" s="67">
        <f ca="1">IF(E10-'Invoer gegevens'!$C$17&lt;0,0,1)</f>
        <v>1</v>
      </c>
      <c r="D10" s="68">
        <f t="shared" si="15"/>
        <v>5.5</v>
      </c>
      <c r="E10" s="108">
        <f ca="1">IF('Invoer gegevens'!$C$16="","",E9+1)</f>
        <v>2024</v>
      </c>
      <c r="F10" s="84">
        <f ca="1">IF('Invoer gegevens'!$C$17=E10,'Invoer gegevens'!$C$10,IF(C10=1,K9,0))</f>
        <v>0</v>
      </c>
      <c r="G10" s="96">
        <f ca="1">IF(BD10&lt;1,F10*Reeksen!C10,IF(C10&gt;=1,F10*BA10,0))</f>
        <v>0</v>
      </c>
      <c r="H10" s="84">
        <f ca="1">(1-('Invoer gegevens'!$F$20/12))*F10*MIN(BA10,BC10)</f>
        <v>0</v>
      </c>
      <c r="I10" s="84">
        <f t="shared" ca="1" si="0"/>
        <v>0</v>
      </c>
      <c r="J10" s="84">
        <f ca="1">('Invoer gegevens'!$F$20/12)*F9*MIN(BA10,BC10)</f>
        <v>0</v>
      </c>
      <c r="K10" s="97">
        <f t="shared" ca="1" si="5"/>
        <v>0</v>
      </c>
      <c r="L10" s="84">
        <f ca="1">IF('Invoer gegevens'!$C$17=E10,0,IF(C10=1,Q9,0))</f>
        <v>0</v>
      </c>
      <c r="M10" s="96">
        <f t="shared" ca="1" si="1"/>
        <v>0</v>
      </c>
      <c r="N10" s="84">
        <f ca="1">(1-('Invoer gegevens'!$F$20/12))*L10*MIN(BA10,BC10)</f>
        <v>0</v>
      </c>
      <c r="O10" s="84">
        <f t="shared" ca="1" si="2"/>
        <v>0</v>
      </c>
      <c r="P10" s="84">
        <f ca="1">('Invoer gegevens'!$F$20/12)*L9*MIN(BA10,BC10)</f>
        <v>0</v>
      </c>
      <c r="Q10" s="84">
        <f t="shared" ca="1" si="6"/>
        <v>0</v>
      </c>
      <c r="R10" s="85">
        <f ca="1">IF('Invoer gegevens'!$C$17=E10,'Invoer gegevens'!$C$11,IF(C10=1,W9,0))</f>
        <v>0</v>
      </c>
      <c r="S10" s="86">
        <f t="shared" ca="1" si="3"/>
        <v>0</v>
      </c>
      <c r="T10" s="86">
        <f ca="1">(1-('Invoer gegevens'!$F$20/12))*R10*MIN(BC10,BA10)</f>
        <v>0</v>
      </c>
      <c r="U10" s="86">
        <f ca="1">IF(BD10&lt;1,IF(Reeksen!AD10&lt;=Reeksen!AE10,R10*Reeksen!C10,0),IF(BC10&gt;=BA10,0,IF(Reeksen!AD10&lt;=Reeksen!AE10,(BA10-BC10)*R10,0)))</f>
        <v>0</v>
      </c>
      <c r="V10" s="86">
        <f ca="1">IF(BD10&lt;1,IF(Reeksen!AD10&gt;Reeksen!AE10,R10*Reeksen!C10,0),IF(BC10&gt;=BA10,0,IF(Reeksen!AD10&gt;Reeksen!AE10,(BA10-BC10)*R10,0)))</f>
        <v>0</v>
      </c>
      <c r="W10" s="218">
        <f t="shared" ca="1" si="7"/>
        <v>0</v>
      </c>
      <c r="X10" s="98">
        <f ca="1">IF('Invoer gegevens'!$C$17=E10,'Invoer gegevens'!$C$10-'Invoer gegevens'!$C$11,IF(C10=1,AC9,0))</f>
        <v>0</v>
      </c>
      <c r="Y10" s="98">
        <f t="shared" ca="1" si="4"/>
        <v>0</v>
      </c>
      <c r="Z10" s="98">
        <f ca="1">(1-('Invoer gegevens'!$F$20/12))*X10*MIN(BA10,BC10)</f>
        <v>0</v>
      </c>
      <c r="AA10" s="98">
        <f ca="1">IF(BD10&lt;1,IF(Reeksen!AD10&lt;=Reeksen!AE10,X10*Reeksen!C10,0),IF(BC10&gt;=BA10,0,IF(Reeksen!AD10&lt;=Reeksen!AE10,(BA10-BC10)*X10,0)))</f>
        <v>0</v>
      </c>
      <c r="AB10" s="98">
        <f ca="1">IF(BD10&lt;1,IF(Reeksen!AD10&gt;Reeksen!AE10,X10*Reeksen!C10,0),IF(BC10&gt;=BA10,0,IF(Reeksen!AD10&gt;Reeksen!AE10,(BA10-BC10)*X10,0)))</f>
        <v>0</v>
      </c>
      <c r="AC10" s="99">
        <f t="shared" ca="1" si="8"/>
        <v>0</v>
      </c>
      <c r="AD10" s="98">
        <f ca="1">IF('Invoer gegevens'!$C$17=E10,R10,IF(C10=0,0,AE9))</f>
        <v>0</v>
      </c>
      <c r="AE10" s="98">
        <f t="shared" ca="1" si="9"/>
        <v>0</v>
      </c>
      <c r="AF10" s="98">
        <f ca="1">IF('Invoer gegevens'!$C$17=E10,X10,IF(C10=0,0,AG9))</f>
        <v>0</v>
      </c>
      <c r="AG10" s="98">
        <f t="shared" ca="1" si="10"/>
        <v>0</v>
      </c>
      <c r="AH10" s="66"/>
      <c r="AI10" s="71">
        <f ca="1">IF(C10=1,Reeksen!AI10*((F10+K10)/2)*12+Reeksen!AD10*((L10+Q10)/2)*12,0)</f>
        <v>0</v>
      </c>
      <c r="AJ10" s="71">
        <f ca="1">-AI10*'Invoer gegevens'!$F$28</f>
        <v>0</v>
      </c>
      <c r="AK10" s="71">
        <f t="shared" ca="1" si="11"/>
        <v>0</v>
      </c>
      <c r="AL10" s="71">
        <f ca="1">IF(C10=1,Reeksen!AL10*((F10-G10+F10)/2)*12+Reeksen!AM10*((L10-M10+L10)/2)*12,0)</f>
        <v>0</v>
      </c>
      <c r="AM10" s="71">
        <f ca="1">-AL10*'Invoer gegevens'!$F$31</f>
        <v>0</v>
      </c>
      <c r="AN10" s="71">
        <f t="shared" ca="1" si="12"/>
        <v>0</v>
      </c>
      <c r="AO10" s="71">
        <f ca="1">IF(C10=1,(H10+J10+N10+P10)*Reeksen!AN10,0)</f>
        <v>0</v>
      </c>
      <c r="AP10" s="71">
        <f ca="1">-IF(C10=1,(H10+J10+N10+P10)*'Hulp - basis'!$G$550*Reeksen!H10,0)</f>
        <v>0</v>
      </c>
      <c r="AQ10" s="71">
        <f ca="1">-IF(C10=1,(F10+K10+L10+Q10)/2*'Invoer gegevens'!$F$35*Reeksen!J10,0)*2</f>
        <v>0</v>
      </c>
      <c r="AR10" s="71">
        <f ca="1">IF(BD10&lt;1,-IF(C10=1,(G10*'Invoer gegevens'!$F$36)*Reeksen!J10,0),0)</f>
        <v>0</v>
      </c>
      <c r="AS10" s="71">
        <f ca="1">-IF(C10=1,(F10+K10+L10+Q10)/2*'Invoer gegevens'!$F$37*Reeksen!L10,0)</f>
        <v>0</v>
      </c>
      <c r="AT10" s="71">
        <f ca="1">-IF(C10=1,IF(E10='Invoer gegevens'!$C$17,'Invoer gegevens'!$C$11,AD10)*Reeksen!S10*'Invoer gegevens'!$C$18*Reeksen!P10,0)</f>
        <v>0</v>
      </c>
      <c r="AU10" s="71">
        <f ca="1">-IF(C10=1,(F10+K10+L10+Q10)/2*'Invoer gegevens'!$F$38*Reeksen!H10,0)</f>
        <v>0</v>
      </c>
      <c r="AV10" s="71">
        <f>IF('Invoer gegevens'!$C$3="Basis",0,#REF!)</f>
        <v>0</v>
      </c>
      <c r="AW10" s="71">
        <f t="shared" ca="1" si="13"/>
        <v>0</v>
      </c>
      <c r="AX10" s="71">
        <f ca="1">IF(E10&lt;'Invoer gegevens'!$C$17+15,0,IF(E10&gt;'Invoer gegevens'!$C$17+215,0,AW10))</f>
        <v>0</v>
      </c>
      <c r="AY10" s="71">
        <f ca="1">AX10/(1+'Invoer gegevens'!$F$18)^($AZ10-('Invoer gegevens'!$C$17-'Invoer gegevens'!$C$16))/(1+'Invoer gegevens'!$C$39)^('Invoer gegevens'!$C$17-'Invoer gegevens'!$C$16)</f>
        <v>0</v>
      </c>
      <c r="AZ10" s="68">
        <f ca="1">IF(E10-'Invoer gegevens'!$C$17-14.5&lt;0,0,E10-'Invoer gegevens'!$C$17-14.5)</f>
        <v>0</v>
      </c>
      <c r="BA10" s="109">
        <f ca="1">IFERROR(VLOOKUP(E10-15,Reeksen!$A$5:$D$234,2,FALSE),0)</f>
        <v>0</v>
      </c>
      <c r="BB10" s="109">
        <f ca="1">IFERROR(VLOOKUP(E10-15,Reeksen!$A$5:$D$234,3,FALSE),0)</f>
        <v>0</v>
      </c>
      <c r="BC10" s="109">
        <f ca="1">IFERROR(VLOOKUP(E10-15,Reeksen!$A$5:$D$234,4,FALSE),0)</f>
        <v>0</v>
      </c>
      <c r="BD10" s="67">
        <f ca="1">IF(E10-'Invoer gegevens'!$C$17&lt;15,0,1)</f>
        <v>0</v>
      </c>
    </row>
    <row r="11" spans="1:56" x14ac:dyDescent="0.25">
      <c r="A11" s="59"/>
      <c r="B11" s="70">
        <f t="shared" si="14"/>
        <v>7</v>
      </c>
      <c r="C11" s="67">
        <f ca="1">IF(E11-'Invoer gegevens'!$C$17&lt;0,0,1)</f>
        <v>1</v>
      </c>
      <c r="D11" s="68">
        <f t="shared" si="15"/>
        <v>6.5</v>
      </c>
      <c r="E11" s="108">
        <f ca="1">IF('Invoer gegevens'!$C$16="","",E10+1)</f>
        <v>2025</v>
      </c>
      <c r="F11" s="84">
        <f ca="1">IF('Invoer gegevens'!$C$17=E11,'Invoer gegevens'!$C$10,IF(C11=1,K10,0))</f>
        <v>0</v>
      </c>
      <c r="G11" s="96">
        <f ca="1">IF(BD11&lt;1,F11*Reeksen!C11,IF(C11&gt;=1,F11*BA11,0))</f>
        <v>0</v>
      </c>
      <c r="H11" s="84">
        <f ca="1">(1-('Invoer gegevens'!$F$20/12))*F11*MIN(BA11,BC11)</f>
        <v>0</v>
      </c>
      <c r="I11" s="84">
        <f t="shared" ca="1" si="0"/>
        <v>0</v>
      </c>
      <c r="J11" s="84">
        <f ca="1">('Invoer gegevens'!$F$20/12)*F10*MIN(BA11,BC11)</f>
        <v>0</v>
      </c>
      <c r="K11" s="97">
        <f t="shared" ca="1" si="5"/>
        <v>0</v>
      </c>
      <c r="L11" s="84">
        <f ca="1">IF('Invoer gegevens'!$C$17=E11,0,IF(C11=1,Q10,0))</f>
        <v>0</v>
      </c>
      <c r="M11" s="96">
        <f t="shared" ca="1" si="1"/>
        <v>0</v>
      </c>
      <c r="N11" s="84">
        <f ca="1">(1-('Invoer gegevens'!$F$20/12))*L11*MIN(BA11,BC11)</f>
        <v>0</v>
      </c>
      <c r="O11" s="84">
        <f t="shared" ca="1" si="2"/>
        <v>0</v>
      </c>
      <c r="P11" s="84">
        <f ca="1">('Invoer gegevens'!$F$20/12)*L10*MIN(BA11,BC11)</f>
        <v>0</v>
      </c>
      <c r="Q11" s="84">
        <f t="shared" ca="1" si="6"/>
        <v>0</v>
      </c>
      <c r="R11" s="85">
        <f ca="1">IF('Invoer gegevens'!$C$17=E11,'Invoer gegevens'!$C$11,IF(C11=1,W10,0))</f>
        <v>0</v>
      </c>
      <c r="S11" s="86">
        <f t="shared" ca="1" si="3"/>
        <v>0</v>
      </c>
      <c r="T11" s="86">
        <f ca="1">(1-('Invoer gegevens'!$F$20/12))*R11*MIN(BC11,BA11)</f>
        <v>0</v>
      </c>
      <c r="U11" s="86">
        <f ca="1">IF(BD11&lt;1,IF(Reeksen!AD11&lt;=Reeksen!AE11,R11*Reeksen!C11,0),IF(BC11&gt;=BA11,0,IF(Reeksen!AD11&lt;=Reeksen!AE11,(BA11-BC11)*R11,0)))</f>
        <v>0</v>
      </c>
      <c r="V11" s="86">
        <f ca="1">IF(BD11&lt;1,IF(Reeksen!AD11&gt;Reeksen!AE11,R11*Reeksen!C11,0),IF(BC11&gt;=BA11,0,IF(Reeksen!AD11&gt;Reeksen!AE11,(BA11-BC11)*R11,0)))</f>
        <v>0</v>
      </c>
      <c r="W11" s="218">
        <f t="shared" ca="1" si="7"/>
        <v>0</v>
      </c>
      <c r="X11" s="98">
        <f ca="1">IF('Invoer gegevens'!$C$17=E11,'Invoer gegevens'!$C$10-'Invoer gegevens'!$C$11,IF(C11=1,AC10,0))</f>
        <v>0</v>
      </c>
      <c r="Y11" s="98">
        <f t="shared" ca="1" si="4"/>
        <v>0</v>
      </c>
      <c r="Z11" s="98">
        <f ca="1">(1-('Invoer gegevens'!$F$20/12))*X11*MIN(BA11,BC11)</f>
        <v>0</v>
      </c>
      <c r="AA11" s="98">
        <f ca="1">IF(BD11&lt;1,IF(Reeksen!AD11&lt;=Reeksen!AE11,X11*Reeksen!C11,0),IF(BC11&gt;=BA11,0,IF(Reeksen!AD11&lt;=Reeksen!AE11,(BA11-BC11)*X11,0)))</f>
        <v>0</v>
      </c>
      <c r="AB11" s="98">
        <f ca="1">IF(BD11&lt;1,IF(Reeksen!AD11&gt;Reeksen!AE11,X11*Reeksen!C11,0),IF(BC11&gt;=BA11,0,IF(Reeksen!AD11&gt;Reeksen!AE11,(BA11-BC11)*X11,0)))</f>
        <v>0</v>
      </c>
      <c r="AC11" s="99">
        <f t="shared" ca="1" si="8"/>
        <v>0</v>
      </c>
      <c r="AD11" s="98">
        <f ca="1">IF('Invoer gegevens'!$C$17=E11,R11,IF(C11=0,0,AE10))</f>
        <v>0</v>
      </c>
      <c r="AE11" s="98">
        <f t="shared" ca="1" si="9"/>
        <v>0</v>
      </c>
      <c r="AF11" s="98">
        <f ca="1">IF('Invoer gegevens'!$C$17=E11,X11,IF(C11=0,0,AG10))</f>
        <v>0</v>
      </c>
      <c r="AG11" s="98">
        <f t="shared" ca="1" si="10"/>
        <v>0</v>
      </c>
      <c r="AH11" s="66"/>
      <c r="AI11" s="71">
        <f ca="1">IF(C11=1,Reeksen!AI11*((F11+K11)/2)*12+Reeksen!AD11*((L11+Q11)/2)*12,0)</f>
        <v>0</v>
      </c>
      <c r="AJ11" s="71">
        <f ca="1">-AI11*'Invoer gegevens'!$F$28</f>
        <v>0</v>
      </c>
      <c r="AK11" s="71">
        <f t="shared" ca="1" si="11"/>
        <v>0</v>
      </c>
      <c r="AL11" s="71">
        <f ca="1">IF(C11=1,Reeksen!AL11*((F11-G11+F11)/2)*12+Reeksen!AM11*((L11-M11+L11)/2)*12,0)</f>
        <v>0</v>
      </c>
      <c r="AM11" s="71">
        <f ca="1">-AL11*'Invoer gegevens'!$F$31</f>
        <v>0</v>
      </c>
      <c r="AN11" s="71">
        <f t="shared" ca="1" si="12"/>
        <v>0</v>
      </c>
      <c r="AO11" s="71">
        <f ca="1">IF(C11=1,(H11+J11+N11+P11)*Reeksen!AN11,0)</f>
        <v>0</v>
      </c>
      <c r="AP11" s="71">
        <f ca="1">-IF(C11=1,(H11+J11+N11+P11)*'Hulp - basis'!$G$550*Reeksen!H11,0)</f>
        <v>0</v>
      </c>
      <c r="AQ11" s="71">
        <f ca="1">-IF(C11=1,(F11+K11+L11+Q11)/2*'Invoer gegevens'!$F$35*Reeksen!J11,0)*2</f>
        <v>0</v>
      </c>
      <c r="AR11" s="71">
        <f ca="1">IF(BD11&lt;1,-IF(C11=1,(G11*'Invoer gegevens'!$F$36)*Reeksen!J11,0),0)</f>
        <v>0</v>
      </c>
      <c r="AS11" s="71">
        <f ca="1">-IF(C11=1,(F11+K11+L11+Q11)/2*'Invoer gegevens'!$F$37*Reeksen!L11,0)</f>
        <v>0</v>
      </c>
      <c r="AT11" s="71">
        <f ca="1">-IF(C11=1,IF(E11='Invoer gegevens'!$C$17,'Invoer gegevens'!$C$11,AD11)*Reeksen!S11*'Invoer gegevens'!$C$18*Reeksen!P11,0)</f>
        <v>0</v>
      </c>
      <c r="AU11" s="71">
        <f ca="1">-IF(C11=1,(F11+K11+L11+Q11)/2*'Invoer gegevens'!$F$38*Reeksen!H11,0)</f>
        <v>0</v>
      </c>
      <c r="AV11" s="71">
        <f>IF('Invoer gegevens'!$C$3="Basis",0,#REF!)</f>
        <v>0</v>
      </c>
      <c r="AW11" s="71">
        <f t="shared" ca="1" si="13"/>
        <v>0</v>
      </c>
      <c r="AX11" s="71">
        <f ca="1">IF(E11&lt;'Invoer gegevens'!$C$17+15,0,IF(E11&gt;'Invoer gegevens'!$C$17+215,0,AW11))</f>
        <v>0</v>
      </c>
      <c r="AY11" s="71">
        <f ca="1">AX11/(1+'Invoer gegevens'!$F$18)^($AZ11-('Invoer gegevens'!$C$17-'Invoer gegevens'!$C$16))/(1+'Invoer gegevens'!$C$39)^('Invoer gegevens'!$C$17-'Invoer gegevens'!$C$16)</f>
        <v>0</v>
      </c>
      <c r="AZ11" s="68">
        <f ca="1">IF(E11-'Invoer gegevens'!$C$17-14.5&lt;0,0,E11-'Invoer gegevens'!$C$17-14.5)</f>
        <v>0</v>
      </c>
      <c r="BA11" s="109">
        <f ca="1">IFERROR(VLOOKUP(E11-15,Reeksen!$A$5:$D$234,2,FALSE),0)</f>
        <v>0</v>
      </c>
      <c r="BB11" s="109">
        <f ca="1">IFERROR(VLOOKUP(E11-15,Reeksen!$A$5:$D$234,3,FALSE),0)</f>
        <v>0</v>
      </c>
      <c r="BC11" s="109">
        <f ca="1">IFERROR(VLOOKUP(E11-15,Reeksen!$A$5:$D$234,4,FALSE),0)</f>
        <v>0</v>
      </c>
      <c r="BD11" s="67">
        <f ca="1">IF(E11-'Invoer gegevens'!$C$17&lt;15,0,1)</f>
        <v>0</v>
      </c>
    </row>
    <row r="12" spans="1:56" x14ac:dyDescent="0.25">
      <c r="A12" s="59"/>
      <c r="B12" s="70">
        <f t="shared" si="14"/>
        <v>8</v>
      </c>
      <c r="C12" s="67">
        <f ca="1">IF(E12-'Invoer gegevens'!$C$17&lt;0,0,1)</f>
        <v>1</v>
      </c>
      <c r="D12" s="68">
        <f t="shared" si="15"/>
        <v>7.5</v>
      </c>
      <c r="E12" s="108">
        <f ca="1">IF('Invoer gegevens'!$C$16="","",E11+1)</f>
        <v>2026</v>
      </c>
      <c r="F12" s="84">
        <f ca="1">IF('Invoer gegevens'!$C$17=E12,'Invoer gegevens'!$C$10,IF(C12=1,K11,0))</f>
        <v>0</v>
      </c>
      <c r="G12" s="96">
        <f ca="1">IF(BD12&lt;1,F12*Reeksen!C12,IF(C12&gt;=1,F12*BA12,0))</f>
        <v>0</v>
      </c>
      <c r="H12" s="84">
        <f ca="1">(1-('Invoer gegevens'!$F$20/12))*F12*MIN(BA12,BC12)</f>
        <v>0</v>
      </c>
      <c r="I12" s="84">
        <f t="shared" ca="1" si="0"/>
        <v>0</v>
      </c>
      <c r="J12" s="84">
        <f ca="1">('Invoer gegevens'!$F$20/12)*F11*MIN(BA12,BC12)</f>
        <v>0</v>
      </c>
      <c r="K12" s="97">
        <f t="shared" ca="1" si="5"/>
        <v>0</v>
      </c>
      <c r="L12" s="84">
        <f ca="1">IF('Invoer gegevens'!$C$17=E12,0,IF(C12=1,Q11,0))</f>
        <v>0</v>
      </c>
      <c r="M12" s="96">
        <f t="shared" ca="1" si="1"/>
        <v>0</v>
      </c>
      <c r="N12" s="84">
        <f ca="1">(1-('Invoer gegevens'!$F$20/12))*L12*MIN(BA12,BC12)</f>
        <v>0</v>
      </c>
      <c r="O12" s="84">
        <f t="shared" ca="1" si="2"/>
        <v>0</v>
      </c>
      <c r="P12" s="84">
        <f ca="1">('Invoer gegevens'!$F$20/12)*L11*MIN(BA12,BC12)</f>
        <v>0</v>
      </c>
      <c r="Q12" s="84">
        <f t="shared" ca="1" si="6"/>
        <v>0</v>
      </c>
      <c r="R12" s="85">
        <f ca="1">IF('Invoer gegevens'!$C$17=E12,'Invoer gegevens'!$C$11,IF(C12=1,W11,0))</f>
        <v>0</v>
      </c>
      <c r="S12" s="86">
        <f t="shared" ca="1" si="3"/>
        <v>0</v>
      </c>
      <c r="T12" s="86">
        <f ca="1">(1-('Invoer gegevens'!$F$20/12))*R12*MIN(BC12,BA12)</f>
        <v>0</v>
      </c>
      <c r="U12" s="86">
        <f ca="1">IF(BD12&lt;1,IF(Reeksen!AD12&lt;=Reeksen!AE12,R12*Reeksen!C12,0),IF(BC12&gt;=BA12,0,IF(Reeksen!AD12&lt;=Reeksen!AE12,(BA12-BC12)*R12,0)))</f>
        <v>0</v>
      </c>
      <c r="V12" s="86">
        <f ca="1">IF(BD12&lt;1,IF(Reeksen!AD12&gt;Reeksen!AE12,R12*Reeksen!C12,0),IF(BC12&gt;=BA12,0,IF(Reeksen!AD12&gt;Reeksen!AE12,(BA12-BC12)*R12,0)))</f>
        <v>0</v>
      </c>
      <c r="W12" s="218">
        <f t="shared" ca="1" si="7"/>
        <v>0</v>
      </c>
      <c r="X12" s="98">
        <f ca="1">IF('Invoer gegevens'!$C$17=E12,'Invoer gegevens'!$C$10-'Invoer gegevens'!$C$11,IF(C12=1,AC11,0))</f>
        <v>0</v>
      </c>
      <c r="Y12" s="98">
        <f t="shared" ca="1" si="4"/>
        <v>0</v>
      </c>
      <c r="Z12" s="98">
        <f ca="1">(1-('Invoer gegevens'!$F$20/12))*X12*MIN(BA12,BC12)</f>
        <v>0</v>
      </c>
      <c r="AA12" s="98">
        <f ca="1">IF(BD12&lt;1,IF(Reeksen!AD12&lt;=Reeksen!AE12,X12*Reeksen!C12,0),IF(BC12&gt;=BA12,0,IF(Reeksen!AD12&lt;=Reeksen!AE12,(BA12-BC12)*X12,0)))</f>
        <v>0</v>
      </c>
      <c r="AB12" s="98">
        <f ca="1">IF(BD12&lt;1,IF(Reeksen!AD12&gt;Reeksen!AE12,X12*Reeksen!C12,0),IF(BC12&gt;=BA12,0,IF(Reeksen!AD12&gt;Reeksen!AE12,(BA12-BC12)*X12,0)))</f>
        <v>0</v>
      </c>
      <c r="AC12" s="99">
        <f t="shared" ca="1" si="8"/>
        <v>0</v>
      </c>
      <c r="AD12" s="98">
        <f ca="1">IF('Invoer gegevens'!$C$17=E12,R12,IF(C12=0,0,AE11))</f>
        <v>0</v>
      </c>
      <c r="AE12" s="98">
        <f t="shared" ca="1" si="9"/>
        <v>0</v>
      </c>
      <c r="AF12" s="98">
        <f ca="1">IF('Invoer gegevens'!$C$17=E12,X12,IF(C12=0,0,AG11))</f>
        <v>0</v>
      </c>
      <c r="AG12" s="98">
        <f t="shared" ca="1" si="10"/>
        <v>0</v>
      </c>
      <c r="AH12" s="66"/>
      <c r="AI12" s="71">
        <f ca="1">IF(C12=1,Reeksen!AI12*((F12+K12)/2)*12+Reeksen!AD12*((L12+Q12)/2)*12,0)</f>
        <v>0</v>
      </c>
      <c r="AJ12" s="71">
        <f ca="1">-AI12*'Invoer gegevens'!$F$28</f>
        <v>0</v>
      </c>
      <c r="AK12" s="71">
        <f t="shared" ca="1" si="11"/>
        <v>0</v>
      </c>
      <c r="AL12" s="71">
        <f ca="1">IF(C12=1,Reeksen!AL12*((F12-G12+F12)/2)*12+Reeksen!AM12*((L12-M12+L12)/2)*12,0)</f>
        <v>0</v>
      </c>
      <c r="AM12" s="71">
        <f ca="1">-AL12*'Invoer gegevens'!$F$31</f>
        <v>0</v>
      </c>
      <c r="AN12" s="71">
        <f t="shared" ca="1" si="12"/>
        <v>0</v>
      </c>
      <c r="AO12" s="71">
        <f ca="1">IF(C12=1,(H12+J12+N12+P12)*Reeksen!AN12,0)</f>
        <v>0</v>
      </c>
      <c r="AP12" s="71">
        <f ca="1">-IF(C12=1,(H12+J12+N12+P12)*'Hulp - basis'!$G$550*Reeksen!H12,0)</f>
        <v>0</v>
      </c>
      <c r="AQ12" s="71">
        <f ca="1">-IF(C12=1,(F12+K12+L12+Q12)/2*'Invoer gegevens'!$F$35*Reeksen!J12,0)*2</f>
        <v>0</v>
      </c>
      <c r="AR12" s="71">
        <f ca="1">IF(BD12&lt;1,-IF(C12=1,(G12*'Invoer gegevens'!$F$36)*Reeksen!J12,0),0)</f>
        <v>0</v>
      </c>
      <c r="AS12" s="71">
        <f ca="1">-IF(C12=1,(F12+K12+L12+Q12)/2*'Invoer gegevens'!$F$37*Reeksen!L12,0)</f>
        <v>0</v>
      </c>
      <c r="AT12" s="71">
        <f ca="1">-IF(C12=1,IF(E12='Invoer gegevens'!$C$17,'Invoer gegevens'!$C$11,AD12)*Reeksen!S12*'Invoer gegevens'!$C$18*Reeksen!P12,0)</f>
        <v>0</v>
      </c>
      <c r="AU12" s="71">
        <f ca="1">-IF(C12=1,(F12+K12+L12+Q12)/2*'Invoer gegevens'!$F$38*Reeksen!H12,0)</f>
        <v>0</v>
      </c>
      <c r="AV12" s="71">
        <f>IF('Invoer gegevens'!$C$3="Basis",0,#REF!)</f>
        <v>0</v>
      </c>
      <c r="AW12" s="71">
        <f t="shared" ca="1" si="13"/>
        <v>0</v>
      </c>
      <c r="AX12" s="71">
        <f ca="1">IF(E12&lt;'Invoer gegevens'!$C$17+15,0,IF(E12&gt;'Invoer gegevens'!$C$17+215,0,AW12))</f>
        <v>0</v>
      </c>
      <c r="AY12" s="71">
        <f ca="1">AX12/(1+'Invoer gegevens'!$F$18)^($AZ12-('Invoer gegevens'!$C$17-'Invoer gegevens'!$C$16))/(1+'Invoer gegevens'!$C$39)^('Invoer gegevens'!$C$17-'Invoer gegevens'!$C$16)</f>
        <v>0</v>
      </c>
      <c r="AZ12" s="68">
        <f ca="1">IF(E12-'Invoer gegevens'!$C$17-14.5&lt;0,0,E12-'Invoer gegevens'!$C$17-14.5)</f>
        <v>0</v>
      </c>
      <c r="BA12" s="109">
        <f ca="1">IFERROR(VLOOKUP(E12-15,Reeksen!$A$5:$D$234,2,FALSE),0)</f>
        <v>0</v>
      </c>
      <c r="BB12" s="109">
        <f ca="1">IFERROR(VLOOKUP(E12-15,Reeksen!$A$5:$D$234,3,FALSE),0)</f>
        <v>0</v>
      </c>
      <c r="BC12" s="109">
        <f ca="1">IFERROR(VLOOKUP(E12-15,Reeksen!$A$5:$D$234,4,FALSE),0)</f>
        <v>0</v>
      </c>
      <c r="BD12" s="67">
        <f ca="1">IF(E12-'Invoer gegevens'!$C$17&lt;15,0,1)</f>
        <v>0</v>
      </c>
    </row>
    <row r="13" spans="1:56" x14ac:dyDescent="0.25">
      <c r="A13" s="59"/>
      <c r="B13" s="70">
        <f t="shared" si="14"/>
        <v>9</v>
      </c>
      <c r="C13" s="67">
        <f ca="1">IF(E13-'Invoer gegevens'!$C$17&lt;0,0,1)</f>
        <v>1</v>
      </c>
      <c r="D13" s="68">
        <f t="shared" si="15"/>
        <v>8.5</v>
      </c>
      <c r="E13" s="108">
        <f ca="1">IF('Invoer gegevens'!$C$16="","",E12+1)</f>
        <v>2027</v>
      </c>
      <c r="F13" s="84">
        <f ca="1">IF('Invoer gegevens'!$C$17=E13,'Invoer gegevens'!$C$10,IF(C13=1,K12,0))</f>
        <v>0</v>
      </c>
      <c r="G13" s="96">
        <f ca="1">IF(BD13&lt;1,F13*Reeksen!C13,IF(C13&gt;=1,F13*BA13,0))</f>
        <v>0</v>
      </c>
      <c r="H13" s="84">
        <f ca="1">(1-('Invoer gegevens'!$F$20/12))*F13*MIN(BA13,BC13)</f>
        <v>0</v>
      </c>
      <c r="I13" s="84">
        <f t="shared" ca="1" si="0"/>
        <v>0</v>
      </c>
      <c r="J13" s="84">
        <f ca="1">('Invoer gegevens'!$F$20/12)*F12*MIN(BA13,BC13)</f>
        <v>0</v>
      </c>
      <c r="K13" s="97">
        <f t="shared" ca="1" si="5"/>
        <v>0</v>
      </c>
      <c r="L13" s="84">
        <f ca="1">IF('Invoer gegevens'!$C$17=E13,0,IF(C13=1,Q12,0))</f>
        <v>0</v>
      </c>
      <c r="M13" s="96">
        <f t="shared" ca="1" si="1"/>
        <v>0</v>
      </c>
      <c r="N13" s="84">
        <f ca="1">(1-('Invoer gegevens'!$F$20/12))*L13*MIN(BA13,BC13)</f>
        <v>0</v>
      </c>
      <c r="O13" s="84">
        <f t="shared" ca="1" si="2"/>
        <v>0</v>
      </c>
      <c r="P13" s="84">
        <f ca="1">('Invoer gegevens'!$F$20/12)*L12*MIN(BA13,BC13)</f>
        <v>0</v>
      </c>
      <c r="Q13" s="84">
        <f t="shared" ca="1" si="6"/>
        <v>0</v>
      </c>
      <c r="R13" s="85">
        <f ca="1">IF('Invoer gegevens'!$C$17=E13,'Invoer gegevens'!$C$11,IF(C13=1,W12,0))</f>
        <v>0</v>
      </c>
      <c r="S13" s="86">
        <f t="shared" ca="1" si="3"/>
        <v>0</v>
      </c>
      <c r="T13" s="86">
        <f ca="1">(1-('Invoer gegevens'!$F$20/12))*R13*MIN(BC13,BA13)</f>
        <v>0</v>
      </c>
      <c r="U13" s="86">
        <f ca="1">IF(BD13&lt;1,IF(Reeksen!AD13&lt;=Reeksen!AE13,R13*Reeksen!C13,0),IF(BC13&gt;=BA13,0,IF(Reeksen!AD13&lt;=Reeksen!AE13,(BA13-BC13)*R13,0)))</f>
        <v>0</v>
      </c>
      <c r="V13" s="86">
        <f ca="1">IF(BD13&lt;1,IF(Reeksen!AD13&gt;Reeksen!AE13,R13*Reeksen!C13,0),IF(BC13&gt;=BA13,0,IF(Reeksen!AD13&gt;Reeksen!AE13,(BA13-BC13)*R13,0)))</f>
        <v>0</v>
      </c>
      <c r="W13" s="218">
        <f t="shared" ca="1" si="7"/>
        <v>0</v>
      </c>
      <c r="X13" s="98">
        <f ca="1">IF('Invoer gegevens'!$C$17=E13,'Invoer gegevens'!$C$10-'Invoer gegevens'!$C$11,IF(C13=1,AC12,0))</f>
        <v>0</v>
      </c>
      <c r="Y13" s="98">
        <f t="shared" ca="1" si="4"/>
        <v>0</v>
      </c>
      <c r="Z13" s="98">
        <f ca="1">(1-('Invoer gegevens'!$F$20/12))*X13*MIN(BA13,BC13)</f>
        <v>0</v>
      </c>
      <c r="AA13" s="98">
        <f ca="1">IF(BD13&lt;1,IF(Reeksen!AD13&lt;=Reeksen!AE13,X13*Reeksen!C13,0),IF(BC13&gt;=BA13,0,IF(Reeksen!AD13&lt;=Reeksen!AE13,(BA13-BC13)*X13,0)))</f>
        <v>0</v>
      </c>
      <c r="AB13" s="98">
        <f ca="1">IF(BD13&lt;1,IF(Reeksen!AD13&gt;Reeksen!AE13,X13*Reeksen!C13,0),IF(BC13&gt;=BA13,0,IF(Reeksen!AD13&gt;Reeksen!AE13,(BA13-BC13)*X13,0)))</f>
        <v>0</v>
      </c>
      <c r="AC13" s="99">
        <f t="shared" ca="1" si="8"/>
        <v>0</v>
      </c>
      <c r="AD13" s="98">
        <f ca="1">IF('Invoer gegevens'!$C$17=E13,R13,IF(C13=0,0,AE12))</f>
        <v>0</v>
      </c>
      <c r="AE13" s="98">
        <f t="shared" ca="1" si="9"/>
        <v>0</v>
      </c>
      <c r="AF13" s="98">
        <f ca="1">IF('Invoer gegevens'!$C$17=E13,X13,IF(C13=0,0,AG12))</f>
        <v>0</v>
      </c>
      <c r="AG13" s="98">
        <f t="shared" ca="1" si="10"/>
        <v>0</v>
      </c>
      <c r="AH13" s="66"/>
      <c r="AI13" s="71">
        <f ca="1">IF(C13=1,Reeksen!AI13*((F13+K13)/2)*12+Reeksen!AD13*((L13+Q13)/2)*12,0)</f>
        <v>0</v>
      </c>
      <c r="AJ13" s="71">
        <f ca="1">-AI13*'Invoer gegevens'!$F$28</f>
        <v>0</v>
      </c>
      <c r="AK13" s="71">
        <f t="shared" ca="1" si="11"/>
        <v>0</v>
      </c>
      <c r="AL13" s="71">
        <f ca="1">IF(C13=1,Reeksen!AL13*((F13-G13+F13)/2)*12+Reeksen!AM13*((L13-M13+L13)/2)*12,0)</f>
        <v>0</v>
      </c>
      <c r="AM13" s="71">
        <f ca="1">-AL13*'Invoer gegevens'!$F$31</f>
        <v>0</v>
      </c>
      <c r="AN13" s="71">
        <f t="shared" ca="1" si="12"/>
        <v>0</v>
      </c>
      <c r="AO13" s="71">
        <f ca="1">IF(C13=1,(H13+J13+N13+P13)*Reeksen!AN13,0)</f>
        <v>0</v>
      </c>
      <c r="AP13" s="71">
        <f ca="1">-IF(C13=1,(H13+J13+N13+P13)*'Hulp - basis'!$G$550*Reeksen!H13,0)</f>
        <v>0</v>
      </c>
      <c r="AQ13" s="71">
        <f ca="1">-IF(C13=1,(F13+K13+L13+Q13)/2*'Invoer gegevens'!$F$35*Reeksen!J13,0)*2</f>
        <v>0</v>
      </c>
      <c r="AR13" s="71">
        <f ca="1">IF(BD13&lt;1,-IF(C13=1,(G13*'Invoer gegevens'!$F$36)*Reeksen!J13,0),0)</f>
        <v>0</v>
      </c>
      <c r="AS13" s="71">
        <f ca="1">-IF(C13=1,(F13+K13+L13+Q13)/2*'Invoer gegevens'!$F$37*Reeksen!L13,0)</f>
        <v>0</v>
      </c>
      <c r="AT13" s="71">
        <f ca="1">-IF(C13=1,IF(E13='Invoer gegevens'!$C$17,'Invoer gegevens'!$C$11,AD13)*Reeksen!S13*'Invoer gegevens'!$C$18*Reeksen!P13,0)</f>
        <v>0</v>
      </c>
      <c r="AU13" s="71">
        <f ca="1">-IF(C13=1,(F13+K13+L13+Q13)/2*'Invoer gegevens'!$F$38*Reeksen!H13,0)</f>
        <v>0</v>
      </c>
      <c r="AV13" s="71">
        <f>IF('Invoer gegevens'!$C$3="Basis",0,#REF!)</f>
        <v>0</v>
      </c>
      <c r="AW13" s="71">
        <f t="shared" ca="1" si="13"/>
        <v>0</v>
      </c>
      <c r="AX13" s="71">
        <f ca="1">IF(E13&lt;'Invoer gegevens'!$C$17+15,0,IF(E13&gt;'Invoer gegevens'!$C$17+215,0,AW13))</f>
        <v>0</v>
      </c>
      <c r="AY13" s="71">
        <f ca="1">AX13/(1+'Invoer gegevens'!$F$18)^($AZ13-('Invoer gegevens'!$C$17-'Invoer gegevens'!$C$16))/(1+'Invoer gegevens'!$C$39)^('Invoer gegevens'!$C$17-'Invoer gegevens'!$C$16)</f>
        <v>0</v>
      </c>
      <c r="AZ13" s="68">
        <f ca="1">IF(E13-'Invoer gegevens'!$C$17-14.5&lt;0,0,E13-'Invoer gegevens'!$C$17-14.5)</f>
        <v>0</v>
      </c>
      <c r="BA13" s="109">
        <f ca="1">IFERROR(VLOOKUP(E13-15,Reeksen!$A$5:$D$234,2,FALSE),0)</f>
        <v>0</v>
      </c>
      <c r="BB13" s="109">
        <f ca="1">IFERROR(VLOOKUP(E13-15,Reeksen!$A$5:$D$234,3,FALSE),0)</f>
        <v>0</v>
      </c>
      <c r="BC13" s="109">
        <f ca="1">IFERROR(VLOOKUP(E13-15,Reeksen!$A$5:$D$234,4,FALSE),0)</f>
        <v>0</v>
      </c>
      <c r="BD13" s="67">
        <f ca="1">IF(E13-'Invoer gegevens'!$C$17&lt;15,0,1)</f>
        <v>0</v>
      </c>
    </row>
    <row r="14" spans="1:56" x14ac:dyDescent="0.25">
      <c r="A14" s="59"/>
      <c r="B14" s="70">
        <f t="shared" si="14"/>
        <v>10</v>
      </c>
      <c r="C14" s="67">
        <f ca="1">IF(E14-'Invoer gegevens'!$C$17&lt;0,0,1)</f>
        <v>1</v>
      </c>
      <c r="D14" s="68">
        <f t="shared" si="15"/>
        <v>9.5</v>
      </c>
      <c r="E14" s="108">
        <f ca="1">IF('Invoer gegevens'!$C$16="","",E13+1)</f>
        <v>2028</v>
      </c>
      <c r="F14" s="84">
        <f ca="1">IF('Invoer gegevens'!$C$17=E14,'Invoer gegevens'!$C$10,IF(C14=1,K13,0))</f>
        <v>0</v>
      </c>
      <c r="G14" s="96">
        <f ca="1">IF(BD14&lt;1,F14*Reeksen!C14,IF(C14&gt;=1,F14*BA14,0))</f>
        <v>0</v>
      </c>
      <c r="H14" s="84">
        <f ca="1">(1-('Invoer gegevens'!$F$20/12))*F14*MIN(BA14,BC14)</f>
        <v>0</v>
      </c>
      <c r="I14" s="84">
        <f t="shared" ca="1" si="0"/>
        <v>0</v>
      </c>
      <c r="J14" s="84">
        <f ca="1">('Invoer gegevens'!$F$20/12)*F13*MIN(BA14,BC14)</f>
        <v>0</v>
      </c>
      <c r="K14" s="97">
        <f t="shared" ca="1" si="5"/>
        <v>0</v>
      </c>
      <c r="L14" s="84">
        <f ca="1">IF('Invoer gegevens'!$C$17=E14,0,IF(C14=1,Q13,0))</f>
        <v>0</v>
      </c>
      <c r="M14" s="96">
        <f t="shared" ca="1" si="1"/>
        <v>0</v>
      </c>
      <c r="N14" s="84">
        <f ca="1">(1-('Invoer gegevens'!$F$20/12))*L14*MIN(BA14,BC14)</f>
        <v>0</v>
      </c>
      <c r="O14" s="84">
        <f t="shared" ca="1" si="2"/>
        <v>0</v>
      </c>
      <c r="P14" s="84">
        <f ca="1">('Invoer gegevens'!$F$20/12)*L13*MIN(BA14,BC14)</f>
        <v>0</v>
      </c>
      <c r="Q14" s="84">
        <f t="shared" ca="1" si="6"/>
        <v>0</v>
      </c>
      <c r="R14" s="85">
        <f ca="1">IF('Invoer gegevens'!$C$17=E14,'Invoer gegevens'!$C$11,IF(C14=1,W13,0))</f>
        <v>0</v>
      </c>
      <c r="S14" s="86">
        <f t="shared" ca="1" si="3"/>
        <v>0</v>
      </c>
      <c r="T14" s="86">
        <f ca="1">(1-('Invoer gegevens'!$F$20/12))*R14*MIN(BC14,BA14)</f>
        <v>0</v>
      </c>
      <c r="U14" s="86">
        <f ca="1">IF(BD14&lt;1,IF(Reeksen!AD14&lt;=Reeksen!AE14,R14*Reeksen!C14,0),IF(BC14&gt;=BA14,0,IF(Reeksen!AD14&lt;=Reeksen!AE14,(BA14-BC14)*R14,0)))</f>
        <v>0</v>
      </c>
      <c r="V14" s="86">
        <f ca="1">IF(BD14&lt;1,IF(Reeksen!AD14&gt;Reeksen!AE14,R14*Reeksen!C14,0),IF(BC14&gt;=BA14,0,IF(Reeksen!AD14&gt;Reeksen!AE14,(BA14-BC14)*R14,0)))</f>
        <v>0</v>
      </c>
      <c r="W14" s="218">
        <f t="shared" ca="1" si="7"/>
        <v>0</v>
      </c>
      <c r="X14" s="98">
        <f ca="1">IF('Invoer gegevens'!$C$17=E14,'Invoer gegevens'!$C$10-'Invoer gegevens'!$C$11,IF(C14=1,AC13,0))</f>
        <v>0</v>
      </c>
      <c r="Y14" s="98">
        <f t="shared" ca="1" si="4"/>
        <v>0</v>
      </c>
      <c r="Z14" s="98">
        <f ca="1">(1-('Invoer gegevens'!$F$20/12))*X14*MIN(BA14,BC14)</f>
        <v>0</v>
      </c>
      <c r="AA14" s="98">
        <f ca="1">IF(BD14&lt;1,IF(Reeksen!AD14&lt;=Reeksen!AE14,X14*Reeksen!C14,0),IF(BC14&gt;=BA14,0,IF(Reeksen!AD14&lt;=Reeksen!AE14,(BA14-BC14)*X14,0)))</f>
        <v>0</v>
      </c>
      <c r="AB14" s="98">
        <f ca="1">IF(BD14&lt;1,IF(Reeksen!AD14&gt;Reeksen!AE14,X14*Reeksen!C14,0),IF(BC14&gt;=BA14,0,IF(Reeksen!AD14&gt;Reeksen!AE14,(BA14-BC14)*X14,0)))</f>
        <v>0</v>
      </c>
      <c r="AC14" s="99">
        <f t="shared" ca="1" si="8"/>
        <v>0</v>
      </c>
      <c r="AD14" s="98">
        <f ca="1">IF('Invoer gegevens'!$C$17=E14,R14,IF(C14=0,0,AE13))</f>
        <v>0</v>
      </c>
      <c r="AE14" s="98">
        <f t="shared" ca="1" si="9"/>
        <v>0</v>
      </c>
      <c r="AF14" s="98">
        <f ca="1">IF('Invoer gegevens'!$C$17=E14,X14,IF(C14=0,0,AG13))</f>
        <v>0</v>
      </c>
      <c r="AG14" s="98">
        <f t="shared" ca="1" si="10"/>
        <v>0</v>
      </c>
      <c r="AH14" s="66"/>
      <c r="AI14" s="71">
        <f ca="1">IF(C14=1,Reeksen!AI14*((F14+K14)/2)*12+Reeksen!AD14*((L14+Q14)/2)*12,0)</f>
        <v>0</v>
      </c>
      <c r="AJ14" s="71">
        <f ca="1">-AI14*'Invoer gegevens'!$F$28</f>
        <v>0</v>
      </c>
      <c r="AK14" s="71">
        <f t="shared" ca="1" si="11"/>
        <v>0</v>
      </c>
      <c r="AL14" s="71">
        <f ca="1">IF(C14=1,Reeksen!AL14*((F14-G14+F14)/2)*12+Reeksen!AM14*((L14-M14+L14)/2)*12,0)</f>
        <v>0</v>
      </c>
      <c r="AM14" s="71">
        <f ca="1">-AL14*'Invoer gegevens'!$F$31</f>
        <v>0</v>
      </c>
      <c r="AN14" s="71">
        <f t="shared" ca="1" si="12"/>
        <v>0</v>
      </c>
      <c r="AO14" s="71">
        <f ca="1">IF(C14=1,(H14+J14+N14+P14)*Reeksen!AN14,0)</f>
        <v>0</v>
      </c>
      <c r="AP14" s="71">
        <f ca="1">-IF(C14=1,(H14+J14+N14+P14)*'Hulp - basis'!$G$550*Reeksen!H14,0)</f>
        <v>0</v>
      </c>
      <c r="AQ14" s="71">
        <f ca="1">-IF(C14=1,(F14+K14+L14+Q14)/2*'Invoer gegevens'!$F$35*Reeksen!J14,0)*2</f>
        <v>0</v>
      </c>
      <c r="AR14" s="71">
        <f ca="1">IF(BD14&lt;1,-IF(C14=1,(G14*'Invoer gegevens'!$F$36)*Reeksen!J14,0),0)</f>
        <v>0</v>
      </c>
      <c r="AS14" s="71">
        <f ca="1">-IF(C14=1,(F14+K14+L14+Q14)/2*'Invoer gegevens'!$F$37*Reeksen!L14,0)</f>
        <v>0</v>
      </c>
      <c r="AT14" s="71">
        <f ca="1">-IF(C14=1,IF(E14='Invoer gegevens'!$C$17,'Invoer gegevens'!$C$11,AD14)*Reeksen!S14*'Invoer gegevens'!$C$18*Reeksen!P14,0)</f>
        <v>0</v>
      </c>
      <c r="AU14" s="71">
        <f ca="1">-IF(C14=1,(F14+K14+L14+Q14)/2*'Invoer gegevens'!$F$38*Reeksen!H14,0)</f>
        <v>0</v>
      </c>
      <c r="AV14" s="71">
        <f>IF('Invoer gegevens'!$C$3="Basis",0,#REF!)</f>
        <v>0</v>
      </c>
      <c r="AW14" s="71">
        <f t="shared" ca="1" si="13"/>
        <v>0</v>
      </c>
      <c r="AX14" s="71">
        <f ca="1">IF(E14&lt;'Invoer gegevens'!$C$17+15,0,IF(E14&gt;'Invoer gegevens'!$C$17+215,0,AW14))</f>
        <v>0</v>
      </c>
      <c r="AY14" s="71">
        <f ca="1">AX14/(1+'Invoer gegevens'!$F$18)^($AZ14-('Invoer gegevens'!$C$17-'Invoer gegevens'!$C$16))/(1+'Invoer gegevens'!$C$39)^('Invoer gegevens'!$C$17-'Invoer gegevens'!$C$16)</f>
        <v>0</v>
      </c>
      <c r="AZ14" s="68">
        <f ca="1">IF(E14-'Invoer gegevens'!$C$17-14.5&lt;0,0,E14-'Invoer gegevens'!$C$17-14.5)</f>
        <v>0</v>
      </c>
      <c r="BA14" s="109">
        <f ca="1">IFERROR(VLOOKUP(E14-15,Reeksen!$A$5:$D$234,2,FALSE),0)</f>
        <v>0</v>
      </c>
      <c r="BB14" s="109">
        <f ca="1">IFERROR(VLOOKUP(E14-15,Reeksen!$A$5:$D$234,3,FALSE),0)</f>
        <v>0</v>
      </c>
      <c r="BC14" s="109">
        <f ca="1">IFERROR(VLOOKUP(E14-15,Reeksen!$A$5:$D$234,4,FALSE),0)</f>
        <v>0</v>
      </c>
      <c r="BD14" s="67">
        <f ca="1">IF(E14-'Invoer gegevens'!$C$17&lt;15,0,1)</f>
        <v>0</v>
      </c>
    </row>
    <row r="15" spans="1:56" x14ac:dyDescent="0.25">
      <c r="A15" s="59"/>
      <c r="B15" s="70">
        <f t="shared" si="14"/>
        <v>11</v>
      </c>
      <c r="C15" s="67">
        <f ca="1">IF(E15-'Invoer gegevens'!$C$17&lt;0,0,1)</f>
        <v>1</v>
      </c>
      <c r="D15" s="68">
        <f t="shared" si="15"/>
        <v>10.5</v>
      </c>
      <c r="E15" s="108">
        <f ca="1">IF('Invoer gegevens'!$C$16="","",E14+1)</f>
        <v>2029</v>
      </c>
      <c r="F15" s="84">
        <f ca="1">IF('Invoer gegevens'!$C$17=E15,'Invoer gegevens'!$C$10,IF(C15=1,K14,0))</f>
        <v>0</v>
      </c>
      <c r="G15" s="96">
        <f ca="1">IF(BD15&lt;1,F15*Reeksen!C15,IF(C15&gt;=1,F15*BA15,0))</f>
        <v>0</v>
      </c>
      <c r="H15" s="84">
        <f ca="1">(1-('Invoer gegevens'!$F$20/12))*F15*MIN(BA15,BC15)</f>
        <v>0</v>
      </c>
      <c r="I15" s="84">
        <f t="shared" ca="1" si="0"/>
        <v>0</v>
      </c>
      <c r="J15" s="84">
        <f ca="1">('Invoer gegevens'!$F$20/12)*F14*MIN(BA15,BC15)</f>
        <v>0</v>
      </c>
      <c r="K15" s="97">
        <f t="shared" ca="1" si="5"/>
        <v>0</v>
      </c>
      <c r="L15" s="84">
        <f ca="1">IF('Invoer gegevens'!$C$17=E15,0,IF(C15=1,Q14,0))</f>
        <v>0</v>
      </c>
      <c r="M15" s="96">
        <f t="shared" ca="1" si="1"/>
        <v>0</v>
      </c>
      <c r="N15" s="84">
        <f ca="1">(1-('Invoer gegevens'!$F$20/12))*L15*MIN(BA15,BC15)</f>
        <v>0</v>
      </c>
      <c r="O15" s="84">
        <f t="shared" ca="1" si="2"/>
        <v>0</v>
      </c>
      <c r="P15" s="84">
        <f ca="1">('Invoer gegevens'!$F$20/12)*L14*MIN(BA15,BC15)</f>
        <v>0</v>
      </c>
      <c r="Q15" s="84">
        <f t="shared" ca="1" si="6"/>
        <v>0</v>
      </c>
      <c r="R15" s="85">
        <f ca="1">IF('Invoer gegevens'!$C$17=E15,'Invoer gegevens'!$C$11,IF(C15=1,W14,0))</f>
        <v>0</v>
      </c>
      <c r="S15" s="86">
        <f t="shared" ca="1" si="3"/>
        <v>0</v>
      </c>
      <c r="T15" s="86">
        <f ca="1">(1-('Invoer gegevens'!$F$20/12))*R15*MIN(BC15,BA15)</f>
        <v>0</v>
      </c>
      <c r="U15" s="86">
        <f ca="1">IF(BD15&lt;1,IF(Reeksen!AD15&lt;=Reeksen!AE15,R15*Reeksen!C15,0),IF(BC15&gt;=BA15,0,IF(Reeksen!AD15&lt;=Reeksen!AE15,(BA15-BC15)*R15,0)))</f>
        <v>0</v>
      </c>
      <c r="V15" s="86">
        <f ca="1">IF(BD15&lt;1,IF(Reeksen!AD15&gt;Reeksen!AE15,R15*Reeksen!C15,0),IF(BC15&gt;=BA15,0,IF(Reeksen!AD15&gt;Reeksen!AE15,(BA15-BC15)*R15,0)))</f>
        <v>0</v>
      </c>
      <c r="W15" s="218">
        <f t="shared" ca="1" si="7"/>
        <v>0</v>
      </c>
      <c r="X15" s="98">
        <f ca="1">IF('Invoer gegevens'!$C$17=E15,'Invoer gegevens'!$C$10-'Invoer gegevens'!$C$11,IF(C15=1,AC14,0))</f>
        <v>0</v>
      </c>
      <c r="Y15" s="98">
        <f t="shared" ca="1" si="4"/>
        <v>0</v>
      </c>
      <c r="Z15" s="98">
        <f ca="1">(1-('Invoer gegevens'!$F$20/12))*X15*MIN(BA15,BC15)</f>
        <v>0</v>
      </c>
      <c r="AA15" s="98">
        <f ca="1">IF(BD15&lt;1,IF(Reeksen!AD15&lt;=Reeksen!AE15,X15*Reeksen!C15,0),IF(BC15&gt;=BA15,0,IF(Reeksen!AD15&lt;=Reeksen!AE15,(BA15-BC15)*X15,0)))</f>
        <v>0</v>
      </c>
      <c r="AB15" s="98">
        <f ca="1">IF(BD15&lt;1,IF(Reeksen!AD15&gt;Reeksen!AE15,X15*Reeksen!C15,0),IF(BC15&gt;=BA15,0,IF(Reeksen!AD15&gt;Reeksen!AE15,(BA15-BC15)*X15,0)))</f>
        <v>0</v>
      </c>
      <c r="AC15" s="99">
        <f t="shared" ca="1" si="8"/>
        <v>0</v>
      </c>
      <c r="AD15" s="98">
        <f ca="1">IF('Invoer gegevens'!$C$17=E15,R15,IF(C15=0,0,AE14))</f>
        <v>0</v>
      </c>
      <c r="AE15" s="98">
        <f t="shared" ca="1" si="9"/>
        <v>0</v>
      </c>
      <c r="AF15" s="98">
        <f ca="1">IF('Invoer gegevens'!$C$17=E15,X15,IF(C15=0,0,AG14))</f>
        <v>0</v>
      </c>
      <c r="AG15" s="98">
        <f t="shared" ca="1" si="10"/>
        <v>0</v>
      </c>
      <c r="AH15" s="66"/>
      <c r="AI15" s="71">
        <f ca="1">IF(C15=1,Reeksen!AI15*((F15+K15)/2)*12+Reeksen!AD15*((L15+Q15)/2)*12,0)</f>
        <v>0</v>
      </c>
      <c r="AJ15" s="71">
        <f ca="1">-AI15*'Invoer gegevens'!$F$28</f>
        <v>0</v>
      </c>
      <c r="AK15" s="71">
        <f t="shared" ca="1" si="11"/>
        <v>0</v>
      </c>
      <c r="AL15" s="71">
        <f ca="1">IF(C15=1,Reeksen!AL15*((F15-G15+F15)/2)*12+Reeksen!AM15*((L15-M15+L15)/2)*12,0)</f>
        <v>0</v>
      </c>
      <c r="AM15" s="71">
        <f ca="1">-AL15*'Invoer gegevens'!$F$31</f>
        <v>0</v>
      </c>
      <c r="AN15" s="71">
        <f t="shared" ca="1" si="12"/>
        <v>0</v>
      </c>
      <c r="AO15" s="71">
        <f ca="1">IF(C15=1,(H15+J15+N15+P15)*Reeksen!AN15,0)</f>
        <v>0</v>
      </c>
      <c r="AP15" s="71">
        <f ca="1">-IF(C15=1,(H15+J15+N15+P15)*'Hulp - basis'!$G$550*Reeksen!H15,0)</f>
        <v>0</v>
      </c>
      <c r="AQ15" s="71">
        <f ca="1">-IF(C15=1,(F15+K15+L15+Q15)/2*'Invoer gegevens'!$F$35*Reeksen!J15,0)*2</f>
        <v>0</v>
      </c>
      <c r="AR15" s="71">
        <f ca="1">IF(BD15&lt;1,-IF(C15=1,(G15*'Invoer gegevens'!$F$36)*Reeksen!J15,0),0)</f>
        <v>0</v>
      </c>
      <c r="AS15" s="71">
        <f ca="1">-IF(C15=1,(F15+K15+L15+Q15)/2*'Invoer gegevens'!$F$37*Reeksen!L15,0)</f>
        <v>0</v>
      </c>
      <c r="AT15" s="71">
        <f ca="1">-IF(C15=1,IF(E15='Invoer gegevens'!$C$17,'Invoer gegevens'!$C$11,AD15)*Reeksen!S15*'Invoer gegevens'!$C$18*Reeksen!P15,0)</f>
        <v>0</v>
      </c>
      <c r="AU15" s="71">
        <f ca="1">-IF(C15=1,(F15+K15+L15+Q15)/2*'Invoer gegevens'!$F$38*Reeksen!H15,0)</f>
        <v>0</v>
      </c>
      <c r="AV15" s="71">
        <f>IF('Invoer gegevens'!$C$3="Basis",0,#REF!)</f>
        <v>0</v>
      </c>
      <c r="AW15" s="71">
        <f t="shared" ca="1" si="13"/>
        <v>0</v>
      </c>
      <c r="AX15" s="71">
        <f ca="1">IF(E15&lt;'Invoer gegevens'!$C$17+15,0,IF(E15&gt;'Invoer gegevens'!$C$17+215,0,AW15))</f>
        <v>0</v>
      </c>
      <c r="AY15" s="71">
        <f ca="1">AX15/(1+'Invoer gegevens'!$F$18)^($AZ15-('Invoer gegevens'!$C$17-'Invoer gegevens'!$C$16))/(1+'Invoer gegevens'!$C$39)^('Invoer gegevens'!$C$17-'Invoer gegevens'!$C$16)</f>
        <v>0</v>
      </c>
      <c r="AZ15" s="68">
        <f ca="1">IF(E15-'Invoer gegevens'!$C$17-14.5&lt;0,0,E15-'Invoer gegevens'!$C$17-14.5)</f>
        <v>0</v>
      </c>
      <c r="BA15" s="109">
        <f ca="1">IFERROR(VLOOKUP(E15-15,Reeksen!$A$5:$D$234,2,FALSE),0)</f>
        <v>0</v>
      </c>
      <c r="BB15" s="109">
        <f ca="1">IFERROR(VLOOKUP(E15-15,Reeksen!$A$5:$D$234,3,FALSE),0)</f>
        <v>0</v>
      </c>
      <c r="BC15" s="109">
        <f ca="1">IFERROR(VLOOKUP(E15-15,Reeksen!$A$5:$D$234,4,FALSE),0)</f>
        <v>0</v>
      </c>
      <c r="BD15" s="67">
        <f ca="1">IF(E15-'Invoer gegevens'!$C$17&lt;15,0,1)</f>
        <v>0</v>
      </c>
    </row>
    <row r="16" spans="1:56" x14ac:dyDescent="0.25">
      <c r="A16" s="59"/>
      <c r="B16" s="70">
        <f t="shared" si="14"/>
        <v>12</v>
      </c>
      <c r="C16" s="67">
        <f ca="1">IF(E16-'Invoer gegevens'!$C$17&lt;0,0,1)</f>
        <v>1</v>
      </c>
      <c r="D16" s="68">
        <f t="shared" si="15"/>
        <v>11.5</v>
      </c>
      <c r="E16" s="108">
        <f ca="1">IF('Invoer gegevens'!$C$16="","",E15+1)</f>
        <v>2030</v>
      </c>
      <c r="F16" s="84">
        <f ca="1">IF('Invoer gegevens'!$C$17=E16,'Invoer gegevens'!$C$10,IF(C16=1,K15,0))</f>
        <v>0</v>
      </c>
      <c r="G16" s="96">
        <f ca="1">IF(BD16&lt;1,F16*Reeksen!C16,IF(C16&gt;=1,F16*BA16,0))</f>
        <v>0</v>
      </c>
      <c r="H16" s="84">
        <f ca="1">(1-('Invoer gegevens'!$F$20/12))*F16*MIN(BA16,BC16)</f>
        <v>0</v>
      </c>
      <c r="I16" s="84">
        <f t="shared" ca="1" si="0"/>
        <v>0</v>
      </c>
      <c r="J16" s="84">
        <f ca="1">('Invoer gegevens'!$F$20/12)*F15*MIN(BA16,BC16)</f>
        <v>0</v>
      </c>
      <c r="K16" s="97">
        <f t="shared" ca="1" si="5"/>
        <v>0</v>
      </c>
      <c r="L16" s="84">
        <f ca="1">IF('Invoer gegevens'!$C$17=E16,0,IF(C16=1,Q15,0))</f>
        <v>0</v>
      </c>
      <c r="M16" s="96">
        <f t="shared" ca="1" si="1"/>
        <v>0</v>
      </c>
      <c r="N16" s="84">
        <f ca="1">(1-('Invoer gegevens'!$F$20/12))*L16*MIN(BA16,BC16)</f>
        <v>0</v>
      </c>
      <c r="O16" s="84">
        <f t="shared" ca="1" si="2"/>
        <v>0</v>
      </c>
      <c r="P16" s="84">
        <f ca="1">('Invoer gegevens'!$F$20/12)*L15*MIN(BA16,BC16)</f>
        <v>0</v>
      </c>
      <c r="Q16" s="84">
        <f t="shared" ca="1" si="6"/>
        <v>0</v>
      </c>
      <c r="R16" s="85">
        <f ca="1">IF('Invoer gegevens'!$C$17=E16,'Invoer gegevens'!$C$11,IF(C16=1,W15,0))</f>
        <v>0</v>
      </c>
      <c r="S16" s="86">
        <f t="shared" ca="1" si="3"/>
        <v>0</v>
      </c>
      <c r="T16" s="86">
        <f ca="1">(1-('Invoer gegevens'!$F$20/12))*R16*MIN(BC16,BA16)</f>
        <v>0</v>
      </c>
      <c r="U16" s="86">
        <f ca="1">IF(BD16&lt;1,IF(Reeksen!AD16&lt;=Reeksen!AE16,R16*Reeksen!C16,0),IF(BC16&gt;=BA16,0,IF(Reeksen!AD16&lt;=Reeksen!AE16,(BA16-BC16)*R16,0)))</f>
        <v>0</v>
      </c>
      <c r="V16" s="86">
        <f ca="1">IF(BD16&lt;1,IF(Reeksen!AD16&gt;Reeksen!AE16,R16*Reeksen!C16,0),IF(BC16&gt;=BA16,0,IF(Reeksen!AD16&gt;Reeksen!AE16,(BA16-BC16)*R16,0)))</f>
        <v>0</v>
      </c>
      <c r="W16" s="218">
        <f t="shared" ca="1" si="7"/>
        <v>0</v>
      </c>
      <c r="X16" s="98">
        <f ca="1">IF('Invoer gegevens'!$C$17=E16,'Invoer gegevens'!$C$10-'Invoer gegevens'!$C$11,IF(C16=1,AC15,0))</f>
        <v>0</v>
      </c>
      <c r="Y16" s="98">
        <f t="shared" ca="1" si="4"/>
        <v>0</v>
      </c>
      <c r="Z16" s="98">
        <f ca="1">(1-('Invoer gegevens'!$F$20/12))*X16*MIN(BA16,BC16)</f>
        <v>0</v>
      </c>
      <c r="AA16" s="98">
        <f ca="1">IF(BD16&lt;1,IF(Reeksen!AD16&lt;=Reeksen!AE16,X16*Reeksen!C16,0),IF(BC16&gt;=BA16,0,IF(Reeksen!AD16&lt;=Reeksen!AE16,(BA16-BC16)*X16,0)))</f>
        <v>0</v>
      </c>
      <c r="AB16" s="98">
        <f ca="1">IF(BD16&lt;1,IF(Reeksen!AD16&gt;Reeksen!AE16,X16*Reeksen!C16,0),IF(BC16&gt;=BA16,0,IF(Reeksen!AD16&gt;Reeksen!AE16,(BA16-BC16)*X16,0)))</f>
        <v>0</v>
      </c>
      <c r="AC16" s="99">
        <f t="shared" ca="1" si="8"/>
        <v>0</v>
      </c>
      <c r="AD16" s="98">
        <f ca="1">IF('Invoer gegevens'!$C$17=E16,R16,IF(C16=0,0,AE15))</f>
        <v>0</v>
      </c>
      <c r="AE16" s="98">
        <f t="shared" ca="1" si="9"/>
        <v>0</v>
      </c>
      <c r="AF16" s="98">
        <f ca="1">IF('Invoer gegevens'!$C$17=E16,X16,IF(C16=0,0,AG15))</f>
        <v>0</v>
      </c>
      <c r="AG16" s="98">
        <f t="shared" ca="1" si="10"/>
        <v>0</v>
      </c>
      <c r="AH16" s="66"/>
      <c r="AI16" s="71">
        <f ca="1">IF(C16=1,Reeksen!AI16*((F16+K16)/2)*12+Reeksen!AD16*((L16+Q16)/2)*12,0)</f>
        <v>0</v>
      </c>
      <c r="AJ16" s="71">
        <f ca="1">-AI16*'Invoer gegevens'!$F$28</f>
        <v>0</v>
      </c>
      <c r="AK16" s="71">
        <f t="shared" ca="1" si="11"/>
        <v>0</v>
      </c>
      <c r="AL16" s="71">
        <f ca="1">IF(C16=1,Reeksen!AL16*((F16-G16+F16)/2)*12+Reeksen!AM16*((L16-M16+L16)/2)*12,0)</f>
        <v>0</v>
      </c>
      <c r="AM16" s="71">
        <f ca="1">-AL16*'Invoer gegevens'!$F$31</f>
        <v>0</v>
      </c>
      <c r="AN16" s="71">
        <f t="shared" ca="1" si="12"/>
        <v>0</v>
      </c>
      <c r="AO16" s="71">
        <f ca="1">IF(C16=1,(H16+J16+N16+P16)*Reeksen!AN16,0)</f>
        <v>0</v>
      </c>
      <c r="AP16" s="71">
        <f ca="1">-IF(C16=1,(H16+J16+N16+P16)*'Hulp - basis'!$G$550*Reeksen!H16,0)</f>
        <v>0</v>
      </c>
      <c r="AQ16" s="71">
        <f ca="1">-IF(C16=1,(F16+K16+L16+Q16)/2*'Invoer gegevens'!$F$35*Reeksen!J16,0)*2</f>
        <v>0</v>
      </c>
      <c r="AR16" s="71">
        <f ca="1">IF(BD16&lt;1,-IF(C16=1,(G16*'Invoer gegevens'!$F$36)*Reeksen!J16,0),0)</f>
        <v>0</v>
      </c>
      <c r="AS16" s="71">
        <f ca="1">-IF(C16=1,(F16+K16+L16+Q16)/2*'Invoer gegevens'!$F$37*Reeksen!L16,0)</f>
        <v>0</v>
      </c>
      <c r="AT16" s="71">
        <f ca="1">-IF(C16=1,IF(E16='Invoer gegevens'!$C$17,'Invoer gegevens'!$C$11,AD16)*Reeksen!S16*'Invoer gegevens'!$C$18*Reeksen!P16,0)</f>
        <v>0</v>
      </c>
      <c r="AU16" s="71">
        <f ca="1">-IF(C16=1,(F16+K16+L16+Q16)/2*'Invoer gegevens'!$F$38*Reeksen!H16,0)</f>
        <v>0</v>
      </c>
      <c r="AV16" s="71">
        <f>IF('Invoer gegevens'!$C$3="Basis",0,#REF!)</f>
        <v>0</v>
      </c>
      <c r="AW16" s="71">
        <f t="shared" ca="1" si="13"/>
        <v>0</v>
      </c>
      <c r="AX16" s="71">
        <f ca="1">IF(E16&lt;'Invoer gegevens'!$C$17+15,0,IF(E16&gt;'Invoer gegevens'!$C$17+215,0,AW16))</f>
        <v>0</v>
      </c>
      <c r="AY16" s="71">
        <f ca="1">AX16/(1+'Invoer gegevens'!$F$18)^($AZ16-('Invoer gegevens'!$C$17-'Invoer gegevens'!$C$16))/(1+'Invoer gegevens'!$C$39)^('Invoer gegevens'!$C$17-'Invoer gegevens'!$C$16)</f>
        <v>0</v>
      </c>
      <c r="AZ16" s="68">
        <f ca="1">IF(E16-'Invoer gegevens'!$C$17-14.5&lt;0,0,E16-'Invoer gegevens'!$C$17-14.5)</f>
        <v>0</v>
      </c>
      <c r="BA16" s="109">
        <f ca="1">IFERROR(VLOOKUP(E16-15,Reeksen!$A$5:$D$234,2,FALSE),0)</f>
        <v>0</v>
      </c>
      <c r="BB16" s="109">
        <f ca="1">IFERROR(VLOOKUP(E16-15,Reeksen!$A$5:$D$234,3,FALSE),0)</f>
        <v>0</v>
      </c>
      <c r="BC16" s="109">
        <f ca="1">IFERROR(VLOOKUP(E16-15,Reeksen!$A$5:$D$234,4,FALSE),0)</f>
        <v>0</v>
      </c>
      <c r="BD16" s="67">
        <f ca="1">IF(E16-'Invoer gegevens'!$C$17&lt;15,0,1)</f>
        <v>0</v>
      </c>
    </row>
    <row r="17" spans="1:56" x14ac:dyDescent="0.25">
      <c r="A17" s="59"/>
      <c r="B17" s="70">
        <f t="shared" si="14"/>
        <v>13</v>
      </c>
      <c r="C17" s="67">
        <f ca="1">IF(E17-'Invoer gegevens'!$C$17&lt;0,0,1)</f>
        <v>1</v>
      </c>
      <c r="D17" s="68">
        <f t="shared" si="15"/>
        <v>12.5</v>
      </c>
      <c r="E17" s="108">
        <f ca="1">IF('Invoer gegevens'!$C$16="","",E16+1)</f>
        <v>2031</v>
      </c>
      <c r="F17" s="84">
        <f ca="1">IF('Invoer gegevens'!$C$17=E17,'Invoer gegevens'!$C$10,IF(C17=1,K16,0))</f>
        <v>0</v>
      </c>
      <c r="G17" s="96">
        <f ca="1">IF(BD17&lt;1,F17*Reeksen!C17,IF(C17&gt;=1,F17*BA17,0))</f>
        <v>0</v>
      </c>
      <c r="H17" s="84">
        <f ca="1">(1-('Invoer gegevens'!$F$20/12))*F17*MIN(BA17,BC17)</f>
        <v>0</v>
      </c>
      <c r="I17" s="84">
        <f t="shared" ca="1" si="0"/>
        <v>0</v>
      </c>
      <c r="J17" s="84">
        <f ca="1">('Invoer gegevens'!$F$20/12)*F16*MIN(BA17,BC17)</f>
        <v>0</v>
      </c>
      <c r="K17" s="97">
        <f t="shared" ca="1" si="5"/>
        <v>0</v>
      </c>
      <c r="L17" s="84">
        <f ca="1">IF('Invoer gegevens'!$C$17=E17,0,IF(C17=1,Q16,0))</f>
        <v>0</v>
      </c>
      <c r="M17" s="96">
        <f t="shared" ca="1" si="1"/>
        <v>0</v>
      </c>
      <c r="N17" s="84">
        <f ca="1">(1-('Invoer gegevens'!$F$20/12))*L17*MIN(BA17,BC17)</f>
        <v>0</v>
      </c>
      <c r="O17" s="84">
        <f t="shared" ca="1" si="2"/>
        <v>0</v>
      </c>
      <c r="P17" s="84">
        <f ca="1">('Invoer gegevens'!$F$20/12)*L16*MIN(BA17,BC17)</f>
        <v>0</v>
      </c>
      <c r="Q17" s="84">
        <f t="shared" ca="1" si="6"/>
        <v>0</v>
      </c>
      <c r="R17" s="85">
        <f ca="1">IF('Invoer gegevens'!$C$17=E17,'Invoer gegevens'!$C$11,IF(C17=1,W16,0))</f>
        <v>0</v>
      </c>
      <c r="S17" s="86">
        <f t="shared" ca="1" si="3"/>
        <v>0</v>
      </c>
      <c r="T17" s="86">
        <f ca="1">(1-('Invoer gegevens'!$F$20/12))*R17*MIN(BC17,BA17)</f>
        <v>0</v>
      </c>
      <c r="U17" s="86">
        <f ca="1">IF(BD17&lt;1,IF(Reeksen!AD17&lt;=Reeksen!AE17,R17*Reeksen!C17,0),IF(BC17&gt;=BA17,0,IF(Reeksen!AD17&lt;=Reeksen!AE17,(BA17-BC17)*R17,0)))</f>
        <v>0</v>
      </c>
      <c r="V17" s="86">
        <f ca="1">IF(BD17&lt;1,IF(Reeksen!AD17&gt;Reeksen!AE17,R17*Reeksen!C17,0),IF(BC17&gt;=BA17,0,IF(Reeksen!AD17&gt;Reeksen!AE17,(BA17-BC17)*R17,0)))</f>
        <v>0</v>
      </c>
      <c r="W17" s="218">
        <f t="shared" ca="1" si="7"/>
        <v>0</v>
      </c>
      <c r="X17" s="98">
        <f ca="1">IF('Invoer gegevens'!$C$17=E17,'Invoer gegevens'!$C$10-'Invoer gegevens'!$C$11,IF(C17=1,AC16,0))</f>
        <v>0</v>
      </c>
      <c r="Y17" s="98">
        <f t="shared" ca="1" si="4"/>
        <v>0</v>
      </c>
      <c r="Z17" s="98">
        <f ca="1">(1-('Invoer gegevens'!$F$20/12))*X17*MIN(BA17,BC17)</f>
        <v>0</v>
      </c>
      <c r="AA17" s="98">
        <f ca="1">IF(BD17&lt;1,IF(Reeksen!AD17&lt;=Reeksen!AE17,X17*Reeksen!C17,0),IF(BC17&gt;=BA17,0,IF(Reeksen!AD17&lt;=Reeksen!AE17,(BA17-BC17)*X17,0)))</f>
        <v>0</v>
      </c>
      <c r="AB17" s="98">
        <f ca="1">IF(BD17&lt;1,IF(Reeksen!AD17&gt;Reeksen!AE17,X17*Reeksen!C17,0),IF(BC17&gt;=BA17,0,IF(Reeksen!AD17&gt;Reeksen!AE17,(BA17-BC17)*X17,0)))</f>
        <v>0</v>
      </c>
      <c r="AC17" s="99">
        <f t="shared" ca="1" si="8"/>
        <v>0</v>
      </c>
      <c r="AD17" s="98">
        <f ca="1">IF('Invoer gegevens'!$C$17=E17,R17,IF(C17=0,0,AE16))</f>
        <v>0</v>
      </c>
      <c r="AE17" s="98">
        <f t="shared" ca="1" si="9"/>
        <v>0</v>
      </c>
      <c r="AF17" s="98">
        <f ca="1">IF('Invoer gegevens'!$C$17=E17,X17,IF(C17=0,0,AG16))</f>
        <v>0</v>
      </c>
      <c r="AG17" s="98">
        <f t="shared" ca="1" si="10"/>
        <v>0</v>
      </c>
      <c r="AH17" s="66"/>
      <c r="AI17" s="71">
        <f ca="1">IF(C17=1,Reeksen!AI17*((F17+K17)/2)*12+Reeksen!AD17*((L17+Q17)/2)*12,0)</f>
        <v>0</v>
      </c>
      <c r="AJ17" s="71">
        <f ca="1">-AI17*'Invoer gegevens'!$F$28</f>
        <v>0</v>
      </c>
      <c r="AK17" s="71">
        <f t="shared" ca="1" si="11"/>
        <v>0</v>
      </c>
      <c r="AL17" s="71">
        <f ca="1">IF(C17=1,Reeksen!AL17*((F17-G17+F17)/2)*12+Reeksen!AM17*((L17-M17+L17)/2)*12,0)</f>
        <v>0</v>
      </c>
      <c r="AM17" s="71">
        <f ca="1">-AL17*'Invoer gegevens'!$F$31</f>
        <v>0</v>
      </c>
      <c r="AN17" s="71">
        <f t="shared" ca="1" si="12"/>
        <v>0</v>
      </c>
      <c r="AO17" s="71">
        <f ca="1">IF(C17=1,(H17+J17+N17+P17)*Reeksen!AN17,0)</f>
        <v>0</v>
      </c>
      <c r="AP17" s="71">
        <f ca="1">-IF(C17=1,(H17+J17+N17+P17)*'Hulp - basis'!$G$550*Reeksen!H17,0)</f>
        <v>0</v>
      </c>
      <c r="AQ17" s="71">
        <f ca="1">-IF(C17=1,(F17+K17+L17+Q17)/2*'Invoer gegevens'!$F$35*Reeksen!J17,0)*2</f>
        <v>0</v>
      </c>
      <c r="AR17" s="71">
        <f ca="1">IF(BD17&lt;1,-IF(C17=1,(G17*'Invoer gegevens'!$F$36)*Reeksen!J17,0),0)</f>
        <v>0</v>
      </c>
      <c r="AS17" s="71">
        <f ca="1">-IF(C17=1,(F17+K17+L17+Q17)/2*'Invoer gegevens'!$F$37*Reeksen!L17,0)</f>
        <v>0</v>
      </c>
      <c r="AT17" s="71">
        <f ca="1">-IF(C17=1,IF(E17='Invoer gegevens'!$C$17,'Invoer gegevens'!$C$11,AD17)*Reeksen!S17*'Invoer gegevens'!$C$18*Reeksen!P17,0)</f>
        <v>0</v>
      </c>
      <c r="AU17" s="71">
        <f ca="1">-IF(C17=1,(F17+K17+L17+Q17)/2*'Invoer gegevens'!$F$38*Reeksen!H17,0)</f>
        <v>0</v>
      </c>
      <c r="AV17" s="71">
        <f>IF('Invoer gegevens'!$C$3="Basis",0,#REF!)</f>
        <v>0</v>
      </c>
      <c r="AW17" s="71">
        <f t="shared" ca="1" si="13"/>
        <v>0</v>
      </c>
      <c r="AX17" s="71">
        <f ca="1">IF(E17&lt;'Invoer gegevens'!$C$17+15,0,IF(E17&gt;'Invoer gegevens'!$C$17+215,0,AW17))</f>
        <v>0</v>
      </c>
      <c r="AY17" s="71">
        <f ca="1">AX17/(1+'Invoer gegevens'!$F$18)^($AZ17-('Invoer gegevens'!$C$17-'Invoer gegevens'!$C$16))/(1+'Invoer gegevens'!$C$39)^('Invoer gegevens'!$C$17-'Invoer gegevens'!$C$16)</f>
        <v>0</v>
      </c>
      <c r="AZ17" s="68">
        <f ca="1">IF(E17-'Invoer gegevens'!$C$17-14.5&lt;0,0,E17-'Invoer gegevens'!$C$17-14.5)</f>
        <v>0</v>
      </c>
      <c r="BA17" s="109">
        <f ca="1">IFERROR(VLOOKUP(E17-15,Reeksen!$A$5:$D$234,2,FALSE),0)</f>
        <v>0</v>
      </c>
      <c r="BB17" s="109">
        <f ca="1">IFERROR(VLOOKUP(E17-15,Reeksen!$A$5:$D$234,3,FALSE),0)</f>
        <v>0</v>
      </c>
      <c r="BC17" s="109">
        <f ca="1">IFERROR(VLOOKUP(E17-15,Reeksen!$A$5:$D$234,4,FALSE),0)</f>
        <v>0</v>
      </c>
      <c r="BD17" s="67">
        <f ca="1">IF(E17-'Invoer gegevens'!$C$17&lt;15,0,1)</f>
        <v>0</v>
      </c>
    </row>
    <row r="18" spans="1:56" x14ac:dyDescent="0.25">
      <c r="A18" s="59"/>
      <c r="B18" s="70">
        <f t="shared" si="14"/>
        <v>14</v>
      </c>
      <c r="C18" s="67">
        <f ca="1">IF(E18-'Invoer gegevens'!$C$17&lt;0,0,1)</f>
        <v>1</v>
      </c>
      <c r="D18" s="68">
        <f t="shared" si="15"/>
        <v>13.5</v>
      </c>
      <c r="E18" s="108">
        <f ca="1">IF('Invoer gegevens'!$C$16="","",E17+1)</f>
        <v>2032</v>
      </c>
      <c r="F18" s="84">
        <f ca="1">IF('Invoer gegevens'!$C$17=E18,'Invoer gegevens'!$C$10,IF(C18=1,K17,0))</f>
        <v>0</v>
      </c>
      <c r="G18" s="96">
        <f ca="1">IF(BD18&lt;1,F18*Reeksen!C18,IF(C18&gt;=1,F18*BA18,0))</f>
        <v>0</v>
      </c>
      <c r="H18" s="84">
        <f ca="1">(1-('Invoer gegevens'!$F$20/12))*F18*MIN(BA18,BC18)</f>
        <v>0</v>
      </c>
      <c r="I18" s="84">
        <f t="shared" ca="1" si="0"/>
        <v>0</v>
      </c>
      <c r="J18" s="84">
        <f ca="1">('Invoer gegevens'!$F$20/12)*F17*MIN(BA18,BC18)</f>
        <v>0</v>
      </c>
      <c r="K18" s="97">
        <f t="shared" ca="1" si="5"/>
        <v>0</v>
      </c>
      <c r="L18" s="84">
        <f ca="1">IF('Invoer gegevens'!$C$17=E18,0,IF(C18=1,Q17,0))</f>
        <v>0</v>
      </c>
      <c r="M18" s="96">
        <f t="shared" ca="1" si="1"/>
        <v>0</v>
      </c>
      <c r="N18" s="84">
        <f ca="1">(1-('Invoer gegevens'!$F$20/12))*L18*MIN(BA18,BC18)</f>
        <v>0</v>
      </c>
      <c r="O18" s="84">
        <f t="shared" ca="1" si="2"/>
        <v>0</v>
      </c>
      <c r="P18" s="84">
        <f ca="1">('Invoer gegevens'!$F$20/12)*L17*MIN(BA18,BC18)</f>
        <v>0</v>
      </c>
      <c r="Q18" s="84">
        <f t="shared" ca="1" si="6"/>
        <v>0</v>
      </c>
      <c r="R18" s="85">
        <f ca="1">IF('Invoer gegevens'!$C$17=E18,'Invoer gegevens'!$C$11,IF(C18=1,W17,0))</f>
        <v>0</v>
      </c>
      <c r="S18" s="86">
        <f t="shared" ca="1" si="3"/>
        <v>0</v>
      </c>
      <c r="T18" s="86">
        <f ca="1">(1-('Invoer gegevens'!$F$20/12))*R18*MIN(BC18,BA18)</f>
        <v>0</v>
      </c>
      <c r="U18" s="86">
        <f ca="1">IF(BD18&lt;1,IF(Reeksen!AD18&lt;=Reeksen!AE18,R18*Reeksen!C18,0),IF(BC18&gt;=BA18,0,IF(Reeksen!AD18&lt;=Reeksen!AE18,(BA18-BC18)*R18,0)))</f>
        <v>0</v>
      </c>
      <c r="V18" s="86">
        <f ca="1">IF(BD18&lt;1,IF(Reeksen!AD18&gt;Reeksen!AE18,R18*Reeksen!C18,0),IF(BC18&gt;=BA18,0,IF(Reeksen!AD18&gt;Reeksen!AE18,(BA18-BC18)*R18,0)))</f>
        <v>0</v>
      </c>
      <c r="W18" s="218">
        <f t="shared" ca="1" si="7"/>
        <v>0</v>
      </c>
      <c r="X18" s="98">
        <f ca="1">IF('Invoer gegevens'!$C$17=E18,'Invoer gegevens'!$C$10-'Invoer gegevens'!$C$11,IF(C18=1,AC17,0))</f>
        <v>0</v>
      </c>
      <c r="Y18" s="98">
        <f t="shared" ca="1" si="4"/>
        <v>0</v>
      </c>
      <c r="Z18" s="98">
        <f ca="1">(1-('Invoer gegevens'!$F$20/12))*X18*MIN(BA18,BC18)</f>
        <v>0</v>
      </c>
      <c r="AA18" s="98">
        <f ca="1">IF(BD18&lt;1,IF(Reeksen!AD18&lt;=Reeksen!AE18,X18*Reeksen!C18,0),IF(BC18&gt;=BA18,0,IF(Reeksen!AD18&lt;=Reeksen!AE18,(BA18-BC18)*X18,0)))</f>
        <v>0</v>
      </c>
      <c r="AB18" s="98">
        <f ca="1">IF(BD18&lt;1,IF(Reeksen!AD18&gt;Reeksen!AE18,X18*Reeksen!C18,0),IF(BC18&gt;=BA18,0,IF(Reeksen!AD18&gt;Reeksen!AE18,(BA18-BC18)*X18,0)))</f>
        <v>0</v>
      </c>
      <c r="AC18" s="99">
        <f t="shared" ca="1" si="8"/>
        <v>0</v>
      </c>
      <c r="AD18" s="98">
        <f ca="1">IF('Invoer gegevens'!$C$17=E18,R18,IF(C18=0,0,AE17))</f>
        <v>0</v>
      </c>
      <c r="AE18" s="98">
        <f t="shared" ca="1" si="9"/>
        <v>0</v>
      </c>
      <c r="AF18" s="98">
        <f ca="1">IF('Invoer gegevens'!$C$17=E18,X18,IF(C18=0,0,AG17))</f>
        <v>0</v>
      </c>
      <c r="AG18" s="98">
        <f t="shared" ca="1" si="10"/>
        <v>0</v>
      </c>
      <c r="AH18" s="66"/>
      <c r="AI18" s="71">
        <f ca="1">IF(C18=1,Reeksen!AI18*((F18+K18)/2)*12+Reeksen!AD18*((L18+Q18)/2)*12,0)</f>
        <v>0</v>
      </c>
      <c r="AJ18" s="71">
        <f ca="1">-AI18*'Invoer gegevens'!$F$28</f>
        <v>0</v>
      </c>
      <c r="AK18" s="71">
        <f t="shared" ca="1" si="11"/>
        <v>0</v>
      </c>
      <c r="AL18" s="71">
        <f ca="1">IF(C18=1,Reeksen!AL18*((F18-G18+F18)/2)*12+Reeksen!AM18*((L18-M18+L18)/2)*12,0)</f>
        <v>0</v>
      </c>
      <c r="AM18" s="71">
        <f ca="1">-AL18*'Invoer gegevens'!$F$31</f>
        <v>0</v>
      </c>
      <c r="AN18" s="71">
        <f t="shared" ca="1" si="12"/>
        <v>0</v>
      </c>
      <c r="AO18" s="71">
        <f ca="1">IF(C18=1,(H18+J18+N18+P18)*Reeksen!AN18,0)</f>
        <v>0</v>
      </c>
      <c r="AP18" s="71">
        <f ca="1">-IF(C18=1,(H18+J18+N18+P18)*'Hulp - basis'!$G$550*Reeksen!H18,0)</f>
        <v>0</v>
      </c>
      <c r="AQ18" s="71">
        <f ca="1">-IF(C18=1,(F18+K18+L18+Q18)/2*'Invoer gegevens'!$F$35*Reeksen!J18,0)*2</f>
        <v>0</v>
      </c>
      <c r="AR18" s="71">
        <f ca="1">IF(BD18&lt;1,-IF(C18=1,(G18*'Invoer gegevens'!$F$36)*Reeksen!J18,0),0)</f>
        <v>0</v>
      </c>
      <c r="AS18" s="71">
        <f ca="1">-IF(C18=1,(F18+K18+L18+Q18)/2*'Invoer gegevens'!$F$37*Reeksen!L18,0)</f>
        <v>0</v>
      </c>
      <c r="AT18" s="71">
        <f ca="1">-IF(C18=1,IF(E18='Invoer gegevens'!$C$17,'Invoer gegevens'!$C$11,AD18)*Reeksen!S18*'Invoer gegevens'!$C$18*Reeksen!P18,0)</f>
        <v>0</v>
      </c>
      <c r="AU18" s="71">
        <f ca="1">-IF(C18=1,(F18+K18+L18+Q18)/2*'Invoer gegevens'!$F$38*Reeksen!H18,0)</f>
        <v>0</v>
      </c>
      <c r="AV18" s="71">
        <f>IF('Invoer gegevens'!$C$3="Basis",0,#REF!)</f>
        <v>0</v>
      </c>
      <c r="AW18" s="71">
        <f t="shared" ca="1" si="13"/>
        <v>0</v>
      </c>
      <c r="AX18" s="71">
        <f ca="1">IF(E18&lt;'Invoer gegevens'!$C$17+15,0,IF(E18&gt;'Invoer gegevens'!$C$17+215,0,AW18))</f>
        <v>0</v>
      </c>
      <c r="AY18" s="71">
        <f ca="1">AX18/(1+'Invoer gegevens'!$F$18)^($AZ18-('Invoer gegevens'!$C$17-'Invoer gegevens'!$C$16))/(1+'Invoer gegevens'!$C$39)^('Invoer gegevens'!$C$17-'Invoer gegevens'!$C$16)</f>
        <v>0</v>
      </c>
      <c r="AZ18" s="68">
        <f ca="1">IF(E18-'Invoer gegevens'!$C$17-14.5&lt;0,0,E18-'Invoer gegevens'!$C$17-14.5)</f>
        <v>0</v>
      </c>
      <c r="BA18" s="109">
        <f ca="1">IFERROR(VLOOKUP(E18-15,Reeksen!$A$5:$D$234,2,FALSE),0)</f>
        <v>0</v>
      </c>
      <c r="BB18" s="109">
        <f ca="1">IFERROR(VLOOKUP(E18-15,Reeksen!$A$5:$D$234,3,FALSE),0)</f>
        <v>0</v>
      </c>
      <c r="BC18" s="109">
        <f ca="1">IFERROR(VLOOKUP(E18-15,Reeksen!$A$5:$D$234,4,FALSE),0)</f>
        <v>0</v>
      </c>
      <c r="BD18" s="67">
        <f ca="1">IF(E18-'Invoer gegevens'!$C$17&lt;15,0,1)</f>
        <v>0</v>
      </c>
    </row>
    <row r="19" spans="1:56" x14ac:dyDescent="0.25">
      <c r="A19" s="59"/>
      <c r="B19" s="70">
        <f t="shared" si="14"/>
        <v>15</v>
      </c>
      <c r="C19" s="67">
        <f ca="1">IF(E19-'Invoer gegevens'!$C$17&lt;0,0,1)</f>
        <v>1</v>
      </c>
      <c r="D19" s="68">
        <f t="shared" si="15"/>
        <v>14.5</v>
      </c>
      <c r="E19" s="108">
        <f ca="1">IF('Invoer gegevens'!$C$16="","",E18+1)</f>
        <v>2033</v>
      </c>
      <c r="F19" s="84">
        <f ca="1">IF('Invoer gegevens'!$C$17=E19,'Invoer gegevens'!$C$10,IF(C19=1,K18,0))</f>
        <v>0</v>
      </c>
      <c r="G19" s="96">
        <f ca="1">IF(BD19&lt;1,F19*Reeksen!C19,IF(C19&gt;=1,F19*BA19,0))</f>
        <v>0</v>
      </c>
      <c r="H19" s="84">
        <f ca="1">(1-('Invoer gegevens'!$F$20/12))*F19*MIN(BA19,BC19)</f>
        <v>0</v>
      </c>
      <c r="I19" s="84">
        <f t="shared" ca="1" si="0"/>
        <v>0</v>
      </c>
      <c r="J19" s="84">
        <f ca="1">('Invoer gegevens'!$F$20/12)*F18*MIN(BA19,BC19)</f>
        <v>0</v>
      </c>
      <c r="K19" s="97">
        <f t="shared" ca="1" si="5"/>
        <v>0</v>
      </c>
      <c r="L19" s="84">
        <f ca="1">IF('Invoer gegevens'!$C$17=E19,0,IF(C19=1,Q18,0))</f>
        <v>0</v>
      </c>
      <c r="M19" s="96">
        <f t="shared" ca="1" si="1"/>
        <v>0</v>
      </c>
      <c r="N19" s="84">
        <f ca="1">(1-('Invoer gegevens'!$F$20/12))*L19*MIN(BA19,BC19)</f>
        <v>0</v>
      </c>
      <c r="O19" s="84">
        <f t="shared" ca="1" si="2"/>
        <v>0</v>
      </c>
      <c r="P19" s="84">
        <f ca="1">('Invoer gegevens'!$F$20/12)*L18*MIN(BA19,BC19)</f>
        <v>0</v>
      </c>
      <c r="Q19" s="84">
        <f t="shared" ca="1" si="6"/>
        <v>0</v>
      </c>
      <c r="R19" s="85">
        <f ca="1">IF('Invoer gegevens'!$C$17=E19,'Invoer gegevens'!$C$11,IF(C19=1,W18,0))</f>
        <v>0</v>
      </c>
      <c r="S19" s="86">
        <f t="shared" ca="1" si="3"/>
        <v>0</v>
      </c>
      <c r="T19" s="86">
        <f ca="1">(1-('Invoer gegevens'!$F$20/12))*R19*MIN(BC19,BA19)</f>
        <v>0</v>
      </c>
      <c r="U19" s="86">
        <f ca="1">IF(BD19&lt;1,IF(Reeksen!AD19&lt;=Reeksen!AE19,R19*Reeksen!C19,0),IF(BC19&gt;=BA19,0,IF(Reeksen!AD19&lt;=Reeksen!AE19,(BA19-BC19)*R19,0)))</f>
        <v>0</v>
      </c>
      <c r="V19" s="86">
        <f ca="1">IF(BD19&lt;1,IF(Reeksen!AD19&gt;Reeksen!AE19,R19*Reeksen!C19,0),IF(BC19&gt;=BA19,0,IF(Reeksen!AD19&gt;Reeksen!AE19,(BA19-BC19)*R19,0)))</f>
        <v>0</v>
      </c>
      <c r="W19" s="218">
        <f t="shared" ca="1" si="7"/>
        <v>0</v>
      </c>
      <c r="X19" s="98">
        <f ca="1">IF('Invoer gegevens'!$C$17=E19,'Invoer gegevens'!$C$10-'Invoer gegevens'!$C$11,IF(C19=1,AC18,0))</f>
        <v>0</v>
      </c>
      <c r="Y19" s="98">
        <f t="shared" ca="1" si="4"/>
        <v>0</v>
      </c>
      <c r="Z19" s="98">
        <f ca="1">(1-('Invoer gegevens'!$F$20/12))*X19*MIN(BA19,BC19)</f>
        <v>0</v>
      </c>
      <c r="AA19" s="98">
        <f ca="1">IF(BD19&lt;1,IF(Reeksen!AD19&lt;=Reeksen!AE19,X19*Reeksen!C19,0),IF(BC19&gt;=BA19,0,IF(Reeksen!AD19&lt;=Reeksen!AE19,(BA19-BC19)*X19,0)))</f>
        <v>0</v>
      </c>
      <c r="AB19" s="98">
        <f ca="1">IF(BD19&lt;1,IF(Reeksen!AD19&gt;Reeksen!AE19,X19*Reeksen!C19,0),IF(BC19&gt;=BA19,0,IF(Reeksen!AD19&gt;Reeksen!AE19,(BA19-BC19)*X19,0)))</f>
        <v>0</v>
      </c>
      <c r="AC19" s="99">
        <f t="shared" ca="1" si="8"/>
        <v>0</v>
      </c>
      <c r="AD19" s="98">
        <f ca="1">IF('Invoer gegevens'!$C$17=E19,R19,IF(C19=0,0,AE18))</f>
        <v>0</v>
      </c>
      <c r="AE19" s="98">
        <f t="shared" ca="1" si="9"/>
        <v>0</v>
      </c>
      <c r="AF19" s="98">
        <f ca="1">IF('Invoer gegevens'!$C$17=E19,X19,IF(C19=0,0,AG18))</f>
        <v>0</v>
      </c>
      <c r="AG19" s="98">
        <f t="shared" ca="1" si="10"/>
        <v>0</v>
      </c>
      <c r="AH19" s="66"/>
      <c r="AI19" s="71">
        <f ca="1">IF(C19=1,Reeksen!AI19*((F19+K19)/2)*12+Reeksen!AD19*((L19+Q19)/2)*12,0)</f>
        <v>0</v>
      </c>
      <c r="AJ19" s="71">
        <f ca="1">-AI19*'Invoer gegevens'!$F$28</f>
        <v>0</v>
      </c>
      <c r="AK19" s="71">
        <f t="shared" ca="1" si="11"/>
        <v>0</v>
      </c>
      <c r="AL19" s="71">
        <f ca="1">IF(C19=1,Reeksen!AL19*((F19-G19+F19)/2)*12+Reeksen!AM19*((L19-M19+L19)/2)*12,0)</f>
        <v>0</v>
      </c>
      <c r="AM19" s="71">
        <f ca="1">-AL19*'Invoer gegevens'!$F$31</f>
        <v>0</v>
      </c>
      <c r="AN19" s="71">
        <f t="shared" ca="1" si="12"/>
        <v>0</v>
      </c>
      <c r="AO19" s="71">
        <f ca="1">IF(C19=1,(H19+J19+N19+P19)*Reeksen!AN19,0)</f>
        <v>0</v>
      </c>
      <c r="AP19" s="71">
        <f ca="1">-IF(C19=1,(H19+J19+N19+P19)*'Hulp - basis'!$G$550*Reeksen!H19,0)</f>
        <v>0</v>
      </c>
      <c r="AQ19" s="71">
        <f ca="1">-IF(C19=1,(F19+K19+L19+Q19)/2*'Invoer gegevens'!$F$35*Reeksen!J19,0)*2</f>
        <v>0</v>
      </c>
      <c r="AR19" s="71">
        <f ca="1">IF(BD19&lt;1,-IF(C19=1,(G19*'Invoer gegevens'!$F$36)*Reeksen!J19,0),0)</f>
        <v>0</v>
      </c>
      <c r="AS19" s="71">
        <f ca="1">-IF(C19=1,(F19+K19+L19+Q19)/2*'Invoer gegevens'!$F$37*Reeksen!L19,0)</f>
        <v>0</v>
      </c>
      <c r="AT19" s="71">
        <f ca="1">-IF(C19=1,IF(E19='Invoer gegevens'!$C$17,'Invoer gegevens'!$C$11,AD19)*Reeksen!S19*'Invoer gegevens'!$C$18*Reeksen!P19,0)</f>
        <v>0</v>
      </c>
      <c r="AU19" s="71">
        <f ca="1">-IF(C19=1,(F19+K19+L19+Q19)/2*'Invoer gegevens'!$F$38*Reeksen!H19,0)</f>
        <v>0</v>
      </c>
      <c r="AV19" s="71">
        <f>IF('Invoer gegevens'!$C$3="Basis",0,#REF!)</f>
        <v>0</v>
      </c>
      <c r="AW19" s="71">
        <f t="shared" ca="1" si="13"/>
        <v>0</v>
      </c>
      <c r="AX19" s="71">
        <f ca="1">IF(E19&lt;'Invoer gegevens'!$C$17+15,0,IF(E19&gt;'Invoer gegevens'!$C$17+215,0,AW19))</f>
        <v>0</v>
      </c>
      <c r="AY19" s="71">
        <f ca="1">AX19/(1+'Invoer gegevens'!$F$18)^($AZ19-('Invoer gegevens'!$C$17-'Invoer gegevens'!$C$16))/(1+'Invoer gegevens'!$C$39)^('Invoer gegevens'!$C$17-'Invoer gegevens'!$C$16)</f>
        <v>0</v>
      </c>
      <c r="AZ19" s="68">
        <f ca="1">IF(E19-'Invoer gegevens'!$C$17-14.5&lt;0,0,E19-'Invoer gegevens'!$C$17-14.5)</f>
        <v>0</v>
      </c>
      <c r="BA19" s="109">
        <f ca="1">IFERROR(VLOOKUP(E19-15,Reeksen!$A$5:$D$234,2,FALSE),0)</f>
        <v>0</v>
      </c>
      <c r="BB19" s="109">
        <f ca="1">IFERROR(VLOOKUP(E19-15,Reeksen!$A$5:$D$234,3,FALSE),0)</f>
        <v>0</v>
      </c>
      <c r="BC19" s="109">
        <f ca="1">IFERROR(VLOOKUP(E19-15,Reeksen!$A$5:$D$234,4,FALSE),0)</f>
        <v>0</v>
      </c>
      <c r="BD19" s="67">
        <f ca="1">IF(E19-'Invoer gegevens'!$C$17&lt;15,0,1)</f>
        <v>0</v>
      </c>
    </row>
    <row r="20" spans="1:56" x14ac:dyDescent="0.25">
      <c r="A20" s="59"/>
      <c r="B20" s="70">
        <f t="shared" si="14"/>
        <v>16</v>
      </c>
      <c r="C20" s="67">
        <f ca="1">IF(E20-'Invoer gegevens'!$C$17&lt;0,0,1)</f>
        <v>1</v>
      </c>
      <c r="D20" s="68">
        <f t="shared" si="15"/>
        <v>15.5</v>
      </c>
      <c r="E20" s="108">
        <f ca="1">IF('Invoer gegevens'!$C$16="","",E19+1)</f>
        <v>2034</v>
      </c>
      <c r="F20" s="84">
        <f ca="1">IF('Invoer gegevens'!$C$17=E20,'Invoer gegevens'!$C$10,IF(C20=1,K19,0))</f>
        <v>0</v>
      </c>
      <c r="G20" s="96">
        <f ca="1">IF(BD20&lt;1,F20*Reeksen!C20,IF(C20&gt;=1,F20*BA20,0))</f>
        <v>0</v>
      </c>
      <c r="H20" s="84">
        <f ca="1">(1-('Invoer gegevens'!$F$20/12))*F20*MIN(BA20,BC20)</f>
        <v>0</v>
      </c>
      <c r="I20" s="84">
        <f t="shared" ca="1" si="0"/>
        <v>0</v>
      </c>
      <c r="J20" s="84">
        <f ca="1">('Invoer gegevens'!$F$20/12)*F19*MIN(BA20,BC20)</f>
        <v>0</v>
      </c>
      <c r="K20" s="97">
        <f t="shared" ca="1" si="5"/>
        <v>0</v>
      </c>
      <c r="L20" s="84">
        <f ca="1">IF('Invoer gegevens'!$C$17=E20,0,IF(C20=1,Q19,0))</f>
        <v>0</v>
      </c>
      <c r="M20" s="96">
        <f t="shared" ca="1" si="1"/>
        <v>0</v>
      </c>
      <c r="N20" s="84">
        <f ca="1">(1-('Invoer gegevens'!$F$20/12))*L20*MIN(BA20,BC20)</f>
        <v>0</v>
      </c>
      <c r="O20" s="84">
        <f t="shared" ca="1" si="2"/>
        <v>0</v>
      </c>
      <c r="P20" s="84">
        <f ca="1">('Invoer gegevens'!$F$20/12)*L19*MIN(BA20,BC20)</f>
        <v>0</v>
      </c>
      <c r="Q20" s="84">
        <f t="shared" ca="1" si="6"/>
        <v>0</v>
      </c>
      <c r="R20" s="85">
        <f ca="1">IF('Invoer gegevens'!$C$17=E20,'Invoer gegevens'!$C$11,IF(C20=1,W19,0))</f>
        <v>0</v>
      </c>
      <c r="S20" s="86">
        <f t="shared" ca="1" si="3"/>
        <v>0</v>
      </c>
      <c r="T20" s="86">
        <f ca="1">(1-('Invoer gegevens'!$F$20/12))*R20*MIN(BC20,BA20)</f>
        <v>0</v>
      </c>
      <c r="U20" s="86">
        <f ca="1">IF(BD20&lt;1,IF(Reeksen!AD20&lt;=Reeksen!AE20,R20*Reeksen!C20,0),IF(BC20&gt;=BA20,0,IF(Reeksen!AD20&lt;=Reeksen!AE20,(BA20-BC20)*R20,0)))</f>
        <v>0</v>
      </c>
      <c r="V20" s="86">
        <f ca="1">IF(BD20&lt;1,IF(Reeksen!AD20&gt;Reeksen!AE20,R20*Reeksen!C20,0),IF(BC20&gt;=BA20,0,IF(Reeksen!AD20&gt;Reeksen!AE20,(BA20-BC20)*R20,0)))</f>
        <v>0</v>
      </c>
      <c r="W20" s="218">
        <f t="shared" ca="1" si="7"/>
        <v>0</v>
      </c>
      <c r="X20" s="98">
        <f ca="1">IF('Invoer gegevens'!$C$17=E20,'Invoer gegevens'!$C$10-'Invoer gegevens'!$C$11,IF(C20=1,AC19,0))</f>
        <v>0</v>
      </c>
      <c r="Y20" s="98">
        <f t="shared" ca="1" si="4"/>
        <v>0</v>
      </c>
      <c r="Z20" s="98">
        <f ca="1">(1-('Invoer gegevens'!$F$20/12))*X20*MIN(BA20,BC20)</f>
        <v>0</v>
      </c>
      <c r="AA20" s="98">
        <f ca="1">IF(BD20&lt;1,IF(Reeksen!AD20&lt;=Reeksen!AE20,X20*Reeksen!C20,0),IF(BC20&gt;=BA20,0,IF(Reeksen!AD20&lt;=Reeksen!AE20,(BA20-BC20)*X20,0)))</f>
        <v>0</v>
      </c>
      <c r="AB20" s="98">
        <f ca="1">IF(BD20&lt;1,IF(Reeksen!AD20&gt;Reeksen!AE20,X20*Reeksen!C20,0),IF(BC20&gt;=BA20,0,IF(Reeksen!AD20&gt;Reeksen!AE20,(BA20-BC20)*X20,0)))</f>
        <v>0</v>
      </c>
      <c r="AC20" s="99">
        <f ca="1">X20-Y20+V20-AA20</f>
        <v>0</v>
      </c>
      <c r="AD20" s="98">
        <f ca="1">IF('Invoer gegevens'!$C$17=E20,R20,IF(C20=0,0,AE19))</f>
        <v>0</v>
      </c>
      <c r="AE20" s="98">
        <f t="shared" ca="1" si="9"/>
        <v>0</v>
      </c>
      <c r="AF20" s="98">
        <f ca="1">IF('Invoer gegevens'!$C$17=E20,X20,IF(C20=0,0,AG19))</f>
        <v>0</v>
      </c>
      <c r="AG20" s="98">
        <f t="shared" ca="1" si="10"/>
        <v>0</v>
      </c>
      <c r="AH20" s="66"/>
      <c r="AI20" s="71">
        <f ca="1">IF(C20=1,Reeksen!AI20*((F20+K20)/2)*12+Reeksen!AD20*((L20+Q20)/2)*12,0)</f>
        <v>0</v>
      </c>
      <c r="AJ20" s="71">
        <f ca="1">-AI20*'Invoer gegevens'!$F$28</f>
        <v>0</v>
      </c>
      <c r="AK20" s="71">
        <f t="shared" ca="1" si="11"/>
        <v>0</v>
      </c>
      <c r="AL20" s="71">
        <f ca="1">IF(C20=1,Reeksen!AL20*((F20-G20+F20)/2)*12+Reeksen!AM20*((L20-M20+L20)/2)*12,0)</f>
        <v>0</v>
      </c>
      <c r="AM20" s="71">
        <f ca="1">-AL20*'Invoer gegevens'!$F$31</f>
        <v>0</v>
      </c>
      <c r="AN20" s="71">
        <f t="shared" ca="1" si="12"/>
        <v>0</v>
      </c>
      <c r="AO20" s="71">
        <f ca="1">IF(C20=1,(H20+J20+N20+P20)*Reeksen!AN20,0)</f>
        <v>0</v>
      </c>
      <c r="AP20" s="71">
        <f ca="1">-IF(C20=1,(H20+J20+N20+P20)*'Hulp - basis'!$G$550*Reeksen!H20,0)</f>
        <v>0</v>
      </c>
      <c r="AQ20" s="71">
        <f ca="1">-IF(C20=1,(F20+K20+L20+Q20)/2*'Invoer gegevens'!$F$35*Reeksen!J20,0)*2</f>
        <v>0</v>
      </c>
      <c r="AR20" s="71">
        <f ca="1">IF(BD20&lt;1,-IF(C20=1,(G20*'Invoer gegevens'!$F$36)*Reeksen!J20,0),0)</f>
        <v>0</v>
      </c>
      <c r="AS20" s="71">
        <f ca="1">-IF(C20=1,(F20+K20+L20+Q20)/2*'Invoer gegevens'!$F$37*Reeksen!L20,0)</f>
        <v>0</v>
      </c>
      <c r="AT20" s="71">
        <f ca="1">-IF(C20=1,IF(E20='Invoer gegevens'!$C$17,'Invoer gegevens'!$C$11,AD20)*Reeksen!S20*'Invoer gegevens'!$C$18*Reeksen!P20,0)</f>
        <v>0</v>
      </c>
      <c r="AU20" s="71">
        <f ca="1">-IF(C20=1,(F20+K20+L20+Q20)/2*'Invoer gegevens'!$F$38*Reeksen!H20,0)</f>
        <v>0</v>
      </c>
      <c r="AV20" s="71">
        <f>AV19</f>
        <v>0</v>
      </c>
      <c r="AW20" s="71">
        <f t="shared" ca="1" si="13"/>
        <v>0</v>
      </c>
      <c r="AX20" s="71">
        <f ca="1">IF(E20&lt;'Invoer gegevens'!$C$17+15,0,IF(E20&gt;'Invoer gegevens'!$C$17+215,0,AW20))</f>
        <v>0</v>
      </c>
      <c r="AY20" s="71">
        <f ca="1">AX20/(1+'Invoer gegevens'!$F$18)^($AZ20-('Invoer gegevens'!$C$17-'Invoer gegevens'!$C$16))/(1+'Invoer gegevens'!$C$39)^('Invoer gegevens'!$C$17-'Invoer gegevens'!$C$16)</f>
        <v>0</v>
      </c>
      <c r="AZ20" s="68">
        <f ca="1">IF(E20-'Invoer gegevens'!$C$17-14.5&lt;0,0,E20-'Invoer gegevens'!$C$17-14.5)</f>
        <v>0.5</v>
      </c>
      <c r="BA20" s="109">
        <f ca="1">IFERROR(VLOOKUP(E20-15,Reeksen!$A$5:$D$234,2,FALSE),0)</f>
        <v>0</v>
      </c>
      <c r="BB20" s="109">
        <f ca="1">IFERROR(VLOOKUP(E20-15,Reeksen!$A$5:$D$234,3,FALSE),0)</f>
        <v>0</v>
      </c>
      <c r="BC20" s="109">
        <f ca="1">IFERROR(VLOOKUP(E20-15,Reeksen!$A$5:$D$234,4,FALSE),0)</f>
        <v>0</v>
      </c>
      <c r="BD20" s="67">
        <f ca="1">IF(E20-'Invoer gegevens'!$C$17&lt;15,0,1)</f>
        <v>1</v>
      </c>
    </row>
    <row r="21" spans="1:56" x14ac:dyDescent="0.25">
      <c r="A21" s="59"/>
      <c r="B21" s="70">
        <f t="shared" si="14"/>
        <v>17</v>
      </c>
      <c r="C21" s="67">
        <f ca="1">IF(E21-'Invoer gegevens'!$C$17&lt;0,0,1)</f>
        <v>1</v>
      </c>
      <c r="D21" s="68">
        <f t="shared" si="15"/>
        <v>16.5</v>
      </c>
      <c r="E21" s="108">
        <f ca="1">IF('Invoer gegevens'!$C$16="","",E20+1)</f>
        <v>2035</v>
      </c>
      <c r="F21" s="84">
        <f ca="1">IF('Invoer gegevens'!$C$17=E21,'Invoer gegevens'!$C$10,IF(C21=1,K20,0))</f>
        <v>0</v>
      </c>
      <c r="G21" s="96">
        <f ca="1">IF(BD21&lt;1,F21*Reeksen!C21,IF(C21&gt;=1,F21*BA21,0))</f>
        <v>0</v>
      </c>
      <c r="H21" s="84">
        <f ca="1">(1-('Invoer gegevens'!$F$20/12))*F21*MIN(BA21,BC21)</f>
        <v>0</v>
      </c>
      <c r="I21" s="84">
        <f t="shared" ca="1" si="0"/>
        <v>0</v>
      </c>
      <c r="J21" s="84">
        <f ca="1">('Invoer gegevens'!$F$20/12)*F20*MIN(BA21,BC21)</f>
        <v>0</v>
      </c>
      <c r="K21" s="97">
        <f t="shared" ca="1" si="5"/>
        <v>0</v>
      </c>
      <c r="L21" s="84">
        <f ca="1">IF('Invoer gegevens'!$C$17=E21,0,IF(C21=1,Q20,0))</f>
        <v>0</v>
      </c>
      <c r="M21" s="96">
        <f t="shared" ca="1" si="1"/>
        <v>0</v>
      </c>
      <c r="N21" s="84">
        <f ca="1">(1-('Invoer gegevens'!$F$20/12))*L21*MIN(BA21,BC21)</f>
        <v>0</v>
      </c>
      <c r="O21" s="84">
        <f t="shared" ca="1" si="2"/>
        <v>0</v>
      </c>
      <c r="P21" s="84">
        <f ca="1">('Invoer gegevens'!$F$20/12)*L20*MIN(BA21,BC21)</f>
        <v>0</v>
      </c>
      <c r="Q21" s="84">
        <f t="shared" ca="1" si="6"/>
        <v>0</v>
      </c>
      <c r="R21" s="85">
        <f ca="1">IF('Invoer gegevens'!$C$17=E21,'Invoer gegevens'!$C$11,IF(C21=1,W20,0))</f>
        <v>0</v>
      </c>
      <c r="S21" s="86">
        <f t="shared" ca="1" si="3"/>
        <v>0</v>
      </c>
      <c r="T21" s="86">
        <f ca="1">(1-('Invoer gegevens'!$F$20/12))*R21*MIN(BC21,BA21)</f>
        <v>0</v>
      </c>
      <c r="U21" s="86">
        <f ca="1">IF(BD21&lt;1,IF(Reeksen!AD21&lt;=Reeksen!AE21,R21*Reeksen!C21,0),IF(BC21&gt;=BA21,0,IF(Reeksen!AD21&lt;=Reeksen!AE21,(BA21-BC21)*R21,0)))</f>
        <v>0</v>
      </c>
      <c r="V21" s="86">
        <f ca="1">IF(BD21&lt;1,IF(Reeksen!AD21&gt;Reeksen!AE21,R21*Reeksen!C21,0),IF(BC21&gt;=BA21,0,IF(Reeksen!AD21&gt;Reeksen!AE21,(BA21-BC21)*R21,0)))</f>
        <v>0</v>
      </c>
      <c r="W21" s="218">
        <f t="shared" ca="1" si="7"/>
        <v>0</v>
      </c>
      <c r="X21" s="98">
        <f ca="1">IF('Invoer gegevens'!$C$17=E21,'Invoer gegevens'!$C$10-'Invoer gegevens'!$C$11,IF(C21=1,AC20,0))</f>
        <v>0</v>
      </c>
      <c r="Y21" s="98">
        <f t="shared" ca="1" si="4"/>
        <v>0</v>
      </c>
      <c r="Z21" s="98">
        <f ca="1">(1-('Invoer gegevens'!$F$20/12))*X21*MIN(BA21,BC21)</f>
        <v>0</v>
      </c>
      <c r="AA21" s="98">
        <f ca="1">IF(BD21&lt;1,IF(Reeksen!AD21&lt;=Reeksen!AE21,X21*Reeksen!C21,0),IF(BC21&gt;=BA21,0,IF(Reeksen!AD21&lt;=Reeksen!AE21,(BA21-BC21)*X21,0)))</f>
        <v>0</v>
      </c>
      <c r="AB21" s="98">
        <f ca="1">IF(BD21&lt;1,IF(Reeksen!AD21&gt;Reeksen!AE21,X21*Reeksen!C21,0),IF(BC21&gt;=BA21,0,IF(Reeksen!AD21&gt;Reeksen!AE21,(BA21-BC21)*X21,0)))</f>
        <v>0</v>
      </c>
      <c r="AC21" s="99">
        <f t="shared" ca="1" si="8"/>
        <v>0</v>
      </c>
      <c r="AD21" s="98">
        <f ca="1">IF('Invoer gegevens'!$C$17=E21,R21,IF(C21=0,0,AE20))</f>
        <v>0</v>
      </c>
      <c r="AE21" s="98">
        <f t="shared" ca="1" si="9"/>
        <v>0</v>
      </c>
      <c r="AF21" s="98">
        <f ca="1">IF('Invoer gegevens'!$C$17=E21,X21,IF(C21=0,0,AG20))</f>
        <v>0</v>
      </c>
      <c r="AG21" s="98">
        <f t="shared" ca="1" si="10"/>
        <v>0</v>
      </c>
      <c r="AH21" s="66"/>
      <c r="AI21" s="71">
        <f ca="1">IF(C21=1,Reeksen!AI21*((F21+K21)/2)*12+Reeksen!AD21*((L21+Q21)/2)*12,0)</f>
        <v>0</v>
      </c>
      <c r="AJ21" s="71">
        <f ca="1">-AI21*'Invoer gegevens'!$F$28</f>
        <v>0</v>
      </c>
      <c r="AK21" s="71">
        <f t="shared" ca="1" si="11"/>
        <v>0</v>
      </c>
      <c r="AL21" s="71">
        <f ca="1">IF(C21=1,Reeksen!AL21*((F21-G21+F21)/2)*12+Reeksen!AM21*((L21-M21+L21)/2)*12,0)</f>
        <v>0</v>
      </c>
      <c r="AM21" s="71">
        <f ca="1">-AL21*'Invoer gegevens'!$F$31</f>
        <v>0</v>
      </c>
      <c r="AN21" s="71">
        <f t="shared" ca="1" si="12"/>
        <v>0</v>
      </c>
      <c r="AO21" s="71">
        <f ca="1">IF(C21=1,(H21+J21+N21+P21)*Reeksen!AN21,0)</f>
        <v>0</v>
      </c>
      <c r="AP21" s="71">
        <f ca="1">-IF(C21=1,(H21+J21+N21+P21)*'Hulp - basis'!$G$550*Reeksen!H21,0)</f>
        <v>0</v>
      </c>
      <c r="AQ21" s="71">
        <f ca="1">-IF(C21=1,(F21+K21+L21+Q21)/2*'Invoer gegevens'!$F$35*Reeksen!J21,0)*2</f>
        <v>0</v>
      </c>
      <c r="AR21" s="71">
        <f ca="1">IF(BD21&lt;1,-IF(C21=1,(G21*'Invoer gegevens'!$F$36)*Reeksen!J21,0),0)</f>
        <v>0</v>
      </c>
      <c r="AS21" s="71">
        <f ca="1">-IF(C21=1,(F21+K21+L21+Q21)/2*'Invoer gegevens'!$F$37*Reeksen!L21,0)</f>
        <v>0</v>
      </c>
      <c r="AT21" s="71">
        <f ca="1">-IF(C21=1,IF(E21='Invoer gegevens'!$C$17,'Invoer gegevens'!$C$11,AD21)*Reeksen!S21*'Invoer gegevens'!$C$18*Reeksen!P21,0)</f>
        <v>0</v>
      </c>
      <c r="AU21" s="71">
        <f ca="1">-IF(C21=1,(F21+K21+L21+Q21)/2*'Invoer gegevens'!$F$38*Reeksen!H21,0)</f>
        <v>0</v>
      </c>
      <c r="AV21" s="71">
        <f t="shared" ref="AV21:AV84" si="16">AV20</f>
        <v>0</v>
      </c>
      <c r="AW21" s="71">
        <f t="shared" ca="1" si="13"/>
        <v>0</v>
      </c>
      <c r="AX21" s="71">
        <f ca="1">IF(E21&lt;'Invoer gegevens'!$C$17+15,0,IF(E21&gt;'Invoer gegevens'!$C$17+215,0,AW21))</f>
        <v>0</v>
      </c>
      <c r="AY21" s="71">
        <f ca="1">AX21/(1+'Invoer gegevens'!$F$18)^($AZ21-('Invoer gegevens'!$C$17-'Invoer gegevens'!$C$16))/(1+'Invoer gegevens'!$C$39)^('Invoer gegevens'!$C$17-'Invoer gegevens'!$C$16)</f>
        <v>0</v>
      </c>
      <c r="AZ21" s="68">
        <f ca="1">IF(E21-'Invoer gegevens'!$C$17-14.5&lt;0,0,E21-'Invoer gegevens'!$C$17-14.5)</f>
        <v>1.5</v>
      </c>
      <c r="BA21" s="109">
        <f ca="1">IFERROR(VLOOKUP(E21-15,Reeksen!$A$5:$D$234,2,FALSE),0)</f>
        <v>0</v>
      </c>
      <c r="BB21" s="109">
        <f ca="1">IFERROR(VLOOKUP(E21-15,Reeksen!$A$5:$D$234,3,FALSE),0)</f>
        <v>0</v>
      </c>
      <c r="BC21" s="109">
        <f ca="1">IFERROR(VLOOKUP(E21-15,Reeksen!$A$5:$D$234,4,FALSE),0)</f>
        <v>0</v>
      </c>
      <c r="BD21" s="67">
        <f ca="1">IF(E21-'Invoer gegevens'!$C$17&lt;15,0,1)</f>
        <v>1</v>
      </c>
    </row>
    <row r="22" spans="1:56" x14ac:dyDescent="0.25">
      <c r="A22" s="59"/>
      <c r="B22" s="70">
        <f t="shared" si="14"/>
        <v>18</v>
      </c>
      <c r="C22" s="67">
        <f ca="1">IF(E22-'Invoer gegevens'!$C$17&lt;0,0,1)</f>
        <v>1</v>
      </c>
      <c r="D22" s="68">
        <f t="shared" si="15"/>
        <v>17.5</v>
      </c>
      <c r="E22" s="108">
        <f ca="1">IF('Invoer gegevens'!$C$16="","",E21+1)</f>
        <v>2036</v>
      </c>
      <c r="F22" s="84">
        <f ca="1">IF('Invoer gegevens'!$C$17=E22,'Invoer gegevens'!$C$10,IF(C22=1,K21,0))</f>
        <v>0</v>
      </c>
      <c r="G22" s="96">
        <f ca="1">IF(BD22&lt;1,F22*Reeksen!C22,IF(C22&gt;=1,F22*BA22,0))</f>
        <v>0</v>
      </c>
      <c r="H22" s="84">
        <f ca="1">(1-('Invoer gegevens'!$F$20/12))*F22*MIN(BA22,BC22)</f>
        <v>0</v>
      </c>
      <c r="I22" s="84">
        <f t="shared" ca="1" si="0"/>
        <v>0</v>
      </c>
      <c r="J22" s="84">
        <f ca="1">('Invoer gegevens'!$F$20/12)*F21*MIN(BA22,BC22)</f>
        <v>0</v>
      </c>
      <c r="K22" s="97">
        <f t="shared" ca="1" si="5"/>
        <v>0</v>
      </c>
      <c r="L22" s="84">
        <f ca="1">IF('Invoer gegevens'!$C$17=E22,0,IF(C22=1,Q21,0))</f>
        <v>0</v>
      </c>
      <c r="M22" s="96">
        <f t="shared" ca="1" si="1"/>
        <v>0</v>
      </c>
      <c r="N22" s="84">
        <f ca="1">(1-('Invoer gegevens'!$F$20/12))*L22*MIN(BA22,BC22)</f>
        <v>0</v>
      </c>
      <c r="O22" s="84">
        <f t="shared" ca="1" si="2"/>
        <v>0</v>
      </c>
      <c r="P22" s="84">
        <f ca="1">('Invoer gegevens'!$F$20/12)*L21*MIN(BA22,BC22)</f>
        <v>0</v>
      </c>
      <c r="Q22" s="84">
        <f t="shared" ca="1" si="6"/>
        <v>0</v>
      </c>
      <c r="R22" s="85">
        <f ca="1">IF('Invoer gegevens'!$C$17=E22,'Invoer gegevens'!$C$11,IF(C22=1,W21,0))</f>
        <v>0</v>
      </c>
      <c r="S22" s="86">
        <f t="shared" ca="1" si="3"/>
        <v>0</v>
      </c>
      <c r="T22" s="86">
        <f ca="1">(1-('Invoer gegevens'!$F$20/12))*R22*MIN(BC22,BA22)</f>
        <v>0</v>
      </c>
      <c r="U22" s="86">
        <f ca="1">IF(BD22&lt;1,IF(Reeksen!AD22&lt;=Reeksen!AE22,R22*Reeksen!C22,0),IF(BC22&gt;=BA22,0,IF(Reeksen!AD22&lt;=Reeksen!AE22,(BA22-BC22)*R22,0)))</f>
        <v>0</v>
      </c>
      <c r="V22" s="86">
        <f ca="1">IF(BD22&lt;1,IF(Reeksen!AD22&gt;Reeksen!AE22,R22*Reeksen!C22,0),IF(BC22&gt;=BA22,0,IF(Reeksen!AD22&gt;Reeksen!AE22,(BA22-BC22)*R22,0)))</f>
        <v>0</v>
      </c>
      <c r="W22" s="218">
        <f t="shared" ca="1" si="7"/>
        <v>0</v>
      </c>
      <c r="X22" s="98">
        <f ca="1">IF('Invoer gegevens'!$C$17=E22,'Invoer gegevens'!$C$10-'Invoer gegevens'!$C$11,IF(C22=1,AC21,0))</f>
        <v>0</v>
      </c>
      <c r="Y22" s="98">
        <f t="shared" ca="1" si="4"/>
        <v>0</v>
      </c>
      <c r="Z22" s="98">
        <f ca="1">(1-('Invoer gegevens'!$F$20/12))*X22*MIN(BA22,BC22)</f>
        <v>0</v>
      </c>
      <c r="AA22" s="98">
        <f ca="1">IF(BD22&lt;1,IF(Reeksen!AD22&lt;=Reeksen!AE22,X22*Reeksen!C22,0),IF(BC22&gt;=BA22,0,IF(Reeksen!AD22&lt;=Reeksen!AE22,(BA22-BC22)*X22,0)))</f>
        <v>0</v>
      </c>
      <c r="AB22" s="98">
        <f ca="1">IF(BD22&lt;1,IF(Reeksen!AD22&gt;Reeksen!AE22,X22*Reeksen!C22,0),IF(BC22&gt;=BA22,0,IF(Reeksen!AD22&gt;Reeksen!AE22,(BA22-BC22)*X22,0)))</f>
        <v>0</v>
      </c>
      <c r="AC22" s="99">
        <f t="shared" ca="1" si="8"/>
        <v>0</v>
      </c>
      <c r="AD22" s="98">
        <f ca="1">IF('Invoer gegevens'!$C$17=E22,R22,IF(C22=0,0,AE21))</f>
        <v>0</v>
      </c>
      <c r="AE22" s="98">
        <f t="shared" ca="1" si="9"/>
        <v>0</v>
      </c>
      <c r="AF22" s="98">
        <f ca="1">IF('Invoer gegevens'!$C$17=E22,X22,IF(C22=0,0,AG21))</f>
        <v>0</v>
      </c>
      <c r="AG22" s="98">
        <f t="shared" ca="1" si="10"/>
        <v>0</v>
      </c>
      <c r="AH22" s="66"/>
      <c r="AI22" s="71">
        <f ca="1">IF(C22=1,Reeksen!AI22*((F22+K22)/2)*12+Reeksen!AD22*((L22+Q22)/2)*12,0)</f>
        <v>0</v>
      </c>
      <c r="AJ22" s="71">
        <f ca="1">-AI22*'Invoer gegevens'!$F$28</f>
        <v>0</v>
      </c>
      <c r="AK22" s="71">
        <f t="shared" ca="1" si="11"/>
        <v>0</v>
      </c>
      <c r="AL22" s="71">
        <f ca="1">IF(C22=1,Reeksen!AL22*((F22-G22+F22)/2)*12+Reeksen!AM22*((L22-M22+L22)/2)*12,0)</f>
        <v>0</v>
      </c>
      <c r="AM22" s="71">
        <f ca="1">-AL22*'Invoer gegevens'!$F$31</f>
        <v>0</v>
      </c>
      <c r="AN22" s="71">
        <f t="shared" ca="1" si="12"/>
        <v>0</v>
      </c>
      <c r="AO22" s="71">
        <f ca="1">IF(C22=1,(H22+J22+N22+P22)*Reeksen!AN22,0)</f>
        <v>0</v>
      </c>
      <c r="AP22" s="71">
        <f ca="1">-IF(C22=1,(H22+J22+N22+P22)*'Hulp - basis'!$G$550*Reeksen!H22,0)</f>
        <v>0</v>
      </c>
      <c r="AQ22" s="71">
        <f ca="1">-IF(C22=1,(F22+K22+L22+Q22)/2*'Invoer gegevens'!$F$35*Reeksen!J22,0)*2</f>
        <v>0</v>
      </c>
      <c r="AR22" s="71">
        <f ca="1">IF(BD22&lt;1,-IF(C22=1,(G22*'Invoer gegevens'!$F$36)*Reeksen!J22,0),0)</f>
        <v>0</v>
      </c>
      <c r="AS22" s="71">
        <f ca="1">-IF(C22=1,(F22+K22+L22+Q22)/2*'Invoer gegevens'!$F$37*Reeksen!L22,0)</f>
        <v>0</v>
      </c>
      <c r="AT22" s="71">
        <f ca="1">-IF(C22=1,IF(E22='Invoer gegevens'!$C$17,'Invoer gegevens'!$C$11,AD22)*Reeksen!S22*'Invoer gegevens'!$C$18*Reeksen!P22,0)</f>
        <v>0</v>
      </c>
      <c r="AU22" s="71">
        <f ca="1">-IF(C22=1,(F22+K22+L22+Q22)/2*'Invoer gegevens'!$F$38*Reeksen!H22,0)</f>
        <v>0</v>
      </c>
      <c r="AV22" s="71">
        <f t="shared" si="16"/>
        <v>0</v>
      </c>
      <c r="AW22" s="71">
        <f t="shared" ca="1" si="13"/>
        <v>0</v>
      </c>
      <c r="AX22" s="71">
        <f ca="1">IF(E22&lt;'Invoer gegevens'!$C$17+15,0,IF(E22&gt;'Invoer gegevens'!$C$17+215,0,AW22))</f>
        <v>0</v>
      </c>
      <c r="AY22" s="71">
        <f ca="1">AX22/(1+'Invoer gegevens'!$F$18)^($AZ22-('Invoer gegevens'!$C$17-'Invoer gegevens'!$C$16))/(1+'Invoer gegevens'!$C$39)^('Invoer gegevens'!$C$17-'Invoer gegevens'!$C$16)</f>
        <v>0</v>
      </c>
      <c r="AZ22" s="68">
        <f ca="1">IF(E22-'Invoer gegevens'!$C$17-14.5&lt;0,0,E22-'Invoer gegevens'!$C$17-14.5)</f>
        <v>2.5</v>
      </c>
      <c r="BA22" s="109">
        <f ca="1">IFERROR(VLOOKUP(E22-15,Reeksen!$A$5:$D$234,2,FALSE),0)</f>
        <v>0</v>
      </c>
      <c r="BB22" s="109">
        <f ca="1">IFERROR(VLOOKUP(E22-15,Reeksen!$A$5:$D$234,3,FALSE),0)</f>
        <v>0</v>
      </c>
      <c r="BC22" s="109">
        <f ca="1">IFERROR(VLOOKUP(E22-15,Reeksen!$A$5:$D$234,4,FALSE),0)</f>
        <v>0</v>
      </c>
      <c r="BD22" s="67">
        <f ca="1">IF(E22-'Invoer gegevens'!$C$17&lt;15,0,1)</f>
        <v>1</v>
      </c>
    </row>
    <row r="23" spans="1:56" x14ac:dyDescent="0.25">
      <c r="A23" s="59"/>
      <c r="B23" s="70">
        <f t="shared" si="14"/>
        <v>19</v>
      </c>
      <c r="C23" s="67">
        <f ca="1">IF(E23-'Invoer gegevens'!$C$17&lt;0,0,1)</f>
        <v>1</v>
      </c>
      <c r="D23" s="68">
        <f t="shared" si="15"/>
        <v>18.5</v>
      </c>
      <c r="E23" s="108">
        <f ca="1">IF('Invoer gegevens'!$C$16="","",E22+1)</f>
        <v>2037</v>
      </c>
      <c r="F23" s="84">
        <f ca="1">IF('Invoer gegevens'!$C$17=E23,'Invoer gegevens'!$C$10,IF(C23=1,K22,0))</f>
        <v>0</v>
      </c>
      <c r="G23" s="96">
        <f ca="1">IF(BD23&lt;1,F23*Reeksen!C23,IF(C23&gt;=1,F23*BA23,0))</f>
        <v>0</v>
      </c>
      <c r="H23" s="84">
        <f ca="1">(1-('Invoer gegevens'!$F$20/12))*F23*MIN(BA23,BC23)</f>
        <v>0</v>
      </c>
      <c r="I23" s="84">
        <f t="shared" ca="1" si="0"/>
        <v>0</v>
      </c>
      <c r="J23" s="84">
        <f ca="1">('Invoer gegevens'!$F$20/12)*F22*MIN(BA23,BC23)</f>
        <v>0</v>
      </c>
      <c r="K23" s="97">
        <f t="shared" ca="1" si="5"/>
        <v>0</v>
      </c>
      <c r="L23" s="84">
        <f ca="1">IF('Invoer gegevens'!$C$17=E23,0,IF(C23=1,Q22,0))</f>
        <v>0</v>
      </c>
      <c r="M23" s="96">
        <f t="shared" ca="1" si="1"/>
        <v>0</v>
      </c>
      <c r="N23" s="84">
        <f ca="1">(1-('Invoer gegevens'!$F$20/12))*L23*MIN(BA23,BC23)</f>
        <v>0</v>
      </c>
      <c r="O23" s="84">
        <f t="shared" ca="1" si="2"/>
        <v>0</v>
      </c>
      <c r="P23" s="84">
        <f ca="1">('Invoer gegevens'!$F$20/12)*L22*MIN(BA23,BC23)</f>
        <v>0</v>
      </c>
      <c r="Q23" s="84">
        <f t="shared" ca="1" si="6"/>
        <v>0</v>
      </c>
      <c r="R23" s="85">
        <f ca="1">IF('Invoer gegevens'!$C$17=E23,'Invoer gegevens'!$C$11,IF(C23=1,W22,0))</f>
        <v>0</v>
      </c>
      <c r="S23" s="86">
        <f t="shared" ca="1" si="3"/>
        <v>0</v>
      </c>
      <c r="T23" s="86">
        <f ca="1">(1-('Invoer gegevens'!$F$20/12))*R23*MIN(BC23,BA23)</f>
        <v>0</v>
      </c>
      <c r="U23" s="86">
        <f ca="1">IF(BD23&lt;1,IF(Reeksen!AD23&lt;=Reeksen!AE23,R23*Reeksen!C23,0),IF(BC23&gt;=BA23,0,IF(Reeksen!AD23&lt;=Reeksen!AE23,(BA23-BC23)*R23,0)))</f>
        <v>0</v>
      </c>
      <c r="V23" s="86">
        <f ca="1">IF(BD23&lt;1,IF(Reeksen!AD23&gt;Reeksen!AE23,R23*Reeksen!C23,0),IF(BC23&gt;=BA23,0,IF(Reeksen!AD23&gt;Reeksen!AE23,(BA23-BC23)*R23,0)))</f>
        <v>0</v>
      </c>
      <c r="W23" s="218">
        <f t="shared" ca="1" si="7"/>
        <v>0</v>
      </c>
      <c r="X23" s="98">
        <f ca="1">IF('Invoer gegevens'!$C$17=E23,'Invoer gegevens'!$C$10-'Invoer gegevens'!$C$11,IF(C23=1,AC22,0))</f>
        <v>0</v>
      </c>
      <c r="Y23" s="98">
        <f t="shared" ca="1" si="4"/>
        <v>0</v>
      </c>
      <c r="Z23" s="98">
        <f ca="1">(1-('Invoer gegevens'!$F$20/12))*X23*MIN(BA23,BC23)</f>
        <v>0</v>
      </c>
      <c r="AA23" s="98">
        <f ca="1">IF(BD23&lt;1,IF(Reeksen!AD23&lt;=Reeksen!AE23,X23*Reeksen!C23,0),IF(BC23&gt;=BA23,0,IF(Reeksen!AD23&lt;=Reeksen!AE23,(BA23-BC23)*X23,0)))</f>
        <v>0</v>
      </c>
      <c r="AB23" s="98">
        <f ca="1">IF(BD23&lt;1,IF(Reeksen!AD23&gt;Reeksen!AE23,X23*Reeksen!C23,0),IF(BC23&gt;=BA23,0,IF(Reeksen!AD23&gt;Reeksen!AE23,(BA23-BC23)*X23,0)))</f>
        <v>0</v>
      </c>
      <c r="AC23" s="99">
        <f t="shared" ca="1" si="8"/>
        <v>0</v>
      </c>
      <c r="AD23" s="98">
        <f ca="1">IF('Invoer gegevens'!$C$17=E23,R23,IF(C23=0,0,AE22))</f>
        <v>0</v>
      </c>
      <c r="AE23" s="98">
        <f t="shared" ca="1" si="9"/>
        <v>0</v>
      </c>
      <c r="AF23" s="98">
        <f ca="1">IF('Invoer gegevens'!$C$17=E23,X23,IF(C23=0,0,AG22))</f>
        <v>0</v>
      </c>
      <c r="AG23" s="98">
        <f t="shared" ca="1" si="10"/>
        <v>0</v>
      </c>
      <c r="AH23" s="66"/>
      <c r="AI23" s="71">
        <f ca="1">IF(C23=1,Reeksen!AI23*((F23+K23)/2)*12+Reeksen!AD23*((L23+Q23)/2)*12,0)</f>
        <v>0</v>
      </c>
      <c r="AJ23" s="71">
        <f ca="1">-AI23*'Invoer gegevens'!$F$28</f>
        <v>0</v>
      </c>
      <c r="AK23" s="71">
        <f t="shared" ca="1" si="11"/>
        <v>0</v>
      </c>
      <c r="AL23" s="71">
        <f ca="1">IF(C23=1,Reeksen!AL23*((F23-G23+F23)/2)*12+Reeksen!AM23*((L23-M23+L23)/2)*12,0)</f>
        <v>0</v>
      </c>
      <c r="AM23" s="71">
        <f ca="1">-AL23*'Invoer gegevens'!$F$31</f>
        <v>0</v>
      </c>
      <c r="AN23" s="71">
        <f t="shared" ca="1" si="12"/>
        <v>0</v>
      </c>
      <c r="AO23" s="71">
        <f ca="1">IF(C23=1,(H23+J23+N23+P23)*Reeksen!AN23,0)</f>
        <v>0</v>
      </c>
      <c r="AP23" s="71">
        <f ca="1">-IF(C23=1,(H23+J23+N23+P23)*'Hulp - basis'!$G$550*Reeksen!H23,0)</f>
        <v>0</v>
      </c>
      <c r="AQ23" s="71">
        <f ca="1">-IF(C23=1,(F23+K23+L23+Q23)/2*'Invoer gegevens'!$F$35*Reeksen!J23,0)*2</f>
        <v>0</v>
      </c>
      <c r="AR23" s="71">
        <f ca="1">IF(BD23&lt;1,-IF(C23=1,(G23*'Invoer gegevens'!$F$36)*Reeksen!J23,0),0)</f>
        <v>0</v>
      </c>
      <c r="AS23" s="71">
        <f ca="1">-IF(C23=1,(F23+K23+L23+Q23)/2*'Invoer gegevens'!$F$37*Reeksen!L23,0)</f>
        <v>0</v>
      </c>
      <c r="AT23" s="71">
        <f ca="1">-IF(C23=1,IF(E23='Invoer gegevens'!$C$17,'Invoer gegevens'!$C$11,AD23)*Reeksen!S23*'Invoer gegevens'!$C$18*Reeksen!P23,0)</f>
        <v>0</v>
      </c>
      <c r="AU23" s="71">
        <f ca="1">-IF(C23=1,(F23+K23+L23+Q23)/2*'Invoer gegevens'!$F$38*Reeksen!H23,0)</f>
        <v>0</v>
      </c>
      <c r="AV23" s="71">
        <f t="shared" si="16"/>
        <v>0</v>
      </c>
      <c r="AW23" s="71">
        <f t="shared" ca="1" si="13"/>
        <v>0</v>
      </c>
      <c r="AX23" s="71">
        <f ca="1">IF(E23&lt;'Invoer gegevens'!$C$17+15,0,IF(E23&gt;'Invoer gegevens'!$C$17+215,0,AW23))</f>
        <v>0</v>
      </c>
      <c r="AY23" s="71">
        <f ca="1">AX23/(1+'Invoer gegevens'!$F$18)^($AZ23-('Invoer gegevens'!$C$17-'Invoer gegevens'!$C$16))/(1+'Invoer gegevens'!$C$39)^('Invoer gegevens'!$C$17-'Invoer gegevens'!$C$16)</f>
        <v>0</v>
      </c>
      <c r="AZ23" s="68">
        <f ca="1">IF(E23-'Invoer gegevens'!$C$17-14.5&lt;0,0,E23-'Invoer gegevens'!$C$17-14.5)</f>
        <v>3.5</v>
      </c>
      <c r="BA23" s="109">
        <f ca="1">IFERROR(VLOOKUP(E23-15,Reeksen!$A$5:$D$234,2,FALSE),0)</f>
        <v>0</v>
      </c>
      <c r="BB23" s="109">
        <f ca="1">IFERROR(VLOOKUP(E23-15,Reeksen!$A$5:$D$234,3,FALSE),0)</f>
        <v>0</v>
      </c>
      <c r="BC23" s="109">
        <f ca="1">IFERROR(VLOOKUP(E23-15,Reeksen!$A$5:$D$234,4,FALSE),0)</f>
        <v>0</v>
      </c>
      <c r="BD23" s="67">
        <f ca="1">IF(E23-'Invoer gegevens'!$C$17&lt;15,0,1)</f>
        <v>1</v>
      </c>
    </row>
    <row r="24" spans="1:56" x14ac:dyDescent="0.25">
      <c r="A24" s="59"/>
      <c r="B24" s="70">
        <f t="shared" si="14"/>
        <v>20</v>
      </c>
      <c r="C24" s="67">
        <f ca="1">IF(E24-'Invoer gegevens'!$C$17&lt;0,0,1)</f>
        <v>1</v>
      </c>
      <c r="D24" s="68">
        <f t="shared" si="15"/>
        <v>19.5</v>
      </c>
      <c r="E24" s="108">
        <f ca="1">IF('Invoer gegevens'!$C$16="","",E23+1)</f>
        <v>2038</v>
      </c>
      <c r="F24" s="84">
        <f ca="1">IF('Invoer gegevens'!$C$17=E24,'Invoer gegevens'!$C$10,IF(C24=1,K23,0))</f>
        <v>0</v>
      </c>
      <c r="G24" s="96">
        <f ca="1">IF(BD24&lt;1,F24*Reeksen!C24,IF(C24&gt;=1,F24*BA24,0))</f>
        <v>0</v>
      </c>
      <c r="H24" s="84">
        <f ca="1">(1-('Invoer gegevens'!$F$20/12))*F24*MIN(BA24,BC24)</f>
        <v>0</v>
      </c>
      <c r="I24" s="84">
        <f t="shared" ca="1" si="0"/>
        <v>0</v>
      </c>
      <c r="J24" s="84">
        <f ca="1">('Invoer gegevens'!$F$20/12)*F23*MIN(BA24,BC24)</f>
        <v>0</v>
      </c>
      <c r="K24" s="97">
        <f t="shared" ca="1" si="5"/>
        <v>0</v>
      </c>
      <c r="L24" s="84">
        <f ca="1">IF('Invoer gegevens'!$C$17=E24,0,IF(C24=1,Q23,0))</f>
        <v>0</v>
      </c>
      <c r="M24" s="96">
        <f t="shared" ca="1" si="1"/>
        <v>0</v>
      </c>
      <c r="N24" s="84">
        <f ca="1">(1-('Invoer gegevens'!$F$20/12))*L24*MIN(BA24,BC24)</f>
        <v>0</v>
      </c>
      <c r="O24" s="84">
        <f t="shared" ca="1" si="2"/>
        <v>0</v>
      </c>
      <c r="P24" s="84">
        <f ca="1">('Invoer gegevens'!$F$20/12)*L23*MIN(BA24,BC24)</f>
        <v>0</v>
      </c>
      <c r="Q24" s="84">
        <f t="shared" ca="1" si="6"/>
        <v>0</v>
      </c>
      <c r="R24" s="85">
        <f ca="1">IF('Invoer gegevens'!$C$17=E24,'Invoer gegevens'!$C$11,IF(C24=1,W23,0))</f>
        <v>0</v>
      </c>
      <c r="S24" s="86">
        <f t="shared" ca="1" si="3"/>
        <v>0</v>
      </c>
      <c r="T24" s="86">
        <f ca="1">(1-('Invoer gegevens'!$F$20/12))*R24*MIN(BC24,BA24)</f>
        <v>0</v>
      </c>
      <c r="U24" s="86">
        <f ca="1">IF(BD24&lt;1,IF(Reeksen!AD24&lt;=Reeksen!AE24,R24*Reeksen!C24,0),IF(BC24&gt;=BA24,0,IF(Reeksen!AD24&lt;=Reeksen!AE24,(BA24-BC24)*R24,0)))</f>
        <v>0</v>
      </c>
      <c r="V24" s="86">
        <f ca="1">IF(BD24&lt;1,IF(Reeksen!AD24&gt;Reeksen!AE24,R24*Reeksen!C24,0),IF(BC24&gt;=BA24,0,IF(Reeksen!AD24&gt;Reeksen!AE24,(BA24-BC24)*R24,0)))</f>
        <v>0</v>
      </c>
      <c r="W24" s="218">
        <f t="shared" ca="1" si="7"/>
        <v>0</v>
      </c>
      <c r="X24" s="98">
        <f ca="1">IF('Invoer gegevens'!$C$17=E24,'Invoer gegevens'!$C$10-'Invoer gegevens'!$C$11,IF(C24=1,AC23,0))</f>
        <v>0</v>
      </c>
      <c r="Y24" s="98">
        <f t="shared" ca="1" si="4"/>
        <v>0</v>
      </c>
      <c r="Z24" s="98">
        <f ca="1">(1-('Invoer gegevens'!$F$20/12))*X24*MIN(BA24,BC24)</f>
        <v>0</v>
      </c>
      <c r="AA24" s="98">
        <f ca="1">IF(BD24&lt;1,IF(Reeksen!AD24&lt;=Reeksen!AE24,X24*Reeksen!C24,0),IF(BC24&gt;=BA24,0,IF(Reeksen!AD24&lt;=Reeksen!AE24,(BA24-BC24)*X24,0)))</f>
        <v>0</v>
      </c>
      <c r="AB24" s="98">
        <f ca="1">IF(BD24&lt;1,IF(Reeksen!AD24&gt;Reeksen!AE24,X24*Reeksen!C24,0),IF(BC24&gt;=BA24,0,IF(Reeksen!AD24&gt;Reeksen!AE24,(BA24-BC24)*X24,0)))</f>
        <v>0</v>
      </c>
      <c r="AC24" s="99">
        <f t="shared" ca="1" si="8"/>
        <v>0</v>
      </c>
      <c r="AD24" s="98">
        <f ca="1">IF('Invoer gegevens'!$C$17=E24,R24,IF(C24=0,0,AE23))</f>
        <v>0</v>
      </c>
      <c r="AE24" s="98">
        <f t="shared" ca="1" si="9"/>
        <v>0</v>
      </c>
      <c r="AF24" s="98">
        <f ca="1">IF('Invoer gegevens'!$C$17=E24,X24,IF(C24=0,0,AG23))</f>
        <v>0</v>
      </c>
      <c r="AG24" s="98">
        <f t="shared" ca="1" si="10"/>
        <v>0</v>
      </c>
      <c r="AH24" s="66"/>
      <c r="AI24" s="71">
        <f ca="1">IF(C24=1,Reeksen!AI24*((F24+K24)/2)*12+Reeksen!AD24*((L24+Q24)/2)*12,0)</f>
        <v>0</v>
      </c>
      <c r="AJ24" s="71">
        <f ca="1">-AI24*'Invoer gegevens'!$F$28</f>
        <v>0</v>
      </c>
      <c r="AK24" s="71">
        <f t="shared" ca="1" si="11"/>
        <v>0</v>
      </c>
      <c r="AL24" s="71">
        <f ca="1">IF(C24=1,Reeksen!AL24*((F24-G24+F24)/2)*12+Reeksen!AM24*((L24-M24+L24)/2)*12,0)</f>
        <v>0</v>
      </c>
      <c r="AM24" s="71">
        <f ca="1">-AL24*'Invoer gegevens'!$F$31</f>
        <v>0</v>
      </c>
      <c r="AN24" s="71">
        <f t="shared" ca="1" si="12"/>
        <v>0</v>
      </c>
      <c r="AO24" s="71">
        <f ca="1">IF(C24=1,(H24+J24+N24+P24)*Reeksen!AN24,0)</f>
        <v>0</v>
      </c>
      <c r="AP24" s="71">
        <f ca="1">-IF(C24=1,(H24+J24+N24+P24)*'Hulp - basis'!$G$550*Reeksen!H24,0)</f>
        <v>0</v>
      </c>
      <c r="AQ24" s="71">
        <f ca="1">-IF(C24=1,(F24+K24+L24+Q24)/2*'Invoer gegevens'!$F$35*Reeksen!J24,0)*2</f>
        <v>0</v>
      </c>
      <c r="AR24" s="71">
        <f ca="1">IF(BD24&lt;1,-IF(C24=1,(G24*'Invoer gegevens'!$F$36)*Reeksen!J24,0),0)</f>
        <v>0</v>
      </c>
      <c r="AS24" s="71">
        <f ca="1">-IF(C24=1,(F24+K24+L24+Q24)/2*'Invoer gegevens'!$F$37*Reeksen!L24,0)</f>
        <v>0</v>
      </c>
      <c r="AT24" s="71">
        <f ca="1">-IF(C24=1,IF(E24='Invoer gegevens'!$C$17,'Invoer gegevens'!$C$11,AD24)*Reeksen!S24*'Invoer gegevens'!$C$18*Reeksen!P24,0)</f>
        <v>0</v>
      </c>
      <c r="AU24" s="71">
        <f ca="1">-IF(C24=1,(F24+K24+L24+Q24)/2*'Invoer gegevens'!$F$38*Reeksen!H24,0)</f>
        <v>0</v>
      </c>
      <c r="AV24" s="71">
        <f t="shared" si="16"/>
        <v>0</v>
      </c>
      <c r="AW24" s="71">
        <f t="shared" ca="1" si="13"/>
        <v>0</v>
      </c>
      <c r="AX24" s="71">
        <f ca="1">IF(E24&lt;'Invoer gegevens'!$C$17+15,0,IF(E24&gt;'Invoer gegevens'!$C$17+215,0,AW24))</f>
        <v>0</v>
      </c>
      <c r="AY24" s="71">
        <f ca="1">AX24/(1+'Invoer gegevens'!$F$18)^($AZ24-('Invoer gegevens'!$C$17-'Invoer gegevens'!$C$16))/(1+'Invoer gegevens'!$C$39)^('Invoer gegevens'!$C$17-'Invoer gegevens'!$C$16)</f>
        <v>0</v>
      </c>
      <c r="AZ24" s="68">
        <f ca="1">IF(E24-'Invoer gegevens'!$C$17-14.5&lt;0,0,E24-'Invoer gegevens'!$C$17-14.5)</f>
        <v>4.5</v>
      </c>
      <c r="BA24" s="109">
        <f ca="1">IFERROR(VLOOKUP(E24-15,Reeksen!$A$5:$D$234,2,FALSE),0)</f>
        <v>0</v>
      </c>
      <c r="BB24" s="109">
        <f ca="1">IFERROR(VLOOKUP(E24-15,Reeksen!$A$5:$D$234,3,FALSE),0)</f>
        <v>0</v>
      </c>
      <c r="BC24" s="109">
        <f ca="1">IFERROR(VLOOKUP(E24-15,Reeksen!$A$5:$D$234,4,FALSE),0)</f>
        <v>0</v>
      </c>
      <c r="BD24" s="67">
        <f ca="1">IF(E24-'Invoer gegevens'!$C$17&lt;15,0,1)</f>
        <v>1</v>
      </c>
    </row>
    <row r="25" spans="1:56" x14ac:dyDescent="0.25">
      <c r="A25" s="59"/>
      <c r="B25" s="70">
        <f t="shared" si="14"/>
        <v>21</v>
      </c>
      <c r="C25" s="67">
        <f ca="1">IF(E25-'Invoer gegevens'!$C$17&lt;0,0,1)</f>
        <v>1</v>
      </c>
      <c r="D25" s="68">
        <f t="shared" si="15"/>
        <v>20.5</v>
      </c>
      <c r="E25" s="108">
        <f ca="1">IF('Invoer gegevens'!$C$16="","",E24+1)</f>
        <v>2039</v>
      </c>
      <c r="F25" s="84">
        <f ca="1">IF('Invoer gegevens'!$C$17=E25,'Invoer gegevens'!$C$10,IF(C25=1,K24,0))</f>
        <v>0</v>
      </c>
      <c r="G25" s="96">
        <f ca="1">IF(BD25&lt;1,F25*Reeksen!C25,IF(C25&gt;=1,F25*BA25,0))</f>
        <v>0</v>
      </c>
      <c r="H25" s="84">
        <f ca="1">(1-('Invoer gegevens'!$F$20/12))*F25*MIN(BA25,BC25)</f>
        <v>0</v>
      </c>
      <c r="I25" s="84">
        <f t="shared" ca="1" si="0"/>
        <v>0</v>
      </c>
      <c r="J25" s="84">
        <f ca="1">('Invoer gegevens'!$F$20/12)*F24*MIN(BA25,BC25)</f>
        <v>0</v>
      </c>
      <c r="K25" s="97">
        <f t="shared" ca="1" si="5"/>
        <v>0</v>
      </c>
      <c r="L25" s="84">
        <f ca="1">IF('Invoer gegevens'!$C$17=E25,0,IF(C25=1,Q24,0))</f>
        <v>0</v>
      </c>
      <c r="M25" s="96">
        <f t="shared" ca="1" si="1"/>
        <v>0</v>
      </c>
      <c r="N25" s="84">
        <f ca="1">(1-('Invoer gegevens'!$F$20/12))*L25*MIN(BA25,BC25)</f>
        <v>0</v>
      </c>
      <c r="O25" s="84">
        <f t="shared" ca="1" si="2"/>
        <v>0</v>
      </c>
      <c r="P25" s="84">
        <f ca="1">('Invoer gegevens'!$F$20/12)*L24*MIN(BA25,BC25)</f>
        <v>0</v>
      </c>
      <c r="Q25" s="84">
        <f t="shared" ca="1" si="6"/>
        <v>0</v>
      </c>
      <c r="R25" s="85">
        <f ca="1">IF('Invoer gegevens'!$C$17=E25,'Invoer gegevens'!$C$11,IF(C25=1,W24,0))</f>
        <v>0</v>
      </c>
      <c r="S25" s="86">
        <f t="shared" ca="1" si="3"/>
        <v>0</v>
      </c>
      <c r="T25" s="86">
        <f ca="1">(1-('Invoer gegevens'!$F$20/12))*R25*MIN(BC25,BA25)</f>
        <v>0</v>
      </c>
      <c r="U25" s="86">
        <f ca="1">IF(BD25&lt;1,IF(Reeksen!AD25&lt;=Reeksen!AE25,R25*Reeksen!C25,0),IF(BC25&gt;=BA25,0,IF(Reeksen!AD25&lt;=Reeksen!AE25,(BA25-BC25)*R25,0)))</f>
        <v>0</v>
      </c>
      <c r="V25" s="86">
        <f ca="1">IF(BD25&lt;1,IF(Reeksen!AD25&gt;Reeksen!AE25,R25*Reeksen!C25,0),IF(BC25&gt;=BA25,0,IF(Reeksen!AD25&gt;Reeksen!AE25,(BA25-BC25)*R25,0)))</f>
        <v>0</v>
      </c>
      <c r="W25" s="218">
        <f t="shared" ca="1" si="7"/>
        <v>0</v>
      </c>
      <c r="X25" s="98">
        <f ca="1">IF('Invoer gegevens'!$C$17=E25,'Invoer gegevens'!$C$10-'Invoer gegevens'!$C$11,IF(C25=1,AC24,0))</f>
        <v>0</v>
      </c>
      <c r="Y25" s="98">
        <f t="shared" ca="1" si="4"/>
        <v>0</v>
      </c>
      <c r="Z25" s="98">
        <f ca="1">(1-('Invoer gegevens'!$F$20/12))*X25*MIN(BA25,BC25)</f>
        <v>0</v>
      </c>
      <c r="AA25" s="98">
        <f ca="1">IF(BD25&lt;1,IF(Reeksen!AD25&lt;=Reeksen!AE25,X25*Reeksen!C25,0),IF(BC25&gt;=BA25,0,IF(Reeksen!AD25&lt;=Reeksen!AE25,(BA25-BC25)*X25,0)))</f>
        <v>0</v>
      </c>
      <c r="AB25" s="98">
        <f ca="1">IF(BD25&lt;1,IF(Reeksen!AD25&gt;Reeksen!AE25,X25*Reeksen!C25,0),IF(BC25&gt;=BA25,0,IF(Reeksen!AD25&gt;Reeksen!AE25,(BA25-BC25)*X25,0)))</f>
        <v>0</v>
      </c>
      <c r="AC25" s="99">
        <f t="shared" ca="1" si="8"/>
        <v>0</v>
      </c>
      <c r="AD25" s="98">
        <f ca="1">IF('Invoer gegevens'!$C$17=E25,R25,IF(C25=0,0,AE24))</f>
        <v>0</v>
      </c>
      <c r="AE25" s="98">
        <f t="shared" ca="1" si="9"/>
        <v>0</v>
      </c>
      <c r="AF25" s="98">
        <f ca="1">IF('Invoer gegevens'!$C$17=E25,X25,IF(C25=0,0,AG24))</f>
        <v>0</v>
      </c>
      <c r="AG25" s="98">
        <f t="shared" ca="1" si="10"/>
        <v>0</v>
      </c>
      <c r="AH25" s="66"/>
      <c r="AI25" s="71">
        <f ca="1">IF(C25=1,Reeksen!AI25*((F25+K25)/2)*12+Reeksen!AD25*((L25+Q25)/2)*12,0)</f>
        <v>0</v>
      </c>
      <c r="AJ25" s="71">
        <f ca="1">-AI25*'Invoer gegevens'!$F$28</f>
        <v>0</v>
      </c>
      <c r="AK25" s="71">
        <f t="shared" ca="1" si="11"/>
        <v>0</v>
      </c>
      <c r="AL25" s="71">
        <f ca="1">IF(C25=1,Reeksen!AL25*((F25-G25+F25)/2)*12+Reeksen!AM25*((L25-M25+L25)/2)*12,0)</f>
        <v>0</v>
      </c>
      <c r="AM25" s="71">
        <f ca="1">-AL25*'Invoer gegevens'!$F$31</f>
        <v>0</v>
      </c>
      <c r="AN25" s="71">
        <f t="shared" ca="1" si="12"/>
        <v>0</v>
      </c>
      <c r="AO25" s="71">
        <f ca="1">IF(C25=1,(H25+J25+N25+P25)*Reeksen!AN25,0)</f>
        <v>0</v>
      </c>
      <c r="AP25" s="71">
        <f ca="1">-IF(C25=1,(H25+J25+N25+P25)*'Hulp - basis'!$G$550*Reeksen!H25,0)</f>
        <v>0</v>
      </c>
      <c r="AQ25" s="71">
        <f ca="1">-IF(C25=1,(F25+K25+L25+Q25)/2*'Invoer gegevens'!$F$35*Reeksen!J25,0)*2</f>
        <v>0</v>
      </c>
      <c r="AR25" s="71">
        <f ca="1">IF(BD25&lt;1,-IF(C25=1,(G25*'Invoer gegevens'!$F$36)*Reeksen!J25,0),0)</f>
        <v>0</v>
      </c>
      <c r="AS25" s="71">
        <f ca="1">-IF(C25=1,(F25+K25+L25+Q25)/2*'Invoer gegevens'!$F$37*Reeksen!L25,0)</f>
        <v>0</v>
      </c>
      <c r="AT25" s="71">
        <f ca="1">-IF(C25=1,IF(E25='Invoer gegevens'!$C$17,'Invoer gegevens'!$C$11,AD25)*Reeksen!S25*'Invoer gegevens'!$C$18*Reeksen!P25,0)</f>
        <v>0</v>
      </c>
      <c r="AU25" s="71">
        <f ca="1">-IF(C25=1,(F25+K25+L25+Q25)/2*'Invoer gegevens'!$F$38*Reeksen!H25,0)</f>
        <v>0</v>
      </c>
      <c r="AV25" s="71">
        <f t="shared" si="16"/>
        <v>0</v>
      </c>
      <c r="AW25" s="71">
        <f t="shared" ca="1" si="13"/>
        <v>0</v>
      </c>
      <c r="AX25" s="71">
        <f ca="1">IF(E25&lt;'Invoer gegevens'!$C$17+15,0,IF(E25&gt;'Invoer gegevens'!$C$17+215,0,AW25))</f>
        <v>0</v>
      </c>
      <c r="AY25" s="71">
        <f ca="1">AX25/(1+'Invoer gegevens'!$F$18)^($AZ25-('Invoer gegevens'!$C$17-'Invoer gegevens'!$C$16))/(1+'Invoer gegevens'!$C$39)^('Invoer gegevens'!$C$17-'Invoer gegevens'!$C$16)</f>
        <v>0</v>
      </c>
      <c r="AZ25" s="68">
        <f ca="1">IF(E25-'Invoer gegevens'!$C$17-14.5&lt;0,0,E25-'Invoer gegevens'!$C$17-14.5)</f>
        <v>5.5</v>
      </c>
      <c r="BA25" s="109">
        <f ca="1">IFERROR(VLOOKUP(E25-15,Reeksen!$A$5:$D$234,2,FALSE),0)</f>
        <v>0</v>
      </c>
      <c r="BB25" s="109">
        <f ca="1">IFERROR(VLOOKUP(E25-15,Reeksen!$A$5:$D$234,3,FALSE),0)</f>
        <v>0</v>
      </c>
      <c r="BC25" s="109">
        <f ca="1">IFERROR(VLOOKUP(E25-15,Reeksen!$A$5:$D$234,4,FALSE),0)</f>
        <v>0</v>
      </c>
      <c r="BD25" s="67">
        <f ca="1">IF(E25-'Invoer gegevens'!$C$17&lt;15,0,1)</f>
        <v>1</v>
      </c>
    </row>
    <row r="26" spans="1:56" x14ac:dyDescent="0.25">
      <c r="A26" s="59"/>
      <c r="B26" s="70">
        <f>B25+1</f>
        <v>22</v>
      </c>
      <c r="C26" s="67">
        <f ca="1">IF(E26-'Invoer gegevens'!$C$17&lt;0,0,1)</f>
        <v>1</v>
      </c>
      <c r="D26" s="68">
        <f t="shared" si="15"/>
        <v>21.5</v>
      </c>
      <c r="E26" s="108">
        <f ca="1">IF('Invoer gegevens'!$C$16="","",E25+1)</f>
        <v>2040</v>
      </c>
      <c r="F26" s="84">
        <f ca="1">IF('Invoer gegevens'!$C$17=E26,'Invoer gegevens'!$C$10,IF(C26=1,K25,0))</f>
        <v>0</v>
      </c>
      <c r="G26" s="96">
        <f ca="1">IF(BD26&lt;1,F26*Reeksen!C26,IF(C26&gt;=1,F26*BA26,0))</f>
        <v>0</v>
      </c>
      <c r="H26" s="84">
        <f ca="1">(1-('Invoer gegevens'!$F$20/12))*F26*MIN(BA26,BC26)</f>
        <v>0</v>
      </c>
      <c r="I26" s="84">
        <f t="shared" ca="1" si="0"/>
        <v>0</v>
      </c>
      <c r="J26" s="84">
        <f ca="1">('Invoer gegevens'!$F$20/12)*F25*MIN(BA26,BC26)</f>
        <v>0</v>
      </c>
      <c r="K26" s="97">
        <f t="shared" ca="1" si="5"/>
        <v>0</v>
      </c>
      <c r="L26" s="84">
        <f ca="1">IF('Invoer gegevens'!$C$17=E26,0,IF(C26=1,Q25,0))</f>
        <v>0</v>
      </c>
      <c r="M26" s="96">
        <f t="shared" ca="1" si="1"/>
        <v>0</v>
      </c>
      <c r="N26" s="84">
        <f ca="1">(1-('Invoer gegevens'!$F$20/12))*L26*MIN(BA26,BC26)</f>
        <v>0</v>
      </c>
      <c r="O26" s="84">
        <f t="shared" ca="1" si="2"/>
        <v>0</v>
      </c>
      <c r="P26" s="84">
        <f ca="1">('Invoer gegevens'!$F$20/12)*L25*MIN(BA26,BC26)</f>
        <v>0</v>
      </c>
      <c r="Q26" s="84">
        <f t="shared" ca="1" si="6"/>
        <v>0</v>
      </c>
      <c r="R26" s="85">
        <f ca="1">IF('Invoer gegevens'!$C$17=E26,'Invoer gegevens'!$C$11,IF(C26=1,W25,0))</f>
        <v>0</v>
      </c>
      <c r="S26" s="86">
        <f t="shared" ca="1" si="3"/>
        <v>0</v>
      </c>
      <c r="T26" s="86">
        <f ca="1">(1-('Invoer gegevens'!$F$20/12))*R26*MIN(BC26,BA26)</f>
        <v>0</v>
      </c>
      <c r="U26" s="86">
        <f ca="1">IF(BD26&lt;1,IF(Reeksen!AD26&lt;=Reeksen!AE26,R26*Reeksen!C26,0),IF(BC26&gt;=BA26,0,IF(Reeksen!AD26&lt;=Reeksen!AE26,(BA26-BC26)*R26,0)))</f>
        <v>0</v>
      </c>
      <c r="V26" s="86">
        <f ca="1">IF(BD26&lt;1,IF(Reeksen!AD26&gt;Reeksen!AE26,R26*Reeksen!C26,0),IF(BC26&gt;=BA26,0,IF(Reeksen!AD26&gt;Reeksen!AE26,(BA26-BC26)*R26,0)))</f>
        <v>0</v>
      </c>
      <c r="W26" s="218">
        <f t="shared" ca="1" si="7"/>
        <v>0</v>
      </c>
      <c r="X26" s="98">
        <f ca="1">IF('Invoer gegevens'!$C$17=E26,'Invoer gegevens'!$C$10-'Invoer gegevens'!$C$11,IF(C26=1,AC25,0))</f>
        <v>0</v>
      </c>
      <c r="Y26" s="98">
        <f t="shared" ca="1" si="4"/>
        <v>0</v>
      </c>
      <c r="Z26" s="98">
        <f ca="1">(1-('Invoer gegevens'!$F$20/12))*X26*MIN(BA26,BC26)</f>
        <v>0</v>
      </c>
      <c r="AA26" s="98">
        <f ca="1">IF(BD26&lt;1,IF(Reeksen!AD26&lt;=Reeksen!AE26,X26*Reeksen!C26,0),IF(BC26&gt;=BA26,0,IF(Reeksen!AD26&lt;=Reeksen!AE26,(BA26-BC26)*X26,0)))</f>
        <v>0</v>
      </c>
      <c r="AB26" s="98">
        <f ca="1">IF(BD26&lt;1,IF(Reeksen!AD26&gt;Reeksen!AE26,X26*Reeksen!C26,0),IF(BC26&gt;=BA26,0,IF(Reeksen!AD26&gt;Reeksen!AE26,(BA26-BC26)*X26,0)))</f>
        <v>0</v>
      </c>
      <c r="AC26" s="99">
        <f t="shared" ca="1" si="8"/>
        <v>0</v>
      </c>
      <c r="AD26" s="98">
        <f ca="1">IF('Invoer gegevens'!$C$17=E26,R26,IF(C26=0,0,AE25))</f>
        <v>0</v>
      </c>
      <c r="AE26" s="98">
        <f t="shared" ca="1" si="9"/>
        <v>0</v>
      </c>
      <c r="AF26" s="98">
        <f ca="1">IF('Invoer gegevens'!$C$17=E26,X26,IF(C26=0,0,AG25))</f>
        <v>0</v>
      </c>
      <c r="AG26" s="98">
        <f t="shared" ca="1" si="10"/>
        <v>0</v>
      </c>
      <c r="AH26" s="66"/>
      <c r="AI26" s="71">
        <f ca="1">IF(C26=1,Reeksen!AI26*((F26+K26)/2)*12+Reeksen!AD26*((L26+Q26)/2)*12,0)</f>
        <v>0</v>
      </c>
      <c r="AJ26" s="71">
        <f ca="1">-AI26*'Invoer gegevens'!$F$28</f>
        <v>0</v>
      </c>
      <c r="AK26" s="71">
        <f t="shared" ca="1" si="11"/>
        <v>0</v>
      </c>
      <c r="AL26" s="71">
        <f ca="1">IF(C26=1,Reeksen!AL26*((F26-G26+F26)/2)*12+Reeksen!AM26*((L26-M26+L26)/2)*12,0)</f>
        <v>0</v>
      </c>
      <c r="AM26" s="71">
        <f ca="1">-AL26*'Invoer gegevens'!$F$31</f>
        <v>0</v>
      </c>
      <c r="AN26" s="71">
        <f t="shared" ca="1" si="12"/>
        <v>0</v>
      </c>
      <c r="AO26" s="71">
        <f ca="1">IF(C26=1,(H26+J26+N26+P26)*Reeksen!AN26,0)</f>
        <v>0</v>
      </c>
      <c r="AP26" s="71">
        <f ca="1">-IF(C26=1,(H26+J26+N26+P26)*'Hulp - basis'!$G$550*Reeksen!H26,0)</f>
        <v>0</v>
      </c>
      <c r="AQ26" s="71">
        <f ca="1">-IF(C26=1,(F26+K26+L26+Q26)/2*'Invoer gegevens'!$F$35*Reeksen!J26,0)*2</f>
        <v>0</v>
      </c>
      <c r="AR26" s="71">
        <f ca="1">IF(BD26&lt;1,-IF(C26=1,(G26*'Invoer gegevens'!$F$36)*Reeksen!J26,0),0)</f>
        <v>0</v>
      </c>
      <c r="AS26" s="71">
        <f ca="1">-IF(C26=1,(F26+K26+L26+Q26)/2*'Invoer gegevens'!$F$37*Reeksen!L26,0)</f>
        <v>0</v>
      </c>
      <c r="AT26" s="71">
        <f ca="1">-IF(C26=1,IF(E26='Invoer gegevens'!$C$17,'Invoer gegevens'!$C$11,AD26)*Reeksen!S26*'Invoer gegevens'!$C$18*Reeksen!P26,0)</f>
        <v>0</v>
      </c>
      <c r="AU26" s="71">
        <f ca="1">-IF(C26=1,(F26+K26+L26+Q26)/2*'Invoer gegevens'!$F$38*Reeksen!H26,0)</f>
        <v>0</v>
      </c>
      <c r="AV26" s="71">
        <f t="shared" si="16"/>
        <v>0</v>
      </c>
      <c r="AW26" s="71">
        <f t="shared" ca="1" si="13"/>
        <v>0</v>
      </c>
      <c r="AX26" s="71">
        <f ca="1">IF(E26&lt;'Invoer gegevens'!$C$17+15,0,IF(E26&gt;'Invoer gegevens'!$C$17+215,0,AW26))</f>
        <v>0</v>
      </c>
      <c r="AY26" s="71">
        <f ca="1">AX26/(1+'Invoer gegevens'!$F$18)^($AZ26-('Invoer gegevens'!$C$17-'Invoer gegevens'!$C$16))/(1+'Invoer gegevens'!$C$39)^('Invoer gegevens'!$C$17-'Invoer gegevens'!$C$16)</f>
        <v>0</v>
      </c>
      <c r="AZ26" s="68">
        <f ca="1">IF(E26-'Invoer gegevens'!$C$17-14.5&lt;0,0,E26-'Invoer gegevens'!$C$17-14.5)</f>
        <v>6.5</v>
      </c>
      <c r="BA26" s="109">
        <f ca="1">IFERROR(VLOOKUP(E26-15,Reeksen!$A$5:$D$234,2,FALSE),0)</f>
        <v>0</v>
      </c>
      <c r="BB26" s="109">
        <f ca="1">IFERROR(VLOOKUP(E26-15,Reeksen!$A$5:$D$234,3,FALSE),0)</f>
        <v>0</v>
      </c>
      <c r="BC26" s="109">
        <f ca="1">IFERROR(VLOOKUP(E26-15,Reeksen!$A$5:$D$234,4,FALSE),0)</f>
        <v>0</v>
      </c>
      <c r="BD26" s="67">
        <f ca="1">IF(E26-'Invoer gegevens'!$C$17&lt;15,0,1)</f>
        <v>1</v>
      </c>
    </row>
    <row r="27" spans="1:56" x14ac:dyDescent="0.25">
      <c r="A27" s="59"/>
      <c r="B27" s="70">
        <f t="shared" si="14"/>
        <v>23</v>
      </c>
      <c r="C27" s="67">
        <f ca="1">IF(E27-'Invoer gegevens'!$C$17&lt;0,0,1)</f>
        <v>1</v>
      </c>
      <c r="D27" s="68">
        <f t="shared" si="15"/>
        <v>22.5</v>
      </c>
      <c r="E27" s="108">
        <f ca="1">IF('Invoer gegevens'!$C$16="","",E26+1)</f>
        <v>2041</v>
      </c>
      <c r="F27" s="84">
        <f ca="1">IF('Invoer gegevens'!$C$17=E27,'Invoer gegevens'!$C$10,IF(C27=1,K26,0))</f>
        <v>0</v>
      </c>
      <c r="G27" s="96">
        <f ca="1">IF(BD27&lt;1,F27*Reeksen!C27,IF(C27&gt;=1,F27*BA27,0))</f>
        <v>0</v>
      </c>
      <c r="H27" s="84">
        <f ca="1">(1-('Invoer gegevens'!$F$20/12))*F27*MIN(BA27,BC27)</f>
        <v>0</v>
      </c>
      <c r="I27" s="84">
        <f t="shared" ca="1" si="0"/>
        <v>0</v>
      </c>
      <c r="J27" s="84">
        <f ca="1">('Invoer gegevens'!$F$20/12)*F26*MIN(BA27,BC27)</f>
        <v>0</v>
      </c>
      <c r="K27" s="97">
        <f t="shared" ca="1" si="5"/>
        <v>0</v>
      </c>
      <c r="L27" s="84">
        <f ca="1">IF('Invoer gegevens'!$C$17=E27,0,IF(C27=1,Q26,0))</f>
        <v>0</v>
      </c>
      <c r="M27" s="96">
        <f t="shared" ca="1" si="1"/>
        <v>0</v>
      </c>
      <c r="N27" s="84">
        <f ca="1">(1-('Invoer gegevens'!$F$20/12))*L27*MIN(BA27,BC27)</f>
        <v>0</v>
      </c>
      <c r="O27" s="84">
        <f t="shared" ca="1" si="2"/>
        <v>0</v>
      </c>
      <c r="P27" s="84">
        <f ca="1">('Invoer gegevens'!$F$20/12)*L26*MIN(BA27,BC27)</f>
        <v>0</v>
      </c>
      <c r="Q27" s="84">
        <f t="shared" ca="1" si="6"/>
        <v>0</v>
      </c>
      <c r="R27" s="85">
        <f ca="1">IF('Invoer gegevens'!$C$17=E27,'Invoer gegevens'!$C$11,IF(C27=1,W26,0))</f>
        <v>0</v>
      </c>
      <c r="S27" s="86">
        <f t="shared" ca="1" si="3"/>
        <v>0</v>
      </c>
      <c r="T27" s="86">
        <f ca="1">(1-('Invoer gegevens'!$F$20/12))*R27*MIN(BC27,BA27)</f>
        <v>0</v>
      </c>
      <c r="U27" s="86">
        <f ca="1">IF(BD27&lt;1,IF(Reeksen!AD27&lt;=Reeksen!AE27,R27*Reeksen!C27,0),IF(BC27&gt;=BA27,0,IF(Reeksen!AD27&lt;=Reeksen!AE27,(BA27-BC27)*R27,0)))</f>
        <v>0</v>
      </c>
      <c r="V27" s="86">
        <f ca="1">IF(BD27&lt;1,IF(Reeksen!AD27&gt;Reeksen!AE27,R27*Reeksen!C27,0),IF(BC27&gt;=BA27,0,IF(Reeksen!AD27&gt;Reeksen!AE27,(BA27-BC27)*R27,0)))</f>
        <v>0</v>
      </c>
      <c r="W27" s="218">
        <f t="shared" ca="1" si="7"/>
        <v>0</v>
      </c>
      <c r="X27" s="98">
        <f ca="1">IF('Invoer gegevens'!$C$17=E27,'Invoer gegevens'!$C$10-'Invoer gegevens'!$C$11,IF(C27=1,AC26,0))</f>
        <v>0</v>
      </c>
      <c r="Y27" s="98">
        <f t="shared" ca="1" si="4"/>
        <v>0</v>
      </c>
      <c r="Z27" s="98">
        <f ca="1">(1-('Invoer gegevens'!$F$20/12))*X27*MIN(BA27,BC27)</f>
        <v>0</v>
      </c>
      <c r="AA27" s="98">
        <f ca="1">IF(BD27&lt;1,IF(Reeksen!AD27&lt;=Reeksen!AE27,X27*Reeksen!C27,0),IF(BC27&gt;=BA27,0,IF(Reeksen!AD27&lt;=Reeksen!AE27,(BA27-BC27)*X27,0)))</f>
        <v>0</v>
      </c>
      <c r="AB27" s="98">
        <f ca="1">IF(BD27&lt;1,IF(Reeksen!AD27&gt;Reeksen!AE27,X27*Reeksen!C27,0),IF(BC27&gt;=BA27,0,IF(Reeksen!AD27&gt;Reeksen!AE27,(BA27-BC27)*X27,0)))</f>
        <v>0</v>
      </c>
      <c r="AC27" s="99">
        <f t="shared" ca="1" si="8"/>
        <v>0</v>
      </c>
      <c r="AD27" s="98">
        <f ca="1">IF('Invoer gegevens'!$C$17=E27,R27,IF(C27=0,0,AE26))</f>
        <v>0</v>
      </c>
      <c r="AE27" s="98">
        <f t="shared" ca="1" si="9"/>
        <v>0</v>
      </c>
      <c r="AF27" s="98">
        <f ca="1">IF('Invoer gegevens'!$C$17=E27,X27,IF(C27=0,0,AG26))</f>
        <v>0</v>
      </c>
      <c r="AG27" s="98">
        <f t="shared" ca="1" si="10"/>
        <v>0</v>
      </c>
      <c r="AH27" s="66"/>
      <c r="AI27" s="71">
        <f ca="1">IF(C27=1,Reeksen!AI27*((F27+K27)/2)*12+Reeksen!AD27*((L27+Q27)/2)*12,0)</f>
        <v>0</v>
      </c>
      <c r="AJ27" s="71">
        <f ca="1">-AI27*'Invoer gegevens'!$F$28</f>
        <v>0</v>
      </c>
      <c r="AK27" s="71">
        <f t="shared" ca="1" si="11"/>
        <v>0</v>
      </c>
      <c r="AL27" s="71">
        <f ca="1">IF(C27=1,Reeksen!AL27*((F27-G27+F27)/2)*12+Reeksen!AM27*((L27-M27+L27)/2)*12,0)</f>
        <v>0</v>
      </c>
      <c r="AM27" s="71">
        <f ca="1">-AL27*'Invoer gegevens'!$F$31</f>
        <v>0</v>
      </c>
      <c r="AN27" s="71">
        <f t="shared" ca="1" si="12"/>
        <v>0</v>
      </c>
      <c r="AO27" s="71">
        <f ca="1">IF(C27=1,(H27+J27+N27+P27)*Reeksen!AN27,0)</f>
        <v>0</v>
      </c>
      <c r="AP27" s="71">
        <f ca="1">-IF(C27=1,(H27+J27+N27+P27)*'Hulp - basis'!$G$550*Reeksen!H27,0)</f>
        <v>0</v>
      </c>
      <c r="AQ27" s="71">
        <f ca="1">-IF(C27=1,(F27+K27+L27+Q27)/2*'Invoer gegevens'!$F$35*Reeksen!J27,0)*2</f>
        <v>0</v>
      </c>
      <c r="AR27" s="71">
        <f ca="1">IF(BD27&lt;1,-IF(C27=1,(G27*'Invoer gegevens'!$F$36)*Reeksen!J27,0),0)</f>
        <v>0</v>
      </c>
      <c r="AS27" s="71">
        <f ca="1">-IF(C27=1,(F27+K27+L27+Q27)/2*'Invoer gegevens'!$F$37*Reeksen!L27,0)</f>
        <v>0</v>
      </c>
      <c r="AT27" s="71">
        <f ca="1">-IF(C27=1,IF(E27='Invoer gegevens'!$C$17,'Invoer gegevens'!$C$11,AD27)*Reeksen!S27*'Invoer gegevens'!$C$18*Reeksen!P27,0)</f>
        <v>0</v>
      </c>
      <c r="AU27" s="71">
        <f ca="1">-IF(C27=1,(F27+K27+L27+Q27)/2*'Invoer gegevens'!$F$38*Reeksen!H27,0)</f>
        <v>0</v>
      </c>
      <c r="AV27" s="71">
        <f t="shared" si="16"/>
        <v>0</v>
      </c>
      <c r="AW27" s="71">
        <f t="shared" ca="1" si="13"/>
        <v>0</v>
      </c>
      <c r="AX27" s="71">
        <f ca="1">IF(E27&lt;'Invoer gegevens'!$C$17+15,0,IF(E27&gt;'Invoer gegevens'!$C$17+215,0,AW27))</f>
        <v>0</v>
      </c>
      <c r="AY27" s="71">
        <f ca="1">AX27/(1+'Invoer gegevens'!$F$18)^($AZ27-('Invoer gegevens'!$C$17-'Invoer gegevens'!$C$16))/(1+'Invoer gegevens'!$C$39)^('Invoer gegevens'!$C$17-'Invoer gegevens'!$C$16)</f>
        <v>0</v>
      </c>
      <c r="AZ27" s="68">
        <f ca="1">IF(E27-'Invoer gegevens'!$C$17-14.5&lt;0,0,E27-'Invoer gegevens'!$C$17-14.5)</f>
        <v>7.5</v>
      </c>
      <c r="BA27" s="109">
        <f ca="1">IFERROR(VLOOKUP(E27-15,Reeksen!$A$5:$D$234,2,FALSE),0)</f>
        <v>0</v>
      </c>
      <c r="BB27" s="109">
        <f ca="1">IFERROR(VLOOKUP(E27-15,Reeksen!$A$5:$D$234,3,FALSE),0)</f>
        <v>0</v>
      </c>
      <c r="BC27" s="109">
        <f ca="1">IFERROR(VLOOKUP(E27-15,Reeksen!$A$5:$D$234,4,FALSE),0)</f>
        <v>0</v>
      </c>
      <c r="BD27" s="67">
        <f ca="1">IF(E27-'Invoer gegevens'!$C$17&lt;15,0,1)</f>
        <v>1</v>
      </c>
    </row>
    <row r="28" spans="1:56" x14ac:dyDescent="0.25">
      <c r="A28" s="59"/>
      <c r="B28" s="70">
        <f t="shared" si="14"/>
        <v>24</v>
      </c>
      <c r="C28" s="67">
        <f ca="1">IF(E28-'Invoer gegevens'!$C$17&lt;0,0,1)</f>
        <v>1</v>
      </c>
      <c r="D28" s="68">
        <f t="shared" si="15"/>
        <v>23.5</v>
      </c>
      <c r="E28" s="108">
        <f ca="1">IF('Invoer gegevens'!$C$16="","",E27+1)</f>
        <v>2042</v>
      </c>
      <c r="F28" s="84">
        <f ca="1">IF('Invoer gegevens'!$C$17=E28,'Invoer gegevens'!$C$10,IF(C28=1,K27,0))</f>
        <v>0</v>
      </c>
      <c r="G28" s="96">
        <f ca="1">IF(BD28&lt;1,F28*Reeksen!C28,IF(C28&gt;=1,F28*BA28,0))</f>
        <v>0</v>
      </c>
      <c r="H28" s="84">
        <f ca="1">(1-('Invoer gegevens'!$F$20/12))*F28*MIN(BA28,BC28)</f>
        <v>0</v>
      </c>
      <c r="I28" s="84">
        <f t="shared" ca="1" si="0"/>
        <v>0</v>
      </c>
      <c r="J28" s="84">
        <f ca="1">('Invoer gegevens'!$F$20/12)*F27*MIN(BA28,BC28)</f>
        <v>0</v>
      </c>
      <c r="K28" s="97">
        <f t="shared" ca="1" si="5"/>
        <v>0</v>
      </c>
      <c r="L28" s="84">
        <f ca="1">IF('Invoer gegevens'!$C$17=E28,0,IF(C28=1,Q27,0))</f>
        <v>0</v>
      </c>
      <c r="M28" s="96">
        <f t="shared" ca="1" si="1"/>
        <v>0</v>
      </c>
      <c r="N28" s="84">
        <f ca="1">(1-('Invoer gegevens'!$F$20/12))*L28*MIN(BA28,BC28)</f>
        <v>0</v>
      </c>
      <c r="O28" s="84">
        <f t="shared" ca="1" si="2"/>
        <v>0</v>
      </c>
      <c r="P28" s="84">
        <f ca="1">('Invoer gegevens'!$F$20/12)*L27*MIN(BA28,BC28)</f>
        <v>0</v>
      </c>
      <c r="Q28" s="84">
        <f t="shared" ca="1" si="6"/>
        <v>0</v>
      </c>
      <c r="R28" s="85">
        <f ca="1">IF('Invoer gegevens'!$C$17=E28,'Invoer gegevens'!$C$11,IF(C28=1,W27,0))</f>
        <v>0</v>
      </c>
      <c r="S28" s="86">
        <f t="shared" ca="1" si="3"/>
        <v>0</v>
      </c>
      <c r="T28" s="86">
        <f ca="1">(1-('Invoer gegevens'!$F$20/12))*R28*MIN(BC28,BA28)</f>
        <v>0</v>
      </c>
      <c r="U28" s="86">
        <f ca="1">IF(BD28&lt;1,IF(Reeksen!AD28&lt;=Reeksen!AE28,R28*Reeksen!C28,0),IF(BC28&gt;=BA28,0,IF(Reeksen!AD28&lt;=Reeksen!AE28,(BA28-BC28)*R28,0)))</f>
        <v>0</v>
      </c>
      <c r="V28" s="86">
        <f ca="1">IF(BD28&lt;1,IF(Reeksen!AD28&gt;Reeksen!AE28,R28*Reeksen!C28,0),IF(BC28&gt;=BA28,0,IF(Reeksen!AD28&gt;Reeksen!AE28,(BA28-BC28)*R28,0)))</f>
        <v>0</v>
      </c>
      <c r="W28" s="218">
        <f t="shared" ca="1" si="7"/>
        <v>0</v>
      </c>
      <c r="X28" s="98">
        <f ca="1">IF('Invoer gegevens'!$C$17=E28,'Invoer gegevens'!$C$10-'Invoer gegevens'!$C$11,IF(C28=1,AC27,0))</f>
        <v>0</v>
      </c>
      <c r="Y28" s="98">
        <f t="shared" ca="1" si="4"/>
        <v>0</v>
      </c>
      <c r="Z28" s="98">
        <f ca="1">(1-('Invoer gegevens'!$F$20/12))*X28*MIN(BA28,BC28)</f>
        <v>0</v>
      </c>
      <c r="AA28" s="98">
        <f ca="1">IF(BD28&lt;1,IF(Reeksen!AD28&lt;=Reeksen!AE28,X28*Reeksen!C28,0),IF(BC28&gt;=BA28,0,IF(Reeksen!AD28&lt;=Reeksen!AE28,(BA28-BC28)*X28,0)))</f>
        <v>0</v>
      </c>
      <c r="AB28" s="98">
        <f ca="1">IF(BD28&lt;1,IF(Reeksen!AD28&gt;Reeksen!AE28,X28*Reeksen!C28,0),IF(BC28&gt;=BA28,0,IF(Reeksen!AD28&gt;Reeksen!AE28,(BA28-BC28)*X28,0)))</f>
        <v>0</v>
      </c>
      <c r="AC28" s="99">
        <f t="shared" ca="1" si="8"/>
        <v>0</v>
      </c>
      <c r="AD28" s="98">
        <f ca="1">IF('Invoer gegevens'!$C$17=E28,R28,IF(C28=0,0,AE27))</f>
        <v>0</v>
      </c>
      <c r="AE28" s="98">
        <f t="shared" ca="1" si="9"/>
        <v>0</v>
      </c>
      <c r="AF28" s="98">
        <f ca="1">IF('Invoer gegevens'!$C$17=E28,X28,IF(C28=0,0,AG27))</f>
        <v>0</v>
      </c>
      <c r="AG28" s="98">
        <f t="shared" ca="1" si="10"/>
        <v>0</v>
      </c>
      <c r="AH28" s="66"/>
      <c r="AI28" s="71">
        <f ca="1">IF(C28=1,Reeksen!AI28*((F28+K28)/2)*12+Reeksen!AD28*((L28+Q28)/2)*12,0)</f>
        <v>0</v>
      </c>
      <c r="AJ28" s="71">
        <f ca="1">-AI28*'Invoer gegevens'!$F$28</f>
        <v>0</v>
      </c>
      <c r="AK28" s="71">
        <f t="shared" ca="1" si="11"/>
        <v>0</v>
      </c>
      <c r="AL28" s="71">
        <f ca="1">IF(C28=1,Reeksen!AL28*((F28-G28+F28)/2)*12+Reeksen!AM28*((L28-M28+L28)/2)*12,0)</f>
        <v>0</v>
      </c>
      <c r="AM28" s="71">
        <f ca="1">-AL28*'Invoer gegevens'!$F$31</f>
        <v>0</v>
      </c>
      <c r="AN28" s="71">
        <f t="shared" ca="1" si="12"/>
        <v>0</v>
      </c>
      <c r="AO28" s="71">
        <f ca="1">IF(C28=1,(H28+J28+N28+P28)*Reeksen!AN28,0)</f>
        <v>0</v>
      </c>
      <c r="AP28" s="71">
        <f ca="1">-IF(C28=1,(H28+J28+N28+P28)*'Hulp - basis'!$G$550*Reeksen!H28,0)</f>
        <v>0</v>
      </c>
      <c r="AQ28" s="71">
        <f ca="1">-IF(C28=1,(F28+K28+L28+Q28)/2*'Invoer gegevens'!$F$35*Reeksen!J28,0)*2</f>
        <v>0</v>
      </c>
      <c r="AR28" s="71">
        <f ca="1">IF(BD28&lt;1,-IF(C28=1,(G28*'Invoer gegevens'!$F$36)*Reeksen!J28,0),0)</f>
        <v>0</v>
      </c>
      <c r="AS28" s="71">
        <f ca="1">-IF(C28=1,(F28+K28+L28+Q28)/2*'Invoer gegevens'!$F$37*Reeksen!L28,0)</f>
        <v>0</v>
      </c>
      <c r="AT28" s="71">
        <f ca="1">-IF(C28=1,IF(E28='Invoer gegevens'!$C$17,'Invoer gegevens'!$C$11,AD28)*Reeksen!S28*'Invoer gegevens'!$C$18*Reeksen!P28,0)</f>
        <v>0</v>
      </c>
      <c r="AU28" s="71">
        <f ca="1">-IF(C28=1,(F28+K28+L28+Q28)/2*'Invoer gegevens'!$F$38*Reeksen!H28,0)</f>
        <v>0</v>
      </c>
      <c r="AV28" s="71">
        <f t="shared" si="16"/>
        <v>0</v>
      </c>
      <c r="AW28" s="71">
        <f t="shared" ca="1" si="13"/>
        <v>0</v>
      </c>
      <c r="AX28" s="71">
        <f ca="1">IF(E28&lt;'Invoer gegevens'!$C$17+15,0,IF(E28&gt;'Invoer gegevens'!$C$17+215,0,AW28))</f>
        <v>0</v>
      </c>
      <c r="AY28" s="71">
        <f ca="1">AX28/(1+'Invoer gegevens'!$F$18)^($AZ28-('Invoer gegevens'!$C$17-'Invoer gegevens'!$C$16))/(1+'Invoer gegevens'!$C$39)^('Invoer gegevens'!$C$17-'Invoer gegevens'!$C$16)</f>
        <v>0</v>
      </c>
      <c r="AZ28" s="68">
        <f ca="1">IF(E28-'Invoer gegevens'!$C$17-14.5&lt;0,0,E28-'Invoer gegevens'!$C$17-14.5)</f>
        <v>8.5</v>
      </c>
      <c r="BA28" s="109">
        <f ca="1">IFERROR(VLOOKUP(E28-15,Reeksen!$A$5:$D$234,2,FALSE),0)</f>
        <v>0</v>
      </c>
      <c r="BB28" s="109">
        <f ca="1">IFERROR(VLOOKUP(E28-15,Reeksen!$A$5:$D$234,3,FALSE),0)</f>
        <v>0</v>
      </c>
      <c r="BC28" s="109">
        <f ca="1">IFERROR(VLOOKUP(E28-15,Reeksen!$A$5:$D$234,4,FALSE),0)</f>
        <v>0</v>
      </c>
      <c r="BD28" s="67">
        <f ca="1">IF(E28-'Invoer gegevens'!$C$17&lt;15,0,1)</f>
        <v>1</v>
      </c>
    </row>
    <row r="29" spans="1:56" x14ac:dyDescent="0.25">
      <c r="A29" s="59"/>
      <c r="B29" s="70">
        <f t="shared" si="14"/>
        <v>25</v>
      </c>
      <c r="C29" s="67">
        <f ca="1">IF(E29-'Invoer gegevens'!$C$17&lt;0,0,1)</f>
        <v>1</v>
      </c>
      <c r="D29" s="68">
        <f t="shared" si="15"/>
        <v>24.5</v>
      </c>
      <c r="E29" s="108">
        <f ca="1">IF('Invoer gegevens'!$C$16="","",E28+1)</f>
        <v>2043</v>
      </c>
      <c r="F29" s="84">
        <f ca="1">IF('Invoer gegevens'!$C$17=E29,'Invoer gegevens'!$C$10,IF(C29=1,K28,0))</f>
        <v>0</v>
      </c>
      <c r="G29" s="96">
        <f ca="1">IF(BD29&lt;1,F29*Reeksen!C29,IF(C29&gt;=1,F29*BA29,0))</f>
        <v>0</v>
      </c>
      <c r="H29" s="84">
        <f ca="1">(1-('Invoer gegevens'!$F$20/12))*F29*MIN(BA29,BC29)</f>
        <v>0</v>
      </c>
      <c r="I29" s="84">
        <f t="shared" ca="1" si="0"/>
        <v>0</v>
      </c>
      <c r="J29" s="84">
        <f ca="1">('Invoer gegevens'!$F$20/12)*F28*MIN(BA29,BC29)</f>
        <v>0</v>
      </c>
      <c r="K29" s="97">
        <f t="shared" ca="1" si="5"/>
        <v>0</v>
      </c>
      <c r="L29" s="84">
        <f ca="1">IF('Invoer gegevens'!$C$17=E29,0,IF(C29=1,Q28,0))</f>
        <v>0</v>
      </c>
      <c r="M29" s="96">
        <f t="shared" ca="1" si="1"/>
        <v>0</v>
      </c>
      <c r="N29" s="84">
        <f ca="1">(1-('Invoer gegevens'!$F$20/12))*L29*MIN(BA29,BC29)</f>
        <v>0</v>
      </c>
      <c r="O29" s="84">
        <f t="shared" ca="1" si="2"/>
        <v>0</v>
      </c>
      <c r="P29" s="84">
        <f ca="1">('Invoer gegevens'!$F$20/12)*L28*MIN(BA29,BC29)</f>
        <v>0</v>
      </c>
      <c r="Q29" s="84">
        <f t="shared" ca="1" si="6"/>
        <v>0</v>
      </c>
      <c r="R29" s="85">
        <f ca="1">IF('Invoer gegevens'!$C$17=E29,'Invoer gegevens'!$C$11,IF(C29=1,W28,0))</f>
        <v>0</v>
      </c>
      <c r="S29" s="86">
        <f t="shared" ca="1" si="3"/>
        <v>0</v>
      </c>
      <c r="T29" s="86">
        <f ca="1">(1-('Invoer gegevens'!$F$20/12))*R29*MIN(BC29,BA29)</f>
        <v>0</v>
      </c>
      <c r="U29" s="86">
        <f ca="1">IF(BD29&lt;1,IF(Reeksen!AD29&lt;=Reeksen!AE29,R29*Reeksen!C29,0),IF(BC29&gt;=BA29,0,IF(Reeksen!AD29&lt;=Reeksen!AE29,(BA29-BC29)*R29,0)))</f>
        <v>0</v>
      </c>
      <c r="V29" s="86">
        <f ca="1">IF(BD29&lt;1,IF(Reeksen!AD29&gt;Reeksen!AE29,R29*Reeksen!C29,0),IF(BC29&gt;=BA29,0,IF(Reeksen!AD29&gt;Reeksen!AE29,(BA29-BC29)*R29,0)))</f>
        <v>0</v>
      </c>
      <c r="W29" s="218">
        <f t="shared" ca="1" si="7"/>
        <v>0</v>
      </c>
      <c r="X29" s="98">
        <f ca="1">IF('Invoer gegevens'!$C$17=E29,'Invoer gegevens'!$C$10-'Invoer gegevens'!$C$11,IF(C29=1,AC28,0))</f>
        <v>0</v>
      </c>
      <c r="Y29" s="98">
        <f t="shared" ca="1" si="4"/>
        <v>0</v>
      </c>
      <c r="Z29" s="98">
        <f ca="1">(1-('Invoer gegevens'!$F$20/12))*X29*MIN(BA29,BC29)</f>
        <v>0</v>
      </c>
      <c r="AA29" s="98">
        <f ca="1">IF(BD29&lt;1,IF(Reeksen!AD29&lt;=Reeksen!AE29,X29*Reeksen!C29,0),IF(BC29&gt;=BA29,0,IF(Reeksen!AD29&lt;=Reeksen!AE29,(BA29-BC29)*X29,0)))</f>
        <v>0</v>
      </c>
      <c r="AB29" s="98">
        <f ca="1">IF(BD29&lt;1,IF(Reeksen!AD29&gt;Reeksen!AE29,X29*Reeksen!C29,0),IF(BC29&gt;=BA29,0,IF(Reeksen!AD29&gt;Reeksen!AE29,(BA29-BC29)*X29,0)))</f>
        <v>0</v>
      </c>
      <c r="AC29" s="99">
        <f t="shared" ca="1" si="8"/>
        <v>0</v>
      </c>
      <c r="AD29" s="98">
        <f ca="1">IF('Invoer gegevens'!$C$17=E29,R29,IF(C29=0,0,AE28))</f>
        <v>0</v>
      </c>
      <c r="AE29" s="98">
        <f t="shared" ca="1" si="9"/>
        <v>0</v>
      </c>
      <c r="AF29" s="98">
        <f ca="1">IF('Invoer gegevens'!$C$17=E29,X29,IF(C29=0,0,AG28))</f>
        <v>0</v>
      </c>
      <c r="AG29" s="98">
        <f t="shared" ca="1" si="10"/>
        <v>0</v>
      </c>
      <c r="AH29" s="66"/>
      <c r="AI29" s="71">
        <f ca="1">IF(C29=1,Reeksen!AI29*((F29+K29)/2)*12+Reeksen!AD29*((L29+Q29)/2)*12,0)</f>
        <v>0</v>
      </c>
      <c r="AJ29" s="71">
        <f ca="1">-AI29*'Invoer gegevens'!$F$28</f>
        <v>0</v>
      </c>
      <c r="AK29" s="71">
        <f t="shared" ca="1" si="11"/>
        <v>0</v>
      </c>
      <c r="AL29" s="71">
        <f ca="1">IF(C29=1,Reeksen!AL29*((F29-G29+F29)/2)*12+Reeksen!AM29*((L29-M29+L29)/2)*12,0)</f>
        <v>0</v>
      </c>
      <c r="AM29" s="71">
        <f ca="1">-AL29*'Invoer gegevens'!$F$31</f>
        <v>0</v>
      </c>
      <c r="AN29" s="71">
        <f t="shared" ca="1" si="12"/>
        <v>0</v>
      </c>
      <c r="AO29" s="71">
        <f ca="1">IF(C29=1,(H29+J29+N29+P29)*Reeksen!AN29,0)</f>
        <v>0</v>
      </c>
      <c r="AP29" s="71">
        <f ca="1">-IF(C29=1,(H29+J29+N29+P29)*'Hulp - basis'!$G$550*Reeksen!H29,0)</f>
        <v>0</v>
      </c>
      <c r="AQ29" s="71">
        <f ca="1">-IF(C29=1,(F29+K29+L29+Q29)/2*'Invoer gegevens'!$F$35*Reeksen!J29,0)*2</f>
        <v>0</v>
      </c>
      <c r="AR29" s="71">
        <f ca="1">IF(BD29&lt;1,-IF(C29=1,(G29*'Invoer gegevens'!$F$36)*Reeksen!J29,0),0)</f>
        <v>0</v>
      </c>
      <c r="AS29" s="71">
        <f ca="1">-IF(C29=1,(F29+K29+L29+Q29)/2*'Invoer gegevens'!$F$37*Reeksen!L29,0)</f>
        <v>0</v>
      </c>
      <c r="AT29" s="71">
        <f ca="1">-IF(C29=1,IF(E29='Invoer gegevens'!$C$17,'Invoer gegevens'!$C$11,AD29)*Reeksen!S29*'Invoer gegevens'!$C$18*Reeksen!P29,0)</f>
        <v>0</v>
      </c>
      <c r="AU29" s="71">
        <f ca="1">-IF(C29=1,(F29+K29+L29+Q29)/2*'Invoer gegevens'!$F$38*Reeksen!H29,0)</f>
        <v>0</v>
      </c>
      <c r="AV29" s="71">
        <f t="shared" si="16"/>
        <v>0</v>
      </c>
      <c r="AW29" s="71">
        <f t="shared" ca="1" si="13"/>
        <v>0</v>
      </c>
      <c r="AX29" s="71">
        <f ca="1">IF(E29&lt;'Invoer gegevens'!$C$17+15,0,IF(E29&gt;'Invoer gegevens'!$C$17+215,0,AW29))</f>
        <v>0</v>
      </c>
      <c r="AY29" s="71">
        <f ca="1">AX29/(1+'Invoer gegevens'!$F$18)^($AZ29-('Invoer gegevens'!$C$17-'Invoer gegevens'!$C$16))/(1+'Invoer gegevens'!$C$39)^('Invoer gegevens'!$C$17-'Invoer gegevens'!$C$16)</f>
        <v>0</v>
      </c>
      <c r="AZ29" s="68">
        <f ca="1">IF(E29-'Invoer gegevens'!$C$17-14.5&lt;0,0,E29-'Invoer gegevens'!$C$17-14.5)</f>
        <v>9.5</v>
      </c>
      <c r="BA29" s="109">
        <f ca="1">IFERROR(VLOOKUP(E29-15,Reeksen!$A$5:$D$234,2,FALSE),0)</f>
        <v>0</v>
      </c>
      <c r="BB29" s="109">
        <f ca="1">IFERROR(VLOOKUP(E29-15,Reeksen!$A$5:$D$234,3,FALSE),0)</f>
        <v>0</v>
      </c>
      <c r="BC29" s="109">
        <f ca="1">IFERROR(VLOOKUP(E29-15,Reeksen!$A$5:$D$234,4,FALSE),0)</f>
        <v>0</v>
      </c>
      <c r="BD29" s="67">
        <f ca="1">IF(E29-'Invoer gegevens'!$C$17&lt;15,0,1)</f>
        <v>1</v>
      </c>
    </row>
    <row r="30" spans="1:56" x14ac:dyDescent="0.25">
      <c r="A30" s="59"/>
      <c r="B30" s="70">
        <f t="shared" si="14"/>
        <v>26</v>
      </c>
      <c r="C30" s="67">
        <f ca="1">IF(E30-'Invoer gegevens'!$C$17&lt;0,0,1)</f>
        <v>1</v>
      </c>
      <c r="D30" s="68">
        <f t="shared" si="15"/>
        <v>25.5</v>
      </c>
      <c r="E30" s="108">
        <f ca="1">IF('Invoer gegevens'!$C$16="","",E29+1)</f>
        <v>2044</v>
      </c>
      <c r="F30" s="84">
        <f ca="1">IF('Invoer gegevens'!$C$17=E30,'Invoer gegevens'!$C$10,IF(C30=1,K29,0))</f>
        <v>0</v>
      </c>
      <c r="G30" s="96">
        <f ca="1">IF(BD30&lt;1,F30*Reeksen!C30,IF(C30&gt;=1,F30*BA30,0))</f>
        <v>0</v>
      </c>
      <c r="H30" s="84">
        <f ca="1">(1-('Invoer gegevens'!$F$20/12))*F30*MIN(BA30,BC30)</f>
        <v>0</v>
      </c>
      <c r="I30" s="84">
        <f t="shared" ca="1" si="0"/>
        <v>0</v>
      </c>
      <c r="J30" s="84">
        <f ca="1">('Invoer gegevens'!$F$20/12)*F29*MIN(BA30,BC30)</f>
        <v>0</v>
      </c>
      <c r="K30" s="97">
        <f t="shared" ca="1" si="5"/>
        <v>0</v>
      </c>
      <c r="L30" s="84">
        <f ca="1">IF('Invoer gegevens'!$C$17=E30,0,IF(C30=1,Q29,0))</f>
        <v>0</v>
      </c>
      <c r="M30" s="96">
        <f t="shared" ca="1" si="1"/>
        <v>0</v>
      </c>
      <c r="N30" s="84">
        <f ca="1">(1-('Invoer gegevens'!$F$20/12))*L30*MIN(BA30,BC30)</f>
        <v>0</v>
      </c>
      <c r="O30" s="84">
        <f t="shared" ca="1" si="2"/>
        <v>0</v>
      </c>
      <c r="P30" s="84">
        <f ca="1">('Invoer gegevens'!$F$20/12)*L29*MIN(BA30,BC30)</f>
        <v>0</v>
      </c>
      <c r="Q30" s="84">
        <f t="shared" ca="1" si="6"/>
        <v>0</v>
      </c>
      <c r="R30" s="85">
        <f ca="1">IF('Invoer gegevens'!$C$17=E30,'Invoer gegevens'!$C$11,IF(C30=1,W29,0))</f>
        <v>0</v>
      </c>
      <c r="S30" s="86">
        <f t="shared" ca="1" si="3"/>
        <v>0</v>
      </c>
      <c r="T30" s="86">
        <f ca="1">(1-('Invoer gegevens'!$F$20/12))*R30*MIN(BC30,BA30)</f>
        <v>0</v>
      </c>
      <c r="U30" s="86">
        <f ca="1">IF(BD30&lt;1,IF(Reeksen!AD30&lt;=Reeksen!AE30,R30*Reeksen!C30,0),IF(BC30&gt;=BA30,0,IF(Reeksen!AD30&lt;=Reeksen!AE30,(BA30-BC30)*R30,0)))</f>
        <v>0</v>
      </c>
      <c r="V30" s="86">
        <f ca="1">IF(BD30&lt;1,IF(Reeksen!AD30&gt;Reeksen!AE30,R30*Reeksen!C30,0),IF(BC30&gt;=BA30,0,IF(Reeksen!AD30&gt;Reeksen!AE30,(BA30-BC30)*R30,0)))</f>
        <v>0</v>
      </c>
      <c r="W30" s="218">
        <f t="shared" ca="1" si="7"/>
        <v>0</v>
      </c>
      <c r="X30" s="98">
        <f ca="1">IF('Invoer gegevens'!$C$17=E30,'Invoer gegevens'!$C$10-'Invoer gegevens'!$C$11,IF(C30=1,AC29,0))</f>
        <v>0</v>
      </c>
      <c r="Y30" s="98">
        <f t="shared" ca="1" si="4"/>
        <v>0</v>
      </c>
      <c r="Z30" s="98">
        <f ca="1">(1-('Invoer gegevens'!$F$20/12))*X30*MIN(BA30,BC30)</f>
        <v>0</v>
      </c>
      <c r="AA30" s="98">
        <f ca="1">IF(BD30&lt;1,IF(Reeksen!AD30&lt;=Reeksen!AE30,X30*Reeksen!C30,0),IF(BC30&gt;=BA30,0,IF(Reeksen!AD30&lt;=Reeksen!AE30,(BA30-BC30)*X30,0)))</f>
        <v>0</v>
      </c>
      <c r="AB30" s="98">
        <f ca="1">IF(BD30&lt;1,IF(Reeksen!AD30&gt;Reeksen!AE30,X30*Reeksen!C30,0),IF(BC30&gt;=BA30,0,IF(Reeksen!AD30&gt;Reeksen!AE30,(BA30-BC30)*X30,0)))</f>
        <v>0</v>
      </c>
      <c r="AC30" s="99">
        <f t="shared" ca="1" si="8"/>
        <v>0</v>
      </c>
      <c r="AD30" s="98">
        <f ca="1">IF('Invoer gegevens'!$C$17=E30,R30,IF(C30=0,0,AE29))</f>
        <v>0</v>
      </c>
      <c r="AE30" s="98">
        <f t="shared" ca="1" si="9"/>
        <v>0</v>
      </c>
      <c r="AF30" s="98">
        <f ca="1">IF('Invoer gegevens'!$C$17=E30,X30,IF(C30=0,0,AG29))</f>
        <v>0</v>
      </c>
      <c r="AG30" s="98">
        <f t="shared" ca="1" si="10"/>
        <v>0</v>
      </c>
      <c r="AH30" s="66"/>
      <c r="AI30" s="71">
        <f ca="1">IF(C30=1,Reeksen!AI30*((F30+K30)/2)*12+Reeksen!AD30*((L30+Q30)/2)*12,0)</f>
        <v>0</v>
      </c>
      <c r="AJ30" s="71">
        <f ca="1">-AI30*'Invoer gegevens'!$F$28</f>
        <v>0</v>
      </c>
      <c r="AK30" s="71">
        <f t="shared" ca="1" si="11"/>
        <v>0</v>
      </c>
      <c r="AL30" s="71">
        <f ca="1">IF(C30=1,Reeksen!AL30*((F30-G30+F30)/2)*12+Reeksen!AM30*((L30-M30+L30)/2)*12,0)</f>
        <v>0</v>
      </c>
      <c r="AM30" s="71">
        <f ca="1">-AL30*'Invoer gegevens'!$F$31</f>
        <v>0</v>
      </c>
      <c r="AN30" s="71">
        <f t="shared" ca="1" si="12"/>
        <v>0</v>
      </c>
      <c r="AO30" s="71">
        <f ca="1">IF(C30=1,(H30+J30+N30+P30)*Reeksen!AN30,0)</f>
        <v>0</v>
      </c>
      <c r="AP30" s="71">
        <f ca="1">-IF(C30=1,(H30+J30+N30+P30)*'Hulp - basis'!$G$550*Reeksen!H30,0)</f>
        <v>0</v>
      </c>
      <c r="AQ30" s="71">
        <f ca="1">-IF(C30=1,(F30+K30+L30+Q30)/2*'Invoer gegevens'!$F$35*Reeksen!J30,0)*2</f>
        <v>0</v>
      </c>
      <c r="AR30" s="71">
        <f ca="1">IF(BD30&lt;1,-IF(C30=1,(G30*'Invoer gegevens'!$F$36)*Reeksen!J30,0),0)</f>
        <v>0</v>
      </c>
      <c r="AS30" s="71">
        <f ca="1">-IF(C30=1,(F30+K30+L30+Q30)/2*'Invoer gegevens'!$F$37*Reeksen!L30,0)</f>
        <v>0</v>
      </c>
      <c r="AT30" s="71">
        <f ca="1">-IF(C30=1,IF(E30='Invoer gegevens'!$C$17,'Invoer gegevens'!$C$11,AD30)*Reeksen!S30*'Invoer gegevens'!$C$18*Reeksen!P30,0)</f>
        <v>0</v>
      </c>
      <c r="AU30" s="71">
        <f ca="1">-IF(C30=1,(F30+K30+L30+Q30)/2*'Invoer gegevens'!$F$38*Reeksen!H30,0)</f>
        <v>0</v>
      </c>
      <c r="AV30" s="71">
        <f t="shared" si="16"/>
        <v>0</v>
      </c>
      <c r="AW30" s="71">
        <f t="shared" ca="1" si="13"/>
        <v>0</v>
      </c>
      <c r="AX30" s="71">
        <f ca="1">IF(E30&lt;'Invoer gegevens'!$C$17+15,0,IF(E30&gt;'Invoer gegevens'!$C$17+215,0,AW30))</f>
        <v>0</v>
      </c>
      <c r="AY30" s="71">
        <f ca="1">AX30/(1+'Invoer gegevens'!$F$18)^($AZ30-('Invoer gegevens'!$C$17-'Invoer gegevens'!$C$16))/(1+'Invoer gegevens'!$C$39)^('Invoer gegevens'!$C$17-'Invoer gegevens'!$C$16)</f>
        <v>0</v>
      </c>
      <c r="AZ30" s="68">
        <f ca="1">IF(E30-'Invoer gegevens'!$C$17-14.5&lt;0,0,E30-'Invoer gegevens'!$C$17-14.5)</f>
        <v>10.5</v>
      </c>
      <c r="BA30" s="109">
        <f ca="1">IFERROR(VLOOKUP(E30-15,Reeksen!$A$5:$D$234,2,FALSE),0)</f>
        <v>0</v>
      </c>
      <c r="BB30" s="109">
        <f ca="1">IFERROR(VLOOKUP(E30-15,Reeksen!$A$5:$D$234,3,FALSE),0)</f>
        <v>0</v>
      </c>
      <c r="BC30" s="109">
        <f ca="1">IFERROR(VLOOKUP(E30-15,Reeksen!$A$5:$D$234,4,FALSE),0)</f>
        <v>0</v>
      </c>
      <c r="BD30" s="67">
        <f ca="1">IF(E30-'Invoer gegevens'!$C$17&lt;15,0,1)</f>
        <v>1</v>
      </c>
    </row>
    <row r="31" spans="1:56" x14ac:dyDescent="0.25">
      <c r="A31" s="59"/>
      <c r="B31" s="70">
        <f t="shared" si="14"/>
        <v>27</v>
      </c>
      <c r="C31" s="67">
        <f ca="1">IF(E31-'Invoer gegevens'!$C$17&lt;0,0,1)</f>
        <v>1</v>
      </c>
      <c r="D31" s="68">
        <f t="shared" si="15"/>
        <v>26.5</v>
      </c>
      <c r="E31" s="108">
        <f ca="1">IF('Invoer gegevens'!$C$16="","",E30+1)</f>
        <v>2045</v>
      </c>
      <c r="F31" s="84">
        <f ca="1">IF('Invoer gegevens'!$C$17=E31,'Invoer gegevens'!$C$10,IF(C31=1,K30,0))</f>
        <v>0</v>
      </c>
      <c r="G31" s="96">
        <f ca="1">IF(BD31&lt;1,F31*Reeksen!C31,IF(C31&gt;=1,F31*BA31,0))</f>
        <v>0</v>
      </c>
      <c r="H31" s="84">
        <f ca="1">(1-('Invoer gegevens'!$F$20/12))*F31*MIN(BA31,BC31)</f>
        <v>0</v>
      </c>
      <c r="I31" s="84">
        <f t="shared" ca="1" si="0"/>
        <v>0</v>
      </c>
      <c r="J31" s="84">
        <f ca="1">('Invoer gegevens'!$F$20/12)*F30*MIN(BA31,BC31)</f>
        <v>0</v>
      </c>
      <c r="K31" s="97">
        <f t="shared" ca="1" si="5"/>
        <v>0</v>
      </c>
      <c r="L31" s="84">
        <f ca="1">IF('Invoer gegevens'!$C$17=E31,0,IF(C31=1,Q30,0))</f>
        <v>0</v>
      </c>
      <c r="M31" s="96">
        <f t="shared" ca="1" si="1"/>
        <v>0</v>
      </c>
      <c r="N31" s="84">
        <f ca="1">(1-('Invoer gegevens'!$F$20/12))*L31*MIN(BA31,BC31)</f>
        <v>0</v>
      </c>
      <c r="O31" s="84">
        <f t="shared" ca="1" si="2"/>
        <v>0</v>
      </c>
      <c r="P31" s="84">
        <f ca="1">('Invoer gegevens'!$F$20/12)*L30*MIN(BA31,BC31)</f>
        <v>0</v>
      </c>
      <c r="Q31" s="84">
        <f t="shared" ca="1" si="6"/>
        <v>0</v>
      </c>
      <c r="R31" s="85">
        <f ca="1">IF('Invoer gegevens'!$C$17=E31,'Invoer gegevens'!$C$11,IF(C31=1,W30,0))</f>
        <v>0</v>
      </c>
      <c r="S31" s="86">
        <f t="shared" ca="1" si="3"/>
        <v>0</v>
      </c>
      <c r="T31" s="86">
        <f ca="1">(1-('Invoer gegevens'!$F$20/12))*R31*MIN(BC31,BA31)</f>
        <v>0</v>
      </c>
      <c r="U31" s="86">
        <f ca="1">IF(BD31&lt;1,IF(Reeksen!AD31&lt;=Reeksen!AE31,R31*Reeksen!C31,0),IF(BC31&gt;=BA31,0,IF(Reeksen!AD31&lt;=Reeksen!AE31,(BA31-BC31)*R31,0)))</f>
        <v>0</v>
      </c>
      <c r="V31" s="86">
        <f ca="1">IF(BD31&lt;1,IF(Reeksen!AD31&gt;Reeksen!AE31,R31*Reeksen!C31,0),IF(BC31&gt;=BA31,0,IF(Reeksen!AD31&gt;Reeksen!AE31,(BA31-BC31)*R31,0)))</f>
        <v>0</v>
      </c>
      <c r="W31" s="218">
        <f t="shared" ca="1" si="7"/>
        <v>0</v>
      </c>
      <c r="X31" s="98">
        <f ca="1">IF('Invoer gegevens'!$C$17=E31,'Invoer gegevens'!$C$10-'Invoer gegevens'!$C$11,IF(C31=1,AC30,0))</f>
        <v>0</v>
      </c>
      <c r="Y31" s="98">
        <f t="shared" ca="1" si="4"/>
        <v>0</v>
      </c>
      <c r="Z31" s="98">
        <f ca="1">(1-('Invoer gegevens'!$F$20/12))*X31*MIN(BA31,BC31)</f>
        <v>0</v>
      </c>
      <c r="AA31" s="98">
        <f ca="1">IF(BD31&lt;1,IF(Reeksen!AD31&lt;=Reeksen!AE31,X31*Reeksen!C31,0),IF(BC31&gt;=BA31,0,IF(Reeksen!AD31&lt;=Reeksen!AE31,(BA31-BC31)*X31,0)))</f>
        <v>0</v>
      </c>
      <c r="AB31" s="98">
        <f ca="1">IF(BD31&lt;1,IF(Reeksen!AD31&gt;Reeksen!AE31,X31*Reeksen!C31,0),IF(BC31&gt;=BA31,0,IF(Reeksen!AD31&gt;Reeksen!AE31,(BA31-BC31)*X31,0)))</f>
        <v>0</v>
      </c>
      <c r="AC31" s="99">
        <f t="shared" ca="1" si="8"/>
        <v>0</v>
      </c>
      <c r="AD31" s="98">
        <f ca="1">IF('Invoer gegevens'!$C$17=E31,R31,IF(C31=0,0,AE30))</f>
        <v>0</v>
      </c>
      <c r="AE31" s="98">
        <f t="shared" ca="1" si="9"/>
        <v>0</v>
      </c>
      <c r="AF31" s="98">
        <f ca="1">IF('Invoer gegevens'!$C$17=E31,X31,IF(C31=0,0,AG30))</f>
        <v>0</v>
      </c>
      <c r="AG31" s="98">
        <f t="shared" ca="1" si="10"/>
        <v>0</v>
      </c>
      <c r="AH31" s="66"/>
      <c r="AI31" s="71">
        <f ca="1">IF(C31=1,Reeksen!AI31*((F31+K31)/2)*12+Reeksen!AD31*((L31+Q31)/2)*12,0)</f>
        <v>0</v>
      </c>
      <c r="AJ31" s="71">
        <f ca="1">-AI31*'Invoer gegevens'!$F$28</f>
        <v>0</v>
      </c>
      <c r="AK31" s="71">
        <f t="shared" ca="1" si="11"/>
        <v>0</v>
      </c>
      <c r="AL31" s="71">
        <f ca="1">IF(C31=1,Reeksen!AL31*((F31-G31+F31)/2)*12+Reeksen!AM31*((L31-M31+L31)/2)*12,0)</f>
        <v>0</v>
      </c>
      <c r="AM31" s="71">
        <f ca="1">-AL31*'Invoer gegevens'!$F$31</f>
        <v>0</v>
      </c>
      <c r="AN31" s="71">
        <f t="shared" ca="1" si="12"/>
        <v>0</v>
      </c>
      <c r="AO31" s="71">
        <f ca="1">IF(C31=1,(H31+J31+N31+P31)*Reeksen!AN31,0)</f>
        <v>0</v>
      </c>
      <c r="AP31" s="71">
        <f ca="1">-IF(C31=1,(H31+J31+N31+P31)*'Hulp - basis'!$G$550*Reeksen!H31,0)</f>
        <v>0</v>
      </c>
      <c r="AQ31" s="71">
        <f ca="1">-IF(C31=1,(F31+K31+L31+Q31)/2*'Invoer gegevens'!$F$35*Reeksen!J31,0)*2</f>
        <v>0</v>
      </c>
      <c r="AR31" s="71">
        <f ca="1">IF(BD31&lt;1,-IF(C31=1,(G31*'Invoer gegevens'!$F$36)*Reeksen!J31,0),0)</f>
        <v>0</v>
      </c>
      <c r="AS31" s="71">
        <f ca="1">-IF(C31=1,(F31+K31+L31+Q31)/2*'Invoer gegevens'!$F$37*Reeksen!L31,0)</f>
        <v>0</v>
      </c>
      <c r="AT31" s="71">
        <f ca="1">-IF(C31=1,IF(E31='Invoer gegevens'!$C$17,'Invoer gegevens'!$C$11,AD31)*Reeksen!S31*'Invoer gegevens'!$C$18*Reeksen!P31,0)</f>
        <v>0</v>
      </c>
      <c r="AU31" s="71">
        <f ca="1">-IF(C31=1,(F31+K31+L31+Q31)/2*'Invoer gegevens'!$F$38*Reeksen!H31,0)</f>
        <v>0</v>
      </c>
      <c r="AV31" s="71">
        <f t="shared" si="16"/>
        <v>0</v>
      </c>
      <c r="AW31" s="71">
        <f t="shared" ca="1" si="13"/>
        <v>0</v>
      </c>
      <c r="AX31" s="71">
        <f ca="1">IF(E31&lt;'Invoer gegevens'!$C$17+15,0,IF(E31&gt;'Invoer gegevens'!$C$17+215,0,AW31))</f>
        <v>0</v>
      </c>
      <c r="AY31" s="71">
        <f ca="1">AX31/(1+'Invoer gegevens'!$F$18)^($AZ31-('Invoer gegevens'!$C$17-'Invoer gegevens'!$C$16))/(1+'Invoer gegevens'!$C$39)^('Invoer gegevens'!$C$17-'Invoer gegevens'!$C$16)</f>
        <v>0</v>
      </c>
      <c r="AZ31" s="68">
        <f ca="1">IF(E31-'Invoer gegevens'!$C$17-14.5&lt;0,0,E31-'Invoer gegevens'!$C$17-14.5)</f>
        <v>11.5</v>
      </c>
      <c r="BA31" s="109">
        <f ca="1">IFERROR(VLOOKUP(E31-15,Reeksen!$A$5:$D$234,2,FALSE),0)</f>
        <v>0</v>
      </c>
      <c r="BB31" s="109">
        <f ca="1">IFERROR(VLOOKUP(E31-15,Reeksen!$A$5:$D$234,3,FALSE),0)</f>
        <v>0</v>
      </c>
      <c r="BC31" s="109">
        <f ca="1">IFERROR(VLOOKUP(E31-15,Reeksen!$A$5:$D$234,4,FALSE),0)</f>
        <v>0</v>
      </c>
      <c r="BD31" s="67">
        <f ca="1">IF(E31-'Invoer gegevens'!$C$17&lt;15,0,1)</f>
        <v>1</v>
      </c>
    </row>
    <row r="32" spans="1:56" x14ac:dyDescent="0.25">
      <c r="A32" s="59"/>
      <c r="B32" s="70">
        <f t="shared" si="14"/>
        <v>28</v>
      </c>
      <c r="C32" s="67">
        <f ca="1">IF(E32-'Invoer gegevens'!$C$17&lt;0,0,1)</f>
        <v>1</v>
      </c>
      <c r="D32" s="68">
        <f t="shared" si="15"/>
        <v>27.5</v>
      </c>
      <c r="E32" s="108">
        <f ca="1">IF('Invoer gegevens'!$C$16="","",E31+1)</f>
        <v>2046</v>
      </c>
      <c r="F32" s="84">
        <f ca="1">IF('Invoer gegevens'!$C$17=E32,'Invoer gegevens'!$C$10,IF(C32=1,K31,0))</f>
        <v>0</v>
      </c>
      <c r="G32" s="96">
        <f ca="1">IF(BD32&lt;1,F32*Reeksen!C32,IF(C32&gt;=1,F32*BA32,0))</f>
        <v>0</v>
      </c>
      <c r="H32" s="84">
        <f ca="1">(1-('Invoer gegevens'!$F$20/12))*F32*MIN(BA32,BC32)</f>
        <v>0</v>
      </c>
      <c r="I32" s="84">
        <f t="shared" ca="1" si="0"/>
        <v>0</v>
      </c>
      <c r="J32" s="84">
        <f ca="1">('Invoer gegevens'!$F$20/12)*F31*MIN(BA32,BC32)</f>
        <v>0</v>
      </c>
      <c r="K32" s="97">
        <f t="shared" ca="1" si="5"/>
        <v>0</v>
      </c>
      <c r="L32" s="84">
        <f ca="1">IF('Invoer gegevens'!$C$17=E32,0,IF(C32=1,Q31,0))</f>
        <v>0</v>
      </c>
      <c r="M32" s="96">
        <f t="shared" ca="1" si="1"/>
        <v>0</v>
      </c>
      <c r="N32" s="84">
        <f ca="1">(1-('Invoer gegevens'!$F$20/12))*L32*MIN(BA32,BC32)</f>
        <v>0</v>
      </c>
      <c r="O32" s="84">
        <f t="shared" ca="1" si="2"/>
        <v>0</v>
      </c>
      <c r="P32" s="84">
        <f ca="1">('Invoer gegevens'!$F$20/12)*L31*MIN(BA32,BC32)</f>
        <v>0</v>
      </c>
      <c r="Q32" s="84">
        <f t="shared" ca="1" si="6"/>
        <v>0</v>
      </c>
      <c r="R32" s="85">
        <f ca="1">IF('Invoer gegevens'!$C$17=E32,'Invoer gegevens'!$C$11,IF(C32=1,W31,0))</f>
        <v>0</v>
      </c>
      <c r="S32" s="86">
        <f t="shared" ca="1" si="3"/>
        <v>0</v>
      </c>
      <c r="T32" s="86">
        <f ca="1">(1-('Invoer gegevens'!$F$20/12))*R32*MIN(BC32,BA32)</f>
        <v>0</v>
      </c>
      <c r="U32" s="86">
        <f ca="1">IF(BD32&lt;1,IF(Reeksen!AD32&lt;=Reeksen!AE32,R32*Reeksen!C32,0),IF(BC32&gt;=BA32,0,IF(Reeksen!AD32&lt;=Reeksen!AE32,(BA32-BC32)*R32,0)))</f>
        <v>0</v>
      </c>
      <c r="V32" s="86">
        <f ca="1">IF(BD32&lt;1,IF(Reeksen!AD32&gt;Reeksen!AE32,R32*Reeksen!C32,0),IF(BC32&gt;=BA32,0,IF(Reeksen!AD32&gt;Reeksen!AE32,(BA32-BC32)*R32,0)))</f>
        <v>0</v>
      </c>
      <c r="W32" s="218">
        <f t="shared" ca="1" si="7"/>
        <v>0</v>
      </c>
      <c r="X32" s="98">
        <f ca="1">IF('Invoer gegevens'!$C$17=E32,'Invoer gegevens'!$C$10-'Invoer gegevens'!$C$11,IF(C32=1,AC31,0))</f>
        <v>0</v>
      </c>
      <c r="Y32" s="98">
        <f t="shared" ca="1" si="4"/>
        <v>0</v>
      </c>
      <c r="Z32" s="98">
        <f ca="1">(1-('Invoer gegevens'!$F$20/12))*X32*MIN(BA32,BC32)</f>
        <v>0</v>
      </c>
      <c r="AA32" s="98">
        <f ca="1">IF(BD32&lt;1,IF(Reeksen!AD32&lt;=Reeksen!AE32,X32*Reeksen!C32,0),IF(BC32&gt;=BA32,0,IF(Reeksen!AD32&lt;=Reeksen!AE32,(BA32-BC32)*X32,0)))</f>
        <v>0</v>
      </c>
      <c r="AB32" s="98">
        <f ca="1">IF(BD32&lt;1,IF(Reeksen!AD32&gt;Reeksen!AE32,X32*Reeksen!C32,0),IF(BC32&gt;=BA32,0,IF(Reeksen!AD32&gt;Reeksen!AE32,(BA32-BC32)*X32,0)))</f>
        <v>0</v>
      </c>
      <c r="AC32" s="99">
        <f t="shared" ca="1" si="8"/>
        <v>0</v>
      </c>
      <c r="AD32" s="98">
        <f ca="1">IF('Invoer gegevens'!$C$17=E32,R32,IF(C32=0,0,AE31))</f>
        <v>0</v>
      </c>
      <c r="AE32" s="98">
        <f t="shared" ca="1" si="9"/>
        <v>0</v>
      </c>
      <c r="AF32" s="98">
        <f ca="1">IF('Invoer gegevens'!$C$17=E32,X32,IF(C32=0,0,AG31))</f>
        <v>0</v>
      </c>
      <c r="AG32" s="98">
        <f t="shared" ca="1" si="10"/>
        <v>0</v>
      </c>
      <c r="AH32" s="66"/>
      <c r="AI32" s="71">
        <f ca="1">IF(C32=1,Reeksen!AI32*((F32+K32)/2)*12+Reeksen!AD32*((L32+Q32)/2)*12,0)</f>
        <v>0</v>
      </c>
      <c r="AJ32" s="71">
        <f ca="1">-AI32*'Invoer gegevens'!$F$28</f>
        <v>0</v>
      </c>
      <c r="AK32" s="71">
        <f t="shared" ca="1" si="11"/>
        <v>0</v>
      </c>
      <c r="AL32" s="71">
        <f ca="1">IF(C32=1,Reeksen!AL32*((F32-G32+F32)/2)*12+Reeksen!AM32*((L32-M32+L32)/2)*12,0)</f>
        <v>0</v>
      </c>
      <c r="AM32" s="71">
        <f ca="1">-AL32*'Invoer gegevens'!$F$31</f>
        <v>0</v>
      </c>
      <c r="AN32" s="71">
        <f t="shared" ca="1" si="12"/>
        <v>0</v>
      </c>
      <c r="AO32" s="71">
        <f ca="1">IF(C32=1,(H32+J32+N32+P32)*Reeksen!AN32,0)</f>
        <v>0</v>
      </c>
      <c r="AP32" s="71">
        <f ca="1">-IF(C32=1,(H32+J32+N32+P32)*'Hulp - basis'!$G$550*Reeksen!H32,0)</f>
        <v>0</v>
      </c>
      <c r="AQ32" s="71">
        <f ca="1">-IF(C32=1,(F32+K32+L32+Q32)/2*'Invoer gegevens'!$F$35*Reeksen!J32,0)*2</f>
        <v>0</v>
      </c>
      <c r="AR32" s="71">
        <f ca="1">IF(BD32&lt;1,-IF(C32=1,(G32*'Invoer gegevens'!$F$36)*Reeksen!J32,0),0)</f>
        <v>0</v>
      </c>
      <c r="AS32" s="71">
        <f ca="1">-IF(C32=1,(F32+K32+L32+Q32)/2*'Invoer gegevens'!$F$37*Reeksen!L32,0)</f>
        <v>0</v>
      </c>
      <c r="AT32" s="71">
        <f ca="1">-IF(C32=1,IF(E32='Invoer gegevens'!$C$17,'Invoer gegevens'!$C$11,AD32)*Reeksen!S32*'Invoer gegevens'!$C$18*Reeksen!P32,0)</f>
        <v>0</v>
      </c>
      <c r="AU32" s="71">
        <f ca="1">-IF(C32=1,(F32+K32+L32+Q32)/2*'Invoer gegevens'!$F$38*Reeksen!H32,0)</f>
        <v>0</v>
      </c>
      <c r="AV32" s="71">
        <f t="shared" si="16"/>
        <v>0</v>
      </c>
      <c r="AW32" s="71">
        <f t="shared" ca="1" si="13"/>
        <v>0</v>
      </c>
      <c r="AX32" s="71">
        <f ca="1">IF(E32&lt;'Invoer gegevens'!$C$17+15,0,IF(E32&gt;'Invoer gegevens'!$C$17+215,0,AW32))</f>
        <v>0</v>
      </c>
      <c r="AY32" s="71">
        <f ca="1">AX32/(1+'Invoer gegevens'!$F$18)^($AZ32-('Invoer gegevens'!$C$17-'Invoer gegevens'!$C$16))/(1+'Invoer gegevens'!$C$39)^('Invoer gegevens'!$C$17-'Invoer gegevens'!$C$16)</f>
        <v>0</v>
      </c>
      <c r="AZ32" s="68">
        <f ca="1">IF(E32-'Invoer gegevens'!$C$17-14.5&lt;0,0,E32-'Invoer gegevens'!$C$17-14.5)</f>
        <v>12.5</v>
      </c>
      <c r="BA32" s="109">
        <f ca="1">IFERROR(VLOOKUP(E32-15,Reeksen!$A$5:$D$234,2,FALSE),0)</f>
        <v>0</v>
      </c>
      <c r="BB32" s="109">
        <f ca="1">IFERROR(VLOOKUP(E32-15,Reeksen!$A$5:$D$234,3,FALSE),0)</f>
        <v>0</v>
      </c>
      <c r="BC32" s="109">
        <f ca="1">IFERROR(VLOOKUP(E32-15,Reeksen!$A$5:$D$234,4,FALSE),0)</f>
        <v>0</v>
      </c>
      <c r="BD32" s="67">
        <f ca="1">IF(E32-'Invoer gegevens'!$C$17&lt;15,0,1)</f>
        <v>1</v>
      </c>
    </row>
    <row r="33" spans="1:56" x14ac:dyDescent="0.25">
      <c r="A33" s="59"/>
      <c r="B33" s="70">
        <f t="shared" si="14"/>
        <v>29</v>
      </c>
      <c r="C33" s="67">
        <f ca="1">IF(E33-'Invoer gegevens'!$C$17&lt;0,0,1)</f>
        <v>1</v>
      </c>
      <c r="D33" s="68">
        <f t="shared" si="15"/>
        <v>28.5</v>
      </c>
      <c r="E33" s="108">
        <f ca="1">IF('Invoer gegevens'!$C$16="","",E32+1)</f>
        <v>2047</v>
      </c>
      <c r="F33" s="84">
        <f ca="1">IF('Invoer gegevens'!$C$17=E33,'Invoer gegevens'!$C$10,IF(C33=1,K32,0))</f>
        <v>0</v>
      </c>
      <c r="G33" s="96">
        <f ca="1">IF(BD33&lt;1,F33*Reeksen!C33,IF(C33&gt;=1,F33*BA33,0))</f>
        <v>0</v>
      </c>
      <c r="H33" s="84">
        <f ca="1">(1-('Invoer gegevens'!$F$20/12))*F33*MIN(BA33,BC33)</f>
        <v>0</v>
      </c>
      <c r="I33" s="84">
        <f t="shared" ca="1" si="0"/>
        <v>0</v>
      </c>
      <c r="J33" s="84">
        <f ca="1">('Invoer gegevens'!$F$20/12)*F32*MIN(BA33,BC33)</f>
        <v>0</v>
      </c>
      <c r="K33" s="97">
        <f t="shared" ca="1" si="5"/>
        <v>0</v>
      </c>
      <c r="L33" s="84">
        <f ca="1">IF('Invoer gegevens'!$C$17=E33,0,IF(C33=1,Q32,0))</f>
        <v>0</v>
      </c>
      <c r="M33" s="96">
        <f t="shared" ca="1" si="1"/>
        <v>0</v>
      </c>
      <c r="N33" s="84">
        <f ca="1">(1-('Invoer gegevens'!$F$20/12))*L33*MIN(BA33,BC33)</f>
        <v>0</v>
      </c>
      <c r="O33" s="84">
        <f t="shared" ca="1" si="2"/>
        <v>0</v>
      </c>
      <c r="P33" s="84">
        <f ca="1">('Invoer gegevens'!$F$20/12)*L32*MIN(BA33,BC33)</f>
        <v>0</v>
      </c>
      <c r="Q33" s="84">
        <f t="shared" ca="1" si="6"/>
        <v>0</v>
      </c>
      <c r="R33" s="85">
        <f ca="1">IF('Invoer gegevens'!$C$17=E33,'Invoer gegevens'!$C$11,IF(C33=1,W32,0))</f>
        <v>0</v>
      </c>
      <c r="S33" s="86">
        <f t="shared" ca="1" si="3"/>
        <v>0</v>
      </c>
      <c r="T33" s="86">
        <f ca="1">(1-('Invoer gegevens'!$F$20/12))*R33*MIN(BC33,BA33)</f>
        <v>0</v>
      </c>
      <c r="U33" s="86">
        <f ca="1">IF(BD33&lt;1,IF(Reeksen!AD33&lt;=Reeksen!AE33,R33*Reeksen!C33,0),IF(BC33&gt;=BA33,0,IF(Reeksen!AD33&lt;=Reeksen!AE33,(BA33-BC33)*R33,0)))</f>
        <v>0</v>
      </c>
      <c r="V33" s="86">
        <f ca="1">IF(BD33&lt;1,IF(Reeksen!AD33&gt;Reeksen!AE33,R33*Reeksen!C33,0),IF(BC33&gt;=BA33,0,IF(Reeksen!AD33&gt;Reeksen!AE33,(BA33-BC33)*R33,0)))</f>
        <v>0</v>
      </c>
      <c r="W33" s="218">
        <f t="shared" ca="1" si="7"/>
        <v>0</v>
      </c>
      <c r="X33" s="98">
        <f ca="1">IF('Invoer gegevens'!$C$17=E33,'Invoer gegevens'!$C$10-'Invoer gegevens'!$C$11,IF(C33=1,AC32,0))</f>
        <v>0</v>
      </c>
      <c r="Y33" s="98">
        <f t="shared" ca="1" si="4"/>
        <v>0</v>
      </c>
      <c r="Z33" s="98">
        <f ca="1">(1-('Invoer gegevens'!$F$20/12))*X33*MIN(BA33,BC33)</f>
        <v>0</v>
      </c>
      <c r="AA33" s="98">
        <f ca="1">IF(BD33&lt;1,IF(Reeksen!AD33&lt;=Reeksen!AE33,X33*Reeksen!C33,0),IF(BC33&gt;=BA33,0,IF(Reeksen!AD33&lt;=Reeksen!AE33,(BA33-BC33)*X33,0)))</f>
        <v>0</v>
      </c>
      <c r="AB33" s="98">
        <f ca="1">IF(BD33&lt;1,IF(Reeksen!AD33&gt;Reeksen!AE33,X33*Reeksen!C33,0),IF(BC33&gt;=BA33,0,IF(Reeksen!AD33&gt;Reeksen!AE33,(BA33-BC33)*X33,0)))</f>
        <v>0</v>
      </c>
      <c r="AC33" s="99">
        <f t="shared" ca="1" si="8"/>
        <v>0</v>
      </c>
      <c r="AD33" s="98">
        <f ca="1">IF('Invoer gegevens'!$C$17=E33,R33,IF(C33=0,0,AE32))</f>
        <v>0</v>
      </c>
      <c r="AE33" s="98">
        <f t="shared" ca="1" si="9"/>
        <v>0</v>
      </c>
      <c r="AF33" s="98">
        <f ca="1">IF('Invoer gegevens'!$C$17=E33,X33,IF(C33=0,0,AG32))</f>
        <v>0</v>
      </c>
      <c r="AG33" s="98">
        <f t="shared" ca="1" si="10"/>
        <v>0</v>
      </c>
      <c r="AH33" s="66"/>
      <c r="AI33" s="71">
        <f ca="1">IF(C33=1,Reeksen!AI33*((F33+K33)/2)*12+Reeksen!AD33*((L33+Q33)/2)*12,0)</f>
        <v>0</v>
      </c>
      <c r="AJ33" s="71">
        <f ca="1">-AI33*'Invoer gegevens'!$F$28</f>
        <v>0</v>
      </c>
      <c r="AK33" s="71">
        <f t="shared" ca="1" si="11"/>
        <v>0</v>
      </c>
      <c r="AL33" s="71">
        <f ca="1">IF(C33=1,Reeksen!AL33*((F33-G33+F33)/2)*12+Reeksen!AM33*((L33-M33+L33)/2)*12,0)</f>
        <v>0</v>
      </c>
      <c r="AM33" s="71">
        <f ca="1">-AL33*'Invoer gegevens'!$F$31</f>
        <v>0</v>
      </c>
      <c r="AN33" s="71">
        <f t="shared" ca="1" si="12"/>
        <v>0</v>
      </c>
      <c r="AO33" s="71">
        <f ca="1">IF(C33=1,(H33+J33+N33+P33)*Reeksen!AN33,0)</f>
        <v>0</v>
      </c>
      <c r="AP33" s="71">
        <f ca="1">-IF(C33=1,(H33+J33+N33+P33)*'Hulp - basis'!$G$550*Reeksen!H33,0)</f>
        <v>0</v>
      </c>
      <c r="AQ33" s="71">
        <f ca="1">-IF(C33=1,(F33+K33+L33+Q33)/2*'Invoer gegevens'!$F$35*Reeksen!J33,0)*2</f>
        <v>0</v>
      </c>
      <c r="AR33" s="71">
        <f ca="1">IF(BD33&lt;1,-IF(C33=1,(G33*'Invoer gegevens'!$F$36)*Reeksen!J33,0),0)</f>
        <v>0</v>
      </c>
      <c r="AS33" s="71">
        <f ca="1">-IF(C33=1,(F33+K33+L33+Q33)/2*'Invoer gegevens'!$F$37*Reeksen!L33,0)</f>
        <v>0</v>
      </c>
      <c r="AT33" s="71">
        <f ca="1">-IF(C33=1,IF(E33='Invoer gegevens'!$C$17,'Invoer gegevens'!$C$11,AD33)*Reeksen!S33*'Invoer gegevens'!$C$18*Reeksen!P33,0)</f>
        <v>0</v>
      </c>
      <c r="AU33" s="71">
        <f ca="1">-IF(C33=1,(F33+K33+L33+Q33)/2*'Invoer gegevens'!$F$38*Reeksen!H33,0)</f>
        <v>0</v>
      </c>
      <c r="AV33" s="71">
        <f t="shared" si="16"/>
        <v>0</v>
      </c>
      <c r="AW33" s="71">
        <f t="shared" ca="1" si="13"/>
        <v>0</v>
      </c>
      <c r="AX33" s="71">
        <f ca="1">IF(E33&lt;'Invoer gegevens'!$C$17+15,0,IF(E33&gt;'Invoer gegevens'!$C$17+215,0,AW33))</f>
        <v>0</v>
      </c>
      <c r="AY33" s="71">
        <f ca="1">AX33/(1+'Invoer gegevens'!$F$18)^($AZ33-('Invoer gegevens'!$C$17-'Invoer gegevens'!$C$16))/(1+'Invoer gegevens'!$C$39)^('Invoer gegevens'!$C$17-'Invoer gegevens'!$C$16)</f>
        <v>0</v>
      </c>
      <c r="AZ33" s="68">
        <f ca="1">IF(E33-'Invoer gegevens'!$C$17-14.5&lt;0,0,E33-'Invoer gegevens'!$C$17-14.5)</f>
        <v>13.5</v>
      </c>
      <c r="BA33" s="109">
        <f ca="1">IFERROR(VLOOKUP(E33-15,Reeksen!$A$5:$D$234,2,FALSE),0)</f>
        <v>0</v>
      </c>
      <c r="BB33" s="109">
        <f ca="1">IFERROR(VLOOKUP(E33-15,Reeksen!$A$5:$D$234,3,FALSE),0)</f>
        <v>0</v>
      </c>
      <c r="BC33" s="109">
        <f ca="1">IFERROR(VLOOKUP(E33-15,Reeksen!$A$5:$D$234,4,FALSE),0)</f>
        <v>0</v>
      </c>
      <c r="BD33" s="67">
        <f ca="1">IF(E33-'Invoer gegevens'!$C$17&lt;15,0,1)</f>
        <v>1</v>
      </c>
    </row>
    <row r="34" spans="1:56" x14ac:dyDescent="0.25">
      <c r="A34" s="59"/>
      <c r="B34" s="70">
        <f t="shared" si="14"/>
        <v>30</v>
      </c>
      <c r="C34" s="67">
        <f ca="1">IF(E34-'Invoer gegevens'!$C$17&lt;0,0,1)</f>
        <v>1</v>
      </c>
      <c r="D34" s="68">
        <f t="shared" si="15"/>
        <v>29.5</v>
      </c>
      <c r="E34" s="108">
        <f ca="1">IF('Invoer gegevens'!$C$16="","",E33+1)</f>
        <v>2048</v>
      </c>
      <c r="F34" s="84">
        <f ca="1">IF('Invoer gegevens'!$C$17=E34,'Invoer gegevens'!$C$10,IF(C34=1,K33,0))</f>
        <v>0</v>
      </c>
      <c r="G34" s="96">
        <f ca="1">IF(BD34&lt;1,F34*Reeksen!C34,IF(C34&gt;=1,F34*BA34,0))</f>
        <v>0</v>
      </c>
      <c r="H34" s="84">
        <f ca="1">(1-('Invoer gegevens'!$F$20/12))*F34*MIN(BA34,BC34)</f>
        <v>0</v>
      </c>
      <c r="I34" s="84">
        <f t="shared" ca="1" si="0"/>
        <v>0</v>
      </c>
      <c r="J34" s="84">
        <f ca="1">('Invoer gegevens'!$F$20/12)*F33*MIN(BA34,BC34)</f>
        <v>0</v>
      </c>
      <c r="K34" s="97">
        <f t="shared" ca="1" si="5"/>
        <v>0</v>
      </c>
      <c r="L34" s="84">
        <f ca="1">IF('Invoer gegevens'!$C$17=E34,0,IF(C34=1,Q33,0))</f>
        <v>0</v>
      </c>
      <c r="M34" s="96">
        <f t="shared" ca="1" si="1"/>
        <v>0</v>
      </c>
      <c r="N34" s="84">
        <f ca="1">(1-('Invoer gegevens'!$F$20/12))*L34*MIN(BA34,BC34)</f>
        <v>0</v>
      </c>
      <c r="O34" s="84">
        <f t="shared" ca="1" si="2"/>
        <v>0</v>
      </c>
      <c r="P34" s="84">
        <f ca="1">('Invoer gegevens'!$F$20/12)*L33*MIN(BA34,BC34)</f>
        <v>0</v>
      </c>
      <c r="Q34" s="84">
        <f t="shared" ca="1" si="6"/>
        <v>0</v>
      </c>
      <c r="R34" s="85">
        <f ca="1">IF('Invoer gegevens'!$C$17=E34,'Invoer gegevens'!$C$11,IF(C34=1,W33,0))</f>
        <v>0</v>
      </c>
      <c r="S34" s="86">
        <f t="shared" ca="1" si="3"/>
        <v>0</v>
      </c>
      <c r="T34" s="86">
        <f ca="1">(1-('Invoer gegevens'!$F$20/12))*R34*MIN(BC34,BA34)</f>
        <v>0</v>
      </c>
      <c r="U34" s="86">
        <f ca="1">IF(BD34&lt;1,IF(Reeksen!AD34&lt;=Reeksen!AE34,R34*Reeksen!C34,0),IF(BC34&gt;=BA34,0,IF(Reeksen!AD34&lt;=Reeksen!AE34,(BA34-BC34)*R34,0)))</f>
        <v>0</v>
      </c>
      <c r="V34" s="86">
        <f ca="1">IF(BD34&lt;1,IF(Reeksen!AD34&gt;Reeksen!AE34,R34*Reeksen!C34,0),IF(BC34&gt;=BA34,0,IF(Reeksen!AD34&gt;Reeksen!AE34,(BA34-BC34)*R34,0)))</f>
        <v>0</v>
      </c>
      <c r="W34" s="218">
        <f t="shared" ca="1" si="7"/>
        <v>0</v>
      </c>
      <c r="X34" s="98">
        <f ca="1">IF('Invoer gegevens'!$C$17=E34,'Invoer gegevens'!$C$10-'Invoer gegevens'!$C$11,IF(C34=1,AC33,0))</f>
        <v>0</v>
      </c>
      <c r="Y34" s="98">
        <f t="shared" ca="1" si="4"/>
        <v>0</v>
      </c>
      <c r="Z34" s="98">
        <f ca="1">(1-('Invoer gegevens'!$F$20/12))*X34*MIN(BA34,BC34)</f>
        <v>0</v>
      </c>
      <c r="AA34" s="98">
        <f ca="1">IF(BD34&lt;1,IF(Reeksen!AD34&lt;=Reeksen!AE34,X34*Reeksen!C34,0),IF(BC34&gt;=BA34,0,IF(Reeksen!AD34&lt;=Reeksen!AE34,(BA34-BC34)*X34,0)))</f>
        <v>0</v>
      </c>
      <c r="AB34" s="98">
        <f ca="1">IF(BD34&lt;1,IF(Reeksen!AD34&gt;Reeksen!AE34,X34*Reeksen!C34,0),IF(BC34&gt;=BA34,0,IF(Reeksen!AD34&gt;Reeksen!AE34,(BA34-BC34)*X34,0)))</f>
        <v>0</v>
      </c>
      <c r="AC34" s="99">
        <f t="shared" ca="1" si="8"/>
        <v>0</v>
      </c>
      <c r="AD34" s="98">
        <f ca="1">IF('Invoer gegevens'!$C$17=E34,R34,IF(C34=0,0,AE33))</f>
        <v>0</v>
      </c>
      <c r="AE34" s="98">
        <f t="shared" ca="1" si="9"/>
        <v>0</v>
      </c>
      <c r="AF34" s="98">
        <f ca="1">IF('Invoer gegevens'!$C$17=E34,X34,IF(C34=0,0,AG33))</f>
        <v>0</v>
      </c>
      <c r="AG34" s="98">
        <f t="shared" ca="1" si="10"/>
        <v>0</v>
      </c>
      <c r="AH34" s="66"/>
      <c r="AI34" s="71">
        <f ca="1">IF(C34=1,Reeksen!AI34*((F34+K34)/2)*12+Reeksen!AD34*((L34+Q34)/2)*12,0)</f>
        <v>0</v>
      </c>
      <c r="AJ34" s="71">
        <f ca="1">-AI34*'Invoer gegevens'!$F$28</f>
        <v>0</v>
      </c>
      <c r="AK34" s="71">
        <f t="shared" ca="1" si="11"/>
        <v>0</v>
      </c>
      <c r="AL34" s="71">
        <f ca="1">IF(C34=1,Reeksen!AL34*((F34-G34+F34)/2)*12+Reeksen!AM34*((L34-M34+L34)/2)*12,0)</f>
        <v>0</v>
      </c>
      <c r="AM34" s="71">
        <f ca="1">-AL34*'Invoer gegevens'!$F$31</f>
        <v>0</v>
      </c>
      <c r="AN34" s="71">
        <f t="shared" ca="1" si="12"/>
        <v>0</v>
      </c>
      <c r="AO34" s="71">
        <f ca="1">IF(C34=1,(H34+J34+N34+P34)*Reeksen!AN34,0)</f>
        <v>0</v>
      </c>
      <c r="AP34" s="71">
        <f ca="1">-IF(C34=1,(H34+J34+N34+P34)*'Hulp - basis'!$G$550*Reeksen!H34,0)</f>
        <v>0</v>
      </c>
      <c r="AQ34" s="71">
        <f ca="1">-IF(C34=1,(F34+K34+L34+Q34)/2*'Invoer gegevens'!$F$35*Reeksen!J34,0)*2</f>
        <v>0</v>
      </c>
      <c r="AR34" s="71">
        <f ca="1">IF(BD34&lt;1,-IF(C34=1,(G34*'Invoer gegevens'!$F$36)*Reeksen!J34,0),0)</f>
        <v>0</v>
      </c>
      <c r="AS34" s="71">
        <f ca="1">-IF(C34=1,(F34+K34+L34+Q34)/2*'Invoer gegevens'!$F$37*Reeksen!L34,0)</f>
        <v>0</v>
      </c>
      <c r="AT34" s="71">
        <f ca="1">-IF(C34=1,IF(E34='Invoer gegevens'!$C$17,'Invoer gegevens'!$C$11,AD34)*Reeksen!S34*'Invoer gegevens'!$C$18*Reeksen!P34,0)</f>
        <v>0</v>
      </c>
      <c r="AU34" s="71">
        <f ca="1">-IF(C34=1,(F34+K34+L34+Q34)/2*'Invoer gegevens'!$F$38*Reeksen!H34,0)</f>
        <v>0</v>
      </c>
      <c r="AV34" s="71">
        <f t="shared" si="16"/>
        <v>0</v>
      </c>
      <c r="AW34" s="71">
        <f t="shared" ca="1" si="13"/>
        <v>0</v>
      </c>
      <c r="AX34" s="71">
        <f ca="1">IF(E34&lt;'Invoer gegevens'!$C$17+15,0,IF(E34&gt;'Invoer gegevens'!$C$17+215,0,AW34))</f>
        <v>0</v>
      </c>
      <c r="AY34" s="71">
        <f ca="1">AX34/(1+'Invoer gegevens'!$F$18)^($AZ34-('Invoer gegevens'!$C$17-'Invoer gegevens'!$C$16))/(1+'Invoer gegevens'!$C$39)^('Invoer gegevens'!$C$17-'Invoer gegevens'!$C$16)</f>
        <v>0</v>
      </c>
      <c r="AZ34" s="68">
        <f ca="1">IF(E34-'Invoer gegevens'!$C$17-14.5&lt;0,0,E34-'Invoer gegevens'!$C$17-14.5)</f>
        <v>14.5</v>
      </c>
      <c r="BA34" s="109">
        <f ca="1">IFERROR(VLOOKUP(E34-15,Reeksen!$A$5:$D$234,2,FALSE),0)</f>
        <v>0</v>
      </c>
      <c r="BB34" s="109">
        <f ca="1">IFERROR(VLOOKUP(E34-15,Reeksen!$A$5:$D$234,3,FALSE),0)</f>
        <v>0</v>
      </c>
      <c r="BC34" s="109">
        <f ca="1">IFERROR(VLOOKUP(E34-15,Reeksen!$A$5:$D$234,4,FALSE),0)</f>
        <v>0</v>
      </c>
      <c r="BD34" s="67">
        <f ca="1">IF(E34-'Invoer gegevens'!$C$17&lt;15,0,1)</f>
        <v>1</v>
      </c>
    </row>
    <row r="35" spans="1:56" x14ac:dyDescent="0.25">
      <c r="A35" s="59"/>
      <c r="B35" s="70">
        <f t="shared" si="14"/>
        <v>31</v>
      </c>
      <c r="C35" s="67">
        <f ca="1">IF(E35-'Invoer gegevens'!$C$17&lt;0,0,1)</f>
        <v>1</v>
      </c>
      <c r="D35" s="68">
        <f t="shared" si="15"/>
        <v>30.5</v>
      </c>
      <c r="E35" s="108">
        <f ca="1">IF('Invoer gegevens'!$C$16="","",E34+1)</f>
        <v>2049</v>
      </c>
      <c r="F35" s="84">
        <f ca="1">IF('Invoer gegevens'!$C$17=E35,'Invoer gegevens'!$C$10,IF(C35=1,K34,0))</f>
        <v>0</v>
      </c>
      <c r="G35" s="96">
        <f ca="1">IF(BD35&lt;1,F35*Reeksen!C35,IF(C35&gt;=1,F35*BA35,0))</f>
        <v>0</v>
      </c>
      <c r="H35" s="84">
        <f ca="1">(1-('Invoer gegevens'!$F$20/12))*F35*MIN(BA35,BC35)</f>
        <v>0</v>
      </c>
      <c r="I35" s="84">
        <f t="shared" ca="1" si="0"/>
        <v>0</v>
      </c>
      <c r="J35" s="84">
        <f ca="1">('Invoer gegevens'!$F$20/12)*F34*MIN(BA35,BC35)</f>
        <v>0</v>
      </c>
      <c r="K35" s="97">
        <f t="shared" ca="1" si="5"/>
        <v>0</v>
      </c>
      <c r="L35" s="84">
        <f ca="1">IF('Invoer gegevens'!$C$17=E35,0,IF(C35=1,Q34,0))</f>
        <v>0</v>
      </c>
      <c r="M35" s="96">
        <f t="shared" ca="1" si="1"/>
        <v>0</v>
      </c>
      <c r="N35" s="84">
        <f ca="1">(1-('Invoer gegevens'!$F$20/12))*L35*MIN(BA35,BC35)</f>
        <v>0</v>
      </c>
      <c r="O35" s="84">
        <f t="shared" ca="1" si="2"/>
        <v>0</v>
      </c>
      <c r="P35" s="84">
        <f ca="1">('Invoer gegevens'!$F$20/12)*L34*MIN(BA35,BC35)</f>
        <v>0</v>
      </c>
      <c r="Q35" s="84">
        <f t="shared" ca="1" si="6"/>
        <v>0</v>
      </c>
      <c r="R35" s="85">
        <f ca="1">IF('Invoer gegevens'!$C$17=E35,'Invoer gegevens'!$C$11,IF(C35=1,W34,0))</f>
        <v>0</v>
      </c>
      <c r="S35" s="86">
        <f t="shared" ca="1" si="3"/>
        <v>0</v>
      </c>
      <c r="T35" s="86">
        <f ca="1">(1-('Invoer gegevens'!$F$20/12))*R35*MIN(BC35,BA35)</f>
        <v>0</v>
      </c>
      <c r="U35" s="86">
        <f ca="1">IF(BD35&lt;1,IF(Reeksen!AD35&lt;=Reeksen!AE35,R35*Reeksen!C35,0),IF(BC35&gt;=BA35,0,IF(Reeksen!AD35&lt;=Reeksen!AE35,(BA35-BC35)*R35,0)))</f>
        <v>0</v>
      </c>
      <c r="V35" s="86">
        <f ca="1">IF(BD35&lt;1,IF(Reeksen!AD35&gt;Reeksen!AE35,R35*Reeksen!C35,0),IF(BC35&gt;=BA35,0,IF(Reeksen!AD35&gt;Reeksen!AE35,(BA35-BC35)*R35,0)))</f>
        <v>0</v>
      </c>
      <c r="W35" s="218">
        <f t="shared" ca="1" si="7"/>
        <v>0</v>
      </c>
      <c r="X35" s="98">
        <f ca="1">IF('Invoer gegevens'!$C$17=E35,'Invoer gegevens'!$C$10-'Invoer gegevens'!$C$11,IF(C35=1,AC34,0))</f>
        <v>0</v>
      </c>
      <c r="Y35" s="98">
        <f t="shared" ca="1" si="4"/>
        <v>0</v>
      </c>
      <c r="Z35" s="98">
        <f ca="1">(1-('Invoer gegevens'!$F$20/12))*X35*MIN(BA35,BC35)</f>
        <v>0</v>
      </c>
      <c r="AA35" s="98">
        <f ca="1">IF(BD35&lt;1,IF(Reeksen!AD35&lt;=Reeksen!AE35,X35*Reeksen!C35,0),IF(BC35&gt;=BA35,0,IF(Reeksen!AD35&lt;=Reeksen!AE35,(BA35-BC35)*X35,0)))</f>
        <v>0</v>
      </c>
      <c r="AB35" s="98">
        <f ca="1">IF(BD35&lt;1,IF(Reeksen!AD35&gt;Reeksen!AE35,X35*Reeksen!C35,0),IF(BC35&gt;=BA35,0,IF(Reeksen!AD35&gt;Reeksen!AE35,(BA35-BC35)*X35,0)))</f>
        <v>0</v>
      </c>
      <c r="AC35" s="99">
        <f t="shared" ca="1" si="8"/>
        <v>0</v>
      </c>
      <c r="AD35" s="98">
        <f ca="1">IF('Invoer gegevens'!$C$17=E35,R35,IF(C35=0,0,AE34))</f>
        <v>0</v>
      </c>
      <c r="AE35" s="98">
        <f t="shared" ca="1" si="9"/>
        <v>0</v>
      </c>
      <c r="AF35" s="98">
        <f ca="1">IF('Invoer gegevens'!$C$17=E35,X35,IF(C35=0,0,AG34))</f>
        <v>0</v>
      </c>
      <c r="AG35" s="98">
        <f t="shared" ca="1" si="10"/>
        <v>0</v>
      </c>
      <c r="AH35" s="66"/>
      <c r="AI35" s="71">
        <f ca="1">IF(C35=1,Reeksen!AI35*((F35+K35)/2)*12+Reeksen!AD35*((L35+Q35)/2)*12,0)</f>
        <v>0</v>
      </c>
      <c r="AJ35" s="71">
        <f ca="1">-AI35*'Invoer gegevens'!$F$28</f>
        <v>0</v>
      </c>
      <c r="AK35" s="71">
        <f t="shared" ca="1" si="11"/>
        <v>0</v>
      </c>
      <c r="AL35" s="71">
        <f ca="1">IF(C35=1,Reeksen!AL35*((F35-G35+F35)/2)*12+Reeksen!AM35*((L35-M35+L35)/2)*12,0)</f>
        <v>0</v>
      </c>
      <c r="AM35" s="71">
        <f ca="1">-AL35*'Invoer gegevens'!$F$31</f>
        <v>0</v>
      </c>
      <c r="AN35" s="71">
        <f t="shared" ca="1" si="12"/>
        <v>0</v>
      </c>
      <c r="AO35" s="71">
        <f ca="1">IF(C35=1,(H35+J35+N35+P35)*Reeksen!AN35,0)</f>
        <v>0</v>
      </c>
      <c r="AP35" s="71">
        <f ca="1">-IF(C35=1,(H35+J35+N35+P35)*'Hulp - basis'!$G$550*Reeksen!H35,0)</f>
        <v>0</v>
      </c>
      <c r="AQ35" s="71">
        <f ca="1">-IF(C35=1,(F35+K35+L35+Q35)/2*'Invoer gegevens'!$F$35*Reeksen!J35,0)*2</f>
        <v>0</v>
      </c>
      <c r="AR35" s="71">
        <f ca="1">IF(BD35&lt;1,-IF(C35=1,(G35*'Invoer gegevens'!$F$36)*Reeksen!J35,0),0)</f>
        <v>0</v>
      </c>
      <c r="AS35" s="71">
        <f ca="1">-IF(C35=1,(F35+K35+L35+Q35)/2*'Invoer gegevens'!$F$37*Reeksen!L35,0)</f>
        <v>0</v>
      </c>
      <c r="AT35" s="71">
        <f ca="1">-IF(C35=1,IF(E35='Invoer gegevens'!$C$17,'Invoer gegevens'!$C$11,AD35)*Reeksen!S35*'Invoer gegevens'!$C$18*Reeksen!P35,0)</f>
        <v>0</v>
      </c>
      <c r="AU35" s="71">
        <f ca="1">-IF(C35=1,(F35+K35+L35+Q35)/2*'Invoer gegevens'!$F$38*Reeksen!H35,0)</f>
        <v>0</v>
      </c>
      <c r="AV35" s="71">
        <f t="shared" si="16"/>
        <v>0</v>
      </c>
      <c r="AW35" s="71">
        <f t="shared" ca="1" si="13"/>
        <v>0</v>
      </c>
      <c r="AX35" s="71">
        <f ca="1">IF(E35&lt;'Invoer gegevens'!$C$17+15,0,IF(E35&gt;'Invoer gegevens'!$C$17+215,0,AW35))</f>
        <v>0</v>
      </c>
      <c r="AY35" s="71">
        <f ca="1">AX35/(1+'Invoer gegevens'!$F$18)^($AZ35-('Invoer gegevens'!$C$17-'Invoer gegevens'!$C$16))/(1+'Invoer gegevens'!$C$39)^('Invoer gegevens'!$C$17-'Invoer gegevens'!$C$16)</f>
        <v>0</v>
      </c>
      <c r="AZ35" s="68">
        <f ca="1">IF(E35-'Invoer gegevens'!$C$17-14.5&lt;0,0,E35-'Invoer gegevens'!$C$17-14.5)</f>
        <v>15.5</v>
      </c>
      <c r="BA35" s="109">
        <f ca="1">IFERROR(VLOOKUP(E35-15,Reeksen!$A$5:$D$234,2,FALSE),0)</f>
        <v>0</v>
      </c>
      <c r="BB35" s="109">
        <f ca="1">IFERROR(VLOOKUP(E35-15,Reeksen!$A$5:$D$234,3,FALSE),0)</f>
        <v>0</v>
      </c>
      <c r="BC35" s="109">
        <f ca="1">IFERROR(VLOOKUP(E35-15,Reeksen!$A$5:$D$234,4,FALSE),0)</f>
        <v>0</v>
      </c>
      <c r="BD35" s="67">
        <f ca="1">IF(E35-'Invoer gegevens'!$C$17&lt;15,0,1)</f>
        <v>1</v>
      </c>
    </row>
    <row r="36" spans="1:56" x14ac:dyDescent="0.25">
      <c r="A36" s="59"/>
      <c r="B36" s="70">
        <f t="shared" si="14"/>
        <v>32</v>
      </c>
      <c r="C36" s="67">
        <f ca="1">IF(E36-'Invoer gegevens'!$C$17&lt;0,0,1)</f>
        <v>1</v>
      </c>
      <c r="D36" s="68">
        <f t="shared" si="15"/>
        <v>31.5</v>
      </c>
      <c r="E36" s="108">
        <f ca="1">IF('Invoer gegevens'!$C$16="","",E35+1)</f>
        <v>2050</v>
      </c>
      <c r="F36" s="84">
        <f ca="1">IF('Invoer gegevens'!$C$17=E36,'Invoer gegevens'!$C$10,IF(C36=1,K35,0))</f>
        <v>0</v>
      </c>
      <c r="G36" s="96">
        <f ca="1">IF(BD36&lt;1,F36*Reeksen!C36,IF(C36&gt;=1,F36*BA36,0))</f>
        <v>0</v>
      </c>
      <c r="H36" s="84">
        <f ca="1">(1-('Invoer gegevens'!$F$20/12))*F36*MIN(BA36,BC36)</f>
        <v>0</v>
      </c>
      <c r="I36" s="84">
        <f t="shared" ca="1" si="0"/>
        <v>0</v>
      </c>
      <c r="J36" s="84">
        <f ca="1">('Invoer gegevens'!$F$20/12)*F35*MIN(BA36,BC36)</f>
        <v>0</v>
      </c>
      <c r="K36" s="97">
        <f t="shared" ca="1" si="5"/>
        <v>0</v>
      </c>
      <c r="L36" s="84">
        <f ca="1">IF('Invoer gegevens'!$C$17=E36,0,IF(C36=1,Q35,0))</f>
        <v>0</v>
      </c>
      <c r="M36" s="96">
        <f t="shared" ca="1" si="1"/>
        <v>0</v>
      </c>
      <c r="N36" s="84">
        <f ca="1">(1-('Invoer gegevens'!$F$20/12))*L36*MIN(BA36,BC36)</f>
        <v>0</v>
      </c>
      <c r="O36" s="84">
        <f t="shared" ca="1" si="2"/>
        <v>0</v>
      </c>
      <c r="P36" s="84">
        <f ca="1">('Invoer gegevens'!$F$20/12)*L35*MIN(BA36,BC36)</f>
        <v>0</v>
      </c>
      <c r="Q36" s="84">
        <f t="shared" ca="1" si="6"/>
        <v>0</v>
      </c>
      <c r="R36" s="85">
        <f ca="1">IF('Invoer gegevens'!$C$17=E36,'Invoer gegevens'!$C$11,IF(C36=1,W35,0))</f>
        <v>0</v>
      </c>
      <c r="S36" s="86">
        <f t="shared" ca="1" si="3"/>
        <v>0</v>
      </c>
      <c r="T36" s="86">
        <f ca="1">(1-('Invoer gegevens'!$F$20/12))*R36*MIN(BC36,BA36)</f>
        <v>0</v>
      </c>
      <c r="U36" s="86">
        <f ca="1">IF(BD36&lt;1,IF(Reeksen!AD36&lt;=Reeksen!AE36,R36*Reeksen!C36,0),IF(BC36&gt;=BA36,0,IF(Reeksen!AD36&lt;=Reeksen!AE36,(BA36-BC36)*R36,0)))</f>
        <v>0</v>
      </c>
      <c r="V36" s="86">
        <f ca="1">IF(BD36&lt;1,IF(Reeksen!AD36&gt;Reeksen!AE36,R36*Reeksen!C36,0),IF(BC36&gt;=BA36,0,IF(Reeksen!AD36&gt;Reeksen!AE36,(BA36-BC36)*R36,0)))</f>
        <v>0</v>
      </c>
      <c r="W36" s="218">
        <f t="shared" ca="1" si="7"/>
        <v>0</v>
      </c>
      <c r="X36" s="98">
        <f ca="1">IF('Invoer gegevens'!$C$17=E36,'Invoer gegevens'!$C$10-'Invoer gegevens'!$C$11,IF(C36=1,AC35,0))</f>
        <v>0</v>
      </c>
      <c r="Y36" s="98">
        <f t="shared" ca="1" si="4"/>
        <v>0</v>
      </c>
      <c r="Z36" s="98">
        <f ca="1">(1-('Invoer gegevens'!$F$20/12))*X36*MIN(BA36,BC36)</f>
        <v>0</v>
      </c>
      <c r="AA36" s="98">
        <f ca="1">IF(BD36&lt;1,IF(Reeksen!AD36&lt;=Reeksen!AE36,X36*Reeksen!C36,0),IF(BC36&gt;=BA36,0,IF(Reeksen!AD36&lt;=Reeksen!AE36,(BA36-BC36)*X36,0)))</f>
        <v>0</v>
      </c>
      <c r="AB36" s="98">
        <f ca="1">IF(BD36&lt;1,IF(Reeksen!AD36&gt;Reeksen!AE36,X36*Reeksen!C36,0),IF(BC36&gt;=BA36,0,IF(Reeksen!AD36&gt;Reeksen!AE36,(BA36-BC36)*X36,0)))</f>
        <v>0</v>
      </c>
      <c r="AC36" s="99">
        <f t="shared" ca="1" si="8"/>
        <v>0</v>
      </c>
      <c r="AD36" s="98">
        <f ca="1">IF('Invoer gegevens'!$C$17=E36,R36,IF(C36=0,0,AE35))</f>
        <v>0</v>
      </c>
      <c r="AE36" s="98">
        <f t="shared" ca="1" si="9"/>
        <v>0</v>
      </c>
      <c r="AF36" s="98">
        <f ca="1">IF('Invoer gegevens'!$C$17=E36,X36,IF(C36=0,0,AG35))</f>
        <v>0</v>
      </c>
      <c r="AG36" s="98">
        <f t="shared" ca="1" si="10"/>
        <v>0</v>
      </c>
      <c r="AH36" s="66"/>
      <c r="AI36" s="71">
        <f ca="1">IF(C36=1,Reeksen!AI36*((F36+K36)/2)*12+Reeksen!AD36*((L36+Q36)/2)*12,0)</f>
        <v>0</v>
      </c>
      <c r="AJ36" s="71">
        <f ca="1">-AI36*'Invoer gegevens'!$F$28</f>
        <v>0</v>
      </c>
      <c r="AK36" s="71">
        <f t="shared" ca="1" si="11"/>
        <v>0</v>
      </c>
      <c r="AL36" s="71">
        <f ca="1">IF(C36=1,Reeksen!AL36*((F36-G36+F36)/2)*12+Reeksen!AM36*((L36-M36+L36)/2)*12,0)</f>
        <v>0</v>
      </c>
      <c r="AM36" s="71">
        <f ca="1">-AL36*'Invoer gegevens'!$F$31</f>
        <v>0</v>
      </c>
      <c r="AN36" s="71">
        <f t="shared" ca="1" si="12"/>
        <v>0</v>
      </c>
      <c r="AO36" s="71">
        <f ca="1">IF(C36=1,(H36+J36+N36+P36)*Reeksen!AN36,0)</f>
        <v>0</v>
      </c>
      <c r="AP36" s="71">
        <f ca="1">-IF(C36=1,(H36+J36+N36+P36)*'Hulp - basis'!$G$550*Reeksen!H36,0)</f>
        <v>0</v>
      </c>
      <c r="AQ36" s="71">
        <f ca="1">-IF(C36=1,(F36+K36+L36+Q36)/2*'Invoer gegevens'!$F$35*Reeksen!J36,0)*2</f>
        <v>0</v>
      </c>
      <c r="AR36" s="71">
        <f ca="1">IF(BD36&lt;1,-IF(C36=1,(G36*'Invoer gegevens'!$F$36)*Reeksen!J36,0),0)</f>
        <v>0</v>
      </c>
      <c r="AS36" s="71">
        <f ca="1">-IF(C36=1,(F36+K36+L36+Q36)/2*'Invoer gegevens'!$F$37*Reeksen!L36,0)</f>
        <v>0</v>
      </c>
      <c r="AT36" s="71">
        <f ca="1">-IF(C36=1,IF(E36='Invoer gegevens'!$C$17,'Invoer gegevens'!$C$11,AD36)*Reeksen!S36*'Invoer gegevens'!$C$18*Reeksen!P36,0)</f>
        <v>0</v>
      </c>
      <c r="AU36" s="71">
        <f ca="1">-IF(C36=1,(F36+K36+L36+Q36)/2*'Invoer gegevens'!$F$38*Reeksen!H36,0)</f>
        <v>0</v>
      </c>
      <c r="AV36" s="71">
        <f t="shared" si="16"/>
        <v>0</v>
      </c>
      <c r="AW36" s="71">
        <f t="shared" ca="1" si="13"/>
        <v>0</v>
      </c>
      <c r="AX36" s="71">
        <f ca="1">IF(E36&lt;'Invoer gegevens'!$C$17+15,0,IF(E36&gt;'Invoer gegevens'!$C$17+215,0,AW36))</f>
        <v>0</v>
      </c>
      <c r="AY36" s="71">
        <f ca="1">AX36/(1+'Invoer gegevens'!$F$18)^($AZ36-('Invoer gegevens'!$C$17-'Invoer gegevens'!$C$16))/(1+'Invoer gegevens'!$C$39)^('Invoer gegevens'!$C$17-'Invoer gegevens'!$C$16)</f>
        <v>0</v>
      </c>
      <c r="AZ36" s="68">
        <f ca="1">IF(E36-'Invoer gegevens'!$C$17-14.5&lt;0,0,E36-'Invoer gegevens'!$C$17-14.5)</f>
        <v>16.5</v>
      </c>
      <c r="BA36" s="109">
        <f ca="1">IFERROR(VLOOKUP(E36-15,Reeksen!$A$5:$D$234,2,FALSE),0)</f>
        <v>0</v>
      </c>
      <c r="BB36" s="109">
        <f ca="1">IFERROR(VLOOKUP(E36-15,Reeksen!$A$5:$D$234,3,FALSE),0)</f>
        <v>0</v>
      </c>
      <c r="BC36" s="109">
        <f ca="1">IFERROR(VLOOKUP(E36-15,Reeksen!$A$5:$D$234,4,FALSE),0)</f>
        <v>0</v>
      </c>
      <c r="BD36" s="67">
        <f ca="1">IF(E36-'Invoer gegevens'!$C$17&lt;15,0,1)</f>
        <v>1</v>
      </c>
    </row>
    <row r="37" spans="1:56" x14ac:dyDescent="0.25">
      <c r="A37" s="59"/>
      <c r="B37" s="70">
        <f t="shared" si="14"/>
        <v>33</v>
      </c>
      <c r="C37" s="67">
        <f ca="1">IF(E37-'Invoer gegevens'!$C$17&lt;0,0,1)</f>
        <v>1</v>
      </c>
      <c r="D37" s="68">
        <f t="shared" si="15"/>
        <v>32.5</v>
      </c>
      <c r="E37" s="108">
        <f ca="1">IF('Invoer gegevens'!$C$16="","",E36+1)</f>
        <v>2051</v>
      </c>
      <c r="F37" s="84">
        <f ca="1">IF('Invoer gegevens'!$C$17=E37,'Invoer gegevens'!$C$10,IF(C37=1,K36,0))</f>
        <v>0</v>
      </c>
      <c r="G37" s="96">
        <f ca="1">IF(BD37&lt;1,F37*Reeksen!C37,IF(C37&gt;=1,F37*BA37,0))</f>
        <v>0</v>
      </c>
      <c r="H37" s="84">
        <f ca="1">(1-('Invoer gegevens'!$F$20/12))*F37*MIN(BA37,BC37)</f>
        <v>0</v>
      </c>
      <c r="I37" s="84">
        <f t="shared" ca="1" si="0"/>
        <v>0</v>
      </c>
      <c r="J37" s="84">
        <f ca="1">('Invoer gegevens'!$F$20/12)*F36*MIN(BA37,BC37)</f>
        <v>0</v>
      </c>
      <c r="K37" s="97">
        <f t="shared" ca="1" si="5"/>
        <v>0</v>
      </c>
      <c r="L37" s="84">
        <f ca="1">IF('Invoer gegevens'!$C$17=E37,0,IF(C37=1,Q36,0))</f>
        <v>0</v>
      </c>
      <c r="M37" s="96">
        <f t="shared" ca="1" si="1"/>
        <v>0</v>
      </c>
      <c r="N37" s="84">
        <f ca="1">(1-('Invoer gegevens'!$F$20/12))*L37*MIN(BA37,BC37)</f>
        <v>0</v>
      </c>
      <c r="O37" s="84">
        <f t="shared" ca="1" si="2"/>
        <v>0</v>
      </c>
      <c r="P37" s="84">
        <f ca="1">('Invoer gegevens'!$F$20/12)*L36*MIN(BA37,BC37)</f>
        <v>0</v>
      </c>
      <c r="Q37" s="84">
        <f t="shared" ca="1" si="6"/>
        <v>0</v>
      </c>
      <c r="R37" s="85">
        <f ca="1">IF('Invoer gegevens'!$C$17=E37,'Invoer gegevens'!$C$11,IF(C37=1,W36,0))</f>
        <v>0</v>
      </c>
      <c r="S37" s="86">
        <f t="shared" ca="1" si="3"/>
        <v>0</v>
      </c>
      <c r="T37" s="86">
        <f ca="1">(1-('Invoer gegevens'!$F$20/12))*R37*MIN(BC37,BA37)</f>
        <v>0</v>
      </c>
      <c r="U37" s="86">
        <f ca="1">IF(BD37&lt;1,IF(Reeksen!AD37&lt;=Reeksen!AE37,R37*Reeksen!C37,0),IF(BC37&gt;=BA37,0,IF(Reeksen!AD37&lt;=Reeksen!AE37,(BA37-BC37)*R37,0)))</f>
        <v>0</v>
      </c>
      <c r="V37" s="86">
        <f ca="1">IF(BD37&lt;1,IF(Reeksen!AD37&gt;Reeksen!AE37,R37*Reeksen!C37,0),IF(BC37&gt;=BA37,0,IF(Reeksen!AD37&gt;Reeksen!AE37,(BA37-BC37)*R37,0)))</f>
        <v>0</v>
      </c>
      <c r="W37" s="218">
        <f t="shared" ca="1" si="7"/>
        <v>0</v>
      </c>
      <c r="X37" s="98">
        <f ca="1">IF('Invoer gegevens'!$C$17=E37,'Invoer gegevens'!$C$10-'Invoer gegevens'!$C$11,IF(C37=1,AC36,0))</f>
        <v>0</v>
      </c>
      <c r="Y37" s="98">
        <f t="shared" ca="1" si="4"/>
        <v>0</v>
      </c>
      <c r="Z37" s="98">
        <f ca="1">(1-('Invoer gegevens'!$F$20/12))*X37*MIN(BA37,BC37)</f>
        <v>0</v>
      </c>
      <c r="AA37" s="98">
        <f ca="1">IF(BD37&lt;1,IF(Reeksen!AD37&lt;=Reeksen!AE37,X37*Reeksen!C37,0),IF(BC37&gt;=BA37,0,IF(Reeksen!AD37&lt;=Reeksen!AE37,(BA37-BC37)*X37,0)))</f>
        <v>0</v>
      </c>
      <c r="AB37" s="98">
        <f ca="1">IF(BD37&lt;1,IF(Reeksen!AD37&gt;Reeksen!AE37,X37*Reeksen!C37,0),IF(BC37&gt;=BA37,0,IF(Reeksen!AD37&gt;Reeksen!AE37,(BA37-BC37)*X37,0)))</f>
        <v>0</v>
      </c>
      <c r="AC37" s="99">
        <f t="shared" ca="1" si="8"/>
        <v>0</v>
      </c>
      <c r="AD37" s="98">
        <f ca="1">IF('Invoer gegevens'!$C$17=E37,R37,IF(C37=0,0,AE36))</f>
        <v>0</v>
      </c>
      <c r="AE37" s="98">
        <f t="shared" ca="1" si="9"/>
        <v>0</v>
      </c>
      <c r="AF37" s="98">
        <f ca="1">IF('Invoer gegevens'!$C$17=E37,X37,IF(C37=0,0,AG36))</f>
        <v>0</v>
      </c>
      <c r="AG37" s="98">
        <f t="shared" ca="1" si="10"/>
        <v>0</v>
      </c>
      <c r="AH37" s="66"/>
      <c r="AI37" s="71">
        <f ca="1">IF(C37=1,Reeksen!AI37*((F37+K37)/2)*12+Reeksen!AD37*((L37+Q37)/2)*12,0)</f>
        <v>0</v>
      </c>
      <c r="AJ37" s="71">
        <f ca="1">-AI37*'Invoer gegevens'!$F$28</f>
        <v>0</v>
      </c>
      <c r="AK37" s="71">
        <f t="shared" ca="1" si="11"/>
        <v>0</v>
      </c>
      <c r="AL37" s="71">
        <f ca="1">IF(C37=1,Reeksen!AL37*((F37-G37+F37)/2)*12+Reeksen!AM37*((L37-M37+L37)/2)*12,0)</f>
        <v>0</v>
      </c>
      <c r="AM37" s="71">
        <f ca="1">-AL37*'Invoer gegevens'!$F$31</f>
        <v>0</v>
      </c>
      <c r="AN37" s="71">
        <f t="shared" ca="1" si="12"/>
        <v>0</v>
      </c>
      <c r="AO37" s="71">
        <f ca="1">IF(C37=1,(H37+J37+N37+P37)*Reeksen!AN37,0)</f>
        <v>0</v>
      </c>
      <c r="AP37" s="71">
        <f ca="1">-IF(C37=1,(H37+J37+N37+P37)*'Hulp - basis'!$G$550*Reeksen!H37,0)</f>
        <v>0</v>
      </c>
      <c r="AQ37" s="71">
        <f ca="1">-IF(C37=1,(F37+K37+L37+Q37)/2*'Invoer gegevens'!$F$35*Reeksen!J37,0)*2</f>
        <v>0</v>
      </c>
      <c r="AR37" s="71">
        <f ca="1">IF(BD37&lt;1,-IF(C37=1,(G37*'Invoer gegevens'!$F$36)*Reeksen!J37,0),0)</f>
        <v>0</v>
      </c>
      <c r="AS37" s="71">
        <f ca="1">-IF(C37=1,(F37+K37+L37+Q37)/2*'Invoer gegevens'!$F$37*Reeksen!L37,0)</f>
        <v>0</v>
      </c>
      <c r="AT37" s="71">
        <f ca="1">-IF(C37=1,IF(E37='Invoer gegevens'!$C$17,'Invoer gegevens'!$C$11,AD37)*Reeksen!S37*'Invoer gegevens'!$C$18*Reeksen!P37,0)</f>
        <v>0</v>
      </c>
      <c r="AU37" s="71">
        <f ca="1">-IF(C37=1,(F37+K37+L37+Q37)/2*'Invoer gegevens'!$F$38*Reeksen!H37,0)</f>
        <v>0</v>
      </c>
      <c r="AV37" s="71">
        <f t="shared" si="16"/>
        <v>0</v>
      </c>
      <c r="AW37" s="71">
        <f t="shared" ca="1" si="13"/>
        <v>0</v>
      </c>
      <c r="AX37" s="71">
        <f ca="1">IF(E37&lt;'Invoer gegevens'!$C$17+15,0,IF(E37&gt;'Invoer gegevens'!$C$17+215,0,AW37))</f>
        <v>0</v>
      </c>
      <c r="AY37" s="71">
        <f ca="1">AX37/(1+'Invoer gegevens'!$F$18)^($AZ37-('Invoer gegevens'!$C$17-'Invoer gegevens'!$C$16))/(1+'Invoer gegevens'!$C$39)^('Invoer gegevens'!$C$17-'Invoer gegevens'!$C$16)</f>
        <v>0</v>
      </c>
      <c r="AZ37" s="68">
        <f ca="1">IF(E37-'Invoer gegevens'!$C$17-14.5&lt;0,0,E37-'Invoer gegevens'!$C$17-14.5)</f>
        <v>17.5</v>
      </c>
      <c r="BA37" s="109">
        <f ca="1">IFERROR(VLOOKUP(E37-15,Reeksen!$A$5:$D$234,2,FALSE),0)</f>
        <v>0</v>
      </c>
      <c r="BB37" s="109">
        <f ca="1">IFERROR(VLOOKUP(E37-15,Reeksen!$A$5:$D$234,3,FALSE),0)</f>
        <v>0</v>
      </c>
      <c r="BC37" s="109">
        <f ca="1">IFERROR(VLOOKUP(E37-15,Reeksen!$A$5:$D$234,4,FALSE),0)</f>
        <v>0</v>
      </c>
      <c r="BD37" s="67">
        <f ca="1">IF(E37-'Invoer gegevens'!$C$17&lt;15,0,1)</f>
        <v>1</v>
      </c>
    </row>
    <row r="38" spans="1:56" x14ac:dyDescent="0.25">
      <c r="A38" s="59"/>
      <c r="B38" s="70">
        <f t="shared" si="14"/>
        <v>34</v>
      </c>
      <c r="C38" s="67">
        <f ca="1">IF(E38-'Invoer gegevens'!$C$17&lt;0,0,1)</f>
        <v>1</v>
      </c>
      <c r="D38" s="68">
        <f t="shared" si="15"/>
        <v>33.5</v>
      </c>
      <c r="E38" s="108">
        <f ca="1">IF('Invoer gegevens'!$C$16="","",E37+1)</f>
        <v>2052</v>
      </c>
      <c r="F38" s="84">
        <f ca="1">IF('Invoer gegevens'!$C$17=E38,'Invoer gegevens'!$C$10,IF(C38=1,K37,0))</f>
        <v>0</v>
      </c>
      <c r="G38" s="96">
        <f ca="1">IF(BD38&lt;1,F38*Reeksen!C38,IF(C38&gt;=1,F38*BA38,0))</f>
        <v>0</v>
      </c>
      <c r="H38" s="84">
        <f ca="1">(1-('Invoer gegevens'!$F$20/12))*F38*MIN(BA38,BC38)</f>
        <v>0</v>
      </c>
      <c r="I38" s="84">
        <f t="shared" ca="1" si="0"/>
        <v>0</v>
      </c>
      <c r="J38" s="84">
        <f ca="1">('Invoer gegevens'!$F$20/12)*F37*MIN(BA38,BC38)</f>
        <v>0</v>
      </c>
      <c r="K38" s="97">
        <f t="shared" ca="1" si="5"/>
        <v>0</v>
      </c>
      <c r="L38" s="84">
        <f ca="1">IF('Invoer gegevens'!$C$17=E38,0,IF(C38=1,Q37,0))</f>
        <v>0</v>
      </c>
      <c r="M38" s="96">
        <f t="shared" ca="1" si="1"/>
        <v>0</v>
      </c>
      <c r="N38" s="84">
        <f ca="1">(1-('Invoer gegevens'!$F$20/12))*L38*MIN(BA38,BC38)</f>
        <v>0</v>
      </c>
      <c r="O38" s="84">
        <f t="shared" ca="1" si="2"/>
        <v>0</v>
      </c>
      <c r="P38" s="84">
        <f ca="1">('Invoer gegevens'!$F$20/12)*L37*MIN(BA38,BC38)</f>
        <v>0</v>
      </c>
      <c r="Q38" s="84">
        <f t="shared" ca="1" si="6"/>
        <v>0</v>
      </c>
      <c r="R38" s="85">
        <f ca="1">IF('Invoer gegevens'!$C$17=E38,'Invoer gegevens'!$C$11,IF(C38=1,W37,0))</f>
        <v>0</v>
      </c>
      <c r="S38" s="86">
        <f t="shared" ca="1" si="3"/>
        <v>0</v>
      </c>
      <c r="T38" s="86">
        <f ca="1">(1-('Invoer gegevens'!$F$20/12))*R38*MIN(BC38,BA38)</f>
        <v>0</v>
      </c>
      <c r="U38" s="86">
        <f ca="1">IF(BD38&lt;1,IF(Reeksen!AD38&lt;=Reeksen!AE38,R38*Reeksen!C38,0),IF(BC38&gt;=BA38,0,IF(Reeksen!AD38&lt;=Reeksen!AE38,(BA38-BC38)*R38,0)))</f>
        <v>0</v>
      </c>
      <c r="V38" s="86">
        <f ca="1">IF(BD38&lt;1,IF(Reeksen!AD38&gt;Reeksen!AE38,R38*Reeksen!C38,0),IF(BC38&gt;=BA38,0,IF(Reeksen!AD38&gt;Reeksen!AE38,(BA38-BC38)*R38,0)))</f>
        <v>0</v>
      </c>
      <c r="W38" s="218">
        <f t="shared" ca="1" si="7"/>
        <v>0</v>
      </c>
      <c r="X38" s="98">
        <f ca="1">IF('Invoer gegevens'!$C$17=E38,'Invoer gegevens'!$C$10-'Invoer gegevens'!$C$11,IF(C38=1,AC37,0))</f>
        <v>0</v>
      </c>
      <c r="Y38" s="98">
        <f t="shared" ca="1" si="4"/>
        <v>0</v>
      </c>
      <c r="Z38" s="98">
        <f ca="1">(1-('Invoer gegevens'!$F$20/12))*X38*MIN(BA38,BC38)</f>
        <v>0</v>
      </c>
      <c r="AA38" s="98">
        <f ca="1">IF(BD38&lt;1,IF(Reeksen!AD38&lt;=Reeksen!AE38,X38*Reeksen!C38,0),IF(BC38&gt;=BA38,0,IF(Reeksen!AD38&lt;=Reeksen!AE38,(BA38-BC38)*X38,0)))</f>
        <v>0</v>
      </c>
      <c r="AB38" s="98">
        <f ca="1">IF(BD38&lt;1,IF(Reeksen!AD38&gt;Reeksen!AE38,X38*Reeksen!C38,0),IF(BC38&gt;=BA38,0,IF(Reeksen!AD38&gt;Reeksen!AE38,(BA38-BC38)*X38,0)))</f>
        <v>0</v>
      </c>
      <c r="AC38" s="99">
        <f t="shared" ca="1" si="8"/>
        <v>0</v>
      </c>
      <c r="AD38" s="98">
        <f ca="1">IF('Invoer gegevens'!$C$17=E38,R38,IF(C38=0,0,AE37))</f>
        <v>0</v>
      </c>
      <c r="AE38" s="98">
        <f t="shared" ca="1" si="9"/>
        <v>0</v>
      </c>
      <c r="AF38" s="98">
        <f ca="1">IF('Invoer gegevens'!$C$17=E38,X38,IF(C38=0,0,AG37))</f>
        <v>0</v>
      </c>
      <c r="AG38" s="98">
        <f t="shared" ca="1" si="10"/>
        <v>0</v>
      </c>
      <c r="AH38" s="66"/>
      <c r="AI38" s="71">
        <f ca="1">IF(C38=1,Reeksen!AI38*((F38+K38)/2)*12+Reeksen!AD38*((L38+Q38)/2)*12,0)</f>
        <v>0</v>
      </c>
      <c r="AJ38" s="71">
        <f ca="1">-AI38*'Invoer gegevens'!$F$28</f>
        <v>0</v>
      </c>
      <c r="AK38" s="71">
        <f t="shared" ca="1" si="11"/>
        <v>0</v>
      </c>
      <c r="AL38" s="71">
        <f ca="1">IF(C38=1,Reeksen!AL38*((F38-G38+F38)/2)*12+Reeksen!AM38*((L38-M38+L38)/2)*12,0)</f>
        <v>0</v>
      </c>
      <c r="AM38" s="71">
        <f ca="1">-AL38*'Invoer gegevens'!$F$31</f>
        <v>0</v>
      </c>
      <c r="AN38" s="71">
        <f t="shared" ca="1" si="12"/>
        <v>0</v>
      </c>
      <c r="AO38" s="71">
        <f ca="1">IF(C38=1,(H38+J38+N38+P38)*Reeksen!AN38,0)</f>
        <v>0</v>
      </c>
      <c r="AP38" s="71">
        <f ca="1">-IF(C38=1,(H38+J38+N38+P38)*'Hulp - basis'!$G$550*Reeksen!H38,0)</f>
        <v>0</v>
      </c>
      <c r="AQ38" s="71">
        <f ca="1">-IF(C38=1,(F38+K38+L38+Q38)/2*'Invoer gegevens'!$F$35*Reeksen!J38,0)*2</f>
        <v>0</v>
      </c>
      <c r="AR38" s="71">
        <f ca="1">IF(BD38&lt;1,-IF(C38=1,(G38*'Invoer gegevens'!$F$36)*Reeksen!J38,0),0)</f>
        <v>0</v>
      </c>
      <c r="AS38" s="71">
        <f ca="1">-IF(C38=1,(F38+K38+L38+Q38)/2*'Invoer gegevens'!$F$37*Reeksen!L38,0)</f>
        <v>0</v>
      </c>
      <c r="AT38" s="71">
        <f ca="1">-IF(C38=1,IF(E38='Invoer gegevens'!$C$17,'Invoer gegevens'!$C$11,AD38)*Reeksen!S38*'Invoer gegevens'!$C$18*Reeksen!P38,0)</f>
        <v>0</v>
      </c>
      <c r="AU38" s="71">
        <f ca="1">-IF(C38=1,(F38+K38+L38+Q38)/2*'Invoer gegevens'!$F$38*Reeksen!H38,0)</f>
        <v>0</v>
      </c>
      <c r="AV38" s="71">
        <f t="shared" si="16"/>
        <v>0</v>
      </c>
      <c r="AW38" s="71">
        <f t="shared" ca="1" si="13"/>
        <v>0</v>
      </c>
      <c r="AX38" s="71">
        <f ca="1">IF(E38&lt;'Invoer gegevens'!$C$17+15,0,IF(E38&gt;'Invoer gegevens'!$C$17+215,0,AW38))</f>
        <v>0</v>
      </c>
      <c r="AY38" s="71">
        <f ca="1">AX38/(1+'Invoer gegevens'!$F$18)^($AZ38-('Invoer gegevens'!$C$17-'Invoer gegevens'!$C$16))/(1+'Invoer gegevens'!$C$39)^('Invoer gegevens'!$C$17-'Invoer gegevens'!$C$16)</f>
        <v>0</v>
      </c>
      <c r="AZ38" s="68">
        <f ca="1">IF(E38-'Invoer gegevens'!$C$17-14.5&lt;0,0,E38-'Invoer gegevens'!$C$17-14.5)</f>
        <v>18.5</v>
      </c>
      <c r="BA38" s="109">
        <f ca="1">IFERROR(VLOOKUP(E38-15,Reeksen!$A$5:$D$234,2,FALSE),0)</f>
        <v>0</v>
      </c>
      <c r="BB38" s="109">
        <f ca="1">IFERROR(VLOOKUP(E38-15,Reeksen!$A$5:$D$234,3,FALSE),0)</f>
        <v>0</v>
      </c>
      <c r="BC38" s="109">
        <f ca="1">IFERROR(VLOOKUP(E38-15,Reeksen!$A$5:$D$234,4,FALSE),0)</f>
        <v>0</v>
      </c>
      <c r="BD38" s="67">
        <f ca="1">IF(E38-'Invoer gegevens'!$C$17&lt;15,0,1)</f>
        <v>1</v>
      </c>
    </row>
    <row r="39" spans="1:56" x14ac:dyDescent="0.25">
      <c r="A39" s="59"/>
      <c r="B39" s="70">
        <f t="shared" si="14"/>
        <v>35</v>
      </c>
      <c r="C39" s="67">
        <f ca="1">IF(E39-'Invoer gegevens'!$C$17&lt;0,0,1)</f>
        <v>1</v>
      </c>
      <c r="D39" s="68">
        <f t="shared" si="15"/>
        <v>34.5</v>
      </c>
      <c r="E39" s="108">
        <f ca="1">IF('Invoer gegevens'!$C$16="","",E38+1)</f>
        <v>2053</v>
      </c>
      <c r="F39" s="84">
        <f ca="1">IF('Invoer gegevens'!$C$17=E39,'Invoer gegevens'!$C$10,IF(C39=1,K38,0))</f>
        <v>0</v>
      </c>
      <c r="G39" s="96">
        <f ca="1">IF(BD39&lt;1,F39*Reeksen!C39,IF(C39&gt;=1,F39*BA39,0))</f>
        <v>0</v>
      </c>
      <c r="H39" s="84">
        <f ca="1">(1-('Invoer gegevens'!$F$20/12))*F39*MIN(BA39,BC39)</f>
        <v>0</v>
      </c>
      <c r="I39" s="84">
        <f t="shared" ca="1" si="0"/>
        <v>0</v>
      </c>
      <c r="J39" s="84">
        <f ca="1">('Invoer gegevens'!$F$20/12)*F38*MIN(BA39,BC39)</f>
        <v>0</v>
      </c>
      <c r="K39" s="97">
        <f t="shared" ca="1" si="5"/>
        <v>0</v>
      </c>
      <c r="L39" s="84">
        <f ca="1">IF('Invoer gegevens'!$C$17=E39,0,IF(C39=1,Q38,0))</f>
        <v>0</v>
      </c>
      <c r="M39" s="96">
        <f t="shared" ca="1" si="1"/>
        <v>0</v>
      </c>
      <c r="N39" s="84">
        <f ca="1">(1-('Invoer gegevens'!$F$20/12))*L39*MIN(BA39,BC39)</f>
        <v>0</v>
      </c>
      <c r="O39" s="84">
        <f t="shared" ca="1" si="2"/>
        <v>0</v>
      </c>
      <c r="P39" s="84">
        <f ca="1">('Invoer gegevens'!$F$20/12)*L38*MIN(BA39,BC39)</f>
        <v>0</v>
      </c>
      <c r="Q39" s="84">
        <f t="shared" ca="1" si="6"/>
        <v>0</v>
      </c>
      <c r="R39" s="85">
        <f ca="1">IF('Invoer gegevens'!$C$17=E39,'Invoer gegevens'!$C$11,IF(C39=1,W38,0))</f>
        <v>0</v>
      </c>
      <c r="S39" s="86">
        <f t="shared" ca="1" si="3"/>
        <v>0</v>
      </c>
      <c r="T39" s="86">
        <f ca="1">(1-('Invoer gegevens'!$F$20/12))*R39*MIN(BC39,BA39)</f>
        <v>0</v>
      </c>
      <c r="U39" s="86">
        <f ca="1">IF(BD39&lt;1,IF(Reeksen!AD39&lt;=Reeksen!AE39,R39*Reeksen!C39,0),IF(BC39&gt;=BA39,0,IF(Reeksen!AD39&lt;=Reeksen!AE39,(BA39-BC39)*R39,0)))</f>
        <v>0</v>
      </c>
      <c r="V39" s="86">
        <f ca="1">IF(BD39&lt;1,IF(Reeksen!AD39&gt;Reeksen!AE39,R39*Reeksen!C39,0),IF(BC39&gt;=BA39,0,IF(Reeksen!AD39&gt;Reeksen!AE39,(BA39-BC39)*R39,0)))</f>
        <v>0</v>
      </c>
      <c r="W39" s="218">
        <f t="shared" ca="1" si="7"/>
        <v>0</v>
      </c>
      <c r="X39" s="98">
        <f ca="1">IF('Invoer gegevens'!$C$17=E39,'Invoer gegevens'!$C$10-'Invoer gegevens'!$C$11,IF(C39=1,AC38,0))</f>
        <v>0</v>
      </c>
      <c r="Y39" s="98">
        <f t="shared" ca="1" si="4"/>
        <v>0</v>
      </c>
      <c r="Z39" s="98">
        <f ca="1">(1-('Invoer gegevens'!$F$20/12))*X39*MIN(BA39,BC39)</f>
        <v>0</v>
      </c>
      <c r="AA39" s="98">
        <f ca="1">IF(BD39&lt;1,IF(Reeksen!AD39&lt;=Reeksen!AE39,X39*Reeksen!C39,0),IF(BC39&gt;=BA39,0,IF(Reeksen!AD39&lt;=Reeksen!AE39,(BA39-BC39)*X39,0)))</f>
        <v>0</v>
      </c>
      <c r="AB39" s="98">
        <f ca="1">IF(BD39&lt;1,IF(Reeksen!AD39&gt;Reeksen!AE39,X39*Reeksen!C39,0),IF(BC39&gt;=BA39,0,IF(Reeksen!AD39&gt;Reeksen!AE39,(BA39-BC39)*X39,0)))</f>
        <v>0</v>
      </c>
      <c r="AC39" s="99">
        <f t="shared" ca="1" si="8"/>
        <v>0</v>
      </c>
      <c r="AD39" s="98">
        <f ca="1">IF('Invoer gegevens'!$C$17=E39,R39,IF(C39=0,0,AE38))</f>
        <v>0</v>
      </c>
      <c r="AE39" s="98">
        <f t="shared" ca="1" si="9"/>
        <v>0</v>
      </c>
      <c r="AF39" s="98">
        <f ca="1">IF('Invoer gegevens'!$C$17=E39,X39,IF(C39=0,0,AG38))</f>
        <v>0</v>
      </c>
      <c r="AG39" s="98">
        <f t="shared" ca="1" si="10"/>
        <v>0</v>
      </c>
      <c r="AH39" s="66"/>
      <c r="AI39" s="71">
        <f ca="1">IF(C39=1,Reeksen!AI39*((F39+K39)/2)*12+Reeksen!AD39*((L39+Q39)/2)*12,0)</f>
        <v>0</v>
      </c>
      <c r="AJ39" s="71">
        <f ca="1">-AI39*'Invoer gegevens'!$F$28</f>
        <v>0</v>
      </c>
      <c r="AK39" s="71">
        <f t="shared" ca="1" si="11"/>
        <v>0</v>
      </c>
      <c r="AL39" s="71">
        <f ca="1">IF(C39=1,Reeksen!AL39*((F39-G39+F39)/2)*12+Reeksen!AM39*((L39-M39+L39)/2)*12,0)</f>
        <v>0</v>
      </c>
      <c r="AM39" s="71">
        <f ca="1">-AL39*'Invoer gegevens'!$F$31</f>
        <v>0</v>
      </c>
      <c r="AN39" s="71">
        <f t="shared" ca="1" si="12"/>
        <v>0</v>
      </c>
      <c r="AO39" s="71">
        <f ca="1">IF(C39=1,(H39+J39+N39+P39)*Reeksen!AN39,0)</f>
        <v>0</v>
      </c>
      <c r="AP39" s="71">
        <f ca="1">-IF(C39=1,(H39+J39+N39+P39)*'Hulp - basis'!$G$550*Reeksen!H39,0)</f>
        <v>0</v>
      </c>
      <c r="AQ39" s="71">
        <f ca="1">-IF(C39=1,(F39+K39+L39+Q39)/2*'Invoer gegevens'!$F$35*Reeksen!J39,0)*2</f>
        <v>0</v>
      </c>
      <c r="AR39" s="71">
        <f ca="1">IF(BD39&lt;1,-IF(C39=1,(G39*'Invoer gegevens'!$F$36)*Reeksen!J39,0),0)</f>
        <v>0</v>
      </c>
      <c r="AS39" s="71">
        <f ca="1">-IF(C39=1,(F39+K39+L39+Q39)/2*'Invoer gegevens'!$F$37*Reeksen!L39,0)</f>
        <v>0</v>
      </c>
      <c r="AT39" s="71">
        <f ca="1">-IF(C39=1,IF(E39='Invoer gegevens'!$C$17,'Invoer gegevens'!$C$11,AD39)*Reeksen!S39*'Invoer gegevens'!$C$18*Reeksen!P39,0)</f>
        <v>0</v>
      </c>
      <c r="AU39" s="71">
        <f ca="1">-IF(C39=1,(F39+K39+L39+Q39)/2*'Invoer gegevens'!$F$38*Reeksen!H39,0)</f>
        <v>0</v>
      </c>
      <c r="AV39" s="71">
        <f t="shared" si="16"/>
        <v>0</v>
      </c>
      <c r="AW39" s="71">
        <f t="shared" ca="1" si="13"/>
        <v>0</v>
      </c>
      <c r="AX39" s="71">
        <f ca="1">IF(E39&lt;'Invoer gegevens'!$C$17+15,0,IF(E39&gt;'Invoer gegevens'!$C$17+215,0,AW39))</f>
        <v>0</v>
      </c>
      <c r="AY39" s="71">
        <f ca="1">AX39/(1+'Invoer gegevens'!$F$18)^($AZ39-('Invoer gegevens'!$C$17-'Invoer gegevens'!$C$16))/(1+'Invoer gegevens'!$C$39)^('Invoer gegevens'!$C$17-'Invoer gegevens'!$C$16)</f>
        <v>0</v>
      </c>
      <c r="AZ39" s="68">
        <f ca="1">IF(E39-'Invoer gegevens'!$C$17-14.5&lt;0,0,E39-'Invoer gegevens'!$C$17-14.5)</f>
        <v>19.5</v>
      </c>
      <c r="BA39" s="109">
        <f ca="1">IFERROR(VLOOKUP(E39-15,Reeksen!$A$5:$D$234,2,FALSE),0)</f>
        <v>0</v>
      </c>
      <c r="BB39" s="109">
        <f ca="1">IFERROR(VLOOKUP(E39-15,Reeksen!$A$5:$D$234,3,FALSE),0)</f>
        <v>0</v>
      </c>
      <c r="BC39" s="109">
        <f ca="1">IFERROR(VLOOKUP(E39-15,Reeksen!$A$5:$D$234,4,FALSE),0)</f>
        <v>0</v>
      </c>
      <c r="BD39" s="67">
        <f ca="1">IF(E39-'Invoer gegevens'!$C$17&lt;15,0,1)</f>
        <v>1</v>
      </c>
    </row>
    <row r="40" spans="1:56" x14ac:dyDescent="0.25">
      <c r="A40" s="59"/>
      <c r="B40" s="70">
        <f t="shared" si="14"/>
        <v>36</v>
      </c>
      <c r="C40" s="67">
        <f ca="1">IF(E40-'Invoer gegevens'!$C$17&lt;0,0,1)</f>
        <v>1</v>
      </c>
      <c r="D40" s="68">
        <f t="shared" si="15"/>
        <v>35.5</v>
      </c>
      <c r="E40" s="108">
        <f ca="1">IF('Invoer gegevens'!$C$16="","",E39+1)</f>
        <v>2054</v>
      </c>
      <c r="F40" s="84">
        <f ca="1">IF('Invoer gegevens'!$C$17=E40,'Invoer gegevens'!$C$10,IF(C40=1,K39,0))</f>
        <v>0</v>
      </c>
      <c r="G40" s="96">
        <f ca="1">IF(BD40&lt;1,F40*Reeksen!C40,IF(C40&gt;=1,F40*BA40,0))</f>
        <v>0</v>
      </c>
      <c r="H40" s="84">
        <f ca="1">(1-('Invoer gegevens'!$F$20/12))*F40*MIN(BA40,BC40)</f>
        <v>0</v>
      </c>
      <c r="I40" s="84">
        <f t="shared" ca="1" si="0"/>
        <v>0</v>
      </c>
      <c r="J40" s="84">
        <f ca="1">('Invoer gegevens'!$F$20/12)*F39*MIN(BA40,BC40)</f>
        <v>0</v>
      </c>
      <c r="K40" s="97">
        <f t="shared" ca="1" si="5"/>
        <v>0</v>
      </c>
      <c r="L40" s="84">
        <f ca="1">IF('Invoer gegevens'!$C$17=E40,0,IF(C40=1,Q39,0))</f>
        <v>0</v>
      </c>
      <c r="M40" s="96">
        <f t="shared" ca="1" si="1"/>
        <v>0</v>
      </c>
      <c r="N40" s="84">
        <f ca="1">(1-('Invoer gegevens'!$F$20/12))*L40*MIN(BA40,BC40)</f>
        <v>0</v>
      </c>
      <c r="O40" s="84">
        <f t="shared" ca="1" si="2"/>
        <v>0</v>
      </c>
      <c r="P40" s="84">
        <f ca="1">('Invoer gegevens'!$F$20/12)*L39*MIN(BA40,BC40)</f>
        <v>0</v>
      </c>
      <c r="Q40" s="84">
        <f t="shared" ca="1" si="6"/>
        <v>0</v>
      </c>
      <c r="R40" s="85">
        <f ca="1">IF('Invoer gegevens'!$C$17=E40,'Invoer gegevens'!$C$11,IF(C40=1,W39,0))</f>
        <v>0</v>
      </c>
      <c r="S40" s="86">
        <f t="shared" ca="1" si="3"/>
        <v>0</v>
      </c>
      <c r="T40" s="86">
        <f ca="1">(1-('Invoer gegevens'!$F$20/12))*R40*MIN(BC40,BA40)</f>
        <v>0</v>
      </c>
      <c r="U40" s="86">
        <f ca="1">IF(BD40&lt;1,IF(Reeksen!AD40&lt;=Reeksen!AE40,R40*Reeksen!C40,0),IF(BC40&gt;=BA40,0,IF(Reeksen!AD40&lt;=Reeksen!AE40,(BA40-BC40)*R40,0)))</f>
        <v>0</v>
      </c>
      <c r="V40" s="86">
        <f ca="1">IF(BD40&lt;1,IF(Reeksen!AD40&gt;Reeksen!AE40,R40*Reeksen!C40,0),IF(BC40&gt;=BA40,0,IF(Reeksen!AD40&gt;Reeksen!AE40,(BA40-BC40)*R40,0)))</f>
        <v>0</v>
      </c>
      <c r="W40" s="218">
        <f t="shared" ca="1" si="7"/>
        <v>0</v>
      </c>
      <c r="X40" s="98">
        <f ca="1">IF('Invoer gegevens'!$C$17=E40,'Invoer gegevens'!$C$10-'Invoer gegevens'!$C$11,IF(C40=1,AC39,0))</f>
        <v>0</v>
      </c>
      <c r="Y40" s="98">
        <f t="shared" ca="1" si="4"/>
        <v>0</v>
      </c>
      <c r="Z40" s="98">
        <f ca="1">(1-('Invoer gegevens'!$F$20/12))*X40*MIN(BA40,BC40)</f>
        <v>0</v>
      </c>
      <c r="AA40" s="98">
        <f ca="1">IF(BD40&lt;1,IF(Reeksen!AD40&lt;=Reeksen!AE40,X40*Reeksen!C40,0),IF(BC40&gt;=BA40,0,IF(Reeksen!AD40&lt;=Reeksen!AE40,(BA40-BC40)*X40,0)))</f>
        <v>0</v>
      </c>
      <c r="AB40" s="98">
        <f ca="1">IF(BD40&lt;1,IF(Reeksen!AD40&gt;Reeksen!AE40,X40*Reeksen!C40,0),IF(BC40&gt;=BA40,0,IF(Reeksen!AD40&gt;Reeksen!AE40,(BA40-BC40)*X40,0)))</f>
        <v>0</v>
      </c>
      <c r="AC40" s="99">
        <f t="shared" ca="1" si="8"/>
        <v>0</v>
      </c>
      <c r="AD40" s="98">
        <f ca="1">IF('Invoer gegevens'!$C$17=E40,R40,IF(C40=0,0,AE39))</f>
        <v>0</v>
      </c>
      <c r="AE40" s="98">
        <f t="shared" ca="1" si="9"/>
        <v>0</v>
      </c>
      <c r="AF40" s="98">
        <f ca="1">IF('Invoer gegevens'!$C$17=E40,X40,IF(C40=0,0,AG39))</f>
        <v>0</v>
      </c>
      <c r="AG40" s="98">
        <f t="shared" ca="1" si="10"/>
        <v>0</v>
      </c>
      <c r="AH40" s="66"/>
      <c r="AI40" s="71">
        <f ca="1">IF(C40=1,Reeksen!AI40*((F40+K40)/2)*12+Reeksen!AD40*((L40+Q40)/2)*12,0)</f>
        <v>0</v>
      </c>
      <c r="AJ40" s="71">
        <f ca="1">-AI40*'Invoer gegevens'!$F$28</f>
        <v>0</v>
      </c>
      <c r="AK40" s="71">
        <f t="shared" ca="1" si="11"/>
        <v>0</v>
      </c>
      <c r="AL40" s="71">
        <f ca="1">IF(C40=1,Reeksen!AL40*((F40-G40+F40)/2)*12+Reeksen!AM40*((L40-M40+L40)/2)*12,0)</f>
        <v>0</v>
      </c>
      <c r="AM40" s="71">
        <f ca="1">-AL40*'Invoer gegevens'!$F$31</f>
        <v>0</v>
      </c>
      <c r="AN40" s="71">
        <f t="shared" ca="1" si="12"/>
        <v>0</v>
      </c>
      <c r="AO40" s="71">
        <f ca="1">IF(C40=1,(H40+J40+N40+P40)*Reeksen!AN40,0)</f>
        <v>0</v>
      </c>
      <c r="AP40" s="71">
        <f ca="1">-IF(C40=1,(H40+J40+N40+P40)*'Hulp - basis'!$G$550*Reeksen!H40,0)</f>
        <v>0</v>
      </c>
      <c r="AQ40" s="71">
        <f ca="1">-IF(C40=1,(F40+K40+L40+Q40)/2*'Invoer gegevens'!$F$35*Reeksen!J40,0)*2</f>
        <v>0</v>
      </c>
      <c r="AR40" s="71">
        <f ca="1">IF(BD40&lt;1,-IF(C40=1,(G40*'Invoer gegevens'!$F$36)*Reeksen!J40,0),0)</f>
        <v>0</v>
      </c>
      <c r="AS40" s="71">
        <f ca="1">-IF(C40=1,(F40+K40+L40+Q40)/2*'Invoer gegevens'!$F$37*Reeksen!L40,0)</f>
        <v>0</v>
      </c>
      <c r="AT40" s="71">
        <f ca="1">-IF(C40=1,IF(E40='Invoer gegevens'!$C$17,'Invoer gegevens'!$C$11,AD40)*Reeksen!S40*'Invoer gegevens'!$C$18*Reeksen!P40,0)</f>
        <v>0</v>
      </c>
      <c r="AU40" s="71">
        <f ca="1">-IF(C40=1,(F40+K40+L40+Q40)/2*'Invoer gegevens'!$F$38*Reeksen!H40,0)</f>
        <v>0</v>
      </c>
      <c r="AV40" s="71">
        <f t="shared" si="16"/>
        <v>0</v>
      </c>
      <c r="AW40" s="71">
        <f t="shared" ca="1" si="13"/>
        <v>0</v>
      </c>
      <c r="AX40" s="71">
        <f ca="1">IF(E40&lt;'Invoer gegevens'!$C$17+15,0,IF(E40&gt;'Invoer gegevens'!$C$17+215,0,AW40))</f>
        <v>0</v>
      </c>
      <c r="AY40" s="71">
        <f ca="1">AX40/(1+'Invoer gegevens'!$F$18)^($AZ40-('Invoer gegevens'!$C$17-'Invoer gegevens'!$C$16))/(1+'Invoer gegevens'!$C$39)^('Invoer gegevens'!$C$17-'Invoer gegevens'!$C$16)</f>
        <v>0</v>
      </c>
      <c r="AZ40" s="68">
        <f ca="1">IF(E40-'Invoer gegevens'!$C$17-14.5&lt;0,0,E40-'Invoer gegevens'!$C$17-14.5)</f>
        <v>20.5</v>
      </c>
      <c r="BA40" s="109">
        <f ca="1">IFERROR(VLOOKUP(E40-15,Reeksen!$A$5:$D$234,2,FALSE),0)</f>
        <v>0</v>
      </c>
      <c r="BB40" s="109">
        <f ca="1">IFERROR(VLOOKUP(E40-15,Reeksen!$A$5:$D$234,3,FALSE),0)</f>
        <v>0</v>
      </c>
      <c r="BC40" s="109">
        <f ca="1">IFERROR(VLOOKUP(E40-15,Reeksen!$A$5:$D$234,4,FALSE),0)</f>
        <v>0</v>
      </c>
      <c r="BD40" s="67">
        <f ca="1">IF(E40-'Invoer gegevens'!$C$17&lt;15,0,1)</f>
        <v>1</v>
      </c>
    </row>
    <row r="41" spans="1:56" x14ac:dyDescent="0.25">
      <c r="A41" s="59"/>
      <c r="B41" s="70">
        <f t="shared" si="14"/>
        <v>37</v>
      </c>
      <c r="C41" s="67">
        <f ca="1">IF(E41-'Invoer gegevens'!$C$17&lt;0,0,1)</f>
        <v>1</v>
      </c>
      <c r="D41" s="68">
        <f t="shared" si="15"/>
        <v>36.5</v>
      </c>
      <c r="E41" s="108">
        <f ca="1">IF('Invoer gegevens'!$C$16="","",E40+1)</f>
        <v>2055</v>
      </c>
      <c r="F41" s="84">
        <f ca="1">IF('Invoer gegevens'!$C$17=E41,'Invoer gegevens'!$C$10,IF(C41=1,K40,0))</f>
        <v>0</v>
      </c>
      <c r="G41" s="96">
        <f ca="1">IF(BD41&lt;1,F41*Reeksen!C41,IF(C41&gt;=1,F41*BA41,0))</f>
        <v>0</v>
      </c>
      <c r="H41" s="84">
        <f ca="1">(1-('Invoer gegevens'!$F$20/12))*F41*MIN(BA41,BC41)</f>
        <v>0</v>
      </c>
      <c r="I41" s="84">
        <f t="shared" ca="1" si="0"/>
        <v>0</v>
      </c>
      <c r="J41" s="84">
        <f ca="1">('Invoer gegevens'!$F$20/12)*F40*MIN(BA41,BC41)</f>
        <v>0</v>
      </c>
      <c r="K41" s="97">
        <f t="shared" ca="1" si="5"/>
        <v>0</v>
      </c>
      <c r="L41" s="84">
        <f ca="1">IF('Invoer gegevens'!$C$17=E41,0,IF(C41=1,Q40,0))</f>
        <v>0</v>
      </c>
      <c r="M41" s="96">
        <f t="shared" ca="1" si="1"/>
        <v>0</v>
      </c>
      <c r="N41" s="84">
        <f ca="1">(1-('Invoer gegevens'!$F$20/12))*L41*MIN(BA41,BC41)</f>
        <v>0</v>
      </c>
      <c r="O41" s="84">
        <f t="shared" ca="1" si="2"/>
        <v>0</v>
      </c>
      <c r="P41" s="84">
        <f ca="1">('Invoer gegevens'!$F$20/12)*L40*MIN(BA41,BC41)</f>
        <v>0</v>
      </c>
      <c r="Q41" s="84">
        <f t="shared" ca="1" si="6"/>
        <v>0</v>
      </c>
      <c r="R41" s="85">
        <f ca="1">IF('Invoer gegevens'!$C$17=E41,'Invoer gegevens'!$C$11,IF(C41=1,W40,0))</f>
        <v>0</v>
      </c>
      <c r="S41" s="86">
        <f t="shared" ca="1" si="3"/>
        <v>0</v>
      </c>
      <c r="T41" s="86">
        <f ca="1">(1-('Invoer gegevens'!$F$20/12))*R41*MIN(BC41,BA41)</f>
        <v>0</v>
      </c>
      <c r="U41" s="86">
        <f ca="1">IF(BD41&lt;1,IF(Reeksen!AD41&lt;=Reeksen!AE41,R41*Reeksen!C41,0),IF(BC41&gt;=BA41,0,IF(Reeksen!AD41&lt;=Reeksen!AE41,(BA41-BC41)*R41,0)))</f>
        <v>0</v>
      </c>
      <c r="V41" s="86">
        <f ca="1">IF(BD41&lt;1,IF(Reeksen!AD41&gt;Reeksen!AE41,R41*Reeksen!C41,0),IF(BC41&gt;=BA41,0,IF(Reeksen!AD41&gt;Reeksen!AE41,(BA41-BC41)*R41,0)))</f>
        <v>0</v>
      </c>
      <c r="W41" s="218">
        <f t="shared" ca="1" si="7"/>
        <v>0</v>
      </c>
      <c r="X41" s="98">
        <f ca="1">IF('Invoer gegevens'!$C$17=E41,'Invoer gegevens'!$C$10-'Invoer gegevens'!$C$11,IF(C41=1,AC40,0))</f>
        <v>0</v>
      </c>
      <c r="Y41" s="98">
        <f t="shared" ca="1" si="4"/>
        <v>0</v>
      </c>
      <c r="Z41" s="98">
        <f ca="1">(1-('Invoer gegevens'!$F$20/12))*X41*MIN(BA41,BC41)</f>
        <v>0</v>
      </c>
      <c r="AA41" s="98">
        <f ca="1">IF(BD41&lt;1,IF(Reeksen!AD41&lt;=Reeksen!AE41,X41*Reeksen!C41,0),IF(BC41&gt;=BA41,0,IF(Reeksen!AD41&lt;=Reeksen!AE41,(BA41-BC41)*X41,0)))</f>
        <v>0</v>
      </c>
      <c r="AB41" s="98">
        <f ca="1">IF(BD41&lt;1,IF(Reeksen!AD41&gt;Reeksen!AE41,X41*Reeksen!C41,0),IF(BC41&gt;=BA41,0,IF(Reeksen!AD41&gt;Reeksen!AE41,(BA41-BC41)*X41,0)))</f>
        <v>0</v>
      </c>
      <c r="AC41" s="99">
        <f t="shared" ca="1" si="8"/>
        <v>0</v>
      </c>
      <c r="AD41" s="98">
        <f ca="1">IF('Invoer gegevens'!$C$17=E41,R41,IF(C41=0,0,AE40))</f>
        <v>0</v>
      </c>
      <c r="AE41" s="98">
        <f t="shared" ca="1" si="9"/>
        <v>0</v>
      </c>
      <c r="AF41" s="98">
        <f ca="1">IF('Invoer gegevens'!$C$17=E41,X41,IF(C41=0,0,AG40))</f>
        <v>0</v>
      </c>
      <c r="AG41" s="98">
        <f t="shared" ca="1" si="10"/>
        <v>0</v>
      </c>
      <c r="AH41" s="66"/>
      <c r="AI41" s="71">
        <f ca="1">IF(C41=1,Reeksen!AI41*((F41+K41)/2)*12+Reeksen!AD41*((L41+Q41)/2)*12,0)</f>
        <v>0</v>
      </c>
      <c r="AJ41" s="71">
        <f ca="1">-AI41*'Invoer gegevens'!$F$28</f>
        <v>0</v>
      </c>
      <c r="AK41" s="71">
        <f t="shared" ca="1" si="11"/>
        <v>0</v>
      </c>
      <c r="AL41" s="71">
        <f ca="1">IF(C41=1,Reeksen!AL41*((F41-G41+F41)/2)*12+Reeksen!AM41*((L41-M41+L41)/2)*12,0)</f>
        <v>0</v>
      </c>
      <c r="AM41" s="71">
        <f ca="1">-AL41*'Invoer gegevens'!$F$31</f>
        <v>0</v>
      </c>
      <c r="AN41" s="71">
        <f t="shared" ca="1" si="12"/>
        <v>0</v>
      </c>
      <c r="AO41" s="71">
        <f ca="1">IF(C41=1,(H41+J41+N41+P41)*Reeksen!AN41,0)</f>
        <v>0</v>
      </c>
      <c r="AP41" s="71">
        <f ca="1">-IF(C41=1,(H41+J41+N41+P41)*'Hulp - basis'!$G$550*Reeksen!H41,0)</f>
        <v>0</v>
      </c>
      <c r="AQ41" s="71">
        <f ca="1">-IF(C41=1,(F41+K41+L41+Q41)/2*'Invoer gegevens'!$F$35*Reeksen!J41,0)*2</f>
        <v>0</v>
      </c>
      <c r="AR41" s="71">
        <f ca="1">IF(BD41&lt;1,-IF(C41=1,(G41*'Invoer gegevens'!$F$36)*Reeksen!J41,0),0)</f>
        <v>0</v>
      </c>
      <c r="AS41" s="71">
        <f ca="1">-IF(C41=1,(F41+K41+L41+Q41)/2*'Invoer gegevens'!$F$37*Reeksen!L41,0)</f>
        <v>0</v>
      </c>
      <c r="AT41" s="71">
        <f ca="1">-IF(C41=1,IF(E41='Invoer gegevens'!$C$17,'Invoer gegevens'!$C$11,AD41)*Reeksen!S41*'Invoer gegevens'!$C$18*Reeksen!P41,0)</f>
        <v>0</v>
      </c>
      <c r="AU41" s="71">
        <f ca="1">-IF(C41=1,(F41+K41+L41+Q41)/2*'Invoer gegevens'!$F$38*Reeksen!H41,0)</f>
        <v>0</v>
      </c>
      <c r="AV41" s="71">
        <f t="shared" si="16"/>
        <v>0</v>
      </c>
      <c r="AW41" s="71">
        <f t="shared" ca="1" si="13"/>
        <v>0</v>
      </c>
      <c r="AX41" s="71">
        <f ca="1">IF(E41&lt;'Invoer gegevens'!$C$17+15,0,IF(E41&gt;'Invoer gegevens'!$C$17+215,0,AW41))</f>
        <v>0</v>
      </c>
      <c r="AY41" s="71">
        <f ca="1">AX41/(1+'Invoer gegevens'!$F$18)^($AZ41-('Invoer gegevens'!$C$17-'Invoer gegevens'!$C$16))/(1+'Invoer gegevens'!$C$39)^('Invoer gegevens'!$C$17-'Invoer gegevens'!$C$16)</f>
        <v>0</v>
      </c>
      <c r="AZ41" s="68">
        <f ca="1">IF(E41-'Invoer gegevens'!$C$17-14.5&lt;0,0,E41-'Invoer gegevens'!$C$17-14.5)</f>
        <v>21.5</v>
      </c>
      <c r="BA41" s="109">
        <f ca="1">IFERROR(VLOOKUP(E41-15,Reeksen!$A$5:$D$234,2,FALSE),0)</f>
        <v>0</v>
      </c>
      <c r="BB41" s="109">
        <f ca="1">IFERROR(VLOOKUP(E41-15,Reeksen!$A$5:$D$234,3,FALSE),0)</f>
        <v>0</v>
      </c>
      <c r="BC41" s="109">
        <f ca="1">IFERROR(VLOOKUP(E41-15,Reeksen!$A$5:$D$234,4,FALSE),0)</f>
        <v>0</v>
      </c>
      <c r="BD41" s="67">
        <f ca="1">IF(E41-'Invoer gegevens'!$C$17&lt;15,0,1)</f>
        <v>1</v>
      </c>
    </row>
    <row r="42" spans="1:56" x14ac:dyDescent="0.25">
      <c r="A42" s="59"/>
      <c r="B42" s="70">
        <f t="shared" si="14"/>
        <v>38</v>
      </c>
      <c r="C42" s="67">
        <f ca="1">IF(E42-'Invoer gegevens'!$C$17&lt;0,0,1)</f>
        <v>1</v>
      </c>
      <c r="D42" s="68">
        <f t="shared" si="15"/>
        <v>37.5</v>
      </c>
      <c r="E42" s="108">
        <f ca="1">IF('Invoer gegevens'!$C$16="","",E41+1)</f>
        <v>2056</v>
      </c>
      <c r="F42" s="84">
        <f ca="1">IF('Invoer gegevens'!$C$17=E42,'Invoer gegevens'!$C$10,IF(C42=1,K41,0))</f>
        <v>0</v>
      </c>
      <c r="G42" s="96">
        <f ca="1">IF(BD42&lt;1,F42*Reeksen!C42,IF(C42&gt;=1,F42*BA42,0))</f>
        <v>0</v>
      </c>
      <c r="H42" s="84">
        <f ca="1">(1-('Invoer gegevens'!$F$20/12))*F42*MIN(BA42,BC42)</f>
        <v>0</v>
      </c>
      <c r="I42" s="84">
        <f t="shared" ca="1" si="0"/>
        <v>0</v>
      </c>
      <c r="J42" s="84">
        <f ca="1">('Invoer gegevens'!$F$20/12)*F41*MIN(BA42,BC42)</f>
        <v>0</v>
      </c>
      <c r="K42" s="97">
        <f t="shared" ca="1" si="5"/>
        <v>0</v>
      </c>
      <c r="L42" s="84">
        <f ca="1">IF('Invoer gegevens'!$C$17=E42,0,IF(C42=1,Q41,0))</f>
        <v>0</v>
      </c>
      <c r="M42" s="96">
        <f t="shared" ca="1" si="1"/>
        <v>0</v>
      </c>
      <c r="N42" s="84">
        <f ca="1">(1-('Invoer gegevens'!$F$20/12))*L42*MIN(BA42,BC42)</f>
        <v>0</v>
      </c>
      <c r="O42" s="84">
        <f t="shared" ca="1" si="2"/>
        <v>0</v>
      </c>
      <c r="P42" s="84">
        <f ca="1">('Invoer gegevens'!$F$20/12)*L41*MIN(BA42,BC42)</f>
        <v>0</v>
      </c>
      <c r="Q42" s="84">
        <f t="shared" ca="1" si="6"/>
        <v>0</v>
      </c>
      <c r="R42" s="85">
        <f ca="1">IF('Invoer gegevens'!$C$17=E42,'Invoer gegevens'!$C$11,IF(C42=1,W41,0))</f>
        <v>0</v>
      </c>
      <c r="S42" s="86">
        <f t="shared" ca="1" si="3"/>
        <v>0</v>
      </c>
      <c r="T42" s="86">
        <f ca="1">(1-('Invoer gegevens'!$F$20/12))*R42*MIN(BC42,BA42)</f>
        <v>0</v>
      </c>
      <c r="U42" s="86">
        <f ca="1">IF(BD42&lt;1,IF(Reeksen!AD42&lt;=Reeksen!AE42,R42*Reeksen!C42,0),IF(BC42&gt;=BA42,0,IF(Reeksen!AD42&lt;=Reeksen!AE42,(BA42-BC42)*R42,0)))</f>
        <v>0</v>
      </c>
      <c r="V42" s="86">
        <f ca="1">IF(BD42&lt;1,IF(Reeksen!AD42&gt;Reeksen!AE42,R42*Reeksen!C42,0),IF(BC42&gt;=BA42,0,IF(Reeksen!AD42&gt;Reeksen!AE42,(BA42-BC42)*R42,0)))</f>
        <v>0</v>
      </c>
      <c r="W42" s="218">
        <f t="shared" ca="1" si="7"/>
        <v>0</v>
      </c>
      <c r="X42" s="98">
        <f ca="1">IF('Invoer gegevens'!$C$17=E42,'Invoer gegevens'!$C$10-'Invoer gegevens'!$C$11,IF(C42=1,AC41,0))</f>
        <v>0</v>
      </c>
      <c r="Y42" s="98">
        <f t="shared" ca="1" si="4"/>
        <v>0</v>
      </c>
      <c r="Z42" s="98">
        <f ca="1">(1-('Invoer gegevens'!$F$20/12))*X42*MIN(BA42,BC42)</f>
        <v>0</v>
      </c>
      <c r="AA42" s="98">
        <f ca="1">IF(BD42&lt;1,IF(Reeksen!AD42&lt;=Reeksen!AE42,X42*Reeksen!C42,0),IF(BC42&gt;=BA42,0,IF(Reeksen!AD42&lt;=Reeksen!AE42,(BA42-BC42)*X42,0)))</f>
        <v>0</v>
      </c>
      <c r="AB42" s="98">
        <f ca="1">IF(BD42&lt;1,IF(Reeksen!AD42&gt;Reeksen!AE42,X42*Reeksen!C42,0),IF(BC42&gt;=BA42,0,IF(Reeksen!AD42&gt;Reeksen!AE42,(BA42-BC42)*X42,0)))</f>
        <v>0</v>
      </c>
      <c r="AC42" s="99">
        <f t="shared" ca="1" si="8"/>
        <v>0</v>
      </c>
      <c r="AD42" s="98">
        <f ca="1">IF('Invoer gegevens'!$C$17=E42,R42,IF(C42=0,0,AE41))</f>
        <v>0</v>
      </c>
      <c r="AE42" s="98">
        <f t="shared" ca="1" si="9"/>
        <v>0</v>
      </c>
      <c r="AF42" s="98">
        <f ca="1">IF('Invoer gegevens'!$C$17=E42,X42,IF(C42=0,0,AG41))</f>
        <v>0</v>
      </c>
      <c r="AG42" s="98">
        <f t="shared" ca="1" si="10"/>
        <v>0</v>
      </c>
      <c r="AH42" s="66"/>
      <c r="AI42" s="71">
        <f ca="1">IF(C42=1,Reeksen!AI42*((F42+K42)/2)*12+Reeksen!AD42*((L42+Q42)/2)*12,0)</f>
        <v>0</v>
      </c>
      <c r="AJ42" s="71">
        <f ca="1">-AI42*'Invoer gegevens'!$F$28</f>
        <v>0</v>
      </c>
      <c r="AK42" s="71">
        <f t="shared" ca="1" si="11"/>
        <v>0</v>
      </c>
      <c r="AL42" s="71">
        <f ca="1">IF(C42=1,Reeksen!AL42*((F42-G42+F42)/2)*12+Reeksen!AM42*((L42-M42+L42)/2)*12,0)</f>
        <v>0</v>
      </c>
      <c r="AM42" s="71">
        <f ca="1">-AL42*'Invoer gegevens'!$F$31</f>
        <v>0</v>
      </c>
      <c r="AN42" s="71">
        <f t="shared" ca="1" si="12"/>
        <v>0</v>
      </c>
      <c r="AO42" s="71">
        <f ca="1">IF(C42=1,(H42+J42+N42+P42)*Reeksen!AN42,0)</f>
        <v>0</v>
      </c>
      <c r="AP42" s="71">
        <f ca="1">-IF(C42=1,(H42+J42+N42+P42)*'Hulp - basis'!$G$550*Reeksen!H42,0)</f>
        <v>0</v>
      </c>
      <c r="AQ42" s="71">
        <f ca="1">-IF(C42=1,(F42+K42+L42+Q42)/2*'Invoer gegevens'!$F$35*Reeksen!J42,0)*2</f>
        <v>0</v>
      </c>
      <c r="AR42" s="71">
        <f ca="1">IF(BD42&lt;1,-IF(C42=1,(G42*'Invoer gegevens'!$F$36)*Reeksen!J42,0),0)</f>
        <v>0</v>
      </c>
      <c r="AS42" s="71">
        <f ca="1">-IF(C42=1,(F42+K42+L42+Q42)/2*'Invoer gegevens'!$F$37*Reeksen!L42,0)</f>
        <v>0</v>
      </c>
      <c r="AT42" s="71">
        <f ca="1">-IF(C42=1,IF(E42='Invoer gegevens'!$C$17,'Invoer gegevens'!$C$11,AD42)*Reeksen!S42*'Invoer gegevens'!$C$18*Reeksen!P42,0)</f>
        <v>0</v>
      </c>
      <c r="AU42" s="71">
        <f ca="1">-IF(C42=1,(F42+K42+L42+Q42)/2*'Invoer gegevens'!$F$38*Reeksen!H42,0)</f>
        <v>0</v>
      </c>
      <c r="AV42" s="71">
        <f t="shared" si="16"/>
        <v>0</v>
      </c>
      <c r="AW42" s="71">
        <f t="shared" ca="1" si="13"/>
        <v>0</v>
      </c>
      <c r="AX42" s="71">
        <f ca="1">IF(E42&lt;'Invoer gegevens'!$C$17+15,0,IF(E42&gt;'Invoer gegevens'!$C$17+215,0,AW42))</f>
        <v>0</v>
      </c>
      <c r="AY42" s="71">
        <f ca="1">AX42/(1+'Invoer gegevens'!$F$18)^($AZ42-('Invoer gegevens'!$C$17-'Invoer gegevens'!$C$16))/(1+'Invoer gegevens'!$C$39)^('Invoer gegevens'!$C$17-'Invoer gegevens'!$C$16)</f>
        <v>0</v>
      </c>
      <c r="AZ42" s="68">
        <f ca="1">IF(E42-'Invoer gegevens'!$C$17-14.5&lt;0,0,E42-'Invoer gegevens'!$C$17-14.5)</f>
        <v>22.5</v>
      </c>
      <c r="BA42" s="109">
        <f ca="1">IFERROR(VLOOKUP(E42-15,Reeksen!$A$5:$D$234,2,FALSE),0)</f>
        <v>0</v>
      </c>
      <c r="BB42" s="109">
        <f ca="1">IFERROR(VLOOKUP(E42-15,Reeksen!$A$5:$D$234,3,FALSE),0)</f>
        <v>0</v>
      </c>
      <c r="BC42" s="109">
        <f ca="1">IFERROR(VLOOKUP(E42-15,Reeksen!$A$5:$D$234,4,FALSE),0)</f>
        <v>0</v>
      </c>
      <c r="BD42" s="67">
        <f ca="1">IF(E42-'Invoer gegevens'!$C$17&lt;15,0,1)</f>
        <v>1</v>
      </c>
    </row>
    <row r="43" spans="1:56" x14ac:dyDescent="0.25">
      <c r="A43" s="59"/>
      <c r="B43" s="70">
        <f t="shared" si="14"/>
        <v>39</v>
      </c>
      <c r="C43" s="67">
        <f ca="1">IF(E43-'Invoer gegevens'!$C$17&lt;0,0,1)</f>
        <v>1</v>
      </c>
      <c r="D43" s="68">
        <f t="shared" si="15"/>
        <v>38.5</v>
      </c>
      <c r="E43" s="108">
        <f ca="1">IF('Invoer gegevens'!$C$16="","",E42+1)</f>
        <v>2057</v>
      </c>
      <c r="F43" s="84">
        <f ca="1">IF('Invoer gegevens'!$C$17=E43,'Invoer gegevens'!$C$10,IF(C43=1,K42,0))</f>
        <v>0</v>
      </c>
      <c r="G43" s="96">
        <f ca="1">IF(BD43&lt;1,F43*Reeksen!C43,IF(C43&gt;=1,F43*BA43,0))</f>
        <v>0</v>
      </c>
      <c r="H43" s="84">
        <f ca="1">(1-('Invoer gegevens'!$F$20/12))*F43*MIN(BA43,BC43)</f>
        <v>0</v>
      </c>
      <c r="I43" s="84">
        <f t="shared" ca="1" si="0"/>
        <v>0</v>
      </c>
      <c r="J43" s="84">
        <f ca="1">('Invoer gegevens'!$F$20/12)*F42*MIN(BA43,BC43)</f>
        <v>0</v>
      </c>
      <c r="K43" s="97">
        <f t="shared" ca="1" si="5"/>
        <v>0</v>
      </c>
      <c r="L43" s="84">
        <f ca="1">IF('Invoer gegevens'!$C$17=E43,0,IF(C43=1,Q42,0))</f>
        <v>0</v>
      </c>
      <c r="M43" s="96">
        <f t="shared" ca="1" si="1"/>
        <v>0</v>
      </c>
      <c r="N43" s="84">
        <f ca="1">(1-('Invoer gegevens'!$F$20/12))*L43*MIN(BA43,BC43)</f>
        <v>0</v>
      </c>
      <c r="O43" s="84">
        <f t="shared" ca="1" si="2"/>
        <v>0</v>
      </c>
      <c r="P43" s="84">
        <f ca="1">('Invoer gegevens'!$F$20/12)*L42*MIN(BA43,BC43)</f>
        <v>0</v>
      </c>
      <c r="Q43" s="84">
        <f t="shared" ca="1" si="6"/>
        <v>0</v>
      </c>
      <c r="R43" s="85">
        <f ca="1">IF('Invoer gegevens'!$C$17=E43,'Invoer gegevens'!$C$11,IF(C43=1,W42,0))</f>
        <v>0</v>
      </c>
      <c r="S43" s="86">
        <f t="shared" ca="1" si="3"/>
        <v>0</v>
      </c>
      <c r="T43" s="86">
        <f ca="1">(1-('Invoer gegevens'!$F$20/12))*R43*MIN(BC43,BA43)</f>
        <v>0</v>
      </c>
      <c r="U43" s="86">
        <f ca="1">IF(BD43&lt;1,IF(Reeksen!AD43&lt;=Reeksen!AE43,R43*Reeksen!C43,0),IF(BC43&gt;=BA43,0,IF(Reeksen!AD43&lt;=Reeksen!AE43,(BA43-BC43)*R43,0)))</f>
        <v>0</v>
      </c>
      <c r="V43" s="86">
        <f ca="1">IF(BD43&lt;1,IF(Reeksen!AD43&gt;Reeksen!AE43,R43*Reeksen!C43,0),IF(BC43&gt;=BA43,0,IF(Reeksen!AD43&gt;Reeksen!AE43,(BA43-BC43)*R43,0)))</f>
        <v>0</v>
      </c>
      <c r="W43" s="218">
        <f t="shared" ca="1" si="7"/>
        <v>0</v>
      </c>
      <c r="X43" s="98">
        <f ca="1">IF('Invoer gegevens'!$C$17=E43,'Invoer gegevens'!$C$10-'Invoer gegevens'!$C$11,IF(C43=1,AC42,0))</f>
        <v>0</v>
      </c>
      <c r="Y43" s="98">
        <f t="shared" ca="1" si="4"/>
        <v>0</v>
      </c>
      <c r="Z43" s="98">
        <f ca="1">(1-('Invoer gegevens'!$F$20/12))*X43*MIN(BA43,BC43)</f>
        <v>0</v>
      </c>
      <c r="AA43" s="98">
        <f ca="1">IF(BD43&lt;1,IF(Reeksen!AD43&lt;=Reeksen!AE43,X43*Reeksen!C43,0),IF(BC43&gt;=BA43,0,IF(Reeksen!AD43&lt;=Reeksen!AE43,(BA43-BC43)*X43,0)))</f>
        <v>0</v>
      </c>
      <c r="AB43" s="98">
        <f ca="1">IF(BD43&lt;1,IF(Reeksen!AD43&gt;Reeksen!AE43,X43*Reeksen!C43,0),IF(BC43&gt;=BA43,0,IF(Reeksen!AD43&gt;Reeksen!AE43,(BA43-BC43)*X43,0)))</f>
        <v>0</v>
      </c>
      <c r="AC43" s="99">
        <f t="shared" ca="1" si="8"/>
        <v>0</v>
      </c>
      <c r="AD43" s="98">
        <f ca="1">IF('Invoer gegevens'!$C$17=E43,R43,IF(C43=0,0,AE42))</f>
        <v>0</v>
      </c>
      <c r="AE43" s="98">
        <f t="shared" ca="1" si="9"/>
        <v>0</v>
      </c>
      <c r="AF43" s="98">
        <f ca="1">IF('Invoer gegevens'!$C$17=E43,X43,IF(C43=0,0,AG42))</f>
        <v>0</v>
      </c>
      <c r="AG43" s="98">
        <f t="shared" ca="1" si="10"/>
        <v>0</v>
      </c>
      <c r="AH43" s="66"/>
      <c r="AI43" s="71">
        <f ca="1">IF(C43=1,Reeksen!AI43*((F43+K43)/2)*12+Reeksen!AD43*((L43+Q43)/2)*12,0)</f>
        <v>0</v>
      </c>
      <c r="AJ43" s="71">
        <f ca="1">-AI43*'Invoer gegevens'!$F$28</f>
        <v>0</v>
      </c>
      <c r="AK43" s="71">
        <f t="shared" ca="1" si="11"/>
        <v>0</v>
      </c>
      <c r="AL43" s="71">
        <f ca="1">IF(C43=1,Reeksen!AL43*((F43-G43+F43)/2)*12+Reeksen!AM43*((L43-M43+L43)/2)*12,0)</f>
        <v>0</v>
      </c>
      <c r="AM43" s="71">
        <f ca="1">-AL43*'Invoer gegevens'!$F$31</f>
        <v>0</v>
      </c>
      <c r="AN43" s="71">
        <f t="shared" ca="1" si="12"/>
        <v>0</v>
      </c>
      <c r="AO43" s="71">
        <f ca="1">IF(C43=1,(H43+J43+N43+P43)*Reeksen!AN43,0)</f>
        <v>0</v>
      </c>
      <c r="AP43" s="71">
        <f ca="1">-IF(C43=1,(H43+J43+N43+P43)*'Hulp - basis'!$G$550*Reeksen!H43,0)</f>
        <v>0</v>
      </c>
      <c r="AQ43" s="71">
        <f ca="1">-IF(C43=1,(F43+K43+L43+Q43)/2*'Invoer gegevens'!$F$35*Reeksen!J43,0)*2</f>
        <v>0</v>
      </c>
      <c r="AR43" s="71">
        <f ca="1">IF(BD43&lt;1,-IF(C43=1,(G43*'Invoer gegevens'!$F$36)*Reeksen!J43,0),0)</f>
        <v>0</v>
      </c>
      <c r="AS43" s="71">
        <f ca="1">-IF(C43=1,(F43+K43+L43+Q43)/2*'Invoer gegevens'!$F$37*Reeksen!L43,0)</f>
        <v>0</v>
      </c>
      <c r="AT43" s="71">
        <f ca="1">-IF(C43=1,IF(E43='Invoer gegevens'!$C$17,'Invoer gegevens'!$C$11,AD43)*Reeksen!S43*'Invoer gegevens'!$C$18*Reeksen!P43,0)</f>
        <v>0</v>
      </c>
      <c r="AU43" s="71">
        <f ca="1">-IF(C43=1,(F43+K43+L43+Q43)/2*'Invoer gegevens'!$F$38*Reeksen!H43,0)</f>
        <v>0</v>
      </c>
      <c r="AV43" s="71">
        <f t="shared" si="16"/>
        <v>0</v>
      </c>
      <c r="AW43" s="71">
        <f t="shared" ca="1" si="13"/>
        <v>0</v>
      </c>
      <c r="AX43" s="71">
        <f ca="1">IF(E43&lt;'Invoer gegevens'!$C$17+15,0,IF(E43&gt;'Invoer gegevens'!$C$17+215,0,AW43))</f>
        <v>0</v>
      </c>
      <c r="AY43" s="71">
        <f ca="1">AX43/(1+'Invoer gegevens'!$F$18)^($AZ43-('Invoer gegevens'!$C$17-'Invoer gegevens'!$C$16))/(1+'Invoer gegevens'!$C$39)^('Invoer gegevens'!$C$17-'Invoer gegevens'!$C$16)</f>
        <v>0</v>
      </c>
      <c r="AZ43" s="68">
        <f ca="1">IF(E43-'Invoer gegevens'!$C$17-14.5&lt;0,0,E43-'Invoer gegevens'!$C$17-14.5)</f>
        <v>23.5</v>
      </c>
      <c r="BA43" s="109">
        <f ca="1">IFERROR(VLOOKUP(E43-15,Reeksen!$A$5:$D$234,2,FALSE),0)</f>
        <v>0</v>
      </c>
      <c r="BB43" s="109">
        <f ca="1">IFERROR(VLOOKUP(E43-15,Reeksen!$A$5:$D$234,3,FALSE),0)</f>
        <v>0</v>
      </c>
      <c r="BC43" s="109">
        <f ca="1">IFERROR(VLOOKUP(E43-15,Reeksen!$A$5:$D$234,4,FALSE),0)</f>
        <v>0</v>
      </c>
      <c r="BD43" s="67">
        <f ca="1">IF(E43-'Invoer gegevens'!$C$17&lt;15,0,1)</f>
        <v>1</v>
      </c>
    </row>
    <row r="44" spans="1:56" x14ac:dyDescent="0.25">
      <c r="A44" s="59"/>
      <c r="B44" s="70">
        <f t="shared" si="14"/>
        <v>40</v>
      </c>
      <c r="C44" s="67">
        <f ca="1">IF(E44-'Invoer gegevens'!$C$17&lt;0,0,1)</f>
        <v>1</v>
      </c>
      <c r="D44" s="68">
        <f t="shared" si="15"/>
        <v>39.5</v>
      </c>
      <c r="E44" s="108">
        <f ca="1">IF('Invoer gegevens'!$C$16="","",E43+1)</f>
        <v>2058</v>
      </c>
      <c r="F44" s="84">
        <f ca="1">IF('Invoer gegevens'!$C$17=E44,'Invoer gegevens'!$C$10,IF(C44=1,K43,0))</f>
        <v>0</v>
      </c>
      <c r="G44" s="96">
        <f ca="1">IF(BD44&lt;1,F44*Reeksen!C44,IF(C44&gt;=1,F44*BA44,0))</f>
        <v>0</v>
      </c>
      <c r="H44" s="84">
        <f ca="1">(1-('Invoer gegevens'!$F$20/12))*F44*MIN(BA44,BC44)</f>
        <v>0</v>
      </c>
      <c r="I44" s="84">
        <f t="shared" ca="1" si="0"/>
        <v>0</v>
      </c>
      <c r="J44" s="84">
        <f ca="1">('Invoer gegevens'!$F$20/12)*F43*MIN(BA44,BC44)</f>
        <v>0</v>
      </c>
      <c r="K44" s="97">
        <f t="shared" ca="1" si="5"/>
        <v>0</v>
      </c>
      <c r="L44" s="84">
        <f ca="1">IF('Invoer gegevens'!$C$17=E44,0,IF(C44=1,Q43,0))</f>
        <v>0</v>
      </c>
      <c r="M44" s="96">
        <f t="shared" ca="1" si="1"/>
        <v>0</v>
      </c>
      <c r="N44" s="84">
        <f ca="1">(1-('Invoer gegevens'!$F$20/12))*L44*MIN(BA44,BC44)</f>
        <v>0</v>
      </c>
      <c r="O44" s="84">
        <f t="shared" ca="1" si="2"/>
        <v>0</v>
      </c>
      <c r="P44" s="84">
        <f ca="1">('Invoer gegevens'!$F$20/12)*L43*MIN(BA44,BC44)</f>
        <v>0</v>
      </c>
      <c r="Q44" s="84">
        <f t="shared" ca="1" si="6"/>
        <v>0</v>
      </c>
      <c r="R44" s="85">
        <f ca="1">IF('Invoer gegevens'!$C$17=E44,'Invoer gegevens'!$C$11,IF(C44=1,W43,0))</f>
        <v>0</v>
      </c>
      <c r="S44" s="86">
        <f t="shared" ca="1" si="3"/>
        <v>0</v>
      </c>
      <c r="T44" s="86">
        <f ca="1">(1-('Invoer gegevens'!$F$20/12))*R44*MIN(BC44,BA44)</f>
        <v>0</v>
      </c>
      <c r="U44" s="86">
        <f ca="1">IF(BD44&lt;1,IF(Reeksen!AD44&lt;=Reeksen!AE44,R44*Reeksen!C44,0),IF(BC44&gt;=BA44,0,IF(Reeksen!AD44&lt;=Reeksen!AE44,(BA44-BC44)*R44,0)))</f>
        <v>0</v>
      </c>
      <c r="V44" s="86">
        <f ca="1">IF(BD44&lt;1,IF(Reeksen!AD44&gt;Reeksen!AE44,R44*Reeksen!C44,0),IF(BC44&gt;=BA44,0,IF(Reeksen!AD44&gt;Reeksen!AE44,(BA44-BC44)*R44,0)))</f>
        <v>0</v>
      </c>
      <c r="W44" s="218">
        <f t="shared" ca="1" si="7"/>
        <v>0</v>
      </c>
      <c r="X44" s="98">
        <f ca="1">IF('Invoer gegevens'!$C$17=E44,'Invoer gegevens'!$C$10-'Invoer gegevens'!$C$11,IF(C44=1,AC43,0))</f>
        <v>0</v>
      </c>
      <c r="Y44" s="98">
        <f t="shared" ca="1" si="4"/>
        <v>0</v>
      </c>
      <c r="Z44" s="98">
        <f ca="1">(1-('Invoer gegevens'!$F$20/12))*X44*MIN(BA44,BC44)</f>
        <v>0</v>
      </c>
      <c r="AA44" s="98">
        <f ca="1">IF(BD44&lt;1,IF(Reeksen!AD44&lt;=Reeksen!AE44,X44*Reeksen!C44,0),IF(BC44&gt;=BA44,0,IF(Reeksen!AD44&lt;=Reeksen!AE44,(BA44-BC44)*X44,0)))</f>
        <v>0</v>
      </c>
      <c r="AB44" s="98">
        <f ca="1">IF(BD44&lt;1,IF(Reeksen!AD44&gt;Reeksen!AE44,X44*Reeksen!C44,0),IF(BC44&gt;=BA44,0,IF(Reeksen!AD44&gt;Reeksen!AE44,(BA44-BC44)*X44,0)))</f>
        <v>0</v>
      </c>
      <c r="AC44" s="99">
        <f t="shared" ca="1" si="8"/>
        <v>0</v>
      </c>
      <c r="AD44" s="98">
        <f ca="1">IF('Invoer gegevens'!$C$17=E44,R44,IF(C44=0,0,AE43))</f>
        <v>0</v>
      </c>
      <c r="AE44" s="98">
        <f t="shared" ca="1" si="9"/>
        <v>0</v>
      </c>
      <c r="AF44" s="98">
        <f ca="1">IF('Invoer gegevens'!$C$17=E44,X44,IF(C44=0,0,AG43))</f>
        <v>0</v>
      </c>
      <c r="AG44" s="98">
        <f t="shared" ca="1" si="10"/>
        <v>0</v>
      </c>
      <c r="AH44" s="66"/>
      <c r="AI44" s="71">
        <f ca="1">IF(C44=1,Reeksen!AI44*((F44+K44)/2)*12+Reeksen!AD44*((L44+Q44)/2)*12,0)</f>
        <v>0</v>
      </c>
      <c r="AJ44" s="71">
        <f ca="1">-AI44*'Invoer gegevens'!$F$28</f>
        <v>0</v>
      </c>
      <c r="AK44" s="71">
        <f t="shared" ca="1" si="11"/>
        <v>0</v>
      </c>
      <c r="AL44" s="71">
        <f ca="1">IF(C44=1,Reeksen!AL44*((F44-G44+F44)/2)*12+Reeksen!AM44*((L44-M44+L44)/2)*12,0)</f>
        <v>0</v>
      </c>
      <c r="AM44" s="71">
        <f ca="1">-AL44*'Invoer gegevens'!$F$31</f>
        <v>0</v>
      </c>
      <c r="AN44" s="71">
        <f t="shared" ca="1" si="12"/>
        <v>0</v>
      </c>
      <c r="AO44" s="71">
        <f ca="1">IF(C44=1,(H44+J44+N44+P44)*Reeksen!AN44,0)</f>
        <v>0</v>
      </c>
      <c r="AP44" s="71">
        <f ca="1">-IF(C44=1,(H44+J44+N44+P44)*'Hulp - basis'!$G$550*Reeksen!H44,0)</f>
        <v>0</v>
      </c>
      <c r="AQ44" s="71">
        <f ca="1">-IF(C44=1,(F44+K44+L44+Q44)/2*'Invoer gegevens'!$F$35*Reeksen!J44,0)*2</f>
        <v>0</v>
      </c>
      <c r="AR44" s="71">
        <f ca="1">IF(BD44&lt;1,-IF(C44=1,(G44*'Invoer gegevens'!$F$36)*Reeksen!J44,0),0)</f>
        <v>0</v>
      </c>
      <c r="AS44" s="71">
        <f ca="1">-IF(C44=1,(F44+K44+L44+Q44)/2*'Invoer gegevens'!$F$37*Reeksen!L44,0)</f>
        <v>0</v>
      </c>
      <c r="AT44" s="71">
        <f ca="1">-IF(C44=1,IF(E44='Invoer gegevens'!$C$17,'Invoer gegevens'!$C$11,AD44)*Reeksen!S44*'Invoer gegevens'!$C$18*Reeksen!P44,0)</f>
        <v>0</v>
      </c>
      <c r="AU44" s="71">
        <f ca="1">-IF(C44=1,(F44+K44+L44+Q44)/2*'Invoer gegevens'!$F$38*Reeksen!H44,0)</f>
        <v>0</v>
      </c>
      <c r="AV44" s="71">
        <f t="shared" si="16"/>
        <v>0</v>
      </c>
      <c r="AW44" s="71">
        <f t="shared" ca="1" si="13"/>
        <v>0</v>
      </c>
      <c r="AX44" s="71">
        <f ca="1">IF(E44&lt;'Invoer gegevens'!$C$17+15,0,IF(E44&gt;'Invoer gegevens'!$C$17+215,0,AW44))</f>
        <v>0</v>
      </c>
      <c r="AY44" s="71">
        <f ca="1">AX44/(1+'Invoer gegevens'!$F$18)^($AZ44-('Invoer gegevens'!$C$17-'Invoer gegevens'!$C$16))/(1+'Invoer gegevens'!$C$39)^('Invoer gegevens'!$C$17-'Invoer gegevens'!$C$16)</f>
        <v>0</v>
      </c>
      <c r="AZ44" s="68">
        <f ca="1">IF(E44-'Invoer gegevens'!$C$17-14.5&lt;0,0,E44-'Invoer gegevens'!$C$17-14.5)</f>
        <v>24.5</v>
      </c>
      <c r="BA44" s="109">
        <f ca="1">IFERROR(VLOOKUP(E44-15,Reeksen!$A$5:$D$234,2,FALSE),0)</f>
        <v>0</v>
      </c>
      <c r="BB44" s="109">
        <f ca="1">IFERROR(VLOOKUP(E44-15,Reeksen!$A$5:$D$234,3,FALSE),0)</f>
        <v>0</v>
      </c>
      <c r="BC44" s="109">
        <f ca="1">IFERROR(VLOOKUP(E44-15,Reeksen!$A$5:$D$234,4,FALSE),0)</f>
        <v>0</v>
      </c>
      <c r="BD44" s="67">
        <f ca="1">IF(E44-'Invoer gegevens'!$C$17&lt;15,0,1)</f>
        <v>1</v>
      </c>
    </row>
    <row r="45" spans="1:56" x14ac:dyDescent="0.25">
      <c r="A45" s="59"/>
      <c r="B45" s="70">
        <f t="shared" si="14"/>
        <v>41</v>
      </c>
      <c r="C45" s="67">
        <f ca="1">IF(E45-'Invoer gegevens'!$C$17&lt;0,0,1)</f>
        <v>1</v>
      </c>
      <c r="D45" s="68">
        <f t="shared" si="15"/>
        <v>40.5</v>
      </c>
      <c r="E45" s="108">
        <f ca="1">IF('Invoer gegevens'!$C$16="","",E44+1)</f>
        <v>2059</v>
      </c>
      <c r="F45" s="84">
        <f ca="1">IF('Invoer gegevens'!$C$17=E45,'Invoer gegevens'!$C$10,IF(C45=1,K44,0))</f>
        <v>0</v>
      </c>
      <c r="G45" s="96">
        <f ca="1">IF(BD45&lt;1,F45*Reeksen!C45,IF(C45&gt;=1,F45*BA45,0))</f>
        <v>0</v>
      </c>
      <c r="H45" s="84">
        <f ca="1">(1-('Invoer gegevens'!$F$20/12))*F45*MIN(BA45,BC45)</f>
        <v>0</v>
      </c>
      <c r="I45" s="84">
        <f t="shared" ca="1" si="0"/>
        <v>0</v>
      </c>
      <c r="J45" s="84">
        <f ca="1">('Invoer gegevens'!$F$20/12)*F44*MIN(BA45,BC45)</f>
        <v>0</v>
      </c>
      <c r="K45" s="97">
        <f t="shared" ca="1" si="5"/>
        <v>0</v>
      </c>
      <c r="L45" s="84">
        <f ca="1">IF('Invoer gegevens'!$C$17=E45,0,IF(C45=1,Q44,0))</f>
        <v>0</v>
      </c>
      <c r="M45" s="96">
        <f t="shared" ca="1" si="1"/>
        <v>0</v>
      </c>
      <c r="N45" s="84">
        <f ca="1">(1-('Invoer gegevens'!$F$20/12))*L45*MIN(BA45,BC45)</f>
        <v>0</v>
      </c>
      <c r="O45" s="84">
        <f t="shared" ca="1" si="2"/>
        <v>0</v>
      </c>
      <c r="P45" s="84">
        <f ca="1">('Invoer gegevens'!$F$20/12)*L44*MIN(BA45,BC45)</f>
        <v>0</v>
      </c>
      <c r="Q45" s="84">
        <f t="shared" ca="1" si="6"/>
        <v>0</v>
      </c>
      <c r="R45" s="85">
        <f ca="1">IF('Invoer gegevens'!$C$17=E45,'Invoer gegevens'!$C$11,IF(C45=1,W44,0))</f>
        <v>0</v>
      </c>
      <c r="S45" s="86">
        <f t="shared" ca="1" si="3"/>
        <v>0</v>
      </c>
      <c r="T45" s="86">
        <f ca="1">(1-('Invoer gegevens'!$F$20/12))*R45*MIN(BC45,BA45)</f>
        <v>0</v>
      </c>
      <c r="U45" s="86">
        <f ca="1">IF(BD45&lt;1,IF(Reeksen!AD45&lt;=Reeksen!AE45,R45*Reeksen!C45,0),IF(BC45&gt;=BA45,0,IF(Reeksen!AD45&lt;=Reeksen!AE45,(BA45-BC45)*R45,0)))</f>
        <v>0</v>
      </c>
      <c r="V45" s="86">
        <f ca="1">IF(BD45&lt;1,IF(Reeksen!AD45&gt;Reeksen!AE45,R45*Reeksen!C45,0),IF(BC45&gt;=BA45,0,IF(Reeksen!AD45&gt;Reeksen!AE45,(BA45-BC45)*R45,0)))</f>
        <v>0</v>
      </c>
      <c r="W45" s="218">
        <f t="shared" ca="1" si="7"/>
        <v>0</v>
      </c>
      <c r="X45" s="98">
        <f ca="1">IF('Invoer gegevens'!$C$17=E45,'Invoer gegevens'!$C$10-'Invoer gegevens'!$C$11,IF(C45=1,AC44,0))</f>
        <v>0</v>
      </c>
      <c r="Y45" s="98">
        <f t="shared" ca="1" si="4"/>
        <v>0</v>
      </c>
      <c r="Z45" s="98">
        <f ca="1">(1-('Invoer gegevens'!$F$20/12))*X45*MIN(BA45,BC45)</f>
        <v>0</v>
      </c>
      <c r="AA45" s="98">
        <f ca="1">IF(BD45&lt;1,IF(Reeksen!AD45&lt;=Reeksen!AE45,X45*Reeksen!C45,0),IF(BC45&gt;=BA45,0,IF(Reeksen!AD45&lt;=Reeksen!AE45,(BA45-BC45)*X45,0)))</f>
        <v>0</v>
      </c>
      <c r="AB45" s="98">
        <f ca="1">IF(BD45&lt;1,IF(Reeksen!AD45&gt;Reeksen!AE45,X45*Reeksen!C45,0),IF(BC45&gt;=BA45,0,IF(Reeksen!AD45&gt;Reeksen!AE45,(BA45-BC45)*X45,0)))</f>
        <v>0</v>
      </c>
      <c r="AC45" s="99">
        <f t="shared" ca="1" si="8"/>
        <v>0</v>
      </c>
      <c r="AD45" s="98">
        <f ca="1">IF('Invoer gegevens'!$C$17=E45,R45,IF(C45=0,0,AE44))</f>
        <v>0</v>
      </c>
      <c r="AE45" s="98">
        <f t="shared" ca="1" si="9"/>
        <v>0</v>
      </c>
      <c r="AF45" s="98">
        <f ca="1">IF('Invoer gegevens'!$C$17=E45,X45,IF(C45=0,0,AG44))</f>
        <v>0</v>
      </c>
      <c r="AG45" s="98">
        <f t="shared" ca="1" si="10"/>
        <v>0</v>
      </c>
      <c r="AH45" s="66"/>
      <c r="AI45" s="71">
        <f ca="1">IF(C45=1,Reeksen!AI45*((F45+K45)/2)*12+Reeksen!AD45*((L45+Q45)/2)*12,0)</f>
        <v>0</v>
      </c>
      <c r="AJ45" s="71">
        <f ca="1">-AI45*'Invoer gegevens'!$F$28</f>
        <v>0</v>
      </c>
      <c r="AK45" s="71">
        <f t="shared" ca="1" si="11"/>
        <v>0</v>
      </c>
      <c r="AL45" s="71">
        <f ca="1">IF(C45=1,Reeksen!AL45*((F45-G45+F45)/2)*12+Reeksen!AM45*((L45-M45+L45)/2)*12,0)</f>
        <v>0</v>
      </c>
      <c r="AM45" s="71">
        <f ca="1">-AL45*'Invoer gegevens'!$F$31</f>
        <v>0</v>
      </c>
      <c r="AN45" s="71">
        <f t="shared" ca="1" si="12"/>
        <v>0</v>
      </c>
      <c r="AO45" s="71">
        <f ca="1">IF(C45=1,(H45+J45+N45+P45)*Reeksen!AN45,0)</f>
        <v>0</v>
      </c>
      <c r="AP45" s="71">
        <f ca="1">-IF(C45=1,(H45+J45+N45+P45)*'Hulp - basis'!$G$550*Reeksen!H45,0)</f>
        <v>0</v>
      </c>
      <c r="AQ45" s="71">
        <f ca="1">-IF(C45=1,(F45+K45+L45+Q45)/2*'Invoer gegevens'!$F$35*Reeksen!J45,0)*2</f>
        <v>0</v>
      </c>
      <c r="AR45" s="71">
        <f ca="1">IF(BD45&lt;1,-IF(C45=1,(G45*'Invoer gegevens'!$F$36)*Reeksen!J45,0),0)</f>
        <v>0</v>
      </c>
      <c r="AS45" s="71">
        <f ca="1">-IF(C45=1,(F45+K45+L45+Q45)/2*'Invoer gegevens'!$F$37*Reeksen!L45,0)</f>
        <v>0</v>
      </c>
      <c r="AT45" s="71">
        <f ca="1">-IF(C45=1,IF(E45='Invoer gegevens'!$C$17,'Invoer gegevens'!$C$11,AD45)*Reeksen!S45*'Invoer gegevens'!$C$18*Reeksen!P45,0)</f>
        <v>0</v>
      </c>
      <c r="AU45" s="71">
        <f ca="1">-IF(C45=1,(F45+K45+L45+Q45)/2*'Invoer gegevens'!$F$38*Reeksen!H45,0)</f>
        <v>0</v>
      </c>
      <c r="AV45" s="71">
        <f t="shared" si="16"/>
        <v>0</v>
      </c>
      <c r="AW45" s="71">
        <f t="shared" ca="1" si="13"/>
        <v>0</v>
      </c>
      <c r="AX45" s="71">
        <f ca="1">IF(E45&lt;'Invoer gegevens'!$C$17+15,0,IF(E45&gt;'Invoer gegevens'!$C$17+215,0,AW45))</f>
        <v>0</v>
      </c>
      <c r="AY45" s="71">
        <f ca="1">AX45/(1+'Invoer gegevens'!$F$18)^($AZ45-('Invoer gegevens'!$C$17-'Invoer gegevens'!$C$16))/(1+'Invoer gegevens'!$C$39)^('Invoer gegevens'!$C$17-'Invoer gegevens'!$C$16)</f>
        <v>0</v>
      </c>
      <c r="AZ45" s="68">
        <f ca="1">IF(E45-'Invoer gegevens'!$C$17-14.5&lt;0,0,E45-'Invoer gegevens'!$C$17-14.5)</f>
        <v>25.5</v>
      </c>
      <c r="BA45" s="109">
        <f ca="1">IFERROR(VLOOKUP(E45-15,Reeksen!$A$5:$D$234,2,FALSE),0)</f>
        <v>0</v>
      </c>
      <c r="BB45" s="109">
        <f ca="1">IFERROR(VLOOKUP(E45-15,Reeksen!$A$5:$D$234,3,FALSE),0)</f>
        <v>0</v>
      </c>
      <c r="BC45" s="109">
        <f ca="1">IFERROR(VLOOKUP(E45-15,Reeksen!$A$5:$D$234,4,FALSE),0)</f>
        <v>0</v>
      </c>
      <c r="BD45" s="67">
        <f ca="1">IF(E45-'Invoer gegevens'!$C$17&lt;15,0,1)</f>
        <v>1</v>
      </c>
    </row>
    <row r="46" spans="1:56" x14ac:dyDescent="0.25">
      <c r="A46" s="59"/>
      <c r="B46" s="70">
        <f t="shared" si="14"/>
        <v>42</v>
      </c>
      <c r="C46" s="67">
        <f ca="1">IF(E46-'Invoer gegevens'!$C$17&lt;0,0,1)</f>
        <v>1</v>
      </c>
      <c r="D46" s="68">
        <f t="shared" si="15"/>
        <v>41.5</v>
      </c>
      <c r="E46" s="108">
        <f ca="1">IF('Invoer gegevens'!$C$16="","",E45+1)</f>
        <v>2060</v>
      </c>
      <c r="F46" s="84">
        <f ca="1">IF('Invoer gegevens'!$C$17=E46,'Invoer gegevens'!$C$10,IF(C46=1,K45,0))</f>
        <v>0</v>
      </c>
      <c r="G46" s="96">
        <f ca="1">IF(BD46&lt;1,F46*Reeksen!C46,IF(C46&gt;=1,F46*BA46,0))</f>
        <v>0</v>
      </c>
      <c r="H46" s="84">
        <f ca="1">(1-('Invoer gegevens'!$F$20/12))*F46*MIN(BA46,BC46)</f>
        <v>0</v>
      </c>
      <c r="I46" s="84">
        <f t="shared" ca="1" si="0"/>
        <v>0</v>
      </c>
      <c r="J46" s="84">
        <f ca="1">('Invoer gegevens'!$F$20/12)*F45*MIN(BA46,BC46)</f>
        <v>0</v>
      </c>
      <c r="K46" s="97">
        <f t="shared" ca="1" si="5"/>
        <v>0</v>
      </c>
      <c r="L46" s="84">
        <f ca="1">IF('Invoer gegevens'!$C$17=E46,0,IF(C46=1,Q45,0))</f>
        <v>0</v>
      </c>
      <c r="M46" s="96">
        <f t="shared" ca="1" si="1"/>
        <v>0</v>
      </c>
      <c r="N46" s="84">
        <f ca="1">(1-('Invoer gegevens'!$F$20/12))*L46*MIN(BA46,BC46)</f>
        <v>0</v>
      </c>
      <c r="O46" s="84">
        <f t="shared" ca="1" si="2"/>
        <v>0</v>
      </c>
      <c r="P46" s="84">
        <f ca="1">('Invoer gegevens'!$F$20/12)*L45*MIN(BA46,BC46)</f>
        <v>0</v>
      </c>
      <c r="Q46" s="84">
        <f t="shared" ca="1" si="6"/>
        <v>0</v>
      </c>
      <c r="R46" s="85">
        <f ca="1">IF('Invoer gegevens'!$C$17=E46,'Invoer gegevens'!$C$11,IF(C46=1,W45,0))</f>
        <v>0</v>
      </c>
      <c r="S46" s="86">
        <f t="shared" ca="1" si="3"/>
        <v>0</v>
      </c>
      <c r="T46" s="86">
        <f ca="1">(1-('Invoer gegevens'!$F$20/12))*R46*MIN(BC46,BA46)</f>
        <v>0</v>
      </c>
      <c r="U46" s="86">
        <f ca="1">IF(BD46&lt;1,IF(Reeksen!AD46&lt;=Reeksen!AE46,R46*Reeksen!C46,0),IF(BC46&gt;=BA46,0,IF(Reeksen!AD46&lt;=Reeksen!AE46,(BA46-BC46)*R46,0)))</f>
        <v>0</v>
      </c>
      <c r="V46" s="86">
        <f ca="1">IF(BD46&lt;1,IF(Reeksen!AD46&gt;Reeksen!AE46,R46*Reeksen!C46,0),IF(BC46&gt;=BA46,0,IF(Reeksen!AD46&gt;Reeksen!AE46,(BA46-BC46)*R46,0)))</f>
        <v>0</v>
      </c>
      <c r="W46" s="218">
        <f t="shared" ca="1" si="7"/>
        <v>0</v>
      </c>
      <c r="X46" s="98">
        <f ca="1">IF('Invoer gegevens'!$C$17=E46,'Invoer gegevens'!$C$10-'Invoer gegevens'!$C$11,IF(C46=1,AC45,0))</f>
        <v>0</v>
      </c>
      <c r="Y46" s="98">
        <f t="shared" ca="1" si="4"/>
        <v>0</v>
      </c>
      <c r="Z46" s="98">
        <f ca="1">(1-('Invoer gegevens'!$F$20/12))*X46*MIN(BA46,BC46)</f>
        <v>0</v>
      </c>
      <c r="AA46" s="98">
        <f ca="1">IF(BD46&lt;1,IF(Reeksen!AD46&lt;=Reeksen!AE46,X46*Reeksen!C46,0),IF(BC46&gt;=BA46,0,IF(Reeksen!AD46&lt;=Reeksen!AE46,(BA46-BC46)*X46,0)))</f>
        <v>0</v>
      </c>
      <c r="AB46" s="98">
        <f ca="1">IF(BD46&lt;1,IF(Reeksen!AD46&gt;Reeksen!AE46,X46*Reeksen!C46,0),IF(BC46&gt;=BA46,0,IF(Reeksen!AD46&gt;Reeksen!AE46,(BA46-BC46)*X46,0)))</f>
        <v>0</v>
      </c>
      <c r="AC46" s="99">
        <f t="shared" ca="1" si="8"/>
        <v>0</v>
      </c>
      <c r="AD46" s="98">
        <f ca="1">IF('Invoer gegevens'!$C$17=E46,R46,IF(C46=0,0,AE45))</f>
        <v>0</v>
      </c>
      <c r="AE46" s="98">
        <f t="shared" ca="1" si="9"/>
        <v>0</v>
      </c>
      <c r="AF46" s="98">
        <f ca="1">IF('Invoer gegevens'!$C$17=E46,X46,IF(C46=0,0,AG45))</f>
        <v>0</v>
      </c>
      <c r="AG46" s="98">
        <f t="shared" ca="1" si="10"/>
        <v>0</v>
      </c>
      <c r="AH46" s="66"/>
      <c r="AI46" s="71">
        <f ca="1">IF(C46=1,Reeksen!AI46*((F46+K46)/2)*12+Reeksen!AD46*((L46+Q46)/2)*12,0)</f>
        <v>0</v>
      </c>
      <c r="AJ46" s="71">
        <f ca="1">-AI46*'Invoer gegevens'!$F$28</f>
        <v>0</v>
      </c>
      <c r="AK46" s="71">
        <f t="shared" ca="1" si="11"/>
        <v>0</v>
      </c>
      <c r="AL46" s="71">
        <f ca="1">IF(C46=1,Reeksen!AL46*((F46-G46+F46)/2)*12+Reeksen!AM46*((L46-M46+L46)/2)*12,0)</f>
        <v>0</v>
      </c>
      <c r="AM46" s="71">
        <f ca="1">-AL46*'Invoer gegevens'!$F$31</f>
        <v>0</v>
      </c>
      <c r="AN46" s="71">
        <f t="shared" ca="1" si="12"/>
        <v>0</v>
      </c>
      <c r="AO46" s="71">
        <f ca="1">IF(C46=1,(H46+J46+N46+P46)*Reeksen!AN46,0)</f>
        <v>0</v>
      </c>
      <c r="AP46" s="71">
        <f ca="1">-IF(C46=1,(H46+J46+N46+P46)*'Hulp - basis'!$G$550*Reeksen!H46,0)</f>
        <v>0</v>
      </c>
      <c r="AQ46" s="71">
        <f ca="1">-IF(C46=1,(F46+K46+L46+Q46)/2*'Invoer gegevens'!$F$35*Reeksen!J46,0)*2</f>
        <v>0</v>
      </c>
      <c r="AR46" s="71">
        <f ca="1">IF(BD46&lt;1,-IF(C46=1,(G46*'Invoer gegevens'!$F$36)*Reeksen!J46,0),0)</f>
        <v>0</v>
      </c>
      <c r="AS46" s="71">
        <f ca="1">-IF(C46=1,(F46+K46+L46+Q46)/2*'Invoer gegevens'!$F$37*Reeksen!L46,0)</f>
        <v>0</v>
      </c>
      <c r="AT46" s="71">
        <f ca="1">-IF(C46=1,IF(E46='Invoer gegevens'!$C$17,'Invoer gegevens'!$C$11,AD46)*Reeksen!S46*'Invoer gegevens'!$C$18*Reeksen!P46,0)</f>
        <v>0</v>
      </c>
      <c r="AU46" s="71">
        <f ca="1">-IF(C46=1,(F46+K46+L46+Q46)/2*'Invoer gegevens'!$F$38*Reeksen!H46,0)</f>
        <v>0</v>
      </c>
      <c r="AV46" s="71">
        <f t="shared" si="16"/>
        <v>0</v>
      </c>
      <c r="AW46" s="71">
        <f t="shared" ca="1" si="13"/>
        <v>0</v>
      </c>
      <c r="AX46" s="71">
        <f ca="1">IF(E46&lt;'Invoer gegevens'!$C$17+15,0,IF(E46&gt;'Invoer gegevens'!$C$17+215,0,AW46))</f>
        <v>0</v>
      </c>
      <c r="AY46" s="71">
        <f ca="1">AX46/(1+'Invoer gegevens'!$F$18)^($AZ46-('Invoer gegevens'!$C$17-'Invoer gegevens'!$C$16))/(1+'Invoer gegevens'!$C$39)^('Invoer gegevens'!$C$17-'Invoer gegevens'!$C$16)</f>
        <v>0</v>
      </c>
      <c r="AZ46" s="68">
        <f ca="1">IF(E46-'Invoer gegevens'!$C$17-14.5&lt;0,0,E46-'Invoer gegevens'!$C$17-14.5)</f>
        <v>26.5</v>
      </c>
      <c r="BA46" s="109">
        <f ca="1">IFERROR(VLOOKUP(E46-15,Reeksen!$A$5:$D$234,2,FALSE),0)</f>
        <v>0</v>
      </c>
      <c r="BB46" s="109">
        <f ca="1">IFERROR(VLOOKUP(E46-15,Reeksen!$A$5:$D$234,3,FALSE),0)</f>
        <v>0</v>
      </c>
      <c r="BC46" s="109">
        <f ca="1">IFERROR(VLOOKUP(E46-15,Reeksen!$A$5:$D$234,4,FALSE),0)</f>
        <v>0</v>
      </c>
      <c r="BD46" s="67">
        <f ca="1">IF(E46-'Invoer gegevens'!$C$17&lt;15,0,1)</f>
        <v>1</v>
      </c>
    </row>
    <row r="47" spans="1:56" x14ac:dyDescent="0.25">
      <c r="A47" s="59"/>
      <c r="B47" s="70">
        <f t="shared" si="14"/>
        <v>43</v>
      </c>
      <c r="C47" s="67">
        <f ca="1">IF(E47-'Invoer gegevens'!$C$17&lt;0,0,1)</f>
        <v>1</v>
      </c>
      <c r="D47" s="68">
        <f t="shared" si="15"/>
        <v>42.5</v>
      </c>
      <c r="E47" s="108">
        <f ca="1">IF('Invoer gegevens'!$C$16="","",E46+1)</f>
        <v>2061</v>
      </c>
      <c r="F47" s="84">
        <f ca="1">IF('Invoer gegevens'!$C$17=E47,'Invoer gegevens'!$C$10,IF(C47=1,K46,0))</f>
        <v>0</v>
      </c>
      <c r="G47" s="96">
        <f ca="1">IF(BD47&lt;1,F47*Reeksen!C47,IF(C47&gt;=1,F47*BA47,0))</f>
        <v>0</v>
      </c>
      <c r="H47" s="84">
        <f ca="1">(1-('Invoer gegevens'!$F$20/12))*F47*MIN(BA47,BC47)</f>
        <v>0</v>
      </c>
      <c r="I47" s="84">
        <f t="shared" ca="1" si="0"/>
        <v>0</v>
      </c>
      <c r="J47" s="84">
        <f ca="1">('Invoer gegevens'!$F$20/12)*F46*MIN(BA47,BC47)</f>
        <v>0</v>
      </c>
      <c r="K47" s="97">
        <f t="shared" ca="1" si="5"/>
        <v>0</v>
      </c>
      <c r="L47" s="84">
        <f ca="1">IF('Invoer gegevens'!$C$17=E47,0,IF(C47=1,Q46,0))</f>
        <v>0</v>
      </c>
      <c r="M47" s="96">
        <f t="shared" ca="1" si="1"/>
        <v>0</v>
      </c>
      <c r="N47" s="84">
        <f ca="1">(1-('Invoer gegevens'!$F$20/12))*L47*MIN(BA47,BC47)</f>
        <v>0</v>
      </c>
      <c r="O47" s="84">
        <f t="shared" ca="1" si="2"/>
        <v>0</v>
      </c>
      <c r="P47" s="84">
        <f ca="1">('Invoer gegevens'!$F$20/12)*L46*MIN(BA47,BC47)</f>
        <v>0</v>
      </c>
      <c r="Q47" s="84">
        <f t="shared" ca="1" si="6"/>
        <v>0</v>
      </c>
      <c r="R47" s="85">
        <f ca="1">IF('Invoer gegevens'!$C$17=E47,'Invoer gegevens'!$C$11,IF(C47=1,W46,0))</f>
        <v>0</v>
      </c>
      <c r="S47" s="86">
        <f t="shared" ca="1" si="3"/>
        <v>0</v>
      </c>
      <c r="T47" s="86">
        <f ca="1">(1-('Invoer gegevens'!$F$20/12))*R47*MIN(BC47,BA47)</f>
        <v>0</v>
      </c>
      <c r="U47" s="86">
        <f ca="1">IF(BD47&lt;1,IF(Reeksen!AD47&lt;=Reeksen!AE47,R47*Reeksen!C47,0),IF(BC47&gt;=BA47,0,IF(Reeksen!AD47&lt;=Reeksen!AE47,(BA47-BC47)*R47,0)))</f>
        <v>0</v>
      </c>
      <c r="V47" s="86">
        <f ca="1">IF(BD47&lt;1,IF(Reeksen!AD47&gt;Reeksen!AE47,R47*Reeksen!C47,0),IF(BC47&gt;=BA47,0,IF(Reeksen!AD47&gt;Reeksen!AE47,(BA47-BC47)*R47,0)))</f>
        <v>0</v>
      </c>
      <c r="W47" s="218">
        <f t="shared" ca="1" si="7"/>
        <v>0</v>
      </c>
      <c r="X47" s="98">
        <f ca="1">IF('Invoer gegevens'!$C$17=E47,'Invoer gegevens'!$C$10-'Invoer gegevens'!$C$11,IF(C47=1,AC46,0))</f>
        <v>0</v>
      </c>
      <c r="Y47" s="98">
        <f t="shared" ca="1" si="4"/>
        <v>0</v>
      </c>
      <c r="Z47" s="98">
        <f ca="1">(1-('Invoer gegevens'!$F$20/12))*X47*MIN(BA47,BC47)</f>
        <v>0</v>
      </c>
      <c r="AA47" s="98">
        <f ca="1">IF(BD47&lt;1,IF(Reeksen!AD47&lt;=Reeksen!AE47,X47*Reeksen!C47,0),IF(BC47&gt;=BA47,0,IF(Reeksen!AD47&lt;=Reeksen!AE47,(BA47-BC47)*X47,0)))</f>
        <v>0</v>
      </c>
      <c r="AB47" s="98">
        <f ca="1">IF(BD47&lt;1,IF(Reeksen!AD47&gt;Reeksen!AE47,X47*Reeksen!C47,0),IF(BC47&gt;=BA47,0,IF(Reeksen!AD47&gt;Reeksen!AE47,(BA47-BC47)*X47,0)))</f>
        <v>0</v>
      </c>
      <c r="AC47" s="99">
        <f t="shared" ca="1" si="8"/>
        <v>0</v>
      </c>
      <c r="AD47" s="98">
        <f ca="1">IF('Invoer gegevens'!$C$17=E47,R47,IF(C47=0,0,AE46))</f>
        <v>0</v>
      </c>
      <c r="AE47" s="98">
        <f t="shared" ca="1" si="9"/>
        <v>0</v>
      </c>
      <c r="AF47" s="98">
        <f ca="1">IF('Invoer gegevens'!$C$17=E47,X47,IF(C47=0,0,AG46))</f>
        <v>0</v>
      </c>
      <c r="AG47" s="98">
        <f t="shared" ca="1" si="10"/>
        <v>0</v>
      </c>
      <c r="AH47" s="66"/>
      <c r="AI47" s="71">
        <f ca="1">IF(C47=1,Reeksen!AI47*((F47+K47)/2)*12+Reeksen!AD47*((L47+Q47)/2)*12,0)</f>
        <v>0</v>
      </c>
      <c r="AJ47" s="71">
        <f ca="1">-AI47*'Invoer gegevens'!$F$28</f>
        <v>0</v>
      </c>
      <c r="AK47" s="71">
        <f t="shared" ca="1" si="11"/>
        <v>0</v>
      </c>
      <c r="AL47" s="71">
        <f ca="1">IF(C47=1,Reeksen!AL47*((F47-G47+F47)/2)*12+Reeksen!AM47*((L47-M47+L47)/2)*12,0)</f>
        <v>0</v>
      </c>
      <c r="AM47" s="71">
        <f ca="1">-AL47*'Invoer gegevens'!$F$31</f>
        <v>0</v>
      </c>
      <c r="AN47" s="71">
        <f t="shared" ca="1" si="12"/>
        <v>0</v>
      </c>
      <c r="AO47" s="71">
        <f ca="1">IF(C47=1,(H47+J47+N47+P47)*Reeksen!AN47,0)</f>
        <v>0</v>
      </c>
      <c r="AP47" s="71">
        <f ca="1">-IF(C47=1,(H47+J47+N47+P47)*'Hulp - basis'!$G$550*Reeksen!H47,0)</f>
        <v>0</v>
      </c>
      <c r="AQ47" s="71">
        <f ca="1">-IF(C47=1,(F47+K47+L47+Q47)/2*'Invoer gegevens'!$F$35*Reeksen!J47,0)*2</f>
        <v>0</v>
      </c>
      <c r="AR47" s="71">
        <f ca="1">IF(BD47&lt;1,-IF(C47=1,(G47*'Invoer gegevens'!$F$36)*Reeksen!J47,0),0)</f>
        <v>0</v>
      </c>
      <c r="AS47" s="71">
        <f ca="1">-IF(C47=1,(F47+K47+L47+Q47)/2*'Invoer gegevens'!$F$37*Reeksen!L47,0)</f>
        <v>0</v>
      </c>
      <c r="AT47" s="71">
        <f ca="1">-IF(C47=1,IF(E47='Invoer gegevens'!$C$17,'Invoer gegevens'!$C$11,AD47)*Reeksen!S47*'Invoer gegevens'!$C$18*Reeksen!P47,0)</f>
        <v>0</v>
      </c>
      <c r="AU47" s="71">
        <f ca="1">-IF(C47=1,(F47+K47+L47+Q47)/2*'Invoer gegevens'!$F$38*Reeksen!H47,0)</f>
        <v>0</v>
      </c>
      <c r="AV47" s="71">
        <f t="shared" si="16"/>
        <v>0</v>
      </c>
      <c r="AW47" s="71">
        <f t="shared" ca="1" si="13"/>
        <v>0</v>
      </c>
      <c r="AX47" s="71">
        <f ca="1">IF(E47&lt;'Invoer gegevens'!$C$17+15,0,IF(E47&gt;'Invoer gegevens'!$C$17+215,0,AW47))</f>
        <v>0</v>
      </c>
      <c r="AY47" s="71">
        <f ca="1">AX47/(1+'Invoer gegevens'!$F$18)^($AZ47-('Invoer gegevens'!$C$17-'Invoer gegevens'!$C$16))/(1+'Invoer gegevens'!$C$39)^('Invoer gegevens'!$C$17-'Invoer gegevens'!$C$16)</f>
        <v>0</v>
      </c>
      <c r="AZ47" s="68">
        <f ca="1">IF(E47-'Invoer gegevens'!$C$17-14.5&lt;0,0,E47-'Invoer gegevens'!$C$17-14.5)</f>
        <v>27.5</v>
      </c>
      <c r="BA47" s="109">
        <f ca="1">IFERROR(VLOOKUP(E47-15,Reeksen!$A$5:$D$234,2,FALSE),0)</f>
        <v>0</v>
      </c>
      <c r="BB47" s="109">
        <f ca="1">IFERROR(VLOOKUP(E47-15,Reeksen!$A$5:$D$234,3,FALSE),0)</f>
        <v>0</v>
      </c>
      <c r="BC47" s="109">
        <f ca="1">IFERROR(VLOOKUP(E47-15,Reeksen!$A$5:$D$234,4,FALSE),0)</f>
        <v>0</v>
      </c>
      <c r="BD47" s="67">
        <f ca="1">IF(E47-'Invoer gegevens'!$C$17&lt;15,0,1)</f>
        <v>1</v>
      </c>
    </row>
    <row r="48" spans="1:56" x14ac:dyDescent="0.25">
      <c r="A48" s="59"/>
      <c r="B48" s="70">
        <f t="shared" si="14"/>
        <v>44</v>
      </c>
      <c r="C48" s="67">
        <f ca="1">IF(E48-'Invoer gegevens'!$C$17&lt;0,0,1)</f>
        <v>1</v>
      </c>
      <c r="D48" s="68">
        <f t="shared" si="15"/>
        <v>43.5</v>
      </c>
      <c r="E48" s="108">
        <f ca="1">IF('Invoer gegevens'!$C$16="","",E47+1)</f>
        <v>2062</v>
      </c>
      <c r="F48" s="84">
        <f ca="1">IF('Invoer gegevens'!$C$17=E48,'Invoer gegevens'!$C$10,IF(C48=1,K47,0))</f>
        <v>0</v>
      </c>
      <c r="G48" s="96">
        <f ca="1">IF(BD48&lt;1,F48*Reeksen!C48,IF(C48&gt;=1,F48*BA48,0))</f>
        <v>0</v>
      </c>
      <c r="H48" s="84">
        <f ca="1">(1-('Invoer gegevens'!$F$20/12))*F48*MIN(BA48,BC48)</f>
        <v>0</v>
      </c>
      <c r="I48" s="84">
        <f t="shared" ca="1" si="0"/>
        <v>0</v>
      </c>
      <c r="J48" s="84">
        <f ca="1">('Invoer gegevens'!$F$20/12)*F47*MIN(BA48,BC48)</f>
        <v>0</v>
      </c>
      <c r="K48" s="97">
        <f t="shared" ca="1" si="5"/>
        <v>0</v>
      </c>
      <c r="L48" s="84">
        <f ca="1">IF('Invoer gegevens'!$C$17=E48,0,IF(C48=1,Q47,0))</f>
        <v>0</v>
      </c>
      <c r="M48" s="96">
        <f t="shared" ca="1" si="1"/>
        <v>0</v>
      </c>
      <c r="N48" s="84">
        <f ca="1">(1-('Invoer gegevens'!$F$20/12))*L48*MIN(BA48,BC48)</f>
        <v>0</v>
      </c>
      <c r="O48" s="84">
        <f t="shared" ca="1" si="2"/>
        <v>0</v>
      </c>
      <c r="P48" s="84">
        <f ca="1">('Invoer gegevens'!$F$20/12)*L47*MIN(BA48,BC48)</f>
        <v>0</v>
      </c>
      <c r="Q48" s="84">
        <f t="shared" ca="1" si="6"/>
        <v>0</v>
      </c>
      <c r="R48" s="85">
        <f ca="1">IF('Invoer gegevens'!$C$17=E48,'Invoer gegevens'!$C$11,IF(C48=1,W47,0))</f>
        <v>0</v>
      </c>
      <c r="S48" s="86">
        <f t="shared" ca="1" si="3"/>
        <v>0</v>
      </c>
      <c r="T48" s="86">
        <f ca="1">(1-('Invoer gegevens'!$F$20/12))*R48*MIN(BC48,BA48)</f>
        <v>0</v>
      </c>
      <c r="U48" s="86">
        <f ca="1">IF(BD48&lt;1,IF(Reeksen!AD48&lt;=Reeksen!AE48,R48*Reeksen!C48,0),IF(BC48&gt;=BA48,0,IF(Reeksen!AD48&lt;=Reeksen!AE48,(BA48-BC48)*R48,0)))</f>
        <v>0</v>
      </c>
      <c r="V48" s="86">
        <f ca="1">IF(BD48&lt;1,IF(Reeksen!AD48&gt;Reeksen!AE48,R48*Reeksen!C48,0),IF(BC48&gt;=BA48,0,IF(Reeksen!AD48&gt;Reeksen!AE48,(BA48-BC48)*R48,0)))</f>
        <v>0</v>
      </c>
      <c r="W48" s="218">
        <f t="shared" ca="1" si="7"/>
        <v>0</v>
      </c>
      <c r="X48" s="98">
        <f ca="1">IF('Invoer gegevens'!$C$17=E48,'Invoer gegevens'!$C$10-'Invoer gegevens'!$C$11,IF(C48=1,AC47,0))</f>
        <v>0</v>
      </c>
      <c r="Y48" s="98">
        <f t="shared" ca="1" si="4"/>
        <v>0</v>
      </c>
      <c r="Z48" s="98">
        <f ca="1">(1-('Invoer gegevens'!$F$20/12))*X48*MIN(BA48,BC48)</f>
        <v>0</v>
      </c>
      <c r="AA48" s="98">
        <f ca="1">IF(BD48&lt;1,IF(Reeksen!AD48&lt;=Reeksen!AE48,X48*Reeksen!C48,0),IF(BC48&gt;=BA48,0,IF(Reeksen!AD48&lt;=Reeksen!AE48,(BA48-BC48)*X48,0)))</f>
        <v>0</v>
      </c>
      <c r="AB48" s="98">
        <f ca="1">IF(BD48&lt;1,IF(Reeksen!AD48&gt;Reeksen!AE48,X48*Reeksen!C48,0),IF(BC48&gt;=BA48,0,IF(Reeksen!AD48&gt;Reeksen!AE48,(BA48-BC48)*X48,0)))</f>
        <v>0</v>
      </c>
      <c r="AC48" s="99">
        <f t="shared" ca="1" si="8"/>
        <v>0</v>
      </c>
      <c r="AD48" s="98">
        <f ca="1">IF('Invoer gegevens'!$C$17=E48,R48,IF(C48=0,0,AE47))</f>
        <v>0</v>
      </c>
      <c r="AE48" s="98">
        <f t="shared" ca="1" si="9"/>
        <v>0</v>
      </c>
      <c r="AF48" s="98">
        <f ca="1">IF('Invoer gegevens'!$C$17=E48,X48,IF(C48=0,0,AG47))</f>
        <v>0</v>
      </c>
      <c r="AG48" s="98">
        <f t="shared" ca="1" si="10"/>
        <v>0</v>
      </c>
      <c r="AH48" s="66"/>
      <c r="AI48" s="71">
        <f ca="1">IF(C48=1,Reeksen!AI48*((F48+K48)/2)*12+Reeksen!AD48*((L48+Q48)/2)*12,0)</f>
        <v>0</v>
      </c>
      <c r="AJ48" s="71">
        <f ca="1">-AI48*'Invoer gegevens'!$F$28</f>
        <v>0</v>
      </c>
      <c r="AK48" s="71">
        <f t="shared" ca="1" si="11"/>
        <v>0</v>
      </c>
      <c r="AL48" s="71">
        <f ca="1">IF(C48=1,Reeksen!AL48*((F48-G48+F48)/2)*12+Reeksen!AM48*((L48-M48+L48)/2)*12,0)</f>
        <v>0</v>
      </c>
      <c r="AM48" s="71">
        <f ca="1">-AL48*'Invoer gegevens'!$F$31</f>
        <v>0</v>
      </c>
      <c r="AN48" s="71">
        <f t="shared" ca="1" si="12"/>
        <v>0</v>
      </c>
      <c r="AO48" s="71">
        <f ca="1">IF(C48=1,(H48+J48+N48+P48)*Reeksen!AN48,0)</f>
        <v>0</v>
      </c>
      <c r="AP48" s="71">
        <f ca="1">-IF(C48=1,(H48+J48+N48+P48)*'Hulp - basis'!$G$550*Reeksen!H48,0)</f>
        <v>0</v>
      </c>
      <c r="AQ48" s="71">
        <f ca="1">-IF(C48=1,(F48+K48+L48+Q48)/2*'Invoer gegevens'!$F$35*Reeksen!J48,0)*2</f>
        <v>0</v>
      </c>
      <c r="AR48" s="71">
        <f ca="1">IF(BD48&lt;1,-IF(C48=1,(G48*'Invoer gegevens'!$F$36)*Reeksen!J48,0),0)</f>
        <v>0</v>
      </c>
      <c r="AS48" s="71">
        <f ca="1">-IF(C48=1,(F48+K48+L48+Q48)/2*'Invoer gegevens'!$F$37*Reeksen!L48,0)</f>
        <v>0</v>
      </c>
      <c r="AT48" s="71">
        <f ca="1">-IF(C48=1,IF(E48='Invoer gegevens'!$C$17,'Invoer gegevens'!$C$11,AD48)*Reeksen!S48*'Invoer gegevens'!$C$18*Reeksen!P48,0)</f>
        <v>0</v>
      </c>
      <c r="AU48" s="71">
        <f ca="1">-IF(C48=1,(F48+K48+L48+Q48)/2*'Invoer gegevens'!$F$38*Reeksen!H48,0)</f>
        <v>0</v>
      </c>
      <c r="AV48" s="71">
        <f t="shared" si="16"/>
        <v>0</v>
      </c>
      <c r="AW48" s="71">
        <f t="shared" ca="1" si="13"/>
        <v>0</v>
      </c>
      <c r="AX48" s="71">
        <f ca="1">IF(E48&lt;'Invoer gegevens'!$C$17+15,0,IF(E48&gt;'Invoer gegevens'!$C$17+215,0,AW48))</f>
        <v>0</v>
      </c>
      <c r="AY48" s="71">
        <f ca="1">AX48/(1+'Invoer gegevens'!$F$18)^($AZ48-('Invoer gegevens'!$C$17-'Invoer gegevens'!$C$16))/(1+'Invoer gegevens'!$C$39)^('Invoer gegevens'!$C$17-'Invoer gegevens'!$C$16)</f>
        <v>0</v>
      </c>
      <c r="AZ48" s="68">
        <f ca="1">IF(E48-'Invoer gegevens'!$C$17-14.5&lt;0,0,E48-'Invoer gegevens'!$C$17-14.5)</f>
        <v>28.5</v>
      </c>
      <c r="BA48" s="109">
        <f ca="1">IFERROR(VLOOKUP(E48-15,Reeksen!$A$5:$D$234,2,FALSE),0)</f>
        <v>0</v>
      </c>
      <c r="BB48" s="109">
        <f ca="1">IFERROR(VLOOKUP(E48-15,Reeksen!$A$5:$D$234,3,FALSE),0)</f>
        <v>0</v>
      </c>
      <c r="BC48" s="109">
        <f ca="1">IFERROR(VLOOKUP(E48-15,Reeksen!$A$5:$D$234,4,FALSE),0)</f>
        <v>0</v>
      </c>
      <c r="BD48" s="67">
        <f ca="1">IF(E48-'Invoer gegevens'!$C$17&lt;15,0,1)</f>
        <v>1</v>
      </c>
    </row>
    <row r="49" spans="1:56" x14ac:dyDescent="0.25">
      <c r="A49" s="59"/>
      <c r="B49" s="70">
        <f t="shared" si="14"/>
        <v>45</v>
      </c>
      <c r="C49" s="67">
        <f ca="1">IF(E49-'Invoer gegevens'!$C$17&lt;0,0,1)</f>
        <v>1</v>
      </c>
      <c r="D49" s="68">
        <f t="shared" si="15"/>
        <v>44.5</v>
      </c>
      <c r="E49" s="108">
        <f ca="1">IF('Invoer gegevens'!$C$16="","",E48+1)</f>
        <v>2063</v>
      </c>
      <c r="F49" s="84">
        <f ca="1">IF('Invoer gegevens'!$C$17=E49,'Invoer gegevens'!$C$10,IF(C49=1,K48,0))</f>
        <v>0</v>
      </c>
      <c r="G49" s="96">
        <f ca="1">IF(BD49&lt;1,F49*Reeksen!C49,IF(C49&gt;=1,F49*BA49,0))</f>
        <v>0</v>
      </c>
      <c r="H49" s="84">
        <f ca="1">(1-('Invoer gegevens'!$F$20/12))*F49*MIN(BA49,BC49)</f>
        <v>0</v>
      </c>
      <c r="I49" s="84">
        <f t="shared" ca="1" si="0"/>
        <v>0</v>
      </c>
      <c r="J49" s="84">
        <f ca="1">('Invoer gegevens'!$F$20/12)*F48*MIN(BA49,BC49)</f>
        <v>0</v>
      </c>
      <c r="K49" s="97">
        <f t="shared" ca="1" si="5"/>
        <v>0</v>
      </c>
      <c r="L49" s="84">
        <f ca="1">IF('Invoer gegevens'!$C$17=E49,0,IF(C49=1,Q48,0))</f>
        <v>0</v>
      </c>
      <c r="M49" s="96">
        <f t="shared" ca="1" si="1"/>
        <v>0</v>
      </c>
      <c r="N49" s="84">
        <f ca="1">(1-('Invoer gegevens'!$F$20/12))*L49*MIN(BA49,BC49)</f>
        <v>0</v>
      </c>
      <c r="O49" s="84">
        <f t="shared" ca="1" si="2"/>
        <v>0</v>
      </c>
      <c r="P49" s="84">
        <f ca="1">('Invoer gegevens'!$F$20/12)*L48*MIN(BA49,BC49)</f>
        <v>0</v>
      </c>
      <c r="Q49" s="84">
        <f t="shared" ca="1" si="6"/>
        <v>0</v>
      </c>
      <c r="R49" s="85">
        <f ca="1">IF('Invoer gegevens'!$C$17=E49,'Invoer gegevens'!$C$11,IF(C49=1,W48,0))</f>
        <v>0</v>
      </c>
      <c r="S49" s="86">
        <f t="shared" ca="1" si="3"/>
        <v>0</v>
      </c>
      <c r="T49" s="86">
        <f ca="1">(1-('Invoer gegevens'!$F$20/12))*R49*MIN(BC49,BA49)</f>
        <v>0</v>
      </c>
      <c r="U49" s="86">
        <f ca="1">IF(BD49&lt;1,IF(Reeksen!AD49&lt;=Reeksen!AE49,R49*Reeksen!C49,0),IF(BC49&gt;=BA49,0,IF(Reeksen!AD49&lt;=Reeksen!AE49,(BA49-BC49)*R49,0)))</f>
        <v>0</v>
      </c>
      <c r="V49" s="86">
        <f ca="1">IF(BD49&lt;1,IF(Reeksen!AD49&gt;Reeksen!AE49,R49*Reeksen!C49,0),IF(BC49&gt;=BA49,0,IF(Reeksen!AD49&gt;Reeksen!AE49,(BA49-BC49)*R49,0)))</f>
        <v>0</v>
      </c>
      <c r="W49" s="218">
        <f t="shared" ca="1" si="7"/>
        <v>0</v>
      </c>
      <c r="X49" s="98">
        <f ca="1">IF('Invoer gegevens'!$C$17=E49,'Invoer gegevens'!$C$10-'Invoer gegevens'!$C$11,IF(C49=1,AC48,0))</f>
        <v>0</v>
      </c>
      <c r="Y49" s="98">
        <f t="shared" ca="1" si="4"/>
        <v>0</v>
      </c>
      <c r="Z49" s="98">
        <f ca="1">(1-('Invoer gegevens'!$F$20/12))*X49*MIN(BA49,BC49)</f>
        <v>0</v>
      </c>
      <c r="AA49" s="98">
        <f ca="1">IF(BD49&lt;1,IF(Reeksen!AD49&lt;=Reeksen!AE49,X49*Reeksen!C49,0),IF(BC49&gt;=BA49,0,IF(Reeksen!AD49&lt;=Reeksen!AE49,(BA49-BC49)*X49,0)))</f>
        <v>0</v>
      </c>
      <c r="AB49" s="98">
        <f ca="1">IF(BD49&lt;1,IF(Reeksen!AD49&gt;Reeksen!AE49,X49*Reeksen!C49,0),IF(BC49&gt;=BA49,0,IF(Reeksen!AD49&gt;Reeksen!AE49,(BA49-BC49)*X49,0)))</f>
        <v>0</v>
      </c>
      <c r="AC49" s="99">
        <f t="shared" ca="1" si="8"/>
        <v>0</v>
      </c>
      <c r="AD49" s="98">
        <f ca="1">IF('Invoer gegevens'!$C$17=E49,R49,IF(C49=0,0,AE48))</f>
        <v>0</v>
      </c>
      <c r="AE49" s="98">
        <f t="shared" ca="1" si="9"/>
        <v>0</v>
      </c>
      <c r="AF49" s="98">
        <f ca="1">IF('Invoer gegevens'!$C$17=E49,X49,IF(C49=0,0,AG48))</f>
        <v>0</v>
      </c>
      <c r="AG49" s="98">
        <f t="shared" ca="1" si="10"/>
        <v>0</v>
      </c>
      <c r="AH49" s="66"/>
      <c r="AI49" s="71">
        <f ca="1">IF(C49=1,Reeksen!AI49*((F49+K49)/2)*12+Reeksen!AD49*((L49+Q49)/2)*12,0)</f>
        <v>0</v>
      </c>
      <c r="AJ49" s="71">
        <f ca="1">-AI49*'Invoer gegevens'!$F$28</f>
        <v>0</v>
      </c>
      <c r="AK49" s="71">
        <f t="shared" ca="1" si="11"/>
        <v>0</v>
      </c>
      <c r="AL49" s="71">
        <f ca="1">IF(C49=1,Reeksen!AL49*((F49-G49+F49)/2)*12+Reeksen!AM49*((L49-M49+L49)/2)*12,0)</f>
        <v>0</v>
      </c>
      <c r="AM49" s="71">
        <f ca="1">-AL49*'Invoer gegevens'!$F$31</f>
        <v>0</v>
      </c>
      <c r="AN49" s="71">
        <f t="shared" ca="1" si="12"/>
        <v>0</v>
      </c>
      <c r="AO49" s="71">
        <f ca="1">IF(C49=1,(H49+J49+N49+P49)*Reeksen!AN49,0)</f>
        <v>0</v>
      </c>
      <c r="AP49" s="71">
        <f ca="1">-IF(C49=1,(H49+J49+N49+P49)*'Hulp - basis'!$G$550*Reeksen!H49,0)</f>
        <v>0</v>
      </c>
      <c r="AQ49" s="71">
        <f ca="1">-IF(C49=1,(F49+K49+L49+Q49)/2*'Invoer gegevens'!$F$35*Reeksen!J49,0)*2</f>
        <v>0</v>
      </c>
      <c r="AR49" s="71">
        <f ca="1">IF(BD49&lt;1,-IF(C49=1,(G49*'Invoer gegevens'!$F$36)*Reeksen!J49,0),0)</f>
        <v>0</v>
      </c>
      <c r="AS49" s="71">
        <f ca="1">-IF(C49=1,(F49+K49+L49+Q49)/2*'Invoer gegevens'!$F$37*Reeksen!L49,0)</f>
        <v>0</v>
      </c>
      <c r="AT49" s="71">
        <f ca="1">-IF(C49=1,IF(E49='Invoer gegevens'!$C$17,'Invoer gegevens'!$C$11,AD49)*Reeksen!S49*'Invoer gegevens'!$C$18*Reeksen!P49,0)</f>
        <v>0</v>
      </c>
      <c r="AU49" s="71">
        <f ca="1">-IF(C49=1,(F49+K49+L49+Q49)/2*'Invoer gegevens'!$F$38*Reeksen!H49,0)</f>
        <v>0</v>
      </c>
      <c r="AV49" s="71">
        <f t="shared" si="16"/>
        <v>0</v>
      </c>
      <c r="AW49" s="71">
        <f t="shared" ca="1" si="13"/>
        <v>0</v>
      </c>
      <c r="AX49" s="71">
        <f ca="1">IF(E49&lt;'Invoer gegevens'!$C$17+15,0,IF(E49&gt;'Invoer gegevens'!$C$17+215,0,AW49))</f>
        <v>0</v>
      </c>
      <c r="AY49" s="71">
        <f ca="1">AX49/(1+'Invoer gegevens'!$F$18)^($AZ49-('Invoer gegevens'!$C$17-'Invoer gegevens'!$C$16))/(1+'Invoer gegevens'!$C$39)^('Invoer gegevens'!$C$17-'Invoer gegevens'!$C$16)</f>
        <v>0</v>
      </c>
      <c r="AZ49" s="68">
        <f ca="1">IF(E49-'Invoer gegevens'!$C$17-14.5&lt;0,0,E49-'Invoer gegevens'!$C$17-14.5)</f>
        <v>29.5</v>
      </c>
      <c r="BA49" s="109">
        <f ca="1">IFERROR(VLOOKUP(E49-15,Reeksen!$A$5:$D$234,2,FALSE),0)</f>
        <v>0</v>
      </c>
      <c r="BB49" s="109">
        <f ca="1">IFERROR(VLOOKUP(E49-15,Reeksen!$A$5:$D$234,3,FALSE),0)</f>
        <v>0</v>
      </c>
      <c r="BC49" s="109">
        <f ca="1">IFERROR(VLOOKUP(E49-15,Reeksen!$A$5:$D$234,4,FALSE),0)</f>
        <v>0</v>
      </c>
      <c r="BD49" s="67">
        <f ca="1">IF(E49-'Invoer gegevens'!$C$17&lt;15,0,1)</f>
        <v>1</v>
      </c>
    </row>
    <row r="50" spans="1:56" x14ac:dyDescent="0.25">
      <c r="A50" s="59"/>
      <c r="B50" s="70">
        <f t="shared" si="14"/>
        <v>46</v>
      </c>
      <c r="C50" s="67">
        <f ca="1">IF(E50-'Invoer gegevens'!$C$17&lt;0,0,1)</f>
        <v>1</v>
      </c>
      <c r="D50" s="68">
        <f t="shared" si="15"/>
        <v>45.5</v>
      </c>
      <c r="E50" s="108">
        <f ca="1">IF('Invoer gegevens'!$C$16="","",E49+1)</f>
        <v>2064</v>
      </c>
      <c r="F50" s="84">
        <f ca="1">IF('Invoer gegevens'!$C$17=E50,'Invoer gegevens'!$C$10,IF(C50=1,K49,0))</f>
        <v>0</v>
      </c>
      <c r="G50" s="96">
        <f ca="1">IF(BD50&lt;1,F50*Reeksen!C50,IF(C50&gt;=1,F50*BA50,0))</f>
        <v>0</v>
      </c>
      <c r="H50" s="84">
        <f ca="1">(1-('Invoer gegevens'!$F$20/12))*F50*MIN(BA50,BC50)</f>
        <v>0</v>
      </c>
      <c r="I50" s="84">
        <f t="shared" ca="1" si="0"/>
        <v>0</v>
      </c>
      <c r="J50" s="84">
        <f ca="1">('Invoer gegevens'!$F$20/12)*F49*MIN(BA50,BC50)</f>
        <v>0</v>
      </c>
      <c r="K50" s="97">
        <f t="shared" ca="1" si="5"/>
        <v>0</v>
      </c>
      <c r="L50" s="84">
        <f ca="1">IF('Invoer gegevens'!$C$17=E50,0,IF(C50=1,Q49,0))</f>
        <v>0</v>
      </c>
      <c r="M50" s="96">
        <f t="shared" ca="1" si="1"/>
        <v>0</v>
      </c>
      <c r="N50" s="84">
        <f ca="1">(1-('Invoer gegevens'!$F$20/12))*L50*MIN(BA50,BC50)</f>
        <v>0</v>
      </c>
      <c r="O50" s="84">
        <f t="shared" ca="1" si="2"/>
        <v>0</v>
      </c>
      <c r="P50" s="84">
        <f ca="1">('Invoer gegevens'!$F$20/12)*L49*MIN(BA50,BC50)</f>
        <v>0</v>
      </c>
      <c r="Q50" s="84">
        <f t="shared" ca="1" si="6"/>
        <v>0</v>
      </c>
      <c r="R50" s="85">
        <f ca="1">IF('Invoer gegevens'!$C$17=E50,'Invoer gegevens'!$C$11,IF(C50=1,W49,0))</f>
        <v>0</v>
      </c>
      <c r="S50" s="86">
        <f t="shared" ca="1" si="3"/>
        <v>0</v>
      </c>
      <c r="T50" s="86">
        <f ca="1">(1-('Invoer gegevens'!$F$20/12))*R50*MIN(BC50,BA50)</f>
        <v>0</v>
      </c>
      <c r="U50" s="86">
        <f ca="1">IF(BD50&lt;1,IF(Reeksen!AD50&lt;=Reeksen!AE50,R50*Reeksen!C50,0),IF(BC50&gt;=BA50,0,IF(Reeksen!AD50&lt;=Reeksen!AE50,(BA50-BC50)*R50,0)))</f>
        <v>0</v>
      </c>
      <c r="V50" s="86">
        <f ca="1">IF(BD50&lt;1,IF(Reeksen!AD50&gt;Reeksen!AE50,R50*Reeksen!C50,0),IF(BC50&gt;=BA50,0,IF(Reeksen!AD50&gt;Reeksen!AE50,(BA50-BC50)*R50,0)))</f>
        <v>0</v>
      </c>
      <c r="W50" s="218">
        <f t="shared" ca="1" si="7"/>
        <v>0</v>
      </c>
      <c r="X50" s="98">
        <f ca="1">IF('Invoer gegevens'!$C$17=E50,'Invoer gegevens'!$C$10-'Invoer gegevens'!$C$11,IF(C50=1,AC49,0))</f>
        <v>0</v>
      </c>
      <c r="Y50" s="98">
        <f t="shared" ca="1" si="4"/>
        <v>0</v>
      </c>
      <c r="Z50" s="98">
        <f ca="1">(1-('Invoer gegevens'!$F$20/12))*X50*MIN(BA50,BC50)</f>
        <v>0</v>
      </c>
      <c r="AA50" s="98">
        <f ca="1">IF(BD50&lt;1,IF(Reeksen!AD50&lt;=Reeksen!AE50,X50*Reeksen!C50,0),IF(BC50&gt;=BA50,0,IF(Reeksen!AD50&lt;=Reeksen!AE50,(BA50-BC50)*X50,0)))</f>
        <v>0</v>
      </c>
      <c r="AB50" s="98">
        <f ca="1">IF(BD50&lt;1,IF(Reeksen!AD50&gt;Reeksen!AE50,X50*Reeksen!C50,0),IF(BC50&gt;=BA50,0,IF(Reeksen!AD50&gt;Reeksen!AE50,(BA50-BC50)*X50,0)))</f>
        <v>0</v>
      </c>
      <c r="AC50" s="99">
        <f t="shared" ca="1" si="8"/>
        <v>0</v>
      </c>
      <c r="AD50" s="98">
        <f ca="1">IF('Invoer gegevens'!$C$17=E50,R50,IF(C50=0,0,AE49))</f>
        <v>0</v>
      </c>
      <c r="AE50" s="98">
        <f t="shared" ca="1" si="9"/>
        <v>0</v>
      </c>
      <c r="AF50" s="98">
        <f ca="1">IF('Invoer gegevens'!$C$17=E50,X50,IF(C50=0,0,AG49))</f>
        <v>0</v>
      </c>
      <c r="AG50" s="98">
        <f t="shared" ca="1" si="10"/>
        <v>0</v>
      </c>
      <c r="AH50" s="66"/>
      <c r="AI50" s="71">
        <f ca="1">IF(C50=1,Reeksen!AI50*((F50+K50)/2)*12+Reeksen!AD50*((L50+Q50)/2)*12,0)</f>
        <v>0</v>
      </c>
      <c r="AJ50" s="71">
        <f ca="1">-AI50*'Invoer gegevens'!$F$28</f>
        <v>0</v>
      </c>
      <c r="AK50" s="71">
        <f t="shared" ca="1" si="11"/>
        <v>0</v>
      </c>
      <c r="AL50" s="71">
        <f ca="1">IF(C50=1,Reeksen!AL50*((F50-G50+F50)/2)*12+Reeksen!AM50*((L50-M50+L50)/2)*12,0)</f>
        <v>0</v>
      </c>
      <c r="AM50" s="71">
        <f ca="1">-AL50*'Invoer gegevens'!$F$31</f>
        <v>0</v>
      </c>
      <c r="AN50" s="71">
        <f t="shared" ca="1" si="12"/>
        <v>0</v>
      </c>
      <c r="AO50" s="71">
        <f ca="1">IF(C50=1,(H50+J50+N50+P50)*Reeksen!AN50,0)</f>
        <v>0</v>
      </c>
      <c r="AP50" s="71">
        <f ca="1">-IF(C50=1,(H50+J50+N50+P50)*'Hulp - basis'!$G$550*Reeksen!H50,0)</f>
        <v>0</v>
      </c>
      <c r="AQ50" s="71">
        <f ca="1">-IF(C50=1,(F50+K50+L50+Q50)/2*'Invoer gegevens'!$F$35*Reeksen!J50,0)*2</f>
        <v>0</v>
      </c>
      <c r="AR50" s="71">
        <f ca="1">IF(BD50&lt;1,-IF(C50=1,(G50*'Invoer gegevens'!$F$36)*Reeksen!J50,0),0)</f>
        <v>0</v>
      </c>
      <c r="AS50" s="71">
        <f ca="1">-IF(C50=1,(F50+K50+L50+Q50)/2*'Invoer gegevens'!$F$37*Reeksen!L50,0)</f>
        <v>0</v>
      </c>
      <c r="AT50" s="71">
        <f ca="1">-IF(C50=1,IF(E50='Invoer gegevens'!$C$17,'Invoer gegevens'!$C$11,AD50)*Reeksen!S50*'Invoer gegevens'!$C$18*Reeksen!P50,0)</f>
        <v>0</v>
      </c>
      <c r="AU50" s="71">
        <f ca="1">-IF(C50=1,(F50+K50+L50+Q50)/2*'Invoer gegevens'!$F$38*Reeksen!H50,0)</f>
        <v>0</v>
      </c>
      <c r="AV50" s="71">
        <f t="shared" si="16"/>
        <v>0</v>
      </c>
      <c r="AW50" s="71">
        <f t="shared" ca="1" si="13"/>
        <v>0</v>
      </c>
      <c r="AX50" s="71">
        <f ca="1">IF(E50&lt;'Invoer gegevens'!$C$17+15,0,IF(E50&gt;'Invoer gegevens'!$C$17+215,0,AW50))</f>
        <v>0</v>
      </c>
      <c r="AY50" s="71">
        <f ca="1">AX50/(1+'Invoer gegevens'!$F$18)^($AZ50-('Invoer gegevens'!$C$17-'Invoer gegevens'!$C$16))/(1+'Invoer gegevens'!$C$39)^('Invoer gegevens'!$C$17-'Invoer gegevens'!$C$16)</f>
        <v>0</v>
      </c>
      <c r="AZ50" s="68">
        <f ca="1">IF(E50-'Invoer gegevens'!$C$17-14.5&lt;0,0,E50-'Invoer gegevens'!$C$17-14.5)</f>
        <v>30.5</v>
      </c>
      <c r="BA50" s="109">
        <f ca="1">IFERROR(VLOOKUP(E50-15,Reeksen!$A$5:$D$234,2,FALSE),0)</f>
        <v>0</v>
      </c>
      <c r="BB50" s="109">
        <f ca="1">IFERROR(VLOOKUP(E50-15,Reeksen!$A$5:$D$234,3,FALSE),0)</f>
        <v>0</v>
      </c>
      <c r="BC50" s="109">
        <f ca="1">IFERROR(VLOOKUP(E50-15,Reeksen!$A$5:$D$234,4,FALSE),0)</f>
        <v>0</v>
      </c>
      <c r="BD50" s="67">
        <f ca="1">IF(E50-'Invoer gegevens'!$C$17&lt;15,0,1)</f>
        <v>1</v>
      </c>
    </row>
    <row r="51" spans="1:56" x14ac:dyDescent="0.25">
      <c r="A51" s="59"/>
      <c r="B51" s="70">
        <f t="shared" si="14"/>
        <v>47</v>
      </c>
      <c r="C51" s="67">
        <f ca="1">IF(E51-'Invoer gegevens'!$C$17&lt;0,0,1)</f>
        <v>1</v>
      </c>
      <c r="D51" s="68">
        <f t="shared" si="15"/>
        <v>46.5</v>
      </c>
      <c r="E51" s="108">
        <f ca="1">IF('Invoer gegevens'!$C$16="","",E50+1)</f>
        <v>2065</v>
      </c>
      <c r="F51" s="84">
        <f ca="1">IF('Invoer gegevens'!$C$17=E51,'Invoer gegevens'!$C$10,IF(C51=1,K50,0))</f>
        <v>0</v>
      </c>
      <c r="G51" s="96">
        <f ca="1">IF(BD51&lt;1,F51*Reeksen!C51,IF(C51&gt;=1,F51*BA51,0))</f>
        <v>0</v>
      </c>
      <c r="H51" s="84">
        <f ca="1">(1-('Invoer gegevens'!$F$20/12))*F51*MIN(BA51,BC51)</f>
        <v>0</v>
      </c>
      <c r="I51" s="84">
        <f t="shared" ca="1" si="0"/>
        <v>0</v>
      </c>
      <c r="J51" s="84">
        <f ca="1">('Invoer gegevens'!$F$20/12)*F50*MIN(BA51,BC51)</f>
        <v>0</v>
      </c>
      <c r="K51" s="97">
        <f t="shared" ca="1" si="5"/>
        <v>0</v>
      </c>
      <c r="L51" s="84">
        <f ca="1">IF('Invoer gegevens'!$C$17=E51,0,IF(C51=1,Q50,0))</f>
        <v>0</v>
      </c>
      <c r="M51" s="96">
        <f t="shared" ca="1" si="1"/>
        <v>0</v>
      </c>
      <c r="N51" s="84">
        <f ca="1">(1-('Invoer gegevens'!$F$20/12))*L51*MIN(BA51,BC51)</f>
        <v>0</v>
      </c>
      <c r="O51" s="84">
        <f t="shared" ca="1" si="2"/>
        <v>0</v>
      </c>
      <c r="P51" s="84">
        <f ca="1">('Invoer gegevens'!$F$20/12)*L50*MIN(BA51,BC51)</f>
        <v>0</v>
      </c>
      <c r="Q51" s="84">
        <f t="shared" ca="1" si="6"/>
        <v>0</v>
      </c>
      <c r="R51" s="85">
        <f ca="1">IF('Invoer gegevens'!$C$17=E51,'Invoer gegevens'!$C$11,IF(C51=1,W50,0))</f>
        <v>0</v>
      </c>
      <c r="S51" s="86">
        <f t="shared" ca="1" si="3"/>
        <v>0</v>
      </c>
      <c r="T51" s="86">
        <f ca="1">(1-('Invoer gegevens'!$F$20/12))*R51*MIN(BC51,BA51)</f>
        <v>0</v>
      </c>
      <c r="U51" s="86">
        <f ca="1">IF(BD51&lt;1,IF(Reeksen!AD51&lt;=Reeksen!AE51,R51*Reeksen!C51,0),IF(BC51&gt;=BA51,0,IF(Reeksen!AD51&lt;=Reeksen!AE51,(BA51-BC51)*R51,0)))</f>
        <v>0</v>
      </c>
      <c r="V51" s="86">
        <f ca="1">IF(BD51&lt;1,IF(Reeksen!AD51&gt;Reeksen!AE51,R51*Reeksen!C51,0),IF(BC51&gt;=BA51,0,IF(Reeksen!AD51&gt;Reeksen!AE51,(BA51-BC51)*R51,0)))</f>
        <v>0</v>
      </c>
      <c r="W51" s="218">
        <f t="shared" ca="1" si="7"/>
        <v>0</v>
      </c>
      <c r="X51" s="98">
        <f ca="1">IF('Invoer gegevens'!$C$17=E51,'Invoer gegevens'!$C$10-'Invoer gegevens'!$C$11,IF(C51=1,AC50,0))</f>
        <v>0</v>
      </c>
      <c r="Y51" s="98">
        <f t="shared" ca="1" si="4"/>
        <v>0</v>
      </c>
      <c r="Z51" s="98">
        <f ca="1">(1-('Invoer gegevens'!$F$20/12))*X51*MIN(BA51,BC51)</f>
        <v>0</v>
      </c>
      <c r="AA51" s="98">
        <f ca="1">IF(BD51&lt;1,IF(Reeksen!AD51&lt;=Reeksen!AE51,X51*Reeksen!C51,0),IF(BC51&gt;=BA51,0,IF(Reeksen!AD51&lt;=Reeksen!AE51,(BA51-BC51)*X51,0)))</f>
        <v>0</v>
      </c>
      <c r="AB51" s="98">
        <f ca="1">IF(BD51&lt;1,IF(Reeksen!AD51&gt;Reeksen!AE51,X51*Reeksen!C51,0),IF(BC51&gt;=BA51,0,IF(Reeksen!AD51&gt;Reeksen!AE51,(BA51-BC51)*X51,0)))</f>
        <v>0</v>
      </c>
      <c r="AC51" s="99">
        <f t="shared" ca="1" si="8"/>
        <v>0</v>
      </c>
      <c r="AD51" s="98">
        <f ca="1">IF('Invoer gegevens'!$C$17=E51,R51,IF(C51=0,0,AE50))</f>
        <v>0</v>
      </c>
      <c r="AE51" s="98">
        <f t="shared" ca="1" si="9"/>
        <v>0</v>
      </c>
      <c r="AF51" s="98">
        <f ca="1">IF('Invoer gegevens'!$C$17=E51,X51,IF(C51=0,0,AG50))</f>
        <v>0</v>
      </c>
      <c r="AG51" s="98">
        <f t="shared" ca="1" si="10"/>
        <v>0</v>
      </c>
      <c r="AH51" s="66"/>
      <c r="AI51" s="71">
        <f ca="1">IF(C51=1,Reeksen!AI51*((F51+K51)/2)*12+Reeksen!AD51*((L51+Q51)/2)*12,0)</f>
        <v>0</v>
      </c>
      <c r="AJ51" s="71">
        <f ca="1">-AI51*'Invoer gegevens'!$F$28</f>
        <v>0</v>
      </c>
      <c r="AK51" s="71">
        <f t="shared" ca="1" si="11"/>
        <v>0</v>
      </c>
      <c r="AL51" s="71">
        <f ca="1">IF(C51=1,Reeksen!AL51*((F51-G51+F51)/2)*12+Reeksen!AM51*((L51-M51+L51)/2)*12,0)</f>
        <v>0</v>
      </c>
      <c r="AM51" s="71">
        <f ca="1">-AL51*'Invoer gegevens'!$F$31</f>
        <v>0</v>
      </c>
      <c r="AN51" s="71">
        <f t="shared" ca="1" si="12"/>
        <v>0</v>
      </c>
      <c r="AO51" s="71">
        <f ca="1">IF(C51=1,(H51+J51+N51+P51)*Reeksen!AN51,0)</f>
        <v>0</v>
      </c>
      <c r="AP51" s="71">
        <f ca="1">-IF(C51=1,(H51+J51+N51+P51)*'Hulp - basis'!$G$550*Reeksen!H51,0)</f>
        <v>0</v>
      </c>
      <c r="AQ51" s="71">
        <f ca="1">-IF(C51=1,(F51+K51+L51+Q51)/2*'Invoer gegevens'!$F$35*Reeksen!J51,0)*2</f>
        <v>0</v>
      </c>
      <c r="AR51" s="71">
        <f ca="1">IF(BD51&lt;1,-IF(C51=1,(G51*'Invoer gegevens'!$F$36)*Reeksen!J51,0),0)</f>
        <v>0</v>
      </c>
      <c r="AS51" s="71">
        <f ca="1">-IF(C51=1,(F51+K51+L51+Q51)/2*'Invoer gegevens'!$F$37*Reeksen!L51,0)</f>
        <v>0</v>
      </c>
      <c r="AT51" s="71">
        <f ca="1">-IF(C51=1,IF(E51='Invoer gegevens'!$C$17,'Invoer gegevens'!$C$11,AD51)*Reeksen!S51*'Invoer gegevens'!$C$18*Reeksen!P51,0)</f>
        <v>0</v>
      </c>
      <c r="AU51" s="71">
        <f ca="1">-IF(C51=1,(F51+K51+L51+Q51)/2*'Invoer gegevens'!$F$38*Reeksen!H51,0)</f>
        <v>0</v>
      </c>
      <c r="AV51" s="71">
        <f t="shared" si="16"/>
        <v>0</v>
      </c>
      <c r="AW51" s="71">
        <f t="shared" ca="1" si="13"/>
        <v>0</v>
      </c>
      <c r="AX51" s="71">
        <f ca="1">IF(E51&lt;'Invoer gegevens'!$C$17+15,0,IF(E51&gt;'Invoer gegevens'!$C$17+215,0,AW51))</f>
        <v>0</v>
      </c>
      <c r="AY51" s="71">
        <f ca="1">AX51/(1+'Invoer gegevens'!$F$18)^($AZ51-('Invoer gegevens'!$C$17-'Invoer gegevens'!$C$16))/(1+'Invoer gegevens'!$C$39)^('Invoer gegevens'!$C$17-'Invoer gegevens'!$C$16)</f>
        <v>0</v>
      </c>
      <c r="AZ51" s="68">
        <f ca="1">IF(E51-'Invoer gegevens'!$C$17-14.5&lt;0,0,E51-'Invoer gegevens'!$C$17-14.5)</f>
        <v>31.5</v>
      </c>
      <c r="BA51" s="109">
        <f ca="1">IFERROR(VLOOKUP(E51-15,Reeksen!$A$5:$D$234,2,FALSE),0)</f>
        <v>0</v>
      </c>
      <c r="BB51" s="109">
        <f ca="1">IFERROR(VLOOKUP(E51-15,Reeksen!$A$5:$D$234,3,FALSE),0)</f>
        <v>0</v>
      </c>
      <c r="BC51" s="109">
        <f ca="1">IFERROR(VLOOKUP(E51-15,Reeksen!$A$5:$D$234,4,FALSE),0)</f>
        <v>0</v>
      </c>
      <c r="BD51" s="67">
        <f ca="1">IF(E51-'Invoer gegevens'!$C$17&lt;15,0,1)</f>
        <v>1</v>
      </c>
    </row>
    <row r="52" spans="1:56" x14ac:dyDescent="0.25">
      <c r="A52" s="59"/>
      <c r="B52" s="70">
        <f t="shared" si="14"/>
        <v>48</v>
      </c>
      <c r="C52" s="67">
        <f ca="1">IF(E52-'Invoer gegevens'!$C$17&lt;0,0,1)</f>
        <v>1</v>
      </c>
      <c r="D52" s="68">
        <f t="shared" si="15"/>
        <v>47.5</v>
      </c>
      <c r="E52" s="108">
        <f ca="1">IF('Invoer gegevens'!$C$16="","",E51+1)</f>
        <v>2066</v>
      </c>
      <c r="F52" s="84">
        <f ca="1">IF('Invoer gegevens'!$C$17=E52,'Invoer gegevens'!$C$10,IF(C52=1,K51,0))</f>
        <v>0</v>
      </c>
      <c r="G52" s="96">
        <f ca="1">IF(BD52&lt;1,F52*Reeksen!C52,IF(C52&gt;=1,F52*BA52,0))</f>
        <v>0</v>
      </c>
      <c r="H52" s="84">
        <f ca="1">(1-('Invoer gegevens'!$F$20/12))*F52*MIN(BA52,BC52)</f>
        <v>0</v>
      </c>
      <c r="I52" s="84">
        <f t="shared" ca="1" si="0"/>
        <v>0</v>
      </c>
      <c r="J52" s="84">
        <f ca="1">('Invoer gegevens'!$F$20/12)*F51*MIN(BA52,BC52)</f>
        <v>0</v>
      </c>
      <c r="K52" s="97">
        <f t="shared" ca="1" si="5"/>
        <v>0</v>
      </c>
      <c r="L52" s="84">
        <f ca="1">IF('Invoer gegevens'!$C$17=E52,0,IF(C52=1,Q51,0))</f>
        <v>0</v>
      </c>
      <c r="M52" s="96">
        <f t="shared" ca="1" si="1"/>
        <v>0</v>
      </c>
      <c r="N52" s="84">
        <f ca="1">(1-('Invoer gegevens'!$F$20/12))*L52*MIN(BA52,BC52)</f>
        <v>0</v>
      </c>
      <c r="O52" s="84">
        <f t="shared" ca="1" si="2"/>
        <v>0</v>
      </c>
      <c r="P52" s="84">
        <f ca="1">('Invoer gegevens'!$F$20/12)*L51*MIN(BA52,BC52)</f>
        <v>0</v>
      </c>
      <c r="Q52" s="84">
        <f t="shared" ca="1" si="6"/>
        <v>0</v>
      </c>
      <c r="R52" s="85">
        <f ca="1">IF('Invoer gegevens'!$C$17=E52,'Invoer gegevens'!$C$11,IF(C52=1,W51,0))</f>
        <v>0</v>
      </c>
      <c r="S52" s="86">
        <f t="shared" ca="1" si="3"/>
        <v>0</v>
      </c>
      <c r="T52" s="86">
        <f ca="1">(1-('Invoer gegevens'!$F$20/12))*R52*MIN(BC52,BA52)</f>
        <v>0</v>
      </c>
      <c r="U52" s="86">
        <f ca="1">IF(BD52&lt;1,IF(Reeksen!AD52&lt;=Reeksen!AE52,R52*Reeksen!C52,0),IF(BC52&gt;=BA52,0,IF(Reeksen!AD52&lt;=Reeksen!AE52,(BA52-BC52)*R52,0)))</f>
        <v>0</v>
      </c>
      <c r="V52" s="86">
        <f ca="1">IF(BD52&lt;1,IF(Reeksen!AD52&gt;Reeksen!AE52,R52*Reeksen!C52,0),IF(BC52&gt;=BA52,0,IF(Reeksen!AD52&gt;Reeksen!AE52,(BA52-BC52)*R52,0)))</f>
        <v>0</v>
      </c>
      <c r="W52" s="218">
        <f t="shared" ca="1" si="7"/>
        <v>0</v>
      </c>
      <c r="X52" s="98">
        <f ca="1">IF('Invoer gegevens'!$C$17=E52,'Invoer gegevens'!$C$10-'Invoer gegevens'!$C$11,IF(C52=1,AC51,0))</f>
        <v>0</v>
      </c>
      <c r="Y52" s="98">
        <f t="shared" ca="1" si="4"/>
        <v>0</v>
      </c>
      <c r="Z52" s="98">
        <f ca="1">(1-('Invoer gegevens'!$F$20/12))*X52*MIN(BA52,BC52)</f>
        <v>0</v>
      </c>
      <c r="AA52" s="98">
        <f ca="1">IF(BD52&lt;1,IF(Reeksen!AD52&lt;=Reeksen!AE52,X52*Reeksen!C52,0),IF(BC52&gt;=BA52,0,IF(Reeksen!AD52&lt;=Reeksen!AE52,(BA52-BC52)*X52,0)))</f>
        <v>0</v>
      </c>
      <c r="AB52" s="98">
        <f ca="1">IF(BD52&lt;1,IF(Reeksen!AD52&gt;Reeksen!AE52,X52*Reeksen!C52,0),IF(BC52&gt;=BA52,0,IF(Reeksen!AD52&gt;Reeksen!AE52,(BA52-BC52)*X52,0)))</f>
        <v>0</v>
      </c>
      <c r="AC52" s="99">
        <f t="shared" ca="1" si="8"/>
        <v>0</v>
      </c>
      <c r="AD52" s="98">
        <f ca="1">IF('Invoer gegevens'!$C$17=E52,R52,IF(C52=0,0,AE51))</f>
        <v>0</v>
      </c>
      <c r="AE52" s="98">
        <f t="shared" ca="1" si="9"/>
        <v>0</v>
      </c>
      <c r="AF52" s="98">
        <f ca="1">IF('Invoer gegevens'!$C$17=E52,X52,IF(C52=0,0,AG51))</f>
        <v>0</v>
      </c>
      <c r="AG52" s="98">
        <f t="shared" ca="1" si="10"/>
        <v>0</v>
      </c>
      <c r="AH52" s="66"/>
      <c r="AI52" s="71">
        <f ca="1">IF(C52=1,Reeksen!AI52*((F52+K52)/2)*12+Reeksen!AD52*((L52+Q52)/2)*12,0)</f>
        <v>0</v>
      </c>
      <c r="AJ52" s="71">
        <f ca="1">-AI52*'Invoer gegevens'!$F$28</f>
        <v>0</v>
      </c>
      <c r="AK52" s="71">
        <f t="shared" ca="1" si="11"/>
        <v>0</v>
      </c>
      <c r="AL52" s="71">
        <f ca="1">IF(C52=1,Reeksen!AL52*((F52-G52+F52)/2)*12+Reeksen!AM52*((L52-M52+L52)/2)*12,0)</f>
        <v>0</v>
      </c>
      <c r="AM52" s="71">
        <f ca="1">-AL52*'Invoer gegevens'!$F$31</f>
        <v>0</v>
      </c>
      <c r="AN52" s="71">
        <f t="shared" ca="1" si="12"/>
        <v>0</v>
      </c>
      <c r="AO52" s="71">
        <f ca="1">IF(C52=1,(H52+J52+N52+P52)*Reeksen!AN52,0)</f>
        <v>0</v>
      </c>
      <c r="AP52" s="71">
        <f ca="1">-IF(C52=1,(H52+J52+N52+P52)*'Hulp - basis'!$G$550*Reeksen!H52,0)</f>
        <v>0</v>
      </c>
      <c r="AQ52" s="71">
        <f ca="1">-IF(C52=1,(F52+K52+L52+Q52)/2*'Invoer gegevens'!$F$35*Reeksen!J52,0)*2</f>
        <v>0</v>
      </c>
      <c r="AR52" s="71">
        <f ca="1">IF(BD52&lt;1,-IF(C52=1,(G52*'Invoer gegevens'!$F$36)*Reeksen!J52,0),0)</f>
        <v>0</v>
      </c>
      <c r="AS52" s="71">
        <f ca="1">-IF(C52=1,(F52+K52+L52+Q52)/2*'Invoer gegevens'!$F$37*Reeksen!L52,0)</f>
        <v>0</v>
      </c>
      <c r="AT52" s="71">
        <f ca="1">-IF(C52=1,IF(E52='Invoer gegevens'!$C$17,'Invoer gegevens'!$C$11,AD52)*Reeksen!S52*'Invoer gegevens'!$C$18*Reeksen!P52,0)</f>
        <v>0</v>
      </c>
      <c r="AU52" s="71">
        <f ca="1">-IF(C52=1,(F52+K52+L52+Q52)/2*'Invoer gegevens'!$F$38*Reeksen!H52,0)</f>
        <v>0</v>
      </c>
      <c r="AV52" s="71">
        <f t="shared" si="16"/>
        <v>0</v>
      </c>
      <c r="AW52" s="71">
        <f t="shared" ca="1" si="13"/>
        <v>0</v>
      </c>
      <c r="AX52" s="71">
        <f ca="1">IF(E52&lt;'Invoer gegevens'!$C$17+15,0,IF(E52&gt;'Invoer gegevens'!$C$17+215,0,AW52))</f>
        <v>0</v>
      </c>
      <c r="AY52" s="71">
        <f ca="1">AX52/(1+'Invoer gegevens'!$F$18)^($AZ52-('Invoer gegevens'!$C$17-'Invoer gegevens'!$C$16))/(1+'Invoer gegevens'!$C$39)^('Invoer gegevens'!$C$17-'Invoer gegevens'!$C$16)</f>
        <v>0</v>
      </c>
      <c r="AZ52" s="68">
        <f ca="1">IF(E52-'Invoer gegevens'!$C$17-14.5&lt;0,0,E52-'Invoer gegevens'!$C$17-14.5)</f>
        <v>32.5</v>
      </c>
      <c r="BA52" s="109">
        <f ca="1">IFERROR(VLOOKUP(E52-15,Reeksen!$A$5:$D$234,2,FALSE),0)</f>
        <v>0</v>
      </c>
      <c r="BB52" s="109">
        <f ca="1">IFERROR(VLOOKUP(E52-15,Reeksen!$A$5:$D$234,3,FALSE),0)</f>
        <v>0</v>
      </c>
      <c r="BC52" s="109">
        <f ca="1">IFERROR(VLOOKUP(E52-15,Reeksen!$A$5:$D$234,4,FALSE),0)</f>
        <v>0</v>
      </c>
      <c r="BD52" s="67">
        <f ca="1">IF(E52-'Invoer gegevens'!$C$17&lt;15,0,1)</f>
        <v>1</v>
      </c>
    </row>
    <row r="53" spans="1:56" x14ac:dyDescent="0.25">
      <c r="A53" s="59"/>
      <c r="B53" s="70">
        <f t="shared" si="14"/>
        <v>49</v>
      </c>
      <c r="C53" s="67">
        <f ca="1">IF(E53-'Invoer gegevens'!$C$17&lt;0,0,1)</f>
        <v>1</v>
      </c>
      <c r="D53" s="68">
        <f t="shared" si="15"/>
        <v>48.5</v>
      </c>
      <c r="E53" s="108">
        <f ca="1">IF('Invoer gegevens'!$C$16="","",E52+1)</f>
        <v>2067</v>
      </c>
      <c r="F53" s="84">
        <f ca="1">IF('Invoer gegevens'!$C$17=E53,'Invoer gegevens'!$C$10,IF(C53=1,K52,0))</f>
        <v>0</v>
      </c>
      <c r="G53" s="96">
        <f ca="1">IF(BD53&lt;1,F53*Reeksen!C53,IF(C53&gt;=1,F53*BA53,0))</f>
        <v>0</v>
      </c>
      <c r="H53" s="84">
        <f ca="1">(1-('Invoer gegevens'!$F$20/12))*F53*MIN(BA53,BC53)</f>
        <v>0</v>
      </c>
      <c r="I53" s="84">
        <f t="shared" ca="1" si="0"/>
        <v>0</v>
      </c>
      <c r="J53" s="84">
        <f ca="1">('Invoer gegevens'!$F$20/12)*F52*MIN(BA53,BC53)</f>
        <v>0</v>
      </c>
      <c r="K53" s="97">
        <f t="shared" ca="1" si="5"/>
        <v>0</v>
      </c>
      <c r="L53" s="84">
        <f ca="1">IF('Invoer gegevens'!$C$17=E53,0,IF(C53=1,Q52,0))</f>
        <v>0</v>
      </c>
      <c r="M53" s="96">
        <f t="shared" ca="1" si="1"/>
        <v>0</v>
      </c>
      <c r="N53" s="84">
        <f ca="1">(1-('Invoer gegevens'!$F$20/12))*L53*MIN(BA53,BC53)</f>
        <v>0</v>
      </c>
      <c r="O53" s="84">
        <f t="shared" ca="1" si="2"/>
        <v>0</v>
      </c>
      <c r="P53" s="84">
        <f ca="1">('Invoer gegevens'!$F$20/12)*L52*MIN(BA53,BC53)</f>
        <v>0</v>
      </c>
      <c r="Q53" s="84">
        <f t="shared" ca="1" si="6"/>
        <v>0</v>
      </c>
      <c r="R53" s="85">
        <f ca="1">IF('Invoer gegevens'!$C$17=E53,'Invoer gegevens'!$C$11,IF(C53=1,W52,0))</f>
        <v>0</v>
      </c>
      <c r="S53" s="86">
        <f t="shared" ca="1" si="3"/>
        <v>0</v>
      </c>
      <c r="T53" s="86">
        <f ca="1">(1-('Invoer gegevens'!$F$20/12))*R53*MIN(BC53,BA53)</f>
        <v>0</v>
      </c>
      <c r="U53" s="86">
        <f ca="1">IF(BD53&lt;1,IF(Reeksen!AD53&lt;=Reeksen!AE53,R53*Reeksen!C53,0),IF(BC53&gt;=BA53,0,IF(Reeksen!AD53&lt;=Reeksen!AE53,(BA53-BC53)*R53,0)))</f>
        <v>0</v>
      </c>
      <c r="V53" s="86">
        <f ca="1">IF(BD53&lt;1,IF(Reeksen!AD53&gt;Reeksen!AE53,R53*Reeksen!C53,0),IF(BC53&gt;=BA53,0,IF(Reeksen!AD53&gt;Reeksen!AE53,(BA53-BC53)*R53,0)))</f>
        <v>0</v>
      </c>
      <c r="W53" s="218">
        <f t="shared" ca="1" si="7"/>
        <v>0</v>
      </c>
      <c r="X53" s="98">
        <f ca="1">IF('Invoer gegevens'!$C$17=E53,'Invoer gegevens'!$C$10-'Invoer gegevens'!$C$11,IF(C53=1,AC52,0))</f>
        <v>0</v>
      </c>
      <c r="Y53" s="98">
        <f t="shared" ca="1" si="4"/>
        <v>0</v>
      </c>
      <c r="Z53" s="98">
        <f ca="1">(1-('Invoer gegevens'!$F$20/12))*X53*MIN(BA53,BC53)</f>
        <v>0</v>
      </c>
      <c r="AA53" s="98">
        <f ca="1">IF(BD53&lt;1,IF(Reeksen!AD53&lt;=Reeksen!AE53,X53*Reeksen!C53,0),IF(BC53&gt;=BA53,0,IF(Reeksen!AD53&lt;=Reeksen!AE53,(BA53-BC53)*X53,0)))</f>
        <v>0</v>
      </c>
      <c r="AB53" s="98">
        <f ca="1">IF(BD53&lt;1,IF(Reeksen!AD53&gt;Reeksen!AE53,X53*Reeksen!C53,0),IF(BC53&gt;=BA53,0,IF(Reeksen!AD53&gt;Reeksen!AE53,(BA53-BC53)*X53,0)))</f>
        <v>0</v>
      </c>
      <c r="AC53" s="99">
        <f t="shared" ca="1" si="8"/>
        <v>0</v>
      </c>
      <c r="AD53" s="98">
        <f ca="1">IF('Invoer gegevens'!$C$17=E53,R53,IF(C53=0,0,AE52))</f>
        <v>0</v>
      </c>
      <c r="AE53" s="98">
        <f t="shared" ca="1" si="9"/>
        <v>0</v>
      </c>
      <c r="AF53" s="98">
        <f ca="1">IF('Invoer gegevens'!$C$17=E53,X53,IF(C53=0,0,AG52))</f>
        <v>0</v>
      </c>
      <c r="AG53" s="98">
        <f t="shared" ca="1" si="10"/>
        <v>0</v>
      </c>
      <c r="AH53" s="66"/>
      <c r="AI53" s="71">
        <f ca="1">IF(C53=1,Reeksen!AI53*((F53+K53)/2)*12+Reeksen!AD53*((L53+Q53)/2)*12,0)</f>
        <v>0</v>
      </c>
      <c r="AJ53" s="71">
        <f ca="1">-AI53*'Invoer gegevens'!$F$28</f>
        <v>0</v>
      </c>
      <c r="AK53" s="71">
        <f t="shared" ca="1" si="11"/>
        <v>0</v>
      </c>
      <c r="AL53" s="71">
        <f ca="1">IF(C53=1,Reeksen!AL53*((F53-G53+F53)/2)*12+Reeksen!AM53*((L53-M53+L53)/2)*12,0)</f>
        <v>0</v>
      </c>
      <c r="AM53" s="71">
        <f ca="1">-AL53*'Invoer gegevens'!$F$31</f>
        <v>0</v>
      </c>
      <c r="AN53" s="71">
        <f t="shared" ca="1" si="12"/>
        <v>0</v>
      </c>
      <c r="AO53" s="71">
        <f ca="1">IF(C53=1,(H53+J53+N53+P53)*Reeksen!AN53,0)</f>
        <v>0</v>
      </c>
      <c r="AP53" s="71">
        <f ca="1">-IF(C53=1,(H53+J53+N53+P53)*'Hulp - basis'!$G$550*Reeksen!H53,0)</f>
        <v>0</v>
      </c>
      <c r="AQ53" s="71">
        <f ca="1">-IF(C53=1,(F53+K53+L53+Q53)/2*'Invoer gegevens'!$F$35*Reeksen!J53,0)*2</f>
        <v>0</v>
      </c>
      <c r="AR53" s="71">
        <f ca="1">IF(BD53&lt;1,-IF(C53=1,(G53*'Invoer gegevens'!$F$36)*Reeksen!J53,0),0)</f>
        <v>0</v>
      </c>
      <c r="AS53" s="71">
        <f ca="1">-IF(C53=1,(F53+K53+L53+Q53)/2*'Invoer gegevens'!$F$37*Reeksen!L53,0)</f>
        <v>0</v>
      </c>
      <c r="AT53" s="71">
        <f ca="1">-IF(C53=1,IF(E53='Invoer gegevens'!$C$17,'Invoer gegevens'!$C$11,AD53)*Reeksen!S53*'Invoer gegevens'!$C$18*Reeksen!P53,0)</f>
        <v>0</v>
      </c>
      <c r="AU53" s="71">
        <f ca="1">-IF(C53=1,(F53+K53+L53+Q53)/2*'Invoer gegevens'!$F$38*Reeksen!H53,0)</f>
        <v>0</v>
      </c>
      <c r="AV53" s="71">
        <f t="shared" si="16"/>
        <v>0</v>
      </c>
      <c r="AW53" s="71">
        <f t="shared" ca="1" si="13"/>
        <v>0</v>
      </c>
      <c r="AX53" s="71">
        <f ca="1">IF(E53&lt;'Invoer gegevens'!$C$17+15,0,IF(E53&gt;'Invoer gegevens'!$C$17+215,0,AW53))</f>
        <v>0</v>
      </c>
      <c r="AY53" s="71">
        <f ca="1">AX53/(1+'Invoer gegevens'!$F$18)^($AZ53-('Invoer gegevens'!$C$17-'Invoer gegevens'!$C$16))/(1+'Invoer gegevens'!$C$39)^('Invoer gegevens'!$C$17-'Invoer gegevens'!$C$16)</f>
        <v>0</v>
      </c>
      <c r="AZ53" s="68">
        <f ca="1">IF(E53-'Invoer gegevens'!$C$17-14.5&lt;0,0,E53-'Invoer gegevens'!$C$17-14.5)</f>
        <v>33.5</v>
      </c>
      <c r="BA53" s="109">
        <f ca="1">IFERROR(VLOOKUP(E53-15,Reeksen!$A$5:$D$234,2,FALSE),0)</f>
        <v>0</v>
      </c>
      <c r="BB53" s="109">
        <f ca="1">IFERROR(VLOOKUP(E53-15,Reeksen!$A$5:$D$234,3,FALSE),0)</f>
        <v>0</v>
      </c>
      <c r="BC53" s="109">
        <f ca="1">IFERROR(VLOOKUP(E53-15,Reeksen!$A$5:$D$234,4,FALSE),0)</f>
        <v>0</v>
      </c>
      <c r="BD53" s="67">
        <f ca="1">IF(E53-'Invoer gegevens'!$C$17&lt;15,0,1)</f>
        <v>1</v>
      </c>
    </row>
    <row r="54" spans="1:56" x14ac:dyDescent="0.25">
      <c r="A54" s="59"/>
      <c r="B54" s="70">
        <f t="shared" si="14"/>
        <v>50</v>
      </c>
      <c r="C54" s="67">
        <f ca="1">IF(E54-'Invoer gegevens'!$C$17&lt;0,0,1)</f>
        <v>1</v>
      </c>
      <c r="D54" s="68">
        <f t="shared" si="15"/>
        <v>49.5</v>
      </c>
      <c r="E54" s="108">
        <f ca="1">IF('Invoer gegevens'!$C$16="","",E53+1)</f>
        <v>2068</v>
      </c>
      <c r="F54" s="84">
        <f ca="1">IF('Invoer gegevens'!$C$17=E54,'Invoer gegevens'!$C$10,IF(C54=1,K53,0))</f>
        <v>0</v>
      </c>
      <c r="G54" s="96">
        <f ca="1">IF(BD54&lt;1,F54*Reeksen!C54,IF(C54&gt;=1,F54*BA54,0))</f>
        <v>0</v>
      </c>
      <c r="H54" s="84">
        <f ca="1">(1-('Invoer gegevens'!$F$20/12))*F54*MIN(BA54,BC54)</f>
        <v>0</v>
      </c>
      <c r="I54" s="84">
        <f t="shared" ca="1" si="0"/>
        <v>0</v>
      </c>
      <c r="J54" s="84">
        <f ca="1">('Invoer gegevens'!$F$20/12)*F53*MIN(BA54,BC54)</f>
        <v>0</v>
      </c>
      <c r="K54" s="97">
        <f t="shared" ca="1" si="5"/>
        <v>0</v>
      </c>
      <c r="L54" s="84">
        <f ca="1">IF('Invoer gegevens'!$C$17=E54,0,IF(C54=1,Q53,0))</f>
        <v>0</v>
      </c>
      <c r="M54" s="96">
        <f t="shared" ca="1" si="1"/>
        <v>0</v>
      </c>
      <c r="N54" s="84">
        <f ca="1">(1-('Invoer gegevens'!$F$20/12))*L54*MIN(BA54,BC54)</f>
        <v>0</v>
      </c>
      <c r="O54" s="84">
        <f t="shared" ca="1" si="2"/>
        <v>0</v>
      </c>
      <c r="P54" s="84">
        <f ca="1">('Invoer gegevens'!$F$20/12)*L53*MIN(BA54,BC54)</f>
        <v>0</v>
      </c>
      <c r="Q54" s="84">
        <f t="shared" ca="1" si="6"/>
        <v>0</v>
      </c>
      <c r="R54" s="85">
        <f ca="1">IF('Invoer gegevens'!$C$17=E54,'Invoer gegevens'!$C$11,IF(C54=1,W53,0))</f>
        <v>0</v>
      </c>
      <c r="S54" s="86">
        <f t="shared" ca="1" si="3"/>
        <v>0</v>
      </c>
      <c r="T54" s="86">
        <f ca="1">(1-('Invoer gegevens'!$F$20/12))*R54*MIN(BC54,BA54)</f>
        <v>0</v>
      </c>
      <c r="U54" s="86">
        <f ca="1">IF(BD54&lt;1,IF(Reeksen!AD54&lt;=Reeksen!AE54,R54*Reeksen!C54,0),IF(BC54&gt;=BA54,0,IF(Reeksen!AD54&lt;=Reeksen!AE54,(BA54-BC54)*R54,0)))</f>
        <v>0</v>
      </c>
      <c r="V54" s="86">
        <f ca="1">IF(BD54&lt;1,IF(Reeksen!AD54&gt;Reeksen!AE54,R54*Reeksen!C54,0),IF(BC54&gt;=BA54,0,IF(Reeksen!AD54&gt;Reeksen!AE54,(BA54-BC54)*R54,0)))</f>
        <v>0</v>
      </c>
      <c r="W54" s="218">
        <f t="shared" ca="1" si="7"/>
        <v>0</v>
      </c>
      <c r="X54" s="98">
        <f ca="1">IF('Invoer gegevens'!$C$17=E54,'Invoer gegevens'!$C$10-'Invoer gegevens'!$C$11,IF(C54=1,AC53,0))</f>
        <v>0</v>
      </c>
      <c r="Y54" s="98">
        <f t="shared" ca="1" si="4"/>
        <v>0</v>
      </c>
      <c r="Z54" s="98">
        <f ca="1">(1-('Invoer gegevens'!$F$20/12))*X54*MIN(BA54,BC54)</f>
        <v>0</v>
      </c>
      <c r="AA54" s="98">
        <f ca="1">IF(BD54&lt;1,IF(Reeksen!AD54&lt;=Reeksen!AE54,X54*Reeksen!C54,0),IF(BC54&gt;=BA54,0,IF(Reeksen!AD54&lt;=Reeksen!AE54,(BA54-BC54)*X54,0)))</f>
        <v>0</v>
      </c>
      <c r="AB54" s="98">
        <f ca="1">IF(BD54&lt;1,IF(Reeksen!AD54&gt;Reeksen!AE54,X54*Reeksen!C54,0),IF(BC54&gt;=BA54,0,IF(Reeksen!AD54&gt;Reeksen!AE54,(BA54-BC54)*X54,0)))</f>
        <v>0</v>
      </c>
      <c r="AC54" s="99">
        <f t="shared" ca="1" si="8"/>
        <v>0</v>
      </c>
      <c r="AD54" s="98">
        <f ca="1">IF('Invoer gegevens'!$C$17=E54,R54,IF(C54=0,0,AE53))</f>
        <v>0</v>
      </c>
      <c r="AE54" s="98">
        <f t="shared" ca="1" si="9"/>
        <v>0</v>
      </c>
      <c r="AF54" s="98">
        <f ca="1">IF('Invoer gegevens'!$C$17=E54,X54,IF(C54=0,0,AG53))</f>
        <v>0</v>
      </c>
      <c r="AG54" s="98">
        <f t="shared" ca="1" si="10"/>
        <v>0</v>
      </c>
      <c r="AH54" s="66"/>
      <c r="AI54" s="71">
        <f ca="1">IF(C54=1,Reeksen!AI54*((F54+K54)/2)*12+Reeksen!AD54*((L54+Q54)/2)*12,0)</f>
        <v>0</v>
      </c>
      <c r="AJ54" s="71">
        <f ca="1">-AI54*'Invoer gegevens'!$F$28</f>
        <v>0</v>
      </c>
      <c r="AK54" s="71">
        <f t="shared" ca="1" si="11"/>
        <v>0</v>
      </c>
      <c r="AL54" s="71">
        <f ca="1">IF(C54=1,Reeksen!AL54*((F54-G54+F54)/2)*12+Reeksen!AM54*((L54-M54+L54)/2)*12,0)</f>
        <v>0</v>
      </c>
      <c r="AM54" s="71">
        <f ca="1">-AL54*'Invoer gegevens'!$F$31</f>
        <v>0</v>
      </c>
      <c r="AN54" s="71">
        <f t="shared" ca="1" si="12"/>
        <v>0</v>
      </c>
      <c r="AO54" s="71">
        <f ca="1">IF(C54=1,(H54+J54+N54+P54)*Reeksen!AN54,0)</f>
        <v>0</v>
      </c>
      <c r="AP54" s="71">
        <f ca="1">-IF(C54=1,(H54+J54+N54+P54)*'Hulp - basis'!$G$550*Reeksen!H54,0)</f>
        <v>0</v>
      </c>
      <c r="AQ54" s="71">
        <f ca="1">-IF(C54=1,(F54+K54+L54+Q54)/2*'Invoer gegevens'!$F$35*Reeksen!J54,0)*2</f>
        <v>0</v>
      </c>
      <c r="AR54" s="71">
        <f ca="1">IF(BD54&lt;1,-IF(C54=1,(G54*'Invoer gegevens'!$F$36)*Reeksen!J54,0),0)</f>
        <v>0</v>
      </c>
      <c r="AS54" s="71">
        <f ca="1">-IF(C54=1,(F54+K54+L54+Q54)/2*'Invoer gegevens'!$F$37*Reeksen!L54,0)</f>
        <v>0</v>
      </c>
      <c r="AT54" s="71">
        <f ca="1">-IF(C54=1,IF(E54='Invoer gegevens'!$C$17,'Invoer gegevens'!$C$11,AD54)*Reeksen!S54*'Invoer gegevens'!$C$18*Reeksen!P54,0)</f>
        <v>0</v>
      </c>
      <c r="AU54" s="71">
        <f ca="1">-IF(C54=1,(F54+K54+L54+Q54)/2*'Invoer gegevens'!$F$38*Reeksen!H54,0)</f>
        <v>0</v>
      </c>
      <c r="AV54" s="71">
        <f t="shared" si="16"/>
        <v>0</v>
      </c>
      <c r="AW54" s="71">
        <f t="shared" ca="1" si="13"/>
        <v>0</v>
      </c>
      <c r="AX54" s="71">
        <f ca="1">IF(E54&lt;'Invoer gegevens'!$C$17+15,0,IF(E54&gt;'Invoer gegevens'!$C$17+215,0,AW54))</f>
        <v>0</v>
      </c>
      <c r="AY54" s="71">
        <f ca="1">AX54/(1+'Invoer gegevens'!$F$18)^($AZ54-('Invoer gegevens'!$C$17-'Invoer gegevens'!$C$16))/(1+'Invoer gegevens'!$C$39)^('Invoer gegevens'!$C$17-'Invoer gegevens'!$C$16)</f>
        <v>0</v>
      </c>
      <c r="AZ54" s="68">
        <f ca="1">IF(E54-'Invoer gegevens'!$C$17-14.5&lt;0,0,E54-'Invoer gegevens'!$C$17-14.5)</f>
        <v>34.5</v>
      </c>
      <c r="BA54" s="109">
        <f ca="1">IFERROR(VLOOKUP(E54-15,Reeksen!$A$5:$D$234,2,FALSE),0)</f>
        <v>0</v>
      </c>
      <c r="BB54" s="109">
        <f ca="1">IFERROR(VLOOKUP(E54-15,Reeksen!$A$5:$D$234,3,FALSE),0)</f>
        <v>0</v>
      </c>
      <c r="BC54" s="109">
        <f ca="1">IFERROR(VLOOKUP(E54-15,Reeksen!$A$5:$D$234,4,FALSE),0)</f>
        <v>0</v>
      </c>
      <c r="BD54" s="67">
        <f ca="1">IF(E54-'Invoer gegevens'!$C$17&lt;15,0,1)</f>
        <v>1</v>
      </c>
    </row>
    <row r="55" spans="1:56" x14ac:dyDescent="0.25">
      <c r="A55" s="59"/>
      <c r="B55" s="70">
        <f t="shared" si="14"/>
        <v>51</v>
      </c>
      <c r="C55" s="67">
        <f ca="1">IF(E55-'Invoer gegevens'!$C$17&lt;0,0,1)</f>
        <v>1</v>
      </c>
      <c r="D55" s="68">
        <f t="shared" si="15"/>
        <v>50.5</v>
      </c>
      <c r="E55" s="108">
        <f ca="1">IF('Invoer gegevens'!$C$16="","",E54+1)</f>
        <v>2069</v>
      </c>
      <c r="F55" s="84">
        <f ca="1">IF('Invoer gegevens'!$C$17=E55,'Invoer gegevens'!$C$10,IF(C55=1,K54,0))</f>
        <v>0</v>
      </c>
      <c r="G55" s="96">
        <f ca="1">IF(BD55&lt;1,F55*Reeksen!C55,IF(C55&gt;=1,F55*BA55,0))</f>
        <v>0</v>
      </c>
      <c r="H55" s="84">
        <f ca="1">(1-('Invoer gegevens'!$F$20/12))*F55*MIN(BA55,BC55)</f>
        <v>0</v>
      </c>
      <c r="I55" s="84">
        <f t="shared" ca="1" si="0"/>
        <v>0</v>
      </c>
      <c r="J55" s="84">
        <f ca="1">('Invoer gegevens'!$F$20/12)*F54*MIN(BA55,BC55)</f>
        <v>0</v>
      </c>
      <c r="K55" s="97">
        <f t="shared" ca="1" si="5"/>
        <v>0</v>
      </c>
      <c r="L55" s="84">
        <f ca="1">IF('Invoer gegevens'!$C$17=E55,0,IF(C55=1,Q54,0))</f>
        <v>0</v>
      </c>
      <c r="M55" s="96">
        <f t="shared" ca="1" si="1"/>
        <v>0</v>
      </c>
      <c r="N55" s="84">
        <f ca="1">(1-('Invoer gegevens'!$F$20/12))*L55*MIN(BA55,BC55)</f>
        <v>0</v>
      </c>
      <c r="O55" s="84">
        <f t="shared" ca="1" si="2"/>
        <v>0</v>
      </c>
      <c r="P55" s="84">
        <f ca="1">('Invoer gegevens'!$F$20/12)*L54*MIN(BA55,BC55)</f>
        <v>0</v>
      </c>
      <c r="Q55" s="84">
        <f t="shared" ca="1" si="6"/>
        <v>0</v>
      </c>
      <c r="R55" s="85">
        <f ca="1">IF('Invoer gegevens'!$C$17=E55,'Invoer gegevens'!$C$11,IF(C55=1,W54,0))</f>
        <v>0</v>
      </c>
      <c r="S55" s="86">
        <f t="shared" ca="1" si="3"/>
        <v>0</v>
      </c>
      <c r="T55" s="86">
        <f ca="1">(1-('Invoer gegevens'!$F$20/12))*R55*MIN(BC55,BA55)</f>
        <v>0</v>
      </c>
      <c r="U55" s="86">
        <f ca="1">IF(BD55&lt;1,IF(Reeksen!AD55&lt;=Reeksen!AE55,R55*Reeksen!C55,0),IF(BC55&gt;=BA55,0,IF(Reeksen!AD55&lt;=Reeksen!AE55,(BA55-BC55)*R55,0)))</f>
        <v>0</v>
      </c>
      <c r="V55" s="86">
        <f ca="1">IF(BD55&lt;1,IF(Reeksen!AD55&gt;Reeksen!AE55,R55*Reeksen!C55,0),IF(BC55&gt;=BA55,0,IF(Reeksen!AD55&gt;Reeksen!AE55,(BA55-BC55)*R55,0)))</f>
        <v>0</v>
      </c>
      <c r="W55" s="218">
        <f t="shared" ca="1" si="7"/>
        <v>0</v>
      </c>
      <c r="X55" s="98">
        <f ca="1">IF('Invoer gegevens'!$C$17=E55,'Invoer gegevens'!$C$10-'Invoer gegevens'!$C$11,IF(C55=1,AC54,0))</f>
        <v>0</v>
      </c>
      <c r="Y55" s="98">
        <f t="shared" ca="1" si="4"/>
        <v>0</v>
      </c>
      <c r="Z55" s="98">
        <f ca="1">(1-('Invoer gegevens'!$F$20/12))*X55*MIN(BA55,BC55)</f>
        <v>0</v>
      </c>
      <c r="AA55" s="98">
        <f ca="1">IF(BD55&lt;1,IF(Reeksen!AD55&lt;=Reeksen!AE55,X55*Reeksen!C55,0),IF(BC55&gt;=BA55,0,IF(Reeksen!AD55&lt;=Reeksen!AE55,(BA55-BC55)*X55,0)))</f>
        <v>0</v>
      </c>
      <c r="AB55" s="98">
        <f ca="1">IF(BD55&lt;1,IF(Reeksen!AD55&gt;Reeksen!AE55,X55*Reeksen!C55,0),IF(BC55&gt;=BA55,0,IF(Reeksen!AD55&gt;Reeksen!AE55,(BA55-BC55)*X55,0)))</f>
        <v>0</v>
      </c>
      <c r="AC55" s="99">
        <f t="shared" ca="1" si="8"/>
        <v>0</v>
      </c>
      <c r="AD55" s="98">
        <f ca="1">IF('Invoer gegevens'!$C$17=E55,R55,IF(C55=0,0,AE54))</f>
        <v>0</v>
      </c>
      <c r="AE55" s="98">
        <f t="shared" ca="1" si="9"/>
        <v>0</v>
      </c>
      <c r="AF55" s="98">
        <f ca="1">IF('Invoer gegevens'!$C$17=E55,X55,IF(C55=0,0,AG54))</f>
        <v>0</v>
      </c>
      <c r="AG55" s="98">
        <f t="shared" ca="1" si="10"/>
        <v>0</v>
      </c>
      <c r="AH55" s="66"/>
      <c r="AI55" s="71">
        <f ca="1">IF(C55=1,Reeksen!AI55*((F55+K55)/2)*12+Reeksen!AD55*((L55+Q55)/2)*12,0)</f>
        <v>0</v>
      </c>
      <c r="AJ55" s="71">
        <f ca="1">-AI55*'Invoer gegevens'!$F$28</f>
        <v>0</v>
      </c>
      <c r="AK55" s="71">
        <f t="shared" ca="1" si="11"/>
        <v>0</v>
      </c>
      <c r="AL55" s="71">
        <f ca="1">IF(C55=1,Reeksen!AL55*((F55-G55+F55)/2)*12+Reeksen!AM55*((L55-M55+L55)/2)*12,0)</f>
        <v>0</v>
      </c>
      <c r="AM55" s="71">
        <f ca="1">-AL55*'Invoer gegevens'!$F$31</f>
        <v>0</v>
      </c>
      <c r="AN55" s="71">
        <f t="shared" ca="1" si="12"/>
        <v>0</v>
      </c>
      <c r="AO55" s="71">
        <f ca="1">IF(C55=1,(H55+J55+N55+P55)*Reeksen!AN55,0)</f>
        <v>0</v>
      </c>
      <c r="AP55" s="71">
        <f ca="1">-IF(C55=1,(H55+J55+N55+P55)*'Hulp - basis'!$G$550*Reeksen!H55,0)</f>
        <v>0</v>
      </c>
      <c r="AQ55" s="71">
        <f ca="1">-IF(C55=1,(F55+K55+L55+Q55)/2*'Invoer gegevens'!$F$35*Reeksen!J55,0)*2</f>
        <v>0</v>
      </c>
      <c r="AR55" s="71">
        <f ca="1">IF(BD55&lt;1,-IF(C55=1,(G55*'Invoer gegevens'!$F$36)*Reeksen!J55,0),0)</f>
        <v>0</v>
      </c>
      <c r="AS55" s="71">
        <f ca="1">-IF(C55=1,(F55+K55+L55+Q55)/2*'Invoer gegevens'!$F$37*Reeksen!L55,0)</f>
        <v>0</v>
      </c>
      <c r="AT55" s="71">
        <f ca="1">-IF(C55=1,IF(E55='Invoer gegevens'!$C$17,'Invoer gegevens'!$C$11,AD55)*Reeksen!S55*'Invoer gegevens'!$C$18*Reeksen!P55,0)</f>
        <v>0</v>
      </c>
      <c r="AU55" s="71">
        <f ca="1">-IF(C55=1,(F55+K55+L55+Q55)/2*'Invoer gegevens'!$F$38*Reeksen!H55,0)</f>
        <v>0</v>
      </c>
      <c r="AV55" s="71">
        <f t="shared" si="16"/>
        <v>0</v>
      </c>
      <c r="AW55" s="71">
        <f t="shared" ca="1" si="13"/>
        <v>0</v>
      </c>
      <c r="AX55" s="71">
        <f ca="1">IF(E55&lt;'Invoer gegevens'!$C$17+15,0,IF(E55&gt;'Invoer gegevens'!$C$17+215,0,AW55))</f>
        <v>0</v>
      </c>
      <c r="AY55" s="71">
        <f ca="1">AX55/(1+'Invoer gegevens'!$F$18)^($AZ55-('Invoer gegevens'!$C$17-'Invoer gegevens'!$C$16))/(1+'Invoer gegevens'!$C$39)^('Invoer gegevens'!$C$17-'Invoer gegevens'!$C$16)</f>
        <v>0</v>
      </c>
      <c r="AZ55" s="68">
        <f ca="1">IF(E55-'Invoer gegevens'!$C$17-14.5&lt;0,0,E55-'Invoer gegevens'!$C$17-14.5)</f>
        <v>35.5</v>
      </c>
      <c r="BA55" s="109">
        <f ca="1">IFERROR(VLOOKUP(E55-15,Reeksen!$A$5:$D$234,2,FALSE),0)</f>
        <v>0</v>
      </c>
      <c r="BB55" s="109">
        <f ca="1">IFERROR(VLOOKUP(E55-15,Reeksen!$A$5:$D$234,3,FALSE),0)</f>
        <v>0</v>
      </c>
      <c r="BC55" s="109">
        <f ca="1">IFERROR(VLOOKUP(E55-15,Reeksen!$A$5:$D$234,4,FALSE),0)</f>
        <v>0</v>
      </c>
      <c r="BD55" s="67">
        <f ca="1">IF(E55-'Invoer gegevens'!$C$17&lt;15,0,1)</f>
        <v>1</v>
      </c>
    </row>
    <row r="56" spans="1:56" x14ac:dyDescent="0.25">
      <c r="A56" s="59"/>
      <c r="B56" s="70">
        <f t="shared" si="14"/>
        <v>52</v>
      </c>
      <c r="C56" s="67">
        <f ca="1">IF(E56-'Invoer gegevens'!$C$17&lt;0,0,1)</f>
        <v>1</v>
      </c>
      <c r="D56" s="68">
        <f t="shared" si="15"/>
        <v>51.5</v>
      </c>
      <c r="E56" s="108">
        <f ca="1">IF('Invoer gegevens'!$C$16="","",E55+1)</f>
        <v>2070</v>
      </c>
      <c r="F56" s="84">
        <f ca="1">IF('Invoer gegevens'!$C$17=E56,'Invoer gegevens'!$C$10,IF(C56=1,K55,0))</f>
        <v>0</v>
      </c>
      <c r="G56" s="96">
        <f ca="1">IF(BD56&lt;1,F56*Reeksen!C56,IF(C56&gt;=1,F56*BA56,0))</f>
        <v>0</v>
      </c>
      <c r="H56" s="84">
        <f ca="1">(1-('Invoer gegevens'!$F$20/12))*F56*MIN(BA56,BC56)</f>
        <v>0</v>
      </c>
      <c r="I56" s="84">
        <f t="shared" ca="1" si="0"/>
        <v>0</v>
      </c>
      <c r="J56" s="84">
        <f ca="1">('Invoer gegevens'!$F$20/12)*F55*MIN(BA56,BC56)</f>
        <v>0</v>
      </c>
      <c r="K56" s="97">
        <f t="shared" ca="1" si="5"/>
        <v>0</v>
      </c>
      <c r="L56" s="84">
        <f ca="1">IF('Invoer gegevens'!$C$17=E56,0,IF(C56=1,Q55,0))</f>
        <v>0</v>
      </c>
      <c r="M56" s="96">
        <f t="shared" ca="1" si="1"/>
        <v>0</v>
      </c>
      <c r="N56" s="84">
        <f ca="1">(1-('Invoer gegevens'!$F$20/12))*L56*MIN(BA56,BC56)</f>
        <v>0</v>
      </c>
      <c r="O56" s="84">
        <f t="shared" ca="1" si="2"/>
        <v>0</v>
      </c>
      <c r="P56" s="84">
        <f ca="1">('Invoer gegevens'!$F$20/12)*L55*MIN(BA56,BC56)</f>
        <v>0</v>
      </c>
      <c r="Q56" s="84">
        <f t="shared" ca="1" si="6"/>
        <v>0</v>
      </c>
      <c r="R56" s="85">
        <f ca="1">IF('Invoer gegevens'!$C$17=E56,'Invoer gegevens'!$C$11,IF(C56=1,W55,0))</f>
        <v>0</v>
      </c>
      <c r="S56" s="86">
        <f t="shared" ca="1" si="3"/>
        <v>0</v>
      </c>
      <c r="T56" s="86">
        <f ca="1">(1-('Invoer gegevens'!$F$20/12))*R56*MIN(BC56,BA56)</f>
        <v>0</v>
      </c>
      <c r="U56" s="86">
        <f ca="1">IF(BD56&lt;1,IF(Reeksen!AD56&lt;=Reeksen!AE56,R56*Reeksen!C56,0),IF(BC56&gt;=BA56,0,IF(Reeksen!AD56&lt;=Reeksen!AE56,(BA56-BC56)*R56,0)))</f>
        <v>0</v>
      </c>
      <c r="V56" s="86">
        <f ca="1">IF(BD56&lt;1,IF(Reeksen!AD56&gt;Reeksen!AE56,R56*Reeksen!C56,0),IF(BC56&gt;=BA56,0,IF(Reeksen!AD56&gt;Reeksen!AE56,(BA56-BC56)*R56,0)))</f>
        <v>0</v>
      </c>
      <c r="W56" s="218">
        <f t="shared" ca="1" si="7"/>
        <v>0</v>
      </c>
      <c r="X56" s="98">
        <f ca="1">IF('Invoer gegevens'!$C$17=E56,'Invoer gegevens'!$C$10-'Invoer gegevens'!$C$11,IF(C56=1,AC55,0))</f>
        <v>0</v>
      </c>
      <c r="Y56" s="98">
        <f t="shared" ca="1" si="4"/>
        <v>0</v>
      </c>
      <c r="Z56" s="98">
        <f ca="1">(1-('Invoer gegevens'!$F$20/12))*X56*MIN(BA56,BC56)</f>
        <v>0</v>
      </c>
      <c r="AA56" s="98">
        <f ca="1">IF(BD56&lt;1,IF(Reeksen!AD56&lt;=Reeksen!AE56,X56*Reeksen!C56,0),IF(BC56&gt;=BA56,0,IF(Reeksen!AD56&lt;=Reeksen!AE56,(BA56-BC56)*X56,0)))</f>
        <v>0</v>
      </c>
      <c r="AB56" s="98">
        <f ca="1">IF(BD56&lt;1,IF(Reeksen!AD56&gt;Reeksen!AE56,X56*Reeksen!C56,0),IF(BC56&gt;=BA56,0,IF(Reeksen!AD56&gt;Reeksen!AE56,(BA56-BC56)*X56,0)))</f>
        <v>0</v>
      </c>
      <c r="AC56" s="99">
        <f t="shared" ca="1" si="8"/>
        <v>0</v>
      </c>
      <c r="AD56" s="98">
        <f ca="1">IF('Invoer gegevens'!$C$17=E56,R56,IF(C56=0,0,AE55))</f>
        <v>0</v>
      </c>
      <c r="AE56" s="98">
        <f t="shared" ca="1" si="9"/>
        <v>0</v>
      </c>
      <c r="AF56" s="98">
        <f ca="1">IF('Invoer gegevens'!$C$17=E56,X56,IF(C56=0,0,AG55))</f>
        <v>0</v>
      </c>
      <c r="AG56" s="98">
        <f t="shared" ca="1" si="10"/>
        <v>0</v>
      </c>
      <c r="AH56" s="66"/>
      <c r="AI56" s="71">
        <f ca="1">IF(C56=1,Reeksen!AI56*((F56+K56)/2)*12+Reeksen!AD56*((L56+Q56)/2)*12,0)</f>
        <v>0</v>
      </c>
      <c r="AJ56" s="71">
        <f ca="1">-AI56*'Invoer gegevens'!$F$28</f>
        <v>0</v>
      </c>
      <c r="AK56" s="71">
        <f t="shared" ca="1" si="11"/>
        <v>0</v>
      </c>
      <c r="AL56" s="71">
        <f ca="1">IF(C56=1,Reeksen!AL56*((F56-G56+F56)/2)*12+Reeksen!AM56*((L56-M56+L56)/2)*12,0)</f>
        <v>0</v>
      </c>
      <c r="AM56" s="71">
        <f ca="1">-AL56*'Invoer gegevens'!$F$31</f>
        <v>0</v>
      </c>
      <c r="AN56" s="71">
        <f t="shared" ca="1" si="12"/>
        <v>0</v>
      </c>
      <c r="AO56" s="71">
        <f ca="1">IF(C56=1,(H56+J56+N56+P56)*Reeksen!AN56,0)</f>
        <v>0</v>
      </c>
      <c r="AP56" s="71">
        <f ca="1">-IF(C56=1,(H56+J56+N56+P56)*'Hulp - basis'!$G$550*Reeksen!H56,0)</f>
        <v>0</v>
      </c>
      <c r="AQ56" s="71">
        <f ca="1">-IF(C56=1,(F56+K56+L56+Q56)/2*'Invoer gegevens'!$F$35*Reeksen!J56,0)*2</f>
        <v>0</v>
      </c>
      <c r="AR56" s="71">
        <f ca="1">IF(BD56&lt;1,-IF(C56=1,(G56*'Invoer gegevens'!$F$36)*Reeksen!J56,0),0)</f>
        <v>0</v>
      </c>
      <c r="AS56" s="71">
        <f ca="1">-IF(C56=1,(F56+K56+L56+Q56)/2*'Invoer gegevens'!$F$37*Reeksen!L56,0)</f>
        <v>0</v>
      </c>
      <c r="AT56" s="71">
        <f ca="1">-IF(C56=1,IF(E56='Invoer gegevens'!$C$17,'Invoer gegevens'!$C$11,AD56)*Reeksen!S56*'Invoer gegevens'!$C$18*Reeksen!P56,0)</f>
        <v>0</v>
      </c>
      <c r="AU56" s="71">
        <f ca="1">-IF(C56=1,(F56+K56+L56+Q56)/2*'Invoer gegevens'!$F$38*Reeksen!H56,0)</f>
        <v>0</v>
      </c>
      <c r="AV56" s="71">
        <f t="shared" si="16"/>
        <v>0</v>
      </c>
      <c r="AW56" s="71">
        <f t="shared" ca="1" si="13"/>
        <v>0</v>
      </c>
      <c r="AX56" s="71">
        <f ca="1">IF(E56&lt;'Invoer gegevens'!$C$17+15,0,IF(E56&gt;'Invoer gegevens'!$C$17+215,0,AW56))</f>
        <v>0</v>
      </c>
      <c r="AY56" s="71">
        <f ca="1">AX56/(1+'Invoer gegevens'!$F$18)^($AZ56-('Invoer gegevens'!$C$17-'Invoer gegevens'!$C$16))/(1+'Invoer gegevens'!$C$39)^('Invoer gegevens'!$C$17-'Invoer gegevens'!$C$16)</f>
        <v>0</v>
      </c>
      <c r="AZ56" s="68">
        <f ca="1">IF(E56-'Invoer gegevens'!$C$17-14.5&lt;0,0,E56-'Invoer gegevens'!$C$17-14.5)</f>
        <v>36.5</v>
      </c>
      <c r="BA56" s="109">
        <f ca="1">IFERROR(VLOOKUP(E56-15,Reeksen!$A$5:$D$234,2,FALSE),0)</f>
        <v>0</v>
      </c>
      <c r="BB56" s="109">
        <f ca="1">IFERROR(VLOOKUP(E56-15,Reeksen!$A$5:$D$234,3,FALSE),0)</f>
        <v>0</v>
      </c>
      <c r="BC56" s="109">
        <f ca="1">IFERROR(VLOOKUP(E56-15,Reeksen!$A$5:$D$234,4,FALSE),0)</f>
        <v>0</v>
      </c>
      <c r="BD56" s="67">
        <f ca="1">IF(E56-'Invoer gegevens'!$C$17&lt;15,0,1)</f>
        <v>1</v>
      </c>
    </row>
    <row r="57" spans="1:56" x14ac:dyDescent="0.25">
      <c r="A57" s="59"/>
      <c r="B57" s="70">
        <f t="shared" si="14"/>
        <v>53</v>
      </c>
      <c r="C57" s="67">
        <f ca="1">IF(E57-'Invoer gegevens'!$C$17&lt;0,0,1)</f>
        <v>1</v>
      </c>
      <c r="D57" s="68">
        <f t="shared" si="15"/>
        <v>52.5</v>
      </c>
      <c r="E57" s="108">
        <f ca="1">IF('Invoer gegevens'!$C$16="","",E56+1)</f>
        <v>2071</v>
      </c>
      <c r="F57" s="84">
        <f ca="1">IF('Invoer gegevens'!$C$17=E57,'Invoer gegevens'!$C$10,IF(C57=1,K56,0))</f>
        <v>0</v>
      </c>
      <c r="G57" s="96">
        <f ca="1">IF(BD57&lt;1,F57*Reeksen!C57,IF(C57&gt;=1,F57*BA57,0))</f>
        <v>0</v>
      </c>
      <c r="H57" s="84">
        <f ca="1">(1-('Invoer gegevens'!$F$20/12))*F57*MIN(BA57,BC57)</f>
        <v>0</v>
      </c>
      <c r="I57" s="84">
        <f t="shared" ca="1" si="0"/>
        <v>0</v>
      </c>
      <c r="J57" s="84">
        <f ca="1">('Invoer gegevens'!$F$20/12)*F56*MIN(BA57,BC57)</f>
        <v>0</v>
      </c>
      <c r="K57" s="97">
        <f t="shared" ca="1" si="5"/>
        <v>0</v>
      </c>
      <c r="L57" s="84">
        <f ca="1">IF('Invoer gegevens'!$C$17=E57,0,IF(C57=1,Q56,0))</f>
        <v>0</v>
      </c>
      <c r="M57" s="96">
        <f t="shared" ca="1" si="1"/>
        <v>0</v>
      </c>
      <c r="N57" s="84">
        <f ca="1">(1-('Invoer gegevens'!$F$20/12))*L57*MIN(BA57,BC57)</f>
        <v>0</v>
      </c>
      <c r="O57" s="84">
        <f t="shared" ca="1" si="2"/>
        <v>0</v>
      </c>
      <c r="P57" s="84">
        <f ca="1">('Invoer gegevens'!$F$20/12)*L56*MIN(BA57,BC57)</f>
        <v>0</v>
      </c>
      <c r="Q57" s="84">
        <f t="shared" ca="1" si="6"/>
        <v>0</v>
      </c>
      <c r="R57" s="85">
        <f ca="1">IF('Invoer gegevens'!$C$17=E57,'Invoer gegevens'!$C$11,IF(C57=1,W56,0))</f>
        <v>0</v>
      </c>
      <c r="S57" s="86">
        <f t="shared" ca="1" si="3"/>
        <v>0</v>
      </c>
      <c r="T57" s="86">
        <f ca="1">(1-('Invoer gegevens'!$F$20/12))*R57*MIN(BC57,BA57)</f>
        <v>0</v>
      </c>
      <c r="U57" s="86">
        <f ca="1">IF(BD57&lt;1,IF(Reeksen!AD57&lt;=Reeksen!AE57,R57*Reeksen!C57,0),IF(BC57&gt;=BA57,0,IF(Reeksen!AD57&lt;=Reeksen!AE57,(BA57-BC57)*R57,0)))</f>
        <v>0</v>
      </c>
      <c r="V57" s="86">
        <f ca="1">IF(BD57&lt;1,IF(Reeksen!AD57&gt;Reeksen!AE57,R57*Reeksen!C57,0),IF(BC57&gt;=BA57,0,IF(Reeksen!AD57&gt;Reeksen!AE57,(BA57-BC57)*R57,0)))</f>
        <v>0</v>
      </c>
      <c r="W57" s="218">
        <f t="shared" ca="1" si="7"/>
        <v>0</v>
      </c>
      <c r="X57" s="98">
        <f ca="1">IF('Invoer gegevens'!$C$17=E57,'Invoer gegevens'!$C$10-'Invoer gegevens'!$C$11,IF(C57=1,AC56,0))</f>
        <v>0</v>
      </c>
      <c r="Y57" s="98">
        <f t="shared" ca="1" si="4"/>
        <v>0</v>
      </c>
      <c r="Z57" s="98">
        <f ca="1">(1-('Invoer gegevens'!$F$20/12))*X57*MIN(BA57,BC57)</f>
        <v>0</v>
      </c>
      <c r="AA57" s="98">
        <f ca="1">IF(BD57&lt;1,IF(Reeksen!AD57&lt;=Reeksen!AE57,X57*Reeksen!C57,0),IF(BC57&gt;=BA57,0,IF(Reeksen!AD57&lt;=Reeksen!AE57,(BA57-BC57)*X57,0)))</f>
        <v>0</v>
      </c>
      <c r="AB57" s="98">
        <f ca="1">IF(BD57&lt;1,IF(Reeksen!AD57&gt;Reeksen!AE57,X57*Reeksen!C57,0),IF(BC57&gt;=BA57,0,IF(Reeksen!AD57&gt;Reeksen!AE57,(BA57-BC57)*X57,0)))</f>
        <v>0</v>
      </c>
      <c r="AC57" s="99">
        <f t="shared" ca="1" si="8"/>
        <v>0</v>
      </c>
      <c r="AD57" s="98">
        <f ca="1">IF('Invoer gegevens'!$C$17=E57,R57,IF(C57=0,0,AE56))</f>
        <v>0</v>
      </c>
      <c r="AE57" s="98">
        <f t="shared" ca="1" si="9"/>
        <v>0</v>
      </c>
      <c r="AF57" s="98">
        <f ca="1">IF('Invoer gegevens'!$C$17=E57,X57,IF(C57=0,0,AG56))</f>
        <v>0</v>
      </c>
      <c r="AG57" s="98">
        <f t="shared" ca="1" si="10"/>
        <v>0</v>
      </c>
      <c r="AH57" s="66"/>
      <c r="AI57" s="71">
        <f ca="1">IF(C57=1,Reeksen!AI57*((F57+K57)/2)*12+Reeksen!AD57*((L57+Q57)/2)*12,0)</f>
        <v>0</v>
      </c>
      <c r="AJ57" s="71">
        <f ca="1">-AI57*'Invoer gegevens'!$F$28</f>
        <v>0</v>
      </c>
      <c r="AK57" s="71">
        <f t="shared" ca="1" si="11"/>
        <v>0</v>
      </c>
      <c r="AL57" s="71">
        <f ca="1">IF(C57=1,Reeksen!AL57*((F57-G57+F57)/2)*12+Reeksen!AM57*((L57-M57+L57)/2)*12,0)</f>
        <v>0</v>
      </c>
      <c r="AM57" s="71">
        <f ca="1">-AL57*'Invoer gegevens'!$F$31</f>
        <v>0</v>
      </c>
      <c r="AN57" s="71">
        <f t="shared" ca="1" si="12"/>
        <v>0</v>
      </c>
      <c r="AO57" s="71">
        <f ca="1">IF(C57=1,(H57+J57+N57+P57)*Reeksen!AN57,0)</f>
        <v>0</v>
      </c>
      <c r="AP57" s="71">
        <f ca="1">-IF(C57=1,(H57+J57+N57+P57)*'Hulp - basis'!$G$550*Reeksen!H57,0)</f>
        <v>0</v>
      </c>
      <c r="AQ57" s="71">
        <f ca="1">-IF(C57=1,(F57+K57+L57+Q57)/2*'Invoer gegevens'!$F$35*Reeksen!J57,0)*2</f>
        <v>0</v>
      </c>
      <c r="AR57" s="71">
        <f ca="1">IF(BD57&lt;1,-IF(C57=1,(G57*'Invoer gegevens'!$F$36)*Reeksen!J57,0),0)</f>
        <v>0</v>
      </c>
      <c r="AS57" s="71">
        <f ca="1">-IF(C57=1,(F57+K57+L57+Q57)/2*'Invoer gegevens'!$F$37*Reeksen!L57,0)</f>
        <v>0</v>
      </c>
      <c r="AT57" s="71">
        <f ca="1">-IF(C57=1,IF(E57='Invoer gegevens'!$C$17,'Invoer gegevens'!$C$11,AD57)*Reeksen!S57*'Invoer gegevens'!$C$18*Reeksen!P57,0)</f>
        <v>0</v>
      </c>
      <c r="AU57" s="71">
        <f ca="1">-IF(C57=1,(F57+K57+L57+Q57)/2*'Invoer gegevens'!$F$38*Reeksen!H57,0)</f>
        <v>0</v>
      </c>
      <c r="AV57" s="71">
        <f t="shared" si="16"/>
        <v>0</v>
      </c>
      <c r="AW57" s="71">
        <f t="shared" ca="1" si="13"/>
        <v>0</v>
      </c>
      <c r="AX57" s="71">
        <f ca="1">IF(E57&lt;'Invoer gegevens'!$C$17+15,0,IF(E57&gt;'Invoer gegevens'!$C$17+215,0,AW57))</f>
        <v>0</v>
      </c>
      <c r="AY57" s="71">
        <f ca="1">AX57/(1+'Invoer gegevens'!$F$18)^($AZ57-('Invoer gegevens'!$C$17-'Invoer gegevens'!$C$16))/(1+'Invoer gegevens'!$C$39)^('Invoer gegevens'!$C$17-'Invoer gegevens'!$C$16)</f>
        <v>0</v>
      </c>
      <c r="AZ57" s="68">
        <f ca="1">IF(E57-'Invoer gegevens'!$C$17-14.5&lt;0,0,E57-'Invoer gegevens'!$C$17-14.5)</f>
        <v>37.5</v>
      </c>
      <c r="BA57" s="109">
        <f ca="1">IFERROR(VLOOKUP(E57-15,Reeksen!$A$5:$D$234,2,FALSE),0)</f>
        <v>0</v>
      </c>
      <c r="BB57" s="109">
        <f ca="1">IFERROR(VLOOKUP(E57-15,Reeksen!$A$5:$D$234,3,FALSE),0)</f>
        <v>0</v>
      </c>
      <c r="BC57" s="109">
        <f ca="1">IFERROR(VLOOKUP(E57-15,Reeksen!$A$5:$D$234,4,FALSE),0)</f>
        <v>0</v>
      </c>
      <c r="BD57" s="67">
        <f ca="1">IF(E57-'Invoer gegevens'!$C$17&lt;15,0,1)</f>
        <v>1</v>
      </c>
    </row>
    <row r="58" spans="1:56" x14ac:dyDescent="0.25">
      <c r="A58" s="59"/>
      <c r="B58" s="70">
        <f t="shared" si="14"/>
        <v>54</v>
      </c>
      <c r="C58" s="67">
        <f ca="1">IF(E58-'Invoer gegevens'!$C$17&lt;0,0,1)</f>
        <v>1</v>
      </c>
      <c r="D58" s="68">
        <f t="shared" si="15"/>
        <v>53.5</v>
      </c>
      <c r="E58" s="108">
        <f ca="1">IF('Invoer gegevens'!$C$16="","",E57+1)</f>
        <v>2072</v>
      </c>
      <c r="F58" s="84">
        <f ca="1">IF('Invoer gegevens'!$C$17=E58,'Invoer gegevens'!$C$10,IF(C58=1,K57,0))</f>
        <v>0</v>
      </c>
      <c r="G58" s="96">
        <f ca="1">IF(BD58&lt;1,F58*Reeksen!C58,IF(C58&gt;=1,F58*BA58,0))</f>
        <v>0</v>
      </c>
      <c r="H58" s="84">
        <f ca="1">(1-('Invoer gegevens'!$F$20/12))*F58*MIN(BA58,BC58)</f>
        <v>0</v>
      </c>
      <c r="I58" s="84">
        <f t="shared" ca="1" si="0"/>
        <v>0</v>
      </c>
      <c r="J58" s="84">
        <f ca="1">('Invoer gegevens'!$F$20/12)*F57*MIN(BA58,BC58)</f>
        <v>0</v>
      </c>
      <c r="K58" s="97">
        <f t="shared" ca="1" si="5"/>
        <v>0</v>
      </c>
      <c r="L58" s="84">
        <f ca="1">IF('Invoer gegevens'!$C$17=E58,0,IF(C58=1,Q57,0))</f>
        <v>0</v>
      </c>
      <c r="M58" s="96">
        <f t="shared" ca="1" si="1"/>
        <v>0</v>
      </c>
      <c r="N58" s="84">
        <f ca="1">(1-('Invoer gegevens'!$F$20/12))*L58*MIN(BA58,BC58)</f>
        <v>0</v>
      </c>
      <c r="O58" s="84">
        <f t="shared" ca="1" si="2"/>
        <v>0</v>
      </c>
      <c r="P58" s="84">
        <f ca="1">('Invoer gegevens'!$F$20/12)*L57*MIN(BA58,BC58)</f>
        <v>0</v>
      </c>
      <c r="Q58" s="84">
        <f t="shared" ca="1" si="6"/>
        <v>0</v>
      </c>
      <c r="R58" s="85">
        <f ca="1">IF('Invoer gegevens'!$C$17=E58,'Invoer gegevens'!$C$11,IF(C58=1,W57,0))</f>
        <v>0</v>
      </c>
      <c r="S58" s="86">
        <f t="shared" ca="1" si="3"/>
        <v>0</v>
      </c>
      <c r="T58" s="86">
        <f ca="1">(1-('Invoer gegevens'!$F$20/12))*R58*MIN(BC58,BA58)</f>
        <v>0</v>
      </c>
      <c r="U58" s="86">
        <f ca="1">IF(BD58&lt;1,IF(Reeksen!AD58&lt;=Reeksen!AE58,R58*Reeksen!C58,0),IF(BC58&gt;=BA58,0,IF(Reeksen!AD58&lt;=Reeksen!AE58,(BA58-BC58)*R58,0)))</f>
        <v>0</v>
      </c>
      <c r="V58" s="86">
        <f ca="1">IF(BD58&lt;1,IF(Reeksen!AD58&gt;Reeksen!AE58,R58*Reeksen!C58,0),IF(BC58&gt;=BA58,0,IF(Reeksen!AD58&gt;Reeksen!AE58,(BA58-BC58)*R58,0)))</f>
        <v>0</v>
      </c>
      <c r="W58" s="218">
        <f t="shared" ca="1" si="7"/>
        <v>0</v>
      </c>
      <c r="X58" s="98">
        <f ca="1">IF('Invoer gegevens'!$C$17=E58,'Invoer gegevens'!$C$10-'Invoer gegevens'!$C$11,IF(C58=1,AC57,0))</f>
        <v>0</v>
      </c>
      <c r="Y58" s="98">
        <f t="shared" ca="1" si="4"/>
        <v>0</v>
      </c>
      <c r="Z58" s="98">
        <f ca="1">(1-('Invoer gegevens'!$F$20/12))*X58*MIN(BA58,BC58)</f>
        <v>0</v>
      </c>
      <c r="AA58" s="98">
        <f ca="1">IF(BD58&lt;1,IF(Reeksen!AD58&lt;=Reeksen!AE58,X58*Reeksen!C58,0),IF(BC58&gt;=BA58,0,IF(Reeksen!AD58&lt;=Reeksen!AE58,(BA58-BC58)*X58,0)))</f>
        <v>0</v>
      </c>
      <c r="AB58" s="98">
        <f ca="1">IF(BD58&lt;1,IF(Reeksen!AD58&gt;Reeksen!AE58,X58*Reeksen!C58,0),IF(BC58&gt;=BA58,0,IF(Reeksen!AD58&gt;Reeksen!AE58,(BA58-BC58)*X58,0)))</f>
        <v>0</v>
      </c>
      <c r="AC58" s="99">
        <f t="shared" ca="1" si="8"/>
        <v>0</v>
      </c>
      <c r="AD58" s="98">
        <f ca="1">IF('Invoer gegevens'!$C$17=E58,R58,IF(C58=0,0,AE57))</f>
        <v>0</v>
      </c>
      <c r="AE58" s="98">
        <f t="shared" ca="1" si="9"/>
        <v>0</v>
      </c>
      <c r="AF58" s="98">
        <f ca="1">IF('Invoer gegevens'!$C$17=E58,X58,IF(C58=0,0,AG57))</f>
        <v>0</v>
      </c>
      <c r="AG58" s="98">
        <f t="shared" ca="1" si="10"/>
        <v>0</v>
      </c>
      <c r="AH58" s="66"/>
      <c r="AI58" s="71">
        <f ca="1">IF(C58=1,Reeksen!AI58*((F58+K58)/2)*12+Reeksen!AD58*((L58+Q58)/2)*12,0)</f>
        <v>0</v>
      </c>
      <c r="AJ58" s="71">
        <f ca="1">-AI58*'Invoer gegevens'!$F$28</f>
        <v>0</v>
      </c>
      <c r="AK58" s="71">
        <f t="shared" ca="1" si="11"/>
        <v>0</v>
      </c>
      <c r="AL58" s="71">
        <f ca="1">IF(C58=1,Reeksen!AL58*((F58-G58+F58)/2)*12+Reeksen!AM58*((L58-M58+L58)/2)*12,0)</f>
        <v>0</v>
      </c>
      <c r="AM58" s="71">
        <f ca="1">-AL58*'Invoer gegevens'!$F$31</f>
        <v>0</v>
      </c>
      <c r="AN58" s="71">
        <f t="shared" ca="1" si="12"/>
        <v>0</v>
      </c>
      <c r="AO58" s="71">
        <f ca="1">IF(C58=1,(H58+J58+N58+P58)*Reeksen!AN58,0)</f>
        <v>0</v>
      </c>
      <c r="AP58" s="71">
        <f ca="1">-IF(C58=1,(H58+J58+N58+P58)*'Hulp - basis'!$G$550*Reeksen!H58,0)</f>
        <v>0</v>
      </c>
      <c r="AQ58" s="71">
        <f ca="1">-IF(C58=1,(F58+K58+L58+Q58)/2*'Invoer gegevens'!$F$35*Reeksen!J58,0)*2</f>
        <v>0</v>
      </c>
      <c r="AR58" s="71">
        <f ca="1">IF(BD58&lt;1,-IF(C58=1,(G58*'Invoer gegevens'!$F$36)*Reeksen!J58,0),0)</f>
        <v>0</v>
      </c>
      <c r="AS58" s="71">
        <f ca="1">-IF(C58=1,(F58+K58+L58+Q58)/2*'Invoer gegevens'!$F$37*Reeksen!L58,0)</f>
        <v>0</v>
      </c>
      <c r="AT58" s="71">
        <f ca="1">-IF(C58=1,IF(E58='Invoer gegevens'!$C$17,'Invoer gegevens'!$C$11,AD58)*Reeksen!S58*'Invoer gegevens'!$C$18*Reeksen!P58,0)</f>
        <v>0</v>
      </c>
      <c r="AU58" s="71">
        <f ca="1">-IF(C58=1,(F58+K58+L58+Q58)/2*'Invoer gegevens'!$F$38*Reeksen!H58,0)</f>
        <v>0</v>
      </c>
      <c r="AV58" s="71">
        <f t="shared" si="16"/>
        <v>0</v>
      </c>
      <c r="AW58" s="71">
        <f t="shared" ca="1" si="13"/>
        <v>0</v>
      </c>
      <c r="AX58" s="71">
        <f ca="1">IF(E58&lt;'Invoer gegevens'!$C$17+15,0,IF(E58&gt;'Invoer gegevens'!$C$17+215,0,AW58))</f>
        <v>0</v>
      </c>
      <c r="AY58" s="71">
        <f ca="1">AX58/(1+'Invoer gegevens'!$F$18)^($AZ58-('Invoer gegevens'!$C$17-'Invoer gegevens'!$C$16))/(1+'Invoer gegevens'!$C$39)^('Invoer gegevens'!$C$17-'Invoer gegevens'!$C$16)</f>
        <v>0</v>
      </c>
      <c r="AZ58" s="68">
        <f ca="1">IF(E58-'Invoer gegevens'!$C$17-14.5&lt;0,0,E58-'Invoer gegevens'!$C$17-14.5)</f>
        <v>38.5</v>
      </c>
      <c r="BA58" s="109">
        <f ca="1">IFERROR(VLOOKUP(E58-15,Reeksen!$A$5:$D$234,2,FALSE),0)</f>
        <v>0</v>
      </c>
      <c r="BB58" s="109">
        <f ca="1">IFERROR(VLOOKUP(E58-15,Reeksen!$A$5:$D$234,3,FALSE),0)</f>
        <v>0</v>
      </c>
      <c r="BC58" s="109">
        <f ca="1">IFERROR(VLOOKUP(E58-15,Reeksen!$A$5:$D$234,4,FALSE),0)</f>
        <v>0</v>
      </c>
      <c r="BD58" s="67">
        <f ca="1">IF(E58-'Invoer gegevens'!$C$17&lt;15,0,1)</f>
        <v>1</v>
      </c>
    </row>
    <row r="59" spans="1:56" x14ac:dyDescent="0.25">
      <c r="A59" s="59"/>
      <c r="B59" s="70">
        <f t="shared" si="14"/>
        <v>55</v>
      </c>
      <c r="C59" s="67">
        <f ca="1">IF(E59-'Invoer gegevens'!$C$17&lt;0,0,1)</f>
        <v>1</v>
      </c>
      <c r="D59" s="68">
        <f t="shared" si="15"/>
        <v>54.5</v>
      </c>
      <c r="E59" s="108">
        <f ca="1">IF('Invoer gegevens'!$C$16="","",E58+1)</f>
        <v>2073</v>
      </c>
      <c r="F59" s="84">
        <f ca="1">IF('Invoer gegevens'!$C$17=E59,'Invoer gegevens'!$C$10,IF(C59=1,K58,0))</f>
        <v>0</v>
      </c>
      <c r="G59" s="96">
        <f ca="1">IF(BD59&lt;1,F59*Reeksen!C59,IF(C59&gt;=1,F59*BA59,0))</f>
        <v>0</v>
      </c>
      <c r="H59" s="84">
        <f ca="1">(1-('Invoer gegevens'!$F$20/12))*F59*MIN(BA59,BC59)</f>
        <v>0</v>
      </c>
      <c r="I59" s="84">
        <f t="shared" ca="1" si="0"/>
        <v>0</v>
      </c>
      <c r="J59" s="84">
        <f ca="1">('Invoer gegevens'!$F$20/12)*F58*MIN(BA59,BC59)</f>
        <v>0</v>
      </c>
      <c r="K59" s="97">
        <f t="shared" ca="1" si="5"/>
        <v>0</v>
      </c>
      <c r="L59" s="84">
        <f ca="1">IF('Invoer gegevens'!$C$17=E59,0,IF(C59=1,Q58,0))</f>
        <v>0</v>
      </c>
      <c r="M59" s="96">
        <f t="shared" ca="1" si="1"/>
        <v>0</v>
      </c>
      <c r="N59" s="84">
        <f ca="1">(1-('Invoer gegevens'!$F$20/12))*L59*MIN(BA59,BC59)</f>
        <v>0</v>
      </c>
      <c r="O59" s="84">
        <f t="shared" ca="1" si="2"/>
        <v>0</v>
      </c>
      <c r="P59" s="84">
        <f ca="1">('Invoer gegevens'!$F$20/12)*L58*MIN(BA59,BC59)</f>
        <v>0</v>
      </c>
      <c r="Q59" s="84">
        <f t="shared" ca="1" si="6"/>
        <v>0</v>
      </c>
      <c r="R59" s="85">
        <f ca="1">IF('Invoer gegevens'!$C$17=E59,'Invoer gegevens'!$C$11,IF(C59=1,W58,0))</f>
        <v>0</v>
      </c>
      <c r="S59" s="86">
        <f t="shared" ca="1" si="3"/>
        <v>0</v>
      </c>
      <c r="T59" s="86">
        <f ca="1">(1-('Invoer gegevens'!$F$20/12))*R59*MIN(BC59,BA59)</f>
        <v>0</v>
      </c>
      <c r="U59" s="86">
        <f ca="1">IF(BD59&lt;1,IF(Reeksen!AD59&lt;=Reeksen!AE59,R59*Reeksen!C59,0),IF(BC59&gt;=BA59,0,IF(Reeksen!AD59&lt;=Reeksen!AE59,(BA59-BC59)*R59,0)))</f>
        <v>0</v>
      </c>
      <c r="V59" s="86">
        <f ca="1">IF(BD59&lt;1,IF(Reeksen!AD59&gt;Reeksen!AE59,R59*Reeksen!C59,0),IF(BC59&gt;=BA59,0,IF(Reeksen!AD59&gt;Reeksen!AE59,(BA59-BC59)*R59,0)))</f>
        <v>0</v>
      </c>
      <c r="W59" s="218">
        <f t="shared" ca="1" si="7"/>
        <v>0</v>
      </c>
      <c r="X59" s="98">
        <f ca="1">IF('Invoer gegevens'!$C$17=E59,'Invoer gegevens'!$C$10-'Invoer gegevens'!$C$11,IF(C59=1,AC58,0))</f>
        <v>0</v>
      </c>
      <c r="Y59" s="98">
        <f t="shared" ca="1" si="4"/>
        <v>0</v>
      </c>
      <c r="Z59" s="98">
        <f ca="1">(1-('Invoer gegevens'!$F$20/12))*X59*MIN(BA59,BC59)</f>
        <v>0</v>
      </c>
      <c r="AA59" s="98">
        <f ca="1">IF(BD59&lt;1,IF(Reeksen!AD59&lt;=Reeksen!AE59,X59*Reeksen!C59,0),IF(BC59&gt;=BA59,0,IF(Reeksen!AD59&lt;=Reeksen!AE59,(BA59-BC59)*X59,0)))</f>
        <v>0</v>
      </c>
      <c r="AB59" s="98">
        <f ca="1">IF(BD59&lt;1,IF(Reeksen!AD59&gt;Reeksen!AE59,X59*Reeksen!C59,0),IF(BC59&gt;=BA59,0,IF(Reeksen!AD59&gt;Reeksen!AE59,(BA59-BC59)*X59,0)))</f>
        <v>0</v>
      </c>
      <c r="AC59" s="99">
        <f t="shared" ca="1" si="8"/>
        <v>0</v>
      </c>
      <c r="AD59" s="98">
        <f ca="1">IF('Invoer gegevens'!$C$17=E59,R59,IF(C59=0,0,AE58))</f>
        <v>0</v>
      </c>
      <c r="AE59" s="98">
        <f t="shared" ca="1" si="9"/>
        <v>0</v>
      </c>
      <c r="AF59" s="98">
        <f ca="1">IF('Invoer gegevens'!$C$17=E59,X59,IF(C59=0,0,AG58))</f>
        <v>0</v>
      </c>
      <c r="AG59" s="98">
        <f t="shared" ca="1" si="10"/>
        <v>0</v>
      </c>
      <c r="AH59" s="66"/>
      <c r="AI59" s="71">
        <f ca="1">IF(C59=1,Reeksen!AI59*((F59+K59)/2)*12+Reeksen!AD59*((L59+Q59)/2)*12,0)</f>
        <v>0</v>
      </c>
      <c r="AJ59" s="71">
        <f ca="1">-AI59*'Invoer gegevens'!$F$28</f>
        <v>0</v>
      </c>
      <c r="AK59" s="71">
        <f t="shared" ca="1" si="11"/>
        <v>0</v>
      </c>
      <c r="AL59" s="71">
        <f ca="1">IF(C59=1,Reeksen!AL59*((F59-G59+F59)/2)*12+Reeksen!AM59*((L59-M59+L59)/2)*12,0)</f>
        <v>0</v>
      </c>
      <c r="AM59" s="71">
        <f ca="1">-AL59*'Invoer gegevens'!$F$31</f>
        <v>0</v>
      </c>
      <c r="AN59" s="71">
        <f t="shared" ca="1" si="12"/>
        <v>0</v>
      </c>
      <c r="AO59" s="71">
        <f ca="1">IF(C59=1,(H59+J59+N59+P59)*Reeksen!AN59,0)</f>
        <v>0</v>
      </c>
      <c r="AP59" s="71">
        <f ca="1">-IF(C59=1,(H59+J59+N59+P59)*'Hulp - basis'!$G$550*Reeksen!H59,0)</f>
        <v>0</v>
      </c>
      <c r="AQ59" s="71">
        <f ca="1">-IF(C59=1,(F59+K59+L59+Q59)/2*'Invoer gegevens'!$F$35*Reeksen!J59,0)*2</f>
        <v>0</v>
      </c>
      <c r="AR59" s="71">
        <f ca="1">IF(BD59&lt;1,-IF(C59=1,(G59*'Invoer gegevens'!$F$36)*Reeksen!J59,0),0)</f>
        <v>0</v>
      </c>
      <c r="AS59" s="71">
        <f ca="1">-IF(C59=1,(F59+K59+L59+Q59)/2*'Invoer gegevens'!$F$37*Reeksen!L59,0)</f>
        <v>0</v>
      </c>
      <c r="AT59" s="71">
        <f ca="1">-IF(C59=1,IF(E59='Invoer gegevens'!$C$17,'Invoer gegevens'!$C$11,AD59)*Reeksen!S59*'Invoer gegevens'!$C$18*Reeksen!P59,0)</f>
        <v>0</v>
      </c>
      <c r="AU59" s="71">
        <f ca="1">-IF(C59=1,(F59+K59+L59+Q59)/2*'Invoer gegevens'!$F$38*Reeksen!H59,0)</f>
        <v>0</v>
      </c>
      <c r="AV59" s="71">
        <f t="shared" si="16"/>
        <v>0</v>
      </c>
      <c r="AW59" s="71">
        <f t="shared" ca="1" si="13"/>
        <v>0</v>
      </c>
      <c r="AX59" s="71">
        <f ca="1">IF(E59&lt;'Invoer gegevens'!$C$17+15,0,IF(E59&gt;'Invoer gegevens'!$C$17+215,0,AW59))</f>
        <v>0</v>
      </c>
      <c r="AY59" s="71">
        <f ca="1">AX59/(1+'Invoer gegevens'!$F$18)^($AZ59-('Invoer gegevens'!$C$17-'Invoer gegevens'!$C$16))/(1+'Invoer gegevens'!$C$39)^('Invoer gegevens'!$C$17-'Invoer gegevens'!$C$16)</f>
        <v>0</v>
      </c>
      <c r="AZ59" s="68">
        <f ca="1">IF(E59-'Invoer gegevens'!$C$17-14.5&lt;0,0,E59-'Invoer gegevens'!$C$17-14.5)</f>
        <v>39.5</v>
      </c>
      <c r="BA59" s="109">
        <f ca="1">IFERROR(VLOOKUP(E59-15,Reeksen!$A$5:$D$234,2,FALSE),0)</f>
        <v>0</v>
      </c>
      <c r="BB59" s="109">
        <f ca="1">IFERROR(VLOOKUP(E59-15,Reeksen!$A$5:$D$234,3,FALSE),0)</f>
        <v>0</v>
      </c>
      <c r="BC59" s="109">
        <f ca="1">IFERROR(VLOOKUP(E59-15,Reeksen!$A$5:$D$234,4,FALSE),0)</f>
        <v>0</v>
      </c>
      <c r="BD59" s="67">
        <f ca="1">IF(E59-'Invoer gegevens'!$C$17&lt;15,0,1)</f>
        <v>1</v>
      </c>
    </row>
    <row r="60" spans="1:56" x14ac:dyDescent="0.25">
      <c r="A60" s="59"/>
      <c r="B60" s="70">
        <f t="shared" si="14"/>
        <v>56</v>
      </c>
      <c r="C60" s="67">
        <f ca="1">IF(E60-'Invoer gegevens'!$C$17&lt;0,0,1)</f>
        <v>1</v>
      </c>
      <c r="D60" s="68">
        <f t="shared" si="15"/>
        <v>55.5</v>
      </c>
      <c r="E60" s="108">
        <f ca="1">IF('Invoer gegevens'!$C$16="","",E59+1)</f>
        <v>2074</v>
      </c>
      <c r="F60" s="84">
        <f ca="1">IF('Invoer gegevens'!$C$17=E60,'Invoer gegevens'!$C$10,IF(C60=1,K59,0))</f>
        <v>0</v>
      </c>
      <c r="G60" s="96">
        <f ca="1">IF(BD60&lt;1,F60*Reeksen!C60,IF(C60&gt;=1,F60*BA60,0))</f>
        <v>0</v>
      </c>
      <c r="H60" s="84">
        <f ca="1">(1-('Invoer gegevens'!$F$20/12))*F60*MIN(BA60,BC60)</f>
        <v>0</v>
      </c>
      <c r="I60" s="84">
        <f t="shared" ca="1" si="0"/>
        <v>0</v>
      </c>
      <c r="J60" s="84">
        <f ca="1">('Invoer gegevens'!$F$20/12)*F59*MIN(BA60,BC60)</f>
        <v>0</v>
      </c>
      <c r="K60" s="97">
        <f t="shared" ca="1" si="5"/>
        <v>0</v>
      </c>
      <c r="L60" s="84">
        <f ca="1">IF('Invoer gegevens'!$C$17=E60,0,IF(C60=1,Q59,0))</f>
        <v>0</v>
      </c>
      <c r="M60" s="96">
        <f t="shared" ca="1" si="1"/>
        <v>0</v>
      </c>
      <c r="N60" s="84">
        <f ca="1">(1-('Invoer gegevens'!$F$20/12))*L60*MIN(BA60,BC60)</f>
        <v>0</v>
      </c>
      <c r="O60" s="84">
        <f t="shared" ca="1" si="2"/>
        <v>0</v>
      </c>
      <c r="P60" s="84">
        <f ca="1">('Invoer gegevens'!$F$20/12)*L59*MIN(BA60,BC60)</f>
        <v>0</v>
      </c>
      <c r="Q60" s="84">
        <f t="shared" ca="1" si="6"/>
        <v>0</v>
      </c>
      <c r="R60" s="85">
        <f ca="1">IF('Invoer gegevens'!$C$17=E60,'Invoer gegevens'!$C$11,IF(C60=1,W59,0))</f>
        <v>0</v>
      </c>
      <c r="S60" s="86">
        <f t="shared" ca="1" si="3"/>
        <v>0</v>
      </c>
      <c r="T60" s="86">
        <f ca="1">(1-('Invoer gegevens'!$F$20/12))*R60*MIN(BC60,BA60)</f>
        <v>0</v>
      </c>
      <c r="U60" s="86">
        <f ca="1">IF(BD60&lt;1,IF(Reeksen!AD60&lt;=Reeksen!AE60,R60*Reeksen!C60,0),IF(BC60&gt;=BA60,0,IF(Reeksen!AD60&lt;=Reeksen!AE60,(BA60-BC60)*R60,0)))</f>
        <v>0</v>
      </c>
      <c r="V60" s="86">
        <f ca="1">IF(BD60&lt;1,IF(Reeksen!AD60&gt;Reeksen!AE60,R60*Reeksen!C60,0),IF(BC60&gt;=BA60,0,IF(Reeksen!AD60&gt;Reeksen!AE60,(BA60-BC60)*R60,0)))</f>
        <v>0</v>
      </c>
      <c r="W60" s="218">
        <f t="shared" ca="1" si="7"/>
        <v>0</v>
      </c>
      <c r="X60" s="98">
        <f ca="1">IF('Invoer gegevens'!$C$17=E60,'Invoer gegevens'!$C$10-'Invoer gegevens'!$C$11,IF(C60=1,AC59,0))</f>
        <v>0</v>
      </c>
      <c r="Y60" s="98">
        <f t="shared" ca="1" si="4"/>
        <v>0</v>
      </c>
      <c r="Z60" s="98">
        <f ca="1">(1-('Invoer gegevens'!$F$20/12))*X60*MIN(BA60,BC60)</f>
        <v>0</v>
      </c>
      <c r="AA60" s="98">
        <f ca="1">IF(BD60&lt;1,IF(Reeksen!AD60&lt;=Reeksen!AE60,X60*Reeksen!C60,0),IF(BC60&gt;=BA60,0,IF(Reeksen!AD60&lt;=Reeksen!AE60,(BA60-BC60)*X60,0)))</f>
        <v>0</v>
      </c>
      <c r="AB60" s="98">
        <f ca="1">IF(BD60&lt;1,IF(Reeksen!AD60&gt;Reeksen!AE60,X60*Reeksen!C60,0),IF(BC60&gt;=BA60,0,IF(Reeksen!AD60&gt;Reeksen!AE60,(BA60-BC60)*X60,0)))</f>
        <v>0</v>
      </c>
      <c r="AC60" s="99">
        <f t="shared" ca="1" si="8"/>
        <v>0</v>
      </c>
      <c r="AD60" s="98">
        <f ca="1">IF('Invoer gegevens'!$C$17=E60,R60,IF(C60=0,0,AE59))</f>
        <v>0</v>
      </c>
      <c r="AE60" s="98">
        <f t="shared" ca="1" si="9"/>
        <v>0</v>
      </c>
      <c r="AF60" s="98">
        <f ca="1">IF('Invoer gegevens'!$C$17=E60,X60,IF(C60=0,0,AG59))</f>
        <v>0</v>
      </c>
      <c r="AG60" s="98">
        <f t="shared" ca="1" si="10"/>
        <v>0</v>
      </c>
      <c r="AH60" s="66"/>
      <c r="AI60" s="71">
        <f ca="1">IF(C60=1,Reeksen!AI60*((F60+K60)/2)*12+Reeksen!AD60*((L60+Q60)/2)*12,0)</f>
        <v>0</v>
      </c>
      <c r="AJ60" s="71">
        <f ca="1">-AI60*'Invoer gegevens'!$F$28</f>
        <v>0</v>
      </c>
      <c r="AK60" s="71">
        <f t="shared" ca="1" si="11"/>
        <v>0</v>
      </c>
      <c r="AL60" s="71">
        <f ca="1">IF(C60=1,Reeksen!AL60*((F60-G60+F60)/2)*12+Reeksen!AM60*((L60-M60+L60)/2)*12,0)</f>
        <v>0</v>
      </c>
      <c r="AM60" s="71">
        <f ca="1">-AL60*'Invoer gegevens'!$F$31</f>
        <v>0</v>
      </c>
      <c r="AN60" s="71">
        <f t="shared" ca="1" si="12"/>
        <v>0</v>
      </c>
      <c r="AO60" s="71">
        <f ca="1">IF(C60=1,(H60+J60+N60+P60)*Reeksen!AN60,0)</f>
        <v>0</v>
      </c>
      <c r="AP60" s="71">
        <f ca="1">-IF(C60=1,(H60+J60+N60+P60)*'Hulp - basis'!$G$550*Reeksen!H60,0)</f>
        <v>0</v>
      </c>
      <c r="AQ60" s="71">
        <f ca="1">-IF(C60=1,(F60+K60+L60+Q60)/2*'Invoer gegevens'!$F$35*Reeksen!J60,0)*2</f>
        <v>0</v>
      </c>
      <c r="AR60" s="71">
        <f ca="1">IF(BD60&lt;1,-IF(C60=1,(G60*'Invoer gegevens'!$F$36)*Reeksen!J60,0),0)</f>
        <v>0</v>
      </c>
      <c r="AS60" s="71">
        <f ca="1">-IF(C60=1,(F60+K60+L60+Q60)/2*'Invoer gegevens'!$F$37*Reeksen!L60,0)</f>
        <v>0</v>
      </c>
      <c r="AT60" s="71">
        <f ca="1">-IF(C60=1,IF(E60='Invoer gegevens'!$C$17,'Invoer gegevens'!$C$11,AD60)*Reeksen!S60*'Invoer gegevens'!$C$18*Reeksen!P60,0)</f>
        <v>0</v>
      </c>
      <c r="AU60" s="71">
        <f ca="1">-IF(C60=1,(F60+K60+L60+Q60)/2*'Invoer gegevens'!$F$38*Reeksen!H60,0)</f>
        <v>0</v>
      </c>
      <c r="AV60" s="71">
        <f t="shared" si="16"/>
        <v>0</v>
      </c>
      <c r="AW60" s="71">
        <f t="shared" ca="1" si="13"/>
        <v>0</v>
      </c>
      <c r="AX60" s="71">
        <f ca="1">IF(E60&lt;'Invoer gegevens'!$C$17+15,0,IF(E60&gt;'Invoer gegevens'!$C$17+215,0,AW60))</f>
        <v>0</v>
      </c>
      <c r="AY60" s="71">
        <f ca="1">AX60/(1+'Invoer gegevens'!$F$18)^($AZ60-('Invoer gegevens'!$C$17-'Invoer gegevens'!$C$16))/(1+'Invoer gegevens'!$C$39)^('Invoer gegevens'!$C$17-'Invoer gegevens'!$C$16)</f>
        <v>0</v>
      </c>
      <c r="AZ60" s="68">
        <f ca="1">IF(E60-'Invoer gegevens'!$C$17-14.5&lt;0,0,E60-'Invoer gegevens'!$C$17-14.5)</f>
        <v>40.5</v>
      </c>
      <c r="BA60" s="109">
        <f ca="1">IFERROR(VLOOKUP(E60-15,Reeksen!$A$5:$D$234,2,FALSE),0)</f>
        <v>0</v>
      </c>
      <c r="BB60" s="109">
        <f ca="1">IFERROR(VLOOKUP(E60-15,Reeksen!$A$5:$D$234,3,FALSE),0)</f>
        <v>0</v>
      </c>
      <c r="BC60" s="109">
        <f ca="1">IFERROR(VLOOKUP(E60-15,Reeksen!$A$5:$D$234,4,FALSE),0)</f>
        <v>0</v>
      </c>
      <c r="BD60" s="67">
        <f ca="1">IF(E60-'Invoer gegevens'!$C$17&lt;15,0,1)</f>
        <v>1</v>
      </c>
    </row>
    <row r="61" spans="1:56" x14ac:dyDescent="0.25">
      <c r="A61" s="59"/>
      <c r="B61" s="70">
        <f t="shared" si="14"/>
        <v>57</v>
      </c>
      <c r="C61" s="67">
        <f ca="1">IF(E61-'Invoer gegevens'!$C$17&lt;0,0,1)</f>
        <v>1</v>
      </c>
      <c r="D61" s="68">
        <f t="shared" si="15"/>
        <v>56.5</v>
      </c>
      <c r="E61" s="108">
        <f ca="1">IF('Invoer gegevens'!$C$16="","",E60+1)</f>
        <v>2075</v>
      </c>
      <c r="F61" s="84">
        <f ca="1">IF('Invoer gegevens'!$C$17=E61,'Invoer gegevens'!$C$10,IF(C61=1,K60,0))</f>
        <v>0</v>
      </c>
      <c r="G61" s="96">
        <f ca="1">IF(BD61&lt;1,F61*Reeksen!C61,IF(C61&gt;=1,F61*BA61,0))</f>
        <v>0</v>
      </c>
      <c r="H61" s="84">
        <f ca="1">(1-('Invoer gegevens'!$F$20/12))*F61*MIN(BA61,BC61)</f>
        <v>0</v>
      </c>
      <c r="I61" s="84">
        <f t="shared" ca="1" si="0"/>
        <v>0</v>
      </c>
      <c r="J61" s="84">
        <f ca="1">('Invoer gegevens'!$F$20/12)*F60*MIN(BA61,BC61)</f>
        <v>0</v>
      </c>
      <c r="K61" s="97">
        <f t="shared" ca="1" si="5"/>
        <v>0</v>
      </c>
      <c r="L61" s="84">
        <f ca="1">IF('Invoer gegevens'!$C$17=E61,0,IF(C61=1,Q60,0))</f>
        <v>0</v>
      </c>
      <c r="M61" s="96">
        <f t="shared" ca="1" si="1"/>
        <v>0</v>
      </c>
      <c r="N61" s="84">
        <f ca="1">(1-('Invoer gegevens'!$F$20/12))*L61*MIN(BA61,BC61)</f>
        <v>0</v>
      </c>
      <c r="O61" s="84">
        <f t="shared" ca="1" si="2"/>
        <v>0</v>
      </c>
      <c r="P61" s="84">
        <f ca="1">('Invoer gegevens'!$F$20/12)*L60*MIN(BA61,BC61)</f>
        <v>0</v>
      </c>
      <c r="Q61" s="84">
        <f t="shared" ca="1" si="6"/>
        <v>0</v>
      </c>
      <c r="R61" s="85">
        <f ca="1">IF('Invoer gegevens'!$C$17=E61,'Invoer gegevens'!$C$11,IF(C61=1,W60,0))</f>
        <v>0</v>
      </c>
      <c r="S61" s="86">
        <f t="shared" ca="1" si="3"/>
        <v>0</v>
      </c>
      <c r="T61" s="86">
        <f ca="1">(1-('Invoer gegevens'!$F$20/12))*R61*MIN(BC61,BA61)</f>
        <v>0</v>
      </c>
      <c r="U61" s="86">
        <f ca="1">IF(BD61&lt;1,IF(Reeksen!AD61&lt;=Reeksen!AE61,R61*Reeksen!C61,0),IF(BC61&gt;=BA61,0,IF(Reeksen!AD61&lt;=Reeksen!AE61,(BA61-BC61)*R61,0)))</f>
        <v>0</v>
      </c>
      <c r="V61" s="86">
        <f ca="1">IF(BD61&lt;1,IF(Reeksen!AD61&gt;Reeksen!AE61,R61*Reeksen!C61,0),IF(BC61&gt;=BA61,0,IF(Reeksen!AD61&gt;Reeksen!AE61,(BA61-BC61)*R61,0)))</f>
        <v>0</v>
      </c>
      <c r="W61" s="218">
        <f t="shared" ca="1" si="7"/>
        <v>0</v>
      </c>
      <c r="X61" s="98">
        <f ca="1">IF('Invoer gegevens'!$C$17=E61,'Invoer gegevens'!$C$10-'Invoer gegevens'!$C$11,IF(C61=1,AC60,0))</f>
        <v>0</v>
      </c>
      <c r="Y61" s="98">
        <f t="shared" ca="1" si="4"/>
        <v>0</v>
      </c>
      <c r="Z61" s="98">
        <f ca="1">(1-('Invoer gegevens'!$F$20/12))*X61*MIN(BA61,BC61)</f>
        <v>0</v>
      </c>
      <c r="AA61" s="98">
        <f ca="1">IF(BD61&lt;1,IF(Reeksen!AD61&lt;=Reeksen!AE61,X61*Reeksen!C61,0),IF(BC61&gt;=BA61,0,IF(Reeksen!AD61&lt;=Reeksen!AE61,(BA61-BC61)*X61,0)))</f>
        <v>0</v>
      </c>
      <c r="AB61" s="98">
        <f ca="1">IF(BD61&lt;1,IF(Reeksen!AD61&gt;Reeksen!AE61,X61*Reeksen!C61,0),IF(BC61&gt;=BA61,0,IF(Reeksen!AD61&gt;Reeksen!AE61,(BA61-BC61)*X61,0)))</f>
        <v>0</v>
      </c>
      <c r="AC61" s="99">
        <f t="shared" ca="1" si="8"/>
        <v>0</v>
      </c>
      <c r="AD61" s="98">
        <f ca="1">IF('Invoer gegevens'!$C$17=E61,R61,IF(C61=0,0,AE60))</f>
        <v>0</v>
      </c>
      <c r="AE61" s="98">
        <f t="shared" ca="1" si="9"/>
        <v>0</v>
      </c>
      <c r="AF61" s="98">
        <f ca="1">IF('Invoer gegevens'!$C$17=E61,X61,IF(C61=0,0,AG60))</f>
        <v>0</v>
      </c>
      <c r="AG61" s="98">
        <f t="shared" ca="1" si="10"/>
        <v>0</v>
      </c>
      <c r="AH61" s="66"/>
      <c r="AI61" s="71">
        <f ca="1">IF(C61=1,Reeksen!AI61*((F61+K61)/2)*12+Reeksen!AD61*((L61+Q61)/2)*12,0)</f>
        <v>0</v>
      </c>
      <c r="AJ61" s="71">
        <f ca="1">-AI61*'Invoer gegevens'!$F$28</f>
        <v>0</v>
      </c>
      <c r="AK61" s="71">
        <f t="shared" ca="1" si="11"/>
        <v>0</v>
      </c>
      <c r="AL61" s="71">
        <f ca="1">IF(C61=1,Reeksen!AL61*((F61-G61+F61)/2)*12+Reeksen!AM61*((L61-M61+L61)/2)*12,0)</f>
        <v>0</v>
      </c>
      <c r="AM61" s="71">
        <f ca="1">-AL61*'Invoer gegevens'!$F$31</f>
        <v>0</v>
      </c>
      <c r="AN61" s="71">
        <f t="shared" ca="1" si="12"/>
        <v>0</v>
      </c>
      <c r="AO61" s="71">
        <f ca="1">IF(C61=1,(H61+J61+N61+P61)*Reeksen!AN61,0)</f>
        <v>0</v>
      </c>
      <c r="AP61" s="71">
        <f ca="1">-IF(C61=1,(H61+J61+N61+P61)*'Hulp - basis'!$G$550*Reeksen!H61,0)</f>
        <v>0</v>
      </c>
      <c r="AQ61" s="71">
        <f ca="1">-IF(C61=1,(F61+K61+L61+Q61)/2*'Invoer gegevens'!$F$35*Reeksen!J61,0)*2</f>
        <v>0</v>
      </c>
      <c r="AR61" s="71">
        <f ca="1">IF(BD61&lt;1,-IF(C61=1,(G61*'Invoer gegevens'!$F$36)*Reeksen!J61,0),0)</f>
        <v>0</v>
      </c>
      <c r="AS61" s="71">
        <f ca="1">-IF(C61=1,(F61+K61+L61+Q61)/2*'Invoer gegevens'!$F$37*Reeksen!L61,0)</f>
        <v>0</v>
      </c>
      <c r="AT61" s="71">
        <f ca="1">-IF(C61=1,IF(E61='Invoer gegevens'!$C$17,'Invoer gegevens'!$C$11,AD61)*Reeksen!S61*'Invoer gegevens'!$C$18*Reeksen!P61,0)</f>
        <v>0</v>
      </c>
      <c r="AU61" s="71">
        <f ca="1">-IF(C61=1,(F61+K61+L61+Q61)/2*'Invoer gegevens'!$F$38*Reeksen!H61,0)</f>
        <v>0</v>
      </c>
      <c r="AV61" s="71">
        <f t="shared" si="16"/>
        <v>0</v>
      </c>
      <c r="AW61" s="71">
        <f t="shared" ca="1" si="13"/>
        <v>0</v>
      </c>
      <c r="AX61" s="71">
        <f ca="1">IF(E61&lt;'Invoer gegevens'!$C$17+15,0,IF(E61&gt;'Invoer gegevens'!$C$17+215,0,AW61))</f>
        <v>0</v>
      </c>
      <c r="AY61" s="71">
        <f ca="1">AX61/(1+'Invoer gegevens'!$F$18)^($AZ61-('Invoer gegevens'!$C$17-'Invoer gegevens'!$C$16))/(1+'Invoer gegevens'!$C$39)^('Invoer gegevens'!$C$17-'Invoer gegevens'!$C$16)</f>
        <v>0</v>
      </c>
      <c r="AZ61" s="68">
        <f ca="1">IF(E61-'Invoer gegevens'!$C$17-14.5&lt;0,0,E61-'Invoer gegevens'!$C$17-14.5)</f>
        <v>41.5</v>
      </c>
      <c r="BA61" s="109">
        <f ca="1">IFERROR(VLOOKUP(E61-15,Reeksen!$A$5:$D$234,2,FALSE),0)</f>
        <v>0</v>
      </c>
      <c r="BB61" s="109">
        <f ca="1">IFERROR(VLOOKUP(E61-15,Reeksen!$A$5:$D$234,3,FALSE),0)</f>
        <v>0</v>
      </c>
      <c r="BC61" s="109">
        <f ca="1">IFERROR(VLOOKUP(E61-15,Reeksen!$A$5:$D$234,4,FALSE),0)</f>
        <v>0</v>
      </c>
      <c r="BD61" s="67">
        <f ca="1">IF(E61-'Invoer gegevens'!$C$17&lt;15,0,1)</f>
        <v>1</v>
      </c>
    </row>
    <row r="62" spans="1:56" x14ac:dyDescent="0.25">
      <c r="A62" s="59"/>
      <c r="B62" s="70">
        <f t="shared" si="14"/>
        <v>58</v>
      </c>
      <c r="C62" s="67">
        <f ca="1">IF(E62-'Invoer gegevens'!$C$17&lt;0,0,1)</f>
        <v>1</v>
      </c>
      <c r="D62" s="68">
        <f t="shared" si="15"/>
        <v>57.5</v>
      </c>
      <c r="E62" s="108">
        <f ca="1">IF('Invoer gegevens'!$C$16="","",E61+1)</f>
        <v>2076</v>
      </c>
      <c r="F62" s="84">
        <f ca="1">IF('Invoer gegevens'!$C$17=E62,'Invoer gegevens'!$C$10,IF(C62=1,K61,0))</f>
        <v>0</v>
      </c>
      <c r="G62" s="96">
        <f ca="1">IF(BD62&lt;1,F62*Reeksen!C62,IF(C62&gt;=1,F62*BA62,0))</f>
        <v>0</v>
      </c>
      <c r="H62" s="84">
        <f ca="1">(1-('Invoer gegevens'!$F$20/12))*F62*MIN(BA62,BC62)</f>
        <v>0</v>
      </c>
      <c r="I62" s="84">
        <f t="shared" ca="1" si="0"/>
        <v>0</v>
      </c>
      <c r="J62" s="84">
        <f ca="1">('Invoer gegevens'!$F$20/12)*F61*MIN(BA62,BC62)</f>
        <v>0</v>
      </c>
      <c r="K62" s="97">
        <f t="shared" ca="1" si="5"/>
        <v>0</v>
      </c>
      <c r="L62" s="84">
        <f ca="1">IF('Invoer gegevens'!$C$17=E62,0,IF(C62=1,Q61,0))</f>
        <v>0</v>
      </c>
      <c r="M62" s="96">
        <f t="shared" ca="1" si="1"/>
        <v>0</v>
      </c>
      <c r="N62" s="84">
        <f ca="1">(1-('Invoer gegevens'!$F$20/12))*L62*MIN(BA62,BC62)</f>
        <v>0</v>
      </c>
      <c r="O62" s="84">
        <f t="shared" ca="1" si="2"/>
        <v>0</v>
      </c>
      <c r="P62" s="84">
        <f ca="1">('Invoer gegevens'!$F$20/12)*L61*MIN(BA62,BC62)</f>
        <v>0</v>
      </c>
      <c r="Q62" s="84">
        <f t="shared" ca="1" si="6"/>
        <v>0</v>
      </c>
      <c r="R62" s="85">
        <f ca="1">IF('Invoer gegevens'!$C$17=E62,'Invoer gegevens'!$C$11,IF(C62=1,W61,0))</f>
        <v>0</v>
      </c>
      <c r="S62" s="86">
        <f t="shared" ca="1" si="3"/>
        <v>0</v>
      </c>
      <c r="T62" s="86">
        <f ca="1">(1-('Invoer gegevens'!$F$20/12))*R62*MIN(BC62,BA62)</f>
        <v>0</v>
      </c>
      <c r="U62" s="86">
        <f ca="1">IF(BD62&lt;1,IF(Reeksen!AD62&lt;=Reeksen!AE62,R62*Reeksen!C62,0),IF(BC62&gt;=BA62,0,IF(Reeksen!AD62&lt;=Reeksen!AE62,(BA62-BC62)*R62,0)))</f>
        <v>0</v>
      </c>
      <c r="V62" s="86">
        <f ca="1">IF(BD62&lt;1,IF(Reeksen!AD62&gt;Reeksen!AE62,R62*Reeksen!C62,0),IF(BC62&gt;=BA62,0,IF(Reeksen!AD62&gt;Reeksen!AE62,(BA62-BC62)*R62,0)))</f>
        <v>0</v>
      </c>
      <c r="W62" s="218">
        <f t="shared" ca="1" si="7"/>
        <v>0</v>
      </c>
      <c r="X62" s="98">
        <f ca="1">IF('Invoer gegevens'!$C$17=E62,'Invoer gegevens'!$C$10-'Invoer gegevens'!$C$11,IF(C62=1,AC61,0))</f>
        <v>0</v>
      </c>
      <c r="Y62" s="98">
        <f t="shared" ca="1" si="4"/>
        <v>0</v>
      </c>
      <c r="Z62" s="98">
        <f ca="1">(1-('Invoer gegevens'!$F$20/12))*X62*MIN(BA62,BC62)</f>
        <v>0</v>
      </c>
      <c r="AA62" s="98">
        <f ca="1">IF(BD62&lt;1,IF(Reeksen!AD62&lt;=Reeksen!AE62,X62*Reeksen!C62,0),IF(BC62&gt;=BA62,0,IF(Reeksen!AD62&lt;=Reeksen!AE62,(BA62-BC62)*X62,0)))</f>
        <v>0</v>
      </c>
      <c r="AB62" s="98">
        <f ca="1">IF(BD62&lt;1,IF(Reeksen!AD62&gt;Reeksen!AE62,X62*Reeksen!C62,0),IF(BC62&gt;=BA62,0,IF(Reeksen!AD62&gt;Reeksen!AE62,(BA62-BC62)*X62,0)))</f>
        <v>0</v>
      </c>
      <c r="AC62" s="99">
        <f t="shared" ca="1" si="8"/>
        <v>0</v>
      </c>
      <c r="AD62" s="98">
        <f ca="1">IF('Invoer gegevens'!$C$17=E62,R62,IF(C62=0,0,AE61))</f>
        <v>0</v>
      </c>
      <c r="AE62" s="98">
        <f t="shared" ca="1" si="9"/>
        <v>0</v>
      </c>
      <c r="AF62" s="98">
        <f ca="1">IF('Invoer gegevens'!$C$17=E62,X62,IF(C62=0,0,AG61))</f>
        <v>0</v>
      </c>
      <c r="AG62" s="98">
        <f t="shared" ca="1" si="10"/>
        <v>0</v>
      </c>
      <c r="AH62" s="66"/>
      <c r="AI62" s="71">
        <f ca="1">IF(C62=1,Reeksen!AI62*((F62+K62)/2)*12+Reeksen!AD62*((L62+Q62)/2)*12,0)</f>
        <v>0</v>
      </c>
      <c r="AJ62" s="71">
        <f ca="1">-AI62*'Invoer gegevens'!$F$28</f>
        <v>0</v>
      </c>
      <c r="AK62" s="71">
        <f t="shared" ca="1" si="11"/>
        <v>0</v>
      </c>
      <c r="AL62" s="71">
        <f ca="1">IF(C62=1,Reeksen!AL62*((F62-G62+F62)/2)*12+Reeksen!AM62*((L62-M62+L62)/2)*12,0)</f>
        <v>0</v>
      </c>
      <c r="AM62" s="71">
        <f ca="1">-AL62*'Invoer gegevens'!$F$31</f>
        <v>0</v>
      </c>
      <c r="AN62" s="71">
        <f t="shared" ca="1" si="12"/>
        <v>0</v>
      </c>
      <c r="AO62" s="71">
        <f ca="1">IF(C62=1,(H62+J62+N62+P62)*Reeksen!AN62,0)</f>
        <v>0</v>
      </c>
      <c r="AP62" s="71">
        <f ca="1">-IF(C62=1,(H62+J62+N62+P62)*'Hulp - basis'!$G$550*Reeksen!H62,0)</f>
        <v>0</v>
      </c>
      <c r="AQ62" s="71">
        <f ca="1">-IF(C62=1,(F62+K62+L62+Q62)/2*'Invoer gegevens'!$F$35*Reeksen!J62,0)*2</f>
        <v>0</v>
      </c>
      <c r="AR62" s="71">
        <f ca="1">IF(BD62&lt;1,-IF(C62=1,(G62*'Invoer gegevens'!$F$36)*Reeksen!J62,0),0)</f>
        <v>0</v>
      </c>
      <c r="AS62" s="71">
        <f ca="1">-IF(C62=1,(F62+K62+L62+Q62)/2*'Invoer gegevens'!$F$37*Reeksen!L62,0)</f>
        <v>0</v>
      </c>
      <c r="AT62" s="71">
        <f ca="1">-IF(C62=1,IF(E62='Invoer gegevens'!$C$17,'Invoer gegevens'!$C$11,AD62)*Reeksen!S62*'Invoer gegevens'!$C$18*Reeksen!P62,0)</f>
        <v>0</v>
      </c>
      <c r="AU62" s="71">
        <f ca="1">-IF(C62=1,(F62+K62+L62+Q62)/2*'Invoer gegevens'!$F$38*Reeksen!H62,0)</f>
        <v>0</v>
      </c>
      <c r="AV62" s="71">
        <f t="shared" si="16"/>
        <v>0</v>
      </c>
      <c r="AW62" s="71">
        <f t="shared" ca="1" si="13"/>
        <v>0</v>
      </c>
      <c r="AX62" s="71">
        <f ca="1">IF(E62&lt;'Invoer gegevens'!$C$17+15,0,IF(E62&gt;'Invoer gegevens'!$C$17+215,0,AW62))</f>
        <v>0</v>
      </c>
      <c r="AY62" s="71">
        <f ca="1">AX62/(1+'Invoer gegevens'!$F$18)^($AZ62-('Invoer gegevens'!$C$17-'Invoer gegevens'!$C$16))/(1+'Invoer gegevens'!$C$39)^('Invoer gegevens'!$C$17-'Invoer gegevens'!$C$16)</f>
        <v>0</v>
      </c>
      <c r="AZ62" s="68">
        <f ca="1">IF(E62-'Invoer gegevens'!$C$17-14.5&lt;0,0,E62-'Invoer gegevens'!$C$17-14.5)</f>
        <v>42.5</v>
      </c>
      <c r="BA62" s="109">
        <f ca="1">IFERROR(VLOOKUP(E62-15,Reeksen!$A$5:$D$234,2,FALSE),0)</f>
        <v>0</v>
      </c>
      <c r="BB62" s="109">
        <f ca="1">IFERROR(VLOOKUP(E62-15,Reeksen!$A$5:$D$234,3,FALSE),0)</f>
        <v>0</v>
      </c>
      <c r="BC62" s="109">
        <f ca="1">IFERROR(VLOOKUP(E62-15,Reeksen!$A$5:$D$234,4,FALSE),0)</f>
        <v>0</v>
      </c>
      <c r="BD62" s="67">
        <f ca="1">IF(E62-'Invoer gegevens'!$C$17&lt;15,0,1)</f>
        <v>1</v>
      </c>
    </row>
    <row r="63" spans="1:56" x14ac:dyDescent="0.25">
      <c r="A63" s="59"/>
      <c r="B63" s="70">
        <f t="shared" si="14"/>
        <v>59</v>
      </c>
      <c r="C63" s="67">
        <f ca="1">IF(E63-'Invoer gegevens'!$C$17&lt;0,0,1)</f>
        <v>1</v>
      </c>
      <c r="D63" s="68">
        <f t="shared" si="15"/>
        <v>58.5</v>
      </c>
      <c r="E63" s="108">
        <f ca="1">IF('Invoer gegevens'!$C$16="","",E62+1)</f>
        <v>2077</v>
      </c>
      <c r="F63" s="84">
        <f ca="1">IF('Invoer gegevens'!$C$17=E63,'Invoer gegevens'!$C$10,IF(C63=1,K62,0))</f>
        <v>0</v>
      </c>
      <c r="G63" s="96">
        <f ca="1">IF(BD63&lt;1,F63*Reeksen!C63,IF(C63&gt;=1,F63*BA63,0))</f>
        <v>0</v>
      </c>
      <c r="H63" s="84">
        <f ca="1">(1-('Invoer gegevens'!$F$20/12))*F63*MIN(BA63,BC63)</f>
        <v>0</v>
      </c>
      <c r="I63" s="84">
        <f t="shared" ca="1" si="0"/>
        <v>0</v>
      </c>
      <c r="J63" s="84">
        <f ca="1">('Invoer gegevens'!$F$20/12)*F62*MIN(BA63,BC63)</f>
        <v>0</v>
      </c>
      <c r="K63" s="97">
        <f t="shared" ca="1" si="5"/>
        <v>0</v>
      </c>
      <c r="L63" s="84">
        <f ca="1">IF('Invoer gegevens'!$C$17=E63,0,IF(C63=1,Q62,0))</f>
        <v>0</v>
      </c>
      <c r="M63" s="96">
        <f t="shared" ca="1" si="1"/>
        <v>0</v>
      </c>
      <c r="N63" s="84">
        <f ca="1">(1-('Invoer gegevens'!$F$20/12))*L63*MIN(BA63,BC63)</f>
        <v>0</v>
      </c>
      <c r="O63" s="84">
        <f t="shared" ca="1" si="2"/>
        <v>0</v>
      </c>
      <c r="P63" s="84">
        <f ca="1">('Invoer gegevens'!$F$20/12)*L62*MIN(BA63,BC63)</f>
        <v>0</v>
      </c>
      <c r="Q63" s="84">
        <f t="shared" ca="1" si="6"/>
        <v>0</v>
      </c>
      <c r="R63" s="85">
        <f ca="1">IF('Invoer gegevens'!$C$17=E63,'Invoer gegevens'!$C$11,IF(C63=1,W62,0))</f>
        <v>0</v>
      </c>
      <c r="S63" s="86">
        <f t="shared" ca="1" si="3"/>
        <v>0</v>
      </c>
      <c r="T63" s="86">
        <f ca="1">(1-('Invoer gegevens'!$F$20/12))*R63*MIN(BC63,BA63)</f>
        <v>0</v>
      </c>
      <c r="U63" s="86">
        <f ca="1">IF(BD63&lt;1,IF(Reeksen!AD63&lt;=Reeksen!AE63,R63*Reeksen!C63,0),IF(BC63&gt;=BA63,0,IF(Reeksen!AD63&lt;=Reeksen!AE63,(BA63-BC63)*R63,0)))</f>
        <v>0</v>
      </c>
      <c r="V63" s="86">
        <f ca="1">IF(BD63&lt;1,IF(Reeksen!AD63&gt;Reeksen!AE63,R63*Reeksen!C63,0),IF(BC63&gt;=BA63,0,IF(Reeksen!AD63&gt;Reeksen!AE63,(BA63-BC63)*R63,0)))</f>
        <v>0</v>
      </c>
      <c r="W63" s="218">
        <f t="shared" ca="1" si="7"/>
        <v>0</v>
      </c>
      <c r="X63" s="98">
        <f ca="1">IF('Invoer gegevens'!$C$17=E63,'Invoer gegevens'!$C$10-'Invoer gegevens'!$C$11,IF(C63=1,AC62,0))</f>
        <v>0</v>
      </c>
      <c r="Y63" s="98">
        <f t="shared" ca="1" si="4"/>
        <v>0</v>
      </c>
      <c r="Z63" s="98">
        <f ca="1">(1-('Invoer gegevens'!$F$20/12))*X63*MIN(BA63,BC63)</f>
        <v>0</v>
      </c>
      <c r="AA63" s="98">
        <f ca="1">IF(BD63&lt;1,IF(Reeksen!AD63&lt;=Reeksen!AE63,X63*Reeksen!C63,0),IF(BC63&gt;=BA63,0,IF(Reeksen!AD63&lt;=Reeksen!AE63,(BA63-BC63)*X63,0)))</f>
        <v>0</v>
      </c>
      <c r="AB63" s="98">
        <f ca="1">IF(BD63&lt;1,IF(Reeksen!AD63&gt;Reeksen!AE63,X63*Reeksen!C63,0),IF(BC63&gt;=BA63,0,IF(Reeksen!AD63&gt;Reeksen!AE63,(BA63-BC63)*X63,0)))</f>
        <v>0</v>
      </c>
      <c r="AC63" s="99">
        <f t="shared" ca="1" si="8"/>
        <v>0</v>
      </c>
      <c r="AD63" s="98">
        <f ca="1">IF('Invoer gegevens'!$C$17=E63,R63,IF(C63=0,0,AE62))</f>
        <v>0</v>
      </c>
      <c r="AE63" s="98">
        <f t="shared" ca="1" si="9"/>
        <v>0</v>
      </c>
      <c r="AF63" s="98">
        <f ca="1">IF('Invoer gegevens'!$C$17=E63,X63,IF(C63=0,0,AG62))</f>
        <v>0</v>
      </c>
      <c r="AG63" s="98">
        <f t="shared" ca="1" si="10"/>
        <v>0</v>
      </c>
      <c r="AH63" s="66"/>
      <c r="AI63" s="71">
        <f ca="1">IF(C63=1,Reeksen!AI63*((F63+K63)/2)*12+Reeksen!AD63*((L63+Q63)/2)*12,0)</f>
        <v>0</v>
      </c>
      <c r="AJ63" s="71">
        <f ca="1">-AI63*'Invoer gegevens'!$F$28</f>
        <v>0</v>
      </c>
      <c r="AK63" s="71">
        <f t="shared" ca="1" si="11"/>
        <v>0</v>
      </c>
      <c r="AL63" s="71">
        <f ca="1">IF(C63=1,Reeksen!AL63*((F63-G63+F63)/2)*12+Reeksen!AM63*((L63-M63+L63)/2)*12,0)</f>
        <v>0</v>
      </c>
      <c r="AM63" s="71">
        <f ca="1">-AL63*'Invoer gegevens'!$F$31</f>
        <v>0</v>
      </c>
      <c r="AN63" s="71">
        <f t="shared" ca="1" si="12"/>
        <v>0</v>
      </c>
      <c r="AO63" s="71">
        <f ca="1">IF(C63=1,(H63+J63+N63+P63)*Reeksen!AN63,0)</f>
        <v>0</v>
      </c>
      <c r="AP63" s="71">
        <f ca="1">-IF(C63=1,(H63+J63+N63+P63)*'Hulp - basis'!$G$550*Reeksen!H63,0)</f>
        <v>0</v>
      </c>
      <c r="AQ63" s="71">
        <f ca="1">-IF(C63=1,(F63+K63+L63+Q63)/2*'Invoer gegevens'!$F$35*Reeksen!J63,0)*2</f>
        <v>0</v>
      </c>
      <c r="AR63" s="71">
        <f ca="1">IF(BD63&lt;1,-IF(C63=1,(G63*'Invoer gegevens'!$F$36)*Reeksen!J63,0),0)</f>
        <v>0</v>
      </c>
      <c r="AS63" s="71">
        <f ca="1">-IF(C63=1,(F63+K63+L63+Q63)/2*'Invoer gegevens'!$F$37*Reeksen!L63,0)</f>
        <v>0</v>
      </c>
      <c r="AT63" s="71">
        <f ca="1">-IF(C63=1,IF(E63='Invoer gegevens'!$C$17,'Invoer gegevens'!$C$11,AD63)*Reeksen!S63*'Invoer gegevens'!$C$18*Reeksen!P63,0)</f>
        <v>0</v>
      </c>
      <c r="AU63" s="71">
        <f ca="1">-IF(C63=1,(F63+K63+L63+Q63)/2*'Invoer gegevens'!$F$38*Reeksen!H63,0)</f>
        <v>0</v>
      </c>
      <c r="AV63" s="71">
        <f t="shared" si="16"/>
        <v>0</v>
      </c>
      <c r="AW63" s="71">
        <f t="shared" ca="1" si="13"/>
        <v>0</v>
      </c>
      <c r="AX63" s="71">
        <f ca="1">IF(E63&lt;'Invoer gegevens'!$C$17+15,0,IF(E63&gt;'Invoer gegevens'!$C$17+215,0,AW63))</f>
        <v>0</v>
      </c>
      <c r="AY63" s="71">
        <f ca="1">AX63/(1+'Invoer gegevens'!$F$18)^($AZ63-('Invoer gegevens'!$C$17-'Invoer gegevens'!$C$16))/(1+'Invoer gegevens'!$C$39)^('Invoer gegevens'!$C$17-'Invoer gegevens'!$C$16)</f>
        <v>0</v>
      </c>
      <c r="AZ63" s="68">
        <f ca="1">IF(E63-'Invoer gegevens'!$C$17-14.5&lt;0,0,E63-'Invoer gegevens'!$C$17-14.5)</f>
        <v>43.5</v>
      </c>
      <c r="BA63" s="109">
        <f ca="1">IFERROR(VLOOKUP(E63-15,Reeksen!$A$5:$D$234,2,FALSE),0)</f>
        <v>0</v>
      </c>
      <c r="BB63" s="109">
        <f ca="1">IFERROR(VLOOKUP(E63-15,Reeksen!$A$5:$D$234,3,FALSE),0)</f>
        <v>0</v>
      </c>
      <c r="BC63" s="109">
        <f ca="1">IFERROR(VLOOKUP(E63-15,Reeksen!$A$5:$D$234,4,FALSE),0)</f>
        <v>0</v>
      </c>
      <c r="BD63" s="67">
        <f ca="1">IF(E63-'Invoer gegevens'!$C$17&lt;15,0,1)</f>
        <v>1</v>
      </c>
    </row>
    <row r="64" spans="1:56" x14ac:dyDescent="0.25">
      <c r="A64" s="59"/>
      <c r="B64" s="70">
        <f t="shared" si="14"/>
        <v>60</v>
      </c>
      <c r="C64" s="67">
        <f ca="1">IF(E64-'Invoer gegevens'!$C$17&lt;0,0,1)</f>
        <v>1</v>
      </c>
      <c r="D64" s="68">
        <f t="shared" si="15"/>
        <v>59.5</v>
      </c>
      <c r="E64" s="108">
        <f ca="1">IF('Invoer gegevens'!$C$16="","",E63+1)</f>
        <v>2078</v>
      </c>
      <c r="F64" s="84">
        <f ca="1">IF('Invoer gegevens'!$C$17=E64,'Invoer gegevens'!$C$10,IF(C64=1,K63,0))</f>
        <v>0</v>
      </c>
      <c r="G64" s="96">
        <f ca="1">IF(BD64&lt;1,F64*Reeksen!C64,IF(C64&gt;=1,F64*BA64,0))</f>
        <v>0</v>
      </c>
      <c r="H64" s="84">
        <f ca="1">(1-('Invoer gegevens'!$F$20/12))*F64*MIN(BA64,BC64)</f>
        <v>0</v>
      </c>
      <c r="I64" s="84">
        <f t="shared" ca="1" si="0"/>
        <v>0</v>
      </c>
      <c r="J64" s="84">
        <f ca="1">('Invoer gegevens'!$F$20/12)*F63*MIN(BA64,BC64)</f>
        <v>0</v>
      </c>
      <c r="K64" s="97">
        <f t="shared" ca="1" si="5"/>
        <v>0</v>
      </c>
      <c r="L64" s="84">
        <f ca="1">IF('Invoer gegevens'!$C$17=E64,0,IF(C64=1,Q63,0))</f>
        <v>0</v>
      </c>
      <c r="M64" s="96">
        <f t="shared" ca="1" si="1"/>
        <v>0</v>
      </c>
      <c r="N64" s="84">
        <f ca="1">(1-('Invoer gegevens'!$F$20/12))*L64*MIN(BA64,BC64)</f>
        <v>0</v>
      </c>
      <c r="O64" s="84">
        <f t="shared" ca="1" si="2"/>
        <v>0</v>
      </c>
      <c r="P64" s="84">
        <f ca="1">('Invoer gegevens'!$F$20/12)*L63*MIN(BA64,BC64)</f>
        <v>0</v>
      </c>
      <c r="Q64" s="84">
        <f t="shared" ca="1" si="6"/>
        <v>0</v>
      </c>
      <c r="R64" s="85">
        <f ca="1">IF('Invoer gegevens'!$C$17=E64,'Invoer gegevens'!$C$11,IF(C64=1,W63,0))</f>
        <v>0</v>
      </c>
      <c r="S64" s="86">
        <f t="shared" ca="1" si="3"/>
        <v>0</v>
      </c>
      <c r="T64" s="86">
        <f ca="1">(1-('Invoer gegevens'!$F$20/12))*R64*MIN(BC64,BA64)</f>
        <v>0</v>
      </c>
      <c r="U64" s="86">
        <f ca="1">IF(BD64&lt;1,IF(Reeksen!AD64&lt;=Reeksen!AE64,R64*Reeksen!C64,0),IF(BC64&gt;=BA64,0,IF(Reeksen!AD64&lt;=Reeksen!AE64,(BA64-BC64)*R64,0)))</f>
        <v>0</v>
      </c>
      <c r="V64" s="86">
        <f ca="1">IF(BD64&lt;1,IF(Reeksen!AD64&gt;Reeksen!AE64,R64*Reeksen!C64,0),IF(BC64&gt;=BA64,0,IF(Reeksen!AD64&gt;Reeksen!AE64,(BA64-BC64)*R64,0)))</f>
        <v>0</v>
      </c>
      <c r="W64" s="218">
        <f t="shared" ca="1" si="7"/>
        <v>0</v>
      </c>
      <c r="X64" s="98">
        <f ca="1">IF('Invoer gegevens'!$C$17=E64,'Invoer gegevens'!$C$10-'Invoer gegevens'!$C$11,IF(C64=1,AC63,0))</f>
        <v>0</v>
      </c>
      <c r="Y64" s="98">
        <f t="shared" ca="1" si="4"/>
        <v>0</v>
      </c>
      <c r="Z64" s="98">
        <f ca="1">(1-('Invoer gegevens'!$F$20/12))*X64*MIN(BA64,BC64)</f>
        <v>0</v>
      </c>
      <c r="AA64" s="98">
        <f ca="1">IF(BD64&lt;1,IF(Reeksen!AD64&lt;=Reeksen!AE64,X64*Reeksen!C64,0),IF(BC64&gt;=BA64,0,IF(Reeksen!AD64&lt;=Reeksen!AE64,(BA64-BC64)*X64,0)))</f>
        <v>0</v>
      </c>
      <c r="AB64" s="98">
        <f ca="1">IF(BD64&lt;1,IF(Reeksen!AD64&gt;Reeksen!AE64,X64*Reeksen!C64,0),IF(BC64&gt;=BA64,0,IF(Reeksen!AD64&gt;Reeksen!AE64,(BA64-BC64)*X64,0)))</f>
        <v>0</v>
      </c>
      <c r="AC64" s="99">
        <f t="shared" ca="1" si="8"/>
        <v>0</v>
      </c>
      <c r="AD64" s="98">
        <f ca="1">IF('Invoer gegevens'!$C$17=E64,R64,IF(C64=0,0,AE63))</f>
        <v>0</v>
      </c>
      <c r="AE64" s="98">
        <f t="shared" ca="1" si="9"/>
        <v>0</v>
      </c>
      <c r="AF64" s="98">
        <f ca="1">IF('Invoer gegevens'!$C$17=E64,X64,IF(C64=0,0,AG63))</f>
        <v>0</v>
      </c>
      <c r="AG64" s="98">
        <f t="shared" ca="1" si="10"/>
        <v>0</v>
      </c>
      <c r="AH64" s="66"/>
      <c r="AI64" s="71">
        <f ca="1">IF(C64=1,Reeksen!AI64*((F64+K64)/2)*12+Reeksen!AD64*((L64+Q64)/2)*12,0)</f>
        <v>0</v>
      </c>
      <c r="AJ64" s="71">
        <f ca="1">-AI64*'Invoer gegevens'!$F$28</f>
        <v>0</v>
      </c>
      <c r="AK64" s="71">
        <f t="shared" ca="1" si="11"/>
        <v>0</v>
      </c>
      <c r="AL64" s="71">
        <f ca="1">IF(C64=1,Reeksen!AL64*((F64-G64+F64)/2)*12+Reeksen!AM64*((L64-M64+L64)/2)*12,0)</f>
        <v>0</v>
      </c>
      <c r="AM64" s="71">
        <f ca="1">-AL64*'Invoer gegevens'!$F$31</f>
        <v>0</v>
      </c>
      <c r="AN64" s="71">
        <f t="shared" ca="1" si="12"/>
        <v>0</v>
      </c>
      <c r="AO64" s="71">
        <f ca="1">IF(C64=1,(H64+J64+N64+P64)*Reeksen!AN64,0)</f>
        <v>0</v>
      </c>
      <c r="AP64" s="71">
        <f ca="1">-IF(C64=1,(H64+J64+N64+P64)*'Hulp - basis'!$G$550*Reeksen!H64,0)</f>
        <v>0</v>
      </c>
      <c r="AQ64" s="71">
        <f ca="1">-IF(C64=1,(F64+K64+L64+Q64)/2*'Invoer gegevens'!$F$35*Reeksen!J64,0)*2</f>
        <v>0</v>
      </c>
      <c r="AR64" s="71">
        <f ca="1">IF(BD64&lt;1,-IF(C64=1,(G64*'Invoer gegevens'!$F$36)*Reeksen!J64,0),0)</f>
        <v>0</v>
      </c>
      <c r="AS64" s="71">
        <f ca="1">-IF(C64=1,(F64+K64+L64+Q64)/2*'Invoer gegevens'!$F$37*Reeksen!L64,0)</f>
        <v>0</v>
      </c>
      <c r="AT64" s="71">
        <f ca="1">-IF(C64=1,IF(E64='Invoer gegevens'!$C$17,'Invoer gegevens'!$C$11,AD64)*Reeksen!S64*'Invoer gegevens'!$C$18*Reeksen!P64,0)</f>
        <v>0</v>
      </c>
      <c r="AU64" s="71">
        <f ca="1">-IF(C64=1,(F64+K64+L64+Q64)/2*'Invoer gegevens'!$F$38*Reeksen!H64,0)</f>
        <v>0</v>
      </c>
      <c r="AV64" s="71">
        <f t="shared" si="16"/>
        <v>0</v>
      </c>
      <c r="AW64" s="71">
        <f t="shared" ca="1" si="13"/>
        <v>0</v>
      </c>
      <c r="AX64" s="71">
        <f ca="1">IF(E64&lt;'Invoer gegevens'!$C$17+15,0,IF(E64&gt;'Invoer gegevens'!$C$17+215,0,AW64))</f>
        <v>0</v>
      </c>
      <c r="AY64" s="71">
        <f ca="1">AX64/(1+'Invoer gegevens'!$F$18)^($AZ64-('Invoer gegevens'!$C$17-'Invoer gegevens'!$C$16))/(1+'Invoer gegevens'!$C$39)^('Invoer gegevens'!$C$17-'Invoer gegevens'!$C$16)</f>
        <v>0</v>
      </c>
      <c r="AZ64" s="68">
        <f ca="1">IF(E64-'Invoer gegevens'!$C$17-14.5&lt;0,0,E64-'Invoer gegevens'!$C$17-14.5)</f>
        <v>44.5</v>
      </c>
      <c r="BA64" s="109">
        <f ca="1">IFERROR(VLOOKUP(E64-15,Reeksen!$A$5:$D$234,2,FALSE),0)</f>
        <v>0</v>
      </c>
      <c r="BB64" s="109">
        <f ca="1">IFERROR(VLOOKUP(E64-15,Reeksen!$A$5:$D$234,3,FALSE),0)</f>
        <v>0</v>
      </c>
      <c r="BC64" s="109">
        <f ca="1">IFERROR(VLOOKUP(E64-15,Reeksen!$A$5:$D$234,4,FALSE),0)</f>
        <v>0</v>
      </c>
      <c r="BD64" s="67">
        <f ca="1">IF(E64-'Invoer gegevens'!$C$17&lt;15,0,1)</f>
        <v>1</v>
      </c>
    </row>
    <row r="65" spans="1:56" x14ac:dyDescent="0.25">
      <c r="A65" s="59"/>
      <c r="B65" s="70">
        <f t="shared" si="14"/>
        <v>61</v>
      </c>
      <c r="C65" s="67">
        <f ca="1">IF(E65-'Invoer gegevens'!$C$17&lt;0,0,1)</f>
        <v>1</v>
      </c>
      <c r="D65" s="68">
        <f t="shared" si="15"/>
        <v>60.5</v>
      </c>
      <c r="E65" s="108">
        <f ca="1">IF('Invoer gegevens'!$C$16="","",E64+1)</f>
        <v>2079</v>
      </c>
      <c r="F65" s="84">
        <f ca="1">IF('Invoer gegevens'!$C$17=E65,'Invoer gegevens'!$C$10,IF(C65=1,K64,0))</f>
        <v>0</v>
      </c>
      <c r="G65" s="96">
        <f ca="1">IF(BD65&lt;1,F65*Reeksen!C65,IF(C65&gt;=1,F65*BA65,0))</f>
        <v>0</v>
      </c>
      <c r="H65" s="84">
        <f ca="1">(1-('Invoer gegevens'!$F$20/12))*F65*MIN(BA65,BC65)</f>
        <v>0</v>
      </c>
      <c r="I65" s="84">
        <f t="shared" ca="1" si="0"/>
        <v>0</v>
      </c>
      <c r="J65" s="84">
        <f ca="1">('Invoer gegevens'!$F$20/12)*F64*MIN(BA65,BC65)</f>
        <v>0</v>
      </c>
      <c r="K65" s="97">
        <f t="shared" ca="1" si="5"/>
        <v>0</v>
      </c>
      <c r="L65" s="84">
        <f ca="1">IF('Invoer gegevens'!$C$17=E65,0,IF(C65=1,Q64,0))</f>
        <v>0</v>
      </c>
      <c r="M65" s="96">
        <f t="shared" ca="1" si="1"/>
        <v>0</v>
      </c>
      <c r="N65" s="84">
        <f ca="1">(1-('Invoer gegevens'!$F$20/12))*L65*MIN(BA65,BC65)</f>
        <v>0</v>
      </c>
      <c r="O65" s="84">
        <f t="shared" ca="1" si="2"/>
        <v>0</v>
      </c>
      <c r="P65" s="84">
        <f ca="1">('Invoer gegevens'!$F$20/12)*L64*MIN(BA65,BC65)</f>
        <v>0</v>
      </c>
      <c r="Q65" s="84">
        <f t="shared" ca="1" si="6"/>
        <v>0</v>
      </c>
      <c r="R65" s="85">
        <f ca="1">IF('Invoer gegevens'!$C$17=E65,'Invoer gegevens'!$C$11,IF(C65=1,W64,0))</f>
        <v>0</v>
      </c>
      <c r="S65" s="86">
        <f t="shared" ca="1" si="3"/>
        <v>0</v>
      </c>
      <c r="T65" s="86">
        <f ca="1">(1-('Invoer gegevens'!$F$20/12))*R65*MIN(BC65,BA65)</f>
        <v>0</v>
      </c>
      <c r="U65" s="86">
        <f ca="1">IF(BD65&lt;1,IF(Reeksen!AD65&lt;=Reeksen!AE65,R65*Reeksen!C65,0),IF(BC65&gt;=BA65,0,IF(Reeksen!AD65&lt;=Reeksen!AE65,(BA65-BC65)*R65,0)))</f>
        <v>0</v>
      </c>
      <c r="V65" s="86">
        <f ca="1">IF(BD65&lt;1,IF(Reeksen!AD65&gt;Reeksen!AE65,R65*Reeksen!C65,0),IF(BC65&gt;=BA65,0,IF(Reeksen!AD65&gt;Reeksen!AE65,(BA65-BC65)*R65,0)))</f>
        <v>0</v>
      </c>
      <c r="W65" s="218">
        <f t="shared" ca="1" si="7"/>
        <v>0</v>
      </c>
      <c r="X65" s="98">
        <f ca="1">IF('Invoer gegevens'!$C$17=E65,'Invoer gegevens'!$C$10-'Invoer gegevens'!$C$11,IF(C65=1,AC64,0))</f>
        <v>0</v>
      </c>
      <c r="Y65" s="98">
        <f t="shared" ca="1" si="4"/>
        <v>0</v>
      </c>
      <c r="Z65" s="98">
        <f ca="1">(1-('Invoer gegevens'!$F$20/12))*X65*MIN(BA65,BC65)</f>
        <v>0</v>
      </c>
      <c r="AA65" s="98">
        <f ca="1">IF(BD65&lt;1,IF(Reeksen!AD65&lt;=Reeksen!AE65,X65*Reeksen!C65,0),IF(BC65&gt;=BA65,0,IF(Reeksen!AD65&lt;=Reeksen!AE65,(BA65-BC65)*X65,0)))</f>
        <v>0</v>
      </c>
      <c r="AB65" s="98">
        <f ca="1">IF(BD65&lt;1,IF(Reeksen!AD65&gt;Reeksen!AE65,X65*Reeksen!C65,0),IF(BC65&gt;=BA65,0,IF(Reeksen!AD65&gt;Reeksen!AE65,(BA65-BC65)*X65,0)))</f>
        <v>0</v>
      </c>
      <c r="AC65" s="99">
        <f t="shared" ca="1" si="8"/>
        <v>0</v>
      </c>
      <c r="AD65" s="98">
        <f ca="1">IF('Invoer gegevens'!$C$17=E65,R65,IF(C65=0,0,AE64))</f>
        <v>0</v>
      </c>
      <c r="AE65" s="98">
        <f t="shared" ca="1" si="9"/>
        <v>0</v>
      </c>
      <c r="AF65" s="98">
        <f ca="1">IF('Invoer gegevens'!$C$17=E65,X65,IF(C65=0,0,AG64))</f>
        <v>0</v>
      </c>
      <c r="AG65" s="98">
        <f t="shared" ca="1" si="10"/>
        <v>0</v>
      </c>
      <c r="AH65" s="66"/>
      <c r="AI65" s="71">
        <f ca="1">IF(C65=1,Reeksen!AI65*((F65+K65)/2)*12+Reeksen!AD65*((L65+Q65)/2)*12,0)</f>
        <v>0</v>
      </c>
      <c r="AJ65" s="71">
        <f ca="1">-AI65*'Invoer gegevens'!$F$28</f>
        <v>0</v>
      </c>
      <c r="AK65" s="71">
        <f t="shared" ca="1" si="11"/>
        <v>0</v>
      </c>
      <c r="AL65" s="71">
        <f ca="1">IF(C65=1,Reeksen!AL65*((F65-G65+F65)/2)*12+Reeksen!AM65*((L65-M65+L65)/2)*12,0)</f>
        <v>0</v>
      </c>
      <c r="AM65" s="71">
        <f ca="1">-AL65*'Invoer gegevens'!$F$31</f>
        <v>0</v>
      </c>
      <c r="AN65" s="71">
        <f t="shared" ca="1" si="12"/>
        <v>0</v>
      </c>
      <c r="AO65" s="71">
        <f ca="1">IF(C65=1,(H65+J65+N65+P65)*Reeksen!AN65,0)</f>
        <v>0</v>
      </c>
      <c r="AP65" s="71">
        <f ca="1">-IF(C65=1,(H65+J65+N65+P65)*'Hulp - basis'!$G$550*Reeksen!H65,0)</f>
        <v>0</v>
      </c>
      <c r="AQ65" s="71">
        <f ca="1">-IF(C65=1,(F65+K65+L65+Q65)/2*'Invoer gegevens'!$F$35*Reeksen!J65,0)*2</f>
        <v>0</v>
      </c>
      <c r="AR65" s="71">
        <f ca="1">IF(BD65&lt;1,-IF(C65=1,(G65*'Invoer gegevens'!$F$36)*Reeksen!J65,0),0)</f>
        <v>0</v>
      </c>
      <c r="AS65" s="71">
        <f ca="1">-IF(C65=1,(F65+K65+L65+Q65)/2*'Invoer gegevens'!$F$37*Reeksen!L65,0)</f>
        <v>0</v>
      </c>
      <c r="AT65" s="71">
        <f ca="1">-IF(C65=1,IF(E65='Invoer gegevens'!$C$17,'Invoer gegevens'!$C$11,AD65)*Reeksen!S65*'Invoer gegevens'!$C$18*Reeksen!P65,0)</f>
        <v>0</v>
      </c>
      <c r="AU65" s="71">
        <f ca="1">-IF(C65=1,(F65+K65+L65+Q65)/2*'Invoer gegevens'!$F$38*Reeksen!H65,0)</f>
        <v>0</v>
      </c>
      <c r="AV65" s="71">
        <f t="shared" si="16"/>
        <v>0</v>
      </c>
      <c r="AW65" s="71">
        <f t="shared" ca="1" si="13"/>
        <v>0</v>
      </c>
      <c r="AX65" s="71">
        <f ca="1">IF(E65&lt;'Invoer gegevens'!$C$17+15,0,IF(E65&gt;'Invoer gegevens'!$C$17+215,0,AW65))</f>
        <v>0</v>
      </c>
      <c r="AY65" s="71">
        <f ca="1">AX65/(1+'Invoer gegevens'!$F$18)^($AZ65-('Invoer gegevens'!$C$17-'Invoer gegevens'!$C$16))/(1+'Invoer gegevens'!$C$39)^('Invoer gegevens'!$C$17-'Invoer gegevens'!$C$16)</f>
        <v>0</v>
      </c>
      <c r="AZ65" s="68">
        <f ca="1">IF(E65-'Invoer gegevens'!$C$17-14.5&lt;0,0,E65-'Invoer gegevens'!$C$17-14.5)</f>
        <v>45.5</v>
      </c>
      <c r="BA65" s="109">
        <f ca="1">IFERROR(VLOOKUP(E65-15,Reeksen!$A$5:$D$234,2,FALSE),0)</f>
        <v>0</v>
      </c>
      <c r="BB65" s="109">
        <f ca="1">IFERROR(VLOOKUP(E65-15,Reeksen!$A$5:$D$234,3,FALSE),0)</f>
        <v>0</v>
      </c>
      <c r="BC65" s="109">
        <f ca="1">IFERROR(VLOOKUP(E65-15,Reeksen!$A$5:$D$234,4,FALSE),0)</f>
        <v>0</v>
      </c>
      <c r="BD65" s="67">
        <f ca="1">IF(E65-'Invoer gegevens'!$C$17&lt;15,0,1)</f>
        <v>1</v>
      </c>
    </row>
    <row r="66" spans="1:56" x14ac:dyDescent="0.25">
      <c r="A66" s="59"/>
      <c r="B66" s="70">
        <f t="shared" si="14"/>
        <v>62</v>
      </c>
      <c r="C66" s="67">
        <f ca="1">IF(E66-'Invoer gegevens'!$C$17&lt;0,0,1)</f>
        <v>1</v>
      </c>
      <c r="D66" s="68">
        <f t="shared" si="15"/>
        <v>61.5</v>
      </c>
      <c r="E66" s="108">
        <f ca="1">IF('Invoer gegevens'!$C$16="","",E65+1)</f>
        <v>2080</v>
      </c>
      <c r="F66" s="84">
        <f ca="1">IF('Invoer gegevens'!$C$17=E66,'Invoer gegevens'!$C$10,IF(C66=1,K65,0))</f>
        <v>0</v>
      </c>
      <c r="G66" s="96">
        <f ca="1">IF(BD66&lt;1,F66*Reeksen!C66,IF(C66&gt;=1,F66*BA66,0))</f>
        <v>0</v>
      </c>
      <c r="H66" s="84">
        <f ca="1">(1-('Invoer gegevens'!$F$20/12))*F66*MIN(BA66,BC66)</f>
        <v>0</v>
      </c>
      <c r="I66" s="84">
        <f t="shared" ca="1" si="0"/>
        <v>0</v>
      </c>
      <c r="J66" s="84">
        <f ca="1">('Invoer gegevens'!$F$20/12)*F65*MIN(BA66,BC66)</f>
        <v>0</v>
      </c>
      <c r="K66" s="97">
        <f t="shared" ca="1" si="5"/>
        <v>0</v>
      </c>
      <c r="L66" s="84">
        <f ca="1">IF('Invoer gegevens'!$C$17=E66,0,IF(C66=1,Q65,0))</f>
        <v>0</v>
      </c>
      <c r="M66" s="96">
        <f t="shared" ca="1" si="1"/>
        <v>0</v>
      </c>
      <c r="N66" s="84">
        <f ca="1">(1-('Invoer gegevens'!$F$20/12))*L66*MIN(BA66,BC66)</f>
        <v>0</v>
      </c>
      <c r="O66" s="84">
        <f t="shared" ca="1" si="2"/>
        <v>0</v>
      </c>
      <c r="P66" s="84">
        <f ca="1">('Invoer gegevens'!$F$20/12)*L65*MIN(BA66,BC66)</f>
        <v>0</v>
      </c>
      <c r="Q66" s="84">
        <f t="shared" ca="1" si="6"/>
        <v>0</v>
      </c>
      <c r="R66" s="85">
        <f ca="1">IF('Invoer gegevens'!$C$17=E66,'Invoer gegevens'!$C$11,IF(C66=1,W65,0))</f>
        <v>0</v>
      </c>
      <c r="S66" s="86">
        <f t="shared" ca="1" si="3"/>
        <v>0</v>
      </c>
      <c r="T66" s="86">
        <f ca="1">(1-('Invoer gegevens'!$F$20/12))*R66*MIN(BC66,BA66)</f>
        <v>0</v>
      </c>
      <c r="U66" s="86">
        <f ca="1">IF(BD66&lt;1,IF(Reeksen!AD66&lt;=Reeksen!AE66,R66*Reeksen!C66,0),IF(BC66&gt;=BA66,0,IF(Reeksen!AD66&lt;=Reeksen!AE66,(BA66-BC66)*R66,0)))</f>
        <v>0</v>
      </c>
      <c r="V66" s="86">
        <f ca="1">IF(BD66&lt;1,IF(Reeksen!AD66&gt;Reeksen!AE66,R66*Reeksen!C66,0),IF(BC66&gt;=BA66,0,IF(Reeksen!AD66&gt;Reeksen!AE66,(BA66-BC66)*R66,0)))</f>
        <v>0</v>
      </c>
      <c r="W66" s="218">
        <f t="shared" ca="1" si="7"/>
        <v>0</v>
      </c>
      <c r="X66" s="98">
        <f ca="1">IF('Invoer gegevens'!$C$17=E66,'Invoer gegevens'!$C$10-'Invoer gegevens'!$C$11,IF(C66=1,AC65,0))</f>
        <v>0</v>
      </c>
      <c r="Y66" s="98">
        <f t="shared" ca="1" si="4"/>
        <v>0</v>
      </c>
      <c r="Z66" s="98">
        <f ca="1">(1-('Invoer gegevens'!$F$20/12))*X66*MIN(BA66,BC66)</f>
        <v>0</v>
      </c>
      <c r="AA66" s="98">
        <f ca="1">IF(BD66&lt;1,IF(Reeksen!AD66&lt;=Reeksen!AE66,X66*Reeksen!C66,0),IF(BC66&gt;=BA66,0,IF(Reeksen!AD66&lt;=Reeksen!AE66,(BA66-BC66)*X66,0)))</f>
        <v>0</v>
      </c>
      <c r="AB66" s="98">
        <f ca="1">IF(BD66&lt;1,IF(Reeksen!AD66&gt;Reeksen!AE66,X66*Reeksen!C66,0),IF(BC66&gt;=BA66,0,IF(Reeksen!AD66&gt;Reeksen!AE66,(BA66-BC66)*X66,0)))</f>
        <v>0</v>
      </c>
      <c r="AC66" s="99">
        <f t="shared" ca="1" si="8"/>
        <v>0</v>
      </c>
      <c r="AD66" s="98">
        <f ca="1">IF('Invoer gegevens'!$C$17=E66,R66,IF(C66=0,0,AE65))</f>
        <v>0</v>
      </c>
      <c r="AE66" s="98">
        <f t="shared" ca="1" si="9"/>
        <v>0</v>
      </c>
      <c r="AF66" s="98">
        <f ca="1">IF('Invoer gegevens'!$C$17=E66,X66,IF(C66=0,0,AG65))</f>
        <v>0</v>
      </c>
      <c r="AG66" s="98">
        <f t="shared" ca="1" si="10"/>
        <v>0</v>
      </c>
      <c r="AH66" s="66"/>
      <c r="AI66" s="71">
        <f ca="1">IF(C66=1,Reeksen!AI66*((F66+K66)/2)*12+Reeksen!AD66*((L66+Q66)/2)*12,0)</f>
        <v>0</v>
      </c>
      <c r="AJ66" s="71">
        <f ca="1">-AI66*'Invoer gegevens'!$F$28</f>
        <v>0</v>
      </c>
      <c r="AK66" s="71">
        <f t="shared" ca="1" si="11"/>
        <v>0</v>
      </c>
      <c r="AL66" s="71">
        <f ca="1">IF(C66=1,Reeksen!AL66*((F66-G66+F66)/2)*12+Reeksen!AM66*((L66-M66+L66)/2)*12,0)</f>
        <v>0</v>
      </c>
      <c r="AM66" s="71">
        <f ca="1">-AL66*'Invoer gegevens'!$F$31</f>
        <v>0</v>
      </c>
      <c r="AN66" s="71">
        <f t="shared" ca="1" si="12"/>
        <v>0</v>
      </c>
      <c r="AO66" s="71">
        <f ca="1">IF(C66=1,(H66+J66+N66+P66)*Reeksen!AN66,0)</f>
        <v>0</v>
      </c>
      <c r="AP66" s="71">
        <f ca="1">-IF(C66=1,(H66+J66+N66+P66)*'Hulp - basis'!$G$550*Reeksen!H66,0)</f>
        <v>0</v>
      </c>
      <c r="AQ66" s="71">
        <f ca="1">-IF(C66=1,(F66+K66+L66+Q66)/2*'Invoer gegevens'!$F$35*Reeksen!J66,0)*2</f>
        <v>0</v>
      </c>
      <c r="AR66" s="71">
        <f ca="1">IF(BD66&lt;1,-IF(C66=1,(G66*'Invoer gegevens'!$F$36)*Reeksen!J66,0),0)</f>
        <v>0</v>
      </c>
      <c r="AS66" s="71">
        <f ca="1">-IF(C66=1,(F66+K66+L66+Q66)/2*'Invoer gegevens'!$F$37*Reeksen!L66,0)</f>
        <v>0</v>
      </c>
      <c r="AT66" s="71">
        <f ca="1">-IF(C66=1,IF(E66='Invoer gegevens'!$C$17,'Invoer gegevens'!$C$11,AD66)*Reeksen!S66*'Invoer gegevens'!$C$18*Reeksen!P66,0)</f>
        <v>0</v>
      </c>
      <c r="AU66" s="71">
        <f ca="1">-IF(C66=1,(F66+K66+L66+Q66)/2*'Invoer gegevens'!$F$38*Reeksen!H66,0)</f>
        <v>0</v>
      </c>
      <c r="AV66" s="71">
        <f t="shared" si="16"/>
        <v>0</v>
      </c>
      <c r="AW66" s="71">
        <f t="shared" ca="1" si="13"/>
        <v>0</v>
      </c>
      <c r="AX66" s="71">
        <f ca="1">IF(E66&lt;'Invoer gegevens'!$C$17+15,0,IF(E66&gt;'Invoer gegevens'!$C$17+215,0,AW66))</f>
        <v>0</v>
      </c>
      <c r="AY66" s="71">
        <f ca="1">AX66/(1+'Invoer gegevens'!$F$18)^($AZ66-('Invoer gegevens'!$C$17-'Invoer gegevens'!$C$16))/(1+'Invoer gegevens'!$C$39)^('Invoer gegevens'!$C$17-'Invoer gegevens'!$C$16)</f>
        <v>0</v>
      </c>
      <c r="AZ66" s="68">
        <f ca="1">IF(E66-'Invoer gegevens'!$C$17-14.5&lt;0,0,E66-'Invoer gegevens'!$C$17-14.5)</f>
        <v>46.5</v>
      </c>
      <c r="BA66" s="109">
        <f ca="1">IFERROR(VLOOKUP(E66-15,Reeksen!$A$5:$D$234,2,FALSE),0)</f>
        <v>0</v>
      </c>
      <c r="BB66" s="109">
        <f ca="1">IFERROR(VLOOKUP(E66-15,Reeksen!$A$5:$D$234,3,FALSE),0)</f>
        <v>0</v>
      </c>
      <c r="BC66" s="109">
        <f ca="1">IFERROR(VLOOKUP(E66-15,Reeksen!$A$5:$D$234,4,FALSE),0)</f>
        <v>0</v>
      </c>
      <c r="BD66" s="67">
        <f ca="1">IF(E66-'Invoer gegevens'!$C$17&lt;15,0,1)</f>
        <v>1</v>
      </c>
    </row>
    <row r="67" spans="1:56" x14ac:dyDescent="0.25">
      <c r="A67" s="59"/>
      <c r="B67" s="70">
        <f t="shared" si="14"/>
        <v>63</v>
      </c>
      <c r="C67" s="67">
        <f ca="1">IF(E67-'Invoer gegevens'!$C$17&lt;0,0,1)</f>
        <v>1</v>
      </c>
      <c r="D67" s="68">
        <f t="shared" si="15"/>
        <v>62.5</v>
      </c>
      <c r="E67" s="108">
        <f ca="1">IF('Invoer gegevens'!$C$16="","",E66+1)</f>
        <v>2081</v>
      </c>
      <c r="F67" s="84">
        <f ca="1">IF('Invoer gegevens'!$C$17=E67,'Invoer gegevens'!$C$10,IF(C67=1,K66,0))</f>
        <v>0</v>
      </c>
      <c r="G67" s="96">
        <f ca="1">IF(BD67&lt;1,F67*Reeksen!C67,IF(C67&gt;=1,F67*BA67,0))</f>
        <v>0</v>
      </c>
      <c r="H67" s="84">
        <f ca="1">(1-('Invoer gegevens'!$F$20/12))*F67*MIN(BA67,BC67)</f>
        <v>0</v>
      </c>
      <c r="I67" s="84">
        <f t="shared" ca="1" si="0"/>
        <v>0</v>
      </c>
      <c r="J67" s="84">
        <f ca="1">('Invoer gegevens'!$F$20/12)*F66*MIN(BA67,BC67)</f>
        <v>0</v>
      </c>
      <c r="K67" s="97">
        <f t="shared" ca="1" si="5"/>
        <v>0</v>
      </c>
      <c r="L67" s="84">
        <f ca="1">IF('Invoer gegevens'!$C$17=E67,0,IF(C67=1,Q66,0))</f>
        <v>0</v>
      </c>
      <c r="M67" s="96">
        <f t="shared" ca="1" si="1"/>
        <v>0</v>
      </c>
      <c r="N67" s="84">
        <f ca="1">(1-('Invoer gegevens'!$F$20/12))*L67*MIN(BA67,BC67)</f>
        <v>0</v>
      </c>
      <c r="O67" s="84">
        <f t="shared" ca="1" si="2"/>
        <v>0</v>
      </c>
      <c r="P67" s="84">
        <f ca="1">('Invoer gegevens'!$F$20/12)*L66*MIN(BA67,BC67)</f>
        <v>0</v>
      </c>
      <c r="Q67" s="84">
        <f t="shared" ca="1" si="6"/>
        <v>0</v>
      </c>
      <c r="R67" s="85">
        <f ca="1">IF('Invoer gegevens'!$C$17=E67,'Invoer gegevens'!$C$11,IF(C67=1,W66,0))</f>
        <v>0</v>
      </c>
      <c r="S67" s="86">
        <f t="shared" ca="1" si="3"/>
        <v>0</v>
      </c>
      <c r="T67" s="86">
        <f ca="1">(1-('Invoer gegevens'!$F$20/12))*R67*MIN(BC67,BA67)</f>
        <v>0</v>
      </c>
      <c r="U67" s="86">
        <f ca="1">IF(BD67&lt;1,IF(Reeksen!AD67&lt;=Reeksen!AE67,R67*Reeksen!C67,0),IF(BC67&gt;=BA67,0,IF(Reeksen!AD67&lt;=Reeksen!AE67,(BA67-BC67)*R67,0)))</f>
        <v>0</v>
      </c>
      <c r="V67" s="86">
        <f ca="1">IF(BD67&lt;1,IF(Reeksen!AD67&gt;Reeksen!AE67,R67*Reeksen!C67,0),IF(BC67&gt;=BA67,0,IF(Reeksen!AD67&gt;Reeksen!AE67,(BA67-BC67)*R67,0)))</f>
        <v>0</v>
      </c>
      <c r="W67" s="218">
        <f t="shared" ca="1" si="7"/>
        <v>0</v>
      </c>
      <c r="X67" s="98">
        <f ca="1">IF('Invoer gegevens'!$C$17=E67,'Invoer gegevens'!$C$10-'Invoer gegevens'!$C$11,IF(C67=1,AC66,0))</f>
        <v>0</v>
      </c>
      <c r="Y67" s="98">
        <f t="shared" ca="1" si="4"/>
        <v>0</v>
      </c>
      <c r="Z67" s="98">
        <f ca="1">(1-('Invoer gegevens'!$F$20/12))*X67*MIN(BA67,BC67)</f>
        <v>0</v>
      </c>
      <c r="AA67" s="98">
        <f ca="1">IF(BD67&lt;1,IF(Reeksen!AD67&lt;=Reeksen!AE67,X67*Reeksen!C67,0),IF(BC67&gt;=BA67,0,IF(Reeksen!AD67&lt;=Reeksen!AE67,(BA67-BC67)*X67,0)))</f>
        <v>0</v>
      </c>
      <c r="AB67" s="98">
        <f ca="1">IF(BD67&lt;1,IF(Reeksen!AD67&gt;Reeksen!AE67,X67*Reeksen!C67,0),IF(BC67&gt;=BA67,0,IF(Reeksen!AD67&gt;Reeksen!AE67,(BA67-BC67)*X67,0)))</f>
        <v>0</v>
      </c>
      <c r="AC67" s="99">
        <f t="shared" ca="1" si="8"/>
        <v>0</v>
      </c>
      <c r="AD67" s="98">
        <f ca="1">IF('Invoer gegevens'!$C$17=E67,R67,IF(C67=0,0,AE66))</f>
        <v>0</v>
      </c>
      <c r="AE67" s="98">
        <f t="shared" ca="1" si="9"/>
        <v>0</v>
      </c>
      <c r="AF67" s="98">
        <f ca="1">IF('Invoer gegevens'!$C$17=E67,X67,IF(C67=0,0,AG66))</f>
        <v>0</v>
      </c>
      <c r="AG67" s="98">
        <f t="shared" ca="1" si="10"/>
        <v>0</v>
      </c>
      <c r="AH67" s="66"/>
      <c r="AI67" s="71">
        <f ca="1">IF(C67=1,Reeksen!AI67*((F67+K67)/2)*12+Reeksen!AD67*((L67+Q67)/2)*12,0)</f>
        <v>0</v>
      </c>
      <c r="AJ67" s="71">
        <f ca="1">-AI67*'Invoer gegevens'!$F$28</f>
        <v>0</v>
      </c>
      <c r="AK67" s="71">
        <f t="shared" ca="1" si="11"/>
        <v>0</v>
      </c>
      <c r="AL67" s="71">
        <f ca="1">IF(C67=1,Reeksen!AL67*((F67-G67+F67)/2)*12+Reeksen!AM67*((L67-M67+L67)/2)*12,0)</f>
        <v>0</v>
      </c>
      <c r="AM67" s="71">
        <f ca="1">-AL67*'Invoer gegevens'!$F$31</f>
        <v>0</v>
      </c>
      <c r="AN67" s="71">
        <f t="shared" ca="1" si="12"/>
        <v>0</v>
      </c>
      <c r="AO67" s="71">
        <f ca="1">IF(C67=1,(H67+J67+N67+P67)*Reeksen!AN67,0)</f>
        <v>0</v>
      </c>
      <c r="AP67" s="71">
        <f ca="1">-IF(C67=1,(H67+J67+N67+P67)*'Hulp - basis'!$G$550*Reeksen!H67,0)</f>
        <v>0</v>
      </c>
      <c r="AQ67" s="71">
        <f ca="1">-IF(C67=1,(F67+K67+L67+Q67)/2*'Invoer gegevens'!$F$35*Reeksen!J67,0)*2</f>
        <v>0</v>
      </c>
      <c r="AR67" s="71">
        <f ca="1">IF(BD67&lt;1,-IF(C67=1,(G67*'Invoer gegevens'!$F$36)*Reeksen!J67,0),0)</f>
        <v>0</v>
      </c>
      <c r="AS67" s="71">
        <f ca="1">-IF(C67=1,(F67+K67+L67+Q67)/2*'Invoer gegevens'!$F$37*Reeksen!L67,0)</f>
        <v>0</v>
      </c>
      <c r="AT67" s="71">
        <f ca="1">-IF(C67=1,IF(E67='Invoer gegevens'!$C$17,'Invoer gegevens'!$C$11,AD67)*Reeksen!S67*'Invoer gegevens'!$C$18*Reeksen!P67,0)</f>
        <v>0</v>
      </c>
      <c r="AU67" s="71">
        <f ca="1">-IF(C67=1,(F67+K67+L67+Q67)/2*'Invoer gegevens'!$F$38*Reeksen!H67,0)</f>
        <v>0</v>
      </c>
      <c r="AV67" s="71">
        <f t="shared" si="16"/>
        <v>0</v>
      </c>
      <c r="AW67" s="71">
        <f t="shared" ca="1" si="13"/>
        <v>0</v>
      </c>
      <c r="AX67" s="71">
        <f ca="1">IF(E67&lt;'Invoer gegevens'!$C$17+15,0,IF(E67&gt;'Invoer gegevens'!$C$17+215,0,AW67))</f>
        <v>0</v>
      </c>
      <c r="AY67" s="71">
        <f ca="1">AX67/(1+'Invoer gegevens'!$F$18)^($AZ67-('Invoer gegevens'!$C$17-'Invoer gegevens'!$C$16))/(1+'Invoer gegevens'!$C$39)^('Invoer gegevens'!$C$17-'Invoer gegevens'!$C$16)</f>
        <v>0</v>
      </c>
      <c r="AZ67" s="68">
        <f ca="1">IF(E67-'Invoer gegevens'!$C$17-14.5&lt;0,0,E67-'Invoer gegevens'!$C$17-14.5)</f>
        <v>47.5</v>
      </c>
      <c r="BA67" s="109">
        <f ca="1">IFERROR(VLOOKUP(E67-15,Reeksen!$A$5:$D$234,2,FALSE),0)</f>
        <v>0</v>
      </c>
      <c r="BB67" s="109">
        <f ca="1">IFERROR(VLOOKUP(E67-15,Reeksen!$A$5:$D$234,3,FALSE),0)</f>
        <v>0</v>
      </c>
      <c r="BC67" s="109">
        <f ca="1">IFERROR(VLOOKUP(E67-15,Reeksen!$A$5:$D$234,4,FALSE),0)</f>
        <v>0</v>
      </c>
      <c r="BD67" s="67">
        <f ca="1">IF(E67-'Invoer gegevens'!$C$17&lt;15,0,1)</f>
        <v>1</v>
      </c>
    </row>
    <row r="68" spans="1:56" x14ac:dyDescent="0.25">
      <c r="A68" s="59"/>
      <c r="B68" s="70">
        <f t="shared" si="14"/>
        <v>64</v>
      </c>
      <c r="C68" s="67">
        <f ca="1">IF(E68-'Invoer gegevens'!$C$17&lt;0,0,1)</f>
        <v>1</v>
      </c>
      <c r="D68" s="68">
        <f t="shared" si="15"/>
        <v>63.5</v>
      </c>
      <c r="E68" s="108">
        <f ca="1">IF('Invoer gegevens'!$C$16="","",E67+1)</f>
        <v>2082</v>
      </c>
      <c r="F68" s="84">
        <f ca="1">IF('Invoer gegevens'!$C$17=E68,'Invoer gegevens'!$C$10,IF(C68=1,K67,0))</f>
        <v>0</v>
      </c>
      <c r="G68" s="96">
        <f ca="1">IF(BD68&lt;1,F68*Reeksen!C68,IF(C68&gt;=1,F68*BA68,0))</f>
        <v>0</v>
      </c>
      <c r="H68" s="84">
        <f ca="1">(1-('Invoer gegevens'!$F$20/12))*F68*MIN(BA68,BC68)</f>
        <v>0</v>
      </c>
      <c r="I68" s="84">
        <f t="shared" ca="1" si="0"/>
        <v>0</v>
      </c>
      <c r="J68" s="84">
        <f ca="1">('Invoer gegevens'!$F$20/12)*F67*MIN(BA68,BC68)</f>
        <v>0</v>
      </c>
      <c r="K68" s="97">
        <f t="shared" ca="1" si="5"/>
        <v>0</v>
      </c>
      <c r="L68" s="84">
        <f ca="1">IF('Invoer gegevens'!$C$17=E68,0,IF(C68=1,Q67,0))</f>
        <v>0</v>
      </c>
      <c r="M68" s="96">
        <f t="shared" ca="1" si="1"/>
        <v>0</v>
      </c>
      <c r="N68" s="84">
        <f ca="1">(1-('Invoer gegevens'!$F$20/12))*L68*MIN(BA68,BC68)</f>
        <v>0</v>
      </c>
      <c r="O68" s="84">
        <f t="shared" ca="1" si="2"/>
        <v>0</v>
      </c>
      <c r="P68" s="84">
        <f ca="1">('Invoer gegevens'!$F$20/12)*L67*MIN(BA68,BC68)</f>
        <v>0</v>
      </c>
      <c r="Q68" s="84">
        <f t="shared" ca="1" si="6"/>
        <v>0</v>
      </c>
      <c r="R68" s="85">
        <f ca="1">IF('Invoer gegevens'!$C$17=E68,'Invoer gegevens'!$C$11,IF(C68=1,W67,0))</f>
        <v>0</v>
      </c>
      <c r="S68" s="86">
        <f t="shared" ca="1" si="3"/>
        <v>0</v>
      </c>
      <c r="T68" s="86">
        <f ca="1">(1-('Invoer gegevens'!$F$20/12))*R68*MIN(BC68,BA68)</f>
        <v>0</v>
      </c>
      <c r="U68" s="86">
        <f ca="1">IF(BD68&lt;1,IF(Reeksen!AD68&lt;=Reeksen!AE68,R68*Reeksen!C68,0),IF(BC68&gt;=BA68,0,IF(Reeksen!AD68&lt;=Reeksen!AE68,(BA68-BC68)*R68,0)))</f>
        <v>0</v>
      </c>
      <c r="V68" s="86">
        <f ca="1">IF(BD68&lt;1,IF(Reeksen!AD68&gt;Reeksen!AE68,R68*Reeksen!C68,0),IF(BC68&gt;=BA68,0,IF(Reeksen!AD68&gt;Reeksen!AE68,(BA68-BC68)*R68,0)))</f>
        <v>0</v>
      </c>
      <c r="W68" s="218">
        <f t="shared" ca="1" si="7"/>
        <v>0</v>
      </c>
      <c r="X68" s="98">
        <f ca="1">IF('Invoer gegevens'!$C$17=E68,'Invoer gegevens'!$C$10-'Invoer gegevens'!$C$11,IF(C68=1,AC67,0))</f>
        <v>0</v>
      </c>
      <c r="Y68" s="98">
        <f t="shared" ca="1" si="4"/>
        <v>0</v>
      </c>
      <c r="Z68" s="98">
        <f ca="1">(1-('Invoer gegevens'!$F$20/12))*X68*MIN(BA68,BC68)</f>
        <v>0</v>
      </c>
      <c r="AA68" s="98">
        <f ca="1">IF(BD68&lt;1,IF(Reeksen!AD68&lt;=Reeksen!AE68,X68*Reeksen!C68,0),IF(BC68&gt;=BA68,0,IF(Reeksen!AD68&lt;=Reeksen!AE68,(BA68-BC68)*X68,0)))</f>
        <v>0</v>
      </c>
      <c r="AB68" s="98">
        <f ca="1">IF(BD68&lt;1,IF(Reeksen!AD68&gt;Reeksen!AE68,X68*Reeksen!C68,0),IF(BC68&gt;=BA68,0,IF(Reeksen!AD68&gt;Reeksen!AE68,(BA68-BC68)*X68,0)))</f>
        <v>0</v>
      </c>
      <c r="AC68" s="99">
        <f t="shared" ca="1" si="8"/>
        <v>0</v>
      </c>
      <c r="AD68" s="98">
        <f ca="1">IF('Invoer gegevens'!$C$17=E68,R68,IF(C68=0,0,AE67))</f>
        <v>0</v>
      </c>
      <c r="AE68" s="98">
        <f t="shared" ca="1" si="9"/>
        <v>0</v>
      </c>
      <c r="AF68" s="98">
        <f ca="1">IF('Invoer gegevens'!$C$17=E68,X68,IF(C68=0,0,AG67))</f>
        <v>0</v>
      </c>
      <c r="AG68" s="98">
        <f t="shared" ca="1" si="10"/>
        <v>0</v>
      </c>
      <c r="AH68" s="66"/>
      <c r="AI68" s="71">
        <f ca="1">IF(C68=1,Reeksen!AI68*((F68+K68)/2)*12+Reeksen!AD68*((L68+Q68)/2)*12,0)</f>
        <v>0</v>
      </c>
      <c r="AJ68" s="71">
        <f ca="1">-AI68*'Invoer gegevens'!$F$28</f>
        <v>0</v>
      </c>
      <c r="AK68" s="71">
        <f t="shared" ca="1" si="11"/>
        <v>0</v>
      </c>
      <c r="AL68" s="71">
        <f ca="1">IF(C68=1,Reeksen!AL68*((F68-G68+F68)/2)*12+Reeksen!AM68*((L68-M68+L68)/2)*12,0)</f>
        <v>0</v>
      </c>
      <c r="AM68" s="71">
        <f ca="1">-AL68*'Invoer gegevens'!$F$31</f>
        <v>0</v>
      </c>
      <c r="AN68" s="71">
        <f t="shared" ca="1" si="12"/>
        <v>0</v>
      </c>
      <c r="AO68" s="71">
        <f ca="1">IF(C68=1,(H68+J68+N68+P68)*Reeksen!AN68,0)</f>
        <v>0</v>
      </c>
      <c r="AP68" s="71">
        <f ca="1">-IF(C68=1,(H68+J68+N68+P68)*'Hulp - basis'!$G$550*Reeksen!H68,0)</f>
        <v>0</v>
      </c>
      <c r="AQ68" s="71">
        <f ca="1">-IF(C68=1,(F68+K68+L68+Q68)/2*'Invoer gegevens'!$F$35*Reeksen!J68,0)*2</f>
        <v>0</v>
      </c>
      <c r="AR68" s="71">
        <f ca="1">IF(BD68&lt;1,-IF(C68=1,(G68*'Invoer gegevens'!$F$36)*Reeksen!J68,0),0)</f>
        <v>0</v>
      </c>
      <c r="AS68" s="71">
        <f ca="1">-IF(C68=1,(F68+K68+L68+Q68)/2*'Invoer gegevens'!$F$37*Reeksen!L68,0)</f>
        <v>0</v>
      </c>
      <c r="AT68" s="71">
        <f ca="1">-IF(C68=1,IF(E68='Invoer gegevens'!$C$17,'Invoer gegevens'!$C$11,AD68)*Reeksen!S68*'Invoer gegevens'!$C$18*Reeksen!P68,0)</f>
        <v>0</v>
      </c>
      <c r="AU68" s="71">
        <f ca="1">-IF(C68=1,(F68+K68+L68+Q68)/2*'Invoer gegevens'!$F$38*Reeksen!H68,0)</f>
        <v>0</v>
      </c>
      <c r="AV68" s="71">
        <f t="shared" si="16"/>
        <v>0</v>
      </c>
      <c r="AW68" s="71">
        <f t="shared" ca="1" si="13"/>
        <v>0</v>
      </c>
      <c r="AX68" s="71">
        <f ca="1">IF(E68&lt;'Invoer gegevens'!$C$17+15,0,IF(E68&gt;'Invoer gegevens'!$C$17+215,0,AW68))</f>
        <v>0</v>
      </c>
      <c r="AY68" s="71">
        <f ca="1">AX68/(1+'Invoer gegevens'!$F$18)^($AZ68-('Invoer gegevens'!$C$17-'Invoer gegevens'!$C$16))/(1+'Invoer gegevens'!$C$39)^('Invoer gegevens'!$C$17-'Invoer gegevens'!$C$16)</f>
        <v>0</v>
      </c>
      <c r="AZ68" s="68">
        <f ca="1">IF(E68-'Invoer gegevens'!$C$17-14.5&lt;0,0,E68-'Invoer gegevens'!$C$17-14.5)</f>
        <v>48.5</v>
      </c>
      <c r="BA68" s="109">
        <f ca="1">IFERROR(VLOOKUP(E68-15,Reeksen!$A$5:$D$234,2,FALSE),0)</f>
        <v>0</v>
      </c>
      <c r="BB68" s="109">
        <f ca="1">IFERROR(VLOOKUP(E68-15,Reeksen!$A$5:$D$234,3,FALSE),0)</f>
        <v>0</v>
      </c>
      <c r="BC68" s="109">
        <f ca="1">IFERROR(VLOOKUP(E68-15,Reeksen!$A$5:$D$234,4,FALSE),0)</f>
        <v>0</v>
      </c>
      <c r="BD68" s="67">
        <f ca="1">IF(E68-'Invoer gegevens'!$C$17&lt;15,0,1)</f>
        <v>1</v>
      </c>
    </row>
    <row r="69" spans="1:56" x14ac:dyDescent="0.25">
      <c r="A69" s="59"/>
      <c r="B69" s="70">
        <f t="shared" si="14"/>
        <v>65</v>
      </c>
      <c r="C69" s="67">
        <f ca="1">IF(E69-'Invoer gegevens'!$C$17&lt;0,0,1)</f>
        <v>1</v>
      </c>
      <c r="D69" s="68">
        <f t="shared" si="15"/>
        <v>64.5</v>
      </c>
      <c r="E69" s="108">
        <f ca="1">IF('Invoer gegevens'!$C$16="","",E68+1)</f>
        <v>2083</v>
      </c>
      <c r="F69" s="84">
        <f ca="1">IF('Invoer gegevens'!$C$17=E69,'Invoer gegevens'!$C$10,IF(C69=1,K68,0))</f>
        <v>0</v>
      </c>
      <c r="G69" s="96">
        <f ca="1">IF(BD69&lt;1,F69*Reeksen!C69,IF(C69&gt;=1,F69*BA69,0))</f>
        <v>0</v>
      </c>
      <c r="H69" s="84">
        <f ca="1">(1-('Invoer gegevens'!$F$20/12))*F69*MIN(BA69,BC69)</f>
        <v>0</v>
      </c>
      <c r="I69" s="84">
        <f t="shared" ref="I69:I132" ca="1" si="17">IF(BD69&lt;1,G69-H69,IF(BC69&lt;BA69,(BA69-BC69)*F69,0))</f>
        <v>0</v>
      </c>
      <c r="J69" s="84">
        <f ca="1">('Invoer gegevens'!$F$20/12)*F68*MIN(BA69,BC69)</f>
        <v>0</v>
      </c>
      <c r="K69" s="97">
        <f t="shared" ca="1" si="5"/>
        <v>0</v>
      </c>
      <c r="L69" s="84">
        <f ca="1">IF('Invoer gegevens'!$C$17=E69,0,IF(C69=1,Q68,0))</f>
        <v>0</v>
      </c>
      <c r="M69" s="96">
        <f t="shared" ref="M69:M132" ca="1" si="18">IF(C69&gt;=1,L69*BA69,0)</f>
        <v>0</v>
      </c>
      <c r="N69" s="84">
        <f ca="1">(1-('Invoer gegevens'!$F$20/12))*L69*MIN(BA69,BC69)</f>
        <v>0</v>
      </c>
      <c r="O69" s="84">
        <f t="shared" ref="O69:O132" ca="1" si="19">IF(BC69&lt;BA69,(BA69-BC69)*L69,0)</f>
        <v>0</v>
      </c>
      <c r="P69" s="84">
        <f ca="1">('Invoer gegevens'!$F$20/12)*L68*MIN(BA69,BC69)</f>
        <v>0</v>
      </c>
      <c r="Q69" s="84">
        <f t="shared" ca="1" si="6"/>
        <v>0</v>
      </c>
      <c r="R69" s="85">
        <f ca="1">IF('Invoer gegevens'!$C$17=E69,'Invoer gegevens'!$C$11,IF(C69=1,W68,0))</f>
        <v>0</v>
      </c>
      <c r="S69" s="86">
        <f t="shared" ref="S69:S132" ca="1" si="20">IF(C69&gt;=1,R69*BA69,0)</f>
        <v>0</v>
      </c>
      <c r="T69" s="86">
        <f ca="1">(1-('Invoer gegevens'!$F$20/12))*R69*MIN(BC69,BA69)</f>
        <v>0</v>
      </c>
      <c r="U69" s="86">
        <f ca="1">IF(BD69&lt;1,IF(Reeksen!AD69&lt;=Reeksen!AE69,R69*Reeksen!C69,0),IF(BC69&gt;=BA69,0,IF(Reeksen!AD69&lt;=Reeksen!AE69,(BA69-BC69)*R69,0)))</f>
        <v>0</v>
      </c>
      <c r="V69" s="86">
        <f ca="1">IF(BD69&lt;1,IF(Reeksen!AD69&gt;Reeksen!AE69,R69*Reeksen!C69,0),IF(BC69&gt;=BA69,0,IF(Reeksen!AD69&gt;Reeksen!AE69,(BA69-BC69)*R69,0)))</f>
        <v>0</v>
      </c>
      <c r="W69" s="218">
        <f t="shared" ca="1" si="7"/>
        <v>0</v>
      </c>
      <c r="X69" s="98">
        <f ca="1">IF('Invoer gegevens'!$C$17=E69,'Invoer gegevens'!$C$10-'Invoer gegevens'!$C$11,IF(C69=1,AC68,0))</f>
        <v>0</v>
      </c>
      <c r="Y69" s="98">
        <f t="shared" ref="Y69:Y132" ca="1" si="21">IF(C69&gt;=1,X69*BA69,0)</f>
        <v>0</v>
      </c>
      <c r="Z69" s="98">
        <f ca="1">(1-('Invoer gegevens'!$F$20/12))*X69*MIN(BA69,BC69)</f>
        <v>0</v>
      </c>
      <c r="AA69" s="98">
        <f ca="1">IF(BD69&lt;1,IF(Reeksen!AD69&lt;=Reeksen!AE69,X69*Reeksen!C69,0),IF(BC69&gt;=BA69,0,IF(Reeksen!AD69&lt;=Reeksen!AE69,(BA69-BC69)*X69,0)))</f>
        <v>0</v>
      </c>
      <c r="AB69" s="98">
        <f ca="1">IF(BD69&lt;1,IF(Reeksen!AD69&gt;Reeksen!AE69,X69*Reeksen!C69,0),IF(BC69&gt;=BA69,0,IF(Reeksen!AD69&gt;Reeksen!AE69,(BA69-BC69)*X69,0)))</f>
        <v>0</v>
      </c>
      <c r="AC69" s="99">
        <f t="shared" ca="1" si="8"/>
        <v>0</v>
      </c>
      <c r="AD69" s="98">
        <f ca="1">IF('Invoer gegevens'!$C$17=E69,R69,IF(C69=0,0,AE68))</f>
        <v>0</v>
      </c>
      <c r="AE69" s="98">
        <f t="shared" ca="1" si="9"/>
        <v>0</v>
      </c>
      <c r="AF69" s="98">
        <f ca="1">IF('Invoer gegevens'!$C$17=E69,X69,IF(C69=0,0,AG68))</f>
        <v>0</v>
      </c>
      <c r="AG69" s="98">
        <f t="shared" ca="1" si="10"/>
        <v>0</v>
      </c>
      <c r="AH69" s="66"/>
      <c r="AI69" s="71">
        <f ca="1">IF(C69=1,Reeksen!AI69*((F69+K69)/2)*12+Reeksen!AD69*((L69+Q69)/2)*12,0)</f>
        <v>0</v>
      </c>
      <c r="AJ69" s="71">
        <f ca="1">-AI69*'Invoer gegevens'!$F$28</f>
        <v>0</v>
      </c>
      <c r="AK69" s="71">
        <f t="shared" ca="1" si="11"/>
        <v>0</v>
      </c>
      <c r="AL69" s="71">
        <f ca="1">IF(C69=1,Reeksen!AL69*((F69-G69+F69)/2)*12+Reeksen!AM69*((L69-M69+L69)/2)*12,0)</f>
        <v>0</v>
      </c>
      <c r="AM69" s="71">
        <f ca="1">-AL69*'Invoer gegevens'!$F$31</f>
        <v>0</v>
      </c>
      <c r="AN69" s="71">
        <f t="shared" ca="1" si="12"/>
        <v>0</v>
      </c>
      <c r="AO69" s="71">
        <f ca="1">IF(C69=1,(H69+J69+N69+P69)*Reeksen!AN69,0)</f>
        <v>0</v>
      </c>
      <c r="AP69" s="71">
        <f ca="1">-IF(C69=1,(H69+J69+N69+P69)*'Hulp - basis'!$G$550*Reeksen!H69,0)</f>
        <v>0</v>
      </c>
      <c r="AQ69" s="71">
        <f ca="1">-IF(C69=1,(F69+K69+L69+Q69)/2*'Invoer gegevens'!$F$35*Reeksen!J69,0)*2</f>
        <v>0</v>
      </c>
      <c r="AR69" s="71">
        <f ca="1">IF(BD69&lt;1,-IF(C69=1,(G69*'Invoer gegevens'!$F$36)*Reeksen!J69,0),0)</f>
        <v>0</v>
      </c>
      <c r="AS69" s="71">
        <f ca="1">-IF(C69=1,(F69+K69+L69+Q69)/2*'Invoer gegevens'!$F$37*Reeksen!L69,0)</f>
        <v>0</v>
      </c>
      <c r="AT69" s="71">
        <f ca="1">-IF(C69=1,IF(E69='Invoer gegevens'!$C$17,'Invoer gegevens'!$C$11,AD69)*Reeksen!S69*'Invoer gegevens'!$C$18*Reeksen!P69,0)</f>
        <v>0</v>
      </c>
      <c r="AU69" s="71">
        <f ca="1">-IF(C69=1,(F69+K69+L69+Q69)/2*'Invoer gegevens'!$F$38*Reeksen!H69,0)</f>
        <v>0</v>
      </c>
      <c r="AV69" s="71">
        <f t="shared" si="16"/>
        <v>0</v>
      </c>
      <c r="AW69" s="71">
        <f t="shared" ca="1" si="13"/>
        <v>0</v>
      </c>
      <c r="AX69" s="71">
        <f ca="1">IF(E69&lt;'Invoer gegevens'!$C$17+15,0,IF(E69&gt;'Invoer gegevens'!$C$17+215,0,AW69))</f>
        <v>0</v>
      </c>
      <c r="AY69" s="71">
        <f ca="1">AX69/(1+'Invoer gegevens'!$F$18)^($AZ69-('Invoer gegevens'!$C$17-'Invoer gegevens'!$C$16))/(1+'Invoer gegevens'!$C$39)^('Invoer gegevens'!$C$17-'Invoer gegevens'!$C$16)</f>
        <v>0</v>
      </c>
      <c r="AZ69" s="68">
        <f ca="1">IF(E69-'Invoer gegevens'!$C$17-14.5&lt;0,0,E69-'Invoer gegevens'!$C$17-14.5)</f>
        <v>49.5</v>
      </c>
      <c r="BA69" s="109">
        <f ca="1">IFERROR(VLOOKUP(E69-15,Reeksen!$A$5:$D$234,2,FALSE),0)</f>
        <v>0</v>
      </c>
      <c r="BB69" s="109">
        <f ca="1">IFERROR(VLOOKUP(E69-15,Reeksen!$A$5:$D$234,3,FALSE),0)</f>
        <v>0</v>
      </c>
      <c r="BC69" s="109">
        <f ca="1">IFERROR(VLOOKUP(E69-15,Reeksen!$A$5:$D$234,4,FALSE),0)</f>
        <v>0</v>
      </c>
      <c r="BD69" s="67">
        <f ca="1">IF(E69-'Invoer gegevens'!$C$17&lt;15,0,1)</f>
        <v>1</v>
      </c>
    </row>
    <row r="70" spans="1:56" x14ac:dyDescent="0.25">
      <c r="A70" s="59"/>
      <c r="B70" s="70">
        <f t="shared" si="14"/>
        <v>66</v>
      </c>
      <c r="C70" s="67">
        <f ca="1">IF(E70-'Invoer gegevens'!$C$17&lt;0,0,1)</f>
        <v>1</v>
      </c>
      <c r="D70" s="68">
        <f t="shared" si="15"/>
        <v>65.5</v>
      </c>
      <c r="E70" s="108">
        <f ca="1">IF('Invoer gegevens'!$C$16="","",E69+1)</f>
        <v>2084</v>
      </c>
      <c r="F70" s="84">
        <f ca="1">IF('Invoer gegevens'!$C$17=E70,'Invoer gegevens'!$C$10,IF(C70=1,K69,0))</f>
        <v>0</v>
      </c>
      <c r="G70" s="96">
        <f ca="1">IF(BD70&lt;1,F70*Reeksen!C70,IF(C70&gt;=1,F70*BA70,0))</f>
        <v>0</v>
      </c>
      <c r="H70" s="84">
        <f ca="1">(1-('Invoer gegevens'!$F$20/12))*F70*MIN(BA70,BC70)</f>
        <v>0</v>
      </c>
      <c r="I70" s="84">
        <f t="shared" ca="1" si="17"/>
        <v>0</v>
      </c>
      <c r="J70" s="84">
        <f ca="1">('Invoer gegevens'!$F$20/12)*F69*MIN(BA70,BC70)</f>
        <v>0</v>
      </c>
      <c r="K70" s="97">
        <f t="shared" ref="K70:K133" ca="1" si="22">IF(F70-G70&lt;0,0,F70-G70)</f>
        <v>0</v>
      </c>
      <c r="L70" s="84">
        <f ca="1">IF('Invoer gegevens'!$C$17=E70,0,IF(C70=1,Q69,0))</f>
        <v>0</v>
      </c>
      <c r="M70" s="96">
        <f t="shared" ca="1" si="18"/>
        <v>0</v>
      </c>
      <c r="N70" s="84">
        <f ca="1">(1-('Invoer gegevens'!$F$20/12))*L70*MIN(BA70,BC70)</f>
        <v>0</v>
      </c>
      <c r="O70" s="84">
        <f t="shared" ca="1" si="19"/>
        <v>0</v>
      </c>
      <c r="P70" s="84">
        <f ca="1">('Invoer gegevens'!$F$20/12)*L69*MIN(BA70,BC70)</f>
        <v>0</v>
      </c>
      <c r="Q70" s="84">
        <f t="shared" ref="Q70:Q133" ca="1" si="23">IF(L70-M70+I70+O70&lt;0,0,L70-M70+I70+O70)</f>
        <v>0</v>
      </c>
      <c r="R70" s="85">
        <f ca="1">IF('Invoer gegevens'!$C$17=E70,'Invoer gegevens'!$C$11,IF(C70=1,W69,0))</f>
        <v>0</v>
      </c>
      <c r="S70" s="86">
        <f t="shared" ca="1" si="20"/>
        <v>0</v>
      </c>
      <c r="T70" s="86">
        <f ca="1">(1-('Invoer gegevens'!$F$20/12))*R70*MIN(BC70,BA70)</f>
        <v>0</v>
      </c>
      <c r="U70" s="86">
        <f ca="1">IF(BD70&lt;1,IF(Reeksen!AD70&lt;=Reeksen!AE70,R70*Reeksen!C70,0),IF(BC70&gt;=BA70,0,IF(Reeksen!AD70&lt;=Reeksen!AE70,(BA70-BC70)*R70,0)))</f>
        <v>0</v>
      </c>
      <c r="V70" s="86">
        <f ca="1">IF(BD70&lt;1,IF(Reeksen!AD70&gt;Reeksen!AE70,R70*Reeksen!C70,0),IF(BC70&gt;=BA70,0,IF(Reeksen!AD70&gt;Reeksen!AE70,(BA70-BC70)*R70,0)))</f>
        <v>0</v>
      </c>
      <c r="W70" s="218">
        <f t="shared" ref="W70:W133" ca="1" si="24">R70-S70-V70+AA70</f>
        <v>0</v>
      </c>
      <c r="X70" s="98">
        <f ca="1">IF('Invoer gegevens'!$C$17=E70,'Invoer gegevens'!$C$10-'Invoer gegevens'!$C$11,IF(C70=1,AC69,0))</f>
        <v>0</v>
      </c>
      <c r="Y70" s="98">
        <f t="shared" ca="1" si="21"/>
        <v>0</v>
      </c>
      <c r="Z70" s="98">
        <f ca="1">(1-('Invoer gegevens'!$F$20/12))*X70*MIN(BA70,BC70)</f>
        <v>0</v>
      </c>
      <c r="AA70" s="98">
        <f ca="1">IF(BD70&lt;1,IF(Reeksen!AD70&lt;=Reeksen!AE70,X70*Reeksen!C70,0),IF(BC70&gt;=BA70,0,IF(Reeksen!AD70&lt;=Reeksen!AE70,(BA70-BC70)*X70,0)))</f>
        <v>0</v>
      </c>
      <c r="AB70" s="98">
        <f ca="1">IF(BD70&lt;1,IF(Reeksen!AD70&gt;Reeksen!AE70,X70*Reeksen!C70,0),IF(BC70&gt;=BA70,0,IF(Reeksen!AD70&gt;Reeksen!AE70,(BA70-BC70)*X70,0)))</f>
        <v>0</v>
      </c>
      <c r="AC70" s="99">
        <f t="shared" ref="AC70:AC133" ca="1" si="25">X70-Y70+V70-AA70</f>
        <v>0</v>
      </c>
      <c r="AD70" s="98">
        <f ca="1">IF('Invoer gegevens'!$C$17=E70,R70,IF(C70=0,0,AE69))</f>
        <v>0</v>
      </c>
      <c r="AE70" s="98">
        <f t="shared" ref="AE70:AE133" ca="1" si="26">IF(C70=0,0,AD70-S70-V70+AA70)</f>
        <v>0</v>
      </c>
      <c r="AF70" s="98">
        <f ca="1">IF('Invoer gegevens'!$C$17=E70,X70,IF(C70=0,0,AG69))</f>
        <v>0</v>
      </c>
      <c r="AG70" s="98">
        <f t="shared" ref="AG70:AG133" ca="1" si="27">IF(C70=0,0,AF70-Y70-AA70+V70)</f>
        <v>0</v>
      </c>
      <c r="AH70" s="66"/>
      <c r="AI70" s="71">
        <f ca="1">IF(C70=1,Reeksen!AI70*((F70+K70)/2)*12+Reeksen!AD70*((L70+Q70)/2)*12,0)</f>
        <v>0</v>
      </c>
      <c r="AJ70" s="71">
        <f ca="1">-AI70*'Invoer gegevens'!$F$28</f>
        <v>0</v>
      </c>
      <c r="AK70" s="71">
        <f t="shared" ref="AK70:AK133" ca="1" si="28">AI70+AJ70</f>
        <v>0</v>
      </c>
      <c r="AL70" s="71">
        <f ca="1">IF(C70=1,Reeksen!AL70*((F70-G70+F70)/2)*12+Reeksen!AM70*((L70-M70+L70)/2)*12,0)</f>
        <v>0</v>
      </c>
      <c r="AM70" s="71">
        <f ca="1">-AL70*'Invoer gegevens'!$F$31</f>
        <v>0</v>
      </c>
      <c r="AN70" s="71">
        <f t="shared" ref="AN70:AN133" ca="1" si="29">AL70+AM70</f>
        <v>0</v>
      </c>
      <c r="AO70" s="71">
        <f ca="1">IF(C70=1,(H70+J70+N70+P70)*Reeksen!AN70,0)</f>
        <v>0</v>
      </c>
      <c r="AP70" s="71">
        <f ca="1">-IF(C70=1,(H70+J70+N70+P70)*'Hulp - basis'!$G$550*Reeksen!H70,0)</f>
        <v>0</v>
      </c>
      <c r="AQ70" s="71">
        <f ca="1">-IF(C70=1,(F70+K70+L70+Q70)/2*'Invoer gegevens'!$F$35*Reeksen!J70,0)*2</f>
        <v>0</v>
      </c>
      <c r="AR70" s="71">
        <f ca="1">IF(BD70&lt;1,-IF(C70=1,(G70*'Invoer gegevens'!$F$36)*Reeksen!J70,0),0)</f>
        <v>0</v>
      </c>
      <c r="AS70" s="71">
        <f ca="1">-IF(C70=1,(F70+K70+L70+Q70)/2*'Invoer gegevens'!$F$37*Reeksen!L70,0)</f>
        <v>0</v>
      </c>
      <c r="AT70" s="71">
        <f ca="1">-IF(C70=1,IF(E70='Invoer gegevens'!$C$17,'Invoer gegevens'!$C$11,AD70)*Reeksen!S70*'Invoer gegevens'!$C$18*Reeksen!P70,0)</f>
        <v>0</v>
      </c>
      <c r="AU70" s="71">
        <f ca="1">-IF(C70=1,(F70+K70+L70+Q70)/2*'Invoer gegevens'!$F$38*Reeksen!H70,0)</f>
        <v>0</v>
      </c>
      <c r="AV70" s="71">
        <f t="shared" si="16"/>
        <v>0</v>
      </c>
      <c r="AW70" s="71">
        <f t="shared" ref="AW70:AW133" ca="1" si="30">SUM(AK70,AN70:AV70)</f>
        <v>0</v>
      </c>
      <c r="AX70" s="71">
        <f ca="1">IF(E70&lt;'Invoer gegevens'!$C$17+15,0,IF(E70&gt;'Invoer gegevens'!$C$17+215,0,AW70))</f>
        <v>0</v>
      </c>
      <c r="AY70" s="71">
        <f ca="1">AX70/(1+'Invoer gegevens'!$F$18)^($AZ70-('Invoer gegevens'!$C$17-'Invoer gegevens'!$C$16))/(1+'Invoer gegevens'!$C$39)^('Invoer gegevens'!$C$17-'Invoer gegevens'!$C$16)</f>
        <v>0</v>
      </c>
      <c r="AZ70" s="68">
        <f ca="1">IF(E70-'Invoer gegevens'!$C$17-14.5&lt;0,0,E70-'Invoer gegevens'!$C$17-14.5)</f>
        <v>50.5</v>
      </c>
      <c r="BA70" s="109">
        <f ca="1">IFERROR(VLOOKUP(E70-15,Reeksen!$A$5:$D$234,2,FALSE),0)</f>
        <v>0</v>
      </c>
      <c r="BB70" s="109">
        <f ca="1">IFERROR(VLOOKUP(E70-15,Reeksen!$A$5:$D$234,3,FALSE),0)</f>
        <v>0</v>
      </c>
      <c r="BC70" s="109">
        <f ca="1">IFERROR(VLOOKUP(E70-15,Reeksen!$A$5:$D$234,4,FALSE),0)</f>
        <v>0</v>
      </c>
      <c r="BD70" s="67">
        <f ca="1">IF(E70-'Invoer gegevens'!$C$17&lt;15,0,1)</f>
        <v>1</v>
      </c>
    </row>
    <row r="71" spans="1:56" x14ac:dyDescent="0.25">
      <c r="A71" s="59"/>
      <c r="B71" s="70">
        <f t="shared" si="14"/>
        <v>67</v>
      </c>
      <c r="C71" s="67">
        <f ca="1">IF(E71-'Invoer gegevens'!$C$17&lt;0,0,1)</f>
        <v>1</v>
      </c>
      <c r="D71" s="68">
        <f t="shared" si="15"/>
        <v>66.5</v>
      </c>
      <c r="E71" s="108">
        <f ca="1">IF('Invoer gegevens'!$C$16="","",E70+1)</f>
        <v>2085</v>
      </c>
      <c r="F71" s="84">
        <f ca="1">IF('Invoer gegevens'!$C$17=E71,'Invoer gegevens'!$C$10,IF(C71=1,K70,0))</f>
        <v>0</v>
      </c>
      <c r="G71" s="96">
        <f ca="1">IF(BD71&lt;1,F71*Reeksen!C71,IF(C71&gt;=1,F71*BA71,0))</f>
        <v>0</v>
      </c>
      <c r="H71" s="84">
        <f ca="1">(1-('Invoer gegevens'!$F$20/12))*F71*MIN(BA71,BC71)</f>
        <v>0</v>
      </c>
      <c r="I71" s="84">
        <f t="shared" ca="1" si="17"/>
        <v>0</v>
      </c>
      <c r="J71" s="84">
        <f ca="1">('Invoer gegevens'!$F$20/12)*F70*MIN(BA71,BC71)</f>
        <v>0</v>
      </c>
      <c r="K71" s="97">
        <f t="shared" ca="1" si="22"/>
        <v>0</v>
      </c>
      <c r="L71" s="84">
        <f ca="1">IF('Invoer gegevens'!$C$17=E71,0,IF(C71=1,Q70,0))</f>
        <v>0</v>
      </c>
      <c r="M71" s="96">
        <f t="shared" ca="1" si="18"/>
        <v>0</v>
      </c>
      <c r="N71" s="84">
        <f ca="1">(1-('Invoer gegevens'!$F$20/12))*L71*MIN(BA71,BC71)</f>
        <v>0</v>
      </c>
      <c r="O71" s="84">
        <f t="shared" ca="1" si="19"/>
        <v>0</v>
      </c>
      <c r="P71" s="84">
        <f ca="1">('Invoer gegevens'!$F$20/12)*L70*MIN(BA71,BC71)</f>
        <v>0</v>
      </c>
      <c r="Q71" s="84">
        <f t="shared" ca="1" si="23"/>
        <v>0</v>
      </c>
      <c r="R71" s="85">
        <f ca="1">IF('Invoer gegevens'!$C$17=E71,'Invoer gegevens'!$C$11,IF(C71=1,W70,0))</f>
        <v>0</v>
      </c>
      <c r="S71" s="86">
        <f t="shared" ca="1" si="20"/>
        <v>0</v>
      </c>
      <c r="T71" s="86">
        <f ca="1">(1-('Invoer gegevens'!$F$20/12))*R71*MIN(BC71,BA71)</f>
        <v>0</v>
      </c>
      <c r="U71" s="86">
        <f ca="1">IF(BD71&lt;1,IF(Reeksen!AD71&lt;=Reeksen!AE71,R71*Reeksen!C71,0),IF(BC71&gt;=BA71,0,IF(Reeksen!AD71&lt;=Reeksen!AE71,(BA71-BC71)*R71,0)))</f>
        <v>0</v>
      </c>
      <c r="V71" s="86">
        <f ca="1">IF(BD71&lt;1,IF(Reeksen!AD71&gt;Reeksen!AE71,R71*Reeksen!C71,0),IF(BC71&gt;=BA71,0,IF(Reeksen!AD71&gt;Reeksen!AE71,(BA71-BC71)*R71,0)))</f>
        <v>0</v>
      </c>
      <c r="W71" s="218">
        <f t="shared" ca="1" si="24"/>
        <v>0</v>
      </c>
      <c r="X71" s="98">
        <f ca="1">IF('Invoer gegevens'!$C$17=E71,'Invoer gegevens'!$C$10-'Invoer gegevens'!$C$11,IF(C71=1,AC70,0))</f>
        <v>0</v>
      </c>
      <c r="Y71" s="98">
        <f t="shared" ca="1" si="21"/>
        <v>0</v>
      </c>
      <c r="Z71" s="98">
        <f ca="1">(1-('Invoer gegevens'!$F$20/12))*X71*MIN(BA71,BC71)</f>
        <v>0</v>
      </c>
      <c r="AA71" s="98">
        <f ca="1">IF(BD71&lt;1,IF(Reeksen!AD71&lt;=Reeksen!AE71,X71*Reeksen!C71,0),IF(BC71&gt;=BA71,0,IF(Reeksen!AD71&lt;=Reeksen!AE71,(BA71-BC71)*X71,0)))</f>
        <v>0</v>
      </c>
      <c r="AB71" s="98">
        <f ca="1">IF(BD71&lt;1,IF(Reeksen!AD71&gt;Reeksen!AE71,X71*Reeksen!C71,0),IF(BC71&gt;=BA71,0,IF(Reeksen!AD71&gt;Reeksen!AE71,(BA71-BC71)*X71,0)))</f>
        <v>0</v>
      </c>
      <c r="AC71" s="99">
        <f t="shared" ca="1" si="25"/>
        <v>0</v>
      </c>
      <c r="AD71" s="98">
        <f ca="1">IF('Invoer gegevens'!$C$17=E71,R71,IF(C71=0,0,AE70))</f>
        <v>0</v>
      </c>
      <c r="AE71" s="98">
        <f t="shared" ca="1" si="26"/>
        <v>0</v>
      </c>
      <c r="AF71" s="98">
        <f ca="1">IF('Invoer gegevens'!$C$17=E71,X71,IF(C71=0,0,AG70))</f>
        <v>0</v>
      </c>
      <c r="AG71" s="98">
        <f t="shared" ca="1" si="27"/>
        <v>0</v>
      </c>
      <c r="AH71" s="66"/>
      <c r="AI71" s="71">
        <f ca="1">IF(C71=1,Reeksen!AI71*((F71+K71)/2)*12+Reeksen!AD71*((L71+Q71)/2)*12,0)</f>
        <v>0</v>
      </c>
      <c r="AJ71" s="71">
        <f ca="1">-AI71*'Invoer gegevens'!$F$28</f>
        <v>0</v>
      </c>
      <c r="AK71" s="71">
        <f t="shared" ca="1" si="28"/>
        <v>0</v>
      </c>
      <c r="AL71" s="71">
        <f ca="1">IF(C71=1,Reeksen!AL71*((F71-G71+F71)/2)*12+Reeksen!AM71*((L71-M71+L71)/2)*12,0)</f>
        <v>0</v>
      </c>
      <c r="AM71" s="71">
        <f ca="1">-AL71*'Invoer gegevens'!$F$31</f>
        <v>0</v>
      </c>
      <c r="AN71" s="71">
        <f t="shared" ca="1" si="29"/>
        <v>0</v>
      </c>
      <c r="AO71" s="71">
        <f ca="1">IF(C71=1,(H71+J71+N71+P71)*Reeksen!AN71,0)</f>
        <v>0</v>
      </c>
      <c r="AP71" s="71">
        <f ca="1">-IF(C71=1,(H71+J71+N71+P71)*'Hulp - basis'!$G$550*Reeksen!H71,0)</f>
        <v>0</v>
      </c>
      <c r="AQ71" s="71">
        <f ca="1">-IF(C71=1,(F71+K71+L71+Q71)/2*'Invoer gegevens'!$F$35*Reeksen!J71,0)*2</f>
        <v>0</v>
      </c>
      <c r="AR71" s="71">
        <f ca="1">IF(BD71&lt;1,-IF(C71=1,(G71*'Invoer gegevens'!$F$36)*Reeksen!J71,0),0)</f>
        <v>0</v>
      </c>
      <c r="AS71" s="71">
        <f ca="1">-IF(C71=1,(F71+K71+L71+Q71)/2*'Invoer gegevens'!$F$37*Reeksen!L71,0)</f>
        <v>0</v>
      </c>
      <c r="AT71" s="71">
        <f ca="1">-IF(C71=1,IF(E71='Invoer gegevens'!$C$17,'Invoer gegevens'!$C$11,AD71)*Reeksen!S71*'Invoer gegevens'!$C$18*Reeksen!P71,0)</f>
        <v>0</v>
      </c>
      <c r="AU71" s="71">
        <f ca="1">-IF(C71=1,(F71+K71+L71+Q71)/2*'Invoer gegevens'!$F$38*Reeksen!H71,0)</f>
        <v>0</v>
      </c>
      <c r="AV71" s="71">
        <f t="shared" si="16"/>
        <v>0</v>
      </c>
      <c r="AW71" s="71">
        <f t="shared" ca="1" si="30"/>
        <v>0</v>
      </c>
      <c r="AX71" s="71">
        <f ca="1">IF(E71&lt;'Invoer gegevens'!$C$17+15,0,IF(E71&gt;'Invoer gegevens'!$C$17+215,0,AW71))</f>
        <v>0</v>
      </c>
      <c r="AY71" s="71">
        <f ca="1">AX71/(1+'Invoer gegevens'!$F$18)^($AZ71-('Invoer gegevens'!$C$17-'Invoer gegevens'!$C$16))/(1+'Invoer gegevens'!$C$39)^('Invoer gegevens'!$C$17-'Invoer gegevens'!$C$16)</f>
        <v>0</v>
      </c>
      <c r="AZ71" s="68">
        <f ca="1">IF(E71-'Invoer gegevens'!$C$17-14.5&lt;0,0,E71-'Invoer gegevens'!$C$17-14.5)</f>
        <v>51.5</v>
      </c>
      <c r="BA71" s="109">
        <f ca="1">IFERROR(VLOOKUP(E71-15,Reeksen!$A$5:$D$234,2,FALSE),0)</f>
        <v>0</v>
      </c>
      <c r="BB71" s="109">
        <f ca="1">IFERROR(VLOOKUP(E71-15,Reeksen!$A$5:$D$234,3,FALSE),0)</f>
        <v>0</v>
      </c>
      <c r="BC71" s="109">
        <f ca="1">IFERROR(VLOOKUP(E71-15,Reeksen!$A$5:$D$234,4,FALSE),0)</f>
        <v>0</v>
      </c>
      <c r="BD71" s="67">
        <f ca="1">IF(E71-'Invoer gegevens'!$C$17&lt;15,0,1)</f>
        <v>1</v>
      </c>
    </row>
    <row r="72" spans="1:56" x14ac:dyDescent="0.25">
      <c r="A72" s="59"/>
      <c r="B72" s="70">
        <f t="shared" ref="B72:B135" si="31">B71+1</f>
        <v>68</v>
      </c>
      <c r="C72" s="67">
        <f ca="1">IF(E72-'Invoer gegevens'!$C$17&lt;0,0,1)</f>
        <v>1</v>
      </c>
      <c r="D72" s="68">
        <f t="shared" ref="D72:D135" si="32">D71+1</f>
        <v>67.5</v>
      </c>
      <c r="E72" s="108">
        <f ca="1">IF('Invoer gegevens'!$C$16="","",E71+1)</f>
        <v>2086</v>
      </c>
      <c r="F72" s="84">
        <f ca="1">IF('Invoer gegevens'!$C$17=E72,'Invoer gegevens'!$C$10,IF(C72=1,K71,0))</f>
        <v>0</v>
      </c>
      <c r="G72" s="96">
        <f ca="1">IF(BD72&lt;1,F72*Reeksen!C72,IF(C72&gt;=1,F72*BA72,0))</f>
        <v>0</v>
      </c>
      <c r="H72" s="84">
        <f ca="1">(1-('Invoer gegevens'!$F$20/12))*F72*MIN(BA72,BC72)</f>
        <v>0</v>
      </c>
      <c r="I72" s="84">
        <f t="shared" ca="1" si="17"/>
        <v>0</v>
      </c>
      <c r="J72" s="84">
        <f ca="1">('Invoer gegevens'!$F$20/12)*F71*MIN(BA72,BC72)</f>
        <v>0</v>
      </c>
      <c r="K72" s="97">
        <f t="shared" ca="1" si="22"/>
        <v>0</v>
      </c>
      <c r="L72" s="84">
        <f ca="1">IF('Invoer gegevens'!$C$17=E72,0,IF(C72=1,Q71,0))</f>
        <v>0</v>
      </c>
      <c r="M72" s="96">
        <f t="shared" ca="1" si="18"/>
        <v>0</v>
      </c>
      <c r="N72" s="84">
        <f ca="1">(1-('Invoer gegevens'!$F$20/12))*L72*MIN(BA72,BC72)</f>
        <v>0</v>
      </c>
      <c r="O72" s="84">
        <f t="shared" ca="1" si="19"/>
        <v>0</v>
      </c>
      <c r="P72" s="84">
        <f ca="1">('Invoer gegevens'!$F$20/12)*L71*MIN(BA72,BC72)</f>
        <v>0</v>
      </c>
      <c r="Q72" s="84">
        <f t="shared" ca="1" si="23"/>
        <v>0</v>
      </c>
      <c r="R72" s="85">
        <f ca="1">IF('Invoer gegevens'!$C$17=E72,'Invoer gegevens'!$C$11,IF(C72=1,W71,0))</f>
        <v>0</v>
      </c>
      <c r="S72" s="86">
        <f t="shared" ca="1" si="20"/>
        <v>0</v>
      </c>
      <c r="T72" s="86">
        <f ca="1">(1-('Invoer gegevens'!$F$20/12))*R72*MIN(BC72,BA72)</f>
        <v>0</v>
      </c>
      <c r="U72" s="86">
        <f ca="1">IF(BD72&lt;1,IF(Reeksen!AD72&lt;=Reeksen!AE72,R72*Reeksen!C72,0),IF(BC72&gt;=BA72,0,IF(Reeksen!AD72&lt;=Reeksen!AE72,(BA72-BC72)*R72,0)))</f>
        <v>0</v>
      </c>
      <c r="V72" s="86">
        <f ca="1">IF(BD72&lt;1,IF(Reeksen!AD72&gt;Reeksen!AE72,R72*Reeksen!C72,0),IF(BC72&gt;=BA72,0,IF(Reeksen!AD72&gt;Reeksen!AE72,(BA72-BC72)*R72,0)))</f>
        <v>0</v>
      </c>
      <c r="W72" s="218">
        <f t="shared" ca="1" si="24"/>
        <v>0</v>
      </c>
      <c r="X72" s="98">
        <f ca="1">IF('Invoer gegevens'!$C$17=E72,'Invoer gegevens'!$C$10-'Invoer gegevens'!$C$11,IF(C72=1,AC71,0))</f>
        <v>0</v>
      </c>
      <c r="Y72" s="98">
        <f t="shared" ca="1" si="21"/>
        <v>0</v>
      </c>
      <c r="Z72" s="98">
        <f ca="1">(1-('Invoer gegevens'!$F$20/12))*X72*MIN(BA72,BC72)</f>
        <v>0</v>
      </c>
      <c r="AA72" s="98">
        <f ca="1">IF(BD72&lt;1,IF(Reeksen!AD72&lt;=Reeksen!AE72,X72*Reeksen!C72,0),IF(BC72&gt;=BA72,0,IF(Reeksen!AD72&lt;=Reeksen!AE72,(BA72-BC72)*X72,0)))</f>
        <v>0</v>
      </c>
      <c r="AB72" s="98">
        <f ca="1">IF(BD72&lt;1,IF(Reeksen!AD72&gt;Reeksen!AE72,X72*Reeksen!C72,0),IF(BC72&gt;=BA72,0,IF(Reeksen!AD72&gt;Reeksen!AE72,(BA72-BC72)*X72,0)))</f>
        <v>0</v>
      </c>
      <c r="AC72" s="99">
        <f t="shared" ca="1" si="25"/>
        <v>0</v>
      </c>
      <c r="AD72" s="98">
        <f ca="1">IF('Invoer gegevens'!$C$17=E72,R72,IF(C72=0,0,AE71))</f>
        <v>0</v>
      </c>
      <c r="AE72" s="98">
        <f t="shared" ca="1" si="26"/>
        <v>0</v>
      </c>
      <c r="AF72" s="98">
        <f ca="1">IF('Invoer gegevens'!$C$17=E72,X72,IF(C72=0,0,AG71))</f>
        <v>0</v>
      </c>
      <c r="AG72" s="98">
        <f t="shared" ca="1" si="27"/>
        <v>0</v>
      </c>
      <c r="AH72" s="66"/>
      <c r="AI72" s="71">
        <f ca="1">IF(C72=1,Reeksen!AI72*((F72+K72)/2)*12+Reeksen!AD72*((L72+Q72)/2)*12,0)</f>
        <v>0</v>
      </c>
      <c r="AJ72" s="71">
        <f ca="1">-AI72*'Invoer gegevens'!$F$28</f>
        <v>0</v>
      </c>
      <c r="AK72" s="71">
        <f t="shared" ca="1" si="28"/>
        <v>0</v>
      </c>
      <c r="AL72" s="71">
        <f ca="1">IF(C72=1,Reeksen!AL72*((F72-G72+F72)/2)*12+Reeksen!AM72*((L72-M72+L72)/2)*12,0)</f>
        <v>0</v>
      </c>
      <c r="AM72" s="71">
        <f ca="1">-AL72*'Invoer gegevens'!$F$31</f>
        <v>0</v>
      </c>
      <c r="AN72" s="71">
        <f t="shared" ca="1" si="29"/>
        <v>0</v>
      </c>
      <c r="AO72" s="71">
        <f ca="1">IF(C72=1,(H72+J72+N72+P72)*Reeksen!AN72,0)</f>
        <v>0</v>
      </c>
      <c r="AP72" s="71">
        <f ca="1">-IF(C72=1,(H72+J72+N72+P72)*'Hulp - basis'!$G$550*Reeksen!H72,0)</f>
        <v>0</v>
      </c>
      <c r="AQ72" s="71">
        <f ca="1">-IF(C72=1,(F72+K72+L72+Q72)/2*'Invoer gegevens'!$F$35*Reeksen!J72,0)*2</f>
        <v>0</v>
      </c>
      <c r="AR72" s="71">
        <f ca="1">IF(BD72&lt;1,-IF(C72=1,(G72*'Invoer gegevens'!$F$36)*Reeksen!J72,0),0)</f>
        <v>0</v>
      </c>
      <c r="AS72" s="71">
        <f ca="1">-IF(C72=1,(F72+K72+L72+Q72)/2*'Invoer gegevens'!$F$37*Reeksen!L72,0)</f>
        <v>0</v>
      </c>
      <c r="AT72" s="71">
        <f ca="1">-IF(C72=1,IF(E72='Invoer gegevens'!$C$17,'Invoer gegevens'!$C$11,AD72)*Reeksen!S72*'Invoer gegevens'!$C$18*Reeksen!P72,0)</f>
        <v>0</v>
      </c>
      <c r="AU72" s="71">
        <f ca="1">-IF(C72=1,(F72+K72+L72+Q72)/2*'Invoer gegevens'!$F$38*Reeksen!H72,0)</f>
        <v>0</v>
      </c>
      <c r="AV72" s="71">
        <f t="shared" si="16"/>
        <v>0</v>
      </c>
      <c r="AW72" s="71">
        <f t="shared" ca="1" si="30"/>
        <v>0</v>
      </c>
      <c r="AX72" s="71">
        <f ca="1">IF(E72&lt;'Invoer gegevens'!$C$17+15,0,IF(E72&gt;'Invoer gegevens'!$C$17+215,0,AW72))</f>
        <v>0</v>
      </c>
      <c r="AY72" s="71">
        <f ca="1">AX72/(1+'Invoer gegevens'!$F$18)^($AZ72-('Invoer gegevens'!$C$17-'Invoer gegevens'!$C$16))/(1+'Invoer gegevens'!$C$39)^('Invoer gegevens'!$C$17-'Invoer gegevens'!$C$16)</f>
        <v>0</v>
      </c>
      <c r="AZ72" s="68">
        <f ca="1">IF(E72-'Invoer gegevens'!$C$17-14.5&lt;0,0,E72-'Invoer gegevens'!$C$17-14.5)</f>
        <v>52.5</v>
      </c>
      <c r="BA72" s="109">
        <f ca="1">IFERROR(VLOOKUP(E72-15,Reeksen!$A$5:$D$234,2,FALSE),0)</f>
        <v>0</v>
      </c>
      <c r="BB72" s="109">
        <f ca="1">IFERROR(VLOOKUP(E72-15,Reeksen!$A$5:$D$234,3,FALSE),0)</f>
        <v>0</v>
      </c>
      <c r="BC72" s="109">
        <f ca="1">IFERROR(VLOOKUP(E72-15,Reeksen!$A$5:$D$234,4,FALSE),0)</f>
        <v>0</v>
      </c>
      <c r="BD72" s="67">
        <f ca="1">IF(E72-'Invoer gegevens'!$C$17&lt;15,0,1)</f>
        <v>1</v>
      </c>
    </row>
    <row r="73" spans="1:56" x14ac:dyDescent="0.25">
      <c r="A73" s="59"/>
      <c r="B73" s="70">
        <f t="shared" si="31"/>
        <v>69</v>
      </c>
      <c r="C73" s="67">
        <f ca="1">IF(E73-'Invoer gegevens'!$C$17&lt;0,0,1)</f>
        <v>1</v>
      </c>
      <c r="D73" s="68">
        <f t="shared" si="32"/>
        <v>68.5</v>
      </c>
      <c r="E73" s="108">
        <f ca="1">IF('Invoer gegevens'!$C$16="","",E72+1)</f>
        <v>2087</v>
      </c>
      <c r="F73" s="84">
        <f ca="1">IF('Invoer gegevens'!$C$17=E73,'Invoer gegevens'!$C$10,IF(C73=1,K72,0))</f>
        <v>0</v>
      </c>
      <c r="G73" s="96">
        <f ca="1">IF(BD73&lt;1,F73*Reeksen!C73,IF(C73&gt;=1,F73*BA73,0))</f>
        <v>0</v>
      </c>
      <c r="H73" s="84">
        <f ca="1">(1-('Invoer gegevens'!$F$20/12))*F73*MIN(BA73,BC73)</f>
        <v>0</v>
      </c>
      <c r="I73" s="84">
        <f t="shared" ca="1" si="17"/>
        <v>0</v>
      </c>
      <c r="J73" s="84">
        <f ca="1">('Invoer gegevens'!$F$20/12)*F72*MIN(BA73,BC73)</f>
        <v>0</v>
      </c>
      <c r="K73" s="97">
        <f t="shared" ca="1" si="22"/>
        <v>0</v>
      </c>
      <c r="L73" s="84">
        <f ca="1">IF('Invoer gegevens'!$C$17=E73,0,IF(C73=1,Q72,0))</f>
        <v>0</v>
      </c>
      <c r="M73" s="96">
        <f t="shared" ca="1" si="18"/>
        <v>0</v>
      </c>
      <c r="N73" s="84">
        <f ca="1">(1-('Invoer gegevens'!$F$20/12))*L73*MIN(BA73,BC73)</f>
        <v>0</v>
      </c>
      <c r="O73" s="84">
        <f t="shared" ca="1" si="19"/>
        <v>0</v>
      </c>
      <c r="P73" s="84">
        <f ca="1">('Invoer gegevens'!$F$20/12)*L72*MIN(BA73,BC73)</f>
        <v>0</v>
      </c>
      <c r="Q73" s="84">
        <f t="shared" ca="1" si="23"/>
        <v>0</v>
      </c>
      <c r="R73" s="85">
        <f ca="1">IF('Invoer gegevens'!$C$17=E73,'Invoer gegevens'!$C$11,IF(C73=1,W72,0))</f>
        <v>0</v>
      </c>
      <c r="S73" s="86">
        <f t="shared" ca="1" si="20"/>
        <v>0</v>
      </c>
      <c r="T73" s="86">
        <f ca="1">(1-('Invoer gegevens'!$F$20/12))*R73*MIN(BC73,BA73)</f>
        <v>0</v>
      </c>
      <c r="U73" s="86">
        <f ca="1">IF(BD73&lt;1,IF(Reeksen!AD73&lt;=Reeksen!AE73,R73*Reeksen!C73,0),IF(BC73&gt;=BA73,0,IF(Reeksen!AD73&lt;=Reeksen!AE73,(BA73-BC73)*R73,0)))</f>
        <v>0</v>
      </c>
      <c r="V73" s="86">
        <f ca="1">IF(BD73&lt;1,IF(Reeksen!AD73&gt;Reeksen!AE73,R73*Reeksen!C73,0),IF(BC73&gt;=BA73,0,IF(Reeksen!AD73&gt;Reeksen!AE73,(BA73-BC73)*R73,0)))</f>
        <v>0</v>
      </c>
      <c r="W73" s="218">
        <f t="shared" ca="1" si="24"/>
        <v>0</v>
      </c>
      <c r="X73" s="98">
        <f ca="1">IF('Invoer gegevens'!$C$17=E73,'Invoer gegevens'!$C$10-'Invoer gegevens'!$C$11,IF(C73=1,AC72,0))</f>
        <v>0</v>
      </c>
      <c r="Y73" s="98">
        <f t="shared" ca="1" si="21"/>
        <v>0</v>
      </c>
      <c r="Z73" s="98">
        <f ca="1">(1-('Invoer gegevens'!$F$20/12))*X73*MIN(BA73,BC73)</f>
        <v>0</v>
      </c>
      <c r="AA73" s="98">
        <f ca="1">IF(BD73&lt;1,IF(Reeksen!AD73&lt;=Reeksen!AE73,X73*Reeksen!C73,0),IF(BC73&gt;=BA73,0,IF(Reeksen!AD73&lt;=Reeksen!AE73,(BA73-BC73)*X73,0)))</f>
        <v>0</v>
      </c>
      <c r="AB73" s="98">
        <f ca="1">IF(BD73&lt;1,IF(Reeksen!AD73&gt;Reeksen!AE73,X73*Reeksen!C73,0),IF(BC73&gt;=BA73,0,IF(Reeksen!AD73&gt;Reeksen!AE73,(BA73-BC73)*X73,0)))</f>
        <v>0</v>
      </c>
      <c r="AC73" s="99">
        <f t="shared" ca="1" si="25"/>
        <v>0</v>
      </c>
      <c r="AD73" s="98">
        <f ca="1">IF('Invoer gegevens'!$C$17=E73,R73,IF(C73=0,0,AE72))</f>
        <v>0</v>
      </c>
      <c r="AE73" s="98">
        <f t="shared" ca="1" si="26"/>
        <v>0</v>
      </c>
      <c r="AF73" s="98">
        <f ca="1">IF('Invoer gegevens'!$C$17=E73,X73,IF(C73=0,0,AG72))</f>
        <v>0</v>
      </c>
      <c r="AG73" s="98">
        <f t="shared" ca="1" si="27"/>
        <v>0</v>
      </c>
      <c r="AH73" s="66"/>
      <c r="AI73" s="71">
        <f ca="1">IF(C73=1,Reeksen!AI73*((F73+K73)/2)*12+Reeksen!AD73*((L73+Q73)/2)*12,0)</f>
        <v>0</v>
      </c>
      <c r="AJ73" s="71">
        <f ca="1">-AI73*'Invoer gegevens'!$F$28</f>
        <v>0</v>
      </c>
      <c r="AK73" s="71">
        <f t="shared" ca="1" si="28"/>
        <v>0</v>
      </c>
      <c r="AL73" s="71">
        <f ca="1">IF(C73=1,Reeksen!AL73*((F73-G73+F73)/2)*12+Reeksen!AM73*((L73-M73+L73)/2)*12,0)</f>
        <v>0</v>
      </c>
      <c r="AM73" s="71">
        <f ca="1">-AL73*'Invoer gegevens'!$F$31</f>
        <v>0</v>
      </c>
      <c r="AN73" s="71">
        <f t="shared" ca="1" si="29"/>
        <v>0</v>
      </c>
      <c r="AO73" s="71">
        <f ca="1">IF(C73=1,(H73+J73+N73+P73)*Reeksen!AN73,0)</f>
        <v>0</v>
      </c>
      <c r="AP73" s="71">
        <f ca="1">-IF(C73=1,(H73+J73+N73+P73)*'Hulp - basis'!$G$550*Reeksen!H73,0)</f>
        <v>0</v>
      </c>
      <c r="AQ73" s="71">
        <f ca="1">-IF(C73=1,(F73+K73+L73+Q73)/2*'Invoer gegevens'!$F$35*Reeksen!J73,0)*2</f>
        <v>0</v>
      </c>
      <c r="AR73" s="71">
        <f ca="1">IF(BD73&lt;1,-IF(C73=1,(G73*'Invoer gegevens'!$F$36)*Reeksen!J73,0),0)</f>
        <v>0</v>
      </c>
      <c r="AS73" s="71">
        <f ca="1">-IF(C73=1,(F73+K73+L73+Q73)/2*'Invoer gegevens'!$F$37*Reeksen!L73,0)</f>
        <v>0</v>
      </c>
      <c r="AT73" s="71">
        <f ca="1">-IF(C73=1,IF(E73='Invoer gegevens'!$C$17,'Invoer gegevens'!$C$11,AD73)*Reeksen!S73*'Invoer gegevens'!$C$18*Reeksen!P73,0)</f>
        <v>0</v>
      </c>
      <c r="AU73" s="71">
        <f ca="1">-IF(C73=1,(F73+K73+L73+Q73)/2*'Invoer gegevens'!$F$38*Reeksen!H73,0)</f>
        <v>0</v>
      </c>
      <c r="AV73" s="71">
        <f t="shared" si="16"/>
        <v>0</v>
      </c>
      <c r="AW73" s="71">
        <f t="shared" ca="1" si="30"/>
        <v>0</v>
      </c>
      <c r="AX73" s="71">
        <f ca="1">IF(E73&lt;'Invoer gegevens'!$C$17+15,0,IF(E73&gt;'Invoer gegevens'!$C$17+215,0,AW73))</f>
        <v>0</v>
      </c>
      <c r="AY73" s="71">
        <f ca="1">AX73/(1+'Invoer gegevens'!$F$18)^($AZ73-('Invoer gegevens'!$C$17-'Invoer gegevens'!$C$16))/(1+'Invoer gegevens'!$C$39)^('Invoer gegevens'!$C$17-'Invoer gegevens'!$C$16)</f>
        <v>0</v>
      </c>
      <c r="AZ73" s="68">
        <f ca="1">IF(E73-'Invoer gegevens'!$C$17-14.5&lt;0,0,E73-'Invoer gegevens'!$C$17-14.5)</f>
        <v>53.5</v>
      </c>
      <c r="BA73" s="109">
        <f ca="1">IFERROR(VLOOKUP(E73-15,Reeksen!$A$5:$D$234,2,FALSE),0)</f>
        <v>0</v>
      </c>
      <c r="BB73" s="109">
        <f ca="1">IFERROR(VLOOKUP(E73-15,Reeksen!$A$5:$D$234,3,FALSE),0)</f>
        <v>0</v>
      </c>
      <c r="BC73" s="109">
        <f ca="1">IFERROR(VLOOKUP(E73-15,Reeksen!$A$5:$D$234,4,FALSE),0)</f>
        <v>0</v>
      </c>
      <c r="BD73" s="67">
        <f ca="1">IF(E73-'Invoer gegevens'!$C$17&lt;15,0,1)</f>
        <v>1</v>
      </c>
    </row>
    <row r="74" spans="1:56" x14ac:dyDescent="0.25">
      <c r="A74" s="59"/>
      <c r="B74" s="70">
        <f t="shared" si="31"/>
        <v>70</v>
      </c>
      <c r="C74" s="67">
        <f ca="1">IF(E74-'Invoer gegevens'!$C$17&lt;0,0,1)</f>
        <v>1</v>
      </c>
      <c r="D74" s="68">
        <f t="shared" si="32"/>
        <v>69.5</v>
      </c>
      <c r="E74" s="108">
        <f ca="1">IF('Invoer gegevens'!$C$16="","",E73+1)</f>
        <v>2088</v>
      </c>
      <c r="F74" s="84">
        <f ca="1">IF('Invoer gegevens'!$C$17=E74,'Invoer gegevens'!$C$10,IF(C74=1,K73,0))</f>
        <v>0</v>
      </c>
      <c r="G74" s="96">
        <f ca="1">IF(BD74&lt;1,F74*Reeksen!C74,IF(C74&gt;=1,F74*BA74,0))</f>
        <v>0</v>
      </c>
      <c r="H74" s="84">
        <f ca="1">(1-('Invoer gegevens'!$F$20/12))*F74*MIN(BA74,BC74)</f>
        <v>0</v>
      </c>
      <c r="I74" s="84">
        <f t="shared" ca="1" si="17"/>
        <v>0</v>
      </c>
      <c r="J74" s="84">
        <f ca="1">('Invoer gegevens'!$F$20/12)*F73*MIN(BA74,BC74)</f>
        <v>0</v>
      </c>
      <c r="K74" s="97">
        <f t="shared" ca="1" si="22"/>
        <v>0</v>
      </c>
      <c r="L74" s="84">
        <f ca="1">IF('Invoer gegevens'!$C$17=E74,0,IF(C74=1,Q73,0))</f>
        <v>0</v>
      </c>
      <c r="M74" s="96">
        <f t="shared" ca="1" si="18"/>
        <v>0</v>
      </c>
      <c r="N74" s="84">
        <f ca="1">(1-('Invoer gegevens'!$F$20/12))*L74*MIN(BA74,BC74)</f>
        <v>0</v>
      </c>
      <c r="O74" s="84">
        <f t="shared" ca="1" si="19"/>
        <v>0</v>
      </c>
      <c r="P74" s="84">
        <f ca="1">('Invoer gegevens'!$F$20/12)*L73*MIN(BA74,BC74)</f>
        <v>0</v>
      </c>
      <c r="Q74" s="84">
        <f t="shared" ca="1" si="23"/>
        <v>0</v>
      </c>
      <c r="R74" s="85">
        <f ca="1">IF('Invoer gegevens'!$C$17=E74,'Invoer gegevens'!$C$11,IF(C74=1,W73,0))</f>
        <v>0</v>
      </c>
      <c r="S74" s="86">
        <f t="shared" ca="1" si="20"/>
        <v>0</v>
      </c>
      <c r="T74" s="86">
        <f ca="1">(1-('Invoer gegevens'!$F$20/12))*R74*MIN(BC74,BA74)</f>
        <v>0</v>
      </c>
      <c r="U74" s="86">
        <f ca="1">IF(BD74&lt;1,IF(Reeksen!AD74&lt;=Reeksen!AE74,R74*Reeksen!C74,0),IF(BC74&gt;=BA74,0,IF(Reeksen!AD74&lt;=Reeksen!AE74,(BA74-BC74)*R74,0)))</f>
        <v>0</v>
      </c>
      <c r="V74" s="86">
        <f ca="1">IF(BD74&lt;1,IF(Reeksen!AD74&gt;Reeksen!AE74,R74*Reeksen!C74,0),IF(BC74&gt;=BA74,0,IF(Reeksen!AD74&gt;Reeksen!AE74,(BA74-BC74)*R74,0)))</f>
        <v>0</v>
      </c>
      <c r="W74" s="218">
        <f t="shared" ca="1" si="24"/>
        <v>0</v>
      </c>
      <c r="X74" s="98">
        <f ca="1">IF('Invoer gegevens'!$C$17=E74,'Invoer gegevens'!$C$10-'Invoer gegevens'!$C$11,IF(C74=1,AC73,0))</f>
        <v>0</v>
      </c>
      <c r="Y74" s="98">
        <f t="shared" ca="1" si="21"/>
        <v>0</v>
      </c>
      <c r="Z74" s="98">
        <f ca="1">(1-('Invoer gegevens'!$F$20/12))*X74*MIN(BA74,BC74)</f>
        <v>0</v>
      </c>
      <c r="AA74" s="98">
        <f ca="1">IF(BD74&lt;1,IF(Reeksen!AD74&lt;=Reeksen!AE74,X74*Reeksen!C74,0),IF(BC74&gt;=BA74,0,IF(Reeksen!AD74&lt;=Reeksen!AE74,(BA74-BC74)*X74,0)))</f>
        <v>0</v>
      </c>
      <c r="AB74" s="98">
        <f ca="1">IF(BD74&lt;1,IF(Reeksen!AD74&gt;Reeksen!AE74,X74*Reeksen!C74,0),IF(BC74&gt;=BA74,0,IF(Reeksen!AD74&gt;Reeksen!AE74,(BA74-BC74)*X74,0)))</f>
        <v>0</v>
      </c>
      <c r="AC74" s="99">
        <f t="shared" ca="1" si="25"/>
        <v>0</v>
      </c>
      <c r="AD74" s="98">
        <f ca="1">IF('Invoer gegevens'!$C$17=E74,R74,IF(C74=0,0,AE73))</f>
        <v>0</v>
      </c>
      <c r="AE74" s="98">
        <f t="shared" ca="1" si="26"/>
        <v>0</v>
      </c>
      <c r="AF74" s="98">
        <f ca="1">IF('Invoer gegevens'!$C$17=E74,X74,IF(C74=0,0,AG73))</f>
        <v>0</v>
      </c>
      <c r="AG74" s="98">
        <f t="shared" ca="1" si="27"/>
        <v>0</v>
      </c>
      <c r="AH74" s="66"/>
      <c r="AI74" s="71">
        <f ca="1">IF(C74=1,Reeksen!AI74*((F74+K74)/2)*12+Reeksen!AD74*((L74+Q74)/2)*12,0)</f>
        <v>0</v>
      </c>
      <c r="AJ74" s="71">
        <f ca="1">-AI74*'Invoer gegevens'!$F$28</f>
        <v>0</v>
      </c>
      <c r="AK74" s="71">
        <f t="shared" ca="1" si="28"/>
        <v>0</v>
      </c>
      <c r="AL74" s="71">
        <f ca="1">IF(C74=1,Reeksen!AL74*((F74-G74+F74)/2)*12+Reeksen!AM74*((L74-M74+L74)/2)*12,0)</f>
        <v>0</v>
      </c>
      <c r="AM74" s="71">
        <f ca="1">-AL74*'Invoer gegevens'!$F$31</f>
        <v>0</v>
      </c>
      <c r="AN74" s="71">
        <f t="shared" ca="1" si="29"/>
        <v>0</v>
      </c>
      <c r="AO74" s="71">
        <f ca="1">IF(C74=1,(H74+J74+N74+P74)*Reeksen!AN74,0)</f>
        <v>0</v>
      </c>
      <c r="AP74" s="71">
        <f ca="1">-IF(C74=1,(H74+J74+N74+P74)*'Hulp - basis'!$G$550*Reeksen!H74,0)</f>
        <v>0</v>
      </c>
      <c r="AQ74" s="71">
        <f ca="1">-IF(C74=1,(F74+K74+L74+Q74)/2*'Invoer gegevens'!$F$35*Reeksen!J74,0)*2</f>
        <v>0</v>
      </c>
      <c r="AR74" s="71">
        <f ca="1">IF(BD74&lt;1,-IF(C74=1,(G74*'Invoer gegevens'!$F$36)*Reeksen!J74,0),0)</f>
        <v>0</v>
      </c>
      <c r="AS74" s="71">
        <f ca="1">-IF(C74=1,(F74+K74+L74+Q74)/2*'Invoer gegevens'!$F$37*Reeksen!L74,0)</f>
        <v>0</v>
      </c>
      <c r="AT74" s="71">
        <f ca="1">-IF(C74=1,IF(E74='Invoer gegevens'!$C$17,'Invoer gegevens'!$C$11,AD74)*Reeksen!S74*'Invoer gegevens'!$C$18*Reeksen!P74,0)</f>
        <v>0</v>
      </c>
      <c r="AU74" s="71">
        <f ca="1">-IF(C74=1,(F74+K74+L74+Q74)/2*'Invoer gegevens'!$F$38*Reeksen!H74,0)</f>
        <v>0</v>
      </c>
      <c r="AV74" s="71">
        <f t="shared" si="16"/>
        <v>0</v>
      </c>
      <c r="AW74" s="71">
        <f t="shared" ca="1" si="30"/>
        <v>0</v>
      </c>
      <c r="AX74" s="71">
        <f ca="1">IF(E74&lt;'Invoer gegevens'!$C$17+15,0,IF(E74&gt;'Invoer gegevens'!$C$17+215,0,AW74))</f>
        <v>0</v>
      </c>
      <c r="AY74" s="71">
        <f ca="1">AX74/(1+'Invoer gegevens'!$F$18)^($AZ74-('Invoer gegevens'!$C$17-'Invoer gegevens'!$C$16))/(1+'Invoer gegevens'!$C$39)^('Invoer gegevens'!$C$17-'Invoer gegevens'!$C$16)</f>
        <v>0</v>
      </c>
      <c r="AZ74" s="68">
        <f ca="1">IF(E74-'Invoer gegevens'!$C$17-14.5&lt;0,0,E74-'Invoer gegevens'!$C$17-14.5)</f>
        <v>54.5</v>
      </c>
      <c r="BA74" s="109">
        <f ca="1">IFERROR(VLOOKUP(E74-15,Reeksen!$A$5:$D$234,2,FALSE),0)</f>
        <v>0</v>
      </c>
      <c r="BB74" s="109">
        <f ca="1">IFERROR(VLOOKUP(E74-15,Reeksen!$A$5:$D$234,3,FALSE),0)</f>
        <v>0</v>
      </c>
      <c r="BC74" s="109">
        <f ca="1">IFERROR(VLOOKUP(E74-15,Reeksen!$A$5:$D$234,4,FALSE),0)</f>
        <v>0</v>
      </c>
      <c r="BD74" s="67">
        <f ca="1">IF(E74-'Invoer gegevens'!$C$17&lt;15,0,1)</f>
        <v>1</v>
      </c>
    </row>
    <row r="75" spans="1:56" x14ac:dyDescent="0.25">
      <c r="A75" s="59"/>
      <c r="B75" s="70">
        <f t="shared" si="31"/>
        <v>71</v>
      </c>
      <c r="C75" s="67">
        <f ca="1">IF(E75-'Invoer gegevens'!$C$17&lt;0,0,1)</f>
        <v>1</v>
      </c>
      <c r="D75" s="68">
        <f t="shared" si="32"/>
        <v>70.5</v>
      </c>
      <c r="E75" s="108">
        <f ca="1">IF('Invoer gegevens'!$C$16="","",E74+1)</f>
        <v>2089</v>
      </c>
      <c r="F75" s="84">
        <f ca="1">IF('Invoer gegevens'!$C$17=E75,'Invoer gegevens'!$C$10,IF(C75=1,K74,0))</f>
        <v>0</v>
      </c>
      <c r="G75" s="96">
        <f ca="1">IF(BD75&lt;1,F75*Reeksen!C75,IF(C75&gt;=1,F75*BA75,0))</f>
        <v>0</v>
      </c>
      <c r="H75" s="84">
        <f ca="1">(1-('Invoer gegevens'!$F$20/12))*F75*MIN(BA75,BC75)</f>
        <v>0</v>
      </c>
      <c r="I75" s="84">
        <f t="shared" ca="1" si="17"/>
        <v>0</v>
      </c>
      <c r="J75" s="84">
        <f ca="1">('Invoer gegevens'!$F$20/12)*F74*MIN(BA75,BC75)</f>
        <v>0</v>
      </c>
      <c r="K75" s="97">
        <f t="shared" ca="1" si="22"/>
        <v>0</v>
      </c>
      <c r="L75" s="84">
        <f ca="1">IF('Invoer gegevens'!$C$17=E75,0,IF(C75=1,Q74,0))</f>
        <v>0</v>
      </c>
      <c r="M75" s="96">
        <f t="shared" ca="1" si="18"/>
        <v>0</v>
      </c>
      <c r="N75" s="84">
        <f ca="1">(1-('Invoer gegevens'!$F$20/12))*L75*MIN(BA75,BC75)</f>
        <v>0</v>
      </c>
      <c r="O75" s="84">
        <f t="shared" ca="1" si="19"/>
        <v>0</v>
      </c>
      <c r="P75" s="84">
        <f ca="1">('Invoer gegevens'!$F$20/12)*L74*MIN(BA75,BC75)</f>
        <v>0</v>
      </c>
      <c r="Q75" s="84">
        <f t="shared" ca="1" si="23"/>
        <v>0</v>
      </c>
      <c r="R75" s="85">
        <f ca="1">IF('Invoer gegevens'!$C$17=E75,'Invoer gegevens'!$C$11,IF(C75=1,W74,0))</f>
        <v>0</v>
      </c>
      <c r="S75" s="86">
        <f t="shared" ca="1" si="20"/>
        <v>0</v>
      </c>
      <c r="T75" s="86">
        <f ca="1">(1-('Invoer gegevens'!$F$20/12))*R75*MIN(BC75,BA75)</f>
        <v>0</v>
      </c>
      <c r="U75" s="86">
        <f ca="1">IF(BD75&lt;1,IF(Reeksen!AD75&lt;=Reeksen!AE75,R75*Reeksen!C75,0),IF(BC75&gt;=BA75,0,IF(Reeksen!AD75&lt;=Reeksen!AE75,(BA75-BC75)*R75,0)))</f>
        <v>0</v>
      </c>
      <c r="V75" s="86">
        <f ca="1">IF(BD75&lt;1,IF(Reeksen!AD75&gt;Reeksen!AE75,R75*Reeksen!C75,0),IF(BC75&gt;=BA75,0,IF(Reeksen!AD75&gt;Reeksen!AE75,(BA75-BC75)*R75,0)))</f>
        <v>0</v>
      </c>
      <c r="W75" s="218">
        <f t="shared" ca="1" si="24"/>
        <v>0</v>
      </c>
      <c r="X75" s="98">
        <f ca="1">IF('Invoer gegevens'!$C$17=E75,'Invoer gegevens'!$C$10-'Invoer gegevens'!$C$11,IF(C75=1,AC74,0))</f>
        <v>0</v>
      </c>
      <c r="Y75" s="98">
        <f t="shared" ca="1" si="21"/>
        <v>0</v>
      </c>
      <c r="Z75" s="98">
        <f ca="1">(1-('Invoer gegevens'!$F$20/12))*X75*MIN(BA75,BC75)</f>
        <v>0</v>
      </c>
      <c r="AA75" s="98">
        <f ca="1">IF(BD75&lt;1,IF(Reeksen!AD75&lt;=Reeksen!AE75,X75*Reeksen!C75,0),IF(BC75&gt;=BA75,0,IF(Reeksen!AD75&lt;=Reeksen!AE75,(BA75-BC75)*X75,0)))</f>
        <v>0</v>
      </c>
      <c r="AB75" s="98">
        <f ca="1">IF(BD75&lt;1,IF(Reeksen!AD75&gt;Reeksen!AE75,X75*Reeksen!C75,0),IF(BC75&gt;=BA75,0,IF(Reeksen!AD75&gt;Reeksen!AE75,(BA75-BC75)*X75,0)))</f>
        <v>0</v>
      </c>
      <c r="AC75" s="99">
        <f t="shared" ca="1" si="25"/>
        <v>0</v>
      </c>
      <c r="AD75" s="98">
        <f ca="1">IF('Invoer gegevens'!$C$17=E75,R75,IF(C75=0,0,AE74))</f>
        <v>0</v>
      </c>
      <c r="AE75" s="98">
        <f t="shared" ca="1" si="26"/>
        <v>0</v>
      </c>
      <c r="AF75" s="98">
        <f ca="1">IF('Invoer gegevens'!$C$17=E75,X75,IF(C75=0,0,AG74))</f>
        <v>0</v>
      </c>
      <c r="AG75" s="98">
        <f t="shared" ca="1" si="27"/>
        <v>0</v>
      </c>
      <c r="AH75" s="66"/>
      <c r="AI75" s="71">
        <f ca="1">IF(C75=1,Reeksen!AI75*((F75+K75)/2)*12+Reeksen!AD75*((L75+Q75)/2)*12,0)</f>
        <v>0</v>
      </c>
      <c r="AJ75" s="71">
        <f ca="1">-AI75*'Invoer gegevens'!$F$28</f>
        <v>0</v>
      </c>
      <c r="AK75" s="71">
        <f t="shared" ca="1" si="28"/>
        <v>0</v>
      </c>
      <c r="AL75" s="71">
        <f ca="1">IF(C75=1,Reeksen!AL75*((F75-G75+F75)/2)*12+Reeksen!AM75*((L75-M75+L75)/2)*12,0)</f>
        <v>0</v>
      </c>
      <c r="AM75" s="71">
        <f ca="1">-AL75*'Invoer gegevens'!$F$31</f>
        <v>0</v>
      </c>
      <c r="AN75" s="71">
        <f t="shared" ca="1" si="29"/>
        <v>0</v>
      </c>
      <c r="AO75" s="71">
        <f ca="1">IF(C75=1,(H75+J75+N75+P75)*Reeksen!AN75,0)</f>
        <v>0</v>
      </c>
      <c r="AP75" s="71">
        <f ca="1">-IF(C75=1,(H75+J75+N75+P75)*'Hulp - basis'!$G$550*Reeksen!H75,0)</f>
        <v>0</v>
      </c>
      <c r="AQ75" s="71">
        <f ca="1">-IF(C75=1,(F75+K75+L75+Q75)/2*'Invoer gegevens'!$F$35*Reeksen!J75,0)*2</f>
        <v>0</v>
      </c>
      <c r="AR75" s="71">
        <f ca="1">IF(BD75&lt;1,-IF(C75=1,(G75*'Invoer gegevens'!$F$36)*Reeksen!J75,0),0)</f>
        <v>0</v>
      </c>
      <c r="AS75" s="71">
        <f ca="1">-IF(C75=1,(F75+K75+L75+Q75)/2*'Invoer gegevens'!$F$37*Reeksen!L75,0)</f>
        <v>0</v>
      </c>
      <c r="AT75" s="71">
        <f ca="1">-IF(C75=1,IF(E75='Invoer gegevens'!$C$17,'Invoer gegevens'!$C$11,AD75)*Reeksen!S75*'Invoer gegevens'!$C$18*Reeksen!P75,0)</f>
        <v>0</v>
      </c>
      <c r="AU75" s="71">
        <f ca="1">-IF(C75=1,(F75+K75+L75+Q75)/2*'Invoer gegevens'!$F$38*Reeksen!H75,0)</f>
        <v>0</v>
      </c>
      <c r="AV75" s="71">
        <f t="shared" si="16"/>
        <v>0</v>
      </c>
      <c r="AW75" s="71">
        <f t="shared" ca="1" si="30"/>
        <v>0</v>
      </c>
      <c r="AX75" s="71">
        <f ca="1">IF(E75&lt;'Invoer gegevens'!$C$17+15,0,IF(E75&gt;'Invoer gegevens'!$C$17+215,0,AW75))</f>
        <v>0</v>
      </c>
      <c r="AY75" s="71">
        <f ca="1">AX75/(1+'Invoer gegevens'!$F$18)^($AZ75-('Invoer gegevens'!$C$17-'Invoer gegevens'!$C$16))/(1+'Invoer gegevens'!$C$39)^('Invoer gegevens'!$C$17-'Invoer gegevens'!$C$16)</f>
        <v>0</v>
      </c>
      <c r="AZ75" s="68">
        <f ca="1">IF(E75-'Invoer gegevens'!$C$17-14.5&lt;0,0,E75-'Invoer gegevens'!$C$17-14.5)</f>
        <v>55.5</v>
      </c>
      <c r="BA75" s="109">
        <f ca="1">IFERROR(VLOOKUP(E75-15,Reeksen!$A$5:$D$234,2,FALSE),0)</f>
        <v>0</v>
      </c>
      <c r="BB75" s="109">
        <f ca="1">IFERROR(VLOOKUP(E75-15,Reeksen!$A$5:$D$234,3,FALSE),0)</f>
        <v>0</v>
      </c>
      <c r="BC75" s="109">
        <f ca="1">IFERROR(VLOOKUP(E75-15,Reeksen!$A$5:$D$234,4,FALSE),0)</f>
        <v>0</v>
      </c>
      <c r="BD75" s="67">
        <f ca="1">IF(E75-'Invoer gegevens'!$C$17&lt;15,0,1)</f>
        <v>1</v>
      </c>
    </row>
    <row r="76" spans="1:56" x14ac:dyDescent="0.25">
      <c r="A76" s="59"/>
      <c r="B76" s="70">
        <f t="shared" si="31"/>
        <v>72</v>
      </c>
      <c r="C76" s="67">
        <f ca="1">IF(E76-'Invoer gegevens'!$C$17&lt;0,0,1)</f>
        <v>1</v>
      </c>
      <c r="D76" s="68">
        <f t="shared" si="32"/>
        <v>71.5</v>
      </c>
      <c r="E76" s="108">
        <f ca="1">IF('Invoer gegevens'!$C$16="","",E75+1)</f>
        <v>2090</v>
      </c>
      <c r="F76" s="84">
        <f ca="1">IF('Invoer gegevens'!$C$17=E76,'Invoer gegevens'!$C$10,IF(C76=1,K75,0))</f>
        <v>0</v>
      </c>
      <c r="G76" s="96">
        <f ca="1">IF(BD76&lt;1,F76*Reeksen!C76,IF(C76&gt;=1,F76*BA76,0))</f>
        <v>0</v>
      </c>
      <c r="H76" s="84">
        <f ca="1">(1-('Invoer gegevens'!$F$20/12))*F76*MIN(BA76,BC76)</f>
        <v>0</v>
      </c>
      <c r="I76" s="84">
        <f t="shared" ca="1" si="17"/>
        <v>0</v>
      </c>
      <c r="J76" s="84">
        <f ca="1">('Invoer gegevens'!$F$20/12)*F75*MIN(BA76,BC76)</f>
        <v>0</v>
      </c>
      <c r="K76" s="97">
        <f t="shared" ca="1" si="22"/>
        <v>0</v>
      </c>
      <c r="L76" s="84">
        <f ca="1">IF('Invoer gegevens'!$C$17=E76,0,IF(C76=1,Q75,0))</f>
        <v>0</v>
      </c>
      <c r="M76" s="96">
        <f t="shared" ca="1" si="18"/>
        <v>0</v>
      </c>
      <c r="N76" s="84">
        <f ca="1">(1-('Invoer gegevens'!$F$20/12))*L76*MIN(BA76,BC76)</f>
        <v>0</v>
      </c>
      <c r="O76" s="84">
        <f t="shared" ca="1" si="19"/>
        <v>0</v>
      </c>
      <c r="P76" s="84">
        <f ca="1">('Invoer gegevens'!$F$20/12)*L75*MIN(BA76,BC76)</f>
        <v>0</v>
      </c>
      <c r="Q76" s="84">
        <f t="shared" ca="1" si="23"/>
        <v>0</v>
      </c>
      <c r="R76" s="85">
        <f ca="1">IF('Invoer gegevens'!$C$17=E76,'Invoer gegevens'!$C$11,IF(C76=1,W75,0))</f>
        <v>0</v>
      </c>
      <c r="S76" s="86">
        <f t="shared" ca="1" si="20"/>
        <v>0</v>
      </c>
      <c r="T76" s="86">
        <f ca="1">(1-('Invoer gegevens'!$F$20/12))*R76*MIN(BC76,BA76)</f>
        <v>0</v>
      </c>
      <c r="U76" s="86">
        <f ca="1">IF(BD76&lt;1,IF(Reeksen!AD76&lt;=Reeksen!AE76,R76*Reeksen!C76,0),IF(BC76&gt;=BA76,0,IF(Reeksen!AD76&lt;=Reeksen!AE76,(BA76-BC76)*R76,0)))</f>
        <v>0</v>
      </c>
      <c r="V76" s="86">
        <f ca="1">IF(BD76&lt;1,IF(Reeksen!AD76&gt;Reeksen!AE76,R76*Reeksen!C76,0),IF(BC76&gt;=BA76,0,IF(Reeksen!AD76&gt;Reeksen!AE76,(BA76-BC76)*R76,0)))</f>
        <v>0</v>
      </c>
      <c r="W76" s="218">
        <f t="shared" ca="1" si="24"/>
        <v>0</v>
      </c>
      <c r="X76" s="98">
        <f ca="1">IF('Invoer gegevens'!$C$17=E76,'Invoer gegevens'!$C$10-'Invoer gegevens'!$C$11,IF(C76=1,AC75,0))</f>
        <v>0</v>
      </c>
      <c r="Y76" s="98">
        <f t="shared" ca="1" si="21"/>
        <v>0</v>
      </c>
      <c r="Z76" s="98">
        <f ca="1">(1-('Invoer gegevens'!$F$20/12))*X76*MIN(BA76,BC76)</f>
        <v>0</v>
      </c>
      <c r="AA76" s="98">
        <f ca="1">IF(BD76&lt;1,IF(Reeksen!AD76&lt;=Reeksen!AE76,X76*Reeksen!C76,0),IF(BC76&gt;=BA76,0,IF(Reeksen!AD76&lt;=Reeksen!AE76,(BA76-BC76)*X76,0)))</f>
        <v>0</v>
      </c>
      <c r="AB76" s="98">
        <f ca="1">IF(BD76&lt;1,IF(Reeksen!AD76&gt;Reeksen!AE76,X76*Reeksen!C76,0),IF(BC76&gt;=BA76,0,IF(Reeksen!AD76&gt;Reeksen!AE76,(BA76-BC76)*X76,0)))</f>
        <v>0</v>
      </c>
      <c r="AC76" s="99">
        <f t="shared" ca="1" si="25"/>
        <v>0</v>
      </c>
      <c r="AD76" s="98">
        <f ca="1">IF('Invoer gegevens'!$C$17=E76,R76,IF(C76=0,0,AE75))</f>
        <v>0</v>
      </c>
      <c r="AE76" s="98">
        <f t="shared" ca="1" si="26"/>
        <v>0</v>
      </c>
      <c r="AF76" s="98">
        <f ca="1">IF('Invoer gegevens'!$C$17=E76,X76,IF(C76=0,0,AG75))</f>
        <v>0</v>
      </c>
      <c r="AG76" s="98">
        <f t="shared" ca="1" si="27"/>
        <v>0</v>
      </c>
      <c r="AH76" s="66"/>
      <c r="AI76" s="71">
        <f ca="1">IF(C76=1,Reeksen!AI76*((F76+K76)/2)*12+Reeksen!AD76*((L76+Q76)/2)*12,0)</f>
        <v>0</v>
      </c>
      <c r="AJ76" s="71">
        <f ca="1">-AI76*'Invoer gegevens'!$F$28</f>
        <v>0</v>
      </c>
      <c r="AK76" s="71">
        <f t="shared" ca="1" si="28"/>
        <v>0</v>
      </c>
      <c r="AL76" s="71">
        <f ca="1">IF(C76=1,Reeksen!AL76*((F76-G76+F76)/2)*12+Reeksen!AM76*((L76-M76+L76)/2)*12,0)</f>
        <v>0</v>
      </c>
      <c r="AM76" s="71">
        <f ca="1">-AL76*'Invoer gegevens'!$F$31</f>
        <v>0</v>
      </c>
      <c r="AN76" s="71">
        <f t="shared" ca="1" si="29"/>
        <v>0</v>
      </c>
      <c r="AO76" s="71">
        <f ca="1">IF(C76=1,(H76+J76+N76+P76)*Reeksen!AN76,0)</f>
        <v>0</v>
      </c>
      <c r="AP76" s="71">
        <f ca="1">-IF(C76=1,(H76+J76+N76+P76)*'Hulp - basis'!$G$550*Reeksen!H76,0)</f>
        <v>0</v>
      </c>
      <c r="AQ76" s="71">
        <f ca="1">-IF(C76=1,(F76+K76+L76+Q76)/2*'Invoer gegevens'!$F$35*Reeksen!J76,0)*2</f>
        <v>0</v>
      </c>
      <c r="AR76" s="71">
        <f ca="1">IF(BD76&lt;1,-IF(C76=1,(G76*'Invoer gegevens'!$F$36)*Reeksen!J76,0),0)</f>
        <v>0</v>
      </c>
      <c r="AS76" s="71">
        <f ca="1">-IF(C76=1,(F76+K76+L76+Q76)/2*'Invoer gegevens'!$F$37*Reeksen!L76,0)</f>
        <v>0</v>
      </c>
      <c r="AT76" s="71">
        <f ca="1">-IF(C76=1,IF(E76='Invoer gegevens'!$C$17,'Invoer gegevens'!$C$11,AD76)*Reeksen!S76*'Invoer gegevens'!$C$18*Reeksen!P76,0)</f>
        <v>0</v>
      </c>
      <c r="AU76" s="71">
        <f ca="1">-IF(C76=1,(F76+K76+L76+Q76)/2*'Invoer gegevens'!$F$38*Reeksen!H76,0)</f>
        <v>0</v>
      </c>
      <c r="AV76" s="71">
        <f t="shared" si="16"/>
        <v>0</v>
      </c>
      <c r="AW76" s="71">
        <f t="shared" ca="1" si="30"/>
        <v>0</v>
      </c>
      <c r="AX76" s="71">
        <f ca="1">IF(E76&lt;'Invoer gegevens'!$C$17+15,0,IF(E76&gt;'Invoer gegevens'!$C$17+215,0,AW76))</f>
        <v>0</v>
      </c>
      <c r="AY76" s="71">
        <f ca="1">AX76/(1+'Invoer gegevens'!$F$18)^($AZ76-('Invoer gegevens'!$C$17-'Invoer gegevens'!$C$16))/(1+'Invoer gegevens'!$C$39)^('Invoer gegevens'!$C$17-'Invoer gegevens'!$C$16)</f>
        <v>0</v>
      </c>
      <c r="AZ76" s="68">
        <f ca="1">IF(E76-'Invoer gegevens'!$C$17-14.5&lt;0,0,E76-'Invoer gegevens'!$C$17-14.5)</f>
        <v>56.5</v>
      </c>
      <c r="BA76" s="109">
        <f ca="1">IFERROR(VLOOKUP(E76-15,Reeksen!$A$5:$D$234,2,FALSE),0)</f>
        <v>0</v>
      </c>
      <c r="BB76" s="109">
        <f ca="1">IFERROR(VLOOKUP(E76-15,Reeksen!$A$5:$D$234,3,FALSE),0)</f>
        <v>0</v>
      </c>
      <c r="BC76" s="109">
        <f ca="1">IFERROR(VLOOKUP(E76-15,Reeksen!$A$5:$D$234,4,FALSE),0)</f>
        <v>0</v>
      </c>
      <c r="BD76" s="67">
        <f ca="1">IF(E76-'Invoer gegevens'!$C$17&lt;15,0,1)</f>
        <v>1</v>
      </c>
    </row>
    <row r="77" spans="1:56" x14ac:dyDescent="0.25">
      <c r="A77" s="59"/>
      <c r="B77" s="70">
        <f t="shared" si="31"/>
        <v>73</v>
      </c>
      <c r="C77" s="67">
        <f ca="1">IF(E77-'Invoer gegevens'!$C$17&lt;0,0,1)</f>
        <v>1</v>
      </c>
      <c r="D77" s="68">
        <f t="shared" si="32"/>
        <v>72.5</v>
      </c>
      <c r="E77" s="108">
        <f ca="1">IF('Invoer gegevens'!$C$16="","",E76+1)</f>
        <v>2091</v>
      </c>
      <c r="F77" s="84">
        <f ca="1">IF('Invoer gegevens'!$C$17=E77,'Invoer gegevens'!$C$10,IF(C77=1,K76,0))</f>
        <v>0</v>
      </c>
      <c r="G77" s="96">
        <f ca="1">IF(BD77&lt;1,F77*Reeksen!C77,IF(C77&gt;=1,F77*BA77,0))</f>
        <v>0</v>
      </c>
      <c r="H77" s="84">
        <f ca="1">(1-('Invoer gegevens'!$F$20/12))*F77*MIN(BA77,BC77)</f>
        <v>0</v>
      </c>
      <c r="I77" s="84">
        <f t="shared" ca="1" si="17"/>
        <v>0</v>
      </c>
      <c r="J77" s="84">
        <f ca="1">('Invoer gegevens'!$F$20/12)*F76*MIN(BA77,BC77)</f>
        <v>0</v>
      </c>
      <c r="K77" s="97">
        <f t="shared" ca="1" si="22"/>
        <v>0</v>
      </c>
      <c r="L77" s="84">
        <f ca="1">IF('Invoer gegevens'!$C$17=E77,0,IF(C77=1,Q76,0))</f>
        <v>0</v>
      </c>
      <c r="M77" s="96">
        <f t="shared" ca="1" si="18"/>
        <v>0</v>
      </c>
      <c r="N77" s="84">
        <f ca="1">(1-('Invoer gegevens'!$F$20/12))*L77*MIN(BA77,BC77)</f>
        <v>0</v>
      </c>
      <c r="O77" s="84">
        <f t="shared" ca="1" si="19"/>
        <v>0</v>
      </c>
      <c r="P77" s="84">
        <f ca="1">('Invoer gegevens'!$F$20/12)*L76*MIN(BA77,BC77)</f>
        <v>0</v>
      </c>
      <c r="Q77" s="84">
        <f t="shared" ca="1" si="23"/>
        <v>0</v>
      </c>
      <c r="R77" s="85">
        <f ca="1">IF('Invoer gegevens'!$C$17=E77,'Invoer gegevens'!$C$11,IF(C77=1,W76,0))</f>
        <v>0</v>
      </c>
      <c r="S77" s="86">
        <f t="shared" ca="1" si="20"/>
        <v>0</v>
      </c>
      <c r="T77" s="86">
        <f ca="1">(1-('Invoer gegevens'!$F$20/12))*R77*MIN(BC77,BA77)</f>
        <v>0</v>
      </c>
      <c r="U77" s="86">
        <f ca="1">IF(BD77&lt;1,IF(Reeksen!AD77&lt;=Reeksen!AE77,R77*Reeksen!C77,0),IF(BC77&gt;=BA77,0,IF(Reeksen!AD77&lt;=Reeksen!AE77,(BA77-BC77)*R77,0)))</f>
        <v>0</v>
      </c>
      <c r="V77" s="86">
        <f ca="1">IF(BD77&lt;1,IF(Reeksen!AD77&gt;Reeksen!AE77,R77*Reeksen!C77,0),IF(BC77&gt;=BA77,0,IF(Reeksen!AD77&gt;Reeksen!AE77,(BA77-BC77)*R77,0)))</f>
        <v>0</v>
      </c>
      <c r="W77" s="218">
        <f t="shared" ca="1" si="24"/>
        <v>0</v>
      </c>
      <c r="X77" s="98">
        <f ca="1">IF('Invoer gegevens'!$C$17=E77,'Invoer gegevens'!$C$10-'Invoer gegevens'!$C$11,IF(C77=1,AC76,0))</f>
        <v>0</v>
      </c>
      <c r="Y77" s="98">
        <f t="shared" ca="1" si="21"/>
        <v>0</v>
      </c>
      <c r="Z77" s="98">
        <f ca="1">(1-('Invoer gegevens'!$F$20/12))*X77*MIN(BA77,BC77)</f>
        <v>0</v>
      </c>
      <c r="AA77" s="98">
        <f ca="1">IF(BD77&lt;1,IF(Reeksen!AD77&lt;=Reeksen!AE77,X77*Reeksen!C77,0),IF(BC77&gt;=BA77,0,IF(Reeksen!AD77&lt;=Reeksen!AE77,(BA77-BC77)*X77,0)))</f>
        <v>0</v>
      </c>
      <c r="AB77" s="98">
        <f ca="1">IF(BD77&lt;1,IF(Reeksen!AD77&gt;Reeksen!AE77,X77*Reeksen!C77,0),IF(BC77&gt;=BA77,0,IF(Reeksen!AD77&gt;Reeksen!AE77,(BA77-BC77)*X77,0)))</f>
        <v>0</v>
      </c>
      <c r="AC77" s="99">
        <f t="shared" ca="1" si="25"/>
        <v>0</v>
      </c>
      <c r="AD77" s="98">
        <f ca="1">IF('Invoer gegevens'!$C$17=E77,R77,IF(C77=0,0,AE76))</f>
        <v>0</v>
      </c>
      <c r="AE77" s="98">
        <f t="shared" ca="1" si="26"/>
        <v>0</v>
      </c>
      <c r="AF77" s="98">
        <f ca="1">IF('Invoer gegevens'!$C$17=E77,X77,IF(C77=0,0,AG76))</f>
        <v>0</v>
      </c>
      <c r="AG77" s="98">
        <f t="shared" ca="1" si="27"/>
        <v>0</v>
      </c>
      <c r="AH77" s="66"/>
      <c r="AI77" s="71">
        <f ca="1">IF(C77=1,Reeksen!AI77*((F77+K77)/2)*12+Reeksen!AD77*((L77+Q77)/2)*12,0)</f>
        <v>0</v>
      </c>
      <c r="AJ77" s="71">
        <f ca="1">-AI77*'Invoer gegevens'!$F$28</f>
        <v>0</v>
      </c>
      <c r="AK77" s="71">
        <f t="shared" ca="1" si="28"/>
        <v>0</v>
      </c>
      <c r="AL77" s="71">
        <f ca="1">IF(C77=1,Reeksen!AL77*((F77-G77+F77)/2)*12+Reeksen!AM77*((L77-M77+L77)/2)*12,0)</f>
        <v>0</v>
      </c>
      <c r="AM77" s="71">
        <f ca="1">-AL77*'Invoer gegevens'!$F$31</f>
        <v>0</v>
      </c>
      <c r="AN77" s="71">
        <f t="shared" ca="1" si="29"/>
        <v>0</v>
      </c>
      <c r="AO77" s="71">
        <f ca="1">IF(C77=1,(H77+J77+N77+P77)*Reeksen!AN77,0)</f>
        <v>0</v>
      </c>
      <c r="AP77" s="71">
        <f ca="1">-IF(C77=1,(H77+J77+N77+P77)*'Hulp - basis'!$G$550*Reeksen!H77,0)</f>
        <v>0</v>
      </c>
      <c r="AQ77" s="71">
        <f ca="1">-IF(C77=1,(F77+K77+L77+Q77)/2*'Invoer gegevens'!$F$35*Reeksen!J77,0)*2</f>
        <v>0</v>
      </c>
      <c r="AR77" s="71">
        <f ca="1">IF(BD77&lt;1,-IF(C77=1,(G77*'Invoer gegevens'!$F$36)*Reeksen!J77,0),0)</f>
        <v>0</v>
      </c>
      <c r="AS77" s="71">
        <f ca="1">-IF(C77=1,(F77+K77+L77+Q77)/2*'Invoer gegevens'!$F$37*Reeksen!L77,0)</f>
        <v>0</v>
      </c>
      <c r="AT77" s="71">
        <f ca="1">-IF(C77=1,IF(E77='Invoer gegevens'!$C$17,'Invoer gegevens'!$C$11,AD77)*Reeksen!S77*'Invoer gegevens'!$C$18*Reeksen!P77,0)</f>
        <v>0</v>
      </c>
      <c r="AU77" s="71">
        <f ca="1">-IF(C77=1,(F77+K77+L77+Q77)/2*'Invoer gegevens'!$F$38*Reeksen!H77,0)</f>
        <v>0</v>
      </c>
      <c r="AV77" s="71">
        <f t="shared" si="16"/>
        <v>0</v>
      </c>
      <c r="AW77" s="71">
        <f t="shared" ca="1" si="30"/>
        <v>0</v>
      </c>
      <c r="AX77" s="71">
        <f ca="1">IF(E77&lt;'Invoer gegevens'!$C$17+15,0,IF(E77&gt;'Invoer gegevens'!$C$17+215,0,AW77))</f>
        <v>0</v>
      </c>
      <c r="AY77" s="71">
        <f ca="1">AX77/(1+'Invoer gegevens'!$F$18)^($AZ77-('Invoer gegevens'!$C$17-'Invoer gegevens'!$C$16))/(1+'Invoer gegevens'!$C$39)^('Invoer gegevens'!$C$17-'Invoer gegevens'!$C$16)</f>
        <v>0</v>
      </c>
      <c r="AZ77" s="68">
        <f ca="1">IF(E77-'Invoer gegevens'!$C$17-14.5&lt;0,0,E77-'Invoer gegevens'!$C$17-14.5)</f>
        <v>57.5</v>
      </c>
      <c r="BA77" s="109">
        <f ca="1">IFERROR(VLOOKUP(E77-15,Reeksen!$A$5:$D$234,2,FALSE),0)</f>
        <v>0</v>
      </c>
      <c r="BB77" s="109">
        <f ca="1">IFERROR(VLOOKUP(E77-15,Reeksen!$A$5:$D$234,3,FALSE),0)</f>
        <v>0</v>
      </c>
      <c r="BC77" s="109">
        <f ca="1">IFERROR(VLOOKUP(E77-15,Reeksen!$A$5:$D$234,4,FALSE),0)</f>
        <v>0</v>
      </c>
      <c r="BD77" s="67">
        <f ca="1">IF(E77-'Invoer gegevens'!$C$17&lt;15,0,1)</f>
        <v>1</v>
      </c>
    </row>
    <row r="78" spans="1:56" x14ac:dyDescent="0.25">
      <c r="A78" s="59"/>
      <c r="B78" s="70">
        <f t="shared" si="31"/>
        <v>74</v>
      </c>
      <c r="C78" s="67">
        <f ca="1">IF(E78-'Invoer gegevens'!$C$17&lt;0,0,1)</f>
        <v>1</v>
      </c>
      <c r="D78" s="68">
        <f t="shared" si="32"/>
        <v>73.5</v>
      </c>
      <c r="E78" s="108">
        <f ca="1">IF('Invoer gegevens'!$C$16="","",E77+1)</f>
        <v>2092</v>
      </c>
      <c r="F78" s="84">
        <f ca="1">IF('Invoer gegevens'!$C$17=E78,'Invoer gegevens'!$C$10,IF(C78=1,K77,0))</f>
        <v>0</v>
      </c>
      <c r="G78" s="96">
        <f ca="1">IF(BD78&lt;1,F78*Reeksen!C78,IF(C78&gt;=1,F78*BA78,0))</f>
        <v>0</v>
      </c>
      <c r="H78" s="84">
        <f ca="1">(1-('Invoer gegevens'!$F$20/12))*F78*MIN(BA78,BC78)</f>
        <v>0</v>
      </c>
      <c r="I78" s="84">
        <f t="shared" ca="1" si="17"/>
        <v>0</v>
      </c>
      <c r="J78" s="84">
        <f ca="1">('Invoer gegevens'!$F$20/12)*F77*MIN(BA78,BC78)</f>
        <v>0</v>
      </c>
      <c r="K78" s="97">
        <f t="shared" ca="1" si="22"/>
        <v>0</v>
      </c>
      <c r="L78" s="84">
        <f ca="1">IF('Invoer gegevens'!$C$17=E78,0,IF(C78=1,Q77,0))</f>
        <v>0</v>
      </c>
      <c r="M78" s="96">
        <f t="shared" ca="1" si="18"/>
        <v>0</v>
      </c>
      <c r="N78" s="84">
        <f ca="1">(1-('Invoer gegevens'!$F$20/12))*L78*MIN(BA78,BC78)</f>
        <v>0</v>
      </c>
      <c r="O78" s="84">
        <f t="shared" ca="1" si="19"/>
        <v>0</v>
      </c>
      <c r="P78" s="84">
        <f ca="1">('Invoer gegevens'!$F$20/12)*L77*MIN(BA78,BC78)</f>
        <v>0</v>
      </c>
      <c r="Q78" s="84">
        <f t="shared" ca="1" si="23"/>
        <v>0</v>
      </c>
      <c r="R78" s="85">
        <f ca="1">IF('Invoer gegevens'!$C$17=E78,'Invoer gegevens'!$C$11,IF(C78=1,W77,0))</f>
        <v>0</v>
      </c>
      <c r="S78" s="86">
        <f t="shared" ca="1" si="20"/>
        <v>0</v>
      </c>
      <c r="T78" s="86">
        <f ca="1">(1-('Invoer gegevens'!$F$20/12))*R78*MIN(BC78,BA78)</f>
        <v>0</v>
      </c>
      <c r="U78" s="86">
        <f ca="1">IF(BD78&lt;1,IF(Reeksen!AD78&lt;=Reeksen!AE78,R78*Reeksen!C78,0),IF(BC78&gt;=BA78,0,IF(Reeksen!AD78&lt;=Reeksen!AE78,(BA78-BC78)*R78,0)))</f>
        <v>0</v>
      </c>
      <c r="V78" s="86">
        <f ca="1">IF(BD78&lt;1,IF(Reeksen!AD78&gt;Reeksen!AE78,R78*Reeksen!C78,0),IF(BC78&gt;=BA78,0,IF(Reeksen!AD78&gt;Reeksen!AE78,(BA78-BC78)*R78,0)))</f>
        <v>0</v>
      </c>
      <c r="W78" s="218">
        <f t="shared" ca="1" si="24"/>
        <v>0</v>
      </c>
      <c r="X78" s="98">
        <f ca="1">IF('Invoer gegevens'!$C$17=E78,'Invoer gegevens'!$C$10-'Invoer gegevens'!$C$11,IF(C78=1,AC77,0))</f>
        <v>0</v>
      </c>
      <c r="Y78" s="98">
        <f t="shared" ca="1" si="21"/>
        <v>0</v>
      </c>
      <c r="Z78" s="98">
        <f ca="1">(1-('Invoer gegevens'!$F$20/12))*X78*MIN(BA78,BC78)</f>
        <v>0</v>
      </c>
      <c r="AA78" s="98">
        <f ca="1">IF(BD78&lt;1,IF(Reeksen!AD78&lt;=Reeksen!AE78,X78*Reeksen!C78,0),IF(BC78&gt;=BA78,0,IF(Reeksen!AD78&lt;=Reeksen!AE78,(BA78-BC78)*X78,0)))</f>
        <v>0</v>
      </c>
      <c r="AB78" s="98">
        <f ca="1">IF(BD78&lt;1,IF(Reeksen!AD78&gt;Reeksen!AE78,X78*Reeksen!C78,0),IF(BC78&gt;=BA78,0,IF(Reeksen!AD78&gt;Reeksen!AE78,(BA78-BC78)*X78,0)))</f>
        <v>0</v>
      </c>
      <c r="AC78" s="99">
        <f t="shared" ca="1" si="25"/>
        <v>0</v>
      </c>
      <c r="AD78" s="98">
        <f ca="1">IF('Invoer gegevens'!$C$17=E78,R78,IF(C78=0,0,AE77))</f>
        <v>0</v>
      </c>
      <c r="AE78" s="98">
        <f t="shared" ca="1" si="26"/>
        <v>0</v>
      </c>
      <c r="AF78" s="98">
        <f ca="1">IF('Invoer gegevens'!$C$17=E78,X78,IF(C78=0,0,AG77))</f>
        <v>0</v>
      </c>
      <c r="AG78" s="98">
        <f t="shared" ca="1" si="27"/>
        <v>0</v>
      </c>
      <c r="AH78" s="66"/>
      <c r="AI78" s="71">
        <f ca="1">IF(C78=1,Reeksen!AI78*((F78+K78)/2)*12+Reeksen!AD78*((L78+Q78)/2)*12,0)</f>
        <v>0</v>
      </c>
      <c r="AJ78" s="71">
        <f ca="1">-AI78*'Invoer gegevens'!$F$28</f>
        <v>0</v>
      </c>
      <c r="AK78" s="71">
        <f t="shared" ca="1" si="28"/>
        <v>0</v>
      </c>
      <c r="AL78" s="71">
        <f ca="1">IF(C78=1,Reeksen!AL78*((F78-G78+F78)/2)*12+Reeksen!AM78*((L78-M78+L78)/2)*12,0)</f>
        <v>0</v>
      </c>
      <c r="AM78" s="71">
        <f ca="1">-AL78*'Invoer gegevens'!$F$31</f>
        <v>0</v>
      </c>
      <c r="AN78" s="71">
        <f t="shared" ca="1" si="29"/>
        <v>0</v>
      </c>
      <c r="AO78" s="71">
        <f ca="1">IF(C78=1,(H78+J78+N78+P78)*Reeksen!AN78,0)</f>
        <v>0</v>
      </c>
      <c r="AP78" s="71">
        <f ca="1">-IF(C78=1,(H78+J78+N78+P78)*'Hulp - basis'!$G$550*Reeksen!H78,0)</f>
        <v>0</v>
      </c>
      <c r="AQ78" s="71">
        <f ca="1">-IF(C78=1,(F78+K78+L78+Q78)/2*'Invoer gegevens'!$F$35*Reeksen!J78,0)*2</f>
        <v>0</v>
      </c>
      <c r="AR78" s="71">
        <f ca="1">IF(BD78&lt;1,-IF(C78=1,(G78*'Invoer gegevens'!$F$36)*Reeksen!J78,0),0)</f>
        <v>0</v>
      </c>
      <c r="AS78" s="71">
        <f ca="1">-IF(C78=1,(F78+K78+L78+Q78)/2*'Invoer gegevens'!$F$37*Reeksen!L78,0)</f>
        <v>0</v>
      </c>
      <c r="AT78" s="71">
        <f ca="1">-IF(C78=1,IF(E78='Invoer gegevens'!$C$17,'Invoer gegevens'!$C$11,AD78)*Reeksen!S78*'Invoer gegevens'!$C$18*Reeksen!P78,0)</f>
        <v>0</v>
      </c>
      <c r="AU78" s="71">
        <f ca="1">-IF(C78=1,(F78+K78+L78+Q78)/2*'Invoer gegevens'!$F$38*Reeksen!H78,0)</f>
        <v>0</v>
      </c>
      <c r="AV78" s="71">
        <f t="shared" si="16"/>
        <v>0</v>
      </c>
      <c r="AW78" s="71">
        <f t="shared" ca="1" si="30"/>
        <v>0</v>
      </c>
      <c r="AX78" s="71">
        <f ca="1">IF(E78&lt;'Invoer gegevens'!$C$17+15,0,IF(E78&gt;'Invoer gegevens'!$C$17+215,0,AW78))</f>
        <v>0</v>
      </c>
      <c r="AY78" s="71">
        <f ca="1">AX78/(1+'Invoer gegevens'!$F$18)^($AZ78-('Invoer gegevens'!$C$17-'Invoer gegevens'!$C$16))/(1+'Invoer gegevens'!$C$39)^('Invoer gegevens'!$C$17-'Invoer gegevens'!$C$16)</f>
        <v>0</v>
      </c>
      <c r="AZ78" s="68">
        <f ca="1">IF(E78-'Invoer gegevens'!$C$17-14.5&lt;0,0,E78-'Invoer gegevens'!$C$17-14.5)</f>
        <v>58.5</v>
      </c>
      <c r="BA78" s="109">
        <f ca="1">IFERROR(VLOOKUP(E78-15,Reeksen!$A$5:$D$234,2,FALSE),0)</f>
        <v>0</v>
      </c>
      <c r="BB78" s="109">
        <f ca="1">IFERROR(VLOOKUP(E78-15,Reeksen!$A$5:$D$234,3,FALSE),0)</f>
        <v>0</v>
      </c>
      <c r="BC78" s="109">
        <f ca="1">IFERROR(VLOOKUP(E78-15,Reeksen!$A$5:$D$234,4,FALSE),0)</f>
        <v>0</v>
      </c>
      <c r="BD78" s="67">
        <f ca="1">IF(E78-'Invoer gegevens'!$C$17&lt;15,0,1)</f>
        <v>1</v>
      </c>
    </row>
    <row r="79" spans="1:56" x14ac:dyDescent="0.25">
      <c r="A79" s="59"/>
      <c r="B79" s="70">
        <f t="shared" si="31"/>
        <v>75</v>
      </c>
      <c r="C79" s="67">
        <f ca="1">IF(E79-'Invoer gegevens'!$C$17&lt;0,0,1)</f>
        <v>1</v>
      </c>
      <c r="D79" s="68">
        <f t="shared" si="32"/>
        <v>74.5</v>
      </c>
      <c r="E79" s="108">
        <f ca="1">IF('Invoer gegevens'!$C$16="","",E78+1)</f>
        <v>2093</v>
      </c>
      <c r="F79" s="84">
        <f ca="1">IF('Invoer gegevens'!$C$17=E79,'Invoer gegevens'!$C$10,IF(C79=1,K78,0))</f>
        <v>0</v>
      </c>
      <c r="G79" s="96">
        <f ca="1">IF(BD79&lt;1,F79*Reeksen!C79,IF(C79&gt;=1,F79*BA79,0))</f>
        <v>0</v>
      </c>
      <c r="H79" s="84">
        <f ca="1">(1-('Invoer gegevens'!$F$20/12))*F79*MIN(BA79,BC79)</f>
        <v>0</v>
      </c>
      <c r="I79" s="84">
        <f t="shared" ca="1" si="17"/>
        <v>0</v>
      </c>
      <c r="J79" s="84">
        <f ca="1">('Invoer gegevens'!$F$20/12)*F78*MIN(BA79,BC79)</f>
        <v>0</v>
      </c>
      <c r="K79" s="97">
        <f t="shared" ca="1" si="22"/>
        <v>0</v>
      </c>
      <c r="L79" s="84">
        <f ca="1">IF('Invoer gegevens'!$C$17=E79,0,IF(C79=1,Q78,0))</f>
        <v>0</v>
      </c>
      <c r="M79" s="96">
        <f t="shared" ca="1" si="18"/>
        <v>0</v>
      </c>
      <c r="N79" s="84">
        <f ca="1">(1-('Invoer gegevens'!$F$20/12))*L79*MIN(BA79,BC79)</f>
        <v>0</v>
      </c>
      <c r="O79" s="84">
        <f t="shared" ca="1" si="19"/>
        <v>0</v>
      </c>
      <c r="P79" s="84">
        <f ca="1">('Invoer gegevens'!$F$20/12)*L78*MIN(BA79,BC79)</f>
        <v>0</v>
      </c>
      <c r="Q79" s="84">
        <f t="shared" ca="1" si="23"/>
        <v>0</v>
      </c>
      <c r="R79" s="85">
        <f ca="1">IF('Invoer gegevens'!$C$17=E79,'Invoer gegevens'!$C$11,IF(C79=1,W78,0))</f>
        <v>0</v>
      </c>
      <c r="S79" s="86">
        <f t="shared" ca="1" si="20"/>
        <v>0</v>
      </c>
      <c r="T79" s="86">
        <f ca="1">(1-('Invoer gegevens'!$F$20/12))*R79*MIN(BC79,BA79)</f>
        <v>0</v>
      </c>
      <c r="U79" s="86">
        <f ca="1">IF(BD79&lt;1,IF(Reeksen!AD79&lt;=Reeksen!AE79,R79*Reeksen!C79,0),IF(BC79&gt;=BA79,0,IF(Reeksen!AD79&lt;=Reeksen!AE79,(BA79-BC79)*R79,0)))</f>
        <v>0</v>
      </c>
      <c r="V79" s="86">
        <f ca="1">IF(BD79&lt;1,IF(Reeksen!AD79&gt;Reeksen!AE79,R79*Reeksen!C79,0),IF(BC79&gt;=BA79,0,IF(Reeksen!AD79&gt;Reeksen!AE79,(BA79-BC79)*R79,0)))</f>
        <v>0</v>
      </c>
      <c r="W79" s="218">
        <f t="shared" ca="1" si="24"/>
        <v>0</v>
      </c>
      <c r="X79" s="98">
        <f ca="1">IF('Invoer gegevens'!$C$17=E79,'Invoer gegevens'!$C$10-'Invoer gegevens'!$C$11,IF(C79=1,AC78,0))</f>
        <v>0</v>
      </c>
      <c r="Y79" s="98">
        <f t="shared" ca="1" si="21"/>
        <v>0</v>
      </c>
      <c r="Z79" s="98">
        <f ca="1">(1-('Invoer gegevens'!$F$20/12))*X79*MIN(BA79,BC79)</f>
        <v>0</v>
      </c>
      <c r="AA79" s="98">
        <f ca="1">IF(BD79&lt;1,IF(Reeksen!AD79&lt;=Reeksen!AE79,X79*Reeksen!C79,0),IF(BC79&gt;=BA79,0,IF(Reeksen!AD79&lt;=Reeksen!AE79,(BA79-BC79)*X79,0)))</f>
        <v>0</v>
      </c>
      <c r="AB79" s="98">
        <f ca="1">IF(BD79&lt;1,IF(Reeksen!AD79&gt;Reeksen!AE79,X79*Reeksen!C79,0),IF(BC79&gt;=BA79,0,IF(Reeksen!AD79&gt;Reeksen!AE79,(BA79-BC79)*X79,0)))</f>
        <v>0</v>
      </c>
      <c r="AC79" s="99">
        <f t="shared" ca="1" si="25"/>
        <v>0</v>
      </c>
      <c r="AD79" s="98">
        <f ca="1">IF('Invoer gegevens'!$C$17=E79,R79,IF(C79=0,0,AE78))</f>
        <v>0</v>
      </c>
      <c r="AE79" s="98">
        <f t="shared" ca="1" si="26"/>
        <v>0</v>
      </c>
      <c r="AF79" s="98">
        <f ca="1">IF('Invoer gegevens'!$C$17=E79,X79,IF(C79=0,0,AG78))</f>
        <v>0</v>
      </c>
      <c r="AG79" s="98">
        <f t="shared" ca="1" si="27"/>
        <v>0</v>
      </c>
      <c r="AH79" s="66"/>
      <c r="AI79" s="71">
        <f ca="1">IF(C79=1,Reeksen!AI79*((F79+K79)/2)*12+Reeksen!AD79*((L79+Q79)/2)*12,0)</f>
        <v>0</v>
      </c>
      <c r="AJ79" s="71">
        <f ca="1">-AI79*'Invoer gegevens'!$F$28</f>
        <v>0</v>
      </c>
      <c r="AK79" s="71">
        <f t="shared" ca="1" si="28"/>
        <v>0</v>
      </c>
      <c r="AL79" s="71">
        <f ca="1">IF(C79=1,Reeksen!AL79*((F79-G79+F79)/2)*12+Reeksen!AM79*((L79-M79+L79)/2)*12,0)</f>
        <v>0</v>
      </c>
      <c r="AM79" s="71">
        <f ca="1">-AL79*'Invoer gegevens'!$F$31</f>
        <v>0</v>
      </c>
      <c r="AN79" s="71">
        <f t="shared" ca="1" si="29"/>
        <v>0</v>
      </c>
      <c r="AO79" s="71">
        <f ca="1">IF(C79=1,(H79+J79+N79+P79)*Reeksen!AN79,0)</f>
        <v>0</v>
      </c>
      <c r="AP79" s="71">
        <f ca="1">-IF(C79=1,(H79+J79+N79+P79)*'Hulp - basis'!$G$550*Reeksen!H79,0)</f>
        <v>0</v>
      </c>
      <c r="AQ79" s="71">
        <f ca="1">-IF(C79=1,(F79+K79+L79+Q79)/2*'Invoer gegevens'!$F$35*Reeksen!J79,0)*2</f>
        <v>0</v>
      </c>
      <c r="AR79" s="71">
        <f ca="1">IF(BD79&lt;1,-IF(C79=1,(G79*'Invoer gegevens'!$F$36)*Reeksen!J79,0),0)</f>
        <v>0</v>
      </c>
      <c r="AS79" s="71">
        <f ca="1">-IF(C79=1,(F79+K79+L79+Q79)/2*'Invoer gegevens'!$F$37*Reeksen!L79,0)</f>
        <v>0</v>
      </c>
      <c r="AT79" s="71">
        <f ca="1">-IF(C79=1,IF(E79='Invoer gegevens'!$C$17,'Invoer gegevens'!$C$11,AD79)*Reeksen!S79*'Invoer gegevens'!$C$18*Reeksen!P79,0)</f>
        <v>0</v>
      </c>
      <c r="AU79" s="71">
        <f ca="1">-IF(C79=1,(F79+K79+L79+Q79)/2*'Invoer gegevens'!$F$38*Reeksen!H79,0)</f>
        <v>0</v>
      </c>
      <c r="AV79" s="71">
        <f t="shared" si="16"/>
        <v>0</v>
      </c>
      <c r="AW79" s="71">
        <f t="shared" ca="1" si="30"/>
        <v>0</v>
      </c>
      <c r="AX79" s="71">
        <f ca="1">IF(E79&lt;'Invoer gegevens'!$C$17+15,0,IF(E79&gt;'Invoer gegevens'!$C$17+215,0,AW79))</f>
        <v>0</v>
      </c>
      <c r="AY79" s="71">
        <f ca="1">AX79/(1+'Invoer gegevens'!$F$18)^($AZ79-('Invoer gegevens'!$C$17-'Invoer gegevens'!$C$16))/(1+'Invoer gegevens'!$C$39)^('Invoer gegevens'!$C$17-'Invoer gegevens'!$C$16)</f>
        <v>0</v>
      </c>
      <c r="AZ79" s="68">
        <f ca="1">IF(E79-'Invoer gegevens'!$C$17-14.5&lt;0,0,E79-'Invoer gegevens'!$C$17-14.5)</f>
        <v>59.5</v>
      </c>
      <c r="BA79" s="109">
        <f ca="1">IFERROR(VLOOKUP(E79-15,Reeksen!$A$5:$D$234,2,FALSE),0)</f>
        <v>0</v>
      </c>
      <c r="BB79" s="109">
        <f ca="1">IFERROR(VLOOKUP(E79-15,Reeksen!$A$5:$D$234,3,FALSE),0)</f>
        <v>0</v>
      </c>
      <c r="BC79" s="109">
        <f ca="1">IFERROR(VLOOKUP(E79-15,Reeksen!$A$5:$D$234,4,FALSE),0)</f>
        <v>0</v>
      </c>
      <c r="BD79" s="67">
        <f ca="1">IF(E79-'Invoer gegevens'!$C$17&lt;15,0,1)</f>
        <v>1</v>
      </c>
    </row>
    <row r="80" spans="1:56" x14ac:dyDescent="0.25">
      <c r="A80" s="59"/>
      <c r="B80" s="70">
        <f t="shared" si="31"/>
        <v>76</v>
      </c>
      <c r="C80" s="67">
        <f ca="1">IF(E80-'Invoer gegevens'!$C$17&lt;0,0,1)</f>
        <v>1</v>
      </c>
      <c r="D80" s="68">
        <f t="shared" si="32"/>
        <v>75.5</v>
      </c>
      <c r="E80" s="108">
        <f ca="1">IF('Invoer gegevens'!$C$16="","",E79+1)</f>
        <v>2094</v>
      </c>
      <c r="F80" s="84">
        <f ca="1">IF('Invoer gegevens'!$C$17=E80,'Invoer gegevens'!$C$10,IF(C80=1,K79,0))</f>
        <v>0</v>
      </c>
      <c r="G80" s="96">
        <f ca="1">IF(BD80&lt;1,F80*Reeksen!C80,IF(C80&gt;=1,F80*BA80,0))</f>
        <v>0</v>
      </c>
      <c r="H80" s="84">
        <f ca="1">(1-('Invoer gegevens'!$F$20/12))*F80*MIN(BA80,BC80)</f>
        <v>0</v>
      </c>
      <c r="I80" s="84">
        <f t="shared" ca="1" si="17"/>
        <v>0</v>
      </c>
      <c r="J80" s="84">
        <f ca="1">('Invoer gegevens'!$F$20/12)*F79*MIN(BA80,BC80)</f>
        <v>0</v>
      </c>
      <c r="K80" s="97">
        <f t="shared" ca="1" si="22"/>
        <v>0</v>
      </c>
      <c r="L80" s="84">
        <f ca="1">IF('Invoer gegevens'!$C$17=E80,0,IF(C80=1,Q79,0))</f>
        <v>0</v>
      </c>
      <c r="M80" s="96">
        <f t="shared" ca="1" si="18"/>
        <v>0</v>
      </c>
      <c r="N80" s="84">
        <f ca="1">(1-('Invoer gegevens'!$F$20/12))*L80*MIN(BA80,BC80)</f>
        <v>0</v>
      </c>
      <c r="O80" s="84">
        <f t="shared" ca="1" si="19"/>
        <v>0</v>
      </c>
      <c r="P80" s="84">
        <f ca="1">('Invoer gegevens'!$F$20/12)*L79*MIN(BA80,BC80)</f>
        <v>0</v>
      </c>
      <c r="Q80" s="84">
        <f t="shared" ca="1" si="23"/>
        <v>0</v>
      </c>
      <c r="R80" s="85">
        <f ca="1">IF('Invoer gegevens'!$C$17=E80,'Invoer gegevens'!$C$11,IF(C80=1,W79,0))</f>
        <v>0</v>
      </c>
      <c r="S80" s="86">
        <f t="shared" ca="1" si="20"/>
        <v>0</v>
      </c>
      <c r="T80" s="86">
        <f ca="1">(1-('Invoer gegevens'!$F$20/12))*R80*MIN(BC80,BA80)</f>
        <v>0</v>
      </c>
      <c r="U80" s="86">
        <f ca="1">IF(BD80&lt;1,IF(Reeksen!AD80&lt;=Reeksen!AE80,R80*Reeksen!C80,0),IF(BC80&gt;=BA80,0,IF(Reeksen!AD80&lt;=Reeksen!AE80,(BA80-BC80)*R80,0)))</f>
        <v>0</v>
      </c>
      <c r="V80" s="86">
        <f ca="1">IF(BD80&lt;1,IF(Reeksen!AD80&gt;Reeksen!AE80,R80*Reeksen!C80,0),IF(BC80&gt;=BA80,0,IF(Reeksen!AD80&gt;Reeksen!AE80,(BA80-BC80)*R80,0)))</f>
        <v>0</v>
      </c>
      <c r="W80" s="218">
        <f t="shared" ca="1" si="24"/>
        <v>0</v>
      </c>
      <c r="X80" s="98">
        <f ca="1">IF('Invoer gegevens'!$C$17=E80,'Invoer gegevens'!$C$10-'Invoer gegevens'!$C$11,IF(C80=1,AC79,0))</f>
        <v>0</v>
      </c>
      <c r="Y80" s="98">
        <f t="shared" ca="1" si="21"/>
        <v>0</v>
      </c>
      <c r="Z80" s="98">
        <f ca="1">(1-('Invoer gegevens'!$F$20/12))*X80*MIN(BA80,BC80)</f>
        <v>0</v>
      </c>
      <c r="AA80" s="98">
        <f ca="1">IF(BD80&lt;1,IF(Reeksen!AD80&lt;=Reeksen!AE80,X80*Reeksen!C80,0),IF(BC80&gt;=BA80,0,IF(Reeksen!AD80&lt;=Reeksen!AE80,(BA80-BC80)*X80,0)))</f>
        <v>0</v>
      </c>
      <c r="AB80" s="98">
        <f ca="1">IF(BD80&lt;1,IF(Reeksen!AD80&gt;Reeksen!AE80,X80*Reeksen!C80,0),IF(BC80&gt;=BA80,0,IF(Reeksen!AD80&gt;Reeksen!AE80,(BA80-BC80)*X80,0)))</f>
        <v>0</v>
      </c>
      <c r="AC80" s="99">
        <f t="shared" ca="1" si="25"/>
        <v>0</v>
      </c>
      <c r="AD80" s="98">
        <f ca="1">IF('Invoer gegevens'!$C$17=E80,R80,IF(C80=0,0,AE79))</f>
        <v>0</v>
      </c>
      <c r="AE80" s="98">
        <f t="shared" ca="1" si="26"/>
        <v>0</v>
      </c>
      <c r="AF80" s="98">
        <f ca="1">IF('Invoer gegevens'!$C$17=E80,X80,IF(C80=0,0,AG79))</f>
        <v>0</v>
      </c>
      <c r="AG80" s="98">
        <f t="shared" ca="1" si="27"/>
        <v>0</v>
      </c>
      <c r="AH80" s="66"/>
      <c r="AI80" s="71">
        <f ca="1">IF(C80=1,Reeksen!AI80*((F80+K80)/2)*12+Reeksen!AD80*((L80+Q80)/2)*12,0)</f>
        <v>0</v>
      </c>
      <c r="AJ80" s="71">
        <f ca="1">-AI80*'Invoer gegevens'!$F$28</f>
        <v>0</v>
      </c>
      <c r="AK80" s="71">
        <f t="shared" ca="1" si="28"/>
        <v>0</v>
      </c>
      <c r="AL80" s="71">
        <f ca="1">IF(C80=1,Reeksen!AL80*((F80-G80+F80)/2)*12+Reeksen!AM80*((L80-M80+L80)/2)*12,0)</f>
        <v>0</v>
      </c>
      <c r="AM80" s="71">
        <f ca="1">-AL80*'Invoer gegevens'!$F$31</f>
        <v>0</v>
      </c>
      <c r="AN80" s="71">
        <f t="shared" ca="1" si="29"/>
        <v>0</v>
      </c>
      <c r="AO80" s="71">
        <f ca="1">IF(C80=1,(H80+J80+N80+P80)*Reeksen!AN80,0)</f>
        <v>0</v>
      </c>
      <c r="AP80" s="71">
        <f ca="1">-IF(C80=1,(H80+J80+N80+P80)*'Hulp - basis'!$G$550*Reeksen!H80,0)</f>
        <v>0</v>
      </c>
      <c r="AQ80" s="71">
        <f ca="1">-IF(C80=1,(F80+K80+L80+Q80)/2*'Invoer gegevens'!$F$35*Reeksen!J80,0)*2</f>
        <v>0</v>
      </c>
      <c r="AR80" s="71">
        <f ca="1">IF(BD80&lt;1,-IF(C80=1,(G80*'Invoer gegevens'!$F$36)*Reeksen!J80,0),0)</f>
        <v>0</v>
      </c>
      <c r="AS80" s="71">
        <f ca="1">-IF(C80=1,(F80+K80+L80+Q80)/2*'Invoer gegevens'!$F$37*Reeksen!L80,0)</f>
        <v>0</v>
      </c>
      <c r="AT80" s="71">
        <f ca="1">-IF(C80=1,IF(E80='Invoer gegevens'!$C$17,'Invoer gegevens'!$C$11,AD80)*Reeksen!S80*'Invoer gegevens'!$C$18*Reeksen!P80,0)</f>
        <v>0</v>
      </c>
      <c r="AU80" s="71">
        <f ca="1">-IF(C80=1,(F80+K80+L80+Q80)/2*'Invoer gegevens'!$F$38*Reeksen!H80,0)</f>
        <v>0</v>
      </c>
      <c r="AV80" s="71">
        <f t="shared" si="16"/>
        <v>0</v>
      </c>
      <c r="AW80" s="71">
        <f t="shared" ca="1" si="30"/>
        <v>0</v>
      </c>
      <c r="AX80" s="71">
        <f ca="1">IF(E80&lt;'Invoer gegevens'!$C$17+15,0,IF(E80&gt;'Invoer gegevens'!$C$17+215,0,AW80))</f>
        <v>0</v>
      </c>
      <c r="AY80" s="71">
        <f ca="1">AX80/(1+'Invoer gegevens'!$F$18)^($AZ80-('Invoer gegevens'!$C$17-'Invoer gegevens'!$C$16))/(1+'Invoer gegevens'!$C$39)^('Invoer gegevens'!$C$17-'Invoer gegevens'!$C$16)</f>
        <v>0</v>
      </c>
      <c r="AZ80" s="68">
        <f ca="1">IF(E80-'Invoer gegevens'!$C$17-14.5&lt;0,0,E80-'Invoer gegevens'!$C$17-14.5)</f>
        <v>60.5</v>
      </c>
      <c r="BA80" s="109">
        <f ca="1">IFERROR(VLOOKUP(E80-15,Reeksen!$A$5:$D$234,2,FALSE),0)</f>
        <v>0</v>
      </c>
      <c r="BB80" s="109">
        <f ca="1">IFERROR(VLOOKUP(E80-15,Reeksen!$A$5:$D$234,3,FALSE),0)</f>
        <v>0</v>
      </c>
      <c r="BC80" s="109">
        <f ca="1">IFERROR(VLOOKUP(E80-15,Reeksen!$A$5:$D$234,4,FALSE),0)</f>
        <v>0</v>
      </c>
      <c r="BD80" s="67">
        <f ca="1">IF(E80-'Invoer gegevens'!$C$17&lt;15,0,1)</f>
        <v>1</v>
      </c>
    </row>
    <row r="81" spans="1:56" x14ac:dyDescent="0.25">
      <c r="A81" s="59"/>
      <c r="B81" s="70">
        <f t="shared" si="31"/>
        <v>77</v>
      </c>
      <c r="C81" s="67">
        <f ca="1">IF(E81-'Invoer gegevens'!$C$17&lt;0,0,1)</f>
        <v>1</v>
      </c>
      <c r="D81" s="68">
        <f t="shared" si="32"/>
        <v>76.5</v>
      </c>
      <c r="E81" s="108">
        <f ca="1">IF('Invoer gegevens'!$C$16="","",E80+1)</f>
        <v>2095</v>
      </c>
      <c r="F81" s="84">
        <f ca="1">IF('Invoer gegevens'!$C$17=E81,'Invoer gegevens'!$C$10,IF(C81=1,K80,0))</f>
        <v>0</v>
      </c>
      <c r="G81" s="96">
        <f ca="1">IF(BD81&lt;1,F81*Reeksen!C81,IF(C81&gt;=1,F81*BA81,0))</f>
        <v>0</v>
      </c>
      <c r="H81" s="84">
        <f ca="1">(1-('Invoer gegevens'!$F$20/12))*F81*MIN(BA81,BC81)</f>
        <v>0</v>
      </c>
      <c r="I81" s="84">
        <f t="shared" ca="1" si="17"/>
        <v>0</v>
      </c>
      <c r="J81" s="84">
        <f ca="1">('Invoer gegevens'!$F$20/12)*F80*MIN(BA81,BC81)</f>
        <v>0</v>
      </c>
      <c r="K81" s="97">
        <f t="shared" ca="1" si="22"/>
        <v>0</v>
      </c>
      <c r="L81" s="84">
        <f ca="1">IF('Invoer gegevens'!$C$17=E81,0,IF(C81=1,Q80,0))</f>
        <v>0</v>
      </c>
      <c r="M81" s="96">
        <f t="shared" ca="1" si="18"/>
        <v>0</v>
      </c>
      <c r="N81" s="84">
        <f ca="1">(1-('Invoer gegevens'!$F$20/12))*L81*MIN(BA81,BC81)</f>
        <v>0</v>
      </c>
      <c r="O81" s="84">
        <f t="shared" ca="1" si="19"/>
        <v>0</v>
      </c>
      <c r="P81" s="84">
        <f ca="1">('Invoer gegevens'!$F$20/12)*L80*MIN(BA81,BC81)</f>
        <v>0</v>
      </c>
      <c r="Q81" s="84">
        <f t="shared" ca="1" si="23"/>
        <v>0</v>
      </c>
      <c r="R81" s="85">
        <f ca="1">IF('Invoer gegevens'!$C$17=E81,'Invoer gegevens'!$C$11,IF(C81=1,W80,0))</f>
        <v>0</v>
      </c>
      <c r="S81" s="86">
        <f t="shared" ca="1" si="20"/>
        <v>0</v>
      </c>
      <c r="T81" s="86">
        <f ca="1">(1-('Invoer gegevens'!$F$20/12))*R81*MIN(BC81,BA81)</f>
        <v>0</v>
      </c>
      <c r="U81" s="86">
        <f ca="1">IF(BD81&lt;1,IF(Reeksen!AD81&lt;=Reeksen!AE81,R81*Reeksen!C81,0),IF(BC81&gt;=BA81,0,IF(Reeksen!AD81&lt;=Reeksen!AE81,(BA81-BC81)*R81,0)))</f>
        <v>0</v>
      </c>
      <c r="V81" s="86">
        <f ca="1">IF(BD81&lt;1,IF(Reeksen!AD81&gt;Reeksen!AE81,R81*Reeksen!C81,0),IF(BC81&gt;=BA81,0,IF(Reeksen!AD81&gt;Reeksen!AE81,(BA81-BC81)*R81,0)))</f>
        <v>0</v>
      </c>
      <c r="W81" s="218">
        <f t="shared" ca="1" si="24"/>
        <v>0</v>
      </c>
      <c r="X81" s="98">
        <f ca="1">IF('Invoer gegevens'!$C$17=E81,'Invoer gegevens'!$C$10-'Invoer gegevens'!$C$11,IF(C81=1,AC80,0))</f>
        <v>0</v>
      </c>
      <c r="Y81" s="98">
        <f t="shared" ca="1" si="21"/>
        <v>0</v>
      </c>
      <c r="Z81" s="98">
        <f ca="1">(1-('Invoer gegevens'!$F$20/12))*X81*MIN(BA81,BC81)</f>
        <v>0</v>
      </c>
      <c r="AA81" s="98">
        <f ca="1">IF(BD81&lt;1,IF(Reeksen!AD81&lt;=Reeksen!AE81,X81*Reeksen!C81,0),IF(BC81&gt;=BA81,0,IF(Reeksen!AD81&lt;=Reeksen!AE81,(BA81-BC81)*X81,0)))</f>
        <v>0</v>
      </c>
      <c r="AB81" s="98">
        <f ca="1">IF(BD81&lt;1,IF(Reeksen!AD81&gt;Reeksen!AE81,X81*Reeksen!C81,0),IF(BC81&gt;=BA81,0,IF(Reeksen!AD81&gt;Reeksen!AE81,(BA81-BC81)*X81,0)))</f>
        <v>0</v>
      </c>
      <c r="AC81" s="99">
        <f t="shared" ca="1" si="25"/>
        <v>0</v>
      </c>
      <c r="AD81" s="98">
        <f ca="1">IF('Invoer gegevens'!$C$17=E81,R81,IF(C81=0,0,AE80))</f>
        <v>0</v>
      </c>
      <c r="AE81" s="98">
        <f t="shared" ca="1" si="26"/>
        <v>0</v>
      </c>
      <c r="AF81" s="98">
        <f ca="1">IF('Invoer gegevens'!$C$17=E81,X81,IF(C81=0,0,AG80))</f>
        <v>0</v>
      </c>
      <c r="AG81" s="98">
        <f t="shared" ca="1" si="27"/>
        <v>0</v>
      </c>
      <c r="AH81" s="66"/>
      <c r="AI81" s="71">
        <f ca="1">IF(C81=1,Reeksen!AI81*((F81+K81)/2)*12+Reeksen!AD81*((L81+Q81)/2)*12,0)</f>
        <v>0</v>
      </c>
      <c r="AJ81" s="71">
        <f ca="1">-AI81*'Invoer gegevens'!$F$28</f>
        <v>0</v>
      </c>
      <c r="AK81" s="71">
        <f t="shared" ca="1" si="28"/>
        <v>0</v>
      </c>
      <c r="AL81" s="71">
        <f ca="1">IF(C81=1,Reeksen!AL81*((F81-G81+F81)/2)*12+Reeksen!AM81*((L81-M81+L81)/2)*12,0)</f>
        <v>0</v>
      </c>
      <c r="AM81" s="71">
        <f ca="1">-AL81*'Invoer gegevens'!$F$31</f>
        <v>0</v>
      </c>
      <c r="AN81" s="71">
        <f t="shared" ca="1" si="29"/>
        <v>0</v>
      </c>
      <c r="AO81" s="71">
        <f ca="1">IF(C81=1,(H81+J81+N81+P81)*Reeksen!AN81,0)</f>
        <v>0</v>
      </c>
      <c r="AP81" s="71">
        <f ca="1">-IF(C81=1,(H81+J81+N81+P81)*'Hulp - basis'!$G$550*Reeksen!H81,0)</f>
        <v>0</v>
      </c>
      <c r="AQ81" s="71">
        <f ca="1">-IF(C81=1,(F81+K81+L81+Q81)/2*'Invoer gegevens'!$F$35*Reeksen!J81,0)*2</f>
        <v>0</v>
      </c>
      <c r="AR81" s="71">
        <f ca="1">IF(BD81&lt;1,-IF(C81=1,(G81*'Invoer gegevens'!$F$36)*Reeksen!J81,0),0)</f>
        <v>0</v>
      </c>
      <c r="AS81" s="71">
        <f ca="1">-IF(C81=1,(F81+K81+L81+Q81)/2*'Invoer gegevens'!$F$37*Reeksen!L81,0)</f>
        <v>0</v>
      </c>
      <c r="AT81" s="71">
        <f ca="1">-IF(C81=1,IF(E81='Invoer gegevens'!$C$17,'Invoer gegevens'!$C$11,AD81)*Reeksen!S81*'Invoer gegevens'!$C$18*Reeksen!P81,0)</f>
        <v>0</v>
      </c>
      <c r="AU81" s="71">
        <f ca="1">-IF(C81=1,(F81+K81+L81+Q81)/2*'Invoer gegevens'!$F$38*Reeksen!H81,0)</f>
        <v>0</v>
      </c>
      <c r="AV81" s="71">
        <f t="shared" si="16"/>
        <v>0</v>
      </c>
      <c r="AW81" s="71">
        <f t="shared" ca="1" si="30"/>
        <v>0</v>
      </c>
      <c r="AX81" s="71">
        <f ca="1">IF(E81&lt;'Invoer gegevens'!$C$17+15,0,IF(E81&gt;'Invoer gegevens'!$C$17+215,0,AW81))</f>
        <v>0</v>
      </c>
      <c r="AY81" s="71">
        <f ca="1">AX81/(1+'Invoer gegevens'!$F$18)^($AZ81-('Invoer gegevens'!$C$17-'Invoer gegevens'!$C$16))/(1+'Invoer gegevens'!$C$39)^('Invoer gegevens'!$C$17-'Invoer gegevens'!$C$16)</f>
        <v>0</v>
      </c>
      <c r="AZ81" s="68">
        <f ca="1">IF(E81-'Invoer gegevens'!$C$17-14.5&lt;0,0,E81-'Invoer gegevens'!$C$17-14.5)</f>
        <v>61.5</v>
      </c>
      <c r="BA81" s="109">
        <f ca="1">IFERROR(VLOOKUP(E81-15,Reeksen!$A$5:$D$234,2,FALSE),0)</f>
        <v>0</v>
      </c>
      <c r="BB81" s="109">
        <f ca="1">IFERROR(VLOOKUP(E81-15,Reeksen!$A$5:$D$234,3,FALSE),0)</f>
        <v>0</v>
      </c>
      <c r="BC81" s="109">
        <f ca="1">IFERROR(VLOOKUP(E81-15,Reeksen!$A$5:$D$234,4,FALSE),0)</f>
        <v>0</v>
      </c>
      <c r="BD81" s="67">
        <f ca="1">IF(E81-'Invoer gegevens'!$C$17&lt;15,0,1)</f>
        <v>1</v>
      </c>
    </row>
    <row r="82" spans="1:56" x14ac:dyDescent="0.25">
      <c r="A82" s="59"/>
      <c r="B82" s="70">
        <f t="shared" si="31"/>
        <v>78</v>
      </c>
      <c r="C82" s="67">
        <f ca="1">IF(E82-'Invoer gegevens'!$C$17&lt;0,0,1)</f>
        <v>1</v>
      </c>
      <c r="D82" s="68">
        <f t="shared" si="32"/>
        <v>77.5</v>
      </c>
      <c r="E82" s="108">
        <f ca="1">IF('Invoer gegevens'!$C$16="","",E81+1)</f>
        <v>2096</v>
      </c>
      <c r="F82" s="84">
        <f ca="1">IF('Invoer gegevens'!$C$17=E82,'Invoer gegevens'!$C$10,IF(C82=1,K81,0))</f>
        <v>0</v>
      </c>
      <c r="G82" s="96">
        <f ca="1">IF(BD82&lt;1,F82*Reeksen!C82,IF(C82&gt;=1,F82*BA82,0))</f>
        <v>0</v>
      </c>
      <c r="H82" s="84">
        <f ca="1">(1-('Invoer gegevens'!$F$20/12))*F82*MIN(BA82,BC82)</f>
        <v>0</v>
      </c>
      <c r="I82" s="84">
        <f t="shared" ca="1" si="17"/>
        <v>0</v>
      </c>
      <c r="J82" s="84">
        <f ca="1">('Invoer gegevens'!$F$20/12)*F81*MIN(BA82,BC82)</f>
        <v>0</v>
      </c>
      <c r="K82" s="97">
        <f t="shared" ca="1" si="22"/>
        <v>0</v>
      </c>
      <c r="L82" s="84">
        <f ca="1">IF('Invoer gegevens'!$C$17=E82,0,IF(C82=1,Q81,0))</f>
        <v>0</v>
      </c>
      <c r="M82" s="96">
        <f t="shared" ca="1" si="18"/>
        <v>0</v>
      </c>
      <c r="N82" s="84">
        <f ca="1">(1-('Invoer gegevens'!$F$20/12))*L82*MIN(BA82,BC82)</f>
        <v>0</v>
      </c>
      <c r="O82" s="84">
        <f t="shared" ca="1" si="19"/>
        <v>0</v>
      </c>
      <c r="P82" s="84">
        <f ca="1">('Invoer gegevens'!$F$20/12)*L81*MIN(BA82,BC82)</f>
        <v>0</v>
      </c>
      <c r="Q82" s="84">
        <f t="shared" ca="1" si="23"/>
        <v>0</v>
      </c>
      <c r="R82" s="85">
        <f ca="1">IF('Invoer gegevens'!$C$17=E82,'Invoer gegevens'!$C$11,IF(C82=1,W81,0))</f>
        <v>0</v>
      </c>
      <c r="S82" s="86">
        <f t="shared" ca="1" si="20"/>
        <v>0</v>
      </c>
      <c r="T82" s="86">
        <f ca="1">(1-('Invoer gegevens'!$F$20/12))*R82*MIN(BC82,BA82)</f>
        <v>0</v>
      </c>
      <c r="U82" s="86">
        <f ca="1">IF(BD82&lt;1,IF(Reeksen!AD82&lt;=Reeksen!AE82,R82*Reeksen!C82,0),IF(BC82&gt;=BA82,0,IF(Reeksen!AD82&lt;=Reeksen!AE82,(BA82-BC82)*R82,0)))</f>
        <v>0</v>
      </c>
      <c r="V82" s="86">
        <f ca="1">IF(BD82&lt;1,IF(Reeksen!AD82&gt;Reeksen!AE82,R82*Reeksen!C82,0),IF(BC82&gt;=BA82,0,IF(Reeksen!AD82&gt;Reeksen!AE82,(BA82-BC82)*R82,0)))</f>
        <v>0</v>
      </c>
      <c r="W82" s="218">
        <f t="shared" ca="1" si="24"/>
        <v>0</v>
      </c>
      <c r="X82" s="98">
        <f ca="1">IF('Invoer gegevens'!$C$17=E82,'Invoer gegevens'!$C$10-'Invoer gegevens'!$C$11,IF(C82=1,AC81,0))</f>
        <v>0</v>
      </c>
      <c r="Y82" s="98">
        <f t="shared" ca="1" si="21"/>
        <v>0</v>
      </c>
      <c r="Z82" s="98">
        <f ca="1">(1-('Invoer gegevens'!$F$20/12))*X82*MIN(BA82,BC82)</f>
        <v>0</v>
      </c>
      <c r="AA82" s="98">
        <f ca="1">IF(BD82&lt;1,IF(Reeksen!AD82&lt;=Reeksen!AE82,X82*Reeksen!C82,0),IF(BC82&gt;=BA82,0,IF(Reeksen!AD82&lt;=Reeksen!AE82,(BA82-BC82)*X82,0)))</f>
        <v>0</v>
      </c>
      <c r="AB82" s="98">
        <f ca="1">IF(BD82&lt;1,IF(Reeksen!AD82&gt;Reeksen!AE82,X82*Reeksen!C82,0),IF(BC82&gt;=BA82,0,IF(Reeksen!AD82&gt;Reeksen!AE82,(BA82-BC82)*X82,0)))</f>
        <v>0</v>
      </c>
      <c r="AC82" s="99">
        <f t="shared" ca="1" si="25"/>
        <v>0</v>
      </c>
      <c r="AD82" s="98">
        <f ca="1">IF('Invoer gegevens'!$C$17=E82,R82,IF(C82=0,0,AE81))</f>
        <v>0</v>
      </c>
      <c r="AE82" s="98">
        <f t="shared" ca="1" si="26"/>
        <v>0</v>
      </c>
      <c r="AF82" s="98">
        <f ca="1">IF('Invoer gegevens'!$C$17=E82,X82,IF(C82=0,0,AG81))</f>
        <v>0</v>
      </c>
      <c r="AG82" s="98">
        <f t="shared" ca="1" si="27"/>
        <v>0</v>
      </c>
      <c r="AH82" s="66"/>
      <c r="AI82" s="71">
        <f ca="1">IF(C82=1,Reeksen!AI82*((F82+K82)/2)*12+Reeksen!AD82*((L82+Q82)/2)*12,0)</f>
        <v>0</v>
      </c>
      <c r="AJ82" s="71">
        <f ca="1">-AI82*'Invoer gegevens'!$F$28</f>
        <v>0</v>
      </c>
      <c r="AK82" s="71">
        <f t="shared" ca="1" si="28"/>
        <v>0</v>
      </c>
      <c r="AL82" s="71">
        <f ca="1">IF(C82=1,Reeksen!AL82*((F82-G82+F82)/2)*12+Reeksen!AM82*((L82-M82+L82)/2)*12,0)</f>
        <v>0</v>
      </c>
      <c r="AM82" s="71">
        <f ca="1">-AL82*'Invoer gegevens'!$F$31</f>
        <v>0</v>
      </c>
      <c r="AN82" s="71">
        <f t="shared" ca="1" si="29"/>
        <v>0</v>
      </c>
      <c r="AO82" s="71">
        <f ca="1">IF(C82=1,(H82+J82+N82+P82)*Reeksen!AN82,0)</f>
        <v>0</v>
      </c>
      <c r="AP82" s="71">
        <f ca="1">-IF(C82=1,(H82+J82+N82+P82)*'Hulp - basis'!$G$550*Reeksen!H82,0)</f>
        <v>0</v>
      </c>
      <c r="AQ82" s="71">
        <f ca="1">-IF(C82=1,(F82+K82+L82+Q82)/2*'Invoer gegevens'!$F$35*Reeksen!J82,0)*2</f>
        <v>0</v>
      </c>
      <c r="AR82" s="71">
        <f ca="1">IF(BD82&lt;1,-IF(C82=1,(G82*'Invoer gegevens'!$F$36)*Reeksen!J82,0),0)</f>
        <v>0</v>
      </c>
      <c r="AS82" s="71">
        <f ca="1">-IF(C82=1,(F82+K82+L82+Q82)/2*'Invoer gegevens'!$F$37*Reeksen!L82,0)</f>
        <v>0</v>
      </c>
      <c r="AT82" s="71">
        <f ca="1">-IF(C82=1,IF(E82='Invoer gegevens'!$C$17,'Invoer gegevens'!$C$11,AD82)*Reeksen!S82*'Invoer gegevens'!$C$18*Reeksen!P82,0)</f>
        <v>0</v>
      </c>
      <c r="AU82" s="71">
        <f ca="1">-IF(C82=1,(F82+K82+L82+Q82)/2*'Invoer gegevens'!$F$38*Reeksen!H82,0)</f>
        <v>0</v>
      </c>
      <c r="AV82" s="71">
        <f t="shared" si="16"/>
        <v>0</v>
      </c>
      <c r="AW82" s="71">
        <f t="shared" ca="1" si="30"/>
        <v>0</v>
      </c>
      <c r="AX82" s="71">
        <f ca="1">IF(E82&lt;'Invoer gegevens'!$C$17+15,0,IF(E82&gt;'Invoer gegevens'!$C$17+215,0,AW82))</f>
        <v>0</v>
      </c>
      <c r="AY82" s="71">
        <f ca="1">AX82/(1+'Invoer gegevens'!$F$18)^($AZ82-('Invoer gegevens'!$C$17-'Invoer gegevens'!$C$16))/(1+'Invoer gegevens'!$C$39)^('Invoer gegevens'!$C$17-'Invoer gegevens'!$C$16)</f>
        <v>0</v>
      </c>
      <c r="AZ82" s="68">
        <f ca="1">IF(E82-'Invoer gegevens'!$C$17-14.5&lt;0,0,E82-'Invoer gegevens'!$C$17-14.5)</f>
        <v>62.5</v>
      </c>
      <c r="BA82" s="109">
        <f ca="1">IFERROR(VLOOKUP(E82-15,Reeksen!$A$5:$D$234,2,FALSE),0)</f>
        <v>0</v>
      </c>
      <c r="BB82" s="109">
        <f ca="1">IFERROR(VLOOKUP(E82-15,Reeksen!$A$5:$D$234,3,FALSE),0)</f>
        <v>0</v>
      </c>
      <c r="BC82" s="109">
        <f ca="1">IFERROR(VLOOKUP(E82-15,Reeksen!$A$5:$D$234,4,FALSE),0)</f>
        <v>0</v>
      </c>
      <c r="BD82" s="67">
        <f ca="1">IF(E82-'Invoer gegevens'!$C$17&lt;15,0,1)</f>
        <v>1</v>
      </c>
    </row>
    <row r="83" spans="1:56" x14ac:dyDescent="0.25">
      <c r="A83" s="59"/>
      <c r="B83" s="70">
        <f t="shared" si="31"/>
        <v>79</v>
      </c>
      <c r="C83" s="67">
        <f ca="1">IF(E83-'Invoer gegevens'!$C$17&lt;0,0,1)</f>
        <v>1</v>
      </c>
      <c r="D83" s="68">
        <f t="shared" si="32"/>
        <v>78.5</v>
      </c>
      <c r="E83" s="108">
        <f ca="1">IF('Invoer gegevens'!$C$16="","",E82+1)</f>
        <v>2097</v>
      </c>
      <c r="F83" s="84">
        <f ca="1">IF('Invoer gegevens'!$C$17=E83,'Invoer gegevens'!$C$10,IF(C83=1,K82,0))</f>
        <v>0</v>
      </c>
      <c r="G83" s="96">
        <f ca="1">IF(BD83&lt;1,F83*Reeksen!C83,IF(C83&gt;=1,F83*BA83,0))</f>
        <v>0</v>
      </c>
      <c r="H83" s="84">
        <f ca="1">(1-('Invoer gegevens'!$F$20/12))*F83*MIN(BA83,BC83)</f>
        <v>0</v>
      </c>
      <c r="I83" s="84">
        <f t="shared" ca="1" si="17"/>
        <v>0</v>
      </c>
      <c r="J83" s="84">
        <f ca="1">('Invoer gegevens'!$F$20/12)*F82*MIN(BA83,BC83)</f>
        <v>0</v>
      </c>
      <c r="K83" s="97">
        <f t="shared" ca="1" si="22"/>
        <v>0</v>
      </c>
      <c r="L83" s="84">
        <f ca="1">IF('Invoer gegevens'!$C$17=E83,0,IF(C83=1,Q82,0))</f>
        <v>0</v>
      </c>
      <c r="M83" s="96">
        <f t="shared" ca="1" si="18"/>
        <v>0</v>
      </c>
      <c r="N83" s="84">
        <f ca="1">(1-('Invoer gegevens'!$F$20/12))*L83*MIN(BA83,BC83)</f>
        <v>0</v>
      </c>
      <c r="O83" s="84">
        <f t="shared" ca="1" si="19"/>
        <v>0</v>
      </c>
      <c r="P83" s="84">
        <f ca="1">('Invoer gegevens'!$F$20/12)*L82*MIN(BA83,BC83)</f>
        <v>0</v>
      </c>
      <c r="Q83" s="84">
        <f t="shared" ca="1" si="23"/>
        <v>0</v>
      </c>
      <c r="R83" s="85">
        <f ca="1">IF('Invoer gegevens'!$C$17=E83,'Invoer gegevens'!$C$11,IF(C83=1,W82,0))</f>
        <v>0</v>
      </c>
      <c r="S83" s="86">
        <f t="shared" ca="1" si="20"/>
        <v>0</v>
      </c>
      <c r="T83" s="86">
        <f ca="1">(1-('Invoer gegevens'!$F$20/12))*R83*MIN(BC83,BA83)</f>
        <v>0</v>
      </c>
      <c r="U83" s="86">
        <f ca="1">IF(BD83&lt;1,IF(Reeksen!AD83&lt;=Reeksen!AE83,R83*Reeksen!C83,0),IF(BC83&gt;=BA83,0,IF(Reeksen!AD83&lt;=Reeksen!AE83,(BA83-BC83)*R83,0)))</f>
        <v>0</v>
      </c>
      <c r="V83" s="86">
        <f ca="1">IF(BD83&lt;1,IF(Reeksen!AD83&gt;Reeksen!AE83,R83*Reeksen!C83,0),IF(BC83&gt;=BA83,0,IF(Reeksen!AD83&gt;Reeksen!AE83,(BA83-BC83)*R83,0)))</f>
        <v>0</v>
      </c>
      <c r="W83" s="218">
        <f t="shared" ca="1" si="24"/>
        <v>0</v>
      </c>
      <c r="X83" s="98">
        <f ca="1">IF('Invoer gegevens'!$C$17=E83,'Invoer gegevens'!$C$10-'Invoer gegevens'!$C$11,IF(C83=1,AC82,0))</f>
        <v>0</v>
      </c>
      <c r="Y83" s="98">
        <f t="shared" ca="1" si="21"/>
        <v>0</v>
      </c>
      <c r="Z83" s="98">
        <f ca="1">(1-('Invoer gegevens'!$F$20/12))*X83*MIN(BA83,BC83)</f>
        <v>0</v>
      </c>
      <c r="AA83" s="98">
        <f ca="1">IF(BD83&lt;1,IF(Reeksen!AD83&lt;=Reeksen!AE83,X83*Reeksen!C83,0),IF(BC83&gt;=BA83,0,IF(Reeksen!AD83&lt;=Reeksen!AE83,(BA83-BC83)*X83,0)))</f>
        <v>0</v>
      </c>
      <c r="AB83" s="98">
        <f ca="1">IF(BD83&lt;1,IF(Reeksen!AD83&gt;Reeksen!AE83,X83*Reeksen!C83,0),IF(BC83&gt;=BA83,0,IF(Reeksen!AD83&gt;Reeksen!AE83,(BA83-BC83)*X83,0)))</f>
        <v>0</v>
      </c>
      <c r="AC83" s="99">
        <f t="shared" ca="1" si="25"/>
        <v>0</v>
      </c>
      <c r="AD83" s="98">
        <f ca="1">IF('Invoer gegevens'!$C$17=E83,R83,IF(C83=0,0,AE82))</f>
        <v>0</v>
      </c>
      <c r="AE83" s="98">
        <f t="shared" ca="1" si="26"/>
        <v>0</v>
      </c>
      <c r="AF83" s="98">
        <f ca="1">IF('Invoer gegevens'!$C$17=E83,X83,IF(C83=0,0,AG82))</f>
        <v>0</v>
      </c>
      <c r="AG83" s="98">
        <f t="shared" ca="1" si="27"/>
        <v>0</v>
      </c>
      <c r="AH83" s="66"/>
      <c r="AI83" s="71">
        <f ca="1">IF(C83=1,Reeksen!AI83*((F83+K83)/2)*12+Reeksen!AD83*((L83+Q83)/2)*12,0)</f>
        <v>0</v>
      </c>
      <c r="AJ83" s="71">
        <f ca="1">-AI83*'Invoer gegevens'!$F$28</f>
        <v>0</v>
      </c>
      <c r="AK83" s="71">
        <f t="shared" ca="1" si="28"/>
        <v>0</v>
      </c>
      <c r="AL83" s="71">
        <f ca="1">IF(C83=1,Reeksen!AL83*((F83-G83+F83)/2)*12+Reeksen!AM83*((L83-M83+L83)/2)*12,0)</f>
        <v>0</v>
      </c>
      <c r="AM83" s="71">
        <f ca="1">-AL83*'Invoer gegevens'!$F$31</f>
        <v>0</v>
      </c>
      <c r="AN83" s="71">
        <f t="shared" ca="1" si="29"/>
        <v>0</v>
      </c>
      <c r="AO83" s="71">
        <f ca="1">IF(C83=1,(H83+J83+N83+P83)*Reeksen!AN83,0)</f>
        <v>0</v>
      </c>
      <c r="AP83" s="71">
        <f ca="1">-IF(C83=1,(H83+J83+N83+P83)*'Hulp - basis'!$G$550*Reeksen!H83,0)</f>
        <v>0</v>
      </c>
      <c r="AQ83" s="71">
        <f ca="1">-IF(C83=1,(F83+K83+L83+Q83)/2*'Invoer gegevens'!$F$35*Reeksen!J83,0)*2</f>
        <v>0</v>
      </c>
      <c r="AR83" s="71">
        <f ca="1">IF(BD83&lt;1,-IF(C83=1,(G83*'Invoer gegevens'!$F$36)*Reeksen!J83,0),0)</f>
        <v>0</v>
      </c>
      <c r="AS83" s="71">
        <f ca="1">-IF(C83=1,(F83+K83+L83+Q83)/2*'Invoer gegevens'!$F$37*Reeksen!L83,0)</f>
        <v>0</v>
      </c>
      <c r="AT83" s="71">
        <f ca="1">-IF(C83=1,IF(E83='Invoer gegevens'!$C$17,'Invoer gegevens'!$C$11,AD83)*Reeksen!S83*'Invoer gegevens'!$C$18*Reeksen!P83,0)</f>
        <v>0</v>
      </c>
      <c r="AU83" s="71">
        <f ca="1">-IF(C83=1,(F83+K83+L83+Q83)/2*'Invoer gegevens'!$F$38*Reeksen!H83,0)</f>
        <v>0</v>
      </c>
      <c r="AV83" s="71">
        <f t="shared" si="16"/>
        <v>0</v>
      </c>
      <c r="AW83" s="71">
        <f t="shared" ca="1" si="30"/>
        <v>0</v>
      </c>
      <c r="AX83" s="71">
        <f ca="1">IF(E83&lt;'Invoer gegevens'!$C$17+15,0,IF(E83&gt;'Invoer gegevens'!$C$17+215,0,AW83))</f>
        <v>0</v>
      </c>
      <c r="AY83" s="71">
        <f ca="1">AX83/(1+'Invoer gegevens'!$F$18)^($AZ83-('Invoer gegevens'!$C$17-'Invoer gegevens'!$C$16))/(1+'Invoer gegevens'!$C$39)^('Invoer gegevens'!$C$17-'Invoer gegevens'!$C$16)</f>
        <v>0</v>
      </c>
      <c r="AZ83" s="68">
        <f ca="1">IF(E83-'Invoer gegevens'!$C$17-14.5&lt;0,0,E83-'Invoer gegevens'!$C$17-14.5)</f>
        <v>63.5</v>
      </c>
      <c r="BA83" s="109">
        <f ca="1">IFERROR(VLOOKUP(E83-15,Reeksen!$A$5:$D$234,2,FALSE),0)</f>
        <v>0</v>
      </c>
      <c r="BB83" s="109">
        <f ca="1">IFERROR(VLOOKUP(E83-15,Reeksen!$A$5:$D$234,3,FALSE),0)</f>
        <v>0</v>
      </c>
      <c r="BC83" s="109">
        <f ca="1">IFERROR(VLOOKUP(E83-15,Reeksen!$A$5:$D$234,4,FALSE),0)</f>
        <v>0</v>
      </c>
      <c r="BD83" s="67">
        <f ca="1">IF(E83-'Invoer gegevens'!$C$17&lt;15,0,1)</f>
        <v>1</v>
      </c>
    </row>
    <row r="84" spans="1:56" x14ac:dyDescent="0.25">
      <c r="A84" s="59"/>
      <c r="B84" s="70">
        <f t="shared" si="31"/>
        <v>80</v>
      </c>
      <c r="C84" s="67">
        <f ca="1">IF(E84-'Invoer gegevens'!$C$17&lt;0,0,1)</f>
        <v>1</v>
      </c>
      <c r="D84" s="68">
        <f t="shared" si="32"/>
        <v>79.5</v>
      </c>
      <c r="E84" s="108">
        <f ca="1">IF('Invoer gegevens'!$C$16="","",E83+1)</f>
        <v>2098</v>
      </c>
      <c r="F84" s="84">
        <f ca="1">IF('Invoer gegevens'!$C$17=E84,'Invoer gegevens'!$C$10,IF(C84=1,K83,0))</f>
        <v>0</v>
      </c>
      <c r="G84" s="96">
        <f ca="1">IF(BD84&lt;1,F84*Reeksen!C84,IF(C84&gt;=1,F84*BA84,0))</f>
        <v>0</v>
      </c>
      <c r="H84" s="84">
        <f ca="1">(1-('Invoer gegevens'!$F$20/12))*F84*MIN(BA84,BC84)</f>
        <v>0</v>
      </c>
      <c r="I84" s="84">
        <f t="shared" ca="1" si="17"/>
        <v>0</v>
      </c>
      <c r="J84" s="84">
        <f ca="1">('Invoer gegevens'!$F$20/12)*F83*MIN(BA84,BC84)</f>
        <v>0</v>
      </c>
      <c r="K84" s="97">
        <f t="shared" ca="1" si="22"/>
        <v>0</v>
      </c>
      <c r="L84" s="84">
        <f ca="1">IF('Invoer gegevens'!$C$17=E84,0,IF(C84=1,Q83,0))</f>
        <v>0</v>
      </c>
      <c r="M84" s="96">
        <f t="shared" ca="1" si="18"/>
        <v>0</v>
      </c>
      <c r="N84" s="84">
        <f ca="1">(1-('Invoer gegevens'!$F$20/12))*L84*MIN(BA84,BC84)</f>
        <v>0</v>
      </c>
      <c r="O84" s="84">
        <f t="shared" ca="1" si="19"/>
        <v>0</v>
      </c>
      <c r="P84" s="84">
        <f ca="1">('Invoer gegevens'!$F$20/12)*L83*MIN(BA84,BC84)</f>
        <v>0</v>
      </c>
      <c r="Q84" s="84">
        <f t="shared" ca="1" si="23"/>
        <v>0</v>
      </c>
      <c r="R84" s="85">
        <f ca="1">IF('Invoer gegevens'!$C$17=E84,'Invoer gegevens'!$C$11,IF(C84=1,W83,0))</f>
        <v>0</v>
      </c>
      <c r="S84" s="86">
        <f t="shared" ca="1" si="20"/>
        <v>0</v>
      </c>
      <c r="T84" s="86">
        <f ca="1">(1-('Invoer gegevens'!$F$20/12))*R84*MIN(BC84,BA84)</f>
        <v>0</v>
      </c>
      <c r="U84" s="86">
        <f ca="1">IF(BD84&lt;1,IF(Reeksen!AD84&lt;=Reeksen!AE84,R84*Reeksen!C84,0),IF(BC84&gt;=BA84,0,IF(Reeksen!AD84&lt;=Reeksen!AE84,(BA84-BC84)*R84,0)))</f>
        <v>0</v>
      </c>
      <c r="V84" s="86">
        <f ca="1">IF(BD84&lt;1,IF(Reeksen!AD84&gt;Reeksen!AE84,R84*Reeksen!C84,0),IF(BC84&gt;=BA84,0,IF(Reeksen!AD84&gt;Reeksen!AE84,(BA84-BC84)*R84,0)))</f>
        <v>0</v>
      </c>
      <c r="W84" s="218">
        <f t="shared" ca="1" si="24"/>
        <v>0</v>
      </c>
      <c r="X84" s="98">
        <f ca="1">IF('Invoer gegevens'!$C$17=E84,'Invoer gegevens'!$C$10-'Invoer gegevens'!$C$11,IF(C84=1,AC83,0))</f>
        <v>0</v>
      </c>
      <c r="Y84" s="98">
        <f t="shared" ca="1" si="21"/>
        <v>0</v>
      </c>
      <c r="Z84" s="98">
        <f ca="1">(1-('Invoer gegevens'!$F$20/12))*X84*MIN(BA84,BC84)</f>
        <v>0</v>
      </c>
      <c r="AA84" s="98">
        <f ca="1">IF(BD84&lt;1,IF(Reeksen!AD84&lt;=Reeksen!AE84,X84*Reeksen!C84,0),IF(BC84&gt;=BA84,0,IF(Reeksen!AD84&lt;=Reeksen!AE84,(BA84-BC84)*X84,0)))</f>
        <v>0</v>
      </c>
      <c r="AB84" s="98">
        <f ca="1">IF(BD84&lt;1,IF(Reeksen!AD84&gt;Reeksen!AE84,X84*Reeksen!C84,0),IF(BC84&gt;=BA84,0,IF(Reeksen!AD84&gt;Reeksen!AE84,(BA84-BC84)*X84,0)))</f>
        <v>0</v>
      </c>
      <c r="AC84" s="99">
        <f t="shared" ca="1" si="25"/>
        <v>0</v>
      </c>
      <c r="AD84" s="98">
        <f ca="1">IF('Invoer gegevens'!$C$17=E84,R84,IF(C84=0,0,AE83))</f>
        <v>0</v>
      </c>
      <c r="AE84" s="98">
        <f t="shared" ca="1" si="26"/>
        <v>0</v>
      </c>
      <c r="AF84" s="98">
        <f ca="1">IF('Invoer gegevens'!$C$17=E84,X84,IF(C84=0,0,AG83))</f>
        <v>0</v>
      </c>
      <c r="AG84" s="98">
        <f t="shared" ca="1" si="27"/>
        <v>0</v>
      </c>
      <c r="AH84" s="66"/>
      <c r="AI84" s="71">
        <f ca="1">IF(C84=1,Reeksen!AI84*((F84+K84)/2)*12+Reeksen!AD84*((L84+Q84)/2)*12,0)</f>
        <v>0</v>
      </c>
      <c r="AJ84" s="71">
        <f ca="1">-AI84*'Invoer gegevens'!$F$28</f>
        <v>0</v>
      </c>
      <c r="AK84" s="71">
        <f t="shared" ca="1" si="28"/>
        <v>0</v>
      </c>
      <c r="AL84" s="71">
        <f ca="1">IF(C84=1,Reeksen!AL84*((F84-G84+F84)/2)*12+Reeksen!AM84*((L84-M84+L84)/2)*12,0)</f>
        <v>0</v>
      </c>
      <c r="AM84" s="71">
        <f ca="1">-AL84*'Invoer gegevens'!$F$31</f>
        <v>0</v>
      </c>
      <c r="AN84" s="71">
        <f t="shared" ca="1" si="29"/>
        <v>0</v>
      </c>
      <c r="AO84" s="71">
        <f ca="1">IF(C84=1,(H84+J84+N84+P84)*Reeksen!AN84,0)</f>
        <v>0</v>
      </c>
      <c r="AP84" s="71">
        <f ca="1">-IF(C84=1,(H84+J84+N84+P84)*'Hulp - basis'!$G$550*Reeksen!H84,0)</f>
        <v>0</v>
      </c>
      <c r="AQ84" s="71">
        <f ca="1">-IF(C84=1,(F84+K84+L84+Q84)/2*'Invoer gegevens'!$F$35*Reeksen!J84,0)*2</f>
        <v>0</v>
      </c>
      <c r="AR84" s="71">
        <f ca="1">IF(BD84&lt;1,-IF(C84=1,(G84*'Invoer gegevens'!$F$36)*Reeksen!J84,0),0)</f>
        <v>0</v>
      </c>
      <c r="AS84" s="71">
        <f ca="1">-IF(C84=1,(F84+K84+L84+Q84)/2*'Invoer gegevens'!$F$37*Reeksen!L84,0)</f>
        <v>0</v>
      </c>
      <c r="AT84" s="71">
        <f ca="1">-IF(C84=1,IF(E84='Invoer gegevens'!$C$17,'Invoer gegevens'!$C$11,AD84)*Reeksen!S84*'Invoer gegevens'!$C$18*Reeksen!P84,0)</f>
        <v>0</v>
      </c>
      <c r="AU84" s="71">
        <f ca="1">-IF(C84=1,(F84+K84+L84+Q84)/2*'Invoer gegevens'!$F$38*Reeksen!H84,0)</f>
        <v>0</v>
      </c>
      <c r="AV84" s="71">
        <f t="shared" si="16"/>
        <v>0</v>
      </c>
      <c r="AW84" s="71">
        <f t="shared" ca="1" si="30"/>
        <v>0</v>
      </c>
      <c r="AX84" s="71">
        <f ca="1">IF(E84&lt;'Invoer gegevens'!$C$17+15,0,IF(E84&gt;'Invoer gegevens'!$C$17+215,0,AW84))</f>
        <v>0</v>
      </c>
      <c r="AY84" s="71">
        <f ca="1">AX84/(1+'Invoer gegevens'!$F$18)^($AZ84-('Invoer gegevens'!$C$17-'Invoer gegevens'!$C$16))/(1+'Invoer gegevens'!$C$39)^('Invoer gegevens'!$C$17-'Invoer gegevens'!$C$16)</f>
        <v>0</v>
      </c>
      <c r="AZ84" s="68">
        <f ca="1">IF(E84-'Invoer gegevens'!$C$17-14.5&lt;0,0,E84-'Invoer gegevens'!$C$17-14.5)</f>
        <v>64.5</v>
      </c>
      <c r="BA84" s="109">
        <f ca="1">IFERROR(VLOOKUP(E84-15,Reeksen!$A$5:$D$234,2,FALSE),0)</f>
        <v>0</v>
      </c>
      <c r="BB84" s="109">
        <f ca="1">IFERROR(VLOOKUP(E84-15,Reeksen!$A$5:$D$234,3,FALSE),0)</f>
        <v>0</v>
      </c>
      <c r="BC84" s="109">
        <f ca="1">IFERROR(VLOOKUP(E84-15,Reeksen!$A$5:$D$234,4,FALSE),0)</f>
        <v>0</v>
      </c>
      <c r="BD84" s="67">
        <f ca="1">IF(E84-'Invoer gegevens'!$C$17&lt;15,0,1)</f>
        <v>1</v>
      </c>
    </row>
    <row r="85" spans="1:56" x14ac:dyDescent="0.25">
      <c r="A85" s="59"/>
      <c r="B85" s="70">
        <f t="shared" si="31"/>
        <v>81</v>
      </c>
      <c r="C85" s="67">
        <f ca="1">IF(E85-'Invoer gegevens'!$C$17&lt;0,0,1)</f>
        <v>1</v>
      </c>
      <c r="D85" s="68">
        <f t="shared" si="32"/>
        <v>80.5</v>
      </c>
      <c r="E85" s="108">
        <f ca="1">IF('Invoer gegevens'!$C$16="","",E84+1)</f>
        <v>2099</v>
      </c>
      <c r="F85" s="84">
        <f ca="1">IF('Invoer gegevens'!$C$17=E85,'Invoer gegevens'!$C$10,IF(C85=1,K84,0))</f>
        <v>0</v>
      </c>
      <c r="G85" s="96">
        <f ca="1">IF(BD85&lt;1,F85*Reeksen!C85,IF(C85&gt;=1,F85*BA85,0))</f>
        <v>0</v>
      </c>
      <c r="H85" s="84">
        <f ca="1">(1-('Invoer gegevens'!$F$20/12))*F85*MIN(BA85,BC85)</f>
        <v>0</v>
      </c>
      <c r="I85" s="84">
        <f t="shared" ca="1" si="17"/>
        <v>0</v>
      </c>
      <c r="J85" s="84">
        <f ca="1">('Invoer gegevens'!$F$20/12)*F84*MIN(BA85,BC85)</f>
        <v>0</v>
      </c>
      <c r="K85" s="97">
        <f t="shared" ca="1" si="22"/>
        <v>0</v>
      </c>
      <c r="L85" s="84">
        <f ca="1">IF('Invoer gegevens'!$C$17=E85,0,IF(C85=1,Q84,0))</f>
        <v>0</v>
      </c>
      <c r="M85" s="96">
        <f t="shared" ca="1" si="18"/>
        <v>0</v>
      </c>
      <c r="N85" s="84">
        <f ca="1">(1-('Invoer gegevens'!$F$20/12))*L85*MIN(BA85,BC85)</f>
        <v>0</v>
      </c>
      <c r="O85" s="84">
        <f t="shared" ca="1" si="19"/>
        <v>0</v>
      </c>
      <c r="P85" s="84">
        <f ca="1">('Invoer gegevens'!$F$20/12)*L84*MIN(BA85,BC85)</f>
        <v>0</v>
      </c>
      <c r="Q85" s="84">
        <f t="shared" ca="1" si="23"/>
        <v>0</v>
      </c>
      <c r="R85" s="85">
        <f ca="1">IF('Invoer gegevens'!$C$17=E85,'Invoer gegevens'!$C$11,IF(C85=1,W84,0))</f>
        <v>0</v>
      </c>
      <c r="S85" s="86">
        <f t="shared" ca="1" si="20"/>
        <v>0</v>
      </c>
      <c r="T85" s="86">
        <f ca="1">(1-('Invoer gegevens'!$F$20/12))*R85*MIN(BC85,BA85)</f>
        <v>0</v>
      </c>
      <c r="U85" s="86">
        <f ca="1">IF(BD85&lt;1,IF(Reeksen!AD85&lt;=Reeksen!AE85,R85*Reeksen!C85,0),IF(BC85&gt;=BA85,0,IF(Reeksen!AD85&lt;=Reeksen!AE85,(BA85-BC85)*R85,0)))</f>
        <v>0</v>
      </c>
      <c r="V85" s="86">
        <f ca="1">IF(BD85&lt;1,IF(Reeksen!AD85&gt;Reeksen!AE85,R85*Reeksen!C85,0),IF(BC85&gt;=BA85,0,IF(Reeksen!AD85&gt;Reeksen!AE85,(BA85-BC85)*R85,0)))</f>
        <v>0</v>
      </c>
      <c r="W85" s="218">
        <f t="shared" ca="1" si="24"/>
        <v>0</v>
      </c>
      <c r="X85" s="98">
        <f ca="1">IF('Invoer gegevens'!$C$17=E85,'Invoer gegevens'!$C$10-'Invoer gegevens'!$C$11,IF(C85=1,AC84,0))</f>
        <v>0</v>
      </c>
      <c r="Y85" s="98">
        <f t="shared" ca="1" si="21"/>
        <v>0</v>
      </c>
      <c r="Z85" s="98">
        <f ca="1">(1-('Invoer gegevens'!$F$20/12))*X85*MIN(BA85,BC85)</f>
        <v>0</v>
      </c>
      <c r="AA85" s="98">
        <f ca="1">IF(BD85&lt;1,IF(Reeksen!AD85&lt;=Reeksen!AE85,X85*Reeksen!C85,0),IF(BC85&gt;=BA85,0,IF(Reeksen!AD85&lt;=Reeksen!AE85,(BA85-BC85)*X85,0)))</f>
        <v>0</v>
      </c>
      <c r="AB85" s="98">
        <f ca="1">IF(BD85&lt;1,IF(Reeksen!AD85&gt;Reeksen!AE85,X85*Reeksen!C85,0),IF(BC85&gt;=BA85,0,IF(Reeksen!AD85&gt;Reeksen!AE85,(BA85-BC85)*X85,0)))</f>
        <v>0</v>
      </c>
      <c r="AC85" s="99">
        <f t="shared" ca="1" si="25"/>
        <v>0</v>
      </c>
      <c r="AD85" s="98">
        <f ca="1">IF('Invoer gegevens'!$C$17=E85,R85,IF(C85=0,0,AE84))</f>
        <v>0</v>
      </c>
      <c r="AE85" s="98">
        <f t="shared" ca="1" si="26"/>
        <v>0</v>
      </c>
      <c r="AF85" s="98">
        <f ca="1">IF('Invoer gegevens'!$C$17=E85,X85,IF(C85=0,0,AG84))</f>
        <v>0</v>
      </c>
      <c r="AG85" s="98">
        <f t="shared" ca="1" si="27"/>
        <v>0</v>
      </c>
      <c r="AH85" s="66"/>
      <c r="AI85" s="71">
        <f ca="1">IF(C85=1,Reeksen!AI85*((F85+K85)/2)*12+Reeksen!AD85*((L85+Q85)/2)*12,0)</f>
        <v>0</v>
      </c>
      <c r="AJ85" s="71">
        <f ca="1">-AI85*'Invoer gegevens'!$F$28</f>
        <v>0</v>
      </c>
      <c r="AK85" s="71">
        <f t="shared" ca="1" si="28"/>
        <v>0</v>
      </c>
      <c r="AL85" s="71">
        <f ca="1">IF(C85=1,Reeksen!AL85*((F85-G85+F85)/2)*12+Reeksen!AM85*((L85-M85+L85)/2)*12,0)</f>
        <v>0</v>
      </c>
      <c r="AM85" s="71">
        <f ca="1">-AL85*'Invoer gegevens'!$F$31</f>
        <v>0</v>
      </c>
      <c r="AN85" s="71">
        <f t="shared" ca="1" si="29"/>
        <v>0</v>
      </c>
      <c r="AO85" s="71">
        <f ca="1">IF(C85=1,(H85+J85+N85+P85)*Reeksen!AN85,0)</f>
        <v>0</v>
      </c>
      <c r="AP85" s="71">
        <f ca="1">-IF(C85=1,(H85+J85+N85+P85)*'Hulp - basis'!$G$550*Reeksen!H85,0)</f>
        <v>0</v>
      </c>
      <c r="AQ85" s="71">
        <f ca="1">-IF(C85=1,(F85+K85+L85+Q85)/2*'Invoer gegevens'!$F$35*Reeksen!J85,0)*2</f>
        <v>0</v>
      </c>
      <c r="AR85" s="71">
        <f ca="1">IF(BD85&lt;1,-IF(C85=1,(G85*'Invoer gegevens'!$F$36)*Reeksen!J85,0),0)</f>
        <v>0</v>
      </c>
      <c r="AS85" s="71">
        <f ca="1">-IF(C85=1,(F85+K85+L85+Q85)/2*'Invoer gegevens'!$F$37*Reeksen!L85,0)</f>
        <v>0</v>
      </c>
      <c r="AT85" s="71">
        <f ca="1">-IF(C85=1,IF(E85='Invoer gegevens'!$C$17,'Invoer gegevens'!$C$11,AD85)*Reeksen!S85*'Invoer gegevens'!$C$18*Reeksen!P85,0)</f>
        <v>0</v>
      </c>
      <c r="AU85" s="71">
        <f ca="1">-IF(C85=1,(F85+K85+L85+Q85)/2*'Invoer gegevens'!$F$38*Reeksen!H85,0)</f>
        <v>0</v>
      </c>
      <c r="AV85" s="71">
        <f t="shared" ref="AV85:AV148" si="33">AV84</f>
        <v>0</v>
      </c>
      <c r="AW85" s="71">
        <f t="shared" ca="1" si="30"/>
        <v>0</v>
      </c>
      <c r="AX85" s="71">
        <f ca="1">IF(E85&lt;'Invoer gegevens'!$C$17+15,0,IF(E85&gt;'Invoer gegevens'!$C$17+215,0,AW85))</f>
        <v>0</v>
      </c>
      <c r="AY85" s="71">
        <f ca="1">AX85/(1+'Invoer gegevens'!$F$18)^($AZ85-('Invoer gegevens'!$C$17-'Invoer gegevens'!$C$16))/(1+'Invoer gegevens'!$C$39)^('Invoer gegevens'!$C$17-'Invoer gegevens'!$C$16)</f>
        <v>0</v>
      </c>
      <c r="AZ85" s="68">
        <f ca="1">IF(E85-'Invoer gegevens'!$C$17-14.5&lt;0,0,E85-'Invoer gegevens'!$C$17-14.5)</f>
        <v>65.5</v>
      </c>
      <c r="BA85" s="109">
        <f ca="1">IFERROR(VLOOKUP(E85-15,Reeksen!$A$5:$D$234,2,FALSE),0)</f>
        <v>0</v>
      </c>
      <c r="BB85" s="109">
        <f ca="1">IFERROR(VLOOKUP(E85-15,Reeksen!$A$5:$D$234,3,FALSE),0)</f>
        <v>0</v>
      </c>
      <c r="BC85" s="109">
        <f ca="1">IFERROR(VLOOKUP(E85-15,Reeksen!$A$5:$D$234,4,FALSE),0)</f>
        <v>0</v>
      </c>
      <c r="BD85" s="67">
        <f ca="1">IF(E85-'Invoer gegevens'!$C$17&lt;15,0,1)</f>
        <v>1</v>
      </c>
    </row>
    <row r="86" spans="1:56" x14ac:dyDescent="0.25">
      <c r="A86" s="59"/>
      <c r="B86" s="70">
        <f t="shared" si="31"/>
        <v>82</v>
      </c>
      <c r="C86" s="67">
        <f ca="1">IF(E86-'Invoer gegevens'!$C$17&lt;0,0,1)</f>
        <v>1</v>
      </c>
      <c r="D86" s="68">
        <f t="shared" si="32"/>
        <v>81.5</v>
      </c>
      <c r="E86" s="108">
        <f ca="1">IF('Invoer gegevens'!$C$16="","",E85+1)</f>
        <v>2100</v>
      </c>
      <c r="F86" s="84">
        <f ca="1">IF('Invoer gegevens'!$C$17=E86,'Invoer gegevens'!$C$10,IF(C86=1,K85,0))</f>
        <v>0</v>
      </c>
      <c r="G86" s="96">
        <f ca="1">IF(BD86&lt;1,F86*Reeksen!C86,IF(C86&gt;=1,F86*BA86,0))</f>
        <v>0</v>
      </c>
      <c r="H86" s="84">
        <f ca="1">(1-('Invoer gegevens'!$F$20/12))*F86*MIN(BA86,BC86)</f>
        <v>0</v>
      </c>
      <c r="I86" s="84">
        <f t="shared" ca="1" si="17"/>
        <v>0</v>
      </c>
      <c r="J86" s="84">
        <f ca="1">('Invoer gegevens'!$F$20/12)*F85*MIN(BA86,BC86)</f>
        <v>0</v>
      </c>
      <c r="K86" s="97">
        <f t="shared" ca="1" si="22"/>
        <v>0</v>
      </c>
      <c r="L86" s="84">
        <f ca="1">IF('Invoer gegevens'!$C$17=E86,0,IF(C86=1,Q85,0))</f>
        <v>0</v>
      </c>
      <c r="M86" s="96">
        <f t="shared" ca="1" si="18"/>
        <v>0</v>
      </c>
      <c r="N86" s="84">
        <f ca="1">(1-('Invoer gegevens'!$F$20/12))*L86*MIN(BA86,BC86)</f>
        <v>0</v>
      </c>
      <c r="O86" s="84">
        <f t="shared" ca="1" si="19"/>
        <v>0</v>
      </c>
      <c r="P86" s="84">
        <f ca="1">('Invoer gegevens'!$F$20/12)*L85*MIN(BA86,BC86)</f>
        <v>0</v>
      </c>
      <c r="Q86" s="84">
        <f t="shared" ca="1" si="23"/>
        <v>0</v>
      </c>
      <c r="R86" s="85">
        <f ca="1">IF('Invoer gegevens'!$C$17=E86,'Invoer gegevens'!$C$11,IF(C86=1,W85,0))</f>
        <v>0</v>
      </c>
      <c r="S86" s="86">
        <f t="shared" ca="1" si="20"/>
        <v>0</v>
      </c>
      <c r="T86" s="86">
        <f ca="1">(1-('Invoer gegevens'!$F$20/12))*R86*MIN(BC86,BA86)</f>
        <v>0</v>
      </c>
      <c r="U86" s="86">
        <f ca="1">IF(BD86&lt;1,IF(Reeksen!AD86&lt;=Reeksen!AE86,R86*Reeksen!C86,0),IF(BC86&gt;=BA86,0,IF(Reeksen!AD86&lt;=Reeksen!AE86,(BA86-BC86)*R86,0)))</f>
        <v>0</v>
      </c>
      <c r="V86" s="86">
        <f ca="1">IF(BD86&lt;1,IF(Reeksen!AD86&gt;Reeksen!AE86,R86*Reeksen!C86,0),IF(BC86&gt;=BA86,0,IF(Reeksen!AD86&gt;Reeksen!AE86,(BA86-BC86)*R86,0)))</f>
        <v>0</v>
      </c>
      <c r="W86" s="218">
        <f t="shared" ca="1" si="24"/>
        <v>0</v>
      </c>
      <c r="X86" s="98">
        <f ca="1">IF('Invoer gegevens'!$C$17=E86,'Invoer gegevens'!$C$10-'Invoer gegevens'!$C$11,IF(C86=1,AC85,0))</f>
        <v>0</v>
      </c>
      <c r="Y86" s="98">
        <f t="shared" ca="1" si="21"/>
        <v>0</v>
      </c>
      <c r="Z86" s="98">
        <f ca="1">(1-('Invoer gegevens'!$F$20/12))*X86*MIN(BA86,BC86)</f>
        <v>0</v>
      </c>
      <c r="AA86" s="98">
        <f ca="1">IF(BD86&lt;1,IF(Reeksen!AD86&lt;=Reeksen!AE86,X86*Reeksen!C86,0),IF(BC86&gt;=BA86,0,IF(Reeksen!AD86&lt;=Reeksen!AE86,(BA86-BC86)*X86,0)))</f>
        <v>0</v>
      </c>
      <c r="AB86" s="98">
        <f ca="1">IF(BD86&lt;1,IF(Reeksen!AD86&gt;Reeksen!AE86,X86*Reeksen!C86,0),IF(BC86&gt;=BA86,0,IF(Reeksen!AD86&gt;Reeksen!AE86,(BA86-BC86)*X86,0)))</f>
        <v>0</v>
      </c>
      <c r="AC86" s="99">
        <f t="shared" ca="1" si="25"/>
        <v>0</v>
      </c>
      <c r="AD86" s="98">
        <f ca="1">IF('Invoer gegevens'!$C$17=E86,R86,IF(C86=0,0,AE85))</f>
        <v>0</v>
      </c>
      <c r="AE86" s="98">
        <f t="shared" ca="1" si="26"/>
        <v>0</v>
      </c>
      <c r="AF86" s="98">
        <f ca="1">IF('Invoer gegevens'!$C$17=E86,X86,IF(C86=0,0,AG85))</f>
        <v>0</v>
      </c>
      <c r="AG86" s="98">
        <f t="shared" ca="1" si="27"/>
        <v>0</v>
      </c>
      <c r="AH86" s="66"/>
      <c r="AI86" s="71">
        <f ca="1">IF(C86=1,Reeksen!AI86*((F86+K86)/2)*12+Reeksen!AD86*((L86+Q86)/2)*12,0)</f>
        <v>0</v>
      </c>
      <c r="AJ86" s="71">
        <f ca="1">-AI86*'Invoer gegevens'!$F$28</f>
        <v>0</v>
      </c>
      <c r="AK86" s="71">
        <f t="shared" ca="1" si="28"/>
        <v>0</v>
      </c>
      <c r="AL86" s="71">
        <f ca="1">IF(C86=1,Reeksen!AL86*((F86-G86+F86)/2)*12+Reeksen!AM86*((L86-M86+L86)/2)*12,0)</f>
        <v>0</v>
      </c>
      <c r="AM86" s="71">
        <f ca="1">-AL86*'Invoer gegevens'!$F$31</f>
        <v>0</v>
      </c>
      <c r="AN86" s="71">
        <f t="shared" ca="1" si="29"/>
        <v>0</v>
      </c>
      <c r="AO86" s="71">
        <f ca="1">IF(C86=1,(H86+J86+N86+P86)*Reeksen!AN86,0)</f>
        <v>0</v>
      </c>
      <c r="AP86" s="71">
        <f ca="1">-IF(C86=1,(H86+J86+N86+P86)*'Hulp - basis'!$G$550*Reeksen!H86,0)</f>
        <v>0</v>
      </c>
      <c r="AQ86" s="71">
        <f ca="1">-IF(C86=1,(F86+K86+L86+Q86)/2*'Invoer gegevens'!$F$35*Reeksen!J86,0)*2</f>
        <v>0</v>
      </c>
      <c r="AR86" s="71">
        <f ca="1">IF(BD86&lt;1,-IF(C86=1,(G86*'Invoer gegevens'!$F$36)*Reeksen!J86,0),0)</f>
        <v>0</v>
      </c>
      <c r="AS86" s="71">
        <f ca="1">-IF(C86=1,(F86+K86+L86+Q86)/2*'Invoer gegevens'!$F$37*Reeksen!L86,0)</f>
        <v>0</v>
      </c>
      <c r="AT86" s="71">
        <f ca="1">-IF(C86=1,IF(E86='Invoer gegevens'!$C$17,'Invoer gegevens'!$C$11,AD86)*Reeksen!S86*'Invoer gegevens'!$C$18*Reeksen!P86,0)</f>
        <v>0</v>
      </c>
      <c r="AU86" s="71">
        <f ca="1">-IF(C86=1,(F86+K86+L86+Q86)/2*'Invoer gegevens'!$F$38*Reeksen!H86,0)</f>
        <v>0</v>
      </c>
      <c r="AV86" s="71">
        <f t="shared" si="33"/>
        <v>0</v>
      </c>
      <c r="AW86" s="71">
        <f t="shared" ca="1" si="30"/>
        <v>0</v>
      </c>
      <c r="AX86" s="71">
        <f ca="1">IF(E86&lt;'Invoer gegevens'!$C$17+15,0,IF(E86&gt;'Invoer gegevens'!$C$17+215,0,AW86))</f>
        <v>0</v>
      </c>
      <c r="AY86" s="71">
        <f ca="1">AX86/(1+'Invoer gegevens'!$F$18)^($AZ86-('Invoer gegevens'!$C$17-'Invoer gegevens'!$C$16))/(1+'Invoer gegevens'!$C$39)^('Invoer gegevens'!$C$17-'Invoer gegevens'!$C$16)</f>
        <v>0</v>
      </c>
      <c r="AZ86" s="68">
        <f ca="1">IF(E86-'Invoer gegevens'!$C$17-14.5&lt;0,0,E86-'Invoer gegevens'!$C$17-14.5)</f>
        <v>66.5</v>
      </c>
      <c r="BA86" s="109">
        <f ca="1">IFERROR(VLOOKUP(E86-15,Reeksen!$A$5:$D$234,2,FALSE),0)</f>
        <v>0</v>
      </c>
      <c r="BB86" s="109">
        <f ca="1">IFERROR(VLOOKUP(E86-15,Reeksen!$A$5:$D$234,3,FALSE),0)</f>
        <v>0</v>
      </c>
      <c r="BC86" s="109">
        <f ca="1">IFERROR(VLOOKUP(E86-15,Reeksen!$A$5:$D$234,4,FALSE),0)</f>
        <v>0</v>
      </c>
      <c r="BD86" s="67">
        <f ca="1">IF(E86-'Invoer gegevens'!$C$17&lt;15,0,1)</f>
        <v>1</v>
      </c>
    </row>
    <row r="87" spans="1:56" x14ac:dyDescent="0.25">
      <c r="A87" s="59"/>
      <c r="B87" s="70">
        <f t="shared" si="31"/>
        <v>83</v>
      </c>
      <c r="C87" s="67">
        <f ca="1">IF(E87-'Invoer gegevens'!$C$17&lt;0,0,1)</f>
        <v>1</v>
      </c>
      <c r="D87" s="68">
        <f t="shared" si="32"/>
        <v>82.5</v>
      </c>
      <c r="E87" s="108">
        <f ca="1">IF('Invoer gegevens'!$C$16="","",E86+1)</f>
        <v>2101</v>
      </c>
      <c r="F87" s="84">
        <f ca="1">IF('Invoer gegevens'!$C$17=E87,'Invoer gegevens'!$C$10,IF(C87=1,K86,0))</f>
        <v>0</v>
      </c>
      <c r="G87" s="96">
        <f ca="1">IF(BD87&lt;1,F87*Reeksen!C87,IF(C87&gt;=1,F87*BA87,0))</f>
        <v>0</v>
      </c>
      <c r="H87" s="84">
        <f ca="1">(1-('Invoer gegevens'!$F$20/12))*F87*MIN(BA87,BC87)</f>
        <v>0</v>
      </c>
      <c r="I87" s="84">
        <f t="shared" ca="1" si="17"/>
        <v>0</v>
      </c>
      <c r="J87" s="84">
        <f ca="1">('Invoer gegevens'!$F$20/12)*F86*MIN(BA87,BC87)</f>
        <v>0</v>
      </c>
      <c r="K87" s="97">
        <f t="shared" ca="1" si="22"/>
        <v>0</v>
      </c>
      <c r="L87" s="84">
        <f ca="1">IF('Invoer gegevens'!$C$17=E87,0,IF(C87=1,Q86,0))</f>
        <v>0</v>
      </c>
      <c r="M87" s="96">
        <f t="shared" ca="1" si="18"/>
        <v>0</v>
      </c>
      <c r="N87" s="84">
        <f ca="1">(1-('Invoer gegevens'!$F$20/12))*L87*MIN(BA87,BC87)</f>
        <v>0</v>
      </c>
      <c r="O87" s="84">
        <f t="shared" ca="1" si="19"/>
        <v>0</v>
      </c>
      <c r="P87" s="84">
        <f ca="1">('Invoer gegevens'!$F$20/12)*L86*MIN(BA87,BC87)</f>
        <v>0</v>
      </c>
      <c r="Q87" s="84">
        <f t="shared" ca="1" si="23"/>
        <v>0</v>
      </c>
      <c r="R87" s="85">
        <f ca="1">IF('Invoer gegevens'!$C$17=E87,'Invoer gegevens'!$C$11,IF(C87=1,W86,0))</f>
        <v>0</v>
      </c>
      <c r="S87" s="86">
        <f t="shared" ca="1" si="20"/>
        <v>0</v>
      </c>
      <c r="T87" s="86">
        <f ca="1">(1-('Invoer gegevens'!$F$20/12))*R87*MIN(BC87,BA87)</f>
        <v>0</v>
      </c>
      <c r="U87" s="86">
        <f ca="1">IF(BD87&lt;1,IF(Reeksen!AD87&lt;=Reeksen!AE87,R87*Reeksen!C87,0),IF(BC87&gt;=BA87,0,IF(Reeksen!AD87&lt;=Reeksen!AE87,(BA87-BC87)*R87,0)))</f>
        <v>0</v>
      </c>
      <c r="V87" s="86">
        <f ca="1">IF(BD87&lt;1,IF(Reeksen!AD87&gt;Reeksen!AE87,R87*Reeksen!C87,0),IF(BC87&gt;=BA87,0,IF(Reeksen!AD87&gt;Reeksen!AE87,(BA87-BC87)*R87,0)))</f>
        <v>0</v>
      </c>
      <c r="W87" s="218">
        <f t="shared" ca="1" si="24"/>
        <v>0</v>
      </c>
      <c r="X87" s="98">
        <f ca="1">IF('Invoer gegevens'!$C$17=E87,'Invoer gegevens'!$C$10-'Invoer gegevens'!$C$11,IF(C87=1,AC86,0))</f>
        <v>0</v>
      </c>
      <c r="Y87" s="98">
        <f t="shared" ca="1" si="21"/>
        <v>0</v>
      </c>
      <c r="Z87" s="98">
        <f ca="1">(1-('Invoer gegevens'!$F$20/12))*X87*MIN(BA87,BC87)</f>
        <v>0</v>
      </c>
      <c r="AA87" s="98">
        <f ca="1">IF(BD87&lt;1,IF(Reeksen!AD87&lt;=Reeksen!AE87,X87*Reeksen!C87,0),IF(BC87&gt;=BA87,0,IF(Reeksen!AD87&lt;=Reeksen!AE87,(BA87-BC87)*X87,0)))</f>
        <v>0</v>
      </c>
      <c r="AB87" s="98">
        <f ca="1">IF(BD87&lt;1,IF(Reeksen!AD87&gt;Reeksen!AE87,X87*Reeksen!C87,0),IF(BC87&gt;=BA87,0,IF(Reeksen!AD87&gt;Reeksen!AE87,(BA87-BC87)*X87,0)))</f>
        <v>0</v>
      </c>
      <c r="AC87" s="99">
        <f t="shared" ca="1" si="25"/>
        <v>0</v>
      </c>
      <c r="AD87" s="98">
        <f ca="1">IF('Invoer gegevens'!$C$17=E87,R87,IF(C87=0,0,AE86))</f>
        <v>0</v>
      </c>
      <c r="AE87" s="98">
        <f t="shared" ca="1" si="26"/>
        <v>0</v>
      </c>
      <c r="AF87" s="98">
        <f ca="1">IF('Invoer gegevens'!$C$17=E87,X87,IF(C87=0,0,AG86))</f>
        <v>0</v>
      </c>
      <c r="AG87" s="98">
        <f t="shared" ca="1" si="27"/>
        <v>0</v>
      </c>
      <c r="AH87" s="66"/>
      <c r="AI87" s="71">
        <f ca="1">IF(C87=1,Reeksen!AI87*((F87+K87)/2)*12+Reeksen!AD87*((L87+Q87)/2)*12,0)</f>
        <v>0</v>
      </c>
      <c r="AJ87" s="71">
        <f ca="1">-AI87*'Invoer gegevens'!$F$28</f>
        <v>0</v>
      </c>
      <c r="AK87" s="71">
        <f t="shared" ca="1" si="28"/>
        <v>0</v>
      </c>
      <c r="AL87" s="71">
        <f ca="1">IF(C87=1,Reeksen!AL87*((F87-G87+F87)/2)*12+Reeksen!AM87*((L87-M87+L87)/2)*12,0)</f>
        <v>0</v>
      </c>
      <c r="AM87" s="71">
        <f ca="1">-AL87*'Invoer gegevens'!$F$31</f>
        <v>0</v>
      </c>
      <c r="AN87" s="71">
        <f t="shared" ca="1" si="29"/>
        <v>0</v>
      </c>
      <c r="AO87" s="71">
        <f ca="1">IF(C87=1,(H87+J87+N87+P87)*Reeksen!AN87,0)</f>
        <v>0</v>
      </c>
      <c r="AP87" s="71">
        <f ca="1">-IF(C87=1,(H87+J87+N87+P87)*'Hulp - basis'!$G$550*Reeksen!H87,0)</f>
        <v>0</v>
      </c>
      <c r="AQ87" s="71">
        <f ca="1">-IF(C87=1,(F87+K87+L87+Q87)/2*'Invoer gegevens'!$F$35*Reeksen!J87,0)*2</f>
        <v>0</v>
      </c>
      <c r="AR87" s="71">
        <f ca="1">IF(BD87&lt;1,-IF(C87=1,(G87*'Invoer gegevens'!$F$36)*Reeksen!J87,0),0)</f>
        <v>0</v>
      </c>
      <c r="AS87" s="71">
        <f ca="1">-IF(C87=1,(F87+K87+L87+Q87)/2*'Invoer gegevens'!$F$37*Reeksen!L87,0)</f>
        <v>0</v>
      </c>
      <c r="AT87" s="71">
        <f ca="1">-IF(C87=1,IF(E87='Invoer gegevens'!$C$17,'Invoer gegevens'!$C$11,AD87)*Reeksen!S87*'Invoer gegevens'!$C$18*Reeksen!P87,0)</f>
        <v>0</v>
      </c>
      <c r="AU87" s="71">
        <f ca="1">-IF(C87=1,(F87+K87+L87+Q87)/2*'Invoer gegevens'!$F$38*Reeksen!H87,0)</f>
        <v>0</v>
      </c>
      <c r="AV87" s="71">
        <f t="shared" si="33"/>
        <v>0</v>
      </c>
      <c r="AW87" s="71">
        <f t="shared" ca="1" si="30"/>
        <v>0</v>
      </c>
      <c r="AX87" s="71">
        <f ca="1">IF(E87&lt;'Invoer gegevens'!$C$17+15,0,IF(E87&gt;'Invoer gegevens'!$C$17+215,0,AW87))</f>
        <v>0</v>
      </c>
      <c r="AY87" s="71">
        <f ca="1">AX87/(1+'Invoer gegevens'!$F$18)^($AZ87-('Invoer gegevens'!$C$17-'Invoer gegevens'!$C$16))/(1+'Invoer gegevens'!$C$39)^('Invoer gegevens'!$C$17-'Invoer gegevens'!$C$16)</f>
        <v>0</v>
      </c>
      <c r="AZ87" s="68">
        <f ca="1">IF(E87-'Invoer gegevens'!$C$17-14.5&lt;0,0,E87-'Invoer gegevens'!$C$17-14.5)</f>
        <v>67.5</v>
      </c>
      <c r="BA87" s="109">
        <f ca="1">IFERROR(VLOOKUP(E87-15,Reeksen!$A$5:$D$234,2,FALSE),0)</f>
        <v>0</v>
      </c>
      <c r="BB87" s="109">
        <f ca="1">IFERROR(VLOOKUP(E87-15,Reeksen!$A$5:$D$234,3,FALSE),0)</f>
        <v>0</v>
      </c>
      <c r="BC87" s="109">
        <f ca="1">IFERROR(VLOOKUP(E87-15,Reeksen!$A$5:$D$234,4,FALSE),0)</f>
        <v>0</v>
      </c>
      <c r="BD87" s="67">
        <f ca="1">IF(E87-'Invoer gegevens'!$C$17&lt;15,0,1)</f>
        <v>1</v>
      </c>
    </row>
    <row r="88" spans="1:56" x14ac:dyDescent="0.25">
      <c r="A88" s="59"/>
      <c r="B88" s="70">
        <f t="shared" si="31"/>
        <v>84</v>
      </c>
      <c r="C88" s="67">
        <f ca="1">IF(E88-'Invoer gegevens'!$C$17&lt;0,0,1)</f>
        <v>1</v>
      </c>
      <c r="D88" s="68">
        <f t="shared" si="32"/>
        <v>83.5</v>
      </c>
      <c r="E88" s="108">
        <f ca="1">IF('Invoer gegevens'!$C$16="","",E87+1)</f>
        <v>2102</v>
      </c>
      <c r="F88" s="84">
        <f ca="1">IF('Invoer gegevens'!$C$17=E88,'Invoer gegevens'!$C$10,IF(C88=1,K87,0))</f>
        <v>0</v>
      </c>
      <c r="G88" s="96">
        <f ca="1">IF(BD88&lt;1,F88*Reeksen!C88,IF(C88&gt;=1,F88*BA88,0))</f>
        <v>0</v>
      </c>
      <c r="H88" s="84">
        <f ca="1">(1-('Invoer gegevens'!$F$20/12))*F88*MIN(BA88,BC88)</f>
        <v>0</v>
      </c>
      <c r="I88" s="84">
        <f t="shared" ca="1" si="17"/>
        <v>0</v>
      </c>
      <c r="J88" s="84">
        <f ca="1">('Invoer gegevens'!$F$20/12)*F87*MIN(BA88,BC88)</f>
        <v>0</v>
      </c>
      <c r="K88" s="97">
        <f t="shared" ca="1" si="22"/>
        <v>0</v>
      </c>
      <c r="L88" s="84">
        <f ca="1">IF('Invoer gegevens'!$C$17=E88,0,IF(C88=1,Q87,0))</f>
        <v>0</v>
      </c>
      <c r="M88" s="96">
        <f t="shared" ca="1" si="18"/>
        <v>0</v>
      </c>
      <c r="N88" s="84">
        <f ca="1">(1-('Invoer gegevens'!$F$20/12))*L88*MIN(BA88,BC88)</f>
        <v>0</v>
      </c>
      <c r="O88" s="84">
        <f t="shared" ca="1" si="19"/>
        <v>0</v>
      </c>
      <c r="P88" s="84">
        <f ca="1">('Invoer gegevens'!$F$20/12)*L87*MIN(BA88,BC88)</f>
        <v>0</v>
      </c>
      <c r="Q88" s="84">
        <f t="shared" ca="1" si="23"/>
        <v>0</v>
      </c>
      <c r="R88" s="85">
        <f ca="1">IF('Invoer gegevens'!$C$17=E88,'Invoer gegevens'!$C$11,IF(C88=1,W87,0))</f>
        <v>0</v>
      </c>
      <c r="S88" s="86">
        <f t="shared" ca="1" si="20"/>
        <v>0</v>
      </c>
      <c r="T88" s="86">
        <f ca="1">(1-('Invoer gegevens'!$F$20/12))*R88*MIN(BC88,BA88)</f>
        <v>0</v>
      </c>
      <c r="U88" s="86">
        <f ca="1">IF(BD88&lt;1,IF(Reeksen!AD88&lt;=Reeksen!AE88,R88*Reeksen!C88,0),IF(BC88&gt;=BA88,0,IF(Reeksen!AD88&lt;=Reeksen!AE88,(BA88-BC88)*R88,0)))</f>
        <v>0</v>
      </c>
      <c r="V88" s="86">
        <f ca="1">IF(BD88&lt;1,IF(Reeksen!AD88&gt;Reeksen!AE88,R88*Reeksen!C88,0),IF(BC88&gt;=BA88,0,IF(Reeksen!AD88&gt;Reeksen!AE88,(BA88-BC88)*R88,0)))</f>
        <v>0</v>
      </c>
      <c r="W88" s="218">
        <f t="shared" ca="1" si="24"/>
        <v>0</v>
      </c>
      <c r="X88" s="98">
        <f ca="1">IF('Invoer gegevens'!$C$17=E88,'Invoer gegevens'!$C$10-'Invoer gegevens'!$C$11,IF(C88=1,AC87,0))</f>
        <v>0</v>
      </c>
      <c r="Y88" s="98">
        <f t="shared" ca="1" si="21"/>
        <v>0</v>
      </c>
      <c r="Z88" s="98">
        <f ca="1">(1-('Invoer gegevens'!$F$20/12))*X88*MIN(BA88,BC88)</f>
        <v>0</v>
      </c>
      <c r="AA88" s="98">
        <f ca="1">IF(BD88&lt;1,IF(Reeksen!AD88&lt;=Reeksen!AE88,X88*Reeksen!C88,0),IF(BC88&gt;=BA88,0,IF(Reeksen!AD88&lt;=Reeksen!AE88,(BA88-BC88)*X88,0)))</f>
        <v>0</v>
      </c>
      <c r="AB88" s="98">
        <f ca="1">IF(BD88&lt;1,IF(Reeksen!AD88&gt;Reeksen!AE88,X88*Reeksen!C88,0),IF(BC88&gt;=BA88,0,IF(Reeksen!AD88&gt;Reeksen!AE88,(BA88-BC88)*X88,0)))</f>
        <v>0</v>
      </c>
      <c r="AC88" s="99">
        <f t="shared" ca="1" si="25"/>
        <v>0</v>
      </c>
      <c r="AD88" s="98">
        <f ca="1">IF('Invoer gegevens'!$C$17=E88,R88,IF(C88=0,0,AE87))</f>
        <v>0</v>
      </c>
      <c r="AE88" s="98">
        <f t="shared" ca="1" si="26"/>
        <v>0</v>
      </c>
      <c r="AF88" s="98">
        <f ca="1">IF('Invoer gegevens'!$C$17=E88,X88,IF(C88=0,0,AG87))</f>
        <v>0</v>
      </c>
      <c r="AG88" s="98">
        <f t="shared" ca="1" si="27"/>
        <v>0</v>
      </c>
      <c r="AH88" s="66"/>
      <c r="AI88" s="71">
        <f ca="1">IF(C88=1,Reeksen!AI88*((F88+K88)/2)*12+Reeksen!AD88*((L88+Q88)/2)*12,0)</f>
        <v>0</v>
      </c>
      <c r="AJ88" s="71">
        <f ca="1">-AI88*'Invoer gegevens'!$F$28</f>
        <v>0</v>
      </c>
      <c r="AK88" s="71">
        <f t="shared" ca="1" si="28"/>
        <v>0</v>
      </c>
      <c r="AL88" s="71">
        <f ca="1">IF(C88=1,Reeksen!AL88*((F88-G88+F88)/2)*12+Reeksen!AM88*((L88-M88+L88)/2)*12,0)</f>
        <v>0</v>
      </c>
      <c r="AM88" s="71">
        <f ca="1">-AL88*'Invoer gegevens'!$F$31</f>
        <v>0</v>
      </c>
      <c r="AN88" s="71">
        <f t="shared" ca="1" si="29"/>
        <v>0</v>
      </c>
      <c r="AO88" s="71">
        <f ca="1">IF(C88=1,(H88+J88+N88+P88)*Reeksen!AN88,0)</f>
        <v>0</v>
      </c>
      <c r="AP88" s="71">
        <f ca="1">-IF(C88=1,(H88+J88+N88+P88)*'Hulp - basis'!$G$550*Reeksen!H88,0)</f>
        <v>0</v>
      </c>
      <c r="AQ88" s="71">
        <f ca="1">-IF(C88=1,(F88+K88+L88+Q88)/2*'Invoer gegevens'!$F$35*Reeksen!J88,0)*2</f>
        <v>0</v>
      </c>
      <c r="AR88" s="71">
        <f ca="1">IF(BD88&lt;1,-IF(C88=1,(G88*'Invoer gegevens'!$F$36)*Reeksen!J88,0),0)</f>
        <v>0</v>
      </c>
      <c r="AS88" s="71">
        <f ca="1">-IF(C88=1,(F88+K88+L88+Q88)/2*'Invoer gegevens'!$F$37*Reeksen!L88,0)</f>
        <v>0</v>
      </c>
      <c r="AT88" s="71">
        <f ca="1">-IF(C88=1,IF(E88='Invoer gegevens'!$C$17,'Invoer gegevens'!$C$11,AD88)*Reeksen!S88*'Invoer gegevens'!$C$18*Reeksen!P88,0)</f>
        <v>0</v>
      </c>
      <c r="AU88" s="71">
        <f ca="1">-IF(C88=1,(F88+K88+L88+Q88)/2*'Invoer gegevens'!$F$38*Reeksen!H88,0)</f>
        <v>0</v>
      </c>
      <c r="AV88" s="71">
        <f t="shared" si="33"/>
        <v>0</v>
      </c>
      <c r="AW88" s="71">
        <f t="shared" ca="1" si="30"/>
        <v>0</v>
      </c>
      <c r="AX88" s="71">
        <f ca="1">IF(E88&lt;'Invoer gegevens'!$C$17+15,0,IF(E88&gt;'Invoer gegevens'!$C$17+215,0,AW88))</f>
        <v>0</v>
      </c>
      <c r="AY88" s="71">
        <f ca="1">AX88/(1+'Invoer gegevens'!$F$18)^($AZ88-('Invoer gegevens'!$C$17-'Invoer gegevens'!$C$16))/(1+'Invoer gegevens'!$C$39)^('Invoer gegevens'!$C$17-'Invoer gegevens'!$C$16)</f>
        <v>0</v>
      </c>
      <c r="AZ88" s="68">
        <f ca="1">IF(E88-'Invoer gegevens'!$C$17-14.5&lt;0,0,E88-'Invoer gegevens'!$C$17-14.5)</f>
        <v>68.5</v>
      </c>
      <c r="BA88" s="109">
        <f ca="1">IFERROR(VLOOKUP(E88-15,Reeksen!$A$5:$D$234,2,FALSE),0)</f>
        <v>0</v>
      </c>
      <c r="BB88" s="109">
        <f ca="1">IFERROR(VLOOKUP(E88-15,Reeksen!$A$5:$D$234,3,FALSE),0)</f>
        <v>0</v>
      </c>
      <c r="BC88" s="109">
        <f ca="1">IFERROR(VLOOKUP(E88-15,Reeksen!$A$5:$D$234,4,FALSE),0)</f>
        <v>0</v>
      </c>
      <c r="BD88" s="67">
        <f ca="1">IF(E88-'Invoer gegevens'!$C$17&lt;15,0,1)</f>
        <v>1</v>
      </c>
    </row>
    <row r="89" spans="1:56" x14ac:dyDescent="0.25">
      <c r="A89" s="59"/>
      <c r="B89" s="70">
        <f t="shared" si="31"/>
        <v>85</v>
      </c>
      <c r="C89" s="67">
        <f ca="1">IF(E89-'Invoer gegevens'!$C$17&lt;0,0,1)</f>
        <v>1</v>
      </c>
      <c r="D89" s="68">
        <f t="shared" si="32"/>
        <v>84.5</v>
      </c>
      <c r="E89" s="108">
        <f ca="1">IF('Invoer gegevens'!$C$16="","",E88+1)</f>
        <v>2103</v>
      </c>
      <c r="F89" s="84">
        <f ca="1">IF('Invoer gegevens'!$C$17=E89,'Invoer gegevens'!$C$10,IF(C89=1,K88,0))</f>
        <v>0</v>
      </c>
      <c r="G89" s="96">
        <f ca="1">IF(BD89&lt;1,F89*Reeksen!C89,IF(C89&gt;=1,F89*BA89,0))</f>
        <v>0</v>
      </c>
      <c r="H89" s="84">
        <f ca="1">(1-('Invoer gegevens'!$F$20/12))*F89*MIN(BA89,BC89)</f>
        <v>0</v>
      </c>
      <c r="I89" s="84">
        <f t="shared" ca="1" si="17"/>
        <v>0</v>
      </c>
      <c r="J89" s="84">
        <f ca="1">('Invoer gegevens'!$F$20/12)*F88*MIN(BA89,BC89)</f>
        <v>0</v>
      </c>
      <c r="K89" s="97">
        <f t="shared" ca="1" si="22"/>
        <v>0</v>
      </c>
      <c r="L89" s="84">
        <f ca="1">IF('Invoer gegevens'!$C$17=E89,0,IF(C89=1,Q88,0))</f>
        <v>0</v>
      </c>
      <c r="M89" s="96">
        <f t="shared" ca="1" si="18"/>
        <v>0</v>
      </c>
      <c r="N89" s="84">
        <f ca="1">(1-('Invoer gegevens'!$F$20/12))*L89*MIN(BA89,BC89)</f>
        <v>0</v>
      </c>
      <c r="O89" s="84">
        <f t="shared" ca="1" si="19"/>
        <v>0</v>
      </c>
      <c r="P89" s="84">
        <f ca="1">('Invoer gegevens'!$F$20/12)*L88*MIN(BA89,BC89)</f>
        <v>0</v>
      </c>
      <c r="Q89" s="84">
        <f t="shared" ca="1" si="23"/>
        <v>0</v>
      </c>
      <c r="R89" s="85">
        <f ca="1">IF('Invoer gegevens'!$C$17=E89,'Invoer gegevens'!$C$11,IF(C89=1,W88,0))</f>
        <v>0</v>
      </c>
      <c r="S89" s="86">
        <f t="shared" ca="1" si="20"/>
        <v>0</v>
      </c>
      <c r="T89" s="86">
        <f ca="1">(1-('Invoer gegevens'!$F$20/12))*R89*MIN(BC89,BA89)</f>
        <v>0</v>
      </c>
      <c r="U89" s="86">
        <f ca="1">IF(BD89&lt;1,IF(Reeksen!AD89&lt;=Reeksen!AE89,R89*Reeksen!C89,0),IF(BC89&gt;=BA89,0,IF(Reeksen!AD89&lt;=Reeksen!AE89,(BA89-BC89)*R89,0)))</f>
        <v>0</v>
      </c>
      <c r="V89" s="86">
        <f ca="1">IF(BD89&lt;1,IF(Reeksen!AD89&gt;Reeksen!AE89,R89*Reeksen!C89,0),IF(BC89&gt;=BA89,0,IF(Reeksen!AD89&gt;Reeksen!AE89,(BA89-BC89)*R89,0)))</f>
        <v>0</v>
      </c>
      <c r="W89" s="218">
        <f t="shared" ca="1" si="24"/>
        <v>0</v>
      </c>
      <c r="X89" s="98">
        <f ca="1">IF('Invoer gegevens'!$C$17=E89,'Invoer gegevens'!$C$10-'Invoer gegevens'!$C$11,IF(C89=1,AC88,0))</f>
        <v>0</v>
      </c>
      <c r="Y89" s="98">
        <f t="shared" ca="1" si="21"/>
        <v>0</v>
      </c>
      <c r="Z89" s="98">
        <f ca="1">(1-('Invoer gegevens'!$F$20/12))*X89*MIN(BA89,BC89)</f>
        <v>0</v>
      </c>
      <c r="AA89" s="98">
        <f ca="1">IF(BD89&lt;1,IF(Reeksen!AD89&lt;=Reeksen!AE89,X89*Reeksen!C89,0),IF(BC89&gt;=BA89,0,IF(Reeksen!AD89&lt;=Reeksen!AE89,(BA89-BC89)*X89,0)))</f>
        <v>0</v>
      </c>
      <c r="AB89" s="98">
        <f ca="1">IF(BD89&lt;1,IF(Reeksen!AD89&gt;Reeksen!AE89,X89*Reeksen!C89,0),IF(BC89&gt;=BA89,0,IF(Reeksen!AD89&gt;Reeksen!AE89,(BA89-BC89)*X89,0)))</f>
        <v>0</v>
      </c>
      <c r="AC89" s="99">
        <f t="shared" ca="1" si="25"/>
        <v>0</v>
      </c>
      <c r="AD89" s="98">
        <f ca="1">IF('Invoer gegevens'!$C$17=E89,R89,IF(C89=0,0,AE88))</f>
        <v>0</v>
      </c>
      <c r="AE89" s="98">
        <f t="shared" ca="1" si="26"/>
        <v>0</v>
      </c>
      <c r="AF89" s="98">
        <f ca="1">IF('Invoer gegevens'!$C$17=E89,X89,IF(C89=0,0,AG88))</f>
        <v>0</v>
      </c>
      <c r="AG89" s="98">
        <f t="shared" ca="1" si="27"/>
        <v>0</v>
      </c>
      <c r="AH89" s="66"/>
      <c r="AI89" s="71">
        <f ca="1">IF(C89=1,Reeksen!AI89*((F89+K89)/2)*12+Reeksen!AD89*((L89+Q89)/2)*12,0)</f>
        <v>0</v>
      </c>
      <c r="AJ89" s="71">
        <f ca="1">-AI89*'Invoer gegevens'!$F$28</f>
        <v>0</v>
      </c>
      <c r="AK89" s="71">
        <f t="shared" ca="1" si="28"/>
        <v>0</v>
      </c>
      <c r="AL89" s="71">
        <f ca="1">IF(C89=1,Reeksen!AL89*((F89-G89+F89)/2)*12+Reeksen!AM89*((L89-M89+L89)/2)*12,0)</f>
        <v>0</v>
      </c>
      <c r="AM89" s="71">
        <f ca="1">-AL89*'Invoer gegevens'!$F$31</f>
        <v>0</v>
      </c>
      <c r="AN89" s="71">
        <f t="shared" ca="1" si="29"/>
        <v>0</v>
      </c>
      <c r="AO89" s="71">
        <f ca="1">IF(C89=1,(H89+J89+N89+P89)*Reeksen!AN89,0)</f>
        <v>0</v>
      </c>
      <c r="AP89" s="71">
        <f ca="1">-IF(C89=1,(H89+J89+N89+P89)*'Hulp - basis'!$G$550*Reeksen!H89,0)</f>
        <v>0</v>
      </c>
      <c r="AQ89" s="71">
        <f ca="1">-IF(C89=1,(F89+K89+L89+Q89)/2*'Invoer gegevens'!$F$35*Reeksen!J89,0)*2</f>
        <v>0</v>
      </c>
      <c r="AR89" s="71">
        <f ca="1">IF(BD89&lt;1,-IF(C89=1,(G89*'Invoer gegevens'!$F$36)*Reeksen!J89,0),0)</f>
        <v>0</v>
      </c>
      <c r="AS89" s="71">
        <f ca="1">-IF(C89=1,(F89+K89+L89+Q89)/2*'Invoer gegevens'!$F$37*Reeksen!L89,0)</f>
        <v>0</v>
      </c>
      <c r="AT89" s="71">
        <f ca="1">-IF(C89=1,IF(E89='Invoer gegevens'!$C$17,'Invoer gegevens'!$C$11,AD89)*Reeksen!S89*'Invoer gegevens'!$C$18*Reeksen!P89,0)</f>
        <v>0</v>
      </c>
      <c r="AU89" s="71">
        <f ca="1">-IF(C89=1,(F89+K89+L89+Q89)/2*'Invoer gegevens'!$F$38*Reeksen!H89,0)</f>
        <v>0</v>
      </c>
      <c r="AV89" s="71">
        <f t="shared" si="33"/>
        <v>0</v>
      </c>
      <c r="AW89" s="71">
        <f t="shared" ca="1" si="30"/>
        <v>0</v>
      </c>
      <c r="AX89" s="71">
        <f ca="1">IF(E89&lt;'Invoer gegevens'!$C$17+15,0,IF(E89&gt;'Invoer gegevens'!$C$17+215,0,AW89))</f>
        <v>0</v>
      </c>
      <c r="AY89" s="71">
        <f ca="1">AX89/(1+'Invoer gegevens'!$F$18)^($AZ89-('Invoer gegevens'!$C$17-'Invoer gegevens'!$C$16))/(1+'Invoer gegevens'!$C$39)^('Invoer gegevens'!$C$17-'Invoer gegevens'!$C$16)</f>
        <v>0</v>
      </c>
      <c r="AZ89" s="68">
        <f ca="1">IF(E89-'Invoer gegevens'!$C$17-14.5&lt;0,0,E89-'Invoer gegevens'!$C$17-14.5)</f>
        <v>69.5</v>
      </c>
      <c r="BA89" s="109">
        <f ca="1">IFERROR(VLOOKUP(E89-15,Reeksen!$A$5:$D$234,2,FALSE),0)</f>
        <v>0</v>
      </c>
      <c r="BB89" s="109">
        <f ca="1">IFERROR(VLOOKUP(E89-15,Reeksen!$A$5:$D$234,3,FALSE),0)</f>
        <v>0</v>
      </c>
      <c r="BC89" s="109">
        <f ca="1">IFERROR(VLOOKUP(E89-15,Reeksen!$A$5:$D$234,4,FALSE),0)</f>
        <v>0</v>
      </c>
      <c r="BD89" s="67">
        <f ca="1">IF(E89-'Invoer gegevens'!$C$17&lt;15,0,1)</f>
        <v>1</v>
      </c>
    </row>
    <row r="90" spans="1:56" x14ac:dyDescent="0.25">
      <c r="A90" s="59"/>
      <c r="B90" s="70">
        <f t="shared" si="31"/>
        <v>86</v>
      </c>
      <c r="C90" s="67">
        <f ca="1">IF(E90-'Invoer gegevens'!$C$17&lt;0,0,1)</f>
        <v>1</v>
      </c>
      <c r="D90" s="68">
        <f t="shared" si="32"/>
        <v>85.5</v>
      </c>
      <c r="E90" s="108">
        <f ca="1">IF('Invoer gegevens'!$C$16="","",E89+1)</f>
        <v>2104</v>
      </c>
      <c r="F90" s="84">
        <f ca="1">IF('Invoer gegevens'!$C$17=E90,'Invoer gegevens'!$C$10,IF(C90=1,K89,0))</f>
        <v>0</v>
      </c>
      <c r="G90" s="96">
        <f ca="1">IF(BD90&lt;1,F90*Reeksen!C90,IF(C90&gt;=1,F90*BA90,0))</f>
        <v>0</v>
      </c>
      <c r="H90" s="84">
        <f ca="1">(1-('Invoer gegevens'!$F$20/12))*F90*MIN(BA90,BC90)</f>
        <v>0</v>
      </c>
      <c r="I90" s="84">
        <f t="shared" ca="1" si="17"/>
        <v>0</v>
      </c>
      <c r="J90" s="84">
        <f ca="1">('Invoer gegevens'!$F$20/12)*F89*MIN(BA90,BC90)</f>
        <v>0</v>
      </c>
      <c r="K90" s="97">
        <f t="shared" ca="1" si="22"/>
        <v>0</v>
      </c>
      <c r="L90" s="84">
        <f ca="1">IF('Invoer gegevens'!$C$17=E90,0,IF(C90=1,Q89,0))</f>
        <v>0</v>
      </c>
      <c r="M90" s="96">
        <f t="shared" ca="1" si="18"/>
        <v>0</v>
      </c>
      <c r="N90" s="84">
        <f ca="1">(1-('Invoer gegevens'!$F$20/12))*L90*MIN(BA90,BC90)</f>
        <v>0</v>
      </c>
      <c r="O90" s="84">
        <f t="shared" ca="1" si="19"/>
        <v>0</v>
      </c>
      <c r="P90" s="84">
        <f ca="1">('Invoer gegevens'!$F$20/12)*L89*MIN(BA90,BC90)</f>
        <v>0</v>
      </c>
      <c r="Q90" s="84">
        <f t="shared" ca="1" si="23"/>
        <v>0</v>
      </c>
      <c r="R90" s="85">
        <f ca="1">IF('Invoer gegevens'!$C$17=E90,'Invoer gegevens'!$C$11,IF(C90=1,W89,0))</f>
        <v>0</v>
      </c>
      <c r="S90" s="86">
        <f t="shared" ca="1" si="20"/>
        <v>0</v>
      </c>
      <c r="T90" s="86">
        <f ca="1">(1-('Invoer gegevens'!$F$20/12))*R90*MIN(BC90,BA90)</f>
        <v>0</v>
      </c>
      <c r="U90" s="86">
        <f ca="1">IF(BD90&lt;1,IF(Reeksen!AD90&lt;=Reeksen!AE90,R90*Reeksen!C90,0),IF(BC90&gt;=BA90,0,IF(Reeksen!AD90&lt;=Reeksen!AE90,(BA90-BC90)*R90,0)))</f>
        <v>0</v>
      </c>
      <c r="V90" s="86">
        <f ca="1">IF(BD90&lt;1,IF(Reeksen!AD90&gt;Reeksen!AE90,R90*Reeksen!C90,0),IF(BC90&gt;=BA90,0,IF(Reeksen!AD90&gt;Reeksen!AE90,(BA90-BC90)*R90,0)))</f>
        <v>0</v>
      </c>
      <c r="W90" s="218">
        <f t="shared" ca="1" si="24"/>
        <v>0</v>
      </c>
      <c r="X90" s="98">
        <f ca="1">IF('Invoer gegevens'!$C$17=E90,'Invoer gegevens'!$C$10-'Invoer gegevens'!$C$11,IF(C90=1,AC89,0))</f>
        <v>0</v>
      </c>
      <c r="Y90" s="98">
        <f t="shared" ca="1" si="21"/>
        <v>0</v>
      </c>
      <c r="Z90" s="98">
        <f ca="1">(1-('Invoer gegevens'!$F$20/12))*X90*MIN(BA90,BC90)</f>
        <v>0</v>
      </c>
      <c r="AA90" s="98">
        <f ca="1">IF(BD90&lt;1,IF(Reeksen!AD90&lt;=Reeksen!AE90,X90*Reeksen!C90,0),IF(BC90&gt;=BA90,0,IF(Reeksen!AD90&lt;=Reeksen!AE90,(BA90-BC90)*X90,0)))</f>
        <v>0</v>
      </c>
      <c r="AB90" s="98">
        <f ca="1">IF(BD90&lt;1,IF(Reeksen!AD90&gt;Reeksen!AE90,X90*Reeksen!C90,0),IF(BC90&gt;=BA90,0,IF(Reeksen!AD90&gt;Reeksen!AE90,(BA90-BC90)*X90,0)))</f>
        <v>0</v>
      </c>
      <c r="AC90" s="99">
        <f t="shared" ca="1" si="25"/>
        <v>0</v>
      </c>
      <c r="AD90" s="98">
        <f ca="1">IF('Invoer gegevens'!$C$17=E90,R90,IF(C90=0,0,AE89))</f>
        <v>0</v>
      </c>
      <c r="AE90" s="98">
        <f t="shared" ca="1" si="26"/>
        <v>0</v>
      </c>
      <c r="AF90" s="98">
        <f ca="1">IF('Invoer gegevens'!$C$17=E90,X90,IF(C90=0,0,AG89))</f>
        <v>0</v>
      </c>
      <c r="AG90" s="98">
        <f t="shared" ca="1" si="27"/>
        <v>0</v>
      </c>
      <c r="AH90" s="66"/>
      <c r="AI90" s="71">
        <f ca="1">IF(C90=1,Reeksen!AI90*((F90+K90)/2)*12+Reeksen!AD90*((L90+Q90)/2)*12,0)</f>
        <v>0</v>
      </c>
      <c r="AJ90" s="71">
        <f ca="1">-AI90*'Invoer gegevens'!$F$28</f>
        <v>0</v>
      </c>
      <c r="AK90" s="71">
        <f t="shared" ca="1" si="28"/>
        <v>0</v>
      </c>
      <c r="AL90" s="71">
        <f ca="1">IF(C90=1,Reeksen!AL90*((F90-G90+F90)/2)*12+Reeksen!AM90*((L90-M90+L90)/2)*12,0)</f>
        <v>0</v>
      </c>
      <c r="AM90" s="71">
        <f ca="1">-AL90*'Invoer gegevens'!$F$31</f>
        <v>0</v>
      </c>
      <c r="AN90" s="71">
        <f t="shared" ca="1" si="29"/>
        <v>0</v>
      </c>
      <c r="AO90" s="71">
        <f ca="1">IF(C90=1,(H90+J90+N90+P90)*Reeksen!AN90,0)</f>
        <v>0</v>
      </c>
      <c r="AP90" s="71">
        <f ca="1">-IF(C90=1,(H90+J90+N90+P90)*'Hulp - basis'!$G$550*Reeksen!H90,0)</f>
        <v>0</v>
      </c>
      <c r="AQ90" s="71">
        <f ca="1">-IF(C90=1,(F90+K90+L90+Q90)/2*'Invoer gegevens'!$F$35*Reeksen!J90,0)*2</f>
        <v>0</v>
      </c>
      <c r="AR90" s="71">
        <f ca="1">IF(BD90&lt;1,-IF(C90=1,(G90*'Invoer gegevens'!$F$36)*Reeksen!J90,0),0)</f>
        <v>0</v>
      </c>
      <c r="AS90" s="71">
        <f ca="1">-IF(C90=1,(F90+K90+L90+Q90)/2*'Invoer gegevens'!$F$37*Reeksen!L90,0)</f>
        <v>0</v>
      </c>
      <c r="AT90" s="71">
        <f ca="1">-IF(C90=1,IF(E90='Invoer gegevens'!$C$17,'Invoer gegevens'!$C$11,AD90)*Reeksen!S90*'Invoer gegevens'!$C$18*Reeksen!P90,0)</f>
        <v>0</v>
      </c>
      <c r="AU90" s="71">
        <f ca="1">-IF(C90=1,(F90+K90+L90+Q90)/2*'Invoer gegevens'!$F$38*Reeksen!H90,0)</f>
        <v>0</v>
      </c>
      <c r="AV90" s="71">
        <f t="shared" si="33"/>
        <v>0</v>
      </c>
      <c r="AW90" s="71">
        <f t="shared" ca="1" si="30"/>
        <v>0</v>
      </c>
      <c r="AX90" s="71">
        <f ca="1">IF(E90&lt;'Invoer gegevens'!$C$17+15,0,IF(E90&gt;'Invoer gegevens'!$C$17+215,0,AW90))</f>
        <v>0</v>
      </c>
      <c r="AY90" s="71">
        <f ca="1">AX90/(1+'Invoer gegevens'!$F$18)^($AZ90-('Invoer gegevens'!$C$17-'Invoer gegevens'!$C$16))/(1+'Invoer gegevens'!$C$39)^('Invoer gegevens'!$C$17-'Invoer gegevens'!$C$16)</f>
        <v>0</v>
      </c>
      <c r="AZ90" s="68">
        <f ca="1">IF(E90-'Invoer gegevens'!$C$17-14.5&lt;0,0,E90-'Invoer gegevens'!$C$17-14.5)</f>
        <v>70.5</v>
      </c>
      <c r="BA90" s="109">
        <f ca="1">IFERROR(VLOOKUP(E90-15,Reeksen!$A$5:$D$234,2,FALSE),0)</f>
        <v>0</v>
      </c>
      <c r="BB90" s="109">
        <f ca="1">IFERROR(VLOOKUP(E90-15,Reeksen!$A$5:$D$234,3,FALSE),0)</f>
        <v>0</v>
      </c>
      <c r="BC90" s="109">
        <f ca="1">IFERROR(VLOOKUP(E90-15,Reeksen!$A$5:$D$234,4,FALSE),0)</f>
        <v>0</v>
      </c>
      <c r="BD90" s="67">
        <f ca="1">IF(E90-'Invoer gegevens'!$C$17&lt;15,0,1)</f>
        <v>1</v>
      </c>
    </row>
    <row r="91" spans="1:56" x14ac:dyDescent="0.25">
      <c r="A91" s="59"/>
      <c r="B91" s="70">
        <f t="shared" si="31"/>
        <v>87</v>
      </c>
      <c r="C91" s="67">
        <f ca="1">IF(E91-'Invoer gegevens'!$C$17&lt;0,0,1)</f>
        <v>1</v>
      </c>
      <c r="D91" s="68">
        <f t="shared" si="32"/>
        <v>86.5</v>
      </c>
      <c r="E91" s="108">
        <f ca="1">IF('Invoer gegevens'!$C$16="","",E90+1)</f>
        <v>2105</v>
      </c>
      <c r="F91" s="84">
        <f ca="1">IF('Invoer gegevens'!$C$17=E91,'Invoer gegevens'!$C$10,IF(C91=1,K90,0))</f>
        <v>0</v>
      </c>
      <c r="G91" s="96">
        <f ca="1">IF(BD91&lt;1,F91*Reeksen!C91,IF(C91&gt;=1,F91*BA91,0))</f>
        <v>0</v>
      </c>
      <c r="H91" s="84">
        <f ca="1">(1-('Invoer gegevens'!$F$20/12))*F91*MIN(BA91,BC91)</f>
        <v>0</v>
      </c>
      <c r="I91" s="84">
        <f t="shared" ca="1" si="17"/>
        <v>0</v>
      </c>
      <c r="J91" s="84">
        <f ca="1">('Invoer gegevens'!$F$20/12)*F90*MIN(BA91,BC91)</f>
        <v>0</v>
      </c>
      <c r="K91" s="97">
        <f t="shared" ca="1" si="22"/>
        <v>0</v>
      </c>
      <c r="L91" s="84">
        <f ca="1">IF('Invoer gegevens'!$C$17=E91,0,IF(C91=1,Q90,0))</f>
        <v>0</v>
      </c>
      <c r="M91" s="96">
        <f t="shared" ca="1" si="18"/>
        <v>0</v>
      </c>
      <c r="N91" s="84">
        <f ca="1">(1-('Invoer gegevens'!$F$20/12))*L91*MIN(BA91,BC91)</f>
        <v>0</v>
      </c>
      <c r="O91" s="84">
        <f t="shared" ca="1" si="19"/>
        <v>0</v>
      </c>
      <c r="P91" s="84">
        <f ca="1">('Invoer gegevens'!$F$20/12)*L90*MIN(BA91,BC91)</f>
        <v>0</v>
      </c>
      <c r="Q91" s="84">
        <f t="shared" ca="1" si="23"/>
        <v>0</v>
      </c>
      <c r="R91" s="85">
        <f ca="1">IF('Invoer gegevens'!$C$17=E91,'Invoer gegevens'!$C$11,IF(C91=1,W90,0))</f>
        <v>0</v>
      </c>
      <c r="S91" s="86">
        <f t="shared" ca="1" si="20"/>
        <v>0</v>
      </c>
      <c r="T91" s="86">
        <f ca="1">(1-('Invoer gegevens'!$F$20/12))*R91*MIN(BC91,BA91)</f>
        <v>0</v>
      </c>
      <c r="U91" s="86">
        <f ca="1">IF(BD91&lt;1,IF(Reeksen!AD91&lt;=Reeksen!AE91,R91*Reeksen!C91,0),IF(BC91&gt;=BA91,0,IF(Reeksen!AD91&lt;=Reeksen!AE91,(BA91-BC91)*R91,0)))</f>
        <v>0</v>
      </c>
      <c r="V91" s="86">
        <f ca="1">IF(BD91&lt;1,IF(Reeksen!AD91&gt;Reeksen!AE91,R91*Reeksen!C91,0),IF(BC91&gt;=BA91,0,IF(Reeksen!AD91&gt;Reeksen!AE91,(BA91-BC91)*R91,0)))</f>
        <v>0</v>
      </c>
      <c r="W91" s="218">
        <f t="shared" ca="1" si="24"/>
        <v>0</v>
      </c>
      <c r="X91" s="98">
        <f ca="1">IF('Invoer gegevens'!$C$17=E91,'Invoer gegevens'!$C$10-'Invoer gegevens'!$C$11,IF(C91=1,AC90,0))</f>
        <v>0</v>
      </c>
      <c r="Y91" s="98">
        <f t="shared" ca="1" si="21"/>
        <v>0</v>
      </c>
      <c r="Z91" s="98">
        <f ca="1">(1-('Invoer gegevens'!$F$20/12))*X91*MIN(BA91,BC91)</f>
        <v>0</v>
      </c>
      <c r="AA91" s="98">
        <f ca="1">IF(BD91&lt;1,IF(Reeksen!AD91&lt;=Reeksen!AE91,X91*Reeksen!C91,0),IF(BC91&gt;=BA91,0,IF(Reeksen!AD91&lt;=Reeksen!AE91,(BA91-BC91)*X91,0)))</f>
        <v>0</v>
      </c>
      <c r="AB91" s="98">
        <f ca="1">IF(BD91&lt;1,IF(Reeksen!AD91&gt;Reeksen!AE91,X91*Reeksen!C91,0),IF(BC91&gt;=BA91,0,IF(Reeksen!AD91&gt;Reeksen!AE91,(BA91-BC91)*X91,0)))</f>
        <v>0</v>
      </c>
      <c r="AC91" s="99">
        <f t="shared" ca="1" si="25"/>
        <v>0</v>
      </c>
      <c r="AD91" s="98">
        <f ca="1">IF('Invoer gegevens'!$C$17=E91,R91,IF(C91=0,0,AE90))</f>
        <v>0</v>
      </c>
      <c r="AE91" s="98">
        <f t="shared" ca="1" si="26"/>
        <v>0</v>
      </c>
      <c r="AF91" s="98">
        <f ca="1">IF('Invoer gegevens'!$C$17=E91,X91,IF(C91=0,0,AG90))</f>
        <v>0</v>
      </c>
      <c r="AG91" s="98">
        <f t="shared" ca="1" si="27"/>
        <v>0</v>
      </c>
      <c r="AH91" s="66"/>
      <c r="AI91" s="71">
        <f ca="1">IF(C91=1,Reeksen!AI91*((F91+K91)/2)*12+Reeksen!AD91*((L91+Q91)/2)*12,0)</f>
        <v>0</v>
      </c>
      <c r="AJ91" s="71">
        <f ca="1">-AI91*'Invoer gegevens'!$F$28</f>
        <v>0</v>
      </c>
      <c r="AK91" s="71">
        <f t="shared" ca="1" si="28"/>
        <v>0</v>
      </c>
      <c r="AL91" s="71">
        <f ca="1">IF(C91=1,Reeksen!AL91*((F91-G91+F91)/2)*12+Reeksen!AM91*((L91-M91+L91)/2)*12,0)</f>
        <v>0</v>
      </c>
      <c r="AM91" s="71">
        <f ca="1">-AL91*'Invoer gegevens'!$F$31</f>
        <v>0</v>
      </c>
      <c r="AN91" s="71">
        <f t="shared" ca="1" si="29"/>
        <v>0</v>
      </c>
      <c r="AO91" s="71">
        <f ca="1">IF(C91=1,(H91+J91+N91+P91)*Reeksen!AN91,0)</f>
        <v>0</v>
      </c>
      <c r="AP91" s="71">
        <f ca="1">-IF(C91=1,(H91+J91+N91+P91)*'Hulp - basis'!$G$550*Reeksen!H91,0)</f>
        <v>0</v>
      </c>
      <c r="AQ91" s="71">
        <f ca="1">-IF(C91=1,(F91+K91+L91+Q91)/2*'Invoer gegevens'!$F$35*Reeksen!J91,0)*2</f>
        <v>0</v>
      </c>
      <c r="AR91" s="71">
        <f ca="1">IF(BD91&lt;1,-IF(C91=1,(G91*'Invoer gegevens'!$F$36)*Reeksen!J91,0),0)</f>
        <v>0</v>
      </c>
      <c r="AS91" s="71">
        <f ca="1">-IF(C91=1,(F91+K91+L91+Q91)/2*'Invoer gegevens'!$F$37*Reeksen!L91,0)</f>
        <v>0</v>
      </c>
      <c r="AT91" s="71">
        <f ca="1">-IF(C91=1,IF(E91='Invoer gegevens'!$C$17,'Invoer gegevens'!$C$11,AD91)*Reeksen!S91*'Invoer gegevens'!$C$18*Reeksen!P91,0)</f>
        <v>0</v>
      </c>
      <c r="AU91" s="71">
        <f ca="1">-IF(C91=1,(F91+K91+L91+Q91)/2*'Invoer gegevens'!$F$38*Reeksen!H91,0)</f>
        <v>0</v>
      </c>
      <c r="AV91" s="71">
        <f t="shared" si="33"/>
        <v>0</v>
      </c>
      <c r="AW91" s="71">
        <f t="shared" ca="1" si="30"/>
        <v>0</v>
      </c>
      <c r="AX91" s="71">
        <f ca="1">IF(E91&lt;'Invoer gegevens'!$C$17+15,0,IF(E91&gt;'Invoer gegevens'!$C$17+215,0,AW91))</f>
        <v>0</v>
      </c>
      <c r="AY91" s="71">
        <f ca="1">AX91/(1+'Invoer gegevens'!$F$18)^($AZ91-('Invoer gegevens'!$C$17-'Invoer gegevens'!$C$16))/(1+'Invoer gegevens'!$C$39)^('Invoer gegevens'!$C$17-'Invoer gegevens'!$C$16)</f>
        <v>0</v>
      </c>
      <c r="AZ91" s="68">
        <f ca="1">IF(E91-'Invoer gegevens'!$C$17-14.5&lt;0,0,E91-'Invoer gegevens'!$C$17-14.5)</f>
        <v>71.5</v>
      </c>
      <c r="BA91" s="109">
        <f ca="1">IFERROR(VLOOKUP(E91-15,Reeksen!$A$5:$D$234,2,FALSE),0)</f>
        <v>0</v>
      </c>
      <c r="BB91" s="109">
        <f ca="1">IFERROR(VLOOKUP(E91-15,Reeksen!$A$5:$D$234,3,FALSE),0)</f>
        <v>0</v>
      </c>
      <c r="BC91" s="109">
        <f ca="1">IFERROR(VLOOKUP(E91-15,Reeksen!$A$5:$D$234,4,FALSE),0)</f>
        <v>0</v>
      </c>
      <c r="BD91" s="67">
        <f ca="1">IF(E91-'Invoer gegevens'!$C$17&lt;15,0,1)</f>
        <v>1</v>
      </c>
    </row>
    <row r="92" spans="1:56" x14ac:dyDescent="0.25">
      <c r="A92" s="59"/>
      <c r="B92" s="70">
        <f t="shared" si="31"/>
        <v>88</v>
      </c>
      <c r="C92" s="67">
        <f ca="1">IF(E92-'Invoer gegevens'!$C$17&lt;0,0,1)</f>
        <v>1</v>
      </c>
      <c r="D92" s="68">
        <f t="shared" si="32"/>
        <v>87.5</v>
      </c>
      <c r="E92" s="108">
        <f ca="1">IF('Invoer gegevens'!$C$16="","",E91+1)</f>
        <v>2106</v>
      </c>
      <c r="F92" s="84">
        <f ca="1">IF('Invoer gegevens'!$C$17=E92,'Invoer gegevens'!$C$10,IF(C92=1,K91,0))</f>
        <v>0</v>
      </c>
      <c r="G92" s="96">
        <f ca="1">IF(BD92&lt;1,F92*Reeksen!C92,IF(C92&gt;=1,F92*BA92,0))</f>
        <v>0</v>
      </c>
      <c r="H92" s="84">
        <f ca="1">(1-('Invoer gegevens'!$F$20/12))*F92*MIN(BA92,BC92)</f>
        <v>0</v>
      </c>
      <c r="I92" s="84">
        <f t="shared" ca="1" si="17"/>
        <v>0</v>
      </c>
      <c r="J92" s="84">
        <f ca="1">('Invoer gegevens'!$F$20/12)*F91*MIN(BA92,BC92)</f>
        <v>0</v>
      </c>
      <c r="K92" s="97">
        <f t="shared" ca="1" si="22"/>
        <v>0</v>
      </c>
      <c r="L92" s="84">
        <f ca="1">IF('Invoer gegevens'!$C$17=E92,0,IF(C92=1,Q91,0))</f>
        <v>0</v>
      </c>
      <c r="M92" s="96">
        <f t="shared" ca="1" si="18"/>
        <v>0</v>
      </c>
      <c r="N92" s="84">
        <f ca="1">(1-('Invoer gegevens'!$F$20/12))*L92*MIN(BA92,BC92)</f>
        <v>0</v>
      </c>
      <c r="O92" s="84">
        <f t="shared" ca="1" si="19"/>
        <v>0</v>
      </c>
      <c r="P92" s="84">
        <f ca="1">('Invoer gegevens'!$F$20/12)*L91*MIN(BA92,BC92)</f>
        <v>0</v>
      </c>
      <c r="Q92" s="84">
        <f t="shared" ca="1" si="23"/>
        <v>0</v>
      </c>
      <c r="R92" s="85">
        <f ca="1">IF('Invoer gegevens'!$C$17=E92,'Invoer gegevens'!$C$11,IF(C92=1,W91,0))</f>
        <v>0</v>
      </c>
      <c r="S92" s="86">
        <f t="shared" ca="1" si="20"/>
        <v>0</v>
      </c>
      <c r="T92" s="86">
        <f ca="1">(1-('Invoer gegevens'!$F$20/12))*R92*MIN(BC92,BA92)</f>
        <v>0</v>
      </c>
      <c r="U92" s="86">
        <f ca="1">IF(BD92&lt;1,IF(Reeksen!AD92&lt;=Reeksen!AE92,R92*Reeksen!C92,0),IF(BC92&gt;=BA92,0,IF(Reeksen!AD92&lt;=Reeksen!AE92,(BA92-BC92)*R92,0)))</f>
        <v>0</v>
      </c>
      <c r="V92" s="86">
        <f ca="1">IF(BD92&lt;1,IF(Reeksen!AD92&gt;Reeksen!AE92,R92*Reeksen!C92,0),IF(BC92&gt;=BA92,0,IF(Reeksen!AD92&gt;Reeksen!AE92,(BA92-BC92)*R92,0)))</f>
        <v>0</v>
      </c>
      <c r="W92" s="218">
        <f t="shared" ca="1" si="24"/>
        <v>0</v>
      </c>
      <c r="X92" s="98">
        <f ca="1">IF('Invoer gegevens'!$C$17=E92,'Invoer gegevens'!$C$10-'Invoer gegevens'!$C$11,IF(C92=1,AC91,0))</f>
        <v>0</v>
      </c>
      <c r="Y92" s="98">
        <f t="shared" ca="1" si="21"/>
        <v>0</v>
      </c>
      <c r="Z92" s="98">
        <f ca="1">(1-('Invoer gegevens'!$F$20/12))*X92*MIN(BA92,BC92)</f>
        <v>0</v>
      </c>
      <c r="AA92" s="98">
        <f ca="1">IF(BD92&lt;1,IF(Reeksen!AD92&lt;=Reeksen!AE92,X92*Reeksen!C92,0),IF(BC92&gt;=BA92,0,IF(Reeksen!AD92&lt;=Reeksen!AE92,(BA92-BC92)*X92,0)))</f>
        <v>0</v>
      </c>
      <c r="AB92" s="98">
        <f ca="1">IF(BD92&lt;1,IF(Reeksen!AD92&gt;Reeksen!AE92,X92*Reeksen!C92,0),IF(BC92&gt;=BA92,0,IF(Reeksen!AD92&gt;Reeksen!AE92,(BA92-BC92)*X92,0)))</f>
        <v>0</v>
      </c>
      <c r="AC92" s="99">
        <f t="shared" ca="1" si="25"/>
        <v>0</v>
      </c>
      <c r="AD92" s="98">
        <f ca="1">IF('Invoer gegevens'!$C$17=E92,R92,IF(C92=0,0,AE91))</f>
        <v>0</v>
      </c>
      <c r="AE92" s="98">
        <f t="shared" ca="1" si="26"/>
        <v>0</v>
      </c>
      <c r="AF92" s="98">
        <f ca="1">IF('Invoer gegevens'!$C$17=E92,X92,IF(C92=0,0,AG91))</f>
        <v>0</v>
      </c>
      <c r="AG92" s="98">
        <f t="shared" ca="1" si="27"/>
        <v>0</v>
      </c>
      <c r="AH92" s="66"/>
      <c r="AI92" s="71">
        <f ca="1">IF(C92=1,Reeksen!AI92*((F92+K92)/2)*12+Reeksen!AD92*((L92+Q92)/2)*12,0)</f>
        <v>0</v>
      </c>
      <c r="AJ92" s="71">
        <f ca="1">-AI92*'Invoer gegevens'!$F$28</f>
        <v>0</v>
      </c>
      <c r="AK92" s="71">
        <f t="shared" ca="1" si="28"/>
        <v>0</v>
      </c>
      <c r="AL92" s="71">
        <f ca="1">IF(C92=1,Reeksen!AL92*((F92-G92+F92)/2)*12+Reeksen!AM92*((L92-M92+L92)/2)*12,0)</f>
        <v>0</v>
      </c>
      <c r="AM92" s="71">
        <f ca="1">-AL92*'Invoer gegevens'!$F$31</f>
        <v>0</v>
      </c>
      <c r="AN92" s="71">
        <f t="shared" ca="1" si="29"/>
        <v>0</v>
      </c>
      <c r="AO92" s="71">
        <f ca="1">IF(C92=1,(H92+J92+N92+P92)*Reeksen!AN92,0)</f>
        <v>0</v>
      </c>
      <c r="AP92" s="71">
        <f ca="1">-IF(C92=1,(H92+J92+N92+P92)*'Hulp - basis'!$G$550*Reeksen!H92,0)</f>
        <v>0</v>
      </c>
      <c r="AQ92" s="71">
        <f ca="1">-IF(C92=1,(F92+K92+L92+Q92)/2*'Invoer gegevens'!$F$35*Reeksen!J92,0)*2</f>
        <v>0</v>
      </c>
      <c r="AR92" s="71">
        <f ca="1">IF(BD92&lt;1,-IF(C92=1,(G92*'Invoer gegevens'!$F$36)*Reeksen!J92,0),0)</f>
        <v>0</v>
      </c>
      <c r="AS92" s="71">
        <f ca="1">-IF(C92=1,(F92+K92+L92+Q92)/2*'Invoer gegevens'!$F$37*Reeksen!L92,0)</f>
        <v>0</v>
      </c>
      <c r="AT92" s="71">
        <f ca="1">-IF(C92=1,IF(E92='Invoer gegevens'!$C$17,'Invoer gegevens'!$C$11,AD92)*Reeksen!S92*'Invoer gegevens'!$C$18*Reeksen!P92,0)</f>
        <v>0</v>
      </c>
      <c r="AU92" s="71">
        <f ca="1">-IF(C92=1,(F92+K92+L92+Q92)/2*'Invoer gegevens'!$F$38*Reeksen!H92,0)</f>
        <v>0</v>
      </c>
      <c r="AV92" s="71">
        <f t="shared" si="33"/>
        <v>0</v>
      </c>
      <c r="AW92" s="71">
        <f t="shared" ca="1" si="30"/>
        <v>0</v>
      </c>
      <c r="AX92" s="71">
        <f ca="1">IF(E92&lt;'Invoer gegevens'!$C$17+15,0,IF(E92&gt;'Invoer gegevens'!$C$17+215,0,AW92))</f>
        <v>0</v>
      </c>
      <c r="AY92" s="71">
        <f ca="1">AX92/(1+'Invoer gegevens'!$F$18)^($AZ92-('Invoer gegevens'!$C$17-'Invoer gegevens'!$C$16))/(1+'Invoer gegevens'!$C$39)^('Invoer gegevens'!$C$17-'Invoer gegevens'!$C$16)</f>
        <v>0</v>
      </c>
      <c r="AZ92" s="68">
        <f ca="1">IF(E92-'Invoer gegevens'!$C$17-14.5&lt;0,0,E92-'Invoer gegevens'!$C$17-14.5)</f>
        <v>72.5</v>
      </c>
      <c r="BA92" s="109">
        <f ca="1">IFERROR(VLOOKUP(E92-15,Reeksen!$A$5:$D$234,2,FALSE),0)</f>
        <v>0</v>
      </c>
      <c r="BB92" s="109">
        <f ca="1">IFERROR(VLOOKUP(E92-15,Reeksen!$A$5:$D$234,3,FALSE),0)</f>
        <v>0</v>
      </c>
      <c r="BC92" s="109">
        <f ca="1">IFERROR(VLOOKUP(E92-15,Reeksen!$A$5:$D$234,4,FALSE),0)</f>
        <v>0</v>
      </c>
      <c r="BD92" s="67">
        <f ca="1">IF(E92-'Invoer gegevens'!$C$17&lt;15,0,1)</f>
        <v>1</v>
      </c>
    </row>
    <row r="93" spans="1:56" x14ac:dyDescent="0.25">
      <c r="A93" s="59"/>
      <c r="B93" s="70">
        <f t="shared" si="31"/>
        <v>89</v>
      </c>
      <c r="C93" s="67">
        <f ca="1">IF(E93-'Invoer gegevens'!$C$17&lt;0,0,1)</f>
        <v>1</v>
      </c>
      <c r="D93" s="68">
        <f t="shared" si="32"/>
        <v>88.5</v>
      </c>
      <c r="E93" s="108">
        <f ca="1">IF('Invoer gegevens'!$C$16="","",E92+1)</f>
        <v>2107</v>
      </c>
      <c r="F93" s="84">
        <f ca="1">IF('Invoer gegevens'!$C$17=E93,'Invoer gegevens'!$C$10,IF(C93=1,K92,0))</f>
        <v>0</v>
      </c>
      <c r="G93" s="96">
        <f ca="1">IF(BD93&lt;1,F93*Reeksen!C93,IF(C93&gt;=1,F93*BA93,0))</f>
        <v>0</v>
      </c>
      <c r="H93" s="84">
        <f ca="1">(1-('Invoer gegevens'!$F$20/12))*F93*MIN(BA93,BC93)</f>
        <v>0</v>
      </c>
      <c r="I93" s="84">
        <f t="shared" ca="1" si="17"/>
        <v>0</v>
      </c>
      <c r="J93" s="84">
        <f ca="1">('Invoer gegevens'!$F$20/12)*F92*MIN(BA93,BC93)</f>
        <v>0</v>
      </c>
      <c r="K93" s="97">
        <f t="shared" ca="1" si="22"/>
        <v>0</v>
      </c>
      <c r="L93" s="84">
        <f ca="1">IF('Invoer gegevens'!$C$17=E93,0,IF(C93=1,Q92,0))</f>
        <v>0</v>
      </c>
      <c r="M93" s="96">
        <f t="shared" ca="1" si="18"/>
        <v>0</v>
      </c>
      <c r="N93" s="84">
        <f ca="1">(1-('Invoer gegevens'!$F$20/12))*L93*MIN(BA93,BC93)</f>
        <v>0</v>
      </c>
      <c r="O93" s="84">
        <f t="shared" ca="1" si="19"/>
        <v>0</v>
      </c>
      <c r="P93" s="84">
        <f ca="1">('Invoer gegevens'!$F$20/12)*L92*MIN(BA93,BC93)</f>
        <v>0</v>
      </c>
      <c r="Q93" s="84">
        <f t="shared" ca="1" si="23"/>
        <v>0</v>
      </c>
      <c r="R93" s="85">
        <f ca="1">IF('Invoer gegevens'!$C$17=E93,'Invoer gegevens'!$C$11,IF(C93=1,W92,0))</f>
        <v>0</v>
      </c>
      <c r="S93" s="86">
        <f t="shared" ca="1" si="20"/>
        <v>0</v>
      </c>
      <c r="T93" s="86">
        <f ca="1">(1-('Invoer gegevens'!$F$20/12))*R93*MIN(BC93,BA93)</f>
        <v>0</v>
      </c>
      <c r="U93" s="86">
        <f ca="1">IF(BD93&lt;1,IF(Reeksen!AD93&lt;=Reeksen!AE93,R93*Reeksen!C93,0),IF(BC93&gt;=BA93,0,IF(Reeksen!AD93&lt;=Reeksen!AE93,(BA93-BC93)*R93,0)))</f>
        <v>0</v>
      </c>
      <c r="V93" s="86">
        <f ca="1">IF(BD93&lt;1,IF(Reeksen!AD93&gt;Reeksen!AE93,R93*Reeksen!C93,0),IF(BC93&gt;=BA93,0,IF(Reeksen!AD93&gt;Reeksen!AE93,(BA93-BC93)*R93,0)))</f>
        <v>0</v>
      </c>
      <c r="W93" s="218">
        <f t="shared" ca="1" si="24"/>
        <v>0</v>
      </c>
      <c r="X93" s="98">
        <f ca="1">IF('Invoer gegevens'!$C$17=E93,'Invoer gegevens'!$C$10-'Invoer gegevens'!$C$11,IF(C93=1,AC92,0))</f>
        <v>0</v>
      </c>
      <c r="Y93" s="98">
        <f t="shared" ca="1" si="21"/>
        <v>0</v>
      </c>
      <c r="Z93" s="98">
        <f ca="1">(1-('Invoer gegevens'!$F$20/12))*X93*MIN(BA93,BC93)</f>
        <v>0</v>
      </c>
      <c r="AA93" s="98">
        <f ca="1">IF(BD93&lt;1,IF(Reeksen!AD93&lt;=Reeksen!AE93,X93*Reeksen!C93,0),IF(BC93&gt;=BA93,0,IF(Reeksen!AD93&lt;=Reeksen!AE93,(BA93-BC93)*X93,0)))</f>
        <v>0</v>
      </c>
      <c r="AB93" s="98">
        <f ca="1">IF(BD93&lt;1,IF(Reeksen!AD93&gt;Reeksen!AE93,X93*Reeksen!C93,0),IF(BC93&gt;=BA93,0,IF(Reeksen!AD93&gt;Reeksen!AE93,(BA93-BC93)*X93,0)))</f>
        <v>0</v>
      </c>
      <c r="AC93" s="99">
        <f t="shared" ca="1" si="25"/>
        <v>0</v>
      </c>
      <c r="AD93" s="98">
        <f ca="1">IF('Invoer gegevens'!$C$17=E93,R93,IF(C93=0,0,AE92))</f>
        <v>0</v>
      </c>
      <c r="AE93" s="98">
        <f t="shared" ca="1" si="26"/>
        <v>0</v>
      </c>
      <c r="AF93" s="98">
        <f ca="1">IF('Invoer gegevens'!$C$17=E93,X93,IF(C93=0,0,AG92))</f>
        <v>0</v>
      </c>
      <c r="AG93" s="98">
        <f t="shared" ca="1" si="27"/>
        <v>0</v>
      </c>
      <c r="AH93" s="66"/>
      <c r="AI93" s="71">
        <f ca="1">IF(C93=1,Reeksen!AI93*((F93+K93)/2)*12+Reeksen!AD93*((L93+Q93)/2)*12,0)</f>
        <v>0</v>
      </c>
      <c r="AJ93" s="71">
        <f ca="1">-AI93*'Invoer gegevens'!$F$28</f>
        <v>0</v>
      </c>
      <c r="AK93" s="71">
        <f t="shared" ca="1" si="28"/>
        <v>0</v>
      </c>
      <c r="AL93" s="71">
        <f ca="1">IF(C93=1,Reeksen!AL93*((F93-G93+F93)/2)*12+Reeksen!AM93*((L93-M93+L93)/2)*12,0)</f>
        <v>0</v>
      </c>
      <c r="AM93" s="71">
        <f ca="1">-AL93*'Invoer gegevens'!$F$31</f>
        <v>0</v>
      </c>
      <c r="AN93" s="71">
        <f t="shared" ca="1" si="29"/>
        <v>0</v>
      </c>
      <c r="AO93" s="71">
        <f ca="1">IF(C93=1,(H93+J93+N93+P93)*Reeksen!AN93,0)</f>
        <v>0</v>
      </c>
      <c r="AP93" s="71">
        <f ca="1">-IF(C93=1,(H93+J93+N93+P93)*'Hulp - basis'!$G$550*Reeksen!H93,0)</f>
        <v>0</v>
      </c>
      <c r="AQ93" s="71">
        <f ca="1">-IF(C93=1,(F93+K93+L93+Q93)/2*'Invoer gegevens'!$F$35*Reeksen!J93,0)*2</f>
        <v>0</v>
      </c>
      <c r="AR93" s="71">
        <f ca="1">IF(BD93&lt;1,-IF(C93=1,(G93*'Invoer gegevens'!$F$36)*Reeksen!J93,0),0)</f>
        <v>0</v>
      </c>
      <c r="AS93" s="71">
        <f ca="1">-IF(C93=1,(F93+K93+L93+Q93)/2*'Invoer gegevens'!$F$37*Reeksen!L93,0)</f>
        <v>0</v>
      </c>
      <c r="AT93" s="71">
        <f ca="1">-IF(C93=1,IF(E93='Invoer gegevens'!$C$17,'Invoer gegevens'!$C$11,AD93)*Reeksen!S93*'Invoer gegevens'!$C$18*Reeksen!P93,0)</f>
        <v>0</v>
      </c>
      <c r="AU93" s="71">
        <f ca="1">-IF(C93=1,(F93+K93+L93+Q93)/2*'Invoer gegevens'!$F$38*Reeksen!H93,0)</f>
        <v>0</v>
      </c>
      <c r="AV93" s="71">
        <f t="shared" si="33"/>
        <v>0</v>
      </c>
      <c r="AW93" s="71">
        <f t="shared" ca="1" si="30"/>
        <v>0</v>
      </c>
      <c r="AX93" s="71">
        <f ca="1">IF(E93&lt;'Invoer gegevens'!$C$17+15,0,IF(E93&gt;'Invoer gegevens'!$C$17+215,0,AW93))</f>
        <v>0</v>
      </c>
      <c r="AY93" s="71">
        <f ca="1">AX93/(1+'Invoer gegevens'!$F$18)^($AZ93-('Invoer gegevens'!$C$17-'Invoer gegevens'!$C$16))/(1+'Invoer gegevens'!$C$39)^('Invoer gegevens'!$C$17-'Invoer gegevens'!$C$16)</f>
        <v>0</v>
      </c>
      <c r="AZ93" s="68">
        <f ca="1">IF(E93-'Invoer gegevens'!$C$17-14.5&lt;0,0,E93-'Invoer gegevens'!$C$17-14.5)</f>
        <v>73.5</v>
      </c>
      <c r="BA93" s="109">
        <f ca="1">IFERROR(VLOOKUP(E93-15,Reeksen!$A$5:$D$234,2,FALSE),0)</f>
        <v>0</v>
      </c>
      <c r="BB93" s="109">
        <f ca="1">IFERROR(VLOOKUP(E93-15,Reeksen!$A$5:$D$234,3,FALSE),0)</f>
        <v>0</v>
      </c>
      <c r="BC93" s="109">
        <f ca="1">IFERROR(VLOOKUP(E93-15,Reeksen!$A$5:$D$234,4,FALSE),0)</f>
        <v>0</v>
      </c>
      <c r="BD93" s="67">
        <f ca="1">IF(E93-'Invoer gegevens'!$C$17&lt;15,0,1)</f>
        <v>1</v>
      </c>
    </row>
    <row r="94" spans="1:56" x14ac:dyDescent="0.25">
      <c r="A94" s="59"/>
      <c r="B94" s="70">
        <f t="shared" si="31"/>
        <v>90</v>
      </c>
      <c r="C94" s="67">
        <f ca="1">IF(E94-'Invoer gegevens'!$C$17&lt;0,0,1)</f>
        <v>1</v>
      </c>
      <c r="D94" s="68">
        <f t="shared" si="32"/>
        <v>89.5</v>
      </c>
      <c r="E94" s="108">
        <f ca="1">IF('Invoer gegevens'!$C$16="","",E93+1)</f>
        <v>2108</v>
      </c>
      <c r="F94" s="84">
        <f ca="1">IF('Invoer gegevens'!$C$17=E94,'Invoer gegevens'!$C$10,IF(C94=1,K93,0))</f>
        <v>0</v>
      </c>
      <c r="G94" s="96">
        <f ca="1">IF(BD94&lt;1,F94*Reeksen!C94,IF(C94&gt;=1,F94*BA94,0))</f>
        <v>0</v>
      </c>
      <c r="H94" s="84">
        <f ca="1">(1-('Invoer gegevens'!$F$20/12))*F94*MIN(BA94,BC94)</f>
        <v>0</v>
      </c>
      <c r="I94" s="84">
        <f t="shared" ca="1" si="17"/>
        <v>0</v>
      </c>
      <c r="J94" s="84">
        <f ca="1">('Invoer gegevens'!$F$20/12)*F93*MIN(BA94,BC94)</f>
        <v>0</v>
      </c>
      <c r="K94" s="97">
        <f t="shared" ca="1" si="22"/>
        <v>0</v>
      </c>
      <c r="L94" s="84">
        <f ca="1">IF('Invoer gegevens'!$C$17=E94,0,IF(C94=1,Q93,0))</f>
        <v>0</v>
      </c>
      <c r="M94" s="96">
        <f t="shared" ca="1" si="18"/>
        <v>0</v>
      </c>
      <c r="N94" s="84">
        <f ca="1">(1-('Invoer gegevens'!$F$20/12))*L94*MIN(BA94,BC94)</f>
        <v>0</v>
      </c>
      <c r="O94" s="84">
        <f t="shared" ca="1" si="19"/>
        <v>0</v>
      </c>
      <c r="P94" s="84">
        <f ca="1">('Invoer gegevens'!$F$20/12)*L93*MIN(BA94,BC94)</f>
        <v>0</v>
      </c>
      <c r="Q94" s="84">
        <f t="shared" ca="1" si="23"/>
        <v>0</v>
      </c>
      <c r="R94" s="85">
        <f ca="1">IF('Invoer gegevens'!$C$17=E94,'Invoer gegevens'!$C$11,IF(C94=1,W93,0))</f>
        <v>0</v>
      </c>
      <c r="S94" s="86">
        <f t="shared" ca="1" si="20"/>
        <v>0</v>
      </c>
      <c r="T94" s="86">
        <f ca="1">(1-('Invoer gegevens'!$F$20/12))*R94*MIN(BC94,BA94)</f>
        <v>0</v>
      </c>
      <c r="U94" s="86">
        <f ca="1">IF(BD94&lt;1,IF(Reeksen!AD94&lt;=Reeksen!AE94,R94*Reeksen!C94,0),IF(BC94&gt;=BA94,0,IF(Reeksen!AD94&lt;=Reeksen!AE94,(BA94-BC94)*R94,0)))</f>
        <v>0</v>
      </c>
      <c r="V94" s="86">
        <f ca="1">IF(BD94&lt;1,IF(Reeksen!AD94&gt;Reeksen!AE94,R94*Reeksen!C94,0),IF(BC94&gt;=BA94,0,IF(Reeksen!AD94&gt;Reeksen!AE94,(BA94-BC94)*R94,0)))</f>
        <v>0</v>
      </c>
      <c r="W94" s="218">
        <f t="shared" ca="1" si="24"/>
        <v>0</v>
      </c>
      <c r="X94" s="98">
        <f ca="1">IF('Invoer gegevens'!$C$17=E94,'Invoer gegevens'!$C$10-'Invoer gegevens'!$C$11,IF(C94=1,AC93,0))</f>
        <v>0</v>
      </c>
      <c r="Y94" s="98">
        <f t="shared" ca="1" si="21"/>
        <v>0</v>
      </c>
      <c r="Z94" s="98">
        <f ca="1">(1-('Invoer gegevens'!$F$20/12))*X94*MIN(BA94,BC94)</f>
        <v>0</v>
      </c>
      <c r="AA94" s="98">
        <f ca="1">IF(BD94&lt;1,IF(Reeksen!AD94&lt;=Reeksen!AE94,X94*Reeksen!C94,0),IF(BC94&gt;=BA94,0,IF(Reeksen!AD94&lt;=Reeksen!AE94,(BA94-BC94)*X94,0)))</f>
        <v>0</v>
      </c>
      <c r="AB94" s="98">
        <f ca="1">IF(BD94&lt;1,IF(Reeksen!AD94&gt;Reeksen!AE94,X94*Reeksen!C94,0),IF(BC94&gt;=BA94,0,IF(Reeksen!AD94&gt;Reeksen!AE94,(BA94-BC94)*X94,0)))</f>
        <v>0</v>
      </c>
      <c r="AC94" s="99">
        <f t="shared" ca="1" si="25"/>
        <v>0</v>
      </c>
      <c r="AD94" s="98">
        <f ca="1">IF('Invoer gegevens'!$C$17=E94,R94,IF(C94=0,0,AE93))</f>
        <v>0</v>
      </c>
      <c r="AE94" s="98">
        <f t="shared" ca="1" si="26"/>
        <v>0</v>
      </c>
      <c r="AF94" s="98">
        <f ca="1">IF('Invoer gegevens'!$C$17=E94,X94,IF(C94=0,0,AG93))</f>
        <v>0</v>
      </c>
      <c r="AG94" s="98">
        <f t="shared" ca="1" si="27"/>
        <v>0</v>
      </c>
      <c r="AH94" s="66"/>
      <c r="AI94" s="71">
        <f ca="1">IF(C94=1,Reeksen!AI94*((F94+K94)/2)*12+Reeksen!AD94*((L94+Q94)/2)*12,0)</f>
        <v>0</v>
      </c>
      <c r="AJ94" s="71">
        <f ca="1">-AI94*'Invoer gegevens'!$F$28</f>
        <v>0</v>
      </c>
      <c r="AK94" s="71">
        <f t="shared" ca="1" si="28"/>
        <v>0</v>
      </c>
      <c r="AL94" s="71">
        <f ca="1">IF(C94=1,Reeksen!AL94*((F94-G94+F94)/2)*12+Reeksen!AM94*((L94-M94+L94)/2)*12,0)</f>
        <v>0</v>
      </c>
      <c r="AM94" s="71">
        <f ca="1">-AL94*'Invoer gegevens'!$F$31</f>
        <v>0</v>
      </c>
      <c r="AN94" s="71">
        <f t="shared" ca="1" si="29"/>
        <v>0</v>
      </c>
      <c r="AO94" s="71">
        <f ca="1">IF(C94=1,(H94+J94+N94+P94)*Reeksen!AN94,0)</f>
        <v>0</v>
      </c>
      <c r="AP94" s="71">
        <f ca="1">-IF(C94=1,(H94+J94+N94+P94)*'Hulp - basis'!$G$550*Reeksen!H94,0)</f>
        <v>0</v>
      </c>
      <c r="AQ94" s="71">
        <f ca="1">-IF(C94=1,(F94+K94+L94+Q94)/2*'Invoer gegevens'!$F$35*Reeksen!J94,0)*2</f>
        <v>0</v>
      </c>
      <c r="AR94" s="71">
        <f ca="1">IF(BD94&lt;1,-IF(C94=1,(G94*'Invoer gegevens'!$F$36)*Reeksen!J94,0),0)</f>
        <v>0</v>
      </c>
      <c r="AS94" s="71">
        <f ca="1">-IF(C94=1,(F94+K94+L94+Q94)/2*'Invoer gegevens'!$F$37*Reeksen!L94,0)</f>
        <v>0</v>
      </c>
      <c r="AT94" s="71">
        <f ca="1">-IF(C94=1,IF(E94='Invoer gegevens'!$C$17,'Invoer gegevens'!$C$11,AD94)*Reeksen!S94*'Invoer gegevens'!$C$18*Reeksen!P94,0)</f>
        <v>0</v>
      </c>
      <c r="AU94" s="71">
        <f ca="1">-IF(C94=1,(F94+K94+L94+Q94)/2*'Invoer gegevens'!$F$38*Reeksen!H94,0)</f>
        <v>0</v>
      </c>
      <c r="AV94" s="71">
        <f t="shared" si="33"/>
        <v>0</v>
      </c>
      <c r="AW94" s="71">
        <f t="shared" ca="1" si="30"/>
        <v>0</v>
      </c>
      <c r="AX94" s="71">
        <f ca="1">IF(E94&lt;'Invoer gegevens'!$C$17+15,0,IF(E94&gt;'Invoer gegevens'!$C$17+215,0,AW94))</f>
        <v>0</v>
      </c>
      <c r="AY94" s="71">
        <f ca="1">AX94/(1+'Invoer gegevens'!$F$18)^($AZ94-('Invoer gegevens'!$C$17-'Invoer gegevens'!$C$16))/(1+'Invoer gegevens'!$C$39)^('Invoer gegevens'!$C$17-'Invoer gegevens'!$C$16)</f>
        <v>0</v>
      </c>
      <c r="AZ94" s="68">
        <f ca="1">IF(E94-'Invoer gegevens'!$C$17-14.5&lt;0,0,E94-'Invoer gegevens'!$C$17-14.5)</f>
        <v>74.5</v>
      </c>
      <c r="BA94" s="109">
        <f ca="1">IFERROR(VLOOKUP(E94-15,Reeksen!$A$5:$D$234,2,FALSE),0)</f>
        <v>0</v>
      </c>
      <c r="BB94" s="109">
        <f ca="1">IFERROR(VLOOKUP(E94-15,Reeksen!$A$5:$D$234,3,FALSE),0)</f>
        <v>0</v>
      </c>
      <c r="BC94" s="109">
        <f ca="1">IFERROR(VLOOKUP(E94-15,Reeksen!$A$5:$D$234,4,FALSE),0)</f>
        <v>0</v>
      </c>
      <c r="BD94" s="67">
        <f ca="1">IF(E94-'Invoer gegevens'!$C$17&lt;15,0,1)</f>
        <v>1</v>
      </c>
    </row>
    <row r="95" spans="1:56" x14ac:dyDescent="0.25">
      <c r="A95" s="59"/>
      <c r="B95" s="70">
        <f t="shared" si="31"/>
        <v>91</v>
      </c>
      <c r="C95" s="67">
        <f ca="1">IF(E95-'Invoer gegevens'!$C$17&lt;0,0,1)</f>
        <v>1</v>
      </c>
      <c r="D95" s="68">
        <f t="shared" si="32"/>
        <v>90.5</v>
      </c>
      <c r="E95" s="108">
        <f ca="1">IF('Invoer gegevens'!$C$16="","",E94+1)</f>
        <v>2109</v>
      </c>
      <c r="F95" s="84">
        <f ca="1">IF('Invoer gegevens'!$C$17=E95,'Invoer gegevens'!$C$10,IF(C95=1,K94,0))</f>
        <v>0</v>
      </c>
      <c r="G95" s="96">
        <f ca="1">IF(BD95&lt;1,F95*Reeksen!C95,IF(C95&gt;=1,F95*BA95,0))</f>
        <v>0</v>
      </c>
      <c r="H95" s="84">
        <f ca="1">(1-('Invoer gegevens'!$F$20/12))*F95*MIN(BA95,BC95)</f>
        <v>0</v>
      </c>
      <c r="I95" s="84">
        <f t="shared" ca="1" si="17"/>
        <v>0</v>
      </c>
      <c r="J95" s="84">
        <f ca="1">('Invoer gegevens'!$F$20/12)*F94*MIN(BA95,BC95)</f>
        <v>0</v>
      </c>
      <c r="K95" s="97">
        <f t="shared" ca="1" si="22"/>
        <v>0</v>
      </c>
      <c r="L95" s="84">
        <f ca="1">IF('Invoer gegevens'!$C$17=E95,0,IF(C95=1,Q94,0))</f>
        <v>0</v>
      </c>
      <c r="M95" s="96">
        <f t="shared" ca="1" si="18"/>
        <v>0</v>
      </c>
      <c r="N95" s="84">
        <f ca="1">(1-('Invoer gegevens'!$F$20/12))*L95*MIN(BA95,BC95)</f>
        <v>0</v>
      </c>
      <c r="O95" s="84">
        <f t="shared" ca="1" si="19"/>
        <v>0</v>
      </c>
      <c r="P95" s="84">
        <f ca="1">('Invoer gegevens'!$F$20/12)*L94*MIN(BA95,BC95)</f>
        <v>0</v>
      </c>
      <c r="Q95" s="84">
        <f t="shared" ca="1" si="23"/>
        <v>0</v>
      </c>
      <c r="R95" s="85">
        <f ca="1">IF('Invoer gegevens'!$C$17=E95,'Invoer gegevens'!$C$11,IF(C95=1,W94,0))</f>
        <v>0</v>
      </c>
      <c r="S95" s="86">
        <f t="shared" ca="1" si="20"/>
        <v>0</v>
      </c>
      <c r="T95" s="86">
        <f ca="1">(1-('Invoer gegevens'!$F$20/12))*R95*MIN(BC95,BA95)</f>
        <v>0</v>
      </c>
      <c r="U95" s="86">
        <f ca="1">IF(BD95&lt;1,IF(Reeksen!AD95&lt;=Reeksen!AE95,R95*Reeksen!C95,0),IF(BC95&gt;=BA95,0,IF(Reeksen!AD95&lt;=Reeksen!AE95,(BA95-BC95)*R95,0)))</f>
        <v>0</v>
      </c>
      <c r="V95" s="86">
        <f ca="1">IF(BD95&lt;1,IF(Reeksen!AD95&gt;Reeksen!AE95,R95*Reeksen!C95,0),IF(BC95&gt;=BA95,0,IF(Reeksen!AD95&gt;Reeksen!AE95,(BA95-BC95)*R95,0)))</f>
        <v>0</v>
      </c>
      <c r="W95" s="218">
        <f t="shared" ca="1" si="24"/>
        <v>0</v>
      </c>
      <c r="X95" s="98">
        <f ca="1">IF('Invoer gegevens'!$C$17=E95,'Invoer gegevens'!$C$10-'Invoer gegevens'!$C$11,IF(C95=1,AC94,0))</f>
        <v>0</v>
      </c>
      <c r="Y95" s="98">
        <f t="shared" ca="1" si="21"/>
        <v>0</v>
      </c>
      <c r="Z95" s="98">
        <f ca="1">(1-('Invoer gegevens'!$F$20/12))*X95*MIN(BA95,BC95)</f>
        <v>0</v>
      </c>
      <c r="AA95" s="98">
        <f ca="1">IF(BD95&lt;1,IF(Reeksen!AD95&lt;=Reeksen!AE95,X95*Reeksen!C95,0),IF(BC95&gt;=BA95,0,IF(Reeksen!AD95&lt;=Reeksen!AE95,(BA95-BC95)*X95,0)))</f>
        <v>0</v>
      </c>
      <c r="AB95" s="98">
        <f ca="1">IF(BD95&lt;1,IF(Reeksen!AD95&gt;Reeksen!AE95,X95*Reeksen!C95,0),IF(BC95&gt;=BA95,0,IF(Reeksen!AD95&gt;Reeksen!AE95,(BA95-BC95)*X95,0)))</f>
        <v>0</v>
      </c>
      <c r="AC95" s="99">
        <f t="shared" ca="1" si="25"/>
        <v>0</v>
      </c>
      <c r="AD95" s="98">
        <f ca="1">IF('Invoer gegevens'!$C$17=E95,R95,IF(C95=0,0,AE94))</f>
        <v>0</v>
      </c>
      <c r="AE95" s="98">
        <f t="shared" ca="1" si="26"/>
        <v>0</v>
      </c>
      <c r="AF95" s="98">
        <f ca="1">IF('Invoer gegevens'!$C$17=E95,X95,IF(C95=0,0,AG94))</f>
        <v>0</v>
      </c>
      <c r="AG95" s="98">
        <f t="shared" ca="1" si="27"/>
        <v>0</v>
      </c>
      <c r="AH95" s="66"/>
      <c r="AI95" s="71">
        <f ca="1">IF(C95=1,Reeksen!AI95*((F95+K95)/2)*12+Reeksen!AD95*((L95+Q95)/2)*12,0)</f>
        <v>0</v>
      </c>
      <c r="AJ95" s="71">
        <f ca="1">-AI95*'Invoer gegevens'!$F$28</f>
        <v>0</v>
      </c>
      <c r="AK95" s="71">
        <f t="shared" ca="1" si="28"/>
        <v>0</v>
      </c>
      <c r="AL95" s="71">
        <f ca="1">IF(C95=1,Reeksen!AL95*((F95-G95+F95)/2)*12+Reeksen!AM95*((L95-M95+L95)/2)*12,0)</f>
        <v>0</v>
      </c>
      <c r="AM95" s="71">
        <f ca="1">-AL95*'Invoer gegevens'!$F$31</f>
        <v>0</v>
      </c>
      <c r="AN95" s="71">
        <f t="shared" ca="1" si="29"/>
        <v>0</v>
      </c>
      <c r="AO95" s="71">
        <f ca="1">IF(C95=1,(H95+J95+N95+P95)*Reeksen!AN95,0)</f>
        <v>0</v>
      </c>
      <c r="AP95" s="71">
        <f ca="1">-IF(C95=1,(H95+J95+N95+P95)*'Hulp - basis'!$G$550*Reeksen!H95,0)</f>
        <v>0</v>
      </c>
      <c r="AQ95" s="71">
        <f ca="1">-IF(C95=1,(F95+K95+L95+Q95)/2*'Invoer gegevens'!$F$35*Reeksen!J95,0)*2</f>
        <v>0</v>
      </c>
      <c r="AR95" s="71">
        <f ca="1">IF(BD95&lt;1,-IF(C95=1,(G95*'Invoer gegevens'!$F$36)*Reeksen!J95,0),0)</f>
        <v>0</v>
      </c>
      <c r="AS95" s="71">
        <f ca="1">-IF(C95=1,(F95+K95+L95+Q95)/2*'Invoer gegevens'!$F$37*Reeksen!L95,0)</f>
        <v>0</v>
      </c>
      <c r="AT95" s="71">
        <f ca="1">-IF(C95=1,IF(E95='Invoer gegevens'!$C$17,'Invoer gegevens'!$C$11,AD95)*Reeksen!S95*'Invoer gegevens'!$C$18*Reeksen!P95,0)</f>
        <v>0</v>
      </c>
      <c r="AU95" s="71">
        <f ca="1">-IF(C95=1,(F95+K95+L95+Q95)/2*'Invoer gegevens'!$F$38*Reeksen!H95,0)</f>
        <v>0</v>
      </c>
      <c r="AV95" s="71">
        <f t="shared" si="33"/>
        <v>0</v>
      </c>
      <c r="AW95" s="71">
        <f t="shared" ca="1" si="30"/>
        <v>0</v>
      </c>
      <c r="AX95" s="71">
        <f ca="1">IF(E95&lt;'Invoer gegevens'!$C$17+15,0,IF(E95&gt;'Invoer gegevens'!$C$17+215,0,AW95))</f>
        <v>0</v>
      </c>
      <c r="AY95" s="71">
        <f ca="1">AX95/(1+'Invoer gegevens'!$F$18)^($AZ95-('Invoer gegevens'!$C$17-'Invoer gegevens'!$C$16))/(1+'Invoer gegevens'!$C$39)^('Invoer gegevens'!$C$17-'Invoer gegevens'!$C$16)</f>
        <v>0</v>
      </c>
      <c r="AZ95" s="68">
        <f ca="1">IF(E95-'Invoer gegevens'!$C$17-14.5&lt;0,0,E95-'Invoer gegevens'!$C$17-14.5)</f>
        <v>75.5</v>
      </c>
      <c r="BA95" s="109">
        <f ca="1">IFERROR(VLOOKUP(E95-15,Reeksen!$A$5:$D$234,2,FALSE),0)</f>
        <v>0</v>
      </c>
      <c r="BB95" s="109">
        <f ca="1">IFERROR(VLOOKUP(E95-15,Reeksen!$A$5:$D$234,3,FALSE),0)</f>
        <v>0</v>
      </c>
      <c r="BC95" s="109">
        <f ca="1">IFERROR(VLOOKUP(E95-15,Reeksen!$A$5:$D$234,4,FALSE),0)</f>
        <v>0</v>
      </c>
      <c r="BD95" s="67">
        <f ca="1">IF(E95-'Invoer gegevens'!$C$17&lt;15,0,1)</f>
        <v>1</v>
      </c>
    </row>
    <row r="96" spans="1:56" x14ac:dyDescent="0.25">
      <c r="A96" s="59"/>
      <c r="B96" s="70">
        <f t="shared" si="31"/>
        <v>92</v>
      </c>
      <c r="C96" s="67">
        <f ca="1">IF(E96-'Invoer gegevens'!$C$17&lt;0,0,1)</f>
        <v>1</v>
      </c>
      <c r="D96" s="68">
        <f t="shared" si="32"/>
        <v>91.5</v>
      </c>
      <c r="E96" s="108">
        <f ca="1">IF('Invoer gegevens'!$C$16="","",E95+1)</f>
        <v>2110</v>
      </c>
      <c r="F96" s="84">
        <f ca="1">IF('Invoer gegevens'!$C$17=E96,'Invoer gegevens'!$C$10,IF(C96=1,K95,0))</f>
        <v>0</v>
      </c>
      <c r="G96" s="96">
        <f ca="1">IF(BD96&lt;1,F96*Reeksen!C96,IF(C96&gt;=1,F96*BA96,0))</f>
        <v>0</v>
      </c>
      <c r="H96" s="84">
        <f ca="1">(1-('Invoer gegevens'!$F$20/12))*F96*MIN(BA96,BC96)</f>
        <v>0</v>
      </c>
      <c r="I96" s="84">
        <f t="shared" ca="1" si="17"/>
        <v>0</v>
      </c>
      <c r="J96" s="84">
        <f ca="1">('Invoer gegevens'!$F$20/12)*F95*MIN(BA96,BC96)</f>
        <v>0</v>
      </c>
      <c r="K96" s="97">
        <f t="shared" ca="1" si="22"/>
        <v>0</v>
      </c>
      <c r="L96" s="84">
        <f ca="1">IF('Invoer gegevens'!$C$17=E96,0,IF(C96=1,Q95,0))</f>
        <v>0</v>
      </c>
      <c r="M96" s="96">
        <f t="shared" ca="1" si="18"/>
        <v>0</v>
      </c>
      <c r="N96" s="84">
        <f ca="1">(1-('Invoer gegevens'!$F$20/12))*L96*MIN(BA96,BC96)</f>
        <v>0</v>
      </c>
      <c r="O96" s="84">
        <f t="shared" ca="1" si="19"/>
        <v>0</v>
      </c>
      <c r="P96" s="84">
        <f ca="1">('Invoer gegevens'!$F$20/12)*L95*MIN(BA96,BC96)</f>
        <v>0</v>
      </c>
      <c r="Q96" s="84">
        <f t="shared" ca="1" si="23"/>
        <v>0</v>
      </c>
      <c r="R96" s="85">
        <f ca="1">IF('Invoer gegevens'!$C$17=E96,'Invoer gegevens'!$C$11,IF(C96=1,W95,0))</f>
        <v>0</v>
      </c>
      <c r="S96" s="86">
        <f t="shared" ca="1" si="20"/>
        <v>0</v>
      </c>
      <c r="T96" s="86">
        <f ca="1">(1-('Invoer gegevens'!$F$20/12))*R96*MIN(BC96,BA96)</f>
        <v>0</v>
      </c>
      <c r="U96" s="86">
        <f ca="1">IF(BD96&lt;1,IF(Reeksen!AD96&lt;=Reeksen!AE96,R96*Reeksen!C96,0),IF(BC96&gt;=BA96,0,IF(Reeksen!AD96&lt;=Reeksen!AE96,(BA96-BC96)*R96,0)))</f>
        <v>0</v>
      </c>
      <c r="V96" s="86">
        <f ca="1">IF(BD96&lt;1,IF(Reeksen!AD96&gt;Reeksen!AE96,R96*Reeksen!C96,0),IF(BC96&gt;=BA96,0,IF(Reeksen!AD96&gt;Reeksen!AE96,(BA96-BC96)*R96,0)))</f>
        <v>0</v>
      </c>
      <c r="W96" s="218">
        <f t="shared" ca="1" si="24"/>
        <v>0</v>
      </c>
      <c r="X96" s="98">
        <f ca="1">IF('Invoer gegevens'!$C$17=E96,'Invoer gegevens'!$C$10-'Invoer gegevens'!$C$11,IF(C96=1,AC95,0))</f>
        <v>0</v>
      </c>
      <c r="Y96" s="98">
        <f t="shared" ca="1" si="21"/>
        <v>0</v>
      </c>
      <c r="Z96" s="98">
        <f ca="1">(1-('Invoer gegevens'!$F$20/12))*X96*MIN(BA96,BC96)</f>
        <v>0</v>
      </c>
      <c r="AA96" s="98">
        <f ca="1">IF(BD96&lt;1,IF(Reeksen!AD96&lt;=Reeksen!AE96,X96*Reeksen!C96,0),IF(BC96&gt;=BA96,0,IF(Reeksen!AD96&lt;=Reeksen!AE96,(BA96-BC96)*X96,0)))</f>
        <v>0</v>
      </c>
      <c r="AB96" s="98">
        <f ca="1">IF(BD96&lt;1,IF(Reeksen!AD96&gt;Reeksen!AE96,X96*Reeksen!C96,0),IF(BC96&gt;=BA96,0,IF(Reeksen!AD96&gt;Reeksen!AE96,(BA96-BC96)*X96,0)))</f>
        <v>0</v>
      </c>
      <c r="AC96" s="99">
        <f t="shared" ca="1" si="25"/>
        <v>0</v>
      </c>
      <c r="AD96" s="98">
        <f ca="1">IF('Invoer gegevens'!$C$17=E96,R96,IF(C96=0,0,AE95))</f>
        <v>0</v>
      </c>
      <c r="AE96" s="98">
        <f t="shared" ca="1" si="26"/>
        <v>0</v>
      </c>
      <c r="AF96" s="98">
        <f ca="1">IF('Invoer gegevens'!$C$17=E96,X96,IF(C96=0,0,AG95))</f>
        <v>0</v>
      </c>
      <c r="AG96" s="98">
        <f t="shared" ca="1" si="27"/>
        <v>0</v>
      </c>
      <c r="AH96" s="66"/>
      <c r="AI96" s="71">
        <f ca="1">IF(C96=1,Reeksen!AI96*((F96+K96)/2)*12+Reeksen!AD96*((L96+Q96)/2)*12,0)</f>
        <v>0</v>
      </c>
      <c r="AJ96" s="71">
        <f ca="1">-AI96*'Invoer gegevens'!$F$28</f>
        <v>0</v>
      </c>
      <c r="AK96" s="71">
        <f t="shared" ca="1" si="28"/>
        <v>0</v>
      </c>
      <c r="AL96" s="71">
        <f ca="1">IF(C96=1,Reeksen!AL96*((F96-G96+F96)/2)*12+Reeksen!AM96*((L96-M96+L96)/2)*12,0)</f>
        <v>0</v>
      </c>
      <c r="AM96" s="71">
        <f ca="1">-AL96*'Invoer gegevens'!$F$31</f>
        <v>0</v>
      </c>
      <c r="AN96" s="71">
        <f t="shared" ca="1" si="29"/>
        <v>0</v>
      </c>
      <c r="AO96" s="71">
        <f ca="1">IF(C96=1,(H96+J96+N96+P96)*Reeksen!AN96,0)</f>
        <v>0</v>
      </c>
      <c r="AP96" s="71">
        <f ca="1">-IF(C96=1,(H96+J96+N96+P96)*'Hulp - basis'!$G$550*Reeksen!H96,0)</f>
        <v>0</v>
      </c>
      <c r="AQ96" s="71">
        <f ca="1">-IF(C96=1,(F96+K96+L96+Q96)/2*'Invoer gegevens'!$F$35*Reeksen!J96,0)*2</f>
        <v>0</v>
      </c>
      <c r="AR96" s="71">
        <f ca="1">IF(BD96&lt;1,-IF(C96=1,(G96*'Invoer gegevens'!$F$36)*Reeksen!J96,0),0)</f>
        <v>0</v>
      </c>
      <c r="AS96" s="71">
        <f ca="1">-IF(C96=1,(F96+K96+L96+Q96)/2*'Invoer gegevens'!$F$37*Reeksen!L96,0)</f>
        <v>0</v>
      </c>
      <c r="AT96" s="71">
        <f ca="1">-IF(C96=1,IF(E96='Invoer gegevens'!$C$17,'Invoer gegevens'!$C$11,AD96)*Reeksen!S96*'Invoer gegevens'!$C$18*Reeksen!P96,0)</f>
        <v>0</v>
      </c>
      <c r="AU96" s="71">
        <f ca="1">-IF(C96=1,(F96+K96+L96+Q96)/2*'Invoer gegevens'!$F$38*Reeksen!H96,0)</f>
        <v>0</v>
      </c>
      <c r="AV96" s="71">
        <f t="shared" si="33"/>
        <v>0</v>
      </c>
      <c r="AW96" s="71">
        <f t="shared" ca="1" si="30"/>
        <v>0</v>
      </c>
      <c r="AX96" s="71">
        <f ca="1">IF(E96&lt;'Invoer gegevens'!$C$17+15,0,IF(E96&gt;'Invoer gegevens'!$C$17+215,0,AW96))</f>
        <v>0</v>
      </c>
      <c r="AY96" s="71">
        <f ca="1">AX96/(1+'Invoer gegevens'!$F$18)^($AZ96-('Invoer gegevens'!$C$17-'Invoer gegevens'!$C$16))/(1+'Invoer gegevens'!$C$39)^('Invoer gegevens'!$C$17-'Invoer gegevens'!$C$16)</f>
        <v>0</v>
      </c>
      <c r="AZ96" s="68">
        <f ca="1">IF(E96-'Invoer gegevens'!$C$17-14.5&lt;0,0,E96-'Invoer gegevens'!$C$17-14.5)</f>
        <v>76.5</v>
      </c>
      <c r="BA96" s="109">
        <f ca="1">IFERROR(VLOOKUP(E96-15,Reeksen!$A$5:$D$234,2,FALSE),0)</f>
        <v>0</v>
      </c>
      <c r="BB96" s="109">
        <f ca="1">IFERROR(VLOOKUP(E96-15,Reeksen!$A$5:$D$234,3,FALSE),0)</f>
        <v>0</v>
      </c>
      <c r="BC96" s="109">
        <f ca="1">IFERROR(VLOOKUP(E96-15,Reeksen!$A$5:$D$234,4,FALSE),0)</f>
        <v>0</v>
      </c>
      <c r="BD96" s="67">
        <f ca="1">IF(E96-'Invoer gegevens'!$C$17&lt;15,0,1)</f>
        <v>1</v>
      </c>
    </row>
    <row r="97" spans="1:56" x14ac:dyDescent="0.25">
      <c r="A97" s="59"/>
      <c r="B97" s="70">
        <f t="shared" si="31"/>
        <v>93</v>
      </c>
      <c r="C97" s="67">
        <f ca="1">IF(E97-'Invoer gegevens'!$C$17&lt;0,0,1)</f>
        <v>1</v>
      </c>
      <c r="D97" s="68">
        <f t="shared" si="32"/>
        <v>92.5</v>
      </c>
      <c r="E97" s="108">
        <f ca="1">IF('Invoer gegevens'!$C$16="","",E96+1)</f>
        <v>2111</v>
      </c>
      <c r="F97" s="84">
        <f ca="1">IF('Invoer gegevens'!$C$17=E97,'Invoer gegevens'!$C$10,IF(C97=1,K96,0))</f>
        <v>0</v>
      </c>
      <c r="G97" s="96">
        <f ca="1">IF(BD97&lt;1,F97*Reeksen!C97,IF(C97&gt;=1,F97*BA97,0))</f>
        <v>0</v>
      </c>
      <c r="H97" s="84">
        <f ca="1">(1-('Invoer gegevens'!$F$20/12))*F97*MIN(BA97,BC97)</f>
        <v>0</v>
      </c>
      <c r="I97" s="84">
        <f t="shared" ca="1" si="17"/>
        <v>0</v>
      </c>
      <c r="J97" s="84">
        <f ca="1">('Invoer gegevens'!$F$20/12)*F96*MIN(BA97,BC97)</f>
        <v>0</v>
      </c>
      <c r="K97" s="97">
        <f t="shared" ca="1" si="22"/>
        <v>0</v>
      </c>
      <c r="L97" s="84">
        <f ca="1">IF('Invoer gegevens'!$C$17=E97,0,IF(C97=1,Q96,0))</f>
        <v>0</v>
      </c>
      <c r="M97" s="96">
        <f t="shared" ca="1" si="18"/>
        <v>0</v>
      </c>
      <c r="N97" s="84">
        <f ca="1">(1-('Invoer gegevens'!$F$20/12))*L97*MIN(BA97,BC97)</f>
        <v>0</v>
      </c>
      <c r="O97" s="84">
        <f t="shared" ca="1" si="19"/>
        <v>0</v>
      </c>
      <c r="P97" s="84">
        <f ca="1">('Invoer gegevens'!$F$20/12)*L96*MIN(BA97,BC97)</f>
        <v>0</v>
      </c>
      <c r="Q97" s="84">
        <f t="shared" ca="1" si="23"/>
        <v>0</v>
      </c>
      <c r="R97" s="85">
        <f ca="1">IF('Invoer gegevens'!$C$17=E97,'Invoer gegevens'!$C$11,IF(C97=1,W96,0))</f>
        <v>0</v>
      </c>
      <c r="S97" s="86">
        <f t="shared" ca="1" si="20"/>
        <v>0</v>
      </c>
      <c r="T97" s="86">
        <f ca="1">(1-('Invoer gegevens'!$F$20/12))*R97*MIN(BC97,BA97)</f>
        <v>0</v>
      </c>
      <c r="U97" s="86">
        <f ca="1">IF(BD97&lt;1,IF(Reeksen!AD97&lt;=Reeksen!AE97,R97*Reeksen!C97,0),IF(BC97&gt;=BA97,0,IF(Reeksen!AD97&lt;=Reeksen!AE97,(BA97-BC97)*R97,0)))</f>
        <v>0</v>
      </c>
      <c r="V97" s="86">
        <f ca="1">IF(BD97&lt;1,IF(Reeksen!AD97&gt;Reeksen!AE97,R97*Reeksen!C97,0),IF(BC97&gt;=BA97,0,IF(Reeksen!AD97&gt;Reeksen!AE97,(BA97-BC97)*R97,0)))</f>
        <v>0</v>
      </c>
      <c r="W97" s="218">
        <f t="shared" ca="1" si="24"/>
        <v>0</v>
      </c>
      <c r="X97" s="98">
        <f ca="1">IF('Invoer gegevens'!$C$17=E97,'Invoer gegevens'!$C$10-'Invoer gegevens'!$C$11,IF(C97=1,AC96,0))</f>
        <v>0</v>
      </c>
      <c r="Y97" s="98">
        <f t="shared" ca="1" si="21"/>
        <v>0</v>
      </c>
      <c r="Z97" s="98">
        <f ca="1">(1-('Invoer gegevens'!$F$20/12))*X97*MIN(BA97,BC97)</f>
        <v>0</v>
      </c>
      <c r="AA97" s="98">
        <f ca="1">IF(BD97&lt;1,IF(Reeksen!AD97&lt;=Reeksen!AE97,X97*Reeksen!C97,0),IF(BC97&gt;=BA97,0,IF(Reeksen!AD97&lt;=Reeksen!AE97,(BA97-BC97)*X97,0)))</f>
        <v>0</v>
      </c>
      <c r="AB97" s="98">
        <f ca="1">IF(BD97&lt;1,IF(Reeksen!AD97&gt;Reeksen!AE97,X97*Reeksen!C97,0),IF(BC97&gt;=BA97,0,IF(Reeksen!AD97&gt;Reeksen!AE97,(BA97-BC97)*X97,0)))</f>
        <v>0</v>
      </c>
      <c r="AC97" s="99">
        <f t="shared" ca="1" si="25"/>
        <v>0</v>
      </c>
      <c r="AD97" s="98">
        <f ca="1">IF('Invoer gegevens'!$C$17=E97,R97,IF(C97=0,0,AE96))</f>
        <v>0</v>
      </c>
      <c r="AE97" s="98">
        <f t="shared" ca="1" si="26"/>
        <v>0</v>
      </c>
      <c r="AF97" s="98">
        <f ca="1">IF('Invoer gegevens'!$C$17=E97,X97,IF(C97=0,0,AG96))</f>
        <v>0</v>
      </c>
      <c r="AG97" s="98">
        <f t="shared" ca="1" si="27"/>
        <v>0</v>
      </c>
      <c r="AH97" s="66"/>
      <c r="AI97" s="71">
        <f ca="1">IF(C97=1,Reeksen!AI97*((F97+K97)/2)*12+Reeksen!AD97*((L97+Q97)/2)*12,0)</f>
        <v>0</v>
      </c>
      <c r="AJ97" s="71">
        <f ca="1">-AI97*'Invoer gegevens'!$F$28</f>
        <v>0</v>
      </c>
      <c r="AK97" s="71">
        <f t="shared" ca="1" si="28"/>
        <v>0</v>
      </c>
      <c r="AL97" s="71">
        <f ca="1">IF(C97=1,Reeksen!AL97*((F97-G97+F97)/2)*12+Reeksen!AM97*((L97-M97+L97)/2)*12,0)</f>
        <v>0</v>
      </c>
      <c r="AM97" s="71">
        <f ca="1">-AL97*'Invoer gegevens'!$F$31</f>
        <v>0</v>
      </c>
      <c r="AN97" s="71">
        <f t="shared" ca="1" si="29"/>
        <v>0</v>
      </c>
      <c r="AO97" s="71">
        <f ca="1">IF(C97=1,(H97+J97+N97+P97)*Reeksen!AN97,0)</f>
        <v>0</v>
      </c>
      <c r="AP97" s="71">
        <f ca="1">-IF(C97=1,(H97+J97+N97+P97)*'Hulp - basis'!$G$550*Reeksen!H97,0)</f>
        <v>0</v>
      </c>
      <c r="AQ97" s="71">
        <f ca="1">-IF(C97=1,(F97+K97+L97+Q97)/2*'Invoer gegevens'!$F$35*Reeksen!J97,0)*2</f>
        <v>0</v>
      </c>
      <c r="AR97" s="71">
        <f ca="1">IF(BD97&lt;1,-IF(C97=1,(G97*'Invoer gegevens'!$F$36)*Reeksen!J97,0),0)</f>
        <v>0</v>
      </c>
      <c r="AS97" s="71">
        <f ca="1">-IF(C97=1,(F97+K97+L97+Q97)/2*'Invoer gegevens'!$F$37*Reeksen!L97,0)</f>
        <v>0</v>
      </c>
      <c r="AT97" s="71">
        <f ca="1">-IF(C97=1,IF(E97='Invoer gegevens'!$C$17,'Invoer gegevens'!$C$11,AD97)*Reeksen!S97*'Invoer gegevens'!$C$18*Reeksen!P97,0)</f>
        <v>0</v>
      </c>
      <c r="AU97" s="71">
        <f ca="1">-IF(C97=1,(F97+K97+L97+Q97)/2*'Invoer gegevens'!$F$38*Reeksen!H97,0)</f>
        <v>0</v>
      </c>
      <c r="AV97" s="71">
        <f t="shared" si="33"/>
        <v>0</v>
      </c>
      <c r="AW97" s="71">
        <f t="shared" ca="1" si="30"/>
        <v>0</v>
      </c>
      <c r="AX97" s="71">
        <f ca="1">IF(E97&lt;'Invoer gegevens'!$C$17+15,0,IF(E97&gt;'Invoer gegevens'!$C$17+215,0,AW97))</f>
        <v>0</v>
      </c>
      <c r="AY97" s="71">
        <f ca="1">AX97/(1+'Invoer gegevens'!$F$18)^($AZ97-('Invoer gegevens'!$C$17-'Invoer gegevens'!$C$16))/(1+'Invoer gegevens'!$C$39)^('Invoer gegevens'!$C$17-'Invoer gegevens'!$C$16)</f>
        <v>0</v>
      </c>
      <c r="AZ97" s="68">
        <f ca="1">IF(E97-'Invoer gegevens'!$C$17-14.5&lt;0,0,E97-'Invoer gegevens'!$C$17-14.5)</f>
        <v>77.5</v>
      </c>
      <c r="BA97" s="109">
        <f ca="1">IFERROR(VLOOKUP(E97-15,Reeksen!$A$5:$D$234,2,FALSE),0)</f>
        <v>0</v>
      </c>
      <c r="BB97" s="109">
        <f ca="1">IFERROR(VLOOKUP(E97-15,Reeksen!$A$5:$D$234,3,FALSE),0)</f>
        <v>0</v>
      </c>
      <c r="BC97" s="109">
        <f ca="1">IFERROR(VLOOKUP(E97-15,Reeksen!$A$5:$D$234,4,FALSE),0)</f>
        <v>0</v>
      </c>
      <c r="BD97" s="67">
        <f ca="1">IF(E97-'Invoer gegevens'!$C$17&lt;15,0,1)</f>
        <v>1</v>
      </c>
    </row>
    <row r="98" spans="1:56" x14ac:dyDescent="0.25">
      <c r="A98" s="59"/>
      <c r="B98" s="70">
        <f t="shared" si="31"/>
        <v>94</v>
      </c>
      <c r="C98" s="67">
        <f ca="1">IF(E98-'Invoer gegevens'!$C$17&lt;0,0,1)</f>
        <v>1</v>
      </c>
      <c r="D98" s="68">
        <f t="shared" si="32"/>
        <v>93.5</v>
      </c>
      <c r="E98" s="108">
        <f ca="1">IF('Invoer gegevens'!$C$16="","",E97+1)</f>
        <v>2112</v>
      </c>
      <c r="F98" s="84">
        <f ca="1">IF('Invoer gegevens'!$C$17=E98,'Invoer gegevens'!$C$10,IF(C98=1,K97,0))</f>
        <v>0</v>
      </c>
      <c r="G98" s="96">
        <f ca="1">IF(BD98&lt;1,F98*Reeksen!C98,IF(C98&gt;=1,F98*BA98,0))</f>
        <v>0</v>
      </c>
      <c r="H98" s="84">
        <f ca="1">(1-('Invoer gegevens'!$F$20/12))*F98*MIN(BA98,BC98)</f>
        <v>0</v>
      </c>
      <c r="I98" s="84">
        <f t="shared" ca="1" si="17"/>
        <v>0</v>
      </c>
      <c r="J98" s="84">
        <f ca="1">('Invoer gegevens'!$F$20/12)*F97*MIN(BA98,BC98)</f>
        <v>0</v>
      </c>
      <c r="K98" s="97">
        <f t="shared" ca="1" si="22"/>
        <v>0</v>
      </c>
      <c r="L98" s="84">
        <f ca="1">IF('Invoer gegevens'!$C$17=E98,0,IF(C98=1,Q97,0))</f>
        <v>0</v>
      </c>
      <c r="M98" s="96">
        <f t="shared" ca="1" si="18"/>
        <v>0</v>
      </c>
      <c r="N98" s="84">
        <f ca="1">(1-('Invoer gegevens'!$F$20/12))*L98*MIN(BA98,BC98)</f>
        <v>0</v>
      </c>
      <c r="O98" s="84">
        <f t="shared" ca="1" si="19"/>
        <v>0</v>
      </c>
      <c r="P98" s="84">
        <f ca="1">('Invoer gegevens'!$F$20/12)*L97*MIN(BA98,BC98)</f>
        <v>0</v>
      </c>
      <c r="Q98" s="84">
        <f t="shared" ca="1" si="23"/>
        <v>0</v>
      </c>
      <c r="R98" s="85">
        <f ca="1">IF('Invoer gegevens'!$C$17=E98,'Invoer gegevens'!$C$11,IF(C98=1,W97,0))</f>
        <v>0</v>
      </c>
      <c r="S98" s="86">
        <f t="shared" ca="1" si="20"/>
        <v>0</v>
      </c>
      <c r="T98" s="86">
        <f ca="1">(1-('Invoer gegevens'!$F$20/12))*R98*MIN(BC98,BA98)</f>
        <v>0</v>
      </c>
      <c r="U98" s="86">
        <f ca="1">IF(BD98&lt;1,IF(Reeksen!AD98&lt;=Reeksen!AE98,R98*Reeksen!C98,0),IF(BC98&gt;=BA98,0,IF(Reeksen!AD98&lt;=Reeksen!AE98,(BA98-BC98)*R98,0)))</f>
        <v>0</v>
      </c>
      <c r="V98" s="86">
        <f ca="1">IF(BD98&lt;1,IF(Reeksen!AD98&gt;Reeksen!AE98,R98*Reeksen!C98,0),IF(BC98&gt;=BA98,0,IF(Reeksen!AD98&gt;Reeksen!AE98,(BA98-BC98)*R98,0)))</f>
        <v>0</v>
      </c>
      <c r="W98" s="218">
        <f t="shared" ca="1" si="24"/>
        <v>0</v>
      </c>
      <c r="X98" s="98">
        <f ca="1">IF('Invoer gegevens'!$C$17=E98,'Invoer gegevens'!$C$10-'Invoer gegevens'!$C$11,IF(C98=1,AC97,0))</f>
        <v>0</v>
      </c>
      <c r="Y98" s="98">
        <f t="shared" ca="1" si="21"/>
        <v>0</v>
      </c>
      <c r="Z98" s="98">
        <f ca="1">(1-('Invoer gegevens'!$F$20/12))*X98*MIN(BA98,BC98)</f>
        <v>0</v>
      </c>
      <c r="AA98" s="98">
        <f ca="1">IF(BD98&lt;1,IF(Reeksen!AD98&lt;=Reeksen!AE98,X98*Reeksen!C98,0),IF(BC98&gt;=BA98,0,IF(Reeksen!AD98&lt;=Reeksen!AE98,(BA98-BC98)*X98,0)))</f>
        <v>0</v>
      </c>
      <c r="AB98" s="98">
        <f ca="1">IF(BD98&lt;1,IF(Reeksen!AD98&gt;Reeksen!AE98,X98*Reeksen!C98,0),IF(BC98&gt;=BA98,0,IF(Reeksen!AD98&gt;Reeksen!AE98,(BA98-BC98)*X98,0)))</f>
        <v>0</v>
      </c>
      <c r="AC98" s="99">
        <f t="shared" ca="1" si="25"/>
        <v>0</v>
      </c>
      <c r="AD98" s="98">
        <f ca="1">IF('Invoer gegevens'!$C$17=E98,R98,IF(C98=0,0,AE97))</f>
        <v>0</v>
      </c>
      <c r="AE98" s="98">
        <f t="shared" ca="1" si="26"/>
        <v>0</v>
      </c>
      <c r="AF98" s="98">
        <f ca="1">IF('Invoer gegevens'!$C$17=E98,X98,IF(C98=0,0,AG97))</f>
        <v>0</v>
      </c>
      <c r="AG98" s="98">
        <f t="shared" ca="1" si="27"/>
        <v>0</v>
      </c>
      <c r="AH98" s="66"/>
      <c r="AI98" s="71">
        <f ca="1">IF(C98=1,Reeksen!AI98*((F98+K98)/2)*12+Reeksen!AD98*((L98+Q98)/2)*12,0)</f>
        <v>0</v>
      </c>
      <c r="AJ98" s="71">
        <f ca="1">-AI98*'Invoer gegevens'!$F$28</f>
        <v>0</v>
      </c>
      <c r="AK98" s="71">
        <f t="shared" ca="1" si="28"/>
        <v>0</v>
      </c>
      <c r="AL98" s="71">
        <f ca="1">IF(C98=1,Reeksen!AL98*((F98-G98+F98)/2)*12+Reeksen!AM98*((L98-M98+L98)/2)*12,0)</f>
        <v>0</v>
      </c>
      <c r="AM98" s="71">
        <f ca="1">-AL98*'Invoer gegevens'!$F$31</f>
        <v>0</v>
      </c>
      <c r="AN98" s="71">
        <f t="shared" ca="1" si="29"/>
        <v>0</v>
      </c>
      <c r="AO98" s="71">
        <f ca="1">IF(C98=1,(H98+J98+N98+P98)*Reeksen!AN98,0)</f>
        <v>0</v>
      </c>
      <c r="AP98" s="71">
        <f ca="1">-IF(C98=1,(H98+J98+N98+P98)*'Hulp - basis'!$G$550*Reeksen!H98,0)</f>
        <v>0</v>
      </c>
      <c r="AQ98" s="71">
        <f ca="1">-IF(C98=1,(F98+K98+L98+Q98)/2*'Invoer gegevens'!$F$35*Reeksen!J98,0)*2</f>
        <v>0</v>
      </c>
      <c r="AR98" s="71">
        <f ca="1">IF(BD98&lt;1,-IF(C98=1,(G98*'Invoer gegevens'!$F$36)*Reeksen!J98,0),0)</f>
        <v>0</v>
      </c>
      <c r="AS98" s="71">
        <f ca="1">-IF(C98=1,(F98+K98+L98+Q98)/2*'Invoer gegevens'!$F$37*Reeksen!L98,0)</f>
        <v>0</v>
      </c>
      <c r="AT98" s="71">
        <f ca="1">-IF(C98=1,IF(E98='Invoer gegevens'!$C$17,'Invoer gegevens'!$C$11,AD98)*Reeksen!S98*'Invoer gegevens'!$C$18*Reeksen!P98,0)</f>
        <v>0</v>
      </c>
      <c r="AU98" s="71">
        <f ca="1">-IF(C98=1,(F98+K98+L98+Q98)/2*'Invoer gegevens'!$F$38*Reeksen!H98,0)</f>
        <v>0</v>
      </c>
      <c r="AV98" s="71">
        <f t="shared" si="33"/>
        <v>0</v>
      </c>
      <c r="AW98" s="71">
        <f t="shared" ca="1" si="30"/>
        <v>0</v>
      </c>
      <c r="AX98" s="71">
        <f ca="1">IF(E98&lt;'Invoer gegevens'!$C$17+15,0,IF(E98&gt;'Invoer gegevens'!$C$17+215,0,AW98))</f>
        <v>0</v>
      </c>
      <c r="AY98" s="71">
        <f ca="1">AX98/(1+'Invoer gegevens'!$F$18)^($AZ98-('Invoer gegevens'!$C$17-'Invoer gegevens'!$C$16))/(1+'Invoer gegevens'!$C$39)^('Invoer gegevens'!$C$17-'Invoer gegevens'!$C$16)</f>
        <v>0</v>
      </c>
      <c r="AZ98" s="68">
        <f ca="1">IF(E98-'Invoer gegevens'!$C$17-14.5&lt;0,0,E98-'Invoer gegevens'!$C$17-14.5)</f>
        <v>78.5</v>
      </c>
      <c r="BA98" s="109">
        <f ca="1">IFERROR(VLOOKUP(E98-15,Reeksen!$A$5:$D$234,2,FALSE),0)</f>
        <v>0</v>
      </c>
      <c r="BB98" s="109">
        <f ca="1">IFERROR(VLOOKUP(E98-15,Reeksen!$A$5:$D$234,3,FALSE),0)</f>
        <v>0</v>
      </c>
      <c r="BC98" s="109">
        <f ca="1">IFERROR(VLOOKUP(E98-15,Reeksen!$A$5:$D$234,4,FALSE),0)</f>
        <v>0</v>
      </c>
      <c r="BD98" s="67">
        <f ca="1">IF(E98-'Invoer gegevens'!$C$17&lt;15,0,1)</f>
        <v>1</v>
      </c>
    </row>
    <row r="99" spans="1:56" x14ac:dyDescent="0.25">
      <c r="A99" s="59"/>
      <c r="B99" s="70">
        <f t="shared" si="31"/>
        <v>95</v>
      </c>
      <c r="C99" s="67">
        <f ca="1">IF(E99-'Invoer gegevens'!$C$17&lt;0,0,1)</f>
        <v>1</v>
      </c>
      <c r="D99" s="68">
        <f t="shared" si="32"/>
        <v>94.5</v>
      </c>
      <c r="E99" s="108">
        <f ca="1">IF('Invoer gegevens'!$C$16="","",E98+1)</f>
        <v>2113</v>
      </c>
      <c r="F99" s="84">
        <f ca="1">IF('Invoer gegevens'!$C$17=E99,'Invoer gegevens'!$C$10,IF(C99=1,K98,0))</f>
        <v>0</v>
      </c>
      <c r="G99" s="96">
        <f ca="1">IF(BD99&lt;1,F99*Reeksen!C99,IF(C99&gt;=1,F99*BA99,0))</f>
        <v>0</v>
      </c>
      <c r="H99" s="84">
        <f ca="1">(1-('Invoer gegevens'!$F$20/12))*F99*MIN(BA99,BC99)</f>
        <v>0</v>
      </c>
      <c r="I99" s="84">
        <f t="shared" ca="1" si="17"/>
        <v>0</v>
      </c>
      <c r="J99" s="84">
        <f ca="1">('Invoer gegevens'!$F$20/12)*F98*MIN(BA99,BC99)</f>
        <v>0</v>
      </c>
      <c r="K99" s="97">
        <f t="shared" ca="1" si="22"/>
        <v>0</v>
      </c>
      <c r="L99" s="84">
        <f ca="1">IF('Invoer gegevens'!$C$17=E99,0,IF(C99=1,Q98,0))</f>
        <v>0</v>
      </c>
      <c r="M99" s="96">
        <f t="shared" ca="1" si="18"/>
        <v>0</v>
      </c>
      <c r="N99" s="84">
        <f ca="1">(1-('Invoer gegevens'!$F$20/12))*L99*MIN(BA99,BC99)</f>
        <v>0</v>
      </c>
      <c r="O99" s="84">
        <f t="shared" ca="1" si="19"/>
        <v>0</v>
      </c>
      <c r="P99" s="84">
        <f ca="1">('Invoer gegevens'!$F$20/12)*L98*MIN(BA99,BC99)</f>
        <v>0</v>
      </c>
      <c r="Q99" s="84">
        <f t="shared" ca="1" si="23"/>
        <v>0</v>
      </c>
      <c r="R99" s="85">
        <f ca="1">IF('Invoer gegevens'!$C$17=E99,'Invoer gegevens'!$C$11,IF(C99=1,W98,0))</f>
        <v>0</v>
      </c>
      <c r="S99" s="86">
        <f t="shared" ca="1" si="20"/>
        <v>0</v>
      </c>
      <c r="T99" s="86">
        <f ca="1">(1-('Invoer gegevens'!$F$20/12))*R99*MIN(BC99,BA99)</f>
        <v>0</v>
      </c>
      <c r="U99" s="86">
        <f ca="1">IF(BD99&lt;1,IF(Reeksen!AD99&lt;=Reeksen!AE99,R99*Reeksen!C99,0),IF(BC99&gt;=BA99,0,IF(Reeksen!AD99&lt;=Reeksen!AE99,(BA99-BC99)*R99,0)))</f>
        <v>0</v>
      </c>
      <c r="V99" s="86">
        <f ca="1">IF(BD99&lt;1,IF(Reeksen!AD99&gt;Reeksen!AE99,R99*Reeksen!C99,0),IF(BC99&gt;=BA99,0,IF(Reeksen!AD99&gt;Reeksen!AE99,(BA99-BC99)*R99,0)))</f>
        <v>0</v>
      </c>
      <c r="W99" s="218">
        <f t="shared" ca="1" si="24"/>
        <v>0</v>
      </c>
      <c r="X99" s="98">
        <f ca="1">IF('Invoer gegevens'!$C$17=E99,'Invoer gegevens'!$C$10-'Invoer gegevens'!$C$11,IF(C99=1,AC98,0))</f>
        <v>0</v>
      </c>
      <c r="Y99" s="98">
        <f t="shared" ca="1" si="21"/>
        <v>0</v>
      </c>
      <c r="Z99" s="98">
        <f ca="1">(1-('Invoer gegevens'!$F$20/12))*X99*MIN(BA99,BC99)</f>
        <v>0</v>
      </c>
      <c r="AA99" s="98">
        <f ca="1">IF(BD99&lt;1,IF(Reeksen!AD99&lt;=Reeksen!AE99,X99*Reeksen!C99,0),IF(BC99&gt;=BA99,0,IF(Reeksen!AD99&lt;=Reeksen!AE99,(BA99-BC99)*X99,0)))</f>
        <v>0</v>
      </c>
      <c r="AB99" s="98">
        <f ca="1">IF(BD99&lt;1,IF(Reeksen!AD99&gt;Reeksen!AE99,X99*Reeksen!C99,0),IF(BC99&gt;=BA99,0,IF(Reeksen!AD99&gt;Reeksen!AE99,(BA99-BC99)*X99,0)))</f>
        <v>0</v>
      </c>
      <c r="AC99" s="99">
        <f t="shared" ca="1" si="25"/>
        <v>0</v>
      </c>
      <c r="AD99" s="98">
        <f ca="1">IF('Invoer gegevens'!$C$17=E99,R99,IF(C99=0,0,AE98))</f>
        <v>0</v>
      </c>
      <c r="AE99" s="98">
        <f t="shared" ca="1" si="26"/>
        <v>0</v>
      </c>
      <c r="AF99" s="98">
        <f ca="1">IF('Invoer gegevens'!$C$17=E99,X99,IF(C99=0,0,AG98))</f>
        <v>0</v>
      </c>
      <c r="AG99" s="98">
        <f t="shared" ca="1" si="27"/>
        <v>0</v>
      </c>
      <c r="AH99" s="66"/>
      <c r="AI99" s="71">
        <f ca="1">IF(C99=1,Reeksen!AI99*((F99+K99)/2)*12+Reeksen!AD99*((L99+Q99)/2)*12,0)</f>
        <v>0</v>
      </c>
      <c r="AJ99" s="71">
        <f ca="1">-AI99*'Invoer gegevens'!$F$28</f>
        <v>0</v>
      </c>
      <c r="AK99" s="71">
        <f t="shared" ca="1" si="28"/>
        <v>0</v>
      </c>
      <c r="AL99" s="71">
        <f ca="1">IF(C99=1,Reeksen!AL99*((F99-G99+F99)/2)*12+Reeksen!AM99*((L99-M99+L99)/2)*12,0)</f>
        <v>0</v>
      </c>
      <c r="AM99" s="71">
        <f ca="1">-AL99*'Invoer gegevens'!$F$31</f>
        <v>0</v>
      </c>
      <c r="AN99" s="71">
        <f t="shared" ca="1" si="29"/>
        <v>0</v>
      </c>
      <c r="AO99" s="71">
        <f ca="1">IF(C99=1,(H99+J99+N99+P99)*Reeksen!AN99,0)</f>
        <v>0</v>
      </c>
      <c r="AP99" s="71">
        <f ca="1">-IF(C99=1,(H99+J99+N99+P99)*'Hulp - basis'!$G$550*Reeksen!H99,0)</f>
        <v>0</v>
      </c>
      <c r="AQ99" s="71">
        <f ca="1">-IF(C99=1,(F99+K99+L99+Q99)/2*'Invoer gegevens'!$F$35*Reeksen!J99,0)*2</f>
        <v>0</v>
      </c>
      <c r="AR99" s="71">
        <f ca="1">IF(BD99&lt;1,-IF(C99=1,(G99*'Invoer gegevens'!$F$36)*Reeksen!J99,0),0)</f>
        <v>0</v>
      </c>
      <c r="AS99" s="71">
        <f ca="1">-IF(C99=1,(F99+K99+L99+Q99)/2*'Invoer gegevens'!$F$37*Reeksen!L99,0)</f>
        <v>0</v>
      </c>
      <c r="AT99" s="71">
        <f ca="1">-IF(C99=1,IF(E99='Invoer gegevens'!$C$17,'Invoer gegevens'!$C$11,AD99)*Reeksen!S99*'Invoer gegevens'!$C$18*Reeksen!P99,0)</f>
        <v>0</v>
      </c>
      <c r="AU99" s="71">
        <f ca="1">-IF(C99=1,(F99+K99+L99+Q99)/2*'Invoer gegevens'!$F$38*Reeksen!H99,0)</f>
        <v>0</v>
      </c>
      <c r="AV99" s="71">
        <f t="shared" si="33"/>
        <v>0</v>
      </c>
      <c r="AW99" s="71">
        <f t="shared" ca="1" si="30"/>
        <v>0</v>
      </c>
      <c r="AX99" s="71">
        <f ca="1">IF(E99&lt;'Invoer gegevens'!$C$17+15,0,IF(E99&gt;'Invoer gegevens'!$C$17+215,0,AW99))</f>
        <v>0</v>
      </c>
      <c r="AY99" s="71">
        <f ca="1">AX99/(1+'Invoer gegevens'!$F$18)^($AZ99-('Invoer gegevens'!$C$17-'Invoer gegevens'!$C$16))/(1+'Invoer gegevens'!$C$39)^('Invoer gegevens'!$C$17-'Invoer gegevens'!$C$16)</f>
        <v>0</v>
      </c>
      <c r="AZ99" s="68">
        <f ca="1">IF(E99-'Invoer gegevens'!$C$17-14.5&lt;0,0,E99-'Invoer gegevens'!$C$17-14.5)</f>
        <v>79.5</v>
      </c>
      <c r="BA99" s="109">
        <f ca="1">IFERROR(VLOOKUP(E99-15,Reeksen!$A$5:$D$234,2,FALSE),0)</f>
        <v>0</v>
      </c>
      <c r="BB99" s="109">
        <f ca="1">IFERROR(VLOOKUP(E99-15,Reeksen!$A$5:$D$234,3,FALSE),0)</f>
        <v>0</v>
      </c>
      <c r="BC99" s="109">
        <f ca="1">IFERROR(VLOOKUP(E99-15,Reeksen!$A$5:$D$234,4,FALSE),0)</f>
        <v>0</v>
      </c>
      <c r="BD99" s="67">
        <f ca="1">IF(E99-'Invoer gegevens'!$C$17&lt;15,0,1)</f>
        <v>1</v>
      </c>
    </row>
    <row r="100" spans="1:56" x14ac:dyDescent="0.25">
      <c r="A100" s="59"/>
      <c r="B100" s="70">
        <f t="shared" si="31"/>
        <v>96</v>
      </c>
      <c r="C100" s="67">
        <f ca="1">IF(E100-'Invoer gegevens'!$C$17&lt;0,0,1)</f>
        <v>1</v>
      </c>
      <c r="D100" s="68">
        <f t="shared" si="32"/>
        <v>95.5</v>
      </c>
      <c r="E100" s="108">
        <f ca="1">IF('Invoer gegevens'!$C$16="","",E99+1)</f>
        <v>2114</v>
      </c>
      <c r="F100" s="84">
        <f ca="1">IF('Invoer gegevens'!$C$17=E100,'Invoer gegevens'!$C$10,IF(C100=1,K99,0))</f>
        <v>0</v>
      </c>
      <c r="G100" s="96">
        <f ca="1">IF(BD100&lt;1,F100*Reeksen!C100,IF(C100&gt;=1,F100*BA100,0))</f>
        <v>0</v>
      </c>
      <c r="H100" s="84">
        <f ca="1">(1-('Invoer gegevens'!$F$20/12))*F100*MIN(BA100,BC100)</f>
        <v>0</v>
      </c>
      <c r="I100" s="84">
        <f t="shared" ca="1" si="17"/>
        <v>0</v>
      </c>
      <c r="J100" s="84">
        <f ca="1">('Invoer gegevens'!$F$20/12)*F99*MIN(BA100,BC100)</f>
        <v>0</v>
      </c>
      <c r="K100" s="97">
        <f t="shared" ca="1" si="22"/>
        <v>0</v>
      </c>
      <c r="L100" s="84">
        <f ca="1">IF('Invoer gegevens'!$C$17=E100,0,IF(C100=1,Q99,0))</f>
        <v>0</v>
      </c>
      <c r="M100" s="96">
        <f t="shared" ca="1" si="18"/>
        <v>0</v>
      </c>
      <c r="N100" s="84">
        <f ca="1">(1-('Invoer gegevens'!$F$20/12))*L100*MIN(BA100,BC100)</f>
        <v>0</v>
      </c>
      <c r="O100" s="84">
        <f t="shared" ca="1" si="19"/>
        <v>0</v>
      </c>
      <c r="P100" s="84">
        <f ca="1">('Invoer gegevens'!$F$20/12)*L99*MIN(BA100,BC100)</f>
        <v>0</v>
      </c>
      <c r="Q100" s="84">
        <f t="shared" ca="1" si="23"/>
        <v>0</v>
      </c>
      <c r="R100" s="85">
        <f ca="1">IF('Invoer gegevens'!$C$17=E100,'Invoer gegevens'!$C$11,IF(C100=1,W99,0))</f>
        <v>0</v>
      </c>
      <c r="S100" s="86">
        <f t="shared" ca="1" si="20"/>
        <v>0</v>
      </c>
      <c r="T100" s="86">
        <f ca="1">(1-('Invoer gegevens'!$F$20/12))*R100*MIN(BC100,BA100)</f>
        <v>0</v>
      </c>
      <c r="U100" s="86">
        <f ca="1">IF(BD100&lt;1,IF(Reeksen!AD100&lt;=Reeksen!AE100,R100*Reeksen!C100,0),IF(BC100&gt;=BA100,0,IF(Reeksen!AD100&lt;=Reeksen!AE100,(BA100-BC100)*R100,0)))</f>
        <v>0</v>
      </c>
      <c r="V100" s="86">
        <f ca="1">IF(BD100&lt;1,IF(Reeksen!AD100&gt;Reeksen!AE100,R100*Reeksen!C100,0),IF(BC100&gt;=BA100,0,IF(Reeksen!AD100&gt;Reeksen!AE100,(BA100-BC100)*R100,0)))</f>
        <v>0</v>
      </c>
      <c r="W100" s="218">
        <f t="shared" ca="1" si="24"/>
        <v>0</v>
      </c>
      <c r="X100" s="98">
        <f ca="1">IF('Invoer gegevens'!$C$17=E100,'Invoer gegevens'!$C$10-'Invoer gegevens'!$C$11,IF(C100=1,AC99,0))</f>
        <v>0</v>
      </c>
      <c r="Y100" s="98">
        <f t="shared" ca="1" si="21"/>
        <v>0</v>
      </c>
      <c r="Z100" s="98">
        <f ca="1">(1-('Invoer gegevens'!$F$20/12))*X100*MIN(BA100,BC100)</f>
        <v>0</v>
      </c>
      <c r="AA100" s="98">
        <f ca="1">IF(BD100&lt;1,IF(Reeksen!AD100&lt;=Reeksen!AE100,X100*Reeksen!C100,0),IF(BC100&gt;=BA100,0,IF(Reeksen!AD100&lt;=Reeksen!AE100,(BA100-BC100)*X100,0)))</f>
        <v>0</v>
      </c>
      <c r="AB100" s="98">
        <f ca="1">IF(BD100&lt;1,IF(Reeksen!AD100&gt;Reeksen!AE100,X100*Reeksen!C100,0),IF(BC100&gt;=BA100,0,IF(Reeksen!AD100&gt;Reeksen!AE100,(BA100-BC100)*X100,0)))</f>
        <v>0</v>
      </c>
      <c r="AC100" s="99">
        <f t="shared" ca="1" si="25"/>
        <v>0</v>
      </c>
      <c r="AD100" s="98">
        <f ca="1">IF('Invoer gegevens'!$C$17=E100,R100,IF(C100=0,0,AE99))</f>
        <v>0</v>
      </c>
      <c r="AE100" s="98">
        <f t="shared" ca="1" si="26"/>
        <v>0</v>
      </c>
      <c r="AF100" s="98">
        <f ca="1">IF('Invoer gegevens'!$C$17=E100,X100,IF(C100=0,0,AG99))</f>
        <v>0</v>
      </c>
      <c r="AG100" s="98">
        <f t="shared" ca="1" si="27"/>
        <v>0</v>
      </c>
      <c r="AH100" s="66"/>
      <c r="AI100" s="71">
        <f ca="1">IF(C100=1,Reeksen!AI100*((F100+K100)/2)*12+Reeksen!AD100*((L100+Q100)/2)*12,0)</f>
        <v>0</v>
      </c>
      <c r="AJ100" s="71">
        <f ca="1">-AI100*'Invoer gegevens'!$F$28</f>
        <v>0</v>
      </c>
      <c r="AK100" s="71">
        <f t="shared" ca="1" si="28"/>
        <v>0</v>
      </c>
      <c r="AL100" s="71">
        <f ca="1">IF(C100=1,Reeksen!AL100*((F100-G100+F100)/2)*12+Reeksen!AM100*((L100-M100+L100)/2)*12,0)</f>
        <v>0</v>
      </c>
      <c r="AM100" s="71">
        <f ca="1">-AL100*'Invoer gegevens'!$F$31</f>
        <v>0</v>
      </c>
      <c r="AN100" s="71">
        <f t="shared" ca="1" si="29"/>
        <v>0</v>
      </c>
      <c r="AO100" s="71">
        <f ca="1">IF(C100=1,(H100+J100+N100+P100)*Reeksen!AN100,0)</f>
        <v>0</v>
      </c>
      <c r="AP100" s="71">
        <f ca="1">-IF(C100=1,(H100+J100+N100+P100)*'Hulp - basis'!$G$550*Reeksen!H100,0)</f>
        <v>0</v>
      </c>
      <c r="AQ100" s="71">
        <f ca="1">-IF(C100=1,(F100+K100+L100+Q100)/2*'Invoer gegevens'!$F$35*Reeksen!J100,0)*2</f>
        <v>0</v>
      </c>
      <c r="AR100" s="71">
        <f ca="1">IF(BD100&lt;1,-IF(C100=1,(G100*'Invoer gegevens'!$F$36)*Reeksen!J100,0),0)</f>
        <v>0</v>
      </c>
      <c r="AS100" s="71">
        <f ca="1">-IF(C100=1,(F100+K100+L100+Q100)/2*'Invoer gegevens'!$F$37*Reeksen!L100,0)</f>
        <v>0</v>
      </c>
      <c r="AT100" s="71">
        <f ca="1">-IF(C100=1,IF(E100='Invoer gegevens'!$C$17,'Invoer gegevens'!$C$11,AD100)*Reeksen!S100*'Invoer gegevens'!$C$18*Reeksen!P100,0)</f>
        <v>0</v>
      </c>
      <c r="AU100" s="71">
        <f ca="1">-IF(C100=1,(F100+K100+L100+Q100)/2*'Invoer gegevens'!$F$38*Reeksen!H100,0)</f>
        <v>0</v>
      </c>
      <c r="AV100" s="71">
        <f t="shared" si="33"/>
        <v>0</v>
      </c>
      <c r="AW100" s="71">
        <f t="shared" ca="1" si="30"/>
        <v>0</v>
      </c>
      <c r="AX100" s="71">
        <f ca="1">IF(E100&lt;'Invoer gegevens'!$C$17+15,0,IF(E100&gt;'Invoer gegevens'!$C$17+215,0,AW100))</f>
        <v>0</v>
      </c>
      <c r="AY100" s="71">
        <f ca="1">AX100/(1+'Invoer gegevens'!$F$18)^($AZ100-('Invoer gegevens'!$C$17-'Invoer gegevens'!$C$16))/(1+'Invoer gegevens'!$C$39)^('Invoer gegevens'!$C$17-'Invoer gegevens'!$C$16)</f>
        <v>0</v>
      </c>
      <c r="AZ100" s="68">
        <f ca="1">IF(E100-'Invoer gegevens'!$C$17-14.5&lt;0,0,E100-'Invoer gegevens'!$C$17-14.5)</f>
        <v>80.5</v>
      </c>
      <c r="BA100" s="109">
        <f ca="1">IFERROR(VLOOKUP(E100-15,Reeksen!$A$5:$D$234,2,FALSE),0)</f>
        <v>0</v>
      </c>
      <c r="BB100" s="109">
        <f ca="1">IFERROR(VLOOKUP(E100-15,Reeksen!$A$5:$D$234,3,FALSE),0)</f>
        <v>0</v>
      </c>
      <c r="BC100" s="109">
        <f ca="1">IFERROR(VLOOKUP(E100-15,Reeksen!$A$5:$D$234,4,FALSE),0)</f>
        <v>0</v>
      </c>
      <c r="BD100" s="67">
        <f ca="1">IF(E100-'Invoer gegevens'!$C$17&lt;15,0,1)</f>
        <v>1</v>
      </c>
    </row>
    <row r="101" spans="1:56" x14ac:dyDescent="0.25">
      <c r="A101" s="59"/>
      <c r="B101" s="70">
        <f t="shared" si="31"/>
        <v>97</v>
      </c>
      <c r="C101" s="67">
        <f ca="1">IF(E101-'Invoer gegevens'!$C$17&lt;0,0,1)</f>
        <v>1</v>
      </c>
      <c r="D101" s="68">
        <f t="shared" si="32"/>
        <v>96.5</v>
      </c>
      <c r="E101" s="108">
        <f ca="1">IF('Invoer gegevens'!$C$16="","",E100+1)</f>
        <v>2115</v>
      </c>
      <c r="F101" s="84">
        <f ca="1">IF('Invoer gegevens'!$C$17=E101,'Invoer gegevens'!$C$10,IF(C101=1,K100,0))</f>
        <v>0</v>
      </c>
      <c r="G101" s="96">
        <f ca="1">IF(BD101&lt;1,F101*Reeksen!C101,IF(C101&gt;=1,F101*BA101,0))</f>
        <v>0</v>
      </c>
      <c r="H101" s="84">
        <f ca="1">(1-('Invoer gegevens'!$F$20/12))*F101*MIN(BA101,BC101)</f>
        <v>0</v>
      </c>
      <c r="I101" s="84">
        <f t="shared" ca="1" si="17"/>
        <v>0</v>
      </c>
      <c r="J101" s="84">
        <f ca="1">('Invoer gegevens'!$F$20/12)*F100*MIN(BA101,BC101)</f>
        <v>0</v>
      </c>
      <c r="K101" s="97">
        <f t="shared" ca="1" si="22"/>
        <v>0</v>
      </c>
      <c r="L101" s="84">
        <f ca="1">IF('Invoer gegevens'!$C$17=E101,0,IF(C101=1,Q100,0))</f>
        <v>0</v>
      </c>
      <c r="M101" s="96">
        <f t="shared" ca="1" si="18"/>
        <v>0</v>
      </c>
      <c r="N101" s="84">
        <f ca="1">(1-('Invoer gegevens'!$F$20/12))*L101*MIN(BA101,BC101)</f>
        <v>0</v>
      </c>
      <c r="O101" s="84">
        <f t="shared" ca="1" si="19"/>
        <v>0</v>
      </c>
      <c r="P101" s="84">
        <f ca="1">('Invoer gegevens'!$F$20/12)*L100*MIN(BA101,BC101)</f>
        <v>0</v>
      </c>
      <c r="Q101" s="84">
        <f t="shared" ca="1" si="23"/>
        <v>0</v>
      </c>
      <c r="R101" s="85">
        <f ca="1">IF('Invoer gegevens'!$C$17=E101,'Invoer gegevens'!$C$11,IF(C101=1,W100,0))</f>
        <v>0</v>
      </c>
      <c r="S101" s="86">
        <f t="shared" ca="1" si="20"/>
        <v>0</v>
      </c>
      <c r="T101" s="86">
        <f ca="1">(1-('Invoer gegevens'!$F$20/12))*R101*MIN(BC101,BA101)</f>
        <v>0</v>
      </c>
      <c r="U101" s="86">
        <f ca="1">IF(BD101&lt;1,IF(Reeksen!AD101&lt;=Reeksen!AE101,R101*Reeksen!C101,0),IF(BC101&gt;=BA101,0,IF(Reeksen!AD101&lt;=Reeksen!AE101,(BA101-BC101)*R101,0)))</f>
        <v>0</v>
      </c>
      <c r="V101" s="86">
        <f ca="1">IF(BD101&lt;1,IF(Reeksen!AD101&gt;Reeksen!AE101,R101*Reeksen!C101,0),IF(BC101&gt;=BA101,0,IF(Reeksen!AD101&gt;Reeksen!AE101,(BA101-BC101)*R101,0)))</f>
        <v>0</v>
      </c>
      <c r="W101" s="218">
        <f t="shared" ca="1" si="24"/>
        <v>0</v>
      </c>
      <c r="X101" s="98">
        <f ca="1">IF('Invoer gegevens'!$C$17=E101,'Invoer gegevens'!$C$10-'Invoer gegevens'!$C$11,IF(C101=1,AC100,0))</f>
        <v>0</v>
      </c>
      <c r="Y101" s="98">
        <f t="shared" ca="1" si="21"/>
        <v>0</v>
      </c>
      <c r="Z101" s="98">
        <f ca="1">(1-('Invoer gegevens'!$F$20/12))*X101*MIN(BA101,BC101)</f>
        <v>0</v>
      </c>
      <c r="AA101" s="98">
        <f ca="1">IF(BD101&lt;1,IF(Reeksen!AD101&lt;=Reeksen!AE101,X101*Reeksen!C101,0),IF(BC101&gt;=BA101,0,IF(Reeksen!AD101&lt;=Reeksen!AE101,(BA101-BC101)*X101,0)))</f>
        <v>0</v>
      </c>
      <c r="AB101" s="98">
        <f ca="1">IF(BD101&lt;1,IF(Reeksen!AD101&gt;Reeksen!AE101,X101*Reeksen!C101,0),IF(BC101&gt;=BA101,0,IF(Reeksen!AD101&gt;Reeksen!AE101,(BA101-BC101)*X101,0)))</f>
        <v>0</v>
      </c>
      <c r="AC101" s="99">
        <f t="shared" ca="1" si="25"/>
        <v>0</v>
      </c>
      <c r="AD101" s="98">
        <f ca="1">IF('Invoer gegevens'!$C$17=E101,R101,IF(C101=0,0,AE100))</f>
        <v>0</v>
      </c>
      <c r="AE101" s="98">
        <f t="shared" ca="1" si="26"/>
        <v>0</v>
      </c>
      <c r="AF101" s="98">
        <f ca="1">IF('Invoer gegevens'!$C$17=E101,X101,IF(C101=0,0,AG100))</f>
        <v>0</v>
      </c>
      <c r="AG101" s="98">
        <f t="shared" ca="1" si="27"/>
        <v>0</v>
      </c>
      <c r="AH101" s="66"/>
      <c r="AI101" s="71">
        <f ca="1">IF(C101=1,Reeksen!AI101*((F101+K101)/2)*12+Reeksen!AD101*((L101+Q101)/2)*12,0)</f>
        <v>0</v>
      </c>
      <c r="AJ101" s="71">
        <f ca="1">-AI101*'Invoer gegevens'!$F$28</f>
        <v>0</v>
      </c>
      <c r="AK101" s="71">
        <f t="shared" ca="1" si="28"/>
        <v>0</v>
      </c>
      <c r="AL101" s="71">
        <f ca="1">IF(C101=1,Reeksen!AL101*((F101-G101+F101)/2)*12+Reeksen!AM101*((L101-M101+L101)/2)*12,0)</f>
        <v>0</v>
      </c>
      <c r="AM101" s="71">
        <f ca="1">-AL101*'Invoer gegevens'!$F$31</f>
        <v>0</v>
      </c>
      <c r="AN101" s="71">
        <f t="shared" ca="1" si="29"/>
        <v>0</v>
      </c>
      <c r="AO101" s="71">
        <f ca="1">IF(C101=1,(H101+J101+N101+P101)*Reeksen!AN101,0)</f>
        <v>0</v>
      </c>
      <c r="AP101" s="71">
        <f ca="1">-IF(C101=1,(H101+J101+N101+P101)*'Hulp - basis'!$G$550*Reeksen!H101,0)</f>
        <v>0</v>
      </c>
      <c r="AQ101" s="71">
        <f ca="1">-IF(C101=1,(F101+K101+L101+Q101)/2*'Invoer gegevens'!$F$35*Reeksen!J101,0)*2</f>
        <v>0</v>
      </c>
      <c r="AR101" s="71">
        <f ca="1">IF(BD101&lt;1,-IF(C101=1,(G101*'Invoer gegevens'!$F$36)*Reeksen!J101,0),0)</f>
        <v>0</v>
      </c>
      <c r="AS101" s="71">
        <f ca="1">-IF(C101=1,(F101+K101+L101+Q101)/2*'Invoer gegevens'!$F$37*Reeksen!L101,0)</f>
        <v>0</v>
      </c>
      <c r="AT101" s="71">
        <f ca="1">-IF(C101=1,IF(E101='Invoer gegevens'!$C$17,'Invoer gegevens'!$C$11,AD101)*Reeksen!S101*'Invoer gegevens'!$C$18*Reeksen!P101,0)</f>
        <v>0</v>
      </c>
      <c r="AU101" s="71">
        <f ca="1">-IF(C101=1,(F101+K101+L101+Q101)/2*'Invoer gegevens'!$F$38*Reeksen!H101,0)</f>
        <v>0</v>
      </c>
      <c r="AV101" s="71">
        <f t="shared" si="33"/>
        <v>0</v>
      </c>
      <c r="AW101" s="71">
        <f t="shared" ca="1" si="30"/>
        <v>0</v>
      </c>
      <c r="AX101" s="71">
        <f ca="1">IF(E101&lt;'Invoer gegevens'!$C$17+15,0,IF(E101&gt;'Invoer gegevens'!$C$17+215,0,AW101))</f>
        <v>0</v>
      </c>
      <c r="AY101" s="71">
        <f ca="1">AX101/(1+'Invoer gegevens'!$F$18)^($AZ101-('Invoer gegevens'!$C$17-'Invoer gegevens'!$C$16))/(1+'Invoer gegevens'!$C$39)^('Invoer gegevens'!$C$17-'Invoer gegevens'!$C$16)</f>
        <v>0</v>
      </c>
      <c r="AZ101" s="68">
        <f ca="1">IF(E101-'Invoer gegevens'!$C$17-14.5&lt;0,0,E101-'Invoer gegevens'!$C$17-14.5)</f>
        <v>81.5</v>
      </c>
      <c r="BA101" s="109">
        <f ca="1">IFERROR(VLOOKUP(E101-15,Reeksen!$A$5:$D$234,2,FALSE),0)</f>
        <v>0</v>
      </c>
      <c r="BB101" s="109">
        <f ca="1">IFERROR(VLOOKUP(E101-15,Reeksen!$A$5:$D$234,3,FALSE),0)</f>
        <v>0</v>
      </c>
      <c r="BC101" s="109">
        <f ca="1">IFERROR(VLOOKUP(E101-15,Reeksen!$A$5:$D$234,4,FALSE),0)</f>
        <v>0</v>
      </c>
      <c r="BD101" s="67">
        <f ca="1">IF(E101-'Invoer gegevens'!$C$17&lt;15,0,1)</f>
        <v>1</v>
      </c>
    </row>
    <row r="102" spans="1:56" x14ac:dyDescent="0.25">
      <c r="A102" s="59"/>
      <c r="B102" s="70">
        <f t="shared" si="31"/>
        <v>98</v>
      </c>
      <c r="C102" s="67">
        <f ca="1">IF(E102-'Invoer gegevens'!$C$17&lt;0,0,1)</f>
        <v>1</v>
      </c>
      <c r="D102" s="68">
        <f t="shared" si="32"/>
        <v>97.5</v>
      </c>
      <c r="E102" s="108">
        <f ca="1">IF('Invoer gegevens'!$C$16="","",E101+1)</f>
        <v>2116</v>
      </c>
      <c r="F102" s="84">
        <f ca="1">IF('Invoer gegevens'!$C$17=E102,'Invoer gegevens'!$C$10,IF(C102=1,K101,0))</f>
        <v>0</v>
      </c>
      <c r="G102" s="96">
        <f ca="1">IF(BD102&lt;1,F102*Reeksen!C102,IF(C102&gt;=1,F102*BA102,0))</f>
        <v>0</v>
      </c>
      <c r="H102" s="84">
        <f ca="1">(1-('Invoer gegevens'!$F$20/12))*F102*MIN(BA102,BC102)</f>
        <v>0</v>
      </c>
      <c r="I102" s="84">
        <f t="shared" ca="1" si="17"/>
        <v>0</v>
      </c>
      <c r="J102" s="84">
        <f ca="1">('Invoer gegevens'!$F$20/12)*F101*MIN(BA102,BC102)</f>
        <v>0</v>
      </c>
      <c r="K102" s="97">
        <f t="shared" ca="1" si="22"/>
        <v>0</v>
      </c>
      <c r="L102" s="84">
        <f ca="1">IF('Invoer gegevens'!$C$17=E102,0,IF(C102=1,Q101,0))</f>
        <v>0</v>
      </c>
      <c r="M102" s="96">
        <f t="shared" ca="1" si="18"/>
        <v>0</v>
      </c>
      <c r="N102" s="84">
        <f ca="1">(1-('Invoer gegevens'!$F$20/12))*L102*MIN(BA102,BC102)</f>
        <v>0</v>
      </c>
      <c r="O102" s="84">
        <f t="shared" ca="1" si="19"/>
        <v>0</v>
      </c>
      <c r="P102" s="84">
        <f ca="1">('Invoer gegevens'!$F$20/12)*L101*MIN(BA102,BC102)</f>
        <v>0</v>
      </c>
      <c r="Q102" s="84">
        <f t="shared" ca="1" si="23"/>
        <v>0</v>
      </c>
      <c r="R102" s="85">
        <f ca="1">IF('Invoer gegevens'!$C$17=E102,'Invoer gegevens'!$C$11,IF(C102=1,W101,0))</f>
        <v>0</v>
      </c>
      <c r="S102" s="86">
        <f t="shared" ca="1" si="20"/>
        <v>0</v>
      </c>
      <c r="T102" s="86">
        <f ca="1">(1-('Invoer gegevens'!$F$20/12))*R102*MIN(BC102,BA102)</f>
        <v>0</v>
      </c>
      <c r="U102" s="86">
        <f ca="1">IF(BD102&lt;1,IF(Reeksen!AD102&lt;=Reeksen!AE102,R102*Reeksen!C102,0),IF(BC102&gt;=BA102,0,IF(Reeksen!AD102&lt;=Reeksen!AE102,(BA102-BC102)*R102,0)))</f>
        <v>0</v>
      </c>
      <c r="V102" s="86">
        <f ca="1">IF(BD102&lt;1,IF(Reeksen!AD102&gt;Reeksen!AE102,R102*Reeksen!C102,0),IF(BC102&gt;=BA102,0,IF(Reeksen!AD102&gt;Reeksen!AE102,(BA102-BC102)*R102,0)))</f>
        <v>0</v>
      </c>
      <c r="W102" s="218">
        <f t="shared" ca="1" si="24"/>
        <v>0</v>
      </c>
      <c r="X102" s="98">
        <f ca="1">IF('Invoer gegevens'!$C$17=E102,'Invoer gegevens'!$C$10-'Invoer gegevens'!$C$11,IF(C102=1,AC101,0))</f>
        <v>0</v>
      </c>
      <c r="Y102" s="98">
        <f t="shared" ca="1" si="21"/>
        <v>0</v>
      </c>
      <c r="Z102" s="98">
        <f ca="1">(1-('Invoer gegevens'!$F$20/12))*X102*MIN(BA102,BC102)</f>
        <v>0</v>
      </c>
      <c r="AA102" s="98">
        <f ca="1">IF(BD102&lt;1,IF(Reeksen!AD102&lt;=Reeksen!AE102,X102*Reeksen!C102,0),IF(BC102&gt;=BA102,0,IF(Reeksen!AD102&lt;=Reeksen!AE102,(BA102-BC102)*X102,0)))</f>
        <v>0</v>
      </c>
      <c r="AB102" s="98">
        <f ca="1">IF(BD102&lt;1,IF(Reeksen!AD102&gt;Reeksen!AE102,X102*Reeksen!C102,0),IF(BC102&gt;=BA102,0,IF(Reeksen!AD102&gt;Reeksen!AE102,(BA102-BC102)*X102,0)))</f>
        <v>0</v>
      </c>
      <c r="AC102" s="99">
        <f t="shared" ca="1" si="25"/>
        <v>0</v>
      </c>
      <c r="AD102" s="98">
        <f ca="1">IF('Invoer gegevens'!$C$17=E102,R102,IF(C102=0,0,AE101))</f>
        <v>0</v>
      </c>
      <c r="AE102" s="98">
        <f t="shared" ca="1" si="26"/>
        <v>0</v>
      </c>
      <c r="AF102" s="98">
        <f ca="1">IF('Invoer gegevens'!$C$17=E102,X102,IF(C102=0,0,AG101))</f>
        <v>0</v>
      </c>
      <c r="AG102" s="98">
        <f t="shared" ca="1" si="27"/>
        <v>0</v>
      </c>
      <c r="AH102" s="66"/>
      <c r="AI102" s="71">
        <f ca="1">IF(C102=1,Reeksen!AI102*((F102+K102)/2)*12+Reeksen!AD102*((L102+Q102)/2)*12,0)</f>
        <v>0</v>
      </c>
      <c r="AJ102" s="71">
        <f ca="1">-AI102*'Invoer gegevens'!$F$28</f>
        <v>0</v>
      </c>
      <c r="AK102" s="71">
        <f t="shared" ca="1" si="28"/>
        <v>0</v>
      </c>
      <c r="AL102" s="71">
        <f ca="1">IF(C102=1,Reeksen!AL102*((F102-G102+F102)/2)*12+Reeksen!AM102*((L102-M102+L102)/2)*12,0)</f>
        <v>0</v>
      </c>
      <c r="AM102" s="71">
        <f ca="1">-AL102*'Invoer gegevens'!$F$31</f>
        <v>0</v>
      </c>
      <c r="AN102" s="71">
        <f t="shared" ca="1" si="29"/>
        <v>0</v>
      </c>
      <c r="AO102" s="71">
        <f ca="1">IF(C102=1,(H102+J102+N102+P102)*Reeksen!AN102,0)</f>
        <v>0</v>
      </c>
      <c r="AP102" s="71">
        <f ca="1">-IF(C102=1,(H102+J102+N102+P102)*'Hulp - basis'!$G$550*Reeksen!H102,0)</f>
        <v>0</v>
      </c>
      <c r="AQ102" s="71">
        <f ca="1">-IF(C102=1,(F102+K102+L102+Q102)/2*'Invoer gegevens'!$F$35*Reeksen!J102,0)*2</f>
        <v>0</v>
      </c>
      <c r="AR102" s="71">
        <f ca="1">IF(BD102&lt;1,-IF(C102=1,(G102*'Invoer gegevens'!$F$36)*Reeksen!J102,0),0)</f>
        <v>0</v>
      </c>
      <c r="AS102" s="71">
        <f ca="1">-IF(C102=1,(F102+K102+L102+Q102)/2*'Invoer gegevens'!$F$37*Reeksen!L102,0)</f>
        <v>0</v>
      </c>
      <c r="AT102" s="71">
        <f ca="1">-IF(C102=1,IF(E102='Invoer gegevens'!$C$17,'Invoer gegevens'!$C$11,AD102)*Reeksen!S102*'Invoer gegevens'!$C$18*Reeksen!P102,0)</f>
        <v>0</v>
      </c>
      <c r="AU102" s="71">
        <f ca="1">-IF(C102=1,(F102+K102+L102+Q102)/2*'Invoer gegevens'!$F$38*Reeksen!H102,0)</f>
        <v>0</v>
      </c>
      <c r="AV102" s="71">
        <f t="shared" si="33"/>
        <v>0</v>
      </c>
      <c r="AW102" s="71">
        <f t="shared" ca="1" si="30"/>
        <v>0</v>
      </c>
      <c r="AX102" s="71">
        <f ca="1">IF(E102&lt;'Invoer gegevens'!$C$17+15,0,IF(E102&gt;'Invoer gegevens'!$C$17+215,0,AW102))</f>
        <v>0</v>
      </c>
      <c r="AY102" s="71">
        <f ca="1">AX102/(1+'Invoer gegevens'!$F$18)^($AZ102-('Invoer gegevens'!$C$17-'Invoer gegevens'!$C$16))/(1+'Invoer gegevens'!$C$39)^('Invoer gegevens'!$C$17-'Invoer gegevens'!$C$16)</f>
        <v>0</v>
      </c>
      <c r="AZ102" s="68">
        <f ca="1">IF(E102-'Invoer gegevens'!$C$17-14.5&lt;0,0,E102-'Invoer gegevens'!$C$17-14.5)</f>
        <v>82.5</v>
      </c>
      <c r="BA102" s="109">
        <f ca="1">IFERROR(VLOOKUP(E102-15,Reeksen!$A$5:$D$234,2,FALSE),0)</f>
        <v>0</v>
      </c>
      <c r="BB102" s="109">
        <f ca="1">IFERROR(VLOOKUP(E102-15,Reeksen!$A$5:$D$234,3,FALSE),0)</f>
        <v>0</v>
      </c>
      <c r="BC102" s="109">
        <f ca="1">IFERROR(VLOOKUP(E102-15,Reeksen!$A$5:$D$234,4,FALSE),0)</f>
        <v>0</v>
      </c>
      <c r="BD102" s="67">
        <f ca="1">IF(E102-'Invoer gegevens'!$C$17&lt;15,0,1)</f>
        <v>1</v>
      </c>
    </row>
    <row r="103" spans="1:56" x14ac:dyDescent="0.25">
      <c r="A103" s="59"/>
      <c r="B103" s="70">
        <f t="shared" si="31"/>
        <v>99</v>
      </c>
      <c r="C103" s="67">
        <f ca="1">IF(E103-'Invoer gegevens'!$C$17&lt;0,0,1)</f>
        <v>1</v>
      </c>
      <c r="D103" s="68">
        <f t="shared" si="32"/>
        <v>98.5</v>
      </c>
      <c r="E103" s="108">
        <f ca="1">IF('Invoer gegevens'!$C$16="","",E102+1)</f>
        <v>2117</v>
      </c>
      <c r="F103" s="84">
        <f ca="1">IF('Invoer gegevens'!$C$17=E103,'Invoer gegevens'!$C$10,IF(C103=1,K102,0))</f>
        <v>0</v>
      </c>
      <c r="G103" s="96">
        <f ca="1">IF(BD103&lt;1,F103*Reeksen!C103,IF(C103&gt;=1,F103*BA103,0))</f>
        <v>0</v>
      </c>
      <c r="H103" s="84">
        <f ca="1">(1-('Invoer gegevens'!$F$20/12))*F103*MIN(BA103,BC103)</f>
        <v>0</v>
      </c>
      <c r="I103" s="84">
        <f t="shared" ca="1" si="17"/>
        <v>0</v>
      </c>
      <c r="J103" s="84">
        <f ca="1">('Invoer gegevens'!$F$20/12)*F102*MIN(BA103,BC103)</f>
        <v>0</v>
      </c>
      <c r="K103" s="97">
        <f t="shared" ca="1" si="22"/>
        <v>0</v>
      </c>
      <c r="L103" s="84">
        <f ca="1">IF('Invoer gegevens'!$C$17=E103,0,IF(C103=1,Q102,0))</f>
        <v>0</v>
      </c>
      <c r="M103" s="96">
        <f t="shared" ca="1" si="18"/>
        <v>0</v>
      </c>
      <c r="N103" s="84">
        <f ca="1">(1-('Invoer gegevens'!$F$20/12))*L103*MIN(BA103,BC103)</f>
        <v>0</v>
      </c>
      <c r="O103" s="84">
        <f t="shared" ca="1" si="19"/>
        <v>0</v>
      </c>
      <c r="P103" s="84">
        <f ca="1">('Invoer gegevens'!$F$20/12)*L102*MIN(BA103,BC103)</f>
        <v>0</v>
      </c>
      <c r="Q103" s="84">
        <f t="shared" ca="1" si="23"/>
        <v>0</v>
      </c>
      <c r="R103" s="85">
        <f ca="1">IF('Invoer gegevens'!$C$17=E103,'Invoer gegevens'!$C$11,IF(C103=1,W102,0))</f>
        <v>0</v>
      </c>
      <c r="S103" s="86">
        <f t="shared" ca="1" si="20"/>
        <v>0</v>
      </c>
      <c r="T103" s="86">
        <f ca="1">(1-('Invoer gegevens'!$F$20/12))*R103*MIN(BC103,BA103)</f>
        <v>0</v>
      </c>
      <c r="U103" s="86">
        <f ca="1">IF(BD103&lt;1,IF(Reeksen!AD103&lt;=Reeksen!AE103,R103*Reeksen!C103,0),IF(BC103&gt;=BA103,0,IF(Reeksen!AD103&lt;=Reeksen!AE103,(BA103-BC103)*R103,0)))</f>
        <v>0</v>
      </c>
      <c r="V103" s="86">
        <f ca="1">IF(BD103&lt;1,IF(Reeksen!AD103&gt;Reeksen!AE103,R103*Reeksen!C103,0),IF(BC103&gt;=BA103,0,IF(Reeksen!AD103&gt;Reeksen!AE103,(BA103-BC103)*R103,0)))</f>
        <v>0</v>
      </c>
      <c r="W103" s="218">
        <f t="shared" ca="1" si="24"/>
        <v>0</v>
      </c>
      <c r="X103" s="98">
        <f ca="1">IF('Invoer gegevens'!$C$17=E103,'Invoer gegevens'!$C$10-'Invoer gegevens'!$C$11,IF(C103=1,AC102,0))</f>
        <v>0</v>
      </c>
      <c r="Y103" s="98">
        <f t="shared" ca="1" si="21"/>
        <v>0</v>
      </c>
      <c r="Z103" s="98">
        <f ca="1">(1-('Invoer gegevens'!$F$20/12))*X103*MIN(BA103,BC103)</f>
        <v>0</v>
      </c>
      <c r="AA103" s="98">
        <f ca="1">IF(BD103&lt;1,IF(Reeksen!AD103&lt;=Reeksen!AE103,X103*Reeksen!C103,0),IF(BC103&gt;=BA103,0,IF(Reeksen!AD103&lt;=Reeksen!AE103,(BA103-BC103)*X103,0)))</f>
        <v>0</v>
      </c>
      <c r="AB103" s="98">
        <f ca="1">IF(BD103&lt;1,IF(Reeksen!AD103&gt;Reeksen!AE103,X103*Reeksen!C103,0),IF(BC103&gt;=BA103,0,IF(Reeksen!AD103&gt;Reeksen!AE103,(BA103-BC103)*X103,0)))</f>
        <v>0</v>
      </c>
      <c r="AC103" s="99">
        <f t="shared" ca="1" si="25"/>
        <v>0</v>
      </c>
      <c r="AD103" s="98">
        <f ca="1">IF('Invoer gegevens'!$C$17=E103,R103,IF(C103=0,0,AE102))</f>
        <v>0</v>
      </c>
      <c r="AE103" s="98">
        <f t="shared" ca="1" si="26"/>
        <v>0</v>
      </c>
      <c r="AF103" s="98">
        <f ca="1">IF('Invoer gegevens'!$C$17=E103,X103,IF(C103=0,0,AG102))</f>
        <v>0</v>
      </c>
      <c r="AG103" s="98">
        <f t="shared" ca="1" si="27"/>
        <v>0</v>
      </c>
      <c r="AH103" s="66"/>
      <c r="AI103" s="71">
        <f ca="1">IF(C103=1,Reeksen!AI103*((F103+K103)/2)*12+Reeksen!AD103*((L103+Q103)/2)*12,0)</f>
        <v>0</v>
      </c>
      <c r="AJ103" s="71">
        <f ca="1">-AI103*'Invoer gegevens'!$F$28</f>
        <v>0</v>
      </c>
      <c r="AK103" s="71">
        <f t="shared" ca="1" si="28"/>
        <v>0</v>
      </c>
      <c r="AL103" s="71">
        <f ca="1">IF(C103=1,Reeksen!AL103*((F103-G103+F103)/2)*12+Reeksen!AM103*((L103-M103+L103)/2)*12,0)</f>
        <v>0</v>
      </c>
      <c r="AM103" s="71">
        <f ca="1">-AL103*'Invoer gegevens'!$F$31</f>
        <v>0</v>
      </c>
      <c r="AN103" s="71">
        <f t="shared" ca="1" si="29"/>
        <v>0</v>
      </c>
      <c r="AO103" s="71">
        <f ca="1">IF(C103=1,(H103+J103+N103+P103)*Reeksen!AN103,0)</f>
        <v>0</v>
      </c>
      <c r="AP103" s="71">
        <f ca="1">-IF(C103=1,(H103+J103+N103+P103)*'Hulp - basis'!$G$550*Reeksen!H103,0)</f>
        <v>0</v>
      </c>
      <c r="AQ103" s="71">
        <f ca="1">-IF(C103=1,(F103+K103+L103+Q103)/2*'Invoer gegevens'!$F$35*Reeksen!J103,0)*2</f>
        <v>0</v>
      </c>
      <c r="AR103" s="71">
        <f ca="1">IF(BD103&lt;1,-IF(C103=1,(G103*'Invoer gegevens'!$F$36)*Reeksen!J103,0),0)</f>
        <v>0</v>
      </c>
      <c r="AS103" s="71">
        <f ca="1">-IF(C103=1,(F103+K103+L103+Q103)/2*'Invoer gegevens'!$F$37*Reeksen!L103,0)</f>
        <v>0</v>
      </c>
      <c r="AT103" s="71">
        <f ca="1">-IF(C103=1,IF(E103='Invoer gegevens'!$C$17,'Invoer gegevens'!$C$11,AD103)*Reeksen!S103*'Invoer gegevens'!$C$18*Reeksen!P103,0)</f>
        <v>0</v>
      </c>
      <c r="AU103" s="71">
        <f ca="1">-IF(C103=1,(F103+K103+L103+Q103)/2*'Invoer gegevens'!$F$38*Reeksen!H103,0)</f>
        <v>0</v>
      </c>
      <c r="AV103" s="71">
        <f t="shared" si="33"/>
        <v>0</v>
      </c>
      <c r="AW103" s="71">
        <f t="shared" ca="1" si="30"/>
        <v>0</v>
      </c>
      <c r="AX103" s="71">
        <f ca="1">IF(E103&lt;'Invoer gegevens'!$C$17+15,0,IF(E103&gt;'Invoer gegevens'!$C$17+215,0,AW103))</f>
        <v>0</v>
      </c>
      <c r="AY103" s="71">
        <f ca="1">AX103/(1+'Invoer gegevens'!$F$18)^($AZ103-('Invoer gegevens'!$C$17-'Invoer gegevens'!$C$16))/(1+'Invoer gegevens'!$C$39)^('Invoer gegevens'!$C$17-'Invoer gegevens'!$C$16)</f>
        <v>0</v>
      </c>
      <c r="AZ103" s="68">
        <f ca="1">IF(E103-'Invoer gegevens'!$C$17-14.5&lt;0,0,E103-'Invoer gegevens'!$C$17-14.5)</f>
        <v>83.5</v>
      </c>
      <c r="BA103" s="109">
        <f ca="1">IFERROR(VLOOKUP(E103-15,Reeksen!$A$5:$D$234,2,FALSE),0)</f>
        <v>0</v>
      </c>
      <c r="BB103" s="109">
        <f ca="1">IFERROR(VLOOKUP(E103-15,Reeksen!$A$5:$D$234,3,FALSE),0)</f>
        <v>0</v>
      </c>
      <c r="BC103" s="109">
        <f ca="1">IFERROR(VLOOKUP(E103-15,Reeksen!$A$5:$D$234,4,FALSE),0)</f>
        <v>0</v>
      </c>
      <c r="BD103" s="67">
        <f ca="1">IF(E103-'Invoer gegevens'!$C$17&lt;15,0,1)</f>
        <v>1</v>
      </c>
    </row>
    <row r="104" spans="1:56" x14ac:dyDescent="0.25">
      <c r="A104" s="59"/>
      <c r="B104" s="70">
        <f t="shared" si="31"/>
        <v>100</v>
      </c>
      <c r="C104" s="67">
        <f ca="1">IF(E104-'Invoer gegevens'!$C$17&lt;0,0,1)</f>
        <v>1</v>
      </c>
      <c r="D104" s="68">
        <f t="shared" si="32"/>
        <v>99.5</v>
      </c>
      <c r="E104" s="108">
        <f ca="1">IF('Invoer gegevens'!$C$16="","",E103+1)</f>
        <v>2118</v>
      </c>
      <c r="F104" s="84">
        <f ca="1">IF('Invoer gegevens'!$C$17=E104,'Invoer gegevens'!$C$10,IF(C104=1,K103,0))</f>
        <v>0</v>
      </c>
      <c r="G104" s="96">
        <f ca="1">IF(BD104&lt;1,F104*Reeksen!C104,IF(C104&gt;=1,F104*BA104,0))</f>
        <v>0</v>
      </c>
      <c r="H104" s="84">
        <f ca="1">(1-('Invoer gegevens'!$F$20/12))*F104*MIN(BA104,BC104)</f>
        <v>0</v>
      </c>
      <c r="I104" s="84">
        <f t="shared" ca="1" si="17"/>
        <v>0</v>
      </c>
      <c r="J104" s="84">
        <f ca="1">('Invoer gegevens'!$F$20/12)*F103*MIN(BA104,BC104)</f>
        <v>0</v>
      </c>
      <c r="K104" s="97">
        <f t="shared" ca="1" si="22"/>
        <v>0</v>
      </c>
      <c r="L104" s="84">
        <f ca="1">IF('Invoer gegevens'!$C$17=E104,0,IF(C104=1,Q103,0))</f>
        <v>0</v>
      </c>
      <c r="M104" s="96">
        <f t="shared" ca="1" si="18"/>
        <v>0</v>
      </c>
      <c r="N104" s="84">
        <f ca="1">(1-('Invoer gegevens'!$F$20/12))*L104*MIN(BA104,BC104)</f>
        <v>0</v>
      </c>
      <c r="O104" s="84">
        <f t="shared" ca="1" si="19"/>
        <v>0</v>
      </c>
      <c r="P104" s="84">
        <f ca="1">('Invoer gegevens'!$F$20/12)*L103*MIN(BA104,BC104)</f>
        <v>0</v>
      </c>
      <c r="Q104" s="84">
        <f t="shared" ca="1" si="23"/>
        <v>0</v>
      </c>
      <c r="R104" s="85">
        <f ca="1">IF('Invoer gegevens'!$C$17=E104,'Invoer gegevens'!$C$11,IF(C104=1,W103,0))</f>
        <v>0</v>
      </c>
      <c r="S104" s="86">
        <f t="shared" ca="1" si="20"/>
        <v>0</v>
      </c>
      <c r="T104" s="86">
        <f ca="1">(1-('Invoer gegevens'!$F$20/12))*R104*MIN(BC104,BA104)</f>
        <v>0</v>
      </c>
      <c r="U104" s="86">
        <f ca="1">IF(BD104&lt;1,IF(Reeksen!AD104&lt;=Reeksen!AE104,R104*Reeksen!C104,0),IF(BC104&gt;=BA104,0,IF(Reeksen!AD104&lt;=Reeksen!AE104,(BA104-BC104)*R104,0)))</f>
        <v>0</v>
      </c>
      <c r="V104" s="86">
        <f ca="1">IF(BD104&lt;1,IF(Reeksen!AD104&gt;Reeksen!AE104,R104*Reeksen!C104,0),IF(BC104&gt;=BA104,0,IF(Reeksen!AD104&gt;Reeksen!AE104,(BA104-BC104)*R104,0)))</f>
        <v>0</v>
      </c>
      <c r="W104" s="218">
        <f t="shared" ca="1" si="24"/>
        <v>0</v>
      </c>
      <c r="X104" s="98">
        <f ca="1">IF('Invoer gegevens'!$C$17=E104,'Invoer gegevens'!$C$10-'Invoer gegevens'!$C$11,IF(C104=1,AC103,0))</f>
        <v>0</v>
      </c>
      <c r="Y104" s="98">
        <f t="shared" ca="1" si="21"/>
        <v>0</v>
      </c>
      <c r="Z104" s="98">
        <f ca="1">(1-('Invoer gegevens'!$F$20/12))*X104*MIN(BA104,BC104)</f>
        <v>0</v>
      </c>
      <c r="AA104" s="98">
        <f ca="1">IF(BD104&lt;1,IF(Reeksen!AD104&lt;=Reeksen!AE104,X104*Reeksen!C104,0),IF(BC104&gt;=BA104,0,IF(Reeksen!AD104&lt;=Reeksen!AE104,(BA104-BC104)*X104,0)))</f>
        <v>0</v>
      </c>
      <c r="AB104" s="98">
        <f ca="1">IF(BD104&lt;1,IF(Reeksen!AD104&gt;Reeksen!AE104,X104*Reeksen!C104,0),IF(BC104&gt;=BA104,0,IF(Reeksen!AD104&gt;Reeksen!AE104,(BA104-BC104)*X104,0)))</f>
        <v>0</v>
      </c>
      <c r="AC104" s="99">
        <f t="shared" ca="1" si="25"/>
        <v>0</v>
      </c>
      <c r="AD104" s="98">
        <f ca="1">IF('Invoer gegevens'!$C$17=E104,R104,IF(C104=0,0,AE103))</f>
        <v>0</v>
      </c>
      <c r="AE104" s="98">
        <f t="shared" ca="1" si="26"/>
        <v>0</v>
      </c>
      <c r="AF104" s="98">
        <f ca="1">IF('Invoer gegevens'!$C$17=E104,X104,IF(C104=0,0,AG103))</f>
        <v>0</v>
      </c>
      <c r="AG104" s="98">
        <f t="shared" ca="1" si="27"/>
        <v>0</v>
      </c>
      <c r="AH104" s="66"/>
      <c r="AI104" s="71">
        <f ca="1">IF(C104=1,Reeksen!AI104*((F104+K104)/2)*12+Reeksen!AD104*((L104+Q104)/2)*12,0)</f>
        <v>0</v>
      </c>
      <c r="AJ104" s="71">
        <f ca="1">-AI104*'Invoer gegevens'!$F$28</f>
        <v>0</v>
      </c>
      <c r="AK104" s="71">
        <f t="shared" ca="1" si="28"/>
        <v>0</v>
      </c>
      <c r="AL104" s="71">
        <f ca="1">IF(C104=1,Reeksen!AL104*((F104-G104+F104)/2)*12+Reeksen!AM104*((L104-M104+L104)/2)*12,0)</f>
        <v>0</v>
      </c>
      <c r="AM104" s="71">
        <f ca="1">-AL104*'Invoer gegevens'!$F$31</f>
        <v>0</v>
      </c>
      <c r="AN104" s="71">
        <f t="shared" ca="1" si="29"/>
        <v>0</v>
      </c>
      <c r="AO104" s="71">
        <f ca="1">IF(C104=1,(H104+J104+N104+P104)*Reeksen!AN104,0)</f>
        <v>0</v>
      </c>
      <c r="AP104" s="71">
        <f ca="1">-IF(C104=1,(H104+J104+N104+P104)*'Hulp - basis'!$G$550*Reeksen!H104,0)</f>
        <v>0</v>
      </c>
      <c r="AQ104" s="71">
        <f ca="1">-IF(C104=1,(F104+K104+L104+Q104)/2*'Invoer gegevens'!$F$35*Reeksen!J104,0)*2</f>
        <v>0</v>
      </c>
      <c r="AR104" s="71">
        <f ca="1">IF(BD104&lt;1,-IF(C104=1,(G104*'Invoer gegevens'!$F$36)*Reeksen!J104,0),0)</f>
        <v>0</v>
      </c>
      <c r="AS104" s="71">
        <f ca="1">-IF(C104=1,(F104+K104+L104+Q104)/2*'Invoer gegevens'!$F$37*Reeksen!L104,0)</f>
        <v>0</v>
      </c>
      <c r="AT104" s="71">
        <f ca="1">-IF(C104=1,IF(E104='Invoer gegevens'!$C$17,'Invoer gegevens'!$C$11,AD104)*Reeksen!S104*'Invoer gegevens'!$C$18*Reeksen!P104,0)</f>
        <v>0</v>
      </c>
      <c r="AU104" s="71">
        <f ca="1">-IF(C104=1,(F104+K104+L104+Q104)/2*'Invoer gegevens'!$F$38*Reeksen!H104,0)</f>
        <v>0</v>
      </c>
      <c r="AV104" s="71">
        <f t="shared" si="33"/>
        <v>0</v>
      </c>
      <c r="AW104" s="71">
        <f t="shared" ca="1" si="30"/>
        <v>0</v>
      </c>
      <c r="AX104" s="71">
        <f ca="1">IF(E104&lt;'Invoer gegevens'!$C$17+15,0,IF(E104&gt;'Invoer gegevens'!$C$17+215,0,AW104))</f>
        <v>0</v>
      </c>
      <c r="AY104" s="71">
        <f ca="1">AX104/(1+'Invoer gegevens'!$F$18)^($AZ104-('Invoer gegevens'!$C$17-'Invoer gegevens'!$C$16))/(1+'Invoer gegevens'!$C$39)^('Invoer gegevens'!$C$17-'Invoer gegevens'!$C$16)</f>
        <v>0</v>
      </c>
      <c r="AZ104" s="68">
        <f ca="1">IF(E104-'Invoer gegevens'!$C$17-14.5&lt;0,0,E104-'Invoer gegevens'!$C$17-14.5)</f>
        <v>84.5</v>
      </c>
      <c r="BA104" s="109">
        <f ca="1">IFERROR(VLOOKUP(E104-15,Reeksen!$A$5:$D$234,2,FALSE),0)</f>
        <v>0</v>
      </c>
      <c r="BB104" s="109">
        <f ca="1">IFERROR(VLOOKUP(E104-15,Reeksen!$A$5:$D$234,3,FALSE),0)</f>
        <v>0</v>
      </c>
      <c r="BC104" s="109">
        <f ca="1">IFERROR(VLOOKUP(E104-15,Reeksen!$A$5:$D$234,4,FALSE),0)</f>
        <v>0</v>
      </c>
      <c r="BD104" s="67">
        <f ca="1">IF(E104-'Invoer gegevens'!$C$17&lt;15,0,1)</f>
        <v>1</v>
      </c>
    </row>
    <row r="105" spans="1:56" x14ac:dyDescent="0.25">
      <c r="A105" s="59"/>
      <c r="B105" s="70">
        <f t="shared" si="31"/>
        <v>101</v>
      </c>
      <c r="C105" s="67">
        <f ca="1">IF(E105-'Invoer gegevens'!$C$17&lt;0,0,1)</f>
        <v>1</v>
      </c>
      <c r="D105" s="68">
        <f t="shared" si="32"/>
        <v>100.5</v>
      </c>
      <c r="E105" s="108">
        <f ca="1">IF('Invoer gegevens'!$C$16="","",E104+1)</f>
        <v>2119</v>
      </c>
      <c r="F105" s="84">
        <f ca="1">IF('Invoer gegevens'!$C$17=E105,'Invoer gegevens'!$C$10,IF(C105=1,K104,0))</f>
        <v>0</v>
      </c>
      <c r="G105" s="96">
        <f ca="1">IF(BD105&lt;1,F105*Reeksen!C105,IF(C105&gt;=1,F105*BA105,0))</f>
        <v>0</v>
      </c>
      <c r="H105" s="84">
        <f ca="1">(1-('Invoer gegevens'!$F$20/12))*F105*MIN(BA105,BC105)</f>
        <v>0</v>
      </c>
      <c r="I105" s="84">
        <f t="shared" ca="1" si="17"/>
        <v>0</v>
      </c>
      <c r="J105" s="84">
        <f ca="1">('Invoer gegevens'!$F$20/12)*F104*MIN(BA105,BC105)</f>
        <v>0</v>
      </c>
      <c r="K105" s="97">
        <f t="shared" ca="1" si="22"/>
        <v>0</v>
      </c>
      <c r="L105" s="84">
        <f ca="1">IF('Invoer gegevens'!$C$17=E105,0,IF(C105=1,Q104,0))</f>
        <v>0</v>
      </c>
      <c r="M105" s="96">
        <f t="shared" ca="1" si="18"/>
        <v>0</v>
      </c>
      <c r="N105" s="84">
        <f ca="1">(1-('Invoer gegevens'!$F$20/12))*L105*MIN(BA105,BC105)</f>
        <v>0</v>
      </c>
      <c r="O105" s="84">
        <f t="shared" ca="1" si="19"/>
        <v>0</v>
      </c>
      <c r="P105" s="84">
        <f ca="1">('Invoer gegevens'!$F$20/12)*L104*MIN(BA105,BC105)</f>
        <v>0</v>
      </c>
      <c r="Q105" s="84">
        <f t="shared" ca="1" si="23"/>
        <v>0</v>
      </c>
      <c r="R105" s="85">
        <f ca="1">IF('Invoer gegevens'!$C$17=E105,'Invoer gegevens'!$C$11,IF(C105=1,W104,0))</f>
        <v>0</v>
      </c>
      <c r="S105" s="86">
        <f t="shared" ca="1" si="20"/>
        <v>0</v>
      </c>
      <c r="T105" s="86">
        <f ca="1">(1-('Invoer gegevens'!$F$20/12))*R105*MIN(BC105,BA105)</f>
        <v>0</v>
      </c>
      <c r="U105" s="86">
        <f ca="1">IF(BD105&lt;1,IF(Reeksen!AD105&lt;=Reeksen!AE105,R105*Reeksen!C105,0),IF(BC105&gt;=BA105,0,IF(Reeksen!AD105&lt;=Reeksen!AE105,(BA105-BC105)*R105,0)))</f>
        <v>0</v>
      </c>
      <c r="V105" s="86">
        <f ca="1">IF(BD105&lt;1,IF(Reeksen!AD105&gt;Reeksen!AE105,R105*Reeksen!C105,0),IF(BC105&gt;=BA105,0,IF(Reeksen!AD105&gt;Reeksen!AE105,(BA105-BC105)*R105,0)))</f>
        <v>0</v>
      </c>
      <c r="W105" s="218">
        <f t="shared" ca="1" si="24"/>
        <v>0</v>
      </c>
      <c r="X105" s="98">
        <f ca="1">IF('Invoer gegevens'!$C$17=E105,'Invoer gegevens'!$C$10-'Invoer gegevens'!$C$11,IF(C105=1,AC104,0))</f>
        <v>0</v>
      </c>
      <c r="Y105" s="98">
        <f t="shared" ca="1" si="21"/>
        <v>0</v>
      </c>
      <c r="Z105" s="98">
        <f ca="1">(1-('Invoer gegevens'!$F$20/12))*X105*MIN(BA105,BC105)</f>
        <v>0</v>
      </c>
      <c r="AA105" s="98">
        <f ca="1">IF(BD105&lt;1,IF(Reeksen!AD105&lt;=Reeksen!AE105,X105*Reeksen!C105,0),IF(BC105&gt;=BA105,0,IF(Reeksen!AD105&lt;=Reeksen!AE105,(BA105-BC105)*X105,0)))</f>
        <v>0</v>
      </c>
      <c r="AB105" s="98">
        <f ca="1">IF(BD105&lt;1,IF(Reeksen!AD105&gt;Reeksen!AE105,X105*Reeksen!C105,0),IF(BC105&gt;=BA105,0,IF(Reeksen!AD105&gt;Reeksen!AE105,(BA105-BC105)*X105,0)))</f>
        <v>0</v>
      </c>
      <c r="AC105" s="99">
        <f t="shared" ca="1" si="25"/>
        <v>0</v>
      </c>
      <c r="AD105" s="98">
        <f ca="1">IF('Invoer gegevens'!$C$17=E105,R105,IF(C105=0,0,AE104))</f>
        <v>0</v>
      </c>
      <c r="AE105" s="98">
        <f t="shared" ca="1" si="26"/>
        <v>0</v>
      </c>
      <c r="AF105" s="98">
        <f ca="1">IF('Invoer gegevens'!$C$17=E105,X105,IF(C105=0,0,AG104))</f>
        <v>0</v>
      </c>
      <c r="AG105" s="98">
        <f t="shared" ca="1" si="27"/>
        <v>0</v>
      </c>
      <c r="AH105" s="66"/>
      <c r="AI105" s="71">
        <f ca="1">IF(C105=1,Reeksen!AI105*((F105+K105)/2)*12+Reeksen!AD105*((L105+Q105)/2)*12,0)</f>
        <v>0</v>
      </c>
      <c r="AJ105" s="71">
        <f ca="1">-AI105*'Invoer gegevens'!$F$28</f>
        <v>0</v>
      </c>
      <c r="AK105" s="71">
        <f t="shared" ca="1" si="28"/>
        <v>0</v>
      </c>
      <c r="AL105" s="71">
        <f ca="1">IF(C105=1,Reeksen!AL105*((F105-G105+F105)/2)*12+Reeksen!AM105*((L105-M105+L105)/2)*12,0)</f>
        <v>0</v>
      </c>
      <c r="AM105" s="71">
        <f ca="1">-AL105*'Invoer gegevens'!$F$31</f>
        <v>0</v>
      </c>
      <c r="AN105" s="71">
        <f t="shared" ca="1" si="29"/>
        <v>0</v>
      </c>
      <c r="AO105" s="71">
        <f ca="1">IF(C105=1,(H105+J105+N105+P105)*Reeksen!AN105,0)</f>
        <v>0</v>
      </c>
      <c r="AP105" s="71">
        <f ca="1">-IF(C105=1,(H105+J105+N105+P105)*'Hulp - basis'!$G$550*Reeksen!H105,0)</f>
        <v>0</v>
      </c>
      <c r="AQ105" s="71">
        <f ca="1">-IF(C105=1,(F105+K105+L105+Q105)/2*'Invoer gegevens'!$F$35*Reeksen!J105,0)*2</f>
        <v>0</v>
      </c>
      <c r="AR105" s="71">
        <f ca="1">IF(BD105&lt;1,-IF(C105=1,(G105*'Invoer gegevens'!$F$36)*Reeksen!J105,0),0)</f>
        <v>0</v>
      </c>
      <c r="AS105" s="71">
        <f ca="1">-IF(C105=1,(F105+K105+L105+Q105)/2*'Invoer gegevens'!$F$37*Reeksen!L105,0)</f>
        <v>0</v>
      </c>
      <c r="AT105" s="71">
        <f ca="1">-IF(C105=1,IF(E105='Invoer gegevens'!$C$17,'Invoer gegevens'!$C$11,AD105)*Reeksen!S105*'Invoer gegevens'!$C$18*Reeksen!P105,0)</f>
        <v>0</v>
      </c>
      <c r="AU105" s="71">
        <f ca="1">-IF(C105=1,(F105+K105+L105+Q105)/2*'Invoer gegevens'!$F$38*Reeksen!H105,0)</f>
        <v>0</v>
      </c>
      <c r="AV105" s="71">
        <f t="shared" si="33"/>
        <v>0</v>
      </c>
      <c r="AW105" s="71">
        <f t="shared" ca="1" si="30"/>
        <v>0</v>
      </c>
      <c r="AX105" s="71">
        <f ca="1">IF(E105&lt;'Invoer gegevens'!$C$17+15,0,IF(E105&gt;'Invoer gegevens'!$C$17+215,0,AW105))</f>
        <v>0</v>
      </c>
      <c r="AY105" s="71">
        <f ca="1">AX105/(1+'Invoer gegevens'!$F$18)^($AZ105-('Invoer gegevens'!$C$17-'Invoer gegevens'!$C$16))/(1+'Invoer gegevens'!$C$39)^('Invoer gegevens'!$C$17-'Invoer gegevens'!$C$16)</f>
        <v>0</v>
      </c>
      <c r="AZ105" s="68">
        <f ca="1">IF(E105-'Invoer gegevens'!$C$17-14.5&lt;0,0,E105-'Invoer gegevens'!$C$17-14.5)</f>
        <v>85.5</v>
      </c>
      <c r="BA105" s="109">
        <f ca="1">IFERROR(VLOOKUP(E105-15,Reeksen!$A$5:$D$234,2,FALSE),0)</f>
        <v>0</v>
      </c>
      <c r="BB105" s="109">
        <f ca="1">IFERROR(VLOOKUP(E105-15,Reeksen!$A$5:$D$234,3,FALSE),0)</f>
        <v>0</v>
      </c>
      <c r="BC105" s="109">
        <f ca="1">IFERROR(VLOOKUP(E105-15,Reeksen!$A$5:$D$234,4,FALSE),0)</f>
        <v>0</v>
      </c>
      <c r="BD105" s="67">
        <f ca="1">IF(E105-'Invoer gegevens'!$C$17&lt;15,0,1)</f>
        <v>1</v>
      </c>
    </row>
    <row r="106" spans="1:56" x14ac:dyDescent="0.25">
      <c r="A106" s="59"/>
      <c r="B106" s="70">
        <f t="shared" si="31"/>
        <v>102</v>
      </c>
      <c r="C106" s="67">
        <f ca="1">IF(E106-'Invoer gegevens'!$C$17&lt;0,0,1)</f>
        <v>1</v>
      </c>
      <c r="D106" s="68">
        <f t="shared" si="32"/>
        <v>101.5</v>
      </c>
      <c r="E106" s="108">
        <f ca="1">IF('Invoer gegevens'!$C$16="","",E105+1)</f>
        <v>2120</v>
      </c>
      <c r="F106" s="84">
        <f ca="1">IF('Invoer gegevens'!$C$17=E106,'Invoer gegevens'!$C$10,IF(C106=1,K105,0))</f>
        <v>0</v>
      </c>
      <c r="G106" s="96">
        <f ca="1">IF(BD106&lt;1,F106*Reeksen!C106,IF(C106&gt;=1,F106*BA106,0))</f>
        <v>0</v>
      </c>
      <c r="H106" s="84">
        <f ca="1">(1-('Invoer gegevens'!$F$20/12))*F106*MIN(BA106,BC106)</f>
        <v>0</v>
      </c>
      <c r="I106" s="84">
        <f t="shared" ca="1" si="17"/>
        <v>0</v>
      </c>
      <c r="J106" s="84">
        <f ca="1">('Invoer gegevens'!$F$20/12)*F105*MIN(BA106,BC106)</f>
        <v>0</v>
      </c>
      <c r="K106" s="97">
        <f t="shared" ca="1" si="22"/>
        <v>0</v>
      </c>
      <c r="L106" s="84">
        <f ca="1">IF('Invoer gegevens'!$C$17=E106,0,IF(C106=1,Q105,0))</f>
        <v>0</v>
      </c>
      <c r="M106" s="96">
        <f t="shared" ca="1" si="18"/>
        <v>0</v>
      </c>
      <c r="N106" s="84">
        <f ca="1">(1-('Invoer gegevens'!$F$20/12))*L106*MIN(BA106,BC106)</f>
        <v>0</v>
      </c>
      <c r="O106" s="84">
        <f t="shared" ca="1" si="19"/>
        <v>0</v>
      </c>
      <c r="P106" s="84">
        <f ca="1">('Invoer gegevens'!$F$20/12)*L105*MIN(BA106,BC106)</f>
        <v>0</v>
      </c>
      <c r="Q106" s="84">
        <f t="shared" ca="1" si="23"/>
        <v>0</v>
      </c>
      <c r="R106" s="85">
        <f ca="1">IF('Invoer gegevens'!$C$17=E106,'Invoer gegevens'!$C$11,IF(C106=1,W105,0))</f>
        <v>0</v>
      </c>
      <c r="S106" s="86">
        <f t="shared" ca="1" si="20"/>
        <v>0</v>
      </c>
      <c r="T106" s="86">
        <f ca="1">(1-('Invoer gegevens'!$F$20/12))*R106*MIN(BC106,BA106)</f>
        <v>0</v>
      </c>
      <c r="U106" s="86">
        <f ca="1">IF(BD106&lt;1,IF(Reeksen!AD106&lt;=Reeksen!AE106,R106*Reeksen!C106,0),IF(BC106&gt;=BA106,0,IF(Reeksen!AD106&lt;=Reeksen!AE106,(BA106-BC106)*R106,0)))</f>
        <v>0</v>
      </c>
      <c r="V106" s="86">
        <f ca="1">IF(BD106&lt;1,IF(Reeksen!AD106&gt;Reeksen!AE106,R106*Reeksen!C106,0),IF(BC106&gt;=BA106,0,IF(Reeksen!AD106&gt;Reeksen!AE106,(BA106-BC106)*R106,0)))</f>
        <v>0</v>
      </c>
      <c r="W106" s="218">
        <f t="shared" ca="1" si="24"/>
        <v>0</v>
      </c>
      <c r="X106" s="98">
        <f ca="1">IF('Invoer gegevens'!$C$17=E106,'Invoer gegevens'!$C$10-'Invoer gegevens'!$C$11,IF(C106=1,AC105,0))</f>
        <v>0</v>
      </c>
      <c r="Y106" s="98">
        <f t="shared" ca="1" si="21"/>
        <v>0</v>
      </c>
      <c r="Z106" s="98">
        <f ca="1">(1-('Invoer gegevens'!$F$20/12))*X106*MIN(BA106,BC106)</f>
        <v>0</v>
      </c>
      <c r="AA106" s="98">
        <f ca="1">IF(BD106&lt;1,IF(Reeksen!AD106&lt;=Reeksen!AE106,X106*Reeksen!C106,0),IF(BC106&gt;=BA106,0,IF(Reeksen!AD106&lt;=Reeksen!AE106,(BA106-BC106)*X106,0)))</f>
        <v>0</v>
      </c>
      <c r="AB106" s="98">
        <f ca="1">IF(BD106&lt;1,IF(Reeksen!AD106&gt;Reeksen!AE106,X106*Reeksen!C106,0),IF(BC106&gt;=BA106,0,IF(Reeksen!AD106&gt;Reeksen!AE106,(BA106-BC106)*X106,0)))</f>
        <v>0</v>
      </c>
      <c r="AC106" s="99">
        <f t="shared" ca="1" si="25"/>
        <v>0</v>
      </c>
      <c r="AD106" s="98">
        <f ca="1">IF('Invoer gegevens'!$C$17=E106,R106,IF(C106=0,0,AE105))</f>
        <v>0</v>
      </c>
      <c r="AE106" s="98">
        <f t="shared" ca="1" si="26"/>
        <v>0</v>
      </c>
      <c r="AF106" s="98">
        <f ca="1">IF('Invoer gegevens'!$C$17=E106,X106,IF(C106=0,0,AG105))</f>
        <v>0</v>
      </c>
      <c r="AG106" s="98">
        <f t="shared" ca="1" si="27"/>
        <v>0</v>
      </c>
      <c r="AH106" s="66"/>
      <c r="AI106" s="71">
        <f ca="1">IF(C106=1,Reeksen!AI106*((F106+K106)/2)*12+Reeksen!AD106*((L106+Q106)/2)*12,0)</f>
        <v>0</v>
      </c>
      <c r="AJ106" s="71">
        <f ca="1">-AI106*'Invoer gegevens'!$F$28</f>
        <v>0</v>
      </c>
      <c r="AK106" s="71">
        <f t="shared" ca="1" si="28"/>
        <v>0</v>
      </c>
      <c r="AL106" s="71">
        <f ca="1">IF(C106=1,Reeksen!AL106*((F106-G106+F106)/2)*12+Reeksen!AM106*((L106-M106+L106)/2)*12,0)</f>
        <v>0</v>
      </c>
      <c r="AM106" s="71">
        <f ca="1">-AL106*'Invoer gegevens'!$F$31</f>
        <v>0</v>
      </c>
      <c r="AN106" s="71">
        <f t="shared" ca="1" si="29"/>
        <v>0</v>
      </c>
      <c r="AO106" s="71">
        <f ca="1">IF(C106=1,(H106+J106+N106+P106)*Reeksen!AN106,0)</f>
        <v>0</v>
      </c>
      <c r="AP106" s="71">
        <f ca="1">-IF(C106=1,(H106+J106+N106+P106)*'Hulp - basis'!$G$550*Reeksen!H106,0)</f>
        <v>0</v>
      </c>
      <c r="AQ106" s="71">
        <f ca="1">-IF(C106=1,(F106+K106+L106+Q106)/2*'Invoer gegevens'!$F$35*Reeksen!J106,0)*2</f>
        <v>0</v>
      </c>
      <c r="AR106" s="71">
        <f ca="1">IF(BD106&lt;1,-IF(C106=1,(G106*'Invoer gegevens'!$F$36)*Reeksen!J106,0),0)</f>
        <v>0</v>
      </c>
      <c r="AS106" s="71">
        <f ca="1">-IF(C106=1,(F106+K106+L106+Q106)/2*'Invoer gegevens'!$F$37*Reeksen!L106,0)</f>
        <v>0</v>
      </c>
      <c r="AT106" s="71">
        <f ca="1">-IF(C106=1,IF(E106='Invoer gegevens'!$C$17,'Invoer gegevens'!$C$11,AD106)*Reeksen!S106*'Invoer gegevens'!$C$18*Reeksen!P106,0)</f>
        <v>0</v>
      </c>
      <c r="AU106" s="71">
        <f ca="1">-IF(C106=1,(F106+K106+L106+Q106)/2*'Invoer gegevens'!$F$38*Reeksen!H106,0)</f>
        <v>0</v>
      </c>
      <c r="AV106" s="71">
        <f t="shared" si="33"/>
        <v>0</v>
      </c>
      <c r="AW106" s="71">
        <f t="shared" ca="1" si="30"/>
        <v>0</v>
      </c>
      <c r="AX106" s="71">
        <f ca="1">IF(E106&lt;'Invoer gegevens'!$C$17+15,0,IF(E106&gt;'Invoer gegevens'!$C$17+215,0,AW106))</f>
        <v>0</v>
      </c>
      <c r="AY106" s="71">
        <f ca="1">AX106/(1+'Invoer gegevens'!$F$18)^($AZ106-('Invoer gegevens'!$C$17-'Invoer gegevens'!$C$16))/(1+'Invoer gegevens'!$C$39)^('Invoer gegevens'!$C$17-'Invoer gegevens'!$C$16)</f>
        <v>0</v>
      </c>
      <c r="AZ106" s="68">
        <f ca="1">IF(E106-'Invoer gegevens'!$C$17-14.5&lt;0,0,E106-'Invoer gegevens'!$C$17-14.5)</f>
        <v>86.5</v>
      </c>
      <c r="BA106" s="109">
        <f ca="1">IFERROR(VLOOKUP(E106-15,Reeksen!$A$5:$D$234,2,FALSE),0)</f>
        <v>0</v>
      </c>
      <c r="BB106" s="109">
        <f ca="1">IFERROR(VLOOKUP(E106-15,Reeksen!$A$5:$D$234,3,FALSE),0)</f>
        <v>0</v>
      </c>
      <c r="BC106" s="109">
        <f ca="1">IFERROR(VLOOKUP(E106-15,Reeksen!$A$5:$D$234,4,FALSE),0)</f>
        <v>0</v>
      </c>
      <c r="BD106" s="67">
        <f ca="1">IF(E106-'Invoer gegevens'!$C$17&lt;15,0,1)</f>
        <v>1</v>
      </c>
    </row>
    <row r="107" spans="1:56" x14ac:dyDescent="0.25">
      <c r="A107" s="59"/>
      <c r="B107" s="70">
        <f t="shared" si="31"/>
        <v>103</v>
      </c>
      <c r="C107" s="67">
        <f ca="1">IF(E107-'Invoer gegevens'!$C$17&lt;0,0,1)</f>
        <v>1</v>
      </c>
      <c r="D107" s="68">
        <f t="shared" si="32"/>
        <v>102.5</v>
      </c>
      <c r="E107" s="108">
        <f ca="1">IF('Invoer gegevens'!$C$16="","",E106+1)</f>
        <v>2121</v>
      </c>
      <c r="F107" s="84">
        <f ca="1">IF('Invoer gegevens'!$C$17=E107,'Invoer gegevens'!$C$10,IF(C107=1,K106,0))</f>
        <v>0</v>
      </c>
      <c r="G107" s="96">
        <f ca="1">IF(BD107&lt;1,F107*Reeksen!C107,IF(C107&gt;=1,F107*BA107,0))</f>
        <v>0</v>
      </c>
      <c r="H107" s="84">
        <f ca="1">(1-('Invoer gegevens'!$F$20/12))*F107*MIN(BA107,BC107)</f>
        <v>0</v>
      </c>
      <c r="I107" s="84">
        <f t="shared" ca="1" si="17"/>
        <v>0</v>
      </c>
      <c r="J107" s="84">
        <f ca="1">('Invoer gegevens'!$F$20/12)*F106*MIN(BA107,BC107)</f>
        <v>0</v>
      </c>
      <c r="K107" s="97">
        <f t="shared" ca="1" si="22"/>
        <v>0</v>
      </c>
      <c r="L107" s="84">
        <f ca="1">IF('Invoer gegevens'!$C$17=E107,0,IF(C107=1,Q106,0))</f>
        <v>0</v>
      </c>
      <c r="M107" s="96">
        <f t="shared" ca="1" si="18"/>
        <v>0</v>
      </c>
      <c r="N107" s="84">
        <f ca="1">(1-('Invoer gegevens'!$F$20/12))*L107*MIN(BA107,BC107)</f>
        <v>0</v>
      </c>
      <c r="O107" s="84">
        <f t="shared" ca="1" si="19"/>
        <v>0</v>
      </c>
      <c r="P107" s="84">
        <f ca="1">('Invoer gegevens'!$F$20/12)*L106*MIN(BA107,BC107)</f>
        <v>0</v>
      </c>
      <c r="Q107" s="84">
        <f t="shared" ca="1" si="23"/>
        <v>0</v>
      </c>
      <c r="R107" s="85">
        <f ca="1">IF('Invoer gegevens'!$C$17=E107,'Invoer gegevens'!$C$11,IF(C107=1,W106,0))</f>
        <v>0</v>
      </c>
      <c r="S107" s="86">
        <f t="shared" ca="1" si="20"/>
        <v>0</v>
      </c>
      <c r="T107" s="86">
        <f ca="1">(1-('Invoer gegevens'!$F$20/12))*R107*MIN(BC107,BA107)</f>
        <v>0</v>
      </c>
      <c r="U107" s="86">
        <f ca="1">IF(BD107&lt;1,IF(Reeksen!AD107&lt;=Reeksen!AE107,R107*Reeksen!C107,0),IF(BC107&gt;=BA107,0,IF(Reeksen!AD107&lt;=Reeksen!AE107,(BA107-BC107)*R107,0)))</f>
        <v>0</v>
      </c>
      <c r="V107" s="86">
        <f ca="1">IF(BD107&lt;1,IF(Reeksen!AD107&gt;Reeksen!AE107,R107*Reeksen!C107,0),IF(BC107&gt;=BA107,0,IF(Reeksen!AD107&gt;Reeksen!AE107,(BA107-BC107)*R107,0)))</f>
        <v>0</v>
      </c>
      <c r="W107" s="218">
        <f t="shared" ca="1" si="24"/>
        <v>0</v>
      </c>
      <c r="X107" s="98">
        <f ca="1">IF('Invoer gegevens'!$C$17=E107,'Invoer gegevens'!$C$10-'Invoer gegevens'!$C$11,IF(C107=1,AC106,0))</f>
        <v>0</v>
      </c>
      <c r="Y107" s="98">
        <f t="shared" ca="1" si="21"/>
        <v>0</v>
      </c>
      <c r="Z107" s="98">
        <f ca="1">(1-('Invoer gegevens'!$F$20/12))*X107*MIN(BA107,BC107)</f>
        <v>0</v>
      </c>
      <c r="AA107" s="98">
        <f ca="1">IF(BD107&lt;1,IF(Reeksen!AD107&lt;=Reeksen!AE107,X107*Reeksen!C107,0),IF(BC107&gt;=BA107,0,IF(Reeksen!AD107&lt;=Reeksen!AE107,(BA107-BC107)*X107,0)))</f>
        <v>0</v>
      </c>
      <c r="AB107" s="98">
        <f ca="1">IF(BD107&lt;1,IF(Reeksen!AD107&gt;Reeksen!AE107,X107*Reeksen!C107,0),IF(BC107&gt;=BA107,0,IF(Reeksen!AD107&gt;Reeksen!AE107,(BA107-BC107)*X107,0)))</f>
        <v>0</v>
      </c>
      <c r="AC107" s="99">
        <f t="shared" ca="1" si="25"/>
        <v>0</v>
      </c>
      <c r="AD107" s="98">
        <f ca="1">IF('Invoer gegevens'!$C$17=E107,R107,IF(C107=0,0,AE106))</f>
        <v>0</v>
      </c>
      <c r="AE107" s="98">
        <f t="shared" ca="1" si="26"/>
        <v>0</v>
      </c>
      <c r="AF107" s="98">
        <f ca="1">IF('Invoer gegevens'!$C$17=E107,X107,IF(C107=0,0,AG106))</f>
        <v>0</v>
      </c>
      <c r="AG107" s="98">
        <f t="shared" ca="1" si="27"/>
        <v>0</v>
      </c>
      <c r="AH107" s="66"/>
      <c r="AI107" s="71">
        <f ca="1">IF(C107=1,Reeksen!AI107*((F107+K107)/2)*12+Reeksen!AD107*((L107+Q107)/2)*12,0)</f>
        <v>0</v>
      </c>
      <c r="AJ107" s="71">
        <f ca="1">-AI107*'Invoer gegevens'!$F$28</f>
        <v>0</v>
      </c>
      <c r="AK107" s="71">
        <f t="shared" ca="1" si="28"/>
        <v>0</v>
      </c>
      <c r="AL107" s="71">
        <f ca="1">IF(C107=1,Reeksen!AL107*((F107-G107+F107)/2)*12+Reeksen!AM107*((L107-M107+L107)/2)*12,0)</f>
        <v>0</v>
      </c>
      <c r="AM107" s="71">
        <f ca="1">-AL107*'Invoer gegevens'!$F$31</f>
        <v>0</v>
      </c>
      <c r="AN107" s="71">
        <f t="shared" ca="1" si="29"/>
        <v>0</v>
      </c>
      <c r="AO107" s="71">
        <f ca="1">IF(C107=1,(H107+J107+N107+P107)*Reeksen!AN107,0)</f>
        <v>0</v>
      </c>
      <c r="AP107" s="71">
        <f ca="1">-IF(C107=1,(H107+J107+N107+P107)*'Hulp - basis'!$G$550*Reeksen!H107,0)</f>
        <v>0</v>
      </c>
      <c r="AQ107" s="71">
        <f ca="1">-IF(C107=1,(F107+K107+L107+Q107)/2*'Invoer gegevens'!$F$35*Reeksen!J107,0)*2</f>
        <v>0</v>
      </c>
      <c r="AR107" s="71">
        <f ca="1">IF(BD107&lt;1,-IF(C107=1,(G107*'Invoer gegevens'!$F$36)*Reeksen!J107,0),0)</f>
        <v>0</v>
      </c>
      <c r="AS107" s="71">
        <f ca="1">-IF(C107=1,(F107+K107+L107+Q107)/2*'Invoer gegevens'!$F$37*Reeksen!L107,0)</f>
        <v>0</v>
      </c>
      <c r="AT107" s="71">
        <f ca="1">-IF(C107=1,IF(E107='Invoer gegevens'!$C$17,'Invoer gegevens'!$C$11,AD107)*Reeksen!S107*'Invoer gegevens'!$C$18*Reeksen!P107,0)</f>
        <v>0</v>
      </c>
      <c r="AU107" s="71">
        <f ca="1">-IF(C107=1,(F107+K107+L107+Q107)/2*'Invoer gegevens'!$F$38*Reeksen!H107,0)</f>
        <v>0</v>
      </c>
      <c r="AV107" s="71">
        <f t="shared" si="33"/>
        <v>0</v>
      </c>
      <c r="AW107" s="71">
        <f t="shared" ca="1" si="30"/>
        <v>0</v>
      </c>
      <c r="AX107" s="71">
        <f ca="1">IF(E107&lt;'Invoer gegevens'!$C$17+15,0,IF(E107&gt;'Invoer gegevens'!$C$17+215,0,AW107))</f>
        <v>0</v>
      </c>
      <c r="AY107" s="71">
        <f ca="1">AX107/(1+'Invoer gegevens'!$F$18)^($AZ107-('Invoer gegevens'!$C$17-'Invoer gegevens'!$C$16))/(1+'Invoer gegevens'!$C$39)^('Invoer gegevens'!$C$17-'Invoer gegevens'!$C$16)</f>
        <v>0</v>
      </c>
      <c r="AZ107" s="68">
        <f ca="1">IF(E107-'Invoer gegevens'!$C$17-14.5&lt;0,0,E107-'Invoer gegevens'!$C$17-14.5)</f>
        <v>87.5</v>
      </c>
      <c r="BA107" s="109">
        <f ca="1">IFERROR(VLOOKUP(E107-15,Reeksen!$A$5:$D$234,2,FALSE),0)</f>
        <v>0</v>
      </c>
      <c r="BB107" s="109">
        <f ca="1">IFERROR(VLOOKUP(E107-15,Reeksen!$A$5:$D$234,3,FALSE),0)</f>
        <v>0</v>
      </c>
      <c r="BC107" s="109">
        <f ca="1">IFERROR(VLOOKUP(E107-15,Reeksen!$A$5:$D$234,4,FALSE),0)</f>
        <v>0</v>
      </c>
      <c r="BD107" s="67">
        <f ca="1">IF(E107-'Invoer gegevens'!$C$17&lt;15,0,1)</f>
        <v>1</v>
      </c>
    </row>
    <row r="108" spans="1:56" x14ac:dyDescent="0.25">
      <c r="A108" s="59"/>
      <c r="B108" s="70">
        <f t="shared" si="31"/>
        <v>104</v>
      </c>
      <c r="C108" s="67">
        <f ca="1">IF(E108-'Invoer gegevens'!$C$17&lt;0,0,1)</f>
        <v>1</v>
      </c>
      <c r="D108" s="68">
        <f t="shared" si="32"/>
        <v>103.5</v>
      </c>
      <c r="E108" s="108">
        <f ca="1">IF('Invoer gegevens'!$C$16="","",E107+1)</f>
        <v>2122</v>
      </c>
      <c r="F108" s="84">
        <f ca="1">IF('Invoer gegevens'!$C$17=E108,'Invoer gegevens'!$C$10,IF(C108=1,K107,0))</f>
        <v>0</v>
      </c>
      <c r="G108" s="96">
        <f ca="1">IF(BD108&lt;1,F108*Reeksen!C108,IF(C108&gt;=1,F108*BA108,0))</f>
        <v>0</v>
      </c>
      <c r="H108" s="84">
        <f ca="1">(1-('Invoer gegevens'!$F$20/12))*F108*MIN(BA108,BC108)</f>
        <v>0</v>
      </c>
      <c r="I108" s="84">
        <f t="shared" ca="1" si="17"/>
        <v>0</v>
      </c>
      <c r="J108" s="84">
        <f ca="1">('Invoer gegevens'!$F$20/12)*F107*MIN(BA108,BC108)</f>
        <v>0</v>
      </c>
      <c r="K108" s="97">
        <f t="shared" ca="1" si="22"/>
        <v>0</v>
      </c>
      <c r="L108" s="84">
        <f ca="1">IF('Invoer gegevens'!$C$17=E108,0,IF(C108=1,Q107,0))</f>
        <v>0</v>
      </c>
      <c r="M108" s="96">
        <f t="shared" ca="1" si="18"/>
        <v>0</v>
      </c>
      <c r="N108" s="84">
        <f ca="1">(1-('Invoer gegevens'!$F$20/12))*L108*MIN(BA108,BC108)</f>
        <v>0</v>
      </c>
      <c r="O108" s="84">
        <f t="shared" ca="1" si="19"/>
        <v>0</v>
      </c>
      <c r="P108" s="84">
        <f ca="1">('Invoer gegevens'!$F$20/12)*L107*MIN(BA108,BC108)</f>
        <v>0</v>
      </c>
      <c r="Q108" s="84">
        <f t="shared" ca="1" si="23"/>
        <v>0</v>
      </c>
      <c r="R108" s="85">
        <f ca="1">IF('Invoer gegevens'!$C$17=E108,'Invoer gegevens'!$C$11,IF(C108=1,W107,0))</f>
        <v>0</v>
      </c>
      <c r="S108" s="86">
        <f t="shared" ca="1" si="20"/>
        <v>0</v>
      </c>
      <c r="T108" s="86">
        <f ca="1">(1-('Invoer gegevens'!$F$20/12))*R108*MIN(BC108,BA108)</f>
        <v>0</v>
      </c>
      <c r="U108" s="86">
        <f ca="1">IF(BD108&lt;1,IF(Reeksen!AD108&lt;=Reeksen!AE108,R108*Reeksen!C108,0),IF(BC108&gt;=BA108,0,IF(Reeksen!AD108&lt;=Reeksen!AE108,(BA108-BC108)*R108,0)))</f>
        <v>0</v>
      </c>
      <c r="V108" s="86">
        <f ca="1">IF(BD108&lt;1,IF(Reeksen!AD108&gt;Reeksen!AE108,R108*Reeksen!C108,0),IF(BC108&gt;=BA108,0,IF(Reeksen!AD108&gt;Reeksen!AE108,(BA108-BC108)*R108,0)))</f>
        <v>0</v>
      </c>
      <c r="W108" s="218">
        <f t="shared" ca="1" si="24"/>
        <v>0</v>
      </c>
      <c r="X108" s="98">
        <f ca="1">IF('Invoer gegevens'!$C$17=E108,'Invoer gegevens'!$C$10-'Invoer gegevens'!$C$11,IF(C108=1,AC107,0))</f>
        <v>0</v>
      </c>
      <c r="Y108" s="98">
        <f t="shared" ca="1" si="21"/>
        <v>0</v>
      </c>
      <c r="Z108" s="98">
        <f ca="1">(1-('Invoer gegevens'!$F$20/12))*X108*MIN(BA108,BC108)</f>
        <v>0</v>
      </c>
      <c r="AA108" s="98">
        <f ca="1">IF(BD108&lt;1,IF(Reeksen!AD108&lt;=Reeksen!AE108,X108*Reeksen!C108,0),IF(BC108&gt;=BA108,0,IF(Reeksen!AD108&lt;=Reeksen!AE108,(BA108-BC108)*X108,0)))</f>
        <v>0</v>
      </c>
      <c r="AB108" s="98">
        <f ca="1">IF(BD108&lt;1,IF(Reeksen!AD108&gt;Reeksen!AE108,X108*Reeksen!C108,0),IF(BC108&gt;=BA108,0,IF(Reeksen!AD108&gt;Reeksen!AE108,(BA108-BC108)*X108,0)))</f>
        <v>0</v>
      </c>
      <c r="AC108" s="99">
        <f t="shared" ca="1" si="25"/>
        <v>0</v>
      </c>
      <c r="AD108" s="98">
        <f ca="1">IF('Invoer gegevens'!$C$17=E108,R108,IF(C108=0,0,AE107))</f>
        <v>0</v>
      </c>
      <c r="AE108" s="98">
        <f t="shared" ca="1" si="26"/>
        <v>0</v>
      </c>
      <c r="AF108" s="98">
        <f ca="1">IF('Invoer gegevens'!$C$17=E108,X108,IF(C108=0,0,AG107))</f>
        <v>0</v>
      </c>
      <c r="AG108" s="98">
        <f t="shared" ca="1" si="27"/>
        <v>0</v>
      </c>
      <c r="AH108" s="66"/>
      <c r="AI108" s="71">
        <f ca="1">IF(C108=1,Reeksen!AI108*((F108+K108)/2)*12+Reeksen!AD108*((L108+Q108)/2)*12,0)</f>
        <v>0</v>
      </c>
      <c r="AJ108" s="71">
        <f ca="1">-AI108*'Invoer gegevens'!$F$28</f>
        <v>0</v>
      </c>
      <c r="AK108" s="71">
        <f t="shared" ca="1" si="28"/>
        <v>0</v>
      </c>
      <c r="AL108" s="71">
        <f ca="1">IF(C108=1,Reeksen!AL108*((F108-G108+F108)/2)*12+Reeksen!AM108*((L108-M108+L108)/2)*12,0)</f>
        <v>0</v>
      </c>
      <c r="AM108" s="71">
        <f ca="1">-AL108*'Invoer gegevens'!$F$31</f>
        <v>0</v>
      </c>
      <c r="AN108" s="71">
        <f t="shared" ca="1" si="29"/>
        <v>0</v>
      </c>
      <c r="AO108" s="71">
        <f ca="1">IF(C108=1,(H108+J108+N108+P108)*Reeksen!AN108,0)</f>
        <v>0</v>
      </c>
      <c r="AP108" s="71">
        <f ca="1">-IF(C108=1,(H108+J108+N108+P108)*'Hulp - basis'!$G$550*Reeksen!H108,0)</f>
        <v>0</v>
      </c>
      <c r="AQ108" s="71">
        <f ca="1">-IF(C108=1,(F108+K108+L108+Q108)/2*'Invoer gegevens'!$F$35*Reeksen!J108,0)*2</f>
        <v>0</v>
      </c>
      <c r="AR108" s="71">
        <f ca="1">IF(BD108&lt;1,-IF(C108=1,(G108*'Invoer gegevens'!$F$36)*Reeksen!J108,0),0)</f>
        <v>0</v>
      </c>
      <c r="AS108" s="71">
        <f ca="1">-IF(C108=1,(F108+K108+L108+Q108)/2*'Invoer gegevens'!$F$37*Reeksen!L108,0)</f>
        <v>0</v>
      </c>
      <c r="AT108" s="71">
        <f ca="1">-IF(C108=1,IF(E108='Invoer gegevens'!$C$17,'Invoer gegevens'!$C$11,AD108)*Reeksen!S108*'Invoer gegevens'!$C$18*Reeksen!P108,0)</f>
        <v>0</v>
      </c>
      <c r="AU108" s="71">
        <f ca="1">-IF(C108=1,(F108+K108+L108+Q108)/2*'Invoer gegevens'!$F$38*Reeksen!H108,0)</f>
        <v>0</v>
      </c>
      <c r="AV108" s="71">
        <f t="shared" si="33"/>
        <v>0</v>
      </c>
      <c r="AW108" s="71">
        <f t="shared" ca="1" si="30"/>
        <v>0</v>
      </c>
      <c r="AX108" s="71">
        <f ca="1">IF(E108&lt;'Invoer gegevens'!$C$17+15,0,IF(E108&gt;'Invoer gegevens'!$C$17+215,0,AW108))</f>
        <v>0</v>
      </c>
      <c r="AY108" s="71">
        <f ca="1">AX108/(1+'Invoer gegevens'!$F$18)^($AZ108-('Invoer gegevens'!$C$17-'Invoer gegevens'!$C$16))/(1+'Invoer gegevens'!$C$39)^('Invoer gegevens'!$C$17-'Invoer gegevens'!$C$16)</f>
        <v>0</v>
      </c>
      <c r="AZ108" s="68">
        <f ca="1">IF(E108-'Invoer gegevens'!$C$17-14.5&lt;0,0,E108-'Invoer gegevens'!$C$17-14.5)</f>
        <v>88.5</v>
      </c>
      <c r="BA108" s="109">
        <f ca="1">IFERROR(VLOOKUP(E108-15,Reeksen!$A$5:$D$234,2,FALSE),0)</f>
        <v>0</v>
      </c>
      <c r="BB108" s="109">
        <f ca="1">IFERROR(VLOOKUP(E108-15,Reeksen!$A$5:$D$234,3,FALSE),0)</f>
        <v>0</v>
      </c>
      <c r="BC108" s="109">
        <f ca="1">IFERROR(VLOOKUP(E108-15,Reeksen!$A$5:$D$234,4,FALSE),0)</f>
        <v>0</v>
      </c>
      <c r="BD108" s="67">
        <f ca="1">IF(E108-'Invoer gegevens'!$C$17&lt;15,0,1)</f>
        <v>1</v>
      </c>
    </row>
    <row r="109" spans="1:56" x14ac:dyDescent="0.25">
      <c r="A109" s="59"/>
      <c r="B109" s="70">
        <f t="shared" si="31"/>
        <v>105</v>
      </c>
      <c r="C109" s="67">
        <f ca="1">IF(E109-'Invoer gegevens'!$C$17&lt;0,0,1)</f>
        <v>1</v>
      </c>
      <c r="D109" s="68">
        <f t="shared" si="32"/>
        <v>104.5</v>
      </c>
      <c r="E109" s="108">
        <f ca="1">IF('Invoer gegevens'!$C$16="","",E108+1)</f>
        <v>2123</v>
      </c>
      <c r="F109" s="84">
        <f ca="1">IF('Invoer gegevens'!$C$17=E109,'Invoer gegevens'!$C$10,IF(C109=1,K108,0))</f>
        <v>0</v>
      </c>
      <c r="G109" s="96">
        <f ca="1">IF(BD109&lt;1,F109*Reeksen!C109,IF(C109&gt;=1,F109*BA109,0))</f>
        <v>0</v>
      </c>
      <c r="H109" s="84">
        <f ca="1">(1-('Invoer gegevens'!$F$20/12))*F109*MIN(BA109,BC109)</f>
        <v>0</v>
      </c>
      <c r="I109" s="84">
        <f t="shared" ca="1" si="17"/>
        <v>0</v>
      </c>
      <c r="J109" s="84">
        <f ca="1">('Invoer gegevens'!$F$20/12)*F108*MIN(BA109,BC109)</f>
        <v>0</v>
      </c>
      <c r="K109" s="97">
        <f t="shared" ca="1" si="22"/>
        <v>0</v>
      </c>
      <c r="L109" s="84">
        <f ca="1">IF('Invoer gegevens'!$C$17=E109,0,IF(C109=1,Q108,0))</f>
        <v>0</v>
      </c>
      <c r="M109" s="96">
        <f t="shared" ca="1" si="18"/>
        <v>0</v>
      </c>
      <c r="N109" s="84">
        <f ca="1">(1-('Invoer gegevens'!$F$20/12))*L109*MIN(BA109,BC109)</f>
        <v>0</v>
      </c>
      <c r="O109" s="84">
        <f t="shared" ca="1" si="19"/>
        <v>0</v>
      </c>
      <c r="P109" s="84">
        <f ca="1">('Invoer gegevens'!$F$20/12)*L108*MIN(BA109,BC109)</f>
        <v>0</v>
      </c>
      <c r="Q109" s="84">
        <f t="shared" ca="1" si="23"/>
        <v>0</v>
      </c>
      <c r="R109" s="85">
        <f ca="1">IF('Invoer gegevens'!$C$17=E109,'Invoer gegevens'!$C$11,IF(C109=1,W108,0))</f>
        <v>0</v>
      </c>
      <c r="S109" s="86">
        <f t="shared" ca="1" si="20"/>
        <v>0</v>
      </c>
      <c r="T109" s="86">
        <f ca="1">(1-('Invoer gegevens'!$F$20/12))*R109*MIN(BC109,BA109)</f>
        <v>0</v>
      </c>
      <c r="U109" s="86">
        <f ca="1">IF(BD109&lt;1,IF(Reeksen!AD109&lt;=Reeksen!AE109,R109*Reeksen!C109,0),IF(BC109&gt;=BA109,0,IF(Reeksen!AD109&lt;=Reeksen!AE109,(BA109-BC109)*R109,0)))</f>
        <v>0</v>
      </c>
      <c r="V109" s="86">
        <f ca="1">IF(BD109&lt;1,IF(Reeksen!AD109&gt;Reeksen!AE109,R109*Reeksen!C109,0),IF(BC109&gt;=BA109,0,IF(Reeksen!AD109&gt;Reeksen!AE109,(BA109-BC109)*R109,0)))</f>
        <v>0</v>
      </c>
      <c r="W109" s="218">
        <f t="shared" ca="1" si="24"/>
        <v>0</v>
      </c>
      <c r="X109" s="98">
        <f ca="1">IF('Invoer gegevens'!$C$17=E109,'Invoer gegevens'!$C$10-'Invoer gegevens'!$C$11,IF(C109=1,AC108,0))</f>
        <v>0</v>
      </c>
      <c r="Y109" s="98">
        <f t="shared" ca="1" si="21"/>
        <v>0</v>
      </c>
      <c r="Z109" s="98">
        <f ca="1">(1-('Invoer gegevens'!$F$20/12))*X109*MIN(BA109,BC109)</f>
        <v>0</v>
      </c>
      <c r="AA109" s="98">
        <f ca="1">IF(BD109&lt;1,IF(Reeksen!AD109&lt;=Reeksen!AE109,X109*Reeksen!C109,0),IF(BC109&gt;=BA109,0,IF(Reeksen!AD109&lt;=Reeksen!AE109,(BA109-BC109)*X109,0)))</f>
        <v>0</v>
      </c>
      <c r="AB109" s="98">
        <f ca="1">IF(BD109&lt;1,IF(Reeksen!AD109&gt;Reeksen!AE109,X109*Reeksen!C109,0),IF(BC109&gt;=BA109,0,IF(Reeksen!AD109&gt;Reeksen!AE109,(BA109-BC109)*X109,0)))</f>
        <v>0</v>
      </c>
      <c r="AC109" s="99">
        <f t="shared" ca="1" si="25"/>
        <v>0</v>
      </c>
      <c r="AD109" s="98">
        <f ca="1">IF('Invoer gegevens'!$C$17=E109,R109,IF(C109=0,0,AE108))</f>
        <v>0</v>
      </c>
      <c r="AE109" s="98">
        <f t="shared" ca="1" si="26"/>
        <v>0</v>
      </c>
      <c r="AF109" s="98">
        <f ca="1">IF('Invoer gegevens'!$C$17=E109,X109,IF(C109=0,0,AG108))</f>
        <v>0</v>
      </c>
      <c r="AG109" s="98">
        <f t="shared" ca="1" si="27"/>
        <v>0</v>
      </c>
      <c r="AH109" s="66"/>
      <c r="AI109" s="71">
        <f ca="1">IF(C109=1,Reeksen!AI109*((F109+K109)/2)*12+Reeksen!AD109*((L109+Q109)/2)*12,0)</f>
        <v>0</v>
      </c>
      <c r="AJ109" s="71">
        <f ca="1">-AI109*'Invoer gegevens'!$F$28</f>
        <v>0</v>
      </c>
      <c r="AK109" s="71">
        <f t="shared" ca="1" si="28"/>
        <v>0</v>
      </c>
      <c r="AL109" s="71">
        <f ca="1">IF(C109=1,Reeksen!AL109*((F109-G109+F109)/2)*12+Reeksen!AM109*((L109-M109+L109)/2)*12,0)</f>
        <v>0</v>
      </c>
      <c r="AM109" s="71">
        <f ca="1">-AL109*'Invoer gegevens'!$F$31</f>
        <v>0</v>
      </c>
      <c r="AN109" s="71">
        <f t="shared" ca="1" si="29"/>
        <v>0</v>
      </c>
      <c r="AO109" s="71">
        <f ca="1">IF(C109=1,(H109+J109+N109+P109)*Reeksen!AN109,0)</f>
        <v>0</v>
      </c>
      <c r="AP109" s="71">
        <f ca="1">-IF(C109=1,(H109+J109+N109+P109)*'Hulp - basis'!$G$550*Reeksen!H109,0)</f>
        <v>0</v>
      </c>
      <c r="AQ109" s="71">
        <f ca="1">-IF(C109=1,(F109+K109+L109+Q109)/2*'Invoer gegevens'!$F$35*Reeksen!J109,0)*2</f>
        <v>0</v>
      </c>
      <c r="AR109" s="71">
        <f ca="1">IF(BD109&lt;1,-IF(C109=1,(G109*'Invoer gegevens'!$F$36)*Reeksen!J109,0),0)</f>
        <v>0</v>
      </c>
      <c r="AS109" s="71">
        <f ca="1">-IF(C109=1,(F109+K109+L109+Q109)/2*'Invoer gegevens'!$F$37*Reeksen!L109,0)</f>
        <v>0</v>
      </c>
      <c r="AT109" s="71">
        <f ca="1">-IF(C109=1,IF(E109='Invoer gegevens'!$C$17,'Invoer gegevens'!$C$11,AD109)*Reeksen!S109*'Invoer gegevens'!$C$18*Reeksen!P109,0)</f>
        <v>0</v>
      </c>
      <c r="AU109" s="71">
        <f ca="1">-IF(C109=1,(F109+K109+L109+Q109)/2*'Invoer gegevens'!$F$38*Reeksen!H109,0)</f>
        <v>0</v>
      </c>
      <c r="AV109" s="71">
        <f t="shared" si="33"/>
        <v>0</v>
      </c>
      <c r="AW109" s="71">
        <f t="shared" ca="1" si="30"/>
        <v>0</v>
      </c>
      <c r="AX109" s="71">
        <f ca="1">IF(E109&lt;'Invoer gegevens'!$C$17+15,0,IF(E109&gt;'Invoer gegevens'!$C$17+215,0,AW109))</f>
        <v>0</v>
      </c>
      <c r="AY109" s="71">
        <f ca="1">AX109/(1+'Invoer gegevens'!$F$18)^($AZ109-('Invoer gegevens'!$C$17-'Invoer gegevens'!$C$16))/(1+'Invoer gegevens'!$C$39)^('Invoer gegevens'!$C$17-'Invoer gegevens'!$C$16)</f>
        <v>0</v>
      </c>
      <c r="AZ109" s="68">
        <f ca="1">IF(E109-'Invoer gegevens'!$C$17-14.5&lt;0,0,E109-'Invoer gegevens'!$C$17-14.5)</f>
        <v>89.5</v>
      </c>
      <c r="BA109" s="109">
        <f ca="1">IFERROR(VLOOKUP(E109-15,Reeksen!$A$5:$D$234,2,FALSE),0)</f>
        <v>0</v>
      </c>
      <c r="BB109" s="109">
        <f ca="1">IFERROR(VLOOKUP(E109-15,Reeksen!$A$5:$D$234,3,FALSE),0)</f>
        <v>0</v>
      </c>
      <c r="BC109" s="109">
        <f ca="1">IFERROR(VLOOKUP(E109-15,Reeksen!$A$5:$D$234,4,FALSE),0)</f>
        <v>0</v>
      </c>
      <c r="BD109" s="67">
        <f ca="1">IF(E109-'Invoer gegevens'!$C$17&lt;15,0,1)</f>
        <v>1</v>
      </c>
    </row>
    <row r="110" spans="1:56" x14ac:dyDescent="0.25">
      <c r="A110" s="59"/>
      <c r="B110" s="70">
        <f t="shared" si="31"/>
        <v>106</v>
      </c>
      <c r="C110" s="67">
        <f ca="1">IF(E110-'Invoer gegevens'!$C$17&lt;0,0,1)</f>
        <v>1</v>
      </c>
      <c r="D110" s="68">
        <f t="shared" si="32"/>
        <v>105.5</v>
      </c>
      <c r="E110" s="108">
        <f ca="1">IF('Invoer gegevens'!$C$16="","",E109+1)</f>
        <v>2124</v>
      </c>
      <c r="F110" s="84">
        <f ca="1">IF('Invoer gegevens'!$C$17=E110,'Invoer gegevens'!$C$10,IF(C110=1,K109,0))</f>
        <v>0</v>
      </c>
      <c r="G110" s="96">
        <f ca="1">IF(BD110&lt;1,F110*Reeksen!C110,IF(C110&gt;=1,F110*BA110,0))</f>
        <v>0</v>
      </c>
      <c r="H110" s="84">
        <f ca="1">(1-('Invoer gegevens'!$F$20/12))*F110*MIN(BA110,BC110)</f>
        <v>0</v>
      </c>
      <c r="I110" s="84">
        <f t="shared" ca="1" si="17"/>
        <v>0</v>
      </c>
      <c r="J110" s="84">
        <f ca="1">('Invoer gegevens'!$F$20/12)*F109*MIN(BA110,BC110)</f>
        <v>0</v>
      </c>
      <c r="K110" s="97">
        <f t="shared" ca="1" si="22"/>
        <v>0</v>
      </c>
      <c r="L110" s="84">
        <f ca="1">IF('Invoer gegevens'!$C$17=E110,0,IF(C110=1,Q109,0))</f>
        <v>0</v>
      </c>
      <c r="M110" s="96">
        <f t="shared" ca="1" si="18"/>
        <v>0</v>
      </c>
      <c r="N110" s="84">
        <f ca="1">(1-('Invoer gegevens'!$F$20/12))*L110*MIN(BA110,BC110)</f>
        <v>0</v>
      </c>
      <c r="O110" s="84">
        <f t="shared" ca="1" si="19"/>
        <v>0</v>
      </c>
      <c r="P110" s="84">
        <f ca="1">('Invoer gegevens'!$F$20/12)*L109*MIN(BA110,BC110)</f>
        <v>0</v>
      </c>
      <c r="Q110" s="84">
        <f t="shared" ca="1" si="23"/>
        <v>0</v>
      </c>
      <c r="R110" s="85">
        <f ca="1">IF('Invoer gegevens'!$C$17=E110,'Invoer gegevens'!$C$11,IF(C110=1,W109,0))</f>
        <v>0</v>
      </c>
      <c r="S110" s="86">
        <f t="shared" ca="1" si="20"/>
        <v>0</v>
      </c>
      <c r="T110" s="86">
        <f ca="1">(1-('Invoer gegevens'!$F$20/12))*R110*MIN(BC110,BA110)</f>
        <v>0</v>
      </c>
      <c r="U110" s="86">
        <f ca="1">IF(BD110&lt;1,IF(Reeksen!AD110&lt;=Reeksen!AE110,R110*Reeksen!C110,0),IF(BC110&gt;=BA110,0,IF(Reeksen!AD110&lt;=Reeksen!AE110,(BA110-BC110)*R110,0)))</f>
        <v>0</v>
      </c>
      <c r="V110" s="86">
        <f ca="1">IF(BD110&lt;1,IF(Reeksen!AD110&gt;Reeksen!AE110,R110*Reeksen!C110,0),IF(BC110&gt;=BA110,0,IF(Reeksen!AD110&gt;Reeksen!AE110,(BA110-BC110)*R110,0)))</f>
        <v>0</v>
      </c>
      <c r="W110" s="218">
        <f t="shared" ca="1" si="24"/>
        <v>0</v>
      </c>
      <c r="X110" s="98">
        <f ca="1">IF('Invoer gegevens'!$C$17=E110,'Invoer gegevens'!$C$10-'Invoer gegevens'!$C$11,IF(C110=1,AC109,0))</f>
        <v>0</v>
      </c>
      <c r="Y110" s="98">
        <f t="shared" ca="1" si="21"/>
        <v>0</v>
      </c>
      <c r="Z110" s="98">
        <f ca="1">(1-('Invoer gegevens'!$F$20/12))*X110*MIN(BA110,BC110)</f>
        <v>0</v>
      </c>
      <c r="AA110" s="98">
        <f ca="1">IF(BD110&lt;1,IF(Reeksen!AD110&lt;=Reeksen!AE110,X110*Reeksen!C110,0),IF(BC110&gt;=BA110,0,IF(Reeksen!AD110&lt;=Reeksen!AE110,(BA110-BC110)*X110,0)))</f>
        <v>0</v>
      </c>
      <c r="AB110" s="98">
        <f ca="1">IF(BD110&lt;1,IF(Reeksen!AD110&gt;Reeksen!AE110,X110*Reeksen!C110,0),IF(BC110&gt;=BA110,0,IF(Reeksen!AD110&gt;Reeksen!AE110,(BA110-BC110)*X110,0)))</f>
        <v>0</v>
      </c>
      <c r="AC110" s="99">
        <f t="shared" ca="1" si="25"/>
        <v>0</v>
      </c>
      <c r="AD110" s="98">
        <f ca="1">IF('Invoer gegevens'!$C$17=E110,R110,IF(C110=0,0,AE109))</f>
        <v>0</v>
      </c>
      <c r="AE110" s="98">
        <f t="shared" ca="1" si="26"/>
        <v>0</v>
      </c>
      <c r="AF110" s="98">
        <f ca="1">IF('Invoer gegevens'!$C$17=E110,X110,IF(C110=0,0,AG109))</f>
        <v>0</v>
      </c>
      <c r="AG110" s="98">
        <f t="shared" ca="1" si="27"/>
        <v>0</v>
      </c>
      <c r="AH110" s="66"/>
      <c r="AI110" s="71">
        <f ca="1">IF(C110=1,Reeksen!AI110*((F110+K110)/2)*12+Reeksen!AD110*((L110+Q110)/2)*12,0)</f>
        <v>0</v>
      </c>
      <c r="AJ110" s="71">
        <f ca="1">-AI110*'Invoer gegevens'!$F$28</f>
        <v>0</v>
      </c>
      <c r="AK110" s="71">
        <f t="shared" ca="1" si="28"/>
        <v>0</v>
      </c>
      <c r="AL110" s="71">
        <f ca="1">IF(C110=1,Reeksen!AL110*((F110-G110+F110)/2)*12+Reeksen!AM110*((L110-M110+L110)/2)*12,0)</f>
        <v>0</v>
      </c>
      <c r="AM110" s="71">
        <f ca="1">-AL110*'Invoer gegevens'!$F$31</f>
        <v>0</v>
      </c>
      <c r="AN110" s="71">
        <f t="shared" ca="1" si="29"/>
        <v>0</v>
      </c>
      <c r="AO110" s="71">
        <f ca="1">IF(C110=1,(H110+J110+N110+P110)*Reeksen!AN110,0)</f>
        <v>0</v>
      </c>
      <c r="AP110" s="71">
        <f ca="1">-IF(C110=1,(H110+J110+N110+P110)*'Hulp - basis'!$G$550*Reeksen!H110,0)</f>
        <v>0</v>
      </c>
      <c r="AQ110" s="71">
        <f ca="1">-IF(C110=1,(F110+K110+L110+Q110)/2*'Invoer gegevens'!$F$35*Reeksen!J110,0)*2</f>
        <v>0</v>
      </c>
      <c r="AR110" s="71">
        <f ca="1">IF(BD110&lt;1,-IF(C110=1,(G110*'Invoer gegevens'!$F$36)*Reeksen!J110,0),0)</f>
        <v>0</v>
      </c>
      <c r="AS110" s="71">
        <f ca="1">-IF(C110=1,(F110+K110+L110+Q110)/2*'Invoer gegevens'!$F$37*Reeksen!L110,0)</f>
        <v>0</v>
      </c>
      <c r="AT110" s="71">
        <f ca="1">-IF(C110=1,IF(E110='Invoer gegevens'!$C$17,'Invoer gegevens'!$C$11,AD110)*Reeksen!S110*'Invoer gegevens'!$C$18*Reeksen!P110,0)</f>
        <v>0</v>
      </c>
      <c r="AU110" s="71">
        <f ca="1">-IF(C110=1,(F110+K110+L110+Q110)/2*'Invoer gegevens'!$F$38*Reeksen!H110,0)</f>
        <v>0</v>
      </c>
      <c r="AV110" s="71">
        <f t="shared" si="33"/>
        <v>0</v>
      </c>
      <c r="AW110" s="71">
        <f t="shared" ca="1" si="30"/>
        <v>0</v>
      </c>
      <c r="AX110" s="71">
        <f ca="1">IF(E110&lt;'Invoer gegevens'!$C$17+15,0,IF(E110&gt;'Invoer gegevens'!$C$17+215,0,AW110))</f>
        <v>0</v>
      </c>
      <c r="AY110" s="71">
        <f ca="1">AX110/(1+'Invoer gegevens'!$F$18)^($AZ110-('Invoer gegevens'!$C$17-'Invoer gegevens'!$C$16))/(1+'Invoer gegevens'!$C$39)^('Invoer gegevens'!$C$17-'Invoer gegevens'!$C$16)</f>
        <v>0</v>
      </c>
      <c r="AZ110" s="68">
        <f ca="1">IF(E110-'Invoer gegevens'!$C$17-14.5&lt;0,0,E110-'Invoer gegevens'!$C$17-14.5)</f>
        <v>90.5</v>
      </c>
      <c r="BA110" s="109">
        <f ca="1">IFERROR(VLOOKUP(E110-15,Reeksen!$A$5:$D$234,2,FALSE),0)</f>
        <v>0</v>
      </c>
      <c r="BB110" s="109">
        <f ca="1">IFERROR(VLOOKUP(E110-15,Reeksen!$A$5:$D$234,3,FALSE),0)</f>
        <v>0</v>
      </c>
      <c r="BC110" s="109">
        <f ca="1">IFERROR(VLOOKUP(E110-15,Reeksen!$A$5:$D$234,4,FALSE),0)</f>
        <v>0</v>
      </c>
      <c r="BD110" s="67">
        <f ca="1">IF(E110-'Invoer gegevens'!$C$17&lt;15,0,1)</f>
        <v>1</v>
      </c>
    </row>
    <row r="111" spans="1:56" x14ac:dyDescent="0.25">
      <c r="A111" s="59"/>
      <c r="B111" s="70">
        <f t="shared" si="31"/>
        <v>107</v>
      </c>
      <c r="C111" s="67">
        <f ca="1">IF(E111-'Invoer gegevens'!$C$17&lt;0,0,1)</f>
        <v>1</v>
      </c>
      <c r="D111" s="68">
        <f t="shared" si="32"/>
        <v>106.5</v>
      </c>
      <c r="E111" s="108">
        <f ca="1">IF('Invoer gegevens'!$C$16="","",E110+1)</f>
        <v>2125</v>
      </c>
      <c r="F111" s="84">
        <f ca="1">IF('Invoer gegevens'!$C$17=E111,'Invoer gegevens'!$C$10,IF(C111=1,K110,0))</f>
        <v>0</v>
      </c>
      <c r="G111" s="96">
        <f ca="1">IF(BD111&lt;1,F111*Reeksen!C111,IF(C111&gt;=1,F111*BA111,0))</f>
        <v>0</v>
      </c>
      <c r="H111" s="84">
        <f ca="1">(1-('Invoer gegevens'!$F$20/12))*F111*MIN(BA111,BC111)</f>
        <v>0</v>
      </c>
      <c r="I111" s="84">
        <f t="shared" ca="1" si="17"/>
        <v>0</v>
      </c>
      <c r="J111" s="84">
        <f ca="1">('Invoer gegevens'!$F$20/12)*F110*MIN(BA111,BC111)</f>
        <v>0</v>
      </c>
      <c r="K111" s="97">
        <f t="shared" ca="1" si="22"/>
        <v>0</v>
      </c>
      <c r="L111" s="84">
        <f ca="1">IF('Invoer gegevens'!$C$17=E111,0,IF(C111=1,Q110,0))</f>
        <v>0</v>
      </c>
      <c r="M111" s="96">
        <f t="shared" ca="1" si="18"/>
        <v>0</v>
      </c>
      <c r="N111" s="84">
        <f ca="1">(1-('Invoer gegevens'!$F$20/12))*L111*MIN(BA111,BC111)</f>
        <v>0</v>
      </c>
      <c r="O111" s="84">
        <f t="shared" ca="1" si="19"/>
        <v>0</v>
      </c>
      <c r="P111" s="84">
        <f ca="1">('Invoer gegevens'!$F$20/12)*L110*MIN(BA111,BC111)</f>
        <v>0</v>
      </c>
      <c r="Q111" s="84">
        <f t="shared" ca="1" si="23"/>
        <v>0</v>
      </c>
      <c r="R111" s="85">
        <f ca="1">IF('Invoer gegevens'!$C$17=E111,'Invoer gegevens'!$C$11,IF(C111=1,W110,0))</f>
        <v>0</v>
      </c>
      <c r="S111" s="86">
        <f t="shared" ca="1" si="20"/>
        <v>0</v>
      </c>
      <c r="T111" s="86">
        <f ca="1">(1-('Invoer gegevens'!$F$20/12))*R111*MIN(BC111,BA111)</f>
        <v>0</v>
      </c>
      <c r="U111" s="86">
        <f ca="1">IF(BD111&lt;1,IF(Reeksen!AD111&lt;=Reeksen!AE111,R111*Reeksen!C111,0),IF(BC111&gt;=BA111,0,IF(Reeksen!AD111&lt;=Reeksen!AE111,(BA111-BC111)*R111,0)))</f>
        <v>0</v>
      </c>
      <c r="V111" s="86">
        <f ca="1">IF(BD111&lt;1,IF(Reeksen!AD111&gt;Reeksen!AE111,R111*Reeksen!C111,0),IF(BC111&gt;=BA111,0,IF(Reeksen!AD111&gt;Reeksen!AE111,(BA111-BC111)*R111,0)))</f>
        <v>0</v>
      </c>
      <c r="W111" s="218">
        <f t="shared" ca="1" si="24"/>
        <v>0</v>
      </c>
      <c r="X111" s="98">
        <f ca="1">IF('Invoer gegevens'!$C$17=E111,'Invoer gegevens'!$C$10-'Invoer gegevens'!$C$11,IF(C111=1,AC110,0))</f>
        <v>0</v>
      </c>
      <c r="Y111" s="98">
        <f t="shared" ca="1" si="21"/>
        <v>0</v>
      </c>
      <c r="Z111" s="98">
        <f ca="1">(1-('Invoer gegevens'!$F$20/12))*X111*MIN(BA111,BC111)</f>
        <v>0</v>
      </c>
      <c r="AA111" s="98">
        <f ca="1">IF(BD111&lt;1,IF(Reeksen!AD111&lt;=Reeksen!AE111,X111*Reeksen!C111,0),IF(BC111&gt;=BA111,0,IF(Reeksen!AD111&lt;=Reeksen!AE111,(BA111-BC111)*X111,0)))</f>
        <v>0</v>
      </c>
      <c r="AB111" s="98">
        <f ca="1">IF(BD111&lt;1,IF(Reeksen!AD111&gt;Reeksen!AE111,X111*Reeksen!C111,0),IF(BC111&gt;=BA111,0,IF(Reeksen!AD111&gt;Reeksen!AE111,(BA111-BC111)*X111,0)))</f>
        <v>0</v>
      </c>
      <c r="AC111" s="99">
        <f t="shared" ca="1" si="25"/>
        <v>0</v>
      </c>
      <c r="AD111" s="98">
        <f ca="1">IF('Invoer gegevens'!$C$17=E111,R111,IF(C111=0,0,AE110))</f>
        <v>0</v>
      </c>
      <c r="AE111" s="98">
        <f t="shared" ca="1" si="26"/>
        <v>0</v>
      </c>
      <c r="AF111" s="98">
        <f ca="1">IF('Invoer gegevens'!$C$17=E111,X111,IF(C111=0,0,AG110))</f>
        <v>0</v>
      </c>
      <c r="AG111" s="98">
        <f t="shared" ca="1" si="27"/>
        <v>0</v>
      </c>
      <c r="AH111" s="66"/>
      <c r="AI111" s="71">
        <f ca="1">IF(C111=1,Reeksen!AI111*((F111+K111)/2)*12+Reeksen!AD111*((L111+Q111)/2)*12,0)</f>
        <v>0</v>
      </c>
      <c r="AJ111" s="71">
        <f ca="1">-AI111*'Invoer gegevens'!$F$28</f>
        <v>0</v>
      </c>
      <c r="AK111" s="71">
        <f t="shared" ca="1" si="28"/>
        <v>0</v>
      </c>
      <c r="AL111" s="71">
        <f ca="1">IF(C111=1,Reeksen!AL111*((F111-G111+F111)/2)*12+Reeksen!AM111*((L111-M111+L111)/2)*12,0)</f>
        <v>0</v>
      </c>
      <c r="AM111" s="71">
        <f ca="1">-AL111*'Invoer gegevens'!$F$31</f>
        <v>0</v>
      </c>
      <c r="AN111" s="71">
        <f t="shared" ca="1" si="29"/>
        <v>0</v>
      </c>
      <c r="AO111" s="71">
        <f ca="1">IF(C111=1,(H111+J111+N111+P111)*Reeksen!AN111,0)</f>
        <v>0</v>
      </c>
      <c r="AP111" s="71">
        <f ca="1">-IF(C111=1,(H111+J111+N111+P111)*'Hulp - basis'!$G$550*Reeksen!H111,0)</f>
        <v>0</v>
      </c>
      <c r="AQ111" s="71">
        <f ca="1">-IF(C111=1,(F111+K111+L111+Q111)/2*'Invoer gegevens'!$F$35*Reeksen!J111,0)*2</f>
        <v>0</v>
      </c>
      <c r="AR111" s="71">
        <f ca="1">IF(BD111&lt;1,-IF(C111=1,(G111*'Invoer gegevens'!$F$36)*Reeksen!J111,0),0)</f>
        <v>0</v>
      </c>
      <c r="AS111" s="71">
        <f ca="1">-IF(C111=1,(F111+K111+L111+Q111)/2*'Invoer gegevens'!$F$37*Reeksen!L111,0)</f>
        <v>0</v>
      </c>
      <c r="AT111" s="71">
        <f ca="1">-IF(C111=1,IF(E111='Invoer gegevens'!$C$17,'Invoer gegevens'!$C$11,AD111)*Reeksen!S111*'Invoer gegevens'!$C$18*Reeksen!P111,0)</f>
        <v>0</v>
      </c>
      <c r="AU111" s="71">
        <f ca="1">-IF(C111=1,(F111+K111+L111+Q111)/2*'Invoer gegevens'!$F$38*Reeksen!H111,0)</f>
        <v>0</v>
      </c>
      <c r="AV111" s="71">
        <f t="shared" si="33"/>
        <v>0</v>
      </c>
      <c r="AW111" s="71">
        <f t="shared" ca="1" si="30"/>
        <v>0</v>
      </c>
      <c r="AX111" s="71">
        <f ca="1">IF(E111&lt;'Invoer gegevens'!$C$17+15,0,IF(E111&gt;'Invoer gegevens'!$C$17+215,0,AW111))</f>
        <v>0</v>
      </c>
      <c r="AY111" s="71">
        <f ca="1">AX111/(1+'Invoer gegevens'!$F$18)^($AZ111-('Invoer gegevens'!$C$17-'Invoer gegevens'!$C$16))/(1+'Invoer gegevens'!$C$39)^('Invoer gegevens'!$C$17-'Invoer gegevens'!$C$16)</f>
        <v>0</v>
      </c>
      <c r="AZ111" s="68">
        <f ca="1">IF(E111-'Invoer gegevens'!$C$17-14.5&lt;0,0,E111-'Invoer gegevens'!$C$17-14.5)</f>
        <v>91.5</v>
      </c>
      <c r="BA111" s="109">
        <f ca="1">IFERROR(VLOOKUP(E111-15,Reeksen!$A$5:$D$234,2,FALSE),0)</f>
        <v>0</v>
      </c>
      <c r="BB111" s="109">
        <f ca="1">IFERROR(VLOOKUP(E111-15,Reeksen!$A$5:$D$234,3,FALSE),0)</f>
        <v>0</v>
      </c>
      <c r="BC111" s="109">
        <f ca="1">IFERROR(VLOOKUP(E111-15,Reeksen!$A$5:$D$234,4,FALSE),0)</f>
        <v>0</v>
      </c>
      <c r="BD111" s="67">
        <f ca="1">IF(E111-'Invoer gegevens'!$C$17&lt;15,0,1)</f>
        <v>1</v>
      </c>
    </row>
    <row r="112" spans="1:56" x14ac:dyDescent="0.25">
      <c r="A112" s="59"/>
      <c r="B112" s="70">
        <f t="shared" si="31"/>
        <v>108</v>
      </c>
      <c r="C112" s="67">
        <f ca="1">IF(E112-'Invoer gegevens'!$C$17&lt;0,0,1)</f>
        <v>1</v>
      </c>
      <c r="D112" s="68">
        <f t="shared" si="32"/>
        <v>107.5</v>
      </c>
      <c r="E112" s="108">
        <f ca="1">IF('Invoer gegevens'!$C$16="","",E111+1)</f>
        <v>2126</v>
      </c>
      <c r="F112" s="84">
        <f ca="1">IF('Invoer gegevens'!$C$17=E112,'Invoer gegevens'!$C$10,IF(C112=1,K111,0))</f>
        <v>0</v>
      </c>
      <c r="G112" s="96">
        <f ca="1">IF(BD112&lt;1,F112*Reeksen!C112,IF(C112&gt;=1,F112*BA112,0))</f>
        <v>0</v>
      </c>
      <c r="H112" s="84">
        <f ca="1">(1-('Invoer gegevens'!$F$20/12))*F112*MIN(BA112,BC112)</f>
        <v>0</v>
      </c>
      <c r="I112" s="84">
        <f t="shared" ca="1" si="17"/>
        <v>0</v>
      </c>
      <c r="J112" s="84">
        <f ca="1">('Invoer gegevens'!$F$20/12)*F111*MIN(BA112,BC112)</f>
        <v>0</v>
      </c>
      <c r="K112" s="97">
        <f t="shared" ca="1" si="22"/>
        <v>0</v>
      </c>
      <c r="L112" s="84">
        <f ca="1">IF('Invoer gegevens'!$C$17=E112,0,IF(C112=1,Q111,0))</f>
        <v>0</v>
      </c>
      <c r="M112" s="96">
        <f t="shared" ca="1" si="18"/>
        <v>0</v>
      </c>
      <c r="N112" s="84">
        <f ca="1">(1-('Invoer gegevens'!$F$20/12))*L112*MIN(BA112,BC112)</f>
        <v>0</v>
      </c>
      <c r="O112" s="84">
        <f t="shared" ca="1" si="19"/>
        <v>0</v>
      </c>
      <c r="P112" s="84">
        <f ca="1">('Invoer gegevens'!$F$20/12)*L111*MIN(BA112,BC112)</f>
        <v>0</v>
      </c>
      <c r="Q112" s="84">
        <f t="shared" ca="1" si="23"/>
        <v>0</v>
      </c>
      <c r="R112" s="85">
        <f ca="1">IF('Invoer gegevens'!$C$17=E112,'Invoer gegevens'!$C$11,IF(C112=1,W111,0))</f>
        <v>0</v>
      </c>
      <c r="S112" s="86">
        <f t="shared" ca="1" si="20"/>
        <v>0</v>
      </c>
      <c r="T112" s="86">
        <f ca="1">(1-('Invoer gegevens'!$F$20/12))*R112*MIN(BC112,BA112)</f>
        <v>0</v>
      </c>
      <c r="U112" s="86">
        <f ca="1">IF(BD112&lt;1,IF(Reeksen!AD112&lt;=Reeksen!AE112,R112*Reeksen!C112,0),IF(BC112&gt;=BA112,0,IF(Reeksen!AD112&lt;=Reeksen!AE112,(BA112-BC112)*R112,0)))</f>
        <v>0</v>
      </c>
      <c r="V112" s="86">
        <f ca="1">IF(BD112&lt;1,IF(Reeksen!AD112&gt;Reeksen!AE112,R112*Reeksen!C112,0),IF(BC112&gt;=BA112,0,IF(Reeksen!AD112&gt;Reeksen!AE112,(BA112-BC112)*R112,0)))</f>
        <v>0</v>
      </c>
      <c r="W112" s="218">
        <f t="shared" ca="1" si="24"/>
        <v>0</v>
      </c>
      <c r="X112" s="98">
        <f ca="1">IF('Invoer gegevens'!$C$17=E112,'Invoer gegevens'!$C$10-'Invoer gegevens'!$C$11,IF(C112=1,AC111,0))</f>
        <v>0</v>
      </c>
      <c r="Y112" s="98">
        <f t="shared" ca="1" si="21"/>
        <v>0</v>
      </c>
      <c r="Z112" s="98">
        <f ca="1">(1-('Invoer gegevens'!$F$20/12))*X112*MIN(BA112,BC112)</f>
        <v>0</v>
      </c>
      <c r="AA112" s="98">
        <f ca="1">IF(BD112&lt;1,IF(Reeksen!AD112&lt;=Reeksen!AE112,X112*Reeksen!C112,0),IF(BC112&gt;=BA112,0,IF(Reeksen!AD112&lt;=Reeksen!AE112,(BA112-BC112)*X112,0)))</f>
        <v>0</v>
      </c>
      <c r="AB112" s="98">
        <f ca="1">IF(BD112&lt;1,IF(Reeksen!AD112&gt;Reeksen!AE112,X112*Reeksen!C112,0),IF(BC112&gt;=BA112,0,IF(Reeksen!AD112&gt;Reeksen!AE112,(BA112-BC112)*X112,0)))</f>
        <v>0</v>
      </c>
      <c r="AC112" s="99">
        <f t="shared" ca="1" si="25"/>
        <v>0</v>
      </c>
      <c r="AD112" s="98">
        <f ca="1">IF('Invoer gegevens'!$C$17=E112,R112,IF(C112=0,0,AE111))</f>
        <v>0</v>
      </c>
      <c r="AE112" s="98">
        <f t="shared" ca="1" si="26"/>
        <v>0</v>
      </c>
      <c r="AF112" s="98">
        <f ca="1">IF('Invoer gegevens'!$C$17=E112,X112,IF(C112=0,0,AG111))</f>
        <v>0</v>
      </c>
      <c r="AG112" s="98">
        <f t="shared" ca="1" si="27"/>
        <v>0</v>
      </c>
      <c r="AH112" s="66"/>
      <c r="AI112" s="71">
        <f ca="1">IF(C112=1,Reeksen!AI112*((F112+K112)/2)*12+Reeksen!AD112*((L112+Q112)/2)*12,0)</f>
        <v>0</v>
      </c>
      <c r="AJ112" s="71">
        <f ca="1">-AI112*'Invoer gegevens'!$F$28</f>
        <v>0</v>
      </c>
      <c r="AK112" s="71">
        <f t="shared" ca="1" si="28"/>
        <v>0</v>
      </c>
      <c r="AL112" s="71">
        <f ca="1">IF(C112=1,Reeksen!AL112*((F112-G112+F112)/2)*12+Reeksen!AM112*((L112-M112+L112)/2)*12,0)</f>
        <v>0</v>
      </c>
      <c r="AM112" s="71">
        <f ca="1">-AL112*'Invoer gegevens'!$F$31</f>
        <v>0</v>
      </c>
      <c r="AN112" s="71">
        <f t="shared" ca="1" si="29"/>
        <v>0</v>
      </c>
      <c r="AO112" s="71">
        <f ca="1">IF(C112=1,(H112+J112+N112+P112)*Reeksen!AN112,0)</f>
        <v>0</v>
      </c>
      <c r="AP112" s="71">
        <f ca="1">-IF(C112=1,(H112+J112+N112+P112)*'Hulp - basis'!$G$550*Reeksen!H112,0)</f>
        <v>0</v>
      </c>
      <c r="AQ112" s="71">
        <f ca="1">-IF(C112=1,(F112+K112+L112+Q112)/2*'Invoer gegevens'!$F$35*Reeksen!J112,0)*2</f>
        <v>0</v>
      </c>
      <c r="AR112" s="71">
        <f ca="1">IF(BD112&lt;1,-IF(C112=1,(G112*'Invoer gegevens'!$F$36)*Reeksen!J112,0),0)</f>
        <v>0</v>
      </c>
      <c r="AS112" s="71">
        <f ca="1">-IF(C112=1,(F112+K112+L112+Q112)/2*'Invoer gegevens'!$F$37*Reeksen!L112,0)</f>
        <v>0</v>
      </c>
      <c r="AT112" s="71">
        <f ca="1">-IF(C112=1,IF(E112='Invoer gegevens'!$C$17,'Invoer gegevens'!$C$11,AD112)*Reeksen!S112*'Invoer gegevens'!$C$18*Reeksen!P112,0)</f>
        <v>0</v>
      </c>
      <c r="AU112" s="71">
        <f ca="1">-IF(C112=1,(F112+K112+L112+Q112)/2*'Invoer gegevens'!$F$38*Reeksen!H112,0)</f>
        <v>0</v>
      </c>
      <c r="AV112" s="71">
        <f t="shared" si="33"/>
        <v>0</v>
      </c>
      <c r="AW112" s="71">
        <f t="shared" ca="1" si="30"/>
        <v>0</v>
      </c>
      <c r="AX112" s="71">
        <f ca="1">IF(E112&lt;'Invoer gegevens'!$C$17+15,0,IF(E112&gt;'Invoer gegevens'!$C$17+215,0,AW112))</f>
        <v>0</v>
      </c>
      <c r="AY112" s="71">
        <f ca="1">AX112/(1+'Invoer gegevens'!$F$18)^($AZ112-('Invoer gegevens'!$C$17-'Invoer gegevens'!$C$16))/(1+'Invoer gegevens'!$C$39)^('Invoer gegevens'!$C$17-'Invoer gegevens'!$C$16)</f>
        <v>0</v>
      </c>
      <c r="AZ112" s="68">
        <f ca="1">IF(E112-'Invoer gegevens'!$C$17-14.5&lt;0,0,E112-'Invoer gegevens'!$C$17-14.5)</f>
        <v>92.5</v>
      </c>
      <c r="BA112" s="109">
        <f ca="1">IFERROR(VLOOKUP(E112-15,Reeksen!$A$5:$D$234,2,FALSE),0)</f>
        <v>0</v>
      </c>
      <c r="BB112" s="109">
        <f ca="1">IFERROR(VLOOKUP(E112-15,Reeksen!$A$5:$D$234,3,FALSE),0)</f>
        <v>0</v>
      </c>
      <c r="BC112" s="109">
        <f ca="1">IFERROR(VLOOKUP(E112-15,Reeksen!$A$5:$D$234,4,FALSE),0)</f>
        <v>0</v>
      </c>
      <c r="BD112" s="67">
        <f ca="1">IF(E112-'Invoer gegevens'!$C$17&lt;15,0,1)</f>
        <v>1</v>
      </c>
    </row>
    <row r="113" spans="1:56" x14ac:dyDescent="0.25">
      <c r="A113" s="59"/>
      <c r="B113" s="70">
        <f t="shared" si="31"/>
        <v>109</v>
      </c>
      <c r="C113" s="67">
        <f ca="1">IF(E113-'Invoer gegevens'!$C$17&lt;0,0,1)</f>
        <v>1</v>
      </c>
      <c r="D113" s="68">
        <f t="shared" si="32"/>
        <v>108.5</v>
      </c>
      <c r="E113" s="108">
        <f ca="1">IF('Invoer gegevens'!$C$16="","",E112+1)</f>
        <v>2127</v>
      </c>
      <c r="F113" s="84">
        <f ca="1">IF('Invoer gegevens'!$C$17=E113,'Invoer gegevens'!$C$10,IF(C113=1,K112,0))</f>
        <v>0</v>
      </c>
      <c r="G113" s="96">
        <f ca="1">IF(BD113&lt;1,F113*Reeksen!C113,IF(C113&gt;=1,F113*BA113,0))</f>
        <v>0</v>
      </c>
      <c r="H113" s="84">
        <f ca="1">(1-('Invoer gegevens'!$F$20/12))*F113*MIN(BA113,BC113)</f>
        <v>0</v>
      </c>
      <c r="I113" s="84">
        <f t="shared" ca="1" si="17"/>
        <v>0</v>
      </c>
      <c r="J113" s="84">
        <f ca="1">('Invoer gegevens'!$F$20/12)*F112*MIN(BA113,BC113)</f>
        <v>0</v>
      </c>
      <c r="K113" s="97">
        <f t="shared" ca="1" si="22"/>
        <v>0</v>
      </c>
      <c r="L113" s="84">
        <f ca="1">IF('Invoer gegevens'!$C$17=E113,0,IF(C113=1,Q112,0))</f>
        <v>0</v>
      </c>
      <c r="M113" s="96">
        <f t="shared" ca="1" si="18"/>
        <v>0</v>
      </c>
      <c r="N113" s="84">
        <f ca="1">(1-('Invoer gegevens'!$F$20/12))*L113*MIN(BA113,BC113)</f>
        <v>0</v>
      </c>
      <c r="O113" s="84">
        <f t="shared" ca="1" si="19"/>
        <v>0</v>
      </c>
      <c r="P113" s="84">
        <f ca="1">('Invoer gegevens'!$F$20/12)*L112*MIN(BA113,BC113)</f>
        <v>0</v>
      </c>
      <c r="Q113" s="84">
        <f t="shared" ca="1" si="23"/>
        <v>0</v>
      </c>
      <c r="R113" s="85">
        <f ca="1">IF('Invoer gegevens'!$C$17=E113,'Invoer gegevens'!$C$11,IF(C113=1,W112,0))</f>
        <v>0</v>
      </c>
      <c r="S113" s="86">
        <f t="shared" ca="1" si="20"/>
        <v>0</v>
      </c>
      <c r="T113" s="86">
        <f ca="1">(1-('Invoer gegevens'!$F$20/12))*R113*MIN(BC113,BA113)</f>
        <v>0</v>
      </c>
      <c r="U113" s="86">
        <f ca="1">IF(BD113&lt;1,IF(Reeksen!AD113&lt;=Reeksen!AE113,R113*Reeksen!C113,0),IF(BC113&gt;=BA113,0,IF(Reeksen!AD113&lt;=Reeksen!AE113,(BA113-BC113)*R113,0)))</f>
        <v>0</v>
      </c>
      <c r="V113" s="86">
        <f ca="1">IF(BD113&lt;1,IF(Reeksen!AD113&gt;Reeksen!AE113,R113*Reeksen!C113,0),IF(BC113&gt;=BA113,0,IF(Reeksen!AD113&gt;Reeksen!AE113,(BA113-BC113)*R113,0)))</f>
        <v>0</v>
      </c>
      <c r="W113" s="218">
        <f t="shared" ca="1" si="24"/>
        <v>0</v>
      </c>
      <c r="X113" s="98">
        <f ca="1">IF('Invoer gegevens'!$C$17=E113,'Invoer gegevens'!$C$10-'Invoer gegevens'!$C$11,IF(C113=1,AC112,0))</f>
        <v>0</v>
      </c>
      <c r="Y113" s="98">
        <f t="shared" ca="1" si="21"/>
        <v>0</v>
      </c>
      <c r="Z113" s="98">
        <f ca="1">(1-('Invoer gegevens'!$F$20/12))*X113*MIN(BA113,BC113)</f>
        <v>0</v>
      </c>
      <c r="AA113" s="98">
        <f ca="1">IF(BD113&lt;1,IF(Reeksen!AD113&lt;=Reeksen!AE113,X113*Reeksen!C113,0),IF(BC113&gt;=BA113,0,IF(Reeksen!AD113&lt;=Reeksen!AE113,(BA113-BC113)*X113,0)))</f>
        <v>0</v>
      </c>
      <c r="AB113" s="98">
        <f ca="1">IF(BD113&lt;1,IF(Reeksen!AD113&gt;Reeksen!AE113,X113*Reeksen!C113,0),IF(BC113&gt;=BA113,0,IF(Reeksen!AD113&gt;Reeksen!AE113,(BA113-BC113)*X113,0)))</f>
        <v>0</v>
      </c>
      <c r="AC113" s="99">
        <f t="shared" ca="1" si="25"/>
        <v>0</v>
      </c>
      <c r="AD113" s="98">
        <f ca="1">IF('Invoer gegevens'!$C$17=E113,R113,IF(C113=0,0,AE112))</f>
        <v>0</v>
      </c>
      <c r="AE113" s="98">
        <f t="shared" ca="1" si="26"/>
        <v>0</v>
      </c>
      <c r="AF113" s="98">
        <f ca="1">IF('Invoer gegevens'!$C$17=E113,X113,IF(C113=0,0,AG112))</f>
        <v>0</v>
      </c>
      <c r="AG113" s="98">
        <f t="shared" ca="1" si="27"/>
        <v>0</v>
      </c>
      <c r="AH113" s="66"/>
      <c r="AI113" s="71">
        <f ca="1">IF(C113=1,Reeksen!AI113*((F113+K113)/2)*12+Reeksen!AD113*((L113+Q113)/2)*12,0)</f>
        <v>0</v>
      </c>
      <c r="AJ113" s="71">
        <f ca="1">-AI113*'Invoer gegevens'!$F$28</f>
        <v>0</v>
      </c>
      <c r="AK113" s="71">
        <f t="shared" ca="1" si="28"/>
        <v>0</v>
      </c>
      <c r="AL113" s="71">
        <f ca="1">IF(C113=1,Reeksen!AL113*((F113-G113+F113)/2)*12+Reeksen!AM113*((L113-M113+L113)/2)*12,0)</f>
        <v>0</v>
      </c>
      <c r="AM113" s="71">
        <f ca="1">-AL113*'Invoer gegevens'!$F$31</f>
        <v>0</v>
      </c>
      <c r="AN113" s="71">
        <f t="shared" ca="1" si="29"/>
        <v>0</v>
      </c>
      <c r="AO113" s="71">
        <f ca="1">IF(C113=1,(H113+J113+N113+P113)*Reeksen!AN113,0)</f>
        <v>0</v>
      </c>
      <c r="AP113" s="71">
        <f ca="1">-IF(C113=1,(H113+J113+N113+P113)*'Hulp - basis'!$G$550*Reeksen!H113,0)</f>
        <v>0</v>
      </c>
      <c r="AQ113" s="71">
        <f ca="1">-IF(C113=1,(F113+K113+L113+Q113)/2*'Invoer gegevens'!$F$35*Reeksen!J113,0)*2</f>
        <v>0</v>
      </c>
      <c r="AR113" s="71">
        <f ca="1">IF(BD113&lt;1,-IF(C113=1,(G113*'Invoer gegevens'!$F$36)*Reeksen!J113,0),0)</f>
        <v>0</v>
      </c>
      <c r="AS113" s="71">
        <f ca="1">-IF(C113=1,(F113+K113+L113+Q113)/2*'Invoer gegevens'!$F$37*Reeksen!L113,0)</f>
        <v>0</v>
      </c>
      <c r="AT113" s="71">
        <f ca="1">-IF(C113=1,IF(E113='Invoer gegevens'!$C$17,'Invoer gegevens'!$C$11,AD113)*Reeksen!S113*'Invoer gegevens'!$C$18*Reeksen!P113,0)</f>
        <v>0</v>
      </c>
      <c r="AU113" s="71">
        <f ca="1">-IF(C113=1,(F113+K113+L113+Q113)/2*'Invoer gegevens'!$F$38*Reeksen!H113,0)</f>
        <v>0</v>
      </c>
      <c r="AV113" s="71">
        <f t="shared" si="33"/>
        <v>0</v>
      </c>
      <c r="AW113" s="71">
        <f t="shared" ca="1" si="30"/>
        <v>0</v>
      </c>
      <c r="AX113" s="71">
        <f ca="1">IF(E113&lt;'Invoer gegevens'!$C$17+15,0,IF(E113&gt;'Invoer gegevens'!$C$17+215,0,AW113))</f>
        <v>0</v>
      </c>
      <c r="AY113" s="71">
        <f ca="1">AX113/(1+'Invoer gegevens'!$F$18)^($AZ113-('Invoer gegevens'!$C$17-'Invoer gegevens'!$C$16))/(1+'Invoer gegevens'!$C$39)^('Invoer gegevens'!$C$17-'Invoer gegevens'!$C$16)</f>
        <v>0</v>
      </c>
      <c r="AZ113" s="68">
        <f ca="1">IF(E113-'Invoer gegevens'!$C$17-14.5&lt;0,0,E113-'Invoer gegevens'!$C$17-14.5)</f>
        <v>93.5</v>
      </c>
      <c r="BA113" s="109">
        <f ca="1">IFERROR(VLOOKUP(E113-15,Reeksen!$A$5:$D$234,2,FALSE),0)</f>
        <v>0</v>
      </c>
      <c r="BB113" s="109">
        <f ca="1">IFERROR(VLOOKUP(E113-15,Reeksen!$A$5:$D$234,3,FALSE),0)</f>
        <v>0</v>
      </c>
      <c r="BC113" s="109">
        <f ca="1">IFERROR(VLOOKUP(E113-15,Reeksen!$A$5:$D$234,4,FALSE),0)</f>
        <v>0</v>
      </c>
      <c r="BD113" s="67">
        <f ca="1">IF(E113-'Invoer gegevens'!$C$17&lt;15,0,1)</f>
        <v>1</v>
      </c>
    </row>
    <row r="114" spans="1:56" x14ac:dyDescent="0.25">
      <c r="A114" s="59"/>
      <c r="B114" s="70">
        <f t="shared" si="31"/>
        <v>110</v>
      </c>
      <c r="C114" s="67">
        <f ca="1">IF(E114-'Invoer gegevens'!$C$17&lt;0,0,1)</f>
        <v>1</v>
      </c>
      <c r="D114" s="68">
        <f t="shared" si="32"/>
        <v>109.5</v>
      </c>
      <c r="E114" s="108">
        <f ca="1">IF('Invoer gegevens'!$C$16="","",E113+1)</f>
        <v>2128</v>
      </c>
      <c r="F114" s="84">
        <f ca="1">IF('Invoer gegevens'!$C$17=E114,'Invoer gegevens'!$C$10,IF(C114=1,K113,0))</f>
        <v>0</v>
      </c>
      <c r="G114" s="96">
        <f ca="1">IF(BD114&lt;1,F114*Reeksen!C114,IF(C114&gt;=1,F114*BA114,0))</f>
        <v>0</v>
      </c>
      <c r="H114" s="84">
        <f ca="1">(1-('Invoer gegevens'!$F$20/12))*F114*MIN(BA114,BC114)</f>
        <v>0</v>
      </c>
      <c r="I114" s="84">
        <f t="shared" ca="1" si="17"/>
        <v>0</v>
      </c>
      <c r="J114" s="84">
        <f ca="1">('Invoer gegevens'!$F$20/12)*F113*MIN(BA114,BC114)</f>
        <v>0</v>
      </c>
      <c r="K114" s="97">
        <f t="shared" ca="1" si="22"/>
        <v>0</v>
      </c>
      <c r="L114" s="84">
        <f ca="1">IF('Invoer gegevens'!$C$17=E114,0,IF(C114=1,Q113,0))</f>
        <v>0</v>
      </c>
      <c r="M114" s="96">
        <f t="shared" ca="1" si="18"/>
        <v>0</v>
      </c>
      <c r="N114" s="84">
        <f ca="1">(1-('Invoer gegevens'!$F$20/12))*L114*MIN(BA114,BC114)</f>
        <v>0</v>
      </c>
      <c r="O114" s="84">
        <f t="shared" ca="1" si="19"/>
        <v>0</v>
      </c>
      <c r="P114" s="84">
        <f ca="1">('Invoer gegevens'!$F$20/12)*L113*MIN(BA114,BC114)</f>
        <v>0</v>
      </c>
      <c r="Q114" s="84">
        <f t="shared" ca="1" si="23"/>
        <v>0</v>
      </c>
      <c r="R114" s="85">
        <f ca="1">IF('Invoer gegevens'!$C$17=E114,'Invoer gegevens'!$C$11,IF(C114=1,W113,0))</f>
        <v>0</v>
      </c>
      <c r="S114" s="86">
        <f t="shared" ca="1" si="20"/>
        <v>0</v>
      </c>
      <c r="T114" s="86">
        <f ca="1">(1-('Invoer gegevens'!$F$20/12))*R114*MIN(BC114,BA114)</f>
        <v>0</v>
      </c>
      <c r="U114" s="86">
        <f ca="1">IF(BD114&lt;1,IF(Reeksen!AD114&lt;=Reeksen!AE114,R114*Reeksen!C114,0),IF(BC114&gt;=BA114,0,IF(Reeksen!AD114&lt;=Reeksen!AE114,(BA114-BC114)*R114,0)))</f>
        <v>0</v>
      </c>
      <c r="V114" s="86">
        <f ca="1">IF(BD114&lt;1,IF(Reeksen!AD114&gt;Reeksen!AE114,R114*Reeksen!C114,0),IF(BC114&gt;=BA114,0,IF(Reeksen!AD114&gt;Reeksen!AE114,(BA114-BC114)*R114,0)))</f>
        <v>0</v>
      </c>
      <c r="W114" s="218">
        <f t="shared" ca="1" si="24"/>
        <v>0</v>
      </c>
      <c r="X114" s="98">
        <f ca="1">IF('Invoer gegevens'!$C$17=E114,'Invoer gegevens'!$C$10-'Invoer gegevens'!$C$11,IF(C114=1,AC113,0))</f>
        <v>0</v>
      </c>
      <c r="Y114" s="98">
        <f t="shared" ca="1" si="21"/>
        <v>0</v>
      </c>
      <c r="Z114" s="98">
        <f ca="1">(1-('Invoer gegevens'!$F$20/12))*X114*MIN(BA114,BC114)</f>
        <v>0</v>
      </c>
      <c r="AA114" s="98">
        <f ca="1">IF(BD114&lt;1,IF(Reeksen!AD114&lt;=Reeksen!AE114,X114*Reeksen!C114,0),IF(BC114&gt;=BA114,0,IF(Reeksen!AD114&lt;=Reeksen!AE114,(BA114-BC114)*X114,0)))</f>
        <v>0</v>
      </c>
      <c r="AB114" s="98">
        <f ca="1">IF(BD114&lt;1,IF(Reeksen!AD114&gt;Reeksen!AE114,X114*Reeksen!C114,0),IF(BC114&gt;=BA114,0,IF(Reeksen!AD114&gt;Reeksen!AE114,(BA114-BC114)*X114,0)))</f>
        <v>0</v>
      </c>
      <c r="AC114" s="99">
        <f t="shared" ca="1" si="25"/>
        <v>0</v>
      </c>
      <c r="AD114" s="98">
        <f ca="1">IF('Invoer gegevens'!$C$17=E114,R114,IF(C114=0,0,AE113))</f>
        <v>0</v>
      </c>
      <c r="AE114" s="98">
        <f t="shared" ca="1" si="26"/>
        <v>0</v>
      </c>
      <c r="AF114" s="98">
        <f ca="1">IF('Invoer gegevens'!$C$17=E114,X114,IF(C114=0,0,AG113))</f>
        <v>0</v>
      </c>
      <c r="AG114" s="98">
        <f t="shared" ca="1" si="27"/>
        <v>0</v>
      </c>
      <c r="AH114" s="66"/>
      <c r="AI114" s="71">
        <f ca="1">IF(C114=1,Reeksen!AI114*((F114+K114)/2)*12+Reeksen!AD114*((L114+Q114)/2)*12,0)</f>
        <v>0</v>
      </c>
      <c r="AJ114" s="71">
        <f ca="1">-AI114*'Invoer gegevens'!$F$28</f>
        <v>0</v>
      </c>
      <c r="AK114" s="71">
        <f t="shared" ca="1" si="28"/>
        <v>0</v>
      </c>
      <c r="AL114" s="71">
        <f ca="1">IF(C114=1,Reeksen!AL114*((F114-G114+F114)/2)*12+Reeksen!AM114*((L114-M114+L114)/2)*12,0)</f>
        <v>0</v>
      </c>
      <c r="AM114" s="71">
        <f ca="1">-AL114*'Invoer gegevens'!$F$31</f>
        <v>0</v>
      </c>
      <c r="AN114" s="71">
        <f t="shared" ca="1" si="29"/>
        <v>0</v>
      </c>
      <c r="AO114" s="71">
        <f ca="1">IF(C114=1,(H114+J114+N114+P114)*Reeksen!AN114,0)</f>
        <v>0</v>
      </c>
      <c r="AP114" s="71">
        <f ca="1">-IF(C114=1,(H114+J114+N114+P114)*'Hulp - basis'!$G$550*Reeksen!H114,0)</f>
        <v>0</v>
      </c>
      <c r="AQ114" s="71">
        <f ca="1">-IF(C114=1,(F114+K114+L114+Q114)/2*'Invoer gegevens'!$F$35*Reeksen!J114,0)*2</f>
        <v>0</v>
      </c>
      <c r="AR114" s="71">
        <f ca="1">IF(BD114&lt;1,-IF(C114=1,(G114*'Invoer gegevens'!$F$36)*Reeksen!J114,0),0)</f>
        <v>0</v>
      </c>
      <c r="AS114" s="71">
        <f ca="1">-IF(C114=1,(F114+K114+L114+Q114)/2*'Invoer gegevens'!$F$37*Reeksen!L114,0)</f>
        <v>0</v>
      </c>
      <c r="AT114" s="71">
        <f ca="1">-IF(C114=1,IF(E114='Invoer gegevens'!$C$17,'Invoer gegevens'!$C$11,AD114)*Reeksen!S114*'Invoer gegevens'!$C$18*Reeksen!P114,0)</f>
        <v>0</v>
      </c>
      <c r="AU114" s="71">
        <f ca="1">-IF(C114=1,(F114+K114+L114+Q114)/2*'Invoer gegevens'!$F$38*Reeksen!H114,0)</f>
        <v>0</v>
      </c>
      <c r="AV114" s="71">
        <f t="shared" si="33"/>
        <v>0</v>
      </c>
      <c r="AW114" s="71">
        <f t="shared" ca="1" si="30"/>
        <v>0</v>
      </c>
      <c r="AX114" s="71">
        <f ca="1">IF(E114&lt;'Invoer gegevens'!$C$17+15,0,IF(E114&gt;'Invoer gegevens'!$C$17+215,0,AW114))</f>
        <v>0</v>
      </c>
      <c r="AY114" s="71">
        <f ca="1">AX114/(1+'Invoer gegevens'!$F$18)^($AZ114-('Invoer gegevens'!$C$17-'Invoer gegevens'!$C$16))/(1+'Invoer gegevens'!$C$39)^('Invoer gegevens'!$C$17-'Invoer gegevens'!$C$16)</f>
        <v>0</v>
      </c>
      <c r="AZ114" s="68">
        <f ca="1">IF(E114-'Invoer gegevens'!$C$17-14.5&lt;0,0,E114-'Invoer gegevens'!$C$17-14.5)</f>
        <v>94.5</v>
      </c>
      <c r="BA114" s="109">
        <f ca="1">IFERROR(VLOOKUP(E114-15,Reeksen!$A$5:$D$234,2,FALSE),0)</f>
        <v>0</v>
      </c>
      <c r="BB114" s="109">
        <f ca="1">IFERROR(VLOOKUP(E114-15,Reeksen!$A$5:$D$234,3,FALSE),0)</f>
        <v>0</v>
      </c>
      <c r="BC114" s="109">
        <f ca="1">IFERROR(VLOOKUP(E114-15,Reeksen!$A$5:$D$234,4,FALSE),0)</f>
        <v>0</v>
      </c>
      <c r="BD114" s="67">
        <f ca="1">IF(E114-'Invoer gegevens'!$C$17&lt;15,0,1)</f>
        <v>1</v>
      </c>
    </row>
    <row r="115" spans="1:56" x14ac:dyDescent="0.25">
      <c r="A115" s="59"/>
      <c r="B115" s="70">
        <f t="shared" si="31"/>
        <v>111</v>
      </c>
      <c r="C115" s="67">
        <f ca="1">IF(E115-'Invoer gegevens'!$C$17&lt;0,0,1)</f>
        <v>1</v>
      </c>
      <c r="D115" s="68">
        <f t="shared" si="32"/>
        <v>110.5</v>
      </c>
      <c r="E115" s="108">
        <f ca="1">IF('Invoer gegevens'!$C$16="","",E114+1)</f>
        <v>2129</v>
      </c>
      <c r="F115" s="84">
        <f ca="1">IF('Invoer gegevens'!$C$17=E115,'Invoer gegevens'!$C$10,IF(C115=1,K114,0))</f>
        <v>0</v>
      </c>
      <c r="G115" s="96">
        <f ca="1">IF(BD115&lt;1,F115*Reeksen!C115,IF(C115&gt;=1,F115*BA115,0))</f>
        <v>0</v>
      </c>
      <c r="H115" s="84">
        <f ca="1">(1-('Invoer gegevens'!$F$20/12))*F115*MIN(BA115,BC115)</f>
        <v>0</v>
      </c>
      <c r="I115" s="84">
        <f t="shared" ca="1" si="17"/>
        <v>0</v>
      </c>
      <c r="J115" s="84">
        <f ca="1">('Invoer gegevens'!$F$20/12)*F114*MIN(BA115,BC115)</f>
        <v>0</v>
      </c>
      <c r="K115" s="97">
        <f t="shared" ca="1" si="22"/>
        <v>0</v>
      </c>
      <c r="L115" s="84">
        <f ca="1">IF('Invoer gegevens'!$C$17=E115,0,IF(C115=1,Q114,0))</f>
        <v>0</v>
      </c>
      <c r="M115" s="96">
        <f t="shared" ca="1" si="18"/>
        <v>0</v>
      </c>
      <c r="N115" s="84">
        <f ca="1">(1-('Invoer gegevens'!$F$20/12))*L115*MIN(BA115,BC115)</f>
        <v>0</v>
      </c>
      <c r="O115" s="84">
        <f t="shared" ca="1" si="19"/>
        <v>0</v>
      </c>
      <c r="P115" s="84">
        <f ca="1">('Invoer gegevens'!$F$20/12)*L114*MIN(BA115,BC115)</f>
        <v>0</v>
      </c>
      <c r="Q115" s="84">
        <f t="shared" ca="1" si="23"/>
        <v>0</v>
      </c>
      <c r="R115" s="85">
        <f ca="1">IF('Invoer gegevens'!$C$17=E115,'Invoer gegevens'!$C$11,IF(C115=1,W114,0))</f>
        <v>0</v>
      </c>
      <c r="S115" s="86">
        <f t="shared" ca="1" si="20"/>
        <v>0</v>
      </c>
      <c r="T115" s="86">
        <f ca="1">(1-('Invoer gegevens'!$F$20/12))*R115*MIN(BC115,BA115)</f>
        <v>0</v>
      </c>
      <c r="U115" s="86">
        <f ca="1">IF(BD115&lt;1,IF(Reeksen!AD115&lt;=Reeksen!AE115,R115*Reeksen!C115,0),IF(BC115&gt;=BA115,0,IF(Reeksen!AD115&lt;=Reeksen!AE115,(BA115-BC115)*R115,0)))</f>
        <v>0</v>
      </c>
      <c r="V115" s="86">
        <f ca="1">IF(BD115&lt;1,IF(Reeksen!AD115&gt;Reeksen!AE115,R115*Reeksen!C115,0),IF(BC115&gt;=BA115,0,IF(Reeksen!AD115&gt;Reeksen!AE115,(BA115-BC115)*R115,0)))</f>
        <v>0</v>
      </c>
      <c r="W115" s="218">
        <f t="shared" ca="1" si="24"/>
        <v>0</v>
      </c>
      <c r="X115" s="98">
        <f ca="1">IF('Invoer gegevens'!$C$17=E115,'Invoer gegevens'!$C$10-'Invoer gegevens'!$C$11,IF(C115=1,AC114,0))</f>
        <v>0</v>
      </c>
      <c r="Y115" s="98">
        <f t="shared" ca="1" si="21"/>
        <v>0</v>
      </c>
      <c r="Z115" s="98">
        <f ca="1">(1-('Invoer gegevens'!$F$20/12))*X115*MIN(BA115,BC115)</f>
        <v>0</v>
      </c>
      <c r="AA115" s="98">
        <f ca="1">IF(BD115&lt;1,IF(Reeksen!AD115&lt;=Reeksen!AE115,X115*Reeksen!C115,0),IF(BC115&gt;=BA115,0,IF(Reeksen!AD115&lt;=Reeksen!AE115,(BA115-BC115)*X115,0)))</f>
        <v>0</v>
      </c>
      <c r="AB115" s="98">
        <f ca="1">IF(BD115&lt;1,IF(Reeksen!AD115&gt;Reeksen!AE115,X115*Reeksen!C115,0),IF(BC115&gt;=BA115,0,IF(Reeksen!AD115&gt;Reeksen!AE115,(BA115-BC115)*X115,0)))</f>
        <v>0</v>
      </c>
      <c r="AC115" s="99">
        <f t="shared" ca="1" si="25"/>
        <v>0</v>
      </c>
      <c r="AD115" s="98">
        <f ca="1">IF('Invoer gegevens'!$C$17=E115,R115,IF(C115=0,0,AE114))</f>
        <v>0</v>
      </c>
      <c r="AE115" s="98">
        <f t="shared" ca="1" si="26"/>
        <v>0</v>
      </c>
      <c r="AF115" s="98">
        <f ca="1">IF('Invoer gegevens'!$C$17=E115,X115,IF(C115=0,0,AG114))</f>
        <v>0</v>
      </c>
      <c r="AG115" s="98">
        <f t="shared" ca="1" si="27"/>
        <v>0</v>
      </c>
      <c r="AH115" s="66"/>
      <c r="AI115" s="71">
        <f ca="1">IF(C115=1,Reeksen!AI115*((F115+K115)/2)*12+Reeksen!AD115*((L115+Q115)/2)*12,0)</f>
        <v>0</v>
      </c>
      <c r="AJ115" s="71">
        <f ca="1">-AI115*'Invoer gegevens'!$F$28</f>
        <v>0</v>
      </c>
      <c r="AK115" s="71">
        <f t="shared" ca="1" si="28"/>
        <v>0</v>
      </c>
      <c r="AL115" s="71">
        <f ca="1">IF(C115=1,Reeksen!AL115*((F115-G115+F115)/2)*12+Reeksen!AM115*((L115-M115+L115)/2)*12,0)</f>
        <v>0</v>
      </c>
      <c r="AM115" s="71">
        <f ca="1">-AL115*'Invoer gegevens'!$F$31</f>
        <v>0</v>
      </c>
      <c r="AN115" s="71">
        <f t="shared" ca="1" si="29"/>
        <v>0</v>
      </c>
      <c r="AO115" s="71">
        <f ca="1">IF(C115=1,(H115+J115+N115+P115)*Reeksen!AN115,0)</f>
        <v>0</v>
      </c>
      <c r="AP115" s="71">
        <f ca="1">-IF(C115=1,(H115+J115+N115+P115)*'Hulp - basis'!$G$550*Reeksen!H115,0)</f>
        <v>0</v>
      </c>
      <c r="AQ115" s="71">
        <f ca="1">-IF(C115=1,(F115+K115+L115+Q115)/2*'Invoer gegevens'!$F$35*Reeksen!J115,0)*2</f>
        <v>0</v>
      </c>
      <c r="AR115" s="71">
        <f ca="1">IF(BD115&lt;1,-IF(C115=1,(G115*'Invoer gegevens'!$F$36)*Reeksen!J115,0),0)</f>
        <v>0</v>
      </c>
      <c r="AS115" s="71">
        <f ca="1">-IF(C115=1,(F115+K115+L115+Q115)/2*'Invoer gegevens'!$F$37*Reeksen!L115,0)</f>
        <v>0</v>
      </c>
      <c r="AT115" s="71">
        <f ca="1">-IF(C115=1,IF(E115='Invoer gegevens'!$C$17,'Invoer gegevens'!$C$11,AD115)*Reeksen!S115*'Invoer gegevens'!$C$18*Reeksen!P115,0)</f>
        <v>0</v>
      </c>
      <c r="AU115" s="71">
        <f ca="1">-IF(C115=1,(F115+K115+L115+Q115)/2*'Invoer gegevens'!$F$38*Reeksen!H115,0)</f>
        <v>0</v>
      </c>
      <c r="AV115" s="71">
        <f t="shared" si="33"/>
        <v>0</v>
      </c>
      <c r="AW115" s="71">
        <f t="shared" ca="1" si="30"/>
        <v>0</v>
      </c>
      <c r="AX115" s="71">
        <f ca="1">IF(E115&lt;'Invoer gegevens'!$C$17+15,0,IF(E115&gt;'Invoer gegevens'!$C$17+215,0,AW115))</f>
        <v>0</v>
      </c>
      <c r="AY115" s="71">
        <f ca="1">AX115/(1+'Invoer gegevens'!$F$18)^($AZ115-('Invoer gegevens'!$C$17-'Invoer gegevens'!$C$16))/(1+'Invoer gegevens'!$C$39)^('Invoer gegevens'!$C$17-'Invoer gegevens'!$C$16)</f>
        <v>0</v>
      </c>
      <c r="AZ115" s="68">
        <f ca="1">IF(E115-'Invoer gegevens'!$C$17-14.5&lt;0,0,E115-'Invoer gegevens'!$C$17-14.5)</f>
        <v>95.5</v>
      </c>
      <c r="BA115" s="109">
        <f ca="1">IFERROR(VLOOKUP(E115-15,Reeksen!$A$5:$D$234,2,FALSE),0)</f>
        <v>0</v>
      </c>
      <c r="BB115" s="109">
        <f ca="1">IFERROR(VLOOKUP(E115-15,Reeksen!$A$5:$D$234,3,FALSE),0)</f>
        <v>0</v>
      </c>
      <c r="BC115" s="109">
        <f ca="1">IFERROR(VLOOKUP(E115-15,Reeksen!$A$5:$D$234,4,FALSE),0)</f>
        <v>0</v>
      </c>
      <c r="BD115" s="67">
        <f ca="1">IF(E115-'Invoer gegevens'!$C$17&lt;15,0,1)</f>
        <v>1</v>
      </c>
    </row>
    <row r="116" spans="1:56" x14ac:dyDescent="0.25">
      <c r="A116" s="59"/>
      <c r="B116" s="70">
        <f t="shared" si="31"/>
        <v>112</v>
      </c>
      <c r="C116" s="67">
        <f ca="1">IF(E116-'Invoer gegevens'!$C$17&lt;0,0,1)</f>
        <v>1</v>
      </c>
      <c r="D116" s="68">
        <f t="shared" si="32"/>
        <v>111.5</v>
      </c>
      <c r="E116" s="108">
        <f ca="1">IF('Invoer gegevens'!$C$16="","",E115+1)</f>
        <v>2130</v>
      </c>
      <c r="F116" s="84">
        <f ca="1">IF('Invoer gegevens'!$C$17=E116,'Invoer gegevens'!$C$10,IF(C116=1,K115,0))</f>
        <v>0</v>
      </c>
      <c r="G116" s="96">
        <f ca="1">IF(BD116&lt;1,F116*Reeksen!C116,IF(C116&gt;=1,F116*BA116,0))</f>
        <v>0</v>
      </c>
      <c r="H116" s="84">
        <f ca="1">(1-('Invoer gegevens'!$F$20/12))*F116*MIN(BA116,BC116)</f>
        <v>0</v>
      </c>
      <c r="I116" s="84">
        <f t="shared" ca="1" si="17"/>
        <v>0</v>
      </c>
      <c r="J116" s="84">
        <f ca="1">('Invoer gegevens'!$F$20/12)*F115*MIN(BA116,BC116)</f>
        <v>0</v>
      </c>
      <c r="K116" s="97">
        <f t="shared" ca="1" si="22"/>
        <v>0</v>
      </c>
      <c r="L116" s="84">
        <f ca="1">IF('Invoer gegevens'!$C$17=E116,0,IF(C116=1,Q115,0))</f>
        <v>0</v>
      </c>
      <c r="M116" s="96">
        <f t="shared" ca="1" si="18"/>
        <v>0</v>
      </c>
      <c r="N116" s="84">
        <f ca="1">(1-('Invoer gegevens'!$F$20/12))*L116*MIN(BA116,BC116)</f>
        <v>0</v>
      </c>
      <c r="O116" s="84">
        <f t="shared" ca="1" si="19"/>
        <v>0</v>
      </c>
      <c r="P116" s="84">
        <f ca="1">('Invoer gegevens'!$F$20/12)*L115*MIN(BA116,BC116)</f>
        <v>0</v>
      </c>
      <c r="Q116" s="84">
        <f t="shared" ca="1" si="23"/>
        <v>0</v>
      </c>
      <c r="R116" s="85">
        <f ca="1">IF('Invoer gegevens'!$C$17=E116,'Invoer gegevens'!$C$11,IF(C116=1,W115,0))</f>
        <v>0</v>
      </c>
      <c r="S116" s="86">
        <f t="shared" ca="1" si="20"/>
        <v>0</v>
      </c>
      <c r="T116" s="86">
        <f ca="1">(1-('Invoer gegevens'!$F$20/12))*R116*MIN(BC116,BA116)</f>
        <v>0</v>
      </c>
      <c r="U116" s="86">
        <f ca="1">IF(BD116&lt;1,IF(Reeksen!AD116&lt;=Reeksen!AE116,R116*Reeksen!C116,0),IF(BC116&gt;=BA116,0,IF(Reeksen!AD116&lt;=Reeksen!AE116,(BA116-BC116)*R116,0)))</f>
        <v>0</v>
      </c>
      <c r="V116" s="86">
        <f ca="1">IF(BD116&lt;1,IF(Reeksen!AD116&gt;Reeksen!AE116,R116*Reeksen!C116,0),IF(BC116&gt;=BA116,0,IF(Reeksen!AD116&gt;Reeksen!AE116,(BA116-BC116)*R116,0)))</f>
        <v>0</v>
      </c>
      <c r="W116" s="218">
        <f t="shared" ca="1" si="24"/>
        <v>0</v>
      </c>
      <c r="X116" s="98">
        <f ca="1">IF('Invoer gegevens'!$C$17=E116,'Invoer gegevens'!$C$10-'Invoer gegevens'!$C$11,IF(C116=1,AC115,0))</f>
        <v>0</v>
      </c>
      <c r="Y116" s="98">
        <f t="shared" ca="1" si="21"/>
        <v>0</v>
      </c>
      <c r="Z116" s="98">
        <f ca="1">(1-('Invoer gegevens'!$F$20/12))*X116*MIN(BA116,BC116)</f>
        <v>0</v>
      </c>
      <c r="AA116" s="98">
        <f ca="1">IF(BD116&lt;1,IF(Reeksen!AD116&lt;=Reeksen!AE116,X116*Reeksen!C116,0),IF(BC116&gt;=BA116,0,IF(Reeksen!AD116&lt;=Reeksen!AE116,(BA116-BC116)*X116,0)))</f>
        <v>0</v>
      </c>
      <c r="AB116" s="98">
        <f ca="1">IF(BD116&lt;1,IF(Reeksen!AD116&gt;Reeksen!AE116,X116*Reeksen!C116,0),IF(BC116&gt;=BA116,0,IF(Reeksen!AD116&gt;Reeksen!AE116,(BA116-BC116)*X116,0)))</f>
        <v>0</v>
      </c>
      <c r="AC116" s="99">
        <f t="shared" ca="1" si="25"/>
        <v>0</v>
      </c>
      <c r="AD116" s="98">
        <f ca="1">IF('Invoer gegevens'!$C$17=E116,R116,IF(C116=0,0,AE115))</f>
        <v>0</v>
      </c>
      <c r="AE116" s="98">
        <f t="shared" ca="1" si="26"/>
        <v>0</v>
      </c>
      <c r="AF116" s="98">
        <f ca="1">IF('Invoer gegevens'!$C$17=E116,X116,IF(C116=0,0,AG115))</f>
        <v>0</v>
      </c>
      <c r="AG116" s="98">
        <f t="shared" ca="1" si="27"/>
        <v>0</v>
      </c>
      <c r="AH116" s="66"/>
      <c r="AI116" s="71">
        <f ca="1">IF(C116=1,Reeksen!AI116*((F116+K116)/2)*12+Reeksen!AD116*((L116+Q116)/2)*12,0)</f>
        <v>0</v>
      </c>
      <c r="AJ116" s="71">
        <f ca="1">-AI116*'Invoer gegevens'!$F$28</f>
        <v>0</v>
      </c>
      <c r="AK116" s="71">
        <f t="shared" ca="1" si="28"/>
        <v>0</v>
      </c>
      <c r="AL116" s="71">
        <f ca="1">IF(C116=1,Reeksen!AL116*((F116-G116+F116)/2)*12+Reeksen!AM116*((L116-M116+L116)/2)*12,0)</f>
        <v>0</v>
      </c>
      <c r="AM116" s="71">
        <f ca="1">-AL116*'Invoer gegevens'!$F$31</f>
        <v>0</v>
      </c>
      <c r="AN116" s="71">
        <f t="shared" ca="1" si="29"/>
        <v>0</v>
      </c>
      <c r="AO116" s="71">
        <f ca="1">IF(C116=1,(H116+J116+N116+P116)*Reeksen!AN116,0)</f>
        <v>0</v>
      </c>
      <c r="AP116" s="71">
        <f ca="1">-IF(C116=1,(H116+J116+N116+P116)*'Hulp - basis'!$G$550*Reeksen!H116,0)</f>
        <v>0</v>
      </c>
      <c r="AQ116" s="71">
        <f ca="1">-IF(C116=1,(F116+K116+L116+Q116)/2*'Invoer gegevens'!$F$35*Reeksen!J116,0)*2</f>
        <v>0</v>
      </c>
      <c r="AR116" s="71">
        <f ca="1">IF(BD116&lt;1,-IF(C116=1,(G116*'Invoer gegevens'!$F$36)*Reeksen!J116,0),0)</f>
        <v>0</v>
      </c>
      <c r="AS116" s="71">
        <f ca="1">-IF(C116=1,(F116+K116+L116+Q116)/2*'Invoer gegevens'!$F$37*Reeksen!L116,0)</f>
        <v>0</v>
      </c>
      <c r="AT116" s="71">
        <f ca="1">-IF(C116=1,IF(E116='Invoer gegevens'!$C$17,'Invoer gegevens'!$C$11,AD116)*Reeksen!S116*'Invoer gegevens'!$C$18*Reeksen!P116,0)</f>
        <v>0</v>
      </c>
      <c r="AU116" s="71">
        <f ca="1">-IF(C116=1,(F116+K116+L116+Q116)/2*'Invoer gegevens'!$F$38*Reeksen!H116,0)</f>
        <v>0</v>
      </c>
      <c r="AV116" s="71">
        <f t="shared" si="33"/>
        <v>0</v>
      </c>
      <c r="AW116" s="71">
        <f t="shared" ca="1" si="30"/>
        <v>0</v>
      </c>
      <c r="AX116" s="71">
        <f ca="1">IF(E116&lt;'Invoer gegevens'!$C$17+15,0,IF(E116&gt;'Invoer gegevens'!$C$17+215,0,AW116))</f>
        <v>0</v>
      </c>
      <c r="AY116" s="71">
        <f ca="1">AX116/(1+'Invoer gegevens'!$F$18)^($AZ116-('Invoer gegevens'!$C$17-'Invoer gegevens'!$C$16))/(1+'Invoer gegevens'!$C$39)^('Invoer gegevens'!$C$17-'Invoer gegevens'!$C$16)</f>
        <v>0</v>
      </c>
      <c r="AZ116" s="68">
        <f ca="1">IF(E116-'Invoer gegevens'!$C$17-14.5&lt;0,0,E116-'Invoer gegevens'!$C$17-14.5)</f>
        <v>96.5</v>
      </c>
      <c r="BA116" s="109">
        <f ca="1">IFERROR(VLOOKUP(E116-15,Reeksen!$A$5:$D$234,2,FALSE),0)</f>
        <v>0</v>
      </c>
      <c r="BB116" s="109">
        <f ca="1">IFERROR(VLOOKUP(E116-15,Reeksen!$A$5:$D$234,3,FALSE),0)</f>
        <v>0</v>
      </c>
      <c r="BC116" s="109">
        <f ca="1">IFERROR(VLOOKUP(E116-15,Reeksen!$A$5:$D$234,4,FALSE),0)</f>
        <v>0</v>
      </c>
      <c r="BD116" s="67">
        <f ca="1">IF(E116-'Invoer gegevens'!$C$17&lt;15,0,1)</f>
        <v>1</v>
      </c>
    </row>
    <row r="117" spans="1:56" x14ac:dyDescent="0.25">
      <c r="A117" s="59"/>
      <c r="B117" s="70">
        <f t="shared" si="31"/>
        <v>113</v>
      </c>
      <c r="C117" s="67">
        <f ca="1">IF(E117-'Invoer gegevens'!$C$17&lt;0,0,1)</f>
        <v>1</v>
      </c>
      <c r="D117" s="68">
        <f t="shared" si="32"/>
        <v>112.5</v>
      </c>
      <c r="E117" s="108">
        <f ca="1">IF('Invoer gegevens'!$C$16="","",E116+1)</f>
        <v>2131</v>
      </c>
      <c r="F117" s="84">
        <f ca="1">IF('Invoer gegevens'!$C$17=E117,'Invoer gegevens'!$C$10,IF(C117=1,K116,0))</f>
        <v>0</v>
      </c>
      <c r="G117" s="96">
        <f ca="1">IF(BD117&lt;1,F117*Reeksen!C117,IF(C117&gt;=1,F117*BA117,0))</f>
        <v>0</v>
      </c>
      <c r="H117" s="84">
        <f ca="1">(1-('Invoer gegevens'!$F$20/12))*F117*MIN(BA117,BC117)</f>
        <v>0</v>
      </c>
      <c r="I117" s="84">
        <f t="shared" ca="1" si="17"/>
        <v>0</v>
      </c>
      <c r="J117" s="84">
        <f ca="1">('Invoer gegevens'!$F$20/12)*F116*MIN(BA117,BC117)</f>
        <v>0</v>
      </c>
      <c r="K117" s="97">
        <f t="shared" ca="1" si="22"/>
        <v>0</v>
      </c>
      <c r="L117" s="84">
        <f ca="1">IF('Invoer gegevens'!$C$17=E117,0,IF(C117=1,Q116,0))</f>
        <v>0</v>
      </c>
      <c r="M117" s="96">
        <f t="shared" ca="1" si="18"/>
        <v>0</v>
      </c>
      <c r="N117" s="84">
        <f ca="1">(1-('Invoer gegevens'!$F$20/12))*L117*MIN(BA117,BC117)</f>
        <v>0</v>
      </c>
      <c r="O117" s="84">
        <f t="shared" ca="1" si="19"/>
        <v>0</v>
      </c>
      <c r="P117" s="84">
        <f ca="1">('Invoer gegevens'!$F$20/12)*L116*MIN(BA117,BC117)</f>
        <v>0</v>
      </c>
      <c r="Q117" s="84">
        <f t="shared" ca="1" si="23"/>
        <v>0</v>
      </c>
      <c r="R117" s="85">
        <f ca="1">IF('Invoer gegevens'!$C$17=E117,'Invoer gegevens'!$C$11,IF(C117=1,W116,0))</f>
        <v>0</v>
      </c>
      <c r="S117" s="86">
        <f t="shared" ca="1" si="20"/>
        <v>0</v>
      </c>
      <c r="T117" s="86">
        <f ca="1">(1-('Invoer gegevens'!$F$20/12))*R117*MIN(BC117,BA117)</f>
        <v>0</v>
      </c>
      <c r="U117" s="86">
        <f ca="1">IF(BD117&lt;1,IF(Reeksen!AD117&lt;=Reeksen!AE117,R117*Reeksen!C117,0),IF(BC117&gt;=BA117,0,IF(Reeksen!AD117&lt;=Reeksen!AE117,(BA117-BC117)*R117,0)))</f>
        <v>0</v>
      </c>
      <c r="V117" s="86">
        <f ca="1">IF(BD117&lt;1,IF(Reeksen!AD117&gt;Reeksen!AE117,R117*Reeksen!C117,0),IF(BC117&gt;=BA117,0,IF(Reeksen!AD117&gt;Reeksen!AE117,(BA117-BC117)*R117,0)))</f>
        <v>0</v>
      </c>
      <c r="W117" s="218">
        <f t="shared" ca="1" si="24"/>
        <v>0</v>
      </c>
      <c r="X117" s="98">
        <f ca="1">IF('Invoer gegevens'!$C$17=E117,'Invoer gegevens'!$C$10-'Invoer gegevens'!$C$11,IF(C117=1,AC116,0))</f>
        <v>0</v>
      </c>
      <c r="Y117" s="98">
        <f t="shared" ca="1" si="21"/>
        <v>0</v>
      </c>
      <c r="Z117" s="98">
        <f ca="1">(1-('Invoer gegevens'!$F$20/12))*X117*MIN(BA117,BC117)</f>
        <v>0</v>
      </c>
      <c r="AA117" s="98">
        <f ca="1">IF(BD117&lt;1,IF(Reeksen!AD117&lt;=Reeksen!AE117,X117*Reeksen!C117,0),IF(BC117&gt;=BA117,0,IF(Reeksen!AD117&lt;=Reeksen!AE117,(BA117-BC117)*X117,0)))</f>
        <v>0</v>
      </c>
      <c r="AB117" s="98">
        <f ca="1">IF(BD117&lt;1,IF(Reeksen!AD117&gt;Reeksen!AE117,X117*Reeksen!C117,0),IF(BC117&gt;=BA117,0,IF(Reeksen!AD117&gt;Reeksen!AE117,(BA117-BC117)*X117,0)))</f>
        <v>0</v>
      </c>
      <c r="AC117" s="99">
        <f t="shared" ca="1" si="25"/>
        <v>0</v>
      </c>
      <c r="AD117" s="98">
        <f ca="1">IF('Invoer gegevens'!$C$17=E117,R117,IF(C117=0,0,AE116))</f>
        <v>0</v>
      </c>
      <c r="AE117" s="98">
        <f t="shared" ca="1" si="26"/>
        <v>0</v>
      </c>
      <c r="AF117" s="98">
        <f ca="1">IF('Invoer gegevens'!$C$17=E117,X117,IF(C117=0,0,AG116))</f>
        <v>0</v>
      </c>
      <c r="AG117" s="98">
        <f t="shared" ca="1" si="27"/>
        <v>0</v>
      </c>
      <c r="AH117" s="66"/>
      <c r="AI117" s="71">
        <f ca="1">IF(C117=1,Reeksen!AI117*((F117+K117)/2)*12+Reeksen!AD117*((L117+Q117)/2)*12,0)</f>
        <v>0</v>
      </c>
      <c r="AJ117" s="71">
        <f ca="1">-AI117*'Invoer gegevens'!$F$28</f>
        <v>0</v>
      </c>
      <c r="AK117" s="71">
        <f t="shared" ca="1" si="28"/>
        <v>0</v>
      </c>
      <c r="AL117" s="71">
        <f ca="1">IF(C117=1,Reeksen!AL117*((F117-G117+F117)/2)*12+Reeksen!AM117*((L117-M117+L117)/2)*12,0)</f>
        <v>0</v>
      </c>
      <c r="AM117" s="71">
        <f ca="1">-AL117*'Invoer gegevens'!$F$31</f>
        <v>0</v>
      </c>
      <c r="AN117" s="71">
        <f t="shared" ca="1" si="29"/>
        <v>0</v>
      </c>
      <c r="AO117" s="71">
        <f ca="1">IF(C117=1,(H117+J117+N117+P117)*Reeksen!AN117,0)</f>
        <v>0</v>
      </c>
      <c r="AP117" s="71">
        <f ca="1">-IF(C117=1,(H117+J117+N117+P117)*'Hulp - basis'!$G$550*Reeksen!H117,0)</f>
        <v>0</v>
      </c>
      <c r="AQ117" s="71">
        <f ca="1">-IF(C117=1,(F117+K117+L117+Q117)/2*'Invoer gegevens'!$F$35*Reeksen!J117,0)*2</f>
        <v>0</v>
      </c>
      <c r="AR117" s="71">
        <f ca="1">IF(BD117&lt;1,-IF(C117=1,(G117*'Invoer gegevens'!$F$36)*Reeksen!J117,0),0)</f>
        <v>0</v>
      </c>
      <c r="AS117" s="71">
        <f ca="1">-IF(C117=1,(F117+K117+L117+Q117)/2*'Invoer gegevens'!$F$37*Reeksen!L117,0)</f>
        <v>0</v>
      </c>
      <c r="AT117" s="71">
        <f ca="1">-IF(C117=1,IF(E117='Invoer gegevens'!$C$17,'Invoer gegevens'!$C$11,AD117)*Reeksen!S117*'Invoer gegevens'!$C$18*Reeksen!P117,0)</f>
        <v>0</v>
      </c>
      <c r="AU117" s="71">
        <f ca="1">-IF(C117=1,(F117+K117+L117+Q117)/2*'Invoer gegevens'!$F$38*Reeksen!H117,0)</f>
        <v>0</v>
      </c>
      <c r="AV117" s="71">
        <f t="shared" si="33"/>
        <v>0</v>
      </c>
      <c r="AW117" s="71">
        <f t="shared" ca="1" si="30"/>
        <v>0</v>
      </c>
      <c r="AX117" s="71">
        <f ca="1">IF(E117&lt;'Invoer gegevens'!$C$17+15,0,IF(E117&gt;'Invoer gegevens'!$C$17+215,0,AW117))</f>
        <v>0</v>
      </c>
      <c r="AY117" s="71">
        <f ca="1">AX117/(1+'Invoer gegevens'!$F$18)^($AZ117-('Invoer gegevens'!$C$17-'Invoer gegevens'!$C$16))/(1+'Invoer gegevens'!$C$39)^('Invoer gegevens'!$C$17-'Invoer gegevens'!$C$16)</f>
        <v>0</v>
      </c>
      <c r="AZ117" s="68">
        <f ca="1">IF(E117-'Invoer gegevens'!$C$17-14.5&lt;0,0,E117-'Invoer gegevens'!$C$17-14.5)</f>
        <v>97.5</v>
      </c>
      <c r="BA117" s="109">
        <f ca="1">IFERROR(VLOOKUP(E117-15,Reeksen!$A$5:$D$234,2,FALSE),0)</f>
        <v>0</v>
      </c>
      <c r="BB117" s="109">
        <f ca="1">IFERROR(VLOOKUP(E117-15,Reeksen!$A$5:$D$234,3,FALSE),0)</f>
        <v>0</v>
      </c>
      <c r="BC117" s="109">
        <f ca="1">IFERROR(VLOOKUP(E117-15,Reeksen!$A$5:$D$234,4,FALSE),0)</f>
        <v>0</v>
      </c>
      <c r="BD117" s="67">
        <f ca="1">IF(E117-'Invoer gegevens'!$C$17&lt;15,0,1)</f>
        <v>1</v>
      </c>
    </row>
    <row r="118" spans="1:56" x14ac:dyDescent="0.25">
      <c r="A118" s="59"/>
      <c r="B118" s="70">
        <f t="shared" si="31"/>
        <v>114</v>
      </c>
      <c r="C118" s="67">
        <f ca="1">IF(E118-'Invoer gegevens'!$C$17&lt;0,0,1)</f>
        <v>1</v>
      </c>
      <c r="D118" s="68">
        <f t="shared" si="32"/>
        <v>113.5</v>
      </c>
      <c r="E118" s="108">
        <f ca="1">IF('Invoer gegevens'!$C$16="","",E117+1)</f>
        <v>2132</v>
      </c>
      <c r="F118" s="84">
        <f ca="1">IF('Invoer gegevens'!$C$17=E118,'Invoer gegevens'!$C$10,IF(C118=1,K117,0))</f>
        <v>0</v>
      </c>
      <c r="G118" s="96">
        <f ca="1">IF(BD118&lt;1,F118*Reeksen!C118,IF(C118&gt;=1,F118*BA118,0))</f>
        <v>0</v>
      </c>
      <c r="H118" s="84">
        <f ca="1">(1-('Invoer gegevens'!$F$20/12))*F118*MIN(BA118,BC118)</f>
        <v>0</v>
      </c>
      <c r="I118" s="84">
        <f t="shared" ca="1" si="17"/>
        <v>0</v>
      </c>
      <c r="J118" s="84">
        <f ca="1">('Invoer gegevens'!$F$20/12)*F117*MIN(BA118,BC118)</f>
        <v>0</v>
      </c>
      <c r="K118" s="97">
        <f t="shared" ca="1" si="22"/>
        <v>0</v>
      </c>
      <c r="L118" s="84">
        <f ca="1">IF('Invoer gegevens'!$C$17=E118,0,IF(C118=1,Q117,0))</f>
        <v>0</v>
      </c>
      <c r="M118" s="96">
        <f t="shared" ca="1" si="18"/>
        <v>0</v>
      </c>
      <c r="N118" s="84">
        <f ca="1">(1-('Invoer gegevens'!$F$20/12))*L118*MIN(BA118,BC118)</f>
        <v>0</v>
      </c>
      <c r="O118" s="84">
        <f t="shared" ca="1" si="19"/>
        <v>0</v>
      </c>
      <c r="P118" s="84">
        <f ca="1">('Invoer gegevens'!$F$20/12)*L117*MIN(BA118,BC118)</f>
        <v>0</v>
      </c>
      <c r="Q118" s="84">
        <f t="shared" ca="1" si="23"/>
        <v>0</v>
      </c>
      <c r="R118" s="85">
        <f ca="1">IF('Invoer gegevens'!$C$17=E118,'Invoer gegevens'!$C$11,IF(C118=1,W117,0))</f>
        <v>0</v>
      </c>
      <c r="S118" s="86">
        <f t="shared" ca="1" si="20"/>
        <v>0</v>
      </c>
      <c r="T118" s="86">
        <f ca="1">(1-('Invoer gegevens'!$F$20/12))*R118*MIN(BC118,BA118)</f>
        <v>0</v>
      </c>
      <c r="U118" s="86">
        <f ca="1">IF(BD118&lt;1,IF(Reeksen!AD118&lt;=Reeksen!AE118,R118*Reeksen!C118,0),IF(BC118&gt;=BA118,0,IF(Reeksen!AD118&lt;=Reeksen!AE118,(BA118-BC118)*R118,0)))</f>
        <v>0</v>
      </c>
      <c r="V118" s="86">
        <f ca="1">IF(BD118&lt;1,IF(Reeksen!AD118&gt;Reeksen!AE118,R118*Reeksen!C118,0),IF(BC118&gt;=BA118,0,IF(Reeksen!AD118&gt;Reeksen!AE118,(BA118-BC118)*R118,0)))</f>
        <v>0</v>
      </c>
      <c r="W118" s="218">
        <f t="shared" ca="1" si="24"/>
        <v>0</v>
      </c>
      <c r="X118" s="98">
        <f ca="1">IF('Invoer gegevens'!$C$17=E118,'Invoer gegevens'!$C$10-'Invoer gegevens'!$C$11,IF(C118=1,AC117,0))</f>
        <v>0</v>
      </c>
      <c r="Y118" s="98">
        <f t="shared" ca="1" si="21"/>
        <v>0</v>
      </c>
      <c r="Z118" s="98">
        <f ca="1">(1-('Invoer gegevens'!$F$20/12))*X118*MIN(BA118,BC118)</f>
        <v>0</v>
      </c>
      <c r="AA118" s="98">
        <f ca="1">IF(BD118&lt;1,IF(Reeksen!AD118&lt;=Reeksen!AE118,X118*Reeksen!C118,0),IF(BC118&gt;=BA118,0,IF(Reeksen!AD118&lt;=Reeksen!AE118,(BA118-BC118)*X118,0)))</f>
        <v>0</v>
      </c>
      <c r="AB118" s="98">
        <f ca="1">IF(BD118&lt;1,IF(Reeksen!AD118&gt;Reeksen!AE118,X118*Reeksen!C118,0),IF(BC118&gt;=BA118,0,IF(Reeksen!AD118&gt;Reeksen!AE118,(BA118-BC118)*X118,0)))</f>
        <v>0</v>
      </c>
      <c r="AC118" s="99">
        <f t="shared" ca="1" si="25"/>
        <v>0</v>
      </c>
      <c r="AD118" s="98">
        <f ca="1">IF('Invoer gegevens'!$C$17=E118,R118,IF(C118=0,0,AE117))</f>
        <v>0</v>
      </c>
      <c r="AE118" s="98">
        <f t="shared" ca="1" si="26"/>
        <v>0</v>
      </c>
      <c r="AF118" s="98">
        <f ca="1">IF('Invoer gegevens'!$C$17=E118,X118,IF(C118=0,0,AG117))</f>
        <v>0</v>
      </c>
      <c r="AG118" s="98">
        <f t="shared" ca="1" si="27"/>
        <v>0</v>
      </c>
      <c r="AH118" s="66"/>
      <c r="AI118" s="71">
        <f ca="1">IF(C118=1,Reeksen!AI118*((F118+K118)/2)*12+Reeksen!AD118*((L118+Q118)/2)*12,0)</f>
        <v>0</v>
      </c>
      <c r="AJ118" s="71">
        <f ca="1">-AI118*'Invoer gegevens'!$F$28</f>
        <v>0</v>
      </c>
      <c r="AK118" s="71">
        <f t="shared" ca="1" si="28"/>
        <v>0</v>
      </c>
      <c r="AL118" s="71">
        <f ca="1">IF(C118=1,Reeksen!AL118*((F118-G118+F118)/2)*12+Reeksen!AM118*((L118-M118+L118)/2)*12,0)</f>
        <v>0</v>
      </c>
      <c r="AM118" s="71">
        <f ca="1">-AL118*'Invoer gegevens'!$F$31</f>
        <v>0</v>
      </c>
      <c r="AN118" s="71">
        <f t="shared" ca="1" si="29"/>
        <v>0</v>
      </c>
      <c r="AO118" s="71">
        <f ca="1">IF(C118=1,(H118+J118+N118+P118)*Reeksen!AN118,0)</f>
        <v>0</v>
      </c>
      <c r="AP118" s="71">
        <f ca="1">-IF(C118=1,(H118+J118+N118+P118)*'Hulp - basis'!$G$550*Reeksen!H118,0)</f>
        <v>0</v>
      </c>
      <c r="AQ118" s="71">
        <f ca="1">-IF(C118=1,(F118+K118+L118+Q118)/2*'Invoer gegevens'!$F$35*Reeksen!J118,0)*2</f>
        <v>0</v>
      </c>
      <c r="AR118" s="71">
        <f ca="1">IF(BD118&lt;1,-IF(C118=1,(G118*'Invoer gegevens'!$F$36)*Reeksen!J118,0),0)</f>
        <v>0</v>
      </c>
      <c r="AS118" s="71">
        <f ca="1">-IF(C118=1,(F118+K118+L118+Q118)/2*'Invoer gegevens'!$F$37*Reeksen!L118,0)</f>
        <v>0</v>
      </c>
      <c r="AT118" s="71">
        <f ca="1">-IF(C118=1,IF(E118='Invoer gegevens'!$C$17,'Invoer gegevens'!$C$11,AD118)*Reeksen!S118*'Invoer gegevens'!$C$18*Reeksen!P118,0)</f>
        <v>0</v>
      </c>
      <c r="AU118" s="71">
        <f ca="1">-IF(C118=1,(F118+K118+L118+Q118)/2*'Invoer gegevens'!$F$38*Reeksen!H118,0)</f>
        <v>0</v>
      </c>
      <c r="AV118" s="71">
        <f t="shared" si="33"/>
        <v>0</v>
      </c>
      <c r="AW118" s="71">
        <f t="shared" ca="1" si="30"/>
        <v>0</v>
      </c>
      <c r="AX118" s="71">
        <f ca="1">IF(E118&lt;'Invoer gegevens'!$C$17+15,0,IF(E118&gt;'Invoer gegevens'!$C$17+215,0,AW118))</f>
        <v>0</v>
      </c>
      <c r="AY118" s="71">
        <f ca="1">AX118/(1+'Invoer gegevens'!$F$18)^($AZ118-('Invoer gegevens'!$C$17-'Invoer gegevens'!$C$16))/(1+'Invoer gegevens'!$C$39)^('Invoer gegevens'!$C$17-'Invoer gegevens'!$C$16)</f>
        <v>0</v>
      </c>
      <c r="AZ118" s="68">
        <f ca="1">IF(E118-'Invoer gegevens'!$C$17-14.5&lt;0,0,E118-'Invoer gegevens'!$C$17-14.5)</f>
        <v>98.5</v>
      </c>
      <c r="BA118" s="109">
        <f ca="1">IFERROR(VLOOKUP(E118-15,Reeksen!$A$5:$D$234,2,FALSE),0)</f>
        <v>0</v>
      </c>
      <c r="BB118" s="109">
        <f ca="1">IFERROR(VLOOKUP(E118-15,Reeksen!$A$5:$D$234,3,FALSE),0)</f>
        <v>0</v>
      </c>
      <c r="BC118" s="109">
        <f ca="1">IFERROR(VLOOKUP(E118-15,Reeksen!$A$5:$D$234,4,FALSE),0)</f>
        <v>0</v>
      </c>
      <c r="BD118" s="67">
        <f ca="1">IF(E118-'Invoer gegevens'!$C$17&lt;15,0,1)</f>
        <v>1</v>
      </c>
    </row>
    <row r="119" spans="1:56" x14ac:dyDescent="0.25">
      <c r="A119" s="59"/>
      <c r="B119" s="70">
        <f t="shared" si="31"/>
        <v>115</v>
      </c>
      <c r="C119" s="67">
        <f ca="1">IF(E119-'Invoer gegevens'!$C$17&lt;0,0,1)</f>
        <v>1</v>
      </c>
      <c r="D119" s="68">
        <f t="shared" si="32"/>
        <v>114.5</v>
      </c>
      <c r="E119" s="108">
        <f ca="1">IF('Invoer gegevens'!$C$16="","",E118+1)</f>
        <v>2133</v>
      </c>
      <c r="F119" s="84">
        <f ca="1">IF('Invoer gegevens'!$C$17=E119,'Invoer gegevens'!$C$10,IF(C119=1,K118,0))</f>
        <v>0</v>
      </c>
      <c r="G119" s="96">
        <f ca="1">IF(BD119&lt;1,F119*Reeksen!C119,IF(C119&gt;=1,F119*BA119,0))</f>
        <v>0</v>
      </c>
      <c r="H119" s="84">
        <f ca="1">(1-('Invoer gegevens'!$F$20/12))*F119*MIN(BA119,BC119)</f>
        <v>0</v>
      </c>
      <c r="I119" s="84">
        <f t="shared" ca="1" si="17"/>
        <v>0</v>
      </c>
      <c r="J119" s="84">
        <f ca="1">('Invoer gegevens'!$F$20/12)*F118*MIN(BA119,BC119)</f>
        <v>0</v>
      </c>
      <c r="K119" s="97">
        <f t="shared" ca="1" si="22"/>
        <v>0</v>
      </c>
      <c r="L119" s="84">
        <f ca="1">IF('Invoer gegevens'!$C$17=E119,0,IF(C119=1,Q118,0))</f>
        <v>0</v>
      </c>
      <c r="M119" s="96">
        <f t="shared" ca="1" si="18"/>
        <v>0</v>
      </c>
      <c r="N119" s="84">
        <f ca="1">(1-('Invoer gegevens'!$F$20/12))*L119*MIN(BA119,BC119)</f>
        <v>0</v>
      </c>
      <c r="O119" s="84">
        <f t="shared" ca="1" si="19"/>
        <v>0</v>
      </c>
      <c r="P119" s="84">
        <f ca="1">('Invoer gegevens'!$F$20/12)*L118*MIN(BA119,BC119)</f>
        <v>0</v>
      </c>
      <c r="Q119" s="84">
        <f t="shared" ca="1" si="23"/>
        <v>0</v>
      </c>
      <c r="R119" s="85">
        <f ca="1">IF('Invoer gegevens'!$C$17=E119,'Invoer gegevens'!$C$11,IF(C119=1,W118,0))</f>
        <v>0</v>
      </c>
      <c r="S119" s="86">
        <f t="shared" ca="1" si="20"/>
        <v>0</v>
      </c>
      <c r="T119" s="86">
        <f ca="1">(1-('Invoer gegevens'!$F$20/12))*R119*MIN(BC119,BA119)</f>
        <v>0</v>
      </c>
      <c r="U119" s="86">
        <f ca="1">IF(BD119&lt;1,IF(Reeksen!AD119&lt;=Reeksen!AE119,R119*Reeksen!C119,0),IF(BC119&gt;=BA119,0,IF(Reeksen!AD119&lt;=Reeksen!AE119,(BA119-BC119)*R119,0)))</f>
        <v>0</v>
      </c>
      <c r="V119" s="86">
        <f ca="1">IF(BD119&lt;1,IF(Reeksen!AD119&gt;Reeksen!AE119,R119*Reeksen!C119,0),IF(BC119&gt;=BA119,0,IF(Reeksen!AD119&gt;Reeksen!AE119,(BA119-BC119)*R119,0)))</f>
        <v>0</v>
      </c>
      <c r="W119" s="218">
        <f t="shared" ca="1" si="24"/>
        <v>0</v>
      </c>
      <c r="X119" s="98">
        <f ca="1">IF('Invoer gegevens'!$C$17=E119,'Invoer gegevens'!$C$10-'Invoer gegevens'!$C$11,IF(C119=1,AC118,0))</f>
        <v>0</v>
      </c>
      <c r="Y119" s="98">
        <f t="shared" ca="1" si="21"/>
        <v>0</v>
      </c>
      <c r="Z119" s="98">
        <f ca="1">(1-('Invoer gegevens'!$F$20/12))*X119*MIN(BA119,BC119)</f>
        <v>0</v>
      </c>
      <c r="AA119" s="98">
        <f ca="1">IF(BD119&lt;1,IF(Reeksen!AD119&lt;=Reeksen!AE119,X119*Reeksen!C119,0),IF(BC119&gt;=BA119,0,IF(Reeksen!AD119&lt;=Reeksen!AE119,(BA119-BC119)*X119,0)))</f>
        <v>0</v>
      </c>
      <c r="AB119" s="98">
        <f ca="1">IF(BD119&lt;1,IF(Reeksen!AD119&gt;Reeksen!AE119,X119*Reeksen!C119,0),IF(BC119&gt;=BA119,0,IF(Reeksen!AD119&gt;Reeksen!AE119,(BA119-BC119)*X119,0)))</f>
        <v>0</v>
      </c>
      <c r="AC119" s="99">
        <f t="shared" ca="1" si="25"/>
        <v>0</v>
      </c>
      <c r="AD119" s="98">
        <f ca="1">IF('Invoer gegevens'!$C$17=E119,R119,IF(C119=0,0,AE118))</f>
        <v>0</v>
      </c>
      <c r="AE119" s="98">
        <f t="shared" ca="1" si="26"/>
        <v>0</v>
      </c>
      <c r="AF119" s="98">
        <f ca="1">IF('Invoer gegevens'!$C$17=E119,X119,IF(C119=0,0,AG118))</f>
        <v>0</v>
      </c>
      <c r="AG119" s="98">
        <f t="shared" ca="1" si="27"/>
        <v>0</v>
      </c>
      <c r="AH119" s="66"/>
      <c r="AI119" s="71">
        <f ca="1">IF(C119=1,Reeksen!AI119*((F119+K119)/2)*12+Reeksen!AD119*((L119+Q119)/2)*12,0)</f>
        <v>0</v>
      </c>
      <c r="AJ119" s="71">
        <f ca="1">-AI119*'Invoer gegevens'!$F$28</f>
        <v>0</v>
      </c>
      <c r="AK119" s="71">
        <f t="shared" ca="1" si="28"/>
        <v>0</v>
      </c>
      <c r="AL119" s="71">
        <f ca="1">IF(C119=1,Reeksen!AL119*((F119-G119+F119)/2)*12+Reeksen!AM119*((L119-M119+L119)/2)*12,0)</f>
        <v>0</v>
      </c>
      <c r="AM119" s="71">
        <f ca="1">-AL119*'Invoer gegevens'!$F$31</f>
        <v>0</v>
      </c>
      <c r="AN119" s="71">
        <f t="shared" ca="1" si="29"/>
        <v>0</v>
      </c>
      <c r="AO119" s="71">
        <f ca="1">IF(C119=1,(H119+J119+N119+P119)*Reeksen!AN119,0)</f>
        <v>0</v>
      </c>
      <c r="AP119" s="71">
        <f ca="1">-IF(C119=1,(H119+J119+N119+P119)*'Hulp - basis'!$G$550*Reeksen!H119,0)</f>
        <v>0</v>
      </c>
      <c r="AQ119" s="71">
        <f ca="1">-IF(C119=1,(F119+K119+L119+Q119)/2*'Invoer gegevens'!$F$35*Reeksen!J119,0)*2</f>
        <v>0</v>
      </c>
      <c r="AR119" s="71">
        <f ca="1">IF(BD119&lt;1,-IF(C119=1,(G119*'Invoer gegevens'!$F$36)*Reeksen!J119,0),0)</f>
        <v>0</v>
      </c>
      <c r="AS119" s="71">
        <f ca="1">-IF(C119=1,(F119+K119+L119+Q119)/2*'Invoer gegevens'!$F$37*Reeksen!L119,0)</f>
        <v>0</v>
      </c>
      <c r="AT119" s="71">
        <f ca="1">-IF(C119=1,IF(E119='Invoer gegevens'!$C$17,'Invoer gegevens'!$C$11,AD119)*Reeksen!S119*'Invoer gegevens'!$C$18*Reeksen!P119,0)</f>
        <v>0</v>
      </c>
      <c r="AU119" s="71">
        <f ca="1">-IF(C119=1,(F119+K119+L119+Q119)/2*'Invoer gegevens'!$F$38*Reeksen!H119,0)</f>
        <v>0</v>
      </c>
      <c r="AV119" s="71">
        <f t="shared" si="33"/>
        <v>0</v>
      </c>
      <c r="AW119" s="71">
        <f t="shared" ca="1" si="30"/>
        <v>0</v>
      </c>
      <c r="AX119" s="71">
        <f ca="1">IF(E119&lt;'Invoer gegevens'!$C$17+15,0,IF(E119&gt;'Invoer gegevens'!$C$17+215,0,AW119))</f>
        <v>0</v>
      </c>
      <c r="AY119" s="71">
        <f ca="1">AX119/(1+'Invoer gegevens'!$F$18)^($AZ119-('Invoer gegevens'!$C$17-'Invoer gegevens'!$C$16))/(1+'Invoer gegevens'!$C$39)^('Invoer gegevens'!$C$17-'Invoer gegevens'!$C$16)</f>
        <v>0</v>
      </c>
      <c r="AZ119" s="68">
        <f ca="1">IF(E119-'Invoer gegevens'!$C$17-14.5&lt;0,0,E119-'Invoer gegevens'!$C$17-14.5)</f>
        <v>99.5</v>
      </c>
      <c r="BA119" s="109">
        <f ca="1">IFERROR(VLOOKUP(E119-15,Reeksen!$A$5:$D$234,2,FALSE),0)</f>
        <v>0</v>
      </c>
      <c r="BB119" s="109">
        <f ca="1">IFERROR(VLOOKUP(E119-15,Reeksen!$A$5:$D$234,3,FALSE),0)</f>
        <v>0</v>
      </c>
      <c r="BC119" s="109">
        <f ca="1">IFERROR(VLOOKUP(E119-15,Reeksen!$A$5:$D$234,4,FALSE),0)</f>
        <v>0</v>
      </c>
      <c r="BD119" s="67">
        <f ca="1">IF(E119-'Invoer gegevens'!$C$17&lt;15,0,1)</f>
        <v>1</v>
      </c>
    </row>
    <row r="120" spans="1:56" x14ac:dyDescent="0.25">
      <c r="A120" s="59"/>
      <c r="B120" s="70">
        <f t="shared" si="31"/>
        <v>116</v>
      </c>
      <c r="C120" s="67">
        <f ca="1">IF(E120-'Invoer gegevens'!$C$17&lt;0,0,1)</f>
        <v>1</v>
      </c>
      <c r="D120" s="68">
        <f t="shared" si="32"/>
        <v>115.5</v>
      </c>
      <c r="E120" s="108">
        <f ca="1">IF('Invoer gegevens'!$C$16="","",E119+1)</f>
        <v>2134</v>
      </c>
      <c r="F120" s="84">
        <f ca="1">IF('Invoer gegevens'!$C$17=E120,'Invoer gegevens'!$C$10,IF(C120=1,K119,0))</f>
        <v>0</v>
      </c>
      <c r="G120" s="96">
        <f ca="1">IF(BD120&lt;1,F120*Reeksen!C120,IF(C120&gt;=1,F120*BA120,0))</f>
        <v>0</v>
      </c>
      <c r="H120" s="84">
        <f ca="1">(1-('Invoer gegevens'!$F$20/12))*F120*MIN(BA120,BC120)</f>
        <v>0</v>
      </c>
      <c r="I120" s="84">
        <f t="shared" ca="1" si="17"/>
        <v>0</v>
      </c>
      <c r="J120" s="84">
        <f ca="1">('Invoer gegevens'!$F$20/12)*F119*MIN(BA120,BC120)</f>
        <v>0</v>
      </c>
      <c r="K120" s="97">
        <f t="shared" ca="1" si="22"/>
        <v>0</v>
      </c>
      <c r="L120" s="84">
        <f ca="1">IF('Invoer gegevens'!$C$17=E120,0,IF(C120=1,Q119,0))</f>
        <v>0</v>
      </c>
      <c r="M120" s="96">
        <f t="shared" ca="1" si="18"/>
        <v>0</v>
      </c>
      <c r="N120" s="84">
        <f ca="1">(1-('Invoer gegevens'!$F$20/12))*L120*MIN(BA120,BC120)</f>
        <v>0</v>
      </c>
      <c r="O120" s="84">
        <f t="shared" ca="1" si="19"/>
        <v>0</v>
      </c>
      <c r="P120" s="84">
        <f ca="1">('Invoer gegevens'!$F$20/12)*L119*MIN(BA120,BC120)</f>
        <v>0</v>
      </c>
      <c r="Q120" s="84">
        <f t="shared" ca="1" si="23"/>
        <v>0</v>
      </c>
      <c r="R120" s="85">
        <f ca="1">IF('Invoer gegevens'!$C$17=E120,'Invoer gegevens'!$C$11,IF(C120=1,W119,0))</f>
        <v>0</v>
      </c>
      <c r="S120" s="86">
        <f t="shared" ca="1" si="20"/>
        <v>0</v>
      </c>
      <c r="T120" s="86">
        <f ca="1">(1-('Invoer gegevens'!$F$20/12))*R120*MIN(BC120,BA120)</f>
        <v>0</v>
      </c>
      <c r="U120" s="86">
        <f ca="1">IF(BD120&lt;1,IF(Reeksen!AD120&lt;=Reeksen!AE120,R120*Reeksen!C120,0),IF(BC120&gt;=BA120,0,IF(Reeksen!AD120&lt;=Reeksen!AE120,(BA120-BC120)*R120,0)))</f>
        <v>0</v>
      </c>
      <c r="V120" s="86">
        <f ca="1">IF(BD120&lt;1,IF(Reeksen!AD120&gt;Reeksen!AE120,R120*Reeksen!C120,0),IF(BC120&gt;=BA120,0,IF(Reeksen!AD120&gt;Reeksen!AE120,(BA120-BC120)*R120,0)))</f>
        <v>0</v>
      </c>
      <c r="W120" s="218">
        <f t="shared" ca="1" si="24"/>
        <v>0</v>
      </c>
      <c r="X120" s="98">
        <f ca="1">IF('Invoer gegevens'!$C$17=E120,'Invoer gegevens'!$C$10-'Invoer gegevens'!$C$11,IF(C120=1,AC119,0))</f>
        <v>0</v>
      </c>
      <c r="Y120" s="98">
        <f t="shared" ca="1" si="21"/>
        <v>0</v>
      </c>
      <c r="Z120" s="98">
        <f ca="1">(1-('Invoer gegevens'!$F$20/12))*X120*MIN(BA120,BC120)</f>
        <v>0</v>
      </c>
      <c r="AA120" s="98">
        <f ca="1">IF(BD120&lt;1,IF(Reeksen!AD120&lt;=Reeksen!AE120,X120*Reeksen!C120,0),IF(BC120&gt;=BA120,0,IF(Reeksen!AD120&lt;=Reeksen!AE120,(BA120-BC120)*X120,0)))</f>
        <v>0</v>
      </c>
      <c r="AB120" s="98">
        <f ca="1">IF(BD120&lt;1,IF(Reeksen!AD120&gt;Reeksen!AE120,X120*Reeksen!C120,0),IF(BC120&gt;=BA120,0,IF(Reeksen!AD120&gt;Reeksen!AE120,(BA120-BC120)*X120,0)))</f>
        <v>0</v>
      </c>
      <c r="AC120" s="99">
        <f t="shared" ca="1" si="25"/>
        <v>0</v>
      </c>
      <c r="AD120" s="98">
        <f ca="1">IF('Invoer gegevens'!$C$17=E120,R120,IF(C120=0,0,AE119))</f>
        <v>0</v>
      </c>
      <c r="AE120" s="98">
        <f t="shared" ca="1" si="26"/>
        <v>0</v>
      </c>
      <c r="AF120" s="98">
        <f ca="1">IF('Invoer gegevens'!$C$17=E120,X120,IF(C120=0,0,AG119))</f>
        <v>0</v>
      </c>
      <c r="AG120" s="98">
        <f t="shared" ca="1" si="27"/>
        <v>0</v>
      </c>
      <c r="AH120" s="66"/>
      <c r="AI120" s="71">
        <f ca="1">IF(C120=1,Reeksen!AI120*((F120+K120)/2)*12+Reeksen!AD120*((L120+Q120)/2)*12,0)</f>
        <v>0</v>
      </c>
      <c r="AJ120" s="71">
        <f ca="1">-AI120*'Invoer gegevens'!$F$28</f>
        <v>0</v>
      </c>
      <c r="AK120" s="71">
        <f t="shared" ca="1" si="28"/>
        <v>0</v>
      </c>
      <c r="AL120" s="71">
        <f ca="1">IF(C120=1,Reeksen!AL120*((F120-G120+F120)/2)*12+Reeksen!AM120*((L120-M120+L120)/2)*12,0)</f>
        <v>0</v>
      </c>
      <c r="AM120" s="71">
        <f ca="1">-AL120*'Invoer gegevens'!$F$31</f>
        <v>0</v>
      </c>
      <c r="AN120" s="71">
        <f t="shared" ca="1" si="29"/>
        <v>0</v>
      </c>
      <c r="AO120" s="71">
        <f ca="1">IF(C120=1,(H120+J120+N120+P120)*Reeksen!AN120,0)</f>
        <v>0</v>
      </c>
      <c r="AP120" s="71">
        <f ca="1">-IF(C120=1,(H120+J120+N120+P120)*'Hulp - basis'!$G$550*Reeksen!H120,0)</f>
        <v>0</v>
      </c>
      <c r="AQ120" s="71">
        <f ca="1">-IF(C120=1,(F120+K120+L120+Q120)/2*'Invoer gegevens'!$F$35*Reeksen!J120,0)*2</f>
        <v>0</v>
      </c>
      <c r="AR120" s="71">
        <f ca="1">IF(BD120&lt;1,-IF(C120=1,(G120*'Invoer gegevens'!$F$36)*Reeksen!J120,0),0)</f>
        <v>0</v>
      </c>
      <c r="AS120" s="71">
        <f ca="1">-IF(C120=1,(F120+K120+L120+Q120)/2*'Invoer gegevens'!$F$37*Reeksen!L120,0)</f>
        <v>0</v>
      </c>
      <c r="AT120" s="71">
        <f ca="1">-IF(C120=1,IF(E120='Invoer gegevens'!$C$17,'Invoer gegevens'!$C$11,AD120)*Reeksen!S120*'Invoer gegevens'!$C$18*Reeksen!P120,0)</f>
        <v>0</v>
      </c>
      <c r="AU120" s="71">
        <f ca="1">-IF(C120=1,(F120+K120+L120+Q120)/2*'Invoer gegevens'!$F$38*Reeksen!H120,0)</f>
        <v>0</v>
      </c>
      <c r="AV120" s="71">
        <f t="shared" si="33"/>
        <v>0</v>
      </c>
      <c r="AW120" s="71">
        <f t="shared" ca="1" si="30"/>
        <v>0</v>
      </c>
      <c r="AX120" s="71">
        <f ca="1">IF(E120&lt;'Invoer gegevens'!$C$17+15,0,IF(E120&gt;'Invoer gegevens'!$C$17+215,0,AW120))</f>
        <v>0</v>
      </c>
      <c r="AY120" s="71">
        <f ca="1">AX120/(1+'Invoer gegevens'!$F$18)^($AZ120-('Invoer gegevens'!$C$17-'Invoer gegevens'!$C$16))/(1+'Invoer gegevens'!$C$39)^('Invoer gegevens'!$C$17-'Invoer gegevens'!$C$16)</f>
        <v>0</v>
      </c>
      <c r="AZ120" s="68">
        <f ca="1">IF(E120-'Invoer gegevens'!$C$17-14.5&lt;0,0,E120-'Invoer gegevens'!$C$17-14.5)</f>
        <v>100.5</v>
      </c>
      <c r="BA120" s="109">
        <f ca="1">IFERROR(VLOOKUP(E120-15,Reeksen!$A$5:$D$234,2,FALSE),0)</f>
        <v>0</v>
      </c>
      <c r="BB120" s="109">
        <f ca="1">IFERROR(VLOOKUP(E120-15,Reeksen!$A$5:$D$234,3,FALSE),0)</f>
        <v>0</v>
      </c>
      <c r="BC120" s="109">
        <f ca="1">IFERROR(VLOOKUP(E120-15,Reeksen!$A$5:$D$234,4,FALSE),0)</f>
        <v>0</v>
      </c>
      <c r="BD120" s="67">
        <f ca="1">IF(E120-'Invoer gegevens'!$C$17&lt;15,0,1)</f>
        <v>1</v>
      </c>
    </row>
    <row r="121" spans="1:56" x14ac:dyDescent="0.25">
      <c r="A121" s="59"/>
      <c r="B121" s="70">
        <f t="shared" si="31"/>
        <v>117</v>
      </c>
      <c r="C121" s="67">
        <f ca="1">IF(E121-'Invoer gegevens'!$C$17&lt;0,0,1)</f>
        <v>1</v>
      </c>
      <c r="D121" s="68">
        <f t="shared" si="32"/>
        <v>116.5</v>
      </c>
      <c r="E121" s="108">
        <f ca="1">IF('Invoer gegevens'!$C$16="","",E120+1)</f>
        <v>2135</v>
      </c>
      <c r="F121" s="84">
        <f ca="1">IF('Invoer gegevens'!$C$17=E121,'Invoer gegevens'!$C$10,IF(C121=1,K120,0))</f>
        <v>0</v>
      </c>
      <c r="G121" s="96">
        <f ca="1">IF(BD121&lt;1,F121*Reeksen!C121,IF(C121&gt;=1,F121*BA121,0))</f>
        <v>0</v>
      </c>
      <c r="H121" s="84">
        <f ca="1">(1-('Invoer gegevens'!$F$20/12))*F121*MIN(BA121,BC121)</f>
        <v>0</v>
      </c>
      <c r="I121" s="84">
        <f t="shared" ca="1" si="17"/>
        <v>0</v>
      </c>
      <c r="J121" s="84">
        <f ca="1">('Invoer gegevens'!$F$20/12)*F120*MIN(BA121,BC121)</f>
        <v>0</v>
      </c>
      <c r="K121" s="97">
        <f t="shared" ca="1" si="22"/>
        <v>0</v>
      </c>
      <c r="L121" s="84">
        <f ca="1">IF('Invoer gegevens'!$C$17=E121,0,IF(C121=1,Q120,0))</f>
        <v>0</v>
      </c>
      <c r="M121" s="96">
        <f t="shared" ca="1" si="18"/>
        <v>0</v>
      </c>
      <c r="N121" s="84">
        <f ca="1">(1-('Invoer gegevens'!$F$20/12))*L121*MIN(BA121,BC121)</f>
        <v>0</v>
      </c>
      <c r="O121" s="84">
        <f t="shared" ca="1" si="19"/>
        <v>0</v>
      </c>
      <c r="P121" s="84">
        <f ca="1">('Invoer gegevens'!$F$20/12)*L120*MIN(BA121,BC121)</f>
        <v>0</v>
      </c>
      <c r="Q121" s="84">
        <f t="shared" ca="1" si="23"/>
        <v>0</v>
      </c>
      <c r="R121" s="85">
        <f ca="1">IF('Invoer gegevens'!$C$17=E121,'Invoer gegevens'!$C$11,IF(C121=1,W120,0))</f>
        <v>0</v>
      </c>
      <c r="S121" s="86">
        <f t="shared" ca="1" si="20"/>
        <v>0</v>
      </c>
      <c r="T121" s="86">
        <f ca="1">(1-('Invoer gegevens'!$F$20/12))*R121*MIN(BC121,BA121)</f>
        <v>0</v>
      </c>
      <c r="U121" s="86">
        <f ca="1">IF(BD121&lt;1,IF(Reeksen!AD121&lt;=Reeksen!AE121,R121*Reeksen!C121,0),IF(BC121&gt;=BA121,0,IF(Reeksen!AD121&lt;=Reeksen!AE121,(BA121-BC121)*R121,0)))</f>
        <v>0</v>
      </c>
      <c r="V121" s="86">
        <f ca="1">IF(BD121&lt;1,IF(Reeksen!AD121&gt;Reeksen!AE121,R121*Reeksen!C121,0),IF(BC121&gt;=BA121,0,IF(Reeksen!AD121&gt;Reeksen!AE121,(BA121-BC121)*R121,0)))</f>
        <v>0</v>
      </c>
      <c r="W121" s="218">
        <f t="shared" ca="1" si="24"/>
        <v>0</v>
      </c>
      <c r="X121" s="98">
        <f ca="1">IF('Invoer gegevens'!$C$17=E121,'Invoer gegevens'!$C$10-'Invoer gegevens'!$C$11,IF(C121=1,AC120,0))</f>
        <v>0</v>
      </c>
      <c r="Y121" s="98">
        <f t="shared" ca="1" si="21"/>
        <v>0</v>
      </c>
      <c r="Z121" s="98">
        <f ca="1">(1-('Invoer gegevens'!$F$20/12))*X121*MIN(BA121,BC121)</f>
        <v>0</v>
      </c>
      <c r="AA121" s="98">
        <f ca="1">IF(BD121&lt;1,IF(Reeksen!AD121&lt;=Reeksen!AE121,X121*Reeksen!C121,0),IF(BC121&gt;=BA121,0,IF(Reeksen!AD121&lt;=Reeksen!AE121,(BA121-BC121)*X121,0)))</f>
        <v>0</v>
      </c>
      <c r="AB121" s="98">
        <f ca="1">IF(BD121&lt;1,IF(Reeksen!AD121&gt;Reeksen!AE121,X121*Reeksen!C121,0),IF(BC121&gt;=BA121,0,IF(Reeksen!AD121&gt;Reeksen!AE121,(BA121-BC121)*X121,0)))</f>
        <v>0</v>
      </c>
      <c r="AC121" s="99">
        <f t="shared" ca="1" si="25"/>
        <v>0</v>
      </c>
      <c r="AD121" s="98">
        <f ca="1">IF('Invoer gegevens'!$C$17=E121,R121,IF(C121=0,0,AE120))</f>
        <v>0</v>
      </c>
      <c r="AE121" s="98">
        <f t="shared" ca="1" si="26"/>
        <v>0</v>
      </c>
      <c r="AF121" s="98">
        <f ca="1">IF('Invoer gegevens'!$C$17=E121,X121,IF(C121=0,0,AG120))</f>
        <v>0</v>
      </c>
      <c r="AG121" s="98">
        <f t="shared" ca="1" si="27"/>
        <v>0</v>
      </c>
      <c r="AH121" s="66"/>
      <c r="AI121" s="71">
        <f ca="1">IF(C121=1,Reeksen!AI121*((F121+K121)/2)*12+Reeksen!AD121*((L121+Q121)/2)*12,0)</f>
        <v>0</v>
      </c>
      <c r="AJ121" s="71">
        <f ca="1">-AI121*'Invoer gegevens'!$F$28</f>
        <v>0</v>
      </c>
      <c r="AK121" s="71">
        <f t="shared" ca="1" si="28"/>
        <v>0</v>
      </c>
      <c r="AL121" s="71">
        <f ca="1">IF(C121=1,Reeksen!AL121*((F121-G121+F121)/2)*12+Reeksen!AM121*((L121-M121+L121)/2)*12,0)</f>
        <v>0</v>
      </c>
      <c r="AM121" s="71">
        <f ca="1">-AL121*'Invoer gegevens'!$F$31</f>
        <v>0</v>
      </c>
      <c r="AN121" s="71">
        <f t="shared" ca="1" si="29"/>
        <v>0</v>
      </c>
      <c r="AO121" s="71">
        <f ca="1">IF(C121=1,(H121+J121+N121+P121)*Reeksen!AN121,0)</f>
        <v>0</v>
      </c>
      <c r="AP121" s="71">
        <f ca="1">-IF(C121=1,(H121+J121+N121+P121)*'Hulp - basis'!$G$550*Reeksen!H121,0)</f>
        <v>0</v>
      </c>
      <c r="AQ121" s="71">
        <f ca="1">-IF(C121=1,(F121+K121+L121+Q121)/2*'Invoer gegevens'!$F$35*Reeksen!J121,0)*2</f>
        <v>0</v>
      </c>
      <c r="AR121" s="71">
        <f ca="1">IF(BD121&lt;1,-IF(C121=1,(G121*'Invoer gegevens'!$F$36)*Reeksen!J121,0),0)</f>
        <v>0</v>
      </c>
      <c r="AS121" s="71">
        <f ca="1">-IF(C121=1,(F121+K121+L121+Q121)/2*'Invoer gegevens'!$F$37*Reeksen!L121,0)</f>
        <v>0</v>
      </c>
      <c r="AT121" s="71">
        <f ca="1">-IF(C121=1,IF(E121='Invoer gegevens'!$C$17,'Invoer gegevens'!$C$11,AD121)*Reeksen!S121*'Invoer gegevens'!$C$18*Reeksen!P121,0)</f>
        <v>0</v>
      </c>
      <c r="AU121" s="71">
        <f ca="1">-IF(C121=1,(F121+K121+L121+Q121)/2*'Invoer gegevens'!$F$38*Reeksen!H121,0)</f>
        <v>0</v>
      </c>
      <c r="AV121" s="71">
        <f t="shared" si="33"/>
        <v>0</v>
      </c>
      <c r="AW121" s="71">
        <f t="shared" ca="1" si="30"/>
        <v>0</v>
      </c>
      <c r="AX121" s="71">
        <f ca="1">IF(E121&lt;'Invoer gegevens'!$C$17+15,0,IF(E121&gt;'Invoer gegevens'!$C$17+215,0,AW121))</f>
        <v>0</v>
      </c>
      <c r="AY121" s="71">
        <f ca="1">AX121/(1+'Invoer gegevens'!$F$18)^($AZ121-('Invoer gegevens'!$C$17-'Invoer gegevens'!$C$16))/(1+'Invoer gegevens'!$C$39)^('Invoer gegevens'!$C$17-'Invoer gegevens'!$C$16)</f>
        <v>0</v>
      </c>
      <c r="AZ121" s="68">
        <f ca="1">IF(E121-'Invoer gegevens'!$C$17-14.5&lt;0,0,E121-'Invoer gegevens'!$C$17-14.5)</f>
        <v>101.5</v>
      </c>
      <c r="BA121" s="109">
        <f ca="1">IFERROR(VLOOKUP(E121-15,Reeksen!$A$5:$D$234,2,FALSE),0)</f>
        <v>0</v>
      </c>
      <c r="BB121" s="109">
        <f ca="1">IFERROR(VLOOKUP(E121-15,Reeksen!$A$5:$D$234,3,FALSE),0)</f>
        <v>0</v>
      </c>
      <c r="BC121" s="109">
        <f ca="1">IFERROR(VLOOKUP(E121-15,Reeksen!$A$5:$D$234,4,FALSE),0)</f>
        <v>0</v>
      </c>
      <c r="BD121" s="67">
        <f ca="1">IF(E121-'Invoer gegevens'!$C$17&lt;15,0,1)</f>
        <v>1</v>
      </c>
    </row>
    <row r="122" spans="1:56" x14ac:dyDescent="0.25">
      <c r="A122" s="59"/>
      <c r="B122" s="70">
        <f t="shared" si="31"/>
        <v>118</v>
      </c>
      <c r="C122" s="67">
        <f ca="1">IF(E122-'Invoer gegevens'!$C$17&lt;0,0,1)</f>
        <v>1</v>
      </c>
      <c r="D122" s="68">
        <f t="shared" si="32"/>
        <v>117.5</v>
      </c>
      <c r="E122" s="108">
        <f ca="1">IF('Invoer gegevens'!$C$16="","",E121+1)</f>
        <v>2136</v>
      </c>
      <c r="F122" s="84">
        <f ca="1">IF('Invoer gegevens'!$C$17=E122,'Invoer gegevens'!$C$10,IF(C122=1,K121,0))</f>
        <v>0</v>
      </c>
      <c r="G122" s="96">
        <f ca="1">IF(BD122&lt;1,F122*Reeksen!C122,IF(C122&gt;=1,F122*BA122,0))</f>
        <v>0</v>
      </c>
      <c r="H122" s="84">
        <f ca="1">(1-('Invoer gegevens'!$F$20/12))*F122*MIN(BA122,BC122)</f>
        <v>0</v>
      </c>
      <c r="I122" s="84">
        <f t="shared" ca="1" si="17"/>
        <v>0</v>
      </c>
      <c r="J122" s="84">
        <f ca="1">('Invoer gegevens'!$F$20/12)*F121*MIN(BA122,BC122)</f>
        <v>0</v>
      </c>
      <c r="K122" s="97">
        <f t="shared" ca="1" si="22"/>
        <v>0</v>
      </c>
      <c r="L122" s="84">
        <f ca="1">IF('Invoer gegevens'!$C$17=E122,0,IF(C122=1,Q121,0))</f>
        <v>0</v>
      </c>
      <c r="M122" s="96">
        <f t="shared" ca="1" si="18"/>
        <v>0</v>
      </c>
      <c r="N122" s="84">
        <f ca="1">(1-('Invoer gegevens'!$F$20/12))*L122*MIN(BA122,BC122)</f>
        <v>0</v>
      </c>
      <c r="O122" s="84">
        <f t="shared" ca="1" si="19"/>
        <v>0</v>
      </c>
      <c r="P122" s="84">
        <f ca="1">('Invoer gegevens'!$F$20/12)*L121*MIN(BA122,BC122)</f>
        <v>0</v>
      </c>
      <c r="Q122" s="84">
        <f t="shared" ca="1" si="23"/>
        <v>0</v>
      </c>
      <c r="R122" s="85">
        <f ca="1">IF('Invoer gegevens'!$C$17=E122,'Invoer gegevens'!$C$11,IF(C122=1,W121,0))</f>
        <v>0</v>
      </c>
      <c r="S122" s="86">
        <f t="shared" ca="1" si="20"/>
        <v>0</v>
      </c>
      <c r="T122" s="86">
        <f ca="1">(1-('Invoer gegevens'!$F$20/12))*R122*MIN(BC122,BA122)</f>
        <v>0</v>
      </c>
      <c r="U122" s="86">
        <f ca="1">IF(BD122&lt;1,IF(Reeksen!AD122&lt;=Reeksen!AE122,R122*Reeksen!C122,0),IF(BC122&gt;=BA122,0,IF(Reeksen!AD122&lt;=Reeksen!AE122,(BA122-BC122)*R122,0)))</f>
        <v>0</v>
      </c>
      <c r="V122" s="86">
        <f ca="1">IF(BD122&lt;1,IF(Reeksen!AD122&gt;Reeksen!AE122,R122*Reeksen!C122,0),IF(BC122&gt;=BA122,0,IF(Reeksen!AD122&gt;Reeksen!AE122,(BA122-BC122)*R122,0)))</f>
        <v>0</v>
      </c>
      <c r="W122" s="218">
        <f t="shared" ca="1" si="24"/>
        <v>0</v>
      </c>
      <c r="X122" s="98">
        <f ca="1">IF('Invoer gegevens'!$C$17=E122,'Invoer gegevens'!$C$10-'Invoer gegevens'!$C$11,IF(C122=1,AC121,0))</f>
        <v>0</v>
      </c>
      <c r="Y122" s="98">
        <f t="shared" ca="1" si="21"/>
        <v>0</v>
      </c>
      <c r="Z122" s="98">
        <f ca="1">(1-('Invoer gegevens'!$F$20/12))*X122*MIN(BA122,BC122)</f>
        <v>0</v>
      </c>
      <c r="AA122" s="98">
        <f ca="1">IF(BD122&lt;1,IF(Reeksen!AD122&lt;=Reeksen!AE122,X122*Reeksen!C122,0),IF(BC122&gt;=BA122,0,IF(Reeksen!AD122&lt;=Reeksen!AE122,(BA122-BC122)*X122,0)))</f>
        <v>0</v>
      </c>
      <c r="AB122" s="98">
        <f ca="1">IF(BD122&lt;1,IF(Reeksen!AD122&gt;Reeksen!AE122,X122*Reeksen!C122,0),IF(BC122&gt;=BA122,0,IF(Reeksen!AD122&gt;Reeksen!AE122,(BA122-BC122)*X122,0)))</f>
        <v>0</v>
      </c>
      <c r="AC122" s="99">
        <f t="shared" ca="1" si="25"/>
        <v>0</v>
      </c>
      <c r="AD122" s="98">
        <f ca="1">IF('Invoer gegevens'!$C$17=E122,R122,IF(C122=0,0,AE121))</f>
        <v>0</v>
      </c>
      <c r="AE122" s="98">
        <f t="shared" ca="1" si="26"/>
        <v>0</v>
      </c>
      <c r="AF122" s="98">
        <f ca="1">IF('Invoer gegevens'!$C$17=E122,X122,IF(C122=0,0,AG121))</f>
        <v>0</v>
      </c>
      <c r="AG122" s="98">
        <f t="shared" ca="1" si="27"/>
        <v>0</v>
      </c>
      <c r="AH122" s="66"/>
      <c r="AI122" s="71">
        <f ca="1">IF(C122=1,Reeksen!AI122*((F122+K122)/2)*12+Reeksen!AD122*((L122+Q122)/2)*12,0)</f>
        <v>0</v>
      </c>
      <c r="AJ122" s="71">
        <f ca="1">-AI122*'Invoer gegevens'!$F$28</f>
        <v>0</v>
      </c>
      <c r="AK122" s="71">
        <f t="shared" ca="1" si="28"/>
        <v>0</v>
      </c>
      <c r="AL122" s="71">
        <f ca="1">IF(C122=1,Reeksen!AL122*((F122-G122+F122)/2)*12+Reeksen!AM122*((L122-M122+L122)/2)*12,0)</f>
        <v>0</v>
      </c>
      <c r="AM122" s="71">
        <f ca="1">-AL122*'Invoer gegevens'!$F$31</f>
        <v>0</v>
      </c>
      <c r="AN122" s="71">
        <f t="shared" ca="1" si="29"/>
        <v>0</v>
      </c>
      <c r="AO122" s="71">
        <f ca="1">IF(C122=1,(H122+J122+N122+P122)*Reeksen!AN122,0)</f>
        <v>0</v>
      </c>
      <c r="AP122" s="71">
        <f ca="1">-IF(C122=1,(H122+J122+N122+P122)*'Hulp - basis'!$G$550*Reeksen!H122,0)</f>
        <v>0</v>
      </c>
      <c r="AQ122" s="71">
        <f ca="1">-IF(C122=1,(F122+K122+L122+Q122)/2*'Invoer gegevens'!$F$35*Reeksen!J122,0)*2</f>
        <v>0</v>
      </c>
      <c r="AR122" s="71">
        <f ca="1">IF(BD122&lt;1,-IF(C122=1,(G122*'Invoer gegevens'!$F$36)*Reeksen!J122,0),0)</f>
        <v>0</v>
      </c>
      <c r="AS122" s="71">
        <f ca="1">-IF(C122=1,(F122+K122+L122+Q122)/2*'Invoer gegevens'!$F$37*Reeksen!L122,0)</f>
        <v>0</v>
      </c>
      <c r="AT122" s="71">
        <f ca="1">-IF(C122=1,IF(E122='Invoer gegevens'!$C$17,'Invoer gegevens'!$C$11,AD122)*Reeksen!S122*'Invoer gegevens'!$C$18*Reeksen!P122,0)</f>
        <v>0</v>
      </c>
      <c r="AU122" s="71">
        <f ca="1">-IF(C122=1,(F122+K122+L122+Q122)/2*'Invoer gegevens'!$F$38*Reeksen!H122,0)</f>
        <v>0</v>
      </c>
      <c r="AV122" s="71">
        <f t="shared" si="33"/>
        <v>0</v>
      </c>
      <c r="AW122" s="71">
        <f t="shared" ca="1" si="30"/>
        <v>0</v>
      </c>
      <c r="AX122" s="71">
        <f ca="1">IF(E122&lt;'Invoer gegevens'!$C$17+15,0,IF(E122&gt;'Invoer gegevens'!$C$17+215,0,AW122))</f>
        <v>0</v>
      </c>
      <c r="AY122" s="71">
        <f ca="1">AX122/(1+'Invoer gegevens'!$F$18)^($AZ122-('Invoer gegevens'!$C$17-'Invoer gegevens'!$C$16))/(1+'Invoer gegevens'!$C$39)^('Invoer gegevens'!$C$17-'Invoer gegevens'!$C$16)</f>
        <v>0</v>
      </c>
      <c r="AZ122" s="68">
        <f ca="1">IF(E122-'Invoer gegevens'!$C$17-14.5&lt;0,0,E122-'Invoer gegevens'!$C$17-14.5)</f>
        <v>102.5</v>
      </c>
      <c r="BA122" s="109">
        <f ca="1">IFERROR(VLOOKUP(E122-15,Reeksen!$A$5:$D$234,2,FALSE),0)</f>
        <v>0</v>
      </c>
      <c r="BB122" s="109">
        <f ca="1">IFERROR(VLOOKUP(E122-15,Reeksen!$A$5:$D$234,3,FALSE),0)</f>
        <v>0</v>
      </c>
      <c r="BC122" s="109">
        <f ca="1">IFERROR(VLOOKUP(E122-15,Reeksen!$A$5:$D$234,4,FALSE),0)</f>
        <v>0</v>
      </c>
      <c r="BD122" s="67">
        <f ca="1">IF(E122-'Invoer gegevens'!$C$17&lt;15,0,1)</f>
        <v>1</v>
      </c>
    </row>
    <row r="123" spans="1:56" x14ac:dyDescent="0.25">
      <c r="A123" s="59"/>
      <c r="B123" s="70">
        <f t="shared" si="31"/>
        <v>119</v>
      </c>
      <c r="C123" s="67">
        <f ca="1">IF(E123-'Invoer gegevens'!$C$17&lt;0,0,1)</f>
        <v>1</v>
      </c>
      <c r="D123" s="68">
        <f t="shared" si="32"/>
        <v>118.5</v>
      </c>
      <c r="E123" s="108">
        <f ca="1">IF('Invoer gegevens'!$C$16="","",E122+1)</f>
        <v>2137</v>
      </c>
      <c r="F123" s="84">
        <f ca="1">IF('Invoer gegevens'!$C$17=E123,'Invoer gegevens'!$C$10,IF(C123=1,K122,0))</f>
        <v>0</v>
      </c>
      <c r="G123" s="96">
        <f ca="1">IF(BD123&lt;1,F123*Reeksen!C123,IF(C123&gt;=1,F123*BA123,0))</f>
        <v>0</v>
      </c>
      <c r="H123" s="84">
        <f ca="1">(1-('Invoer gegevens'!$F$20/12))*F123*MIN(BA123,BC123)</f>
        <v>0</v>
      </c>
      <c r="I123" s="84">
        <f t="shared" ca="1" si="17"/>
        <v>0</v>
      </c>
      <c r="J123" s="84">
        <f ca="1">('Invoer gegevens'!$F$20/12)*F122*MIN(BA123,BC123)</f>
        <v>0</v>
      </c>
      <c r="K123" s="97">
        <f t="shared" ca="1" si="22"/>
        <v>0</v>
      </c>
      <c r="L123" s="84">
        <f ca="1">IF('Invoer gegevens'!$C$17=E123,0,IF(C123=1,Q122,0))</f>
        <v>0</v>
      </c>
      <c r="M123" s="96">
        <f t="shared" ca="1" si="18"/>
        <v>0</v>
      </c>
      <c r="N123" s="84">
        <f ca="1">(1-('Invoer gegevens'!$F$20/12))*L123*MIN(BA123,BC123)</f>
        <v>0</v>
      </c>
      <c r="O123" s="84">
        <f t="shared" ca="1" si="19"/>
        <v>0</v>
      </c>
      <c r="P123" s="84">
        <f ca="1">('Invoer gegevens'!$F$20/12)*L122*MIN(BA123,BC123)</f>
        <v>0</v>
      </c>
      <c r="Q123" s="84">
        <f t="shared" ca="1" si="23"/>
        <v>0</v>
      </c>
      <c r="R123" s="85">
        <f ca="1">IF('Invoer gegevens'!$C$17=E123,'Invoer gegevens'!$C$11,IF(C123=1,W122,0))</f>
        <v>0</v>
      </c>
      <c r="S123" s="86">
        <f t="shared" ca="1" si="20"/>
        <v>0</v>
      </c>
      <c r="T123" s="86">
        <f ca="1">(1-('Invoer gegevens'!$F$20/12))*R123*MIN(BC123,BA123)</f>
        <v>0</v>
      </c>
      <c r="U123" s="86">
        <f ca="1">IF(BD123&lt;1,IF(Reeksen!AD123&lt;=Reeksen!AE123,R123*Reeksen!C123,0),IF(BC123&gt;=BA123,0,IF(Reeksen!AD123&lt;=Reeksen!AE123,(BA123-BC123)*R123,0)))</f>
        <v>0</v>
      </c>
      <c r="V123" s="86">
        <f ca="1">IF(BD123&lt;1,IF(Reeksen!AD123&gt;Reeksen!AE123,R123*Reeksen!C123,0),IF(BC123&gt;=BA123,0,IF(Reeksen!AD123&gt;Reeksen!AE123,(BA123-BC123)*R123,0)))</f>
        <v>0</v>
      </c>
      <c r="W123" s="218">
        <f t="shared" ca="1" si="24"/>
        <v>0</v>
      </c>
      <c r="X123" s="98">
        <f ca="1">IF('Invoer gegevens'!$C$17=E123,'Invoer gegevens'!$C$10-'Invoer gegevens'!$C$11,IF(C123=1,AC122,0))</f>
        <v>0</v>
      </c>
      <c r="Y123" s="98">
        <f t="shared" ca="1" si="21"/>
        <v>0</v>
      </c>
      <c r="Z123" s="98">
        <f ca="1">(1-('Invoer gegevens'!$F$20/12))*X123*MIN(BA123,BC123)</f>
        <v>0</v>
      </c>
      <c r="AA123" s="98">
        <f ca="1">IF(BD123&lt;1,IF(Reeksen!AD123&lt;=Reeksen!AE123,X123*Reeksen!C123,0),IF(BC123&gt;=BA123,0,IF(Reeksen!AD123&lt;=Reeksen!AE123,(BA123-BC123)*X123,0)))</f>
        <v>0</v>
      </c>
      <c r="AB123" s="98">
        <f ca="1">IF(BD123&lt;1,IF(Reeksen!AD123&gt;Reeksen!AE123,X123*Reeksen!C123,0),IF(BC123&gt;=BA123,0,IF(Reeksen!AD123&gt;Reeksen!AE123,(BA123-BC123)*X123,0)))</f>
        <v>0</v>
      </c>
      <c r="AC123" s="99">
        <f t="shared" ca="1" si="25"/>
        <v>0</v>
      </c>
      <c r="AD123" s="98">
        <f ca="1">IF('Invoer gegevens'!$C$17=E123,R123,IF(C123=0,0,AE122))</f>
        <v>0</v>
      </c>
      <c r="AE123" s="98">
        <f t="shared" ca="1" si="26"/>
        <v>0</v>
      </c>
      <c r="AF123" s="98">
        <f ca="1">IF('Invoer gegevens'!$C$17=E123,X123,IF(C123=0,0,AG122))</f>
        <v>0</v>
      </c>
      <c r="AG123" s="98">
        <f t="shared" ca="1" si="27"/>
        <v>0</v>
      </c>
      <c r="AH123" s="66"/>
      <c r="AI123" s="71">
        <f ca="1">IF(C123=1,Reeksen!AI123*((F123+K123)/2)*12+Reeksen!AD123*((L123+Q123)/2)*12,0)</f>
        <v>0</v>
      </c>
      <c r="AJ123" s="71">
        <f ca="1">-AI123*'Invoer gegevens'!$F$28</f>
        <v>0</v>
      </c>
      <c r="AK123" s="71">
        <f t="shared" ca="1" si="28"/>
        <v>0</v>
      </c>
      <c r="AL123" s="71">
        <f ca="1">IF(C123=1,Reeksen!AL123*((F123-G123+F123)/2)*12+Reeksen!AM123*((L123-M123+L123)/2)*12,0)</f>
        <v>0</v>
      </c>
      <c r="AM123" s="71">
        <f ca="1">-AL123*'Invoer gegevens'!$F$31</f>
        <v>0</v>
      </c>
      <c r="AN123" s="71">
        <f t="shared" ca="1" si="29"/>
        <v>0</v>
      </c>
      <c r="AO123" s="71">
        <f ca="1">IF(C123=1,(H123+J123+N123+P123)*Reeksen!AN123,0)</f>
        <v>0</v>
      </c>
      <c r="AP123" s="71">
        <f ca="1">-IF(C123=1,(H123+J123+N123+P123)*'Hulp - basis'!$G$550*Reeksen!H123,0)</f>
        <v>0</v>
      </c>
      <c r="AQ123" s="71">
        <f ca="1">-IF(C123=1,(F123+K123+L123+Q123)/2*'Invoer gegevens'!$F$35*Reeksen!J123,0)*2</f>
        <v>0</v>
      </c>
      <c r="AR123" s="71">
        <f ca="1">IF(BD123&lt;1,-IF(C123=1,(G123*'Invoer gegevens'!$F$36)*Reeksen!J123,0),0)</f>
        <v>0</v>
      </c>
      <c r="AS123" s="71">
        <f ca="1">-IF(C123=1,(F123+K123+L123+Q123)/2*'Invoer gegevens'!$F$37*Reeksen!L123,0)</f>
        <v>0</v>
      </c>
      <c r="AT123" s="71">
        <f ca="1">-IF(C123=1,IF(E123='Invoer gegevens'!$C$17,'Invoer gegevens'!$C$11,AD123)*Reeksen!S123*'Invoer gegevens'!$C$18*Reeksen!P123,0)</f>
        <v>0</v>
      </c>
      <c r="AU123" s="71">
        <f ca="1">-IF(C123=1,(F123+K123+L123+Q123)/2*'Invoer gegevens'!$F$38*Reeksen!H123,0)</f>
        <v>0</v>
      </c>
      <c r="AV123" s="71">
        <f t="shared" si="33"/>
        <v>0</v>
      </c>
      <c r="AW123" s="71">
        <f t="shared" ca="1" si="30"/>
        <v>0</v>
      </c>
      <c r="AX123" s="71">
        <f ca="1">IF(E123&lt;'Invoer gegevens'!$C$17+15,0,IF(E123&gt;'Invoer gegevens'!$C$17+215,0,AW123))</f>
        <v>0</v>
      </c>
      <c r="AY123" s="71">
        <f ca="1">AX123/(1+'Invoer gegevens'!$F$18)^($AZ123-('Invoer gegevens'!$C$17-'Invoer gegevens'!$C$16))/(1+'Invoer gegevens'!$C$39)^('Invoer gegevens'!$C$17-'Invoer gegevens'!$C$16)</f>
        <v>0</v>
      </c>
      <c r="AZ123" s="68">
        <f ca="1">IF(E123-'Invoer gegevens'!$C$17-14.5&lt;0,0,E123-'Invoer gegevens'!$C$17-14.5)</f>
        <v>103.5</v>
      </c>
      <c r="BA123" s="109">
        <f ca="1">IFERROR(VLOOKUP(E123-15,Reeksen!$A$5:$D$234,2,FALSE),0)</f>
        <v>0</v>
      </c>
      <c r="BB123" s="109">
        <f ca="1">IFERROR(VLOOKUP(E123-15,Reeksen!$A$5:$D$234,3,FALSE),0)</f>
        <v>0</v>
      </c>
      <c r="BC123" s="109">
        <f ca="1">IFERROR(VLOOKUP(E123-15,Reeksen!$A$5:$D$234,4,FALSE),0)</f>
        <v>0</v>
      </c>
      <c r="BD123" s="67">
        <f ca="1">IF(E123-'Invoer gegevens'!$C$17&lt;15,0,1)</f>
        <v>1</v>
      </c>
    </row>
    <row r="124" spans="1:56" x14ac:dyDescent="0.25">
      <c r="A124" s="59"/>
      <c r="B124" s="70">
        <f t="shared" si="31"/>
        <v>120</v>
      </c>
      <c r="C124" s="67">
        <f ca="1">IF(E124-'Invoer gegevens'!$C$17&lt;0,0,1)</f>
        <v>1</v>
      </c>
      <c r="D124" s="68">
        <f t="shared" si="32"/>
        <v>119.5</v>
      </c>
      <c r="E124" s="108">
        <f ca="1">IF('Invoer gegevens'!$C$16="","",E123+1)</f>
        <v>2138</v>
      </c>
      <c r="F124" s="84">
        <f ca="1">IF('Invoer gegevens'!$C$17=E124,'Invoer gegevens'!$C$10,IF(C124=1,K123,0))</f>
        <v>0</v>
      </c>
      <c r="G124" s="96">
        <f ca="1">IF(BD124&lt;1,F124*Reeksen!C124,IF(C124&gt;=1,F124*BA124,0))</f>
        <v>0</v>
      </c>
      <c r="H124" s="84">
        <f ca="1">(1-('Invoer gegevens'!$F$20/12))*F124*MIN(BA124,BC124)</f>
        <v>0</v>
      </c>
      <c r="I124" s="84">
        <f t="shared" ca="1" si="17"/>
        <v>0</v>
      </c>
      <c r="J124" s="84">
        <f ca="1">('Invoer gegevens'!$F$20/12)*F123*MIN(BA124,BC124)</f>
        <v>0</v>
      </c>
      <c r="K124" s="97">
        <f t="shared" ca="1" si="22"/>
        <v>0</v>
      </c>
      <c r="L124" s="84">
        <f ca="1">IF('Invoer gegevens'!$C$17=E124,0,IF(C124=1,Q123,0))</f>
        <v>0</v>
      </c>
      <c r="M124" s="96">
        <f t="shared" ca="1" si="18"/>
        <v>0</v>
      </c>
      <c r="N124" s="84">
        <f ca="1">(1-('Invoer gegevens'!$F$20/12))*L124*MIN(BA124,BC124)</f>
        <v>0</v>
      </c>
      <c r="O124" s="84">
        <f t="shared" ca="1" si="19"/>
        <v>0</v>
      </c>
      <c r="P124" s="84">
        <f ca="1">('Invoer gegevens'!$F$20/12)*L123*MIN(BA124,BC124)</f>
        <v>0</v>
      </c>
      <c r="Q124" s="84">
        <f t="shared" ca="1" si="23"/>
        <v>0</v>
      </c>
      <c r="R124" s="85">
        <f ca="1">IF('Invoer gegevens'!$C$17=E124,'Invoer gegevens'!$C$11,IF(C124=1,W123,0))</f>
        <v>0</v>
      </c>
      <c r="S124" s="86">
        <f t="shared" ca="1" si="20"/>
        <v>0</v>
      </c>
      <c r="T124" s="86">
        <f ca="1">(1-('Invoer gegevens'!$F$20/12))*R124*MIN(BC124,BA124)</f>
        <v>0</v>
      </c>
      <c r="U124" s="86">
        <f ca="1">IF(BD124&lt;1,IF(Reeksen!AD124&lt;=Reeksen!AE124,R124*Reeksen!C124,0),IF(BC124&gt;=BA124,0,IF(Reeksen!AD124&lt;=Reeksen!AE124,(BA124-BC124)*R124,0)))</f>
        <v>0</v>
      </c>
      <c r="V124" s="86">
        <f ca="1">IF(BD124&lt;1,IF(Reeksen!AD124&gt;Reeksen!AE124,R124*Reeksen!C124,0),IF(BC124&gt;=BA124,0,IF(Reeksen!AD124&gt;Reeksen!AE124,(BA124-BC124)*R124,0)))</f>
        <v>0</v>
      </c>
      <c r="W124" s="218">
        <f t="shared" ca="1" si="24"/>
        <v>0</v>
      </c>
      <c r="X124" s="98">
        <f ca="1">IF('Invoer gegevens'!$C$17=E124,'Invoer gegevens'!$C$10-'Invoer gegevens'!$C$11,IF(C124=1,AC123,0))</f>
        <v>0</v>
      </c>
      <c r="Y124" s="98">
        <f t="shared" ca="1" si="21"/>
        <v>0</v>
      </c>
      <c r="Z124" s="98">
        <f ca="1">(1-('Invoer gegevens'!$F$20/12))*X124*MIN(BA124,BC124)</f>
        <v>0</v>
      </c>
      <c r="AA124" s="98">
        <f ca="1">IF(BD124&lt;1,IF(Reeksen!AD124&lt;=Reeksen!AE124,X124*Reeksen!C124,0),IF(BC124&gt;=BA124,0,IF(Reeksen!AD124&lt;=Reeksen!AE124,(BA124-BC124)*X124,0)))</f>
        <v>0</v>
      </c>
      <c r="AB124" s="98">
        <f ca="1">IF(BD124&lt;1,IF(Reeksen!AD124&gt;Reeksen!AE124,X124*Reeksen!C124,0),IF(BC124&gt;=BA124,0,IF(Reeksen!AD124&gt;Reeksen!AE124,(BA124-BC124)*X124,0)))</f>
        <v>0</v>
      </c>
      <c r="AC124" s="99">
        <f t="shared" ca="1" si="25"/>
        <v>0</v>
      </c>
      <c r="AD124" s="98">
        <f ca="1">IF('Invoer gegevens'!$C$17=E124,R124,IF(C124=0,0,AE123))</f>
        <v>0</v>
      </c>
      <c r="AE124" s="98">
        <f t="shared" ca="1" si="26"/>
        <v>0</v>
      </c>
      <c r="AF124" s="98">
        <f ca="1">IF('Invoer gegevens'!$C$17=E124,X124,IF(C124=0,0,AG123))</f>
        <v>0</v>
      </c>
      <c r="AG124" s="98">
        <f t="shared" ca="1" si="27"/>
        <v>0</v>
      </c>
      <c r="AH124" s="66"/>
      <c r="AI124" s="71">
        <f ca="1">IF(C124=1,Reeksen!AI124*((F124+K124)/2)*12+Reeksen!AD124*((L124+Q124)/2)*12,0)</f>
        <v>0</v>
      </c>
      <c r="AJ124" s="71">
        <f ca="1">-AI124*'Invoer gegevens'!$F$28</f>
        <v>0</v>
      </c>
      <c r="AK124" s="71">
        <f t="shared" ca="1" si="28"/>
        <v>0</v>
      </c>
      <c r="AL124" s="71">
        <f ca="1">IF(C124=1,Reeksen!AL124*((F124-G124+F124)/2)*12+Reeksen!AM124*((L124-M124+L124)/2)*12,0)</f>
        <v>0</v>
      </c>
      <c r="AM124" s="71">
        <f ca="1">-AL124*'Invoer gegevens'!$F$31</f>
        <v>0</v>
      </c>
      <c r="AN124" s="71">
        <f t="shared" ca="1" si="29"/>
        <v>0</v>
      </c>
      <c r="AO124" s="71">
        <f ca="1">IF(C124=1,(H124+J124+N124+P124)*Reeksen!AN124,0)</f>
        <v>0</v>
      </c>
      <c r="AP124" s="71">
        <f ca="1">-IF(C124=1,(H124+J124+N124+P124)*'Hulp - basis'!$G$550*Reeksen!H124,0)</f>
        <v>0</v>
      </c>
      <c r="AQ124" s="71">
        <f ca="1">-IF(C124=1,(F124+K124+L124+Q124)/2*'Invoer gegevens'!$F$35*Reeksen!J124,0)*2</f>
        <v>0</v>
      </c>
      <c r="AR124" s="71">
        <f ca="1">IF(BD124&lt;1,-IF(C124=1,(G124*'Invoer gegevens'!$F$36)*Reeksen!J124,0),0)</f>
        <v>0</v>
      </c>
      <c r="AS124" s="71">
        <f ca="1">-IF(C124=1,(F124+K124+L124+Q124)/2*'Invoer gegevens'!$F$37*Reeksen!L124,0)</f>
        <v>0</v>
      </c>
      <c r="AT124" s="71">
        <f ca="1">-IF(C124=1,IF(E124='Invoer gegevens'!$C$17,'Invoer gegevens'!$C$11,AD124)*Reeksen!S124*'Invoer gegevens'!$C$18*Reeksen!P124,0)</f>
        <v>0</v>
      </c>
      <c r="AU124" s="71">
        <f ca="1">-IF(C124=1,(F124+K124+L124+Q124)/2*'Invoer gegevens'!$F$38*Reeksen!H124,0)</f>
        <v>0</v>
      </c>
      <c r="AV124" s="71">
        <f t="shared" si="33"/>
        <v>0</v>
      </c>
      <c r="AW124" s="71">
        <f t="shared" ca="1" si="30"/>
        <v>0</v>
      </c>
      <c r="AX124" s="71">
        <f ca="1">IF(E124&lt;'Invoer gegevens'!$C$17+15,0,IF(E124&gt;'Invoer gegevens'!$C$17+215,0,AW124))</f>
        <v>0</v>
      </c>
      <c r="AY124" s="71">
        <f ca="1">AX124/(1+'Invoer gegevens'!$F$18)^($AZ124-('Invoer gegevens'!$C$17-'Invoer gegevens'!$C$16))/(1+'Invoer gegevens'!$C$39)^('Invoer gegevens'!$C$17-'Invoer gegevens'!$C$16)</f>
        <v>0</v>
      </c>
      <c r="AZ124" s="68">
        <f ca="1">IF(E124-'Invoer gegevens'!$C$17-14.5&lt;0,0,E124-'Invoer gegevens'!$C$17-14.5)</f>
        <v>104.5</v>
      </c>
      <c r="BA124" s="109">
        <f ca="1">IFERROR(VLOOKUP(E124-15,Reeksen!$A$5:$D$234,2,FALSE),0)</f>
        <v>0</v>
      </c>
      <c r="BB124" s="109">
        <f ca="1">IFERROR(VLOOKUP(E124-15,Reeksen!$A$5:$D$234,3,FALSE),0)</f>
        <v>0</v>
      </c>
      <c r="BC124" s="109">
        <f ca="1">IFERROR(VLOOKUP(E124-15,Reeksen!$A$5:$D$234,4,FALSE),0)</f>
        <v>0</v>
      </c>
      <c r="BD124" s="67">
        <f ca="1">IF(E124-'Invoer gegevens'!$C$17&lt;15,0,1)</f>
        <v>1</v>
      </c>
    </row>
    <row r="125" spans="1:56" x14ac:dyDescent="0.25">
      <c r="A125" s="59"/>
      <c r="B125" s="70">
        <f t="shared" si="31"/>
        <v>121</v>
      </c>
      <c r="C125" s="67">
        <f ca="1">IF(E125-'Invoer gegevens'!$C$17&lt;0,0,1)</f>
        <v>1</v>
      </c>
      <c r="D125" s="68">
        <f t="shared" si="32"/>
        <v>120.5</v>
      </c>
      <c r="E125" s="108">
        <f ca="1">IF('Invoer gegevens'!$C$16="","",E124+1)</f>
        <v>2139</v>
      </c>
      <c r="F125" s="84">
        <f ca="1">IF('Invoer gegevens'!$C$17=E125,'Invoer gegevens'!$C$10,IF(C125=1,K124,0))</f>
        <v>0</v>
      </c>
      <c r="G125" s="96">
        <f ca="1">IF(BD125&lt;1,F125*Reeksen!C125,IF(C125&gt;=1,F125*BA125,0))</f>
        <v>0</v>
      </c>
      <c r="H125" s="84">
        <f ca="1">(1-('Invoer gegevens'!$F$20/12))*F125*MIN(BA125,BC125)</f>
        <v>0</v>
      </c>
      <c r="I125" s="84">
        <f t="shared" ca="1" si="17"/>
        <v>0</v>
      </c>
      <c r="J125" s="84">
        <f ca="1">('Invoer gegevens'!$F$20/12)*F124*MIN(BA125,BC125)</f>
        <v>0</v>
      </c>
      <c r="K125" s="97">
        <f t="shared" ca="1" si="22"/>
        <v>0</v>
      </c>
      <c r="L125" s="84">
        <f ca="1">IF('Invoer gegevens'!$C$17=E125,0,IF(C125=1,Q124,0))</f>
        <v>0</v>
      </c>
      <c r="M125" s="96">
        <f t="shared" ca="1" si="18"/>
        <v>0</v>
      </c>
      <c r="N125" s="84">
        <f ca="1">(1-('Invoer gegevens'!$F$20/12))*L125*MIN(BA125,BC125)</f>
        <v>0</v>
      </c>
      <c r="O125" s="84">
        <f t="shared" ca="1" si="19"/>
        <v>0</v>
      </c>
      <c r="P125" s="84">
        <f ca="1">('Invoer gegevens'!$F$20/12)*L124*MIN(BA125,BC125)</f>
        <v>0</v>
      </c>
      <c r="Q125" s="84">
        <f t="shared" ca="1" si="23"/>
        <v>0</v>
      </c>
      <c r="R125" s="85">
        <f ca="1">IF('Invoer gegevens'!$C$17=E125,'Invoer gegevens'!$C$11,IF(C125=1,W124,0))</f>
        <v>0</v>
      </c>
      <c r="S125" s="86">
        <f t="shared" ca="1" si="20"/>
        <v>0</v>
      </c>
      <c r="T125" s="86">
        <f ca="1">(1-('Invoer gegevens'!$F$20/12))*R125*MIN(BC125,BA125)</f>
        <v>0</v>
      </c>
      <c r="U125" s="86">
        <f ca="1">IF(BD125&lt;1,IF(Reeksen!AD125&lt;=Reeksen!AE125,R125*Reeksen!C125,0),IF(BC125&gt;=BA125,0,IF(Reeksen!AD125&lt;=Reeksen!AE125,(BA125-BC125)*R125,0)))</f>
        <v>0</v>
      </c>
      <c r="V125" s="86">
        <f ca="1">IF(BD125&lt;1,IF(Reeksen!AD125&gt;Reeksen!AE125,R125*Reeksen!C125,0),IF(BC125&gt;=BA125,0,IF(Reeksen!AD125&gt;Reeksen!AE125,(BA125-BC125)*R125,0)))</f>
        <v>0</v>
      </c>
      <c r="W125" s="218">
        <f t="shared" ca="1" si="24"/>
        <v>0</v>
      </c>
      <c r="X125" s="98">
        <f ca="1">IF('Invoer gegevens'!$C$17=E125,'Invoer gegevens'!$C$10-'Invoer gegevens'!$C$11,IF(C125=1,AC124,0))</f>
        <v>0</v>
      </c>
      <c r="Y125" s="98">
        <f t="shared" ca="1" si="21"/>
        <v>0</v>
      </c>
      <c r="Z125" s="98">
        <f ca="1">(1-('Invoer gegevens'!$F$20/12))*X125*MIN(BA125,BC125)</f>
        <v>0</v>
      </c>
      <c r="AA125" s="98">
        <f ca="1">IF(BD125&lt;1,IF(Reeksen!AD125&lt;=Reeksen!AE125,X125*Reeksen!C125,0),IF(BC125&gt;=BA125,0,IF(Reeksen!AD125&lt;=Reeksen!AE125,(BA125-BC125)*X125,0)))</f>
        <v>0</v>
      </c>
      <c r="AB125" s="98">
        <f ca="1">IF(BD125&lt;1,IF(Reeksen!AD125&gt;Reeksen!AE125,X125*Reeksen!C125,0),IF(BC125&gt;=BA125,0,IF(Reeksen!AD125&gt;Reeksen!AE125,(BA125-BC125)*X125,0)))</f>
        <v>0</v>
      </c>
      <c r="AC125" s="99">
        <f t="shared" ca="1" si="25"/>
        <v>0</v>
      </c>
      <c r="AD125" s="98">
        <f ca="1">IF('Invoer gegevens'!$C$17=E125,R125,IF(C125=0,0,AE124))</f>
        <v>0</v>
      </c>
      <c r="AE125" s="98">
        <f t="shared" ca="1" si="26"/>
        <v>0</v>
      </c>
      <c r="AF125" s="98">
        <f ca="1">IF('Invoer gegevens'!$C$17=E125,X125,IF(C125=0,0,AG124))</f>
        <v>0</v>
      </c>
      <c r="AG125" s="98">
        <f t="shared" ca="1" si="27"/>
        <v>0</v>
      </c>
      <c r="AH125" s="66"/>
      <c r="AI125" s="71">
        <f ca="1">IF(C125=1,Reeksen!AI125*((F125+K125)/2)*12+Reeksen!AD125*((L125+Q125)/2)*12,0)</f>
        <v>0</v>
      </c>
      <c r="AJ125" s="71">
        <f ca="1">-AI125*'Invoer gegevens'!$F$28</f>
        <v>0</v>
      </c>
      <c r="AK125" s="71">
        <f t="shared" ca="1" si="28"/>
        <v>0</v>
      </c>
      <c r="AL125" s="71">
        <f ca="1">IF(C125=1,Reeksen!AL125*((F125-G125+F125)/2)*12+Reeksen!AM125*((L125-M125+L125)/2)*12,0)</f>
        <v>0</v>
      </c>
      <c r="AM125" s="71">
        <f ca="1">-AL125*'Invoer gegevens'!$F$31</f>
        <v>0</v>
      </c>
      <c r="AN125" s="71">
        <f t="shared" ca="1" si="29"/>
        <v>0</v>
      </c>
      <c r="AO125" s="71">
        <f ca="1">IF(C125=1,(H125+J125+N125+P125)*Reeksen!AN125,0)</f>
        <v>0</v>
      </c>
      <c r="AP125" s="71">
        <f ca="1">-IF(C125=1,(H125+J125+N125+P125)*'Hulp - basis'!$G$550*Reeksen!H125,0)</f>
        <v>0</v>
      </c>
      <c r="AQ125" s="71">
        <f ca="1">-IF(C125=1,(F125+K125+L125+Q125)/2*'Invoer gegevens'!$F$35*Reeksen!J125,0)*2</f>
        <v>0</v>
      </c>
      <c r="AR125" s="71">
        <f ca="1">IF(BD125&lt;1,-IF(C125=1,(G125*'Invoer gegevens'!$F$36)*Reeksen!J125,0),0)</f>
        <v>0</v>
      </c>
      <c r="AS125" s="71">
        <f ca="1">-IF(C125=1,(F125+K125+L125+Q125)/2*'Invoer gegevens'!$F$37*Reeksen!L125,0)</f>
        <v>0</v>
      </c>
      <c r="AT125" s="71">
        <f ca="1">-IF(C125=1,IF(E125='Invoer gegevens'!$C$17,'Invoer gegevens'!$C$11,AD125)*Reeksen!S125*'Invoer gegevens'!$C$18*Reeksen!P125,0)</f>
        <v>0</v>
      </c>
      <c r="AU125" s="71">
        <f ca="1">-IF(C125=1,(F125+K125+L125+Q125)/2*'Invoer gegevens'!$F$38*Reeksen!H125,0)</f>
        <v>0</v>
      </c>
      <c r="AV125" s="71">
        <f t="shared" si="33"/>
        <v>0</v>
      </c>
      <c r="AW125" s="71">
        <f t="shared" ca="1" si="30"/>
        <v>0</v>
      </c>
      <c r="AX125" s="71">
        <f ca="1">IF(E125&lt;'Invoer gegevens'!$C$17+15,0,IF(E125&gt;'Invoer gegevens'!$C$17+215,0,AW125))</f>
        <v>0</v>
      </c>
      <c r="AY125" s="71">
        <f ca="1">AX125/(1+'Invoer gegevens'!$F$18)^($AZ125-('Invoer gegevens'!$C$17-'Invoer gegevens'!$C$16))/(1+'Invoer gegevens'!$C$39)^('Invoer gegevens'!$C$17-'Invoer gegevens'!$C$16)</f>
        <v>0</v>
      </c>
      <c r="AZ125" s="68">
        <f ca="1">IF(E125-'Invoer gegevens'!$C$17-14.5&lt;0,0,E125-'Invoer gegevens'!$C$17-14.5)</f>
        <v>105.5</v>
      </c>
      <c r="BA125" s="109">
        <f ca="1">IFERROR(VLOOKUP(E125-15,Reeksen!$A$5:$D$234,2,FALSE),0)</f>
        <v>0</v>
      </c>
      <c r="BB125" s="109">
        <f ca="1">IFERROR(VLOOKUP(E125-15,Reeksen!$A$5:$D$234,3,FALSE),0)</f>
        <v>0</v>
      </c>
      <c r="BC125" s="109">
        <f ca="1">IFERROR(VLOOKUP(E125-15,Reeksen!$A$5:$D$234,4,FALSE),0)</f>
        <v>0</v>
      </c>
      <c r="BD125" s="67">
        <f ca="1">IF(E125-'Invoer gegevens'!$C$17&lt;15,0,1)</f>
        <v>1</v>
      </c>
    </row>
    <row r="126" spans="1:56" x14ac:dyDescent="0.25">
      <c r="A126" s="59"/>
      <c r="B126" s="70">
        <f t="shared" si="31"/>
        <v>122</v>
      </c>
      <c r="C126" s="67">
        <f ca="1">IF(E126-'Invoer gegevens'!$C$17&lt;0,0,1)</f>
        <v>1</v>
      </c>
      <c r="D126" s="68">
        <f t="shared" si="32"/>
        <v>121.5</v>
      </c>
      <c r="E126" s="108">
        <f ca="1">IF('Invoer gegevens'!$C$16="","",E125+1)</f>
        <v>2140</v>
      </c>
      <c r="F126" s="84">
        <f ca="1">IF('Invoer gegevens'!$C$17=E126,'Invoer gegevens'!$C$10,IF(C126=1,K125,0))</f>
        <v>0</v>
      </c>
      <c r="G126" s="96">
        <f ca="1">IF(BD126&lt;1,F126*Reeksen!C126,IF(C126&gt;=1,F126*BA126,0))</f>
        <v>0</v>
      </c>
      <c r="H126" s="84">
        <f ca="1">(1-('Invoer gegevens'!$F$20/12))*F126*MIN(BA126,BC126)</f>
        <v>0</v>
      </c>
      <c r="I126" s="84">
        <f t="shared" ca="1" si="17"/>
        <v>0</v>
      </c>
      <c r="J126" s="84">
        <f ca="1">('Invoer gegevens'!$F$20/12)*F125*MIN(BA126,BC126)</f>
        <v>0</v>
      </c>
      <c r="K126" s="97">
        <f t="shared" ca="1" si="22"/>
        <v>0</v>
      </c>
      <c r="L126" s="84">
        <f ca="1">IF('Invoer gegevens'!$C$17=E126,0,IF(C126=1,Q125,0))</f>
        <v>0</v>
      </c>
      <c r="M126" s="96">
        <f t="shared" ca="1" si="18"/>
        <v>0</v>
      </c>
      <c r="N126" s="84">
        <f ca="1">(1-('Invoer gegevens'!$F$20/12))*L126*MIN(BA126,BC126)</f>
        <v>0</v>
      </c>
      <c r="O126" s="84">
        <f t="shared" ca="1" si="19"/>
        <v>0</v>
      </c>
      <c r="P126" s="84">
        <f ca="1">('Invoer gegevens'!$F$20/12)*L125*MIN(BA126,BC126)</f>
        <v>0</v>
      </c>
      <c r="Q126" s="84">
        <f t="shared" ca="1" si="23"/>
        <v>0</v>
      </c>
      <c r="R126" s="85">
        <f ca="1">IF('Invoer gegevens'!$C$17=E126,'Invoer gegevens'!$C$11,IF(C126=1,W125,0))</f>
        <v>0</v>
      </c>
      <c r="S126" s="86">
        <f t="shared" ca="1" si="20"/>
        <v>0</v>
      </c>
      <c r="T126" s="86">
        <f ca="1">(1-('Invoer gegevens'!$F$20/12))*R126*MIN(BC126,BA126)</f>
        <v>0</v>
      </c>
      <c r="U126" s="86">
        <f ca="1">IF(BD126&lt;1,IF(Reeksen!AD126&lt;=Reeksen!AE126,R126*Reeksen!C126,0),IF(BC126&gt;=BA126,0,IF(Reeksen!AD126&lt;=Reeksen!AE126,(BA126-BC126)*R126,0)))</f>
        <v>0</v>
      </c>
      <c r="V126" s="86">
        <f ca="1">IF(BD126&lt;1,IF(Reeksen!AD126&gt;Reeksen!AE126,R126*Reeksen!C126,0),IF(BC126&gt;=BA126,0,IF(Reeksen!AD126&gt;Reeksen!AE126,(BA126-BC126)*R126,0)))</f>
        <v>0</v>
      </c>
      <c r="W126" s="218">
        <f t="shared" ca="1" si="24"/>
        <v>0</v>
      </c>
      <c r="X126" s="98">
        <f ca="1">IF('Invoer gegevens'!$C$17=E126,'Invoer gegevens'!$C$10-'Invoer gegevens'!$C$11,IF(C126=1,AC125,0))</f>
        <v>0</v>
      </c>
      <c r="Y126" s="98">
        <f t="shared" ca="1" si="21"/>
        <v>0</v>
      </c>
      <c r="Z126" s="98">
        <f ca="1">(1-('Invoer gegevens'!$F$20/12))*X126*MIN(BA126,BC126)</f>
        <v>0</v>
      </c>
      <c r="AA126" s="98">
        <f ca="1">IF(BD126&lt;1,IF(Reeksen!AD126&lt;=Reeksen!AE126,X126*Reeksen!C126,0),IF(BC126&gt;=BA126,0,IF(Reeksen!AD126&lt;=Reeksen!AE126,(BA126-BC126)*X126,0)))</f>
        <v>0</v>
      </c>
      <c r="AB126" s="98">
        <f ca="1">IF(BD126&lt;1,IF(Reeksen!AD126&gt;Reeksen!AE126,X126*Reeksen!C126,0),IF(BC126&gt;=BA126,0,IF(Reeksen!AD126&gt;Reeksen!AE126,(BA126-BC126)*X126,0)))</f>
        <v>0</v>
      </c>
      <c r="AC126" s="99">
        <f t="shared" ca="1" si="25"/>
        <v>0</v>
      </c>
      <c r="AD126" s="98">
        <f ca="1">IF('Invoer gegevens'!$C$17=E126,R126,IF(C126=0,0,AE125))</f>
        <v>0</v>
      </c>
      <c r="AE126" s="98">
        <f t="shared" ca="1" si="26"/>
        <v>0</v>
      </c>
      <c r="AF126" s="98">
        <f ca="1">IF('Invoer gegevens'!$C$17=E126,X126,IF(C126=0,0,AG125))</f>
        <v>0</v>
      </c>
      <c r="AG126" s="98">
        <f t="shared" ca="1" si="27"/>
        <v>0</v>
      </c>
      <c r="AH126" s="66"/>
      <c r="AI126" s="71">
        <f ca="1">IF(C126=1,Reeksen!AI126*((F126+K126)/2)*12+Reeksen!AD126*((L126+Q126)/2)*12,0)</f>
        <v>0</v>
      </c>
      <c r="AJ126" s="71">
        <f ca="1">-AI126*'Invoer gegevens'!$F$28</f>
        <v>0</v>
      </c>
      <c r="AK126" s="71">
        <f t="shared" ca="1" si="28"/>
        <v>0</v>
      </c>
      <c r="AL126" s="71">
        <f ca="1">IF(C126=1,Reeksen!AL126*((F126-G126+F126)/2)*12+Reeksen!AM126*((L126-M126+L126)/2)*12,0)</f>
        <v>0</v>
      </c>
      <c r="AM126" s="71">
        <f ca="1">-AL126*'Invoer gegevens'!$F$31</f>
        <v>0</v>
      </c>
      <c r="AN126" s="71">
        <f t="shared" ca="1" si="29"/>
        <v>0</v>
      </c>
      <c r="AO126" s="71">
        <f ca="1">IF(C126=1,(H126+J126+N126+P126)*Reeksen!AN126,0)</f>
        <v>0</v>
      </c>
      <c r="AP126" s="71">
        <f ca="1">-IF(C126=1,(H126+J126+N126+P126)*'Hulp - basis'!$G$550*Reeksen!H126,0)</f>
        <v>0</v>
      </c>
      <c r="AQ126" s="71">
        <f ca="1">-IF(C126=1,(F126+K126+L126+Q126)/2*'Invoer gegevens'!$F$35*Reeksen!J126,0)*2</f>
        <v>0</v>
      </c>
      <c r="AR126" s="71">
        <f ca="1">IF(BD126&lt;1,-IF(C126=1,(G126*'Invoer gegevens'!$F$36)*Reeksen!J126,0),0)</f>
        <v>0</v>
      </c>
      <c r="AS126" s="71">
        <f ca="1">-IF(C126=1,(F126+K126+L126+Q126)/2*'Invoer gegevens'!$F$37*Reeksen!L126,0)</f>
        <v>0</v>
      </c>
      <c r="AT126" s="71">
        <f ca="1">-IF(C126=1,IF(E126='Invoer gegevens'!$C$17,'Invoer gegevens'!$C$11,AD126)*Reeksen!S126*'Invoer gegevens'!$C$18*Reeksen!P126,0)</f>
        <v>0</v>
      </c>
      <c r="AU126" s="71">
        <f ca="1">-IF(C126=1,(F126+K126+L126+Q126)/2*'Invoer gegevens'!$F$38*Reeksen!H126,0)</f>
        <v>0</v>
      </c>
      <c r="AV126" s="71">
        <f t="shared" si="33"/>
        <v>0</v>
      </c>
      <c r="AW126" s="71">
        <f t="shared" ca="1" si="30"/>
        <v>0</v>
      </c>
      <c r="AX126" s="71">
        <f ca="1">IF(E126&lt;'Invoer gegevens'!$C$17+15,0,IF(E126&gt;'Invoer gegevens'!$C$17+215,0,AW126))</f>
        <v>0</v>
      </c>
      <c r="AY126" s="71">
        <f ca="1">AX126/(1+'Invoer gegevens'!$F$18)^($AZ126-('Invoer gegevens'!$C$17-'Invoer gegevens'!$C$16))/(1+'Invoer gegevens'!$C$39)^('Invoer gegevens'!$C$17-'Invoer gegevens'!$C$16)</f>
        <v>0</v>
      </c>
      <c r="AZ126" s="68">
        <f ca="1">IF(E126-'Invoer gegevens'!$C$17-14.5&lt;0,0,E126-'Invoer gegevens'!$C$17-14.5)</f>
        <v>106.5</v>
      </c>
      <c r="BA126" s="109">
        <f ca="1">IFERROR(VLOOKUP(E126-15,Reeksen!$A$5:$D$234,2,FALSE),0)</f>
        <v>0</v>
      </c>
      <c r="BB126" s="109">
        <f ca="1">IFERROR(VLOOKUP(E126-15,Reeksen!$A$5:$D$234,3,FALSE),0)</f>
        <v>0</v>
      </c>
      <c r="BC126" s="109">
        <f ca="1">IFERROR(VLOOKUP(E126-15,Reeksen!$A$5:$D$234,4,FALSE),0)</f>
        <v>0</v>
      </c>
      <c r="BD126" s="67">
        <f ca="1">IF(E126-'Invoer gegevens'!$C$17&lt;15,0,1)</f>
        <v>1</v>
      </c>
    </row>
    <row r="127" spans="1:56" x14ac:dyDescent="0.25">
      <c r="A127" s="59"/>
      <c r="B127" s="70">
        <f t="shared" si="31"/>
        <v>123</v>
      </c>
      <c r="C127" s="67">
        <f ca="1">IF(E127-'Invoer gegevens'!$C$17&lt;0,0,1)</f>
        <v>1</v>
      </c>
      <c r="D127" s="68">
        <f t="shared" si="32"/>
        <v>122.5</v>
      </c>
      <c r="E127" s="108">
        <f ca="1">IF('Invoer gegevens'!$C$16="","",E126+1)</f>
        <v>2141</v>
      </c>
      <c r="F127" s="84">
        <f ca="1">IF('Invoer gegevens'!$C$17=E127,'Invoer gegevens'!$C$10,IF(C127=1,K126,0))</f>
        <v>0</v>
      </c>
      <c r="G127" s="96">
        <f ca="1">IF(BD127&lt;1,F127*Reeksen!C127,IF(C127&gt;=1,F127*BA127,0))</f>
        <v>0</v>
      </c>
      <c r="H127" s="84">
        <f ca="1">(1-('Invoer gegevens'!$F$20/12))*F127*MIN(BA127,BC127)</f>
        <v>0</v>
      </c>
      <c r="I127" s="84">
        <f t="shared" ca="1" si="17"/>
        <v>0</v>
      </c>
      <c r="J127" s="84">
        <f ca="1">('Invoer gegevens'!$F$20/12)*F126*MIN(BA127,BC127)</f>
        <v>0</v>
      </c>
      <c r="K127" s="97">
        <f t="shared" ca="1" si="22"/>
        <v>0</v>
      </c>
      <c r="L127" s="84">
        <f ca="1">IF('Invoer gegevens'!$C$17=E127,0,IF(C127=1,Q126,0))</f>
        <v>0</v>
      </c>
      <c r="M127" s="96">
        <f t="shared" ca="1" si="18"/>
        <v>0</v>
      </c>
      <c r="N127" s="84">
        <f ca="1">(1-('Invoer gegevens'!$F$20/12))*L127*MIN(BA127,BC127)</f>
        <v>0</v>
      </c>
      <c r="O127" s="84">
        <f t="shared" ca="1" si="19"/>
        <v>0</v>
      </c>
      <c r="P127" s="84">
        <f ca="1">('Invoer gegevens'!$F$20/12)*L126*MIN(BA127,BC127)</f>
        <v>0</v>
      </c>
      <c r="Q127" s="84">
        <f t="shared" ca="1" si="23"/>
        <v>0</v>
      </c>
      <c r="R127" s="85">
        <f ca="1">IF('Invoer gegevens'!$C$17=E127,'Invoer gegevens'!$C$11,IF(C127=1,W126,0))</f>
        <v>0</v>
      </c>
      <c r="S127" s="86">
        <f t="shared" ca="1" si="20"/>
        <v>0</v>
      </c>
      <c r="T127" s="86">
        <f ca="1">(1-('Invoer gegevens'!$F$20/12))*R127*MIN(BC127,BA127)</f>
        <v>0</v>
      </c>
      <c r="U127" s="86">
        <f ca="1">IF(BD127&lt;1,IF(Reeksen!AD127&lt;=Reeksen!AE127,R127*Reeksen!C127,0),IF(BC127&gt;=BA127,0,IF(Reeksen!AD127&lt;=Reeksen!AE127,(BA127-BC127)*R127,0)))</f>
        <v>0</v>
      </c>
      <c r="V127" s="86">
        <f ca="1">IF(BD127&lt;1,IF(Reeksen!AD127&gt;Reeksen!AE127,R127*Reeksen!C127,0),IF(BC127&gt;=BA127,0,IF(Reeksen!AD127&gt;Reeksen!AE127,(BA127-BC127)*R127,0)))</f>
        <v>0</v>
      </c>
      <c r="W127" s="218">
        <f t="shared" ca="1" si="24"/>
        <v>0</v>
      </c>
      <c r="X127" s="98">
        <f ca="1">IF('Invoer gegevens'!$C$17=E127,'Invoer gegevens'!$C$10-'Invoer gegevens'!$C$11,IF(C127=1,AC126,0))</f>
        <v>0</v>
      </c>
      <c r="Y127" s="98">
        <f t="shared" ca="1" si="21"/>
        <v>0</v>
      </c>
      <c r="Z127" s="98">
        <f ca="1">(1-('Invoer gegevens'!$F$20/12))*X127*MIN(BA127,BC127)</f>
        <v>0</v>
      </c>
      <c r="AA127" s="98">
        <f ca="1">IF(BD127&lt;1,IF(Reeksen!AD127&lt;=Reeksen!AE127,X127*Reeksen!C127,0),IF(BC127&gt;=BA127,0,IF(Reeksen!AD127&lt;=Reeksen!AE127,(BA127-BC127)*X127,0)))</f>
        <v>0</v>
      </c>
      <c r="AB127" s="98">
        <f ca="1">IF(BD127&lt;1,IF(Reeksen!AD127&gt;Reeksen!AE127,X127*Reeksen!C127,0),IF(BC127&gt;=BA127,0,IF(Reeksen!AD127&gt;Reeksen!AE127,(BA127-BC127)*X127,0)))</f>
        <v>0</v>
      </c>
      <c r="AC127" s="99">
        <f t="shared" ca="1" si="25"/>
        <v>0</v>
      </c>
      <c r="AD127" s="98">
        <f ca="1">IF('Invoer gegevens'!$C$17=E127,R127,IF(C127=0,0,AE126))</f>
        <v>0</v>
      </c>
      <c r="AE127" s="98">
        <f t="shared" ca="1" si="26"/>
        <v>0</v>
      </c>
      <c r="AF127" s="98">
        <f ca="1">IF('Invoer gegevens'!$C$17=E127,X127,IF(C127=0,0,AG126))</f>
        <v>0</v>
      </c>
      <c r="AG127" s="98">
        <f t="shared" ca="1" si="27"/>
        <v>0</v>
      </c>
      <c r="AH127" s="66"/>
      <c r="AI127" s="71">
        <f ca="1">IF(C127=1,Reeksen!AI127*((F127+K127)/2)*12+Reeksen!AD127*((L127+Q127)/2)*12,0)</f>
        <v>0</v>
      </c>
      <c r="AJ127" s="71">
        <f ca="1">-AI127*'Invoer gegevens'!$F$28</f>
        <v>0</v>
      </c>
      <c r="AK127" s="71">
        <f t="shared" ca="1" si="28"/>
        <v>0</v>
      </c>
      <c r="AL127" s="71">
        <f ca="1">IF(C127=1,Reeksen!AL127*((F127-G127+F127)/2)*12+Reeksen!AM127*((L127-M127+L127)/2)*12,0)</f>
        <v>0</v>
      </c>
      <c r="AM127" s="71">
        <f ca="1">-AL127*'Invoer gegevens'!$F$31</f>
        <v>0</v>
      </c>
      <c r="AN127" s="71">
        <f t="shared" ca="1" si="29"/>
        <v>0</v>
      </c>
      <c r="AO127" s="71">
        <f ca="1">IF(C127=1,(H127+J127+N127+P127)*Reeksen!AN127,0)</f>
        <v>0</v>
      </c>
      <c r="AP127" s="71">
        <f ca="1">-IF(C127=1,(H127+J127+N127+P127)*'Hulp - basis'!$G$550*Reeksen!H127,0)</f>
        <v>0</v>
      </c>
      <c r="AQ127" s="71">
        <f ca="1">-IF(C127=1,(F127+K127+L127+Q127)/2*'Invoer gegevens'!$F$35*Reeksen!J127,0)*2</f>
        <v>0</v>
      </c>
      <c r="AR127" s="71">
        <f ca="1">IF(BD127&lt;1,-IF(C127=1,(G127*'Invoer gegevens'!$F$36)*Reeksen!J127,0),0)</f>
        <v>0</v>
      </c>
      <c r="AS127" s="71">
        <f ca="1">-IF(C127=1,(F127+K127+L127+Q127)/2*'Invoer gegevens'!$F$37*Reeksen!L127,0)</f>
        <v>0</v>
      </c>
      <c r="AT127" s="71">
        <f ca="1">-IF(C127=1,IF(E127='Invoer gegevens'!$C$17,'Invoer gegevens'!$C$11,AD127)*Reeksen!S127*'Invoer gegevens'!$C$18*Reeksen!P127,0)</f>
        <v>0</v>
      </c>
      <c r="AU127" s="71">
        <f ca="1">-IF(C127=1,(F127+K127+L127+Q127)/2*'Invoer gegevens'!$F$38*Reeksen!H127,0)</f>
        <v>0</v>
      </c>
      <c r="AV127" s="71">
        <f t="shared" si="33"/>
        <v>0</v>
      </c>
      <c r="AW127" s="71">
        <f t="shared" ca="1" si="30"/>
        <v>0</v>
      </c>
      <c r="AX127" s="71">
        <f ca="1">IF(E127&lt;'Invoer gegevens'!$C$17+15,0,IF(E127&gt;'Invoer gegevens'!$C$17+215,0,AW127))</f>
        <v>0</v>
      </c>
      <c r="AY127" s="71">
        <f ca="1">AX127/(1+'Invoer gegevens'!$F$18)^($AZ127-('Invoer gegevens'!$C$17-'Invoer gegevens'!$C$16))/(1+'Invoer gegevens'!$C$39)^('Invoer gegevens'!$C$17-'Invoer gegevens'!$C$16)</f>
        <v>0</v>
      </c>
      <c r="AZ127" s="68">
        <f ca="1">IF(E127-'Invoer gegevens'!$C$17-14.5&lt;0,0,E127-'Invoer gegevens'!$C$17-14.5)</f>
        <v>107.5</v>
      </c>
      <c r="BA127" s="109">
        <f ca="1">IFERROR(VLOOKUP(E127-15,Reeksen!$A$5:$D$234,2,FALSE),0)</f>
        <v>0</v>
      </c>
      <c r="BB127" s="109">
        <f ca="1">IFERROR(VLOOKUP(E127-15,Reeksen!$A$5:$D$234,3,FALSE),0)</f>
        <v>0</v>
      </c>
      <c r="BC127" s="109">
        <f ca="1">IFERROR(VLOOKUP(E127-15,Reeksen!$A$5:$D$234,4,FALSE),0)</f>
        <v>0</v>
      </c>
      <c r="BD127" s="67">
        <f ca="1">IF(E127-'Invoer gegevens'!$C$17&lt;15,0,1)</f>
        <v>1</v>
      </c>
    </row>
    <row r="128" spans="1:56" x14ac:dyDescent="0.25">
      <c r="A128" s="59"/>
      <c r="B128" s="70">
        <f t="shared" si="31"/>
        <v>124</v>
      </c>
      <c r="C128" s="67">
        <f ca="1">IF(E128-'Invoer gegevens'!$C$17&lt;0,0,1)</f>
        <v>1</v>
      </c>
      <c r="D128" s="68">
        <f t="shared" si="32"/>
        <v>123.5</v>
      </c>
      <c r="E128" s="108">
        <f ca="1">IF('Invoer gegevens'!$C$16="","",E127+1)</f>
        <v>2142</v>
      </c>
      <c r="F128" s="84">
        <f ca="1">IF('Invoer gegevens'!$C$17=E128,'Invoer gegevens'!$C$10,IF(C128=1,K127,0))</f>
        <v>0</v>
      </c>
      <c r="G128" s="96">
        <f ca="1">IF(BD128&lt;1,F128*Reeksen!C128,IF(C128&gt;=1,F128*BA128,0))</f>
        <v>0</v>
      </c>
      <c r="H128" s="84">
        <f ca="1">(1-('Invoer gegevens'!$F$20/12))*F128*MIN(BA128,BC128)</f>
        <v>0</v>
      </c>
      <c r="I128" s="84">
        <f t="shared" ca="1" si="17"/>
        <v>0</v>
      </c>
      <c r="J128" s="84">
        <f ca="1">('Invoer gegevens'!$F$20/12)*F127*MIN(BA128,BC128)</f>
        <v>0</v>
      </c>
      <c r="K128" s="97">
        <f t="shared" ca="1" si="22"/>
        <v>0</v>
      </c>
      <c r="L128" s="84">
        <f ca="1">IF('Invoer gegevens'!$C$17=E128,0,IF(C128=1,Q127,0))</f>
        <v>0</v>
      </c>
      <c r="M128" s="96">
        <f t="shared" ca="1" si="18"/>
        <v>0</v>
      </c>
      <c r="N128" s="84">
        <f ca="1">(1-('Invoer gegevens'!$F$20/12))*L128*MIN(BA128,BC128)</f>
        <v>0</v>
      </c>
      <c r="O128" s="84">
        <f t="shared" ca="1" si="19"/>
        <v>0</v>
      </c>
      <c r="P128" s="84">
        <f ca="1">('Invoer gegevens'!$F$20/12)*L127*MIN(BA128,BC128)</f>
        <v>0</v>
      </c>
      <c r="Q128" s="84">
        <f t="shared" ca="1" si="23"/>
        <v>0</v>
      </c>
      <c r="R128" s="85">
        <f ca="1">IF('Invoer gegevens'!$C$17=E128,'Invoer gegevens'!$C$11,IF(C128=1,W127,0))</f>
        <v>0</v>
      </c>
      <c r="S128" s="86">
        <f t="shared" ca="1" si="20"/>
        <v>0</v>
      </c>
      <c r="T128" s="86">
        <f ca="1">(1-('Invoer gegevens'!$F$20/12))*R128*MIN(BC128,BA128)</f>
        <v>0</v>
      </c>
      <c r="U128" s="86">
        <f ca="1">IF(BD128&lt;1,IF(Reeksen!AD128&lt;=Reeksen!AE128,R128*Reeksen!C128,0),IF(BC128&gt;=BA128,0,IF(Reeksen!AD128&lt;=Reeksen!AE128,(BA128-BC128)*R128,0)))</f>
        <v>0</v>
      </c>
      <c r="V128" s="86">
        <f ca="1">IF(BD128&lt;1,IF(Reeksen!AD128&gt;Reeksen!AE128,R128*Reeksen!C128,0),IF(BC128&gt;=BA128,0,IF(Reeksen!AD128&gt;Reeksen!AE128,(BA128-BC128)*R128,0)))</f>
        <v>0</v>
      </c>
      <c r="W128" s="218">
        <f t="shared" ca="1" si="24"/>
        <v>0</v>
      </c>
      <c r="X128" s="98">
        <f ca="1">IF('Invoer gegevens'!$C$17=E128,'Invoer gegevens'!$C$10-'Invoer gegevens'!$C$11,IF(C128=1,AC127,0))</f>
        <v>0</v>
      </c>
      <c r="Y128" s="98">
        <f t="shared" ca="1" si="21"/>
        <v>0</v>
      </c>
      <c r="Z128" s="98">
        <f ca="1">(1-('Invoer gegevens'!$F$20/12))*X128*MIN(BA128,BC128)</f>
        <v>0</v>
      </c>
      <c r="AA128" s="98">
        <f ca="1">IF(BD128&lt;1,IF(Reeksen!AD128&lt;=Reeksen!AE128,X128*Reeksen!C128,0),IF(BC128&gt;=BA128,0,IF(Reeksen!AD128&lt;=Reeksen!AE128,(BA128-BC128)*X128,0)))</f>
        <v>0</v>
      </c>
      <c r="AB128" s="98">
        <f ca="1">IF(BD128&lt;1,IF(Reeksen!AD128&gt;Reeksen!AE128,X128*Reeksen!C128,0),IF(BC128&gt;=BA128,0,IF(Reeksen!AD128&gt;Reeksen!AE128,(BA128-BC128)*X128,0)))</f>
        <v>0</v>
      </c>
      <c r="AC128" s="99">
        <f t="shared" ca="1" si="25"/>
        <v>0</v>
      </c>
      <c r="AD128" s="98">
        <f ca="1">IF('Invoer gegevens'!$C$17=E128,R128,IF(C128=0,0,AE127))</f>
        <v>0</v>
      </c>
      <c r="AE128" s="98">
        <f t="shared" ca="1" si="26"/>
        <v>0</v>
      </c>
      <c r="AF128" s="98">
        <f ca="1">IF('Invoer gegevens'!$C$17=E128,X128,IF(C128=0,0,AG127))</f>
        <v>0</v>
      </c>
      <c r="AG128" s="98">
        <f t="shared" ca="1" si="27"/>
        <v>0</v>
      </c>
      <c r="AH128" s="66"/>
      <c r="AI128" s="71">
        <f ca="1">IF(C128=1,Reeksen!AI128*((F128+K128)/2)*12+Reeksen!AD128*((L128+Q128)/2)*12,0)</f>
        <v>0</v>
      </c>
      <c r="AJ128" s="71">
        <f ca="1">-AI128*'Invoer gegevens'!$F$28</f>
        <v>0</v>
      </c>
      <c r="AK128" s="71">
        <f t="shared" ca="1" si="28"/>
        <v>0</v>
      </c>
      <c r="AL128" s="71">
        <f ca="1">IF(C128=1,Reeksen!AL128*((F128-G128+F128)/2)*12+Reeksen!AM128*((L128-M128+L128)/2)*12,0)</f>
        <v>0</v>
      </c>
      <c r="AM128" s="71">
        <f ca="1">-AL128*'Invoer gegevens'!$F$31</f>
        <v>0</v>
      </c>
      <c r="AN128" s="71">
        <f t="shared" ca="1" si="29"/>
        <v>0</v>
      </c>
      <c r="AO128" s="71">
        <f ca="1">IF(C128=1,(H128+J128+N128+P128)*Reeksen!AN128,0)</f>
        <v>0</v>
      </c>
      <c r="AP128" s="71">
        <f ca="1">-IF(C128=1,(H128+J128+N128+P128)*'Hulp - basis'!$G$550*Reeksen!H128,0)</f>
        <v>0</v>
      </c>
      <c r="AQ128" s="71">
        <f ca="1">-IF(C128=1,(F128+K128+L128+Q128)/2*'Invoer gegevens'!$F$35*Reeksen!J128,0)*2</f>
        <v>0</v>
      </c>
      <c r="AR128" s="71">
        <f ca="1">IF(BD128&lt;1,-IF(C128=1,(G128*'Invoer gegevens'!$F$36)*Reeksen!J128,0),0)</f>
        <v>0</v>
      </c>
      <c r="AS128" s="71">
        <f ca="1">-IF(C128=1,(F128+K128+L128+Q128)/2*'Invoer gegevens'!$F$37*Reeksen!L128,0)</f>
        <v>0</v>
      </c>
      <c r="AT128" s="71">
        <f ca="1">-IF(C128=1,IF(E128='Invoer gegevens'!$C$17,'Invoer gegevens'!$C$11,AD128)*Reeksen!S128*'Invoer gegevens'!$C$18*Reeksen!P128,0)</f>
        <v>0</v>
      </c>
      <c r="AU128" s="71">
        <f ca="1">-IF(C128=1,(F128+K128+L128+Q128)/2*'Invoer gegevens'!$F$38*Reeksen!H128,0)</f>
        <v>0</v>
      </c>
      <c r="AV128" s="71">
        <f t="shared" si="33"/>
        <v>0</v>
      </c>
      <c r="AW128" s="71">
        <f t="shared" ca="1" si="30"/>
        <v>0</v>
      </c>
      <c r="AX128" s="71">
        <f ca="1">IF(E128&lt;'Invoer gegevens'!$C$17+15,0,IF(E128&gt;'Invoer gegevens'!$C$17+215,0,AW128))</f>
        <v>0</v>
      </c>
      <c r="AY128" s="71">
        <f ca="1">AX128/(1+'Invoer gegevens'!$F$18)^($AZ128-('Invoer gegevens'!$C$17-'Invoer gegevens'!$C$16))/(1+'Invoer gegevens'!$C$39)^('Invoer gegevens'!$C$17-'Invoer gegevens'!$C$16)</f>
        <v>0</v>
      </c>
      <c r="AZ128" s="68">
        <f ca="1">IF(E128-'Invoer gegevens'!$C$17-14.5&lt;0,0,E128-'Invoer gegevens'!$C$17-14.5)</f>
        <v>108.5</v>
      </c>
      <c r="BA128" s="109">
        <f ca="1">IFERROR(VLOOKUP(E128-15,Reeksen!$A$5:$D$234,2,FALSE),0)</f>
        <v>0</v>
      </c>
      <c r="BB128" s="109">
        <f ca="1">IFERROR(VLOOKUP(E128-15,Reeksen!$A$5:$D$234,3,FALSE),0)</f>
        <v>0</v>
      </c>
      <c r="BC128" s="109">
        <f ca="1">IFERROR(VLOOKUP(E128-15,Reeksen!$A$5:$D$234,4,FALSE),0)</f>
        <v>0</v>
      </c>
      <c r="BD128" s="67">
        <f ca="1">IF(E128-'Invoer gegevens'!$C$17&lt;15,0,1)</f>
        <v>1</v>
      </c>
    </row>
    <row r="129" spans="1:56" x14ac:dyDescent="0.25">
      <c r="A129" s="59"/>
      <c r="B129" s="70">
        <f t="shared" si="31"/>
        <v>125</v>
      </c>
      <c r="C129" s="67">
        <f ca="1">IF(E129-'Invoer gegevens'!$C$17&lt;0,0,1)</f>
        <v>1</v>
      </c>
      <c r="D129" s="68">
        <f t="shared" si="32"/>
        <v>124.5</v>
      </c>
      <c r="E129" s="108">
        <f ca="1">IF('Invoer gegevens'!$C$16="","",E128+1)</f>
        <v>2143</v>
      </c>
      <c r="F129" s="84">
        <f ca="1">IF('Invoer gegevens'!$C$17=E129,'Invoer gegevens'!$C$10,IF(C129=1,K128,0))</f>
        <v>0</v>
      </c>
      <c r="G129" s="96">
        <f ca="1">IF(BD129&lt;1,F129*Reeksen!C129,IF(C129&gt;=1,F129*BA129,0))</f>
        <v>0</v>
      </c>
      <c r="H129" s="84">
        <f ca="1">(1-('Invoer gegevens'!$F$20/12))*F129*MIN(BA129,BC129)</f>
        <v>0</v>
      </c>
      <c r="I129" s="84">
        <f t="shared" ca="1" si="17"/>
        <v>0</v>
      </c>
      <c r="J129" s="84">
        <f ca="1">('Invoer gegevens'!$F$20/12)*F128*MIN(BA129,BC129)</f>
        <v>0</v>
      </c>
      <c r="K129" s="97">
        <f t="shared" ca="1" si="22"/>
        <v>0</v>
      </c>
      <c r="L129" s="84">
        <f ca="1">IF('Invoer gegevens'!$C$17=E129,0,IF(C129=1,Q128,0))</f>
        <v>0</v>
      </c>
      <c r="M129" s="96">
        <f t="shared" ca="1" si="18"/>
        <v>0</v>
      </c>
      <c r="N129" s="84">
        <f ca="1">(1-('Invoer gegevens'!$F$20/12))*L129*MIN(BA129,BC129)</f>
        <v>0</v>
      </c>
      <c r="O129" s="84">
        <f t="shared" ca="1" si="19"/>
        <v>0</v>
      </c>
      <c r="P129" s="84">
        <f ca="1">('Invoer gegevens'!$F$20/12)*L128*MIN(BA129,BC129)</f>
        <v>0</v>
      </c>
      <c r="Q129" s="84">
        <f t="shared" ca="1" si="23"/>
        <v>0</v>
      </c>
      <c r="R129" s="85">
        <f ca="1">IF('Invoer gegevens'!$C$17=E129,'Invoer gegevens'!$C$11,IF(C129=1,W128,0))</f>
        <v>0</v>
      </c>
      <c r="S129" s="86">
        <f t="shared" ca="1" si="20"/>
        <v>0</v>
      </c>
      <c r="T129" s="86">
        <f ca="1">(1-('Invoer gegevens'!$F$20/12))*R129*MIN(BC129,BA129)</f>
        <v>0</v>
      </c>
      <c r="U129" s="86">
        <f ca="1">IF(BD129&lt;1,IF(Reeksen!AD129&lt;=Reeksen!AE129,R129*Reeksen!C129,0),IF(BC129&gt;=BA129,0,IF(Reeksen!AD129&lt;=Reeksen!AE129,(BA129-BC129)*R129,0)))</f>
        <v>0</v>
      </c>
      <c r="V129" s="86">
        <f ca="1">IF(BD129&lt;1,IF(Reeksen!AD129&gt;Reeksen!AE129,R129*Reeksen!C129,0),IF(BC129&gt;=BA129,0,IF(Reeksen!AD129&gt;Reeksen!AE129,(BA129-BC129)*R129,0)))</f>
        <v>0</v>
      </c>
      <c r="W129" s="218">
        <f t="shared" ca="1" si="24"/>
        <v>0</v>
      </c>
      <c r="X129" s="98">
        <f ca="1">IF('Invoer gegevens'!$C$17=E129,'Invoer gegevens'!$C$10-'Invoer gegevens'!$C$11,IF(C129=1,AC128,0))</f>
        <v>0</v>
      </c>
      <c r="Y129" s="98">
        <f t="shared" ca="1" si="21"/>
        <v>0</v>
      </c>
      <c r="Z129" s="98">
        <f ca="1">(1-('Invoer gegevens'!$F$20/12))*X129*MIN(BA129,BC129)</f>
        <v>0</v>
      </c>
      <c r="AA129" s="98">
        <f ca="1">IF(BD129&lt;1,IF(Reeksen!AD129&lt;=Reeksen!AE129,X129*Reeksen!C129,0),IF(BC129&gt;=BA129,0,IF(Reeksen!AD129&lt;=Reeksen!AE129,(BA129-BC129)*X129,0)))</f>
        <v>0</v>
      </c>
      <c r="AB129" s="98">
        <f ca="1">IF(BD129&lt;1,IF(Reeksen!AD129&gt;Reeksen!AE129,X129*Reeksen!C129,0),IF(BC129&gt;=BA129,0,IF(Reeksen!AD129&gt;Reeksen!AE129,(BA129-BC129)*X129,0)))</f>
        <v>0</v>
      </c>
      <c r="AC129" s="99">
        <f t="shared" ca="1" si="25"/>
        <v>0</v>
      </c>
      <c r="AD129" s="98">
        <f ca="1">IF('Invoer gegevens'!$C$17=E129,R129,IF(C129=0,0,AE128))</f>
        <v>0</v>
      </c>
      <c r="AE129" s="98">
        <f t="shared" ca="1" si="26"/>
        <v>0</v>
      </c>
      <c r="AF129" s="98">
        <f ca="1">IF('Invoer gegevens'!$C$17=E129,X129,IF(C129=0,0,AG128))</f>
        <v>0</v>
      </c>
      <c r="AG129" s="98">
        <f t="shared" ca="1" si="27"/>
        <v>0</v>
      </c>
      <c r="AH129" s="66"/>
      <c r="AI129" s="71">
        <f ca="1">IF(C129=1,Reeksen!AI129*((F129+K129)/2)*12+Reeksen!AD129*((L129+Q129)/2)*12,0)</f>
        <v>0</v>
      </c>
      <c r="AJ129" s="71">
        <f ca="1">-AI129*'Invoer gegevens'!$F$28</f>
        <v>0</v>
      </c>
      <c r="AK129" s="71">
        <f t="shared" ca="1" si="28"/>
        <v>0</v>
      </c>
      <c r="AL129" s="71">
        <f ca="1">IF(C129=1,Reeksen!AL129*((F129-G129+F129)/2)*12+Reeksen!AM129*((L129-M129+L129)/2)*12,0)</f>
        <v>0</v>
      </c>
      <c r="AM129" s="71">
        <f ca="1">-AL129*'Invoer gegevens'!$F$31</f>
        <v>0</v>
      </c>
      <c r="AN129" s="71">
        <f t="shared" ca="1" si="29"/>
        <v>0</v>
      </c>
      <c r="AO129" s="71">
        <f ca="1">IF(C129=1,(H129+J129+N129+P129)*Reeksen!AN129,0)</f>
        <v>0</v>
      </c>
      <c r="AP129" s="71">
        <f ca="1">-IF(C129=1,(H129+J129+N129+P129)*'Hulp - basis'!$G$550*Reeksen!H129,0)</f>
        <v>0</v>
      </c>
      <c r="AQ129" s="71">
        <f ca="1">-IF(C129=1,(F129+K129+L129+Q129)/2*'Invoer gegevens'!$F$35*Reeksen!J129,0)*2</f>
        <v>0</v>
      </c>
      <c r="AR129" s="71">
        <f ca="1">IF(BD129&lt;1,-IF(C129=1,(G129*'Invoer gegevens'!$F$36)*Reeksen!J129,0),0)</f>
        <v>0</v>
      </c>
      <c r="AS129" s="71">
        <f ca="1">-IF(C129=1,(F129+K129+L129+Q129)/2*'Invoer gegevens'!$F$37*Reeksen!L129,0)</f>
        <v>0</v>
      </c>
      <c r="AT129" s="71">
        <f ca="1">-IF(C129=1,IF(E129='Invoer gegevens'!$C$17,'Invoer gegevens'!$C$11,AD129)*Reeksen!S129*'Invoer gegevens'!$C$18*Reeksen!P129,0)</f>
        <v>0</v>
      </c>
      <c r="AU129" s="71">
        <f ca="1">-IF(C129=1,(F129+K129+L129+Q129)/2*'Invoer gegevens'!$F$38*Reeksen!H129,0)</f>
        <v>0</v>
      </c>
      <c r="AV129" s="71">
        <f t="shared" si="33"/>
        <v>0</v>
      </c>
      <c r="AW129" s="71">
        <f t="shared" ca="1" si="30"/>
        <v>0</v>
      </c>
      <c r="AX129" s="71">
        <f ca="1">IF(E129&lt;'Invoer gegevens'!$C$17+15,0,IF(E129&gt;'Invoer gegevens'!$C$17+215,0,AW129))</f>
        <v>0</v>
      </c>
      <c r="AY129" s="71">
        <f ca="1">AX129/(1+'Invoer gegevens'!$F$18)^($AZ129-('Invoer gegevens'!$C$17-'Invoer gegevens'!$C$16))/(1+'Invoer gegevens'!$C$39)^('Invoer gegevens'!$C$17-'Invoer gegevens'!$C$16)</f>
        <v>0</v>
      </c>
      <c r="AZ129" s="68">
        <f ca="1">IF(E129-'Invoer gegevens'!$C$17-14.5&lt;0,0,E129-'Invoer gegevens'!$C$17-14.5)</f>
        <v>109.5</v>
      </c>
      <c r="BA129" s="109">
        <f ca="1">IFERROR(VLOOKUP(E129-15,Reeksen!$A$5:$D$234,2,FALSE),0)</f>
        <v>0</v>
      </c>
      <c r="BB129" s="109">
        <f ca="1">IFERROR(VLOOKUP(E129-15,Reeksen!$A$5:$D$234,3,FALSE),0)</f>
        <v>0</v>
      </c>
      <c r="BC129" s="109">
        <f ca="1">IFERROR(VLOOKUP(E129-15,Reeksen!$A$5:$D$234,4,FALSE),0)</f>
        <v>0</v>
      </c>
      <c r="BD129" s="67">
        <f ca="1">IF(E129-'Invoer gegevens'!$C$17&lt;15,0,1)</f>
        <v>1</v>
      </c>
    </row>
    <row r="130" spans="1:56" x14ac:dyDescent="0.25">
      <c r="A130" s="59"/>
      <c r="B130" s="70">
        <f t="shared" si="31"/>
        <v>126</v>
      </c>
      <c r="C130" s="67">
        <f ca="1">IF(E130-'Invoer gegevens'!$C$17&lt;0,0,1)</f>
        <v>1</v>
      </c>
      <c r="D130" s="68">
        <f t="shared" si="32"/>
        <v>125.5</v>
      </c>
      <c r="E130" s="108">
        <f ca="1">IF('Invoer gegevens'!$C$16="","",E129+1)</f>
        <v>2144</v>
      </c>
      <c r="F130" s="84">
        <f ca="1">IF('Invoer gegevens'!$C$17=E130,'Invoer gegevens'!$C$10,IF(C130=1,K129,0))</f>
        <v>0</v>
      </c>
      <c r="G130" s="96">
        <f ca="1">IF(BD130&lt;1,F130*Reeksen!C130,IF(C130&gt;=1,F130*BA130,0))</f>
        <v>0</v>
      </c>
      <c r="H130" s="84">
        <f ca="1">(1-('Invoer gegevens'!$F$20/12))*F130*MIN(BA130,BC130)</f>
        <v>0</v>
      </c>
      <c r="I130" s="84">
        <f t="shared" ca="1" si="17"/>
        <v>0</v>
      </c>
      <c r="J130" s="84">
        <f ca="1">('Invoer gegevens'!$F$20/12)*F129*MIN(BA130,BC130)</f>
        <v>0</v>
      </c>
      <c r="K130" s="97">
        <f t="shared" ca="1" si="22"/>
        <v>0</v>
      </c>
      <c r="L130" s="84">
        <f ca="1">IF('Invoer gegevens'!$C$17=E130,0,IF(C130=1,Q129,0))</f>
        <v>0</v>
      </c>
      <c r="M130" s="96">
        <f t="shared" ca="1" si="18"/>
        <v>0</v>
      </c>
      <c r="N130" s="84">
        <f ca="1">(1-('Invoer gegevens'!$F$20/12))*L130*MIN(BA130,BC130)</f>
        <v>0</v>
      </c>
      <c r="O130" s="84">
        <f t="shared" ca="1" si="19"/>
        <v>0</v>
      </c>
      <c r="P130" s="84">
        <f ca="1">('Invoer gegevens'!$F$20/12)*L129*MIN(BA130,BC130)</f>
        <v>0</v>
      </c>
      <c r="Q130" s="84">
        <f t="shared" ca="1" si="23"/>
        <v>0</v>
      </c>
      <c r="R130" s="85">
        <f ca="1">IF('Invoer gegevens'!$C$17=E130,'Invoer gegevens'!$C$11,IF(C130=1,W129,0))</f>
        <v>0</v>
      </c>
      <c r="S130" s="86">
        <f t="shared" ca="1" si="20"/>
        <v>0</v>
      </c>
      <c r="T130" s="86">
        <f ca="1">(1-('Invoer gegevens'!$F$20/12))*R130*MIN(BC130,BA130)</f>
        <v>0</v>
      </c>
      <c r="U130" s="86">
        <f ca="1">IF(BD130&lt;1,IF(Reeksen!AD130&lt;=Reeksen!AE130,R130*Reeksen!C130,0),IF(BC130&gt;=BA130,0,IF(Reeksen!AD130&lt;=Reeksen!AE130,(BA130-BC130)*R130,0)))</f>
        <v>0</v>
      </c>
      <c r="V130" s="86">
        <f ca="1">IF(BD130&lt;1,IF(Reeksen!AD130&gt;Reeksen!AE130,R130*Reeksen!C130,0),IF(BC130&gt;=BA130,0,IF(Reeksen!AD130&gt;Reeksen!AE130,(BA130-BC130)*R130,0)))</f>
        <v>0</v>
      </c>
      <c r="W130" s="218">
        <f t="shared" ca="1" si="24"/>
        <v>0</v>
      </c>
      <c r="X130" s="98">
        <f ca="1">IF('Invoer gegevens'!$C$17=E130,'Invoer gegevens'!$C$10-'Invoer gegevens'!$C$11,IF(C130=1,AC129,0))</f>
        <v>0</v>
      </c>
      <c r="Y130" s="98">
        <f t="shared" ca="1" si="21"/>
        <v>0</v>
      </c>
      <c r="Z130" s="98">
        <f ca="1">(1-('Invoer gegevens'!$F$20/12))*X130*MIN(BA130,BC130)</f>
        <v>0</v>
      </c>
      <c r="AA130" s="98">
        <f ca="1">IF(BD130&lt;1,IF(Reeksen!AD130&lt;=Reeksen!AE130,X130*Reeksen!C130,0),IF(BC130&gt;=BA130,0,IF(Reeksen!AD130&lt;=Reeksen!AE130,(BA130-BC130)*X130,0)))</f>
        <v>0</v>
      </c>
      <c r="AB130" s="98">
        <f ca="1">IF(BD130&lt;1,IF(Reeksen!AD130&gt;Reeksen!AE130,X130*Reeksen!C130,0),IF(BC130&gt;=BA130,0,IF(Reeksen!AD130&gt;Reeksen!AE130,(BA130-BC130)*X130,0)))</f>
        <v>0</v>
      </c>
      <c r="AC130" s="99">
        <f t="shared" ca="1" si="25"/>
        <v>0</v>
      </c>
      <c r="AD130" s="98">
        <f ca="1">IF('Invoer gegevens'!$C$17=E130,R130,IF(C130=0,0,AE129))</f>
        <v>0</v>
      </c>
      <c r="AE130" s="98">
        <f t="shared" ca="1" si="26"/>
        <v>0</v>
      </c>
      <c r="AF130" s="98">
        <f ca="1">IF('Invoer gegevens'!$C$17=E130,X130,IF(C130=0,0,AG129))</f>
        <v>0</v>
      </c>
      <c r="AG130" s="98">
        <f t="shared" ca="1" si="27"/>
        <v>0</v>
      </c>
      <c r="AH130" s="66"/>
      <c r="AI130" s="71">
        <f ca="1">IF(C130=1,Reeksen!AI130*((F130+K130)/2)*12+Reeksen!AD130*((L130+Q130)/2)*12,0)</f>
        <v>0</v>
      </c>
      <c r="AJ130" s="71">
        <f ca="1">-AI130*'Invoer gegevens'!$F$28</f>
        <v>0</v>
      </c>
      <c r="AK130" s="71">
        <f t="shared" ca="1" si="28"/>
        <v>0</v>
      </c>
      <c r="AL130" s="71">
        <f ca="1">IF(C130=1,Reeksen!AL130*((F130-G130+F130)/2)*12+Reeksen!AM130*((L130-M130+L130)/2)*12,0)</f>
        <v>0</v>
      </c>
      <c r="AM130" s="71">
        <f ca="1">-AL130*'Invoer gegevens'!$F$31</f>
        <v>0</v>
      </c>
      <c r="AN130" s="71">
        <f t="shared" ca="1" si="29"/>
        <v>0</v>
      </c>
      <c r="AO130" s="71">
        <f ca="1">IF(C130=1,(H130+J130+N130+P130)*Reeksen!AN130,0)</f>
        <v>0</v>
      </c>
      <c r="AP130" s="71">
        <f ca="1">-IF(C130=1,(H130+J130+N130+P130)*'Hulp - basis'!$G$550*Reeksen!H130,0)</f>
        <v>0</v>
      </c>
      <c r="AQ130" s="71">
        <f ca="1">-IF(C130=1,(F130+K130+L130+Q130)/2*'Invoer gegevens'!$F$35*Reeksen!J130,0)*2</f>
        <v>0</v>
      </c>
      <c r="AR130" s="71">
        <f ca="1">IF(BD130&lt;1,-IF(C130=1,(G130*'Invoer gegevens'!$F$36)*Reeksen!J130,0),0)</f>
        <v>0</v>
      </c>
      <c r="AS130" s="71">
        <f ca="1">-IF(C130=1,(F130+K130+L130+Q130)/2*'Invoer gegevens'!$F$37*Reeksen!L130,0)</f>
        <v>0</v>
      </c>
      <c r="AT130" s="71">
        <f ca="1">-IF(C130=1,IF(E130='Invoer gegevens'!$C$17,'Invoer gegevens'!$C$11,AD130)*Reeksen!S130*'Invoer gegevens'!$C$18*Reeksen!P130,0)</f>
        <v>0</v>
      </c>
      <c r="AU130" s="71">
        <f ca="1">-IF(C130=1,(F130+K130+L130+Q130)/2*'Invoer gegevens'!$F$38*Reeksen!H130,0)</f>
        <v>0</v>
      </c>
      <c r="AV130" s="71">
        <f t="shared" si="33"/>
        <v>0</v>
      </c>
      <c r="AW130" s="71">
        <f t="shared" ca="1" si="30"/>
        <v>0</v>
      </c>
      <c r="AX130" s="71">
        <f ca="1">IF(E130&lt;'Invoer gegevens'!$C$17+15,0,IF(E130&gt;'Invoer gegevens'!$C$17+215,0,AW130))</f>
        <v>0</v>
      </c>
      <c r="AY130" s="71">
        <f ca="1">AX130/(1+'Invoer gegevens'!$F$18)^($AZ130-('Invoer gegevens'!$C$17-'Invoer gegevens'!$C$16))/(1+'Invoer gegevens'!$C$39)^('Invoer gegevens'!$C$17-'Invoer gegevens'!$C$16)</f>
        <v>0</v>
      </c>
      <c r="AZ130" s="68">
        <f ca="1">IF(E130-'Invoer gegevens'!$C$17-14.5&lt;0,0,E130-'Invoer gegevens'!$C$17-14.5)</f>
        <v>110.5</v>
      </c>
      <c r="BA130" s="109">
        <f ca="1">IFERROR(VLOOKUP(E130-15,Reeksen!$A$5:$D$234,2,FALSE),0)</f>
        <v>0</v>
      </c>
      <c r="BB130" s="109">
        <f ca="1">IFERROR(VLOOKUP(E130-15,Reeksen!$A$5:$D$234,3,FALSE),0)</f>
        <v>0</v>
      </c>
      <c r="BC130" s="109">
        <f ca="1">IFERROR(VLOOKUP(E130-15,Reeksen!$A$5:$D$234,4,FALSE),0)</f>
        <v>0</v>
      </c>
      <c r="BD130" s="67">
        <f ca="1">IF(E130-'Invoer gegevens'!$C$17&lt;15,0,1)</f>
        <v>1</v>
      </c>
    </row>
    <row r="131" spans="1:56" x14ac:dyDescent="0.25">
      <c r="A131" s="59"/>
      <c r="B131" s="70">
        <f t="shared" si="31"/>
        <v>127</v>
      </c>
      <c r="C131" s="67">
        <f ca="1">IF(E131-'Invoer gegevens'!$C$17&lt;0,0,1)</f>
        <v>1</v>
      </c>
      <c r="D131" s="68">
        <f t="shared" si="32"/>
        <v>126.5</v>
      </c>
      <c r="E131" s="108">
        <f ca="1">IF('Invoer gegevens'!$C$16="","",E130+1)</f>
        <v>2145</v>
      </c>
      <c r="F131" s="84">
        <f ca="1">IF('Invoer gegevens'!$C$17=E131,'Invoer gegevens'!$C$10,IF(C131=1,K130,0))</f>
        <v>0</v>
      </c>
      <c r="G131" s="96">
        <f ca="1">IF(BD131&lt;1,F131*Reeksen!C131,IF(C131&gt;=1,F131*BA131,0))</f>
        <v>0</v>
      </c>
      <c r="H131" s="84">
        <f ca="1">(1-('Invoer gegevens'!$F$20/12))*F131*MIN(BA131,BC131)</f>
        <v>0</v>
      </c>
      <c r="I131" s="84">
        <f t="shared" ca="1" si="17"/>
        <v>0</v>
      </c>
      <c r="J131" s="84">
        <f ca="1">('Invoer gegevens'!$F$20/12)*F130*MIN(BA131,BC131)</f>
        <v>0</v>
      </c>
      <c r="K131" s="97">
        <f t="shared" ca="1" si="22"/>
        <v>0</v>
      </c>
      <c r="L131" s="84">
        <f ca="1">IF('Invoer gegevens'!$C$17=E131,0,IF(C131=1,Q130,0))</f>
        <v>0</v>
      </c>
      <c r="M131" s="96">
        <f t="shared" ca="1" si="18"/>
        <v>0</v>
      </c>
      <c r="N131" s="84">
        <f ca="1">(1-('Invoer gegevens'!$F$20/12))*L131*MIN(BA131,BC131)</f>
        <v>0</v>
      </c>
      <c r="O131" s="84">
        <f t="shared" ca="1" si="19"/>
        <v>0</v>
      </c>
      <c r="P131" s="84">
        <f ca="1">('Invoer gegevens'!$F$20/12)*L130*MIN(BA131,BC131)</f>
        <v>0</v>
      </c>
      <c r="Q131" s="84">
        <f t="shared" ca="1" si="23"/>
        <v>0</v>
      </c>
      <c r="R131" s="85">
        <f ca="1">IF('Invoer gegevens'!$C$17=E131,'Invoer gegevens'!$C$11,IF(C131=1,W130,0))</f>
        <v>0</v>
      </c>
      <c r="S131" s="86">
        <f t="shared" ca="1" si="20"/>
        <v>0</v>
      </c>
      <c r="T131" s="86">
        <f ca="1">(1-('Invoer gegevens'!$F$20/12))*R131*MIN(BC131,BA131)</f>
        <v>0</v>
      </c>
      <c r="U131" s="86">
        <f ca="1">IF(BD131&lt;1,IF(Reeksen!AD131&lt;=Reeksen!AE131,R131*Reeksen!C131,0),IF(BC131&gt;=BA131,0,IF(Reeksen!AD131&lt;=Reeksen!AE131,(BA131-BC131)*R131,0)))</f>
        <v>0</v>
      </c>
      <c r="V131" s="86">
        <f ca="1">IF(BD131&lt;1,IF(Reeksen!AD131&gt;Reeksen!AE131,R131*Reeksen!C131,0),IF(BC131&gt;=BA131,0,IF(Reeksen!AD131&gt;Reeksen!AE131,(BA131-BC131)*R131,0)))</f>
        <v>0</v>
      </c>
      <c r="W131" s="218">
        <f t="shared" ca="1" si="24"/>
        <v>0</v>
      </c>
      <c r="X131" s="98">
        <f ca="1">IF('Invoer gegevens'!$C$17=E131,'Invoer gegevens'!$C$10-'Invoer gegevens'!$C$11,IF(C131=1,AC130,0))</f>
        <v>0</v>
      </c>
      <c r="Y131" s="98">
        <f t="shared" ca="1" si="21"/>
        <v>0</v>
      </c>
      <c r="Z131" s="98">
        <f ca="1">(1-('Invoer gegevens'!$F$20/12))*X131*MIN(BA131,BC131)</f>
        <v>0</v>
      </c>
      <c r="AA131" s="98">
        <f ca="1">IF(BD131&lt;1,IF(Reeksen!AD131&lt;=Reeksen!AE131,X131*Reeksen!C131,0),IF(BC131&gt;=BA131,0,IF(Reeksen!AD131&lt;=Reeksen!AE131,(BA131-BC131)*X131,0)))</f>
        <v>0</v>
      </c>
      <c r="AB131" s="98">
        <f ca="1">IF(BD131&lt;1,IF(Reeksen!AD131&gt;Reeksen!AE131,X131*Reeksen!C131,0),IF(BC131&gt;=BA131,0,IF(Reeksen!AD131&gt;Reeksen!AE131,(BA131-BC131)*X131,0)))</f>
        <v>0</v>
      </c>
      <c r="AC131" s="99">
        <f t="shared" ca="1" si="25"/>
        <v>0</v>
      </c>
      <c r="AD131" s="98">
        <f ca="1">IF('Invoer gegevens'!$C$17=E131,R131,IF(C131=0,0,AE130))</f>
        <v>0</v>
      </c>
      <c r="AE131" s="98">
        <f t="shared" ca="1" si="26"/>
        <v>0</v>
      </c>
      <c r="AF131" s="98">
        <f ca="1">IF('Invoer gegevens'!$C$17=E131,X131,IF(C131=0,0,AG130))</f>
        <v>0</v>
      </c>
      <c r="AG131" s="98">
        <f t="shared" ca="1" si="27"/>
        <v>0</v>
      </c>
      <c r="AH131" s="66"/>
      <c r="AI131" s="71">
        <f ca="1">IF(C131=1,Reeksen!AI131*((F131+K131)/2)*12+Reeksen!AD131*((L131+Q131)/2)*12,0)</f>
        <v>0</v>
      </c>
      <c r="AJ131" s="71">
        <f ca="1">-AI131*'Invoer gegevens'!$F$28</f>
        <v>0</v>
      </c>
      <c r="AK131" s="71">
        <f t="shared" ca="1" si="28"/>
        <v>0</v>
      </c>
      <c r="AL131" s="71">
        <f ca="1">IF(C131=1,Reeksen!AL131*((F131-G131+F131)/2)*12+Reeksen!AM131*((L131-M131+L131)/2)*12,0)</f>
        <v>0</v>
      </c>
      <c r="AM131" s="71">
        <f ca="1">-AL131*'Invoer gegevens'!$F$31</f>
        <v>0</v>
      </c>
      <c r="AN131" s="71">
        <f t="shared" ca="1" si="29"/>
        <v>0</v>
      </c>
      <c r="AO131" s="71">
        <f ca="1">IF(C131=1,(H131+J131+N131+P131)*Reeksen!AN131,0)</f>
        <v>0</v>
      </c>
      <c r="AP131" s="71">
        <f ca="1">-IF(C131=1,(H131+J131+N131+P131)*'Hulp - basis'!$G$550*Reeksen!H131,0)</f>
        <v>0</v>
      </c>
      <c r="AQ131" s="71">
        <f ca="1">-IF(C131=1,(F131+K131+L131+Q131)/2*'Invoer gegevens'!$F$35*Reeksen!J131,0)*2</f>
        <v>0</v>
      </c>
      <c r="AR131" s="71">
        <f ca="1">IF(BD131&lt;1,-IF(C131=1,(G131*'Invoer gegevens'!$F$36)*Reeksen!J131,0),0)</f>
        <v>0</v>
      </c>
      <c r="AS131" s="71">
        <f ca="1">-IF(C131=1,(F131+K131+L131+Q131)/2*'Invoer gegevens'!$F$37*Reeksen!L131,0)</f>
        <v>0</v>
      </c>
      <c r="AT131" s="71">
        <f ca="1">-IF(C131=1,IF(E131='Invoer gegevens'!$C$17,'Invoer gegevens'!$C$11,AD131)*Reeksen!S131*'Invoer gegevens'!$C$18*Reeksen!P131,0)</f>
        <v>0</v>
      </c>
      <c r="AU131" s="71">
        <f ca="1">-IF(C131=1,(F131+K131+L131+Q131)/2*'Invoer gegevens'!$F$38*Reeksen!H131,0)</f>
        <v>0</v>
      </c>
      <c r="AV131" s="71">
        <f t="shared" si="33"/>
        <v>0</v>
      </c>
      <c r="AW131" s="71">
        <f t="shared" ca="1" si="30"/>
        <v>0</v>
      </c>
      <c r="AX131" s="71">
        <f ca="1">IF(E131&lt;'Invoer gegevens'!$C$17+15,0,IF(E131&gt;'Invoer gegevens'!$C$17+215,0,AW131))</f>
        <v>0</v>
      </c>
      <c r="AY131" s="71">
        <f ca="1">AX131/(1+'Invoer gegevens'!$F$18)^($AZ131-('Invoer gegevens'!$C$17-'Invoer gegevens'!$C$16))/(1+'Invoer gegevens'!$C$39)^('Invoer gegevens'!$C$17-'Invoer gegevens'!$C$16)</f>
        <v>0</v>
      </c>
      <c r="AZ131" s="68">
        <f ca="1">IF(E131-'Invoer gegevens'!$C$17-14.5&lt;0,0,E131-'Invoer gegevens'!$C$17-14.5)</f>
        <v>111.5</v>
      </c>
      <c r="BA131" s="109">
        <f ca="1">IFERROR(VLOOKUP(E131-15,Reeksen!$A$5:$D$234,2,FALSE),0)</f>
        <v>0</v>
      </c>
      <c r="BB131" s="109">
        <f ca="1">IFERROR(VLOOKUP(E131-15,Reeksen!$A$5:$D$234,3,FALSE),0)</f>
        <v>0</v>
      </c>
      <c r="BC131" s="109">
        <f ca="1">IFERROR(VLOOKUP(E131-15,Reeksen!$A$5:$D$234,4,FALSE),0)</f>
        <v>0</v>
      </c>
      <c r="BD131" s="67">
        <f ca="1">IF(E131-'Invoer gegevens'!$C$17&lt;15,0,1)</f>
        <v>1</v>
      </c>
    </row>
    <row r="132" spans="1:56" x14ac:dyDescent="0.25">
      <c r="A132" s="59"/>
      <c r="B132" s="70">
        <f t="shared" si="31"/>
        <v>128</v>
      </c>
      <c r="C132" s="67">
        <f ca="1">IF(E132-'Invoer gegevens'!$C$17&lt;0,0,1)</f>
        <v>1</v>
      </c>
      <c r="D132" s="68">
        <f t="shared" si="32"/>
        <v>127.5</v>
      </c>
      <c r="E132" s="108">
        <f ca="1">IF('Invoer gegevens'!$C$16="","",E131+1)</f>
        <v>2146</v>
      </c>
      <c r="F132" s="84">
        <f ca="1">IF('Invoer gegevens'!$C$17=E132,'Invoer gegevens'!$C$10,IF(C132=1,K131,0))</f>
        <v>0</v>
      </c>
      <c r="G132" s="96">
        <f ca="1">IF(BD132&lt;1,F132*Reeksen!C132,IF(C132&gt;=1,F132*BA132,0))</f>
        <v>0</v>
      </c>
      <c r="H132" s="84">
        <f ca="1">(1-('Invoer gegevens'!$F$20/12))*F132*MIN(BA132,BC132)</f>
        <v>0</v>
      </c>
      <c r="I132" s="84">
        <f t="shared" ca="1" si="17"/>
        <v>0</v>
      </c>
      <c r="J132" s="84">
        <f ca="1">('Invoer gegevens'!$F$20/12)*F131*MIN(BA132,BC132)</f>
        <v>0</v>
      </c>
      <c r="K132" s="97">
        <f t="shared" ca="1" si="22"/>
        <v>0</v>
      </c>
      <c r="L132" s="84">
        <f ca="1">IF('Invoer gegevens'!$C$17=E132,0,IF(C132=1,Q131,0))</f>
        <v>0</v>
      </c>
      <c r="M132" s="96">
        <f t="shared" ca="1" si="18"/>
        <v>0</v>
      </c>
      <c r="N132" s="84">
        <f ca="1">(1-('Invoer gegevens'!$F$20/12))*L132*MIN(BA132,BC132)</f>
        <v>0</v>
      </c>
      <c r="O132" s="84">
        <f t="shared" ca="1" si="19"/>
        <v>0</v>
      </c>
      <c r="P132" s="84">
        <f ca="1">('Invoer gegevens'!$F$20/12)*L131*MIN(BA132,BC132)</f>
        <v>0</v>
      </c>
      <c r="Q132" s="84">
        <f t="shared" ca="1" si="23"/>
        <v>0</v>
      </c>
      <c r="R132" s="85">
        <f ca="1">IF('Invoer gegevens'!$C$17=E132,'Invoer gegevens'!$C$11,IF(C132=1,W131,0))</f>
        <v>0</v>
      </c>
      <c r="S132" s="86">
        <f t="shared" ca="1" si="20"/>
        <v>0</v>
      </c>
      <c r="T132" s="86">
        <f ca="1">(1-('Invoer gegevens'!$F$20/12))*R132*MIN(BC132,BA132)</f>
        <v>0</v>
      </c>
      <c r="U132" s="86">
        <f ca="1">IF(BD132&lt;1,IF(Reeksen!AD132&lt;=Reeksen!AE132,R132*Reeksen!C132,0),IF(BC132&gt;=BA132,0,IF(Reeksen!AD132&lt;=Reeksen!AE132,(BA132-BC132)*R132,0)))</f>
        <v>0</v>
      </c>
      <c r="V132" s="86">
        <f ca="1">IF(BD132&lt;1,IF(Reeksen!AD132&gt;Reeksen!AE132,R132*Reeksen!C132,0),IF(BC132&gt;=BA132,0,IF(Reeksen!AD132&gt;Reeksen!AE132,(BA132-BC132)*R132,0)))</f>
        <v>0</v>
      </c>
      <c r="W132" s="218">
        <f t="shared" ca="1" si="24"/>
        <v>0</v>
      </c>
      <c r="X132" s="98">
        <f ca="1">IF('Invoer gegevens'!$C$17=E132,'Invoer gegevens'!$C$10-'Invoer gegevens'!$C$11,IF(C132=1,AC131,0))</f>
        <v>0</v>
      </c>
      <c r="Y132" s="98">
        <f t="shared" ca="1" si="21"/>
        <v>0</v>
      </c>
      <c r="Z132" s="98">
        <f ca="1">(1-('Invoer gegevens'!$F$20/12))*X132*MIN(BA132,BC132)</f>
        <v>0</v>
      </c>
      <c r="AA132" s="98">
        <f ca="1">IF(BD132&lt;1,IF(Reeksen!AD132&lt;=Reeksen!AE132,X132*Reeksen!C132,0),IF(BC132&gt;=BA132,0,IF(Reeksen!AD132&lt;=Reeksen!AE132,(BA132-BC132)*X132,0)))</f>
        <v>0</v>
      </c>
      <c r="AB132" s="98">
        <f ca="1">IF(BD132&lt;1,IF(Reeksen!AD132&gt;Reeksen!AE132,X132*Reeksen!C132,0),IF(BC132&gt;=BA132,0,IF(Reeksen!AD132&gt;Reeksen!AE132,(BA132-BC132)*X132,0)))</f>
        <v>0</v>
      </c>
      <c r="AC132" s="99">
        <f t="shared" ca="1" si="25"/>
        <v>0</v>
      </c>
      <c r="AD132" s="98">
        <f ca="1">IF('Invoer gegevens'!$C$17=E132,R132,IF(C132=0,0,AE131))</f>
        <v>0</v>
      </c>
      <c r="AE132" s="98">
        <f t="shared" ca="1" si="26"/>
        <v>0</v>
      </c>
      <c r="AF132" s="98">
        <f ca="1">IF('Invoer gegevens'!$C$17=E132,X132,IF(C132=0,0,AG131))</f>
        <v>0</v>
      </c>
      <c r="AG132" s="98">
        <f t="shared" ca="1" si="27"/>
        <v>0</v>
      </c>
      <c r="AH132" s="66"/>
      <c r="AI132" s="71">
        <f ca="1">IF(C132=1,Reeksen!AI132*((F132+K132)/2)*12+Reeksen!AD132*((L132+Q132)/2)*12,0)</f>
        <v>0</v>
      </c>
      <c r="AJ132" s="71">
        <f ca="1">-AI132*'Invoer gegevens'!$F$28</f>
        <v>0</v>
      </c>
      <c r="AK132" s="71">
        <f t="shared" ca="1" si="28"/>
        <v>0</v>
      </c>
      <c r="AL132" s="71">
        <f ca="1">IF(C132=1,Reeksen!AL132*((F132-G132+F132)/2)*12+Reeksen!AM132*((L132-M132+L132)/2)*12,0)</f>
        <v>0</v>
      </c>
      <c r="AM132" s="71">
        <f ca="1">-AL132*'Invoer gegevens'!$F$31</f>
        <v>0</v>
      </c>
      <c r="AN132" s="71">
        <f t="shared" ca="1" si="29"/>
        <v>0</v>
      </c>
      <c r="AO132" s="71">
        <f ca="1">IF(C132=1,(H132+J132+N132+P132)*Reeksen!AN132,0)</f>
        <v>0</v>
      </c>
      <c r="AP132" s="71">
        <f ca="1">-IF(C132=1,(H132+J132+N132+P132)*'Hulp - basis'!$G$550*Reeksen!H132,0)</f>
        <v>0</v>
      </c>
      <c r="AQ132" s="71">
        <f ca="1">-IF(C132=1,(F132+K132+L132+Q132)/2*'Invoer gegevens'!$F$35*Reeksen!J132,0)*2</f>
        <v>0</v>
      </c>
      <c r="AR132" s="71">
        <f ca="1">IF(BD132&lt;1,-IF(C132=1,(G132*'Invoer gegevens'!$F$36)*Reeksen!J132,0),0)</f>
        <v>0</v>
      </c>
      <c r="AS132" s="71">
        <f ca="1">-IF(C132=1,(F132+K132+L132+Q132)/2*'Invoer gegevens'!$F$37*Reeksen!L132,0)</f>
        <v>0</v>
      </c>
      <c r="AT132" s="71">
        <f ca="1">-IF(C132=1,IF(E132='Invoer gegevens'!$C$17,'Invoer gegevens'!$C$11,AD132)*Reeksen!S132*'Invoer gegevens'!$C$18*Reeksen!P132,0)</f>
        <v>0</v>
      </c>
      <c r="AU132" s="71">
        <f ca="1">-IF(C132=1,(F132+K132+L132+Q132)/2*'Invoer gegevens'!$F$38*Reeksen!H132,0)</f>
        <v>0</v>
      </c>
      <c r="AV132" s="71">
        <f t="shared" si="33"/>
        <v>0</v>
      </c>
      <c r="AW132" s="71">
        <f t="shared" ca="1" si="30"/>
        <v>0</v>
      </c>
      <c r="AX132" s="71">
        <f ca="1">IF(E132&lt;'Invoer gegevens'!$C$17+15,0,IF(E132&gt;'Invoer gegevens'!$C$17+215,0,AW132))</f>
        <v>0</v>
      </c>
      <c r="AY132" s="71">
        <f ca="1">AX132/(1+'Invoer gegevens'!$F$18)^($AZ132-('Invoer gegevens'!$C$17-'Invoer gegevens'!$C$16))/(1+'Invoer gegevens'!$C$39)^('Invoer gegevens'!$C$17-'Invoer gegevens'!$C$16)</f>
        <v>0</v>
      </c>
      <c r="AZ132" s="68">
        <f ca="1">IF(E132-'Invoer gegevens'!$C$17-14.5&lt;0,0,E132-'Invoer gegevens'!$C$17-14.5)</f>
        <v>112.5</v>
      </c>
      <c r="BA132" s="109">
        <f ca="1">IFERROR(VLOOKUP(E132-15,Reeksen!$A$5:$D$234,2,FALSE),0)</f>
        <v>0</v>
      </c>
      <c r="BB132" s="109">
        <f ca="1">IFERROR(VLOOKUP(E132-15,Reeksen!$A$5:$D$234,3,FALSE),0)</f>
        <v>0</v>
      </c>
      <c r="BC132" s="109">
        <f ca="1">IFERROR(VLOOKUP(E132-15,Reeksen!$A$5:$D$234,4,FALSE),0)</f>
        <v>0</v>
      </c>
      <c r="BD132" s="67">
        <f ca="1">IF(E132-'Invoer gegevens'!$C$17&lt;15,0,1)</f>
        <v>1</v>
      </c>
    </row>
    <row r="133" spans="1:56" x14ac:dyDescent="0.25">
      <c r="A133" s="59"/>
      <c r="B133" s="70">
        <f t="shared" si="31"/>
        <v>129</v>
      </c>
      <c r="C133" s="67">
        <f ca="1">IF(E133-'Invoer gegevens'!$C$17&lt;0,0,1)</f>
        <v>1</v>
      </c>
      <c r="D133" s="68">
        <f t="shared" si="32"/>
        <v>128.5</v>
      </c>
      <c r="E133" s="108">
        <f ca="1">IF('Invoer gegevens'!$C$16="","",E132+1)</f>
        <v>2147</v>
      </c>
      <c r="F133" s="84">
        <f ca="1">IF('Invoer gegevens'!$C$17=E133,'Invoer gegevens'!$C$10,IF(C133=1,K132,0))</f>
        <v>0</v>
      </c>
      <c r="G133" s="96">
        <f ca="1">IF(BD133&lt;1,F133*Reeksen!C133,IF(C133&gt;=1,F133*BA133,0))</f>
        <v>0</v>
      </c>
      <c r="H133" s="84">
        <f ca="1">(1-('Invoer gegevens'!$F$20/12))*F133*MIN(BA133,BC133)</f>
        <v>0</v>
      </c>
      <c r="I133" s="84">
        <f t="shared" ref="I133:I196" ca="1" si="34">IF(BD133&lt;1,G133-H133,IF(BC133&lt;BA133,(BA133-BC133)*F133,0))</f>
        <v>0</v>
      </c>
      <c r="J133" s="84">
        <f ca="1">('Invoer gegevens'!$F$20/12)*F132*MIN(BA133,BC133)</f>
        <v>0</v>
      </c>
      <c r="K133" s="97">
        <f t="shared" ca="1" si="22"/>
        <v>0</v>
      </c>
      <c r="L133" s="84">
        <f ca="1">IF('Invoer gegevens'!$C$17=E133,0,IF(C133=1,Q132,0))</f>
        <v>0</v>
      </c>
      <c r="M133" s="96">
        <f t="shared" ref="M133:M196" ca="1" si="35">IF(C133&gt;=1,L133*BA133,0)</f>
        <v>0</v>
      </c>
      <c r="N133" s="84">
        <f ca="1">(1-('Invoer gegevens'!$F$20/12))*L133*MIN(BA133,BC133)</f>
        <v>0</v>
      </c>
      <c r="O133" s="84">
        <f t="shared" ref="O133:O196" ca="1" si="36">IF(BC133&lt;BA133,(BA133-BC133)*L133,0)</f>
        <v>0</v>
      </c>
      <c r="P133" s="84">
        <f ca="1">('Invoer gegevens'!$F$20/12)*L132*MIN(BA133,BC133)</f>
        <v>0</v>
      </c>
      <c r="Q133" s="84">
        <f t="shared" ca="1" si="23"/>
        <v>0</v>
      </c>
      <c r="R133" s="85">
        <f ca="1">IF('Invoer gegevens'!$C$17=E133,'Invoer gegevens'!$C$11,IF(C133=1,W132,0))</f>
        <v>0</v>
      </c>
      <c r="S133" s="86">
        <f t="shared" ref="S133:S196" ca="1" si="37">IF(C133&gt;=1,R133*BA133,0)</f>
        <v>0</v>
      </c>
      <c r="T133" s="86">
        <f ca="1">(1-('Invoer gegevens'!$F$20/12))*R133*MIN(BC133,BA133)</f>
        <v>0</v>
      </c>
      <c r="U133" s="86">
        <f ca="1">IF(BD133&lt;1,IF(Reeksen!AD133&lt;=Reeksen!AE133,R133*Reeksen!C133,0),IF(BC133&gt;=BA133,0,IF(Reeksen!AD133&lt;=Reeksen!AE133,(BA133-BC133)*R133,0)))</f>
        <v>0</v>
      </c>
      <c r="V133" s="86">
        <f ca="1">IF(BD133&lt;1,IF(Reeksen!AD133&gt;Reeksen!AE133,R133*Reeksen!C133,0),IF(BC133&gt;=BA133,0,IF(Reeksen!AD133&gt;Reeksen!AE133,(BA133-BC133)*R133,0)))</f>
        <v>0</v>
      </c>
      <c r="W133" s="218">
        <f t="shared" ca="1" si="24"/>
        <v>0</v>
      </c>
      <c r="X133" s="98">
        <f ca="1">IF('Invoer gegevens'!$C$17=E133,'Invoer gegevens'!$C$10-'Invoer gegevens'!$C$11,IF(C133=1,AC132,0))</f>
        <v>0</v>
      </c>
      <c r="Y133" s="98">
        <f t="shared" ref="Y133:Y196" ca="1" si="38">IF(C133&gt;=1,X133*BA133,0)</f>
        <v>0</v>
      </c>
      <c r="Z133" s="98">
        <f ca="1">(1-('Invoer gegevens'!$F$20/12))*X133*MIN(BA133,BC133)</f>
        <v>0</v>
      </c>
      <c r="AA133" s="98">
        <f ca="1">IF(BD133&lt;1,IF(Reeksen!AD133&lt;=Reeksen!AE133,X133*Reeksen!C133,0),IF(BC133&gt;=BA133,0,IF(Reeksen!AD133&lt;=Reeksen!AE133,(BA133-BC133)*X133,0)))</f>
        <v>0</v>
      </c>
      <c r="AB133" s="98">
        <f ca="1">IF(BD133&lt;1,IF(Reeksen!AD133&gt;Reeksen!AE133,X133*Reeksen!C133,0),IF(BC133&gt;=BA133,0,IF(Reeksen!AD133&gt;Reeksen!AE133,(BA133-BC133)*X133,0)))</f>
        <v>0</v>
      </c>
      <c r="AC133" s="99">
        <f t="shared" ca="1" si="25"/>
        <v>0</v>
      </c>
      <c r="AD133" s="98">
        <f ca="1">IF('Invoer gegevens'!$C$17=E133,R133,IF(C133=0,0,AE132))</f>
        <v>0</v>
      </c>
      <c r="AE133" s="98">
        <f t="shared" ca="1" si="26"/>
        <v>0</v>
      </c>
      <c r="AF133" s="98">
        <f ca="1">IF('Invoer gegevens'!$C$17=E133,X133,IF(C133=0,0,AG132))</f>
        <v>0</v>
      </c>
      <c r="AG133" s="98">
        <f t="shared" ca="1" si="27"/>
        <v>0</v>
      </c>
      <c r="AH133" s="66"/>
      <c r="AI133" s="71">
        <f ca="1">IF(C133=1,Reeksen!AI133*((F133+K133)/2)*12+Reeksen!AD133*((L133+Q133)/2)*12,0)</f>
        <v>0</v>
      </c>
      <c r="AJ133" s="71">
        <f ca="1">-AI133*'Invoer gegevens'!$F$28</f>
        <v>0</v>
      </c>
      <c r="AK133" s="71">
        <f t="shared" ca="1" si="28"/>
        <v>0</v>
      </c>
      <c r="AL133" s="71">
        <f ca="1">IF(C133=1,Reeksen!AL133*((F133-G133+F133)/2)*12+Reeksen!AM133*((L133-M133+L133)/2)*12,0)</f>
        <v>0</v>
      </c>
      <c r="AM133" s="71">
        <f ca="1">-AL133*'Invoer gegevens'!$F$31</f>
        <v>0</v>
      </c>
      <c r="AN133" s="71">
        <f t="shared" ca="1" si="29"/>
        <v>0</v>
      </c>
      <c r="AO133" s="71">
        <f ca="1">IF(C133=1,(H133+J133+N133+P133)*Reeksen!AN133,0)</f>
        <v>0</v>
      </c>
      <c r="AP133" s="71">
        <f ca="1">-IF(C133=1,(H133+J133+N133+P133)*'Hulp - basis'!$G$550*Reeksen!H133,0)</f>
        <v>0</v>
      </c>
      <c r="AQ133" s="71">
        <f ca="1">-IF(C133=1,(F133+K133+L133+Q133)/2*'Invoer gegevens'!$F$35*Reeksen!J133,0)*2</f>
        <v>0</v>
      </c>
      <c r="AR133" s="71">
        <f ca="1">IF(BD133&lt;1,-IF(C133=1,(G133*'Invoer gegevens'!$F$36)*Reeksen!J133,0),0)</f>
        <v>0</v>
      </c>
      <c r="AS133" s="71">
        <f ca="1">-IF(C133=1,(F133+K133+L133+Q133)/2*'Invoer gegevens'!$F$37*Reeksen!L133,0)</f>
        <v>0</v>
      </c>
      <c r="AT133" s="71">
        <f ca="1">-IF(C133=1,IF(E133='Invoer gegevens'!$C$17,'Invoer gegevens'!$C$11,AD133)*Reeksen!S133*'Invoer gegevens'!$C$18*Reeksen!P133,0)</f>
        <v>0</v>
      </c>
      <c r="AU133" s="71">
        <f ca="1">-IF(C133=1,(F133+K133+L133+Q133)/2*'Invoer gegevens'!$F$38*Reeksen!H133,0)</f>
        <v>0</v>
      </c>
      <c r="AV133" s="71">
        <f t="shared" si="33"/>
        <v>0</v>
      </c>
      <c r="AW133" s="71">
        <f t="shared" ca="1" si="30"/>
        <v>0</v>
      </c>
      <c r="AX133" s="71">
        <f ca="1">IF(E133&lt;'Invoer gegevens'!$C$17+15,0,IF(E133&gt;'Invoer gegevens'!$C$17+215,0,AW133))</f>
        <v>0</v>
      </c>
      <c r="AY133" s="71">
        <f ca="1">AX133/(1+'Invoer gegevens'!$F$18)^($AZ133-('Invoer gegevens'!$C$17-'Invoer gegevens'!$C$16))/(1+'Invoer gegevens'!$C$39)^('Invoer gegevens'!$C$17-'Invoer gegevens'!$C$16)</f>
        <v>0</v>
      </c>
      <c r="AZ133" s="68">
        <f ca="1">IF(E133-'Invoer gegevens'!$C$17-14.5&lt;0,0,E133-'Invoer gegevens'!$C$17-14.5)</f>
        <v>113.5</v>
      </c>
      <c r="BA133" s="109">
        <f ca="1">IFERROR(VLOOKUP(E133-15,Reeksen!$A$5:$D$234,2,FALSE),0)</f>
        <v>0</v>
      </c>
      <c r="BB133" s="109">
        <f ca="1">IFERROR(VLOOKUP(E133-15,Reeksen!$A$5:$D$234,3,FALSE),0)</f>
        <v>0</v>
      </c>
      <c r="BC133" s="109">
        <f ca="1">IFERROR(VLOOKUP(E133-15,Reeksen!$A$5:$D$234,4,FALSE),0)</f>
        <v>0</v>
      </c>
      <c r="BD133" s="67">
        <f ca="1">IF(E133-'Invoer gegevens'!$C$17&lt;15,0,1)</f>
        <v>1</v>
      </c>
    </row>
    <row r="134" spans="1:56" x14ac:dyDescent="0.25">
      <c r="A134" s="59"/>
      <c r="B134" s="70">
        <f t="shared" si="31"/>
        <v>130</v>
      </c>
      <c r="C134" s="67">
        <f ca="1">IF(E134-'Invoer gegevens'!$C$17&lt;0,0,1)</f>
        <v>1</v>
      </c>
      <c r="D134" s="68">
        <f t="shared" si="32"/>
        <v>129.5</v>
      </c>
      <c r="E134" s="108">
        <f ca="1">IF('Invoer gegevens'!$C$16="","",E133+1)</f>
        <v>2148</v>
      </c>
      <c r="F134" s="84">
        <f ca="1">IF('Invoer gegevens'!$C$17=E134,'Invoer gegevens'!$C$10,IF(C134=1,K133,0))</f>
        <v>0</v>
      </c>
      <c r="G134" s="96">
        <f ca="1">IF(BD134&lt;1,F134*Reeksen!C134,IF(C134&gt;=1,F134*BA134,0))</f>
        <v>0</v>
      </c>
      <c r="H134" s="84">
        <f ca="1">(1-('Invoer gegevens'!$F$20/12))*F134*MIN(BA134,BC134)</f>
        <v>0</v>
      </c>
      <c r="I134" s="84">
        <f t="shared" ca="1" si="34"/>
        <v>0</v>
      </c>
      <c r="J134" s="84">
        <f ca="1">('Invoer gegevens'!$F$20/12)*F133*MIN(BA134,BC134)</f>
        <v>0</v>
      </c>
      <c r="K134" s="97">
        <f t="shared" ref="K134:K197" ca="1" si="39">IF(F134-G134&lt;0,0,F134-G134)</f>
        <v>0</v>
      </c>
      <c r="L134" s="84">
        <f ca="1">IF('Invoer gegevens'!$C$17=E134,0,IF(C134=1,Q133,0))</f>
        <v>0</v>
      </c>
      <c r="M134" s="96">
        <f t="shared" ca="1" si="35"/>
        <v>0</v>
      </c>
      <c r="N134" s="84">
        <f ca="1">(1-('Invoer gegevens'!$F$20/12))*L134*MIN(BA134,BC134)</f>
        <v>0</v>
      </c>
      <c r="O134" s="84">
        <f t="shared" ca="1" si="36"/>
        <v>0</v>
      </c>
      <c r="P134" s="84">
        <f ca="1">('Invoer gegevens'!$F$20/12)*L133*MIN(BA134,BC134)</f>
        <v>0</v>
      </c>
      <c r="Q134" s="84">
        <f t="shared" ref="Q134:Q197" ca="1" si="40">IF(L134-M134+I134+O134&lt;0,0,L134-M134+I134+O134)</f>
        <v>0</v>
      </c>
      <c r="R134" s="85">
        <f ca="1">IF('Invoer gegevens'!$C$17=E134,'Invoer gegevens'!$C$11,IF(C134=1,W133,0))</f>
        <v>0</v>
      </c>
      <c r="S134" s="86">
        <f t="shared" ca="1" si="37"/>
        <v>0</v>
      </c>
      <c r="T134" s="86">
        <f ca="1">(1-('Invoer gegevens'!$F$20/12))*R134*MIN(BC134,BA134)</f>
        <v>0</v>
      </c>
      <c r="U134" s="86">
        <f ca="1">IF(BD134&lt;1,IF(Reeksen!AD134&lt;=Reeksen!AE134,R134*Reeksen!C134,0),IF(BC134&gt;=BA134,0,IF(Reeksen!AD134&lt;=Reeksen!AE134,(BA134-BC134)*R134,0)))</f>
        <v>0</v>
      </c>
      <c r="V134" s="86">
        <f ca="1">IF(BD134&lt;1,IF(Reeksen!AD134&gt;Reeksen!AE134,R134*Reeksen!C134,0),IF(BC134&gt;=BA134,0,IF(Reeksen!AD134&gt;Reeksen!AE134,(BA134-BC134)*R134,0)))</f>
        <v>0</v>
      </c>
      <c r="W134" s="218">
        <f t="shared" ref="W134:W197" ca="1" si="41">R134-S134-V134+AA134</f>
        <v>0</v>
      </c>
      <c r="X134" s="98">
        <f ca="1">IF('Invoer gegevens'!$C$17=E134,'Invoer gegevens'!$C$10-'Invoer gegevens'!$C$11,IF(C134=1,AC133,0))</f>
        <v>0</v>
      </c>
      <c r="Y134" s="98">
        <f t="shared" ca="1" si="38"/>
        <v>0</v>
      </c>
      <c r="Z134" s="98">
        <f ca="1">(1-('Invoer gegevens'!$F$20/12))*X134*MIN(BA134,BC134)</f>
        <v>0</v>
      </c>
      <c r="AA134" s="98">
        <f ca="1">IF(BD134&lt;1,IF(Reeksen!AD134&lt;=Reeksen!AE134,X134*Reeksen!C134,0),IF(BC134&gt;=BA134,0,IF(Reeksen!AD134&lt;=Reeksen!AE134,(BA134-BC134)*X134,0)))</f>
        <v>0</v>
      </c>
      <c r="AB134" s="98">
        <f ca="1">IF(BD134&lt;1,IF(Reeksen!AD134&gt;Reeksen!AE134,X134*Reeksen!C134,0),IF(BC134&gt;=BA134,0,IF(Reeksen!AD134&gt;Reeksen!AE134,(BA134-BC134)*X134,0)))</f>
        <v>0</v>
      </c>
      <c r="AC134" s="99">
        <f t="shared" ref="AC134:AC197" ca="1" si="42">X134-Y134+V134-AA134</f>
        <v>0</v>
      </c>
      <c r="AD134" s="98">
        <f ca="1">IF('Invoer gegevens'!$C$17=E134,R134,IF(C134=0,0,AE133))</f>
        <v>0</v>
      </c>
      <c r="AE134" s="98">
        <f t="shared" ref="AE134:AE197" ca="1" si="43">IF(C134=0,0,AD134-S134-V134+AA134)</f>
        <v>0</v>
      </c>
      <c r="AF134" s="98">
        <f ca="1">IF('Invoer gegevens'!$C$17=E134,X134,IF(C134=0,0,AG133))</f>
        <v>0</v>
      </c>
      <c r="AG134" s="98">
        <f t="shared" ref="AG134:AG197" ca="1" si="44">IF(C134=0,0,AF134-Y134-AA134+V134)</f>
        <v>0</v>
      </c>
      <c r="AH134" s="66"/>
      <c r="AI134" s="71">
        <f ca="1">IF(C134=1,Reeksen!AI134*((F134+K134)/2)*12+Reeksen!AD134*((L134+Q134)/2)*12,0)</f>
        <v>0</v>
      </c>
      <c r="AJ134" s="71">
        <f ca="1">-AI134*'Invoer gegevens'!$F$28</f>
        <v>0</v>
      </c>
      <c r="AK134" s="71">
        <f t="shared" ref="AK134:AK197" ca="1" si="45">AI134+AJ134</f>
        <v>0</v>
      </c>
      <c r="AL134" s="71">
        <f ca="1">IF(C134=1,Reeksen!AL134*((F134-G134+F134)/2)*12+Reeksen!AM134*((L134-M134+L134)/2)*12,0)</f>
        <v>0</v>
      </c>
      <c r="AM134" s="71">
        <f ca="1">-AL134*'Invoer gegevens'!$F$31</f>
        <v>0</v>
      </c>
      <c r="AN134" s="71">
        <f t="shared" ref="AN134:AN197" ca="1" si="46">AL134+AM134</f>
        <v>0</v>
      </c>
      <c r="AO134" s="71">
        <f ca="1">IF(C134=1,(H134+J134+N134+P134)*Reeksen!AN134,0)</f>
        <v>0</v>
      </c>
      <c r="AP134" s="71">
        <f ca="1">-IF(C134=1,(H134+J134+N134+P134)*'Hulp - basis'!$G$550*Reeksen!H134,0)</f>
        <v>0</v>
      </c>
      <c r="AQ134" s="71">
        <f ca="1">-IF(C134=1,(F134+K134+L134+Q134)/2*'Invoer gegevens'!$F$35*Reeksen!J134,0)*2</f>
        <v>0</v>
      </c>
      <c r="AR134" s="71">
        <f ca="1">IF(BD134&lt;1,-IF(C134=1,(G134*'Invoer gegevens'!$F$36)*Reeksen!J134,0),0)</f>
        <v>0</v>
      </c>
      <c r="AS134" s="71">
        <f ca="1">-IF(C134=1,(F134+K134+L134+Q134)/2*'Invoer gegevens'!$F$37*Reeksen!L134,0)</f>
        <v>0</v>
      </c>
      <c r="AT134" s="71">
        <f ca="1">-IF(C134=1,IF(E134='Invoer gegevens'!$C$17,'Invoer gegevens'!$C$11,AD134)*Reeksen!S134*'Invoer gegevens'!$C$18*Reeksen!P134,0)</f>
        <v>0</v>
      </c>
      <c r="AU134" s="71">
        <f ca="1">-IF(C134=1,(F134+K134+L134+Q134)/2*'Invoer gegevens'!$F$38*Reeksen!H134,0)</f>
        <v>0</v>
      </c>
      <c r="AV134" s="71">
        <f t="shared" si="33"/>
        <v>0</v>
      </c>
      <c r="AW134" s="71">
        <f t="shared" ref="AW134:AW197" ca="1" si="47">SUM(AK134,AN134:AV134)</f>
        <v>0</v>
      </c>
      <c r="AX134" s="71">
        <f ca="1">IF(E134&lt;'Invoer gegevens'!$C$17+15,0,IF(E134&gt;'Invoer gegevens'!$C$17+215,0,AW134))</f>
        <v>0</v>
      </c>
      <c r="AY134" s="71">
        <f ca="1">AX134/(1+'Invoer gegevens'!$F$18)^($AZ134-('Invoer gegevens'!$C$17-'Invoer gegevens'!$C$16))/(1+'Invoer gegevens'!$C$39)^('Invoer gegevens'!$C$17-'Invoer gegevens'!$C$16)</f>
        <v>0</v>
      </c>
      <c r="AZ134" s="68">
        <f ca="1">IF(E134-'Invoer gegevens'!$C$17-14.5&lt;0,0,E134-'Invoer gegevens'!$C$17-14.5)</f>
        <v>114.5</v>
      </c>
      <c r="BA134" s="109">
        <f ca="1">IFERROR(VLOOKUP(E134-15,Reeksen!$A$5:$D$234,2,FALSE),0)</f>
        <v>0</v>
      </c>
      <c r="BB134" s="109">
        <f ca="1">IFERROR(VLOOKUP(E134-15,Reeksen!$A$5:$D$234,3,FALSE),0)</f>
        <v>0</v>
      </c>
      <c r="BC134" s="109">
        <f ca="1">IFERROR(VLOOKUP(E134-15,Reeksen!$A$5:$D$234,4,FALSE),0)</f>
        <v>0</v>
      </c>
      <c r="BD134" s="67">
        <f ca="1">IF(E134-'Invoer gegevens'!$C$17&lt;15,0,1)</f>
        <v>1</v>
      </c>
    </row>
    <row r="135" spans="1:56" x14ac:dyDescent="0.25">
      <c r="A135" s="59"/>
      <c r="B135" s="70">
        <f t="shared" si="31"/>
        <v>131</v>
      </c>
      <c r="C135" s="67">
        <f ca="1">IF(E135-'Invoer gegevens'!$C$17&lt;0,0,1)</f>
        <v>1</v>
      </c>
      <c r="D135" s="68">
        <f t="shared" si="32"/>
        <v>130.5</v>
      </c>
      <c r="E135" s="108">
        <f ca="1">IF('Invoer gegevens'!$C$16="","",E134+1)</f>
        <v>2149</v>
      </c>
      <c r="F135" s="84">
        <f ca="1">IF('Invoer gegevens'!$C$17=E135,'Invoer gegevens'!$C$10,IF(C135=1,K134,0))</f>
        <v>0</v>
      </c>
      <c r="G135" s="96">
        <f ca="1">IF(BD135&lt;1,F135*Reeksen!C135,IF(C135&gt;=1,F135*BA135,0))</f>
        <v>0</v>
      </c>
      <c r="H135" s="84">
        <f ca="1">(1-('Invoer gegevens'!$F$20/12))*F135*MIN(BA135,BC135)</f>
        <v>0</v>
      </c>
      <c r="I135" s="84">
        <f t="shared" ca="1" si="34"/>
        <v>0</v>
      </c>
      <c r="J135" s="84">
        <f ca="1">('Invoer gegevens'!$F$20/12)*F134*MIN(BA135,BC135)</f>
        <v>0</v>
      </c>
      <c r="K135" s="97">
        <f t="shared" ca="1" si="39"/>
        <v>0</v>
      </c>
      <c r="L135" s="84">
        <f ca="1">IF('Invoer gegevens'!$C$17=E135,0,IF(C135=1,Q134,0))</f>
        <v>0</v>
      </c>
      <c r="M135" s="96">
        <f t="shared" ca="1" si="35"/>
        <v>0</v>
      </c>
      <c r="N135" s="84">
        <f ca="1">(1-('Invoer gegevens'!$F$20/12))*L135*MIN(BA135,BC135)</f>
        <v>0</v>
      </c>
      <c r="O135" s="84">
        <f t="shared" ca="1" si="36"/>
        <v>0</v>
      </c>
      <c r="P135" s="84">
        <f ca="1">('Invoer gegevens'!$F$20/12)*L134*MIN(BA135,BC135)</f>
        <v>0</v>
      </c>
      <c r="Q135" s="84">
        <f t="shared" ca="1" si="40"/>
        <v>0</v>
      </c>
      <c r="R135" s="85">
        <f ca="1">IF('Invoer gegevens'!$C$17=E135,'Invoer gegevens'!$C$11,IF(C135=1,W134,0))</f>
        <v>0</v>
      </c>
      <c r="S135" s="86">
        <f t="shared" ca="1" si="37"/>
        <v>0</v>
      </c>
      <c r="T135" s="86">
        <f ca="1">(1-('Invoer gegevens'!$F$20/12))*R135*MIN(BC135,BA135)</f>
        <v>0</v>
      </c>
      <c r="U135" s="86">
        <f ca="1">IF(BD135&lt;1,IF(Reeksen!AD135&lt;=Reeksen!AE135,R135*Reeksen!C135,0),IF(BC135&gt;=BA135,0,IF(Reeksen!AD135&lt;=Reeksen!AE135,(BA135-BC135)*R135,0)))</f>
        <v>0</v>
      </c>
      <c r="V135" s="86">
        <f ca="1">IF(BD135&lt;1,IF(Reeksen!AD135&gt;Reeksen!AE135,R135*Reeksen!C135,0),IF(BC135&gt;=BA135,0,IF(Reeksen!AD135&gt;Reeksen!AE135,(BA135-BC135)*R135,0)))</f>
        <v>0</v>
      </c>
      <c r="W135" s="218">
        <f t="shared" ca="1" si="41"/>
        <v>0</v>
      </c>
      <c r="X135" s="98">
        <f ca="1">IF('Invoer gegevens'!$C$17=E135,'Invoer gegevens'!$C$10-'Invoer gegevens'!$C$11,IF(C135=1,AC134,0))</f>
        <v>0</v>
      </c>
      <c r="Y135" s="98">
        <f t="shared" ca="1" si="38"/>
        <v>0</v>
      </c>
      <c r="Z135" s="98">
        <f ca="1">(1-('Invoer gegevens'!$F$20/12))*X135*MIN(BA135,BC135)</f>
        <v>0</v>
      </c>
      <c r="AA135" s="98">
        <f ca="1">IF(BD135&lt;1,IF(Reeksen!AD135&lt;=Reeksen!AE135,X135*Reeksen!C135,0),IF(BC135&gt;=BA135,0,IF(Reeksen!AD135&lt;=Reeksen!AE135,(BA135-BC135)*X135,0)))</f>
        <v>0</v>
      </c>
      <c r="AB135" s="98">
        <f ca="1">IF(BD135&lt;1,IF(Reeksen!AD135&gt;Reeksen!AE135,X135*Reeksen!C135,0),IF(BC135&gt;=BA135,0,IF(Reeksen!AD135&gt;Reeksen!AE135,(BA135-BC135)*X135,0)))</f>
        <v>0</v>
      </c>
      <c r="AC135" s="99">
        <f t="shared" ca="1" si="42"/>
        <v>0</v>
      </c>
      <c r="AD135" s="98">
        <f ca="1">IF('Invoer gegevens'!$C$17=E135,R135,IF(C135=0,0,AE134))</f>
        <v>0</v>
      </c>
      <c r="AE135" s="98">
        <f t="shared" ca="1" si="43"/>
        <v>0</v>
      </c>
      <c r="AF135" s="98">
        <f ca="1">IF('Invoer gegevens'!$C$17=E135,X135,IF(C135=0,0,AG134))</f>
        <v>0</v>
      </c>
      <c r="AG135" s="98">
        <f t="shared" ca="1" si="44"/>
        <v>0</v>
      </c>
      <c r="AH135" s="66"/>
      <c r="AI135" s="71">
        <f ca="1">IF(C135=1,Reeksen!AI135*((F135+K135)/2)*12+Reeksen!AD135*((L135+Q135)/2)*12,0)</f>
        <v>0</v>
      </c>
      <c r="AJ135" s="71">
        <f ca="1">-AI135*'Invoer gegevens'!$F$28</f>
        <v>0</v>
      </c>
      <c r="AK135" s="71">
        <f t="shared" ca="1" si="45"/>
        <v>0</v>
      </c>
      <c r="AL135" s="71">
        <f ca="1">IF(C135=1,Reeksen!AL135*((F135-G135+F135)/2)*12+Reeksen!AM135*((L135-M135+L135)/2)*12,0)</f>
        <v>0</v>
      </c>
      <c r="AM135" s="71">
        <f ca="1">-AL135*'Invoer gegevens'!$F$31</f>
        <v>0</v>
      </c>
      <c r="AN135" s="71">
        <f t="shared" ca="1" si="46"/>
        <v>0</v>
      </c>
      <c r="AO135" s="71">
        <f ca="1">IF(C135=1,(H135+J135+N135+P135)*Reeksen!AN135,0)</f>
        <v>0</v>
      </c>
      <c r="AP135" s="71">
        <f ca="1">-IF(C135=1,(H135+J135+N135+P135)*'Hulp - basis'!$G$550*Reeksen!H135,0)</f>
        <v>0</v>
      </c>
      <c r="AQ135" s="71">
        <f ca="1">-IF(C135=1,(F135+K135+L135+Q135)/2*'Invoer gegevens'!$F$35*Reeksen!J135,0)*2</f>
        <v>0</v>
      </c>
      <c r="AR135" s="71">
        <f ca="1">IF(BD135&lt;1,-IF(C135=1,(G135*'Invoer gegevens'!$F$36)*Reeksen!J135,0),0)</f>
        <v>0</v>
      </c>
      <c r="AS135" s="71">
        <f ca="1">-IF(C135=1,(F135+K135+L135+Q135)/2*'Invoer gegevens'!$F$37*Reeksen!L135,0)</f>
        <v>0</v>
      </c>
      <c r="AT135" s="71">
        <f ca="1">-IF(C135=1,IF(E135='Invoer gegevens'!$C$17,'Invoer gegevens'!$C$11,AD135)*Reeksen!S135*'Invoer gegevens'!$C$18*Reeksen!P135,0)</f>
        <v>0</v>
      </c>
      <c r="AU135" s="71">
        <f ca="1">-IF(C135=1,(F135+K135+L135+Q135)/2*'Invoer gegevens'!$F$38*Reeksen!H135,0)</f>
        <v>0</v>
      </c>
      <c r="AV135" s="71">
        <f t="shared" si="33"/>
        <v>0</v>
      </c>
      <c r="AW135" s="71">
        <f t="shared" ca="1" si="47"/>
        <v>0</v>
      </c>
      <c r="AX135" s="71">
        <f ca="1">IF(E135&lt;'Invoer gegevens'!$C$17+15,0,IF(E135&gt;'Invoer gegevens'!$C$17+215,0,AW135))</f>
        <v>0</v>
      </c>
      <c r="AY135" s="71">
        <f ca="1">AX135/(1+'Invoer gegevens'!$F$18)^($AZ135-('Invoer gegevens'!$C$17-'Invoer gegevens'!$C$16))/(1+'Invoer gegevens'!$C$39)^('Invoer gegevens'!$C$17-'Invoer gegevens'!$C$16)</f>
        <v>0</v>
      </c>
      <c r="AZ135" s="68">
        <f ca="1">IF(E135-'Invoer gegevens'!$C$17-14.5&lt;0,0,E135-'Invoer gegevens'!$C$17-14.5)</f>
        <v>115.5</v>
      </c>
      <c r="BA135" s="109">
        <f ca="1">IFERROR(VLOOKUP(E135-15,Reeksen!$A$5:$D$234,2,FALSE),0)</f>
        <v>0</v>
      </c>
      <c r="BB135" s="109">
        <f ca="1">IFERROR(VLOOKUP(E135-15,Reeksen!$A$5:$D$234,3,FALSE),0)</f>
        <v>0</v>
      </c>
      <c r="BC135" s="109">
        <f ca="1">IFERROR(VLOOKUP(E135-15,Reeksen!$A$5:$D$234,4,FALSE),0)</f>
        <v>0</v>
      </c>
      <c r="BD135" s="67">
        <f ca="1">IF(E135-'Invoer gegevens'!$C$17&lt;15,0,1)</f>
        <v>1</v>
      </c>
    </row>
    <row r="136" spans="1:56" x14ac:dyDescent="0.25">
      <c r="A136" s="59"/>
      <c r="B136" s="70">
        <f t="shared" ref="B136:B199" si="48">B135+1</f>
        <v>132</v>
      </c>
      <c r="C136" s="67">
        <f ca="1">IF(E136-'Invoer gegevens'!$C$17&lt;0,0,1)</f>
        <v>1</v>
      </c>
      <c r="D136" s="68">
        <f t="shared" ref="D136:D199" si="49">D135+1</f>
        <v>131.5</v>
      </c>
      <c r="E136" s="108">
        <f ca="1">IF('Invoer gegevens'!$C$16="","",E135+1)</f>
        <v>2150</v>
      </c>
      <c r="F136" s="84">
        <f ca="1">IF('Invoer gegevens'!$C$17=E136,'Invoer gegevens'!$C$10,IF(C136=1,K135,0))</f>
        <v>0</v>
      </c>
      <c r="G136" s="96">
        <f ca="1">IF(BD136&lt;1,F136*Reeksen!C136,IF(C136&gt;=1,F136*BA136,0))</f>
        <v>0</v>
      </c>
      <c r="H136" s="84">
        <f ca="1">(1-('Invoer gegevens'!$F$20/12))*F136*MIN(BA136,BC136)</f>
        <v>0</v>
      </c>
      <c r="I136" s="84">
        <f t="shared" ca="1" si="34"/>
        <v>0</v>
      </c>
      <c r="J136" s="84">
        <f ca="1">('Invoer gegevens'!$F$20/12)*F135*MIN(BA136,BC136)</f>
        <v>0</v>
      </c>
      <c r="K136" s="97">
        <f t="shared" ca="1" si="39"/>
        <v>0</v>
      </c>
      <c r="L136" s="84">
        <f ca="1">IF('Invoer gegevens'!$C$17=E136,0,IF(C136=1,Q135,0))</f>
        <v>0</v>
      </c>
      <c r="M136" s="96">
        <f t="shared" ca="1" si="35"/>
        <v>0</v>
      </c>
      <c r="N136" s="84">
        <f ca="1">(1-('Invoer gegevens'!$F$20/12))*L136*MIN(BA136,BC136)</f>
        <v>0</v>
      </c>
      <c r="O136" s="84">
        <f t="shared" ca="1" si="36"/>
        <v>0</v>
      </c>
      <c r="P136" s="84">
        <f ca="1">('Invoer gegevens'!$F$20/12)*L135*MIN(BA136,BC136)</f>
        <v>0</v>
      </c>
      <c r="Q136" s="84">
        <f t="shared" ca="1" si="40"/>
        <v>0</v>
      </c>
      <c r="R136" s="85">
        <f ca="1">IF('Invoer gegevens'!$C$17=E136,'Invoer gegevens'!$C$11,IF(C136=1,W135,0))</f>
        <v>0</v>
      </c>
      <c r="S136" s="86">
        <f t="shared" ca="1" si="37"/>
        <v>0</v>
      </c>
      <c r="T136" s="86">
        <f ca="1">(1-('Invoer gegevens'!$F$20/12))*R136*MIN(BC136,BA136)</f>
        <v>0</v>
      </c>
      <c r="U136" s="86">
        <f ca="1">IF(BD136&lt;1,IF(Reeksen!AD136&lt;=Reeksen!AE136,R136*Reeksen!C136,0),IF(BC136&gt;=BA136,0,IF(Reeksen!AD136&lt;=Reeksen!AE136,(BA136-BC136)*R136,0)))</f>
        <v>0</v>
      </c>
      <c r="V136" s="86">
        <f ca="1">IF(BD136&lt;1,IF(Reeksen!AD136&gt;Reeksen!AE136,R136*Reeksen!C136,0),IF(BC136&gt;=BA136,0,IF(Reeksen!AD136&gt;Reeksen!AE136,(BA136-BC136)*R136,0)))</f>
        <v>0</v>
      </c>
      <c r="W136" s="218">
        <f t="shared" ca="1" si="41"/>
        <v>0</v>
      </c>
      <c r="X136" s="98">
        <f ca="1">IF('Invoer gegevens'!$C$17=E136,'Invoer gegevens'!$C$10-'Invoer gegevens'!$C$11,IF(C136=1,AC135,0))</f>
        <v>0</v>
      </c>
      <c r="Y136" s="98">
        <f t="shared" ca="1" si="38"/>
        <v>0</v>
      </c>
      <c r="Z136" s="98">
        <f ca="1">(1-('Invoer gegevens'!$F$20/12))*X136*MIN(BA136,BC136)</f>
        <v>0</v>
      </c>
      <c r="AA136" s="98">
        <f ca="1">IF(BD136&lt;1,IF(Reeksen!AD136&lt;=Reeksen!AE136,X136*Reeksen!C136,0),IF(BC136&gt;=BA136,0,IF(Reeksen!AD136&lt;=Reeksen!AE136,(BA136-BC136)*X136,0)))</f>
        <v>0</v>
      </c>
      <c r="AB136" s="98">
        <f ca="1">IF(BD136&lt;1,IF(Reeksen!AD136&gt;Reeksen!AE136,X136*Reeksen!C136,0),IF(BC136&gt;=BA136,0,IF(Reeksen!AD136&gt;Reeksen!AE136,(BA136-BC136)*X136,0)))</f>
        <v>0</v>
      </c>
      <c r="AC136" s="99">
        <f t="shared" ca="1" si="42"/>
        <v>0</v>
      </c>
      <c r="AD136" s="98">
        <f ca="1">IF('Invoer gegevens'!$C$17=E136,R136,IF(C136=0,0,AE135))</f>
        <v>0</v>
      </c>
      <c r="AE136" s="98">
        <f t="shared" ca="1" si="43"/>
        <v>0</v>
      </c>
      <c r="AF136" s="98">
        <f ca="1">IF('Invoer gegevens'!$C$17=E136,X136,IF(C136=0,0,AG135))</f>
        <v>0</v>
      </c>
      <c r="AG136" s="98">
        <f t="shared" ca="1" si="44"/>
        <v>0</v>
      </c>
      <c r="AH136" s="66"/>
      <c r="AI136" s="71">
        <f ca="1">IF(C136=1,Reeksen!AI136*((F136+K136)/2)*12+Reeksen!AD136*((L136+Q136)/2)*12,0)</f>
        <v>0</v>
      </c>
      <c r="AJ136" s="71">
        <f ca="1">-AI136*'Invoer gegevens'!$F$28</f>
        <v>0</v>
      </c>
      <c r="AK136" s="71">
        <f t="shared" ca="1" si="45"/>
        <v>0</v>
      </c>
      <c r="AL136" s="71">
        <f ca="1">IF(C136=1,Reeksen!AL136*((F136-G136+F136)/2)*12+Reeksen!AM136*((L136-M136+L136)/2)*12,0)</f>
        <v>0</v>
      </c>
      <c r="AM136" s="71">
        <f ca="1">-AL136*'Invoer gegevens'!$F$31</f>
        <v>0</v>
      </c>
      <c r="AN136" s="71">
        <f t="shared" ca="1" si="46"/>
        <v>0</v>
      </c>
      <c r="AO136" s="71">
        <f ca="1">IF(C136=1,(H136+J136+N136+P136)*Reeksen!AN136,0)</f>
        <v>0</v>
      </c>
      <c r="AP136" s="71">
        <f ca="1">-IF(C136=1,(H136+J136+N136+P136)*'Hulp - basis'!$G$550*Reeksen!H136,0)</f>
        <v>0</v>
      </c>
      <c r="AQ136" s="71">
        <f ca="1">-IF(C136=1,(F136+K136+L136+Q136)/2*'Invoer gegevens'!$F$35*Reeksen!J136,0)*2</f>
        <v>0</v>
      </c>
      <c r="AR136" s="71">
        <f ca="1">IF(BD136&lt;1,-IF(C136=1,(G136*'Invoer gegevens'!$F$36)*Reeksen!J136,0),0)</f>
        <v>0</v>
      </c>
      <c r="AS136" s="71">
        <f ca="1">-IF(C136=1,(F136+K136+L136+Q136)/2*'Invoer gegevens'!$F$37*Reeksen!L136,0)</f>
        <v>0</v>
      </c>
      <c r="AT136" s="71">
        <f ca="1">-IF(C136=1,IF(E136='Invoer gegevens'!$C$17,'Invoer gegevens'!$C$11,AD136)*Reeksen!S136*'Invoer gegevens'!$C$18*Reeksen!P136,0)</f>
        <v>0</v>
      </c>
      <c r="AU136" s="71">
        <f ca="1">-IF(C136=1,(F136+K136+L136+Q136)/2*'Invoer gegevens'!$F$38*Reeksen!H136,0)</f>
        <v>0</v>
      </c>
      <c r="AV136" s="71">
        <f t="shared" si="33"/>
        <v>0</v>
      </c>
      <c r="AW136" s="71">
        <f t="shared" ca="1" si="47"/>
        <v>0</v>
      </c>
      <c r="AX136" s="71">
        <f ca="1">IF(E136&lt;'Invoer gegevens'!$C$17+15,0,IF(E136&gt;'Invoer gegevens'!$C$17+215,0,AW136))</f>
        <v>0</v>
      </c>
      <c r="AY136" s="71">
        <f ca="1">AX136/(1+'Invoer gegevens'!$F$18)^($AZ136-('Invoer gegevens'!$C$17-'Invoer gegevens'!$C$16))/(1+'Invoer gegevens'!$C$39)^('Invoer gegevens'!$C$17-'Invoer gegevens'!$C$16)</f>
        <v>0</v>
      </c>
      <c r="AZ136" s="68">
        <f ca="1">IF(E136-'Invoer gegevens'!$C$17-14.5&lt;0,0,E136-'Invoer gegevens'!$C$17-14.5)</f>
        <v>116.5</v>
      </c>
      <c r="BA136" s="109">
        <f ca="1">IFERROR(VLOOKUP(E136-15,Reeksen!$A$5:$D$234,2,FALSE),0)</f>
        <v>0</v>
      </c>
      <c r="BB136" s="109">
        <f ca="1">IFERROR(VLOOKUP(E136-15,Reeksen!$A$5:$D$234,3,FALSE),0)</f>
        <v>0</v>
      </c>
      <c r="BC136" s="109">
        <f ca="1">IFERROR(VLOOKUP(E136-15,Reeksen!$A$5:$D$234,4,FALSE),0)</f>
        <v>0</v>
      </c>
      <c r="BD136" s="67">
        <f ca="1">IF(E136-'Invoer gegevens'!$C$17&lt;15,0,1)</f>
        <v>1</v>
      </c>
    </row>
    <row r="137" spans="1:56" x14ac:dyDescent="0.25">
      <c r="A137" s="59"/>
      <c r="B137" s="70">
        <f t="shared" si="48"/>
        <v>133</v>
      </c>
      <c r="C137" s="67">
        <f ca="1">IF(E137-'Invoer gegevens'!$C$17&lt;0,0,1)</f>
        <v>1</v>
      </c>
      <c r="D137" s="68">
        <f t="shared" si="49"/>
        <v>132.5</v>
      </c>
      <c r="E137" s="108">
        <f ca="1">IF('Invoer gegevens'!$C$16="","",E136+1)</f>
        <v>2151</v>
      </c>
      <c r="F137" s="84">
        <f ca="1">IF('Invoer gegevens'!$C$17=E137,'Invoer gegevens'!$C$10,IF(C137=1,K136,0))</f>
        <v>0</v>
      </c>
      <c r="G137" s="96">
        <f ca="1">IF(BD137&lt;1,F137*Reeksen!C137,IF(C137&gt;=1,F137*BA137,0))</f>
        <v>0</v>
      </c>
      <c r="H137" s="84">
        <f ca="1">(1-('Invoer gegevens'!$F$20/12))*F137*MIN(BA137,BC137)</f>
        <v>0</v>
      </c>
      <c r="I137" s="84">
        <f t="shared" ca="1" si="34"/>
        <v>0</v>
      </c>
      <c r="J137" s="84">
        <f ca="1">('Invoer gegevens'!$F$20/12)*F136*MIN(BA137,BC137)</f>
        <v>0</v>
      </c>
      <c r="K137" s="97">
        <f t="shared" ca="1" si="39"/>
        <v>0</v>
      </c>
      <c r="L137" s="84">
        <f ca="1">IF('Invoer gegevens'!$C$17=E137,0,IF(C137=1,Q136,0))</f>
        <v>0</v>
      </c>
      <c r="M137" s="96">
        <f t="shared" ca="1" si="35"/>
        <v>0</v>
      </c>
      <c r="N137" s="84">
        <f ca="1">(1-('Invoer gegevens'!$F$20/12))*L137*MIN(BA137,BC137)</f>
        <v>0</v>
      </c>
      <c r="O137" s="84">
        <f t="shared" ca="1" si="36"/>
        <v>0</v>
      </c>
      <c r="P137" s="84">
        <f ca="1">('Invoer gegevens'!$F$20/12)*L136*MIN(BA137,BC137)</f>
        <v>0</v>
      </c>
      <c r="Q137" s="84">
        <f t="shared" ca="1" si="40"/>
        <v>0</v>
      </c>
      <c r="R137" s="85">
        <f ca="1">IF('Invoer gegevens'!$C$17=E137,'Invoer gegevens'!$C$11,IF(C137=1,W136,0))</f>
        <v>0</v>
      </c>
      <c r="S137" s="86">
        <f t="shared" ca="1" si="37"/>
        <v>0</v>
      </c>
      <c r="T137" s="86">
        <f ca="1">(1-('Invoer gegevens'!$F$20/12))*R137*MIN(BC137,BA137)</f>
        <v>0</v>
      </c>
      <c r="U137" s="86">
        <f ca="1">IF(BD137&lt;1,IF(Reeksen!AD137&lt;=Reeksen!AE137,R137*Reeksen!C137,0),IF(BC137&gt;=BA137,0,IF(Reeksen!AD137&lt;=Reeksen!AE137,(BA137-BC137)*R137,0)))</f>
        <v>0</v>
      </c>
      <c r="V137" s="86">
        <f ca="1">IF(BD137&lt;1,IF(Reeksen!AD137&gt;Reeksen!AE137,R137*Reeksen!C137,0),IF(BC137&gt;=BA137,0,IF(Reeksen!AD137&gt;Reeksen!AE137,(BA137-BC137)*R137,0)))</f>
        <v>0</v>
      </c>
      <c r="W137" s="218">
        <f t="shared" ca="1" si="41"/>
        <v>0</v>
      </c>
      <c r="X137" s="98">
        <f ca="1">IF('Invoer gegevens'!$C$17=E137,'Invoer gegevens'!$C$10-'Invoer gegevens'!$C$11,IF(C137=1,AC136,0))</f>
        <v>0</v>
      </c>
      <c r="Y137" s="98">
        <f t="shared" ca="1" si="38"/>
        <v>0</v>
      </c>
      <c r="Z137" s="98">
        <f ca="1">(1-('Invoer gegevens'!$F$20/12))*X137*MIN(BA137,BC137)</f>
        <v>0</v>
      </c>
      <c r="AA137" s="98">
        <f ca="1">IF(BD137&lt;1,IF(Reeksen!AD137&lt;=Reeksen!AE137,X137*Reeksen!C137,0),IF(BC137&gt;=BA137,0,IF(Reeksen!AD137&lt;=Reeksen!AE137,(BA137-BC137)*X137,0)))</f>
        <v>0</v>
      </c>
      <c r="AB137" s="98">
        <f ca="1">IF(BD137&lt;1,IF(Reeksen!AD137&gt;Reeksen!AE137,X137*Reeksen!C137,0),IF(BC137&gt;=BA137,0,IF(Reeksen!AD137&gt;Reeksen!AE137,(BA137-BC137)*X137,0)))</f>
        <v>0</v>
      </c>
      <c r="AC137" s="99">
        <f t="shared" ca="1" si="42"/>
        <v>0</v>
      </c>
      <c r="AD137" s="98">
        <f ca="1">IF('Invoer gegevens'!$C$17=E137,R137,IF(C137=0,0,AE136))</f>
        <v>0</v>
      </c>
      <c r="AE137" s="98">
        <f t="shared" ca="1" si="43"/>
        <v>0</v>
      </c>
      <c r="AF137" s="98">
        <f ca="1">IF('Invoer gegevens'!$C$17=E137,X137,IF(C137=0,0,AG136))</f>
        <v>0</v>
      </c>
      <c r="AG137" s="98">
        <f t="shared" ca="1" si="44"/>
        <v>0</v>
      </c>
      <c r="AH137" s="66"/>
      <c r="AI137" s="71">
        <f ca="1">IF(C137=1,Reeksen!AI137*((F137+K137)/2)*12+Reeksen!AD137*((L137+Q137)/2)*12,0)</f>
        <v>0</v>
      </c>
      <c r="AJ137" s="71">
        <f ca="1">-AI137*'Invoer gegevens'!$F$28</f>
        <v>0</v>
      </c>
      <c r="AK137" s="71">
        <f t="shared" ca="1" si="45"/>
        <v>0</v>
      </c>
      <c r="AL137" s="71">
        <f ca="1">IF(C137=1,Reeksen!AL137*((F137-G137+F137)/2)*12+Reeksen!AM137*((L137-M137+L137)/2)*12,0)</f>
        <v>0</v>
      </c>
      <c r="AM137" s="71">
        <f ca="1">-AL137*'Invoer gegevens'!$F$31</f>
        <v>0</v>
      </c>
      <c r="AN137" s="71">
        <f t="shared" ca="1" si="46"/>
        <v>0</v>
      </c>
      <c r="AO137" s="71">
        <f ca="1">IF(C137=1,(H137+J137+N137+P137)*Reeksen!AN137,0)</f>
        <v>0</v>
      </c>
      <c r="AP137" s="71">
        <f ca="1">-IF(C137=1,(H137+J137+N137+P137)*'Hulp - basis'!$G$550*Reeksen!H137,0)</f>
        <v>0</v>
      </c>
      <c r="AQ137" s="71">
        <f ca="1">-IF(C137=1,(F137+K137+L137+Q137)/2*'Invoer gegevens'!$F$35*Reeksen!J137,0)*2</f>
        <v>0</v>
      </c>
      <c r="AR137" s="71">
        <f ca="1">IF(BD137&lt;1,-IF(C137=1,(G137*'Invoer gegevens'!$F$36)*Reeksen!J137,0),0)</f>
        <v>0</v>
      </c>
      <c r="AS137" s="71">
        <f ca="1">-IF(C137=1,(F137+K137+L137+Q137)/2*'Invoer gegevens'!$F$37*Reeksen!L137,0)</f>
        <v>0</v>
      </c>
      <c r="AT137" s="71">
        <f ca="1">-IF(C137=1,IF(E137='Invoer gegevens'!$C$17,'Invoer gegevens'!$C$11,AD137)*Reeksen!S137*'Invoer gegevens'!$C$18*Reeksen!P137,0)</f>
        <v>0</v>
      </c>
      <c r="AU137" s="71">
        <f ca="1">-IF(C137=1,(F137+K137+L137+Q137)/2*'Invoer gegevens'!$F$38*Reeksen!H137,0)</f>
        <v>0</v>
      </c>
      <c r="AV137" s="71">
        <f t="shared" si="33"/>
        <v>0</v>
      </c>
      <c r="AW137" s="71">
        <f t="shared" ca="1" si="47"/>
        <v>0</v>
      </c>
      <c r="AX137" s="71">
        <f ca="1">IF(E137&lt;'Invoer gegevens'!$C$17+15,0,IF(E137&gt;'Invoer gegevens'!$C$17+215,0,AW137))</f>
        <v>0</v>
      </c>
      <c r="AY137" s="71">
        <f ca="1">AX137/(1+'Invoer gegevens'!$F$18)^($AZ137-('Invoer gegevens'!$C$17-'Invoer gegevens'!$C$16))/(1+'Invoer gegevens'!$C$39)^('Invoer gegevens'!$C$17-'Invoer gegevens'!$C$16)</f>
        <v>0</v>
      </c>
      <c r="AZ137" s="68">
        <f ca="1">IF(E137-'Invoer gegevens'!$C$17-14.5&lt;0,0,E137-'Invoer gegevens'!$C$17-14.5)</f>
        <v>117.5</v>
      </c>
      <c r="BA137" s="109">
        <f ca="1">IFERROR(VLOOKUP(E137-15,Reeksen!$A$5:$D$234,2,FALSE),0)</f>
        <v>0</v>
      </c>
      <c r="BB137" s="109">
        <f ca="1">IFERROR(VLOOKUP(E137-15,Reeksen!$A$5:$D$234,3,FALSE),0)</f>
        <v>0</v>
      </c>
      <c r="BC137" s="109">
        <f ca="1">IFERROR(VLOOKUP(E137-15,Reeksen!$A$5:$D$234,4,FALSE),0)</f>
        <v>0</v>
      </c>
      <c r="BD137" s="67">
        <f ca="1">IF(E137-'Invoer gegevens'!$C$17&lt;15,0,1)</f>
        <v>1</v>
      </c>
    </row>
    <row r="138" spans="1:56" x14ac:dyDescent="0.25">
      <c r="A138" s="59"/>
      <c r="B138" s="70">
        <f t="shared" si="48"/>
        <v>134</v>
      </c>
      <c r="C138" s="67">
        <f ca="1">IF(E138-'Invoer gegevens'!$C$17&lt;0,0,1)</f>
        <v>1</v>
      </c>
      <c r="D138" s="68">
        <f t="shared" si="49"/>
        <v>133.5</v>
      </c>
      <c r="E138" s="108">
        <f ca="1">IF('Invoer gegevens'!$C$16="","",E137+1)</f>
        <v>2152</v>
      </c>
      <c r="F138" s="84">
        <f ca="1">IF('Invoer gegevens'!$C$17=E138,'Invoer gegevens'!$C$10,IF(C138=1,K137,0))</f>
        <v>0</v>
      </c>
      <c r="G138" s="96">
        <f ca="1">IF(BD138&lt;1,F138*Reeksen!C138,IF(C138&gt;=1,F138*BA138,0))</f>
        <v>0</v>
      </c>
      <c r="H138" s="84">
        <f ca="1">(1-('Invoer gegevens'!$F$20/12))*F138*MIN(BA138,BC138)</f>
        <v>0</v>
      </c>
      <c r="I138" s="84">
        <f t="shared" ca="1" si="34"/>
        <v>0</v>
      </c>
      <c r="J138" s="84">
        <f ca="1">('Invoer gegevens'!$F$20/12)*F137*MIN(BA138,BC138)</f>
        <v>0</v>
      </c>
      <c r="K138" s="97">
        <f t="shared" ca="1" si="39"/>
        <v>0</v>
      </c>
      <c r="L138" s="84">
        <f ca="1">IF('Invoer gegevens'!$C$17=E138,0,IF(C138=1,Q137,0))</f>
        <v>0</v>
      </c>
      <c r="M138" s="96">
        <f t="shared" ca="1" si="35"/>
        <v>0</v>
      </c>
      <c r="N138" s="84">
        <f ca="1">(1-('Invoer gegevens'!$F$20/12))*L138*MIN(BA138,BC138)</f>
        <v>0</v>
      </c>
      <c r="O138" s="84">
        <f t="shared" ca="1" si="36"/>
        <v>0</v>
      </c>
      <c r="P138" s="84">
        <f ca="1">('Invoer gegevens'!$F$20/12)*L137*MIN(BA138,BC138)</f>
        <v>0</v>
      </c>
      <c r="Q138" s="84">
        <f t="shared" ca="1" si="40"/>
        <v>0</v>
      </c>
      <c r="R138" s="85">
        <f ca="1">IF('Invoer gegevens'!$C$17=E138,'Invoer gegevens'!$C$11,IF(C138=1,W137,0))</f>
        <v>0</v>
      </c>
      <c r="S138" s="86">
        <f t="shared" ca="1" si="37"/>
        <v>0</v>
      </c>
      <c r="T138" s="86">
        <f ca="1">(1-('Invoer gegevens'!$F$20/12))*R138*MIN(BC138,BA138)</f>
        <v>0</v>
      </c>
      <c r="U138" s="86">
        <f ca="1">IF(BD138&lt;1,IF(Reeksen!AD138&lt;=Reeksen!AE138,R138*Reeksen!C138,0),IF(BC138&gt;=BA138,0,IF(Reeksen!AD138&lt;=Reeksen!AE138,(BA138-BC138)*R138,0)))</f>
        <v>0</v>
      </c>
      <c r="V138" s="86">
        <f ca="1">IF(BD138&lt;1,IF(Reeksen!AD138&gt;Reeksen!AE138,R138*Reeksen!C138,0),IF(BC138&gt;=BA138,0,IF(Reeksen!AD138&gt;Reeksen!AE138,(BA138-BC138)*R138,0)))</f>
        <v>0</v>
      </c>
      <c r="W138" s="218">
        <f t="shared" ca="1" si="41"/>
        <v>0</v>
      </c>
      <c r="X138" s="98">
        <f ca="1">IF('Invoer gegevens'!$C$17=E138,'Invoer gegevens'!$C$10-'Invoer gegevens'!$C$11,IF(C138=1,AC137,0))</f>
        <v>0</v>
      </c>
      <c r="Y138" s="98">
        <f t="shared" ca="1" si="38"/>
        <v>0</v>
      </c>
      <c r="Z138" s="98">
        <f ca="1">(1-('Invoer gegevens'!$F$20/12))*X138*MIN(BA138,BC138)</f>
        <v>0</v>
      </c>
      <c r="AA138" s="98">
        <f ca="1">IF(BD138&lt;1,IF(Reeksen!AD138&lt;=Reeksen!AE138,X138*Reeksen!C138,0),IF(BC138&gt;=BA138,0,IF(Reeksen!AD138&lt;=Reeksen!AE138,(BA138-BC138)*X138,0)))</f>
        <v>0</v>
      </c>
      <c r="AB138" s="98">
        <f ca="1">IF(BD138&lt;1,IF(Reeksen!AD138&gt;Reeksen!AE138,X138*Reeksen!C138,0),IF(BC138&gt;=BA138,0,IF(Reeksen!AD138&gt;Reeksen!AE138,(BA138-BC138)*X138,0)))</f>
        <v>0</v>
      </c>
      <c r="AC138" s="99">
        <f t="shared" ca="1" si="42"/>
        <v>0</v>
      </c>
      <c r="AD138" s="98">
        <f ca="1">IF('Invoer gegevens'!$C$17=E138,R138,IF(C138=0,0,AE137))</f>
        <v>0</v>
      </c>
      <c r="AE138" s="98">
        <f t="shared" ca="1" si="43"/>
        <v>0</v>
      </c>
      <c r="AF138" s="98">
        <f ca="1">IF('Invoer gegevens'!$C$17=E138,X138,IF(C138=0,0,AG137))</f>
        <v>0</v>
      </c>
      <c r="AG138" s="98">
        <f t="shared" ca="1" si="44"/>
        <v>0</v>
      </c>
      <c r="AH138" s="66"/>
      <c r="AI138" s="71">
        <f ca="1">IF(C138=1,Reeksen!AI138*((F138+K138)/2)*12+Reeksen!AD138*((L138+Q138)/2)*12,0)</f>
        <v>0</v>
      </c>
      <c r="AJ138" s="71">
        <f ca="1">-AI138*'Invoer gegevens'!$F$28</f>
        <v>0</v>
      </c>
      <c r="AK138" s="71">
        <f t="shared" ca="1" si="45"/>
        <v>0</v>
      </c>
      <c r="AL138" s="71">
        <f ca="1">IF(C138=1,Reeksen!AL138*((F138-G138+F138)/2)*12+Reeksen!AM138*((L138-M138+L138)/2)*12,0)</f>
        <v>0</v>
      </c>
      <c r="AM138" s="71">
        <f ca="1">-AL138*'Invoer gegevens'!$F$31</f>
        <v>0</v>
      </c>
      <c r="AN138" s="71">
        <f t="shared" ca="1" si="46"/>
        <v>0</v>
      </c>
      <c r="AO138" s="71">
        <f ca="1">IF(C138=1,(H138+J138+N138+P138)*Reeksen!AN138,0)</f>
        <v>0</v>
      </c>
      <c r="AP138" s="71">
        <f ca="1">-IF(C138=1,(H138+J138+N138+P138)*'Hulp - basis'!$G$550*Reeksen!H138,0)</f>
        <v>0</v>
      </c>
      <c r="AQ138" s="71">
        <f ca="1">-IF(C138=1,(F138+K138+L138+Q138)/2*'Invoer gegevens'!$F$35*Reeksen!J138,0)*2</f>
        <v>0</v>
      </c>
      <c r="AR138" s="71">
        <f ca="1">IF(BD138&lt;1,-IF(C138=1,(G138*'Invoer gegevens'!$F$36)*Reeksen!J138,0),0)</f>
        <v>0</v>
      </c>
      <c r="AS138" s="71">
        <f ca="1">-IF(C138=1,(F138+K138+L138+Q138)/2*'Invoer gegevens'!$F$37*Reeksen!L138,0)</f>
        <v>0</v>
      </c>
      <c r="AT138" s="71">
        <f ca="1">-IF(C138=1,IF(E138='Invoer gegevens'!$C$17,'Invoer gegevens'!$C$11,AD138)*Reeksen!S138*'Invoer gegevens'!$C$18*Reeksen!P138,0)</f>
        <v>0</v>
      </c>
      <c r="AU138" s="71">
        <f ca="1">-IF(C138=1,(F138+K138+L138+Q138)/2*'Invoer gegevens'!$F$38*Reeksen!H138,0)</f>
        <v>0</v>
      </c>
      <c r="AV138" s="71">
        <f t="shared" si="33"/>
        <v>0</v>
      </c>
      <c r="AW138" s="71">
        <f t="shared" ca="1" si="47"/>
        <v>0</v>
      </c>
      <c r="AX138" s="71">
        <f ca="1">IF(E138&lt;'Invoer gegevens'!$C$17+15,0,IF(E138&gt;'Invoer gegevens'!$C$17+215,0,AW138))</f>
        <v>0</v>
      </c>
      <c r="AY138" s="71">
        <f ca="1">AX138/(1+'Invoer gegevens'!$F$18)^($AZ138-('Invoer gegevens'!$C$17-'Invoer gegevens'!$C$16))/(1+'Invoer gegevens'!$C$39)^('Invoer gegevens'!$C$17-'Invoer gegevens'!$C$16)</f>
        <v>0</v>
      </c>
      <c r="AZ138" s="68">
        <f ca="1">IF(E138-'Invoer gegevens'!$C$17-14.5&lt;0,0,E138-'Invoer gegevens'!$C$17-14.5)</f>
        <v>118.5</v>
      </c>
      <c r="BA138" s="109">
        <f ca="1">IFERROR(VLOOKUP(E138-15,Reeksen!$A$5:$D$234,2,FALSE),0)</f>
        <v>0</v>
      </c>
      <c r="BB138" s="109">
        <f ca="1">IFERROR(VLOOKUP(E138-15,Reeksen!$A$5:$D$234,3,FALSE),0)</f>
        <v>0</v>
      </c>
      <c r="BC138" s="109">
        <f ca="1">IFERROR(VLOOKUP(E138-15,Reeksen!$A$5:$D$234,4,FALSE),0)</f>
        <v>0</v>
      </c>
      <c r="BD138" s="67">
        <f ca="1">IF(E138-'Invoer gegevens'!$C$17&lt;15,0,1)</f>
        <v>1</v>
      </c>
    </row>
    <row r="139" spans="1:56" x14ac:dyDescent="0.25">
      <c r="A139" s="59"/>
      <c r="B139" s="70">
        <f t="shared" si="48"/>
        <v>135</v>
      </c>
      <c r="C139" s="67">
        <f ca="1">IF(E139-'Invoer gegevens'!$C$17&lt;0,0,1)</f>
        <v>1</v>
      </c>
      <c r="D139" s="68">
        <f t="shared" si="49"/>
        <v>134.5</v>
      </c>
      <c r="E139" s="108">
        <f ca="1">IF('Invoer gegevens'!$C$16="","",E138+1)</f>
        <v>2153</v>
      </c>
      <c r="F139" s="84">
        <f ca="1">IF('Invoer gegevens'!$C$17=E139,'Invoer gegevens'!$C$10,IF(C139=1,K138,0))</f>
        <v>0</v>
      </c>
      <c r="G139" s="96">
        <f ca="1">IF(BD139&lt;1,F139*Reeksen!C139,IF(C139&gt;=1,F139*BA139,0))</f>
        <v>0</v>
      </c>
      <c r="H139" s="84">
        <f ca="1">(1-('Invoer gegevens'!$F$20/12))*F139*MIN(BA139,BC139)</f>
        <v>0</v>
      </c>
      <c r="I139" s="84">
        <f t="shared" ca="1" si="34"/>
        <v>0</v>
      </c>
      <c r="J139" s="84">
        <f ca="1">('Invoer gegevens'!$F$20/12)*F138*MIN(BA139,BC139)</f>
        <v>0</v>
      </c>
      <c r="K139" s="97">
        <f t="shared" ca="1" si="39"/>
        <v>0</v>
      </c>
      <c r="L139" s="84">
        <f ca="1">IF('Invoer gegevens'!$C$17=E139,0,IF(C139=1,Q138,0))</f>
        <v>0</v>
      </c>
      <c r="M139" s="96">
        <f t="shared" ca="1" si="35"/>
        <v>0</v>
      </c>
      <c r="N139" s="84">
        <f ca="1">(1-('Invoer gegevens'!$F$20/12))*L139*MIN(BA139,BC139)</f>
        <v>0</v>
      </c>
      <c r="O139" s="84">
        <f t="shared" ca="1" si="36"/>
        <v>0</v>
      </c>
      <c r="P139" s="84">
        <f ca="1">('Invoer gegevens'!$F$20/12)*L138*MIN(BA139,BC139)</f>
        <v>0</v>
      </c>
      <c r="Q139" s="84">
        <f t="shared" ca="1" si="40"/>
        <v>0</v>
      </c>
      <c r="R139" s="85">
        <f ca="1">IF('Invoer gegevens'!$C$17=E139,'Invoer gegevens'!$C$11,IF(C139=1,W138,0))</f>
        <v>0</v>
      </c>
      <c r="S139" s="86">
        <f t="shared" ca="1" si="37"/>
        <v>0</v>
      </c>
      <c r="T139" s="86">
        <f ca="1">(1-('Invoer gegevens'!$F$20/12))*R139*MIN(BC139,BA139)</f>
        <v>0</v>
      </c>
      <c r="U139" s="86">
        <f ca="1">IF(BD139&lt;1,IF(Reeksen!AD139&lt;=Reeksen!AE139,R139*Reeksen!C139,0),IF(BC139&gt;=BA139,0,IF(Reeksen!AD139&lt;=Reeksen!AE139,(BA139-BC139)*R139,0)))</f>
        <v>0</v>
      </c>
      <c r="V139" s="86">
        <f ca="1">IF(BD139&lt;1,IF(Reeksen!AD139&gt;Reeksen!AE139,R139*Reeksen!C139,0),IF(BC139&gt;=BA139,0,IF(Reeksen!AD139&gt;Reeksen!AE139,(BA139-BC139)*R139,0)))</f>
        <v>0</v>
      </c>
      <c r="W139" s="218">
        <f t="shared" ca="1" si="41"/>
        <v>0</v>
      </c>
      <c r="X139" s="98">
        <f ca="1">IF('Invoer gegevens'!$C$17=E139,'Invoer gegevens'!$C$10-'Invoer gegevens'!$C$11,IF(C139=1,AC138,0))</f>
        <v>0</v>
      </c>
      <c r="Y139" s="98">
        <f t="shared" ca="1" si="38"/>
        <v>0</v>
      </c>
      <c r="Z139" s="98">
        <f ca="1">(1-('Invoer gegevens'!$F$20/12))*X139*MIN(BA139,BC139)</f>
        <v>0</v>
      </c>
      <c r="AA139" s="98">
        <f ca="1">IF(BD139&lt;1,IF(Reeksen!AD139&lt;=Reeksen!AE139,X139*Reeksen!C139,0),IF(BC139&gt;=BA139,0,IF(Reeksen!AD139&lt;=Reeksen!AE139,(BA139-BC139)*X139,0)))</f>
        <v>0</v>
      </c>
      <c r="AB139" s="98">
        <f ca="1">IF(BD139&lt;1,IF(Reeksen!AD139&gt;Reeksen!AE139,X139*Reeksen!C139,0),IF(BC139&gt;=BA139,0,IF(Reeksen!AD139&gt;Reeksen!AE139,(BA139-BC139)*X139,0)))</f>
        <v>0</v>
      </c>
      <c r="AC139" s="99">
        <f t="shared" ca="1" si="42"/>
        <v>0</v>
      </c>
      <c r="AD139" s="98">
        <f ca="1">IF('Invoer gegevens'!$C$17=E139,R139,IF(C139=0,0,AE138))</f>
        <v>0</v>
      </c>
      <c r="AE139" s="98">
        <f t="shared" ca="1" si="43"/>
        <v>0</v>
      </c>
      <c r="AF139" s="98">
        <f ca="1">IF('Invoer gegevens'!$C$17=E139,X139,IF(C139=0,0,AG138))</f>
        <v>0</v>
      </c>
      <c r="AG139" s="98">
        <f t="shared" ca="1" si="44"/>
        <v>0</v>
      </c>
      <c r="AH139" s="66"/>
      <c r="AI139" s="71">
        <f ca="1">IF(C139=1,Reeksen!AI139*((F139+K139)/2)*12+Reeksen!AD139*((L139+Q139)/2)*12,0)</f>
        <v>0</v>
      </c>
      <c r="AJ139" s="71">
        <f ca="1">-AI139*'Invoer gegevens'!$F$28</f>
        <v>0</v>
      </c>
      <c r="AK139" s="71">
        <f t="shared" ca="1" si="45"/>
        <v>0</v>
      </c>
      <c r="AL139" s="71">
        <f ca="1">IF(C139=1,Reeksen!AL139*((F139-G139+F139)/2)*12+Reeksen!AM139*((L139-M139+L139)/2)*12,0)</f>
        <v>0</v>
      </c>
      <c r="AM139" s="71">
        <f ca="1">-AL139*'Invoer gegevens'!$F$31</f>
        <v>0</v>
      </c>
      <c r="AN139" s="71">
        <f t="shared" ca="1" si="46"/>
        <v>0</v>
      </c>
      <c r="AO139" s="71">
        <f ca="1">IF(C139=1,(H139+J139+N139+P139)*Reeksen!AN139,0)</f>
        <v>0</v>
      </c>
      <c r="AP139" s="71">
        <f ca="1">-IF(C139=1,(H139+J139+N139+P139)*'Hulp - basis'!$G$550*Reeksen!H139,0)</f>
        <v>0</v>
      </c>
      <c r="AQ139" s="71">
        <f ca="1">-IF(C139=1,(F139+K139+L139+Q139)/2*'Invoer gegevens'!$F$35*Reeksen!J139,0)*2</f>
        <v>0</v>
      </c>
      <c r="AR139" s="71">
        <f ca="1">IF(BD139&lt;1,-IF(C139=1,(G139*'Invoer gegevens'!$F$36)*Reeksen!J139,0),0)</f>
        <v>0</v>
      </c>
      <c r="AS139" s="71">
        <f ca="1">-IF(C139=1,(F139+K139+L139+Q139)/2*'Invoer gegevens'!$F$37*Reeksen!L139,0)</f>
        <v>0</v>
      </c>
      <c r="AT139" s="71">
        <f ca="1">-IF(C139=1,IF(E139='Invoer gegevens'!$C$17,'Invoer gegevens'!$C$11,AD139)*Reeksen!S139*'Invoer gegevens'!$C$18*Reeksen!P139,0)</f>
        <v>0</v>
      </c>
      <c r="AU139" s="71">
        <f ca="1">-IF(C139=1,(F139+K139+L139+Q139)/2*'Invoer gegevens'!$F$38*Reeksen!H139,0)</f>
        <v>0</v>
      </c>
      <c r="AV139" s="71">
        <f t="shared" si="33"/>
        <v>0</v>
      </c>
      <c r="AW139" s="71">
        <f t="shared" ca="1" si="47"/>
        <v>0</v>
      </c>
      <c r="AX139" s="71">
        <f ca="1">IF(E139&lt;'Invoer gegevens'!$C$17+15,0,IF(E139&gt;'Invoer gegevens'!$C$17+215,0,AW139))</f>
        <v>0</v>
      </c>
      <c r="AY139" s="71">
        <f ca="1">AX139/(1+'Invoer gegevens'!$F$18)^($AZ139-('Invoer gegevens'!$C$17-'Invoer gegevens'!$C$16))/(1+'Invoer gegevens'!$C$39)^('Invoer gegevens'!$C$17-'Invoer gegevens'!$C$16)</f>
        <v>0</v>
      </c>
      <c r="AZ139" s="68">
        <f ca="1">IF(E139-'Invoer gegevens'!$C$17-14.5&lt;0,0,E139-'Invoer gegevens'!$C$17-14.5)</f>
        <v>119.5</v>
      </c>
      <c r="BA139" s="109">
        <f ca="1">IFERROR(VLOOKUP(E139-15,Reeksen!$A$5:$D$234,2,FALSE),0)</f>
        <v>0</v>
      </c>
      <c r="BB139" s="109">
        <f ca="1">IFERROR(VLOOKUP(E139-15,Reeksen!$A$5:$D$234,3,FALSE),0)</f>
        <v>0</v>
      </c>
      <c r="BC139" s="109">
        <f ca="1">IFERROR(VLOOKUP(E139-15,Reeksen!$A$5:$D$234,4,FALSE),0)</f>
        <v>0</v>
      </c>
      <c r="BD139" s="67">
        <f ca="1">IF(E139-'Invoer gegevens'!$C$17&lt;15,0,1)</f>
        <v>1</v>
      </c>
    </row>
    <row r="140" spans="1:56" x14ac:dyDescent="0.25">
      <c r="A140" s="59"/>
      <c r="B140" s="70">
        <f t="shared" si="48"/>
        <v>136</v>
      </c>
      <c r="C140" s="67">
        <f ca="1">IF(E140-'Invoer gegevens'!$C$17&lt;0,0,1)</f>
        <v>1</v>
      </c>
      <c r="D140" s="68">
        <f t="shared" si="49"/>
        <v>135.5</v>
      </c>
      <c r="E140" s="108">
        <f ca="1">IF('Invoer gegevens'!$C$16="","",E139+1)</f>
        <v>2154</v>
      </c>
      <c r="F140" s="84">
        <f ca="1">IF('Invoer gegevens'!$C$17=E140,'Invoer gegevens'!$C$10,IF(C140=1,K139,0))</f>
        <v>0</v>
      </c>
      <c r="G140" s="96">
        <f ca="1">IF(BD140&lt;1,F140*Reeksen!C140,IF(C140&gt;=1,F140*BA140,0))</f>
        <v>0</v>
      </c>
      <c r="H140" s="84">
        <f ca="1">(1-('Invoer gegevens'!$F$20/12))*F140*MIN(BA140,BC140)</f>
        <v>0</v>
      </c>
      <c r="I140" s="84">
        <f t="shared" ca="1" si="34"/>
        <v>0</v>
      </c>
      <c r="J140" s="84">
        <f ca="1">('Invoer gegevens'!$F$20/12)*F139*MIN(BA140,BC140)</f>
        <v>0</v>
      </c>
      <c r="K140" s="97">
        <f t="shared" ca="1" si="39"/>
        <v>0</v>
      </c>
      <c r="L140" s="84">
        <f ca="1">IF('Invoer gegevens'!$C$17=E140,0,IF(C140=1,Q139,0))</f>
        <v>0</v>
      </c>
      <c r="M140" s="96">
        <f t="shared" ca="1" si="35"/>
        <v>0</v>
      </c>
      <c r="N140" s="84">
        <f ca="1">(1-('Invoer gegevens'!$F$20/12))*L140*MIN(BA140,BC140)</f>
        <v>0</v>
      </c>
      <c r="O140" s="84">
        <f t="shared" ca="1" si="36"/>
        <v>0</v>
      </c>
      <c r="P140" s="84">
        <f ca="1">('Invoer gegevens'!$F$20/12)*L139*MIN(BA140,BC140)</f>
        <v>0</v>
      </c>
      <c r="Q140" s="84">
        <f t="shared" ca="1" si="40"/>
        <v>0</v>
      </c>
      <c r="R140" s="85">
        <f ca="1">IF('Invoer gegevens'!$C$17=E140,'Invoer gegevens'!$C$11,IF(C140=1,W139,0))</f>
        <v>0</v>
      </c>
      <c r="S140" s="86">
        <f t="shared" ca="1" si="37"/>
        <v>0</v>
      </c>
      <c r="T140" s="86">
        <f ca="1">(1-('Invoer gegevens'!$F$20/12))*R140*MIN(BC140,BA140)</f>
        <v>0</v>
      </c>
      <c r="U140" s="86">
        <f ca="1">IF(BD140&lt;1,IF(Reeksen!AD140&lt;=Reeksen!AE140,R140*Reeksen!C140,0),IF(BC140&gt;=BA140,0,IF(Reeksen!AD140&lt;=Reeksen!AE140,(BA140-BC140)*R140,0)))</f>
        <v>0</v>
      </c>
      <c r="V140" s="86">
        <f ca="1">IF(BD140&lt;1,IF(Reeksen!AD140&gt;Reeksen!AE140,R140*Reeksen!C140,0),IF(BC140&gt;=BA140,0,IF(Reeksen!AD140&gt;Reeksen!AE140,(BA140-BC140)*R140,0)))</f>
        <v>0</v>
      </c>
      <c r="W140" s="218">
        <f t="shared" ca="1" si="41"/>
        <v>0</v>
      </c>
      <c r="X140" s="98">
        <f ca="1">IF('Invoer gegevens'!$C$17=E140,'Invoer gegevens'!$C$10-'Invoer gegevens'!$C$11,IF(C140=1,AC139,0))</f>
        <v>0</v>
      </c>
      <c r="Y140" s="98">
        <f t="shared" ca="1" si="38"/>
        <v>0</v>
      </c>
      <c r="Z140" s="98">
        <f ca="1">(1-('Invoer gegevens'!$F$20/12))*X140*MIN(BA140,BC140)</f>
        <v>0</v>
      </c>
      <c r="AA140" s="98">
        <f ca="1">IF(BD140&lt;1,IF(Reeksen!AD140&lt;=Reeksen!AE140,X140*Reeksen!C140,0),IF(BC140&gt;=BA140,0,IF(Reeksen!AD140&lt;=Reeksen!AE140,(BA140-BC140)*X140,0)))</f>
        <v>0</v>
      </c>
      <c r="AB140" s="98">
        <f ca="1">IF(BD140&lt;1,IF(Reeksen!AD140&gt;Reeksen!AE140,X140*Reeksen!C140,0),IF(BC140&gt;=BA140,0,IF(Reeksen!AD140&gt;Reeksen!AE140,(BA140-BC140)*X140,0)))</f>
        <v>0</v>
      </c>
      <c r="AC140" s="99">
        <f t="shared" ca="1" si="42"/>
        <v>0</v>
      </c>
      <c r="AD140" s="98">
        <f ca="1">IF('Invoer gegevens'!$C$17=E140,R140,IF(C140=0,0,AE139))</f>
        <v>0</v>
      </c>
      <c r="AE140" s="98">
        <f t="shared" ca="1" si="43"/>
        <v>0</v>
      </c>
      <c r="AF140" s="98">
        <f ca="1">IF('Invoer gegevens'!$C$17=E140,X140,IF(C140=0,0,AG139))</f>
        <v>0</v>
      </c>
      <c r="AG140" s="98">
        <f t="shared" ca="1" si="44"/>
        <v>0</v>
      </c>
      <c r="AH140" s="66"/>
      <c r="AI140" s="71">
        <f ca="1">IF(C140=1,Reeksen!AI140*((F140+K140)/2)*12+Reeksen!AD140*((L140+Q140)/2)*12,0)</f>
        <v>0</v>
      </c>
      <c r="AJ140" s="71">
        <f ca="1">-AI140*'Invoer gegevens'!$F$28</f>
        <v>0</v>
      </c>
      <c r="AK140" s="71">
        <f t="shared" ca="1" si="45"/>
        <v>0</v>
      </c>
      <c r="AL140" s="71">
        <f ca="1">IF(C140=1,Reeksen!AL140*((F140-G140+F140)/2)*12+Reeksen!AM140*((L140-M140+L140)/2)*12,0)</f>
        <v>0</v>
      </c>
      <c r="AM140" s="71">
        <f ca="1">-AL140*'Invoer gegevens'!$F$31</f>
        <v>0</v>
      </c>
      <c r="AN140" s="71">
        <f t="shared" ca="1" si="46"/>
        <v>0</v>
      </c>
      <c r="AO140" s="71">
        <f ca="1">IF(C140=1,(H140+J140+N140+P140)*Reeksen!AN140,0)</f>
        <v>0</v>
      </c>
      <c r="AP140" s="71">
        <f ca="1">-IF(C140=1,(H140+J140+N140+P140)*'Hulp - basis'!$G$550*Reeksen!H140,0)</f>
        <v>0</v>
      </c>
      <c r="AQ140" s="71">
        <f ca="1">-IF(C140=1,(F140+K140+L140+Q140)/2*'Invoer gegevens'!$F$35*Reeksen!J140,0)*2</f>
        <v>0</v>
      </c>
      <c r="AR140" s="71">
        <f ca="1">IF(BD140&lt;1,-IF(C140=1,(G140*'Invoer gegevens'!$F$36)*Reeksen!J140,0),0)</f>
        <v>0</v>
      </c>
      <c r="AS140" s="71">
        <f ca="1">-IF(C140=1,(F140+K140+L140+Q140)/2*'Invoer gegevens'!$F$37*Reeksen!L140,0)</f>
        <v>0</v>
      </c>
      <c r="AT140" s="71">
        <f ca="1">-IF(C140=1,IF(E140='Invoer gegevens'!$C$17,'Invoer gegevens'!$C$11,AD140)*Reeksen!S140*'Invoer gegevens'!$C$18*Reeksen!P140,0)</f>
        <v>0</v>
      </c>
      <c r="AU140" s="71">
        <f ca="1">-IF(C140=1,(F140+K140+L140+Q140)/2*'Invoer gegevens'!$F$38*Reeksen!H140,0)</f>
        <v>0</v>
      </c>
      <c r="AV140" s="71">
        <f t="shared" si="33"/>
        <v>0</v>
      </c>
      <c r="AW140" s="71">
        <f t="shared" ca="1" si="47"/>
        <v>0</v>
      </c>
      <c r="AX140" s="71">
        <f ca="1">IF(E140&lt;'Invoer gegevens'!$C$17+15,0,IF(E140&gt;'Invoer gegevens'!$C$17+215,0,AW140))</f>
        <v>0</v>
      </c>
      <c r="AY140" s="71">
        <f ca="1">AX140/(1+'Invoer gegevens'!$F$18)^($AZ140-('Invoer gegevens'!$C$17-'Invoer gegevens'!$C$16))/(1+'Invoer gegevens'!$C$39)^('Invoer gegevens'!$C$17-'Invoer gegevens'!$C$16)</f>
        <v>0</v>
      </c>
      <c r="AZ140" s="68">
        <f ca="1">IF(E140-'Invoer gegevens'!$C$17-14.5&lt;0,0,E140-'Invoer gegevens'!$C$17-14.5)</f>
        <v>120.5</v>
      </c>
      <c r="BA140" s="109">
        <f ca="1">IFERROR(VLOOKUP(E140-15,Reeksen!$A$5:$D$234,2,FALSE),0)</f>
        <v>0</v>
      </c>
      <c r="BB140" s="109">
        <f ca="1">IFERROR(VLOOKUP(E140-15,Reeksen!$A$5:$D$234,3,FALSE),0)</f>
        <v>0</v>
      </c>
      <c r="BC140" s="109">
        <f ca="1">IFERROR(VLOOKUP(E140-15,Reeksen!$A$5:$D$234,4,FALSE),0)</f>
        <v>0</v>
      </c>
      <c r="BD140" s="67">
        <f ca="1">IF(E140-'Invoer gegevens'!$C$17&lt;15,0,1)</f>
        <v>1</v>
      </c>
    </row>
    <row r="141" spans="1:56" x14ac:dyDescent="0.25">
      <c r="A141" s="59"/>
      <c r="B141" s="70">
        <f t="shared" si="48"/>
        <v>137</v>
      </c>
      <c r="C141" s="67">
        <f ca="1">IF(E141-'Invoer gegevens'!$C$17&lt;0,0,1)</f>
        <v>1</v>
      </c>
      <c r="D141" s="68">
        <f t="shared" si="49"/>
        <v>136.5</v>
      </c>
      <c r="E141" s="108">
        <f ca="1">IF('Invoer gegevens'!$C$16="","",E140+1)</f>
        <v>2155</v>
      </c>
      <c r="F141" s="84">
        <f ca="1">IF('Invoer gegevens'!$C$17=E141,'Invoer gegevens'!$C$10,IF(C141=1,K140,0))</f>
        <v>0</v>
      </c>
      <c r="G141" s="96">
        <f ca="1">IF(BD141&lt;1,F141*Reeksen!C141,IF(C141&gt;=1,F141*BA141,0))</f>
        <v>0</v>
      </c>
      <c r="H141" s="84">
        <f ca="1">(1-('Invoer gegevens'!$F$20/12))*F141*MIN(BA141,BC141)</f>
        <v>0</v>
      </c>
      <c r="I141" s="84">
        <f t="shared" ca="1" si="34"/>
        <v>0</v>
      </c>
      <c r="J141" s="84">
        <f ca="1">('Invoer gegevens'!$F$20/12)*F140*MIN(BA141,BC141)</f>
        <v>0</v>
      </c>
      <c r="K141" s="97">
        <f t="shared" ca="1" si="39"/>
        <v>0</v>
      </c>
      <c r="L141" s="84">
        <f ca="1">IF('Invoer gegevens'!$C$17=E141,0,IF(C141=1,Q140,0))</f>
        <v>0</v>
      </c>
      <c r="M141" s="96">
        <f t="shared" ca="1" si="35"/>
        <v>0</v>
      </c>
      <c r="N141" s="84">
        <f ca="1">(1-('Invoer gegevens'!$F$20/12))*L141*MIN(BA141,BC141)</f>
        <v>0</v>
      </c>
      <c r="O141" s="84">
        <f t="shared" ca="1" si="36"/>
        <v>0</v>
      </c>
      <c r="P141" s="84">
        <f ca="1">('Invoer gegevens'!$F$20/12)*L140*MIN(BA141,BC141)</f>
        <v>0</v>
      </c>
      <c r="Q141" s="84">
        <f t="shared" ca="1" si="40"/>
        <v>0</v>
      </c>
      <c r="R141" s="85">
        <f ca="1">IF('Invoer gegevens'!$C$17=E141,'Invoer gegevens'!$C$11,IF(C141=1,W140,0))</f>
        <v>0</v>
      </c>
      <c r="S141" s="86">
        <f t="shared" ca="1" si="37"/>
        <v>0</v>
      </c>
      <c r="T141" s="86">
        <f ca="1">(1-('Invoer gegevens'!$F$20/12))*R141*MIN(BC141,BA141)</f>
        <v>0</v>
      </c>
      <c r="U141" s="86">
        <f ca="1">IF(BD141&lt;1,IF(Reeksen!AD141&lt;=Reeksen!AE141,R141*Reeksen!C141,0),IF(BC141&gt;=BA141,0,IF(Reeksen!AD141&lt;=Reeksen!AE141,(BA141-BC141)*R141,0)))</f>
        <v>0</v>
      </c>
      <c r="V141" s="86">
        <f ca="1">IF(BD141&lt;1,IF(Reeksen!AD141&gt;Reeksen!AE141,R141*Reeksen!C141,0),IF(BC141&gt;=BA141,0,IF(Reeksen!AD141&gt;Reeksen!AE141,(BA141-BC141)*R141,0)))</f>
        <v>0</v>
      </c>
      <c r="W141" s="218">
        <f t="shared" ca="1" si="41"/>
        <v>0</v>
      </c>
      <c r="X141" s="98">
        <f ca="1">IF('Invoer gegevens'!$C$17=E141,'Invoer gegevens'!$C$10-'Invoer gegevens'!$C$11,IF(C141=1,AC140,0))</f>
        <v>0</v>
      </c>
      <c r="Y141" s="98">
        <f t="shared" ca="1" si="38"/>
        <v>0</v>
      </c>
      <c r="Z141" s="98">
        <f ca="1">(1-('Invoer gegevens'!$F$20/12))*X141*MIN(BA141,BC141)</f>
        <v>0</v>
      </c>
      <c r="AA141" s="98">
        <f ca="1">IF(BD141&lt;1,IF(Reeksen!AD141&lt;=Reeksen!AE141,X141*Reeksen!C141,0),IF(BC141&gt;=BA141,0,IF(Reeksen!AD141&lt;=Reeksen!AE141,(BA141-BC141)*X141,0)))</f>
        <v>0</v>
      </c>
      <c r="AB141" s="98">
        <f ca="1">IF(BD141&lt;1,IF(Reeksen!AD141&gt;Reeksen!AE141,X141*Reeksen!C141,0),IF(BC141&gt;=BA141,0,IF(Reeksen!AD141&gt;Reeksen!AE141,(BA141-BC141)*X141,0)))</f>
        <v>0</v>
      </c>
      <c r="AC141" s="99">
        <f t="shared" ca="1" si="42"/>
        <v>0</v>
      </c>
      <c r="AD141" s="98">
        <f ca="1">IF('Invoer gegevens'!$C$17=E141,R141,IF(C141=0,0,AE140))</f>
        <v>0</v>
      </c>
      <c r="AE141" s="98">
        <f t="shared" ca="1" si="43"/>
        <v>0</v>
      </c>
      <c r="AF141" s="98">
        <f ca="1">IF('Invoer gegevens'!$C$17=E141,X141,IF(C141=0,0,AG140))</f>
        <v>0</v>
      </c>
      <c r="AG141" s="98">
        <f t="shared" ca="1" si="44"/>
        <v>0</v>
      </c>
      <c r="AH141" s="66"/>
      <c r="AI141" s="71">
        <f ca="1">IF(C141=1,Reeksen!AI141*((F141+K141)/2)*12+Reeksen!AD141*((L141+Q141)/2)*12,0)</f>
        <v>0</v>
      </c>
      <c r="AJ141" s="71">
        <f ca="1">-AI141*'Invoer gegevens'!$F$28</f>
        <v>0</v>
      </c>
      <c r="AK141" s="71">
        <f t="shared" ca="1" si="45"/>
        <v>0</v>
      </c>
      <c r="AL141" s="71">
        <f ca="1">IF(C141=1,Reeksen!AL141*((F141-G141+F141)/2)*12+Reeksen!AM141*((L141-M141+L141)/2)*12,0)</f>
        <v>0</v>
      </c>
      <c r="AM141" s="71">
        <f ca="1">-AL141*'Invoer gegevens'!$F$31</f>
        <v>0</v>
      </c>
      <c r="AN141" s="71">
        <f t="shared" ca="1" si="46"/>
        <v>0</v>
      </c>
      <c r="AO141" s="71">
        <f ca="1">IF(C141=1,(H141+J141+N141+P141)*Reeksen!AN141,0)</f>
        <v>0</v>
      </c>
      <c r="AP141" s="71">
        <f ca="1">-IF(C141=1,(H141+J141+N141+P141)*'Hulp - basis'!$G$550*Reeksen!H141,0)</f>
        <v>0</v>
      </c>
      <c r="AQ141" s="71">
        <f ca="1">-IF(C141=1,(F141+K141+L141+Q141)/2*'Invoer gegevens'!$F$35*Reeksen!J141,0)*2</f>
        <v>0</v>
      </c>
      <c r="AR141" s="71">
        <f ca="1">IF(BD141&lt;1,-IF(C141=1,(G141*'Invoer gegevens'!$F$36)*Reeksen!J141,0),0)</f>
        <v>0</v>
      </c>
      <c r="AS141" s="71">
        <f ca="1">-IF(C141=1,(F141+K141+L141+Q141)/2*'Invoer gegevens'!$F$37*Reeksen!L141,0)</f>
        <v>0</v>
      </c>
      <c r="AT141" s="71">
        <f ca="1">-IF(C141=1,IF(E141='Invoer gegevens'!$C$17,'Invoer gegevens'!$C$11,AD141)*Reeksen!S141*'Invoer gegevens'!$C$18*Reeksen!P141,0)</f>
        <v>0</v>
      </c>
      <c r="AU141" s="71">
        <f ca="1">-IF(C141=1,(F141+K141+L141+Q141)/2*'Invoer gegevens'!$F$38*Reeksen!H141,0)</f>
        <v>0</v>
      </c>
      <c r="AV141" s="71">
        <f t="shared" si="33"/>
        <v>0</v>
      </c>
      <c r="AW141" s="71">
        <f t="shared" ca="1" si="47"/>
        <v>0</v>
      </c>
      <c r="AX141" s="71">
        <f ca="1">IF(E141&lt;'Invoer gegevens'!$C$17+15,0,IF(E141&gt;'Invoer gegevens'!$C$17+215,0,AW141))</f>
        <v>0</v>
      </c>
      <c r="AY141" s="71">
        <f ca="1">AX141/(1+'Invoer gegevens'!$F$18)^($AZ141-('Invoer gegevens'!$C$17-'Invoer gegevens'!$C$16))/(1+'Invoer gegevens'!$C$39)^('Invoer gegevens'!$C$17-'Invoer gegevens'!$C$16)</f>
        <v>0</v>
      </c>
      <c r="AZ141" s="68">
        <f ca="1">IF(E141-'Invoer gegevens'!$C$17-14.5&lt;0,0,E141-'Invoer gegevens'!$C$17-14.5)</f>
        <v>121.5</v>
      </c>
      <c r="BA141" s="109">
        <f ca="1">IFERROR(VLOOKUP(E141-15,Reeksen!$A$5:$D$234,2,FALSE),0)</f>
        <v>0</v>
      </c>
      <c r="BB141" s="109">
        <f ca="1">IFERROR(VLOOKUP(E141-15,Reeksen!$A$5:$D$234,3,FALSE),0)</f>
        <v>0</v>
      </c>
      <c r="BC141" s="109">
        <f ca="1">IFERROR(VLOOKUP(E141-15,Reeksen!$A$5:$D$234,4,FALSE),0)</f>
        <v>0</v>
      </c>
      <c r="BD141" s="67">
        <f ca="1">IF(E141-'Invoer gegevens'!$C$17&lt;15,0,1)</f>
        <v>1</v>
      </c>
    </row>
    <row r="142" spans="1:56" x14ac:dyDescent="0.25">
      <c r="A142" s="59"/>
      <c r="B142" s="70">
        <f t="shared" si="48"/>
        <v>138</v>
      </c>
      <c r="C142" s="67">
        <f ca="1">IF(E142-'Invoer gegevens'!$C$17&lt;0,0,1)</f>
        <v>1</v>
      </c>
      <c r="D142" s="68">
        <f t="shared" si="49"/>
        <v>137.5</v>
      </c>
      <c r="E142" s="108">
        <f ca="1">IF('Invoer gegevens'!$C$16="","",E141+1)</f>
        <v>2156</v>
      </c>
      <c r="F142" s="84">
        <f ca="1">IF('Invoer gegevens'!$C$17=E142,'Invoer gegevens'!$C$10,IF(C142=1,K141,0))</f>
        <v>0</v>
      </c>
      <c r="G142" s="96">
        <f ca="1">IF(BD142&lt;1,F142*Reeksen!C142,IF(C142&gt;=1,F142*BA142,0))</f>
        <v>0</v>
      </c>
      <c r="H142" s="84">
        <f ca="1">(1-('Invoer gegevens'!$F$20/12))*F142*MIN(BA142,BC142)</f>
        <v>0</v>
      </c>
      <c r="I142" s="84">
        <f t="shared" ca="1" si="34"/>
        <v>0</v>
      </c>
      <c r="J142" s="84">
        <f ca="1">('Invoer gegevens'!$F$20/12)*F141*MIN(BA142,BC142)</f>
        <v>0</v>
      </c>
      <c r="K142" s="97">
        <f t="shared" ca="1" si="39"/>
        <v>0</v>
      </c>
      <c r="L142" s="84">
        <f ca="1">IF('Invoer gegevens'!$C$17=E142,0,IF(C142=1,Q141,0))</f>
        <v>0</v>
      </c>
      <c r="M142" s="96">
        <f t="shared" ca="1" si="35"/>
        <v>0</v>
      </c>
      <c r="N142" s="84">
        <f ca="1">(1-('Invoer gegevens'!$F$20/12))*L142*MIN(BA142,BC142)</f>
        <v>0</v>
      </c>
      <c r="O142" s="84">
        <f t="shared" ca="1" si="36"/>
        <v>0</v>
      </c>
      <c r="P142" s="84">
        <f ca="1">('Invoer gegevens'!$F$20/12)*L141*MIN(BA142,BC142)</f>
        <v>0</v>
      </c>
      <c r="Q142" s="84">
        <f t="shared" ca="1" si="40"/>
        <v>0</v>
      </c>
      <c r="R142" s="85">
        <f ca="1">IF('Invoer gegevens'!$C$17=E142,'Invoer gegevens'!$C$11,IF(C142=1,W141,0))</f>
        <v>0</v>
      </c>
      <c r="S142" s="86">
        <f t="shared" ca="1" si="37"/>
        <v>0</v>
      </c>
      <c r="T142" s="86">
        <f ca="1">(1-('Invoer gegevens'!$F$20/12))*R142*MIN(BC142,BA142)</f>
        <v>0</v>
      </c>
      <c r="U142" s="86">
        <f ca="1">IF(BD142&lt;1,IF(Reeksen!AD142&lt;=Reeksen!AE142,R142*Reeksen!C142,0),IF(BC142&gt;=BA142,0,IF(Reeksen!AD142&lt;=Reeksen!AE142,(BA142-BC142)*R142,0)))</f>
        <v>0</v>
      </c>
      <c r="V142" s="86">
        <f ca="1">IF(BD142&lt;1,IF(Reeksen!AD142&gt;Reeksen!AE142,R142*Reeksen!C142,0),IF(BC142&gt;=BA142,0,IF(Reeksen!AD142&gt;Reeksen!AE142,(BA142-BC142)*R142,0)))</f>
        <v>0</v>
      </c>
      <c r="W142" s="218">
        <f t="shared" ca="1" si="41"/>
        <v>0</v>
      </c>
      <c r="X142" s="98">
        <f ca="1">IF('Invoer gegevens'!$C$17=E142,'Invoer gegevens'!$C$10-'Invoer gegevens'!$C$11,IF(C142=1,AC141,0))</f>
        <v>0</v>
      </c>
      <c r="Y142" s="98">
        <f t="shared" ca="1" si="38"/>
        <v>0</v>
      </c>
      <c r="Z142" s="98">
        <f ca="1">(1-('Invoer gegevens'!$F$20/12))*X142*MIN(BA142,BC142)</f>
        <v>0</v>
      </c>
      <c r="AA142" s="98">
        <f ca="1">IF(BD142&lt;1,IF(Reeksen!AD142&lt;=Reeksen!AE142,X142*Reeksen!C142,0),IF(BC142&gt;=BA142,0,IF(Reeksen!AD142&lt;=Reeksen!AE142,(BA142-BC142)*X142,0)))</f>
        <v>0</v>
      </c>
      <c r="AB142" s="98">
        <f ca="1">IF(BD142&lt;1,IF(Reeksen!AD142&gt;Reeksen!AE142,X142*Reeksen!C142,0),IF(BC142&gt;=BA142,0,IF(Reeksen!AD142&gt;Reeksen!AE142,(BA142-BC142)*X142,0)))</f>
        <v>0</v>
      </c>
      <c r="AC142" s="99">
        <f t="shared" ca="1" si="42"/>
        <v>0</v>
      </c>
      <c r="AD142" s="98">
        <f ca="1">IF('Invoer gegevens'!$C$17=E142,R142,IF(C142=0,0,AE141))</f>
        <v>0</v>
      </c>
      <c r="AE142" s="98">
        <f t="shared" ca="1" si="43"/>
        <v>0</v>
      </c>
      <c r="AF142" s="98">
        <f ca="1">IF('Invoer gegevens'!$C$17=E142,X142,IF(C142=0,0,AG141))</f>
        <v>0</v>
      </c>
      <c r="AG142" s="98">
        <f t="shared" ca="1" si="44"/>
        <v>0</v>
      </c>
      <c r="AH142" s="66"/>
      <c r="AI142" s="71">
        <f ca="1">IF(C142=1,Reeksen!AI142*((F142+K142)/2)*12+Reeksen!AD142*((L142+Q142)/2)*12,0)</f>
        <v>0</v>
      </c>
      <c r="AJ142" s="71">
        <f ca="1">-AI142*'Invoer gegevens'!$F$28</f>
        <v>0</v>
      </c>
      <c r="AK142" s="71">
        <f t="shared" ca="1" si="45"/>
        <v>0</v>
      </c>
      <c r="AL142" s="71">
        <f ca="1">IF(C142=1,Reeksen!AL142*((F142-G142+F142)/2)*12+Reeksen!AM142*((L142-M142+L142)/2)*12,0)</f>
        <v>0</v>
      </c>
      <c r="AM142" s="71">
        <f ca="1">-AL142*'Invoer gegevens'!$F$31</f>
        <v>0</v>
      </c>
      <c r="AN142" s="71">
        <f t="shared" ca="1" si="46"/>
        <v>0</v>
      </c>
      <c r="AO142" s="71">
        <f ca="1">IF(C142=1,(H142+J142+N142+P142)*Reeksen!AN142,0)</f>
        <v>0</v>
      </c>
      <c r="AP142" s="71">
        <f ca="1">-IF(C142=1,(H142+J142+N142+P142)*'Hulp - basis'!$G$550*Reeksen!H142,0)</f>
        <v>0</v>
      </c>
      <c r="AQ142" s="71">
        <f ca="1">-IF(C142=1,(F142+K142+L142+Q142)/2*'Invoer gegevens'!$F$35*Reeksen!J142,0)*2</f>
        <v>0</v>
      </c>
      <c r="AR142" s="71">
        <f ca="1">IF(BD142&lt;1,-IF(C142=1,(G142*'Invoer gegevens'!$F$36)*Reeksen!J142,0),0)</f>
        <v>0</v>
      </c>
      <c r="AS142" s="71">
        <f ca="1">-IF(C142=1,(F142+K142+L142+Q142)/2*'Invoer gegevens'!$F$37*Reeksen!L142,0)</f>
        <v>0</v>
      </c>
      <c r="AT142" s="71">
        <f ca="1">-IF(C142=1,IF(E142='Invoer gegevens'!$C$17,'Invoer gegevens'!$C$11,AD142)*Reeksen!S142*'Invoer gegevens'!$C$18*Reeksen!P142,0)</f>
        <v>0</v>
      </c>
      <c r="AU142" s="71">
        <f ca="1">-IF(C142=1,(F142+K142+L142+Q142)/2*'Invoer gegevens'!$F$38*Reeksen!H142,0)</f>
        <v>0</v>
      </c>
      <c r="AV142" s="71">
        <f t="shared" si="33"/>
        <v>0</v>
      </c>
      <c r="AW142" s="71">
        <f t="shared" ca="1" si="47"/>
        <v>0</v>
      </c>
      <c r="AX142" s="71">
        <f ca="1">IF(E142&lt;'Invoer gegevens'!$C$17+15,0,IF(E142&gt;'Invoer gegevens'!$C$17+215,0,AW142))</f>
        <v>0</v>
      </c>
      <c r="AY142" s="71">
        <f ca="1">AX142/(1+'Invoer gegevens'!$F$18)^($AZ142-('Invoer gegevens'!$C$17-'Invoer gegevens'!$C$16))/(1+'Invoer gegevens'!$C$39)^('Invoer gegevens'!$C$17-'Invoer gegevens'!$C$16)</f>
        <v>0</v>
      </c>
      <c r="AZ142" s="68">
        <f ca="1">IF(E142-'Invoer gegevens'!$C$17-14.5&lt;0,0,E142-'Invoer gegevens'!$C$17-14.5)</f>
        <v>122.5</v>
      </c>
      <c r="BA142" s="109">
        <f ca="1">IFERROR(VLOOKUP(E142-15,Reeksen!$A$5:$D$234,2,FALSE),0)</f>
        <v>0</v>
      </c>
      <c r="BB142" s="109">
        <f ca="1">IFERROR(VLOOKUP(E142-15,Reeksen!$A$5:$D$234,3,FALSE),0)</f>
        <v>0</v>
      </c>
      <c r="BC142" s="109">
        <f ca="1">IFERROR(VLOOKUP(E142-15,Reeksen!$A$5:$D$234,4,FALSE),0)</f>
        <v>0</v>
      </c>
      <c r="BD142" s="67">
        <f ca="1">IF(E142-'Invoer gegevens'!$C$17&lt;15,0,1)</f>
        <v>1</v>
      </c>
    </row>
    <row r="143" spans="1:56" x14ac:dyDescent="0.25">
      <c r="A143" s="59"/>
      <c r="B143" s="70">
        <f t="shared" si="48"/>
        <v>139</v>
      </c>
      <c r="C143" s="67">
        <f ca="1">IF(E143-'Invoer gegevens'!$C$17&lt;0,0,1)</f>
        <v>1</v>
      </c>
      <c r="D143" s="68">
        <f t="shared" si="49"/>
        <v>138.5</v>
      </c>
      <c r="E143" s="108">
        <f ca="1">IF('Invoer gegevens'!$C$16="","",E142+1)</f>
        <v>2157</v>
      </c>
      <c r="F143" s="84">
        <f ca="1">IF('Invoer gegevens'!$C$17=E143,'Invoer gegevens'!$C$10,IF(C143=1,K142,0))</f>
        <v>0</v>
      </c>
      <c r="G143" s="96">
        <f ca="1">IF(BD143&lt;1,F143*Reeksen!C143,IF(C143&gt;=1,F143*BA143,0))</f>
        <v>0</v>
      </c>
      <c r="H143" s="84">
        <f ca="1">(1-('Invoer gegevens'!$F$20/12))*F143*MIN(BA143,BC143)</f>
        <v>0</v>
      </c>
      <c r="I143" s="84">
        <f t="shared" ca="1" si="34"/>
        <v>0</v>
      </c>
      <c r="J143" s="84">
        <f ca="1">('Invoer gegevens'!$F$20/12)*F142*MIN(BA143,BC143)</f>
        <v>0</v>
      </c>
      <c r="K143" s="97">
        <f t="shared" ca="1" si="39"/>
        <v>0</v>
      </c>
      <c r="L143" s="84">
        <f ca="1">IF('Invoer gegevens'!$C$17=E143,0,IF(C143=1,Q142,0))</f>
        <v>0</v>
      </c>
      <c r="M143" s="96">
        <f t="shared" ca="1" si="35"/>
        <v>0</v>
      </c>
      <c r="N143" s="84">
        <f ca="1">(1-('Invoer gegevens'!$F$20/12))*L143*MIN(BA143,BC143)</f>
        <v>0</v>
      </c>
      <c r="O143" s="84">
        <f t="shared" ca="1" si="36"/>
        <v>0</v>
      </c>
      <c r="P143" s="84">
        <f ca="1">('Invoer gegevens'!$F$20/12)*L142*MIN(BA143,BC143)</f>
        <v>0</v>
      </c>
      <c r="Q143" s="84">
        <f t="shared" ca="1" si="40"/>
        <v>0</v>
      </c>
      <c r="R143" s="85">
        <f ca="1">IF('Invoer gegevens'!$C$17=E143,'Invoer gegevens'!$C$11,IF(C143=1,W142,0))</f>
        <v>0</v>
      </c>
      <c r="S143" s="86">
        <f t="shared" ca="1" si="37"/>
        <v>0</v>
      </c>
      <c r="T143" s="86">
        <f ca="1">(1-('Invoer gegevens'!$F$20/12))*R143*MIN(BC143,BA143)</f>
        <v>0</v>
      </c>
      <c r="U143" s="86">
        <f ca="1">IF(BD143&lt;1,IF(Reeksen!AD143&lt;=Reeksen!AE143,R143*Reeksen!C143,0),IF(BC143&gt;=BA143,0,IF(Reeksen!AD143&lt;=Reeksen!AE143,(BA143-BC143)*R143,0)))</f>
        <v>0</v>
      </c>
      <c r="V143" s="86">
        <f ca="1">IF(BD143&lt;1,IF(Reeksen!AD143&gt;Reeksen!AE143,R143*Reeksen!C143,0),IF(BC143&gt;=BA143,0,IF(Reeksen!AD143&gt;Reeksen!AE143,(BA143-BC143)*R143,0)))</f>
        <v>0</v>
      </c>
      <c r="W143" s="218">
        <f t="shared" ca="1" si="41"/>
        <v>0</v>
      </c>
      <c r="X143" s="98">
        <f ca="1">IF('Invoer gegevens'!$C$17=E143,'Invoer gegevens'!$C$10-'Invoer gegevens'!$C$11,IF(C143=1,AC142,0))</f>
        <v>0</v>
      </c>
      <c r="Y143" s="98">
        <f t="shared" ca="1" si="38"/>
        <v>0</v>
      </c>
      <c r="Z143" s="98">
        <f ca="1">(1-('Invoer gegevens'!$F$20/12))*X143*MIN(BA143,BC143)</f>
        <v>0</v>
      </c>
      <c r="AA143" s="98">
        <f ca="1">IF(BD143&lt;1,IF(Reeksen!AD143&lt;=Reeksen!AE143,X143*Reeksen!C143,0),IF(BC143&gt;=BA143,0,IF(Reeksen!AD143&lt;=Reeksen!AE143,(BA143-BC143)*X143,0)))</f>
        <v>0</v>
      </c>
      <c r="AB143" s="98">
        <f ca="1">IF(BD143&lt;1,IF(Reeksen!AD143&gt;Reeksen!AE143,X143*Reeksen!C143,0),IF(BC143&gt;=BA143,0,IF(Reeksen!AD143&gt;Reeksen!AE143,(BA143-BC143)*X143,0)))</f>
        <v>0</v>
      </c>
      <c r="AC143" s="99">
        <f t="shared" ca="1" si="42"/>
        <v>0</v>
      </c>
      <c r="AD143" s="98">
        <f ca="1">IF('Invoer gegevens'!$C$17=E143,R143,IF(C143=0,0,AE142))</f>
        <v>0</v>
      </c>
      <c r="AE143" s="98">
        <f t="shared" ca="1" si="43"/>
        <v>0</v>
      </c>
      <c r="AF143" s="98">
        <f ca="1">IF('Invoer gegevens'!$C$17=E143,X143,IF(C143=0,0,AG142))</f>
        <v>0</v>
      </c>
      <c r="AG143" s="98">
        <f t="shared" ca="1" si="44"/>
        <v>0</v>
      </c>
      <c r="AH143" s="66"/>
      <c r="AI143" s="71">
        <f ca="1">IF(C143=1,Reeksen!AI143*((F143+K143)/2)*12+Reeksen!AD143*((L143+Q143)/2)*12,0)</f>
        <v>0</v>
      </c>
      <c r="AJ143" s="71">
        <f ca="1">-AI143*'Invoer gegevens'!$F$28</f>
        <v>0</v>
      </c>
      <c r="AK143" s="71">
        <f t="shared" ca="1" si="45"/>
        <v>0</v>
      </c>
      <c r="AL143" s="71">
        <f ca="1">IF(C143=1,Reeksen!AL143*((F143-G143+F143)/2)*12+Reeksen!AM143*((L143-M143+L143)/2)*12,0)</f>
        <v>0</v>
      </c>
      <c r="AM143" s="71">
        <f ca="1">-AL143*'Invoer gegevens'!$F$31</f>
        <v>0</v>
      </c>
      <c r="AN143" s="71">
        <f t="shared" ca="1" si="46"/>
        <v>0</v>
      </c>
      <c r="AO143" s="71">
        <f ca="1">IF(C143=1,(H143+J143+N143+P143)*Reeksen!AN143,0)</f>
        <v>0</v>
      </c>
      <c r="AP143" s="71">
        <f ca="1">-IF(C143=1,(H143+J143+N143+P143)*'Hulp - basis'!$G$550*Reeksen!H143,0)</f>
        <v>0</v>
      </c>
      <c r="AQ143" s="71">
        <f ca="1">-IF(C143=1,(F143+K143+L143+Q143)/2*'Invoer gegevens'!$F$35*Reeksen!J143,0)*2</f>
        <v>0</v>
      </c>
      <c r="AR143" s="71">
        <f ca="1">IF(BD143&lt;1,-IF(C143=1,(G143*'Invoer gegevens'!$F$36)*Reeksen!J143,0),0)</f>
        <v>0</v>
      </c>
      <c r="AS143" s="71">
        <f ca="1">-IF(C143=1,(F143+K143+L143+Q143)/2*'Invoer gegevens'!$F$37*Reeksen!L143,0)</f>
        <v>0</v>
      </c>
      <c r="AT143" s="71">
        <f ca="1">-IF(C143=1,IF(E143='Invoer gegevens'!$C$17,'Invoer gegevens'!$C$11,AD143)*Reeksen!S143*'Invoer gegevens'!$C$18*Reeksen!P143,0)</f>
        <v>0</v>
      </c>
      <c r="AU143" s="71">
        <f ca="1">-IF(C143=1,(F143+K143+L143+Q143)/2*'Invoer gegevens'!$F$38*Reeksen!H143,0)</f>
        <v>0</v>
      </c>
      <c r="AV143" s="71">
        <f t="shared" si="33"/>
        <v>0</v>
      </c>
      <c r="AW143" s="71">
        <f t="shared" ca="1" si="47"/>
        <v>0</v>
      </c>
      <c r="AX143" s="71">
        <f ca="1">IF(E143&lt;'Invoer gegevens'!$C$17+15,0,IF(E143&gt;'Invoer gegevens'!$C$17+215,0,AW143))</f>
        <v>0</v>
      </c>
      <c r="AY143" s="71">
        <f ca="1">AX143/(1+'Invoer gegevens'!$F$18)^($AZ143-('Invoer gegevens'!$C$17-'Invoer gegevens'!$C$16))/(1+'Invoer gegevens'!$C$39)^('Invoer gegevens'!$C$17-'Invoer gegevens'!$C$16)</f>
        <v>0</v>
      </c>
      <c r="AZ143" s="68">
        <f ca="1">IF(E143-'Invoer gegevens'!$C$17-14.5&lt;0,0,E143-'Invoer gegevens'!$C$17-14.5)</f>
        <v>123.5</v>
      </c>
      <c r="BA143" s="109">
        <f ca="1">IFERROR(VLOOKUP(E143-15,Reeksen!$A$5:$D$234,2,FALSE),0)</f>
        <v>0</v>
      </c>
      <c r="BB143" s="109">
        <f ca="1">IFERROR(VLOOKUP(E143-15,Reeksen!$A$5:$D$234,3,FALSE),0)</f>
        <v>0</v>
      </c>
      <c r="BC143" s="109">
        <f ca="1">IFERROR(VLOOKUP(E143-15,Reeksen!$A$5:$D$234,4,FALSE),0)</f>
        <v>0</v>
      </c>
      <c r="BD143" s="67">
        <f ca="1">IF(E143-'Invoer gegevens'!$C$17&lt;15,0,1)</f>
        <v>1</v>
      </c>
    </row>
    <row r="144" spans="1:56" x14ac:dyDescent="0.25">
      <c r="A144" s="59"/>
      <c r="B144" s="70">
        <f t="shared" si="48"/>
        <v>140</v>
      </c>
      <c r="C144" s="67">
        <f ca="1">IF(E144-'Invoer gegevens'!$C$17&lt;0,0,1)</f>
        <v>1</v>
      </c>
      <c r="D144" s="68">
        <f t="shared" si="49"/>
        <v>139.5</v>
      </c>
      <c r="E144" s="108">
        <f ca="1">IF('Invoer gegevens'!$C$16="","",E143+1)</f>
        <v>2158</v>
      </c>
      <c r="F144" s="84">
        <f ca="1">IF('Invoer gegevens'!$C$17=E144,'Invoer gegevens'!$C$10,IF(C144=1,K143,0))</f>
        <v>0</v>
      </c>
      <c r="G144" s="96">
        <f ca="1">IF(BD144&lt;1,F144*Reeksen!C144,IF(C144&gt;=1,F144*BA144,0))</f>
        <v>0</v>
      </c>
      <c r="H144" s="84">
        <f ca="1">(1-('Invoer gegevens'!$F$20/12))*F144*MIN(BA144,BC144)</f>
        <v>0</v>
      </c>
      <c r="I144" s="84">
        <f t="shared" ca="1" si="34"/>
        <v>0</v>
      </c>
      <c r="J144" s="84">
        <f ca="1">('Invoer gegevens'!$F$20/12)*F143*MIN(BA144,BC144)</f>
        <v>0</v>
      </c>
      <c r="K144" s="97">
        <f t="shared" ca="1" si="39"/>
        <v>0</v>
      </c>
      <c r="L144" s="84">
        <f ca="1">IF('Invoer gegevens'!$C$17=E144,0,IF(C144=1,Q143,0))</f>
        <v>0</v>
      </c>
      <c r="M144" s="96">
        <f t="shared" ca="1" si="35"/>
        <v>0</v>
      </c>
      <c r="N144" s="84">
        <f ca="1">(1-('Invoer gegevens'!$F$20/12))*L144*MIN(BA144,BC144)</f>
        <v>0</v>
      </c>
      <c r="O144" s="84">
        <f t="shared" ca="1" si="36"/>
        <v>0</v>
      </c>
      <c r="P144" s="84">
        <f ca="1">('Invoer gegevens'!$F$20/12)*L143*MIN(BA144,BC144)</f>
        <v>0</v>
      </c>
      <c r="Q144" s="84">
        <f t="shared" ca="1" si="40"/>
        <v>0</v>
      </c>
      <c r="R144" s="85">
        <f ca="1">IF('Invoer gegevens'!$C$17=E144,'Invoer gegevens'!$C$11,IF(C144=1,W143,0))</f>
        <v>0</v>
      </c>
      <c r="S144" s="86">
        <f t="shared" ca="1" si="37"/>
        <v>0</v>
      </c>
      <c r="T144" s="86">
        <f ca="1">(1-('Invoer gegevens'!$F$20/12))*R144*MIN(BC144,BA144)</f>
        <v>0</v>
      </c>
      <c r="U144" s="86">
        <f ca="1">IF(BD144&lt;1,IF(Reeksen!AD144&lt;=Reeksen!AE144,R144*Reeksen!C144,0),IF(BC144&gt;=BA144,0,IF(Reeksen!AD144&lt;=Reeksen!AE144,(BA144-BC144)*R144,0)))</f>
        <v>0</v>
      </c>
      <c r="V144" s="86">
        <f ca="1">IF(BD144&lt;1,IF(Reeksen!AD144&gt;Reeksen!AE144,R144*Reeksen!C144,0),IF(BC144&gt;=BA144,0,IF(Reeksen!AD144&gt;Reeksen!AE144,(BA144-BC144)*R144,0)))</f>
        <v>0</v>
      </c>
      <c r="W144" s="218">
        <f t="shared" ca="1" si="41"/>
        <v>0</v>
      </c>
      <c r="X144" s="98">
        <f ca="1">IF('Invoer gegevens'!$C$17=E144,'Invoer gegevens'!$C$10-'Invoer gegevens'!$C$11,IF(C144=1,AC143,0))</f>
        <v>0</v>
      </c>
      <c r="Y144" s="98">
        <f t="shared" ca="1" si="38"/>
        <v>0</v>
      </c>
      <c r="Z144" s="98">
        <f ca="1">(1-('Invoer gegevens'!$F$20/12))*X144*MIN(BA144,BC144)</f>
        <v>0</v>
      </c>
      <c r="AA144" s="98">
        <f ca="1">IF(BD144&lt;1,IF(Reeksen!AD144&lt;=Reeksen!AE144,X144*Reeksen!C144,0),IF(BC144&gt;=BA144,0,IF(Reeksen!AD144&lt;=Reeksen!AE144,(BA144-BC144)*X144,0)))</f>
        <v>0</v>
      </c>
      <c r="AB144" s="98">
        <f ca="1">IF(BD144&lt;1,IF(Reeksen!AD144&gt;Reeksen!AE144,X144*Reeksen!C144,0),IF(BC144&gt;=BA144,0,IF(Reeksen!AD144&gt;Reeksen!AE144,(BA144-BC144)*X144,0)))</f>
        <v>0</v>
      </c>
      <c r="AC144" s="99">
        <f t="shared" ca="1" si="42"/>
        <v>0</v>
      </c>
      <c r="AD144" s="98">
        <f ca="1">IF('Invoer gegevens'!$C$17=E144,R144,IF(C144=0,0,AE143))</f>
        <v>0</v>
      </c>
      <c r="AE144" s="98">
        <f t="shared" ca="1" si="43"/>
        <v>0</v>
      </c>
      <c r="AF144" s="98">
        <f ca="1">IF('Invoer gegevens'!$C$17=E144,X144,IF(C144=0,0,AG143))</f>
        <v>0</v>
      </c>
      <c r="AG144" s="98">
        <f t="shared" ca="1" si="44"/>
        <v>0</v>
      </c>
      <c r="AH144" s="66"/>
      <c r="AI144" s="71">
        <f ca="1">IF(C144=1,Reeksen!AI144*((F144+K144)/2)*12+Reeksen!AD144*((L144+Q144)/2)*12,0)</f>
        <v>0</v>
      </c>
      <c r="AJ144" s="71">
        <f ca="1">-AI144*'Invoer gegevens'!$F$28</f>
        <v>0</v>
      </c>
      <c r="AK144" s="71">
        <f t="shared" ca="1" si="45"/>
        <v>0</v>
      </c>
      <c r="AL144" s="71">
        <f ca="1">IF(C144=1,Reeksen!AL144*((F144-G144+F144)/2)*12+Reeksen!AM144*((L144-M144+L144)/2)*12,0)</f>
        <v>0</v>
      </c>
      <c r="AM144" s="71">
        <f ca="1">-AL144*'Invoer gegevens'!$F$31</f>
        <v>0</v>
      </c>
      <c r="AN144" s="71">
        <f t="shared" ca="1" si="46"/>
        <v>0</v>
      </c>
      <c r="AO144" s="71">
        <f ca="1">IF(C144=1,(H144+J144+N144+P144)*Reeksen!AN144,0)</f>
        <v>0</v>
      </c>
      <c r="AP144" s="71">
        <f ca="1">-IF(C144=1,(H144+J144+N144+P144)*'Hulp - basis'!$G$550*Reeksen!H144,0)</f>
        <v>0</v>
      </c>
      <c r="AQ144" s="71">
        <f ca="1">-IF(C144=1,(F144+K144+L144+Q144)/2*'Invoer gegevens'!$F$35*Reeksen!J144,0)*2</f>
        <v>0</v>
      </c>
      <c r="AR144" s="71">
        <f ca="1">IF(BD144&lt;1,-IF(C144=1,(G144*'Invoer gegevens'!$F$36)*Reeksen!J144,0),0)</f>
        <v>0</v>
      </c>
      <c r="AS144" s="71">
        <f ca="1">-IF(C144=1,(F144+K144+L144+Q144)/2*'Invoer gegevens'!$F$37*Reeksen!L144,0)</f>
        <v>0</v>
      </c>
      <c r="AT144" s="71">
        <f ca="1">-IF(C144=1,IF(E144='Invoer gegevens'!$C$17,'Invoer gegevens'!$C$11,AD144)*Reeksen!S144*'Invoer gegevens'!$C$18*Reeksen!P144,0)</f>
        <v>0</v>
      </c>
      <c r="AU144" s="71">
        <f ca="1">-IF(C144=1,(F144+K144+L144+Q144)/2*'Invoer gegevens'!$F$38*Reeksen!H144,0)</f>
        <v>0</v>
      </c>
      <c r="AV144" s="71">
        <f t="shared" si="33"/>
        <v>0</v>
      </c>
      <c r="AW144" s="71">
        <f t="shared" ca="1" si="47"/>
        <v>0</v>
      </c>
      <c r="AX144" s="71">
        <f ca="1">IF(E144&lt;'Invoer gegevens'!$C$17+15,0,IF(E144&gt;'Invoer gegevens'!$C$17+215,0,AW144))</f>
        <v>0</v>
      </c>
      <c r="AY144" s="71">
        <f ca="1">AX144/(1+'Invoer gegevens'!$F$18)^($AZ144-('Invoer gegevens'!$C$17-'Invoer gegevens'!$C$16))/(1+'Invoer gegevens'!$C$39)^('Invoer gegevens'!$C$17-'Invoer gegevens'!$C$16)</f>
        <v>0</v>
      </c>
      <c r="AZ144" s="68">
        <f ca="1">IF(E144-'Invoer gegevens'!$C$17-14.5&lt;0,0,E144-'Invoer gegevens'!$C$17-14.5)</f>
        <v>124.5</v>
      </c>
      <c r="BA144" s="109">
        <f ca="1">IFERROR(VLOOKUP(E144-15,Reeksen!$A$5:$D$234,2,FALSE),0)</f>
        <v>0</v>
      </c>
      <c r="BB144" s="109">
        <f ca="1">IFERROR(VLOOKUP(E144-15,Reeksen!$A$5:$D$234,3,FALSE),0)</f>
        <v>0</v>
      </c>
      <c r="BC144" s="109">
        <f ca="1">IFERROR(VLOOKUP(E144-15,Reeksen!$A$5:$D$234,4,FALSE),0)</f>
        <v>0</v>
      </c>
      <c r="BD144" s="67">
        <f ca="1">IF(E144-'Invoer gegevens'!$C$17&lt;15,0,1)</f>
        <v>1</v>
      </c>
    </row>
    <row r="145" spans="1:56" x14ac:dyDescent="0.25">
      <c r="A145" s="59"/>
      <c r="B145" s="70">
        <f t="shared" si="48"/>
        <v>141</v>
      </c>
      <c r="C145" s="67">
        <f ca="1">IF(E145-'Invoer gegevens'!$C$17&lt;0,0,1)</f>
        <v>1</v>
      </c>
      <c r="D145" s="68">
        <f t="shared" si="49"/>
        <v>140.5</v>
      </c>
      <c r="E145" s="108">
        <f ca="1">IF('Invoer gegevens'!$C$16="","",E144+1)</f>
        <v>2159</v>
      </c>
      <c r="F145" s="84">
        <f ca="1">IF('Invoer gegevens'!$C$17=E145,'Invoer gegevens'!$C$10,IF(C145=1,K144,0))</f>
        <v>0</v>
      </c>
      <c r="G145" s="96">
        <f ca="1">IF(BD145&lt;1,F145*Reeksen!C145,IF(C145&gt;=1,F145*BA145,0))</f>
        <v>0</v>
      </c>
      <c r="H145" s="84">
        <f ca="1">(1-('Invoer gegevens'!$F$20/12))*F145*MIN(BA145,BC145)</f>
        <v>0</v>
      </c>
      <c r="I145" s="84">
        <f t="shared" ca="1" si="34"/>
        <v>0</v>
      </c>
      <c r="J145" s="84">
        <f ca="1">('Invoer gegevens'!$F$20/12)*F144*MIN(BA145,BC145)</f>
        <v>0</v>
      </c>
      <c r="K145" s="97">
        <f t="shared" ca="1" si="39"/>
        <v>0</v>
      </c>
      <c r="L145" s="84">
        <f ca="1">IF('Invoer gegevens'!$C$17=E145,0,IF(C145=1,Q144,0))</f>
        <v>0</v>
      </c>
      <c r="M145" s="96">
        <f t="shared" ca="1" si="35"/>
        <v>0</v>
      </c>
      <c r="N145" s="84">
        <f ca="1">(1-('Invoer gegevens'!$F$20/12))*L145*MIN(BA145,BC145)</f>
        <v>0</v>
      </c>
      <c r="O145" s="84">
        <f t="shared" ca="1" si="36"/>
        <v>0</v>
      </c>
      <c r="P145" s="84">
        <f ca="1">('Invoer gegevens'!$F$20/12)*L144*MIN(BA145,BC145)</f>
        <v>0</v>
      </c>
      <c r="Q145" s="84">
        <f t="shared" ca="1" si="40"/>
        <v>0</v>
      </c>
      <c r="R145" s="85">
        <f ca="1">IF('Invoer gegevens'!$C$17=E145,'Invoer gegevens'!$C$11,IF(C145=1,W144,0))</f>
        <v>0</v>
      </c>
      <c r="S145" s="86">
        <f t="shared" ca="1" si="37"/>
        <v>0</v>
      </c>
      <c r="T145" s="86">
        <f ca="1">(1-('Invoer gegevens'!$F$20/12))*R145*MIN(BC145,BA145)</f>
        <v>0</v>
      </c>
      <c r="U145" s="86">
        <f ca="1">IF(BD145&lt;1,IF(Reeksen!AD145&lt;=Reeksen!AE145,R145*Reeksen!C145,0),IF(BC145&gt;=BA145,0,IF(Reeksen!AD145&lt;=Reeksen!AE145,(BA145-BC145)*R145,0)))</f>
        <v>0</v>
      </c>
      <c r="V145" s="86">
        <f ca="1">IF(BD145&lt;1,IF(Reeksen!AD145&gt;Reeksen!AE145,R145*Reeksen!C145,0),IF(BC145&gt;=BA145,0,IF(Reeksen!AD145&gt;Reeksen!AE145,(BA145-BC145)*R145,0)))</f>
        <v>0</v>
      </c>
      <c r="W145" s="218">
        <f t="shared" ca="1" si="41"/>
        <v>0</v>
      </c>
      <c r="X145" s="98">
        <f ca="1">IF('Invoer gegevens'!$C$17=E145,'Invoer gegevens'!$C$10-'Invoer gegevens'!$C$11,IF(C145=1,AC144,0))</f>
        <v>0</v>
      </c>
      <c r="Y145" s="98">
        <f t="shared" ca="1" si="38"/>
        <v>0</v>
      </c>
      <c r="Z145" s="98">
        <f ca="1">(1-('Invoer gegevens'!$F$20/12))*X145*MIN(BA145,BC145)</f>
        <v>0</v>
      </c>
      <c r="AA145" s="98">
        <f ca="1">IF(BD145&lt;1,IF(Reeksen!AD145&lt;=Reeksen!AE145,X145*Reeksen!C145,0),IF(BC145&gt;=BA145,0,IF(Reeksen!AD145&lt;=Reeksen!AE145,(BA145-BC145)*X145,0)))</f>
        <v>0</v>
      </c>
      <c r="AB145" s="98">
        <f ca="1">IF(BD145&lt;1,IF(Reeksen!AD145&gt;Reeksen!AE145,X145*Reeksen!C145,0),IF(BC145&gt;=BA145,0,IF(Reeksen!AD145&gt;Reeksen!AE145,(BA145-BC145)*X145,0)))</f>
        <v>0</v>
      </c>
      <c r="AC145" s="99">
        <f t="shared" ca="1" si="42"/>
        <v>0</v>
      </c>
      <c r="AD145" s="98">
        <f ca="1">IF('Invoer gegevens'!$C$17=E145,R145,IF(C145=0,0,AE144))</f>
        <v>0</v>
      </c>
      <c r="AE145" s="98">
        <f t="shared" ca="1" si="43"/>
        <v>0</v>
      </c>
      <c r="AF145" s="98">
        <f ca="1">IF('Invoer gegevens'!$C$17=E145,X145,IF(C145=0,0,AG144))</f>
        <v>0</v>
      </c>
      <c r="AG145" s="98">
        <f t="shared" ca="1" si="44"/>
        <v>0</v>
      </c>
      <c r="AH145" s="66"/>
      <c r="AI145" s="71">
        <f ca="1">IF(C145=1,Reeksen!AI145*((F145+K145)/2)*12+Reeksen!AD145*((L145+Q145)/2)*12,0)</f>
        <v>0</v>
      </c>
      <c r="AJ145" s="71">
        <f ca="1">-AI145*'Invoer gegevens'!$F$28</f>
        <v>0</v>
      </c>
      <c r="AK145" s="71">
        <f t="shared" ca="1" si="45"/>
        <v>0</v>
      </c>
      <c r="AL145" s="71">
        <f ca="1">IF(C145=1,Reeksen!AL145*((F145-G145+F145)/2)*12+Reeksen!AM145*((L145-M145+L145)/2)*12,0)</f>
        <v>0</v>
      </c>
      <c r="AM145" s="71">
        <f ca="1">-AL145*'Invoer gegevens'!$F$31</f>
        <v>0</v>
      </c>
      <c r="AN145" s="71">
        <f t="shared" ca="1" si="46"/>
        <v>0</v>
      </c>
      <c r="AO145" s="71">
        <f ca="1">IF(C145=1,(H145+J145+N145+P145)*Reeksen!AN145,0)</f>
        <v>0</v>
      </c>
      <c r="AP145" s="71">
        <f ca="1">-IF(C145=1,(H145+J145+N145+P145)*'Hulp - basis'!$G$550*Reeksen!H145,0)</f>
        <v>0</v>
      </c>
      <c r="AQ145" s="71">
        <f ca="1">-IF(C145=1,(F145+K145+L145+Q145)/2*'Invoer gegevens'!$F$35*Reeksen!J145,0)*2</f>
        <v>0</v>
      </c>
      <c r="AR145" s="71">
        <f ca="1">IF(BD145&lt;1,-IF(C145=1,(G145*'Invoer gegevens'!$F$36)*Reeksen!J145,0),0)</f>
        <v>0</v>
      </c>
      <c r="AS145" s="71">
        <f ca="1">-IF(C145=1,(F145+K145+L145+Q145)/2*'Invoer gegevens'!$F$37*Reeksen!L145,0)</f>
        <v>0</v>
      </c>
      <c r="AT145" s="71">
        <f ca="1">-IF(C145=1,IF(E145='Invoer gegevens'!$C$17,'Invoer gegevens'!$C$11,AD145)*Reeksen!S145*'Invoer gegevens'!$C$18*Reeksen!P145,0)</f>
        <v>0</v>
      </c>
      <c r="AU145" s="71">
        <f ca="1">-IF(C145=1,(F145+K145+L145+Q145)/2*'Invoer gegevens'!$F$38*Reeksen!H145,0)</f>
        <v>0</v>
      </c>
      <c r="AV145" s="71">
        <f t="shared" si="33"/>
        <v>0</v>
      </c>
      <c r="AW145" s="71">
        <f t="shared" ca="1" si="47"/>
        <v>0</v>
      </c>
      <c r="AX145" s="71">
        <f ca="1">IF(E145&lt;'Invoer gegevens'!$C$17+15,0,IF(E145&gt;'Invoer gegevens'!$C$17+215,0,AW145))</f>
        <v>0</v>
      </c>
      <c r="AY145" s="71">
        <f ca="1">AX145/(1+'Invoer gegevens'!$F$18)^($AZ145-('Invoer gegevens'!$C$17-'Invoer gegevens'!$C$16))/(1+'Invoer gegevens'!$C$39)^('Invoer gegevens'!$C$17-'Invoer gegevens'!$C$16)</f>
        <v>0</v>
      </c>
      <c r="AZ145" s="68">
        <f ca="1">IF(E145-'Invoer gegevens'!$C$17-14.5&lt;0,0,E145-'Invoer gegevens'!$C$17-14.5)</f>
        <v>125.5</v>
      </c>
      <c r="BA145" s="109">
        <f ca="1">IFERROR(VLOOKUP(E145-15,Reeksen!$A$5:$D$234,2,FALSE),0)</f>
        <v>0</v>
      </c>
      <c r="BB145" s="109">
        <f ca="1">IFERROR(VLOOKUP(E145-15,Reeksen!$A$5:$D$234,3,FALSE),0)</f>
        <v>0</v>
      </c>
      <c r="BC145" s="109">
        <f ca="1">IFERROR(VLOOKUP(E145-15,Reeksen!$A$5:$D$234,4,FALSE),0)</f>
        <v>0</v>
      </c>
      <c r="BD145" s="67">
        <f ca="1">IF(E145-'Invoer gegevens'!$C$17&lt;15,0,1)</f>
        <v>1</v>
      </c>
    </row>
    <row r="146" spans="1:56" x14ac:dyDescent="0.25">
      <c r="A146" s="59"/>
      <c r="B146" s="70">
        <f t="shared" si="48"/>
        <v>142</v>
      </c>
      <c r="C146" s="67">
        <f ca="1">IF(E146-'Invoer gegevens'!$C$17&lt;0,0,1)</f>
        <v>1</v>
      </c>
      <c r="D146" s="68">
        <f t="shared" si="49"/>
        <v>141.5</v>
      </c>
      <c r="E146" s="108">
        <f ca="1">IF('Invoer gegevens'!$C$16="","",E145+1)</f>
        <v>2160</v>
      </c>
      <c r="F146" s="84">
        <f ca="1">IF('Invoer gegevens'!$C$17=E146,'Invoer gegevens'!$C$10,IF(C146=1,K145,0))</f>
        <v>0</v>
      </c>
      <c r="G146" s="96">
        <f ca="1">IF(BD146&lt;1,F146*Reeksen!C146,IF(C146&gt;=1,F146*BA146,0))</f>
        <v>0</v>
      </c>
      <c r="H146" s="84">
        <f ca="1">(1-('Invoer gegevens'!$F$20/12))*F146*MIN(BA146,BC146)</f>
        <v>0</v>
      </c>
      <c r="I146" s="84">
        <f t="shared" ca="1" si="34"/>
        <v>0</v>
      </c>
      <c r="J146" s="84">
        <f ca="1">('Invoer gegevens'!$F$20/12)*F145*MIN(BA146,BC146)</f>
        <v>0</v>
      </c>
      <c r="K146" s="97">
        <f t="shared" ca="1" si="39"/>
        <v>0</v>
      </c>
      <c r="L146" s="84">
        <f ca="1">IF('Invoer gegevens'!$C$17=E146,0,IF(C146=1,Q145,0))</f>
        <v>0</v>
      </c>
      <c r="M146" s="96">
        <f t="shared" ca="1" si="35"/>
        <v>0</v>
      </c>
      <c r="N146" s="84">
        <f ca="1">(1-('Invoer gegevens'!$F$20/12))*L146*MIN(BA146,BC146)</f>
        <v>0</v>
      </c>
      <c r="O146" s="84">
        <f t="shared" ca="1" si="36"/>
        <v>0</v>
      </c>
      <c r="P146" s="84">
        <f ca="1">('Invoer gegevens'!$F$20/12)*L145*MIN(BA146,BC146)</f>
        <v>0</v>
      </c>
      <c r="Q146" s="84">
        <f t="shared" ca="1" si="40"/>
        <v>0</v>
      </c>
      <c r="R146" s="85">
        <f ca="1">IF('Invoer gegevens'!$C$17=E146,'Invoer gegevens'!$C$11,IF(C146=1,W145,0))</f>
        <v>0</v>
      </c>
      <c r="S146" s="86">
        <f t="shared" ca="1" si="37"/>
        <v>0</v>
      </c>
      <c r="T146" s="86">
        <f ca="1">(1-('Invoer gegevens'!$F$20/12))*R146*MIN(BC146,BA146)</f>
        <v>0</v>
      </c>
      <c r="U146" s="86">
        <f ca="1">IF(BD146&lt;1,IF(Reeksen!AD146&lt;=Reeksen!AE146,R146*Reeksen!C146,0),IF(BC146&gt;=BA146,0,IF(Reeksen!AD146&lt;=Reeksen!AE146,(BA146-BC146)*R146,0)))</f>
        <v>0</v>
      </c>
      <c r="V146" s="86">
        <f ca="1">IF(BD146&lt;1,IF(Reeksen!AD146&gt;Reeksen!AE146,R146*Reeksen!C146,0),IF(BC146&gt;=BA146,0,IF(Reeksen!AD146&gt;Reeksen!AE146,(BA146-BC146)*R146,0)))</f>
        <v>0</v>
      </c>
      <c r="W146" s="218">
        <f t="shared" ca="1" si="41"/>
        <v>0</v>
      </c>
      <c r="X146" s="98">
        <f ca="1">IF('Invoer gegevens'!$C$17=E146,'Invoer gegevens'!$C$10-'Invoer gegevens'!$C$11,IF(C146=1,AC145,0))</f>
        <v>0</v>
      </c>
      <c r="Y146" s="98">
        <f t="shared" ca="1" si="38"/>
        <v>0</v>
      </c>
      <c r="Z146" s="98">
        <f ca="1">(1-('Invoer gegevens'!$F$20/12))*X146*MIN(BA146,BC146)</f>
        <v>0</v>
      </c>
      <c r="AA146" s="98">
        <f ca="1">IF(BD146&lt;1,IF(Reeksen!AD146&lt;=Reeksen!AE146,X146*Reeksen!C146,0),IF(BC146&gt;=BA146,0,IF(Reeksen!AD146&lt;=Reeksen!AE146,(BA146-BC146)*X146,0)))</f>
        <v>0</v>
      </c>
      <c r="AB146" s="98">
        <f ca="1">IF(BD146&lt;1,IF(Reeksen!AD146&gt;Reeksen!AE146,X146*Reeksen!C146,0),IF(BC146&gt;=BA146,0,IF(Reeksen!AD146&gt;Reeksen!AE146,(BA146-BC146)*X146,0)))</f>
        <v>0</v>
      </c>
      <c r="AC146" s="99">
        <f t="shared" ca="1" si="42"/>
        <v>0</v>
      </c>
      <c r="AD146" s="98">
        <f ca="1">IF('Invoer gegevens'!$C$17=E146,R146,IF(C146=0,0,AE145))</f>
        <v>0</v>
      </c>
      <c r="AE146" s="98">
        <f t="shared" ca="1" si="43"/>
        <v>0</v>
      </c>
      <c r="AF146" s="98">
        <f ca="1">IF('Invoer gegevens'!$C$17=E146,X146,IF(C146=0,0,AG145))</f>
        <v>0</v>
      </c>
      <c r="AG146" s="98">
        <f t="shared" ca="1" si="44"/>
        <v>0</v>
      </c>
      <c r="AH146" s="66"/>
      <c r="AI146" s="71">
        <f ca="1">IF(C146=1,Reeksen!AI146*((F146+K146)/2)*12+Reeksen!AD146*((L146+Q146)/2)*12,0)</f>
        <v>0</v>
      </c>
      <c r="AJ146" s="71">
        <f ca="1">-AI146*'Invoer gegevens'!$F$28</f>
        <v>0</v>
      </c>
      <c r="AK146" s="71">
        <f t="shared" ca="1" si="45"/>
        <v>0</v>
      </c>
      <c r="AL146" s="71">
        <f ca="1">IF(C146=1,Reeksen!AL146*((F146-G146+F146)/2)*12+Reeksen!AM146*((L146-M146+L146)/2)*12,0)</f>
        <v>0</v>
      </c>
      <c r="AM146" s="71">
        <f ca="1">-AL146*'Invoer gegevens'!$F$31</f>
        <v>0</v>
      </c>
      <c r="AN146" s="71">
        <f t="shared" ca="1" si="46"/>
        <v>0</v>
      </c>
      <c r="AO146" s="71">
        <f ca="1">IF(C146=1,(H146+J146+N146+P146)*Reeksen!AN146,0)</f>
        <v>0</v>
      </c>
      <c r="AP146" s="71">
        <f ca="1">-IF(C146=1,(H146+J146+N146+P146)*'Hulp - basis'!$G$550*Reeksen!H146,0)</f>
        <v>0</v>
      </c>
      <c r="AQ146" s="71">
        <f ca="1">-IF(C146=1,(F146+K146+L146+Q146)/2*'Invoer gegevens'!$F$35*Reeksen!J146,0)*2</f>
        <v>0</v>
      </c>
      <c r="AR146" s="71">
        <f ca="1">IF(BD146&lt;1,-IF(C146=1,(G146*'Invoer gegevens'!$F$36)*Reeksen!J146,0),0)</f>
        <v>0</v>
      </c>
      <c r="AS146" s="71">
        <f ca="1">-IF(C146=1,(F146+K146+L146+Q146)/2*'Invoer gegevens'!$F$37*Reeksen!L146,0)</f>
        <v>0</v>
      </c>
      <c r="AT146" s="71">
        <f ca="1">-IF(C146=1,IF(E146='Invoer gegevens'!$C$17,'Invoer gegevens'!$C$11,AD146)*Reeksen!S146*'Invoer gegevens'!$C$18*Reeksen!P146,0)</f>
        <v>0</v>
      </c>
      <c r="AU146" s="71">
        <f ca="1">-IF(C146=1,(F146+K146+L146+Q146)/2*'Invoer gegevens'!$F$38*Reeksen!H146,0)</f>
        <v>0</v>
      </c>
      <c r="AV146" s="71">
        <f t="shared" si="33"/>
        <v>0</v>
      </c>
      <c r="AW146" s="71">
        <f t="shared" ca="1" si="47"/>
        <v>0</v>
      </c>
      <c r="AX146" s="71">
        <f ca="1">IF(E146&lt;'Invoer gegevens'!$C$17+15,0,IF(E146&gt;'Invoer gegevens'!$C$17+215,0,AW146))</f>
        <v>0</v>
      </c>
      <c r="AY146" s="71">
        <f ca="1">AX146/(1+'Invoer gegevens'!$F$18)^($AZ146-('Invoer gegevens'!$C$17-'Invoer gegevens'!$C$16))/(1+'Invoer gegevens'!$C$39)^('Invoer gegevens'!$C$17-'Invoer gegevens'!$C$16)</f>
        <v>0</v>
      </c>
      <c r="AZ146" s="68">
        <f ca="1">IF(E146-'Invoer gegevens'!$C$17-14.5&lt;0,0,E146-'Invoer gegevens'!$C$17-14.5)</f>
        <v>126.5</v>
      </c>
      <c r="BA146" s="109">
        <f ca="1">IFERROR(VLOOKUP(E146-15,Reeksen!$A$5:$D$234,2,FALSE),0)</f>
        <v>0</v>
      </c>
      <c r="BB146" s="109">
        <f ca="1">IFERROR(VLOOKUP(E146-15,Reeksen!$A$5:$D$234,3,FALSE),0)</f>
        <v>0</v>
      </c>
      <c r="BC146" s="109">
        <f ca="1">IFERROR(VLOOKUP(E146-15,Reeksen!$A$5:$D$234,4,FALSE),0)</f>
        <v>0</v>
      </c>
      <c r="BD146" s="67">
        <f ca="1">IF(E146-'Invoer gegevens'!$C$17&lt;15,0,1)</f>
        <v>1</v>
      </c>
    </row>
    <row r="147" spans="1:56" x14ac:dyDescent="0.25">
      <c r="A147" s="59"/>
      <c r="B147" s="70">
        <f t="shared" si="48"/>
        <v>143</v>
      </c>
      <c r="C147" s="67">
        <f ca="1">IF(E147-'Invoer gegevens'!$C$17&lt;0,0,1)</f>
        <v>1</v>
      </c>
      <c r="D147" s="68">
        <f t="shared" si="49"/>
        <v>142.5</v>
      </c>
      <c r="E147" s="108">
        <f ca="1">IF('Invoer gegevens'!$C$16="","",E146+1)</f>
        <v>2161</v>
      </c>
      <c r="F147" s="84">
        <f ca="1">IF('Invoer gegevens'!$C$17=E147,'Invoer gegevens'!$C$10,IF(C147=1,K146,0))</f>
        <v>0</v>
      </c>
      <c r="G147" s="96">
        <f ca="1">IF(BD147&lt;1,F147*Reeksen!C147,IF(C147&gt;=1,F147*BA147,0))</f>
        <v>0</v>
      </c>
      <c r="H147" s="84">
        <f ca="1">(1-('Invoer gegevens'!$F$20/12))*F147*MIN(BA147,BC147)</f>
        <v>0</v>
      </c>
      <c r="I147" s="84">
        <f t="shared" ca="1" si="34"/>
        <v>0</v>
      </c>
      <c r="J147" s="84">
        <f ca="1">('Invoer gegevens'!$F$20/12)*F146*MIN(BA147,BC147)</f>
        <v>0</v>
      </c>
      <c r="K147" s="97">
        <f t="shared" ca="1" si="39"/>
        <v>0</v>
      </c>
      <c r="L147" s="84">
        <f ca="1">IF('Invoer gegevens'!$C$17=E147,0,IF(C147=1,Q146,0))</f>
        <v>0</v>
      </c>
      <c r="M147" s="96">
        <f t="shared" ca="1" si="35"/>
        <v>0</v>
      </c>
      <c r="N147" s="84">
        <f ca="1">(1-('Invoer gegevens'!$F$20/12))*L147*MIN(BA147,BC147)</f>
        <v>0</v>
      </c>
      <c r="O147" s="84">
        <f t="shared" ca="1" si="36"/>
        <v>0</v>
      </c>
      <c r="P147" s="84">
        <f ca="1">('Invoer gegevens'!$F$20/12)*L146*MIN(BA147,BC147)</f>
        <v>0</v>
      </c>
      <c r="Q147" s="84">
        <f t="shared" ca="1" si="40"/>
        <v>0</v>
      </c>
      <c r="R147" s="85">
        <f ca="1">IF('Invoer gegevens'!$C$17=E147,'Invoer gegevens'!$C$11,IF(C147=1,W146,0))</f>
        <v>0</v>
      </c>
      <c r="S147" s="86">
        <f t="shared" ca="1" si="37"/>
        <v>0</v>
      </c>
      <c r="T147" s="86">
        <f ca="1">(1-('Invoer gegevens'!$F$20/12))*R147*MIN(BC147,BA147)</f>
        <v>0</v>
      </c>
      <c r="U147" s="86">
        <f ca="1">IF(BD147&lt;1,IF(Reeksen!AD147&lt;=Reeksen!AE147,R147*Reeksen!C147,0),IF(BC147&gt;=BA147,0,IF(Reeksen!AD147&lt;=Reeksen!AE147,(BA147-BC147)*R147,0)))</f>
        <v>0</v>
      </c>
      <c r="V147" s="86">
        <f ca="1">IF(BD147&lt;1,IF(Reeksen!AD147&gt;Reeksen!AE147,R147*Reeksen!C147,0),IF(BC147&gt;=BA147,0,IF(Reeksen!AD147&gt;Reeksen!AE147,(BA147-BC147)*R147,0)))</f>
        <v>0</v>
      </c>
      <c r="W147" s="218">
        <f t="shared" ca="1" si="41"/>
        <v>0</v>
      </c>
      <c r="X147" s="98">
        <f ca="1">IF('Invoer gegevens'!$C$17=E147,'Invoer gegevens'!$C$10-'Invoer gegevens'!$C$11,IF(C147=1,AC146,0))</f>
        <v>0</v>
      </c>
      <c r="Y147" s="98">
        <f t="shared" ca="1" si="38"/>
        <v>0</v>
      </c>
      <c r="Z147" s="98">
        <f ca="1">(1-('Invoer gegevens'!$F$20/12))*X147*MIN(BA147,BC147)</f>
        <v>0</v>
      </c>
      <c r="AA147" s="98">
        <f ca="1">IF(BD147&lt;1,IF(Reeksen!AD147&lt;=Reeksen!AE147,X147*Reeksen!C147,0),IF(BC147&gt;=BA147,0,IF(Reeksen!AD147&lt;=Reeksen!AE147,(BA147-BC147)*X147,0)))</f>
        <v>0</v>
      </c>
      <c r="AB147" s="98">
        <f ca="1">IF(BD147&lt;1,IF(Reeksen!AD147&gt;Reeksen!AE147,X147*Reeksen!C147,0),IF(BC147&gt;=BA147,0,IF(Reeksen!AD147&gt;Reeksen!AE147,(BA147-BC147)*X147,0)))</f>
        <v>0</v>
      </c>
      <c r="AC147" s="99">
        <f t="shared" ca="1" si="42"/>
        <v>0</v>
      </c>
      <c r="AD147" s="98">
        <f ca="1">IF('Invoer gegevens'!$C$17=E147,R147,IF(C147=0,0,AE146))</f>
        <v>0</v>
      </c>
      <c r="AE147" s="98">
        <f t="shared" ca="1" si="43"/>
        <v>0</v>
      </c>
      <c r="AF147" s="98">
        <f ca="1">IF('Invoer gegevens'!$C$17=E147,X147,IF(C147=0,0,AG146))</f>
        <v>0</v>
      </c>
      <c r="AG147" s="98">
        <f t="shared" ca="1" si="44"/>
        <v>0</v>
      </c>
      <c r="AH147" s="66"/>
      <c r="AI147" s="71">
        <f ca="1">IF(C147=1,Reeksen!AI147*((F147+K147)/2)*12+Reeksen!AD147*((L147+Q147)/2)*12,0)</f>
        <v>0</v>
      </c>
      <c r="AJ147" s="71">
        <f ca="1">-AI147*'Invoer gegevens'!$F$28</f>
        <v>0</v>
      </c>
      <c r="AK147" s="71">
        <f t="shared" ca="1" si="45"/>
        <v>0</v>
      </c>
      <c r="AL147" s="71">
        <f ca="1">IF(C147=1,Reeksen!AL147*((F147-G147+F147)/2)*12+Reeksen!AM147*((L147-M147+L147)/2)*12,0)</f>
        <v>0</v>
      </c>
      <c r="AM147" s="71">
        <f ca="1">-AL147*'Invoer gegevens'!$F$31</f>
        <v>0</v>
      </c>
      <c r="AN147" s="71">
        <f t="shared" ca="1" si="46"/>
        <v>0</v>
      </c>
      <c r="AO147" s="71">
        <f ca="1">IF(C147=1,(H147+J147+N147+P147)*Reeksen!AN147,0)</f>
        <v>0</v>
      </c>
      <c r="AP147" s="71">
        <f ca="1">-IF(C147=1,(H147+J147+N147+P147)*'Hulp - basis'!$G$550*Reeksen!H147,0)</f>
        <v>0</v>
      </c>
      <c r="AQ147" s="71">
        <f ca="1">-IF(C147=1,(F147+K147+L147+Q147)/2*'Invoer gegevens'!$F$35*Reeksen!J147,0)*2</f>
        <v>0</v>
      </c>
      <c r="AR147" s="71">
        <f ca="1">IF(BD147&lt;1,-IF(C147=1,(G147*'Invoer gegevens'!$F$36)*Reeksen!J147,0),0)</f>
        <v>0</v>
      </c>
      <c r="AS147" s="71">
        <f ca="1">-IF(C147=1,(F147+K147+L147+Q147)/2*'Invoer gegevens'!$F$37*Reeksen!L147,0)</f>
        <v>0</v>
      </c>
      <c r="AT147" s="71">
        <f ca="1">-IF(C147=1,IF(E147='Invoer gegevens'!$C$17,'Invoer gegevens'!$C$11,AD147)*Reeksen!S147*'Invoer gegevens'!$C$18*Reeksen!P147,0)</f>
        <v>0</v>
      </c>
      <c r="AU147" s="71">
        <f ca="1">-IF(C147=1,(F147+K147+L147+Q147)/2*'Invoer gegevens'!$F$38*Reeksen!H147,0)</f>
        <v>0</v>
      </c>
      <c r="AV147" s="71">
        <f t="shared" si="33"/>
        <v>0</v>
      </c>
      <c r="AW147" s="71">
        <f t="shared" ca="1" si="47"/>
        <v>0</v>
      </c>
      <c r="AX147" s="71">
        <f ca="1">IF(E147&lt;'Invoer gegevens'!$C$17+15,0,IF(E147&gt;'Invoer gegevens'!$C$17+215,0,AW147))</f>
        <v>0</v>
      </c>
      <c r="AY147" s="71">
        <f ca="1">AX147/(1+'Invoer gegevens'!$F$18)^($AZ147-('Invoer gegevens'!$C$17-'Invoer gegevens'!$C$16))/(1+'Invoer gegevens'!$C$39)^('Invoer gegevens'!$C$17-'Invoer gegevens'!$C$16)</f>
        <v>0</v>
      </c>
      <c r="AZ147" s="68">
        <f ca="1">IF(E147-'Invoer gegevens'!$C$17-14.5&lt;0,0,E147-'Invoer gegevens'!$C$17-14.5)</f>
        <v>127.5</v>
      </c>
      <c r="BA147" s="109">
        <f ca="1">IFERROR(VLOOKUP(E147-15,Reeksen!$A$5:$D$234,2,FALSE),0)</f>
        <v>0</v>
      </c>
      <c r="BB147" s="109">
        <f ca="1">IFERROR(VLOOKUP(E147-15,Reeksen!$A$5:$D$234,3,FALSE),0)</f>
        <v>0</v>
      </c>
      <c r="BC147" s="109">
        <f ca="1">IFERROR(VLOOKUP(E147-15,Reeksen!$A$5:$D$234,4,FALSE),0)</f>
        <v>0</v>
      </c>
      <c r="BD147" s="67">
        <f ca="1">IF(E147-'Invoer gegevens'!$C$17&lt;15,0,1)</f>
        <v>1</v>
      </c>
    </row>
    <row r="148" spans="1:56" x14ac:dyDescent="0.25">
      <c r="A148" s="59"/>
      <c r="B148" s="70">
        <f t="shared" si="48"/>
        <v>144</v>
      </c>
      <c r="C148" s="67">
        <f ca="1">IF(E148-'Invoer gegevens'!$C$17&lt;0,0,1)</f>
        <v>1</v>
      </c>
      <c r="D148" s="68">
        <f t="shared" si="49"/>
        <v>143.5</v>
      </c>
      <c r="E148" s="108">
        <f ca="1">IF('Invoer gegevens'!$C$16="","",E147+1)</f>
        <v>2162</v>
      </c>
      <c r="F148" s="84">
        <f ca="1">IF('Invoer gegevens'!$C$17=E148,'Invoer gegevens'!$C$10,IF(C148=1,K147,0))</f>
        <v>0</v>
      </c>
      <c r="G148" s="96">
        <f ca="1">IF(BD148&lt;1,F148*Reeksen!C148,IF(C148&gt;=1,F148*BA148,0))</f>
        <v>0</v>
      </c>
      <c r="H148" s="84">
        <f ca="1">(1-('Invoer gegevens'!$F$20/12))*F148*MIN(BA148,BC148)</f>
        <v>0</v>
      </c>
      <c r="I148" s="84">
        <f t="shared" ca="1" si="34"/>
        <v>0</v>
      </c>
      <c r="J148" s="84">
        <f ca="1">('Invoer gegevens'!$F$20/12)*F147*MIN(BA148,BC148)</f>
        <v>0</v>
      </c>
      <c r="K148" s="97">
        <f t="shared" ca="1" si="39"/>
        <v>0</v>
      </c>
      <c r="L148" s="84">
        <f ca="1">IF('Invoer gegevens'!$C$17=E148,0,IF(C148=1,Q147,0))</f>
        <v>0</v>
      </c>
      <c r="M148" s="96">
        <f t="shared" ca="1" si="35"/>
        <v>0</v>
      </c>
      <c r="N148" s="84">
        <f ca="1">(1-('Invoer gegevens'!$F$20/12))*L148*MIN(BA148,BC148)</f>
        <v>0</v>
      </c>
      <c r="O148" s="84">
        <f t="shared" ca="1" si="36"/>
        <v>0</v>
      </c>
      <c r="P148" s="84">
        <f ca="1">('Invoer gegevens'!$F$20/12)*L147*MIN(BA148,BC148)</f>
        <v>0</v>
      </c>
      <c r="Q148" s="84">
        <f t="shared" ca="1" si="40"/>
        <v>0</v>
      </c>
      <c r="R148" s="85">
        <f ca="1">IF('Invoer gegevens'!$C$17=E148,'Invoer gegevens'!$C$11,IF(C148=1,W147,0))</f>
        <v>0</v>
      </c>
      <c r="S148" s="86">
        <f t="shared" ca="1" si="37"/>
        <v>0</v>
      </c>
      <c r="T148" s="86">
        <f ca="1">(1-('Invoer gegevens'!$F$20/12))*R148*MIN(BC148,BA148)</f>
        <v>0</v>
      </c>
      <c r="U148" s="86">
        <f ca="1">IF(BD148&lt;1,IF(Reeksen!AD148&lt;=Reeksen!AE148,R148*Reeksen!C148,0),IF(BC148&gt;=BA148,0,IF(Reeksen!AD148&lt;=Reeksen!AE148,(BA148-BC148)*R148,0)))</f>
        <v>0</v>
      </c>
      <c r="V148" s="86">
        <f ca="1">IF(BD148&lt;1,IF(Reeksen!AD148&gt;Reeksen!AE148,R148*Reeksen!C148,0),IF(BC148&gt;=BA148,0,IF(Reeksen!AD148&gt;Reeksen!AE148,(BA148-BC148)*R148,0)))</f>
        <v>0</v>
      </c>
      <c r="W148" s="218">
        <f t="shared" ca="1" si="41"/>
        <v>0</v>
      </c>
      <c r="X148" s="98">
        <f ca="1">IF('Invoer gegevens'!$C$17=E148,'Invoer gegevens'!$C$10-'Invoer gegevens'!$C$11,IF(C148=1,AC147,0))</f>
        <v>0</v>
      </c>
      <c r="Y148" s="98">
        <f t="shared" ca="1" si="38"/>
        <v>0</v>
      </c>
      <c r="Z148" s="98">
        <f ca="1">(1-('Invoer gegevens'!$F$20/12))*X148*MIN(BA148,BC148)</f>
        <v>0</v>
      </c>
      <c r="AA148" s="98">
        <f ca="1">IF(BD148&lt;1,IF(Reeksen!AD148&lt;=Reeksen!AE148,X148*Reeksen!C148,0),IF(BC148&gt;=BA148,0,IF(Reeksen!AD148&lt;=Reeksen!AE148,(BA148-BC148)*X148,0)))</f>
        <v>0</v>
      </c>
      <c r="AB148" s="98">
        <f ca="1">IF(BD148&lt;1,IF(Reeksen!AD148&gt;Reeksen!AE148,X148*Reeksen!C148,0),IF(BC148&gt;=BA148,0,IF(Reeksen!AD148&gt;Reeksen!AE148,(BA148-BC148)*X148,0)))</f>
        <v>0</v>
      </c>
      <c r="AC148" s="99">
        <f t="shared" ca="1" si="42"/>
        <v>0</v>
      </c>
      <c r="AD148" s="98">
        <f ca="1">IF('Invoer gegevens'!$C$17=E148,R148,IF(C148=0,0,AE147))</f>
        <v>0</v>
      </c>
      <c r="AE148" s="98">
        <f t="shared" ca="1" si="43"/>
        <v>0</v>
      </c>
      <c r="AF148" s="98">
        <f ca="1">IF('Invoer gegevens'!$C$17=E148,X148,IF(C148=0,0,AG147))</f>
        <v>0</v>
      </c>
      <c r="AG148" s="98">
        <f t="shared" ca="1" si="44"/>
        <v>0</v>
      </c>
      <c r="AH148" s="66"/>
      <c r="AI148" s="71">
        <f ca="1">IF(C148=1,Reeksen!AI148*((F148+K148)/2)*12+Reeksen!AD148*((L148+Q148)/2)*12,0)</f>
        <v>0</v>
      </c>
      <c r="AJ148" s="71">
        <f ca="1">-AI148*'Invoer gegevens'!$F$28</f>
        <v>0</v>
      </c>
      <c r="AK148" s="71">
        <f t="shared" ca="1" si="45"/>
        <v>0</v>
      </c>
      <c r="AL148" s="71">
        <f ca="1">IF(C148=1,Reeksen!AL148*((F148-G148+F148)/2)*12+Reeksen!AM148*((L148-M148+L148)/2)*12,0)</f>
        <v>0</v>
      </c>
      <c r="AM148" s="71">
        <f ca="1">-AL148*'Invoer gegevens'!$F$31</f>
        <v>0</v>
      </c>
      <c r="AN148" s="71">
        <f t="shared" ca="1" si="46"/>
        <v>0</v>
      </c>
      <c r="AO148" s="71">
        <f ca="1">IF(C148=1,(H148+J148+N148+P148)*Reeksen!AN148,0)</f>
        <v>0</v>
      </c>
      <c r="AP148" s="71">
        <f ca="1">-IF(C148=1,(H148+J148+N148+P148)*'Hulp - basis'!$G$550*Reeksen!H148,0)</f>
        <v>0</v>
      </c>
      <c r="AQ148" s="71">
        <f ca="1">-IF(C148=1,(F148+K148+L148+Q148)/2*'Invoer gegevens'!$F$35*Reeksen!J148,0)*2</f>
        <v>0</v>
      </c>
      <c r="AR148" s="71">
        <f ca="1">IF(BD148&lt;1,-IF(C148=1,(G148*'Invoer gegevens'!$F$36)*Reeksen!J148,0),0)</f>
        <v>0</v>
      </c>
      <c r="AS148" s="71">
        <f ca="1">-IF(C148=1,(F148+K148+L148+Q148)/2*'Invoer gegevens'!$F$37*Reeksen!L148,0)</f>
        <v>0</v>
      </c>
      <c r="AT148" s="71">
        <f ca="1">-IF(C148=1,IF(E148='Invoer gegevens'!$C$17,'Invoer gegevens'!$C$11,AD148)*Reeksen!S148*'Invoer gegevens'!$C$18*Reeksen!P148,0)</f>
        <v>0</v>
      </c>
      <c r="AU148" s="71">
        <f ca="1">-IF(C148=1,(F148+K148+L148+Q148)/2*'Invoer gegevens'!$F$38*Reeksen!H148,0)</f>
        <v>0</v>
      </c>
      <c r="AV148" s="71">
        <f t="shared" si="33"/>
        <v>0</v>
      </c>
      <c r="AW148" s="71">
        <f t="shared" ca="1" si="47"/>
        <v>0</v>
      </c>
      <c r="AX148" s="71">
        <f ca="1">IF(E148&lt;'Invoer gegevens'!$C$17+15,0,IF(E148&gt;'Invoer gegevens'!$C$17+215,0,AW148))</f>
        <v>0</v>
      </c>
      <c r="AY148" s="71">
        <f ca="1">AX148/(1+'Invoer gegevens'!$F$18)^($AZ148-('Invoer gegevens'!$C$17-'Invoer gegevens'!$C$16))/(1+'Invoer gegevens'!$C$39)^('Invoer gegevens'!$C$17-'Invoer gegevens'!$C$16)</f>
        <v>0</v>
      </c>
      <c r="AZ148" s="68">
        <f ca="1">IF(E148-'Invoer gegevens'!$C$17-14.5&lt;0,0,E148-'Invoer gegevens'!$C$17-14.5)</f>
        <v>128.5</v>
      </c>
      <c r="BA148" s="109">
        <f ca="1">IFERROR(VLOOKUP(E148-15,Reeksen!$A$5:$D$234,2,FALSE),0)</f>
        <v>0</v>
      </c>
      <c r="BB148" s="109">
        <f ca="1">IFERROR(VLOOKUP(E148-15,Reeksen!$A$5:$D$234,3,FALSE),0)</f>
        <v>0</v>
      </c>
      <c r="BC148" s="109">
        <f ca="1">IFERROR(VLOOKUP(E148-15,Reeksen!$A$5:$D$234,4,FALSE),0)</f>
        <v>0</v>
      </c>
      <c r="BD148" s="67">
        <f ca="1">IF(E148-'Invoer gegevens'!$C$17&lt;15,0,1)</f>
        <v>1</v>
      </c>
    </row>
    <row r="149" spans="1:56" x14ac:dyDescent="0.25">
      <c r="A149" s="59"/>
      <c r="B149" s="70">
        <f t="shared" si="48"/>
        <v>145</v>
      </c>
      <c r="C149" s="67">
        <f ca="1">IF(E149-'Invoer gegevens'!$C$17&lt;0,0,1)</f>
        <v>1</v>
      </c>
      <c r="D149" s="68">
        <f t="shared" si="49"/>
        <v>144.5</v>
      </c>
      <c r="E149" s="108">
        <f ca="1">IF('Invoer gegevens'!$C$16="","",E148+1)</f>
        <v>2163</v>
      </c>
      <c r="F149" s="84">
        <f ca="1">IF('Invoer gegevens'!$C$17=E149,'Invoer gegevens'!$C$10,IF(C149=1,K148,0))</f>
        <v>0</v>
      </c>
      <c r="G149" s="96">
        <f ca="1">IF(BD149&lt;1,F149*Reeksen!C149,IF(C149&gt;=1,F149*BA149,0))</f>
        <v>0</v>
      </c>
      <c r="H149" s="84">
        <f ca="1">(1-('Invoer gegevens'!$F$20/12))*F149*MIN(BA149,BC149)</f>
        <v>0</v>
      </c>
      <c r="I149" s="84">
        <f t="shared" ca="1" si="34"/>
        <v>0</v>
      </c>
      <c r="J149" s="84">
        <f ca="1">('Invoer gegevens'!$F$20/12)*F148*MIN(BA149,BC149)</f>
        <v>0</v>
      </c>
      <c r="K149" s="97">
        <f t="shared" ca="1" si="39"/>
        <v>0</v>
      </c>
      <c r="L149" s="84">
        <f ca="1">IF('Invoer gegevens'!$C$17=E149,0,IF(C149=1,Q148,0))</f>
        <v>0</v>
      </c>
      <c r="M149" s="96">
        <f t="shared" ca="1" si="35"/>
        <v>0</v>
      </c>
      <c r="N149" s="84">
        <f ca="1">(1-('Invoer gegevens'!$F$20/12))*L149*MIN(BA149,BC149)</f>
        <v>0</v>
      </c>
      <c r="O149" s="84">
        <f t="shared" ca="1" si="36"/>
        <v>0</v>
      </c>
      <c r="P149" s="84">
        <f ca="1">('Invoer gegevens'!$F$20/12)*L148*MIN(BA149,BC149)</f>
        <v>0</v>
      </c>
      <c r="Q149" s="84">
        <f t="shared" ca="1" si="40"/>
        <v>0</v>
      </c>
      <c r="R149" s="85">
        <f ca="1">IF('Invoer gegevens'!$C$17=E149,'Invoer gegevens'!$C$11,IF(C149=1,W148,0))</f>
        <v>0</v>
      </c>
      <c r="S149" s="86">
        <f t="shared" ca="1" si="37"/>
        <v>0</v>
      </c>
      <c r="T149" s="86">
        <f ca="1">(1-('Invoer gegevens'!$F$20/12))*R149*MIN(BC149,BA149)</f>
        <v>0</v>
      </c>
      <c r="U149" s="86">
        <f ca="1">IF(BD149&lt;1,IF(Reeksen!AD149&lt;=Reeksen!AE149,R149*Reeksen!C149,0),IF(BC149&gt;=BA149,0,IF(Reeksen!AD149&lt;=Reeksen!AE149,(BA149-BC149)*R149,0)))</f>
        <v>0</v>
      </c>
      <c r="V149" s="86">
        <f ca="1">IF(BD149&lt;1,IF(Reeksen!AD149&gt;Reeksen!AE149,R149*Reeksen!C149,0),IF(BC149&gt;=BA149,0,IF(Reeksen!AD149&gt;Reeksen!AE149,(BA149-BC149)*R149,0)))</f>
        <v>0</v>
      </c>
      <c r="W149" s="218">
        <f t="shared" ca="1" si="41"/>
        <v>0</v>
      </c>
      <c r="X149" s="98">
        <f ca="1">IF('Invoer gegevens'!$C$17=E149,'Invoer gegevens'!$C$10-'Invoer gegevens'!$C$11,IF(C149=1,AC148,0))</f>
        <v>0</v>
      </c>
      <c r="Y149" s="98">
        <f t="shared" ca="1" si="38"/>
        <v>0</v>
      </c>
      <c r="Z149" s="98">
        <f ca="1">(1-('Invoer gegevens'!$F$20/12))*X149*MIN(BA149,BC149)</f>
        <v>0</v>
      </c>
      <c r="AA149" s="98">
        <f ca="1">IF(BD149&lt;1,IF(Reeksen!AD149&lt;=Reeksen!AE149,X149*Reeksen!C149,0),IF(BC149&gt;=BA149,0,IF(Reeksen!AD149&lt;=Reeksen!AE149,(BA149-BC149)*X149,0)))</f>
        <v>0</v>
      </c>
      <c r="AB149" s="98">
        <f ca="1">IF(BD149&lt;1,IF(Reeksen!AD149&gt;Reeksen!AE149,X149*Reeksen!C149,0),IF(BC149&gt;=BA149,0,IF(Reeksen!AD149&gt;Reeksen!AE149,(BA149-BC149)*X149,0)))</f>
        <v>0</v>
      </c>
      <c r="AC149" s="99">
        <f t="shared" ca="1" si="42"/>
        <v>0</v>
      </c>
      <c r="AD149" s="98">
        <f ca="1">IF('Invoer gegevens'!$C$17=E149,R149,IF(C149=0,0,AE148))</f>
        <v>0</v>
      </c>
      <c r="AE149" s="98">
        <f t="shared" ca="1" si="43"/>
        <v>0</v>
      </c>
      <c r="AF149" s="98">
        <f ca="1">IF('Invoer gegevens'!$C$17=E149,X149,IF(C149=0,0,AG148))</f>
        <v>0</v>
      </c>
      <c r="AG149" s="98">
        <f t="shared" ca="1" si="44"/>
        <v>0</v>
      </c>
      <c r="AH149" s="66"/>
      <c r="AI149" s="71">
        <f ca="1">IF(C149=1,Reeksen!AI149*((F149+K149)/2)*12+Reeksen!AD149*((L149+Q149)/2)*12,0)</f>
        <v>0</v>
      </c>
      <c r="AJ149" s="71">
        <f ca="1">-AI149*'Invoer gegevens'!$F$28</f>
        <v>0</v>
      </c>
      <c r="AK149" s="71">
        <f t="shared" ca="1" si="45"/>
        <v>0</v>
      </c>
      <c r="AL149" s="71">
        <f ca="1">IF(C149=1,Reeksen!AL149*((F149-G149+F149)/2)*12+Reeksen!AM149*((L149-M149+L149)/2)*12,0)</f>
        <v>0</v>
      </c>
      <c r="AM149" s="71">
        <f ca="1">-AL149*'Invoer gegevens'!$F$31</f>
        <v>0</v>
      </c>
      <c r="AN149" s="71">
        <f t="shared" ca="1" si="46"/>
        <v>0</v>
      </c>
      <c r="AO149" s="71">
        <f ca="1">IF(C149=1,(H149+J149+N149+P149)*Reeksen!AN149,0)</f>
        <v>0</v>
      </c>
      <c r="AP149" s="71">
        <f ca="1">-IF(C149=1,(H149+J149+N149+P149)*'Hulp - basis'!$G$550*Reeksen!H149,0)</f>
        <v>0</v>
      </c>
      <c r="AQ149" s="71">
        <f ca="1">-IF(C149=1,(F149+K149+L149+Q149)/2*'Invoer gegevens'!$F$35*Reeksen!J149,0)*2</f>
        <v>0</v>
      </c>
      <c r="AR149" s="71">
        <f ca="1">IF(BD149&lt;1,-IF(C149=1,(G149*'Invoer gegevens'!$F$36)*Reeksen!J149,0),0)</f>
        <v>0</v>
      </c>
      <c r="AS149" s="71">
        <f ca="1">-IF(C149=1,(F149+K149+L149+Q149)/2*'Invoer gegevens'!$F$37*Reeksen!L149,0)</f>
        <v>0</v>
      </c>
      <c r="AT149" s="71">
        <f ca="1">-IF(C149=1,IF(E149='Invoer gegevens'!$C$17,'Invoer gegevens'!$C$11,AD149)*Reeksen!S149*'Invoer gegevens'!$C$18*Reeksen!P149,0)</f>
        <v>0</v>
      </c>
      <c r="AU149" s="71">
        <f ca="1">-IF(C149=1,(F149+K149+L149+Q149)/2*'Invoer gegevens'!$F$38*Reeksen!H149,0)</f>
        <v>0</v>
      </c>
      <c r="AV149" s="71">
        <f t="shared" ref="AV149:AV212" si="50">AV148</f>
        <v>0</v>
      </c>
      <c r="AW149" s="71">
        <f t="shared" ca="1" si="47"/>
        <v>0</v>
      </c>
      <c r="AX149" s="71">
        <f ca="1">IF(E149&lt;'Invoer gegevens'!$C$17+15,0,IF(E149&gt;'Invoer gegevens'!$C$17+215,0,AW149))</f>
        <v>0</v>
      </c>
      <c r="AY149" s="71">
        <f ca="1">AX149/(1+'Invoer gegevens'!$F$18)^($AZ149-('Invoer gegevens'!$C$17-'Invoer gegevens'!$C$16))/(1+'Invoer gegevens'!$C$39)^('Invoer gegevens'!$C$17-'Invoer gegevens'!$C$16)</f>
        <v>0</v>
      </c>
      <c r="AZ149" s="68">
        <f ca="1">IF(E149-'Invoer gegevens'!$C$17-14.5&lt;0,0,E149-'Invoer gegevens'!$C$17-14.5)</f>
        <v>129.5</v>
      </c>
      <c r="BA149" s="109">
        <f ca="1">IFERROR(VLOOKUP(E149-15,Reeksen!$A$5:$D$234,2,FALSE),0)</f>
        <v>0</v>
      </c>
      <c r="BB149" s="109">
        <f ca="1">IFERROR(VLOOKUP(E149-15,Reeksen!$A$5:$D$234,3,FALSE),0)</f>
        <v>0</v>
      </c>
      <c r="BC149" s="109">
        <f ca="1">IFERROR(VLOOKUP(E149-15,Reeksen!$A$5:$D$234,4,FALSE),0)</f>
        <v>0</v>
      </c>
      <c r="BD149" s="67">
        <f ca="1">IF(E149-'Invoer gegevens'!$C$17&lt;15,0,1)</f>
        <v>1</v>
      </c>
    </row>
    <row r="150" spans="1:56" x14ac:dyDescent="0.25">
      <c r="A150" s="59"/>
      <c r="B150" s="70">
        <f t="shared" si="48"/>
        <v>146</v>
      </c>
      <c r="C150" s="67">
        <f ca="1">IF(E150-'Invoer gegevens'!$C$17&lt;0,0,1)</f>
        <v>1</v>
      </c>
      <c r="D150" s="68">
        <f t="shared" si="49"/>
        <v>145.5</v>
      </c>
      <c r="E150" s="108">
        <f ca="1">IF('Invoer gegevens'!$C$16="","",E149+1)</f>
        <v>2164</v>
      </c>
      <c r="F150" s="84">
        <f ca="1">IF('Invoer gegevens'!$C$17=E150,'Invoer gegevens'!$C$10,IF(C150=1,K149,0))</f>
        <v>0</v>
      </c>
      <c r="G150" s="96">
        <f ca="1">IF(BD150&lt;1,F150*Reeksen!C150,IF(C150&gt;=1,F150*BA150,0))</f>
        <v>0</v>
      </c>
      <c r="H150" s="84">
        <f ca="1">(1-('Invoer gegevens'!$F$20/12))*F150*MIN(BA150,BC150)</f>
        <v>0</v>
      </c>
      <c r="I150" s="84">
        <f t="shared" ca="1" si="34"/>
        <v>0</v>
      </c>
      <c r="J150" s="84">
        <f ca="1">('Invoer gegevens'!$F$20/12)*F149*MIN(BA150,BC150)</f>
        <v>0</v>
      </c>
      <c r="K150" s="97">
        <f t="shared" ca="1" si="39"/>
        <v>0</v>
      </c>
      <c r="L150" s="84">
        <f ca="1">IF('Invoer gegevens'!$C$17=E150,0,IF(C150=1,Q149,0))</f>
        <v>0</v>
      </c>
      <c r="M150" s="96">
        <f t="shared" ca="1" si="35"/>
        <v>0</v>
      </c>
      <c r="N150" s="84">
        <f ca="1">(1-('Invoer gegevens'!$F$20/12))*L150*MIN(BA150,BC150)</f>
        <v>0</v>
      </c>
      <c r="O150" s="84">
        <f t="shared" ca="1" si="36"/>
        <v>0</v>
      </c>
      <c r="P150" s="84">
        <f ca="1">('Invoer gegevens'!$F$20/12)*L149*MIN(BA150,BC150)</f>
        <v>0</v>
      </c>
      <c r="Q150" s="84">
        <f t="shared" ca="1" si="40"/>
        <v>0</v>
      </c>
      <c r="R150" s="85">
        <f ca="1">IF('Invoer gegevens'!$C$17=E150,'Invoer gegevens'!$C$11,IF(C150=1,W149,0))</f>
        <v>0</v>
      </c>
      <c r="S150" s="86">
        <f t="shared" ca="1" si="37"/>
        <v>0</v>
      </c>
      <c r="T150" s="86">
        <f ca="1">(1-('Invoer gegevens'!$F$20/12))*R150*MIN(BC150,BA150)</f>
        <v>0</v>
      </c>
      <c r="U150" s="86">
        <f ca="1">IF(BD150&lt;1,IF(Reeksen!AD150&lt;=Reeksen!AE150,R150*Reeksen!C150,0),IF(BC150&gt;=BA150,0,IF(Reeksen!AD150&lt;=Reeksen!AE150,(BA150-BC150)*R150,0)))</f>
        <v>0</v>
      </c>
      <c r="V150" s="86">
        <f ca="1">IF(BD150&lt;1,IF(Reeksen!AD150&gt;Reeksen!AE150,R150*Reeksen!C150,0),IF(BC150&gt;=BA150,0,IF(Reeksen!AD150&gt;Reeksen!AE150,(BA150-BC150)*R150,0)))</f>
        <v>0</v>
      </c>
      <c r="W150" s="218">
        <f t="shared" ca="1" si="41"/>
        <v>0</v>
      </c>
      <c r="X150" s="98">
        <f ca="1">IF('Invoer gegevens'!$C$17=E150,'Invoer gegevens'!$C$10-'Invoer gegevens'!$C$11,IF(C150=1,AC149,0))</f>
        <v>0</v>
      </c>
      <c r="Y150" s="98">
        <f t="shared" ca="1" si="38"/>
        <v>0</v>
      </c>
      <c r="Z150" s="98">
        <f ca="1">(1-('Invoer gegevens'!$F$20/12))*X150*MIN(BA150,BC150)</f>
        <v>0</v>
      </c>
      <c r="AA150" s="98">
        <f ca="1">IF(BD150&lt;1,IF(Reeksen!AD150&lt;=Reeksen!AE150,X150*Reeksen!C150,0),IF(BC150&gt;=BA150,0,IF(Reeksen!AD150&lt;=Reeksen!AE150,(BA150-BC150)*X150,0)))</f>
        <v>0</v>
      </c>
      <c r="AB150" s="98">
        <f ca="1">IF(BD150&lt;1,IF(Reeksen!AD150&gt;Reeksen!AE150,X150*Reeksen!C150,0),IF(BC150&gt;=BA150,0,IF(Reeksen!AD150&gt;Reeksen!AE150,(BA150-BC150)*X150,0)))</f>
        <v>0</v>
      </c>
      <c r="AC150" s="99">
        <f t="shared" ca="1" si="42"/>
        <v>0</v>
      </c>
      <c r="AD150" s="98">
        <f ca="1">IF('Invoer gegevens'!$C$17=E150,R150,IF(C150=0,0,AE149))</f>
        <v>0</v>
      </c>
      <c r="AE150" s="98">
        <f t="shared" ca="1" si="43"/>
        <v>0</v>
      </c>
      <c r="AF150" s="98">
        <f ca="1">IF('Invoer gegevens'!$C$17=E150,X150,IF(C150=0,0,AG149))</f>
        <v>0</v>
      </c>
      <c r="AG150" s="98">
        <f t="shared" ca="1" si="44"/>
        <v>0</v>
      </c>
      <c r="AH150" s="66"/>
      <c r="AI150" s="71">
        <f ca="1">IF(C150=1,Reeksen!AI150*((F150+K150)/2)*12+Reeksen!AD150*((L150+Q150)/2)*12,0)</f>
        <v>0</v>
      </c>
      <c r="AJ150" s="71">
        <f ca="1">-AI150*'Invoer gegevens'!$F$28</f>
        <v>0</v>
      </c>
      <c r="AK150" s="71">
        <f t="shared" ca="1" si="45"/>
        <v>0</v>
      </c>
      <c r="AL150" s="71">
        <f ca="1">IF(C150=1,Reeksen!AL150*((F150-G150+F150)/2)*12+Reeksen!AM150*((L150-M150+L150)/2)*12,0)</f>
        <v>0</v>
      </c>
      <c r="AM150" s="71">
        <f ca="1">-AL150*'Invoer gegevens'!$F$31</f>
        <v>0</v>
      </c>
      <c r="AN150" s="71">
        <f t="shared" ca="1" si="46"/>
        <v>0</v>
      </c>
      <c r="AO150" s="71">
        <f ca="1">IF(C150=1,(H150+J150+N150+P150)*Reeksen!AN150,0)</f>
        <v>0</v>
      </c>
      <c r="AP150" s="71">
        <f ca="1">-IF(C150=1,(H150+J150+N150+P150)*'Hulp - basis'!$G$550*Reeksen!H150,0)</f>
        <v>0</v>
      </c>
      <c r="AQ150" s="71">
        <f ca="1">-IF(C150=1,(F150+K150+L150+Q150)/2*'Invoer gegevens'!$F$35*Reeksen!J150,0)*2</f>
        <v>0</v>
      </c>
      <c r="AR150" s="71">
        <f ca="1">IF(BD150&lt;1,-IF(C150=1,(G150*'Invoer gegevens'!$F$36)*Reeksen!J150,0),0)</f>
        <v>0</v>
      </c>
      <c r="AS150" s="71">
        <f ca="1">-IF(C150=1,(F150+K150+L150+Q150)/2*'Invoer gegevens'!$F$37*Reeksen!L150,0)</f>
        <v>0</v>
      </c>
      <c r="AT150" s="71">
        <f ca="1">-IF(C150=1,IF(E150='Invoer gegevens'!$C$17,'Invoer gegevens'!$C$11,AD150)*Reeksen!S150*'Invoer gegevens'!$C$18*Reeksen!P150,0)</f>
        <v>0</v>
      </c>
      <c r="AU150" s="71">
        <f ca="1">-IF(C150=1,(F150+K150+L150+Q150)/2*'Invoer gegevens'!$F$38*Reeksen!H150,0)</f>
        <v>0</v>
      </c>
      <c r="AV150" s="71">
        <f t="shared" si="50"/>
        <v>0</v>
      </c>
      <c r="AW150" s="71">
        <f t="shared" ca="1" si="47"/>
        <v>0</v>
      </c>
      <c r="AX150" s="71">
        <f ca="1">IF(E150&lt;'Invoer gegevens'!$C$17+15,0,IF(E150&gt;'Invoer gegevens'!$C$17+215,0,AW150))</f>
        <v>0</v>
      </c>
      <c r="AY150" s="71">
        <f ca="1">AX150/(1+'Invoer gegevens'!$F$18)^($AZ150-('Invoer gegevens'!$C$17-'Invoer gegevens'!$C$16))/(1+'Invoer gegevens'!$C$39)^('Invoer gegevens'!$C$17-'Invoer gegevens'!$C$16)</f>
        <v>0</v>
      </c>
      <c r="AZ150" s="68">
        <f ca="1">IF(E150-'Invoer gegevens'!$C$17-14.5&lt;0,0,E150-'Invoer gegevens'!$C$17-14.5)</f>
        <v>130.5</v>
      </c>
      <c r="BA150" s="109">
        <f ca="1">IFERROR(VLOOKUP(E150-15,Reeksen!$A$5:$D$234,2,FALSE),0)</f>
        <v>0</v>
      </c>
      <c r="BB150" s="109">
        <f ca="1">IFERROR(VLOOKUP(E150-15,Reeksen!$A$5:$D$234,3,FALSE),0)</f>
        <v>0</v>
      </c>
      <c r="BC150" s="109">
        <f ca="1">IFERROR(VLOOKUP(E150-15,Reeksen!$A$5:$D$234,4,FALSE),0)</f>
        <v>0</v>
      </c>
      <c r="BD150" s="67">
        <f ca="1">IF(E150-'Invoer gegevens'!$C$17&lt;15,0,1)</f>
        <v>1</v>
      </c>
    </row>
    <row r="151" spans="1:56" x14ac:dyDescent="0.25">
      <c r="A151" s="59"/>
      <c r="B151" s="70">
        <f t="shared" si="48"/>
        <v>147</v>
      </c>
      <c r="C151" s="67">
        <f ca="1">IF(E151-'Invoer gegevens'!$C$17&lt;0,0,1)</f>
        <v>1</v>
      </c>
      <c r="D151" s="68">
        <f t="shared" si="49"/>
        <v>146.5</v>
      </c>
      <c r="E151" s="108">
        <f ca="1">IF('Invoer gegevens'!$C$16="","",E150+1)</f>
        <v>2165</v>
      </c>
      <c r="F151" s="84">
        <f ca="1">IF('Invoer gegevens'!$C$17=E151,'Invoer gegevens'!$C$10,IF(C151=1,K150,0))</f>
        <v>0</v>
      </c>
      <c r="G151" s="96">
        <f ca="1">IF(BD151&lt;1,F151*Reeksen!C151,IF(C151&gt;=1,F151*BA151,0))</f>
        <v>0</v>
      </c>
      <c r="H151" s="84">
        <f ca="1">(1-('Invoer gegevens'!$F$20/12))*F151*MIN(BA151,BC151)</f>
        <v>0</v>
      </c>
      <c r="I151" s="84">
        <f t="shared" ca="1" si="34"/>
        <v>0</v>
      </c>
      <c r="J151" s="84">
        <f ca="1">('Invoer gegevens'!$F$20/12)*F150*MIN(BA151,BC151)</f>
        <v>0</v>
      </c>
      <c r="K151" s="97">
        <f t="shared" ca="1" si="39"/>
        <v>0</v>
      </c>
      <c r="L151" s="84">
        <f ca="1">IF('Invoer gegevens'!$C$17=E151,0,IF(C151=1,Q150,0))</f>
        <v>0</v>
      </c>
      <c r="M151" s="96">
        <f t="shared" ca="1" si="35"/>
        <v>0</v>
      </c>
      <c r="N151" s="84">
        <f ca="1">(1-('Invoer gegevens'!$F$20/12))*L151*MIN(BA151,BC151)</f>
        <v>0</v>
      </c>
      <c r="O151" s="84">
        <f t="shared" ca="1" si="36"/>
        <v>0</v>
      </c>
      <c r="P151" s="84">
        <f ca="1">('Invoer gegevens'!$F$20/12)*L150*MIN(BA151,BC151)</f>
        <v>0</v>
      </c>
      <c r="Q151" s="84">
        <f t="shared" ca="1" si="40"/>
        <v>0</v>
      </c>
      <c r="R151" s="85">
        <f ca="1">IF('Invoer gegevens'!$C$17=E151,'Invoer gegevens'!$C$11,IF(C151=1,W150,0))</f>
        <v>0</v>
      </c>
      <c r="S151" s="86">
        <f t="shared" ca="1" si="37"/>
        <v>0</v>
      </c>
      <c r="T151" s="86">
        <f ca="1">(1-('Invoer gegevens'!$F$20/12))*R151*MIN(BC151,BA151)</f>
        <v>0</v>
      </c>
      <c r="U151" s="86">
        <f ca="1">IF(BD151&lt;1,IF(Reeksen!AD151&lt;=Reeksen!AE151,R151*Reeksen!C151,0),IF(BC151&gt;=BA151,0,IF(Reeksen!AD151&lt;=Reeksen!AE151,(BA151-BC151)*R151,0)))</f>
        <v>0</v>
      </c>
      <c r="V151" s="86">
        <f ca="1">IF(BD151&lt;1,IF(Reeksen!AD151&gt;Reeksen!AE151,R151*Reeksen!C151,0),IF(BC151&gt;=BA151,0,IF(Reeksen!AD151&gt;Reeksen!AE151,(BA151-BC151)*R151,0)))</f>
        <v>0</v>
      </c>
      <c r="W151" s="218">
        <f t="shared" ca="1" si="41"/>
        <v>0</v>
      </c>
      <c r="X151" s="98">
        <f ca="1">IF('Invoer gegevens'!$C$17=E151,'Invoer gegevens'!$C$10-'Invoer gegevens'!$C$11,IF(C151=1,AC150,0))</f>
        <v>0</v>
      </c>
      <c r="Y151" s="98">
        <f t="shared" ca="1" si="38"/>
        <v>0</v>
      </c>
      <c r="Z151" s="98">
        <f ca="1">(1-('Invoer gegevens'!$F$20/12))*X151*MIN(BA151,BC151)</f>
        <v>0</v>
      </c>
      <c r="AA151" s="98">
        <f ca="1">IF(BD151&lt;1,IF(Reeksen!AD151&lt;=Reeksen!AE151,X151*Reeksen!C151,0),IF(BC151&gt;=BA151,0,IF(Reeksen!AD151&lt;=Reeksen!AE151,(BA151-BC151)*X151,0)))</f>
        <v>0</v>
      </c>
      <c r="AB151" s="98">
        <f ca="1">IF(BD151&lt;1,IF(Reeksen!AD151&gt;Reeksen!AE151,X151*Reeksen!C151,0),IF(BC151&gt;=BA151,0,IF(Reeksen!AD151&gt;Reeksen!AE151,(BA151-BC151)*X151,0)))</f>
        <v>0</v>
      </c>
      <c r="AC151" s="99">
        <f t="shared" ca="1" si="42"/>
        <v>0</v>
      </c>
      <c r="AD151" s="98">
        <f ca="1">IF('Invoer gegevens'!$C$17=E151,R151,IF(C151=0,0,AE150))</f>
        <v>0</v>
      </c>
      <c r="AE151" s="98">
        <f t="shared" ca="1" si="43"/>
        <v>0</v>
      </c>
      <c r="AF151" s="98">
        <f ca="1">IF('Invoer gegevens'!$C$17=E151,X151,IF(C151=0,0,AG150))</f>
        <v>0</v>
      </c>
      <c r="AG151" s="98">
        <f t="shared" ca="1" si="44"/>
        <v>0</v>
      </c>
      <c r="AH151" s="66"/>
      <c r="AI151" s="71">
        <f ca="1">IF(C151=1,Reeksen!AI151*((F151+K151)/2)*12+Reeksen!AD151*((L151+Q151)/2)*12,0)</f>
        <v>0</v>
      </c>
      <c r="AJ151" s="71">
        <f ca="1">-AI151*'Invoer gegevens'!$F$28</f>
        <v>0</v>
      </c>
      <c r="AK151" s="71">
        <f t="shared" ca="1" si="45"/>
        <v>0</v>
      </c>
      <c r="AL151" s="71">
        <f ca="1">IF(C151=1,Reeksen!AL151*((F151-G151+F151)/2)*12+Reeksen!AM151*((L151-M151+L151)/2)*12,0)</f>
        <v>0</v>
      </c>
      <c r="AM151" s="71">
        <f ca="1">-AL151*'Invoer gegevens'!$F$31</f>
        <v>0</v>
      </c>
      <c r="AN151" s="71">
        <f t="shared" ca="1" si="46"/>
        <v>0</v>
      </c>
      <c r="AO151" s="71">
        <f ca="1">IF(C151=1,(H151+J151+N151+P151)*Reeksen!AN151,0)</f>
        <v>0</v>
      </c>
      <c r="AP151" s="71">
        <f ca="1">-IF(C151=1,(H151+J151+N151+P151)*'Hulp - basis'!$G$550*Reeksen!H151,0)</f>
        <v>0</v>
      </c>
      <c r="AQ151" s="71">
        <f ca="1">-IF(C151=1,(F151+K151+L151+Q151)/2*'Invoer gegevens'!$F$35*Reeksen!J151,0)*2</f>
        <v>0</v>
      </c>
      <c r="AR151" s="71">
        <f ca="1">IF(BD151&lt;1,-IF(C151=1,(G151*'Invoer gegevens'!$F$36)*Reeksen!J151,0),0)</f>
        <v>0</v>
      </c>
      <c r="AS151" s="71">
        <f ca="1">-IF(C151=1,(F151+K151+L151+Q151)/2*'Invoer gegevens'!$F$37*Reeksen!L151,0)</f>
        <v>0</v>
      </c>
      <c r="AT151" s="71">
        <f ca="1">-IF(C151=1,IF(E151='Invoer gegevens'!$C$17,'Invoer gegevens'!$C$11,AD151)*Reeksen!S151*'Invoer gegevens'!$C$18*Reeksen!P151,0)</f>
        <v>0</v>
      </c>
      <c r="AU151" s="71">
        <f ca="1">-IF(C151=1,(F151+K151+L151+Q151)/2*'Invoer gegevens'!$F$38*Reeksen!H151,0)</f>
        <v>0</v>
      </c>
      <c r="AV151" s="71">
        <f t="shared" si="50"/>
        <v>0</v>
      </c>
      <c r="AW151" s="71">
        <f t="shared" ca="1" si="47"/>
        <v>0</v>
      </c>
      <c r="AX151" s="71">
        <f ca="1">IF(E151&lt;'Invoer gegevens'!$C$17+15,0,IF(E151&gt;'Invoer gegevens'!$C$17+215,0,AW151))</f>
        <v>0</v>
      </c>
      <c r="AY151" s="71">
        <f ca="1">AX151/(1+'Invoer gegevens'!$F$18)^($AZ151-('Invoer gegevens'!$C$17-'Invoer gegevens'!$C$16))/(1+'Invoer gegevens'!$C$39)^('Invoer gegevens'!$C$17-'Invoer gegevens'!$C$16)</f>
        <v>0</v>
      </c>
      <c r="AZ151" s="68">
        <f ca="1">IF(E151-'Invoer gegevens'!$C$17-14.5&lt;0,0,E151-'Invoer gegevens'!$C$17-14.5)</f>
        <v>131.5</v>
      </c>
      <c r="BA151" s="109">
        <f ca="1">IFERROR(VLOOKUP(E151-15,Reeksen!$A$5:$D$234,2,FALSE),0)</f>
        <v>0</v>
      </c>
      <c r="BB151" s="109">
        <f ca="1">IFERROR(VLOOKUP(E151-15,Reeksen!$A$5:$D$234,3,FALSE),0)</f>
        <v>0</v>
      </c>
      <c r="BC151" s="109">
        <f ca="1">IFERROR(VLOOKUP(E151-15,Reeksen!$A$5:$D$234,4,FALSE),0)</f>
        <v>0</v>
      </c>
      <c r="BD151" s="67">
        <f ca="1">IF(E151-'Invoer gegevens'!$C$17&lt;15,0,1)</f>
        <v>1</v>
      </c>
    </row>
    <row r="152" spans="1:56" x14ac:dyDescent="0.25">
      <c r="A152" s="59"/>
      <c r="B152" s="70">
        <f t="shared" si="48"/>
        <v>148</v>
      </c>
      <c r="C152" s="67">
        <f ca="1">IF(E152-'Invoer gegevens'!$C$17&lt;0,0,1)</f>
        <v>1</v>
      </c>
      <c r="D152" s="68">
        <f t="shared" si="49"/>
        <v>147.5</v>
      </c>
      <c r="E152" s="108">
        <f ca="1">IF('Invoer gegevens'!$C$16="","",E151+1)</f>
        <v>2166</v>
      </c>
      <c r="F152" s="84">
        <f ca="1">IF('Invoer gegevens'!$C$17=E152,'Invoer gegevens'!$C$10,IF(C152=1,K151,0))</f>
        <v>0</v>
      </c>
      <c r="G152" s="96">
        <f ca="1">IF(BD152&lt;1,F152*Reeksen!C152,IF(C152&gt;=1,F152*BA152,0))</f>
        <v>0</v>
      </c>
      <c r="H152" s="84">
        <f ca="1">(1-('Invoer gegevens'!$F$20/12))*F152*MIN(BA152,BC152)</f>
        <v>0</v>
      </c>
      <c r="I152" s="84">
        <f t="shared" ca="1" si="34"/>
        <v>0</v>
      </c>
      <c r="J152" s="84">
        <f ca="1">('Invoer gegevens'!$F$20/12)*F151*MIN(BA152,BC152)</f>
        <v>0</v>
      </c>
      <c r="K152" s="97">
        <f t="shared" ca="1" si="39"/>
        <v>0</v>
      </c>
      <c r="L152" s="84">
        <f ca="1">IF('Invoer gegevens'!$C$17=E152,0,IF(C152=1,Q151,0))</f>
        <v>0</v>
      </c>
      <c r="M152" s="96">
        <f t="shared" ca="1" si="35"/>
        <v>0</v>
      </c>
      <c r="N152" s="84">
        <f ca="1">(1-('Invoer gegevens'!$F$20/12))*L152*MIN(BA152,BC152)</f>
        <v>0</v>
      </c>
      <c r="O152" s="84">
        <f t="shared" ca="1" si="36"/>
        <v>0</v>
      </c>
      <c r="P152" s="84">
        <f ca="1">('Invoer gegevens'!$F$20/12)*L151*MIN(BA152,BC152)</f>
        <v>0</v>
      </c>
      <c r="Q152" s="84">
        <f t="shared" ca="1" si="40"/>
        <v>0</v>
      </c>
      <c r="R152" s="85">
        <f ca="1">IF('Invoer gegevens'!$C$17=E152,'Invoer gegevens'!$C$11,IF(C152=1,W151,0))</f>
        <v>0</v>
      </c>
      <c r="S152" s="86">
        <f t="shared" ca="1" si="37"/>
        <v>0</v>
      </c>
      <c r="T152" s="86">
        <f ca="1">(1-('Invoer gegevens'!$F$20/12))*R152*MIN(BC152,BA152)</f>
        <v>0</v>
      </c>
      <c r="U152" s="86">
        <f ca="1">IF(BD152&lt;1,IF(Reeksen!AD152&lt;=Reeksen!AE152,R152*Reeksen!C152,0),IF(BC152&gt;=BA152,0,IF(Reeksen!AD152&lt;=Reeksen!AE152,(BA152-BC152)*R152,0)))</f>
        <v>0</v>
      </c>
      <c r="V152" s="86">
        <f ca="1">IF(BD152&lt;1,IF(Reeksen!AD152&gt;Reeksen!AE152,R152*Reeksen!C152,0),IF(BC152&gt;=BA152,0,IF(Reeksen!AD152&gt;Reeksen!AE152,(BA152-BC152)*R152,0)))</f>
        <v>0</v>
      </c>
      <c r="W152" s="218">
        <f t="shared" ca="1" si="41"/>
        <v>0</v>
      </c>
      <c r="X152" s="98">
        <f ca="1">IF('Invoer gegevens'!$C$17=E152,'Invoer gegevens'!$C$10-'Invoer gegevens'!$C$11,IF(C152=1,AC151,0))</f>
        <v>0</v>
      </c>
      <c r="Y152" s="98">
        <f t="shared" ca="1" si="38"/>
        <v>0</v>
      </c>
      <c r="Z152" s="98">
        <f ca="1">(1-('Invoer gegevens'!$F$20/12))*X152*MIN(BA152,BC152)</f>
        <v>0</v>
      </c>
      <c r="AA152" s="98">
        <f ca="1">IF(BD152&lt;1,IF(Reeksen!AD152&lt;=Reeksen!AE152,X152*Reeksen!C152,0),IF(BC152&gt;=BA152,0,IF(Reeksen!AD152&lt;=Reeksen!AE152,(BA152-BC152)*X152,0)))</f>
        <v>0</v>
      </c>
      <c r="AB152" s="98">
        <f ca="1">IF(BD152&lt;1,IF(Reeksen!AD152&gt;Reeksen!AE152,X152*Reeksen!C152,0),IF(BC152&gt;=BA152,0,IF(Reeksen!AD152&gt;Reeksen!AE152,(BA152-BC152)*X152,0)))</f>
        <v>0</v>
      </c>
      <c r="AC152" s="99">
        <f t="shared" ca="1" si="42"/>
        <v>0</v>
      </c>
      <c r="AD152" s="98">
        <f ca="1">IF('Invoer gegevens'!$C$17=E152,R152,IF(C152=0,0,AE151))</f>
        <v>0</v>
      </c>
      <c r="AE152" s="98">
        <f t="shared" ca="1" si="43"/>
        <v>0</v>
      </c>
      <c r="AF152" s="98">
        <f ca="1">IF('Invoer gegevens'!$C$17=E152,X152,IF(C152=0,0,AG151))</f>
        <v>0</v>
      </c>
      <c r="AG152" s="98">
        <f t="shared" ca="1" si="44"/>
        <v>0</v>
      </c>
      <c r="AH152" s="66"/>
      <c r="AI152" s="71">
        <f ca="1">IF(C152=1,Reeksen!AI152*((F152+K152)/2)*12+Reeksen!AD152*((L152+Q152)/2)*12,0)</f>
        <v>0</v>
      </c>
      <c r="AJ152" s="71">
        <f ca="1">-AI152*'Invoer gegevens'!$F$28</f>
        <v>0</v>
      </c>
      <c r="AK152" s="71">
        <f t="shared" ca="1" si="45"/>
        <v>0</v>
      </c>
      <c r="AL152" s="71">
        <f ca="1">IF(C152=1,Reeksen!AL152*((F152-G152+F152)/2)*12+Reeksen!AM152*((L152-M152+L152)/2)*12,0)</f>
        <v>0</v>
      </c>
      <c r="AM152" s="71">
        <f ca="1">-AL152*'Invoer gegevens'!$F$31</f>
        <v>0</v>
      </c>
      <c r="AN152" s="71">
        <f t="shared" ca="1" si="46"/>
        <v>0</v>
      </c>
      <c r="AO152" s="71">
        <f ca="1">IF(C152=1,(H152+J152+N152+P152)*Reeksen!AN152,0)</f>
        <v>0</v>
      </c>
      <c r="AP152" s="71">
        <f ca="1">-IF(C152=1,(H152+J152+N152+P152)*'Hulp - basis'!$G$550*Reeksen!H152,0)</f>
        <v>0</v>
      </c>
      <c r="AQ152" s="71">
        <f ca="1">-IF(C152=1,(F152+K152+L152+Q152)/2*'Invoer gegevens'!$F$35*Reeksen!J152,0)*2</f>
        <v>0</v>
      </c>
      <c r="AR152" s="71">
        <f ca="1">IF(BD152&lt;1,-IF(C152=1,(G152*'Invoer gegevens'!$F$36)*Reeksen!J152,0),0)</f>
        <v>0</v>
      </c>
      <c r="AS152" s="71">
        <f ca="1">-IF(C152=1,(F152+K152+L152+Q152)/2*'Invoer gegevens'!$F$37*Reeksen!L152,0)</f>
        <v>0</v>
      </c>
      <c r="AT152" s="71">
        <f ca="1">-IF(C152=1,IF(E152='Invoer gegevens'!$C$17,'Invoer gegevens'!$C$11,AD152)*Reeksen!S152*'Invoer gegevens'!$C$18*Reeksen!P152,0)</f>
        <v>0</v>
      </c>
      <c r="AU152" s="71">
        <f ca="1">-IF(C152=1,(F152+K152+L152+Q152)/2*'Invoer gegevens'!$F$38*Reeksen!H152,0)</f>
        <v>0</v>
      </c>
      <c r="AV152" s="71">
        <f t="shared" si="50"/>
        <v>0</v>
      </c>
      <c r="AW152" s="71">
        <f t="shared" ca="1" si="47"/>
        <v>0</v>
      </c>
      <c r="AX152" s="71">
        <f ca="1">IF(E152&lt;'Invoer gegevens'!$C$17+15,0,IF(E152&gt;'Invoer gegevens'!$C$17+215,0,AW152))</f>
        <v>0</v>
      </c>
      <c r="AY152" s="71">
        <f ca="1">AX152/(1+'Invoer gegevens'!$F$18)^($AZ152-('Invoer gegevens'!$C$17-'Invoer gegevens'!$C$16))/(1+'Invoer gegevens'!$C$39)^('Invoer gegevens'!$C$17-'Invoer gegevens'!$C$16)</f>
        <v>0</v>
      </c>
      <c r="AZ152" s="68">
        <f ca="1">IF(E152-'Invoer gegevens'!$C$17-14.5&lt;0,0,E152-'Invoer gegevens'!$C$17-14.5)</f>
        <v>132.5</v>
      </c>
      <c r="BA152" s="109">
        <f ca="1">IFERROR(VLOOKUP(E152-15,Reeksen!$A$5:$D$234,2,FALSE),0)</f>
        <v>0</v>
      </c>
      <c r="BB152" s="109">
        <f ca="1">IFERROR(VLOOKUP(E152-15,Reeksen!$A$5:$D$234,3,FALSE),0)</f>
        <v>0</v>
      </c>
      <c r="BC152" s="109">
        <f ca="1">IFERROR(VLOOKUP(E152-15,Reeksen!$A$5:$D$234,4,FALSE),0)</f>
        <v>0</v>
      </c>
      <c r="BD152" s="67">
        <f ca="1">IF(E152-'Invoer gegevens'!$C$17&lt;15,0,1)</f>
        <v>1</v>
      </c>
    </row>
    <row r="153" spans="1:56" x14ac:dyDescent="0.25">
      <c r="A153" s="59"/>
      <c r="B153" s="70">
        <f t="shared" si="48"/>
        <v>149</v>
      </c>
      <c r="C153" s="67">
        <f ca="1">IF(E153-'Invoer gegevens'!$C$17&lt;0,0,1)</f>
        <v>1</v>
      </c>
      <c r="D153" s="68">
        <f t="shared" si="49"/>
        <v>148.5</v>
      </c>
      <c r="E153" s="108">
        <f ca="1">IF('Invoer gegevens'!$C$16="","",E152+1)</f>
        <v>2167</v>
      </c>
      <c r="F153" s="84">
        <f ca="1">IF('Invoer gegevens'!$C$17=E153,'Invoer gegevens'!$C$10,IF(C153=1,K152,0))</f>
        <v>0</v>
      </c>
      <c r="G153" s="96">
        <f ca="1">IF(BD153&lt;1,F153*Reeksen!C153,IF(C153&gt;=1,F153*BA153,0))</f>
        <v>0</v>
      </c>
      <c r="H153" s="84">
        <f ca="1">(1-('Invoer gegevens'!$F$20/12))*F153*MIN(BA153,BC153)</f>
        <v>0</v>
      </c>
      <c r="I153" s="84">
        <f t="shared" ca="1" si="34"/>
        <v>0</v>
      </c>
      <c r="J153" s="84">
        <f ca="1">('Invoer gegevens'!$F$20/12)*F152*MIN(BA153,BC153)</f>
        <v>0</v>
      </c>
      <c r="K153" s="97">
        <f t="shared" ca="1" si="39"/>
        <v>0</v>
      </c>
      <c r="L153" s="84">
        <f ca="1">IF('Invoer gegevens'!$C$17=E153,0,IF(C153=1,Q152,0))</f>
        <v>0</v>
      </c>
      <c r="M153" s="96">
        <f t="shared" ca="1" si="35"/>
        <v>0</v>
      </c>
      <c r="N153" s="84">
        <f ca="1">(1-('Invoer gegevens'!$F$20/12))*L153*MIN(BA153,BC153)</f>
        <v>0</v>
      </c>
      <c r="O153" s="84">
        <f t="shared" ca="1" si="36"/>
        <v>0</v>
      </c>
      <c r="P153" s="84">
        <f ca="1">('Invoer gegevens'!$F$20/12)*L152*MIN(BA153,BC153)</f>
        <v>0</v>
      </c>
      <c r="Q153" s="84">
        <f t="shared" ca="1" si="40"/>
        <v>0</v>
      </c>
      <c r="R153" s="85">
        <f ca="1">IF('Invoer gegevens'!$C$17=E153,'Invoer gegevens'!$C$11,IF(C153=1,W152,0))</f>
        <v>0</v>
      </c>
      <c r="S153" s="86">
        <f t="shared" ca="1" si="37"/>
        <v>0</v>
      </c>
      <c r="T153" s="86">
        <f ca="1">(1-('Invoer gegevens'!$F$20/12))*R153*MIN(BC153,BA153)</f>
        <v>0</v>
      </c>
      <c r="U153" s="86">
        <f ca="1">IF(BD153&lt;1,IF(Reeksen!AD153&lt;=Reeksen!AE153,R153*Reeksen!C153,0),IF(BC153&gt;=BA153,0,IF(Reeksen!AD153&lt;=Reeksen!AE153,(BA153-BC153)*R153,0)))</f>
        <v>0</v>
      </c>
      <c r="V153" s="86">
        <f ca="1">IF(BD153&lt;1,IF(Reeksen!AD153&gt;Reeksen!AE153,R153*Reeksen!C153,0),IF(BC153&gt;=BA153,0,IF(Reeksen!AD153&gt;Reeksen!AE153,(BA153-BC153)*R153,0)))</f>
        <v>0</v>
      </c>
      <c r="W153" s="218">
        <f t="shared" ca="1" si="41"/>
        <v>0</v>
      </c>
      <c r="X153" s="98">
        <f ca="1">IF('Invoer gegevens'!$C$17=E153,'Invoer gegevens'!$C$10-'Invoer gegevens'!$C$11,IF(C153=1,AC152,0))</f>
        <v>0</v>
      </c>
      <c r="Y153" s="98">
        <f t="shared" ca="1" si="38"/>
        <v>0</v>
      </c>
      <c r="Z153" s="98">
        <f ca="1">(1-('Invoer gegevens'!$F$20/12))*X153*MIN(BA153,BC153)</f>
        <v>0</v>
      </c>
      <c r="AA153" s="98">
        <f ca="1">IF(BD153&lt;1,IF(Reeksen!AD153&lt;=Reeksen!AE153,X153*Reeksen!C153,0),IF(BC153&gt;=BA153,0,IF(Reeksen!AD153&lt;=Reeksen!AE153,(BA153-BC153)*X153,0)))</f>
        <v>0</v>
      </c>
      <c r="AB153" s="98">
        <f ca="1">IF(BD153&lt;1,IF(Reeksen!AD153&gt;Reeksen!AE153,X153*Reeksen!C153,0),IF(BC153&gt;=BA153,0,IF(Reeksen!AD153&gt;Reeksen!AE153,(BA153-BC153)*X153,0)))</f>
        <v>0</v>
      </c>
      <c r="AC153" s="99">
        <f t="shared" ca="1" si="42"/>
        <v>0</v>
      </c>
      <c r="AD153" s="98">
        <f ca="1">IF('Invoer gegevens'!$C$17=E153,R153,IF(C153=0,0,AE152))</f>
        <v>0</v>
      </c>
      <c r="AE153" s="98">
        <f t="shared" ca="1" si="43"/>
        <v>0</v>
      </c>
      <c r="AF153" s="98">
        <f ca="1">IF('Invoer gegevens'!$C$17=E153,X153,IF(C153=0,0,AG152))</f>
        <v>0</v>
      </c>
      <c r="AG153" s="98">
        <f t="shared" ca="1" si="44"/>
        <v>0</v>
      </c>
      <c r="AH153" s="66"/>
      <c r="AI153" s="71">
        <f ca="1">IF(C153=1,Reeksen!AI153*((F153+K153)/2)*12+Reeksen!AD153*((L153+Q153)/2)*12,0)</f>
        <v>0</v>
      </c>
      <c r="AJ153" s="71">
        <f ca="1">-AI153*'Invoer gegevens'!$F$28</f>
        <v>0</v>
      </c>
      <c r="AK153" s="71">
        <f t="shared" ca="1" si="45"/>
        <v>0</v>
      </c>
      <c r="AL153" s="71">
        <f ca="1">IF(C153=1,Reeksen!AL153*((F153-G153+F153)/2)*12+Reeksen!AM153*((L153-M153+L153)/2)*12,0)</f>
        <v>0</v>
      </c>
      <c r="AM153" s="71">
        <f ca="1">-AL153*'Invoer gegevens'!$F$31</f>
        <v>0</v>
      </c>
      <c r="AN153" s="71">
        <f t="shared" ca="1" si="46"/>
        <v>0</v>
      </c>
      <c r="AO153" s="71">
        <f ca="1">IF(C153=1,(H153+J153+N153+P153)*Reeksen!AN153,0)</f>
        <v>0</v>
      </c>
      <c r="AP153" s="71">
        <f ca="1">-IF(C153=1,(H153+J153+N153+P153)*'Hulp - basis'!$G$550*Reeksen!H153,0)</f>
        <v>0</v>
      </c>
      <c r="AQ153" s="71">
        <f ca="1">-IF(C153=1,(F153+K153+L153+Q153)/2*'Invoer gegevens'!$F$35*Reeksen!J153,0)*2</f>
        <v>0</v>
      </c>
      <c r="AR153" s="71">
        <f ca="1">IF(BD153&lt;1,-IF(C153=1,(G153*'Invoer gegevens'!$F$36)*Reeksen!J153,0),0)</f>
        <v>0</v>
      </c>
      <c r="AS153" s="71">
        <f ca="1">-IF(C153=1,(F153+K153+L153+Q153)/2*'Invoer gegevens'!$F$37*Reeksen!L153,0)</f>
        <v>0</v>
      </c>
      <c r="AT153" s="71">
        <f ca="1">-IF(C153=1,IF(E153='Invoer gegevens'!$C$17,'Invoer gegevens'!$C$11,AD153)*Reeksen!S153*'Invoer gegevens'!$C$18*Reeksen!P153,0)</f>
        <v>0</v>
      </c>
      <c r="AU153" s="71">
        <f ca="1">-IF(C153=1,(F153+K153+L153+Q153)/2*'Invoer gegevens'!$F$38*Reeksen!H153,0)</f>
        <v>0</v>
      </c>
      <c r="AV153" s="71">
        <f t="shared" si="50"/>
        <v>0</v>
      </c>
      <c r="AW153" s="71">
        <f t="shared" ca="1" si="47"/>
        <v>0</v>
      </c>
      <c r="AX153" s="71">
        <f ca="1">IF(E153&lt;'Invoer gegevens'!$C$17+15,0,IF(E153&gt;'Invoer gegevens'!$C$17+215,0,AW153))</f>
        <v>0</v>
      </c>
      <c r="AY153" s="71">
        <f ca="1">AX153/(1+'Invoer gegevens'!$F$18)^($AZ153-('Invoer gegevens'!$C$17-'Invoer gegevens'!$C$16))/(1+'Invoer gegevens'!$C$39)^('Invoer gegevens'!$C$17-'Invoer gegevens'!$C$16)</f>
        <v>0</v>
      </c>
      <c r="AZ153" s="68">
        <f ca="1">IF(E153-'Invoer gegevens'!$C$17-14.5&lt;0,0,E153-'Invoer gegevens'!$C$17-14.5)</f>
        <v>133.5</v>
      </c>
      <c r="BA153" s="109">
        <f ca="1">IFERROR(VLOOKUP(E153-15,Reeksen!$A$5:$D$234,2,FALSE),0)</f>
        <v>0</v>
      </c>
      <c r="BB153" s="109">
        <f ca="1">IFERROR(VLOOKUP(E153-15,Reeksen!$A$5:$D$234,3,FALSE),0)</f>
        <v>0</v>
      </c>
      <c r="BC153" s="109">
        <f ca="1">IFERROR(VLOOKUP(E153-15,Reeksen!$A$5:$D$234,4,FALSE),0)</f>
        <v>0</v>
      </c>
      <c r="BD153" s="67">
        <f ca="1">IF(E153-'Invoer gegevens'!$C$17&lt;15,0,1)</f>
        <v>1</v>
      </c>
    </row>
    <row r="154" spans="1:56" x14ac:dyDescent="0.25">
      <c r="A154" s="59"/>
      <c r="B154" s="70">
        <f t="shared" si="48"/>
        <v>150</v>
      </c>
      <c r="C154" s="67">
        <f ca="1">IF(E154-'Invoer gegevens'!$C$17&lt;0,0,1)</f>
        <v>1</v>
      </c>
      <c r="D154" s="68">
        <f t="shared" si="49"/>
        <v>149.5</v>
      </c>
      <c r="E154" s="108">
        <f ca="1">IF('Invoer gegevens'!$C$16="","",E153+1)</f>
        <v>2168</v>
      </c>
      <c r="F154" s="84">
        <f ca="1">IF('Invoer gegevens'!$C$17=E154,'Invoer gegevens'!$C$10,IF(C154=1,K153,0))</f>
        <v>0</v>
      </c>
      <c r="G154" s="96">
        <f ca="1">IF(BD154&lt;1,F154*Reeksen!C154,IF(C154&gt;=1,F154*BA154,0))</f>
        <v>0</v>
      </c>
      <c r="H154" s="84">
        <f ca="1">(1-('Invoer gegevens'!$F$20/12))*F154*MIN(BA154,BC154)</f>
        <v>0</v>
      </c>
      <c r="I154" s="84">
        <f t="shared" ca="1" si="34"/>
        <v>0</v>
      </c>
      <c r="J154" s="84">
        <f ca="1">('Invoer gegevens'!$F$20/12)*F153*MIN(BA154,BC154)</f>
        <v>0</v>
      </c>
      <c r="K154" s="97">
        <f t="shared" ca="1" si="39"/>
        <v>0</v>
      </c>
      <c r="L154" s="84">
        <f ca="1">IF('Invoer gegevens'!$C$17=E154,0,IF(C154=1,Q153,0))</f>
        <v>0</v>
      </c>
      <c r="M154" s="96">
        <f t="shared" ca="1" si="35"/>
        <v>0</v>
      </c>
      <c r="N154" s="84">
        <f ca="1">(1-('Invoer gegevens'!$F$20/12))*L154*MIN(BA154,BC154)</f>
        <v>0</v>
      </c>
      <c r="O154" s="84">
        <f t="shared" ca="1" si="36"/>
        <v>0</v>
      </c>
      <c r="P154" s="84">
        <f ca="1">('Invoer gegevens'!$F$20/12)*L153*MIN(BA154,BC154)</f>
        <v>0</v>
      </c>
      <c r="Q154" s="84">
        <f t="shared" ca="1" si="40"/>
        <v>0</v>
      </c>
      <c r="R154" s="85">
        <f ca="1">IF('Invoer gegevens'!$C$17=E154,'Invoer gegevens'!$C$11,IF(C154=1,W153,0))</f>
        <v>0</v>
      </c>
      <c r="S154" s="86">
        <f t="shared" ca="1" si="37"/>
        <v>0</v>
      </c>
      <c r="T154" s="86">
        <f ca="1">(1-('Invoer gegevens'!$F$20/12))*R154*MIN(BC154,BA154)</f>
        <v>0</v>
      </c>
      <c r="U154" s="86">
        <f ca="1">IF(BD154&lt;1,IF(Reeksen!AD154&lt;=Reeksen!AE154,R154*Reeksen!C154,0),IF(BC154&gt;=BA154,0,IF(Reeksen!AD154&lt;=Reeksen!AE154,(BA154-BC154)*R154,0)))</f>
        <v>0</v>
      </c>
      <c r="V154" s="86">
        <f ca="1">IF(BD154&lt;1,IF(Reeksen!AD154&gt;Reeksen!AE154,R154*Reeksen!C154,0),IF(BC154&gt;=BA154,0,IF(Reeksen!AD154&gt;Reeksen!AE154,(BA154-BC154)*R154,0)))</f>
        <v>0</v>
      </c>
      <c r="W154" s="218">
        <f t="shared" ca="1" si="41"/>
        <v>0</v>
      </c>
      <c r="X154" s="98">
        <f ca="1">IF('Invoer gegevens'!$C$17=E154,'Invoer gegevens'!$C$10-'Invoer gegevens'!$C$11,IF(C154=1,AC153,0))</f>
        <v>0</v>
      </c>
      <c r="Y154" s="98">
        <f t="shared" ca="1" si="38"/>
        <v>0</v>
      </c>
      <c r="Z154" s="98">
        <f ca="1">(1-('Invoer gegevens'!$F$20/12))*X154*MIN(BA154,BC154)</f>
        <v>0</v>
      </c>
      <c r="AA154" s="98">
        <f ca="1">IF(BD154&lt;1,IF(Reeksen!AD154&lt;=Reeksen!AE154,X154*Reeksen!C154,0),IF(BC154&gt;=BA154,0,IF(Reeksen!AD154&lt;=Reeksen!AE154,(BA154-BC154)*X154,0)))</f>
        <v>0</v>
      </c>
      <c r="AB154" s="98">
        <f ca="1">IF(BD154&lt;1,IF(Reeksen!AD154&gt;Reeksen!AE154,X154*Reeksen!C154,0),IF(BC154&gt;=BA154,0,IF(Reeksen!AD154&gt;Reeksen!AE154,(BA154-BC154)*X154,0)))</f>
        <v>0</v>
      </c>
      <c r="AC154" s="99">
        <f t="shared" ca="1" si="42"/>
        <v>0</v>
      </c>
      <c r="AD154" s="98">
        <f ca="1">IF('Invoer gegevens'!$C$17=E154,R154,IF(C154=0,0,AE153))</f>
        <v>0</v>
      </c>
      <c r="AE154" s="98">
        <f t="shared" ca="1" si="43"/>
        <v>0</v>
      </c>
      <c r="AF154" s="98">
        <f ca="1">IF('Invoer gegevens'!$C$17=E154,X154,IF(C154=0,0,AG153))</f>
        <v>0</v>
      </c>
      <c r="AG154" s="98">
        <f t="shared" ca="1" si="44"/>
        <v>0</v>
      </c>
      <c r="AH154" s="66"/>
      <c r="AI154" s="71">
        <f ca="1">IF(C154=1,Reeksen!AI154*((F154+K154)/2)*12+Reeksen!AD154*((L154+Q154)/2)*12,0)</f>
        <v>0</v>
      </c>
      <c r="AJ154" s="71">
        <f ca="1">-AI154*'Invoer gegevens'!$F$28</f>
        <v>0</v>
      </c>
      <c r="AK154" s="71">
        <f t="shared" ca="1" si="45"/>
        <v>0</v>
      </c>
      <c r="AL154" s="71">
        <f ca="1">IF(C154=1,Reeksen!AL154*((F154-G154+F154)/2)*12+Reeksen!AM154*((L154-M154+L154)/2)*12,0)</f>
        <v>0</v>
      </c>
      <c r="AM154" s="71">
        <f ca="1">-AL154*'Invoer gegevens'!$F$31</f>
        <v>0</v>
      </c>
      <c r="AN154" s="71">
        <f t="shared" ca="1" si="46"/>
        <v>0</v>
      </c>
      <c r="AO154" s="71">
        <f ca="1">IF(C154=1,(H154+J154+N154+P154)*Reeksen!AN154,0)</f>
        <v>0</v>
      </c>
      <c r="AP154" s="71">
        <f ca="1">-IF(C154=1,(H154+J154+N154+P154)*'Hulp - basis'!$G$550*Reeksen!H154,0)</f>
        <v>0</v>
      </c>
      <c r="AQ154" s="71">
        <f ca="1">-IF(C154=1,(F154+K154+L154+Q154)/2*'Invoer gegevens'!$F$35*Reeksen!J154,0)*2</f>
        <v>0</v>
      </c>
      <c r="AR154" s="71">
        <f ca="1">IF(BD154&lt;1,-IF(C154=1,(G154*'Invoer gegevens'!$F$36)*Reeksen!J154,0),0)</f>
        <v>0</v>
      </c>
      <c r="AS154" s="71">
        <f ca="1">-IF(C154=1,(F154+K154+L154+Q154)/2*'Invoer gegevens'!$F$37*Reeksen!L154,0)</f>
        <v>0</v>
      </c>
      <c r="AT154" s="71">
        <f ca="1">-IF(C154=1,IF(E154='Invoer gegevens'!$C$17,'Invoer gegevens'!$C$11,AD154)*Reeksen!S154*'Invoer gegevens'!$C$18*Reeksen!P154,0)</f>
        <v>0</v>
      </c>
      <c r="AU154" s="71">
        <f ca="1">-IF(C154=1,(F154+K154+L154+Q154)/2*'Invoer gegevens'!$F$38*Reeksen!H154,0)</f>
        <v>0</v>
      </c>
      <c r="AV154" s="71">
        <f t="shared" si="50"/>
        <v>0</v>
      </c>
      <c r="AW154" s="71">
        <f t="shared" ca="1" si="47"/>
        <v>0</v>
      </c>
      <c r="AX154" s="71">
        <f ca="1">IF(E154&lt;'Invoer gegevens'!$C$17+15,0,IF(E154&gt;'Invoer gegevens'!$C$17+215,0,AW154))</f>
        <v>0</v>
      </c>
      <c r="AY154" s="71">
        <f ca="1">AX154/(1+'Invoer gegevens'!$F$18)^($AZ154-('Invoer gegevens'!$C$17-'Invoer gegevens'!$C$16))/(1+'Invoer gegevens'!$C$39)^('Invoer gegevens'!$C$17-'Invoer gegevens'!$C$16)</f>
        <v>0</v>
      </c>
      <c r="AZ154" s="68">
        <f ca="1">IF(E154-'Invoer gegevens'!$C$17-14.5&lt;0,0,E154-'Invoer gegevens'!$C$17-14.5)</f>
        <v>134.5</v>
      </c>
      <c r="BA154" s="109">
        <f ca="1">IFERROR(VLOOKUP(E154-15,Reeksen!$A$5:$D$234,2,FALSE),0)</f>
        <v>0</v>
      </c>
      <c r="BB154" s="109">
        <f ca="1">IFERROR(VLOOKUP(E154-15,Reeksen!$A$5:$D$234,3,FALSE),0)</f>
        <v>0</v>
      </c>
      <c r="BC154" s="109">
        <f ca="1">IFERROR(VLOOKUP(E154-15,Reeksen!$A$5:$D$234,4,FALSE),0)</f>
        <v>0</v>
      </c>
      <c r="BD154" s="67">
        <f ca="1">IF(E154-'Invoer gegevens'!$C$17&lt;15,0,1)</f>
        <v>1</v>
      </c>
    </row>
    <row r="155" spans="1:56" x14ac:dyDescent="0.25">
      <c r="A155" s="59"/>
      <c r="B155" s="70">
        <f t="shared" si="48"/>
        <v>151</v>
      </c>
      <c r="C155" s="67">
        <f ca="1">IF(E155-'Invoer gegevens'!$C$17&lt;0,0,1)</f>
        <v>1</v>
      </c>
      <c r="D155" s="68">
        <f t="shared" si="49"/>
        <v>150.5</v>
      </c>
      <c r="E155" s="108">
        <f ca="1">IF('Invoer gegevens'!$C$16="","",E154+1)</f>
        <v>2169</v>
      </c>
      <c r="F155" s="84">
        <f ca="1">IF('Invoer gegevens'!$C$17=E155,'Invoer gegevens'!$C$10,IF(C155=1,K154,0))</f>
        <v>0</v>
      </c>
      <c r="G155" s="96">
        <f ca="1">IF(BD155&lt;1,F155*Reeksen!C155,IF(C155&gt;=1,F155*BA155,0))</f>
        <v>0</v>
      </c>
      <c r="H155" s="84">
        <f ca="1">(1-('Invoer gegevens'!$F$20/12))*F155*MIN(BA155,BC155)</f>
        <v>0</v>
      </c>
      <c r="I155" s="84">
        <f t="shared" ca="1" si="34"/>
        <v>0</v>
      </c>
      <c r="J155" s="84">
        <f ca="1">('Invoer gegevens'!$F$20/12)*F154*MIN(BA155,BC155)</f>
        <v>0</v>
      </c>
      <c r="K155" s="97">
        <f t="shared" ca="1" si="39"/>
        <v>0</v>
      </c>
      <c r="L155" s="84">
        <f ca="1">IF('Invoer gegevens'!$C$17=E155,0,IF(C155=1,Q154,0))</f>
        <v>0</v>
      </c>
      <c r="M155" s="96">
        <f t="shared" ca="1" si="35"/>
        <v>0</v>
      </c>
      <c r="N155" s="84">
        <f ca="1">(1-('Invoer gegevens'!$F$20/12))*L155*MIN(BA155,BC155)</f>
        <v>0</v>
      </c>
      <c r="O155" s="84">
        <f t="shared" ca="1" si="36"/>
        <v>0</v>
      </c>
      <c r="P155" s="84">
        <f ca="1">('Invoer gegevens'!$F$20/12)*L154*MIN(BA155,BC155)</f>
        <v>0</v>
      </c>
      <c r="Q155" s="84">
        <f t="shared" ca="1" si="40"/>
        <v>0</v>
      </c>
      <c r="R155" s="85">
        <f ca="1">IF('Invoer gegevens'!$C$17=E155,'Invoer gegevens'!$C$11,IF(C155=1,W154,0))</f>
        <v>0</v>
      </c>
      <c r="S155" s="86">
        <f t="shared" ca="1" si="37"/>
        <v>0</v>
      </c>
      <c r="T155" s="86">
        <f ca="1">(1-('Invoer gegevens'!$F$20/12))*R155*MIN(BC155,BA155)</f>
        <v>0</v>
      </c>
      <c r="U155" s="86">
        <f ca="1">IF(BD155&lt;1,IF(Reeksen!AD155&lt;=Reeksen!AE155,R155*Reeksen!C155,0),IF(BC155&gt;=BA155,0,IF(Reeksen!AD155&lt;=Reeksen!AE155,(BA155-BC155)*R155,0)))</f>
        <v>0</v>
      </c>
      <c r="V155" s="86">
        <f ca="1">IF(BD155&lt;1,IF(Reeksen!AD155&gt;Reeksen!AE155,R155*Reeksen!C155,0),IF(BC155&gt;=BA155,0,IF(Reeksen!AD155&gt;Reeksen!AE155,(BA155-BC155)*R155,0)))</f>
        <v>0</v>
      </c>
      <c r="W155" s="218">
        <f t="shared" ca="1" si="41"/>
        <v>0</v>
      </c>
      <c r="X155" s="98">
        <f ca="1">IF('Invoer gegevens'!$C$17=E155,'Invoer gegevens'!$C$10-'Invoer gegevens'!$C$11,IF(C155=1,AC154,0))</f>
        <v>0</v>
      </c>
      <c r="Y155" s="98">
        <f t="shared" ca="1" si="38"/>
        <v>0</v>
      </c>
      <c r="Z155" s="98">
        <f ca="1">(1-('Invoer gegevens'!$F$20/12))*X155*MIN(BA155,BC155)</f>
        <v>0</v>
      </c>
      <c r="AA155" s="98">
        <f ca="1">IF(BD155&lt;1,IF(Reeksen!AD155&lt;=Reeksen!AE155,X155*Reeksen!C155,0),IF(BC155&gt;=BA155,0,IF(Reeksen!AD155&lt;=Reeksen!AE155,(BA155-BC155)*X155,0)))</f>
        <v>0</v>
      </c>
      <c r="AB155" s="98">
        <f ca="1">IF(BD155&lt;1,IF(Reeksen!AD155&gt;Reeksen!AE155,X155*Reeksen!C155,0),IF(BC155&gt;=BA155,0,IF(Reeksen!AD155&gt;Reeksen!AE155,(BA155-BC155)*X155,0)))</f>
        <v>0</v>
      </c>
      <c r="AC155" s="99">
        <f t="shared" ca="1" si="42"/>
        <v>0</v>
      </c>
      <c r="AD155" s="98">
        <f ca="1">IF('Invoer gegevens'!$C$17=E155,R155,IF(C155=0,0,AE154))</f>
        <v>0</v>
      </c>
      <c r="AE155" s="98">
        <f t="shared" ca="1" si="43"/>
        <v>0</v>
      </c>
      <c r="AF155" s="98">
        <f ca="1">IF('Invoer gegevens'!$C$17=E155,X155,IF(C155=0,0,AG154))</f>
        <v>0</v>
      </c>
      <c r="AG155" s="98">
        <f t="shared" ca="1" si="44"/>
        <v>0</v>
      </c>
      <c r="AH155" s="66"/>
      <c r="AI155" s="71">
        <f ca="1">IF(C155=1,Reeksen!AI155*((F155+K155)/2)*12+Reeksen!AD155*((L155+Q155)/2)*12,0)</f>
        <v>0</v>
      </c>
      <c r="AJ155" s="71">
        <f ca="1">-AI155*'Invoer gegevens'!$F$28</f>
        <v>0</v>
      </c>
      <c r="AK155" s="71">
        <f t="shared" ca="1" si="45"/>
        <v>0</v>
      </c>
      <c r="AL155" s="71">
        <f ca="1">IF(C155=1,Reeksen!AL155*((F155-G155+F155)/2)*12+Reeksen!AM155*((L155-M155+L155)/2)*12,0)</f>
        <v>0</v>
      </c>
      <c r="AM155" s="71">
        <f ca="1">-AL155*'Invoer gegevens'!$F$31</f>
        <v>0</v>
      </c>
      <c r="AN155" s="71">
        <f t="shared" ca="1" si="46"/>
        <v>0</v>
      </c>
      <c r="AO155" s="71">
        <f ca="1">IF(C155=1,(H155+J155+N155+P155)*Reeksen!AN155,0)</f>
        <v>0</v>
      </c>
      <c r="AP155" s="71">
        <f ca="1">-IF(C155=1,(H155+J155+N155+P155)*'Hulp - basis'!$G$550*Reeksen!H155,0)</f>
        <v>0</v>
      </c>
      <c r="AQ155" s="71">
        <f ca="1">-IF(C155=1,(F155+K155+L155+Q155)/2*'Invoer gegevens'!$F$35*Reeksen!J155,0)*2</f>
        <v>0</v>
      </c>
      <c r="AR155" s="71">
        <f ca="1">IF(BD155&lt;1,-IF(C155=1,(G155*'Invoer gegevens'!$F$36)*Reeksen!J155,0),0)</f>
        <v>0</v>
      </c>
      <c r="AS155" s="71">
        <f ca="1">-IF(C155=1,(F155+K155+L155+Q155)/2*'Invoer gegevens'!$F$37*Reeksen!L155,0)</f>
        <v>0</v>
      </c>
      <c r="AT155" s="71">
        <f ca="1">-IF(C155=1,IF(E155='Invoer gegevens'!$C$17,'Invoer gegevens'!$C$11,AD155)*Reeksen!S155*'Invoer gegevens'!$C$18*Reeksen!P155,0)</f>
        <v>0</v>
      </c>
      <c r="AU155" s="71">
        <f ca="1">-IF(C155=1,(F155+K155+L155+Q155)/2*'Invoer gegevens'!$F$38*Reeksen!H155,0)</f>
        <v>0</v>
      </c>
      <c r="AV155" s="71">
        <f t="shared" si="50"/>
        <v>0</v>
      </c>
      <c r="AW155" s="71">
        <f t="shared" ca="1" si="47"/>
        <v>0</v>
      </c>
      <c r="AX155" s="71">
        <f ca="1">IF(E155&lt;'Invoer gegevens'!$C$17+15,0,IF(E155&gt;'Invoer gegevens'!$C$17+215,0,AW155))</f>
        <v>0</v>
      </c>
      <c r="AY155" s="71">
        <f ca="1">AX155/(1+'Invoer gegevens'!$F$18)^($AZ155-('Invoer gegevens'!$C$17-'Invoer gegevens'!$C$16))/(1+'Invoer gegevens'!$C$39)^('Invoer gegevens'!$C$17-'Invoer gegevens'!$C$16)</f>
        <v>0</v>
      </c>
      <c r="AZ155" s="68">
        <f ca="1">IF(E155-'Invoer gegevens'!$C$17-14.5&lt;0,0,E155-'Invoer gegevens'!$C$17-14.5)</f>
        <v>135.5</v>
      </c>
      <c r="BA155" s="109">
        <f ca="1">IFERROR(VLOOKUP(E155-15,Reeksen!$A$5:$D$234,2,FALSE),0)</f>
        <v>0</v>
      </c>
      <c r="BB155" s="109">
        <f ca="1">IFERROR(VLOOKUP(E155-15,Reeksen!$A$5:$D$234,3,FALSE),0)</f>
        <v>0</v>
      </c>
      <c r="BC155" s="109">
        <f ca="1">IFERROR(VLOOKUP(E155-15,Reeksen!$A$5:$D$234,4,FALSE),0)</f>
        <v>0</v>
      </c>
      <c r="BD155" s="67">
        <f ca="1">IF(E155-'Invoer gegevens'!$C$17&lt;15,0,1)</f>
        <v>1</v>
      </c>
    </row>
    <row r="156" spans="1:56" x14ac:dyDescent="0.25">
      <c r="A156" s="59"/>
      <c r="B156" s="70">
        <f t="shared" si="48"/>
        <v>152</v>
      </c>
      <c r="C156" s="67">
        <f ca="1">IF(E156-'Invoer gegevens'!$C$17&lt;0,0,1)</f>
        <v>1</v>
      </c>
      <c r="D156" s="68">
        <f t="shared" si="49"/>
        <v>151.5</v>
      </c>
      <c r="E156" s="108">
        <f ca="1">IF('Invoer gegevens'!$C$16="","",E155+1)</f>
        <v>2170</v>
      </c>
      <c r="F156" s="84">
        <f ca="1">IF('Invoer gegevens'!$C$17=E156,'Invoer gegevens'!$C$10,IF(C156=1,K155,0))</f>
        <v>0</v>
      </c>
      <c r="G156" s="96">
        <f ca="1">IF(BD156&lt;1,F156*Reeksen!C156,IF(C156&gt;=1,F156*BA156,0))</f>
        <v>0</v>
      </c>
      <c r="H156" s="84">
        <f ca="1">(1-('Invoer gegevens'!$F$20/12))*F156*MIN(BA156,BC156)</f>
        <v>0</v>
      </c>
      <c r="I156" s="84">
        <f t="shared" ca="1" si="34"/>
        <v>0</v>
      </c>
      <c r="J156" s="84">
        <f ca="1">('Invoer gegevens'!$F$20/12)*F155*MIN(BA156,BC156)</f>
        <v>0</v>
      </c>
      <c r="K156" s="97">
        <f t="shared" ca="1" si="39"/>
        <v>0</v>
      </c>
      <c r="L156" s="84">
        <f ca="1">IF('Invoer gegevens'!$C$17=E156,0,IF(C156=1,Q155,0))</f>
        <v>0</v>
      </c>
      <c r="M156" s="96">
        <f t="shared" ca="1" si="35"/>
        <v>0</v>
      </c>
      <c r="N156" s="84">
        <f ca="1">(1-('Invoer gegevens'!$F$20/12))*L156*MIN(BA156,BC156)</f>
        <v>0</v>
      </c>
      <c r="O156" s="84">
        <f t="shared" ca="1" si="36"/>
        <v>0</v>
      </c>
      <c r="P156" s="84">
        <f ca="1">('Invoer gegevens'!$F$20/12)*L155*MIN(BA156,BC156)</f>
        <v>0</v>
      </c>
      <c r="Q156" s="84">
        <f t="shared" ca="1" si="40"/>
        <v>0</v>
      </c>
      <c r="R156" s="85">
        <f ca="1">IF('Invoer gegevens'!$C$17=E156,'Invoer gegevens'!$C$11,IF(C156=1,W155,0))</f>
        <v>0</v>
      </c>
      <c r="S156" s="86">
        <f t="shared" ca="1" si="37"/>
        <v>0</v>
      </c>
      <c r="T156" s="86">
        <f ca="1">(1-('Invoer gegevens'!$F$20/12))*R156*MIN(BC156,BA156)</f>
        <v>0</v>
      </c>
      <c r="U156" s="86">
        <f ca="1">IF(BD156&lt;1,IF(Reeksen!AD156&lt;=Reeksen!AE156,R156*Reeksen!C156,0),IF(BC156&gt;=BA156,0,IF(Reeksen!AD156&lt;=Reeksen!AE156,(BA156-BC156)*R156,0)))</f>
        <v>0</v>
      </c>
      <c r="V156" s="86">
        <f ca="1">IF(BD156&lt;1,IF(Reeksen!AD156&gt;Reeksen!AE156,R156*Reeksen!C156,0),IF(BC156&gt;=BA156,0,IF(Reeksen!AD156&gt;Reeksen!AE156,(BA156-BC156)*R156,0)))</f>
        <v>0</v>
      </c>
      <c r="W156" s="218">
        <f t="shared" ca="1" si="41"/>
        <v>0</v>
      </c>
      <c r="X156" s="98">
        <f ca="1">IF('Invoer gegevens'!$C$17=E156,'Invoer gegevens'!$C$10-'Invoer gegevens'!$C$11,IF(C156=1,AC155,0))</f>
        <v>0</v>
      </c>
      <c r="Y156" s="98">
        <f t="shared" ca="1" si="38"/>
        <v>0</v>
      </c>
      <c r="Z156" s="98">
        <f ca="1">(1-('Invoer gegevens'!$F$20/12))*X156*MIN(BA156,BC156)</f>
        <v>0</v>
      </c>
      <c r="AA156" s="98">
        <f ca="1">IF(BD156&lt;1,IF(Reeksen!AD156&lt;=Reeksen!AE156,X156*Reeksen!C156,0),IF(BC156&gt;=BA156,0,IF(Reeksen!AD156&lt;=Reeksen!AE156,(BA156-BC156)*X156,0)))</f>
        <v>0</v>
      </c>
      <c r="AB156" s="98">
        <f ca="1">IF(BD156&lt;1,IF(Reeksen!AD156&gt;Reeksen!AE156,X156*Reeksen!C156,0),IF(BC156&gt;=BA156,0,IF(Reeksen!AD156&gt;Reeksen!AE156,(BA156-BC156)*X156,0)))</f>
        <v>0</v>
      </c>
      <c r="AC156" s="99">
        <f t="shared" ca="1" si="42"/>
        <v>0</v>
      </c>
      <c r="AD156" s="98">
        <f ca="1">IF('Invoer gegevens'!$C$17=E156,R156,IF(C156=0,0,AE155))</f>
        <v>0</v>
      </c>
      <c r="AE156" s="98">
        <f t="shared" ca="1" si="43"/>
        <v>0</v>
      </c>
      <c r="AF156" s="98">
        <f ca="1">IF('Invoer gegevens'!$C$17=E156,X156,IF(C156=0,0,AG155))</f>
        <v>0</v>
      </c>
      <c r="AG156" s="98">
        <f t="shared" ca="1" si="44"/>
        <v>0</v>
      </c>
      <c r="AH156" s="66"/>
      <c r="AI156" s="71">
        <f ca="1">IF(C156=1,Reeksen!AI156*((F156+K156)/2)*12+Reeksen!AD156*((L156+Q156)/2)*12,0)</f>
        <v>0</v>
      </c>
      <c r="AJ156" s="71">
        <f ca="1">-AI156*'Invoer gegevens'!$F$28</f>
        <v>0</v>
      </c>
      <c r="AK156" s="71">
        <f t="shared" ca="1" si="45"/>
        <v>0</v>
      </c>
      <c r="AL156" s="71">
        <f ca="1">IF(C156=1,Reeksen!AL156*((F156-G156+F156)/2)*12+Reeksen!AM156*((L156-M156+L156)/2)*12,0)</f>
        <v>0</v>
      </c>
      <c r="AM156" s="71">
        <f ca="1">-AL156*'Invoer gegevens'!$F$31</f>
        <v>0</v>
      </c>
      <c r="AN156" s="71">
        <f t="shared" ca="1" si="46"/>
        <v>0</v>
      </c>
      <c r="AO156" s="71">
        <f ca="1">IF(C156=1,(H156+J156+N156+P156)*Reeksen!AN156,0)</f>
        <v>0</v>
      </c>
      <c r="AP156" s="71">
        <f ca="1">-IF(C156=1,(H156+J156+N156+P156)*'Hulp - basis'!$G$550*Reeksen!H156,0)</f>
        <v>0</v>
      </c>
      <c r="AQ156" s="71">
        <f ca="1">-IF(C156=1,(F156+K156+L156+Q156)/2*'Invoer gegevens'!$F$35*Reeksen!J156,0)*2</f>
        <v>0</v>
      </c>
      <c r="AR156" s="71">
        <f ca="1">IF(BD156&lt;1,-IF(C156=1,(G156*'Invoer gegevens'!$F$36)*Reeksen!J156,0),0)</f>
        <v>0</v>
      </c>
      <c r="AS156" s="71">
        <f ca="1">-IF(C156=1,(F156+K156+L156+Q156)/2*'Invoer gegevens'!$F$37*Reeksen!L156,0)</f>
        <v>0</v>
      </c>
      <c r="AT156" s="71">
        <f ca="1">-IF(C156=1,IF(E156='Invoer gegevens'!$C$17,'Invoer gegevens'!$C$11,AD156)*Reeksen!S156*'Invoer gegevens'!$C$18*Reeksen!P156,0)</f>
        <v>0</v>
      </c>
      <c r="AU156" s="71">
        <f ca="1">-IF(C156=1,(F156+K156+L156+Q156)/2*'Invoer gegevens'!$F$38*Reeksen!H156,0)</f>
        <v>0</v>
      </c>
      <c r="AV156" s="71">
        <f t="shared" si="50"/>
        <v>0</v>
      </c>
      <c r="AW156" s="71">
        <f t="shared" ca="1" si="47"/>
        <v>0</v>
      </c>
      <c r="AX156" s="71">
        <f ca="1">IF(E156&lt;'Invoer gegevens'!$C$17+15,0,IF(E156&gt;'Invoer gegevens'!$C$17+215,0,AW156))</f>
        <v>0</v>
      </c>
      <c r="AY156" s="71">
        <f ca="1">AX156/(1+'Invoer gegevens'!$F$18)^($AZ156-('Invoer gegevens'!$C$17-'Invoer gegevens'!$C$16))/(1+'Invoer gegevens'!$C$39)^('Invoer gegevens'!$C$17-'Invoer gegevens'!$C$16)</f>
        <v>0</v>
      </c>
      <c r="AZ156" s="68">
        <f ca="1">IF(E156-'Invoer gegevens'!$C$17-14.5&lt;0,0,E156-'Invoer gegevens'!$C$17-14.5)</f>
        <v>136.5</v>
      </c>
      <c r="BA156" s="109">
        <f ca="1">IFERROR(VLOOKUP(E156-15,Reeksen!$A$5:$D$234,2,FALSE),0)</f>
        <v>0</v>
      </c>
      <c r="BB156" s="109">
        <f ca="1">IFERROR(VLOOKUP(E156-15,Reeksen!$A$5:$D$234,3,FALSE),0)</f>
        <v>0</v>
      </c>
      <c r="BC156" s="109">
        <f ca="1">IFERROR(VLOOKUP(E156-15,Reeksen!$A$5:$D$234,4,FALSE),0)</f>
        <v>0</v>
      </c>
      <c r="BD156" s="67">
        <f ca="1">IF(E156-'Invoer gegevens'!$C$17&lt;15,0,1)</f>
        <v>1</v>
      </c>
    </row>
    <row r="157" spans="1:56" x14ac:dyDescent="0.25">
      <c r="A157" s="59"/>
      <c r="B157" s="70">
        <f t="shared" si="48"/>
        <v>153</v>
      </c>
      <c r="C157" s="67">
        <f ca="1">IF(E157-'Invoer gegevens'!$C$17&lt;0,0,1)</f>
        <v>1</v>
      </c>
      <c r="D157" s="68">
        <f t="shared" si="49"/>
        <v>152.5</v>
      </c>
      <c r="E157" s="108">
        <f ca="1">IF('Invoer gegevens'!$C$16="","",E156+1)</f>
        <v>2171</v>
      </c>
      <c r="F157" s="84">
        <f ca="1">IF('Invoer gegevens'!$C$17=E157,'Invoer gegevens'!$C$10,IF(C157=1,K156,0))</f>
        <v>0</v>
      </c>
      <c r="G157" s="96">
        <f ca="1">IF(BD157&lt;1,F157*Reeksen!C157,IF(C157&gt;=1,F157*BA157,0))</f>
        <v>0</v>
      </c>
      <c r="H157" s="84">
        <f ca="1">(1-('Invoer gegevens'!$F$20/12))*F157*MIN(BA157,BC157)</f>
        <v>0</v>
      </c>
      <c r="I157" s="84">
        <f t="shared" ca="1" si="34"/>
        <v>0</v>
      </c>
      <c r="J157" s="84">
        <f ca="1">('Invoer gegevens'!$F$20/12)*F156*MIN(BA157,BC157)</f>
        <v>0</v>
      </c>
      <c r="K157" s="97">
        <f t="shared" ca="1" si="39"/>
        <v>0</v>
      </c>
      <c r="L157" s="84">
        <f ca="1">IF('Invoer gegevens'!$C$17=E157,0,IF(C157=1,Q156,0))</f>
        <v>0</v>
      </c>
      <c r="M157" s="96">
        <f t="shared" ca="1" si="35"/>
        <v>0</v>
      </c>
      <c r="N157" s="84">
        <f ca="1">(1-('Invoer gegevens'!$F$20/12))*L157*MIN(BA157,BC157)</f>
        <v>0</v>
      </c>
      <c r="O157" s="84">
        <f t="shared" ca="1" si="36"/>
        <v>0</v>
      </c>
      <c r="P157" s="84">
        <f ca="1">('Invoer gegevens'!$F$20/12)*L156*MIN(BA157,BC157)</f>
        <v>0</v>
      </c>
      <c r="Q157" s="84">
        <f t="shared" ca="1" si="40"/>
        <v>0</v>
      </c>
      <c r="R157" s="85">
        <f ca="1">IF('Invoer gegevens'!$C$17=E157,'Invoer gegevens'!$C$11,IF(C157=1,W156,0))</f>
        <v>0</v>
      </c>
      <c r="S157" s="86">
        <f t="shared" ca="1" si="37"/>
        <v>0</v>
      </c>
      <c r="T157" s="86">
        <f ca="1">(1-('Invoer gegevens'!$F$20/12))*R157*MIN(BC157,BA157)</f>
        <v>0</v>
      </c>
      <c r="U157" s="86">
        <f ca="1">IF(BD157&lt;1,IF(Reeksen!AD157&lt;=Reeksen!AE157,R157*Reeksen!C157,0),IF(BC157&gt;=BA157,0,IF(Reeksen!AD157&lt;=Reeksen!AE157,(BA157-BC157)*R157,0)))</f>
        <v>0</v>
      </c>
      <c r="V157" s="86">
        <f ca="1">IF(BD157&lt;1,IF(Reeksen!AD157&gt;Reeksen!AE157,R157*Reeksen!C157,0),IF(BC157&gt;=BA157,0,IF(Reeksen!AD157&gt;Reeksen!AE157,(BA157-BC157)*R157,0)))</f>
        <v>0</v>
      </c>
      <c r="W157" s="218">
        <f t="shared" ca="1" si="41"/>
        <v>0</v>
      </c>
      <c r="X157" s="98">
        <f ca="1">IF('Invoer gegevens'!$C$17=E157,'Invoer gegevens'!$C$10-'Invoer gegevens'!$C$11,IF(C157=1,AC156,0))</f>
        <v>0</v>
      </c>
      <c r="Y157" s="98">
        <f t="shared" ca="1" si="38"/>
        <v>0</v>
      </c>
      <c r="Z157" s="98">
        <f ca="1">(1-('Invoer gegevens'!$F$20/12))*X157*MIN(BA157,BC157)</f>
        <v>0</v>
      </c>
      <c r="AA157" s="98">
        <f ca="1">IF(BD157&lt;1,IF(Reeksen!AD157&lt;=Reeksen!AE157,X157*Reeksen!C157,0),IF(BC157&gt;=BA157,0,IF(Reeksen!AD157&lt;=Reeksen!AE157,(BA157-BC157)*X157,0)))</f>
        <v>0</v>
      </c>
      <c r="AB157" s="98">
        <f ca="1">IF(BD157&lt;1,IF(Reeksen!AD157&gt;Reeksen!AE157,X157*Reeksen!C157,0),IF(BC157&gt;=BA157,0,IF(Reeksen!AD157&gt;Reeksen!AE157,(BA157-BC157)*X157,0)))</f>
        <v>0</v>
      </c>
      <c r="AC157" s="99">
        <f t="shared" ca="1" si="42"/>
        <v>0</v>
      </c>
      <c r="AD157" s="98">
        <f ca="1">IF('Invoer gegevens'!$C$17=E157,R157,IF(C157=0,0,AE156))</f>
        <v>0</v>
      </c>
      <c r="AE157" s="98">
        <f t="shared" ca="1" si="43"/>
        <v>0</v>
      </c>
      <c r="AF157" s="98">
        <f ca="1">IF('Invoer gegevens'!$C$17=E157,X157,IF(C157=0,0,AG156))</f>
        <v>0</v>
      </c>
      <c r="AG157" s="98">
        <f t="shared" ca="1" si="44"/>
        <v>0</v>
      </c>
      <c r="AH157" s="66"/>
      <c r="AI157" s="71">
        <f ca="1">IF(C157=1,Reeksen!AI157*((F157+K157)/2)*12+Reeksen!AD157*((L157+Q157)/2)*12,0)</f>
        <v>0</v>
      </c>
      <c r="AJ157" s="71">
        <f ca="1">-AI157*'Invoer gegevens'!$F$28</f>
        <v>0</v>
      </c>
      <c r="AK157" s="71">
        <f t="shared" ca="1" si="45"/>
        <v>0</v>
      </c>
      <c r="AL157" s="71">
        <f ca="1">IF(C157=1,Reeksen!AL157*((F157-G157+F157)/2)*12+Reeksen!AM157*((L157-M157+L157)/2)*12,0)</f>
        <v>0</v>
      </c>
      <c r="AM157" s="71">
        <f ca="1">-AL157*'Invoer gegevens'!$F$31</f>
        <v>0</v>
      </c>
      <c r="AN157" s="71">
        <f t="shared" ca="1" si="46"/>
        <v>0</v>
      </c>
      <c r="AO157" s="71">
        <f ca="1">IF(C157=1,(H157+J157+N157+P157)*Reeksen!AN157,0)</f>
        <v>0</v>
      </c>
      <c r="AP157" s="71">
        <f ca="1">-IF(C157=1,(H157+J157+N157+P157)*'Hulp - basis'!$G$550*Reeksen!H157,0)</f>
        <v>0</v>
      </c>
      <c r="AQ157" s="71">
        <f ca="1">-IF(C157=1,(F157+K157+L157+Q157)/2*'Invoer gegevens'!$F$35*Reeksen!J157,0)*2</f>
        <v>0</v>
      </c>
      <c r="AR157" s="71">
        <f ca="1">IF(BD157&lt;1,-IF(C157=1,(G157*'Invoer gegevens'!$F$36)*Reeksen!J157,0),0)</f>
        <v>0</v>
      </c>
      <c r="AS157" s="71">
        <f ca="1">-IF(C157=1,(F157+K157+L157+Q157)/2*'Invoer gegevens'!$F$37*Reeksen!L157,0)</f>
        <v>0</v>
      </c>
      <c r="AT157" s="71">
        <f ca="1">-IF(C157=1,IF(E157='Invoer gegevens'!$C$17,'Invoer gegevens'!$C$11,AD157)*Reeksen!S157*'Invoer gegevens'!$C$18*Reeksen!P157,0)</f>
        <v>0</v>
      </c>
      <c r="AU157" s="71">
        <f ca="1">-IF(C157=1,(F157+K157+L157+Q157)/2*'Invoer gegevens'!$F$38*Reeksen!H157,0)</f>
        <v>0</v>
      </c>
      <c r="AV157" s="71">
        <f t="shared" si="50"/>
        <v>0</v>
      </c>
      <c r="AW157" s="71">
        <f t="shared" ca="1" si="47"/>
        <v>0</v>
      </c>
      <c r="AX157" s="71">
        <f ca="1">IF(E157&lt;'Invoer gegevens'!$C$17+15,0,IF(E157&gt;'Invoer gegevens'!$C$17+215,0,AW157))</f>
        <v>0</v>
      </c>
      <c r="AY157" s="71">
        <f ca="1">AX157/(1+'Invoer gegevens'!$F$18)^($AZ157-('Invoer gegevens'!$C$17-'Invoer gegevens'!$C$16))/(1+'Invoer gegevens'!$C$39)^('Invoer gegevens'!$C$17-'Invoer gegevens'!$C$16)</f>
        <v>0</v>
      </c>
      <c r="AZ157" s="68">
        <f ca="1">IF(E157-'Invoer gegevens'!$C$17-14.5&lt;0,0,E157-'Invoer gegevens'!$C$17-14.5)</f>
        <v>137.5</v>
      </c>
      <c r="BA157" s="109">
        <f ca="1">IFERROR(VLOOKUP(E157-15,Reeksen!$A$5:$D$234,2,FALSE),0)</f>
        <v>0</v>
      </c>
      <c r="BB157" s="109">
        <f ca="1">IFERROR(VLOOKUP(E157-15,Reeksen!$A$5:$D$234,3,FALSE),0)</f>
        <v>0</v>
      </c>
      <c r="BC157" s="109">
        <f ca="1">IFERROR(VLOOKUP(E157-15,Reeksen!$A$5:$D$234,4,FALSE),0)</f>
        <v>0</v>
      </c>
      <c r="BD157" s="67">
        <f ca="1">IF(E157-'Invoer gegevens'!$C$17&lt;15,0,1)</f>
        <v>1</v>
      </c>
    </row>
    <row r="158" spans="1:56" x14ac:dyDescent="0.25">
      <c r="A158" s="59"/>
      <c r="B158" s="70">
        <f t="shared" si="48"/>
        <v>154</v>
      </c>
      <c r="C158" s="67">
        <f ca="1">IF(E158-'Invoer gegevens'!$C$17&lt;0,0,1)</f>
        <v>1</v>
      </c>
      <c r="D158" s="68">
        <f t="shared" si="49"/>
        <v>153.5</v>
      </c>
      <c r="E158" s="108">
        <f ca="1">IF('Invoer gegevens'!$C$16="","",E157+1)</f>
        <v>2172</v>
      </c>
      <c r="F158" s="84">
        <f ca="1">IF('Invoer gegevens'!$C$17=E158,'Invoer gegevens'!$C$10,IF(C158=1,K157,0))</f>
        <v>0</v>
      </c>
      <c r="G158" s="96">
        <f ca="1">IF(BD158&lt;1,F158*Reeksen!C158,IF(C158&gt;=1,F158*BA158,0))</f>
        <v>0</v>
      </c>
      <c r="H158" s="84">
        <f ca="1">(1-('Invoer gegevens'!$F$20/12))*F158*MIN(BA158,BC158)</f>
        <v>0</v>
      </c>
      <c r="I158" s="84">
        <f t="shared" ca="1" si="34"/>
        <v>0</v>
      </c>
      <c r="J158" s="84">
        <f ca="1">('Invoer gegevens'!$F$20/12)*F157*MIN(BA158,BC158)</f>
        <v>0</v>
      </c>
      <c r="K158" s="97">
        <f t="shared" ca="1" si="39"/>
        <v>0</v>
      </c>
      <c r="L158" s="84">
        <f ca="1">IF('Invoer gegevens'!$C$17=E158,0,IF(C158=1,Q157,0))</f>
        <v>0</v>
      </c>
      <c r="M158" s="96">
        <f t="shared" ca="1" si="35"/>
        <v>0</v>
      </c>
      <c r="N158" s="84">
        <f ca="1">(1-('Invoer gegevens'!$F$20/12))*L158*MIN(BA158,BC158)</f>
        <v>0</v>
      </c>
      <c r="O158" s="84">
        <f t="shared" ca="1" si="36"/>
        <v>0</v>
      </c>
      <c r="P158" s="84">
        <f ca="1">('Invoer gegevens'!$F$20/12)*L157*MIN(BA158,BC158)</f>
        <v>0</v>
      </c>
      <c r="Q158" s="84">
        <f t="shared" ca="1" si="40"/>
        <v>0</v>
      </c>
      <c r="R158" s="85">
        <f ca="1">IF('Invoer gegevens'!$C$17=E158,'Invoer gegevens'!$C$11,IF(C158=1,W157,0))</f>
        <v>0</v>
      </c>
      <c r="S158" s="86">
        <f t="shared" ca="1" si="37"/>
        <v>0</v>
      </c>
      <c r="T158" s="86">
        <f ca="1">(1-('Invoer gegevens'!$F$20/12))*R158*MIN(BC158,BA158)</f>
        <v>0</v>
      </c>
      <c r="U158" s="86">
        <f ca="1">IF(BD158&lt;1,IF(Reeksen!AD158&lt;=Reeksen!AE158,R158*Reeksen!C158,0),IF(BC158&gt;=BA158,0,IF(Reeksen!AD158&lt;=Reeksen!AE158,(BA158-BC158)*R158,0)))</f>
        <v>0</v>
      </c>
      <c r="V158" s="86">
        <f ca="1">IF(BD158&lt;1,IF(Reeksen!AD158&gt;Reeksen!AE158,R158*Reeksen!C158,0),IF(BC158&gt;=BA158,0,IF(Reeksen!AD158&gt;Reeksen!AE158,(BA158-BC158)*R158,0)))</f>
        <v>0</v>
      </c>
      <c r="W158" s="218">
        <f t="shared" ca="1" si="41"/>
        <v>0</v>
      </c>
      <c r="X158" s="98">
        <f ca="1">IF('Invoer gegevens'!$C$17=E158,'Invoer gegevens'!$C$10-'Invoer gegevens'!$C$11,IF(C158=1,AC157,0))</f>
        <v>0</v>
      </c>
      <c r="Y158" s="98">
        <f t="shared" ca="1" si="38"/>
        <v>0</v>
      </c>
      <c r="Z158" s="98">
        <f ca="1">(1-('Invoer gegevens'!$F$20/12))*X158*MIN(BA158,BC158)</f>
        <v>0</v>
      </c>
      <c r="AA158" s="98">
        <f ca="1">IF(BD158&lt;1,IF(Reeksen!AD158&lt;=Reeksen!AE158,X158*Reeksen!C158,0),IF(BC158&gt;=BA158,0,IF(Reeksen!AD158&lt;=Reeksen!AE158,(BA158-BC158)*X158,0)))</f>
        <v>0</v>
      </c>
      <c r="AB158" s="98">
        <f ca="1">IF(BD158&lt;1,IF(Reeksen!AD158&gt;Reeksen!AE158,X158*Reeksen!C158,0),IF(BC158&gt;=BA158,0,IF(Reeksen!AD158&gt;Reeksen!AE158,(BA158-BC158)*X158,0)))</f>
        <v>0</v>
      </c>
      <c r="AC158" s="99">
        <f t="shared" ca="1" si="42"/>
        <v>0</v>
      </c>
      <c r="AD158" s="98">
        <f ca="1">IF('Invoer gegevens'!$C$17=E158,R158,IF(C158=0,0,AE157))</f>
        <v>0</v>
      </c>
      <c r="AE158" s="98">
        <f t="shared" ca="1" si="43"/>
        <v>0</v>
      </c>
      <c r="AF158" s="98">
        <f ca="1">IF('Invoer gegevens'!$C$17=E158,X158,IF(C158=0,0,AG157))</f>
        <v>0</v>
      </c>
      <c r="AG158" s="98">
        <f t="shared" ca="1" si="44"/>
        <v>0</v>
      </c>
      <c r="AH158" s="66"/>
      <c r="AI158" s="71">
        <f ca="1">IF(C158=1,Reeksen!AI158*((F158+K158)/2)*12+Reeksen!AD158*((L158+Q158)/2)*12,0)</f>
        <v>0</v>
      </c>
      <c r="AJ158" s="71">
        <f ca="1">-AI158*'Invoer gegevens'!$F$28</f>
        <v>0</v>
      </c>
      <c r="AK158" s="71">
        <f t="shared" ca="1" si="45"/>
        <v>0</v>
      </c>
      <c r="AL158" s="71">
        <f ca="1">IF(C158=1,Reeksen!AL158*((F158-G158+F158)/2)*12+Reeksen!AM158*((L158-M158+L158)/2)*12,0)</f>
        <v>0</v>
      </c>
      <c r="AM158" s="71">
        <f ca="1">-AL158*'Invoer gegevens'!$F$31</f>
        <v>0</v>
      </c>
      <c r="AN158" s="71">
        <f t="shared" ca="1" si="46"/>
        <v>0</v>
      </c>
      <c r="AO158" s="71">
        <f ca="1">IF(C158=1,(H158+J158+N158+P158)*Reeksen!AN158,0)</f>
        <v>0</v>
      </c>
      <c r="AP158" s="71">
        <f ca="1">-IF(C158=1,(H158+J158+N158+P158)*'Hulp - basis'!$G$550*Reeksen!H158,0)</f>
        <v>0</v>
      </c>
      <c r="AQ158" s="71">
        <f ca="1">-IF(C158=1,(F158+K158+L158+Q158)/2*'Invoer gegevens'!$F$35*Reeksen!J158,0)*2</f>
        <v>0</v>
      </c>
      <c r="AR158" s="71">
        <f ca="1">IF(BD158&lt;1,-IF(C158=1,(G158*'Invoer gegevens'!$F$36)*Reeksen!J158,0),0)</f>
        <v>0</v>
      </c>
      <c r="AS158" s="71">
        <f ca="1">-IF(C158=1,(F158+K158+L158+Q158)/2*'Invoer gegevens'!$F$37*Reeksen!L158,0)</f>
        <v>0</v>
      </c>
      <c r="AT158" s="71">
        <f ca="1">-IF(C158=1,IF(E158='Invoer gegevens'!$C$17,'Invoer gegevens'!$C$11,AD158)*Reeksen!S158*'Invoer gegevens'!$C$18*Reeksen!P158,0)</f>
        <v>0</v>
      </c>
      <c r="AU158" s="71">
        <f ca="1">-IF(C158=1,(F158+K158+L158+Q158)/2*'Invoer gegevens'!$F$38*Reeksen!H158,0)</f>
        <v>0</v>
      </c>
      <c r="AV158" s="71">
        <f t="shared" si="50"/>
        <v>0</v>
      </c>
      <c r="AW158" s="71">
        <f t="shared" ca="1" si="47"/>
        <v>0</v>
      </c>
      <c r="AX158" s="71">
        <f ca="1">IF(E158&lt;'Invoer gegevens'!$C$17+15,0,IF(E158&gt;'Invoer gegevens'!$C$17+215,0,AW158))</f>
        <v>0</v>
      </c>
      <c r="AY158" s="71">
        <f ca="1">AX158/(1+'Invoer gegevens'!$F$18)^($AZ158-('Invoer gegevens'!$C$17-'Invoer gegevens'!$C$16))/(1+'Invoer gegevens'!$C$39)^('Invoer gegevens'!$C$17-'Invoer gegevens'!$C$16)</f>
        <v>0</v>
      </c>
      <c r="AZ158" s="68">
        <f ca="1">IF(E158-'Invoer gegevens'!$C$17-14.5&lt;0,0,E158-'Invoer gegevens'!$C$17-14.5)</f>
        <v>138.5</v>
      </c>
      <c r="BA158" s="109">
        <f ca="1">IFERROR(VLOOKUP(E158-15,Reeksen!$A$5:$D$234,2,FALSE),0)</f>
        <v>0</v>
      </c>
      <c r="BB158" s="109">
        <f ca="1">IFERROR(VLOOKUP(E158-15,Reeksen!$A$5:$D$234,3,FALSE),0)</f>
        <v>0</v>
      </c>
      <c r="BC158" s="109">
        <f ca="1">IFERROR(VLOOKUP(E158-15,Reeksen!$A$5:$D$234,4,FALSE),0)</f>
        <v>0</v>
      </c>
      <c r="BD158" s="67">
        <f ca="1">IF(E158-'Invoer gegevens'!$C$17&lt;15,0,1)</f>
        <v>1</v>
      </c>
    </row>
    <row r="159" spans="1:56" x14ac:dyDescent="0.25">
      <c r="A159" s="59"/>
      <c r="B159" s="70">
        <f t="shared" si="48"/>
        <v>155</v>
      </c>
      <c r="C159" s="67">
        <f ca="1">IF(E159-'Invoer gegevens'!$C$17&lt;0,0,1)</f>
        <v>1</v>
      </c>
      <c r="D159" s="68">
        <f t="shared" si="49"/>
        <v>154.5</v>
      </c>
      <c r="E159" s="108">
        <f ca="1">IF('Invoer gegevens'!$C$16="","",E158+1)</f>
        <v>2173</v>
      </c>
      <c r="F159" s="84">
        <f ca="1">IF('Invoer gegevens'!$C$17=E159,'Invoer gegevens'!$C$10,IF(C159=1,K158,0))</f>
        <v>0</v>
      </c>
      <c r="G159" s="96">
        <f ca="1">IF(BD159&lt;1,F159*Reeksen!C159,IF(C159&gt;=1,F159*BA159,0))</f>
        <v>0</v>
      </c>
      <c r="H159" s="84">
        <f ca="1">(1-('Invoer gegevens'!$F$20/12))*F159*MIN(BA159,BC159)</f>
        <v>0</v>
      </c>
      <c r="I159" s="84">
        <f t="shared" ca="1" si="34"/>
        <v>0</v>
      </c>
      <c r="J159" s="84">
        <f ca="1">('Invoer gegevens'!$F$20/12)*F158*MIN(BA159,BC159)</f>
        <v>0</v>
      </c>
      <c r="K159" s="97">
        <f t="shared" ca="1" si="39"/>
        <v>0</v>
      </c>
      <c r="L159" s="84">
        <f ca="1">IF('Invoer gegevens'!$C$17=E159,0,IF(C159=1,Q158,0))</f>
        <v>0</v>
      </c>
      <c r="M159" s="96">
        <f t="shared" ca="1" si="35"/>
        <v>0</v>
      </c>
      <c r="N159" s="84">
        <f ca="1">(1-('Invoer gegevens'!$F$20/12))*L159*MIN(BA159,BC159)</f>
        <v>0</v>
      </c>
      <c r="O159" s="84">
        <f t="shared" ca="1" si="36"/>
        <v>0</v>
      </c>
      <c r="P159" s="84">
        <f ca="1">('Invoer gegevens'!$F$20/12)*L158*MIN(BA159,BC159)</f>
        <v>0</v>
      </c>
      <c r="Q159" s="84">
        <f t="shared" ca="1" si="40"/>
        <v>0</v>
      </c>
      <c r="R159" s="85">
        <f ca="1">IF('Invoer gegevens'!$C$17=E159,'Invoer gegevens'!$C$11,IF(C159=1,W158,0))</f>
        <v>0</v>
      </c>
      <c r="S159" s="86">
        <f t="shared" ca="1" si="37"/>
        <v>0</v>
      </c>
      <c r="T159" s="86">
        <f ca="1">(1-('Invoer gegevens'!$F$20/12))*R159*MIN(BC159,BA159)</f>
        <v>0</v>
      </c>
      <c r="U159" s="86">
        <f ca="1">IF(BD159&lt;1,IF(Reeksen!AD159&lt;=Reeksen!AE159,R159*Reeksen!C159,0),IF(BC159&gt;=BA159,0,IF(Reeksen!AD159&lt;=Reeksen!AE159,(BA159-BC159)*R159,0)))</f>
        <v>0</v>
      </c>
      <c r="V159" s="86">
        <f ca="1">IF(BD159&lt;1,IF(Reeksen!AD159&gt;Reeksen!AE159,R159*Reeksen!C159,0),IF(BC159&gt;=BA159,0,IF(Reeksen!AD159&gt;Reeksen!AE159,(BA159-BC159)*R159,0)))</f>
        <v>0</v>
      </c>
      <c r="W159" s="218">
        <f t="shared" ca="1" si="41"/>
        <v>0</v>
      </c>
      <c r="X159" s="98">
        <f ca="1">IF('Invoer gegevens'!$C$17=E159,'Invoer gegevens'!$C$10-'Invoer gegevens'!$C$11,IF(C159=1,AC158,0))</f>
        <v>0</v>
      </c>
      <c r="Y159" s="98">
        <f t="shared" ca="1" si="38"/>
        <v>0</v>
      </c>
      <c r="Z159" s="98">
        <f ca="1">(1-('Invoer gegevens'!$F$20/12))*X159*MIN(BA159,BC159)</f>
        <v>0</v>
      </c>
      <c r="AA159" s="98">
        <f ca="1">IF(BD159&lt;1,IF(Reeksen!AD159&lt;=Reeksen!AE159,X159*Reeksen!C159,0),IF(BC159&gt;=BA159,0,IF(Reeksen!AD159&lt;=Reeksen!AE159,(BA159-BC159)*X159,0)))</f>
        <v>0</v>
      </c>
      <c r="AB159" s="98">
        <f ca="1">IF(BD159&lt;1,IF(Reeksen!AD159&gt;Reeksen!AE159,X159*Reeksen!C159,0),IF(BC159&gt;=BA159,0,IF(Reeksen!AD159&gt;Reeksen!AE159,(BA159-BC159)*X159,0)))</f>
        <v>0</v>
      </c>
      <c r="AC159" s="99">
        <f t="shared" ca="1" si="42"/>
        <v>0</v>
      </c>
      <c r="AD159" s="98">
        <f ca="1">IF('Invoer gegevens'!$C$17=E159,R159,IF(C159=0,0,AE158))</f>
        <v>0</v>
      </c>
      <c r="AE159" s="98">
        <f t="shared" ca="1" si="43"/>
        <v>0</v>
      </c>
      <c r="AF159" s="98">
        <f ca="1">IF('Invoer gegevens'!$C$17=E159,X159,IF(C159=0,0,AG158))</f>
        <v>0</v>
      </c>
      <c r="AG159" s="98">
        <f t="shared" ca="1" si="44"/>
        <v>0</v>
      </c>
      <c r="AH159" s="66"/>
      <c r="AI159" s="71">
        <f ca="1">IF(C159=1,Reeksen!AI159*((F159+K159)/2)*12+Reeksen!AD159*((L159+Q159)/2)*12,0)</f>
        <v>0</v>
      </c>
      <c r="AJ159" s="71">
        <f ca="1">-AI159*'Invoer gegevens'!$F$28</f>
        <v>0</v>
      </c>
      <c r="AK159" s="71">
        <f t="shared" ca="1" si="45"/>
        <v>0</v>
      </c>
      <c r="AL159" s="71">
        <f ca="1">IF(C159=1,Reeksen!AL159*((F159-G159+F159)/2)*12+Reeksen!AM159*((L159-M159+L159)/2)*12,0)</f>
        <v>0</v>
      </c>
      <c r="AM159" s="71">
        <f ca="1">-AL159*'Invoer gegevens'!$F$31</f>
        <v>0</v>
      </c>
      <c r="AN159" s="71">
        <f t="shared" ca="1" si="46"/>
        <v>0</v>
      </c>
      <c r="AO159" s="71">
        <f ca="1">IF(C159=1,(H159+J159+N159+P159)*Reeksen!AN159,0)</f>
        <v>0</v>
      </c>
      <c r="AP159" s="71">
        <f ca="1">-IF(C159=1,(H159+J159+N159+P159)*'Hulp - basis'!$G$550*Reeksen!H159,0)</f>
        <v>0</v>
      </c>
      <c r="AQ159" s="71">
        <f ca="1">-IF(C159=1,(F159+K159+L159+Q159)/2*'Invoer gegevens'!$F$35*Reeksen!J159,0)*2</f>
        <v>0</v>
      </c>
      <c r="AR159" s="71">
        <f ca="1">IF(BD159&lt;1,-IF(C159=1,(G159*'Invoer gegevens'!$F$36)*Reeksen!J159,0),0)</f>
        <v>0</v>
      </c>
      <c r="AS159" s="71">
        <f ca="1">-IF(C159=1,(F159+K159+L159+Q159)/2*'Invoer gegevens'!$F$37*Reeksen!L159,0)</f>
        <v>0</v>
      </c>
      <c r="AT159" s="71">
        <f ca="1">-IF(C159=1,IF(E159='Invoer gegevens'!$C$17,'Invoer gegevens'!$C$11,AD159)*Reeksen!S159*'Invoer gegevens'!$C$18*Reeksen!P159,0)</f>
        <v>0</v>
      </c>
      <c r="AU159" s="71">
        <f ca="1">-IF(C159=1,(F159+K159+L159+Q159)/2*'Invoer gegevens'!$F$38*Reeksen!H159,0)</f>
        <v>0</v>
      </c>
      <c r="AV159" s="71">
        <f t="shared" si="50"/>
        <v>0</v>
      </c>
      <c r="AW159" s="71">
        <f t="shared" ca="1" si="47"/>
        <v>0</v>
      </c>
      <c r="AX159" s="71">
        <f ca="1">IF(E159&lt;'Invoer gegevens'!$C$17+15,0,IF(E159&gt;'Invoer gegevens'!$C$17+215,0,AW159))</f>
        <v>0</v>
      </c>
      <c r="AY159" s="71">
        <f ca="1">AX159/(1+'Invoer gegevens'!$F$18)^($AZ159-('Invoer gegevens'!$C$17-'Invoer gegevens'!$C$16))/(1+'Invoer gegevens'!$C$39)^('Invoer gegevens'!$C$17-'Invoer gegevens'!$C$16)</f>
        <v>0</v>
      </c>
      <c r="AZ159" s="68">
        <f ca="1">IF(E159-'Invoer gegevens'!$C$17-14.5&lt;0,0,E159-'Invoer gegevens'!$C$17-14.5)</f>
        <v>139.5</v>
      </c>
      <c r="BA159" s="109">
        <f ca="1">IFERROR(VLOOKUP(E159-15,Reeksen!$A$5:$D$234,2,FALSE),0)</f>
        <v>0</v>
      </c>
      <c r="BB159" s="109">
        <f ca="1">IFERROR(VLOOKUP(E159-15,Reeksen!$A$5:$D$234,3,FALSE),0)</f>
        <v>0</v>
      </c>
      <c r="BC159" s="109">
        <f ca="1">IFERROR(VLOOKUP(E159-15,Reeksen!$A$5:$D$234,4,FALSE),0)</f>
        <v>0</v>
      </c>
      <c r="BD159" s="67">
        <f ca="1">IF(E159-'Invoer gegevens'!$C$17&lt;15,0,1)</f>
        <v>1</v>
      </c>
    </row>
    <row r="160" spans="1:56" x14ac:dyDescent="0.25">
      <c r="A160" s="59"/>
      <c r="B160" s="70">
        <f t="shared" si="48"/>
        <v>156</v>
      </c>
      <c r="C160" s="67">
        <f ca="1">IF(E160-'Invoer gegevens'!$C$17&lt;0,0,1)</f>
        <v>1</v>
      </c>
      <c r="D160" s="68">
        <f t="shared" si="49"/>
        <v>155.5</v>
      </c>
      <c r="E160" s="108">
        <f ca="1">IF('Invoer gegevens'!$C$16="","",E159+1)</f>
        <v>2174</v>
      </c>
      <c r="F160" s="84">
        <f ca="1">IF('Invoer gegevens'!$C$17=E160,'Invoer gegevens'!$C$10,IF(C160=1,K159,0))</f>
        <v>0</v>
      </c>
      <c r="G160" s="96">
        <f ca="1">IF(BD160&lt;1,F160*Reeksen!C160,IF(C160&gt;=1,F160*BA160,0))</f>
        <v>0</v>
      </c>
      <c r="H160" s="84">
        <f ca="1">(1-('Invoer gegevens'!$F$20/12))*F160*MIN(BA160,BC160)</f>
        <v>0</v>
      </c>
      <c r="I160" s="84">
        <f t="shared" ca="1" si="34"/>
        <v>0</v>
      </c>
      <c r="J160" s="84">
        <f ca="1">('Invoer gegevens'!$F$20/12)*F159*MIN(BA160,BC160)</f>
        <v>0</v>
      </c>
      <c r="K160" s="97">
        <f t="shared" ca="1" si="39"/>
        <v>0</v>
      </c>
      <c r="L160" s="84">
        <f ca="1">IF('Invoer gegevens'!$C$17=E160,0,IF(C160=1,Q159,0))</f>
        <v>0</v>
      </c>
      <c r="M160" s="96">
        <f t="shared" ca="1" si="35"/>
        <v>0</v>
      </c>
      <c r="N160" s="84">
        <f ca="1">(1-('Invoer gegevens'!$F$20/12))*L160*MIN(BA160,BC160)</f>
        <v>0</v>
      </c>
      <c r="O160" s="84">
        <f t="shared" ca="1" si="36"/>
        <v>0</v>
      </c>
      <c r="P160" s="84">
        <f ca="1">('Invoer gegevens'!$F$20/12)*L159*MIN(BA160,BC160)</f>
        <v>0</v>
      </c>
      <c r="Q160" s="84">
        <f t="shared" ca="1" si="40"/>
        <v>0</v>
      </c>
      <c r="R160" s="85">
        <f ca="1">IF('Invoer gegevens'!$C$17=E160,'Invoer gegevens'!$C$11,IF(C160=1,W159,0))</f>
        <v>0</v>
      </c>
      <c r="S160" s="86">
        <f t="shared" ca="1" si="37"/>
        <v>0</v>
      </c>
      <c r="T160" s="86">
        <f ca="1">(1-('Invoer gegevens'!$F$20/12))*R160*MIN(BC160,BA160)</f>
        <v>0</v>
      </c>
      <c r="U160" s="86">
        <f ca="1">IF(BD160&lt;1,IF(Reeksen!AD160&lt;=Reeksen!AE160,R160*Reeksen!C160,0),IF(BC160&gt;=BA160,0,IF(Reeksen!AD160&lt;=Reeksen!AE160,(BA160-BC160)*R160,0)))</f>
        <v>0</v>
      </c>
      <c r="V160" s="86">
        <f ca="1">IF(BD160&lt;1,IF(Reeksen!AD160&gt;Reeksen!AE160,R160*Reeksen!C160,0),IF(BC160&gt;=BA160,0,IF(Reeksen!AD160&gt;Reeksen!AE160,(BA160-BC160)*R160,0)))</f>
        <v>0</v>
      </c>
      <c r="W160" s="218">
        <f t="shared" ca="1" si="41"/>
        <v>0</v>
      </c>
      <c r="X160" s="98">
        <f ca="1">IF('Invoer gegevens'!$C$17=E160,'Invoer gegevens'!$C$10-'Invoer gegevens'!$C$11,IF(C160=1,AC159,0))</f>
        <v>0</v>
      </c>
      <c r="Y160" s="98">
        <f t="shared" ca="1" si="38"/>
        <v>0</v>
      </c>
      <c r="Z160" s="98">
        <f ca="1">(1-('Invoer gegevens'!$F$20/12))*X160*MIN(BA160,BC160)</f>
        <v>0</v>
      </c>
      <c r="AA160" s="98">
        <f ca="1">IF(BD160&lt;1,IF(Reeksen!AD160&lt;=Reeksen!AE160,X160*Reeksen!C160,0),IF(BC160&gt;=BA160,0,IF(Reeksen!AD160&lt;=Reeksen!AE160,(BA160-BC160)*X160,0)))</f>
        <v>0</v>
      </c>
      <c r="AB160" s="98">
        <f ca="1">IF(BD160&lt;1,IF(Reeksen!AD160&gt;Reeksen!AE160,X160*Reeksen!C160,0),IF(BC160&gt;=BA160,0,IF(Reeksen!AD160&gt;Reeksen!AE160,(BA160-BC160)*X160,0)))</f>
        <v>0</v>
      </c>
      <c r="AC160" s="99">
        <f t="shared" ca="1" si="42"/>
        <v>0</v>
      </c>
      <c r="AD160" s="98">
        <f ca="1">IF('Invoer gegevens'!$C$17=E160,R160,IF(C160=0,0,AE159))</f>
        <v>0</v>
      </c>
      <c r="AE160" s="98">
        <f t="shared" ca="1" si="43"/>
        <v>0</v>
      </c>
      <c r="AF160" s="98">
        <f ca="1">IF('Invoer gegevens'!$C$17=E160,X160,IF(C160=0,0,AG159))</f>
        <v>0</v>
      </c>
      <c r="AG160" s="98">
        <f t="shared" ca="1" si="44"/>
        <v>0</v>
      </c>
      <c r="AH160" s="66"/>
      <c r="AI160" s="71">
        <f ca="1">IF(C160=1,Reeksen!AI160*((F160+K160)/2)*12+Reeksen!AD160*((L160+Q160)/2)*12,0)</f>
        <v>0</v>
      </c>
      <c r="AJ160" s="71">
        <f ca="1">-AI160*'Invoer gegevens'!$F$28</f>
        <v>0</v>
      </c>
      <c r="AK160" s="71">
        <f t="shared" ca="1" si="45"/>
        <v>0</v>
      </c>
      <c r="AL160" s="71">
        <f ca="1">IF(C160=1,Reeksen!AL160*((F160-G160+F160)/2)*12+Reeksen!AM160*((L160-M160+L160)/2)*12,0)</f>
        <v>0</v>
      </c>
      <c r="AM160" s="71">
        <f ca="1">-AL160*'Invoer gegevens'!$F$31</f>
        <v>0</v>
      </c>
      <c r="AN160" s="71">
        <f t="shared" ca="1" si="46"/>
        <v>0</v>
      </c>
      <c r="AO160" s="71">
        <f ca="1">IF(C160=1,(H160+J160+N160+P160)*Reeksen!AN160,0)</f>
        <v>0</v>
      </c>
      <c r="AP160" s="71">
        <f ca="1">-IF(C160=1,(H160+J160+N160+P160)*'Hulp - basis'!$G$550*Reeksen!H160,0)</f>
        <v>0</v>
      </c>
      <c r="AQ160" s="71">
        <f ca="1">-IF(C160=1,(F160+K160+L160+Q160)/2*'Invoer gegevens'!$F$35*Reeksen!J160,0)*2</f>
        <v>0</v>
      </c>
      <c r="AR160" s="71">
        <f ca="1">IF(BD160&lt;1,-IF(C160=1,(G160*'Invoer gegevens'!$F$36)*Reeksen!J160,0),0)</f>
        <v>0</v>
      </c>
      <c r="AS160" s="71">
        <f ca="1">-IF(C160=1,(F160+K160+L160+Q160)/2*'Invoer gegevens'!$F$37*Reeksen!L160,0)</f>
        <v>0</v>
      </c>
      <c r="AT160" s="71">
        <f ca="1">-IF(C160=1,IF(E160='Invoer gegevens'!$C$17,'Invoer gegevens'!$C$11,AD160)*Reeksen!S160*'Invoer gegevens'!$C$18*Reeksen!P160,0)</f>
        <v>0</v>
      </c>
      <c r="AU160" s="71">
        <f ca="1">-IF(C160=1,(F160+K160+L160+Q160)/2*'Invoer gegevens'!$F$38*Reeksen!H160,0)</f>
        <v>0</v>
      </c>
      <c r="AV160" s="71">
        <f t="shared" si="50"/>
        <v>0</v>
      </c>
      <c r="AW160" s="71">
        <f t="shared" ca="1" si="47"/>
        <v>0</v>
      </c>
      <c r="AX160" s="71">
        <f ca="1">IF(E160&lt;'Invoer gegevens'!$C$17+15,0,IF(E160&gt;'Invoer gegevens'!$C$17+215,0,AW160))</f>
        <v>0</v>
      </c>
      <c r="AY160" s="71">
        <f ca="1">AX160/(1+'Invoer gegevens'!$F$18)^($AZ160-('Invoer gegevens'!$C$17-'Invoer gegevens'!$C$16))/(1+'Invoer gegevens'!$C$39)^('Invoer gegevens'!$C$17-'Invoer gegevens'!$C$16)</f>
        <v>0</v>
      </c>
      <c r="AZ160" s="68">
        <f ca="1">IF(E160-'Invoer gegevens'!$C$17-14.5&lt;0,0,E160-'Invoer gegevens'!$C$17-14.5)</f>
        <v>140.5</v>
      </c>
      <c r="BA160" s="109">
        <f ca="1">IFERROR(VLOOKUP(E160-15,Reeksen!$A$5:$D$234,2,FALSE),0)</f>
        <v>0</v>
      </c>
      <c r="BB160" s="109">
        <f ca="1">IFERROR(VLOOKUP(E160-15,Reeksen!$A$5:$D$234,3,FALSE),0)</f>
        <v>0</v>
      </c>
      <c r="BC160" s="109">
        <f ca="1">IFERROR(VLOOKUP(E160-15,Reeksen!$A$5:$D$234,4,FALSE),0)</f>
        <v>0</v>
      </c>
      <c r="BD160" s="67">
        <f ca="1">IF(E160-'Invoer gegevens'!$C$17&lt;15,0,1)</f>
        <v>1</v>
      </c>
    </row>
    <row r="161" spans="1:56" x14ac:dyDescent="0.25">
      <c r="A161" s="59"/>
      <c r="B161" s="70">
        <f t="shared" si="48"/>
        <v>157</v>
      </c>
      <c r="C161" s="67">
        <f ca="1">IF(E161-'Invoer gegevens'!$C$17&lt;0,0,1)</f>
        <v>1</v>
      </c>
      <c r="D161" s="68">
        <f t="shared" si="49"/>
        <v>156.5</v>
      </c>
      <c r="E161" s="108">
        <f ca="1">IF('Invoer gegevens'!$C$16="","",E160+1)</f>
        <v>2175</v>
      </c>
      <c r="F161" s="84">
        <f ca="1">IF('Invoer gegevens'!$C$17=E161,'Invoer gegevens'!$C$10,IF(C161=1,K160,0))</f>
        <v>0</v>
      </c>
      <c r="G161" s="96">
        <f ca="1">IF(BD161&lt;1,F161*Reeksen!C161,IF(C161&gt;=1,F161*BA161,0))</f>
        <v>0</v>
      </c>
      <c r="H161" s="84">
        <f ca="1">(1-('Invoer gegevens'!$F$20/12))*F161*MIN(BA161,BC161)</f>
        <v>0</v>
      </c>
      <c r="I161" s="84">
        <f t="shared" ca="1" si="34"/>
        <v>0</v>
      </c>
      <c r="J161" s="84">
        <f ca="1">('Invoer gegevens'!$F$20/12)*F160*MIN(BA161,BC161)</f>
        <v>0</v>
      </c>
      <c r="K161" s="97">
        <f t="shared" ca="1" si="39"/>
        <v>0</v>
      </c>
      <c r="L161" s="84">
        <f ca="1">IF('Invoer gegevens'!$C$17=E161,0,IF(C161=1,Q160,0))</f>
        <v>0</v>
      </c>
      <c r="M161" s="96">
        <f t="shared" ca="1" si="35"/>
        <v>0</v>
      </c>
      <c r="N161" s="84">
        <f ca="1">(1-('Invoer gegevens'!$F$20/12))*L161*MIN(BA161,BC161)</f>
        <v>0</v>
      </c>
      <c r="O161" s="84">
        <f t="shared" ca="1" si="36"/>
        <v>0</v>
      </c>
      <c r="P161" s="84">
        <f ca="1">('Invoer gegevens'!$F$20/12)*L160*MIN(BA161,BC161)</f>
        <v>0</v>
      </c>
      <c r="Q161" s="84">
        <f t="shared" ca="1" si="40"/>
        <v>0</v>
      </c>
      <c r="R161" s="85">
        <f ca="1">IF('Invoer gegevens'!$C$17=E161,'Invoer gegevens'!$C$11,IF(C161=1,W160,0))</f>
        <v>0</v>
      </c>
      <c r="S161" s="86">
        <f t="shared" ca="1" si="37"/>
        <v>0</v>
      </c>
      <c r="T161" s="86">
        <f ca="1">(1-('Invoer gegevens'!$F$20/12))*R161*MIN(BC161,BA161)</f>
        <v>0</v>
      </c>
      <c r="U161" s="86">
        <f ca="1">IF(BD161&lt;1,IF(Reeksen!AD161&lt;=Reeksen!AE161,R161*Reeksen!C161,0),IF(BC161&gt;=BA161,0,IF(Reeksen!AD161&lt;=Reeksen!AE161,(BA161-BC161)*R161,0)))</f>
        <v>0</v>
      </c>
      <c r="V161" s="86">
        <f ca="1">IF(BD161&lt;1,IF(Reeksen!AD161&gt;Reeksen!AE161,R161*Reeksen!C161,0),IF(BC161&gt;=BA161,0,IF(Reeksen!AD161&gt;Reeksen!AE161,(BA161-BC161)*R161,0)))</f>
        <v>0</v>
      </c>
      <c r="W161" s="218">
        <f t="shared" ca="1" si="41"/>
        <v>0</v>
      </c>
      <c r="X161" s="98">
        <f ca="1">IF('Invoer gegevens'!$C$17=E161,'Invoer gegevens'!$C$10-'Invoer gegevens'!$C$11,IF(C161=1,AC160,0))</f>
        <v>0</v>
      </c>
      <c r="Y161" s="98">
        <f t="shared" ca="1" si="38"/>
        <v>0</v>
      </c>
      <c r="Z161" s="98">
        <f ca="1">(1-('Invoer gegevens'!$F$20/12))*X161*MIN(BA161,BC161)</f>
        <v>0</v>
      </c>
      <c r="AA161" s="98">
        <f ca="1">IF(BD161&lt;1,IF(Reeksen!AD161&lt;=Reeksen!AE161,X161*Reeksen!C161,0),IF(BC161&gt;=BA161,0,IF(Reeksen!AD161&lt;=Reeksen!AE161,(BA161-BC161)*X161,0)))</f>
        <v>0</v>
      </c>
      <c r="AB161" s="98">
        <f ca="1">IF(BD161&lt;1,IF(Reeksen!AD161&gt;Reeksen!AE161,X161*Reeksen!C161,0),IF(BC161&gt;=BA161,0,IF(Reeksen!AD161&gt;Reeksen!AE161,(BA161-BC161)*X161,0)))</f>
        <v>0</v>
      </c>
      <c r="AC161" s="99">
        <f t="shared" ca="1" si="42"/>
        <v>0</v>
      </c>
      <c r="AD161" s="98">
        <f ca="1">IF('Invoer gegevens'!$C$17=E161,R161,IF(C161=0,0,AE160))</f>
        <v>0</v>
      </c>
      <c r="AE161" s="98">
        <f t="shared" ca="1" si="43"/>
        <v>0</v>
      </c>
      <c r="AF161" s="98">
        <f ca="1">IF('Invoer gegevens'!$C$17=E161,X161,IF(C161=0,0,AG160))</f>
        <v>0</v>
      </c>
      <c r="AG161" s="98">
        <f t="shared" ca="1" si="44"/>
        <v>0</v>
      </c>
      <c r="AH161" s="66"/>
      <c r="AI161" s="71">
        <f ca="1">IF(C161=1,Reeksen!AI161*((F161+K161)/2)*12+Reeksen!AD161*((L161+Q161)/2)*12,0)</f>
        <v>0</v>
      </c>
      <c r="AJ161" s="71">
        <f ca="1">-AI161*'Invoer gegevens'!$F$28</f>
        <v>0</v>
      </c>
      <c r="AK161" s="71">
        <f t="shared" ca="1" si="45"/>
        <v>0</v>
      </c>
      <c r="AL161" s="71">
        <f ca="1">IF(C161=1,Reeksen!AL161*((F161-G161+F161)/2)*12+Reeksen!AM161*((L161-M161+L161)/2)*12,0)</f>
        <v>0</v>
      </c>
      <c r="AM161" s="71">
        <f ca="1">-AL161*'Invoer gegevens'!$F$31</f>
        <v>0</v>
      </c>
      <c r="AN161" s="71">
        <f t="shared" ca="1" si="46"/>
        <v>0</v>
      </c>
      <c r="AO161" s="71">
        <f ca="1">IF(C161=1,(H161+J161+N161+P161)*Reeksen!AN161,0)</f>
        <v>0</v>
      </c>
      <c r="AP161" s="71">
        <f ca="1">-IF(C161=1,(H161+J161+N161+P161)*'Hulp - basis'!$G$550*Reeksen!H161,0)</f>
        <v>0</v>
      </c>
      <c r="AQ161" s="71">
        <f ca="1">-IF(C161=1,(F161+K161+L161+Q161)/2*'Invoer gegevens'!$F$35*Reeksen!J161,0)*2</f>
        <v>0</v>
      </c>
      <c r="AR161" s="71">
        <f ca="1">IF(BD161&lt;1,-IF(C161=1,(G161*'Invoer gegevens'!$F$36)*Reeksen!J161,0),0)</f>
        <v>0</v>
      </c>
      <c r="AS161" s="71">
        <f ca="1">-IF(C161=1,(F161+K161+L161+Q161)/2*'Invoer gegevens'!$F$37*Reeksen!L161,0)</f>
        <v>0</v>
      </c>
      <c r="AT161" s="71">
        <f ca="1">-IF(C161=1,IF(E161='Invoer gegevens'!$C$17,'Invoer gegevens'!$C$11,AD161)*Reeksen!S161*'Invoer gegevens'!$C$18*Reeksen!P161,0)</f>
        <v>0</v>
      </c>
      <c r="AU161" s="71">
        <f ca="1">-IF(C161=1,(F161+K161+L161+Q161)/2*'Invoer gegevens'!$F$38*Reeksen!H161,0)</f>
        <v>0</v>
      </c>
      <c r="AV161" s="71">
        <f t="shared" si="50"/>
        <v>0</v>
      </c>
      <c r="AW161" s="71">
        <f t="shared" ca="1" si="47"/>
        <v>0</v>
      </c>
      <c r="AX161" s="71">
        <f ca="1">IF(E161&lt;'Invoer gegevens'!$C$17+15,0,IF(E161&gt;'Invoer gegevens'!$C$17+215,0,AW161))</f>
        <v>0</v>
      </c>
      <c r="AY161" s="71">
        <f ca="1">AX161/(1+'Invoer gegevens'!$F$18)^($AZ161-('Invoer gegevens'!$C$17-'Invoer gegevens'!$C$16))/(1+'Invoer gegevens'!$C$39)^('Invoer gegevens'!$C$17-'Invoer gegevens'!$C$16)</f>
        <v>0</v>
      </c>
      <c r="AZ161" s="68">
        <f ca="1">IF(E161-'Invoer gegevens'!$C$17-14.5&lt;0,0,E161-'Invoer gegevens'!$C$17-14.5)</f>
        <v>141.5</v>
      </c>
      <c r="BA161" s="109">
        <f ca="1">IFERROR(VLOOKUP(E161-15,Reeksen!$A$5:$D$234,2,FALSE),0)</f>
        <v>0</v>
      </c>
      <c r="BB161" s="109">
        <f ca="1">IFERROR(VLOOKUP(E161-15,Reeksen!$A$5:$D$234,3,FALSE),0)</f>
        <v>0</v>
      </c>
      <c r="BC161" s="109">
        <f ca="1">IFERROR(VLOOKUP(E161-15,Reeksen!$A$5:$D$234,4,FALSE),0)</f>
        <v>0</v>
      </c>
      <c r="BD161" s="67">
        <f ca="1">IF(E161-'Invoer gegevens'!$C$17&lt;15,0,1)</f>
        <v>1</v>
      </c>
    </row>
    <row r="162" spans="1:56" x14ac:dyDescent="0.25">
      <c r="A162" s="59"/>
      <c r="B162" s="70">
        <f t="shared" si="48"/>
        <v>158</v>
      </c>
      <c r="C162" s="67">
        <f ca="1">IF(E162-'Invoer gegevens'!$C$17&lt;0,0,1)</f>
        <v>1</v>
      </c>
      <c r="D162" s="68">
        <f t="shared" si="49"/>
        <v>157.5</v>
      </c>
      <c r="E162" s="108">
        <f ca="1">IF('Invoer gegevens'!$C$16="","",E161+1)</f>
        <v>2176</v>
      </c>
      <c r="F162" s="84">
        <f ca="1">IF('Invoer gegevens'!$C$17=E162,'Invoer gegevens'!$C$10,IF(C162=1,K161,0))</f>
        <v>0</v>
      </c>
      <c r="G162" s="96">
        <f ca="1">IF(BD162&lt;1,F162*Reeksen!C162,IF(C162&gt;=1,F162*BA162,0))</f>
        <v>0</v>
      </c>
      <c r="H162" s="84">
        <f ca="1">(1-('Invoer gegevens'!$F$20/12))*F162*MIN(BA162,BC162)</f>
        <v>0</v>
      </c>
      <c r="I162" s="84">
        <f t="shared" ca="1" si="34"/>
        <v>0</v>
      </c>
      <c r="J162" s="84">
        <f ca="1">('Invoer gegevens'!$F$20/12)*F161*MIN(BA162,BC162)</f>
        <v>0</v>
      </c>
      <c r="K162" s="97">
        <f t="shared" ca="1" si="39"/>
        <v>0</v>
      </c>
      <c r="L162" s="84">
        <f ca="1">IF('Invoer gegevens'!$C$17=E162,0,IF(C162=1,Q161,0))</f>
        <v>0</v>
      </c>
      <c r="M162" s="96">
        <f t="shared" ca="1" si="35"/>
        <v>0</v>
      </c>
      <c r="N162" s="84">
        <f ca="1">(1-('Invoer gegevens'!$F$20/12))*L162*MIN(BA162,BC162)</f>
        <v>0</v>
      </c>
      <c r="O162" s="84">
        <f t="shared" ca="1" si="36"/>
        <v>0</v>
      </c>
      <c r="P162" s="84">
        <f ca="1">('Invoer gegevens'!$F$20/12)*L161*MIN(BA162,BC162)</f>
        <v>0</v>
      </c>
      <c r="Q162" s="84">
        <f t="shared" ca="1" si="40"/>
        <v>0</v>
      </c>
      <c r="R162" s="85">
        <f ca="1">IF('Invoer gegevens'!$C$17=E162,'Invoer gegevens'!$C$11,IF(C162=1,W161,0))</f>
        <v>0</v>
      </c>
      <c r="S162" s="86">
        <f t="shared" ca="1" si="37"/>
        <v>0</v>
      </c>
      <c r="T162" s="86">
        <f ca="1">(1-('Invoer gegevens'!$F$20/12))*R162*MIN(BC162,BA162)</f>
        <v>0</v>
      </c>
      <c r="U162" s="86">
        <f ca="1">IF(BD162&lt;1,IF(Reeksen!AD162&lt;=Reeksen!AE162,R162*Reeksen!C162,0),IF(BC162&gt;=BA162,0,IF(Reeksen!AD162&lt;=Reeksen!AE162,(BA162-BC162)*R162,0)))</f>
        <v>0</v>
      </c>
      <c r="V162" s="86">
        <f ca="1">IF(BD162&lt;1,IF(Reeksen!AD162&gt;Reeksen!AE162,R162*Reeksen!C162,0),IF(BC162&gt;=BA162,0,IF(Reeksen!AD162&gt;Reeksen!AE162,(BA162-BC162)*R162,0)))</f>
        <v>0</v>
      </c>
      <c r="W162" s="218">
        <f t="shared" ca="1" si="41"/>
        <v>0</v>
      </c>
      <c r="X162" s="98">
        <f ca="1">IF('Invoer gegevens'!$C$17=E162,'Invoer gegevens'!$C$10-'Invoer gegevens'!$C$11,IF(C162=1,AC161,0))</f>
        <v>0</v>
      </c>
      <c r="Y162" s="98">
        <f t="shared" ca="1" si="38"/>
        <v>0</v>
      </c>
      <c r="Z162" s="98">
        <f ca="1">(1-('Invoer gegevens'!$F$20/12))*X162*MIN(BA162,BC162)</f>
        <v>0</v>
      </c>
      <c r="AA162" s="98">
        <f ca="1">IF(BD162&lt;1,IF(Reeksen!AD162&lt;=Reeksen!AE162,X162*Reeksen!C162,0),IF(BC162&gt;=BA162,0,IF(Reeksen!AD162&lt;=Reeksen!AE162,(BA162-BC162)*X162,0)))</f>
        <v>0</v>
      </c>
      <c r="AB162" s="98">
        <f ca="1">IF(BD162&lt;1,IF(Reeksen!AD162&gt;Reeksen!AE162,X162*Reeksen!C162,0),IF(BC162&gt;=BA162,0,IF(Reeksen!AD162&gt;Reeksen!AE162,(BA162-BC162)*X162,0)))</f>
        <v>0</v>
      </c>
      <c r="AC162" s="99">
        <f t="shared" ca="1" si="42"/>
        <v>0</v>
      </c>
      <c r="AD162" s="98">
        <f ca="1">IF('Invoer gegevens'!$C$17=E162,R162,IF(C162=0,0,AE161))</f>
        <v>0</v>
      </c>
      <c r="AE162" s="98">
        <f t="shared" ca="1" si="43"/>
        <v>0</v>
      </c>
      <c r="AF162" s="98">
        <f ca="1">IF('Invoer gegevens'!$C$17=E162,X162,IF(C162=0,0,AG161))</f>
        <v>0</v>
      </c>
      <c r="AG162" s="98">
        <f t="shared" ca="1" si="44"/>
        <v>0</v>
      </c>
      <c r="AH162" s="66"/>
      <c r="AI162" s="71">
        <f ca="1">IF(C162=1,Reeksen!AI162*((F162+K162)/2)*12+Reeksen!AD162*((L162+Q162)/2)*12,0)</f>
        <v>0</v>
      </c>
      <c r="AJ162" s="71">
        <f ca="1">-AI162*'Invoer gegevens'!$F$28</f>
        <v>0</v>
      </c>
      <c r="AK162" s="71">
        <f t="shared" ca="1" si="45"/>
        <v>0</v>
      </c>
      <c r="AL162" s="71">
        <f ca="1">IF(C162=1,Reeksen!AL162*((F162-G162+F162)/2)*12+Reeksen!AM162*((L162-M162+L162)/2)*12,0)</f>
        <v>0</v>
      </c>
      <c r="AM162" s="71">
        <f ca="1">-AL162*'Invoer gegevens'!$F$31</f>
        <v>0</v>
      </c>
      <c r="AN162" s="71">
        <f t="shared" ca="1" si="46"/>
        <v>0</v>
      </c>
      <c r="AO162" s="71">
        <f ca="1">IF(C162=1,(H162+J162+N162+P162)*Reeksen!AN162,0)</f>
        <v>0</v>
      </c>
      <c r="AP162" s="71">
        <f ca="1">-IF(C162=1,(H162+J162+N162+P162)*'Hulp - basis'!$G$550*Reeksen!H162,0)</f>
        <v>0</v>
      </c>
      <c r="AQ162" s="71">
        <f ca="1">-IF(C162=1,(F162+K162+L162+Q162)/2*'Invoer gegevens'!$F$35*Reeksen!J162,0)*2</f>
        <v>0</v>
      </c>
      <c r="AR162" s="71">
        <f ca="1">IF(BD162&lt;1,-IF(C162=1,(G162*'Invoer gegevens'!$F$36)*Reeksen!J162,0),0)</f>
        <v>0</v>
      </c>
      <c r="AS162" s="71">
        <f ca="1">-IF(C162=1,(F162+K162+L162+Q162)/2*'Invoer gegevens'!$F$37*Reeksen!L162,0)</f>
        <v>0</v>
      </c>
      <c r="AT162" s="71">
        <f ca="1">-IF(C162=1,IF(E162='Invoer gegevens'!$C$17,'Invoer gegevens'!$C$11,AD162)*Reeksen!S162*'Invoer gegevens'!$C$18*Reeksen!P162,0)</f>
        <v>0</v>
      </c>
      <c r="AU162" s="71">
        <f ca="1">-IF(C162=1,(F162+K162+L162+Q162)/2*'Invoer gegevens'!$F$38*Reeksen!H162,0)</f>
        <v>0</v>
      </c>
      <c r="AV162" s="71">
        <f t="shared" si="50"/>
        <v>0</v>
      </c>
      <c r="AW162" s="71">
        <f t="shared" ca="1" si="47"/>
        <v>0</v>
      </c>
      <c r="AX162" s="71">
        <f ca="1">IF(E162&lt;'Invoer gegevens'!$C$17+15,0,IF(E162&gt;'Invoer gegevens'!$C$17+215,0,AW162))</f>
        <v>0</v>
      </c>
      <c r="AY162" s="71">
        <f ca="1">AX162/(1+'Invoer gegevens'!$F$18)^($AZ162-('Invoer gegevens'!$C$17-'Invoer gegevens'!$C$16))/(1+'Invoer gegevens'!$C$39)^('Invoer gegevens'!$C$17-'Invoer gegevens'!$C$16)</f>
        <v>0</v>
      </c>
      <c r="AZ162" s="68">
        <f ca="1">IF(E162-'Invoer gegevens'!$C$17-14.5&lt;0,0,E162-'Invoer gegevens'!$C$17-14.5)</f>
        <v>142.5</v>
      </c>
      <c r="BA162" s="109">
        <f ca="1">IFERROR(VLOOKUP(E162-15,Reeksen!$A$5:$D$234,2,FALSE),0)</f>
        <v>0</v>
      </c>
      <c r="BB162" s="109">
        <f ca="1">IFERROR(VLOOKUP(E162-15,Reeksen!$A$5:$D$234,3,FALSE),0)</f>
        <v>0</v>
      </c>
      <c r="BC162" s="109">
        <f ca="1">IFERROR(VLOOKUP(E162-15,Reeksen!$A$5:$D$234,4,FALSE),0)</f>
        <v>0</v>
      </c>
      <c r="BD162" s="67">
        <f ca="1">IF(E162-'Invoer gegevens'!$C$17&lt;15,0,1)</f>
        <v>1</v>
      </c>
    </row>
    <row r="163" spans="1:56" x14ac:dyDescent="0.25">
      <c r="A163" s="59"/>
      <c r="B163" s="70">
        <f t="shared" si="48"/>
        <v>159</v>
      </c>
      <c r="C163" s="67">
        <f ca="1">IF(E163-'Invoer gegevens'!$C$17&lt;0,0,1)</f>
        <v>1</v>
      </c>
      <c r="D163" s="68">
        <f t="shared" si="49"/>
        <v>158.5</v>
      </c>
      <c r="E163" s="108">
        <f ca="1">IF('Invoer gegevens'!$C$16="","",E162+1)</f>
        <v>2177</v>
      </c>
      <c r="F163" s="84">
        <f ca="1">IF('Invoer gegevens'!$C$17=E163,'Invoer gegevens'!$C$10,IF(C163=1,K162,0))</f>
        <v>0</v>
      </c>
      <c r="G163" s="96">
        <f ca="1">IF(BD163&lt;1,F163*Reeksen!C163,IF(C163&gt;=1,F163*BA163,0))</f>
        <v>0</v>
      </c>
      <c r="H163" s="84">
        <f ca="1">(1-('Invoer gegevens'!$F$20/12))*F163*MIN(BA163,BC163)</f>
        <v>0</v>
      </c>
      <c r="I163" s="84">
        <f t="shared" ca="1" si="34"/>
        <v>0</v>
      </c>
      <c r="J163" s="84">
        <f ca="1">('Invoer gegevens'!$F$20/12)*F162*MIN(BA163,BC163)</f>
        <v>0</v>
      </c>
      <c r="K163" s="97">
        <f t="shared" ca="1" si="39"/>
        <v>0</v>
      </c>
      <c r="L163" s="84">
        <f ca="1">IF('Invoer gegevens'!$C$17=E163,0,IF(C163=1,Q162,0))</f>
        <v>0</v>
      </c>
      <c r="M163" s="96">
        <f t="shared" ca="1" si="35"/>
        <v>0</v>
      </c>
      <c r="N163" s="84">
        <f ca="1">(1-('Invoer gegevens'!$F$20/12))*L163*MIN(BA163,BC163)</f>
        <v>0</v>
      </c>
      <c r="O163" s="84">
        <f t="shared" ca="1" si="36"/>
        <v>0</v>
      </c>
      <c r="P163" s="84">
        <f ca="1">('Invoer gegevens'!$F$20/12)*L162*MIN(BA163,BC163)</f>
        <v>0</v>
      </c>
      <c r="Q163" s="84">
        <f t="shared" ca="1" si="40"/>
        <v>0</v>
      </c>
      <c r="R163" s="85">
        <f ca="1">IF('Invoer gegevens'!$C$17=E163,'Invoer gegevens'!$C$11,IF(C163=1,W162,0))</f>
        <v>0</v>
      </c>
      <c r="S163" s="86">
        <f t="shared" ca="1" si="37"/>
        <v>0</v>
      </c>
      <c r="T163" s="86">
        <f ca="1">(1-('Invoer gegevens'!$F$20/12))*R163*MIN(BC163,BA163)</f>
        <v>0</v>
      </c>
      <c r="U163" s="86">
        <f ca="1">IF(BD163&lt;1,IF(Reeksen!AD163&lt;=Reeksen!AE163,R163*Reeksen!C163,0),IF(BC163&gt;=BA163,0,IF(Reeksen!AD163&lt;=Reeksen!AE163,(BA163-BC163)*R163,0)))</f>
        <v>0</v>
      </c>
      <c r="V163" s="86">
        <f ca="1">IF(BD163&lt;1,IF(Reeksen!AD163&gt;Reeksen!AE163,R163*Reeksen!C163,0),IF(BC163&gt;=BA163,0,IF(Reeksen!AD163&gt;Reeksen!AE163,(BA163-BC163)*R163,0)))</f>
        <v>0</v>
      </c>
      <c r="W163" s="218">
        <f t="shared" ca="1" si="41"/>
        <v>0</v>
      </c>
      <c r="X163" s="98">
        <f ca="1">IF('Invoer gegevens'!$C$17=E163,'Invoer gegevens'!$C$10-'Invoer gegevens'!$C$11,IF(C163=1,AC162,0))</f>
        <v>0</v>
      </c>
      <c r="Y163" s="98">
        <f t="shared" ca="1" si="38"/>
        <v>0</v>
      </c>
      <c r="Z163" s="98">
        <f ca="1">(1-('Invoer gegevens'!$F$20/12))*X163*MIN(BA163,BC163)</f>
        <v>0</v>
      </c>
      <c r="AA163" s="98">
        <f ca="1">IF(BD163&lt;1,IF(Reeksen!AD163&lt;=Reeksen!AE163,X163*Reeksen!C163,0),IF(BC163&gt;=BA163,0,IF(Reeksen!AD163&lt;=Reeksen!AE163,(BA163-BC163)*X163,0)))</f>
        <v>0</v>
      </c>
      <c r="AB163" s="98">
        <f ca="1">IF(BD163&lt;1,IF(Reeksen!AD163&gt;Reeksen!AE163,X163*Reeksen!C163,0),IF(BC163&gt;=BA163,0,IF(Reeksen!AD163&gt;Reeksen!AE163,(BA163-BC163)*X163,0)))</f>
        <v>0</v>
      </c>
      <c r="AC163" s="99">
        <f t="shared" ca="1" si="42"/>
        <v>0</v>
      </c>
      <c r="AD163" s="98">
        <f ca="1">IF('Invoer gegevens'!$C$17=E163,R163,IF(C163=0,0,AE162))</f>
        <v>0</v>
      </c>
      <c r="AE163" s="98">
        <f t="shared" ca="1" si="43"/>
        <v>0</v>
      </c>
      <c r="AF163" s="98">
        <f ca="1">IF('Invoer gegevens'!$C$17=E163,X163,IF(C163=0,0,AG162))</f>
        <v>0</v>
      </c>
      <c r="AG163" s="98">
        <f t="shared" ca="1" si="44"/>
        <v>0</v>
      </c>
      <c r="AH163" s="66"/>
      <c r="AI163" s="71">
        <f ca="1">IF(C163=1,Reeksen!AI163*((F163+K163)/2)*12+Reeksen!AD163*((L163+Q163)/2)*12,0)</f>
        <v>0</v>
      </c>
      <c r="AJ163" s="71">
        <f ca="1">-AI163*'Invoer gegevens'!$F$28</f>
        <v>0</v>
      </c>
      <c r="AK163" s="71">
        <f t="shared" ca="1" si="45"/>
        <v>0</v>
      </c>
      <c r="AL163" s="71">
        <f ca="1">IF(C163=1,Reeksen!AL163*((F163-G163+F163)/2)*12+Reeksen!AM163*((L163-M163+L163)/2)*12,0)</f>
        <v>0</v>
      </c>
      <c r="AM163" s="71">
        <f ca="1">-AL163*'Invoer gegevens'!$F$31</f>
        <v>0</v>
      </c>
      <c r="AN163" s="71">
        <f t="shared" ca="1" si="46"/>
        <v>0</v>
      </c>
      <c r="AO163" s="71">
        <f ca="1">IF(C163=1,(H163+J163+N163+P163)*Reeksen!AN163,0)</f>
        <v>0</v>
      </c>
      <c r="AP163" s="71">
        <f ca="1">-IF(C163=1,(H163+J163+N163+P163)*'Hulp - basis'!$G$550*Reeksen!H163,0)</f>
        <v>0</v>
      </c>
      <c r="AQ163" s="71">
        <f ca="1">-IF(C163=1,(F163+K163+L163+Q163)/2*'Invoer gegevens'!$F$35*Reeksen!J163,0)*2</f>
        <v>0</v>
      </c>
      <c r="AR163" s="71">
        <f ca="1">IF(BD163&lt;1,-IF(C163=1,(G163*'Invoer gegevens'!$F$36)*Reeksen!J163,0),0)</f>
        <v>0</v>
      </c>
      <c r="AS163" s="71">
        <f ca="1">-IF(C163=1,(F163+K163+L163+Q163)/2*'Invoer gegevens'!$F$37*Reeksen!L163,0)</f>
        <v>0</v>
      </c>
      <c r="AT163" s="71">
        <f ca="1">-IF(C163=1,IF(E163='Invoer gegevens'!$C$17,'Invoer gegevens'!$C$11,AD163)*Reeksen!S163*'Invoer gegevens'!$C$18*Reeksen!P163,0)</f>
        <v>0</v>
      </c>
      <c r="AU163" s="71">
        <f ca="1">-IF(C163=1,(F163+K163+L163+Q163)/2*'Invoer gegevens'!$F$38*Reeksen!H163,0)</f>
        <v>0</v>
      </c>
      <c r="AV163" s="71">
        <f t="shared" si="50"/>
        <v>0</v>
      </c>
      <c r="AW163" s="71">
        <f t="shared" ca="1" si="47"/>
        <v>0</v>
      </c>
      <c r="AX163" s="71">
        <f ca="1">IF(E163&lt;'Invoer gegevens'!$C$17+15,0,IF(E163&gt;'Invoer gegevens'!$C$17+215,0,AW163))</f>
        <v>0</v>
      </c>
      <c r="AY163" s="71">
        <f ca="1">AX163/(1+'Invoer gegevens'!$F$18)^($AZ163-('Invoer gegevens'!$C$17-'Invoer gegevens'!$C$16))/(1+'Invoer gegevens'!$C$39)^('Invoer gegevens'!$C$17-'Invoer gegevens'!$C$16)</f>
        <v>0</v>
      </c>
      <c r="AZ163" s="68">
        <f ca="1">IF(E163-'Invoer gegevens'!$C$17-14.5&lt;0,0,E163-'Invoer gegevens'!$C$17-14.5)</f>
        <v>143.5</v>
      </c>
      <c r="BA163" s="109">
        <f ca="1">IFERROR(VLOOKUP(E163-15,Reeksen!$A$5:$D$234,2,FALSE),0)</f>
        <v>0</v>
      </c>
      <c r="BB163" s="109">
        <f ca="1">IFERROR(VLOOKUP(E163-15,Reeksen!$A$5:$D$234,3,FALSE),0)</f>
        <v>0</v>
      </c>
      <c r="BC163" s="109">
        <f ca="1">IFERROR(VLOOKUP(E163-15,Reeksen!$A$5:$D$234,4,FALSE),0)</f>
        <v>0</v>
      </c>
      <c r="BD163" s="67">
        <f ca="1">IF(E163-'Invoer gegevens'!$C$17&lt;15,0,1)</f>
        <v>1</v>
      </c>
    </row>
    <row r="164" spans="1:56" x14ac:dyDescent="0.25">
      <c r="A164" s="59"/>
      <c r="B164" s="70">
        <f t="shared" si="48"/>
        <v>160</v>
      </c>
      <c r="C164" s="67">
        <f ca="1">IF(E164-'Invoer gegevens'!$C$17&lt;0,0,1)</f>
        <v>1</v>
      </c>
      <c r="D164" s="68">
        <f t="shared" si="49"/>
        <v>159.5</v>
      </c>
      <c r="E164" s="108">
        <f ca="1">IF('Invoer gegevens'!$C$16="","",E163+1)</f>
        <v>2178</v>
      </c>
      <c r="F164" s="84">
        <f ca="1">IF('Invoer gegevens'!$C$17=E164,'Invoer gegevens'!$C$10,IF(C164=1,K163,0))</f>
        <v>0</v>
      </c>
      <c r="G164" s="96">
        <f ca="1">IF(BD164&lt;1,F164*Reeksen!C164,IF(C164&gt;=1,F164*BA164,0))</f>
        <v>0</v>
      </c>
      <c r="H164" s="84">
        <f ca="1">(1-('Invoer gegevens'!$F$20/12))*F164*MIN(BA164,BC164)</f>
        <v>0</v>
      </c>
      <c r="I164" s="84">
        <f t="shared" ca="1" si="34"/>
        <v>0</v>
      </c>
      <c r="J164" s="84">
        <f ca="1">('Invoer gegevens'!$F$20/12)*F163*MIN(BA164,BC164)</f>
        <v>0</v>
      </c>
      <c r="K164" s="97">
        <f t="shared" ca="1" si="39"/>
        <v>0</v>
      </c>
      <c r="L164" s="84">
        <f ca="1">IF('Invoer gegevens'!$C$17=E164,0,IF(C164=1,Q163,0))</f>
        <v>0</v>
      </c>
      <c r="M164" s="96">
        <f t="shared" ca="1" si="35"/>
        <v>0</v>
      </c>
      <c r="N164" s="84">
        <f ca="1">(1-('Invoer gegevens'!$F$20/12))*L164*MIN(BA164,BC164)</f>
        <v>0</v>
      </c>
      <c r="O164" s="84">
        <f t="shared" ca="1" si="36"/>
        <v>0</v>
      </c>
      <c r="P164" s="84">
        <f ca="1">('Invoer gegevens'!$F$20/12)*L163*MIN(BA164,BC164)</f>
        <v>0</v>
      </c>
      <c r="Q164" s="84">
        <f t="shared" ca="1" si="40"/>
        <v>0</v>
      </c>
      <c r="R164" s="85">
        <f ca="1">IF('Invoer gegevens'!$C$17=E164,'Invoer gegevens'!$C$11,IF(C164=1,W163,0))</f>
        <v>0</v>
      </c>
      <c r="S164" s="86">
        <f t="shared" ca="1" si="37"/>
        <v>0</v>
      </c>
      <c r="T164" s="86">
        <f ca="1">(1-('Invoer gegevens'!$F$20/12))*R164*MIN(BC164,BA164)</f>
        <v>0</v>
      </c>
      <c r="U164" s="86">
        <f ca="1">IF(BD164&lt;1,IF(Reeksen!AD164&lt;=Reeksen!AE164,R164*Reeksen!C164,0),IF(BC164&gt;=BA164,0,IF(Reeksen!AD164&lt;=Reeksen!AE164,(BA164-BC164)*R164,0)))</f>
        <v>0</v>
      </c>
      <c r="V164" s="86">
        <f ca="1">IF(BD164&lt;1,IF(Reeksen!AD164&gt;Reeksen!AE164,R164*Reeksen!C164,0),IF(BC164&gt;=BA164,0,IF(Reeksen!AD164&gt;Reeksen!AE164,(BA164-BC164)*R164,0)))</f>
        <v>0</v>
      </c>
      <c r="W164" s="218">
        <f t="shared" ca="1" si="41"/>
        <v>0</v>
      </c>
      <c r="X164" s="98">
        <f ca="1">IF('Invoer gegevens'!$C$17=E164,'Invoer gegevens'!$C$10-'Invoer gegevens'!$C$11,IF(C164=1,AC163,0))</f>
        <v>0</v>
      </c>
      <c r="Y164" s="98">
        <f t="shared" ca="1" si="38"/>
        <v>0</v>
      </c>
      <c r="Z164" s="98">
        <f ca="1">(1-('Invoer gegevens'!$F$20/12))*X164*MIN(BA164,BC164)</f>
        <v>0</v>
      </c>
      <c r="AA164" s="98">
        <f ca="1">IF(BD164&lt;1,IF(Reeksen!AD164&lt;=Reeksen!AE164,X164*Reeksen!C164,0),IF(BC164&gt;=BA164,0,IF(Reeksen!AD164&lt;=Reeksen!AE164,(BA164-BC164)*X164,0)))</f>
        <v>0</v>
      </c>
      <c r="AB164" s="98">
        <f ca="1">IF(BD164&lt;1,IF(Reeksen!AD164&gt;Reeksen!AE164,X164*Reeksen!C164,0),IF(BC164&gt;=BA164,0,IF(Reeksen!AD164&gt;Reeksen!AE164,(BA164-BC164)*X164,0)))</f>
        <v>0</v>
      </c>
      <c r="AC164" s="99">
        <f t="shared" ca="1" si="42"/>
        <v>0</v>
      </c>
      <c r="AD164" s="98">
        <f ca="1">IF('Invoer gegevens'!$C$17=E164,R164,IF(C164=0,0,AE163))</f>
        <v>0</v>
      </c>
      <c r="AE164" s="98">
        <f t="shared" ca="1" si="43"/>
        <v>0</v>
      </c>
      <c r="AF164" s="98">
        <f ca="1">IF('Invoer gegevens'!$C$17=E164,X164,IF(C164=0,0,AG163))</f>
        <v>0</v>
      </c>
      <c r="AG164" s="98">
        <f t="shared" ca="1" si="44"/>
        <v>0</v>
      </c>
      <c r="AH164" s="66"/>
      <c r="AI164" s="71">
        <f ca="1">IF(C164=1,Reeksen!AI164*((F164+K164)/2)*12+Reeksen!AD164*((L164+Q164)/2)*12,0)</f>
        <v>0</v>
      </c>
      <c r="AJ164" s="71">
        <f ca="1">-AI164*'Invoer gegevens'!$F$28</f>
        <v>0</v>
      </c>
      <c r="AK164" s="71">
        <f t="shared" ca="1" si="45"/>
        <v>0</v>
      </c>
      <c r="AL164" s="71">
        <f ca="1">IF(C164=1,Reeksen!AL164*((F164-G164+F164)/2)*12+Reeksen!AM164*((L164-M164+L164)/2)*12,0)</f>
        <v>0</v>
      </c>
      <c r="AM164" s="71">
        <f ca="1">-AL164*'Invoer gegevens'!$F$31</f>
        <v>0</v>
      </c>
      <c r="AN164" s="71">
        <f t="shared" ca="1" si="46"/>
        <v>0</v>
      </c>
      <c r="AO164" s="71">
        <f ca="1">IF(C164=1,(H164+J164+N164+P164)*Reeksen!AN164,0)</f>
        <v>0</v>
      </c>
      <c r="AP164" s="71">
        <f ca="1">-IF(C164=1,(H164+J164+N164+P164)*'Hulp - basis'!$G$550*Reeksen!H164,0)</f>
        <v>0</v>
      </c>
      <c r="AQ164" s="71">
        <f ca="1">-IF(C164=1,(F164+K164+L164+Q164)/2*'Invoer gegevens'!$F$35*Reeksen!J164,0)*2</f>
        <v>0</v>
      </c>
      <c r="AR164" s="71">
        <f ca="1">IF(BD164&lt;1,-IF(C164=1,(G164*'Invoer gegevens'!$F$36)*Reeksen!J164,0),0)</f>
        <v>0</v>
      </c>
      <c r="AS164" s="71">
        <f ca="1">-IF(C164=1,(F164+K164+L164+Q164)/2*'Invoer gegevens'!$F$37*Reeksen!L164,0)</f>
        <v>0</v>
      </c>
      <c r="AT164" s="71">
        <f ca="1">-IF(C164=1,IF(E164='Invoer gegevens'!$C$17,'Invoer gegevens'!$C$11,AD164)*Reeksen!S164*'Invoer gegevens'!$C$18*Reeksen!P164,0)</f>
        <v>0</v>
      </c>
      <c r="AU164" s="71">
        <f ca="1">-IF(C164=1,(F164+K164+L164+Q164)/2*'Invoer gegevens'!$F$38*Reeksen!H164,0)</f>
        <v>0</v>
      </c>
      <c r="AV164" s="71">
        <f t="shared" si="50"/>
        <v>0</v>
      </c>
      <c r="AW164" s="71">
        <f t="shared" ca="1" si="47"/>
        <v>0</v>
      </c>
      <c r="AX164" s="71">
        <f ca="1">IF(E164&lt;'Invoer gegevens'!$C$17+15,0,IF(E164&gt;'Invoer gegevens'!$C$17+215,0,AW164))</f>
        <v>0</v>
      </c>
      <c r="AY164" s="71">
        <f ca="1">AX164/(1+'Invoer gegevens'!$F$18)^($AZ164-('Invoer gegevens'!$C$17-'Invoer gegevens'!$C$16))/(1+'Invoer gegevens'!$C$39)^('Invoer gegevens'!$C$17-'Invoer gegevens'!$C$16)</f>
        <v>0</v>
      </c>
      <c r="AZ164" s="68">
        <f ca="1">IF(E164-'Invoer gegevens'!$C$17-14.5&lt;0,0,E164-'Invoer gegevens'!$C$17-14.5)</f>
        <v>144.5</v>
      </c>
      <c r="BA164" s="109">
        <f ca="1">IFERROR(VLOOKUP(E164-15,Reeksen!$A$5:$D$234,2,FALSE),0)</f>
        <v>0</v>
      </c>
      <c r="BB164" s="109">
        <f ca="1">IFERROR(VLOOKUP(E164-15,Reeksen!$A$5:$D$234,3,FALSE),0)</f>
        <v>0</v>
      </c>
      <c r="BC164" s="109">
        <f ca="1">IFERROR(VLOOKUP(E164-15,Reeksen!$A$5:$D$234,4,FALSE),0)</f>
        <v>0</v>
      </c>
      <c r="BD164" s="67">
        <f ca="1">IF(E164-'Invoer gegevens'!$C$17&lt;15,0,1)</f>
        <v>1</v>
      </c>
    </row>
    <row r="165" spans="1:56" x14ac:dyDescent="0.25">
      <c r="A165" s="59"/>
      <c r="B165" s="70">
        <f t="shared" si="48"/>
        <v>161</v>
      </c>
      <c r="C165" s="67">
        <f ca="1">IF(E165-'Invoer gegevens'!$C$17&lt;0,0,1)</f>
        <v>1</v>
      </c>
      <c r="D165" s="68">
        <f t="shared" si="49"/>
        <v>160.5</v>
      </c>
      <c r="E165" s="108">
        <f ca="1">IF('Invoer gegevens'!$C$16="","",E164+1)</f>
        <v>2179</v>
      </c>
      <c r="F165" s="84">
        <f ca="1">IF('Invoer gegevens'!$C$17=E165,'Invoer gegevens'!$C$10,IF(C165=1,K164,0))</f>
        <v>0</v>
      </c>
      <c r="G165" s="96">
        <f ca="1">IF(BD165&lt;1,F165*Reeksen!C165,IF(C165&gt;=1,F165*BA165,0))</f>
        <v>0</v>
      </c>
      <c r="H165" s="84">
        <f ca="1">(1-('Invoer gegevens'!$F$20/12))*F165*MIN(BA165,BC165)</f>
        <v>0</v>
      </c>
      <c r="I165" s="84">
        <f t="shared" ca="1" si="34"/>
        <v>0</v>
      </c>
      <c r="J165" s="84">
        <f ca="1">('Invoer gegevens'!$F$20/12)*F164*MIN(BA165,BC165)</f>
        <v>0</v>
      </c>
      <c r="K165" s="97">
        <f t="shared" ca="1" si="39"/>
        <v>0</v>
      </c>
      <c r="L165" s="84">
        <f ca="1">IF('Invoer gegevens'!$C$17=E165,0,IF(C165=1,Q164,0))</f>
        <v>0</v>
      </c>
      <c r="M165" s="96">
        <f t="shared" ca="1" si="35"/>
        <v>0</v>
      </c>
      <c r="N165" s="84">
        <f ca="1">(1-('Invoer gegevens'!$F$20/12))*L165*MIN(BA165,BC165)</f>
        <v>0</v>
      </c>
      <c r="O165" s="84">
        <f t="shared" ca="1" si="36"/>
        <v>0</v>
      </c>
      <c r="P165" s="84">
        <f ca="1">('Invoer gegevens'!$F$20/12)*L164*MIN(BA165,BC165)</f>
        <v>0</v>
      </c>
      <c r="Q165" s="84">
        <f t="shared" ca="1" si="40"/>
        <v>0</v>
      </c>
      <c r="R165" s="85">
        <f ca="1">IF('Invoer gegevens'!$C$17=E165,'Invoer gegevens'!$C$11,IF(C165=1,W164,0))</f>
        <v>0</v>
      </c>
      <c r="S165" s="86">
        <f t="shared" ca="1" si="37"/>
        <v>0</v>
      </c>
      <c r="T165" s="86">
        <f ca="1">(1-('Invoer gegevens'!$F$20/12))*R165*MIN(BC165,BA165)</f>
        <v>0</v>
      </c>
      <c r="U165" s="86">
        <f ca="1">IF(BD165&lt;1,IF(Reeksen!AD165&lt;=Reeksen!AE165,R165*Reeksen!C165,0),IF(BC165&gt;=BA165,0,IF(Reeksen!AD165&lt;=Reeksen!AE165,(BA165-BC165)*R165,0)))</f>
        <v>0</v>
      </c>
      <c r="V165" s="86">
        <f ca="1">IF(BD165&lt;1,IF(Reeksen!AD165&gt;Reeksen!AE165,R165*Reeksen!C165,0),IF(BC165&gt;=BA165,0,IF(Reeksen!AD165&gt;Reeksen!AE165,(BA165-BC165)*R165,0)))</f>
        <v>0</v>
      </c>
      <c r="W165" s="218">
        <f t="shared" ca="1" si="41"/>
        <v>0</v>
      </c>
      <c r="X165" s="98">
        <f ca="1">IF('Invoer gegevens'!$C$17=E165,'Invoer gegevens'!$C$10-'Invoer gegevens'!$C$11,IF(C165=1,AC164,0))</f>
        <v>0</v>
      </c>
      <c r="Y165" s="98">
        <f t="shared" ca="1" si="38"/>
        <v>0</v>
      </c>
      <c r="Z165" s="98">
        <f ca="1">(1-('Invoer gegevens'!$F$20/12))*X165*MIN(BA165,BC165)</f>
        <v>0</v>
      </c>
      <c r="AA165" s="98">
        <f ca="1">IF(BD165&lt;1,IF(Reeksen!AD165&lt;=Reeksen!AE165,X165*Reeksen!C165,0),IF(BC165&gt;=BA165,0,IF(Reeksen!AD165&lt;=Reeksen!AE165,(BA165-BC165)*X165,0)))</f>
        <v>0</v>
      </c>
      <c r="AB165" s="98">
        <f ca="1">IF(BD165&lt;1,IF(Reeksen!AD165&gt;Reeksen!AE165,X165*Reeksen!C165,0),IF(BC165&gt;=BA165,0,IF(Reeksen!AD165&gt;Reeksen!AE165,(BA165-BC165)*X165,0)))</f>
        <v>0</v>
      </c>
      <c r="AC165" s="99">
        <f t="shared" ca="1" si="42"/>
        <v>0</v>
      </c>
      <c r="AD165" s="98">
        <f ca="1">IF('Invoer gegevens'!$C$17=E165,R165,IF(C165=0,0,AE164))</f>
        <v>0</v>
      </c>
      <c r="AE165" s="98">
        <f t="shared" ca="1" si="43"/>
        <v>0</v>
      </c>
      <c r="AF165" s="98">
        <f ca="1">IF('Invoer gegevens'!$C$17=E165,X165,IF(C165=0,0,AG164))</f>
        <v>0</v>
      </c>
      <c r="AG165" s="98">
        <f t="shared" ca="1" si="44"/>
        <v>0</v>
      </c>
      <c r="AH165" s="66"/>
      <c r="AI165" s="71">
        <f ca="1">IF(C165=1,Reeksen!AI165*((F165+K165)/2)*12+Reeksen!AD165*((L165+Q165)/2)*12,0)</f>
        <v>0</v>
      </c>
      <c r="AJ165" s="71">
        <f ca="1">-AI165*'Invoer gegevens'!$F$28</f>
        <v>0</v>
      </c>
      <c r="AK165" s="71">
        <f t="shared" ca="1" si="45"/>
        <v>0</v>
      </c>
      <c r="AL165" s="71">
        <f ca="1">IF(C165=1,Reeksen!AL165*((F165-G165+F165)/2)*12+Reeksen!AM165*((L165-M165+L165)/2)*12,0)</f>
        <v>0</v>
      </c>
      <c r="AM165" s="71">
        <f ca="1">-AL165*'Invoer gegevens'!$F$31</f>
        <v>0</v>
      </c>
      <c r="AN165" s="71">
        <f t="shared" ca="1" si="46"/>
        <v>0</v>
      </c>
      <c r="AO165" s="71">
        <f ca="1">IF(C165=1,(H165+J165+N165+P165)*Reeksen!AN165,0)</f>
        <v>0</v>
      </c>
      <c r="AP165" s="71">
        <f ca="1">-IF(C165=1,(H165+J165+N165+P165)*'Hulp - basis'!$G$550*Reeksen!H165,0)</f>
        <v>0</v>
      </c>
      <c r="AQ165" s="71">
        <f ca="1">-IF(C165=1,(F165+K165+L165+Q165)/2*'Invoer gegevens'!$F$35*Reeksen!J165,0)*2</f>
        <v>0</v>
      </c>
      <c r="AR165" s="71">
        <f ca="1">IF(BD165&lt;1,-IF(C165=1,(G165*'Invoer gegevens'!$F$36)*Reeksen!J165,0),0)</f>
        <v>0</v>
      </c>
      <c r="AS165" s="71">
        <f ca="1">-IF(C165=1,(F165+K165+L165+Q165)/2*'Invoer gegevens'!$F$37*Reeksen!L165,0)</f>
        <v>0</v>
      </c>
      <c r="AT165" s="71">
        <f ca="1">-IF(C165=1,IF(E165='Invoer gegevens'!$C$17,'Invoer gegevens'!$C$11,AD165)*Reeksen!S165*'Invoer gegevens'!$C$18*Reeksen!P165,0)</f>
        <v>0</v>
      </c>
      <c r="AU165" s="71">
        <f ca="1">-IF(C165=1,(F165+K165+L165+Q165)/2*'Invoer gegevens'!$F$38*Reeksen!H165,0)</f>
        <v>0</v>
      </c>
      <c r="AV165" s="71">
        <f t="shared" si="50"/>
        <v>0</v>
      </c>
      <c r="AW165" s="71">
        <f t="shared" ca="1" si="47"/>
        <v>0</v>
      </c>
      <c r="AX165" s="71">
        <f ca="1">IF(E165&lt;'Invoer gegevens'!$C$17+15,0,IF(E165&gt;'Invoer gegevens'!$C$17+215,0,AW165))</f>
        <v>0</v>
      </c>
      <c r="AY165" s="71">
        <f ca="1">AX165/(1+'Invoer gegevens'!$F$18)^($AZ165-('Invoer gegevens'!$C$17-'Invoer gegevens'!$C$16))/(1+'Invoer gegevens'!$C$39)^('Invoer gegevens'!$C$17-'Invoer gegevens'!$C$16)</f>
        <v>0</v>
      </c>
      <c r="AZ165" s="68">
        <f ca="1">IF(E165-'Invoer gegevens'!$C$17-14.5&lt;0,0,E165-'Invoer gegevens'!$C$17-14.5)</f>
        <v>145.5</v>
      </c>
      <c r="BA165" s="109">
        <f ca="1">IFERROR(VLOOKUP(E165-15,Reeksen!$A$5:$D$234,2,FALSE),0)</f>
        <v>0</v>
      </c>
      <c r="BB165" s="109">
        <f ca="1">IFERROR(VLOOKUP(E165-15,Reeksen!$A$5:$D$234,3,FALSE),0)</f>
        <v>0</v>
      </c>
      <c r="BC165" s="109">
        <f ca="1">IFERROR(VLOOKUP(E165-15,Reeksen!$A$5:$D$234,4,FALSE),0)</f>
        <v>0</v>
      </c>
      <c r="BD165" s="67">
        <f ca="1">IF(E165-'Invoer gegevens'!$C$17&lt;15,0,1)</f>
        <v>1</v>
      </c>
    </row>
    <row r="166" spans="1:56" x14ac:dyDescent="0.25">
      <c r="A166" s="59"/>
      <c r="B166" s="70">
        <f t="shared" si="48"/>
        <v>162</v>
      </c>
      <c r="C166" s="67">
        <f ca="1">IF(E166-'Invoer gegevens'!$C$17&lt;0,0,1)</f>
        <v>1</v>
      </c>
      <c r="D166" s="68">
        <f t="shared" si="49"/>
        <v>161.5</v>
      </c>
      <c r="E166" s="108">
        <f ca="1">IF('Invoer gegevens'!$C$16="","",E165+1)</f>
        <v>2180</v>
      </c>
      <c r="F166" s="84">
        <f ca="1">IF('Invoer gegevens'!$C$17=E166,'Invoer gegevens'!$C$10,IF(C166=1,K165,0))</f>
        <v>0</v>
      </c>
      <c r="G166" s="96">
        <f ca="1">IF(BD166&lt;1,F166*Reeksen!C166,IF(C166&gt;=1,F166*BA166,0))</f>
        <v>0</v>
      </c>
      <c r="H166" s="84">
        <f ca="1">(1-('Invoer gegevens'!$F$20/12))*F166*MIN(BA166,BC166)</f>
        <v>0</v>
      </c>
      <c r="I166" s="84">
        <f t="shared" ca="1" si="34"/>
        <v>0</v>
      </c>
      <c r="J166" s="84">
        <f ca="1">('Invoer gegevens'!$F$20/12)*F165*MIN(BA166,BC166)</f>
        <v>0</v>
      </c>
      <c r="K166" s="97">
        <f t="shared" ca="1" si="39"/>
        <v>0</v>
      </c>
      <c r="L166" s="84">
        <f ca="1">IF('Invoer gegevens'!$C$17=E166,0,IF(C166=1,Q165,0))</f>
        <v>0</v>
      </c>
      <c r="M166" s="96">
        <f t="shared" ca="1" si="35"/>
        <v>0</v>
      </c>
      <c r="N166" s="84">
        <f ca="1">(1-('Invoer gegevens'!$F$20/12))*L166*MIN(BA166,BC166)</f>
        <v>0</v>
      </c>
      <c r="O166" s="84">
        <f t="shared" ca="1" si="36"/>
        <v>0</v>
      </c>
      <c r="P166" s="84">
        <f ca="1">('Invoer gegevens'!$F$20/12)*L165*MIN(BA166,BC166)</f>
        <v>0</v>
      </c>
      <c r="Q166" s="84">
        <f t="shared" ca="1" si="40"/>
        <v>0</v>
      </c>
      <c r="R166" s="85">
        <f ca="1">IF('Invoer gegevens'!$C$17=E166,'Invoer gegevens'!$C$11,IF(C166=1,W165,0))</f>
        <v>0</v>
      </c>
      <c r="S166" s="86">
        <f t="shared" ca="1" si="37"/>
        <v>0</v>
      </c>
      <c r="T166" s="86">
        <f ca="1">(1-('Invoer gegevens'!$F$20/12))*R166*MIN(BC166,BA166)</f>
        <v>0</v>
      </c>
      <c r="U166" s="86">
        <f ca="1">IF(BD166&lt;1,IF(Reeksen!AD166&lt;=Reeksen!AE166,R166*Reeksen!C166,0),IF(BC166&gt;=BA166,0,IF(Reeksen!AD166&lt;=Reeksen!AE166,(BA166-BC166)*R166,0)))</f>
        <v>0</v>
      </c>
      <c r="V166" s="86">
        <f ca="1">IF(BD166&lt;1,IF(Reeksen!AD166&gt;Reeksen!AE166,R166*Reeksen!C166,0),IF(BC166&gt;=BA166,0,IF(Reeksen!AD166&gt;Reeksen!AE166,(BA166-BC166)*R166,0)))</f>
        <v>0</v>
      </c>
      <c r="W166" s="218">
        <f t="shared" ca="1" si="41"/>
        <v>0</v>
      </c>
      <c r="X166" s="98">
        <f ca="1">IF('Invoer gegevens'!$C$17=E166,'Invoer gegevens'!$C$10-'Invoer gegevens'!$C$11,IF(C166=1,AC165,0))</f>
        <v>0</v>
      </c>
      <c r="Y166" s="98">
        <f t="shared" ca="1" si="38"/>
        <v>0</v>
      </c>
      <c r="Z166" s="98">
        <f ca="1">(1-('Invoer gegevens'!$F$20/12))*X166*MIN(BA166,BC166)</f>
        <v>0</v>
      </c>
      <c r="AA166" s="98">
        <f ca="1">IF(BD166&lt;1,IF(Reeksen!AD166&lt;=Reeksen!AE166,X166*Reeksen!C166,0),IF(BC166&gt;=BA166,0,IF(Reeksen!AD166&lt;=Reeksen!AE166,(BA166-BC166)*X166,0)))</f>
        <v>0</v>
      </c>
      <c r="AB166" s="98">
        <f ca="1">IF(BD166&lt;1,IF(Reeksen!AD166&gt;Reeksen!AE166,X166*Reeksen!C166,0),IF(BC166&gt;=BA166,0,IF(Reeksen!AD166&gt;Reeksen!AE166,(BA166-BC166)*X166,0)))</f>
        <v>0</v>
      </c>
      <c r="AC166" s="99">
        <f t="shared" ca="1" si="42"/>
        <v>0</v>
      </c>
      <c r="AD166" s="98">
        <f ca="1">IF('Invoer gegevens'!$C$17=E166,R166,IF(C166=0,0,AE165))</f>
        <v>0</v>
      </c>
      <c r="AE166" s="98">
        <f t="shared" ca="1" si="43"/>
        <v>0</v>
      </c>
      <c r="AF166" s="98">
        <f ca="1">IF('Invoer gegevens'!$C$17=E166,X166,IF(C166=0,0,AG165))</f>
        <v>0</v>
      </c>
      <c r="AG166" s="98">
        <f t="shared" ca="1" si="44"/>
        <v>0</v>
      </c>
      <c r="AH166" s="66"/>
      <c r="AI166" s="71">
        <f ca="1">IF(C166=1,Reeksen!AI166*((F166+K166)/2)*12+Reeksen!AD166*((L166+Q166)/2)*12,0)</f>
        <v>0</v>
      </c>
      <c r="AJ166" s="71">
        <f ca="1">-AI166*'Invoer gegevens'!$F$28</f>
        <v>0</v>
      </c>
      <c r="AK166" s="71">
        <f t="shared" ca="1" si="45"/>
        <v>0</v>
      </c>
      <c r="AL166" s="71">
        <f ca="1">IF(C166=1,Reeksen!AL166*((F166-G166+F166)/2)*12+Reeksen!AM166*((L166-M166+L166)/2)*12,0)</f>
        <v>0</v>
      </c>
      <c r="AM166" s="71">
        <f ca="1">-AL166*'Invoer gegevens'!$F$31</f>
        <v>0</v>
      </c>
      <c r="AN166" s="71">
        <f t="shared" ca="1" si="46"/>
        <v>0</v>
      </c>
      <c r="AO166" s="71">
        <f ca="1">IF(C166=1,(H166+J166+N166+P166)*Reeksen!AN166,0)</f>
        <v>0</v>
      </c>
      <c r="AP166" s="71">
        <f ca="1">-IF(C166=1,(H166+J166+N166+P166)*'Hulp - basis'!$G$550*Reeksen!H166,0)</f>
        <v>0</v>
      </c>
      <c r="AQ166" s="71">
        <f ca="1">-IF(C166=1,(F166+K166+L166+Q166)/2*'Invoer gegevens'!$F$35*Reeksen!J166,0)*2</f>
        <v>0</v>
      </c>
      <c r="AR166" s="71">
        <f ca="1">IF(BD166&lt;1,-IF(C166=1,(G166*'Invoer gegevens'!$F$36)*Reeksen!J166,0),0)</f>
        <v>0</v>
      </c>
      <c r="AS166" s="71">
        <f ca="1">-IF(C166=1,(F166+K166+L166+Q166)/2*'Invoer gegevens'!$F$37*Reeksen!L166,0)</f>
        <v>0</v>
      </c>
      <c r="AT166" s="71">
        <f ca="1">-IF(C166=1,IF(E166='Invoer gegevens'!$C$17,'Invoer gegevens'!$C$11,AD166)*Reeksen!S166*'Invoer gegevens'!$C$18*Reeksen!P166,0)</f>
        <v>0</v>
      </c>
      <c r="AU166" s="71">
        <f ca="1">-IF(C166=1,(F166+K166+L166+Q166)/2*'Invoer gegevens'!$F$38*Reeksen!H166,0)</f>
        <v>0</v>
      </c>
      <c r="AV166" s="71">
        <f t="shared" si="50"/>
        <v>0</v>
      </c>
      <c r="AW166" s="71">
        <f t="shared" ca="1" si="47"/>
        <v>0</v>
      </c>
      <c r="AX166" s="71">
        <f ca="1">IF(E166&lt;'Invoer gegevens'!$C$17+15,0,IF(E166&gt;'Invoer gegevens'!$C$17+215,0,AW166))</f>
        <v>0</v>
      </c>
      <c r="AY166" s="71">
        <f ca="1">AX166/(1+'Invoer gegevens'!$F$18)^($AZ166-('Invoer gegevens'!$C$17-'Invoer gegevens'!$C$16))/(1+'Invoer gegevens'!$C$39)^('Invoer gegevens'!$C$17-'Invoer gegevens'!$C$16)</f>
        <v>0</v>
      </c>
      <c r="AZ166" s="68">
        <f ca="1">IF(E166-'Invoer gegevens'!$C$17-14.5&lt;0,0,E166-'Invoer gegevens'!$C$17-14.5)</f>
        <v>146.5</v>
      </c>
      <c r="BA166" s="109">
        <f ca="1">IFERROR(VLOOKUP(E166-15,Reeksen!$A$5:$D$234,2,FALSE),0)</f>
        <v>0</v>
      </c>
      <c r="BB166" s="109">
        <f ca="1">IFERROR(VLOOKUP(E166-15,Reeksen!$A$5:$D$234,3,FALSE),0)</f>
        <v>0</v>
      </c>
      <c r="BC166" s="109">
        <f ca="1">IFERROR(VLOOKUP(E166-15,Reeksen!$A$5:$D$234,4,FALSE),0)</f>
        <v>0</v>
      </c>
      <c r="BD166" s="67">
        <f ca="1">IF(E166-'Invoer gegevens'!$C$17&lt;15,0,1)</f>
        <v>1</v>
      </c>
    </row>
    <row r="167" spans="1:56" x14ac:dyDescent="0.25">
      <c r="A167" s="59"/>
      <c r="B167" s="70">
        <f t="shared" si="48"/>
        <v>163</v>
      </c>
      <c r="C167" s="67">
        <f ca="1">IF(E167-'Invoer gegevens'!$C$17&lt;0,0,1)</f>
        <v>1</v>
      </c>
      <c r="D167" s="68">
        <f t="shared" si="49"/>
        <v>162.5</v>
      </c>
      <c r="E167" s="108">
        <f ca="1">IF('Invoer gegevens'!$C$16="","",E166+1)</f>
        <v>2181</v>
      </c>
      <c r="F167" s="84">
        <f ca="1">IF('Invoer gegevens'!$C$17=E167,'Invoer gegevens'!$C$10,IF(C167=1,K166,0))</f>
        <v>0</v>
      </c>
      <c r="G167" s="96">
        <f ca="1">IF(BD167&lt;1,F167*Reeksen!C167,IF(C167&gt;=1,F167*BA167,0))</f>
        <v>0</v>
      </c>
      <c r="H167" s="84">
        <f ca="1">(1-('Invoer gegevens'!$F$20/12))*F167*MIN(BA167,BC167)</f>
        <v>0</v>
      </c>
      <c r="I167" s="84">
        <f t="shared" ca="1" si="34"/>
        <v>0</v>
      </c>
      <c r="J167" s="84">
        <f ca="1">('Invoer gegevens'!$F$20/12)*F166*MIN(BA167,BC167)</f>
        <v>0</v>
      </c>
      <c r="K167" s="97">
        <f t="shared" ca="1" si="39"/>
        <v>0</v>
      </c>
      <c r="L167" s="84">
        <f ca="1">IF('Invoer gegevens'!$C$17=E167,0,IF(C167=1,Q166,0))</f>
        <v>0</v>
      </c>
      <c r="M167" s="96">
        <f t="shared" ca="1" si="35"/>
        <v>0</v>
      </c>
      <c r="N167" s="84">
        <f ca="1">(1-('Invoer gegevens'!$F$20/12))*L167*MIN(BA167,BC167)</f>
        <v>0</v>
      </c>
      <c r="O167" s="84">
        <f t="shared" ca="1" si="36"/>
        <v>0</v>
      </c>
      <c r="P167" s="84">
        <f ca="1">('Invoer gegevens'!$F$20/12)*L166*MIN(BA167,BC167)</f>
        <v>0</v>
      </c>
      <c r="Q167" s="84">
        <f t="shared" ca="1" si="40"/>
        <v>0</v>
      </c>
      <c r="R167" s="85">
        <f ca="1">IF('Invoer gegevens'!$C$17=E167,'Invoer gegevens'!$C$11,IF(C167=1,W166,0))</f>
        <v>0</v>
      </c>
      <c r="S167" s="86">
        <f t="shared" ca="1" si="37"/>
        <v>0</v>
      </c>
      <c r="T167" s="86">
        <f ca="1">(1-('Invoer gegevens'!$F$20/12))*R167*MIN(BC167,BA167)</f>
        <v>0</v>
      </c>
      <c r="U167" s="86">
        <f ca="1">IF(BD167&lt;1,IF(Reeksen!AD167&lt;=Reeksen!AE167,R167*Reeksen!C167,0),IF(BC167&gt;=BA167,0,IF(Reeksen!AD167&lt;=Reeksen!AE167,(BA167-BC167)*R167,0)))</f>
        <v>0</v>
      </c>
      <c r="V167" s="86">
        <f ca="1">IF(BD167&lt;1,IF(Reeksen!AD167&gt;Reeksen!AE167,R167*Reeksen!C167,0),IF(BC167&gt;=BA167,0,IF(Reeksen!AD167&gt;Reeksen!AE167,(BA167-BC167)*R167,0)))</f>
        <v>0</v>
      </c>
      <c r="W167" s="218">
        <f t="shared" ca="1" si="41"/>
        <v>0</v>
      </c>
      <c r="X167" s="98">
        <f ca="1">IF('Invoer gegevens'!$C$17=E167,'Invoer gegevens'!$C$10-'Invoer gegevens'!$C$11,IF(C167=1,AC166,0))</f>
        <v>0</v>
      </c>
      <c r="Y167" s="98">
        <f t="shared" ca="1" si="38"/>
        <v>0</v>
      </c>
      <c r="Z167" s="98">
        <f ca="1">(1-('Invoer gegevens'!$F$20/12))*X167*MIN(BA167,BC167)</f>
        <v>0</v>
      </c>
      <c r="AA167" s="98">
        <f ca="1">IF(BD167&lt;1,IF(Reeksen!AD167&lt;=Reeksen!AE167,X167*Reeksen!C167,0),IF(BC167&gt;=BA167,0,IF(Reeksen!AD167&lt;=Reeksen!AE167,(BA167-BC167)*X167,0)))</f>
        <v>0</v>
      </c>
      <c r="AB167" s="98">
        <f ca="1">IF(BD167&lt;1,IF(Reeksen!AD167&gt;Reeksen!AE167,X167*Reeksen!C167,0),IF(BC167&gt;=BA167,0,IF(Reeksen!AD167&gt;Reeksen!AE167,(BA167-BC167)*X167,0)))</f>
        <v>0</v>
      </c>
      <c r="AC167" s="99">
        <f t="shared" ca="1" si="42"/>
        <v>0</v>
      </c>
      <c r="AD167" s="98">
        <f ca="1">IF('Invoer gegevens'!$C$17=E167,R167,IF(C167=0,0,AE166))</f>
        <v>0</v>
      </c>
      <c r="AE167" s="98">
        <f t="shared" ca="1" si="43"/>
        <v>0</v>
      </c>
      <c r="AF167" s="98">
        <f ca="1">IF('Invoer gegevens'!$C$17=E167,X167,IF(C167=0,0,AG166))</f>
        <v>0</v>
      </c>
      <c r="AG167" s="98">
        <f t="shared" ca="1" si="44"/>
        <v>0</v>
      </c>
      <c r="AH167" s="66"/>
      <c r="AI167" s="71">
        <f ca="1">IF(C167=1,Reeksen!AI167*((F167+K167)/2)*12+Reeksen!AD167*((L167+Q167)/2)*12,0)</f>
        <v>0</v>
      </c>
      <c r="AJ167" s="71">
        <f ca="1">-AI167*'Invoer gegevens'!$F$28</f>
        <v>0</v>
      </c>
      <c r="AK167" s="71">
        <f t="shared" ca="1" si="45"/>
        <v>0</v>
      </c>
      <c r="AL167" s="71">
        <f ca="1">IF(C167=1,Reeksen!AL167*((F167-G167+F167)/2)*12+Reeksen!AM167*((L167-M167+L167)/2)*12,0)</f>
        <v>0</v>
      </c>
      <c r="AM167" s="71">
        <f ca="1">-AL167*'Invoer gegevens'!$F$31</f>
        <v>0</v>
      </c>
      <c r="AN167" s="71">
        <f t="shared" ca="1" si="46"/>
        <v>0</v>
      </c>
      <c r="AO167" s="71">
        <f ca="1">IF(C167=1,(H167+J167+N167+P167)*Reeksen!AN167,0)</f>
        <v>0</v>
      </c>
      <c r="AP167" s="71">
        <f ca="1">-IF(C167=1,(H167+J167+N167+P167)*'Hulp - basis'!$G$550*Reeksen!H167,0)</f>
        <v>0</v>
      </c>
      <c r="AQ167" s="71">
        <f ca="1">-IF(C167=1,(F167+K167+L167+Q167)/2*'Invoer gegevens'!$F$35*Reeksen!J167,0)*2</f>
        <v>0</v>
      </c>
      <c r="AR167" s="71">
        <f ca="1">IF(BD167&lt;1,-IF(C167=1,(G167*'Invoer gegevens'!$F$36)*Reeksen!J167,0),0)</f>
        <v>0</v>
      </c>
      <c r="AS167" s="71">
        <f ca="1">-IF(C167=1,(F167+K167+L167+Q167)/2*'Invoer gegevens'!$F$37*Reeksen!L167,0)</f>
        <v>0</v>
      </c>
      <c r="AT167" s="71">
        <f ca="1">-IF(C167=1,IF(E167='Invoer gegevens'!$C$17,'Invoer gegevens'!$C$11,AD167)*Reeksen!S167*'Invoer gegevens'!$C$18*Reeksen!P167,0)</f>
        <v>0</v>
      </c>
      <c r="AU167" s="71">
        <f ca="1">-IF(C167=1,(F167+K167+L167+Q167)/2*'Invoer gegevens'!$F$38*Reeksen!H167,0)</f>
        <v>0</v>
      </c>
      <c r="AV167" s="71">
        <f t="shared" si="50"/>
        <v>0</v>
      </c>
      <c r="AW167" s="71">
        <f t="shared" ca="1" si="47"/>
        <v>0</v>
      </c>
      <c r="AX167" s="71">
        <f ca="1">IF(E167&lt;'Invoer gegevens'!$C$17+15,0,IF(E167&gt;'Invoer gegevens'!$C$17+215,0,AW167))</f>
        <v>0</v>
      </c>
      <c r="AY167" s="71">
        <f ca="1">AX167/(1+'Invoer gegevens'!$F$18)^($AZ167-('Invoer gegevens'!$C$17-'Invoer gegevens'!$C$16))/(1+'Invoer gegevens'!$C$39)^('Invoer gegevens'!$C$17-'Invoer gegevens'!$C$16)</f>
        <v>0</v>
      </c>
      <c r="AZ167" s="68">
        <f ca="1">IF(E167-'Invoer gegevens'!$C$17-14.5&lt;0,0,E167-'Invoer gegevens'!$C$17-14.5)</f>
        <v>147.5</v>
      </c>
      <c r="BA167" s="109">
        <f ca="1">IFERROR(VLOOKUP(E167-15,Reeksen!$A$5:$D$234,2,FALSE),0)</f>
        <v>0</v>
      </c>
      <c r="BB167" s="109">
        <f ca="1">IFERROR(VLOOKUP(E167-15,Reeksen!$A$5:$D$234,3,FALSE),0)</f>
        <v>0</v>
      </c>
      <c r="BC167" s="109">
        <f ca="1">IFERROR(VLOOKUP(E167-15,Reeksen!$A$5:$D$234,4,FALSE),0)</f>
        <v>0</v>
      </c>
      <c r="BD167" s="67">
        <f ca="1">IF(E167-'Invoer gegevens'!$C$17&lt;15,0,1)</f>
        <v>1</v>
      </c>
    </row>
    <row r="168" spans="1:56" x14ac:dyDescent="0.25">
      <c r="A168" s="59"/>
      <c r="B168" s="70">
        <f t="shared" si="48"/>
        <v>164</v>
      </c>
      <c r="C168" s="67">
        <f ca="1">IF(E168-'Invoer gegevens'!$C$17&lt;0,0,1)</f>
        <v>1</v>
      </c>
      <c r="D168" s="68">
        <f t="shared" si="49"/>
        <v>163.5</v>
      </c>
      <c r="E168" s="108">
        <f ca="1">IF('Invoer gegevens'!$C$16="","",E167+1)</f>
        <v>2182</v>
      </c>
      <c r="F168" s="84">
        <f ca="1">IF('Invoer gegevens'!$C$17=E168,'Invoer gegevens'!$C$10,IF(C168=1,K167,0))</f>
        <v>0</v>
      </c>
      <c r="G168" s="96">
        <f ca="1">IF(BD168&lt;1,F168*Reeksen!C168,IF(C168&gt;=1,F168*BA168,0))</f>
        <v>0</v>
      </c>
      <c r="H168" s="84">
        <f ca="1">(1-('Invoer gegevens'!$F$20/12))*F168*MIN(BA168,BC168)</f>
        <v>0</v>
      </c>
      <c r="I168" s="84">
        <f t="shared" ca="1" si="34"/>
        <v>0</v>
      </c>
      <c r="J168" s="84">
        <f ca="1">('Invoer gegevens'!$F$20/12)*F167*MIN(BA168,BC168)</f>
        <v>0</v>
      </c>
      <c r="K168" s="97">
        <f t="shared" ca="1" si="39"/>
        <v>0</v>
      </c>
      <c r="L168" s="84">
        <f ca="1">IF('Invoer gegevens'!$C$17=E168,0,IF(C168=1,Q167,0))</f>
        <v>0</v>
      </c>
      <c r="M168" s="96">
        <f t="shared" ca="1" si="35"/>
        <v>0</v>
      </c>
      <c r="N168" s="84">
        <f ca="1">(1-('Invoer gegevens'!$F$20/12))*L168*MIN(BA168,BC168)</f>
        <v>0</v>
      </c>
      <c r="O168" s="84">
        <f t="shared" ca="1" si="36"/>
        <v>0</v>
      </c>
      <c r="P168" s="84">
        <f ca="1">('Invoer gegevens'!$F$20/12)*L167*MIN(BA168,BC168)</f>
        <v>0</v>
      </c>
      <c r="Q168" s="84">
        <f t="shared" ca="1" si="40"/>
        <v>0</v>
      </c>
      <c r="R168" s="85">
        <f ca="1">IF('Invoer gegevens'!$C$17=E168,'Invoer gegevens'!$C$11,IF(C168=1,W167,0))</f>
        <v>0</v>
      </c>
      <c r="S168" s="86">
        <f t="shared" ca="1" si="37"/>
        <v>0</v>
      </c>
      <c r="T168" s="86">
        <f ca="1">(1-('Invoer gegevens'!$F$20/12))*R168*MIN(BC168,BA168)</f>
        <v>0</v>
      </c>
      <c r="U168" s="86">
        <f ca="1">IF(BD168&lt;1,IF(Reeksen!AD168&lt;=Reeksen!AE168,R168*Reeksen!C168,0),IF(BC168&gt;=BA168,0,IF(Reeksen!AD168&lt;=Reeksen!AE168,(BA168-BC168)*R168,0)))</f>
        <v>0</v>
      </c>
      <c r="V168" s="86">
        <f ca="1">IF(BD168&lt;1,IF(Reeksen!AD168&gt;Reeksen!AE168,R168*Reeksen!C168,0),IF(BC168&gt;=BA168,0,IF(Reeksen!AD168&gt;Reeksen!AE168,(BA168-BC168)*R168,0)))</f>
        <v>0</v>
      </c>
      <c r="W168" s="218">
        <f t="shared" ca="1" si="41"/>
        <v>0</v>
      </c>
      <c r="X168" s="98">
        <f ca="1">IF('Invoer gegevens'!$C$17=E168,'Invoer gegevens'!$C$10-'Invoer gegevens'!$C$11,IF(C168=1,AC167,0))</f>
        <v>0</v>
      </c>
      <c r="Y168" s="98">
        <f t="shared" ca="1" si="38"/>
        <v>0</v>
      </c>
      <c r="Z168" s="98">
        <f ca="1">(1-('Invoer gegevens'!$F$20/12))*X168*MIN(BA168,BC168)</f>
        <v>0</v>
      </c>
      <c r="AA168" s="98">
        <f ca="1">IF(BD168&lt;1,IF(Reeksen!AD168&lt;=Reeksen!AE168,X168*Reeksen!C168,0),IF(BC168&gt;=BA168,0,IF(Reeksen!AD168&lt;=Reeksen!AE168,(BA168-BC168)*X168,0)))</f>
        <v>0</v>
      </c>
      <c r="AB168" s="98">
        <f ca="1">IF(BD168&lt;1,IF(Reeksen!AD168&gt;Reeksen!AE168,X168*Reeksen!C168,0),IF(BC168&gt;=BA168,0,IF(Reeksen!AD168&gt;Reeksen!AE168,(BA168-BC168)*X168,0)))</f>
        <v>0</v>
      </c>
      <c r="AC168" s="99">
        <f t="shared" ca="1" si="42"/>
        <v>0</v>
      </c>
      <c r="AD168" s="98">
        <f ca="1">IF('Invoer gegevens'!$C$17=E168,R168,IF(C168=0,0,AE167))</f>
        <v>0</v>
      </c>
      <c r="AE168" s="98">
        <f t="shared" ca="1" si="43"/>
        <v>0</v>
      </c>
      <c r="AF168" s="98">
        <f ca="1">IF('Invoer gegevens'!$C$17=E168,X168,IF(C168=0,0,AG167))</f>
        <v>0</v>
      </c>
      <c r="AG168" s="98">
        <f t="shared" ca="1" si="44"/>
        <v>0</v>
      </c>
      <c r="AH168" s="66"/>
      <c r="AI168" s="71">
        <f ca="1">IF(C168=1,Reeksen!AI168*((F168+K168)/2)*12+Reeksen!AD168*((L168+Q168)/2)*12,0)</f>
        <v>0</v>
      </c>
      <c r="AJ168" s="71">
        <f ca="1">-AI168*'Invoer gegevens'!$F$28</f>
        <v>0</v>
      </c>
      <c r="AK168" s="71">
        <f t="shared" ca="1" si="45"/>
        <v>0</v>
      </c>
      <c r="AL168" s="71">
        <f ca="1">IF(C168=1,Reeksen!AL168*((F168-G168+F168)/2)*12+Reeksen!AM168*((L168-M168+L168)/2)*12,0)</f>
        <v>0</v>
      </c>
      <c r="AM168" s="71">
        <f ca="1">-AL168*'Invoer gegevens'!$F$31</f>
        <v>0</v>
      </c>
      <c r="AN168" s="71">
        <f t="shared" ca="1" si="46"/>
        <v>0</v>
      </c>
      <c r="AO168" s="71">
        <f ca="1">IF(C168=1,(H168+J168+N168+P168)*Reeksen!AN168,0)</f>
        <v>0</v>
      </c>
      <c r="AP168" s="71">
        <f ca="1">-IF(C168=1,(H168+J168+N168+P168)*'Hulp - basis'!$G$550*Reeksen!H168,0)</f>
        <v>0</v>
      </c>
      <c r="AQ168" s="71">
        <f ca="1">-IF(C168=1,(F168+K168+L168+Q168)/2*'Invoer gegevens'!$F$35*Reeksen!J168,0)*2</f>
        <v>0</v>
      </c>
      <c r="AR168" s="71">
        <f ca="1">IF(BD168&lt;1,-IF(C168=1,(G168*'Invoer gegevens'!$F$36)*Reeksen!J168,0),0)</f>
        <v>0</v>
      </c>
      <c r="AS168" s="71">
        <f ca="1">-IF(C168=1,(F168+K168+L168+Q168)/2*'Invoer gegevens'!$F$37*Reeksen!L168,0)</f>
        <v>0</v>
      </c>
      <c r="AT168" s="71">
        <f ca="1">-IF(C168=1,IF(E168='Invoer gegevens'!$C$17,'Invoer gegevens'!$C$11,AD168)*Reeksen!S168*'Invoer gegevens'!$C$18*Reeksen!P168,0)</f>
        <v>0</v>
      </c>
      <c r="AU168" s="71">
        <f ca="1">-IF(C168=1,(F168+K168+L168+Q168)/2*'Invoer gegevens'!$F$38*Reeksen!H168,0)</f>
        <v>0</v>
      </c>
      <c r="AV168" s="71">
        <f t="shared" si="50"/>
        <v>0</v>
      </c>
      <c r="AW168" s="71">
        <f t="shared" ca="1" si="47"/>
        <v>0</v>
      </c>
      <c r="AX168" s="71">
        <f ca="1">IF(E168&lt;'Invoer gegevens'!$C$17+15,0,IF(E168&gt;'Invoer gegevens'!$C$17+215,0,AW168))</f>
        <v>0</v>
      </c>
      <c r="AY168" s="71">
        <f ca="1">AX168/(1+'Invoer gegevens'!$F$18)^($AZ168-('Invoer gegevens'!$C$17-'Invoer gegevens'!$C$16))/(1+'Invoer gegevens'!$C$39)^('Invoer gegevens'!$C$17-'Invoer gegevens'!$C$16)</f>
        <v>0</v>
      </c>
      <c r="AZ168" s="68">
        <f ca="1">IF(E168-'Invoer gegevens'!$C$17-14.5&lt;0,0,E168-'Invoer gegevens'!$C$17-14.5)</f>
        <v>148.5</v>
      </c>
      <c r="BA168" s="109">
        <f ca="1">IFERROR(VLOOKUP(E168-15,Reeksen!$A$5:$D$234,2,FALSE),0)</f>
        <v>0</v>
      </c>
      <c r="BB168" s="109">
        <f ca="1">IFERROR(VLOOKUP(E168-15,Reeksen!$A$5:$D$234,3,FALSE),0)</f>
        <v>0</v>
      </c>
      <c r="BC168" s="109">
        <f ca="1">IFERROR(VLOOKUP(E168-15,Reeksen!$A$5:$D$234,4,FALSE),0)</f>
        <v>0</v>
      </c>
      <c r="BD168" s="67">
        <f ca="1">IF(E168-'Invoer gegevens'!$C$17&lt;15,0,1)</f>
        <v>1</v>
      </c>
    </row>
    <row r="169" spans="1:56" x14ac:dyDescent="0.25">
      <c r="A169" s="59"/>
      <c r="B169" s="70">
        <f t="shared" si="48"/>
        <v>165</v>
      </c>
      <c r="C169" s="67">
        <f ca="1">IF(E169-'Invoer gegevens'!$C$17&lt;0,0,1)</f>
        <v>1</v>
      </c>
      <c r="D169" s="68">
        <f t="shared" si="49"/>
        <v>164.5</v>
      </c>
      <c r="E169" s="108">
        <f ca="1">IF('Invoer gegevens'!$C$16="","",E168+1)</f>
        <v>2183</v>
      </c>
      <c r="F169" s="84">
        <f ca="1">IF('Invoer gegevens'!$C$17=E169,'Invoer gegevens'!$C$10,IF(C169=1,K168,0))</f>
        <v>0</v>
      </c>
      <c r="G169" s="96">
        <f ca="1">IF(BD169&lt;1,F169*Reeksen!C169,IF(C169&gt;=1,F169*BA169,0))</f>
        <v>0</v>
      </c>
      <c r="H169" s="84">
        <f ca="1">(1-('Invoer gegevens'!$F$20/12))*F169*MIN(BA169,BC169)</f>
        <v>0</v>
      </c>
      <c r="I169" s="84">
        <f t="shared" ca="1" si="34"/>
        <v>0</v>
      </c>
      <c r="J169" s="84">
        <f ca="1">('Invoer gegevens'!$F$20/12)*F168*MIN(BA169,BC169)</f>
        <v>0</v>
      </c>
      <c r="K169" s="97">
        <f t="shared" ca="1" si="39"/>
        <v>0</v>
      </c>
      <c r="L169" s="84">
        <f ca="1">IF('Invoer gegevens'!$C$17=E169,0,IF(C169=1,Q168,0))</f>
        <v>0</v>
      </c>
      <c r="M169" s="96">
        <f t="shared" ca="1" si="35"/>
        <v>0</v>
      </c>
      <c r="N169" s="84">
        <f ca="1">(1-('Invoer gegevens'!$F$20/12))*L169*MIN(BA169,BC169)</f>
        <v>0</v>
      </c>
      <c r="O169" s="84">
        <f t="shared" ca="1" si="36"/>
        <v>0</v>
      </c>
      <c r="P169" s="84">
        <f ca="1">('Invoer gegevens'!$F$20/12)*L168*MIN(BA169,BC169)</f>
        <v>0</v>
      </c>
      <c r="Q169" s="84">
        <f t="shared" ca="1" si="40"/>
        <v>0</v>
      </c>
      <c r="R169" s="85">
        <f ca="1">IF('Invoer gegevens'!$C$17=E169,'Invoer gegevens'!$C$11,IF(C169=1,W168,0))</f>
        <v>0</v>
      </c>
      <c r="S169" s="86">
        <f t="shared" ca="1" si="37"/>
        <v>0</v>
      </c>
      <c r="T169" s="86">
        <f ca="1">(1-('Invoer gegevens'!$F$20/12))*R169*MIN(BC169,BA169)</f>
        <v>0</v>
      </c>
      <c r="U169" s="86">
        <f ca="1">IF(BD169&lt;1,IF(Reeksen!AD169&lt;=Reeksen!AE169,R169*Reeksen!C169,0),IF(BC169&gt;=BA169,0,IF(Reeksen!AD169&lt;=Reeksen!AE169,(BA169-BC169)*R169,0)))</f>
        <v>0</v>
      </c>
      <c r="V169" s="86">
        <f ca="1">IF(BD169&lt;1,IF(Reeksen!AD169&gt;Reeksen!AE169,R169*Reeksen!C169,0),IF(BC169&gt;=BA169,0,IF(Reeksen!AD169&gt;Reeksen!AE169,(BA169-BC169)*R169,0)))</f>
        <v>0</v>
      </c>
      <c r="W169" s="218">
        <f t="shared" ca="1" si="41"/>
        <v>0</v>
      </c>
      <c r="X169" s="98">
        <f ca="1">IF('Invoer gegevens'!$C$17=E169,'Invoer gegevens'!$C$10-'Invoer gegevens'!$C$11,IF(C169=1,AC168,0))</f>
        <v>0</v>
      </c>
      <c r="Y169" s="98">
        <f t="shared" ca="1" si="38"/>
        <v>0</v>
      </c>
      <c r="Z169" s="98">
        <f ca="1">(1-('Invoer gegevens'!$F$20/12))*X169*MIN(BA169,BC169)</f>
        <v>0</v>
      </c>
      <c r="AA169" s="98">
        <f ca="1">IF(BD169&lt;1,IF(Reeksen!AD169&lt;=Reeksen!AE169,X169*Reeksen!C169,0),IF(BC169&gt;=BA169,0,IF(Reeksen!AD169&lt;=Reeksen!AE169,(BA169-BC169)*X169,0)))</f>
        <v>0</v>
      </c>
      <c r="AB169" s="98">
        <f ca="1">IF(BD169&lt;1,IF(Reeksen!AD169&gt;Reeksen!AE169,X169*Reeksen!C169,0),IF(BC169&gt;=BA169,0,IF(Reeksen!AD169&gt;Reeksen!AE169,(BA169-BC169)*X169,0)))</f>
        <v>0</v>
      </c>
      <c r="AC169" s="99">
        <f t="shared" ca="1" si="42"/>
        <v>0</v>
      </c>
      <c r="AD169" s="98">
        <f ca="1">IF('Invoer gegevens'!$C$17=E169,R169,IF(C169=0,0,AE168))</f>
        <v>0</v>
      </c>
      <c r="AE169" s="98">
        <f t="shared" ca="1" si="43"/>
        <v>0</v>
      </c>
      <c r="AF169" s="98">
        <f ca="1">IF('Invoer gegevens'!$C$17=E169,X169,IF(C169=0,0,AG168))</f>
        <v>0</v>
      </c>
      <c r="AG169" s="98">
        <f t="shared" ca="1" si="44"/>
        <v>0</v>
      </c>
      <c r="AH169" s="66"/>
      <c r="AI169" s="71">
        <f ca="1">IF(C169=1,Reeksen!AI169*((F169+K169)/2)*12+Reeksen!AD169*((L169+Q169)/2)*12,0)</f>
        <v>0</v>
      </c>
      <c r="AJ169" s="71">
        <f ca="1">-AI169*'Invoer gegevens'!$F$28</f>
        <v>0</v>
      </c>
      <c r="AK169" s="71">
        <f t="shared" ca="1" si="45"/>
        <v>0</v>
      </c>
      <c r="AL169" s="71">
        <f ca="1">IF(C169=1,Reeksen!AL169*((F169-G169+F169)/2)*12+Reeksen!AM169*((L169-M169+L169)/2)*12,0)</f>
        <v>0</v>
      </c>
      <c r="AM169" s="71">
        <f ca="1">-AL169*'Invoer gegevens'!$F$31</f>
        <v>0</v>
      </c>
      <c r="AN169" s="71">
        <f t="shared" ca="1" si="46"/>
        <v>0</v>
      </c>
      <c r="AO169" s="71">
        <f ca="1">IF(C169=1,(H169+J169+N169+P169)*Reeksen!AN169,0)</f>
        <v>0</v>
      </c>
      <c r="AP169" s="71">
        <f ca="1">-IF(C169=1,(H169+J169+N169+P169)*'Hulp - basis'!$G$550*Reeksen!H169,0)</f>
        <v>0</v>
      </c>
      <c r="AQ169" s="71">
        <f ca="1">-IF(C169=1,(F169+K169+L169+Q169)/2*'Invoer gegevens'!$F$35*Reeksen!J169,0)*2</f>
        <v>0</v>
      </c>
      <c r="AR169" s="71">
        <f ca="1">IF(BD169&lt;1,-IF(C169=1,(G169*'Invoer gegevens'!$F$36)*Reeksen!J169,0),0)</f>
        <v>0</v>
      </c>
      <c r="AS169" s="71">
        <f ca="1">-IF(C169=1,(F169+K169+L169+Q169)/2*'Invoer gegevens'!$F$37*Reeksen!L169,0)</f>
        <v>0</v>
      </c>
      <c r="AT169" s="71">
        <f ca="1">-IF(C169=1,IF(E169='Invoer gegevens'!$C$17,'Invoer gegevens'!$C$11,AD169)*Reeksen!S169*'Invoer gegevens'!$C$18*Reeksen!P169,0)</f>
        <v>0</v>
      </c>
      <c r="AU169" s="71">
        <f ca="1">-IF(C169=1,(F169+K169+L169+Q169)/2*'Invoer gegevens'!$F$38*Reeksen!H169,0)</f>
        <v>0</v>
      </c>
      <c r="AV169" s="71">
        <f t="shared" si="50"/>
        <v>0</v>
      </c>
      <c r="AW169" s="71">
        <f t="shared" ca="1" si="47"/>
        <v>0</v>
      </c>
      <c r="AX169" s="71">
        <f ca="1">IF(E169&lt;'Invoer gegevens'!$C$17+15,0,IF(E169&gt;'Invoer gegevens'!$C$17+215,0,AW169))</f>
        <v>0</v>
      </c>
      <c r="AY169" s="71">
        <f ca="1">AX169/(1+'Invoer gegevens'!$F$18)^($AZ169-('Invoer gegevens'!$C$17-'Invoer gegevens'!$C$16))/(1+'Invoer gegevens'!$C$39)^('Invoer gegevens'!$C$17-'Invoer gegevens'!$C$16)</f>
        <v>0</v>
      </c>
      <c r="AZ169" s="68">
        <f ca="1">IF(E169-'Invoer gegevens'!$C$17-14.5&lt;0,0,E169-'Invoer gegevens'!$C$17-14.5)</f>
        <v>149.5</v>
      </c>
      <c r="BA169" s="109">
        <f ca="1">IFERROR(VLOOKUP(E169-15,Reeksen!$A$5:$D$234,2,FALSE),0)</f>
        <v>0</v>
      </c>
      <c r="BB169" s="109">
        <f ca="1">IFERROR(VLOOKUP(E169-15,Reeksen!$A$5:$D$234,3,FALSE),0)</f>
        <v>0</v>
      </c>
      <c r="BC169" s="109">
        <f ca="1">IFERROR(VLOOKUP(E169-15,Reeksen!$A$5:$D$234,4,FALSE),0)</f>
        <v>0</v>
      </c>
      <c r="BD169" s="67">
        <f ca="1">IF(E169-'Invoer gegevens'!$C$17&lt;15,0,1)</f>
        <v>1</v>
      </c>
    </row>
    <row r="170" spans="1:56" x14ac:dyDescent="0.25">
      <c r="A170" s="59"/>
      <c r="B170" s="70">
        <f t="shared" si="48"/>
        <v>166</v>
      </c>
      <c r="C170" s="67">
        <f ca="1">IF(E170-'Invoer gegevens'!$C$17&lt;0,0,1)</f>
        <v>1</v>
      </c>
      <c r="D170" s="68">
        <f t="shared" si="49"/>
        <v>165.5</v>
      </c>
      <c r="E170" s="108">
        <f ca="1">IF('Invoer gegevens'!$C$16="","",E169+1)</f>
        <v>2184</v>
      </c>
      <c r="F170" s="84">
        <f ca="1">IF('Invoer gegevens'!$C$17=E170,'Invoer gegevens'!$C$10,IF(C170=1,K169,0))</f>
        <v>0</v>
      </c>
      <c r="G170" s="96">
        <f ca="1">IF(BD170&lt;1,F170*Reeksen!C170,IF(C170&gt;=1,F170*BA170,0))</f>
        <v>0</v>
      </c>
      <c r="H170" s="84">
        <f ca="1">(1-('Invoer gegevens'!$F$20/12))*F170*MIN(BA170,BC170)</f>
        <v>0</v>
      </c>
      <c r="I170" s="84">
        <f t="shared" ca="1" si="34"/>
        <v>0</v>
      </c>
      <c r="J170" s="84">
        <f ca="1">('Invoer gegevens'!$F$20/12)*F169*MIN(BA170,BC170)</f>
        <v>0</v>
      </c>
      <c r="K170" s="97">
        <f t="shared" ca="1" si="39"/>
        <v>0</v>
      </c>
      <c r="L170" s="84">
        <f ca="1">IF('Invoer gegevens'!$C$17=E170,0,IF(C170=1,Q169,0))</f>
        <v>0</v>
      </c>
      <c r="M170" s="96">
        <f t="shared" ca="1" si="35"/>
        <v>0</v>
      </c>
      <c r="N170" s="84">
        <f ca="1">(1-('Invoer gegevens'!$F$20/12))*L170*MIN(BA170,BC170)</f>
        <v>0</v>
      </c>
      <c r="O170" s="84">
        <f t="shared" ca="1" si="36"/>
        <v>0</v>
      </c>
      <c r="P170" s="84">
        <f ca="1">('Invoer gegevens'!$F$20/12)*L169*MIN(BA170,BC170)</f>
        <v>0</v>
      </c>
      <c r="Q170" s="84">
        <f t="shared" ca="1" si="40"/>
        <v>0</v>
      </c>
      <c r="R170" s="85">
        <f ca="1">IF('Invoer gegevens'!$C$17=E170,'Invoer gegevens'!$C$11,IF(C170=1,W169,0))</f>
        <v>0</v>
      </c>
      <c r="S170" s="86">
        <f t="shared" ca="1" si="37"/>
        <v>0</v>
      </c>
      <c r="T170" s="86">
        <f ca="1">(1-('Invoer gegevens'!$F$20/12))*R170*MIN(BC170,BA170)</f>
        <v>0</v>
      </c>
      <c r="U170" s="86">
        <f ca="1">IF(BD170&lt;1,IF(Reeksen!AD170&lt;=Reeksen!AE170,R170*Reeksen!C170,0),IF(BC170&gt;=BA170,0,IF(Reeksen!AD170&lt;=Reeksen!AE170,(BA170-BC170)*R170,0)))</f>
        <v>0</v>
      </c>
      <c r="V170" s="86">
        <f ca="1">IF(BD170&lt;1,IF(Reeksen!AD170&gt;Reeksen!AE170,R170*Reeksen!C170,0),IF(BC170&gt;=BA170,0,IF(Reeksen!AD170&gt;Reeksen!AE170,(BA170-BC170)*R170,0)))</f>
        <v>0</v>
      </c>
      <c r="W170" s="218">
        <f t="shared" ca="1" si="41"/>
        <v>0</v>
      </c>
      <c r="X170" s="98">
        <f ca="1">IF('Invoer gegevens'!$C$17=E170,'Invoer gegevens'!$C$10-'Invoer gegevens'!$C$11,IF(C170=1,AC169,0))</f>
        <v>0</v>
      </c>
      <c r="Y170" s="98">
        <f t="shared" ca="1" si="38"/>
        <v>0</v>
      </c>
      <c r="Z170" s="98">
        <f ca="1">(1-('Invoer gegevens'!$F$20/12))*X170*MIN(BA170,BC170)</f>
        <v>0</v>
      </c>
      <c r="AA170" s="98">
        <f ca="1">IF(BD170&lt;1,IF(Reeksen!AD170&lt;=Reeksen!AE170,X170*Reeksen!C170,0),IF(BC170&gt;=BA170,0,IF(Reeksen!AD170&lt;=Reeksen!AE170,(BA170-BC170)*X170,0)))</f>
        <v>0</v>
      </c>
      <c r="AB170" s="98">
        <f ca="1">IF(BD170&lt;1,IF(Reeksen!AD170&gt;Reeksen!AE170,X170*Reeksen!C170,0),IF(BC170&gt;=BA170,0,IF(Reeksen!AD170&gt;Reeksen!AE170,(BA170-BC170)*X170,0)))</f>
        <v>0</v>
      </c>
      <c r="AC170" s="99">
        <f t="shared" ca="1" si="42"/>
        <v>0</v>
      </c>
      <c r="AD170" s="98">
        <f ca="1">IF('Invoer gegevens'!$C$17=E170,R170,IF(C170=0,0,AE169))</f>
        <v>0</v>
      </c>
      <c r="AE170" s="98">
        <f t="shared" ca="1" si="43"/>
        <v>0</v>
      </c>
      <c r="AF170" s="98">
        <f ca="1">IF('Invoer gegevens'!$C$17=E170,X170,IF(C170=0,0,AG169))</f>
        <v>0</v>
      </c>
      <c r="AG170" s="98">
        <f t="shared" ca="1" si="44"/>
        <v>0</v>
      </c>
      <c r="AH170" s="66"/>
      <c r="AI170" s="71">
        <f ca="1">IF(C170=1,Reeksen!AI170*((F170+K170)/2)*12+Reeksen!AD170*((L170+Q170)/2)*12,0)</f>
        <v>0</v>
      </c>
      <c r="AJ170" s="71">
        <f ca="1">-AI170*'Invoer gegevens'!$F$28</f>
        <v>0</v>
      </c>
      <c r="AK170" s="71">
        <f t="shared" ca="1" si="45"/>
        <v>0</v>
      </c>
      <c r="AL170" s="71">
        <f ca="1">IF(C170=1,Reeksen!AL170*((F170-G170+F170)/2)*12+Reeksen!AM170*((L170-M170+L170)/2)*12,0)</f>
        <v>0</v>
      </c>
      <c r="AM170" s="71">
        <f ca="1">-AL170*'Invoer gegevens'!$F$31</f>
        <v>0</v>
      </c>
      <c r="AN170" s="71">
        <f t="shared" ca="1" si="46"/>
        <v>0</v>
      </c>
      <c r="AO170" s="71">
        <f ca="1">IF(C170=1,(H170+J170+N170+P170)*Reeksen!AN170,0)</f>
        <v>0</v>
      </c>
      <c r="AP170" s="71">
        <f ca="1">-IF(C170=1,(H170+J170+N170+P170)*'Hulp - basis'!$G$550*Reeksen!H170,0)</f>
        <v>0</v>
      </c>
      <c r="AQ170" s="71">
        <f ca="1">-IF(C170=1,(F170+K170+L170+Q170)/2*'Invoer gegevens'!$F$35*Reeksen!J170,0)*2</f>
        <v>0</v>
      </c>
      <c r="AR170" s="71">
        <f ca="1">IF(BD170&lt;1,-IF(C170=1,(G170*'Invoer gegevens'!$F$36)*Reeksen!J170,0),0)</f>
        <v>0</v>
      </c>
      <c r="AS170" s="71">
        <f ca="1">-IF(C170=1,(F170+K170+L170+Q170)/2*'Invoer gegevens'!$F$37*Reeksen!L170,0)</f>
        <v>0</v>
      </c>
      <c r="AT170" s="71">
        <f ca="1">-IF(C170=1,IF(E170='Invoer gegevens'!$C$17,'Invoer gegevens'!$C$11,AD170)*Reeksen!S170*'Invoer gegevens'!$C$18*Reeksen!P170,0)</f>
        <v>0</v>
      </c>
      <c r="AU170" s="71">
        <f ca="1">-IF(C170=1,(F170+K170+L170+Q170)/2*'Invoer gegevens'!$F$38*Reeksen!H170,0)</f>
        <v>0</v>
      </c>
      <c r="AV170" s="71">
        <f t="shared" si="50"/>
        <v>0</v>
      </c>
      <c r="AW170" s="71">
        <f t="shared" ca="1" si="47"/>
        <v>0</v>
      </c>
      <c r="AX170" s="71">
        <f ca="1">IF(E170&lt;'Invoer gegevens'!$C$17+15,0,IF(E170&gt;'Invoer gegevens'!$C$17+215,0,AW170))</f>
        <v>0</v>
      </c>
      <c r="AY170" s="71">
        <f ca="1">AX170/(1+'Invoer gegevens'!$F$18)^($AZ170-('Invoer gegevens'!$C$17-'Invoer gegevens'!$C$16))/(1+'Invoer gegevens'!$C$39)^('Invoer gegevens'!$C$17-'Invoer gegevens'!$C$16)</f>
        <v>0</v>
      </c>
      <c r="AZ170" s="68">
        <f ca="1">IF(E170-'Invoer gegevens'!$C$17-14.5&lt;0,0,E170-'Invoer gegevens'!$C$17-14.5)</f>
        <v>150.5</v>
      </c>
      <c r="BA170" s="109">
        <f ca="1">IFERROR(VLOOKUP(E170-15,Reeksen!$A$5:$D$234,2,FALSE),0)</f>
        <v>0</v>
      </c>
      <c r="BB170" s="109">
        <f ca="1">IFERROR(VLOOKUP(E170-15,Reeksen!$A$5:$D$234,3,FALSE),0)</f>
        <v>0</v>
      </c>
      <c r="BC170" s="109">
        <f ca="1">IFERROR(VLOOKUP(E170-15,Reeksen!$A$5:$D$234,4,FALSE),0)</f>
        <v>0</v>
      </c>
      <c r="BD170" s="67">
        <f ca="1">IF(E170-'Invoer gegevens'!$C$17&lt;15,0,1)</f>
        <v>1</v>
      </c>
    </row>
    <row r="171" spans="1:56" x14ac:dyDescent="0.25">
      <c r="A171" s="59"/>
      <c r="B171" s="70">
        <f t="shared" si="48"/>
        <v>167</v>
      </c>
      <c r="C171" s="67">
        <f ca="1">IF(E171-'Invoer gegevens'!$C$17&lt;0,0,1)</f>
        <v>1</v>
      </c>
      <c r="D171" s="68">
        <f t="shared" si="49"/>
        <v>166.5</v>
      </c>
      <c r="E171" s="108">
        <f ca="1">IF('Invoer gegevens'!$C$16="","",E170+1)</f>
        <v>2185</v>
      </c>
      <c r="F171" s="84">
        <f ca="1">IF('Invoer gegevens'!$C$17=E171,'Invoer gegevens'!$C$10,IF(C171=1,K170,0))</f>
        <v>0</v>
      </c>
      <c r="G171" s="96">
        <f ca="1">IF(BD171&lt;1,F171*Reeksen!C171,IF(C171&gt;=1,F171*BA171,0))</f>
        <v>0</v>
      </c>
      <c r="H171" s="84">
        <f ca="1">(1-('Invoer gegevens'!$F$20/12))*F171*MIN(BA171,BC171)</f>
        <v>0</v>
      </c>
      <c r="I171" s="84">
        <f t="shared" ca="1" si="34"/>
        <v>0</v>
      </c>
      <c r="J171" s="84">
        <f ca="1">('Invoer gegevens'!$F$20/12)*F170*MIN(BA171,BC171)</f>
        <v>0</v>
      </c>
      <c r="K171" s="97">
        <f t="shared" ca="1" si="39"/>
        <v>0</v>
      </c>
      <c r="L171" s="84">
        <f ca="1">IF('Invoer gegevens'!$C$17=E171,0,IF(C171=1,Q170,0))</f>
        <v>0</v>
      </c>
      <c r="M171" s="96">
        <f t="shared" ca="1" si="35"/>
        <v>0</v>
      </c>
      <c r="N171" s="84">
        <f ca="1">(1-('Invoer gegevens'!$F$20/12))*L171*MIN(BA171,BC171)</f>
        <v>0</v>
      </c>
      <c r="O171" s="84">
        <f t="shared" ca="1" si="36"/>
        <v>0</v>
      </c>
      <c r="P171" s="84">
        <f ca="1">('Invoer gegevens'!$F$20/12)*L170*MIN(BA171,BC171)</f>
        <v>0</v>
      </c>
      <c r="Q171" s="84">
        <f t="shared" ca="1" si="40"/>
        <v>0</v>
      </c>
      <c r="R171" s="85">
        <f ca="1">IF('Invoer gegevens'!$C$17=E171,'Invoer gegevens'!$C$11,IF(C171=1,W170,0))</f>
        <v>0</v>
      </c>
      <c r="S171" s="86">
        <f t="shared" ca="1" si="37"/>
        <v>0</v>
      </c>
      <c r="T171" s="86">
        <f ca="1">(1-('Invoer gegevens'!$F$20/12))*R171*MIN(BC171,BA171)</f>
        <v>0</v>
      </c>
      <c r="U171" s="86">
        <f ca="1">IF(BD171&lt;1,IF(Reeksen!AD171&lt;=Reeksen!AE171,R171*Reeksen!C171,0),IF(BC171&gt;=BA171,0,IF(Reeksen!AD171&lt;=Reeksen!AE171,(BA171-BC171)*R171,0)))</f>
        <v>0</v>
      </c>
      <c r="V171" s="86">
        <f ca="1">IF(BD171&lt;1,IF(Reeksen!AD171&gt;Reeksen!AE171,R171*Reeksen!C171,0),IF(BC171&gt;=BA171,0,IF(Reeksen!AD171&gt;Reeksen!AE171,(BA171-BC171)*R171,0)))</f>
        <v>0</v>
      </c>
      <c r="W171" s="218">
        <f t="shared" ca="1" si="41"/>
        <v>0</v>
      </c>
      <c r="X171" s="98">
        <f ca="1">IF('Invoer gegevens'!$C$17=E171,'Invoer gegevens'!$C$10-'Invoer gegevens'!$C$11,IF(C171=1,AC170,0))</f>
        <v>0</v>
      </c>
      <c r="Y171" s="98">
        <f t="shared" ca="1" si="38"/>
        <v>0</v>
      </c>
      <c r="Z171" s="98">
        <f ca="1">(1-('Invoer gegevens'!$F$20/12))*X171*MIN(BA171,BC171)</f>
        <v>0</v>
      </c>
      <c r="AA171" s="98">
        <f ca="1">IF(BD171&lt;1,IF(Reeksen!AD171&lt;=Reeksen!AE171,X171*Reeksen!C171,0),IF(BC171&gt;=BA171,0,IF(Reeksen!AD171&lt;=Reeksen!AE171,(BA171-BC171)*X171,0)))</f>
        <v>0</v>
      </c>
      <c r="AB171" s="98">
        <f ca="1">IF(BD171&lt;1,IF(Reeksen!AD171&gt;Reeksen!AE171,X171*Reeksen!C171,0),IF(BC171&gt;=BA171,0,IF(Reeksen!AD171&gt;Reeksen!AE171,(BA171-BC171)*X171,0)))</f>
        <v>0</v>
      </c>
      <c r="AC171" s="99">
        <f t="shared" ca="1" si="42"/>
        <v>0</v>
      </c>
      <c r="AD171" s="98">
        <f ca="1">IF('Invoer gegevens'!$C$17=E171,R171,IF(C171=0,0,AE170))</f>
        <v>0</v>
      </c>
      <c r="AE171" s="98">
        <f t="shared" ca="1" si="43"/>
        <v>0</v>
      </c>
      <c r="AF171" s="98">
        <f ca="1">IF('Invoer gegevens'!$C$17=E171,X171,IF(C171=0,0,AG170))</f>
        <v>0</v>
      </c>
      <c r="AG171" s="98">
        <f t="shared" ca="1" si="44"/>
        <v>0</v>
      </c>
      <c r="AH171" s="66"/>
      <c r="AI171" s="71">
        <f ca="1">IF(C171=1,Reeksen!AI171*((F171+K171)/2)*12+Reeksen!AD171*((L171+Q171)/2)*12,0)</f>
        <v>0</v>
      </c>
      <c r="AJ171" s="71">
        <f ca="1">-AI171*'Invoer gegevens'!$F$28</f>
        <v>0</v>
      </c>
      <c r="AK171" s="71">
        <f t="shared" ca="1" si="45"/>
        <v>0</v>
      </c>
      <c r="AL171" s="71">
        <f ca="1">IF(C171=1,Reeksen!AL171*((F171-G171+F171)/2)*12+Reeksen!AM171*((L171-M171+L171)/2)*12,0)</f>
        <v>0</v>
      </c>
      <c r="AM171" s="71">
        <f ca="1">-AL171*'Invoer gegevens'!$F$31</f>
        <v>0</v>
      </c>
      <c r="AN171" s="71">
        <f t="shared" ca="1" si="46"/>
        <v>0</v>
      </c>
      <c r="AO171" s="71">
        <f ca="1">IF(C171=1,(H171+J171+N171+P171)*Reeksen!AN171,0)</f>
        <v>0</v>
      </c>
      <c r="AP171" s="71">
        <f ca="1">-IF(C171=1,(H171+J171+N171+P171)*'Hulp - basis'!$G$550*Reeksen!H171,0)</f>
        <v>0</v>
      </c>
      <c r="AQ171" s="71">
        <f ca="1">-IF(C171=1,(F171+K171+L171+Q171)/2*'Invoer gegevens'!$F$35*Reeksen!J171,0)*2</f>
        <v>0</v>
      </c>
      <c r="AR171" s="71">
        <f ca="1">IF(BD171&lt;1,-IF(C171=1,(G171*'Invoer gegevens'!$F$36)*Reeksen!J171,0),0)</f>
        <v>0</v>
      </c>
      <c r="AS171" s="71">
        <f ca="1">-IF(C171=1,(F171+K171+L171+Q171)/2*'Invoer gegevens'!$F$37*Reeksen!L171,0)</f>
        <v>0</v>
      </c>
      <c r="AT171" s="71">
        <f ca="1">-IF(C171=1,IF(E171='Invoer gegevens'!$C$17,'Invoer gegevens'!$C$11,AD171)*Reeksen!S171*'Invoer gegevens'!$C$18*Reeksen!P171,0)</f>
        <v>0</v>
      </c>
      <c r="AU171" s="71">
        <f ca="1">-IF(C171=1,(F171+K171+L171+Q171)/2*'Invoer gegevens'!$F$38*Reeksen!H171,0)</f>
        <v>0</v>
      </c>
      <c r="AV171" s="71">
        <f t="shared" si="50"/>
        <v>0</v>
      </c>
      <c r="AW171" s="71">
        <f t="shared" ca="1" si="47"/>
        <v>0</v>
      </c>
      <c r="AX171" s="71">
        <f ca="1">IF(E171&lt;'Invoer gegevens'!$C$17+15,0,IF(E171&gt;'Invoer gegevens'!$C$17+215,0,AW171))</f>
        <v>0</v>
      </c>
      <c r="AY171" s="71">
        <f ca="1">AX171/(1+'Invoer gegevens'!$F$18)^($AZ171-('Invoer gegevens'!$C$17-'Invoer gegevens'!$C$16))/(1+'Invoer gegevens'!$C$39)^('Invoer gegevens'!$C$17-'Invoer gegevens'!$C$16)</f>
        <v>0</v>
      </c>
      <c r="AZ171" s="68">
        <f ca="1">IF(E171-'Invoer gegevens'!$C$17-14.5&lt;0,0,E171-'Invoer gegevens'!$C$17-14.5)</f>
        <v>151.5</v>
      </c>
      <c r="BA171" s="109">
        <f ca="1">IFERROR(VLOOKUP(E171-15,Reeksen!$A$5:$D$234,2,FALSE),0)</f>
        <v>0</v>
      </c>
      <c r="BB171" s="109">
        <f ca="1">IFERROR(VLOOKUP(E171-15,Reeksen!$A$5:$D$234,3,FALSE),0)</f>
        <v>0</v>
      </c>
      <c r="BC171" s="109">
        <f ca="1">IFERROR(VLOOKUP(E171-15,Reeksen!$A$5:$D$234,4,FALSE),0)</f>
        <v>0</v>
      </c>
      <c r="BD171" s="67">
        <f ca="1">IF(E171-'Invoer gegevens'!$C$17&lt;15,0,1)</f>
        <v>1</v>
      </c>
    </row>
    <row r="172" spans="1:56" x14ac:dyDescent="0.25">
      <c r="A172" s="59"/>
      <c r="B172" s="70">
        <f t="shared" si="48"/>
        <v>168</v>
      </c>
      <c r="C172" s="67">
        <f ca="1">IF(E172-'Invoer gegevens'!$C$17&lt;0,0,1)</f>
        <v>1</v>
      </c>
      <c r="D172" s="68">
        <f t="shared" si="49"/>
        <v>167.5</v>
      </c>
      <c r="E172" s="108">
        <f ca="1">IF('Invoer gegevens'!$C$16="","",E171+1)</f>
        <v>2186</v>
      </c>
      <c r="F172" s="84">
        <f ca="1">IF('Invoer gegevens'!$C$17=E172,'Invoer gegevens'!$C$10,IF(C172=1,K171,0))</f>
        <v>0</v>
      </c>
      <c r="G172" s="96">
        <f ca="1">IF(BD172&lt;1,F172*Reeksen!C172,IF(C172&gt;=1,F172*BA172,0))</f>
        <v>0</v>
      </c>
      <c r="H172" s="84">
        <f ca="1">(1-('Invoer gegevens'!$F$20/12))*F172*MIN(BA172,BC172)</f>
        <v>0</v>
      </c>
      <c r="I172" s="84">
        <f t="shared" ca="1" si="34"/>
        <v>0</v>
      </c>
      <c r="J172" s="84">
        <f ca="1">('Invoer gegevens'!$F$20/12)*F171*MIN(BA172,BC172)</f>
        <v>0</v>
      </c>
      <c r="K172" s="97">
        <f t="shared" ca="1" si="39"/>
        <v>0</v>
      </c>
      <c r="L172" s="84">
        <f ca="1">IF('Invoer gegevens'!$C$17=E172,0,IF(C172=1,Q171,0))</f>
        <v>0</v>
      </c>
      <c r="M172" s="96">
        <f t="shared" ca="1" si="35"/>
        <v>0</v>
      </c>
      <c r="N172" s="84">
        <f ca="1">(1-('Invoer gegevens'!$F$20/12))*L172*MIN(BA172,BC172)</f>
        <v>0</v>
      </c>
      <c r="O172" s="84">
        <f t="shared" ca="1" si="36"/>
        <v>0</v>
      </c>
      <c r="P172" s="84">
        <f ca="1">('Invoer gegevens'!$F$20/12)*L171*MIN(BA172,BC172)</f>
        <v>0</v>
      </c>
      <c r="Q172" s="84">
        <f t="shared" ca="1" si="40"/>
        <v>0</v>
      </c>
      <c r="R172" s="85">
        <f ca="1">IF('Invoer gegevens'!$C$17=E172,'Invoer gegevens'!$C$11,IF(C172=1,W171,0))</f>
        <v>0</v>
      </c>
      <c r="S172" s="86">
        <f t="shared" ca="1" si="37"/>
        <v>0</v>
      </c>
      <c r="T172" s="86">
        <f ca="1">(1-('Invoer gegevens'!$F$20/12))*R172*MIN(BC172,BA172)</f>
        <v>0</v>
      </c>
      <c r="U172" s="86">
        <f ca="1">IF(BD172&lt;1,IF(Reeksen!AD172&lt;=Reeksen!AE172,R172*Reeksen!C172,0),IF(BC172&gt;=BA172,0,IF(Reeksen!AD172&lt;=Reeksen!AE172,(BA172-BC172)*R172,0)))</f>
        <v>0</v>
      </c>
      <c r="V172" s="86">
        <f ca="1">IF(BD172&lt;1,IF(Reeksen!AD172&gt;Reeksen!AE172,R172*Reeksen!C172,0),IF(BC172&gt;=BA172,0,IF(Reeksen!AD172&gt;Reeksen!AE172,(BA172-BC172)*R172,0)))</f>
        <v>0</v>
      </c>
      <c r="W172" s="218">
        <f t="shared" ca="1" si="41"/>
        <v>0</v>
      </c>
      <c r="X172" s="98">
        <f ca="1">IF('Invoer gegevens'!$C$17=E172,'Invoer gegevens'!$C$10-'Invoer gegevens'!$C$11,IF(C172=1,AC171,0))</f>
        <v>0</v>
      </c>
      <c r="Y172" s="98">
        <f t="shared" ca="1" si="38"/>
        <v>0</v>
      </c>
      <c r="Z172" s="98">
        <f ca="1">(1-('Invoer gegevens'!$F$20/12))*X172*MIN(BA172,BC172)</f>
        <v>0</v>
      </c>
      <c r="AA172" s="98">
        <f ca="1">IF(BD172&lt;1,IF(Reeksen!AD172&lt;=Reeksen!AE172,X172*Reeksen!C172,0),IF(BC172&gt;=BA172,0,IF(Reeksen!AD172&lt;=Reeksen!AE172,(BA172-BC172)*X172,0)))</f>
        <v>0</v>
      </c>
      <c r="AB172" s="98">
        <f ca="1">IF(BD172&lt;1,IF(Reeksen!AD172&gt;Reeksen!AE172,X172*Reeksen!C172,0),IF(BC172&gt;=BA172,0,IF(Reeksen!AD172&gt;Reeksen!AE172,(BA172-BC172)*X172,0)))</f>
        <v>0</v>
      </c>
      <c r="AC172" s="99">
        <f t="shared" ca="1" si="42"/>
        <v>0</v>
      </c>
      <c r="AD172" s="98">
        <f ca="1">IF('Invoer gegevens'!$C$17=E172,R172,IF(C172=0,0,AE171))</f>
        <v>0</v>
      </c>
      <c r="AE172" s="98">
        <f t="shared" ca="1" si="43"/>
        <v>0</v>
      </c>
      <c r="AF172" s="98">
        <f ca="1">IF('Invoer gegevens'!$C$17=E172,X172,IF(C172=0,0,AG171))</f>
        <v>0</v>
      </c>
      <c r="AG172" s="98">
        <f t="shared" ca="1" si="44"/>
        <v>0</v>
      </c>
      <c r="AH172" s="66"/>
      <c r="AI172" s="71">
        <f ca="1">IF(C172=1,Reeksen!AI172*((F172+K172)/2)*12+Reeksen!AD172*((L172+Q172)/2)*12,0)</f>
        <v>0</v>
      </c>
      <c r="AJ172" s="71">
        <f ca="1">-AI172*'Invoer gegevens'!$F$28</f>
        <v>0</v>
      </c>
      <c r="AK172" s="71">
        <f t="shared" ca="1" si="45"/>
        <v>0</v>
      </c>
      <c r="AL172" s="71">
        <f ca="1">IF(C172=1,Reeksen!AL172*((F172-G172+F172)/2)*12+Reeksen!AM172*((L172-M172+L172)/2)*12,0)</f>
        <v>0</v>
      </c>
      <c r="AM172" s="71">
        <f ca="1">-AL172*'Invoer gegevens'!$F$31</f>
        <v>0</v>
      </c>
      <c r="AN172" s="71">
        <f t="shared" ca="1" si="46"/>
        <v>0</v>
      </c>
      <c r="AO172" s="71">
        <f ca="1">IF(C172=1,(H172+J172+N172+P172)*Reeksen!AN172,0)</f>
        <v>0</v>
      </c>
      <c r="AP172" s="71">
        <f ca="1">-IF(C172=1,(H172+J172+N172+P172)*'Hulp - basis'!$G$550*Reeksen!H172,0)</f>
        <v>0</v>
      </c>
      <c r="AQ172" s="71">
        <f ca="1">-IF(C172=1,(F172+K172+L172+Q172)/2*'Invoer gegevens'!$F$35*Reeksen!J172,0)*2</f>
        <v>0</v>
      </c>
      <c r="AR172" s="71">
        <f ca="1">IF(BD172&lt;1,-IF(C172=1,(G172*'Invoer gegevens'!$F$36)*Reeksen!J172,0),0)</f>
        <v>0</v>
      </c>
      <c r="AS172" s="71">
        <f ca="1">-IF(C172=1,(F172+K172+L172+Q172)/2*'Invoer gegevens'!$F$37*Reeksen!L172,0)</f>
        <v>0</v>
      </c>
      <c r="AT172" s="71">
        <f ca="1">-IF(C172=1,IF(E172='Invoer gegevens'!$C$17,'Invoer gegevens'!$C$11,AD172)*Reeksen!S172*'Invoer gegevens'!$C$18*Reeksen!P172,0)</f>
        <v>0</v>
      </c>
      <c r="AU172" s="71">
        <f ca="1">-IF(C172=1,(F172+K172+L172+Q172)/2*'Invoer gegevens'!$F$38*Reeksen!H172,0)</f>
        <v>0</v>
      </c>
      <c r="AV172" s="71">
        <f t="shared" si="50"/>
        <v>0</v>
      </c>
      <c r="AW172" s="71">
        <f t="shared" ca="1" si="47"/>
        <v>0</v>
      </c>
      <c r="AX172" s="71">
        <f ca="1">IF(E172&lt;'Invoer gegevens'!$C$17+15,0,IF(E172&gt;'Invoer gegevens'!$C$17+215,0,AW172))</f>
        <v>0</v>
      </c>
      <c r="AY172" s="71">
        <f ca="1">AX172/(1+'Invoer gegevens'!$F$18)^($AZ172-('Invoer gegevens'!$C$17-'Invoer gegevens'!$C$16))/(1+'Invoer gegevens'!$C$39)^('Invoer gegevens'!$C$17-'Invoer gegevens'!$C$16)</f>
        <v>0</v>
      </c>
      <c r="AZ172" s="68">
        <f ca="1">IF(E172-'Invoer gegevens'!$C$17-14.5&lt;0,0,E172-'Invoer gegevens'!$C$17-14.5)</f>
        <v>152.5</v>
      </c>
      <c r="BA172" s="109">
        <f ca="1">IFERROR(VLOOKUP(E172-15,Reeksen!$A$5:$D$234,2,FALSE),0)</f>
        <v>0</v>
      </c>
      <c r="BB172" s="109">
        <f ca="1">IFERROR(VLOOKUP(E172-15,Reeksen!$A$5:$D$234,3,FALSE),0)</f>
        <v>0</v>
      </c>
      <c r="BC172" s="109">
        <f ca="1">IFERROR(VLOOKUP(E172-15,Reeksen!$A$5:$D$234,4,FALSE),0)</f>
        <v>0</v>
      </c>
      <c r="BD172" s="67">
        <f ca="1">IF(E172-'Invoer gegevens'!$C$17&lt;15,0,1)</f>
        <v>1</v>
      </c>
    </row>
    <row r="173" spans="1:56" x14ac:dyDescent="0.25">
      <c r="A173" s="59"/>
      <c r="B173" s="70">
        <f t="shared" si="48"/>
        <v>169</v>
      </c>
      <c r="C173" s="67">
        <f ca="1">IF(E173-'Invoer gegevens'!$C$17&lt;0,0,1)</f>
        <v>1</v>
      </c>
      <c r="D173" s="68">
        <f t="shared" si="49"/>
        <v>168.5</v>
      </c>
      <c r="E173" s="108">
        <f ca="1">IF('Invoer gegevens'!$C$16="","",E172+1)</f>
        <v>2187</v>
      </c>
      <c r="F173" s="84">
        <f ca="1">IF('Invoer gegevens'!$C$17=E173,'Invoer gegevens'!$C$10,IF(C173=1,K172,0))</f>
        <v>0</v>
      </c>
      <c r="G173" s="96">
        <f ca="1">IF(BD173&lt;1,F173*Reeksen!C173,IF(C173&gt;=1,F173*BA173,0))</f>
        <v>0</v>
      </c>
      <c r="H173" s="84">
        <f ca="1">(1-('Invoer gegevens'!$F$20/12))*F173*MIN(BA173,BC173)</f>
        <v>0</v>
      </c>
      <c r="I173" s="84">
        <f t="shared" ca="1" si="34"/>
        <v>0</v>
      </c>
      <c r="J173" s="84">
        <f ca="1">('Invoer gegevens'!$F$20/12)*F172*MIN(BA173,BC173)</f>
        <v>0</v>
      </c>
      <c r="K173" s="97">
        <f t="shared" ca="1" si="39"/>
        <v>0</v>
      </c>
      <c r="L173" s="84">
        <f ca="1">IF('Invoer gegevens'!$C$17=E173,0,IF(C173=1,Q172,0))</f>
        <v>0</v>
      </c>
      <c r="M173" s="96">
        <f t="shared" ca="1" si="35"/>
        <v>0</v>
      </c>
      <c r="N173" s="84">
        <f ca="1">(1-('Invoer gegevens'!$F$20/12))*L173*MIN(BA173,BC173)</f>
        <v>0</v>
      </c>
      <c r="O173" s="84">
        <f t="shared" ca="1" si="36"/>
        <v>0</v>
      </c>
      <c r="P173" s="84">
        <f ca="1">('Invoer gegevens'!$F$20/12)*L172*MIN(BA173,BC173)</f>
        <v>0</v>
      </c>
      <c r="Q173" s="84">
        <f t="shared" ca="1" si="40"/>
        <v>0</v>
      </c>
      <c r="R173" s="85">
        <f ca="1">IF('Invoer gegevens'!$C$17=E173,'Invoer gegevens'!$C$11,IF(C173=1,W172,0))</f>
        <v>0</v>
      </c>
      <c r="S173" s="86">
        <f t="shared" ca="1" si="37"/>
        <v>0</v>
      </c>
      <c r="T173" s="86">
        <f ca="1">(1-('Invoer gegevens'!$F$20/12))*R173*MIN(BC173,BA173)</f>
        <v>0</v>
      </c>
      <c r="U173" s="86">
        <f ca="1">IF(BD173&lt;1,IF(Reeksen!AD173&lt;=Reeksen!AE173,R173*Reeksen!C173,0),IF(BC173&gt;=BA173,0,IF(Reeksen!AD173&lt;=Reeksen!AE173,(BA173-BC173)*R173,0)))</f>
        <v>0</v>
      </c>
      <c r="V173" s="86">
        <f ca="1">IF(BD173&lt;1,IF(Reeksen!AD173&gt;Reeksen!AE173,R173*Reeksen!C173,0),IF(BC173&gt;=BA173,0,IF(Reeksen!AD173&gt;Reeksen!AE173,(BA173-BC173)*R173,0)))</f>
        <v>0</v>
      </c>
      <c r="W173" s="218">
        <f t="shared" ca="1" si="41"/>
        <v>0</v>
      </c>
      <c r="X173" s="98">
        <f ca="1">IF('Invoer gegevens'!$C$17=E173,'Invoer gegevens'!$C$10-'Invoer gegevens'!$C$11,IF(C173=1,AC172,0))</f>
        <v>0</v>
      </c>
      <c r="Y173" s="98">
        <f t="shared" ca="1" si="38"/>
        <v>0</v>
      </c>
      <c r="Z173" s="98">
        <f ca="1">(1-('Invoer gegevens'!$F$20/12))*X173*MIN(BA173,BC173)</f>
        <v>0</v>
      </c>
      <c r="AA173" s="98">
        <f ca="1">IF(BD173&lt;1,IF(Reeksen!AD173&lt;=Reeksen!AE173,X173*Reeksen!C173,0),IF(BC173&gt;=BA173,0,IF(Reeksen!AD173&lt;=Reeksen!AE173,(BA173-BC173)*X173,0)))</f>
        <v>0</v>
      </c>
      <c r="AB173" s="98">
        <f ca="1">IF(BD173&lt;1,IF(Reeksen!AD173&gt;Reeksen!AE173,X173*Reeksen!C173,0),IF(BC173&gt;=BA173,0,IF(Reeksen!AD173&gt;Reeksen!AE173,(BA173-BC173)*X173,0)))</f>
        <v>0</v>
      </c>
      <c r="AC173" s="99">
        <f t="shared" ca="1" si="42"/>
        <v>0</v>
      </c>
      <c r="AD173" s="98">
        <f ca="1">IF('Invoer gegevens'!$C$17=E173,R173,IF(C173=0,0,AE172))</f>
        <v>0</v>
      </c>
      <c r="AE173" s="98">
        <f t="shared" ca="1" si="43"/>
        <v>0</v>
      </c>
      <c r="AF173" s="98">
        <f ca="1">IF('Invoer gegevens'!$C$17=E173,X173,IF(C173=0,0,AG172))</f>
        <v>0</v>
      </c>
      <c r="AG173" s="98">
        <f t="shared" ca="1" si="44"/>
        <v>0</v>
      </c>
      <c r="AH173" s="66"/>
      <c r="AI173" s="71">
        <f ca="1">IF(C173=1,Reeksen!AI173*((F173+K173)/2)*12+Reeksen!AD173*((L173+Q173)/2)*12,0)</f>
        <v>0</v>
      </c>
      <c r="AJ173" s="71">
        <f ca="1">-AI173*'Invoer gegevens'!$F$28</f>
        <v>0</v>
      </c>
      <c r="AK173" s="71">
        <f t="shared" ca="1" si="45"/>
        <v>0</v>
      </c>
      <c r="AL173" s="71">
        <f ca="1">IF(C173=1,Reeksen!AL173*((F173-G173+F173)/2)*12+Reeksen!AM173*((L173-M173+L173)/2)*12,0)</f>
        <v>0</v>
      </c>
      <c r="AM173" s="71">
        <f ca="1">-AL173*'Invoer gegevens'!$F$31</f>
        <v>0</v>
      </c>
      <c r="AN173" s="71">
        <f t="shared" ca="1" si="46"/>
        <v>0</v>
      </c>
      <c r="AO173" s="71">
        <f ca="1">IF(C173=1,(H173+J173+N173+P173)*Reeksen!AN173,0)</f>
        <v>0</v>
      </c>
      <c r="AP173" s="71">
        <f ca="1">-IF(C173=1,(H173+J173+N173+P173)*'Hulp - basis'!$G$550*Reeksen!H173,0)</f>
        <v>0</v>
      </c>
      <c r="AQ173" s="71">
        <f ca="1">-IF(C173=1,(F173+K173+L173+Q173)/2*'Invoer gegevens'!$F$35*Reeksen!J173,0)*2</f>
        <v>0</v>
      </c>
      <c r="AR173" s="71">
        <f ca="1">IF(BD173&lt;1,-IF(C173=1,(G173*'Invoer gegevens'!$F$36)*Reeksen!J173,0),0)</f>
        <v>0</v>
      </c>
      <c r="AS173" s="71">
        <f ca="1">-IF(C173=1,(F173+K173+L173+Q173)/2*'Invoer gegevens'!$F$37*Reeksen!L173,0)</f>
        <v>0</v>
      </c>
      <c r="AT173" s="71">
        <f ca="1">-IF(C173=1,IF(E173='Invoer gegevens'!$C$17,'Invoer gegevens'!$C$11,AD173)*Reeksen!S173*'Invoer gegevens'!$C$18*Reeksen!P173,0)</f>
        <v>0</v>
      </c>
      <c r="AU173" s="71">
        <f ca="1">-IF(C173=1,(F173+K173+L173+Q173)/2*'Invoer gegevens'!$F$38*Reeksen!H173,0)</f>
        <v>0</v>
      </c>
      <c r="AV173" s="71">
        <f t="shared" si="50"/>
        <v>0</v>
      </c>
      <c r="AW173" s="71">
        <f t="shared" ca="1" si="47"/>
        <v>0</v>
      </c>
      <c r="AX173" s="71">
        <f ca="1">IF(E173&lt;'Invoer gegevens'!$C$17+15,0,IF(E173&gt;'Invoer gegevens'!$C$17+215,0,AW173))</f>
        <v>0</v>
      </c>
      <c r="AY173" s="71">
        <f ca="1">AX173/(1+'Invoer gegevens'!$F$18)^($AZ173-('Invoer gegevens'!$C$17-'Invoer gegevens'!$C$16))/(1+'Invoer gegevens'!$C$39)^('Invoer gegevens'!$C$17-'Invoer gegevens'!$C$16)</f>
        <v>0</v>
      </c>
      <c r="AZ173" s="68">
        <f ca="1">IF(E173-'Invoer gegevens'!$C$17-14.5&lt;0,0,E173-'Invoer gegevens'!$C$17-14.5)</f>
        <v>153.5</v>
      </c>
      <c r="BA173" s="109">
        <f ca="1">IFERROR(VLOOKUP(E173-15,Reeksen!$A$5:$D$234,2,FALSE),0)</f>
        <v>0</v>
      </c>
      <c r="BB173" s="109">
        <f ca="1">IFERROR(VLOOKUP(E173-15,Reeksen!$A$5:$D$234,3,FALSE),0)</f>
        <v>0</v>
      </c>
      <c r="BC173" s="109">
        <f ca="1">IFERROR(VLOOKUP(E173-15,Reeksen!$A$5:$D$234,4,FALSE),0)</f>
        <v>0</v>
      </c>
      <c r="BD173" s="67">
        <f ca="1">IF(E173-'Invoer gegevens'!$C$17&lt;15,0,1)</f>
        <v>1</v>
      </c>
    </row>
    <row r="174" spans="1:56" x14ac:dyDescent="0.25">
      <c r="A174" s="59"/>
      <c r="B174" s="70">
        <f t="shared" si="48"/>
        <v>170</v>
      </c>
      <c r="C174" s="67">
        <f ca="1">IF(E174-'Invoer gegevens'!$C$17&lt;0,0,1)</f>
        <v>1</v>
      </c>
      <c r="D174" s="68">
        <f t="shared" si="49"/>
        <v>169.5</v>
      </c>
      <c r="E174" s="108">
        <f ca="1">IF('Invoer gegevens'!$C$16="","",E173+1)</f>
        <v>2188</v>
      </c>
      <c r="F174" s="84">
        <f ca="1">IF('Invoer gegevens'!$C$17=E174,'Invoer gegevens'!$C$10,IF(C174=1,K173,0))</f>
        <v>0</v>
      </c>
      <c r="G174" s="96">
        <f ca="1">IF(BD174&lt;1,F174*Reeksen!C174,IF(C174&gt;=1,F174*BA174,0))</f>
        <v>0</v>
      </c>
      <c r="H174" s="84">
        <f ca="1">(1-('Invoer gegevens'!$F$20/12))*F174*MIN(BA174,BC174)</f>
        <v>0</v>
      </c>
      <c r="I174" s="84">
        <f t="shared" ca="1" si="34"/>
        <v>0</v>
      </c>
      <c r="J174" s="84">
        <f ca="1">('Invoer gegevens'!$F$20/12)*F173*MIN(BA174,BC174)</f>
        <v>0</v>
      </c>
      <c r="K174" s="97">
        <f t="shared" ca="1" si="39"/>
        <v>0</v>
      </c>
      <c r="L174" s="84">
        <f ca="1">IF('Invoer gegevens'!$C$17=E174,0,IF(C174=1,Q173,0))</f>
        <v>0</v>
      </c>
      <c r="M174" s="96">
        <f t="shared" ca="1" si="35"/>
        <v>0</v>
      </c>
      <c r="N174" s="84">
        <f ca="1">(1-('Invoer gegevens'!$F$20/12))*L174*MIN(BA174,BC174)</f>
        <v>0</v>
      </c>
      <c r="O174" s="84">
        <f t="shared" ca="1" si="36"/>
        <v>0</v>
      </c>
      <c r="P174" s="84">
        <f ca="1">('Invoer gegevens'!$F$20/12)*L173*MIN(BA174,BC174)</f>
        <v>0</v>
      </c>
      <c r="Q174" s="84">
        <f t="shared" ca="1" si="40"/>
        <v>0</v>
      </c>
      <c r="R174" s="85">
        <f ca="1">IF('Invoer gegevens'!$C$17=E174,'Invoer gegevens'!$C$11,IF(C174=1,W173,0))</f>
        <v>0</v>
      </c>
      <c r="S174" s="86">
        <f t="shared" ca="1" si="37"/>
        <v>0</v>
      </c>
      <c r="T174" s="86">
        <f ca="1">(1-('Invoer gegevens'!$F$20/12))*R174*MIN(BC174,BA174)</f>
        <v>0</v>
      </c>
      <c r="U174" s="86">
        <f ca="1">IF(BD174&lt;1,IF(Reeksen!AD174&lt;=Reeksen!AE174,R174*Reeksen!C174,0),IF(BC174&gt;=BA174,0,IF(Reeksen!AD174&lt;=Reeksen!AE174,(BA174-BC174)*R174,0)))</f>
        <v>0</v>
      </c>
      <c r="V174" s="86">
        <f ca="1">IF(BD174&lt;1,IF(Reeksen!AD174&gt;Reeksen!AE174,R174*Reeksen!C174,0),IF(BC174&gt;=BA174,0,IF(Reeksen!AD174&gt;Reeksen!AE174,(BA174-BC174)*R174,0)))</f>
        <v>0</v>
      </c>
      <c r="W174" s="218">
        <f t="shared" ca="1" si="41"/>
        <v>0</v>
      </c>
      <c r="X174" s="98">
        <f ca="1">IF('Invoer gegevens'!$C$17=E174,'Invoer gegevens'!$C$10-'Invoer gegevens'!$C$11,IF(C174=1,AC173,0))</f>
        <v>0</v>
      </c>
      <c r="Y174" s="98">
        <f t="shared" ca="1" si="38"/>
        <v>0</v>
      </c>
      <c r="Z174" s="98">
        <f ca="1">(1-('Invoer gegevens'!$F$20/12))*X174*MIN(BA174,BC174)</f>
        <v>0</v>
      </c>
      <c r="AA174" s="98">
        <f ca="1">IF(BD174&lt;1,IF(Reeksen!AD174&lt;=Reeksen!AE174,X174*Reeksen!C174,0),IF(BC174&gt;=BA174,0,IF(Reeksen!AD174&lt;=Reeksen!AE174,(BA174-BC174)*X174,0)))</f>
        <v>0</v>
      </c>
      <c r="AB174" s="98">
        <f ca="1">IF(BD174&lt;1,IF(Reeksen!AD174&gt;Reeksen!AE174,X174*Reeksen!C174,0),IF(BC174&gt;=BA174,0,IF(Reeksen!AD174&gt;Reeksen!AE174,(BA174-BC174)*X174,0)))</f>
        <v>0</v>
      </c>
      <c r="AC174" s="99">
        <f t="shared" ca="1" si="42"/>
        <v>0</v>
      </c>
      <c r="AD174" s="98">
        <f ca="1">IF('Invoer gegevens'!$C$17=E174,R174,IF(C174=0,0,AE173))</f>
        <v>0</v>
      </c>
      <c r="AE174" s="98">
        <f t="shared" ca="1" si="43"/>
        <v>0</v>
      </c>
      <c r="AF174" s="98">
        <f ca="1">IF('Invoer gegevens'!$C$17=E174,X174,IF(C174=0,0,AG173))</f>
        <v>0</v>
      </c>
      <c r="AG174" s="98">
        <f t="shared" ca="1" si="44"/>
        <v>0</v>
      </c>
      <c r="AH174" s="66"/>
      <c r="AI174" s="71">
        <f ca="1">IF(C174=1,Reeksen!AI174*((F174+K174)/2)*12+Reeksen!AD174*((L174+Q174)/2)*12,0)</f>
        <v>0</v>
      </c>
      <c r="AJ174" s="71">
        <f ca="1">-AI174*'Invoer gegevens'!$F$28</f>
        <v>0</v>
      </c>
      <c r="AK174" s="71">
        <f t="shared" ca="1" si="45"/>
        <v>0</v>
      </c>
      <c r="AL174" s="71">
        <f ca="1">IF(C174=1,Reeksen!AL174*((F174-G174+F174)/2)*12+Reeksen!AM174*((L174-M174+L174)/2)*12,0)</f>
        <v>0</v>
      </c>
      <c r="AM174" s="71">
        <f ca="1">-AL174*'Invoer gegevens'!$F$31</f>
        <v>0</v>
      </c>
      <c r="AN174" s="71">
        <f t="shared" ca="1" si="46"/>
        <v>0</v>
      </c>
      <c r="AO174" s="71">
        <f ca="1">IF(C174=1,(H174+J174+N174+P174)*Reeksen!AN174,0)</f>
        <v>0</v>
      </c>
      <c r="AP174" s="71">
        <f ca="1">-IF(C174=1,(H174+J174+N174+P174)*'Hulp - basis'!$G$550*Reeksen!H174,0)</f>
        <v>0</v>
      </c>
      <c r="AQ174" s="71">
        <f ca="1">-IF(C174=1,(F174+K174+L174+Q174)/2*'Invoer gegevens'!$F$35*Reeksen!J174,0)*2</f>
        <v>0</v>
      </c>
      <c r="AR174" s="71">
        <f ca="1">IF(BD174&lt;1,-IF(C174=1,(G174*'Invoer gegevens'!$F$36)*Reeksen!J174,0),0)</f>
        <v>0</v>
      </c>
      <c r="AS174" s="71">
        <f ca="1">-IF(C174=1,(F174+K174+L174+Q174)/2*'Invoer gegevens'!$F$37*Reeksen!L174,0)</f>
        <v>0</v>
      </c>
      <c r="AT174" s="71">
        <f ca="1">-IF(C174=1,IF(E174='Invoer gegevens'!$C$17,'Invoer gegevens'!$C$11,AD174)*Reeksen!S174*'Invoer gegevens'!$C$18*Reeksen!P174,0)</f>
        <v>0</v>
      </c>
      <c r="AU174" s="71">
        <f ca="1">-IF(C174=1,(F174+K174+L174+Q174)/2*'Invoer gegevens'!$F$38*Reeksen!H174,0)</f>
        <v>0</v>
      </c>
      <c r="AV174" s="71">
        <f t="shared" si="50"/>
        <v>0</v>
      </c>
      <c r="AW174" s="71">
        <f t="shared" ca="1" si="47"/>
        <v>0</v>
      </c>
      <c r="AX174" s="71">
        <f ca="1">IF(E174&lt;'Invoer gegevens'!$C$17+15,0,IF(E174&gt;'Invoer gegevens'!$C$17+215,0,AW174))</f>
        <v>0</v>
      </c>
      <c r="AY174" s="71">
        <f ca="1">AX174/(1+'Invoer gegevens'!$F$18)^($AZ174-('Invoer gegevens'!$C$17-'Invoer gegevens'!$C$16))/(1+'Invoer gegevens'!$C$39)^('Invoer gegevens'!$C$17-'Invoer gegevens'!$C$16)</f>
        <v>0</v>
      </c>
      <c r="AZ174" s="68">
        <f ca="1">IF(E174-'Invoer gegevens'!$C$17-14.5&lt;0,0,E174-'Invoer gegevens'!$C$17-14.5)</f>
        <v>154.5</v>
      </c>
      <c r="BA174" s="109">
        <f ca="1">IFERROR(VLOOKUP(E174-15,Reeksen!$A$5:$D$234,2,FALSE),0)</f>
        <v>0</v>
      </c>
      <c r="BB174" s="109">
        <f ca="1">IFERROR(VLOOKUP(E174-15,Reeksen!$A$5:$D$234,3,FALSE),0)</f>
        <v>0</v>
      </c>
      <c r="BC174" s="109">
        <f ca="1">IFERROR(VLOOKUP(E174-15,Reeksen!$A$5:$D$234,4,FALSE),0)</f>
        <v>0</v>
      </c>
      <c r="BD174" s="67">
        <f ca="1">IF(E174-'Invoer gegevens'!$C$17&lt;15,0,1)</f>
        <v>1</v>
      </c>
    </row>
    <row r="175" spans="1:56" x14ac:dyDescent="0.25">
      <c r="A175" s="59"/>
      <c r="B175" s="70">
        <f t="shared" si="48"/>
        <v>171</v>
      </c>
      <c r="C175" s="67">
        <f ca="1">IF(E175-'Invoer gegevens'!$C$17&lt;0,0,1)</f>
        <v>1</v>
      </c>
      <c r="D175" s="68">
        <f t="shared" si="49"/>
        <v>170.5</v>
      </c>
      <c r="E175" s="108">
        <f ca="1">IF('Invoer gegevens'!$C$16="","",E174+1)</f>
        <v>2189</v>
      </c>
      <c r="F175" s="84">
        <f ca="1">IF('Invoer gegevens'!$C$17=E175,'Invoer gegevens'!$C$10,IF(C175=1,K174,0))</f>
        <v>0</v>
      </c>
      <c r="G175" s="96">
        <f ca="1">IF(BD175&lt;1,F175*Reeksen!C175,IF(C175&gt;=1,F175*BA175,0))</f>
        <v>0</v>
      </c>
      <c r="H175" s="84">
        <f ca="1">(1-('Invoer gegevens'!$F$20/12))*F175*MIN(BA175,BC175)</f>
        <v>0</v>
      </c>
      <c r="I175" s="84">
        <f t="shared" ca="1" si="34"/>
        <v>0</v>
      </c>
      <c r="J175" s="84">
        <f ca="1">('Invoer gegevens'!$F$20/12)*F174*MIN(BA175,BC175)</f>
        <v>0</v>
      </c>
      <c r="K175" s="97">
        <f t="shared" ca="1" si="39"/>
        <v>0</v>
      </c>
      <c r="L175" s="84">
        <f ca="1">IF('Invoer gegevens'!$C$17=E175,0,IF(C175=1,Q174,0))</f>
        <v>0</v>
      </c>
      <c r="M175" s="96">
        <f t="shared" ca="1" si="35"/>
        <v>0</v>
      </c>
      <c r="N175" s="84">
        <f ca="1">(1-('Invoer gegevens'!$F$20/12))*L175*MIN(BA175,BC175)</f>
        <v>0</v>
      </c>
      <c r="O175" s="84">
        <f t="shared" ca="1" si="36"/>
        <v>0</v>
      </c>
      <c r="P175" s="84">
        <f ca="1">('Invoer gegevens'!$F$20/12)*L174*MIN(BA175,BC175)</f>
        <v>0</v>
      </c>
      <c r="Q175" s="84">
        <f t="shared" ca="1" si="40"/>
        <v>0</v>
      </c>
      <c r="R175" s="85">
        <f ca="1">IF('Invoer gegevens'!$C$17=E175,'Invoer gegevens'!$C$11,IF(C175=1,W174,0))</f>
        <v>0</v>
      </c>
      <c r="S175" s="86">
        <f t="shared" ca="1" si="37"/>
        <v>0</v>
      </c>
      <c r="T175" s="86">
        <f ca="1">(1-('Invoer gegevens'!$F$20/12))*R175*MIN(BC175,BA175)</f>
        <v>0</v>
      </c>
      <c r="U175" s="86">
        <f ca="1">IF(BD175&lt;1,IF(Reeksen!AD175&lt;=Reeksen!AE175,R175*Reeksen!C175,0),IF(BC175&gt;=BA175,0,IF(Reeksen!AD175&lt;=Reeksen!AE175,(BA175-BC175)*R175,0)))</f>
        <v>0</v>
      </c>
      <c r="V175" s="86">
        <f ca="1">IF(BD175&lt;1,IF(Reeksen!AD175&gt;Reeksen!AE175,R175*Reeksen!C175,0),IF(BC175&gt;=BA175,0,IF(Reeksen!AD175&gt;Reeksen!AE175,(BA175-BC175)*R175,0)))</f>
        <v>0</v>
      </c>
      <c r="W175" s="218">
        <f t="shared" ca="1" si="41"/>
        <v>0</v>
      </c>
      <c r="X175" s="98">
        <f ca="1">IF('Invoer gegevens'!$C$17=E175,'Invoer gegevens'!$C$10-'Invoer gegevens'!$C$11,IF(C175=1,AC174,0))</f>
        <v>0</v>
      </c>
      <c r="Y175" s="98">
        <f t="shared" ca="1" si="38"/>
        <v>0</v>
      </c>
      <c r="Z175" s="98">
        <f ca="1">(1-('Invoer gegevens'!$F$20/12))*X175*MIN(BA175,BC175)</f>
        <v>0</v>
      </c>
      <c r="AA175" s="98">
        <f ca="1">IF(BD175&lt;1,IF(Reeksen!AD175&lt;=Reeksen!AE175,X175*Reeksen!C175,0),IF(BC175&gt;=BA175,0,IF(Reeksen!AD175&lt;=Reeksen!AE175,(BA175-BC175)*X175,0)))</f>
        <v>0</v>
      </c>
      <c r="AB175" s="98">
        <f ca="1">IF(BD175&lt;1,IF(Reeksen!AD175&gt;Reeksen!AE175,X175*Reeksen!C175,0),IF(BC175&gt;=BA175,0,IF(Reeksen!AD175&gt;Reeksen!AE175,(BA175-BC175)*X175,0)))</f>
        <v>0</v>
      </c>
      <c r="AC175" s="99">
        <f t="shared" ca="1" si="42"/>
        <v>0</v>
      </c>
      <c r="AD175" s="98">
        <f ca="1">IF('Invoer gegevens'!$C$17=E175,R175,IF(C175=0,0,AE174))</f>
        <v>0</v>
      </c>
      <c r="AE175" s="98">
        <f t="shared" ca="1" si="43"/>
        <v>0</v>
      </c>
      <c r="AF175" s="98">
        <f ca="1">IF('Invoer gegevens'!$C$17=E175,X175,IF(C175=0,0,AG174))</f>
        <v>0</v>
      </c>
      <c r="AG175" s="98">
        <f t="shared" ca="1" si="44"/>
        <v>0</v>
      </c>
      <c r="AH175" s="66"/>
      <c r="AI175" s="71">
        <f ca="1">IF(C175=1,Reeksen!AI175*((F175+K175)/2)*12+Reeksen!AD175*((L175+Q175)/2)*12,0)</f>
        <v>0</v>
      </c>
      <c r="AJ175" s="71">
        <f ca="1">-AI175*'Invoer gegevens'!$F$28</f>
        <v>0</v>
      </c>
      <c r="AK175" s="71">
        <f t="shared" ca="1" si="45"/>
        <v>0</v>
      </c>
      <c r="AL175" s="71">
        <f ca="1">IF(C175=1,Reeksen!AL175*((F175-G175+F175)/2)*12+Reeksen!AM175*((L175-M175+L175)/2)*12,0)</f>
        <v>0</v>
      </c>
      <c r="AM175" s="71">
        <f ca="1">-AL175*'Invoer gegevens'!$F$31</f>
        <v>0</v>
      </c>
      <c r="AN175" s="71">
        <f t="shared" ca="1" si="46"/>
        <v>0</v>
      </c>
      <c r="AO175" s="71">
        <f ca="1">IF(C175=1,(H175+J175+N175+P175)*Reeksen!AN175,0)</f>
        <v>0</v>
      </c>
      <c r="AP175" s="71">
        <f ca="1">-IF(C175=1,(H175+J175+N175+P175)*'Hulp - basis'!$G$550*Reeksen!H175,0)</f>
        <v>0</v>
      </c>
      <c r="AQ175" s="71">
        <f ca="1">-IF(C175=1,(F175+K175+L175+Q175)/2*'Invoer gegevens'!$F$35*Reeksen!J175,0)*2</f>
        <v>0</v>
      </c>
      <c r="AR175" s="71">
        <f ca="1">IF(BD175&lt;1,-IF(C175=1,(G175*'Invoer gegevens'!$F$36)*Reeksen!J175,0),0)</f>
        <v>0</v>
      </c>
      <c r="AS175" s="71">
        <f ca="1">-IF(C175=1,(F175+K175+L175+Q175)/2*'Invoer gegevens'!$F$37*Reeksen!L175,0)</f>
        <v>0</v>
      </c>
      <c r="AT175" s="71">
        <f ca="1">-IF(C175=1,IF(E175='Invoer gegevens'!$C$17,'Invoer gegevens'!$C$11,AD175)*Reeksen!S175*'Invoer gegevens'!$C$18*Reeksen!P175,0)</f>
        <v>0</v>
      </c>
      <c r="AU175" s="71">
        <f ca="1">-IF(C175=1,(F175+K175+L175+Q175)/2*'Invoer gegevens'!$F$38*Reeksen!H175,0)</f>
        <v>0</v>
      </c>
      <c r="AV175" s="71">
        <f t="shared" si="50"/>
        <v>0</v>
      </c>
      <c r="AW175" s="71">
        <f t="shared" ca="1" si="47"/>
        <v>0</v>
      </c>
      <c r="AX175" s="71">
        <f ca="1">IF(E175&lt;'Invoer gegevens'!$C$17+15,0,IF(E175&gt;'Invoer gegevens'!$C$17+215,0,AW175))</f>
        <v>0</v>
      </c>
      <c r="AY175" s="71">
        <f ca="1">AX175/(1+'Invoer gegevens'!$F$18)^($AZ175-('Invoer gegevens'!$C$17-'Invoer gegevens'!$C$16))/(1+'Invoer gegevens'!$C$39)^('Invoer gegevens'!$C$17-'Invoer gegevens'!$C$16)</f>
        <v>0</v>
      </c>
      <c r="AZ175" s="68">
        <f ca="1">IF(E175-'Invoer gegevens'!$C$17-14.5&lt;0,0,E175-'Invoer gegevens'!$C$17-14.5)</f>
        <v>155.5</v>
      </c>
      <c r="BA175" s="109">
        <f ca="1">IFERROR(VLOOKUP(E175-15,Reeksen!$A$5:$D$234,2,FALSE),0)</f>
        <v>0</v>
      </c>
      <c r="BB175" s="109">
        <f ca="1">IFERROR(VLOOKUP(E175-15,Reeksen!$A$5:$D$234,3,FALSE),0)</f>
        <v>0</v>
      </c>
      <c r="BC175" s="109">
        <f ca="1">IFERROR(VLOOKUP(E175-15,Reeksen!$A$5:$D$234,4,FALSE),0)</f>
        <v>0</v>
      </c>
      <c r="BD175" s="67">
        <f ca="1">IF(E175-'Invoer gegevens'!$C$17&lt;15,0,1)</f>
        <v>1</v>
      </c>
    </row>
    <row r="176" spans="1:56" x14ac:dyDescent="0.25">
      <c r="A176" s="59"/>
      <c r="B176" s="70">
        <f t="shared" si="48"/>
        <v>172</v>
      </c>
      <c r="C176" s="67">
        <f ca="1">IF(E176-'Invoer gegevens'!$C$17&lt;0,0,1)</f>
        <v>1</v>
      </c>
      <c r="D176" s="68">
        <f t="shared" si="49"/>
        <v>171.5</v>
      </c>
      <c r="E176" s="108">
        <f ca="1">IF('Invoer gegevens'!$C$16="","",E175+1)</f>
        <v>2190</v>
      </c>
      <c r="F176" s="84">
        <f ca="1">IF('Invoer gegevens'!$C$17=E176,'Invoer gegevens'!$C$10,IF(C176=1,K175,0))</f>
        <v>0</v>
      </c>
      <c r="G176" s="96">
        <f ca="1">IF(BD176&lt;1,F176*Reeksen!C176,IF(C176&gt;=1,F176*BA176,0))</f>
        <v>0</v>
      </c>
      <c r="H176" s="84">
        <f ca="1">(1-('Invoer gegevens'!$F$20/12))*F176*MIN(BA176,BC176)</f>
        <v>0</v>
      </c>
      <c r="I176" s="84">
        <f t="shared" ca="1" si="34"/>
        <v>0</v>
      </c>
      <c r="J176" s="84">
        <f ca="1">('Invoer gegevens'!$F$20/12)*F175*MIN(BA176,BC176)</f>
        <v>0</v>
      </c>
      <c r="K176" s="97">
        <f t="shared" ca="1" si="39"/>
        <v>0</v>
      </c>
      <c r="L176" s="84">
        <f ca="1">IF('Invoer gegevens'!$C$17=E176,0,IF(C176=1,Q175,0))</f>
        <v>0</v>
      </c>
      <c r="M176" s="96">
        <f t="shared" ca="1" si="35"/>
        <v>0</v>
      </c>
      <c r="N176" s="84">
        <f ca="1">(1-('Invoer gegevens'!$F$20/12))*L176*MIN(BA176,BC176)</f>
        <v>0</v>
      </c>
      <c r="O176" s="84">
        <f t="shared" ca="1" si="36"/>
        <v>0</v>
      </c>
      <c r="P176" s="84">
        <f ca="1">('Invoer gegevens'!$F$20/12)*L175*MIN(BA176,BC176)</f>
        <v>0</v>
      </c>
      <c r="Q176" s="84">
        <f t="shared" ca="1" si="40"/>
        <v>0</v>
      </c>
      <c r="R176" s="85">
        <f ca="1">IF('Invoer gegevens'!$C$17=E176,'Invoer gegevens'!$C$11,IF(C176=1,W175,0))</f>
        <v>0</v>
      </c>
      <c r="S176" s="86">
        <f t="shared" ca="1" si="37"/>
        <v>0</v>
      </c>
      <c r="T176" s="86">
        <f ca="1">(1-('Invoer gegevens'!$F$20/12))*R176*MIN(BC176,BA176)</f>
        <v>0</v>
      </c>
      <c r="U176" s="86">
        <f ca="1">IF(BD176&lt;1,IF(Reeksen!AD176&lt;=Reeksen!AE176,R176*Reeksen!C176,0),IF(BC176&gt;=BA176,0,IF(Reeksen!AD176&lt;=Reeksen!AE176,(BA176-BC176)*R176,0)))</f>
        <v>0</v>
      </c>
      <c r="V176" s="86">
        <f ca="1">IF(BD176&lt;1,IF(Reeksen!AD176&gt;Reeksen!AE176,R176*Reeksen!C176,0),IF(BC176&gt;=BA176,0,IF(Reeksen!AD176&gt;Reeksen!AE176,(BA176-BC176)*R176,0)))</f>
        <v>0</v>
      </c>
      <c r="W176" s="218">
        <f t="shared" ca="1" si="41"/>
        <v>0</v>
      </c>
      <c r="X176" s="98">
        <f ca="1">IF('Invoer gegevens'!$C$17=E176,'Invoer gegevens'!$C$10-'Invoer gegevens'!$C$11,IF(C176=1,AC175,0))</f>
        <v>0</v>
      </c>
      <c r="Y176" s="98">
        <f t="shared" ca="1" si="38"/>
        <v>0</v>
      </c>
      <c r="Z176" s="98">
        <f ca="1">(1-('Invoer gegevens'!$F$20/12))*X176*MIN(BA176,BC176)</f>
        <v>0</v>
      </c>
      <c r="AA176" s="98">
        <f ca="1">IF(BD176&lt;1,IF(Reeksen!AD176&lt;=Reeksen!AE176,X176*Reeksen!C176,0),IF(BC176&gt;=BA176,0,IF(Reeksen!AD176&lt;=Reeksen!AE176,(BA176-BC176)*X176,0)))</f>
        <v>0</v>
      </c>
      <c r="AB176" s="98">
        <f ca="1">IF(BD176&lt;1,IF(Reeksen!AD176&gt;Reeksen!AE176,X176*Reeksen!C176,0),IF(BC176&gt;=BA176,0,IF(Reeksen!AD176&gt;Reeksen!AE176,(BA176-BC176)*X176,0)))</f>
        <v>0</v>
      </c>
      <c r="AC176" s="99">
        <f t="shared" ca="1" si="42"/>
        <v>0</v>
      </c>
      <c r="AD176" s="98">
        <f ca="1">IF('Invoer gegevens'!$C$17=E176,R176,IF(C176=0,0,AE175))</f>
        <v>0</v>
      </c>
      <c r="AE176" s="98">
        <f t="shared" ca="1" si="43"/>
        <v>0</v>
      </c>
      <c r="AF176" s="98">
        <f ca="1">IF('Invoer gegevens'!$C$17=E176,X176,IF(C176=0,0,AG175))</f>
        <v>0</v>
      </c>
      <c r="AG176" s="98">
        <f t="shared" ca="1" si="44"/>
        <v>0</v>
      </c>
      <c r="AH176" s="66"/>
      <c r="AI176" s="71">
        <f ca="1">IF(C176=1,Reeksen!AI176*((F176+K176)/2)*12+Reeksen!AD176*((L176+Q176)/2)*12,0)</f>
        <v>0</v>
      </c>
      <c r="AJ176" s="71">
        <f ca="1">-AI176*'Invoer gegevens'!$F$28</f>
        <v>0</v>
      </c>
      <c r="AK176" s="71">
        <f t="shared" ca="1" si="45"/>
        <v>0</v>
      </c>
      <c r="AL176" s="71">
        <f ca="1">IF(C176=1,Reeksen!AL176*((F176-G176+F176)/2)*12+Reeksen!AM176*((L176-M176+L176)/2)*12,0)</f>
        <v>0</v>
      </c>
      <c r="AM176" s="71">
        <f ca="1">-AL176*'Invoer gegevens'!$F$31</f>
        <v>0</v>
      </c>
      <c r="AN176" s="71">
        <f t="shared" ca="1" si="46"/>
        <v>0</v>
      </c>
      <c r="AO176" s="71">
        <f ca="1">IF(C176=1,(H176+J176+N176+P176)*Reeksen!AN176,0)</f>
        <v>0</v>
      </c>
      <c r="AP176" s="71">
        <f ca="1">-IF(C176=1,(H176+J176+N176+P176)*'Hulp - basis'!$G$550*Reeksen!H176,0)</f>
        <v>0</v>
      </c>
      <c r="AQ176" s="71">
        <f ca="1">-IF(C176=1,(F176+K176+L176+Q176)/2*'Invoer gegevens'!$F$35*Reeksen!J176,0)*2</f>
        <v>0</v>
      </c>
      <c r="AR176" s="71">
        <f ca="1">IF(BD176&lt;1,-IF(C176=1,(G176*'Invoer gegevens'!$F$36)*Reeksen!J176,0),0)</f>
        <v>0</v>
      </c>
      <c r="AS176" s="71">
        <f ca="1">-IF(C176=1,(F176+K176+L176+Q176)/2*'Invoer gegevens'!$F$37*Reeksen!L176,0)</f>
        <v>0</v>
      </c>
      <c r="AT176" s="71">
        <f ca="1">-IF(C176=1,IF(E176='Invoer gegevens'!$C$17,'Invoer gegevens'!$C$11,AD176)*Reeksen!S176*'Invoer gegevens'!$C$18*Reeksen!P176,0)</f>
        <v>0</v>
      </c>
      <c r="AU176" s="71">
        <f ca="1">-IF(C176=1,(F176+K176+L176+Q176)/2*'Invoer gegevens'!$F$38*Reeksen!H176,0)</f>
        <v>0</v>
      </c>
      <c r="AV176" s="71">
        <f t="shared" si="50"/>
        <v>0</v>
      </c>
      <c r="AW176" s="71">
        <f t="shared" ca="1" si="47"/>
        <v>0</v>
      </c>
      <c r="AX176" s="71">
        <f ca="1">IF(E176&lt;'Invoer gegevens'!$C$17+15,0,IF(E176&gt;'Invoer gegevens'!$C$17+215,0,AW176))</f>
        <v>0</v>
      </c>
      <c r="AY176" s="71">
        <f ca="1">AX176/(1+'Invoer gegevens'!$F$18)^($AZ176-('Invoer gegevens'!$C$17-'Invoer gegevens'!$C$16))/(1+'Invoer gegevens'!$C$39)^('Invoer gegevens'!$C$17-'Invoer gegevens'!$C$16)</f>
        <v>0</v>
      </c>
      <c r="AZ176" s="68">
        <f ca="1">IF(E176-'Invoer gegevens'!$C$17-14.5&lt;0,0,E176-'Invoer gegevens'!$C$17-14.5)</f>
        <v>156.5</v>
      </c>
      <c r="BA176" s="109">
        <f ca="1">IFERROR(VLOOKUP(E176-15,Reeksen!$A$5:$D$234,2,FALSE),0)</f>
        <v>0</v>
      </c>
      <c r="BB176" s="109">
        <f ca="1">IFERROR(VLOOKUP(E176-15,Reeksen!$A$5:$D$234,3,FALSE),0)</f>
        <v>0</v>
      </c>
      <c r="BC176" s="109">
        <f ca="1">IFERROR(VLOOKUP(E176-15,Reeksen!$A$5:$D$234,4,FALSE),0)</f>
        <v>0</v>
      </c>
      <c r="BD176" s="67">
        <f ca="1">IF(E176-'Invoer gegevens'!$C$17&lt;15,0,1)</f>
        <v>1</v>
      </c>
    </row>
    <row r="177" spans="1:56" x14ac:dyDescent="0.25">
      <c r="A177" s="59"/>
      <c r="B177" s="70">
        <f t="shared" si="48"/>
        <v>173</v>
      </c>
      <c r="C177" s="67">
        <f ca="1">IF(E177-'Invoer gegevens'!$C$17&lt;0,0,1)</f>
        <v>1</v>
      </c>
      <c r="D177" s="68">
        <f t="shared" si="49"/>
        <v>172.5</v>
      </c>
      <c r="E177" s="108">
        <f ca="1">IF('Invoer gegevens'!$C$16="","",E176+1)</f>
        <v>2191</v>
      </c>
      <c r="F177" s="84">
        <f ca="1">IF('Invoer gegevens'!$C$17=E177,'Invoer gegevens'!$C$10,IF(C177=1,K176,0))</f>
        <v>0</v>
      </c>
      <c r="G177" s="96">
        <f ca="1">IF(BD177&lt;1,F177*Reeksen!C177,IF(C177&gt;=1,F177*BA177,0))</f>
        <v>0</v>
      </c>
      <c r="H177" s="84">
        <f ca="1">(1-('Invoer gegevens'!$F$20/12))*F177*MIN(BA177,BC177)</f>
        <v>0</v>
      </c>
      <c r="I177" s="84">
        <f t="shared" ca="1" si="34"/>
        <v>0</v>
      </c>
      <c r="J177" s="84">
        <f ca="1">('Invoer gegevens'!$F$20/12)*F176*MIN(BA177,BC177)</f>
        <v>0</v>
      </c>
      <c r="K177" s="97">
        <f t="shared" ca="1" si="39"/>
        <v>0</v>
      </c>
      <c r="L177" s="84">
        <f ca="1">IF('Invoer gegevens'!$C$17=E177,0,IF(C177=1,Q176,0))</f>
        <v>0</v>
      </c>
      <c r="M177" s="96">
        <f t="shared" ca="1" si="35"/>
        <v>0</v>
      </c>
      <c r="N177" s="84">
        <f ca="1">(1-('Invoer gegevens'!$F$20/12))*L177*MIN(BA177,BC177)</f>
        <v>0</v>
      </c>
      <c r="O177" s="84">
        <f t="shared" ca="1" si="36"/>
        <v>0</v>
      </c>
      <c r="P177" s="84">
        <f ca="1">('Invoer gegevens'!$F$20/12)*L176*MIN(BA177,BC177)</f>
        <v>0</v>
      </c>
      <c r="Q177" s="84">
        <f t="shared" ca="1" si="40"/>
        <v>0</v>
      </c>
      <c r="R177" s="85">
        <f ca="1">IF('Invoer gegevens'!$C$17=E177,'Invoer gegevens'!$C$11,IF(C177=1,W176,0))</f>
        <v>0</v>
      </c>
      <c r="S177" s="86">
        <f t="shared" ca="1" si="37"/>
        <v>0</v>
      </c>
      <c r="T177" s="86">
        <f ca="1">(1-('Invoer gegevens'!$F$20/12))*R177*MIN(BC177,BA177)</f>
        <v>0</v>
      </c>
      <c r="U177" s="86">
        <f ca="1">IF(BD177&lt;1,IF(Reeksen!AD177&lt;=Reeksen!AE177,R177*Reeksen!C177,0),IF(BC177&gt;=BA177,0,IF(Reeksen!AD177&lt;=Reeksen!AE177,(BA177-BC177)*R177,0)))</f>
        <v>0</v>
      </c>
      <c r="V177" s="86">
        <f ca="1">IF(BD177&lt;1,IF(Reeksen!AD177&gt;Reeksen!AE177,R177*Reeksen!C177,0),IF(BC177&gt;=BA177,0,IF(Reeksen!AD177&gt;Reeksen!AE177,(BA177-BC177)*R177,0)))</f>
        <v>0</v>
      </c>
      <c r="W177" s="218">
        <f t="shared" ca="1" si="41"/>
        <v>0</v>
      </c>
      <c r="X177" s="98">
        <f ca="1">IF('Invoer gegevens'!$C$17=E177,'Invoer gegevens'!$C$10-'Invoer gegevens'!$C$11,IF(C177=1,AC176,0))</f>
        <v>0</v>
      </c>
      <c r="Y177" s="98">
        <f t="shared" ca="1" si="38"/>
        <v>0</v>
      </c>
      <c r="Z177" s="98">
        <f ca="1">(1-('Invoer gegevens'!$F$20/12))*X177*MIN(BA177,BC177)</f>
        <v>0</v>
      </c>
      <c r="AA177" s="98">
        <f ca="1">IF(BD177&lt;1,IF(Reeksen!AD177&lt;=Reeksen!AE177,X177*Reeksen!C177,0),IF(BC177&gt;=BA177,0,IF(Reeksen!AD177&lt;=Reeksen!AE177,(BA177-BC177)*X177,0)))</f>
        <v>0</v>
      </c>
      <c r="AB177" s="98">
        <f ca="1">IF(BD177&lt;1,IF(Reeksen!AD177&gt;Reeksen!AE177,X177*Reeksen!C177,0),IF(BC177&gt;=BA177,0,IF(Reeksen!AD177&gt;Reeksen!AE177,(BA177-BC177)*X177,0)))</f>
        <v>0</v>
      </c>
      <c r="AC177" s="99">
        <f t="shared" ca="1" si="42"/>
        <v>0</v>
      </c>
      <c r="AD177" s="98">
        <f ca="1">IF('Invoer gegevens'!$C$17=E177,R177,IF(C177=0,0,AE176))</f>
        <v>0</v>
      </c>
      <c r="AE177" s="98">
        <f t="shared" ca="1" si="43"/>
        <v>0</v>
      </c>
      <c r="AF177" s="98">
        <f ca="1">IF('Invoer gegevens'!$C$17=E177,X177,IF(C177=0,0,AG176))</f>
        <v>0</v>
      </c>
      <c r="AG177" s="98">
        <f t="shared" ca="1" si="44"/>
        <v>0</v>
      </c>
      <c r="AH177" s="66"/>
      <c r="AI177" s="71">
        <f ca="1">IF(C177=1,Reeksen!AI177*((F177+K177)/2)*12+Reeksen!AD177*((L177+Q177)/2)*12,0)</f>
        <v>0</v>
      </c>
      <c r="AJ177" s="71">
        <f ca="1">-AI177*'Invoer gegevens'!$F$28</f>
        <v>0</v>
      </c>
      <c r="AK177" s="71">
        <f t="shared" ca="1" si="45"/>
        <v>0</v>
      </c>
      <c r="AL177" s="71">
        <f ca="1">IF(C177=1,Reeksen!AL177*((F177-G177+F177)/2)*12+Reeksen!AM177*((L177-M177+L177)/2)*12,0)</f>
        <v>0</v>
      </c>
      <c r="AM177" s="71">
        <f ca="1">-AL177*'Invoer gegevens'!$F$31</f>
        <v>0</v>
      </c>
      <c r="AN177" s="71">
        <f t="shared" ca="1" si="46"/>
        <v>0</v>
      </c>
      <c r="AO177" s="71">
        <f ca="1">IF(C177=1,(H177+J177+N177+P177)*Reeksen!AN177,0)</f>
        <v>0</v>
      </c>
      <c r="AP177" s="71">
        <f ca="1">-IF(C177=1,(H177+J177+N177+P177)*'Hulp - basis'!$G$550*Reeksen!H177,0)</f>
        <v>0</v>
      </c>
      <c r="AQ177" s="71">
        <f ca="1">-IF(C177=1,(F177+K177+L177+Q177)/2*'Invoer gegevens'!$F$35*Reeksen!J177,0)*2</f>
        <v>0</v>
      </c>
      <c r="AR177" s="71">
        <f ca="1">IF(BD177&lt;1,-IF(C177=1,(G177*'Invoer gegevens'!$F$36)*Reeksen!J177,0),0)</f>
        <v>0</v>
      </c>
      <c r="AS177" s="71">
        <f ca="1">-IF(C177=1,(F177+K177+L177+Q177)/2*'Invoer gegevens'!$F$37*Reeksen!L177,0)</f>
        <v>0</v>
      </c>
      <c r="AT177" s="71">
        <f ca="1">-IF(C177=1,IF(E177='Invoer gegevens'!$C$17,'Invoer gegevens'!$C$11,AD177)*Reeksen!S177*'Invoer gegevens'!$C$18*Reeksen!P177,0)</f>
        <v>0</v>
      </c>
      <c r="AU177" s="71">
        <f ca="1">-IF(C177=1,(F177+K177+L177+Q177)/2*'Invoer gegevens'!$F$38*Reeksen!H177,0)</f>
        <v>0</v>
      </c>
      <c r="AV177" s="71">
        <f t="shared" si="50"/>
        <v>0</v>
      </c>
      <c r="AW177" s="71">
        <f t="shared" ca="1" si="47"/>
        <v>0</v>
      </c>
      <c r="AX177" s="71">
        <f ca="1">IF(E177&lt;'Invoer gegevens'!$C$17+15,0,IF(E177&gt;'Invoer gegevens'!$C$17+215,0,AW177))</f>
        <v>0</v>
      </c>
      <c r="AY177" s="71">
        <f ca="1">AX177/(1+'Invoer gegevens'!$F$18)^($AZ177-('Invoer gegevens'!$C$17-'Invoer gegevens'!$C$16))/(1+'Invoer gegevens'!$C$39)^('Invoer gegevens'!$C$17-'Invoer gegevens'!$C$16)</f>
        <v>0</v>
      </c>
      <c r="AZ177" s="68">
        <f ca="1">IF(E177-'Invoer gegevens'!$C$17-14.5&lt;0,0,E177-'Invoer gegevens'!$C$17-14.5)</f>
        <v>157.5</v>
      </c>
      <c r="BA177" s="109">
        <f ca="1">IFERROR(VLOOKUP(E177-15,Reeksen!$A$5:$D$234,2,FALSE),0)</f>
        <v>0</v>
      </c>
      <c r="BB177" s="109">
        <f ca="1">IFERROR(VLOOKUP(E177-15,Reeksen!$A$5:$D$234,3,FALSE),0)</f>
        <v>0</v>
      </c>
      <c r="BC177" s="109">
        <f ca="1">IFERROR(VLOOKUP(E177-15,Reeksen!$A$5:$D$234,4,FALSE),0)</f>
        <v>0</v>
      </c>
      <c r="BD177" s="67">
        <f ca="1">IF(E177-'Invoer gegevens'!$C$17&lt;15,0,1)</f>
        <v>1</v>
      </c>
    </row>
    <row r="178" spans="1:56" x14ac:dyDescent="0.25">
      <c r="A178" s="59"/>
      <c r="B178" s="70">
        <f t="shared" si="48"/>
        <v>174</v>
      </c>
      <c r="C178" s="67">
        <f ca="1">IF(E178-'Invoer gegevens'!$C$17&lt;0,0,1)</f>
        <v>1</v>
      </c>
      <c r="D178" s="68">
        <f t="shared" si="49"/>
        <v>173.5</v>
      </c>
      <c r="E178" s="108">
        <f ca="1">IF('Invoer gegevens'!$C$16="","",E177+1)</f>
        <v>2192</v>
      </c>
      <c r="F178" s="84">
        <f ca="1">IF('Invoer gegevens'!$C$17=E178,'Invoer gegevens'!$C$10,IF(C178=1,K177,0))</f>
        <v>0</v>
      </c>
      <c r="G178" s="96">
        <f ca="1">IF(BD178&lt;1,F178*Reeksen!C178,IF(C178&gt;=1,F178*BA178,0))</f>
        <v>0</v>
      </c>
      <c r="H178" s="84">
        <f ca="1">(1-('Invoer gegevens'!$F$20/12))*F178*MIN(BA178,BC178)</f>
        <v>0</v>
      </c>
      <c r="I178" s="84">
        <f t="shared" ca="1" si="34"/>
        <v>0</v>
      </c>
      <c r="J178" s="84">
        <f ca="1">('Invoer gegevens'!$F$20/12)*F177*MIN(BA178,BC178)</f>
        <v>0</v>
      </c>
      <c r="K178" s="97">
        <f t="shared" ca="1" si="39"/>
        <v>0</v>
      </c>
      <c r="L178" s="84">
        <f ca="1">IF('Invoer gegevens'!$C$17=E178,0,IF(C178=1,Q177,0))</f>
        <v>0</v>
      </c>
      <c r="M178" s="96">
        <f t="shared" ca="1" si="35"/>
        <v>0</v>
      </c>
      <c r="N178" s="84">
        <f ca="1">(1-('Invoer gegevens'!$F$20/12))*L178*MIN(BA178,BC178)</f>
        <v>0</v>
      </c>
      <c r="O178" s="84">
        <f t="shared" ca="1" si="36"/>
        <v>0</v>
      </c>
      <c r="P178" s="84">
        <f ca="1">('Invoer gegevens'!$F$20/12)*L177*MIN(BA178,BC178)</f>
        <v>0</v>
      </c>
      <c r="Q178" s="84">
        <f t="shared" ca="1" si="40"/>
        <v>0</v>
      </c>
      <c r="R178" s="85">
        <f ca="1">IF('Invoer gegevens'!$C$17=E178,'Invoer gegevens'!$C$11,IF(C178=1,W177,0))</f>
        <v>0</v>
      </c>
      <c r="S178" s="86">
        <f t="shared" ca="1" si="37"/>
        <v>0</v>
      </c>
      <c r="T178" s="86">
        <f ca="1">(1-('Invoer gegevens'!$F$20/12))*R178*MIN(BC178,BA178)</f>
        <v>0</v>
      </c>
      <c r="U178" s="86">
        <f ca="1">IF(BD178&lt;1,IF(Reeksen!AD178&lt;=Reeksen!AE178,R178*Reeksen!C178,0),IF(BC178&gt;=BA178,0,IF(Reeksen!AD178&lt;=Reeksen!AE178,(BA178-BC178)*R178,0)))</f>
        <v>0</v>
      </c>
      <c r="V178" s="86">
        <f ca="1">IF(BD178&lt;1,IF(Reeksen!AD178&gt;Reeksen!AE178,R178*Reeksen!C178,0),IF(BC178&gt;=BA178,0,IF(Reeksen!AD178&gt;Reeksen!AE178,(BA178-BC178)*R178,0)))</f>
        <v>0</v>
      </c>
      <c r="W178" s="218">
        <f t="shared" ca="1" si="41"/>
        <v>0</v>
      </c>
      <c r="X178" s="98">
        <f ca="1">IF('Invoer gegevens'!$C$17=E178,'Invoer gegevens'!$C$10-'Invoer gegevens'!$C$11,IF(C178=1,AC177,0))</f>
        <v>0</v>
      </c>
      <c r="Y178" s="98">
        <f t="shared" ca="1" si="38"/>
        <v>0</v>
      </c>
      <c r="Z178" s="98">
        <f ca="1">(1-('Invoer gegevens'!$F$20/12))*X178*MIN(BA178,BC178)</f>
        <v>0</v>
      </c>
      <c r="AA178" s="98">
        <f ca="1">IF(BD178&lt;1,IF(Reeksen!AD178&lt;=Reeksen!AE178,X178*Reeksen!C178,0),IF(BC178&gt;=BA178,0,IF(Reeksen!AD178&lt;=Reeksen!AE178,(BA178-BC178)*X178,0)))</f>
        <v>0</v>
      </c>
      <c r="AB178" s="98">
        <f ca="1">IF(BD178&lt;1,IF(Reeksen!AD178&gt;Reeksen!AE178,X178*Reeksen!C178,0),IF(BC178&gt;=BA178,0,IF(Reeksen!AD178&gt;Reeksen!AE178,(BA178-BC178)*X178,0)))</f>
        <v>0</v>
      </c>
      <c r="AC178" s="99">
        <f t="shared" ca="1" si="42"/>
        <v>0</v>
      </c>
      <c r="AD178" s="98">
        <f ca="1">IF('Invoer gegevens'!$C$17=E178,R178,IF(C178=0,0,AE177))</f>
        <v>0</v>
      </c>
      <c r="AE178" s="98">
        <f t="shared" ca="1" si="43"/>
        <v>0</v>
      </c>
      <c r="AF178" s="98">
        <f ca="1">IF('Invoer gegevens'!$C$17=E178,X178,IF(C178=0,0,AG177))</f>
        <v>0</v>
      </c>
      <c r="AG178" s="98">
        <f t="shared" ca="1" si="44"/>
        <v>0</v>
      </c>
      <c r="AH178" s="66"/>
      <c r="AI178" s="71">
        <f ca="1">IF(C178=1,Reeksen!AI178*((F178+K178)/2)*12+Reeksen!AD178*((L178+Q178)/2)*12,0)</f>
        <v>0</v>
      </c>
      <c r="AJ178" s="71">
        <f ca="1">-AI178*'Invoer gegevens'!$F$28</f>
        <v>0</v>
      </c>
      <c r="AK178" s="71">
        <f t="shared" ca="1" si="45"/>
        <v>0</v>
      </c>
      <c r="AL178" s="71">
        <f ca="1">IF(C178=1,Reeksen!AL178*((F178-G178+F178)/2)*12+Reeksen!AM178*((L178-M178+L178)/2)*12,0)</f>
        <v>0</v>
      </c>
      <c r="AM178" s="71">
        <f ca="1">-AL178*'Invoer gegevens'!$F$31</f>
        <v>0</v>
      </c>
      <c r="AN178" s="71">
        <f t="shared" ca="1" si="46"/>
        <v>0</v>
      </c>
      <c r="AO178" s="71">
        <f ca="1">IF(C178=1,(H178+J178+N178+P178)*Reeksen!AN178,0)</f>
        <v>0</v>
      </c>
      <c r="AP178" s="71">
        <f ca="1">-IF(C178=1,(H178+J178+N178+P178)*'Hulp - basis'!$G$550*Reeksen!H178,0)</f>
        <v>0</v>
      </c>
      <c r="AQ178" s="71">
        <f ca="1">-IF(C178=1,(F178+K178+L178+Q178)/2*'Invoer gegevens'!$F$35*Reeksen!J178,0)*2</f>
        <v>0</v>
      </c>
      <c r="AR178" s="71">
        <f ca="1">IF(BD178&lt;1,-IF(C178=1,(G178*'Invoer gegevens'!$F$36)*Reeksen!J178,0),0)</f>
        <v>0</v>
      </c>
      <c r="AS178" s="71">
        <f ca="1">-IF(C178=1,(F178+K178+L178+Q178)/2*'Invoer gegevens'!$F$37*Reeksen!L178,0)</f>
        <v>0</v>
      </c>
      <c r="AT178" s="71">
        <f ca="1">-IF(C178=1,IF(E178='Invoer gegevens'!$C$17,'Invoer gegevens'!$C$11,AD178)*Reeksen!S178*'Invoer gegevens'!$C$18*Reeksen!P178,0)</f>
        <v>0</v>
      </c>
      <c r="AU178" s="71">
        <f ca="1">-IF(C178=1,(F178+K178+L178+Q178)/2*'Invoer gegevens'!$F$38*Reeksen!H178,0)</f>
        <v>0</v>
      </c>
      <c r="AV178" s="71">
        <f t="shared" si="50"/>
        <v>0</v>
      </c>
      <c r="AW178" s="71">
        <f t="shared" ca="1" si="47"/>
        <v>0</v>
      </c>
      <c r="AX178" s="71">
        <f ca="1">IF(E178&lt;'Invoer gegevens'!$C$17+15,0,IF(E178&gt;'Invoer gegevens'!$C$17+215,0,AW178))</f>
        <v>0</v>
      </c>
      <c r="AY178" s="71">
        <f ca="1">AX178/(1+'Invoer gegevens'!$F$18)^($AZ178-('Invoer gegevens'!$C$17-'Invoer gegevens'!$C$16))/(1+'Invoer gegevens'!$C$39)^('Invoer gegevens'!$C$17-'Invoer gegevens'!$C$16)</f>
        <v>0</v>
      </c>
      <c r="AZ178" s="68">
        <f ca="1">IF(E178-'Invoer gegevens'!$C$17-14.5&lt;0,0,E178-'Invoer gegevens'!$C$17-14.5)</f>
        <v>158.5</v>
      </c>
      <c r="BA178" s="109">
        <f ca="1">IFERROR(VLOOKUP(E178-15,Reeksen!$A$5:$D$234,2,FALSE),0)</f>
        <v>0</v>
      </c>
      <c r="BB178" s="109">
        <f ca="1">IFERROR(VLOOKUP(E178-15,Reeksen!$A$5:$D$234,3,FALSE),0)</f>
        <v>0</v>
      </c>
      <c r="BC178" s="109">
        <f ca="1">IFERROR(VLOOKUP(E178-15,Reeksen!$A$5:$D$234,4,FALSE),0)</f>
        <v>0</v>
      </c>
      <c r="BD178" s="67">
        <f ca="1">IF(E178-'Invoer gegevens'!$C$17&lt;15,0,1)</f>
        <v>1</v>
      </c>
    </row>
    <row r="179" spans="1:56" x14ac:dyDescent="0.25">
      <c r="A179" s="59"/>
      <c r="B179" s="70">
        <f t="shared" si="48"/>
        <v>175</v>
      </c>
      <c r="C179" s="67">
        <f ca="1">IF(E179-'Invoer gegevens'!$C$17&lt;0,0,1)</f>
        <v>1</v>
      </c>
      <c r="D179" s="68">
        <f t="shared" si="49"/>
        <v>174.5</v>
      </c>
      <c r="E179" s="108">
        <f ca="1">IF('Invoer gegevens'!$C$16="","",E178+1)</f>
        <v>2193</v>
      </c>
      <c r="F179" s="84">
        <f ca="1">IF('Invoer gegevens'!$C$17=E179,'Invoer gegevens'!$C$10,IF(C179=1,K178,0))</f>
        <v>0</v>
      </c>
      <c r="G179" s="96">
        <f ca="1">IF(BD179&lt;1,F179*Reeksen!C179,IF(C179&gt;=1,F179*BA179,0))</f>
        <v>0</v>
      </c>
      <c r="H179" s="84">
        <f ca="1">(1-('Invoer gegevens'!$F$20/12))*F179*MIN(BA179,BC179)</f>
        <v>0</v>
      </c>
      <c r="I179" s="84">
        <f t="shared" ca="1" si="34"/>
        <v>0</v>
      </c>
      <c r="J179" s="84">
        <f ca="1">('Invoer gegevens'!$F$20/12)*F178*MIN(BA179,BC179)</f>
        <v>0</v>
      </c>
      <c r="K179" s="97">
        <f t="shared" ca="1" si="39"/>
        <v>0</v>
      </c>
      <c r="L179" s="84">
        <f ca="1">IF('Invoer gegevens'!$C$17=E179,0,IF(C179=1,Q178,0))</f>
        <v>0</v>
      </c>
      <c r="M179" s="96">
        <f t="shared" ca="1" si="35"/>
        <v>0</v>
      </c>
      <c r="N179" s="84">
        <f ca="1">(1-('Invoer gegevens'!$F$20/12))*L179*MIN(BA179,BC179)</f>
        <v>0</v>
      </c>
      <c r="O179" s="84">
        <f t="shared" ca="1" si="36"/>
        <v>0</v>
      </c>
      <c r="P179" s="84">
        <f ca="1">('Invoer gegevens'!$F$20/12)*L178*MIN(BA179,BC179)</f>
        <v>0</v>
      </c>
      <c r="Q179" s="84">
        <f t="shared" ca="1" si="40"/>
        <v>0</v>
      </c>
      <c r="R179" s="85">
        <f ca="1">IF('Invoer gegevens'!$C$17=E179,'Invoer gegevens'!$C$11,IF(C179=1,W178,0))</f>
        <v>0</v>
      </c>
      <c r="S179" s="86">
        <f t="shared" ca="1" si="37"/>
        <v>0</v>
      </c>
      <c r="T179" s="86">
        <f ca="1">(1-('Invoer gegevens'!$F$20/12))*R179*MIN(BC179,BA179)</f>
        <v>0</v>
      </c>
      <c r="U179" s="86">
        <f ca="1">IF(BD179&lt;1,IF(Reeksen!AD179&lt;=Reeksen!AE179,R179*Reeksen!C179,0),IF(BC179&gt;=BA179,0,IF(Reeksen!AD179&lt;=Reeksen!AE179,(BA179-BC179)*R179,0)))</f>
        <v>0</v>
      </c>
      <c r="V179" s="86">
        <f ca="1">IF(BD179&lt;1,IF(Reeksen!AD179&gt;Reeksen!AE179,R179*Reeksen!C179,0),IF(BC179&gt;=BA179,0,IF(Reeksen!AD179&gt;Reeksen!AE179,(BA179-BC179)*R179,0)))</f>
        <v>0</v>
      </c>
      <c r="W179" s="218">
        <f t="shared" ca="1" si="41"/>
        <v>0</v>
      </c>
      <c r="X179" s="98">
        <f ca="1">IF('Invoer gegevens'!$C$17=E179,'Invoer gegevens'!$C$10-'Invoer gegevens'!$C$11,IF(C179=1,AC178,0))</f>
        <v>0</v>
      </c>
      <c r="Y179" s="98">
        <f t="shared" ca="1" si="38"/>
        <v>0</v>
      </c>
      <c r="Z179" s="98">
        <f ca="1">(1-('Invoer gegevens'!$F$20/12))*X179*MIN(BA179,BC179)</f>
        <v>0</v>
      </c>
      <c r="AA179" s="98">
        <f ca="1">IF(BD179&lt;1,IF(Reeksen!AD179&lt;=Reeksen!AE179,X179*Reeksen!C179,0),IF(BC179&gt;=BA179,0,IF(Reeksen!AD179&lt;=Reeksen!AE179,(BA179-BC179)*X179,0)))</f>
        <v>0</v>
      </c>
      <c r="AB179" s="98">
        <f ca="1">IF(BD179&lt;1,IF(Reeksen!AD179&gt;Reeksen!AE179,X179*Reeksen!C179,0),IF(BC179&gt;=BA179,0,IF(Reeksen!AD179&gt;Reeksen!AE179,(BA179-BC179)*X179,0)))</f>
        <v>0</v>
      </c>
      <c r="AC179" s="99">
        <f t="shared" ca="1" si="42"/>
        <v>0</v>
      </c>
      <c r="AD179" s="98">
        <f ca="1">IF('Invoer gegevens'!$C$17=E179,R179,IF(C179=0,0,AE178))</f>
        <v>0</v>
      </c>
      <c r="AE179" s="98">
        <f t="shared" ca="1" si="43"/>
        <v>0</v>
      </c>
      <c r="AF179" s="98">
        <f ca="1">IF('Invoer gegevens'!$C$17=E179,X179,IF(C179=0,0,AG178))</f>
        <v>0</v>
      </c>
      <c r="AG179" s="98">
        <f t="shared" ca="1" si="44"/>
        <v>0</v>
      </c>
      <c r="AH179" s="66"/>
      <c r="AI179" s="71">
        <f ca="1">IF(C179=1,Reeksen!AI179*((F179+K179)/2)*12+Reeksen!AD179*((L179+Q179)/2)*12,0)</f>
        <v>0</v>
      </c>
      <c r="AJ179" s="71">
        <f ca="1">-AI179*'Invoer gegevens'!$F$28</f>
        <v>0</v>
      </c>
      <c r="AK179" s="71">
        <f t="shared" ca="1" si="45"/>
        <v>0</v>
      </c>
      <c r="AL179" s="71">
        <f ca="1">IF(C179=1,Reeksen!AL179*((F179-G179+F179)/2)*12+Reeksen!AM179*((L179-M179+L179)/2)*12,0)</f>
        <v>0</v>
      </c>
      <c r="AM179" s="71">
        <f ca="1">-AL179*'Invoer gegevens'!$F$31</f>
        <v>0</v>
      </c>
      <c r="AN179" s="71">
        <f t="shared" ca="1" si="46"/>
        <v>0</v>
      </c>
      <c r="AO179" s="71">
        <f ca="1">IF(C179=1,(H179+J179+N179+P179)*Reeksen!AN179,0)</f>
        <v>0</v>
      </c>
      <c r="AP179" s="71">
        <f ca="1">-IF(C179=1,(H179+J179+N179+P179)*'Hulp - basis'!$G$550*Reeksen!H179,0)</f>
        <v>0</v>
      </c>
      <c r="AQ179" s="71">
        <f ca="1">-IF(C179=1,(F179+K179+L179+Q179)/2*'Invoer gegevens'!$F$35*Reeksen!J179,0)*2</f>
        <v>0</v>
      </c>
      <c r="AR179" s="71">
        <f ca="1">IF(BD179&lt;1,-IF(C179=1,(G179*'Invoer gegevens'!$F$36)*Reeksen!J179,0),0)</f>
        <v>0</v>
      </c>
      <c r="AS179" s="71">
        <f ca="1">-IF(C179=1,(F179+K179+L179+Q179)/2*'Invoer gegevens'!$F$37*Reeksen!L179,0)</f>
        <v>0</v>
      </c>
      <c r="AT179" s="71">
        <f ca="1">-IF(C179=1,IF(E179='Invoer gegevens'!$C$17,'Invoer gegevens'!$C$11,AD179)*Reeksen!S179*'Invoer gegevens'!$C$18*Reeksen!P179,0)</f>
        <v>0</v>
      </c>
      <c r="AU179" s="71">
        <f ca="1">-IF(C179=1,(F179+K179+L179+Q179)/2*'Invoer gegevens'!$F$38*Reeksen!H179,0)</f>
        <v>0</v>
      </c>
      <c r="AV179" s="71">
        <f t="shared" si="50"/>
        <v>0</v>
      </c>
      <c r="AW179" s="71">
        <f t="shared" ca="1" si="47"/>
        <v>0</v>
      </c>
      <c r="AX179" s="71">
        <f ca="1">IF(E179&lt;'Invoer gegevens'!$C$17+15,0,IF(E179&gt;'Invoer gegevens'!$C$17+215,0,AW179))</f>
        <v>0</v>
      </c>
      <c r="AY179" s="71">
        <f ca="1">AX179/(1+'Invoer gegevens'!$F$18)^($AZ179-('Invoer gegevens'!$C$17-'Invoer gegevens'!$C$16))/(1+'Invoer gegevens'!$C$39)^('Invoer gegevens'!$C$17-'Invoer gegevens'!$C$16)</f>
        <v>0</v>
      </c>
      <c r="AZ179" s="68">
        <f ca="1">IF(E179-'Invoer gegevens'!$C$17-14.5&lt;0,0,E179-'Invoer gegevens'!$C$17-14.5)</f>
        <v>159.5</v>
      </c>
      <c r="BA179" s="109">
        <f ca="1">IFERROR(VLOOKUP(E179-15,Reeksen!$A$5:$D$234,2,FALSE),0)</f>
        <v>0</v>
      </c>
      <c r="BB179" s="109">
        <f ca="1">IFERROR(VLOOKUP(E179-15,Reeksen!$A$5:$D$234,3,FALSE),0)</f>
        <v>0</v>
      </c>
      <c r="BC179" s="109">
        <f ca="1">IFERROR(VLOOKUP(E179-15,Reeksen!$A$5:$D$234,4,FALSE),0)</f>
        <v>0</v>
      </c>
      <c r="BD179" s="67">
        <f ca="1">IF(E179-'Invoer gegevens'!$C$17&lt;15,0,1)</f>
        <v>1</v>
      </c>
    </row>
    <row r="180" spans="1:56" x14ac:dyDescent="0.25">
      <c r="A180" s="59"/>
      <c r="B180" s="70">
        <f t="shared" si="48"/>
        <v>176</v>
      </c>
      <c r="C180" s="67">
        <f ca="1">IF(E180-'Invoer gegevens'!$C$17&lt;0,0,1)</f>
        <v>1</v>
      </c>
      <c r="D180" s="68">
        <f t="shared" si="49"/>
        <v>175.5</v>
      </c>
      <c r="E180" s="108">
        <f ca="1">IF('Invoer gegevens'!$C$16="","",E179+1)</f>
        <v>2194</v>
      </c>
      <c r="F180" s="84">
        <f ca="1">IF('Invoer gegevens'!$C$17=E180,'Invoer gegevens'!$C$10,IF(C180=1,K179,0))</f>
        <v>0</v>
      </c>
      <c r="G180" s="96">
        <f ca="1">IF(BD180&lt;1,F180*Reeksen!C180,IF(C180&gt;=1,F180*BA180,0))</f>
        <v>0</v>
      </c>
      <c r="H180" s="84">
        <f ca="1">(1-('Invoer gegevens'!$F$20/12))*F180*MIN(BA180,BC180)</f>
        <v>0</v>
      </c>
      <c r="I180" s="84">
        <f t="shared" ca="1" si="34"/>
        <v>0</v>
      </c>
      <c r="J180" s="84">
        <f ca="1">('Invoer gegevens'!$F$20/12)*F179*MIN(BA180,BC180)</f>
        <v>0</v>
      </c>
      <c r="K180" s="97">
        <f t="shared" ca="1" si="39"/>
        <v>0</v>
      </c>
      <c r="L180" s="84">
        <f ca="1">IF('Invoer gegevens'!$C$17=E180,0,IF(C180=1,Q179,0))</f>
        <v>0</v>
      </c>
      <c r="M180" s="96">
        <f t="shared" ca="1" si="35"/>
        <v>0</v>
      </c>
      <c r="N180" s="84">
        <f ca="1">(1-('Invoer gegevens'!$F$20/12))*L180*MIN(BA180,BC180)</f>
        <v>0</v>
      </c>
      <c r="O180" s="84">
        <f t="shared" ca="1" si="36"/>
        <v>0</v>
      </c>
      <c r="P180" s="84">
        <f ca="1">('Invoer gegevens'!$F$20/12)*L179*MIN(BA180,BC180)</f>
        <v>0</v>
      </c>
      <c r="Q180" s="84">
        <f t="shared" ca="1" si="40"/>
        <v>0</v>
      </c>
      <c r="R180" s="85">
        <f ca="1">IF('Invoer gegevens'!$C$17=E180,'Invoer gegevens'!$C$11,IF(C180=1,W179,0))</f>
        <v>0</v>
      </c>
      <c r="S180" s="86">
        <f t="shared" ca="1" si="37"/>
        <v>0</v>
      </c>
      <c r="T180" s="86">
        <f ca="1">(1-('Invoer gegevens'!$F$20/12))*R180*MIN(BC180,BA180)</f>
        <v>0</v>
      </c>
      <c r="U180" s="86">
        <f ca="1">IF(BD180&lt;1,IF(Reeksen!AD180&lt;=Reeksen!AE180,R180*Reeksen!C180,0),IF(BC180&gt;=BA180,0,IF(Reeksen!AD180&lt;=Reeksen!AE180,(BA180-BC180)*R180,0)))</f>
        <v>0</v>
      </c>
      <c r="V180" s="86">
        <f ca="1">IF(BD180&lt;1,IF(Reeksen!AD180&gt;Reeksen!AE180,R180*Reeksen!C180,0),IF(BC180&gt;=BA180,0,IF(Reeksen!AD180&gt;Reeksen!AE180,(BA180-BC180)*R180,0)))</f>
        <v>0</v>
      </c>
      <c r="W180" s="218">
        <f t="shared" ca="1" si="41"/>
        <v>0</v>
      </c>
      <c r="X180" s="98">
        <f ca="1">IF('Invoer gegevens'!$C$17=E180,'Invoer gegevens'!$C$10-'Invoer gegevens'!$C$11,IF(C180=1,AC179,0))</f>
        <v>0</v>
      </c>
      <c r="Y180" s="98">
        <f t="shared" ca="1" si="38"/>
        <v>0</v>
      </c>
      <c r="Z180" s="98">
        <f ca="1">(1-('Invoer gegevens'!$F$20/12))*X180*MIN(BA180,BC180)</f>
        <v>0</v>
      </c>
      <c r="AA180" s="98">
        <f ca="1">IF(BD180&lt;1,IF(Reeksen!AD180&lt;=Reeksen!AE180,X180*Reeksen!C180,0),IF(BC180&gt;=BA180,0,IF(Reeksen!AD180&lt;=Reeksen!AE180,(BA180-BC180)*X180,0)))</f>
        <v>0</v>
      </c>
      <c r="AB180" s="98">
        <f ca="1">IF(BD180&lt;1,IF(Reeksen!AD180&gt;Reeksen!AE180,X180*Reeksen!C180,0),IF(BC180&gt;=BA180,0,IF(Reeksen!AD180&gt;Reeksen!AE180,(BA180-BC180)*X180,0)))</f>
        <v>0</v>
      </c>
      <c r="AC180" s="99">
        <f t="shared" ca="1" si="42"/>
        <v>0</v>
      </c>
      <c r="AD180" s="98">
        <f ca="1">IF('Invoer gegevens'!$C$17=E180,R180,IF(C180=0,0,AE179))</f>
        <v>0</v>
      </c>
      <c r="AE180" s="98">
        <f t="shared" ca="1" si="43"/>
        <v>0</v>
      </c>
      <c r="AF180" s="98">
        <f ca="1">IF('Invoer gegevens'!$C$17=E180,X180,IF(C180=0,0,AG179))</f>
        <v>0</v>
      </c>
      <c r="AG180" s="98">
        <f t="shared" ca="1" si="44"/>
        <v>0</v>
      </c>
      <c r="AH180" s="66"/>
      <c r="AI180" s="71">
        <f ca="1">IF(C180=1,Reeksen!AI180*((F180+K180)/2)*12+Reeksen!AD180*((L180+Q180)/2)*12,0)</f>
        <v>0</v>
      </c>
      <c r="AJ180" s="71">
        <f ca="1">-AI180*'Invoer gegevens'!$F$28</f>
        <v>0</v>
      </c>
      <c r="AK180" s="71">
        <f t="shared" ca="1" si="45"/>
        <v>0</v>
      </c>
      <c r="AL180" s="71">
        <f ca="1">IF(C180=1,Reeksen!AL180*((F180-G180+F180)/2)*12+Reeksen!AM180*((L180-M180+L180)/2)*12,0)</f>
        <v>0</v>
      </c>
      <c r="AM180" s="71">
        <f ca="1">-AL180*'Invoer gegevens'!$F$31</f>
        <v>0</v>
      </c>
      <c r="AN180" s="71">
        <f t="shared" ca="1" si="46"/>
        <v>0</v>
      </c>
      <c r="AO180" s="71">
        <f ca="1">IF(C180=1,(H180+J180+N180+P180)*Reeksen!AN180,0)</f>
        <v>0</v>
      </c>
      <c r="AP180" s="71">
        <f ca="1">-IF(C180=1,(H180+J180+N180+P180)*'Hulp - basis'!$G$550*Reeksen!H180,0)</f>
        <v>0</v>
      </c>
      <c r="AQ180" s="71">
        <f ca="1">-IF(C180=1,(F180+K180+L180+Q180)/2*'Invoer gegevens'!$F$35*Reeksen!J180,0)*2</f>
        <v>0</v>
      </c>
      <c r="AR180" s="71">
        <f ca="1">IF(BD180&lt;1,-IF(C180=1,(G180*'Invoer gegevens'!$F$36)*Reeksen!J180,0),0)</f>
        <v>0</v>
      </c>
      <c r="AS180" s="71">
        <f ca="1">-IF(C180=1,(F180+K180+L180+Q180)/2*'Invoer gegevens'!$F$37*Reeksen!L180,0)</f>
        <v>0</v>
      </c>
      <c r="AT180" s="71">
        <f ca="1">-IF(C180=1,IF(E180='Invoer gegevens'!$C$17,'Invoer gegevens'!$C$11,AD180)*Reeksen!S180*'Invoer gegevens'!$C$18*Reeksen!P180,0)</f>
        <v>0</v>
      </c>
      <c r="AU180" s="71">
        <f ca="1">-IF(C180=1,(F180+K180+L180+Q180)/2*'Invoer gegevens'!$F$38*Reeksen!H180,0)</f>
        <v>0</v>
      </c>
      <c r="AV180" s="71">
        <f t="shared" si="50"/>
        <v>0</v>
      </c>
      <c r="AW180" s="71">
        <f t="shared" ca="1" si="47"/>
        <v>0</v>
      </c>
      <c r="AX180" s="71">
        <f ca="1">IF(E180&lt;'Invoer gegevens'!$C$17+15,0,IF(E180&gt;'Invoer gegevens'!$C$17+215,0,AW180))</f>
        <v>0</v>
      </c>
      <c r="AY180" s="71">
        <f ca="1">AX180/(1+'Invoer gegevens'!$F$18)^($AZ180-('Invoer gegevens'!$C$17-'Invoer gegevens'!$C$16))/(1+'Invoer gegevens'!$C$39)^('Invoer gegevens'!$C$17-'Invoer gegevens'!$C$16)</f>
        <v>0</v>
      </c>
      <c r="AZ180" s="68">
        <f ca="1">IF(E180-'Invoer gegevens'!$C$17-14.5&lt;0,0,E180-'Invoer gegevens'!$C$17-14.5)</f>
        <v>160.5</v>
      </c>
      <c r="BA180" s="109">
        <f ca="1">IFERROR(VLOOKUP(E180-15,Reeksen!$A$5:$D$234,2,FALSE),0)</f>
        <v>0</v>
      </c>
      <c r="BB180" s="109">
        <f ca="1">IFERROR(VLOOKUP(E180-15,Reeksen!$A$5:$D$234,3,FALSE),0)</f>
        <v>0</v>
      </c>
      <c r="BC180" s="109">
        <f ca="1">IFERROR(VLOOKUP(E180-15,Reeksen!$A$5:$D$234,4,FALSE),0)</f>
        <v>0</v>
      </c>
      <c r="BD180" s="67">
        <f ca="1">IF(E180-'Invoer gegevens'!$C$17&lt;15,0,1)</f>
        <v>1</v>
      </c>
    </row>
    <row r="181" spans="1:56" x14ac:dyDescent="0.25">
      <c r="A181" s="59"/>
      <c r="B181" s="70">
        <f t="shared" si="48"/>
        <v>177</v>
      </c>
      <c r="C181" s="67">
        <f ca="1">IF(E181-'Invoer gegevens'!$C$17&lt;0,0,1)</f>
        <v>1</v>
      </c>
      <c r="D181" s="68">
        <f t="shared" si="49"/>
        <v>176.5</v>
      </c>
      <c r="E181" s="108">
        <f ca="1">IF('Invoer gegevens'!$C$16="","",E180+1)</f>
        <v>2195</v>
      </c>
      <c r="F181" s="84">
        <f ca="1">IF('Invoer gegevens'!$C$17=E181,'Invoer gegevens'!$C$10,IF(C181=1,K180,0))</f>
        <v>0</v>
      </c>
      <c r="G181" s="96">
        <f ca="1">IF(BD181&lt;1,F181*Reeksen!C181,IF(C181&gt;=1,F181*BA181,0))</f>
        <v>0</v>
      </c>
      <c r="H181" s="84">
        <f ca="1">(1-('Invoer gegevens'!$F$20/12))*F181*MIN(BA181,BC181)</f>
        <v>0</v>
      </c>
      <c r="I181" s="84">
        <f t="shared" ca="1" si="34"/>
        <v>0</v>
      </c>
      <c r="J181" s="84">
        <f ca="1">('Invoer gegevens'!$F$20/12)*F180*MIN(BA181,BC181)</f>
        <v>0</v>
      </c>
      <c r="K181" s="97">
        <f t="shared" ca="1" si="39"/>
        <v>0</v>
      </c>
      <c r="L181" s="84">
        <f ca="1">IF('Invoer gegevens'!$C$17=E181,0,IF(C181=1,Q180,0))</f>
        <v>0</v>
      </c>
      <c r="M181" s="96">
        <f t="shared" ca="1" si="35"/>
        <v>0</v>
      </c>
      <c r="N181" s="84">
        <f ca="1">(1-('Invoer gegevens'!$F$20/12))*L181*MIN(BA181,BC181)</f>
        <v>0</v>
      </c>
      <c r="O181" s="84">
        <f t="shared" ca="1" si="36"/>
        <v>0</v>
      </c>
      <c r="P181" s="84">
        <f ca="1">('Invoer gegevens'!$F$20/12)*L180*MIN(BA181,BC181)</f>
        <v>0</v>
      </c>
      <c r="Q181" s="84">
        <f t="shared" ca="1" si="40"/>
        <v>0</v>
      </c>
      <c r="R181" s="85">
        <f ca="1">IF('Invoer gegevens'!$C$17=E181,'Invoer gegevens'!$C$11,IF(C181=1,W180,0))</f>
        <v>0</v>
      </c>
      <c r="S181" s="86">
        <f t="shared" ca="1" si="37"/>
        <v>0</v>
      </c>
      <c r="T181" s="86">
        <f ca="1">(1-('Invoer gegevens'!$F$20/12))*R181*MIN(BC181,BA181)</f>
        <v>0</v>
      </c>
      <c r="U181" s="86">
        <f ca="1">IF(BD181&lt;1,IF(Reeksen!AD181&lt;=Reeksen!AE181,R181*Reeksen!C181,0),IF(BC181&gt;=BA181,0,IF(Reeksen!AD181&lt;=Reeksen!AE181,(BA181-BC181)*R181,0)))</f>
        <v>0</v>
      </c>
      <c r="V181" s="86">
        <f ca="1">IF(BD181&lt;1,IF(Reeksen!AD181&gt;Reeksen!AE181,R181*Reeksen!C181,0),IF(BC181&gt;=BA181,0,IF(Reeksen!AD181&gt;Reeksen!AE181,(BA181-BC181)*R181,0)))</f>
        <v>0</v>
      </c>
      <c r="W181" s="218">
        <f t="shared" ca="1" si="41"/>
        <v>0</v>
      </c>
      <c r="X181" s="98">
        <f ca="1">IF('Invoer gegevens'!$C$17=E181,'Invoer gegevens'!$C$10-'Invoer gegevens'!$C$11,IF(C181=1,AC180,0))</f>
        <v>0</v>
      </c>
      <c r="Y181" s="98">
        <f t="shared" ca="1" si="38"/>
        <v>0</v>
      </c>
      <c r="Z181" s="98">
        <f ca="1">(1-('Invoer gegevens'!$F$20/12))*X181*MIN(BA181,BC181)</f>
        <v>0</v>
      </c>
      <c r="AA181" s="98">
        <f ca="1">IF(BD181&lt;1,IF(Reeksen!AD181&lt;=Reeksen!AE181,X181*Reeksen!C181,0),IF(BC181&gt;=BA181,0,IF(Reeksen!AD181&lt;=Reeksen!AE181,(BA181-BC181)*X181,0)))</f>
        <v>0</v>
      </c>
      <c r="AB181" s="98">
        <f ca="1">IF(BD181&lt;1,IF(Reeksen!AD181&gt;Reeksen!AE181,X181*Reeksen!C181,0),IF(BC181&gt;=BA181,0,IF(Reeksen!AD181&gt;Reeksen!AE181,(BA181-BC181)*X181,0)))</f>
        <v>0</v>
      </c>
      <c r="AC181" s="99">
        <f t="shared" ca="1" si="42"/>
        <v>0</v>
      </c>
      <c r="AD181" s="98">
        <f ca="1">IF('Invoer gegevens'!$C$17=E181,R181,IF(C181=0,0,AE180))</f>
        <v>0</v>
      </c>
      <c r="AE181" s="98">
        <f t="shared" ca="1" si="43"/>
        <v>0</v>
      </c>
      <c r="AF181" s="98">
        <f ca="1">IF('Invoer gegevens'!$C$17=E181,X181,IF(C181=0,0,AG180))</f>
        <v>0</v>
      </c>
      <c r="AG181" s="98">
        <f t="shared" ca="1" si="44"/>
        <v>0</v>
      </c>
      <c r="AH181" s="66"/>
      <c r="AI181" s="71">
        <f ca="1">IF(C181=1,Reeksen!AI181*((F181+K181)/2)*12+Reeksen!AD181*((L181+Q181)/2)*12,0)</f>
        <v>0</v>
      </c>
      <c r="AJ181" s="71">
        <f ca="1">-AI181*'Invoer gegevens'!$F$28</f>
        <v>0</v>
      </c>
      <c r="AK181" s="71">
        <f t="shared" ca="1" si="45"/>
        <v>0</v>
      </c>
      <c r="AL181" s="71">
        <f ca="1">IF(C181=1,Reeksen!AL181*((F181-G181+F181)/2)*12+Reeksen!AM181*((L181-M181+L181)/2)*12,0)</f>
        <v>0</v>
      </c>
      <c r="AM181" s="71">
        <f ca="1">-AL181*'Invoer gegevens'!$F$31</f>
        <v>0</v>
      </c>
      <c r="AN181" s="71">
        <f t="shared" ca="1" si="46"/>
        <v>0</v>
      </c>
      <c r="AO181" s="71">
        <f ca="1">IF(C181=1,(H181+J181+N181+P181)*Reeksen!AN181,0)</f>
        <v>0</v>
      </c>
      <c r="AP181" s="71">
        <f ca="1">-IF(C181=1,(H181+J181+N181+P181)*'Hulp - basis'!$G$550*Reeksen!H181,0)</f>
        <v>0</v>
      </c>
      <c r="AQ181" s="71">
        <f ca="1">-IF(C181=1,(F181+K181+L181+Q181)/2*'Invoer gegevens'!$F$35*Reeksen!J181,0)*2</f>
        <v>0</v>
      </c>
      <c r="AR181" s="71">
        <f ca="1">IF(BD181&lt;1,-IF(C181=1,(G181*'Invoer gegevens'!$F$36)*Reeksen!J181,0),0)</f>
        <v>0</v>
      </c>
      <c r="AS181" s="71">
        <f ca="1">-IF(C181=1,(F181+K181+L181+Q181)/2*'Invoer gegevens'!$F$37*Reeksen!L181,0)</f>
        <v>0</v>
      </c>
      <c r="AT181" s="71">
        <f ca="1">-IF(C181=1,IF(E181='Invoer gegevens'!$C$17,'Invoer gegevens'!$C$11,AD181)*Reeksen!S181*'Invoer gegevens'!$C$18*Reeksen!P181,0)</f>
        <v>0</v>
      </c>
      <c r="AU181" s="71">
        <f ca="1">-IF(C181=1,(F181+K181+L181+Q181)/2*'Invoer gegevens'!$F$38*Reeksen!H181,0)</f>
        <v>0</v>
      </c>
      <c r="AV181" s="71">
        <f t="shared" si="50"/>
        <v>0</v>
      </c>
      <c r="AW181" s="71">
        <f t="shared" ca="1" si="47"/>
        <v>0</v>
      </c>
      <c r="AX181" s="71">
        <f ca="1">IF(E181&lt;'Invoer gegevens'!$C$17+15,0,IF(E181&gt;'Invoer gegevens'!$C$17+215,0,AW181))</f>
        <v>0</v>
      </c>
      <c r="AY181" s="71">
        <f ca="1">AX181/(1+'Invoer gegevens'!$F$18)^($AZ181-('Invoer gegevens'!$C$17-'Invoer gegevens'!$C$16))/(1+'Invoer gegevens'!$C$39)^('Invoer gegevens'!$C$17-'Invoer gegevens'!$C$16)</f>
        <v>0</v>
      </c>
      <c r="AZ181" s="68">
        <f ca="1">IF(E181-'Invoer gegevens'!$C$17-14.5&lt;0,0,E181-'Invoer gegevens'!$C$17-14.5)</f>
        <v>161.5</v>
      </c>
      <c r="BA181" s="109">
        <f ca="1">IFERROR(VLOOKUP(E181-15,Reeksen!$A$5:$D$234,2,FALSE),0)</f>
        <v>0</v>
      </c>
      <c r="BB181" s="109">
        <f ca="1">IFERROR(VLOOKUP(E181-15,Reeksen!$A$5:$D$234,3,FALSE),0)</f>
        <v>0</v>
      </c>
      <c r="BC181" s="109">
        <f ca="1">IFERROR(VLOOKUP(E181-15,Reeksen!$A$5:$D$234,4,FALSE),0)</f>
        <v>0</v>
      </c>
      <c r="BD181" s="67">
        <f ca="1">IF(E181-'Invoer gegevens'!$C$17&lt;15,0,1)</f>
        <v>1</v>
      </c>
    </row>
    <row r="182" spans="1:56" x14ac:dyDescent="0.25">
      <c r="A182" s="59"/>
      <c r="B182" s="70">
        <f t="shared" si="48"/>
        <v>178</v>
      </c>
      <c r="C182" s="67">
        <f ca="1">IF(E182-'Invoer gegevens'!$C$17&lt;0,0,1)</f>
        <v>1</v>
      </c>
      <c r="D182" s="68">
        <f t="shared" si="49"/>
        <v>177.5</v>
      </c>
      <c r="E182" s="108">
        <f ca="1">IF('Invoer gegevens'!$C$16="","",E181+1)</f>
        <v>2196</v>
      </c>
      <c r="F182" s="84">
        <f ca="1">IF('Invoer gegevens'!$C$17=E182,'Invoer gegevens'!$C$10,IF(C182=1,K181,0))</f>
        <v>0</v>
      </c>
      <c r="G182" s="96">
        <f ca="1">IF(BD182&lt;1,F182*Reeksen!C182,IF(C182&gt;=1,F182*BA182,0))</f>
        <v>0</v>
      </c>
      <c r="H182" s="84">
        <f ca="1">(1-('Invoer gegevens'!$F$20/12))*F182*MIN(BA182,BC182)</f>
        <v>0</v>
      </c>
      <c r="I182" s="84">
        <f t="shared" ca="1" si="34"/>
        <v>0</v>
      </c>
      <c r="J182" s="84">
        <f ca="1">('Invoer gegevens'!$F$20/12)*F181*MIN(BA182,BC182)</f>
        <v>0</v>
      </c>
      <c r="K182" s="97">
        <f t="shared" ca="1" si="39"/>
        <v>0</v>
      </c>
      <c r="L182" s="84">
        <f ca="1">IF('Invoer gegevens'!$C$17=E182,0,IF(C182=1,Q181,0))</f>
        <v>0</v>
      </c>
      <c r="M182" s="96">
        <f t="shared" ca="1" si="35"/>
        <v>0</v>
      </c>
      <c r="N182" s="84">
        <f ca="1">(1-('Invoer gegevens'!$F$20/12))*L182*MIN(BA182,BC182)</f>
        <v>0</v>
      </c>
      <c r="O182" s="84">
        <f t="shared" ca="1" si="36"/>
        <v>0</v>
      </c>
      <c r="P182" s="84">
        <f ca="1">('Invoer gegevens'!$F$20/12)*L181*MIN(BA182,BC182)</f>
        <v>0</v>
      </c>
      <c r="Q182" s="84">
        <f t="shared" ca="1" si="40"/>
        <v>0</v>
      </c>
      <c r="R182" s="85">
        <f ca="1">IF('Invoer gegevens'!$C$17=E182,'Invoer gegevens'!$C$11,IF(C182=1,W181,0))</f>
        <v>0</v>
      </c>
      <c r="S182" s="86">
        <f t="shared" ca="1" si="37"/>
        <v>0</v>
      </c>
      <c r="T182" s="86">
        <f ca="1">(1-('Invoer gegevens'!$F$20/12))*R182*MIN(BC182,BA182)</f>
        <v>0</v>
      </c>
      <c r="U182" s="86">
        <f ca="1">IF(BD182&lt;1,IF(Reeksen!AD182&lt;=Reeksen!AE182,R182*Reeksen!C182,0),IF(BC182&gt;=BA182,0,IF(Reeksen!AD182&lt;=Reeksen!AE182,(BA182-BC182)*R182,0)))</f>
        <v>0</v>
      </c>
      <c r="V182" s="86">
        <f ca="1">IF(BD182&lt;1,IF(Reeksen!AD182&gt;Reeksen!AE182,R182*Reeksen!C182,0),IF(BC182&gt;=BA182,0,IF(Reeksen!AD182&gt;Reeksen!AE182,(BA182-BC182)*R182,0)))</f>
        <v>0</v>
      </c>
      <c r="W182" s="218">
        <f t="shared" ca="1" si="41"/>
        <v>0</v>
      </c>
      <c r="X182" s="98">
        <f ca="1">IF('Invoer gegevens'!$C$17=E182,'Invoer gegevens'!$C$10-'Invoer gegevens'!$C$11,IF(C182=1,AC181,0))</f>
        <v>0</v>
      </c>
      <c r="Y182" s="98">
        <f t="shared" ca="1" si="38"/>
        <v>0</v>
      </c>
      <c r="Z182" s="98">
        <f ca="1">(1-('Invoer gegevens'!$F$20/12))*X182*MIN(BA182,BC182)</f>
        <v>0</v>
      </c>
      <c r="AA182" s="98">
        <f ca="1">IF(BD182&lt;1,IF(Reeksen!AD182&lt;=Reeksen!AE182,X182*Reeksen!C182,0),IF(BC182&gt;=BA182,0,IF(Reeksen!AD182&lt;=Reeksen!AE182,(BA182-BC182)*X182,0)))</f>
        <v>0</v>
      </c>
      <c r="AB182" s="98">
        <f ca="1">IF(BD182&lt;1,IF(Reeksen!AD182&gt;Reeksen!AE182,X182*Reeksen!C182,0),IF(BC182&gt;=BA182,0,IF(Reeksen!AD182&gt;Reeksen!AE182,(BA182-BC182)*X182,0)))</f>
        <v>0</v>
      </c>
      <c r="AC182" s="99">
        <f t="shared" ca="1" si="42"/>
        <v>0</v>
      </c>
      <c r="AD182" s="98">
        <f ca="1">IF('Invoer gegevens'!$C$17=E182,R182,IF(C182=0,0,AE181))</f>
        <v>0</v>
      </c>
      <c r="AE182" s="98">
        <f t="shared" ca="1" si="43"/>
        <v>0</v>
      </c>
      <c r="AF182" s="98">
        <f ca="1">IF('Invoer gegevens'!$C$17=E182,X182,IF(C182=0,0,AG181))</f>
        <v>0</v>
      </c>
      <c r="AG182" s="98">
        <f t="shared" ca="1" si="44"/>
        <v>0</v>
      </c>
      <c r="AH182" s="66"/>
      <c r="AI182" s="71">
        <f ca="1">IF(C182=1,Reeksen!AI182*((F182+K182)/2)*12+Reeksen!AD182*((L182+Q182)/2)*12,0)</f>
        <v>0</v>
      </c>
      <c r="AJ182" s="71">
        <f ca="1">-AI182*'Invoer gegevens'!$F$28</f>
        <v>0</v>
      </c>
      <c r="AK182" s="71">
        <f t="shared" ca="1" si="45"/>
        <v>0</v>
      </c>
      <c r="AL182" s="71">
        <f ca="1">IF(C182=1,Reeksen!AL182*((F182-G182+F182)/2)*12+Reeksen!AM182*((L182-M182+L182)/2)*12,0)</f>
        <v>0</v>
      </c>
      <c r="AM182" s="71">
        <f ca="1">-AL182*'Invoer gegevens'!$F$31</f>
        <v>0</v>
      </c>
      <c r="AN182" s="71">
        <f t="shared" ca="1" si="46"/>
        <v>0</v>
      </c>
      <c r="AO182" s="71">
        <f ca="1">IF(C182=1,(H182+J182+N182+P182)*Reeksen!AN182,0)</f>
        <v>0</v>
      </c>
      <c r="AP182" s="71">
        <f ca="1">-IF(C182=1,(H182+J182+N182+P182)*'Hulp - basis'!$G$550*Reeksen!H182,0)</f>
        <v>0</v>
      </c>
      <c r="AQ182" s="71">
        <f ca="1">-IF(C182=1,(F182+K182+L182+Q182)/2*'Invoer gegevens'!$F$35*Reeksen!J182,0)*2</f>
        <v>0</v>
      </c>
      <c r="AR182" s="71">
        <f ca="1">IF(BD182&lt;1,-IF(C182=1,(G182*'Invoer gegevens'!$F$36)*Reeksen!J182,0),0)</f>
        <v>0</v>
      </c>
      <c r="AS182" s="71">
        <f ca="1">-IF(C182=1,(F182+K182+L182+Q182)/2*'Invoer gegevens'!$F$37*Reeksen!L182,0)</f>
        <v>0</v>
      </c>
      <c r="AT182" s="71">
        <f ca="1">-IF(C182=1,IF(E182='Invoer gegevens'!$C$17,'Invoer gegevens'!$C$11,AD182)*Reeksen!S182*'Invoer gegevens'!$C$18*Reeksen!P182,0)</f>
        <v>0</v>
      </c>
      <c r="AU182" s="71">
        <f ca="1">-IF(C182=1,(F182+K182+L182+Q182)/2*'Invoer gegevens'!$F$38*Reeksen!H182,0)</f>
        <v>0</v>
      </c>
      <c r="AV182" s="71">
        <f t="shared" si="50"/>
        <v>0</v>
      </c>
      <c r="AW182" s="71">
        <f t="shared" ca="1" si="47"/>
        <v>0</v>
      </c>
      <c r="AX182" s="71">
        <f ca="1">IF(E182&lt;'Invoer gegevens'!$C$17+15,0,IF(E182&gt;'Invoer gegevens'!$C$17+215,0,AW182))</f>
        <v>0</v>
      </c>
      <c r="AY182" s="71">
        <f ca="1">AX182/(1+'Invoer gegevens'!$F$18)^($AZ182-('Invoer gegevens'!$C$17-'Invoer gegevens'!$C$16))/(1+'Invoer gegevens'!$C$39)^('Invoer gegevens'!$C$17-'Invoer gegevens'!$C$16)</f>
        <v>0</v>
      </c>
      <c r="AZ182" s="68">
        <f ca="1">IF(E182-'Invoer gegevens'!$C$17-14.5&lt;0,0,E182-'Invoer gegevens'!$C$17-14.5)</f>
        <v>162.5</v>
      </c>
      <c r="BA182" s="109">
        <f ca="1">IFERROR(VLOOKUP(E182-15,Reeksen!$A$5:$D$234,2,FALSE),0)</f>
        <v>0</v>
      </c>
      <c r="BB182" s="109">
        <f ca="1">IFERROR(VLOOKUP(E182-15,Reeksen!$A$5:$D$234,3,FALSE),0)</f>
        <v>0</v>
      </c>
      <c r="BC182" s="109">
        <f ca="1">IFERROR(VLOOKUP(E182-15,Reeksen!$A$5:$D$234,4,FALSE),0)</f>
        <v>0</v>
      </c>
      <c r="BD182" s="67">
        <f ca="1">IF(E182-'Invoer gegevens'!$C$17&lt;15,0,1)</f>
        <v>1</v>
      </c>
    </row>
    <row r="183" spans="1:56" x14ac:dyDescent="0.25">
      <c r="A183" s="59"/>
      <c r="B183" s="70">
        <f t="shared" si="48"/>
        <v>179</v>
      </c>
      <c r="C183" s="67">
        <f ca="1">IF(E183-'Invoer gegevens'!$C$17&lt;0,0,1)</f>
        <v>1</v>
      </c>
      <c r="D183" s="68">
        <f t="shared" si="49"/>
        <v>178.5</v>
      </c>
      <c r="E183" s="108">
        <f ca="1">IF('Invoer gegevens'!$C$16="","",E182+1)</f>
        <v>2197</v>
      </c>
      <c r="F183" s="84">
        <f ca="1">IF('Invoer gegevens'!$C$17=E183,'Invoer gegevens'!$C$10,IF(C183=1,K182,0))</f>
        <v>0</v>
      </c>
      <c r="G183" s="96">
        <f ca="1">IF(BD183&lt;1,F183*Reeksen!C183,IF(C183&gt;=1,F183*BA183,0))</f>
        <v>0</v>
      </c>
      <c r="H183" s="84">
        <f ca="1">(1-('Invoer gegevens'!$F$20/12))*F183*MIN(BA183,BC183)</f>
        <v>0</v>
      </c>
      <c r="I183" s="84">
        <f t="shared" ca="1" si="34"/>
        <v>0</v>
      </c>
      <c r="J183" s="84">
        <f ca="1">('Invoer gegevens'!$F$20/12)*F182*MIN(BA183,BC183)</f>
        <v>0</v>
      </c>
      <c r="K183" s="97">
        <f t="shared" ca="1" si="39"/>
        <v>0</v>
      </c>
      <c r="L183" s="84">
        <f ca="1">IF('Invoer gegevens'!$C$17=E183,0,IF(C183=1,Q182,0))</f>
        <v>0</v>
      </c>
      <c r="M183" s="96">
        <f t="shared" ca="1" si="35"/>
        <v>0</v>
      </c>
      <c r="N183" s="84">
        <f ca="1">(1-('Invoer gegevens'!$F$20/12))*L183*MIN(BA183,BC183)</f>
        <v>0</v>
      </c>
      <c r="O183" s="84">
        <f t="shared" ca="1" si="36"/>
        <v>0</v>
      </c>
      <c r="P183" s="84">
        <f ca="1">('Invoer gegevens'!$F$20/12)*L182*MIN(BA183,BC183)</f>
        <v>0</v>
      </c>
      <c r="Q183" s="84">
        <f t="shared" ca="1" si="40"/>
        <v>0</v>
      </c>
      <c r="R183" s="85">
        <f ca="1">IF('Invoer gegevens'!$C$17=E183,'Invoer gegevens'!$C$11,IF(C183=1,W182,0))</f>
        <v>0</v>
      </c>
      <c r="S183" s="86">
        <f t="shared" ca="1" si="37"/>
        <v>0</v>
      </c>
      <c r="T183" s="86">
        <f ca="1">(1-('Invoer gegevens'!$F$20/12))*R183*MIN(BC183,BA183)</f>
        <v>0</v>
      </c>
      <c r="U183" s="86">
        <f ca="1">IF(BD183&lt;1,IF(Reeksen!AD183&lt;=Reeksen!AE183,R183*Reeksen!C183,0),IF(BC183&gt;=BA183,0,IF(Reeksen!AD183&lt;=Reeksen!AE183,(BA183-BC183)*R183,0)))</f>
        <v>0</v>
      </c>
      <c r="V183" s="86">
        <f ca="1">IF(BD183&lt;1,IF(Reeksen!AD183&gt;Reeksen!AE183,R183*Reeksen!C183,0),IF(BC183&gt;=BA183,0,IF(Reeksen!AD183&gt;Reeksen!AE183,(BA183-BC183)*R183,0)))</f>
        <v>0</v>
      </c>
      <c r="W183" s="218">
        <f t="shared" ca="1" si="41"/>
        <v>0</v>
      </c>
      <c r="X183" s="98">
        <f ca="1">IF('Invoer gegevens'!$C$17=E183,'Invoer gegevens'!$C$10-'Invoer gegevens'!$C$11,IF(C183=1,AC182,0))</f>
        <v>0</v>
      </c>
      <c r="Y183" s="98">
        <f t="shared" ca="1" si="38"/>
        <v>0</v>
      </c>
      <c r="Z183" s="98">
        <f ca="1">(1-('Invoer gegevens'!$F$20/12))*X183*MIN(BA183,BC183)</f>
        <v>0</v>
      </c>
      <c r="AA183" s="98">
        <f ca="1">IF(BD183&lt;1,IF(Reeksen!AD183&lt;=Reeksen!AE183,X183*Reeksen!C183,0),IF(BC183&gt;=BA183,0,IF(Reeksen!AD183&lt;=Reeksen!AE183,(BA183-BC183)*X183,0)))</f>
        <v>0</v>
      </c>
      <c r="AB183" s="98">
        <f ca="1">IF(BD183&lt;1,IF(Reeksen!AD183&gt;Reeksen!AE183,X183*Reeksen!C183,0),IF(BC183&gt;=BA183,0,IF(Reeksen!AD183&gt;Reeksen!AE183,(BA183-BC183)*X183,0)))</f>
        <v>0</v>
      </c>
      <c r="AC183" s="99">
        <f t="shared" ca="1" si="42"/>
        <v>0</v>
      </c>
      <c r="AD183" s="98">
        <f ca="1">IF('Invoer gegevens'!$C$17=E183,R183,IF(C183=0,0,AE182))</f>
        <v>0</v>
      </c>
      <c r="AE183" s="98">
        <f t="shared" ca="1" si="43"/>
        <v>0</v>
      </c>
      <c r="AF183" s="98">
        <f ca="1">IF('Invoer gegevens'!$C$17=E183,X183,IF(C183=0,0,AG182))</f>
        <v>0</v>
      </c>
      <c r="AG183" s="98">
        <f t="shared" ca="1" si="44"/>
        <v>0</v>
      </c>
      <c r="AH183" s="66"/>
      <c r="AI183" s="71">
        <f ca="1">IF(C183=1,Reeksen!AI183*((F183+K183)/2)*12+Reeksen!AD183*((L183+Q183)/2)*12,0)</f>
        <v>0</v>
      </c>
      <c r="AJ183" s="71">
        <f ca="1">-AI183*'Invoer gegevens'!$F$28</f>
        <v>0</v>
      </c>
      <c r="AK183" s="71">
        <f t="shared" ca="1" si="45"/>
        <v>0</v>
      </c>
      <c r="AL183" s="71">
        <f ca="1">IF(C183=1,Reeksen!AL183*((F183-G183+F183)/2)*12+Reeksen!AM183*((L183-M183+L183)/2)*12,0)</f>
        <v>0</v>
      </c>
      <c r="AM183" s="71">
        <f ca="1">-AL183*'Invoer gegevens'!$F$31</f>
        <v>0</v>
      </c>
      <c r="AN183" s="71">
        <f t="shared" ca="1" si="46"/>
        <v>0</v>
      </c>
      <c r="AO183" s="71">
        <f ca="1">IF(C183=1,(H183+J183+N183+P183)*Reeksen!AN183,0)</f>
        <v>0</v>
      </c>
      <c r="AP183" s="71">
        <f ca="1">-IF(C183=1,(H183+J183+N183+P183)*'Hulp - basis'!$G$550*Reeksen!H183,0)</f>
        <v>0</v>
      </c>
      <c r="AQ183" s="71">
        <f ca="1">-IF(C183=1,(F183+K183+L183+Q183)/2*'Invoer gegevens'!$F$35*Reeksen!J183,0)*2</f>
        <v>0</v>
      </c>
      <c r="AR183" s="71">
        <f ca="1">IF(BD183&lt;1,-IF(C183=1,(G183*'Invoer gegevens'!$F$36)*Reeksen!J183,0),0)</f>
        <v>0</v>
      </c>
      <c r="AS183" s="71">
        <f ca="1">-IF(C183=1,(F183+K183+L183+Q183)/2*'Invoer gegevens'!$F$37*Reeksen!L183,0)</f>
        <v>0</v>
      </c>
      <c r="AT183" s="71">
        <f ca="1">-IF(C183=1,IF(E183='Invoer gegevens'!$C$17,'Invoer gegevens'!$C$11,AD183)*Reeksen!S183*'Invoer gegevens'!$C$18*Reeksen!P183,0)</f>
        <v>0</v>
      </c>
      <c r="AU183" s="71">
        <f ca="1">-IF(C183=1,(F183+K183+L183+Q183)/2*'Invoer gegevens'!$F$38*Reeksen!H183,0)</f>
        <v>0</v>
      </c>
      <c r="AV183" s="71">
        <f t="shared" si="50"/>
        <v>0</v>
      </c>
      <c r="AW183" s="71">
        <f t="shared" ca="1" si="47"/>
        <v>0</v>
      </c>
      <c r="AX183" s="71">
        <f ca="1">IF(E183&lt;'Invoer gegevens'!$C$17+15,0,IF(E183&gt;'Invoer gegevens'!$C$17+215,0,AW183))</f>
        <v>0</v>
      </c>
      <c r="AY183" s="71">
        <f ca="1">AX183/(1+'Invoer gegevens'!$F$18)^($AZ183-('Invoer gegevens'!$C$17-'Invoer gegevens'!$C$16))/(1+'Invoer gegevens'!$C$39)^('Invoer gegevens'!$C$17-'Invoer gegevens'!$C$16)</f>
        <v>0</v>
      </c>
      <c r="AZ183" s="68">
        <f ca="1">IF(E183-'Invoer gegevens'!$C$17-14.5&lt;0,0,E183-'Invoer gegevens'!$C$17-14.5)</f>
        <v>163.5</v>
      </c>
      <c r="BA183" s="109">
        <f ca="1">IFERROR(VLOOKUP(E183-15,Reeksen!$A$5:$D$234,2,FALSE),0)</f>
        <v>0</v>
      </c>
      <c r="BB183" s="109">
        <f ca="1">IFERROR(VLOOKUP(E183-15,Reeksen!$A$5:$D$234,3,FALSE),0)</f>
        <v>0</v>
      </c>
      <c r="BC183" s="109">
        <f ca="1">IFERROR(VLOOKUP(E183-15,Reeksen!$A$5:$D$234,4,FALSE),0)</f>
        <v>0</v>
      </c>
      <c r="BD183" s="67">
        <f ca="1">IF(E183-'Invoer gegevens'!$C$17&lt;15,0,1)</f>
        <v>1</v>
      </c>
    </row>
    <row r="184" spans="1:56" x14ac:dyDescent="0.25">
      <c r="A184" s="59"/>
      <c r="B184" s="70">
        <f t="shared" si="48"/>
        <v>180</v>
      </c>
      <c r="C184" s="67">
        <f ca="1">IF(E184-'Invoer gegevens'!$C$17&lt;0,0,1)</f>
        <v>1</v>
      </c>
      <c r="D184" s="68">
        <f t="shared" si="49"/>
        <v>179.5</v>
      </c>
      <c r="E184" s="108">
        <f ca="1">IF('Invoer gegevens'!$C$16="","",E183+1)</f>
        <v>2198</v>
      </c>
      <c r="F184" s="84">
        <f ca="1">IF('Invoer gegevens'!$C$17=E184,'Invoer gegevens'!$C$10,IF(C184=1,K183,0))</f>
        <v>0</v>
      </c>
      <c r="G184" s="96">
        <f ca="1">IF(BD184&lt;1,F184*Reeksen!C184,IF(C184&gt;=1,F184*BA184,0))</f>
        <v>0</v>
      </c>
      <c r="H184" s="84">
        <f ca="1">(1-('Invoer gegevens'!$F$20/12))*F184*MIN(BA184,BC184)</f>
        <v>0</v>
      </c>
      <c r="I184" s="84">
        <f t="shared" ca="1" si="34"/>
        <v>0</v>
      </c>
      <c r="J184" s="84">
        <f ca="1">('Invoer gegevens'!$F$20/12)*F183*MIN(BA184,BC184)</f>
        <v>0</v>
      </c>
      <c r="K184" s="97">
        <f t="shared" ca="1" si="39"/>
        <v>0</v>
      </c>
      <c r="L184" s="84">
        <f ca="1">IF('Invoer gegevens'!$C$17=E184,0,IF(C184=1,Q183,0))</f>
        <v>0</v>
      </c>
      <c r="M184" s="96">
        <f t="shared" ca="1" si="35"/>
        <v>0</v>
      </c>
      <c r="N184" s="84">
        <f ca="1">(1-('Invoer gegevens'!$F$20/12))*L184*MIN(BA184,BC184)</f>
        <v>0</v>
      </c>
      <c r="O184" s="84">
        <f t="shared" ca="1" si="36"/>
        <v>0</v>
      </c>
      <c r="P184" s="84">
        <f ca="1">('Invoer gegevens'!$F$20/12)*L183*MIN(BA184,BC184)</f>
        <v>0</v>
      </c>
      <c r="Q184" s="84">
        <f t="shared" ca="1" si="40"/>
        <v>0</v>
      </c>
      <c r="R184" s="85">
        <f ca="1">IF('Invoer gegevens'!$C$17=E184,'Invoer gegevens'!$C$11,IF(C184=1,W183,0))</f>
        <v>0</v>
      </c>
      <c r="S184" s="86">
        <f t="shared" ca="1" si="37"/>
        <v>0</v>
      </c>
      <c r="T184" s="86">
        <f ca="1">(1-('Invoer gegevens'!$F$20/12))*R184*MIN(BC184,BA184)</f>
        <v>0</v>
      </c>
      <c r="U184" s="86">
        <f ca="1">IF(BD184&lt;1,IF(Reeksen!AD184&lt;=Reeksen!AE184,R184*Reeksen!C184,0),IF(BC184&gt;=BA184,0,IF(Reeksen!AD184&lt;=Reeksen!AE184,(BA184-BC184)*R184,0)))</f>
        <v>0</v>
      </c>
      <c r="V184" s="86">
        <f ca="1">IF(BD184&lt;1,IF(Reeksen!AD184&gt;Reeksen!AE184,R184*Reeksen!C184,0),IF(BC184&gt;=BA184,0,IF(Reeksen!AD184&gt;Reeksen!AE184,(BA184-BC184)*R184,0)))</f>
        <v>0</v>
      </c>
      <c r="W184" s="218">
        <f t="shared" ca="1" si="41"/>
        <v>0</v>
      </c>
      <c r="X184" s="98">
        <f ca="1">IF('Invoer gegevens'!$C$17=E184,'Invoer gegevens'!$C$10-'Invoer gegevens'!$C$11,IF(C184=1,AC183,0))</f>
        <v>0</v>
      </c>
      <c r="Y184" s="98">
        <f t="shared" ca="1" si="38"/>
        <v>0</v>
      </c>
      <c r="Z184" s="98">
        <f ca="1">(1-('Invoer gegevens'!$F$20/12))*X184*MIN(BA184,BC184)</f>
        <v>0</v>
      </c>
      <c r="AA184" s="98">
        <f ca="1">IF(BD184&lt;1,IF(Reeksen!AD184&lt;=Reeksen!AE184,X184*Reeksen!C184,0),IF(BC184&gt;=BA184,0,IF(Reeksen!AD184&lt;=Reeksen!AE184,(BA184-BC184)*X184,0)))</f>
        <v>0</v>
      </c>
      <c r="AB184" s="98">
        <f ca="1">IF(BD184&lt;1,IF(Reeksen!AD184&gt;Reeksen!AE184,X184*Reeksen!C184,0),IF(BC184&gt;=BA184,0,IF(Reeksen!AD184&gt;Reeksen!AE184,(BA184-BC184)*X184,0)))</f>
        <v>0</v>
      </c>
      <c r="AC184" s="99">
        <f t="shared" ca="1" si="42"/>
        <v>0</v>
      </c>
      <c r="AD184" s="98">
        <f ca="1">IF('Invoer gegevens'!$C$17=E184,R184,IF(C184=0,0,AE183))</f>
        <v>0</v>
      </c>
      <c r="AE184" s="98">
        <f t="shared" ca="1" si="43"/>
        <v>0</v>
      </c>
      <c r="AF184" s="98">
        <f ca="1">IF('Invoer gegevens'!$C$17=E184,X184,IF(C184=0,0,AG183))</f>
        <v>0</v>
      </c>
      <c r="AG184" s="98">
        <f t="shared" ca="1" si="44"/>
        <v>0</v>
      </c>
      <c r="AH184" s="66"/>
      <c r="AI184" s="71">
        <f ca="1">IF(C184=1,Reeksen!AI184*((F184+K184)/2)*12+Reeksen!AD184*((L184+Q184)/2)*12,0)</f>
        <v>0</v>
      </c>
      <c r="AJ184" s="71">
        <f ca="1">-AI184*'Invoer gegevens'!$F$28</f>
        <v>0</v>
      </c>
      <c r="AK184" s="71">
        <f t="shared" ca="1" si="45"/>
        <v>0</v>
      </c>
      <c r="AL184" s="71">
        <f ca="1">IF(C184=1,Reeksen!AL184*((F184-G184+F184)/2)*12+Reeksen!AM184*((L184-M184+L184)/2)*12,0)</f>
        <v>0</v>
      </c>
      <c r="AM184" s="71">
        <f ca="1">-AL184*'Invoer gegevens'!$F$31</f>
        <v>0</v>
      </c>
      <c r="AN184" s="71">
        <f t="shared" ca="1" si="46"/>
        <v>0</v>
      </c>
      <c r="AO184" s="71">
        <f ca="1">IF(C184=1,(H184+J184+N184+P184)*Reeksen!AN184,0)</f>
        <v>0</v>
      </c>
      <c r="AP184" s="71">
        <f ca="1">-IF(C184=1,(H184+J184+N184+P184)*'Hulp - basis'!$G$550*Reeksen!H184,0)</f>
        <v>0</v>
      </c>
      <c r="AQ184" s="71">
        <f ca="1">-IF(C184=1,(F184+K184+L184+Q184)/2*'Invoer gegevens'!$F$35*Reeksen!J184,0)*2</f>
        <v>0</v>
      </c>
      <c r="AR184" s="71">
        <f ca="1">IF(BD184&lt;1,-IF(C184=1,(G184*'Invoer gegevens'!$F$36)*Reeksen!J184,0),0)</f>
        <v>0</v>
      </c>
      <c r="AS184" s="71">
        <f ca="1">-IF(C184=1,(F184+K184+L184+Q184)/2*'Invoer gegevens'!$F$37*Reeksen!L184,0)</f>
        <v>0</v>
      </c>
      <c r="AT184" s="71">
        <f ca="1">-IF(C184=1,IF(E184='Invoer gegevens'!$C$17,'Invoer gegevens'!$C$11,AD184)*Reeksen!S184*'Invoer gegevens'!$C$18*Reeksen!P184,0)</f>
        <v>0</v>
      </c>
      <c r="AU184" s="71">
        <f ca="1">-IF(C184=1,(F184+K184+L184+Q184)/2*'Invoer gegevens'!$F$38*Reeksen!H184,0)</f>
        <v>0</v>
      </c>
      <c r="AV184" s="71">
        <f t="shared" si="50"/>
        <v>0</v>
      </c>
      <c r="AW184" s="71">
        <f t="shared" ca="1" si="47"/>
        <v>0</v>
      </c>
      <c r="AX184" s="71">
        <f ca="1">IF(E184&lt;'Invoer gegevens'!$C$17+15,0,IF(E184&gt;'Invoer gegevens'!$C$17+215,0,AW184))</f>
        <v>0</v>
      </c>
      <c r="AY184" s="71">
        <f ca="1">AX184/(1+'Invoer gegevens'!$F$18)^($AZ184-('Invoer gegevens'!$C$17-'Invoer gegevens'!$C$16))/(1+'Invoer gegevens'!$C$39)^('Invoer gegevens'!$C$17-'Invoer gegevens'!$C$16)</f>
        <v>0</v>
      </c>
      <c r="AZ184" s="68">
        <f ca="1">IF(E184-'Invoer gegevens'!$C$17-14.5&lt;0,0,E184-'Invoer gegevens'!$C$17-14.5)</f>
        <v>164.5</v>
      </c>
      <c r="BA184" s="109">
        <f ca="1">IFERROR(VLOOKUP(E184-15,Reeksen!$A$5:$D$234,2,FALSE),0)</f>
        <v>0</v>
      </c>
      <c r="BB184" s="109">
        <f ca="1">IFERROR(VLOOKUP(E184-15,Reeksen!$A$5:$D$234,3,FALSE),0)</f>
        <v>0</v>
      </c>
      <c r="BC184" s="109">
        <f ca="1">IFERROR(VLOOKUP(E184-15,Reeksen!$A$5:$D$234,4,FALSE),0)</f>
        <v>0</v>
      </c>
      <c r="BD184" s="67">
        <f ca="1">IF(E184-'Invoer gegevens'!$C$17&lt;15,0,1)</f>
        <v>1</v>
      </c>
    </row>
    <row r="185" spans="1:56" x14ac:dyDescent="0.25">
      <c r="A185" s="59"/>
      <c r="B185" s="70">
        <f t="shared" si="48"/>
        <v>181</v>
      </c>
      <c r="C185" s="67">
        <f ca="1">IF(E185-'Invoer gegevens'!$C$17&lt;0,0,1)</f>
        <v>1</v>
      </c>
      <c r="D185" s="68">
        <f t="shared" si="49"/>
        <v>180.5</v>
      </c>
      <c r="E185" s="108">
        <f ca="1">IF('Invoer gegevens'!$C$16="","",E184+1)</f>
        <v>2199</v>
      </c>
      <c r="F185" s="84">
        <f ca="1">IF('Invoer gegevens'!$C$17=E185,'Invoer gegevens'!$C$10,IF(C185=1,K184,0))</f>
        <v>0</v>
      </c>
      <c r="G185" s="96">
        <f ca="1">IF(BD185&lt;1,F185*Reeksen!C185,IF(C185&gt;=1,F185*BA185,0))</f>
        <v>0</v>
      </c>
      <c r="H185" s="84">
        <f ca="1">(1-('Invoer gegevens'!$F$20/12))*F185*MIN(BA185,BC185)</f>
        <v>0</v>
      </c>
      <c r="I185" s="84">
        <f t="shared" ca="1" si="34"/>
        <v>0</v>
      </c>
      <c r="J185" s="84">
        <f ca="1">('Invoer gegevens'!$F$20/12)*F184*MIN(BA185,BC185)</f>
        <v>0</v>
      </c>
      <c r="K185" s="97">
        <f t="shared" ca="1" si="39"/>
        <v>0</v>
      </c>
      <c r="L185" s="84">
        <f ca="1">IF('Invoer gegevens'!$C$17=E185,0,IF(C185=1,Q184,0))</f>
        <v>0</v>
      </c>
      <c r="M185" s="96">
        <f t="shared" ca="1" si="35"/>
        <v>0</v>
      </c>
      <c r="N185" s="84">
        <f ca="1">(1-('Invoer gegevens'!$F$20/12))*L185*MIN(BA185,BC185)</f>
        <v>0</v>
      </c>
      <c r="O185" s="84">
        <f t="shared" ca="1" si="36"/>
        <v>0</v>
      </c>
      <c r="P185" s="84">
        <f ca="1">('Invoer gegevens'!$F$20/12)*L184*MIN(BA185,BC185)</f>
        <v>0</v>
      </c>
      <c r="Q185" s="84">
        <f t="shared" ca="1" si="40"/>
        <v>0</v>
      </c>
      <c r="R185" s="85">
        <f ca="1">IF('Invoer gegevens'!$C$17=E185,'Invoer gegevens'!$C$11,IF(C185=1,W184,0))</f>
        <v>0</v>
      </c>
      <c r="S185" s="86">
        <f t="shared" ca="1" si="37"/>
        <v>0</v>
      </c>
      <c r="T185" s="86">
        <f ca="1">(1-('Invoer gegevens'!$F$20/12))*R185*MIN(BC185,BA185)</f>
        <v>0</v>
      </c>
      <c r="U185" s="86">
        <f ca="1">IF(BD185&lt;1,IF(Reeksen!AD185&lt;=Reeksen!AE185,R185*Reeksen!C185,0),IF(BC185&gt;=BA185,0,IF(Reeksen!AD185&lt;=Reeksen!AE185,(BA185-BC185)*R185,0)))</f>
        <v>0</v>
      </c>
      <c r="V185" s="86">
        <f ca="1">IF(BD185&lt;1,IF(Reeksen!AD185&gt;Reeksen!AE185,R185*Reeksen!C185,0),IF(BC185&gt;=BA185,0,IF(Reeksen!AD185&gt;Reeksen!AE185,(BA185-BC185)*R185,0)))</f>
        <v>0</v>
      </c>
      <c r="W185" s="218">
        <f t="shared" ca="1" si="41"/>
        <v>0</v>
      </c>
      <c r="X185" s="98">
        <f ca="1">IF('Invoer gegevens'!$C$17=E185,'Invoer gegevens'!$C$10-'Invoer gegevens'!$C$11,IF(C185=1,AC184,0))</f>
        <v>0</v>
      </c>
      <c r="Y185" s="98">
        <f t="shared" ca="1" si="38"/>
        <v>0</v>
      </c>
      <c r="Z185" s="98">
        <f ca="1">(1-('Invoer gegevens'!$F$20/12))*X185*MIN(BA185,BC185)</f>
        <v>0</v>
      </c>
      <c r="AA185" s="98">
        <f ca="1">IF(BD185&lt;1,IF(Reeksen!AD185&lt;=Reeksen!AE185,X185*Reeksen!C185,0),IF(BC185&gt;=BA185,0,IF(Reeksen!AD185&lt;=Reeksen!AE185,(BA185-BC185)*X185,0)))</f>
        <v>0</v>
      </c>
      <c r="AB185" s="98">
        <f ca="1">IF(BD185&lt;1,IF(Reeksen!AD185&gt;Reeksen!AE185,X185*Reeksen!C185,0),IF(BC185&gt;=BA185,0,IF(Reeksen!AD185&gt;Reeksen!AE185,(BA185-BC185)*X185,0)))</f>
        <v>0</v>
      </c>
      <c r="AC185" s="99">
        <f t="shared" ca="1" si="42"/>
        <v>0</v>
      </c>
      <c r="AD185" s="98">
        <f ca="1">IF('Invoer gegevens'!$C$17=E185,R185,IF(C185=0,0,AE184))</f>
        <v>0</v>
      </c>
      <c r="AE185" s="98">
        <f t="shared" ca="1" si="43"/>
        <v>0</v>
      </c>
      <c r="AF185" s="98">
        <f ca="1">IF('Invoer gegevens'!$C$17=E185,X185,IF(C185=0,0,AG184))</f>
        <v>0</v>
      </c>
      <c r="AG185" s="98">
        <f t="shared" ca="1" si="44"/>
        <v>0</v>
      </c>
      <c r="AH185" s="66"/>
      <c r="AI185" s="71">
        <f ca="1">IF(C185=1,Reeksen!AI185*((F185+K185)/2)*12+Reeksen!AD185*((L185+Q185)/2)*12,0)</f>
        <v>0</v>
      </c>
      <c r="AJ185" s="71">
        <f ca="1">-AI185*'Invoer gegevens'!$F$28</f>
        <v>0</v>
      </c>
      <c r="AK185" s="71">
        <f t="shared" ca="1" si="45"/>
        <v>0</v>
      </c>
      <c r="AL185" s="71">
        <f ca="1">IF(C185=1,Reeksen!AL185*((F185-G185+F185)/2)*12+Reeksen!AM185*((L185-M185+L185)/2)*12,0)</f>
        <v>0</v>
      </c>
      <c r="AM185" s="71">
        <f ca="1">-AL185*'Invoer gegevens'!$F$31</f>
        <v>0</v>
      </c>
      <c r="AN185" s="71">
        <f t="shared" ca="1" si="46"/>
        <v>0</v>
      </c>
      <c r="AO185" s="71">
        <f ca="1">IF(C185=1,(H185+J185+N185+P185)*Reeksen!AN185,0)</f>
        <v>0</v>
      </c>
      <c r="AP185" s="71">
        <f ca="1">-IF(C185=1,(H185+J185+N185+P185)*'Hulp - basis'!$G$550*Reeksen!H185,0)</f>
        <v>0</v>
      </c>
      <c r="AQ185" s="71">
        <f ca="1">-IF(C185=1,(F185+K185+L185+Q185)/2*'Invoer gegevens'!$F$35*Reeksen!J185,0)*2</f>
        <v>0</v>
      </c>
      <c r="AR185" s="71">
        <f ca="1">IF(BD185&lt;1,-IF(C185=1,(G185*'Invoer gegevens'!$F$36)*Reeksen!J185,0),0)</f>
        <v>0</v>
      </c>
      <c r="AS185" s="71">
        <f ca="1">-IF(C185=1,(F185+K185+L185+Q185)/2*'Invoer gegevens'!$F$37*Reeksen!L185,0)</f>
        <v>0</v>
      </c>
      <c r="AT185" s="71">
        <f ca="1">-IF(C185=1,IF(E185='Invoer gegevens'!$C$17,'Invoer gegevens'!$C$11,AD185)*Reeksen!S185*'Invoer gegevens'!$C$18*Reeksen!P185,0)</f>
        <v>0</v>
      </c>
      <c r="AU185" s="71">
        <f ca="1">-IF(C185=1,(F185+K185+L185+Q185)/2*'Invoer gegevens'!$F$38*Reeksen!H185,0)</f>
        <v>0</v>
      </c>
      <c r="AV185" s="71">
        <f t="shared" si="50"/>
        <v>0</v>
      </c>
      <c r="AW185" s="71">
        <f t="shared" ca="1" si="47"/>
        <v>0</v>
      </c>
      <c r="AX185" s="71">
        <f ca="1">IF(E185&lt;'Invoer gegevens'!$C$17+15,0,IF(E185&gt;'Invoer gegevens'!$C$17+215,0,AW185))</f>
        <v>0</v>
      </c>
      <c r="AY185" s="71">
        <f ca="1">AX185/(1+'Invoer gegevens'!$F$18)^($AZ185-('Invoer gegevens'!$C$17-'Invoer gegevens'!$C$16))/(1+'Invoer gegevens'!$C$39)^('Invoer gegevens'!$C$17-'Invoer gegevens'!$C$16)</f>
        <v>0</v>
      </c>
      <c r="AZ185" s="68">
        <f ca="1">IF(E185-'Invoer gegevens'!$C$17-14.5&lt;0,0,E185-'Invoer gegevens'!$C$17-14.5)</f>
        <v>165.5</v>
      </c>
      <c r="BA185" s="109">
        <f ca="1">IFERROR(VLOOKUP(E185-15,Reeksen!$A$5:$D$234,2,FALSE),0)</f>
        <v>0</v>
      </c>
      <c r="BB185" s="109">
        <f ca="1">IFERROR(VLOOKUP(E185-15,Reeksen!$A$5:$D$234,3,FALSE),0)</f>
        <v>0</v>
      </c>
      <c r="BC185" s="109">
        <f ca="1">IFERROR(VLOOKUP(E185-15,Reeksen!$A$5:$D$234,4,FALSE),0)</f>
        <v>0</v>
      </c>
      <c r="BD185" s="67">
        <f ca="1">IF(E185-'Invoer gegevens'!$C$17&lt;15,0,1)</f>
        <v>1</v>
      </c>
    </row>
    <row r="186" spans="1:56" x14ac:dyDescent="0.25">
      <c r="A186" s="59"/>
      <c r="B186" s="70">
        <f t="shared" si="48"/>
        <v>182</v>
      </c>
      <c r="C186" s="67">
        <f ca="1">IF(E186-'Invoer gegevens'!$C$17&lt;0,0,1)</f>
        <v>1</v>
      </c>
      <c r="D186" s="68">
        <f t="shared" si="49"/>
        <v>181.5</v>
      </c>
      <c r="E186" s="108">
        <f ca="1">IF('Invoer gegevens'!$C$16="","",E185+1)</f>
        <v>2200</v>
      </c>
      <c r="F186" s="84">
        <f ca="1">IF('Invoer gegevens'!$C$17=E186,'Invoer gegevens'!$C$10,IF(C186=1,K185,0))</f>
        <v>0</v>
      </c>
      <c r="G186" s="96">
        <f ca="1">IF(BD186&lt;1,F186*Reeksen!C186,IF(C186&gt;=1,F186*BA186,0))</f>
        <v>0</v>
      </c>
      <c r="H186" s="84">
        <f ca="1">(1-('Invoer gegevens'!$F$20/12))*F186*MIN(BA186,BC186)</f>
        <v>0</v>
      </c>
      <c r="I186" s="84">
        <f t="shared" ca="1" si="34"/>
        <v>0</v>
      </c>
      <c r="J186" s="84">
        <f ca="1">('Invoer gegevens'!$F$20/12)*F185*MIN(BA186,BC186)</f>
        <v>0</v>
      </c>
      <c r="K186" s="97">
        <f t="shared" ca="1" si="39"/>
        <v>0</v>
      </c>
      <c r="L186" s="84">
        <f ca="1">IF('Invoer gegevens'!$C$17=E186,0,IF(C186=1,Q185,0))</f>
        <v>0</v>
      </c>
      <c r="M186" s="96">
        <f t="shared" ca="1" si="35"/>
        <v>0</v>
      </c>
      <c r="N186" s="84">
        <f ca="1">(1-('Invoer gegevens'!$F$20/12))*L186*MIN(BA186,BC186)</f>
        <v>0</v>
      </c>
      <c r="O186" s="84">
        <f t="shared" ca="1" si="36"/>
        <v>0</v>
      </c>
      <c r="P186" s="84">
        <f ca="1">('Invoer gegevens'!$F$20/12)*L185*MIN(BA186,BC186)</f>
        <v>0</v>
      </c>
      <c r="Q186" s="84">
        <f t="shared" ca="1" si="40"/>
        <v>0</v>
      </c>
      <c r="R186" s="85">
        <f ca="1">IF('Invoer gegevens'!$C$17=E186,'Invoer gegevens'!$C$11,IF(C186=1,W185,0))</f>
        <v>0</v>
      </c>
      <c r="S186" s="86">
        <f t="shared" ca="1" si="37"/>
        <v>0</v>
      </c>
      <c r="T186" s="86">
        <f ca="1">(1-('Invoer gegevens'!$F$20/12))*R186*MIN(BC186,BA186)</f>
        <v>0</v>
      </c>
      <c r="U186" s="86">
        <f ca="1">IF(BD186&lt;1,IF(Reeksen!AD186&lt;=Reeksen!AE186,R186*Reeksen!C186,0),IF(BC186&gt;=BA186,0,IF(Reeksen!AD186&lt;=Reeksen!AE186,(BA186-BC186)*R186,0)))</f>
        <v>0</v>
      </c>
      <c r="V186" s="86">
        <f ca="1">IF(BD186&lt;1,IF(Reeksen!AD186&gt;Reeksen!AE186,R186*Reeksen!C186,0),IF(BC186&gt;=BA186,0,IF(Reeksen!AD186&gt;Reeksen!AE186,(BA186-BC186)*R186,0)))</f>
        <v>0</v>
      </c>
      <c r="W186" s="218">
        <f t="shared" ca="1" si="41"/>
        <v>0</v>
      </c>
      <c r="X186" s="98">
        <f ca="1">IF('Invoer gegevens'!$C$17=E186,'Invoer gegevens'!$C$10-'Invoer gegevens'!$C$11,IF(C186=1,AC185,0))</f>
        <v>0</v>
      </c>
      <c r="Y186" s="98">
        <f t="shared" ca="1" si="38"/>
        <v>0</v>
      </c>
      <c r="Z186" s="98">
        <f ca="1">(1-('Invoer gegevens'!$F$20/12))*X186*MIN(BA186,BC186)</f>
        <v>0</v>
      </c>
      <c r="AA186" s="98">
        <f ca="1">IF(BD186&lt;1,IF(Reeksen!AD186&lt;=Reeksen!AE186,X186*Reeksen!C186,0),IF(BC186&gt;=BA186,0,IF(Reeksen!AD186&lt;=Reeksen!AE186,(BA186-BC186)*X186,0)))</f>
        <v>0</v>
      </c>
      <c r="AB186" s="98">
        <f ca="1">IF(BD186&lt;1,IF(Reeksen!AD186&gt;Reeksen!AE186,X186*Reeksen!C186,0),IF(BC186&gt;=BA186,0,IF(Reeksen!AD186&gt;Reeksen!AE186,(BA186-BC186)*X186,0)))</f>
        <v>0</v>
      </c>
      <c r="AC186" s="99">
        <f t="shared" ca="1" si="42"/>
        <v>0</v>
      </c>
      <c r="AD186" s="98">
        <f ca="1">IF('Invoer gegevens'!$C$17=E186,R186,IF(C186=0,0,AE185))</f>
        <v>0</v>
      </c>
      <c r="AE186" s="98">
        <f t="shared" ca="1" si="43"/>
        <v>0</v>
      </c>
      <c r="AF186" s="98">
        <f ca="1">IF('Invoer gegevens'!$C$17=E186,X186,IF(C186=0,0,AG185))</f>
        <v>0</v>
      </c>
      <c r="AG186" s="98">
        <f t="shared" ca="1" si="44"/>
        <v>0</v>
      </c>
      <c r="AH186" s="66"/>
      <c r="AI186" s="71">
        <f ca="1">IF(C186=1,Reeksen!AI186*((F186+K186)/2)*12+Reeksen!AD186*((L186+Q186)/2)*12,0)</f>
        <v>0</v>
      </c>
      <c r="AJ186" s="71">
        <f ca="1">-AI186*'Invoer gegevens'!$F$28</f>
        <v>0</v>
      </c>
      <c r="AK186" s="71">
        <f t="shared" ca="1" si="45"/>
        <v>0</v>
      </c>
      <c r="AL186" s="71">
        <f ca="1">IF(C186=1,Reeksen!AL186*((F186-G186+F186)/2)*12+Reeksen!AM186*((L186-M186+L186)/2)*12,0)</f>
        <v>0</v>
      </c>
      <c r="AM186" s="71">
        <f ca="1">-AL186*'Invoer gegevens'!$F$31</f>
        <v>0</v>
      </c>
      <c r="AN186" s="71">
        <f t="shared" ca="1" si="46"/>
        <v>0</v>
      </c>
      <c r="AO186" s="71">
        <f ca="1">IF(C186=1,(H186+J186+N186+P186)*Reeksen!AN186,0)</f>
        <v>0</v>
      </c>
      <c r="AP186" s="71">
        <f ca="1">-IF(C186=1,(H186+J186+N186+P186)*'Hulp - basis'!$G$550*Reeksen!H186,0)</f>
        <v>0</v>
      </c>
      <c r="AQ186" s="71">
        <f ca="1">-IF(C186=1,(F186+K186+L186+Q186)/2*'Invoer gegevens'!$F$35*Reeksen!J186,0)*2</f>
        <v>0</v>
      </c>
      <c r="AR186" s="71">
        <f ca="1">IF(BD186&lt;1,-IF(C186=1,(G186*'Invoer gegevens'!$F$36)*Reeksen!J186,0),0)</f>
        <v>0</v>
      </c>
      <c r="AS186" s="71">
        <f ca="1">-IF(C186=1,(F186+K186+L186+Q186)/2*'Invoer gegevens'!$F$37*Reeksen!L186,0)</f>
        <v>0</v>
      </c>
      <c r="AT186" s="71">
        <f ca="1">-IF(C186=1,IF(E186='Invoer gegevens'!$C$17,'Invoer gegevens'!$C$11,AD186)*Reeksen!S186*'Invoer gegevens'!$C$18*Reeksen!P186,0)</f>
        <v>0</v>
      </c>
      <c r="AU186" s="71">
        <f ca="1">-IF(C186=1,(F186+K186+L186+Q186)/2*'Invoer gegevens'!$F$38*Reeksen!H186,0)</f>
        <v>0</v>
      </c>
      <c r="AV186" s="71">
        <f t="shared" si="50"/>
        <v>0</v>
      </c>
      <c r="AW186" s="71">
        <f t="shared" ca="1" si="47"/>
        <v>0</v>
      </c>
      <c r="AX186" s="71">
        <f ca="1">IF(E186&lt;'Invoer gegevens'!$C$17+15,0,IF(E186&gt;'Invoer gegevens'!$C$17+215,0,AW186))</f>
        <v>0</v>
      </c>
      <c r="AY186" s="71">
        <f ca="1">AX186/(1+'Invoer gegevens'!$F$18)^($AZ186-('Invoer gegevens'!$C$17-'Invoer gegevens'!$C$16))/(1+'Invoer gegevens'!$C$39)^('Invoer gegevens'!$C$17-'Invoer gegevens'!$C$16)</f>
        <v>0</v>
      </c>
      <c r="AZ186" s="68">
        <f ca="1">IF(E186-'Invoer gegevens'!$C$17-14.5&lt;0,0,E186-'Invoer gegevens'!$C$17-14.5)</f>
        <v>166.5</v>
      </c>
      <c r="BA186" s="109">
        <f ca="1">IFERROR(VLOOKUP(E186-15,Reeksen!$A$5:$D$234,2,FALSE),0)</f>
        <v>0</v>
      </c>
      <c r="BB186" s="109">
        <f ca="1">IFERROR(VLOOKUP(E186-15,Reeksen!$A$5:$D$234,3,FALSE),0)</f>
        <v>0</v>
      </c>
      <c r="BC186" s="109">
        <f ca="1">IFERROR(VLOOKUP(E186-15,Reeksen!$A$5:$D$234,4,FALSE),0)</f>
        <v>0</v>
      </c>
      <c r="BD186" s="67">
        <f ca="1">IF(E186-'Invoer gegevens'!$C$17&lt;15,0,1)</f>
        <v>1</v>
      </c>
    </row>
    <row r="187" spans="1:56" x14ac:dyDescent="0.25">
      <c r="A187" s="59"/>
      <c r="B187" s="70">
        <f t="shared" si="48"/>
        <v>183</v>
      </c>
      <c r="C187" s="67">
        <f ca="1">IF(E187-'Invoer gegevens'!$C$17&lt;0,0,1)</f>
        <v>1</v>
      </c>
      <c r="D187" s="68">
        <f t="shared" si="49"/>
        <v>182.5</v>
      </c>
      <c r="E187" s="108">
        <f ca="1">IF('Invoer gegevens'!$C$16="","",E186+1)</f>
        <v>2201</v>
      </c>
      <c r="F187" s="84">
        <f ca="1">IF('Invoer gegevens'!$C$17=E187,'Invoer gegevens'!$C$10,IF(C187=1,K186,0))</f>
        <v>0</v>
      </c>
      <c r="G187" s="96">
        <f ca="1">IF(BD187&lt;1,F187*Reeksen!C187,IF(C187&gt;=1,F187*BA187,0))</f>
        <v>0</v>
      </c>
      <c r="H187" s="84">
        <f ca="1">(1-('Invoer gegevens'!$F$20/12))*F187*MIN(BA187,BC187)</f>
        <v>0</v>
      </c>
      <c r="I187" s="84">
        <f t="shared" ca="1" si="34"/>
        <v>0</v>
      </c>
      <c r="J187" s="84">
        <f ca="1">('Invoer gegevens'!$F$20/12)*F186*MIN(BA187,BC187)</f>
        <v>0</v>
      </c>
      <c r="K187" s="97">
        <f t="shared" ca="1" si="39"/>
        <v>0</v>
      </c>
      <c r="L187" s="84">
        <f ca="1">IF('Invoer gegevens'!$C$17=E187,0,IF(C187=1,Q186,0))</f>
        <v>0</v>
      </c>
      <c r="M187" s="96">
        <f t="shared" ca="1" si="35"/>
        <v>0</v>
      </c>
      <c r="N187" s="84">
        <f ca="1">(1-('Invoer gegevens'!$F$20/12))*L187*MIN(BA187,BC187)</f>
        <v>0</v>
      </c>
      <c r="O187" s="84">
        <f t="shared" ca="1" si="36"/>
        <v>0</v>
      </c>
      <c r="P187" s="84">
        <f ca="1">('Invoer gegevens'!$F$20/12)*L186*MIN(BA187,BC187)</f>
        <v>0</v>
      </c>
      <c r="Q187" s="84">
        <f t="shared" ca="1" si="40"/>
        <v>0</v>
      </c>
      <c r="R187" s="85">
        <f ca="1">IF('Invoer gegevens'!$C$17=E187,'Invoer gegevens'!$C$11,IF(C187=1,W186,0))</f>
        <v>0</v>
      </c>
      <c r="S187" s="86">
        <f t="shared" ca="1" si="37"/>
        <v>0</v>
      </c>
      <c r="T187" s="86">
        <f ca="1">(1-('Invoer gegevens'!$F$20/12))*R187*MIN(BC187,BA187)</f>
        <v>0</v>
      </c>
      <c r="U187" s="86">
        <f ca="1">IF(BD187&lt;1,IF(Reeksen!AD187&lt;=Reeksen!AE187,R187*Reeksen!C187,0),IF(BC187&gt;=BA187,0,IF(Reeksen!AD187&lt;=Reeksen!AE187,(BA187-BC187)*R187,0)))</f>
        <v>0</v>
      </c>
      <c r="V187" s="86">
        <f ca="1">IF(BD187&lt;1,IF(Reeksen!AD187&gt;Reeksen!AE187,R187*Reeksen!C187,0),IF(BC187&gt;=BA187,0,IF(Reeksen!AD187&gt;Reeksen!AE187,(BA187-BC187)*R187,0)))</f>
        <v>0</v>
      </c>
      <c r="W187" s="218">
        <f t="shared" ca="1" si="41"/>
        <v>0</v>
      </c>
      <c r="X187" s="98">
        <f ca="1">IF('Invoer gegevens'!$C$17=E187,'Invoer gegevens'!$C$10-'Invoer gegevens'!$C$11,IF(C187=1,AC186,0))</f>
        <v>0</v>
      </c>
      <c r="Y187" s="98">
        <f t="shared" ca="1" si="38"/>
        <v>0</v>
      </c>
      <c r="Z187" s="98">
        <f ca="1">(1-('Invoer gegevens'!$F$20/12))*X187*MIN(BA187,BC187)</f>
        <v>0</v>
      </c>
      <c r="AA187" s="98">
        <f ca="1">IF(BD187&lt;1,IF(Reeksen!AD187&lt;=Reeksen!AE187,X187*Reeksen!C187,0),IF(BC187&gt;=BA187,0,IF(Reeksen!AD187&lt;=Reeksen!AE187,(BA187-BC187)*X187,0)))</f>
        <v>0</v>
      </c>
      <c r="AB187" s="98">
        <f ca="1">IF(BD187&lt;1,IF(Reeksen!AD187&gt;Reeksen!AE187,X187*Reeksen!C187,0),IF(BC187&gt;=BA187,0,IF(Reeksen!AD187&gt;Reeksen!AE187,(BA187-BC187)*X187,0)))</f>
        <v>0</v>
      </c>
      <c r="AC187" s="99">
        <f t="shared" ca="1" si="42"/>
        <v>0</v>
      </c>
      <c r="AD187" s="98">
        <f ca="1">IF('Invoer gegevens'!$C$17=E187,R187,IF(C187=0,0,AE186))</f>
        <v>0</v>
      </c>
      <c r="AE187" s="98">
        <f t="shared" ca="1" si="43"/>
        <v>0</v>
      </c>
      <c r="AF187" s="98">
        <f ca="1">IF('Invoer gegevens'!$C$17=E187,X187,IF(C187=0,0,AG186))</f>
        <v>0</v>
      </c>
      <c r="AG187" s="98">
        <f t="shared" ca="1" si="44"/>
        <v>0</v>
      </c>
      <c r="AH187" s="66"/>
      <c r="AI187" s="71">
        <f ca="1">IF(C187=1,Reeksen!AI187*((F187+K187)/2)*12+Reeksen!AD187*((L187+Q187)/2)*12,0)</f>
        <v>0</v>
      </c>
      <c r="AJ187" s="71">
        <f ca="1">-AI187*'Invoer gegevens'!$F$28</f>
        <v>0</v>
      </c>
      <c r="AK187" s="71">
        <f t="shared" ca="1" si="45"/>
        <v>0</v>
      </c>
      <c r="AL187" s="71">
        <f ca="1">IF(C187=1,Reeksen!AL187*((F187-G187+F187)/2)*12+Reeksen!AM187*((L187-M187+L187)/2)*12,0)</f>
        <v>0</v>
      </c>
      <c r="AM187" s="71">
        <f ca="1">-AL187*'Invoer gegevens'!$F$31</f>
        <v>0</v>
      </c>
      <c r="AN187" s="71">
        <f t="shared" ca="1" si="46"/>
        <v>0</v>
      </c>
      <c r="AO187" s="71">
        <f ca="1">IF(C187=1,(H187+J187+N187+P187)*Reeksen!AN187,0)</f>
        <v>0</v>
      </c>
      <c r="AP187" s="71">
        <f ca="1">-IF(C187=1,(H187+J187+N187+P187)*'Hulp - basis'!$G$550*Reeksen!H187,0)</f>
        <v>0</v>
      </c>
      <c r="AQ187" s="71">
        <f ca="1">-IF(C187=1,(F187+K187+L187+Q187)/2*'Invoer gegevens'!$F$35*Reeksen!J187,0)*2</f>
        <v>0</v>
      </c>
      <c r="AR187" s="71">
        <f ca="1">IF(BD187&lt;1,-IF(C187=1,(G187*'Invoer gegevens'!$F$36)*Reeksen!J187,0),0)</f>
        <v>0</v>
      </c>
      <c r="AS187" s="71">
        <f ca="1">-IF(C187=1,(F187+K187+L187+Q187)/2*'Invoer gegevens'!$F$37*Reeksen!L187,0)</f>
        <v>0</v>
      </c>
      <c r="AT187" s="71">
        <f ca="1">-IF(C187=1,IF(E187='Invoer gegevens'!$C$17,'Invoer gegevens'!$C$11,AD187)*Reeksen!S187*'Invoer gegevens'!$C$18*Reeksen!P187,0)</f>
        <v>0</v>
      </c>
      <c r="AU187" s="71">
        <f ca="1">-IF(C187=1,(F187+K187+L187+Q187)/2*'Invoer gegevens'!$F$38*Reeksen!H187,0)</f>
        <v>0</v>
      </c>
      <c r="AV187" s="71">
        <f t="shared" si="50"/>
        <v>0</v>
      </c>
      <c r="AW187" s="71">
        <f t="shared" ca="1" si="47"/>
        <v>0</v>
      </c>
      <c r="AX187" s="71">
        <f ca="1">IF(E187&lt;'Invoer gegevens'!$C$17+15,0,IF(E187&gt;'Invoer gegevens'!$C$17+215,0,AW187))</f>
        <v>0</v>
      </c>
      <c r="AY187" s="71">
        <f ca="1">AX187/(1+'Invoer gegevens'!$F$18)^($AZ187-('Invoer gegevens'!$C$17-'Invoer gegevens'!$C$16))/(1+'Invoer gegevens'!$C$39)^('Invoer gegevens'!$C$17-'Invoer gegevens'!$C$16)</f>
        <v>0</v>
      </c>
      <c r="AZ187" s="68">
        <f ca="1">IF(E187-'Invoer gegevens'!$C$17-14.5&lt;0,0,E187-'Invoer gegevens'!$C$17-14.5)</f>
        <v>167.5</v>
      </c>
      <c r="BA187" s="109">
        <f ca="1">IFERROR(VLOOKUP(E187-15,Reeksen!$A$5:$D$234,2,FALSE),0)</f>
        <v>0</v>
      </c>
      <c r="BB187" s="109">
        <f ca="1">IFERROR(VLOOKUP(E187-15,Reeksen!$A$5:$D$234,3,FALSE),0)</f>
        <v>0</v>
      </c>
      <c r="BC187" s="109">
        <f ca="1">IFERROR(VLOOKUP(E187-15,Reeksen!$A$5:$D$234,4,FALSE),0)</f>
        <v>0</v>
      </c>
      <c r="BD187" s="67">
        <f ca="1">IF(E187-'Invoer gegevens'!$C$17&lt;15,0,1)</f>
        <v>1</v>
      </c>
    </row>
    <row r="188" spans="1:56" x14ac:dyDescent="0.25">
      <c r="A188" s="59"/>
      <c r="B188" s="70">
        <f t="shared" si="48"/>
        <v>184</v>
      </c>
      <c r="C188" s="67">
        <f ca="1">IF(E188-'Invoer gegevens'!$C$17&lt;0,0,1)</f>
        <v>1</v>
      </c>
      <c r="D188" s="68">
        <f t="shared" si="49"/>
        <v>183.5</v>
      </c>
      <c r="E188" s="108">
        <f ca="1">IF('Invoer gegevens'!$C$16="","",E187+1)</f>
        <v>2202</v>
      </c>
      <c r="F188" s="84">
        <f ca="1">IF('Invoer gegevens'!$C$17=E188,'Invoer gegevens'!$C$10,IF(C188=1,K187,0))</f>
        <v>0</v>
      </c>
      <c r="G188" s="96">
        <f ca="1">IF(BD188&lt;1,F188*Reeksen!C188,IF(C188&gt;=1,F188*BA188,0))</f>
        <v>0</v>
      </c>
      <c r="H188" s="84">
        <f ca="1">(1-('Invoer gegevens'!$F$20/12))*F188*MIN(BA188,BC188)</f>
        <v>0</v>
      </c>
      <c r="I188" s="84">
        <f t="shared" ca="1" si="34"/>
        <v>0</v>
      </c>
      <c r="J188" s="84">
        <f ca="1">('Invoer gegevens'!$F$20/12)*F187*MIN(BA188,BC188)</f>
        <v>0</v>
      </c>
      <c r="K188" s="97">
        <f t="shared" ca="1" si="39"/>
        <v>0</v>
      </c>
      <c r="L188" s="84">
        <f ca="1">IF('Invoer gegevens'!$C$17=E188,0,IF(C188=1,Q187,0))</f>
        <v>0</v>
      </c>
      <c r="M188" s="96">
        <f t="shared" ca="1" si="35"/>
        <v>0</v>
      </c>
      <c r="N188" s="84">
        <f ca="1">(1-('Invoer gegevens'!$F$20/12))*L188*MIN(BA188,BC188)</f>
        <v>0</v>
      </c>
      <c r="O188" s="84">
        <f t="shared" ca="1" si="36"/>
        <v>0</v>
      </c>
      <c r="P188" s="84">
        <f ca="1">('Invoer gegevens'!$F$20/12)*L187*MIN(BA188,BC188)</f>
        <v>0</v>
      </c>
      <c r="Q188" s="84">
        <f t="shared" ca="1" si="40"/>
        <v>0</v>
      </c>
      <c r="R188" s="85">
        <f ca="1">IF('Invoer gegevens'!$C$17=E188,'Invoer gegevens'!$C$11,IF(C188=1,W187,0))</f>
        <v>0</v>
      </c>
      <c r="S188" s="86">
        <f t="shared" ca="1" si="37"/>
        <v>0</v>
      </c>
      <c r="T188" s="86">
        <f ca="1">(1-('Invoer gegevens'!$F$20/12))*R188*MIN(BC188,BA188)</f>
        <v>0</v>
      </c>
      <c r="U188" s="86">
        <f ca="1">IF(BD188&lt;1,IF(Reeksen!AD188&lt;=Reeksen!AE188,R188*Reeksen!C188,0),IF(BC188&gt;=BA188,0,IF(Reeksen!AD188&lt;=Reeksen!AE188,(BA188-BC188)*R188,0)))</f>
        <v>0</v>
      </c>
      <c r="V188" s="86">
        <f ca="1">IF(BD188&lt;1,IF(Reeksen!AD188&gt;Reeksen!AE188,R188*Reeksen!C188,0),IF(BC188&gt;=BA188,0,IF(Reeksen!AD188&gt;Reeksen!AE188,(BA188-BC188)*R188,0)))</f>
        <v>0</v>
      </c>
      <c r="W188" s="218">
        <f t="shared" ca="1" si="41"/>
        <v>0</v>
      </c>
      <c r="X188" s="98">
        <f ca="1">IF('Invoer gegevens'!$C$17=E188,'Invoer gegevens'!$C$10-'Invoer gegevens'!$C$11,IF(C188=1,AC187,0))</f>
        <v>0</v>
      </c>
      <c r="Y188" s="98">
        <f t="shared" ca="1" si="38"/>
        <v>0</v>
      </c>
      <c r="Z188" s="98">
        <f ca="1">(1-('Invoer gegevens'!$F$20/12))*X188*MIN(BA188,BC188)</f>
        <v>0</v>
      </c>
      <c r="AA188" s="98">
        <f ca="1">IF(BD188&lt;1,IF(Reeksen!AD188&lt;=Reeksen!AE188,X188*Reeksen!C188,0),IF(BC188&gt;=BA188,0,IF(Reeksen!AD188&lt;=Reeksen!AE188,(BA188-BC188)*X188,0)))</f>
        <v>0</v>
      </c>
      <c r="AB188" s="98">
        <f ca="1">IF(BD188&lt;1,IF(Reeksen!AD188&gt;Reeksen!AE188,X188*Reeksen!C188,0),IF(BC188&gt;=BA188,0,IF(Reeksen!AD188&gt;Reeksen!AE188,(BA188-BC188)*X188,0)))</f>
        <v>0</v>
      </c>
      <c r="AC188" s="99">
        <f t="shared" ca="1" si="42"/>
        <v>0</v>
      </c>
      <c r="AD188" s="98">
        <f ca="1">IF('Invoer gegevens'!$C$17=E188,R188,IF(C188=0,0,AE187))</f>
        <v>0</v>
      </c>
      <c r="AE188" s="98">
        <f t="shared" ca="1" si="43"/>
        <v>0</v>
      </c>
      <c r="AF188" s="98">
        <f ca="1">IF('Invoer gegevens'!$C$17=E188,X188,IF(C188=0,0,AG187))</f>
        <v>0</v>
      </c>
      <c r="AG188" s="98">
        <f t="shared" ca="1" si="44"/>
        <v>0</v>
      </c>
      <c r="AH188" s="66"/>
      <c r="AI188" s="71">
        <f ca="1">IF(C188=1,Reeksen!AI188*((F188+K188)/2)*12+Reeksen!AD188*((L188+Q188)/2)*12,0)</f>
        <v>0</v>
      </c>
      <c r="AJ188" s="71">
        <f ca="1">-AI188*'Invoer gegevens'!$F$28</f>
        <v>0</v>
      </c>
      <c r="AK188" s="71">
        <f t="shared" ca="1" si="45"/>
        <v>0</v>
      </c>
      <c r="AL188" s="71">
        <f ca="1">IF(C188=1,Reeksen!AL188*((F188-G188+F188)/2)*12+Reeksen!AM188*((L188-M188+L188)/2)*12,0)</f>
        <v>0</v>
      </c>
      <c r="AM188" s="71">
        <f ca="1">-AL188*'Invoer gegevens'!$F$31</f>
        <v>0</v>
      </c>
      <c r="AN188" s="71">
        <f t="shared" ca="1" si="46"/>
        <v>0</v>
      </c>
      <c r="AO188" s="71">
        <f ca="1">IF(C188=1,(H188+J188+N188+P188)*Reeksen!AN188,0)</f>
        <v>0</v>
      </c>
      <c r="AP188" s="71">
        <f ca="1">-IF(C188=1,(H188+J188+N188+P188)*'Hulp - basis'!$G$550*Reeksen!H188,0)</f>
        <v>0</v>
      </c>
      <c r="AQ188" s="71">
        <f ca="1">-IF(C188=1,(F188+K188+L188+Q188)/2*'Invoer gegevens'!$F$35*Reeksen!J188,0)*2</f>
        <v>0</v>
      </c>
      <c r="AR188" s="71">
        <f ca="1">IF(BD188&lt;1,-IF(C188=1,(G188*'Invoer gegevens'!$F$36)*Reeksen!J188,0),0)</f>
        <v>0</v>
      </c>
      <c r="AS188" s="71">
        <f ca="1">-IF(C188=1,(F188+K188+L188+Q188)/2*'Invoer gegevens'!$F$37*Reeksen!L188,0)</f>
        <v>0</v>
      </c>
      <c r="AT188" s="71">
        <f ca="1">-IF(C188=1,IF(E188='Invoer gegevens'!$C$17,'Invoer gegevens'!$C$11,AD188)*Reeksen!S188*'Invoer gegevens'!$C$18*Reeksen!P188,0)</f>
        <v>0</v>
      </c>
      <c r="AU188" s="71">
        <f ca="1">-IF(C188=1,(F188+K188+L188+Q188)/2*'Invoer gegevens'!$F$38*Reeksen!H188,0)</f>
        <v>0</v>
      </c>
      <c r="AV188" s="71">
        <f t="shared" si="50"/>
        <v>0</v>
      </c>
      <c r="AW188" s="71">
        <f t="shared" ca="1" si="47"/>
        <v>0</v>
      </c>
      <c r="AX188" s="71">
        <f ca="1">IF(E188&lt;'Invoer gegevens'!$C$17+15,0,IF(E188&gt;'Invoer gegevens'!$C$17+215,0,AW188))</f>
        <v>0</v>
      </c>
      <c r="AY188" s="71">
        <f ca="1">AX188/(1+'Invoer gegevens'!$F$18)^($AZ188-('Invoer gegevens'!$C$17-'Invoer gegevens'!$C$16))/(1+'Invoer gegevens'!$C$39)^('Invoer gegevens'!$C$17-'Invoer gegevens'!$C$16)</f>
        <v>0</v>
      </c>
      <c r="AZ188" s="68">
        <f ca="1">IF(E188-'Invoer gegevens'!$C$17-14.5&lt;0,0,E188-'Invoer gegevens'!$C$17-14.5)</f>
        <v>168.5</v>
      </c>
      <c r="BA188" s="109">
        <f ca="1">IFERROR(VLOOKUP(E188-15,Reeksen!$A$5:$D$234,2,FALSE),0)</f>
        <v>0</v>
      </c>
      <c r="BB188" s="109">
        <f ca="1">IFERROR(VLOOKUP(E188-15,Reeksen!$A$5:$D$234,3,FALSE),0)</f>
        <v>0</v>
      </c>
      <c r="BC188" s="109">
        <f ca="1">IFERROR(VLOOKUP(E188-15,Reeksen!$A$5:$D$234,4,FALSE),0)</f>
        <v>0</v>
      </c>
      <c r="BD188" s="67">
        <f ca="1">IF(E188-'Invoer gegevens'!$C$17&lt;15,0,1)</f>
        <v>1</v>
      </c>
    </row>
    <row r="189" spans="1:56" x14ac:dyDescent="0.25">
      <c r="A189" s="59"/>
      <c r="B189" s="70">
        <f t="shared" si="48"/>
        <v>185</v>
      </c>
      <c r="C189" s="67">
        <f ca="1">IF(E189-'Invoer gegevens'!$C$17&lt;0,0,1)</f>
        <v>1</v>
      </c>
      <c r="D189" s="68">
        <f t="shared" si="49"/>
        <v>184.5</v>
      </c>
      <c r="E189" s="108">
        <f ca="1">IF('Invoer gegevens'!$C$16="","",E188+1)</f>
        <v>2203</v>
      </c>
      <c r="F189" s="84">
        <f ca="1">IF('Invoer gegevens'!$C$17=E189,'Invoer gegevens'!$C$10,IF(C189=1,K188,0))</f>
        <v>0</v>
      </c>
      <c r="G189" s="96">
        <f ca="1">IF(BD189&lt;1,F189*Reeksen!C189,IF(C189&gt;=1,F189*BA189,0))</f>
        <v>0</v>
      </c>
      <c r="H189" s="84">
        <f ca="1">(1-('Invoer gegevens'!$F$20/12))*F189*MIN(BA189,BC189)</f>
        <v>0</v>
      </c>
      <c r="I189" s="84">
        <f t="shared" ca="1" si="34"/>
        <v>0</v>
      </c>
      <c r="J189" s="84">
        <f ca="1">('Invoer gegevens'!$F$20/12)*F188*MIN(BA189,BC189)</f>
        <v>0</v>
      </c>
      <c r="K189" s="97">
        <f t="shared" ca="1" si="39"/>
        <v>0</v>
      </c>
      <c r="L189" s="84">
        <f ca="1">IF('Invoer gegevens'!$C$17=E189,0,IF(C189=1,Q188,0))</f>
        <v>0</v>
      </c>
      <c r="M189" s="96">
        <f t="shared" ca="1" si="35"/>
        <v>0</v>
      </c>
      <c r="N189" s="84">
        <f ca="1">(1-('Invoer gegevens'!$F$20/12))*L189*MIN(BA189,BC189)</f>
        <v>0</v>
      </c>
      <c r="O189" s="84">
        <f t="shared" ca="1" si="36"/>
        <v>0</v>
      </c>
      <c r="P189" s="84">
        <f ca="1">('Invoer gegevens'!$F$20/12)*L188*MIN(BA189,BC189)</f>
        <v>0</v>
      </c>
      <c r="Q189" s="84">
        <f t="shared" ca="1" si="40"/>
        <v>0</v>
      </c>
      <c r="R189" s="85">
        <f ca="1">IF('Invoer gegevens'!$C$17=E189,'Invoer gegevens'!$C$11,IF(C189=1,W188,0))</f>
        <v>0</v>
      </c>
      <c r="S189" s="86">
        <f t="shared" ca="1" si="37"/>
        <v>0</v>
      </c>
      <c r="T189" s="86">
        <f ca="1">(1-('Invoer gegevens'!$F$20/12))*R189*MIN(BC189,BA189)</f>
        <v>0</v>
      </c>
      <c r="U189" s="86">
        <f ca="1">IF(BD189&lt;1,IF(Reeksen!AD189&lt;=Reeksen!AE189,R189*Reeksen!C189,0),IF(BC189&gt;=BA189,0,IF(Reeksen!AD189&lt;=Reeksen!AE189,(BA189-BC189)*R189,0)))</f>
        <v>0</v>
      </c>
      <c r="V189" s="86">
        <f ca="1">IF(BD189&lt;1,IF(Reeksen!AD189&gt;Reeksen!AE189,R189*Reeksen!C189,0),IF(BC189&gt;=BA189,0,IF(Reeksen!AD189&gt;Reeksen!AE189,(BA189-BC189)*R189,0)))</f>
        <v>0</v>
      </c>
      <c r="W189" s="218">
        <f t="shared" ca="1" si="41"/>
        <v>0</v>
      </c>
      <c r="X189" s="98">
        <f ca="1">IF('Invoer gegevens'!$C$17=E189,'Invoer gegevens'!$C$10-'Invoer gegevens'!$C$11,IF(C189=1,AC188,0))</f>
        <v>0</v>
      </c>
      <c r="Y189" s="98">
        <f t="shared" ca="1" si="38"/>
        <v>0</v>
      </c>
      <c r="Z189" s="98">
        <f ca="1">(1-('Invoer gegevens'!$F$20/12))*X189*MIN(BA189,BC189)</f>
        <v>0</v>
      </c>
      <c r="AA189" s="98">
        <f ca="1">IF(BD189&lt;1,IF(Reeksen!AD189&lt;=Reeksen!AE189,X189*Reeksen!C189,0),IF(BC189&gt;=BA189,0,IF(Reeksen!AD189&lt;=Reeksen!AE189,(BA189-BC189)*X189,0)))</f>
        <v>0</v>
      </c>
      <c r="AB189" s="98">
        <f ca="1">IF(BD189&lt;1,IF(Reeksen!AD189&gt;Reeksen!AE189,X189*Reeksen!C189,0),IF(BC189&gt;=BA189,0,IF(Reeksen!AD189&gt;Reeksen!AE189,(BA189-BC189)*X189,0)))</f>
        <v>0</v>
      </c>
      <c r="AC189" s="99">
        <f t="shared" ca="1" si="42"/>
        <v>0</v>
      </c>
      <c r="AD189" s="98">
        <f ca="1">IF('Invoer gegevens'!$C$17=E189,R189,IF(C189=0,0,AE188))</f>
        <v>0</v>
      </c>
      <c r="AE189" s="98">
        <f t="shared" ca="1" si="43"/>
        <v>0</v>
      </c>
      <c r="AF189" s="98">
        <f ca="1">IF('Invoer gegevens'!$C$17=E189,X189,IF(C189=0,0,AG188))</f>
        <v>0</v>
      </c>
      <c r="AG189" s="98">
        <f t="shared" ca="1" si="44"/>
        <v>0</v>
      </c>
      <c r="AH189" s="66"/>
      <c r="AI189" s="71">
        <f ca="1">IF(C189=1,Reeksen!AI189*((F189+K189)/2)*12+Reeksen!AD189*((L189+Q189)/2)*12,0)</f>
        <v>0</v>
      </c>
      <c r="AJ189" s="71">
        <f ca="1">-AI189*'Invoer gegevens'!$F$28</f>
        <v>0</v>
      </c>
      <c r="AK189" s="71">
        <f t="shared" ca="1" si="45"/>
        <v>0</v>
      </c>
      <c r="AL189" s="71">
        <f ca="1">IF(C189=1,Reeksen!AL189*((F189-G189+F189)/2)*12+Reeksen!AM189*((L189-M189+L189)/2)*12,0)</f>
        <v>0</v>
      </c>
      <c r="AM189" s="71">
        <f ca="1">-AL189*'Invoer gegevens'!$F$31</f>
        <v>0</v>
      </c>
      <c r="AN189" s="71">
        <f t="shared" ca="1" si="46"/>
        <v>0</v>
      </c>
      <c r="AO189" s="71">
        <f ca="1">IF(C189=1,(H189+J189+N189+P189)*Reeksen!AN189,0)</f>
        <v>0</v>
      </c>
      <c r="AP189" s="71">
        <f ca="1">-IF(C189=1,(H189+J189+N189+P189)*'Hulp - basis'!$G$550*Reeksen!H189,0)</f>
        <v>0</v>
      </c>
      <c r="AQ189" s="71">
        <f ca="1">-IF(C189=1,(F189+K189+L189+Q189)/2*'Invoer gegevens'!$F$35*Reeksen!J189,0)*2</f>
        <v>0</v>
      </c>
      <c r="AR189" s="71">
        <f ca="1">IF(BD189&lt;1,-IF(C189=1,(G189*'Invoer gegevens'!$F$36)*Reeksen!J189,0),0)</f>
        <v>0</v>
      </c>
      <c r="AS189" s="71">
        <f ca="1">-IF(C189=1,(F189+K189+L189+Q189)/2*'Invoer gegevens'!$F$37*Reeksen!L189,0)</f>
        <v>0</v>
      </c>
      <c r="AT189" s="71">
        <f ca="1">-IF(C189=1,IF(E189='Invoer gegevens'!$C$17,'Invoer gegevens'!$C$11,AD189)*Reeksen!S189*'Invoer gegevens'!$C$18*Reeksen!P189,0)</f>
        <v>0</v>
      </c>
      <c r="AU189" s="71">
        <f ca="1">-IF(C189=1,(F189+K189+L189+Q189)/2*'Invoer gegevens'!$F$38*Reeksen!H189,0)</f>
        <v>0</v>
      </c>
      <c r="AV189" s="71">
        <f t="shared" si="50"/>
        <v>0</v>
      </c>
      <c r="AW189" s="71">
        <f t="shared" ca="1" si="47"/>
        <v>0</v>
      </c>
      <c r="AX189" s="71">
        <f ca="1">IF(E189&lt;'Invoer gegevens'!$C$17+15,0,IF(E189&gt;'Invoer gegevens'!$C$17+215,0,AW189))</f>
        <v>0</v>
      </c>
      <c r="AY189" s="71">
        <f ca="1">AX189/(1+'Invoer gegevens'!$F$18)^($AZ189-('Invoer gegevens'!$C$17-'Invoer gegevens'!$C$16))/(1+'Invoer gegevens'!$C$39)^('Invoer gegevens'!$C$17-'Invoer gegevens'!$C$16)</f>
        <v>0</v>
      </c>
      <c r="AZ189" s="68">
        <f ca="1">IF(E189-'Invoer gegevens'!$C$17-14.5&lt;0,0,E189-'Invoer gegevens'!$C$17-14.5)</f>
        <v>169.5</v>
      </c>
      <c r="BA189" s="109">
        <f ca="1">IFERROR(VLOOKUP(E189-15,Reeksen!$A$5:$D$234,2,FALSE),0)</f>
        <v>0</v>
      </c>
      <c r="BB189" s="109">
        <f ca="1">IFERROR(VLOOKUP(E189-15,Reeksen!$A$5:$D$234,3,FALSE),0)</f>
        <v>0</v>
      </c>
      <c r="BC189" s="109">
        <f ca="1">IFERROR(VLOOKUP(E189-15,Reeksen!$A$5:$D$234,4,FALSE),0)</f>
        <v>0</v>
      </c>
      <c r="BD189" s="67">
        <f ca="1">IF(E189-'Invoer gegevens'!$C$17&lt;15,0,1)</f>
        <v>1</v>
      </c>
    </row>
    <row r="190" spans="1:56" x14ac:dyDescent="0.25">
      <c r="A190" s="59"/>
      <c r="B190" s="70">
        <f t="shared" si="48"/>
        <v>186</v>
      </c>
      <c r="C190" s="67">
        <f ca="1">IF(E190-'Invoer gegevens'!$C$17&lt;0,0,1)</f>
        <v>1</v>
      </c>
      <c r="D190" s="68">
        <f t="shared" si="49"/>
        <v>185.5</v>
      </c>
      <c r="E190" s="108">
        <f ca="1">IF('Invoer gegevens'!$C$16="","",E189+1)</f>
        <v>2204</v>
      </c>
      <c r="F190" s="84">
        <f ca="1">IF('Invoer gegevens'!$C$17=E190,'Invoer gegevens'!$C$10,IF(C190=1,K189,0))</f>
        <v>0</v>
      </c>
      <c r="G190" s="96">
        <f ca="1">IF(BD190&lt;1,F190*Reeksen!C190,IF(C190&gt;=1,F190*BA190,0))</f>
        <v>0</v>
      </c>
      <c r="H190" s="84">
        <f ca="1">(1-('Invoer gegevens'!$F$20/12))*F190*MIN(BA190,BC190)</f>
        <v>0</v>
      </c>
      <c r="I190" s="84">
        <f t="shared" ca="1" si="34"/>
        <v>0</v>
      </c>
      <c r="J190" s="84">
        <f ca="1">('Invoer gegevens'!$F$20/12)*F189*MIN(BA190,BC190)</f>
        <v>0</v>
      </c>
      <c r="K190" s="97">
        <f t="shared" ca="1" si="39"/>
        <v>0</v>
      </c>
      <c r="L190" s="84">
        <f ca="1">IF('Invoer gegevens'!$C$17=E190,0,IF(C190=1,Q189,0))</f>
        <v>0</v>
      </c>
      <c r="M190" s="96">
        <f t="shared" ca="1" si="35"/>
        <v>0</v>
      </c>
      <c r="N190" s="84">
        <f ca="1">(1-('Invoer gegevens'!$F$20/12))*L190*MIN(BA190,BC190)</f>
        <v>0</v>
      </c>
      <c r="O190" s="84">
        <f t="shared" ca="1" si="36"/>
        <v>0</v>
      </c>
      <c r="P190" s="84">
        <f ca="1">('Invoer gegevens'!$F$20/12)*L189*MIN(BA190,BC190)</f>
        <v>0</v>
      </c>
      <c r="Q190" s="84">
        <f t="shared" ca="1" si="40"/>
        <v>0</v>
      </c>
      <c r="R190" s="85">
        <f ca="1">IF('Invoer gegevens'!$C$17=E190,'Invoer gegevens'!$C$11,IF(C190=1,W189,0))</f>
        <v>0</v>
      </c>
      <c r="S190" s="86">
        <f t="shared" ca="1" si="37"/>
        <v>0</v>
      </c>
      <c r="T190" s="86">
        <f ca="1">(1-('Invoer gegevens'!$F$20/12))*R190*MIN(BC190,BA190)</f>
        <v>0</v>
      </c>
      <c r="U190" s="86">
        <f ca="1">IF(BD190&lt;1,IF(Reeksen!AD190&lt;=Reeksen!AE190,R190*Reeksen!C190,0),IF(BC190&gt;=BA190,0,IF(Reeksen!AD190&lt;=Reeksen!AE190,(BA190-BC190)*R190,0)))</f>
        <v>0</v>
      </c>
      <c r="V190" s="86">
        <f ca="1">IF(BD190&lt;1,IF(Reeksen!AD190&gt;Reeksen!AE190,R190*Reeksen!C190,0),IF(BC190&gt;=BA190,0,IF(Reeksen!AD190&gt;Reeksen!AE190,(BA190-BC190)*R190,0)))</f>
        <v>0</v>
      </c>
      <c r="W190" s="218">
        <f t="shared" ca="1" si="41"/>
        <v>0</v>
      </c>
      <c r="X190" s="98">
        <f ca="1">IF('Invoer gegevens'!$C$17=E190,'Invoer gegevens'!$C$10-'Invoer gegevens'!$C$11,IF(C190=1,AC189,0))</f>
        <v>0</v>
      </c>
      <c r="Y190" s="98">
        <f t="shared" ca="1" si="38"/>
        <v>0</v>
      </c>
      <c r="Z190" s="98">
        <f ca="1">(1-('Invoer gegevens'!$F$20/12))*X190*MIN(BA190,BC190)</f>
        <v>0</v>
      </c>
      <c r="AA190" s="98">
        <f ca="1">IF(BD190&lt;1,IF(Reeksen!AD190&lt;=Reeksen!AE190,X190*Reeksen!C190,0),IF(BC190&gt;=BA190,0,IF(Reeksen!AD190&lt;=Reeksen!AE190,(BA190-BC190)*X190,0)))</f>
        <v>0</v>
      </c>
      <c r="AB190" s="98">
        <f ca="1">IF(BD190&lt;1,IF(Reeksen!AD190&gt;Reeksen!AE190,X190*Reeksen!C190,0),IF(BC190&gt;=BA190,0,IF(Reeksen!AD190&gt;Reeksen!AE190,(BA190-BC190)*X190,0)))</f>
        <v>0</v>
      </c>
      <c r="AC190" s="99">
        <f t="shared" ca="1" si="42"/>
        <v>0</v>
      </c>
      <c r="AD190" s="98">
        <f ca="1">IF('Invoer gegevens'!$C$17=E190,R190,IF(C190=0,0,AE189))</f>
        <v>0</v>
      </c>
      <c r="AE190" s="98">
        <f t="shared" ca="1" si="43"/>
        <v>0</v>
      </c>
      <c r="AF190" s="98">
        <f ca="1">IF('Invoer gegevens'!$C$17=E190,X190,IF(C190=0,0,AG189))</f>
        <v>0</v>
      </c>
      <c r="AG190" s="98">
        <f t="shared" ca="1" si="44"/>
        <v>0</v>
      </c>
      <c r="AH190" s="66"/>
      <c r="AI190" s="71">
        <f ca="1">IF(C190=1,Reeksen!AI190*((F190+K190)/2)*12+Reeksen!AD190*((L190+Q190)/2)*12,0)</f>
        <v>0</v>
      </c>
      <c r="AJ190" s="71">
        <f ca="1">-AI190*'Invoer gegevens'!$F$28</f>
        <v>0</v>
      </c>
      <c r="AK190" s="71">
        <f t="shared" ca="1" si="45"/>
        <v>0</v>
      </c>
      <c r="AL190" s="71">
        <f ca="1">IF(C190=1,Reeksen!AL190*((F190-G190+F190)/2)*12+Reeksen!AM190*((L190-M190+L190)/2)*12,0)</f>
        <v>0</v>
      </c>
      <c r="AM190" s="71">
        <f ca="1">-AL190*'Invoer gegevens'!$F$31</f>
        <v>0</v>
      </c>
      <c r="AN190" s="71">
        <f t="shared" ca="1" si="46"/>
        <v>0</v>
      </c>
      <c r="AO190" s="71">
        <f ca="1">IF(C190=1,(H190+J190+N190+P190)*Reeksen!AN190,0)</f>
        <v>0</v>
      </c>
      <c r="AP190" s="71">
        <f ca="1">-IF(C190=1,(H190+J190+N190+P190)*'Hulp - basis'!$G$550*Reeksen!H190,0)</f>
        <v>0</v>
      </c>
      <c r="AQ190" s="71">
        <f ca="1">-IF(C190=1,(F190+K190+L190+Q190)/2*'Invoer gegevens'!$F$35*Reeksen!J190,0)*2</f>
        <v>0</v>
      </c>
      <c r="AR190" s="71">
        <f ca="1">IF(BD190&lt;1,-IF(C190=1,(G190*'Invoer gegevens'!$F$36)*Reeksen!J190,0),0)</f>
        <v>0</v>
      </c>
      <c r="AS190" s="71">
        <f ca="1">-IF(C190=1,(F190+K190+L190+Q190)/2*'Invoer gegevens'!$F$37*Reeksen!L190,0)</f>
        <v>0</v>
      </c>
      <c r="AT190" s="71">
        <f ca="1">-IF(C190=1,IF(E190='Invoer gegevens'!$C$17,'Invoer gegevens'!$C$11,AD190)*Reeksen!S190*'Invoer gegevens'!$C$18*Reeksen!P190,0)</f>
        <v>0</v>
      </c>
      <c r="AU190" s="71">
        <f ca="1">-IF(C190=1,(F190+K190+L190+Q190)/2*'Invoer gegevens'!$F$38*Reeksen!H190,0)</f>
        <v>0</v>
      </c>
      <c r="AV190" s="71">
        <f t="shared" si="50"/>
        <v>0</v>
      </c>
      <c r="AW190" s="71">
        <f t="shared" ca="1" si="47"/>
        <v>0</v>
      </c>
      <c r="AX190" s="71">
        <f ca="1">IF(E190&lt;'Invoer gegevens'!$C$17+15,0,IF(E190&gt;'Invoer gegevens'!$C$17+215,0,AW190))</f>
        <v>0</v>
      </c>
      <c r="AY190" s="71">
        <f ca="1">AX190/(1+'Invoer gegevens'!$F$18)^($AZ190-('Invoer gegevens'!$C$17-'Invoer gegevens'!$C$16))/(1+'Invoer gegevens'!$C$39)^('Invoer gegevens'!$C$17-'Invoer gegevens'!$C$16)</f>
        <v>0</v>
      </c>
      <c r="AZ190" s="68">
        <f ca="1">IF(E190-'Invoer gegevens'!$C$17-14.5&lt;0,0,E190-'Invoer gegevens'!$C$17-14.5)</f>
        <v>170.5</v>
      </c>
      <c r="BA190" s="109">
        <f ca="1">IFERROR(VLOOKUP(E190-15,Reeksen!$A$5:$D$234,2,FALSE),0)</f>
        <v>0</v>
      </c>
      <c r="BB190" s="109">
        <f ca="1">IFERROR(VLOOKUP(E190-15,Reeksen!$A$5:$D$234,3,FALSE),0)</f>
        <v>0</v>
      </c>
      <c r="BC190" s="109">
        <f ca="1">IFERROR(VLOOKUP(E190-15,Reeksen!$A$5:$D$234,4,FALSE),0)</f>
        <v>0</v>
      </c>
      <c r="BD190" s="67">
        <f ca="1">IF(E190-'Invoer gegevens'!$C$17&lt;15,0,1)</f>
        <v>1</v>
      </c>
    </row>
    <row r="191" spans="1:56" x14ac:dyDescent="0.25">
      <c r="A191" s="59"/>
      <c r="B191" s="70">
        <f t="shared" si="48"/>
        <v>187</v>
      </c>
      <c r="C191" s="67">
        <f ca="1">IF(E191-'Invoer gegevens'!$C$17&lt;0,0,1)</f>
        <v>1</v>
      </c>
      <c r="D191" s="68">
        <f t="shared" si="49"/>
        <v>186.5</v>
      </c>
      <c r="E191" s="108">
        <f ca="1">IF('Invoer gegevens'!$C$16="","",E190+1)</f>
        <v>2205</v>
      </c>
      <c r="F191" s="84">
        <f ca="1">IF('Invoer gegevens'!$C$17=E191,'Invoer gegevens'!$C$10,IF(C191=1,K190,0))</f>
        <v>0</v>
      </c>
      <c r="G191" s="96">
        <f ca="1">IF(BD191&lt;1,F191*Reeksen!C191,IF(C191&gt;=1,F191*BA191,0))</f>
        <v>0</v>
      </c>
      <c r="H191" s="84">
        <f ca="1">(1-('Invoer gegevens'!$F$20/12))*F191*MIN(BA191,BC191)</f>
        <v>0</v>
      </c>
      <c r="I191" s="84">
        <f t="shared" ca="1" si="34"/>
        <v>0</v>
      </c>
      <c r="J191" s="84">
        <f ca="1">('Invoer gegevens'!$F$20/12)*F190*MIN(BA191,BC191)</f>
        <v>0</v>
      </c>
      <c r="K191" s="97">
        <f t="shared" ca="1" si="39"/>
        <v>0</v>
      </c>
      <c r="L191" s="84">
        <f ca="1">IF('Invoer gegevens'!$C$17=E191,0,IF(C191=1,Q190,0))</f>
        <v>0</v>
      </c>
      <c r="M191" s="96">
        <f t="shared" ca="1" si="35"/>
        <v>0</v>
      </c>
      <c r="N191" s="84">
        <f ca="1">(1-('Invoer gegevens'!$F$20/12))*L191*MIN(BA191,BC191)</f>
        <v>0</v>
      </c>
      <c r="O191" s="84">
        <f t="shared" ca="1" si="36"/>
        <v>0</v>
      </c>
      <c r="P191" s="84">
        <f ca="1">('Invoer gegevens'!$F$20/12)*L190*MIN(BA191,BC191)</f>
        <v>0</v>
      </c>
      <c r="Q191" s="84">
        <f t="shared" ca="1" si="40"/>
        <v>0</v>
      </c>
      <c r="R191" s="85">
        <f ca="1">IF('Invoer gegevens'!$C$17=E191,'Invoer gegevens'!$C$11,IF(C191=1,W190,0))</f>
        <v>0</v>
      </c>
      <c r="S191" s="86">
        <f t="shared" ca="1" si="37"/>
        <v>0</v>
      </c>
      <c r="T191" s="86">
        <f ca="1">(1-('Invoer gegevens'!$F$20/12))*R191*MIN(BC191,BA191)</f>
        <v>0</v>
      </c>
      <c r="U191" s="86">
        <f ca="1">IF(BD191&lt;1,IF(Reeksen!AD191&lt;=Reeksen!AE191,R191*Reeksen!C191,0),IF(BC191&gt;=BA191,0,IF(Reeksen!AD191&lt;=Reeksen!AE191,(BA191-BC191)*R191,0)))</f>
        <v>0</v>
      </c>
      <c r="V191" s="86">
        <f ca="1">IF(BD191&lt;1,IF(Reeksen!AD191&gt;Reeksen!AE191,R191*Reeksen!C191,0),IF(BC191&gt;=BA191,0,IF(Reeksen!AD191&gt;Reeksen!AE191,(BA191-BC191)*R191,0)))</f>
        <v>0</v>
      </c>
      <c r="W191" s="218">
        <f t="shared" ca="1" si="41"/>
        <v>0</v>
      </c>
      <c r="X191" s="98">
        <f ca="1">IF('Invoer gegevens'!$C$17=E191,'Invoer gegevens'!$C$10-'Invoer gegevens'!$C$11,IF(C191=1,AC190,0))</f>
        <v>0</v>
      </c>
      <c r="Y191" s="98">
        <f t="shared" ca="1" si="38"/>
        <v>0</v>
      </c>
      <c r="Z191" s="98">
        <f ca="1">(1-('Invoer gegevens'!$F$20/12))*X191*MIN(BA191,BC191)</f>
        <v>0</v>
      </c>
      <c r="AA191" s="98">
        <f ca="1">IF(BD191&lt;1,IF(Reeksen!AD191&lt;=Reeksen!AE191,X191*Reeksen!C191,0),IF(BC191&gt;=BA191,0,IF(Reeksen!AD191&lt;=Reeksen!AE191,(BA191-BC191)*X191,0)))</f>
        <v>0</v>
      </c>
      <c r="AB191" s="98">
        <f ca="1">IF(BD191&lt;1,IF(Reeksen!AD191&gt;Reeksen!AE191,X191*Reeksen!C191,0),IF(BC191&gt;=BA191,0,IF(Reeksen!AD191&gt;Reeksen!AE191,(BA191-BC191)*X191,0)))</f>
        <v>0</v>
      </c>
      <c r="AC191" s="99">
        <f t="shared" ca="1" si="42"/>
        <v>0</v>
      </c>
      <c r="AD191" s="98">
        <f ca="1">IF('Invoer gegevens'!$C$17=E191,R191,IF(C191=0,0,AE190))</f>
        <v>0</v>
      </c>
      <c r="AE191" s="98">
        <f t="shared" ca="1" si="43"/>
        <v>0</v>
      </c>
      <c r="AF191" s="98">
        <f ca="1">IF('Invoer gegevens'!$C$17=E191,X191,IF(C191=0,0,AG190))</f>
        <v>0</v>
      </c>
      <c r="AG191" s="98">
        <f t="shared" ca="1" si="44"/>
        <v>0</v>
      </c>
      <c r="AH191" s="66"/>
      <c r="AI191" s="71">
        <f ca="1">IF(C191=1,Reeksen!AI191*((F191+K191)/2)*12+Reeksen!AD191*((L191+Q191)/2)*12,0)</f>
        <v>0</v>
      </c>
      <c r="AJ191" s="71">
        <f ca="1">-AI191*'Invoer gegevens'!$F$28</f>
        <v>0</v>
      </c>
      <c r="AK191" s="71">
        <f t="shared" ca="1" si="45"/>
        <v>0</v>
      </c>
      <c r="AL191" s="71">
        <f ca="1">IF(C191=1,Reeksen!AL191*((F191-G191+F191)/2)*12+Reeksen!AM191*((L191-M191+L191)/2)*12,0)</f>
        <v>0</v>
      </c>
      <c r="AM191" s="71">
        <f ca="1">-AL191*'Invoer gegevens'!$F$31</f>
        <v>0</v>
      </c>
      <c r="AN191" s="71">
        <f t="shared" ca="1" si="46"/>
        <v>0</v>
      </c>
      <c r="AO191" s="71">
        <f ca="1">IF(C191=1,(H191+J191+N191+P191)*Reeksen!AN191,0)</f>
        <v>0</v>
      </c>
      <c r="AP191" s="71">
        <f ca="1">-IF(C191=1,(H191+J191+N191+P191)*'Hulp - basis'!$G$550*Reeksen!H191,0)</f>
        <v>0</v>
      </c>
      <c r="AQ191" s="71">
        <f ca="1">-IF(C191=1,(F191+K191+L191+Q191)/2*'Invoer gegevens'!$F$35*Reeksen!J191,0)*2</f>
        <v>0</v>
      </c>
      <c r="AR191" s="71">
        <f ca="1">IF(BD191&lt;1,-IF(C191=1,(G191*'Invoer gegevens'!$F$36)*Reeksen!J191,0),0)</f>
        <v>0</v>
      </c>
      <c r="AS191" s="71">
        <f ca="1">-IF(C191=1,(F191+K191+L191+Q191)/2*'Invoer gegevens'!$F$37*Reeksen!L191,0)</f>
        <v>0</v>
      </c>
      <c r="AT191" s="71">
        <f ca="1">-IF(C191=1,IF(E191='Invoer gegevens'!$C$17,'Invoer gegevens'!$C$11,AD191)*Reeksen!S191*'Invoer gegevens'!$C$18*Reeksen!P191,0)</f>
        <v>0</v>
      </c>
      <c r="AU191" s="71">
        <f ca="1">-IF(C191=1,(F191+K191+L191+Q191)/2*'Invoer gegevens'!$F$38*Reeksen!H191,0)</f>
        <v>0</v>
      </c>
      <c r="AV191" s="71">
        <f t="shared" si="50"/>
        <v>0</v>
      </c>
      <c r="AW191" s="71">
        <f t="shared" ca="1" si="47"/>
        <v>0</v>
      </c>
      <c r="AX191" s="71">
        <f ca="1">IF(E191&lt;'Invoer gegevens'!$C$17+15,0,IF(E191&gt;'Invoer gegevens'!$C$17+215,0,AW191))</f>
        <v>0</v>
      </c>
      <c r="AY191" s="71">
        <f ca="1">AX191/(1+'Invoer gegevens'!$F$18)^($AZ191-('Invoer gegevens'!$C$17-'Invoer gegevens'!$C$16))/(1+'Invoer gegevens'!$C$39)^('Invoer gegevens'!$C$17-'Invoer gegevens'!$C$16)</f>
        <v>0</v>
      </c>
      <c r="AZ191" s="68">
        <f ca="1">IF(E191-'Invoer gegevens'!$C$17-14.5&lt;0,0,E191-'Invoer gegevens'!$C$17-14.5)</f>
        <v>171.5</v>
      </c>
      <c r="BA191" s="109">
        <f ca="1">IFERROR(VLOOKUP(E191-15,Reeksen!$A$5:$D$234,2,FALSE),0)</f>
        <v>0</v>
      </c>
      <c r="BB191" s="109">
        <f ca="1">IFERROR(VLOOKUP(E191-15,Reeksen!$A$5:$D$234,3,FALSE),0)</f>
        <v>0</v>
      </c>
      <c r="BC191" s="109">
        <f ca="1">IFERROR(VLOOKUP(E191-15,Reeksen!$A$5:$D$234,4,FALSE),0)</f>
        <v>0</v>
      </c>
      <c r="BD191" s="67">
        <f ca="1">IF(E191-'Invoer gegevens'!$C$17&lt;15,0,1)</f>
        <v>1</v>
      </c>
    </row>
    <row r="192" spans="1:56" x14ac:dyDescent="0.25">
      <c r="A192" s="59"/>
      <c r="B192" s="70">
        <f t="shared" si="48"/>
        <v>188</v>
      </c>
      <c r="C192" s="67">
        <f ca="1">IF(E192-'Invoer gegevens'!$C$17&lt;0,0,1)</f>
        <v>1</v>
      </c>
      <c r="D192" s="68">
        <f t="shared" si="49"/>
        <v>187.5</v>
      </c>
      <c r="E192" s="108">
        <f ca="1">IF('Invoer gegevens'!$C$16="","",E191+1)</f>
        <v>2206</v>
      </c>
      <c r="F192" s="84">
        <f ca="1">IF('Invoer gegevens'!$C$17=E192,'Invoer gegevens'!$C$10,IF(C192=1,K191,0))</f>
        <v>0</v>
      </c>
      <c r="G192" s="96">
        <f ca="1">IF(BD192&lt;1,F192*Reeksen!C192,IF(C192&gt;=1,F192*BA192,0))</f>
        <v>0</v>
      </c>
      <c r="H192" s="84">
        <f ca="1">(1-('Invoer gegevens'!$F$20/12))*F192*MIN(BA192,BC192)</f>
        <v>0</v>
      </c>
      <c r="I192" s="84">
        <f t="shared" ca="1" si="34"/>
        <v>0</v>
      </c>
      <c r="J192" s="84">
        <f ca="1">('Invoer gegevens'!$F$20/12)*F191*MIN(BA192,BC192)</f>
        <v>0</v>
      </c>
      <c r="K192" s="97">
        <f t="shared" ca="1" si="39"/>
        <v>0</v>
      </c>
      <c r="L192" s="84">
        <f ca="1">IF('Invoer gegevens'!$C$17=E192,0,IF(C192=1,Q191,0))</f>
        <v>0</v>
      </c>
      <c r="M192" s="96">
        <f t="shared" ca="1" si="35"/>
        <v>0</v>
      </c>
      <c r="N192" s="84">
        <f ca="1">(1-('Invoer gegevens'!$F$20/12))*L192*MIN(BA192,BC192)</f>
        <v>0</v>
      </c>
      <c r="O192" s="84">
        <f t="shared" ca="1" si="36"/>
        <v>0</v>
      </c>
      <c r="P192" s="84">
        <f ca="1">('Invoer gegevens'!$F$20/12)*L191*MIN(BA192,BC192)</f>
        <v>0</v>
      </c>
      <c r="Q192" s="84">
        <f t="shared" ca="1" si="40"/>
        <v>0</v>
      </c>
      <c r="R192" s="85">
        <f ca="1">IF('Invoer gegevens'!$C$17=E192,'Invoer gegevens'!$C$11,IF(C192=1,W191,0))</f>
        <v>0</v>
      </c>
      <c r="S192" s="86">
        <f t="shared" ca="1" si="37"/>
        <v>0</v>
      </c>
      <c r="T192" s="86">
        <f ca="1">(1-('Invoer gegevens'!$F$20/12))*R192*MIN(BC192,BA192)</f>
        <v>0</v>
      </c>
      <c r="U192" s="86">
        <f ca="1">IF(BD192&lt;1,IF(Reeksen!AD192&lt;=Reeksen!AE192,R192*Reeksen!C192,0),IF(BC192&gt;=BA192,0,IF(Reeksen!AD192&lt;=Reeksen!AE192,(BA192-BC192)*R192,0)))</f>
        <v>0</v>
      </c>
      <c r="V192" s="86">
        <f ca="1">IF(BD192&lt;1,IF(Reeksen!AD192&gt;Reeksen!AE192,R192*Reeksen!C192,0),IF(BC192&gt;=BA192,0,IF(Reeksen!AD192&gt;Reeksen!AE192,(BA192-BC192)*R192,0)))</f>
        <v>0</v>
      </c>
      <c r="W192" s="218">
        <f t="shared" ca="1" si="41"/>
        <v>0</v>
      </c>
      <c r="X192" s="98">
        <f ca="1">IF('Invoer gegevens'!$C$17=E192,'Invoer gegevens'!$C$10-'Invoer gegevens'!$C$11,IF(C192=1,AC191,0))</f>
        <v>0</v>
      </c>
      <c r="Y192" s="98">
        <f t="shared" ca="1" si="38"/>
        <v>0</v>
      </c>
      <c r="Z192" s="98">
        <f ca="1">(1-('Invoer gegevens'!$F$20/12))*X192*MIN(BA192,BC192)</f>
        <v>0</v>
      </c>
      <c r="AA192" s="98">
        <f ca="1">IF(BD192&lt;1,IF(Reeksen!AD192&lt;=Reeksen!AE192,X192*Reeksen!C192,0),IF(BC192&gt;=BA192,0,IF(Reeksen!AD192&lt;=Reeksen!AE192,(BA192-BC192)*X192,0)))</f>
        <v>0</v>
      </c>
      <c r="AB192" s="98">
        <f ca="1">IF(BD192&lt;1,IF(Reeksen!AD192&gt;Reeksen!AE192,X192*Reeksen!C192,0),IF(BC192&gt;=BA192,0,IF(Reeksen!AD192&gt;Reeksen!AE192,(BA192-BC192)*X192,0)))</f>
        <v>0</v>
      </c>
      <c r="AC192" s="99">
        <f t="shared" ca="1" si="42"/>
        <v>0</v>
      </c>
      <c r="AD192" s="98">
        <f ca="1">IF('Invoer gegevens'!$C$17=E192,R192,IF(C192=0,0,AE191))</f>
        <v>0</v>
      </c>
      <c r="AE192" s="98">
        <f t="shared" ca="1" si="43"/>
        <v>0</v>
      </c>
      <c r="AF192" s="98">
        <f ca="1">IF('Invoer gegevens'!$C$17=E192,X192,IF(C192=0,0,AG191))</f>
        <v>0</v>
      </c>
      <c r="AG192" s="98">
        <f t="shared" ca="1" si="44"/>
        <v>0</v>
      </c>
      <c r="AH192" s="66"/>
      <c r="AI192" s="71">
        <f ca="1">IF(C192=1,Reeksen!AI192*((F192+K192)/2)*12+Reeksen!AD192*((L192+Q192)/2)*12,0)</f>
        <v>0</v>
      </c>
      <c r="AJ192" s="71">
        <f ca="1">-AI192*'Invoer gegevens'!$F$28</f>
        <v>0</v>
      </c>
      <c r="AK192" s="71">
        <f t="shared" ca="1" si="45"/>
        <v>0</v>
      </c>
      <c r="AL192" s="71">
        <f ca="1">IF(C192=1,Reeksen!AL192*((F192-G192+F192)/2)*12+Reeksen!AM192*((L192-M192+L192)/2)*12,0)</f>
        <v>0</v>
      </c>
      <c r="AM192" s="71">
        <f ca="1">-AL192*'Invoer gegevens'!$F$31</f>
        <v>0</v>
      </c>
      <c r="AN192" s="71">
        <f t="shared" ca="1" si="46"/>
        <v>0</v>
      </c>
      <c r="AO192" s="71">
        <f ca="1">IF(C192=1,(H192+J192+N192+P192)*Reeksen!AN192,0)</f>
        <v>0</v>
      </c>
      <c r="AP192" s="71">
        <f ca="1">-IF(C192=1,(H192+J192+N192+P192)*'Hulp - basis'!$G$550*Reeksen!H192,0)</f>
        <v>0</v>
      </c>
      <c r="AQ192" s="71">
        <f ca="1">-IF(C192=1,(F192+K192+L192+Q192)/2*'Invoer gegevens'!$F$35*Reeksen!J192,0)*2</f>
        <v>0</v>
      </c>
      <c r="AR192" s="71">
        <f ca="1">IF(BD192&lt;1,-IF(C192=1,(G192*'Invoer gegevens'!$F$36)*Reeksen!J192,0),0)</f>
        <v>0</v>
      </c>
      <c r="AS192" s="71">
        <f ca="1">-IF(C192=1,(F192+K192+L192+Q192)/2*'Invoer gegevens'!$F$37*Reeksen!L192,0)</f>
        <v>0</v>
      </c>
      <c r="AT192" s="71">
        <f ca="1">-IF(C192=1,IF(E192='Invoer gegevens'!$C$17,'Invoer gegevens'!$C$11,AD192)*Reeksen!S192*'Invoer gegevens'!$C$18*Reeksen!P192,0)</f>
        <v>0</v>
      </c>
      <c r="AU192" s="71">
        <f ca="1">-IF(C192=1,(F192+K192+L192+Q192)/2*'Invoer gegevens'!$F$38*Reeksen!H192,0)</f>
        <v>0</v>
      </c>
      <c r="AV192" s="71">
        <f t="shared" si="50"/>
        <v>0</v>
      </c>
      <c r="AW192" s="71">
        <f t="shared" ca="1" si="47"/>
        <v>0</v>
      </c>
      <c r="AX192" s="71">
        <f ca="1">IF(E192&lt;'Invoer gegevens'!$C$17+15,0,IF(E192&gt;'Invoer gegevens'!$C$17+215,0,AW192))</f>
        <v>0</v>
      </c>
      <c r="AY192" s="71">
        <f ca="1">AX192/(1+'Invoer gegevens'!$F$18)^($AZ192-('Invoer gegevens'!$C$17-'Invoer gegevens'!$C$16))/(1+'Invoer gegevens'!$C$39)^('Invoer gegevens'!$C$17-'Invoer gegevens'!$C$16)</f>
        <v>0</v>
      </c>
      <c r="AZ192" s="68">
        <f ca="1">IF(E192-'Invoer gegevens'!$C$17-14.5&lt;0,0,E192-'Invoer gegevens'!$C$17-14.5)</f>
        <v>172.5</v>
      </c>
      <c r="BA192" s="109">
        <f ca="1">IFERROR(VLOOKUP(E192-15,Reeksen!$A$5:$D$234,2,FALSE),0)</f>
        <v>0</v>
      </c>
      <c r="BB192" s="109">
        <f ca="1">IFERROR(VLOOKUP(E192-15,Reeksen!$A$5:$D$234,3,FALSE),0)</f>
        <v>0</v>
      </c>
      <c r="BC192" s="109">
        <f ca="1">IFERROR(VLOOKUP(E192-15,Reeksen!$A$5:$D$234,4,FALSE),0)</f>
        <v>0</v>
      </c>
      <c r="BD192" s="67">
        <f ca="1">IF(E192-'Invoer gegevens'!$C$17&lt;15,0,1)</f>
        <v>1</v>
      </c>
    </row>
    <row r="193" spans="1:56" x14ac:dyDescent="0.25">
      <c r="A193" s="59"/>
      <c r="B193" s="70">
        <f t="shared" si="48"/>
        <v>189</v>
      </c>
      <c r="C193" s="67">
        <f ca="1">IF(E193-'Invoer gegevens'!$C$17&lt;0,0,1)</f>
        <v>1</v>
      </c>
      <c r="D193" s="68">
        <f t="shared" si="49"/>
        <v>188.5</v>
      </c>
      <c r="E193" s="108">
        <f ca="1">IF('Invoer gegevens'!$C$16="","",E192+1)</f>
        <v>2207</v>
      </c>
      <c r="F193" s="84">
        <f ca="1">IF('Invoer gegevens'!$C$17=E193,'Invoer gegevens'!$C$10,IF(C193=1,K192,0))</f>
        <v>0</v>
      </c>
      <c r="G193" s="96">
        <f ca="1">IF(BD193&lt;1,F193*Reeksen!C193,IF(C193&gt;=1,F193*BA193,0))</f>
        <v>0</v>
      </c>
      <c r="H193" s="84">
        <f ca="1">(1-('Invoer gegevens'!$F$20/12))*F193*MIN(BA193,BC193)</f>
        <v>0</v>
      </c>
      <c r="I193" s="84">
        <f t="shared" ca="1" si="34"/>
        <v>0</v>
      </c>
      <c r="J193" s="84">
        <f ca="1">('Invoer gegevens'!$F$20/12)*F192*MIN(BA193,BC193)</f>
        <v>0</v>
      </c>
      <c r="K193" s="97">
        <f t="shared" ca="1" si="39"/>
        <v>0</v>
      </c>
      <c r="L193" s="84">
        <f ca="1">IF('Invoer gegevens'!$C$17=E193,0,IF(C193=1,Q192,0))</f>
        <v>0</v>
      </c>
      <c r="M193" s="96">
        <f t="shared" ca="1" si="35"/>
        <v>0</v>
      </c>
      <c r="N193" s="84">
        <f ca="1">(1-('Invoer gegevens'!$F$20/12))*L193*MIN(BA193,BC193)</f>
        <v>0</v>
      </c>
      <c r="O193" s="84">
        <f t="shared" ca="1" si="36"/>
        <v>0</v>
      </c>
      <c r="P193" s="84">
        <f ca="1">('Invoer gegevens'!$F$20/12)*L192*MIN(BA193,BC193)</f>
        <v>0</v>
      </c>
      <c r="Q193" s="84">
        <f t="shared" ca="1" si="40"/>
        <v>0</v>
      </c>
      <c r="R193" s="85">
        <f ca="1">IF('Invoer gegevens'!$C$17=E193,'Invoer gegevens'!$C$11,IF(C193=1,W192,0))</f>
        <v>0</v>
      </c>
      <c r="S193" s="86">
        <f t="shared" ca="1" si="37"/>
        <v>0</v>
      </c>
      <c r="T193" s="86">
        <f ca="1">(1-('Invoer gegevens'!$F$20/12))*R193*MIN(BC193,BA193)</f>
        <v>0</v>
      </c>
      <c r="U193" s="86">
        <f ca="1">IF(BD193&lt;1,IF(Reeksen!AD193&lt;=Reeksen!AE193,R193*Reeksen!C193,0),IF(BC193&gt;=BA193,0,IF(Reeksen!AD193&lt;=Reeksen!AE193,(BA193-BC193)*R193,0)))</f>
        <v>0</v>
      </c>
      <c r="V193" s="86">
        <f ca="1">IF(BD193&lt;1,IF(Reeksen!AD193&gt;Reeksen!AE193,R193*Reeksen!C193,0),IF(BC193&gt;=BA193,0,IF(Reeksen!AD193&gt;Reeksen!AE193,(BA193-BC193)*R193,0)))</f>
        <v>0</v>
      </c>
      <c r="W193" s="218">
        <f t="shared" ca="1" si="41"/>
        <v>0</v>
      </c>
      <c r="X193" s="98">
        <f ca="1">IF('Invoer gegevens'!$C$17=E193,'Invoer gegevens'!$C$10-'Invoer gegevens'!$C$11,IF(C193=1,AC192,0))</f>
        <v>0</v>
      </c>
      <c r="Y193" s="98">
        <f t="shared" ca="1" si="38"/>
        <v>0</v>
      </c>
      <c r="Z193" s="98">
        <f ca="1">(1-('Invoer gegevens'!$F$20/12))*X193*MIN(BA193,BC193)</f>
        <v>0</v>
      </c>
      <c r="AA193" s="98">
        <f ca="1">IF(BD193&lt;1,IF(Reeksen!AD193&lt;=Reeksen!AE193,X193*Reeksen!C193,0),IF(BC193&gt;=BA193,0,IF(Reeksen!AD193&lt;=Reeksen!AE193,(BA193-BC193)*X193,0)))</f>
        <v>0</v>
      </c>
      <c r="AB193" s="98">
        <f ca="1">IF(BD193&lt;1,IF(Reeksen!AD193&gt;Reeksen!AE193,X193*Reeksen!C193,0),IF(BC193&gt;=BA193,0,IF(Reeksen!AD193&gt;Reeksen!AE193,(BA193-BC193)*X193,0)))</f>
        <v>0</v>
      </c>
      <c r="AC193" s="99">
        <f t="shared" ca="1" si="42"/>
        <v>0</v>
      </c>
      <c r="AD193" s="98">
        <f ca="1">IF('Invoer gegevens'!$C$17=E193,R193,IF(C193=0,0,AE192))</f>
        <v>0</v>
      </c>
      <c r="AE193" s="98">
        <f t="shared" ca="1" si="43"/>
        <v>0</v>
      </c>
      <c r="AF193" s="98">
        <f ca="1">IF('Invoer gegevens'!$C$17=E193,X193,IF(C193=0,0,AG192))</f>
        <v>0</v>
      </c>
      <c r="AG193" s="98">
        <f t="shared" ca="1" si="44"/>
        <v>0</v>
      </c>
      <c r="AH193" s="66"/>
      <c r="AI193" s="71">
        <f ca="1">IF(C193=1,Reeksen!AI193*((F193+K193)/2)*12+Reeksen!AD193*((L193+Q193)/2)*12,0)</f>
        <v>0</v>
      </c>
      <c r="AJ193" s="71">
        <f ca="1">-AI193*'Invoer gegevens'!$F$28</f>
        <v>0</v>
      </c>
      <c r="AK193" s="71">
        <f t="shared" ca="1" si="45"/>
        <v>0</v>
      </c>
      <c r="AL193" s="71">
        <f ca="1">IF(C193=1,Reeksen!AL193*((F193-G193+F193)/2)*12+Reeksen!AM193*((L193-M193+L193)/2)*12,0)</f>
        <v>0</v>
      </c>
      <c r="AM193" s="71">
        <f ca="1">-AL193*'Invoer gegevens'!$F$31</f>
        <v>0</v>
      </c>
      <c r="AN193" s="71">
        <f t="shared" ca="1" si="46"/>
        <v>0</v>
      </c>
      <c r="AO193" s="71">
        <f ca="1">IF(C193=1,(H193+J193+N193+P193)*Reeksen!AN193,0)</f>
        <v>0</v>
      </c>
      <c r="AP193" s="71">
        <f ca="1">-IF(C193=1,(H193+J193+N193+P193)*'Hulp - basis'!$G$550*Reeksen!H193,0)</f>
        <v>0</v>
      </c>
      <c r="AQ193" s="71">
        <f ca="1">-IF(C193=1,(F193+K193+L193+Q193)/2*'Invoer gegevens'!$F$35*Reeksen!J193,0)*2</f>
        <v>0</v>
      </c>
      <c r="AR193" s="71">
        <f ca="1">IF(BD193&lt;1,-IF(C193=1,(G193*'Invoer gegevens'!$F$36)*Reeksen!J193,0),0)</f>
        <v>0</v>
      </c>
      <c r="AS193" s="71">
        <f ca="1">-IF(C193=1,(F193+K193+L193+Q193)/2*'Invoer gegevens'!$F$37*Reeksen!L193,0)</f>
        <v>0</v>
      </c>
      <c r="AT193" s="71">
        <f ca="1">-IF(C193=1,IF(E193='Invoer gegevens'!$C$17,'Invoer gegevens'!$C$11,AD193)*Reeksen!S193*'Invoer gegevens'!$C$18*Reeksen!P193,0)</f>
        <v>0</v>
      </c>
      <c r="AU193" s="71">
        <f ca="1">-IF(C193=1,(F193+K193+L193+Q193)/2*'Invoer gegevens'!$F$38*Reeksen!H193,0)</f>
        <v>0</v>
      </c>
      <c r="AV193" s="71">
        <f t="shared" si="50"/>
        <v>0</v>
      </c>
      <c r="AW193" s="71">
        <f t="shared" ca="1" si="47"/>
        <v>0</v>
      </c>
      <c r="AX193" s="71">
        <f ca="1">IF(E193&lt;'Invoer gegevens'!$C$17+15,0,IF(E193&gt;'Invoer gegevens'!$C$17+215,0,AW193))</f>
        <v>0</v>
      </c>
      <c r="AY193" s="71">
        <f ca="1">AX193/(1+'Invoer gegevens'!$F$18)^($AZ193-('Invoer gegevens'!$C$17-'Invoer gegevens'!$C$16))/(1+'Invoer gegevens'!$C$39)^('Invoer gegevens'!$C$17-'Invoer gegevens'!$C$16)</f>
        <v>0</v>
      </c>
      <c r="AZ193" s="68">
        <f ca="1">IF(E193-'Invoer gegevens'!$C$17-14.5&lt;0,0,E193-'Invoer gegevens'!$C$17-14.5)</f>
        <v>173.5</v>
      </c>
      <c r="BA193" s="109">
        <f ca="1">IFERROR(VLOOKUP(E193-15,Reeksen!$A$5:$D$234,2,FALSE),0)</f>
        <v>0</v>
      </c>
      <c r="BB193" s="109">
        <f ca="1">IFERROR(VLOOKUP(E193-15,Reeksen!$A$5:$D$234,3,FALSE),0)</f>
        <v>0</v>
      </c>
      <c r="BC193" s="109">
        <f ca="1">IFERROR(VLOOKUP(E193-15,Reeksen!$A$5:$D$234,4,FALSE),0)</f>
        <v>0</v>
      </c>
      <c r="BD193" s="67">
        <f ca="1">IF(E193-'Invoer gegevens'!$C$17&lt;15,0,1)</f>
        <v>1</v>
      </c>
    </row>
    <row r="194" spans="1:56" x14ac:dyDescent="0.25">
      <c r="A194" s="59"/>
      <c r="B194" s="70">
        <f t="shared" si="48"/>
        <v>190</v>
      </c>
      <c r="C194" s="67">
        <f ca="1">IF(E194-'Invoer gegevens'!$C$17&lt;0,0,1)</f>
        <v>1</v>
      </c>
      <c r="D194" s="68">
        <f t="shared" si="49"/>
        <v>189.5</v>
      </c>
      <c r="E194" s="108">
        <f ca="1">IF('Invoer gegevens'!$C$16="","",E193+1)</f>
        <v>2208</v>
      </c>
      <c r="F194" s="84">
        <f ca="1">IF('Invoer gegevens'!$C$17=E194,'Invoer gegevens'!$C$10,IF(C194=1,K193,0))</f>
        <v>0</v>
      </c>
      <c r="G194" s="96">
        <f ca="1">IF(BD194&lt;1,F194*Reeksen!C194,IF(C194&gt;=1,F194*BA194,0))</f>
        <v>0</v>
      </c>
      <c r="H194" s="84">
        <f ca="1">(1-('Invoer gegevens'!$F$20/12))*F194*MIN(BA194,BC194)</f>
        <v>0</v>
      </c>
      <c r="I194" s="84">
        <f t="shared" ca="1" si="34"/>
        <v>0</v>
      </c>
      <c r="J194" s="84">
        <f ca="1">('Invoer gegevens'!$F$20/12)*F193*MIN(BA194,BC194)</f>
        <v>0</v>
      </c>
      <c r="K194" s="97">
        <f t="shared" ca="1" si="39"/>
        <v>0</v>
      </c>
      <c r="L194" s="84">
        <f ca="1">IF('Invoer gegevens'!$C$17=E194,0,IF(C194=1,Q193,0))</f>
        <v>0</v>
      </c>
      <c r="M194" s="96">
        <f t="shared" ca="1" si="35"/>
        <v>0</v>
      </c>
      <c r="N194" s="84">
        <f ca="1">(1-('Invoer gegevens'!$F$20/12))*L194*MIN(BA194,BC194)</f>
        <v>0</v>
      </c>
      <c r="O194" s="84">
        <f t="shared" ca="1" si="36"/>
        <v>0</v>
      </c>
      <c r="P194" s="84">
        <f ca="1">('Invoer gegevens'!$F$20/12)*L193*MIN(BA194,BC194)</f>
        <v>0</v>
      </c>
      <c r="Q194" s="84">
        <f t="shared" ca="1" si="40"/>
        <v>0</v>
      </c>
      <c r="R194" s="85">
        <f ca="1">IF('Invoer gegevens'!$C$17=E194,'Invoer gegevens'!$C$11,IF(C194=1,W193,0))</f>
        <v>0</v>
      </c>
      <c r="S194" s="86">
        <f t="shared" ca="1" si="37"/>
        <v>0</v>
      </c>
      <c r="T194" s="86">
        <f ca="1">(1-('Invoer gegevens'!$F$20/12))*R194*MIN(BC194,BA194)</f>
        <v>0</v>
      </c>
      <c r="U194" s="86">
        <f ca="1">IF(BD194&lt;1,IF(Reeksen!AD194&lt;=Reeksen!AE194,R194*Reeksen!C194,0),IF(BC194&gt;=BA194,0,IF(Reeksen!AD194&lt;=Reeksen!AE194,(BA194-BC194)*R194,0)))</f>
        <v>0</v>
      </c>
      <c r="V194" s="86">
        <f ca="1">IF(BD194&lt;1,IF(Reeksen!AD194&gt;Reeksen!AE194,R194*Reeksen!C194,0),IF(BC194&gt;=BA194,0,IF(Reeksen!AD194&gt;Reeksen!AE194,(BA194-BC194)*R194,0)))</f>
        <v>0</v>
      </c>
      <c r="W194" s="218">
        <f t="shared" ca="1" si="41"/>
        <v>0</v>
      </c>
      <c r="X194" s="98">
        <f ca="1">IF('Invoer gegevens'!$C$17=E194,'Invoer gegevens'!$C$10-'Invoer gegevens'!$C$11,IF(C194=1,AC193,0))</f>
        <v>0</v>
      </c>
      <c r="Y194" s="98">
        <f t="shared" ca="1" si="38"/>
        <v>0</v>
      </c>
      <c r="Z194" s="98">
        <f ca="1">(1-('Invoer gegevens'!$F$20/12))*X194*MIN(BA194,BC194)</f>
        <v>0</v>
      </c>
      <c r="AA194" s="98">
        <f ca="1">IF(BD194&lt;1,IF(Reeksen!AD194&lt;=Reeksen!AE194,X194*Reeksen!C194,0),IF(BC194&gt;=BA194,0,IF(Reeksen!AD194&lt;=Reeksen!AE194,(BA194-BC194)*X194,0)))</f>
        <v>0</v>
      </c>
      <c r="AB194" s="98">
        <f ca="1">IF(BD194&lt;1,IF(Reeksen!AD194&gt;Reeksen!AE194,X194*Reeksen!C194,0),IF(BC194&gt;=BA194,0,IF(Reeksen!AD194&gt;Reeksen!AE194,(BA194-BC194)*X194,0)))</f>
        <v>0</v>
      </c>
      <c r="AC194" s="99">
        <f t="shared" ca="1" si="42"/>
        <v>0</v>
      </c>
      <c r="AD194" s="98">
        <f ca="1">IF('Invoer gegevens'!$C$17=E194,R194,IF(C194=0,0,AE193))</f>
        <v>0</v>
      </c>
      <c r="AE194" s="98">
        <f t="shared" ca="1" si="43"/>
        <v>0</v>
      </c>
      <c r="AF194" s="98">
        <f ca="1">IF('Invoer gegevens'!$C$17=E194,X194,IF(C194=0,0,AG193))</f>
        <v>0</v>
      </c>
      <c r="AG194" s="98">
        <f t="shared" ca="1" si="44"/>
        <v>0</v>
      </c>
      <c r="AH194" s="66"/>
      <c r="AI194" s="71">
        <f ca="1">IF(C194=1,Reeksen!AI194*((F194+K194)/2)*12+Reeksen!AD194*((L194+Q194)/2)*12,0)</f>
        <v>0</v>
      </c>
      <c r="AJ194" s="71">
        <f ca="1">-AI194*'Invoer gegevens'!$F$28</f>
        <v>0</v>
      </c>
      <c r="AK194" s="71">
        <f t="shared" ca="1" si="45"/>
        <v>0</v>
      </c>
      <c r="AL194" s="71">
        <f ca="1">IF(C194=1,Reeksen!AL194*((F194-G194+F194)/2)*12+Reeksen!AM194*((L194-M194+L194)/2)*12,0)</f>
        <v>0</v>
      </c>
      <c r="AM194" s="71">
        <f ca="1">-AL194*'Invoer gegevens'!$F$31</f>
        <v>0</v>
      </c>
      <c r="AN194" s="71">
        <f t="shared" ca="1" si="46"/>
        <v>0</v>
      </c>
      <c r="AO194" s="71">
        <f ca="1">IF(C194=1,(H194+J194+N194+P194)*Reeksen!AN194,0)</f>
        <v>0</v>
      </c>
      <c r="AP194" s="71">
        <f ca="1">-IF(C194=1,(H194+J194+N194+P194)*'Hulp - basis'!$G$550*Reeksen!H194,0)</f>
        <v>0</v>
      </c>
      <c r="AQ194" s="71">
        <f ca="1">-IF(C194=1,(F194+K194+L194+Q194)/2*'Invoer gegevens'!$F$35*Reeksen!J194,0)*2</f>
        <v>0</v>
      </c>
      <c r="AR194" s="71">
        <f ca="1">IF(BD194&lt;1,-IF(C194=1,(G194*'Invoer gegevens'!$F$36)*Reeksen!J194,0),0)</f>
        <v>0</v>
      </c>
      <c r="AS194" s="71">
        <f ca="1">-IF(C194=1,(F194+K194+L194+Q194)/2*'Invoer gegevens'!$F$37*Reeksen!L194,0)</f>
        <v>0</v>
      </c>
      <c r="AT194" s="71">
        <f ca="1">-IF(C194=1,IF(E194='Invoer gegevens'!$C$17,'Invoer gegevens'!$C$11,AD194)*Reeksen!S194*'Invoer gegevens'!$C$18*Reeksen!P194,0)</f>
        <v>0</v>
      </c>
      <c r="AU194" s="71">
        <f ca="1">-IF(C194=1,(F194+K194+L194+Q194)/2*'Invoer gegevens'!$F$38*Reeksen!H194,0)</f>
        <v>0</v>
      </c>
      <c r="AV194" s="71">
        <f t="shared" si="50"/>
        <v>0</v>
      </c>
      <c r="AW194" s="71">
        <f t="shared" ca="1" si="47"/>
        <v>0</v>
      </c>
      <c r="AX194" s="71">
        <f ca="1">IF(E194&lt;'Invoer gegevens'!$C$17+15,0,IF(E194&gt;'Invoer gegevens'!$C$17+215,0,AW194))</f>
        <v>0</v>
      </c>
      <c r="AY194" s="71">
        <f ca="1">AX194/(1+'Invoer gegevens'!$F$18)^($AZ194-('Invoer gegevens'!$C$17-'Invoer gegevens'!$C$16))/(1+'Invoer gegevens'!$C$39)^('Invoer gegevens'!$C$17-'Invoer gegevens'!$C$16)</f>
        <v>0</v>
      </c>
      <c r="AZ194" s="68">
        <f ca="1">IF(E194-'Invoer gegevens'!$C$17-14.5&lt;0,0,E194-'Invoer gegevens'!$C$17-14.5)</f>
        <v>174.5</v>
      </c>
      <c r="BA194" s="109">
        <f ca="1">IFERROR(VLOOKUP(E194-15,Reeksen!$A$5:$D$234,2,FALSE),0)</f>
        <v>0</v>
      </c>
      <c r="BB194" s="109">
        <f ca="1">IFERROR(VLOOKUP(E194-15,Reeksen!$A$5:$D$234,3,FALSE),0)</f>
        <v>0</v>
      </c>
      <c r="BC194" s="109">
        <f ca="1">IFERROR(VLOOKUP(E194-15,Reeksen!$A$5:$D$234,4,FALSE),0)</f>
        <v>0</v>
      </c>
      <c r="BD194" s="67">
        <f ca="1">IF(E194-'Invoer gegevens'!$C$17&lt;15,0,1)</f>
        <v>1</v>
      </c>
    </row>
    <row r="195" spans="1:56" x14ac:dyDescent="0.25">
      <c r="A195" s="59"/>
      <c r="B195" s="70">
        <f t="shared" si="48"/>
        <v>191</v>
      </c>
      <c r="C195" s="67">
        <f ca="1">IF(E195-'Invoer gegevens'!$C$17&lt;0,0,1)</f>
        <v>1</v>
      </c>
      <c r="D195" s="68">
        <f t="shared" si="49"/>
        <v>190.5</v>
      </c>
      <c r="E195" s="108">
        <f ca="1">IF('Invoer gegevens'!$C$16="","",E194+1)</f>
        <v>2209</v>
      </c>
      <c r="F195" s="84">
        <f ca="1">IF('Invoer gegevens'!$C$17=E195,'Invoer gegevens'!$C$10,IF(C195=1,K194,0))</f>
        <v>0</v>
      </c>
      <c r="G195" s="96">
        <f ca="1">IF(BD195&lt;1,F195*Reeksen!C195,IF(C195&gt;=1,F195*BA195,0))</f>
        <v>0</v>
      </c>
      <c r="H195" s="84">
        <f ca="1">(1-('Invoer gegevens'!$F$20/12))*F195*MIN(BA195,BC195)</f>
        <v>0</v>
      </c>
      <c r="I195" s="84">
        <f t="shared" ca="1" si="34"/>
        <v>0</v>
      </c>
      <c r="J195" s="84">
        <f ca="1">('Invoer gegevens'!$F$20/12)*F194*MIN(BA195,BC195)</f>
        <v>0</v>
      </c>
      <c r="K195" s="97">
        <f t="shared" ca="1" si="39"/>
        <v>0</v>
      </c>
      <c r="L195" s="84">
        <f ca="1">IF('Invoer gegevens'!$C$17=E195,0,IF(C195=1,Q194,0))</f>
        <v>0</v>
      </c>
      <c r="M195" s="96">
        <f t="shared" ca="1" si="35"/>
        <v>0</v>
      </c>
      <c r="N195" s="84">
        <f ca="1">(1-('Invoer gegevens'!$F$20/12))*L195*MIN(BA195,BC195)</f>
        <v>0</v>
      </c>
      <c r="O195" s="84">
        <f t="shared" ca="1" si="36"/>
        <v>0</v>
      </c>
      <c r="P195" s="84">
        <f ca="1">('Invoer gegevens'!$F$20/12)*L194*MIN(BA195,BC195)</f>
        <v>0</v>
      </c>
      <c r="Q195" s="84">
        <f t="shared" ca="1" si="40"/>
        <v>0</v>
      </c>
      <c r="R195" s="85">
        <f ca="1">IF('Invoer gegevens'!$C$17=E195,'Invoer gegevens'!$C$11,IF(C195=1,W194,0))</f>
        <v>0</v>
      </c>
      <c r="S195" s="86">
        <f t="shared" ca="1" si="37"/>
        <v>0</v>
      </c>
      <c r="T195" s="86">
        <f ca="1">(1-('Invoer gegevens'!$F$20/12))*R195*MIN(BC195,BA195)</f>
        <v>0</v>
      </c>
      <c r="U195" s="86">
        <f ca="1">IF(BD195&lt;1,IF(Reeksen!AD195&lt;=Reeksen!AE195,R195*Reeksen!C195,0),IF(BC195&gt;=BA195,0,IF(Reeksen!AD195&lt;=Reeksen!AE195,(BA195-BC195)*R195,0)))</f>
        <v>0</v>
      </c>
      <c r="V195" s="86">
        <f ca="1">IF(BD195&lt;1,IF(Reeksen!AD195&gt;Reeksen!AE195,R195*Reeksen!C195,0),IF(BC195&gt;=BA195,0,IF(Reeksen!AD195&gt;Reeksen!AE195,(BA195-BC195)*R195,0)))</f>
        <v>0</v>
      </c>
      <c r="W195" s="218">
        <f t="shared" ca="1" si="41"/>
        <v>0</v>
      </c>
      <c r="X195" s="98">
        <f ca="1">IF('Invoer gegevens'!$C$17=E195,'Invoer gegevens'!$C$10-'Invoer gegevens'!$C$11,IF(C195=1,AC194,0))</f>
        <v>0</v>
      </c>
      <c r="Y195" s="98">
        <f t="shared" ca="1" si="38"/>
        <v>0</v>
      </c>
      <c r="Z195" s="98">
        <f ca="1">(1-('Invoer gegevens'!$F$20/12))*X195*MIN(BA195,BC195)</f>
        <v>0</v>
      </c>
      <c r="AA195" s="98">
        <f ca="1">IF(BD195&lt;1,IF(Reeksen!AD195&lt;=Reeksen!AE195,X195*Reeksen!C195,0),IF(BC195&gt;=BA195,0,IF(Reeksen!AD195&lt;=Reeksen!AE195,(BA195-BC195)*X195,0)))</f>
        <v>0</v>
      </c>
      <c r="AB195" s="98">
        <f ca="1">IF(BD195&lt;1,IF(Reeksen!AD195&gt;Reeksen!AE195,X195*Reeksen!C195,0),IF(BC195&gt;=BA195,0,IF(Reeksen!AD195&gt;Reeksen!AE195,(BA195-BC195)*X195,0)))</f>
        <v>0</v>
      </c>
      <c r="AC195" s="99">
        <f t="shared" ca="1" si="42"/>
        <v>0</v>
      </c>
      <c r="AD195" s="98">
        <f ca="1">IF('Invoer gegevens'!$C$17=E195,R195,IF(C195=0,0,AE194))</f>
        <v>0</v>
      </c>
      <c r="AE195" s="98">
        <f t="shared" ca="1" si="43"/>
        <v>0</v>
      </c>
      <c r="AF195" s="98">
        <f ca="1">IF('Invoer gegevens'!$C$17=E195,X195,IF(C195=0,0,AG194))</f>
        <v>0</v>
      </c>
      <c r="AG195" s="98">
        <f t="shared" ca="1" si="44"/>
        <v>0</v>
      </c>
      <c r="AH195" s="66"/>
      <c r="AI195" s="71">
        <f ca="1">IF(C195=1,Reeksen!AI195*((F195+K195)/2)*12+Reeksen!AD195*((L195+Q195)/2)*12,0)</f>
        <v>0</v>
      </c>
      <c r="AJ195" s="71">
        <f ca="1">-AI195*'Invoer gegevens'!$F$28</f>
        <v>0</v>
      </c>
      <c r="AK195" s="71">
        <f t="shared" ca="1" si="45"/>
        <v>0</v>
      </c>
      <c r="AL195" s="71">
        <f ca="1">IF(C195=1,Reeksen!AL195*((F195-G195+F195)/2)*12+Reeksen!AM195*((L195-M195+L195)/2)*12,0)</f>
        <v>0</v>
      </c>
      <c r="AM195" s="71">
        <f ca="1">-AL195*'Invoer gegevens'!$F$31</f>
        <v>0</v>
      </c>
      <c r="AN195" s="71">
        <f t="shared" ca="1" si="46"/>
        <v>0</v>
      </c>
      <c r="AO195" s="71">
        <f ca="1">IF(C195=1,(H195+J195+N195+P195)*Reeksen!AN195,0)</f>
        <v>0</v>
      </c>
      <c r="AP195" s="71">
        <f ca="1">-IF(C195=1,(H195+J195+N195+P195)*'Hulp - basis'!$G$550*Reeksen!H195,0)</f>
        <v>0</v>
      </c>
      <c r="AQ195" s="71">
        <f ca="1">-IF(C195=1,(F195+K195+L195+Q195)/2*'Invoer gegevens'!$F$35*Reeksen!J195,0)*2</f>
        <v>0</v>
      </c>
      <c r="AR195" s="71">
        <f ca="1">IF(BD195&lt;1,-IF(C195=1,(G195*'Invoer gegevens'!$F$36)*Reeksen!J195,0),0)</f>
        <v>0</v>
      </c>
      <c r="AS195" s="71">
        <f ca="1">-IF(C195=1,(F195+K195+L195+Q195)/2*'Invoer gegevens'!$F$37*Reeksen!L195,0)</f>
        <v>0</v>
      </c>
      <c r="AT195" s="71">
        <f ca="1">-IF(C195=1,IF(E195='Invoer gegevens'!$C$17,'Invoer gegevens'!$C$11,AD195)*Reeksen!S195*'Invoer gegevens'!$C$18*Reeksen!P195,0)</f>
        <v>0</v>
      </c>
      <c r="AU195" s="71">
        <f ca="1">-IF(C195=1,(F195+K195+L195+Q195)/2*'Invoer gegevens'!$F$38*Reeksen!H195,0)</f>
        <v>0</v>
      </c>
      <c r="AV195" s="71">
        <f t="shared" si="50"/>
        <v>0</v>
      </c>
      <c r="AW195" s="71">
        <f t="shared" ca="1" si="47"/>
        <v>0</v>
      </c>
      <c r="AX195" s="71">
        <f ca="1">IF(E195&lt;'Invoer gegevens'!$C$17+15,0,IF(E195&gt;'Invoer gegevens'!$C$17+215,0,AW195))</f>
        <v>0</v>
      </c>
      <c r="AY195" s="71">
        <f ca="1">AX195/(1+'Invoer gegevens'!$F$18)^($AZ195-('Invoer gegevens'!$C$17-'Invoer gegevens'!$C$16))/(1+'Invoer gegevens'!$C$39)^('Invoer gegevens'!$C$17-'Invoer gegevens'!$C$16)</f>
        <v>0</v>
      </c>
      <c r="AZ195" s="68">
        <f ca="1">IF(E195-'Invoer gegevens'!$C$17-14.5&lt;0,0,E195-'Invoer gegevens'!$C$17-14.5)</f>
        <v>175.5</v>
      </c>
      <c r="BA195" s="109">
        <f ca="1">IFERROR(VLOOKUP(E195-15,Reeksen!$A$5:$D$234,2,FALSE),0)</f>
        <v>0</v>
      </c>
      <c r="BB195" s="109">
        <f ca="1">IFERROR(VLOOKUP(E195-15,Reeksen!$A$5:$D$234,3,FALSE),0)</f>
        <v>0</v>
      </c>
      <c r="BC195" s="109">
        <f ca="1">IFERROR(VLOOKUP(E195-15,Reeksen!$A$5:$D$234,4,FALSE),0)</f>
        <v>0</v>
      </c>
      <c r="BD195" s="67">
        <f ca="1">IF(E195-'Invoer gegevens'!$C$17&lt;15,0,1)</f>
        <v>1</v>
      </c>
    </row>
    <row r="196" spans="1:56" x14ac:dyDescent="0.25">
      <c r="A196" s="59"/>
      <c r="B196" s="70">
        <f t="shared" si="48"/>
        <v>192</v>
      </c>
      <c r="C196" s="67">
        <f ca="1">IF(E196-'Invoer gegevens'!$C$17&lt;0,0,1)</f>
        <v>1</v>
      </c>
      <c r="D196" s="68">
        <f t="shared" si="49"/>
        <v>191.5</v>
      </c>
      <c r="E196" s="108">
        <f ca="1">IF('Invoer gegevens'!$C$16="","",E195+1)</f>
        <v>2210</v>
      </c>
      <c r="F196" s="84">
        <f ca="1">IF('Invoer gegevens'!$C$17=E196,'Invoer gegevens'!$C$10,IF(C196=1,K195,0))</f>
        <v>0</v>
      </c>
      <c r="G196" s="96">
        <f ca="1">IF(BD196&lt;1,F196*Reeksen!C196,IF(C196&gt;=1,F196*BA196,0))</f>
        <v>0</v>
      </c>
      <c r="H196" s="84">
        <f ca="1">(1-('Invoer gegevens'!$F$20/12))*F196*MIN(BA196,BC196)</f>
        <v>0</v>
      </c>
      <c r="I196" s="84">
        <f t="shared" ca="1" si="34"/>
        <v>0</v>
      </c>
      <c r="J196" s="84">
        <f ca="1">('Invoer gegevens'!$F$20/12)*F195*MIN(BA196,BC196)</f>
        <v>0</v>
      </c>
      <c r="K196" s="97">
        <f t="shared" ca="1" si="39"/>
        <v>0</v>
      </c>
      <c r="L196" s="84">
        <f ca="1">IF('Invoer gegevens'!$C$17=E196,0,IF(C196=1,Q195,0))</f>
        <v>0</v>
      </c>
      <c r="M196" s="96">
        <f t="shared" ca="1" si="35"/>
        <v>0</v>
      </c>
      <c r="N196" s="84">
        <f ca="1">(1-('Invoer gegevens'!$F$20/12))*L196*MIN(BA196,BC196)</f>
        <v>0</v>
      </c>
      <c r="O196" s="84">
        <f t="shared" ca="1" si="36"/>
        <v>0</v>
      </c>
      <c r="P196" s="84">
        <f ca="1">('Invoer gegevens'!$F$20/12)*L195*MIN(BA196,BC196)</f>
        <v>0</v>
      </c>
      <c r="Q196" s="84">
        <f t="shared" ca="1" si="40"/>
        <v>0</v>
      </c>
      <c r="R196" s="85">
        <f ca="1">IF('Invoer gegevens'!$C$17=E196,'Invoer gegevens'!$C$11,IF(C196=1,W195,0))</f>
        <v>0</v>
      </c>
      <c r="S196" s="86">
        <f t="shared" ca="1" si="37"/>
        <v>0</v>
      </c>
      <c r="T196" s="86">
        <f ca="1">(1-('Invoer gegevens'!$F$20/12))*R196*MIN(BC196,BA196)</f>
        <v>0</v>
      </c>
      <c r="U196" s="86">
        <f ca="1">IF(BD196&lt;1,IF(Reeksen!AD196&lt;=Reeksen!AE196,R196*Reeksen!C196,0),IF(BC196&gt;=BA196,0,IF(Reeksen!AD196&lt;=Reeksen!AE196,(BA196-BC196)*R196,0)))</f>
        <v>0</v>
      </c>
      <c r="V196" s="86">
        <f ca="1">IF(BD196&lt;1,IF(Reeksen!AD196&gt;Reeksen!AE196,R196*Reeksen!C196,0),IF(BC196&gt;=BA196,0,IF(Reeksen!AD196&gt;Reeksen!AE196,(BA196-BC196)*R196,0)))</f>
        <v>0</v>
      </c>
      <c r="W196" s="218">
        <f t="shared" ca="1" si="41"/>
        <v>0</v>
      </c>
      <c r="X196" s="98">
        <f ca="1">IF('Invoer gegevens'!$C$17=E196,'Invoer gegevens'!$C$10-'Invoer gegevens'!$C$11,IF(C196=1,AC195,0))</f>
        <v>0</v>
      </c>
      <c r="Y196" s="98">
        <f t="shared" ca="1" si="38"/>
        <v>0</v>
      </c>
      <c r="Z196" s="98">
        <f ca="1">(1-('Invoer gegevens'!$F$20/12))*X196*MIN(BA196,BC196)</f>
        <v>0</v>
      </c>
      <c r="AA196" s="98">
        <f ca="1">IF(BD196&lt;1,IF(Reeksen!AD196&lt;=Reeksen!AE196,X196*Reeksen!C196,0),IF(BC196&gt;=BA196,0,IF(Reeksen!AD196&lt;=Reeksen!AE196,(BA196-BC196)*X196,0)))</f>
        <v>0</v>
      </c>
      <c r="AB196" s="98">
        <f ca="1">IF(BD196&lt;1,IF(Reeksen!AD196&gt;Reeksen!AE196,X196*Reeksen!C196,0),IF(BC196&gt;=BA196,0,IF(Reeksen!AD196&gt;Reeksen!AE196,(BA196-BC196)*X196,0)))</f>
        <v>0</v>
      </c>
      <c r="AC196" s="99">
        <f t="shared" ca="1" si="42"/>
        <v>0</v>
      </c>
      <c r="AD196" s="98">
        <f ca="1">IF('Invoer gegevens'!$C$17=E196,R196,IF(C196=0,0,AE195))</f>
        <v>0</v>
      </c>
      <c r="AE196" s="98">
        <f t="shared" ca="1" si="43"/>
        <v>0</v>
      </c>
      <c r="AF196" s="98">
        <f ca="1">IF('Invoer gegevens'!$C$17=E196,X196,IF(C196=0,0,AG195))</f>
        <v>0</v>
      </c>
      <c r="AG196" s="98">
        <f t="shared" ca="1" si="44"/>
        <v>0</v>
      </c>
      <c r="AH196" s="66"/>
      <c r="AI196" s="71">
        <f ca="1">IF(C196=1,Reeksen!AI196*((F196+K196)/2)*12+Reeksen!AD196*((L196+Q196)/2)*12,0)</f>
        <v>0</v>
      </c>
      <c r="AJ196" s="71">
        <f ca="1">-AI196*'Invoer gegevens'!$F$28</f>
        <v>0</v>
      </c>
      <c r="AK196" s="71">
        <f t="shared" ca="1" si="45"/>
        <v>0</v>
      </c>
      <c r="AL196" s="71">
        <f ca="1">IF(C196=1,Reeksen!AL196*((F196-G196+F196)/2)*12+Reeksen!AM196*((L196-M196+L196)/2)*12,0)</f>
        <v>0</v>
      </c>
      <c r="AM196" s="71">
        <f ca="1">-AL196*'Invoer gegevens'!$F$31</f>
        <v>0</v>
      </c>
      <c r="AN196" s="71">
        <f t="shared" ca="1" si="46"/>
        <v>0</v>
      </c>
      <c r="AO196" s="71">
        <f ca="1">IF(C196=1,(H196+J196+N196+P196)*Reeksen!AN196,0)</f>
        <v>0</v>
      </c>
      <c r="AP196" s="71">
        <f ca="1">-IF(C196=1,(H196+J196+N196+P196)*'Hulp - basis'!$G$550*Reeksen!H196,0)</f>
        <v>0</v>
      </c>
      <c r="AQ196" s="71">
        <f ca="1">-IF(C196=1,(F196+K196+L196+Q196)/2*'Invoer gegevens'!$F$35*Reeksen!J196,0)*2</f>
        <v>0</v>
      </c>
      <c r="AR196" s="71">
        <f ca="1">IF(BD196&lt;1,-IF(C196=1,(G196*'Invoer gegevens'!$F$36)*Reeksen!J196,0),0)</f>
        <v>0</v>
      </c>
      <c r="AS196" s="71">
        <f ca="1">-IF(C196=1,(F196+K196+L196+Q196)/2*'Invoer gegevens'!$F$37*Reeksen!L196,0)</f>
        <v>0</v>
      </c>
      <c r="AT196" s="71">
        <f ca="1">-IF(C196=1,IF(E196='Invoer gegevens'!$C$17,'Invoer gegevens'!$C$11,AD196)*Reeksen!S196*'Invoer gegevens'!$C$18*Reeksen!P196,0)</f>
        <v>0</v>
      </c>
      <c r="AU196" s="71">
        <f ca="1">-IF(C196=1,(F196+K196+L196+Q196)/2*'Invoer gegevens'!$F$38*Reeksen!H196,0)</f>
        <v>0</v>
      </c>
      <c r="AV196" s="71">
        <f t="shared" si="50"/>
        <v>0</v>
      </c>
      <c r="AW196" s="71">
        <f t="shared" ca="1" si="47"/>
        <v>0</v>
      </c>
      <c r="AX196" s="71">
        <f ca="1">IF(E196&lt;'Invoer gegevens'!$C$17+15,0,IF(E196&gt;'Invoer gegevens'!$C$17+215,0,AW196))</f>
        <v>0</v>
      </c>
      <c r="AY196" s="71">
        <f ca="1">AX196/(1+'Invoer gegevens'!$F$18)^($AZ196-('Invoer gegevens'!$C$17-'Invoer gegevens'!$C$16))/(1+'Invoer gegevens'!$C$39)^('Invoer gegevens'!$C$17-'Invoer gegevens'!$C$16)</f>
        <v>0</v>
      </c>
      <c r="AZ196" s="68">
        <f ca="1">IF(E196-'Invoer gegevens'!$C$17-14.5&lt;0,0,E196-'Invoer gegevens'!$C$17-14.5)</f>
        <v>176.5</v>
      </c>
      <c r="BA196" s="109">
        <f ca="1">IFERROR(VLOOKUP(E196-15,Reeksen!$A$5:$D$234,2,FALSE),0)</f>
        <v>0</v>
      </c>
      <c r="BB196" s="109">
        <f ca="1">IFERROR(VLOOKUP(E196-15,Reeksen!$A$5:$D$234,3,FALSE),0)</f>
        <v>0</v>
      </c>
      <c r="BC196" s="109">
        <f ca="1">IFERROR(VLOOKUP(E196-15,Reeksen!$A$5:$D$234,4,FALSE),0)</f>
        <v>0</v>
      </c>
      <c r="BD196" s="67">
        <f ca="1">IF(E196-'Invoer gegevens'!$C$17&lt;15,0,1)</f>
        <v>1</v>
      </c>
    </row>
    <row r="197" spans="1:56" x14ac:dyDescent="0.25">
      <c r="A197" s="59"/>
      <c r="B197" s="70">
        <f t="shared" si="48"/>
        <v>193</v>
      </c>
      <c r="C197" s="67">
        <f ca="1">IF(E197-'Invoer gegevens'!$C$17&lt;0,0,1)</f>
        <v>1</v>
      </c>
      <c r="D197" s="68">
        <f t="shared" si="49"/>
        <v>192.5</v>
      </c>
      <c r="E197" s="108">
        <f ca="1">IF('Invoer gegevens'!$C$16="","",E196+1)</f>
        <v>2211</v>
      </c>
      <c r="F197" s="84">
        <f ca="1">IF('Invoer gegevens'!$C$17=E197,'Invoer gegevens'!$C$10,IF(C197=1,K196,0))</f>
        <v>0</v>
      </c>
      <c r="G197" s="96">
        <f ca="1">IF(BD197&lt;1,F197*Reeksen!C197,IF(C197&gt;=1,F197*BA197,0))</f>
        <v>0</v>
      </c>
      <c r="H197" s="84">
        <f ca="1">(1-('Invoer gegevens'!$F$20/12))*F197*MIN(BA197,BC197)</f>
        <v>0</v>
      </c>
      <c r="I197" s="84">
        <f t="shared" ref="I197:I234" ca="1" si="51">IF(BD197&lt;1,G197-H197,IF(BC197&lt;BA197,(BA197-BC197)*F197,0))</f>
        <v>0</v>
      </c>
      <c r="J197" s="84">
        <f ca="1">('Invoer gegevens'!$F$20/12)*F196*MIN(BA197,BC197)</f>
        <v>0</v>
      </c>
      <c r="K197" s="97">
        <f t="shared" ca="1" si="39"/>
        <v>0</v>
      </c>
      <c r="L197" s="84">
        <f ca="1">IF('Invoer gegevens'!$C$17=E197,0,IF(C197=1,Q196,0))</f>
        <v>0</v>
      </c>
      <c r="M197" s="96">
        <f t="shared" ref="M197:M234" ca="1" si="52">IF(C197&gt;=1,L197*BA197,0)</f>
        <v>0</v>
      </c>
      <c r="N197" s="84">
        <f ca="1">(1-('Invoer gegevens'!$F$20/12))*L197*MIN(BA197,BC197)</f>
        <v>0</v>
      </c>
      <c r="O197" s="84">
        <f t="shared" ref="O197:O234" ca="1" si="53">IF(BC197&lt;BA197,(BA197-BC197)*L197,0)</f>
        <v>0</v>
      </c>
      <c r="P197" s="84">
        <f ca="1">('Invoer gegevens'!$F$20/12)*L196*MIN(BA197,BC197)</f>
        <v>0</v>
      </c>
      <c r="Q197" s="84">
        <f t="shared" ca="1" si="40"/>
        <v>0</v>
      </c>
      <c r="R197" s="85">
        <f ca="1">IF('Invoer gegevens'!$C$17=E197,'Invoer gegevens'!$C$11,IF(C197=1,W196,0))</f>
        <v>0</v>
      </c>
      <c r="S197" s="86">
        <f t="shared" ref="S197:S234" ca="1" si="54">IF(C197&gt;=1,R197*BA197,0)</f>
        <v>0</v>
      </c>
      <c r="T197" s="86">
        <f ca="1">(1-('Invoer gegevens'!$F$20/12))*R197*MIN(BC197,BA197)</f>
        <v>0</v>
      </c>
      <c r="U197" s="86">
        <f ca="1">IF(BD197&lt;1,IF(Reeksen!AD197&lt;=Reeksen!AE197,R197*Reeksen!C197,0),IF(BC197&gt;=BA197,0,IF(Reeksen!AD197&lt;=Reeksen!AE197,(BA197-BC197)*R197,0)))</f>
        <v>0</v>
      </c>
      <c r="V197" s="86">
        <f ca="1">IF(BD197&lt;1,IF(Reeksen!AD197&gt;Reeksen!AE197,R197*Reeksen!C197,0),IF(BC197&gt;=BA197,0,IF(Reeksen!AD197&gt;Reeksen!AE197,(BA197-BC197)*R197,0)))</f>
        <v>0</v>
      </c>
      <c r="W197" s="218">
        <f t="shared" ca="1" si="41"/>
        <v>0</v>
      </c>
      <c r="X197" s="98">
        <f ca="1">IF('Invoer gegevens'!$C$17=E197,'Invoer gegevens'!$C$10-'Invoer gegevens'!$C$11,IF(C197=1,AC196,0))</f>
        <v>0</v>
      </c>
      <c r="Y197" s="98">
        <f t="shared" ref="Y197:Y234" ca="1" si="55">IF(C197&gt;=1,X197*BA197,0)</f>
        <v>0</v>
      </c>
      <c r="Z197" s="98">
        <f ca="1">(1-('Invoer gegevens'!$F$20/12))*X197*MIN(BA197,BC197)</f>
        <v>0</v>
      </c>
      <c r="AA197" s="98">
        <f ca="1">IF(BD197&lt;1,IF(Reeksen!AD197&lt;=Reeksen!AE197,X197*Reeksen!C197,0),IF(BC197&gt;=BA197,0,IF(Reeksen!AD197&lt;=Reeksen!AE197,(BA197-BC197)*X197,0)))</f>
        <v>0</v>
      </c>
      <c r="AB197" s="98">
        <f ca="1">IF(BD197&lt;1,IF(Reeksen!AD197&gt;Reeksen!AE197,X197*Reeksen!C197,0),IF(BC197&gt;=BA197,0,IF(Reeksen!AD197&gt;Reeksen!AE197,(BA197-BC197)*X197,0)))</f>
        <v>0</v>
      </c>
      <c r="AC197" s="99">
        <f t="shared" ca="1" si="42"/>
        <v>0</v>
      </c>
      <c r="AD197" s="98">
        <f ca="1">IF('Invoer gegevens'!$C$17=E197,R197,IF(C197=0,0,AE196))</f>
        <v>0</v>
      </c>
      <c r="AE197" s="98">
        <f t="shared" ca="1" si="43"/>
        <v>0</v>
      </c>
      <c r="AF197" s="98">
        <f ca="1">IF('Invoer gegevens'!$C$17=E197,X197,IF(C197=0,0,AG196))</f>
        <v>0</v>
      </c>
      <c r="AG197" s="98">
        <f t="shared" ca="1" si="44"/>
        <v>0</v>
      </c>
      <c r="AH197" s="66"/>
      <c r="AI197" s="71">
        <f ca="1">IF(C197=1,Reeksen!AI197*((F197+K197)/2)*12+Reeksen!AD197*((L197+Q197)/2)*12,0)</f>
        <v>0</v>
      </c>
      <c r="AJ197" s="71">
        <f ca="1">-AI197*'Invoer gegevens'!$F$28</f>
        <v>0</v>
      </c>
      <c r="AK197" s="71">
        <f t="shared" ca="1" si="45"/>
        <v>0</v>
      </c>
      <c r="AL197" s="71">
        <f ca="1">IF(C197=1,Reeksen!AL197*((F197-G197+F197)/2)*12+Reeksen!AM197*((L197-M197+L197)/2)*12,0)</f>
        <v>0</v>
      </c>
      <c r="AM197" s="71">
        <f ca="1">-AL197*'Invoer gegevens'!$F$31</f>
        <v>0</v>
      </c>
      <c r="AN197" s="71">
        <f t="shared" ca="1" si="46"/>
        <v>0</v>
      </c>
      <c r="AO197" s="71">
        <f ca="1">IF(C197=1,(H197+J197+N197+P197)*Reeksen!AN197,0)</f>
        <v>0</v>
      </c>
      <c r="AP197" s="71">
        <f ca="1">-IF(C197=1,(H197+J197+N197+P197)*'Hulp - basis'!$G$550*Reeksen!H197,0)</f>
        <v>0</v>
      </c>
      <c r="AQ197" s="71">
        <f ca="1">-IF(C197=1,(F197+K197+L197+Q197)/2*'Invoer gegevens'!$F$35*Reeksen!J197,0)*2</f>
        <v>0</v>
      </c>
      <c r="AR197" s="71">
        <f ca="1">IF(BD197&lt;1,-IF(C197=1,(G197*'Invoer gegevens'!$F$36)*Reeksen!J197,0),0)</f>
        <v>0</v>
      </c>
      <c r="AS197" s="71">
        <f ca="1">-IF(C197=1,(F197+K197+L197+Q197)/2*'Invoer gegevens'!$F$37*Reeksen!L197,0)</f>
        <v>0</v>
      </c>
      <c r="AT197" s="71">
        <f ca="1">-IF(C197=1,IF(E197='Invoer gegevens'!$C$17,'Invoer gegevens'!$C$11,AD197)*Reeksen!S197*'Invoer gegevens'!$C$18*Reeksen!P197,0)</f>
        <v>0</v>
      </c>
      <c r="AU197" s="71">
        <f ca="1">-IF(C197=1,(F197+K197+L197+Q197)/2*'Invoer gegevens'!$F$38*Reeksen!H197,0)</f>
        <v>0</v>
      </c>
      <c r="AV197" s="71">
        <f t="shared" si="50"/>
        <v>0</v>
      </c>
      <c r="AW197" s="71">
        <f t="shared" ca="1" si="47"/>
        <v>0</v>
      </c>
      <c r="AX197" s="71">
        <f ca="1">IF(E197&lt;'Invoer gegevens'!$C$17+15,0,IF(E197&gt;'Invoer gegevens'!$C$17+215,0,AW197))</f>
        <v>0</v>
      </c>
      <c r="AY197" s="71">
        <f ca="1">AX197/(1+'Invoer gegevens'!$F$18)^($AZ197-('Invoer gegevens'!$C$17-'Invoer gegevens'!$C$16))/(1+'Invoer gegevens'!$C$39)^('Invoer gegevens'!$C$17-'Invoer gegevens'!$C$16)</f>
        <v>0</v>
      </c>
      <c r="AZ197" s="68">
        <f ca="1">IF(E197-'Invoer gegevens'!$C$17-14.5&lt;0,0,E197-'Invoer gegevens'!$C$17-14.5)</f>
        <v>177.5</v>
      </c>
      <c r="BA197" s="109">
        <f ca="1">IFERROR(VLOOKUP(E197-15,Reeksen!$A$5:$D$234,2,FALSE),0)</f>
        <v>0</v>
      </c>
      <c r="BB197" s="109">
        <f ca="1">IFERROR(VLOOKUP(E197-15,Reeksen!$A$5:$D$234,3,FALSE),0)</f>
        <v>0</v>
      </c>
      <c r="BC197" s="109">
        <f ca="1">IFERROR(VLOOKUP(E197-15,Reeksen!$A$5:$D$234,4,FALSE),0)</f>
        <v>0</v>
      </c>
      <c r="BD197" s="67">
        <f ca="1">IF(E197-'Invoer gegevens'!$C$17&lt;15,0,1)</f>
        <v>1</v>
      </c>
    </row>
    <row r="198" spans="1:56" x14ac:dyDescent="0.25">
      <c r="A198" s="59"/>
      <c r="B198" s="70">
        <f t="shared" si="48"/>
        <v>194</v>
      </c>
      <c r="C198" s="67">
        <f ca="1">IF(E198-'Invoer gegevens'!$C$17&lt;0,0,1)</f>
        <v>1</v>
      </c>
      <c r="D198" s="68">
        <f t="shared" si="49"/>
        <v>193.5</v>
      </c>
      <c r="E198" s="108">
        <f ca="1">IF('Invoer gegevens'!$C$16="","",E197+1)</f>
        <v>2212</v>
      </c>
      <c r="F198" s="84">
        <f ca="1">IF('Invoer gegevens'!$C$17=E198,'Invoer gegevens'!$C$10,IF(C198=1,K197,0))</f>
        <v>0</v>
      </c>
      <c r="G198" s="96">
        <f ca="1">IF(BD198&lt;1,F198*Reeksen!C198,IF(C198&gt;=1,F198*BA198,0))</f>
        <v>0</v>
      </c>
      <c r="H198" s="84">
        <f ca="1">(1-('Invoer gegevens'!$F$20/12))*F198*MIN(BA198,BC198)</f>
        <v>0</v>
      </c>
      <c r="I198" s="84">
        <f t="shared" ca="1" si="51"/>
        <v>0</v>
      </c>
      <c r="J198" s="84">
        <f ca="1">('Invoer gegevens'!$F$20/12)*F197*MIN(BA198,BC198)</f>
        <v>0</v>
      </c>
      <c r="K198" s="97">
        <f t="shared" ref="K198:K234" ca="1" si="56">IF(F198-G198&lt;0,0,F198-G198)</f>
        <v>0</v>
      </c>
      <c r="L198" s="84">
        <f ca="1">IF('Invoer gegevens'!$C$17=E198,0,IF(C198=1,Q197,0))</f>
        <v>0</v>
      </c>
      <c r="M198" s="96">
        <f t="shared" ca="1" si="52"/>
        <v>0</v>
      </c>
      <c r="N198" s="84">
        <f ca="1">(1-('Invoer gegevens'!$F$20/12))*L198*MIN(BA198,BC198)</f>
        <v>0</v>
      </c>
      <c r="O198" s="84">
        <f t="shared" ca="1" si="53"/>
        <v>0</v>
      </c>
      <c r="P198" s="84">
        <f ca="1">('Invoer gegevens'!$F$20/12)*L197*MIN(BA198,BC198)</f>
        <v>0</v>
      </c>
      <c r="Q198" s="84">
        <f t="shared" ref="Q198:Q234" ca="1" si="57">IF(L198-M198+I198+O198&lt;0,0,L198-M198+I198+O198)</f>
        <v>0</v>
      </c>
      <c r="R198" s="85">
        <f ca="1">IF('Invoer gegevens'!$C$17=E198,'Invoer gegevens'!$C$11,IF(C198=1,W197,0))</f>
        <v>0</v>
      </c>
      <c r="S198" s="86">
        <f t="shared" ca="1" si="54"/>
        <v>0</v>
      </c>
      <c r="T198" s="86">
        <f ca="1">(1-('Invoer gegevens'!$F$20/12))*R198*MIN(BC198,BA198)</f>
        <v>0</v>
      </c>
      <c r="U198" s="86">
        <f ca="1">IF(BD198&lt;1,IF(Reeksen!AD198&lt;=Reeksen!AE198,R198*Reeksen!C198,0),IF(BC198&gt;=BA198,0,IF(Reeksen!AD198&lt;=Reeksen!AE198,(BA198-BC198)*R198,0)))</f>
        <v>0</v>
      </c>
      <c r="V198" s="86">
        <f ca="1">IF(BD198&lt;1,IF(Reeksen!AD198&gt;Reeksen!AE198,R198*Reeksen!C198,0),IF(BC198&gt;=BA198,0,IF(Reeksen!AD198&gt;Reeksen!AE198,(BA198-BC198)*R198,0)))</f>
        <v>0</v>
      </c>
      <c r="W198" s="218">
        <f t="shared" ref="W198:W234" ca="1" si="58">R198-S198-V198+AA198</f>
        <v>0</v>
      </c>
      <c r="X198" s="98">
        <f ca="1">IF('Invoer gegevens'!$C$17=E198,'Invoer gegevens'!$C$10-'Invoer gegevens'!$C$11,IF(C198=1,AC197,0))</f>
        <v>0</v>
      </c>
      <c r="Y198" s="98">
        <f t="shared" ca="1" si="55"/>
        <v>0</v>
      </c>
      <c r="Z198" s="98">
        <f ca="1">(1-('Invoer gegevens'!$F$20/12))*X198*MIN(BA198,BC198)</f>
        <v>0</v>
      </c>
      <c r="AA198" s="98">
        <f ca="1">IF(BD198&lt;1,IF(Reeksen!AD198&lt;=Reeksen!AE198,X198*Reeksen!C198,0),IF(BC198&gt;=BA198,0,IF(Reeksen!AD198&lt;=Reeksen!AE198,(BA198-BC198)*X198,0)))</f>
        <v>0</v>
      </c>
      <c r="AB198" s="98">
        <f ca="1">IF(BD198&lt;1,IF(Reeksen!AD198&gt;Reeksen!AE198,X198*Reeksen!C198,0),IF(BC198&gt;=BA198,0,IF(Reeksen!AD198&gt;Reeksen!AE198,(BA198-BC198)*X198,0)))</f>
        <v>0</v>
      </c>
      <c r="AC198" s="99">
        <f t="shared" ref="AC198:AC234" ca="1" si="59">X198-Y198+V198-AA198</f>
        <v>0</v>
      </c>
      <c r="AD198" s="98">
        <f ca="1">IF('Invoer gegevens'!$C$17=E198,R198,IF(C198=0,0,AE197))</f>
        <v>0</v>
      </c>
      <c r="AE198" s="98">
        <f t="shared" ref="AE198:AE234" ca="1" si="60">IF(C198=0,0,AD198-S198-V198+AA198)</f>
        <v>0</v>
      </c>
      <c r="AF198" s="98">
        <f ca="1">IF('Invoer gegevens'!$C$17=E198,X198,IF(C198=0,0,AG197))</f>
        <v>0</v>
      </c>
      <c r="AG198" s="98">
        <f t="shared" ref="AG198:AG234" ca="1" si="61">IF(C198=0,0,AF198-Y198-AA198+V198)</f>
        <v>0</v>
      </c>
      <c r="AH198" s="66"/>
      <c r="AI198" s="71">
        <f ca="1">IF(C198=1,Reeksen!AI198*((F198+K198)/2)*12+Reeksen!AD198*((L198+Q198)/2)*12,0)</f>
        <v>0</v>
      </c>
      <c r="AJ198" s="71">
        <f ca="1">-AI198*'Invoer gegevens'!$F$28</f>
        <v>0</v>
      </c>
      <c r="AK198" s="71">
        <f t="shared" ref="AK198:AK234" ca="1" si="62">AI198+AJ198</f>
        <v>0</v>
      </c>
      <c r="AL198" s="71">
        <f ca="1">IF(C198=1,Reeksen!AL198*((F198-G198+F198)/2)*12+Reeksen!AM198*((L198-M198+L198)/2)*12,0)</f>
        <v>0</v>
      </c>
      <c r="AM198" s="71">
        <f ca="1">-AL198*'Invoer gegevens'!$F$31</f>
        <v>0</v>
      </c>
      <c r="AN198" s="71">
        <f t="shared" ref="AN198:AN234" ca="1" si="63">AL198+AM198</f>
        <v>0</v>
      </c>
      <c r="AO198" s="71">
        <f ca="1">IF(C198=1,(H198+J198+N198+P198)*Reeksen!AN198,0)</f>
        <v>0</v>
      </c>
      <c r="AP198" s="71">
        <f ca="1">-IF(C198=1,(H198+J198+N198+P198)*'Hulp - basis'!$G$550*Reeksen!H198,0)</f>
        <v>0</v>
      </c>
      <c r="AQ198" s="71">
        <f ca="1">-IF(C198=1,(F198+K198+L198+Q198)/2*'Invoer gegevens'!$F$35*Reeksen!J198,0)*2</f>
        <v>0</v>
      </c>
      <c r="AR198" s="71">
        <f ca="1">IF(BD198&lt;1,-IF(C198=1,(G198*'Invoer gegevens'!$F$36)*Reeksen!J198,0),0)</f>
        <v>0</v>
      </c>
      <c r="AS198" s="71">
        <f ca="1">-IF(C198=1,(F198+K198+L198+Q198)/2*'Invoer gegevens'!$F$37*Reeksen!L198,0)</f>
        <v>0</v>
      </c>
      <c r="AT198" s="71">
        <f ca="1">-IF(C198=1,IF(E198='Invoer gegevens'!$C$17,'Invoer gegevens'!$C$11,AD198)*Reeksen!S198*'Invoer gegevens'!$C$18*Reeksen!P198,0)</f>
        <v>0</v>
      </c>
      <c r="AU198" s="71">
        <f ca="1">-IF(C198=1,(F198+K198+L198+Q198)/2*'Invoer gegevens'!$F$38*Reeksen!H198,0)</f>
        <v>0</v>
      </c>
      <c r="AV198" s="71">
        <f t="shared" si="50"/>
        <v>0</v>
      </c>
      <c r="AW198" s="71">
        <f t="shared" ref="AW198:AW234" ca="1" si="64">SUM(AK198,AN198:AV198)</f>
        <v>0</v>
      </c>
      <c r="AX198" s="71">
        <f ca="1">IF(E198&lt;'Invoer gegevens'!$C$17+15,0,IF(E198&gt;'Invoer gegevens'!$C$17+215,0,AW198))</f>
        <v>0</v>
      </c>
      <c r="AY198" s="71">
        <f ca="1">AX198/(1+'Invoer gegevens'!$F$18)^($AZ198-('Invoer gegevens'!$C$17-'Invoer gegevens'!$C$16))/(1+'Invoer gegevens'!$C$39)^('Invoer gegevens'!$C$17-'Invoer gegevens'!$C$16)</f>
        <v>0</v>
      </c>
      <c r="AZ198" s="68">
        <f ca="1">IF(E198-'Invoer gegevens'!$C$17-14.5&lt;0,0,E198-'Invoer gegevens'!$C$17-14.5)</f>
        <v>178.5</v>
      </c>
      <c r="BA198" s="109">
        <f ca="1">IFERROR(VLOOKUP(E198-15,Reeksen!$A$5:$D$234,2,FALSE),0)</f>
        <v>0</v>
      </c>
      <c r="BB198" s="109">
        <f ca="1">IFERROR(VLOOKUP(E198-15,Reeksen!$A$5:$D$234,3,FALSE),0)</f>
        <v>0</v>
      </c>
      <c r="BC198" s="109">
        <f ca="1">IFERROR(VLOOKUP(E198-15,Reeksen!$A$5:$D$234,4,FALSE),0)</f>
        <v>0</v>
      </c>
      <c r="BD198" s="67">
        <f ca="1">IF(E198-'Invoer gegevens'!$C$17&lt;15,0,1)</f>
        <v>1</v>
      </c>
    </row>
    <row r="199" spans="1:56" x14ac:dyDescent="0.25">
      <c r="A199" s="59"/>
      <c r="B199" s="70">
        <f t="shared" si="48"/>
        <v>195</v>
      </c>
      <c r="C199" s="67">
        <f ca="1">IF(E199-'Invoer gegevens'!$C$17&lt;0,0,1)</f>
        <v>1</v>
      </c>
      <c r="D199" s="68">
        <f t="shared" si="49"/>
        <v>194.5</v>
      </c>
      <c r="E199" s="108">
        <f ca="1">IF('Invoer gegevens'!$C$16="","",E198+1)</f>
        <v>2213</v>
      </c>
      <c r="F199" s="84">
        <f ca="1">IF('Invoer gegevens'!$C$17=E199,'Invoer gegevens'!$C$10,IF(C199=1,K198,0))</f>
        <v>0</v>
      </c>
      <c r="G199" s="96">
        <f ca="1">IF(BD199&lt;1,F199*Reeksen!C199,IF(C199&gt;=1,F199*BA199,0))</f>
        <v>0</v>
      </c>
      <c r="H199" s="84">
        <f ca="1">(1-('Invoer gegevens'!$F$20/12))*F199*MIN(BA199,BC199)</f>
        <v>0</v>
      </c>
      <c r="I199" s="84">
        <f t="shared" ca="1" si="51"/>
        <v>0</v>
      </c>
      <c r="J199" s="84">
        <f ca="1">('Invoer gegevens'!$F$20/12)*F198*MIN(BA199,BC199)</f>
        <v>0</v>
      </c>
      <c r="K199" s="97">
        <f t="shared" ca="1" si="56"/>
        <v>0</v>
      </c>
      <c r="L199" s="84">
        <f ca="1">IF('Invoer gegevens'!$C$17=E199,0,IF(C199=1,Q198,0))</f>
        <v>0</v>
      </c>
      <c r="M199" s="96">
        <f t="shared" ca="1" si="52"/>
        <v>0</v>
      </c>
      <c r="N199" s="84">
        <f ca="1">(1-('Invoer gegevens'!$F$20/12))*L199*MIN(BA199,BC199)</f>
        <v>0</v>
      </c>
      <c r="O199" s="84">
        <f t="shared" ca="1" si="53"/>
        <v>0</v>
      </c>
      <c r="P199" s="84">
        <f ca="1">('Invoer gegevens'!$F$20/12)*L198*MIN(BA199,BC199)</f>
        <v>0</v>
      </c>
      <c r="Q199" s="84">
        <f t="shared" ca="1" si="57"/>
        <v>0</v>
      </c>
      <c r="R199" s="85">
        <f ca="1">IF('Invoer gegevens'!$C$17=E199,'Invoer gegevens'!$C$11,IF(C199=1,W198,0))</f>
        <v>0</v>
      </c>
      <c r="S199" s="86">
        <f t="shared" ca="1" si="54"/>
        <v>0</v>
      </c>
      <c r="T199" s="86">
        <f ca="1">(1-('Invoer gegevens'!$F$20/12))*R199*MIN(BC199,BA199)</f>
        <v>0</v>
      </c>
      <c r="U199" s="86">
        <f ca="1">IF(BD199&lt;1,IF(Reeksen!AD199&lt;=Reeksen!AE199,R199*Reeksen!C199,0),IF(BC199&gt;=BA199,0,IF(Reeksen!AD199&lt;=Reeksen!AE199,(BA199-BC199)*R199,0)))</f>
        <v>0</v>
      </c>
      <c r="V199" s="86">
        <f ca="1">IF(BD199&lt;1,IF(Reeksen!AD199&gt;Reeksen!AE199,R199*Reeksen!C199,0),IF(BC199&gt;=BA199,0,IF(Reeksen!AD199&gt;Reeksen!AE199,(BA199-BC199)*R199,0)))</f>
        <v>0</v>
      </c>
      <c r="W199" s="218">
        <f t="shared" ca="1" si="58"/>
        <v>0</v>
      </c>
      <c r="X199" s="98">
        <f ca="1">IF('Invoer gegevens'!$C$17=E199,'Invoer gegevens'!$C$10-'Invoer gegevens'!$C$11,IF(C199=1,AC198,0))</f>
        <v>0</v>
      </c>
      <c r="Y199" s="98">
        <f t="shared" ca="1" si="55"/>
        <v>0</v>
      </c>
      <c r="Z199" s="98">
        <f ca="1">(1-('Invoer gegevens'!$F$20/12))*X199*MIN(BA199,BC199)</f>
        <v>0</v>
      </c>
      <c r="AA199" s="98">
        <f ca="1">IF(BD199&lt;1,IF(Reeksen!AD199&lt;=Reeksen!AE199,X199*Reeksen!C199,0),IF(BC199&gt;=BA199,0,IF(Reeksen!AD199&lt;=Reeksen!AE199,(BA199-BC199)*X199,0)))</f>
        <v>0</v>
      </c>
      <c r="AB199" s="98">
        <f ca="1">IF(BD199&lt;1,IF(Reeksen!AD199&gt;Reeksen!AE199,X199*Reeksen!C199,0),IF(BC199&gt;=BA199,0,IF(Reeksen!AD199&gt;Reeksen!AE199,(BA199-BC199)*X199,0)))</f>
        <v>0</v>
      </c>
      <c r="AC199" s="99">
        <f t="shared" ca="1" si="59"/>
        <v>0</v>
      </c>
      <c r="AD199" s="98">
        <f ca="1">IF('Invoer gegevens'!$C$17=E199,R199,IF(C199=0,0,AE198))</f>
        <v>0</v>
      </c>
      <c r="AE199" s="98">
        <f t="shared" ca="1" si="60"/>
        <v>0</v>
      </c>
      <c r="AF199" s="98">
        <f ca="1">IF('Invoer gegevens'!$C$17=E199,X199,IF(C199=0,0,AG198))</f>
        <v>0</v>
      </c>
      <c r="AG199" s="98">
        <f t="shared" ca="1" si="61"/>
        <v>0</v>
      </c>
      <c r="AH199" s="66"/>
      <c r="AI199" s="71">
        <f ca="1">IF(C199=1,Reeksen!AI199*((F199+K199)/2)*12+Reeksen!AD199*((L199+Q199)/2)*12,0)</f>
        <v>0</v>
      </c>
      <c r="AJ199" s="71">
        <f ca="1">-AI199*'Invoer gegevens'!$F$28</f>
        <v>0</v>
      </c>
      <c r="AK199" s="71">
        <f t="shared" ca="1" si="62"/>
        <v>0</v>
      </c>
      <c r="AL199" s="71">
        <f ca="1">IF(C199=1,Reeksen!AL199*((F199-G199+F199)/2)*12+Reeksen!AM199*((L199-M199+L199)/2)*12,0)</f>
        <v>0</v>
      </c>
      <c r="AM199" s="71">
        <f ca="1">-AL199*'Invoer gegevens'!$F$31</f>
        <v>0</v>
      </c>
      <c r="AN199" s="71">
        <f t="shared" ca="1" si="63"/>
        <v>0</v>
      </c>
      <c r="AO199" s="71">
        <f ca="1">IF(C199=1,(H199+J199+N199+P199)*Reeksen!AN199,0)</f>
        <v>0</v>
      </c>
      <c r="AP199" s="71">
        <f ca="1">-IF(C199=1,(H199+J199+N199+P199)*'Hulp - basis'!$G$550*Reeksen!H199,0)</f>
        <v>0</v>
      </c>
      <c r="AQ199" s="71">
        <f ca="1">-IF(C199=1,(F199+K199+L199+Q199)/2*'Invoer gegevens'!$F$35*Reeksen!J199,0)*2</f>
        <v>0</v>
      </c>
      <c r="AR199" s="71">
        <f ca="1">IF(BD199&lt;1,-IF(C199=1,(G199*'Invoer gegevens'!$F$36)*Reeksen!J199,0),0)</f>
        <v>0</v>
      </c>
      <c r="AS199" s="71">
        <f ca="1">-IF(C199=1,(F199+K199+L199+Q199)/2*'Invoer gegevens'!$F$37*Reeksen!L199,0)</f>
        <v>0</v>
      </c>
      <c r="AT199" s="71">
        <f ca="1">-IF(C199=1,IF(E199='Invoer gegevens'!$C$17,'Invoer gegevens'!$C$11,AD199)*Reeksen!S199*'Invoer gegevens'!$C$18*Reeksen!P199,0)</f>
        <v>0</v>
      </c>
      <c r="AU199" s="71">
        <f ca="1">-IF(C199=1,(F199+K199+L199+Q199)/2*'Invoer gegevens'!$F$38*Reeksen!H199,0)</f>
        <v>0</v>
      </c>
      <c r="AV199" s="71">
        <f t="shared" si="50"/>
        <v>0</v>
      </c>
      <c r="AW199" s="71">
        <f t="shared" ca="1" si="64"/>
        <v>0</v>
      </c>
      <c r="AX199" s="71">
        <f ca="1">IF(E199&lt;'Invoer gegevens'!$C$17+15,0,IF(E199&gt;'Invoer gegevens'!$C$17+215,0,AW199))</f>
        <v>0</v>
      </c>
      <c r="AY199" s="71">
        <f ca="1">AX199/(1+'Invoer gegevens'!$F$18)^($AZ199-('Invoer gegevens'!$C$17-'Invoer gegevens'!$C$16))/(1+'Invoer gegevens'!$C$39)^('Invoer gegevens'!$C$17-'Invoer gegevens'!$C$16)</f>
        <v>0</v>
      </c>
      <c r="AZ199" s="68">
        <f ca="1">IF(E199-'Invoer gegevens'!$C$17-14.5&lt;0,0,E199-'Invoer gegevens'!$C$17-14.5)</f>
        <v>179.5</v>
      </c>
      <c r="BA199" s="109">
        <f ca="1">IFERROR(VLOOKUP(E199-15,Reeksen!$A$5:$D$234,2,FALSE),0)</f>
        <v>0</v>
      </c>
      <c r="BB199" s="109">
        <f ca="1">IFERROR(VLOOKUP(E199-15,Reeksen!$A$5:$D$234,3,FALSE),0)</f>
        <v>0</v>
      </c>
      <c r="BC199" s="109">
        <f ca="1">IFERROR(VLOOKUP(E199-15,Reeksen!$A$5:$D$234,4,FALSE),0)</f>
        <v>0</v>
      </c>
      <c r="BD199" s="67">
        <f ca="1">IF(E199-'Invoer gegevens'!$C$17&lt;15,0,1)</f>
        <v>1</v>
      </c>
    </row>
    <row r="200" spans="1:56" x14ac:dyDescent="0.25">
      <c r="A200" s="59"/>
      <c r="B200" s="70">
        <f t="shared" ref="B200:B234" si="65">B199+1</f>
        <v>196</v>
      </c>
      <c r="C200" s="67">
        <f ca="1">IF(E200-'Invoer gegevens'!$C$17&lt;0,0,1)</f>
        <v>1</v>
      </c>
      <c r="D200" s="68">
        <f t="shared" ref="D200:D234" si="66">D199+1</f>
        <v>195.5</v>
      </c>
      <c r="E200" s="108">
        <f ca="1">IF('Invoer gegevens'!$C$16="","",E199+1)</f>
        <v>2214</v>
      </c>
      <c r="F200" s="84">
        <f ca="1">IF('Invoer gegevens'!$C$17=E200,'Invoer gegevens'!$C$10,IF(C200=1,K199,0))</f>
        <v>0</v>
      </c>
      <c r="G200" s="96">
        <f ca="1">IF(BD200&lt;1,F200*Reeksen!C200,IF(C200&gt;=1,F200*BA200,0))</f>
        <v>0</v>
      </c>
      <c r="H200" s="84">
        <f ca="1">(1-('Invoer gegevens'!$F$20/12))*F200*MIN(BA200,BC200)</f>
        <v>0</v>
      </c>
      <c r="I200" s="84">
        <f t="shared" ca="1" si="51"/>
        <v>0</v>
      </c>
      <c r="J200" s="84">
        <f ca="1">('Invoer gegevens'!$F$20/12)*F199*MIN(BA200,BC200)</f>
        <v>0</v>
      </c>
      <c r="K200" s="97">
        <f t="shared" ca="1" si="56"/>
        <v>0</v>
      </c>
      <c r="L200" s="84">
        <f ca="1">IF('Invoer gegevens'!$C$17=E200,0,IF(C200=1,Q199,0))</f>
        <v>0</v>
      </c>
      <c r="M200" s="96">
        <f t="shared" ca="1" si="52"/>
        <v>0</v>
      </c>
      <c r="N200" s="84">
        <f ca="1">(1-('Invoer gegevens'!$F$20/12))*L200*MIN(BA200,BC200)</f>
        <v>0</v>
      </c>
      <c r="O200" s="84">
        <f t="shared" ca="1" si="53"/>
        <v>0</v>
      </c>
      <c r="P200" s="84">
        <f ca="1">('Invoer gegevens'!$F$20/12)*L199*MIN(BA200,BC200)</f>
        <v>0</v>
      </c>
      <c r="Q200" s="84">
        <f t="shared" ca="1" si="57"/>
        <v>0</v>
      </c>
      <c r="R200" s="85">
        <f ca="1">IF('Invoer gegevens'!$C$17=E200,'Invoer gegevens'!$C$11,IF(C200=1,W199,0))</f>
        <v>0</v>
      </c>
      <c r="S200" s="86">
        <f t="shared" ca="1" si="54"/>
        <v>0</v>
      </c>
      <c r="T200" s="86">
        <f ca="1">(1-('Invoer gegevens'!$F$20/12))*R200*MIN(BC200,BA200)</f>
        <v>0</v>
      </c>
      <c r="U200" s="86">
        <f ca="1">IF(BD200&lt;1,IF(Reeksen!AD200&lt;=Reeksen!AE200,R200*Reeksen!C200,0),IF(BC200&gt;=BA200,0,IF(Reeksen!AD200&lt;=Reeksen!AE200,(BA200-BC200)*R200,0)))</f>
        <v>0</v>
      </c>
      <c r="V200" s="86">
        <f ca="1">IF(BD200&lt;1,IF(Reeksen!AD200&gt;Reeksen!AE200,R200*Reeksen!C200,0),IF(BC200&gt;=BA200,0,IF(Reeksen!AD200&gt;Reeksen!AE200,(BA200-BC200)*R200,0)))</f>
        <v>0</v>
      </c>
      <c r="W200" s="218">
        <f t="shared" ca="1" si="58"/>
        <v>0</v>
      </c>
      <c r="X200" s="98">
        <f ca="1">IF('Invoer gegevens'!$C$17=E200,'Invoer gegevens'!$C$10-'Invoer gegevens'!$C$11,IF(C200=1,AC199,0))</f>
        <v>0</v>
      </c>
      <c r="Y200" s="98">
        <f t="shared" ca="1" si="55"/>
        <v>0</v>
      </c>
      <c r="Z200" s="98">
        <f ca="1">(1-('Invoer gegevens'!$F$20/12))*X200*MIN(BA200,BC200)</f>
        <v>0</v>
      </c>
      <c r="AA200" s="98">
        <f ca="1">IF(BD200&lt;1,IF(Reeksen!AD200&lt;=Reeksen!AE200,X200*Reeksen!C200,0),IF(BC200&gt;=BA200,0,IF(Reeksen!AD200&lt;=Reeksen!AE200,(BA200-BC200)*X200,0)))</f>
        <v>0</v>
      </c>
      <c r="AB200" s="98">
        <f ca="1">IF(BD200&lt;1,IF(Reeksen!AD200&gt;Reeksen!AE200,X200*Reeksen!C200,0),IF(BC200&gt;=BA200,0,IF(Reeksen!AD200&gt;Reeksen!AE200,(BA200-BC200)*X200,0)))</f>
        <v>0</v>
      </c>
      <c r="AC200" s="99">
        <f t="shared" ca="1" si="59"/>
        <v>0</v>
      </c>
      <c r="AD200" s="98">
        <f ca="1">IF('Invoer gegevens'!$C$17=E200,R200,IF(C200=0,0,AE199))</f>
        <v>0</v>
      </c>
      <c r="AE200" s="98">
        <f t="shared" ca="1" si="60"/>
        <v>0</v>
      </c>
      <c r="AF200" s="98">
        <f ca="1">IF('Invoer gegevens'!$C$17=E200,X200,IF(C200=0,0,AG199))</f>
        <v>0</v>
      </c>
      <c r="AG200" s="98">
        <f t="shared" ca="1" si="61"/>
        <v>0</v>
      </c>
      <c r="AH200" s="66"/>
      <c r="AI200" s="71">
        <f ca="1">IF(C200=1,Reeksen!AI200*((F200+K200)/2)*12+Reeksen!AD200*((L200+Q200)/2)*12,0)</f>
        <v>0</v>
      </c>
      <c r="AJ200" s="71">
        <f ca="1">-AI200*'Invoer gegevens'!$F$28</f>
        <v>0</v>
      </c>
      <c r="AK200" s="71">
        <f t="shared" ca="1" si="62"/>
        <v>0</v>
      </c>
      <c r="AL200" s="71">
        <f ca="1">IF(C200=1,Reeksen!AL200*((F200-G200+F200)/2)*12+Reeksen!AM200*((L200-M200+L200)/2)*12,0)</f>
        <v>0</v>
      </c>
      <c r="AM200" s="71">
        <f ca="1">-AL200*'Invoer gegevens'!$F$31</f>
        <v>0</v>
      </c>
      <c r="AN200" s="71">
        <f t="shared" ca="1" si="63"/>
        <v>0</v>
      </c>
      <c r="AO200" s="71">
        <f ca="1">IF(C200=1,(H200+J200+N200+P200)*Reeksen!AN200,0)</f>
        <v>0</v>
      </c>
      <c r="AP200" s="71">
        <f ca="1">-IF(C200=1,(H200+J200+N200+P200)*'Hulp - basis'!$G$550*Reeksen!H200,0)</f>
        <v>0</v>
      </c>
      <c r="AQ200" s="71">
        <f ca="1">-IF(C200=1,(F200+K200+L200+Q200)/2*'Invoer gegevens'!$F$35*Reeksen!J200,0)*2</f>
        <v>0</v>
      </c>
      <c r="AR200" s="71">
        <f ca="1">IF(BD200&lt;1,-IF(C200=1,(G200*'Invoer gegevens'!$F$36)*Reeksen!J200,0),0)</f>
        <v>0</v>
      </c>
      <c r="AS200" s="71">
        <f ca="1">-IF(C200=1,(F200+K200+L200+Q200)/2*'Invoer gegevens'!$F$37*Reeksen!L200,0)</f>
        <v>0</v>
      </c>
      <c r="AT200" s="71">
        <f ca="1">-IF(C200=1,IF(E200='Invoer gegevens'!$C$17,'Invoer gegevens'!$C$11,AD200)*Reeksen!S200*'Invoer gegevens'!$C$18*Reeksen!P200,0)</f>
        <v>0</v>
      </c>
      <c r="AU200" s="71">
        <f ca="1">-IF(C200=1,(F200+K200+L200+Q200)/2*'Invoer gegevens'!$F$38*Reeksen!H200,0)</f>
        <v>0</v>
      </c>
      <c r="AV200" s="71">
        <f t="shared" si="50"/>
        <v>0</v>
      </c>
      <c r="AW200" s="71">
        <f t="shared" ca="1" si="64"/>
        <v>0</v>
      </c>
      <c r="AX200" s="71">
        <f ca="1">IF(E200&lt;'Invoer gegevens'!$C$17+15,0,IF(E200&gt;'Invoer gegevens'!$C$17+215,0,AW200))</f>
        <v>0</v>
      </c>
      <c r="AY200" s="71">
        <f ca="1">AX200/(1+'Invoer gegevens'!$F$18)^($AZ200-('Invoer gegevens'!$C$17-'Invoer gegevens'!$C$16))/(1+'Invoer gegevens'!$C$39)^('Invoer gegevens'!$C$17-'Invoer gegevens'!$C$16)</f>
        <v>0</v>
      </c>
      <c r="AZ200" s="68">
        <f ca="1">IF(E200-'Invoer gegevens'!$C$17-14.5&lt;0,0,E200-'Invoer gegevens'!$C$17-14.5)</f>
        <v>180.5</v>
      </c>
      <c r="BA200" s="109">
        <f ca="1">IFERROR(VLOOKUP(E200-15,Reeksen!$A$5:$D$234,2,FALSE),0)</f>
        <v>0</v>
      </c>
      <c r="BB200" s="109">
        <f ca="1">IFERROR(VLOOKUP(E200-15,Reeksen!$A$5:$D$234,3,FALSE),0)</f>
        <v>0</v>
      </c>
      <c r="BC200" s="109">
        <f ca="1">IFERROR(VLOOKUP(E200-15,Reeksen!$A$5:$D$234,4,FALSE),0)</f>
        <v>0</v>
      </c>
      <c r="BD200" s="67">
        <f ca="1">IF(E200-'Invoer gegevens'!$C$17&lt;15,0,1)</f>
        <v>1</v>
      </c>
    </row>
    <row r="201" spans="1:56" x14ac:dyDescent="0.25">
      <c r="A201" s="59"/>
      <c r="B201" s="70">
        <f t="shared" si="65"/>
        <v>197</v>
      </c>
      <c r="C201" s="67">
        <f ca="1">IF(E201-'Invoer gegevens'!$C$17&lt;0,0,1)</f>
        <v>1</v>
      </c>
      <c r="D201" s="68">
        <f t="shared" si="66"/>
        <v>196.5</v>
      </c>
      <c r="E201" s="108">
        <f ca="1">IF('Invoer gegevens'!$C$16="","",E200+1)</f>
        <v>2215</v>
      </c>
      <c r="F201" s="84">
        <f ca="1">IF('Invoer gegevens'!$C$17=E201,'Invoer gegevens'!$C$10,IF(C201=1,K200,0))</f>
        <v>0</v>
      </c>
      <c r="G201" s="96">
        <f ca="1">IF(BD201&lt;1,F201*Reeksen!C201,IF(C201&gt;=1,F201*BA201,0))</f>
        <v>0</v>
      </c>
      <c r="H201" s="84">
        <f ca="1">(1-('Invoer gegevens'!$F$20/12))*F201*MIN(BA201,BC201)</f>
        <v>0</v>
      </c>
      <c r="I201" s="84">
        <f t="shared" ca="1" si="51"/>
        <v>0</v>
      </c>
      <c r="J201" s="84">
        <f ca="1">('Invoer gegevens'!$F$20/12)*F200*MIN(BA201,BC201)</f>
        <v>0</v>
      </c>
      <c r="K201" s="97">
        <f t="shared" ca="1" si="56"/>
        <v>0</v>
      </c>
      <c r="L201" s="84">
        <f ca="1">IF('Invoer gegevens'!$C$17=E201,0,IF(C201=1,Q200,0))</f>
        <v>0</v>
      </c>
      <c r="M201" s="96">
        <f t="shared" ca="1" si="52"/>
        <v>0</v>
      </c>
      <c r="N201" s="84">
        <f ca="1">(1-('Invoer gegevens'!$F$20/12))*L201*MIN(BA201,BC201)</f>
        <v>0</v>
      </c>
      <c r="O201" s="84">
        <f t="shared" ca="1" si="53"/>
        <v>0</v>
      </c>
      <c r="P201" s="84">
        <f ca="1">('Invoer gegevens'!$F$20/12)*L200*MIN(BA201,BC201)</f>
        <v>0</v>
      </c>
      <c r="Q201" s="84">
        <f t="shared" ca="1" si="57"/>
        <v>0</v>
      </c>
      <c r="R201" s="85">
        <f ca="1">IF('Invoer gegevens'!$C$17=E201,'Invoer gegevens'!$C$11,IF(C201=1,W200,0))</f>
        <v>0</v>
      </c>
      <c r="S201" s="86">
        <f t="shared" ca="1" si="54"/>
        <v>0</v>
      </c>
      <c r="T201" s="86">
        <f ca="1">(1-('Invoer gegevens'!$F$20/12))*R201*MIN(BC201,BA201)</f>
        <v>0</v>
      </c>
      <c r="U201" s="86">
        <f ca="1">IF(BD201&lt;1,IF(Reeksen!AD201&lt;=Reeksen!AE201,R201*Reeksen!C201,0),IF(BC201&gt;=BA201,0,IF(Reeksen!AD201&lt;=Reeksen!AE201,(BA201-BC201)*R201,0)))</f>
        <v>0</v>
      </c>
      <c r="V201" s="86">
        <f ca="1">IF(BD201&lt;1,IF(Reeksen!AD201&gt;Reeksen!AE201,R201*Reeksen!C201,0),IF(BC201&gt;=BA201,0,IF(Reeksen!AD201&gt;Reeksen!AE201,(BA201-BC201)*R201,0)))</f>
        <v>0</v>
      </c>
      <c r="W201" s="218">
        <f t="shared" ca="1" si="58"/>
        <v>0</v>
      </c>
      <c r="X201" s="98">
        <f ca="1">IF('Invoer gegevens'!$C$17=E201,'Invoer gegevens'!$C$10-'Invoer gegevens'!$C$11,IF(C201=1,AC200,0))</f>
        <v>0</v>
      </c>
      <c r="Y201" s="98">
        <f t="shared" ca="1" si="55"/>
        <v>0</v>
      </c>
      <c r="Z201" s="98">
        <f ca="1">(1-('Invoer gegevens'!$F$20/12))*X201*MIN(BA201,BC201)</f>
        <v>0</v>
      </c>
      <c r="AA201" s="98">
        <f ca="1">IF(BD201&lt;1,IF(Reeksen!AD201&lt;=Reeksen!AE201,X201*Reeksen!C201,0),IF(BC201&gt;=BA201,0,IF(Reeksen!AD201&lt;=Reeksen!AE201,(BA201-BC201)*X201,0)))</f>
        <v>0</v>
      </c>
      <c r="AB201" s="98">
        <f ca="1">IF(BD201&lt;1,IF(Reeksen!AD201&gt;Reeksen!AE201,X201*Reeksen!C201,0),IF(BC201&gt;=BA201,0,IF(Reeksen!AD201&gt;Reeksen!AE201,(BA201-BC201)*X201,0)))</f>
        <v>0</v>
      </c>
      <c r="AC201" s="99">
        <f t="shared" ca="1" si="59"/>
        <v>0</v>
      </c>
      <c r="AD201" s="98">
        <f ca="1">IF('Invoer gegevens'!$C$17=E201,R201,IF(C201=0,0,AE200))</f>
        <v>0</v>
      </c>
      <c r="AE201" s="98">
        <f t="shared" ca="1" si="60"/>
        <v>0</v>
      </c>
      <c r="AF201" s="98">
        <f ca="1">IF('Invoer gegevens'!$C$17=E201,X201,IF(C201=0,0,AG200))</f>
        <v>0</v>
      </c>
      <c r="AG201" s="98">
        <f t="shared" ca="1" si="61"/>
        <v>0</v>
      </c>
      <c r="AH201" s="66"/>
      <c r="AI201" s="71">
        <f ca="1">IF(C201=1,Reeksen!AI201*((F201+K201)/2)*12+Reeksen!AD201*((L201+Q201)/2)*12,0)</f>
        <v>0</v>
      </c>
      <c r="AJ201" s="71">
        <f ca="1">-AI201*'Invoer gegevens'!$F$28</f>
        <v>0</v>
      </c>
      <c r="AK201" s="71">
        <f t="shared" ca="1" si="62"/>
        <v>0</v>
      </c>
      <c r="AL201" s="71">
        <f ca="1">IF(C201=1,Reeksen!AL201*((F201-G201+F201)/2)*12+Reeksen!AM201*((L201-M201+L201)/2)*12,0)</f>
        <v>0</v>
      </c>
      <c r="AM201" s="71">
        <f ca="1">-AL201*'Invoer gegevens'!$F$31</f>
        <v>0</v>
      </c>
      <c r="AN201" s="71">
        <f t="shared" ca="1" si="63"/>
        <v>0</v>
      </c>
      <c r="AO201" s="71">
        <f ca="1">IF(C201=1,(H201+J201+N201+P201)*Reeksen!AN201,0)</f>
        <v>0</v>
      </c>
      <c r="AP201" s="71">
        <f ca="1">-IF(C201=1,(H201+J201+N201+P201)*'Hulp - basis'!$G$550*Reeksen!H201,0)</f>
        <v>0</v>
      </c>
      <c r="AQ201" s="71">
        <f ca="1">-IF(C201=1,(F201+K201+L201+Q201)/2*'Invoer gegevens'!$F$35*Reeksen!J201,0)*2</f>
        <v>0</v>
      </c>
      <c r="AR201" s="71">
        <f ca="1">IF(BD201&lt;1,-IF(C201=1,(G201*'Invoer gegevens'!$F$36)*Reeksen!J201,0),0)</f>
        <v>0</v>
      </c>
      <c r="AS201" s="71">
        <f ca="1">-IF(C201=1,(F201+K201+L201+Q201)/2*'Invoer gegevens'!$F$37*Reeksen!L201,0)</f>
        <v>0</v>
      </c>
      <c r="AT201" s="71">
        <f ca="1">-IF(C201=1,IF(E201='Invoer gegevens'!$C$17,'Invoer gegevens'!$C$11,AD201)*Reeksen!S201*'Invoer gegevens'!$C$18*Reeksen!P201,0)</f>
        <v>0</v>
      </c>
      <c r="AU201" s="71">
        <f ca="1">-IF(C201=1,(F201+K201+L201+Q201)/2*'Invoer gegevens'!$F$38*Reeksen!H201,0)</f>
        <v>0</v>
      </c>
      <c r="AV201" s="71">
        <f t="shared" si="50"/>
        <v>0</v>
      </c>
      <c r="AW201" s="71">
        <f t="shared" ca="1" si="64"/>
        <v>0</v>
      </c>
      <c r="AX201" s="71">
        <f ca="1">IF(E201&lt;'Invoer gegevens'!$C$17+15,0,IF(E201&gt;'Invoer gegevens'!$C$17+215,0,AW201))</f>
        <v>0</v>
      </c>
      <c r="AY201" s="71">
        <f ca="1">AX201/(1+'Invoer gegevens'!$F$18)^($AZ201-('Invoer gegevens'!$C$17-'Invoer gegevens'!$C$16))/(1+'Invoer gegevens'!$C$39)^('Invoer gegevens'!$C$17-'Invoer gegevens'!$C$16)</f>
        <v>0</v>
      </c>
      <c r="AZ201" s="68">
        <f ca="1">IF(E201-'Invoer gegevens'!$C$17-14.5&lt;0,0,E201-'Invoer gegevens'!$C$17-14.5)</f>
        <v>181.5</v>
      </c>
      <c r="BA201" s="109">
        <f ca="1">IFERROR(VLOOKUP(E201-15,Reeksen!$A$5:$D$234,2,FALSE),0)</f>
        <v>0</v>
      </c>
      <c r="BB201" s="109">
        <f ca="1">IFERROR(VLOOKUP(E201-15,Reeksen!$A$5:$D$234,3,FALSE),0)</f>
        <v>0</v>
      </c>
      <c r="BC201" s="109">
        <f ca="1">IFERROR(VLOOKUP(E201-15,Reeksen!$A$5:$D$234,4,FALSE),0)</f>
        <v>0</v>
      </c>
      <c r="BD201" s="67">
        <f ca="1">IF(E201-'Invoer gegevens'!$C$17&lt;15,0,1)</f>
        <v>1</v>
      </c>
    </row>
    <row r="202" spans="1:56" x14ac:dyDescent="0.25">
      <c r="A202" s="59"/>
      <c r="B202" s="70">
        <f t="shared" si="65"/>
        <v>198</v>
      </c>
      <c r="C202" s="67">
        <f ca="1">IF(E202-'Invoer gegevens'!$C$17&lt;0,0,1)</f>
        <v>1</v>
      </c>
      <c r="D202" s="68">
        <f t="shared" si="66"/>
        <v>197.5</v>
      </c>
      <c r="E202" s="108">
        <f ca="1">IF('Invoer gegevens'!$C$16="","",E201+1)</f>
        <v>2216</v>
      </c>
      <c r="F202" s="84">
        <f ca="1">IF('Invoer gegevens'!$C$17=E202,'Invoer gegevens'!$C$10,IF(C202=1,K201,0))</f>
        <v>0</v>
      </c>
      <c r="G202" s="96">
        <f ca="1">IF(BD202&lt;1,F202*Reeksen!C202,IF(C202&gt;=1,F202*BA202,0))</f>
        <v>0</v>
      </c>
      <c r="H202" s="84">
        <f ca="1">(1-('Invoer gegevens'!$F$20/12))*F202*MIN(BA202,BC202)</f>
        <v>0</v>
      </c>
      <c r="I202" s="84">
        <f t="shared" ca="1" si="51"/>
        <v>0</v>
      </c>
      <c r="J202" s="84">
        <f ca="1">('Invoer gegevens'!$F$20/12)*F201*MIN(BA202,BC202)</f>
        <v>0</v>
      </c>
      <c r="K202" s="97">
        <f t="shared" ca="1" si="56"/>
        <v>0</v>
      </c>
      <c r="L202" s="84">
        <f ca="1">IF('Invoer gegevens'!$C$17=E202,0,IF(C202=1,Q201,0))</f>
        <v>0</v>
      </c>
      <c r="M202" s="96">
        <f t="shared" ca="1" si="52"/>
        <v>0</v>
      </c>
      <c r="N202" s="84">
        <f ca="1">(1-('Invoer gegevens'!$F$20/12))*L202*MIN(BA202,BC202)</f>
        <v>0</v>
      </c>
      <c r="O202" s="84">
        <f t="shared" ca="1" si="53"/>
        <v>0</v>
      </c>
      <c r="P202" s="84">
        <f ca="1">('Invoer gegevens'!$F$20/12)*L201*MIN(BA202,BC202)</f>
        <v>0</v>
      </c>
      <c r="Q202" s="84">
        <f t="shared" ca="1" si="57"/>
        <v>0</v>
      </c>
      <c r="R202" s="85">
        <f ca="1">IF('Invoer gegevens'!$C$17=E202,'Invoer gegevens'!$C$11,IF(C202=1,W201,0))</f>
        <v>0</v>
      </c>
      <c r="S202" s="86">
        <f t="shared" ca="1" si="54"/>
        <v>0</v>
      </c>
      <c r="T202" s="86">
        <f ca="1">(1-('Invoer gegevens'!$F$20/12))*R202*MIN(BC202,BA202)</f>
        <v>0</v>
      </c>
      <c r="U202" s="86">
        <f ca="1">IF(BD202&lt;1,IF(Reeksen!AD202&lt;=Reeksen!AE202,R202*Reeksen!C202,0),IF(BC202&gt;=BA202,0,IF(Reeksen!AD202&lt;=Reeksen!AE202,(BA202-BC202)*R202,0)))</f>
        <v>0</v>
      </c>
      <c r="V202" s="86">
        <f ca="1">IF(BD202&lt;1,IF(Reeksen!AD202&gt;Reeksen!AE202,R202*Reeksen!C202,0),IF(BC202&gt;=BA202,0,IF(Reeksen!AD202&gt;Reeksen!AE202,(BA202-BC202)*R202,0)))</f>
        <v>0</v>
      </c>
      <c r="W202" s="218">
        <f t="shared" ca="1" si="58"/>
        <v>0</v>
      </c>
      <c r="X202" s="98">
        <f ca="1">IF('Invoer gegevens'!$C$17=E202,'Invoer gegevens'!$C$10-'Invoer gegevens'!$C$11,IF(C202=1,AC201,0))</f>
        <v>0</v>
      </c>
      <c r="Y202" s="98">
        <f t="shared" ca="1" si="55"/>
        <v>0</v>
      </c>
      <c r="Z202" s="98">
        <f ca="1">(1-('Invoer gegevens'!$F$20/12))*X202*MIN(BA202,BC202)</f>
        <v>0</v>
      </c>
      <c r="AA202" s="98">
        <f ca="1">IF(BD202&lt;1,IF(Reeksen!AD202&lt;=Reeksen!AE202,X202*Reeksen!C202,0),IF(BC202&gt;=BA202,0,IF(Reeksen!AD202&lt;=Reeksen!AE202,(BA202-BC202)*X202,0)))</f>
        <v>0</v>
      </c>
      <c r="AB202" s="98">
        <f ca="1">IF(BD202&lt;1,IF(Reeksen!AD202&gt;Reeksen!AE202,X202*Reeksen!C202,0),IF(BC202&gt;=BA202,0,IF(Reeksen!AD202&gt;Reeksen!AE202,(BA202-BC202)*X202,0)))</f>
        <v>0</v>
      </c>
      <c r="AC202" s="99">
        <f t="shared" ca="1" si="59"/>
        <v>0</v>
      </c>
      <c r="AD202" s="98">
        <f ca="1">IF('Invoer gegevens'!$C$17=E202,R202,IF(C202=0,0,AE201))</f>
        <v>0</v>
      </c>
      <c r="AE202" s="98">
        <f t="shared" ca="1" si="60"/>
        <v>0</v>
      </c>
      <c r="AF202" s="98">
        <f ca="1">IF('Invoer gegevens'!$C$17=E202,X202,IF(C202=0,0,AG201))</f>
        <v>0</v>
      </c>
      <c r="AG202" s="98">
        <f t="shared" ca="1" si="61"/>
        <v>0</v>
      </c>
      <c r="AH202" s="66"/>
      <c r="AI202" s="71">
        <f ca="1">IF(C202=1,Reeksen!AI202*((F202+K202)/2)*12+Reeksen!AD202*((L202+Q202)/2)*12,0)</f>
        <v>0</v>
      </c>
      <c r="AJ202" s="71">
        <f ca="1">-AI202*'Invoer gegevens'!$F$28</f>
        <v>0</v>
      </c>
      <c r="AK202" s="71">
        <f t="shared" ca="1" si="62"/>
        <v>0</v>
      </c>
      <c r="AL202" s="71">
        <f ca="1">IF(C202=1,Reeksen!AL202*((F202-G202+F202)/2)*12+Reeksen!AM202*((L202-M202+L202)/2)*12,0)</f>
        <v>0</v>
      </c>
      <c r="AM202" s="71">
        <f ca="1">-AL202*'Invoer gegevens'!$F$31</f>
        <v>0</v>
      </c>
      <c r="AN202" s="71">
        <f t="shared" ca="1" si="63"/>
        <v>0</v>
      </c>
      <c r="AO202" s="71">
        <f ca="1">IF(C202=1,(H202+J202+N202+P202)*Reeksen!AN202,0)</f>
        <v>0</v>
      </c>
      <c r="AP202" s="71">
        <f ca="1">-IF(C202=1,(H202+J202+N202+P202)*'Hulp - basis'!$G$550*Reeksen!H202,0)</f>
        <v>0</v>
      </c>
      <c r="AQ202" s="71">
        <f ca="1">-IF(C202=1,(F202+K202+L202+Q202)/2*'Invoer gegevens'!$F$35*Reeksen!J202,0)*2</f>
        <v>0</v>
      </c>
      <c r="AR202" s="71">
        <f ca="1">IF(BD202&lt;1,-IF(C202=1,(G202*'Invoer gegevens'!$F$36)*Reeksen!J202,0),0)</f>
        <v>0</v>
      </c>
      <c r="AS202" s="71">
        <f ca="1">-IF(C202=1,(F202+K202+L202+Q202)/2*'Invoer gegevens'!$F$37*Reeksen!L202,0)</f>
        <v>0</v>
      </c>
      <c r="AT202" s="71">
        <f ca="1">-IF(C202=1,IF(E202='Invoer gegevens'!$C$17,'Invoer gegevens'!$C$11,AD202)*Reeksen!S202*'Invoer gegevens'!$C$18*Reeksen!P202,0)</f>
        <v>0</v>
      </c>
      <c r="AU202" s="71">
        <f ca="1">-IF(C202=1,(F202+K202+L202+Q202)/2*'Invoer gegevens'!$F$38*Reeksen!H202,0)</f>
        <v>0</v>
      </c>
      <c r="AV202" s="71">
        <f t="shared" si="50"/>
        <v>0</v>
      </c>
      <c r="AW202" s="71">
        <f t="shared" ca="1" si="64"/>
        <v>0</v>
      </c>
      <c r="AX202" s="71">
        <f ca="1">IF(E202&lt;'Invoer gegevens'!$C$17+15,0,IF(E202&gt;'Invoer gegevens'!$C$17+215,0,AW202))</f>
        <v>0</v>
      </c>
      <c r="AY202" s="71">
        <f ca="1">AX202/(1+'Invoer gegevens'!$F$18)^($AZ202-('Invoer gegevens'!$C$17-'Invoer gegevens'!$C$16))/(1+'Invoer gegevens'!$C$39)^('Invoer gegevens'!$C$17-'Invoer gegevens'!$C$16)</f>
        <v>0</v>
      </c>
      <c r="AZ202" s="68">
        <f ca="1">IF(E202-'Invoer gegevens'!$C$17-14.5&lt;0,0,E202-'Invoer gegevens'!$C$17-14.5)</f>
        <v>182.5</v>
      </c>
      <c r="BA202" s="109">
        <f ca="1">IFERROR(VLOOKUP(E202-15,Reeksen!$A$5:$D$234,2,FALSE),0)</f>
        <v>0</v>
      </c>
      <c r="BB202" s="109">
        <f ca="1">IFERROR(VLOOKUP(E202-15,Reeksen!$A$5:$D$234,3,FALSE),0)</f>
        <v>0</v>
      </c>
      <c r="BC202" s="109">
        <f ca="1">IFERROR(VLOOKUP(E202-15,Reeksen!$A$5:$D$234,4,FALSE),0)</f>
        <v>0</v>
      </c>
      <c r="BD202" s="67">
        <f ca="1">IF(E202-'Invoer gegevens'!$C$17&lt;15,0,1)</f>
        <v>1</v>
      </c>
    </row>
    <row r="203" spans="1:56" x14ac:dyDescent="0.25">
      <c r="A203" s="59"/>
      <c r="B203" s="70">
        <f t="shared" si="65"/>
        <v>199</v>
      </c>
      <c r="C203" s="67">
        <f ca="1">IF(E203-'Invoer gegevens'!$C$17&lt;0,0,1)</f>
        <v>1</v>
      </c>
      <c r="D203" s="68">
        <f t="shared" si="66"/>
        <v>198.5</v>
      </c>
      <c r="E203" s="108">
        <f ca="1">IF('Invoer gegevens'!$C$16="","",E202+1)</f>
        <v>2217</v>
      </c>
      <c r="F203" s="84">
        <f ca="1">IF('Invoer gegevens'!$C$17=E203,'Invoer gegevens'!$C$10,IF(C203=1,K202,0))</f>
        <v>0</v>
      </c>
      <c r="G203" s="96">
        <f ca="1">IF(BD203&lt;1,F203*Reeksen!C203,IF(C203&gt;=1,F203*BA203,0))</f>
        <v>0</v>
      </c>
      <c r="H203" s="84">
        <f ca="1">(1-('Invoer gegevens'!$F$20/12))*F203*MIN(BA203,BC203)</f>
        <v>0</v>
      </c>
      <c r="I203" s="84">
        <f t="shared" ca="1" si="51"/>
        <v>0</v>
      </c>
      <c r="J203" s="84">
        <f ca="1">('Invoer gegevens'!$F$20/12)*F202*MIN(BA203,BC203)</f>
        <v>0</v>
      </c>
      <c r="K203" s="97">
        <f t="shared" ca="1" si="56"/>
        <v>0</v>
      </c>
      <c r="L203" s="84">
        <f ca="1">IF('Invoer gegevens'!$C$17=E203,0,IF(C203=1,Q202,0))</f>
        <v>0</v>
      </c>
      <c r="M203" s="96">
        <f t="shared" ca="1" si="52"/>
        <v>0</v>
      </c>
      <c r="N203" s="84">
        <f ca="1">(1-('Invoer gegevens'!$F$20/12))*L203*MIN(BA203,BC203)</f>
        <v>0</v>
      </c>
      <c r="O203" s="84">
        <f t="shared" ca="1" si="53"/>
        <v>0</v>
      </c>
      <c r="P203" s="84">
        <f ca="1">('Invoer gegevens'!$F$20/12)*L202*MIN(BA203,BC203)</f>
        <v>0</v>
      </c>
      <c r="Q203" s="84">
        <f t="shared" ca="1" si="57"/>
        <v>0</v>
      </c>
      <c r="R203" s="85">
        <f ca="1">IF('Invoer gegevens'!$C$17=E203,'Invoer gegevens'!$C$11,IF(C203=1,W202,0))</f>
        <v>0</v>
      </c>
      <c r="S203" s="86">
        <f t="shared" ca="1" si="54"/>
        <v>0</v>
      </c>
      <c r="T203" s="86">
        <f ca="1">(1-('Invoer gegevens'!$F$20/12))*R203*MIN(BC203,BA203)</f>
        <v>0</v>
      </c>
      <c r="U203" s="86">
        <f ca="1">IF(BD203&lt;1,IF(Reeksen!AD203&lt;=Reeksen!AE203,R203*Reeksen!C203,0),IF(BC203&gt;=BA203,0,IF(Reeksen!AD203&lt;=Reeksen!AE203,(BA203-BC203)*R203,0)))</f>
        <v>0</v>
      </c>
      <c r="V203" s="86">
        <f ca="1">IF(BD203&lt;1,IF(Reeksen!AD203&gt;Reeksen!AE203,R203*Reeksen!C203,0),IF(BC203&gt;=BA203,0,IF(Reeksen!AD203&gt;Reeksen!AE203,(BA203-BC203)*R203,0)))</f>
        <v>0</v>
      </c>
      <c r="W203" s="218">
        <f t="shared" ca="1" si="58"/>
        <v>0</v>
      </c>
      <c r="X203" s="98">
        <f ca="1">IF('Invoer gegevens'!$C$17=E203,'Invoer gegevens'!$C$10-'Invoer gegevens'!$C$11,IF(C203=1,AC202,0))</f>
        <v>0</v>
      </c>
      <c r="Y203" s="98">
        <f t="shared" ca="1" si="55"/>
        <v>0</v>
      </c>
      <c r="Z203" s="98">
        <f ca="1">(1-('Invoer gegevens'!$F$20/12))*X203*MIN(BA203,BC203)</f>
        <v>0</v>
      </c>
      <c r="AA203" s="98">
        <f ca="1">IF(BD203&lt;1,IF(Reeksen!AD203&lt;=Reeksen!AE203,X203*Reeksen!C203,0),IF(BC203&gt;=BA203,0,IF(Reeksen!AD203&lt;=Reeksen!AE203,(BA203-BC203)*X203,0)))</f>
        <v>0</v>
      </c>
      <c r="AB203" s="98">
        <f ca="1">IF(BD203&lt;1,IF(Reeksen!AD203&gt;Reeksen!AE203,X203*Reeksen!C203,0),IF(BC203&gt;=BA203,0,IF(Reeksen!AD203&gt;Reeksen!AE203,(BA203-BC203)*X203,0)))</f>
        <v>0</v>
      </c>
      <c r="AC203" s="99">
        <f t="shared" ca="1" si="59"/>
        <v>0</v>
      </c>
      <c r="AD203" s="98">
        <f ca="1">IF('Invoer gegevens'!$C$17=E203,R203,IF(C203=0,0,AE202))</f>
        <v>0</v>
      </c>
      <c r="AE203" s="98">
        <f t="shared" ca="1" si="60"/>
        <v>0</v>
      </c>
      <c r="AF203" s="98">
        <f ca="1">IF('Invoer gegevens'!$C$17=E203,X203,IF(C203=0,0,AG202))</f>
        <v>0</v>
      </c>
      <c r="AG203" s="98">
        <f t="shared" ca="1" si="61"/>
        <v>0</v>
      </c>
      <c r="AH203" s="66"/>
      <c r="AI203" s="71">
        <f ca="1">IF(C203=1,Reeksen!AI203*((F203+K203)/2)*12+Reeksen!AD203*((L203+Q203)/2)*12,0)</f>
        <v>0</v>
      </c>
      <c r="AJ203" s="71">
        <f ca="1">-AI203*'Invoer gegevens'!$F$28</f>
        <v>0</v>
      </c>
      <c r="AK203" s="71">
        <f t="shared" ca="1" si="62"/>
        <v>0</v>
      </c>
      <c r="AL203" s="71">
        <f ca="1">IF(C203=1,Reeksen!AL203*((F203-G203+F203)/2)*12+Reeksen!AM203*((L203-M203+L203)/2)*12,0)</f>
        <v>0</v>
      </c>
      <c r="AM203" s="71">
        <f ca="1">-AL203*'Invoer gegevens'!$F$31</f>
        <v>0</v>
      </c>
      <c r="AN203" s="71">
        <f t="shared" ca="1" si="63"/>
        <v>0</v>
      </c>
      <c r="AO203" s="71">
        <f ca="1">IF(C203=1,(H203+J203+N203+P203)*Reeksen!AN203,0)</f>
        <v>0</v>
      </c>
      <c r="AP203" s="71">
        <f ca="1">-IF(C203=1,(H203+J203+N203+P203)*'Hulp - basis'!$G$550*Reeksen!H203,0)</f>
        <v>0</v>
      </c>
      <c r="AQ203" s="71">
        <f ca="1">-IF(C203=1,(F203+K203+L203+Q203)/2*'Invoer gegevens'!$F$35*Reeksen!J203,0)*2</f>
        <v>0</v>
      </c>
      <c r="AR203" s="71">
        <f ca="1">IF(BD203&lt;1,-IF(C203=1,(G203*'Invoer gegevens'!$F$36)*Reeksen!J203,0),0)</f>
        <v>0</v>
      </c>
      <c r="AS203" s="71">
        <f ca="1">-IF(C203=1,(F203+K203+L203+Q203)/2*'Invoer gegevens'!$F$37*Reeksen!L203,0)</f>
        <v>0</v>
      </c>
      <c r="AT203" s="71">
        <f ca="1">-IF(C203=1,IF(E203='Invoer gegevens'!$C$17,'Invoer gegevens'!$C$11,AD203)*Reeksen!S203*'Invoer gegevens'!$C$18*Reeksen!P203,0)</f>
        <v>0</v>
      </c>
      <c r="AU203" s="71">
        <f ca="1">-IF(C203=1,(F203+K203+L203+Q203)/2*'Invoer gegevens'!$F$38*Reeksen!H203,0)</f>
        <v>0</v>
      </c>
      <c r="AV203" s="71">
        <f t="shared" si="50"/>
        <v>0</v>
      </c>
      <c r="AW203" s="71">
        <f t="shared" ca="1" si="64"/>
        <v>0</v>
      </c>
      <c r="AX203" s="71">
        <f ca="1">IF(E203&lt;'Invoer gegevens'!$C$17+15,0,IF(E203&gt;'Invoer gegevens'!$C$17+215,0,AW203))</f>
        <v>0</v>
      </c>
      <c r="AY203" s="71">
        <f ca="1">AX203/(1+'Invoer gegevens'!$F$18)^($AZ203-('Invoer gegevens'!$C$17-'Invoer gegevens'!$C$16))/(1+'Invoer gegevens'!$C$39)^('Invoer gegevens'!$C$17-'Invoer gegevens'!$C$16)</f>
        <v>0</v>
      </c>
      <c r="AZ203" s="68">
        <f ca="1">IF(E203-'Invoer gegevens'!$C$17-14.5&lt;0,0,E203-'Invoer gegevens'!$C$17-14.5)</f>
        <v>183.5</v>
      </c>
      <c r="BA203" s="109">
        <f ca="1">IFERROR(VLOOKUP(E203-15,Reeksen!$A$5:$D$234,2,FALSE),0)</f>
        <v>0</v>
      </c>
      <c r="BB203" s="109">
        <f ca="1">IFERROR(VLOOKUP(E203-15,Reeksen!$A$5:$D$234,3,FALSE),0)</f>
        <v>0</v>
      </c>
      <c r="BC203" s="109">
        <f ca="1">IFERROR(VLOOKUP(E203-15,Reeksen!$A$5:$D$234,4,FALSE),0)</f>
        <v>0</v>
      </c>
      <c r="BD203" s="67">
        <f ca="1">IF(E203-'Invoer gegevens'!$C$17&lt;15,0,1)</f>
        <v>1</v>
      </c>
    </row>
    <row r="204" spans="1:56" x14ac:dyDescent="0.25">
      <c r="A204" s="59"/>
      <c r="B204" s="70">
        <f t="shared" si="65"/>
        <v>200</v>
      </c>
      <c r="C204" s="67">
        <f ca="1">IF(E204-'Invoer gegevens'!$C$17&lt;0,0,1)</f>
        <v>1</v>
      </c>
      <c r="D204" s="68">
        <f t="shared" si="66"/>
        <v>199.5</v>
      </c>
      <c r="E204" s="108">
        <f ca="1">IF('Invoer gegevens'!$C$16="","",E203+1)</f>
        <v>2218</v>
      </c>
      <c r="F204" s="84">
        <f ca="1">IF('Invoer gegevens'!$C$17=E204,'Invoer gegevens'!$C$10,IF(C204=1,K203,0))</f>
        <v>0</v>
      </c>
      <c r="G204" s="96">
        <f ca="1">IF(BD204&lt;1,F204*Reeksen!C204,IF(C204&gt;=1,F204*BA204,0))</f>
        <v>0</v>
      </c>
      <c r="H204" s="84">
        <f ca="1">(1-('Invoer gegevens'!$F$20/12))*F204*MIN(BA204,BC204)</f>
        <v>0</v>
      </c>
      <c r="I204" s="84">
        <f t="shared" ca="1" si="51"/>
        <v>0</v>
      </c>
      <c r="J204" s="84">
        <f ca="1">('Invoer gegevens'!$F$20/12)*F203*MIN(BA204,BC204)</f>
        <v>0</v>
      </c>
      <c r="K204" s="97">
        <f t="shared" ca="1" si="56"/>
        <v>0</v>
      </c>
      <c r="L204" s="84">
        <f ca="1">IF('Invoer gegevens'!$C$17=E204,0,IF(C204=1,Q203,0))</f>
        <v>0</v>
      </c>
      <c r="M204" s="96">
        <f t="shared" ca="1" si="52"/>
        <v>0</v>
      </c>
      <c r="N204" s="84">
        <f ca="1">(1-('Invoer gegevens'!$F$20/12))*L204*MIN(BA204,BC204)</f>
        <v>0</v>
      </c>
      <c r="O204" s="84">
        <f t="shared" ca="1" si="53"/>
        <v>0</v>
      </c>
      <c r="P204" s="84">
        <f ca="1">('Invoer gegevens'!$F$20/12)*L203*MIN(BA204,BC204)</f>
        <v>0</v>
      </c>
      <c r="Q204" s="84">
        <f t="shared" ca="1" si="57"/>
        <v>0</v>
      </c>
      <c r="R204" s="85">
        <f ca="1">IF('Invoer gegevens'!$C$17=E204,'Invoer gegevens'!$C$11,IF(C204=1,W203,0))</f>
        <v>0</v>
      </c>
      <c r="S204" s="86">
        <f t="shared" ca="1" si="54"/>
        <v>0</v>
      </c>
      <c r="T204" s="86">
        <f ca="1">(1-('Invoer gegevens'!$F$20/12))*R204*MIN(BC204,BA204)</f>
        <v>0</v>
      </c>
      <c r="U204" s="86">
        <f ca="1">IF(BD204&lt;1,IF(Reeksen!AD204&lt;=Reeksen!AE204,R204*Reeksen!C204,0),IF(BC204&gt;=BA204,0,IF(Reeksen!AD204&lt;=Reeksen!AE204,(BA204-BC204)*R204,0)))</f>
        <v>0</v>
      </c>
      <c r="V204" s="86">
        <f ca="1">IF(BD204&lt;1,IF(Reeksen!AD204&gt;Reeksen!AE204,R204*Reeksen!C204,0),IF(BC204&gt;=BA204,0,IF(Reeksen!AD204&gt;Reeksen!AE204,(BA204-BC204)*R204,0)))</f>
        <v>0</v>
      </c>
      <c r="W204" s="218">
        <f t="shared" ca="1" si="58"/>
        <v>0</v>
      </c>
      <c r="X204" s="98">
        <f ca="1">IF('Invoer gegevens'!$C$17=E204,'Invoer gegevens'!$C$10-'Invoer gegevens'!$C$11,IF(C204=1,AC203,0))</f>
        <v>0</v>
      </c>
      <c r="Y204" s="98">
        <f t="shared" ca="1" si="55"/>
        <v>0</v>
      </c>
      <c r="Z204" s="98">
        <f ca="1">(1-('Invoer gegevens'!$F$20/12))*X204*MIN(BA204,BC204)</f>
        <v>0</v>
      </c>
      <c r="AA204" s="98">
        <f ca="1">IF(BD204&lt;1,IF(Reeksen!AD204&lt;=Reeksen!AE204,X204*Reeksen!C204,0),IF(BC204&gt;=BA204,0,IF(Reeksen!AD204&lt;=Reeksen!AE204,(BA204-BC204)*X204,0)))</f>
        <v>0</v>
      </c>
      <c r="AB204" s="98">
        <f ca="1">IF(BD204&lt;1,IF(Reeksen!AD204&gt;Reeksen!AE204,X204*Reeksen!C204,0),IF(BC204&gt;=BA204,0,IF(Reeksen!AD204&gt;Reeksen!AE204,(BA204-BC204)*X204,0)))</f>
        <v>0</v>
      </c>
      <c r="AC204" s="99">
        <f t="shared" ca="1" si="59"/>
        <v>0</v>
      </c>
      <c r="AD204" s="98">
        <f ca="1">IF('Invoer gegevens'!$C$17=E204,R204,IF(C204=0,0,AE203))</f>
        <v>0</v>
      </c>
      <c r="AE204" s="98">
        <f t="shared" ca="1" si="60"/>
        <v>0</v>
      </c>
      <c r="AF204" s="98">
        <f ca="1">IF('Invoer gegevens'!$C$17=E204,X204,IF(C204=0,0,AG203))</f>
        <v>0</v>
      </c>
      <c r="AG204" s="98">
        <f t="shared" ca="1" si="61"/>
        <v>0</v>
      </c>
      <c r="AH204" s="66"/>
      <c r="AI204" s="71">
        <f ca="1">IF(C204=1,Reeksen!AI204*((F204+K204)/2)*12+Reeksen!AD204*((L204+Q204)/2)*12,0)</f>
        <v>0</v>
      </c>
      <c r="AJ204" s="71">
        <f ca="1">-AI204*'Invoer gegevens'!$F$28</f>
        <v>0</v>
      </c>
      <c r="AK204" s="71">
        <f t="shared" ca="1" si="62"/>
        <v>0</v>
      </c>
      <c r="AL204" s="71">
        <f ca="1">IF(C204=1,Reeksen!AL204*((F204-G204+F204)/2)*12+Reeksen!AM204*((L204-M204+L204)/2)*12,0)</f>
        <v>0</v>
      </c>
      <c r="AM204" s="71">
        <f ca="1">-AL204*'Invoer gegevens'!$F$31</f>
        <v>0</v>
      </c>
      <c r="AN204" s="71">
        <f t="shared" ca="1" si="63"/>
        <v>0</v>
      </c>
      <c r="AO204" s="71">
        <f ca="1">IF(C204=1,(H204+J204+N204+P204)*Reeksen!AN204,0)</f>
        <v>0</v>
      </c>
      <c r="AP204" s="71">
        <f ca="1">-IF(C204=1,(H204+J204+N204+P204)*'Hulp - basis'!$G$550*Reeksen!H204,0)</f>
        <v>0</v>
      </c>
      <c r="AQ204" s="71">
        <f ca="1">-IF(C204=1,(F204+K204+L204+Q204)/2*'Invoer gegevens'!$F$35*Reeksen!J204,0)*2</f>
        <v>0</v>
      </c>
      <c r="AR204" s="71">
        <f ca="1">IF(BD204&lt;1,-IF(C204=1,(G204*'Invoer gegevens'!$F$36)*Reeksen!J204,0),0)</f>
        <v>0</v>
      </c>
      <c r="AS204" s="71">
        <f ca="1">-IF(C204=1,(F204+K204+L204+Q204)/2*'Invoer gegevens'!$F$37*Reeksen!L204,0)</f>
        <v>0</v>
      </c>
      <c r="AT204" s="71">
        <f ca="1">-IF(C204=1,IF(E204='Invoer gegevens'!$C$17,'Invoer gegevens'!$C$11,AD204)*Reeksen!S204*'Invoer gegevens'!$C$18*Reeksen!P204,0)</f>
        <v>0</v>
      </c>
      <c r="AU204" s="71">
        <f ca="1">-IF(C204=1,(F204+K204+L204+Q204)/2*'Invoer gegevens'!$F$38*Reeksen!H204,0)</f>
        <v>0</v>
      </c>
      <c r="AV204" s="71">
        <f t="shared" si="50"/>
        <v>0</v>
      </c>
      <c r="AW204" s="71">
        <f t="shared" ca="1" si="64"/>
        <v>0</v>
      </c>
      <c r="AX204" s="71">
        <f ca="1">IF(E204&lt;'Invoer gegevens'!$C$17+15,0,IF(E204&gt;'Invoer gegevens'!$C$17+215,0,AW204))</f>
        <v>0</v>
      </c>
      <c r="AY204" s="71">
        <f ca="1">AX204/(1+'Invoer gegevens'!$F$18)^($AZ204-('Invoer gegevens'!$C$17-'Invoer gegevens'!$C$16))/(1+'Invoer gegevens'!$C$39)^('Invoer gegevens'!$C$17-'Invoer gegevens'!$C$16)</f>
        <v>0</v>
      </c>
      <c r="AZ204" s="68">
        <f ca="1">IF(E204-'Invoer gegevens'!$C$17-14.5&lt;0,0,E204-'Invoer gegevens'!$C$17-14.5)</f>
        <v>184.5</v>
      </c>
      <c r="BA204" s="109">
        <f ca="1">IFERROR(VLOOKUP(E204-15,Reeksen!$A$5:$D$234,2,FALSE),0)</f>
        <v>0</v>
      </c>
      <c r="BB204" s="109">
        <f ca="1">IFERROR(VLOOKUP(E204-15,Reeksen!$A$5:$D$234,3,FALSE),0)</f>
        <v>0</v>
      </c>
      <c r="BC204" s="109">
        <f ca="1">IFERROR(VLOOKUP(E204-15,Reeksen!$A$5:$D$234,4,FALSE),0)</f>
        <v>0</v>
      </c>
      <c r="BD204" s="67">
        <f ca="1">IF(E204-'Invoer gegevens'!$C$17&lt;15,0,1)</f>
        <v>1</v>
      </c>
    </row>
    <row r="205" spans="1:56" x14ac:dyDescent="0.25">
      <c r="A205" s="59"/>
      <c r="B205" s="70">
        <f t="shared" si="65"/>
        <v>201</v>
      </c>
      <c r="C205" s="67">
        <f ca="1">IF(E205-'Invoer gegevens'!$C$17&lt;0,0,1)</f>
        <v>1</v>
      </c>
      <c r="D205" s="68">
        <f t="shared" si="66"/>
        <v>200.5</v>
      </c>
      <c r="E205" s="108">
        <f ca="1">IF('Invoer gegevens'!$C$16="","",E204+1)</f>
        <v>2219</v>
      </c>
      <c r="F205" s="84">
        <f ca="1">IF('Invoer gegevens'!$C$17=E205,'Invoer gegevens'!$C$10,IF(C205=1,K204,0))</f>
        <v>0</v>
      </c>
      <c r="G205" s="96">
        <f ca="1">IF(BD205&lt;1,F205*Reeksen!C205,IF(C205&gt;=1,F205*BA205,0))</f>
        <v>0</v>
      </c>
      <c r="H205" s="84">
        <f ca="1">(1-('Invoer gegevens'!$F$20/12))*F205*MIN(BA205,BC205)</f>
        <v>0</v>
      </c>
      <c r="I205" s="84">
        <f t="shared" ca="1" si="51"/>
        <v>0</v>
      </c>
      <c r="J205" s="84">
        <f ca="1">('Invoer gegevens'!$F$20/12)*F204*MIN(BA205,BC205)</f>
        <v>0</v>
      </c>
      <c r="K205" s="97">
        <f t="shared" ca="1" si="56"/>
        <v>0</v>
      </c>
      <c r="L205" s="84">
        <f ca="1">IF('Invoer gegevens'!$C$17=E205,0,IF(C205=1,Q204,0))</f>
        <v>0</v>
      </c>
      <c r="M205" s="96">
        <f t="shared" ca="1" si="52"/>
        <v>0</v>
      </c>
      <c r="N205" s="84">
        <f ca="1">(1-('Invoer gegevens'!$F$20/12))*L205*MIN(BA205,BC205)</f>
        <v>0</v>
      </c>
      <c r="O205" s="84">
        <f t="shared" ca="1" si="53"/>
        <v>0</v>
      </c>
      <c r="P205" s="84">
        <f ca="1">('Invoer gegevens'!$F$20/12)*L204*MIN(BA205,BC205)</f>
        <v>0</v>
      </c>
      <c r="Q205" s="84">
        <f t="shared" ca="1" si="57"/>
        <v>0</v>
      </c>
      <c r="R205" s="85">
        <f ca="1">IF('Invoer gegevens'!$C$17=E205,'Invoer gegevens'!$C$11,IF(C205=1,W204,0))</f>
        <v>0</v>
      </c>
      <c r="S205" s="86">
        <f t="shared" ca="1" si="54"/>
        <v>0</v>
      </c>
      <c r="T205" s="86">
        <f ca="1">(1-('Invoer gegevens'!$F$20/12))*R205*MIN(BC205,BA205)</f>
        <v>0</v>
      </c>
      <c r="U205" s="86">
        <f ca="1">IF(BD205&lt;1,IF(Reeksen!AD205&lt;=Reeksen!AE205,R205*Reeksen!C205,0),IF(BC205&gt;=BA205,0,IF(Reeksen!AD205&lt;=Reeksen!AE205,(BA205-BC205)*R205,0)))</f>
        <v>0</v>
      </c>
      <c r="V205" s="86">
        <f ca="1">IF(BD205&lt;1,IF(Reeksen!AD205&gt;Reeksen!AE205,R205*Reeksen!C205,0),IF(BC205&gt;=BA205,0,IF(Reeksen!AD205&gt;Reeksen!AE205,(BA205-BC205)*R205,0)))</f>
        <v>0</v>
      </c>
      <c r="W205" s="218">
        <f t="shared" ca="1" si="58"/>
        <v>0</v>
      </c>
      <c r="X205" s="98">
        <f ca="1">IF('Invoer gegevens'!$C$17=E205,'Invoer gegevens'!$C$10-'Invoer gegevens'!$C$11,IF(C205=1,AC204,0))</f>
        <v>0</v>
      </c>
      <c r="Y205" s="98">
        <f t="shared" ca="1" si="55"/>
        <v>0</v>
      </c>
      <c r="Z205" s="98">
        <f ca="1">(1-('Invoer gegevens'!$F$20/12))*X205*MIN(BA205,BC205)</f>
        <v>0</v>
      </c>
      <c r="AA205" s="98">
        <f ca="1">IF(BD205&lt;1,IF(Reeksen!AD205&lt;=Reeksen!AE205,X205*Reeksen!C205,0),IF(BC205&gt;=BA205,0,IF(Reeksen!AD205&lt;=Reeksen!AE205,(BA205-BC205)*X205,0)))</f>
        <v>0</v>
      </c>
      <c r="AB205" s="98">
        <f ca="1">IF(BD205&lt;1,IF(Reeksen!AD205&gt;Reeksen!AE205,X205*Reeksen!C205,0),IF(BC205&gt;=BA205,0,IF(Reeksen!AD205&gt;Reeksen!AE205,(BA205-BC205)*X205,0)))</f>
        <v>0</v>
      </c>
      <c r="AC205" s="99">
        <f t="shared" ca="1" si="59"/>
        <v>0</v>
      </c>
      <c r="AD205" s="98">
        <f ca="1">IF('Invoer gegevens'!$C$17=E205,R205,IF(C205=0,0,AE204))</f>
        <v>0</v>
      </c>
      <c r="AE205" s="98">
        <f t="shared" ca="1" si="60"/>
        <v>0</v>
      </c>
      <c r="AF205" s="98">
        <f ca="1">IF('Invoer gegevens'!$C$17=E205,X205,IF(C205=0,0,AG204))</f>
        <v>0</v>
      </c>
      <c r="AG205" s="98">
        <f t="shared" ca="1" si="61"/>
        <v>0</v>
      </c>
      <c r="AH205" s="66"/>
      <c r="AI205" s="71">
        <f ca="1">IF(C205=1,Reeksen!AI205*((F205+K205)/2)*12+Reeksen!AD205*((L205+Q205)/2)*12,0)</f>
        <v>0</v>
      </c>
      <c r="AJ205" s="71">
        <f ca="1">-AI205*'Invoer gegevens'!$F$28</f>
        <v>0</v>
      </c>
      <c r="AK205" s="71">
        <f t="shared" ca="1" si="62"/>
        <v>0</v>
      </c>
      <c r="AL205" s="71">
        <f ca="1">IF(C205=1,Reeksen!AL205*((F205-G205+F205)/2)*12+Reeksen!AM205*((L205-M205+L205)/2)*12,0)</f>
        <v>0</v>
      </c>
      <c r="AM205" s="71">
        <f ca="1">-AL205*'Invoer gegevens'!$F$31</f>
        <v>0</v>
      </c>
      <c r="AN205" s="71">
        <f t="shared" ca="1" si="63"/>
        <v>0</v>
      </c>
      <c r="AO205" s="71">
        <f ca="1">IF(C205=1,(H205+J205+N205+P205)*Reeksen!AN205,0)</f>
        <v>0</v>
      </c>
      <c r="AP205" s="71">
        <f ca="1">-IF(C205=1,(H205+J205+N205+P205)*'Hulp - basis'!$G$550*Reeksen!H205,0)</f>
        <v>0</v>
      </c>
      <c r="AQ205" s="71">
        <f ca="1">-IF(C205=1,(F205+K205+L205+Q205)/2*'Invoer gegevens'!$F$35*Reeksen!J205,0)*2</f>
        <v>0</v>
      </c>
      <c r="AR205" s="71">
        <f ca="1">IF(BD205&lt;1,-IF(C205=1,(G205*'Invoer gegevens'!$F$36)*Reeksen!J205,0),0)</f>
        <v>0</v>
      </c>
      <c r="AS205" s="71">
        <f ca="1">-IF(C205=1,(F205+K205+L205+Q205)/2*'Invoer gegevens'!$F$37*Reeksen!L205,0)</f>
        <v>0</v>
      </c>
      <c r="AT205" s="71">
        <f ca="1">-IF(C205=1,IF(E205='Invoer gegevens'!$C$17,'Invoer gegevens'!$C$11,AD205)*Reeksen!S205*'Invoer gegevens'!$C$18*Reeksen!P205,0)</f>
        <v>0</v>
      </c>
      <c r="AU205" s="71">
        <f ca="1">-IF(C205=1,(F205+K205+L205+Q205)/2*'Invoer gegevens'!$F$38*Reeksen!H205,0)</f>
        <v>0</v>
      </c>
      <c r="AV205" s="71">
        <f t="shared" si="50"/>
        <v>0</v>
      </c>
      <c r="AW205" s="71">
        <f t="shared" ca="1" si="64"/>
        <v>0</v>
      </c>
      <c r="AX205" s="71">
        <f ca="1">IF(E205&lt;'Invoer gegevens'!$C$17+15,0,IF(E205&gt;'Invoer gegevens'!$C$17+215,0,AW205))</f>
        <v>0</v>
      </c>
      <c r="AY205" s="71">
        <f ca="1">AX205/(1+'Invoer gegevens'!$F$18)^($AZ205-('Invoer gegevens'!$C$17-'Invoer gegevens'!$C$16))/(1+'Invoer gegevens'!$C$39)^('Invoer gegevens'!$C$17-'Invoer gegevens'!$C$16)</f>
        <v>0</v>
      </c>
      <c r="AZ205" s="68">
        <f ca="1">IF(E205-'Invoer gegevens'!$C$17-14.5&lt;0,0,E205-'Invoer gegevens'!$C$17-14.5)</f>
        <v>185.5</v>
      </c>
      <c r="BA205" s="109">
        <f ca="1">IFERROR(VLOOKUP(E205-15,Reeksen!$A$5:$D$234,2,FALSE),0)</f>
        <v>0</v>
      </c>
      <c r="BB205" s="109">
        <f ca="1">IFERROR(VLOOKUP(E205-15,Reeksen!$A$5:$D$234,3,FALSE),0)</f>
        <v>0</v>
      </c>
      <c r="BC205" s="109">
        <f ca="1">IFERROR(VLOOKUP(E205-15,Reeksen!$A$5:$D$234,4,FALSE),0)</f>
        <v>0</v>
      </c>
      <c r="BD205" s="67">
        <f ca="1">IF(E205-'Invoer gegevens'!$C$17&lt;15,0,1)</f>
        <v>1</v>
      </c>
    </row>
    <row r="206" spans="1:56" x14ac:dyDescent="0.25">
      <c r="A206" s="59"/>
      <c r="B206" s="70">
        <f t="shared" si="65"/>
        <v>202</v>
      </c>
      <c r="C206" s="67">
        <f ca="1">IF(E206-'Invoer gegevens'!$C$17&lt;0,0,1)</f>
        <v>1</v>
      </c>
      <c r="D206" s="68">
        <f t="shared" si="66"/>
        <v>201.5</v>
      </c>
      <c r="E206" s="108">
        <f ca="1">IF('Invoer gegevens'!$C$16="","",E205+1)</f>
        <v>2220</v>
      </c>
      <c r="F206" s="84">
        <f ca="1">IF('Invoer gegevens'!$C$17=E206,'Invoer gegevens'!$C$10,IF(C206=1,K205,0))</f>
        <v>0</v>
      </c>
      <c r="G206" s="96">
        <f ca="1">IF(BD206&lt;1,F206*Reeksen!C206,IF(C206&gt;=1,F206*BA206,0))</f>
        <v>0</v>
      </c>
      <c r="H206" s="84">
        <f ca="1">(1-('Invoer gegevens'!$F$20/12))*F206*MIN(BA206,BC206)</f>
        <v>0</v>
      </c>
      <c r="I206" s="84">
        <f t="shared" ca="1" si="51"/>
        <v>0</v>
      </c>
      <c r="J206" s="84">
        <f ca="1">('Invoer gegevens'!$F$20/12)*F205*MIN(BA206,BC206)</f>
        <v>0</v>
      </c>
      <c r="K206" s="97">
        <f t="shared" ca="1" si="56"/>
        <v>0</v>
      </c>
      <c r="L206" s="84">
        <f ca="1">IF('Invoer gegevens'!$C$17=E206,0,IF(C206=1,Q205,0))</f>
        <v>0</v>
      </c>
      <c r="M206" s="96">
        <f t="shared" ca="1" si="52"/>
        <v>0</v>
      </c>
      <c r="N206" s="84">
        <f ca="1">(1-('Invoer gegevens'!$F$20/12))*L206*MIN(BA206,BC206)</f>
        <v>0</v>
      </c>
      <c r="O206" s="84">
        <f t="shared" ca="1" si="53"/>
        <v>0</v>
      </c>
      <c r="P206" s="84">
        <f ca="1">('Invoer gegevens'!$F$20/12)*L205*MIN(BA206,BC206)</f>
        <v>0</v>
      </c>
      <c r="Q206" s="84">
        <f t="shared" ca="1" si="57"/>
        <v>0</v>
      </c>
      <c r="R206" s="85">
        <f ca="1">IF('Invoer gegevens'!$C$17=E206,'Invoer gegevens'!$C$11,IF(C206=1,W205,0))</f>
        <v>0</v>
      </c>
      <c r="S206" s="86">
        <f t="shared" ca="1" si="54"/>
        <v>0</v>
      </c>
      <c r="T206" s="86">
        <f ca="1">(1-('Invoer gegevens'!$F$20/12))*R206*MIN(BC206,BA206)</f>
        <v>0</v>
      </c>
      <c r="U206" s="86">
        <f ca="1">IF(BD206&lt;1,IF(Reeksen!AD206&lt;=Reeksen!AE206,R206*Reeksen!C206,0),IF(BC206&gt;=BA206,0,IF(Reeksen!AD206&lt;=Reeksen!AE206,(BA206-BC206)*R206,0)))</f>
        <v>0</v>
      </c>
      <c r="V206" s="86">
        <f ca="1">IF(BD206&lt;1,IF(Reeksen!AD206&gt;Reeksen!AE206,R206*Reeksen!C206,0),IF(BC206&gt;=BA206,0,IF(Reeksen!AD206&gt;Reeksen!AE206,(BA206-BC206)*R206,0)))</f>
        <v>0</v>
      </c>
      <c r="W206" s="218">
        <f t="shared" ca="1" si="58"/>
        <v>0</v>
      </c>
      <c r="X206" s="98">
        <f ca="1">IF('Invoer gegevens'!$C$17=E206,'Invoer gegevens'!$C$10-'Invoer gegevens'!$C$11,IF(C206=1,AC205,0))</f>
        <v>0</v>
      </c>
      <c r="Y206" s="98">
        <f t="shared" ca="1" si="55"/>
        <v>0</v>
      </c>
      <c r="Z206" s="98">
        <f ca="1">(1-('Invoer gegevens'!$F$20/12))*X206*MIN(BA206,BC206)</f>
        <v>0</v>
      </c>
      <c r="AA206" s="98">
        <f ca="1">IF(BD206&lt;1,IF(Reeksen!AD206&lt;=Reeksen!AE206,X206*Reeksen!C206,0),IF(BC206&gt;=BA206,0,IF(Reeksen!AD206&lt;=Reeksen!AE206,(BA206-BC206)*X206,0)))</f>
        <v>0</v>
      </c>
      <c r="AB206" s="98">
        <f ca="1">IF(BD206&lt;1,IF(Reeksen!AD206&gt;Reeksen!AE206,X206*Reeksen!C206,0),IF(BC206&gt;=BA206,0,IF(Reeksen!AD206&gt;Reeksen!AE206,(BA206-BC206)*X206,0)))</f>
        <v>0</v>
      </c>
      <c r="AC206" s="99">
        <f t="shared" ca="1" si="59"/>
        <v>0</v>
      </c>
      <c r="AD206" s="98">
        <f ca="1">IF('Invoer gegevens'!$C$17=E206,R206,IF(C206=0,0,AE205))</f>
        <v>0</v>
      </c>
      <c r="AE206" s="98">
        <f t="shared" ca="1" si="60"/>
        <v>0</v>
      </c>
      <c r="AF206" s="98">
        <f ca="1">IF('Invoer gegevens'!$C$17=E206,X206,IF(C206=0,0,AG205))</f>
        <v>0</v>
      </c>
      <c r="AG206" s="98">
        <f t="shared" ca="1" si="61"/>
        <v>0</v>
      </c>
      <c r="AH206" s="66"/>
      <c r="AI206" s="71">
        <f ca="1">IF(C206=1,Reeksen!AI206*((F206+K206)/2)*12+Reeksen!AD206*((L206+Q206)/2)*12,0)</f>
        <v>0</v>
      </c>
      <c r="AJ206" s="71">
        <f ca="1">-AI206*'Invoer gegevens'!$F$28</f>
        <v>0</v>
      </c>
      <c r="AK206" s="71">
        <f t="shared" ca="1" si="62"/>
        <v>0</v>
      </c>
      <c r="AL206" s="71">
        <f ca="1">IF(C206=1,Reeksen!AL206*((F206-G206+F206)/2)*12+Reeksen!AM206*((L206-M206+L206)/2)*12,0)</f>
        <v>0</v>
      </c>
      <c r="AM206" s="71">
        <f ca="1">-AL206*'Invoer gegevens'!$F$31</f>
        <v>0</v>
      </c>
      <c r="AN206" s="71">
        <f t="shared" ca="1" si="63"/>
        <v>0</v>
      </c>
      <c r="AO206" s="71">
        <f ca="1">IF(C206=1,(H206+J206+N206+P206)*Reeksen!AN206,0)</f>
        <v>0</v>
      </c>
      <c r="AP206" s="71">
        <f ca="1">-IF(C206=1,(H206+J206+N206+P206)*'Hulp - basis'!$G$550*Reeksen!H206,0)</f>
        <v>0</v>
      </c>
      <c r="AQ206" s="71">
        <f ca="1">-IF(C206=1,(F206+K206+L206+Q206)/2*'Invoer gegevens'!$F$35*Reeksen!J206,0)*2</f>
        <v>0</v>
      </c>
      <c r="AR206" s="71">
        <f ca="1">IF(BD206&lt;1,-IF(C206=1,(G206*'Invoer gegevens'!$F$36)*Reeksen!J206,0),0)</f>
        <v>0</v>
      </c>
      <c r="AS206" s="71">
        <f ca="1">-IF(C206=1,(F206+K206+L206+Q206)/2*'Invoer gegevens'!$F$37*Reeksen!L206,0)</f>
        <v>0</v>
      </c>
      <c r="AT206" s="71">
        <f ca="1">-IF(C206=1,IF(E206='Invoer gegevens'!$C$17,'Invoer gegevens'!$C$11,AD206)*Reeksen!S206*'Invoer gegevens'!$C$18*Reeksen!P206,0)</f>
        <v>0</v>
      </c>
      <c r="AU206" s="71">
        <f ca="1">-IF(C206=1,(F206+K206+L206+Q206)/2*'Invoer gegevens'!$F$38*Reeksen!H206,0)</f>
        <v>0</v>
      </c>
      <c r="AV206" s="71">
        <f t="shared" si="50"/>
        <v>0</v>
      </c>
      <c r="AW206" s="71">
        <f t="shared" ca="1" si="64"/>
        <v>0</v>
      </c>
      <c r="AX206" s="71">
        <f ca="1">IF(E206&lt;'Invoer gegevens'!$C$17+15,0,IF(E206&gt;'Invoer gegevens'!$C$17+215,0,AW206))</f>
        <v>0</v>
      </c>
      <c r="AY206" s="71">
        <f ca="1">AX206/(1+'Invoer gegevens'!$F$18)^($AZ206-('Invoer gegevens'!$C$17-'Invoer gegevens'!$C$16))/(1+'Invoer gegevens'!$C$39)^('Invoer gegevens'!$C$17-'Invoer gegevens'!$C$16)</f>
        <v>0</v>
      </c>
      <c r="AZ206" s="68">
        <f ca="1">IF(E206-'Invoer gegevens'!$C$17-14.5&lt;0,0,E206-'Invoer gegevens'!$C$17-14.5)</f>
        <v>186.5</v>
      </c>
      <c r="BA206" s="109">
        <f ca="1">IFERROR(VLOOKUP(E206-15,Reeksen!$A$5:$D$234,2,FALSE),0)</f>
        <v>0</v>
      </c>
      <c r="BB206" s="109">
        <f ca="1">IFERROR(VLOOKUP(E206-15,Reeksen!$A$5:$D$234,3,FALSE),0)</f>
        <v>0</v>
      </c>
      <c r="BC206" s="109">
        <f ca="1">IFERROR(VLOOKUP(E206-15,Reeksen!$A$5:$D$234,4,FALSE),0)</f>
        <v>0</v>
      </c>
      <c r="BD206" s="67">
        <f ca="1">IF(E206-'Invoer gegevens'!$C$17&lt;15,0,1)</f>
        <v>1</v>
      </c>
    </row>
    <row r="207" spans="1:56" x14ac:dyDescent="0.25">
      <c r="A207" s="59"/>
      <c r="B207" s="70">
        <f t="shared" si="65"/>
        <v>203</v>
      </c>
      <c r="C207" s="67">
        <f ca="1">IF(E207-'Invoer gegevens'!$C$17&lt;0,0,1)</f>
        <v>1</v>
      </c>
      <c r="D207" s="68">
        <f t="shared" si="66"/>
        <v>202.5</v>
      </c>
      <c r="E207" s="108">
        <f ca="1">IF('Invoer gegevens'!$C$16="","",E206+1)</f>
        <v>2221</v>
      </c>
      <c r="F207" s="84">
        <f ca="1">IF('Invoer gegevens'!$C$17=E207,'Invoer gegevens'!$C$10,IF(C207=1,K206,0))</f>
        <v>0</v>
      </c>
      <c r="G207" s="96">
        <f ca="1">IF(BD207&lt;1,F207*Reeksen!C207,IF(C207&gt;=1,F207*BA207,0))</f>
        <v>0</v>
      </c>
      <c r="H207" s="84">
        <f ca="1">(1-('Invoer gegevens'!$F$20/12))*F207*MIN(BA207,BC207)</f>
        <v>0</v>
      </c>
      <c r="I207" s="84">
        <f t="shared" ca="1" si="51"/>
        <v>0</v>
      </c>
      <c r="J207" s="84">
        <f ca="1">('Invoer gegevens'!$F$20/12)*F206*MIN(BA207,BC207)</f>
        <v>0</v>
      </c>
      <c r="K207" s="97">
        <f t="shared" ca="1" si="56"/>
        <v>0</v>
      </c>
      <c r="L207" s="84">
        <f ca="1">IF('Invoer gegevens'!$C$17=E207,0,IF(C207=1,Q206,0))</f>
        <v>0</v>
      </c>
      <c r="M207" s="96">
        <f t="shared" ca="1" si="52"/>
        <v>0</v>
      </c>
      <c r="N207" s="84">
        <f ca="1">(1-('Invoer gegevens'!$F$20/12))*L207*MIN(BA207,BC207)</f>
        <v>0</v>
      </c>
      <c r="O207" s="84">
        <f t="shared" ca="1" si="53"/>
        <v>0</v>
      </c>
      <c r="P207" s="84">
        <f ca="1">('Invoer gegevens'!$F$20/12)*L206*MIN(BA207,BC207)</f>
        <v>0</v>
      </c>
      <c r="Q207" s="84">
        <f t="shared" ca="1" si="57"/>
        <v>0</v>
      </c>
      <c r="R207" s="85">
        <f ca="1">IF('Invoer gegevens'!$C$17=E207,'Invoer gegevens'!$C$11,IF(C207=1,W206,0))</f>
        <v>0</v>
      </c>
      <c r="S207" s="86">
        <f t="shared" ca="1" si="54"/>
        <v>0</v>
      </c>
      <c r="T207" s="86">
        <f ca="1">(1-('Invoer gegevens'!$F$20/12))*R207*MIN(BC207,BA207)</f>
        <v>0</v>
      </c>
      <c r="U207" s="86">
        <f ca="1">IF(BD207&lt;1,IF(Reeksen!AD207&lt;=Reeksen!AE207,R207*Reeksen!C207,0),IF(BC207&gt;=BA207,0,IF(Reeksen!AD207&lt;=Reeksen!AE207,(BA207-BC207)*R207,0)))</f>
        <v>0</v>
      </c>
      <c r="V207" s="86">
        <f ca="1">IF(BD207&lt;1,IF(Reeksen!AD207&gt;Reeksen!AE207,R207*Reeksen!C207,0),IF(BC207&gt;=BA207,0,IF(Reeksen!AD207&gt;Reeksen!AE207,(BA207-BC207)*R207,0)))</f>
        <v>0</v>
      </c>
      <c r="W207" s="218">
        <f t="shared" ca="1" si="58"/>
        <v>0</v>
      </c>
      <c r="X207" s="98">
        <f ca="1">IF('Invoer gegevens'!$C$17=E207,'Invoer gegevens'!$C$10-'Invoer gegevens'!$C$11,IF(C207=1,AC206,0))</f>
        <v>0</v>
      </c>
      <c r="Y207" s="98">
        <f t="shared" ca="1" si="55"/>
        <v>0</v>
      </c>
      <c r="Z207" s="98">
        <f ca="1">(1-('Invoer gegevens'!$F$20/12))*X207*MIN(BA207,BC207)</f>
        <v>0</v>
      </c>
      <c r="AA207" s="98">
        <f ca="1">IF(BD207&lt;1,IF(Reeksen!AD207&lt;=Reeksen!AE207,X207*Reeksen!C207,0),IF(BC207&gt;=BA207,0,IF(Reeksen!AD207&lt;=Reeksen!AE207,(BA207-BC207)*X207,0)))</f>
        <v>0</v>
      </c>
      <c r="AB207" s="98">
        <f ca="1">IF(BD207&lt;1,IF(Reeksen!AD207&gt;Reeksen!AE207,X207*Reeksen!C207,0),IF(BC207&gt;=BA207,0,IF(Reeksen!AD207&gt;Reeksen!AE207,(BA207-BC207)*X207,0)))</f>
        <v>0</v>
      </c>
      <c r="AC207" s="99">
        <f t="shared" ca="1" si="59"/>
        <v>0</v>
      </c>
      <c r="AD207" s="98">
        <f ca="1">IF('Invoer gegevens'!$C$17=E207,R207,IF(C207=0,0,AE206))</f>
        <v>0</v>
      </c>
      <c r="AE207" s="98">
        <f t="shared" ca="1" si="60"/>
        <v>0</v>
      </c>
      <c r="AF207" s="98">
        <f ca="1">IF('Invoer gegevens'!$C$17=E207,X207,IF(C207=0,0,AG206))</f>
        <v>0</v>
      </c>
      <c r="AG207" s="98">
        <f t="shared" ca="1" si="61"/>
        <v>0</v>
      </c>
      <c r="AH207" s="66"/>
      <c r="AI207" s="71">
        <f ca="1">IF(C207=1,Reeksen!AI207*((F207+K207)/2)*12+Reeksen!AD207*((L207+Q207)/2)*12,0)</f>
        <v>0</v>
      </c>
      <c r="AJ207" s="71">
        <f ca="1">-AI207*'Invoer gegevens'!$F$28</f>
        <v>0</v>
      </c>
      <c r="AK207" s="71">
        <f t="shared" ca="1" si="62"/>
        <v>0</v>
      </c>
      <c r="AL207" s="71">
        <f ca="1">IF(C207=1,Reeksen!AL207*((F207-G207+F207)/2)*12+Reeksen!AM207*((L207-M207+L207)/2)*12,0)</f>
        <v>0</v>
      </c>
      <c r="AM207" s="71">
        <f ca="1">-AL207*'Invoer gegevens'!$F$31</f>
        <v>0</v>
      </c>
      <c r="AN207" s="71">
        <f t="shared" ca="1" si="63"/>
        <v>0</v>
      </c>
      <c r="AO207" s="71">
        <f ca="1">IF(C207=1,(H207+J207+N207+P207)*Reeksen!AN207,0)</f>
        <v>0</v>
      </c>
      <c r="AP207" s="71">
        <f ca="1">-IF(C207=1,(H207+J207+N207+P207)*'Hulp - basis'!$G$550*Reeksen!H207,0)</f>
        <v>0</v>
      </c>
      <c r="AQ207" s="71">
        <f ca="1">-IF(C207=1,(F207+K207+L207+Q207)/2*'Invoer gegevens'!$F$35*Reeksen!J207,0)*2</f>
        <v>0</v>
      </c>
      <c r="AR207" s="71">
        <f ca="1">IF(BD207&lt;1,-IF(C207=1,(G207*'Invoer gegevens'!$F$36)*Reeksen!J207,0),0)</f>
        <v>0</v>
      </c>
      <c r="AS207" s="71">
        <f ca="1">-IF(C207=1,(F207+K207+L207+Q207)/2*'Invoer gegevens'!$F$37*Reeksen!L207,0)</f>
        <v>0</v>
      </c>
      <c r="AT207" s="71">
        <f ca="1">-IF(C207=1,IF(E207='Invoer gegevens'!$C$17,'Invoer gegevens'!$C$11,AD207)*Reeksen!S207*'Invoer gegevens'!$C$18*Reeksen!P207,0)</f>
        <v>0</v>
      </c>
      <c r="AU207" s="71">
        <f ca="1">-IF(C207=1,(F207+K207+L207+Q207)/2*'Invoer gegevens'!$F$38*Reeksen!H207,0)</f>
        <v>0</v>
      </c>
      <c r="AV207" s="71">
        <f t="shared" si="50"/>
        <v>0</v>
      </c>
      <c r="AW207" s="71">
        <f t="shared" ca="1" si="64"/>
        <v>0</v>
      </c>
      <c r="AX207" s="71">
        <f ca="1">IF(E207&lt;'Invoer gegevens'!$C$17+15,0,IF(E207&gt;'Invoer gegevens'!$C$17+215,0,AW207))</f>
        <v>0</v>
      </c>
      <c r="AY207" s="71">
        <f ca="1">AX207/(1+'Invoer gegevens'!$F$18)^($AZ207-('Invoer gegevens'!$C$17-'Invoer gegevens'!$C$16))/(1+'Invoer gegevens'!$C$39)^('Invoer gegevens'!$C$17-'Invoer gegevens'!$C$16)</f>
        <v>0</v>
      </c>
      <c r="AZ207" s="68">
        <f ca="1">IF(E207-'Invoer gegevens'!$C$17-14.5&lt;0,0,E207-'Invoer gegevens'!$C$17-14.5)</f>
        <v>187.5</v>
      </c>
      <c r="BA207" s="109">
        <f ca="1">IFERROR(VLOOKUP(E207-15,Reeksen!$A$5:$D$234,2,FALSE),0)</f>
        <v>0</v>
      </c>
      <c r="BB207" s="109">
        <f ca="1">IFERROR(VLOOKUP(E207-15,Reeksen!$A$5:$D$234,3,FALSE),0)</f>
        <v>0</v>
      </c>
      <c r="BC207" s="109">
        <f ca="1">IFERROR(VLOOKUP(E207-15,Reeksen!$A$5:$D$234,4,FALSE),0)</f>
        <v>0</v>
      </c>
      <c r="BD207" s="67">
        <f ca="1">IF(E207-'Invoer gegevens'!$C$17&lt;15,0,1)</f>
        <v>1</v>
      </c>
    </row>
    <row r="208" spans="1:56" x14ac:dyDescent="0.25">
      <c r="A208" s="59"/>
      <c r="B208" s="70">
        <f t="shared" si="65"/>
        <v>204</v>
      </c>
      <c r="C208" s="67">
        <f ca="1">IF(E208-'Invoer gegevens'!$C$17&lt;0,0,1)</f>
        <v>1</v>
      </c>
      <c r="D208" s="68">
        <f t="shared" si="66"/>
        <v>203.5</v>
      </c>
      <c r="E208" s="108">
        <f ca="1">IF('Invoer gegevens'!$C$16="","",E207+1)</f>
        <v>2222</v>
      </c>
      <c r="F208" s="84">
        <f ca="1">IF('Invoer gegevens'!$C$17=E208,'Invoer gegevens'!$C$10,IF(C208=1,K207,0))</f>
        <v>0</v>
      </c>
      <c r="G208" s="96">
        <f ca="1">IF(BD208&lt;1,F208*Reeksen!C208,IF(C208&gt;=1,F208*BA208,0))</f>
        <v>0</v>
      </c>
      <c r="H208" s="84">
        <f ca="1">(1-('Invoer gegevens'!$F$20/12))*F208*MIN(BA208,BC208)</f>
        <v>0</v>
      </c>
      <c r="I208" s="84">
        <f t="shared" ca="1" si="51"/>
        <v>0</v>
      </c>
      <c r="J208" s="84">
        <f ca="1">('Invoer gegevens'!$F$20/12)*F207*MIN(BA208,BC208)</f>
        <v>0</v>
      </c>
      <c r="K208" s="97">
        <f t="shared" ca="1" si="56"/>
        <v>0</v>
      </c>
      <c r="L208" s="84">
        <f ca="1">IF('Invoer gegevens'!$C$17=E208,0,IF(C208=1,Q207,0))</f>
        <v>0</v>
      </c>
      <c r="M208" s="96">
        <f t="shared" ca="1" si="52"/>
        <v>0</v>
      </c>
      <c r="N208" s="84">
        <f ca="1">(1-('Invoer gegevens'!$F$20/12))*L208*MIN(BA208,BC208)</f>
        <v>0</v>
      </c>
      <c r="O208" s="84">
        <f t="shared" ca="1" si="53"/>
        <v>0</v>
      </c>
      <c r="P208" s="84">
        <f ca="1">('Invoer gegevens'!$F$20/12)*L207*MIN(BA208,BC208)</f>
        <v>0</v>
      </c>
      <c r="Q208" s="84">
        <f t="shared" ca="1" si="57"/>
        <v>0</v>
      </c>
      <c r="R208" s="85">
        <f ca="1">IF('Invoer gegevens'!$C$17=E208,'Invoer gegevens'!$C$11,IF(C208=1,W207,0))</f>
        <v>0</v>
      </c>
      <c r="S208" s="86">
        <f t="shared" ca="1" si="54"/>
        <v>0</v>
      </c>
      <c r="T208" s="86">
        <f ca="1">(1-('Invoer gegevens'!$F$20/12))*R208*MIN(BC208,BA208)</f>
        <v>0</v>
      </c>
      <c r="U208" s="86">
        <f ca="1">IF(BD208&lt;1,IF(Reeksen!AD208&lt;=Reeksen!AE208,R208*Reeksen!C208,0),IF(BC208&gt;=BA208,0,IF(Reeksen!AD208&lt;=Reeksen!AE208,(BA208-BC208)*R208,0)))</f>
        <v>0</v>
      </c>
      <c r="V208" s="86">
        <f ca="1">IF(BD208&lt;1,IF(Reeksen!AD208&gt;Reeksen!AE208,R208*Reeksen!C208,0),IF(BC208&gt;=BA208,0,IF(Reeksen!AD208&gt;Reeksen!AE208,(BA208-BC208)*R208,0)))</f>
        <v>0</v>
      </c>
      <c r="W208" s="218">
        <f t="shared" ca="1" si="58"/>
        <v>0</v>
      </c>
      <c r="X208" s="98">
        <f ca="1">IF('Invoer gegevens'!$C$17=E208,'Invoer gegevens'!$C$10-'Invoer gegevens'!$C$11,IF(C208=1,AC207,0))</f>
        <v>0</v>
      </c>
      <c r="Y208" s="98">
        <f t="shared" ca="1" si="55"/>
        <v>0</v>
      </c>
      <c r="Z208" s="98">
        <f ca="1">(1-('Invoer gegevens'!$F$20/12))*X208*MIN(BA208,BC208)</f>
        <v>0</v>
      </c>
      <c r="AA208" s="98">
        <f ca="1">IF(BD208&lt;1,IF(Reeksen!AD208&lt;=Reeksen!AE208,X208*Reeksen!C208,0),IF(BC208&gt;=BA208,0,IF(Reeksen!AD208&lt;=Reeksen!AE208,(BA208-BC208)*X208,0)))</f>
        <v>0</v>
      </c>
      <c r="AB208" s="98">
        <f ca="1">IF(BD208&lt;1,IF(Reeksen!AD208&gt;Reeksen!AE208,X208*Reeksen!C208,0),IF(BC208&gt;=BA208,0,IF(Reeksen!AD208&gt;Reeksen!AE208,(BA208-BC208)*X208,0)))</f>
        <v>0</v>
      </c>
      <c r="AC208" s="99">
        <f t="shared" ca="1" si="59"/>
        <v>0</v>
      </c>
      <c r="AD208" s="98">
        <f ca="1">IF('Invoer gegevens'!$C$17=E208,R208,IF(C208=0,0,AE207))</f>
        <v>0</v>
      </c>
      <c r="AE208" s="98">
        <f t="shared" ca="1" si="60"/>
        <v>0</v>
      </c>
      <c r="AF208" s="98">
        <f ca="1">IF('Invoer gegevens'!$C$17=E208,X208,IF(C208=0,0,AG207))</f>
        <v>0</v>
      </c>
      <c r="AG208" s="98">
        <f t="shared" ca="1" si="61"/>
        <v>0</v>
      </c>
      <c r="AH208" s="66"/>
      <c r="AI208" s="71">
        <f ca="1">IF(C208=1,Reeksen!AI208*((F208+K208)/2)*12+Reeksen!AD208*((L208+Q208)/2)*12,0)</f>
        <v>0</v>
      </c>
      <c r="AJ208" s="71">
        <f ca="1">-AI208*'Invoer gegevens'!$F$28</f>
        <v>0</v>
      </c>
      <c r="AK208" s="71">
        <f t="shared" ca="1" si="62"/>
        <v>0</v>
      </c>
      <c r="AL208" s="71">
        <f ca="1">IF(C208=1,Reeksen!AL208*((F208-G208+F208)/2)*12+Reeksen!AM208*((L208-M208+L208)/2)*12,0)</f>
        <v>0</v>
      </c>
      <c r="AM208" s="71">
        <f ca="1">-AL208*'Invoer gegevens'!$F$31</f>
        <v>0</v>
      </c>
      <c r="AN208" s="71">
        <f t="shared" ca="1" si="63"/>
        <v>0</v>
      </c>
      <c r="AO208" s="71">
        <f ca="1">IF(C208=1,(H208+J208+N208+P208)*Reeksen!AN208,0)</f>
        <v>0</v>
      </c>
      <c r="AP208" s="71">
        <f ca="1">-IF(C208=1,(H208+J208+N208+P208)*'Hulp - basis'!$G$550*Reeksen!H208,0)</f>
        <v>0</v>
      </c>
      <c r="AQ208" s="71">
        <f ca="1">-IF(C208=1,(F208+K208+L208+Q208)/2*'Invoer gegevens'!$F$35*Reeksen!J208,0)*2</f>
        <v>0</v>
      </c>
      <c r="AR208" s="71">
        <f ca="1">IF(BD208&lt;1,-IF(C208=1,(G208*'Invoer gegevens'!$F$36)*Reeksen!J208,0),0)</f>
        <v>0</v>
      </c>
      <c r="AS208" s="71">
        <f ca="1">-IF(C208=1,(F208+K208+L208+Q208)/2*'Invoer gegevens'!$F$37*Reeksen!L208,0)</f>
        <v>0</v>
      </c>
      <c r="AT208" s="71">
        <f ca="1">-IF(C208=1,IF(E208='Invoer gegevens'!$C$17,'Invoer gegevens'!$C$11,AD208)*Reeksen!S208*'Invoer gegevens'!$C$18*Reeksen!P208,0)</f>
        <v>0</v>
      </c>
      <c r="AU208" s="71">
        <f ca="1">-IF(C208=1,(F208+K208+L208+Q208)/2*'Invoer gegevens'!$F$38*Reeksen!H208,0)</f>
        <v>0</v>
      </c>
      <c r="AV208" s="71">
        <f t="shared" si="50"/>
        <v>0</v>
      </c>
      <c r="AW208" s="71">
        <f t="shared" ca="1" si="64"/>
        <v>0</v>
      </c>
      <c r="AX208" s="71">
        <f ca="1">IF(E208&lt;'Invoer gegevens'!$C$17+15,0,IF(E208&gt;'Invoer gegevens'!$C$17+215,0,AW208))</f>
        <v>0</v>
      </c>
      <c r="AY208" s="71">
        <f ca="1">AX208/(1+'Invoer gegevens'!$F$18)^($AZ208-('Invoer gegevens'!$C$17-'Invoer gegevens'!$C$16))/(1+'Invoer gegevens'!$C$39)^('Invoer gegevens'!$C$17-'Invoer gegevens'!$C$16)</f>
        <v>0</v>
      </c>
      <c r="AZ208" s="68">
        <f ca="1">IF(E208-'Invoer gegevens'!$C$17-14.5&lt;0,0,E208-'Invoer gegevens'!$C$17-14.5)</f>
        <v>188.5</v>
      </c>
      <c r="BA208" s="109">
        <f ca="1">IFERROR(VLOOKUP(E208-15,Reeksen!$A$5:$D$234,2,FALSE),0)</f>
        <v>0</v>
      </c>
      <c r="BB208" s="109">
        <f ca="1">IFERROR(VLOOKUP(E208-15,Reeksen!$A$5:$D$234,3,FALSE),0)</f>
        <v>0</v>
      </c>
      <c r="BC208" s="109">
        <f ca="1">IFERROR(VLOOKUP(E208-15,Reeksen!$A$5:$D$234,4,FALSE),0)</f>
        <v>0</v>
      </c>
      <c r="BD208" s="67">
        <f ca="1">IF(E208-'Invoer gegevens'!$C$17&lt;15,0,1)</f>
        <v>1</v>
      </c>
    </row>
    <row r="209" spans="1:56" x14ac:dyDescent="0.25">
      <c r="A209" s="59"/>
      <c r="B209" s="70">
        <f t="shared" si="65"/>
        <v>205</v>
      </c>
      <c r="C209" s="67">
        <f ca="1">IF(E209-'Invoer gegevens'!$C$17&lt;0,0,1)</f>
        <v>1</v>
      </c>
      <c r="D209" s="68">
        <f t="shared" si="66"/>
        <v>204.5</v>
      </c>
      <c r="E209" s="108">
        <f ca="1">IF('Invoer gegevens'!$C$16="","",E208+1)</f>
        <v>2223</v>
      </c>
      <c r="F209" s="84">
        <f ca="1">IF('Invoer gegevens'!$C$17=E209,'Invoer gegevens'!$C$10,IF(C209=1,K208,0))</f>
        <v>0</v>
      </c>
      <c r="G209" s="96">
        <f ca="1">IF(BD209&lt;1,F209*Reeksen!C209,IF(C209&gt;=1,F209*BA209,0))</f>
        <v>0</v>
      </c>
      <c r="H209" s="84">
        <f ca="1">(1-('Invoer gegevens'!$F$20/12))*F209*MIN(BA209,BC209)</f>
        <v>0</v>
      </c>
      <c r="I209" s="84">
        <f t="shared" ca="1" si="51"/>
        <v>0</v>
      </c>
      <c r="J209" s="84">
        <f ca="1">('Invoer gegevens'!$F$20/12)*F208*MIN(BA209,BC209)</f>
        <v>0</v>
      </c>
      <c r="K209" s="97">
        <f t="shared" ca="1" si="56"/>
        <v>0</v>
      </c>
      <c r="L209" s="84">
        <f ca="1">IF('Invoer gegevens'!$C$17=E209,0,IF(C209=1,Q208,0))</f>
        <v>0</v>
      </c>
      <c r="M209" s="96">
        <f t="shared" ca="1" si="52"/>
        <v>0</v>
      </c>
      <c r="N209" s="84">
        <f ca="1">(1-('Invoer gegevens'!$F$20/12))*L209*MIN(BA209,BC209)</f>
        <v>0</v>
      </c>
      <c r="O209" s="84">
        <f t="shared" ca="1" si="53"/>
        <v>0</v>
      </c>
      <c r="P209" s="84">
        <f ca="1">('Invoer gegevens'!$F$20/12)*L208*MIN(BA209,BC209)</f>
        <v>0</v>
      </c>
      <c r="Q209" s="84">
        <f t="shared" ca="1" si="57"/>
        <v>0</v>
      </c>
      <c r="R209" s="85">
        <f ca="1">IF('Invoer gegevens'!$C$17=E209,'Invoer gegevens'!$C$11,IF(C209=1,W208,0))</f>
        <v>0</v>
      </c>
      <c r="S209" s="86">
        <f t="shared" ca="1" si="54"/>
        <v>0</v>
      </c>
      <c r="T209" s="86">
        <f ca="1">(1-('Invoer gegevens'!$F$20/12))*R209*MIN(BC209,BA209)</f>
        <v>0</v>
      </c>
      <c r="U209" s="86">
        <f ca="1">IF(BD209&lt;1,IF(Reeksen!AD209&lt;=Reeksen!AE209,R209*Reeksen!C209,0),IF(BC209&gt;=BA209,0,IF(Reeksen!AD209&lt;=Reeksen!AE209,(BA209-BC209)*R209,0)))</f>
        <v>0</v>
      </c>
      <c r="V209" s="86">
        <f ca="1">IF(BD209&lt;1,IF(Reeksen!AD209&gt;Reeksen!AE209,R209*Reeksen!C209,0),IF(BC209&gt;=BA209,0,IF(Reeksen!AD209&gt;Reeksen!AE209,(BA209-BC209)*R209,0)))</f>
        <v>0</v>
      </c>
      <c r="W209" s="218">
        <f t="shared" ca="1" si="58"/>
        <v>0</v>
      </c>
      <c r="X209" s="98">
        <f ca="1">IF('Invoer gegevens'!$C$17=E209,'Invoer gegevens'!$C$10-'Invoer gegevens'!$C$11,IF(C209=1,AC208,0))</f>
        <v>0</v>
      </c>
      <c r="Y209" s="98">
        <f t="shared" ca="1" si="55"/>
        <v>0</v>
      </c>
      <c r="Z209" s="98">
        <f ca="1">(1-('Invoer gegevens'!$F$20/12))*X209*MIN(BA209,BC209)</f>
        <v>0</v>
      </c>
      <c r="AA209" s="98">
        <f ca="1">IF(BD209&lt;1,IF(Reeksen!AD209&lt;=Reeksen!AE209,X209*Reeksen!C209,0),IF(BC209&gt;=BA209,0,IF(Reeksen!AD209&lt;=Reeksen!AE209,(BA209-BC209)*X209,0)))</f>
        <v>0</v>
      </c>
      <c r="AB209" s="98">
        <f ca="1">IF(BD209&lt;1,IF(Reeksen!AD209&gt;Reeksen!AE209,X209*Reeksen!C209,0),IF(BC209&gt;=BA209,0,IF(Reeksen!AD209&gt;Reeksen!AE209,(BA209-BC209)*X209,0)))</f>
        <v>0</v>
      </c>
      <c r="AC209" s="99">
        <f t="shared" ca="1" si="59"/>
        <v>0</v>
      </c>
      <c r="AD209" s="98">
        <f ca="1">IF('Invoer gegevens'!$C$17=E209,R209,IF(C209=0,0,AE208))</f>
        <v>0</v>
      </c>
      <c r="AE209" s="98">
        <f t="shared" ca="1" si="60"/>
        <v>0</v>
      </c>
      <c r="AF209" s="98">
        <f ca="1">IF('Invoer gegevens'!$C$17=E209,X209,IF(C209=0,0,AG208))</f>
        <v>0</v>
      </c>
      <c r="AG209" s="98">
        <f t="shared" ca="1" si="61"/>
        <v>0</v>
      </c>
      <c r="AH209" s="66"/>
      <c r="AI209" s="71">
        <f ca="1">IF(C209=1,Reeksen!AI209*((F209+K209)/2)*12+Reeksen!AD209*((L209+Q209)/2)*12,0)</f>
        <v>0</v>
      </c>
      <c r="AJ209" s="71">
        <f ca="1">-AI209*'Invoer gegevens'!$F$28</f>
        <v>0</v>
      </c>
      <c r="AK209" s="71">
        <f t="shared" ca="1" si="62"/>
        <v>0</v>
      </c>
      <c r="AL209" s="71">
        <f ca="1">IF(C209=1,Reeksen!AL209*((F209-G209+F209)/2)*12+Reeksen!AM209*((L209-M209+L209)/2)*12,0)</f>
        <v>0</v>
      </c>
      <c r="AM209" s="71">
        <f ca="1">-AL209*'Invoer gegevens'!$F$31</f>
        <v>0</v>
      </c>
      <c r="AN209" s="71">
        <f t="shared" ca="1" si="63"/>
        <v>0</v>
      </c>
      <c r="AO209" s="71">
        <f ca="1">IF(C209=1,(H209+J209+N209+P209)*Reeksen!AN209,0)</f>
        <v>0</v>
      </c>
      <c r="AP209" s="71">
        <f ca="1">-IF(C209=1,(H209+J209+N209+P209)*'Hulp - basis'!$G$550*Reeksen!H209,0)</f>
        <v>0</v>
      </c>
      <c r="AQ209" s="71">
        <f ca="1">-IF(C209=1,(F209+K209+L209+Q209)/2*'Invoer gegevens'!$F$35*Reeksen!J209,0)*2</f>
        <v>0</v>
      </c>
      <c r="AR209" s="71">
        <f ca="1">IF(BD209&lt;1,-IF(C209=1,(G209*'Invoer gegevens'!$F$36)*Reeksen!J209,0),0)</f>
        <v>0</v>
      </c>
      <c r="AS209" s="71">
        <f ca="1">-IF(C209=1,(F209+K209+L209+Q209)/2*'Invoer gegevens'!$F$37*Reeksen!L209,0)</f>
        <v>0</v>
      </c>
      <c r="AT209" s="71">
        <f ca="1">-IF(C209=1,IF(E209='Invoer gegevens'!$C$17,'Invoer gegevens'!$C$11,AD209)*Reeksen!S209*'Invoer gegevens'!$C$18*Reeksen!P209,0)</f>
        <v>0</v>
      </c>
      <c r="AU209" s="71">
        <f ca="1">-IF(C209=1,(F209+K209+L209+Q209)/2*'Invoer gegevens'!$F$38*Reeksen!H209,0)</f>
        <v>0</v>
      </c>
      <c r="AV209" s="71">
        <f t="shared" si="50"/>
        <v>0</v>
      </c>
      <c r="AW209" s="71">
        <f t="shared" ca="1" si="64"/>
        <v>0</v>
      </c>
      <c r="AX209" s="71">
        <f ca="1">IF(E209&lt;'Invoer gegevens'!$C$17+15,0,IF(E209&gt;'Invoer gegevens'!$C$17+215,0,AW209))</f>
        <v>0</v>
      </c>
      <c r="AY209" s="71">
        <f ca="1">AX209/(1+'Invoer gegevens'!$F$18)^($AZ209-('Invoer gegevens'!$C$17-'Invoer gegevens'!$C$16))/(1+'Invoer gegevens'!$C$39)^('Invoer gegevens'!$C$17-'Invoer gegevens'!$C$16)</f>
        <v>0</v>
      </c>
      <c r="AZ209" s="68">
        <f ca="1">IF(E209-'Invoer gegevens'!$C$17-14.5&lt;0,0,E209-'Invoer gegevens'!$C$17-14.5)</f>
        <v>189.5</v>
      </c>
      <c r="BA209" s="109">
        <f ca="1">IFERROR(VLOOKUP(E209-15,Reeksen!$A$5:$D$234,2,FALSE),0)</f>
        <v>0</v>
      </c>
      <c r="BB209" s="109">
        <f ca="1">IFERROR(VLOOKUP(E209-15,Reeksen!$A$5:$D$234,3,FALSE),0)</f>
        <v>0</v>
      </c>
      <c r="BC209" s="109">
        <f ca="1">IFERROR(VLOOKUP(E209-15,Reeksen!$A$5:$D$234,4,FALSE),0)</f>
        <v>0</v>
      </c>
      <c r="BD209" s="67">
        <f ca="1">IF(E209-'Invoer gegevens'!$C$17&lt;15,0,1)</f>
        <v>1</v>
      </c>
    </row>
    <row r="210" spans="1:56" x14ac:dyDescent="0.25">
      <c r="A210" s="59"/>
      <c r="B210" s="70">
        <f t="shared" si="65"/>
        <v>206</v>
      </c>
      <c r="C210" s="67">
        <f ca="1">IF(E210-'Invoer gegevens'!$C$17&lt;0,0,1)</f>
        <v>1</v>
      </c>
      <c r="D210" s="68">
        <f t="shared" si="66"/>
        <v>205.5</v>
      </c>
      <c r="E210" s="108">
        <f ca="1">IF('Invoer gegevens'!$C$16="","",E209+1)</f>
        <v>2224</v>
      </c>
      <c r="F210" s="84">
        <f ca="1">IF('Invoer gegevens'!$C$17=E210,'Invoer gegevens'!$C$10,IF(C210=1,K209,0))</f>
        <v>0</v>
      </c>
      <c r="G210" s="96">
        <f ca="1">IF(BD210&lt;1,F210*Reeksen!C210,IF(C210&gt;=1,F210*BA210,0))</f>
        <v>0</v>
      </c>
      <c r="H210" s="84">
        <f ca="1">(1-('Invoer gegevens'!$F$20/12))*F210*MIN(BA210,BC210)</f>
        <v>0</v>
      </c>
      <c r="I210" s="84">
        <f t="shared" ca="1" si="51"/>
        <v>0</v>
      </c>
      <c r="J210" s="84">
        <f ca="1">('Invoer gegevens'!$F$20/12)*F209*MIN(BA210,BC210)</f>
        <v>0</v>
      </c>
      <c r="K210" s="97">
        <f t="shared" ca="1" si="56"/>
        <v>0</v>
      </c>
      <c r="L210" s="84">
        <f ca="1">IF('Invoer gegevens'!$C$17=E210,0,IF(C210=1,Q209,0))</f>
        <v>0</v>
      </c>
      <c r="M210" s="96">
        <f t="shared" ca="1" si="52"/>
        <v>0</v>
      </c>
      <c r="N210" s="84">
        <f ca="1">(1-('Invoer gegevens'!$F$20/12))*L210*MIN(BA210,BC210)</f>
        <v>0</v>
      </c>
      <c r="O210" s="84">
        <f t="shared" ca="1" si="53"/>
        <v>0</v>
      </c>
      <c r="P210" s="84">
        <f ca="1">('Invoer gegevens'!$F$20/12)*L209*MIN(BA210,BC210)</f>
        <v>0</v>
      </c>
      <c r="Q210" s="84">
        <f t="shared" ca="1" si="57"/>
        <v>0</v>
      </c>
      <c r="R210" s="85">
        <f ca="1">IF('Invoer gegevens'!$C$17=E210,'Invoer gegevens'!$C$11,IF(C210=1,W209,0))</f>
        <v>0</v>
      </c>
      <c r="S210" s="86">
        <f t="shared" ca="1" si="54"/>
        <v>0</v>
      </c>
      <c r="T210" s="86">
        <f ca="1">(1-('Invoer gegevens'!$F$20/12))*R210*MIN(BC210,BA210)</f>
        <v>0</v>
      </c>
      <c r="U210" s="86">
        <f ca="1">IF(BD210&lt;1,IF(Reeksen!AD210&lt;=Reeksen!AE210,R210*Reeksen!C210,0),IF(BC210&gt;=BA210,0,IF(Reeksen!AD210&lt;=Reeksen!AE210,(BA210-BC210)*R210,0)))</f>
        <v>0</v>
      </c>
      <c r="V210" s="86">
        <f ca="1">IF(BD210&lt;1,IF(Reeksen!AD210&gt;Reeksen!AE210,R210*Reeksen!C210,0),IF(BC210&gt;=BA210,0,IF(Reeksen!AD210&gt;Reeksen!AE210,(BA210-BC210)*R210,0)))</f>
        <v>0</v>
      </c>
      <c r="W210" s="218">
        <f t="shared" ca="1" si="58"/>
        <v>0</v>
      </c>
      <c r="X210" s="98">
        <f ca="1">IF('Invoer gegevens'!$C$17=E210,'Invoer gegevens'!$C$10-'Invoer gegevens'!$C$11,IF(C210=1,AC209,0))</f>
        <v>0</v>
      </c>
      <c r="Y210" s="98">
        <f t="shared" ca="1" si="55"/>
        <v>0</v>
      </c>
      <c r="Z210" s="98">
        <f ca="1">(1-('Invoer gegevens'!$F$20/12))*X210*MIN(BA210,BC210)</f>
        <v>0</v>
      </c>
      <c r="AA210" s="98">
        <f ca="1">IF(BD210&lt;1,IF(Reeksen!AD210&lt;=Reeksen!AE210,X210*Reeksen!C210,0),IF(BC210&gt;=BA210,0,IF(Reeksen!AD210&lt;=Reeksen!AE210,(BA210-BC210)*X210,0)))</f>
        <v>0</v>
      </c>
      <c r="AB210" s="98">
        <f ca="1">IF(BD210&lt;1,IF(Reeksen!AD210&gt;Reeksen!AE210,X210*Reeksen!C210,0),IF(BC210&gt;=BA210,0,IF(Reeksen!AD210&gt;Reeksen!AE210,(BA210-BC210)*X210,0)))</f>
        <v>0</v>
      </c>
      <c r="AC210" s="99">
        <f t="shared" ca="1" si="59"/>
        <v>0</v>
      </c>
      <c r="AD210" s="98">
        <f ca="1">IF('Invoer gegevens'!$C$17=E210,R210,IF(C210=0,0,AE209))</f>
        <v>0</v>
      </c>
      <c r="AE210" s="98">
        <f t="shared" ca="1" si="60"/>
        <v>0</v>
      </c>
      <c r="AF210" s="98">
        <f ca="1">IF('Invoer gegevens'!$C$17=E210,X210,IF(C210=0,0,AG209))</f>
        <v>0</v>
      </c>
      <c r="AG210" s="98">
        <f t="shared" ca="1" si="61"/>
        <v>0</v>
      </c>
      <c r="AH210" s="66"/>
      <c r="AI210" s="71">
        <f ca="1">IF(C210=1,Reeksen!AI210*((F210+K210)/2)*12+Reeksen!AD210*((L210+Q210)/2)*12,0)</f>
        <v>0</v>
      </c>
      <c r="AJ210" s="71">
        <f ca="1">-AI210*'Invoer gegevens'!$F$28</f>
        <v>0</v>
      </c>
      <c r="AK210" s="71">
        <f t="shared" ca="1" si="62"/>
        <v>0</v>
      </c>
      <c r="AL210" s="71">
        <f ca="1">IF(C210=1,Reeksen!AL210*((F210-G210+F210)/2)*12+Reeksen!AM210*((L210-M210+L210)/2)*12,0)</f>
        <v>0</v>
      </c>
      <c r="AM210" s="71">
        <f ca="1">-AL210*'Invoer gegevens'!$F$31</f>
        <v>0</v>
      </c>
      <c r="AN210" s="71">
        <f t="shared" ca="1" si="63"/>
        <v>0</v>
      </c>
      <c r="AO210" s="71">
        <f ca="1">IF(C210=1,(H210+J210+N210+P210)*Reeksen!AN210,0)</f>
        <v>0</v>
      </c>
      <c r="AP210" s="71">
        <f ca="1">-IF(C210=1,(H210+J210+N210+P210)*'Hulp - basis'!$G$550*Reeksen!H210,0)</f>
        <v>0</v>
      </c>
      <c r="AQ210" s="71">
        <f ca="1">-IF(C210=1,(F210+K210+L210+Q210)/2*'Invoer gegevens'!$F$35*Reeksen!J210,0)*2</f>
        <v>0</v>
      </c>
      <c r="AR210" s="71">
        <f ca="1">IF(BD210&lt;1,-IF(C210=1,(G210*'Invoer gegevens'!$F$36)*Reeksen!J210,0),0)</f>
        <v>0</v>
      </c>
      <c r="AS210" s="71">
        <f ca="1">-IF(C210=1,(F210+K210+L210+Q210)/2*'Invoer gegevens'!$F$37*Reeksen!L210,0)</f>
        <v>0</v>
      </c>
      <c r="AT210" s="71">
        <f ca="1">-IF(C210=1,IF(E210='Invoer gegevens'!$C$17,'Invoer gegevens'!$C$11,AD210)*Reeksen!S210*'Invoer gegevens'!$C$18*Reeksen!P210,0)</f>
        <v>0</v>
      </c>
      <c r="AU210" s="71">
        <f ca="1">-IF(C210=1,(F210+K210+L210+Q210)/2*'Invoer gegevens'!$F$38*Reeksen!H210,0)</f>
        <v>0</v>
      </c>
      <c r="AV210" s="71">
        <f t="shared" si="50"/>
        <v>0</v>
      </c>
      <c r="AW210" s="71">
        <f t="shared" ca="1" si="64"/>
        <v>0</v>
      </c>
      <c r="AX210" s="71">
        <f ca="1">IF(E210&lt;'Invoer gegevens'!$C$17+15,0,IF(E210&gt;'Invoer gegevens'!$C$17+215,0,AW210))</f>
        <v>0</v>
      </c>
      <c r="AY210" s="71">
        <f ca="1">AX210/(1+'Invoer gegevens'!$F$18)^($AZ210-('Invoer gegevens'!$C$17-'Invoer gegevens'!$C$16))/(1+'Invoer gegevens'!$C$39)^('Invoer gegevens'!$C$17-'Invoer gegevens'!$C$16)</f>
        <v>0</v>
      </c>
      <c r="AZ210" s="68">
        <f ca="1">IF(E210-'Invoer gegevens'!$C$17-14.5&lt;0,0,E210-'Invoer gegevens'!$C$17-14.5)</f>
        <v>190.5</v>
      </c>
      <c r="BA210" s="109">
        <f ca="1">IFERROR(VLOOKUP(E210-15,Reeksen!$A$5:$D$234,2,FALSE),0)</f>
        <v>0</v>
      </c>
      <c r="BB210" s="109">
        <f ca="1">IFERROR(VLOOKUP(E210-15,Reeksen!$A$5:$D$234,3,FALSE),0)</f>
        <v>0</v>
      </c>
      <c r="BC210" s="109">
        <f ca="1">IFERROR(VLOOKUP(E210-15,Reeksen!$A$5:$D$234,4,FALSE),0)</f>
        <v>0</v>
      </c>
      <c r="BD210" s="67">
        <f ca="1">IF(E210-'Invoer gegevens'!$C$17&lt;15,0,1)</f>
        <v>1</v>
      </c>
    </row>
    <row r="211" spans="1:56" x14ac:dyDescent="0.25">
      <c r="A211" s="59"/>
      <c r="B211" s="70">
        <f t="shared" si="65"/>
        <v>207</v>
      </c>
      <c r="C211" s="67">
        <f ca="1">IF(E211-'Invoer gegevens'!$C$17&lt;0,0,1)</f>
        <v>1</v>
      </c>
      <c r="D211" s="68">
        <f t="shared" si="66"/>
        <v>206.5</v>
      </c>
      <c r="E211" s="108">
        <f ca="1">IF('Invoer gegevens'!$C$16="","",E210+1)</f>
        <v>2225</v>
      </c>
      <c r="F211" s="84">
        <f ca="1">IF('Invoer gegevens'!$C$17=E211,'Invoer gegevens'!$C$10,IF(C211=1,K210,0))</f>
        <v>0</v>
      </c>
      <c r="G211" s="96">
        <f ca="1">IF(BD211&lt;1,F211*Reeksen!C211,IF(C211&gt;=1,F211*BA211,0))</f>
        <v>0</v>
      </c>
      <c r="H211" s="84">
        <f ca="1">(1-('Invoer gegevens'!$F$20/12))*F211*MIN(BA211,BC211)</f>
        <v>0</v>
      </c>
      <c r="I211" s="84">
        <f t="shared" ca="1" si="51"/>
        <v>0</v>
      </c>
      <c r="J211" s="84">
        <f ca="1">('Invoer gegevens'!$F$20/12)*F210*MIN(BA211,BC211)</f>
        <v>0</v>
      </c>
      <c r="K211" s="97">
        <f t="shared" ca="1" si="56"/>
        <v>0</v>
      </c>
      <c r="L211" s="84">
        <f ca="1">IF('Invoer gegevens'!$C$17=E211,0,IF(C211=1,Q210,0))</f>
        <v>0</v>
      </c>
      <c r="M211" s="96">
        <f t="shared" ca="1" si="52"/>
        <v>0</v>
      </c>
      <c r="N211" s="84">
        <f ca="1">(1-('Invoer gegevens'!$F$20/12))*L211*MIN(BA211,BC211)</f>
        <v>0</v>
      </c>
      <c r="O211" s="84">
        <f t="shared" ca="1" si="53"/>
        <v>0</v>
      </c>
      <c r="P211" s="84">
        <f ca="1">('Invoer gegevens'!$F$20/12)*L210*MIN(BA211,BC211)</f>
        <v>0</v>
      </c>
      <c r="Q211" s="84">
        <f t="shared" ca="1" si="57"/>
        <v>0</v>
      </c>
      <c r="R211" s="85">
        <f ca="1">IF('Invoer gegevens'!$C$17=E211,'Invoer gegevens'!$C$11,IF(C211=1,W210,0))</f>
        <v>0</v>
      </c>
      <c r="S211" s="86">
        <f t="shared" ca="1" si="54"/>
        <v>0</v>
      </c>
      <c r="T211" s="86">
        <f ca="1">(1-('Invoer gegevens'!$F$20/12))*R211*MIN(BC211,BA211)</f>
        <v>0</v>
      </c>
      <c r="U211" s="86">
        <f ca="1">IF(BD211&lt;1,IF(Reeksen!AD211&lt;=Reeksen!AE211,R211*Reeksen!C211,0),IF(BC211&gt;=BA211,0,IF(Reeksen!AD211&lt;=Reeksen!AE211,(BA211-BC211)*R211,0)))</f>
        <v>0</v>
      </c>
      <c r="V211" s="86">
        <f ca="1">IF(BD211&lt;1,IF(Reeksen!AD211&gt;Reeksen!AE211,R211*Reeksen!C211,0),IF(BC211&gt;=BA211,0,IF(Reeksen!AD211&gt;Reeksen!AE211,(BA211-BC211)*R211,0)))</f>
        <v>0</v>
      </c>
      <c r="W211" s="218">
        <f t="shared" ca="1" si="58"/>
        <v>0</v>
      </c>
      <c r="X211" s="98">
        <f ca="1">IF('Invoer gegevens'!$C$17=E211,'Invoer gegevens'!$C$10-'Invoer gegevens'!$C$11,IF(C211=1,AC210,0))</f>
        <v>0</v>
      </c>
      <c r="Y211" s="98">
        <f t="shared" ca="1" si="55"/>
        <v>0</v>
      </c>
      <c r="Z211" s="98">
        <f ca="1">(1-('Invoer gegevens'!$F$20/12))*X211*MIN(BA211,BC211)</f>
        <v>0</v>
      </c>
      <c r="AA211" s="98">
        <f ca="1">IF(BD211&lt;1,IF(Reeksen!AD211&lt;=Reeksen!AE211,X211*Reeksen!C211,0),IF(BC211&gt;=BA211,0,IF(Reeksen!AD211&lt;=Reeksen!AE211,(BA211-BC211)*X211,0)))</f>
        <v>0</v>
      </c>
      <c r="AB211" s="98">
        <f ca="1">IF(BD211&lt;1,IF(Reeksen!AD211&gt;Reeksen!AE211,X211*Reeksen!C211,0),IF(BC211&gt;=BA211,0,IF(Reeksen!AD211&gt;Reeksen!AE211,(BA211-BC211)*X211,0)))</f>
        <v>0</v>
      </c>
      <c r="AC211" s="99">
        <f t="shared" ca="1" si="59"/>
        <v>0</v>
      </c>
      <c r="AD211" s="98">
        <f ca="1">IF('Invoer gegevens'!$C$17=E211,R211,IF(C211=0,0,AE210))</f>
        <v>0</v>
      </c>
      <c r="AE211" s="98">
        <f t="shared" ca="1" si="60"/>
        <v>0</v>
      </c>
      <c r="AF211" s="98">
        <f ca="1">IF('Invoer gegevens'!$C$17=E211,X211,IF(C211=0,0,AG210))</f>
        <v>0</v>
      </c>
      <c r="AG211" s="98">
        <f t="shared" ca="1" si="61"/>
        <v>0</v>
      </c>
      <c r="AH211" s="66"/>
      <c r="AI211" s="71">
        <f ca="1">IF(C211=1,Reeksen!AI211*((F211+K211)/2)*12+Reeksen!AD211*((L211+Q211)/2)*12,0)</f>
        <v>0</v>
      </c>
      <c r="AJ211" s="71">
        <f ca="1">-AI211*'Invoer gegevens'!$F$28</f>
        <v>0</v>
      </c>
      <c r="AK211" s="71">
        <f t="shared" ca="1" si="62"/>
        <v>0</v>
      </c>
      <c r="AL211" s="71">
        <f ca="1">IF(C211=1,Reeksen!AL211*((F211-G211+F211)/2)*12+Reeksen!AM211*((L211-M211+L211)/2)*12,0)</f>
        <v>0</v>
      </c>
      <c r="AM211" s="71">
        <f ca="1">-AL211*'Invoer gegevens'!$F$31</f>
        <v>0</v>
      </c>
      <c r="AN211" s="71">
        <f t="shared" ca="1" si="63"/>
        <v>0</v>
      </c>
      <c r="AO211" s="71">
        <f ca="1">IF(C211=1,(H211+J211+N211+P211)*Reeksen!AN211,0)</f>
        <v>0</v>
      </c>
      <c r="AP211" s="71">
        <f ca="1">-IF(C211=1,(H211+J211+N211+P211)*'Hulp - basis'!$G$550*Reeksen!H211,0)</f>
        <v>0</v>
      </c>
      <c r="AQ211" s="71">
        <f ca="1">-IF(C211=1,(F211+K211+L211+Q211)/2*'Invoer gegevens'!$F$35*Reeksen!J211,0)*2</f>
        <v>0</v>
      </c>
      <c r="AR211" s="71">
        <f ca="1">IF(BD211&lt;1,-IF(C211=1,(G211*'Invoer gegevens'!$F$36)*Reeksen!J211,0),0)</f>
        <v>0</v>
      </c>
      <c r="AS211" s="71">
        <f ca="1">-IF(C211=1,(F211+K211+L211+Q211)/2*'Invoer gegevens'!$F$37*Reeksen!L211,0)</f>
        <v>0</v>
      </c>
      <c r="AT211" s="71">
        <f ca="1">-IF(C211=1,IF(E211='Invoer gegevens'!$C$17,'Invoer gegevens'!$C$11,AD211)*Reeksen!S211*'Invoer gegevens'!$C$18*Reeksen!P211,0)</f>
        <v>0</v>
      </c>
      <c r="AU211" s="71">
        <f ca="1">-IF(C211=1,(F211+K211+L211+Q211)/2*'Invoer gegevens'!$F$38*Reeksen!H211,0)</f>
        <v>0</v>
      </c>
      <c r="AV211" s="71">
        <f t="shared" si="50"/>
        <v>0</v>
      </c>
      <c r="AW211" s="71">
        <f t="shared" ca="1" si="64"/>
        <v>0</v>
      </c>
      <c r="AX211" s="71">
        <f ca="1">IF(E211&lt;'Invoer gegevens'!$C$17+15,0,IF(E211&gt;'Invoer gegevens'!$C$17+215,0,AW211))</f>
        <v>0</v>
      </c>
      <c r="AY211" s="71">
        <f ca="1">AX211/(1+'Invoer gegevens'!$F$18)^($AZ211-('Invoer gegevens'!$C$17-'Invoer gegevens'!$C$16))/(1+'Invoer gegevens'!$C$39)^('Invoer gegevens'!$C$17-'Invoer gegevens'!$C$16)</f>
        <v>0</v>
      </c>
      <c r="AZ211" s="68">
        <f ca="1">IF(E211-'Invoer gegevens'!$C$17-14.5&lt;0,0,E211-'Invoer gegevens'!$C$17-14.5)</f>
        <v>191.5</v>
      </c>
      <c r="BA211" s="109">
        <f ca="1">IFERROR(VLOOKUP(E211-15,Reeksen!$A$5:$D$234,2,FALSE),0)</f>
        <v>0</v>
      </c>
      <c r="BB211" s="109">
        <f ca="1">IFERROR(VLOOKUP(E211-15,Reeksen!$A$5:$D$234,3,FALSE),0)</f>
        <v>0</v>
      </c>
      <c r="BC211" s="109">
        <f ca="1">IFERROR(VLOOKUP(E211-15,Reeksen!$A$5:$D$234,4,FALSE),0)</f>
        <v>0</v>
      </c>
      <c r="BD211" s="67">
        <f ca="1">IF(E211-'Invoer gegevens'!$C$17&lt;15,0,1)</f>
        <v>1</v>
      </c>
    </row>
    <row r="212" spans="1:56" x14ac:dyDescent="0.25">
      <c r="A212" s="59"/>
      <c r="B212" s="70">
        <f t="shared" si="65"/>
        <v>208</v>
      </c>
      <c r="C212" s="67">
        <f ca="1">IF(E212-'Invoer gegevens'!$C$17&lt;0,0,1)</f>
        <v>1</v>
      </c>
      <c r="D212" s="68">
        <f t="shared" si="66"/>
        <v>207.5</v>
      </c>
      <c r="E212" s="108">
        <f ca="1">IF('Invoer gegevens'!$C$16="","",E211+1)</f>
        <v>2226</v>
      </c>
      <c r="F212" s="84">
        <f ca="1">IF('Invoer gegevens'!$C$17=E212,'Invoer gegevens'!$C$10,IF(C212=1,K211,0))</f>
        <v>0</v>
      </c>
      <c r="G212" s="96">
        <f ca="1">IF(BD212&lt;1,F212*Reeksen!C212,IF(C212&gt;=1,F212*BA212,0))</f>
        <v>0</v>
      </c>
      <c r="H212" s="84">
        <f ca="1">(1-('Invoer gegevens'!$F$20/12))*F212*MIN(BA212,BC212)</f>
        <v>0</v>
      </c>
      <c r="I212" s="84">
        <f t="shared" ca="1" si="51"/>
        <v>0</v>
      </c>
      <c r="J212" s="84">
        <f ca="1">('Invoer gegevens'!$F$20/12)*F211*MIN(BA212,BC212)</f>
        <v>0</v>
      </c>
      <c r="K212" s="97">
        <f t="shared" ca="1" si="56"/>
        <v>0</v>
      </c>
      <c r="L212" s="84">
        <f ca="1">IF('Invoer gegevens'!$C$17=E212,0,IF(C212=1,Q211,0))</f>
        <v>0</v>
      </c>
      <c r="M212" s="96">
        <f t="shared" ca="1" si="52"/>
        <v>0</v>
      </c>
      <c r="N212" s="84">
        <f ca="1">(1-('Invoer gegevens'!$F$20/12))*L212*MIN(BA212,BC212)</f>
        <v>0</v>
      </c>
      <c r="O212" s="84">
        <f t="shared" ca="1" si="53"/>
        <v>0</v>
      </c>
      <c r="P212" s="84">
        <f ca="1">('Invoer gegevens'!$F$20/12)*L211*MIN(BA212,BC212)</f>
        <v>0</v>
      </c>
      <c r="Q212" s="84">
        <f t="shared" ca="1" si="57"/>
        <v>0</v>
      </c>
      <c r="R212" s="85">
        <f ca="1">IF('Invoer gegevens'!$C$17=E212,'Invoer gegevens'!$C$11,IF(C212=1,W211,0))</f>
        <v>0</v>
      </c>
      <c r="S212" s="86">
        <f t="shared" ca="1" si="54"/>
        <v>0</v>
      </c>
      <c r="T212" s="86">
        <f ca="1">(1-('Invoer gegevens'!$F$20/12))*R212*MIN(BC212,BA212)</f>
        <v>0</v>
      </c>
      <c r="U212" s="86">
        <f ca="1">IF(BD212&lt;1,IF(Reeksen!AD212&lt;=Reeksen!AE212,R212*Reeksen!C212,0),IF(BC212&gt;=BA212,0,IF(Reeksen!AD212&lt;=Reeksen!AE212,(BA212-BC212)*R212,0)))</f>
        <v>0</v>
      </c>
      <c r="V212" s="86">
        <f ca="1">IF(BD212&lt;1,IF(Reeksen!AD212&gt;Reeksen!AE212,R212*Reeksen!C212,0),IF(BC212&gt;=BA212,0,IF(Reeksen!AD212&gt;Reeksen!AE212,(BA212-BC212)*R212,0)))</f>
        <v>0</v>
      </c>
      <c r="W212" s="218">
        <f t="shared" ca="1" si="58"/>
        <v>0</v>
      </c>
      <c r="X212" s="98">
        <f ca="1">IF('Invoer gegevens'!$C$17=E212,'Invoer gegevens'!$C$10-'Invoer gegevens'!$C$11,IF(C212=1,AC211,0))</f>
        <v>0</v>
      </c>
      <c r="Y212" s="98">
        <f t="shared" ca="1" si="55"/>
        <v>0</v>
      </c>
      <c r="Z212" s="98">
        <f ca="1">(1-('Invoer gegevens'!$F$20/12))*X212*MIN(BA212,BC212)</f>
        <v>0</v>
      </c>
      <c r="AA212" s="98">
        <f ca="1">IF(BD212&lt;1,IF(Reeksen!AD212&lt;=Reeksen!AE212,X212*Reeksen!C212,0),IF(BC212&gt;=BA212,0,IF(Reeksen!AD212&lt;=Reeksen!AE212,(BA212-BC212)*X212,0)))</f>
        <v>0</v>
      </c>
      <c r="AB212" s="98">
        <f ca="1">IF(BD212&lt;1,IF(Reeksen!AD212&gt;Reeksen!AE212,X212*Reeksen!C212,0),IF(BC212&gt;=BA212,0,IF(Reeksen!AD212&gt;Reeksen!AE212,(BA212-BC212)*X212,0)))</f>
        <v>0</v>
      </c>
      <c r="AC212" s="99">
        <f t="shared" ca="1" si="59"/>
        <v>0</v>
      </c>
      <c r="AD212" s="98">
        <f ca="1">IF('Invoer gegevens'!$C$17=E212,R212,IF(C212=0,0,AE211))</f>
        <v>0</v>
      </c>
      <c r="AE212" s="98">
        <f t="shared" ca="1" si="60"/>
        <v>0</v>
      </c>
      <c r="AF212" s="98">
        <f ca="1">IF('Invoer gegevens'!$C$17=E212,X212,IF(C212=0,0,AG211))</f>
        <v>0</v>
      </c>
      <c r="AG212" s="98">
        <f t="shared" ca="1" si="61"/>
        <v>0</v>
      </c>
      <c r="AH212" s="66"/>
      <c r="AI212" s="71">
        <f ca="1">IF(C212=1,Reeksen!AI212*((F212+K212)/2)*12+Reeksen!AD212*((L212+Q212)/2)*12,0)</f>
        <v>0</v>
      </c>
      <c r="AJ212" s="71">
        <f ca="1">-AI212*'Invoer gegevens'!$F$28</f>
        <v>0</v>
      </c>
      <c r="AK212" s="71">
        <f t="shared" ca="1" si="62"/>
        <v>0</v>
      </c>
      <c r="AL212" s="71">
        <f ca="1">IF(C212=1,Reeksen!AL212*((F212-G212+F212)/2)*12+Reeksen!AM212*((L212-M212+L212)/2)*12,0)</f>
        <v>0</v>
      </c>
      <c r="AM212" s="71">
        <f ca="1">-AL212*'Invoer gegevens'!$F$31</f>
        <v>0</v>
      </c>
      <c r="AN212" s="71">
        <f t="shared" ca="1" si="63"/>
        <v>0</v>
      </c>
      <c r="AO212" s="71">
        <f ca="1">IF(C212=1,(H212+J212+N212+P212)*Reeksen!AN212,0)</f>
        <v>0</v>
      </c>
      <c r="AP212" s="71">
        <f ca="1">-IF(C212=1,(H212+J212+N212+P212)*'Hulp - basis'!$G$550*Reeksen!H212,0)</f>
        <v>0</v>
      </c>
      <c r="AQ212" s="71">
        <f ca="1">-IF(C212=1,(F212+K212+L212+Q212)/2*'Invoer gegevens'!$F$35*Reeksen!J212,0)*2</f>
        <v>0</v>
      </c>
      <c r="AR212" s="71">
        <f ca="1">IF(BD212&lt;1,-IF(C212=1,(G212*'Invoer gegevens'!$F$36)*Reeksen!J212,0),0)</f>
        <v>0</v>
      </c>
      <c r="AS212" s="71">
        <f ca="1">-IF(C212=1,(F212+K212+L212+Q212)/2*'Invoer gegevens'!$F$37*Reeksen!L212,0)</f>
        <v>0</v>
      </c>
      <c r="AT212" s="71">
        <f ca="1">-IF(C212=1,IF(E212='Invoer gegevens'!$C$17,'Invoer gegevens'!$C$11,AD212)*Reeksen!S212*'Invoer gegevens'!$C$18*Reeksen!P212,0)</f>
        <v>0</v>
      </c>
      <c r="AU212" s="71">
        <f ca="1">-IF(C212=1,(F212+K212+L212+Q212)/2*'Invoer gegevens'!$F$38*Reeksen!H212,0)</f>
        <v>0</v>
      </c>
      <c r="AV212" s="71">
        <f t="shared" si="50"/>
        <v>0</v>
      </c>
      <c r="AW212" s="71">
        <f t="shared" ca="1" si="64"/>
        <v>0</v>
      </c>
      <c r="AX212" s="71">
        <f ca="1">IF(E212&lt;'Invoer gegevens'!$C$17+15,0,IF(E212&gt;'Invoer gegevens'!$C$17+215,0,AW212))</f>
        <v>0</v>
      </c>
      <c r="AY212" s="71">
        <f ca="1">AX212/(1+'Invoer gegevens'!$F$18)^($AZ212-('Invoer gegevens'!$C$17-'Invoer gegevens'!$C$16))/(1+'Invoer gegevens'!$C$39)^('Invoer gegevens'!$C$17-'Invoer gegevens'!$C$16)</f>
        <v>0</v>
      </c>
      <c r="AZ212" s="68">
        <f ca="1">IF(E212-'Invoer gegevens'!$C$17-14.5&lt;0,0,E212-'Invoer gegevens'!$C$17-14.5)</f>
        <v>192.5</v>
      </c>
      <c r="BA212" s="109">
        <f ca="1">IFERROR(VLOOKUP(E212-15,Reeksen!$A$5:$D$234,2,FALSE),0)</f>
        <v>0</v>
      </c>
      <c r="BB212" s="109">
        <f ca="1">IFERROR(VLOOKUP(E212-15,Reeksen!$A$5:$D$234,3,FALSE),0)</f>
        <v>0</v>
      </c>
      <c r="BC212" s="109">
        <f ca="1">IFERROR(VLOOKUP(E212-15,Reeksen!$A$5:$D$234,4,FALSE),0)</f>
        <v>0</v>
      </c>
      <c r="BD212" s="67">
        <f ca="1">IF(E212-'Invoer gegevens'!$C$17&lt;15,0,1)</f>
        <v>1</v>
      </c>
    </row>
    <row r="213" spans="1:56" x14ac:dyDescent="0.25">
      <c r="A213" s="59"/>
      <c r="B213" s="70">
        <f t="shared" si="65"/>
        <v>209</v>
      </c>
      <c r="C213" s="67">
        <f ca="1">IF(E213-'Invoer gegevens'!$C$17&lt;0,0,1)</f>
        <v>1</v>
      </c>
      <c r="D213" s="68">
        <f t="shared" si="66"/>
        <v>208.5</v>
      </c>
      <c r="E213" s="108">
        <f ca="1">IF('Invoer gegevens'!$C$16="","",E212+1)</f>
        <v>2227</v>
      </c>
      <c r="F213" s="84">
        <f ca="1">IF('Invoer gegevens'!$C$17=E213,'Invoer gegevens'!$C$10,IF(C213=1,K212,0))</f>
        <v>0</v>
      </c>
      <c r="G213" s="96">
        <f ca="1">IF(BD213&lt;1,F213*Reeksen!C213,IF(C213&gt;=1,F213*BA213,0))</f>
        <v>0</v>
      </c>
      <c r="H213" s="84">
        <f ca="1">(1-('Invoer gegevens'!$F$20/12))*F213*MIN(BA213,BC213)</f>
        <v>0</v>
      </c>
      <c r="I213" s="84">
        <f t="shared" ca="1" si="51"/>
        <v>0</v>
      </c>
      <c r="J213" s="84">
        <f ca="1">('Invoer gegevens'!$F$20/12)*F212*MIN(BA213,BC213)</f>
        <v>0</v>
      </c>
      <c r="K213" s="97">
        <f t="shared" ca="1" si="56"/>
        <v>0</v>
      </c>
      <c r="L213" s="84">
        <f ca="1">IF('Invoer gegevens'!$C$17=E213,0,IF(C213=1,Q212,0))</f>
        <v>0</v>
      </c>
      <c r="M213" s="96">
        <f t="shared" ca="1" si="52"/>
        <v>0</v>
      </c>
      <c r="N213" s="84">
        <f ca="1">(1-('Invoer gegevens'!$F$20/12))*L213*MIN(BA213,BC213)</f>
        <v>0</v>
      </c>
      <c r="O213" s="84">
        <f t="shared" ca="1" si="53"/>
        <v>0</v>
      </c>
      <c r="P213" s="84">
        <f ca="1">('Invoer gegevens'!$F$20/12)*L212*MIN(BA213,BC213)</f>
        <v>0</v>
      </c>
      <c r="Q213" s="84">
        <f t="shared" ca="1" si="57"/>
        <v>0</v>
      </c>
      <c r="R213" s="85">
        <f ca="1">IF('Invoer gegevens'!$C$17=E213,'Invoer gegevens'!$C$11,IF(C213=1,W212,0))</f>
        <v>0</v>
      </c>
      <c r="S213" s="86">
        <f t="shared" ca="1" si="54"/>
        <v>0</v>
      </c>
      <c r="T213" s="86">
        <f ca="1">(1-('Invoer gegevens'!$F$20/12))*R213*MIN(BC213,BA213)</f>
        <v>0</v>
      </c>
      <c r="U213" s="86">
        <f ca="1">IF(BD213&lt;1,IF(Reeksen!AD213&lt;=Reeksen!AE213,R213*Reeksen!C213,0),IF(BC213&gt;=BA213,0,IF(Reeksen!AD213&lt;=Reeksen!AE213,(BA213-BC213)*R213,0)))</f>
        <v>0</v>
      </c>
      <c r="V213" s="86">
        <f ca="1">IF(BD213&lt;1,IF(Reeksen!AD213&gt;Reeksen!AE213,R213*Reeksen!C213,0),IF(BC213&gt;=BA213,0,IF(Reeksen!AD213&gt;Reeksen!AE213,(BA213-BC213)*R213,0)))</f>
        <v>0</v>
      </c>
      <c r="W213" s="218">
        <f t="shared" ca="1" si="58"/>
        <v>0</v>
      </c>
      <c r="X213" s="98">
        <f ca="1">IF('Invoer gegevens'!$C$17=E213,'Invoer gegevens'!$C$10-'Invoer gegevens'!$C$11,IF(C213=1,AC212,0))</f>
        <v>0</v>
      </c>
      <c r="Y213" s="98">
        <f t="shared" ca="1" si="55"/>
        <v>0</v>
      </c>
      <c r="Z213" s="98">
        <f ca="1">(1-('Invoer gegevens'!$F$20/12))*X213*MIN(BA213,BC213)</f>
        <v>0</v>
      </c>
      <c r="AA213" s="98">
        <f ca="1">IF(BD213&lt;1,IF(Reeksen!AD213&lt;=Reeksen!AE213,X213*Reeksen!C213,0),IF(BC213&gt;=BA213,0,IF(Reeksen!AD213&lt;=Reeksen!AE213,(BA213-BC213)*X213,0)))</f>
        <v>0</v>
      </c>
      <c r="AB213" s="98">
        <f ca="1">IF(BD213&lt;1,IF(Reeksen!AD213&gt;Reeksen!AE213,X213*Reeksen!C213,0),IF(BC213&gt;=BA213,0,IF(Reeksen!AD213&gt;Reeksen!AE213,(BA213-BC213)*X213,0)))</f>
        <v>0</v>
      </c>
      <c r="AC213" s="99">
        <f t="shared" ca="1" si="59"/>
        <v>0</v>
      </c>
      <c r="AD213" s="98">
        <f ca="1">IF('Invoer gegevens'!$C$17=E213,R213,IF(C213=0,0,AE212))</f>
        <v>0</v>
      </c>
      <c r="AE213" s="98">
        <f t="shared" ca="1" si="60"/>
        <v>0</v>
      </c>
      <c r="AF213" s="98">
        <f ca="1">IF('Invoer gegevens'!$C$17=E213,X213,IF(C213=0,0,AG212))</f>
        <v>0</v>
      </c>
      <c r="AG213" s="98">
        <f t="shared" ca="1" si="61"/>
        <v>0</v>
      </c>
      <c r="AH213" s="66"/>
      <c r="AI213" s="71">
        <f ca="1">IF(C213=1,Reeksen!AI213*((F213+K213)/2)*12+Reeksen!AD213*((L213+Q213)/2)*12,0)</f>
        <v>0</v>
      </c>
      <c r="AJ213" s="71">
        <f ca="1">-AI213*'Invoer gegevens'!$F$28</f>
        <v>0</v>
      </c>
      <c r="AK213" s="71">
        <f t="shared" ca="1" si="62"/>
        <v>0</v>
      </c>
      <c r="AL213" s="71">
        <f ca="1">IF(C213=1,Reeksen!AL213*((F213-G213+F213)/2)*12+Reeksen!AM213*((L213-M213+L213)/2)*12,0)</f>
        <v>0</v>
      </c>
      <c r="AM213" s="71">
        <f ca="1">-AL213*'Invoer gegevens'!$F$31</f>
        <v>0</v>
      </c>
      <c r="AN213" s="71">
        <f t="shared" ca="1" si="63"/>
        <v>0</v>
      </c>
      <c r="AO213" s="71">
        <f ca="1">IF(C213=1,(H213+J213+N213+P213)*Reeksen!AN213,0)</f>
        <v>0</v>
      </c>
      <c r="AP213" s="71">
        <f ca="1">-IF(C213=1,(H213+J213+N213+P213)*'Hulp - basis'!$G$550*Reeksen!H213,0)</f>
        <v>0</v>
      </c>
      <c r="AQ213" s="71">
        <f ca="1">-IF(C213=1,(F213+K213+L213+Q213)/2*'Invoer gegevens'!$F$35*Reeksen!J213,0)*2</f>
        <v>0</v>
      </c>
      <c r="AR213" s="71">
        <f ca="1">IF(BD213&lt;1,-IF(C213=1,(G213*'Invoer gegevens'!$F$36)*Reeksen!J213,0),0)</f>
        <v>0</v>
      </c>
      <c r="AS213" s="71">
        <f ca="1">-IF(C213=1,(F213+K213+L213+Q213)/2*'Invoer gegevens'!$F$37*Reeksen!L213,0)</f>
        <v>0</v>
      </c>
      <c r="AT213" s="71">
        <f ca="1">-IF(C213=1,IF(E213='Invoer gegevens'!$C$17,'Invoer gegevens'!$C$11,AD213)*Reeksen!S213*'Invoer gegevens'!$C$18*Reeksen!P213,0)</f>
        <v>0</v>
      </c>
      <c r="AU213" s="71">
        <f ca="1">-IF(C213=1,(F213+K213+L213+Q213)/2*'Invoer gegevens'!$F$38*Reeksen!H213,0)</f>
        <v>0</v>
      </c>
      <c r="AV213" s="71">
        <f t="shared" ref="AV213:AV234" si="67">AV212</f>
        <v>0</v>
      </c>
      <c r="AW213" s="71">
        <f t="shared" ca="1" si="64"/>
        <v>0</v>
      </c>
      <c r="AX213" s="71">
        <f ca="1">IF(E213&lt;'Invoer gegevens'!$C$17+15,0,IF(E213&gt;'Invoer gegevens'!$C$17+215,0,AW213))</f>
        <v>0</v>
      </c>
      <c r="AY213" s="71">
        <f ca="1">AX213/(1+'Invoer gegevens'!$F$18)^($AZ213-('Invoer gegevens'!$C$17-'Invoer gegevens'!$C$16))/(1+'Invoer gegevens'!$C$39)^('Invoer gegevens'!$C$17-'Invoer gegevens'!$C$16)</f>
        <v>0</v>
      </c>
      <c r="AZ213" s="68">
        <f ca="1">IF(E213-'Invoer gegevens'!$C$17-14.5&lt;0,0,E213-'Invoer gegevens'!$C$17-14.5)</f>
        <v>193.5</v>
      </c>
      <c r="BA213" s="109">
        <f ca="1">IFERROR(VLOOKUP(E213-15,Reeksen!$A$5:$D$234,2,FALSE),0)</f>
        <v>0</v>
      </c>
      <c r="BB213" s="109">
        <f ca="1">IFERROR(VLOOKUP(E213-15,Reeksen!$A$5:$D$234,3,FALSE),0)</f>
        <v>0</v>
      </c>
      <c r="BC213" s="109">
        <f ca="1">IFERROR(VLOOKUP(E213-15,Reeksen!$A$5:$D$234,4,FALSE),0)</f>
        <v>0</v>
      </c>
      <c r="BD213" s="67">
        <f ca="1">IF(E213-'Invoer gegevens'!$C$17&lt;15,0,1)</f>
        <v>1</v>
      </c>
    </row>
    <row r="214" spans="1:56" x14ac:dyDescent="0.25">
      <c r="A214" s="59"/>
      <c r="B214" s="70">
        <f t="shared" si="65"/>
        <v>210</v>
      </c>
      <c r="C214" s="67">
        <f ca="1">IF(E214-'Invoer gegevens'!$C$17&lt;0,0,1)</f>
        <v>1</v>
      </c>
      <c r="D214" s="68">
        <f t="shared" si="66"/>
        <v>209.5</v>
      </c>
      <c r="E214" s="108">
        <f ca="1">IF('Invoer gegevens'!$C$16="","",E213+1)</f>
        <v>2228</v>
      </c>
      <c r="F214" s="84">
        <f ca="1">IF('Invoer gegevens'!$C$17=E214,'Invoer gegevens'!$C$10,IF(C214=1,K213,0))</f>
        <v>0</v>
      </c>
      <c r="G214" s="96">
        <f ca="1">IF(BD214&lt;1,F214*Reeksen!C214,IF(C214&gt;=1,F214*BA214,0))</f>
        <v>0</v>
      </c>
      <c r="H214" s="84">
        <f ca="1">(1-('Invoer gegevens'!$F$20/12))*F214*MIN(BA214,BC214)</f>
        <v>0</v>
      </c>
      <c r="I214" s="84">
        <f t="shared" ca="1" si="51"/>
        <v>0</v>
      </c>
      <c r="J214" s="84">
        <f ca="1">('Invoer gegevens'!$F$20/12)*F213*MIN(BA214,BC214)</f>
        <v>0</v>
      </c>
      <c r="K214" s="97">
        <f t="shared" ca="1" si="56"/>
        <v>0</v>
      </c>
      <c r="L214" s="84">
        <f ca="1">IF('Invoer gegevens'!$C$17=E214,0,IF(C214=1,Q213,0))</f>
        <v>0</v>
      </c>
      <c r="M214" s="96">
        <f t="shared" ca="1" si="52"/>
        <v>0</v>
      </c>
      <c r="N214" s="84">
        <f ca="1">(1-('Invoer gegevens'!$F$20/12))*L214*MIN(BA214,BC214)</f>
        <v>0</v>
      </c>
      <c r="O214" s="84">
        <f t="shared" ca="1" si="53"/>
        <v>0</v>
      </c>
      <c r="P214" s="84">
        <f ca="1">('Invoer gegevens'!$F$20/12)*L213*MIN(BA214,BC214)</f>
        <v>0</v>
      </c>
      <c r="Q214" s="84">
        <f t="shared" ca="1" si="57"/>
        <v>0</v>
      </c>
      <c r="R214" s="85">
        <f ca="1">IF('Invoer gegevens'!$C$17=E214,'Invoer gegevens'!$C$11,IF(C214=1,W213,0))</f>
        <v>0</v>
      </c>
      <c r="S214" s="86">
        <f t="shared" ca="1" si="54"/>
        <v>0</v>
      </c>
      <c r="T214" s="86">
        <f ca="1">(1-('Invoer gegevens'!$F$20/12))*R214*MIN(BC214,BA214)</f>
        <v>0</v>
      </c>
      <c r="U214" s="86">
        <f ca="1">IF(BD214&lt;1,IF(Reeksen!AD214&lt;=Reeksen!AE214,R214*Reeksen!C214,0),IF(BC214&gt;=BA214,0,IF(Reeksen!AD214&lt;=Reeksen!AE214,(BA214-BC214)*R214,0)))</f>
        <v>0</v>
      </c>
      <c r="V214" s="86">
        <f ca="1">IF(BD214&lt;1,IF(Reeksen!AD214&gt;Reeksen!AE214,R214*Reeksen!C214,0),IF(BC214&gt;=BA214,0,IF(Reeksen!AD214&gt;Reeksen!AE214,(BA214-BC214)*R214,0)))</f>
        <v>0</v>
      </c>
      <c r="W214" s="218">
        <f t="shared" ca="1" si="58"/>
        <v>0</v>
      </c>
      <c r="X214" s="98">
        <f ca="1">IF('Invoer gegevens'!$C$17=E214,'Invoer gegevens'!$C$10-'Invoer gegevens'!$C$11,IF(C214=1,AC213,0))</f>
        <v>0</v>
      </c>
      <c r="Y214" s="98">
        <f t="shared" ca="1" si="55"/>
        <v>0</v>
      </c>
      <c r="Z214" s="98">
        <f ca="1">(1-('Invoer gegevens'!$F$20/12))*X214*MIN(BA214,BC214)</f>
        <v>0</v>
      </c>
      <c r="AA214" s="98">
        <f ca="1">IF(BD214&lt;1,IF(Reeksen!AD214&lt;=Reeksen!AE214,X214*Reeksen!C214,0),IF(BC214&gt;=BA214,0,IF(Reeksen!AD214&lt;=Reeksen!AE214,(BA214-BC214)*X214,0)))</f>
        <v>0</v>
      </c>
      <c r="AB214" s="98">
        <f ca="1">IF(BD214&lt;1,IF(Reeksen!AD214&gt;Reeksen!AE214,X214*Reeksen!C214,0),IF(BC214&gt;=BA214,0,IF(Reeksen!AD214&gt;Reeksen!AE214,(BA214-BC214)*X214,0)))</f>
        <v>0</v>
      </c>
      <c r="AC214" s="99">
        <f t="shared" ca="1" si="59"/>
        <v>0</v>
      </c>
      <c r="AD214" s="98">
        <f ca="1">IF('Invoer gegevens'!$C$17=E214,R214,IF(C214=0,0,AE213))</f>
        <v>0</v>
      </c>
      <c r="AE214" s="98">
        <f t="shared" ca="1" si="60"/>
        <v>0</v>
      </c>
      <c r="AF214" s="98">
        <f ca="1">IF('Invoer gegevens'!$C$17=E214,X214,IF(C214=0,0,AG213))</f>
        <v>0</v>
      </c>
      <c r="AG214" s="98">
        <f t="shared" ca="1" si="61"/>
        <v>0</v>
      </c>
      <c r="AH214" s="66"/>
      <c r="AI214" s="71">
        <f ca="1">IF(C214=1,Reeksen!AI214*((F214+K214)/2)*12+Reeksen!AD214*((L214+Q214)/2)*12,0)</f>
        <v>0</v>
      </c>
      <c r="AJ214" s="71">
        <f ca="1">-AI214*'Invoer gegevens'!$F$28</f>
        <v>0</v>
      </c>
      <c r="AK214" s="71">
        <f t="shared" ca="1" si="62"/>
        <v>0</v>
      </c>
      <c r="AL214" s="71">
        <f ca="1">IF(C214=1,Reeksen!AL214*((F214-G214+F214)/2)*12+Reeksen!AM214*((L214-M214+L214)/2)*12,0)</f>
        <v>0</v>
      </c>
      <c r="AM214" s="71">
        <f ca="1">-AL214*'Invoer gegevens'!$F$31</f>
        <v>0</v>
      </c>
      <c r="AN214" s="71">
        <f t="shared" ca="1" si="63"/>
        <v>0</v>
      </c>
      <c r="AO214" s="71">
        <f ca="1">IF(C214=1,(H214+J214+N214+P214)*Reeksen!AN214,0)</f>
        <v>0</v>
      </c>
      <c r="AP214" s="71">
        <f ca="1">-IF(C214=1,(H214+J214+N214+P214)*'Hulp - basis'!$G$550*Reeksen!H214,0)</f>
        <v>0</v>
      </c>
      <c r="AQ214" s="71">
        <f ca="1">-IF(C214=1,(F214+K214+L214+Q214)/2*'Invoer gegevens'!$F$35*Reeksen!J214,0)*2</f>
        <v>0</v>
      </c>
      <c r="AR214" s="71">
        <f ca="1">IF(BD214&lt;1,-IF(C214=1,(G214*'Invoer gegevens'!$F$36)*Reeksen!J214,0),0)</f>
        <v>0</v>
      </c>
      <c r="AS214" s="71">
        <f ca="1">-IF(C214=1,(F214+K214+L214+Q214)/2*'Invoer gegevens'!$F$37*Reeksen!L214,0)</f>
        <v>0</v>
      </c>
      <c r="AT214" s="71">
        <f ca="1">-IF(C214=1,IF(E214='Invoer gegevens'!$C$17,'Invoer gegevens'!$C$11,AD214)*Reeksen!S214*'Invoer gegevens'!$C$18*Reeksen!P214,0)</f>
        <v>0</v>
      </c>
      <c r="AU214" s="71">
        <f ca="1">-IF(C214=1,(F214+K214+L214+Q214)/2*'Invoer gegevens'!$F$38*Reeksen!H214,0)</f>
        <v>0</v>
      </c>
      <c r="AV214" s="71">
        <f t="shared" si="67"/>
        <v>0</v>
      </c>
      <c r="AW214" s="71">
        <f t="shared" ca="1" si="64"/>
        <v>0</v>
      </c>
      <c r="AX214" s="71">
        <f ca="1">IF(E214&lt;'Invoer gegevens'!$C$17+15,0,IF(E214&gt;'Invoer gegevens'!$C$17+215,0,AW214))</f>
        <v>0</v>
      </c>
      <c r="AY214" s="71">
        <f ca="1">AX214/(1+'Invoer gegevens'!$F$18)^($AZ214-('Invoer gegevens'!$C$17-'Invoer gegevens'!$C$16))/(1+'Invoer gegevens'!$C$39)^('Invoer gegevens'!$C$17-'Invoer gegevens'!$C$16)</f>
        <v>0</v>
      </c>
      <c r="AZ214" s="68">
        <f ca="1">IF(E214-'Invoer gegevens'!$C$17-14.5&lt;0,0,E214-'Invoer gegevens'!$C$17-14.5)</f>
        <v>194.5</v>
      </c>
      <c r="BA214" s="109">
        <f ca="1">IFERROR(VLOOKUP(E214-15,Reeksen!$A$5:$D$234,2,FALSE),0)</f>
        <v>0</v>
      </c>
      <c r="BB214" s="109">
        <f ca="1">IFERROR(VLOOKUP(E214-15,Reeksen!$A$5:$D$234,3,FALSE),0)</f>
        <v>0</v>
      </c>
      <c r="BC214" s="109">
        <f ca="1">IFERROR(VLOOKUP(E214-15,Reeksen!$A$5:$D$234,4,FALSE),0)</f>
        <v>0</v>
      </c>
      <c r="BD214" s="67">
        <f ca="1">IF(E214-'Invoer gegevens'!$C$17&lt;15,0,1)</f>
        <v>1</v>
      </c>
    </row>
    <row r="215" spans="1:56" x14ac:dyDescent="0.25">
      <c r="A215" s="59"/>
      <c r="B215" s="70">
        <f t="shared" si="65"/>
        <v>211</v>
      </c>
      <c r="C215" s="67">
        <f ca="1">IF(E215-'Invoer gegevens'!$C$17&lt;0,0,1)</f>
        <v>1</v>
      </c>
      <c r="D215" s="68">
        <f t="shared" si="66"/>
        <v>210.5</v>
      </c>
      <c r="E215" s="108">
        <f ca="1">IF('Invoer gegevens'!$C$16="","",E214+1)</f>
        <v>2229</v>
      </c>
      <c r="F215" s="84">
        <f ca="1">IF('Invoer gegevens'!$C$17=E215,'Invoer gegevens'!$C$10,IF(C215=1,K214,0))</f>
        <v>0</v>
      </c>
      <c r="G215" s="96">
        <f ca="1">IF(BD215&lt;1,F215*Reeksen!C215,IF(C215&gt;=1,F215*BA215,0))</f>
        <v>0</v>
      </c>
      <c r="H215" s="84">
        <f ca="1">(1-('Invoer gegevens'!$F$20/12))*F215*MIN(BA215,BC215)</f>
        <v>0</v>
      </c>
      <c r="I215" s="84">
        <f t="shared" ca="1" si="51"/>
        <v>0</v>
      </c>
      <c r="J215" s="84">
        <f ca="1">('Invoer gegevens'!$F$20/12)*F214*MIN(BA215,BC215)</f>
        <v>0</v>
      </c>
      <c r="K215" s="97">
        <f t="shared" ca="1" si="56"/>
        <v>0</v>
      </c>
      <c r="L215" s="84">
        <f ca="1">IF('Invoer gegevens'!$C$17=E215,0,IF(C215=1,Q214,0))</f>
        <v>0</v>
      </c>
      <c r="M215" s="96">
        <f t="shared" ca="1" si="52"/>
        <v>0</v>
      </c>
      <c r="N215" s="84">
        <f ca="1">(1-('Invoer gegevens'!$F$20/12))*L215*MIN(BA215,BC215)</f>
        <v>0</v>
      </c>
      <c r="O215" s="84">
        <f t="shared" ca="1" si="53"/>
        <v>0</v>
      </c>
      <c r="P215" s="84">
        <f ca="1">('Invoer gegevens'!$F$20/12)*L214*MIN(BA215,BC215)</f>
        <v>0</v>
      </c>
      <c r="Q215" s="84">
        <f t="shared" ca="1" si="57"/>
        <v>0</v>
      </c>
      <c r="R215" s="85">
        <f ca="1">IF('Invoer gegevens'!$C$17=E215,'Invoer gegevens'!$C$11,IF(C215=1,W214,0))</f>
        <v>0</v>
      </c>
      <c r="S215" s="86">
        <f t="shared" ca="1" si="54"/>
        <v>0</v>
      </c>
      <c r="T215" s="86">
        <f ca="1">(1-('Invoer gegevens'!$F$20/12))*R215*MIN(BC215,BA215)</f>
        <v>0</v>
      </c>
      <c r="U215" s="86">
        <f ca="1">IF(BD215&lt;1,IF(Reeksen!AD215&lt;=Reeksen!AE215,R215*Reeksen!C215,0),IF(BC215&gt;=BA215,0,IF(Reeksen!AD215&lt;=Reeksen!AE215,(BA215-BC215)*R215,0)))</f>
        <v>0</v>
      </c>
      <c r="V215" s="86">
        <f ca="1">IF(BD215&lt;1,IF(Reeksen!AD215&gt;Reeksen!AE215,R215*Reeksen!C215,0),IF(BC215&gt;=BA215,0,IF(Reeksen!AD215&gt;Reeksen!AE215,(BA215-BC215)*R215,0)))</f>
        <v>0</v>
      </c>
      <c r="W215" s="218">
        <f t="shared" ca="1" si="58"/>
        <v>0</v>
      </c>
      <c r="X215" s="98">
        <f ca="1">IF('Invoer gegevens'!$C$17=E215,'Invoer gegevens'!$C$10-'Invoer gegevens'!$C$11,IF(C215=1,AC214,0))</f>
        <v>0</v>
      </c>
      <c r="Y215" s="98">
        <f t="shared" ca="1" si="55"/>
        <v>0</v>
      </c>
      <c r="Z215" s="98">
        <f ca="1">(1-('Invoer gegevens'!$F$20/12))*X215*MIN(BA215,BC215)</f>
        <v>0</v>
      </c>
      <c r="AA215" s="98">
        <f ca="1">IF(BD215&lt;1,IF(Reeksen!AD215&lt;=Reeksen!AE215,X215*Reeksen!C215,0),IF(BC215&gt;=BA215,0,IF(Reeksen!AD215&lt;=Reeksen!AE215,(BA215-BC215)*X215,0)))</f>
        <v>0</v>
      </c>
      <c r="AB215" s="98">
        <f ca="1">IF(BD215&lt;1,IF(Reeksen!AD215&gt;Reeksen!AE215,X215*Reeksen!C215,0),IF(BC215&gt;=BA215,0,IF(Reeksen!AD215&gt;Reeksen!AE215,(BA215-BC215)*X215,0)))</f>
        <v>0</v>
      </c>
      <c r="AC215" s="99">
        <f t="shared" ca="1" si="59"/>
        <v>0</v>
      </c>
      <c r="AD215" s="98">
        <f ca="1">IF('Invoer gegevens'!$C$17=E215,R215,IF(C215=0,0,AE214))</f>
        <v>0</v>
      </c>
      <c r="AE215" s="98">
        <f t="shared" ca="1" si="60"/>
        <v>0</v>
      </c>
      <c r="AF215" s="98">
        <f ca="1">IF('Invoer gegevens'!$C$17=E215,X215,IF(C215=0,0,AG214))</f>
        <v>0</v>
      </c>
      <c r="AG215" s="98">
        <f t="shared" ca="1" si="61"/>
        <v>0</v>
      </c>
      <c r="AH215" s="66"/>
      <c r="AI215" s="71">
        <f ca="1">IF(C215=1,Reeksen!AI215*((F215+K215)/2)*12+Reeksen!AD215*((L215+Q215)/2)*12,0)</f>
        <v>0</v>
      </c>
      <c r="AJ215" s="71">
        <f ca="1">-AI215*'Invoer gegevens'!$F$28</f>
        <v>0</v>
      </c>
      <c r="AK215" s="71">
        <f t="shared" ca="1" si="62"/>
        <v>0</v>
      </c>
      <c r="AL215" s="71">
        <f ca="1">IF(C215=1,Reeksen!AL215*((F215-G215+F215)/2)*12+Reeksen!AM215*((L215-M215+L215)/2)*12,0)</f>
        <v>0</v>
      </c>
      <c r="AM215" s="71">
        <f ca="1">-AL215*'Invoer gegevens'!$F$31</f>
        <v>0</v>
      </c>
      <c r="AN215" s="71">
        <f t="shared" ca="1" si="63"/>
        <v>0</v>
      </c>
      <c r="AO215" s="71">
        <f ca="1">IF(C215=1,(H215+J215+N215+P215)*Reeksen!AN215,0)</f>
        <v>0</v>
      </c>
      <c r="AP215" s="71">
        <f ca="1">-IF(C215=1,(H215+J215+N215+P215)*'Hulp - basis'!$G$550*Reeksen!H215,0)</f>
        <v>0</v>
      </c>
      <c r="AQ215" s="71">
        <f ca="1">-IF(C215=1,(F215+K215+L215+Q215)/2*'Invoer gegevens'!$F$35*Reeksen!J215,0)*2</f>
        <v>0</v>
      </c>
      <c r="AR215" s="71">
        <f ca="1">IF(BD215&lt;1,-IF(C215=1,(G215*'Invoer gegevens'!$F$36)*Reeksen!J215,0),0)</f>
        <v>0</v>
      </c>
      <c r="AS215" s="71">
        <f ca="1">-IF(C215=1,(F215+K215+L215+Q215)/2*'Invoer gegevens'!$F$37*Reeksen!L215,0)</f>
        <v>0</v>
      </c>
      <c r="AT215" s="71">
        <f ca="1">-IF(C215=1,IF(E215='Invoer gegevens'!$C$17,'Invoer gegevens'!$C$11,AD215)*Reeksen!S215*'Invoer gegevens'!$C$18*Reeksen!P215,0)</f>
        <v>0</v>
      </c>
      <c r="AU215" s="71">
        <f ca="1">-IF(C215=1,(F215+K215+L215+Q215)/2*'Invoer gegevens'!$F$38*Reeksen!H215,0)</f>
        <v>0</v>
      </c>
      <c r="AV215" s="71">
        <f t="shared" si="67"/>
        <v>0</v>
      </c>
      <c r="AW215" s="71">
        <f t="shared" ca="1" si="64"/>
        <v>0</v>
      </c>
      <c r="AX215" s="71">
        <f ca="1">IF(E215&lt;'Invoer gegevens'!$C$17+15,0,IF(E215&gt;'Invoer gegevens'!$C$17+215,0,AW215))</f>
        <v>0</v>
      </c>
      <c r="AY215" s="71">
        <f ca="1">AX215/(1+'Invoer gegevens'!$F$18)^($AZ215-('Invoer gegevens'!$C$17-'Invoer gegevens'!$C$16))/(1+'Invoer gegevens'!$C$39)^('Invoer gegevens'!$C$17-'Invoer gegevens'!$C$16)</f>
        <v>0</v>
      </c>
      <c r="AZ215" s="68">
        <f ca="1">IF(E215-'Invoer gegevens'!$C$17-14.5&lt;0,0,E215-'Invoer gegevens'!$C$17-14.5)</f>
        <v>195.5</v>
      </c>
      <c r="BA215" s="109">
        <f ca="1">IFERROR(VLOOKUP(E215-15,Reeksen!$A$5:$D$234,2,FALSE),0)</f>
        <v>0</v>
      </c>
      <c r="BB215" s="109">
        <f ca="1">IFERROR(VLOOKUP(E215-15,Reeksen!$A$5:$D$234,3,FALSE),0)</f>
        <v>0</v>
      </c>
      <c r="BC215" s="109">
        <f ca="1">IFERROR(VLOOKUP(E215-15,Reeksen!$A$5:$D$234,4,FALSE),0)</f>
        <v>0</v>
      </c>
      <c r="BD215" s="67">
        <f ca="1">IF(E215-'Invoer gegevens'!$C$17&lt;15,0,1)</f>
        <v>1</v>
      </c>
    </row>
    <row r="216" spans="1:56" x14ac:dyDescent="0.25">
      <c r="A216" s="59"/>
      <c r="B216" s="70">
        <f t="shared" si="65"/>
        <v>212</v>
      </c>
      <c r="C216" s="67">
        <f ca="1">IF(E216-'Invoer gegevens'!$C$17&lt;0,0,1)</f>
        <v>1</v>
      </c>
      <c r="D216" s="68">
        <f t="shared" si="66"/>
        <v>211.5</v>
      </c>
      <c r="E216" s="108">
        <f ca="1">IF('Invoer gegevens'!$C$16="","",E215+1)</f>
        <v>2230</v>
      </c>
      <c r="F216" s="84">
        <f ca="1">IF('Invoer gegevens'!$C$17=E216,'Invoer gegevens'!$C$10,IF(C216=1,K215,0))</f>
        <v>0</v>
      </c>
      <c r="G216" s="96">
        <f ca="1">IF(BD216&lt;1,F216*Reeksen!C216,IF(C216&gt;=1,F216*BA216,0))</f>
        <v>0</v>
      </c>
      <c r="H216" s="84">
        <f ca="1">(1-('Invoer gegevens'!$F$20/12))*F216*MIN(BA216,BC216)</f>
        <v>0</v>
      </c>
      <c r="I216" s="84">
        <f t="shared" ca="1" si="51"/>
        <v>0</v>
      </c>
      <c r="J216" s="84">
        <f ca="1">('Invoer gegevens'!$F$20/12)*F215*MIN(BA216,BC216)</f>
        <v>0</v>
      </c>
      <c r="K216" s="97">
        <f t="shared" ca="1" si="56"/>
        <v>0</v>
      </c>
      <c r="L216" s="84">
        <f ca="1">IF('Invoer gegevens'!$C$17=E216,0,IF(C216=1,Q215,0))</f>
        <v>0</v>
      </c>
      <c r="M216" s="96">
        <f t="shared" ca="1" si="52"/>
        <v>0</v>
      </c>
      <c r="N216" s="84">
        <f ca="1">(1-('Invoer gegevens'!$F$20/12))*L216*MIN(BA216,BC216)</f>
        <v>0</v>
      </c>
      <c r="O216" s="84">
        <f t="shared" ca="1" si="53"/>
        <v>0</v>
      </c>
      <c r="P216" s="84">
        <f ca="1">('Invoer gegevens'!$F$20/12)*L215*MIN(BA216,BC216)</f>
        <v>0</v>
      </c>
      <c r="Q216" s="84">
        <f t="shared" ca="1" si="57"/>
        <v>0</v>
      </c>
      <c r="R216" s="85">
        <f ca="1">IF('Invoer gegevens'!$C$17=E216,'Invoer gegevens'!$C$11,IF(C216=1,W215,0))</f>
        <v>0</v>
      </c>
      <c r="S216" s="86">
        <f t="shared" ca="1" si="54"/>
        <v>0</v>
      </c>
      <c r="T216" s="86">
        <f ca="1">(1-('Invoer gegevens'!$F$20/12))*R216*MIN(BC216,BA216)</f>
        <v>0</v>
      </c>
      <c r="U216" s="86">
        <f ca="1">IF(BD216&lt;1,IF(Reeksen!AD216&lt;=Reeksen!AE216,R216*Reeksen!C216,0),IF(BC216&gt;=BA216,0,IF(Reeksen!AD216&lt;=Reeksen!AE216,(BA216-BC216)*R216,0)))</f>
        <v>0</v>
      </c>
      <c r="V216" s="86">
        <f ca="1">IF(BD216&lt;1,IF(Reeksen!AD216&gt;Reeksen!AE216,R216*Reeksen!C216,0),IF(BC216&gt;=BA216,0,IF(Reeksen!AD216&gt;Reeksen!AE216,(BA216-BC216)*R216,0)))</f>
        <v>0</v>
      </c>
      <c r="W216" s="218">
        <f t="shared" ca="1" si="58"/>
        <v>0</v>
      </c>
      <c r="X216" s="98">
        <f ca="1">IF('Invoer gegevens'!$C$17=E216,'Invoer gegevens'!$C$10-'Invoer gegevens'!$C$11,IF(C216=1,AC215,0))</f>
        <v>0</v>
      </c>
      <c r="Y216" s="98">
        <f t="shared" ca="1" si="55"/>
        <v>0</v>
      </c>
      <c r="Z216" s="98">
        <f ca="1">(1-('Invoer gegevens'!$F$20/12))*X216*MIN(BA216,BC216)</f>
        <v>0</v>
      </c>
      <c r="AA216" s="98">
        <f ca="1">IF(BD216&lt;1,IF(Reeksen!AD216&lt;=Reeksen!AE216,X216*Reeksen!C216,0),IF(BC216&gt;=BA216,0,IF(Reeksen!AD216&lt;=Reeksen!AE216,(BA216-BC216)*X216,0)))</f>
        <v>0</v>
      </c>
      <c r="AB216" s="98">
        <f ca="1">IF(BD216&lt;1,IF(Reeksen!AD216&gt;Reeksen!AE216,X216*Reeksen!C216,0),IF(BC216&gt;=BA216,0,IF(Reeksen!AD216&gt;Reeksen!AE216,(BA216-BC216)*X216,0)))</f>
        <v>0</v>
      </c>
      <c r="AC216" s="99">
        <f t="shared" ca="1" si="59"/>
        <v>0</v>
      </c>
      <c r="AD216" s="98">
        <f ca="1">IF('Invoer gegevens'!$C$17=E216,R216,IF(C216=0,0,AE215))</f>
        <v>0</v>
      </c>
      <c r="AE216" s="98">
        <f t="shared" ca="1" si="60"/>
        <v>0</v>
      </c>
      <c r="AF216" s="98">
        <f ca="1">IF('Invoer gegevens'!$C$17=E216,X216,IF(C216=0,0,AG215))</f>
        <v>0</v>
      </c>
      <c r="AG216" s="98">
        <f t="shared" ca="1" si="61"/>
        <v>0</v>
      </c>
      <c r="AH216" s="66"/>
      <c r="AI216" s="71">
        <f ca="1">IF(C216=1,Reeksen!AI216*((F216+K216)/2)*12+Reeksen!AD216*((L216+Q216)/2)*12,0)</f>
        <v>0</v>
      </c>
      <c r="AJ216" s="71">
        <f ca="1">-AI216*'Invoer gegevens'!$F$28</f>
        <v>0</v>
      </c>
      <c r="AK216" s="71">
        <f t="shared" ca="1" si="62"/>
        <v>0</v>
      </c>
      <c r="AL216" s="71">
        <f ca="1">IF(C216=1,Reeksen!AL216*((F216-G216+F216)/2)*12+Reeksen!AM216*((L216-M216+L216)/2)*12,0)</f>
        <v>0</v>
      </c>
      <c r="AM216" s="71">
        <f ca="1">-AL216*'Invoer gegevens'!$F$31</f>
        <v>0</v>
      </c>
      <c r="AN216" s="71">
        <f t="shared" ca="1" si="63"/>
        <v>0</v>
      </c>
      <c r="AO216" s="71">
        <f ca="1">IF(C216=1,(H216+J216+N216+P216)*Reeksen!AN216,0)</f>
        <v>0</v>
      </c>
      <c r="AP216" s="71">
        <f ca="1">-IF(C216=1,(H216+J216+N216+P216)*'Hulp - basis'!$G$550*Reeksen!H216,0)</f>
        <v>0</v>
      </c>
      <c r="AQ216" s="71">
        <f ca="1">-IF(C216=1,(F216+K216+L216+Q216)/2*'Invoer gegevens'!$F$35*Reeksen!J216,0)*2</f>
        <v>0</v>
      </c>
      <c r="AR216" s="71">
        <f ca="1">IF(BD216&lt;1,-IF(C216=1,(G216*'Invoer gegevens'!$F$36)*Reeksen!J216,0),0)</f>
        <v>0</v>
      </c>
      <c r="AS216" s="71">
        <f ca="1">-IF(C216=1,(F216+K216+L216+Q216)/2*'Invoer gegevens'!$F$37*Reeksen!L216,0)</f>
        <v>0</v>
      </c>
      <c r="AT216" s="71">
        <f ca="1">-IF(C216=1,IF(E216='Invoer gegevens'!$C$17,'Invoer gegevens'!$C$11,AD216)*Reeksen!S216*'Invoer gegevens'!$C$18*Reeksen!P216,0)</f>
        <v>0</v>
      </c>
      <c r="AU216" s="71">
        <f ca="1">-IF(C216=1,(F216+K216+L216+Q216)/2*'Invoer gegevens'!$F$38*Reeksen!H216,0)</f>
        <v>0</v>
      </c>
      <c r="AV216" s="71">
        <f t="shared" si="67"/>
        <v>0</v>
      </c>
      <c r="AW216" s="71">
        <f t="shared" ca="1" si="64"/>
        <v>0</v>
      </c>
      <c r="AX216" s="71">
        <f ca="1">IF(E216&lt;'Invoer gegevens'!$C$17+15,0,IF(E216&gt;'Invoer gegevens'!$C$17+215,0,AW216))</f>
        <v>0</v>
      </c>
      <c r="AY216" s="71">
        <f ca="1">AX216/(1+'Invoer gegevens'!$F$18)^($AZ216-('Invoer gegevens'!$C$17-'Invoer gegevens'!$C$16))/(1+'Invoer gegevens'!$C$39)^('Invoer gegevens'!$C$17-'Invoer gegevens'!$C$16)</f>
        <v>0</v>
      </c>
      <c r="AZ216" s="68">
        <f ca="1">IF(E216-'Invoer gegevens'!$C$17-14.5&lt;0,0,E216-'Invoer gegevens'!$C$17-14.5)</f>
        <v>196.5</v>
      </c>
      <c r="BA216" s="109">
        <f ca="1">IFERROR(VLOOKUP(E216-15,Reeksen!$A$5:$D$234,2,FALSE),0)</f>
        <v>0</v>
      </c>
      <c r="BB216" s="109">
        <f ca="1">IFERROR(VLOOKUP(E216-15,Reeksen!$A$5:$D$234,3,FALSE),0)</f>
        <v>0</v>
      </c>
      <c r="BC216" s="109">
        <f ca="1">IFERROR(VLOOKUP(E216-15,Reeksen!$A$5:$D$234,4,FALSE),0)</f>
        <v>0</v>
      </c>
      <c r="BD216" s="67">
        <f ca="1">IF(E216-'Invoer gegevens'!$C$17&lt;15,0,1)</f>
        <v>1</v>
      </c>
    </row>
    <row r="217" spans="1:56" x14ac:dyDescent="0.25">
      <c r="A217" s="59"/>
      <c r="B217" s="70">
        <f t="shared" si="65"/>
        <v>213</v>
      </c>
      <c r="C217" s="67">
        <f ca="1">IF(E217-'Invoer gegevens'!$C$17&lt;0,0,1)</f>
        <v>1</v>
      </c>
      <c r="D217" s="68">
        <f t="shared" si="66"/>
        <v>212.5</v>
      </c>
      <c r="E217" s="108">
        <f ca="1">IF('Invoer gegevens'!$C$16="","",E216+1)</f>
        <v>2231</v>
      </c>
      <c r="F217" s="84">
        <f ca="1">IF('Invoer gegevens'!$C$17=E217,'Invoer gegevens'!$C$10,IF(C217=1,K216,0))</f>
        <v>0</v>
      </c>
      <c r="G217" s="96">
        <f ca="1">IF(BD217&lt;1,F217*Reeksen!C217,IF(C217&gt;=1,F217*BA217,0))</f>
        <v>0</v>
      </c>
      <c r="H217" s="84">
        <f ca="1">(1-('Invoer gegevens'!$F$20/12))*F217*MIN(BA217,BC217)</f>
        <v>0</v>
      </c>
      <c r="I217" s="84">
        <f t="shared" ca="1" si="51"/>
        <v>0</v>
      </c>
      <c r="J217" s="84">
        <f ca="1">('Invoer gegevens'!$F$20/12)*F216*MIN(BA217,BC217)</f>
        <v>0</v>
      </c>
      <c r="K217" s="97">
        <f t="shared" ca="1" si="56"/>
        <v>0</v>
      </c>
      <c r="L217" s="84">
        <f ca="1">IF('Invoer gegevens'!$C$17=E217,0,IF(C217=1,Q216,0))</f>
        <v>0</v>
      </c>
      <c r="M217" s="96">
        <f t="shared" ca="1" si="52"/>
        <v>0</v>
      </c>
      <c r="N217" s="84">
        <f ca="1">(1-('Invoer gegevens'!$F$20/12))*L217*MIN(BA217,BC217)</f>
        <v>0</v>
      </c>
      <c r="O217" s="84">
        <f t="shared" ca="1" si="53"/>
        <v>0</v>
      </c>
      <c r="P217" s="84">
        <f ca="1">('Invoer gegevens'!$F$20/12)*L216*MIN(BA217,BC217)</f>
        <v>0</v>
      </c>
      <c r="Q217" s="84">
        <f t="shared" ca="1" si="57"/>
        <v>0</v>
      </c>
      <c r="R217" s="85">
        <f ca="1">IF('Invoer gegevens'!$C$17=E217,'Invoer gegevens'!$C$11,IF(C217=1,W216,0))</f>
        <v>0</v>
      </c>
      <c r="S217" s="86">
        <f t="shared" ca="1" si="54"/>
        <v>0</v>
      </c>
      <c r="T217" s="86">
        <f ca="1">(1-('Invoer gegevens'!$F$20/12))*R217*MIN(BC217,BA217)</f>
        <v>0</v>
      </c>
      <c r="U217" s="86">
        <f ca="1">IF(BD217&lt;1,IF(Reeksen!AD217&lt;=Reeksen!AE217,R217*Reeksen!C217,0),IF(BC217&gt;=BA217,0,IF(Reeksen!AD217&lt;=Reeksen!AE217,(BA217-BC217)*R217,0)))</f>
        <v>0</v>
      </c>
      <c r="V217" s="86">
        <f ca="1">IF(BD217&lt;1,IF(Reeksen!AD217&gt;Reeksen!AE217,R217*Reeksen!C217,0),IF(BC217&gt;=BA217,0,IF(Reeksen!AD217&gt;Reeksen!AE217,(BA217-BC217)*R217,0)))</f>
        <v>0</v>
      </c>
      <c r="W217" s="218">
        <f t="shared" ca="1" si="58"/>
        <v>0</v>
      </c>
      <c r="X217" s="98">
        <f ca="1">IF('Invoer gegevens'!$C$17=E217,'Invoer gegevens'!$C$10-'Invoer gegevens'!$C$11,IF(C217=1,AC216,0))</f>
        <v>0</v>
      </c>
      <c r="Y217" s="98">
        <f t="shared" ca="1" si="55"/>
        <v>0</v>
      </c>
      <c r="Z217" s="98">
        <f ca="1">(1-('Invoer gegevens'!$F$20/12))*X217*MIN(BA217,BC217)</f>
        <v>0</v>
      </c>
      <c r="AA217" s="98">
        <f ca="1">IF(BD217&lt;1,IF(Reeksen!AD217&lt;=Reeksen!AE217,X217*Reeksen!C217,0),IF(BC217&gt;=BA217,0,IF(Reeksen!AD217&lt;=Reeksen!AE217,(BA217-BC217)*X217,0)))</f>
        <v>0</v>
      </c>
      <c r="AB217" s="98">
        <f ca="1">IF(BD217&lt;1,IF(Reeksen!AD217&gt;Reeksen!AE217,X217*Reeksen!C217,0),IF(BC217&gt;=BA217,0,IF(Reeksen!AD217&gt;Reeksen!AE217,(BA217-BC217)*X217,0)))</f>
        <v>0</v>
      </c>
      <c r="AC217" s="99">
        <f t="shared" ca="1" si="59"/>
        <v>0</v>
      </c>
      <c r="AD217" s="98">
        <f ca="1">IF('Invoer gegevens'!$C$17=E217,R217,IF(C217=0,0,AE216))</f>
        <v>0</v>
      </c>
      <c r="AE217" s="98">
        <f t="shared" ca="1" si="60"/>
        <v>0</v>
      </c>
      <c r="AF217" s="98">
        <f ca="1">IF('Invoer gegevens'!$C$17=E217,X217,IF(C217=0,0,AG216))</f>
        <v>0</v>
      </c>
      <c r="AG217" s="98">
        <f t="shared" ca="1" si="61"/>
        <v>0</v>
      </c>
      <c r="AH217" s="66"/>
      <c r="AI217" s="71">
        <f ca="1">IF(C217=1,Reeksen!AI217*((F217+K217)/2)*12+Reeksen!AD217*((L217+Q217)/2)*12,0)</f>
        <v>0</v>
      </c>
      <c r="AJ217" s="71">
        <f ca="1">-AI217*'Invoer gegevens'!$F$28</f>
        <v>0</v>
      </c>
      <c r="AK217" s="71">
        <f t="shared" ca="1" si="62"/>
        <v>0</v>
      </c>
      <c r="AL217" s="71">
        <f ca="1">IF(C217=1,Reeksen!AL217*((F217-G217+F217)/2)*12+Reeksen!AM217*((L217-M217+L217)/2)*12,0)</f>
        <v>0</v>
      </c>
      <c r="AM217" s="71">
        <f ca="1">-AL217*'Invoer gegevens'!$F$31</f>
        <v>0</v>
      </c>
      <c r="AN217" s="71">
        <f t="shared" ca="1" si="63"/>
        <v>0</v>
      </c>
      <c r="AO217" s="71">
        <f ca="1">IF(C217=1,(H217+J217+N217+P217)*Reeksen!AN217,0)</f>
        <v>0</v>
      </c>
      <c r="AP217" s="71">
        <f ca="1">-IF(C217=1,(H217+J217+N217+P217)*'Hulp - basis'!$G$550*Reeksen!H217,0)</f>
        <v>0</v>
      </c>
      <c r="AQ217" s="71">
        <f ca="1">-IF(C217=1,(F217+K217+L217+Q217)/2*'Invoer gegevens'!$F$35*Reeksen!J217,0)*2</f>
        <v>0</v>
      </c>
      <c r="AR217" s="71">
        <f ca="1">IF(BD217&lt;1,-IF(C217=1,(G217*'Invoer gegevens'!$F$36)*Reeksen!J217,0),0)</f>
        <v>0</v>
      </c>
      <c r="AS217" s="71">
        <f ca="1">-IF(C217=1,(F217+K217+L217+Q217)/2*'Invoer gegevens'!$F$37*Reeksen!L217,0)</f>
        <v>0</v>
      </c>
      <c r="AT217" s="71">
        <f ca="1">-IF(C217=1,IF(E217='Invoer gegevens'!$C$17,'Invoer gegevens'!$C$11,AD217)*Reeksen!S217*'Invoer gegevens'!$C$18*Reeksen!P217,0)</f>
        <v>0</v>
      </c>
      <c r="AU217" s="71">
        <f ca="1">-IF(C217=1,(F217+K217+L217+Q217)/2*'Invoer gegevens'!$F$38*Reeksen!H217,0)</f>
        <v>0</v>
      </c>
      <c r="AV217" s="71">
        <f t="shared" si="67"/>
        <v>0</v>
      </c>
      <c r="AW217" s="71">
        <f t="shared" ca="1" si="64"/>
        <v>0</v>
      </c>
      <c r="AX217" s="71">
        <f ca="1">IF(E217&lt;'Invoer gegevens'!$C$17+15,0,IF(E217&gt;'Invoer gegevens'!$C$17+215,0,AW217))</f>
        <v>0</v>
      </c>
      <c r="AY217" s="71">
        <f ca="1">AX217/(1+'Invoer gegevens'!$F$18)^($AZ217-('Invoer gegevens'!$C$17-'Invoer gegevens'!$C$16))/(1+'Invoer gegevens'!$C$39)^('Invoer gegevens'!$C$17-'Invoer gegevens'!$C$16)</f>
        <v>0</v>
      </c>
      <c r="AZ217" s="68">
        <f ca="1">IF(E217-'Invoer gegevens'!$C$17-14.5&lt;0,0,E217-'Invoer gegevens'!$C$17-14.5)</f>
        <v>197.5</v>
      </c>
      <c r="BA217" s="109">
        <f ca="1">IFERROR(VLOOKUP(E217-15,Reeksen!$A$5:$D$234,2,FALSE),0)</f>
        <v>0</v>
      </c>
      <c r="BB217" s="109">
        <f ca="1">IFERROR(VLOOKUP(E217-15,Reeksen!$A$5:$D$234,3,FALSE),0)</f>
        <v>0</v>
      </c>
      <c r="BC217" s="109">
        <f ca="1">IFERROR(VLOOKUP(E217-15,Reeksen!$A$5:$D$234,4,FALSE),0)</f>
        <v>0</v>
      </c>
      <c r="BD217" s="67">
        <f ca="1">IF(E217-'Invoer gegevens'!$C$17&lt;15,0,1)</f>
        <v>1</v>
      </c>
    </row>
    <row r="218" spans="1:56" x14ac:dyDescent="0.25">
      <c r="A218" s="59"/>
      <c r="B218" s="70">
        <f t="shared" si="65"/>
        <v>214</v>
      </c>
      <c r="C218" s="67">
        <f ca="1">IF(E218-'Invoer gegevens'!$C$17&lt;0,0,1)</f>
        <v>1</v>
      </c>
      <c r="D218" s="68">
        <f t="shared" si="66"/>
        <v>213.5</v>
      </c>
      <c r="E218" s="108">
        <f ca="1">IF('Invoer gegevens'!$C$16="","",E217+1)</f>
        <v>2232</v>
      </c>
      <c r="F218" s="84">
        <f ca="1">IF('Invoer gegevens'!$C$17=E218,'Invoer gegevens'!$C$10,IF(C218=1,K217,0))</f>
        <v>0</v>
      </c>
      <c r="G218" s="96">
        <f ca="1">IF(BD218&lt;1,F218*Reeksen!C218,IF(C218&gt;=1,F218*BA218,0))</f>
        <v>0</v>
      </c>
      <c r="H218" s="84">
        <f ca="1">(1-('Invoer gegevens'!$F$20/12))*F218*MIN(BA218,BC218)</f>
        <v>0</v>
      </c>
      <c r="I218" s="84">
        <f t="shared" ca="1" si="51"/>
        <v>0</v>
      </c>
      <c r="J218" s="84">
        <f ca="1">('Invoer gegevens'!$F$20/12)*F217*MIN(BA218,BC218)</f>
        <v>0</v>
      </c>
      <c r="K218" s="97">
        <f t="shared" ca="1" si="56"/>
        <v>0</v>
      </c>
      <c r="L218" s="84">
        <f ca="1">IF('Invoer gegevens'!$C$17=E218,0,IF(C218=1,Q217,0))</f>
        <v>0</v>
      </c>
      <c r="M218" s="96">
        <f t="shared" ca="1" si="52"/>
        <v>0</v>
      </c>
      <c r="N218" s="84">
        <f ca="1">(1-('Invoer gegevens'!$F$20/12))*L218*MIN(BA218,BC218)</f>
        <v>0</v>
      </c>
      <c r="O218" s="84">
        <f t="shared" ca="1" si="53"/>
        <v>0</v>
      </c>
      <c r="P218" s="84">
        <f ca="1">('Invoer gegevens'!$F$20/12)*L217*MIN(BA218,BC218)</f>
        <v>0</v>
      </c>
      <c r="Q218" s="84">
        <f t="shared" ca="1" si="57"/>
        <v>0</v>
      </c>
      <c r="R218" s="85">
        <f ca="1">IF('Invoer gegevens'!$C$17=E218,'Invoer gegevens'!$C$11,IF(C218=1,W217,0))</f>
        <v>0</v>
      </c>
      <c r="S218" s="86">
        <f t="shared" ca="1" si="54"/>
        <v>0</v>
      </c>
      <c r="T218" s="86">
        <f ca="1">(1-('Invoer gegevens'!$F$20/12))*R218*MIN(BC218,BA218)</f>
        <v>0</v>
      </c>
      <c r="U218" s="86">
        <f ca="1">IF(BD218&lt;1,IF(Reeksen!AD218&lt;=Reeksen!AE218,R218*Reeksen!C218,0),IF(BC218&gt;=BA218,0,IF(Reeksen!AD218&lt;=Reeksen!AE218,(BA218-BC218)*R218,0)))</f>
        <v>0</v>
      </c>
      <c r="V218" s="86">
        <f ca="1">IF(BD218&lt;1,IF(Reeksen!AD218&gt;Reeksen!AE218,R218*Reeksen!C218,0),IF(BC218&gt;=BA218,0,IF(Reeksen!AD218&gt;Reeksen!AE218,(BA218-BC218)*R218,0)))</f>
        <v>0</v>
      </c>
      <c r="W218" s="218">
        <f t="shared" ca="1" si="58"/>
        <v>0</v>
      </c>
      <c r="X218" s="98">
        <f ca="1">IF('Invoer gegevens'!$C$17=E218,'Invoer gegevens'!$C$10-'Invoer gegevens'!$C$11,IF(C218=1,AC217,0))</f>
        <v>0</v>
      </c>
      <c r="Y218" s="98">
        <f t="shared" ca="1" si="55"/>
        <v>0</v>
      </c>
      <c r="Z218" s="98">
        <f ca="1">(1-('Invoer gegevens'!$F$20/12))*X218*MIN(BA218,BC218)</f>
        <v>0</v>
      </c>
      <c r="AA218" s="98">
        <f ca="1">IF(BD218&lt;1,IF(Reeksen!AD218&lt;=Reeksen!AE218,X218*Reeksen!C218,0),IF(BC218&gt;=BA218,0,IF(Reeksen!AD218&lt;=Reeksen!AE218,(BA218-BC218)*X218,0)))</f>
        <v>0</v>
      </c>
      <c r="AB218" s="98">
        <f ca="1">IF(BD218&lt;1,IF(Reeksen!AD218&gt;Reeksen!AE218,X218*Reeksen!C218,0),IF(BC218&gt;=BA218,0,IF(Reeksen!AD218&gt;Reeksen!AE218,(BA218-BC218)*X218,0)))</f>
        <v>0</v>
      </c>
      <c r="AC218" s="99">
        <f t="shared" ca="1" si="59"/>
        <v>0</v>
      </c>
      <c r="AD218" s="98">
        <f ca="1">IF('Invoer gegevens'!$C$17=E218,R218,IF(C218=0,0,AE217))</f>
        <v>0</v>
      </c>
      <c r="AE218" s="98">
        <f t="shared" ca="1" si="60"/>
        <v>0</v>
      </c>
      <c r="AF218" s="98">
        <f ca="1">IF('Invoer gegevens'!$C$17=E218,X218,IF(C218=0,0,AG217))</f>
        <v>0</v>
      </c>
      <c r="AG218" s="98">
        <f t="shared" ca="1" si="61"/>
        <v>0</v>
      </c>
      <c r="AH218" s="66"/>
      <c r="AI218" s="71">
        <f ca="1">IF(C218=1,Reeksen!AI218*((F218+K218)/2)*12+Reeksen!AD218*((L218+Q218)/2)*12,0)</f>
        <v>0</v>
      </c>
      <c r="AJ218" s="71">
        <f ca="1">-AI218*'Invoer gegevens'!$F$28</f>
        <v>0</v>
      </c>
      <c r="AK218" s="71">
        <f t="shared" ca="1" si="62"/>
        <v>0</v>
      </c>
      <c r="AL218" s="71">
        <f ca="1">IF(C218=1,Reeksen!AL218*((F218-G218+F218)/2)*12+Reeksen!AM218*((L218-M218+L218)/2)*12,0)</f>
        <v>0</v>
      </c>
      <c r="AM218" s="71">
        <f ca="1">-AL218*'Invoer gegevens'!$F$31</f>
        <v>0</v>
      </c>
      <c r="AN218" s="71">
        <f t="shared" ca="1" si="63"/>
        <v>0</v>
      </c>
      <c r="AO218" s="71">
        <f ca="1">IF(C218=1,(H218+J218+N218+P218)*Reeksen!AN218,0)</f>
        <v>0</v>
      </c>
      <c r="AP218" s="71">
        <f ca="1">-IF(C218=1,(H218+J218+N218+P218)*'Hulp - basis'!$G$550*Reeksen!H218,0)</f>
        <v>0</v>
      </c>
      <c r="AQ218" s="71">
        <f ca="1">-IF(C218=1,(F218+K218+L218+Q218)/2*'Invoer gegevens'!$F$35*Reeksen!J218,0)*2</f>
        <v>0</v>
      </c>
      <c r="AR218" s="71">
        <f ca="1">IF(BD218&lt;1,-IF(C218=1,(G218*'Invoer gegevens'!$F$36)*Reeksen!J218,0),0)</f>
        <v>0</v>
      </c>
      <c r="AS218" s="71">
        <f ca="1">-IF(C218=1,(F218+K218+L218+Q218)/2*'Invoer gegevens'!$F$37*Reeksen!L218,0)</f>
        <v>0</v>
      </c>
      <c r="AT218" s="71">
        <f ca="1">-IF(C218=1,IF(E218='Invoer gegevens'!$C$17,'Invoer gegevens'!$C$11,AD218)*Reeksen!S218*'Invoer gegevens'!$C$18*Reeksen!P218,0)</f>
        <v>0</v>
      </c>
      <c r="AU218" s="71">
        <f ca="1">-IF(C218=1,(F218+K218+L218+Q218)/2*'Invoer gegevens'!$F$38*Reeksen!H218,0)</f>
        <v>0</v>
      </c>
      <c r="AV218" s="71">
        <f t="shared" si="67"/>
        <v>0</v>
      </c>
      <c r="AW218" s="71">
        <f t="shared" ca="1" si="64"/>
        <v>0</v>
      </c>
      <c r="AX218" s="71">
        <f ca="1">IF(E218&lt;'Invoer gegevens'!$C$17+15,0,IF(E218&gt;'Invoer gegevens'!$C$17+215,0,AW218))</f>
        <v>0</v>
      </c>
      <c r="AY218" s="71">
        <f ca="1">AX218/(1+'Invoer gegevens'!$F$18)^($AZ218-('Invoer gegevens'!$C$17-'Invoer gegevens'!$C$16))/(1+'Invoer gegevens'!$C$39)^('Invoer gegevens'!$C$17-'Invoer gegevens'!$C$16)</f>
        <v>0</v>
      </c>
      <c r="AZ218" s="68">
        <f ca="1">IF(E218-'Invoer gegevens'!$C$17-14.5&lt;0,0,E218-'Invoer gegevens'!$C$17-14.5)</f>
        <v>198.5</v>
      </c>
      <c r="BA218" s="109">
        <f ca="1">IFERROR(VLOOKUP(E218-15,Reeksen!$A$5:$D$234,2,FALSE),0)</f>
        <v>0</v>
      </c>
      <c r="BB218" s="109">
        <f ca="1">IFERROR(VLOOKUP(E218-15,Reeksen!$A$5:$D$234,3,FALSE),0)</f>
        <v>0</v>
      </c>
      <c r="BC218" s="109">
        <f ca="1">IFERROR(VLOOKUP(E218-15,Reeksen!$A$5:$D$234,4,FALSE),0)</f>
        <v>0</v>
      </c>
      <c r="BD218" s="67">
        <f ca="1">IF(E218-'Invoer gegevens'!$C$17&lt;15,0,1)</f>
        <v>1</v>
      </c>
    </row>
    <row r="219" spans="1:56" x14ac:dyDescent="0.25">
      <c r="A219" s="59"/>
      <c r="B219" s="70">
        <f t="shared" si="65"/>
        <v>215</v>
      </c>
      <c r="C219" s="67">
        <f ca="1">IF(E219-'Invoer gegevens'!$C$17&lt;0,0,1)</f>
        <v>1</v>
      </c>
      <c r="D219" s="68">
        <f t="shared" si="66"/>
        <v>214.5</v>
      </c>
      <c r="E219" s="108">
        <f ca="1">IF('Invoer gegevens'!$C$16="","",E218+1)</f>
        <v>2233</v>
      </c>
      <c r="F219" s="84">
        <f ca="1">IF('Invoer gegevens'!$C$17=E219,'Invoer gegevens'!$C$10,IF(C219=1,K218,0))</f>
        <v>0</v>
      </c>
      <c r="G219" s="96">
        <f ca="1">IF(BD219&lt;1,F219*Reeksen!C219,IF(C219&gt;=1,F219*BA219,0))</f>
        <v>0</v>
      </c>
      <c r="H219" s="84">
        <f ca="1">(1-('Invoer gegevens'!$F$20/12))*F219*MIN(BA219,BC219)</f>
        <v>0</v>
      </c>
      <c r="I219" s="84">
        <f t="shared" ca="1" si="51"/>
        <v>0</v>
      </c>
      <c r="J219" s="84">
        <f ca="1">('Invoer gegevens'!$F$20/12)*F218*MIN(BA219,BC219)</f>
        <v>0</v>
      </c>
      <c r="K219" s="97">
        <f t="shared" ca="1" si="56"/>
        <v>0</v>
      </c>
      <c r="L219" s="84">
        <f ca="1">IF('Invoer gegevens'!$C$17=E219,0,IF(C219=1,Q218,0))</f>
        <v>0</v>
      </c>
      <c r="M219" s="96">
        <f t="shared" ca="1" si="52"/>
        <v>0</v>
      </c>
      <c r="N219" s="84">
        <f ca="1">(1-('Invoer gegevens'!$F$20/12))*L219*MIN(BA219,BC219)</f>
        <v>0</v>
      </c>
      <c r="O219" s="84">
        <f t="shared" ca="1" si="53"/>
        <v>0</v>
      </c>
      <c r="P219" s="84">
        <f ca="1">('Invoer gegevens'!$F$20/12)*L218*MIN(BA219,BC219)</f>
        <v>0</v>
      </c>
      <c r="Q219" s="84">
        <f t="shared" ca="1" si="57"/>
        <v>0</v>
      </c>
      <c r="R219" s="85">
        <f ca="1">IF('Invoer gegevens'!$C$17=E219,'Invoer gegevens'!$C$11,IF(C219=1,W218,0))</f>
        <v>0</v>
      </c>
      <c r="S219" s="86">
        <f t="shared" ca="1" si="54"/>
        <v>0</v>
      </c>
      <c r="T219" s="86">
        <f ca="1">(1-('Invoer gegevens'!$F$20/12))*R219*MIN(BC219,BA219)</f>
        <v>0</v>
      </c>
      <c r="U219" s="86">
        <f ca="1">IF(BD219&lt;1,IF(Reeksen!AD219&lt;=Reeksen!AE219,R219*Reeksen!C219,0),IF(BC219&gt;=BA219,0,IF(Reeksen!AD219&lt;=Reeksen!AE219,(BA219-BC219)*R219,0)))</f>
        <v>0</v>
      </c>
      <c r="V219" s="86">
        <f ca="1">IF(BD219&lt;1,IF(Reeksen!AD219&gt;Reeksen!AE219,R219*Reeksen!C219,0),IF(BC219&gt;=BA219,0,IF(Reeksen!AD219&gt;Reeksen!AE219,(BA219-BC219)*R219,0)))</f>
        <v>0</v>
      </c>
      <c r="W219" s="218">
        <f t="shared" ca="1" si="58"/>
        <v>0</v>
      </c>
      <c r="X219" s="98">
        <f ca="1">IF('Invoer gegevens'!$C$17=E219,'Invoer gegevens'!$C$10-'Invoer gegevens'!$C$11,IF(C219=1,AC218,0))</f>
        <v>0</v>
      </c>
      <c r="Y219" s="98">
        <f t="shared" ca="1" si="55"/>
        <v>0</v>
      </c>
      <c r="Z219" s="98">
        <f ca="1">(1-('Invoer gegevens'!$F$20/12))*X219*MIN(BA219,BC219)</f>
        <v>0</v>
      </c>
      <c r="AA219" s="98">
        <f ca="1">IF(BD219&lt;1,IF(Reeksen!AD219&lt;=Reeksen!AE219,X219*Reeksen!C219,0),IF(BC219&gt;=BA219,0,IF(Reeksen!AD219&lt;=Reeksen!AE219,(BA219-BC219)*X219,0)))</f>
        <v>0</v>
      </c>
      <c r="AB219" s="98">
        <f ca="1">IF(BD219&lt;1,IF(Reeksen!AD219&gt;Reeksen!AE219,X219*Reeksen!C219,0),IF(BC219&gt;=BA219,0,IF(Reeksen!AD219&gt;Reeksen!AE219,(BA219-BC219)*X219,0)))</f>
        <v>0</v>
      </c>
      <c r="AC219" s="99">
        <f t="shared" ca="1" si="59"/>
        <v>0</v>
      </c>
      <c r="AD219" s="98">
        <f ca="1">IF('Invoer gegevens'!$C$17=E219,R219,IF(C219=0,0,AE218))</f>
        <v>0</v>
      </c>
      <c r="AE219" s="98">
        <f t="shared" ca="1" si="60"/>
        <v>0</v>
      </c>
      <c r="AF219" s="98">
        <f ca="1">IF('Invoer gegevens'!$C$17=E219,X219,IF(C219=0,0,AG218))</f>
        <v>0</v>
      </c>
      <c r="AG219" s="98">
        <f t="shared" ca="1" si="61"/>
        <v>0</v>
      </c>
      <c r="AH219" s="66"/>
      <c r="AI219" s="71">
        <f ca="1">IF(C219=1,Reeksen!AI219*((F219+K219)/2)*12+Reeksen!AD219*((L219+Q219)/2)*12,0)</f>
        <v>0</v>
      </c>
      <c r="AJ219" s="71">
        <f ca="1">-AI219*'Invoer gegevens'!$F$28</f>
        <v>0</v>
      </c>
      <c r="AK219" s="71">
        <f t="shared" ca="1" si="62"/>
        <v>0</v>
      </c>
      <c r="AL219" s="71">
        <f ca="1">IF(C219=1,Reeksen!AL219*((F219-G219+F219)/2)*12+Reeksen!AM219*((L219-M219+L219)/2)*12,0)</f>
        <v>0</v>
      </c>
      <c r="AM219" s="71">
        <f ca="1">-AL219*'Invoer gegevens'!$F$31</f>
        <v>0</v>
      </c>
      <c r="AN219" s="71">
        <f t="shared" ca="1" si="63"/>
        <v>0</v>
      </c>
      <c r="AO219" s="71">
        <f ca="1">IF(C219=1,(H219+J219+N219+P219)*Reeksen!AN219,0)</f>
        <v>0</v>
      </c>
      <c r="AP219" s="71">
        <f ca="1">-IF(C219=1,(H219+J219+N219+P219)*'Hulp - basis'!$G$550*Reeksen!H219,0)</f>
        <v>0</v>
      </c>
      <c r="AQ219" s="71">
        <f ca="1">-IF(C219=1,(F219+K219+L219+Q219)/2*'Invoer gegevens'!$F$35*Reeksen!J219,0)*2</f>
        <v>0</v>
      </c>
      <c r="AR219" s="71">
        <f ca="1">IF(BD219&lt;1,-IF(C219=1,(G219*'Invoer gegevens'!$F$36)*Reeksen!J219,0),0)</f>
        <v>0</v>
      </c>
      <c r="AS219" s="71">
        <f ca="1">-IF(C219=1,(F219+K219+L219+Q219)/2*'Invoer gegevens'!$F$37*Reeksen!L219,0)</f>
        <v>0</v>
      </c>
      <c r="AT219" s="71">
        <f ca="1">-IF(C219=1,IF(E219='Invoer gegevens'!$C$17,'Invoer gegevens'!$C$11,AD219)*Reeksen!S219*'Invoer gegevens'!$C$18*Reeksen!P219,0)</f>
        <v>0</v>
      </c>
      <c r="AU219" s="71">
        <f ca="1">-IF(C219=1,(F219+K219+L219+Q219)/2*'Invoer gegevens'!$F$38*Reeksen!H219,0)</f>
        <v>0</v>
      </c>
      <c r="AV219" s="71">
        <f t="shared" si="67"/>
        <v>0</v>
      </c>
      <c r="AW219" s="71">
        <f t="shared" ca="1" si="64"/>
        <v>0</v>
      </c>
      <c r="AX219" s="71">
        <f ca="1">IF(E219&lt;'Invoer gegevens'!$C$17+15,0,IF(E219&gt;'Invoer gegevens'!$C$17+215,0,AW219))</f>
        <v>0</v>
      </c>
      <c r="AY219" s="71">
        <f ca="1">AX219/(1+'Invoer gegevens'!$F$18)^($AZ219-('Invoer gegevens'!$C$17-'Invoer gegevens'!$C$16))/(1+'Invoer gegevens'!$C$39)^('Invoer gegevens'!$C$17-'Invoer gegevens'!$C$16)</f>
        <v>0</v>
      </c>
      <c r="AZ219" s="68">
        <f ca="1">IF(E219-'Invoer gegevens'!$C$17-14.5&lt;0,0,E219-'Invoer gegevens'!$C$17-14.5)</f>
        <v>199.5</v>
      </c>
      <c r="BA219" s="109">
        <f ca="1">IFERROR(VLOOKUP(E219-15,Reeksen!$A$5:$D$234,2,FALSE),0)</f>
        <v>0</v>
      </c>
      <c r="BB219" s="109">
        <f ca="1">IFERROR(VLOOKUP(E219-15,Reeksen!$A$5:$D$234,3,FALSE),0)</f>
        <v>0</v>
      </c>
      <c r="BC219" s="109">
        <f ca="1">IFERROR(VLOOKUP(E219-15,Reeksen!$A$5:$D$234,4,FALSE),0)</f>
        <v>0</v>
      </c>
      <c r="BD219" s="67">
        <f ca="1">IF(E219-'Invoer gegevens'!$C$17&lt;15,0,1)</f>
        <v>1</v>
      </c>
    </row>
    <row r="220" spans="1:56" x14ac:dyDescent="0.25">
      <c r="A220" s="59"/>
      <c r="B220" s="70">
        <f t="shared" si="65"/>
        <v>216</v>
      </c>
      <c r="C220" s="67">
        <f ca="1">IF(E220-'Invoer gegevens'!$C$17&lt;0,0,1)</f>
        <v>1</v>
      </c>
      <c r="D220" s="68">
        <f t="shared" si="66"/>
        <v>215.5</v>
      </c>
      <c r="E220" s="108">
        <f ca="1">IF('Invoer gegevens'!$C$16="","",E219+1)</f>
        <v>2234</v>
      </c>
      <c r="F220" s="84">
        <f ca="1">IF('Invoer gegevens'!$C$17=E220,'Invoer gegevens'!$C$10,IF(C220=1,K219,0))</f>
        <v>0</v>
      </c>
      <c r="G220" s="96">
        <f ca="1">IF(BD220&lt;1,F220*Reeksen!C220,IF(C220&gt;=1,F220*BA220,0))</f>
        <v>0</v>
      </c>
      <c r="H220" s="84">
        <f ca="1">(1-('Invoer gegevens'!$F$20/12))*F220*MIN(BA220,BC220)</f>
        <v>0</v>
      </c>
      <c r="I220" s="84">
        <f t="shared" ca="1" si="51"/>
        <v>0</v>
      </c>
      <c r="J220" s="84">
        <f ca="1">('Invoer gegevens'!$F$20/12)*F219*MIN(BA220,BC220)</f>
        <v>0</v>
      </c>
      <c r="K220" s="97">
        <f t="shared" ca="1" si="56"/>
        <v>0</v>
      </c>
      <c r="L220" s="84">
        <f ca="1">IF('Invoer gegevens'!$C$17=E220,0,IF(C220=1,Q219,0))</f>
        <v>0</v>
      </c>
      <c r="M220" s="96">
        <f t="shared" ca="1" si="52"/>
        <v>0</v>
      </c>
      <c r="N220" s="84">
        <f ca="1">(1-('Invoer gegevens'!$F$20/12))*L220*MIN(BA220,BC220)</f>
        <v>0</v>
      </c>
      <c r="O220" s="84">
        <f t="shared" ca="1" si="53"/>
        <v>0</v>
      </c>
      <c r="P220" s="84">
        <f ca="1">('Invoer gegevens'!$F$20/12)*L219*MIN(BA220,BC220)</f>
        <v>0</v>
      </c>
      <c r="Q220" s="84">
        <f t="shared" ca="1" si="57"/>
        <v>0</v>
      </c>
      <c r="R220" s="85">
        <f ca="1">IF('Invoer gegevens'!$C$17=E220,'Invoer gegevens'!$C$11,IF(C220=1,W219,0))</f>
        <v>0</v>
      </c>
      <c r="S220" s="86">
        <f t="shared" ca="1" si="54"/>
        <v>0</v>
      </c>
      <c r="T220" s="86">
        <f ca="1">(1-('Invoer gegevens'!$F$20/12))*R220*MIN(BC220,BA220)</f>
        <v>0</v>
      </c>
      <c r="U220" s="86">
        <f ca="1">IF(BD220&lt;1,IF(Reeksen!AD220&lt;=Reeksen!AE220,R220*Reeksen!C220,0),IF(BC220&gt;=BA220,0,IF(Reeksen!AD220&lt;=Reeksen!AE220,(BA220-BC220)*R220,0)))</f>
        <v>0</v>
      </c>
      <c r="V220" s="86">
        <f ca="1">IF(BD220&lt;1,IF(Reeksen!AD220&gt;Reeksen!AE220,R220*Reeksen!C220,0),IF(BC220&gt;=BA220,0,IF(Reeksen!AD220&gt;Reeksen!AE220,(BA220-BC220)*R220,0)))</f>
        <v>0</v>
      </c>
      <c r="W220" s="218">
        <f t="shared" ca="1" si="58"/>
        <v>0</v>
      </c>
      <c r="X220" s="98">
        <f ca="1">IF('Invoer gegevens'!$C$17=E220,'Invoer gegevens'!$C$10-'Invoer gegevens'!$C$11,IF(C220=1,AC219,0))</f>
        <v>0</v>
      </c>
      <c r="Y220" s="98">
        <f t="shared" ca="1" si="55"/>
        <v>0</v>
      </c>
      <c r="Z220" s="98">
        <f ca="1">(1-('Invoer gegevens'!$F$20/12))*X220*MIN(BA220,BC220)</f>
        <v>0</v>
      </c>
      <c r="AA220" s="98">
        <f ca="1">IF(BD220&lt;1,IF(Reeksen!AD220&lt;=Reeksen!AE220,X220*Reeksen!C220,0),IF(BC220&gt;=BA220,0,IF(Reeksen!AD220&lt;=Reeksen!AE220,(BA220-BC220)*X220,0)))</f>
        <v>0</v>
      </c>
      <c r="AB220" s="98">
        <f ca="1">IF(BD220&lt;1,IF(Reeksen!AD220&gt;Reeksen!AE220,X220*Reeksen!C220,0),IF(BC220&gt;=BA220,0,IF(Reeksen!AD220&gt;Reeksen!AE220,(BA220-BC220)*X220,0)))</f>
        <v>0</v>
      </c>
      <c r="AC220" s="99">
        <f t="shared" ca="1" si="59"/>
        <v>0</v>
      </c>
      <c r="AD220" s="98">
        <f ca="1">IF('Invoer gegevens'!$C$17=E220,R220,IF(C220=0,0,AE219))</f>
        <v>0</v>
      </c>
      <c r="AE220" s="98">
        <f t="shared" ca="1" si="60"/>
        <v>0</v>
      </c>
      <c r="AF220" s="98">
        <f ca="1">IF('Invoer gegevens'!$C$17=E220,X220,IF(C220=0,0,AG219))</f>
        <v>0</v>
      </c>
      <c r="AG220" s="98">
        <f t="shared" ca="1" si="61"/>
        <v>0</v>
      </c>
      <c r="AH220" s="66"/>
      <c r="AI220" s="71">
        <f ca="1">IF(C220=1,Reeksen!AI220*((F220+K220)/2)*12+Reeksen!AD220*((L220+Q220)/2)*12,0)</f>
        <v>0</v>
      </c>
      <c r="AJ220" s="71">
        <f ca="1">-AI220*'Invoer gegevens'!$F$28</f>
        <v>0</v>
      </c>
      <c r="AK220" s="71">
        <f t="shared" ca="1" si="62"/>
        <v>0</v>
      </c>
      <c r="AL220" s="71">
        <f ca="1">IF(C220=1,Reeksen!AL220*((F220-G220+F220)/2)*12+Reeksen!AM220*((L220-M220+L220)/2)*12,0)</f>
        <v>0</v>
      </c>
      <c r="AM220" s="71">
        <f ca="1">-AL220*'Invoer gegevens'!$F$31</f>
        <v>0</v>
      </c>
      <c r="AN220" s="71">
        <f t="shared" ca="1" si="63"/>
        <v>0</v>
      </c>
      <c r="AO220" s="71">
        <f ca="1">IF(C220=1,(H220+J220+N220+P220)*Reeksen!AN220,0)</f>
        <v>0</v>
      </c>
      <c r="AP220" s="71">
        <f ca="1">-IF(C220=1,(H220+J220+N220+P220)*'Hulp - basis'!$G$550*Reeksen!H220,0)</f>
        <v>0</v>
      </c>
      <c r="AQ220" s="71">
        <f ca="1">-IF(C220=1,(F220+K220+L220+Q220)/2*'Invoer gegevens'!$F$35*Reeksen!J220,0)*2</f>
        <v>0</v>
      </c>
      <c r="AR220" s="71">
        <f ca="1">IF(BD220&lt;1,-IF(C220=1,(G220*'Invoer gegevens'!$F$36)*Reeksen!J220,0),0)</f>
        <v>0</v>
      </c>
      <c r="AS220" s="71">
        <f ca="1">-IF(C220=1,(F220+K220+L220+Q220)/2*'Invoer gegevens'!$F$37*Reeksen!L220,0)</f>
        <v>0</v>
      </c>
      <c r="AT220" s="71">
        <f ca="1">-IF(C220=1,IF(E220='Invoer gegevens'!$C$17,'Invoer gegevens'!$C$11,AD220)*Reeksen!S220*'Invoer gegevens'!$C$18*Reeksen!P220,0)</f>
        <v>0</v>
      </c>
      <c r="AU220" s="71">
        <f ca="1">-IF(C220=1,(F220+K220+L220+Q220)/2*'Invoer gegevens'!$F$38*Reeksen!H220,0)</f>
        <v>0</v>
      </c>
      <c r="AV220" s="71">
        <f t="shared" si="67"/>
        <v>0</v>
      </c>
      <c r="AW220" s="71">
        <f t="shared" ca="1" si="64"/>
        <v>0</v>
      </c>
      <c r="AX220" s="71">
        <f ca="1">IF(E220&lt;'Invoer gegevens'!$C$17+15,0,IF(E220&gt;'Invoer gegevens'!$C$17+215,0,AW220))</f>
        <v>0</v>
      </c>
      <c r="AY220" s="71">
        <f ca="1">AX220/(1+'Invoer gegevens'!$F$18)^($AZ220-('Invoer gegevens'!$C$17-'Invoer gegevens'!$C$16))/(1+'Invoer gegevens'!$C$39)^('Invoer gegevens'!$C$17-'Invoer gegevens'!$C$16)</f>
        <v>0</v>
      </c>
      <c r="AZ220" s="68">
        <f ca="1">IF(E220-'Invoer gegevens'!$C$17-14.5&lt;0,0,E220-'Invoer gegevens'!$C$17-14.5)</f>
        <v>200.5</v>
      </c>
      <c r="BA220" s="109">
        <f ca="1">IFERROR(VLOOKUP(E220-15,Reeksen!$A$5:$D$234,2,FALSE),0)</f>
        <v>0</v>
      </c>
      <c r="BB220" s="109">
        <f ca="1">IFERROR(VLOOKUP(E220-15,Reeksen!$A$5:$D$234,3,FALSE),0)</f>
        <v>0</v>
      </c>
      <c r="BC220" s="109">
        <f ca="1">IFERROR(VLOOKUP(E220-15,Reeksen!$A$5:$D$234,4,FALSE),0)</f>
        <v>0</v>
      </c>
      <c r="BD220" s="67">
        <f ca="1">IF(E220-'Invoer gegevens'!$C$17&lt;15,0,1)</f>
        <v>1</v>
      </c>
    </row>
    <row r="221" spans="1:56" x14ac:dyDescent="0.25">
      <c r="A221" s="59"/>
      <c r="B221" s="70">
        <f t="shared" si="65"/>
        <v>217</v>
      </c>
      <c r="C221" s="67">
        <f ca="1">IF(E221-'Invoer gegevens'!$C$17&lt;0,0,1)</f>
        <v>1</v>
      </c>
      <c r="D221" s="68">
        <f t="shared" si="66"/>
        <v>216.5</v>
      </c>
      <c r="E221" s="108">
        <f ca="1">IF('Invoer gegevens'!$C$16="","",E220+1)</f>
        <v>2235</v>
      </c>
      <c r="F221" s="84">
        <f ca="1">IF('Invoer gegevens'!$C$17=E221,'Invoer gegevens'!$C$10,IF(C221=1,K220,0))</f>
        <v>0</v>
      </c>
      <c r="G221" s="96">
        <f ca="1">IF(BD221&lt;1,F221*Reeksen!C221,IF(C221&gt;=1,F221*BA221,0))</f>
        <v>0</v>
      </c>
      <c r="H221" s="84">
        <f ca="1">(1-('Invoer gegevens'!$F$20/12))*F221*MIN(BA221,BC221)</f>
        <v>0</v>
      </c>
      <c r="I221" s="84">
        <f t="shared" ca="1" si="51"/>
        <v>0</v>
      </c>
      <c r="J221" s="84">
        <f ca="1">('Invoer gegevens'!$F$20/12)*F220*MIN(BA221,BC221)</f>
        <v>0</v>
      </c>
      <c r="K221" s="97">
        <f t="shared" ca="1" si="56"/>
        <v>0</v>
      </c>
      <c r="L221" s="84">
        <f ca="1">IF('Invoer gegevens'!$C$17=E221,0,IF(C221=1,Q220,0))</f>
        <v>0</v>
      </c>
      <c r="M221" s="96">
        <f t="shared" ca="1" si="52"/>
        <v>0</v>
      </c>
      <c r="N221" s="84">
        <f ca="1">(1-('Invoer gegevens'!$F$20/12))*L221*MIN(BA221,BC221)</f>
        <v>0</v>
      </c>
      <c r="O221" s="84">
        <f t="shared" ca="1" si="53"/>
        <v>0</v>
      </c>
      <c r="P221" s="84">
        <f ca="1">('Invoer gegevens'!$F$20/12)*L220*MIN(BA221,BC221)</f>
        <v>0</v>
      </c>
      <c r="Q221" s="84">
        <f t="shared" ca="1" si="57"/>
        <v>0</v>
      </c>
      <c r="R221" s="85">
        <f ca="1">IF('Invoer gegevens'!$C$17=E221,'Invoer gegevens'!$C$11,IF(C221=1,W220,0))</f>
        <v>0</v>
      </c>
      <c r="S221" s="86">
        <f t="shared" ca="1" si="54"/>
        <v>0</v>
      </c>
      <c r="T221" s="86">
        <f ca="1">(1-('Invoer gegevens'!$F$20/12))*R221*MIN(BC221,BA221)</f>
        <v>0</v>
      </c>
      <c r="U221" s="86">
        <f ca="1">IF(BD221&lt;1,IF(Reeksen!AD221&lt;=Reeksen!AE221,R221*Reeksen!C221,0),IF(BC221&gt;=BA221,0,IF(Reeksen!AD221&lt;=Reeksen!AE221,(BA221-BC221)*R221,0)))</f>
        <v>0</v>
      </c>
      <c r="V221" s="86">
        <f ca="1">IF(BD221&lt;1,IF(Reeksen!AD221&gt;Reeksen!AE221,R221*Reeksen!C221,0),IF(BC221&gt;=BA221,0,IF(Reeksen!AD221&gt;Reeksen!AE221,(BA221-BC221)*R221,0)))</f>
        <v>0</v>
      </c>
      <c r="W221" s="218">
        <f t="shared" ca="1" si="58"/>
        <v>0</v>
      </c>
      <c r="X221" s="98">
        <f ca="1">IF('Invoer gegevens'!$C$17=E221,'Invoer gegevens'!$C$10-'Invoer gegevens'!$C$11,IF(C221=1,AC220,0))</f>
        <v>0</v>
      </c>
      <c r="Y221" s="98">
        <f t="shared" ca="1" si="55"/>
        <v>0</v>
      </c>
      <c r="Z221" s="98">
        <f ca="1">(1-('Invoer gegevens'!$F$20/12))*X221*MIN(BA221,BC221)</f>
        <v>0</v>
      </c>
      <c r="AA221" s="98">
        <f ca="1">IF(BD221&lt;1,IF(Reeksen!AD221&lt;=Reeksen!AE221,X221*Reeksen!C221,0),IF(BC221&gt;=BA221,0,IF(Reeksen!AD221&lt;=Reeksen!AE221,(BA221-BC221)*X221,0)))</f>
        <v>0</v>
      </c>
      <c r="AB221" s="98">
        <f ca="1">IF(BD221&lt;1,IF(Reeksen!AD221&gt;Reeksen!AE221,X221*Reeksen!C221,0),IF(BC221&gt;=BA221,0,IF(Reeksen!AD221&gt;Reeksen!AE221,(BA221-BC221)*X221,0)))</f>
        <v>0</v>
      </c>
      <c r="AC221" s="99">
        <f t="shared" ca="1" si="59"/>
        <v>0</v>
      </c>
      <c r="AD221" s="98">
        <f ca="1">IF('Invoer gegevens'!$C$17=E221,R221,IF(C221=0,0,AE220))</f>
        <v>0</v>
      </c>
      <c r="AE221" s="98">
        <f t="shared" ca="1" si="60"/>
        <v>0</v>
      </c>
      <c r="AF221" s="98">
        <f ca="1">IF('Invoer gegevens'!$C$17=E221,X221,IF(C221=0,0,AG220))</f>
        <v>0</v>
      </c>
      <c r="AG221" s="98">
        <f t="shared" ca="1" si="61"/>
        <v>0</v>
      </c>
      <c r="AH221" s="66"/>
      <c r="AI221" s="71">
        <f ca="1">IF(C221=1,Reeksen!AI221*((F221+K221)/2)*12+Reeksen!AD221*((L221+Q221)/2)*12,0)</f>
        <v>0</v>
      </c>
      <c r="AJ221" s="71">
        <f ca="1">-AI221*'Invoer gegevens'!$F$28</f>
        <v>0</v>
      </c>
      <c r="AK221" s="71">
        <f t="shared" ca="1" si="62"/>
        <v>0</v>
      </c>
      <c r="AL221" s="71">
        <f ca="1">IF(C221=1,Reeksen!AL221*((F221-G221+F221)/2)*12+Reeksen!AM221*((L221-M221+L221)/2)*12,0)</f>
        <v>0</v>
      </c>
      <c r="AM221" s="71">
        <f ca="1">-AL221*'Invoer gegevens'!$F$31</f>
        <v>0</v>
      </c>
      <c r="AN221" s="71">
        <f t="shared" ca="1" si="63"/>
        <v>0</v>
      </c>
      <c r="AO221" s="71">
        <f ca="1">IF(C221=1,(H221+J221+N221+P221)*Reeksen!AN221,0)</f>
        <v>0</v>
      </c>
      <c r="AP221" s="71">
        <f ca="1">-IF(C221=1,(H221+J221+N221+P221)*'Hulp - basis'!$G$550*Reeksen!H221,0)</f>
        <v>0</v>
      </c>
      <c r="AQ221" s="71">
        <f ca="1">-IF(C221=1,(F221+K221+L221+Q221)/2*'Invoer gegevens'!$F$35*Reeksen!J221,0)*2</f>
        <v>0</v>
      </c>
      <c r="AR221" s="71">
        <f ca="1">IF(BD221&lt;1,-IF(C221=1,(G221*'Invoer gegevens'!$F$36)*Reeksen!J221,0),0)</f>
        <v>0</v>
      </c>
      <c r="AS221" s="71">
        <f ca="1">-IF(C221=1,(F221+K221+L221+Q221)/2*'Invoer gegevens'!$F$37*Reeksen!L221,0)</f>
        <v>0</v>
      </c>
      <c r="AT221" s="71">
        <f ca="1">-IF(C221=1,IF(E221='Invoer gegevens'!$C$17,'Invoer gegevens'!$C$11,AD221)*Reeksen!S221*'Invoer gegevens'!$C$18*Reeksen!P221,0)</f>
        <v>0</v>
      </c>
      <c r="AU221" s="71">
        <f ca="1">-IF(C221=1,(F221+K221+L221+Q221)/2*'Invoer gegevens'!$F$38*Reeksen!H221,0)</f>
        <v>0</v>
      </c>
      <c r="AV221" s="71">
        <f t="shared" si="67"/>
        <v>0</v>
      </c>
      <c r="AW221" s="71">
        <f t="shared" ca="1" si="64"/>
        <v>0</v>
      </c>
      <c r="AX221" s="71">
        <f ca="1">IF(E221&lt;'Invoer gegevens'!$C$17+15,0,IF(E221&gt;'Invoer gegevens'!$C$17+215,0,AW221))</f>
        <v>0</v>
      </c>
      <c r="AY221" s="71">
        <f ca="1">AX221/(1+'Invoer gegevens'!$F$18)^($AZ221-('Invoer gegevens'!$C$17-'Invoer gegevens'!$C$16))/(1+'Invoer gegevens'!$C$39)^('Invoer gegevens'!$C$17-'Invoer gegevens'!$C$16)</f>
        <v>0</v>
      </c>
      <c r="AZ221" s="68">
        <f ca="1">IF(E221-'Invoer gegevens'!$C$17-14.5&lt;0,0,E221-'Invoer gegevens'!$C$17-14.5)</f>
        <v>201.5</v>
      </c>
      <c r="BA221" s="109">
        <f ca="1">IFERROR(VLOOKUP(E221-15,Reeksen!$A$5:$D$234,2,FALSE),0)</f>
        <v>0</v>
      </c>
      <c r="BB221" s="109">
        <f ca="1">IFERROR(VLOOKUP(E221-15,Reeksen!$A$5:$D$234,3,FALSE),0)</f>
        <v>0</v>
      </c>
      <c r="BC221" s="109">
        <f ca="1">IFERROR(VLOOKUP(E221-15,Reeksen!$A$5:$D$234,4,FALSE),0)</f>
        <v>0</v>
      </c>
      <c r="BD221" s="67">
        <f ca="1">IF(E221-'Invoer gegevens'!$C$17&lt;15,0,1)</f>
        <v>1</v>
      </c>
    </row>
    <row r="222" spans="1:56" x14ac:dyDescent="0.25">
      <c r="A222" s="59"/>
      <c r="B222" s="70">
        <f t="shared" si="65"/>
        <v>218</v>
      </c>
      <c r="C222" s="67">
        <f ca="1">IF(E222-'Invoer gegevens'!$C$17&lt;0,0,1)</f>
        <v>1</v>
      </c>
      <c r="D222" s="68">
        <f t="shared" si="66"/>
        <v>217.5</v>
      </c>
      <c r="E222" s="108">
        <f ca="1">IF('Invoer gegevens'!$C$16="","",E221+1)</f>
        <v>2236</v>
      </c>
      <c r="F222" s="84">
        <f ca="1">IF('Invoer gegevens'!$C$17=E222,'Invoer gegevens'!$C$10,IF(C222=1,K221,0))</f>
        <v>0</v>
      </c>
      <c r="G222" s="96">
        <f ca="1">IF(BD222&lt;1,F222*Reeksen!C222,IF(C222&gt;=1,F222*BA222,0))</f>
        <v>0</v>
      </c>
      <c r="H222" s="84">
        <f ca="1">(1-('Invoer gegevens'!$F$20/12))*F222*MIN(BA222,BC222)</f>
        <v>0</v>
      </c>
      <c r="I222" s="84">
        <f t="shared" ca="1" si="51"/>
        <v>0</v>
      </c>
      <c r="J222" s="84">
        <f ca="1">('Invoer gegevens'!$F$20/12)*F221*MIN(BA222,BC222)</f>
        <v>0</v>
      </c>
      <c r="K222" s="97">
        <f t="shared" ca="1" si="56"/>
        <v>0</v>
      </c>
      <c r="L222" s="84">
        <f ca="1">IF('Invoer gegevens'!$C$17=E222,0,IF(C222=1,Q221,0))</f>
        <v>0</v>
      </c>
      <c r="M222" s="96">
        <f t="shared" ca="1" si="52"/>
        <v>0</v>
      </c>
      <c r="N222" s="84">
        <f ca="1">(1-('Invoer gegevens'!$F$20/12))*L222*MIN(BA222,BC222)</f>
        <v>0</v>
      </c>
      <c r="O222" s="84">
        <f t="shared" ca="1" si="53"/>
        <v>0</v>
      </c>
      <c r="P222" s="84">
        <f ca="1">('Invoer gegevens'!$F$20/12)*L221*MIN(BA222,BC222)</f>
        <v>0</v>
      </c>
      <c r="Q222" s="84">
        <f t="shared" ca="1" si="57"/>
        <v>0</v>
      </c>
      <c r="R222" s="85">
        <f ca="1">IF('Invoer gegevens'!$C$17=E222,'Invoer gegevens'!$C$11,IF(C222=1,W221,0))</f>
        <v>0</v>
      </c>
      <c r="S222" s="86">
        <f t="shared" ca="1" si="54"/>
        <v>0</v>
      </c>
      <c r="T222" s="86">
        <f ca="1">(1-('Invoer gegevens'!$F$20/12))*R222*MIN(BC222,BA222)</f>
        <v>0</v>
      </c>
      <c r="U222" s="86">
        <f ca="1">IF(BD222&lt;1,IF(Reeksen!AD222&lt;=Reeksen!AE222,R222*Reeksen!C222,0),IF(BC222&gt;=BA222,0,IF(Reeksen!AD222&lt;=Reeksen!AE222,(BA222-BC222)*R222,0)))</f>
        <v>0</v>
      </c>
      <c r="V222" s="86">
        <f ca="1">IF(BD222&lt;1,IF(Reeksen!AD222&gt;Reeksen!AE222,R222*Reeksen!C222,0),IF(BC222&gt;=BA222,0,IF(Reeksen!AD222&gt;Reeksen!AE222,(BA222-BC222)*R222,0)))</f>
        <v>0</v>
      </c>
      <c r="W222" s="218">
        <f t="shared" ca="1" si="58"/>
        <v>0</v>
      </c>
      <c r="X222" s="98">
        <f ca="1">IF('Invoer gegevens'!$C$17=E222,'Invoer gegevens'!$C$10-'Invoer gegevens'!$C$11,IF(C222=1,AC221,0))</f>
        <v>0</v>
      </c>
      <c r="Y222" s="98">
        <f t="shared" ca="1" si="55"/>
        <v>0</v>
      </c>
      <c r="Z222" s="98">
        <f ca="1">(1-('Invoer gegevens'!$F$20/12))*X222*MIN(BA222,BC222)</f>
        <v>0</v>
      </c>
      <c r="AA222" s="98">
        <f ca="1">IF(BD222&lt;1,IF(Reeksen!AD222&lt;=Reeksen!AE222,X222*Reeksen!C222,0),IF(BC222&gt;=BA222,0,IF(Reeksen!AD222&lt;=Reeksen!AE222,(BA222-BC222)*X222,0)))</f>
        <v>0</v>
      </c>
      <c r="AB222" s="98">
        <f ca="1">IF(BD222&lt;1,IF(Reeksen!AD222&gt;Reeksen!AE222,X222*Reeksen!C222,0),IF(BC222&gt;=BA222,0,IF(Reeksen!AD222&gt;Reeksen!AE222,(BA222-BC222)*X222,0)))</f>
        <v>0</v>
      </c>
      <c r="AC222" s="99">
        <f t="shared" ca="1" si="59"/>
        <v>0</v>
      </c>
      <c r="AD222" s="98">
        <f ca="1">IF('Invoer gegevens'!$C$17=E222,R222,IF(C222=0,0,AE221))</f>
        <v>0</v>
      </c>
      <c r="AE222" s="98">
        <f t="shared" ca="1" si="60"/>
        <v>0</v>
      </c>
      <c r="AF222" s="98">
        <f ca="1">IF('Invoer gegevens'!$C$17=E222,X222,IF(C222=0,0,AG221))</f>
        <v>0</v>
      </c>
      <c r="AG222" s="98">
        <f t="shared" ca="1" si="61"/>
        <v>0</v>
      </c>
      <c r="AH222" s="66"/>
      <c r="AI222" s="71">
        <f ca="1">IF(C222=1,Reeksen!AI222*((F222+K222)/2)*12+Reeksen!AD222*((L222+Q222)/2)*12,0)</f>
        <v>0</v>
      </c>
      <c r="AJ222" s="71">
        <f ca="1">-AI222*'Invoer gegevens'!$F$28</f>
        <v>0</v>
      </c>
      <c r="AK222" s="71">
        <f t="shared" ca="1" si="62"/>
        <v>0</v>
      </c>
      <c r="AL222" s="71">
        <f ca="1">IF(C222=1,Reeksen!AL222*((F222-G222+F222)/2)*12+Reeksen!AM222*((L222-M222+L222)/2)*12,0)</f>
        <v>0</v>
      </c>
      <c r="AM222" s="71">
        <f ca="1">-AL222*'Invoer gegevens'!$F$31</f>
        <v>0</v>
      </c>
      <c r="AN222" s="71">
        <f t="shared" ca="1" si="63"/>
        <v>0</v>
      </c>
      <c r="AO222" s="71">
        <f ca="1">IF(C222=1,(H222+J222+N222+P222)*Reeksen!AN222,0)</f>
        <v>0</v>
      </c>
      <c r="AP222" s="71">
        <f ca="1">-IF(C222=1,(H222+J222+N222+P222)*'Hulp - basis'!$G$550*Reeksen!H222,0)</f>
        <v>0</v>
      </c>
      <c r="AQ222" s="71">
        <f ca="1">-IF(C222=1,(F222+K222+L222+Q222)/2*'Invoer gegevens'!$F$35*Reeksen!J222,0)*2</f>
        <v>0</v>
      </c>
      <c r="AR222" s="71">
        <f ca="1">IF(BD222&lt;1,-IF(C222=1,(G222*'Invoer gegevens'!$F$36)*Reeksen!J222,0),0)</f>
        <v>0</v>
      </c>
      <c r="AS222" s="71">
        <f ca="1">-IF(C222=1,(F222+K222+L222+Q222)/2*'Invoer gegevens'!$F$37*Reeksen!L222,0)</f>
        <v>0</v>
      </c>
      <c r="AT222" s="71">
        <f ca="1">-IF(C222=1,IF(E222='Invoer gegevens'!$C$17,'Invoer gegevens'!$C$11,AD222)*Reeksen!S222*'Invoer gegevens'!$C$18*Reeksen!P222,0)</f>
        <v>0</v>
      </c>
      <c r="AU222" s="71">
        <f ca="1">-IF(C222=1,(F222+K222+L222+Q222)/2*'Invoer gegevens'!$F$38*Reeksen!H222,0)</f>
        <v>0</v>
      </c>
      <c r="AV222" s="71">
        <f t="shared" si="67"/>
        <v>0</v>
      </c>
      <c r="AW222" s="71">
        <f t="shared" ca="1" si="64"/>
        <v>0</v>
      </c>
      <c r="AX222" s="71">
        <f ca="1">IF(E222&lt;'Invoer gegevens'!$C$17+15,0,IF(E222&gt;'Invoer gegevens'!$C$17+215,0,AW222))</f>
        <v>0</v>
      </c>
      <c r="AY222" s="71">
        <f ca="1">AX222/(1+'Invoer gegevens'!$F$18)^($AZ222-('Invoer gegevens'!$C$17-'Invoer gegevens'!$C$16))/(1+'Invoer gegevens'!$C$39)^('Invoer gegevens'!$C$17-'Invoer gegevens'!$C$16)</f>
        <v>0</v>
      </c>
      <c r="AZ222" s="68">
        <f ca="1">IF(E222-'Invoer gegevens'!$C$17-14.5&lt;0,0,E222-'Invoer gegevens'!$C$17-14.5)</f>
        <v>202.5</v>
      </c>
      <c r="BA222" s="109">
        <f ca="1">IFERROR(VLOOKUP(E222-15,Reeksen!$A$5:$D$234,2,FALSE),0)</f>
        <v>0</v>
      </c>
      <c r="BB222" s="109">
        <f ca="1">IFERROR(VLOOKUP(E222-15,Reeksen!$A$5:$D$234,3,FALSE),0)</f>
        <v>0</v>
      </c>
      <c r="BC222" s="109">
        <f ca="1">IFERROR(VLOOKUP(E222-15,Reeksen!$A$5:$D$234,4,FALSE),0)</f>
        <v>0</v>
      </c>
      <c r="BD222" s="67">
        <f ca="1">IF(E222-'Invoer gegevens'!$C$17&lt;15,0,1)</f>
        <v>1</v>
      </c>
    </row>
    <row r="223" spans="1:56" x14ac:dyDescent="0.25">
      <c r="A223" s="59"/>
      <c r="B223" s="70">
        <f t="shared" si="65"/>
        <v>219</v>
      </c>
      <c r="C223" s="67">
        <f ca="1">IF(E223-'Invoer gegevens'!$C$17&lt;0,0,1)</f>
        <v>1</v>
      </c>
      <c r="D223" s="68">
        <f t="shared" si="66"/>
        <v>218.5</v>
      </c>
      <c r="E223" s="108">
        <f ca="1">IF('Invoer gegevens'!$C$16="","",E222+1)</f>
        <v>2237</v>
      </c>
      <c r="F223" s="84">
        <f ca="1">IF('Invoer gegevens'!$C$17=E223,'Invoer gegevens'!$C$10,IF(C223=1,K222,0))</f>
        <v>0</v>
      </c>
      <c r="G223" s="96">
        <f ca="1">IF(BD223&lt;1,F223*Reeksen!C223,IF(C223&gt;=1,F223*BA223,0))</f>
        <v>0</v>
      </c>
      <c r="H223" s="84">
        <f ca="1">(1-('Invoer gegevens'!$F$20/12))*F223*MIN(BA223,BC223)</f>
        <v>0</v>
      </c>
      <c r="I223" s="84">
        <f t="shared" ca="1" si="51"/>
        <v>0</v>
      </c>
      <c r="J223" s="84">
        <f ca="1">('Invoer gegevens'!$F$20/12)*F222*MIN(BA223,BC223)</f>
        <v>0</v>
      </c>
      <c r="K223" s="97">
        <f t="shared" ca="1" si="56"/>
        <v>0</v>
      </c>
      <c r="L223" s="84">
        <f ca="1">IF('Invoer gegevens'!$C$17=E223,0,IF(C223=1,Q222,0))</f>
        <v>0</v>
      </c>
      <c r="M223" s="96">
        <f t="shared" ca="1" si="52"/>
        <v>0</v>
      </c>
      <c r="N223" s="84">
        <f ca="1">(1-('Invoer gegevens'!$F$20/12))*L223*MIN(BA223,BC223)</f>
        <v>0</v>
      </c>
      <c r="O223" s="84">
        <f t="shared" ca="1" si="53"/>
        <v>0</v>
      </c>
      <c r="P223" s="84">
        <f ca="1">('Invoer gegevens'!$F$20/12)*L222*MIN(BA223,BC223)</f>
        <v>0</v>
      </c>
      <c r="Q223" s="84">
        <f t="shared" ca="1" si="57"/>
        <v>0</v>
      </c>
      <c r="R223" s="85">
        <f ca="1">IF('Invoer gegevens'!$C$17=E223,'Invoer gegevens'!$C$11,IF(C223=1,W222,0))</f>
        <v>0</v>
      </c>
      <c r="S223" s="86">
        <f t="shared" ca="1" si="54"/>
        <v>0</v>
      </c>
      <c r="T223" s="86">
        <f ca="1">(1-('Invoer gegevens'!$F$20/12))*R223*MIN(BC223,BA223)</f>
        <v>0</v>
      </c>
      <c r="U223" s="86">
        <f ca="1">IF(BD223&lt;1,IF(Reeksen!AD223&lt;=Reeksen!AE223,R223*Reeksen!C223,0),IF(BC223&gt;=BA223,0,IF(Reeksen!AD223&lt;=Reeksen!AE223,(BA223-BC223)*R223,0)))</f>
        <v>0</v>
      </c>
      <c r="V223" s="86">
        <f ca="1">IF(BD223&lt;1,IF(Reeksen!AD223&gt;Reeksen!AE223,R223*Reeksen!C223,0),IF(BC223&gt;=BA223,0,IF(Reeksen!AD223&gt;Reeksen!AE223,(BA223-BC223)*R223,0)))</f>
        <v>0</v>
      </c>
      <c r="W223" s="218">
        <f t="shared" ca="1" si="58"/>
        <v>0</v>
      </c>
      <c r="X223" s="98">
        <f ca="1">IF('Invoer gegevens'!$C$17=E223,'Invoer gegevens'!$C$10-'Invoer gegevens'!$C$11,IF(C223=1,AC222,0))</f>
        <v>0</v>
      </c>
      <c r="Y223" s="98">
        <f t="shared" ca="1" si="55"/>
        <v>0</v>
      </c>
      <c r="Z223" s="98">
        <f ca="1">(1-('Invoer gegevens'!$F$20/12))*X223*MIN(BA223,BC223)</f>
        <v>0</v>
      </c>
      <c r="AA223" s="98">
        <f ca="1">IF(BD223&lt;1,IF(Reeksen!AD223&lt;=Reeksen!AE223,X223*Reeksen!C223,0),IF(BC223&gt;=BA223,0,IF(Reeksen!AD223&lt;=Reeksen!AE223,(BA223-BC223)*X223,0)))</f>
        <v>0</v>
      </c>
      <c r="AB223" s="98">
        <f ca="1">IF(BD223&lt;1,IF(Reeksen!AD223&gt;Reeksen!AE223,X223*Reeksen!C223,0),IF(BC223&gt;=BA223,0,IF(Reeksen!AD223&gt;Reeksen!AE223,(BA223-BC223)*X223,0)))</f>
        <v>0</v>
      </c>
      <c r="AC223" s="99">
        <f t="shared" ca="1" si="59"/>
        <v>0</v>
      </c>
      <c r="AD223" s="98">
        <f ca="1">IF('Invoer gegevens'!$C$17=E223,R223,IF(C223=0,0,AE222))</f>
        <v>0</v>
      </c>
      <c r="AE223" s="98">
        <f t="shared" ca="1" si="60"/>
        <v>0</v>
      </c>
      <c r="AF223" s="98">
        <f ca="1">IF('Invoer gegevens'!$C$17=E223,X223,IF(C223=0,0,AG222))</f>
        <v>0</v>
      </c>
      <c r="AG223" s="98">
        <f t="shared" ca="1" si="61"/>
        <v>0</v>
      </c>
      <c r="AH223" s="66"/>
      <c r="AI223" s="71">
        <f ca="1">IF(C223=1,Reeksen!AI223*((F223+K223)/2)*12+Reeksen!AD223*((L223+Q223)/2)*12,0)</f>
        <v>0</v>
      </c>
      <c r="AJ223" s="71">
        <f ca="1">-AI223*'Invoer gegevens'!$F$28</f>
        <v>0</v>
      </c>
      <c r="AK223" s="71">
        <f t="shared" ca="1" si="62"/>
        <v>0</v>
      </c>
      <c r="AL223" s="71">
        <f ca="1">IF(C223=1,Reeksen!AL223*((F223-G223+F223)/2)*12+Reeksen!AM223*((L223-M223+L223)/2)*12,0)</f>
        <v>0</v>
      </c>
      <c r="AM223" s="71">
        <f ca="1">-AL223*'Invoer gegevens'!$F$31</f>
        <v>0</v>
      </c>
      <c r="AN223" s="71">
        <f t="shared" ca="1" si="63"/>
        <v>0</v>
      </c>
      <c r="AO223" s="71">
        <f ca="1">IF(C223=1,(H223+J223+N223+P223)*Reeksen!AN223,0)</f>
        <v>0</v>
      </c>
      <c r="AP223" s="71">
        <f ca="1">-IF(C223=1,(H223+J223+N223+P223)*'Hulp - basis'!$G$550*Reeksen!H223,0)</f>
        <v>0</v>
      </c>
      <c r="AQ223" s="71">
        <f ca="1">-IF(C223=1,(F223+K223+L223+Q223)/2*'Invoer gegevens'!$F$35*Reeksen!J223,0)*2</f>
        <v>0</v>
      </c>
      <c r="AR223" s="71">
        <f ca="1">IF(BD223&lt;1,-IF(C223=1,(G223*'Invoer gegevens'!$F$36)*Reeksen!J223,0),0)</f>
        <v>0</v>
      </c>
      <c r="AS223" s="71">
        <f ca="1">-IF(C223=1,(F223+K223+L223+Q223)/2*'Invoer gegevens'!$F$37*Reeksen!L223,0)</f>
        <v>0</v>
      </c>
      <c r="AT223" s="71">
        <f ca="1">-IF(C223=1,IF(E223='Invoer gegevens'!$C$17,'Invoer gegevens'!$C$11,AD223)*Reeksen!S223*'Invoer gegevens'!$C$18*Reeksen!P223,0)</f>
        <v>0</v>
      </c>
      <c r="AU223" s="71">
        <f ca="1">-IF(C223=1,(F223+K223+L223+Q223)/2*'Invoer gegevens'!$F$38*Reeksen!H223,0)</f>
        <v>0</v>
      </c>
      <c r="AV223" s="71">
        <f t="shared" si="67"/>
        <v>0</v>
      </c>
      <c r="AW223" s="71">
        <f t="shared" ca="1" si="64"/>
        <v>0</v>
      </c>
      <c r="AX223" s="71">
        <f ca="1">IF(E223&lt;'Invoer gegevens'!$C$17+15,0,IF(E223&gt;'Invoer gegevens'!$C$17+215,0,AW223))</f>
        <v>0</v>
      </c>
      <c r="AY223" s="71">
        <f ca="1">AX223/(1+'Invoer gegevens'!$F$18)^($AZ223-('Invoer gegevens'!$C$17-'Invoer gegevens'!$C$16))/(1+'Invoer gegevens'!$C$39)^('Invoer gegevens'!$C$17-'Invoer gegevens'!$C$16)</f>
        <v>0</v>
      </c>
      <c r="AZ223" s="68">
        <f ca="1">IF(E223-'Invoer gegevens'!$C$17-14.5&lt;0,0,E223-'Invoer gegevens'!$C$17-14.5)</f>
        <v>203.5</v>
      </c>
      <c r="BA223" s="109">
        <f ca="1">IFERROR(VLOOKUP(E223-15,Reeksen!$A$5:$D$234,2,FALSE),0)</f>
        <v>0</v>
      </c>
      <c r="BB223" s="109">
        <f ca="1">IFERROR(VLOOKUP(E223-15,Reeksen!$A$5:$D$234,3,FALSE),0)</f>
        <v>0</v>
      </c>
      <c r="BC223" s="109">
        <f ca="1">IFERROR(VLOOKUP(E223-15,Reeksen!$A$5:$D$234,4,FALSE),0)</f>
        <v>0</v>
      </c>
      <c r="BD223" s="67">
        <f ca="1">IF(E223-'Invoer gegevens'!$C$17&lt;15,0,1)</f>
        <v>1</v>
      </c>
    </row>
    <row r="224" spans="1:56" x14ac:dyDescent="0.25">
      <c r="A224" s="59"/>
      <c r="B224" s="70">
        <f t="shared" si="65"/>
        <v>220</v>
      </c>
      <c r="C224" s="67">
        <f ca="1">IF(E224-'Invoer gegevens'!$C$17&lt;0,0,1)</f>
        <v>1</v>
      </c>
      <c r="D224" s="68">
        <f t="shared" si="66"/>
        <v>219.5</v>
      </c>
      <c r="E224" s="108">
        <f ca="1">IF('Invoer gegevens'!$C$16="","",E223+1)</f>
        <v>2238</v>
      </c>
      <c r="F224" s="84">
        <f ca="1">IF('Invoer gegevens'!$C$17=E224,'Invoer gegevens'!$C$10,IF(C224=1,K223,0))</f>
        <v>0</v>
      </c>
      <c r="G224" s="96">
        <f ca="1">IF(BD224&lt;1,F224*Reeksen!C224,IF(C224&gt;=1,F224*BA224,0))</f>
        <v>0</v>
      </c>
      <c r="H224" s="84">
        <f ca="1">(1-('Invoer gegevens'!$F$20/12))*F224*MIN(BA224,BC224)</f>
        <v>0</v>
      </c>
      <c r="I224" s="84">
        <f t="shared" ca="1" si="51"/>
        <v>0</v>
      </c>
      <c r="J224" s="84">
        <f ca="1">('Invoer gegevens'!$F$20/12)*F223*MIN(BA224,BC224)</f>
        <v>0</v>
      </c>
      <c r="K224" s="97">
        <f t="shared" ca="1" si="56"/>
        <v>0</v>
      </c>
      <c r="L224" s="84">
        <f ca="1">IF('Invoer gegevens'!$C$17=E224,0,IF(C224=1,Q223,0))</f>
        <v>0</v>
      </c>
      <c r="M224" s="96">
        <f t="shared" ca="1" si="52"/>
        <v>0</v>
      </c>
      <c r="N224" s="84">
        <f ca="1">(1-('Invoer gegevens'!$F$20/12))*L224*MIN(BA224,BC224)</f>
        <v>0</v>
      </c>
      <c r="O224" s="84">
        <f t="shared" ca="1" si="53"/>
        <v>0</v>
      </c>
      <c r="P224" s="84">
        <f ca="1">('Invoer gegevens'!$F$20/12)*L223*MIN(BA224,BC224)</f>
        <v>0</v>
      </c>
      <c r="Q224" s="84">
        <f t="shared" ca="1" si="57"/>
        <v>0</v>
      </c>
      <c r="R224" s="85">
        <f ca="1">IF('Invoer gegevens'!$C$17=E224,'Invoer gegevens'!$C$11,IF(C224=1,W223,0))</f>
        <v>0</v>
      </c>
      <c r="S224" s="86">
        <f t="shared" ca="1" si="54"/>
        <v>0</v>
      </c>
      <c r="T224" s="86">
        <f ca="1">(1-('Invoer gegevens'!$F$20/12))*R224*MIN(BC224,BA224)</f>
        <v>0</v>
      </c>
      <c r="U224" s="86">
        <f ca="1">IF(BD224&lt;1,IF(Reeksen!AD224&lt;=Reeksen!AE224,R224*Reeksen!C224,0),IF(BC224&gt;=BA224,0,IF(Reeksen!AD224&lt;=Reeksen!AE224,(BA224-BC224)*R224,0)))</f>
        <v>0</v>
      </c>
      <c r="V224" s="86">
        <f ca="1">IF(BD224&lt;1,IF(Reeksen!AD224&gt;Reeksen!AE224,R224*Reeksen!C224,0),IF(BC224&gt;=BA224,0,IF(Reeksen!AD224&gt;Reeksen!AE224,(BA224-BC224)*R224,0)))</f>
        <v>0</v>
      </c>
      <c r="W224" s="218">
        <f t="shared" ca="1" si="58"/>
        <v>0</v>
      </c>
      <c r="X224" s="98">
        <f ca="1">IF('Invoer gegevens'!$C$17=E224,'Invoer gegevens'!$C$10-'Invoer gegevens'!$C$11,IF(C224=1,AC223,0))</f>
        <v>0</v>
      </c>
      <c r="Y224" s="98">
        <f t="shared" ca="1" si="55"/>
        <v>0</v>
      </c>
      <c r="Z224" s="98">
        <f ca="1">(1-('Invoer gegevens'!$F$20/12))*X224*MIN(BA224,BC224)</f>
        <v>0</v>
      </c>
      <c r="AA224" s="98">
        <f ca="1">IF(BD224&lt;1,IF(Reeksen!AD224&lt;=Reeksen!AE224,X224*Reeksen!C224,0),IF(BC224&gt;=BA224,0,IF(Reeksen!AD224&lt;=Reeksen!AE224,(BA224-BC224)*X224,0)))</f>
        <v>0</v>
      </c>
      <c r="AB224" s="98">
        <f ca="1">IF(BD224&lt;1,IF(Reeksen!AD224&gt;Reeksen!AE224,X224*Reeksen!C224,0),IF(BC224&gt;=BA224,0,IF(Reeksen!AD224&gt;Reeksen!AE224,(BA224-BC224)*X224,0)))</f>
        <v>0</v>
      </c>
      <c r="AC224" s="99">
        <f t="shared" ca="1" si="59"/>
        <v>0</v>
      </c>
      <c r="AD224" s="98">
        <f ca="1">IF('Invoer gegevens'!$C$17=E224,R224,IF(C224=0,0,AE223))</f>
        <v>0</v>
      </c>
      <c r="AE224" s="98">
        <f t="shared" ca="1" si="60"/>
        <v>0</v>
      </c>
      <c r="AF224" s="98">
        <f ca="1">IF('Invoer gegevens'!$C$17=E224,X224,IF(C224=0,0,AG223))</f>
        <v>0</v>
      </c>
      <c r="AG224" s="98">
        <f t="shared" ca="1" si="61"/>
        <v>0</v>
      </c>
      <c r="AH224" s="66"/>
      <c r="AI224" s="71">
        <f ca="1">IF(C224=1,Reeksen!AI224*((F224+K224)/2)*12+Reeksen!AD224*((L224+Q224)/2)*12,0)</f>
        <v>0</v>
      </c>
      <c r="AJ224" s="71">
        <f ca="1">-AI224*'Invoer gegevens'!$F$28</f>
        <v>0</v>
      </c>
      <c r="AK224" s="71">
        <f t="shared" ca="1" si="62"/>
        <v>0</v>
      </c>
      <c r="AL224" s="71">
        <f ca="1">IF(C224=1,Reeksen!AL224*((F224-G224+F224)/2)*12+Reeksen!AM224*((L224-M224+L224)/2)*12,0)</f>
        <v>0</v>
      </c>
      <c r="AM224" s="71">
        <f ca="1">-AL224*'Invoer gegevens'!$F$31</f>
        <v>0</v>
      </c>
      <c r="AN224" s="71">
        <f t="shared" ca="1" si="63"/>
        <v>0</v>
      </c>
      <c r="AO224" s="71">
        <f ca="1">IF(C224=1,(H224+J224+N224+P224)*Reeksen!AN224,0)</f>
        <v>0</v>
      </c>
      <c r="AP224" s="71">
        <f ca="1">-IF(C224=1,(H224+J224+N224+P224)*'Hulp - basis'!$G$550*Reeksen!H224,0)</f>
        <v>0</v>
      </c>
      <c r="AQ224" s="71">
        <f ca="1">-IF(C224=1,(F224+K224+L224+Q224)/2*'Invoer gegevens'!$F$35*Reeksen!J224,0)*2</f>
        <v>0</v>
      </c>
      <c r="AR224" s="71">
        <f ca="1">IF(BD224&lt;1,-IF(C224=1,(G224*'Invoer gegevens'!$F$36)*Reeksen!J224,0),0)</f>
        <v>0</v>
      </c>
      <c r="AS224" s="71">
        <f ca="1">-IF(C224=1,(F224+K224+L224+Q224)/2*'Invoer gegevens'!$F$37*Reeksen!L224,0)</f>
        <v>0</v>
      </c>
      <c r="AT224" s="71">
        <f ca="1">-IF(C224=1,IF(E224='Invoer gegevens'!$C$17,'Invoer gegevens'!$C$11,AD224)*Reeksen!S224*'Invoer gegevens'!$C$18*Reeksen!P224,0)</f>
        <v>0</v>
      </c>
      <c r="AU224" s="71">
        <f ca="1">-IF(C224=1,(F224+K224+L224+Q224)/2*'Invoer gegevens'!$F$38*Reeksen!H224,0)</f>
        <v>0</v>
      </c>
      <c r="AV224" s="71">
        <f t="shared" si="67"/>
        <v>0</v>
      </c>
      <c r="AW224" s="71">
        <f t="shared" ca="1" si="64"/>
        <v>0</v>
      </c>
      <c r="AX224" s="71">
        <f ca="1">IF(E224&lt;'Invoer gegevens'!$C$17+15,0,IF(E224&gt;'Invoer gegevens'!$C$17+215,0,AW224))</f>
        <v>0</v>
      </c>
      <c r="AY224" s="71">
        <f ca="1">AX224/(1+'Invoer gegevens'!$F$18)^($AZ224-('Invoer gegevens'!$C$17-'Invoer gegevens'!$C$16))/(1+'Invoer gegevens'!$C$39)^('Invoer gegevens'!$C$17-'Invoer gegevens'!$C$16)</f>
        <v>0</v>
      </c>
      <c r="AZ224" s="68">
        <f ca="1">IF(E224-'Invoer gegevens'!$C$17-14.5&lt;0,0,E224-'Invoer gegevens'!$C$17-14.5)</f>
        <v>204.5</v>
      </c>
      <c r="BA224" s="109">
        <f ca="1">IFERROR(VLOOKUP(E224-15,Reeksen!$A$5:$D$234,2,FALSE),0)</f>
        <v>0</v>
      </c>
      <c r="BB224" s="109">
        <f ca="1">IFERROR(VLOOKUP(E224-15,Reeksen!$A$5:$D$234,3,FALSE),0)</f>
        <v>0</v>
      </c>
      <c r="BC224" s="109">
        <f ca="1">IFERROR(VLOOKUP(E224-15,Reeksen!$A$5:$D$234,4,FALSE),0)</f>
        <v>0</v>
      </c>
      <c r="BD224" s="67">
        <f ca="1">IF(E224-'Invoer gegevens'!$C$17&lt;15,0,1)</f>
        <v>1</v>
      </c>
    </row>
    <row r="225" spans="1:57" x14ac:dyDescent="0.25">
      <c r="A225" s="59"/>
      <c r="B225" s="70">
        <f t="shared" si="65"/>
        <v>221</v>
      </c>
      <c r="C225" s="67">
        <f ca="1">IF(E225-'Invoer gegevens'!$C$17&lt;0,0,1)</f>
        <v>1</v>
      </c>
      <c r="D225" s="68">
        <f t="shared" si="66"/>
        <v>220.5</v>
      </c>
      <c r="E225" s="108">
        <f ca="1">IF('Invoer gegevens'!$C$16="","",E224+1)</f>
        <v>2239</v>
      </c>
      <c r="F225" s="84">
        <f ca="1">IF('Invoer gegevens'!$C$17=E225,'Invoer gegevens'!$C$10,IF(C225=1,K224,0))</f>
        <v>0</v>
      </c>
      <c r="G225" s="96">
        <f ca="1">IF(BD225&lt;1,F225*Reeksen!C225,IF(C225&gt;=1,F225*BA225,0))</f>
        <v>0</v>
      </c>
      <c r="H225" s="84">
        <f ca="1">(1-('Invoer gegevens'!$F$20/12))*F225*MIN(BA225,BC225)</f>
        <v>0</v>
      </c>
      <c r="I225" s="84">
        <f t="shared" ca="1" si="51"/>
        <v>0</v>
      </c>
      <c r="J225" s="84">
        <f ca="1">('Invoer gegevens'!$F$20/12)*F224*MIN(BA225,BC225)</f>
        <v>0</v>
      </c>
      <c r="K225" s="97">
        <f t="shared" ca="1" si="56"/>
        <v>0</v>
      </c>
      <c r="L225" s="84">
        <f ca="1">IF('Invoer gegevens'!$C$17=E225,0,IF(C225=1,Q224,0))</f>
        <v>0</v>
      </c>
      <c r="M225" s="96">
        <f t="shared" ca="1" si="52"/>
        <v>0</v>
      </c>
      <c r="N225" s="84">
        <f ca="1">(1-('Invoer gegevens'!$F$20/12))*L225*MIN(BA225,BC225)</f>
        <v>0</v>
      </c>
      <c r="O225" s="84">
        <f t="shared" ca="1" si="53"/>
        <v>0</v>
      </c>
      <c r="P225" s="84">
        <f ca="1">('Invoer gegevens'!$F$20/12)*L224*MIN(BA225,BC225)</f>
        <v>0</v>
      </c>
      <c r="Q225" s="84">
        <f t="shared" ca="1" si="57"/>
        <v>0</v>
      </c>
      <c r="R225" s="85">
        <f ca="1">IF('Invoer gegevens'!$C$17=E225,'Invoer gegevens'!$C$11,IF(C225=1,W224,0))</f>
        <v>0</v>
      </c>
      <c r="S225" s="86">
        <f t="shared" ca="1" si="54"/>
        <v>0</v>
      </c>
      <c r="T225" s="86">
        <f ca="1">(1-('Invoer gegevens'!$F$20/12))*R225*MIN(BC225,BA225)</f>
        <v>0</v>
      </c>
      <c r="U225" s="86">
        <f ca="1">IF(BD225&lt;1,IF(Reeksen!AD225&lt;=Reeksen!AE225,R225*Reeksen!C225,0),IF(BC225&gt;=BA225,0,IF(Reeksen!AD225&lt;=Reeksen!AE225,(BA225-BC225)*R225,0)))</f>
        <v>0</v>
      </c>
      <c r="V225" s="86">
        <f ca="1">IF(BD225&lt;1,IF(Reeksen!AD225&gt;Reeksen!AE225,R225*Reeksen!C225,0),IF(BC225&gt;=BA225,0,IF(Reeksen!AD225&gt;Reeksen!AE225,(BA225-BC225)*R225,0)))</f>
        <v>0</v>
      </c>
      <c r="W225" s="218">
        <f t="shared" ca="1" si="58"/>
        <v>0</v>
      </c>
      <c r="X225" s="98">
        <f ca="1">IF('Invoer gegevens'!$C$17=E225,'Invoer gegevens'!$C$10-'Invoer gegevens'!$C$11,IF(C225=1,AC224,0))</f>
        <v>0</v>
      </c>
      <c r="Y225" s="98">
        <f t="shared" ca="1" si="55"/>
        <v>0</v>
      </c>
      <c r="Z225" s="98">
        <f ca="1">(1-('Invoer gegevens'!$F$20/12))*X225*MIN(BA225,BC225)</f>
        <v>0</v>
      </c>
      <c r="AA225" s="98">
        <f ca="1">IF(BD225&lt;1,IF(Reeksen!AD225&lt;=Reeksen!AE225,X225*Reeksen!C225,0),IF(BC225&gt;=BA225,0,IF(Reeksen!AD225&lt;=Reeksen!AE225,(BA225-BC225)*X225,0)))</f>
        <v>0</v>
      </c>
      <c r="AB225" s="98">
        <f ca="1">IF(BD225&lt;1,IF(Reeksen!AD225&gt;Reeksen!AE225,X225*Reeksen!C225,0),IF(BC225&gt;=BA225,0,IF(Reeksen!AD225&gt;Reeksen!AE225,(BA225-BC225)*X225,0)))</f>
        <v>0</v>
      </c>
      <c r="AC225" s="99">
        <f t="shared" ca="1" si="59"/>
        <v>0</v>
      </c>
      <c r="AD225" s="98">
        <f ca="1">IF('Invoer gegevens'!$C$17=E225,R225,IF(C225=0,0,AE224))</f>
        <v>0</v>
      </c>
      <c r="AE225" s="98">
        <f t="shared" ca="1" si="60"/>
        <v>0</v>
      </c>
      <c r="AF225" s="98">
        <f ca="1">IF('Invoer gegevens'!$C$17=E225,X225,IF(C225=0,0,AG224))</f>
        <v>0</v>
      </c>
      <c r="AG225" s="98">
        <f t="shared" ca="1" si="61"/>
        <v>0</v>
      </c>
      <c r="AH225" s="66"/>
      <c r="AI225" s="71">
        <f ca="1">IF(C225=1,Reeksen!AI225*((F225+K225)/2)*12+Reeksen!AD225*((L225+Q225)/2)*12,0)</f>
        <v>0</v>
      </c>
      <c r="AJ225" s="71">
        <f ca="1">-AI225*'Invoer gegevens'!$F$28</f>
        <v>0</v>
      </c>
      <c r="AK225" s="71">
        <f t="shared" ca="1" si="62"/>
        <v>0</v>
      </c>
      <c r="AL225" s="71">
        <f ca="1">IF(C225=1,Reeksen!AL225*((F225-G225+F225)/2)*12+Reeksen!AM225*((L225-M225+L225)/2)*12,0)</f>
        <v>0</v>
      </c>
      <c r="AM225" s="71">
        <f ca="1">-AL225*'Invoer gegevens'!$F$31</f>
        <v>0</v>
      </c>
      <c r="AN225" s="71">
        <f t="shared" ca="1" si="63"/>
        <v>0</v>
      </c>
      <c r="AO225" s="71">
        <f ca="1">IF(C225=1,(H225+J225+N225+P225)*Reeksen!AN225,0)</f>
        <v>0</v>
      </c>
      <c r="AP225" s="71">
        <f ca="1">-IF(C225=1,(H225+J225+N225+P225)*'Hulp - basis'!$G$550*Reeksen!H225,0)</f>
        <v>0</v>
      </c>
      <c r="AQ225" s="71">
        <f ca="1">-IF(C225=1,(F225+K225+L225+Q225)/2*'Invoer gegevens'!$F$35*Reeksen!J225,0)*2</f>
        <v>0</v>
      </c>
      <c r="AR225" s="71">
        <f ca="1">IF(BD225&lt;1,-IF(C225=1,(G225*'Invoer gegevens'!$F$36)*Reeksen!J225,0),0)</f>
        <v>0</v>
      </c>
      <c r="AS225" s="71">
        <f ca="1">-IF(C225=1,(F225+K225+L225+Q225)/2*'Invoer gegevens'!$F$37*Reeksen!L225,0)</f>
        <v>0</v>
      </c>
      <c r="AT225" s="71">
        <f ca="1">-IF(C225=1,IF(E225='Invoer gegevens'!$C$17,'Invoer gegevens'!$C$11,AD225)*Reeksen!S225*'Invoer gegevens'!$C$18*Reeksen!P225,0)</f>
        <v>0</v>
      </c>
      <c r="AU225" s="71">
        <f ca="1">-IF(C225=1,(F225+K225+L225+Q225)/2*'Invoer gegevens'!$F$38*Reeksen!H225,0)</f>
        <v>0</v>
      </c>
      <c r="AV225" s="71">
        <f t="shared" si="67"/>
        <v>0</v>
      </c>
      <c r="AW225" s="71">
        <f t="shared" ca="1" si="64"/>
        <v>0</v>
      </c>
      <c r="AX225" s="71">
        <f ca="1">IF(E225&lt;'Invoer gegevens'!$C$17+15,0,IF(E225&gt;'Invoer gegevens'!$C$17+215,0,AW225))</f>
        <v>0</v>
      </c>
      <c r="AY225" s="71">
        <f ca="1">AX225/(1+'Invoer gegevens'!$F$18)^($AZ225-('Invoer gegevens'!$C$17-'Invoer gegevens'!$C$16))/(1+'Invoer gegevens'!$C$39)^('Invoer gegevens'!$C$17-'Invoer gegevens'!$C$16)</f>
        <v>0</v>
      </c>
      <c r="AZ225" s="68">
        <f ca="1">IF(E225-'Invoer gegevens'!$C$17-14.5&lt;0,0,E225-'Invoer gegevens'!$C$17-14.5)</f>
        <v>205.5</v>
      </c>
      <c r="BA225" s="109">
        <f ca="1">IFERROR(VLOOKUP(E225-15,Reeksen!$A$5:$D$234,2,FALSE),0)</f>
        <v>0</v>
      </c>
      <c r="BB225" s="109">
        <f ca="1">IFERROR(VLOOKUP(E225-15,Reeksen!$A$5:$D$234,3,FALSE),0)</f>
        <v>0</v>
      </c>
      <c r="BC225" s="109">
        <f ca="1">IFERROR(VLOOKUP(E225-15,Reeksen!$A$5:$D$234,4,FALSE),0)</f>
        <v>0</v>
      </c>
      <c r="BD225" s="67">
        <f ca="1">IF(E225-'Invoer gegevens'!$C$17&lt;15,0,1)</f>
        <v>1</v>
      </c>
    </row>
    <row r="226" spans="1:57" x14ac:dyDescent="0.25">
      <c r="A226" s="59"/>
      <c r="B226" s="70">
        <f t="shared" si="65"/>
        <v>222</v>
      </c>
      <c r="C226" s="67">
        <f ca="1">IF(E226-'Invoer gegevens'!$C$17&lt;0,0,1)</f>
        <v>1</v>
      </c>
      <c r="D226" s="68">
        <f t="shared" si="66"/>
        <v>221.5</v>
      </c>
      <c r="E226" s="108">
        <f ca="1">IF('Invoer gegevens'!$C$16="","",E225+1)</f>
        <v>2240</v>
      </c>
      <c r="F226" s="84">
        <f ca="1">IF('Invoer gegevens'!$C$17=E226,'Invoer gegevens'!$C$10,IF(C226=1,K225,0))</f>
        <v>0</v>
      </c>
      <c r="G226" s="96">
        <f ca="1">IF(BD226&lt;1,F226*Reeksen!C226,IF(C226&gt;=1,F226*BA226,0))</f>
        <v>0</v>
      </c>
      <c r="H226" s="84">
        <f ca="1">(1-('Invoer gegevens'!$F$20/12))*F226*MIN(BA226,BC226)</f>
        <v>0</v>
      </c>
      <c r="I226" s="84">
        <f t="shared" ca="1" si="51"/>
        <v>0</v>
      </c>
      <c r="J226" s="84">
        <f ca="1">('Invoer gegevens'!$F$20/12)*F225*MIN(BA226,BC226)</f>
        <v>0</v>
      </c>
      <c r="K226" s="97">
        <f t="shared" ca="1" si="56"/>
        <v>0</v>
      </c>
      <c r="L226" s="84">
        <f ca="1">IF('Invoer gegevens'!$C$17=E226,0,IF(C226=1,Q225,0))</f>
        <v>0</v>
      </c>
      <c r="M226" s="96">
        <f t="shared" ca="1" si="52"/>
        <v>0</v>
      </c>
      <c r="N226" s="84">
        <f ca="1">(1-('Invoer gegevens'!$F$20/12))*L226*MIN(BA226,BC226)</f>
        <v>0</v>
      </c>
      <c r="O226" s="84">
        <f t="shared" ca="1" si="53"/>
        <v>0</v>
      </c>
      <c r="P226" s="84">
        <f ca="1">('Invoer gegevens'!$F$20/12)*L225*MIN(BA226,BC226)</f>
        <v>0</v>
      </c>
      <c r="Q226" s="84">
        <f t="shared" ca="1" si="57"/>
        <v>0</v>
      </c>
      <c r="R226" s="85">
        <f ca="1">IF('Invoer gegevens'!$C$17=E226,'Invoer gegevens'!$C$11,IF(C226=1,W225,0))</f>
        <v>0</v>
      </c>
      <c r="S226" s="86">
        <f t="shared" ca="1" si="54"/>
        <v>0</v>
      </c>
      <c r="T226" s="86">
        <f ca="1">(1-('Invoer gegevens'!$F$20/12))*R226*MIN(BC226,BA226)</f>
        <v>0</v>
      </c>
      <c r="U226" s="86">
        <f ca="1">IF(BD226&lt;1,IF(Reeksen!AD226&lt;=Reeksen!AE226,R226*Reeksen!C226,0),IF(BC226&gt;=BA226,0,IF(Reeksen!AD226&lt;=Reeksen!AE226,(BA226-BC226)*R226,0)))</f>
        <v>0</v>
      </c>
      <c r="V226" s="86">
        <f ca="1">IF(BD226&lt;1,IF(Reeksen!AD226&gt;Reeksen!AE226,R226*Reeksen!C226,0),IF(BC226&gt;=BA226,0,IF(Reeksen!AD226&gt;Reeksen!AE226,(BA226-BC226)*R226,0)))</f>
        <v>0</v>
      </c>
      <c r="W226" s="218">
        <f t="shared" ca="1" si="58"/>
        <v>0</v>
      </c>
      <c r="X226" s="98">
        <f ca="1">IF('Invoer gegevens'!$C$17=E226,'Invoer gegevens'!$C$10-'Invoer gegevens'!$C$11,IF(C226=1,AC225,0))</f>
        <v>0</v>
      </c>
      <c r="Y226" s="98">
        <f t="shared" ca="1" si="55"/>
        <v>0</v>
      </c>
      <c r="Z226" s="98">
        <f ca="1">(1-('Invoer gegevens'!$F$20/12))*X226*MIN(BA226,BC226)</f>
        <v>0</v>
      </c>
      <c r="AA226" s="98">
        <f ca="1">IF(BD226&lt;1,IF(Reeksen!AD226&lt;=Reeksen!AE226,X226*Reeksen!C226,0),IF(BC226&gt;=BA226,0,IF(Reeksen!AD226&lt;=Reeksen!AE226,(BA226-BC226)*X226,0)))</f>
        <v>0</v>
      </c>
      <c r="AB226" s="98">
        <f ca="1">IF(BD226&lt;1,IF(Reeksen!AD226&gt;Reeksen!AE226,X226*Reeksen!C226,0),IF(BC226&gt;=BA226,0,IF(Reeksen!AD226&gt;Reeksen!AE226,(BA226-BC226)*X226,0)))</f>
        <v>0</v>
      </c>
      <c r="AC226" s="99">
        <f t="shared" ca="1" si="59"/>
        <v>0</v>
      </c>
      <c r="AD226" s="98">
        <f ca="1">IF('Invoer gegevens'!$C$17=E226,R226,IF(C226=0,0,AE225))</f>
        <v>0</v>
      </c>
      <c r="AE226" s="98">
        <f t="shared" ca="1" si="60"/>
        <v>0</v>
      </c>
      <c r="AF226" s="98">
        <f ca="1">IF('Invoer gegevens'!$C$17=E226,X226,IF(C226=0,0,AG225))</f>
        <v>0</v>
      </c>
      <c r="AG226" s="98">
        <f t="shared" ca="1" si="61"/>
        <v>0</v>
      </c>
      <c r="AH226" s="66"/>
      <c r="AI226" s="71">
        <f ca="1">IF(C226=1,Reeksen!AI226*((F226+K226)/2)*12+Reeksen!AD226*((L226+Q226)/2)*12,0)</f>
        <v>0</v>
      </c>
      <c r="AJ226" s="71">
        <f ca="1">-AI226*'Invoer gegevens'!$F$28</f>
        <v>0</v>
      </c>
      <c r="AK226" s="71">
        <f t="shared" ca="1" si="62"/>
        <v>0</v>
      </c>
      <c r="AL226" s="71">
        <f ca="1">IF(C226=1,Reeksen!AL226*((F226-G226+F226)/2)*12+Reeksen!AM226*((L226-M226+L226)/2)*12,0)</f>
        <v>0</v>
      </c>
      <c r="AM226" s="71">
        <f ca="1">-AL226*'Invoer gegevens'!$F$31</f>
        <v>0</v>
      </c>
      <c r="AN226" s="71">
        <f t="shared" ca="1" si="63"/>
        <v>0</v>
      </c>
      <c r="AO226" s="71">
        <f ca="1">IF(C226=1,(H226+J226+N226+P226)*Reeksen!AN226,0)</f>
        <v>0</v>
      </c>
      <c r="AP226" s="71">
        <f ca="1">-IF(C226=1,(H226+J226+N226+P226)*'Hulp - basis'!$G$550*Reeksen!H226,0)</f>
        <v>0</v>
      </c>
      <c r="AQ226" s="71">
        <f ca="1">-IF(C226=1,(F226+K226+L226+Q226)/2*'Invoer gegevens'!$F$35*Reeksen!J226,0)*2</f>
        <v>0</v>
      </c>
      <c r="AR226" s="71">
        <f ca="1">IF(BD226&lt;1,-IF(C226=1,(G226*'Invoer gegevens'!$F$36)*Reeksen!J226,0),0)</f>
        <v>0</v>
      </c>
      <c r="AS226" s="71">
        <f ca="1">-IF(C226=1,(F226+K226+L226+Q226)/2*'Invoer gegevens'!$F$37*Reeksen!L226,0)</f>
        <v>0</v>
      </c>
      <c r="AT226" s="71">
        <f ca="1">-IF(C226=1,IF(E226='Invoer gegevens'!$C$17,'Invoer gegevens'!$C$11,AD226)*Reeksen!S226*'Invoer gegevens'!$C$18*Reeksen!P226,0)</f>
        <v>0</v>
      </c>
      <c r="AU226" s="71">
        <f ca="1">-IF(C226=1,(F226+K226+L226+Q226)/2*'Invoer gegevens'!$F$38*Reeksen!H226,0)</f>
        <v>0</v>
      </c>
      <c r="AV226" s="71">
        <f t="shared" si="67"/>
        <v>0</v>
      </c>
      <c r="AW226" s="71">
        <f t="shared" ca="1" si="64"/>
        <v>0</v>
      </c>
      <c r="AX226" s="71">
        <f ca="1">IF(E226&lt;'Invoer gegevens'!$C$17+15,0,IF(E226&gt;'Invoer gegevens'!$C$17+215,0,AW226))</f>
        <v>0</v>
      </c>
      <c r="AY226" s="71">
        <f ca="1">AX226/(1+'Invoer gegevens'!$F$18)^($AZ226-('Invoer gegevens'!$C$17-'Invoer gegevens'!$C$16))/(1+'Invoer gegevens'!$C$39)^('Invoer gegevens'!$C$17-'Invoer gegevens'!$C$16)</f>
        <v>0</v>
      </c>
      <c r="AZ226" s="68">
        <f ca="1">IF(E226-'Invoer gegevens'!$C$17-14.5&lt;0,0,E226-'Invoer gegevens'!$C$17-14.5)</f>
        <v>206.5</v>
      </c>
      <c r="BA226" s="109">
        <f ca="1">IFERROR(VLOOKUP(E226-15,Reeksen!$A$5:$D$234,2,FALSE),0)</f>
        <v>0</v>
      </c>
      <c r="BB226" s="109">
        <f ca="1">IFERROR(VLOOKUP(E226-15,Reeksen!$A$5:$D$234,3,FALSE),0)</f>
        <v>0</v>
      </c>
      <c r="BC226" s="109">
        <f ca="1">IFERROR(VLOOKUP(E226-15,Reeksen!$A$5:$D$234,4,FALSE),0)</f>
        <v>0</v>
      </c>
      <c r="BD226" s="67">
        <f ca="1">IF(E226-'Invoer gegevens'!$C$17&lt;15,0,1)</f>
        <v>1</v>
      </c>
    </row>
    <row r="227" spans="1:57" x14ac:dyDescent="0.25">
      <c r="A227" s="59"/>
      <c r="B227" s="70">
        <f t="shared" si="65"/>
        <v>223</v>
      </c>
      <c r="C227" s="67">
        <f ca="1">IF(E227-'Invoer gegevens'!$C$17&lt;0,0,1)</f>
        <v>1</v>
      </c>
      <c r="D227" s="68">
        <f t="shared" si="66"/>
        <v>222.5</v>
      </c>
      <c r="E227" s="108">
        <f ca="1">IF('Invoer gegevens'!$C$16="","",E226+1)</f>
        <v>2241</v>
      </c>
      <c r="F227" s="84">
        <f ca="1">IF('Invoer gegevens'!$C$17=E227,'Invoer gegevens'!$C$10,IF(C227=1,K226,0))</f>
        <v>0</v>
      </c>
      <c r="G227" s="96">
        <f ca="1">IF(BD227&lt;1,F227*Reeksen!C227,IF(C227&gt;=1,F227*BA227,0))</f>
        <v>0</v>
      </c>
      <c r="H227" s="84">
        <f ca="1">(1-('Invoer gegevens'!$F$20/12))*F227*MIN(BA227,BC227)</f>
        <v>0</v>
      </c>
      <c r="I227" s="84">
        <f t="shared" ca="1" si="51"/>
        <v>0</v>
      </c>
      <c r="J227" s="84">
        <f ca="1">('Invoer gegevens'!$F$20/12)*F226*MIN(BA227,BC227)</f>
        <v>0</v>
      </c>
      <c r="K227" s="97">
        <f t="shared" ca="1" si="56"/>
        <v>0</v>
      </c>
      <c r="L227" s="84">
        <f ca="1">IF('Invoer gegevens'!$C$17=E227,0,IF(C227=1,Q226,0))</f>
        <v>0</v>
      </c>
      <c r="M227" s="96">
        <f t="shared" ca="1" si="52"/>
        <v>0</v>
      </c>
      <c r="N227" s="84">
        <f ca="1">(1-('Invoer gegevens'!$F$20/12))*L227*MIN(BA227,BC227)</f>
        <v>0</v>
      </c>
      <c r="O227" s="84">
        <f t="shared" ca="1" si="53"/>
        <v>0</v>
      </c>
      <c r="P227" s="84">
        <f ca="1">('Invoer gegevens'!$F$20/12)*L226*MIN(BA227,BC227)</f>
        <v>0</v>
      </c>
      <c r="Q227" s="84">
        <f t="shared" ca="1" si="57"/>
        <v>0</v>
      </c>
      <c r="R227" s="85">
        <f ca="1">IF('Invoer gegevens'!$C$17=E227,'Invoer gegevens'!$C$11,IF(C227=1,W226,0))</f>
        <v>0</v>
      </c>
      <c r="S227" s="86">
        <f t="shared" ca="1" si="54"/>
        <v>0</v>
      </c>
      <c r="T227" s="86">
        <f ca="1">(1-('Invoer gegevens'!$F$20/12))*R227*MIN(BC227,BA227)</f>
        <v>0</v>
      </c>
      <c r="U227" s="86">
        <f ca="1">IF(BD227&lt;1,IF(Reeksen!AD227&lt;=Reeksen!AE227,R227*Reeksen!C227,0),IF(BC227&gt;=BA227,0,IF(Reeksen!AD227&lt;=Reeksen!AE227,(BA227-BC227)*R227,0)))</f>
        <v>0</v>
      </c>
      <c r="V227" s="86">
        <f ca="1">IF(BD227&lt;1,IF(Reeksen!AD227&gt;Reeksen!AE227,R227*Reeksen!C227,0),IF(BC227&gt;=BA227,0,IF(Reeksen!AD227&gt;Reeksen!AE227,(BA227-BC227)*R227,0)))</f>
        <v>0</v>
      </c>
      <c r="W227" s="218">
        <f t="shared" ca="1" si="58"/>
        <v>0</v>
      </c>
      <c r="X227" s="98">
        <f ca="1">IF('Invoer gegevens'!$C$17=E227,'Invoer gegevens'!$C$10-'Invoer gegevens'!$C$11,IF(C227=1,AC226,0))</f>
        <v>0</v>
      </c>
      <c r="Y227" s="98">
        <f t="shared" ca="1" si="55"/>
        <v>0</v>
      </c>
      <c r="Z227" s="98">
        <f ca="1">(1-('Invoer gegevens'!$F$20/12))*X227*MIN(BA227,BC227)</f>
        <v>0</v>
      </c>
      <c r="AA227" s="98">
        <f ca="1">IF(BD227&lt;1,IF(Reeksen!AD227&lt;=Reeksen!AE227,X227*Reeksen!C227,0),IF(BC227&gt;=BA227,0,IF(Reeksen!AD227&lt;=Reeksen!AE227,(BA227-BC227)*X227,0)))</f>
        <v>0</v>
      </c>
      <c r="AB227" s="98">
        <f ca="1">IF(BD227&lt;1,IF(Reeksen!AD227&gt;Reeksen!AE227,X227*Reeksen!C227,0),IF(BC227&gt;=BA227,0,IF(Reeksen!AD227&gt;Reeksen!AE227,(BA227-BC227)*X227,0)))</f>
        <v>0</v>
      </c>
      <c r="AC227" s="99">
        <f t="shared" ca="1" si="59"/>
        <v>0</v>
      </c>
      <c r="AD227" s="98">
        <f ca="1">IF('Invoer gegevens'!$C$17=E227,R227,IF(C227=0,0,AE226))</f>
        <v>0</v>
      </c>
      <c r="AE227" s="98">
        <f t="shared" ca="1" si="60"/>
        <v>0</v>
      </c>
      <c r="AF227" s="98">
        <f ca="1">IF('Invoer gegevens'!$C$17=E227,X227,IF(C227=0,0,AG226))</f>
        <v>0</v>
      </c>
      <c r="AG227" s="98">
        <f t="shared" ca="1" si="61"/>
        <v>0</v>
      </c>
      <c r="AH227" s="66"/>
      <c r="AI227" s="71">
        <f ca="1">IF(C227=1,Reeksen!AI227*((F227+K227)/2)*12+Reeksen!AD227*((L227+Q227)/2)*12,0)</f>
        <v>0</v>
      </c>
      <c r="AJ227" s="71">
        <f ca="1">-AI227*'Invoer gegevens'!$F$28</f>
        <v>0</v>
      </c>
      <c r="AK227" s="71">
        <f t="shared" ca="1" si="62"/>
        <v>0</v>
      </c>
      <c r="AL227" s="71">
        <f ca="1">IF(C227=1,Reeksen!AL227*((F227-G227+F227)/2)*12+Reeksen!AM227*((L227-M227+L227)/2)*12,0)</f>
        <v>0</v>
      </c>
      <c r="AM227" s="71">
        <f ca="1">-AL227*'Invoer gegevens'!$F$31</f>
        <v>0</v>
      </c>
      <c r="AN227" s="71">
        <f t="shared" ca="1" si="63"/>
        <v>0</v>
      </c>
      <c r="AO227" s="71">
        <f ca="1">IF(C227=1,(H227+J227+N227+P227)*Reeksen!AN227,0)</f>
        <v>0</v>
      </c>
      <c r="AP227" s="71">
        <f ca="1">-IF(C227=1,(H227+J227+N227+P227)*'Hulp - basis'!$G$550*Reeksen!H227,0)</f>
        <v>0</v>
      </c>
      <c r="AQ227" s="71">
        <f ca="1">-IF(C227=1,(F227+K227+L227+Q227)/2*'Invoer gegevens'!$F$35*Reeksen!J227,0)*2</f>
        <v>0</v>
      </c>
      <c r="AR227" s="71">
        <f ca="1">IF(BD227&lt;1,-IF(C227=1,(G227*'Invoer gegevens'!$F$36)*Reeksen!J227,0),0)</f>
        <v>0</v>
      </c>
      <c r="AS227" s="71">
        <f ca="1">-IF(C227=1,(F227+K227+L227+Q227)/2*'Invoer gegevens'!$F$37*Reeksen!L227,0)</f>
        <v>0</v>
      </c>
      <c r="AT227" s="71">
        <f ca="1">-IF(C227=1,IF(E227='Invoer gegevens'!$C$17,'Invoer gegevens'!$C$11,AD227)*Reeksen!S227*'Invoer gegevens'!$C$18*Reeksen!P227,0)</f>
        <v>0</v>
      </c>
      <c r="AU227" s="71">
        <f ca="1">-IF(C227=1,(F227+K227+L227+Q227)/2*'Invoer gegevens'!$F$38*Reeksen!H227,0)</f>
        <v>0</v>
      </c>
      <c r="AV227" s="71">
        <f t="shared" si="67"/>
        <v>0</v>
      </c>
      <c r="AW227" s="71">
        <f t="shared" ca="1" si="64"/>
        <v>0</v>
      </c>
      <c r="AX227" s="71">
        <f ca="1">IF(E227&lt;'Invoer gegevens'!$C$17+15,0,IF(E227&gt;'Invoer gegevens'!$C$17+215,0,AW227))</f>
        <v>0</v>
      </c>
      <c r="AY227" s="71">
        <f ca="1">AX227/(1+'Invoer gegevens'!$F$18)^($AZ227-('Invoer gegevens'!$C$17-'Invoer gegevens'!$C$16))/(1+'Invoer gegevens'!$C$39)^('Invoer gegevens'!$C$17-'Invoer gegevens'!$C$16)</f>
        <v>0</v>
      </c>
      <c r="AZ227" s="68">
        <f ca="1">IF(E227-'Invoer gegevens'!$C$17-14.5&lt;0,0,E227-'Invoer gegevens'!$C$17-14.5)</f>
        <v>207.5</v>
      </c>
      <c r="BA227" s="109">
        <f ca="1">IFERROR(VLOOKUP(E227-15,Reeksen!$A$5:$D$234,2,FALSE),0)</f>
        <v>0</v>
      </c>
      <c r="BB227" s="109">
        <f ca="1">IFERROR(VLOOKUP(E227-15,Reeksen!$A$5:$D$234,3,FALSE),0)</f>
        <v>0</v>
      </c>
      <c r="BC227" s="109">
        <f ca="1">IFERROR(VLOOKUP(E227-15,Reeksen!$A$5:$D$234,4,FALSE),0)</f>
        <v>0</v>
      </c>
      <c r="BD227" s="67">
        <f ca="1">IF(E227-'Invoer gegevens'!$C$17&lt;15,0,1)</f>
        <v>1</v>
      </c>
    </row>
    <row r="228" spans="1:57" x14ac:dyDescent="0.25">
      <c r="A228" s="59"/>
      <c r="B228" s="70">
        <f t="shared" si="65"/>
        <v>224</v>
      </c>
      <c r="C228" s="67">
        <f ca="1">IF(E228-'Invoer gegevens'!$C$17&lt;0,0,1)</f>
        <v>1</v>
      </c>
      <c r="D228" s="68">
        <f t="shared" si="66"/>
        <v>223.5</v>
      </c>
      <c r="E228" s="108">
        <f ca="1">IF('Invoer gegevens'!$C$16="","",E227+1)</f>
        <v>2242</v>
      </c>
      <c r="F228" s="84">
        <f ca="1">IF('Invoer gegevens'!$C$17=E228,'Invoer gegevens'!$C$10,IF(C228=1,K227,0))</f>
        <v>0</v>
      </c>
      <c r="G228" s="96">
        <f ca="1">IF(BD228&lt;1,F228*Reeksen!C228,IF(C228&gt;=1,F228*BA228,0))</f>
        <v>0</v>
      </c>
      <c r="H228" s="84">
        <f ca="1">(1-('Invoer gegevens'!$F$20/12))*F228*MIN(BA228,BC228)</f>
        <v>0</v>
      </c>
      <c r="I228" s="84">
        <f t="shared" ca="1" si="51"/>
        <v>0</v>
      </c>
      <c r="J228" s="84">
        <f ca="1">('Invoer gegevens'!$F$20/12)*F227*MIN(BA228,BC228)</f>
        <v>0</v>
      </c>
      <c r="K228" s="97">
        <f t="shared" ca="1" si="56"/>
        <v>0</v>
      </c>
      <c r="L228" s="84">
        <f ca="1">IF('Invoer gegevens'!$C$17=E228,0,IF(C228=1,Q227,0))</f>
        <v>0</v>
      </c>
      <c r="M228" s="96">
        <f t="shared" ca="1" si="52"/>
        <v>0</v>
      </c>
      <c r="N228" s="84">
        <f ca="1">(1-('Invoer gegevens'!$F$20/12))*L228*MIN(BA228,BC228)</f>
        <v>0</v>
      </c>
      <c r="O228" s="84">
        <f t="shared" ca="1" si="53"/>
        <v>0</v>
      </c>
      <c r="P228" s="84">
        <f ca="1">('Invoer gegevens'!$F$20/12)*L227*MIN(BA228,BC228)</f>
        <v>0</v>
      </c>
      <c r="Q228" s="84">
        <f t="shared" ca="1" si="57"/>
        <v>0</v>
      </c>
      <c r="R228" s="85">
        <f ca="1">IF('Invoer gegevens'!$C$17=E228,'Invoer gegevens'!$C$11,IF(C228=1,W227,0))</f>
        <v>0</v>
      </c>
      <c r="S228" s="86">
        <f t="shared" ca="1" si="54"/>
        <v>0</v>
      </c>
      <c r="T228" s="86">
        <f ca="1">(1-('Invoer gegevens'!$F$20/12))*R228*MIN(BC228,BA228)</f>
        <v>0</v>
      </c>
      <c r="U228" s="86">
        <f ca="1">IF(BD228&lt;1,IF(Reeksen!AD228&lt;=Reeksen!AE228,R228*Reeksen!C228,0),IF(BC228&gt;=BA228,0,IF(Reeksen!AD228&lt;=Reeksen!AE228,(BA228-BC228)*R228,0)))</f>
        <v>0</v>
      </c>
      <c r="V228" s="86">
        <f ca="1">IF(BD228&lt;1,IF(Reeksen!AD228&gt;Reeksen!AE228,R228*Reeksen!C228,0),IF(BC228&gt;=BA228,0,IF(Reeksen!AD228&gt;Reeksen!AE228,(BA228-BC228)*R228,0)))</f>
        <v>0</v>
      </c>
      <c r="W228" s="218">
        <f t="shared" ca="1" si="58"/>
        <v>0</v>
      </c>
      <c r="X228" s="98">
        <f ca="1">IF('Invoer gegevens'!$C$17=E228,'Invoer gegevens'!$C$10-'Invoer gegevens'!$C$11,IF(C228=1,AC227,0))</f>
        <v>0</v>
      </c>
      <c r="Y228" s="98">
        <f t="shared" ca="1" si="55"/>
        <v>0</v>
      </c>
      <c r="Z228" s="98">
        <f ca="1">(1-('Invoer gegevens'!$F$20/12))*X228*MIN(BA228,BC228)</f>
        <v>0</v>
      </c>
      <c r="AA228" s="98">
        <f ca="1">IF(BD228&lt;1,IF(Reeksen!AD228&lt;=Reeksen!AE228,X228*Reeksen!C228,0),IF(BC228&gt;=BA228,0,IF(Reeksen!AD228&lt;=Reeksen!AE228,(BA228-BC228)*X228,0)))</f>
        <v>0</v>
      </c>
      <c r="AB228" s="98">
        <f ca="1">IF(BD228&lt;1,IF(Reeksen!AD228&gt;Reeksen!AE228,X228*Reeksen!C228,0),IF(BC228&gt;=BA228,0,IF(Reeksen!AD228&gt;Reeksen!AE228,(BA228-BC228)*X228,0)))</f>
        <v>0</v>
      </c>
      <c r="AC228" s="99">
        <f t="shared" ca="1" si="59"/>
        <v>0</v>
      </c>
      <c r="AD228" s="98">
        <f ca="1">IF('Invoer gegevens'!$C$17=E228,R228,IF(C228=0,0,AE227))</f>
        <v>0</v>
      </c>
      <c r="AE228" s="98">
        <f t="shared" ca="1" si="60"/>
        <v>0</v>
      </c>
      <c r="AF228" s="98">
        <f ca="1">IF('Invoer gegevens'!$C$17=E228,X228,IF(C228=0,0,AG227))</f>
        <v>0</v>
      </c>
      <c r="AG228" s="98">
        <f t="shared" ca="1" si="61"/>
        <v>0</v>
      </c>
      <c r="AH228" s="66"/>
      <c r="AI228" s="71">
        <f ca="1">IF(C228=1,Reeksen!AI228*((F228+K228)/2)*12+Reeksen!AD228*((L228+Q228)/2)*12,0)</f>
        <v>0</v>
      </c>
      <c r="AJ228" s="71">
        <f ca="1">-AI228*'Invoer gegevens'!$F$28</f>
        <v>0</v>
      </c>
      <c r="AK228" s="71">
        <f t="shared" ca="1" si="62"/>
        <v>0</v>
      </c>
      <c r="AL228" s="71">
        <f ca="1">IF(C228=1,Reeksen!AL228*((F228-G228+F228)/2)*12+Reeksen!AM228*((L228-M228+L228)/2)*12,0)</f>
        <v>0</v>
      </c>
      <c r="AM228" s="71">
        <f ca="1">-AL228*'Invoer gegevens'!$F$31</f>
        <v>0</v>
      </c>
      <c r="AN228" s="71">
        <f t="shared" ca="1" si="63"/>
        <v>0</v>
      </c>
      <c r="AO228" s="71">
        <f ca="1">IF(C228=1,(H228+J228+N228+P228)*Reeksen!AN228,0)</f>
        <v>0</v>
      </c>
      <c r="AP228" s="71">
        <f ca="1">-IF(C228=1,(H228+J228+N228+P228)*'Hulp - basis'!$G$550*Reeksen!H228,0)</f>
        <v>0</v>
      </c>
      <c r="AQ228" s="71">
        <f ca="1">-IF(C228=1,(F228+K228+L228+Q228)/2*'Invoer gegevens'!$F$35*Reeksen!J228,0)*2</f>
        <v>0</v>
      </c>
      <c r="AR228" s="71">
        <f ca="1">IF(BD228&lt;1,-IF(C228=1,(G228*'Invoer gegevens'!$F$36)*Reeksen!J228,0),0)</f>
        <v>0</v>
      </c>
      <c r="AS228" s="71">
        <f ca="1">-IF(C228=1,(F228+K228+L228+Q228)/2*'Invoer gegevens'!$F$37*Reeksen!L228,0)</f>
        <v>0</v>
      </c>
      <c r="AT228" s="71">
        <f ca="1">-IF(C228=1,IF(E228='Invoer gegevens'!$C$17,'Invoer gegevens'!$C$11,AD228)*Reeksen!S228*'Invoer gegevens'!$C$18*Reeksen!P228,0)</f>
        <v>0</v>
      </c>
      <c r="AU228" s="71">
        <f ca="1">-IF(C228=1,(F228+K228+L228+Q228)/2*'Invoer gegevens'!$F$38*Reeksen!H228,0)</f>
        <v>0</v>
      </c>
      <c r="AV228" s="71">
        <f t="shared" si="67"/>
        <v>0</v>
      </c>
      <c r="AW228" s="71">
        <f t="shared" ca="1" si="64"/>
        <v>0</v>
      </c>
      <c r="AX228" s="71">
        <f ca="1">IF(E228&lt;'Invoer gegevens'!$C$17+15,0,IF(E228&gt;'Invoer gegevens'!$C$17+215,0,AW228))</f>
        <v>0</v>
      </c>
      <c r="AY228" s="71">
        <f ca="1">AX228/(1+'Invoer gegevens'!$F$18)^($AZ228-('Invoer gegevens'!$C$17-'Invoer gegevens'!$C$16))/(1+'Invoer gegevens'!$C$39)^('Invoer gegevens'!$C$17-'Invoer gegevens'!$C$16)</f>
        <v>0</v>
      </c>
      <c r="AZ228" s="68">
        <f ca="1">IF(E228-'Invoer gegevens'!$C$17-14.5&lt;0,0,E228-'Invoer gegevens'!$C$17-14.5)</f>
        <v>208.5</v>
      </c>
      <c r="BA228" s="109">
        <f ca="1">IFERROR(VLOOKUP(E228-15,Reeksen!$A$5:$D$234,2,FALSE),0)</f>
        <v>0</v>
      </c>
      <c r="BB228" s="109">
        <f ca="1">IFERROR(VLOOKUP(E228-15,Reeksen!$A$5:$D$234,3,FALSE),0)</f>
        <v>0</v>
      </c>
      <c r="BC228" s="109">
        <f ca="1">IFERROR(VLOOKUP(E228-15,Reeksen!$A$5:$D$234,4,FALSE),0)</f>
        <v>0</v>
      </c>
      <c r="BD228" s="67">
        <f ca="1">IF(E228-'Invoer gegevens'!$C$17&lt;15,0,1)</f>
        <v>1</v>
      </c>
    </row>
    <row r="229" spans="1:57" x14ac:dyDescent="0.25">
      <c r="A229" s="59"/>
      <c r="B229" s="70">
        <f t="shared" si="65"/>
        <v>225</v>
      </c>
      <c r="C229" s="67">
        <f ca="1">IF(E229-'Invoer gegevens'!$C$17&lt;0,0,1)</f>
        <v>1</v>
      </c>
      <c r="D229" s="68">
        <f t="shared" si="66"/>
        <v>224.5</v>
      </c>
      <c r="E229" s="108">
        <f ca="1">IF('Invoer gegevens'!$C$16="","",E228+1)</f>
        <v>2243</v>
      </c>
      <c r="F229" s="84">
        <f ca="1">IF('Invoer gegevens'!$C$17=E229,'Invoer gegevens'!$C$10,IF(C229=1,K228,0))</f>
        <v>0</v>
      </c>
      <c r="G229" s="96">
        <f ca="1">IF(BD229&lt;1,F229*Reeksen!C229,IF(C229&gt;=1,F229*BA229,0))</f>
        <v>0</v>
      </c>
      <c r="H229" s="84">
        <f ca="1">(1-('Invoer gegevens'!$F$20/12))*F229*MIN(BA229,BC229)</f>
        <v>0</v>
      </c>
      <c r="I229" s="84">
        <f t="shared" ca="1" si="51"/>
        <v>0</v>
      </c>
      <c r="J229" s="84">
        <f ca="1">('Invoer gegevens'!$F$20/12)*F228*MIN(BA229,BC229)</f>
        <v>0</v>
      </c>
      <c r="K229" s="97">
        <f t="shared" ca="1" si="56"/>
        <v>0</v>
      </c>
      <c r="L229" s="84">
        <f ca="1">IF('Invoer gegevens'!$C$17=E229,0,IF(C229=1,Q228,0))</f>
        <v>0</v>
      </c>
      <c r="M229" s="96">
        <f t="shared" ca="1" si="52"/>
        <v>0</v>
      </c>
      <c r="N229" s="84">
        <f ca="1">(1-('Invoer gegevens'!$F$20/12))*L229*MIN(BA229,BC229)</f>
        <v>0</v>
      </c>
      <c r="O229" s="84">
        <f t="shared" ca="1" si="53"/>
        <v>0</v>
      </c>
      <c r="P229" s="84">
        <f ca="1">('Invoer gegevens'!$F$20/12)*L228*MIN(BA229,BC229)</f>
        <v>0</v>
      </c>
      <c r="Q229" s="84">
        <f t="shared" ca="1" si="57"/>
        <v>0</v>
      </c>
      <c r="R229" s="85">
        <f ca="1">IF('Invoer gegevens'!$C$17=E229,'Invoer gegevens'!$C$11,IF(C229=1,W228,0))</f>
        <v>0</v>
      </c>
      <c r="S229" s="86">
        <f t="shared" ca="1" si="54"/>
        <v>0</v>
      </c>
      <c r="T229" s="86">
        <f ca="1">(1-('Invoer gegevens'!$F$20/12))*R229*MIN(BC229,BA229)</f>
        <v>0</v>
      </c>
      <c r="U229" s="86">
        <f ca="1">IF(BD229&lt;1,IF(Reeksen!AD229&lt;=Reeksen!AE229,R229*Reeksen!C229,0),IF(BC229&gt;=BA229,0,IF(Reeksen!AD229&lt;=Reeksen!AE229,(BA229-BC229)*R229,0)))</f>
        <v>0</v>
      </c>
      <c r="V229" s="86">
        <f ca="1">IF(BD229&lt;1,IF(Reeksen!AD229&gt;Reeksen!AE229,R229*Reeksen!C229,0),IF(BC229&gt;=BA229,0,IF(Reeksen!AD229&gt;Reeksen!AE229,(BA229-BC229)*R229,0)))</f>
        <v>0</v>
      </c>
      <c r="W229" s="218">
        <f t="shared" ca="1" si="58"/>
        <v>0</v>
      </c>
      <c r="X229" s="98">
        <f ca="1">IF('Invoer gegevens'!$C$17=E229,'Invoer gegevens'!$C$10-'Invoer gegevens'!$C$11,IF(C229=1,AC228,0))</f>
        <v>0</v>
      </c>
      <c r="Y229" s="98">
        <f t="shared" ca="1" si="55"/>
        <v>0</v>
      </c>
      <c r="Z229" s="98">
        <f ca="1">(1-('Invoer gegevens'!$F$20/12))*X229*MIN(BA229,BC229)</f>
        <v>0</v>
      </c>
      <c r="AA229" s="98">
        <f ca="1">IF(BD229&lt;1,IF(Reeksen!AD229&lt;=Reeksen!AE229,X229*Reeksen!C229,0),IF(BC229&gt;=BA229,0,IF(Reeksen!AD229&lt;=Reeksen!AE229,(BA229-BC229)*X229,0)))</f>
        <v>0</v>
      </c>
      <c r="AB229" s="98">
        <f ca="1">IF(BD229&lt;1,IF(Reeksen!AD229&gt;Reeksen!AE229,X229*Reeksen!C229,0),IF(BC229&gt;=BA229,0,IF(Reeksen!AD229&gt;Reeksen!AE229,(BA229-BC229)*X229,0)))</f>
        <v>0</v>
      </c>
      <c r="AC229" s="99">
        <f t="shared" ca="1" si="59"/>
        <v>0</v>
      </c>
      <c r="AD229" s="98">
        <f ca="1">IF('Invoer gegevens'!$C$17=E229,R229,IF(C229=0,0,AE228))</f>
        <v>0</v>
      </c>
      <c r="AE229" s="98">
        <f t="shared" ca="1" si="60"/>
        <v>0</v>
      </c>
      <c r="AF229" s="98">
        <f ca="1">IF('Invoer gegevens'!$C$17=E229,X229,IF(C229=0,0,AG228))</f>
        <v>0</v>
      </c>
      <c r="AG229" s="98">
        <f t="shared" ca="1" si="61"/>
        <v>0</v>
      </c>
      <c r="AH229" s="66"/>
      <c r="AI229" s="71">
        <f ca="1">IF(C229=1,Reeksen!AI229*((F229+K229)/2)*12+Reeksen!AD229*((L229+Q229)/2)*12,0)</f>
        <v>0</v>
      </c>
      <c r="AJ229" s="71">
        <f ca="1">-AI229*'Invoer gegevens'!$F$28</f>
        <v>0</v>
      </c>
      <c r="AK229" s="71">
        <f t="shared" ca="1" si="62"/>
        <v>0</v>
      </c>
      <c r="AL229" s="71">
        <f ca="1">IF(C229=1,Reeksen!AL229*((F229-G229+F229)/2)*12+Reeksen!AM229*((L229-M229+L229)/2)*12,0)</f>
        <v>0</v>
      </c>
      <c r="AM229" s="71">
        <f ca="1">-AL229*'Invoer gegevens'!$F$31</f>
        <v>0</v>
      </c>
      <c r="AN229" s="71">
        <f t="shared" ca="1" si="63"/>
        <v>0</v>
      </c>
      <c r="AO229" s="71">
        <f ca="1">IF(C229=1,(H229+J229+N229+P229)*Reeksen!AN229,0)</f>
        <v>0</v>
      </c>
      <c r="AP229" s="71">
        <f ca="1">-IF(C229=1,(H229+J229+N229+P229)*'Hulp - basis'!$G$550*Reeksen!H229,0)</f>
        <v>0</v>
      </c>
      <c r="AQ229" s="71">
        <f ca="1">-IF(C229=1,(F229+K229+L229+Q229)/2*'Invoer gegevens'!$F$35*Reeksen!J229,0)*2</f>
        <v>0</v>
      </c>
      <c r="AR229" s="71">
        <f ca="1">IF(BD229&lt;1,-IF(C229=1,(G229*'Invoer gegevens'!$F$36)*Reeksen!J229,0),0)</f>
        <v>0</v>
      </c>
      <c r="AS229" s="71">
        <f ca="1">-IF(C229=1,(F229+K229+L229+Q229)/2*'Invoer gegevens'!$F$37*Reeksen!L229,0)</f>
        <v>0</v>
      </c>
      <c r="AT229" s="71">
        <f ca="1">-IF(C229=1,IF(E229='Invoer gegevens'!$C$17,'Invoer gegevens'!$C$11,AD229)*Reeksen!S229*'Invoer gegevens'!$C$18*Reeksen!P229,0)</f>
        <v>0</v>
      </c>
      <c r="AU229" s="71">
        <f ca="1">-IF(C229=1,(F229+K229+L229+Q229)/2*'Invoer gegevens'!$F$38*Reeksen!H229,0)</f>
        <v>0</v>
      </c>
      <c r="AV229" s="71">
        <f t="shared" si="67"/>
        <v>0</v>
      </c>
      <c r="AW229" s="71">
        <f t="shared" ca="1" si="64"/>
        <v>0</v>
      </c>
      <c r="AX229" s="71">
        <f ca="1">IF(E229&lt;'Invoer gegevens'!$C$17+15,0,IF(E229&gt;'Invoer gegevens'!$C$17+215,0,AW229))</f>
        <v>0</v>
      </c>
      <c r="AY229" s="71">
        <f ca="1">AX229/(1+'Invoer gegevens'!$F$18)^($AZ229-('Invoer gegevens'!$C$17-'Invoer gegevens'!$C$16))/(1+'Invoer gegevens'!$C$39)^('Invoer gegevens'!$C$17-'Invoer gegevens'!$C$16)</f>
        <v>0</v>
      </c>
      <c r="AZ229" s="68">
        <f ca="1">IF(E229-'Invoer gegevens'!$C$17-14.5&lt;0,0,E229-'Invoer gegevens'!$C$17-14.5)</f>
        <v>209.5</v>
      </c>
      <c r="BA229" s="109">
        <f ca="1">IFERROR(VLOOKUP(E229-15,Reeksen!$A$5:$D$234,2,FALSE),0)</f>
        <v>0</v>
      </c>
      <c r="BB229" s="109">
        <f ca="1">IFERROR(VLOOKUP(E229-15,Reeksen!$A$5:$D$234,3,FALSE),0)</f>
        <v>0</v>
      </c>
      <c r="BC229" s="109">
        <f ca="1">IFERROR(VLOOKUP(E229-15,Reeksen!$A$5:$D$234,4,FALSE),0)</f>
        <v>0</v>
      </c>
      <c r="BD229" s="67">
        <f ca="1">IF(E229-'Invoer gegevens'!$C$17&lt;15,0,1)</f>
        <v>1</v>
      </c>
    </row>
    <row r="230" spans="1:57" x14ac:dyDescent="0.25">
      <c r="A230" s="59"/>
      <c r="B230" s="70">
        <f t="shared" si="65"/>
        <v>226</v>
      </c>
      <c r="C230" s="67">
        <f ca="1">IF(E230-'Invoer gegevens'!$C$17&lt;0,0,1)</f>
        <v>1</v>
      </c>
      <c r="D230" s="68">
        <f t="shared" si="66"/>
        <v>225.5</v>
      </c>
      <c r="E230" s="108">
        <f ca="1">IF('Invoer gegevens'!$C$16="","",E229+1)</f>
        <v>2244</v>
      </c>
      <c r="F230" s="84">
        <f ca="1">IF('Invoer gegevens'!$C$17=E230,'Invoer gegevens'!$C$10,IF(C230=1,K229,0))</f>
        <v>0</v>
      </c>
      <c r="G230" s="96">
        <f ca="1">IF(BD230&lt;1,F230*Reeksen!C230,IF(C230&gt;=1,F230*BA230,0))</f>
        <v>0</v>
      </c>
      <c r="H230" s="84">
        <f ca="1">(1-('Invoer gegevens'!$F$20/12))*F230*MIN(BA230,BC230)</f>
        <v>0</v>
      </c>
      <c r="I230" s="84">
        <f t="shared" ca="1" si="51"/>
        <v>0</v>
      </c>
      <c r="J230" s="84">
        <f ca="1">('Invoer gegevens'!$F$20/12)*F229*MIN(BA230,BC230)</f>
        <v>0</v>
      </c>
      <c r="K230" s="97">
        <f t="shared" ca="1" si="56"/>
        <v>0</v>
      </c>
      <c r="L230" s="84">
        <f ca="1">IF('Invoer gegevens'!$C$17=E230,0,IF(C230=1,Q229,0))</f>
        <v>0</v>
      </c>
      <c r="M230" s="96">
        <f t="shared" ca="1" si="52"/>
        <v>0</v>
      </c>
      <c r="N230" s="84">
        <f ca="1">(1-('Invoer gegevens'!$F$20/12))*L230*MIN(BA230,BC230)</f>
        <v>0</v>
      </c>
      <c r="O230" s="84">
        <f t="shared" ca="1" si="53"/>
        <v>0</v>
      </c>
      <c r="P230" s="84">
        <f ca="1">('Invoer gegevens'!$F$20/12)*L229*MIN(BA230,BC230)</f>
        <v>0</v>
      </c>
      <c r="Q230" s="84">
        <f t="shared" ca="1" si="57"/>
        <v>0</v>
      </c>
      <c r="R230" s="85">
        <f ca="1">IF('Invoer gegevens'!$C$17=E230,'Invoer gegevens'!$C$11,IF(C230=1,W229,0))</f>
        <v>0</v>
      </c>
      <c r="S230" s="86">
        <f t="shared" ca="1" si="54"/>
        <v>0</v>
      </c>
      <c r="T230" s="86">
        <f ca="1">(1-('Invoer gegevens'!$F$20/12))*R230*MIN(BC230,BA230)</f>
        <v>0</v>
      </c>
      <c r="U230" s="86">
        <f ca="1">IF(BD230&lt;1,IF(Reeksen!AD230&lt;=Reeksen!AE230,R230*Reeksen!C230,0),IF(BC230&gt;=BA230,0,IF(Reeksen!AD230&lt;=Reeksen!AE230,(BA230-BC230)*R230,0)))</f>
        <v>0</v>
      </c>
      <c r="V230" s="86">
        <f ca="1">IF(BD230&lt;1,IF(Reeksen!AD230&gt;Reeksen!AE230,R230*Reeksen!C230,0),IF(BC230&gt;=BA230,0,IF(Reeksen!AD230&gt;Reeksen!AE230,(BA230-BC230)*R230,0)))</f>
        <v>0</v>
      </c>
      <c r="W230" s="218">
        <f t="shared" ca="1" si="58"/>
        <v>0</v>
      </c>
      <c r="X230" s="98">
        <f ca="1">IF('Invoer gegevens'!$C$17=E230,'Invoer gegevens'!$C$10-'Invoer gegevens'!$C$11,IF(C230=1,AC229,0))</f>
        <v>0</v>
      </c>
      <c r="Y230" s="98">
        <f t="shared" ca="1" si="55"/>
        <v>0</v>
      </c>
      <c r="Z230" s="98">
        <f ca="1">(1-('Invoer gegevens'!$F$20/12))*X230*MIN(BA230,BC230)</f>
        <v>0</v>
      </c>
      <c r="AA230" s="98">
        <f ca="1">IF(BD230&lt;1,IF(Reeksen!AD230&lt;=Reeksen!AE230,X230*Reeksen!C230,0),IF(BC230&gt;=BA230,0,IF(Reeksen!AD230&lt;=Reeksen!AE230,(BA230-BC230)*X230,0)))</f>
        <v>0</v>
      </c>
      <c r="AB230" s="98">
        <f ca="1">IF(BD230&lt;1,IF(Reeksen!AD230&gt;Reeksen!AE230,X230*Reeksen!C230,0),IF(BC230&gt;=BA230,0,IF(Reeksen!AD230&gt;Reeksen!AE230,(BA230-BC230)*X230,0)))</f>
        <v>0</v>
      </c>
      <c r="AC230" s="99">
        <f t="shared" ca="1" si="59"/>
        <v>0</v>
      </c>
      <c r="AD230" s="98">
        <f ca="1">IF('Invoer gegevens'!$C$17=E230,R230,IF(C230=0,0,AE229))</f>
        <v>0</v>
      </c>
      <c r="AE230" s="98">
        <f t="shared" ca="1" si="60"/>
        <v>0</v>
      </c>
      <c r="AF230" s="98">
        <f ca="1">IF('Invoer gegevens'!$C$17=E230,X230,IF(C230=0,0,AG229))</f>
        <v>0</v>
      </c>
      <c r="AG230" s="98">
        <f t="shared" ca="1" si="61"/>
        <v>0</v>
      </c>
      <c r="AH230" s="66"/>
      <c r="AI230" s="71">
        <f ca="1">IF(C230=1,Reeksen!AI230*((F230+K230)/2)*12+Reeksen!AD230*((L230+Q230)/2)*12,0)</f>
        <v>0</v>
      </c>
      <c r="AJ230" s="71">
        <f ca="1">-AI230*'Invoer gegevens'!$F$28</f>
        <v>0</v>
      </c>
      <c r="AK230" s="71">
        <f t="shared" ca="1" si="62"/>
        <v>0</v>
      </c>
      <c r="AL230" s="71">
        <f ca="1">IF(C230=1,Reeksen!AL230*((F230-G230+F230)/2)*12+Reeksen!AM230*((L230-M230+L230)/2)*12,0)</f>
        <v>0</v>
      </c>
      <c r="AM230" s="71">
        <f ca="1">-AL230*'Invoer gegevens'!$F$31</f>
        <v>0</v>
      </c>
      <c r="AN230" s="71">
        <f t="shared" ca="1" si="63"/>
        <v>0</v>
      </c>
      <c r="AO230" s="71">
        <f ca="1">IF(C230=1,(H230+J230+N230+P230)*Reeksen!AN230,0)</f>
        <v>0</v>
      </c>
      <c r="AP230" s="71">
        <f ca="1">-IF(C230=1,(H230+J230+N230+P230)*'Hulp - basis'!$G$550*Reeksen!H230,0)</f>
        <v>0</v>
      </c>
      <c r="AQ230" s="71">
        <f ca="1">-IF(C230=1,(F230+K230+L230+Q230)/2*'Invoer gegevens'!$F$35*Reeksen!J230,0)*2</f>
        <v>0</v>
      </c>
      <c r="AR230" s="71">
        <f ca="1">IF(BD230&lt;1,-IF(C230=1,(G230*'Invoer gegevens'!$F$36)*Reeksen!J230,0),0)</f>
        <v>0</v>
      </c>
      <c r="AS230" s="71">
        <f ca="1">-IF(C230=1,(F230+K230+L230+Q230)/2*'Invoer gegevens'!$F$37*Reeksen!L230,0)</f>
        <v>0</v>
      </c>
      <c r="AT230" s="71">
        <f ca="1">-IF(C230=1,IF(E230='Invoer gegevens'!$C$17,'Invoer gegevens'!$C$11,AD230)*Reeksen!S230*'Invoer gegevens'!$C$18*Reeksen!P230,0)</f>
        <v>0</v>
      </c>
      <c r="AU230" s="71">
        <f ca="1">-IF(C230=1,(F230+K230+L230+Q230)/2*'Invoer gegevens'!$F$38*Reeksen!H230,0)</f>
        <v>0</v>
      </c>
      <c r="AV230" s="71">
        <f t="shared" si="67"/>
        <v>0</v>
      </c>
      <c r="AW230" s="71">
        <f t="shared" ca="1" si="64"/>
        <v>0</v>
      </c>
      <c r="AX230" s="71">
        <f ca="1">IF(E230&lt;'Invoer gegevens'!$C$17+15,0,IF(E230&gt;'Invoer gegevens'!$C$17+215,0,AW230))</f>
        <v>0</v>
      </c>
      <c r="AY230" s="71">
        <f ca="1">AX230/(1+'Invoer gegevens'!$F$18)^($AZ230-('Invoer gegevens'!$C$17-'Invoer gegevens'!$C$16))/(1+'Invoer gegevens'!$C$39)^('Invoer gegevens'!$C$17-'Invoer gegevens'!$C$16)</f>
        <v>0</v>
      </c>
      <c r="AZ230" s="68">
        <f ca="1">IF(E230-'Invoer gegevens'!$C$17-14.5&lt;0,0,E230-'Invoer gegevens'!$C$17-14.5)</f>
        <v>210.5</v>
      </c>
      <c r="BA230" s="109">
        <f ca="1">IFERROR(VLOOKUP(E230-15,Reeksen!$A$5:$D$234,2,FALSE),0)</f>
        <v>0</v>
      </c>
      <c r="BB230" s="109">
        <f ca="1">IFERROR(VLOOKUP(E230-15,Reeksen!$A$5:$D$234,3,FALSE),0)</f>
        <v>0</v>
      </c>
      <c r="BC230" s="109">
        <f ca="1">IFERROR(VLOOKUP(E230-15,Reeksen!$A$5:$D$234,4,FALSE),0)</f>
        <v>0</v>
      </c>
      <c r="BD230" s="67">
        <f ca="1">IF(E230-'Invoer gegevens'!$C$17&lt;15,0,1)</f>
        <v>1</v>
      </c>
    </row>
    <row r="231" spans="1:57" x14ac:dyDescent="0.25">
      <c r="A231" s="59"/>
      <c r="B231" s="70">
        <f t="shared" si="65"/>
        <v>227</v>
      </c>
      <c r="C231" s="67">
        <f ca="1">IF(E231-'Invoer gegevens'!$C$17&lt;0,0,1)</f>
        <v>1</v>
      </c>
      <c r="D231" s="68">
        <f t="shared" si="66"/>
        <v>226.5</v>
      </c>
      <c r="E231" s="108">
        <f ca="1">IF('Invoer gegevens'!$C$16="","",E230+1)</f>
        <v>2245</v>
      </c>
      <c r="F231" s="84">
        <f ca="1">IF('Invoer gegevens'!$C$17=E231,'Invoer gegevens'!$C$10,IF(C231=1,K230,0))</f>
        <v>0</v>
      </c>
      <c r="G231" s="96">
        <f ca="1">IF(BD231&lt;1,F231*Reeksen!C231,IF(C231&gt;=1,F231*BA231,0))</f>
        <v>0</v>
      </c>
      <c r="H231" s="84">
        <f ca="1">(1-('Invoer gegevens'!$F$20/12))*F231*MIN(BA231,BC231)</f>
        <v>0</v>
      </c>
      <c r="I231" s="84">
        <f t="shared" ca="1" si="51"/>
        <v>0</v>
      </c>
      <c r="J231" s="84">
        <f ca="1">('Invoer gegevens'!$F$20/12)*F230*MIN(BA231,BC231)</f>
        <v>0</v>
      </c>
      <c r="K231" s="97">
        <f t="shared" ca="1" si="56"/>
        <v>0</v>
      </c>
      <c r="L231" s="84">
        <f ca="1">IF('Invoer gegevens'!$C$17=E231,0,IF(C231=1,Q230,0))</f>
        <v>0</v>
      </c>
      <c r="M231" s="96">
        <f t="shared" ca="1" si="52"/>
        <v>0</v>
      </c>
      <c r="N231" s="84">
        <f ca="1">(1-('Invoer gegevens'!$F$20/12))*L231*MIN(BA231,BC231)</f>
        <v>0</v>
      </c>
      <c r="O231" s="84">
        <f t="shared" ca="1" si="53"/>
        <v>0</v>
      </c>
      <c r="P231" s="84">
        <f ca="1">('Invoer gegevens'!$F$20/12)*L230*MIN(BA231,BC231)</f>
        <v>0</v>
      </c>
      <c r="Q231" s="84">
        <f t="shared" ca="1" si="57"/>
        <v>0</v>
      </c>
      <c r="R231" s="85">
        <f ca="1">IF('Invoer gegevens'!$C$17=E231,'Invoer gegevens'!$C$11,IF(C231=1,W230,0))</f>
        <v>0</v>
      </c>
      <c r="S231" s="86">
        <f t="shared" ca="1" si="54"/>
        <v>0</v>
      </c>
      <c r="T231" s="86">
        <f ca="1">(1-('Invoer gegevens'!$F$20/12))*R231*MIN(BC231,BA231)</f>
        <v>0</v>
      </c>
      <c r="U231" s="86">
        <f ca="1">IF(BD231&lt;1,IF(Reeksen!AD231&lt;=Reeksen!AE231,R231*Reeksen!C231,0),IF(BC231&gt;=BA231,0,IF(Reeksen!AD231&lt;=Reeksen!AE231,(BA231-BC231)*R231,0)))</f>
        <v>0</v>
      </c>
      <c r="V231" s="86">
        <f ca="1">IF(BD231&lt;1,IF(Reeksen!AD231&gt;Reeksen!AE231,R231*Reeksen!C231,0),IF(BC231&gt;=BA231,0,IF(Reeksen!AD231&gt;Reeksen!AE231,(BA231-BC231)*R231,0)))</f>
        <v>0</v>
      </c>
      <c r="W231" s="218">
        <f t="shared" ca="1" si="58"/>
        <v>0</v>
      </c>
      <c r="X231" s="98">
        <f ca="1">IF('Invoer gegevens'!$C$17=E231,'Invoer gegevens'!$C$10-'Invoer gegevens'!$C$11,IF(C231=1,AC230,0))</f>
        <v>0</v>
      </c>
      <c r="Y231" s="98">
        <f t="shared" ca="1" si="55"/>
        <v>0</v>
      </c>
      <c r="Z231" s="98">
        <f ca="1">(1-('Invoer gegevens'!$F$20/12))*X231*MIN(BA231,BC231)</f>
        <v>0</v>
      </c>
      <c r="AA231" s="98">
        <f ca="1">IF(BD231&lt;1,IF(Reeksen!AD231&lt;=Reeksen!AE231,X231*Reeksen!C231,0),IF(BC231&gt;=BA231,0,IF(Reeksen!AD231&lt;=Reeksen!AE231,(BA231-BC231)*X231,0)))</f>
        <v>0</v>
      </c>
      <c r="AB231" s="98">
        <f ca="1">IF(BD231&lt;1,IF(Reeksen!AD231&gt;Reeksen!AE231,X231*Reeksen!C231,0),IF(BC231&gt;=BA231,0,IF(Reeksen!AD231&gt;Reeksen!AE231,(BA231-BC231)*X231,0)))</f>
        <v>0</v>
      </c>
      <c r="AC231" s="99">
        <f t="shared" ca="1" si="59"/>
        <v>0</v>
      </c>
      <c r="AD231" s="98">
        <f ca="1">IF('Invoer gegevens'!$C$17=E231,R231,IF(C231=0,0,AE230))</f>
        <v>0</v>
      </c>
      <c r="AE231" s="98">
        <f t="shared" ca="1" si="60"/>
        <v>0</v>
      </c>
      <c r="AF231" s="98">
        <f ca="1">IF('Invoer gegevens'!$C$17=E231,X231,IF(C231=0,0,AG230))</f>
        <v>0</v>
      </c>
      <c r="AG231" s="98">
        <f t="shared" ca="1" si="61"/>
        <v>0</v>
      </c>
      <c r="AH231" s="66"/>
      <c r="AI231" s="71">
        <f ca="1">IF(C231=1,Reeksen!AI231*((F231+K231)/2)*12+Reeksen!AD231*((L231+Q231)/2)*12,0)</f>
        <v>0</v>
      </c>
      <c r="AJ231" s="71">
        <f ca="1">-AI231*'Invoer gegevens'!$F$28</f>
        <v>0</v>
      </c>
      <c r="AK231" s="71">
        <f t="shared" ca="1" si="62"/>
        <v>0</v>
      </c>
      <c r="AL231" s="71">
        <f ca="1">IF(C231=1,Reeksen!AL231*((F231-G231+F231)/2)*12+Reeksen!AM231*((L231-M231+L231)/2)*12,0)</f>
        <v>0</v>
      </c>
      <c r="AM231" s="71">
        <f ca="1">-AL231*'Invoer gegevens'!$F$31</f>
        <v>0</v>
      </c>
      <c r="AN231" s="71">
        <f t="shared" ca="1" si="63"/>
        <v>0</v>
      </c>
      <c r="AO231" s="71">
        <f ca="1">IF(C231=1,(H231+J231+N231+P231)*Reeksen!AN231,0)</f>
        <v>0</v>
      </c>
      <c r="AP231" s="71">
        <f ca="1">-IF(C231=1,(H231+J231+N231+P231)*'Hulp - basis'!$G$550*Reeksen!H231,0)</f>
        <v>0</v>
      </c>
      <c r="AQ231" s="71">
        <f ca="1">-IF(C231=1,(F231+K231+L231+Q231)/2*'Invoer gegevens'!$F$35*Reeksen!J231,0)*2</f>
        <v>0</v>
      </c>
      <c r="AR231" s="71">
        <f ca="1">IF(BD231&lt;1,-IF(C231=1,(G231*'Invoer gegevens'!$F$36)*Reeksen!J231,0),0)</f>
        <v>0</v>
      </c>
      <c r="AS231" s="71">
        <f ca="1">-IF(C231=1,(F231+K231+L231+Q231)/2*'Invoer gegevens'!$F$37*Reeksen!L231,0)</f>
        <v>0</v>
      </c>
      <c r="AT231" s="71">
        <f ca="1">-IF(C231=1,IF(E231='Invoer gegevens'!$C$17,'Invoer gegevens'!$C$11,AD231)*Reeksen!S231*'Invoer gegevens'!$C$18*Reeksen!P231,0)</f>
        <v>0</v>
      </c>
      <c r="AU231" s="71">
        <f ca="1">-IF(C231=1,(F231+K231+L231+Q231)/2*'Invoer gegevens'!$F$38*Reeksen!H231,0)</f>
        <v>0</v>
      </c>
      <c r="AV231" s="71">
        <f t="shared" si="67"/>
        <v>0</v>
      </c>
      <c r="AW231" s="71">
        <f t="shared" ca="1" si="64"/>
        <v>0</v>
      </c>
      <c r="AX231" s="71">
        <f ca="1">IF(E231&lt;'Invoer gegevens'!$C$17+15,0,IF(E231&gt;'Invoer gegevens'!$C$17+215,0,AW231))</f>
        <v>0</v>
      </c>
      <c r="AY231" s="71">
        <f ca="1">AX231/(1+'Invoer gegevens'!$F$18)^($AZ231-('Invoer gegevens'!$C$17-'Invoer gegevens'!$C$16))/(1+'Invoer gegevens'!$C$39)^('Invoer gegevens'!$C$17-'Invoer gegevens'!$C$16)</f>
        <v>0</v>
      </c>
      <c r="AZ231" s="68">
        <f ca="1">IF(E231-'Invoer gegevens'!$C$17-14.5&lt;0,0,E231-'Invoer gegevens'!$C$17-14.5)</f>
        <v>211.5</v>
      </c>
      <c r="BA231" s="109">
        <f ca="1">IFERROR(VLOOKUP(E231-15,Reeksen!$A$5:$D$234,2,FALSE),0)</f>
        <v>0</v>
      </c>
      <c r="BB231" s="109">
        <f ca="1">IFERROR(VLOOKUP(E231-15,Reeksen!$A$5:$D$234,3,FALSE),0)</f>
        <v>0</v>
      </c>
      <c r="BC231" s="109">
        <f ca="1">IFERROR(VLOOKUP(E231-15,Reeksen!$A$5:$D$234,4,FALSE),0)</f>
        <v>0</v>
      </c>
      <c r="BD231" s="67">
        <f ca="1">IF(E231-'Invoer gegevens'!$C$17&lt;15,0,1)</f>
        <v>1</v>
      </c>
    </row>
    <row r="232" spans="1:57" x14ac:dyDescent="0.25">
      <c r="A232" s="59"/>
      <c r="B232" s="70">
        <f t="shared" si="65"/>
        <v>228</v>
      </c>
      <c r="C232" s="67">
        <f ca="1">IF(E232-'Invoer gegevens'!$C$17&lt;0,0,1)</f>
        <v>1</v>
      </c>
      <c r="D232" s="68">
        <f t="shared" si="66"/>
        <v>227.5</v>
      </c>
      <c r="E232" s="108">
        <f ca="1">IF('Invoer gegevens'!$C$16="","",E231+1)</f>
        <v>2246</v>
      </c>
      <c r="F232" s="84">
        <f ca="1">IF('Invoer gegevens'!$C$17=E232,'Invoer gegevens'!$C$10,IF(C232=1,K231,0))</f>
        <v>0</v>
      </c>
      <c r="G232" s="96">
        <f ca="1">IF(BD232&lt;1,F232*Reeksen!C232,IF(C232&gt;=1,F232*BA232,0))</f>
        <v>0</v>
      </c>
      <c r="H232" s="84">
        <f ca="1">(1-('Invoer gegevens'!$F$20/12))*F232*MIN(BA232,BC232)</f>
        <v>0</v>
      </c>
      <c r="I232" s="84">
        <f t="shared" ca="1" si="51"/>
        <v>0</v>
      </c>
      <c r="J232" s="84">
        <f ca="1">('Invoer gegevens'!$F$20/12)*F231*MIN(BA232,BC232)</f>
        <v>0</v>
      </c>
      <c r="K232" s="97">
        <f t="shared" ca="1" si="56"/>
        <v>0</v>
      </c>
      <c r="L232" s="84">
        <f ca="1">IF('Invoer gegevens'!$C$17=E232,0,IF(C232=1,Q231,0))</f>
        <v>0</v>
      </c>
      <c r="M232" s="96">
        <f t="shared" ca="1" si="52"/>
        <v>0</v>
      </c>
      <c r="N232" s="84">
        <f ca="1">(1-('Invoer gegevens'!$F$20/12))*L232*MIN(BA232,BC232)</f>
        <v>0</v>
      </c>
      <c r="O232" s="84">
        <f t="shared" ca="1" si="53"/>
        <v>0</v>
      </c>
      <c r="P232" s="84">
        <f ca="1">('Invoer gegevens'!$F$20/12)*L231*MIN(BA232,BC232)</f>
        <v>0</v>
      </c>
      <c r="Q232" s="84">
        <f t="shared" ca="1" si="57"/>
        <v>0</v>
      </c>
      <c r="R232" s="85">
        <f ca="1">IF('Invoer gegevens'!$C$17=E232,'Invoer gegevens'!$C$11,IF(C232=1,W231,0))</f>
        <v>0</v>
      </c>
      <c r="S232" s="86">
        <f t="shared" ca="1" si="54"/>
        <v>0</v>
      </c>
      <c r="T232" s="86">
        <f ca="1">(1-('Invoer gegevens'!$F$20/12))*R232*MIN(BC232,BA232)</f>
        <v>0</v>
      </c>
      <c r="U232" s="86">
        <f ca="1">IF(BD232&lt;1,IF(Reeksen!AD232&lt;=Reeksen!AE232,R232*Reeksen!C232,0),IF(BC232&gt;=BA232,0,IF(Reeksen!AD232&lt;=Reeksen!AE232,(BA232-BC232)*R232,0)))</f>
        <v>0</v>
      </c>
      <c r="V232" s="86">
        <f ca="1">IF(BD232&lt;1,IF(Reeksen!AD232&gt;Reeksen!AE232,R232*Reeksen!C232,0),IF(BC232&gt;=BA232,0,IF(Reeksen!AD232&gt;Reeksen!AE232,(BA232-BC232)*R232,0)))</f>
        <v>0</v>
      </c>
      <c r="W232" s="218">
        <f t="shared" ca="1" si="58"/>
        <v>0</v>
      </c>
      <c r="X232" s="98">
        <f ca="1">IF('Invoer gegevens'!$C$17=E232,'Invoer gegevens'!$C$10-'Invoer gegevens'!$C$11,IF(C232=1,AC231,0))</f>
        <v>0</v>
      </c>
      <c r="Y232" s="98">
        <f t="shared" ca="1" si="55"/>
        <v>0</v>
      </c>
      <c r="Z232" s="98">
        <f ca="1">(1-('Invoer gegevens'!$F$20/12))*X232*MIN(BA232,BC232)</f>
        <v>0</v>
      </c>
      <c r="AA232" s="98">
        <f ca="1">IF(BD232&lt;1,IF(Reeksen!AD232&lt;=Reeksen!AE232,X232*Reeksen!C232,0),IF(BC232&gt;=BA232,0,IF(Reeksen!AD232&lt;=Reeksen!AE232,(BA232-BC232)*X232,0)))</f>
        <v>0</v>
      </c>
      <c r="AB232" s="98">
        <f ca="1">IF(BD232&lt;1,IF(Reeksen!AD232&gt;Reeksen!AE232,X232*Reeksen!C232,0),IF(BC232&gt;=BA232,0,IF(Reeksen!AD232&gt;Reeksen!AE232,(BA232-BC232)*X232,0)))</f>
        <v>0</v>
      </c>
      <c r="AC232" s="99">
        <f t="shared" ca="1" si="59"/>
        <v>0</v>
      </c>
      <c r="AD232" s="98">
        <f ca="1">IF('Invoer gegevens'!$C$17=E232,R232,IF(C232=0,0,AE231))</f>
        <v>0</v>
      </c>
      <c r="AE232" s="98">
        <f t="shared" ca="1" si="60"/>
        <v>0</v>
      </c>
      <c r="AF232" s="98">
        <f ca="1">IF('Invoer gegevens'!$C$17=E232,X232,IF(C232=0,0,AG231))</f>
        <v>0</v>
      </c>
      <c r="AG232" s="98">
        <f t="shared" ca="1" si="61"/>
        <v>0</v>
      </c>
      <c r="AH232" s="66"/>
      <c r="AI232" s="71">
        <f ca="1">IF(C232=1,Reeksen!AI232*((F232+K232)/2)*12+Reeksen!AD232*((L232+Q232)/2)*12,0)</f>
        <v>0</v>
      </c>
      <c r="AJ232" s="71">
        <f ca="1">-AI232*'Invoer gegevens'!$F$28</f>
        <v>0</v>
      </c>
      <c r="AK232" s="71">
        <f t="shared" ca="1" si="62"/>
        <v>0</v>
      </c>
      <c r="AL232" s="71">
        <f ca="1">IF(C232=1,Reeksen!AL232*((F232-G232+F232)/2)*12+Reeksen!AM232*((L232-M232+L232)/2)*12,0)</f>
        <v>0</v>
      </c>
      <c r="AM232" s="71">
        <f ca="1">-AL232*'Invoer gegevens'!$F$31</f>
        <v>0</v>
      </c>
      <c r="AN232" s="71">
        <f t="shared" ca="1" si="63"/>
        <v>0</v>
      </c>
      <c r="AO232" s="71">
        <f ca="1">IF(C232=1,(H232+J232+N232+P232)*Reeksen!AN232,0)</f>
        <v>0</v>
      </c>
      <c r="AP232" s="71">
        <f ca="1">-IF(C232=1,(H232+J232+N232+P232)*'Hulp - basis'!$G$550*Reeksen!H232,0)</f>
        <v>0</v>
      </c>
      <c r="AQ232" s="71">
        <f ca="1">-IF(C232=1,(F232+K232+L232+Q232)/2*'Invoer gegevens'!$F$35*Reeksen!J232,0)*2</f>
        <v>0</v>
      </c>
      <c r="AR232" s="71">
        <f ca="1">IF(BD232&lt;1,-IF(C232=1,(G232*'Invoer gegevens'!$F$36)*Reeksen!J232,0),0)</f>
        <v>0</v>
      </c>
      <c r="AS232" s="71">
        <f ca="1">-IF(C232=1,(F232+K232+L232+Q232)/2*'Invoer gegevens'!$F$37*Reeksen!L232,0)</f>
        <v>0</v>
      </c>
      <c r="AT232" s="71">
        <f ca="1">-IF(C232=1,IF(E232='Invoer gegevens'!$C$17,'Invoer gegevens'!$C$11,AD232)*Reeksen!S232*'Invoer gegevens'!$C$18*Reeksen!P232,0)</f>
        <v>0</v>
      </c>
      <c r="AU232" s="71">
        <f ca="1">-IF(C232=1,(F232+K232+L232+Q232)/2*'Invoer gegevens'!$F$38*Reeksen!H232,0)</f>
        <v>0</v>
      </c>
      <c r="AV232" s="71">
        <f t="shared" si="67"/>
        <v>0</v>
      </c>
      <c r="AW232" s="71">
        <f t="shared" ca="1" si="64"/>
        <v>0</v>
      </c>
      <c r="AX232" s="71">
        <f ca="1">IF(E232&lt;'Invoer gegevens'!$C$17+15,0,IF(E232&gt;'Invoer gegevens'!$C$17+215,0,AW232))</f>
        <v>0</v>
      </c>
      <c r="AY232" s="71">
        <f ca="1">AX232/(1+'Invoer gegevens'!$F$18)^($AZ232-('Invoer gegevens'!$C$17-'Invoer gegevens'!$C$16))/(1+'Invoer gegevens'!$C$39)^('Invoer gegevens'!$C$17-'Invoer gegevens'!$C$16)</f>
        <v>0</v>
      </c>
      <c r="AZ232" s="68">
        <f ca="1">IF(E232-'Invoer gegevens'!$C$17-14.5&lt;0,0,E232-'Invoer gegevens'!$C$17-14.5)</f>
        <v>212.5</v>
      </c>
      <c r="BA232" s="109">
        <f ca="1">IFERROR(VLOOKUP(E232-15,Reeksen!$A$5:$D$234,2,FALSE),0)</f>
        <v>0</v>
      </c>
      <c r="BB232" s="109">
        <f ca="1">IFERROR(VLOOKUP(E232-15,Reeksen!$A$5:$D$234,3,FALSE),0)</f>
        <v>0</v>
      </c>
      <c r="BC232" s="109">
        <f ca="1">IFERROR(VLOOKUP(E232-15,Reeksen!$A$5:$D$234,4,FALSE),0)</f>
        <v>0</v>
      </c>
      <c r="BD232" s="67">
        <f ca="1">IF(E232-'Invoer gegevens'!$C$17&lt;15,0,1)</f>
        <v>1</v>
      </c>
    </row>
    <row r="233" spans="1:57" x14ac:dyDescent="0.25">
      <c r="A233" s="59"/>
      <c r="B233" s="70">
        <f t="shared" si="65"/>
        <v>229</v>
      </c>
      <c r="C233" s="67">
        <f ca="1">IF(E233-'Invoer gegevens'!$C$17&lt;0,0,1)</f>
        <v>1</v>
      </c>
      <c r="D233" s="68">
        <f t="shared" si="66"/>
        <v>228.5</v>
      </c>
      <c r="E233" s="108">
        <f ca="1">IF('Invoer gegevens'!$C$16="","",E232+1)</f>
        <v>2247</v>
      </c>
      <c r="F233" s="84">
        <f ca="1">IF('Invoer gegevens'!$C$17=E233,'Invoer gegevens'!$C$10,IF(C233=1,K232,0))</f>
        <v>0</v>
      </c>
      <c r="G233" s="96">
        <f ca="1">IF(BD233&lt;1,F233*Reeksen!C233,IF(C233&gt;=1,F233*BA233,0))</f>
        <v>0</v>
      </c>
      <c r="H233" s="84">
        <f ca="1">(1-('Invoer gegevens'!$F$20/12))*F233*MIN(BA233,BC233)</f>
        <v>0</v>
      </c>
      <c r="I233" s="84">
        <f t="shared" ca="1" si="51"/>
        <v>0</v>
      </c>
      <c r="J233" s="84">
        <f ca="1">('Invoer gegevens'!$F$20/12)*F232*MIN(BA233,BC233)</f>
        <v>0</v>
      </c>
      <c r="K233" s="97">
        <f t="shared" ca="1" si="56"/>
        <v>0</v>
      </c>
      <c r="L233" s="84">
        <f ca="1">IF('Invoer gegevens'!$C$17=E233,0,IF(C233=1,Q232,0))</f>
        <v>0</v>
      </c>
      <c r="M233" s="96">
        <f t="shared" ca="1" si="52"/>
        <v>0</v>
      </c>
      <c r="N233" s="84">
        <f ca="1">(1-('Invoer gegevens'!$F$20/12))*L233*MIN(BA233,BC233)</f>
        <v>0</v>
      </c>
      <c r="O233" s="84">
        <f t="shared" ca="1" si="53"/>
        <v>0</v>
      </c>
      <c r="P233" s="84">
        <f ca="1">('Invoer gegevens'!$F$20/12)*L232*MIN(BA233,BC233)</f>
        <v>0</v>
      </c>
      <c r="Q233" s="84">
        <f t="shared" ca="1" si="57"/>
        <v>0</v>
      </c>
      <c r="R233" s="85">
        <f ca="1">IF('Invoer gegevens'!$C$17=E233,'Invoer gegevens'!$C$11,IF(C233=1,W232,0))</f>
        <v>0</v>
      </c>
      <c r="S233" s="86">
        <f t="shared" ca="1" si="54"/>
        <v>0</v>
      </c>
      <c r="T233" s="86">
        <f ca="1">(1-('Invoer gegevens'!$F$20/12))*R233*MIN(BC233,BA233)</f>
        <v>0</v>
      </c>
      <c r="U233" s="86">
        <f ca="1">IF(BD233&lt;1,IF(Reeksen!AD233&lt;=Reeksen!AE233,R233*Reeksen!C233,0),IF(BC233&gt;=BA233,0,IF(Reeksen!AD233&lt;=Reeksen!AE233,(BA233-BC233)*R233,0)))</f>
        <v>0</v>
      </c>
      <c r="V233" s="86">
        <f ca="1">IF(BD233&lt;1,IF(Reeksen!AD233&gt;Reeksen!AE233,R233*Reeksen!C233,0),IF(BC233&gt;=BA233,0,IF(Reeksen!AD233&gt;Reeksen!AE233,(BA233-BC233)*R233,0)))</f>
        <v>0</v>
      </c>
      <c r="W233" s="218">
        <f t="shared" ca="1" si="58"/>
        <v>0</v>
      </c>
      <c r="X233" s="98">
        <f ca="1">IF('Invoer gegevens'!$C$17=E233,'Invoer gegevens'!$C$10-'Invoer gegevens'!$C$11,IF(C233=1,AC232,0))</f>
        <v>0</v>
      </c>
      <c r="Y233" s="98">
        <f t="shared" ca="1" si="55"/>
        <v>0</v>
      </c>
      <c r="Z233" s="98">
        <f ca="1">(1-('Invoer gegevens'!$F$20/12))*X233*MIN(BA233,BC233)</f>
        <v>0</v>
      </c>
      <c r="AA233" s="98">
        <f ca="1">IF(BD233&lt;1,IF(Reeksen!AD233&lt;=Reeksen!AE233,X233*Reeksen!C233,0),IF(BC233&gt;=BA233,0,IF(Reeksen!AD233&lt;=Reeksen!AE233,(BA233-BC233)*X233,0)))</f>
        <v>0</v>
      </c>
      <c r="AB233" s="98">
        <f ca="1">IF(BD233&lt;1,IF(Reeksen!AD233&gt;Reeksen!AE233,X233*Reeksen!C233,0),IF(BC233&gt;=BA233,0,IF(Reeksen!AD233&gt;Reeksen!AE233,(BA233-BC233)*X233,0)))</f>
        <v>0</v>
      </c>
      <c r="AC233" s="99">
        <f t="shared" ca="1" si="59"/>
        <v>0</v>
      </c>
      <c r="AD233" s="98">
        <f ca="1">IF('Invoer gegevens'!$C$17=E233,R233,IF(C233=0,0,AE232))</f>
        <v>0</v>
      </c>
      <c r="AE233" s="98">
        <f t="shared" ca="1" si="60"/>
        <v>0</v>
      </c>
      <c r="AF233" s="98">
        <f ca="1">IF('Invoer gegevens'!$C$17=E233,X233,IF(C233=0,0,AG232))</f>
        <v>0</v>
      </c>
      <c r="AG233" s="98">
        <f t="shared" ca="1" si="61"/>
        <v>0</v>
      </c>
      <c r="AH233" s="66"/>
      <c r="AI233" s="71">
        <f ca="1">IF(C233=1,Reeksen!AI233*((F233+K233)/2)*12+Reeksen!AD233*((L233+Q233)/2)*12,0)</f>
        <v>0</v>
      </c>
      <c r="AJ233" s="71">
        <f ca="1">-AI233*'Invoer gegevens'!$F$28</f>
        <v>0</v>
      </c>
      <c r="AK233" s="71">
        <f t="shared" ca="1" si="62"/>
        <v>0</v>
      </c>
      <c r="AL233" s="71">
        <f ca="1">IF(C233=1,Reeksen!AL233*((F233-G233+F233)/2)*12+Reeksen!AM233*((L233-M233+L233)/2)*12,0)</f>
        <v>0</v>
      </c>
      <c r="AM233" s="71">
        <f ca="1">-AL233*'Invoer gegevens'!$F$31</f>
        <v>0</v>
      </c>
      <c r="AN233" s="71">
        <f t="shared" ca="1" si="63"/>
        <v>0</v>
      </c>
      <c r="AO233" s="71">
        <f ca="1">IF(C233=1,(H233+J233+N233+P233)*Reeksen!AN233,0)</f>
        <v>0</v>
      </c>
      <c r="AP233" s="71">
        <f ca="1">-IF(C233=1,(H233+J233+N233+P233)*'Hulp - basis'!$G$550*Reeksen!H233,0)</f>
        <v>0</v>
      </c>
      <c r="AQ233" s="71">
        <f ca="1">-IF(C233=1,(F233+K233+L233+Q233)/2*'Invoer gegevens'!$F$35*Reeksen!J233,0)*2</f>
        <v>0</v>
      </c>
      <c r="AR233" s="71">
        <f ca="1">IF(BD233&lt;1,-IF(C233=1,(G233*'Invoer gegevens'!$F$36)*Reeksen!J233,0),0)</f>
        <v>0</v>
      </c>
      <c r="AS233" s="71">
        <f ca="1">-IF(C233=1,(F233+K233+L233+Q233)/2*'Invoer gegevens'!$F$37*Reeksen!L233,0)</f>
        <v>0</v>
      </c>
      <c r="AT233" s="71">
        <f ca="1">-IF(C233=1,IF(E233='Invoer gegevens'!$C$17,'Invoer gegevens'!$C$11,AD233)*Reeksen!S233*'Invoer gegevens'!$C$18*Reeksen!P233,0)</f>
        <v>0</v>
      </c>
      <c r="AU233" s="71">
        <f ca="1">-IF(C233=1,(F233+K233+L233+Q233)/2*'Invoer gegevens'!$F$38*Reeksen!H233,0)</f>
        <v>0</v>
      </c>
      <c r="AV233" s="71">
        <f t="shared" si="67"/>
        <v>0</v>
      </c>
      <c r="AW233" s="71">
        <f t="shared" ca="1" si="64"/>
        <v>0</v>
      </c>
      <c r="AX233" s="71">
        <f ca="1">IF(E233&lt;'Invoer gegevens'!$C$17+15,0,IF(E233&gt;'Invoer gegevens'!$C$17+215,0,AW233))</f>
        <v>0</v>
      </c>
      <c r="AY233" s="71">
        <f ca="1">AX233/(1+'Invoer gegevens'!$F$18)^($AZ233-('Invoer gegevens'!$C$17-'Invoer gegevens'!$C$16))/(1+'Invoer gegevens'!$C$39)^('Invoer gegevens'!$C$17-'Invoer gegevens'!$C$16)</f>
        <v>0</v>
      </c>
      <c r="AZ233" s="68">
        <f ca="1">IF(E233-'Invoer gegevens'!$C$17-14.5&lt;0,0,E233-'Invoer gegevens'!$C$17-14.5)</f>
        <v>213.5</v>
      </c>
      <c r="BA233" s="109">
        <f ca="1">IFERROR(VLOOKUP(E233-15,Reeksen!$A$5:$D$234,2,FALSE),0)</f>
        <v>0</v>
      </c>
      <c r="BB233" s="109">
        <f ca="1">IFERROR(VLOOKUP(E233-15,Reeksen!$A$5:$D$234,3,FALSE),0)</f>
        <v>0</v>
      </c>
      <c r="BC233" s="109">
        <f ca="1">IFERROR(VLOOKUP(E233-15,Reeksen!$A$5:$D$234,4,FALSE),0)</f>
        <v>0</v>
      </c>
      <c r="BD233" s="67">
        <f ca="1">IF(E233-'Invoer gegevens'!$C$17&lt;15,0,1)</f>
        <v>1</v>
      </c>
    </row>
    <row r="234" spans="1:57" x14ac:dyDescent="0.25">
      <c r="A234" s="59"/>
      <c r="B234" s="70">
        <f t="shared" si="65"/>
        <v>230</v>
      </c>
      <c r="C234" s="67">
        <f ca="1">IF(E234-'Invoer gegevens'!$C$17&lt;0,0,1)</f>
        <v>1</v>
      </c>
      <c r="D234" s="68">
        <f t="shared" si="66"/>
        <v>229.5</v>
      </c>
      <c r="E234" s="108">
        <f ca="1">IF('Invoer gegevens'!$C$16="","",E233+1)</f>
        <v>2248</v>
      </c>
      <c r="F234" s="84">
        <f ca="1">IF('Invoer gegevens'!$C$17=E234,'Invoer gegevens'!$C$10,IF(C234=1,K233,0))</f>
        <v>0</v>
      </c>
      <c r="G234" s="96">
        <f ca="1">IF(BD234&lt;1,F234*Reeksen!C234,IF(C234&gt;=1,F234*BA234,0))</f>
        <v>0</v>
      </c>
      <c r="H234" s="84">
        <f ca="1">(1-('Invoer gegevens'!$F$20/12))*F234*MIN(BA234,BC234)</f>
        <v>0</v>
      </c>
      <c r="I234" s="84">
        <f t="shared" ca="1" si="51"/>
        <v>0</v>
      </c>
      <c r="J234" s="84">
        <f ca="1">('Invoer gegevens'!$F$20/12)*F233*MIN(BA234,BC234)</f>
        <v>0</v>
      </c>
      <c r="K234" s="97">
        <f t="shared" ca="1" si="56"/>
        <v>0</v>
      </c>
      <c r="L234" s="84">
        <f ca="1">IF('Invoer gegevens'!$C$17=E234,0,IF(C234=1,Q233,0))</f>
        <v>0</v>
      </c>
      <c r="M234" s="96">
        <f t="shared" ca="1" si="52"/>
        <v>0</v>
      </c>
      <c r="N234" s="84">
        <f ca="1">(1-('Invoer gegevens'!$F$20/12))*L234*MIN(BA234,BC234)</f>
        <v>0</v>
      </c>
      <c r="O234" s="84">
        <f t="shared" ca="1" si="53"/>
        <v>0</v>
      </c>
      <c r="P234" s="84">
        <f ca="1">('Invoer gegevens'!$F$20/12)*L233*MIN(BA234,BC234)</f>
        <v>0</v>
      </c>
      <c r="Q234" s="84">
        <f t="shared" ca="1" si="57"/>
        <v>0</v>
      </c>
      <c r="R234" s="85">
        <f ca="1">IF('Invoer gegevens'!$C$17=E234,'Invoer gegevens'!$C$11,IF(C234=1,W233,0))</f>
        <v>0</v>
      </c>
      <c r="S234" s="86">
        <f t="shared" ca="1" si="54"/>
        <v>0</v>
      </c>
      <c r="T234" s="86">
        <f ca="1">(1-('Invoer gegevens'!$F$20/12))*R234*MIN(BC234,BA234)</f>
        <v>0</v>
      </c>
      <c r="U234" s="86">
        <f ca="1">IF(BD234&lt;1,IF(Reeksen!AD234&lt;=Reeksen!AE234,R234*Reeksen!C234,0),IF(BC234&gt;=BA234,0,IF(Reeksen!AD234&lt;=Reeksen!AE234,(BA234-BC234)*R234,0)))</f>
        <v>0</v>
      </c>
      <c r="V234" s="86">
        <f ca="1">IF(BD234&lt;1,IF(Reeksen!AD234&gt;Reeksen!AE234,R234*Reeksen!C234,0),IF(BC234&gt;=BA234,0,IF(Reeksen!AD234&gt;Reeksen!AE234,(BA234-BC234)*R234,0)))</f>
        <v>0</v>
      </c>
      <c r="W234" s="218">
        <f t="shared" ca="1" si="58"/>
        <v>0</v>
      </c>
      <c r="X234" s="98">
        <f ca="1">IF('Invoer gegevens'!$C$17=E234,'Invoer gegevens'!$C$10-'Invoer gegevens'!$C$11,IF(C234=1,AC233,0))</f>
        <v>0</v>
      </c>
      <c r="Y234" s="98">
        <f t="shared" ca="1" si="55"/>
        <v>0</v>
      </c>
      <c r="Z234" s="98">
        <f ca="1">(1-('Invoer gegevens'!$F$20/12))*X234*MIN(BA234,BC234)</f>
        <v>0</v>
      </c>
      <c r="AA234" s="98">
        <f ca="1">IF(BD234&lt;1,IF(Reeksen!AD234&lt;=Reeksen!AE234,X234*Reeksen!C234,0),IF(BC234&gt;=BA234,0,IF(Reeksen!AD234&lt;=Reeksen!AE234,(BA234-BC234)*X234,0)))</f>
        <v>0</v>
      </c>
      <c r="AB234" s="98">
        <f ca="1">IF(BD234&lt;1,IF(Reeksen!AD234&gt;Reeksen!AE234,X234*Reeksen!C234,0),IF(BC234&gt;=BA234,0,IF(Reeksen!AD234&gt;Reeksen!AE234,(BA234-BC234)*X234,0)))</f>
        <v>0</v>
      </c>
      <c r="AC234" s="99">
        <f t="shared" ca="1" si="59"/>
        <v>0</v>
      </c>
      <c r="AD234" s="98">
        <f ca="1">IF('Invoer gegevens'!$C$17=E234,R234,IF(C234=0,0,AE233))</f>
        <v>0</v>
      </c>
      <c r="AE234" s="98">
        <f t="shared" ca="1" si="60"/>
        <v>0</v>
      </c>
      <c r="AF234" s="98">
        <f ca="1">IF('Invoer gegevens'!$C$17=E234,X234,IF(C234=0,0,AG233))</f>
        <v>0</v>
      </c>
      <c r="AG234" s="98">
        <f t="shared" ca="1" si="61"/>
        <v>0</v>
      </c>
      <c r="AH234" s="66"/>
      <c r="AI234" s="71">
        <f ca="1">IF(C234=1,Reeksen!AI234*((F234+K234)/2)*12+Reeksen!AD234*((L234+Q234)/2)*12,0)</f>
        <v>0</v>
      </c>
      <c r="AJ234" s="71">
        <f ca="1">-AI234*'Invoer gegevens'!$F$28</f>
        <v>0</v>
      </c>
      <c r="AK234" s="71">
        <f t="shared" ca="1" si="62"/>
        <v>0</v>
      </c>
      <c r="AL234" s="71">
        <f ca="1">IF(C234=1,Reeksen!AL234*((F234-G234+F234)/2)*12+Reeksen!AM234*((L234-M234+L234)/2)*12,0)</f>
        <v>0</v>
      </c>
      <c r="AM234" s="71">
        <f ca="1">-AL234*'Invoer gegevens'!$F$31</f>
        <v>0</v>
      </c>
      <c r="AN234" s="71">
        <f t="shared" ca="1" si="63"/>
        <v>0</v>
      </c>
      <c r="AO234" s="71">
        <f ca="1">IF(C234=1,(H234+J234+N234+P234)*Reeksen!AN234,0)</f>
        <v>0</v>
      </c>
      <c r="AP234" s="71">
        <f ca="1">-IF(C234=1,(H234+J234+N234+P234)*'Hulp - basis'!$G$550*Reeksen!H234,0)</f>
        <v>0</v>
      </c>
      <c r="AQ234" s="71">
        <f ca="1">-IF(C234=1,(F234+K234+L234+Q234)/2*'Invoer gegevens'!$F$35*Reeksen!J234,0)*2</f>
        <v>0</v>
      </c>
      <c r="AR234" s="71">
        <f ca="1">IF(BD234&lt;1,-IF(C234=1,(G234*'Invoer gegevens'!$F$36)*Reeksen!J234,0),0)</f>
        <v>0</v>
      </c>
      <c r="AS234" s="71">
        <f ca="1">-IF(C234=1,(F234+K234+L234+Q234)/2*'Invoer gegevens'!$F$37*Reeksen!L234,0)</f>
        <v>0</v>
      </c>
      <c r="AT234" s="71">
        <f ca="1">-IF(C234=1,IF(E234='Invoer gegevens'!$C$17,'Invoer gegevens'!$C$11,AD234)*Reeksen!S234*'Invoer gegevens'!$C$18*Reeksen!P234,0)</f>
        <v>0</v>
      </c>
      <c r="AU234" s="71">
        <f ca="1">-IF(C234=1,(F234+K234+L234+Q234)/2*'Invoer gegevens'!$F$38*Reeksen!H234,0)</f>
        <v>0</v>
      </c>
      <c r="AV234" s="71">
        <f t="shared" si="67"/>
        <v>0</v>
      </c>
      <c r="AW234" s="71">
        <f t="shared" ca="1" si="64"/>
        <v>0</v>
      </c>
      <c r="AX234" s="71">
        <f ca="1">IF(E234&lt;'Invoer gegevens'!$C$17+15,0,IF(E234&gt;'Invoer gegevens'!$C$17+215,0,AW234))</f>
        <v>0</v>
      </c>
      <c r="AY234" s="71">
        <f ca="1">AX234/(1+'Invoer gegevens'!$F$18)^($AZ234-('Invoer gegevens'!$C$17-'Invoer gegevens'!$C$16))/(1+'Invoer gegevens'!$C$39)^('Invoer gegevens'!$C$17-'Invoer gegevens'!$C$16)</f>
        <v>0</v>
      </c>
      <c r="AZ234" s="68">
        <f ca="1">IF(E234-'Invoer gegevens'!$C$17-14.5&lt;0,0,E234-'Invoer gegevens'!$C$17-14.5)</f>
        <v>214.5</v>
      </c>
      <c r="BA234" s="109">
        <f ca="1">IFERROR(VLOOKUP(E234-15,Reeksen!$A$5:$D$234,2,FALSE),0)</f>
        <v>0</v>
      </c>
      <c r="BB234" s="109">
        <f ca="1">IFERROR(VLOOKUP(E234-15,Reeksen!$A$5:$D$234,3,FALSE),0)</f>
        <v>0</v>
      </c>
      <c r="BC234" s="109">
        <f ca="1">IFERROR(VLOOKUP(E234-15,Reeksen!$A$5:$D$234,4,FALSE),0)</f>
        <v>0</v>
      </c>
      <c r="BD234" s="67">
        <f ca="1">IF(E234-'Invoer gegevens'!$C$17&lt;15,0,1)</f>
        <v>1</v>
      </c>
    </row>
    <row r="235" spans="1:57" x14ac:dyDescent="0.25">
      <c r="A235" s="59"/>
      <c r="B235" s="70"/>
      <c r="C235" s="67"/>
      <c r="D235" s="68"/>
      <c r="E235" s="69"/>
      <c r="F235" s="84"/>
      <c r="G235" s="83"/>
      <c r="H235" s="84"/>
      <c r="I235" s="84"/>
      <c r="J235" s="84"/>
      <c r="K235" s="84"/>
      <c r="L235" s="84"/>
      <c r="M235" s="83"/>
      <c r="N235" s="84"/>
      <c r="O235" s="84"/>
      <c r="P235" s="84"/>
      <c r="Q235" s="84"/>
      <c r="R235" s="86"/>
      <c r="S235" s="86"/>
      <c r="T235" s="86"/>
      <c r="U235" s="86"/>
      <c r="V235" s="86"/>
      <c r="W235" s="86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66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  <c r="BA235" s="105"/>
      <c r="BB235" s="105"/>
      <c r="BC235" s="105"/>
      <c r="BD235" s="105"/>
      <c r="BE235" s="105"/>
    </row>
    <row r="236" spans="1:57" x14ac:dyDescent="0.25">
      <c r="A236" s="59"/>
      <c r="B236" s="70"/>
      <c r="C236" s="67"/>
      <c r="D236" s="68"/>
      <c r="E236" s="69"/>
      <c r="F236" s="84"/>
      <c r="G236" s="83"/>
      <c r="H236" s="84"/>
      <c r="I236" s="84"/>
      <c r="J236" s="84"/>
      <c r="K236" s="84"/>
      <c r="L236" s="84"/>
      <c r="M236" s="83"/>
      <c r="N236" s="84"/>
      <c r="O236" s="84"/>
      <c r="P236" s="84"/>
      <c r="Q236" s="84"/>
      <c r="R236" s="86"/>
      <c r="S236" s="86"/>
      <c r="T236" s="86"/>
      <c r="U236" s="86"/>
      <c r="V236" s="86"/>
      <c r="W236" s="86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66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  <c r="BA236" s="105"/>
      <c r="BB236" s="105"/>
      <c r="BC236" s="105"/>
      <c r="BD236" s="105"/>
      <c r="BE236" s="105"/>
    </row>
    <row r="237" spans="1:57" x14ac:dyDescent="0.25">
      <c r="A237" s="59"/>
      <c r="B237" s="70"/>
      <c r="C237" s="67"/>
      <c r="D237" s="68"/>
      <c r="E237" s="69"/>
      <c r="F237" s="84"/>
      <c r="G237" s="83"/>
      <c r="H237" s="84"/>
      <c r="I237" s="84"/>
      <c r="J237" s="84"/>
      <c r="K237" s="84"/>
      <c r="L237" s="84"/>
      <c r="M237" s="83"/>
      <c r="N237" s="84"/>
      <c r="O237" s="84"/>
      <c r="P237" s="84"/>
      <c r="Q237" s="84"/>
      <c r="R237" s="86"/>
      <c r="S237" s="86"/>
      <c r="T237" s="86"/>
      <c r="U237" s="86"/>
      <c r="V237" s="86"/>
      <c r="W237" s="86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66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  <c r="BA237" s="105"/>
      <c r="BB237" s="105"/>
      <c r="BC237" s="105"/>
      <c r="BD237" s="105"/>
      <c r="BE237" s="105"/>
    </row>
    <row r="238" spans="1:5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</row>
    <row r="239" spans="1:5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</row>
    <row r="240" spans="1:5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</row>
    <row r="241" spans="1:5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</row>
    <row r="242" spans="1:5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</row>
    <row r="243" spans="1:5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</row>
    <row r="244" spans="1:5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</row>
  </sheetData>
  <mergeCells count="31"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W3:W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2:K2"/>
    <mergeCell ref="L2:Q2"/>
    <mergeCell ref="R2:W2"/>
    <mergeCell ref="X2:AC2"/>
    <mergeCell ref="AD2:AG2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0" orientation="portrait" horizontalDpi="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BJ198"/>
  <sheetViews>
    <sheetView showGridLines="0" topLeftCell="A36" zoomScale="80" zoomScaleNormal="80" workbookViewId="0">
      <selection activeCell="I11" sqref="I11"/>
    </sheetView>
  </sheetViews>
  <sheetFormatPr defaultRowHeight="15" customHeight="1" zeroHeight="1" outlineLevelRow="1" x14ac:dyDescent="0.25"/>
  <cols>
    <col min="1" max="1" width="46.140625" style="230" customWidth="1"/>
    <col min="2" max="2" width="16.7109375" style="230" customWidth="1"/>
    <col min="3" max="60" width="14.42578125" style="230" customWidth="1"/>
    <col min="61" max="65" width="15.28515625" style="230" customWidth="1"/>
    <col min="66" max="80" width="16.7109375" style="230" customWidth="1"/>
    <col min="81" max="16384" width="9.140625" style="230"/>
  </cols>
  <sheetData>
    <row r="1" spans="1:62" x14ac:dyDescent="0.25">
      <c r="A1" s="6" t="s">
        <v>17</v>
      </c>
      <c r="B1" s="7">
        <f>C1-1</f>
        <v>2018</v>
      </c>
      <c r="C1" s="7">
        <f>IF(Dashboard!C51+Dashboard!D51=0,Dashboard!C13,Dashboard!C56)</f>
        <v>2019</v>
      </c>
      <c r="D1" s="7">
        <f>C1+1</f>
        <v>2020</v>
      </c>
      <c r="E1" s="7">
        <f t="shared" ref="E1:P1" si="0">D1+1</f>
        <v>2021</v>
      </c>
      <c r="F1" s="7">
        <f t="shared" si="0"/>
        <v>2022</v>
      </c>
      <c r="G1" s="7">
        <f t="shared" si="0"/>
        <v>2023</v>
      </c>
      <c r="H1" s="7">
        <f t="shared" si="0"/>
        <v>2024</v>
      </c>
      <c r="I1" s="7">
        <f t="shared" si="0"/>
        <v>2025</v>
      </c>
      <c r="J1" s="7">
        <f t="shared" si="0"/>
        <v>2026</v>
      </c>
      <c r="K1" s="7">
        <f t="shared" si="0"/>
        <v>2027</v>
      </c>
      <c r="L1" s="7">
        <f t="shared" si="0"/>
        <v>2028</v>
      </c>
      <c r="M1" s="7">
        <f t="shared" si="0"/>
        <v>2029</v>
      </c>
      <c r="N1" s="7">
        <f t="shared" si="0"/>
        <v>2030</v>
      </c>
      <c r="O1" s="7">
        <f t="shared" si="0"/>
        <v>2031</v>
      </c>
      <c r="P1" s="7">
        <f t="shared" si="0"/>
        <v>2032</v>
      </c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2"/>
    </row>
    <row r="2" spans="1:62" x14ac:dyDescent="0.25">
      <c r="A2" s="9" t="s">
        <v>904</v>
      </c>
      <c r="B2" s="9">
        <v>0</v>
      </c>
      <c r="C2" s="9">
        <v>1</v>
      </c>
      <c r="D2" s="9">
        <v>2</v>
      </c>
      <c r="E2" s="9">
        <v>3</v>
      </c>
      <c r="F2" s="9">
        <v>4</v>
      </c>
      <c r="G2" s="9">
        <v>5</v>
      </c>
      <c r="H2" s="9">
        <v>6</v>
      </c>
      <c r="I2" s="9">
        <v>7</v>
      </c>
      <c r="J2" s="9">
        <v>8</v>
      </c>
      <c r="K2" s="9">
        <v>9</v>
      </c>
      <c r="L2" s="9">
        <v>10</v>
      </c>
      <c r="M2" s="9">
        <v>11</v>
      </c>
      <c r="N2" s="9">
        <v>12</v>
      </c>
      <c r="O2" s="9">
        <v>13</v>
      </c>
      <c r="P2" s="9">
        <v>14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1:62" x14ac:dyDescent="0.25">
      <c r="B3" s="385">
        <f>IF(B1&gt;=Dashboard!$C$13,1,0)</f>
        <v>0</v>
      </c>
      <c r="C3" s="385">
        <f>IF(C1&gt;=Dashboard!$C$13,1,0)</f>
        <v>1</v>
      </c>
      <c r="D3" s="385">
        <f>IF(D1&gt;=Dashboard!$C$13,1,0)</f>
        <v>1</v>
      </c>
      <c r="E3" s="385">
        <f>IF(E1&gt;=Dashboard!$C$13,1,0)</f>
        <v>1</v>
      </c>
      <c r="F3" s="385">
        <f>IF(F1&gt;=Dashboard!$C$13,1,0)</f>
        <v>1</v>
      </c>
      <c r="G3" s="385">
        <f>IF(G1&gt;=Dashboard!$C$13,1,0)</f>
        <v>1</v>
      </c>
      <c r="H3" s="385">
        <f>IF(H1&gt;=Dashboard!$C$13,1,0)</f>
        <v>1</v>
      </c>
      <c r="I3" s="385">
        <f>IF(I1&gt;=Dashboard!$C$13,1,0)</f>
        <v>1</v>
      </c>
      <c r="J3" s="385">
        <f>IF(J1&gt;=Dashboard!$C$13,1,0)</f>
        <v>1</v>
      </c>
      <c r="K3" s="385">
        <f>IF(K1&gt;=Dashboard!$C$13,1,0)</f>
        <v>1</v>
      </c>
      <c r="L3" s="385">
        <f>IF(L1&gt;=Dashboard!$C$13,1,0)</f>
        <v>1</v>
      </c>
      <c r="M3" s="385">
        <f>IF(M1&gt;=Dashboard!$C$13,1,0)</f>
        <v>1</v>
      </c>
      <c r="N3" s="385">
        <f>IF(N1&gt;=Dashboard!$C$13,1,0)</f>
        <v>1</v>
      </c>
      <c r="O3" s="385">
        <f>IF(O1&gt;=Dashboard!$C$13,1,0)</f>
        <v>1</v>
      </c>
      <c r="P3" s="385">
        <f>IF(P1&gt;=Dashboard!$C$13,1,0)</f>
        <v>1</v>
      </c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pans="1:62" x14ac:dyDescent="0.25">
      <c r="A4" s="9" t="s">
        <v>18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2"/>
    </row>
    <row r="5" spans="1:62" x14ac:dyDescent="0.25"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pans="1:62" x14ac:dyDescent="0.25">
      <c r="A6" s="10" t="s">
        <v>19</v>
      </c>
      <c r="B6" s="1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62" x14ac:dyDescent="0.25">
      <c r="A7" s="2" t="s">
        <v>0</v>
      </c>
      <c r="B7" s="2"/>
      <c r="C7" s="257">
        <f ca="1">((Dashboard!$C$22*Dashboard!$C$31+Dashboard!$D$22*Dashboard!$D$31)*(AVERAGE(B3:C3)*12)*(OFFSET(Reeksen!$Y$5,B2,0)))</f>
        <v>0</v>
      </c>
      <c r="D7" s="257">
        <f ca="1">((Dashboard!$C$22*Dashboard!$C$31+Dashboard!$D$22*Dashboard!$D$31)*(AVERAGE(C3:D3)*12)*(OFFSET(Reeksen!$Y$5,C2,0)))</f>
        <v>0</v>
      </c>
      <c r="E7" s="257">
        <f ca="1">((Dashboard!$C$22*Dashboard!$C$31+Dashboard!$D$22*Dashboard!$D$31)*(AVERAGE(D3:E3)*12)*(OFFSET(Reeksen!$Y$5,D2,0)))</f>
        <v>0</v>
      </c>
      <c r="F7" s="257">
        <f ca="1">((Dashboard!$C$22*Dashboard!$C$31+Dashboard!$D$22*Dashboard!$D$31)*(AVERAGE(E3:F3)*12)*(OFFSET(Reeksen!$Y$5,E2,0)))</f>
        <v>0</v>
      </c>
      <c r="G7" s="257">
        <f ca="1">((Dashboard!$C$22*Dashboard!$C$31+Dashboard!$D$22*Dashboard!$D$31)*(AVERAGE(F3:G3)*12)*(OFFSET(Reeksen!$Y$5,F2,0)))</f>
        <v>0</v>
      </c>
      <c r="H7" s="257">
        <f ca="1">((Dashboard!$C$22*Dashboard!$C$31+Dashboard!$D$22*Dashboard!$D$31)*(AVERAGE(G3:H3)*12)*(OFFSET(Reeksen!$Y$5,G2,0)))</f>
        <v>0</v>
      </c>
      <c r="I7" s="257">
        <f ca="1">((Dashboard!$C$22*Dashboard!$C$31+Dashboard!$D$22*Dashboard!$D$31)*(AVERAGE(H3:I3)*12)*(OFFSET(Reeksen!$Y$5,H2,0)))</f>
        <v>0</v>
      </c>
      <c r="J7" s="257">
        <f ca="1">((Dashboard!$C$22*Dashboard!$C$31+Dashboard!$D$22*Dashboard!$D$31)*(AVERAGE(I3:J3)*12)*(OFFSET(Reeksen!$Y$5,I2,0)))</f>
        <v>0</v>
      </c>
      <c r="K7" s="257">
        <f ca="1">((Dashboard!$C$22*Dashboard!$C$31+Dashboard!$D$22*Dashboard!$D$31)*(AVERAGE(J3:K3)*12)*(OFFSET(Reeksen!$Y$5,J2,0)))</f>
        <v>0</v>
      </c>
      <c r="L7" s="257">
        <f ca="1">((Dashboard!$C$22*Dashboard!$C$31+Dashboard!$D$22*Dashboard!$D$31)*(AVERAGE(K3:L3)*12)*(OFFSET(Reeksen!$Y$5,K2,0)))</f>
        <v>0</v>
      </c>
      <c r="M7" s="257">
        <f ca="1">((Dashboard!$C$22*Dashboard!$C$31+Dashboard!$D$22*Dashboard!$D$31)*(AVERAGE(L3:M3)*12)*(OFFSET(Reeksen!$Y$5,L2,0)))</f>
        <v>0</v>
      </c>
      <c r="N7" s="257">
        <f ca="1">((Dashboard!$C$22*Dashboard!$C$31+Dashboard!$D$22*Dashboard!$D$31)*(AVERAGE(M3:N3)*12)*(OFFSET(Reeksen!$Y$5,M2,0)))</f>
        <v>0</v>
      </c>
      <c r="O7" s="257">
        <f ca="1">((Dashboard!$C$22*Dashboard!$C$31+Dashboard!$D$22*Dashboard!$D$31)*(AVERAGE(N3:O3)*12)*(OFFSET(Reeksen!$Y$5,N2,0)))</f>
        <v>0</v>
      </c>
      <c r="P7" s="257">
        <f ca="1">((Dashboard!$C$22*Dashboard!$C$31+Dashboard!$D$22*Dashboard!$D$31)*(AVERAGE(O3:P3)*12)*(OFFSET(Reeksen!$Y$5,O2,0)))</f>
        <v>0</v>
      </c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2"/>
    </row>
    <row r="8" spans="1:62" x14ac:dyDescent="0.25">
      <c r="A8" s="2" t="s">
        <v>20</v>
      </c>
      <c r="B8" s="2"/>
      <c r="C8" s="257">
        <f ca="1">-(C7*'Hulp - basis'!$B$594)</f>
        <v>0</v>
      </c>
      <c r="D8" s="257">
        <f ca="1">-(D7*'Hulp - basis'!$C$594)</f>
        <v>0</v>
      </c>
      <c r="E8" s="257">
        <f ca="1">-(E7*'Hulp - basis'!$D$594)</f>
        <v>0</v>
      </c>
      <c r="F8" s="257">
        <f ca="1">-(F7*'Hulp - basis'!$D$594)</f>
        <v>0</v>
      </c>
      <c r="G8" s="257">
        <f ca="1">-(G7*'Hulp - basis'!$D$594)</f>
        <v>0</v>
      </c>
      <c r="H8" s="257">
        <f ca="1">-(H7*'Hulp - basis'!$D$594)</f>
        <v>0</v>
      </c>
      <c r="I8" s="257">
        <f ca="1">-(I7*'Hulp - basis'!$D$594)</f>
        <v>0</v>
      </c>
      <c r="J8" s="257">
        <f ca="1">-(J7*'Hulp - basis'!$D$594)</f>
        <v>0</v>
      </c>
      <c r="K8" s="257">
        <f ca="1">-(K7*'Hulp - basis'!$D$594)</f>
        <v>0</v>
      </c>
      <c r="L8" s="257">
        <f ca="1">-(L7*'Hulp - basis'!$D$594)</f>
        <v>0</v>
      </c>
      <c r="M8" s="257">
        <f ca="1">-(M7*'Hulp - basis'!$D$594)</f>
        <v>0</v>
      </c>
      <c r="N8" s="257">
        <f ca="1">-(N7*'Hulp - basis'!$D$594)</f>
        <v>0</v>
      </c>
      <c r="O8" s="257">
        <f ca="1">-(O7*'Hulp - basis'!$D$594)</f>
        <v>0</v>
      </c>
      <c r="P8" s="257">
        <f ca="1">-(P7*'Hulp - basis'!$D$594)</f>
        <v>0</v>
      </c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2"/>
    </row>
    <row r="9" spans="1:62" s="249" customFormat="1" x14ac:dyDescent="0.25">
      <c r="A9" s="246" t="s">
        <v>22</v>
      </c>
      <c r="B9" s="246"/>
      <c r="C9" s="263">
        <f ca="1">C7+C8</f>
        <v>0</v>
      </c>
      <c r="D9" s="264">
        <f t="shared" ref="D9:P9" ca="1" si="1">SUM(D7:D8)</f>
        <v>0</v>
      </c>
      <c r="E9" s="264">
        <f t="shared" ca="1" si="1"/>
        <v>0</v>
      </c>
      <c r="F9" s="264">
        <f t="shared" ca="1" si="1"/>
        <v>0</v>
      </c>
      <c r="G9" s="264">
        <f t="shared" ca="1" si="1"/>
        <v>0</v>
      </c>
      <c r="H9" s="264">
        <f t="shared" ca="1" si="1"/>
        <v>0</v>
      </c>
      <c r="I9" s="264">
        <f t="shared" ca="1" si="1"/>
        <v>0</v>
      </c>
      <c r="J9" s="264">
        <f t="shared" ca="1" si="1"/>
        <v>0</v>
      </c>
      <c r="K9" s="264">
        <f t="shared" ca="1" si="1"/>
        <v>0</v>
      </c>
      <c r="L9" s="264">
        <f t="shared" ca="1" si="1"/>
        <v>0</v>
      </c>
      <c r="M9" s="264">
        <f t="shared" ca="1" si="1"/>
        <v>0</v>
      </c>
      <c r="N9" s="264">
        <f t="shared" ca="1" si="1"/>
        <v>0</v>
      </c>
      <c r="O9" s="264">
        <f t="shared" ca="1" si="1"/>
        <v>0</v>
      </c>
      <c r="P9" s="264">
        <f t="shared" ca="1" si="1"/>
        <v>0</v>
      </c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8"/>
    </row>
    <row r="10" spans="1:62" x14ac:dyDescent="0.25">
      <c r="C10" s="257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pans="1:62" x14ac:dyDescent="0.25">
      <c r="A11" s="10" t="s">
        <v>23</v>
      </c>
      <c r="B11" s="10"/>
      <c r="C11" s="257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pans="1:62" s="2" customFormat="1" x14ac:dyDescent="0.25">
      <c r="A12" s="2" t="s">
        <v>24</v>
      </c>
      <c r="C12" s="262">
        <f ca="1">-((Dashboard!$C$38*Dashboard!$C$20+Dashboard!$D$38*Dashboard!$D$20)*VLOOKUP(C1,Reeksen!$F$5:$L$234,7,FALSE))*AVERAGE(B3:C3)</f>
        <v>0</v>
      </c>
      <c r="D12" s="262">
        <f ca="1">-((Dashboard!$C$38*Dashboard!$C$20+Dashboard!$D$38*Dashboard!$D$20)*VLOOKUP(D1,Reeksen!$F$5:$L$234,7,FALSE))*AVERAGE(C3:D3)</f>
        <v>0</v>
      </c>
      <c r="E12" s="262">
        <f ca="1">-((Dashboard!$C$38*Dashboard!$C$20+Dashboard!$D$38*Dashboard!$D$20)*VLOOKUP(E1,Reeksen!$F$5:$L$234,7,FALSE))*AVERAGE(D3:E3)*E3</f>
        <v>0</v>
      </c>
      <c r="F12" s="262">
        <f ca="1">-((Dashboard!$C$38*Dashboard!$C$20+Dashboard!$D$38*Dashboard!$D$20)*VLOOKUP(F1,Reeksen!$F$5:$L$234,7,FALSE))*AVERAGE(E3:F3)*F3</f>
        <v>0</v>
      </c>
      <c r="G12" s="262">
        <f ca="1">-((Dashboard!$C$38*Dashboard!$C$20+Dashboard!$D$38*Dashboard!$D$20)*VLOOKUP(G1,Reeksen!$F$5:$L$234,7,FALSE))*AVERAGE(F3:G3)*G3</f>
        <v>0</v>
      </c>
      <c r="H12" s="262">
        <f ca="1">-((Dashboard!$C$38*Dashboard!$C$20+Dashboard!$D$38*Dashboard!$D$20)*VLOOKUP(H1,Reeksen!$F$5:$L$234,7,FALSE))*AVERAGE(G3:H3)*H3</f>
        <v>0</v>
      </c>
      <c r="I12" s="262">
        <f ca="1">-((Dashboard!$C$38*Dashboard!$C$20+Dashboard!$D$38*Dashboard!$D$20)*VLOOKUP(I1,Reeksen!$F$5:$L$234,7,FALSE))*AVERAGE(H3:I3)*I3</f>
        <v>0</v>
      </c>
      <c r="J12" s="262">
        <f ca="1">-((Dashboard!$C$38*Dashboard!$C$20+Dashboard!$D$38*Dashboard!$D$20)*VLOOKUP(J1,Reeksen!$F$5:$L$234,7,FALSE))*AVERAGE(I3:J3)*J3</f>
        <v>0</v>
      </c>
      <c r="K12" s="262">
        <f ca="1">-((Dashboard!$C$38*Dashboard!$C$20+Dashboard!$D$38*Dashboard!$D$20)*VLOOKUP(K1,Reeksen!$F$5:$L$234,7,FALSE))*AVERAGE(J3:K3)*K3</f>
        <v>0</v>
      </c>
      <c r="L12" s="262">
        <f ca="1">-((Dashboard!$C$38*Dashboard!$C$20+Dashboard!$D$38*Dashboard!$D$20)*VLOOKUP(L1,Reeksen!$F$5:$L$234,7,FALSE))*AVERAGE(K3:L3)*L3</f>
        <v>0</v>
      </c>
      <c r="M12" s="262">
        <f ca="1">-((Dashboard!$C$38*Dashboard!$C$20+Dashboard!$D$38*Dashboard!$D$20)*VLOOKUP(M1,Reeksen!$F$5:$L$234,7,FALSE))*AVERAGE(L3:M3)*M3</f>
        <v>0</v>
      </c>
      <c r="N12" s="262">
        <f ca="1">-((Dashboard!$C$38*Dashboard!$C$20+Dashboard!$D$38*Dashboard!$D$20)*VLOOKUP(N1,Reeksen!$F$5:$L$234,7,FALSE))*AVERAGE(M3:N3)*N3</f>
        <v>0</v>
      </c>
      <c r="O12" s="262">
        <f ca="1">-((Dashboard!$C$38*Dashboard!$C$20+Dashboard!$D$38*Dashboard!$D$20)*VLOOKUP(O1,Reeksen!$F$5:$L$234,7,FALSE))*AVERAGE(N3:O3)*O3</f>
        <v>0</v>
      </c>
      <c r="P12" s="262">
        <f ca="1">-((Dashboard!$C$38*Dashboard!$C$20+Dashboard!$D$38*Dashboard!$D$20)*VLOOKUP(P1,Reeksen!$F$5:$L$234,7,FALSE))*AVERAGE(O3:P3)*P3</f>
        <v>0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</row>
    <row r="13" spans="1:62" x14ac:dyDescent="0.25">
      <c r="A13" s="230" t="s">
        <v>25</v>
      </c>
      <c r="C13" s="262">
        <f ca="1">-(((Dashboard!$C$35+Dashboard!$C$36+Dashboard!$C$37*Dashboard!$C$25)*Dashboard!$C$20*AVERAGE(B3:C3)+(Dashboard!$D$35+Dashboard!$D$36+Dashboard!$D$37*Dashboard!$D$25)*Dashboard!$D$20*AVERAGE(B3:C3))*VLOOKUP(C1,Reeksen!$F$5:$L$234,5,FALSE))</f>
        <v>0</v>
      </c>
      <c r="D13" s="262">
        <f ca="1">-(((Dashboard!$C$35+Dashboard!$C$36+Dashboard!$C$37*Dashboard!$C$25)*Dashboard!$C$20*AVERAGE(C3:D3)+(Dashboard!$D$35+Dashboard!$D$36+Dashboard!$D$37*Dashboard!$D$25)*Dashboard!$D$20*AVERAGE(C3:D3))*VLOOKUP(D1,Reeksen!$F$5:$L$234,5,FALSE))</f>
        <v>0</v>
      </c>
      <c r="E13" s="262">
        <f ca="1">-(((Dashboard!$C$35+Dashboard!$C$36+Dashboard!$C$37*Dashboard!$C$25)*Dashboard!$C$20*AVERAGE(D3:E3)+(Dashboard!$D$35+Dashboard!$D$36+Dashboard!$D$37*Dashboard!$D$25)*Dashboard!$D$20*AVERAGE(D3:E3))*VLOOKUP(E1,Reeksen!$F$5:$L$234,5,FALSE))*E3</f>
        <v>0</v>
      </c>
      <c r="F13" s="262">
        <f ca="1">-(((Dashboard!$C$35+Dashboard!$C$36+Dashboard!$C$37*Dashboard!$C$25)*Dashboard!$C$20*AVERAGE(E3:F3)+(Dashboard!$D$35+Dashboard!$D$36+Dashboard!$D$37*Dashboard!$D$25)*Dashboard!$D$20*AVERAGE(E3:F3))*VLOOKUP(F1,Reeksen!$F$5:$L$234,5,FALSE))*F3</f>
        <v>0</v>
      </c>
      <c r="G13" s="262">
        <f ca="1">-(((Dashboard!$C$35+Dashboard!$C$36+Dashboard!$C$37*Dashboard!$C$25)*Dashboard!$C$20*AVERAGE(F3:G3)+(Dashboard!$D$35+Dashboard!$D$36+Dashboard!$D$37*Dashboard!$D$25)*Dashboard!$D$20*AVERAGE(F3:G3))*VLOOKUP(G1,Reeksen!$F$5:$L$234,5,FALSE))*G3</f>
        <v>0</v>
      </c>
      <c r="H13" s="262">
        <f ca="1">-(((Dashboard!$C$35+Dashboard!$C$36+Dashboard!$C$37*Dashboard!$C$25)*Dashboard!$C$20*AVERAGE(G3:H3)+(Dashboard!$D$35+Dashboard!$D$36+Dashboard!$D$37*Dashboard!$D$25)*Dashboard!$D$20*AVERAGE(G3:H3))*VLOOKUP(H1,Reeksen!$F$5:$L$234,5,FALSE))*H3</f>
        <v>0</v>
      </c>
      <c r="I13" s="262">
        <f ca="1">-(((Dashboard!$C$35+Dashboard!$C$36+Dashboard!$C$37*Dashboard!$C$25)*Dashboard!$C$20*AVERAGE(H3:I3)+(Dashboard!$D$35+Dashboard!$D$36+Dashboard!$D$37*Dashboard!$D$25)*Dashboard!$D$20*AVERAGE(H3:I3))*VLOOKUP(I1,Reeksen!$F$5:$L$234,5,FALSE))*I3</f>
        <v>0</v>
      </c>
      <c r="J13" s="262">
        <f ca="1">-(((Dashboard!$C$35+Dashboard!$C$36+Dashboard!$C$37*Dashboard!$C$25)*Dashboard!$C$20*AVERAGE(I3:J3)+(Dashboard!$D$35+Dashboard!$D$36+Dashboard!$D$37*Dashboard!$D$25)*Dashboard!$D$20*AVERAGE(I3:J3))*VLOOKUP(J1,Reeksen!$F$5:$L$234,5,FALSE))*J3</f>
        <v>0</v>
      </c>
      <c r="K13" s="262">
        <f ca="1">-(((Dashboard!$C$35+Dashboard!$C$36+Dashboard!$C$37*Dashboard!$C$25)*Dashboard!$C$20*AVERAGE(J3:K3)+(Dashboard!$D$35+Dashboard!$D$36+Dashboard!$D$37*Dashboard!$D$25)*Dashboard!$D$20*AVERAGE(J3:K3))*VLOOKUP(K1,Reeksen!$F$5:$L$234,5,FALSE))*K3</f>
        <v>0</v>
      </c>
      <c r="L13" s="262">
        <f ca="1">-(((Dashboard!$C$35+Dashboard!$C$36+Dashboard!$C$37*Dashboard!$C$25)*Dashboard!$C$20*AVERAGE(K3:L3)+(Dashboard!$D$35+Dashboard!$D$36+Dashboard!$D$37*Dashboard!$D$25)*Dashboard!$D$20*AVERAGE(K3:L3))*VLOOKUP(L1,Reeksen!$F$5:$L$234,5,FALSE))*L3</f>
        <v>0</v>
      </c>
      <c r="M13" s="262">
        <f ca="1">-(((Dashboard!$C$35+Dashboard!$C$36+Dashboard!$C$37*Dashboard!$C$25)*Dashboard!$C$20*AVERAGE(L3:M3)+(Dashboard!$D$35+Dashboard!$D$36+Dashboard!$D$37*Dashboard!$D$25)*Dashboard!$D$20*AVERAGE(L3:M3))*VLOOKUP(M1,Reeksen!$F$5:$L$234,5,FALSE))*M3</f>
        <v>0</v>
      </c>
      <c r="N13" s="262">
        <f ca="1">-(((Dashboard!$C$35+Dashboard!$C$36+Dashboard!$C$37*Dashboard!$C$25)*Dashboard!$C$20*AVERAGE(M3:N3)+(Dashboard!$D$35+Dashboard!$D$36+Dashboard!$D$37*Dashboard!$D$25)*Dashboard!$D$20*AVERAGE(M3:N3))*VLOOKUP(N1,Reeksen!$F$5:$L$234,5,FALSE))*N3</f>
        <v>0</v>
      </c>
      <c r="O13" s="262">
        <f ca="1">-(((Dashboard!$C$35+Dashboard!$C$36+Dashboard!$C$37*Dashboard!$C$25)*Dashboard!$C$20*AVERAGE(N3:O3)+(Dashboard!$D$35+Dashboard!$D$36+Dashboard!$D$37*Dashboard!$D$25)*Dashboard!$D$20*AVERAGE(N3:O3))*VLOOKUP(O1,Reeksen!$F$5:$L$234,5,FALSE))*O3</f>
        <v>0</v>
      </c>
      <c r="P13" s="262">
        <f ca="1">-(((Dashboard!$C$35+Dashboard!$C$36+Dashboard!$C$37*Dashboard!$C$25)*Dashboard!$C$20*AVERAGE(O3:P3)+(Dashboard!$D$35+Dashboard!$D$36+Dashboard!$D$37*Dashboard!$D$25)*Dashboard!$D$20*AVERAGE(O3:P3))*VLOOKUP(P1,Reeksen!$F$5:$L$234,5,FALSE))*P3</f>
        <v>0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2"/>
    </row>
    <row r="14" spans="1:62" s="2" customFormat="1" x14ac:dyDescent="0.25">
      <c r="A14" s="2" t="s">
        <v>26</v>
      </c>
      <c r="C14" s="262">
        <f ca="1">-(IF(Dashboard!$C$22&gt;10,Dashboard!$C$24*Dashboard!$C$22*OFFSET(Reeksen!$P$5,B2,0)*OFFSET(Reeksen!$S$5,Exploitatie!B2,0)))*AVERAGE(B3:C3)</f>
        <v>0</v>
      </c>
      <c r="D14" s="262">
        <f ca="1">-(IF(Dashboard!$C$22&gt;10,Dashboard!$C$24*Dashboard!$C$22*OFFSET(Reeksen!$P$5,C2,0)*OFFSET(Reeksen!$S$5,Exploitatie!C2,0)))*AVERAGE(C3:D3)</f>
        <v>0</v>
      </c>
      <c r="E14" s="262">
        <f ca="1">-(IF(Dashboard!$C$22&gt;10,Dashboard!$C$24*Dashboard!$C$22*OFFSET(Reeksen!$P$5,D2,0)*OFFSET(Reeksen!$S$5,Exploitatie!D2,0)))*AVERAGE(D3:E3)</f>
        <v>0</v>
      </c>
      <c r="F14" s="262">
        <f ca="1">-(IF(Dashboard!$C$22&gt;10,Dashboard!$C$24*Dashboard!$C$22*OFFSET(Reeksen!$P$5,E2,0)*OFFSET(Reeksen!$S$5,Exploitatie!E2,0)))*AVERAGE(E3:F3)</f>
        <v>0</v>
      </c>
      <c r="G14" s="262">
        <f ca="1">-(IF(Dashboard!$C$22&gt;10,Dashboard!$C$24*Dashboard!$C$22*OFFSET(Reeksen!$P$5,F2,0)*OFFSET(Reeksen!$S$5,Exploitatie!F2,0)))*AVERAGE(F3:G3)</f>
        <v>0</v>
      </c>
      <c r="H14" s="262">
        <f ca="1">-(IF(Dashboard!$C$22&gt;10,Dashboard!$C$24*Dashboard!$C$22*OFFSET(Reeksen!$P$5,G2,0)*OFFSET(Reeksen!$S$5,Exploitatie!G2,0)))*AVERAGE(G3:H3)</f>
        <v>0</v>
      </c>
      <c r="I14" s="262">
        <f ca="1">-(IF(Dashboard!$C$22&gt;10,Dashboard!$C$24*Dashboard!$C$22*OFFSET(Reeksen!$P$5,H2,0)*OFFSET(Reeksen!$S$5,Exploitatie!H2,0)))*AVERAGE(H3:I3)</f>
        <v>0</v>
      </c>
      <c r="J14" s="262">
        <f ca="1">-(IF(Dashboard!$C$22&gt;10,Dashboard!$C$24*Dashboard!$C$22*OFFSET(Reeksen!$P$5,I2,0)*OFFSET(Reeksen!$S$5,Exploitatie!I2,0)))*AVERAGE(I3:J3)</f>
        <v>0</v>
      </c>
      <c r="K14" s="262">
        <f ca="1">-(IF(Dashboard!$C$22&gt;10,Dashboard!$C$24*Dashboard!$C$22*OFFSET(Reeksen!$P$5,J2,0)*OFFSET(Reeksen!$S$5,Exploitatie!J2,0)))*AVERAGE(J3:K3)</f>
        <v>0</v>
      </c>
      <c r="L14" s="262">
        <f ca="1">-(IF(Dashboard!$C$22&gt;10,Dashboard!$C$24*Dashboard!$C$22*OFFSET(Reeksen!$P$5,K2,0)*OFFSET(Reeksen!$S$5,Exploitatie!K2,0)))*AVERAGE(K3:L3)</f>
        <v>0</v>
      </c>
      <c r="M14" s="262">
        <f ca="1">-(IF(Dashboard!$C$22&gt;10,Dashboard!$C$24*Dashboard!$C$22*OFFSET(Reeksen!$P$5,L2,0)*OFFSET(Reeksen!$S$5,Exploitatie!L2,0)))*AVERAGE(L3:M3)</f>
        <v>0</v>
      </c>
      <c r="N14" s="262">
        <f ca="1">-(IF(Dashboard!$C$22&gt;10,Dashboard!$C$24*Dashboard!$C$22*OFFSET(Reeksen!$P$5,M2,0)*OFFSET(Reeksen!$S$5,Exploitatie!M2,0)))*AVERAGE(M3:N3)</f>
        <v>0</v>
      </c>
      <c r="O14" s="262">
        <f ca="1">-(IF(Dashboard!$C$22&gt;10,Dashboard!$C$24*Dashboard!$C$22*OFFSET(Reeksen!$P$5,N2,0)*OFFSET(Reeksen!$S$5,Exploitatie!N2,0)))*AVERAGE(N3:O3)</f>
        <v>0</v>
      </c>
      <c r="P14" s="262">
        <f ca="1">-(IF(Dashboard!$C$22&gt;10,Dashboard!$C$24*Dashboard!$C$22*OFFSET(Reeksen!$P$5,O2,0)*OFFSET(Reeksen!$S$5,Exploitatie!O2,0)))*AVERAGE(O3:P3)</f>
        <v>0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</row>
    <row r="15" spans="1:62" x14ac:dyDescent="0.25">
      <c r="A15" s="230" t="s">
        <v>834</v>
      </c>
      <c r="C15" s="257">
        <f ca="1">-((Dashboard!$C$22*Dashboard!$C$24+Dashboard!$D$22*Dashboard!$D$24)*OFFSET(Reeksen!$P$5,Exploitatie!B2,0)*'Hulp - basis'!$B$152)*AVERAGE(B3:C3)</f>
        <v>0</v>
      </c>
      <c r="D15" s="257">
        <f ca="1">-((Dashboard!$C$22*Dashboard!$C$24+Dashboard!$D$22*Dashboard!$D$24)*OFFSET(Reeksen!$P$5,Exploitatie!C2,0)*'Hulp - basis'!$B$152)*AVERAGE(C3:D3)</f>
        <v>0</v>
      </c>
      <c r="E15" s="257">
        <f ca="1">-((Dashboard!$C$22*Dashboard!$C$24+Dashboard!$D$22*Dashboard!$D$24)*OFFSET(Reeksen!$P$5,Exploitatie!D2,0)*'Hulp - basis'!$B$152)*AVERAGE(D3:E3)</f>
        <v>0</v>
      </c>
      <c r="F15" s="257">
        <f ca="1">-((Dashboard!$C$22*Dashboard!$C$24+Dashboard!$D$22*Dashboard!$D$24)*OFFSET(Reeksen!$P$5,Exploitatie!E2,0)*'Hulp - basis'!$B$152)*AVERAGE(E3:F3)</f>
        <v>0</v>
      </c>
      <c r="G15" s="257">
        <f ca="1">-((Dashboard!$C$22*Dashboard!$C$24+Dashboard!$D$22*Dashboard!$D$24)*OFFSET(Reeksen!$P$5,Exploitatie!F2,0)*'Hulp - basis'!$B$152)*AVERAGE(F3:G3)</f>
        <v>0</v>
      </c>
      <c r="H15" s="257">
        <f ca="1">-((Dashboard!$C$22*Dashboard!$C$24+Dashboard!$D$22*Dashboard!$D$24)*OFFSET(Reeksen!$P$5,Exploitatie!G2,0)*'Hulp - basis'!$B$152)*AVERAGE(G3:H3)</f>
        <v>0</v>
      </c>
      <c r="I15" s="257">
        <f ca="1">-((Dashboard!$C$22*Dashboard!$C$24+Dashboard!$D$22*Dashboard!$D$24)*OFFSET(Reeksen!$P$5,Exploitatie!H2,0)*'Hulp - basis'!$B$152)*AVERAGE(H3:I3)</f>
        <v>0</v>
      </c>
      <c r="J15" s="257">
        <f ca="1">-((Dashboard!$C$22*Dashboard!$C$24+Dashboard!$D$22*Dashboard!$D$24)*OFFSET(Reeksen!$P$5,Exploitatie!I2,0)*'Hulp - basis'!$B$152)*AVERAGE(I3:J3)</f>
        <v>0</v>
      </c>
      <c r="K15" s="257">
        <f ca="1">-((Dashboard!$C$22*Dashboard!$C$24+Dashboard!$D$22*Dashboard!$D$24)*OFFSET(Reeksen!$P$5,Exploitatie!J2,0)*'Hulp - basis'!$B$152)*AVERAGE(J3:K3)</f>
        <v>0</v>
      </c>
      <c r="L15" s="257">
        <f ca="1">-((Dashboard!$C$22*Dashboard!$C$24+Dashboard!$D$22*Dashboard!$D$24)*OFFSET(Reeksen!$P$5,Exploitatie!K2,0)*'Hulp - basis'!$B$152)*AVERAGE(K3:L3)</f>
        <v>0</v>
      </c>
      <c r="M15" s="257">
        <f ca="1">-((Dashboard!$C$22*Dashboard!$C$24+Dashboard!$D$22*Dashboard!$D$24)*OFFSET(Reeksen!$P$5,Exploitatie!L2,0)*'Hulp - basis'!$B$152)*AVERAGE(L3:M3)</f>
        <v>0</v>
      </c>
      <c r="N15" s="257">
        <f ca="1">-((Dashboard!$C$22*Dashboard!$C$24+Dashboard!$D$22*Dashboard!$D$24)*OFFSET(Reeksen!$P$5,Exploitatie!M2,0)*'Hulp - basis'!$B$152)*AVERAGE(M3:N3)</f>
        <v>0</v>
      </c>
      <c r="O15" s="257">
        <f ca="1">-((Dashboard!$C$22*Dashboard!$C$24+Dashboard!$D$22*Dashboard!$D$24)*OFFSET(Reeksen!$P$5,Exploitatie!N2,0)*'Hulp - basis'!$B$152)*AVERAGE(N3:O3)</f>
        <v>0</v>
      </c>
      <c r="P15" s="257">
        <f ca="1">-((Dashboard!$C$22*Dashboard!$C$24+Dashboard!$D$22*Dashboard!$D$24)*OFFSET(Reeksen!$P$5,Exploitatie!O2,0)*'Hulp - basis'!$B$152)*AVERAGE(O3:P3)</f>
        <v>0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2"/>
    </row>
    <row r="16" spans="1:62" x14ac:dyDescent="0.25">
      <c r="A16" s="230" t="s">
        <v>27</v>
      </c>
      <c r="C16" s="257">
        <f ca="1">-(Dashboard!$C$67*((C63+C30)/2))</f>
        <v>0</v>
      </c>
      <c r="D16" s="257">
        <f ca="1">-(Dashboard!$D$67*((D63+C63)/2))</f>
        <v>0</v>
      </c>
      <c r="E16" s="257">
        <f ca="1">-(Dashboard!$D$67*((E63+D63)/2))</f>
        <v>0</v>
      </c>
      <c r="F16" s="257">
        <f ca="1">-(Dashboard!$D$67*((F63+E63)/2))</f>
        <v>0</v>
      </c>
      <c r="G16" s="257">
        <f ca="1">-(Dashboard!$D$67*((G63+F63)/2))</f>
        <v>0</v>
      </c>
      <c r="H16" s="257">
        <f ca="1">-(Dashboard!$D$67*((H63+G63)/2))</f>
        <v>0</v>
      </c>
      <c r="I16" s="257">
        <f ca="1">-(Dashboard!$D$67*((I63+H63)/2))</f>
        <v>0</v>
      </c>
      <c r="J16" s="257">
        <f ca="1">-(Dashboard!$D$67*((J63+I63)/2))</f>
        <v>0</v>
      </c>
      <c r="K16" s="257">
        <f ca="1">-(Dashboard!$D$67*((K63+J63)/2))</f>
        <v>0</v>
      </c>
      <c r="L16" s="257">
        <f ca="1">-(Dashboard!$D$67*((L63+K63)/2))</f>
        <v>0</v>
      </c>
      <c r="M16" s="257">
        <f ca="1">-(Dashboard!$D$67*((M63+L63)/2))</f>
        <v>0</v>
      </c>
      <c r="N16" s="257">
        <f ca="1">-(Dashboard!$D$67*((N63+M63)/2))</f>
        <v>0</v>
      </c>
      <c r="O16" s="257">
        <f ca="1">-(Dashboard!$D$67*((O63+N63)/2))</f>
        <v>0</v>
      </c>
      <c r="P16" s="257">
        <f ca="1">-(Dashboard!$D$67*((P63+O63)/2))</f>
        <v>0</v>
      </c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2"/>
    </row>
    <row r="17" spans="1:61" s="249" customFormat="1" x14ac:dyDescent="0.25">
      <c r="A17" s="250" t="s">
        <v>28</v>
      </c>
      <c r="B17" s="250"/>
      <c r="C17" s="263">
        <f ca="1">SUM(C12:C16)</f>
        <v>0</v>
      </c>
      <c r="D17" s="263">
        <f t="shared" ref="D17:P17" ca="1" si="2">SUM(D12:D16)</f>
        <v>0</v>
      </c>
      <c r="E17" s="263">
        <f t="shared" ca="1" si="2"/>
        <v>0</v>
      </c>
      <c r="F17" s="263">
        <f t="shared" ca="1" si="2"/>
        <v>0</v>
      </c>
      <c r="G17" s="263">
        <f t="shared" ca="1" si="2"/>
        <v>0</v>
      </c>
      <c r="H17" s="263">
        <f t="shared" ca="1" si="2"/>
        <v>0</v>
      </c>
      <c r="I17" s="263">
        <f t="shared" ca="1" si="2"/>
        <v>0</v>
      </c>
      <c r="J17" s="263">
        <f t="shared" ca="1" si="2"/>
        <v>0</v>
      </c>
      <c r="K17" s="263">
        <f t="shared" ca="1" si="2"/>
        <v>0</v>
      </c>
      <c r="L17" s="263">
        <f t="shared" ca="1" si="2"/>
        <v>0</v>
      </c>
      <c r="M17" s="263">
        <f t="shared" ca="1" si="2"/>
        <v>0</v>
      </c>
      <c r="N17" s="263">
        <f t="shared" ca="1" si="2"/>
        <v>0</v>
      </c>
      <c r="O17" s="263">
        <f t="shared" ca="1" si="2"/>
        <v>0</v>
      </c>
      <c r="P17" s="263">
        <f t="shared" ca="1" si="2"/>
        <v>0</v>
      </c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8"/>
    </row>
    <row r="18" spans="1:61" x14ac:dyDescent="0.25">
      <c r="A18" s="2"/>
      <c r="B18" s="2"/>
      <c r="C18" s="257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pans="1:61" x14ac:dyDescent="0.25">
      <c r="A19" s="10" t="s">
        <v>18</v>
      </c>
      <c r="B19" s="10"/>
      <c r="C19" s="259">
        <f t="shared" ref="C19:P19" ca="1" si="3">C9+C17</f>
        <v>0</v>
      </c>
      <c r="D19" s="259">
        <f t="shared" ca="1" si="3"/>
        <v>0</v>
      </c>
      <c r="E19" s="259">
        <f t="shared" ca="1" si="3"/>
        <v>0</v>
      </c>
      <c r="F19" s="259">
        <f t="shared" ca="1" si="3"/>
        <v>0</v>
      </c>
      <c r="G19" s="259">
        <f t="shared" ca="1" si="3"/>
        <v>0</v>
      </c>
      <c r="H19" s="259">
        <f t="shared" ca="1" si="3"/>
        <v>0</v>
      </c>
      <c r="I19" s="259">
        <f t="shared" ca="1" si="3"/>
        <v>0</v>
      </c>
      <c r="J19" s="259">
        <f t="shared" ca="1" si="3"/>
        <v>0</v>
      </c>
      <c r="K19" s="259">
        <f t="shared" ca="1" si="3"/>
        <v>0</v>
      </c>
      <c r="L19" s="259">
        <f t="shared" ca="1" si="3"/>
        <v>0</v>
      </c>
      <c r="M19" s="259">
        <f t="shared" ca="1" si="3"/>
        <v>0</v>
      </c>
      <c r="N19" s="259">
        <f t="shared" ca="1" si="3"/>
        <v>0</v>
      </c>
      <c r="O19" s="259">
        <f t="shared" ca="1" si="3"/>
        <v>0</v>
      </c>
      <c r="P19" s="259">
        <f t="shared" ca="1" si="3"/>
        <v>0</v>
      </c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2"/>
    </row>
    <row r="20" spans="1:61" x14ac:dyDescent="0.25">
      <c r="A20" s="10"/>
      <c r="B20" s="10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pans="1:61" x14ac:dyDescent="0.25">
      <c r="A21" s="9" t="s">
        <v>29</v>
      </c>
      <c r="B21" s="9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pans="1:61" x14ac:dyDescent="0.25"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pans="1:61" x14ac:dyDescent="0.25">
      <c r="A23" s="230" t="s">
        <v>835</v>
      </c>
      <c r="C23" s="257">
        <f>-(Dashboard!C49*Dashboard!C20+Dashboard!D49*Dashboard!D20)</f>
        <v>0</v>
      </c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pans="1:61" x14ac:dyDescent="0.25">
      <c r="A24" s="230" t="s">
        <v>836</v>
      </c>
      <c r="C24" s="262">
        <f>-Dashboard!C58</f>
        <v>0</v>
      </c>
      <c r="D24" s="262">
        <f>-Dashboard!D58</f>
        <v>0</v>
      </c>
      <c r="E24" s="262">
        <f>-Dashboard!E58</f>
        <v>0</v>
      </c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2"/>
    </row>
    <row r="25" spans="1:61" x14ac:dyDescent="0.25"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pans="1:61" x14ac:dyDescent="0.25">
      <c r="A26" s="10" t="s">
        <v>29</v>
      </c>
      <c r="B26" s="10"/>
      <c r="C26" s="260">
        <f>C23+C24</f>
        <v>0</v>
      </c>
      <c r="D26" s="260">
        <f t="shared" ref="D26:E26" si="4">D23+D24</f>
        <v>0</v>
      </c>
      <c r="E26" s="260">
        <f t="shared" si="4"/>
        <v>0</v>
      </c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2"/>
    </row>
    <row r="27" spans="1:61" x14ac:dyDescent="0.25"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pans="1:61" x14ac:dyDescent="0.25">
      <c r="A28" s="9" t="s">
        <v>30</v>
      </c>
      <c r="B28" s="9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pans="1:61" x14ac:dyDescent="0.25"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pans="1:61" s="11" customFormat="1" x14ac:dyDescent="0.25">
      <c r="A30" s="230" t="s">
        <v>31</v>
      </c>
      <c r="B30" s="230"/>
      <c r="C30" s="257">
        <f ca="1">Dashboard!$C$63</f>
        <v>0</v>
      </c>
      <c r="D30" s="257"/>
      <c r="E30" s="257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</row>
    <row r="31" spans="1:61" s="11" customFormat="1" hidden="1" outlineLevel="1" x14ac:dyDescent="0.25">
      <c r="A31" s="230" t="s">
        <v>840</v>
      </c>
      <c r="B31" s="230"/>
      <c r="C31" s="257">
        <f ca="1">PPMT(Dashboard!$C$65,C2+1,30,$C$30)</f>
        <v>0</v>
      </c>
      <c r="D31" s="257">
        <f ca="1">PPMT(Dashboard!$C$65,D2+1,30,$C$30)</f>
        <v>0</v>
      </c>
      <c r="E31" s="257">
        <f ca="1">PPMT(Dashboard!$C$65,E2+1,30,$C$30)</f>
        <v>0</v>
      </c>
      <c r="F31" s="257">
        <f ca="1">PPMT(Dashboard!$C$65,F2+1,30,$C$30)</f>
        <v>0</v>
      </c>
      <c r="G31" s="257">
        <f ca="1">PPMT(Dashboard!$C$65,G2+1,30,$C$30)</f>
        <v>0</v>
      </c>
      <c r="H31" s="257">
        <f ca="1">PPMT(Dashboard!$C$65,H2+1,30,$C$30)</f>
        <v>0</v>
      </c>
      <c r="I31" s="257">
        <f ca="1">PPMT(Dashboard!$C$65,I2+1,30,$C$30)</f>
        <v>0</v>
      </c>
      <c r="J31" s="257">
        <f ca="1">PPMT(Dashboard!$C$65,J2+1,30,$C$30)</f>
        <v>0</v>
      </c>
      <c r="K31" s="257">
        <f ca="1">PPMT(Dashboard!$C$65,K2+1,30,$C$30)</f>
        <v>0</v>
      </c>
      <c r="L31" s="257">
        <f ca="1">PPMT(Dashboard!$C$65,L2+1,30,$C$30)</f>
        <v>0</v>
      </c>
      <c r="M31" s="257">
        <f ca="1">PPMT(Dashboard!$C$65,M2+1,30,$C$30)</f>
        <v>0</v>
      </c>
      <c r="N31" s="257">
        <f ca="1">PPMT(Dashboard!$C$65,N2+1,30,$C$30)</f>
        <v>0</v>
      </c>
      <c r="O31" s="257">
        <f ca="1">PPMT(Dashboard!$C$65,O2+1,30,$C$30)</f>
        <v>0</v>
      </c>
      <c r="P31" s="257">
        <f ca="1">PPMT(Dashboard!$C$65,P2+1,30,$C$30)</f>
        <v>0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</row>
    <row r="32" spans="1:61" s="11" customFormat="1" hidden="1" outlineLevel="1" x14ac:dyDescent="0.25">
      <c r="A32" s="230" t="s">
        <v>841</v>
      </c>
      <c r="B32" s="230"/>
      <c r="C32" s="257">
        <f ca="1">-$C$30/30</f>
        <v>0</v>
      </c>
      <c r="D32" s="257">
        <f t="shared" ref="D32:P32" ca="1" si="5">-$C$30/30</f>
        <v>0</v>
      </c>
      <c r="E32" s="257">
        <f t="shared" ca="1" si="5"/>
        <v>0</v>
      </c>
      <c r="F32" s="257">
        <f t="shared" ca="1" si="5"/>
        <v>0</v>
      </c>
      <c r="G32" s="257">
        <f t="shared" ca="1" si="5"/>
        <v>0</v>
      </c>
      <c r="H32" s="257">
        <f t="shared" ca="1" si="5"/>
        <v>0</v>
      </c>
      <c r="I32" s="257">
        <f t="shared" ca="1" si="5"/>
        <v>0</v>
      </c>
      <c r="J32" s="257">
        <f t="shared" ca="1" si="5"/>
        <v>0</v>
      </c>
      <c r="K32" s="257">
        <f t="shared" ca="1" si="5"/>
        <v>0</v>
      </c>
      <c r="L32" s="257">
        <f t="shared" ca="1" si="5"/>
        <v>0</v>
      </c>
      <c r="M32" s="257">
        <f t="shared" ca="1" si="5"/>
        <v>0</v>
      </c>
      <c r="N32" s="257">
        <f t="shared" ca="1" si="5"/>
        <v>0</v>
      </c>
      <c r="O32" s="257">
        <f t="shared" ca="1" si="5"/>
        <v>0</v>
      </c>
      <c r="P32" s="257">
        <f t="shared" ca="1" si="5"/>
        <v>0</v>
      </c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</row>
    <row r="33" spans="1:61" s="11" customFormat="1" collapsed="1" x14ac:dyDescent="0.25">
      <c r="A33" s="230" t="s">
        <v>32</v>
      </c>
      <c r="B33" s="230"/>
      <c r="C33" s="257">
        <f ca="1">IF(Dashboard!$C$64="Annuitair",Exploitatie!C31,Exploitatie!C32)</f>
        <v>0</v>
      </c>
      <c r="D33" s="257">
        <f ca="1">IF(Dashboard!$C$64="Annuitair",Exploitatie!D31,Exploitatie!D32)</f>
        <v>0</v>
      </c>
      <c r="E33" s="257">
        <f ca="1">IF(Dashboard!$C$64="Annuitair",Exploitatie!E31,Exploitatie!E32)</f>
        <v>0</v>
      </c>
      <c r="F33" s="257">
        <f ca="1">IF(Dashboard!$C$64="Annuitair",Exploitatie!F31,Exploitatie!F32)</f>
        <v>0</v>
      </c>
      <c r="G33" s="257">
        <f ca="1">IF(Dashboard!$C$64="Annuitair",Exploitatie!G31,Exploitatie!G32)</f>
        <v>0</v>
      </c>
      <c r="H33" s="257">
        <f ca="1">IF(Dashboard!$C$64="Annuitair",Exploitatie!H31,Exploitatie!H32)</f>
        <v>0</v>
      </c>
      <c r="I33" s="257">
        <f ca="1">IF(Dashboard!$C$64="Annuitair",Exploitatie!I31,Exploitatie!I32)</f>
        <v>0</v>
      </c>
      <c r="J33" s="257">
        <f ca="1">IF(Dashboard!$C$64="Annuitair",Exploitatie!J31,Exploitatie!J32)</f>
        <v>0</v>
      </c>
      <c r="K33" s="257">
        <f ca="1">IF(Dashboard!$C$64="Annuitair",Exploitatie!K31,Exploitatie!K32)</f>
        <v>0</v>
      </c>
      <c r="L33" s="257">
        <f ca="1">IF(Dashboard!$C$64="Annuitair",Exploitatie!L31,Exploitatie!L32)</f>
        <v>0</v>
      </c>
      <c r="M33" s="257">
        <f ca="1">IF(Dashboard!$C$64="Annuitair",Exploitatie!M31,Exploitatie!M32)</f>
        <v>0</v>
      </c>
      <c r="N33" s="257">
        <f ca="1">IF(Dashboard!$C$64="Annuitair",Exploitatie!N31,Exploitatie!N32)</f>
        <v>0</v>
      </c>
      <c r="O33" s="257">
        <f ca="1">IF(Dashboard!$C$64="Annuitair",Exploitatie!O31,Exploitatie!O32)</f>
        <v>0</v>
      </c>
      <c r="P33" s="257">
        <f ca="1">IF(Dashboard!$C$64="Annuitair",Exploitatie!P31,Exploitatie!P32)</f>
        <v>0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</row>
    <row r="34" spans="1:61" s="11" customFormat="1" x14ac:dyDescent="0.25">
      <c r="A34" s="230"/>
      <c r="B34" s="23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</row>
    <row r="35" spans="1:61" s="11" customFormat="1" x14ac:dyDescent="0.25">
      <c r="A35" s="16" t="s">
        <v>30</v>
      </c>
      <c r="B35" s="16"/>
      <c r="C35" s="259">
        <f t="shared" ref="C35:P35" ca="1" si="6">C30+C33</f>
        <v>0</v>
      </c>
      <c r="D35" s="259">
        <f t="shared" ca="1" si="6"/>
        <v>0</v>
      </c>
      <c r="E35" s="259">
        <f t="shared" ca="1" si="6"/>
        <v>0</v>
      </c>
      <c r="F35" s="259">
        <f t="shared" ca="1" si="6"/>
        <v>0</v>
      </c>
      <c r="G35" s="259">
        <f t="shared" ca="1" si="6"/>
        <v>0</v>
      </c>
      <c r="H35" s="259">
        <f t="shared" ca="1" si="6"/>
        <v>0</v>
      </c>
      <c r="I35" s="259">
        <f t="shared" ca="1" si="6"/>
        <v>0</v>
      </c>
      <c r="J35" s="259">
        <f t="shared" ca="1" si="6"/>
        <v>0</v>
      </c>
      <c r="K35" s="259">
        <f t="shared" ca="1" si="6"/>
        <v>0</v>
      </c>
      <c r="L35" s="259">
        <f t="shared" ca="1" si="6"/>
        <v>0</v>
      </c>
      <c r="M35" s="259">
        <f t="shared" ca="1" si="6"/>
        <v>0</v>
      </c>
      <c r="N35" s="259">
        <f t="shared" ca="1" si="6"/>
        <v>0</v>
      </c>
      <c r="O35" s="259">
        <f t="shared" ca="1" si="6"/>
        <v>0</v>
      </c>
      <c r="P35" s="259">
        <f t="shared" ca="1" si="6"/>
        <v>0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</row>
    <row r="36" spans="1:61" s="11" customFormat="1" x14ac:dyDescent="0.25">
      <c r="A36" s="230"/>
      <c r="B36" s="230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</row>
    <row r="37" spans="1:61" s="11" customFormat="1" x14ac:dyDescent="0.25">
      <c r="A37" s="16" t="s">
        <v>33</v>
      </c>
      <c r="B37" s="16"/>
      <c r="C37" s="259">
        <f t="shared" ref="C37:P37" ca="1" si="7">C35+C26+C19</f>
        <v>0</v>
      </c>
      <c r="D37" s="259">
        <f ca="1">D35+D26+D19</f>
        <v>0</v>
      </c>
      <c r="E37" s="259">
        <f ca="1">E35+E26+E19</f>
        <v>0</v>
      </c>
      <c r="F37" s="259">
        <f t="shared" ca="1" si="7"/>
        <v>0</v>
      </c>
      <c r="G37" s="259">
        <f t="shared" ca="1" si="7"/>
        <v>0</v>
      </c>
      <c r="H37" s="259">
        <f t="shared" ca="1" si="7"/>
        <v>0</v>
      </c>
      <c r="I37" s="259">
        <f t="shared" ca="1" si="7"/>
        <v>0</v>
      </c>
      <c r="J37" s="259">
        <f t="shared" ca="1" si="7"/>
        <v>0</v>
      </c>
      <c r="K37" s="259">
        <f t="shared" ca="1" si="7"/>
        <v>0</v>
      </c>
      <c r="L37" s="259">
        <f t="shared" ca="1" si="7"/>
        <v>0</v>
      </c>
      <c r="M37" s="259">
        <f t="shared" ca="1" si="7"/>
        <v>0</v>
      </c>
      <c r="N37" s="259">
        <f t="shared" ca="1" si="7"/>
        <v>0</v>
      </c>
      <c r="O37" s="259">
        <f t="shared" ca="1" si="7"/>
        <v>0</v>
      </c>
      <c r="P37" s="259">
        <f t="shared" ca="1" si="7"/>
        <v>0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</row>
    <row r="38" spans="1:61" x14ac:dyDescent="0.25"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2"/>
    </row>
    <row r="39" spans="1:61" x14ac:dyDescent="0.25">
      <c r="A39" s="17" t="s">
        <v>35</v>
      </c>
      <c r="B39" s="17"/>
      <c r="C39" s="266">
        <f ca="1">C19+C26+C35-C37</f>
        <v>0</v>
      </c>
      <c r="D39" s="266">
        <f t="shared" ref="D39:P39" ca="1" si="8">D19+D26+D35-D37</f>
        <v>0</v>
      </c>
      <c r="E39" s="266">
        <f t="shared" ca="1" si="8"/>
        <v>0</v>
      </c>
      <c r="F39" s="266">
        <f t="shared" ca="1" si="8"/>
        <v>0</v>
      </c>
      <c r="G39" s="266">
        <f t="shared" ca="1" si="8"/>
        <v>0</v>
      </c>
      <c r="H39" s="266">
        <f t="shared" ca="1" si="8"/>
        <v>0</v>
      </c>
      <c r="I39" s="266">
        <f t="shared" ca="1" si="8"/>
        <v>0</v>
      </c>
      <c r="J39" s="266">
        <f t="shared" ca="1" si="8"/>
        <v>0</v>
      </c>
      <c r="K39" s="266">
        <f t="shared" ca="1" si="8"/>
        <v>0</v>
      </c>
      <c r="L39" s="266">
        <f t="shared" ca="1" si="8"/>
        <v>0</v>
      </c>
      <c r="M39" s="266">
        <f t="shared" ca="1" si="8"/>
        <v>0</v>
      </c>
      <c r="N39" s="266">
        <f t="shared" ca="1" si="8"/>
        <v>0</v>
      </c>
      <c r="O39" s="266">
        <f t="shared" ca="1" si="8"/>
        <v>0</v>
      </c>
      <c r="P39" s="266">
        <f t="shared" ca="1" si="8"/>
        <v>0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</row>
    <row r="40" spans="1:61" x14ac:dyDescent="0.2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</row>
    <row r="41" spans="1:61" x14ac:dyDescent="0.25">
      <c r="A41" s="6" t="s">
        <v>49</v>
      </c>
      <c r="B41" s="6"/>
      <c r="C41" s="7">
        <f>C1</f>
        <v>2019</v>
      </c>
      <c r="D41" s="7">
        <f t="shared" ref="D41:P41" si="9">D1</f>
        <v>2020</v>
      </c>
      <c r="E41" s="7">
        <f t="shared" si="9"/>
        <v>2021</v>
      </c>
      <c r="F41" s="7">
        <f t="shared" si="9"/>
        <v>2022</v>
      </c>
      <c r="G41" s="7">
        <f t="shared" si="9"/>
        <v>2023</v>
      </c>
      <c r="H41" s="7">
        <f t="shared" si="9"/>
        <v>2024</v>
      </c>
      <c r="I41" s="7">
        <f t="shared" si="9"/>
        <v>2025</v>
      </c>
      <c r="J41" s="7">
        <f t="shared" si="9"/>
        <v>2026</v>
      </c>
      <c r="K41" s="7">
        <f t="shared" si="9"/>
        <v>2027</v>
      </c>
      <c r="L41" s="7">
        <f t="shared" si="9"/>
        <v>2028</v>
      </c>
      <c r="M41" s="7">
        <f t="shared" si="9"/>
        <v>2029</v>
      </c>
      <c r="N41" s="7">
        <f t="shared" si="9"/>
        <v>2030</v>
      </c>
      <c r="O41" s="7">
        <f t="shared" si="9"/>
        <v>2031</v>
      </c>
      <c r="P41" s="7">
        <f t="shared" si="9"/>
        <v>2032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2"/>
    </row>
    <row r="42" spans="1:61" x14ac:dyDescent="0.2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</row>
    <row r="43" spans="1:61" x14ac:dyDescent="0.25">
      <c r="A43" s="2" t="s">
        <v>36</v>
      </c>
      <c r="B43" s="2"/>
      <c r="C43" s="257">
        <f ca="1">C9</f>
        <v>0</v>
      </c>
      <c r="D43" s="258">
        <f t="shared" ref="D43:P43" ca="1" si="10">D9</f>
        <v>0</v>
      </c>
      <c r="E43" s="258">
        <f t="shared" ca="1" si="10"/>
        <v>0</v>
      </c>
      <c r="F43" s="258">
        <f t="shared" ca="1" si="10"/>
        <v>0</v>
      </c>
      <c r="G43" s="258">
        <f t="shared" ca="1" si="10"/>
        <v>0</v>
      </c>
      <c r="H43" s="258">
        <f t="shared" ca="1" si="10"/>
        <v>0</v>
      </c>
      <c r="I43" s="258">
        <f t="shared" ca="1" si="10"/>
        <v>0</v>
      </c>
      <c r="J43" s="258">
        <f t="shared" ca="1" si="10"/>
        <v>0</v>
      </c>
      <c r="K43" s="258">
        <f t="shared" ca="1" si="10"/>
        <v>0</v>
      </c>
      <c r="L43" s="258">
        <f t="shared" ca="1" si="10"/>
        <v>0</v>
      </c>
      <c r="M43" s="258">
        <f t="shared" ca="1" si="10"/>
        <v>0</v>
      </c>
      <c r="N43" s="258">
        <f t="shared" ca="1" si="10"/>
        <v>0</v>
      </c>
      <c r="O43" s="258">
        <f t="shared" ca="1" si="10"/>
        <v>0</v>
      </c>
      <c r="P43" s="258">
        <f t="shared" ca="1" si="10"/>
        <v>0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2"/>
    </row>
    <row r="44" spans="1:61" x14ac:dyDescent="0.25">
      <c r="A44" s="2" t="s">
        <v>37</v>
      </c>
      <c r="B44" s="2"/>
      <c r="C44" s="257">
        <f ca="1">C17-C16</f>
        <v>0</v>
      </c>
      <c r="D44" s="257">
        <f t="shared" ref="D44:P44" ca="1" si="11">D17-D16</f>
        <v>0</v>
      </c>
      <c r="E44" s="257">
        <f t="shared" ca="1" si="11"/>
        <v>0</v>
      </c>
      <c r="F44" s="257">
        <f t="shared" ca="1" si="11"/>
        <v>0</v>
      </c>
      <c r="G44" s="257">
        <f t="shared" ca="1" si="11"/>
        <v>0</v>
      </c>
      <c r="H44" s="257">
        <f t="shared" ca="1" si="11"/>
        <v>0</v>
      </c>
      <c r="I44" s="257">
        <f t="shared" ca="1" si="11"/>
        <v>0</v>
      </c>
      <c r="J44" s="257">
        <f t="shared" ca="1" si="11"/>
        <v>0</v>
      </c>
      <c r="K44" s="257">
        <f t="shared" ca="1" si="11"/>
        <v>0</v>
      </c>
      <c r="L44" s="257">
        <f t="shared" ca="1" si="11"/>
        <v>0</v>
      </c>
      <c r="M44" s="257">
        <f t="shared" ca="1" si="11"/>
        <v>0</v>
      </c>
      <c r="N44" s="257">
        <f t="shared" ca="1" si="11"/>
        <v>0</v>
      </c>
      <c r="O44" s="257">
        <f t="shared" ca="1" si="11"/>
        <v>0</v>
      </c>
      <c r="P44" s="257">
        <f t="shared" ca="1" si="11"/>
        <v>0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2"/>
    </row>
    <row r="45" spans="1:61" s="1" customFormat="1" x14ac:dyDescent="0.25">
      <c r="A45" s="10" t="s">
        <v>38</v>
      </c>
      <c r="B45" s="10"/>
      <c r="C45" s="259">
        <f ca="1">C43+C44</f>
        <v>0</v>
      </c>
      <c r="D45" s="260">
        <f t="shared" ref="D45:P45" ca="1" si="12">SUM(D43:D44)</f>
        <v>0</v>
      </c>
      <c r="E45" s="260">
        <f t="shared" ca="1" si="12"/>
        <v>0</v>
      </c>
      <c r="F45" s="260">
        <f t="shared" ca="1" si="12"/>
        <v>0</v>
      </c>
      <c r="G45" s="260">
        <f t="shared" ca="1" si="12"/>
        <v>0</v>
      </c>
      <c r="H45" s="260">
        <f t="shared" ca="1" si="12"/>
        <v>0</v>
      </c>
      <c r="I45" s="260">
        <f t="shared" ca="1" si="12"/>
        <v>0</v>
      </c>
      <c r="J45" s="260">
        <f t="shared" ca="1" si="12"/>
        <v>0</v>
      </c>
      <c r="K45" s="260">
        <f t="shared" ca="1" si="12"/>
        <v>0</v>
      </c>
      <c r="L45" s="260">
        <f t="shared" ca="1" si="12"/>
        <v>0</v>
      </c>
      <c r="M45" s="260">
        <f t="shared" ca="1" si="12"/>
        <v>0</v>
      </c>
      <c r="N45" s="260">
        <f t="shared" ca="1" si="12"/>
        <v>0</v>
      </c>
      <c r="O45" s="260">
        <f t="shared" ca="1" si="12"/>
        <v>0</v>
      </c>
      <c r="P45" s="260">
        <f t="shared" ca="1" si="12"/>
        <v>0</v>
      </c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5"/>
    </row>
    <row r="46" spans="1:61" x14ac:dyDescent="0.25">
      <c r="A46" s="2"/>
      <c r="B46" s="2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2"/>
    </row>
    <row r="47" spans="1:61" x14ac:dyDescent="0.25">
      <c r="A47" s="2" t="s">
        <v>858</v>
      </c>
      <c r="B47" s="2"/>
      <c r="C47" s="261">
        <f ca="1">(C86-C84)+C24</f>
        <v>0</v>
      </c>
      <c r="D47" s="261">
        <f ca="1">(D86-D84)+D24</f>
        <v>0</v>
      </c>
      <c r="E47" s="261">
        <f ca="1">(E86-E84)+E24</f>
        <v>0</v>
      </c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2"/>
    </row>
    <row r="48" spans="1:61" x14ac:dyDescent="0.25">
      <c r="A48" s="2" t="s">
        <v>857</v>
      </c>
      <c r="B48" s="2"/>
      <c r="C48" s="262">
        <f ca="1">C87</f>
        <v>0</v>
      </c>
      <c r="D48" s="258">
        <f ca="1">D87</f>
        <v>0</v>
      </c>
      <c r="E48" s="258">
        <f t="shared" ref="E48:P48" ca="1" si="13">E87</f>
        <v>0</v>
      </c>
      <c r="F48" s="258">
        <f t="shared" ca="1" si="13"/>
        <v>0</v>
      </c>
      <c r="G48" s="258">
        <f t="shared" ca="1" si="13"/>
        <v>0</v>
      </c>
      <c r="H48" s="258">
        <f t="shared" ca="1" si="13"/>
        <v>0</v>
      </c>
      <c r="I48" s="258">
        <f t="shared" ca="1" si="13"/>
        <v>0</v>
      </c>
      <c r="J48" s="258">
        <f t="shared" ca="1" si="13"/>
        <v>0</v>
      </c>
      <c r="K48" s="258">
        <f t="shared" ca="1" si="13"/>
        <v>0</v>
      </c>
      <c r="L48" s="258">
        <f t="shared" ca="1" si="13"/>
        <v>0</v>
      </c>
      <c r="M48" s="258">
        <f t="shared" ca="1" si="13"/>
        <v>0</v>
      </c>
      <c r="N48" s="258">
        <f t="shared" ca="1" si="13"/>
        <v>0</v>
      </c>
      <c r="O48" s="258">
        <f t="shared" ca="1" si="13"/>
        <v>0</v>
      </c>
      <c r="P48" s="258">
        <f t="shared" ca="1" si="13"/>
        <v>0</v>
      </c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2"/>
    </row>
    <row r="49" spans="1:61" s="1" customFormat="1" x14ac:dyDescent="0.25">
      <c r="A49" s="10" t="s">
        <v>39</v>
      </c>
      <c r="B49" s="10"/>
      <c r="C49" s="259">
        <f ca="1">C45+C47+C48</f>
        <v>0</v>
      </c>
      <c r="D49" s="260">
        <f ca="1">D45+D48</f>
        <v>0</v>
      </c>
      <c r="E49" s="260">
        <f t="shared" ref="E49:P49" ca="1" si="14">E45+E48</f>
        <v>0</v>
      </c>
      <c r="F49" s="260">
        <f t="shared" ca="1" si="14"/>
        <v>0</v>
      </c>
      <c r="G49" s="260">
        <f t="shared" ca="1" si="14"/>
        <v>0</v>
      </c>
      <c r="H49" s="260">
        <f t="shared" ca="1" si="14"/>
        <v>0</v>
      </c>
      <c r="I49" s="260">
        <f t="shared" ca="1" si="14"/>
        <v>0</v>
      </c>
      <c r="J49" s="260">
        <f t="shared" ca="1" si="14"/>
        <v>0</v>
      </c>
      <c r="K49" s="260">
        <f t="shared" ca="1" si="14"/>
        <v>0</v>
      </c>
      <c r="L49" s="260">
        <f t="shared" ca="1" si="14"/>
        <v>0</v>
      </c>
      <c r="M49" s="260">
        <f t="shared" ca="1" si="14"/>
        <v>0</v>
      </c>
      <c r="N49" s="260">
        <f t="shared" ca="1" si="14"/>
        <v>0</v>
      </c>
      <c r="O49" s="260">
        <f t="shared" ca="1" si="14"/>
        <v>0</v>
      </c>
      <c r="P49" s="260">
        <f t="shared" ca="1" si="14"/>
        <v>0</v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5"/>
    </row>
    <row r="50" spans="1:61" x14ac:dyDescent="0.25"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2"/>
    </row>
    <row r="51" spans="1:61" x14ac:dyDescent="0.25">
      <c r="A51" s="230" t="s">
        <v>27</v>
      </c>
      <c r="C51" s="258">
        <f ca="1">C16</f>
        <v>0</v>
      </c>
      <c r="D51" s="258">
        <f t="shared" ref="D51:P51" ca="1" si="15">D16</f>
        <v>0</v>
      </c>
      <c r="E51" s="258">
        <f t="shared" ca="1" si="15"/>
        <v>0</v>
      </c>
      <c r="F51" s="258">
        <f t="shared" ca="1" si="15"/>
        <v>0</v>
      </c>
      <c r="G51" s="258">
        <f t="shared" ca="1" si="15"/>
        <v>0</v>
      </c>
      <c r="H51" s="258">
        <f t="shared" ca="1" si="15"/>
        <v>0</v>
      </c>
      <c r="I51" s="258">
        <f t="shared" ca="1" si="15"/>
        <v>0</v>
      </c>
      <c r="J51" s="258">
        <f t="shared" ca="1" si="15"/>
        <v>0</v>
      </c>
      <c r="K51" s="258">
        <f t="shared" ca="1" si="15"/>
        <v>0</v>
      </c>
      <c r="L51" s="258">
        <f t="shared" ca="1" si="15"/>
        <v>0</v>
      </c>
      <c r="M51" s="258">
        <f t="shared" ca="1" si="15"/>
        <v>0</v>
      </c>
      <c r="N51" s="258">
        <f t="shared" ca="1" si="15"/>
        <v>0</v>
      </c>
      <c r="O51" s="258">
        <f t="shared" ca="1" si="15"/>
        <v>0</v>
      </c>
      <c r="P51" s="258">
        <f t="shared" ca="1" si="15"/>
        <v>0</v>
      </c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</row>
    <row r="52" spans="1:61" x14ac:dyDescent="0.25">
      <c r="A52" s="230" t="s">
        <v>900</v>
      </c>
      <c r="C52" s="258">
        <f ca="1">(C59+(C59+C37))/2*Dashboard!C68</f>
        <v>0</v>
      </c>
      <c r="D52" s="258">
        <f ca="1">(D59+(D59+D37))/2*Dashboard!D68</f>
        <v>0</v>
      </c>
      <c r="E52" s="258">
        <f ca="1">(E59+(E59+E37))/2*Dashboard!$E$68</f>
        <v>0</v>
      </c>
      <c r="F52" s="258">
        <f ca="1">(F59+(F59+F37))/2*Dashboard!$E$68</f>
        <v>0</v>
      </c>
      <c r="G52" s="258">
        <f ca="1">(G59+(G59+G37))/2*Dashboard!$E$68</f>
        <v>0</v>
      </c>
      <c r="H52" s="258">
        <f ca="1">(H59+(H59+H37))/2*Dashboard!$E$68</f>
        <v>0</v>
      </c>
      <c r="I52" s="258">
        <f ca="1">(I59+(I59+I37))/2*Dashboard!$E$68</f>
        <v>0</v>
      </c>
      <c r="J52" s="258">
        <f ca="1">(J59+(J59+J37))/2*Dashboard!$E$68</f>
        <v>0</v>
      </c>
      <c r="K52" s="258">
        <f ca="1">(K59+(K59+K37))/2*Dashboard!$E$68</f>
        <v>0</v>
      </c>
      <c r="L52" s="258">
        <f ca="1">(L59+(L59+L37))/2*Dashboard!$E$68</f>
        <v>0</v>
      </c>
      <c r="M52" s="258">
        <f ca="1">(M59+(M59+M37))/2*Dashboard!$E$68</f>
        <v>0</v>
      </c>
      <c r="N52" s="258">
        <f ca="1">(N59+(N59+N37))/2*Dashboard!$E$68</f>
        <v>0</v>
      </c>
      <c r="O52" s="258">
        <f ca="1">(O59+(O59+O37))/2*Dashboard!$E$68</f>
        <v>0</v>
      </c>
      <c r="P52" s="258">
        <f ca="1">(P59+(P59+P37))/2*Dashboard!$E$68</f>
        <v>0</v>
      </c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</row>
    <row r="53" spans="1:61" s="1" customFormat="1" x14ac:dyDescent="0.25">
      <c r="A53" s="10"/>
      <c r="B53" s="1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5"/>
    </row>
    <row r="54" spans="1:61" s="1" customFormat="1" x14ac:dyDescent="0.25">
      <c r="A54" s="10" t="s">
        <v>40</v>
      </c>
      <c r="B54" s="10"/>
      <c r="C54" s="259">
        <f ca="1">C49+C51+C52</f>
        <v>0</v>
      </c>
      <c r="D54" s="259">
        <f t="shared" ref="D54:P54" ca="1" si="16">D49+D51+D52</f>
        <v>0</v>
      </c>
      <c r="E54" s="259">
        <f t="shared" ca="1" si="16"/>
        <v>0</v>
      </c>
      <c r="F54" s="259">
        <f t="shared" ca="1" si="16"/>
        <v>0</v>
      </c>
      <c r="G54" s="259">
        <f t="shared" ca="1" si="16"/>
        <v>0</v>
      </c>
      <c r="H54" s="259">
        <f t="shared" ca="1" si="16"/>
        <v>0</v>
      </c>
      <c r="I54" s="259">
        <f t="shared" ca="1" si="16"/>
        <v>0</v>
      </c>
      <c r="J54" s="259">
        <f t="shared" ca="1" si="16"/>
        <v>0</v>
      </c>
      <c r="K54" s="259">
        <f t="shared" ca="1" si="16"/>
        <v>0</v>
      </c>
      <c r="L54" s="259">
        <f t="shared" ca="1" si="16"/>
        <v>0</v>
      </c>
      <c r="M54" s="259">
        <f t="shared" ca="1" si="16"/>
        <v>0</v>
      </c>
      <c r="N54" s="259">
        <f t="shared" ca="1" si="16"/>
        <v>0</v>
      </c>
      <c r="O54" s="259">
        <f t="shared" ca="1" si="16"/>
        <v>0</v>
      </c>
      <c r="P54" s="259">
        <f t="shared" ca="1" si="16"/>
        <v>0</v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5"/>
    </row>
    <row r="55" spans="1:61" x14ac:dyDescent="0.25">
      <c r="A55" s="10"/>
      <c r="B55" s="10"/>
      <c r="D55" s="11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</row>
    <row r="56" spans="1:61" s="20" customFormat="1" x14ac:dyDescent="0.25">
      <c r="A56" s="6" t="s">
        <v>50</v>
      </c>
      <c r="B56" s="6"/>
      <c r="C56" s="6">
        <f>C41</f>
        <v>2019</v>
      </c>
      <c r="D56" s="6">
        <f t="shared" ref="D56:P56" si="17">D41</f>
        <v>2020</v>
      </c>
      <c r="E56" s="6">
        <f t="shared" si="17"/>
        <v>2021</v>
      </c>
      <c r="F56" s="6">
        <f t="shared" si="17"/>
        <v>2022</v>
      </c>
      <c r="G56" s="6">
        <f t="shared" si="17"/>
        <v>2023</v>
      </c>
      <c r="H56" s="6">
        <f t="shared" si="17"/>
        <v>2024</v>
      </c>
      <c r="I56" s="6">
        <f t="shared" si="17"/>
        <v>2025</v>
      </c>
      <c r="J56" s="6">
        <f t="shared" si="17"/>
        <v>2026</v>
      </c>
      <c r="K56" s="6">
        <f t="shared" si="17"/>
        <v>2027</v>
      </c>
      <c r="L56" s="6">
        <f t="shared" si="17"/>
        <v>2028</v>
      </c>
      <c r="M56" s="6">
        <f t="shared" si="17"/>
        <v>2029</v>
      </c>
      <c r="N56" s="6">
        <f t="shared" si="17"/>
        <v>2030</v>
      </c>
      <c r="O56" s="6">
        <f t="shared" si="17"/>
        <v>2031</v>
      </c>
      <c r="P56" s="6">
        <f t="shared" si="17"/>
        <v>2032</v>
      </c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</row>
    <row r="57" spans="1:61" x14ac:dyDescent="0.25">
      <c r="D57" s="3"/>
      <c r="E57" s="3"/>
      <c r="F57" s="3"/>
      <c r="G57" s="3"/>
      <c r="H57" s="3"/>
      <c r="I57" s="3"/>
      <c r="J57" s="3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</row>
    <row r="58" spans="1:61" x14ac:dyDescent="0.25">
      <c r="A58" s="2" t="s">
        <v>41</v>
      </c>
      <c r="B58" s="12"/>
      <c r="C58" s="11">
        <f ca="1">C88</f>
        <v>0</v>
      </c>
      <c r="D58" s="11">
        <f t="shared" ref="D58:P58" ca="1" si="18">D88</f>
        <v>0</v>
      </c>
      <c r="E58" s="11">
        <f t="shared" ca="1" si="18"/>
        <v>0</v>
      </c>
      <c r="F58" s="11">
        <f t="shared" ca="1" si="18"/>
        <v>0</v>
      </c>
      <c r="G58" s="11">
        <f t="shared" ca="1" si="18"/>
        <v>0</v>
      </c>
      <c r="H58" s="11">
        <f t="shared" ca="1" si="18"/>
        <v>0</v>
      </c>
      <c r="I58" s="11">
        <f t="shared" ca="1" si="18"/>
        <v>0</v>
      </c>
      <c r="J58" s="11">
        <f t="shared" ca="1" si="18"/>
        <v>0</v>
      </c>
      <c r="K58" s="11">
        <f t="shared" ca="1" si="18"/>
        <v>0</v>
      </c>
      <c r="L58" s="11">
        <f t="shared" ca="1" si="18"/>
        <v>0</v>
      </c>
      <c r="M58" s="11">
        <f t="shared" ca="1" si="18"/>
        <v>0</v>
      </c>
      <c r="N58" s="11">
        <f t="shared" ca="1" si="18"/>
        <v>0</v>
      </c>
      <c r="O58" s="11">
        <f t="shared" ca="1" si="18"/>
        <v>0</v>
      </c>
      <c r="P58" s="11">
        <f t="shared" ca="1" si="18"/>
        <v>0</v>
      </c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2"/>
    </row>
    <row r="59" spans="1:61" x14ac:dyDescent="0.25">
      <c r="A59" s="2" t="s">
        <v>42</v>
      </c>
      <c r="B59" s="12"/>
      <c r="C59" s="11">
        <f ca="1">Dashboard!$C$62+Exploitatie!C37</f>
        <v>0</v>
      </c>
      <c r="D59" s="11">
        <f t="shared" ref="D59:P59" ca="1" si="19">C59+D37</f>
        <v>0</v>
      </c>
      <c r="E59" s="11">
        <f t="shared" ca="1" si="19"/>
        <v>0</v>
      </c>
      <c r="F59" s="11">
        <f t="shared" ca="1" si="19"/>
        <v>0</v>
      </c>
      <c r="G59" s="11">
        <f t="shared" ca="1" si="19"/>
        <v>0</v>
      </c>
      <c r="H59" s="11">
        <f t="shared" ca="1" si="19"/>
        <v>0</v>
      </c>
      <c r="I59" s="11">
        <f t="shared" ca="1" si="19"/>
        <v>0</v>
      </c>
      <c r="J59" s="11">
        <f t="shared" ca="1" si="19"/>
        <v>0</v>
      </c>
      <c r="K59" s="11">
        <f t="shared" ca="1" si="19"/>
        <v>0</v>
      </c>
      <c r="L59" s="11">
        <f t="shared" ca="1" si="19"/>
        <v>0</v>
      </c>
      <c r="M59" s="11">
        <f t="shared" ca="1" si="19"/>
        <v>0</v>
      </c>
      <c r="N59" s="11">
        <f t="shared" ca="1" si="19"/>
        <v>0</v>
      </c>
      <c r="O59" s="11">
        <f t="shared" ca="1" si="19"/>
        <v>0</v>
      </c>
      <c r="P59" s="11">
        <f t="shared" ca="1" si="19"/>
        <v>0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2"/>
    </row>
    <row r="60" spans="1:61" s="1" customFormat="1" x14ac:dyDescent="0.25">
      <c r="A60" s="10" t="s">
        <v>43</v>
      </c>
      <c r="B60" s="267"/>
      <c r="C60" s="13">
        <f t="shared" ref="C60:P60" ca="1" si="20">C59+C58</f>
        <v>0</v>
      </c>
      <c r="D60" s="13">
        <f t="shared" ca="1" si="20"/>
        <v>0</v>
      </c>
      <c r="E60" s="13">
        <f t="shared" ca="1" si="20"/>
        <v>0</v>
      </c>
      <c r="F60" s="13">
        <f t="shared" ca="1" si="20"/>
        <v>0</v>
      </c>
      <c r="G60" s="13">
        <f t="shared" ca="1" si="20"/>
        <v>0</v>
      </c>
      <c r="H60" s="13">
        <f t="shared" ca="1" si="20"/>
        <v>0</v>
      </c>
      <c r="I60" s="13">
        <f t="shared" ca="1" si="20"/>
        <v>0</v>
      </c>
      <c r="J60" s="13">
        <f t="shared" ca="1" si="20"/>
        <v>0</v>
      </c>
      <c r="K60" s="13">
        <f t="shared" ca="1" si="20"/>
        <v>0</v>
      </c>
      <c r="L60" s="13">
        <f t="shared" ca="1" si="20"/>
        <v>0</v>
      </c>
      <c r="M60" s="13">
        <f t="shared" ca="1" si="20"/>
        <v>0</v>
      </c>
      <c r="N60" s="13">
        <f t="shared" ca="1" si="20"/>
        <v>0</v>
      </c>
      <c r="O60" s="13">
        <f t="shared" ca="1" si="20"/>
        <v>0</v>
      </c>
      <c r="P60" s="13">
        <f t="shared" ca="1" si="20"/>
        <v>0</v>
      </c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5"/>
    </row>
    <row r="61" spans="1:61" x14ac:dyDescent="0.25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61" x14ac:dyDescent="0.25">
      <c r="A62" s="2" t="s">
        <v>44</v>
      </c>
      <c r="B62" s="11">
        <f>Dashboard!C62</f>
        <v>0</v>
      </c>
      <c r="C62" s="11">
        <f ca="1">C60-C63</f>
        <v>0</v>
      </c>
      <c r="D62" s="11">
        <f ca="1">D60-D63</f>
        <v>0</v>
      </c>
      <c r="E62" s="11">
        <f t="shared" ref="E62:P62" ca="1" si="21">E60-E63</f>
        <v>0</v>
      </c>
      <c r="F62" s="11">
        <f t="shared" ca="1" si="21"/>
        <v>0</v>
      </c>
      <c r="G62" s="11">
        <f t="shared" ca="1" si="21"/>
        <v>0</v>
      </c>
      <c r="H62" s="11">
        <f t="shared" ca="1" si="21"/>
        <v>0</v>
      </c>
      <c r="I62" s="11">
        <f t="shared" ca="1" si="21"/>
        <v>0</v>
      </c>
      <c r="J62" s="11">
        <f t="shared" ca="1" si="21"/>
        <v>0</v>
      </c>
      <c r="K62" s="11">
        <f t="shared" ca="1" si="21"/>
        <v>0</v>
      </c>
      <c r="L62" s="11">
        <f t="shared" ca="1" si="21"/>
        <v>0</v>
      </c>
      <c r="M62" s="11">
        <f t="shared" ca="1" si="21"/>
        <v>0</v>
      </c>
      <c r="N62" s="11">
        <f t="shared" ca="1" si="21"/>
        <v>0</v>
      </c>
      <c r="O62" s="11">
        <f t="shared" ca="1" si="21"/>
        <v>0</v>
      </c>
      <c r="P62" s="11">
        <f t="shared" ca="1" si="21"/>
        <v>0</v>
      </c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2"/>
    </row>
    <row r="63" spans="1:61" x14ac:dyDescent="0.25">
      <c r="A63" s="2" t="s">
        <v>45</v>
      </c>
      <c r="B63" s="12"/>
      <c r="C63" s="11">
        <f ca="1">$C$30+C33</f>
        <v>0</v>
      </c>
      <c r="D63" s="11">
        <f t="shared" ref="D63:P63" ca="1" si="22">C63+D33</f>
        <v>0</v>
      </c>
      <c r="E63" s="11">
        <f t="shared" ca="1" si="22"/>
        <v>0</v>
      </c>
      <c r="F63" s="11">
        <f t="shared" ca="1" si="22"/>
        <v>0</v>
      </c>
      <c r="G63" s="11">
        <f t="shared" ca="1" si="22"/>
        <v>0</v>
      </c>
      <c r="H63" s="11">
        <f t="shared" ca="1" si="22"/>
        <v>0</v>
      </c>
      <c r="I63" s="11">
        <f t="shared" ca="1" si="22"/>
        <v>0</v>
      </c>
      <c r="J63" s="11">
        <f t="shared" ca="1" si="22"/>
        <v>0</v>
      </c>
      <c r="K63" s="11">
        <f t="shared" ca="1" si="22"/>
        <v>0</v>
      </c>
      <c r="L63" s="11">
        <f t="shared" ca="1" si="22"/>
        <v>0</v>
      </c>
      <c r="M63" s="11">
        <f t="shared" ca="1" si="22"/>
        <v>0</v>
      </c>
      <c r="N63" s="11">
        <f t="shared" ca="1" si="22"/>
        <v>0</v>
      </c>
      <c r="O63" s="11">
        <f t="shared" ca="1" si="22"/>
        <v>0</v>
      </c>
      <c r="P63" s="11">
        <f t="shared" ca="1" si="22"/>
        <v>0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2"/>
    </row>
    <row r="64" spans="1:61" s="1" customFormat="1" x14ac:dyDescent="0.25">
      <c r="A64" s="10" t="s">
        <v>46</v>
      </c>
      <c r="B64" s="267"/>
      <c r="C64" s="13">
        <f ca="1">SUM(C62:C63)</f>
        <v>0</v>
      </c>
      <c r="D64" s="13">
        <f t="shared" ref="D64:P64" ca="1" si="23">SUM(D62:D63)</f>
        <v>0</v>
      </c>
      <c r="E64" s="13">
        <f t="shared" ca="1" si="23"/>
        <v>0</v>
      </c>
      <c r="F64" s="13">
        <f t="shared" ca="1" si="23"/>
        <v>0</v>
      </c>
      <c r="G64" s="13">
        <f t="shared" ca="1" si="23"/>
        <v>0</v>
      </c>
      <c r="H64" s="13">
        <f t="shared" ca="1" si="23"/>
        <v>0</v>
      </c>
      <c r="I64" s="13">
        <f t="shared" ca="1" si="23"/>
        <v>0</v>
      </c>
      <c r="J64" s="13">
        <f t="shared" ca="1" si="23"/>
        <v>0</v>
      </c>
      <c r="K64" s="13">
        <f t="shared" ca="1" si="23"/>
        <v>0</v>
      </c>
      <c r="L64" s="13">
        <f t="shared" ca="1" si="23"/>
        <v>0</v>
      </c>
      <c r="M64" s="13">
        <f t="shared" ca="1" si="23"/>
        <v>0</v>
      </c>
      <c r="N64" s="13">
        <f t="shared" ca="1" si="23"/>
        <v>0</v>
      </c>
      <c r="O64" s="13">
        <f t="shared" ca="1" si="23"/>
        <v>0</v>
      </c>
      <c r="P64" s="13">
        <f t="shared" ca="1" si="23"/>
        <v>0</v>
      </c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5"/>
    </row>
    <row r="65" spans="1:61" x14ac:dyDescent="0.25">
      <c r="A65" s="102"/>
      <c r="B65" s="102"/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  <row r="66" spans="1:61" x14ac:dyDescent="0.25">
      <c r="A66" s="272" t="s">
        <v>48</v>
      </c>
      <c r="B66" s="272"/>
      <c r="C66" s="273">
        <f t="shared" ref="C66:P66" ca="1" si="24">C60-C64</f>
        <v>0</v>
      </c>
      <c r="D66" s="273">
        <f t="shared" ca="1" si="24"/>
        <v>0</v>
      </c>
      <c r="E66" s="273">
        <f t="shared" ca="1" si="24"/>
        <v>0</v>
      </c>
      <c r="F66" s="273">
        <f t="shared" ca="1" si="24"/>
        <v>0</v>
      </c>
      <c r="G66" s="273">
        <f t="shared" ca="1" si="24"/>
        <v>0</v>
      </c>
      <c r="H66" s="273">
        <f t="shared" ca="1" si="24"/>
        <v>0</v>
      </c>
      <c r="I66" s="273">
        <f t="shared" ca="1" si="24"/>
        <v>0</v>
      </c>
      <c r="J66" s="273">
        <f t="shared" ca="1" si="24"/>
        <v>0</v>
      </c>
      <c r="K66" s="273">
        <f t="shared" ca="1" si="24"/>
        <v>0</v>
      </c>
      <c r="L66" s="273">
        <f t="shared" ca="1" si="24"/>
        <v>0</v>
      </c>
      <c r="M66" s="273">
        <f t="shared" ca="1" si="24"/>
        <v>0</v>
      </c>
      <c r="N66" s="273">
        <f t="shared" ca="1" si="24"/>
        <v>0</v>
      </c>
      <c r="O66" s="273">
        <f t="shared" ca="1" si="24"/>
        <v>0</v>
      </c>
      <c r="P66" s="273">
        <f t="shared" ca="1" si="24"/>
        <v>0</v>
      </c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2"/>
    </row>
    <row r="67" spans="1:61" x14ac:dyDescent="0.25">
      <c r="A67" s="17"/>
      <c r="B67" s="17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2"/>
    </row>
    <row r="68" spans="1:61" s="20" customFormat="1" x14ac:dyDescent="0.25">
      <c r="A68" s="6" t="s">
        <v>902</v>
      </c>
      <c r="B68" s="6"/>
      <c r="C68" s="7">
        <f>C1</f>
        <v>2019</v>
      </c>
      <c r="D68" s="7">
        <f t="shared" ref="D68:P68" si="25">D1</f>
        <v>2020</v>
      </c>
      <c r="E68" s="7">
        <f t="shared" si="25"/>
        <v>2021</v>
      </c>
      <c r="F68" s="7">
        <f t="shared" si="25"/>
        <v>2022</v>
      </c>
      <c r="G68" s="7">
        <f t="shared" si="25"/>
        <v>2023</v>
      </c>
      <c r="H68" s="7">
        <f t="shared" si="25"/>
        <v>2024</v>
      </c>
      <c r="I68" s="7">
        <f t="shared" si="25"/>
        <v>2025</v>
      </c>
      <c r="J68" s="7">
        <f t="shared" si="25"/>
        <v>2026</v>
      </c>
      <c r="K68" s="7">
        <f t="shared" si="25"/>
        <v>2027</v>
      </c>
      <c r="L68" s="7">
        <f t="shared" si="25"/>
        <v>2028</v>
      </c>
      <c r="M68" s="7">
        <f t="shared" si="25"/>
        <v>2029</v>
      </c>
      <c r="N68" s="7">
        <f t="shared" si="25"/>
        <v>2030</v>
      </c>
      <c r="O68" s="7">
        <f t="shared" si="25"/>
        <v>2031</v>
      </c>
      <c r="P68" s="7">
        <f t="shared" si="25"/>
        <v>2032</v>
      </c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</row>
    <row r="69" spans="1:61" x14ac:dyDescent="0.25">
      <c r="A69" s="17"/>
      <c r="B69" s="17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2"/>
    </row>
    <row r="70" spans="1:61" x14ac:dyDescent="0.25">
      <c r="A70" s="17" t="s">
        <v>903</v>
      </c>
      <c r="B70" s="17"/>
      <c r="C70" s="236" t="e">
        <f t="shared" ref="C70:P70" ca="1" si="26">(C19-C16)/-C16</f>
        <v>#DIV/0!</v>
      </c>
      <c r="D70" s="236" t="e">
        <f t="shared" ca="1" si="26"/>
        <v>#DIV/0!</v>
      </c>
      <c r="E70" s="236" t="e">
        <f t="shared" ca="1" si="26"/>
        <v>#DIV/0!</v>
      </c>
      <c r="F70" s="236" t="e">
        <f t="shared" ca="1" si="26"/>
        <v>#DIV/0!</v>
      </c>
      <c r="G70" s="236" t="e">
        <f t="shared" ca="1" si="26"/>
        <v>#DIV/0!</v>
      </c>
      <c r="H70" s="236" t="e">
        <f t="shared" ca="1" si="26"/>
        <v>#DIV/0!</v>
      </c>
      <c r="I70" s="236" t="e">
        <f t="shared" ca="1" si="26"/>
        <v>#DIV/0!</v>
      </c>
      <c r="J70" s="236" t="e">
        <f t="shared" ca="1" si="26"/>
        <v>#DIV/0!</v>
      </c>
      <c r="K70" s="236" t="e">
        <f t="shared" ca="1" si="26"/>
        <v>#DIV/0!</v>
      </c>
      <c r="L70" s="236" t="e">
        <f t="shared" ca="1" si="26"/>
        <v>#DIV/0!</v>
      </c>
      <c r="M70" s="236" t="e">
        <f t="shared" ca="1" si="26"/>
        <v>#DIV/0!</v>
      </c>
      <c r="N70" s="236" t="e">
        <f t="shared" ca="1" si="26"/>
        <v>#DIV/0!</v>
      </c>
      <c r="O70" s="236" t="e">
        <f t="shared" ca="1" si="26"/>
        <v>#DIV/0!</v>
      </c>
      <c r="P70" s="236" t="e">
        <f t="shared" ca="1" si="26"/>
        <v>#DIV/0!</v>
      </c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2"/>
    </row>
    <row r="71" spans="1:61" x14ac:dyDescent="0.25">
      <c r="A71" s="17" t="s">
        <v>842</v>
      </c>
      <c r="B71" s="17"/>
      <c r="C71" s="237" t="e">
        <f t="shared" ref="C71:P71" ca="1" si="27">(C19-C16)/(-C16-C33)</f>
        <v>#DIV/0!</v>
      </c>
      <c r="D71" s="237" t="e">
        <f t="shared" ca="1" si="27"/>
        <v>#DIV/0!</v>
      </c>
      <c r="E71" s="237" t="e">
        <f t="shared" ca="1" si="27"/>
        <v>#DIV/0!</v>
      </c>
      <c r="F71" s="237" t="e">
        <f t="shared" ca="1" si="27"/>
        <v>#DIV/0!</v>
      </c>
      <c r="G71" s="237" t="e">
        <f t="shared" ca="1" si="27"/>
        <v>#DIV/0!</v>
      </c>
      <c r="H71" s="237" t="e">
        <f t="shared" ca="1" si="27"/>
        <v>#DIV/0!</v>
      </c>
      <c r="I71" s="237" t="e">
        <f t="shared" ca="1" si="27"/>
        <v>#DIV/0!</v>
      </c>
      <c r="J71" s="237" t="e">
        <f t="shared" ca="1" si="27"/>
        <v>#DIV/0!</v>
      </c>
      <c r="K71" s="237" t="e">
        <f t="shared" ca="1" si="27"/>
        <v>#DIV/0!</v>
      </c>
      <c r="L71" s="237" t="e">
        <f t="shared" ca="1" si="27"/>
        <v>#DIV/0!</v>
      </c>
      <c r="M71" s="237" t="e">
        <f t="shared" ca="1" si="27"/>
        <v>#DIV/0!</v>
      </c>
      <c r="N71" s="237" t="e">
        <f t="shared" ca="1" si="27"/>
        <v>#DIV/0!</v>
      </c>
      <c r="O71" s="237" t="e">
        <f t="shared" ca="1" si="27"/>
        <v>#DIV/0!</v>
      </c>
      <c r="P71" s="237" t="e">
        <f t="shared" ca="1" si="27"/>
        <v>#DIV/0!</v>
      </c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2"/>
    </row>
    <row r="72" spans="1:61" x14ac:dyDescent="0.25">
      <c r="A72" s="17" t="s">
        <v>47</v>
      </c>
      <c r="C72" s="238" t="e">
        <f t="shared" ref="C72:P72" ca="1" si="28">C62/C64</f>
        <v>#DIV/0!</v>
      </c>
      <c r="D72" s="238" t="e">
        <f t="shared" ca="1" si="28"/>
        <v>#DIV/0!</v>
      </c>
      <c r="E72" s="238" t="e">
        <f t="shared" ca="1" si="28"/>
        <v>#DIV/0!</v>
      </c>
      <c r="F72" s="238" t="e">
        <f t="shared" ca="1" si="28"/>
        <v>#DIV/0!</v>
      </c>
      <c r="G72" s="238" t="e">
        <f t="shared" ca="1" si="28"/>
        <v>#DIV/0!</v>
      </c>
      <c r="H72" s="238" t="e">
        <f t="shared" ca="1" si="28"/>
        <v>#DIV/0!</v>
      </c>
      <c r="I72" s="238" t="e">
        <f t="shared" ca="1" si="28"/>
        <v>#DIV/0!</v>
      </c>
      <c r="J72" s="238" t="e">
        <f t="shared" ca="1" si="28"/>
        <v>#DIV/0!</v>
      </c>
      <c r="K72" s="238" t="e">
        <f t="shared" ca="1" si="28"/>
        <v>#DIV/0!</v>
      </c>
      <c r="L72" s="238" t="e">
        <f t="shared" ca="1" si="28"/>
        <v>#DIV/0!</v>
      </c>
      <c r="M72" s="238" t="e">
        <f t="shared" ca="1" si="28"/>
        <v>#DIV/0!</v>
      </c>
      <c r="N72" s="238" t="e">
        <f t="shared" ca="1" si="28"/>
        <v>#DIV/0!</v>
      </c>
      <c r="O72" s="238" t="e">
        <f t="shared" ca="1" si="28"/>
        <v>#DIV/0!</v>
      </c>
      <c r="P72" s="238" t="e">
        <f t="shared" ca="1" si="28"/>
        <v>#DIV/0!</v>
      </c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</row>
    <row r="73" spans="1:61" x14ac:dyDescent="0.25">
      <c r="A73" s="17" t="s">
        <v>849</v>
      </c>
      <c r="C73" s="238" t="e">
        <f t="shared" ref="C73:P73" ca="1" si="29">C63/C58</f>
        <v>#DIV/0!</v>
      </c>
      <c r="D73" s="238" t="e">
        <f t="shared" ca="1" si="29"/>
        <v>#DIV/0!</v>
      </c>
      <c r="E73" s="238" t="e">
        <f t="shared" ca="1" si="29"/>
        <v>#DIV/0!</v>
      </c>
      <c r="F73" s="238" t="e">
        <f t="shared" ca="1" si="29"/>
        <v>#DIV/0!</v>
      </c>
      <c r="G73" s="238" t="e">
        <f t="shared" ca="1" si="29"/>
        <v>#DIV/0!</v>
      </c>
      <c r="H73" s="238" t="e">
        <f t="shared" ca="1" si="29"/>
        <v>#DIV/0!</v>
      </c>
      <c r="I73" s="238" t="e">
        <f t="shared" ca="1" si="29"/>
        <v>#DIV/0!</v>
      </c>
      <c r="J73" s="238" t="e">
        <f t="shared" ca="1" si="29"/>
        <v>#DIV/0!</v>
      </c>
      <c r="K73" s="238" t="e">
        <f t="shared" ca="1" si="29"/>
        <v>#DIV/0!</v>
      </c>
      <c r="L73" s="238" t="e">
        <f t="shared" ca="1" si="29"/>
        <v>#DIV/0!</v>
      </c>
      <c r="M73" s="238" t="e">
        <f t="shared" ca="1" si="29"/>
        <v>#DIV/0!</v>
      </c>
      <c r="N73" s="238" t="e">
        <f t="shared" ca="1" si="29"/>
        <v>#DIV/0!</v>
      </c>
      <c r="O73" s="238" t="e">
        <f t="shared" ca="1" si="29"/>
        <v>#DIV/0!</v>
      </c>
      <c r="P73" s="238" t="e">
        <f t="shared" ca="1" si="29"/>
        <v>#DIV/0!</v>
      </c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</row>
    <row r="74" spans="1:61" x14ac:dyDescent="0.25">
      <c r="A74" s="1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</row>
    <row r="75" spans="1:61" s="20" customFormat="1" x14ac:dyDescent="0.25">
      <c r="A75" s="6" t="s">
        <v>901</v>
      </c>
      <c r="B75" s="6"/>
      <c r="C75" s="7">
        <f>C1</f>
        <v>2019</v>
      </c>
      <c r="D75" s="7">
        <f t="shared" ref="D75:P75" si="30">D1</f>
        <v>2020</v>
      </c>
      <c r="E75" s="7">
        <f t="shared" si="30"/>
        <v>2021</v>
      </c>
      <c r="F75" s="7">
        <f t="shared" si="30"/>
        <v>2022</v>
      </c>
      <c r="G75" s="7">
        <f t="shared" si="30"/>
        <v>2023</v>
      </c>
      <c r="H75" s="7">
        <f t="shared" si="30"/>
        <v>2024</v>
      </c>
      <c r="I75" s="7">
        <f t="shared" si="30"/>
        <v>2025</v>
      </c>
      <c r="J75" s="7">
        <f t="shared" si="30"/>
        <v>2026</v>
      </c>
      <c r="K75" s="7">
        <f t="shared" si="30"/>
        <v>2027</v>
      </c>
      <c r="L75" s="7">
        <f t="shared" si="30"/>
        <v>2028</v>
      </c>
      <c r="M75" s="7">
        <f t="shared" si="30"/>
        <v>2029</v>
      </c>
      <c r="N75" s="7">
        <f t="shared" si="30"/>
        <v>2030</v>
      </c>
      <c r="O75" s="7">
        <f t="shared" si="30"/>
        <v>2031</v>
      </c>
      <c r="P75" s="7">
        <f t="shared" si="30"/>
        <v>2032</v>
      </c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</row>
    <row r="76" spans="1:61" s="19" customFormat="1" x14ac:dyDescent="0.25">
      <c r="A76" s="8"/>
      <c r="B76" s="8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</row>
    <row r="77" spans="1:61" x14ac:dyDescent="0.25">
      <c r="A77" s="17" t="s">
        <v>847</v>
      </c>
      <c r="B77" s="17"/>
      <c r="C77" s="236">
        <v>1.4</v>
      </c>
      <c r="D77" s="236">
        <v>1.4</v>
      </c>
      <c r="E77" s="236">
        <v>1.4</v>
      </c>
      <c r="F77" s="236">
        <v>1.4</v>
      </c>
      <c r="G77" s="236">
        <v>1.4</v>
      </c>
      <c r="H77" s="236">
        <v>1.4</v>
      </c>
      <c r="I77" s="236">
        <v>1.4</v>
      </c>
      <c r="J77" s="236">
        <v>1.4</v>
      </c>
      <c r="K77" s="236">
        <v>1.4</v>
      </c>
      <c r="L77" s="236">
        <v>1.4</v>
      </c>
      <c r="M77" s="236">
        <v>1.4</v>
      </c>
      <c r="N77" s="236">
        <v>1.4</v>
      </c>
      <c r="O77" s="236">
        <v>1.4</v>
      </c>
      <c r="P77" s="236">
        <v>1.4</v>
      </c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</row>
    <row r="78" spans="1:61" x14ac:dyDescent="0.25">
      <c r="A78" s="17" t="s">
        <v>848</v>
      </c>
      <c r="B78" s="17"/>
      <c r="C78" s="237">
        <v>1</v>
      </c>
      <c r="D78" s="237">
        <v>1</v>
      </c>
      <c r="E78" s="237">
        <v>1</v>
      </c>
      <c r="F78" s="237">
        <v>1</v>
      </c>
      <c r="G78" s="237">
        <v>1</v>
      </c>
      <c r="H78" s="237">
        <v>1</v>
      </c>
      <c r="I78" s="237">
        <v>1</v>
      </c>
      <c r="J78" s="237">
        <v>1</v>
      </c>
      <c r="K78" s="237">
        <v>1</v>
      </c>
      <c r="L78" s="237">
        <v>1</v>
      </c>
      <c r="M78" s="237">
        <v>1</v>
      </c>
      <c r="N78" s="237">
        <v>1</v>
      </c>
      <c r="O78" s="237">
        <v>1</v>
      </c>
      <c r="P78" s="237">
        <v>1</v>
      </c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</row>
    <row r="79" spans="1:61" x14ac:dyDescent="0.25">
      <c r="A79" s="17" t="s">
        <v>850</v>
      </c>
      <c r="B79" s="17"/>
      <c r="C79" s="238">
        <v>0.4</v>
      </c>
      <c r="D79" s="238">
        <v>0.4</v>
      </c>
      <c r="E79" s="238">
        <v>0.4</v>
      </c>
      <c r="F79" s="238">
        <v>0.4</v>
      </c>
      <c r="G79" s="238">
        <v>0.4</v>
      </c>
      <c r="H79" s="238">
        <v>0.4</v>
      </c>
      <c r="I79" s="238">
        <v>0.4</v>
      </c>
      <c r="J79" s="238">
        <v>0.4</v>
      </c>
      <c r="K79" s="238">
        <v>0.4</v>
      </c>
      <c r="L79" s="238">
        <v>0.4</v>
      </c>
      <c r="M79" s="238">
        <v>0.4</v>
      </c>
      <c r="N79" s="238">
        <v>0.4</v>
      </c>
      <c r="O79" s="238">
        <v>0.4</v>
      </c>
      <c r="P79" s="238">
        <v>0.4</v>
      </c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2"/>
    </row>
    <row r="80" spans="1:61" x14ac:dyDescent="0.25">
      <c r="A80" s="17" t="s">
        <v>851</v>
      </c>
      <c r="B80" s="17"/>
      <c r="C80" s="238">
        <v>0.6</v>
      </c>
      <c r="D80" s="238">
        <v>0.6</v>
      </c>
      <c r="E80" s="238">
        <v>0.6</v>
      </c>
      <c r="F80" s="238">
        <v>0.6</v>
      </c>
      <c r="G80" s="238">
        <v>0.6</v>
      </c>
      <c r="H80" s="238">
        <v>0.6</v>
      </c>
      <c r="I80" s="238">
        <v>0.6</v>
      </c>
      <c r="J80" s="238">
        <v>0.6</v>
      </c>
      <c r="K80" s="238">
        <v>0.6</v>
      </c>
      <c r="L80" s="238">
        <v>0.6</v>
      </c>
      <c r="M80" s="238">
        <v>0.6</v>
      </c>
      <c r="N80" s="238">
        <v>0.6</v>
      </c>
      <c r="O80" s="238">
        <v>0.6</v>
      </c>
      <c r="P80" s="238">
        <v>0.6</v>
      </c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2"/>
    </row>
    <row r="81" spans="1:60" x14ac:dyDescent="0.25">
      <c r="A81" s="17"/>
      <c r="B81" s="17"/>
      <c r="C81" s="21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</row>
    <row r="82" spans="1:60" s="9" customFormat="1" x14ac:dyDescent="0.25">
      <c r="A82" s="6" t="s">
        <v>51</v>
      </c>
      <c r="B82" s="6"/>
      <c r="C82" s="6">
        <f>C2</f>
        <v>1</v>
      </c>
      <c r="D82" s="6">
        <f>D2</f>
        <v>2</v>
      </c>
      <c r="E82" s="6">
        <f t="shared" ref="E82:P82" si="31">E2</f>
        <v>3</v>
      </c>
      <c r="F82" s="6">
        <f t="shared" si="31"/>
        <v>4</v>
      </c>
      <c r="G82" s="6">
        <f t="shared" si="31"/>
        <v>5</v>
      </c>
      <c r="H82" s="6">
        <f t="shared" si="31"/>
        <v>6</v>
      </c>
      <c r="I82" s="6">
        <f t="shared" si="31"/>
        <v>7</v>
      </c>
      <c r="J82" s="6">
        <f t="shared" si="31"/>
        <v>8</v>
      </c>
      <c r="K82" s="6">
        <f t="shared" si="31"/>
        <v>9</v>
      </c>
      <c r="L82" s="6">
        <f t="shared" si="31"/>
        <v>10</v>
      </c>
      <c r="M82" s="6">
        <f t="shared" si="31"/>
        <v>11</v>
      </c>
      <c r="N82" s="6">
        <f t="shared" si="31"/>
        <v>12</v>
      </c>
      <c r="O82" s="6">
        <f t="shared" si="31"/>
        <v>13</v>
      </c>
      <c r="P82" s="6">
        <f t="shared" si="31"/>
        <v>14</v>
      </c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</row>
    <row r="83" spans="1:60" x14ac:dyDescent="0.25">
      <c r="A83" s="1"/>
      <c r="B83" s="1"/>
    </row>
    <row r="84" spans="1:60" x14ac:dyDescent="0.25">
      <c r="A84" s="17" t="s">
        <v>887</v>
      </c>
      <c r="B84" s="17"/>
      <c r="C84" s="18">
        <f ca="1">Dashboard!C93</f>
        <v>0</v>
      </c>
      <c r="D84" s="18">
        <f ca="1">C88</f>
        <v>0</v>
      </c>
      <c r="E84" s="18">
        <f ca="1">D88</f>
        <v>0</v>
      </c>
      <c r="F84" s="18">
        <f t="shared" ref="F84:P84" ca="1" si="32">E88</f>
        <v>0</v>
      </c>
      <c r="G84" s="18">
        <f t="shared" ca="1" si="32"/>
        <v>0</v>
      </c>
      <c r="H84" s="18">
        <f t="shared" ca="1" si="32"/>
        <v>0</v>
      </c>
      <c r="I84" s="18">
        <f t="shared" ca="1" si="32"/>
        <v>0</v>
      </c>
      <c r="J84" s="18">
        <f t="shared" ca="1" si="32"/>
        <v>0</v>
      </c>
      <c r="K84" s="18">
        <f t="shared" ca="1" si="32"/>
        <v>0</v>
      </c>
      <c r="L84" s="18">
        <f t="shared" ca="1" si="32"/>
        <v>0</v>
      </c>
      <c r="M84" s="18">
        <f t="shared" ca="1" si="32"/>
        <v>0</v>
      </c>
      <c r="N84" s="18">
        <f t="shared" ca="1" si="32"/>
        <v>0</v>
      </c>
      <c r="O84" s="18">
        <f t="shared" ca="1" si="32"/>
        <v>0</v>
      </c>
      <c r="P84" s="18">
        <f t="shared" ca="1" si="32"/>
        <v>0</v>
      </c>
    </row>
    <row r="85" spans="1:60" x14ac:dyDescent="0.25">
      <c r="A85" s="17" t="s">
        <v>895</v>
      </c>
      <c r="B85" s="17"/>
      <c r="C85" s="18">
        <f ca="1">(Dashboard!$C$85-Dashboard!$C$93)*Dashboard!C57</f>
        <v>0</v>
      </c>
      <c r="D85" s="18">
        <f ca="1">(Dashboard!$C$85-Dashboard!$C$93)*Dashboard!D57</f>
        <v>0</v>
      </c>
      <c r="E85" s="18">
        <f ca="1">(Dashboard!$C$85-Dashboard!$C$93)*Dashboard!E57</f>
        <v>0</v>
      </c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</row>
    <row r="86" spans="1:60" x14ac:dyDescent="0.25">
      <c r="A86" s="17" t="s">
        <v>888</v>
      </c>
      <c r="B86" s="17"/>
      <c r="C86" s="268">
        <f ca="1">C84+C85</f>
        <v>0</v>
      </c>
      <c r="D86" s="268">
        <f t="shared" ref="D86:E86" ca="1" si="33">D84+D85</f>
        <v>0</v>
      </c>
      <c r="E86" s="268">
        <f t="shared" ca="1" si="33"/>
        <v>0</v>
      </c>
      <c r="F86" s="268">
        <f t="shared" ref="F86" ca="1" si="34">F84+F85</f>
        <v>0</v>
      </c>
      <c r="G86" s="268">
        <f t="shared" ref="G86" ca="1" si="35">G84+G85</f>
        <v>0</v>
      </c>
      <c r="H86" s="268">
        <f t="shared" ref="H86" ca="1" si="36">H84+H85</f>
        <v>0</v>
      </c>
      <c r="I86" s="268">
        <f t="shared" ref="I86" ca="1" si="37">I84+I85</f>
        <v>0</v>
      </c>
      <c r="J86" s="268">
        <f t="shared" ref="J86" ca="1" si="38">J84+J85</f>
        <v>0</v>
      </c>
      <c r="K86" s="268">
        <f t="shared" ref="K86" ca="1" si="39">K84+K85</f>
        <v>0</v>
      </c>
      <c r="L86" s="268">
        <f t="shared" ref="L86" ca="1" si="40">L84+L85</f>
        <v>0</v>
      </c>
      <c r="M86" s="268">
        <f t="shared" ref="M86" ca="1" si="41">M84+M85</f>
        <v>0</v>
      </c>
      <c r="N86" s="268">
        <f t="shared" ref="N86" ca="1" si="42">N84+N85</f>
        <v>0</v>
      </c>
      <c r="O86" s="268">
        <f t="shared" ref="O86" ca="1" si="43">O84+O85</f>
        <v>0</v>
      </c>
      <c r="P86" s="268">
        <f t="shared" ref="P86" ca="1" si="44">P84+P85</f>
        <v>0</v>
      </c>
    </row>
    <row r="87" spans="1:60" x14ac:dyDescent="0.25">
      <c r="A87" s="17" t="s">
        <v>886</v>
      </c>
      <c r="B87" s="17"/>
      <c r="C87" s="18">
        <f ca="1">IF(C56&gt;='Hulp - basis'!$E$14+1,C86*('Hulp - basis'!$F$31/2),C86*(HLOOKUP(C56,'Hulp - basis'!$B$14:$E$31,18,FALSE)/2))+IF(C56&gt;='Hulp - basis'!$E$14+1,C84*('Hulp - basis'!$F$31/2),C84*(HLOOKUP(C56,'Hulp - basis'!$B$14:$E$31,18,FALSE)/2))</f>
        <v>0</v>
      </c>
      <c r="D87" s="18">
        <f ca="1">IF(D56&gt;='Hulp - basis'!$E$14+1,D86*('Hulp - basis'!$F$31/2),D86*(HLOOKUP(D56,'Hulp - basis'!$B$14:$E$31,18,FALSE)/2))+IF(D56&gt;='Hulp - basis'!$E$14+1,D84*('Hulp - basis'!$F$31/2),D84*(HLOOKUP(D56,'Hulp - basis'!$B$14:$E$31,18,FALSE)/2))</f>
        <v>0</v>
      </c>
      <c r="E87" s="18">
        <f ca="1">IF(E56&gt;='Hulp - basis'!$E$14+1,E86*('Hulp - basis'!$F$31/2),E86*(HLOOKUP(E56,'Hulp - basis'!$B$14:$E$31,18,FALSE)/2))+IF(E56&gt;='Hulp - basis'!$E$14+1,E84*('Hulp - basis'!$F$31/2),E84*(HLOOKUP(E56,'Hulp - basis'!$B$14:$E$31,18,FALSE)/2))</f>
        <v>0</v>
      </c>
      <c r="F87" s="18">
        <f ca="1">IF(F56&gt;='Hulp - basis'!$E$14+1,F86*('Hulp - basis'!$F$31/2),F86*(HLOOKUP(F56,'Hulp - basis'!$B$14:$E$31,18,FALSE)/2))+IF(F56&gt;='Hulp - basis'!$E$14+1,F84*('Hulp - basis'!$F$31/2),F84*(HLOOKUP(F56,'Hulp - basis'!$B$14:$E$31,18,FALSE)/2))</f>
        <v>0</v>
      </c>
      <c r="G87" s="18">
        <f ca="1">IF(G56&gt;='Hulp - basis'!$E$14+1,G86*('Hulp - basis'!$F$31/2),G86*(HLOOKUP(G56,'Hulp - basis'!$B$14:$E$31,18,FALSE)/2))+IF(G56&gt;='Hulp - basis'!$E$14+1,G84*('Hulp - basis'!$F$31/2),G84*(HLOOKUP(G56,'Hulp - basis'!$B$14:$E$31,18,FALSE)/2))</f>
        <v>0</v>
      </c>
      <c r="H87" s="18">
        <f ca="1">IF(H56&gt;='Hulp - basis'!$E$14+1,H86*('Hulp - basis'!$F$31/2),H86*(HLOOKUP(H56,'Hulp - basis'!$B$14:$E$31,18,FALSE)/2))+IF(H56&gt;='Hulp - basis'!$E$14+1,H84*('Hulp - basis'!$F$31/2),H84*(HLOOKUP(H56,'Hulp - basis'!$B$14:$E$31,18,FALSE)/2))</f>
        <v>0</v>
      </c>
      <c r="I87" s="18">
        <f ca="1">IF(I56&gt;='Hulp - basis'!$E$14+1,I86*('Hulp - basis'!$F$31/2),I86*(HLOOKUP(I56,'Hulp - basis'!$B$14:$E$31,18,FALSE)/2))+IF(I56&gt;='Hulp - basis'!$E$14+1,I84*('Hulp - basis'!$F$31/2),I84*(HLOOKUP(I56,'Hulp - basis'!$B$14:$E$31,18,FALSE)/2))</f>
        <v>0</v>
      </c>
      <c r="J87" s="18">
        <f ca="1">IF(J56&gt;='Hulp - basis'!$E$14+1,J86*('Hulp - basis'!$F$31/2),J86*(HLOOKUP(J56,'Hulp - basis'!$B$14:$E$31,18,FALSE)/2))+IF(J56&gt;='Hulp - basis'!$E$14+1,J84*('Hulp - basis'!$F$31/2),J84*(HLOOKUP(J56,'Hulp - basis'!$B$14:$E$31,18,FALSE)/2))</f>
        <v>0</v>
      </c>
      <c r="K87" s="18">
        <f ca="1">IF(K56&gt;='Hulp - basis'!$E$14+1,K86*('Hulp - basis'!$F$31/2),K86*(HLOOKUP(K56,'Hulp - basis'!$B$14:$E$31,18,FALSE)/2))+IF(K56&gt;='Hulp - basis'!$E$14+1,K84*('Hulp - basis'!$F$31/2),K84*(HLOOKUP(K56,'Hulp - basis'!$B$14:$E$31,18,FALSE)/2))</f>
        <v>0</v>
      </c>
      <c r="L87" s="18">
        <f ca="1">IF(L56&gt;='Hulp - basis'!$E$14+1,L86*('Hulp - basis'!$F$31/2),L86*(HLOOKUP(L56,'Hulp - basis'!$B$14:$E$31,18,FALSE)/2))+IF(L56&gt;='Hulp - basis'!$E$14+1,L84*('Hulp - basis'!$F$31/2),L84*(HLOOKUP(L56,'Hulp - basis'!$B$14:$E$31,18,FALSE)/2))</f>
        <v>0</v>
      </c>
      <c r="M87" s="18">
        <f ca="1">IF(M56&gt;='Hulp - basis'!$E$14+1,M86*('Hulp - basis'!$F$31/2),M86*(HLOOKUP(M56,'Hulp - basis'!$B$14:$E$31,18,FALSE)/2))+IF(M56&gt;='Hulp - basis'!$E$14+1,M84*('Hulp - basis'!$F$31/2),M84*(HLOOKUP(M56,'Hulp - basis'!$B$14:$E$31,18,FALSE)/2))</f>
        <v>0</v>
      </c>
      <c r="N87" s="18">
        <f ca="1">IF(N56&gt;='Hulp - basis'!$E$14+1,N86*('Hulp - basis'!$F$31/2),N86*(HLOOKUP(N56,'Hulp - basis'!$B$14:$E$31,18,FALSE)/2))+IF(N56&gt;='Hulp - basis'!$E$14+1,N84*('Hulp - basis'!$F$31/2),N84*(HLOOKUP(N56,'Hulp - basis'!$B$14:$E$31,18,FALSE)/2))</f>
        <v>0</v>
      </c>
      <c r="O87" s="18">
        <f ca="1">IF(O56&gt;='Hulp - basis'!$E$14+1,O86*('Hulp - basis'!$F$31/2),O86*(HLOOKUP(O56,'Hulp - basis'!$B$14:$E$31,18,FALSE)/2))+IF(O56&gt;='Hulp - basis'!$E$14+1,O84*('Hulp - basis'!$F$31/2),O84*(HLOOKUP(O56,'Hulp - basis'!$B$14:$E$31,18,FALSE)/2))</f>
        <v>0</v>
      </c>
      <c r="P87" s="18">
        <f ca="1">IF(P56&gt;='Hulp - basis'!$E$14+1,P86*('Hulp - basis'!$F$31/2),P86*(HLOOKUP(P56,'Hulp - basis'!$B$14:$E$31,18,FALSE)/2))+IF(P56&gt;='Hulp - basis'!$E$14+1,P84*('Hulp - basis'!$F$31/2),P84*(HLOOKUP(P56,'Hulp - basis'!$B$14:$E$31,18,FALSE)/2))</f>
        <v>0</v>
      </c>
    </row>
    <row r="88" spans="1:60" x14ac:dyDescent="0.25">
      <c r="A88" s="17" t="s">
        <v>889</v>
      </c>
      <c r="B88" s="17"/>
      <c r="C88" s="18">
        <f ca="1">C87+C86</f>
        <v>0</v>
      </c>
      <c r="D88" s="18">
        <f ca="1">D87+D86</f>
        <v>0</v>
      </c>
      <c r="E88" s="18">
        <f ca="1">E87+E86</f>
        <v>0</v>
      </c>
      <c r="F88" s="18">
        <f t="shared" ref="F88:P88" ca="1" si="45">F87+F86</f>
        <v>0</v>
      </c>
      <c r="G88" s="18">
        <f t="shared" ca="1" si="45"/>
        <v>0</v>
      </c>
      <c r="H88" s="18">
        <f t="shared" ca="1" si="45"/>
        <v>0</v>
      </c>
      <c r="I88" s="18">
        <f t="shared" ca="1" si="45"/>
        <v>0</v>
      </c>
      <c r="J88" s="18">
        <f t="shared" ca="1" si="45"/>
        <v>0</v>
      </c>
      <c r="K88" s="18">
        <f t="shared" ca="1" si="45"/>
        <v>0</v>
      </c>
      <c r="L88" s="18">
        <f t="shared" ca="1" si="45"/>
        <v>0</v>
      </c>
      <c r="M88" s="18">
        <f t="shared" ca="1" si="45"/>
        <v>0</v>
      </c>
      <c r="N88" s="18">
        <f t="shared" ca="1" si="45"/>
        <v>0</v>
      </c>
      <c r="O88" s="18">
        <f t="shared" ca="1" si="45"/>
        <v>0</v>
      </c>
      <c r="P88" s="18">
        <f t="shared" ca="1" si="45"/>
        <v>0</v>
      </c>
    </row>
    <row r="89" spans="1:60" x14ac:dyDescent="0.25">
      <c r="A89" s="17" t="s">
        <v>921</v>
      </c>
      <c r="B89" s="17"/>
      <c r="C89" s="18">
        <f>Dashboard!D58/(1-Dashboard!C53)+Dashboard!E58/(1-Dashboard!C53)</f>
        <v>0</v>
      </c>
      <c r="D89" s="18">
        <f>Dashboard!E58/(1-Dashboard!D53)+Dashboard!G58/(1-Dashboard!D53)</f>
        <v>0</v>
      </c>
      <c r="E89" s="18">
        <f>Dashboard!G58/(1-Dashboard!E53)+Dashboard!H58/(1-Dashboard!E53)</f>
        <v>0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</row>
    <row r="90" spans="1:60" x14ac:dyDescent="0.25">
      <c r="A90" s="17" t="s">
        <v>880</v>
      </c>
      <c r="B90" s="17"/>
      <c r="C90" s="240">
        <v>0</v>
      </c>
      <c r="D90" s="240" t="e">
        <f ca="1">(D54-D48)/C62</f>
        <v>#DIV/0!</v>
      </c>
      <c r="E90" s="240" t="e">
        <f t="shared" ref="E90:P90" ca="1" si="46">(E54-E48)/D62</f>
        <v>#DIV/0!</v>
      </c>
      <c r="F90" s="240" t="e">
        <f ca="1">(F54-F48)/E62</f>
        <v>#DIV/0!</v>
      </c>
      <c r="G90" s="240" t="e">
        <f t="shared" ca="1" si="46"/>
        <v>#DIV/0!</v>
      </c>
      <c r="H90" s="240" t="e">
        <f t="shared" ca="1" si="46"/>
        <v>#DIV/0!</v>
      </c>
      <c r="I90" s="240" t="e">
        <f t="shared" ca="1" si="46"/>
        <v>#DIV/0!</v>
      </c>
      <c r="J90" s="240" t="e">
        <f t="shared" ca="1" si="46"/>
        <v>#DIV/0!</v>
      </c>
      <c r="K90" s="240" t="e">
        <f t="shared" ca="1" si="46"/>
        <v>#DIV/0!</v>
      </c>
      <c r="L90" s="240" t="e">
        <f t="shared" ca="1" si="46"/>
        <v>#DIV/0!</v>
      </c>
      <c r="M90" s="240" t="e">
        <f t="shared" ca="1" si="46"/>
        <v>#DIV/0!</v>
      </c>
      <c r="N90" s="240" t="e">
        <f t="shared" ca="1" si="46"/>
        <v>#DIV/0!</v>
      </c>
      <c r="O90" s="240" t="e">
        <f t="shared" ca="1" si="46"/>
        <v>#DIV/0!</v>
      </c>
      <c r="P90" s="240" t="e">
        <f t="shared" ca="1" si="46"/>
        <v>#DIV/0!</v>
      </c>
    </row>
    <row r="91" spans="1:60" ht="15" customHeight="1" x14ac:dyDescent="0.25">
      <c r="A91" s="17"/>
      <c r="B91" s="17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</row>
    <row r="92" spans="1:60" ht="15" customHeight="1" x14ac:dyDescent="0.25">
      <c r="A92" s="17" t="s">
        <v>861</v>
      </c>
      <c r="B92" s="17"/>
      <c r="C92" s="240"/>
    </row>
    <row r="93" spans="1:60" ht="15" customHeight="1" x14ac:dyDescent="0.25"/>
    <row r="94" spans="1:60" ht="15" customHeight="1" x14ac:dyDescent="0.25">
      <c r="A94" s="17" t="s">
        <v>859</v>
      </c>
      <c r="B94" s="17"/>
      <c r="C94" s="240" t="e">
        <f ca="1">Exploitatie!C9/(Dashboard!C54+Dashboard!C50)</f>
        <v>#DIV/0!</v>
      </c>
    </row>
    <row r="95" spans="1:60" ht="15" customHeight="1" x14ac:dyDescent="0.25">
      <c r="A95" s="17" t="s">
        <v>860</v>
      </c>
      <c r="B95" s="17"/>
      <c r="C95" s="240" t="e">
        <f ca="1">(C19-C16)/(Dashboard!C54+Dashboard!C50)</f>
        <v>#DIV/0!</v>
      </c>
    </row>
    <row r="96" spans="1:60" ht="15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/>
  <dimension ref="A1:BE244"/>
  <sheetViews>
    <sheetView showGridLines="0" topLeftCell="V1" workbookViewId="0">
      <selection activeCell="AJ1" sqref="AJ1"/>
    </sheetView>
  </sheetViews>
  <sheetFormatPr defaultRowHeight="15" x14ac:dyDescent="0.25"/>
  <cols>
    <col min="1" max="1" width="1.5703125" style="230" customWidth="1"/>
    <col min="2" max="2" width="4.85546875" style="230" customWidth="1"/>
    <col min="3" max="4" width="6" style="230" customWidth="1"/>
    <col min="5" max="5" width="6.5703125" style="230" customWidth="1"/>
    <col min="6" max="6" width="9.42578125" style="230" customWidth="1"/>
    <col min="7" max="7" width="12.28515625" style="230" customWidth="1"/>
    <col min="8" max="8" width="12.85546875" style="230" customWidth="1"/>
    <col min="9" max="9" width="17.5703125" style="230" customWidth="1"/>
    <col min="10" max="10" width="12.5703125" style="230" customWidth="1"/>
    <col min="11" max="11" width="10.42578125" style="230" customWidth="1"/>
    <col min="12" max="12" width="8.7109375" style="230" customWidth="1"/>
    <col min="13" max="13" width="12.140625" style="230" customWidth="1"/>
    <col min="14" max="14" width="13.5703125" style="230" customWidth="1"/>
    <col min="15" max="15" width="20.7109375" style="230" customWidth="1"/>
    <col min="16" max="16" width="15.5703125" style="230" customWidth="1"/>
    <col min="17" max="17" width="8.7109375" style="230" customWidth="1"/>
    <col min="18" max="18" width="10.28515625" style="230" customWidth="1"/>
    <col min="19" max="19" width="17" style="230" bestFit="1" customWidth="1"/>
    <col min="20" max="20" width="13.140625" style="230" customWidth="1"/>
    <col min="21" max="21" width="10.42578125" style="230" customWidth="1"/>
    <col min="22" max="22" width="14.140625" style="230" customWidth="1"/>
    <col min="23" max="23" width="16.42578125" style="230" bestFit="1" customWidth="1"/>
    <col min="24" max="24" width="9.85546875" style="230" customWidth="1"/>
    <col min="25" max="25" width="11.5703125" style="230" customWidth="1"/>
    <col min="26" max="26" width="12.5703125" style="230" customWidth="1"/>
    <col min="27" max="27" width="9.85546875" style="230" customWidth="1"/>
    <col min="28" max="28" width="10.28515625" style="230" customWidth="1"/>
    <col min="29" max="29" width="9.7109375" style="230" customWidth="1"/>
    <col min="30" max="31" width="9.5703125" style="230" customWidth="1"/>
    <col min="32" max="32" width="14.7109375" style="230" customWidth="1"/>
    <col min="33" max="33" width="13.28515625" style="230" customWidth="1"/>
    <col min="34" max="34" width="3.140625" style="230" customWidth="1"/>
    <col min="35" max="35" width="12.85546875" style="230" customWidth="1"/>
    <col min="36" max="36" width="10" style="230" customWidth="1"/>
    <col min="37" max="40" width="12.7109375" style="230" customWidth="1"/>
    <col min="41" max="41" width="11.85546875" style="230" bestFit="1" customWidth="1"/>
    <col min="42" max="42" width="9.85546875" style="230" bestFit="1" customWidth="1"/>
    <col min="43" max="43" width="12.5703125" style="230" customWidth="1"/>
    <col min="44" max="44" width="10.7109375" style="230" customWidth="1"/>
    <col min="45" max="45" width="10.85546875" style="230" customWidth="1"/>
    <col min="46" max="46" width="12.42578125" style="230" customWidth="1"/>
    <col min="47" max="47" width="16.42578125" style="230" bestFit="1" customWidth="1"/>
    <col min="48" max="48" width="16.42578125" style="230" customWidth="1"/>
    <col min="49" max="49" width="12.28515625" style="230" customWidth="1"/>
    <col min="50" max="52" width="14.42578125" style="230" bestFit="1" customWidth="1"/>
    <col min="53" max="16384" width="9.140625" style="230"/>
  </cols>
  <sheetData>
    <row r="1" spans="1:56" ht="15.75" x14ac:dyDescent="0.25">
      <c r="A1" s="89" t="s">
        <v>720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</row>
    <row r="2" spans="1:56" x14ac:dyDescent="0.25">
      <c r="A2" s="59"/>
      <c r="B2" s="70"/>
      <c r="C2" s="70"/>
      <c r="D2" s="70"/>
      <c r="E2" s="70"/>
      <c r="F2" s="397" t="s">
        <v>721</v>
      </c>
      <c r="G2" s="398"/>
      <c r="H2" s="398"/>
      <c r="I2" s="398"/>
      <c r="J2" s="398"/>
      <c r="K2" s="399"/>
      <c r="L2" s="400" t="s">
        <v>722</v>
      </c>
      <c r="M2" s="401"/>
      <c r="N2" s="401"/>
      <c r="O2" s="401"/>
      <c r="P2" s="401"/>
      <c r="Q2" s="402"/>
      <c r="R2" s="397" t="s">
        <v>666</v>
      </c>
      <c r="S2" s="398"/>
      <c r="T2" s="398"/>
      <c r="U2" s="398"/>
      <c r="V2" s="398"/>
      <c r="W2" s="399"/>
      <c r="X2" s="397" t="s">
        <v>667</v>
      </c>
      <c r="Y2" s="398"/>
      <c r="Z2" s="398"/>
      <c r="AA2" s="398"/>
      <c r="AB2" s="398"/>
      <c r="AC2" s="399"/>
      <c r="AD2" s="397" t="s">
        <v>700</v>
      </c>
      <c r="AE2" s="398"/>
      <c r="AF2" s="398"/>
      <c r="AG2" s="398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6" ht="15" customHeight="1" x14ac:dyDescent="0.25">
      <c r="A3" s="59"/>
      <c r="B3" s="91" t="s">
        <v>668</v>
      </c>
      <c r="C3" s="91" t="s">
        <v>669</v>
      </c>
      <c r="D3" s="91" t="s">
        <v>669</v>
      </c>
      <c r="E3" s="91" t="s">
        <v>670</v>
      </c>
      <c r="F3" s="404" t="s">
        <v>723</v>
      </c>
      <c r="G3" s="403" t="s">
        <v>724</v>
      </c>
      <c r="H3" s="403" t="s">
        <v>731</v>
      </c>
      <c r="I3" s="403" t="s">
        <v>726</v>
      </c>
      <c r="J3" s="403" t="s">
        <v>727</v>
      </c>
      <c r="K3" s="93" t="s">
        <v>671</v>
      </c>
      <c r="L3" s="405" t="s">
        <v>723</v>
      </c>
      <c r="M3" s="406" t="s">
        <v>724</v>
      </c>
      <c r="N3" s="403" t="s">
        <v>731</v>
      </c>
      <c r="O3" s="406" t="s">
        <v>726</v>
      </c>
      <c r="P3" s="406" t="s">
        <v>727</v>
      </c>
      <c r="Q3" s="407" t="s">
        <v>729</v>
      </c>
      <c r="R3" s="405" t="s">
        <v>730</v>
      </c>
      <c r="S3" s="403" t="s">
        <v>724</v>
      </c>
      <c r="T3" s="403" t="s">
        <v>731</v>
      </c>
      <c r="U3" s="403" t="s">
        <v>732</v>
      </c>
      <c r="V3" s="403" t="s">
        <v>733</v>
      </c>
      <c r="W3" s="407" t="s">
        <v>730</v>
      </c>
      <c r="X3" s="406" t="s">
        <v>734</v>
      </c>
      <c r="Y3" s="406" t="s">
        <v>724</v>
      </c>
      <c r="Z3" s="406" t="s">
        <v>731</v>
      </c>
      <c r="AA3" s="406" t="s">
        <v>732</v>
      </c>
      <c r="AB3" s="406" t="s">
        <v>733</v>
      </c>
      <c r="AC3" s="407" t="s">
        <v>734</v>
      </c>
      <c r="AD3" s="408" t="s">
        <v>703</v>
      </c>
      <c r="AE3" s="403" t="s">
        <v>735</v>
      </c>
      <c r="AF3" s="403" t="s">
        <v>736</v>
      </c>
      <c r="AG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62" t="s">
        <v>677</v>
      </c>
      <c r="AX3" s="62" t="s">
        <v>677</v>
      </c>
      <c r="AY3" s="62" t="s">
        <v>679</v>
      </c>
      <c r="AZ3" s="62" t="s">
        <v>738</v>
      </c>
      <c r="BA3" s="62" t="s">
        <v>739</v>
      </c>
      <c r="BB3" s="62" t="s">
        <v>739</v>
      </c>
      <c r="BC3" s="62" t="s">
        <v>740</v>
      </c>
      <c r="BD3" s="62" t="s">
        <v>741</v>
      </c>
    </row>
    <row r="4" spans="1:56" x14ac:dyDescent="0.25">
      <c r="A4" s="59"/>
      <c r="B4" s="91"/>
      <c r="C4" s="91" t="s">
        <v>682</v>
      </c>
      <c r="D4" s="91" t="s">
        <v>682</v>
      </c>
      <c r="E4" s="91"/>
      <c r="F4" s="404"/>
      <c r="G4" s="403"/>
      <c r="H4" s="403"/>
      <c r="I4" s="403"/>
      <c r="J4" s="403"/>
      <c r="K4" s="93" t="s">
        <v>737</v>
      </c>
      <c r="L4" s="405"/>
      <c r="M4" s="406"/>
      <c r="N4" s="403"/>
      <c r="O4" s="406"/>
      <c r="P4" s="406"/>
      <c r="Q4" s="407"/>
      <c r="R4" s="405"/>
      <c r="S4" s="403"/>
      <c r="T4" s="403"/>
      <c r="U4" s="403"/>
      <c r="V4" s="403"/>
      <c r="W4" s="407"/>
      <c r="X4" s="406"/>
      <c r="Y4" s="406"/>
      <c r="Z4" s="406"/>
      <c r="AA4" s="406"/>
      <c r="AB4" s="406"/>
      <c r="AC4" s="407"/>
      <c r="AD4" s="408"/>
      <c r="AE4" s="403"/>
      <c r="AF4" s="403"/>
      <c r="AG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689</v>
      </c>
      <c r="AZ4" s="62" t="s">
        <v>689</v>
      </c>
      <c r="BA4" s="62" t="s">
        <v>715</v>
      </c>
      <c r="BB4" s="62" t="s">
        <v>742</v>
      </c>
      <c r="BC4" s="62" t="s">
        <v>743</v>
      </c>
      <c r="BD4" s="62"/>
    </row>
    <row r="5" spans="1:56" x14ac:dyDescent="0.25">
      <c r="A5" s="59"/>
      <c r="B5" s="66">
        <v>1</v>
      </c>
      <c r="C5" s="67">
        <f ca="1">IF(E5-'Invoer gegevens (N)'!$C$17&lt;0,0,1)</f>
        <v>1</v>
      </c>
      <c r="D5" s="68">
        <v>0.5</v>
      </c>
      <c r="E5" s="108">
        <f ca="1">IF('Invoer gegevens (N)'!$C$16="","",'Invoer gegevens (N)'!$C$16)</f>
        <v>2019</v>
      </c>
      <c r="F5" s="84">
        <f ca="1">IF('Invoer gegevens (N)'!$C$17=E5,'Invoer gegevens (N)'!$C$10,IF(C5=1,K4,0))</f>
        <v>0</v>
      </c>
      <c r="G5" s="96">
        <f ca="1">IF(BD5&lt;1,F5*'Reeksen (N)'!C5,IF(C5&gt;=1,F5*BA5,0))</f>
        <v>0</v>
      </c>
      <c r="H5" s="84">
        <f ca="1">(1-('Invoer gegevens (N)'!$F$20/12))*F5*MIN(BA5,BC5)</f>
        <v>0</v>
      </c>
      <c r="I5" s="84">
        <f t="shared" ref="I5:I68" ca="1" si="0">IF(BD5&lt;1,G5-H5,IF(BC5&lt;BA5,(BA5-BC5)*F5,0))</f>
        <v>0</v>
      </c>
      <c r="J5" s="84">
        <f ca="1">('Invoer gegevens (N)'!$F$20/12)*F4*MIN(BA5,BC5)</f>
        <v>0</v>
      </c>
      <c r="K5" s="97">
        <f ca="1">IF(F5-G5&lt;0,0,F5-G5)</f>
        <v>0</v>
      </c>
      <c r="L5" s="84">
        <f ca="1">IF('Invoer gegevens (N)'!$C$17=E5,0,IF(C5=1,Q4,0))</f>
        <v>0</v>
      </c>
      <c r="M5" s="96">
        <f t="shared" ref="M5:M68" ca="1" si="1">IF(C5&gt;=1,L5*BA5,0)</f>
        <v>0</v>
      </c>
      <c r="N5" s="84">
        <f ca="1">(1-('Invoer gegevens (N)'!$F$20/12))*L5*MIN(BA5,BC5)</f>
        <v>0</v>
      </c>
      <c r="O5" s="84">
        <f t="shared" ref="O5:O68" ca="1" si="2">IF(BC5&lt;BA5,(BA5-BC5)*L5,0)</f>
        <v>0</v>
      </c>
      <c r="P5" s="84">
        <f ca="1">('Invoer gegevens (N)'!$F$20/12)*L4*MIN(BA5,BC5)</f>
        <v>0</v>
      </c>
      <c r="Q5" s="84">
        <f ca="1">IF(L5-M5+I5+O5&lt;0,0,L5-M5+I5+O5)</f>
        <v>0</v>
      </c>
      <c r="R5" s="85">
        <f ca="1">IF('Invoer gegevens (N)'!$C$17=E5,'Invoer gegevens (N)'!$C$11,IF(C5=1,W4,0))</f>
        <v>0</v>
      </c>
      <c r="S5" s="86">
        <f t="shared" ref="S5:S68" ca="1" si="3">IF(C5&gt;=1,R5*BA5,0)</f>
        <v>0</v>
      </c>
      <c r="T5" s="86">
        <f ca="1">(1-('Invoer gegevens (N)'!$F$20/12))*R5*MIN(BC5,BA5)</f>
        <v>0</v>
      </c>
      <c r="U5" s="86">
        <f ca="1">IF(BD5&lt;1,IF('Reeksen (N)'!AD5&lt;='Reeksen (N)'!AE5,R5*'Reeksen (N)'!C5,0),IF(BC5&gt;=BA5,0,IF('Reeksen (N)'!AD5&lt;='Reeksen (N)'!AE5,(BA5-BC5)*R5,0)))</f>
        <v>0</v>
      </c>
      <c r="V5" s="86">
        <f ca="1">IF(BD5&lt;1,IF('Reeksen (N)'!AD5&gt;'Reeksen (N)'!AE5,R5*'Reeksen (N)'!C5,0),IF(BC5&gt;=BA5,0,IF('Reeksen (N)'!AD5&gt;'Reeksen (N)'!AE5,(BA5-BC5)*R5,0)))</f>
        <v>0</v>
      </c>
      <c r="W5" s="218">
        <f ca="1">R5-S5-V5+AA5</f>
        <v>0</v>
      </c>
      <c r="X5" s="98">
        <f ca="1">IF('Invoer gegevens (N)'!$C$17=E5,'Invoer gegevens (N)'!$C$10-'Invoer gegevens (N)'!$C$11,IF(C5=1,AC4,0))</f>
        <v>0</v>
      </c>
      <c r="Y5" s="98">
        <f t="shared" ref="Y5:Y68" ca="1" si="4">IF(C5&gt;=1,X5*BA5,0)</f>
        <v>0</v>
      </c>
      <c r="Z5" s="98">
        <f ca="1">(1-('Invoer gegevens (N)'!$F$20/12))*X5*MIN(BA5,BC5)</f>
        <v>0</v>
      </c>
      <c r="AA5" s="98">
        <f ca="1">IF(BD5&lt;1,IF('Reeksen (N)'!AD5&lt;='Reeksen (N)'!AE5,X5*'Reeksen (N)'!C5,0),IF(BC5&gt;=BA5,0,IF('Reeksen (N)'!AD5&lt;='Reeksen (N)'!AE5,(BA5-BC5)*X5,0)))</f>
        <v>0</v>
      </c>
      <c r="AB5" s="98">
        <f ca="1">IF(BD5&lt;1,IF('Reeksen (N)'!AD5&gt;'Reeksen (N)'!AE5,X5*'Reeksen (N)'!C5,0),IF(BC5&gt;=BA5,0,IF('Reeksen (N)'!AD5&gt;'Reeksen (N)'!AE5,(BA5-BC5)*X5,0)))</f>
        <v>0</v>
      </c>
      <c r="AC5" s="99">
        <f ca="1">X5-Y5+V5-AA5</f>
        <v>0</v>
      </c>
      <c r="AD5" s="98">
        <f ca="1">IF('Invoer gegevens (N)'!$C$17=E5,R5,IF(C5=0,0,AE4))</f>
        <v>0</v>
      </c>
      <c r="AE5" s="98">
        <f ca="1">IF(C5=0,0,AD5-S5-V5+AA5)</f>
        <v>0</v>
      </c>
      <c r="AF5" s="98">
        <f ca="1">IF('Invoer gegevens (N)'!$C$17=E5,X5,IF(C5=0,0,AG4))</f>
        <v>0</v>
      </c>
      <c r="AG5" s="98">
        <f ca="1">IF(C5=0,0,AF5-Y5-AA5+V5)</f>
        <v>0</v>
      </c>
      <c r="AH5" s="66"/>
      <c r="AI5" s="71">
        <f ca="1">IF(C5=1,'Reeksen (N)'!AI5*((F5+K5)/2)*12+'Reeksen (N)'!AD5*((L5+Q5)/2)*12,0)</f>
        <v>0</v>
      </c>
      <c r="AJ5" s="71">
        <f ca="1">-AI5*'Invoer gegevens (N)'!$F$26</f>
        <v>0</v>
      </c>
      <c r="AK5" s="71">
        <f ca="1">AI5+AJ5</f>
        <v>0</v>
      </c>
      <c r="AL5" s="71">
        <f ca="1">IF(C5=1,'Reeksen (N)'!AL5*((F5-G5+F5)/2)*12+'Reeksen (N)'!AM5*((L5-M5+L5)/2)*12,0)</f>
        <v>0</v>
      </c>
      <c r="AM5" s="71">
        <f ca="1">-AL5*'Invoer gegevens (N)'!$F$31</f>
        <v>0</v>
      </c>
      <c r="AN5" s="71">
        <f ca="1">AL5+AM5</f>
        <v>0</v>
      </c>
      <c r="AO5" s="71">
        <f ca="1">IF(C5=1,(H5+J5+N5+P5)*'Reeksen (N)'!AN5,0)</f>
        <v>0</v>
      </c>
      <c r="AP5" s="71">
        <f ca="1">-IF(C5=1,(H5+J5+N5+P5)*'Hulp - basis'!$O$550*'Reeksen (N)'!H5,0)</f>
        <v>0</v>
      </c>
      <c r="AQ5" s="71">
        <f ca="1">-IF(C5=1,(F5+K5+L5+Q5)/2*'Invoer gegevens (N)'!$F$35*'Reeksen (N)'!J5,0)*2</f>
        <v>0</v>
      </c>
      <c r="AR5" s="71">
        <f ca="1">IF(BD5&lt;1,-IF(C5=1,(G5*'Invoer gegevens (N)'!$F$36)*'Reeksen (N)'!J5,0),0)</f>
        <v>0</v>
      </c>
      <c r="AS5" s="71">
        <f ca="1">-IF(C5=1,(F5+K5+L5+Q5)/2*'Invoer gegevens (N)'!$F$37*'Reeksen (N)'!L5,0)</f>
        <v>0</v>
      </c>
      <c r="AT5" s="71">
        <f ca="1">-IF(C5=1,IF(E5='Invoer gegevens (N)'!$C$17,'Invoer gegevens (N)'!$C$11,AD5)*'Reeksen (N)'!S5*'Invoer gegevens (N)'!$C$18*'Reeksen (N)'!P5,0)</f>
        <v>0</v>
      </c>
      <c r="AU5" s="71">
        <f ca="1">-IF(C5=1,(F5+K5+L5+Q5)/2*'Invoer gegevens (N)'!$F$38*'Reeksen (N)'!H5,0)</f>
        <v>0</v>
      </c>
      <c r="AV5" s="71">
        <v>0</v>
      </c>
      <c r="AW5" s="71">
        <f ca="1">SUM(AK5,AN5:AV5)</f>
        <v>0</v>
      </c>
      <c r="AX5" s="71">
        <f ca="1">IF(E5&lt;'Invoer gegevens (N)'!$C$17+15,0,IF(E5&gt;'Invoer gegevens (N)'!$C$17+215,0,AW5))</f>
        <v>0</v>
      </c>
      <c r="AY5" s="71">
        <f ca="1">AX5/(1+'Invoer gegevens (N)'!$F$18)^($AZ5-('Invoer gegevens (N)'!$C$17-'Invoer gegevens (N)'!$C$16))/(1+'Invoer gegevens (N)'!$C$39)^('Invoer gegevens (N)'!$C$17-'Invoer gegevens (N)'!$C$16)</f>
        <v>0</v>
      </c>
      <c r="AZ5" s="68">
        <f ca="1">IF(E5-'Invoer gegevens (N)'!$C$17-14.5&lt;0,0,E5-'Invoer gegevens (N)'!$C$17-14.5)</f>
        <v>0</v>
      </c>
      <c r="BA5" s="109">
        <f ca="1">IFERROR(VLOOKUP(E5-15,'Reeksen (N)'!$A$5:$D$234,2,FALSE),0)</f>
        <v>0</v>
      </c>
      <c r="BB5" s="109">
        <f ca="1">IFERROR(VLOOKUP(E5-15,'Reeksen (N)'!$A$5:$D$234,3,FALSE),0)</f>
        <v>0</v>
      </c>
      <c r="BC5" s="109">
        <f ca="1">IFERROR(VLOOKUP(E5-15,'Reeksen (N)'!$A$5:$D$234,4,FALSE),0)</f>
        <v>0</v>
      </c>
      <c r="BD5" s="67">
        <f ca="1">IF(E5-'Invoer gegevens (N)'!$C$17&lt;15,0,1)</f>
        <v>0</v>
      </c>
    </row>
    <row r="6" spans="1:56" x14ac:dyDescent="0.25">
      <c r="A6" s="59"/>
      <c r="B6" s="70">
        <f>B5+1</f>
        <v>2</v>
      </c>
      <c r="C6" s="67">
        <f ca="1">IF(E6-'Invoer gegevens (N)'!$C$17&lt;0,0,1)</f>
        <v>1</v>
      </c>
      <c r="D6" s="68">
        <f>D5+1</f>
        <v>1.5</v>
      </c>
      <c r="E6" s="108">
        <f ca="1">IF('Invoer gegevens (N)'!$C$16="","",E5+1)</f>
        <v>2020</v>
      </c>
      <c r="F6" s="84">
        <f ca="1">IF('Invoer gegevens (N)'!$C$17=E6,'Invoer gegevens (N)'!$C$10,IF(C6=1,K5,0))</f>
        <v>0</v>
      </c>
      <c r="G6" s="96">
        <f ca="1">IF(BD6&lt;1,F6*'Reeksen (N)'!C6,IF(C6&gt;=1,F6*BA6,0))</f>
        <v>0</v>
      </c>
      <c r="H6" s="84">
        <f ca="1">(1-('Invoer gegevens (N)'!$F$20/12))*F6*MIN(BA6,BC6)</f>
        <v>0</v>
      </c>
      <c r="I6" s="84">
        <f t="shared" ca="1" si="0"/>
        <v>0</v>
      </c>
      <c r="J6" s="84">
        <f ca="1">('Invoer gegevens (N)'!$F$20/12)*F5*MIN(BA6,BC6)</f>
        <v>0</v>
      </c>
      <c r="K6" s="97">
        <f t="shared" ref="K6:K69" ca="1" si="5">IF(F6-G6&lt;0,0,F6-G6)</f>
        <v>0</v>
      </c>
      <c r="L6" s="84">
        <f ca="1">IF('Invoer gegevens (N)'!$C$17=E6,0,IF(C6=1,Q5,0))</f>
        <v>0</v>
      </c>
      <c r="M6" s="96">
        <f t="shared" ca="1" si="1"/>
        <v>0</v>
      </c>
      <c r="N6" s="84">
        <f ca="1">(1-('Invoer gegevens (N)'!$F$20/12))*L6*MIN(BA6,BC6)</f>
        <v>0</v>
      </c>
      <c r="O6" s="84">
        <f t="shared" ca="1" si="2"/>
        <v>0</v>
      </c>
      <c r="P6" s="84">
        <f ca="1">('Invoer gegevens (N)'!$F$20/12)*L5*MIN(BA6,BC6)</f>
        <v>0</v>
      </c>
      <c r="Q6" s="84">
        <f t="shared" ref="Q6:Q69" ca="1" si="6">IF(L6-M6+I6+O6&lt;0,0,L6-M6+I6+O6)</f>
        <v>0</v>
      </c>
      <c r="R6" s="85">
        <f ca="1">IF('Invoer gegevens (N)'!$C$17=E6,'Invoer gegevens (N)'!$C$11,IF(C6=1,W5,0))</f>
        <v>0</v>
      </c>
      <c r="S6" s="86">
        <f t="shared" ca="1" si="3"/>
        <v>0</v>
      </c>
      <c r="T6" s="86">
        <f ca="1">(1-('Invoer gegevens (N)'!$F$20/12))*R6*MIN(BC6,BA6)</f>
        <v>0</v>
      </c>
      <c r="U6" s="86">
        <f ca="1">IF(BD6&lt;1,IF('Reeksen (N)'!AD6&lt;='Reeksen (N)'!AE6,R6*'Reeksen (N)'!C6,0),IF(BC6&gt;=BA6,0,IF('Reeksen (N)'!AD6&lt;='Reeksen (N)'!AE6,(BA6-BC6)*R6,0)))</f>
        <v>0</v>
      </c>
      <c r="V6" s="86">
        <f ca="1">IF(BD6&lt;1,IF('Reeksen (N)'!AD6&gt;'Reeksen (N)'!AE6,R6*'Reeksen (N)'!C6,0),IF(BC6&gt;=BA6,0,IF('Reeksen (N)'!AD6&gt;'Reeksen (N)'!AE6,(BA6-BC6)*R6,0)))</f>
        <v>0</v>
      </c>
      <c r="W6" s="218">
        <f t="shared" ref="W6:W69" ca="1" si="7">R6-S6-V6+AA6</f>
        <v>0</v>
      </c>
      <c r="X6" s="98">
        <f ca="1">IF('Invoer gegevens (N)'!$C$17=E6,'Invoer gegevens (N)'!$C$10-'Invoer gegevens (N)'!$C$11,IF(C6=1,AC5,0))</f>
        <v>0</v>
      </c>
      <c r="Y6" s="98">
        <f t="shared" ca="1" si="4"/>
        <v>0</v>
      </c>
      <c r="Z6" s="98">
        <f ca="1">(1-('Invoer gegevens (N)'!$F$20/12))*X6*MIN(BA6,BC6)</f>
        <v>0</v>
      </c>
      <c r="AA6" s="98">
        <f ca="1">IF(BD6&lt;1,IF('Reeksen (N)'!AD6&lt;='Reeksen (N)'!AE6,X6*'Reeksen (N)'!C6,0),IF(BC6&gt;=BA6,0,IF('Reeksen (N)'!AD6&lt;='Reeksen (N)'!AE6,(BA6-BC6)*X6,0)))</f>
        <v>0</v>
      </c>
      <c r="AB6" s="98">
        <f ca="1">IF(BD6&lt;1,IF('Reeksen (N)'!AD6&gt;'Reeksen (N)'!AE6,X6*'Reeksen (N)'!C6,0),IF(BC6&gt;=BA6,0,IF('Reeksen (N)'!AD6&gt;'Reeksen (N)'!AE6,(BA6-BC6)*X6,0)))</f>
        <v>0</v>
      </c>
      <c r="AC6" s="99">
        <f t="shared" ref="AC6:AC69" ca="1" si="8">X6-Y6+V6-AA6</f>
        <v>0</v>
      </c>
      <c r="AD6" s="98">
        <f ca="1">IF('Invoer gegevens (N)'!$C$17=E6,R6,IF(C6=0,0,AE5))</f>
        <v>0</v>
      </c>
      <c r="AE6" s="98">
        <f t="shared" ref="AE6:AE69" ca="1" si="9">IF(C6=0,0,AD6-S6-V6+AA6)</f>
        <v>0</v>
      </c>
      <c r="AF6" s="98">
        <f ca="1">IF('Invoer gegevens (N)'!$C$17=E6,X6,IF(C6=0,0,AG5))</f>
        <v>0</v>
      </c>
      <c r="AG6" s="98">
        <f t="shared" ref="AG6:AG69" ca="1" si="10">IF(C6=0,0,AF6-Y6-AA6+V6)</f>
        <v>0</v>
      </c>
      <c r="AH6" s="66"/>
      <c r="AI6" s="71">
        <f ca="1">IF(C6=1,'Reeksen (N)'!AI6*((F6+K6)/2)*12+'Reeksen (N)'!AD6*((L6+Q6)/2)*12,0)</f>
        <v>0</v>
      </c>
      <c r="AJ6" s="71">
        <f ca="1">-AI6*'Invoer gegevens (N)'!$F$27</f>
        <v>0</v>
      </c>
      <c r="AK6" s="71">
        <f t="shared" ref="AK6:AK69" ca="1" si="11">AI6+AJ6</f>
        <v>0</v>
      </c>
      <c r="AL6" s="71">
        <f ca="1">IF(C6=1,'Reeksen (N)'!AL6*((F6-G6+F6)/2)*12+'Reeksen (N)'!AM6*((L6-M6+L6)/2)*12,0)</f>
        <v>0</v>
      </c>
      <c r="AM6" s="71">
        <f ca="1">-AL6*'Invoer gegevens (N)'!$F$31</f>
        <v>0</v>
      </c>
      <c r="AN6" s="71">
        <f t="shared" ref="AN6:AN69" ca="1" si="12">AL6+AM6</f>
        <v>0</v>
      </c>
      <c r="AO6" s="71">
        <f ca="1">IF(C6=1,(H6+J6+N6+P6)*'Reeksen (N)'!AN6,0)</f>
        <v>0</v>
      </c>
      <c r="AP6" s="71">
        <f ca="1">-IF(C6=1,(H6+J6+N6+P6)*'Hulp - basis'!$O$550*'Reeksen (N)'!H6,0)</f>
        <v>0</v>
      </c>
      <c r="AQ6" s="71">
        <f ca="1">-IF(C6=1,(F6+K6+L6+Q6)/2*'Invoer gegevens (N)'!$F$35*'Reeksen (N)'!J6,0)*2</f>
        <v>0</v>
      </c>
      <c r="AR6" s="71">
        <f ca="1">IF(BD6&lt;1,-IF(C6=1,(G6*'Invoer gegevens (N)'!$F$36)*'Reeksen (N)'!J6,0),0)</f>
        <v>0</v>
      </c>
      <c r="AS6" s="71">
        <f ca="1">-IF(C6=1,(F6+K6+L6+Q6)/2*'Invoer gegevens (N)'!$F$37*'Reeksen (N)'!L6,0)</f>
        <v>0</v>
      </c>
      <c r="AT6" s="71">
        <f ca="1">-IF(C6=1,IF(E6='Invoer gegevens (N)'!$C$17,'Invoer gegevens (N)'!$C$11,AD6)*'Reeksen (N)'!S6*'Invoer gegevens (N)'!$C$18*'Reeksen (N)'!P6,0)</f>
        <v>0</v>
      </c>
      <c r="AU6" s="71">
        <f ca="1">-IF(C6=1,(F6+K6+L6+Q6)/2*'Invoer gegevens (N)'!$F$38*'Reeksen (N)'!H6,0)</f>
        <v>0</v>
      </c>
      <c r="AV6" s="71">
        <v>0</v>
      </c>
      <c r="AW6" s="71">
        <f t="shared" ref="AW6:AW69" ca="1" si="13">SUM(AK6,AN6:AV6)</f>
        <v>0</v>
      </c>
      <c r="AX6" s="71">
        <f ca="1">IF(E6&lt;'Invoer gegevens (N)'!$C$17+15,0,IF(E6&gt;'Invoer gegevens (N)'!$C$17+215,0,AW6))</f>
        <v>0</v>
      </c>
      <c r="AY6" s="71">
        <f ca="1">AX6/(1+'Invoer gegevens (N)'!$F$18)^($AZ6-('Invoer gegevens (N)'!$C$17-'Invoer gegevens (N)'!$C$16))/(1+'Invoer gegevens (N)'!$C$39)^('Invoer gegevens (N)'!$C$17-'Invoer gegevens (N)'!$C$16)</f>
        <v>0</v>
      </c>
      <c r="AZ6" s="68">
        <f ca="1">IF(E6-'Invoer gegevens (N)'!$C$17-14.5&lt;0,0,E6-'Invoer gegevens (N)'!$C$17-14.5)</f>
        <v>0</v>
      </c>
      <c r="BA6" s="109">
        <f ca="1">IFERROR(VLOOKUP(E6-15,'Reeksen (N)'!$A$5:$D$234,2,FALSE),0)</f>
        <v>0</v>
      </c>
      <c r="BB6" s="109">
        <f ca="1">IFERROR(VLOOKUP(E6-15,'Reeksen (N)'!$A$5:$D$234,3,FALSE),0)</f>
        <v>0</v>
      </c>
      <c r="BC6" s="109">
        <f ca="1">IFERROR(VLOOKUP(E6-15,'Reeksen (N)'!$A$5:$D$234,4,FALSE),0)</f>
        <v>0</v>
      </c>
      <c r="BD6" s="67">
        <f ca="1">IF(E6-'Invoer gegevens (N)'!$C$17&lt;15,0,1)</f>
        <v>0</v>
      </c>
    </row>
    <row r="7" spans="1:56" x14ac:dyDescent="0.25">
      <c r="A7" s="59"/>
      <c r="B7" s="70">
        <f>B6+1</f>
        <v>3</v>
      </c>
      <c r="C7" s="67">
        <f ca="1">IF(E7-'Invoer gegevens (N)'!$C$17&lt;0,0,1)</f>
        <v>1</v>
      </c>
      <c r="D7" s="68">
        <f>D6+1</f>
        <v>2.5</v>
      </c>
      <c r="E7" s="108">
        <f ca="1">IF('Invoer gegevens (N)'!$C$16="","",E6+1)</f>
        <v>2021</v>
      </c>
      <c r="F7" s="84">
        <f ca="1">IF('Invoer gegevens (N)'!$C$17=E7,'Invoer gegevens (N)'!$C$10,IF(C7=1,K6,0))</f>
        <v>0</v>
      </c>
      <c r="G7" s="96">
        <f ca="1">IF(BD7&lt;1,F7*'Reeksen (N)'!C7,IF(C7&gt;=1,F7*BA7,0))</f>
        <v>0</v>
      </c>
      <c r="H7" s="84">
        <f ca="1">(1-('Invoer gegevens (N)'!$F$20/12))*F7*MIN(BA7,BC7)</f>
        <v>0</v>
      </c>
      <c r="I7" s="84">
        <f t="shared" ca="1" si="0"/>
        <v>0</v>
      </c>
      <c r="J7" s="84">
        <f ca="1">('Invoer gegevens (N)'!$F$20/12)*F6*MIN(BA7,BC7)</f>
        <v>0</v>
      </c>
      <c r="K7" s="97">
        <f t="shared" ca="1" si="5"/>
        <v>0</v>
      </c>
      <c r="L7" s="84">
        <f ca="1">IF('Invoer gegevens (N)'!$C$17=E7,0,IF(C7=1,Q6,0))</f>
        <v>0</v>
      </c>
      <c r="M7" s="96">
        <f t="shared" ca="1" si="1"/>
        <v>0</v>
      </c>
      <c r="N7" s="84">
        <f ca="1">(1-('Invoer gegevens (N)'!$F$20/12))*L7*MIN(BA7,BC7)</f>
        <v>0</v>
      </c>
      <c r="O7" s="84">
        <f t="shared" ca="1" si="2"/>
        <v>0</v>
      </c>
      <c r="P7" s="84">
        <f ca="1">('Invoer gegevens (N)'!$F$20/12)*L6*MIN(BA7,BC7)</f>
        <v>0</v>
      </c>
      <c r="Q7" s="84">
        <f t="shared" ca="1" si="6"/>
        <v>0</v>
      </c>
      <c r="R7" s="85">
        <f ca="1">IF('Invoer gegevens (N)'!$C$17=E7,'Invoer gegevens (N)'!$C$11,IF(C7=1,W6,0))</f>
        <v>0</v>
      </c>
      <c r="S7" s="86">
        <f t="shared" ca="1" si="3"/>
        <v>0</v>
      </c>
      <c r="T7" s="86">
        <f ca="1">(1-('Invoer gegevens (N)'!$F$20/12))*R7*MIN(BC7,BA7)</f>
        <v>0</v>
      </c>
      <c r="U7" s="86">
        <f ca="1">IF(BD7&lt;1,IF('Reeksen (N)'!AD7&lt;='Reeksen (N)'!AE7,R7*'Reeksen (N)'!C7,0),IF(BC7&gt;=BA7,0,IF('Reeksen (N)'!AD7&lt;='Reeksen (N)'!AE7,(BA7-BC7)*R7,0)))</f>
        <v>0</v>
      </c>
      <c r="V7" s="86">
        <f ca="1">IF(BD7&lt;1,IF('Reeksen (N)'!AD7&gt;'Reeksen (N)'!AE7,R7*'Reeksen (N)'!C7,0),IF(BC7&gt;=BA7,0,IF('Reeksen (N)'!AD7&gt;'Reeksen (N)'!AE7,(BA7-BC7)*R7,0)))</f>
        <v>0</v>
      </c>
      <c r="W7" s="218">
        <f t="shared" ca="1" si="7"/>
        <v>0</v>
      </c>
      <c r="X7" s="98">
        <f ca="1">IF('Invoer gegevens (N)'!$C$17=E7,'Invoer gegevens (N)'!$C$10-'Invoer gegevens (N)'!$C$11,IF(C7=1,AC6,0))</f>
        <v>0</v>
      </c>
      <c r="Y7" s="98">
        <f t="shared" ca="1" si="4"/>
        <v>0</v>
      </c>
      <c r="Z7" s="98">
        <f ca="1">(1-('Invoer gegevens (N)'!$F$20/12))*X7*MIN(BA7,BC7)</f>
        <v>0</v>
      </c>
      <c r="AA7" s="98">
        <f ca="1">IF(BD7&lt;1,IF('Reeksen (N)'!AD7&lt;='Reeksen (N)'!AE7,X7*'Reeksen (N)'!C7,0),IF(BC7&gt;=BA7,0,IF('Reeksen (N)'!AD7&lt;='Reeksen (N)'!AE7,(BA7-BC7)*X7,0)))</f>
        <v>0</v>
      </c>
      <c r="AB7" s="98">
        <f ca="1">IF(BD7&lt;1,IF('Reeksen (N)'!AD7&gt;'Reeksen (N)'!AE7,X7*'Reeksen (N)'!C7,0),IF(BC7&gt;=BA7,0,IF('Reeksen (N)'!AD7&gt;'Reeksen (N)'!AE7,(BA7-BC7)*X7,0)))</f>
        <v>0</v>
      </c>
      <c r="AC7" s="99">
        <f t="shared" ca="1" si="8"/>
        <v>0</v>
      </c>
      <c r="AD7" s="98">
        <f ca="1">IF('Invoer gegevens (N)'!$C$17=E7,R7,IF(C7=0,0,AE6))</f>
        <v>0</v>
      </c>
      <c r="AE7" s="98">
        <f t="shared" ca="1" si="9"/>
        <v>0</v>
      </c>
      <c r="AF7" s="98">
        <f ca="1">IF('Invoer gegevens (N)'!$C$17=E7,X7,IF(C7=0,0,AG6))</f>
        <v>0</v>
      </c>
      <c r="AG7" s="98">
        <f t="shared" ca="1" si="10"/>
        <v>0</v>
      </c>
      <c r="AH7" s="66"/>
      <c r="AI7" s="71">
        <f ca="1">IF(C7=1,'Reeksen (N)'!AI7*((F7+K7)/2)*12+'Reeksen (N)'!AD7*((L7+Q7)/2)*12,0)</f>
        <v>0</v>
      </c>
      <c r="AJ7" s="71">
        <f ca="1">-AI7*'Invoer gegevens (N)'!$F$28</f>
        <v>0</v>
      </c>
      <c r="AK7" s="71">
        <f t="shared" ca="1" si="11"/>
        <v>0</v>
      </c>
      <c r="AL7" s="71">
        <f ca="1">IF(C7=1,'Reeksen (N)'!AL7*((F7-G7+F7)/2)*12+'Reeksen (N)'!AM7*((L7-M7+L7)/2)*12,0)</f>
        <v>0</v>
      </c>
      <c r="AM7" s="71">
        <f ca="1">-AL7*'Invoer gegevens (N)'!$F$31</f>
        <v>0</v>
      </c>
      <c r="AN7" s="71">
        <f t="shared" ca="1" si="12"/>
        <v>0</v>
      </c>
      <c r="AO7" s="71">
        <f ca="1">IF(C7=1,(H7+J7+N7+P7)*'Reeksen (N)'!AN7,0)</f>
        <v>0</v>
      </c>
      <c r="AP7" s="71">
        <f ca="1">-IF(C7=1,(H7+J7+N7+P7)*'Hulp - basis'!$O$550*'Reeksen (N)'!H7,0)</f>
        <v>0</v>
      </c>
      <c r="AQ7" s="71">
        <f ca="1">-IF(C7=1,(F7+K7+L7+Q7)/2*'Invoer gegevens (N)'!$F$35*'Reeksen (N)'!J7,0)*2</f>
        <v>0</v>
      </c>
      <c r="AR7" s="71">
        <f ca="1">IF(BD7&lt;1,-IF(C7=1,(G7*'Invoer gegevens (N)'!$F$36)*'Reeksen (N)'!J7,0),0)</f>
        <v>0</v>
      </c>
      <c r="AS7" s="71">
        <f ca="1">-IF(C7=1,(F7+K7+L7+Q7)/2*'Invoer gegevens (N)'!$F$37*'Reeksen (N)'!L7,0)</f>
        <v>0</v>
      </c>
      <c r="AT7" s="71">
        <f ca="1">-IF(C7=1,IF(E7='Invoer gegevens (N)'!$C$17,'Invoer gegevens (N)'!$C$11,AD7)*'Reeksen (N)'!S7*'Invoer gegevens (N)'!$C$18*'Reeksen (N)'!P7,0)</f>
        <v>0</v>
      </c>
      <c r="AU7" s="71">
        <f ca="1">-IF(C7=1,(F7+K7+L7+Q7)/2*'Invoer gegevens (N)'!$F$38*'Reeksen (N)'!H7,0)</f>
        <v>0</v>
      </c>
      <c r="AV7" s="71">
        <v>0</v>
      </c>
      <c r="AW7" s="71">
        <f t="shared" ca="1" si="13"/>
        <v>0</v>
      </c>
      <c r="AX7" s="71">
        <f ca="1">IF(E7&lt;'Invoer gegevens (N)'!$C$17+15,0,IF(E7&gt;'Invoer gegevens (N)'!$C$17+215,0,AW7))</f>
        <v>0</v>
      </c>
      <c r="AY7" s="71">
        <f ca="1">AX7/(1+'Invoer gegevens (N)'!$F$18)^($AZ7-('Invoer gegevens (N)'!$C$17-'Invoer gegevens (N)'!$C$16))/(1+'Invoer gegevens (N)'!$C$39)^('Invoer gegevens (N)'!$C$17-'Invoer gegevens (N)'!$C$16)</f>
        <v>0</v>
      </c>
      <c r="AZ7" s="68">
        <f ca="1">IF(E7-'Invoer gegevens (N)'!$C$17-14.5&lt;0,0,E7-'Invoer gegevens (N)'!$C$17-14.5)</f>
        <v>0</v>
      </c>
      <c r="BA7" s="109">
        <f ca="1">IFERROR(VLOOKUP(E7-15,'Reeksen (N)'!$A$5:$D$234,2,FALSE),0)</f>
        <v>0</v>
      </c>
      <c r="BB7" s="109">
        <f ca="1">IFERROR(VLOOKUP(E7-15,'Reeksen (N)'!$A$5:$D$234,3,FALSE),0)</f>
        <v>0</v>
      </c>
      <c r="BC7" s="109">
        <f ca="1">IFERROR(VLOOKUP(E7-15,'Reeksen (N)'!$A$5:$D$234,4,FALSE),0)</f>
        <v>0</v>
      </c>
      <c r="BD7" s="67">
        <f ca="1">IF(E7-'Invoer gegevens (N)'!$C$17&lt;15,0,1)</f>
        <v>0</v>
      </c>
    </row>
    <row r="8" spans="1:56" x14ac:dyDescent="0.25">
      <c r="A8" s="59"/>
      <c r="B8" s="70">
        <f t="shared" ref="B8:B71" si="14">B7+1</f>
        <v>4</v>
      </c>
      <c r="C8" s="67">
        <f ca="1">IF(E8-'Invoer gegevens (N)'!$C$17&lt;0,0,1)</f>
        <v>1</v>
      </c>
      <c r="D8" s="68">
        <f t="shared" ref="D8:D71" si="15">D7+1</f>
        <v>3.5</v>
      </c>
      <c r="E8" s="108">
        <f ca="1">IF('Invoer gegevens (N)'!$C$16="","",E7+1)</f>
        <v>2022</v>
      </c>
      <c r="F8" s="84">
        <f ca="1">IF('Invoer gegevens (N)'!$C$17=E8,'Invoer gegevens (N)'!$C$10,IF(C8=1,K7,0))</f>
        <v>0</v>
      </c>
      <c r="G8" s="96">
        <f ca="1">IF(BD8&lt;1,F8*'Reeksen (N)'!C8,IF(C8&gt;=1,F8*BA8,0))</f>
        <v>0</v>
      </c>
      <c r="H8" s="84">
        <f ca="1">(1-('Invoer gegevens (N)'!$F$20/12))*F8*MIN(BA8,BC8)</f>
        <v>0</v>
      </c>
      <c r="I8" s="84">
        <f t="shared" ca="1" si="0"/>
        <v>0</v>
      </c>
      <c r="J8" s="84">
        <f ca="1">('Invoer gegevens (N)'!$F$20/12)*F7*MIN(BA8,BC8)</f>
        <v>0</v>
      </c>
      <c r="K8" s="97">
        <f t="shared" ca="1" si="5"/>
        <v>0</v>
      </c>
      <c r="L8" s="84">
        <f ca="1">IF('Invoer gegevens (N)'!$C$17=E8,0,IF(C8=1,Q7,0))</f>
        <v>0</v>
      </c>
      <c r="M8" s="96">
        <f t="shared" ca="1" si="1"/>
        <v>0</v>
      </c>
      <c r="N8" s="84">
        <f ca="1">(1-('Invoer gegevens (N)'!$F$20/12))*L8*MIN(BA8,BC8)</f>
        <v>0</v>
      </c>
      <c r="O8" s="84">
        <f t="shared" ca="1" si="2"/>
        <v>0</v>
      </c>
      <c r="P8" s="84">
        <f ca="1">('Invoer gegevens (N)'!$F$20/12)*L7*MIN(BA8,BC8)</f>
        <v>0</v>
      </c>
      <c r="Q8" s="84">
        <f t="shared" ca="1" si="6"/>
        <v>0</v>
      </c>
      <c r="R8" s="85">
        <f ca="1">IF('Invoer gegevens (N)'!$C$17=E8,'Invoer gegevens (N)'!$C$11,IF(C8=1,W7,0))</f>
        <v>0</v>
      </c>
      <c r="S8" s="86">
        <f t="shared" ca="1" si="3"/>
        <v>0</v>
      </c>
      <c r="T8" s="86">
        <f ca="1">(1-('Invoer gegevens (N)'!$F$20/12))*R8*MIN(BC8,BA8)</f>
        <v>0</v>
      </c>
      <c r="U8" s="86">
        <f ca="1">IF(BD8&lt;1,IF('Reeksen (N)'!AD8&lt;='Reeksen (N)'!AE8,R8*'Reeksen (N)'!C8,0),IF(BC8&gt;=BA8,0,IF('Reeksen (N)'!AD8&lt;='Reeksen (N)'!AE8,(BA8-BC8)*R8,0)))</f>
        <v>0</v>
      </c>
      <c r="V8" s="86">
        <f ca="1">IF(BD8&lt;1,IF('Reeksen (N)'!AD8&gt;'Reeksen (N)'!AE8,R8*'Reeksen (N)'!C8,0),IF(BC8&gt;=BA8,0,IF('Reeksen (N)'!AD8&gt;'Reeksen (N)'!AE8,(BA8-BC8)*R8,0)))</f>
        <v>0</v>
      </c>
      <c r="W8" s="218">
        <f t="shared" ca="1" si="7"/>
        <v>0</v>
      </c>
      <c r="X8" s="98">
        <f ca="1">IF('Invoer gegevens (N)'!$C$17=E8,'Invoer gegevens (N)'!$C$10-'Invoer gegevens (N)'!$C$11,IF(C8=1,AC7,0))</f>
        <v>0</v>
      </c>
      <c r="Y8" s="98">
        <f t="shared" ca="1" si="4"/>
        <v>0</v>
      </c>
      <c r="Z8" s="98">
        <f ca="1">(1-('Invoer gegevens (N)'!$F$20/12))*X8*MIN(BA8,BC8)</f>
        <v>0</v>
      </c>
      <c r="AA8" s="98">
        <f ca="1">IF(BD8&lt;1,IF('Reeksen (N)'!AD8&lt;='Reeksen (N)'!AE8,X8*'Reeksen (N)'!C8,0),IF(BC8&gt;=BA8,0,IF('Reeksen (N)'!AD8&lt;='Reeksen (N)'!AE8,(BA8-BC8)*X8,0)))</f>
        <v>0</v>
      </c>
      <c r="AB8" s="98">
        <f ca="1">IF(BD8&lt;1,IF('Reeksen (N)'!AD8&gt;'Reeksen (N)'!AE8,X8*'Reeksen (N)'!C8,0),IF(BC8&gt;=BA8,0,IF('Reeksen (N)'!AD8&gt;'Reeksen (N)'!AE8,(BA8-BC8)*X8,0)))</f>
        <v>0</v>
      </c>
      <c r="AC8" s="99">
        <f t="shared" ca="1" si="8"/>
        <v>0</v>
      </c>
      <c r="AD8" s="98">
        <f ca="1">IF('Invoer gegevens (N)'!$C$17=E8,R8,IF(C8=0,0,AE7))</f>
        <v>0</v>
      </c>
      <c r="AE8" s="98">
        <f t="shared" ca="1" si="9"/>
        <v>0</v>
      </c>
      <c r="AF8" s="98">
        <f ca="1">IF('Invoer gegevens (N)'!$C$17=E8,X8,IF(C8=0,0,AG7))</f>
        <v>0</v>
      </c>
      <c r="AG8" s="98">
        <f t="shared" ca="1" si="10"/>
        <v>0</v>
      </c>
      <c r="AH8" s="66"/>
      <c r="AI8" s="71">
        <f ca="1">IF(C8=1,'Reeksen (N)'!AI8*((F8+K8)/2)*12+'Reeksen (N)'!AD8*((L8+Q8)/2)*12,0)</f>
        <v>0</v>
      </c>
      <c r="AJ8" s="71">
        <f ca="1">-AI8*'Invoer gegevens (N)'!$F$28</f>
        <v>0</v>
      </c>
      <c r="AK8" s="71">
        <f t="shared" ca="1" si="11"/>
        <v>0</v>
      </c>
      <c r="AL8" s="71">
        <f ca="1">IF(C8=1,'Reeksen (N)'!AL8*((F8-G8+F8)/2)*12+'Reeksen (N)'!AM8*((L8-M8+L8)/2)*12,0)</f>
        <v>0</v>
      </c>
      <c r="AM8" s="71">
        <f ca="1">-AL8*'Invoer gegevens (N)'!$F$31</f>
        <v>0</v>
      </c>
      <c r="AN8" s="71">
        <f t="shared" ca="1" si="12"/>
        <v>0</v>
      </c>
      <c r="AO8" s="71">
        <f ca="1">IF(C8=1,(H8+J8+N8+P8)*'Reeksen (N)'!AN8,0)</f>
        <v>0</v>
      </c>
      <c r="AP8" s="71">
        <f ca="1">-IF(C8=1,(H8+J8+N8+P8)*'Hulp - basis'!$O$550*'Reeksen (N)'!H8,0)</f>
        <v>0</v>
      </c>
      <c r="AQ8" s="71">
        <f ca="1">-IF(C8=1,(F8+K8+L8+Q8)/2*'Invoer gegevens (N)'!$F$35*'Reeksen (N)'!J8,0)*2</f>
        <v>0</v>
      </c>
      <c r="AR8" s="71">
        <f ca="1">IF(BD8&lt;1,-IF(C8=1,(G8*'Invoer gegevens (N)'!$F$36)*'Reeksen (N)'!J8,0),0)</f>
        <v>0</v>
      </c>
      <c r="AS8" s="71">
        <f ca="1">-IF(C8=1,(F8+K8+L8+Q8)/2*'Invoer gegevens (N)'!$F$37*'Reeksen (N)'!L8,0)</f>
        <v>0</v>
      </c>
      <c r="AT8" s="71">
        <f ca="1">-IF(C8=1,IF(E8='Invoer gegevens (N)'!$C$17,'Invoer gegevens (N)'!$C$11,AD8)*'Reeksen (N)'!S8*'Invoer gegevens (N)'!$C$18*'Reeksen (N)'!P8,0)</f>
        <v>0</v>
      </c>
      <c r="AU8" s="71">
        <f ca="1">-IF(C8=1,(F8+K8+L8+Q8)/2*'Invoer gegevens (N)'!$F$38*'Reeksen (N)'!H8,0)</f>
        <v>0</v>
      </c>
      <c r="AV8" s="71">
        <v>0</v>
      </c>
      <c r="AW8" s="71">
        <f t="shared" ca="1" si="13"/>
        <v>0</v>
      </c>
      <c r="AX8" s="71">
        <f ca="1">IF(E8&lt;'Invoer gegevens (N)'!$C$17+15,0,IF(E8&gt;'Invoer gegevens (N)'!$C$17+215,0,AW8))</f>
        <v>0</v>
      </c>
      <c r="AY8" s="71">
        <f ca="1">AX8/(1+'Invoer gegevens (N)'!$F$18)^($AZ8-('Invoer gegevens (N)'!$C$17-'Invoer gegevens (N)'!$C$16))/(1+'Invoer gegevens (N)'!$C$39)^('Invoer gegevens (N)'!$C$17-'Invoer gegevens (N)'!$C$16)</f>
        <v>0</v>
      </c>
      <c r="AZ8" s="68">
        <f ca="1">IF(E8-'Invoer gegevens (N)'!$C$17-14.5&lt;0,0,E8-'Invoer gegevens (N)'!$C$17-14.5)</f>
        <v>0</v>
      </c>
      <c r="BA8" s="109">
        <f ca="1">IFERROR(VLOOKUP(E8-15,'Reeksen (N)'!$A$5:$D$234,2,FALSE),0)</f>
        <v>0</v>
      </c>
      <c r="BB8" s="109">
        <f ca="1">IFERROR(VLOOKUP(E8-15,'Reeksen (N)'!$A$5:$D$234,3,FALSE),0)</f>
        <v>0</v>
      </c>
      <c r="BC8" s="109">
        <f ca="1">IFERROR(VLOOKUP(E8-15,'Reeksen (N)'!$A$5:$D$234,4,FALSE),0)</f>
        <v>0</v>
      </c>
      <c r="BD8" s="67">
        <f ca="1">IF(E8-'Invoer gegevens (N)'!$C$17&lt;15,0,1)</f>
        <v>0</v>
      </c>
    </row>
    <row r="9" spans="1:56" x14ac:dyDescent="0.25">
      <c r="A9" s="59"/>
      <c r="B9" s="70">
        <f t="shared" si="14"/>
        <v>5</v>
      </c>
      <c r="C9" s="67">
        <f ca="1">IF(E9-'Invoer gegevens (N)'!$C$17&lt;0,0,1)</f>
        <v>1</v>
      </c>
      <c r="D9" s="68">
        <f t="shared" si="15"/>
        <v>4.5</v>
      </c>
      <c r="E9" s="108">
        <f ca="1">IF('Invoer gegevens (N)'!$C$16="","",E8+1)</f>
        <v>2023</v>
      </c>
      <c r="F9" s="84">
        <f ca="1">IF('Invoer gegevens (N)'!$C$17=E9,'Invoer gegevens (N)'!$C$10,IF(C9=1,K8,0))</f>
        <v>0</v>
      </c>
      <c r="G9" s="96">
        <f ca="1">IF(BD9&lt;1,F9*'Reeksen (N)'!C9,IF(C9&gt;=1,F9*BA9,0))</f>
        <v>0</v>
      </c>
      <c r="H9" s="84">
        <f ca="1">(1-('Invoer gegevens (N)'!$F$20/12))*F9*MIN(BA9,BC9)</f>
        <v>0</v>
      </c>
      <c r="I9" s="84">
        <f t="shared" ca="1" si="0"/>
        <v>0</v>
      </c>
      <c r="J9" s="84">
        <f ca="1">('Invoer gegevens (N)'!$F$20/12)*F8*MIN(BA9,BC9)</f>
        <v>0</v>
      </c>
      <c r="K9" s="97">
        <f t="shared" ca="1" si="5"/>
        <v>0</v>
      </c>
      <c r="L9" s="84">
        <f ca="1">IF('Invoer gegevens (N)'!$C$17=E9,0,IF(C9=1,Q8,0))</f>
        <v>0</v>
      </c>
      <c r="M9" s="96">
        <f t="shared" ca="1" si="1"/>
        <v>0</v>
      </c>
      <c r="N9" s="84">
        <f ca="1">(1-('Invoer gegevens (N)'!$F$20/12))*L9*MIN(BA9,BC9)</f>
        <v>0</v>
      </c>
      <c r="O9" s="84">
        <f t="shared" ca="1" si="2"/>
        <v>0</v>
      </c>
      <c r="P9" s="84">
        <f ca="1">('Invoer gegevens (N)'!$F$20/12)*L8*MIN(BA9,BC9)</f>
        <v>0</v>
      </c>
      <c r="Q9" s="84">
        <f t="shared" ca="1" si="6"/>
        <v>0</v>
      </c>
      <c r="R9" s="85">
        <f ca="1">IF('Invoer gegevens (N)'!$C$17=E9,'Invoer gegevens (N)'!$C$11,IF(C9=1,W8,0))</f>
        <v>0</v>
      </c>
      <c r="S9" s="86">
        <f t="shared" ca="1" si="3"/>
        <v>0</v>
      </c>
      <c r="T9" s="86">
        <f ca="1">(1-('Invoer gegevens (N)'!$F$20/12))*R9*MIN(BC9,BA9)</f>
        <v>0</v>
      </c>
      <c r="U9" s="86">
        <f ca="1">IF(BD9&lt;1,IF('Reeksen (N)'!AD9&lt;='Reeksen (N)'!AE9,R9*'Reeksen (N)'!C9,0),IF(BC9&gt;=BA9,0,IF('Reeksen (N)'!AD9&lt;='Reeksen (N)'!AE9,(BA9-BC9)*R9,0)))</f>
        <v>0</v>
      </c>
      <c r="V9" s="86">
        <f ca="1">IF(BD9&lt;1,IF('Reeksen (N)'!AD9&gt;'Reeksen (N)'!AE9,R9*'Reeksen (N)'!C9,0),IF(BC9&gt;=BA9,0,IF('Reeksen (N)'!AD9&gt;'Reeksen (N)'!AE9,(BA9-BC9)*R9,0)))</f>
        <v>0</v>
      </c>
      <c r="W9" s="218">
        <f t="shared" ca="1" si="7"/>
        <v>0</v>
      </c>
      <c r="X9" s="98">
        <f ca="1">IF('Invoer gegevens (N)'!$C$17=E9,'Invoer gegevens (N)'!$C$10-'Invoer gegevens (N)'!$C$11,IF(C9=1,AC8,0))</f>
        <v>0</v>
      </c>
      <c r="Y9" s="98">
        <f t="shared" ca="1" si="4"/>
        <v>0</v>
      </c>
      <c r="Z9" s="98">
        <f ca="1">(1-('Invoer gegevens (N)'!$F$20/12))*X9*MIN(BA9,BC9)</f>
        <v>0</v>
      </c>
      <c r="AA9" s="98">
        <f ca="1">IF(BD9&lt;1,IF('Reeksen (N)'!AD9&lt;='Reeksen (N)'!AE9,X9*'Reeksen (N)'!C9,0),IF(BC9&gt;=BA9,0,IF('Reeksen (N)'!AD9&lt;='Reeksen (N)'!AE9,(BA9-BC9)*X9,0)))</f>
        <v>0</v>
      </c>
      <c r="AB9" s="98">
        <f ca="1">IF(BD9&lt;1,IF('Reeksen (N)'!AD9&gt;'Reeksen (N)'!AE9,X9*'Reeksen (N)'!C9,0),IF(BC9&gt;=BA9,0,IF('Reeksen (N)'!AD9&gt;'Reeksen (N)'!AE9,(BA9-BC9)*X9,0)))</f>
        <v>0</v>
      </c>
      <c r="AC9" s="99">
        <f t="shared" ca="1" si="8"/>
        <v>0</v>
      </c>
      <c r="AD9" s="98">
        <f ca="1">IF('Invoer gegevens (N)'!$C$17=E9,R9,IF(C9=0,0,AE8))</f>
        <v>0</v>
      </c>
      <c r="AE9" s="98">
        <f t="shared" ca="1" si="9"/>
        <v>0</v>
      </c>
      <c r="AF9" s="98">
        <f ca="1">IF('Invoer gegevens (N)'!$C$17=E9,X9,IF(C9=0,0,AG8))</f>
        <v>0</v>
      </c>
      <c r="AG9" s="98">
        <f t="shared" ca="1" si="10"/>
        <v>0</v>
      </c>
      <c r="AH9" s="66"/>
      <c r="AI9" s="71">
        <f ca="1">IF(C9=1,'Reeksen (N)'!AI9*((F9+K9)/2)*12+'Reeksen (N)'!AD9*((L9+Q9)/2)*12,0)</f>
        <v>0</v>
      </c>
      <c r="AJ9" s="71">
        <f ca="1">-AI9*'Invoer gegevens (N)'!$F$28</f>
        <v>0</v>
      </c>
      <c r="AK9" s="71">
        <f t="shared" ca="1" si="11"/>
        <v>0</v>
      </c>
      <c r="AL9" s="71">
        <f ca="1">IF(C9=1,'Reeksen (N)'!AL9*((F9-G9+F9)/2)*12+'Reeksen (N)'!AM9*((L9-M9+L9)/2)*12,0)</f>
        <v>0</v>
      </c>
      <c r="AM9" s="71">
        <f ca="1">-AL9*'Invoer gegevens (N)'!$F$31</f>
        <v>0</v>
      </c>
      <c r="AN9" s="71">
        <f t="shared" ca="1" si="12"/>
        <v>0</v>
      </c>
      <c r="AO9" s="71">
        <f ca="1">IF(C9=1,(H9+J9+N9+P9)*'Reeksen (N)'!AN9,0)</f>
        <v>0</v>
      </c>
      <c r="AP9" s="71">
        <f ca="1">-IF(C9=1,(H9+J9+N9+P9)*'Hulp - basis'!$O$550*'Reeksen (N)'!H9,0)</f>
        <v>0</v>
      </c>
      <c r="AQ9" s="71">
        <f ca="1">-IF(C9=1,(F9+K9+L9+Q9)/2*'Invoer gegevens (N)'!$F$35*'Reeksen (N)'!J9,0)*2</f>
        <v>0</v>
      </c>
      <c r="AR9" s="71">
        <f ca="1">IF(BD9&lt;1,-IF(C9=1,(G9*'Invoer gegevens (N)'!$F$36)*'Reeksen (N)'!J9,0),0)</f>
        <v>0</v>
      </c>
      <c r="AS9" s="71">
        <f ca="1">-IF(C9=1,(F9+K9+L9+Q9)/2*'Invoer gegevens (N)'!$F$37*'Reeksen (N)'!L9,0)</f>
        <v>0</v>
      </c>
      <c r="AT9" s="71">
        <f ca="1">-IF(C9=1,IF(E9='Invoer gegevens (N)'!$C$17,'Invoer gegevens (N)'!$C$11,AD9)*'Reeksen (N)'!S9*'Invoer gegevens (N)'!$C$18*'Reeksen (N)'!P9,0)</f>
        <v>0</v>
      </c>
      <c r="AU9" s="71">
        <f ca="1">-IF(C9=1,(F9+K9+L9+Q9)/2*'Invoer gegevens (N)'!$F$38*'Reeksen (N)'!H9,0)</f>
        <v>0</v>
      </c>
      <c r="AV9" s="71">
        <v>0</v>
      </c>
      <c r="AW9" s="71">
        <f t="shared" ca="1" si="13"/>
        <v>0</v>
      </c>
      <c r="AX9" s="71">
        <f ca="1">IF(E9&lt;'Invoer gegevens (N)'!$C$17+15,0,IF(E9&gt;'Invoer gegevens (N)'!$C$17+215,0,AW9))</f>
        <v>0</v>
      </c>
      <c r="AY9" s="71">
        <f ca="1">AX9/(1+'Invoer gegevens (N)'!$F$18)^($AZ9-('Invoer gegevens (N)'!$C$17-'Invoer gegevens (N)'!$C$16))/(1+'Invoer gegevens (N)'!$C$39)^('Invoer gegevens (N)'!$C$17-'Invoer gegevens (N)'!$C$16)</f>
        <v>0</v>
      </c>
      <c r="AZ9" s="68">
        <f ca="1">IF(E9-'Invoer gegevens (N)'!$C$17-14.5&lt;0,0,E9-'Invoer gegevens (N)'!$C$17-14.5)</f>
        <v>0</v>
      </c>
      <c r="BA9" s="109">
        <f ca="1">IFERROR(VLOOKUP(E9-15,'Reeksen (N)'!$A$5:$D$234,2,FALSE),0)</f>
        <v>0</v>
      </c>
      <c r="BB9" s="109">
        <f ca="1">IFERROR(VLOOKUP(E9-15,'Reeksen (N)'!$A$5:$D$234,3,FALSE),0)</f>
        <v>0</v>
      </c>
      <c r="BC9" s="109">
        <f ca="1">IFERROR(VLOOKUP(E9-15,'Reeksen (N)'!$A$5:$D$234,4,FALSE),0)</f>
        <v>0</v>
      </c>
      <c r="BD9" s="67">
        <f ca="1">IF(E9-'Invoer gegevens (N)'!$C$17&lt;15,0,1)</f>
        <v>0</v>
      </c>
    </row>
    <row r="10" spans="1:56" x14ac:dyDescent="0.25">
      <c r="A10" s="59"/>
      <c r="B10" s="70">
        <f t="shared" si="14"/>
        <v>6</v>
      </c>
      <c r="C10" s="67">
        <f ca="1">IF(E10-'Invoer gegevens (N)'!$C$17&lt;0,0,1)</f>
        <v>1</v>
      </c>
      <c r="D10" s="68">
        <f t="shared" si="15"/>
        <v>5.5</v>
      </c>
      <c r="E10" s="108">
        <f ca="1">IF('Invoer gegevens (N)'!$C$16="","",E9+1)</f>
        <v>2024</v>
      </c>
      <c r="F10" s="84">
        <f ca="1">IF('Invoer gegevens (N)'!$C$17=E10,'Invoer gegevens (N)'!$C$10,IF(C10=1,K9,0))</f>
        <v>0</v>
      </c>
      <c r="G10" s="96">
        <f ca="1">IF(BD10&lt;1,F10*'Reeksen (N)'!C10,IF(C10&gt;=1,F10*BA10,0))</f>
        <v>0</v>
      </c>
      <c r="H10" s="84">
        <f ca="1">(1-('Invoer gegevens (N)'!$F$20/12))*F10*MIN(BA10,BC10)</f>
        <v>0</v>
      </c>
      <c r="I10" s="84">
        <f t="shared" ca="1" si="0"/>
        <v>0</v>
      </c>
      <c r="J10" s="84">
        <f ca="1">('Invoer gegevens (N)'!$F$20/12)*F9*MIN(BA10,BC10)</f>
        <v>0</v>
      </c>
      <c r="K10" s="97">
        <f t="shared" ca="1" si="5"/>
        <v>0</v>
      </c>
      <c r="L10" s="84">
        <f ca="1">IF('Invoer gegevens (N)'!$C$17=E10,0,IF(C10=1,Q9,0))</f>
        <v>0</v>
      </c>
      <c r="M10" s="96">
        <f t="shared" ca="1" si="1"/>
        <v>0</v>
      </c>
      <c r="N10" s="84">
        <f ca="1">(1-('Invoer gegevens (N)'!$F$20/12))*L10*MIN(BA10,BC10)</f>
        <v>0</v>
      </c>
      <c r="O10" s="84">
        <f t="shared" ca="1" si="2"/>
        <v>0</v>
      </c>
      <c r="P10" s="84">
        <f ca="1">('Invoer gegevens (N)'!$F$20/12)*L9*MIN(BA10,BC10)</f>
        <v>0</v>
      </c>
      <c r="Q10" s="84">
        <f t="shared" ca="1" si="6"/>
        <v>0</v>
      </c>
      <c r="R10" s="85">
        <f ca="1">IF('Invoer gegevens (N)'!$C$17=E10,'Invoer gegevens (N)'!$C$11,IF(C10=1,W9,0))</f>
        <v>0</v>
      </c>
      <c r="S10" s="86">
        <f t="shared" ca="1" si="3"/>
        <v>0</v>
      </c>
      <c r="T10" s="86">
        <f ca="1">(1-('Invoer gegevens (N)'!$F$20/12))*R10*MIN(BC10,BA10)</f>
        <v>0</v>
      </c>
      <c r="U10" s="86">
        <f ca="1">IF(BD10&lt;1,IF('Reeksen (N)'!AD10&lt;='Reeksen (N)'!AE10,R10*'Reeksen (N)'!C10,0),IF(BC10&gt;=BA10,0,IF('Reeksen (N)'!AD10&lt;='Reeksen (N)'!AE10,(BA10-BC10)*R10,0)))</f>
        <v>0</v>
      </c>
      <c r="V10" s="86">
        <f ca="1">IF(BD10&lt;1,IF('Reeksen (N)'!AD10&gt;'Reeksen (N)'!AE10,R10*'Reeksen (N)'!C10,0),IF(BC10&gt;=BA10,0,IF('Reeksen (N)'!AD10&gt;'Reeksen (N)'!AE10,(BA10-BC10)*R10,0)))</f>
        <v>0</v>
      </c>
      <c r="W10" s="218">
        <f t="shared" ca="1" si="7"/>
        <v>0</v>
      </c>
      <c r="X10" s="98">
        <f ca="1">IF('Invoer gegevens (N)'!$C$17=E10,'Invoer gegevens (N)'!$C$10-'Invoer gegevens (N)'!$C$11,IF(C10=1,AC9,0))</f>
        <v>0</v>
      </c>
      <c r="Y10" s="98">
        <f t="shared" ca="1" si="4"/>
        <v>0</v>
      </c>
      <c r="Z10" s="98">
        <f ca="1">(1-('Invoer gegevens (N)'!$F$20/12))*X10*MIN(BA10,BC10)</f>
        <v>0</v>
      </c>
      <c r="AA10" s="98">
        <f ca="1">IF(BD10&lt;1,IF('Reeksen (N)'!AD10&lt;='Reeksen (N)'!AE10,X10*'Reeksen (N)'!C10,0),IF(BC10&gt;=BA10,0,IF('Reeksen (N)'!AD10&lt;='Reeksen (N)'!AE10,(BA10-BC10)*X10,0)))</f>
        <v>0</v>
      </c>
      <c r="AB10" s="98">
        <f ca="1">IF(BD10&lt;1,IF('Reeksen (N)'!AD10&gt;'Reeksen (N)'!AE10,X10*'Reeksen (N)'!C10,0),IF(BC10&gt;=BA10,0,IF('Reeksen (N)'!AD10&gt;'Reeksen (N)'!AE10,(BA10-BC10)*X10,0)))</f>
        <v>0</v>
      </c>
      <c r="AC10" s="99">
        <f t="shared" ca="1" si="8"/>
        <v>0</v>
      </c>
      <c r="AD10" s="98">
        <f ca="1">IF('Invoer gegevens (N)'!$C$17=E10,R10,IF(C10=0,0,AE9))</f>
        <v>0</v>
      </c>
      <c r="AE10" s="98">
        <f t="shared" ca="1" si="9"/>
        <v>0</v>
      </c>
      <c r="AF10" s="98">
        <f ca="1">IF('Invoer gegevens (N)'!$C$17=E10,X10,IF(C10=0,0,AG9))</f>
        <v>0</v>
      </c>
      <c r="AG10" s="98">
        <f t="shared" ca="1" si="10"/>
        <v>0</v>
      </c>
      <c r="AH10" s="66"/>
      <c r="AI10" s="71">
        <f ca="1">IF(C10=1,'Reeksen (N)'!AI10*((F10+K10)/2)*12+'Reeksen (N)'!AD10*((L10+Q10)/2)*12,0)</f>
        <v>0</v>
      </c>
      <c r="AJ10" s="71">
        <f ca="1">-AI10*'Invoer gegevens (N)'!$F$28</f>
        <v>0</v>
      </c>
      <c r="AK10" s="71">
        <f t="shared" ca="1" si="11"/>
        <v>0</v>
      </c>
      <c r="AL10" s="71">
        <f ca="1">IF(C10=1,'Reeksen (N)'!AL10*((F10-G10+F10)/2)*12+'Reeksen (N)'!AM10*((L10-M10+L10)/2)*12,0)</f>
        <v>0</v>
      </c>
      <c r="AM10" s="71">
        <f ca="1">-AL10*'Invoer gegevens (N)'!$F$31</f>
        <v>0</v>
      </c>
      <c r="AN10" s="71">
        <f t="shared" ca="1" si="12"/>
        <v>0</v>
      </c>
      <c r="AO10" s="71">
        <f ca="1">IF(C10=1,(H10+J10+N10+P10)*'Reeksen (N)'!AN10,0)</f>
        <v>0</v>
      </c>
      <c r="AP10" s="71">
        <f ca="1">-IF(C10=1,(H10+J10+N10+P10)*'Hulp - basis'!$O$550*'Reeksen (N)'!H10,0)</f>
        <v>0</v>
      </c>
      <c r="AQ10" s="71">
        <f ca="1">-IF(C10=1,(F10+K10+L10+Q10)/2*'Invoer gegevens (N)'!$F$35*'Reeksen (N)'!J10,0)*2</f>
        <v>0</v>
      </c>
      <c r="AR10" s="71">
        <f ca="1">IF(BD10&lt;1,-IF(C10=1,(G10*'Invoer gegevens (N)'!$F$36)*'Reeksen (N)'!J10,0),0)</f>
        <v>0</v>
      </c>
      <c r="AS10" s="71">
        <f ca="1">-IF(C10=1,(F10+K10+L10+Q10)/2*'Invoer gegevens (N)'!$F$37*'Reeksen (N)'!L10,0)</f>
        <v>0</v>
      </c>
      <c r="AT10" s="71">
        <f ca="1">-IF(C10=1,IF(E10='Invoer gegevens (N)'!$C$17,'Invoer gegevens (N)'!$C$11,AD10)*'Reeksen (N)'!S10*'Invoer gegevens (N)'!$C$18*'Reeksen (N)'!P10,0)</f>
        <v>0</v>
      </c>
      <c r="AU10" s="71">
        <f ca="1">-IF(C10=1,(F10+K10+L10+Q10)/2*'Invoer gegevens (N)'!$F$38*'Reeksen (N)'!H10,0)</f>
        <v>0</v>
      </c>
      <c r="AV10" s="71">
        <v>0</v>
      </c>
      <c r="AW10" s="71">
        <f t="shared" ca="1" si="13"/>
        <v>0</v>
      </c>
      <c r="AX10" s="71">
        <f ca="1">IF(E10&lt;'Invoer gegevens (N)'!$C$17+15,0,IF(E10&gt;'Invoer gegevens (N)'!$C$17+215,0,AW10))</f>
        <v>0</v>
      </c>
      <c r="AY10" s="71">
        <f ca="1">AX10/(1+'Invoer gegevens (N)'!$F$18)^($AZ10-('Invoer gegevens (N)'!$C$17-'Invoer gegevens (N)'!$C$16))/(1+'Invoer gegevens (N)'!$C$39)^('Invoer gegevens (N)'!$C$17-'Invoer gegevens (N)'!$C$16)</f>
        <v>0</v>
      </c>
      <c r="AZ10" s="68">
        <f ca="1">IF(E10-'Invoer gegevens (N)'!$C$17-14.5&lt;0,0,E10-'Invoer gegevens (N)'!$C$17-14.5)</f>
        <v>0</v>
      </c>
      <c r="BA10" s="109">
        <f ca="1">IFERROR(VLOOKUP(E10-15,'Reeksen (N)'!$A$5:$D$234,2,FALSE),0)</f>
        <v>0</v>
      </c>
      <c r="BB10" s="109">
        <f ca="1">IFERROR(VLOOKUP(E10-15,'Reeksen (N)'!$A$5:$D$234,3,FALSE),0)</f>
        <v>0</v>
      </c>
      <c r="BC10" s="109">
        <f ca="1">IFERROR(VLOOKUP(E10-15,'Reeksen (N)'!$A$5:$D$234,4,FALSE),0)</f>
        <v>0</v>
      </c>
      <c r="BD10" s="67">
        <f ca="1">IF(E10-'Invoer gegevens (N)'!$C$17&lt;15,0,1)</f>
        <v>0</v>
      </c>
    </row>
    <row r="11" spans="1:56" x14ac:dyDescent="0.25">
      <c r="A11" s="59"/>
      <c r="B11" s="70">
        <f t="shared" si="14"/>
        <v>7</v>
      </c>
      <c r="C11" s="67">
        <f ca="1">IF(E11-'Invoer gegevens (N)'!$C$17&lt;0,0,1)</f>
        <v>1</v>
      </c>
      <c r="D11" s="68">
        <f t="shared" si="15"/>
        <v>6.5</v>
      </c>
      <c r="E11" s="108">
        <f ca="1">IF('Invoer gegevens (N)'!$C$16="","",E10+1)</f>
        <v>2025</v>
      </c>
      <c r="F11" s="84">
        <f ca="1">IF('Invoer gegevens (N)'!$C$17=E11,'Invoer gegevens (N)'!$C$10,IF(C11=1,K10,0))</f>
        <v>0</v>
      </c>
      <c r="G11" s="96">
        <f ca="1">IF(BD11&lt;1,F11*'Reeksen (N)'!C11,IF(C11&gt;=1,F11*BA11,0))</f>
        <v>0</v>
      </c>
      <c r="H11" s="84">
        <f ca="1">(1-('Invoer gegevens (N)'!$F$20/12))*F11*MIN(BA11,BC11)</f>
        <v>0</v>
      </c>
      <c r="I11" s="84">
        <f t="shared" ca="1" si="0"/>
        <v>0</v>
      </c>
      <c r="J11" s="84">
        <f ca="1">('Invoer gegevens (N)'!$F$20/12)*F10*MIN(BA11,BC11)</f>
        <v>0</v>
      </c>
      <c r="K11" s="97">
        <f t="shared" ca="1" si="5"/>
        <v>0</v>
      </c>
      <c r="L11" s="84">
        <f ca="1">IF('Invoer gegevens (N)'!$C$17=E11,0,IF(C11=1,Q10,0))</f>
        <v>0</v>
      </c>
      <c r="M11" s="96">
        <f t="shared" ca="1" si="1"/>
        <v>0</v>
      </c>
      <c r="N11" s="84">
        <f ca="1">(1-('Invoer gegevens (N)'!$F$20/12))*L11*MIN(BA11,BC11)</f>
        <v>0</v>
      </c>
      <c r="O11" s="84">
        <f t="shared" ca="1" si="2"/>
        <v>0</v>
      </c>
      <c r="P11" s="84">
        <f ca="1">('Invoer gegevens (N)'!$F$20/12)*L10*MIN(BA11,BC11)</f>
        <v>0</v>
      </c>
      <c r="Q11" s="84">
        <f t="shared" ca="1" si="6"/>
        <v>0</v>
      </c>
      <c r="R11" s="85">
        <f ca="1">IF('Invoer gegevens (N)'!$C$17=E11,'Invoer gegevens (N)'!$C$11,IF(C11=1,W10,0))</f>
        <v>0</v>
      </c>
      <c r="S11" s="86">
        <f t="shared" ca="1" si="3"/>
        <v>0</v>
      </c>
      <c r="T11" s="86">
        <f ca="1">(1-('Invoer gegevens (N)'!$F$20/12))*R11*MIN(BC11,BA11)</f>
        <v>0</v>
      </c>
      <c r="U11" s="86">
        <f ca="1">IF(BD11&lt;1,IF('Reeksen (N)'!AD11&lt;='Reeksen (N)'!AE11,R11*'Reeksen (N)'!C11,0),IF(BC11&gt;=BA11,0,IF('Reeksen (N)'!AD11&lt;='Reeksen (N)'!AE11,(BA11-BC11)*R11,0)))</f>
        <v>0</v>
      </c>
      <c r="V11" s="86">
        <f ca="1">IF(BD11&lt;1,IF('Reeksen (N)'!AD11&gt;'Reeksen (N)'!AE11,R11*'Reeksen (N)'!C11,0),IF(BC11&gt;=BA11,0,IF('Reeksen (N)'!AD11&gt;'Reeksen (N)'!AE11,(BA11-BC11)*R11,0)))</f>
        <v>0</v>
      </c>
      <c r="W11" s="218">
        <f t="shared" ca="1" si="7"/>
        <v>0</v>
      </c>
      <c r="X11" s="98">
        <f ca="1">IF('Invoer gegevens (N)'!$C$17=E11,'Invoer gegevens (N)'!$C$10-'Invoer gegevens (N)'!$C$11,IF(C11=1,AC10,0))</f>
        <v>0</v>
      </c>
      <c r="Y11" s="98">
        <f t="shared" ca="1" si="4"/>
        <v>0</v>
      </c>
      <c r="Z11" s="98">
        <f ca="1">(1-('Invoer gegevens (N)'!$F$20/12))*X11*MIN(BA11,BC11)</f>
        <v>0</v>
      </c>
      <c r="AA11" s="98">
        <f ca="1">IF(BD11&lt;1,IF('Reeksen (N)'!AD11&lt;='Reeksen (N)'!AE11,X11*'Reeksen (N)'!C11,0),IF(BC11&gt;=BA11,0,IF('Reeksen (N)'!AD11&lt;='Reeksen (N)'!AE11,(BA11-BC11)*X11,0)))</f>
        <v>0</v>
      </c>
      <c r="AB11" s="98">
        <f ca="1">IF(BD11&lt;1,IF('Reeksen (N)'!AD11&gt;'Reeksen (N)'!AE11,X11*'Reeksen (N)'!C11,0),IF(BC11&gt;=BA11,0,IF('Reeksen (N)'!AD11&gt;'Reeksen (N)'!AE11,(BA11-BC11)*X11,0)))</f>
        <v>0</v>
      </c>
      <c r="AC11" s="99">
        <f t="shared" ca="1" si="8"/>
        <v>0</v>
      </c>
      <c r="AD11" s="98">
        <f ca="1">IF('Invoer gegevens (N)'!$C$17=E11,R11,IF(C11=0,0,AE10))</f>
        <v>0</v>
      </c>
      <c r="AE11" s="98">
        <f t="shared" ca="1" si="9"/>
        <v>0</v>
      </c>
      <c r="AF11" s="98">
        <f ca="1">IF('Invoer gegevens (N)'!$C$17=E11,X11,IF(C11=0,0,AG10))</f>
        <v>0</v>
      </c>
      <c r="AG11" s="98">
        <f t="shared" ca="1" si="10"/>
        <v>0</v>
      </c>
      <c r="AH11" s="66"/>
      <c r="AI11" s="71">
        <f ca="1">IF(C11=1,'Reeksen (N)'!AI11*((F11+K11)/2)*12+'Reeksen (N)'!AD11*((L11+Q11)/2)*12,0)</f>
        <v>0</v>
      </c>
      <c r="AJ11" s="71">
        <f ca="1">-AI11*'Invoer gegevens (N)'!$F$28</f>
        <v>0</v>
      </c>
      <c r="AK11" s="71">
        <f t="shared" ca="1" si="11"/>
        <v>0</v>
      </c>
      <c r="AL11" s="71">
        <f ca="1">IF(C11=1,'Reeksen (N)'!AL11*((F11-G11+F11)/2)*12+'Reeksen (N)'!AM11*((L11-M11+L11)/2)*12,0)</f>
        <v>0</v>
      </c>
      <c r="AM11" s="71">
        <f ca="1">-AL11*'Invoer gegevens (N)'!$F$31</f>
        <v>0</v>
      </c>
      <c r="AN11" s="71">
        <f t="shared" ca="1" si="12"/>
        <v>0</v>
      </c>
      <c r="AO11" s="71">
        <f ca="1">IF(C11=1,(H11+J11+N11+P11)*'Reeksen (N)'!AN11,0)</f>
        <v>0</v>
      </c>
      <c r="AP11" s="71">
        <f ca="1">-IF(C11=1,(H11+J11+N11+P11)*'Hulp - basis'!$O$550*'Reeksen (N)'!H11,0)</f>
        <v>0</v>
      </c>
      <c r="AQ11" s="71">
        <f ca="1">-IF(C11=1,(F11+K11+L11+Q11)/2*'Invoer gegevens (N)'!$F$35*'Reeksen (N)'!J11,0)*2</f>
        <v>0</v>
      </c>
      <c r="AR11" s="71">
        <f ca="1">IF(BD11&lt;1,-IF(C11=1,(G11*'Invoer gegevens (N)'!$F$36)*'Reeksen (N)'!J11,0),0)</f>
        <v>0</v>
      </c>
      <c r="AS11" s="71">
        <f ca="1">-IF(C11=1,(F11+K11+L11+Q11)/2*'Invoer gegevens (N)'!$F$37*'Reeksen (N)'!L11,0)</f>
        <v>0</v>
      </c>
      <c r="AT11" s="71">
        <f ca="1">-IF(C11=1,IF(E11='Invoer gegevens (N)'!$C$17,'Invoer gegevens (N)'!$C$11,AD11)*'Reeksen (N)'!S11*'Invoer gegevens (N)'!$C$18*'Reeksen (N)'!P11,0)</f>
        <v>0</v>
      </c>
      <c r="AU11" s="71">
        <f ca="1">-IF(C11=1,(F11+K11+L11+Q11)/2*'Invoer gegevens (N)'!$F$38*'Reeksen (N)'!H11,0)</f>
        <v>0</v>
      </c>
      <c r="AV11" s="71">
        <v>0</v>
      </c>
      <c r="AW11" s="71">
        <f t="shared" ca="1" si="13"/>
        <v>0</v>
      </c>
      <c r="AX11" s="71">
        <f ca="1">IF(E11&lt;'Invoer gegevens (N)'!$C$17+15,0,IF(E11&gt;'Invoer gegevens (N)'!$C$17+215,0,AW11))</f>
        <v>0</v>
      </c>
      <c r="AY11" s="71">
        <f ca="1">AX11/(1+'Invoer gegevens (N)'!$F$18)^($AZ11-('Invoer gegevens (N)'!$C$17-'Invoer gegevens (N)'!$C$16))/(1+'Invoer gegevens (N)'!$C$39)^('Invoer gegevens (N)'!$C$17-'Invoer gegevens (N)'!$C$16)</f>
        <v>0</v>
      </c>
      <c r="AZ11" s="68">
        <f ca="1">IF(E11-'Invoer gegevens (N)'!$C$17-14.5&lt;0,0,E11-'Invoer gegevens (N)'!$C$17-14.5)</f>
        <v>0</v>
      </c>
      <c r="BA11" s="109">
        <f ca="1">IFERROR(VLOOKUP(E11-15,'Reeksen (N)'!$A$5:$D$234,2,FALSE),0)</f>
        <v>0</v>
      </c>
      <c r="BB11" s="109">
        <f ca="1">IFERROR(VLOOKUP(E11-15,'Reeksen (N)'!$A$5:$D$234,3,FALSE),0)</f>
        <v>0</v>
      </c>
      <c r="BC11" s="109">
        <f ca="1">IFERROR(VLOOKUP(E11-15,'Reeksen (N)'!$A$5:$D$234,4,FALSE),0)</f>
        <v>0</v>
      </c>
      <c r="BD11" s="67">
        <f ca="1">IF(E11-'Invoer gegevens (N)'!$C$17&lt;15,0,1)</f>
        <v>0</v>
      </c>
    </row>
    <row r="12" spans="1:56" x14ac:dyDescent="0.25">
      <c r="A12" s="59"/>
      <c r="B12" s="70">
        <f t="shared" si="14"/>
        <v>8</v>
      </c>
      <c r="C12" s="67">
        <f ca="1">IF(E12-'Invoer gegevens (N)'!$C$17&lt;0,0,1)</f>
        <v>1</v>
      </c>
      <c r="D12" s="68">
        <f t="shared" si="15"/>
        <v>7.5</v>
      </c>
      <c r="E12" s="108">
        <f ca="1">IF('Invoer gegevens (N)'!$C$16="","",E11+1)</f>
        <v>2026</v>
      </c>
      <c r="F12" s="84">
        <f ca="1">IF('Invoer gegevens (N)'!$C$17=E12,'Invoer gegevens (N)'!$C$10,IF(C12=1,K11,0))</f>
        <v>0</v>
      </c>
      <c r="G12" s="96">
        <f ca="1">IF(BD12&lt;1,F12*'Reeksen (N)'!C12,IF(C12&gt;=1,F12*BA12,0))</f>
        <v>0</v>
      </c>
      <c r="H12" s="84">
        <f ca="1">(1-('Invoer gegevens (N)'!$F$20/12))*F12*MIN(BA12,BC12)</f>
        <v>0</v>
      </c>
      <c r="I12" s="84">
        <f t="shared" ca="1" si="0"/>
        <v>0</v>
      </c>
      <c r="J12" s="84">
        <f ca="1">('Invoer gegevens (N)'!$F$20/12)*F11*MIN(BA12,BC12)</f>
        <v>0</v>
      </c>
      <c r="K12" s="97">
        <f t="shared" ca="1" si="5"/>
        <v>0</v>
      </c>
      <c r="L12" s="84">
        <f ca="1">IF('Invoer gegevens (N)'!$C$17=E12,0,IF(C12=1,Q11,0))</f>
        <v>0</v>
      </c>
      <c r="M12" s="96">
        <f t="shared" ca="1" si="1"/>
        <v>0</v>
      </c>
      <c r="N12" s="84">
        <f ca="1">(1-('Invoer gegevens (N)'!$F$20/12))*L12*MIN(BA12,BC12)</f>
        <v>0</v>
      </c>
      <c r="O12" s="84">
        <f t="shared" ca="1" si="2"/>
        <v>0</v>
      </c>
      <c r="P12" s="84">
        <f ca="1">('Invoer gegevens (N)'!$F$20/12)*L11*MIN(BA12,BC12)</f>
        <v>0</v>
      </c>
      <c r="Q12" s="84">
        <f t="shared" ca="1" si="6"/>
        <v>0</v>
      </c>
      <c r="R12" s="85">
        <f ca="1">IF('Invoer gegevens (N)'!$C$17=E12,'Invoer gegevens (N)'!$C$11,IF(C12=1,W11,0))</f>
        <v>0</v>
      </c>
      <c r="S12" s="86">
        <f t="shared" ca="1" si="3"/>
        <v>0</v>
      </c>
      <c r="T12" s="86">
        <f ca="1">(1-('Invoer gegevens (N)'!$F$20/12))*R12*MIN(BC12,BA12)</f>
        <v>0</v>
      </c>
      <c r="U12" s="86">
        <f ca="1">IF(BD12&lt;1,IF('Reeksen (N)'!AD12&lt;='Reeksen (N)'!AE12,R12*'Reeksen (N)'!C12,0),IF(BC12&gt;=BA12,0,IF('Reeksen (N)'!AD12&lt;='Reeksen (N)'!AE12,(BA12-BC12)*R12,0)))</f>
        <v>0</v>
      </c>
      <c r="V12" s="86">
        <f ca="1">IF(BD12&lt;1,IF('Reeksen (N)'!AD12&gt;'Reeksen (N)'!AE12,R12*'Reeksen (N)'!C12,0),IF(BC12&gt;=BA12,0,IF('Reeksen (N)'!AD12&gt;'Reeksen (N)'!AE12,(BA12-BC12)*R12,0)))</f>
        <v>0</v>
      </c>
      <c r="W12" s="218">
        <f t="shared" ca="1" si="7"/>
        <v>0</v>
      </c>
      <c r="X12" s="98">
        <f ca="1">IF('Invoer gegevens (N)'!$C$17=E12,'Invoer gegevens (N)'!$C$10-'Invoer gegevens (N)'!$C$11,IF(C12=1,AC11,0))</f>
        <v>0</v>
      </c>
      <c r="Y12" s="98">
        <f t="shared" ca="1" si="4"/>
        <v>0</v>
      </c>
      <c r="Z12" s="98">
        <f ca="1">(1-('Invoer gegevens (N)'!$F$20/12))*X12*MIN(BA12,BC12)</f>
        <v>0</v>
      </c>
      <c r="AA12" s="98">
        <f ca="1">IF(BD12&lt;1,IF('Reeksen (N)'!AD12&lt;='Reeksen (N)'!AE12,X12*'Reeksen (N)'!C12,0),IF(BC12&gt;=BA12,0,IF('Reeksen (N)'!AD12&lt;='Reeksen (N)'!AE12,(BA12-BC12)*X12,0)))</f>
        <v>0</v>
      </c>
      <c r="AB12" s="98">
        <f ca="1">IF(BD12&lt;1,IF('Reeksen (N)'!AD12&gt;'Reeksen (N)'!AE12,X12*'Reeksen (N)'!C12,0),IF(BC12&gt;=BA12,0,IF('Reeksen (N)'!AD12&gt;'Reeksen (N)'!AE12,(BA12-BC12)*X12,0)))</f>
        <v>0</v>
      </c>
      <c r="AC12" s="99">
        <f t="shared" ca="1" si="8"/>
        <v>0</v>
      </c>
      <c r="AD12" s="98">
        <f ca="1">IF('Invoer gegevens (N)'!$C$17=E12,R12,IF(C12=0,0,AE11))</f>
        <v>0</v>
      </c>
      <c r="AE12" s="98">
        <f t="shared" ca="1" si="9"/>
        <v>0</v>
      </c>
      <c r="AF12" s="98">
        <f ca="1">IF('Invoer gegevens (N)'!$C$17=E12,X12,IF(C12=0,0,AG11))</f>
        <v>0</v>
      </c>
      <c r="AG12" s="98">
        <f t="shared" ca="1" si="10"/>
        <v>0</v>
      </c>
      <c r="AH12" s="66"/>
      <c r="AI12" s="71">
        <f ca="1">IF(C12=1,'Reeksen (N)'!AI12*((F12+K12)/2)*12+'Reeksen (N)'!AD12*((L12+Q12)/2)*12,0)</f>
        <v>0</v>
      </c>
      <c r="AJ12" s="71">
        <f ca="1">-AI12*'Invoer gegevens (N)'!$F$28</f>
        <v>0</v>
      </c>
      <c r="AK12" s="71">
        <f t="shared" ca="1" si="11"/>
        <v>0</v>
      </c>
      <c r="AL12" s="71">
        <f ca="1">IF(C12=1,'Reeksen (N)'!AL12*((F12-G12+F12)/2)*12+'Reeksen (N)'!AM12*((L12-M12+L12)/2)*12,0)</f>
        <v>0</v>
      </c>
      <c r="AM12" s="71">
        <f ca="1">-AL12*'Invoer gegevens (N)'!$F$31</f>
        <v>0</v>
      </c>
      <c r="AN12" s="71">
        <f t="shared" ca="1" si="12"/>
        <v>0</v>
      </c>
      <c r="AO12" s="71">
        <f ca="1">IF(C12=1,(H12+J12+N12+P12)*'Reeksen (N)'!AN12,0)</f>
        <v>0</v>
      </c>
      <c r="AP12" s="71">
        <f ca="1">-IF(C12=1,(H12+J12+N12+P12)*'Hulp - basis'!$O$550*'Reeksen (N)'!H12,0)</f>
        <v>0</v>
      </c>
      <c r="AQ12" s="71">
        <f ca="1">-IF(C12=1,(F12+K12+L12+Q12)/2*'Invoer gegevens (N)'!$F$35*'Reeksen (N)'!J12,0)*2</f>
        <v>0</v>
      </c>
      <c r="AR12" s="71">
        <f ca="1">IF(BD12&lt;1,-IF(C12=1,(G12*'Invoer gegevens (N)'!$F$36)*'Reeksen (N)'!J12,0),0)</f>
        <v>0</v>
      </c>
      <c r="AS12" s="71">
        <f ca="1">-IF(C12=1,(F12+K12+L12+Q12)/2*'Invoer gegevens (N)'!$F$37*'Reeksen (N)'!L12,0)</f>
        <v>0</v>
      </c>
      <c r="AT12" s="71">
        <f ca="1">-IF(C12=1,IF(E12='Invoer gegevens (N)'!$C$17,'Invoer gegevens (N)'!$C$11,AD12)*'Reeksen (N)'!S12*'Invoer gegevens (N)'!$C$18*'Reeksen (N)'!P12,0)</f>
        <v>0</v>
      </c>
      <c r="AU12" s="71">
        <f ca="1">-IF(C12=1,(F12+K12+L12+Q12)/2*'Invoer gegevens (N)'!$F$38*'Reeksen (N)'!H12,0)</f>
        <v>0</v>
      </c>
      <c r="AV12" s="71">
        <v>0</v>
      </c>
      <c r="AW12" s="71">
        <f t="shared" ca="1" si="13"/>
        <v>0</v>
      </c>
      <c r="AX12" s="71">
        <f ca="1">IF(E12&lt;'Invoer gegevens (N)'!$C$17+15,0,IF(E12&gt;'Invoer gegevens (N)'!$C$17+215,0,AW12))</f>
        <v>0</v>
      </c>
      <c r="AY12" s="71">
        <f ca="1">AX12/(1+'Invoer gegevens (N)'!$F$18)^($AZ12-('Invoer gegevens (N)'!$C$17-'Invoer gegevens (N)'!$C$16))/(1+'Invoer gegevens (N)'!$C$39)^('Invoer gegevens (N)'!$C$17-'Invoer gegevens (N)'!$C$16)</f>
        <v>0</v>
      </c>
      <c r="AZ12" s="68">
        <f ca="1">IF(E12-'Invoer gegevens (N)'!$C$17-14.5&lt;0,0,E12-'Invoer gegevens (N)'!$C$17-14.5)</f>
        <v>0</v>
      </c>
      <c r="BA12" s="109">
        <f ca="1">IFERROR(VLOOKUP(E12-15,'Reeksen (N)'!$A$5:$D$234,2,FALSE),0)</f>
        <v>0</v>
      </c>
      <c r="BB12" s="109">
        <f ca="1">IFERROR(VLOOKUP(E12-15,'Reeksen (N)'!$A$5:$D$234,3,FALSE),0)</f>
        <v>0</v>
      </c>
      <c r="BC12" s="109">
        <f ca="1">IFERROR(VLOOKUP(E12-15,'Reeksen (N)'!$A$5:$D$234,4,FALSE),0)</f>
        <v>0</v>
      </c>
      <c r="BD12" s="67">
        <f ca="1">IF(E12-'Invoer gegevens (N)'!$C$17&lt;15,0,1)</f>
        <v>0</v>
      </c>
    </row>
    <row r="13" spans="1:56" x14ac:dyDescent="0.25">
      <c r="A13" s="59"/>
      <c r="B13" s="70">
        <f t="shared" si="14"/>
        <v>9</v>
      </c>
      <c r="C13" s="67">
        <f ca="1">IF(E13-'Invoer gegevens (N)'!$C$17&lt;0,0,1)</f>
        <v>1</v>
      </c>
      <c r="D13" s="68">
        <f t="shared" si="15"/>
        <v>8.5</v>
      </c>
      <c r="E13" s="108">
        <f ca="1">IF('Invoer gegevens (N)'!$C$16="","",E12+1)</f>
        <v>2027</v>
      </c>
      <c r="F13" s="84">
        <f ca="1">IF('Invoer gegevens (N)'!$C$17=E13,'Invoer gegevens (N)'!$C$10,IF(C13=1,K12,0))</f>
        <v>0</v>
      </c>
      <c r="G13" s="96">
        <f ca="1">IF(BD13&lt;1,F13*'Reeksen (N)'!C13,IF(C13&gt;=1,F13*BA13,0))</f>
        <v>0</v>
      </c>
      <c r="H13" s="84">
        <f ca="1">(1-('Invoer gegevens (N)'!$F$20/12))*F13*MIN(BA13,BC13)</f>
        <v>0</v>
      </c>
      <c r="I13" s="84">
        <f t="shared" ca="1" si="0"/>
        <v>0</v>
      </c>
      <c r="J13" s="84">
        <f ca="1">('Invoer gegevens (N)'!$F$20/12)*F12*MIN(BA13,BC13)</f>
        <v>0</v>
      </c>
      <c r="K13" s="97">
        <f t="shared" ca="1" si="5"/>
        <v>0</v>
      </c>
      <c r="L13" s="84">
        <f ca="1">IF('Invoer gegevens (N)'!$C$17=E13,0,IF(C13=1,Q12,0))</f>
        <v>0</v>
      </c>
      <c r="M13" s="96">
        <f t="shared" ca="1" si="1"/>
        <v>0</v>
      </c>
      <c r="N13" s="84">
        <f ca="1">(1-('Invoer gegevens (N)'!$F$20/12))*L13*MIN(BA13,BC13)</f>
        <v>0</v>
      </c>
      <c r="O13" s="84">
        <f t="shared" ca="1" si="2"/>
        <v>0</v>
      </c>
      <c r="P13" s="84">
        <f ca="1">('Invoer gegevens (N)'!$F$20/12)*L12*MIN(BA13,BC13)</f>
        <v>0</v>
      </c>
      <c r="Q13" s="84">
        <f t="shared" ca="1" si="6"/>
        <v>0</v>
      </c>
      <c r="R13" s="85">
        <f ca="1">IF('Invoer gegevens (N)'!$C$17=E13,'Invoer gegevens (N)'!$C$11,IF(C13=1,W12,0))</f>
        <v>0</v>
      </c>
      <c r="S13" s="86">
        <f t="shared" ca="1" si="3"/>
        <v>0</v>
      </c>
      <c r="T13" s="86">
        <f ca="1">(1-('Invoer gegevens (N)'!$F$20/12))*R13*MIN(BC13,BA13)</f>
        <v>0</v>
      </c>
      <c r="U13" s="86">
        <f ca="1">IF(BD13&lt;1,IF('Reeksen (N)'!AD13&lt;='Reeksen (N)'!AE13,R13*'Reeksen (N)'!C13,0),IF(BC13&gt;=BA13,0,IF('Reeksen (N)'!AD13&lt;='Reeksen (N)'!AE13,(BA13-BC13)*R13,0)))</f>
        <v>0</v>
      </c>
      <c r="V13" s="86">
        <f ca="1">IF(BD13&lt;1,IF('Reeksen (N)'!AD13&gt;'Reeksen (N)'!AE13,R13*'Reeksen (N)'!C13,0),IF(BC13&gt;=BA13,0,IF('Reeksen (N)'!AD13&gt;'Reeksen (N)'!AE13,(BA13-BC13)*R13,0)))</f>
        <v>0</v>
      </c>
      <c r="W13" s="218">
        <f t="shared" ca="1" si="7"/>
        <v>0</v>
      </c>
      <c r="X13" s="98">
        <f ca="1">IF('Invoer gegevens (N)'!$C$17=E13,'Invoer gegevens (N)'!$C$10-'Invoer gegevens (N)'!$C$11,IF(C13=1,AC12,0))</f>
        <v>0</v>
      </c>
      <c r="Y13" s="98">
        <f t="shared" ca="1" si="4"/>
        <v>0</v>
      </c>
      <c r="Z13" s="98">
        <f ca="1">(1-('Invoer gegevens (N)'!$F$20/12))*X13*MIN(BA13,BC13)</f>
        <v>0</v>
      </c>
      <c r="AA13" s="98">
        <f ca="1">IF(BD13&lt;1,IF('Reeksen (N)'!AD13&lt;='Reeksen (N)'!AE13,X13*'Reeksen (N)'!C13,0),IF(BC13&gt;=BA13,0,IF('Reeksen (N)'!AD13&lt;='Reeksen (N)'!AE13,(BA13-BC13)*X13,0)))</f>
        <v>0</v>
      </c>
      <c r="AB13" s="98">
        <f ca="1">IF(BD13&lt;1,IF('Reeksen (N)'!AD13&gt;'Reeksen (N)'!AE13,X13*'Reeksen (N)'!C13,0),IF(BC13&gt;=BA13,0,IF('Reeksen (N)'!AD13&gt;'Reeksen (N)'!AE13,(BA13-BC13)*X13,0)))</f>
        <v>0</v>
      </c>
      <c r="AC13" s="99">
        <f t="shared" ca="1" si="8"/>
        <v>0</v>
      </c>
      <c r="AD13" s="98">
        <f ca="1">IF('Invoer gegevens (N)'!$C$17=E13,R13,IF(C13=0,0,AE12))</f>
        <v>0</v>
      </c>
      <c r="AE13" s="98">
        <f t="shared" ca="1" si="9"/>
        <v>0</v>
      </c>
      <c r="AF13" s="98">
        <f ca="1">IF('Invoer gegevens (N)'!$C$17=E13,X13,IF(C13=0,0,AG12))</f>
        <v>0</v>
      </c>
      <c r="AG13" s="98">
        <f t="shared" ca="1" si="10"/>
        <v>0</v>
      </c>
      <c r="AH13" s="66"/>
      <c r="AI13" s="71">
        <f ca="1">IF(C13=1,'Reeksen (N)'!AI13*((F13+K13)/2)*12+'Reeksen (N)'!AD13*((L13+Q13)/2)*12,0)</f>
        <v>0</v>
      </c>
      <c r="AJ13" s="71">
        <f ca="1">-AI13*'Invoer gegevens (N)'!$F$28</f>
        <v>0</v>
      </c>
      <c r="AK13" s="71">
        <f t="shared" ca="1" si="11"/>
        <v>0</v>
      </c>
      <c r="AL13" s="71">
        <f ca="1">IF(C13=1,'Reeksen (N)'!AL13*((F13-G13+F13)/2)*12+'Reeksen (N)'!AM13*((L13-M13+L13)/2)*12,0)</f>
        <v>0</v>
      </c>
      <c r="AM13" s="71">
        <f ca="1">-AL13*'Invoer gegevens (N)'!$F$31</f>
        <v>0</v>
      </c>
      <c r="AN13" s="71">
        <f t="shared" ca="1" si="12"/>
        <v>0</v>
      </c>
      <c r="AO13" s="71">
        <f ca="1">IF(C13=1,(H13+J13+N13+P13)*'Reeksen (N)'!AN13,0)</f>
        <v>0</v>
      </c>
      <c r="AP13" s="71">
        <f ca="1">-IF(C13=1,(H13+J13+N13+P13)*'Hulp - basis'!$O$550*'Reeksen (N)'!H13,0)</f>
        <v>0</v>
      </c>
      <c r="AQ13" s="71">
        <f ca="1">-IF(C13=1,(F13+K13+L13+Q13)/2*'Invoer gegevens (N)'!$F$35*'Reeksen (N)'!J13,0)*2</f>
        <v>0</v>
      </c>
      <c r="AR13" s="71">
        <f ca="1">IF(BD13&lt;1,-IF(C13=1,(G13*'Invoer gegevens (N)'!$F$36)*'Reeksen (N)'!J13,0),0)</f>
        <v>0</v>
      </c>
      <c r="AS13" s="71">
        <f ca="1">-IF(C13=1,(F13+K13+L13+Q13)/2*'Invoer gegevens (N)'!$F$37*'Reeksen (N)'!L13,0)</f>
        <v>0</v>
      </c>
      <c r="AT13" s="71">
        <f ca="1">-IF(C13=1,IF(E13='Invoer gegevens (N)'!$C$17,'Invoer gegevens (N)'!$C$11,AD13)*'Reeksen (N)'!S13*'Invoer gegevens (N)'!$C$18*'Reeksen (N)'!P13,0)</f>
        <v>0</v>
      </c>
      <c r="AU13" s="71">
        <f ca="1">-IF(C13=1,(F13+K13+L13+Q13)/2*'Invoer gegevens (N)'!$F$38*'Reeksen (N)'!H13,0)</f>
        <v>0</v>
      </c>
      <c r="AV13" s="71">
        <v>0</v>
      </c>
      <c r="AW13" s="71">
        <f t="shared" ca="1" si="13"/>
        <v>0</v>
      </c>
      <c r="AX13" s="71">
        <f ca="1">IF(E13&lt;'Invoer gegevens (N)'!$C$17+15,0,IF(E13&gt;'Invoer gegevens (N)'!$C$17+215,0,AW13))</f>
        <v>0</v>
      </c>
      <c r="AY13" s="71">
        <f ca="1">AX13/(1+'Invoer gegevens (N)'!$F$18)^($AZ13-('Invoer gegevens (N)'!$C$17-'Invoer gegevens (N)'!$C$16))/(1+'Invoer gegevens (N)'!$C$39)^('Invoer gegevens (N)'!$C$17-'Invoer gegevens (N)'!$C$16)</f>
        <v>0</v>
      </c>
      <c r="AZ13" s="68">
        <f ca="1">IF(E13-'Invoer gegevens (N)'!$C$17-14.5&lt;0,0,E13-'Invoer gegevens (N)'!$C$17-14.5)</f>
        <v>0</v>
      </c>
      <c r="BA13" s="109">
        <f ca="1">IFERROR(VLOOKUP(E13-15,'Reeksen (N)'!$A$5:$D$234,2,FALSE),0)</f>
        <v>0</v>
      </c>
      <c r="BB13" s="109">
        <f ca="1">IFERROR(VLOOKUP(E13-15,'Reeksen (N)'!$A$5:$D$234,3,FALSE),0)</f>
        <v>0</v>
      </c>
      <c r="BC13" s="109">
        <f ca="1">IFERROR(VLOOKUP(E13-15,'Reeksen (N)'!$A$5:$D$234,4,FALSE),0)</f>
        <v>0</v>
      </c>
      <c r="BD13" s="67">
        <f ca="1">IF(E13-'Invoer gegevens (N)'!$C$17&lt;15,0,1)</f>
        <v>0</v>
      </c>
    </row>
    <row r="14" spans="1:56" x14ac:dyDescent="0.25">
      <c r="A14" s="59"/>
      <c r="B14" s="70">
        <f t="shared" si="14"/>
        <v>10</v>
      </c>
      <c r="C14" s="67">
        <f ca="1">IF(E14-'Invoer gegevens (N)'!$C$17&lt;0,0,1)</f>
        <v>1</v>
      </c>
      <c r="D14" s="68">
        <f t="shared" si="15"/>
        <v>9.5</v>
      </c>
      <c r="E14" s="108">
        <f ca="1">IF('Invoer gegevens (N)'!$C$16="","",E13+1)</f>
        <v>2028</v>
      </c>
      <c r="F14" s="84">
        <f ca="1">IF('Invoer gegevens (N)'!$C$17=E14,'Invoer gegevens (N)'!$C$10,IF(C14=1,K13,0))</f>
        <v>0</v>
      </c>
      <c r="G14" s="96">
        <f ca="1">IF(BD14&lt;1,F14*'Reeksen (N)'!C14,IF(C14&gt;=1,F14*BA14,0))</f>
        <v>0</v>
      </c>
      <c r="H14" s="84">
        <f ca="1">(1-('Invoer gegevens (N)'!$F$20/12))*F14*MIN(BA14,BC14)</f>
        <v>0</v>
      </c>
      <c r="I14" s="84">
        <f t="shared" ca="1" si="0"/>
        <v>0</v>
      </c>
      <c r="J14" s="84">
        <f ca="1">('Invoer gegevens (N)'!$F$20/12)*F13*MIN(BA14,BC14)</f>
        <v>0</v>
      </c>
      <c r="K14" s="97">
        <f t="shared" ca="1" si="5"/>
        <v>0</v>
      </c>
      <c r="L14" s="84">
        <f ca="1">IF('Invoer gegevens (N)'!$C$17=E14,0,IF(C14=1,Q13,0))</f>
        <v>0</v>
      </c>
      <c r="M14" s="96">
        <f t="shared" ca="1" si="1"/>
        <v>0</v>
      </c>
      <c r="N14" s="84">
        <f ca="1">(1-('Invoer gegevens (N)'!$F$20/12))*L14*MIN(BA14,BC14)</f>
        <v>0</v>
      </c>
      <c r="O14" s="84">
        <f t="shared" ca="1" si="2"/>
        <v>0</v>
      </c>
      <c r="P14" s="84">
        <f ca="1">('Invoer gegevens (N)'!$F$20/12)*L13*MIN(BA14,BC14)</f>
        <v>0</v>
      </c>
      <c r="Q14" s="84">
        <f t="shared" ca="1" si="6"/>
        <v>0</v>
      </c>
      <c r="R14" s="85">
        <f ca="1">IF('Invoer gegevens (N)'!$C$17=E14,'Invoer gegevens (N)'!$C$11,IF(C14=1,W13,0))</f>
        <v>0</v>
      </c>
      <c r="S14" s="86">
        <f t="shared" ca="1" si="3"/>
        <v>0</v>
      </c>
      <c r="T14" s="86">
        <f ca="1">(1-('Invoer gegevens (N)'!$F$20/12))*R14*MIN(BC14,BA14)</f>
        <v>0</v>
      </c>
      <c r="U14" s="86">
        <f ca="1">IF(BD14&lt;1,IF('Reeksen (N)'!AD14&lt;='Reeksen (N)'!AE14,R14*'Reeksen (N)'!C14,0),IF(BC14&gt;=BA14,0,IF('Reeksen (N)'!AD14&lt;='Reeksen (N)'!AE14,(BA14-BC14)*R14,0)))</f>
        <v>0</v>
      </c>
      <c r="V14" s="86">
        <f ca="1">IF(BD14&lt;1,IF('Reeksen (N)'!AD14&gt;'Reeksen (N)'!AE14,R14*'Reeksen (N)'!C14,0),IF(BC14&gt;=BA14,0,IF('Reeksen (N)'!AD14&gt;'Reeksen (N)'!AE14,(BA14-BC14)*R14,0)))</f>
        <v>0</v>
      </c>
      <c r="W14" s="218">
        <f t="shared" ca="1" si="7"/>
        <v>0</v>
      </c>
      <c r="X14" s="98">
        <f ca="1">IF('Invoer gegevens (N)'!$C$17=E14,'Invoer gegevens (N)'!$C$10-'Invoer gegevens (N)'!$C$11,IF(C14=1,AC13,0))</f>
        <v>0</v>
      </c>
      <c r="Y14" s="98">
        <f t="shared" ca="1" si="4"/>
        <v>0</v>
      </c>
      <c r="Z14" s="98">
        <f ca="1">(1-('Invoer gegevens (N)'!$F$20/12))*X14*MIN(BA14,BC14)</f>
        <v>0</v>
      </c>
      <c r="AA14" s="98">
        <f ca="1">IF(BD14&lt;1,IF('Reeksen (N)'!AD14&lt;='Reeksen (N)'!AE14,X14*'Reeksen (N)'!C14,0),IF(BC14&gt;=BA14,0,IF('Reeksen (N)'!AD14&lt;='Reeksen (N)'!AE14,(BA14-BC14)*X14,0)))</f>
        <v>0</v>
      </c>
      <c r="AB14" s="98">
        <f ca="1">IF(BD14&lt;1,IF('Reeksen (N)'!AD14&gt;'Reeksen (N)'!AE14,X14*'Reeksen (N)'!C14,0),IF(BC14&gt;=BA14,0,IF('Reeksen (N)'!AD14&gt;'Reeksen (N)'!AE14,(BA14-BC14)*X14,0)))</f>
        <v>0</v>
      </c>
      <c r="AC14" s="99">
        <f t="shared" ca="1" si="8"/>
        <v>0</v>
      </c>
      <c r="AD14" s="98">
        <f ca="1">IF('Invoer gegevens (N)'!$C$17=E14,R14,IF(C14=0,0,AE13))</f>
        <v>0</v>
      </c>
      <c r="AE14" s="98">
        <f t="shared" ca="1" si="9"/>
        <v>0</v>
      </c>
      <c r="AF14" s="98">
        <f ca="1">IF('Invoer gegevens (N)'!$C$17=E14,X14,IF(C14=0,0,AG13))</f>
        <v>0</v>
      </c>
      <c r="AG14" s="98">
        <f t="shared" ca="1" si="10"/>
        <v>0</v>
      </c>
      <c r="AH14" s="66"/>
      <c r="AI14" s="71">
        <f ca="1">IF(C14=1,'Reeksen (N)'!AI14*((F14+K14)/2)*12+'Reeksen (N)'!AD14*((L14+Q14)/2)*12,0)</f>
        <v>0</v>
      </c>
      <c r="AJ14" s="71">
        <f ca="1">-AI14*'Invoer gegevens (N)'!$F$28</f>
        <v>0</v>
      </c>
      <c r="AK14" s="71">
        <f t="shared" ca="1" si="11"/>
        <v>0</v>
      </c>
      <c r="AL14" s="71">
        <f ca="1">IF(C14=1,'Reeksen (N)'!AL14*((F14-G14+F14)/2)*12+'Reeksen (N)'!AM14*((L14-M14+L14)/2)*12,0)</f>
        <v>0</v>
      </c>
      <c r="AM14" s="71">
        <f ca="1">-AL14*'Invoer gegevens (N)'!$F$31</f>
        <v>0</v>
      </c>
      <c r="AN14" s="71">
        <f t="shared" ca="1" si="12"/>
        <v>0</v>
      </c>
      <c r="AO14" s="71">
        <f ca="1">IF(C14=1,(H14+J14+N14+P14)*'Reeksen (N)'!AN14,0)</f>
        <v>0</v>
      </c>
      <c r="AP14" s="71">
        <f ca="1">-IF(C14=1,(H14+J14+N14+P14)*'Hulp - basis'!$O$550*'Reeksen (N)'!H14,0)</f>
        <v>0</v>
      </c>
      <c r="AQ14" s="71">
        <f ca="1">-IF(C14=1,(F14+K14+L14+Q14)/2*'Invoer gegevens (N)'!$F$35*'Reeksen (N)'!J14,0)*2</f>
        <v>0</v>
      </c>
      <c r="AR14" s="71">
        <f ca="1">IF(BD14&lt;1,-IF(C14=1,(G14*'Invoer gegevens (N)'!$F$36)*'Reeksen (N)'!J14,0),0)</f>
        <v>0</v>
      </c>
      <c r="AS14" s="71">
        <f ca="1">-IF(C14=1,(F14+K14+L14+Q14)/2*'Invoer gegevens (N)'!$F$37*'Reeksen (N)'!L14,0)</f>
        <v>0</v>
      </c>
      <c r="AT14" s="71">
        <f ca="1">-IF(C14=1,IF(E14='Invoer gegevens (N)'!$C$17,'Invoer gegevens (N)'!$C$11,AD14)*'Reeksen (N)'!S14*'Invoer gegevens (N)'!$C$18*'Reeksen (N)'!P14,0)</f>
        <v>0</v>
      </c>
      <c r="AU14" s="71">
        <f ca="1">-IF(C14=1,(F14+K14+L14+Q14)/2*'Invoer gegevens (N)'!$F$38*'Reeksen (N)'!H14,0)</f>
        <v>0</v>
      </c>
      <c r="AV14" s="71">
        <v>0</v>
      </c>
      <c r="AW14" s="71">
        <f t="shared" ca="1" si="13"/>
        <v>0</v>
      </c>
      <c r="AX14" s="71">
        <f ca="1">IF(E14&lt;'Invoer gegevens (N)'!$C$17+15,0,IF(E14&gt;'Invoer gegevens (N)'!$C$17+215,0,AW14))</f>
        <v>0</v>
      </c>
      <c r="AY14" s="71">
        <f ca="1">AX14/(1+'Invoer gegevens (N)'!$F$18)^($AZ14-('Invoer gegevens (N)'!$C$17-'Invoer gegevens (N)'!$C$16))/(1+'Invoer gegevens (N)'!$C$39)^('Invoer gegevens (N)'!$C$17-'Invoer gegevens (N)'!$C$16)</f>
        <v>0</v>
      </c>
      <c r="AZ14" s="68">
        <f ca="1">IF(E14-'Invoer gegevens (N)'!$C$17-14.5&lt;0,0,E14-'Invoer gegevens (N)'!$C$17-14.5)</f>
        <v>0</v>
      </c>
      <c r="BA14" s="109">
        <f ca="1">IFERROR(VLOOKUP(E14-15,'Reeksen (N)'!$A$5:$D$234,2,FALSE),0)</f>
        <v>0</v>
      </c>
      <c r="BB14" s="109">
        <f ca="1">IFERROR(VLOOKUP(E14-15,'Reeksen (N)'!$A$5:$D$234,3,FALSE),0)</f>
        <v>0</v>
      </c>
      <c r="BC14" s="109">
        <f ca="1">IFERROR(VLOOKUP(E14-15,'Reeksen (N)'!$A$5:$D$234,4,FALSE),0)</f>
        <v>0</v>
      </c>
      <c r="BD14" s="67">
        <f ca="1">IF(E14-'Invoer gegevens (N)'!$C$17&lt;15,0,1)</f>
        <v>0</v>
      </c>
    </row>
    <row r="15" spans="1:56" x14ac:dyDescent="0.25">
      <c r="A15" s="59"/>
      <c r="B15" s="70">
        <f t="shared" si="14"/>
        <v>11</v>
      </c>
      <c r="C15" s="67">
        <f ca="1">IF(E15-'Invoer gegevens (N)'!$C$17&lt;0,0,1)</f>
        <v>1</v>
      </c>
      <c r="D15" s="68">
        <f t="shared" si="15"/>
        <v>10.5</v>
      </c>
      <c r="E15" s="108">
        <f ca="1">IF('Invoer gegevens (N)'!$C$16="","",E14+1)</f>
        <v>2029</v>
      </c>
      <c r="F15" s="84">
        <f ca="1">IF('Invoer gegevens (N)'!$C$17=E15,'Invoer gegevens (N)'!$C$10,IF(C15=1,K14,0))</f>
        <v>0</v>
      </c>
      <c r="G15" s="96">
        <f ca="1">IF(BD15&lt;1,F15*'Reeksen (N)'!C15,IF(C15&gt;=1,F15*BA15,0))</f>
        <v>0</v>
      </c>
      <c r="H15" s="84">
        <f ca="1">(1-('Invoer gegevens (N)'!$F$20/12))*F15*MIN(BA15,BC15)</f>
        <v>0</v>
      </c>
      <c r="I15" s="84">
        <f t="shared" ca="1" si="0"/>
        <v>0</v>
      </c>
      <c r="J15" s="84">
        <f ca="1">('Invoer gegevens (N)'!$F$20/12)*F14*MIN(BA15,BC15)</f>
        <v>0</v>
      </c>
      <c r="K15" s="97">
        <f t="shared" ca="1" si="5"/>
        <v>0</v>
      </c>
      <c r="L15" s="84">
        <f ca="1">IF('Invoer gegevens (N)'!$C$17=E15,0,IF(C15=1,Q14,0))</f>
        <v>0</v>
      </c>
      <c r="M15" s="96">
        <f t="shared" ca="1" si="1"/>
        <v>0</v>
      </c>
      <c r="N15" s="84">
        <f ca="1">(1-('Invoer gegevens (N)'!$F$20/12))*L15*MIN(BA15,BC15)</f>
        <v>0</v>
      </c>
      <c r="O15" s="84">
        <f t="shared" ca="1" si="2"/>
        <v>0</v>
      </c>
      <c r="P15" s="84">
        <f ca="1">('Invoer gegevens (N)'!$F$20/12)*L14*MIN(BA15,BC15)</f>
        <v>0</v>
      </c>
      <c r="Q15" s="84">
        <f t="shared" ca="1" si="6"/>
        <v>0</v>
      </c>
      <c r="R15" s="85">
        <f ca="1">IF('Invoer gegevens (N)'!$C$17=E15,'Invoer gegevens (N)'!$C$11,IF(C15=1,W14,0))</f>
        <v>0</v>
      </c>
      <c r="S15" s="86">
        <f t="shared" ca="1" si="3"/>
        <v>0</v>
      </c>
      <c r="T15" s="86">
        <f ca="1">(1-('Invoer gegevens (N)'!$F$20/12))*R15*MIN(BC15,BA15)</f>
        <v>0</v>
      </c>
      <c r="U15" s="86">
        <f ca="1">IF(BD15&lt;1,IF('Reeksen (N)'!AD15&lt;='Reeksen (N)'!AE15,R15*'Reeksen (N)'!C15,0),IF(BC15&gt;=BA15,0,IF('Reeksen (N)'!AD15&lt;='Reeksen (N)'!AE15,(BA15-BC15)*R15,0)))</f>
        <v>0</v>
      </c>
      <c r="V15" s="86">
        <f ca="1">IF(BD15&lt;1,IF('Reeksen (N)'!AD15&gt;'Reeksen (N)'!AE15,R15*'Reeksen (N)'!C15,0),IF(BC15&gt;=BA15,0,IF('Reeksen (N)'!AD15&gt;'Reeksen (N)'!AE15,(BA15-BC15)*R15,0)))</f>
        <v>0</v>
      </c>
      <c r="W15" s="218">
        <f t="shared" ca="1" si="7"/>
        <v>0</v>
      </c>
      <c r="X15" s="98">
        <f ca="1">IF('Invoer gegevens (N)'!$C$17=E15,'Invoer gegevens (N)'!$C$10-'Invoer gegevens (N)'!$C$11,IF(C15=1,AC14,0))</f>
        <v>0</v>
      </c>
      <c r="Y15" s="98">
        <f t="shared" ca="1" si="4"/>
        <v>0</v>
      </c>
      <c r="Z15" s="98">
        <f ca="1">(1-('Invoer gegevens (N)'!$F$20/12))*X15*MIN(BA15,BC15)</f>
        <v>0</v>
      </c>
      <c r="AA15" s="98">
        <f ca="1">IF(BD15&lt;1,IF('Reeksen (N)'!AD15&lt;='Reeksen (N)'!AE15,X15*'Reeksen (N)'!C15,0),IF(BC15&gt;=BA15,0,IF('Reeksen (N)'!AD15&lt;='Reeksen (N)'!AE15,(BA15-BC15)*X15,0)))</f>
        <v>0</v>
      </c>
      <c r="AB15" s="98">
        <f ca="1">IF(BD15&lt;1,IF('Reeksen (N)'!AD15&gt;'Reeksen (N)'!AE15,X15*'Reeksen (N)'!C15,0),IF(BC15&gt;=BA15,0,IF('Reeksen (N)'!AD15&gt;'Reeksen (N)'!AE15,(BA15-BC15)*X15,0)))</f>
        <v>0</v>
      </c>
      <c r="AC15" s="99">
        <f t="shared" ca="1" si="8"/>
        <v>0</v>
      </c>
      <c r="AD15" s="98">
        <f ca="1">IF('Invoer gegevens (N)'!$C$17=E15,R15,IF(C15=0,0,AE14))</f>
        <v>0</v>
      </c>
      <c r="AE15" s="98">
        <f t="shared" ca="1" si="9"/>
        <v>0</v>
      </c>
      <c r="AF15" s="98">
        <f ca="1">IF('Invoer gegevens (N)'!$C$17=E15,X15,IF(C15=0,0,AG14))</f>
        <v>0</v>
      </c>
      <c r="AG15" s="98">
        <f t="shared" ca="1" si="10"/>
        <v>0</v>
      </c>
      <c r="AH15" s="66"/>
      <c r="AI15" s="71">
        <f ca="1">IF(C15=1,'Reeksen (N)'!AI15*((F15+K15)/2)*12+'Reeksen (N)'!AD15*((L15+Q15)/2)*12,0)</f>
        <v>0</v>
      </c>
      <c r="AJ15" s="71">
        <f ca="1">-AI15*'Invoer gegevens (N)'!$F$28</f>
        <v>0</v>
      </c>
      <c r="AK15" s="71">
        <f t="shared" ca="1" si="11"/>
        <v>0</v>
      </c>
      <c r="AL15" s="71">
        <f ca="1">IF(C15=1,'Reeksen (N)'!AL15*((F15-G15+F15)/2)*12+'Reeksen (N)'!AM15*((L15-M15+L15)/2)*12,0)</f>
        <v>0</v>
      </c>
      <c r="AM15" s="71">
        <f ca="1">-AL15*'Invoer gegevens (N)'!$F$31</f>
        <v>0</v>
      </c>
      <c r="AN15" s="71">
        <f t="shared" ca="1" si="12"/>
        <v>0</v>
      </c>
      <c r="AO15" s="71">
        <f ca="1">IF(C15=1,(H15+J15+N15+P15)*'Reeksen (N)'!AN15,0)</f>
        <v>0</v>
      </c>
      <c r="AP15" s="71">
        <f ca="1">-IF(C15=1,(H15+J15+N15+P15)*'Hulp - basis'!$O$550*'Reeksen (N)'!H15,0)</f>
        <v>0</v>
      </c>
      <c r="AQ15" s="71">
        <f ca="1">-IF(C15=1,(F15+K15+L15+Q15)/2*'Invoer gegevens (N)'!$F$35*'Reeksen (N)'!J15,0)*2</f>
        <v>0</v>
      </c>
      <c r="AR15" s="71">
        <f ca="1">IF(BD15&lt;1,-IF(C15=1,(G15*'Invoer gegevens (N)'!$F$36)*'Reeksen (N)'!J15,0),0)</f>
        <v>0</v>
      </c>
      <c r="AS15" s="71">
        <f ca="1">-IF(C15=1,(F15+K15+L15+Q15)/2*'Invoer gegevens (N)'!$F$37*'Reeksen (N)'!L15,0)</f>
        <v>0</v>
      </c>
      <c r="AT15" s="71">
        <f ca="1">-IF(C15=1,IF(E15='Invoer gegevens (N)'!$C$17,'Invoer gegevens (N)'!$C$11,AD15)*'Reeksen (N)'!S15*'Invoer gegevens (N)'!$C$18*'Reeksen (N)'!P15,0)</f>
        <v>0</v>
      </c>
      <c r="AU15" s="71">
        <f ca="1">-IF(C15=1,(F15+K15+L15+Q15)/2*'Invoer gegevens (N)'!$F$38*'Reeksen (N)'!H15,0)</f>
        <v>0</v>
      </c>
      <c r="AV15" s="71">
        <v>0</v>
      </c>
      <c r="AW15" s="71">
        <f t="shared" ca="1" si="13"/>
        <v>0</v>
      </c>
      <c r="AX15" s="71">
        <f ca="1">IF(E15&lt;'Invoer gegevens (N)'!$C$17+15,0,IF(E15&gt;'Invoer gegevens (N)'!$C$17+215,0,AW15))</f>
        <v>0</v>
      </c>
      <c r="AY15" s="71">
        <f ca="1">AX15/(1+'Invoer gegevens (N)'!$F$18)^($AZ15-('Invoer gegevens (N)'!$C$17-'Invoer gegevens (N)'!$C$16))/(1+'Invoer gegevens (N)'!$C$39)^('Invoer gegevens (N)'!$C$17-'Invoer gegevens (N)'!$C$16)</f>
        <v>0</v>
      </c>
      <c r="AZ15" s="68">
        <f ca="1">IF(E15-'Invoer gegevens (N)'!$C$17-14.5&lt;0,0,E15-'Invoer gegevens (N)'!$C$17-14.5)</f>
        <v>0</v>
      </c>
      <c r="BA15" s="109">
        <f ca="1">IFERROR(VLOOKUP(E15-15,'Reeksen (N)'!$A$5:$D$234,2,FALSE),0)</f>
        <v>0</v>
      </c>
      <c r="BB15" s="109">
        <f ca="1">IFERROR(VLOOKUP(E15-15,'Reeksen (N)'!$A$5:$D$234,3,FALSE),0)</f>
        <v>0</v>
      </c>
      <c r="BC15" s="109">
        <f ca="1">IFERROR(VLOOKUP(E15-15,'Reeksen (N)'!$A$5:$D$234,4,FALSE),0)</f>
        <v>0</v>
      </c>
      <c r="BD15" s="67">
        <f ca="1">IF(E15-'Invoer gegevens (N)'!$C$17&lt;15,0,1)</f>
        <v>0</v>
      </c>
    </row>
    <row r="16" spans="1:56" x14ac:dyDescent="0.25">
      <c r="A16" s="59"/>
      <c r="B16" s="70">
        <f t="shared" si="14"/>
        <v>12</v>
      </c>
      <c r="C16" s="67">
        <f ca="1">IF(E16-'Invoer gegevens (N)'!$C$17&lt;0,0,1)</f>
        <v>1</v>
      </c>
      <c r="D16" s="68">
        <f t="shared" si="15"/>
        <v>11.5</v>
      </c>
      <c r="E16" s="108">
        <f ca="1">IF('Invoer gegevens (N)'!$C$16="","",E15+1)</f>
        <v>2030</v>
      </c>
      <c r="F16" s="84">
        <f ca="1">IF('Invoer gegevens (N)'!$C$17=E16,'Invoer gegevens (N)'!$C$10,IF(C16=1,K15,0))</f>
        <v>0</v>
      </c>
      <c r="G16" s="96">
        <f ca="1">IF(BD16&lt;1,F16*'Reeksen (N)'!C16,IF(C16&gt;=1,F16*BA16,0))</f>
        <v>0</v>
      </c>
      <c r="H16" s="84">
        <f ca="1">(1-('Invoer gegevens (N)'!$F$20/12))*F16*MIN(BA16,BC16)</f>
        <v>0</v>
      </c>
      <c r="I16" s="84">
        <f t="shared" ca="1" si="0"/>
        <v>0</v>
      </c>
      <c r="J16" s="84">
        <f ca="1">('Invoer gegevens (N)'!$F$20/12)*F15*MIN(BA16,BC16)</f>
        <v>0</v>
      </c>
      <c r="K16" s="97">
        <f t="shared" ca="1" si="5"/>
        <v>0</v>
      </c>
      <c r="L16" s="84">
        <f ca="1">IF('Invoer gegevens (N)'!$C$17=E16,0,IF(C16=1,Q15,0))</f>
        <v>0</v>
      </c>
      <c r="M16" s="96">
        <f t="shared" ca="1" si="1"/>
        <v>0</v>
      </c>
      <c r="N16" s="84">
        <f ca="1">(1-('Invoer gegevens (N)'!$F$20/12))*L16*MIN(BA16,BC16)</f>
        <v>0</v>
      </c>
      <c r="O16" s="84">
        <f t="shared" ca="1" si="2"/>
        <v>0</v>
      </c>
      <c r="P16" s="84">
        <f ca="1">('Invoer gegevens (N)'!$F$20/12)*L15*MIN(BA16,BC16)</f>
        <v>0</v>
      </c>
      <c r="Q16" s="84">
        <f t="shared" ca="1" si="6"/>
        <v>0</v>
      </c>
      <c r="R16" s="85">
        <f ca="1">IF('Invoer gegevens (N)'!$C$17=E16,'Invoer gegevens (N)'!$C$11,IF(C16=1,W15,0))</f>
        <v>0</v>
      </c>
      <c r="S16" s="86">
        <f t="shared" ca="1" si="3"/>
        <v>0</v>
      </c>
      <c r="T16" s="86">
        <f ca="1">(1-('Invoer gegevens (N)'!$F$20/12))*R16*MIN(BC16,BA16)</f>
        <v>0</v>
      </c>
      <c r="U16" s="86">
        <f ca="1">IF(BD16&lt;1,IF('Reeksen (N)'!AD16&lt;='Reeksen (N)'!AE16,R16*'Reeksen (N)'!C16,0),IF(BC16&gt;=BA16,0,IF('Reeksen (N)'!AD16&lt;='Reeksen (N)'!AE16,(BA16-BC16)*R16,0)))</f>
        <v>0</v>
      </c>
      <c r="V16" s="86">
        <f ca="1">IF(BD16&lt;1,IF('Reeksen (N)'!AD16&gt;'Reeksen (N)'!AE16,R16*'Reeksen (N)'!C16,0),IF(BC16&gt;=BA16,0,IF('Reeksen (N)'!AD16&gt;'Reeksen (N)'!AE16,(BA16-BC16)*R16,0)))</f>
        <v>0</v>
      </c>
      <c r="W16" s="218">
        <f t="shared" ca="1" si="7"/>
        <v>0</v>
      </c>
      <c r="X16" s="98">
        <f ca="1">IF('Invoer gegevens (N)'!$C$17=E16,'Invoer gegevens (N)'!$C$10-'Invoer gegevens (N)'!$C$11,IF(C16=1,AC15,0))</f>
        <v>0</v>
      </c>
      <c r="Y16" s="98">
        <f t="shared" ca="1" si="4"/>
        <v>0</v>
      </c>
      <c r="Z16" s="98">
        <f ca="1">(1-('Invoer gegevens (N)'!$F$20/12))*X16*MIN(BA16,BC16)</f>
        <v>0</v>
      </c>
      <c r="AA16" s="98">
        <f ca="1">IF(BD16&lt;1,IF('Reeksen (N)'!AD16&lt;='Reeksen (N)'!AE16,X16*'Reeksen (N)'!C16,0),IF(BC16&gt;=BA16,0,IF('Reeksen (N)'!AD16&lt;='Reeksen (N)'!AE16,(BA16-BC16)*X16,0)))</f>
        <v>0</v>
      </c>
      <c r="AB16" s="98">
        <f ca="1">IF(BD16&lt;1,IF('Reeksen (N)'!AD16&gt;'Reeksen (N)'!AE16,X16*'Reeksen (N)'!C16,0),IF(BC16&gt;=BA16,0,IF('Reeksen (N)'!AD16&gt;'Reeksen (N)'!AE16,(BA16-BC16)*X16,0)))</f>
        <v>0</v>
      </c>
      <c r="AC16" s="99">
        <f t="shared" ca="1" si="8"/>
        <v>0</v>
      </c>
      <c r="AD16" s="98">
        <f ca="1">IF('Invoer gegevens (N)'!$C$17=E16,R16,IF(C16=0,0,AE15))</f>
        <v>0</v>
      </c>
      <c r="AE16" s="98">
        <f t="shared" ca="1" si="9"/>
        <v>0</v>
      </c>
      <c r="AF16" s="98">
        <f ca="1">IF('Invoer gegevens (N)'!$C$17=E16,X16,IF(C16=0,0,AG15))</f>
        <v>0</v>
      </c>
      <c r="AG16" s="98">
        <f t="shared" ca="1" si="10"/>
        <v>0</v>
      </c>
      <c r="AH16" s="66"/>
      <c r="AI16" s="71">
        <f ca="1">IF(C16=1,'Reeksen (N)'!AI16*((F16+K16)/2)*12+'Reeksen (N)'!AD16*((L16+Q16)/2)*12,0)</f>
        <v>0</v>
      </c>
      <c r="AJ16" s="71">
        <f ca="1">-AI16*'Invoer gegevens (N)'!$F$28</f>
        <v>0</v>
      </c>
      <c r="AK16" s="71">
        <f t="shared" ca="1" si="11"/>
        <v>0</v>
      </c>
      <c r="AL16" s="71">
        <f ca="1">IF(C16=1,'Reeksen (N)'!AL16*((F16-G16+F16)/2)*12+'Reeksen (N)'!AM16*((L16-M16+L16)/2)*12,0)</f>
        <v>0</v>
      </c>
      <c r="AM16" s="71">
        <f ca="1">-AL16*'Invoer gegevens (N)'!$F$31</f>
        <v>0</v>
      </c>
      <c r="AN16" s="71">
        <f t="shared" ca="1" si="12"/>
        <v>0</v>
      </c>
      <c r="AO16" s="71">
        <f ca="1">IF(C16=1,(H16+J16+N16+P16)*'Reeksen (N)'!AN16,0)</f>
        <v>0</v>
      </c>
      <c r="AP16" s="71">
        <f ca="1">-IF(C16=1,(H16+J16+N16+P16)*'Hulp - basis'!$O$550*'Reeksen (N)'!H16,0)</f>
        <v>0</v>
      </c>
      <c r="AQ16" s="71">
        <f ca="1">-IF(C16=1,(F16+K16+L16+Q16)/2*'Invoer gegevens (N)'!$F$35*'Reeksen (N)'!J16,0)*2</f>
        <v>0</v>
      </c>
      <c r="AR16" s="71">
        <f ca="1">IF(BD16&lt;1,-IF(C16=1,(G16*'Invoer gegevens (N)'!$F$36)*'Reeksen (N)'!J16,0),0)</f>
        <v>0</v>
      </c>
      <c r="AS16" s="71">
        <f ca="1">-IF(C16=1,(F16+K16+L16+Q16)/2*'Invoer gegevens (N)'!$F$37*'Reeksen (N)'!L16,0)</f>
        <v>0</v>
      </c>
      <c r="AT16" s="71">
        <f ca="1">-IF(C16=1,IF(E16='Invoer gegevens (N)'!$C$17,'Invoer gegevens (N)'!$C$11,AD16)*'Reeksen (N)'!S16*'Invoer gegevens (N)'!$C$18*'Reeksen (N)'!P16,0)</f>
        <v>0</v>
      </c>
      <c r="AU16" s="71">
        <f ca="1">-IF(C16=1,(F16+K16+L16+Q16)/2*'Invoer gegevens (N)'!$F$38*'Reeksen (N)'!H16,0)</f>
        <v>0</v>
      </c>
      <c r="AV16" s="71">
        <v>0</v>
      </c>
      <c r="AW16" s="71">
        <f t="shared" ca="1" si="13"/>
        <v>0</v>
      </c>
      <c r="AX16" s="71">
        <f ca="1">IF(E16&lt;'Invoer gegevens (N)'!$C$17+15,0,IF(E16&gt;'Invoer gegevens (N)'!$C$17+215,0,AW16))</f>
        <v>0</v>
      </c>
      <c r="AY16" s="71">
        <f ca="1">AX16/(1+'Invoer gegevens (N)'!$F$18)^($AZ16-('Invoer gegevens (N)'!$C$17-'Invoer gegevens (N)'!$C$16))/(1+'Invoer gegevens (N)'!$C$39)^('Invoer gegevens (N)'!$C$17-'Invoer gegevens (N)'!$C$16)</f>
        <v>0</v>
      </c>
      <c r="AZ16" s="68">
        <f ca="1">IF(E16-'Invoer gegevens (N)'!$C$17-14.5&lt;0,0,E16-'Invoer gegevens (N)'!$C$17-14.5)</f>
        <v>0</v>
      </c>
      <c r="BA16" s="109">
        <f ca="1">IFERROR(VLOOKUP(E16-15,'Reeksen (N)'!$A$5:$D$234,2,FALSE),0)</f>
        <v>0</v>
      </c>
      <c r="BB16" s="109">
        <f ca="1">IFERROR(VLOOKUP(E16-15,'Reeksen (N)'!$A$5:$D$234,3,FALSE),0)</f>
        <v>0</v>
      </c>
      <c r="BC16" s="109">
        <f ca="1">IFERROR(VLOOKUP(E16-15,'Reeksen (N)'!$A$5:$D$234,4,FALSE),0)</f>
        <v>0</v>
      </c>
      <c r="BD16" s="67">
        <f ca="1">IF(E16-'Invoer gegevens (N)'!$C$17&lt;15,0,1)</f>
        <v>0</v>
      </c>
    </row>
    <row r="17" spans="1:56" x14ac:dyDescent="0.25">
      <c r="A17" s="59"/>
      <c r="B17" s="70">
        <f t="shared" si="14"/>
        <v>13</v>
      </c>
      <c r="C17" s="67">
        <f ca="1">IF(E17-'Invoer gegevens (N)'!$C$17&lt;0,0,1)</f>
        <v>1</v>
      </c>
      <c r="D17" s="68">
        <f t="shared" si="15"/>
        <v>12.5</v>
      </c>
      <c r="E17" s="108">
        <f ca="1">IF('Invoer gegevens (N)'!$C$16="","",E16+1)</f>
        <v>2031</v>
      </c>
      <c r="F17" s="84">
        <f ca="1">IF('Invoer gegevens (N)'!$C$17=E17,'Invoer gegevens (N)'!$C$10,IF(C17=1,K16,0))</f>
        <v>0</v>
      </c>
      <c r="G17" s="96">
        <f ca="1">IF(BD17&lt;1,F17*'Reeksen (N)'!C17,IF(C17&gt;=1,F17*BA17,0))</f>
        <v>0</v>
      </c>
      <c r="H17" s="84">
        <f ca="1">(1-('Invoer gegevens (N)'!$F$20/12))*F17*MIN(BA17,BC17)</f>
        <v>0</v>
      </c>
      <c r="I17" s="84">
        <f t="shared" ca="1" si="0"/>
        <v>0</v>
      </c>
      <c r="J17" s="84">
        <f ca="1">('Invoer gegevens (N)'!$F$20/12)*F16*MIN(BA17,BC17)</f>
        <v>0</v>
      </c>
      <c r="K17" s="97">
        <f t="shared" ca="1" si="5"/>
        <v>0</v>
      </c>
      <c r="L17" s="84">
        <f ca="1">IF('Invoer gegevens (N)'!$C$17=E17,0,IF(C17=1,Q16,0))</f>
        <v>0</v>
      </c>
      <c r="M17" s="96">
        <f t="shared" ca="1" si="1"/>
        <v>0</v>
      </c>
      <c r="N17" s="84">
        <f ca="1">(1-('Invoer gegevens (N)'!$F$20/12))*L17*MIN(BA17,BC17)</f>
        <v>0</v>
      </c>
      <c r="O17" s="84">
        <f t="shared" ca="1" si="2"/>
        <v>0</v>
      </c>
      <c r="P17" s="84">
        <f ca="1">('Invoer gegevens (N)'!$F$20/12)*L16*MIN(BA17,BC17)</f>
        <v>0</v>
      </c>
      <c r="Q17" s="84">
        <f t="shared" ca="1" si="6"/>
        <v>0</v>
      </c>
      <c r="R17" s="85">
        <f ca="1">IF('Invoer gegevens (N)'!$C$17=E17,'Invoer gegevens (N)'!$C$11,IF(C17=1,W16,0))</f>
        <v>0</v>
      </c>
      <c r="S17" s="86">
        <f t="shared" ca="1" si="3"/>
        <v>0</v>
      </c>
      <c r="T17" s="86">
        <f ca="1">(1-('Invoer gegevens (N)'!$F$20/12))*R17*MIN(BC17,BA17)</f>
        <v>0</v>
      </c>
      <c r="U17" s="86">
        <f ca="1">IF(BD17&lt;1,IF('Reeksen (N)'!AD17&lt;='Reeksen (N)'!AE17,R17*'Reeksen (N)'!C17,0),IF(BC17&gt;=BA17,0,IF('Reeksen (N)'!AD17&lt;='Reeksen (N)'!AE17,(BA17-BC17)*R17,0)))</f>
        <v>0</v>
      </c>
      <c r="V17" s="86">
        <f ca="1">IF(BD17&lt;1,IF('Reeksen (N)'!AD17&gt;'Reeksen (N)'!AE17,R17*'Reeksen (N)'!C17,0),IF(BC17&gt;=BA17,0,IF('Reeksen (N)'!AD17&gt;'Reeksen (N)'!AE17,(BA17-BC17)*R17,0)))</f>
        <v>0</v>
      </c>
      <c r="W17" s="218">
        <f t="shared" ca="1" si="7"/>
        <v>0</v>
      </c>
      <c r="X17" s="98">
        <f ca="1">IF('Invoer gegevens (N)'!$C$17=E17,'Invoer gegevens (N)'!$C$10-'Invoer gegevens (N)'!$C$11,IF(C17=1,AC16,0))</f>
        <v>0</v>
      </c>
      <c r="Y17" s="98">
        <f t="shared" ca="1" si="4"/>
        <v>0</v>
      </c>
      <c r="Z17" s="98">
        <f ca="1">(1-('Invoer gegevens (N)'!$F$20/12))*X17*MIN(BA17,BC17)</f>
        <v>0</v>
      </c>
      <c r="AA17" s="98">
        <f ca="1">IF(BD17&lt;1,IF('Reeksen (N)'!AD17&lt;='Reeksen (N)'!AE17,X17*'Reeksen (N)'!C17,0),IF(BC17&gt;=BA17,0,IF('Reeksen (N)'!AD17&lt;='Reeksen (N)'!AE17,(BA17-BC17)*X17,0)))</f>
        <v>0</v>
      </c>
      <c r="AB17" s="98">
        <f ca="1">IF(BD17&lt;1,IF('Reeksen (N)'!AD17&gt;'Reeksen (N)'!AE17,X17*'Reeksen (N)'!C17,0),IF(BC17&gt;=BA17,0,IF('Reeksen (N)'!AD17&gt;'Reeksen (N)'!AE17,(BA17-BC17)*X17,0)))</f>
        <v>0</v>
      </c>
      <c r="AC17" s="99">
        <f t="shared" ca="1" si="8"/>
        <v>0</v>
      </c>
      <c r="AD17" s="98">
        <f ca="1">IF('Invoer gegevens (N)'!$C$17=E17,R17,IF(C17=0,0,AE16))</f>
        <v>0</v>
      </c>
      <c r="AE17" s="98">
        <f t="shared" ca="1" si="9"/>
        <v>0</v>
      </c>
      <c r="AF17" s="98">
        <f ca="1">IF('Invoer gegevens (N)'!$C$17=E17,X17,IF(C17=0,0,AG16))</f>
        <v>0</v>
      </c>
      <c r="AG17" s="98">
        <f t="shared" ca="1" si="10"/>
        <v>0</v>
      </c>
      <c r="AH17" s="66"/>
      <c r="AI17" s="71">
        <f ca="1">IF(C17=1,'Reeksen (N)'!AI17*((F17+K17)/2)*12+'Reeksen (N)'!AD17*((L17+Q17)/2)*12,0)</f>
        <v>0</v>
      </c>
      <c r="AJ17" s="71">
        <f ca="1">-AI17*'Invoer gegevens (N)'!$F$28</f>
        <v>0</v>
      </c>
      <c r="AK17" s="71">
        <f t="shared" ca="1" si="11"/>
        <v>0</v>
      </c>
      <c r="AL17" s="71">
        <f ca="1">IF(C17=1,'Reeksen (N)'!AL17*((F17-G17+F17)/2)*12+'Reeksen (N)'!AM17*((L17-M17+L17)/2)*12,0)</f>
        <v>0</v>
      </c>
      <c r="AM17" s="71">
        <f ca="1">-AL17*'Invoer gegevens (N)'!$F$31</f>
        <v>0</v>
      </c>
      <c r="AN17" s="71">
        <f t="shared" ca="1" si="12"/>
        <v>0</v>
      </c>
      <c r="AO17" s="71">
        <f ca="1">IF(C17=1,(H17+J17+N17+P17)*'Reeksen (N)'!AN17,0)</f>
        <v>0</v>
      </c>
      <c r="AP17" s="71">
        <f ca="1">-IF(C17=1,(H17+J17+N17+P17)*'Hulp - basis'!$O$550*'Reeksen (N)'!H17,0)</f>
        <v>0</v>
      </c>
      <c r="AQ17" s="71">
        <f ca="1">-IF(C17=1,(F17+K17+L17+Q17)/2*'Invoer gegevens (N)'!$F$35*'Reeksen (N)'!J17,0)*2</f>
        <v>0</v>
      </c>
      <c r="AR17" s="71">
        <f ca="1">IF(BD17&lt;1,-IF(C17=1,(G17*'Invoer gegevens (N)'!$F$36)*'Reeksen (N)'!J17,0),0)</f>
        <v>0</v>
      </c>
      <c r="AS17" s="71">
        <f ca="1">-IF(C17=1,(F17+K17+L17+Q17)/2*'Invoer gegevens (N)'!$F$37*'Reeksen (N)'!L17,0)</f>
        <v>0</v>
      </c>
      <c r="AT17" s="71">
        <f ca="1">-IF(C17=1,IF(E17='Invoer gegevens (N)'!$C$17,'Invoer gegevens (N)'!$C$11,AD17)*'Reeksen (N)'!S17*'Invoer gegevens (N)'!$C$18*'Reeksen (N)'!P17,0)</f>
        <v>0</v>
      </c>
      <c r="AU17" s="71">
        <f ca="1">-IF(C17=1,(F17+K17+L17+Q17)/2*'Invoer gegevens (N)'!$F$38*'Reeksen (N)'!H17,0)</f>
        <v>0</v>
      </c>
      <c r="AV17" s="71">
        <v>0</v>
      </c>
      <c r="AW17" s="71">
        <f t="shared" ca="1" si="13"/>
        <v>0</v>
      </c>
      <c r="AX17" s="71">
        <f ca="1">IF(E17&lt;'Invoer gegevens (N)'!$C$17+15,0,IF(E17&gt;'Invoer gegevens (N)'!$C$17+215,0,AW17))</f>
        <v>0</v>
      </c>
      <c r="AY17" s="71">
        <f ca="1">AX17/(1+'Invoer gegevens (N)'!$F$18)^($AZ17-('Invoer gegevens (N)'!$C$17-'Invoer gegevens (N)'!$C$16))/(1+'Invoer gegevens (N)'!$C$39)^('Invoer gegevens (N)'!$C$17-'Invoer gegevens (N)'!$C$16)</f>
        <v>0</v>
      </c>
      <c r="AZ17" s="68">
        <f ca="1">IF(E17-'Invoer gegevens (N)'!$C$17-14.5&lt;0,0,E17-'Invoer gegevens (N)'!$C$17-14.5)</f>
        <v>0</v>
      </c>
      <c r="BA17" s="109">
        <f ca="1">IFERROR(VLOOKUP(E17-15,'Reeksen (N)'!$A$5:$D$234,2,FALSE),0)</f>
        <v>0</v>
      </c>
      <c r="BB17" s="109">
        <f ca="1">IFERROR(VLOOKUP(E17-15,'Reeksen (N)'!$A$5:$D$234,3,FALSE),0)</f>
        <v>0</v>
      </c>
      <c r="BC17" s="109">
        <f ca="1">IFERROR(VLOOKUP(E17-15,'Reeksen (N)'!$A$5:$D$234,4,FALSE),0)</f>
        <v>0</v>
      </c>
      <c r="BD17" s="67">
        <f ca="1">IF(E17-'Invoer gegevens (N)'!$C$17&lt;15,0,1)</f>
        <v>0</v>
      </c>
    </row>
    <row r="18" spans="1:56" x14ac:dyDescent="0.25">
      <c r="A18" s="59"/>
      <c r="B18" s="70">
        <f t="shared" si="14"/>
        <v>14</v>
      </c>
      <c r="C18" s="67">
        <f ca="1">IF(E18-'Invoer gegevens (N)'!$C$17&lt;0,0,1)</f>
        <v>1</v>
      </c>
      <c r="D18" s="68">
        <f t="shared" si="15"/>
        <v>13.5</v>
      </c>
      <c r="E18" s="108">
        <f ca="1">IF('Invoer gegevens (N)'!$C$16="","",E17+1)</f>
        <v>2032</v>
      </c>
      <c r="F18" s="84">
        <f ca="1">IF('Invoer gegevens (N)'!$C$17=E18,'Invoer gegevens (N)'!$C$10,IF(C18=1,K17,0))</f>
        <v>0</v>
      </c>
      <c r="G18" s="96">
        <f ca="1">IF(BD18&lt;1,F18*'Reeksen (N)'!C18,IF(C18&gt;=1,F18*BA18,0))</f>
        <v>0</v>
      </c>
      <c r="H18" s="84">
        <f ca="1">(1-('Invoer gegevens (N)'!$F$20/12))*F18*MIN(BA18,BC18)</f>
        <v>0</v>
      </c>
      <c r="I18" s="84">
        <f t="shared" ca="1" si="0"/>
        <v>0</v>
      </c>
      <c r="J18" s="84">
        <f ca="1">('Invoer gegevens (N)'!$F$20/12)*F17*MIN(BA18,BC18)</f>
        <v>0</v>
      </c>
      <c r="K18" s="97">
        <f t="shared" ca="1" si="5"/>
        <v>0</v>
      </c>
      <c r="L18" s="84">
        <f ca="1">IF('Invoer gegevens (N)'!$C$17=E18,0,IF(C18=1,Q17,0))</f>
        <v>0</v>
      </c>
      <c r="M18" s="96">
        <f t="shared" ca="1" si="1"/>
        <v>0</v>
      </c>
      <c r="N18" s="84">
        <f ca="1">(1-('Invoer gegevens (N)'!$F$20/12))*L18*MIN(BA18,BC18)</f>
        <v>0</v>
      </c>
      <c r="O18" s="84">
        <f t="shared" ca="1" si="2"/>
        <v>0</v>
      </c>
      <c r="P18" s="84">
        <f ca="1">('Invoer gegevens (N)'!$F$20/12)*L17*MIN(BA18,BC18)</f>
        <v>0</v>
      </c>
      <c r="Q18" s="84">
        <f t="shared" ca="1" si="6"/>
        <v>0</v>
      </c>
      <c r="R18" s="85">
        <f ca="1">IF('Invoer gegevens (N)'!$C$17=E18,'Invoer gegevens (N)'!$C$11,IF(C18=1,W17,0))</f>
        <v>0</v>
      </c>
      <c r="S18" s="86">
        <f t="shared" ca="1" si="3"/>
        <v>0</v>
      </c>
      <c r="T18" s="86">
        <f ca="1">(1-('Invoer gegevens (N)'!$F$20/12))*R18*MIN(BC18,BA18)</f>
        <v>0</v>
      </c>
      <c r="U18" s="86">
        <f ca="1">IF(BD18&lt;1,IF('Reeksen (N)'!AD18&lt;='Reeksen (N)'!AE18,R18*'Reeksen (N)'!C18,0),IF(BC18&gt;=BA18,0,IF('Reeksen (N)'!AD18&lt;='Reeksen (N)'!AE18,(BA18-BC18)*R18,0)))</f>
        <v>0</v>
      </c>
      <c r="V18" s="86">
        <f ca="1">IF(BD18&lt;1,IF('Reeksen (N)'!AD18&gt;'Reeksen (N)'!AE18,R18*'Reeksen (N)'!C18,0),IF(BC18&gt;=BA18,0,IF('Reeksen (N)'!AD18&gt;'Reeksen (N)'!AE18,(BA18-BC18)*R18,0)))</f>
        <v>0</v>
      </c>
      <c r="W18" s="218">
        <f t="shared" ca="1" si="7"/>
        <v>0</v>
      </c>
      <c r="X18" s="98">
        <f ca="1">IF('Invoer gegevens (N)'!$C$17=E18,'Invoer gegevens (N)'!$C$10-'Invoer gegevens (N)'!$C$11,IF(C18=1,AC17,0))</f>
        <v>0</v>
      </c>
      <c r="Y18" s="98">
        <f t="shared" ca="1" si="4"/>
        <v>0</v>
      </c>
      <c r="Z18" s="98">
        <f ca="1">(1-('Invoer gegevens (N)'!$F$20/12))*X18*MIN(BA18,BC18)</f>
        <v>0</v>
      </c>
      <c r="AA18" s="98">
        <f ca="1">IF(BD18&lt;1,IF('Reeksen (N)'!AD18&lt;='Reeksen (N)'!AE18,X18*'Reeksen (N)'!C18,0),IF(BC18&gt;=BA18,0,IF('Reeksen (N)'!AD18&lt;='Reeksen (N)'!AE18,(BA18-BC18)*X18,0)))</f>
        <v>0</v>
      </c>
      <c r="AB18" s="98">
        <f ca="1">IF(BD18&lt;1,IF('Reeksen (N)'!AD18&gt;'Reeksen (N)'!AE18,X18*'Reeksen (N)'!C18,0),IF(BC18&gt;=BA18,0,IF('Reeksen (N)'!AD18&gt;'Reeksen (N)'!AE18,(BA18-BC18)*X18,0)))</f>
        <v>0</v>
      </c>
      <c r="AC18" s="99">
        <f t="shared" ca="1" si="8"/>
        <v>0</v>
      </c>
      <c r="AD18" s="98">
        <f ca="1">IF('Invoer gegevens (N)'!$C$17=E18,R18,IF(C18=0,0,AE17))</f>
        <v>0</v>
      </c>
      <c r="AE18" s="98">
        <f t="shared" ca="1" si="9"/>
        <v>0</v>
      </c>
      <c r="AF18" s="98">
        <f ca="1">IF('Invoer gegevens (N)'!$C$17=E18,X18,IF(C18=0,0,AG17))</f>
        <v>0</v>
      </c>
      <c r="AG18" s="98">
        <f t="shared" ca="1" si="10"/>
        <v>0</v>
      </c>
      <c r="AH18" s="66"/>
      <c r="AI18" s="71">
        <f ca="1">IF(C18=1,'Reeksen (N)'!AI18*((F18+K18)/2)*12+'Reeksen (N)'!AD18*((L18+Q18)/2)*12,0)</f>
        <v>0</v>
      </c>
      <c r="AJ18" s="71">
        <f ca="1">-AI18*'Invoer gegevens (N)'!$F$28</f>
        <v>0</v>
      </c>
      <c r="AK18" s="71">
        <f t="shared" ca="1" si="11"/>
        <v>0</v>
      </c>
      <c r="AL18" s="71">
        <f ca="1">IF(C18=1,'Reeksen (N)'!AL18*((F18-G18+F18)/2)*12+'Reeksen (N)'!AM18*((L18-M18+L18)/2)*12,0)</f>
        <v>0</v>
      </c>
      <c r="AM18" s="71">
        <f ca="1">-AL18*'Invoer gegevens (N)'!$F$31</f>
        <v>0</v>
      </c>
      <c r="AN18" s="71">
        <f t="shared" ca="1" si="12"/>
        <v>0</v>
      </c>
      <c r="AO18" s="71">
        <f ca="1">IF(C18=1,(H18+J18+N18+P18)*'Reeksen (N)'!AN18,0)</f>
        <v>0</v>
      </c>
      <c r="AP18" s="71">
        <f ca="1">-IF(C18=1,(H18+J18+N18+P18)*'Hulp - basis'!$O$550*'Reeksen (N)'!H18,0)</f>
        <v>0</v>
      </c>
      <c r="AQ18" s="71">
        <f ca="1">-IF(C18=1,(F18+K18+L18+Q18)/2*'Invoer gegevens (N)'!$F$35*'Reeksen (N)'!J18,0)*2</f>
        <v>0</v>
      </c>
      <c r="AR18" s="71">
        <f ca="1">IF(BD18&lt;1,-IF(C18=1,(G18*'Invoer gegevens (N)'!$F$36)*'Reeksen (N)'!J18,0),0)</f>
        <v>0</v>
      </c>
      <c r="AS18" s="71">
        <f ca="1">-IF(C18=1,(F18+K18+L18+Q18)/2*'Invoer gegevens (N)'!$F$37*'Reeksen (N)'!L18,0)</f>
        <v>0</v>
      </c>
      <c r="AT18" s="71">
        <f ca="1">-IF(C18=1,IF(E18='Invoer gegevens (N)'!$C$17,'Invoer gegevens (N)'!$C$11,AD18)*'Reeksen (N)'!S18*'Invoer gegevens (N)'!$C$18*'Reeksen (N)'!P18,0)</f>
        <v>0</v>
      </c>
      <c r="AU18" s="71">
        <f ca="1">-IF(C18=1,(F18+K18+L18+Q18)/2*'Invoer gegevens (N)'!$F$38*'Reeksen (N)'!H18,0)</f>
        <v>0</v>
      </c>
      <c r="AV18" s="71">
        <v>0</v>
      </c>
      <c r="AW18" s="71">
        <f t="shared" ca="1" si="13"/>
        <v>0</v>
      </c>
      <c r="AX18" s="71">
        <f ca="1">IF(E18&lt;'Invoer gegevens (N)'!$C$17+15,0,IF(E18&gt;'Invoer gegevens (N)'!$C$17+215,0,AW18))</f>
        <v>0</v>
      </c>
      <c r="AY18" s="71">
        <f ca="1">AX18/(1+'Invoer gegevens (N)'!$F$18)^($AZ18-('Invoer gegevens (N)'!$C$17-'Invoer gegevens (N)'!$C$16))/(1+'Invoer gegevens (N)'!$C$39)^('Invoer gegevens (N)'!$C$17-'Invoer gegevens (N)'!$C$16)</f>
        <v>0</v>
      </c>
      <c r="AZ18" s="68">
        <f ca="1">IF(E18-'Invoer gegevens (N)'!$C$17-14.5&lt;0,0,E18-'Invoer gegevens (N)'!$C$17-14.5)</f>
        <v>0</v>
      </c>
      <c r="BA18" s="109">
        <f ca="1">IFERROR(VLOOKUP(E18-15,'Reeksen (N)'!$A$5:$D$234,2,FALSE),0)</f>
        <v>0</v>
      </c>
      <c r="BB18" s="109">
        <f ca="1">IFERROR(VLOOKUP(E18-15,'Reeksen (N)'!$A$5:$D$234,3,FALSE),0)</f>
        <v>0</v>
      </c>
      <c r="BC18" s="109">
        <f ca="1">IFERROR(VLOOKUP(E18-15,'Reeksen (N)'!$A$5:$D$234,4,FALSE),0)</f>
        <v>0</v>
      </c>
      <c r="BD18" s="67">
        <f ca="1">IF(E18-'Invoer gegevens (N)'!$C$17&lt;15,0,1)</f>
        <v>0</v>
      </c>
    </row>
    <row r="19" spans="1:56" x14ac:dyDescent="0.25">
      <c r="A19" s="59"/>
      <c r="B19" s="70">
        <f t="shared" si="14"/>
        <v>15</v>
      </c>
      <c r="C19" s="67">
        <f ca="1">IF(E19-'Invoer gegevens (N)'!$C$17&lt;0,0,1)</f>
        <v>1</v>
      </c>
      <c r="D19" s="68">
        <f t="shared" si="15"/>
        <v>14.5</v>
      </c>
      <c r="E19" s="108">
        <f ca="1">IF('Invoer gegevens (N)'!$C$16="","",E18+1)</f>
        <v>2033</v>
      </c>
      <c r="F19" s="84">
        <f ca="1">IF('Invoer gegevens (N)'!$C$17=E19,'Invoer gegevens (N)'!$C$10,IF(C19=1,K18,0))</f>
        <v>0</v>
      </c>
      <c r="G19" s="96">
        <f ca="1">IF(BD19&lt;1,F19*'Reeksen (N)'!C19,IF(C19&gt;=1,F19*BA19,0))</f>
        <v>0</v>
      </c>
      <c r="H19" s="84">
        <f ca="1">(1-('Invoer gegevens (N)'!$F$20/12))*F19*MIN(BA19,BC19)</f>
        <v>0</v>
      </c>
      <c r="I19" s="84">
        <f t="shared" ca="1" si="0"/>
        <v>0</v>
      </c>
      <c r="J19" s="84">
        <f ca="1">('Invoer gegevens (N)'!$F$20/12)*F18*MIN(BA19,BC19)</f>
        <v>0</v>
      </c>
      <c r="K19" s="97">
        <f t="shared" ca="1" si="5"/>
        <v>0</v>
      </c>
      <c r="L19" s="84">
        <f ca="1">IF('Invoer gegevens (N)'!$C$17=E19,0,IF(C19=1,Q18,0))</f>
        <v>0</v>
      </c>
      <c r="M19" s="96">
        <f t="shared" ca="1" si="1"/>
        <v>0</v>
      </c>
      <c r="N19" s="84">
        <f ca="1">(1-('Invoer gegevens (N)'!$F$20/12))*L19*MIN(BA19,BC19)</f>
        <v>0</v>
      </c>
      <c r="O19" s="84">
        <f t="shared" ca="1" si="2"/>
        <v>0</v>
      </c>
      <c r="P19" s="84">
        <f ca="1">('Invoer gegevens (N)'!$F$20/12)*L18*MIN(BA19,BC19)</f>
        <v>0</v>
      </c>
      <c r="Q19" s="84">
        <f t="shared" ca="1" si="6"/>
        <v>0</v>
      </c>
      <c r="R19" s="85">
        <f ca="1">IF('Invoer gegevens (N)'!$C$17=E19,'Invoer gegevens (N)'!$C$11,IF(C19=1,W18,0))</f>
        <v>0</v>
      </c>
      <c r="S19" s="86">
        <f t="shared" ca="1" si="3"/>
        <v>0</v>
      </c>
      <c r="T19" s="86">
        <f ca="1">(1-('Invoer gegevens (N)'!$F$20/12))*R19*MIN(BC19,BA19)</f>
        <v>0</v>
      </c>
      <c r="U19" s="86">
        <f ca="1">IF(BD19&lt;1,IF('Reeksen (N)'!AD19&lt;='Reeksen (N)'!AE19,R19*'Reeksen (N)'!C19,0),IF(BC19&gt;=BA19,0,IF('Reeksen (N)'!AD19&lt;='Reeksen (N)'!AE19,(BA19-BC19)*R19,0)))</f>
        <v>0</v>
      </c>
      <c r="V19" s="86">
        <f ca="1">IF(BD19&lt;1,IF('Reeksen (N)'!AD19&gt;'Reeksen (N)'!AE19,R19*'Reeksen (N)'!C19,0),IF(BC19&gt;=BA19,0,IF('Reeksen (N)'!AD19&gt;'Reeksen (N)'!AE19,(BA19-BC19)*R19,0)))</f>
        <v>0</v>
      </c>
      <c r="W19" s="218">
        <f t="shared" ca="1" si="7"/>
        <v>0</v>
      </c>
      <c r="X19" s="98">
        <f ca="1">IF('Invoer gegevens (N)'!$C$17=E19,'Invoer gegevens (N)'!$C$10-'Invoer gegevens (N)'!$C$11,IF(C19=1,AC18,0))</f>
        <v>0</v>
      </c>
      <c r="Y19" s="98">
        <f t="shared" ca="1" si="4"/>
        <v>0</v>
      </c>
      <c r="Z19" s="98">
        <f ca="1">(1-('Invoer gegevens (N)'!$F$20/12))*X19*MIN(BA19,BC19)</f>
        <v>0</v>
      </c>
      <c r="AA19" s="98">
        <f ca="1">IF(BD19&lt;1,IF('Reeksen (N)'!AD19&lt;='Reeksen (N)'!AE19,X19*'Reeksen (N)'!C19,0),IF(BC19&gt;=BA19,0,IF('Reeksen (N)'!AD19&lt;='Reeksen (N)'!AE19,(BA19-BC19)*X19,0)))</f>
        <v>0</v>
      </c>
      <c r="AB19" s="98">
        <f ca="1">IF(BD19&lt;1,IF('Reeksen (N)'!AD19&gt;'Reeksen (N)'!AE19,X19*'Reeksen (N)'!C19,0),IF(BC19&gt;=BA19,0,IF('Reeksen (N)'!AD19&gt;'Reeksen (N)'!AE19,(BA19-BC19)*X19,0)))</f>
        <v>0</v>
      </c>
      <c r="AC19" s="99">
        <f t="shared" ca="1" si="8"/>
        <v>0</v>
      </c>
      <c r="AD19" s="98">
        <f ca="1">IF('Invoer gegevens (N)'!$C$17=E19,R19,IF(C19=0,0,AE18))</f>
        <v>0</v>
      </c>
      <c r="AE19" s="98">
        <f t="shared" ca="1" si="9"/>
        <v>0</v>
      </c>
      <c r="AF19" s="98">
        <f ca="1">IF('Invoer gegevens (N)'!$C$17=E19,X19,IF(C19=0,0,AG18))</f>
        <v>0</v>
      </c>
      <c r="AG19" s="98">
        <f t="shared" ca="1" si="10"/>
        <v>0</v>
      </c>
      <c r="AH19" s="66"/>
      <c r="AI19" s="71">
        <f ca="1">IF(C19=1,'Reeksen (N)'!AI19*((F19+K19)/2)*12+'Reeksen (N)'!AD19*((L19+Q19)/2)*12,0)</f>
        <v>0</v>
      </c>
      <c r="AJ19" s="71">
        <f ca="1">-AI19*'Invoer gegevens (N)'!$F$28</f>
        <v>0</v>
      </c>
      <c r="AK19" s="71">
        <f t="shared" ca="1" si="11"/>
        <v>0</v>
      </c>
      <c r="AL19" s="71">
        <f ca="1">IF(C19=1,'Reeksen (N)'!AL19*((F19-G19+F19)/2)*12+'Reeksen (N)'!AM19*((L19-M19+L19)/2)*12,0)</f>
        <v>0</v>
      </c>
      <c r="AM19" s="71">
        <f ca="1">-AL19*'Invoer gegevens (N)'!$F$31</f>
        <v>0</v>
      </c>
      <c r="AN19" s="71">
        <f t="shared" ca="1" si="12"/>
        <v>0</v>
      </c>
      <c r="AO19" s="71">
        <f ca="1">IF(C19=1,(H19+J19+N19+P19)*'Reeksen (N)'!AN19,0)</f>
        <v>0</v>
      </c>
      <c r="AP19" s="71">
        <f ca="1">-IF(C19=1,(H19+J19+N19+P19)*'Hulp - basis'!$O$550*'Reeksen (N)'!H19,0)</f>
        <v>0</v>
      </c>
      <c r="AQ19" s="71">
        <f ca="1">-IF(C19=1,(F19+K19+L19+Q19)/2*'Invoer gegevens (N)'!$F$35*'Reeksen (N)'!J19,0)*2</f>
        <v>0</v>
      </c>
      <c r="AR19" s="71">
        <f ca="1">IF(BD19&lt;1,-IF(C19=1,(G19*'Invoer gegevens (N)'!$F$36)*'Reeksen (N)'!J19,0),0)</f>
        <v>0</v>
      </c>
      <c r="AS19" s="71">
        <f ca="1">-IF(C19=1,(F19+K19+L19+Q19)/2*'Invoer gegevens (N)'!$F$37*'Reeksen (N)'!L19,0)</f>
        <v>0</v>
      </c>
      <c r="AT19" s="71">
        <f ca="1">-IF(C19=1,IF(E19='Invoer gegevens (N)'!$C$17,'Invoer gegevens (N)'!$C$11,AD19)*'Reeksen (N)'!S19*'Invoer gegevens (N)'!$C$18*'Reeksen (N)'!P19,0)</f>
        <v>0</v>
      </c>
      <c r="AU19" s="71">
        <f ca="1">-IF(C19=1,(F19+K19+L19+Q19)/2*'Invoer gegevens (N)'!$F$38*'Reeksen (N)'!H19,0)</f>
        <v>0</v>
      </c>
      <c r="AV19" s="71">
        <v>0</v>
      </c>
      <c r="AW19" s="71">
        <f t="shared" ca="1" si="13"/>
        <v>0</v>
      </c>
      <c r="AX19" s="71">
        <f ca="1">IF(E19&lt;'Invoer gegevens (N)'!$C$17+15,0,IF(E19&gt;'Invoer gegevens (N)'!$C$17+215,0,AW19))</f>
        <v>0</v>
      </c>
      <c r="AY19" s="71">
        <f ca="1">AX19/(1+'Invoer gegevens (N)'!$F$18)^($AZ19-('Invoer gegevens (N)'!$C$17-'Invoer gegevens (N)'!$C$16))/(1+'Invoer gegevens (N)'!$C$39)^('Invoer gegevens (N)'!$C$17-'Invoer gegevens (N)'!$C$16)</f>
        <v>0</v>
      </c>
      <c r="AZ19" s="68">
        <f ca="1">IF(E19-'Invoer gegevens (N)'!$C$17-14.5&lt;0,0,E19-'Invoer gegevens (N)'!$C$17-14.5)</f>
        <v>0</v>
      </c>
      <c r="BA19" s="109">
        <f ca="1">IFERROR(VLOOKUP(E19-15,'Reeksen (N)'!$A$5:$D$234,2,FALSE),0)</f>
        <v>0</v>
      </c>
      <c r="BB19" s="109">
        <f ca="1">IFERROR(VLOOKUP(E19-15,'Reeksen (N)'!$A$5:$D$234,3,FALSE),0)</f>
        <v>0</v>
      </c>
      <c r="BC19" s="109">
        <f ca="1">IFERROR(VLOOKUP(E19-15,'Reeksen (N)'!$A$5:$D$234,4,FALSE),0)</f>
        <v>0</v>
      </c>
      <c r="BD19" s="67">
        <f ca="1">IF(E19-'Invoer gegevens (N)'!$C$17&lt;15,0,1)</f>
        <v>0</v>
      </c>
    </row>
    <row r="20" spans="1:56" x14ac:dyDescent="0.25">
      <c r="A20" s="59"/>
      <c r="B20" s="70">
        <f t="shared" si="14"/>
        <v>16</v>
      </c>
      <c r="C20" s="67">
        <f ca="1">IF(E20-'Invoer gegevens (N)'!$C$17&lt;0,0,1)</f>
        <v>1</v>
      </c>
      <c r="D20" s="68">
        <f t="shared" si="15"/>
        <v>15.5</v>
      </c>
      <c r="E20" s="108">
        <f ca="1">IF('Invoer gegevens (N)'!$C$16="","",E19+1)</f>
        <v>2034</v>
      </c>
      <c r="F20" s="84">
        <f ca="1">IF('Invoer gegevens (N)'!$C$17=E20,'Invoer gegevens (N)'!$C$10,IF(C20=1,K19,0))</f>
        <v>0</v>
      </c>
      <c r="G20" s="96">
        <f ca="1">IF(BD20&lt;1,F20*'Reeksen (N)'!C20,IF(C20&gt;=1,F20*BA20,0))</f>
        <v>0</v>
      </c>
      <c r="H20" s="84">
        <f ca="1">(1-('Invoer gegevens (N)'!$F$20/12))*F20*MIN(BA20,BC20)</f>
        <v>0</v>
      </c>
      <c r="I20" s="84">
        <f t="shared" ca="1" si="0"/>
        <v>0</v>
      </c>
      <c r="J20" s="84">
        <f ca="1">('Invoer gegevens (N)'!$F$20/12)*F19*MIN(BA20,BC20)</f>
        <v>0</v>
      </c>
      <c r="K20" s="97">
        <f t="shared" ca="1" si="5"/>
        <v>0</v>
      </c>
      <c r="L20" s="84">
        <f ca="1">IF('Invoer gegevens (N)'!$C$17=E20,0,IF(C20=1,Q19,0))</f>
        <v>0</v>
      </c>
      <c r="M20" s="96">
        <f t="shared" ca="1" si="1"/>
        <v>0</v>
      </c>
      <c r="N20" s="84">
        <f ca="1">(1-('Invoer gegevens (N)'!$F$20/12))*L20*MIN(BA20,BC20)</f>
        <v>0</v>
      </c>
      <c r="O20" s="84">
        <f t="shared" ca="1" si="2"/>
        <v>0</v>
      </c>
      <c r="P20" s="84">
        <f ca="1">('Invoer gegevens (N)'!$F$20/12)*L19*MIN(BA20,BC20)</f>
        <v>0</v>
      </c>
      <c r="Q20" s="84">
        <f t="shared" ca="1" si="6"/>
        <v>0</v>
      </c>
      <c r="R20" s="85">
        <f ca="1">IF('Invoer gegevens (N)'!$C$17=E20,'Invoer gegevens (N)'!$C$11,IF(C20=1,W19,0))</f>
        <v>0</v>
      </c>
      <c r="S20" s="86">
        <f t="shared" ca="1" si="3"/>
        <v>0</v>
      </c>
      <c r="T20" s="86">
        <f ca="1">(1-('Invoer gegevens (N)'!$F$20/12))*R20*MIN(BC20,BA20)</f>
        <v>0</v>
      </c>
      <c r="U20" s="86">
        <f ca="1">IF(BD20&lt;1,IF('Reeksen (N)'!AD20&lt;='Reeksen (N)'!AE20,R20*'Reeksen (N)'!C20,0),IF(BC20&gt;=BA20,0,IF('Reeksen (N)'!AD20&lt;='Reeksen (N)'!AE20,(BA20-BC20)*R20,0)))</f>
        <v>0</v>
      </c>
      <c r="V20" s="86">
        <f ca="1">IF(BD20&lt;1,IF('Reeksen (N)'!AD20&gt;'Reeksen (N)'!AE20,R20*'Reeksen (N)'!C20,0),IF(BC20&gt;=BA20,0,IF('Reeksen (N)'!AD20&gt;'Reeksen (N)'!AE20,(BA20-BC20)*R20,0)))</f>
        <v>0</v>
      </c>
      <c r="W20" s="218">
        <f t="shared" ca="1" si="7"/>
        <v>0</v>
      </c>
      <c r="X20" s="98">
        <f ca="1">IF('Invoer gegevens (N)'!$C$17=E20,'Invoer gegevens (N)'!$C$10-'Invoer gegevens (N)'!$C$11,IF(C20=1,AC19,0))</f>
        <v>0</v>
      </c>
      <c r="Y20" s="98">
        <f t="shared" ca="1" si="4"/>
        <v>0</v>
      </c>
      <c r="Z20" s="98">
        <f ca="1">(1-('Invoer gegevens (N)'!$F$20/12))*X20*MIN(BA20,BC20)</f>
        <v>0</v>
      </c>
      <c r="AA20" s="98">
        <f ca="1">IF(BD20&lt;1,IF('Reeksen (N)'!AD20&lt;='Reeksen (N)'!AE20,X20*'Reeksen (N)'!C20,0),IF(BC20&gt;=BA20,0,IF('Reeksen (N)'!AD20&lt;='Reeksen (N)'!AE20,(BA20-BC20)*X20,0)))</f>
        <v>0</v>
      </c>
      <c r="AB20" s="98">
        <f ca="1">IF(BD20&lt;1,IF('Reeksen (N)'!AD20&gt;'Reeksen (N)'!AE20,X20*'Reeksen (N)'!C20,0),IF(BC20&gt;=BA20,0,IF('Reeksen (N)'!AD20&gt;'Reeksen (N)'!AE20,(BA20-BC20)*X20,0)))</f>
        <v>0</v>
      </c>
      <c r="AC20" s="99">
        <f ca="1">X20-Y20+V20-AA20</f>
        <v>0</v>
      </c>
      <c r="AD20" s="98">
        <f ca="1">IF('Invoer gegevens (N)'!$C$17=E20,R20,IF(C20=0,0,AE19))</f>
        <v>0</v>
      </c>
      <c r="AE20" s="98">
        <f t="shared" ca="1" si="9"/>
        <v>0</v>
      </c>
      <c r="AF20" s="98">
        <f ca="1">IF('Invoer gegevens (N)'!$C$17=E20,X20,IF(C20=0,0,AG19))</f>
        <v>0</v>
      </c>
      <c r="AG20" s="98">
        <f t="shared" ca="1" si="10"/>
        <v>0</v>
      </c>
      <c r="AH20" s="66"/>
      <c r="AI20" s="71">
        <f ca="1">IF(C20=1,'Reeksen (N)'!AI20*((F20+K20)/2)*12+'Reeksen (N)'!AD20*((L20+Q20)/2)*12,0)</f>
        <v>0</v>
      </c>
      <c r="AJ20" s="71">
        <f ca="1">-AI20*'Invoer gegevens (N)'!$F$28</f>
        <v>0</v>
      </c>
      <c r="AK20" s="71">
        <f t="shared" ca="1" si="11"/>
        <v>0</v>
      </c>
      <c r="AL20" s="71">
        <f ca="1">IF(C20=1,'Reeksen (N)'!AL20*((F20-G20+F20)/2)*12+'Reeksen (N)'!AM20*((L20-M20+L20)/2)*12,0)</f>
        <v>0</v>
      </c>
      <c r="AM20" s="71">
        <f ca="1">-AL20*'Invoer gegevens (N)'!$F$31</f>
        <v>0</v>
      </c>
      <c r="AN20" s="71">
        <f t="shared" ca="1" si="12"/>
        <v>0</v>
      </c>
      <c r="AO20" s="71">
        <f ca="1">IF(C20=1,(H20+J20+N20+P20)*'Reeksen (N)'!AN20,0)</f>
        <v>0</v>
      </c>
      <c r="AP20" s="71">
        <f ca="1">-IF(C20=1,(H20+J20+N20+P20)*'Hulp - basis'!$O$550*'Reeksen (N)'!H20,0)</f>
        <v>0</v>
      </c>
      <c r="AQ20" s="71">
        <f ca="1">-IF(C20=1,(F20+K20+L20+Q20)/2*'Invoer gegevens (N)'!$F$35*'Reeksen (N)'!J20,0)*2</f>
        <v>0</v>
      </c>
      <c r="AR20" s="71">
        <f ca="1">IF(BD20&lt;1,-IF(C20=1,(G20*'Invoer gegevens (N)'!$F$36)*'Reeksen (N)'!J20,0),0)</f>
        <v>0</v>
      </c>
      <c r="AS20" s="71">
        <f ca="1">-IF(C20=1,(F20+K20+L20+Q20)/2*'Invoer gegevens (N)'!$F$37*'Reeksen (N)'!L20,0)</f>
        <v>0</v>
      </c>
      <c r="AT20" s="71">
        <f ca="1">-IF(C20=1,IF(E20='Invoer gegevens (N)'!$C$17,'Invoer gegevens (N)'!$C$11,AD20)*'Reeksen (N)'!S20*'Invoer gegevens (N)'!$C$18*'Reeksen (N)'!P20,0)</f>
        <v>0</v>
      </c>
      <c r="AU20" s="71">
        <f ca="1">-IF(C20=1,(F20+K20+L20+Q20)/2*'Invoer gegevens (N)'!$F$38*'Reeksen (N)'!H20,0)</f>
        <v>0</v>
      </c>
      <c r="AV20" s="71">
        <v>0</v>
      </c>
      <c r="AW20" s="71">
        <f t="shared" ca="1" si="13"/>
        <v>0</v>
      </c>
      <c r="AX20" s="71">
        <f ca="1">IF(E20&lt;'Invoer gegevens (N)'!$C$17+15,0,IF(E20&gt;'Invoer gegevens (N)'!$C$17+215,0,AW20))</f>
        <v>0</v>
      </c>
      <c r="AY20" s="71">
        <f ca="1">AX20/(1+'Invoer gegevens (N)'!$F$18)^($AZ20-('Invoer gegevens (N)'!$C$17-'Invoer gegevens (N)'!$C$16))/(1+'Invoer gegevens (N)'!$C$39)^('Invoer gegevens (N)'!$C$17-'Invoer gegevens (N)'!$C$16)</f>
        <v>0</v>
      </c>
      <c r="AZ20" s="68">
        <f ca="1">IF(E20-'Invoer gegevens (N)'!$C$17-14.5&lt;0,0,E20-'Invoer gegevens (N)'!$C$17-14.5)</f>
        <v>0.5</v>
      </c>
      <c r="BA20" s="109">
        <f ca="1">IFERROR(VLOOKUP(E20-15,'Reeksen (N)'!$A$5:$D$234,2,FALSE),0)</f>
        <v>0</v>
      </c>
      <c r="BB20" s="109">
        <f ca="1">IFERROR(VLOOKUP(E20-15,'Reeksen (N)'!$A$5:$D$234,3,FALSE),0)</f>
        <v>0</v>
      </c>
      <c r="BC20" s="109">
        <f ca="1">IFERROR(VLOOKUP(E20-15,'Reeksen (N)'!$A$5:$D$234,4,FALSE),0)</f>
        <v>0</v>
      </c>
      <c r="BD20" s="67">
        <f ca="1">IF(E20-'Invoer gegevens (N)'!$C$17&lt;15,0,1)</f>
        <v>1</v>
      </c>
    </row>
    <row r="21" spans="1:56" x14ac:dyDescent="0.25">
      <c r="A21" s="59"/>
      <c r="B21" s="70">
        <f t="shared" si="14"/>
        <v>17</v>
      </c>
      <c r="C21" s="67">
        <f ca="1">IF(E21-'Invoer gegevens (N)'!$C$17&lt;0,0,1)</f>
        <v>1</v>
      </c>
      <c r="D21" s="68">
        <f t="shared" si="15"/>
        <v>16.5</v>
      </c>
      <c r="E21" s="108">
        <f ca="1">IF('Invoer gegevens (N)'!$C$16="","",E20+1)</f>
        <v>2035</v>
      </c>
      <c r="F21" s="84">
        <f ca="1">IF('Invoer gegevens (N)'!$C$17=E21,'Invoer gegevens (N)'!$C$10,IF(C21=1,K20,0))</f>
        <v>0</v>
      </c>
      <c r="G21" s="96">
        <f ca="1">IF(BD21&lt;1,F21*'Reeksen (N)'!C21,IF(C21&gt;=1,F21*BA21,0))</f>
        <v>0</v>
      </c>
      <c r="H21" s="84">
        <f ca="1">(1-('Invoer gegevens (N)'!$F$20/12))*F21*MIN(BA21,BC21)</f>
        <v>0</v>
      </c>
      <c r="I21" s="84">
        <f t="shared" ca="1" si="0"/>
        <v>0</v>
      </c>
      <c r="J21" s="84">
        <f ca="1">('Invoer gegevens (N)'!$F$20/12)*F20*MIN(BA21,BC21)</f>
        <v>0</v>
      </c>
      <c r="K21" s="97">
        <f t="shared" ca="1" si="5"/>
        <v>0</v>
      </c>
      <c r="L21" s="84">
        <f ca="1">IF('Invoer gegevens (N)'!$C$17=E21,0,IF(C21=1,Q20,0))</f>
        <v>0</v>
      </c>
      <c r="M21" s="96">
        <f t="shared" ca="1" si="1"/>
        <v>0</v>
      </c>
      <c r="N21" s="84">
        <f ca="1">(1-('Invoer gegevens (N)'!$F$20/12))*L21*MIN(BA21,BC21)</f>
        <v>0</v>
      </c>
      <c r="O21" s="84">
        <f t="shared" ca="1" si="2"/>
        <v>0</v>
      </c>
      <c r="P21" s="84">
        <f ca="1">('Invoer gegevens (N)'!$F$20/12)*L20*MIN(BA21,BC21)</f>
        <v>0</v>
      </c>
      <c r="Q21" s="84">
        <f t="shared" ca="1" si="6"/>
        <v>0</v>
      </c>
      <c r="R21" s="85">
        <f ca="1">IF('Invoer gegevens (N)'!$C$17=E21,'Invoer gegevens (N)'!$C$11,IF(C21=1,W20,0))</f>
        <v>0</v>
      </c>
      <c r="S21" s="86">
        <f t="shared" ca="1" si="3"/>
        <v>0</v>
      </c>
      <c r="T21" s="86">
        <f ca="1">(1-('Invoer gegevens (N)'!$F$20/12))*R21*MIN(BC21,BA21)</f>
        <v>0</v>
      </c>
      <c r="U21" s="86">
        <f ca="1">IF(BD21&lt;1,IF('Reeksen (N)'!AD21&lt;='Reeksen (N)'!AE21,R21*'Reeksen (N)'!C21,0),IF(BC21&gt;=BA21,0,IF('Reeksen (N)'!AD21&lt;='Reeksen (N)'!AE21,(BA21-BC21)*R21,0)))</f>
        <v>0</v>
      </c>
      <c r="V21" s="86">
        <f ca="1">IF(BD21&lt;1,IF('Reeksen (N)'!AD21&gt;'Reeksen (N)'!AE21,R21*'Reeksen (N)'!C21,0),IF(BC21&gt;=BA21,0,IF('Reeksen (N)'!AD21&gt;'Reeksen (N)'!AE21,(BA21-BC21)*R21,0)))</f>
        <v>0</v>
      </c>
      <c r="W21" s="218">
        <f t="shared" ca="1" si="7"/>
        <v>0</v>
      </c>
      <c r="X21" s="98">
        <f ca="1">IF('Invoer gegevens (N)'!$C$17=E21,'Invoer gegevens (N)'!$C$10-'Invoer gegevens (N)'!$C$11,IF(C21=1,AC20,0))</f>
        <v>0</v>
      </c>
      <c r="Y21" s="98">
        <f t="shared" ca="1" si="4"/>
        <v>0</v>
      </c>
      <c r="Z21" s="98">
        <f ca="1">(1-('Invoer gegevens (N)'!$F$20/12))*X21*MIN(BA21,BC21)</f>
        <v>0</v>
      </c>
      <c r="AA21" s="98">
        <f ca="1">IF(BD21&lt;1,IF('Reeksen (N)'!AD21&lt;='Reeksen (N)'!AE21,X21*'Reeksen (N)'!C21,0),IF(BC21&gt;=BA21,0,IF('Reeksen (N)'!AD21&lt;='Reeksen (N)'!AE21,(BA21-BC21)*X21,0)))</f>
        <v>0</v>
      </c>
      <c r="AB21" s="98">
        <f ca="1">IF(BD21&lt;1,IF('Reeksen (N)'!AD21&gt;'Reeksen (N)'!AE21,X21*'Reeksen (N)'!C21,0),IF(BC21&gt;=BA21,0,IF('Reeksen (N)'!AD21&gt;'Reeksen (N)'!AE21,(BA21-BC21)*X21,0)))</f>
        <v>0</v>
      </c>
      <c r="AC21" s="99">
        <f t="shared" ca="1" si="8"/>
        <v>0</v>
      </c>
      <c r="AD21" s="98">
        <f ca="1">IF('Invoer gegevens (N)'!$C$17=E21,R21,IF(C21=0,0,AE20))</f>
        <v>0</v>
      </c>
      <c r="AE21" s="98">
        <f t="shared" ca="1" si="9"/>
        <v>0</v>
      </c>
      <c r="AF21" s="98">
        <f ca="1">IF('Invoer gegevens (N)'!$C$17=E21,X21,IF(C21=0,0,AG20))</f>
        <v>0</v>
      </c>
      <c r="AG21" s="98">
        <f t="shared" ca="1" si="10"/>
        <v>0</v>
      </c>
      <c r="AH21" s="66"/>
      <c r="AI21" s="71">
        <f ca="1">IF(C21=1,'Reeksen (N)'!AI21*((F21+K21)/2)*12+'Reeksen (N)'!AD21*((L21+Q21)/2)*12,0)</f>
        <v>0</v>
      </c>
      <c r="AJ21" s="71">
        <f ca="1">-AI21*'Invoer gegevens (N)'!$F$28</f>
        <v>0</v>
      </c>
      <c r="AK21" s="71">
        <f t="shared" ca="1" si="11"/>
        <v>0</v>
      </c>
      <c r="AL21" s="71">
        <f ca="1">IF(C21=1,'Reeksen (N)'!AL21*((F21-G21+F21)/2)*12+'Reeksen (N)'!AM21*((L21-M21+L21)/2)*12,0)</f>
        <v>0</v>
      </c>
      <c r="AM21" s="71">
        <f ca="1">-AL21*'Invoer gegevens (N)'!$F$31</f>
        <v>0</v>
      </c>
      <c r="AN21" s="71">
        <f t="shared" ca="1" si="12"/>
        <v>0</v>
      </c>
      <c r="AO21" s="71">
        <f ca="1">IF(C21=1,(H21+J21+N21+P21)*'Reeksen (N)'!AN21,0)</f>
        <v>0</v>
      </c>
      <c r="AP21" s="71">
        <f ca="1">-IF(C21=1,(H21+J21+N21+P21)*'Hulp - basis'!$O$550*'Reeksen (N)'!H21,0)</f>
        <v>0</v>
      </c>
      <c r="AQ21" s="71">
        <f ca="1">-IF(C21=1,(F21+K21+L21+Q21)/2*'Invoer gegevens (N)'!$F$35*'Reeksen (N)'!J21,0)*2</f>
        <v>0</v>
      </c>
      <c r="AR21" s="71">
        <f ca="1">IF(BD21&lt;1,-IF(C21=1,(G21*'Invoer gegevens (N)'!$F$36)*'Reeksen (N)'!J21,0),0)</f>
        <v>0</v>
      </c>
      <c r="AS21" s="71">
        <f ca="1">-IF(C21=1,(F21+K21+L21+Q21)/2*'Invoer gegevens (N)'!$F$37*'Reeksen (N)'!L21,0)</f>
        <v>0</v>
      </c>
      <c r="AT21" s="71">
        <f ca="1">-IF(C21=1,IF(E21='Invoer gegevens (N)'!$C$17,'Invoer gegevens (N)'!$C$11,AD21)*'Reeksen (N)'!S21*'Invoer gegevens (N)'!$C$18*'Reeksen (N)'!P21,0)</f>
        <v>0</v>
      </c>
      <c r="AU21" s="71">
        <f ca="1">-IF(C21=1,(F21+K21+L21+Q21)/2*'Invoer gegevens (N)'!$F$38*'Reeksen (N)'!H21,0)</f>
        <v>0</v>
      </c>
      <c r="AV21" s="71">
        <v>0</v>
      </c>
      <c r="AW21" s="71">
        <f t="shared" ca="1" si="13"/>
        <v>0</v>
      </c>
      <c r="AX21" s="71">
        <f ca="1">IF(E21&lt;'Invoer gegevens (N)'!$C$17+15,0,IF(E21&gt;'Invoer gegevens (N)'!$C$17+215,0,AW21))</f>
        <v>0</v>
      </c>
      <c r="AY21" s="71">
        <f ca="1">AX21/(1+'Invoer gegevens (N)'!$F$18)^($AZ21-('Invoer gegevens (N)'!$C$17-'Invoer gegevens (N)'!$C$16))/(1+'Invoer gegevens (N)'!$C$39)^('Invoer gegevens (N)'!$C$17-'Invoer gegevens (N)'!$C$16)</f>
        <v>0</v>
      </c>
      <c r="AZ21" s="68">
        <f ca="1">IF(E21-'Invoer gegevens (N)'!$C$17-14.5&lt;0,0,E21-'Invoer gegevens (N)'!$C$17-14.5)</f>
        <v>1.5</v>
      </c>
      <c r="BA21" s="109">
        <f ca="1">IFERROR(VLOOKUP(E21-15,'Reeksen (N)'!$A$5:$D$234,2,FALSE),0)</f>
        <v>0</v>
      </c>
      <c r="BB21" s="109">
        <f ca="1">IFERROR(VLOOKUP(E21-15,'Reeksen (N)'!$A$5:$D$234,3,FALSE),0)</f>
        <v>0</v>
      </c>
      <c r="BC21" s="109">
        <f ca="1">IFERROR(VLOOKUP(E21-15,'Reeksen (N)'!$A$5:$D$234,4,FALSE),0)</f>
        <v>0</v>
      </c>
      <c r="BD21" s="67">
        <f ca="1">IF(E21-'Invoer gegevens (N)'!$C$17&lt;15,0,1)</f>
        <v>1</v>
      </c>
    </row>
    <row r="22" spans="1:56" x14ac:dyDescent="0.25">
      <c r="A22" s="59"/>
      <c r="B22" s="70">
        <f t="shared" si="14"/>
        <v>18</v>
      </c>
      <c r="C22" s="67">
        <f ca="1">IF(E22-'Invoer gegevens (N)'!$C$17&lt;0,0,1)</f>
        <v>1</v>
      </c>
      <c r="D22" s="68">
        <f t="shared" si="15"/>
        <v>17.5</v>
      </c>
      <c r="E22" s="108">
        <f ca="1">IF('Invoer gegevens (N)'!$C$16="","",E21+1)</f>
        <v>2036</v>
      </c>
      <c r="F22" s="84">
        <f ca="1">IF('Invoer gegevens (N)'!$C$17=E22,'Invoer gegevens (N)'!$C$10,IF(C22=1,K21,0))</f>
        <v>0</v>
      </c>
      <c r="G22" s="96">
        <f ca="1">IF(BD22&lt;1,F22*'Reeksen (N)'!C22,IF(C22&gt;=1,F22*BA22,0))</f>
        <v>0</v>
      </c>
      <c r="H22" s="84">
        <f ca="1">(1-('Invoer gegevens (N)'!$F$20/12))*F22*MIN(BA22,BC22)</f>
        <v>0</v>
      </c>
      <c r="I22" s="84">
        <f t="shared" ca="1" si="0"/>
        <v>0</v>
      </c>
      <c r="J22" s="84">
        <f ca="1">('Invoer gegevens (N)'!$F$20/12)*F21*MIN(BA22,BC22)</f>
        <v>0</v>
      </c>
      <c r="K22" s="97">
        <f t="shared" ca="1" si="5"/>
        <v>0</v>
      </c>
      <c r="L22" s="84">
        <f ca="1">IF('Invoer gegevens (N)'!$C$17=E22,0,IF(C22=1,Q21,0))</f>
        <v>0</v>
      </c>
      <c r="M22" s="96">
        <f t="shared" ca="1" si="1"/>
        <v>0</v>
      </c>
      <c r="N22" s="84">
        <f ca="1">(1-('Invoer gegevens (N)'!$F$20/12))*L22*MIN(BA22,BC22)</f>
        <v>0</v>
      </c>
      <c r="O22" s="84">
        <f t="shared" ca="1" si="2"/>
        <v>0</v>
      </c>
      <c r="P22" s="84">
        <f ca="1">('Invoer gegevens (N)'!$F$20/12)*L21*MIN(BA22,BC22)</f>
        <v>0</v>
      </c>
      <c r="Q22" s="84">
        <f t="shared" ca="1" si="6"/>
        <v>0</v>
      </c>
      <c r="R22" s="85">
        <f ca="1">IF('Invoer gegevens (N)'!$C$17=E22,'Invoer gegevens (N)'!$C$11,IF(C22=1,W21,0))</f>
        <v>0</v>
      </c>
      <c r="S22" s="86">
        <f t="shared" ca="1" si="3"/>
        <v>0</v>
      </c>
      <c r="T22" s="86">
        <f ca="1">(1-('Invoer gegevens (N)'!$F$20/12))*R22*MIN(BC22,BA22)</f>
        <v>0</v>
      </c>
      <c r="U22" s="86">
        <f ca="1">IF(BD22&lt;1,IF('Reeksen (N)'!AD22&lt;='Reeksen (N)'!AE22,R22*'Reeksen (N)'!C22,0),IF(BC22&gt;=BA22,0,IF('Reeksen (N)'!AD22&lt;='Reeksen (N)'!AE22,(BA22-BC22)*R22,0)))</f>
        <v>0</v>
      </c>
      <c r="V22" s="86">
        <f ca="1">IF(BD22&lt;1,IF('Reeksen (N)'!AD22&gt;'Reeksen (N)'!AE22,R22*'Reeksen (N)'!C22,0),IF(BC22&gt;=BA22,0,IF('Reeksen (N)'!AD22&gt;'Reeksen (N)'!AE22,(BA22-BC22)*R22,0)))</f>
        <v>0</v>
      </c>
      <c r="W22" s="218">
        <f t="shared" ca="1" si="7"/>
        <v>0</v>
      </c>
      <c r="X22" s="98">
        <f ca="1">IF('Invoer gegevens (N)'!$C$17=E22,'Invoer gegevens (N)'!$C$10-'Invoer gegevens (N)'!$C$11,IF(C22=1,AC21,0))</f>
        <v>0</v>
      </c>
      <c r="Y22" s="98">
        <f t="shared" ca="1" si="4"/>
        <v>0</v>
      </c>
      <c r="Z22" s="98">
        <f ca="1">(1-('Invoer gegevens (N)'!$F$20/12))*X22*MIN(BA22,BC22)</f>
        <v>0</v>
      </c>
      <c r="AA22" s="98">
        <f ca="1">IF(BD22&lt;1,IF('Reeksen (N)'!AD22&lt;='Reeksen (N)'!AE22,X22*'Reeksen (N)'!C22,0),IF(BC22&gt;=BA22,0,IF('Reeksen (N)'!AD22&lt;='Reeksen (N)'!AE22,(BA22-BC22)*X22,0)))</f>
        <v>0</v>
      </c>
      <c r="AB22" s="98">
        <f ca="1">IF(BD22&lt;1,IF('Reeksen (N)'!AD22&gt;'Reeksen (N)'!AE22,X22*'Reeksen (N)'!C22,0),IF(BC22&gt;=BA22,0,IF('Reeksen (N)'!AD22&gt;'Reeksen (N)'!AE22,(BA22-BC22)*X22,0)))</f>
        <v>0</v>
      </c>
      <c r="AC22" s="99">
        <f t="shared" ca="1" si="8"/>
        <v>0</v>
      </c>
      <c r="AD22" s="98">
        <f ca="1">IF('Invoer gegevens (N)'!$C$17=E22,R22,IF(C22=0,0,AE21))</f>
        <v>0</v>
      </c>
      <c r="AE22" s="98">
        <f t="shared" ca="1" si="9"/>
        <v>0</v>
      </c>
      <c r="AF22" s="98">
        <f ca="1">IF('Invoer gegevens (N)'!$C$17=E22,X22,IF(C22=0,0,AG21))</f>
        <v>0</v>
      </c>
      <c r="AG22" s="98">
        <f t="shared" ca="1" si="10"/>
        <v>0</v>
      </c>
      <c r="AH22" s="66"/>
      <c r="AI22" s="71">
        <f ca="1">IF(C22=1,'Reeksen (N)'!AI22*((F22+K22)/2)*12+'Reeksen (N)'!AD22*((L22+Q22)/2)*12,0)</f>
        <v>0</v>
      </c>
      <c r="AJ22" s="71">
        <f ca="1">-AI22*'Invoer gegevens (N)'!$F$28</f>
        <v>0</v>
      </c>
      <c r="AK22" s="71">
        <f t="shared" ca="1" si="11"/>
        <v>0</v>
      </c>
      <c r="AL22" s="71">
        <f ca="1">IF(C22=1,'Reeksen (N)'!AL22*((F22-G22+F22)/2)*12+'Reeksen (N)'!AM22*((L22-M22+L22)/2)*12,0)</f>
        <v>0</v>
      </c>
      <c r="AM22" s="71">
        <f ca="1">-AL22*'Invoer gegevens (N)'!$F$31</f>
        <v>0</v>
      </c>
      <c r="AN22" s="71">
        <f t="shared" ca="1" si="12"/>
        <v>0</v>
      </c>
      <c r="AO22" s="71">
        <f ca="1">IF(C22=1,(H22+J22+N22+P22)*'Reeksen (N)'!AN22,0)</f>
        <v>0</v>
      </c>
      <c r="AP22" s="71">
        <f ca="1">-IF(C22=1,(H22+J22+N22+P22)*'Hulp - basis'!$O$550*'Reeksen (N)'!H22,0)</f>
        <v>0</v>
      </c>
      <c r="AQ22" s="71">
        <f ca="1">-IF(C22=1,(F22+K22+L22+Q22)/2*'Invoer gegevens (N)'!$F$35*'Reeksen (N)'!J22,0)*2</f>
        <v>0</v>
      </c>
      <c r="AR22" s="71">
        <f ca="1">IF(BD22&lt;1,-IF(C22=1,(G22*'Invoer gegevens (N)'!$F$36)*'Reeksen (N)'!J22,0),0)</f>
        <v>0</v>
      </c>
      <c r="AS22" s="71">
        <f ca="1">-IF(C22=1,(F22+K22+L22+Q22)/2*'Invoer gegevens (N)'!$F$37*'Reeksen (N)'!L22,0)</f>
        <v>0</v>
      </c>
      <c r="AT22" s="71">
        <f ca="1">-IF(C22=1,IF(E22='Invoer gegevens (N)'!$C$17,'Invoer gegevens (N)'!$C$11,AD22)*'Reeksen (N)'!S22*'Invoer gegevens (N)'!$C$18*'Reeksen (N)'!P22,0)</f>
        <v>0</v>
      </c>
      <c r="AU22" s="71">
        <f ca="1">-IF(C22=1,(F22+K22+L22+Q22)/2*'Invoer gegevens (N)'!$F$38*'Reeksen (N)'!H22,0)</f>
        <v>0</v>
      </c>
      <c r="AV22" s="71">
        <v>0</v>
      </c>
      <c r="AW22" s="71">
        <f t="shared" ca="1" si="13"/>
        <v>0</v>
      </c>
      <c r="AX22" s="71">
        <f ca="1">IF(E22&lt;'Invoer gegevens (N)'!$C$17+15,0,IF(E22&gt;'Invoer gegevens (N)'!$C$17+215,0,AW22))</f>
        <v>0</v>
      </c>
      <c r="AY22" s="71">
        <f ca="1">AX22/(1+'Invoer gegevens (N)'!$F$18)^($AZ22-('Invoer gegevens (N)'!$C$17-'Invoer gegevens (N)'!$C$16))/(1+'Invoer gegevens (N)'!$C$39)^('Invoer gegevens (N)'!$C$17-'Invoer gegevens (N)'!$C$16)</f>
        <v>0</v>
      </c>
      <c r="AZ22" s="68">
        <f ca="1">IF(E22-'Invoer gegevens (N)'!$C$17-14.5&lt;0,0,E22-'Invoer gegevens (N)'!$C$17-14.5)</f>
        <v>2.5</v>
      </c>
      <c r="BA22" s="109">
        <f ca="1">IFERROR(VLOOKUP(E22-15,'Reeksen (N)'!$A$5:$D$234,2,FALSE),0)</f>
        <v>0</v>
      </c>
      <c r="BB22" s="109">
        <f ca="1">IFERROR(VLOOKUP(E22-15,'Reeksen (N)'!$A$5:$D$234,3,FALSE),0)</f>
        <v>0</v>
      </c>
      <c r="BC22" s="109">
        <f ca="1">IFERROR(VLOOKUP(E22-15,'Reeksen (N)'!$A$5:$D$234,4,FALSE),0)</f>
        <v>0</v>
      </c>
      <c r="BD22" s="67">
        <f ca="1">IF(E22-'Invoer gegevens (N)'!$C$17&lt;15,0,1)</f>
        <v>1</v>
      </c>
    </row>
    <row r="23" spans="1:56" x14ac:dyDescent="0.25">
      <c r="A23" s="59"/>
      <c r="B23" s="70">
        <f t="shared" si="14"/>
        <v>19</v>
      </c>
      <c r="C23" s="67">
        <f ca="1">IF(E23-'Invoer gegevens (N)'!$C$17&lt;0,0,1)</f>
        <v>1</v>
      </c>
      <c r="D23" s="68">
        <f t="shared" si="15"/>
        <v>18.5</v>
      </c>
      <c r="E23" s="108">
        <f ca="1">IF('Invoer gegevens (N)'!$C$16="","",E22+1)</f>
        <v>2037</v>
      </c>
      <c r="F23" s="84">
        <f ca="1">IF('Invoer gegevens (N)'!$C$17=E23,'Invoer gegevens (N)'!$C$10,IF(C23=1,K22,0))</f>
        <v>0</v>
      </c>
      <c r="G23" s="96">
        <f ca="1">IF(BD23&lt;1,F23*'Reeksen (N)'!C23,IF(C23&gt;=1,F23*BA23,0))</f>
        <v>0</v>
      </c>
      <c r="H23" s="84">
        <f ca="1">(1-('Invoer gegevens (N)'!$F$20/12))*F23*MIN(BA23,BC23)</f>
        <v>0</v>
      </c>
      <c r="I23" s="84">
        <f t="shared" ca="1" si="0"/>
        <v>0</v>
      </c>
      <c r="J23" s="84">
        <f ca="1">('Invoer gegevens (N)'!$F$20/12)*F22*MIN(BA23,BC23)</f>
        <v>0</v>
      </c>
      <c r="K23" s="97">
        <f t="shared" ca="1" si="5"/>
        <v>0</v>
      </c>
      <c r="L23" s="84">
        <f ca="1">IF('Invoer gegevens (N)'!$C$17=E23,0,IF(C23=1,Q22,0))</f>
        <v>0</v>
      </c>
      <c r="M23" s="96">
        <f t="shared" ca="1" si="1"/>
        <v>0</v>
      </c>
      <c r="N23" s="84">
        <f ca="1">(1-('Invoer gegevens (N)'!$F$20/12))*L23*MIN(BA23,BC23)</f>
        <v>0</v>
      </c>
      <c r="O23" s="84">
        <f t="shared" ca="1" si="2"/>
        <v>0</v>
      </c>
      <c r="P23" s="84">
        <f ca="1">('Invoer gegevens (N)'!$F$20/12)*L22*MIN(BA23,BC23)</f>
        <v>0</v>
      </c>
      <c r="Q23" s="84">
        <f t="shared" ca="1" si="6"/>
        <v>0</v>
      </c>
      <c r="R23" s="85">
        <f ca="1">IF('Invoer gegevens (N)'!$C$17=E23,'Invoer gegevens (N)'!$C$11,IF(C23=1,W22,0))</f>
        <v>0</v>
      </c>
      <c r="S23" s="86">
        <f t="shared" ca="1" si="3"/>
        <v>0</v>
      </c>
      <c r="T23" s="86">
        <f ca="1">(1-('Invoer gegevens (N)'!$F$20/12))*R23*MIN(BC23,BA23)</f>
        <v>0</v>
      </c>
      <c r="U23" s="86">
        <f ca="1">IF(BD23&lt;1,IF('Reeksen (N)'!AD23&lt;='Reeksen (N)'!AE23,R23*'Reeksen (N)'!C23,0),IF(BC23&gt;=BA23,0,IF('Reeksen (N)'!AD23&lt;='Reeksen (N)'!AE23,(BA23-BC23)*R23,0)))</f>
        <v>0</v>
      </c>
      <c r="V23" s="86">
        <f ca="1">IF(BD23&lt;1,IF('Reeksen (N)'!AD23&gt;'Reeksen (N)'!AE23,R23*'Reeksen (N)'!C23,0),IF(BC23&gt;=BA23,0,IF('Reeksen (N)'!AD23&gt;'Reeksen (N)'!AE23,(BA23-BC23)*R23,0)))</f>
        <v>0</v>
      </c>
      <c r="W23" s="218">
        <f t="shared" ca="1" si="7"/>
        <v>0</v>
      </c>
      <c r="X23" s="98">
        <f ca="1">IF('Invoer gegevens (N)'!$C$17=E23,'Invoer gegevens (N)'!$C$10-'Invoer gegevens (N)'!$C$11,IF(C23=1,AC22,0))</f>
        <v>0</v>
      </c>
      <c r="Y23" s="98">
        <f t="shared" ca="1" si="4"/>
        <v>0</v>
      </c>
      <c r="Z23" s="98">
        <f ca="1">(1-('Invoer gegevens (N)'!$F$20/12))*X23*MIN(BA23,BC23)</f>
        <v>0</v>
      </c>
      <c r="AA23" s="98">
        <f ca="1">IF(BD23&lt;1,IF('Reeksen (N)'!AD23&lt;='Reeksen (N)'!AE23,X23*'Reeksen (N)'!C23,0),IF(BC23&gt;=BA23,0,IF('Reeksen (N)'!AD23&lt;='Reeksen (N)'!AE23,(BA23-BC23)*X23,0)))</f>
        <v>0</v>
      </c>
      <c r="AB23" s="98">
        <f ca="1">IF(BD23&lt;1,IF('Reeksen (N)'!AD23&gt;'Reeksen (N)'!AE23,X23*'Reeksen (N)'!C23,0),IF(BC23&gt;=BA23,0,IF('Reeksen (N)'!AD23&gt;'Reeksen (N)'!AE23,(BA23-BC23)*X23,0)))</f>
        <v>0</v>
      </c>
      <c r="AC23" s="99">
        <f t="shared" ca="1" si="8"/>
        <v>0</v>
      </c>
      <c r="AD23" s="98">
        <f ca="1">IF('Invoer gegevens (N)'!$C$17=E23,R23,IF(C23=0,0,AE22))</f>
        <v>0</v>
      </c>
      <c r="AE23" s="98">
        <f t="shared" ca="1" si="9"/>
        <v>0</v>
      </c>
      <c r="AF23" s="98">
        <f ca="1">IF('Invoer gegevens (N)'!$C$17=E23,X23,IF(C23=0,0,AG22))</f>
        <v>0</v>
      </c>
      <c r="AG23" s="98">
        <f t="shared" ca="1" si="10"/>
        <v>0</v>
      </c>
      <c r="AH23" s="66"/>
      <c r="AI23" s="71">
        <f ca="1">IF(C23=1,'Reeksen (N)'!AI23*((F23+K23)/2)*12+'Reeksen (N)'!AD23*((L23+Q23)/2)*12,0)</f>
        <v>0</v>
      </c>
      <c r="AJ23" s="71">
        <f ca="1">-AI23*'Invoer gegevens (N)'!$F$28</f>
        <v>0</v>
      </c>
      <c r="AK23" s="71">
        <f t="shared" ca="1" si="11"/>
        <v>0</v>
      </c>
      <c r="AL23" s="71">
        <f ca="1">IF(C23=1,'Reeksen (N)'!AL23*((F23-G23+F23)/2)*12+'Reeksen (N)'!AM23*((L23-M23+L23)/2)*12,0)</f>
        <v>0</v>
      </c>
      <c r="AM23" s="71">
        <f ca="1">-AL23*'Invoer gegevens (N)'!$F$31</f>
        <v>0</v>
      </c>
      <c r="AN23" s="71">
        <f t="shared" ca="1" si="12"/>
        <v>0</v>
      </c>
      <c r="AO23" s="71">
        <f ca="1">IF(C23=1,(H23+J23+N23+P23)*'Reeksen (N)'!AN23,0)</f>
        <v>0</v>
      </c>
      <c r="AP23" s="71">
        <f ca="1">-IF(C23=1,(H23+J23+N23+P23)*'Hulp - basis'!$O$550*'Reeksen (N)'!H23,0)</f>
        <v>0</v>
      </c>
      <c r="AQ23" s="71">
        <f ca="1">-IF(C23=1,(F23+K23+L23+Q23)/2*'Invoer gegevens (N)'!$F$35*'Reeksen (N)'!J23,0)*2</f>
        <v>0</v>
      </c>
      <c r="AR23" s="71">
        <f ca="1">IF(BD23&lt;1,-IF(C23=1,(G23*'Invoer gegevens (N)'!$F$36)*'Reeksen (N)'!J23,0),0)</f>
        <v>0</v>
      </c>
      <c r="AS23" s="71">
        <f ca="1">-IF(C23=1,(F23+K23+L23+Q23)/2*'Invoer gegevens (N)'!$F$37*'Reeksen (N)'!L23,0)</f>
        <v>0</v>
      </c>
      <c r="AT23" s="71">
        <f ca="1">-IF(C23=1,IF(E23='Invoer gegevens (N)'!$C$17,'Invoer gegevens (N)'!$C$11,AD23)*'Reeksen (N)'!S23*'Invoer gegevens (N)'!$C$18*'Reeksen (N)'!P23,0)</f>
        <v>0</v>
      </c>
      <c r="AU23" s="71">
        <f ca="1">-IF(C23=1,(F23+K23+L23+Q23)/2*'Invoer gegevens (N)'!$F$38*'Reeksen (N)'!H23,0)</f>
        <v>0</v>
      </c>
      <c r="AV23" s="71">
        <v>0</v>
      </c>
      <c r="AW23" s="71">
        <f t="shared" ca="1" si="13"/>
        <v>0</v>
      </c>
      <c r="AX23" s="71">
        <f ca="1">IF(E23&lt;'Invoer gegevens (N)'!$C$17+15,0,IF(E23&gt;'Invoer gegevens (N)'!$C$17+215,0,AW23))</f>
        <v>0</v>
      </c>
      <c r="AY23" s="71">
        <f ca="1">AX23/(1+'Invoer gegevens (N)'!$F$18)^($AZ23-('Invoer gegevens (N)'!$C$17-'Invoer gegevens (N)'!$C$16))/(1+'Invoer gegevens (N)'!$C$39)^('Invoer gegevens (N)'!$C$17-'Invoer gegevens (N)'!$C$16)</f>
        <v>0</v>
      </c>
      <c r="AZ23" s="68">
        <f ca="1">IF(E23-'Invoer gegevens (N)'!$C$17-14.5&lt;0,0,E23-'Invoer gegevens (N)'!$C$17-14.5)</f>
        <v>3.5</v>
      </c>
      <c r="BA23" s="109">
        <f ca="1">IFERROR(VLOOKUP(E23-15,'Reeksen (N)'!$A$5:$D$234,2,FALSE),0)</f>
        <v>0</v>
      </c>
      <c r="BB23" s="109">
        <f ca="1">IFERROR(VLOOKUP(E23-15,'Reeksen (N)'!$A$5:$D$234,3,FALSE),0)</f>
        <v>0</v>
      </c>
      <c r="BC23" s="109">
        <f ca="1">IFERROR(VLOOKUP(E23-15,'Reeksen (N)'!$A$5:$D$234,4,FALSE),0)</f>
        <v>0</v>
      </c>
      <c r="BD23" s="67">
        <f ca="1">IF(E23-'Invoer gegevens (N)'!$C$17&lt;15,0,1)</f>
        <v>1</v>
      </c>
    </row>
    <row r="24" spans="1:56" x14ac:dyDescent="0.25">
      <c r="A24" s="59"/>
      <c r="B24" s="70">
        <f t="shared" si="14"/>
        <v>20</v>
      </c>
      <c r="C24" s="67">
        <f ca="1">IF(E24-'Invoer gegevens (N)'!$C$17&lt;0,0,1)</f>
        <v>1</v>
      </c>
      <c r="D24" s="68">
        <f t="shared" si="15"/>
        <v>19.5</v>
      </c>
      <c r="E24" s="108">
        <f ca="1">IF('Invoer gegevens (N)'!$C$16="","",E23+1)</f>
        <v>2038</v>
      </c>
      <c r="F24" s="84">
        <f ca="1">IF('Invoer gegevens (N)'!$C$17=E24,'Invoer gegevens (N)'!$C$10,IF(C24=1,K23,0))</f>
        <v>0</v>
      </c>
      <c r="G24" s="96">
        <f ca="1">IF(BD24&lt;1,F24*'Reeksen (N)'!C24,IF(C24&gt;=1,F24*BA24,0))</f>
        <v>0</v>
      </c>
      <c r="H24" s="84">
        <f ca="1">(1-('Invoer gegevens (N)'!$F$20/12))*F24*MIN(BA24,BC24)</f>
        <v>0</v>
      </c>
      <c r="I24" s="84">
        <f t="shared" ca="1" si="0"/>
        <v>0</v>
      </c>
      <c r="J24" s="84">
        <f ca="1">('Invoer gegevens (N)'!$F$20/12)*F23*MIN(BA24,BC24)</f>
        <v>0</v>
      </c>
      <c r="K24" s="97">
        <f t="shared" ca="1" si="5"/>
        <v>0</v>
      </c>
      <c r="L24" s="84">
        <f ca="1">IF('Invoer gegevens (N)'!$C$17=E24,0,IF(C24=1,Q23,0))</f>
        <v>0</v>
      </c>
      <c r="M24" s="96">
        <f t="shared" ca="1" si="1"/>
        <v>0</v>
      </c>
      <c r="N24" s="84">
        <f ca="1">(1-('Invoer gegevens (N)'!$F$20/12))*L24*MIN(BA24,BC24)</f>
        <v>0</v>
      </c>
      <c r="O24" s="84">
        <f t="shared" ca="1" si="2"/>
        <v>0</v>
      </c>
      <c r="P24" s="84">
        <f ca="1">('Invoer gegevens (N)'!$F$20/12)*L23*MIN(BA24,BC24)</f>
        <v>0</v>
      </c>
      <c r="Q24" s="84">
        <f t="shared" ca="1" si="6"/>
        <v>0</v>
      </c>
      <c r="R24" s="85">
        <f ca="1">IF('Invoer gegevens (N)'!$C$17=E24,'Invoer gegevens (N)'!$C$11,IF(C24=1,W23,0))</f>
        <v>0</v>
      </c>
      <c r="S24" s="86">
        <f t="shared" ca="1" si="3"/>
        <v>0</v>
      </c>
      <c r="T24" s="86">
        <f ca="1">(1-('Invoer gegevens (N)'!$F$20/12))*R24*MIN(BC24,BA24)</f>
        <v>0</v>
      </c>
      <c r="U24" s="86">
        <f ca="1">IF(BD24&lt;1,IF('Reeksen (N)'!AD24&lt;='Reeksen (N)'!AE24,R24*'Reeksen (N)'!C24,0),IF(BC24&gt;=BA24,0,IF('Reeksen (N)'!AD24&lt;='Reeksen (N)'!AE24,(BA24-BC24)*R24,0)))</f>
        <v>0</v>
      </c>
      <c r="V24" s="86">
        <f ca="1">IF(BD24&lt;1,IF('Reeksen (N)'!AD24&gt;'Reeksen (N)'!AE24,R24*'Reeksen (N)'!C24,0),IF(BC24&gt;=BA24,0,IF('Reeksen (N)'!AD24&gt;'Reeksen (N)'!AE24,(BA24-BC24)*R24,0)))</f>
        <v>0</v>
      </c>
      <c r="W24" s="218">
        <f t="shared" ca="1" si="7"/>
        <v>0</v>
      </c>
      <c r="X24" s="98">
        <f ca="1">IF('Invoer gegevens (N)'!$C$17=E24,'Invoer gegevens (N)'!$C$10-'Invoer gegevens (N)'!$C$11,IF(C24=1,AC23,0))</f>
        <v>0</v>
      </c>
      <c r="Y24" s="98">
        <f t="shared" ca="1" si="4"/>
        <v>0</v>
      </c>
      <c r="Z24" s="98">
        <f ca="1">(1-('Invoer gegevens (N)'!$F$20/12))*X24*MIN(BA24,BC24)</f>
        <v>0</v>
      </c>
      <c r="AA24" s="98">
        <f ca="1">IF(BD24&lt;1,IF('Reeksen (N)'!AD24&lt;='Reeksen (N)'!AE24,X24*'Reeksen (N)'!C24,0),IF(BC24&gt;=BA24,0,IF('Reeksen (N)'!AD24&lt;='Reeksen (N)'!AE24,(BA24-BC24)*X24,0)))</f>
        <v>0</v>
      </c>
      <c r="AB24" s="98">
        <f ca="1">IF(BD24&lt;1,IF('Reeksen (N)'!AD24&gt;'Reeksen (N)'!AE24,X24*'Reeksen (N)'!C24,0),IF(BC24&gt;=BA24,0,IF('Reeksen (N)'!AD24&gt;'Reeksen (N)'!AE24,(BA24-BC24)*X24,0)))</f>
        <v>0</v>
      </c>
      <c r="AC24" s="99">
        <f t="shared" ca="1" si="8"/>
        <v>0</v>
      </c>
      <c r="AD24" s="98">
        <f ca="1">IF('Invoer gegevens (N)'!$C$17=E24,R24,IF(C24=0,0,AE23))</f>
        <v>0</v>
      </c>
      <c r="AE24" s="98">
        <f t="shared" ca="1" si="9"/>
        <v>0</v>
      </c>
      <c r="AF24" s="98">
        <f ca="1">IF('Invoer gegevens (N)'!$C$17=E24,X24,IF(C24=0,0,AG23))</f>
        <v>0</v>
      </c>
      <c r="AG24" s="98">
        <f t="shared" ca="1" si="10"/>
        <v>0</v>
      </c>
      <c r="AH24" s="66"/>
      <c r="AI24" s="71">
        <f ca="1">IF(C24=1,'Reeksen (N)'!AI24*((F24+K24)/2)*12+'Reeksen (N)'!AD24*((L24+Q24)/2)*12,0)</f>
        <v>0</v>
      </c>
      <c r="AJ24" s="71">
        <f ca="1">-AI24*'Invoer gegevens (N)'!$F$28</f>
        <v>0</v>
      </c>
      <c r="AK24" s="71">
        <f t="shared" ca="1" si="11"/>
        <v>0</v>
      </c>
      <c r="AL24" s="71">
        <f ca="1">IF(C24=1,'Reeksen (N)'!AL24*((F24-G24+F24)/2)*12+'Reeksen (N)'!AM24*((L24-M24+L24)/2)*12,0)</f>
        <v>0</v>
      </c>
      <c r="AM24" s="71">
        <f ca="1">-AL24*'Invoer gegevens (N)'!$F$31</f>
        <v>0</v>
      </c>
      <c r="AN24" s="71">
        <f t="shared" ca="1" si="12"/>
        <v>0</v>
      </c>
      <c r="AO24" s="71">
        <f ca="1">IF(C24=1,(H24+J24+N24+P24)*'Reeksen (N)'!AN24,0)</f>
        <v>0</v>
      </c>
      <c r="AP24" s="71">
        <f ca="1">-IF(C24=1,(H24+J24+N24+P24)*'Hulp - basis'!$O$550*'Reeksen (N)'!H24,0)</f>
        <v>0</v>
      </c>
      <c r="AQ24" s="71">
        <f ca="1">-IF(C24=1,(F24+K24+L24+Q24)/2*'Invoer gegevens (N)'!$F$35*'Reeksen (N)'!J24,0)*2</f>
        <v>0</v>
      </c>
      <c r="AR24" s="71">
        <f ca="1">IF(BD24&lt;1,-IF(C24=1,(G24*'Invoer gegevens (N)'!$F$36)*'Reeksen (N)'!J24,0),0)</f>
        <v>0</v>
      </c>
      <c r="AS24" s="71">
        <f ca="1">-IF(C24=1,(F24+K24+L24+Q24)/2*'Invoer gegevens (N)'!$F$37*'Reeksen (N)'!L24,0)</f>
        <v>0</v>
      </c>
      <c r="AT24" s="71">
        <f ca="1">-IF(C24=1,IF(E24='Invoer gegevens (N)'!$C$17,'Invoer gegevens (N)'!$C$11,AD24)*'Reeksen (N)'!S24*'Invoer gegevens (N)'!$C$18*'Reeksen (N)'!P24,0)</f>
        <v>0</v>
      </c>
      <c r="AU24" s="71">
        <f ca="1">-IF(C24=1,(F24+K24+L24+Q24)/2*'Invoer gegevens (N)'!$F$38*'Reeksen (N)'!H24,0)</f>
        <v>0</v>
      </c>
      <c r="AV24" s="71">
        <v>0</v>
      </c>
      <c r="AW24" s="71">
        <f t="shared" ca="1" si="13"/>
        <v>0</v>
      </c>
      <c r="AX24" s="71">
        <f ca="1">IF(E24&lt;'Invoer gegevens (N)'!$C$17+15,0,IF(E24&gt;'Invoer gegevens (N)'!$C$17+215,0,AW24))</f>
        <v>0</v>
      </c>
      <c r="AY24" s="71">
        <f ca="1">AX24/(1+'Invoer gegevens (N)'!$F$18)^($AZ24-('Invoer gegevens (N)'!$C$17-'Invoer gegevens (N)'!$C$16))/(1+'Invoer gegevens (N)'!$C$39)^('Invoer gegevens (N)'!$C$17-'Invoer gegevens (N)'!$C$16)</f>
        <v>0</v>
      </c>
      <c r="AZ24" s="68">
        <f ca="1">IF(E24-'Invoer gegevens (N)'!$C$17-14.5&lt;0,0,E24-'Invoer gegevens (N)'!$C$17-14.5)</f>
        <v>4.5</v>
      </c>
      <c r="BA24" s="109">
        <f ca="1">IFERROR(VLOOKUP(E24-15,'Reeksen (N)'!$A$5:$D$234,2,FALSE),0)</f>
        <v>0</v>
      </c>
      <c r="BB24" s="109">
        <f ca="1">IFERROR(VLOOKUP(E24-15,'Reeksen (N)'!$A$5:$D$234,3,FALSE),0)</f>
        <v>0</v>
      </c>
      <c r="BC24" s="109">
        <f ca="1">IFERROR(VLOOKUP(E24-15,'Reeksen (N)'!$A$5:$D$234,4,FALSE),0)</f>
        <v>0</v>
      </c>
      <c r="BD24" s="67">
        <f ca="1">IF(E24-'Invoer gegevens (N)'!$C$17&lt;15,0,1)</f>
        <v>1</v>
      </c>
    </row>
    <row r="25" spans="1:56" x14ac:dyDescent="0.25">
      <c r="A25" s="59"/>
      <c r="B25" s="70">
        <f t="shared" si="14"/>
        <v>21</v>
      </c>
      <c r="C25" s="67">
        <f ca="1">IF(E25-'Invoer gegevens (N)'!$C$17&lt;0,0,1)</f>
        <v>1</v>
      </c>
      <c r="D25" s="68">
        <f t="shared" si="15"/>
        <v>20.5</v>
      </c>
      <c r="E25" s="108">
        <f ca="1">IF('Invoer gegevens (N)'!$C$16="","",E24+1)</f>
        <v>2039</v>
      </c>
      <c r="F25" s="84">
        <f ca="1">IF('Invoer gegevens (N)'!$C$17=E25,'Invoer gegevens (N)'!$C$10,IF(C25=1,K24,0))</f>
        <v>0</v>
      </c>
      <c r="G25" s="96">
        <f ca="1">IF(BD25&lt;1,F25*'Reeksen (N)'!C25,IF(C25&gt;=1,F25*BA25,0))</f>
        <v>0</v>
      </c>
      <c r="H25" s="84">
        <f ca="1">(1-('Invoer gegevens (N)'!$F$20/12))*F25*MIN(BA25,BC25)</f>
        <v>0</v>
      </c>
      <c r="I25" s="84">
        <f t="shared" ca="1" si="0"/>
        <v>0</v>
      </c>
      <c r="J25" s="84">
        <f ca="1">('Invoer gegevens (N)'!$F$20/12)*F24*MIN(BA25,BC25)</f>
        <v>0</v>
      </c>
      <c r="K25" s="97">
        <f t="shared" ca="1" si="5"/>
        <v>0</v>
      </c>
      <c r="L25" s="84">
        <f ca="1">IF('Invoer gegevens (N)'!$C$17=E25,0,IF(C25=1,Q24,0))</f>
        <v>0</v>
      </c>
      <c r="M25" s="96">
        <f t="shared" ca="1" si="1"/>
        <v>0</v>
      </c>
      <c r="N25" s="84">
        <f ca="1">(1-('Invoer gegevens (N)'!$F$20/12))*L25*MIN(BA25,BC25)</f>
        <v>0</v>
      </c>
      <c r="O25" s="84">
        <f t="shared" ca="1" si="2"/>
        <v>0</v>
      </c>
      <c r="P25" s="84">
        <f ca="1">('Invoer gegevens (N)'!$F$20/12)*L24*MIN(BA25,BC25)</f>
        <v>0</v>
      </c>
      <c r="Q25" s="84">
        <f t="shared" ca="1" si="6"/>
        <v>0</v>
      </c>
      <c r="R25" s="85">
        <f ca="1">IF('Invoer gegevens (N)'!$C$17=E25,'Invoer gegevens (N)'!$C$11,IF(C25=1,W24,0))</f>
        <v>0</v>
      </c>
      <c r="S25" s="86">
        <f t="shared" ca="1" si="3"/>
        <v>0</v>
      </c>
      <c r="T25" s="86">
        <f ca="1">(1-('Invoer gegevens (N)'!$F$20/12))*R25*MIN(BC25,BA25)</f>
        <v>0</v>
      </c>
      <c r="U25" s="86">
        <f ca="1">IF(BD25&lt;1,IF('Reeksen (N)'!AD25&lt;='Reeksen (N)'!AE25,R25*'Reeksen (N)'!C25,0),IF(BC25&gt;=BA25,0,IF('Reeksen (N)'!AD25&lt;='Reeksen (N)'!AE25,(BA25-BC25)*R25,0)))</f>
        <v>0</v>
      </c>
      <c r="V25" s="86">
        <f ca="1">IF(BD25&lt;1,IF('Reeksen (N)'!AD25&gt;'Reeksen (N)'!AE25,R25*'Reeksen (N)'!C25,0),IF(BC25&gt;=BA25,0,IF('Reeksen (N)'!AD25&gt;'Reeksen (N)'!AE25,(BA25-BC25)*R25,0)))</f>
        <v>0</v>
      </c>
      <c r="W25" s="218">
        <f t="shared" ca="1" si="7"/>
        <v>0</v>
      </c>
      <c r="X25" s="98">
        <f ca="1">IF('Invoer gegevens (N)'!$C$17=E25,'Invoer gegevens (N)'!$C$10-'Invoer gegevens (N)'!$C$11,IF(C25=1,AC24,0))</f>
        <v>0</v>
      </c>
      <c r="Y25" s="98">
        <f t="shared" ca="1" si="4"/>
        <v>0</v>
      </c>
      <c r="Z25" s="98">
        <f ca="1">(1-('Invoer gegevens (N)'!$F$20/12))*X25*MIN(BA25,BC25)</f>
        <v>0</v>
      </c>
      <c r="AA25" s="98">
        <f ca="1">IF(BD25&lt;1,IF('Reeksen (N)'!AD25&lt;='Reeksen (N)'!AE25,X25*'Reeksen (N)'!C25,0),IF(BC25&gt;=BA25,0,IF('Reeksen (N)'!AD25&lt;='Reeksen (N)'!AE25,(BA25-BC25)*X25,0)))</f>
        <v>0</v>
      </c>
      <c r="AB25" s="98">
        <f ca="1">IF(BD25&lt;1,IF('Reeksen (N)'!AD25&gt;'Reeksen (N)'!AE25,X25*'Reeksen (N)'!C25,0),IF(BC25&gt;=BA25,0,IF('Reeksen (N)'!AD25&gt;'Reeksen (N)'!AE25,(BA25-BC25)*X25,0)))</f>
        <v>0</v>
      </c>
      <c r="AC25" s="99">
        <f t="shared" ca="1" si="8"/>
        <v>0</v>
      </c>
      <c r="AD25" s="98">
        <f ca="1">IF('Invoer gegevens (N)'!$C$17=E25,R25,IF(C25=0,0,AE24))</f>
        <v>0</v>
      </c>
      <c r="AE25" s="98">
        <f t="shared" ca="1" si="9"/>
        <v>0</v>
      </c>
      <c r="AF25" s="98">
        <f ca="1">IF('Invoer gegevens (N)'!$C$17=E25,X25,IF(C25=0,0,AG24))</f>
        <v>0</v>
      </c>
      <c r="AG25" s="98">
        <f t="shared" ca="1" si="10"/>
        <v>0</v>
      </c>
      <c r="AH25" s="66"/>
      <c r="AI25" s="71">
        <f ca="1">IF(C25=1,'Reeksen (N)'!AI25*((F25+K25)/2)*12+'Reeksen (N)'!AD25*((L25+Q25)/2)*12,0)</f>
        <v>0</v>
      </c>
      <c r="AJ25" s="71">
        <f ca="1">-AI25*'Invoer gegevens (N)'!$F$28</f>
        <v>0</v>
      </c>
      <c r="AK25" s="71">
        <f t="shared" ca="1" si="11"/>
        <v>0</v>
      </c>
      <c r="AL25" s="71">
        <f ca="1">IF(C25=1,'Reeksen (N)'!AL25*((F25-G25+F25)/2)*12+'Reeksen (N)'!AM25*((L25-M25+L25)/2)*12,0)</f>
        <v>0</v>
      </c>
      <c r="AM25" s="71">
        <f ca="1">-AL25*'Invoer gegevens (N)'!$F$31</f>
        <v>0</v>
      </c>
      <c r="AN25" s="71">
        <f t="shared" ca="1" si="12"/>
        <v>0</v>
      </c>
      <c r="AO25" s="71">
        <f ca="1">IF(C25=1,(H25+J25+N25+P25)*'Reeksen (N)'!AN25,0)</f>
        <v>0</v>
      </c>
      <c r="AP25" s="71">
        <f ca="1">-IF(C25=1,(H25+J25+N25+P25)*'Hulp - basis'!$O$550*'Reeksen (N)'!H25,0)</f>
        <v>0</v>
      </c>
      <c r="AQ25" s="71">
        <f ca="1">-IF(C25=1,(F25+K25+L25+Q25)/2*'Invoer gegevens (N)'!$F$35*'Reeksen (N)'!J25,0)*2</f>
        <v>0</v>
      </c>
      <c r="AR25" s="71">
        <f ca="1">IF(BD25&lt;1,-IF(C25=1,(G25*'Invoer gegevens (N)'!$F$36)*'Reeksen (N)'!J25,0),0)</f>
        <v>0</v>
      </c>
      <c r="AS25" s="71">
        <f ca="1">-IF(C25=1,(F25+K25+L25+Q25)/2*'Invoer gegevens (N)'!$F$37*'Reeksen (N)'!L25,0)</f>
        <v>0</v>
      </c>
      <c r="AT25" s="71">
        <f ca="1">-IF(C25=1,IF(E25='Invoer gegevens (N)'!$C$17,'Invoer gegevens (N)'!$C$11,AD25)*'Reeksen (N)'!S25*'Invoer gegevens (N)'!$C$18*'Reeksen (N)'!P25,0)</f>
        <v>0</v>
      </c>
      <c r="AU25" s="71">
        <f ca="1">-IF(C25=1,(F25+K25+L25+Q25)/2*'Invoer gegevens (N)'!$F$38*'Reeksen (N)'!H25,0)</f>
        <v>0</v>
      </c>
      <c r="AV25" s="71">
        <v>0</v>
      </c>
      <c r="AW25" s="71">
        <f t="shared" ca="1" si="13"/>
        <v>0</v>
      </c>
      <c r="AX25" s="71">
        <f ca="1">IF(E25&lt;'Invoer gegevens (N)'!$C$17+15,0,IF(E25&gt;'Invoer gegevens (N)'!$C$17+215,0,AW25))</f>
        <v>0</v>
      </c>
      <c r="AY25" s="71">
        <f ca="1">AX25/(1+'Invoer gegevens (N)'!$F$18)^($AZ25-('Invoer gegevens (N)'!$C$17-'Invoer gegevens (N)'!$C$16))/(1+'Invoer gegevens (N)'!$C$39)^('Invoer gegevens (N)'!$C$17-'Invoer gegevens (N)'!$C$16)</f>
        <v>0</v>
      </c>
      <c r="AZ25" s="68">
        <f ca="1">IF(E25-'Invoer gegevens (N)'!$C$17-14.5&lt;0,0,E25-'Invoer gegevens (N)'!$C$17-14.5)</f>
        <v>5.5</v>
      </c>
      <c r="BA25" s="109">
        <f ca="1">IFERROR(VLOOKUP(E25-15,'Reeksen (N)'!$A$5:$D$234,2,FALSE),0)</f>
        <v>0</v>
      </c>
      <c r="BB25" s="109">
        <f ca="1">IFERROR(VLOOKUP(E25-15,'Reeksen (N)'!$A$5:$D$234,3,FALSE),0)</f>
        <v>0</v>
      </c>
      <c r="BC25" s="109">
        <f ca="1">IFERROR(VLOOKUP(E25-15,'Reeksen (N)'!$A$5:$D$234,4,FALSE),0)</f>
        <v>0</v>
      </c>
      <c r="BD25" s="67">
        <f ca="1">IF(E25-'Invoer gegevens (N)'!$C$17&lt;15,0,1)</f>
        <v>1</v>
      </c>
    </row>
    <row r="26" spans="1:56" x14ac:dyDescent="0.25">
      <c r="A26" s="59"/>
      <c r="B26" s="70">
        <f>B25+1</f>
        <v>22</v>
      </c>
      <c r="C26" s="67">
        <f ca="1">IF(E26-'Invoer gegevens (N)'!$C$17&lt;0,0,1)</f>
        <v>1</v>
      </c>
      <c r="D26" s="68">
        <f t="shared" si="15"/>
        <v>21.5</v>
      </c>
      <c r="E26" s="108">
        <f ca="1">IF('Invoer gegevens (N)'!$C$16="","",E25+1)</f>
        <v>2040</v>
      </c>
      <c r="F26" s="84">
        <f ca="1">IF('Invoer gegevens (N)'!$C$17=E26,'Invoer gegevens (N)'!$C$10,IF(C26=1,K25,0))</f>
        <v>0</v>
      </c>
      <c r="G26" s="96">
        <f ca="1">IF(BD26&lt;1,F26*'Reeksen (N)'!C26,IF(C26&gt;=1,F26*BA26,0))</f>
        <v>0</v>
      </c>
      <c r="H26" s="84">
        <f ca="1">(1-('Invoer gegevens (N)'!$F$20/12))*F26*MIN(BA26,BC26)</f>
        <v>0</v>
      </c>
      <c r="I26" s="84">
        <f t="shared" ca="1" si="0"/>
        <v>0</v>
      </c>
      <c r="J26" s="84">
        <f ca="1">('Invoer gegevens (N)'!$F$20/12)*F25*MIN(BA26,BC26)</f>
        <v>0</v>
      </c>
      <c r="K26" s="97">
        <f t="shared" ca="1" si="5"/>
        <v>0</v>
      </c>
      <c r="L26" s="84">
        <f ca="1">IF('Invoer gegevens (N)'!$C$17=E26,0,IF(C26=1,Q25,0))</f>
        <v>0</v>
      </c>
      <c r="M26" s="96">
        <f t="shared" ca="1" si="1"/>
        <v>0</v>
      </c>
      <c r="N26" s="84">
        <f ca="1">(1-('Invoer gegevens (N)'!$F$20/12))*L26*MIN(BA26,BC26)</f>
        <v>0</v>
      </c>
      <c r="O26" s="84">
        <f t="shared" ca="1" si="2"/>
        <v>0</v>
      </c>
      <c r="P26" s="84">
        <f ca="1">('Invoer gegevens (N)'!$F$20/12)*L25*MIN(BA26,BC26)</f>
        <v>0</v>
      </c>
      <c r="Q26" s="84">
        <f t="shared" ca="1" si="6"/>
        <v>0</v>
      </c>
      <c r="R26" s="85">
        <f ca="1">IF('Invoer gegevens (N)'!$C$17=E26,'Invoer gegevens (N)'!$C$11,IF(C26=1,W25,0))</f>
        <v>0</v>
      </c>
      <c r="S26" s="86">
        <f t="shared" ca="1" si="3"/>
        <v>0</v>
      </c>
      <c r="T26" s="86">
        <f ca="1">(1-('Invoer gegevens (N)'!$F$20/12))*R26*MIN(BC26,BA26)</f>
        <v>0</v>
      </c>
      <c r="U26" s="86">
        <f ca="1">IF(BD26&lt;1,IF('Reeksen (N)'!AD26&lt;='Reeksen (N)'!AE26,R26*'Reeksen (N)'!C26,0),IF(BC26&gt;=BA26,0,IF('Reeksen (N)'!AD26&lt;='Reeksen (N)'!AE26,(BA26-BC26)*R26,0)))</f>
        <v>0</v>
      </c>
      <c r="V26" s="86">
        <f ca="1">IF(BD26&lt;1,IF('Reeksen (N)'!AD26&gt;'Reeksen (N)'!AE26,R26*'Reeksen (N)'!C26,0),IF(BC26&gt;=BA26,0,IF('Reeksen (N)'!AD26&gt;'Reeksen (N)'!AE26,(BA26-BC26)*R26,0)))</f>
        <v>0</v>
      </c>
      <c r="W26" s="218">
        <f t="shared" ca="1" si="7"/>
        <v>0</v>
      </c>
      <c r="X26" s="98">
        <f ca="1">IF('Invoer gegevens (N)'!$C$17=E26,'Invoer gegevens (N)'!$C$10-'Invoer gegevens (N)'!$C$11,IF(C26=1,AC25,0))</f>
        <v>0</v>
      </c>
      <c r="Y26" s="98">
        <f t="shared" ca="1" si="4"/>
        <v>0</v>
      </c>
      <c r="Z26" s="98">
        <f ca="1">(1-('Invoer gegevens (N)'!$F$20/12))*X26*MIN(BA26,BC26)</f>
        <v>0</v>
      </c>
      <c r="AA26" s="98">
        <f ca="1">IF(BD26&lt;1,IF('Reeksen (N)'!AD26&lt;='Reeksen (N)'!AE26,X26*'Reeksen (N)'!C26,0),IF(BC26&gt;=BA26,0,IF('Reeksen (N)'!AD26&lt;='Reeksen (N)'!AE26,(BA26-BC26)*X26,0)))</f>
        <v>0</v>
      </c>
      <c r="AB26" s="98">
        <f ca="1">IF(BD26&lt;1,IF('Reeksen (N)'!AD26&gt;'Reeksen (N)'!AE26,X26*'Reeksen (N)'!C26,0),IF(BC26&gt;=BA26,0,IF('Reeksen (N)'!AD26&gt;'Reeksen (N)'!AE26,(BA26-BC26)*X26,0)))</f>
        <v>0</v>
      </c>
      <c r="AC26" s="99">
        <f t="shared" ca="1" si="8"/>
        <v>0</v>
      </c>
      <c r="AD26" s="98">
        <f ca="1">IF('Invoer gegevens (N)'!$C$17=E26,R26,IF(C26=0,0,AE25))</f>
        <v>0</v>
      </c>
      <c r="AE26" s="98">
        <f t="shared" ca="1" si="9"/>
        <v>0</v>
      </c>
      <c r="AF26" s="98">
        <f ca="1">IF('Invoer gegevens (N)'!$C$17=E26,X26,IF(C26=0,0,AG25))</f>
        <v>0</v>
      </c>
      <c r="AG26" s="98">
        <f t="shared" ca="1" si="10"/>
        <v>0</v>
      </c>
      <c r="AH26" s="66"/>
      <c r="AI26" s="71">
        <f ca="1">IF(C26=1,'Reeksen (N)'!AI26*((F26+K26)/2)*12+'Reeksen (N)'!AD26*((L26+Q26)/2)*12,0)</f>
        <v>0</v>
      </c>
      <c r="AJ26" s="71">
        <f ca="1">-AI26*'Invoer gegevens (N)'!$F$28</f>
        <v>0</v>
      </c>
      <c r="AK26" s="71">
        <f t="shared" ca="1" si="11"/>
        <v>0</v>
      </c>
      <c r="AL26" s="71">
        <f ca="1">IF(C26=1,'Reeksen (N)'!AL26*((F26-G26+F26)/2)*12+'Reeksen (N)'!AM26*((L26-M26+L26)/2)*12,0)</f>
        <v>0</v>
      </c>
      <c r="AM26" s="71">
        <f ca="1">-AL26*'Invoer gegevens (N)'!$F$31</f>
        <v>0</v>
      </c>
      <c r="AN26" s="71">
        <f t="shared" ca="1" si="12"/>
        <v>0</v>
      </c>
      <c r="AO26" s="71">
        <f ca="1">IF(C26=1,(H26+J26+N26+P26)*'Reeksen (N)'!AN26,0)</f>
        <v>0</v>
      </c>
      <c r="AP26" s="71">
        <f ca="1">-IF(C26=1,(H26+J26+N26+P26)*'Hulp - basis'!$O$550*'Reeksen (N)'!H26,0)</f>
        <v>0</v>
      </c>
      <c r="AQ26" s="71">
        <f ca="1">-IF(C26=1,(F26+K26+L26+Q26)/2*'Invoer gegevens (N)'!$F$35*'Reeksen (N)'!J26,0)*2</f>
        <v>0</v>
      </c>
      <c r="AR26" s="71">
        <f ca="1">IF(BD26&lt;1,-IF(C26=1,(G26*'Invoer gegevens (N)'!$F$36)*'Reeksen (N)'!J26,0),0)</f>
        <v>0</v>
      </c>
      <c r="AS26" s="71">
        <f ca="1">-IF(C26=1,(F26+K26+L26+Q26)/2*'Invoer gegevens (N)'!$F$37*'Reeksen (N)'!L26,0)</f>
        <v>0</v>
      </c>
      <c r="AT26" s="71">
        <f ca="1">-IF(C26=1,IF(E26='Invoer gegevens (N)'!$C$17,'Invoer gegevens (N)'!$C$11,AD26)*'Reeksen (N)'!S26*'Invoer gegevens (N)'!$C$18*'Reeksen (N)'!P26,0)</f>
        <v>0</v>
      </c>
      <c r="AU26" s="71">
        <f ca="1">-IF(C26=1,(F26+K26+L26+Q26)/2*'Invoer gegevens (N)'!$F$38*'Reeksen (N)'!H26,0)</f>
        <v>0</v>
      </c>
      <c r="AV26" s="71">
        <v>0</v>
      </c>
      <c r="AW26" s="71">
        <f t="shared" ca="1" si="13"/>
        <v>0</v>
      </c>
      <c r="AX26" s="71">
        <f ca="1">IF(E26&lt;'Invoer gegevens (N)'!$C$17+15,0,IF(E26&gt;'Invoer gegevens (N)'!$C$17+215,0,AW26))</f>
        <v>0</v>
      </c>
      <c r="AY26" s="71">
        <f ca="1">AX26/(1+'Invoer gegevens (N)'!$F$18)^($AZ26-('Invoer gegevens (N)'!$C$17-'Invoer gegevens (N)'!$C$16))/(1+'Invoer gegevens (N)'!$C$39)^('Invoer gegevens (N)'!$C$17-'Invoer gegevens (N)'!$C$16)</f>
        <v>0</v>
      </c>
      <c r="AZ26" s="68">
        <f ca="1">IF(E26-'Invoer gegevens (N)'!$C$17-14.5&lt;0,0,E26-'Invoer gegevens (N)'!$C$17-14.5)</f>
        <v>6.5</v>
      </c>
      <c r="BA26" s="109">
        <f ca="1">IFERROR(VLOOKUP(E26-15,'Reeksen (N)'!$A$5:$D$234,2,FALSE),0)</f>
        <v>0</v>
      </c>
      <c r="BB26" s="109">
        <f ca="1">IFERROR(VLOOKUP(E26-15,'Reeksen (N)'!$A$5:$D$234,3,FALSE),0)</f>
        <v>0</v>
      </c>
      <c r="BC26" s="109">
        <f ca="1">IFERROR(VLOOKUP(E26-15,'Reeksen (N)'!$A$5:$D$234,4,FALSE),0)</f>
        <v>0</v>
      </c>
      <c r="BD26" s="67">
        <f ca="1">IF(E26-'Invoer gegevens (N)'!$C$17&lt;15,0,1)</f>
        <v>1</v>
      </c>
    </row>
    <row r="27" spans="1:56" x14ac:dyDescent="0.25">
      <c r="A27" s="59"/>
      <c r="B27" s="70">
        <f t="shared" si="14"/>
        <v>23</v>
      </c>
      <c r="C27" s="67">
        <f ca="1">IF(E27-'Invoer gegevens (N)'!$C$17&lt;0,0,1)</f>
        <v>1</v>
      </c>
      <c r="D27" s="68">
        <f t="shared" si="15"/>
        <v>22.5</v>
      </c>
      <c r="E27" s="108">
        <f ca="1">IF('Invoer gegevens (N)'!$C$16="","",E26+1)</f>
        <v>2041</v>
      </c>
      <c r="F27" s="84">
        <f ca="1">IF('Invoer gegevens (N)'!$C$17=E27,'Invoer gegevens (N)'!$C$10,IF(C27=1,K26,0))</f>
        <v>0</v>
      </c>
      <c r="G27" s="96">
        <f ca="1">IF(BD27&lt;1,F27*'Reeksen (N)'!C27,IF(C27&gt;=1,F27*BA27,0))</f>
        <v>0</v>
      </c>
      <c r="H27" s="84">
        <f ca="1">(1-('Invoer gegevens (N)'!$F$20/12))*F27*MIN(BA27,BC27)</f>
        <v>0</v>
      </c>
      <c r="I27" s="84">
        <f t="shared" ca="1" si="0"/>
        <v>0</v>
      </c>
      <c r="J27" s="84">
        <f ca="1">('Invoer gegevens (N)'!$F$20/12)*F26*MIN(BA27,BC27)</f>
        <v>0</v>
      </c>
      <c r="K27" s="97">
        <f t="shared" ca="1" si="5"/>
        <v>0</v>
      </c>
      <c r="L27" s="84">
        <f ca="1">IF('Invoer gegevens (N)'!$C$17=E27,0,IF(C27=1,Q26,0))</f>
        <v>0</v>
      </c>
      <c r="M27" s="96">
        <f t="shared" ca="1" si="1"/>
        <v>0</v>
      </c>
      <c r="N27" s="84">
        <f ca="1">(1-('Invoer gegevens (N)'!$F$20/12))*L27*MIN(BA27,BC27)</f>
        <v>0</v>
      </c>
      <c r="O27" s="84">
        <f t="shared" ca="1" si="2"/>
        <v>0</v>
      </c>
      <c r="P27" s="84">
        <f ca="1">('Invoer gegevens (N)'!$F$20/12)*L26*MIN(BA27,BC27)</f>
        <v>0</v>
      </c>
      <c r="Q27" s="84">
        <f t="shared" ca="1" si="6"/>
        <v>0</v>
      </c>
      <c r="R27" s="85">
        <f ca="1">IF('Invoer gegevens (N)'!$C$17=E27,'Invoer gegevens (N)'!$C$11,IF(C27=1,W26,0))</f>
        <v>0</v>
      </c>
      <c r="S27" s="86">
        <f t="shared" ca="1" si="3"/>
        <v>0</v>
      </c>
      <c r="T27" s="86">
        <f ca="1">(1-('Invoer gegevens (N)'!$F$20/12))*R27*MIN(BC27,BA27)</f>
        <v>0</v>
      </c>
      <c r="U27" s="86">
        <f ca="1">IF(BD27&lt;1,IF('Reeksen (N)'!AD27&lt;='Reeksen (N)'!AE27,R27*'Reeksen (N)'!C27,0),IF(BC27&gt;=BA27,0,IF('Reeksen (N)'!AD27&lt;='Reeksen (N)'!AE27,(BA27-BC27)*R27,0)))</f>
        <v>0</v>
      </c>
      <c r="V27" s="86">
        <f ca="1">IF(BD27&lt;1,IF('Reeksen (N)'!AD27&gt;'Reeksen (N)'!AE27,R27*'Reeksen (N)'!C27,0),IF(BC27&gt;=BA27,0,IF('Reeksen (N)'!AD27&gt;'Reeksen (N)'!AE27,(BA27-BC27)*R27,0)))</f>
        <v>0</v>
      </c>
      <c r="W27" s="218">
        <f t="shared" ca="1" si="7"/>
        <v>0</v>
      </c>
      <c r="X27" s="98">
        <f ca="1">IF('Invoer gegevens (N)'!$C$17=E27,'Invoer gegevens (N)'!$C$10-'Invoer gegevens (N)'!$C$11,IF(C27=1,AC26,0))</f>
        <v>0</v>
      </c>
      <c r="Y27" s="98">
        <f t="shared" ca="1" si="4"/>
        <v>0</v>
      </c>
      <c r="Z27" s="98">
        <f ca="1">(1-('Invoer gegevens (N)'!$F$20/12))*X27*MIN(BA27,BC27)</f>
        <v>0</v>
      </c>
      <c r="AA27" s="98">
        <f ca="1">IF(BD27&lt;1,IF('Reeksen (N)'!AD27&lt;='Reeksen (N)'!AE27,X27*'Reeksen (N)'!C27,0),IF(BC27&gt;=BA27,0,IF('Reeksen (N)'!AD27&lt;='Reeksen (N)'!AE27,(BA27-BC27)*X27,0)))</f>
        <v>0</v>
      </c>
      <c r="AB27" s="98">
        <f ca="1">IF(BD27&lt;1,IF('Reeksen (N)'!AD27&gt;'Reeksen (N)'!AE27,X27*'Reeksen (N)'!C27,0),IF(BC27&gt;=BA27,0,IF('Reeksen (N)'!AD27&gt;'Reeksen (N)'!AE27,(BA27-BC27)*X27,0)))</f>
        <v>0</v>
      </c>
      <c r="AC27" s="99">
        <f t="shared" ca="1" si="8"/>
        <v>0</v>
      </c>
      <c r="AD27" s="98">
        <f ca="1">IF('Invoer gegevens (N)'!$C$17=E27,R27,IF(C27=0,0,AE26))</f>
        <v>0</v>
      </c>
      <c r="AE27" s="98">
        <f t="shared" ca="1" si="9"/>
        <v>0</v>
      </c>
      <c r="AF27" s="98">
        <f ca="1">IF('Invoer gegevens (N)'!$C$17=E27,X27,IF(C27=0,0,AG26))</f>
        <v>0</v>
      </c>
      <c r="AG27" s="98">
        <f t="shared" ca="1" si="10"/>
        <v>0</v>
      </c>
      <c r="AH27" s="66"/>
      <c r="AI27" s="71">
        <f ca="1">IF(C27=1,'Reeksen (N)'!AI27*((F27+K27)/2)*12+'Reeksen (N)'!AD27*((L27+Q27)/2)*12,0)</f>
        <v>0</v>
      </c>
      <c r="AJ27" s="71">
        <f ca="1">-AI27*'Invoer gegevens (N)'!$F$28</f>
        <v>0</v>
      </c>
      <c r="AK27" s="71">
        <f t="shared" ca="1" si="11"/>
        <v>0</v>
      </c>
      <c r="AL27" s="71">
        <f ca="1">IF(C27=1,'Reeksen (N)'!AL27*((F27-G27+F27)/2)*12+'Reeksen (N)'!AM27*((L27-M27+L27)/2)*12,0)</f>
        <v>0</v>
      </c>
      <c r="AM27" s="71">
        <f ca="1">-AL27*'Invoer gegevens (N)'!$F$31</f>
        <v>0</v>
      </c>
      <c r="AN27" s="71">
        <f t="shared" ca="1" si="12"/>
        <v>0</v>
      </c>
      <c r="AO27" s="71">
        <f ca="1">IF(C27=1,(H27+J27+N27+P27)*'Reeksen (N)'!AN27,0)</f>
        <v>0</v>
      </c>
      <c r="AP27" s="71">
        <f ca="1">-IF(C27=1,(H27+J27+N27+P27)*'Hulp - basis'!$O$550*'Reeksen (N)'!H27,0)</f>
        <v>0</v>
      </c>
      <c r="AQ27" s="71">
        <f ca="1">-IF(C27=1,(F27+K27+L27+Q27)/2*'Invoer gegevens (N)'!$F$35*'Reeksen (N)'!J27,0)*2</f>
        <v>0</v>
      </c>
      <c r="AR27" s="71">
        <f ca="1">IF(BD27&lt;1,-IF(C27=1,(G27*'Invoer gegevens (N)'!$F$36)*'Reeksen (N)'!J27,0),0)</f>
        <v>0</v>
      </c>
      <c r="AS27" s="71">
        <f ca="1">-IF(C27=1,(F27+K27+L27+Q27)/2*'Invoer gegevens (N)'!$F$37*'Reeksen (N)'!L27,0)</f>
        <v>0</v>
      </c>
      <c r="AT27" s="71">
        <f ca="1">-IF(C27=1,IF(E27='Invoer gegevens (N)'!$C$17,'Invoer gegevens (N)'!$C$11,AD27)*'Reeksen (N)'!S27*'Invoer gegevens (N)'!$C$18*'Reeksen (N)'!P27,0)</f>
        <v>0</v>
      </c>
      <c r="AU27" s="71">
        <f ca="1">-IF(C27=1,(F27+K27+L27+Q27)/2*'Invoer gegevens (N)'!$F$38*'Reeksen (N)'!H27,0)</f>
        <v>0</v>
      </c>
      <c r="AV27" s="71">
        <v>0</v>
      </c>
      <c r="AW27" s="71">
        <f t="shared" ca="1" si="13"/>
        <v>0</v>
      </c>
      <c r="AX27" s="71">
        <f ca="1">IF(E27&lt;'Invoer gegevens (N)'!$C$17+15,0,IF(E27&gt;'Invoer gegevens (N)'!$C$17+215,0,AW27))</f>
        <v>0</v>
      </c>
      <c r="AY27" s="71">
        <f ca="1">AX27/(1+'Invoer gegevens (N)'!$F$18)^($AZ27-('Invoer gegevens (N)'!$C$17-'Invoer gegevens (N)'!$C$16))/(1+'Invoer gegevens (N)'!$C$39)^('Invoer gegevens (N)'!$C$17-'Invoer gegevens (N)'!$C$16)</f>
        <v>0</v>
      </c>
      <c r="AZ27" s="68">
        <f ca="1">IF(E27-'Invoer gegevens (N)'!$C$17-14.5&lt;0,0,E27-'Invoer gegevens (N)'!$C$17-14.5)</f>
        <v>7.5</v>
      </c>
      <c r="BA27" s="109">
        <f ca="1">IFERROR(VLOOKUP(E27-15,'Reeksen (N)'!$A$5:$D$234,2,FALSE),0)</f>
        <v>0</v>
      </c>
      <c r="BB27" s="109">
        <f ca="1">IFERROR(VLOOKUP(E27-15,'Reeksen (N)'!$A$5:$D$234,3,FALSE),0)</f>
        <v>0</v>
      </c>
      <c r="BC27" s="109">
        <f ca="1">IFERROR(VLOOKUP(E27-15,'Reeksen (N)'!$A$5:$D$234,4,FALSE),0)</f>
        <v>0</v>
      </c>
      <c r="BD27" s="67">
        <f ca="1">IF(E27-'Invoer gegevens (N)'!$C$17&lt;15,0,1)</f>
        <v>1</v>
      </c>
    </row>
    <row r="28" spans="1:56" x14ac:dyDescent="0.25">
      <c r="A28" s="59"/>
      <c r="B28" s="70">
        <f t="shared" si="14"/>
        <v>24</v>
      </c>
      <c r="C28" s="67">
        <f ca="1">IF(E28-'Invoer gegevens (N)'!$C$17&lt;0,0,1)</f>
        <v>1</v>
      </c>
      <c r="D28" s="68">
        <f t="shared" si="15"/>
        <v>23.5</v>
      </c>
      <c r="E28" s="108">
        <f ca="1">IF('Invoer gegevens (N)'!$C$16="","",E27+1)</f>
        <v>2042</v>
      </c>
      <c r="F28" s="84">
        <f ca="1">IF('Invoer gegevens (N)'!$C$17=E28,'Invoer gegevens (N)'!$C$10,IF(C28=1,K27,0))</f>
        <v>0</v>
      </c>
      <c r="G28" s="96">
        <f ca="1">IF(BD28&lt;1,F28*'Reeksen (N)'!C28,IF(C28&gt;=1,F28*BA28,0))</f>
        <v>0</v>
      </c>
      <c r="H28" s="84">
        <f ca="1">(1-('Invoer gegevens (N)'!$F$20/12))*F28*MIN(BA28,BC28)</f>
        <v>0</v>
      </c>
      <c r="I28" s="84">
        <f t="shared" ca="1" si="0"/>
        <v>0</v>
      </c>
      <c r="J28" s="84">
        <f ca="1">('Invoer gegevens (N)'!$F$20/12)*F27*MIN(BA28,BC28)</f>
        <v>0</v>
      </c>
      <c r="K28" s="97">
        <f t="shared" ca="1" si="5"/>
        <v>0</v>
      </c>
      <c r="L28" s="84">
        <f ca="1">IF('Invoer gegevens (N)'!$C$17=E28,0,IF(C28=1,Q27,0))</f>
        <v>0</v>
      </c>
      <c r="M28" s="96">
        <f t="shared" ca="1" si="1"/>
        <v>0</v>
      </c>
      <c r="N28" s="84">
        <f ca="1">(1-('Invoer gegevens (N)'!$F$20/12))*L28*MIN(BA28,BC28)</f>
        <v>0</v>
      </c>
      <c r="O28" s="84">
        <f t="shared" ca="1" si="2"/>
        <v>0</v>
      </c>
      <c r="P28" s="84">
        <f ca="1">('Invoer gegevens (N)'!$F$20/12)*L27*MIN(BA28,BC28)</f>
        <v>0</v>
      </c>
      <c r="Q28" s="84">
        <f t="shared" ca="1" si="6"/>
        <v>0</v>
      </c>
      <c r="R28" s="85">
        <f ca="1">IF('Invoer gegevens (N)'!$C$17=E28,'Invoer gegevens (N)'!$C$11,IF(C28=1,W27,0))</f>
        <v>0</v>
      </c>
      <c r="S28" s="86">
        <f t="shared" ca="1" si="3"/>
        <v>0</v>
      </c>
      <c r="T28" s="86">
        <f ca="1">(1-('Invoer gegevens (N)'!$F$20/12))*R28*MIN(BC28,BA28)</f>
        <v>0</v>
      </c>
      <c r="U28" s="86">
        <f ca="1">IF(BD28&lt;1,IF('Reeksen (N)'!AD28&lt;='Reeksen (N)'!AE28,R28*'Reeksen (N)'!C28,0),IF(BC28&gt;=BA28,0,IF('Reeksen (N)'!AD28&lt;='Reeksen (N)'!AE28,(BA28-BC28)*R28,0)))</f>
        <v>0</v>
      </c>
      <c r="V28" s="86">
        <f ca="1">IF(BD28&lt;1,IF('Reeksen (N)'!AD28&gt;'Reeksen (N)'!AE28,R28*'Reeksen (N)'!C28,0),IF(BC28&gt;=BA28,0,IF('Reeksen (N)'!AD28&gt;'Reeksen (N)'!AE28,(BA28-BC28)*R28,0)))</f>
        <v>0</v>
      </c>
      <c r="W28" s="218">
        <f t="shared" ca="1" si="7"/>
        <v>0</v>
      </c>
      <c r="X28" s="98">
        <f ca="1">IF('Invoer gegevens (N)'!$C$17=E28,'Invoer gegevens (N)'!$C$10-'Invoer gegevens (N)'!$C$11,IF(C28=1,AC27,0))</f>
        <v>0</v>
      </c>
      <c r="Y28" s="98">
        <f t="shared" ca="1" si="4"/>
        <v>0</v>
      </c>
      <c r="Z28" s="98">
        <f ca="1">(1-('Invoer gegevens (N)'!$F$20/12))*X28*MIN(BA28,BC28)</f>
        <v>0</v>
      </c>
      <c r="AA28" s="98">
        <f ca="1">IF(BD28&lt;1,IF('Reeksen (N)'!AD28&lt;='Reeksen (N)'!AE28,X28*'Reeksen (N)'!C28,0),IF(BC28&gt;=BA28,0,IF('Reeksen (N)'!AD28&lt;='Reeksen (N)'!AE28,(BA28-BC28)*X28,0)))</f>
        <v>0</v>
      </c>
      <c r="AB28" s="98">
        <f ca="1">IF(BD28&lt;1,IF('Reeksen (N)'!AD28&gt;'Reeksen (N)'!AE28,X28*'Reeksen (N)'!C28,0),IF(BC28&gt;=BA28,0,IF('Reeksen (N)'!AD28&gt;'Reeksen (N)'!AE28,(BA28-BC28)*X28,0)))</f>
        <v>0</v>
      </c>
      <c r="AC28" s="99">
        <f t="shared" ca="1" si="8"/>
        <v>0</v>
      </c>
      <c r="AD28" s="98">
        <f ca="1">IF('Invoer gegevens (N)'!$C$17=E28,R28,IF(C28=0,0,AE27))</f>
        <v>0</v>
      </c>
      <c r="AE28" s="98">
        <f t="shared" ca="1" si="9"/>
        <v>0</v>
      </c>
      <c r="AF28" s="98">
        <f ca="1">IF('Invoer gegevens (N)'!$C$17=E28,X28,IF(C28=0,0,AG27))</f>
        <v>0</v>
      </c>
      <c r="AG28" s="98">
        <f t="shared" ca="1" si="10"/>
        <v>0</v>
      </c>
      <c r="AH28" s="66"/>
      <c r="AI28" s="71">
        <f ca="1">IF(C28=1,'Reeksen (N)'!AI28*((F28+K28)/2)*12+'Reeksen (N)'!AD28*((L28+Q28)/2)*12,0)</f>
        <v>0</v>
      </c>
      <c r="AJ28" s="71">
        <f ca="1">-AI28*'Invoer gegevens (N)'!$F$28</f>
        <v>0</v>
      </c>
      <c r="AK28" s="71">
        <f t="shared" ca="1" si="11"/>
        <v>0</v>
      </c>
      <c r="AL28" s="71">
        <f ca="1">IF(C28=1,'Reeksen (N)'!AL28*((F28-G28+F28)/2)*12+'Reeksen (N)'!AM28*((L28-M28+L28)/2)*12,0)</f>
        <v>0</v>
      </c>
      <c r="AM28" s="71">
        <f ca="1">-AL28*'Invoer gegevens (N)'!$F$31</f>
        <v>0</v>
      </c>
      <c r="AN28" s="71">
        <f t="shared" ca="1" si="12"/>
        <v>0</v>
      </c>
      <c r="AO28" s="71">
        <f ca="1">IF(C28=1,(H28+J28+N28+P28)*'Reeksen (N)'!AN28,0)</f>
        <v>0</v>
      </c>
      <c r="AP28" s="71">
        <f ca="1">-IF(C28=1,(H28+J28+N28+P28)*'Hulp - basis'!$O$550*'Reeksen (N)'!H28,0)</f>
        <v>0</v>
      </c>
      <c r="AQ28" s="71">
        <f ca="1">-IF(C28=1,(F28+K28+L28+Q28)/2*'Invoer gegevens (N)'!$F$35*'Reeksen (N)'!J28,0)*2</f>
        <v>0</v>
      </c>
      <c r="AR28" s="71">
        <f ca="1">IF(BD28&lt;1,-IF(C28=1,(G28*'Invoer gegevens (N)'!$F$36)*'Reeksen (N)'!J28,0),0)</f>
        <v>0</v>
      </c>
      <c r="AS28" s="71">
        <f ca="1">-IF(C28=1,(F28+K28+L28+Q28)/2*'Invoer gegevens (N)'!$F$37*'Reeksen (N)'!L28,0)</f>
        <v>0</v>
      </c>
      <c r="AT28" s="71">
        <f ca="1">-IF(C28=1,IF(E28='Invoer gegevens (N)'!$C$17,'Invoer gegevens (N)'!$C$11,AD28)*'Reeksen (N)'!S28*'Invoer gegevens (N)'!$C$18*'Reeksen (N)'!P28,0)</f>
        <v>0</v>
      </c>
      <c r="AU28" s="71">
        <f ca="1">-IF(C28=1,(F28+K28+L28+Q28)/2*'Invoer gegevens (N)'!$F$38*'Reeksen (N)'!H28,0)</f>
        <v>0</v>
      </c>
      <c r="AV28" s="71">
        <v>0</v>
      </c>
      <c r="AW28" s="71">
        <f t="shared" ca="1" si="13"/>
        <v>0</v>
      </c>
      <c r="AX28" s="71">
        <f ca="1">IF(E28&lt;'Invoer gegevens (N)'!$C$17+15,0,IF(E28&gt;'Invoer gegevens (N)'!$C$17+215,0,AW28))</f>
        <v>0</v>
      </c>
      <c r="AY28" s="71">
        <f ca="1">AX28/(1+'Invoer gegevens (N)'!$F$18)^($AZ28-('Invoer gegevens (N)'!$C$17-'Invoer gegevens (N)'!$C$16))/(1+'Invoer gegevens (N)'!$C$39)^('Invoer gegevens (N)'!$C$17-'Invoer gegevens (N)'!$C$16)</f>
        <v>0</v>
      </c>
      <c r="AZ28" s="68">
        <f ca="1">IF(E28-'Invoer gegevens (N)'!$C$17-14.5&lt;0,0,E28-'Invoer gegevens (N)'!$C$17-14.5)</f>
        <v>8.5</v>
      </c>
      <c r="BA28" s="109">
        <f ca="1">IFERROR(VLOOKUP(E28-15,'Reeksen (N)'!$A$5:$D$234,2,FALSE),0)</f>
        <v>0</v>
      </c>
      <c r="BB28" s="109">
        <f ca="1">IFERROR(VLOOKUP(E28-15,'Reeksen (N)'!$A$5:$D$234,3,FALSE),0)</f>
        <v>0</v>
      </c>
      <c r="BC28" s="109">
        <f ca="1">IFERROR(VLOOKUP(E28-15,'Reeksen (N)'!$A$5:$D$234,4,FALSE),0)</f>
        <v>0</v>
      </c>
      <c r="BD28" s="67">
        <f ca="1">IF(E28-'Invoer gegevens (N)'!$C$17&lt;15,0,1)</f>
        <v>1</v>
      </c>
    </row>
    <row r="29" spans="1:56" x14ac:dyDescent="0.25">
      <c r="A29" s="59"/>
      <c r="B29" s="70">
        <f t="shared" si="14"/>
        <v>25</v>
      </c>
      <c r="C29" s="67">
        <f ca="1">IF(E29-'Invoer gegevens (N)'!$C$17&lt;0,0,1)</f>
        <v>1</v>
      </c>
      <c r="D29" s="68">
        <f t="shared" si="15"/>
        <v>24.5</v>
      </c>
      <c r="E29" s="108">
        <f ca="1">IF('Invoer gegevens (N)'!$C$16="","",E28+1)</f>
        <v>2043</v>
      </c>
      <c r="F29" s="84">
        <f ca="1">IF('Invoer gegevens (N)'!$C$17=E29,'Invoer gegevens (N)'!$C$10,IF(C29=1,K28,0))</f>
        <v>0</v>
      </c>
      <c r="G29" s="96">
        <f ca="1">IF(BD29&lt;1,F29*'Reeksen (N)'!C29,IF(C29&gt;=1,F29*BA29,0))</f>
        <v>0</v>
      </c>
      <c r="H29" s="84">
        <f ca="1">(1-('Invoer gegevens (N)'!$F$20/12))*F29*MIN(BA29,BC29)</f>
        <v>0</v>
      </c>
      <c r="I29" s="84">
        <f t="shared" ca="1" si="0"/>
        <v>0</v>
      </c>
      <c r="J29" s="84">
        <f ca="1">('Invoer gegevens (N)'!$F$20/12)*F28*MIN(BA29,BC29)</f>
        <v>0</v>
      </c>
      <c r="K29" s="97">
        <f t="shared" ca="1" si="5"/>
        <v>0</v>
      </c>
      <c r="L29" s="84">
        <f ca="1">IF('Invoer gegevens (N)'!$C$17=E29,0,IF(C29=1,Q28,0))</f>
        <v>0</v>
      </c>
      <c r="M29" s="96">
        <f t="shared" ca="1" si="1"/>
        <v>0</v>
      </c>
      <c r="N29" s="84">
        <f ca="1">(1-('Invoer gegevens (N)'!$F$20/12))*L29*MIN(BA29,BC29)</f>
        <v>0</v>
      </c>
      <c r="O29" s="84">
        <f t="shared" ca="1" si="2"/>
        <v>0</v>
      </c>
      <c r="P29" s="84">
        <f ca="1">('Invoer gegevens (N)'!$F$20/12)*L28*MIN(BA29,BC29)</f>
        <v>0</v>
      </c>
      <c r="Q29" s="84">
        <f t="shared" ca="1" si="6"/>
        <v>0</v>
      </c>
      <c r="R29" s="85">
        <f ca="1">IF('Invoer gegevens (N)'!$C$17=E29,'Invoer gegevens (N)'!$C$11,IF(C29=1,W28,0))</f>
        <v>0</v>
      </c>
      <c r="S29" s="86">
        <f t="shared" ca="1" si="3"/>
        <v>0</v>
      </c>
      <c r="T29" s="86">
        <f ca="1">(1-('Invoer gegevens (N)'!$F$20/12))*R29*MIN(BC29,BA29)</f>
        <v>0</v>
      </c>
      <c r="U29" s="86">
        <f ca="1">IF(BD29&lt;1,IF('Reeksen (N)'!AD29&lt;='Reeksen (N)'!AE29,R29*'Reeksen (N)'!C29,0),IF(BC29&gt;=BA29,0,IF('Reeksen (N)'!AD29&lt;='Reeksen (N)'!AE29,(BA29-BC29)*R29,0)))</f>
        <v>0</v>
      </c>
      <c r="V29" s="86">
        <f ca="1">IF(BD29&lt;1,IF('Reeksen (N)'!AD29&gt;'Reeksen (N)'!AE29,R29*'Reeksen (N)'!C29,0),IF(BC29&gt;=BA29,0,IF('Reeksen (N)'!AD29&gt;'Reeksen (N)'!AE29,(BA29-BC29)*R29,0)))</f>
        <v>0</v>
      </c>
      <c r="W29" s="218">
        <f t="shared" ca="1" si="7"/>
        <v>0</v>
      </c>
      <c r="X29" s="98">
        <f ca="1">IF('Invoer gegevens (N)'!$C$17=E29,'Invoer gegevens (N)'!$C$10-'Invoer gegevens (N)'!$C$11,IF(C29=1,AC28,0))</f>
        <v>0</v>
      </c>
      <c r="Y29" s="98">
        <f t="shared" ca="1" si="4"/>
        <v>0</v>
      </c>
      <c r="Z29" s="98">
        <f ca="1">(1-('Invoer gegevens (N)'!$F$20/12))*X29*MIN(BA29,BC29)</f>
        <v>0</v>
      </c>
      <c r="AA29" s="98">
        <f ca="1">IF(BD29&lt;1,IF('Reeksen (N)'!AD29&lt;='Reeksen (N)'!AE29,X29*'Reeksen (N)'!C29,0),IF(BC29&gt;=BA29,0,IF('Reeksen (N)'!AD29&lt;='Reeksen (N)'!AE29,(BA29-BC29)*X29,0)))</f>
        <v>0</v>
      </c>
      <c r="AB29" s="98">
        <f ca="1">IF(BD29&lt;1,IF('Reeksen (N)'!AD29&gt;'Reeksen (N)'!AE29,X29*'Reeksen (N)'!C29,0),IF(BC29&gt;=BA29,0,IF('Reeksen (N)'!AD29&gt;'Reeksen (N)'!AE29,(BA29-BC29)*X29,0)))</f>
        <v>0</v>
      </c>
      <c r="AC29" s="99">
        <f t="shared" ca="1" si="8"/>
        <v>0</v>
      </c>
      <c r="AD29" s="98">
        <f ca="1">IF('Invoer gegevens (N)'!$C$17=E29,R29,IF(C29=0,0,AE28))</f>
        <v>0</v>
      </c>
      <c r="AE29" s="98">
        <f t="shared" ca="1" si="9"/>
        <v>0</v>
      </c>
      <c r="AF29" s="98">
        <f ca="1">IF('Invoer gegevens (N)'!$C$17=E29,X29,IF(C29=0,0,AG28))</f>
        <v>0</v>
      </c>
      <c r="AG29" s="98">
        <f t="shared" ca="1" si="10"/>
        <v>0</v>
      </c>
      <c r="AH29" s="66"/>
      <c r="AI29" s="71">
        <f ca="1">IF(C29=1,'Reeksen (N)'!AI29*((F29+K29)/2)*12+'Reeksen (N)'!AD29*((L29+Q29)/2)*12,0)</f>
        <v>0</v>
      </c>
      <c r="AJ29" s="71">
        <f ca="1">-AI29*'Invoer gegevens (N)'!$F$28</f>
        <v>0</v>
      </c>
      <c r="AK29" s="71">
        <f t="shared" ca="1" si="11"/>
        <v>0</v>
      </c>
      <c r="AL29" s="71">
        <f ca="1">IF(C29=1,'Reeksen (N)'!AL29*((F29-G29+F29)/2)*12+'Reeksen (N)'!AM29*((L29-M29+L29)/2)*12,0)</f>
        <v>0</v>
      </c>
      <c r="AM29" s="71">
        <f ca="1">-AL29*'Invoer gegevens (N)'!$F$31</f>
        <v>0</v>
      </c>
      <c r="AN29" s="71">
        <f t="shared" ca="1" si="12"/>
        <v>0</v>
      </c>
      <c r="AO29" s="71">
        <f ca="1">IF(C29=1,(H29+J29+N29+P29)*'Reeksen (N)'!AN29,0)</f>
        <v>0</v>
      </c>
      <c r="AP29" s="71">
        <f ca="1">-IF(C29=1,(H29+J29+N29+P29)*'Hulp - basis'!$O$550*'Reeksen (N)'!H29,0)</f>
        <v>0</v>
      </c>
      <c r="AQ29" s="71">
        <f ca="1">-IF(C29=1,(F29+K29+L29+Q29)/2*'Invoer gegevens (N)'!$F$35*'Reeksen (N)'!J29,0)*2</f>
        <v>0</v>
      </c>
      <c r="AR29" s="71">
        <f ca="1">IF(BD29&lt;1,-IF(C29=1,(G29*'Invoer gegevens (N)'!$F$36)*'Reeksen (N)'!J29,0),0)</f>
        <v>0</v>
      </c>
      <c r="AS29" s="71">
        <f ca="1">-IF(C29=1,(F29+K29+L29+Q29)/2*'Invoer gegevens (N)'!$F$37*'Reeksen (N)'!L29,0)</f>
        <v>0</v>
      </c>
      <c r="AT29" s="71">
        <f ca="1">-IF(C29=1,IF(E29='Invoer gegevens (N)'!$C$17,'Invoer gegevens (N)'!$C$11,AD29)*'Reeksen (N)'!S29*'Invoer gegevens (N)'!$C$18*'Reeksen (N)'!P29,0)</f>
        <v>0</v>
      </c>
      <c r="AU29" s="71">
        <f ca="1">-IF(C29=1,(F29+K29+L29+Q29)/2*'Invoer gegevens (N)'!$F$38*'Reeksen (N)'!H29,0)</f>
        <v>0</v>
      </c>
      <c r="AV29" s="71">
        <v>0</v>
      </c>
      <c r="AW29" s="71">
        <f t="shared" ca="1" si="13"/>
        <v>0</v>
      </c>
      <c r="AX29" s="71">
        <f ca="1">IF(E29&lt;'Invoer gegevens (N)'!$C$17+15,0,IF(E29&gt;'Invoer gegevens (N)'!$C$17+215,0,AW29))</f>
        <v>0</v>
      </c>
      <c r="AY29" s="71">
        <f ca="1">AX29/(1+'Invoer gegevens (N)'!$F$18)^($AZ29-('Invoer gegevens (N)'!$C$17-'Invoer gegevens (N)'!$C$16))/(1+'Invoer gegevens (N)'!$C$39)^('Invoer gegevens (N)'!$C$17-'Invoer gegevens (N)'!$C$16)</f>
        <v>0</v>
      </c>
      <c r="AZ29" s="68">
        <f ca="1">IF(E29-'Invoer gegevens (N)'!$C$17-14.5&lt;0,0,E29-'Invoer gegevens (N)'!$C$17-14.5)</f>
        <v>9.5</v>
      </c>
      <c r="BA29" s="109">
        <f ca="1">IFERROR(VLOOKUP(E29-15,'Reeksen (N)'!$A$5:$D$234,2,FALSE),0)</f>
        <v>0</v>
      </c>
      <c r="BB29" s="109">
        <f ca="1">IFERROR(VLOOKUP(E29-15,'Reeksen (N)'!$A$5:$D$234,3,FALSE),0)</f>
        <v>0</v>
      </c>
      <c r="BC29" s="109">
        <f ca="1">IFERROR(VLOOKUP(E29-15,'Reeksen (N)'!$A$5:$D$234,4,FALSE),0)</f>
        <v>0</v>
      </c>
      <c r="BD29" s="67">
        <f ca="1">IF(E29-'Invoer gegevens (N)'!$C$17&lt;15,0,1)</f>
        <v>1</v>
      </c>
    </row>
    <row r="30" spans="1:56" x14ac:dyDescent="0.25">
      <c r="A30" s="59"/>
      <c r="B30" s="70">
        <f t="shared" si="14"/>
        <v>26</v>
      </c>
      <c r="C30" s="67">
        <f ca="1">IF(E30-'Invoer gegevens (N)'!$C$17&lt;0,0,1)</f>
        <v>1</v>
      </c>
      <c r="D30" s="68">
        <f t="shared" si="15"/>
        <v>25.5</v>
      </c>
      <c r="E30" s="108">
        <f ca="1">IF('Invoer gegevens (N)'!$C$16="","",E29+1)</f>
        <v>2044</v>
      </c>
      <c r="F30" s="84">
        <f ca="1">IF('Invoer gegevens (N)'!$C$17=E30,'Invoer gegevens (N)'!$C$10,IF(C30=1,K29,0))</f>
        <v>0</v>
      </c>
      <c r="G30" s="96">
        <f ca="1">IF(BD30&lt;1,F30*'Reeksen (N)'!C30,IF(C30&gt;=1,F30*BA30,0))</f>
        <v>0</v>
      </c>
      <c r="H30" s="84">
        <f ca="1">(1-('Invoer gegevens (N)'!$F$20/12))*F30*MIN(BA30,BC30)</f>
        <v>0</v>
      </c>
      <c r="I30" s="84">
        <f t="shared" ca="1" si="0"/>
        <v>0</v>
      </c>
      <c r="J30" s="84">
        <f ca="1">('Invoer gegevens (N)'!$F$20/12)*F29*MIN(BA30,BC30)</f>
        <v>0</v>
      </c>
      <c r="K30" s="97">
        <f t="shared" ca="1" si="5"/>
        <v>0</v>
      </c>
      <c r="L30" s="84">
        <f ca="1">IF('Invoer gegevens (N)'!$C$17=E30,0,IF(C30=1,Q29,0))</f>
        <v>0</v>
      </c>
      <c r="M30" s="96">
        <f t="shared" ca="1" si="1"/>
        <v>0</v>
      </c>
      <c r="N30" s="84">
        <f ca="1">(1-('Invoer gegevens (N)'!$F$20/12))*L30*MIN(BA30,BC30)</f>
        <v>0</v>
      </c>
      <c r="O30" s="84">
        <f t="shared" ca="1" si="2"/>
        <v>0</v>
      </c>
      <c r="P30" s="84">
        <f ca="1">('Invoer gegevens (N)'!$F$20/12)*L29*MIN(BA30,BC30)</f>
        <v>0</v>
      </c>
      <c r="Q30" s="84">
        <f t="shared" ca="1" si="6"/>
        <v>0</v>
      </c>
      <c r="R30" s="85">
        <f ca="1">IF('Invoer gegevens (N)'!$C$17=E30,'Invoer gegevens (N)'!$C$11,IF(C30=1,W29,0))</f>
        <v>0</v>
      </c>
      <c r="S30" s="86">
        <f t="shared" ca="1" si="3"/>
        <v>0</v>
      </c>
      <c r="T30" s="86">
        <f ca="1">(1-('Invoer gegevens (N)'!$F$20/12))*R30*MIN(BC30,BA30)</f>
        <v>0</v>
      </c>
      <c r="U30" s="86">
        <f ca="1">IF(BD30&lt;1,IF('Reeksen (N)'!AD30&lt;='Reeksen (N)'!AE30,R30*'Reeksen (N)'!C30,0),IF(BC30&gt;=BA30,0,IF('Reeksen (N)'!AD30&lt;='Reeksen (N)'!AE30,(BA30-BC30)*R30,0)))</f>
        <v>0</v>
      </c>
      <c r="V30" s="86">
        <f ca="1">IF(BD30&lt;1,IF('Reeksen (N)'!AD30&gt;'Reeksen (N)'!AE30,R30*'Reeksen (N)'!C30,0),IF(BC30&gt;=BA30,0,IF('Reeksen (N)'!AD30&gt;'Reeksen (N)'!AE30,(BA30-BC30)*R30,0)))</f>
        <v>0</v>
      </c>
      <c r="W30" s="218">
        <f t="shared" ca="1" si="7"/>
        <v>0</v>
      </c>
      <c r="X30" s="98">
        <f ca="1">IF('Invoer gegevens (N)'!$C$17=E30,'Invoer gegevens (N)'!$C$10-'Invoer gegevens (N)'!$C$11,IF(C30=1,AC29,0))</f>
        <v>0</v>
      </c>
      <c r="Y30" s="98">
        <f t="shared" ca="1" si="4"/>
        <v>0</v>
      </c>
      <c r="Z30" s="98">
        <f ca="1">(1-('Invoer gegevens (N)'!$F$20/12))*X30*MIN(BA30,BC30)</f>
        <v>0</v>
      </c>
      <c r="AA30" s="98">
        <f ca="1">IF(BD30&lt;1,IF('Reeksen (N)'!AD30&lt;='Reeksen (N)'!AE30,X30*'Reeksen (N)'!C30,0),IF(BC30&gt;=BA30,0,IF('Reeksen (N)'!AD30&lt;='Reeksen (N)'!AE30,(BA30-BC30)*X30,0)))</f>
        <v>0</v>
      </c>
      <c r="AB30" s="98">
        <f ca="1">IF(BD30&lt;1,IF('Reeksen (N)'!AD30&gt;'Reeksen (N)'!AE30,X30*'Reeksen (N)'!C30,0),IF(BC30&gt;=BA30,0,IF('Reeksen (N)'!AD30&gt;'Reeksen (N)'!AE30,(BA30-BC30)*X30,0)))</f>
        <v>0</v>
      </c>
      <c r="AC30" s="99">
        <f t="shared" ca="1" si="8"/>
        <v>0</v>
      </c>
      <c r="AD30" s="98">
        <f ca="1">IF('Invoer gegevens (N)'!$C$17=E30,R30,IF(C30=0,0,AE29))</f>
        <v>0</v>
      </c>
      <c r="AE30" s="98">
        <f t="shared" ca="1" si="9"/>
        <v>0</v>
      </c>
      <c r="AF30" s="98">
        <f ca="1">IF('Invoer gegevens (N)'!$C$17=E30,X30,IF(C30=0,0,AG29))</f>
        <v>0</v>
      </c>
      <c r="AG30" s="98">
        <f t="shared" ca="1" si="10"/>
        <v>0</v>
      </c>
      <c r="AH30" s="66"/>
      <c r="AI30" s="71">
        <f ca="1">IF(C30=1,'Reeksen (N)'!AI30*((F30+K30)/2)*12+'Reeksen (N)'!AD30*((L30+Q30)/2)*12,0)</f>
        <v>0</v>
      </c>
      <c r="AJ30" s="71">
        <f ca="1">-AI30*'Invoer gegevens (N)'!$F$28</f>
        <v>0</v>
      </c>
      <c r="AK30" s="71">
        <f t="shared" ca="1" si="11"/>
        <v>0</v>
      </c>
      <c r="AL30" s="71">
        <f ca="1">IF(C30=1,'Reeksen (N)'!AL30*((F30-G30+F30)/2)*12+'Reeksen (N)'!AM30*((L30-M30+L30)/2)*12,0)</f>
        <v>0</v>
      </c>
      <c r="AM30" s="71">
        <f ca="1">-AL30*'Invoer gegevens (N)'!$F$31</f>
        <v>0</v>
      </c>
      <c r="AN30" s="71">
        <f t="shared" ca="1" si="12"/>
        <v>0</v>
      </c>
      <c r="AO30" s="71">
        <f ca="1">IF(C30=1,(H30+J30+N30+P30)*'Reeksen (N)'!AN30,0)</f>
        <v>0</v>
      </c>
      <c r="AP30" s="71">
        <f ca="1">-IF(C30=1,(H30+J30+N30+P30)*'Hulp - basis'!$O$550*'Reeksen (N)'!H30,0)</f>
        <v>0</v>
      </c>
      <c r="AQ30" s="71">
        <f ca="1">-IF(C30=1,(F30+K30+L30+Q30)/2*'Invoer gegevens (N)'!$F$35*'Reeksen (N)'!J30,0)*2</f>
        <v>0</v>
      </c>
      <c r="AR30" s="71">
        <f ca="1">IF(BD30&lt;1,-IF(C30=1,(G30*'Invoer gegevens (N)'!$F$36)*'Reeksen (N)'!J30,0),0)</f>
        <v>0</v>
      </c>
      <c r="AS30" s="71">
        <f ca="1">-IF(C30=1,(F30+K30+L30+Q30)/2*'Invoer gegevens (N)'!$F$37*'Reeksen (N)'!L30,0)</f>
        <v>0</v>
      </c>
      <c r="AT30" s="71">
        <f ca="1">-IF(C30=1,IF(E30='Invoer gegevens (N)'!$C$17,'Invoer gegevens (N)'!$C$11,AD30)*'Reeksen (N)'!S30*'Invoer gegevens (N)'!$C$18*'Reeksen (N)'!P30,0)</f>
        <v>0</v>
      </c>
      <c r="AU30" s="71">
        <f ca="1">-IF(C30=1,(F30+K30+L30+Q30)/2*'Invoer gegevens (N)'!$F$38*'Reeksen (N)'!H30,0)</f>
        <v>0</v>
      </c>
      <c r="AV30" s="71">
        <v>0</v>
      </c>
      <c r="AW30" s="71">
        <f t="shared" ca="1" si="13"/>
        <v>0</v>
      </c>
      <c r="AX30" s="71">
        <f ca="1">IF(E30&lt;'Invoer gegevens (N)'!$C$17+15,0,IF(E30&gt;'Invoer gegevens (N)'!$C$17+215,0,AW30))</f>
        <v>0</v>
      </c>
      <c r="AY30" s="71">
        <f ca="1">AX30/(1+'Invoer gegevens (N)'!$F$18)^($AZ30-('Invoer gegevens (N)'!$C$17-'Invoer gegevens (N)'!$C$16))/(1+'Invoer gegevens (N)'!$C$39)^('Invoer gegevens (N)'!$C$17-'Invoer gegevens (N)'!$C$16)</f>
        <v>0</v>
      </c>
      <c r="AZ30" s="68">
        <f ca="1">IF(E30-'Invoer gegevens (N)'!$C$17-14.5&lt;0,0,E30-'Invoer gegevens (N)'!$C$17-14.5)</f>
        <v>10.5</v>
      </c>
      <c r="BA30" s="109">
        <f ca="1">IFERROR(VLOOKUP(E30-15,'Reeksen (N)'!$A$5:$D$234,2,FALSE),0)</f>
        <v>0</v>
      </c>
      <c r="BB30" s="109">
        <f ca="1">IFERROR(VLOOKUP(E30-15,'Reeksen (N)'!$A$5:$D$234,3,FALSE),0)</f>
        <v>0</v>
      </c>
      <c r="BC30" s="109">
        <f ca="1">IFERROR(VLOOKUP(E30-15,'Reeksen (N)'!$A$5:$D$234,4,FALSE),0)</f>
        <v>0</v>
      </c>
      <c r="BD30" s="67">
        <f ca="1">IF(E30-'Invoer gegevens (N)'!$C$17&lt;15,0,1)</f>
        <v>1</v>
      </c>
    </row>
    <row r="31" spans="1:56" x14ac:dyDescent="0.25">
      <c r="A31" s="59"/>
      <c r="B31" s="70">
        <f t="shared" si="14"/>
        <v>27</v>
      </c>
      <c r="C31" s="67">
        <f ca="1">IF(E31-'Invoer gegevens (N)'!$C$17&lt;0,0,1)</f>
        <v>1</v>
      </c>
      <c r="D31" s="68">
        <f t="shared" si="15"/>
        <v>26.5</v>
      </c>
      <c r="E31" s="108">
        <f ca="1">IF('Invoer gegevens (N)'!$C$16="","",E30+1)</f>
        <v>2045</v>
      </c>
      <c r="F31" s="84">
        <f ca="1">IF('Invoer gegevens (N)'!$C$17=E31,'Invoer gegevens (N)'!$C$10,IF(C31=1,K30,0))</f>
        <v>0</v>
      </c>
      <c r="G31" s="96">
        <f ca="1">IF(BD31&lt;1,F31*'Reeksen (N)'!C31,IF(C31&gt;=1,F31*BA31,0))</f>
        <v>0</v>
      </c>
      <c r="H31" s="84">
        <f ca="1">(1-('Invoer gegevens (N)'!$F$20/12))*F31*MIN(BA31,BC31)</f>
        <v>0</v>
      </c>
      <c r="I31" s="84">
        <f t="shared" ca="1" si="0"/>
        <v>0</v>
      </c>
      <c r="J31" s="84">
        <f ca="1">('Invoer gegevens (N)'!$F$20/12)*F30*MIN(BA31,BC31)</f>
        <v>0</v>
      </c>
      <c r="K31" s="97">
        <f t="shared" ca="1" si="5"/>
        <v>0</v>
      </c>
      <c r="L31" s="84">
        <f ca="1">IF('Invoer gegevens (N)'!$C$17=E31,0,IF(C31=1,Q30,0))</f>
        <v>0</v>
      </c>
      <c r="M31" s="96">
        <f t="shared" ca="1" si="1"/>
        <v>0</v>
      </c>
      <c r="N31" s="84">
        <f ca="1">(1-('Invoer gegevens (N)'!$F$20/12))*L31*MIN(BA31,BC31)</f>
        <v>0</v>
      </c>
      <c r="O31" s="84">
        <f t="shared" ca="1" si="2"/>
        <v>0</v>
      </c>
      <c r="P31" s="84">
        <f ca="1">('Invoer gegevens (N)'!$F$20/12)*L30*MIN(BA31,BC31)</f>
        <v>0</v>
      </c>
      <c r="Q31" s="84">
        <f t="shared" ca="1" si="6"/>
        <v>0</v>
      </c>
      <c r="R31" s="85">
        <f ca="1">IF('Invoer gegevens (N)'!$C$17=E31,'Invoer gegevens (N)'!$C$11,IF(C31=1,W30,0))</f>
        <v>0</v>
      </c>
      <c r="S31" s="86">
        <f t="shared" ca="1" si="3"/>
        <v>0</v>
      </c>
      <c r="T31" s="86">
        <f ca="1">(1-('Invoer gegevens (N)'!$F$20/12))*R31*MIN(BC31,BA31)</f>
        <v>0</v>
      </c>
      <c r="U31" s="86">
        <f ca="1">IF(BD31&lt;1,IF('Reeksen (N)'!AD31&lt;='Reeksen (N)'!AE31,R31*'Reeksen (N)'!C31,0),IF(BC31&gt;=BA31,0,IF('Reeksen (N)'!AD31&lt;='Reeksen (N)'!AE31,(BA31-BC31)*R31,0)))</f>
        <v>0</v>
      </c>
      <c r="V31" s="86">
        <f ca="1">IF(BD31&lt;1,IF('Reeksen (N)'!AD31&gt;'Reeksen (N)'!AE31,R31*'Reeksen (N)'!C31,0),IF(BC31&gt;=BA31,0,IF('Reeksen (N)'!AD31&gt;'Reeksen (N)'!AE31,(BA31-BC31)*R31,0)))</f>
        <v>0</v>
      </c>
      <c r="W31" s="218">
        <f t="shared" ca="1" si="7"/>
        <v>0</v>
      </c>
      <c r="X31" s="98">
        <f ca="1">IF('Invoer gegevens (N)'!$C$17=E31,'Invoer gegevens (N)'!$C$10-'Invoer gegevens (N)'!$C$11,IF(C31=1,AC30,0))</f>
        <v>0</v>
      </c>
      <c r="Y31" s="98">
        <f t="shared" ca="1" si="4"/>
        <v>0</v>
      </c>
      <c r="Z31" s="98">
        <f ca="1">(1-('Invoer gegevens (N)'!$F$20/12))*X31*MIN(BA31,BC31)</f>
        <v>0</v>
      </c>
      <c r="AA31" s="98">
        <f ca="1">IF(BD31&lt;1,IF('Reeksen (N)'!AD31&lt;='Reeksen (N)'!AE31,X31*'Reeksen (N)'!C31,0),IF(BC31&gt;=BA31,0,IF('Reeksen (N)'!AD31&lt;='Reeksen (N)'!AE31,(BA31-BC31)*X31,0)))</f>
        <v>0</v>
      </c>
      <c r="AB31" s="98">
        <f ca="1">IF(BD31&lt;1,IF('Reeksen (N)'!AD31&gt;'Reeksen (N)'!AE31,X31*'Reeksen (N)'!C31,0),IF(BC31&gt;=BA31,0,IF('Reeksen (N)'!AD31&gt;'Reeksen (N)'!AE31,(BA31-BC31)*X31,0)))</f>
        <v>0</v>
      </c>
      <c r="AC31" s="99">
        <f t="shared" ca="1" si="8"/>
        <v>0</v>
      </c>
      <c r="AD31" s="98">
        <f ca="1">IF('Invoer gegevens (N)'!$C$17=E31,R31,IF(C31=0,0,AE30))</f>
        <v>0</v>
      </c>
      <c r="AE31" s="98">
        <f t="shared" ca="1" si="9"/>
        <v>0</v>
      </c>
      <c r="AF31" s="98">
        <f ca="1">IF('Invoer gegevens (N)'!$C$17=E31,X31,IF(C31=0,0,AG30))</f>
        <v>0</v>
      </c>
      <c r="AG31" s="98">
        <f t="shared" ca="1" si="10"/>
        <v>0</v>
      </c>
      <c r="AH31" s="66"/>
      <c r="AI31" s="71">
        <f ca="1">IF(C31=1,'Reeksen (N)'!AI31*((F31+K31)/2)*12+'Reeksen (N)'!AD31*((L31+Q31)/2)*12,0)</f>
        <v>0</v>
      </c>
      <c r="AJ31" s="71">
        <f ca="1">-AI31*'Invoer gegevens (N)'!$F$28</f>
        <v>0</v>
      </c>
      <c r="AK31" s="71">
        <f t="shared" ca="1" si="11"/>
        <v>0</v>
      </c>
      <c r="AL31" s="71">
        <f ca="1">IF(C31=1,'Reeksen (N)'!AL31*((F31-G31+F31)/2)*12+'Reeksen (N)'!AM31*((L31-M31+L31)/2)*12,0)</f>
        <v>0</v>
      </c>
      <c r="AM31" s="71">
        <f ca="1">-AL31*'Invoer gegevens (N)'!$F$31</f>
        <v>0</v>
      </c>
      <c r="AN31" s="71">
        <f t="shared" ca="1" si="12"/>
        <v>0</v>
      </c>
      <c r="AO31" s="71">
        <f ca="1">IF(C31=1,(H31+J31+N31+P31)*'Reeksen (N)'!AN31,0)</f>
        <v>0</v>
      </c>
      <c r="AP31" s="71">
        <f ca="1">-IF(C31=1,(H31+J31+N31+P31)*'Hulp - basis'!$O$550*'Reeksen (N)'!H31,0)</f>
        <v>0</v>
      </c>
      <c r="AQ31" s="71">
        <f ca="1">-IF(C31=1,(F31+K31+L31+Q31)/2*'Invoer gegevens (N)'!$F$35*'Reeksen (N)'!J31,0)*2</f>
        <v>0</v>
      </c>
      <c r="AR31" s="71">
        <f ca="1">IF(BD31&lt;1,-IF(C31=1,(G31*'Invoer gegevens (N)'!$F$36)*'Reeksen (N)'!J31,0),0)</f>
        <v>0</v>
      </c>
      <c r="AS31" s="71">
        <f ca="1">-IF(C31=1,(F31+K31+L31+Q31)/2*'Invoer gegevens (N)'!$F$37*'Reeksen (N)'!L31,0)</f>
        <v>0</v>
      </c>
      <c r="AT31" s="71">
        <f ca="1">-IF(C31=1,IF(E31='Invoer gegevens (N)'!$C$17,'Invoer gegevens (N)'!$C$11,AD31)*'Reeksen (N)'!S31*'Invoer gegevens (N)'!$C$18*'Reeksen (N)'!P31,0)</f>
        <v>0</v>
      </c>
      <c r="AU31" s="71">
        <f ca="1">-IF(C31=1,(F31+K31+L31+Q31)/2*'Invoer gegevens (N)'!$F$38*'Reeksen (N)'!H31,0)</f>
        <v>0</v>
      </c>
      <c r="AV31" s="71">
        <v>0</v>
      </c>
      <c r="AW31" s="71">
        <f t="shared" ca="1" si="13"/>
        <v>0</v>
      </c>
      <c r="AX31" s="71">
        <f ca="1">IF(E31&lt;'Invoer gegevens (N)'!$C$17+15,0,IF(E31&gt;'Invoer gegevens (N)'!$C$17+215,0,AW31))</f>
        <v>0</v>
      </c>
      <c r="AY31" s="71">
        <f ca="1">AX31/(1+'Invoer gegevens (N)'!$F$18)^($AZ31-('Invoer gegevens (N)'!$C$17-'Invoer gegevens (N)'!$C$16))/(1+'Invoer gegevens (N)'!$C$39)^('Invoer gegevens (N)'!$C$17-'Invoer gegevens (N)'!$C$16)</f>
        <v>0</v>
      </c>
      <c r="AZ31" s="68">
        <f ca="1">IF(E31-'Invoer gegevens (N)'!$C$17-14.5&lt;0,0,E31-'Invoer gegevens (N)'!$C$17-14.5)</f>
        <v>11.5</v>
      </c>
      <c r="BA31" s="109">
        <f ca="1">IFERROR(VLOOKUP(E31-15,'Reeksen (N)'!$A$5:$D$234,2,FALSE),0)</f>
        <v>0</v>
      </c>
      <c r="BB31" s="109">
        <f ca="1">IFERROR(VLOOKUP(E31-15,'Reeksen (N)'!$A$5:$D$234,3,FALSE),0)</f>
        <v>0</v>
      </c>
      <c r="BC31" s="109">
        <f ca="1">IFERROR(VLOOKUP(E31-15,'Reeksen (N)'!$A$5:$D$234,4,FALSE),0)</f>
        <v>0</v>
      </c>
      <c r="BD31" s="67">
        <f ca="1">IF(E31-'Invoer gegevens (N)'!$C$17&lt;15,0,1)</f>
        <v>1</v>
      </c>
    </row>
    <row r="32" spans="1:56" x14ac:dyDescent="0.25">
      <c r="A32" s="59"/>
      <c r="B32" s="70">
        <f t="shared" si="14"/>
        <v>28</v>
      </c>
      <c r="C32" s="67">
        <f ca="1">IF(E32-'Invoer gegevens (N)'!$C$17&lt;0,0,1)</f>
        <v>1</v>
      </c>
      <c r="D32" s="68">
        <f t="shared" si="15"/>
        <v>27.5</v>
      </c>
      <c r="E32" s="108">
        <f ca="1">IF('Invoer gegevens (N)'!$C$16="","",E31+1)</f>
        <v>2046</v>
      </c>
      <c r="F32" s="84">
        <f ca="1">IF('Invoer gegevens (N)'!$C$17=E32,'Invoer gegevens (N)'!$C$10,IF(C32=1,K31,0))</f>
        <v>0</v>
      </c>
      <c r="G32" s="96">
        <f ca="1">IF(BD32&lt;1,F32*'Reeksen (N)'!C32,IF(C32&gt;=1,F32*BA32,0))</f>
        <v>0</v>
      </c>
      <c r="H32" s="84">
        <f ca="1">(1-('Invoer gegevens (N)'!$F$20/12))*F32*MIN(BA32,BC32)</f>
        <v>0</v>
      </c>
      <c r="I32" s="84">
        <f t="shared" ca="1" si="0"/>
        <v>0</v>
      </c>
      <c r="J32" s="84">
        <f ca="1">('Invoer gegevens (N)'!$F$20/12)*F31*MIN(BA32,BC32)</f>
        <v>0</v>
      </c>
      <c r="K32" s="97">
        <f t="shared" ca="1" si="5"/>
        <v>0</v>
      </c>
      <c r="L32" s="84">
        <f ca="1">IF('Invoer gegevens (N)'!$C$17=E32,0,IF(C32=1,Q31,0))</f>
        <v>0</v>
      </c>
      <c r="M32" s="96">
        <f t="shared" ca="1" si="1"/>
        <v>0</v>
      </c>
      <c r="N32" s="84">
        <f ca="1">(1-('Invoer gegevens (N)'!$F$20/12))*L32*MIN(BA32,BC32)</f>
        <v>0</v>
      </c>
      <c r="O32" s="84">
        <f t="shared" ca="1" si="2"/>
        <v>0</v>
      </c>
      <c r="P32" s="84">
        <f ca="1">('Invoer gegevens (N)'!$F$20/12)*L31*MIN(BA32,BC32)</f>
        <v>0</v>
      </c>
      <c r="Q32" s="84">
        <f t="shared" ca="1" si="6"/>
        <v>0</v>
      </c>
      <c r="R32" s="85">
        <f ca="1">IF('Invoer gegevens (N)'!$C$17=E32,'Invoer gegevens (N)'!$C$11,IF(C32=1,W31,0))</f>
        <v>0</v>
      </c>
      <c r="S32" s="86">
        <f t="shared" ca="1" si="3"/>
        <v>0</v>
      </c>
      <c r="T32" s="86">
        <f ca="1">(1-('Invoer gegevens (N)'!$F$20/12))*R32*MIN(BC32,BA32)</f>
        <v>0</v>
      </c>
      <c r="U32" s="86">
        <f ca="1">IF(BD32&lt;1,IF('Reeksen (N)'!AD32&lt;='Reeksen (N)'!AE32,R32*'Reeksen (N)'!C32,0),IF(BC32&gt;=BA32,0,IF('Reeksen (N)'!AD32&lt;='Reeksen (N)'!AE32,(BA32-BC32)*R32,0)))</f>
        <v>0</v>
      </c>
      <c r="V32" s="86">
        <f ca="1">IF(BD32&lt;1,IF('Reeksen (N)'!AD32&gt;'Reeksen (N)'!AE32,R32*'Reeksen (N)'!C32,0),IF(BC32&gt;=BA32,0,IF('Reeksen (N)'!AD32&gt;'Reeksen (N)'!AE32,(BA32-BC32)*R32,0)))</f>
        <v>0</v>
      </c>
      <c r="W32" s="218">
        <f t="shared" ca="1" si="7"/>
        <v>0</v>
      </c>
      <c r="X32" s="98">
        <f ca="1">IF('Invoer gegevens (N)'!$C$17=E32,'Invoer gegevens (N)'!$C$10-'Invoer gegevens (N)'!$C$11,IF(C32=1,AC31,0))</f>
        <v>0</v>
      </c>
      <c r="Y32" s="98">
        <f t="shared" ca="1" si="4"/>
        <v>0</v>
      </c>
      <c r="Z32" s="98">
        <f ca="1">(1-('Invoer gegevens (N)'!$F$20/12))*X32*MIN(BA32,BC32)</f>
        <v>0</v>
      </c>
      <c r="AA32" s="98">
        <f ca="1">IF(BD32&lt;1,IF('Reeksen (N)'!AD32&lt;='Reeksen (N)'!AE32,X32*'Reeksen (N)'!C32,0),IF(BC32&gt;=BA32,0,IF('Reeksen (N)'!AD32&lt;='Reeksen (N)'!AE32,(BA32-BC32)*X32,0)))</f>
        <v>0</v>
      </c>
      <c r="AB32" s="98">
        <f ca="1">IF(BD32&lt;1,IF('Reeksen (N)'!AD32&gt;'Reeksen (N)'!AE32,X32*'Reeksen (N)'!C32,0),IF(BC32&gt;=BA32,0,IF('Reeksen (N)'!AD32&gt;'Reeksen (N)'!AE32,(BA32-BC32)*X32,0)))</f>
        <v>0</v>
      </c>
      <c r="AC32" s="99">
        <f t="shared" ca="1" si="8"/>
        <v>0</v>
      </c>
      <c r="AD32" s="98">
        <f ca="1">IF('Invoer gegevens (N)'!$C$17=E32,R32,IF(C32=0,0,AE31))</f>
        <v>0</v>
      </c>
      <c r="AE32" s="98">
        <f t="shared" ca="1" si="9"/>
        <v>0</v>
      </c>
      <c r="AF32" s="98">
        <f ca="1">IF('Invoer gegevens (N)'!$C$17=E32,X32,IF(C32=0,0,AG31))</f>
        <v>0</v>
      </c>
      <c r="AG32" s="98">
        <f t="shared" ca="1" si="10"/>
        <v>0</v>
      </c>
      <c r="AH32" s="66"/>
      <c r="AI32" s="71">
        <f ca="1">IF(C32=1,'Reeksen (N)'!AI32*((F32+K32)/2)*12+'Reeksen (N)'!AD32*((L32+Q32)/2)*12,0)</f>
        <v>0</v>
      </c>
      <c r="AJ32" s="71">
        <f ca="1">-AI32*'Invoer gegevens (N)'!$F$28</f>
        <v>0</v>
      </c>
      <c r="AK32" s="71">
        <f t="shared" ca="1" si="11"/>
        <v>0</v>
      </c>
      <c r="AL32" s="71">
        <f ca="1">IF(C32=1,'Reeksen (N)'!AL32*((F32-G32+F32)/2)*12+'Reeksen (N)'!AM32*((L32-M32+L32)/2)*12,0)</f>
        <v>0</v>
      </c>
      <c r="AM32" s="71">
        <f ca="1">-AL32*'Invoer gegevens (N)'!$F$31</f>
        <v>0</v>
      </c>
      <c r="AN32" s="71">
        <f t="shared" ca="1" si="12"/>
        <v>0</v>
      </c>
      <c r="AO32" s="71">
        <f ca="1">IF(C32=1,(H32+J32+N32+P32)*'Reeksen (N)'!AN32,0)</f>
        <v>0</v>
      </c>
      <c r="AP32" s="71">
        <f ca="1">-IF(C32=1,(H32+J32+N32+P32)*'Hulp - basis'!$O$550*'Reeksen (N)'!H32,0)</f>
        <v>0</v>
      </c>
      <c r="AQ32" s="71">
        <f ca="1">-IF(C32=1,(F32+K32+L32+Q32)/2*'Invoer gegevens (N)'!$F$35*'Reeksen (N)'!J32,0)*2</f>
        <v>0</v>
      </c>
      <c r="AR32" s="71">
        <f ca="1">IF(BD32&lt;1,-IF(C32=1,(G32*'Invoer gegevens (N)'!$F$36)*'Reeksen (N)'!J32,0),0)</f>
        <v>0</v>
      </c>
      <c r="AS32" s="71">
        <f ca="1">-IF(C32=1,(F32+K32+L32+Q32)/2*'Invoer gegevens (N)'!$F$37*'Reeksen (N)'!L32,0)</f>
        <v>0</v>
      </c>
      <c r="AT32" s="71">
        <f ca="1">-IF(C32=1,IF(E32='Invoer gegevens (N)'!$C$17,'Invoer gegevens (N)'!$C$11,AD32)*'Reeksen (N)'!S32*'Invoer gegevens (N)'!$C$18*'Reeksen (N)'!P32,0)</f>
        <v>0</v>
      </c>
      <c r="AU32" s="71">
        <f ca="1">-IF(C32=1,(F32+K32+L32+Q32)/2*'Invoer gegevens (N)'!$F$38*'Reeksen (N)'!H32,0)</f>
        <v>0</v>
      </c>
      <c r="AV32" s="71">
        <v>0</v>
      </c>
      <c r="AW32" s="71">
        <f t="shared" ca="1" si="13"/>
        <v>0</v>
      </c>
      <c r="AX32" s="71">
        <f ca="1">IF(E32&lt;'Invoer gegevens (N)'!$C$17+15,0,IF(E32&gt;'Invoer gegevens (N)'!$C$17+215,0,AW32))</f>
        <v>0</v>
      </c>
      <c r="AY32" s="71">
        <f ca="1">AX32/(1+'Invoer gegevens (N)'!$F$18)^($AZ32-('Invoer gegevens (N)'!$C$17-'Invoer gegevens (N)'!$C$16))/(1+'Invoer gegevens (N)'!$C$39)^('Invoer gegevens (N)'!$C$17-'Invoer gegevens (N)'!$C$16)</f>
        <v>0</v>
      </c>
      <c r="AZ32" s="68">
        <f ca="1">IF(E32-'Invoer gegevens (N)'!$C$17-14.5&lt;0,0,E32-'Invoer gegevens (N)'!$C$17-14.5)</f>
        <v>12.5</v>
      </c>
      <c r="BA32" s="109">
        <f ca="1">IFERROR(VLOOKUP(E32-15,'Reeksen (N)'!$A$5:$D$234,2,FALSE),0)</f>
        <v>0</v>
      </c>
      <c r="BB32" s="109">
        <f ca="1">IFERROR(VLOOKUP(E32-15,'Reeksen (N)'!$A$5:$D$234,3,FALSE),0)</f>
        <v>0</v>
      </c>
      <c r="BC32" s="109">
        <f ca="1">IFERROR(VLOOKUP(E32-15,'Reeksen (N)'!$A$5:$D$234,4,FALSE),0)</f>
        <v>0</v>
      </c>
      <c r="BD32" s="67">
        <f ca="1">IF(E32-'Invoer gegevens (N)'!$C$17&lt;15,0,1)</f>
        <v>1</v>
      </c>
    </row>
    <row r="33" spans="1:56" x14ac:dyDescent="0.25">
      <c r="A33" s="59"/>
      <c r="B33" s="70">
        <f t="shared" si="14"/>
        <v>29</v>
      </c>
      <c r="C33" s="67">
        <f ca="1">IF(E33-'Invoer gegevens (N)'!$C$17&lt;0,0,1)</f>
        <v>1</v>
      </c>
      <c r="D33" s="68">
        <f t="shared" si="15"/>
        <v>28.5</v>
      </c>
      <c r="E33" s="108">
        <f ca="1">IF('Invoer gegevens (N)'!$C$16="","",E32+1)</f>
        <v>2047</v>
      </c>
      <c r="F33" s="84">
        <f ca="1">IF('Invoer gegevens (N)'!$C$17=E33,'Invoer gegevens (N)'!$C$10,IF(C33=1,K32,0))</f>
        <v>0</v>
      </c>
      <c r="G33" s="96">
        <f ca="1">IF(BD33&lt;1,F33*'Reeksen (N)'!C33,IF(C33&gt;=1,F33*BA33,0))</f>
        <v>0</v>
      </c>
      <c r="H33" s="84">
        <f ca="1">(1-('Invoer gegevens (N)'!$F$20/12))*F33*MIN(BA33,BC33)</f>
        <v>0</v>
      </c>
      <c r="I33" s="84">
        <f t="shared" ca="1" si="0"/>
        <v>0</v>
      </c>
      <c r="J33" s="84">
        <f ca="1">('Invoer gegevens (N)'!$F$20/12)*F32*MIN(BA33,BC33)</f>
        <v>0</v>
      </c>
      <c r="K33" s="97">
        <f t="shared" ca="1" si="5"/>
        <v>0</v>
      </c>
      <c r="L33" s="84">
        <f ca="1">IF('Invoer gegevens (N)'!$C$17=E33,0,IF(C33=1,Q32,0))</f>
        <v>0</v>
      </c>
      <c r="M33" s="96">
        <f t="shared" ca="1" si="1"/>
        <v>0</v>
      </c>
      <c r="N33" s="84">
        <f ca="1">(1-('Invoer gegevens (N)'!$F$20/12))*L33*MIN(BA33,BC33)</f>
        <v>0</v>
      </c>
      <c r="O33" s="84">
        <f t="shared" ca="1" si="2"/>
        <v>0</v>
      </c>
      <c r="P33" s="84">
        <f ca="1">('Invoer gegevens (N)'!$F$20/12)*L32*MIN(BA33,BC33)</f>
        <v>0</v>
      </c>
      <c r="Q33" s="84">
        <f t="shared" ca="1" si="6"/>
        <v>0</v>
      </c>
      <c r="R33" s="85">
        <f ca="1">IF('Invoer gegevens (N)'!$C$17=E33,'Invoer gegevens (N)'!$C$11,IF(C33=1,W32,0))</f>
        <v>0</v>
      </c>
      <c r="S33" s="86">
        <f t="shared" ca="1" si="3"/>
        <v>0</v>
      </c>
      <c r="T33" s="86">
        <f ca="1">(1-('Invoer gegevens (N)'!$F$20/12))*R33*MIN(BC33,BA33)</f>
        <v>0</v>
      </c>
      <c r="U33" s="86">
        <f ca="1">IF(BD33&lt;1,IF('Reeksen (N)'!AD33&lt;='Reeksen (N)'!AE33,R33*'Reeksen (N)'!C33,0),IF(BC33&gt;=BA33,0,IF('Reeksen (N)'!AD33&lt;='Reeksen (N)'!AE33,(BA33-BC33)*R33,0)))</f>
        <v>0</v>
      </c>
      <c r="V33" s="86">
        <f ca="1">IF(BD33&lt;1,IF('Reeksen (N)'!AD33&gt;'Reeksen (N)'!AE33,R33*'Reeksen (N)'!C33,0),IF(BC33&gt;=BA33,0,IF('Reeksen (N)'!AD33&gt;'Reeksen (N)'!AE33,(BA33-BC33)*R33,0)))</f>
        <v>0</v>
      </c>
      <c r="W33" s="218">
        <f t="shared" ca="1" si="7"/>
        <v>0</v>
      </c>
      <c r="X33" s="98">
        <f ca="1">IF('Invoer gegevens (N)'!$C$17=E33,'Invoer gegevens (N)'!$C$10-'Invoer gegevens (N)'!$C$11,IF(C33=1,AC32,0))</f>
        <v>0</v>
      </c>
      <c r="Y33" s="98">
        <f t="shared" ca="1" si="4"/>
        <v>0</v>
      </c>
      <c r="Z33" s="98">
        <f ca="1">(1-('Invoer gegevens (N)'!$F$20/12))*X33*MIN(BA33,BC33)</f>
        <v>0</v>
      </c>
      <c r="AA33" s="98">
        <f ca="1">IF(BD33&lt;1,IF('Reeksen (N)'!AD33&lt;='Reeksen (N)'!AE33,X33*'Reeksen (N)'!C33,0),IF(BC33&gt;=BA33,0,IF('Reeksen (N)'!AD33&lt;='Reeksen (N)'!AE33,(BA33-BC33)*X33,0)))</f>
        <v>0</v>
      </c>
      <c r="AB33" s="98">
        <f ca="1">IF(BD33&lt;1,IF('Reeksen (N)'!AD33&gt;'Reeksen (N)'!AE33,X33*'Reeksen (N)'!C33,0),IF(BC33&gt;=BA33,0,IF('Reeksen (N)'!AD33&gt;'Reeksen (N)'!AE33,(BA33-BC33)*X33,0)))</f>
        <v>0</v>
      </c>
      <c r="AC33" s="99">
        <f t="shared" ca="1" si="8"/>
        <v>0</v>
      </c>
      <c r="AD33" s="98">
        <f ca="1">IF('Invoer gegevens (N)'!$C$17=E33,R33,IF(C33=0,0,AE32))</f>
        <v>0</v>
      </c>
      <c r="AE33" s="98">
        <f t="shared" ca="1" si="9"/>
        <v>0</v>
      </c>
      <c r="AF33" s="98">
        <f ca="1">IF('Invoer gegevens (N)'!$C$17=E33,X33,IF(C33=0,0,AG32))</f>
        <v>0</v>
      </c>
      <c r="AG33" s="98">
        <f t="shared" ca="1" si="10"/>
        <v>0</v>
      </c>
      <c r="AH33" s="66"/>
      <c r="AI33" s="71">
        <f ca="1">IF(C33=1,'Reeksen (N)'!AI33*((F33+K33)/2)*12+'Reeksen (N)'!AD33*((L33+Q33)/2)*12,0)</f>
        <v>0</v>
      </c>
      <c r="AJ33" s="71">
        <f ca="1">-AI33*'Invoer gegevens (N)'!$F$28</f>
        <v>0</v>
      </c>
      <c r="AK33" s="71">
        <f t="shared" ca="1" si="11"/>
        <v>0</v>
      </c>
      <c r="AL33" s="71">
        <f ca="1">IF(C33=1,'Reeksen (N)'!AL33*((F33-G33+F33)/2)*12+'Reeksen (N)'!AM33*((L33-M33+L33)/2)*12,0)</f>
        <v>0</v>
      </c>
      <c r="AM33" s="71">
        <f ca="1">-AL33*'Invoer gegevens (N)'!$F$31</f>
        <v>0</v>
      </c>
      <c r="AN33" s="71">
        <f t="shared" ca="1" si="12"/>
        <v>0</v>
      </c>
      <c r="AO33" s="71">
        <f ca="1">IF(C33=1,(H33+J33+N33+P33)*'Reeksen (N)'!AN33,0)</f>
        <v>0</v>
      </c>
      <c r="AP33" s="71">
        <f ca="1">-IF(C33=1,(H33+J33+N33+P33)*'Hulp - basis'!$O$550*'Reeksen (N)'!H33,0)</f>
        <v>0</v>
      </c>
      <c r="AQ33" s="71">
        <f ca="1">-IF(C33=1,(F33+K33+L33+Q33)/2*'Invoer gegevens (N)'!$F$35*'Reeksen (N)'!J33,0)*2</f>
        <v>0</v>
      </c>
      <c r="AR33" s="71">
        <f ca="1">IF(BD33&lt;1,-IF(C33=1,(G33*'Invoer gegevens (N)'!$F$36)*'Reeksen (N)'!J33,0),0)</f>
        <v>0</v>
      </c>
      <c r="AS33" s="71">
        <f ca="1">-IF(C33=1,(F33+K33+L33+Q33)/2*'Invoer gegevens (N)'!$F$37*'Reeksen (N)'!L33,0)</f>
        <v>0</v>
      </c>
      <c r="AT33" s="71">
        <f ca="1">-IF(C33=1,IF(E33='Invoer gegevens (N)'!$C$17,'Invoer gegevens (N)'!$C$11,AD33)*'Reeksen (N)'!S33*'Invoer gegevens (N)'!$C$18*'Reeksen (N)'!P33,0)</f>
        <v>0</v>
      </c>
      <c r="AU33" s="71">
        <f ca="1">-IF(C33=1,(F33+K33+L33+Q33)/2*'Invoer gegevens (N)'!$F$38*'Reeksen (N)'!H33,0)</f>
        <v>0</v>
      </c>
      <c r="AV33" s="71">
        <v>0</v>
      </c>
      <c r="AW33" s="71">
        <f t="shared" ca="1" si="13"/>
        <v>0</v>
      </c>
      <c r="AX33" s="71">
        <f ca="1">IF(E33&lt;'Invoer gegevens (N)'!$C$17+15,0,IF(E33&gt;'Invoer gegevens (N)'!$C$17+215,0,AW33))</f>
        <v>0</v>
      </c>
      <c r="AY33" s="71">
        <f ca="1">AX33/(1+'Invoer gegevens (N)'!$F$18)^($AZ33-('Invoer gegevens (N)'!$C$17-'Invoer gegevens (N)'!$C$16))/(1+'Invoer gegevens (N)'!$C$39)^('Invoer gegevens (N)'!$C$17-'Invoer gegevens (N)'!$C$16)</f>
        <v>0</v>
      </c>
      <c r="AZ33" s="68">
        <f ca="1">IF(E33-'Invoer gegevens (N)'!$C$17-14.5&lt;0,0,E33-'Invoer gegevens (N)'!$C$17-14.5)</f>
        <v>13.5</v>
      </c>
      <c r="BA33" s="109">
        <f ca="1">IFERROR(VLOOKUP(E33-15,'Reeksen (N)'!$A$5:$D$234,2,FALSE),0)</f>
        <v>0</v>
      </c>
      <c r="BB33" s="109">
        <f ca="1">IFERROR(VLOOKUP(E33-15,'Reeksen (N)'!$A$5:$D$234,3,FALSE),0)</f>
        <v>0</v>
      </c>
      <c r="BC33" s="109">
        <f ca="1">IFERROR(VLOOKUP(E33-15,'Reeksen (N)'!$A$5:$D$234,4,FALSE),0)</f>
        <v>0</v>
      </c>
      <c r="BD33" s="67">
        <f ca="1">IF(E33-'Invoer gegevens (N)'!$C$17&lt;15,0,1)</f>
        <v>1</v>
      </c>
    </row>
    <row r="34" spans="1:56" x14ac:dyDescent="0.25">
      <c r="A34" s="59"/>
      <c r="B34" s="70">
        <f t="shared" si="14"/>
        <v>30</v>
      </c>
      <c r="C34" s="67">
        <f ca="1">IF(E34-'Invoer gegevens (N)'!$C$17&lt;0,0,1)</f>
        <v>1</v>
      </c>
      <c r="D34" s="68">
        <f t="shared" si="15"/>
        <v>29.5</v>
      </c>
      <c r="E34" s="108">
        <f ca="1">IF('Invoer gegevens (N)'!$C$16="","",E33+1)</f>
        <v>2048</v>
      </c>
      <c r="F34" s="84">
        <f ca="1">IF('Invoer gegevens (N)'!$C$17=E34,'Invoer gegevens (N)'!$C$10,IF(C34=1,K33,0))</f>
        <v>0</v>
      </c>
      <c r="G34" s="96">
        <f ca="1">IF(BD34&lt;1,F34*'Reeksen (N)'!C34,IF(C34&gt;=1,F34*BA34,0))</f>
        <v>0</v>
      </c>
      <c r="H34" s="84">
        <f ca="1">(1-('Invoer gegevens (N)'!$F$20/12))*F34*MIN(BA34,BC34)</f>
        <v>0</v>
      </c>
      <c r="I34" s="84">
        <f t="shared" ca="1" si="0"/>
        <v>0</v>
      </c>
      <c r="J34" s="84">
        <f ca="1">('Invoer gegevens (N)'!$F$20/12)*F33*MIN(BA34,BC34)</f>
        <v>0</v>
      </c>
      <c r="K34" s="97">
        <f t="shared" ca="1" si="5"/>
        <v>0</v>
      </c>
      <c r="L34" s="84">
        <f ca="1">IF('Invoer gegevens (N)'!$C$17=E34,0,IF(C34=1,Q33,0))</f>
        <v>0</v>
      </c>
      <c r="M34" s="96">
        <f t="shared" ca="1" si="1"/>
        <v>0</v>
      </c>
      <c r="N34" s="84">
        <f ca="1">(1-('Invoer gegevens (N)'!$F$20/12))*L34*MIN(BA34,BC34)</f>
        <v>0</v>
      </c>
      <c r="O34" s="84">
        <f t="shared" ca="1" si="2"/>
        <v>0</v>
      </c>
      <c r="P34" s="84">
        <f ca="1">('Invoer gegevens (N)'!$F$20/12)*L33*MIN(BA34,BC34)</f>
        <v>0</v>
      </c>
      <c r="Q34" s="84">
        <f t="shared" ca="1" si="6"/>
        <v>0</v>
      </c>
      <c r="R34" s="85">
        <f ca="1">IF('Invoer gegevens (N)'!$C$17=E34,'Invoer gegevens (N)'!$C$11,IF(C34=1,W33,0))</f>
        <v>0</v>
      </c>
      <c r="S34" s="86">
        <f t="shared" ca="1" si="3"/>
        <v>0</v>
      </c>
      <c r="T34" s="86">
        <f ca="1">(1-('Invoer gegevens (N)'!$F$20/12))*R34*MIN(BC34,BA34)</f>
        <v>0</v>
      </c>
      <c r="U34" s="86">
        <f ca="1">IF(BD34&lt;1,IF('Reeksen (N)'!AD34&lt;='Reeksen (N)'!AE34,R34*'Reeksen (N)'!C34,0),IF(BC34&gt;=BA34,0,IF('Reeksen (N)'!AD34&lt;='Reeksen (N)'!AE34,(BA34-BC34)*R34,0)))</f>
        <v>0</v>
      </c>
      <c r="V34" s="86">
        <f ca="1">IF(BD34&lt;1,IF('Reeksen (N)'!AD34&gt;'Reeksen (N)'!AE34,R34*'Reeksen (N)'!C34,0),IF(BC34&gt;=BA34,0,IF('Reeksen (N)'!AD34&gt;'Reeksen (N)'!AE34,(BA34-BC34)*R34,0)))</f>
        <v>0</v>
      </c>
      <c r="W34" s="218">
        <f t="shared" ca="1" si="7"/>
        <v>0</v>
      </c>
      <c r="X34" s="98">
        <f ca="1">IF('Invoer gegevens (N)'!$C$17=E34,'Invoer gegevens (N)'!$C$10-'Invoer gegevens (N)'!$C$11,IF(C34=1,AC33,0))</f>
        <v>0</v>
      </c>
      <c r="Y34" s="98">
        <f t="shared" ca="1" si="4"/>
        <v>0</v>
      </c>
      <c r="Z34" s="98">
        <f ca="1">(1-('Invoer gegevens (N)'!$F$20/12))*X34*MIN(BA34,BC34)</f>
        <v>0</v>
      </c>
      <c r="AA34" s="98">
        <f ca="1">IF(BD34&lt;1,IF('Reeksen (N)'!AD34&lt;='Reeksen (N)'!AE34,X34*'Reeksen (N)'!C34,0),IF(BC34&gt;=BA34,0,IF('Reeksen (N)'!AD34&lt;='Reeksen (N)'!AE34,(BA34-BC34)*X34,0)))</f>
        <v>0</v>
      </c>
      <c r="AB34" s="98">
        <f ca="1">IF(BD34&lt;1,IF('Reeksen (N)'!AD34&gt;'Reeksen (N)'!AE34,X34*'Reeksen (N)'!C34,0),IF(BC34&gt;=BA34,0,IF('Reeksen (N)'!AD34&gt;'Reeksen (N)'!AE34,(BA34-BC34)*X34,0)))</f>
        <v>0</v>
      </c>
      <c r="AC34" s="99">
        <f t="shared" ca="1" si="8"/>
        <v>0</v>
      </c>
      <c r="AD34" s="98">
        <f ca="1">IF('Invoer gegevens (N)'!$C$17=E34,R34,IF(C34=0,0,AE33))</f>
        <v>0</v>
      </c>
      <c r="AE34" s="98">
        <f t="shared" ca="1" si="9"/>
        <v>0</v>
      </c>
      <c r="AF34" s="98">
        <f ca="1">IF('Invoer gegevens (N)'!$C$17=E34,X34,IF(C34=0,0,AG33))</f>
        <v>0</v>
      </c>
      <c r="AG34" s="98">
        <f t="shared" ca="1" si="10"/>
        <v>0</v>
      </c>
      <c r="AH34" s="66"/>
      <c r="AI34" s="71">
        <f ca="1">IF(C34=1,'Reeksen (N)'!AI34*((F34+K34)/2)*12+'Reeksen (N)'!AD34*((L34+Q34)/2)*12,0)</f>
        <v>0</v>
      </c>
      <c r="AJ34" s="71">
        <f ca="1">-AI34*'Invoer gegevens (N)'!$F$28</f>
        <v>0</v>
      </c>
      <c r="AK34" s="71">
        <f t="shared" ca="1" si="11"/>
        <v>0</v>
      </c>
      <c r="AL34" s="71">
        <f ca="1">IF(C34=1,'Reeksen (N)'!AL34*((F34-G34+F34)/2)*12+'Reeksen (N)'!AM34*((L34-M34+L34)/2)*12,0)</f>
        <v>0</v>
      </c>
      <c r="AM34" s="71">
        <f ca="1">-AL34*'Invoer gegevens (N)'!$F$31</f>
        <v>0</v>
      </c>
      <c r="AN34" s="71">
        <f t="shared" ca="1" si="12"/>
        <v>0</v>
      </c>
      <c r="AO34" s="71">
        <f ca="1">IF(C34=1,(H34+J34+N34+P34)*'Reeksen (N)'!AN34,0)</f>
        <v>0</v>
      </c>
      <c r="AP34" s="71">
        <f ca="1">-IF(C34=1,(H34+J34+N34+P34)*'Hulp - basis'!$O$550*'Reeksen (N)'!H34,0)</f>
        <v>0</v>
      </c>
      <c r="AQ34" s="71">
        <f ca="1">-IF(C34=1,(F34+K34+L34+Q34)/2*'Invoer gegevens (N)'!$F$35*'Reeksen (N)'!J34,0)*2</f>
        <v>0</v>
      </c>
      <c r="AR34" s="71">
        <f ca="1">IF(BD34&lt;1,-IF(C34=1,(G34*'Invoer gegevens (N)'!$F$36)*'Reeksen (N)'!J34,0),0)</f>
        <v>0</v>
      </c>
      <c r="AS34" s="71">
        <f ca="1">-IF(C34=1,(F34+K34+L34+Q34)/2*'Invoer gegevens (N)'!$F$37*'Reeksen (N)'!L34,0)</f>
        <v>0</v>
      </c>
      <c r="AT34" s="71">
        <f ca="1">-IF(C34=1,IF(E34='Invoer gegevens (N)'!$C$17,'Invoer gegevens (N)'!$C$11,AD34)*'Reeksen (N)'!S34*'Invoer gegevens (N)'!$C$18*'Reeksen (N)'!P34,0)</f>
        <v>0</v>
      </c>
      <c r="AU34" s="71">
        <f ca="1">-IF(C34=1,(F34+K34+L34+Q34)/2*'Invoer gegevens (N)'!$F$38*'Reeksen (N)'!H34,0)</f>
        <v>0</v>
      </c>
      <c r="AV34" s="71">
        <v>0</v>
      </c>
      <c r="AW34" s="71">
        <f t="shared" ca="1" si="13"/>
        <v>0</v>
      </c>
      <c r="AX34" s="71">
        <f ca="1">IF(E34&lt;'Invoer gegevens (N)'!$C$17+15,0,IF(E34&gt;'Invoer gegevens (N)'!$C$17+215,0,AW34))</f>
        <v>0</v>
      </c>
      <c r="AY34" s="71">
        <f ca="1">AX34/(1+'Invoer gegevens (N)'!$F$18)^($AZ34-('Invoer gegevens (N)'!$C$17-'Invoer gegevens (N)'!$C$16))/(1+'Invoer gegevens (N)'!$C$39)^('Invoer gegevens (N)'!$C$17-'Invoer gegevens (N)'!$C$16)</f>
        <v>0</v>
      </c>
      <c r="AZ34" s="68">
        <f ca="1">IF(E34-'Invoer gegevens (N)'!$C$17-14.5&lt;0,0,E34-'Invoer gegevens (N)'!$C$17-14.5)</f>
        <v>14.5</v>
      </c>
      <c r="BA34" s="109">
        <f ca="1">IFERROR(VLOOKUP(E34-15,'Reeksen (N)'!$A$5:$D$234,2,FALSE),0)</f>
        <v>0</v>
      </c>
      <c r="BB34" s="109">
        <f ca="1">IFERROR(VLOOKUP(E34-15,'Reeksen (N)'!$A$5:$D$234,3,FALSE),0)</f>
        <v>0</v>
      </c>
      <c r="BC34" s="109">
        <f ca="1">IFERROR(VLOOKUP(E34-15,'Reeksen (N)'!$A$5:$D$234,4,FALSE),0)</f>
        <v>0</v>
      </c>
      <c r="BD34" s="67">
        <f ca="1">IF(E34-'Invoer gegevens (N)'!$C$17&lt;15,0,1)</f>
        <v>1</v>
      </c>
    </row>
    <row r="35" spans="1:56" x14ac:dyDescent="0.25">
      <c r="A35" s="59"/>
      <c r="B35" s="70">
        <f t="shared" si="14"/>
        <v>31</v>
      </c>
      <c r="C35" s="67">
        <f ca="1">IF(E35-'Invoer gegevens (N)'!$C$17&lt;0,0,1)</f>
        <v>1</v>
      </c>
      <c r="D35" s="68">
        <f t="shared" si="15"/>
        <v>30.5</v>
      </c>
      <c r="E35" s="108">
        <f ca="1">IF('Invoer gegevens (N)'!$C$16="","",E34+1)</f>
        <v>2049</v>
      </c>
      <c r="F35" s="84">
        <f ca="1">IF('Invoer gegevens (N)'!$C$17=E35,'Invoer gegevens (N)'!$C$10,IF(C35=1,K34,0))</f>
        <v>0</v>
      </c>
      <c r="G35" s="96">
        <f ca="1">IF(BD35&lt;1,F35*'Reeksen (N)'!C35,IF(C35&gt;=1,F35*BA35,0))</f>
        <v>0</v>
      </c>
      <c r="H35" s="84">
        <f ca="1">(1-('Invoer gegevens (N)'!$F$20/12))*F35*MIN(BA35,BC35)</f>
        <v>0</v>
      </c>
      <c r="I35" s="84">
        <f t="shared" ca="1" si="0"/>
        <v>0</v>
      </c>
      <c r="J35" s="84">
        <f ca="1">('Invoer gegevens (N)'!$F$20/12)*F34*MIN(BA35,BC35)</f>
        <v>0</v>
      </c>
      <c r="K35" s="97">
        <f t="shared" ca="1" si="5"/>
        <v>0</v>
      </c>
      <c r="L35" s="84">
        <f ca="1">IF('Invoer gegevens (N)'!$C$17=E35,0,IF(C35=1,Q34,0))</f>
        <v>0</v>
      </c>
      <c r="M35" s="96">
        <f t="shared" ca="1" si="1"/>
        <v>0</v>
      </c>
      <c r="N35" s="84">
        <f ca="1">(1-('Invoer gegevens (N)'!$F$20/12))*L35*MIN(BA35,BC35)</f>
        <v>0</v>
      </c>
      <c r="O35" s="84">
        <f t="shared" ca="1" si="2"/>
        <v>0</v>
      </c>
      <c r="P35" s="84">
        <f ca="1">('Invoer gegevens (N)'!$F$20/12)*L34*MIN(BA35,BC35)</f>
        <v>0</v>
      </c>
      <c r="Q35" s="84">
        <f t="shared" ca="1" si="6"/>
        <v>0</v>
      </c>
      <c r="R35" s="85">
        <f ca="1">IF('Invoer gegevens (N)'!$C$17=E35,'Invoer gegevens (N)'!$C$11,IF(C35=1,W34,0))</f>
        <v>0</v>
      </c>
      <c r="S35" s="86">
        <f t="shared" ca="1" si="3"/>
        <v>0</v>
      </c>
      <c r="T35" s="86">
        <f ca="1">(1-('Invoer gegevens (N)'!$F$20/12))*R35*MIN(BC35,BA35)</f>
        <v>0</v>
      </c>
      <c r="U35" s="86">
        <f ca="1">IF(BD35&lt;1,IF('Reeksen (N)'!AD35&lt;='Reeksen (N)'!AE35,R35*'Reeksen (N)'!C35,0),IF(BC35&gt;=BA35,0,IF('Reeksen (N)'!AD35&lt;='Reeksen (N)'!AE35,(BA35-BC35)*R35,0)))</f>
        <v>0</v>
      </c>
      <c r="V35" s="86">
        <f ca="1">IF(BD35&lt;1,IF('Reeksen (N)'!AD35&gt;'Reeksen (N)'!AE35,R35*'Reeksen (N)'!C35,0),IF(BC35&gt;=BA35,0,IF('Reeksen (N)'!AD35&gt;'Reeksen (N)'!AE35,(BA35-BC35)*R35,0)))</f>
        <v>0</v>
      </c>
      <c r="W35" s="218">
        <f t="shared" ca="1" si="7"/>
        <v>0</v>
      </c>
      <c r="X35" s="98">
        <f ca="1">IF('Invoer gegevens (N)'!$C$17=E35,'Invoer gegevens (N)'!$C$10-'Invoer gegevens (N)'!$C$11,IF(C35=1,AC34,0))</f>
        <v>0</v>
      </c>
      <c r="Y35" s="98">
        <f t="shared" ca="1" si="4"/>
        <v>0</v>
      </c>
      <c r="Z35" s="98">
        <f ca="1">(1-('Invoer gegevens (N)'!$F$20/12))*X35*MIN(BA35,BC35)</f>
        <v>0</v>
      </c>
      <c r="AA35" s="98">
        <f ca="1">IF(BD35&lt;1,IF('Reeksen (N)'!AD35&lt;='Reeksen (N)'!AE35,X35*'Reeksen (N)'!C35,0),IF(BC35&gt;=BA35,0,IF('Reeksen (N)'!AD35&lt;='Reeksen (N)'!AE35,(BA35-BC35)*X35,0)))</f>
        <v>0</v>
      </c>
      <c r="AB35" s="98">
        <f ca="1">IF(BD35&lt;1,IF('Reeksen (N)'!AD35&gt;'Reeksen (N)'!AE35,X35*'Reeksen (N)'!C35,0),IF(BC35&gt;=BA35,0,IF('Reeksen (N)'!AD35&gt;'Reeksen (N)'!AE35,(BA35-BC35)*X35,0)))</f>
        <v>0</v>
      </c>
      <c r="AC35" s="99">
        <f t="shared" ca="1" si="8"/>
        <v>0</v>
      </c>
      <c r="AD35" s="98">
        <f ca="1">IF('Invoer gegevens (N)'!$C$17=E35,R35,IF(C35=0,0,AE34))</f>
        <v>0</v>
      </c>
      <c r="AE35" s="98">
        <f t="shared" ca="1" si="9"/>
        <v>0</v>
      </c>
      <c r="AF35" s="98">
        <f ca="1">IF('Invoer gegevens (N)'!$C$17=E35,X35,IF(C35=0,0,AG34))</f>
        <v>0</v>
      </c>
      <c r="AG35" s="98">
        <f t="shared" ca="1" si="10"/>
        <v>0</v>
      </c>
      <c r="AH35" s="66"/>
      <c r="AI35" s="71">
        <f ca="1">IF(C35=1,'Reeksen (N)'!AI35*((F35+K35)/2)*12+'Reeksen (N)'!AD35*((L35+Q35)/2)*12,0)</f>
        <v>0</v>
      </c>
      <c r="AJ35" s="71">
        <f ca="1">-AI35*'Invoer gegevens (N)'!$F$28</f>
        <v>0</v>
      </c>
      <c r="AK35" s="71">
        <f t="shared" ca="1" si="11"/>
        <v>0</v>
      </c>
      <c r="AL35" s="71">
        <f ca="1">IF(C35=1,'Reeksen (N)'!AL35*((F35-G35+F35)/2)*12+'Reeksen (N)'!AM35*((L35-M35+L35)/2)*12,0)</f>
        <v>0</v>
      </c>
      <c r="AM35" s="71">
        <f ca="1">-AL35*'Invoer gegevens (N)'!$F$31</f>
        <v>0</v>
      </c>
      <c r="AN35" s="71">
        <f t="shared" ca="1" si="12"/>
        <v>0</v>
      </c>
      <c r="AO35" s="71">
        <f ca="1">IF(C35=1,(H35+J35+N35+P35)*'Reeksen (N)'!AN35,0)</f>
        <v>0</v>
      </c>
      <c r="AP35" s="71">
        <f ca="1">-IF(C35=1,(H35+J35+N35+P35)*'Hulp - basis'!$O$550*'Reeksen (N)'!H35,0)</f>
        <v>0</v>
      </c>
      <c r="AQ35" s="71">
        <f ca="1">-IF(C35=1,(F35+K35+L35+Q35)/2*'Invoer gegevens (N)'!$F$35*'Reeksen (N)'!J35,0)*2</f>
        <v>0</v>
      </c>
      <c r="AR35" s="71">
        <f ca="1">IF(BD35&lt;1,-IF(C35=1,(G35*'Invoer gegevens (N)'!$F$36)*'Reeksen (N)'!J35,0),0)</f>
        <v>0</v>
      </c>
      <c r="AS35" s="71">
        <f ca="1">-IF(C35=1,(F35+K35+L35+Q35)/2*'Invoer gegevens (N)'!$F$37*'Reeksen (N)'!L35,0)</f>
        <v>0</v>
      </c>
      <c r="AT35" s="71">
        <f ca="1">-IF(C35=1,IF(E35='Invoer gegevens (N)'!$C$17,'Invoer gegevens (N)'!$C$11,AD35)*'Reeksen (N)'!S35*'Invoer gegevens (N)'!$C$18*'Reeksen (N)'!P35,0)</f>
        <v>0</v>
      </c>
      <c r="AU35" s="71">
        <f ca="1">-IF(C35=1,(F35+K35+L35+Q35)/2*'Invoer gegevens (N)'!$F$38*'Reeksen (N)'!H35,0)</f>
        <v>0</v>
      </c>
      <c r="AV35" s="71">
        <v>0</v>
      </c>
      <c r="AW35" s="71">
        <f t="shared" ca="1" si="13"/>
        <v>0</v>
      </c>
      <c r="AX35" s="71">
        <f ca="1">IF(E35&lt;'Invoer gegevens (N)'!$C$17+15,0,IF(E35&gt;'Invoer gegevens (N)'!$C$17+215,0,AW35))</f>
        <v>0</v>
      </c>
      <c r="AY35" s="71">
        <f ca="1">AX35/(1+'Invoer gegevens (N)'!$F$18)^($AZ35-('Invoer gegevens (N)'!$C$17-'Invoer gegevens (N)'!$C$16))/(1+'Invoer gegevens (N)'!$C$39)^('Invoer gegevens (N)'!$C$17-'Invoer gegevens (N)'!$C$16)</f>
        <v>0</v>
      </c>
      <c r="AZ35" s="68">
        <f ca="1">IF(E35-'Invoer gegevens (N)'!$C$17-14.5&lt;0,0,E35-'Invoer gegevens (N)'!$C$17-14.5)</f>
        <v>15.5</v>
      </c>
      <c r="BA35" s="109">
        <f ca="1">IFERROR(VLOOKUP(E35-15,'Reeksen (N)'!$A$5:$D$234,2,FALSE),0)</f>
        <v>0</v>
      </c>
      <c r="BB35" s="109">
        <f ca="1">IFERROR(VLOOKUP(E35-15,'Reeksen (N)'!$A$5:$D$234,3,FALSE),0)</f>
        <v>0</v>
      </c>
      <c r="BC35" s="109">
        <f ca="1">IFERROR(VLOOKUP(E35-15,'Reeksen (N)'!$A$5:$D$234,4,FALSE),0)</f>
        <v>0</v>
      </c>
      <c r="BD35" s="67">
        <f ca="1">IF(E35-'Invoer gegevens (N)'!$C$17&lt;15,0,1)</f>
        <v>1</v>
      </c>
    </row>
    <row r="36" spans="1:56" x14ac:dyDescent="0.25">
      <c r="A36" s="59"/>
      <c r="B36" s="70">
        <f t="shared" si="14"/>
        <v>32</v>
      </c>
      <c r="C36" s="67">
        <f ca="1">IF(E36-'Invoer gegevens (N)'!$C$17&lt;0,0,1)</f>
        <v>1</v>
      </c>
      <c r="D36" s="68">
        <f t="shared" si="15"/>
        <v>31.5</v>
      </c>
      <c r="E36" s="108">
        <f ca="1">IF('Invoer gegevens (N)'!$C$16="","",E35+1)</f>
        <v>2050</v>
      </c>
      <c r="F36" s="84">
        <f ca="1">IF('Invoer gegevens (N)'!$C$17=E36,'Invoer gegevens (N)'!$C$10,IF(C36=1,K35,0))</f>
        <v>0</v>
      </c>
      <c r="G36" s="96">
        <f ca="1">IF(BD36&lt;1,F36*'Reeksen (N)'!C36,IF(C36&gt;=1,F36*BA36,0))</f>
        <v>0</v>
      </c>
      <c r="H36" s="84">
        <f ca="1">(1-('Invoer gegevens (N)'!$F$20/12))*F36*MIN(BA36,BC36)</f>
        <v>0</v>
      </c>
      <c r="I36" s="84">
        <f t="shared" ca="1" si="0"/>
        <v>0</v>
      </c>
      <c r="J36" s="84">
        <f ca="1">('Invoer gegevens (N)'!$F$20/12)*F35*MIN(BA36,BC36)</f>
        <v>0</v>
      </c>
      <c r="K36" s="97">
        <f t="shared" ca="1" si="5"/>
        <v>0</v>
      </c>
      <c r="L36" s="84">
        <f ca="1">IF('Invoer gegevens (N)'!$C$17=E36,0,IF(C36=1,Q35,0))</f>
        <v>0</v>
      </c>
      <c r="M36" s="96">
        <f t="shared" ca="1" si="1"/>
        <v>0</v>
      </c>
      <c r="N36" s="84">
        <f ca="1">(1-('Invoer gegevens (N)'!$F$20/12))*L36*MIN(BA36,BC36)</f>
        <v>0</v>
      </c>
      <c r="O36" s="84">
        <f t="shared" ca="1" si="2"/>
        <v>0</v>
      </c>
      <c r="P36" s="84">
        <f ca="1">('Invoer gegevens (N)'!$F$20/12)*L35*MIN(BA36,BC36)</f>
        <v>0</v>
      </c>
      <c r="Q36" s="84">
        <f t="shared" ca="1" si="6"/>
        <v>0</v>
      </c>
      <c r="R36" s="85">
        <f ca="1">IF('Invoer gegevens (N)'!$C$17=E36,'Invoer gegevens (N)'!$C$11,IF(C36=1,W35,0))</f>
        <v>0</v>
      </c>
      <c r="S36" s="86">
        <f t="shared" ca="1" si="3"/>
        <v>0</v>
      </c>
      <c r="T36" s="86">
        <f ca="1">(1-('Invoer gegevens (N)'!$F$20/12))*R36*MIN(BC36,BA36)</f>
        <v>0</v>
      </c>
      <c r="U36" s="86">
        <f ca="1">IF(BD36&lt;1,IF('Reeksen (N)'!AD36&lt;='Reeksen (N)'!AE36,R36*'Reeksen (N)'!C36,0),IF(BC36&gt;=BA36,0,IF('Reeksen (N)'!AD36&lt;='Reeksen (N)'!AE36,(BA36-BC36)*R36,0)))</f>
        <v>0</v>
      </c>
      <c r="V36" s="86">
        <f ca="1">IF(BD36&lt;1,IF('Reeksen (N)'!AD36&gt;'Reeksen (N)'!AE36,R36*'Reeksen (N)'!C36,0),IF(BC36&gt;=BA36,0,IF('Reeksen (N)'!AD36&gt;'Reeksen (N)'!AE36,(BA36-BC36)*R36,0)))</f>
        <v>0</v>
      </c>
      <c r="W36" s="218">
        <f t="shared" ca="1" si="7"/>
        <v>0</v>
      </c>
      <c r="X36" s="98">
        <f ca="1">IF('Invoer gegevens (N)'!$C$17=E36,'Invoer gegevens (N)'!$C$10-'Invoer gegevens (N)'!$C$11,IF(C36=1,AC35,0))</f>
        <v>0</v>
      </c>
      <c r="Y36" s="98">
        <f t="shared" ca="1" si="4"/>
        <v>0</v>
      </c>
      <c r="Z36" s="98">
        <f ca="1">(1-('Invoer gegevens (N)'!$F$20/12))*X36*MIN(BA36,BC36)</f>
        <v>0</v>
      </c>
      <c r="AA36" s="98">
        <f ca="1">IF(BD36&lt;1,IF('Reeksen (N)'!AD36&lt;='Reeksen (N)'!AE36,X36*'Reeksen (N)'!C36,0),IF(BC36&gt;=BA36,0,IF('Reeksen (N)'!AD36&lt;='Reeksen (N)'!AE36,(BA36-BC36)*X36,0)))</f>
        <v>0</v>
      </c>
      <c r="AB36" s="98">
        <f ca="1">IF(BD36&lt;1,IF('Reeksen (N)'!AD36&gt;'Reeksen (N)'!AE36,X36*'Reeksen (N)'!C36,0),IF(BC36&gt;=BA36,0,IF('Reeksen (N)'!AD36&gt;'Reeksen (N)'!AE36,(BA36-BC36)*X36,0)))</f>
        <v>0</v>
      </c>
      <c r="AC36" s="99">
        <f t="shared" ca="1" si="8"/>
        <v>0</v>
      </c>
      <c r="AD36" s="98">
        <f ca="1">IF('Invoer gegevens (N)'!$C$17=E36,R36,IF(C36=0,0,AE35))</f>
        <v>0</v>
      </c>
      <c r="AE36" s="98">
        <f t="shared" ca="1" si="9"/>
        <v>0</v>
      </c>
      <c r="AF36" s="98">
        <f ca="1">IF('Invoer gegevens (N)'!$C$17=E36,X36,IF(C36=0,0,AG35))</f>
        <v>0</v>
      </c>
      <c r="AG36" s="98">
        <f t="shared" ca="1" si="10"/>
        <v>0</v>
      </c>
      <c r="AH36" s="66"/>
      <c r="AI36" s="71">
        <f ca="1">IF(C36=1,'Reeksen (N)'!AI36*((F36+K36)/2)*12+'Reeksen (N)'!AD36*((L36+Q36)/2)*12,0)</f>
        <v>0</v>
      </c>
      <c r="AJ36" s="71">
        <f ca="1">-AI36*'Invoer gegevens (N)'!$F$28</f>
        <v>0</v>
      </c>
      <c r="AK36" s="71">
        <f t="shared" ca="1" si="11"/>
        <v>0</v>
      </c>
      <c r="AL36" s="71">
        <f ca="1">IF(C36=1,'Reeksen (N)'!AL36*((F36-G36+F36)/2)*12+'Reeksen (N)'!AM36*((L36-M36+L36)/2)*12,0)</f>
        <v>0</v>
      </c>
      <c r="AM36" s="71">
        <f ca="1">-AL36*'Invoer gegevens (N)'!$F$31</f>
        <v>0</v>
      </c>
      <c r="AN36" s="71">
        <f t="shared" ca="1" si="12"/>
        <v>0</v>
      </c>
      <c r="AO36" s="71">
        <f ca="1">IF(C36=1,(H36+J36+N36+P36)*'Reeksen (N)'!AN36,0)</f>
        <v>0</v>
      </c>
      <c r="AP36" s="71">
        <f ca="1">-IF(C36=1,(H36+J36+N36+P36)*'Hulp - basis'!$O$550*'Reeksen (N)'!H36,0)</f>
        <v>0</v>
      </c>
      <c r="AQ36" s="71">
        <f ca="1">-IF(C36=1,(F36+K36+L36+Q36)/2*'Invoer gegevens (N)'!$F$35*'Reeksen (N)'!J36,0)*2</f>
        <v>0</v>
      </c>
      <c r="AR36" s="71">
        <f ca="1">IF(BD36&lt;1,-IF(C36=1,(G36*'Invoer gegevens (N)'!$F$36)*'Reeksen (N)'!J36,0),0)</f>
        <v>0</v>
      </c>
      <c r="AS36" s="71">
        <f ca="1">-IF(C36=1,(F36+K36+L36+Q36)/2*'Invoer gegevens (N)'!$F$37*'Reeksen (N)'!L36,0)</f>
        <v>0</v>
      </c>
      <c r="AT36" s="71">
        <f ca="1">-IF(C36=1,IF(E36='Invoer gegevens (N)'!$C$17,'Invoer gegevens (N)'!$C$11,AD36)*'Reeksen (N)'!S36*'Invoer gegevens (N)'!$C$18*'Reeksen (N)'!P36,0)</f>
        <v>0</v>
      </c>
      <c r="AU36" s="71">
        <f ca="1">-IF(C36=1,(F36+K36+L36+Q36)/2*'Invoer gegevens (N)'!$F$38*'Reeksen (N)'!H36,0)</f>
        <v>0</v>
      </c>
      <c r="AV36" s="71">
        <v>0</v>
      </c>
      <c r="AW36" s="71">
        <f t="shared" ca="1" si="13"/>
        <v>0</v>
      </c>
      <c r="AX36" s="71">
        <f ca="1">IF(E36&lt;'Invoer gegevens (N)'!$C$17+15,0,IF(E36&gt;'Invoer gegevens (N)'!$C$17+215,0,AW36))</f>
        <v>0</v>
      </c>
      <c r="AY36" s="71">
        <f ca="1">AX36/(1+'Invoer gegevens (N)'!$F$18)^($AZ36-('Invoer gegevens (N)'!$C$17-'Invoer gegevens (N)'!$C$16))/(1+'Invoer gegevens (N)'!$C$39)^('Invoer gegevens (N)'!$C$17-'Invoer gegevens (N)'!$C$16)</f>
        <v>0</v>
      </c>
      <c r="AZ36" s="68">
        <f ca="1">IF(E36-'Invoer gegevens (N)'!$C$17-14.5&lt;0,0,E36-'Invoer gegevens (N)'!$C$17-14.5)</f>
        <v>16.5</v>
      </c>
      <c r="BA36" s="109">
        <f ca="1">IFERROR(VLOOKUP(E36-15,'Reeksen (N)'!$A$5:$D$234,2,FALSE),0)</f>
        <v>0</v>
      </c>
      <c r="BB36" s="109">
        <f ca="1">IFERROR(VLOOKUP(E36-15,'Reeksen (N)'!$A$5:$D$234,3,FALSE),0)</f>
        <v>0</v>
      </c>
      <c r="BC36" s="109">
        <f ca="1">IFERROR(VLOOKUP(E36-15,'Reeksen (N)'!$A$5:$D$234,4,FALSE),0)</f>
        <v>0</v>
      </c>
      <c r="BD36" s="67">
        <f ca="1">IF(E36-'Invoer gegevens (N)'!$C$17&lt;15,0,1)</f>
        <v>1</v>
      </c>
    </row>
    <row r="37" spans="1:56" x14ac:dyDescent="0.25">
      <c r="A37" s="59"/>
      <c r="B37" s="70">
        <f t="shared" si="14"/>
        <v>33</v>
      </c>
      <c r="C37" s="67">
        <f ca="1">IF(E37-'Invoer gegevens (N)'!$C$17&lt;0,0,1)</f>
        <v>1</v>
      </c>
      <c r="D37" s="68">
        <f t="shared" si="15"/>
        <v>32.5</v>
      </c>
      <c r="E37" s="108">
        <f ca="1">IF('Invoer gegevens (N)'!$C$16="","",E36+1)</f>
        <v>2051</v>
      </c>
      <c r="F37" s="84">
        <f ca="1">IF('Invoer gegevens (N)'!$C$17=E37,'Invoer gegevens (N)'!$C$10,IF(C37=1,K36,0))</f>
        <v>0</v>
      </c>
      <c r="G37" s="96">
        <f ca="1">IF(BD37&lt;1,F37*'Reeksen (N)'!C37,IF(C37&gt;=1,F37*BA37,0))</f>
        <v>0</v>
      </c>
      <c r="H37" s="84">
        <f ca="1">(1-('Invoer gegevens (N)'!$F$20/12))*F37*MIN(BA37,BC37)</f>
        <v>0</v>
      </c>
      <c r="I37" s="84">
        <f t="shared" ca="1" si="0"/>
        <v>0</v>
      </c>
      <c r="J37" s="84">
        <f ca="1">('Invoer gegevens (N)'!$F$20/12)*F36*MIN(BA37,BC37)</f>
        <v>0</v>
      </c>
      <c r="K37" s="97">
        <f t="shared" ca="1" si="5"/>
        <v>0</v>
      </c>
      <c r="L37" s="84">
        <f ca="1">IF('Invoer gegevens (N)'!$C$17=E37,0,IF(C37=1,Q36,0))</f>
        <v>0</v>
      </c>
      <c r="M37" s="96">
        <f t="shared" ca="1" si="1"/>
        <v>0</v>
      </c>
      <c r="N37" s="84">
        <f ca="1">(1-('Invoer gegevens (N)'!$F$20/12))*L37*MIN(BA37,BC37)</f>
        <v>0</v>
      </c>
      <c r="O37" s="84">
        <f t="shared" ca="1" si="2"/>
        <v>0</v>
      </c>
      <c r="P37" s="84">
        <f ca="1">('Invoer gegevens (N)'!$F$20/12)*L36*MIN(BA37,BC37)</f>
        <v>0</v>
      </c>
      <c r="Q37" s="84">
        <f t="shared" ca="1" si="6"/>
        <v>0</v>
      </c>
      <c r="R37" s="85">
        <f ca="1">IF('Invoer gegevens (N)'!$C$17=E37,'Invoer gegevens (N)'!$C$11,IF(C37=1,W36,0))</f>
        <v>0</v>
      </c>
      <c r="S37" s="86">
        <f t="shared" ca="1" si="3"/>
        <v>0</v>
      </c>
      <c r="T37" s="86">
        <f ca="1">(1-('Invoer gegevens (N)'!$F$20/12))*R37*MIN(BC37,BA37)</f>
        <v>0</v>
      </c>
      <c r="U37" s="86">
        <f ca="1">IF(BD37&lt;1,IF('Reeksen (N)'!AD37&lt;='Reeksen (N)'!AE37,R37*'Reeksen (N)'!C37,0),IF(BC37&gt;=BA37,0,IF('Reeksen (N)'!AD37&lt;='Reeksen (N)'!AE37,(BA37-BC37)*R37,0)))</f>
        <v>0</v>
      </c>
      <c r="V37" s="86">
        <f ca="1">IF(BD37&lt;1,IF('Reeksen (N)'!AD37&gt;'Reeksen (N)'!AE37,R37*'Reeksen (N)'!C37,0),IF(BC37&gt;=BA37,0,IF('Reeksen (N)'!AD37&gt;'Reeksen (N)'!AE37,(BA37-BC37)*R37,0)))</f>
        <v>0</v>
      </c>
      <c r="W37" s="218">
        <f t="shared" ca="1" si="7"/>
        <v>0</v>
      </c>
      <c r="X37" s="98">
        <f ca="1">IF('Invoer gegevens (N)'!$C$17=E37,'Invoer gegevens (N)'!$C$10-'Invoer gegevens (N)'!$C$11,IF(C37=1,AC36,0))</f>
        <v>0</v>
      </c>
      <c r="Y37" s="98">
        <f t="shared" ca="1" si="4"/>
        <v>0</v>
      </c>
      <c r="Z37" s="98">
        <f ca="1">(1-('Invoer gegevens (N)'!$F$20/12))*X37*MIN(BA37,BC37)</f>
        <v>0</v>
      </c>
      <c r="AA37" s="98">
        <f ca="1">IF(BD37&lt;1,IF('Reeksen (N)'!AD37&lt;='Reeksen (N)'!AE37,X37*'Reeksen (N)'!C37,0),IF(BC37&gt;=BA37,0,IF('Reeksen (N)'!AD37&lt;='Reeksen (N)'!AE37,(BA37-BC37)*X37,0)))</f>
        <v>0</v>
      </c>
      <c r="AB37" s="98">
        <f ca="1">IF(BD37&lt;1,IF('Reeksen (N)'!AD37&gt;'Reeksen (N)'!AE37,X37*'Reeksen (N)'!C37,0),IF(BC37&gt;=BA37,0,IF('Reeksen (N)'!AD37&gt;'Reeksen (N)'!AE37,(BA37-BC37)*X37,0)))</f>
        <v>0</v>
      </c>
      <c r="AC37" s="99">
        <f t="shared" ca="1" si="8"/>
        <v>0</v>
      </c>
      <c r="AD37" s="98">
        <f ca="1">IF('Invoer gegevens (N)'!$C$17=E37,R37,IF(C37=0,0,AE36))</f>
        <v>0</v>
      </c>
      <c r="AE37" s="98">
        <f t="shared" ca="1" si="9"/>
        <v>0</v>
      </c>
      <c r="AF37" s="98">
        <f ca="1">IF('Invoer gegevens (N)'!$C$17=E37,X37,IF(C37=0,0,AG36))</f>
        <v>0</v>
      </c>
      <c r="AG37" s="98">
        <f t="shared" ca="1" si="10"/>
        <v>0</v>
      </c>
      <c r="AH37" s="66"/>
      <c r="AI37" s="71">
        <f ca="1">IF(C37=1,'Reeksen (N)'!AI37*((F37+K37)/2)*12+'Reeksen (N)'!AD37*((L37+Q37)/2)*12,0)</f>
        <v>0</v>
      </c>
      <c r="AJ37" s="71">
        <f ca="1">-AI37*'Invoer gegevens (N)'!$F$28</f>
        <v>0</v>
      </c>
      <c r="AK37" s="71">
        <f t="shared" ca="1" si="11"/>
        <v>0</v>
      </c>
      <c r="AL37" s="71">
        <f ca="1">IF(C37=1,'Reeksen (N)'!AL37*((F37-G37+F37)/2)*12+'Reeksen (N)'!AM37*((L37-M37+L37)/2)*12,0)</f>
        <v>0</v>
      </c>
      <c r="AM37" s="71">
        <f ca="1">-AL37*'Invoer gegevens (N)'!$F$31</f>
        <v>0</v>
      </c>
      <c r="AN37" s="71">
        <f t="shared" ca="1" si="12"/>
        <v>0</v>
      </c>
      <c r="AO37" s="71">
        <f ca="1">IF(C37=1,(H37+J37+N37+P37)*'Reeksen (N)'!AN37,0)</f>
        <v>0</v>
      </c>
      <c r="AP37" s="71">
        <f ca="1">-IF(C37=1,(H37+J37+N37+P37)*'Hulp - basis'!$O$550*'Reeksen (N)'!H37,0)</f>
        <v>0</v>
      </c>
      <c r="AQ37" s="71">
        <f ca="1">-IF(C37=1,(F37+K37+L37+Q37)/2*'Invoer gegevens (N)'!$F$35*'Reeksen (N)'!J37,0)*2</f>
        <v>0</v>
      </c>
      <c r="AR37" s="71">
        <f ca="1">IF(BD37&lt;1,-IF(C37=1,(G37*'Invoer gegevens (N)'!$F$36)*'Reeksen (N)'!J37,0),0)</f>
        <v>0</v>
      </c>
      <c r="AS37" s="71">
        <f ca="1">-IF(C37=1,(F37+K37+L37+Q37)/2*'Invoer gegevens (N)'!$F$37*'Reeksen (N)'!L37,0)</f>
        <v>0</v>
      </c>
      <c r="AT37" s="71">
        <f ca="1">-IF(C37=1,IF(E37='Invoer gegevens (N)'!$C$17,'Invoer gegevens (N)'!$C$11,AD37)*'Reeksen (N)'!S37*'Invoer gegevens (N)'!$C$18*'Reeksen (N)'!P37,0)</f>
        <v>0</v>
      </c>
      <c r="AU37" s="71">
        <f ca="1">-IF(C37=1,(F37+K37+L37+Q37)/2*'Invoer gegevens (N)'!$F$38*'Reeksen (N)'!H37,0)</f>
        <v>0</v>
      </c>
      <c r="AV37" s="71">
        <v>0</v>
      </c>
      <c r="AW37" s="71">
        <f t="shared" ca="1" si="13"/>
        <v>0</v>
      </c>
      <c r="AX37" s="71">
        <f ca="1">IF(E37&lt;'Invoer gegevens (N)'!$C$17+15,0,IF(E37&gt;'Invoer gegevens (N)'!$C$17+215,0,AW37))</f>
        <v>0</v>
      </c>
      <c r="AY37" s="71">
        <f ca="1">AX37/(1+'Invoer gegevens (N)'!$F$18)^($AZ37-('Invoer gegevens (N)'!$C$17-'Invoer gegevens (N)'!$C$16))/(1+'Invoer gegevens (N)'!$C$39)^('Invoer gegevens (N)'!$C$17-'Invoer gegevens (N)'!$C$16)</f>
        <v>0</v>
      </c>
      <c r="AZ37" s="68">
        <f ca="1">IF(E37-'Invoer gegevens (N)'!$C$17-14.5&lt;0,0,E37-'Invoer gegevens (N)'!$C$17-14.5)</f>
        <v>17.5</v>
      </c>
      <c r="BA37" s="109">
        <f ca="1">IFERROR(VLOOKUP(E37-15,'Reeksen (N)'!$A$5:$D$234,2,FALSE),0)</f>
        <v>0</v>
      </c>
      <c r="BB37" s="109">
        <f ca="1">IFERROR(VLOOKUP(E37-15,'Reeksen (N)'!$A$5:$D$234,3,FALSE),0)</f>
        <v>0</v>
      </c>
      <c r="BC37" s="109">
        <f ca="1">IFERROR(VLOOKUP(E37-15,'Reeksen (N)'!$A$5:$D$234,4,FALSE),0)</f>
        <v>0</v>
      </c>
      <c r="BD37" s="67">
        <f ca="1">IF(E37-'Invoer gegevens (N)'!$C$17&lt;15,0,1)</f>
        <v>1</v>
      </c>
    </row>
    <row r="38" spans="1:56" x14ac:dyDescent="0.25">
      <c r="A38" s="59"/>
      <c r="B38" s="70">
        <f t="shared" si="14"/>
        <v>34</v>
      </c>
      <c r="C38" s="67">
        <f ca="1">IF(E38-'Invoer gegevens (N)'!$C$17&lt;0,0,1)</f>
        <v>1</v>
      </c>
      <c r="D38" s="68">
        <f t="shared" si="15"/>
        <v>33.5</v>
      </c>
      <c r="E38" s="108">
        <f ca="1">IF('Invoer gegevens (N)'!$C$16="","",E37+1)</f>
        <v>2052</v>
      </c>
      <c r="F38" s="84">
        <f ca="1">IF('Invoer gegevens (N)'!$C$17=E38,'Invoer gegevens (N)'!$C$10,IF(C38=1,K37,0))</f>
        <v>0</v>
      </c>
      <c r="G38" s="96">
        <f ca="1">IF(BD38&lt;1,F38*'Reeksen (N)'!C38,IF(C38&gt;=1,F38*BA38,0))</f>
        <v>0</v>
      </c>
      <c r="H38" s="84">
        <f ca="1">(1-('Invoer gegevens (N)'!$F$20/12))*F38*MIN(BA38,BC38)</f>
        <v>0</v>
      </c>
      <c r="I38" s="84">
        <f t="shared" ca="1" si="0"/>
        <v>0</v>
      </c>
      <c r="J38" s="84">
        <f ca="1">('Invoer gegevens (N)'!$F$20/12)*F37*MIN(BA38,BC38)</f>
        <v>0</v>
      </c>
      <c r="K38" s="97">
        <f t="shared" ca="1" si="5"/>
        <v>0</v>
      </c>
      <c r="L38" s="84">
        <f ca="1">IF('Invoer gegevens (N)'!$C$17=E38,0,IF(C38=1,Q37,0))</f>
        <v>0</v>
      </c>
      <c r="M38" s="96">
        <f t="shared" ca="1" si="1"/>
        <v>0</v>
      </c>
      <c r="N38" s="84">
        <f ca="1">(1-('Invoer gegevens (N)'!$F$20/12))*L38*MIN(BA38,BC38)</f>
        <v>0</v>
      </c>
      <c r="O38" s="84">
        <f t="shared" ca="1" si="2"/>
        <v>0</v>
      </c>
      <c r="P38" s="84">
        <f ca="1">('Invoer gegevens (N)'!$F$20/12)*L37*MIN(BA38,BC38)</f>
        <v>0</v>
      </c>
      <c r="Q38" s="84">
        <f t="shared" ca="1" si="6"/>
        <v>0</v>
      </c>
      <c r="R38" s="85">
        <f ca="1">IF('Invoer gegevens (N)'!$C$17=E38,'Invoer gegevens (N)'!$C$11,IF(C38=1,W37,0))</f>
        <v>0</v>
      </c>
      <c r="S38" s="86">
        <f t="shared" ca="1" si="3"/>
        <v>0</v>
      </c>
      <c r="T38" s="86">
        <f ca="1">(1-('Invoer gegevens (N)'!$F$20/12))*R38*MIN(BC38,BA38)</f>
        <v>0</v>
      </c>
      <c r="U38" s="86">
        <f ca="1">IF(BD38&lt;1,IF('Reeksen (N)'!AD38&lt;='Reeksen (N)'!AE38,R38*'Reeksen (N)'!C38,0),IF(BC38&gt;=BA38,0,IF('Reeksen (N)'!AD38&lt;='Reeksen (N)'!AE38,(BA38-BC38)*R38,0)))</f>
        <v>0</v>
      </c>
      <c r="V38" s="86">
        <f ca="1">IF(BD38&lt;1,IF('Reeksen (N)'!AD38&gt;'Reeksen (N)'!AE38,R38*'Reeksen (N)'!C38,0),IF(BC38&gt;=BA38,0,IF('Reeksen (N)'!AD38&gt;'Reeksen (N)'!AE38,(BA38-BC38)*R38,0)))</f>
        <v>0</v>
      </c>
      <c r="W38" s="218">
        <f t="shared" ca="1" si="7"/>
        <v>0</v>
      </c>
      <c r="X38" s="98">
        <f ca="1">IF('Invoer gegevens (N)'!$C$17=E38,'Invoer gegevens (N)'!$C$10-'Invoer gegevens (N)'!$C$11,IF(C38=1,AC37,0))</f>
        <v>0</v>
      </c>
      <c r="Y38" s="98">
        <f t="shared" ca="1" si="4"/>
        <v>0</v>
      </c>
      <c r="Z38" s="98">
        <f ca="1">(1-('Invoer gegevens (N)'!$F$20/12))*X38*MIN(BA38,BC38)</f>
        <v>0</v>
      </c>
      <c r="AA38" s="98">
        <f ca="1">IF(BD38&lt;1,IF('Reeksen (N)'!AD38&lt;='Reeksen (N)'!AE38,X38*'Reeksen (N)'!C38,0),IF(BC38&gt;=BA38,0,IF('Reeksen (N)'!AD38&lt;='Reeksen (N)'!AE38,(BA38-BC38)*X38,0)))</f>
        <v>0</v>
      </c>
      <c r="AB38" s="98">
        <f ca="1">IF(BD38&lt;1,IF('Reeksen (N)'!AD38&gt;'Reeksen (N)'!AE38,X38*'Reeksen (N)'!C38,0),IF(BC38&gt;=BA38,0,IF('Reeksen (N)'!AD38&gt;'Reeksen (N)'!AE38,(BA38-BC38)*X38,0)))</f>
        <v>0</v>
      </c>
      <c r="AC38" s="99">
        <f t="shared" ca="1" si="8"/>
        <v>0</v>
      </c>
      <c r="AD38" s="98">
        <f ca="1">IF('Invoer gegevens (N)'!$C$17=E38,R38,IF(C38=0,0,AE37))</f>
        <v>0</v>
      </c>
      <c r="AE38" s="98">
        <f t="shared" ca="1" si="9"/>
        <v>0</v>
      </c>
      <c r="AF38" s="98">
        <f ca="1">IF('Invoer gegevens (N)'!$C$17=E38,X38,IF(C38=0,0,AG37))</f>
        <v>0</v>
      </c>
      <c r="AG38" s="98">
        <f t="shared" ca="1" si="10"/>
        <v>0</v>
      </c>
      <c r="AH38" s="66"/>
      <c r="AI38" s="71">
        <f ca="1">IF(C38=1,'Reeksen (N)'!AI38*((F38+K38)/2)*12+'Reeksen (N)'!AD38*((L38+Q38)/2)*12,0)</f>
        <v>0</v>
      </c>
      <c r="AJ38" s="71">
        <f ca="1">-AI38*'Invoer gegevens (N)'!$F$28</f>
        <v>0</v>
      </c>
      <c r="AK38" s="71">
        <f t="shared" ca="1" si="11"/>
        <v>0</v>
      </c>
      <c r="AL38" s="71">
        <f ca="1">IF(C38=1,'Reeksen (N)'!AL38*((F38-G38+F38)/2)*12+'Reeksen (N)'!AM38*((L38-M38+L38)/2)*12,0)</f>
        <v>0</v>
      </c>
      <c r="AM38" s="71">
        <f ca="1">-AL38*'Invoer gegevens (N)'!$F$31</f>
        <v>0</v>
      </c>
      <c r="AN38" s="71">
        <f t="shared" ca="1" si="12"/>
        <v>0</v>
      </c>
      <c r="AO38" s="71">
        <f ca="1">IF(C38=1,(H38+J38+N38+P38)*'Reeksen (N)'!AN38,0)</f>
        <v>0</v>
      </c>
      <c r="AP38" s="71">
        <f ca="1">-IF(C38=1,(H38+J38+N38+P38)*'Hulp - basis'!$O$550*'Reeksen (N)'!H38,0)</f>
        <v>0</v>
      </c>
      <c r="AQ38" s="71">
        <f ca="1">-IF(C38=1,(F38+K38+L38+Q38)/2*'Invoer gegevens (N)'!$F$35*'Reeksen (N)'!J38,0)*2</f>
        <v>0</v>
      </c>
      <c r="AR38" s="71">
        <f ca="1">IF(BD38&lt;1,-IF(C38=1,(G38*'Invoer gegevens (N)'!$F$36)*'Reeksen (N)'!J38,0),0)</f>
        <v>0</v>
      </c>
      <c r="AS38" s="71">
        <f ca="1">-IF(C38=1,(F38+K38+L38+Q38)/2*'Invoer gegevens (N)'!$F$37*'Reeksen (N)'!L38,0)</f>
        <v>0</v>
      </c>
      <c r="AT38" s="71">
        <f ca="1">-IF(C38=1,IF(E38='Invoer gegevens (N)'!$C$17,'Invoer gegevens (N)'!$C$11,AD38)*'Reeksen (N)'!S38*'Invoer gegevens (N)'!$C$18*'Reeksen (N)'!P38,0)</f>
        <v>0</v>
      </c>
      <c r="AU38" s="71">
        <f ca="1">-IF(C38=1,(F38+K38+L38+Q38)/2*'Invoer gegevens (N)'!$F$38*'Reeksen (N)'!H38,0)</f>
        <v>0</v>
      </c>
      <c r="AV38" s="71">
        <v>0</v>
      </c>
      <c r="AW38" s="71">
        <f t="shared" ca="1" si="13"/>
        <v>0</v>
      </c>
      <c r="AX38" s="71">
        <f ca="1">IF(E38&lt;'Invoer gegevens (N)'!$C$17+15,0,IF(E38&gt;'Invoer gegevens (N)'!$C$17+215,0,AW38))</f>
        <v>0</v>
      </c>
      <c r="AY38" s="71">
        <f ca="1">AX38/(1+'Invoer gegevens (N)'!$F$18)^($AZ38-('Invoer gegevens (N)'!$C$17-'Invoer gegevens (N)'!$C$16))/(1+'Invoer gegevens (N)'!$C$39)^('Invoer gegevens (N)'!$C$17-'Invoer gegevens (N)'!$C$16)</f>
        <v>0</v>
      </c>
      <c r="AZ38" s="68">
        <f ca="1">IF(E38-'Invoer gegevens (N)'!$C$17-14.5&lt;0,0,E38-'Invoer gegevens (N)'!$C$17-14.5)</f>
        <v>18.5</v>
      </c>
      <c r="BA38" s="109">
        <f ca="1">IFERROR(VLOOKUP(E38-15,'Reeksen (N)'!$A$5:$D$234,2,FALSE),0)</f>
        <v>0</v>
      </c>
      <c r="BB38" s="109">
        <f ca="1">IFERROR(VLOOKUP(E38-15,'Reeksen (N)'!$A$5:$D$234,3,FALSE),0)</f>
        <v>0</v>
      </c>
      <c r="BC38" s="109">
        <f ca="1">IFERROR(VLOOKUP(E38-15,'Reeksen (N)'!$A$5:$D$234,4,FALSE),0)</f>
        <v>0</v>
      </c>
      <c r="BD38" s="67">
        <f ca="1">IF(E38-'Invoer gegevens (N)'!$C$17&lt;15,0,1)</f>
        <v>1</v>
      </c>
    </row>
    <row r="39" spans="1:56" x14ac:dyDescent="0.25">
      <c r="A39" s="59"/>
      <c r="B39" s="70">
        <f t="shared" si="14"/>
        <v>35</v>
      </c>
      <c r="C39" s="67">
        <f ca="1">IF(E39-'Invoer gegevens (N)'!$C$17&lt;0,0,1)</f>
        <v>1</v>
      </c>
      <c r="D39" s="68">
        <f t="shared" si="15"/>
        <v>34.5</v>
      </c>
      <c r="E39" s="108">
        <f ca="1">IF('Invoer gegevens (N)'!$C$16="","",E38+1)</f>
        <v>2053</v>
      </c>
      <c r="F39" s="84">
        <f ca="1">IF('Invoer gegevens (N)'!$C$17=E39,'Invoer gegevens (N)'!$C$10,IF(C39=1,K38,0))</f>
        <v>0</v>
      </c>
      <c r="G39" s="96">
        <f ca="1">IF(BD39&lt;1,F39*'Reeksen (N)'!C39,IF(C39&gt;=1,F39*BA39,0))</f>
        <v>0</v>
      </c>
      <c r="H39" s="84">
        <f ca="1">(1-('Invoer gegevens (N)'!$F$20/12))*F39*MIN(BA39,BC39)</f>
        <v>0</v>
      </c>
      <c r="I39" s="84">
        <f t="shared" ca="1" si="0"/>
        <v>0</v>
      </c>
      <c r="J39" s="84">
        <f ca="1">('Invoer gegevens (N)'!$F$20/12)*F38*MIN(BA39,BC39)</f>
        <v>0</v>
      </c>
      <c r="K39" s="97">
        <f t="shared" ca="1" si="5"/>
        <v>0</v>
      </c>
      <c r="L39" s="84">
        <f ca="1">IF('Invoer gegevens (N)'!$C$17=E39,0,IF(C39=1,Q38,0))</f>
        <v>0</v>
      </c>
      <c r="M39" s="96">
        <f t="shared" ca="1" si="1"/>
        <v>0</v>
      </c>
      <c r="N39" s="84">
        <f ca="1">(1-('Invoer gegevens (N)'!$F$20/12))*L39*MIN(BA39,BC39)</f>
        <v>0</v>
      </c>
      <c r="O39" s="84">
        <f t="shared" ca="1" si="2"/>
        <v>0</v>
      </c>
      <c r="P39" s="84">
        <f ca="1">('Invoer gegevens (N)'!$F$20/12)*L38*MIN(BA39,BC39)</f>
        <v>0</v>
      </c>
      <c r="Q39" s="84">
        <f t="shared" ca="1" si="6"/>
        <v>0</v>
      </c>
      <c r="R39" s="85">
        <f ca="1">IF('Invoer gegevens (N)'!$C$17=E39,'Invoer gegevens (N)'!$C$11,IF(C39=1,W38,0))</f>
        <v>0</v>
      </c>
      <c r="S39" s="86">
        <f t="shared" ca="1" si="3"/>
        <v>0</v>
      </c>
      <c r="T39" s="86">
        <f ca="1">(1-('Invoer gegevens (N)'!$F$20/12))*R39*MIN(BC39,BA39)</f>
        <v>0</v>
      </c>
      <c r="U39" s="86">
        <f ca="1">IF(BD39&lt;1,IF('Reeksen (N)'!AD39&lt;='Reeksen (N)'!AE39,R39*'Reeksen (N)'!C39,0),IF(BC39&gt;=BA39,0,IF('Reeksen (N)'!AD39&lt;='Reeksen (N)'!AE39,(BA39-BC39)*R39,0)))</f>
        <v>0</v>
      </c>
      <c r="V39" s="86">
        <f ca="1">IF(BD39&lt;1,IF('Reeksen (N)'!AD39&gt;'Reeksen (N)'!AE39,R39*'Reeksen (N)'!C39,0),IF(BC39&gt;=BA39,0,IF('Reeksen (N)'!AD39&gt;'Reeksen (N)'!AE39,(BA39-BC39)*R39,0)))</f>
        <v>0</v>
      </c>
      <c r="W39" s="218">
        <f t="shared" ca="1" si="7"/>
        <v>0</v>
      </c>
      <c r="X39" s="98">
        <f ca="1">IF('Invoer gegevens (N)'!$C$17=E39,'Invoer gegevens (N)'!$C$10-'Invoer gegevens (N)'!$C$11,IF(C39=1,AC38,0))</f>
        <v>0</v>
      </c>
      <c r="Y39" s="98">
        <f t="shared" ca="1" si="4"/>
        <v>0</v>
      </c>
      <c r="Z39" s="98">
        <f ca="1">(1-('Invoer gegevens (N)'!$F$20/12))*X39*MIN(BA39,BC39)</f>
        <v>0</v>
      </c>
      <c r="AA39" s="98">
        <f ca="1">IF(BD39&lt;1,IF('Reeksen (N)'!AD39&lt;='Reeksen (N)'!AE39,X39*'Reeksen (N)'!C39,0),IF(BC39&gt;=BA39,0,IF('Reeksen (N)'!AD39&lt;='Reeksen (N)'!AE39,(BA39-BC39)*X39,0)))</f>
        <v>0</v>
      </c>
      <c r="AB39" s="98">
        <f ca="1">IF(BD39&lt;1,IF('Reeksen (N)'!AD39&gt;'Reeksen (N)'!AE39,X39*'Reeksen (N)'!C39,0),IF(BC39&gt;=BA39,0,IF('Reeksen (N)'!AD39&gt;'Reeksen (N)'!AE39,(BA39-BC39)*X39,0)))</f>
        <v>0</v>
      </c>
      <c r="AC39" s="99">
        <f t="shared" ca="1" si="8"/>
        <v>0</v>
      </c>
      <c r="AD39" s="98">
        <f ca="1">IF('Invoer gegevens (N)'!$C$17=E39,R39,IF(C39=0,0,AE38))</f>
        <v>0</v>
      </c>
      <c r="AE39" s="98">
        <f t="shared" ca="1" si="9"/>
        <v>0</v>
      </c>
      <c r="AF39" s="98">
        <f ca="1">IF('Invoer gegevens (N)'!$C$17=E39,X39,IF(C39=0,0,AG38))</f>
        <v>0</v>
      </c>
      <c r="AG39" s="98">
        <f t="shared" ca="1" si="10"/>
        <v>0</v>
      </c>
      <c r="AH39" s="66"/>
      <c r="AI39" s="71">
        <f ca="1">IF(C39=1,'Reeksen (N)'!AI39*((F39+K39)/2)*12+'Reeksen (N)'!AD39*((L39+Q39)/2)*12,0)</f>
        <v>0</v>
      </c>
      <c r="AJ39" s="71">
        <f ca="1">-AI39*'Invoer gegevens (N)'!$F$28</f>
        <v>0</v>
      </c>
      <c r="AK39" s="71">
        <f t="shared" ca="1" si="11"/>
        <v>0</v>
      </c>
      <c r="AL39" s="71">
        <f ca="1">IF(C39=1,'Reeksen (N)'!AL39*((F39-G39+F39)/2)*12+'Reeksen (N)'!AM39*((L39-M39+L39)/2)*12,0)</f>
        <v>0</v>
      </c>
      <c r="AM39" s="71">
        <f ca="1">-AL39*'Invoer gegevens (N)'!$F$31</f>
        <v>0</v>
      </c>
      <c r="AN39" s="71">
        <f t="shared" ca="1" si="12"/>
        <v>0</v>
      </c>
      <c r="AO39" s="71">
        <f ca="1">IF(C39=1,(H39+J39+N39+P39)*'Reeksen (N)'!AN39,0)</f>
        <v>0</v>
      </c>
      <c r="AP39" s="71">
        <f ca="1">-IF(C39=1,(H39+J39+N39+P39)*'Hulp - basis'!$O$550*'Reeksen (N)'!H39,0)</f>
        <v>0</v>
      </c>
      <c r="AQ39" s="71">
        <f ca="1">-IF(C39=1,(F39+K39+L39+Q39)/2*'Invoer gegevens (N)'!$F$35*'Reeksen (N)'!J39,0)*2</f>
        <v>0</v>
      </c>
      <c r="AR39" s="71">
        <f ca="1">IF(BD39&lt;1,-IF(C39=1,(G39*'Invoer gegevens (N)'!$F$36)*'Reeksen (N)'!J39,0),0)</f>
        <v>0</v>
      </c>
      <c r="AS39" s="71">
        <f ca="1">-IF(C39=1,(F39+K39+L39+Q39)/2*'Invoer gegevens (N)'!$F$37*'Reeksen (N)'!L39,0)</f>
        <v>0</v>
      </c>
      <c r="AT39" s="71">
        <f ca="1">-IF(C39=1,IF(E39='Invoer gegevens (N)'!$C$17,'Invoer gegevens (N)'!$C$11,AD39)*'Reeksen (N)'!S39*'Invoer gegevens (N)'!$C$18*'Reeksen (N)'!P39,0)</f>
        <v>0</v>
      </c>
      <c r="AU39" s="71">
        <f ca="1">-IF(C39=1,(F39+K39+L39+Q39)/2*'Invoer gegevens (N)'!$F$38*'Reeksen (N)'!H39,0)</f>
        <v>0</v>
      </c>
      <c r="AV39" s="71">
        <v>0</v>
      </c>
      <c r="AW39" s="71">
        <f t="shared" ca="1" si="13"/>
        <v>0</v>
      </c>
      <c r="AX39" s="71">
        <f ca="1">IF(E39&lt;'Invoer gegevens (N)'!$C$17+15,0,IF(E39&gt;'Invoer gegevens (N)'!$C$17+215,0,AW39))</f>
        <v>0</v>
      </c>
      <c r="AY39" s="71">
        <f ca="1">AX39/(1+'Invoer gegevens (N)'!$F$18)^($AZ39-('Invoer gegevens (N)'!$C$17-'Invoer gegevens (N)'!$C$16))/(1+'Invoer gegevens (N)'!$C$39)^('Invoer gegevens (N)'!$C$17-'Invoer gegevens (N)'!$C$16)</f>
        <v>0</v>
      </c>
      <c r="AZ39" s="68">
        <f ca="1">IF(E39-'Invoer gegevens (N)'!$C$17-14.5&lt;0,0,E39-'Invoer gegevens (N)'!$C$17-14.5)</f>
        <v>19.5</v>
      </c>
      <c r="BA39" s="109">
        <f ca="1">IFERROR(VLOOKUP(E39-15,'Reeksen (N)'!$A$5:$D$234,2,FALSE),0)</f>
        <v>0</v>
      </c>
      <c r="BB39" s="109">
        <f ca="1">IFERROR(VLOOKUP(E39-15,'Reeksen (N)'!$A$5:$D$234,3,FALSE),0)</f>
        <v>0</v>
      </c>
      <c r="BC39" s="109">
        <f ca="1">IFERROR(VLOOKUP(E39-15,'Reeksen (N)'!$A$5:$D$234,4,FALSE),0)</f>
        <v>0</v>
      </c>
      <c r="BD39" s="67">
        <f ca="1">IF(E39-'Invoer gegevens (N)'!$C$17&lt;15,0,1)</f>
        <v>1</v>
      </c>
    </row>
    <row r="40" spans="1:56" x14ac:dyDescent="0.25">
      <c r="A40" s="59"/>
      <c r="B40" s="70">
        <f t="shared" si="14"/>
        <v>36</v>
      </c>
      <c r="C40" s="67">
        <f ca="1">IF(E40-'Invoer gegevens (N)'!$C$17&lt;0,0,1)</f>
        <v>1</v>
      </c>
      <c r="D40" s="68">
        <f t="shared" si="15"/>
        <v>35.5</v>
      </c>
      <c r="E40" s="108">
        <f ca="1">IF('Invoer gegevens (N)'!$C$16="","",E39+1)</f>
        <v>2054</v>
      </c>
      <c r="F40" s="84">
        <f ca="1">IF('Invoer gegevens (N)'!$C$17=E40,'Invoer gegevens (N)'!$C$10,IF(C40=1,K39,0))</f>
        <v>0</v>
      </c>
      <c r="G40" s="96">
        <f ca="1">IF(BD40&lt;1,F40*'Reeksen (N)'!C40,IF(C40&gt;=1,F40*BA40,0))</f>
        <v>0</v>
      </c>
      <c r="H40" s="84">
        <f ca="1">(1-('Invoer gegevens (N)'!$F$20/12))*F40*MIN(BA40,BC40)</f>
        <v>0</v>
      </c>
      <c r="I40" s="84">
        <f t="shared" ca="1" si="0"/>
        <v>0</v>
      </c>
      <c r="J40" s="84">
        <f ca="1">('Invoer gegevens (N)'!$F$20/12)*F39*MIN(BA40,BC40)</f>
        <v>0</v>
      </c>
      <c r="K40" s="97">
        <f t="shared" ca="1" si="5"/>
        <v>0</v>
      </c>
      <c r="L40" s="84">
        <f ca="1">IF('Invoer gegevens (N)'!$C$17=E40,0,IF(C40=1,Q39,0))</f>
        <v>0</v>
      </c>
      <c r="M40" s="96">
        <f t="shared" ca="1" si="1"/>
        <v>0</v>
      </c>
      <c r="N40" s="84">
        <f ca="1">(1-('Invoer gegevens (N)'!$F$20/12))*L40*MIN(BA40,BC40)</f>
        <v>0</v>
      </c>
      <c r="O40" s="84">
        <f t="shared" ca="1" si="2"/>
        <v>0</v>
      </c>
      <c r="P40" s="84">
        <f ca="1">('Invoer gegevens (N)'!$F$20/12)*L39*MIN(BA40,BC40)</f>
        <v>0</v>
      </c>
      <c r="Q40" s="84">
        <f t="shared" ca="1" si="6"/>
        <v>0</v>
      </c>
      <c r="R40" s="85">
        <f ca="1">IF('Invoer gegevens (N)'!$C$17=E40,'Invoer gegevens (N)'!$C$11,IF(C40=1,W39,0))</f>
        <v>0</v>
      </c>
      <c r="S40" s="86">
        <f t="shared" ca="1" si="3"/>
        <v>0</v>
      </c>
      <c r="T40" s="86">
        <f ca="1">(1-('Invoer gegevens (N)'!$F$20/12))*R40*MIN(BC40,BA40)</f>
        <v>0</v>
      </c>
      <c r="U40" s="86">
        <f ca="1">IF(BD40&lt;1,IF('Reeksen (N)'!AD40&lt;='Reeksen (N)'!AE40,R40*'Reeksen (N)'!C40,0),IF(BC40&gt;=BA40,0,IF('Reeksen (N)'!AD40&lt;='Reeksen (N)'!AE40,(BA40-BC40)*R40,0)))</f>
        <v>0</v>
      </c>
      <c r="V40" s="86">
        <f ca="1">IF(BD40&lt;1,IF('Reeksen (N)'!AD40&gt;'Reeksen (N)'!AE40,R40*'Reeksen (N)'!C40,0),IF(BC40&gt;=BA40,0,IF('Reeksen (N)'!AD40&gt;'Reeksen (N)'!AE40,(BA40-BC40)*R40,0)))</f>
        <v>0</v>
      </c>
      <c r="W40" s="218">
        <f t="shared" ca="1" si="7"/>
        <v>0</v>
      </c>
      <c r="X40" s="98">
        <f ca="1">IF('Invoer gegevens (N)'!$C$17=E40,'Invoer gegevens (N)'!$C$10-'Invoer gegevens (N)'!$C$11,IF(C40=1,AC39,0))</f>
        <v>0</v>
      </c>
      <c r="Y40" s="98">
        <f t="shared" ca="1" si="4"/>
        <v>0</v>
      </c>
      <c r="Z40" s="98">
        <f ca="1">(1-('Invoer gegevens (N)'!$F$20/12))*X40*MIN(BA40,BC40)</f>
        <v>0</v>
      </c>
      <c r="AA40" s="98">
        <f ca="1">IF(BD40&lt;1,IF('Reeksen (N)'!AD40&lt;='Reeksen (N)'!AE40,X40*'Reeksen (N)'!C40,0),IF(BC40&gt;=BA40,0,IF('Reeksen (N)'!AD40&lt;='Reeksen (N)'!AE40,(BA40-BC40)*X40,0)))</f>
        <v>0</v>
      </c>
      <c r="AB40" s="98">
        <f ca="1">IF(BD40&lt;1,IF('Reeksen (N)'!AD40&gt;'Reeksen (N)'!AE40,X40*'Reeksen (N)'!C40,0),IF(BC40&gt;=BA40,0,IF('Reeksen (N)'!AD40&gt;'Reeksen (N)'!AE40,(BA40-BC40)*X40,0)))</f>
        <v>0</v>
      </c>
      <c r="AC40" s="99">
        <f t="shared" ca="1" si="8"/>
        <v>0</v>
      </c>
      <c r="AD40" s="98">
        <f ca="1">IF('Invoer gegevens (N)'!$C$17=E40,R40,IF(C40=0,0,AE39))</f>
        <v>0</v>
      </c>
      <c r="AE40" s="98">
        <f t="shared" ca="1" si="9"/>
        <v>0</v>
      </c>
      <c r="AF40" s="98">
        <f ca="1">IF('Invoer gegevens (N)'!$C$17=E40,X40,IF(C40=0,0,AG39))</f>
        <v>0</v>
      </c>
      <c r="AG40" s="98">
        <f t="shared" ca="1" si="10"/>
        <v>0</v>
      </c>
      <c r="AH40" s="66"/>
      <c r="AI40" s="71">
        <f ca="1">IF(C40=1,'Reeksen (N)'!AI40*((F40+K40)/2)*12+'Reeksen (N)'!AD40*((L40+Q40)/2)*12,0)</f>
        <v>0</v>
      </c>
      <c r="AJ40" s="71">
        <f ca="1">-AI40*'Invoer gegevens (N)'!$F$28</f>
        <v>0</v>
      </c>
      <c r="AK40" s="71">
        <f t="shared" ca="1" si="11"/>
        <v>0</v>
      </c>
      <c r="AL40" s="71">
        <f ca="1">IF(C40=1,'Reeksen (N)'!AL40*((F40-G40+F40)/2)*12+'Reeksen (N)'!AM40*((L40-M40+L40)/2)*12,0)</f>
        <v>0</v>
      </c>
      <c r="AM40" s="71">
        <f ca="1">-AL40*'Invoer gegevens (N)'!$F$31</f>
        <v>0</v>
      </c>
      <c r="AN40" s="71">
        <f t="shared" ca="1" si="12"/>
        <v>0</v>
      </c>
      <c r="AO40" s="71">
        <f ca="1">IF(C40=1,(H40+J40+N40+P40)*'Reeksen (N)'!AN40,0)</f>
        <v>0</v>
      </c>
      <c r="AP40" s="71">
        <f ca="1">-IF(C40=1,(H40+J40+N40+P40)*'Hulp - basis'!$O$550*'Reeksen (N)'!H40,0)</f>
        <v>0</v>
      </c>
      <c r="AQ40" s="71">
        <f ca="1">-IF(C40=1,(F40+K40+L40+Q40)/2*'Invoer gegevens (N)'!$F$35*'Reeksen (N)'!J40,0)*2</f>
        <v>0</v>
      </c>
      <c r="AR40" s="71">
        <f ca="1">IF(BD40&lt;1,-IF(C40=1,(G40*'Invoer gegevens (N)'!$F$36)*'Reeksen (N)'!J40,0),0)</f>
        <v>0</v>
      </c>
      <c r="AS40" s="71">
        <f ca="1">-IF(C40=1,(F40+K40+L40+Q40)/2*'Invoer gegevens (N)'!$F$37*'Reeksen (N)'!L40,0)</f>
        <v>0</v>
      </c>
      <c r="AT40" s="71">
        <f ca="1">-IF(C40=1,IF(E40='Invoer gegevens (N)'!$C$17,'Invoer gegevens (N)'!$C$11,AD40)*'Reeksen (N)'!S40*'Invoer gegevens (N)'!$C$18*'Reeksen (N)'!P40,0)</f>
        <v>0</v>
      </c>
      <c r="AU40" s="71">
        <f ca="1">-IF(C40=1,(F40+K40+L40+Q40)/2*'Invoer gegevens (N)'!$F$38*'Reeksen (N)'!H40,0)</f>
        <v>0</v>
      </c>
      <c r="AV40" s="71">
        <v>0</v>
      </c>
      <c r="AW40" s="71">
        <f t="shared" ca="1" si="13"/>
        <v>0</v>
      </c>
      <c r="AX40" s="71">
        <f ca="1">IF(E40&lt;'Invoer gegevens (N)'!$C$17+15,0,IF(E40&gt;'Invoer gegevens (N)'!$C$17+215,0,AW40))</f>
        <v>0</v>
      </c>
      <c r="AY40" s="71">
        <f ca="1">AX40/(1+'Invoer gegevens (N)'!$F$18)^($AZ40-('Invoer gegevens (N)'!$C$17-'Invoer gegevens (N)'!$C$16))/(1+'Invoer gegevens (N)'!$C$39)^('Invoer gegevens (N)'!$C$17-'Invoer gegevens (N)'!$C$16)</f>
        <v>0</v>
      </c>
      <c r="AZ40" s="68">
        <f ca="1">IF(E40-'Invoer gegevens (N)'!$C$17-14.5&lt;0,0,E40-'Invoer gegevens (N)'!$C$17-14.5)</f>
        <v>20.5</v>
      </c>
      <c r="BA40" s="109">
        <f ca="1">IFERROR(VLOOKUP(E40-15,'Reeksen (N)'!$A$5:$D$234,2,FALSE),0)</f>
        <v>0</v>
      </c>
      <c r="BB40" s="109">
        <f ca="1">IFERROR(VLOOKUP(E40-15,'Reeksen (N)'!$A$5:$D$234,3,FALSE),0)</f>
        <v>0</v>
      </c>
      <c r="BC40" s="109">
        <f ca="1">IFERROR(VLOOKUP(E40-15,'Reeksen (N)'!$A$5:$D$234,4,FALSE),0)</f>
        <v>0</v>
      </c>
      <c r="BD40" s="67">
        <f ca="1">IF(E40-'Invoer gegevens (N)'!$C$17&lt;15,0,1)</f>
        <v>1</v>
      </c>
    </row>
    <row r="41" spans="1:56" x14ac:dyDescent="0.25">
      <c r="A41" s="59"/>
      <c r="B41" s="70">
        <f t="shared" si="14"/>
        <v>37</v>
      </c>
      <c r="C41" s="67">
        <f ca="1">IF(E41-'Invoer gegevens (N)'!$C$17&lt;0,0,1)</f>
        <v>1</v>
      </c>
      <c r="D41" s="68">
        <f t="shared" si="15"/>
        <v>36.5</v>
      </c>
      <c r="E41" s="108">
        <f ca="1">IF('Invoer gegevens (N)'!$C$16="","",E40+1)</f>
        <v>2055</v>
      </c>
      <c r="F41" s="84">
        <f ca="1">IF('Invoer gegevens (N)'!$C$17=E41,'Invoer gegevens (N)'!$C$10,IF(C41=1,K40,0))</f>
        <v>0</v>
      </c>
      <c r="G41" s="96">
        <f ca="1">IF(BD41&lt;1,F41*'Reeksen (N)'!C41,IF(C41&gt;=1,F41*BA41,0))</f>
        <v>0</v>
      </c>
      <c r="H41" s="84">
        <f ca="1">(1-('Invoer gegevens (N)'!$F$20/12))*F41*MIN(BA41,BC41)</f>
        <v>0</v>
      </c>
      <c r="I41" s="84">
        <f t="shared" ca="1" si="0"/>
        <v>0</v>
      </c>
      <c r="J41" s="84">
        <f ca="1">('Invoer gegevens (N)'!$F$20/12)*F40*MIN(BA41,BC41)</f>
        <v>0</v>
      </c>
      <c r="K41" s="97">
        <f t="shared" ca="1" si="5"/>
        <v>0</v>
      </c>
      <c r="L41" s="84">
        <f ca="1">IF('Invoer gegevens (N)'!$C$17=E41,0,IF(C41=1,Q40,0))</f>
        <v>0</v>
      </c>
      <c r="M41" s="96">
        <f t="shared" ca="1" si="1"/>
        <v>0</v>
      </c>
      <c r="N41" s="84">
        <f ca="1">(1-('Invoer gegevens (N)'!$F$20/12))*L41*MIN(BA41,BC41)</f>
        <v>0</v>
      </c>
      <c r="O41" s="84">
        <f t="shared" ca="1" si="2"/>
        <v>0</v>
      </c>
      <c r="P41" s="84">
        <f ca="1">('Invoer gegevens (N)'!$F$20/12)*L40*MIN(BA41,BC41)</f>
        <v>0</v>
      </c>
      <c r="Q41" s="84">
        <f t="shared" ca="1" si="6"/>
        <v>0</v>
      </c>
      <c r="R41" s="85">
        <f ca="1">IF('Invoer gegevens (N)'!$C$17=E41,'Invoer gegevens (N)'!$C$11,IF(C41=1,W40,0))</f>
        <v>0</v>
      </c>
      <c r="S41" s="86">
        <f t="shared" ca="1" si="3"/>
        <v>0</v>
      </c>
      <c r="T41" s="86">
        <f ca="1">(1-('Invoer gegevens (N)'!$F$20/12))*R41*MIN(BC41,BA41)</f>
        <v>0</v>
      </c>
      <c r="U41" s="86">
        <f ca="1">IF(BD41&lt;1,IF('Reeksen (N)'!AD41&lt;='Reeksen (N)'!AE41,R41*'Reeksen (N)'!C41,0),IF(BC41&gt;=BA41,0,IF('Reeksen (N)'!AD41&lt;='Reeksen (N)'!AE41,(BA41-BC41)*R41,0)))</f>
        <v>0</v>
      </c>
      <c r="V41" s="86">
        <f ca="1">IF(BD41&lt;1,IF('Reeksen (N)'!AD41&gt;'Reeksen (N)'!AE41,R41*'Reeksen (N)'!C41,0),IF(BC41&gt;=BA41,0,IF('Reeksen (N)'!AD41&gt;'Reeksen (N)'!AE41,(BA41-BC41)*R41,0)))</f>
        <v>0</v>
      </c>
      <c r="W41" s="218">
        <f t="shared" ca="1" si="7"/>
        <v>0</v>
      </c>
      <c r="X41" s="98">
        <f ca="1">IF('Invoer gegevens (N)'!$C$17=E41,'Invoer gegevens (N)'!$C$10-'Invoer gegevens (N)'!$C$11,IF(C41=1,AC40,0))</f>
        <v>0</v>
      </c>
      <c r="Y41" s="98">
        <f t="shared" ca="1" si="4"/>
        <v>0</v>
      </c>
      <c r="Z41" s="98">
        <f ca="1">(1-('Invoer gegevens (N)'!$F$20/12))*X41*MIN(BA41,BC41)</f>
        <v>0</v>
      </c>
      <c r="AA41" s="98">
        <f ca="1">IF(BD41&lt;1,IF('Reeksen (N)'!AD41&lt;='Reeksen (N)'!AE41,X41*'Reeksen (N)'!C41,0),IF(BC41&gt;=BA41,0,IF('Reeksen (N)'!AD41&lt;='Reeksen (N)'!AE41,(BA41-BC41)*X41,0)))</f>
        <v>0</v>
      </c>
      <c r="AB41" s="98">
        <f ca="1">IF(BD41&lt;1,IF('Reeksen (N)'!AD41&gt;'Reeksen (N)'!AE41,X41*'Reeksen (N)'!C41,0),IF(BC41&gt;=BA41,0,IF('Reeksen (N)'!AD41&gt;'Reeksen (N)'!AE41,(BA41-BC41)*X41,0)))</f>
        <v>0</v>
      </c>
      <c r="AC41" s="99">
        <f t="shared" ca="1" si="8"/>
        <v>0</v>
      </c>
      <c r="AD41" s="98">
        <f ca="1">IF('Invoer gegevens (N)'!$C$17=E41,R41,IF(C41=0,0,AE40))</f>
        <v>0</v>
      </c>
      <c r="AE41" s="98">
        <f t="shared" ca="1" si="9"/>
        <v>0</v>
      </c>
      <c r="AF41" s="98">
        <f ca="1">IF('Invoer gegevens (N)'!$C$17=E41,X41,IF(C41=0,0,AG40))</f>
        <v>0</v>
      </c>
      <c r="AG41" s="98">
        <f t="shared" ca="1" si="10"/>
        <v>0</v>
      </c>
      <c r="AH41" s="66"/>
      <c r="AI41" s="71">
        <f ca="1">IF(C41=1,'Reeksen (N)'!AI41*((F41+K41)/2)*12+'Reeksen (N)'!AD41*((L41+Q41)/2)*12,0)</f>
        <v>0</v>
      </c>
      <c r="AJ41" s="71">
        <f ca="1">-AI41*'Invoer gegevens (N)'!$F$28</f>
        <v>0</v>
      </c>
      <c r="AK41" s="71">
        <f t="shared" ca="1" si="11"/>
        <v>0</v>
      </c>
      <c r="AL41" s="71">
        <f ca="1">IF(C41=1,'Reeksen (N)'!AL41*((F41-G41+F41)/2)*12+'Reeksen (N)'!AM41*((L41-M41+L41)/2)*12,0)</f>
        <v>0</v>
      </c>
      <c r="AM41" s="71">
        <f ca="1">-AL41*'Invoer gegevens (N)'!$F$31</f>
        <v>0</v>
      </c>
      <c r="AN41" s="71">
        <f t="shared" ca="1" si="12"/>
        <v>0</v>
      </c>
      <c r="AO41" s="71">
        <f ca="1">IF(C41=1,(H41+J41+N41+P41)*'Reeksen (N)'!AN41,0)</f>
        <v>0</v>
      </c>
      <c r="AP41" s="71">
        <f ca="1">-IF(C41=1,(H41+J41+N41+P41)*'Hulp - basis'!$O$550*'Reeksen (N)'!H41,0)</f>
        <v>0</v>
      </c>
      <c r="AQ41" s="71">
        <f ca="1">-IF(C41=1,(F41+K41+L41+Q41)/2*'Invoer gegevens (N)'!$F$35*'Reeksen (N)'!J41,0)*2</f>
        <v>0</v>
      </c>
      <c r="AR41" s="71">
        <f ca="1">IF(BD41&lt;1,-IF(C41=1,(G41*'Invoer gegevens (N)'!$F$36)*'Reeksen (N)'!J41,0),0)</f>
        <v>0</v>
      </c>
      <c r="AS41" s="71">
        <f ca="1">-IF(C41=1,(F41+K41+L41+Q41)/2*'Invoer gegevens (N)'!$F$37*'Reeksen (N)'!L41,0)</f>
        <v>0</v>
      </c>
      <c r="AT41" s="71">
        <f ca="1">-IF(C41=1,IF(E41='Invoer gegevens (N)'!$C$17,'Invoer gegevens (N)'!$C$11,AD41)*'Reeksen (N)'!S41*'Invoer gegevens (N)'!$C$18*'Reeksen (N)'!P41,0)</f>
        <v>0</v>
      </c>
      <c r="AU41" s="71">
        <f ca="1">-IF(C41=1,(F41+K41+L41+Q41)/2*'Invoer gegevens (N)'!$F$38*'Reeksen (N)'!H41,0)</f>
        <v>0</v>
      </c>
      <c r="AV41" s="71">
        <v>0</v>
      </c>
      <c r="AW41" s="71">
        <f t="shared" ca="1" si="13"/>
        <v>0</v>
      </c>
      <c r="AX41" s="71">
        <f ca="1">IF(E41&lt;'Invoer gegevens (N)'!$C$17+15,0,IF(E41&gt;'Invoer gegevens (N)'!$C$17+215,0,AW41))</f>
        <v>0</v>
      </c>
      <c r="AY41" s="71">
        <f ca="1">AX41/(1+'Invoer gegevens (N)'!$F$18)^($AZ41-('Invoer gegevens (N)'!$C$17-'Invoer gegevens (N)'!$C$16))/(1+'Invoer gegevens (N)'!$C$39)^('Invoer gegevens (N)'!$C$17-'Invoer gegevens (N)'!$C$16)</f>
        <v>0</v>
      </c>
      <c r="AZ41" s="68">
        <f ca="1">IF(E41-'Invoer gegevens (N)'!$C$17-14.5&lt;0,0,E41-'Invoer gegevens (N)'!$C$17-14.5)</f>
        <v>21.5</v>
      </c>
      <c r="BA41" s="109">
        <f ca="1">IFERROR(VLOOKUP(E41-15,'Reeksen (N)'!$A$5:$D$234,2,FALSE),0)</f>
        <v>0</v>
      </c>
      <c r="BB41" s="109">
        <f ca="1">IFERROR(VLOOKUP(E41-15,'Reeksen (N)'!$A$5:$D$234,3,FALSE),0)</f>
        <v>0</v>
      </c>
      <c r="BC41" s="109">
        <f ca="1">IFERROR(VLOOKUP(E41-15,'Reeksen (N)'!$A$5:$D$234,4,FALSE),0)</f>
        <v>0</v>
      </c>
      <c r="BD41" s="67">
        <f ca="1">IF(E41-'Invoer gegevens (N)'!$C$17&lt;15,0,1)</f>
        <v>1</v>
      </c>
    </row>
    <row r="42" spans="1:56" x14ac:dyDescent="0.25">
      <c r="A42" s="59"/>
      <c r="B42" s="70">
        <f t="shared" si="14"/>
        <v>38</v>
      </c>
      <c r="C42" s="67">
        <f ca="1">IF(E42-'Invoer gegevens (N)'!$C$17&lt;0,0,1)</f>
        <v>1</v>
      </c>
      <c r="D42" s="68">
        <f t="shared" si="15"/>
        <v>37.5</v>
      </c>
      <c r="E42" s="108">
        <f ca="1">IF('Invoer gegevens (N)'!$C$16="","",E41+1)</f>
        <v>2056</v>
      </c>
      <c r="F42" s="84">
        <f ca="1">IF('Invoer gegevens (N)'!$C$17=E42,'Invoer gegevens (N)'!$C$10,IF(C42=1,K41,0))</f>
        <v>0</v>
      </c>
      <c r="G42" s="96">
        <f ca="1">IF(BD42&lt;1,F42*'Reeksen (N)'!C42,IF(C42&gt;=1,F42*BA42,0))</f>
        <v>0</v>
      </c>
      <c r="H42" s="84">
        <f ca="1">(1-('Invoer gegevens (N)'!$F$20/12))*F42*MIN(BA42,BC42)</f>
        <v>0</v>
      </c>
      <c r="I42" s="84">
        <f t="shared" ca="1" si="0"/>
        <v>0</v>
      </c>
      <c r="J42" s="84">
        <f ca="1">('Invoer gegevens (N)'!$F$20/12)*F41*MIN(BA42,BC42)</f>
        <v>0</v>
      </c>
      <c r="K42" s="97">
        <f t="shared" ca="1" si="5"/>
        <v>0</v>
      </c>
      <c r="L42" s="84">
        <f ca="1">IF('Invoer gegevens (N)'!$C$17=E42,0,IF(C42=1,Q41,0))</f>
        <v>0</v>
      </c>
      <c r="M42" s="96">
        <f t="shared" ca="1" si="1"/>
        <v>0</v>
      </c>
      <c r="N42" s="84">
        <f ca="1">(1-('Invoer gegevens (N)'!$F$20/12))*L42*MIN(BA42,BC42)</f>
        <v>0</v>
      </c>
      <c r="O42" s="84">
        <f t="shared" ca="1" si="2"/>
        <v>0</v>
      </c>
      <c r="P42" s="84">
        <f ca="1">('Invoer gegevens (N)'!$F$20/12)*L41*MIN(BA42,BC42)</f>
        <v>0</v>
      </c>
      <c r="Q42" s="84">
        <f t="shared" ca="1" si="6"/>
        <v>0</v>
      </c>
      <c r="R42" s="85">
        <f ca="1">IF('Invoer gegevens (N)'!$C$17=E42,'Invoer gegevens (N)'!$C$11,IF(C42=1,W41,0))</f>
        <v>0</v>
      </c>
      <c r="S42" s="86">
        <f t="shared" ca="1" si="3"/>
        <v>0</v>
      </c>
      <c r="T42" s="86">
        <f ca="1">(1-('Invoer gegevens (N)'!$F$20/12))*R42*MIN(BC42,BA42)</f>
        <v>0</v>
      </c>
      <c r="U42" s="86">
        <f ca="1">IF(BD42&lt;1,IF('Reeksen (N)'!AD42&lt;='Reeksen (N)'!AE42,R42*'Reeksen (N)'!C42,0),IF(BC42&gt;=BA42,0,IF('Reeksen (N)'!AD42&lt;='Reeksen (N)'!AE42,(BA42-BC42)*R42,0)))</f>
        <v>0</v>
      </c>
      <c r="V42" s="86">
        <f ca="1">IF(BD42&lt;1,IF('Reeksen (N)'!AD42&gt;'Reeksen (N)'!AE42,R42*'Reeksen (N)'!C42,0),IF(BC42&gt;=BA42,0,IF('Reeksen (N)'!AD42&gt;'Reeksen (N)'!AE42,(BA42-BC42)*R42,0)))</f>
        <v>0</v>
      </c>
      <c r="W42" s="218">
        <f t="shared" ca="1" si="7"/>
        <v>0</v>
      </c>
      <c r="X42" s="98">
        <f ca="1">IF('Invoer gegevens (N)'!$C$17=E42,'Invoer gegevens (N)'!$C$10-'Invoer gegevens (N)'!$C$11,IF(C42=1,AC41,0))</f>
        <v>0</v>
      </c>
      <c r="Y42" s="98">
        <f t="shared" ca="1" si="4"/>
        <v>0</v>
      </c>
      <c r="Z42" s="98">
        <f ca="1">(1-('Invoer gegevens (N)'!$F$20/12))*X42*MIN(BA42,BC42)</f>
        <v>0</v>
      </c>
      <c r="AA42" s="98">
        <f ca="1">IF(BD42&lt;1,IF('Reeksen (N)'!AD42&lt;='Reeksen (N)'!AE42,X42*'Reeksen (N)'!C42,0),IF(BC42&gt;=BA42,0,IF('Reeksen (N)'!AD42&lt;='Reeksen (N)'!AE42,(BA42-BC42)*X42,0)))</f>
        <v>0</v>
      </c>
      <c r="AB42" s="98">
        <f ca="1">IF(BD42&lt;1,IF('Reeksen (N)'!AD42&gt;'Reeksen (N)'!AE42,X42*'Reeksen (N)'!C42,0),IF(BC42&gt;=BA42,0,IF('Reeksen (N)'!AD42&gt;'Reeksen (N)'!AE42,(BA42-BC42)*X42,0)))</f>
        <v>0</v>
      </c>
      <c r="AC42" s="99">
        <f t="shared" ca="1" si="8"/>
        <v>0</v>
      </c>
      <c r="AD42" s="98">
        <f ca="1">IF('Invoer gegevens (N)'!$C$17=E42,R42,IF(C42=0,0,AE41))</f>
        <v>0</v>
      </c>
      <c r="AE42" s="98">
        <f t="shared" ca="1" si="9"/>
        <v>0</v>
      </c>
      <c r="AF42" s="98">
        <f ca="1">IF('Invoer gegevens (N)'!$C$17=E42,X42,IF(C42=0,0,AG41))</f>
        <v>0</v>
      </c>
      <c r="AG42" s="98">
        <f t="shared" ca="1" si="10"/>
        <v>0</v>
      </c>
      <c r="AH42" s="66"/>
      <c r="AI42" s="71">
        <f ca="1">IF(C42=1,'Reeksen (N)'!AI42*((F42+K42)/2)*12+'Reeksen (N)'!AD42*((L42+Q42)/2)*12,0)</f>
        <v>0</v>
      </c>
      <c r="AJ42" s="71">
        <f ca="1">-AI42*'Invoer gegevens (N)'!$F$28</f>
        <v>0</v>
      </c>
      <c r="AK42" s="71">
        <f t="shared" ca="1" si="11"/>
        <v>0</v>
      </c>
      <c r="AL42" s="71">
        <f ca="1">IF(C42=1,'Reeksen (N)'!AL42*((F42-G42+F42)/2)*12+'Reeksen (N)'!AM42*((L42-M42+L42)/2)*12,0)</f>
        <v>0</v>
      </c>
      <c r="AM42" s="71">
        <f ca="1">-AL42*'Invoer gegevens (N)'!$F$31</f>
        <v>0</v>
      </c>
      <c r="AN42" s="71">
        <f t="shared" ca="1" si="12"/>
        <v>0</v>
      </c>
      <c r="AO42" s="71">
        <f ca="1">IF(C42=1,(H42+J42+N42+P42)*'Reeksen (N)'!AN42,0)</f>
        <v>0</v>
      </c>
      <c r="AP42" s="71">
        <f ca="1">-IF(C42=1,(H42+J42+N42+P42)*'Hulp - basis'!$O$550*'Reeksen (N)'!H42,0)</f>
        <v>0</v>
      </c>
      <c r="AQ42" s="71">
        <f ca="1">-IF(C42=1,(F42+K42+L42+Q42)/2*'Invoer gegevens (N)'!$F$35*'Reeksen (N)'!J42,0)*2</f>
        <v>0</v>
      </c>
      <c r="AR42" s="71">
        <f ca="1">IF(BD42&lt;1,-IF(C42=1,(G42*'Invoer gegevens (N)'!$F$36)*'Reeksen (N)'!J42,0),0)</f>
        <v>0</v>
      </c>
      <c r="AS42" s="71">
        <f ca="1">-IF(C42=1,(F42+K42+L42+Q42)/2*'Invoer gegevens (N)'!$F$37*'Reeksen (N)'!L42,0)</f>
        <v>0</v>
      </c>
      <c r="AT42" s="71">
        <f ca="1">-IF(C42=1,IF(E42='Invoer gegevens (N)'!$C$17,'Invoer gegevens (N)'!$C$11,AD42)*'Reeksen (N)'!S42*'Invoer gegevens (N)'!$C$18*'Reeksen (N)'!P42,0)</f>
        <v>0</v>
      </c>
      <c r="AU42" s="71">
        <f ca="1">-IF(C42=1,(F42+K42+L42+Q42)/2*'Invoer gegevens (N)'!$F$38*'Reeksen (N)'!H42,0)</f>
        <v>0</v>
      </c>
      <c r="AV42" s="71">
        <v>0</v>
      </c>
      <c r="AW42" s="71">
        <f t="shared" ca="1" si="13"/>
        <v>0</v>
      </c>
      <c r="AX42" s="71">
        <f ca="1">IF(E42&lt;'Invoer gegevens (N)'!$C$17+15,0,IF(E42&gt;'Invoer gegevens (N)'!$C$17+215,0,AW42))</f>
        <v>0</v>
      </c>
      <c r="AY42" s="71">
        <f ca="1">AX42/(1+'Invoer gegevens (N)'!$F$18)^($AZ42-('Invoer gegevens (N)'!$C$17-'Invoer gegevens (N)'!$C$16))/(1+'Invoer gegevens (N)'!$C$39)^('Invoer gegevens (N)'!$C$17-'Invoer gegevens (N)'!$C$16)</f>
        <v>0</v>
      </c>
      <c r="AZ42" s="68">
        <f ca="1">IF(E42-'Invoer gegevens (N)'!$C$17-14.5&lt;0,0,E42-'Invoer gegevens (N)'!$C$17-14.5)</f>
        <v>22.5</v>
      </c>
      <c r="BA42" s="109">
        <f ca="1">IFERROR(VLOOKUP(E42-15,'Reeksen (N)'!$A$5:$D$234,2,FALSE),0)</f>
        <v>0</v>
      </c>
      <c r="BB42" s="109">
        <f ca="1">IFERROR(VLOOKUP(E42-15,'Reeksen (N)'!$A$5:$D$234,3,FALSE),0)</f>
        <v>0</v>
      </c>
      <c r="BC42" s="109">
        <f ca="1">IFERROR(VLOOKUP(E42-15,'Reeksen (N)'!$A$5:$D$234,4,FALSE),0)</f>
        <v>0</v>
      </c>
      <c r="BD42" s="67">
        <f ca="1">IF(E42-'Invoer gegevens (N)'!$C$17&lt;15,0,1)</f>
        <v>1</v>
      </c>
    </row>
    <row r="43" spans="1:56" x14ac:dyDescent="0.25">
      <c r="A43" s="59"/>
      <c r="B43" s="70">
        <f t="shared" si="14"/>
        <v>39</v>
      </c>
      <c r="C43" s="67">
        <f ca="1">IF(E43-'Invoer gegevens (N)'!$C$17&lt;0,0,1)</f>
        <v>1</v>
      </c>
      <c r="D43" s="68">
        <f t="shared" si="15"/>
        <v>38.5</v>
      </c>
      <c r="E43" s="108">
        <f ca="1">IF('Invoer gegevens (N)'!$C$16="","",E42+1)</f>
        <v>2057</v>
      </c>
      <c r="F43" s="84">
        <f ca="1">IF('Invoer gegevens (N)'!$C$17=E43,'Invoer gegevens (N)'!$C$10,IF(C43=1,K42,0))</f>
        <v>0</v>
      </c>
      <c r="G43" s="96">
        <f ca="1">IF(BD43&lt;1,F43*'Reeksen (N)'!C43,IF(C43&gt;=1,F43*BA43,0))</f>
        <v>0</v>
      </c>
      <c r="H43" s="84">
        <f ca="1">(1-('Invoer gegevens (N)'!$F$20/12))*F43*MIN(BA43,BC43)</f>
        <v>0</v>
      </c>
      <c r="I43" s="84">
        <f t="shared" ca="1" si="0"/>
        <v>0</v>
      </c>
      <c r="J43" s="84">
        <f ca="1">('Invoer gegevens (N)'!$F$20/12)*F42*MIN(BA43,BC43)</f>
        <v>0</v>
      </c>
      <c r="K43" s="97">
        <f t="shared" ca="1" si="5"/>
        <v>0</v>
      </c>
      <c r="L43" s="84">
        <f ca="1">IF('Invoer gegevens (N)'!$C$17=E43,0,IF(C43=1,Q42,0))</f>
        <v>0</v>
      </c>
      <c r="M43" s="96">
        <f t="shared" ca="1" si="1"/>
        <v>0</v>
      </c>
      <c r="N43" s="84">
        <f ca="1">(1-('Invoer gegevens (N)'!$F$20/12))*L43*MIN(BA43,BC43)</f>
        <v>0</v>
      </c>
      <c r="O43" s="84">
        <f t="shared" ca="1" si="2"/>
        <v>0</v>
      </c>
      <c r="P43" s="84">
        <f ca="1">('Invoer gegevens (N)'!$F$20/12)*L42*MIN(BA43,BC43)</f>
        <v>0</v>
      </c>
      <c r="Q43" s="84">
        <f t="shared" ca="1" si="6"/>
        <v>0</v>
      </c>
      <c r="R43" s="85">
        <f ca="1">IF('Invoer gegevens (N)'!$C$17=E43,'Invoer gegevens (N)'!$C$11,IF(C43=1,W42,0))</f>
        <v>0</v>
      </c>
      <c r="S43" s="86">
        <f t="shared" ca="1" si="3"/>
        <v>0</v>
      </c>
      <c r="T43" s="86">
        <f ca="1">(1-('Invoer gegevens (N)'!$F$20/12))*R43*MIN(BC43,BA43)</f>
        <v>0</v>
      </c>
      <c r="U43" s="86">
        <f ca="1">IF(BD43&lt;1,IF('Reeksen (N)'!AD43&lt;='Reeksen (N)'!AE43,R43*'Reeksen (N)'!C43,0),IF(BC43&gt;=BA43,0,IF('Reeksen (N)'!AD43&lt;='Reeksen (N)'!AE43,(BA43-BC43)*R43,0)))</f>
        <v>0</v>
      </c>
      <c r="V43" s="86">
        <f ca="1">IF(BD43&lt;1,IF('Reeksen (N)'!AD43&gt;'Reeksen (N)'!AE43,R43*'Reeksen (N)'!C43,0),IF(BC43&gt;=BA43,0,IF('Reeksen (N)'!AD43&gt;'Reeksen (N)'!AE43,(BA43-BC43)*R43,0)))</f>
        <v>0</v>
      </c>
      <c r="W43" s="218">
        <f t="shared" ca="1" si="7"/>
        <v>0</v>
      </c>
      <c r="X43" s="98">
        <f ca="1">IF('Invoer gegevens (N)'!$C$17=E43,'Invoer gegevens (N)'!$C$10-'Invoer gegevens (N)'!$C$11,IF(C43=1,AC42,0))</f>
        <v>0</v>
      </c>
      <c r="Y43" s="98">
        <f t="shared" ca="1" si="4"/>
        <v>0</v>
      </c>
      <c r="Z43" s="98">
        <f ca="1">(1-('Invoer gegevens (N)'!$F$20/12))*X43*MIN(BA43,BC43)</f>
        <v>0</v>
      </c>
      <c r="AA43" s="98">
        <f ca="1">IF(BD43&lt;1,IF('Reeksen (N)'!AD43&lt;='Reeksen (N)'!AE43,X43*'Reeksen (N)'!C43,0),IF(BC43&gt;=BA43,0,IF('Reeksen (N)'!AD43&lt;='Reeksen (N)'!AE43,(BA43-BC43)*X43,0)))</f>
        <v>0</v>
      </c>
      <c r="AB43" s="98">
        <f ca="1">IF(BD43&lt;1,IF('Reeksen (N)'!AD43&gt;'Reeksen (N)'!AE43,X43*'Reeksen (N)'!C43,0),IF(BC43&gt;=BA43,0,IF('Reeksen (N)'!AD43&gt;'Reeksen (N)'!AE43,(BA43-BC43)*X43,0)))</f>
        <v>0</v>
      </c>
      <c r="AC43" s="99">
        <f t="shared" ca="1" si="8"/>
        <v>0</v>
      </c>
      <c r="AD43" s="98">
        <f ca="1">IF('Invoer gegevens (N)'!$C$17=E43,R43,IF(C43=0,0,AE42))</f>
        <v>0</v>
      </c>
      <c r="AE43" s="98">
        <f t="shared" ca="1" si="9"/>
        <v>0</v>
      </c>
      <c r="AF43" s="98">
        <f ca="1">IF('Invoer gegevens (N)'!$C$17=E43,X43,IF(C43=0,0,AG42))</f>
        <v>0</v>
      </c>
      <c r="AG43" s="98">
        <f t="shared" ca="1" si="10"/>
        <v>0</v>
      </c>
      <c r="AH43" s="66"/>
      <c r="AI43" s="71">
        <f ca="1">IF(C43=1,'Reeksen (N)'!AI43*((F43+K43)/2)*12+'Reeksen (N)'!AD43*((L43+Q43)/2)*12,0)</f>
        <v>0</v>
      </c>
      <c r="AJ43" s="71">
        <f ca="1">-AI43*'Invoer gegevens (N)'!$F$28</f>
        <v>0</v>
      </c>
      <c r="AK43" s="71">
        <f t="shared" ca="1" si="11"/>
        <v>0</v>
      </c>
      <c r="AL43" s="71">
        <f ca="1">IF(C43=1,'Reeksen (N)'!AL43*((F43-G43+F43)/2)*12+'Reeksen (N)'!AM43*((L43-M43+L43)/2)*12,0)</f>
        <v>0</v>
      </c>
      <c r="AM43" s="71">
        <f ca="1">-AL43*'Invoer gegevens (N)'!$F$31</f>
        <v>0</v>
      </c>
      <c r="AN43" s="71">
        <f t="shared" ca="1" si="12"/>
        <v>0</v>
      </c>
      <c r="AO43" s="71">
        <f ca="1">IF(C43=1,(H43+J43+N43+P43)*'Reeksen (N)'!AN43,0)</f>
        <v>0</v>
      </c>
      <c r="AP43" s="71">
        <f ca="1">-IF(C43=1,(H43+J43+N43+P43)*'Hulp - basis'!$O$550*'Reeksen (N)'!H43,0)</f>
        <v>0</v>
      </c>
      <c r="AQ43" s="71">
        <f ca="1">-IF(C43=1,(F43+K43+L43+Q43)/2*'Invoer gegevens (N)'!$F$35*'Reeksen (N)'!J43,0)*2</f>
        <v>0</v>
      </c>
      <c r="AR43" s="71">
        <f ca="1">IF(BD43&lt;1,-IF(C43=1,(G43*'Invoer gegevens (N)'!$F$36)*'Reeksen (N)'!J43,0),0)</f>
        <v>0</v>
      </c>
      <c r="AS43" s="71">
        <f ca="1">-IF(C43=1,(F43+K43+L43+Q43)/2*'Invoer gegevens (N)'!$F$37*'Reeksen (N)'!L43,0)</f>
        <v>0</v>
      </c>
      <c r="AT43" s="71">
        <f ca="1">-IF(C43=1,IF(E43='Invoer gegevens (N)'!$C$17,'Invoer gegevens (N)'!$C$11,AD43)*'Reeksen (N)'!S43*'Invoer gegevens (N)'!$C$18*'Reeksen (N)'!P43,0)</f>
        <v>0</v>
      </c>
      <c r="AU43" s="71">
        <f ca="1">-IF(C43=1,(F43+K43+L43+Q43)/2*'Invoer gegevens (N)'!$F$38*'Reeksen (N)'!H43,0)</f>
        <v>0</v>
      </c>
      <c r="AV43" s="71">
        <v>0</v>
      </c>
      <c r="AW43" s="71">
        <f t="shared" ca="1" si="13"/>
        <v>0</v>
      </c>
      <c r="AX43" s="71">
        <f ca="1">IF(E43&lt;'Invoer gegevens (N)'!$C$17+15,0,IF(E43&gt;'Invoer gegevens (N)'!$C$17+215,0,AW43))</f>
        <v>0</v>
      </c>
      <c r="AY43" s="71">
        <f ca="1">AX43/(1+'Invoer gegevens (N)'!$F$18)^($AZ43-('Invoer gegevens (N)'!$C$17-'Invoer gegevens (N)'!$C$16))/(1+'Invoer gegevens (N)'!$C$39)^('Invoer gegevens (N)'!$C$17-'Invoer gegevens (N)'!$C$16)</f>
        <v>0</v>
      </c>
      <c r="AZ43" s="68">
        <f ca="1">IF(E43-'Invoer gegevens (N)'!$C$17-14.5&lt;0,0,E43-'Invoer gegevens (N)'!$C$17-14.5)</f>
        <v>23.5</v>
      </c>
      <c r="BA43" s="109">
        <f ca="1">IFERROR(VLOOKUP(E43-15,'Reeksen (N)'!$A$5:$D$234,2,FALSE),0)</f>
        <v>0</v>
      </c>
      <c r="BB43" s="109">
        <f ca="1">IFERROR(VLOOKUP(E43-15,'Reeksen (N)'!$A$5:$D$234,3,FALSE),0)</f>
        <v>0</v>
      </c>
      <c r="BC43" s="109">
        <f ca="1">IFERROR(VLOOKUP(E43-15,'Reeksen (N)'!$A$5:$D$234,4,FALSE),0)</f>
        <v>0</v>
      </c>
      <c r="BD43" s="67">
        <f ca="1">IF(E43-'Invoer gegevens (N)'!$C$17&lt;15,0,1)</f>
        <v>1</v>
      </c>
    </row>
    <row r="44" spans="1:56" x14ac:dyDescent="0.25">
      <c r="A44" s="59"/>
      <c r="B44" s="70">
        <f t="shared" si="14"/>
        <v>40</v>
      </c>
      <c r="C44" s="67">
        <f ca="1">IF(E44-'Invoer gegevens (N)'!$C$17&lt;0,0,1)</f>
        <v>1</v>
      </c>
      <c r="D44" s="68">
        <f t="shared" si="15"/>
        <v>39.5</v>
      </c>
      <c r="E44" s="108">
        <f ca="1">IF('Invoer gegevens (N)'!$C$16="","",E43+1)</f>
        <v>2058</v>
      </c>
      <c r="F44" s="84">
        <f ca="1">IF('Invoer gegevens (N)'!$C$17=E44,'Invoer gegevens (N)'!$C$10,IF(C44=1,K43,0))</f>
        <v>0</v>
      </c>
      <c r="G44" s="96">
        <f ca="1">IF(BD44&lt;1,F44*'Reeksen (N)'!C44,IF(C44&gt;=1,F44*BA44,0))</f>
        <v>0</v>
      </c>
      <c r="H44" s="84">
        <f ca="1">(1-('Invoer gegevens (N)'!$F$20/12))*F44*MIN(BA44,BC44)</f>
        <v>0</v>
      </c>
      <c r="I44" s="84">
        <f t="shared" ca="1" si="0"/>
        <v>0</v>
      </c>
      <c r="J44" s="84">
        <f ca="1">('Invoer gegevens (N)'!$F$20/12)*F43*MIN(BA44,BC44)</f>
        <v>0</v>
      </c>
      <c r="K44" s="97">
        <f t="shared" ca="1" si="5"/>
        <v>0</v>
      </c>
      <c r="L44" s="84">
        <f ca="1">IF('Invoer gegevens (N)'!$C$17=E44,0,IF(C44=1,Q43,0))</f>
        <v>0</v>
      </c>
      <c r="M44" s="96">
        <f t="shared" ca="1" si="1"/>
        <v>0</v>
      </c>
      <c r="N44" s="84">
        <f ca="1">(1-('Invoer gegevens (N)'!$F$20/12))*L44*MIN(BA44,BC44)</f>
        <v>0</v>
      </c>
      <c r="O44" s="84">
        <f t="shared" ca="1" si="2"/>
        <v>0</v>
      </c>
      <c r="P44" s="84">
        <f ca="1">('Invoer gegevens (N)'!$F$20/12)*L43*MIN(BA44,BC44)</f>
        <v>0</v>
      </c>
      <c r="Q44" s="84">
        <f t="shared" ca="1" si="6"/>
        <v>0</v>
      </c>
      <c r="R44" s="85">
        <f ca="1">IF('Invoer gegevens (N)'!$C$17=E44,'Invoer gegevens (N)'!$C$11,IF(C44=1,W43,0))</f>
        <v>0</v>
      </c>
      <c r="S44" s="86">
        <f t="shared" ca="1" si="3"/>
        <v>0</v>
      </c>
      <c r="T44" s="86">
        <f ca="1">(1-('Invoer gegevens (N)'!$F$20/12))*R44*MIN(BC44,BA44)</f>
        <v>0</v>
      </c>
      <c r="U44" s="86">
        <f ca="1">IF(BD44&lt;1,IF('Reeksen (N)'!AD44&lt;='Reeksen (N)'!AE44,R44*'Reeksen (N)'!C44,0),IF(BC44&gt;=BA44,0,IF('Reeksen (N)'!AD44&lt;='Reeksen (N)'!AE44,(BA44-BC44)*R44,0)))</f>
        <v>0</v>
      </c>
      <c r="V44" s="86">
        <f ca="1">IF(BD44&lt;1,IF('Reeksen (N)'!AD44&gt;'Reeksen (N)'!AE44,R44*'Reeksen (N)'!C44,0),IF(BC44&gt;=BA44,0,IF('Reeksen (N)'!AD44&gt;'Reeksen (N)'!AE44,(BA44-BC44)*R44,0)))</f>
        <v>0</v>
      </c>
      <c r="W44" s="218">
        <f t="shared" ca="1" si="7"/>
        <v>0</v>
      </c>
      <c r="X44" s="98">
        <f ca="1">IF('Invoer gegevens (N)'!$C$17=E44,'Invoer gegevens (N)'!$C$10-'Invoer gegevens (N)'!$C$11,IF(C44=1,AC43,0))</f>
        <v>0</v>
      </c>
      <c r="Y44" s="98">
        <f t="shared" ca="1" si="4"/>
        <v>0</v>
      </c>
      <c r="Z44" s="98">
        <f ca="1">(1-('Invoer gegevens (N)'!$F$20/12))*X44*MIN(BA44,BC44)</f>
        <v>0</v>
      </c>
      <c r="AA44" s="98">
        <f ca="1">IF(BD44&lt;1,IF('Reeksen (N)'!AD44&lt;='Reeksen (N)'!AE44,X44*'Reeksen (N)'!C44,0),IF(BC44&gt;=BA44,0,IF('Reeksen (N)'!AD44&lt;='Reeksen (N)'!AE44,(BA44-BC44)*X44,0)))</f>
        <v>0</v>
      </c>
      <c r="AB44" s="98">
        <f ca="1">IF(BD44&lt;1,IF('Reeksen (N)'!AD44&gt;'Reeksen (N)'!AE44,X44*'Reeksen (N)'!C44,0),IF(BC44&gt;=BA44,0,IF('Reeksen (N)'!AD44&gt;'Reeksen (N)'!AE44,(BA44-BC44)*X44,0)))</f>
        <v>0</v>
      </c>
      <c r="AC44" s="99">
        <f t="shared" ca="1" si="8"/>
        <v>0</v>
      </c>
      <c r="AD44" s="98">
        <f ca="1">IF('Invoer gegevens (N)'!$C$17=E44,R44,IF(C44=0,0,AE43))</f>
        <v>0</v>
      </c>
      <c r="AE44" s="98">
        <f t="shared" ca="1" si="9"/>
        <v>0</v>
      </c>
      <c r="AF44" s="98">
        <f ca="1">IF('Invoer gegevens (N)'!$C$17=E44,X44,IF(C44=0,0,AG43))</f>
        <v>0</v>
      </c>
      <c r="AG44" s="98">
        <f t="shared" ca="1" si="10"/>
        <v>0</v>
      </c>
      <c r="AH44" s="66"/>
      <c r="AI44" s="71">
        <f ca="1">IF(C44=1,'Reeksen (N)'!AI44*((F44+K44)/2)*12+'Reeksen (N)'!AD44*((L44+Q44)/2)*12,0)</f>
        <v>0</v>
      </c>
      <c r="AJ44" s="71">
        <f ca="1">-AI44*'Invoer gegevens (N)'!$F$28</f>
        <v>0</v>
      </c>
      <c r="AK44" s="71">
        <f t="shared" ca="1" si="11"/>
        <v>0</v>
      </c>
      <c r="AL44" s="71">
        <f ca="1">IF(C44=1,'Reeksen (N)'!AL44*((F44-G44+F44)/2)*12+'Reeksen (N)'!AM44*((L44-M44+L44)/2)*12,0)</f>
        <v>0</v>
      </c>
      <c r="AM44" s="71">
        <f ca="1">-AL44*'Invoer gegevens (N)'!$F$31</f>
        <v>0</v>
      </c>
      <c r="AN44" s="71">
        <f t="shared" ca="1" si="12"/>
        <v>0</v>
      </c>
      <c r="AO44" s="71">
        <f ca="1">IF(C44=1,(H44+J44+N44+P44)*'Reeksen (N)'!AN44,0)</f>
        <v>0</v>
      </c>
      <c r="AP44" s="71">
        <f ca="1">-IF(C44=1,(H44+J44+N44+P44)*'Hulp - basis'!$O$550*'Reeksen (N)'!H44,0)</f>
        <v>0</v>
      </c>
      <c r="AQ44" s="71">
        <f ca="1">-IF(C44=1,(F44+K44+L44+Q44)/2*'Invoer gegevens (N)'!$F$35*'Reeksen (N)'!J44,0)*2</f>
        <v>0</v>
      </c>
      <c r="AR44" s="71">
        <f ca="1">IF(BD44&lt;1,-IF(C44=1,(G44*'Invoer gegevens (N)'!$F$36)*'Reeksen (N)'!J44,0),0)</f>
        <v>0</v>
      </c>
      <c r="AS44" s="71">
        <f ca="1">-IF(C44=1,(F44+K44+L44+Q44)/2*'Invoer gegevens (N)'!$F$37*'Reeksen (N)'!L44,0)</f>
        <v>0</v>
      </c>
      <c r="AT44" s="71">
        <f ca="1">-IF(C44=1,IF(E44='Invoer gegevens (N)'!$C$17,'Invoer gegevens (N)'!$C$11,AD44)*'Reeksen (N)'!S44*'Invoer gegevens (N)'!$C$18*'Reeksen (N)'!P44,0)</f>
        <v>0</v>
      </c>
      <c r="AU44" s="71">
        <f ca="1">-IF(C44=1,(F44+K44+L44+Q44)/2*'Invoer gegevens (N)'!$F$38*'Reeksen (N)'!H44,0)</f>
        <v>0</v>
      </c>
      <c r="AV44" s="71">
        <v>0</v>
      </c>
      <c r="AW44" s="71">
        <f t="shared" ca="1" si="13"/>
        <v>0</v>
      </c>
      <c r="AX44" s="71">
        <f ca="1">IF(E44&lt;'Invoer gegevens (N)'!$C$17+15,0,IF(E44&gt;'Invoer gegevens (N)'!$C$17+215,0,AW44))</f>
        <v>0</v>
      </c>
      <c r="AY44" s="71">
        <f ca="1">AX44/(1+'Invoer gegevens (N)'!$F$18)^($AZ44-('Invoer gegevens (N)'!$C$17-'Invoer gegevens (N)'!$C$16))/(1+'Invoer gegevens (N)'!$C$39)^('Invoer gegevens (N)'!$C$17-'Invoer gegevens (N)'!$C$16)</f>
        <v>0</v>
      </c>
      <c r="AZ44" s="68">
        <f ca="1">IF(E44-'Invoer gegevens (N)'!$C$17-14.5&lt;0,0,E44-'Invoer gegevens (N)'!$C$17-14.5)</f>
        <v>24.5</v>
      </c>
      <c r="BA44" s="109">
        <f ca="1">IFERROR(VLOOKUP(E44-15,'Reeksen (N)'!$A$5:$D$234,2,FALSE),0)</f>
        <v>0</v>
      </c>
      <c r="BB44" s="109">
        <f ca="1">IFERROR(VLOOKUP(E44-15,'Reeksen (N)'!$A$5:$D$234,3,FALSE),0)</f>
        <v>0</v>
      </c>
      <c r="BC44" s="109">
        <f ca="1">IFERROR(VLOOKUP(E44-15,'Reeksen (N)'!$A$5:$D$234,4,FALSE),0)</f>
        <v>0</v>
      </c>
      <c r="BD44" s="67">
        <f ca="1">IF(E44-'Invoer gegevens (N)'!$C$17&lt;15,0,1)</f>
        <v>1</v>
      </c>
    </row>
    <row r="45" spans="1:56" x14ac:dyDescent="0.25">
      <c r="A45" s="59"/>
      <c r="B45" s="70">
        <f t="shared" si="14"/>
        <v>41</v>
      </c>
      <c r="C45" s="67">
        <f ca="1">IF(E45-'Invoer gegevens (N)'!$C$17&lt;0,0,1)</f>
        <v>1</v>
      </c>
      <c r="D45" s="68">
        <f t="shared" si="15"/>
        <v>40.5</v>
      </c>
      <c r="E45" s="108">
        <f ca="1">IF('Invoer gegevens (N)'!$C$16="","",E44+1)</f>
        <v>2059</v>
      </c>
      <c r="F45" s="84">
        <f ca="1">IF('Invoer gegevens (N)'!$C$17=E45,'Invoer gegevens (N)'!$C$10,IF(C45=1,K44,0))</f>
        <v>0</v>
      </c>
      <c r="G45" s="96">
        <f ca="1">IF(BD45&lt;1,F45*'Reeksen (N)'!C45,IF(C45&gt;=1,F45*BA45,0))</f>
        <v>0</v>
      </c>
      <c r="H45" s="84">
        <f ca="1">(1-('Invoer gegevens (N)'!$F$20/12))*F45*MIN(BA45,BC45)</f>
        <v>0</v>
      </c>
      <c r="I45" s="84">
        <f t="shared" ca="1" si="0"/>
        <v>0</v>
      </c>
      <c r="J45" s="84">
        <f ca="1">('Invoer gegevens (N)'!$F$20/12)*F44*MIN(BA45,BC45)</f>
        <v>0</v>
      </c>
      <c r="K45" s="97">
        <f t="shared" ca="1" si="5"/>
        <v>0</v>
      </c>
      <c r="L45" s="84">
        <f ca="1">IF('Invoer gegevens (N)'!$C$17=E45,0,IF(C45=1,Q44,0))</f>
        <v>0</v>
      </c>
      <c r="M45" s="96">
        <f t="shared" ca="1" si="1"/>
        <v>0</v>
      </c>
      <c r="N45" s="84">
        <f ca="1">(1-('Invoer gegevens (N)'!$F$20/12))*L45*MIN(BA45,BC45)</f>
        <v>0</v>
      </c>
      <c r="O45" s="84">
        <f t="shared" ca="1" si="2"/>
        <v>0</v>
      </c>
      <c r="P45" s="84">
        <f ca="1">('Invoer gegevens (N)'!$F$20/12)*L44*MIN(BA45,BC45)</f>
        <v>0</v>
      </c>
      <c r="Q45" s="84">
        <f t="shared" ca="1" si="6"/>
        <v>0</v>
      </c>
      <c r="R45" s="85">
        <f ca="1">IF('Invoer gegevens (N)'!$C$17=E45,'Invoer gegevens (N)'!$C$11,IF(C45=1,W44,0))</f>
        <v>0</v>
      </c>
      <c r="S45" s="86">
        <f t="shared" ca="1" si="3"/>
        <v>0</v>
      </c>
      <c r="T45" s="86">
        <f ca="1">(1-('Invoer gegevens (N)'!$F$20/12))*R45*MIN(BC45,BA45)</f>
        <v>0</v>
      </c>
      <c r="U45" s="86">
        <f ca="1">IF(BD45&lt;1,IF('Reeksen (N)'!AD45&lt;='Reeksen (N)'!AE45,R45*'Reeksen (N)'!C45,0),IF(BC45&gt;=BA45,0,IF('Reeksen (N)'!AD45&lt;='Reeksen (N)'!AE45,(BA45-BC45)*R45,0)))</f>
        <v>0</v>
      </c>
      <c r="V45" s="86">
        <f ca="1">IF(BD45&lt;1,IF('Reeksen (N)'!AD45&gt;'Reeksen (N)'!AE45,R45*'Reeksen (N)'!C45,0),IF(BC45&gt;=BA45,0,IF('Reeksen (N)'!AD45&gt;'Reeksen (N)'!AE45,(BA45-BC45)*R45,0)))</f>
        <v>0</v>
      </c>
      <c r="W45" s="218">
        <f t="shared" ca="1" si="7"/>
        <v>0</v>
      </c>
      <c r="X45" s="98">
        <f ca="1">IF('Invoer gegevens (N)'!$C$17=E45,'Invoer gegevens (N)'!$C$10-'Invoer gegevens (N)'!$C$11,IF(C45=1,AC44,0))</f>
        <v>0</v>
      </c>
      <c r="Y45" s="98">
        <f t="shared" ca="1" si="4"/>
        <v>0</v>
      </c>
      <c r="Z45" s="98">
        <f ca="1">(1-('Invoer gegevens (N)'!$F$20/12))*X45*MIN(BA45,BC45)</f>
        <v>0</v>
      </c>
      <c r="AA45" s="98">
        <f ca="1">IF(BD45&lt;1,IF('Reeksen (N)'!AD45&lt;='Reeksen (N)'!AE45,X45*'Reeksen (N)'!C45,0),IF(BC45&gt;=BA45,0,IF('Reeksen (N)'!AD45&lt;='Reeksen (N)'!AE45,(BA45-BC45)*X45,0)))</f>
        <v>0</v>
      </c>
      <c r="AB45" s="98">
        <f ca="1">IF(BD45&lt;1,IF('Reeksen (N)'!AD45&gt;'Reeksen (N)'!AE45,X45*'Reeksen (N)'!C45,0),IF(BC45&gt;=BA45,0,IF('Reeksen (N)'!AD45&gt;'Reeksen (N)'!AE45,(BA45-BC45)*X45,0)))</f>
        <v>0</v>
      </c>
      <c r="AC45" s="99">
        <f t="shared" ca="1" si="8"/>
        <v>0</v>
      </c>
      <c r="AD45" s="98">
        <f ca="1">IF('Invoer gegevens (N)'!$C$17=E45,R45,IF(C45=0,0,AE44))</f>
        <v>0</v>
      </c>
      <c r="AE45" s="98">
        <f t="shared" ca="1" si="9"/>
        <v>0</v>
      </c>
      <c r="AF45" s="98">
        <f ca="1">IF('Invoer gegevens (N)'!$C$17=E45,X45,IF(C45=0,0,AG44))</f>
        <v>0</v>
      </c>
      <c r="AG45" s="98">
        <f t="shared" ca="1" si="10"/>
        <v>0</v>
      </c>
      <c r="AH45" s="66"/>
      <c r="AI45" s="71">
        <f ca="1">IF(C45=1,'Reeksen (N)'!AI45*((F45+K45)/2)*12+'Reeksen (N)'!AD45*((L45+Q45)/2)*12,0)</f>
        <v>0</v>
      </c>
      <c r="AJ45" s="71">
        <f ca="1">-AI45*'Invoer gegevens (N)'!$F$28</f>
        <v>0</v>
      </c>
      <c r="AK45" s="71">
        <f t="shared" ca="1" si="11"/>
        <v>0</v>
      </c>
      <c r="AL45" s="71">
        <f ca="1">IF(C45=1,'Reeksen (N)'!AL45*((F45-G45+F45)/2)*12+'Reeksen (N)'!AM45*((L45-M45+L45)/2)*12,0)</f>
        <v>0</v>
      </c>
      <c r="AM45" s="71">
        <f ca="1">-AL45*'Invoer gegevens (N)'!$F$31</f>
        <v>0</v>
      </c>
      <c r="AN45" s="71">
        <f t="shared" ca="1" si="12"/>
        <v>0</v>
      </c>
      <c r="AO45" s="71">
        <f ca="1">IF(C45=1,(H45+J45+N45+P45)*'Reeksen (N)'!AN45,0)</f>
        <v>0</v>
      </c>
      <c r="AP45" s="71">
        <f ca="1">-IF(C45=1,(H45+J45+N45+P45)*'Hulp - basis'!$O$550*'Reeksen (N)'!H45,0)</f>
        <v>0</v>
      </c>
      <c r="AQ45" s="71">
        <f ca="1">-IF(C45=1,(F45+K45+L45+Q45)/2*'Invoer gegevens (N)'!$F$35*'Reeksen (N)'!J45,0)*2</f>
        <v>0</v>
      </c>
      <c r="AR45" s="71">
        <f ca="1">IF(BD45&lt;1,-IF(C45=1,(G45*'Invoer gegevens (N)'!$F$36)*'Reeksen (N)'!J45,0),0)</f>
        <v>0</v>
      </c>
      <c r="AS45" s="71">
        <f ca="1">-IF(C45=1,(F45+K45+L45+Q45)/2*'Invoer gegevens (N)'!$F$37*'Reeksen (N)'!L45,0)</f>
        <v>0</v>
      </c>
      <c r="AT45" s="71">
        <f ca="1">-IF(C45=1,IF(E45='Invoer gegevens (N)'!$C$17,'Invoer gegevens (N)'!$C$11,AD45)*'Reeksen (N)'!S45*'Invoer gegevens (N)'!$C$18*'Reeksen (N)'!P45,0)</f>
        <v>0</v>
      </c>
      <c r="AU45" s="71">
        <f ca="1">-IF(C45=1,(F45+K45+L45+Q45)/2*'Invoer gegevens (N)'!$F$38*'Reeksen (N)'!H45,0)</f>
        <v>0</v>
      </c>
      <c r="AV45" s="71">
        <v>0</v>
      </c>
      <c r="AW45" s="71">
        <f t="shared" ca="1" si="13"/>
        <v>0</v>
      </c>
      <c r="AX45" s="71">
        <f ca="1">IF(E45&lt;'Invoer gegevens (N)'!$C$17+15,0,IF(E45&gt;'Invoer gegevens (N)'!$C$17+215,0,AW45))</f>
        <v>0</v>
      </c>
      <c r="AY45" s="71">
        <f ca="1">AX45/(1+'Invoer gegevens (N)'!$F$18)^($AZ45-('Invoer gegevens (N)'!$C$17-'Invoer gegevens (N)'!$C$16))/(1+'Invoer gegevens (N)'!$C$39)^('Invoer gegevens (N)'!$C$17-'Invoer gegevens (N)'!$C$16)</f>
        <v>0</v>
      </c>
      <c r="AZ45" s="68">
        <f ca="1">IF(E45-'Invoer gegevens (N)'!$C$17-14.5&lt;0,0,E45-'Invoer gegevens (N)'!$C$17-14.5)</f>
        <v>25.5</v>
      </c>
      <c r="BA45" s="109">
        <f ca="1">IFERROR(VLOOKUP(E45-15,'Reeksen (N)'!$A$5:$D$234,2,FALSE),0)</f>
        <v>0</v>
      </c>
      <c r="BB45" s="109">
        <f ca="1">IFERROR(VLOOKUP(E45-15,'Reeksen (N)'!$A$5:$D$234,3,FALSE),0)</f>
        <v>0</v>
      </c>
      <c r="BC45" s="109">
        <f ca="1">IFERROR(VLOOKUP(E45-15,'Reeksen (N)'!$A$5:$D$234,4,FALSE),0)</f>
        <v>0</v>
      </c>
      <c r="BD45" s="67">
        <f ca="1">IF(E45-'Invoer gegevens (N)'!$C$17&lt;15,0,1)</f>
        <v>1</v>
      </c>
    </row>
    <row r="46" spans="1:56" x14ac:dyDescent="0.25">
      <c r="A46" s="59"/>
      <c r="B46" s="70">
        <f t="shared" si="14"/>
        <v>42</v>
      </c>
      <c r="C46" s="67">
        <f ca="1">IF(E46-'Invoer gegevens (N)'!$C$17&lt;0,0,1)</f>
        <v>1</v>
      </c>
      <c r="D46" s="68">
        <f t="shared" si="15"/>
        <v>41.5</v>
      </c>
      <c r="E46" s="108">
        <f ca="1">IF('Invoer gegevens (N)'!$C$16="","",E45+1)</f>
        <v>2060</v>
      </c>
      <c r="F46" s="84">
        <f ca="1">IF('Invoer gegevens (N)'!$C$17=E46,'Invoer gegevens (N)'!$C$10,IF(C46=1,K45,0))</f>
        <v>0</v>
      </c>
      <c r="G46" s="96">
        <f ca="1">IF(BD46&lt;1,F46*'Reeksen (N)'!C46,IF(C46&gt;=1,F46*BA46,0))</f>
        <v>0</v>
      </c>
      <c r="H46" s="84">
        <f ca="1">(1-('Invoer gegevens (N)'!$F$20/12))*F46*MIN(BA46,BC46)</f>
        <v>0</v>
      </c>
      <c r="I46" s="84">
        <f t="shared" ca="1" si="0"/>
        <v>0</v>
      </c>
      <c r="J46" s="84">
        <f ca="1">('Invoer gegevens (N)'!$F$20/12)*F45*MIN(BA46,BC46)</f>
        <v>0</v>
      </c>
      <c r="K46" s="97">
        <f t="shared" ca="1" si="5"/>
        <v>0</v>
      </c>
      <c r="L46" s="84">
        <f ca="1">IF('Invoer gegevens (N)'!$C$17=E46,0,IF(C46=1,Q45,0))</f>
        <v>0</v>
      </c>
      <c r="M46" s="96">
        <f t="shared" ca="1" si="1"/>
        <v>0</v>
      </c>
      <c r="N46" s="84">
        <f ca="1">(1-('Invoer gegevens (N)'!$F$20/12))*L46*MIN(BA46,BC46)</f>
        <v>0</v>
      </c>
      <c r="O46" s="84">
        <f t="shared" ca="1" si="2"/>
        <v>0</v>
      </c>
      <c r="P46" s="84">
        <f ca="1">('Invoer gegevens (N)'!$F$20/12)*L45*MIN(BA46,BC46)</f>
        <v>0</v>
      </c>
      <c r="Q46" s="84">
        <f t="shared" ca="1" si="6"/>
        <v>0</v>
      </c>
      <c r="R46" s="85">
        <f ca="1">IF('Invoer gegevens (N)'!$C$17=E46,'Invoer gegevens (N)'!$C$11,IF(C46=1,W45,0))</f>
        <v>0</v>
      </c>
      <c r="S46" s="86">
        <f t="shared" ca="1" si="3"/>
        <v>0</v>
      </c>
      <c r="T46" s="86">
        <f ca="1">(1-('Invoer gegevens (N)'!$F$20/12))*R46*MIN(BC46,BA46)</f>
        <v>0</v>
      </c>
      <c r="U46" s="86">
        <f ca="1">IF(BD46&lt;1,IF('Reeksen (N)'!AD46&lt;='Reeksen (N)'!AE46,R46*'Reeksen (N)'!C46,0),IF(BC46&gt;=BA46,0,IF('Reeksen (N)'!AD46&lt;='Reeksen (N)'!AE46,(BA46-BC46)*R46,0)))</f>
        <v>0</v>
      </c>
      <c r="V46" s="86">
        <f ca="1">IF(BD46&lt;1,IF('Reeksen (N)'!AD46&gt;'Reeksen (N)'!AE46,R46*'Reeksen (N)'!C46,0),IF(BC46&gt;=BA46,0,IF('Reeksen (N)'!AD46&gt;'Reeksen (N)'!AE46,(BA46-BC46)*R46,0)))</f>
        <v>0</v>
      </c>
      <c r="W46" s="218">
        <f t="shared" ca="1" si="7"/>
        <v>0</v>
      </c>
      <c r="X46" s="98">
        <f ca="1">IF('Invoer gegevens (N)'!$C$17=E46,'Invoer gegevens (N)'!$C$10-'Invoer gegevens (N)'!$C$11,IF(C46=1,AC45,0))</f>
        <v>0</v>
      </c>
      <c r="Y46" s="98">
        <f t="shared" ca="1" si="4"/>
        <v>0</v>
      </c>
      <c r="Z46" s="98">
        <f ca="1">(1-('Invoer gegevens (N)'!$F$20/12))*X46*MIN(BA46,BC46)</f>
        <v>0</v>
      </c>
      <c r="AA46" s="98">
        <f ca="1">IF(BD46&lt;1,IF('Reeksen (N)'!AD46&lt;='Reeksen (N)'!AE46,X46*'Reeksen (N)'!C46,0),IF(BC46&gt;=BA46,0,IF('Reeksen (N)'!AD46&lt;='Reeksen (N)'!AE46,(BA46-BC46)*X46,0)))</f>
        <v>0</v>
      </c>
      <c r="AB46" s="98">
        <f ca="1">IF(BD46&lt;1,IF('Reeksen (N)'!AD46&gt;'Reeksen (N)'!AE46,X46*'Reeksen (N)'!C46,0),IF(BC46&gt;=BA46,0,IF('Reeksen (N)'!AD46&gt;'Reeksen (N)'!AE46,(BA46-BC46)*X46,0)))</f>
        <v>0</v>
      </c>
      <c r="AC46" s="99">
        <f t="shared" ca="1" si="8"/>
        <v>0</v>
      </c>
      <c r="AD46" s="98">
        <f ca="1">IF('Invoer gegevens (N)'!$C$17=E46,R46,IF(C46=0,0,AE45))</f>
        <v>0</v>
      </c>
      <c r="AE46" s="98">
        <f t="shared" ca="1" si="9"/>
        <v>0</v>
      </c>
      <c r="AF46" s="98">
        <f ca="1">IF('Invoer gegevens (N)'!$C$17=E46,X46,IF(C46=0,0,AG45))</f>
        <v>0</v>
      </c>
      <c r="AG46" s="98">
        <f t="shared" ca="1" si="10"/>
        <v>0</v>
      </c>
      <c r="AH46" s="66"/>
      <c r="AI46" s="71">
        <f ca="1">IF(C46=1,'Reeksen (N)'!AI46*((F46+K46)/2)*12+'Reeksen (N)'!AD46*((L46+Q46)/2)*12,0)</f>
        <v>0</v>
      </c>
      <c r="AJ46" s="71">
        <f ca="1">-AI46*'Invoer gegevens (N)'!$F$28</f>
        <v>0</v>
      </c>
      <c r="AK46" s="71">
        <f t="shared" ca="1" si="11"/>
        <v>0</v>
      </c>
      <c r="AL46" s="71">
        <f ca="1">IF(C46=1,'Reeksen (N)'!AL46*((F46-G46+F46)/2)*12+'Reeksen (N)'!AM46*((L46-M46+L46)/2)*12,0)</f>
        <v>0</v>
      </c>
      <c r="AM46" s="71">
        <f ca="1">-AL46*'Invoer gegevens (N)'!$F$31</f>
        <v>0</v>
      </c>
      <c r="AN46" s="71">
        <f t="shared" ca="1" si="12"/>
        <v>0</v>
      </c>
      <c r="AO46" s="71">
        <f ca="1">IF(C46=1,(H46+J46+N46+P46)*'Reeksen (N)'!AN46,0)</f>
        <v>0</v>
      </c>
      <c r="AP46" s="71">
        <f ca="1">-IF(C46=1,(H46+J46+N46+P46)*'Hulp - basis'!$O$550*'Reeksen (N)'!H46,0)</f>
        <v>0</v>
      </c>
      <c r="AQ46" s="71">
        <f ca="1">-IF(C46=1,(F46+K46+L46+Q46)/2*'Invoer gegevens (N)'!$F$35*'Reeksen (N)'!J46,0)*2</f>
        <v>0</v>
      </c>
      <c r="AR46" s="71">
        <f ca="1">IF(BD46&lt;1,-IF(C46=1,(G46*'Invoer gegevens (N)'!$F$36)*'Reeksen (N)'!J46,0),0)</f>
        <v>0</v>
      </c>
      <c r="AS46" s="71">
        <f ca="1">-IF(C46=1,(F46+K46+L46+Q46)/2*'Invoer gegevens (N)'!$F$37*'Reeksen (N)'!L46,0)</f>
        <v>0</v>
      </c>
      <c r="AT46" s="71">
        <f ca="1">-IF(C46=1,IF(E46='Invoer gegevens (N)'!$C$17,'Invoer gegevens (N)'!$C$11,AD46)*'Reeksen (N)'!S46*'Invoer gegevens (N)'!$C$18*'Reeksen (N)'!P46,0)</f>
        <v>0</v>
      </c>
      <c r="AU46" s="71">
        <f ca="1">-IF(C46=1,(F46+K46+L46+Q46)/2*'Invoer gegevens (N)'!$F$38*'Reeksen (N)'!H46,0)</f>
        <v>0</v>
      </c>
      <c r="AV46" s="71">
        <v>0</v>
      </c>
      <c r="AW46" s="71">
        <f t="shared" ca="1" si="13"/>
        <v>0</v>
      </c>
      <c r="AX46" s="71">
        <f ca="1">IF(E46&lt;'Invoer gegevens (N)'!$C$17+15,0,IF(E46&gt;'Invoer gegevens (N)'!$C$17+215,0,AW46))</f>
        <v>0</v>
      </c>
      <c r="AY46" s="71">
        <f ca="1">AX46/(1+'Invoer gegevens (N)'!$F$18)^($AZ46-('Invoer gegevens (N)'!$C$17-'Invoer gegevens (N)'!$C$16))/(1+'Invoer gegevens (N)'!$C$39)^('Invoer gegevens (N)'!$C$17-'Invoer gegevens (N)'!$C$16)</f>
        <v>0</v>
      </c>
      <c r="AZ46" s="68">
        <f ca="1">IF(E46-'Invoer gegevens (N)'!$C$17-14.5&lt;0,0,E46-'Invoer gegevens (N)'!$C$17-14.5)</f>
        <v>26.5</v>
      </c>
      <c r="BA46" s="109">
        <f ca="1">IFERROR(VLOOKUP(E46-15,'Reeksen (N)'!$A$5:$D$234,2,FALSE),0)</f>
        <v>0</v>
      </c>
      <c r="BB46" s="109">
        <f ca="1">IFERROR(VLOOKUP(E46-15,'Reeksen (N)'!$A$5:$D$234,3,FALSE),0)</f>
        <v>0</v>
      </c>
      <c r="BC46" s="109">
        <f ca="1">IFERROR(VLOOKUP(E46-15,'Reeksen (N)'!$A$5:$D$234,4,FALSE),0)</f>
        <v>0</v>
      </c>
      <c r="BD46" s="67">
        <f ca="1">IF(E46-'Invoer gegevens (N)'!$C$17&lt;15,0,1)</f>
        <v>1</v>
      </c>
    </row>
    <row r="47" spans="1:56" x14ac:dyDescent="0.25">
      <c r="A47" s="59"/>
      <c r="B47" s="70">
        <f t="shared" si="14"/>
        <v>43</v>
      </c>
      <c r="C47" s="67">
        <f ca="1">IF(E47-'Invoer gegevens (N)'!$C$17&lt;0,0,1)</f>
        <v>1</v>
      </c>
      <c r="D47" s="68">
        <f t="shared" si="15"/>
        <v>42.5</v>
      </c>
      <c r="E47" s="108">
        <f ca="1">IF('Invoer gegevens (N)'!$C$16="","",E46+1)</f>
        <v>2061</v>
      </c>
      <c r="F47" s="84">
        <f ca="1">IF('Invoer gegevens (N)'!$C$17=E47,'Invoer gegevens (N)'!$C$10,IF(C47=1,K46,0))</f>
        <v>0</v>
      </c>
      <c r="G47" s="96">
        <f ca="1">IF(BD47&lt;1,F47*'Reeksen (N)'!C47,IF(C47&gt;=1,F47*BA47,0))</f>
        <v>0</v>
      </c>
      <c r="H47" s="84">
        <f ca="1">(1-('Invoer gegevens (N)'!$F$20/12))*F47*MIN(BA47,BC47)</f>
        <v>0</v>
      </c>
      <c r="I47" s="84">
        <f t="shared" ca="1" si="0"/>
        <v>0</v>
      </c>
      <c r="J47" s="84">
        <f ca="1">('Invoer gegevens (N)'!$F$20/12)*F46*MIN(BA47,BC47)</f>
        <v>0</v>
      </c>
      <c r="K47" s="97">
        <f t="shared" ca="1" si="5"/>
        <v>0</v>
      </c>
      <c r="L47" s="84">
        <f ca="1">IF('Invoer gegevens (N)'!$C$17=E47,0,IF(C47=1,Q46,0))</f>
        <v>0</v>
      </c>
      <c r="M47" s="96">
        <f t="shared" ca="1" si="1"/>
        <v>0</v>
      </c>
      <c r="N47" s="84">
        <f ca="1">(1-('Invoer gegevens (N)'!$F$20/12))*L47*MIN(BA47,BC47)</f>
        <v>0</v>
      </c>
      <c r="O47" s="84">
        <f t="shared" ca="1" si="2"/>
        <v>0</v>
      </c>
      <c r="P47" s="84">
        <f ca="1">('Invoer gegevens (N)'!$F$20/12)*L46*MIN(BA47,BC47)</f>
        <v>0</v>
      </c>
      <c r="Q47" s="84">
        <f t="shared" ca="1" si="6"/>
        <v>0</v>
      </c>
      <c r="R47" s="85">
        <f ca="1">IF('Invoer gegevens (N)'!$C$17=E47,'Invoer gegevens (N)'!$C$11,IF(C47=1,W46,0))</f>
        <v>0</v>
      </c>
      <c r="S47" s="86">
        <f t="shared" ca="1" si="3"/>
        <v>0</v>
      </c>
      <c r="T47" s="86">
        <f ca="1">(1-('Invoer gegevens (N)'!$F$20/12))*R47*MIN(BC47,BA47)</f>
        <v>0</v>
      </c>
      <c r="U47" s="86">
        <f ca="1">IF(BD47&lt;1,IF('Reeksen (N)'!AD47&lt;='Reeksen (N)'!AE47,R47*'Reeksen (N)'!C47,0),IF(BC47&gt;=BA47,0,IF('Reeksen (N)'!AD47&lt;='Reeksen (N)'!AE47,(BA47-BC47)*R47,0)))</f>
        <v>0</v>
      </c>
      <c r="V47" s="86">
        <f ca="1">IF(BD47&lt;1,IF('Reeksen (N)'!AD47&gt;'Reeksen (N)'!AE47,R47*'Reeksen (N)'!C47,0),IF(BC47&gt;=BA47,0,IF('Reeksen (N)'!AD47&gt;'Reeksen (N)'!AE47,(BA47-BC47)*R47,0)))</f>
        <v>0</v>
      </c>
      <c r="W47" s="218">
        <f t="shared" ca="1" si="7"/>
        <v>0</v>
      </c>
      <c r="X47" s="98">
        <f ca="1">IF('Invoer gegevens (N)'!$C$17=E47,'Invoer gegevens (N)'!$C$10-'Invoer gegevens (N)'!$C$11,IF(C47=1,AC46,0))</f>
        <v>0</v>
      </c>
      <c r="Y47" s="98">
        <f t="shared" ca="1" si="4"/>
        <v>0</v>
      </c>
      <c r="Z47" s="98">
        <f ca="1">(1-('Invoer gegevens (N)'!$F$20/12))*X47*MIN(BA47,BC47)</f>
        <v>0</v>
      </c>
      <c r="AA47" s="98">
        <f ca="1">IF(BD47&lt;1,IF('Reeksen (N)'!AD47&lt;='Reeksen (N)'!AE47,X47*'Reeksen (N)'!C47,0),IF(BC47&gt;=BA47,0,IF('Reeksen (N)'!AD47&lt;='Reeksen (N)'!AE47,(BA47-BC47)*X47,0)))</f>
        <v>0</v>
      </c>
      <c r="AB47" s="98">
        <f ca="1">IF(BD47&lt;1,IF('Reeksen (N)'!AD47&gt;'Reeksen (N)'!AE47,X47*'Reeksen (N)'!C47,0),IF(BC47&gt;=BA47,0,IF('Reeksen (N)'!AD47&gt;'Reeksen (N)'!AE47,(BA47-BC47)*X47,0)))</f>
        <v>0</v>
      </c>
      <c r="AC47" s="99">
        <f t="shared" ca="1" si="8"/>
        <v>0</v>
      </c>
      <c r="AD47" s="98">
        <f ca="1">IF('Invoer gegevens (N)'!$C$17=E47,R47,IF(C47=0,0,AE46))</f>
        <v>0</v>
      </c>
      <c r="AE47" s="98">
        <f t="shared" ca="1" si="9"/>
        <v>0</v>
      </c>
      <c r="AF47" s="98">
        <f ca="1">IF('Invoer gegevens (N)'!$C$17=E47,X47,IF(C47=0,0,AG46))</f>
        <v>0</v>
      </c>
      <c r="AG47" s="98">
        <f t="shared" ca="1" si="10"/>
        <v>0</v>
      </c>
      <c r="AH47" s="66"/>
      <c r="AI47" s="71">
        <f ca="1">IF(C47=1,'Reeksen (N)'!AI47*((F47+K47)/2)*12+'Reeksen (N)'!AD47*((L47+Q47)/2)*12,0)</f>
        <v>0</v>
      </c>
      <c r="AJ47" s="71">
        <f ca="1">-AI47*'Invoer gegevens (N)'!$F$28</f>
        <v>0</v>
      </c>
      <c r="AK47" s="71">
        <f t="shared" ca="1" si="11"/>
        <v>0</v>
      </c>
      <c r="AL47" s="71">
        <f ca="1">IF(C47=1,'Reeksen (N)'!AL47*((F47-G47+F47)/2)*12+'Reeksen (N)'!AM47*((L47-M47+L47)/2)*12,0)</f>
        <v>0</v>
      </c>
      <c r="AM47" s="71">
        <f ca="1">-AL47*'Invoer gegevens (N)'!$F$31</f>
        <v>0</v>
      </c>
      <c r="AN47" s="71">
        <f t="shared" ca="1" si="12"/>
        <v>0</v>
      </c>
      <c r="AO47" s="71">
        <f ca="1">IF(C47=1,(H47+J47+N47+P47)*'Reeksen (N)'!AN47,0)</f>
        <v>0</v>
      </c>
      <c r="AP47" s="71">
        <f ca="1">-IF(C47=1,(H47+J47+N47+P47)*'Hulp - basis'!$O$550*'Reeksen (N)'!H47,0)</f>
        <v>0</v>
      </c>
      <c r="AQ47" s="71">
        <f ca="1">-IF(C47=1,(F47+K47+L47+Q47)/2*'Invoer gegevens (N)'!$F$35*'Reeksen (N)'!J47,0)*2</f>
        <v>0</v>
      </c>
      <c r="AR47" s="71">
        <f ca="1">IF(BD47&lt;1,-IF(C47=1,(G47*'Invoer gegevens (N)'!$F$36)*'Reeksen (N)'!J47,0),0)</f>
        <v>0</v>
      </c>
      <c r="AS47" s="71">
        <f ca="1">-IF(C47=1,(F47+K47+L47+Q47)/2*'Invoer gegevens (N)'!$F$37*'Reeksen (N)'!L47,0)</f>
        <v>0</v>
      </c>
      <c r="AT47" s="71">
        <f ca="1">-IF(C47=1,IF(E47='Invoer gegevens (N)'!$C$17,'Invoer gegevens (N)'!$C$11,AD47)*'Reeksen (N)'!S47*'Invoer gegevens (N)'!$C$18*'Reeksen (N)'!P47,0)</f>
        <v>0</v>
      </c>
      <c r="AU47" s="71">
        <f ca="1">-IF(C47=1,(F47+K47+L47+Q47)/2*'Invoer gegevens (N)'!$F$38*'Reeksen (N)'!H47,0)</f>
        <v>0</v>
      </c>
      <c r="AV47" s="71">
        <v>0</v>
      </c>
      <c r="AW47" s="71">
        <f t="shared" ca="1" si="13"/>
        <v>0</v>
      </c>
      <c r="AX47" s="71">
        <f ca="1">IF(E47&lt;'Invoer gegevens (N)'!$C$17+15,0,IF(E47&gt;'Invoer gegevens (N)'!$C$17+215,0,AW47))</f>
        <v>0</v>
      </c>
      <c r="AY47" s="71">
        <f ca="1">AX47/(1+'Invoer gegevens (N)'!$F$18)^($AZ47-('Invoer gegevens (N)'!$C$17-'Invoer gegevens (N)'!$C$16))/(1+'Invoer gegevens (N)'!$C$39)^('Invoer gegevens (N)'!$C$17-'Invoer gegevens (N)'!$C$16)</f>
        <v>0</v>
      </c>
      <c r="AZ47" s="68">
        <f ca="1">IF(E47-'Invoer gegevens (N)'!$C$17-14.5&lt;0,0,E47-'Invoer gegevens (N)'!$C$17-14.5)</f>
        <v>27.5</v>
      </c>
      <c r="BA47" s="109">
        <f ca="1">IFERROR(VLOOKUP(E47-15,'Reeksen (N)'!$A$5:$D$234,2,FALSE),0)</f>
        <v>0</v>
      </c>
      <c r="BB47" s="109">
        <f ca="1">IFERROR(VLOOKUP(E47-15,'Reeksen (N)'!$A$5:$D$234,3,FALSE),0)</f>
        <v>0</v>
      </c>
      <c r="BC47" s="109">
        <f ca="1">IFERROR(VLOOKUP(E47-15,'Reeksen (N)'!$A$5:$D$234,4,FALSE),0)</f>
        <v>0</v>
      </c>
      <c r="BD47" s="67">
        <f ca="1">IF(E47-'Invoer gegevens (N)'!$C$17&lt;15,0,1)</f>
        <v>1</v>
      </c>
    </row>
    <row r="48" spans="1:56" x14ac:dyDescent="0.25">
      <c r="A48" s="59"/>
      <c r="B48" s="70">
        <f t="shared" si="14"/>
        <v>44</v>
      </c>
      <c r="C48" s="67">
        <f ca="1">IF(E48-'Invoer gegevens (N)'!$C$17&lt;0,0,1)</f>
        <v>1</v>
      </c>
      <c r="D48" s="68">
        <f t="shared" si="15"/>
        <v>43.5</v>
      </c>
      <c r="E48" s="108">
        <f ca="1">IF('Invoer gegevens (N)'!$C$16="","",E47+1)</f>
        <v>2062</v>
      </c>
      <c r="F48" s="84">
        <f ca="1">IF('Invoer gegevens (N)'!$C$17=E48,'Invoer gegevens (N)'!$C$10,IF(C48=1,K47,0))</f>
        <v>0</v>
      </c>
      <c r="G48" s="96">
        <f ca="1">IF(BD48&lt;1,F48*'Reeksen (N)'!C48,IF(C48&gt;=1,F48*BA48,0))</f>
        <v>0</v>
      </c>
      <c r="H48" s="84">
        <f ca="1">(1-('Invoer gegevens (N)'!$F$20/12))*F48*MIN(BA48,BC48)</f>
        <v>0</v>
      </c>
      <c r="I48" s="84">
        <f t="shared" ca="1" si="0"/>
        <v>0</v>
      </c>
      <c r="J48" s="84">
        <f ca="1">('Invoer gegevens (N)'!$F$20/12)*F47*MIN(BA48,BC48)</f>
        <v>0</v>
      </c>
      <c r="K48" s="97">
        <f t="shared" ca="1" si="5"/>
        <v>0</v>
      </c>
      <c r="L48" s="84">
        <f ca="1">IF('Invoer gegevens (N)'!$C$17=E48,0,IF(C48=1,Q47,0))</f>
        <v>0</v>
      </c>
      <c r="M48" s="96">
        <f t="shared" ca="1" si="1"/>
        <v>0</v>
      </c>
      <c r="N48" s="84">
        <f ca="1">(1-('Invoer gegevens (N)'!$F$20/12))*L48*MIN(BA48,BC48)</f>
        <v>0</v>
      </c>
      <c r="O48" s="84">
        <f t="shared" ca="1" si="2"/>
        <v>0</v>
      </c>
      <c r="P48" s="84">
        <f ca="1">('Invoer gegevens (N)'!$F$20/12)*L47*MIN(BA48,BC48)</f>
        <v>0</v>
      </c>
      <c r="Q48" s="84">
        <f t="shared" ca="1" si="6"/>
        <v>0</v>
      </c>
      <c r="R48" s="85">
        <f ca="1">IF('Invoer gegevens (N)'!$C$17=E48,'Invoer gegevens (N)'!$C$11,IF(C48=1,W47,0))</f>
        <v>0</v>
      </c>
      <c r="S48" s="86">
        <f t="shared" ca="1" si="3"/>
        <v>0</v>
      </c>
      <c r="T48" s="86">
        <f ca="1">(1-('Invoer gegevens (N)'!$F$20/12))*R48*MIN(BC48,BA48)</f>
        <v>0</v>
      </c>
      <c r="U48" s="86">
        <f ca="1">IF(BD48&lt;1,IF('Reeksen (N)'!AD48&lt;='Reeksen (N)'!AE48,R48*'Reeksen (N)'!C48,0),IF(BC48&gt;=BA48,0,IF('Reeksen (N)'!AD48&lt;='Reeksen (N)'!AE48,(BA48-BC48)*R48,0)))</f>
        <v>0</v>
      </c>
      <c r="V48" s="86">
        <f ca="1">IF(BD48&lt;1,IF('Reeksen (N)'!AD48&gt;'Reeksen (N)'!AE48,R48*'Reeksen (N)'!C48,0),IF(BC48&gt;=BA48,0,IF('Reeksen (N)'!AD48&gt;'Reeksen (N)'!AE48,(BA48-BC48)*R48,0)))</f>
        <v>0</v>
      </c>
      <c r="W48" s="218">
        <f t="shared" ca="1" si="7"/>
        <v>0</v>
      </c>
      <c r="X48" s="98">
        <f ca="1">IF('Invoer gegevens (N)'!$C$17=E48,'Invoer gegevens (N)'!$C$10-'Invoer gegevens (N)'!$C$11,IF(C48=1,AC47,0))</f>
        <v>0</v>
      </c>
      <c r="Y48" s="98">
        <f t="shared" ca="1" si="4"/>
        <v>0</v>
      </c>
      <c r="Z48" s="98">
        <f ca="1">(1-('Invoer gegevens (N)'!$F$20/12))*X48*MIN(BA48,BC48)</f>
        <v>0</v>
      </c>
      <c r="AA48" s="98">
        <f ca="1">IF(BD48&lt;1,IF('Reeksen (N)'!AD48&lt;='Reeksen (N)'!AE48,X48*'Reeksen (N)'!C48,0),IF(BC48&gt;=BA48,0,IF('Reeksen (N)'!AD48&lt;='Reeksen (N)'!AE48,(BA48-BC48)*X48,0)))</f>
        <v>0</v>
      </c>
      <c r="AB48" s="98">
        <f ca="1">IF(BD48&lt;1,IF('Reeksen (N)'!AD48&gt;'Reeksen (N)'!AE48,X48*'Reeksen (N)'!C48,0),IF(BC48&gt;=BA48,0,IF('Reeksen (N)'!AD48&gt;'Reeksen (N)'!AE48,(BA48-BC48)*X48,0)))</f>
        <v>0</v>
      </c>
      <c r="AC48" s="99">
        <f t="shared" ca="1" si="8"/>
        <v>0</v>
      </c>
      <c r="AD48" s="98">
        <f ca="1">IF('Invoer gegevens (N)'!$C$17=E48,R48,IF(C48=0,0,AE47))</f>
        <v>0</v>
      </c>
      <c r="AE48" s="98">
        <f t="shared" ca="1" si="9"/>
        <v>0</v>
      </c>
      <c r="AF48" s="98">
        <f ca="1">IF('Invoer gegevens (N)'!$C$17=E48,X48,IF(C48=0,0,AG47))</f>
        <v>0</v>
      </c>
      <c r="AG48" s="98">
        <f t="shared" ca="1" si="10"/>
        <v>0</v>
      </c>
      <c r="AH48" s="66"/>
      <c r="AI48" s="71">
        <f ca="1">IF(C48=1,'Reeksen (N)'!AI48*((F48+K48)/2)*12+'Reeksen (N)'!AD48*((L48+Q48)/2)*12,0)</f>
        <v>0</v>
      </c>
      <c r="AJ48" s="71">
        <f ca="1">-AI48*'Invoer gegevens (N)'!$F$28</f>
        <v>0</v>
      </c>
      <c r="AK48" s="71">
        <f t="shared" ca="1" si="11"/>
        <v>0</v>
      </c>
      <c r="AL48" s="71">
        <f ca="1">IF(C48=1,'Reeksen (N)'!AL48*((F48-G48+F48)/2)*12+'Reeksen (N)'!AM48*((L48-M48+L48)/2)*12,0)</f>
        <v>0</v>
      </c>
      <c r="AM48" s="71">
        <f ca="1">-AL48*'Invoer gegevens (N)'!$F$31</f>
        <v>0</v>
      </c>
      <c r="AN48" s="71">
        <f t="shared" ca="1" si="12"/>
        <v>0</v>
      </c>
      <c r="AO48" s="71">
        <f ca="1">IF(C48=1,(H48+J48+N48+P48)*'Reeksen (N)'!AN48,0)</f>
        <v>0</v>
      </c>
      <c r="AP48" s="71">
        <f ca="1">-IF(C48=1,(H48+J48+N48+P48)*'Hulp - basis'!$O$550*'Reeksen (N)'!H48,0)</f>
        <v>0</v>
      </c>
      <c r="AQ48" s="71">
        <f ca="1">-IF(C48=1,(F48+K48+L48+Q48)/2*'Invoer gegevens (N)'!$F$35*'Reeksen (N)'!J48,0)*2</f>
        <v>0</v>
      </c>
      <c r="AR48" s="71">
        <f ca="1">IF(BD48&lt;1,-IF(C48=1,(G48*'Invoer gegevens (N)'!$F$36)*'Reeksen (N)'!J48,0),0)</f>
        <v>0</v>
      </c>
      <c r="AS48" s="71">
        <f ca="1">-IF(C48=1,(F48+K48+L48+Q48)/2*'Invoer gegevens (N)'!$F$37*'Reeksen (N)'!L48,0)</f>
        <v>0</v>
      </c>
      <c r="AT48" s="71">
        <f ca="1">-IF(C48=1,IF(E48='Invoer gegevens (N)'!$C$17,'Invoer gegevens (N)'!$C$11,AD48)*'Reeksen (N)'!S48*'Invoer gegevens (N)'!$C$18*'Reeksen (N)'!P48,0)</f>
        <v>0</v>
      </c>
      <c r="AU48" s="71">
        <f ca="1">-IF(C48=1,(F48+K48+L48+Q48)/2*'Invoer gegevens (N)'!$F$38*'Reeksen (N)'!H48,0)</f>
        <v>0</v>
      </c>
      <c r="AV48" s="71">
        <v>0</v>
      </c>
      <c r="AW48" s="71">
        <f t="shared" ca="1" si="13"/>
        <v>0</v>
      </c>
      <c r="AX48" s="71">
        <f ca="1">IF(E48&lt;'Invoer gegevens (N)'!$C$17+15,0,IF(E48&gt;'Invoer gegevens (N)'!$C$17+215,0,AW48))</f>
        <v>0</v>
      </c>
      <c r="AY48" s="71">
        <f ca="1">AX48/(1+'Invoer gegevens (N)'!$F$18)^($AZ48-('Invoer gegevens (N)'!$C$17-'Invoer gegevens (N)'!$C$16))/(1+'Invoer gegevens (N)'!$C$39)^('Invoer gegevens (N)'!$C$17-'Invoer gegevens (N)'!$C$16)</f>
        <v>0</v>
      </c>
      <c r="AZ48" s="68">
        <f ca="1">IF(E48-'Invoer gegevens (N)'!$C$17-14.5&lt;0,0,E48-'Invoer gegevens (N)'!$C$17-14.5)</f>
        <v>28.5</v>
      </c>
      <c r="BA48" s="109">
        <f ca="1">IFERROR(VLOOKUP(E48-15,'Reeksen (N)'!$A$5:$D$234,2,FALSE),0)</f>
        <v>0</v>
      </c>
      <c r="BB48" s="109">
        <f ca="1">IFERROR(VLOOKUP(E48-15,'Reeksen (N)'!$A$5:$D$234,3,FALSE),0)</f>
        <v>0</v>
      </c>
      <c r="BC48" s="109">
        <f ca="1">IFERROR(VLOOKUP(E48-15,'Reeksen (N)'!$A$5:$D$234,4,FALSE),0)</f>
        <v>0</v>
      </c>
      <c r="BD48" s="67">
        <f ca="1">IF(E48-'Invoer gegevens (N)'!$C$17&lt;15,0,1)</f>
        <v>1</v>
      </c>
    </row>
    <row r="49" spans="1:56" x14ac:dyDescent="0.25">
      <c r="A49" s="59"/>
      <c r="B49" s="70">
        <f t="shared" si="14"/>
        <v>45</v>
      </c>
      <c r="C49" s="67">
        <f ca="1">IF(E49-'Invoer gegevens (N)'!$C$17&lt;0,0,1)</f>
        <v>1</v>
      </c>
      <c r="D49" s="68">
        <f t="shared" si="15"/>
        <v>44.5</v>
      </c>
      <c r="E49" s="108">
        <f ca="1">IF('Invoer gegevens (N)'!$C$16="","",E48+1)</f>
        <v>2063</v>
      </c>
      <c r="F49" s="84">
        <f ca="1">IF('Invoer gegevens (N)'!$C$17=E49,'Invoer gegevens (N)'!$C$10,IF(C49=1,K48,0))</f>
        <v>0</v>
      </c>
      <c r="G49" s="96">
        <f ca="1">IF(BD49&lt;1,F49*'Reeksen (N)'!C49,IF(C49&gt;=1,F49*BA49,0))</f>
        <v>0</v>
      </c>
      <c r="H49" s="84">
        <f ca="1">(1-('Invoer gegevens (N)'!$F$20/12))*F49*MIN(BA49,BC49)</f>
        <v>0</v>
      </c>
      <c r="I49" s="84">
        <f t="shared" ca="1" si="0"/>
        <v>0</v>
      </c>
      <c r="J49" s="84">
        <f ca="1">('Invoer gegevens (N)'!$F$20/12)*F48*MIN(BA49,BC49)</f>
        <v>0</v>
      </c>
      <c r="K49" s="97">
        <f t="shared" ca="1" si="5"/>
        <v>0</v>
      </c>
      <c r="L49" s="84">
        <f ca="1">IF('Invoer gegevens (N)'!$C$17=E49,0,IF(C49=1,Q48,0))</f>
        <v>0</v>
      </c>
      <c r="M49" s="96">
        <f t="shared" ca="1" si="1"/>
        <v>0</v>
      </c>
      <c r="N49" s="84">
        <f ca="1">(1-('Invoer gegevens (N)'!$F$20/12))*L49*MIN(BA49,BC49)</f>
        <v>0</v>
      </c>
      <c r="O49" s="84">
        <f t="shared" ca="1" si="2"/>
        <v>0</v>
      </c>
      <c r="P49" s="84">
        <f ca="1">('Invoer gegevens (N)'!$F$20/12)*L48*MIN(BA49,BC49)</f>
        <v>0</v>
      </c>
      <c r="Q49" s="84">
        <f t="shared" ca="1" si="6"/>
        <v>0</v>
      </c>
      <c r="R49" s="85">
        <f ca="1">IF('Invoer gegevens (N)'!$C$17=E49,'Invoer gegevens (N)'!$C$11,IF(C49=1,W48,0))</f>
        <v>0</v>
      </c>
      <c r="S49" s="86">
        <f t="shared" ca="1" si="3"/>
        <v>0</v>
      </c>
      <c r="T49" s="86">
        <f ca="1">(1-('Invoer gegevens (N)'!$F$20/12))*R49*MIN(BC49,BA49)</f>
        <v>0</v>
      </c>
      <c r="U49" s="86">
        <f ca="1">IF(BD49&lt;1,IF('Reeksen (N)'!AD49&lt;='Reeksen (N)'!AE49,R49*'Reeksen (N)'!C49,0),IF(BC49&gt;=BA49,0,IF('Reeksen (N)'!AD49&lt;='Reeksen (N)'!AE49,(BA49-BC49)*R49,0)))</f>
        <v>0</v>
      </c>
      <c r="V49" s="86">
        <f ca="1">IF(BD49&lt;1,IF('Reeksen (N)'!AD49&gt;'Reeksen (N)'!AE49,R49*'Reeksen (N)'!C49,0),IF(BC49&gt;=BA49,0,IF('Reeksen (N)'!AD49&gt;'Reeksen (N)'!AE49,(BA49-BC49)*R49,0)))</f>
        <v>0</v>
      </c>
      <c r="W49" s="218">
        <f t="shared" ca="1" si="7"/>
        <v>0</v>
      </c>
      <c r="X49" s="98">
        <f ca="1">IF('Invoer gegevens (N)'!$C$17=E49,'Invoer gegevens (N)'!$C$10-'Invoer gegevens (N)'!$C$11,IF(C49=1,AC48,0))</f>
        <v>0</v>
      </c>
      <c r="Y49" s="98">
        <f t="shared" ca="1" si="4"/>
        <v>0</v>
      </c>
      <c r="Z49" s="98">
        <f ca="1">(1-('Invoer gegevens (N)'!$F$20/12))*X49*MIN(BA49,BC49)</f>
        <v>0</v>
      </c>
      <c r="AA49" s="98">
        <f ca="1">IF(BD49&lt;1,IF('Reeksen (N)'!AD49&lt;='Reeksen (N)'!AE49,X49*'Reeksen (N)'!C49,0),IF(BC49&gt;=BA49,0,IF('Reeksen (N)'!AD49&lt;='Reeksen (N)'!AE49,(BA49-BC49)*X49,0)))</f>
        <v>0</v>
      </c>
      <c r="AB49" s="98">
        <f ca="1">IF(BD49&lt;1,IF('Reeksen (N)'!AD49&gt;'Reeksen (N)'!AE49,X49*'Reeksen (N)'!C49,0),IF(BC49&gt;=BA49,0,IF('Reeksen (N)'!AD49&gt;'Reeksen (N)'!AE49,(BA49-BC49)*X49,0)))</f>
        <v>0</v>
      </c>
      <c r="AC49" s="99">
        <f t="shared" ca="1" si="8"/>
        <v>0</v>
      </c>
      <c r="AD49" s="98">
        <f ca="1">IF('Invoer gegevens (N)'!$C$17=E49,R49,IF(C49=0,0,AE48))</f>
        <v>0</v>
      </c>
      <c r="AE49" s="98">
        <f t="shared" ca="1" si="9"/>
        <v>0</v>
      </c>
      <c r="AF49" s="98">
        <f ca="1">IF('Invoer gegevens (N)'!$C$17=E49,X49,IF(C49=0,0,AG48))</f>
        <v>0</v>
      </c>
      <c r="AG49" s="98">
        <f t="shared" ca="1" si="10"/>
        <v>0</v>
      </c>
      <c r="AH49" s="66"/>
      <c r="AI49" s="71">
        <f ca="1">IF(C49=1,'Reeksen (N)'!AI49*((F49+K49)/2)*12+'Reeksen (N)'!AD49*((L49+Q49)/2)*12,0)</f>
        <v>0</v>
      </c>
      <c r="AJ49" s="71">
        <f ca="1">-AI49*'Invoer gegevens (N)'!$F$28</f>
        <v>0</v>
      </c>
      <c r="AK49" s="71">
        <f t="shared" ca="1" si="11"/>
        <v>0</v>
      </c>
      <c r="AL49" s="71">
        <f ca="1">IF(C49=1,'Reeksen (N)'!AL49*((F49-G49+F49)/2)*12+'Reeksen (N)'!AM49*((L49-M49+L49)/2)*12,0)</f>
        <v>0</v>
      </c>
      <c r="AM49" s="71">
        <f ca="1">-AL49*'Invoer gegevens (N)'!$F$31</f>
        <v>0</v>
      </c>
      <c r="AN49" s="71">
        <f t="shared" ca="1" si="12"/>
        <v>0</v>
      </c>
      <c r="AO49" s="71">
        <f ca="1">IF(C49=1,(H49+J49+N49+P49)*'Reeksen (N)'!AN49,0)</f>
        <v>0</v>
      </c>
      <c r="AP49" s="71">
        <f ca="1">-IF(C49=1,(H49+J49+N49+P49)*'Hulp - basis'!$O$550*'Reeksen (N)'!H49,0)</f>
        <v>0</v>
      </c>
      <c r="AQ49" s="71">
        <f ca="1">-IF(C49=1,(F49+K49+L49+Q49)/2*'Invoer gegevens (N)'!$F$35*'Reeksen (N)'!J49,0)*2</f>
        <v>0</v>
      </c>
      <c r="AR49" s="71">
        <f ca="1">IF(BD49&lt;1,-IF(C49=1,(G49*'Invoer gegevens (N)'!$F$36)*'Reeksen (N)'!J49,0),0)</f>
        <v>0</v>
      </c>
      <c r="AS49" s="71">
        <f ca="1">-IF(C49=1,(F49+K49+L49+Q49)/2*'Invoer gegevens (N)'!$F$37*'Reeksen (N)'!L49,0)</f>
        <v>0</v>
      </c>
      <c r="AT49" s="71">
        <f ca="1">-IF(C49=1,IF(E49='Invoer gegevens (N)'!$C$17,'Invoer gegevens (N)'!$C$11,AD49)*'Reeksen (N)'!S49*'Invoer gegevens (N)'!$C$18*'Reeksen (N)'!P49,0)</f>
        <v>0</v>
      </c>
      <c r="AU49" s="71">
        <f ca="1">-IF(C49=1,(F49+K49+L49+Q49)/2*'Invoer gegevens (N)'!$F$38*'Reeksen (N)'!H49,0)</f>
        <v>0</v>
      </c>
      <c r="AV49" s="71">
        <v>0</v>
      </c>
      <c r="AW49" s="71">
        <f t="shared" ca="1" si="13"/>
        <v>0</v>
      </c>
      <c r="AX49" s="71">
        <f ca="1">IF(E49&lt;'Invoer gegevens (N)'!$C$17+15,0,IF(E49&gt;'Invoer gegevens (N)'!$C$17+215,0,AW49))</f>
        <v>0</v>
      </c>
      <c r="AY49" s="71">
        <f ca="1">AX49/(1+'Invoer gegevens (N)'!$F$18)^($AZ49-('Invoer gegevens (N)'!$C$17-'Invoer gegevens (N)'!$C$16))/(1+'Invoer gegevens (N)'!$C$39)^('Invoer gegevens (N)'!$C$17-'Invoer gegevens (N)'!$C$16)</f>
        <v>0</v>
      </c>
      <c r="AZ49" s="68">
        <f ca="1">IF(E49-'Invoer gegevens (N)'!$C$17-14.5&lt;0,0,E49-'Invoer gegevens (N)'!$C$17-14.5)</f>
        <v>29.5</v>
      </c>
      <c r="BA49" s="109">
        <f ca="1">IFERROR(VLOOKUP(E49-15,'Reeksen (N)'!$A$5:$D$234,2,FALSE),0)</f>
        <v>0</v>
      </c>
      <c r="BB49" s="109">
        <f ca="1">IFERROR(VLOOKUP(E49-15,'Reeksen (N)'!$A$5:$D$234,3,FALSE),0)</f>
        <v>0</v>
      </c>
      <c r="BC49" s="109">
        <f ca="1">IFERROR(VLOOKUP(E49-15,'Reeksen (N)'!$A$5:$D$234,4,FALSE),0)</f>
        <v>0</v>
      </c>
      <c r="BD49" s="67">
        <f ca="1">IF(E49-'Invoer gegevens (N)'!$C$17&lt;15,0,1)</f>
        <v>1</v>
      </c>
    </row>
    <row r="50" spans="1:56" x14ac:dyDescent="0.25">
      <c r="A50" s="59"/>
      <c r="B50" s="70">
        <f t="shared" si="14"/>
        <v>46</v>
      </c>
      <c r="C50" s="67">
        <f ca="1">IF(E50-'Invoer gegevens (N)'!$C$17&lt;0,0,1)</f>
        <v>1</v>
      </c>
      <c r="D50" s="68">
        <f t="shared" si="15"/>
        <v>45.5</v>
      </c>
      <c r="E50" s="108">
        <f ca="1">IF('Invoer gegevens (N)'!$C$16="","",E49+1)</f>
        <v>2064</v>
      </c>
      <c r="F50" s="84">
        <f ca="1">IF('Invoer gegevens (N)'!$C$17=E50,'Invoer gegevens (N)'!$C$10,IF(C50=1,K49,0))</f>
        <v>0</v>
      </c>
      <c r="G50" s="96">
        <f ca="1">IF(BD50&lt;1,F50*'Reeksen (N)'!C50,IF(C50&gt;=1,F50*BA50,0))</f>
        <v>0</v>
      </c>
      <c r="H50" s="84">
        <f ca="1">(1-('Invoer gegevens (N)'!$F$20/12))*F50*MIN(BA50,BC50)</f>
        <v>0</v>
      </c>
      <c r="I50" s="84">
        <f t="shared" ca="1" si="0"/>
        <v>0</v>
      </c>
      <c r="J50" s="84">
        <f ca="1">('Invoer gegevens (N)'!$F$20/12)*F49*MIN(BA50,BC50)</f>
        <v>0</v>
      </c>
      <c r="K50" s="97">
        <f t="shared" ca="1" si="5"/>
        <v>0</v>
      </c>
      <c r="L50" s="84">
        <f ca="1">IF('Invoer gegevens (N)'!$C$17=E50,0,IF(C50=1,Q49,0))</f>
        <v>0</v>
      </c>
      <c r="M50" s="96">
        <f t="shared" ca="1" si="1"/>
        <v>0</v>
      </c>
      <c r="N50" s="84">
        <f ca="1">(1-('Invoer gegevens (N)'!$F$20/12))*L50*MIN(BA50,BC50)</f>
        <v>0</v>
      </c>
      <c r="O50" s="84">
        <f t="shared" ca="1" si="2"/>
        <v>0</v>
      </c>
      <c r="P50" s="84">
        <f ca="1">('Invoer gegevens (N)'!$F$20/12)*L49*MIN(BA50,BC50)</f>
        <v>0</v>
      </c>
      <c r="Q50" s="84">
        <f t="shared" ca="1" si="6"/>
        <v>0</v>
      </c>
      <c r="R50" s="85">
        <f ca="1">IF('Invoer gegevens (N)'!$C$17=E50,'Invoer gegevens (N)'!$C$11,IF(C50=1,W49,0))</f>
        <v>0</v>
      </c>
      <c r="S50" s="86">
        <f t="shared" ca="1" si="3"/>
        <v>0</v>
      </c>
      <c r="T50" s="86">
        <f ca="1">(1-('Invoer gegevens (N)'!$F$20/12))*R50*MIN(BC50,BA50)</f>
        <v>0</v>
      </c>
      <c r="U50" s="86">
        <f ca="1">IF(BD50&lt;1,IF('Reeksen (N)'!AD50&lt;='Reeksen (N)'!AE50,R50*'Reeksen (N)'!C50,0),IF(BC50&gt;=BA50,0,IF('Reeksen (N)'!AD50&lt;='Reeksen (N)'!AE50,(BA50-BC50)*R50,0)))</f>
        <v>0</v>
      </c>
      <c r="V50" s="86">
        <f ca="1">IF(BD50&lt;1,IF('Reeksen (N)'!AD50&gt;'Reeksen (N)'!AE50,R50*'Reeksen (N)'!C50,0),IF(BC50&gt;=BA50,0,IF('Reeksen (N)'!AD50&gt;'Reeksen (N)'!AE50,(BA50-BC50)*R50,0)))</f>
        <v>0</v>
      </c>
      <c r="W50" s="218">
        <f t="shared" ca="1" si="7"/>
        <v>0</v>
      </c>
      <c r="X50" s="98">
        <f ca="1">IF('Invoer gegevens (N)'!$C$17=E50,'Invoer gegevens (N)'!$C$10-'Invoer gegevens (N)'!$C$11,IF(C50=1,AC49,0))</f>
        <v>0</v>
      </c>
      <c r="Y50" s="98">
        <f t="shared" ca="1" si="4"/>
        <v>0</v>
      </c>
      <c r="Z50" s="98">
        <f ca="1">(1-('Invoer gegevens (N)'!$F$20/12))*X50*MIN(BA50,BC50)</f>
        <v>0</v>
      </c>
      <c r="AA50" s="98">
        <f ca="1">IF(BD50&lt;1,IF('Reeksen (N)'!AD50&lt;='Reeksen (N)'!AE50,X50*'Reeksen (N)'!C50,0),IF(BC50&gt;=BA50,0,IF('Reeksen (N)'!AD50&lt;='Reeksen (N)'!AE50,(BA50-BC50)*X50,0)))</f>
        <v>0</v>
      </c>
      <c r="AB50" s="98">
        <f ca="1">IF(BD50&lt;1,IF('Reeksen (N)'!AD50&gt;'Reeksen (N)'!AE50,X50*'Reeksen (N)'!C50,0),IF(BC50&gt;=BA50,0,IF('Reeksen (N)'!AD50&gt;'Reeksen (N)'!AE50,(BA50-BC50)*X50,0)))</f>
        <v>0</v>
      </c>
      <c r="AC50" s="99">
        <f t="shared" ca="1" si="8"/>
        <v>0</v>
      </c>
      <c r="AD50" s="98">
        <f ca="1">IF('Invoer gegevens (N)'!$C$17=E50,R50,IF(C50=0,0,AE49))</f>
        <v>0</v>
      </c>
      <c r="AE50" s="98">
        <f t="shared" ca="1" si="9"/>
        <v>0</v>
      </c>
      <c r="AF50" s="98">
        <f ca="1">IF('Invoer gegevens (N)'!$C$17=E50,X50,IF(C50=0,0,AG49))</f>
        <v>0</v>
      </c>
      <c r="AG50" s="98">
        <f t="shared" ca="1" si="10"/>
        <v>0</v>
      </c>
      <c r="AH50" s="66"/>
      <c r="AI50" s="71">
        <f ca="1">IF(C50=1,'Reeksen (N)'!AI50*((F50+K50)/2)*12+'Reeksen (N)'!AD50*((L50+Q50)/2)*12,0)</f>
        <v>0</v>
      </c>
      <c r="AJ50" s="71">
        <f ca="1">-AI50*'Invoer gegevens (N)'!$F$28</f>
        <v>0</v>
      </c>
      <c r="AK50" s="71">
        <f t="shared" ca="1" si="11"/>
        <v>0</v>
      </c>
      <c r="AL50" s="71">
        <f ca="1">IF(C50=1,'Reeksen (N)'!AL50*((F50-G50+F50)/2)*12+'Reeksen (N)'!AM50*((L50-M50+L50)/2)*12,0)</f>
        <v>0</v>
      </c>
      <c r="AM50" s="71">
        <f ca="1">-AL50*'Invoer gegevens (N)'!$F$31</f>
        <v>0</v>
      </c>
      <c r="AN50" s="71">
        <f t="shared" ca="1" si="12"/>
        <v>0</v>
      </c>
      <c r="AO50" s="71">
        <f ca="1">IF(C50=1,(H50+J50+N50+P50)*'Reeksen (N)'!AN50,0)</f>
        <v>0</v>
      </c>
      <c r="AP50" s="71">
        <f ca="1">-IF(C50=1,(H50+J50+N50+P50)*'Hulp - basis'!$O$550*'Reeksen (N)'!H50,0)</f>
        <v>0</v>
      </c>
      <c r="AQ50" s="71">
        <f ca="1">-IF(C50=1,(F50+K50+L50+Q50)/2*'Invoer gegevens (N)'!$F$35*'Reeksen (N)'!J50,0)*2</f>
        <v>0</v>
      </c>
      <c r="AR50" s="71">
        <f ca="1">IF(BD50&lt;1,-IF(C50=1,(G50*'Invoer gegevens (N)'!$F$36)*'Reeksen (N)'!J50,0),0)</f>
        <v>0</v>
      </c>
      <c r="AS50" s="71">
        <f ca="1">-IF(C50=1,(F50+K50+L50+Q50)/2*'Invoer gegevens (N)'!$F$37*'Reeksen (N)'!L50,0)</f>
        <v>0</v>
      </c>
      <c r="AT50" s="71">
        <f ca="1">-IF(C50=1,IF(E50='Invoer gegevens (N)'!$C$17,'Invoer gegevens (N)'!$C$11,AD50)*'Reeksen (N)'!S50*'Invoer gegevens (N)'!$C$18*'Reeksen (N)'!P50,0)</f>
        <v>0</v>
      </c>
      <c r="AU50" s="71">
        <f ca="1">-IF(C50=1,(F50+K50+L50+Q50)/2*'Invoer gegevens (N)'!$F$38*'Reeksen (N)'!H50,0)</f>
        <v>0</v>
      </c>
      <c r="AV50" s="71">
        <v>0</v>
      </c>
      <c r="AW50" s="71">
        <f t="shared" ca="1" si="13"/>
        <v>0</v>
      </c>
      <c r="AX50" s="71">
        <f ca="1">IF(E50&lt;'Invoer gegevens (N)'!$C$17+15,0,IF(E50&gt;'Invoer gegevens (N)'!$C$17+215,0,AW50))</f>
        <v>0</v>
      </c>
      <c r="AY50" s="71">
        <f ca="1">AX50/(1+'Invoer gegevens (N)'!$F$18)^($AZ50-('Invoer gegevens (N)'!$C$17-'Invoer gegevens (N)'!$C$16))/(1+'Invoer gegevens (N)'!$C$39)^('Invoer gegevens (N)'!$C$17-'Invoer gegevens (N)'!$C$16)</f>
        <v>0</v>
      </c>
      <c r="AZ50" s="68">
        <f ca="1">IF(E50-'Invoer gegevens (N)'!$C$17-14.5&lt;0,0,E50-'Invoer gegevens (N)'!$C$17-14.5)</f>
        <v>30.5</v>
      </c>
      <c r="BA50" s="109">
        <f ca="1">IFERROR(VLOOKUP(E50-15,'Reeksen (N)'!$A$5:$D$234,2,FALSE),0)</f>
        <v>0</v>
      </c>
      <c r="BB50" s="109">
        <f ca="1">IFERROR(VLOOKUP(E50-15,'Reeksen (N)'!$A$5:$D$234,3,FALSE),0)</f>
        <v>0</v>
      </c>
      <c r="BC50" s="109">
        <f ca="1">IFERROR(VLOOKUP(E50-15,'Reeksen (N)'!$A$5:$D$234,4,FALSE),0)</f>
        <v>0</v>
      </c>
      <c r="BD50" s="67">
        <f ca="1">IF(E50-'Invoer gegevens (N)'!$C$17&lt;15,0,1)</f>
        <v>1</v>
      </c>
    </row>
    <row r="51" spans="1:56" x14ac:dyDescent="0.25">
      <c r="A51" s="59"/>
      <c r="B51" s="70">
        <f t="shared" si="14"/>
        <v>47</v>
      </c>
      <c r="C51" s="67">
        <f ca="1">IF(E51-'Invoer gegevens (N)'!$C$17&lt;0,0,1)</f>
        <v>1</v>
      </c>
      <c r="D51" s="68">
        <f t="shared" si="15"/>
        <v>46.5</v>
      </c>
      <c r="E51" s="108">
        <f ca="1">IF('Invoer gegevens (N)'!$C$16="","",E50+1)</f>
        <v>2065</v>
      </c>
      <c r="F51" s="84">
        <f ca="1">IF('Invoer gegevens (N)'!$C$17=E51,'Invoer gegevens (N)'!$C$10,IF(C51=1,K50,0))</f>
        <v>0</v>
      </c>
      <c r="G51" s="96">
        <f ca="1">IF(BD51&lt;1,F51*'Reeksen (N)'!C51,IF(C51&gt;=1,F51*BA51,0))</f>
        <v>0</v>
      </c>
      <c r="H51" s="84">
        <f ca="1">(1-('Invoer gegevens (N)'!$F$20/12))*F51*MIN(BA51,BC51)</f>
        <v>0</v>
      </c>
      <c r="I51" s="84">
        <f t="shared" ca="1" si="0"/>
        <v>0</v>
      </c>
      <c r="J51" s="84">
        <f ca="1">('Invoer gegevens (N)'!$F$20/12)*F50*MIN(BA51,BC51)</f>
        <v>0</v>
      </c>
      <c r="K51" s="97">
        <f t="shared" ca="1" si="5"/>
        <v>0</v>
      </c>
      <c r="L51" s="84">
        <f ca="1">IF('Invoer gegevens (N)'!$C$17=E51,0,IF(C51=1,Q50,0))</f>
        <v>0</v>
      </c>
      <c r="M51" s="96">
        <f t="shared" ca="1" si="1"/>
        <v>0</v>
      </c>
      <c r="N51" s="84">
        <f ca="1">(1-('Invoer gegevens (N)'!$F$20/12))*L51*MIN(BA51,BC51)</f>
        <v>0</v>
      </c>
      <c r="O51" s="84">
        <f t="shared" ca="1" si="2"/>
        <v>0</v>
      </c>
      <c r="P51" s="84">
        <f ca="1">('Invoer gegevens (N)'!$F$20/12)*L50*MIN(BA51,BC51)</f>
        <v>0</v>
      </c>
      <c r="Q51" s="84">
        <f t="shared" ca="1" si="6"/>
        <v>0</v>
      </c>
      <c r="R51" s="85">
        <f ca="1">IF('Invoer gegevens (N)'!$C$17=E51,'Invoer gegevens (N)'!$C$11,IF(C51=1,W50,0))</f>
        <v>0</v>
      </c>
      <c r="S51" s="86">
        <f t="shared" ca="1" si="3"/>
        <v>0</v>
      </c>
      <c r="T51" s="86">
        <f ca="1">(1-('Invoer gegevens (N)'!$F$20/12))*R51*MIN(BC51,BA51)</f>
        <v>0</v>
      </c>
      <c r="U51" s="86">
        <f ca="1">IF(BD51&lt;1,IF('Reeksen (N)'!AD51&lt;='Reeksen (N)'!AE51,R51*'Reeksen (N)'!C51,0),IF(BC51&gt;=BA51,0,IF('Reeksen (N)'!AD51&lt;='Reeksen (N)'!AE51,(BA51-BC51)*R51,0)))</f>
        <v>0</v>
      </c>
      <c r="V51" s="86">
        <f ca="1">IF(BD51&lt;1,IF('Reeksen (N)'!AD51&gt;'Reeksen (N)'!AE51,R51*'Reeksen (N)'!C51,0),IF(BC51&gt;=BA51,0,IF('Reeksen (N)'!AD51&gt;'Reeksen (N)'!AE51,(BA51-BC51)*R51,0)))</f>
        <v>0</v>
      </c>
      <c r="W51" s="218">
        <f t="shared" ca="1" si="7"/>
        <v>0</v>
      </c>
      <c r="X51" s="98">
        <f ca="1">IF('Invoer gegevens (N)'!$C$17=E51,'Invoer gegevens (N)'!$C$10-'Invoer gegevens (N)'!$C$11,IF(C51=1,AC50,0))</f>
        <v>0</v>
      </c>
      <c r="Y51" s="98">
        <f t="shared" ca="1" si="4"/>
        <v>0</v>
      </c>
      <c r="Z51" s="98">
        <f ca="1">(1-('Invoer gegevens (N)'!$F$20/12))*X51*MIN(BA51,BC51)</f>
        <v>0</v>
      </c>
      <c r="AA51" s="98">
        <f ca="1">IF(BD51&lt;1,IF('Reeksen (N)'!AD51&lt;='Reeksen (N)'!AE51,X51*'Reeksen (N)'!C51,0),IF(BC51&gt;=BA51,0,IF('Reeksen (N)'!AD51&lt;='Reeksen (N)'!AE51,(BA51-BC51)*X51,0)))</f>
        <v>0</v>
      </c>
      <c r="AB51" s="98">
        <f ca="1">IF(BD51&lt;1,IF('Reeksen (N)'!AD51&gt;'Reeksen (N)'!AE51,X51*'Reeksen (N)'!C51,0),IF(BC51&gt;=BA51,0,IF('Reeksen (N)'!AD51&gt;'Reeksen (N)'!AE51,(BA51-BC51)*X51,0)))</f>
        <v>0</v>
      </c>
      <c r="AC51" s="99">
        <f t="shared" ca="1" si="8"/>
        <v>0</v>
      </c>
      <c r="AD51" s="98">
        <f ca="1">IF('Invoer gegevens (N)'!$C$17=E51,R51,IF(C51=0,0,AE50))</f>
        <v>0</v>
      </c>
      <c r="AE51" s="98">
        <f t="shared" ca="1" si="9"/>
        <v>0</v>
      </c>
      <c r="AF51" s="98">
        <f ca="1">IF('Invoer gegevens (N)'!$C$17=E51,X51,IF(C51=0,0,AG50))</f>
        <v>0</v>
      </c>
      <c r="AG51" s="98">
        <f t="shared" ca="1" si="10"/>
        <v>0</v>
      </c>
      <c r="AH51" s="66"/>
      <c r="AI51" s="71">
        <f ca="1">IF(C51=1,'Reeksen (N)'!AI51*((F51+K51)/2)*12+'Reeksen (N)'!AD51*((L51+Q51)/2)*12,0)</f>
        <v>0</v>
      </c>
      <c r="AJ51" s="71">
        <f ca="1">-AI51*'Invoer gegevens (N)'!$F$28</f>
        <v>0</v>
      </c>
      <c r="AK51" s="71">
        <f t="shared" ca="1" si="11"/>
        <v>0</v>
      </c>
      <c r="AL51" s="71">
        <f ca="1">IF(C51=1,'Reeksen (N)'!AL51*((F51-G51+F51)/2)*12+'Reeksen (N)'!AM51*((L51-M51+L51)/2)*12,0)</f>
        <v>0</v>
      </c>
      <c r="AM51" s="71">
        <f ca="1">-AL51*'Invoer gegevens (N)'!$F$31</f>
        <v>0</v>
      </c>
      <c r="AN51" s="71">
        <f t="shared" ca="1" si="12"/>
        <v>0</v>
      </c>
      <c r="AO51" s="71">
        <f ca="1">IF(C51=1,(H51+J51+N51+P51)*'Reeksen (N)'!AN51,0)</f>
        <v>0</v>
      </c>
      <c r="AP51" s="71">
        <f ca="1">-IF(C51=1,(H51+J51+N51+P51)*'Hulp - basis'!$O$550*'Reeksen (N)'!H51,0)</f>
        <v>0</v>
      </c>
      <c r="AQ51" s="71">
        <f ca="1">-IF(C51=1,(F51+K51+L51+Q51)/2*'Invoer gegevens (N)'!$F$35*'Reeksen (N)'!J51,0)*2</f>
        <v>0</v>
      </c>
      <c r="AR51" s="71">
        <f ca="1">IF(BD51&lt;1,-IF(C51=1,(G51*'Invoer gegevens (N)'!$F$36)*'Reeksen (N)'!J51,0),0)</f>
        <v>0</v>
      </c>
      <c r="AS51" s="71">
        <f ca="1">-IF(C51=1,(F51+K51+L51+Q51)/2*'Invoer gegevens (N)'!$F$37*'Reeksen (N)'!L51,0)</f>
        <v>0</v>
      </c>
      <c r="AT51" s="71">
        <f ca="1">-IF(C51=1,IF(E51='Invoer gegevens (N)'!$C$17,'Invoer gegevens (N)'!$C$11,AD51)*'Reeksen (N)'!S51*'Invoer gegevens (N)'!$C$18*'Reeksen (N)'!P51,0)</f>
        <v>0</v>
      </c>
      <c r="AU51" s="71">
        <f ca="1">-IF(C51=1,(F51+K51+L51+Q51)/2*'Invoer gegevens (N)'!$F$38*'Reeksen (N)'!H51,0)</f>
        <v>0</v>
      </c>
      <c r="AV51" s="71">
        <v>0</v>
      </c>
      <c r="AW51" s="71">
        <f t="shared" ca="1" si="13"/>
        <v>0</v>
      </c>
      <c r="AX51" s="71">
        <f ca="1">IF(E51&lt;'Invoer gegevens (N)'!$C$17+15,0,IF(E51&gt;'Invoer gegevens (N)'!$C$17+215,0,AW51))</f>
        <v>0</v>
      </c>
      <c r="AY51" s="71">
        <f ca="1">AX51/(1+'Invoer gegevens (N)'!$F$18)^($AZ51-('Invoer gegevens (N)'!$C$17-'Invoer gegevens (N)'!$C$16))/(1+'Invoer gegevens (N)'!$C$39)^('Invoer gegevens (N)'!$C$17-'Invoer gegevens (N)'!$C$16)</f>
        <v>0</v>
      </c>
      <c r="AZ51" s="68">
        <f ca="1">IF(E51-'Invoer gegevens (N)'!$C$17-14.5&lt;0,0,E51-'Invoer gegevens (N)'!$C$17-14.5)</f>
        <v>31.5</v>
      </c>
      <c r="BA51" s="109">
        <f ca="1">IFERROR(VLOOKUP(E51-15,'Reeksen (N)'!$A$5:$D$234,2,FALSE),0)</f>
        <v>0</v>
      </c>
      <c r="BB51" s="109">
        <f ca="1">IFERROR(VLOOKUP(E51-15,'Reeksen (N)'!$A$5:$D$234,3,FALSE),0)</f>
        <v>0</v>
      </c>
      <c r="BC51" s="109">
        <f ca="1">IFERROR(VLOOKUP(E51-15,'Reeksen (N)'!$A$5:$D$234,4,FALSE),0)</f>
        <v>0</v>
      </c>
      <c r="BD51" s="67">
        <f ca="1">IF(E51-'Invoer gegevens (N)'!$C$17&lt;15,0,1)</f>
        <v>1</v>
      </c>
    </row>
    <row r="52" spans="1:56" x14ac:dyDescent="0.25">
      <c r="A52" s="59"/>
      <c r="B52" s="70">
        <f t="shared" si="14"/>
        <v>48</v>
      </c>
      <c r="C52" s="67">
        <f ca="1">IF(E52-'Invoer gegevens (N)'!$C$17&lt;0,0,1)</f>
        <v>1</v>
      </c>
      <c r="D52" s="68">
        <f t="shared" si="15"/>
        <v>47.5</v>
      </c>
      <c r="E52" s="108">
        <f ca="1">IF('Invoer gegevens (N)'!$C$16="","",E51+1)</f>
        <v>2066</v>
      </c>
      <c r="F52" s="84">
        <f ca="1">IF('Invoer gegevens (N)'!$C$17=E52,'Invoer gegevens (N)'!$C$10,IF(C52=1,K51,0))</f>
        <v>0</v>
      </c>
      <c r="G52" s="96">
        <f ca="1">IF(BD52&lt;1,F52*'Reeksen (N)'!C52,IF(C52&gt;=1,F52*BA52,0))</f>
        <v>0</v>
      </c>
      <c r="H52" s="84">
        <f ca="1">(1-('Invoer gegevens (N)'!$F$20/12))*F52*MIN(BA52,BC52)</f>
        <v>0</v>
      </c>
      <c r="I52" s="84">
        <f t="shared" ca="1" si="0"/>
        <v>0</v>
      </c>
      <c r="J52" s="84">
        <f ca="1">('Invoer gegevens (N)'!$F$20/12)*F51*MIN(BA52,BC52)</f>
        <v>0</v>
      </c>
      <c r="K52" s="97">
        <f t="shared" ca="1" si="5"/>
        <v>0</v>
      </c>
      <c r="L52" s="84">
        <f ca="1">IF('Invoer gegevens (N)'!$C$17=E52,0,IF(C52=1,Q51,0))</f>
        <v>0</v>
      </c>
      <c r="M52" s="96">
        <f t="shared" ca="1" si="1"/>
        <v>0</v>
      </c>
      <c r="N52" s="84">
        <f ca="1">(1-('Invoer gegevens (N)'!$F$20/12))*L52*MIN(BA52,BC52)</f>
        <v>0</v>
      </c>
      <c r="O52" s="84">
        <f t="shared" ca="1" si="2"/>
        <v>0</v>
      </c>
      <c r="P52" s="84">
        <f ca="1">('Invoer gegevens (N)'!$F$20/12)*L51*MIN(BA52,BC52)</f>
        <v>0</v>
      </c>
      <c r="Q52" s="84">
        <f t="shared" ca="1" si="6"/>
        <v>0</v>
      </c>
      <c r="R52" s="85">
        <f ca="1">IF('Invoer gegevens (N)'!$C$17=E52,'Invoer gegevens (N)'!$C$11,IF(C52=1,W51,0))</f>
        <v>0</v>
      </c>
      <c r="S52" s="86">
        <f t="shared" ca="1" si="3"/>
        <v>0</v>
      </c>
      <c r="T52" s="86">
        <f ca="1">(1-('Invoer gegevens (N)'!$F$20/12))*R52*MIN(BC52,BA52)</f>
        <v>0</v>
      </c>
      <c r="U52" s="86">
        <f ca="1">IF(BD52&lt;1,IF('Reeksen (N)'!AD52&lt;='Reeksen (N)'!AE52,R52*'Reeksen (N)'!C52,0),IF(BC52&gt;=BA52,0,IF('Reeksen (N)'!AD52&lt;='Reeksen (N)'!AE52,(BA52-BC52)*R52,0)))</f>
        <v>0</v>
      </c>
      <c r="V52" s="86">
        <f ca="1">IF(BD52&lt;1,IF('Reeksen (N)'!AD52&gt;'Reeksen (N)'!AE52,R52*'Reeksen (N)'!C52,0),IF(BC52&gt;=BA52,0,IF('Reeksen (N)'!AD52&gt;'Reeksen (N)'!AE52,(BA52-BC52)*R52,0)))</f>
        <v>0</v>
      </c>
      <c r="W52" s="218">
        <f t="shared" ca="1" si="7"/>
        <v>0</v>
      </c>
      <c r="X52" s="98">
        <f ca="1">IF('Invoer gegevens (N)'!$C$17=E52,'Invoer gegevens (N)'!$C$10-'Invoer gegevens (N)'!$C$11,IF(C52=1,AC51,0))</f>
        <v>0</v>
      </c>
      <c r="Y52" s="98">
        <f t="shared" ca="1" si="4"/>
        <v>0</v>
      </c>
      <c r="Z52" s="98">
        <f ca="1">(1-('Invoer gegevens (N)'!$F$20/12))*X52*MIN(BA52,BC52)</f>
        <v>0</v>
      </c>
      <c r="AA52" s="98">
        <f ca="1">IF(BD52&lt;1,IF('Reeksen (N)'!AD52&lt;='Reeksen (N)'!AE52,X52*'Reeksen (N)'!C52,0),IF(BC52&gt;=BA52,0,IF('Reeksen (N)'!AD52&lt;='Reeksen (N)'!AE52,(BA52-BC52)*X52,0)))</f>
        <v>0</v>
      </c>
      <c r="AB52" s="98">
        <f ca="1">IF(BD52&lt;1,IF('Reeksen (N)'!AD52&gt;'Reeksen (N)'!AE52,X52*'Reeksen (N)'!C52,0),IF(BC52&gt;=BA52,0,IF('Reeksen (N)'!AD52&gt;'Reeksen (N)'!AE52,(BA52-BC52)*X52,0)))</f>
        <v>0</v>
      </c>
      <c r="AC52" s="99">
        <f t="shared" ca="1" si="8"/>
        <v>0</v>
      </c>
      <c r="AD52" s="98">
        <f ca="1">IF('Invoer gegevens (N)'!$C$17=E52,R52,IF(C52=0,0,AE51))</f>
        <v>0</v>
      </c>
      <c r="AE52" s="98">
        <f t="shared" ca="1" si="9"/>
        <v>0</v>
      </c>
      <c r="AF52" s="98">
        <f ca="1">IF('Invoer gegevens (N)'!$C$17=E52,X52,IF(C52=0,0,AG51))</f>
        <v>0</v>
      </c>
      <c r="AG52" s="98">
        <f t="shared" ca="1" si="10"/>
        <v>0</v>
      </c>
      <c r="AH52" s="66"/>
      <c r="AI52" s="71">
        <f ca="1">IF(C52=1,'Reeksen (N)'!AI52*((F52+K52)/2)*12+'Reeksen (N)'!AD52*((L52+Q52)/2)*12,0)</f>
        <v>0</v>
      </c>
      <c r="AJ52" s="71">
        <f ca="1">-AI52*'Invoer gegevens (N)'!$F$28</f>
        <v>0</v>
      </c>
      <c r="AK52" s="71">
        <f t="shared" ca="1" si="11"/>
        <v>0</v>
      </c>
      <c r="AL52" s="71">
        <f ca="1">IF(C52=1,'Reeksen (N)'!AL52*((F52-G52+F52)/2)*12+'Reeksen (N)'!AM52*((L52-M52+L52)/2)*12,0)</f>
        <v>0</v>
      </c>
      <c r="AM52" s="71">
        <f ca="1">-AL52*'Invoer gegevens (N)'!$F$31</f>
        <v>0</v>
      </c>
      <c r="AN52" s="71">
        <f t="shared" ca="1" si="12"/>
        <v>0</v>
      </c>
      <c r="AO52" s="71">
        <f ca="1">IF(C52=1,(H52+J52+N52+P52)*'Reeksen (N)'!AN52,0)</f>
        <v>0</v>
      </c>
      <c r="AP52" s="71">
        <f ca="1">-IF(C52=1,(H52+J52+N52+P52)*'Hulp - basis'!$O$550*'Reeksen (N)'!H52,0)</f>
        <v>0</v>
      </c>
      <c r="AQ52" s="71">
        <f ca="1">-IF(C52=1,(F52+K52+L52+Q52)/2*'Invoer gegevens (N)'!$F$35*'Reeksen (N)'!J52,0)*2</f>
        <v>0</v>
      </c>
      <c r="AR52" s="71">
        <f ca="1">IF(BD52&lt;1,-IF(C52=1,(G52*'Invoer gegevens (N)'!$F$36)*'Reeksen (N)'!J52,0),0)</f>
        <v>0</v>
      </c>
      <c r="AS52" s="71">
        <f ca="1">-IF(C52=1,(F52+K52+L52+Q52)/2*'Invoer gegevens (N)'!$F$37*'Reeksen (N)'!L52,0)</f>
        <v>0</v>
      </c>
      <c r="AT52" s="71">
        <f ca="1">-IF(C52=1,IF(E52='Invoer gegevens (N)'!$C$17,'Invoer gegevens (N)'!$C$11,AD52)*'Reeksen (N)'!S52*'Invoer gegevens (N)'!$C$18*'Reeksen (N)'!P52,0)</f>
        <v>0</v>
      </c>
      <c r="AU52" s="71">
        <f ca="1">-IF(C52=1,(F52+K52+L52+Q52)/2*'Invoer gegevens (N)'!$F$38*'Reeksen (N)'!H52,0)</f>
        <v>0</v>
      </c>
      <c r="AV52" s="71">
        <v>0</v>
      </c>
      <c r="AW52" s="71">
        <f t="shared" ca="1" si="13"/>
        <v>0</v>
      </c>
      <c r="AX52" s="71">
        <f ca="1">IF(E52&lt;'Invoer gegevens (N)'!$C$17+15,0,IF(E52&gt;'Invoer gegevens (N)'!$C$17+215,0,AW52))</f>
        <v>0</v>
      </c>
      <c r="AY52" s="71">
        <f ca="1">AX52/(1+'Invoer gegevens (N)'!$F$18)^($AZ52-('Invoer gegevens (N)'!$C$17-'Invoer gegevens (N)'!$C$16))/(1+'Invoer gegevens (N)'!$C$39)^('Invoer gegevens (N)'!$C$17-'Invoer gegevens (N)'!$C$16)</f>
        <v>0</v>
      </c>
      <c r="AZ52" s="68">
        <f ca="1">IF(E52-'Invoer gegevens (N)'!$C$17-14.5&lt;0,0,E52-'Invoer gegevens (N)'!$C$17-14.5)</f>
        <v>32.5</v>
      </c>
      <c r="BA52" s="109">
        <f ca="1">IFERROR(VLOOKUP(E52-15,'Reeksen (N)'!$A$5:$D$234,2,FALSE),0)</f>
        <v>0</v>
      </c>
      <c r="BB52" s="109">
        <f ca="1">IFERROR(VLOOKUP(E52-15,'Reeksen (N)'!$A$5:$D$234,3,FALSE),0)</f>
        <v>0</v>
      </c>
      <c r="BC52" s="109">
        <f ca="1">IFERROR(VLOOKUP(E52-15,'Reeksen (N)'!$A$5:$D$234,4,FALSE),0)</f>
        <v>0</v>
      </c>
      <c r="BD52" s="67">
        <f ca="1">IF(E52-'Invoer gegevens (N)'!$C$17&lt;15,0,1)</f>
        <v>1</v>
      </c>
    </row>
    <row r="53" spans="1:56" x14ac:dyDescent="0.25">
      <c r="A53" s="59"/>
      <c r="B53" s="70">
        <f t="shared" si="14"/>
        <v>49</v>
      </c>
      <c r="C53" s="67">
        <f ca="1">IF(E53-'Invoer gegevens (N)'!$C$17&lt;0,0,1)</f>
        <v>1</v>
      </c>
      <c r="D53" s="68">
        <f t="shared" si="15"/>
        <v>48.5</v>
      </c>
      <c r="E53" s="108">
        <f ca="1">IF('Invoer gegevens (N)'!$C$16="","",E52+1)</f>
        <v>2067</v>
      </c>
      <c r="F53" s="84">
        <f ca="1">IF('Invoer gegevens (N)'!$C$17=E53,'Invoer gegevens (N)'!$C$10,IF(C53=1,K52,0))</f>
        <v>0</v>
      </c>
      <c r="G53" s="96">
        <f ca="1">IF(BD53&lt;1,F53*'Reeksen (N)'!C53,IF(C53&gt;=1,F53*BA53,0))</f>
        <v>0</v>
      </c>
      <c r="H53" s="84">
        <f ca="1">(1-('Invoer gegevens (N)'!$F$20/12))*F53*MIN(BA53,BC53)</f>
        <v>0</v>
      </c>
      <c r="I53" s="84">
        <f t="shared" ca="1" si="0"/>
        <v>0</v>
      </c>
      <c r="J53" s="84">
        <f ca="1">('Invoer gegevens (N)'!$F$20/12)*F52*MIN(BA53,BC53)</f>
        <v>0</v>
      </c>
      <c r="K53" s="97">
        <f t="shared" ca="1" si="5"/>
        <v>0</v>
      </c>
      <c r="L53" s="84">
        <f ca="1">IF('Invoer gegevens (N)'!$C$17=E53,0,IF(C53=1,Q52,0))</f>
        <v>0</v>
      </c>
      <c r="M53" s="96">
        <f t="shared" ca="1" si="1"/>
        <v>0</v>
      </c>
      <c r="N53" s="84">
        <f ca="1">(1-('Invoer gegevens (N)'!$F$20/12))*L53*MIN(BA53,BC53)</f>
        <v>0</v>
      </c>
      <c r="O53" s="84">
        <f t="shared" ca="1" si="2"/>
        <v>0</v>
      </c>
      <c r="P53" s="84">
        <f ca="1">('Invoer gegevens (N)'!$F$20/12)*L52*MIN(BA53,BC53)</f>
        <v>0</v>
      </c>
      <c r="Q53" s="84">
        <f t="shared" ca="1" si="6"/>
        <v>0</v>
      </c>
      <c r="R53" s="85">
        <f ca="1">IF('Invoer gegevens (N)'!$C$17=E53,'Invoer gegevens (N)'!$C$11,IF(C53=1,W52,0))</f>
        <v>0</v>
      </c>
      <c r="S53" s="86">
        <f t="shared" ca="1" si="3"/>
        <v>0</v>
      </c>
      <c r="T53" s="86">
        <f ca="1">(1-('Invoer gegevens (N)'!$F$20/12))*R53*MIN(BC53,BA53)</f>
        <v>0</v>
      </c>
      <c r="U53" s="86">
        <f ca="1">IF(BD53&lt;1,IF('Reeksen (N)'!AD53&lt;='Reeksen (N)'!AE53,R53*'Reeksen (N)'!C53,0),IF(BC53&gt;=BA53,0,IF('Reeksen (N)'!AD53&lt;='Reeksen (N)'!AE53,(BA53-BC53)*R53,0)))</f>
        <v>0</v>
      </c>
      <c r="V53" s="86">
        <f ca="1">IF(BD53&lt;1,IF('Reeksen (N)'!AD53&gt;'Reeksen (N)'!AE53,R53*'Reeksen (N)'!C53,0),IF(BC53&gt;=BA53,0,IF('Reeksen (N)'!AD53&gt;'Reeksen (N)'!AE53,(BA53-BC53)*R53,0)))</f>
        <v>0</v>
      </c>
      <c r="W53" s="218">
        <f t="shared" ca="1" si="7"/>
        <v>0</v>
      </c>
      <c r="X53" s="98">
        <f ca="1">IF('Invoer gegevens (N)'!$C$17=E53,'Invoer gegevens (N)'!$C$10-'Invoer gegevens (N)'!$C$11,IF(C53=1,AC52,0))</f>
        <v>0</v>
      </c>
      <c r="Y53" s="98">
        <f t="shared" ca="1" si="4"/>
        <v>0</v>
      </c>
      <c r="Z53" s="98">
        <f ca="1">(1-('Invoer gegevens (N)'!$F$20/12))*X53*MIN(BA53,BC53)</f>
        <v>0</v>
      </c>
      <c r="AA53" s="98">
        <f ca="1">IF(BD53&lt;1,IF('Reeksen (N)'!AD53&lt;='Reeksen (N)'!AE53,X53*'Reeksen (N)'!C53,0),IF(BC53&gt;=BA53,0,IF('Reeksen (N)'!AD53&lt;='Reeksen (N)'!AE53,(BA53-BC53)*X53,0)))</f>
        <v>0</v>
      </c>
      <c r="AB53" s="98">
        <f ca="1">IF(BD53&lt;1,IF('Reeksen (N)'!AD53&gt;'Reeksen (N)'!AE53,X53*'Reeksen (N)'!C53,0),IF(BC53&gt;=BA53,0,IF('Reeksen (N)'!AD53&gt;'Reeksen (N)'!AE53,(BA53-BC53)*X53,0)))</f>
        <v>0</v>
      </c>
      <c r="AC53" s="99">
        <f t="shared" ca="1" si="8"/>
        <v>0</v>
      </c>
      <c r="AD53" s="98">
        <f ca="1">IF('Invoer gegevens (N)'!$C$17=E53,R53,IF(C53=0,0,AE52))</f>
        <v>0</v>
      </c>
      <c r="AE53" s="98">
        <f t="shared" ca="1" si="9"/>
        <v>0</v>
      </c>
      <c r="AF53" s="98">
        <f ca="1">IF('Invoer gegevens (N)'!$C$17=E53,X53,IF(C53=0,0,AG52))</f>
        <v>0</v>
      </c>
      <c r="AG53" s="98">
        <f t="shared" ca="1" si="10"/>
        <v>0</v>
      </c>
      <c r="AH53" s="66"/>
      <c r="AI53" s="71">
        <f ca="1">IF(C53=1,'Reeksen (N)'!AI53*((F53+K53)/2)*12+'Reeksen (N)'!AD53*((L53+Q53)/2)*12,0)</f>
        <v>0</v>
      </c>
      <c r="AJ53" s="71">
        <f ca="1">-AI53*'Invoer gegevens (N)'!$F$28</f>
        <v>0</v>
      </c>
      <c r="AK53" s="71">
        <f t="shared" ca="1" si="11"/>
        <v>0</v>
      </c>
      <c r="AL53" s="71">
        <f ca="1">IF(C53=1,'Reeksen (N)'!AL53*((F53-G53+F53)/2)*12+'Reeksen (N)'!AM53*((L53-M53+L53)/2)*12,0)</f>
        <v>0</v>
      </c>
      <c r="AM53" s="71">
        <f ca="1">-AL53*'Invoer gegevens (N)'!$F$31</f>
        <v>0</v>
      </c>
      <c r="AN53" s="71">
        <f t="shared" ca="1" si="12"/>
        <v>0</v>
      </c>
      <c r="AO53" s="71">
        <f ca="1">IF(C53=1,(H53+J53+N53+P53)*'Reeksen (N)'!AN53,0)</f>
        <v>0</v>
      </c>
      <c r="AP53" s="71">
        <f ca="1">-IF(C53=1,(H53+J53+N53+P53)*'Hulp - basis'!$O$550*'Reeksen (N)'!H53,0)</f>
        <v>0</v>
      </c>
      <c r="AQ53" s="71">
        <f ca="1">-IF(C53=1,(F53+K53+L53+Q53)/2*'Invoer gegevens (N)'!$F$35*'Reeksen (N)'!J53,0)*2</f>
        <v>0</v>
      </c>
      <c r="AR53" s="71">
        <f ca="1">IF(BD53&lt;1,-IF(C53=1,(G53*'Invoer gegevens (N)'!$F$36)*'Reeksen (N)'!J53,0),0)</f>
        <v>0</v>
      </c>
      <c r="AS53" s="71">
        <f ca="1">-IF(C53=1,(F53+K53+L53+Q53)/2*'Invoer gegevens (N)'!$F$37*'Reeksen (N)'!L53,0)</f>
        <v>0</v>
      </c>
      <c r="AT53" s="71">
        <f ca="1">-IF(C53=1,IF(E53='Invoer gegevens (N)'!$C$17,'Invoer gegevens (N)'!$C$11,AD53)*'Reeksen (N)'!S53*'Invoer gegevens (N)'!$C$18*'Reeksen (N)'!P53,0)</f>
        <v>0</v>
      </c>
      <c r="AU53" s="71">
        <f ca="1">-IF(C53=1,(F53+K53+L53+Q53)/2*'Invoer gegevens (N)'!$F$38*'Reeksen (N)'!H53,0)</f>
        <v>0</v>
      </c>
      <c r="AV53" s="71">
        <v>0</v>
      </c>
      <c r="AW53" s="71">
        <f t="shared" ca="1" si="13"/>
        <v>0</v>
      </c>
      <c r="AX53" s="71">
        <f ca="1">IF(E53&lt;'Invoer gegevens (N)'!$C$17+15,0,IF(E53&gt;'Invoer gegevens (N)'!$C$17+215,0,AW53))</f>
        <v>0</v>
      </c>
      <c r="AY53" s="71">
        <f ca="1">AX53/(1+'Invoer gegevens (N)'!$F$18)^($AZ53-('Invoer gegevens (N)'!$C$17-'Invoer gegevens (N)'!$C$16))/(1+'Invoer gegevens (N)'!$C$39)^('Invoer gegevens (N)'!$C$17-'Invoer gegevens (N)'!$C$16)</f>
        <v>0</v>
      </c>
      <c r="AZ53" s="68">
        <f ca="1">IF(E53-'Invoer gegevens (N)'!$C$17-14.5&lt;0,0,E53-'Invoer gegevens (N)'!$C$17-14.5)</f>
        <v>33.5</v>
      </c>
      <c r="BA53" s="109">
        <f ca="1">IFERROR(VLOOKUP(E53-15,'Reeksen (N)'!$A$5:$D$234,2,FALSE),0)</f>
        <v>0</v>
      </c>
      <c r="BB53" s="109">
        <f ca="1">IFERROR(VLOOKUP(E53-15,'Reeksen (N)'!$A$5:$D$234,3,FALSE),0)</f>
        <v>0</v>
      </c>
      <c r="BC53" s="109">
        <f ca="1">IFERROR(VLOOKUP(E53-15,'Reeksen (N)'!$A$5:$D$234,4,FALSE),0)</f>
        <v>0</v>
      </c>
      <c r="BD53" s="67">
        <f ca="1">IF(E53-'Invoer gegevens (N)'!$C$17&lt;15,0,1)</f>
        <v>1</v>
      </c>
    </row>
    <row r="54" spans="1:56" x14ac:dyDescent="0.25">
      <c r="A54" s="59"/>
      <c r="B54" s="70">
        <f t="shared" si="14"/>
        <v>50</v>
      </c>
      <c r="C54" s="67">
        <f ca="1">IF(E54-'Invoer gegevens (N)'!$C$17&lt;0,0,1)</f>
        <v>1</v>
      </c>
      <c r="D54" s="68">
        <f t="shared" si="15"/>
        <v>49.5</v>
      </c>
      <c r="E54" s="108">
        <f ca="1">IF('Invoer gegevens (N)'!$C$16="","",E53+1)</f>
        <v>2068</v>
      </c>
      <c r="F54" s="84">
        <f ca="1">IF('Invoer gegevens (N)'!$C$17=E54,'Invoer gegevens (N)'!$C$10,IF(C54=1,K53,0))</f>
        <v>0</v>
      </c>
      <c r="G54" s="96">
        <f ca="1">IF(BD54&lt;1,F54*'Reeksen (N)'!C54,IF(C54&gt;=1,F54*BA54,0))</f>
        <v>0</v>
      </c>
      <c r="H54" s="84">
        <f ca="1">(1-('Invoer gegevens (N)'!$F$20/12))*F54*MIN(BA54,BC54)</f>
        <v>0</v>
      </c>
      <c r="I54" s="84">
        <f t="shared" ca="1" si="0"/>
        <v>0</v>
      </c>
      <c r="J54" s="84">
        <f ca="1">('Invoer gegevens (N)'!$F$20/12)*F53*MIN(BA54,BC54)</f>
        <v>0</v>
      </c>
      <c r="K54" s="97">
        <f t="shared" ca="1" si="5"/>
        <v>0</v>
      </c>
      <c r="L54" s="84">
        <f ca="1">IF('Invoer gegevens (N)'!$C$17=E54,0,IF(C54=1,Q53,0))</f>
        <v>0</v>
      </c>
      <c r="M54" s="96">
        <f t="shared" ca="1" si="1"/>
        <v>0</v>
      </c>
      <c r="N54" s="84">
        <f ca="1">(1-('Invoer gegevens (N)'!$F$20/12))*L54*MIN(BA54,BC54)</f>
        <v>0</v>
      </c>
      <c r="O54" s="84">
        <f t="shared" ca="1" si="2"/>
        <v>0</v>
      </c>
      <c r="P54" s="84">
        <f ca="1">('Invoer gegevens (N)'!$F$20/12)*L53*MIN(BA54,BC54)</f>
        <v>0</v>
      </c>
      <c r="Q54" s="84">
        <f t="shared" ca="1" si="6"/>
        <v>0</v>
      </c>
      <c r="R54" s="85">
        <f ca="1">IF('Invoer gegevens (N)'!$C$17=E54,'Invoer gegevens (N)'!$C$11,IF(C54=1,W53,0))</f>
        <v>0</v>
      </c>
      <c r="S54" s="86">
        <f t="shared" ca="1" si="3"/>
        <v>0</v>
      </c>
      <c r="T54" s="86">
        <f ca="1">(1-('Invoer gegevens (N)'!$F$20/12))*R54*MIN(BC54,BA54)</f>
        <v>0</v>
      </c>
      <c r="U54" s="86">
        <f ca="1">IF(BD54&lt;1,IF('Reeksen (N)'!AD54&lt;='Reeksen (N)'!AE54,R54*'Reeksen (N)'!C54,0),IF(BC54&gt;=BA54,0,IF('Reeksen (N)'!AD54&lt;='Reeksen (N)'!AE54,(BA54-BC54)*R54,0)))</f>
        <v>0</v>
      </c>
      <c r="V54" s="86">
        <f ca="1">IF(BD54&lt;1,IF('Reeksen (N)'!AD54&gt;'Reeksen (N)'!AE54,R54*'Reeksen (N)'!C54,0),IF(BC54&gt;=BA54,0,IF('Reeksen (N)'!AD54&gt;'Reeksen (N)'!AE54,(BA54-BC54)*R54,0)))</f>
        <v>0</v>
      </c>
      <c r="W54" s="218">
        <f t="shared" ca="1" si="7"/>
        <v>0</v>
      </c>
      <c r="X54" s="98">
        <f ca="1">IF('Invoer gegevens (N)'!$C$17=E54,'Invoer gegevens (N)'!$C$10-'Invoer gegevens (N)'!$C$11,IF(C54=1,AC53,0))</f>
        <v>0</v>
      </c>
      <c r="Y54" s="98">
        <f t="shared" ca="1" si="4"/>
        <v>0</v>
      </c>
      <c r="Z54" s="98">
        <f ca="1">(1-('Invoer gegevens (N)'!$F$20/12))*X54*MIN(BA54,BC54)</f>
        <v>0</v>
      </c>
      <c r="AA54" s="98">
        <f ca="1">IF(BD54&lt;1,IF('Reeksen (N)'!AD54&lt;='Reeksen (N)'!AE54,X54*'Reeksen (N)'!C54,0),IF(BC54&gt;=BA54,0,IF('Reeksen (N)'!AD54&lt;='Reeksen (N)'!AE54,(BA54-BC54)*X54,0)))</f>
        <v>0</v>
      </c>
      <c r="AB54" s="98">
        <f ca="1">IF(BD54&lt;1,IF('Reeksen (N)'!AD54&gt;'Reeksen (N)'!AE54,X54*'Reeksen (N)'!C54,0),IF(BC54&gt;=BA54,0,IF('Reeksen (N)'!AD54&gt;'Reeksen (N)'!AE54,(BA54-BC54)*X54,0)))</f>
        <v>0</v>
      </c>
      <c r="AC54" s="99">
        <f t="shared" ca="1" si="8"/>
        <v>0</v>
      </c>
      <c r="AD54" s="98">
        <f ca="1">IF('Invoer gegevens (N)'!$C$17=E54,R54,IF(C54=0,0,AE53))</f>
        <v>0</v>
      </c>
      <c r="AE54" s="98">
        <f t="shared" ca="1" si="9"/>
        <v>0</v>
      </c>
      <c r="AF54" s="98">
        <f ca="1">IF('Invoer gegevens (N)'!$C$17=E54,X54,IF(C54=0,0,AG53))</f>
        <v>0</v>
      </c>
      <c r="AG54" s="98">
        <f t="shared" ca="1" si="10"/>
        <v>0</v>
      </c>
      <c r="AH54" s="66"/>
      <c r="AI54" s="71">
        <f ca="1">IF(C54=1,'Reeksen (N)'!AI54*((F54+K54)/2)*12+'Reeksen (N)'!AD54*((L54+Q54)/2)*12,0)</f>
        <v>0</v>
      </c>
      <c r="AJ54" s="71">
        <f ca="1">-AI54*'Invoer gegevens (N)'!$F$28</f>
        <v>0</v>
      </c>
      <c r="AK54" s="71">
        <f t="shared" ca="1" si="11"/>
        <v>0</v>
      </c>
      <c r="AL54" s="71">
        <f ca="1">IF(C54=1,'Reeksen (N)'!AL54*((F54-G54+F54)/2)*12+'Reeksen (N)'!AM54*((L54-M54+L54)/2)*12,0)</f>
        <v>0</v>
      </c>
      <c r="AM54" s="71">
        <f ca="1">-AL54*'Invoer gegevens (N)'!$F$31</f>
        <v>0</v>
      </c>
      <c r="AN54" s="71">
        <f t="shared" ca="1" si="12"/>
        <v>0</v>
      </c>
      <c r="AO54" s="71">
        <f ca="1">IF(C54=1,(H54+J54+N54+P54)*'Reeksen (N)'!AN54,0)</f>
        <v>0</v>
      </c>
      <c r="AP54" s="71">
        <f ca="1">-IF(C54=1,(H54+J54+N54+P54)*'Hulp - basis'!$O$550*'Reeksen (N)'!H54,0)</f>
        <v>0</v>
      </c>
      <c r="AQ54" s="71">
        <f ca="1">-IF(C54=1,(F54+K54+L54+Q54)/2*'Invoer gegevens (N)'!$F$35*'Reeksen (N)'!J54,0)*2</f>
        <v>0</v>
      </c>
      <c r="AR54" s="71">
        <f ca="1">IF(BD54&lt;1,-IF(C54=1,(G54*'Invoer gegevens (N)'!$F$36)*'Reeksen (N)'!J54,0),0)</f>
        <v>0</v>
      </c>
      <c r="AS54" s="71">
        <f ca="1">-IF(C54=1,(F54+K54+L54+Q54)/2*'Invoer gegevens (N)'!$F$37*'Reeksen (N)'!L54,0)</f>
        <v>0</v>
      </c>
      <c r="AT54" s="71">
        <f ca="1">-IF(C54=1,IF(E54='Invoer gegevens (N)'!$C$17,'Invoer gegevens (N)'!$C$11,AD54)*'Reeksen (N)'!S54*'Invoer gegevens (N)'!$C$18*'Reeksen (N)'!P54,0)</f>
        <v>0</v>
      </c>
      <c r="AU54" s="71">
        <f ca="1">-IF(C54=1,(F54+K54+L54+Q54)/2*'Invoer gegevens (N)'!$F$38*'Reeksen (N)'!H54,0)</f>
        <v>0</v>
      </c>
      <c r="AV54" s="71">
        <v>0</v>
      </c>
      <c r="AW54" s="71">
        <f t="shared" ca="1" si="13"/>
        <v>0</v>
      </c>
      <c r="AX54" s="71">
        <f ca="1">IF(E54&lt;'Invoer gegevens (N)'!$C$17+15,0,IF(E54&gt;'Invoer gegevens (N)'!$C$17+215,0,AW54))</f>
        <v>0</v>
      </c>
      <c r="AY54" s="71">
        <f ca="1">AX54/(1+'Invoer gegevens (N)'!$F$18)^($AZ54-('Invoer gegevens (N)'!$C$17-'Invoer gegevens (N)'!$C$16))/(1+'Invoer gegevens (N)'!$C$39)^('Invoer gegevens (N)'!$C$17-'Invoer gegevens (N)'!$C$16)</f>
        <v>0</v>
      </c>
      <c r="AZ54" s="68">
        <f ca="1">IF(E54-'Invoer gegevens (N)'!$C$17-14.5&lt;0,0,E54-'Invoer gegevens (N)'!$C$17-14.5)</f>
        <v>34.5</v>
      </c>
      <c r="BA54" s="109">
        <f ca="1">IFERROR(VLOOKUP(E54-15,'Reeksen (N)'!$A$5:$D$234,2,FALSE),0)</f>
        <v>0</v>
      </c>
      <c r="BB54" s="109">
        <f ca="1">IFERROR(VLOOKUP(E54-15,'Reeksen (N)'!$A$5:$D$234,3,FALSE),0)</f>
        <v>0</v>
      </c>
      <c r="BC54" s="109">
        <f ca="1">IFERROR(VLOOKUP(E54-15,'Reeksen (N)'!$A$5:$D$234,4,FALSE),0)</f>
        <v>0</v>
      </c>
      <c r="BD54" s="67">
        <f ca="1">IF(E54-'Invoer gegevens (N)'!$C$17&lt;15,0,1)</f>
        <v>1</v>
      </c>
    </row>
    <row r="55" spans="1:56" x14ac:dyDescent="0.25">
      <c r="A55" s="59"/>
      <c r="B55" s="70">
        <f t="shared" si="14"/>
        <v>51</v>
      </c>
      <c r="C55" s="67">
        <f ca="1">IF(E55-'Invoer gegevens (N)'!$C$17&lt;0,0,1)</f>
        <v>1</v>
      </c>
      <c r="D55" s="68">
        <f t="shared" si="15"/>
        <v>50.5</v>
      </c>
      <c r="E55" s="108">
        <f ca="1">IF('Invoer gegevens (N)'!$C$16="","",E54+1)</f>
        <v>2069</v>
      </c>
      <c r="F55" s="84">
        <f ca="1">IF('Invoer gegevens (N)'!$C$17=E55,'Invoer gegevens (N)'!$C$10,IF(C55=1,K54,0))</f>
        <v>0</v>
      </c>
      <c r="G55" s="96">
        <f ca="1">IF(BD55&lt;1,F55*'Reeksen (N)'!C55,IF(C55&gt;=1,F55*BA55,0))</f>
        <v>0</v>
      </c>
      <c r="H55" s="84">
        <f ca="1">(1-('Invoer gegevens (N)'!$F$20/12))*F55*MIN(BA55,BC55)</f>
        <v>0</v>
      </c>
      <c r="I55" s="84">
        <f t="shared" ca="1" si="0"/>
        <v>0</v>
      </c>
      <c r="J55" s="84">
        <f ca="1">('Invoer gegevens (N)'!$F$20/12)*F54*MIN(BA55,BC55)</f>
        <v>0</v>
      </c>
      <c r="K55" s="97">
        <f t="shared" ca="1" si="5"/>
        <v>0</v>
      </c>
      <c r="L55" s="84">
        <f ca="1">IF('Invoer gegevens (N)'!$C$17=E55,0,IF(C55=1,Q54,0))</f>
        <v>0</v>
      </c>
      <c r="M55" s="96">
        <f t="shared" ca="1" si="1"/>
        <v>0</v>
      </c>
      <c r="N55" s="84">
        <f ca="1">(1-('Invoer gegevens (N)'!$F$20/12))*L55*MIN(BA55,BC55)</f>
        <v>0</v>
      </c>
      <c r="O55" s="84">
        <f t="shared" ca="1" si="2"/>
        <v>0</v>
      </c>
      <c r="P55" s="84">
        <f ca="1">('Invoer gegevens (N)'!$F$20/12)*L54*MIN(BA55,BC55)</f>
        <v>0</v>
      </c>
      <c r="Q55" s="84">
        <f t="shared" ca="1" si="6"/>
        <v>0</v>
      </c>
      <c r="R55" s="85">
        <f ca="1">IF('Invoer gegevens (N)'!$C$17=E55,'Invoer gegevens (N)'!$C$11,IF(C55=1,W54,0))</f>
        <v>0</v>
      </c>
      <c r="S55" s="86">
        <f t="shared" ca="1" si="3"/>
        <v>0</v>
      </c>
      <c r="T55" s="86">
        <f ca="1">(1-('Invoer gegevens (N)'!$F$20/12))*R55*MIN(BC55,BA55)</f>
        <v>0</v>
      </c>
      <c r="U55" s="86">
        <f ca="1">IF(BD55&lt;1,IF('Reeksen (N)'!AD55&lt;='Reeksen (N)'!AE55,R55*'Reeksen (N)'!C55,0),IF(BC55&gt;=BA55,0,IF('Reeksen (N)'!AD55&lt;='Reeksen (N)'!AE55,(BA55-BC55)*R55,0)))</f>
        <v>0</v>
      </c>
      <c r="V55" s="86">
        <f ca="1">IF(BD55&lt;1,IF('Reeksen (N)'!AD55&gt;'Reeksen (N)'!AE55,R55*'Reeksen (N)'!C55,0),IF(BC55&gt;=BA55,0,IF('Reeksen (N)'!AD55&gt;'Reeksen (N)'!AE55,(BA55-BC55)*R55,0)))</f>
        <v>0</v>
      </c>
      <c r="W55" s="218">
        <f t="shared" ca="1" si="7"/>
        <v>0</v>
      </c>
      <c r="X55" s="98">
        <f ca="1">IF('Invoer gegevens (N)'!$C$17=E55,'Invoer gegevens (N)'!$C$10-'Invoer gegevens (N)'!$C$11,IF(C55=1,AC54,0))</f>
        <v>0</v>
      </c>
      <c r="Y55" s="98">
        <f t="shared" ca="1" si="4"/>
        <v>0</v>
      </c>
      <c r="Z55" s="98">
        <f ca="1">(1-('Invoer gegevens (N)'!$F$20/12))*X55*MIN(BA55,BC55)</f>
        <v>0</v>
      </c>
      <c r="AA55" s="98">
        <f ca="1">IF(BD55&lt;1,IF('Reeksen (N)'!AD55&lt;='Reeksen (N)'!AE55,X55*'Reeksen (N)'!C55,0),IF(BC55&gt;=BA55,0,IF('Reeksen (N)'!AD55&lt;='Reeksen (N)'!AE55,(BA55-BC55)*X55,0)))</f>
        <v>0</v>
      </c>
      <c r="AB55" s="98">
        <f ca="1">IF(BD55&lt;1,IF('Reeksen (N)'!AD55&gt;'Reeksen (N)'!AE55,X55*'Reeksen (N)'!C55,0),IF(BC55&gt;=BA55,0,IF('Reeksen (N)'!AD55&gt;'Reeksen (N)'!AE55,(BA55-BC55)*X55,0)))</f>
        <v>0</v>
      </c>
      <c r="AC55" s="99">
        <f t="shared" ca="1" si="8"/>
        <v>0</v>
      </c>
      <c r="AD55" s="98">
        <f ca="1">IF('Invoer gegevens (N)'!$C$17=E55,R55,IF(C55=0,0,AE54))</f>
        <v>0</v>
      </c>
      <c r="AE55" s="98">
        <f t="shared" ca="1" si="9"/>
        <v>0</v>
      </c>
      <c r="AF55" s="98">
        <f ca="1">IF('Invoer gegevens (N)'!$C$17=E55,X55,IF(C55=0,0,AG54))</f>
        <v>0</v>
      </c>
      <c r="AG55" s="98">
        <f t="shared" ca="1" si="10"/>
        <v>0</v>
      </c>
      <c r="AH55" s="66"/>
      <c r="AI55" s="71">
        <f ca="1">IF(C55=1,'Reeksen (N)'!AI55*((F55+K55)/2)*12+'Reeksen (N)'!AD55*((L55+Q55)/2)*12,0)</f>
        <v>0</v>
      </c>
      <c r="AJ55" s="71">
        <f ca="1">-AI55*'Invoer gegevens (N)'!$F$28</f>
        <v>0</v>
      </c>
      <c r="AK55" s="71">
        <f t="shared" ca="1" si="11"/>
        <v>0</v>
      </c>
      <c r="AL55" s="71">
        <f ca="1">IF(C55=1,'Reeksen (N)'!AL55*((F55-G55+F55)/2)*12+'Reeksen (N)'!AM55*((L55-M55+L55)/2)*12,0)</f>
        <v>0</v>
      </c>
      <c r="AM55" s="71">
        <f ca="1">-AL55*'Invoer gegevens (N)'!$F$31</f>
        <v>0</v>
      </c>
      <c r="AN55" s="71">
        <f t="shared" ca="1" si="12"/>
        <v>0</v>
      </c>
      <c r="AO55" s="71">
        <f ca="1">IF(C55=1,(H55+J55+N55+P55)*'Reeksen (N)'!AN55,0)</f>
        <v>0</v>
      </c>
      <c r="AP55" s="71">
        <f ca="1">-IF(C55=1,(H55+J55+N55+P55)*'Hulp - basis'!$O$550*'Reeksen (N)'!H55,0)</f>
        <v>0</v>
      </c>
      <c r="AQ55" s="71">
        <f ca="1">-IF(C55=1,(F55+K55+L55+Q55)/2*'Invoer gegevens (N)'!$F$35*'Reeksen (N)'!J55,0)*2</f>
        <v>0</v>
      </c>
      <c r="AR55" s="71">
        <f ca="1">IF(BD55&lt;1,-IF(C55=1,(G55*'Invoer gegevens (N)'!$F$36)*'Reeksen (N)'!J55,0),0)</f>
        <v>0</v>
      </c>
      <c r="AS55" s="71">
        <f ca="1">-IF(C55=1,(F55+K55+L55+Q55)/2*'Invoer gegevens (N)'!$F$37*'Reeksen (N)'!L55,0)</f>
        <v>0</v>
      </c>
      <c r="AT55" s="71">
        <f ca="1">-IF(C55=1,IF(E55='Invoer gegevens (N)'!$C$17,'Invoer gegevens (N)'!$C$11,AD55)*'Reeksen (N)'!S55*'Invoer gegevens (N)'!$C$18*'Reeksen (N)'!P55,0)</f>
        <v>0</v>
      </c>
      <c r="AU55" s="71">
        <f ca="1">-IF(C55=1,(F55+K55+L55+Q55)/2*'Invoer gegevens (N)'!$F$38*'Reeksen (N)'!H55,0)</f>
        <v>0</v>
      </c>
      <c r="AV55" s="71">
        <v>0</v>
      </c>
      <c r="AW55" s="71">
        <f t="shared" ca="1" si="13"/>
        <v>0</v>
      </c>
      <c r="AX55" s="71">
        <f ca="1">IF(E55&lt;'Invoer gegevens (N)'!$C$17+15,0,IF(E55&gt;'Invoer gegevens (N)'!$C$17+215,0,AW55))</f>
        <v>0</v>
      </c>
      <c r="AY55" s="71">
        <f ca="1">AX55/(1+'Invoer gegevens (N)'!$F$18)^($AZ55-('Invoer gegevens (N)'!$C$17-'Invoer gegevens (N)'!$C$16))/(1+'Invoer gegevens (N)'!$C$39)^('Invoer gegevens (N)'!$C$17-'Invoer gegevens (N)'!$C$16)</f>
        <v>0</v>
      </c>
      <c r="AZ55" s="68">
        <f ca="1">IF(E55-'Invoer gegevens (N)'!$C$17-14.5&lt;0,0,E55-'Invoer gegevens (N)'!$C$17-14.5)</f>
        <v>35.5</v>
      </c>
      <c r="BA55" s="109">
        <f ca="1">IFERROR(VLOOKUP(E55-15,'Reeksen (N)'!$A$5:$D$234,2,FALSE),0)</f>
        <v>0</v>
      </c>
      <c r="BB55" s="109">
        <f ca="1">IFERROR(VLOOKUP(E55-15,'Reeksen (N)'!$A$5:$D$234,3,FALSE),0)</f>
        <v>0</v>
      </c>
      <c r="BC55" s="109">
        <f ca="1">IFERROR(VLOOKUP(E55-15,'Reeksen (N)'!$A$5:$D$234,4,FALSE),0)</f>
        <v>0</v>
      </c>
      <c r="BD55" s="67">
        <f ca="1">IF(E55-'Invoer gegevens (N)'!$C$17&lt;15,0,1)</f>
        <v>1</v>
      </c>
    </row>
    <row r="56" spans="1:56" x14ac:dyDescent="0.25">
      <c r="A56" s="59"/>
      <c r="B56" s="70">
        <f t="shared" si="14"/>
        <v>52</v>
      </c>
      <c r="C56" s="67">
        <f ca="1">IF(E56-'Invoer gegevens (N)'!$C$17&lt;0,0,1)</f>
        <v>1</v>
      </c>
      <c r="D56" s="68">
        <f t="shared" si="15"/>
        <v>51.5</v>
      </c>
      <c r="E56" s="108">
        <f ca="1">IF('Invoer gegevens (N)'!$C$16="","",E55+1)</f>
        <v>2070</v>
      </c>
      <c r="F56" s="84">
        <f ca="1">IF('Invoer gegevens (N)'!$C$17=E56,'Invoer gegevens (N)'!$C$10,IF(C56=1,K55,0))</f>
        <v>0</v>
      </c>
      <c r="G56" s="96">
        <f ca="1">IF(BD56&lt;1,F56*'Reeksen (N)'!C56,IF(C56&gt;=1,F56*BA56,0))</f>
        <v>0</v>
      </c>
      <c r="H56" s="84">
        <f ca="1">(1-('Invoer gegevens (N)'!$F$20/12))*F56*MIN(BA56,BC56)</f>
        <v>0</v>
      </c>
      <c r="I56" s="84">
        <f t="shared" ca="1" si="0"/>
        <v>0</v>
      </c>
      <c r="J56" s="84">
        <f ca="1">('Invoer gegevens (N)'!$F$20/12)*F55*MIN(BA56,BC56)</f>
        <v>0</v>
      </c>
      <c r="K56" s="97">
        <f t="shared" ca="1" si="5"/>
        <v>0</v>
      </c>
      <c r="L56" s="84">
        <f ca="1">IF('Invoer gegevens (N)'!$C$17=E56,0,IF(C56=1,Q55,0))</f>
        <v>0</v>
      </c>
      <c r="M56" s="96">
        <f t="shared" ca="1" si="1"/>
        <v>0</v>
      </c>
      <c r="N56" s="84">
        <f ca="1">(1-('Invoer gegevens (N)'!$F$20/12))*L56*MIN(BA56,BC56)</f>
        <v>0</v>
      </c>
      <c r="O56" s="84">
        <f t="shared" ca="1" si="2"/>
        <v>0</v>
      </c>
      <c r="P56" s="84">
        <f ca="1">('Invoer gegevens (N)'!$F$20/12)*L55*MIN(BA56,BC56)</f>
        <v>0</v>
      </c>
      <c r="Q56" s="84">
        <f t="shared" ca="1" si="6"/>
        <v>0</v>
      </c>
      <c r="R56" s="85">
        <f ca="1">IF('Invoer gegevens (N)'!$C$17=E56,'Invoer gegevens (N)'!$C$11,IF(C56=1,W55,0))</f>
        <v>0</v>
      </c>
      <c r="S56" s="86">
        <f t="shared" ca="1" si="3"/>
        <v>0</v>
      </c>
      <c r="T56" s="86">
        <f ca="1">(1-('Invoer gegevens (N)'!$F$20/12))*R56*MIN(BC56,BA56)</f>
        <v>0</v>
      </c>
      <c r="U56" s="86">
        <f ca="1">IF(BD56&lt;1,IF('Reeksen (N)'!AD56&lt;='Reeksen (N)'!AE56,R56*'Reeksen (N)'!C56,0),IF(BC56&gt;=BA56,0,IF('Reeksen (N)'!AD56&lt;='Reeksen (N)'!AE56,(BA56-BC56)*R56,0)))</f>
        <v>0</v>
      </c>
      <c r="V56" s="86">
        <f ca="1">IF(BD56&lt;1,IF('Reeksen (N)'!AD56&gt;'Reeksen (N)'!AE56,R56*'Reeksen (N)'!C56,0),IF(BC56&gt;=BA56,0,IF('Reeksen (N)'!AD56&gt;'Reeksen (N)'!AE56,(BA56-BC56)*R56,0)))</f>
        <v>0</v>
      </c>
      <c r="W56" s="218">
        <f t="shared" ca="1" si="7"/>
        <v>0</v>
      </c>
      <c r="X56" s="98">
        <f ca="1">IF('Invoer gegevens (N)'!$C$17=E56,'Invoer gegevens (N)'!$C$10-'Invoer gegevens (N)'!$C$11,IF(C56=1,AC55,0))</f>
        <v>0</v>
      </c>
      <c r="Y56" s="98">
        <f t="shared" ca="1" si="4"/>
        <v>0</v>
      </c>
      <c r="Z56" s="98">
        <f ca="1">(1-('Invoer gegevens (N)'!$F$20/12))*X56*MIN(BA56,BC56)</f>
        <v>0</v>
      </c>
      <c r="AA56" s="98">
        <f ca="1">IF(BD56&lt;1,IF('Reeksen (N)'!AD56&lt;='Reeksen (N)'!AE56,X56*'Reeksen (N)'!C56,0),IF(BC56&gt;=BA56,0,IF('Reeksen (N)'!AD56&lt;='Reeksen (N)'!AE56,(BA56-BC56)*X56,0)))</f>
        <v>0</v>
      </c>
      <c r="AB56" s="98">
        <f ca="1">IF(BD56&lt;1,IF('Reeksen (N)'!AD56&gt;'Reeksen (N)'!AE56,X56*'Reeksen (N)'!C56,0),IF(BC56&gt;=BA56,0,IF('Reeksen (N)'!AD56&gt;'Reeksen (N)'!AE56,(BA56-BC56)*X56,0)))</f>
        <v>0</v>
      </c>
      <c r="AC56" s="99">
        <f t="shared" ca="1" si="8"/>
        <v>0</v>
      </c>
      <c r="AD56" s="98">
        <f ca="1">IF('Invoer gegevens (N)'!$C$17=E56,R56,IF(C56=0,0,AE55))</f>
        <v>0</v>
      </c>
      <c r="AE56" s="98">
        <f t="shared" ca="1" si="9"/>
        <v>0</v>
      </c>
      <c r="AF56" s="98">
        <f ca="1">IF('Invoer gegevens (N)'!$C$17=E56,X56,IF(C56=0,0,AG55))</f>
        <v>0</v>
      </c>
      <c r="AG56" s="98">
        <f t="shared" ca="1" si="10"/>
        <v>0</v>
      </c>
      <c r="AH56" s="66"/>
      <c r="AI56" s="71">
        <f ca="1">IF(C56=1,'Reeksen (N)'!AI56*((F56+K56)/2)*12+'Reeksen (N)'!AD56*((L56+Q56)/2)*12,0)</f>
        <v>0</v>
      </c>
      <c r="AJ56" s="71">
        <f ca="1">-AI56*'Invoer gegevens (N)'!$F$28</f>
        <v>0</v>
      </c>
      <c r="AK56" s="71">
        <f t="shared" ca="1" si="11"/>
        <v>0</v>
      </c>
      <c r="AL56" s="71">
        <f ca="1">IF(C56=1,'Reeksen (N)'!AL56*((F56-G56+F56)/2)*12+'Reeksen (N)'!AM56*((L56-M56+L56)/2)*12,0)</f>
        <v>0</v>
      </c>
      <c r="AM56" s="71">
        <f ca="1">-AL56*'Invoer gegevens (N)'!$F$31</f>
        <v>0</v>
      </c>
      <c r="AN56" s="71">
        <f t="shared" ca="1" si="12"/>
        <v>0</v>
      </c>
      <c r="AO56" s="71">
        <f ca="1">IF(C56=1,(H56+J56+N56+P56)*'Reeksen (N)'!AN56,0)</f>
        <v>0</v>
      </c>
      <c r="AP56" s="71">
        <f ca="1">-IF(C56=1,(H56+J56+N56+P56)*'Hulp - basis'!$O$550*'Reeksen (N)'!H56,0)</f>
        <v>0</v>
      </c>
      <c r="AQ56" s="71">
        <f ca="1">-IF(C56=1,(F56+K56+L56+Q56)/2*'Invoer gegevens (N)'!$F$35*'Reeksen (N)'!J56,0)*2</f>
        <v>0</v>
      </c>
      <c r="AR56" s="71">
        <f ca="1">IF(BD56&lt;1,-IF(C56=1,(G56*'Invoer gegevens (N)'!$F$36)*'Reeksen (N)'!J56,0),0)</f>
        <v>0</v>
      </c>
      <c r="AS56" s="71">
        <f ca="1">-IF(C56=1,(F56+K56+L56+Q56)/2*'Invoer gegevens (N)'!$F$37*'Reeksen (N)'!L56,0)</f>
        <v>0</v>
      </c>
      <c r="AT56" s="71">
        <f ca="1">-IF(C56=1,IF(E56='Invoer gegevens (N)'!$C$17,'Invoer gegevens (N)'!$C$11,AD56)*'Reeksen (N)'!S56*'Invoer gegevens (N)'!$C$18*'Reeksen (N)'!P56,0)</f>
        <v>0</v>
      </c>
      <c r="AU56" s="71">
        <f ca="1">-IF(C56=1,(F56+K56+L56+Q56)/2*'Invoer gegevens (N)'!$F$38*'Reeksen (N)'!H56,0)</f>
        <v>0</v>
      </c>
      <c r="AV56" s="71">
        <v>0</v>
      </c>
      <c r="AW56" s="71">
        <f t="shared" ca="1" si="13"/>
        <v>0</v>
      </c>
      <c r="AX56" s="71">
        <f ca="1">IF(E56&lt;'Invoer gegevens (N)'!$C$17+15,0,IF(E56&gt;'Invoer gegevens (N)'!$C$17+215,0,AW56))</f>
        <v>0</v>
      </c>
      <c r="AY56" s="71">
        <f ca="1">AX56/(1+'Invoer gegevens (N)'!$F$18)^($AZ56-('Invoer gegevens (N)'!$C$17-'Invoer gegevens (N)'!$C$16))/(1+'Invoer gegevens (N)'!$C$39)^('Invoer gegevens (N)'!$C$17-'Invoer gegevens (N)'!$C$16)</f>
        <v>0</v>
      </c>
      <c r="AZ56" s="68">
        <f ca="1">IF(E56-'Invoer gegevens (N)'!$C$17-14.5&lt;0,0,E56-'Invoer gegevens (N)'!$C$17-14.5)</f>
        <v>36.5</v>
      </c>
      <c r="BA56" s="109">
        <f ca="1">IFERROR(VLOOKUP(E56-15,'Reeksen (N)'!$A$5:$D$234,2,FALSE),0)</f>
        <v>0</v>
      </c>
      <c r="BB56" s="109">
        <f ca="1">IFERROR(VLOOKUP(E56-15,'Reeksen (N)'!$A$5:$D$234,3,FALSE),0)</f>
        <v>0</v>
      </c>
      <c r="BC56" s="109">
        <f ca="1">IFERROR(VLOOKUP(E56-15,'Reeksen (N)'!$A$5:$D$234,4,FALSE),0)</f>
        <v>0</v>
      </c>
      <c r="BD56" s="67">
        <f ca="1">IF(E56-'Invoer gegevens (N)'!$C$17&lt;15,0,1)</f>
        <v>1</v>
      </c>
    </row>
    <row r="57" spans="1:56" x14ac:dyDescent="0.25">
      <c r="A57" s="59"/>
      <c r="B57" s="70">
        <f t="shared" si="14"/>
        <v>53</v>
      </c>
      <c r="C57" s="67">
        <f ca="1">IF(E57-'Invoer gegevens (N)'!$C$17&lt;0,0,1)</f>
        <v>1</v>
      </c>
      <c r="D57" s="68">
        <f t="shared" si="15"/>
        <v>52.5</v>
      </c>
      <c r="E57" s="108">
        <f ca="1">IF('Invoer gegevens (N)'!$C$16="","",E56+1)</f>
        <v>2071</v>
      </c>
      <c r="F57" s="84">
        <f ca="1">IF('Invoer gegevens (N)'!$C$17=E57,'Invoer gegevens (N)'!$C$10,IF(C57=1,K56,0))</f>
        <v>0</v>
      </c>
      <c r="G57" s="96">
        <f ca="1">IF(BD57&lt;1,F57*'Reeksen (N)'!C57,IF(C57&gt;=1,F57*BA57,0))</f>
        <v>0</v>
      </c>
      <c r="H57" s="84">
        <f ca="1">(1-('Invoer gegevens (N)'!$F$20/12))*F57*MIN(BA57,BC57)</f>
        <v>0</v>
      </c>
      <c r="I57" s="84">
        <f t="shared" ca="1" si="0"/>
        <v>0</v>
      </c>
      <c r="J57" s="84">
        <f ca="1">('Invoer gegevens (N)'!$F$20/12)*F56*MIN(BA57,BC57)</f>
        <v>0</v>
      </c>
      <c r="K57" s="97">
        <f t="shared" ca="1" si="5"/>
        <v>0</v>
      </c>
      <c r="L57" s="84">
        <f ca="1">IF('Invoer gegevens (N)'!$C$17=E57,0,IF(C57=1,Q56,0))</f>
        <v>0</v>
      </c>
      <c r="M57" s="96">
        <f t="shared" ca="1" si="1"/>
        <v>0</v>
      </c>
      <c r="N57" s="84">
        <f ca="1">(1-('Invoer gegevens (N)'!$F$20/12))*L57*MIN(BA57,BC57)</f>
        <v>0</v>
      </c>
      <c r="O57" s="84">
        <f t="shared" ca="1" si="2"/>
        <v>0</v>
      </c>
      <c r="P57" s="84">
        <f ca="1">('Invoer gegevens (N)'!$F$20/12)*L56*MIN(BA57,BC57)</f>
        <v>0</v>
      </c>
      <c r="Q57" s="84">
        <f t="shared" ca="1" si="6"/>
        <v>0</v>
      </c>
      <c r="R57" s="85">
        <f ca="1">IF('Invoer gegevens (N)'!$C$17=E57,'Invoer gegevens (N)'!$C$11,IF(C57=1,W56,0))</f>
        <v>0</v>
      </c>
      <c r="S57" s="86">
        <f t="shared" ca="1" si="3"/>
        <v>0</v>
      </c>
      <c r="T57" s="86">
        <f ca="1">(1-('Invoer gegevens (N)'!$F$20/12))*R57*MIN(BC57,BA57)</f>
        <v>0</v>
      </c>
      <c r="U57" s="86">
        <f ca="1">IF(BD57&lt;1,IF('Reeksen (N)'!AD57&lt;='Reeksen (N)'!AE57,R57*'Reeksen (N)'!C57,0),IF(BC57&gt;=BA57,0,IF('Reeksen (N)'!AD57&lt;='Reeksen (N)'!AE57,(BA57-BC57)*R57,0)))</f>
        <v>0</v>
      </c>
      <c r="V57" s="86">
        <f ca="1">IF(BD57&lt;1,IF('Reeksen (N)'!AD57&gt;'Reeksen (N)'!AE57,R57*'Reeksen (N)'!C57,0),IF(BC57&gt;=BA57,0,IF('Reeksen (N)'!AD57&gt;'Reeksen (N)'!AE57,(BA57-BC57)*R57,0)))</f>
        <v>0</v>
      </c>
      <c r="W57" s="218">
        <f t="shared" ca="1" si="7"/>
        <v>0</v>
      </c>
      <c r="X57" s="98">
        <f ca="1">IF('Invoer gegevens (N)'!$C$17=E57,'Invoer gegevens (N)'!$C$10-'Invoer gegevens (N)'!$C$11,IF(C57=1,AC56,0))</f>
        <v>0</v>
      </c>
      <c r="Y57" s="98">
        <f t="shared" ca="1" si="4"/>
        <v>0</v>
      </c>
      <c r="Z57" s="98">
        <f ca="1">(1-('Invoer gegevens (N)'!$F$20/12))*X57*MIN(BA57,BC57)</f>
        <v>0</v>
      </c>
      <c r="AA57" s="98">
        <f ca="1">IF(BD57&lt;1,IF('Reeksen (N)'!AD57&lt;='Reeksen (N)'!AE57,X57*'Reeksen (N)'!C57,0),IF(BC57&gt;=BA57,0,IF('Reeksen (N)'!AD57&lt;='Reeksen (N)'!AE57,(BA57-BC57)*X57,0)))</f>
        <v>0</v>
      </c>
      <c r="AB57" s="98">
        <f ca="1">IF(BD57&lt;1,IF('Reeksen (N)'!AD57&gt;'Reeksen (N)'!AE57,X57*'Reeksen (N)'!C57,0),IF(BC57&gt;=BA57,0,IF('Reeksen (N)'!AD57&gt;'Reeksen (N)'!AE57,(BA57-BC57)*X57,0)))</f>
        <v>0</v>
      </c>
      <c r="AC57" s="99">
        <f t="shared" ca="1" si="8"/>
        <v>0</v>
      </c>
      <c r="AD57" s="98">
        <f ca="1">IF('Invoer gegevens (N)'!$C$17=E57,R57,IF(C57=0,0,AE56))</f>
        <v>0</v>
      </c>
      <c r="AE57" s="98">
        <f t="shared" ca="1" si="9"/>
        <v>0</v>
      </c>
      <c r="AF57" s="98">
        <f ca="1">IF('Invoer gegevens (N)'!$C$17=E57,X57,IF(C57=0,0,AG56))</f>
        <v>0</v>
      </c>
      <c r="AG57" s="98">
        <f t="shared" ca="1" si="10"/>
        <v>0</v>
      </c>
      <c r="AH57" s="66"/>
      <c r="AI57" s="71">
        <f ca="1">IF(C57=1,'Reeksen (N)'!AI57*((F57+K57)/2)*12+'Reeksen (N)'!AD57*((L57+Q57)/2)*12,0)</f>
        <v>0</v>
      </c>
      <c r="AJ57" s="71">
        <f ca="1">-AI57*'Invoer gegevens (N)'!$F$28</f>
        <v>0</v>
      </c>
      <c r="AK57" s="71">
        <f t="shared" ca="1" si="11"/>
        <v>0</v>
      </c>
      <c r="AL57" s="71">
        <f ca="1">IF(C57=1,'Reeksen (N)'!AL57*((F57-G57+F57)/2)*12+'Reeksen (N)'!AM57*((L57-M57+L57)/2)*12,0)</f>
        <v>0</v>
      </c>
      <c r="AM57" s="71">
        <f ca="1">-AL57*'Invoer gegevens (N)'!$F$31</f>
        <v>0</v>
      </c>
      <c r="AN57" s="71">
        <f t="shared" ca="1" si="12"/>
        <v>0</v>
      </c>
      <c r="AO57" s="71">
        <f ca="1">IF(C57=1,(H57+J57+N57+P57)*'Reeksen (N)'!AN57,0)</f>
        <v>0</v>
      </c>
      <c r="AP57" s="71">
        <f ca="1">-IF(C57=1,(H57+J57+N57+P57)*'Hulp - basis'!$O$550*'Reeksen (N)'!H57,0)</f>
        <v>0</v>
      </c>
      <c r="AQ57" s="71">
        <f ca="1">-IF(C57=1,(F57+K57+L57+Q57)/2*'Invoer gegevens (N)'!$F$35*'Reeksen (N)'!J57,0)*2</f>
        <v>0</v>
      </c>
      <c r="AR57" s="71">
        <f ca="1">IF(BD57&lt;1,-IF(C57=1,(G57*'Invoer gegevens (N)'!$F$36)*'Reeksen (N)'!J57,0),0)</f>
        <v>0</v>
      </c>
      <c r="AS57" s="71">
        <f ca="1">-IF(C57=1,(F57+K57+L57+Q57)/2*'Invoer gegevens (N)'!$F$37*'Reeksen (N)'!L57,0)</f>
        <v>0</v>
      </c>
      <c r="AT57" s="71">
        <f ca="1">-IF(C57=1,IF(E57='Invoer gegevens (N)'!$C$17,'Invoer gegevens (N)'!$C$11,AD57)*'Reeksen (N)'!S57*'Invoer gegevens (N)'!$C$18*'Reeksen (N)'!P57,0)</f>
        <v>0</v>
      </c>
      <c r="AU57" s="71">
        <f ca="1">-IF(C57=1,(F57+K57+L57+Q57)/2*'Invoer gegevens (N)'!$F$38*'Reeksen (N)'!H57,0)</f>
        <v>0</v>
      </c>
      <c r="AV57" s="71">
        <v>0</v>
      </c>
      <c r="AW57" s="71">
        <f t="shared" ca="1" si="13"/>
        <v>0</v>
      </c>
      <c r="AX57" s="71">
        <f ca="1">IF(E57&lt;'Invoer gegevens (N)'!$C$17+15,0,IF(E57&gt;'Invoer gegevens (N)'!$C$17+215,0,AW57))</f>
        <v>0</v>
      </c>
      <c r="AY57" s="71">
        <f ca="1">AX57/(1+'Invoer gegevens (N)'!$F$18)^($AZ57-('Invoer gegevens (N)'!$C$17-'Invoer gegevens (N)'!$C$16))/(1+'Invoer gegevens (N)'!$C$39)^('Invoer gegevens (N)'!$C$17-'Invoer gegevens (N)'!$C$16)</f>
        <v>0</v>
      </c>
      <c r="AZ57" s="68">
        <f ca="1">IF(E57-'Invoer gegevens (N)'!$C$17-14.5&lt;0,0,E57-'Invoer gegevens (N)'!$C$17-14.5)</f>
        <v>37.5</v>
      </c>
      <c r="BA57" s="109">
        <f ca="1">IFERROR(VLOOKUP(E57-15,'Reeksen (N)'!$A$5:$D$234,2,FALSE),0)</f>
        <v>0</v>
      </c>
      <c r="BB57" s="109">
        <f ca="1">IFERROR(VLOOKUP(E57-15,'Reeksen (N)'!$A$5:$D$234,3,FALSE),0)</f>
        <v>0</v>
      </c>
      <c r="BC57" s="109">
        <f ca="1">IFERROR(VLOOKUP(E57-15,'Reeksen (N)'!$A$5:$D$234,4,FALSE),0)</f>
        <v>0</v>
      </c>
      <c r="BD57" s="67">
        <f ca="1">IF(E57-'Invoer gegevens (N)'!$C$17&lt;15,0,1)</f>
        <v>1</v>
      </c>
    </row>
    <row r="58" spans="1:56" x14ac:dyDescent="0.25">
      <c r="A58" s="59"/>
      <c r="B58" s="70">
        <f t="shared" si="14"/>
        <v>54</v>
      </c>
      <c r="C58" s="67">
        <f ca="1">IF(E58-'Invoer gegevens (N)'!$C$17&lt;0,0,1)</f>
        <v>1</v>
      </c>
      <c r="D58" s="68">
        <f t="shared" si="15"/>
        <v>53.5</v>
      </c>
      <c r="E58" s="108">
        <f ca="1">IF('Invoer gegevens (N)'!$C$16="","",E57+1)</f>
        <v>2072</v>
      </c>
      <c r="F58" s="84">
        <f ca="1">IF('Invoer gegevens (N)'!$C$17=E58,'Invoer gegevens (N)'!$C$10,IF(C58=1,K57,0))</f>
        <v>0</v>
      </c>
      <c r="G58" s="96">
        <f ca="1">IF(BD58&lt;1,F58*'Reeksen (N)'!C58,IF(C58&gt;=1,F58*BA58,0))</f>
        <v>0</v>
      </c>
      <c r="H58" s="84">
        <f ca="1">(1-('Invoer gegevens (N)'!$F$20/12))*F58*MIN(BA58,BC58)</f>
        <v>0</v>
      </c>
      <c r="I58" s="84">
        <f t="shared" ca="1" si="0"/>
        <v>0</v>
      </c>
      <c r="J58" s="84">
        <f ca="1">('Invoer gegevens (N)'!$F$20/12)*F57*MIN(BA58,BC58)</f>
        <v>0</v>
      </c>
      <c r="K58" s="97">
        <f t="shared" ca="1" si="5"/>
        <v>0</v>
      </c>
      <c r="L58" s="84">
        <f ca="1">IF('Invoer gegevens (N)'!$C$17=E58,0,IF(C58=1,Q57,0))</f>
        <v>0</v>
      </c>
      <c r="M58" s="96">
        <f t="shared" ca="1" si="1"/>
        <v>0</v>
      </c>
      <c r="N58" s="84">
        <f ca="1">(1-('Invoer gegevens (N)'!$F$20/12))*L58*MIN(BA58,BC58)</f>
        <v>0</v>
      </c>
      <c r="O58" s="84">
        <f t="shared" ca="1" si="2"/>
        <v>0</v>
      </c>
      <c r="P58" s="84">
        <f ca="1">('Invoer gegevens (N)'!$F$20/12)*L57*MIN(BA58,BC58)</f>
        <v>0</v>
      </c>
      <c r="Q58" s="84">
        <f t="shared" ca="1" si="6"/>
        <v>0</v>
      </c>
      <c r="R58" s="85">
        <f ca="1">IF('Invoer gegevens (N)'!$C$17=E58,'Invoer gegevens (N)'!$C$11,IF(C58=1,W57,0))</f>
        <v>0</v>
      </c>
      <c r="S58" s="86">
        <f t="shared" ca="1" si="3"/>
        <v>0</v>
      </c>
      <c r="T58" s="86">
        <f ca="1">(1-('Invoer gegevens (N)'!$F$20/12))*R58*MIN(BC58,BA58)</f>
        <v>0</v>
      </c>
      <c r="U58" s="86">
        <f ca="1">IF(BD58&lt;1,IF('Reeksen (N)'!AD58&lt;='Reeksen (N)'!AE58,R58*'Reeksen (N)'!C58,0),IF(BC58&gt;=BA58,0,IF('Reeksen (N)'!AD58&lt;='Reeksen (N)'!AE58,(BA58-BC58)*R58,0)))</f>
        <v>0</v>
      </c>
      <c r="V58" s="86">
        <f ca="1">IF(BD58&lt;1,IF('Reeksen (N)'!AD58&gt;'Reeksen (N)'!AE58,R58*'Reeksen (N)'!C58,0),IF(BC58&gt;=BA58,0,IF('Reeksen (N)'!AD58&gt;'Reeksen (N)'!AE58,(BA58-BC58)*R58,0)))</f>
        <v>0</v>
      </c>
      <c r="W58" s="218">
        <f t="shared" ca="1" si="7"/>
        <v>0</v>
      </c>
      <c r="X58" s="98">
        <f ca="1">IF('Invoer gegevens (N)'!$C$17=E58,'Invoer gegevens (N)'!$C$10-'Invoer gegevens (N)'!$C$11,IF(C58=1,AC57,0))</f>
        <v>0</v>
      </c>
      <c r="Y58" s="98">
        <f t="shared" ca="1" si="4"/>
        <v>0</v>
      </c>
      <c r="Z58" s="98">
        <f ca="1">(1-('Invoer gegevens (N)'!$F$20/12))*X58*MIN(BA58,BC58)</f>
        <v>0</v>
      </c>
      <c r="AA58" s="98">
        <f ca="1">IF(BD58&lt;1,IF('Reeksen (N)'!AD58&lt;='Reeksen (N)'!AE58,X58*'Reeksen (N)'!C58,0),IF(BC58&gt;=BA58,0,IF('Reeksen (N)'!AD58&lt;='Reeksen (N)'!AE58,(BA58-BC58)*X58,0)))</f>
        <v>0</v>
      </c>
      <c r="AB58" s="98">
        <f ca="1">IF(BD58&lt;1,IF('Reeksen (N)'!AD58&gt;'Reeksen (N)'!AE58,X58*'Reeksen (N)'!C58,0),IF(BC58&gt;=BA58,0,IF('Reeksen (N)'!AD58&gt;'Reeksen (N)'!AE58,(BA58-BC58)*X58,0)))</f>
        <v>0</v>
      </c>
      <c r="AC58" s="99">
        <f t="shared" ca="1" si="8"/>
        <v>0</v>
      </c>
      <c r="AD58" s="98">
        <f ca="1">IF('Invoer gegevens (N)'!$C$17=E58,R58,IF(C58=0,0,AE57))</f>
        <v>0</v>
      </c>
      <c r="AE58" s="98">
        <f t="shared" ca="1" si="9"/>
        <v>0</v>
      </c>
      <c r="AF58" s="98">
        <f ca="1">IF('Invoer gegevens (N)'!$C$17=E58,X58,IF(C58=0,0,AG57))</f>
        <v>0</v>
      </c>
      <c r="AG58" s="98">
        <f t="shared" ca="1" si="10"/>
        <v>0</v>
      </c>
      <c r="AH58" s="66"/>
      <c r="AI58" s="71">
        <f ca="1">IF(C58=1,'Reeksen (N)'!AI58*((F58+K58)/2)*12+'Reeksen (N)'!AD58*((L58+Q58)/2)*12,0)</f>
        <v>0</v>
      </c>
      <c r="AJ58" s="71">
        <f ca="1">-AI58*'Invoer gegevens (N)'!$F$28</f>
        <v>0</v>
      </c>
      <c r="AK58" s="71">
        <f t="shared" ca="1" si="11"/>
        <v>0</v>
      </c>
      <c r="AL58" s="71">
        <f ca="1">IF(C58=1,'Reeksen (N)'!AL58*((F58-G58+F58)/2)*12+'Reeksen (N)'!AM58*((L58-M58+L58)/2)*12,0)</f>
        <v>0</v>
      </c>
      <c r="AM58" s="71">
        <f ca="1">-AL58*'Invoer gegevens (N)'!$F$31</f>
        <v>0</v>
      </c>
      <c r="AN58" s="71">
        <f t="shared" ca="1" si="12"/>
        <v>0</v>
      </c>
      <c r="AO58" s="71">
        <f ca="1">IF(C58=1,(H58+J58+N58+P58)*'Reeksen (N)'!AN58,0)</f>
        <v>0</v>
      </c>
      <c r="AP58" s="71">
        <f ca="1">-IF(C58=1,(H58+J58+N58+P58)*'Hulp - basis'!$O$550*'Reeksen (N)'!H58,0)</f>
        <v>0</v>
      </c>
      <c r="AQ58" s="71">
        <f ca="1">-IF(C58=1,(F58+K58+L58+Q58)/2*'Invoer gegevens (N)'!$F$35*'Reeksen (N)'!J58,0)*2</f>
        <v>0</v>
      </c>
      <c r="AR58" s="71">
        <f ca="1">IF(BD58&lt;1,-IF(C58=1,(G58*'Invoer gegevens (N)'!$F$36)*'Reeksen (N)'!J58,0),0)</f>
        <v>0</v>
      </c>
      <c r="AS58" s="71">
        <f ca="1">-IF(C58=1,(F58+K58+L58+Q58)/2*'Invoer gegevens (N)'!$F$37*'Reeksen (N)'!L58,0)</f>
        <v>0</v>
      </c>
      <c r="AT58" s="71">
        <f ca="1">-IF(C58=1,IF(E58='Invoer gegevens (N)'!$C$17,'Invoer gegevens (N)'!$C$11,AD58)*'Reeksen (N)'!S58*'Invoer gegevens (N)'!$C$18*'Reeksen (N)'!P58,0)</f>
        <v>0</v>
      </c>
      <c r="AU58" s="71">
        <f ca="1">-IF(C58=1,(F58+K58+L58+Q58)/2*'Invoer gegevens (N)'!$F$38*'Reeksen (N)'!H58,0)</f>
        <v>0</v>
      </c>
      <c r="AV58" s="71">
        <v>0</v>
      </c>
      <c r="AW58" s="71">
        <f t="shared" ca="1" si="13"/>
        <v>0</v>
      </c>
      <c r="AX58" s="71">
        <f ca="1">IF(E58&lt;'Invoer gegevens (N)'!$C$17+15,0,IF(E58&gt;'Invoer gegevens (N)'!$C$17+215,0,AW58))</f>
        <v>0</v>
      </c>
      <c r="AY58" s="71">
        <f ca="1">AX58/(1+'Invoer gegevens (N)'!$F$18)^($AZ58-('Invoer gegevens (N)'!$C$17-'Invoer gegevens (N)'!$C$16))/(1+'Invoer gegevens (N)'!$C$39)^('Invoer gegevens (N)'!$C$17-'Invoer gegevens (N)'!$C$16)</f>
        <v>0</v>
      </c>
      <c r="AZ58" s="68">
        <f ca="1">IF(E58-'Invoer gegevens (N)'!$C$17-14.5&lt;0,0,E58-'Invoer gegevens (N)'!$C$17-14.5)</f>
        <v>38.5</v>
      </c>
      <c r="BA58" s="109">
        <f ca="1">IFERROR(VLOOKUP(E58-15,'Reeksen (N)'!$A$5:$D$234,2,FALSE),0)</f>
        <v>0</v>
      </c>
      <c r="BB58" s="109">
        <f ca="1">IFERROR(VLOOKUP(E58-15,'Reeksen (N)'!$A$5:$D$234,3,FALSE),0)</f>
        <v>0</v>
      </c>
      <c r="BC58" s="109">
        <f ca="1">IFERROR(VLOOKUP(E58-15,'Reeksen (N)'!$A$5:$D$234,4,FALSE),0)</f>
        <v>0</v>
      </c>
      <c r="BD58" s="67">
        <f ca="1">IF(E58-'Invoer gegevens (N)'!$C$17&lt;15,0,1)</f>
        <v>1</v>
      </c>
    </row>
    <row r="59" spans="1:56" x14ac:dyDescent="0.25">
      <c r="A59" s="59"/>
      <c r="B59" s="70">
        <f t="shared" si="14"/>
        <v>55</v>
      </c>
      <c r="C59" s="67">
        <f ca="1">IF(E59-'Invoer gegevens (N)'!$C$17&lt;0,0,1)</f>
        <v>1</v>
      </c>
      <c r="D59" s="68">
        <f t="shared" si="15"/>
        <v>54.5</v>
      </c>
      <c r="E59" s="108">
        <f ca="1">IF('Invoer gegevens (N)'!$C$16="","",E58+1)</f>
        <v>2073</v>
      </c>
      <c r="F59" s="84">
        <f ca="1">IF('Invoer gegevens (N)'!$C$17=E59,'Invoer gegevens (N)'!$C$10,IF(C59=1,K58,0))</f>
        <v>0</v>
      </c>
      <c r="G59" s="96">
        <f ca="1">IF(BD59&lt;1,F59*'Reeksen (N)'!C59,IF(C59&gt;=1,F59*BA59,0))</f>
        <v>0</v>
      </c>
      <c r="H59" s="84">
        <f ca="1">(1-('Invoer gegevens (N)'!$F$20/12))*F59*MIN(BA59,BC59)</f>
        <v>0</v>
      </c>
      <c r="I59" s="84">
        <f t="shared" ca="1" si="0"/>
        <v>0</v>
      </c>
      <c r="J59" s="84">
        <f ca="1">('Invoer gegevens (N)'!$F$20/12)*F58*MIN(BA59,BC59)</f>
        <v>0</v>
      </c>
      <c r="K59" s="97">
        <f t="shared" ca="1" si="5"/>
        <v>0</v>
      </c>
      <c r="L59" s="84">
        <f ca="1">IF('Invoer gegevens (N)'!$C$17=E59,0,IF(C59=1,Q58,0))</f>
        <v>0</v>
      </c>
      <c r="M59" s="96">
        <f t="shared" ca="1" si="1"/>
        <v>0</v>
      </c>
      <c r="N59" s="84">
        <f ca="1">(1-('Invoer gegevens (N)'!$F$20/12))*L59*MIN(BA59,BC59)</f>
        <v>0</v>
      </c>
      <c r="O59" s="84">
        <f t="shared" ca="1" si="2"/>
        <v>0</v>
      </c>
      <c r="P59" s="84">
        <f ca="1">('Invoer gegevens (N)'!$F$20/12)*L58*MIN(BA59,BC59)</f>
        <v>0</v>
      </c>
      <c r="Q59" s="84">
        <f t="shared" ca="1" si="6"/>
        <v>0</v>
      </c>
      <c r="R59" s="85">
        <f ca="1">IF('Invoer gegevens (N)'!$C$17=E59,'Invoer gegevens (N)'!$C$11,IF(C59=1,W58,0))</f>
        <v>0</v>
      </c>
      <c r="S59" s="86">
        <f t="shared" ca="1" si="3"/>
        <v>0</v>
      </c>
      <c r="T59" s="86">
        <f ca="1">(1-('Invoer gegevens (N)'!$F$20/12))*R59*MIN(BC59,BA59)</f>
        <v>0</v>
      </c>
      <c r="U59" s="86">
        <f ca="1">IF(BD59&lt;1,IF('Reeksen (N)'!AD59&lt;='Reeksen (N)'!AE59,R59*'Reeksen (N)'!C59,0),IF(BC59&gt;=BA59,0,IF('Reeksen (N)'!AD59&lt;='Reeksen (N)'!AE59,(BA59-BC59)*R59,0)))</f>
        <v>0</v>
      </c>
      <c r="V59" s="86">
        <f ca="1">IF(BD59&lt;1,IF('Reeksen (N)'!AD59&gt;'Reeksen (N)'!AE59,R59*'Reeksen (N)'!C59,0),IF(BC59&gt;=BA59,0,IF('Reeksen (N)'!AD59&gt;'Reeksen (N)'!AE59,(BA59-BC59)*R59,0)))</f>
        <v>0</v>
      </c>
      <c r="W59" s="218">
        <f t="shared" ca="1" si="7"/>
        <v>0</v>
      </c>
      <c r="X59" s="98">
        <f ca="1">IF('Invoer gegevens (N)'!$C$17=E59,'Invoer gegevens (N)'!$C$10-'Invoer gegevens (N)'!$C$11,IF(C59=1,AC58,0))</f>
        <v>0</v>
      </c>
      <c r="Y59" s="98">
        <f t="shared" ca="1" si="4"/>
        <v>0</v>
      </c>
      <c r="Z59" s="98">
        <f ca="1">(1-('Invoer gegevens (N)'!$F$20/12))*X59*MIN(BA59,BC59)</f>
        <v>0</v>
      </c>
      <c r="AA59" s="98">
        <f ca="1">IF(BD59&lt;1,IF('Reeksen (N)'!AD59&lt;='Reeksen (N)'!AE59,X59*'Reeksen (N)'!C59,0),IF(BC59&gt;=BA59,0,IF('Reeksen (N)'!AD59&lt;='Reeksen (N)'!AE59,(BA59-BC59)*X59,0)))</f>
        <v>0</v>
      </c>
      <c r="AB59" s="98">
        <f ca="1">IF(BD59&lt;1,IF('Reeksen (N)'!AD59&gt;'Reeksen (N)'!AE59,X59*'Reeksen (N)'!C59,0),IF(BC59&gt;=BA59,0,IF('Reeksen (N)'!AD59&gt;'Reeksen (N)'!AE59,(BA59-BC59)*X59,0)))</f>
        <v>0</v>
      </c>
      <c r="AC59" s="99">
        <f t="shared" ca="1" si="8"/>
        <v>0</v>
      </c>
      <c r="AD59" s="98">
        <f ca="1">IF('Invoer gegevens (N)'!$C$17=E59,R59,IF(C59=0,0,AE58))</f>
        <v>0</v>
      </c>
      <c r="AE59" s="98">
        <f t="shared" ca="1" si="9"/>
        <v>0</v>
      </c>
      <c r="AF59" s="98">
        <f ca="1">IF('Invoer gegevens (N)'!$C$17=E59,X59,IF(C59=0,0,AG58))</f>
        <v>0</v>
      </c>
      <c r="AG59" s="98">
        <f t="shared" ca="1" si="10"/>
        <v>0</v>
      </c>
      <c r="AH59" s="66"/>
      <c r="AI59" s="71">
        <f ca="1">IF(C59=1,'Reeksen (N)'!AI59*((F59+K59)/2)*12+'Reeksen (N)'!AD59*((L59+Q59)/2)*12,0)</f>
        <v>0</v>
      </c>
      <c r="AJ59" s="71">
        <f ca="1">-AI59*'Invoer gegevens (N)'!$F$28</f>
        <v>0</v>
      </c>
      <c r="AK59" s="71">
        <f t="shared" ca="1" si="11"/>
        <v>0</v>
      </c>
      <c r="AL59" s="71">
        <f ca="1">IF(C59=1,'Reeksen (N)'!AL59*((F59-G59+F59)/2)*12+'Reeksen (N)'!AM59*((L59-M59+L59)/2)*12,0)</f>
        <v>0</v>
      </c>
      <c r="AM59" s="71">
        <f ca="1">-AL59*'Invoer gegevens (N)'!$F$31</f>
        <v>0</v>
      </c>
      <c r="AN59" s="71">
        <f t="shared" ca="1" si="12"/>
        <v>0</v>
      </c>
      <c r="AO59" s="71">
        <f ca="1">IF(C59=1,(H59+J59+N59+P59)*'Reeksen (N)'!AN59,0)</f>
        <v>0</v>
      </c>
      <c r="AP59" s="71">
        <f ca="1">-IF(C59=1,(H59+J59+N59+P59)*'Hulp - basis'!$O$550*'Reeksen (N)'!H59,0)</f>
        <v>0</v>
      </c>
      <c r="AQ59" s="71">
        <f ca="1">-IF(C59=1,(F59+K59+L59+Q59)/2*'Invoer gegevens (N)'!$F$35*'Reeksen (N)'!J59,0)*2</f>
        <v>0</v>
      </c>
      <c r="AR59" s="71">
        <f ca="1">IF(BD59&lt;1,-IF(C59=1,(G59*'Invoer gegevens (N)'!$F$36)*'Reeksen (N)'!J59,0),0)</f>
        <v>0</v>
      </c>
      <c r="AS59" s="71">
        <f ca="1">-IF(C59=1,(F59+K59+L59+Q59)/2*'Invoer gegevens (N)'!$F$37*'Reeksen (N)'!L59,0)</f>
        <v>0</v>
      </c>
      <c r="AT59" s="71">
        <f ca="1">-IF(C59=1,IF(E59='Invoer gegevens (N)'!$C$17,'Invoer gegevens (N)'!$C$11,AD59)*'Reeksen (N)'!S59*'Invoer gegevens (N)'!$C$18*'Reeksen (N)'!P59,0)</f>
        <v>0</v>
      </c>
      <c r="AU59" s="71">
        <f ca="1">-IF(C59=1,(F59+K59+L59+Q59)/2*'Invoer gegevens (N)'!$F$38*'Reeksen (N)'!H59,0)</f>
        <v>0</v>
      </c>
      <c r="AV59" s="71">
        <v>0</v>
      </c>
      <c r="AW59" s="71">
        <f t="shared" ca="1" si="13"/>
        <v>0</v>
      </c>
      <c r="AX59" s="71">
        <f ca="1">IF(E59&lt;'Invoer gegevens (N)'!$C$17+15,0,IF(E59&gt;'Invoer gegevens (N)'!$C$17+215,0,AW59))</f>
        <v>0</v>
      </c>
      <c r="AY59" s="71">
        <f ca="1">AX59/(1+'Invoer gegevens (N)'!$F$18)^($AZ59-('Invoer gegevens (N)'!$C$17-'Invoer gegevens (N)'!$C$16))/(1+'Invoer gegevens (N)'!$C$39)^('Invoer gegevens (N)'!$C$17-'Invoer gegevens (N)'!$C$16)</f>
        <v>0</v>
      </c>
      <c r="AZ59" s="68">
        <f ca="1">IF(E59-'Invoer gegevens (N)'!$C$17-14.5&lt;0,0,E59-'Invoer gegevens (N)'!$C$17-14.5)</f>
        <v>39.5</v>
      </c>
      <c r="BA59" s="109">
        <f ca="1">IFERROR(VLOOKUP(E59-15,'Reeksen (N)'!$A$5:$D$234,2,FALSE),0)</f>
        <v>0</v>
      </c>
      <c r="BB59" s="109">
        <f ca="1">IFERROR(VLOOKUP(E59-15,'Reeksen (N)'!$A$5:$D$234,3,FALSE),0)</f>
        <v>0</v>
      </c>
      <c r="BC59" s="109">
        <f ca="1">IFERROR(VLOOKUP(E59-15,'Reeksen (N)'!$A$5:$D$234,4,FALSE),0)</f>
        <v>0</v>
      </c>
      <c r="BD59" s="67">
        <f ca="1">IF(E59-'Invoer gegevens (N)'!$C$17&lt;15,0,1)</f>
        <v>1</v>
      </c>
    </row>
    <row r="60" spans="1:56" x14ac:dyDescent="0.25">
      <c r="A60" s="59"/>
      <c r="B60" s="70">
        <f t="shared" si="14"/>
        <v>56</v>
      </c>
      <c r="C60" s="67">
        <f ca="1">IF(E60-'Invoer gegevens (N)'!$C$17&lt;0,0,1)</f>
        <v>1</v>
      </c>
      <c r="D60" s="68">
        <f t="shared" si="15"/>
        <v>55.5</v>
      </c>
      <c r="E60" s="108">
        <f ca="1">IF('Invoer gegevens (N)'!$C$16="","",E59+1)</f>
        <v>2074</v>
      </c>
      <c r="F60" s="84">
        <f ca="1">IF('Invoer gegevens (N)'!$C$17=E60,'Invoer gegevens (N)'!$C$10,IF(C60=1,K59,0))</f>
        <v>0</v>
      </c>
      <c r="G60" s="96">
        <f ca="1">IF(BD60&lt;1,F60*'Reeksen (N)'!C60,IF(C60&gt;=1,F60*BA60,0))</f>
        <v>0</v>
      </c>
      <c r="H60" s="84">
        <f ca="1">(1-('Invoer gegevens (N)'!$F$20/12))*F60*MIN(BA60,BC60)</f>
        <v>0</v>
      </c>
      <c r="I60" s="84">
        <f t="shared" ca="1" si="0"/>
        <v>0</v>
      </c>
      <c r="J60" s="84">
        <f ca="1">('Invoer gegevens (N)'!$F$20/12)*F59*MIN(BA60,BC60)</f>
        <v>0</v>
      </c>
      <c r="K60" s="97">
        <f t="shared" ca="1" si="5"/>
        <v>0</v>
      </c>
      <c r="L60" s="84">
        <f ca="1">IF('Invoer gegevens (N)'!$C$17=E60,0,IF(C60=1,Q59,0))</f>
        <v>0</v>
      </c>
      <c r="M60" s="96">
        <f t="shared" ca="1" si="1"/>
        <v>0</v>
      </c>
      <c r="N60" s="84">
        <f ca="1">(1-('Invoer gegevens (N)'!$F$20/12))*L60*MIN(BA60,BC60)</f>
        <v>0</v>
      </c>
      <c r="O60" s="84">
        <f t="shared" ca="1" si="2"/>
        <v>0</v>
      </c>
      <c r="P60" s="84">
        <f ca="1">('Invoer gegevens (N)'!$F$20/12)*L59*MIN(BA60,BC60)</f>
        <v>0</v>
      </c>
      <c r="Q60" s="84">
        <f t="shared" ca="1" si="6"/>
        <v>0</v>
      </c>
      <c r="R60" s="85">
        <f ca="1">IF('Invoer gegevens (N)'!$C$17=E60,'Invoer gegevens (N)'!$C$11,IF(C60=1,W59,0))</f>
        <v>0</v>
      </c>
      <c r="S60" s="86">
        <f t="shared" ca="1" si="3"/>
        <v>0</v>
      </c>
      <c r="T60" s="86">
        <f ca="1">(1-('Invoer gegevens (N)'!$F$20/12))*R60*MIN(BC60,BA60)</f>
        <v>0</v>
      </c>
      <c r="U60" s="86">
        <f ca="1">IF(BD60&lt;1,IF('Reeksen (N)'!AD60&lt;='Reeksen (N)'!AE60,R60*'Reeksen (N)'!C60,0),IF(BC60&gt;=BA60,0,IF('Reeksen (N)'!AD60&lt;='Reeksen (N)'!AE60,(BA60-BC60)*R60,0)))</f>
        <v>0</v>
      </c>
      <c r="V60" s="86">
        <f ca="1">IF(BD60&lt;1,IF('Reeksen (N)'!AD60&gt;'Reeksen (N)'!AE60,R60*'Reeksen (N)'!C60,0),IF(BC60&gt;=BA60,0,IF('Reeksen (N)'!AD60&gt;'Reeksen (N)'!AE60,(BA60-BC60)*R60,0)))</f>
        <v>0</v>
      </c>
      <c r="W60" s="218">
        <f t="shared" ca="1" si="7"/>
        <v>0</v>
      </c>
      <c r="X60" s="98">
        <f ca="1">IF('Invoer gegevens (N)'!$C$17=E60,'Invoer gegevens (N)'!$C$10-'Invoer gegevens (N)'!$C$11,IF(C60=1,AC59,0))</f>
        <v>0</v>
      </c>
      <c r="Y60" s="98">
        <f t="shared" ca="1" si="4"/>
        <v>0</v>
      </c>
      <c r="Z60" s="98">
        <f ca="1">(1-('Invoer gegevens (N)'!$F$20/12))*X60*MIN(BA60,BC60)</f>
        <v>0</v>
      </c>
      <c r="AA60" s="98">
        <f ca="1">IF(BD60&lt;1,IF('Reeksen (N)'!AD60&lt;='Reeksen (N)'!AE60,X60*'Reeksen (N)'!C60,0),IF(BC60&gt;=BA60,0,IF('Reeksen (N)'!AD60&lt;='Reeksen (N)'!AE60,(BA60-BC60)*X60,0)))</f>
        <v>0</v>
      </c>
      <c r="AB60" s="98">
        <f ca="1">IF(BD60&lt;1,IF('Reeksen (N)'!AD60&gt;'Reeksen (N)'!AE60,X60*'Reeksen (N)'!C60,0),IF(BC60&gt;=BA60,0,IF('Reeksen (N)'!AD60&gt;'Reeksen (N)'!AE60,(BA60-BC60)*X60,0)))</f>
        <v>0</v>
      </c>
      <c r="AC60" s="99">
        <f t="shared" ca="1" si="8"/>
        <v>0</v>
      </c>
      <c r="AD60" s="98">
        <f ca="1">IF('Invoer gegevens (N)'!$C$17=E60,R60,IF(C60=0,0,AE59))</f>
        <v>0</v>
      </c>
      <c r="AE60" s="98">
        <f t="shared" ca="1" si="9"/>
        <v>0</v>
      </c>
      <c r="AF60" s="98">
        <f ca="1">IF('Invoer gegevens (N)'!$C$17=E60,X60,IF(C60=0,0,AG59))</f>
        <v>0</v>
      </c>
      <c r="AG60" s="98">
        <f t="shared" ca="1" si="10"/>
        <v>0</v>
      </c>
      <c r="AH60" s="66"/>
      <c r="AI60" s="71">
        <f ca="1">IF(C60=1,'Reeksen (N)'!AI60*((F60+K60)/2)*12+'Reeksen (N)'!AD60*((L60+Q60)/2)*12,0)</f>
        <v>0</v>
      </c>
      <c r="AJ60" s="71">
        <f ca="1">-AI60*'Invoer gegevens (N)'!$F$28</f>
        <v>0</v>
      </c>
      <c r="AK60" s="71">
        <f t="shared" ca="1" si="11"/>
        <v>0</v>
      </c>
      <c r="AL60" s="71">
        <f ca="1">IF(C60=1,'Reeksen (N)'!AL60*((F60-G60+F60)/2)*12+'Reeksen (N)'!AM60*((L60-M60+L60)/2)*12,0)</f>
        <v>0</v>
      </c>
      <c r="AM60" s="71">
        <f ca="1">-AL60*'Invoer gegevens (N)'!$F$31</f>
        <v>0</v>
      </c>
      <c r="AN60" s="71">
        <f t="shared" ca="1" si="12"/>
        <v>0</v>
      </c>
      <c r="AO60" s="71">
        <f ca="1">IF(C60=1,(H60+J60+N60+P60)*'Reeksen (N)'!AN60,0)</f>
        <v>0</v>
      </c>
      <c r="AP60" s="71">
        <f ca="1">-IF(C60=1,(H60+J60+N60+P60)*'Hulp - basis'!$O$550*'Reeksen (N)'!H60,0)</f>
        <v>0</v>
      </c>
      <c r="AQ60" s="71">
        <f ca="1">-IF(C60=1,(F60+K60+L60+Q60)/2*'Invoer gegevens (N)'!$F$35*'Reeksen (N)'!J60,0)*2</f>
        <v>0</v>
      </c>
      <c r="AR60" s="71">
        <f ca="1">IF(BD60&lt;1,-IF(C60=1,(G60*'Invoer gegevens (N)'!$F$36)*'Reeksen (N)'!J60,0),0)</f>
        <v>0</v>
      </c>
      <c r="AS60" s="71">
        <f ca="1">-IF(C60=1,(F60+K60+L60+Q60)/2*'Invoer gegevens (N)'!$F$37*'Reeksen (N)'!L60,0)</f>
        <v>0</v>
      </c>
      <c r="AT60" s="71">
        <f ca="1">-IF(C60=1,IF(E60='Invoer gegevens (N)'!$C$17,'Invoer gegevens (N)'!$C$11,AD60)*'Reeksen (N)'!S60*'Invoer gegevens (N)'!$C$18*'Reeksen (N)'!P60,0)</f>
        <v>0</v>
      </c>
      <c r="AU60" s="71">
        <f ca="1">-IF(C60=1,(F60+K60+L60+Q60)/2*'Invoer gegevens (N)'!$F$38*'Reeksen (N)'!H60,0)</f>
        <v>0</v>
      </c>
      <c r="AV60" s="71">
        <v>0</v>
      </c>
      <c r="AW60" s="71">
        <f t="shared" ca="1" si="13"/>
        <v>0</v>
      </c>
      <c r="AX60" s="71">
        <f ca="1">IF(E60&lt;'Invoer gegevens (N)'!$C$17+15,0,IF(E60&gt;'Invoer gegevens (N)'!$C$17+215,0,AW60))</f>
        <v>0</v>
      </c>
      <c r="AY60" s="71">
        <f ca="1">AX60/(1+'Invoer gegevens (N)'!$F$18)^($AZ60-('Invoer gegevens (N)'!$C$17-'Invoer gegevens (N)'!$C$16))/(1+'Invoer gegevens (N)'!$C$39)^('Invoer gegevens (N)'!$C$17-'Invoer gegevens (N)'!$C$16)</f>
        <v>0</v>
      </c>
      <c r="AZ60" s="68">
        <f ca="1">IF(E60-'Invoer gegevens (N)'!$C$17-14.5&lt;0,0,E60-'Invoer gegevens (N)'!$C$17-14.5)</f>
        <v>40.5</v>
      </c>
      <c r="BA60" s="109">
        <f ca="1">IFERROR(VLOOKUP(E60-15,'Reeksen (N)'!$A$5:$D$234,2,FALSE),0)</f>
        <v>0</v>
      </c>
      <c r="BB60" s="109">
        <f ca="1">IFERROR(VLOOKUP(E60-15,'Reeksen (N)'!$A$5:$D$234,3,FALSE),0)</f>
        <v>0</v>
      </c>
      <c r="BC60" s="109">
        <f ca="1">IFERROR(VLOOKUP(E60-15,'Reeksen (N)'!$A$5:$D$234,4,FALSE),0)</f>
        <v>0</v>
      </c>
      <c r="BD60" s="67">
        <f ca="1">IF(E60-'Invoer gegevens (N)'!$C$17&lt;15,0,1)</f>
        <v>1</v>
      </c>
    </row>
    <row r="61" spans="1:56" x14ac:dyDescent="0.25">
      <c r="A61" s="59"/>
      <c r="B61" s="70">
        <f t="shared" si="14"/>
        <v>57</v>
      </c>
      <c r="C61" s="67">
        <f ca="1">IF(E61-'Invoer gegevens (N)'!$C$17&lt;0,0,1)</f>
        <v>1</v>
      </c>
      <c r="D61" s="68">
        <f t="shared" si="15"/>
        <v>56.5</v>
      </c>
      <c r="E61" s="108">
        <f ca="1">IF('Invoer gegevens (N)'!$C$16="","",E60+1)</f>
        <v>2075</v>
      </c>
      <c r="F61" s="84">
        <f ca="1">IF('Invoer gegevens (N)'!$C$17=E61,'Invoer gegevens (N)'!$C$10,IF(C61=1,K60,0))</f>
        <v>0</v>
      </c>
      <c r="G61" s="96">
        <f ca="1">IF(BD61&lt;1,F61*'Reeksen (N)'!C61,IF(C61&gt;=1,F61*BA61,0))</f>
        <v>0</v>
      </c>
      <c r="H61" s="84">
        <f ca="1">(1-('Invoer gegevens (N)'!$F$20/12))*F61*MIN(BA61,BC61)</f>
        <v>0</v>
      </c>
      <c r="I61" s="84">
        <f t="shared" ca="1" si="0"/>
        <v>0</v>
      </c>
      <c r="J61" s="84">
        <f ca="1">('Invoer gegevens (N)'!$F$20/12)*F60*MIN(BA61,BC61)</f>
        <v>0</v>
      </c>
      <c r="K61" s="97">
        <f t="shared" ca="1" si="5"/>
        <v>0</v>
      </c>
      <c r="L61" s="84">
        <f ca="1">IF('Invoer gegevens (N)'!$C$17=E61,0,IF(C61=1,Q60,0))</f>
        <v>0</v>
      </c>
      <c r="M61" s="96">
        <f t="shared" ca="1" si="1"/>
        <v>0</v>
      </c>
      <c r="N61" s="84">
        <f ca="1">(1-('Invoer gegevens (N)'!$F$20/12))*L61*MIN(BA61,BC61)</f>
        <v>0</v>
      </c>
      <c r="O61" s="84">
        <f t="shared" ca="1" si="2"/>
        <v>0</v>
      </c>
      <c r="P61" s="84">
        <f ca="1">('Invoer gegevens (N)'!$F$20/12)*L60*MIN(BA61,BC61)</f>
        <v>0</v>
      </c>
      <c r="Q61" s="84">
        <f t="shared" ca="1" si="6"/>
        <v>0</v>
      </c>
      <c r="R61" s="85">
        <f ca="1">IF('Invoer gegevens (N)'!$C$17=E61,'Invoer gegevens (N)'!$C$11,IF(C61=1,W60,0))</f>
        <v>0</v>
      </c>
      <c r="S61" s="86">
        <f t="shared" ca="1" si="3"/>
        <v>0</v>
      </c>
      <c r="T61" s="86">
        <f ca="1">(1-('Invoer gegevens (N)'!$F$20/12))*R61*MIN(BC61,BA61)</f>
        <v>0</v>
      </c>
      <c r="U61" s="86">
        <f ca="1">IF(BD61&lt;1,IF('Reeksen (N)'!AD61&lt;='Reeksen (N)'!AE61,R61*'Reeksen (N)'!C61,0),IF(BC61&gt;=BA61,0,IF('Reeksen (N)'!AD61&lt;='Reeksen (N)'!AE61,(BA61-BC61)*R61,0)))</f>
        <v>0</v>
      </c>
      <c r="V61" s="86">
        <f ca="1">IF(BD61&lt;1,IF('Reeksen (N)'!AD61&gt;'Reeksen (N)'!AE61,R61*'Reeksen (N)'!C61,0),IF(BC61&gt;=BA61,0,IF('Reeksen (N)'!AD61&gt;'Reeksen (N)'!AE61,(BA61-BC61)*R61,0)))</f>
        <v>0</v>
      </c>
      <c r="W61" s="218">
        <f t="shared" ca="1" si="7"/>
        <v>0</v>
      </c>
      <c r="X61" s="98">
        <f ca="1">IF('Invoer gegevens (N)'!$C$17=E61,'Invoer gegevens (N)'!$C$10-'Invoer gegevens (N)'!$C$11,IF(C61=1,AC60,0))</f>
        <v>0</v>
      </c>
      <c r="Y61" s="98">
        <f t="shared" ca="1" si="4"/>
        <v>0</v>
      </c>
      <c r="Z61" s="98">
        <f ca="1">(1-('Invoer gegevens (N)'!$F$20/12))*X61*MIN(BA61,BC61)</f>
        <v>0</v>
      </c>
      <c r="AA61" s="98">
        <f ca="1">IF(BD61&lt;1,IF('Reeksen (N)'!AD61&lt;='Reeksen (N)'!AE61,X61*'Reeksen (N)'!C61,0),IF(BC61&gt;=BA61,0,IF('Reeksen (N)'!AD61&lt;='Reeksen (N)'!AE61,(BA61-BC61)*X61,0)))</f>
        <v>0</v>
      </c>
      <c r="AB61" s="98">
        <f ca="1">IF(BD61&lt;1,IF('Reeksen (N)'!AD61&gt;'Reeksen (N)'!AE61,X61*'Reeksen (N)'!C61,0),IF(BC61&gt;=BA61,0,IF('Reeksen (N)'!AD61&gt;'Reeksen (N)'!AE61,(BA61-BC61)*X61,0)))</f>
        <v>0</v>
      </c>
      <c r="AC61" s="99">
        <f t="shared" ca="1" si="8"/>
        <v>0</v>
      </c>
      <c r="AD61" s="98">
        <f ca="1">IF('Invoer gegevens (N)'!$C$17=E61,R61,IF(C61=0,0,AE60))</f>
        <v>0</v>
      </c>
      <c r="AE61" s="98">
        <f t="shared" ca="1" si="9"/>
        <v>0</v>
      </c>
      <c r="AF61" s="98">
        <f ca="1">IF('Invoer gegevens (N)'!$C$17=E61,X61,IF(C61=0,0,AG60))</f>
        <v>0</v>
      </c>
      <c r="AG61" s="98">
        <f t="shared" ca="1" si="10"/>
        <v>0</v>
      </c>
      <c r="AH61" s="66"/>
      <c r="AI61" s="71">
        <f ca="1">IF(C61=1,'Reeksen (N)'!AI61*((F61+K61)/2)*12+'Reeksen (N)'!AD61*((L61+Q61)/2)*12,0)</f>
        <v>0</v>
      </c>
      <c r="AJ61" s="71">
        <f ca="1">-AI61*'Invoer gegevens (N)'!$F$28</f>
        <v>0</v>
      </c>
      <c r="AK61" s="71">
        <f t="shared" ca="1" si="11"/>
        <v>0</v>
      </c>
      <c r="AL61" s="71">
        <f ca="1">IF(C61=1,'Reeksen (N)'!AL61*((F61-G61+F61)/2)*12+'Reeksen (N)'!AM61*((L61-M61+L61)/2)*12,0)</f>
        <v>0</v>
      </c>
      <c r="AM61" s="71">
        <f ca="1">-AL61*'Invoer gegevens (N)'!$F$31</f>
        <v>0</v>
      </c>
      <c r="AN61" s="71">
        <f t="shared" ca="1" si="12"/>
        <v>0</v>
      </c>
      <c r="AO61" s="71">
        <f ca="1">IF(C61=1,(H61+J61+N61+P61)*'Reeksen (N)'!AN61,0)</f>
        <v>0</v>
      </c>
      <c r="AP61" s="71">
        <f ca="1">-IF(C61=1,(H61+J61+N61+P61)*'Hulp - basis'!$O$550*'Reeksen (N)'!H61,0)</f>
        <v>0</v>
      </c>
      <c r="AQ61" s="71">
        <f ca="1">-IF(C61=1,(F61+K61+L61+Q61)/2*'Invoer gegevens (N)'!$F$35*'Reeksen (N)'!J61,0)*2</f>
        <v>0</v>
      </c>
      <c r="AR61" s="71">
        <f ca="1">IF(BD61&lt;1,-IF(C61=1,(G61*'Invoer gegevens (N)'!$F$36)*'Reeksen (N)'!J61,0),0)</f>
        <v>0</v>
      </c>
      <c r="AS61" s="71">
        <f ca="1">-IF(C61=1,(F61+K61+L61+Q61)/2*'Invoer gegevens (N)'!$F$37*'Reeksen (N)'!L61,0)</f>
        <v>0</v>
      </c>
      <c r="AT61" s="71">
        <f ca="1">-IF(C61=1,IF(E61='Invoer gegevens (N)'!$C$17,'Invoer gegevens (N)'!$C$11,AD61)*'Reeksen (N)'!S61*'Invoer gegevens (N)'!$C$18*'Reeksen (N)'!P61,0)</f>
        <v>0</v>
      </c>
      <c r="AU61" s="71">
        <f ca="1">-IF(C61=1,(F61+K61+L61+Q61)/2*'Invoer gegevens (N)'!$F$38*'Reeksen (N)'!H61,0)</f>
        <v>0</v>
      </c>
      <c r="AV61" s="71">
        <v>0</v>
      </c>
      <c r="AW61" s="71">
        <f t="shared" ca="1" si="13"/>
        <v>0</v>
      </c>
      <c r="AX61" s="71">
        <f ca="1">IF(E61&lt;'Invoer gegevens (N)'!$C$17+15,0,IF(E61&gt;'Invoer gegevens (N)'!$C$17+215,0,AW61))</f>
        <v>0</v>
      </c>
      <c r="AY61" s="71">
        <f ca="1">AX61/(1+'Invoer gegevens (N)'!$F$18)^($AZ61-('Invoer gegevens (N)'!$C$17-'Invoer gegevens (N)'!$C$16))/(1+'Invoer gegevens (N)'!$C$39)^('Invoer gegevens (N)'!$C$17-'Invoer gegevens (N)'!$C$16)</f>
        <v>0</v>
      </c>
      <c r="AZ61" s="68">
        <f ca="1">IF(E61-'Invoer gegevens (N)'!$C$17-14.5&lt;0,0,E61-'Invoer gegevens (N)'!$C$17-14.5)</f>
        <v>41.5</v>
      </c>
      <c r="BA61" s="109">
        <f ca="1">IFERROR(VLOOKUP(E61-15,'Reeksen (N)'!$A$5:$D$234,2,FALSE),0)</f>
        <v>0</v>
      </c>
      <c r="BB61" s="109">
        <f ca="1">IFERROR(VLOOKUP(E61-15,'Reeksen (N)'!$A$5:$D$234,3,FALSE),0)</f>
        <v>0</v>
      </c>
      <c r="BC61" s="109">
        <f ca="1">IFERROR(VLOOKUP(E61-15,'Reeksen (N)'!$A$5:$D$234,4,FALSE),0)</f>
        <v>0</v>
      </c>
      <c r="BD61" s="67">
        <f ca="1">IF(E61-'Invoer gegevens (N)'!$C$17&lt;15,0,1)</f>
        <v>1</v>
      </c>
    </row>
    <row r="62" spans="1:56" x14ac:dyDescent="0.25">
      <c r="A62" s="59"/>
      <c r="B62" s="70">
        <f t="shared" si="14"/>
        <v>58</v>
      </c>
      <c r="C62" s="67">
        <f ca="1">IF(E62-'Invoer gegevens (N)'!$C$17&lt;0,0,1)</f>
        <v>1</v>
      </c>
      <c r="D62" s="68">
        <f t="shared" si="15"/>
        <v>57.5</v>
      </c>
      <c r="E62" s="108">
        <f ca="1">IF('Invoer gegevens (N)'!$C$16="","",E61+1)</f>
        <v>2076</v>
      </c>
      <c r="F62" s="84">
        <f ca="1">IF('Invoer gegevens (N)'!$C$17=E62,'Invoer gegevens (N)'!$C$10,IF(C62=1,K61,0))</f>
        <v>0</v>
      </c>
      <c r="G62" s="96">
        <f ca="1">IF(BD62&lt;1,F62*'Reeksen (N)'!C62,IF(C62&gt;=1,F62*BA62,0))</f>
        <v>0</v>
      </c>
      <c r="H62" s="84">
        <f ca="1">(1-('Invoer gegevens (N)'!$F$20/12))*F62*MIN(BA62,BC62)</f>
        <v>0</v>
      </c>
      <c r="I62" s="84">
        <f t="shared" ca="1" si="0"/>
        <v>0</v>
      </c>
      <c r="J62" s="84">
        <f ca="1">('Invoer gegevens (N)'!$F$20/12)*F61*MIN(BA62,BC62)</f>
        <v>0</v>
      </c>
      <c r="K62" s="97">
        <f t="shared" ca="1" si="5"/>
        <v>0</v>
      </c>
      <c r="L62" s="84">
        <f ca="1">IF('Invoer gegevens (N)'!$C$17=E62,0,IF(C62=1,Q61,0))</f>
        <v>0</v>
      </c>
      <c r="M62" s="96">
        <f t="shared" ca="1" si="1"/>
        <v>0</v>
      </c>
      <c r="N62" s="84">
        <f ca="1">(1-('Invoer gegevens (N)'!$F$20/12))*L62*MIN(BA62,BC62)</f>
        <v>0</v>
      </c>
      <c r="O62" s="84">
        <f t="shared" ca="1" si="2"/>
        <v>0</v>
      </c>
      <c r="P62" s="84">
        <f ca="1">('Invoer gegevens (N)'!$F$20/12)*L61*MIN(BA62,BC62)</f>
        <v>0</v>
      </c>
      <c r="Q62" s="84">
        <f t="shared" ca="1" si="6"/>
        <v>0</v>
      </c>
      <c r="R62" s="85">
        <f ca="1">IF('Invoer gegevens (N)'!$C$17=E62,'Invoer gegevens (N)'!$C$11,IF(C62=1,W61,0))</f>
        <v>0</v>
      </c>
      <c r="S62" s="86">
        <f t="shared" ca="1" si="3"/>
        <v>0</v>
      </c>
      <c r="T62" s="86">
        <f ca="1">(1-('Invoer gegevens (N)'!$F$20/12))*R62*MIN(BC62,BA62)</f>
        <v>0</v>
      </c>
      <c r="U62" s="86">
        <f ca="1">IF(BD62&lt;1,IF('Reeksen (N)'!AD62&lt;='Reeksen (N)'!AE62,R62*'Reeksen (N)'!C62,0),IF(BC62&gt;=BA62,0,IF('Reeksen (N)'!AD62&lt;='Reeksen (N)'!AE62,(BA62-BC62)*R62,0)))</f>
        <v>0</v>
      </c>
      <c r="V62" s="86">
        <f ca="1">IF(BD62&lt;1,IF('Reeksen (N)'!AD62&gt;'Reeksen (N)'!AE62,R62*'Reeksen (N)'!C62,0),IF(BC62&gt;=BA62,0,IF('Reeksen (N)'!AD62&gt;'Reeksen (N)'!AE62,(BA62-BC62)*R62,0)))</f>
        <v>0</v>
      </c>
      <c r="W62" s="218">
        <f t="shared" ca="1" si="7"/>
        <v>0</v>
      </c>
      <c r="X62" s="98">
        <f ca="1">IF('Invoer gegevens (N)'!$C$17=E62,'Invoer gegevens (N)'!$C$10-'Invoer gegevens (N)'!$C$11,IF(C62=1,AC61,0))</f>
        <v>0</v>
      </c>
      <c r="Y62" s="98">
        <f t="shared" ca="1" si="4"/>
        <v>0</v>
      </c>
      <c r="Z62" s="98">
        <f ca="1">(1-('Invoer gegevens (N)'!$F$20/12))*X62*MIN(BA62,BC62)</f>
        <v>0</v>
      </c>
      <c r="AA62" s="98">
        <f ca="1">IF(BD62&lt;1,IF('Reeksen (N)'!AD62&lt;='Reeksen (N)'!AE62,X62*'Reeksen (N)'!C62,0),IF(BC62&gt;=BA62,0,IF('Reeksen (N)'!AD62&lt;='Reeksen (N)'!AE62,(BA62-BC62)*X62,0)))</f>
        <v>0</v>
      </c>
      <c r="AB62" s="98">
        <f ca="1">IF(BD62&lt;1,IF('Reeksen (N)'!AD62&gt;'Reeksen (N)'!AE62,X62*'Reeksen (N)'!C62,0),IF(BC62&gt;=BA62,0,IF('Reeksen (N)'!AD62&gt;'Reeksen (N)'!AE62,(BA62-BC62)*X62,0)))</f>
        <v>0</v>
      </c>
      <c r="AC62" s="99">
        <f t="shared" ca="1" si="8"/>
        <v>0</v>
      </c>
      <c r="AD62" s="98">
        <f ca="1">IF('Invoer gegevens (N)'!$C$17=E62,R62,IF(C62=0,0,AE61))</f>
        <v>0</v>
      </c>
      <c r="AE62" s="98">
        <f t="shared" ca="1" si="9"/>
        <v>0</v>
      </c>
      <c r="AF62" s="98">
        <f ca="1">IF('Invoer gegevens (N)'!$C$17=E62,X62,IF(C62=0,0,AG61))</f>
        <v>0</v>
      </c>
      <c r="AG62" s="98">
        <f t="shared" ca="1" si="10"/>
        <v>0</v>
      </c>
      <c r="AH62" s="66"/>
      <c r="AI62" s="71">
        <f ca="1">IF(C62=1,'Reeksen (N)'!AI62*((F62+K62)/2)*12+'Reeksen (N)'!AD62*((L62+Q62)/2)*12,0)</f>
        <v>0</v>
      </c>
      <c r="AJ62" s="71">
        <f ca="1">-AI62*'Invoer gegevens (N)'!$F$28</f>
        <v>0</v>
      </c>
      <c r="AK62" s="71">
        <f t="shared" ca="1" si="11"/>
        <v>0</v>
      </c>
      <c r="AL62" s="71">
        <f ca="1">IF(C62=1,'Reeksen (N)'!AL62*((F62-G62+F62)/2)*12+'Reeksen (N)'!AM62*((L62-M62+L62)/2)*12,0)</f>
        <v>0</v>
      </c>
      <c r="AM62" s="71">
        <f ca="1">-AL62*'Invoer gegevens (N)'!$F$31</f>
        <v>0</v>
      </c>
      <c r="AN62" s="71">
        <f t="shared" ca="1" si="12"/>
        <v>0</v>
      </c>
      <c r="AO62" s="71">
        <f ca="1">IF(C62=1,(H62+J62+N62+P62)*'Reeksen (N)'!AN62,0)</f>
        <v>0</v>
      </c>
      <c r="AP62" s="71">
        <f ca="1">-IF(C62=1,(H62+J62+N62+P62)*'Hulp - basis'!$O$550*'Reeksen (N)'!H62,0)</f>
        <v>0</v>
      </c>
      <c r="AQ62" s="71">
        <f ca="1">-IF(C62=1,(F62+K62+L62+Q62)/2*'Invoer gegevens (N)'!$F$35*'Reeksen (N)'!J62,0)*2</f>
        <v>0</v>
      </c>
      <c r="AR62" s="71">
        <f ca="1">IF(BD62&lt;1,-IF(C62=1,(G62*'Invoer gegevens (N)'!$F$36)*'Reeksen (N)'!J62,0),0)</f>
        <v>0</v>
      </c>
      <c r="AS62" s="71">
        <f ca="1">-IF(C62=1,(F62+K62+L62+Q62)/2*'Invoer gegevens (N)'!$F$37*'Reeksen (N)'!L62,0)</f>
        <v>0</v>
      </c>
      <c r="AT62" s="71">
        <f ca="1">-IF(C62=1,IF(E62='Invoer gegevens (N)'!$C$17,'Invoer gegevens (N)'!$C$11,AD62)*'Reeksen (N)'!S62*'Invoer gegevens (N)'!$C$18*'Reeksen (N)'!P62,0)</f>
        <v>0</v>
      </c>
      <c r="AU62" s="71">
        <f ca="1">-IF(C62=1,(F62+K62+L62+Q62)/2*'Invoer gegevens (N)'!$F$38*'Reeksen (N)'!H62,0)</f>
        <v>0</v>
      </c>
      <c r="AV62" s="71">
        <v>0</v>
      </c>
      <c r="AW62" s="71">
        <f t="shared" ca="1" si="13"/>
        <v>0</v>
      </c>
      <c r="AX62" s="71">
        <f ca="1">IF(E62&lt;'Invoer gegevens (N)'!$C$17+15,0,IF(E62&gt;'Invoer gegevens (N)'!$C$17+215,0,AW62))</f>
        <v>0</v>
      </c>
      <c r="AY62" s="71">
        <f ca="1">AX62/(1+'Invoer gegevens (N)'!$F$18)^($AZ62-('Invoer gegevens (N)'!$C$17-'Invoer gegevens (N)'!$C$16))/(1+'Invoer gegevens (N)'!$C$39)^('Invoer gegevens (N)'!$C$17-'Invoer gegevens (N)'!$C$16)</f>
        <v>0</v>
      </c>
      <c r="AZ62" s="68">
        <f ca="1">IF(E62-'Invoer gegevens (N)'!$C$17-14.5&lt;0,0,E62-'Invoer gegevens (N)'!$C$17-14.5)</f>
        <v>42.5</v>
      </c>
      <c r="BA62" s="109">
        <f ca="1">IFERROR(VLOOKUP(E62-15,'Reeksen (N)'!$A$5:$D$234,2,FALSE),0)</f>
        <v>0</v>
      </c>
      <c r="BB62" s="109">
        <f ca="1">IFERROR(VLOOKUP(E62-15,'Reeksen (N)'!$A$5:$D$234,3,FALSE),0)</f>
        <v>0</v>
      </c>
      <c r="BC62" s="109">
        <f ca="1">IFERROR(VLOOKUP(E62-15,'Reeksen (N)'!$A$5:$D$234,4,FALSE),0)</f>
        <v>0</v>
      </c>
      <c r="BD62" s="67">
        <f ca="1">IF(E62-'Invoer gegevens (N)'!$C$17&lt;15,0,1)</f>
        <v>1</v>
      </c>
    </row>
    <row r="63" spans="1:56" x14ac:dyDescent="0.25">
      <c r="A63" s="59"/>
      <c r="B63" s="70">
        <f t="shared" si="14"/>
        <v>59</v>
      </c>
      <c r="C63" s="67">
        <f ca="1">IF(E63-'Invoer gegevens (N)'!$C$17&lt;0,0,1)</f>
        <v>1</v>
      </c>
      <c r="D63" s="68">
        <f t="shared" si="15"/>
        <v>58.5</v>
      </c>
      <c r="E63" s="108">
        <f ca="1">IF('Invoer gegevens (N)'!$C$16="","",E62+1)</f>
        <v>2077</v>
      </c>
      <c r="F63" s="84">
        <f ca="1">IF('Invoer gegevens (N)'!$C$17=E63,'Invoer gegevens (N)'!$C$10,IF(C63=1,K62,0))</f>
        <v>0</v>
      </c>
      <c r="G63" s="96">
        <f ca="1">IF(BD63&lt;1,F63*'Reeksen (N)'!C63,IF(C63&gt;=1,F63*BA63,0))</f>
        <v>0</v>
      </c>
      <c r="H63" s="84">
        <f ca="1">(1-('Invoer gegevens (N)'!$F$20/12))*F63*MIN(BA63,BC63)</f>
        <v>0</v>
      </c>
      <c r="I63" s="84">
        <f t="shared" ca="1" si="0"/>
        <v>0</v>
      </c>
      <c r="J63" s="84">
        <f ca="1">('Invoer gegevens (N)'!$F$20/12)*F62*MIN(BA63,BC63)</f>
        <v>0</v>
      </c>
      <c r="K63" s="97">
        <f t="shared" ca="1" si="5"/>
        <v>0</v>
      </c>
      <c r="L63" s="84">
        <f ca="1">IF('Invoer gegevens (N)'!$C$17=E63,0,IF(C63=1,Q62,0))</f>
        <v>0</v>
      </c>
      <c r="M63" s="96">
        <f t="shared" ca="1" si="1"/>
        <v>0</v>
      </c>
      <c r="N63" s="84">
        <f ca="1">(1-('Invoer gegevens (N)'!$F$20/12))*L63*MIN(BA63,BC63)</f>
        <v>0</v>
      </c>
      <c r="O63" s="84">
        <f t="shared" ca="1" si="2"/>
        <v>0</v>
      </c>
      <c r="P63" s="84">
        <f ca="1">('Invoer gegevens (N)'!$F$20/12)*L62*MIN(BA63,BC63)</f>
        <v>0</v>
      </c>
      <c r="Q63" s="84">
        <f t="shared" ca="1" si="6"/>
        <v>0</v>
      </c>
      <c r="R63" s="85">
        <f ca="1">IF('Invoer gegevens (N)'!$C$17=E63,'Invoer gegevens (N)'!$C$11,IF(C63=1,W62,0))</f>
        <v>0</v>
      </c>
      <c r="S63" s="86">
        <f t="shared" ca="1" si="3"/>
        <v>0</v>
      </c>
      <c r="T63" s="86">
        <f ca="1">(1-('Invoer gegevens (N)'!$F$20/12))*R63*MIN(BC63,BA63)</f>
        <v>0</v>
      </c>
      <c r="U63" s="86">
        <f ca="1">IF(BD63&lt;1,IF('Reeksen (N)'!AD63&lt;='Reeksen (N)'!AE63,R63*'Reeksen (N)'!C63,0),IF(BC63&gt;=BA63,0,IF('Reeksen (N)'!AD63&lt;='Reeksen (N)'!AE63,(BA63-BC63)*R63,0)))</f>
        <v>0</v>
      </c>
      <c r="V63" s="86">
        <f ca="1">IF(BD63&lt;1,IF('Reeksen (N)'!AD63&gt;'Reeksen (N)'!AE63,R63*'Reeksen (N)'!C63,0),IF(BC63&gt;=BA63,0,IF('Reeksen (N)'!AD63&gt;'Reeksen (N)'!AE63,(BA63-BC63)*R63,0)))</f>
        <v>0</v>
      </c>
      <c r="W63" s="218">
        <f t="shared" ca="1" si="7"/>
        <v>0</v>
      </c>
      <c r="X63" s="98">
        <f ca="1">IF('Invoer gegevens (N)'!$C$17=E63,'Invoer gegevens (N)'!$C$10-'Invoer gegevens (N)'!$C$11,IF(C63=1,AC62,0))</f>
        <v>0</v>
      </c>
      <c r="Y63" s="98">
        <f t="shared" ca="1" si="4"/>
        <v>0</v>
      </c>
      <c r="Z63" s="98">
        <f ca="1">(1-('Invoer gegevens (N)'!$F$20/12))*X63*MIN(BA63,BC63)</f>
        <v>0</v>
      </c>
      <c r="AA63" s="98">
        <f ca="1">IF(BD63&lt;1,IF('Reeksen (N)'!AD63&lt;='Reeksen (N)'!AE63,X63*'Reeksen (N)'!C63,0),IF(BC63&gt;=BA63,0,IF('Reeksen (N)'!AD63&lt;='Reeksen (N)'!AE63,(BA63-BC63)*X63,0)))</f>
        <v>0</v>
      </c>
      <c r="AB63" s="98">
        <f ca="1">IF(BD63&lt;1,IF('Reeksen (N)'!AD63&gt;'Reeksen (N)'!AE63,X63*'Reeksen (N)'!C63,0),IF(BC63&gt;=BA63,0,IF('Reeksen (N)'!AD63&gt;'Reeksen (N)'!AE63,(BA63-BC63)*X63,0)))</f>
        <v>0</v>
      </c>
      <c r="AC63" s="99">
        <f t="shared" ca="1" si="8"/>
        <v>0</v>
      </c>
      <c r="AD63" s="98">
        <f ca="1">IF('Invoer gegevens (N)'!$C$17=E63,R63,IF(C63=0,0,AE62))</f>
        <v>0</v>
      </c>
      <c r="AE63" s="98">
        <f t="shared" ca="1" si="9"/>
        <v>0</v>
      </c>
      <c r="AF63" s="98">
        <f ca="1">IF('Invoer gegevens (N)'!$C$17=E63,X63,IF(C63=0,0,AG62))</f>
        <v>0</v>
      </c>
      <c r="AG63" s="98">
        <f t="shared" ca="1" si="10"/>
        <v>0</v>
      </c>
      <c r="AH63" s="66"/>
      <c r="AI63" s="71">
        <f ca="1">IF(C63=1,'Reeksen (N)'!AI63*((F63+K63)/2)*12+'Reeksen (N)'!AD63*((L63+Q63)/2)*12,0)</f>
        <v>0</v>
      </c>
      <c r="AJ63" s="71">
        <f ca="1">-AI63*'Invoer gegevens (N)'!$F$28</f>
        <v>0</v>
      </c>
      <c r="AK63" s="71">
        <f t="shared" ca="1" si="11"/>
        <v>0</v>
      </c>
      <c r="AL63" s="71">
        <f ca="1">IF(C63=1,'Reeksen (N)'!AL63*((F63-G63+F63)/2)*12+'Reeksen (N)'!AM63*((L63-M63+L63)/2)*12,0)</f>
        <v>0</v>
      </c>
      <c r="AM63" s="71">
        <f ca="1">-AL63*'Invoer gegevens (N)'!$F$31</f>
        <v>0</v>
      </c>
      <c r="AN63" s="71">
        <f t="shared" ca="1" si="12"/>
        <v>0</v>
      </c>
      <c r="AO63" s="71">
        <f ca="1">IF(C63=1,(H63+J63+N63+P63)*'Reeksen (N)'!AN63,0)</f>
        <v>0</v>
      </c>
      <c r="AP63" s="71">
        <f ca="1">-IF(C63=1,(H63+J63+N63+P63)*'Hulp - basis'!$O$550*'Reeksen (N)'!H63,0)</f>
        <v>0</v>
      </c>
      <c r="AQ63" s="71">
        <f ca="1">-IF(C63=1,(F63+K63+L63+Q63)/2*'Invoer gegevens (N)'!$F$35*'Reeksen (N)'!J63,0)*2</f>
        <v>0</v>
      </c>
      <c r="AR63" s="71">
        <f ca="1">IF(BD63&lt;1,-IF(C63=1,(G63*'Invoer gegevens (N)'!$F$36)*'Reeksen (N)'!J63,0),0)</f>
        <v>0</v>
      </c>
      <c r="AS63" s="71">
        <f ca="1">-IF(C63=1,(F63+K63+L63+Q63)/2*'Invoer gegevens (N)'!$F$37*'Reeksen (N)'!L63,0)</f>
        <v>0</v>
      </c>
      <c r="AT63" s="71">
        <f ca="1">-IF(C63=1,IF(E63='Invoer gegevens (N)'!$C$17,'Invoer gegevens (N)'!$C$11,AD63)*'Reeksen (N)'!S63*'Invoer gegevens (N)'!$C$18*'Reeksen (N)'!P63,0)</f>
        <v>0</v>
      </c>
      <c r="AU63" s="71">
        <f ca="1">-IF(C63=1,(F63+K63+L63+Q63)/2*'Invoer gegevens (N)'!$F$38*'Reeksen (N)'!H63,0)</f>
        <v>0</v>
      </c>
      <c r="AV63" s="71">
        <v>0</v>
      </c>
      <c r="AW63" s="71">
        <f t="shared" ca="1" si="13"/>
        <v>0</v>
      </c>
      <c r="AX63" s="71">
        <f ca="1">IF(E63&lt;'Invoer gegevens (N)'!$C$17+15,0,IF(E63&gt;'Invoer gegevens (N)'!$C$17+215,0,AW63))</f>
        <v>0</v>
      </c>
      <c r="AY63" s="71">
        <f ca="1">AX63/(1+'Invoer gegevens (N)'!$F$18)^($AZ63-('Invoer gegevens (N)'!$C$17-'Invoer gegevens (N)'!$C$16))/(1+'Invoer gegevens (N)'!$C$39)^('Invoer gegevens (N)'!$C$17-'Invoer gegevens (N)'!$C$16)</f>
        <v>0</v>
      </c>
      <c r="AZ63" s="68">
        <f ca="1">IF(E63-'Invoer gegevens (N)'!$C$17-14.5&lt;0,0,E63-'Invoer gegevens (N)'!$C$17-14.5)</f>
        <v>43.5</v>
      </c>
      <c r="BA63" s="109">
        <f ca="1">IFERROR(VLOOKUP(E63-15,'Reeksen (N)'!$A$5:$D$234,2,FALSE),0)</f>
        <v>0</v>
      </c>
      <c r="BB63" s="109">
        <f ca="1">IFERROR(VLOOKUP(E63-15,'Reeksen (N)'!$A$5:$D$234,3,FALSE),0)</f>
        <v>0</v>
      </c>
      <c r="BC63" s="109">
        <f ca="1">IFERROR(VLOOKUP(E63-15,'Reeksen (N)'!$A$5:$D$234,4,FALSE),0)</f>
        <v>0</v>
      </c>
      <c r="BD63" s="67">
        <f ca="1">IF(E63-'Invoer gegevens (N)'!$C$17&lt;15,0,1)</f>
        <v>1</v>
      </c>
    </row>
    <row r="64" spans="1:56" x14ac:dyDescent="0.25">
      <c r="A64" s="59"/>
      <c r="B64" s="70">
        <f t="shared" si="14"/>
        <v>60</v>
      </c>
      <c r="C64" s="67">
        <f ca="1">IF(E64-'Invoer gegevens (N)'!$C$17&lt;0,0,1)</f>
        <v>1</v>
      </c>
      <c r="D64" s="68">
        <f t="shared" si="15"/>
        <v>59.5</v>
      </c>
      <c r="E64" s="108">
        <f ca="1">IF('Invoer gegevens (N)'!$C$16="","",E63+1)</f>
        <v>2078</v>
      </c>
      <c r="F64" s="84">
        <f ca="1">IF('Invoer gegevens (N)'!$C$17=E64,'Invoer gegevens (N)'!$C$10,IF(C64=1,K63,0))</f>
        <v>0</v>
      </c>
      <c r="G64" s="96">
        <f ca="1">IF(BD64&lt;1,F64*'Reeksen (N)'!C64,IF(C64&gt;=1,F64*BA64,0))</f>
        <v>0</v>
      </c>
      <c r="H64" s="84">
        <f ca="1">(1-('Invoer gegevens (N)'!$F$20/12))*F64*MIN(BA64,BC64)</f>
        <v>0</v>
      </c>
      <c r="I64" s="84">
        <f t="shared" ca="1" si="0"/>
        <v>0</v>
      </c>
      <c r="J64" s="84">
        <f ca="1">('Invoer gegevens (N)'!$F$20/12)*F63*MIN(BA64,BC64)</f>
        <v>0</v>
      </c>
      <c r="K64" s="97">
        <f t="shared" ca="1" si="5"/>
        <v>0</v>
      </c>
      <c r="L64" s="84">
        <f ca="1">IF('Invoer gegevens (N)'!$C$17=E64,0,IF(C64=1,Q63,0))</f>
        <v>0</v>
      </c>
      <c r="M64" s="96">
        <f t="shared" ca="1" si="1"/>
        <v>0</v>
      </c>
      <c r="N64" s="84">
        <f ca="1">(1-('Invoer gegevens (N)'!$F$20/12))*L64*MIN(BA64,BC64)</f>
        <v>0</v>
      </c>
      <c r="O64" s="84">
        <f t="shared" ca="1" si="2"/>
        <v>0</v>
      </c>
      <c r="P64" s="84">
        <f ca="1">('Invoer gegevens (N)'!$F$20/12)*L63*MIN(BA64,BC64)</f>
        <v>0</v>
      </c>
      <c r="Q64" s="84">
        <f t="shared" ca="1" si="6"/>
        <v>0</v>
      </c>
      <c r="R64" s="85">
        <f ca="1">IF('Invoer gegevens (N)'!$C$17=E64,'Invoer gegevens (N)'!$C$11,IF(C64=1,W63,0))</f>
        <v>0</v>
      </c>
      <c r="S64" s="86">
        <f t="shared" ca="1" si="3"/>
        <v>0</v>
      </c>
      <c r="T64" s="86">
        <f ca="1">(1-('Invoer gegevens (N)'!$F$20/12))*R64*MIN(BC64,BA64)</f>
        <v>0</v>
      </c>
      <c r="U64" s="86">
        <f ca="1">IF(BD64&lt;1,IF('Reeksen (N)'!AD64&lt;='Reeksen (N)'!AE64,R64*'Reeksen (N)'!C64,0),IF(BC64&gt;=BA64,0,IF('Reeksen (N)'!AD64&lt;='Reeksen (N)'!AE64,(BA64-BC64)*R64,0)))</f>
        <v>0</v>
      </c>
      <c r="V64" s="86">
        <f ca="1">IF(BD64&lt;1,IF('Reeksen (N)'!AD64&gt;'Reeksen (N)'!AE64,R64*'Reeksen (N)'!C64,0),IF(BC64&gt;=BA64,0,IF('Reeksen (N)'!AD64&gt;'Reeksen (N)'!AE64,(BA64-BC64)*R64,0)))</f>
        <v>0</v>
      </c>
      <c r="W64" s="218">
        <f t="shared" ca="1" si="7"/>
        <v>0</v>
      </c>
      <c r="X64" s="98">
        <f ca="1">IF('Invoer gegevens (N)'!$C$17=E64,'Invoer gegevens (N)'!$C$10-'Invoer gegevens (N)'!$C$11,IF(C64=1,AC63,0))</f>
        <v>0</v>
      </c>
      <c r="Y64" s="98">
        <f t="shared" ca="1" si="4"/>
        <v>0</v>
      </c>
      <c r="Z64" s="98">
        <f ca="1">(1-('Invoer gegevens (N)'!$F$20/12))*X64*MIN(BA64,BC64)</f>
        <v>0</v>
      </c>
      <c r="AA64" s="98">
        <f ca="1">IF(BD64&lt;1,IF('Reeksen (N)'!AD64&lt;='Reeksen (N)'!AE64,X64*'Reeksen (N)'!C64,0),IF(BC64&gt;=BA64,0,IF('Reeksen (N)'!AD64&lt;='Reeksen (N)'!AE64,(BA64-BC64)*X64,0)))</f>
        <v>0</v>
      </c>
      <c r="AB64" s="98">
        <f ca="1">IF(BD64&lt;1,IF('Reeksen (N)'!AD64&gt;'Reeksen (N)'!AE64,X64*'Reeksen (N)'!C64,0),IF(BC64&gt;=BA64,0,IF('Reeksen (N)'!AD64&gt;'Reeksen (N)'!AE64,(BA64-BC64)*X64,0)))</f>
        <v>0</v>
      </c>
      <c r="AC64" s="99">
        <f t="shared" ca="1" si="8"/>
        <v>0</v>
      </c>
      <c r="AD64" s="98">
        <f ca="1">IF('Invoer gegevens (N)'!$C$17=E64,R64,IF(C64=0,0,AE63))</f>
        <v>0</v>
      </c>
      <c r="AE64" s="98">
        <f t="shared" ca="1" si="9"/>
        <v>0</v>
      </c>
      <c r="AF64" s="98">
        <f ca="1">IF('Invoer gegevens (N)'!$C$17=E64,X64,IF(C64=0,0,AG63))</f>
        <v>0</v>
      </c>
      <c r="AG64" s="98">
        <f t="shared" ca="1" si="10"/>
        <v>0</v>
      </c>
      <c r="AH64" s="66"/>
      <c r="AI64" s="71">
        <f ca="1">IF(C64=1,'Reeksen (N)'!AI64*((F64+K64)/2)*12+'Reeksen (N)'!AD64*((L64+Q64)/2)*12,0)</f>
        <v>0</v>
      </c>
      <c r="AJ64" s="71">
        <f ca="1">-AI64*'Invoer gegevens (N)'!$F$28</f>
        <v>0</v>
      </c>
      <c r="AK64" s="71">
        <f t="shared" ca="1" si="11"/>
        <v>0</v>
      </c>
      <c r="AL64" s="71">
        <f ca="1">IF(C64=1,'Reeksen (N)'!AL64*((F64-G64+F64)/2)*12+'Reeksen (N)'!AM64*((L64-M64+L64)/2)*12,0)</f>
        <v>0</v>
      </c>
      <c r="AM64" s="71">
        <f ca="1">-AL64*'Invoer gegevens (N)'!$F$31</f>
        <v>0</v>
      </c>
      <c r="AN64" s="71">
        <f t="shared" ca="1" si="12"/>
        <v>0</v>
      </c>
      <c r="AO64" s="71">
        <f ca="1">IF(C64=1,(H64+J64+N64+P64)*'Reeksen (N)'!AN64,0)</f>
        <v>0</v>
      </c>
      <c r="AP64" s="71">
        <f ca="1">-IF(C64=1,(H64+J64+N64+P64)*'Hulp - basis'!$O$550*'Reeksen (N)'!H64,0)</f>
        <v>0</v>
      </c>
      <c r="AQ64" s="71">
        <f ca="1">-IF(C64=1,(F64+K64+L64+Q64)/2*'Invoer gegevens (N)'!$F$35*'Reeksen (N)'!J64,0)*2</f>
        <v>0</v>
      </c>
      <c r="AR64" s="71">
        <f ca="1">IF(BD64&lt;1,-IF(C64=1,(G64*'Invoer gegevens (N)'!$F$36)*'Reeksen (N)'!J64,0),0)</f>
        <v>0</v>
      </c>
      <c r="AS64" s="71">
        <f ca="1">-IF(C64=1,(F64+K64+L64+Q64)/2*'Invoer gegevens (N)'!$F$37*'Reeksen (N)'!L64,0)</f>
        <v>0</v>
      </c>
      <c r="AT64" s="71">
        <f ca="1">-IF(C64=1,IF(E64='Invoer gegevens (N)'!$C$17,'Invoer gegevens (N)'!$C$11,AD64)*'Reeksen (N)'!S64*'Invoer gegevens (N)'!$C$18*'Reeksen (N)'!P64,0)</f>
        <v>0</v>
      </c>
      <c r="AU64" s="71">
        <f ca="1">-IF(C64=1,(F64+K64+L64+Q64)/2*'Invoer gegevens (N)'!$F$38*'Reeksen (N)'!H64,0)</f>
        <v>0</v>
      </c>
      <c r="AV64" s="71">
        <v>0</v>
      </c>
      <c r="AW64" s="71">
        <f t="shared" ca="1" si="13"/>
        <v>0</v>
      </c>
      <c r="AX64" s="71">
        <f ca="1">IF(E64&lt;'Invoer gegevens (N)'!$C$17+15,0,IF(E64&gt;'Invoer gegevens (N)'!$C$17+215,0,AW64))</f>
        <v>0</v>
      </c>
      <c r="AY64" s="71">
        <f ca="1">AX64/(1+'Invoer gegevens (N)'!$F$18)^($AZ64-('Invoer gegevens (N)'!$C$17-'Invoer gegevens (N)'!$C$16))/(1+'Invoer gegevens (N)'!$C$39)^('Invoer gegevens (N)'!$C$17-'Invoer gegevens (N)'!$C$16)</f>
        <v>0</v>
      </c>
      <c r="AZ64" s="68">
        <f ca="1">IF(E64-'Invoer gegevens (N)'!$C$17-14.5&lt;0,0,E64-'Invoer gegevens (N)'!$C$17-14.5)</f>
        <v>44.5</v>
      </c>
      <c r="BA64" s="109">
        <f ca="1">IFERROR(VLOOKUP(E64-15,'Reeksen (N)'!$A$5:$D$234,2,FALSE),0)</f>
        <v>0</v>
      </c>
      <c r="BB64" s="109">
        <f ca="1">IFERROR(VLOOKUP(E64-15,'Reeksen (N)'!$A$5:$D$234,3,FALSE),0)</f>
        <v>0</v>
      </c>
      <c r="BC64" s="109">
        <f ca="1">IFERROR(VLOOKUP(E64-15,'Reeksen (N)'!$A$5:$D$234,4,FALSE),0)</f>
        <v>0</v>
      </c>
      <c r="BD64" s="67">
        <f ca="1">IF(E64-'Invoer gegevens (N)'!$C$17&lt;15,0,1)</f>
        <v>1</v>
      </c>
    </row>
    <row r="65" spans="1:56" x14ac:dyDescent="0.25">
      <c r="A65" s="59"/>
      <c r="B65" s="70">
        <f t="shared" si="14"/>
        <v>61</v>
      </c>
      <c r="C65" s="67">
        <f ca="1">IF(E65-'Invoer gegevens (N)'!$C$17&lt;0,0,1)</f>
        <v>1</v>
      </c>
      <c r="D65" s="68">
        <f t="shared" si="15"/>
        <v>60.5</v>
      </c>
      <c r="E65" s="108">
        <f ca="1">IF('Invoer gegevens (N)'!$C$16="","",E64+1)</f>
        <v>2079</v>
      </c>
      <c r="F65" s="84">
        <f ca="1">IF('Invoer gegevens (N)'!$C$17=E65,'Invoer gegevens (N)'!$C$10,IF(C65=1,K64,0))</f>
        <v>0</v>
      </c>
      <c r="G65" s="96">
        <f ca="1">IF(BD65&lt;1,F65*'Reeksen (N)'!C65,IF(C65&gt;=1,F65*BA65,0))</f>
        <v>0</v>
      </c>
      <c r="H65" s="84">
        <f ca="1">(1-('Invoer gegevens (N)'!$F$20/12))*F65*MIN(BA65,BC65)</f>
        <v>0</v>
      </c>
      <c r="I65" s="84">
        <f t="shared" ca="1" si="0"/>
        <v>0</v>
      </c>
      <c r="J65" s="84">
        <f ca="1">('Invoer gegevens (N)'!$F$20/12)*F64*MIN(BA65,BC65)</f>
        <v>0</v>
      </c>
      <c r="K65" s="97">
        <f t="shared" ca="1" si="5"/>
        <v>0</v>
      </c>
      <c r="L65" s="84">
        <f ca="1">IF('Invoer gegevens (N)'!$C$17=E65,0,IF(C65=1,Q64,0))</f>
        <v>0</v>
      </c>
      <c r="M65" s="96">
        <f t="shared" ca="1" si="1"/>
        <v>0</v>
      </c>
      <c r="N65" s="84">
        <f ca="1">(1-('Invoer gegevens (N)'!$F$20/12))*L65*MIN(BA65,BC65)</f>
        <v>0</v>
      </c>
      <c r="O65" s="84">
        <f t="shared" ca="1" si="2"/>
        <v>0</v>
      </c>
      <c r="P65" s="84">
        <f ca="1">('Invoer gegevens (N)'!$F$20/12)*L64*MIN(BA65,BC65)</f>
        <v>0</v>
      </c>
      <c r="Q65" s="84">
        <f t="shared" ca="1" si="6"/>
        <v>0</v>
      </c>
      <c r="R65" s="85">
        <f ca="1">IF('Invoer gegevens (N)'!$C$17=E65,'Invoer gegevens (N)'!$C$11,IF(C65=1,W64,0))</f>
        <v>0</v>
      </c>
      <c r="S65" s="86">
        <f t="shared" ca="1" si="3"/>
        <v>0</v>
      </c>
      <c r="T65" s="86">
        <f ca="1">(1-('Invoer gegevens (N)'!$F$20/12))*R65*MIN(BC65,BA65)</f>
        <v>0</v>
      </c>
      <c r="U65" s="86">
        <f ca="1">IF(BD65&lt;1,IF('Reeksen (N)'!AD65&lt;='Reeksen (N)'!AE65,R65*'Reeksen (N)'!C65,0),IF(BC65&gt;=BA65,0,IF('Reeksen (N)'!AD65&lt;='Reeksen (N)'!AE65,(BA65-BC65)*R65,0)))</f>
        <v>0</v>
      </c>
      <c r="V65" s="86">
        <f ca="1">IF(BD65&lt;1,IF('Reeksen (N)'!AD65&gt;'Reeksen (N)'!AE65,R65*'Reeksen (N)'!C65,0),IF(BC65&gt;=BA65,0,IF('Reeksen (N)'!AD65&gt;'Reeksen (N)'!AE65,(BA65-BC65)*R65,0)))</f>
        <v>0</v>
      </c>
      <c r="W65" s="218">
        <f t="shared" ca="1" si="7"/>
        <v>0</v>
      </c>
      <c r="X65" s="98">
        <f ca="1">IF('Invoer gegevens (N)'!$C$17=E65,'Invoer gegevens (N)'!$C$10-'Invoer gegevens (N)'!$C$11,IF(C65=1,AC64,0))</f>
        <v>0</v>
      </c>
      <c r="Y65" s="98">
        <f t="shared" ca="1" si="4"/>
        <v>0</v>
      </c>
      <c r="Z65" s="98">
        <f ca="1">(1-('Invoer gegevens (N)'!$F$20/12))*X65*MIN(BA65,BC65)</f>
        <v>0</v>
      </c>
      <c r="AA65" s="98">
        <f ca="1">IF(BD65&lt;1,IF('Reeksen (N)'!AD65&lt;='Reeksen (N)'!AE65,X65*'Reeksen (N)'!C65,0),IF(BC65&gt;=BA65,0,IF('Reeksen (N)'!AD65&lt;='Reeksen (N)'!AE65,(BA65-BC65)*X65,0)))</f>
        <v>0</v>
      </c>
      <c r="AB65" s="98">
        <f ca="1">IF(BD65&lt;1,IF('Reeksen (N)'!AD65&gt;'Reeksen (N)'!AE65,X65*'Reeksen (N)'!C65,0),IF(BC65&gt;=BA65,0,IF('Reeksen (N)'!AD65&gt;'Reeksen (N)'!AE65,(BA65-BC65)*X65,0)))</f>
        <v>0</v>
      </c>
      <c r="AC65" s="99">
        <f t="shared" ca="1" si="8"/>
        <v>0</v>
      </c>
      <c r="AD65" s="98">
        <f ca="1">IF('Invoer gegevens (N)'!$C$17=E65,R65,IF(C65=0,0,AE64))</f>
        <v>0</v>
      </c>
      <c r="AE65" s="98">
        <f t="shared" ca="1" si="9"/>
        <v>0</v>
      </c>
      <c r="AF65" s="98">
        <f ca="1">IF('Invoer gegevens (N)'!$C$17=E65,X65,IF(C65=0,0,AG64))</f>
        <v>0</v>
      </c>
      <c r="AG65" s="98">
        <f t="shared" ca="1" si="10"/>
        <v>0</v>
      </c>
      <c r="AH65" s="66"/>
      <c r="AI65" s="71">
        <f ca="1">IF(C65=1,'Reeksen (N)'!AI65*((F65+K65)/2)*12+'Reeksen (N)'!AD65*((L65+Q65)/2)*12,0)</f>
        <v>0</v>
      </c>
      <c r="AJ65" s="71">
        <f ca="1">-AI65*'Invoer gegevens (N)'!$F$28</f>
        <v>0</v>
      </c>
      <c r="AK65" s="71">
        <f t="shared" ca="1" si="11"/>
        <v>0</v>
      </c>
      <c r="AL65" s="71">
        <f ca="1">IF(C65=1,'Reeksen (N)'!AL65*((F65-G65+F65)/2)*12+'Reeksen (N)'!AM65*((L65-M65+L65)/2)*12,0)</f>
        <v>0</v>
      </c>
      <c r="AM65" s="71">
        <f ca="1">-AL65*'Invoer gegevens (N)'!$F$31</f>
        <v>0</v>
      </c>
      <c r="AN65" s="71">
        <f t="shared" ca="1" si="12"/>
        <v>0</v>
      </c>
      <c r="AO65" s="71">
        <f ca="1">IF(C65=1,(H65+J65+N65+P65)*'Reeksen (N)'!AN65,0)</f>
        <v>0</v>
      </c>
      <c r="AP65" s="71">
        <f ca="1">-IF(C65=1,(H65+J65+N65+P65)*'Hulp - basis'!$O$550*'Reeksen (N)'!H65,0)</f>
        <v>0</v>
      </c>
      <c r="AQ65" s="71">
        <f ca="1">-IF(C65=1,(F65+K65+L65+Q65)/2*'Invoer gegevens (N)'!$F$35*'Reeksen (N)'!J65,0)*2</f>
        <v>0</v>
      </c>
      <c r="AR65" s="71">
        <f ca="1">IF(BD65&lt;1,-IF(C65=1,(G65*'Invoer gegevens (N)'!$F$36)*'Reeksen (N)'!J65,0),0)</f>
        <v>0</v>
      </c>
      <c r="AS65" s="71">
        <f ca="1">-IF(C65=1,(F65+K65+L65+Q65)/2*'Invoer gegevens (N)'!$F$37*'Reeksen (N)'!L65,0)</f>
        <v>0</v>
      </c>
      <c r="AT65" s="71">
        <f ca="1">-IF(C65=1,IF(E65='Invoer gegevens (N)'!$C$17,'Invoer gegevens (N)'!$C$11,AD65)*'Reeksen (N)'!S65*'Invoer gegevens (N)'!$C$18*'Reeksen (N)'!P65,0)</f>
        <v>0</v>
      </c>
      <c r="AU65" s="71">
        <f ca="1">-IF(C65=1,(F65+K65+L65+Q65)/2*'Invoer gegevens (N)'!$F$38*'Reeksen (N)'!H65,0)</f>
        <v>0</v>
      </c>
      <c r="AV65" s="71">
        <v>0</v>
      </c>
      <c r="AW65" s="71">
        <f t="shared" ca="1" si="13"/>
        <v>0</v>
      </c>
      <c r="AX65" s="71">
        <f ca="1">IF(E65&lt;'Invoer gegevens (N)'!$C$17+15,0,IF(E65&gt;'Invoer gegevens (N)'!$C$17+215,0,AW65))</f>
        <v>0</v>
      </c>
      <c r="AY65" s="71">
        <f ca="1">AX65/(1+'Invoer gegevens (N)'!$F$18)^($AZ65-('Invoer gegevens (N)'!$C$17-'Invoer gegevens (N)'!$C$16))/(1+'Invoer gegevens (N)'!$C$39)^('Invoer gegevens (N)'!$C$17-'Invoer gegevens (N)'!$C$16)</f>
        <v>0</v>
      </c>
      <c r="AZ65" s="68">
        <f ca="1">IF(E65-'Invoer gegevens (N)'!$C$17-14.5&lt;0,0,E65-'Invoer gegevens (N)'!$C$17-14.5)</f>
        <v>45.5</v>
      </c>
      <c r="BA65" s="109">
        <f ca="1">IFERROR(VLOOKUP(E65-15,'Reeksen (N)'!$A$5:$D$234,2,FALSE),0)</f>
        <v>0</v>
      </c>
      <c r="BB65" s="109">
        <f ca="1">IFERROR(VLOOKUP(E65-15,'Reeksen (N)'!$A$5:$D$234,3,FALSE),0)</f>
        <v>0</v>
      </c>
      <c r="BC65" s="109">
        <f ca="1">IFERROR(VLOOKUP(E65-15,'Reeksen (N)'!$A$5:$D$234,4,FALSE),0)</f>
        <v>0</v>
      </c>
      <c r="BD65" s="67">
        <f ca="1">IF(E65-'Invoer gegevens (N)'!$C$17&lt;15,0,1)</f>
        <v>1</v>
      </c>
    </row>
    <row r="66" spans="1:56" x14ac:dyDescent="0.25">
      <c r="A66" s="59"/>
      <c r="B66" s="70">
        <f t="shared" si="14"/>
        <v>62</v>
      </c>
      <c r="C66" s="67">
        <f ca="1">IF(E66-'Invoer gegevens (N)'!$C$17&lt;0,0,1)</f>
        <v>1</v>
      </c>
      <c r="D66" s="68">
        <f t="shared" si="15"/>
        <v>61.5</v>
      </c>
      <c r="E66" s="108">
        <f ca="1">IF('Invoer gegevens (N)'!$C$16="","",E65+1)</f>
        <v>2080</v>
      </c>
      <c r="F66" s="84">
        <f ca="1">IF('Invoer gegevens (N)'!$C$17=E66,'Invoer gegevens (N)'!$C$10,IF(C66=1,K65,0))</f>
        <v>0</v>
      </c>
      <c r="G66" s="96">
        <f ca="1">IF(BD66&lt;1,F66*'Reeksen (N)'!C66,IF(C66&gt;=1,F66*BA66,0))</f>
        <v>0</v>
      </c>
      <c r="H66" s="84">
        <f ca="1">(1-('Invoer gegevens (N)'!$F$20/12))*F66*MIN(BA66,BC66)</f>
        <v>0</v>
      </c>
      <c r="I66" s="84">
        <f t="shared" ca="1" si="0"/>
        <v>0</v>
      </c>
      <c r="J66" s="84">
        <f ca="1">('Invoer gegevens (N)'!$F$20/12)*F65*MIN(BA66,BC66)</f>
        <v>0</v>
      </c>
      <c r="K66" s="97">
        <f t="shared" ca="1" si="5"/>
        <v>0</v>
      </c>
      <c r="L66" s="84">
        <f ca="1">IF('Invoer gegevens (N)'!$C$17=E66,0,IF(C66=1,Q65,0))</f>
        <v>0</v>
      </c>
      <c r="M66" s="96">
        <f t="shared" ca="1" si="1"/>
        <v>0</v>
      </c>
      <c r="N66" s="84">
        <f ca="1">(1-('Invoer gegevens (N)'!$F$20/12))*L66*MIN(BA66,BC66)</f>
        <v>0</v>
      </c>
      <c r="O66" s="84">
        <f t="shared" ca="1" si="2"/>
        <v>0</v>
      </c>
      <c r="P66" s="84">
        <f ca="1">('Invoer gegevens (N)'!$F$20/12)*L65*MIN(BA66,BC66)</f>
        <v>0</v>
      </c>
      <c r="Q66" s="84">
        <f t="shared" ca="1" si="6"/>
        <v>0</v>
      </c>
      <c r="R66" s="85">
        <f ca="1">IF('Invoer gegevens (N)'!$C$17=E66,'Invoer gegevens (N)'!$C$11,IF(C66=1,W65,0))</f>
        <v>0</v>
      </c>
      <c r="S66" s="86">
        <f t="shared" ca="1" si="3"/>
        <v>0</v>
      </c>
      <c r="T66" s="86">
        <f ca="1">(1-('Invoer gegevens (N)'!$F$20/12))*R66*MIN(BC66,BA66)</f>
        <v>0</v>
      </c>
      <c r="U66" s="86">
        <f ca="1">IF(BD66&lt;1,IF('Reeksen (N)'!AD66&lt;='Reeksen (N)'!AE66,R66*'Reeksen (N)'!C66,0),IF(BC66&gt;=BA66,0,IF('Reeksen (N)'!AD66&lt;='Reeksen (N)'!AE66,(BA66-BC66)*R66,0)))</f>
        <v>0</v>
      </c>
      <c r="V66" s="86">
        <f ca="1">IF(BD66&lt;1,IF('Reeksen (N)'!AD66&gt;'Reeksen (N)'!AE66,R66*'Reeksen (N)'!C66,0),IF(BC66&gt;=BA66,0,IF('Reeksen (N)'!AD66&gt;'Reeksen (N)'!AE66,(BA66-BC66)*R66,0)))</f>
        <v>0</v>
      </c>
      <c r="W66" s="218">
        <f t="shared" ca="1" si="7"/>
        <v>0</v>
      </c>
      <c r="X66" s="98">
        <f ca="1">IF('Invoer gegevens (N)'!$C$17=E66,'Invoer gegevens (N)'!$C$10-'Invoer gegevens (N)'!$C$11,IF(C66=1,AC65,0))</f>
        <v>0</v>
      </c>
      <c r="Y66" s="98">
        <f t="shared" ca="1" si="4"/>
        <v>0</v>
      </c>
      <c r="Z66" s="98">
        <f ca="1">(1-('Invoer gegevens (N)'!$F$20/12))*X66*MIN(BA66,BC66)</f>
        <v>0</v>
      </c>
      <c r="AA66" s="98">
        <f ca="1">IF(BD66&lt;1,IF('Reeksen (N)'!AD66&lt;='Reeksen (N)'!AE66,X66*'Reeksen (N)'!C66,0),IF(BC66&gt;=BA66,0,IF('Reeksen (N)'!AD66&lt;='Reeksen (N)'!AE66,(BA66-BC66)*X66,0)))</f>
        <v>0</v>
      </c>
      <c r="AB66" s="98">
        <f ca="1">IF(BD66&lt;1,IF('Reeksen (N)'!AD66&gt;'Reeksen (N)'!AE66,X66*'Reeksen (N)'!C66,0),IF(BC66&gt;=BA66,0,IF('Reeksen (N)'!AD66&gt;'Reeksen (N)'!AE66,(BA66-BC66)*X66,0)))</f>
        <v>0</v>
      </c>
      <c r="AC66" s="99">
        <f t="shared" ca="1" si="8"/>
        <v>0</v>
      </c>
      <c r="AD66" s="98">
        <f ca="1">IF('Invoer gegevens (N)'!$C$17=E66,R66,IF(C66=0,0,AE65))</f>
        <v>0</v>
      </c>
      <c r="AE66" s="98">
        <f t="shared" ca="1" si="9"/>
        <v>0</v>
      </c>
      <c r="AF66" s="98">
        <f ca="1">IF('Invoer gegevens (N)'!$C$17=E66,X66,IF(C66=0,0,AG65))</f>
        <v>0</v>
      </c>
      <c r="AG66" s="98">
        <f t="shared" ca="1" si="10"/>
        <v>0</v>
      </c>
      <c r="AH66" s="66"/>
      <c r="AI66" s="71">
        <f ca="1">IF(C66=1,'Reeksen (N)'!AI66*((F66+K66)/2)*12+'Reeksen (N)'!AD66*((L66+Q66)/2)*12,0)</f>
        <v>0</v>
      </c>
      <c r="AJ66" s="71">
        <f ca="1">-AI66*'Invoer gegevens (N)'!$F$28</f>
        <v>0</v>
      </c>
      <c r="AK66" s="71">
        <f t="shared" ca="1" si="11"/>
        <v>0</v>
      </c>
      <c r="AL66" s="71">
        <f ca="1">IF(C66=1,'Reeksen (N)'!AL66*((F66-G66+F66)/2)*12+'Reeksen (N)'!AM66*((L66-M66+L66)/2)*12,0)</f>
        <v>0</v>
      </c>
      <c r="AM66" s="71">
        <f ca="1">-AL66*'Invoer gegevens (N)'!$F$31</f>
        <v>0</v>
      </c>
      <c r="AN66" s="71">
        <f t="shared" ca="1" si="12"/>
        <v>0</v>
      </c>
      <c r="AO66" s="71">
        <f ca="1">IF(C66=1,(H66+J66+N66+P66)*'Reeksen (N)'!AN66,0)</f>
        <v>0</v>
      </c>
      <c r="AP66" s="71">
        <f ca="1">-IF(C66=1,(H66+J66+N66+P66)*'Hulp - basis'!$O$550*'Reeksen (N)'!H66,0)</f>
        <v>0</v>
      </c>
      <c r="AQ66" s="71">
        <f ca="1">-IF(C66=1,(F66+K66+L66+Q66)/2*'Invoer gegevens (N)'!$F$35*'Reeksen (N)'!J66,0)*2</f>
        <v>0</v>
      </c>
      <c r="AR66" s="71">
        <f ca="1">IF(BD66&lt;1,-IF(C66=1,(G66*'Invoer gegevens (N)'!$F$36)*'Reeksen (N)'!J66,0),0)</f>
        <v>0</v>
      </c>
      <c r="AS66" s="71">
        <f ca="1">-IF(C66=1,(F66+K66+L66+Q66)/2*'Invoer gegevens (N)'!$F$37*'Reeksen (N)'!L66,0)</f>
        <v>0</v>
      </c>
      <c r="AT66" s="71">
        <f ca="1">-IF(C66=1,IF(E66='Invoer gegevens (N)'!$C$17,'Invoer gegevens (N)'!$C$11,AD66)*'Reeksen (N)'!S66*'Invoer gegevens (N)'!$C$18*'Reeksen (N)'!P66,0)</f>
        <v>0</v>
      </c>
      <c r="AU66" s="71">
        <f ca="1">-IF(C66=1,(F66+K66+L66+Q66)/2*'Invoer gegevens (N)'!$F$38*'Reeksen (N)'!H66,0)</f>
        <v>0</v>
      </c>
      <c r="AV66" s="71">
        <v>0</v>
      </c>
      <c r="AW66" s="71">
        <f t="shared" ca="1" si="13"/>
        <v>0</v>
      </c>
      <c r="AX66" s="71">
        <f ca="1">IF(E66&lt;'Invoer gegevens (N)'!$C$17+15,0,IF(E66&gt;'Invoer gegevens (N)'!$C$17+215,0,AW66))</f>
        <v>0</v>
      </c>
      <c r="AY66" s="71">
        <f ca="1">AX66/(1+'Invoer gegevens (N)'!$F$18)^($AZ66-('Invoer gegevens (N)'!$C$17-'Invoer gegevens (N)'!$C$16))/(1+'Invoer gegevens (N)'!$C$39)^('Invoer gegevens (N)'!$C$17-'Invoer gegevens (N)'!$C$16)</f>
        <v>0</v>
      </c>
      <c r="AZ66" s="68">
        <f ca="1">IF(E66-'Invoer gegevens (N)'!$C$17-14.5&lt;0,0,E66-'Invoer gegevens (N)'!$C$17-14.5)</f>
        <v>46.5</v>
      </c>
      <c r="BA66" s="109">
        <f ca="1">IFERROR(VLOOKUP(E66-15,'Reeksen (N)'!$A$5:$D$234,2,FALSE),0)</f>
        <v>0</v>
      </c>
      <c r="BB66" s="109">
        <f ca="1">IFERROR(VLOOKUP(E66-15,'Reeksen (N)'!$A$5:$D$234,3,FALSE),0)</f>
        <v>0</v>
      </c>
      <c r="BC66" s="109">
        <f ca="1">IFERROR(VLOOKUP(E66-15,'Reeksen (N)'!$A$5:$D$234,4,FALSE),0)</f>
        <v>0</v>
      </c>
      <c r="BD66" s="67">
        <f ca="1">IF(E66-'Invoer gegevens (N)'!$C$17&lt;15,0,1)</f>
        <v>1</v>
      </c>
    </row>
    <row r="67" spans="1:56" x14ac:dyDescent="0.25">
      <c r="A67" s="59"/>
      <c r="B67" s="70">
        <f t="shared" si="14"/>
        <v>63</v>
      </c>
      <c r="C67" s="67">
        <f ca="1">IF(E67-'Invoer gegevens (N)'!$C$17&lt;0,0,1)</f>
        <v>1</v>
      </c>
      <c r="D67" s="68">
        <f t="shared" si="15"/>
        <v>62.5</v>
      </c>
      <c r="E67" s="108">
        <f ca="1">IF('Invoer gegevens (N)'!$C$16="","",E66+1)</f>
        <v>2081</v>
      </c>
      <c r="F67" s="84">
        <f ca="1">IF('Invoer gegevens (N)'!$C$17=E67,'Invoer gegevens (N)'!$C$10,IF(C67=1,K66,0))</f>
        <v>0</v>
      </c>
      <c r="G67" s="96">
        <f ca="1">IF(BD67&lt;1,F67*'Reeksen (N)'!C67,IF(C67&gt;=1,F67*BA67,0))</f>
        <v>0</v>
      </c>
      <c r="H67" s="84">
        <f ca="1">(1-('Invoer gegevens (N)'!$F$20/12))*F67*MIN(BA67,BC67)</f>
        <v>0</v>
      </c>
      <c r="I67" s="84">
        <f t="shared" ca="1" si="0"/>
        <v>0</v>
      </c>
      <c r="J67" s="84">
        <f ca="1">('Invoer gegevens (N)'!$F$20/12)*F66*MIN(BA67,BC67)</f>
        <v>0</v>
      </c>
      <c r="K67" s="97">
        <f t="shared" ca="1" si="5"/>
        <v>0</v>
      </c>
      <c r="L67" s="84">
        <f ca="1">IF('Invoer gegevens (N)'!$C$17=E67,0,IF(C67=1,Q66,0))</f>
        <v>0</v>
      </c>
      <c r="M67" s="96">
        <f t="shared" ca="1" si="1"/>
        <v>0</v>
      </c>
      <c r="N67" s="84">
        <f ca="1">(1-('Invoer gegevens (N)'!$F$20/12))*L67*MIN(BA67,BC67)</f>
        <v>0</v>
      </c>
      <c r="O67" s="84">
        <f t="shared" ca="1" si="2"/>
        <v>0</v>
      </c>
      <c r="P67" s="84">
        <f ca="1">('Invoer gegevens (N)'!$F$20/12)*L66*MIN(BA67,BC67)</f>
        <v>0</v>
      </c>
      <c r="Q67" s="84">
        <f t="shared" ca="1" si="6"/>
        <v>0</v>
      </c>
      <c r="R67" s="85">
        <f ca="1">IF('Invoer gegevens (N)'!$C$17=E67,'Invoer gegevens (N)'!$C$11,IF(C67=1,W66,0))</f>
        <v>0</v>
      </c>
      <c r="S67" s="86">
        <f t="shared" ca="1" si="3"/>
        <v>0</v>
      </c>
      <c r="T67" s="86">
        <f ca="1">(1-('Invoer gegevens (N)'!$F$20/12))*R67*MIN(BC67,BA67)</f>
        <v>0</v>
      </c>
      <c r="U67" s="86">
        <f ca="1">IF(BD67&lt;1,IF('Reeksen (N)'!AD67&lt;='Reeksen (N)'!AE67,R67*'Reeksen (N)'!C67,0),IF(BC67&gt;=BA67,0,IF('Reeksen (N)'!AD67&lt;='Reeksen (N)'!AE67,(BA67-BC67)*R67,0)))</f>
        <v>0</v>
      </c>
      <c r="V67" s="86">
        <f ca="1">IF(BD67&lt;1,IF('Reeksen (N)'!AD67&gt;'Reeksen (N)'!AE67,R67*'Reeksen (N)'!C67,0),IF(BC67&gt;=BA67,0,IF('Reeksen (N)'!AD67&gt;'Reeksen (N)'!AE67,(BA67-BC67)*R67,0)))</f>
        <v>0</v>
      </c>
      <c r="W67" s="218">
        <f t="shared" ca="1" si="7"/>
        <v>0</v>
      </c>
      <c r="X67" s="98">
        <f ca="1">IF('Invoer gegevens (N)'!$C$17=E67,'Invoer gegevens (N)'!$C$10-'Invoer gegevens (N)'!$C$11,IF(C67=1,AC66,0))</f>
        <v>0</v>
      </c>
      <c r="Y67" s="98">
        <f t="shared" ca="1" si="4"/>
        <v>0</v>
      </c>
      <c r="Z67" s="98">
        <f ca="1">(1-('Invoer gegevens (N)'!$F$20/12))*X67*MIN(BA67,BC67)</f>
        <v>0</v>
      </c>
      <c r="AA67" s="98">
        <f ca="1">IF(BD67&lt;1,IF('Reeksen (N)'!AD67&lt;='Reeksen (N)'!AE67,X67*'Reeksen (N)'!C67,0),IF(BC67&gt;=BA67,0,IF('Reeksen (N)'!AD67&lt;='Reeksen (N)'!AE67,(BA67-BC67)*X67,0)))</f>
        <v>0</v>
      </c>
      <c r="AB67" s="98">
        <f ca="1">IF(BD67&lt;1,IF('Reeksen (N)'!AD67&gt;'Reeksen (N)'!AE67,X67*'Reeksen (N)'!C67,0),IF(BC67&gt;=BA67,0,IF('Reeksen (N)'!AD67&gt;'Reeksen (N)'!AE67,(BA67-BC67)*X67,0)))</f>
        <v>0</v>
      </c>
      <c r="AC67" s="99">
        <f t="shared" ca="1" si="8"/>
        <v>0</v>
      </c>
      <c r="AD67" s="98">
        <f ca="1">IF('Invoer gegevens (N)'!$C$17=E67,R67,IF(C67=0,0,AE66))</f>
        <v>0</v>
      </c>
      <c r="AE67" s="98">
        <f t="shared" ca="1" si="9"/>
        <v>0</v>
      </c>
      <c r="AF67" s="98">
        <f ca="1">IF('Invoer gegevens (N)'!$C$17=E67,X67,IF(C67=0,0,AG66))</f>
        <v>0</v>
      </c>
      <c r="AG67" s="98">
        <f t="shared" ca="1" si="10"/>
        <v>0</v>
      </c>
      <c r="AH67" s="66"/>
      <c r="AI67" s="71">
        <f ca="1">IF(C67=1,'Reeksen (N)'!AI67*((F67+K67)/2)*12+'Reeksen (N)'!AD67*((L67+Q67)/2)*12,0)</f>
        <v>0</v>
      </c>
      <c r="AJ67" s="71">
        <f ca="1">-AI67*'Invoer gegevens (N)'!$F$28</f>
        <v>0</v>
      </c>
      <c r="AK67" s="71">
        <f t="shared" ca="1" si="11"/>
        <v>0</v>
      </c>
      <c r="AL67" s="71">
        <f ca="1">IF(C67=1,'Reeksen (N)'!AL67*((F67-G67+F67)/2)*12+'Reeksen (N)'!AM67*((L67-M67+L67)/2)*12,0)</f>
        <v>0</v>
      </c>
      <c r="AM67" s="71">
        <f ca="1">-AL67*'Invoer gegevens (N)'!$F$31</f>
        <v>0</v>
      </c>
      <c r="AN67" s="71">
        <f t="shared" ca="1" si="12"/>
        <v>0</v>
      </c>
      <c r="AO67" s="71">
        <f ca="1">IF(C67=1,(H67+J67+N67+P67)*'Reeksen (N)'!AN67,0)</f>
        <v>0</v>
      </c>
      <c r="AP67" s="71">
        <f ca="1">-IF(C67=1,(H67+J67+N67+P67)*'Hulp - basis'!$O$550*'Reeksen (N)'!H67,0)</f>
        <v>0</v>
      </c>
      <c r="AQ67" s="71">
        <f ca="1">-IF(C67=1,(F67+K67+L67+Q67)/2*'Invoer gegevens (N)'!$F$35*'Reeksen (N)'!J67,0)*2</f>
        <v>0</v>
      </c>
      <c r="AR67" s="71">
        <f ca="1">IF(BD67&lt;1,-IF(C67=1,(G67*'Invoer gegevens (N)'!$F$36)*'Reeksen (N)'!J67,0),0)</f>
        <v>0</v>
      </c>
      <c r="AS67" s="71">
        <f ca="1">-IF(C67=1,(F67+K67+L67+Q67)/2*'Invoer gegevens (N)'!$F$37*'Reeksen (N)'!L67,0)</f>
        <v>0</v>
      </c>
      <c r="AT67" s="71">
        <f ca="1">-IF(C67=1,IF(E67='Invoer gegevens (N)'!$C$17,'Invoer gegevens (N)'!$C$11,AD67)*'Reeksen (N)'!S67*'Invoer gegevens (N)'!$C$18*'Reeksen (N)'!P67,0)</f>
        <v>0</v>
      </c>
      <c r="AU67" s="71">
        <f ca="1">-IF(C67=1,(F67+K67+L67+Q67)/2*'Invoer gegevens (N)'!$F$38*'Reeksen (N)'!H67,0)</f>
        <v>0</v>
      </c>
      <c r="AV67" s="71">
        <v>0</v>
      </c>
      <c r="AW67" s="71">
        <f t="shared" ca="1" si="13"/>
        <v>0</v>
      </c>
      <c r="AX67" s="71">
        <f ca="1">IF(E67&lt;'Invoer gegevens (N)'!$C$17+15,0,IF(E67&gt;'Invoer gegevens (N)'!$C$17+215,0,AW67))</f>
        <v>0</v>
      </c>
      <c r="AY67" s="71">
        <f ca="1">AX67/(1+'Invoer gegevens (N)'!$F$18)^($AZ67-('Invoer gegevens (N)'!$C$17-'Invoer gegevens (N)'!$C$16))/(1+'Invoer gegevens (N)'!$C$39)^('Invoer gegevens (N)'!$C$17-'Invoer gegevens (N)'!$C$16)</f>
        <v>0</v>
      </c>
      <c r="AZ67" s="68">
        <f ca="1">IF(E67-'Invoer gegevens (N)'!$C$17-14.5&lt;0,0,E67-'Invoer gegevens (N)'!$C$17-14.5)</f>
        <v>47.5</v>
      </c>
      <c r="BA67" s="109">
        <f ca="1">IFERROR(VLOOKUP(E67-15,'Reeksen (N)'!$A$5:$D$234,2,FALSE),0)</f>
        <v>0</v>
      </c>
      <c r="BB67" s="109">
        <f ca="1">IFERROR(VLOOKUP(E67-15,'Reeksen (N)'!$A$5:$D$234,3,FALSE),0)</f>
        <v>0</v>
      </c>
      <c r="BC67" s="109">
        <f ca="1">IFERROR(VLOOKUP(E67-15,'Reeksen (N)'!$A$5:$D$234,4,FALSE),0)</f>
        <v>0</v>
      </c>
      <c r="BD67" s="67">
        <f ca="1">IF(E67-'Invoer gegevens (N)'!$C$17&lt;15,0,1)</f>
        <v>1</v>
      </c>
    </row>
    <row r="68" spans="1:56" x14ac:dyDescent="0.25">
      <c r="A68" s="59"/>
      <c r="B68" s="70">
        <f t="shared" si="14"/>
        <v>64</v>
      </c>
      <c r="C68" s="67">
        <f ca="1">IF(E68-'Invoer gegevens (N)'!$C$17&lt;0,0,1)</f>
        <v>1</v>
      </c>
      <c r="D68" s="68">
        <f t="shared" si="15"/>
        <v>63.5</v>
      </c>
      <c r="E68" s="108">
        <f ca="1">IF('Invoer gegevens (N)'!$C$16="","",E67+1)</f>
        <v>2082</v>
      </c>
      <c r="F68" s="84">
        <f ca="1">IF('Invoer gegevens (N)'!$C$17=E68,'Invoer gegevens (N)'!$C$10,IF(C68=1,K67,0))</f>
        <v>0</v>
      </c>
      <c r="G68" s="96">
        <f ca="1">IF(BD68&lt;1,F68*'Reeksen (N)'!C68,IF(C68&gt;=1,F68*BA68,0))</f>
        <v>0</v>
      </c>
      <c r="H68" s="84">
        <f ca="1">(1-('Invoer gegevens (N)'!$F$20/12))*F68*MIN(BA68,BC68)</f>
        <v>0</v>
      </c>
      <c r="I68" s="84">
        <f t="shared" ca="1" si="0"/>
        <v>0</v>
      </c>
      <c r="J68" s="84">
        <f ca="1">('Invoer gegevens (N)'!$F$20/12)*F67*MIN(BA68,BC68)</f>
        <v>0</v>
      </c>
      <c r="K68" s="97">
        <f t="shared" ca="1" si="5"/>
        <v>0</v>
      </c>
      <c r="L68" s="84">
        <f ca="1">IF('Invoer gegevens (N)'!$C$17=E68,0,IF(C68=1,Q67,0))</f>
        <v>0</v>
      </c>
      <c r="M68" s="96">
        <f t="shared" ca="1" si="1"/>
        <v>0</v>
      </c>
      <c r="N68" s="84">
        <f ca="1">(1-('Invoer gegevens (N)'!$F$20/12))*L68*MIN(BA68,BC68)</f>
        <v>0</v>
      </c>
      <c r="O68" s="84">
        <f t="shared" ca="1" si="2"/>
        <v>0</v>
      </c>
      <c r="P68" s="84">
        <f ca="1">('Invoer gegevens (N)'!$F$20/12)*L67*MIN(BA68,BC68)</f>
        <v>0</v>
      </c>
      <c r="Q68" s="84">
        <f t="shared" ca="1" si="6"/>
        <v>0</v>
      </c>
      <c r="R68" s="85">
        <f ca="1">IF('Invoer gegevens (N)'!$C$17=E68,'Invoer gegevens (N)'!$C$11,IF(C68=1,W67,0))</f>
        <v>0</v>
      </c>
      <c r="S68" s="86">
        <f t="shared" ca="1" si="3"/>
        <v>0</v>
      </c>
      <c r="T68" s="86">
        <f ca="1">(1-('Invoer gegevens (N)'!$F$20/12))*R68*MIN(BC68,BA68)</f>
        <v>0</v>
      </c>
      <c r="U68" s="86">
        <f ca="1">IF(BD68&lt;1,IF('Reeksen (N)'!AD68&lt;='Reeksen (N)'!AE68,R68*'Reeksen (N)'!C68,0),IF(BC68&gt;=BA68,0,IF('Reeksen (N)'!AD68&lt;='Reeksen (N)'!AE68,(BA68-BC68)*R68,0)))</f>
        <v>0</v>
      </c>
      <c r="V68" s="86">
        <f ca="1">IF(BD68&lt;1,IF('Reeksen (N)'!AD68&gt;'Reeksen (N)'!AE68,R68*'Reeksen (N)'!C68,0),IF(BC68&gt;=BA68,0,IF('Reeksen (N)'!AD68&gt;'Reeksen (N)'!AE68,(BA68-BC68)*R68,0)))</f>
        <v>0</v>
      </c>
      <c r="W68" s="218">
        <f t="shared" ca="1" si="7"/>
        <v>0</v>
      </c>
      <c r="X68" s="98">
        <f ca="1">IF('Invoer gegevens (N)'!$C$17=E68,'Invoer gegevens (N)'!$C$10-'Invoer gegevens (N)'!$C$11,IF(C68=1,AC67,0))</f>
        <v>0</v>
      </c>
      <c r="Y68" s="98">
        <f t="shared" ca="1" si="4"/>
        <v>0</v>
      </c>
      <c r="Z68" s="98">
        <f ca="1">(1-('Invoer gegevens (N)'!$F$20/12))*X68*MIN(BA68,BC68)</f>
        <v>0</v>
      </c>
      <c r="AA68" s="98">
        <f ca="1">IF(BD68&lt;1,IF('Reeksen (N)'!AD68&lt;='Reeksen (N)'!AE68,X68*'Reeksen (N)'!C68,0),IF(BC68&gt;=BA68,0,IF('Reeksen (N)'!AD68&lt;='Reeksen (N)'!AE68,(BA68-BC68)*X68,0)))</f>
        <v>0</v>
      </c>
      <c r="AB68" s="98">
        <f ca="1">IF(BD68&lt;1,IF('Reeksen (N)'!AD68&gt;'Reeksen (N)'!AE68,X68*'Reeksen (N)'!C68,0),IF(BC68&gt;=BA68,0,IF('Reeksen (N)'!AD68&gt;'Reeksen (N)'!AE68,(BA68-BC68)*X68,0)))</f>
        <v>0</v>
      </c>
      <c r="AC68" s="99">
        <f t="shared" ca="1" si="8"/>
        <v>0</v>
      </c>
      <c r="AD68" s="98">
        <f ca="1">IF('Invoer gegevens (N)'!$C$17=E68,R68,IF(C68=0,0,AE67))</f>
        <v>0</v>
      </c>
      <c r="AE68" s="98">
        <f t="shared" ca="1" si="9"/>
        <v>0</v>
      </c>
      <c r="AF68" s="98">
        <f ca="1">IF('Invoer gegevens (N)'!$C$17=E68,X68,IF(C68=0,0,AG67))</f>
        <v>0</v>
      </c>
      <c r="AG68" s="98">
        <f t="shared" ca="1" si="10"/>
        <v>0</v>
      </c>
      <c r="AH68" s="66"/>
      <c r="AI68" s="71">
        <f ca="1">IF(C68=1,'Reeksen (N)'!AI68*((F68+K68)/2)*12+'Reeksen (N)'!AD68*((L68+Q68)/2)*12,0)</f>
        <v>0</v>
      </c>
      <c r="AJ68" s="71">
        <f ca="1">-AI68*'Invoer gegevens (N)'!$F$28</f>
        <v>0</v>
      </c>
      <c r="AK68" s="71">
        <f t="shared" ca="1" si="11"/>
        <v>0</v>
      </c>
      <c r="AL68" s="71">
        <f ca="1">IF(C68=1,'Reeksen (N)'!AL68*((F68-G68+F68)/2)*12+'Reeksen (N)'!AM68*((L68-M68+L68)/2)*12,0)</f>
        <v>0</v>
      </c>
      <c r="AM68" s="71">
        <f ca="1">-AL68*'Invoer gegevens (N)'!$F$31</f>
        <v>0</v>
      </c>
      <c r="AN68" s="71">
        <f t="shared" ca="1" si="12"/>
        <v>0</v>
      </c>
      <c r="AO68" s="71">
        <f ca="1">IF(C68=1,(H68+J68+N68+P68)*'Reeksen (N)'!AN68,0)</f>
        <v>0</v>
      </c>
      <c r="AP68" s="71">
        <f ca="1">-IF(C68=1,(H68+J68+N68+P68)*'Hulp - basis'!$O$550*'Reeksen (N)'!H68,0)</f>
        <v>0</v>
      </c>
      <c r="AQ68" s="71">
        <f ca="1">-IF(C68=1,(F68+K68+L68+Q68)/2*'Invoer gegevens (N)'!$F$35*'Reeksen (N)'!J68,0)*2</f>
        <v>0</v>
      </c>
      <c r="AR68" s="71">
        <f ca="1">IF(BD68&lt;1,-IF(C68=1,(G68*'Invoer gegevens (N)'!$F$36)*'Reeksen (N)'!J68,0),0)</f>
        <v>0</v>
      </c>
      <c r="AS68" s="71">
        <f ca="1">-IF(C68=1,(F68+K68+L68+Q68)/2*'Invoer gegevens (N)'!$F$37*'Reeksen (N)'!L68,0)</f>
        <v>0</v>
      </c>
      <c r="AT68" s="71">
        <f ca="1">-IF(C68=1,IF(E68='Invoer gegevens (N)'!$C$17,'Invoer gegevens (N)'!$C$11,AD68)*'Reeksen (N)'!S68*'Invoer gegevens (N)'!$C$18*'Reeksen (N)'!P68,0)</f>
        <v>0</v>
      </c>
      <c r="AU68" s="71">
        <f ca="1">-IF(C68=1,(F68+K68+L68+Q68)/2*'Invoer gegevens (N)'!$F$38*'Reeksen (N)'!H68,0)</f>
        <v>0</v>
      </c>
      <c r="AV68" s="71">
        <v>0</v>
      </c>
      <c r="AW68" s="71">
        <f t="shared" ca="1" si="13"/>
        <v>0</v>
      </c>
      <c r="AX68" s="71">
        <f ca="1">IF(E68&lt;'Invoer gegevens (N)'!$C$17+15,0,IF(E68&gt;'Invoer gegevens (N)'!$C$17+215,0,AW68))</f>
        <v>0</v>
      </c>
      <c r="AY68" s="71">
        <f ca="1">AX68/(1+'Invoer gegevens (N)'!$F$18)^($AZ68-('Invoer gegevens (N)'!$C$17-'Invoer gegevens (N)'!$C$16))/(1+'Invoer gegevens (N)'!$C$39)^('Invoer gegevens (N)'!$C$17-'Invoer gegevens (N)'!$C$16)</f>
        <v>0</v>
      </c>
      <c r="AZ68" s="68">
        <f ca="1">IF(E68-'Invoer gegevens (N)'!$C$17-14.5&lt;0,0,E68-'Invoer gegevens (N)'!$C$17-14.5)</f>
        <v>48.5</v>
      </c>
      <c r="BA68" s="109">
        <f ca="1">IFERROR(VLOOKUP(E68-15,'Reeksen (N)'!$A$5:$D$234,2,FALSE),0)</f>
        <v>0</v>
      </c>
      <c r="BB68" s="109">
        <f ca="1">IFERROR(VLOOKUP(E68-15,'Reeksen (N)'!$A$5:$D$234,3,FALSE),0)</f>
        <v>0</v>
      </c>
      <c r="BC68" s="109">
        <f ca="1">IFERROR(VLOOKUP(E68-15,'Reeksen (N)'!$A$5:$D$234,4,FALSE),0)</f>
        <v>0</v>
      </c>
      <c r="BD68" s="67">
        <f ca="1">IF(E68-'Invoer gegevens (N)'!$C$17&lt;15,0,1)</f>
        <v>1</v>
      </c>
    </row>
    <row r="69" spans="1:56" x14ac:dyDescent="0.25">
      <c r="A69" s="59"/>
      <c r="B69" s="70">
        <f t="shared" si="14"/>
        <v>65</v>
      </c>
      <c r="C69" s="67">
        <f ca="1">IF(E69-'Invoer gegevens (N)'!$C$17&lt;0,0,1)</f>
        <v>1</v>
      </c>
      <c r="D69" s="68">
        <f t="shared" si="15"/>
        <v>64.5</v>
      </c>
      <c r="E69" s="108">
        <f ca="1">IF('Invoer gegevens (N)'!$C$16="","",E68+1)</f>
        <v>2083</v>
      </c>
      <c r="F69" s="84">
        <f ca="1">IF('Invoer gegevens (N)'!$C$17=E69,'Invoer gegevens (N)'!$C$10,IF(C69=1,K68,0))</f>
        <v>0</v>
      </c>
      <c r="G69" s="96">
        <f ca="1">IF(BD69&lt;1,F69*'Reeksen (N)'!C69,IF(C69&gt;=1,F69*BA69,0))</f>
        <v>0</v>
      </c>
      <c r="H69" s="84">
        <f ca="1">(1-('Invoer gegevens (N)'!$F$20/12))*F69*MIN(BA69,BC69)</f>
        <v>0</v>
      </c>
      <c r="I69" s="84">
        <f t="shared" ref="I69:I132" ca="1" si="16">IF(BD69&lt;1,G69-H69,IF(BC69&lt;BA69,(BA69-BC69)*F69,0))</f>
        <v>0</v>
      </c>
      <c r="J69" s="84">
        <f ca="1">('Invoer gegevens (N)'!$F$20/12)*F68*MIN(BA69,BC69)</f>
        <v>0</v>
      </c>
      <c r="K69" s="97">
        <f t="shared" ca="1" si="5"/>
        <v>0</v>
      </c>
      <c r="L69" s="84">
        <f ca="1">IF('Invoer gegevens (N)'!$C$17=E69,0,IF(C69=1,Q68,0))</f>
        <v>0</v>
      </c>
      <c r="M69" s="96">
        <f t="shared" ref="M69:M132" ca="1" si="17">IF(C69&gt;=1,L69*BA69,0)</f>
        <v>0</v>
      </c>
      <c r="N69" s="84">
        <f ca="1">(1-('Invoer gegevens (N)'!$F$20/12))*L69*MIN(BA69,BC69)</f>
        <v>0</v>
      </c>
      <c r="O69" s="84">
        <f t="shared" ref="O69:O132" ca="1" si="18">IF(BC69&lt;BA69,(BA69-BC69)*L69,0)</f>
        <v>0</v>
      </c>
      <c r="P69" s="84">
        <f ca="1">('Invoer gegevens (N)'!$F$20/12)*L68*MIN(BA69,BC69)</f>
        <v>0</v>
      </c>
      <c r="Q69" s="84">
        <f t="shared" ca="1" si="6"/>
        <v>0</v>
      </c>
      <c r="R69" s="85">
        <f ca="1">IF('Invoer gegevens (N)'!$C$17=E69,'Invoer gegevens (N)'!$C$11,IF(C69=1,W68,0))</f>
        <v>0</v>
      </c>
      <c r="S69" s="86">
        <f t="shared" ref="S69:S132" ca="1" si="19">IF(C69&gt;=1,R69*BA69,0)</f>
        <v>0</v>
      </c>
      <c r="T69" s="86">
        <f ca="1">(1-('Invoer gegevens (N)'!$F$20/12))*R69*MIN(BC69,BA69)</f>
        <v>0</v>
      </c>
      <c r="U69" s="86">
        <f ca="1">IF(BD69&lt;1,IF('Reeksen (N)'!AD69&lt;='Reeksen (N)'!AE69,R69*'Reeksen (N)'!C69,0),IF(BC69&gt;=BA69,0,IF('Reeksen (N)'!AD69&lt;='Reeksen (N)'!AE69,(BA69-BC69)*R69,0)))</f>
        <v>0</v>
      </c>
      <c r="V69" s="86">
        <f ca="1">IF(BD69&lt;1,IF('Reeksen (N)'!AD69&gt;'Reeksen (N)'!AE69,R69*'Reeksen (N)'!C69,0),IF(BC69&gt;=BA69,0,IF('Reeksen (N)'!AD69&gt;'Reeksen (N)'!AE69,(BA69-BC69)*R69,0)))</f>
        <v>0</v>
      </c>
      <c r="W69" s="218">
        <f t="shared" ca="1" si="7"/>
        <v>0</v>
      </c>
      <c r="X69" s="98">
        <f ca="1">IF('Invoer gegevens (N)'!$C$17=E69,'Invoer gegevens (N)'!$C$10-'Invoer gegevens (N)'!$C$11,IF(C69=1,AC68,0))</f>
        <v>0</v>
      </c>
      <c r="Y69" s="98">
        <f t="shared" ref="Y69:Y132" ca="1" si="20">IF(C69&gt;=1,X69*BA69,0)</f>
        <v>0</v>
      </c>
      <c r="Z69" s="98">
        <f ca="1">(1-('Invoer gegevens (N)'!$F$20/12))*X69*MIN(BA69,BC69)</f>
        <v>0</v>
      </c>
      <c r="AA69" s="98">
        <f ca="1">IF(BD69&lt;1,IF('Reeksen (N)'!AD69&lt;='Reeksen (N)'!AE69,X69*'Reeksen (N)'!C69,0),IF(BC69&gt;=BA69,0,IF('Reeksen (N)'!AD69&lt;='Reeksen (N)'!AE69,(BA69-BC69)*X69,0)))</f>
        <v>0</v>
      </c>
      <c r="AB69" s="98">
        <f ca="1">IF(BD69&lt;1,IF('Reeksen (N)'!AD69&gt;'Reeksen (N)'!AE69,X69*'Reeksen (N)'!C69,0),IF(BC69&gt;=BA69,0,IF('Reeksen (N)'!AD69&gt;'Reeksen (N)'!AE69,(BA69-BC69)*X69,0)))</f>
        <v>0</v>
      </c>
      <c r="AC69" s="99">
        <f t="shared" ca="1" si="8"/>
        <v>0</v>
      </c>
      <c r="AD69" s="98">
        <f ca="1">IF('Invoer gegevens (N)'!$C$17=E69,R69,IF(C69=0,0,AE68))</f>
        <v>0</v>
      </c>
      <c r="AE69" s="98">
        <f t="shared" ca="1" si="9"/>
        <v>0</v>
      </c>
      <c r="AF69" s="98">
        <f ca="1">IF('Invoer gegevens (N)'!$C$17=E69,X69,IF(C69=0,0,AG68))</f>
        <v>0</v>
      </c>
      <c r="AG69" s="98">
        <f t="shared" ca="1" si="10"/>
        <v>0</v>
      </c>
      <c r="AH69" s="66"/>
      <c r="AI69" s="71">
        <f ca="1">IF(C69=1,'Reeksen (N)'!AI69*((F69+K69)/2)*12+'Reeksen (N)'!AD69*((L69+Q69)/2)*12,0)</f>
        <v>0</v>
      </c>
      <c r="AJ69" s="71">
        <f ca="1">-AI69*'Invoer gegevens (N)'!$F$28</f>
        <v>0</v>
      </c>
      <c r="AK69" s="71">
        <f t="shared" ca="1" si="11"/>
        <v>0</v>
      </c>
      <c r="AL69" s="71">
        <f ca="1">IF(C69=1,'Reeksen (N)'!AL69*((F69-G69+F69)/2)*12+'Reeksen (N)'!AM69*((L69-M69+L69)/2)*12,0)</f>
        <v>0</v>
      </c>
      <c r="AM69" s="71">
        <f ca="1">-AL69*'Invoer gegevens (N)'!$F$31</f>
        <v>0</v>
      </c>
      <c r="AN69" s="71">
        <f t="shared" ca="1" si="12"/>
        <v>0</v>
      </c>
      <c r="AO69" s="71">
        <f ca="1">IF(C69=1,(H69+J69+N69+P69)*'Reeksen (N)'!AN69,0)</f>
        <v>0</v>
      </c>
      <c r="AP69" s="71">
        <f ca="1">-IF(C69=1,(H69+J69+N69+P69)*'Hulp - basis'!$O$550*'Reeksen (N)'!H69,0)</f>
        <v>0</v>
      </c>
      <c r="AQ69" s="71">
        <f ca="1">-IF(C69=1,(F69+K69+L69+Q69)/2*'Invoer gegevens (N)'!$F$35*'Reeksen (N)'!J69,0)*2</f>
        <v>0</v>
      </c>
      <c r="AR69" s="71">
        <f ca="1">IF(BD69&lt;1,-IF(C69=1,(G69*'Invoer gegevens (N)'!$F$36)*'Reeksen (N)'!J69,0),0)</f>
        <v>0</v>
      </c>
      <c r="AS69" s="71">
        <f ca="1">-IF(C69=1,(F69+K69+L69+Q69)/2*'Invoer gegevens (N)'!$F$37*'Reeksen (N)'!L69,0)</f>
        <v>0</v>
      </c>
      <c r="AT69" s="71">
        <f ca="1">-IF(C69=1,IF(E69='Invoer gegevens (N)'!$C$17,'Invoer gegevens (N)'!$C$11,AD69)*'Reeksen (N)'!S69*'Invoer gegevens (N)'!$C$18*'Reeksen (N)'!P69,0)</f>
        <v>0</v>
      </c>
      <c r="AU69" s="71">
        <f ca="1">-IF(C69=1,(F69+K69+L69+Q69)/2*'Invoer gegevens (N)'!$F$38*'Reeksen (N)'!H69,0)</f>
        <v>0</v>
      </c>
      <c r="AV69" s="71">
        <v>0</v>
      </c>
      <c r="AW69" s="71">
        <f t="shared" ca="1" si="13"/>
        <v>0</v>
      </c>
      <c r="AX69" s="71">
        <f ca="1">IF(E69&lt;'Invoer gegevens (N)'!$C$17+15,0,IF(E69&gt;'Invoer gegevens (N)'!$C$17+215,0,AW69))</f>
        <v>0</v>
      </c>
      <c r="AY69" s="71">
        <f ca="1">AX69/(1+'Invoer gegevens (N)'!$F$18)^($AZ69-('Invoer gegevens (N)'!$C$17-'Invoer gegevens (N)'!$C$16))/(1+'Invoer gegevens (N)'!$C$39)^('Invoer gegevens (N)'!$C$17-'Invoer gegevens (N)'!$C$16)</f>
        <v>0</v>
      </c>
      <c r="AZ69" s="68">
        <f ca="1">IF(E69-'Invoer gegevens (N)'!$C$17-14.5&lt;0,0,E69-'Invoer gegevens (N)'!$C$17-14.5)</f>
        <v>49.5</v>
      </c>
      <c r="BA69" s="109">
        <f ca="1">IFERROR(VLOOKUP(E69-15,'Reeksen (N)'!$A$5:$D$234,2,FALSE),0)</f>
        <v>0</v>
      </c>
      <c r="BB69" s="109">
        <f ca="1">IFERROR(VLOOKUP(E69-15,'Reeksen (N)'!$A$5:$D$234,3,FALSE),0)</f>
        <v>0</v>
      </c>
      <c r="BC69" s="109">
        <f ca="1">IFERROR(VLOOKUP(E69-15,'Reeksen (N)'!$A$5:$D$234,4,FALSE),0)</f>
        <v>0</v>
      </c>
      <c r="BD69" s="67">
        <f ca="1">IF(E69-'Invoer gegevens (N)'!$C$17&lt;15,0,1)</f>
        <v>1</v>
      </c>
    </row>
    <row r="70" spans="1:56" x14ac:dyDescent="0.25">
      <c r="A70" s="59"/>
      <c r="B70" s="70">
        <f t="shared" si="14"/>
        <v>66</v>
      </c>
      <c r="C70" s="67">
        <f ca="1">IF(E70-'Invoer gegevens (N)'!$C$17&lt;0,0,1)</f>
        <v>1</v>
      </c>
      <c r="D70" s="68">
        <f t="shared" si="15"/>
        <v>65.5</v>
      </c>
      <c r="E70" s="108">
        <f ca="1">IF('Invoer gegevens (N)'!$C$16="","",E69+1)</f>
        <v>2084</v>
      </c>
      <c r="F70" s="84">
        <f ca="1">IF('Invoer gegevens (N)'!$C$17=E70,'Invoer gegevens (N)'!$C$10,IF(C70=1,K69,0))</f>
        <v>0</v>
      </c>
      <c r="G70" s="96">
        <f ca="1">IF(BD70&lt;1,F70*'Reeksen (N)'!C70,IF(C70&gt;=1,F70*BA70,0))</f>
        <v>0</v>
      </c>
      <c r="H70" s="84">
        <f ca="1">(1-('Invoer gegevens (N)'!$F$20/12))*F70*MIN(BA70,BC70)</f>
        <v>0</v>
      </c>
      <c r="I70" s="84">
        <f t="shared" ca="1" si="16"/>
        <v>0</v>
      </c>
      <c r="J70" s="84">
        <f ca="1">('Invoer gegevens (N)'!$F$20/12)*F69*MIN(BA70,BC70)</f>
        <v>0</v>
      </c>
      <c r="K70" s="97">
        <f t="shared" ref="K70:K133" ca="1" si="21">IF(F70-G70&lt;0,0,F70-G70)</f>
        <v>0</v>
      </c>
      <c r="L70" s="84">
        <f ca="1">IF('Invoer gegevens (N)'!$C$17=E70,0,IF(C70=1,Q69,0))</f>
        <v>0</v>
      </c>
      <c r="M70" s="96">
        <f t="shared" ca="1" si="17"/>
        <v>0</v>
      </c>
      <c r="N70" s="84">
        <f ca="1">(1-('Invoer gegevens (N)'!$F$20/12))*L70*MIN(BA70,BC70)</f>
        <v>0</v>
      </c>
      <c r="O70" s="84">
        <f t="shared" ca="1" si="18"/>
        <v>0</v>
      </c>
      <c r="P70" s="84">
        <f ca="1">('Invoer gegevens (N)'!$F$20/12)*L69*MIN(BA70,BC70)</f>
        <v>0</v>
      </c>
      <c r="Q70" s="84">
        <f t="shared" ref="Q70:Q133" ca="1" si="22">IF(L70-M70+I70+O70&lt;0,0,L70-M70+I70+O70)</f>
        <v>0</v>
      </c>
      <c r="R70" s="85">
        <f ca="1">IF('Invoer gegevens (N)'!$C$17=E70,'Invoer gegevens (N)'!$C$11,IF(C70=1,W69,0))</f>
        <v>0</v>
      </c>
      <c r="S70" s="86">
        <f t="shared" ca="1" si="19"/>
        <v>0</v>
      </c>
      <c r="T70" s="86">
        <f ca="1">(1-('Invoer gegevens (N)'!$F$20/12))*R70*MIN(BC70,BA70)</f>
        <v>0</v>
      </c>
      <c r="U70" s="86">
        <f ca="1">IF(BD70&lt;1,IF('Reeksen (N)'!AD70&lt;='Reeksen (N)'!AE70,R70*'Reeksen (N)'!C70,0),IF(BC70&gt;=BA70,0,IF('Reeksen (N)'!AD70&lt;='Reeksen (N)'!AE70,(BA70-BC70)*R70,0)))</f>
        <v>0</v>
      </c>
      <c r="V70" s="86">
        <f ca="1">IF(BD70&lt;1,IF('Reeksen (N)'!AD70&gt;'Reeksen (N)'!AE70,R70*'Reeksen (N)'!C70,0),IF(BC70&gt;=BA70,0,IF('Reeksen (N)'!AD70&gt;'Reeksen (N)'!AE70,(BA70-BC70)*R70,0)))</f>
        <v>0</v>
      </c>
      <c r="W70" s="218">
        <f t="shared" ref="W70:W133" ca="1" si="23">R70-S70-V70+AA70</f>
        <v>0</v>
      </c>
      <c r="X70" s="98">
        <f ca="1">IF('Invoer gegevens (N)'!$C$17=E70,'Invoer gegevens (N)'!$C$10-'Invoer gegevens (N)'!$C$11,IF(C70=1,AC69,0))</f>
        <v>0</v>
      </c>
      <c r="Y70" s="98">
        <f t="shared" ca="1" si="20"/>
        <v>0</v>
      </c>
      <c r="Z70" s="98">
        <f ca="1">(1-('Invoer gegevens (N)'!$F$20/12))*X70*MIN(BA70,BC70)</f>
        <v>0</v>
      </c>
      <c r="AA70" s="98">
        <f ca="1">IF(BD70&lt;1,IF('Reeksen (N)'!AD70&lt;='Reeksen (N)'!AE70,X70*'Reeksen (N)'!C70,0),IF(BC70&gt;=BA70,0,IF('Reeksen (N)'!AD70&lt;='Reeksen (N)'!AE70,(BA70-BC70)*X70,0)))</f>
        <v>0</v>
      </c>
      <c r="AB70" s="98">
        <f ca="1">IF(BD70&lt;1,IF('Reeksen (N)'!AD70&gt;'Reeksen (N)'!AE70,X70*'Reeksen (N)'!C70,0),IF(BC70&gt;=BA70,0,IF('Reeksen (N)'!AD70&gt;'Reeksen (N)'!AE70,(BA70-BC70)*X70,0)))</f>
        <v>0</v>
      </c>
      <c r="AC70" s="99">
        <f t="shared" ref="AC70:AC133" ca="1" si="24">X70-Y70+V70-AA70</f>
        <v>0</v>
      </c>
      <c r="AD70" s="98">
        <f ca="1">IF('Invoer gegevens (N)'!$C$17=E70,R70,IF(C70=0,0,AE69))</f>
        <v>0</v>
      </c>
      <c r="AE70" s="98">
        <f t="shared" ref="AE70:AE133" ca="1" si="25">IF(C70=0,0,AD70-S70-V70+AA70)</f>
        <v>0</v>
      </c>
      <c r="AF70" s="98">
        <f ca="1">IF('Invoer gegevens (N)'!$C$17=E70,X70,IF(C70=0,0,AG69))</f>
        <v>0</v>
      </c>
      <c r="AG70" s="98">
        <f t="shared" ref="AG70:AG133" ca="1" si="26">IF(C70=0,0,AF70-Y70-AA70+V70)</f>
        <v>0</v>
      </c>
      <c r="AH70" s="66"/>
      <c r="AI70" s="71">
        <f ca="1">IF(C70=1,'Reeksen (N)'!AI70*((F70+K70)/2)*12+'Reeksen (N)'!AD70*((L70+Q70)/2)*12,0)</f>
        <v>0</v>
      </c>
      <c r="AJ70" s="71">
        <f ca="1">-AI70*'Invoer gegevens (N)'!$F$28</f>
        <v>0</v>
      </c>
      <c r="AK70" s="71">
        <f t="shared" ref="AK70:AK133" ca="1" si="27">AI70+AJ70</f>
        <v>0</v>
      </c>
      <c r="AL70" s="71">
        <f ca="1">IF(C70=1,'Reeksen (N)'!AL70*((F70-G70+F70)/2)*12+'Reeksen (N)'!AM70*((L70-M70+L70)/2)*12,0)</f>
        <v>0</v>
      </c>
      <c r="AM70" s="71">
        <f ca="1">-AL70*'Invoer gegevens (N)'!$F$31</f>
        <v>0</v>
      </c>
      <c r="AN70" s="71">
        <f t="shared" ref="AN70:AN133" ca="1" si="28">AL70+AM70</f>
        <v>0</v>
      </c>
      <c r="AO70" s="71">
        <f ca="1">IF(C70=1,(H70+J70+N70+P70)*'Reeksen (N)'!AN70,0)</f>
        <v>0</v>
      </c>
      <c r="AP70" s="71">
        <f ca="1">-IF(C70=1,(H70+J70+N70+P70)*'Hulp - basis'!$O$550*'Reeksen (N)'!H70,0)</f>
        <v>0</v>
      </c>
      <c r="AQ70" s="71">
        <f ca="1">-IF(C70=1,(F70+K70+L70+Q70)/2*'Invoer gegevens (N)'!$F$35*'Reeksen (N)'!J70,0)*2</f>
        <v>0</v>
      </c>
      <c r="AR70" s="71">
        <f ca="1">IF(BD70&lt;1,-IF(C70=1,(G70*'Invoer gegevens (N)'!$F$36)*'Reeksen (N)'!J70,0),0)</f>
        <v>0</v>
      </c>
      <c r="AS70" s="71">
        <f ca="1">-IF(C70=1,(F70+K70+L70+Q70)/2*'Invoer gegevens (N)'!$F$37*'Reeksen (N)'!L70,0)</f>
        <v>0</v>
      </c>
      <c r="AT70" s="71">
        <f ca="1">-IF(C70=1,IF(E70='Invoer gegevens (N)'!$C$17,'Invoer gegevens (N)'!$C$11,AD70)*'Reeksen (N)'!S70*'Invoer gegevens (N)'!$C$18*'Reeksen (N)'!P70,0)</f>
        <v>0</v>
      </c>
      <c r="AU70" s="71">
        <f ca="1">-IF(C70=1,(F70+K70+L70+Q70)/2*'Invoer gegevens (N)'!$F$38*'Reeksen (N)'!H70,0)</f>
        <v>0</v>
      </c>
      <c r="AV70" s="71">
        <v>0</v>
      </c>
      <c r="AW70" s="71">
        <f t="shared" ref="AW70:AW133" ca="1" si="29">SUM(AK70,AN70:AV70)</f>
        <v>0</v>
      </c>
      <c r="AX70" s="71">
        <f ca="1">IF(E70&lt;'Invoer gegevens (N)'!$C$17+15,0,IF(E70&gt;'Invoer gegevens (N)'!$C$17+215,0,AW70))</f>
        <v>0</v>
      </c>
      <c r="AY70" s="71">
        <f ca="1">AX70/(1+'Invoer gegevens (N)'!$F$18)^($AZ70-('Invoer gegevens (N)'!$C$17-'Invoer gegevens (N)'!$C$16))/(1+'Invoer gegevens (N)'!$C$39)^('Invoer gegevens (N)'!$C$17-'Invoer gegevens (N)'!$C$16)</f>
        <v>0</v>
      </c>
      <c r="AZ70" s="68">
        <f ca="1">IF(E70-'Invoer gegevens (N)'!$C$17-14.5&lt;0,0,E70-'Invoer gegevens (N)'!$C$17-14.5)</f>
        <v>50.5</v>
      </c>
      <c r="BA70" s="109">
        <f ca="1">IFERROR(VLOOKUP(E70-15,'Reeksen (N)'!$A$5:$D$234,2,FALSE),0)</f>
        <v>0</v>
      </c>
      <c r="BB70" s="109">
        <f ca="1">IFERROR(VLOOKUP(E70-15,'Reeksen (N)'!$A$5:$D$234,3,FALSE),0)</f>
        <v>0</v>
      </c>
      <c r="BC70" s="109">
        <f ca="1">IFERROR(VLOOKUP(E70-15,'Reeksen (N)'!$A$5:$D$234,4,FALSE),0)</f>
        <v>0</v>
      </c>
      <c r="BD70" s="67">
        <f ca="1">IF(E70-'Invoer gegevens (N)'!$C$17&lt;15,0,1)</f>
        <v>1</v>
      </c>
    </row>
    <row r="71" spans="1:56" x14ac:dyDescent="0.25">
      <c r="A71" s="59"/>
      <c r="B71" s="70">
        <f t="shared" si="14"/>
        <v>67</v>
      </c>
      <c r="C71" s="67">
        <f ca="1">IF(E71-'Invoer gegevens (N)'!$C$17&lt;0,0,1)</f>
        <v>1</v>
      </c>
      <c r="D71" s="68">
        <f t="shared" si="15"/>
        <v>66.5</v>
      </c>
      <c r="E71" s="108">
        <f ca="1">IF('Invoer gegevens (N)'!$C$16="","",E70+1)</f>
        <v>2085</v>
      </c>
      <c r="F71" s="84">
        <f ca="1">IF('Invoer gegevens (N)'!$C$17=E71,'Invoer gegevens (N)'!$C$10,IF(C71=1,K70,0))</f>
        <v>0</v>
      </c>
      <c r="G71" s="96">
        <f ca="1">IF(BD71&lt;1,F71*'Reeksen (N)'!C71,IF(C71&gt;=1,F71*BA71,0))</f>
        <v>0</v>
      </c>
      <c r="H71" s="84">
        <f ca="1">(1-('Invoer gegevens (N)'!$F$20/12))*F71*MIN(BA71,BC71)</f>
        <v>0</v>
      </c>
      <c r="I71" s="84">
        <f t="shared" ca="1" si="16"/>
        <v>0</v>
      </c>
      <c r="J71" s="84">
        <f ca="1">('Invoer gegevens (N)'!$F$20/12)*F70*MIN(BA71,BC71)</f>
        <v>0</v>
      </c>
      <c r="K71" s="97">
        <f t="shared" ca="1" si="21"/>
        <v>0</v>
      </c>
      <c r="L71" s="84">
        <f ca="1">IF('Invoer gegevens (N)'!$C$17=E71,0,IF(C71=1,Q70,0))</f>
        <v>0</v>
      </c>
      <c r="M71" s="96">
        <f t="shared" ca="1" si="17"/>
        <v>0</v>
      </c>
      <c r="N71" s="84">
        <f ca="1">(1-('Invoer gegevens (N)'!$F$20/12))*L71*MIN(BA71,BC71)</f>
        <v>0</v>
      </c>
      <c r="O71" s="84">
        <f t="shared" ca="1" si="18"/>
        <v>0</v>
      </c>
      <c r="P71" s="84">
        <f ca="1">('Invoer gegevens (N)'!$F$20/12)*L70*MIN(BA71,BC71)</f>
        <v>0</v>
      </c>
      <c r="Q71" s="84">
        <f t="shared" ca="1" si="22"/>
        <v>0</v>
      </c>
      <c r="R71" s="85">
        <f ca="1">IF('Invoer gegevens (N)'!$C$17=E71,'Invoer gegevens (N)'!$C$11,IF(C71=1,W70,0))</f>
        <v>0</v>
      </c>
      <c r="S71" s="86">
        <f t="shared" ca="1" si="19"/>
        <v>0</v>
      </c>
      <c r="T71" s="86">
        <f ca="1">(1-('Invoer gegevens (N)'!$F$20/12))*R71*MIN(BC71,BA71)</f>
        <v>0</v>
      </c>
      <c r="U71" s="86">
        <f ca="1">IF(BD71&lt;1,IF('Reeksen (N)'!AD71&lt;='Reeksen (N)'!AE71,R71*'Reeksen (N)'!C71,0),IF(BC71&gt;=BA71,0,IF('Reeksen (N)'!AD71&lt;='Reeksen (N)'!AE71,(BA71-BC71)*R71,0)))</f>
        <v>0</v>
      </c>
      <c r="V71" s="86">
        <f ca="1">IF(BD71&lt;1,IF('Reeksen (N)'!AD71&gt;'Reeksen (N)'!AE71,R71*'Reeksen (N)'!C71,0),IF(BC71&gt;=BA71,0,IF('Reeksen (N)'!AD71&gt;'Reeksen (N)'!AE71,(BA71-BC71)*R71,0)))</f>
        <v>0</v>
      </c>
      <c r="W71" s="218">
        <f t="shared" ca="1" si="23"/>
        <v>0</v>
      </c>
      <c r="X71" s="98">
        <f ca="1">IF('Invoer gegevens (N)'!$C$17=E71,'Invoer gegevens (N)'!$C$10-'Invoer gegevens (N)'!$C$11,IF(C71=1,AC70,0))</f>
        <v>0</v>
      </c>
      <c r="Y71" s="98">
        <f t="shared" ca="1" si="20"/>
        <v>0</v>
      </c>
      <c r="Z71" s="98">
        <f ca="1">(1-('Invoer gegevens (N)'!$F$20/12))*X71*MIN(BA71,BC71)</f>
        <v>0</v>
      </c>
      <c r="AA71" s="98">
        <f ca="1">IF(BD71&lt;1,IF('Reeksen (N)'!AD71&lt;='Reeksen (N)'!AE71,X71*'Reeksen (N)'!C71,0),IF(BC71&gt;=BA71,0,IF('Reeksen (N)'!AD71&lt;='Reeksen (N)'!AE71,(BA71-BC71)*X71,0)))</f>
        <v>0</v>
      </c>
      <c r="AB71" s="98">
        <f ca="1">IF(BD71&lt;1,IF('Reeksen (N)'!AD71&gt;'Reeksen (N)'!AE71,X71*'Reeksen (N)'!C71,0),IF(BC71&gt;=BA71,0,IF('Reeksen (N)'!AD71&gt;'Reeksen (N)'!AE71,(BA71-BC71)*X71,0)))</f>
        <v>0</v>
      </c>
      <c r="AC71" s="99">
        <f t="shared" ca="1" si="24"/>
        <v>0</v>
      </c>
      <c r="AD71" s="98">
        <f ca="1">IF('Invoer gegevens (N)'!$C$17=E71,R71,IF(C71=0,0,AE70))</f>
        <v>0</v>
      </c>
      <c r="AE71" s="98">
        <f t="shared" ca="1" si="25"/>
        <v>0</v>
      </c>
      <c r="AF71" s="98">
        <f ca="1">IF('Invoer gegevens (N)'!$C$17=E71,X71,IF(C71=0,0,AG70))</f>
        <v>0</v>
      </c>
      <c r="AG71" s="98">
        <f t="shared" ca="1" si="26"/>
        <v>0</v>
      </c>
      <c r="AH71" s="66"/>
      <c r="AI71" s="71">
        <f ca="1">IF(C71=1,'Reeksen (N)'!AI71*((F71+K71)/2)*12+'Reeksen (N)'!AD71*((L71+Q71)/2)*12,0)</f>
        <v>0</v>
      </c>
      <c r="AJ71" s="71">
        <f ca="1">-AI71*'Invoer gegevens (N)'!$F$28</f>
        <v>0</v>
      </c>
      <c r="AK71" s="71">
        <f t="shared" ca="1" si="27"/>
        <v>0</v>
      </c>
      <c r="AL71" s="71">
        <f ca="1">IF(C71=1,'Reeksen (N)'!AL71*((F71-G71+F71)/2)*12+'Reeksen (N)'!AM71*((L71-M71+L71)/2)*12,0)</f>
        <v>0</v>
      </c>
      <c r="AM71" s="71">
        <f ca="1">-AL71*'Invoer gegevens (N)'!$F$31</f>
        <v>0</v>
      </c>
      <c r="AN71" s="71">
        <f t="shared" ca="1" si="28"/>
        <v>0</v>
      </c>
      <c r="AO71" s="71">
        <f ca="1">IF(C71=1,(H71+J71+N71+P71)*'Reeksen (N)'!AN71,0)</f>
        <v>0</v>
      </c>
      <c r="AP71" s="71">
        <f ca="1">-IF(C71=1,(H71+J71+N71+P71)*'Hulp - basis'!$O$550*'Reeksen (N)'!H71,0)</f>
        <v>0</v>
      </c>
      <c r="AQ71" s="71">
        <f ca="1">-IF(C71=1,(F71+K71+L71+Q71)/2*'Invoer gegevens (N)'!$F$35*'Reeksen (N)'!J71,0)*2</f>
        <v>0</v>
      </c>
      <c r="AR71" s="71">
        <f ca="1">IF(BD71&lt;1,-IF(C71=1,(G71*'Invoer gegevens (N)'!$F$36)*'Reeksen (N)'!J71,0),0)</f>
        <v>0</v>
      </c>
      <c r="AS71" s="71">
        <f ca="1">-IF(C71=1,(F71+K71+L71+Q71)/2*'Invoer gegevens (N)'!$F$37*'Reeksen (N)'!L71,0)</f>
        <v>0</v>
      </c>
      <c r="AT71" s="71">
        <f ca="1">-IF(C71=1,IF(E71='Invoer gegevens (N)'!$C$17,'Invoer gegevens (N)'!$C$11,AD71)*'Reeksen (N)'!S71*'Invoer gegevens (N)'!$C$18*'Reeksen (N)'!P71,0)</f>
        <v>0</v>
      </c>
      <c r="AU71" s="71">
        <f ca="1">-IF(C71=1,(F71+K71+L71+Q71)/2*'Invoer gegevens (N)'!$F$38*'Reeksen (N)'!H71,0)</f>
        <v>0</v>
      </c>
      <c r="AV71" s="71">
        <v>0</v>
      </c>
      <c r="AW71" s="71">
        <f t="shared" ca="1" si="29"/>
        <v>0</v>
      </c>
      <c r="AX71" s="71">
        <f ca="1">IF(E71&lt;'Invoer gegevens (N)'!$C$17+15,0,IF(E71&gt;'Invoer gegevens (N)'!$C$17+215,0,AW71))</f>
        <v>0</v>
      </c>
      <c r="AY71" s="71">
        <f ca="1">AX71/(1+'Invoer gegevens (N)'!$F$18)^($AZ71-('Invoer gegevens (N)'!$C$17-'Invoer gegevens (N)'!$C$16))/(1+'Invoer gegevens (N)'!$C$39)^('Invoer gegevens (N)'!$C$17-'Invoer gegevens (N)'!$C$16)</f>
        <v>0</v>
      </c>
      <c r="AZ71" s="68">
        <f ca="1">IF(E71-'Invoer gegevens (N)'!$C$17-14.5&lt;0,0,E71-'Invoer gegevens (N)'!$C$17-14.5)</f>
        <v>51.5</v>
      </c>
      <c r="BA71" s="109">
        <f ca="1">IFERROR(VLOOKUP(E71-15,'Reeksen (N)'!$A$5:$D$234,2,FALSE),0)</f>
        <v>0</v>
      </c>
      <c r="BB71" s="109">
        <f ca="1">IFERROR(VLOOKUP(E71-15,'Reeksen (N)'!$A$5:$D$234,3,FALSE),0)</f>
        <v>0</v>
      </c>
      <c r="BC71" s="109">
        <f ca="1">IFERROR(VLOOKUP(E71-15,'Reeksen (N)'!$A$5:$D$234,4,FALSE),0)</f>
        <v>0</v>
      </c>
      <c r="BD71" s="67">
        <f ca="1">IF(E71-'Invoer gegevens (N)'!$C$17&lt;15,0,1)</f>
        <v>1</v>
      </c>
    </row>
    <row r="72" spans="1:56" x14ac:dyDescent="0.25">
      <c r="A72" s="59"/>
      <c r="B72" s="70">
        <f t="shared" ref="B72:B135" si="30">B71+1</f>
        <v>68</v>
      </c>
      <c r="C72" s="67">
        <f ca="1">IF(E72-'Invoer gegevens (N)'!$C$17&lt;0,0,1)</f>
        <v>1</v>
      </c>
      <c r="D72" s="68">
        <f t="shared" ref="D72:D135" si="31">D71+1</f>
        <v>67.5</v>
      </c>
      <c r="E72" s="108">
        <f ca="1">IF('Invoer gegevens (N)'!$C$16="","",E71+1)</f>
        <v>2086</v>
      </c>
      <c r="F72" s="84">
        <f ca="1">IF('Invoer gegevens (N)'!$C$17=E72,'Invoer gegevens (N)'!$C$10,IF(C72=1,K71,0))</f>
        <v>0</v>
      </c>
      <c r="G72" s="96">
        <f ca="1">IF(BD72&lt;1,F72*'Reeksen (N)'!C72,IF(C72&gt;=1,F72*BA72,0))</f>
        <v>0</v>
      </c>
      <c r="H72" s="84">
        <f ca="1">(1-('Invoer gegevens (N)'!$F$20/12))*F72*MIN(BA72,BC72)</f>
        <v>0</v>
      </c>
      <c r="I72" s="84">
        <f t="shared" ca="1" si="16"/>
        <v>0</v>
      </c>
      <c r="J72" s="84">
        <f ca="1">('Invoer gegevens (N)'!$F$20/12)*F71*MIN(BA72,BC72)</f>
        <v>0</v>
      </c>
      <c r="K72" s="97">
        <f t="shared" ca="1" si="21"/>
        <v>0</v>
      </c>
      <c r="L72" s="84">
        <f ca="1">IF('Invoer gegevens (N)'!$C$17=E72,0,IF(C72=1,Q71,0))</f>
        <v>0</v>
      </c>
      <c r="M72" s="96">
        <f t="shared" ca="1" si="17"/>
        <v>0</v>
      </c>
      <c r="N72" s="84">
        <f ca="1">(1-('Invoer gegevens (N)'!$F$20/12))*L72*MIN(BA72,BC72)</f>
        <v>0</v>
      </c>
      <c r="O72" s="84">
        <f t="shared" ca="1" si="18"/>
        <v>0</v>
      </c>
      <c r="P72" s="84">
        <f ca="1">('Invoer gegevens (N)'!$F$20/12)*L71*MIN(BA72,BC72)</f>
        <v>0</v>
      </c>
      <c r="Q72" s="84">
        <f t="shared" ca="1" si="22"/>
        <v>0</v>
      </c>
      <c r="R72" s="85">
        <f ca="1">IF('Invoer gegevens (N)'!$C$17=E72,'Invoer gegevens (N)'!$C$11,IF(C72=1,W71,0))</f>
        <v>0</v>
      </c>
      <c r="S72" s="86">
        <f t="shared" ca="1" si="19"/>
        <v>0</v>
      </c>
      <c r="T72" s="86">
        <f ca="1">(1-('Invoer gegevens (N)'!$F$20/12))*R72*MIN(BC72,BA72)</f>
        <v>0</v>
      </c>
      <c r="U72" s="86">
        <f ca="1">IF(BD72&lt;1,IF('Reeksen (N)'!AD72&lt;='Reeksen (N)'!AE72,R72*'Reeksen (N)'!C72,0),IF(BC72&gt;=BA72,0,IF('Reeksen (N)'!AD72&lt;='Reeksen (N)'!AE72,(BA72-BC72)*R72,0)))</f>
        <v>0</v>
      </c>
      <c r="V72" s="86">
        <f ca="1">IF(BD72&lt;1,IF('Reeksen (N)'!AD72&gt;'Reeksen (N)'!AE72,R72*'Reeksen (N)'!C72,0),IF(BC72&gt;=BA72,0,IF('Reeksen (N)'!AD72&gt;'Reeksen (N)'!AE72,(BA72-BC72)*R72,0)))</f>
        <v>0</v>
      </c>
      <c r="W72" s="218">
        <f t="shared" ca="1" si="23"/>
        <v>0</v>
      </c>
      <c r="X72" s="98">
        <f ca="1">IF('Invoer gegevens (N)'!$C$17=E72,'Invoer gegevens (N)'!$C$10-'Invoer gegevens (N)'!$C$11,IF(C72=1,AC71,0))</f>
        <v>0</v>
      </c>
      <c r="Y72" s="98">
        <f t="shared" ca="1" si="20"/>
        <v>0</v>
      </c>
      <c r="Z72" s="98">
        <f ca="1">(1-('Invoer gegevens (N)'!$F$20/12))*X72*MIN(BA72,BC72)</f>
        <v>0</v>
      </c>
      <c r="AA72" s="98">
        <f ca="1">IF(BD72&lt;1,IF('Reeksen (N)'!AD72&lt;='Reeksen (N)'!AE72,X72*'Reeksen (N)'!C72,0),IF(BC72&gt;=BA72,0,IF('Reeksen (N)'!AD72&lt;='Reeksen (N)'!AE72,(BA72-BC72)*X72,0)))</f>
        <v>0</v>
      </c>
      <c r="AB72" s="98">
        <f ca="1">IF(BD72&lt;1,IF('Reeksen (N)'!AD72&gt;'Reeksen (N)'!AE72,X72*'Reeksen (N)'!C72,0),IF(BC72&gt;=BA72,0,IF('Reeksen (N)'!AD72&gt;'Reeksen (N)'!AE72,(BA72-BC72)*X72,0)))</f>
        <v>0</v>
      </c>
      <c r="AC72" s="99">
        <f t="shared" ca="1" si="24"/>
        <v>0</v>
      </c>
      <c r="AD72" s="98">
        <f ca="1">IF('Invoer gegevens (N)'!$C$17=E72,R72,IF(C72=0,0,AE71))</f>
        <v>0</v>
      </c>
      <c r="AE72" s="98">
        <f t="shared" ca="1" si="25"/>
        <v>0</v>
      </c>
      <c r="AF72" s="98">
        <f ca="1">IF('Invoer gegevens (N)'!$C$17=E72,X72,IF(C72=0,0,AG71))</f>
        <v>0</v>
      </c>
      <c r="AG72" s="98">
        <f t="shared" ca="1" si="26"/>
        <v>0</v>
      </c>
      <c r="AH72" s="66"/>
      <c r="AI72" s="71">
        <f ca="1">IF(C72=1,'Reeksen (N)'!AI72*((F72+K72)/2)*12+'Reeksen (N)'!AD72*((L72+Q72)/2)*12,0)</f>
        <v>0</v>
      </c>
      <c r="AJ72" s="71">
        <f ca="1">-AI72*'Invoer gegevens (N)'!$F$28</f>
        <v>0</v>
      </c>
      <c r="AK72" s="71">
        <f t="shared" ca="1" si="27"/>
        <v>0</v>
      </c>
      <c r="AL72" s="71">
        <f ca="1">IF(C72=1,'Reeksen (N)'!AL72*((F72-G72+F72)/2)*12+'Reeksen (N)'!AM72*((L72-M72+L72)/2)*12,0)</f>
        <v>0</v>
      </c>
      <c r="AM72" s="71">
        <f ca="1">-AL72*'Invoer gegevens (N)'!$F$31</f>
        <v>0</v>
      </c>
      <c r="AN72" s="71">
        <f t="shared" ca="1" si="28"/>
        <v>0</v>
      </c>
      <c r="AO72" s="71">
        <f ca="1">IF(C72=1,(H72+J72+N72+P72)*'Reeksen (N)'!AN72,0)</f>
        <v>0</v>
      </c>
      <c r="AP72" s="71">
        <f ca="1">-IF(C72=1,(H72+J72+N72+P72)*'Hulp - basis'!$O$550*'Reeksen (N)'!H72,0)</f>
        <v>0</v>
      </c>
      <c r="AQ72" s="71">
        <f ca="1">-IF(C72=1,(F72+K72+L72+Q72)/2*'Invoer gegevens (N)'!$F$35*'Reeksen (N)'!J72,0)*2</f>
        <v>0</v>
      </c>
      <c r="AR72" s="71">
        <f ca="1">IF(BD72&lt;1,-IF(C72=1,(G72*'Invoer gegevens (N)'!$F$36)*'Reeksen (N)'!J72,0),0)</f>
        <v>0</v>
      </c>
      <c r="AS72" s="71">
        <f ca="1">-IF(C72=1,(F72+K72+L72+Q72)/2*'Invoer gegevens (N)'!$F$37*'Reeksen (N)'!L72,0)</f>
        <v>0</v>
      </c>
      <c r="AT72" s="71">
        <f ca="1">-IF(C72=1,IF(E72='Invoer gegevens (N)'!$C$17,'Invoer gegevens (N)'!$C$11,AD72)*'Reeksen (N)'!S72*'Invoer gegevens (N)'!$C$18*'Reeksen (N)'!P72,0)</f>
        <v>0</v>
      </c>
      <c r="AU72" s="71">
        <f ca="1">-IF(C72=1,(F72+K72+L72+Q72)/2*'Invoer gegevens (N)'!$F$38*'Reeksen (N)'!H72,0)</f>
        <v>0</v>
      </c>
      <c r="AV72" s="71">
        <v>0</v>
      </c>
      <c r="AW72" s="71">
        <f t="shared" ca="1" si="29"/>
        <v>0</v>
      </c>
      <c r="AX72" s="71">
        <f ca="1">IF(E72&lt;'Invoer gegevens (N)'!$C$17+15,0,IF(E72&gt;'Invoer gegevens (N)'!$C$17+215,0,AW72))</f>
        <v>0</v>
      </c>
      <c r="AY72" s="71">
        <f ca="1">AX72/(1+'Invoer gegevens (N)'!$F$18)^($AZ72-('Invoer gegevens (N)'!$C$17-'Invoer gegevens (N)'!$C$16))/(1+'Invoer gegevens (N)'!$C$39)^('Invoer gegevens (N)'!$C$17-'Invoer gegevens (N)'!$C$16)</f>
        <v>0</v>
      </c>
      <c r="AZ72" s="68">
        <f ca="1">IF(E72-'Invoer gegevens (N)'!$C$17-14.5&lt;0,0,E72-'Invoer gegevens (N)'!$C$17-14.5)</f>
        <v>52.5</v>
      </c>
      <c r="BA72" s="109">
        <f ca="1">IFERROR(VLOOKUP(E72-15,'Reeksen (N)'!$A$5:$D$234,2,FALSE),0)</f>
        <v>0</v>
      </c>
      <c r="BB72" s="109">
        <f ca="1">IFERROR(VLOOKUP(E72-15,'Reeksen (N)'!$A$5:$D$234,3,FALSE),0)</f>
        <v>0</v>
      </c>
      <c r="BC72" s="109">
        <f ca="1">IFERROR(VLOOKUP(E72-15,'Reeksen (N)'!$A$5:$D$234,4,FALSE),0)</f>
        <v>0</v>
      </c>
      <c r="BD72" s="67">
        <f ca="1">IF(E72-'Invoer gegevens (N)'!$C$17&lt;15,0,1)</f>
        <v>1</v>
      </c>
    </row>
    <row r="73" spans="1:56" x14ac:dyDescent="0.25">
      <c r="A73" s="59"/>
      <c r="B73" s="70">
        <f t="shared" si="30"/>
        <v>69</v>
      </c>
      <c r="C73" s="67">
        <f ca="1">IF(E73-'Invoer gegevens (N)'!$C$17&lt;0,0,1)</f>
        <v>1</v>
      </c>
      <c r="D73" s="68">
        <f t="shared" si="31"/>
        <v>68.5</v>
      </c>
      <c r="E73" s="108">
        <f ca="1">IF('Invoer gegevens (N)'!$C$16="","",E72+1)</f>
        <v>2087</v>
      </c>
      <c r="F73" s="84">
        <f ca="1">IF('Invoer gegevens (N)'!$C$17=E73,'Invoer gegevens (N)'!$C$10,IF(C73=1,K72,0))</f>
        <v>0</v>
      </c>
      <c r="G73" s="96">
        <f ca="1">IF(BD73&lt;1,F73*'Reeksen (N)'!C73,IF(C73&gt;=1,F73*BA73,0))</f>
        <v>0</v>
      </c>
      <c r="H73" s="84">
        <f ca="1">(1-('Invoer gegevens (N)'!$F$20/12))*F73*MIN(BA73,BC73)</f>
        <v>0</v>
      </c>
      <c r="I73" s="84">
        <f t="shared" ca="1" si="16"/>
        <v>0</v>
      </c>
      <c r="J73" s="84">
        <f ca="1">('Invoer gegevens (N)'!$F$20/12)*F72*MIN(BA73,BC73)</f>
        <v>0</v>
      </c>
      <c r="K73" s="97">
        <f t="shared" ca="1" si="21"/>
        <v>0</v>
      </c>
      <c r="L73" s="84">
        <f ca="1">IF('Invoer gegevens (N)'!$C$17=E73,0,IF(C73=1,Q72,0))</f>
        <v>0</v>
      </c>
      <c r="M73" s="96">
        <f t="shared" ca="1" si="17"/>
        <v>0</v>
      </c>
      <c r="N73" s="84">
        <f ca="1">(1-('Invoer gegevens (N)'!$F$20/12))*L73*MIN(BA73,BC73)</f>
        <v>0</v>
      </c>
      <c r="O73" s="84">
        <f t="shared" ca="1" si="18"/>
        <v>0</v>
      </c>
      <c r="P73" s="84">
        <f ca="1">('Invoer gegevens (N)'!$F$20/12)*L72*MIN(BA73,BC73)</f>
        <v>0</v>
      </c>
      <c r="Q73" s="84">
        <f t="shared" ca="1" si="22"/>
        <v>0</v>
      </c>
      <c r="R73" s="85">
        <f ca="1">IF('Invoer gegevens (N)'!$C$17=E73,'Invoer gegevens (N)'!$C$11,IF(C73=1,W72,0))</f>
        <v>0</v>
      </c>
      <c r="S73" s="86">
        <f t="shared" ca="1" si="19"/>
        <v>0</v>
      </c>
      <c r="T73" s="86">
        <f ca="1">(1-('Invoer gegevens (N)'!$F$20/12))*R73*MIN(BC73,BA73)</f>
        <v>0</v>
      </c>
      <c r="U73" s="86">
        <f ca="1">IF(BD73&lt;1,IF('Reeksen (N)'!AD73&lt;='Reeksen (N)'!AE73,R73*'Reeksen (N)'!C73,0),IF(BC73&gt;=BA73,0,IF('Reeksen (N)'!AD73&lt;='Reeksen (N)'!AE73,(BA73-BC73)*R73,0)))</f>
        <v>0</v>
      </c>
      <c r="V73" s="86">
        <f ca="1">IF(BD73&lt;1,IF('Reeksen (N)'!AD73&gt;'Reeksen (N)'!AE73,R73*'Reeksen (N)'!C73,0),IF(BC73&gt;=BA73,0,IF('Reeksen (N)'!AD73&gt;'Reeksen (N)'!AE73,(BA73-BC73)*R73,0)))</f>
        <v>0</v>
      </c>
      <c r="W73" s="218">
        <f t="shared" ca="1" si="23"/>
        <v>0</v>
      </c>
      <c r="X73" s="98">
        <f ca="1">IF('Invoer gegevens (N)'!$C$17=E73,'Invoer gegevens (N)'!$C$10-'Invoer gegevens (N)'!$C$11,IF(C73=1,AC72,0))</f>
        <v>0</v>
      </c>
      <c r="Y73" s="98">
        <f t="shared" ca="1" si="20"/>
        <v>0</v>
      </c>
      <c r="Z73" s="98">
        <f ca="1">(1-('Invoer gegevens (N)'!$F$20/12))*X73*MIN(BA73,BC73)</f>
        <v>0</v>
      </c>
      <c r="AA73" s="98">
        <f ca="1">IF(BD73&lt;1,IF('Reeksen (N)'!AD73&lt;='Reeksen (N)'!AE73,X73*'Reeksen (N)'!C73,0),IF(BC73&gt;=BA73,0,IF('Reeksen (N)'!AD73&lt;='Reeksen (N)'!AE73,(BA73-BC73)*X73,0)))</f>
        <v>0</v>
      </c>
      <c r="AB73" s="98">
        <f ca="1">IF(BD73&lt;1,IF('Reeksen (N)'!AD73&gt;'Reeksen (N)'!AE73,X73*'Reeksen (N)'!C73,0),IF(BC73&gt;=BA73,0,IF('Reeksen (N)'!AD73&gt;'Reeksen (N)'!AE73,(BA73-BC73)*X73,0)))</f>
        <v>0</v>
      </c>
      <c r="AC73" s="99">
        <f t="shared" ca="1" si="24"/>
        <v>0</v>
      </c>
      <c r="AD73" s="98">
        <f ca="1">IF('Invoer gegevens (N)'!$C$17=E73,R73,IF(C73=0,0,AE72))</f>
        <v>0</v>
      </c>
      <c r="AE73" s="98">
        <f t="shared" ca="1" si="25"/>
        <v>0</v>
      </c>
      <c r="AF73" s="98">
        <f ca="1">IF('Invoer gegevens (N)'!$C$17=E73,X73,IF(C73=0,0,AG72))</f>
        <v>0</v>
      </c>
      <c r="AG73" s="98">
        <f t="shared" ca="1" si="26"/>
        <v>0</v>
      </c>
      <c r="AH73" s="66"/>
      <c r="AI73" s="71">
        <f ca="1">IF(C73=1,'Reeksen (N)'!AI73*((F73+K73)/2)*12+'Reeksen (N)'!AD73*((L73+Q73)/2)*12,0)</f>
        <v>0</v>
      </c>
      <c r="AJ73" s="71">
        <f ca="1">-AI73*'Invoer gegevens (N)'!$F$28</f>
        <v>0</v>
      </c>
      <c r="AK73" s="71">
        <f t="shared" ca="1" si="27"/>
        <v>0</v>
      </c>
      <c r="AL73" s="71">
        <f ca="1">IF(C73=1,'Reeksen (N)'!AL73*((F73-G73+F73)/2)*12+'Reeksen (N)'!AM73*((L73-M73+L73)/2)*12,0)</f>
        <v>0</v>
      </c>
      <c r="AM73" s="71">
        <f ca="1">-AL73*'Invoer gegevens (N)'!$F$31</f>
        <v>0</v>
      </c>
      <c r="AN73" s="71">
        <f t="shared" ca="1" si="28"/>
        <v>0</v>
      </c>
      <c r="AO73" s="71">
        <f ca="1">IF(C73=1,(H73+J73+N73+P73)*'Reeksen (N)'!AN73,0)</f>
        <v>0</v>
      </c>
      <c r="AP73" s="71">
        <f ca="1">-IF(C73=1,(H73+J73+N73+P73)*'Hulp - basis'!$O$550*'Reeksen (N)'!H73,0)</f>
        <v>0</v>
      </c>
      <c r="AQ73" s="71">
        <f ca="1">-IF(C73=1,(F73+K73+L73+Q73)/2*'Invoer gegevens (N)'!$F$35*'Reeksen (N)'!J73,0)*2</f>
        <v>0</v>
      </c>
      <c r="AR73" s="71">
        <f ca="1">IF(BD73&lt;1,-IF(C73=1,(G73*'Invoer gegevens (N)'!$F$36)*'Reeksen (N)'!J73,0),0)</f>
        <v>0</v>
      </c>
      <c r="AS73" s="71">
        <f ca="1">-IF(C73=1,(F73+K73+L73+Q73)/2*'Invoer gegevens (N)'!$F$37*'Reeksen (N)'!L73,0)</f>
        <v>0</v>
      </c>
      <c r="AT73" s="71">
        <f ca="1">-IF(C73=1,IF(E73='Invoer gegevens (N)'!$C$17,'Invoer gegevens (N)'!$C$11,AD73)*'Reeksen (N)'!S73*'Invoer gegevens (N)'!$C$18*'Reeksen (N)'!P73,0)</f>
        <v>0</v>
      </c>
      <c r="AU73" s="71">
        <f ca="1">-IF(C73=1,(F73+K73+L73+Q73)/2*'Invoer gegevens (N)'!$F$38*'Reeksen (N)'!H73,0)</f>
        <v>0</v>
      </c>
      <c r="AV73" s="71">
        <v>0</v>
      </c>
      <c r="AW73" s="71">
        <f t="shared" ca="1" si="29"/>
        <v>0</v>
      </c>
      <c r="AX73" s="71">
        <f ca="1">IF(E73&lt;'Invoer gegevens (N)'!$C$17+15,0,IF(E73&gt;'Invoer gegevens (N)'!$C$17+215,0,AW73))</f>
        <v>0</v>
      </c>
      <c r="AY73" s="71">
        <f ca="1">AX73/(1+'Invoer gegevens (N)'!$F$18)^($AZ73-('Invoer gegevens (N)'!$C$17-'Invoer gegevens (N)'!$C$16))/(1+'Invoer gegevens (N)'!$C$39)^('Invoer gegevens (N)'!$C$17-'Invoer gegevens (N)'!$C$16)</f>
        <v>0</v>
      </c>
      <c r="AZ73" s="68">
        <f ca="1">IF(E73-'Invoer gegevens (N)'!$C$17-14.5&lt;0,0,E73-'Invoer gegevens (N)'!$C$17-14.5)</f>
        <v>53.5</v>
      </c>
      <c r="BA73" s="109">
        <f ca="1">IFERROR(VLOOKUP(E73-15,'Reeksen (N)'!$A$5:$D$234,2,FALSE),0)</f>
        <v>0</v>
      </c>
      <c r="BB73" s="109">
        <f ca="1">IFERROR(VLOOKUP(E73-15,'Reeksen (N)'!$A$5:$D$234,3,FALSE),0)</f>
        <v>0</v>
      </c>
      <c r="BC73" s="109">
        <f ca="1">IFERROR(VLOOKUP(E73-15,'Reeksen (N)'!$A$5:$D$234,4,FALSE),0)</f>
        <v>0</v>
      </c>
      <c r="BD73" s="67">
        <f ca="1">IF(E73-'Invoer gegevens (N)'!$C$17&lt;15,0,1)</f>
        <v>1</v>
      </c>
    </row>
    <row r="74" spans="1:56" x14ac:dyDescent="0.25">
      <c r="A74" s="59"/>
      <c r="B74" s="70">
        <f t="shared" si="30"/>
        <v>70</v>
      </c>
      <c r="C74" s="67">
        <f ca="1">IF(E74-'Invoer gegevens (N)'!$C$17&lt;0,0,1)</f>
        <v>1</v>
      </c>
      <c r="D74" s="68">
        <f t="shared" si="31"/>
        <v>69.5</v>
      </c>
      <c r="E74" s="108">
        <f ca="1">IF('Invoer gegevens (N)'!$C$16="","",E73+1)</f>
        <v>2088</v>
      </c>
      <c r="F74" s="84">
        <f ca="1">IF('Invoer gegevens (N)'!$C$17=E74,'Invoer gegevens (N)'!$C$10,IF(C74=1,K73,0))</f>
        <v>0</v>
      </c>
      <c r="G74" s="96">
        <f ca="1">IF(BD74&lt;1,F74*'Reeksen (N)'!C74,IF(C74&gt;=1,F74*BA74,0))</f>
        <v>0</v>
      </c>
      <c r="H74" s="84">
        <f ca="1">(1-('Invoer gegevens (N)'!$F$20/12))*F74*MIN(BA74,BC74)</f>
        <v>0</v>
      </c>
      <c r="I74" s="84">
        <f t="shared" ca="1" si="16"/>
        <v>0</v>
      </c>
      <c r="J74" s="84">
        <f ca="1">('Invoer gegevens (N)'!$F$20/12)*F73*MIN(BA74,BC74)</f>
        <v>0</v>
      </c>
      <c r="K74" s="97">
        <f t="shared" ca="1" si="21"/>
        <v>0</v>
      </c>
      <c r="L74" s="84">
        <f ca="1">IF('Invoer gegevens (N)'!$C$17=E74,0,IF(C74=1,Q73,0))</f>
        <v>0</v>
      </c>
      <c r="M74" s="96">
        <f t="shared" ca="1" si="17"/>
        <v>0</v>
      </c>
      <c r="N74" s="84">
        <f ca="1">(1-('Invoer gegevens (N)'!$F$20/12))*L74*MIN(BA74,BC74)</f>
        <v>0</v>
      </c>
      <c r="O74" s="84">
        <f t="shared" ca="1" si="18"/>
        <v>0</v>
      </c>
      <c r="P74" s="84">
        <f ca="1">('Invoer gegevens (N)'!$F$20/12)*L73*MIN(BA74,BC74)</f>
        <v>0</v>
      </c>
      <c r="Q74" s="84">
        <f t="shared" ca="1" si="22"/>
        <v>0</v>
      </c>
      <c r="R74" s="85">
        <f ca="1">IF('Invoer gegevens (N)'!$C$17=E74,'Invoer gegevens (N)'!$C$11,IF(C74=1,W73,0))</f>
        <v>0</v>
      </c>
      <c r="S74" s="86">
        <f t="shared" ca="1" si="19"/>
        <v>0</v>
      </c>
      <c r="T74" s="86">
        <f ca="1">(1-('Invoer gegevens (N)'!$F$20/12))*R74*MIN(BC74,BA74)</f>
        <v>0</v>
      </c>
      <c r="U74" s="86">
        <f ca="1">IF(BD74&lt;1,IF('Reeksen (N)'!AD74&lt;='Reeksen (N)'!AE74,R74*'Reeksen (N)'!C74,0),IF(BC74&gt;=BA74,0,IF('Reeksen (N)'!AD74&lt;='Reeksen (N)'!AE74,(BA74-BC74)*R74,0)))</f>
        <v>0</v>
      </c>
      <c r="V74" s="86">
        <f ca="1">IF(BD74&lt;1,IF('Reeksen (N)'!AD74&gt;'Reeksen (N)'!AE74,R74*'Reeksen (N)'!C74,0),IF(BC74&gt;=BA74,0,IF('Reeksen (N)'!AD74&gt;'Reeksen (N)'!AE74,(BA74-BC74)*R74,0)))</f>
        <v>0</v>
      </c>
      <c r="W74" s="218">
        <f t="shared" ca="1" si="23"/>
        <v>0</v>
      </c>
      <c r="X74" s="98">
        <f ca="1">IF('Invoer gegevens (N)'!$C$17=E74,'Invoer gegevens (N)'!$C$10-'Invoer gegevens (N)'!$C$11,IF(C74=1,AC73,0))</f>
        <v>0</v>
      </c>
      <c r="Y74" s="98">
        <f t="shared" ca="1" si="20"/>
        <v>0</v>
      </c>
      <c r="Z74" s="98">
        <f ca="1">(1-('Invoer gegevens (N)'!$F$20/12))*X74*MIN(BA74,BC74)</f>
        <v>0</v>
      </c>
      <c r="AA74" s="98">
        <f ca="1">IF(BD74&lt;1,IF('Reeksen (N)'!AD74&lt;='Reeksen (N)'!AE74,X74*'Reeksen (N)'!C74,0),IF(BC74&gt;=BA74,0,IF('Reeksen (N)'!AD74&lt;='Reeksen (N)'!AE74,(BA74-BC74)*X74,0)))</f>
        <v>0</v>
      </c>
      <c r="AB74" s="98">
        <f ca="1">IF(BD74&lt;1,IF('Reeksen (N)'!AD74&gt;'Reeksen (N)'!AE74,X74*'Reeksen (N)'!C74,0),IF(BC74&gt;=BA74,0,IF('Reeksen (N)'!AD74&gt;'Reeksen (N)'!AE74,(BA74-BC74)*X74,0)))</f>
        <v>0</v>
      </c>
      <c r="AC74" s="99">
        <f t="shared" ca="1" si="24"/>
        <v>0</v>
      </c>
      <c r="AD74" s="98">
        <f ca="1">IF('Invoer gegevens (N)'!$C$17=E74,R74,IF(C74=0,0,AE73))</f>
        <v>0</v>
      </c>
      <c r="AE74" s="98">
        <f t="shared" ca="1" si="25"/>
        <v>0</v>
      </c>
      <c r="AF74" s="98">
        <f ca="1">IF('Invoer gegevens (N)'!$C$17=E74,X74,IF(C74=0,0,AG73))</f>
        <v>0</v>
      </c>
      <c r="AG74" s="98">
        <f t="shared" ca="1" si="26"/>
        <v>0</v>
      </c>
      <c r="AH74" s="66"/>
      <c r="AI74" s="71">
        <f ca="1">IF(C74=1,'Reeksen (N)'!AI74*((F74+K74)/2)*12+'Reeksen (N)'!AD74*((L74+Q74)/2)*12,0)</f>
        <v>0</v>
      </c>
      <c r="AJ74" s="71">
        <f ca="1">-AI74*'Invoer gegevens (N)'!$F$28</f>
        <v>0</v>
      </c>
      <c r="AK74" s="71">
        <f t="shared" ca="1" si="27"/>
        <v>0</v>
      </c>
      <c r="AL74" s="71">
        <f ca="1">IF(C74=1,'Reeksen (N)'!AL74*((F74-G74+F74)/2)*12+'Reeksen (N)'!AM74*((L74-M74+L74)/2)*12,0)</f>
        <v>0</v>
      </c>
      <c r="AM74" s="71">
        <f ca="1">-AL74*'Invoer gegevens (N)'!$F$31</f>
        <v>0</v>
      </c>
      <c r="AN74" s="71">
        <f t="shared" ca="1" si="28"/>
        <v>0</v>
      </c>
      <c r="AO74" s="71">
        <f ca="1">IF(C74=1,(H74+J74+N74+P74)*'Reeksen (N)'!AN74,0)</f>
        <v>0</v>
      </c>
      <c r="AP74" s="71">
        <f ca="1">-IF(C74=1,(H74+J74+N74+P74)*'Hulp - basis'!$O$550*'Reeksen (N)'!H74,0)</f>
        <v>0</v>
      </c>
      <c r="AQ74" s="71">
        <f ca="1">-IF(C74=1,(F74+K74+L74+Q74)/2*'Invoer gegevens (N)'!$F$35*'Reeksen (N)'!J74,0)*2</f>
        <v>0</v>
      </c>
      <c r="AR74" s="71">
        <f ca="1">IF(BD74&lt;1,-IF(C74=1,(G74*'Invoer gegevens (N)'!$F$36)*'Reeksen (N)'!J74,0),0)</f>
        <v>0</v>
      </c>
      <c r="AS74" s="71">
        <f ca="1">-IF(C74=1,(F74+K74+L74+Q74)/2*'Invoer gegevens (N)'!$F$37*'Reeksen (N)'!L74,0)</f>
        <v>0</v>
      </c>
      <c r="AT74" s="71">
        <f ca="1">-IF(C74=1,IF(E74='Invoer gegevens (N)'!$C$17,'Invoer gegevens (N)'!$C$11,AD74)*'Reeksen (N)'!S74*'Invoer gegevens (N)'!$C$18*'Reeksen (N)'!P74,0)</f>
        <v>0</v>
      </c>
      <c r="AU74" s="71">
        <f ca="1">-IF(C74=1,(F74+K74+L74+Q74)/2*'Invoer gegevens (N)'!$F$38*'Reeksen (N)'!H74,0)</f>
        <v>0</v>
      </c>
      <c r="AV74" s="71">
        <v>0</v>
      </c>
      <c r="AW74" s="71">
        <f t="shared" ca="1" si="29"/>
        <v>0</v>
      </c>
      <c r="AX74" s="71">
        <f ca="1">IF(E74&lt;'Invoer gegevens (N)'!$C$17+15,0,IF(E74&gt;'Invoer gegevens (N)'!$C$17+215,0,AW74))</f>
        <v>0</v>
      </c>
      <c r="AY74" s="71">
        <f ca="1">AX74/(1+'Invoer gegevens (N)'!$F$18)^($AZ74-('Invoer gegevens (N)'!$C$17-'Invoer gegevens (N)'!$C$16))/(1+'Invoer gegevens (N)'!$C$39)^('Invoer gegevens (N)'!$C$17-'Invoer gegevens (N)'!$C$16)</f>
        <v>0</v>
      </c>
      <c r="AZ74" s="68">
        <f ca="1">IF(E74-'Invoer gegevens (N)'!$C$17-14.5&lt;0,0,E74-'Invoer gegevens (N)'!$C$17-14.5)</f>
        <v>54.5</v>
      </c>
      <c r="BA74" s="109">
        <f ca="1">IFERROR(VLOOKUP(E74-15,'Reeksen (N)'!$A$5:$D$234,2,FALSE),0)</f>
        <v>0</v>
      </c>
      <c r="BB74" s="109">
        <f ca="1">IFERROR(VLOOKUP(E74-15,'Reeksen (N)'!$A$5:$D$234,3,FALSE),0)</f>
        <v>0</v>
      </c>
      <c r="BC74" s="109">
        <f ca="1">IFERROR(VLOOKUP(E74-15,'Reeksen (N)'!$A$5:$D$234,4,FALSE),0)</f>
        <v>0</v>
      </c>
      <c r="BD74" s="67">
        <f ca="1">IF(E74-'Invoer gegevens (N)'!$C$17&lt;15,0,1)</f>
        <v>1</v>
      </c>
    </row>
    <row r="75" spans="1:56" x14ac:dyDescent="0.25">
      <c r="A75" s="59"/>
      <c r="B75" s="70">
        <f t="shared" si="30"/>
        <v>71</v>
      </c>
      <c r="C75" s="67">
        <f ca="1">IF(E75-'Invoer gegevens (N)'!$C$17&lt;0,0,1)</f>
        <v>1</v>
      </c>
      <c r="D75" s="68">
        <f t="shared" si="31"/>
        <v>70.5</v>
      </c>
      <c r="E75" s="108">
        <f ca="1">IF('Invoer gegevens (N)'!$C$16="","",E74+1)</f>
        <v>2089</v>
      </c>
      <c r="F75" s="84">
        <f ca="1">IF('Invoer gegevens (N)'!$C$17=E75,'Invoer gegevens (N)'!$C$10,IF(C75=1,K74,0))</f>
        <v>0</v>
      </c>
      <c r="G75" s="96">
        <f ca="1">IF(BD75&lt;1,F75*'Reeksen (N)'!C75,IF(C75&gt;=1,F75*BA75,0))</f>
        <v>0</v>
      </c>
      <c r="H75" s="84">
        <f ca="1">(1-('Invoer gegevens (N)'!$F$20/12))*F75*MIN(BA75,BC75)</f>
        <v>0</v>
      </c>
      <c r="I75" s="84">
        <f t="shared" ca="1" si="16"/>
        <v>0</v>
      </c>
      <c r="J75" s="84">
        <f ca="1">('Invoer gegevens (N)'!$F$20/12)*F74*MIN(BA75,BC75)</f>
        <v>0</v>
      </c>
      <c r="K75" s="97">
        <f t="shared" ca="1" si="21"/>
        <v>0</v>
      </c>
      <c r="L75" s="84">
        <f ca="1">IF('Invoer gegevens (N)'!$C$17=E75,0,IF(C75=1,Q74,0))</f>
        <v>0</v>
      </c>
      <c r="M75" s="96">
        <f t="shared" ca="1" si="17"/>
        <v>0</v>
      </c>
      <c r="N75" s="84">
        <f ca="1">(1-('Invoer gegevens (N)'!$F$20/12))*L75*MIN(BA75,BC75)</f>
        <v>0</v>
      </c>
      <c r="O75" s="84">
        <f t="shared" ca="1" si="18"/>
        <v>0</v>
      </c>
      <c r="P75" s="84">
        <f ca="1">('Invoer gegevens (N)'!$F$20/12)*L74*MIN(BA75,BC75)</f>
        <v>0</v>
      </c>
      <c r="Q75" s="84">
        <f t="shared" ca="1" si="22"/>
        <v>0</v>
      </c>
      <c r="R75" s="85">
        <f ca="1">IF('Invoer gegevens (N)'!$C$17=E75,'Invoer gegevens (N)'!$C$11,IF(C75=1,W74,0))</f>
        <v>0</v>
      </c>
      <c r="S75" s="86">
        <f t="shared" ca="1" si="19"/>
        <v>0</v>
      </c>
      <c r="T75" s="86">
        <f ca="1">(1-('Invoer gegevens (N)'!$F$20/12))*R75*MIN(BC75,BA75)</f>
        <v>0</v>
      </c>
      <c r="U75" s="86">
        <f ca="1">IF(BD75&lt;1,IF('Reeksen (N)'!AD75&lt;='Reeksen (N)'!AE75,R75*'Reeksen (N)'!C75,0),IF(BC75&gt;=BA75,0,IF('Reeksen (N)'!AD75&lt;='Reeksen (N)'!AE75,(BA75-BC75)*R75,0)))</f>
        <v>0</v>
      </c>
      <c r="V75" s="86">
        <f ca="1">IF(BD75&lt;1,IF('Reeksen (N)'!AD75&gt;'Reeksen (N)'!AE75,R75*'Reeksen (N)'!C75,0),IF(BC75&gt;=BA75,0,IF('Reeksen (N)'!AD75&gt;'Reeksen (N)'!AE75,(BA75-BC75)*R75,0)))</f>
        <v>0</v>
      </c>
      <c r="W75" s="218">
        <f t="shared" ca="1" si="23"/>
        <v>0</v>
      </c>
      <c r="X75" s="98">
        <f ca="1">IF('Invoer gegevens (N)'!$C$17=E75,'Invoer gegevens (N)'!$C$10-'Invoer gegevens (N)'!$C$11,IF(C75=1,AC74,0))</f>
        <v>0</v>
      </c>
      <c r="Y75" s="98">
        <f t="shared" ca="1" si="20"/>
        <v>0</v>
      </c>
      <c r="Z75" s="98">
        <f ca="1">(1-('Invoer gegevens (N)'!$F$20/12))*X75*MIN(BA75,BC75)</f>
        <v>0</v>
      </c>
      <c r="AA75" s="98">
        <f ca="1">IF(BD75&lt;1,IF('Reeksen (N)'!AD75&lt;='Reeksen (N)'!AE75,X75*'Reeksen (N)'!C75,0),IF(BC75&gt;=BA75,0,IF('Reeksen (N)'!AD75&lt;='Reeksen (N)'!AE75,(BA75-BC75)*X75,0)))</f>
        <v>0</v>
      </c>
      <c r="AB75" s="98">
        <f ca="1">IF(BD75&lt;1,IF('Reeksen (N)'!AD75&gt;'Reeksen (N)'!AE75,X75*'Reeksen (N)'!C75,0),IF(BC75&gt;=BA75,0,IF('Reeksen (N)'!AD75&gt;'Reeksen (N)'!AE75,(BA75-BC75)*X75,0)))</f>
        <v>0</v>
      </c>
      <c r="AC75" s="99">
        <f t="shared" ca="1" si="24"/>
        <v>0</v>
      </c>
      <c r="AD75" s="98">
        <f ca="1">IF('Invoer gegevens (N)'!$C$17=E75,R75,IF(C75=0,0,AE74))</f>
        <v>0</v>
      </c>
      <c r="AE75" s="98">
        <f t="shared" ca="1" si="25"/>
        <v>0</v>
      </c>
      <c r="AF75" s="98">
        <f ca="1">IF('Invoer gegevens (N)'!$C$17=E75,X75,IF(C75=0,0,AG74))</f>
        <v>0</v>
      </c>
      <c r="AG75" s="98">
        <f t="shared" ca="1" si="26"/>
        <v>0</v>
      </c>
      <c r="AH75" s="66"/>
      <c r="AI75" s="71">
        <f ca="1">IF(C75=1,'Reeksen (N)'!AI75*((F75+K75)/2)*12+'Reeksen (N)'!AD75*((L75+Q75)/2)*12,0)</f>
        <v>0</v>
      </c>
      <c r="AJ75" s="71">
        <f ca="1">-AI75*'Invoer gegevens (N)'!$F$28</f>
        <v>0</v>
      </c>
      <c r="AK75" s="71">
        <f t="shared" ca="1" si="27"/>
        <v>0</v>
      </c>
      <c r="AL75" s="71">
        <f ca="1">IF(C75=1,'Reeksen (N)'!AL75*((F75-G75+F75)/2)*12+'Reeksen (N)'!AM75*((L75-M75+L75)/2)*12,0)</f>
        <v>0</v>
      </c>
      <c r="AM75" s="71">
        <f ca="1">-AL75*'Invoer gegevens (N)'!$F$31</f>
        <v>0</v>
      </c>
      <c r="AN75" s="71">
        <f t="shared" ca="1" si="28"/>
        <v>0</v>
      </c>
      <c r="AO75" s="71">
        <f ca="1">IF(C75=1,(H75+J75+N75+P75)*'Reeksen (N)'!AN75,0)</f>
        <v>0</v>
      </c>
      <c r="AP75" s="71">
        <f ca="1">-IF(C75=1,(H75+J75+N75+P75)*'Hulp - basis'!$O$550*'Reeksen (N)'!H75,0)</f>
        <v>0</v>
      </c>
      <c r="AQ75" s="71">
        <f ca="1">-IF(C75=1,(F75+K75+L75+Q75)/2*'Invoer gegevens (N)'!$F$35*'Reeksen (N)'!J75,0)*2</f>
        <v>0</v>
      </c>
      <c r="AR75" s="71">
        <f ca="1">IF(BD75&lt;1,-IF(C75=1,(G75*'Invoer gegevens (N)'!$F$36)*'Reeksen (N)'!J75,0),0)</f>
        <v>0</v>
      </c>
      <c r="AS75" s="71">
        <f ca="1">-IF(C75=1,(F75+K75+L75+Q75)/2*'Invoer gegevens (N)'!$F$37*'Reeksen (N)'!L75,0)</f>
        <v>0</v>
      </c>
      <c r="AT75" s="71">
        <f ca="1">-IF(C75=1,IF(E75='Invoer gegevens (N)'!$C$17,'Invoer gegevens (N)'!$C$11,AD75)*'Reeksen (N)'!S75*'Invoer gegevens (N)'!$C$18*'Reeksen (N)'!P75,0)</f>
        <v>0</v>
      </c>
      <c r="AU75" s="71">
        <f ca="1">-IF(C75=1,(F75+K75+L75+Q75)/2*'Invoer gegevens (N)'!$F$38*'Reeksen (N)'!H75,0)</f>
        <v>0</v>
      </c>
      <c r="AV75" s="71">
        <v>0</v>
      </c>
      <c r="AW75" s="71">
        <f t="shared" ca="1" si="29"/>
        <v>0</v>
      </c>
      <c r="AX75" s="71">
        <f ca="1">IF(E75&lt;'Invoer gegevens (N)'!$C$17+15,0,IF(E75&gt;'Invoer gegevens (N)'!$C$17+215,0,AW75))</f>
        <v>0</v>
      </c>
      <c r="AY75" s="71">
        <f ca="1">AX75/(1+'Invoer gegevens (N)'!$F$18)^($AZ75-('Invoer gegevens (N)'!$C$17-'Invoer gegevens (N)'!$C$16))/(1+'Invoer gegevens (N)'!$C$39)^('Invoer gegevens (N)'!$C$17-'Invoer gegevens (N)'!$C$16)</f>
        <v>0</v>
      </c>
      <c r="AZ75" s="68">
        <f ca="1">IF(E75-'Invoer gegevens (N)'!$C$17-14.5&lt;0,0,E75-'Invoer gegevens (N)'!$C$17-14.5)</f>
        <v>55.5</v>
      </c>
      <c r="BA75" s="109">
        <f ca="1">IFERROR(VLOOKUP(E75-15,'Reeksen (N)'!$A$5:$D$234,2,FALSE),0)</f>
        <v>0</v>
      </c>
      <c r="BB75" s="109">
        <f ca="1">IFERROR(VLOOKUP(E75-15,'Reeksen (N)'!$A$5:$D$234,3,FALSE),0)</f>
        <v>0</v>
      </c>
      <c r="BC75" s="109">
        <f ca="1">IFERROR(VLOOKUP(E75-15,'Reeksen (N)'!$A$5:$D$234,4,FALSE),0)</f>
        <v>0</v>
      </c>
      <c r="BD75" s="67">
        <f ca="1">IF(E75-'Invoer gegevens (N)'!$C$17&lt;15,0,1)</f>
        <v>1</v>
      </c>
    </row>
    <row r="76" spans="1:56" x14ac:dyDescent="0.25">
      <c r="A76" s="59"/>
      <c r="B76" s="70">
        <f t="shared" si="30"/>
        <v>72</v>
      </c>
      <c r="C76" s="67">
        <f ca="1">IF(E76-'Invoer gegevens (N)'!$C$17&lt;0,0,1)</f>
        <v>1</v>
      </c>
      <c r="D76" s="68">
        <f t="shared" si="31"/>
        <v>71.5</v>
      </c>
      <c r="E76" s="108">
        <f ca="1">IF('Invoer gegevens (N)'!$C$16="","",E75+1)</f>
        <v>2090</v>
      </c>
      <c r="F76" s="84">
        <f ca="1">IF('Invoer gegevens (N)'!$C$17=E76,'Invoer gegevens (N)'!$C$10,IF(C76=1,K75,0))</f>
        <v>0</v>
      </c>
      <c r="G76" s="96">
        <f ca="1">IF(BD76&lt;1,F76*'Reeksen (N)'!C76,IF(C76&gt;=1,F76*BA76,0))</f>
        <v>0</v>
      </c>
      <c r="H76" s="84">
        <f ca="1">(1-('Invoer gegevens (N)'!$F$20/12))*F76*MIN(BA76,BC76)</f>
        <v>0</v>
      </c>
      <c r="I76" s="84">
        <f t="shared" ca="1" si="16"/>
        <v>0</v>
      </c>
      <c r="J76" s="84">
        <f ca="1">('Invoer gegevens (N)'!$F$20/12)*F75*MIN(BA76,BC76)</f>
        <v>0</v>
      </c>
      <c r="K76" s="97">
        <f t="shared" ca="1" si="21"/>
        <v>0</v>
      </c>
      <c r="L76" s="84">
        <f ca="1">IF('Invoer gegevens (N)'!$C$17=E76,0,IF(C76=1,Q75,0))</f>
        <v>0</v>
      </c>
      <c r="M76" s="96">
        <f t="shared" ca="1" si="17"/>
        <v>0</v>
      </c>
      <c r="N76" s="84">
        <f ca="1">(1-('Invoer gegevens (N)'!$F$20/12))*L76*MIN(BA76,BC76)</f>
        <v>0</v>
      </c>
      <c r="O76" s="84">
        <f t="shared" ca="1" si="18"/>
        <v>0</v>
      </c>
      <c r="P76" s="84">
        <f ca="1">('Invoer gegevens (N)'!$F$20/12)*L75*MIN(BA76,BC76)</f>
        <v>0</v>
      </c>
      <c r="Q76" s="84">
        <f t="shared" ca="1" si="22"/>
        <v>0</v>
      </c>
      <c r="R76" s="85">
        <f ca="1">IF('Invoer gegevens (N)'!$C$17=E76,'Invoer gegevens (N)'!$C$11,IF(C76=1,W75,0))</f>
        <v>0</v>
      </c>
      <c r="S76" s="86">
        <f t="shared" ca="1" si="19"/>
        <v>0</v>
      </c>
      <c r="T76" s="86">
        <f ca="1">(1-('Invoer gegevens (N)'!$F$20/12))*R76*MIN(BC76,BA76)</f>
        <v>0</v>
      </c>
      <c r="U76" s="86">
        <f ca="1">IF(BD76&lt;1,IF('Reeksen (N)'!AD76&lt;='Reeksen (N)'!AE76,R76*'Reeksen (N)'!C76,0),IF(BC76&gt;=BA76,0,IF('Reeksen (N)'!AD76&lt;='Reeksen (N)'!AE76,(BA76-BC76)*R76,0)))</f>
        <v>0</v>
      </c>
      <c r="V76" s="86">
        <f ca="1">IF(BD76&lt;1,IF('Reeksen (N)'!AD76&gt;'Reeksen (N)'!AE76,R76*'Reeksen (N)'!C76,0),IF(BC76&gt;=BA76,0,IF('Reeksen (N)'!AD76&gt;'Reeksen (N)'!AE76,(BA76-BC76)*R76,0)))</f>
        <v>0</v>
      </c>
      <c r="W76" s="218">
        <f t="shared" ca="1" si="23"/>
        <v>0</v>
      </c>
      <c r="X76" s="98">
        <f ca="1">IF('Invoer gegevens (N)'!$C$17=E76,'Invoer gegevens (N)'!$C$10-'Invoer gegevens (N)'!$C$11,IF(C76=1,AC75,0))</f>
        <v>0</v>
      </c>
      <c r="Y76" s="98">
        <f t="shared" ca="1" si="20"/>
        <v>0</v>
      </c>
      <c r="Z76" s="98">
        <f ca="1">(1-('Invoer gegevens (N)'!$F$20/12))*X76*MIN(BA76,BC76)</f>
        <v>0</v>
      </c>
      <c r="AA76" s="98">
        <f ca="1">IF(BD76&lt;1,IF('Reeksen (N)'!AD76&lt;='Reeksen (N)'!AE76,X76*'Reeksen (N)'!C76,0),IF(BC76&gt;=BA76,0,IF('Reeksen (N)'!AD76&lt;='Reeksen (N)'!AE76,(BA76-BC76)*X76,0)))</f>
        <v>0</v>
      </c>
      <c r="AB76" s="98">
        <f ca="1">IF(BD76&lt;1,IF('Reeksen (N)'!AD76&gt;'Reeksen (N)'!AE76,X76*'Reeksen (N)'!C76,0),IF(BC76&gt;=BA76,0,IF('Reeksen (N)'!AD76&gt;'Reeksen (N)'!AE76,(BA76-BC76)*X76,0)))</f>
        <v>0</v>
      </c>
      <c r="AC76" s="99">
        <f t="shared" ca="1" si="24"/>
        <v>0</v>
      </c>
      <c r="AD76" s="98">
        <f ca="1">IF('Invoer gegevens (N)'!$C$17=E76,R76,IF(C76=0,0,AE75))</f>
        <v>0</v>
      </c>
      <c r="AE76" s="98">
        <f t="shared" ca="1" si="25"/>
        <v>0</v>
      </c>
      <c r="AF76" s="98">
        <f ca="1">IF('Invoer gegevens (N)'!$C$17=E76,X76,IF(C76=0,0,AG75))</f>
        <v>0</v>
      </c>
      <c r="AG76" s="98">
        <f t="shared" ca="1" si="26"/>
        <v>0</v>
      </c>
      <c r="AH76" s="66"/>
      <c r="AI76" s="71">
        <f ca="1">IF(C76=1,'Reeksen (N)'!AI76*((F76+K76)/2)*12+'Reeksen (N)'!AD76*((L76+Q76)/2)*12,0)</f>
        <v>0</v>
      </c>
      <c r="AJ76" s="71">
        <f ca="1">-AI76*'Invoer gegevens (N)'!$F$28</f>
        <v>0</v>
      </c>
      <c r="AK76" s="71">
        <f t="shared" ca="1" si="27"/>
        <v>0</v>
      </c>
      <c r="AL76" s="71">
        <f ca="1">IF(C76=1,'Reeksen (N)'!AL76*((F76-G76+F76)/2)*12+'Reeksen (N)'!AM76*((L76-M76+L76)/2)*12,0)</f>
        <v>0</v>
      </c>
      <c r="AM76" s="71">
        <f ca="1">-AL76*'Invoer gegevens (N)'!$F$31</f>
        <v>0</v>
      </c>
      <c r="AN76" s="71">
        <f t="shared" ca="1" si="28"/>
        <v>0</v>
      </c>
      <c r="AO76" s="71">
        <f ca="1">IF(C76=1,(H76+J76+N76+P76)*'Reeksen (N)'!AN76,0)</f>
        <v>0</v>
      </c>
      <c r="AP76" s="71">
        <f ca="1">-IF(C76=1,(H76+J76+N76+P76)*'Hulp - basis'!$O$550*'Reeksen (N)'!H76,0)</f>
        <v>0</v>
      </c>
      <c r="AQ76" s="71">
        <f ca="1">-IF(C76=1,(F76+K76+L76+Q76)/2*'Invoer gegevens (N)'!$F$35*'Reeksen (N)'!J76,0)*2</f>
        <v>0</v>
      </c>
      <c r="AR76" s="71">
        <f ca="1">IF(BD76&lt;1,-IF(C76=1,(G76*'Invoer gegevens (N)'!$F$36)*'Reeksen (N)'!J76,0),0)</f>
        <v>0</v>
      </c>
      <c r="AS76" s="71">
        <f ca="1">-IF(C76=1,(F76+K76+L76+Q76)/2*'Invoer gegevens (N)'!$F$37*'Reeksen (N)'!L76,0)</f>
        <v>0</v>
      </c>
      <c r="AT76" s="71">
        <f ca="1">-IF(C76=1,IF(E76='Invoer gegevens (N)'!$C$17,'Invoer gegevens (N)'!$C$11,AD76)*'Reeksen (N)'!S76*'Invoer gegevens (N)'!$C$18*'Reeksen (N)'!P76,0)</f>
        <v>0</v>
      </c>
      <c r="AU76" s="71">
        <f ca="1">-IF(C76=1,(F76+K76+L76+Q76)/2*'Invoer gegevens (N)'!$F$38*'Reeksen (N)'!H76,0)</f>
        <v>0</v>
      </c>
      <c r="AV76" s="71">
        <v>0</v>
      </c>
      <c r="AW76" s="71">
        <f t="shared" ca="1" si="29"/>
        <v>0</v>
      </c>
      <c r="AX76" s="71">
        <f ca="1">IF(E76&lt;'Invoer gegevens (N)'!$C$17+15,0,IF(E76&gt;'Invoer gegevens (N)'!$C$17+215,0,AW76))</f>
        <v>0</v>
      </c>
      <c r="AY76" s="71">
        <f ca="1">AX76/(1+'Invoer gegevens (N)'!$F$18)^($AZ76-('Invoer gegevens (N)'!$C$17-'Invoer gegevens (N)'!$C$16))/(1+'Invoer gegevens (N)'!$C$39)^('Invoer gegevens (N)'!$C$17-'Invoer gegevens (N)'!$C$16)</f>
        <v>0</v>
      </c>
      <c r="AZ76" s="68">
        <f ca="1">IF(E76-'Invoer gegevens (N)'!$C$17-14.5&lt;0,0,E76-'Invoer gegevens (N)'!$C$17-14.5)</f>
        <v>56.5</v>
      </c>
      <c r="BA76" s="109">
        <f ca="1">IFERROR(VLOOKUP(E76-15,'Reeksen (N)'!$A$5:$D$234,2,FALSE),0)</f>
        <v>0</v>
      </c>
      <c r="BB76" s="109">
        <f ca="1">IFERROR(VLOOKUP(E76-15,'Reeksen (N)'!$A$5:$D$234,3,FALSE),0)</f>
        <v>0</v>
      </c>
      <c r="BC76" s="109">
        <f ca="1">IFERROR(VLOOKUP(E76-15,'Reeksen (N)'!$A$5:$D$234,4,FALSE),0)</f>
        <v>0</v>
      </c>
      <c r="BD76" s="67">
        <f ca="1">IF(E76-'Invoer gegevens (N)'!$C$17&lt;15,0,1)</f>
        <v>1</v>
      </c>
    </row>
    <row r="77" spans="1:56" x14ac:dyDescent="0.25">
      <c r="A77" s="59"/>
      <c r="B77" s="70">
        <f t="shared" si="30"/>
        <v>73</v>
      </c>
      <c r="C77" s="67">
        <f ca="1">IF(E77-'Invoer gegevens (N)'!$C$17&lt;0,0,1)</f>
        <v>1</v>
      </c>
      <c r="D77" s="68">
        <f t="shared" si="31"/>
        <v>72.5</v>
      </c>
      <c r="E77" s="108">
        <f ca="1">IF('Invoer gegevens (N)'!$C$16="","",E76+1)</f>
        <v>2091</v>
      </c>
      <c r="F77" s="84">
        <f ca="1">IF('Invoer gegevens (N)'!$C$17=E77,'Invoer gegevens (N)'!$C$10,IF(C77=1,K76,0))</f>
        <v>0</v>
      </c>
      <c r="G77" s="96">
        <f ca="1">IF(BD77&lt;1,F77*'Reeksen (N)'!C77,IF(C77&gt;=1,F77*BA77,0))</f>
        <v>0</v>
      </c>
      <c r="H77" s="84">
        <f ca="1">(1-('Invoer gegevens (N)'!$F$20/12))*F77*MIN(BA77,BC77)</f>
        <v>0</v>
      </c>
      <c r="I77" s="84">
        <f t="shared" ca="1" si="16"/>
        <v>0</v>
      </c>
      <c r="J77" s="84">
        <f ca="1">('Invoer gegevens (N)'!$F$20/12)*F76*MIN(BA77,BC77)</f>
        <v>0</v>
      </c>
      <c r="K77" s="97">
        <f t="shared" ca="1" si="21"/>
        <v>0</v>
      </c>
      <c r="L77" s="84">
        <f ca="1">IF('Invoer gegevens (N)'!$C$17=E77,0,IF(C77=1,Q76,0))</f>
        <v>0</v>
      </c>
      <c r="M77" s="96">
        <f t="shared" ca="1" si="17"/>
        <v>0</v>
      </c>
      <c r="N77" s="84">
        <f ca="1">(1-('Invoer gegevens (N)'!$F$20/12))*L77*MIN(BA77,BC77)</f>
        <v>0</v>
      </c>
      <c r="O77" s="84">
        <f t="shared" ca="1" si="18"/>
        <v>0</v>
      </c>
      <c r="P77" s="84">
        <f ca="1">('Invoer gegevens (N)'!$F$20/12)*L76*MIN(BA77,BC77)</f>
        <v>0</v>
      </c>
      <c r="Q77" s="84">
        <f t="shared" ca="1" si="22"/>
        <v>0</v>
      </c>
      <c r="R77" s="85">
        <f ca="1">IF('Invoer gegevens (N)'!$C$17=E77,'Invoer gegevens (N)'!$C$11,IF(C77=1,W76,0))</f>
        <v>0</v>
      </c>
      <c r="S77" s="86">
        <f t="shared" ca="1" si="19"/>
        <v>0</v>
      </c>
      <c r="T77" s="86">
        <f ca="1">(1-('Invoer gegevens (N)'!$F$20/12))*R77*MIN(BC77,BA77)</f>
        <v>0</v>
      </c>
      <c r="U77" s="86">
        <f ca="1">IF(BD77&lt;1,IF('Reeksen (N)'!AD77&lt;='Reeksen (N)'!AE77,R77*'Reeksen (N)'!C77,0),IF(BC77&gt;=BA77,0,IF('Reeksen (N)'!AD77&lt;='Reeksen (N)'!AE77,(BA77-BC77)*R77,0)))</f>
        <v>0</v>
      </c>
      <c r="V77" s="86">
        <f ca="1">IF(BD77&lt;1,IF('Reeksen (N)'!AD77&gt;'Reeksen (N)'!AE77,R77*'Reeksen (N)'!C77,0),IF(BC77&gt;=BA77,0,IF('Reeksen (N)'!AD77&gt;'Reeksen (N)'!AE77,(BA77-BC77)*R77,0)))</f>
        <v>0</v>
      </c>
      <c r="W77" s="218">
        <f t="shared" ca="1" si="23"/>
        <v>0</v>
      </c>
      <c r="X77" s="98">
        <f ca="1">IF('Invoer gegevens (N)'!$C$17=E77,'Invoer gegevens (N)'!$C$10-'Invoer gegevens (N)'!$C$11,IF(C77=1,AC76,0))</f>
        <v>0</v>
      </c>
      <c r="Y77" s="98">
        <f t="shared" ca="1" si="20"/>
        <v>0</v>
      </c>
      <c r="Z77" s="98">
        <f ca="1">(1-('Invoer gegevens (N)'!$F$20/12))*X77*MIN(BA77,BC77)</f>
        <v>0</v>
      </c>
      <c r="AA77" s="98">
        <f ca="1">IF(BD77&lt;1,IF('Reeksen (N)'!AD77&lt;='Reeksen (N)'!AE77,X77*'Reeksen (N)'!C77,0),IF(BC77&gt;=BA77,0,IF('Reeksen (N)'!AD77&lt;='Reeksen (N)'!AE77,(BA77-BC77)*X77,0)))</f>
        <v>0</v>
      </c>
      <c r="AB77" s="98">
        <f ca="1">IF(BD77&lt;1,IF('Reeksen (N)'!AD77&gt;'Reeksen (N)'!AE77,X77*'Reeksen (N)'!C77,0),IF(BC77&gt;=BA77,0,IF('Reeksen (N)'!AD77&gt;'Reeksen (N)'!AE77,(BA77-BC77)*X77,0)))</f>
        <v>0</v>
      </c>
      <c r="AC77" s="99">
        <f t="shared" ca="1" si="24"/>
        <v>0</v>
      </c>
      <c r="AD77" s="98">
        <f ca="1">IF('Invoer gegevens (N)'!$C$17=E77,R77,IF(C77=0,0,AE76))</f>
        <v>0</v>
      </c>
      <c r="AE77" s="98">
        <f t="shared" ca="1" si="25"/>
        <v>0</v>
      </c>
      <c r="AF77" s="98">
        <f ca="1">IF('Invoer gegevens (N)'!$C$17=E77,X77,IF(C77=0,0,AG76))</f>
        <v>0</v>
      </c>
      <c r="AG77" s="98">
        <f t="shared" ca="1" si="26"/>
        <v>0</v>
      </c>
      <c r="AH77" s="66"/>
      <c r="AI77" s="71">
        <f ca="1">IF(C77=1,'Reeksen (N)'!AI77*((F77+K77)/2)*12+'Reeksen (N)'!AD77*((L77+Q77)/2)*12,0)</f>
        <v>0</v>
      </c>
      <c r="AJ77" s="71">
        <f ca="1">-AI77*'Invoer gegevens (N)'!$F$28</f>
        <v>0</v>
      </c>
      <c r="AK77" s="71">
        <f t="shared" ca="1" si="27"/>
        <v>0</v>
      </c>
      <c r="AL77" s="71">
        <f ca="1">IF(C77=1,'Reeksen (N)'!AL77*((F77-G77+F77)/2)*12+'Reeksen (N)'!AM77*((L77-M77+L77)/2)*12,0)</f>
        <v>0</v>
      </c>
      <c r="AM77" s="71">
        <f ca="1">-AL77*'Invoer gegevens (N)'!$F$31</f>
        <v>0</v>
      </c>
      <c r="AN77" s="71">
        <f t="shared" ca="1" si="28"/>
        <v>0</v>
      </c>
      <c r="AO77" s="71">
        <f ca="1">IF(C77=1,(H77+J77+N77+P77)*'Reeksen (N)'!AN77,0)</f>
        <v>0</v>
      </c>
      <c r="AP77" s="71">
        <f ca="1">-IF(C77=1,(H77+J77+N77+P77)*'Hulp - basis'!$O$550*'Reeksen (N)'!H77,0)</f>
        <v>0</v>
      </c>
      <c r="AQ77" s="71">
        <f ca="1">-IF(C77=1,(F77+K77+L77+Q77)/2*'Invoer gegevens (N)'!$F$35*'Reeksen (N)'!J77,0)*2</f>
        <v>0</v>
      </c>
      <c r="AR77" s="71">
        <f ca="1">IF(BD77&lt;1,-IF(C77=1,(G77*'Invoer gegevens (N)'!$F$36)*'Reeksen (N)'!J77,0),0)</f>
        <v>0</v>
      </c>
      <c r="AS77" s="71">
        <f ca="1">-IF(C77=1,(F77+K77+L77+Q77)/2*'Invoer gegevens (N)'!$F$37*'Reeksen (N)'!L77,0)</f>
        <v>0</v>
      </c>
      <c r="AT77" s="71">
        <f ca="1">-IF(C77=1,IF(E77='Invoer gegevens (N)'!$C$17,'Invoer gegevens (N)'!$C$11,AD77)*'Reeksen (N)'!S77*'Invoer gegevens (N)'!$C$18*'Reeksen (N)'!P77,0)</f>
        <v>0</v>
      </c>
      <c r="AU77" s="71">
        <f ca="1">-IF(C77=1,(F77+K77+L77+Q77)/2*'Invoer gegevens (N)'!$F$38*'Reeksen (N)'!H77,0)</f>
        <v>0</v>
      </c>
      <c r="AV77" s="71">
        <v>0</v>
      </c>
      <c r="AW77" s="71">
        <f t="shared" ca="1" si="29"/>
        <v>0</v>
      </c>
      <c r="AX77" s="71">
        <f ca="1">IF(E77&lt;'Invoer gegevens (N)'!$C$17+15,0,IF(E77&gt;'Invoer gegevens (N)'!$C$17+215,0,AW77))</f>
        <v>0</v>
      </c>
      <c r="AY77" s="71">
        <f ca="1">AX77/(1+'Invoer gegevens (N)'!$F$18)^($AZ77-('Invoer gegevens (N)'!$C$17-'Invoer gegevens (N)'!$C$16))/(1+'Invoer gegevens (N)'!$C$39)^('Invoer gegevens (N)'!$C$17-'Invoer gegevens (N)'!$C$16)</f>
        <v>0</v>
      </c>
      <c r="AZ77" s="68">
        <f ca="1">IF(E77-'Invoer gegevens (N)'!$C$17-14.5&lt;0,0,E77-'Invoer gegevens (N)'!$C$17-14.5)</f>
        <v>57.5</v>
      </c>
      <c r="BA77" s="109">
        <f ca="1">IFERROR(VLOOKUP(E77-15,'Reeksen (N)'!$A$5:$D$234,2,FALSE),0)</f>
        <v>0</v>
      </c>
      <c r="BB77" s="109">
        <f ca="1">IFERROR(VLOOKUP(E77-15,'Reeksen (N)'!$A$5:$D$234,3,FALSE),0)</f>
        <v>0</v>
      </c>
      <c r="BC77" s="109">
        <f ca="1">IFERROR(VLOOKUP(E77-15,'Reeksen (N)'!$A$5:$D$234,4,FALSE),0)</f>
        <v>0</v>
      </c>
      <c r="BD77" s="67">
        <f ca="1">IF(E77-'Invoer gegevens (N)'!$C$17&lt;15,0,1)</f>
        <v>1</v>
      </c>
    </row>
    <row r="78" spans="1:56" x14ac:dyDescent="0.25">
      <c r="A78" s="59"/>
      <c r="B78" s="70">
        <f t="shared" si="30"/>
        <v>74</v>
      </c>
      <c r="C78" s="67">
        <f ca="1">IF(E78-'Invoer gegevens (N)'!$C$17&lt;0,0,1)</f>
        <v>1</v>
      </c>
      <c r="D78" s="68">
        <f t="shared" si="31"/>
        <v>73.5</v>
      </c>
      <c r="E78" s="108">
        <f ca="1">IF('Invoer gegevens (N)'!$C$16="","",E77+1)</f>
        <v>2092</v>
      </c>
      <c r="F78" s="84">
        <f ca="1">IF('Invoer gegevens (N)'!$C$17=E78,'Invoer gegevens (N)'!$C$10,IF(C78=1,K77,0))</f>
        <v>0</v>
      </c>
      <c r="G78" s="96">
        <f ca="1">IF(BD78&lt;1,F78*'Reeksen (N)'!C78,IF(C78&gt;=1,F78*BA78,0))</f>
        <v>0</v>
      </c>
      <c r="H78" s="84">
        <f ca="1">(1-('Invoer gegevens (N)'!$F$20/12))*F78*MIN(BA78,BC78)</f>
        <v>0</v>
      </c>
      <c r="I78" s="84">
        <f t="shared" ca="1" si="16"/>
        <v>0</v>
      </c>
      <c r="J78" s="84">
        <f ca="1">('Invoer gegevens (N)'!$F$20/12)*F77*MIN(BA78,BC78)</f>
        <v>0</v>
      </c>
      <c r="K78" s="97">
        <f t="shared" ca="1" si="21"/>
        <v>0</v>
      </c>
      <c r="L78" s="84">
        <f ca="1">IF('Invoer gegevens (N)'!$C$17=E78,0,IF(C78=1,Q77,0))</f>
        <v>0</v>
      </c>
      <c r="M78" s="96">
        <f t="shared" ca="1" si="17"/>
        <v>0</v>
      </c>
      <c r="N78" s="84">
        <f ca="1">(1-('Invoer gegevens (N)'!$F$20/12))*L78*MIN(BA78,BC78)</f>
        <v>0</v>
      </c>
      <c r="O78" s="84">
        <f t="shared" ca="1" si="18"/>
        <v>0</v>
      </c>
      <c r="P78" s="84">
        <f ca="1">('Invoer gegevens (N)'!$F$20/12)*L77*MIN(BA78,BC78)</f>
        <v>0</v>
      </c>
      <c r="Q78" s="84">
        <f t="shared" ca="1" si="22"/>
        <v>0</v>
      </c>
      <c r="R78" s="85">
        <f ca="1">IF('Invoer gegevens (N)'!$C$17=E78,'Invoer gegevens (N)'!$C$11,IF(C78=1,W77,0))</f>
        <v>0</v>
      </c>
      <c r="S78" s="86">
        <f t="shared" ca="1" si="19"/>
        <v>0</v>
      </c>
      <c r="T78" s="86">
        <f ca="1">(1-('Invoer gegevens (N)'!$F$20/12))*R78*MIN(BC78,BA78)</f>
        <v>0</v>
      </c>
      <c r="U78" s="86">
        <f ca="1">IF(BD78&lt;1,IF('Reeksen (N)'!AD78&lt;='Reeksen (N)'!AE78,R78*'Reeksen (N)'!C78,0),IF(BC78&gt;=BA78,0,IF('Reeksen (N)'!AD78&lt;='Reeksen (N)'!AE78,(BA78-BC78)*R78,0)))</f>
        <v>0</v>
      </c>
      <c r="V78" s="86">
        <f ca="1">IF(BD78&lt;1,IF('Reeksen (N)'!AD78&gt;'Reeksen (N)'!AE78,R78*'Reeksen (N)'!C78,0),IF(BC78&gt;=BA78,0,IF('Reeksen (N)'!AD78&gt;'Reeksen (N)'!AE78,(BA78-BC78)*R78,0)))</f>
        <v>0</v>
      </c>
      <c r="W78" s="218">
        <f t="shared" ca="1" si="23"/>
        <v>0</v>
      </c>
      <c r="X78" s="98">
        <f ca="1">IF('Invoer gegevens (N)'!$C$17=E78,'Invoer gegevens (N)'!$C$10-'Invoer gegevens (N)'!$C$11,IF(C78=1,AC77,0))</f>
        <v>0</v>
      </c>
      <c r="Y78" s="98">
        <f t="shared" ca="1" si="20"/>
        <v>0</v>
      </c>
      <c r="Z78" s="98">
        <f ca="1">(1-('Invoer gegevens (N)'!$F$20/12))*X78*MIN(BA78,BC78)</f>
        <v>0</v>
      </c>
      <c r="AA78" s="98">
        <f ca="1">IF(BD78&lt;1,IF('Reeksen (N)'!AD78&lt;='Reeksen (N)'!AE78,X78*'Reeksen (N)'!C78,0),IF(BC78&gt;=BA78,0,IF('Reeksen (N)'!AD78&lt;='Reeksen (N)'!AE78,(BA78-BC78)*X78,0)))</f>
        <v>0</v>
      </c>
      <c r="AB78" s="98">
        <f ca="1">IF(BD78&lt;1,IF('Reeksen (N)'!AD78&gt;'Reeksen (N)'!AE78,X78*'Reeksen (N)'!C78,0),IF(BC78&gt;=BA78,0,IF('Reeksen (N)'!AD78&gt;'Reeksen (N)'!AE78,(BA78-BC78)*X78,0)))</f>
        <v>0</v>
      </c>
      <c r="AC78" s="99">
        <f t="shared" ca="1" si="24"/>
        <v>0</v>
      </c>
      <c r="AD78" s="98">
        <f ca="1">IF('Invoer gegevens (N)'!$C$17=E78,R78,IF(C78=0,0,AE77))</f>
        <v>0</v>
      </c>
      <c r="AE78" s="98">
        <f t="shared" ca="1" si="25"/>
        <v>0</v>
      </c>
      <c r="AF78" s="98">
        <f ca="1">IF('Invoer gegevens (N)'!$C$17=E78,X78,IF(C78=0,0,AG77))</f>
        <v>0</v>
      </c>
      <c r="AG78" s="98">
        <f t="shared" ca="1" si="26"/>
        <v>0</v>
      </c>
      <c r="AH78" s="66"/>
      <c r="AI78" s="71">
        <f ca="1">IF(C78=1,'Reeksen (N)'!AI78*((F78+K78)/2)*12+'Reeksen (N)'!AD78*((L78+Q78)/2)*12,0)</f>
        <v>0</v>
      </c>
      <c r="AJ78" s="71">
        <f ca="1">-AI78*'Invoer gegevens (N)'!$F$28</f>
        <v>0</v>
      </c>
      <c r="AK78" s="71">
        <f t="shared" ca="1" si="27"/>
        <v>0</v>
      </c>
      <c r="AL78" s="71">
        <f ca="1">IF(C78=1,'Reeksen (N)'!AL78*((F78-G78+F78)/2)*12+'Reeksen (N)'!AM78*((L78-M78+L78)/2)*12,0)</f>
        <v>0</v>
      </c>
      <c r="AM78" s="71">
        <f ca="1">-AL78*'Invoer gegevens (N)'!$F$31</f>
        <v>0</v>
      </c>
      <c r="AN78" s="71">
        <f t="shared" ca="1" si="28"/>
        <v>0</v>
      </c>
      <c r="AO78" s="71">
        <f ca="1">IF(C78=1,(H78+J78+N78+P78)*'Reeksen (N)'!AN78,0)</f>
        <v>0</v>
      </c>
      <c r="AP78" s="71">
        <f ca="1">-IF(C78=1,(H78+J78+N78+P78)*'Hulp - basis'!$O$550*'Reeksen (N)'!H78,0)</f>
        <v>0</v>
      </c>
      <c r="AQ78" s="71">
        <f ca="1">-IF(C78=1,(F78+K78+L78+Q78)/2*'Invoer gegevens (N)'!$F$35*'Reeksen (N)'!J78,0)*2</f>
        <v>0</v>
      </c>
      <c r="AR78" s="71">
        <f ca="1">IF(BD78&lt;1,-IF(C78=1,(G78*'Invoer gegevens (N)'!$F$36)*'Reeksen (N)'!J78,0),0)</f>
        <v>0</v>
      </c>
      <c r="AS78" s="71">
        <f ca="1">-IF(C78=1,(F78+K78+L78+Q78)/2*'Invoer gegevens (N)'!$F$37*'Reeksen (N)'!L78,0)</f>
        <v>0</v>
      </c>
      <c r="AT78" s="71">
        <f ca="1">-IF(C78=1,IF(E78='Invoer gegevens (N)'!$C$17,'Invoer gegevens (N)'!$C$11,AD78)*'Reeksen (N)'!S78*'Invoer gegevens (N)'!$C$18*'Reeksen (N)'!P78,0)</f>
        <v>0</v>
      </c>
      <c r="AU78" s="71">
        <f ca="1">-IF(C78=1,(F78+K78+L78+Q78)/2*'Invoer gegevens (N)'!$F$38*'Reeksen (N)'!H78,0)</f>
        <v>0</v>
      </c>
      <c r="AV78" s="71">
        <v>0</v>
      </c>
      <c r="AW78" s="71">
        <f t="shared" ca="1" si="29"/>
        <v>0</v>
      </c>
      <c r="AX78" s="71">
        <f ca="1">IF(E78&lt;'Invoer gegevens (N)'!$C$17+15,0,IF(E78&gt;'Invoer gegevens (N)'!$C$17+215,0,AW78))</f>
        <v>0</v>
      </c>
      <c r="AY78" s="71">
        <f ca="1">AX78/(1+'Invoer gegevens (N)'!$F$18)^($AZ78-('Invoer gegevens (N)'!$C$17-'Invoer gegevens (N)'!$C$16))/(1+'Invoer gegevens (N)'!$C$39)^('Invoer gegevens (N)'!$C$17-'Invoer gegevens (N)'!$C$16)</f>
        <v>0</v>
      </c>
      <c r="AZ78" s="68">
        <f ca="1">IF(E78-'Invoer gegevens (N)'!$C$17-14.5&lt;0,0,E78-'Invoer gegevens (N)'!$C$17-14.5)</f>
        <v>58.5</v>
      </c>
      <c r="BA78" s="109">
        <f ca="1">IFERROR(VLOOKUP(E78-15,'Reeksen (N)'!$A$5:$D$234,2,FALSE),0)</f>
        <v>0</v>
      </c>
      <c r="BB78" s="109">
        <f ca="1">IFERROR(VLOOKUP(E78-15,'Reeksen (N)'!$A$5:$D$234,3,FALSE),0)</f>
        <v>0</v>
      </c>
      <c r="BC78" s="109">
        <f ca="1">IFERROR(VLOOKUP(E78-15,'Reeksen (N)'!$A$5:$D$234,4,FALSE),0)</f>
        <v>0</v>
      </c>
      <c r="BD78" s="67">
        <f ca="1">IF(E78-'Invoer gegevens (N)'!$C$17&lt;15,0,1)</f>
        <v>1</v>
      </c>
    </row>
    <row r="79" spans="1:56" x14ac:dyDescent="0.25">
      <c r="A79" s="59"/>
      <c r="B79" s="70">
        <f t="shared" si="30"/>
        <v>75</v>
      </c>
      <c r="C79" s="67">
        <f ca="1">IF(E79-'Invoer gegevens (N)'!$C$17&lt;0,0,1)</f>
        <v>1</v>
      </c>
      <c r="D79" s="68">
        <f t="shared" si="31"/>
        <v>74.5</v>
      </c>
      <c r="E79" s="108">
        <f ca="1">IF('Invoer gegevens (N)'!$C$16="","",E78+1)</f>
        <v>2093</v>
      </c>
      <c r="F79" s="84">
        <f ca="1">IF('Invoer gegevens (N)'!$C$17=E79,'Invoer gegevens (N)'!$C$10,IF(C79=1,K78,0))</f>
        <v>0</v>
      </c>
      <c r="G79" s="96">
        <f ca="1">IF(BD79&lt;1,F79*'Reeksen (N)'!C79,IF(C79&gt;=1,F79*BA79,0))</f>
        <v>0</v>
      </c>
      <c r="H79" s="84">
        <f ca="1">(1-('Invoer gegevens (N)'!$F$20/12))*F79*MIN(BA79,BC79)</f>
        <v>0</v>
      </c>
      <c r="I79" s="84">
        <f t="shared" ca="1" si="16"/>
        <v>0</v>
      </c>
      <c r="J79" s="84">
        <f ca="1">('Invoer gegevens (N)'!$F$20/12)*F78*MIN(BA79,BC79)</f>
        <v>0</v>
      </c>
      <c r="K79" s="97">
        <f t="shared" ca="1" si="21"/>
        <v>0</v>
      </c>
      <c r="L79" s="84">
        <f ca="1">IF('Invoer gegevens (N)'!$C$17=E79,0,IF(C79=1,Q78,0))</f>
        <v>0</v>
      </c>
      <c r="M79" s="96">
        <f t="shared" ca="1" si="17"/>
        <v>0</v>
      </c>
      <c r="N79" s="84">
        <f ca="1">(1-('Invoer gegevens (N)'!$F$20/12))*L79*MIN(BA79,BC79)</f>
        <v>0</v>
      </c>
      <c r="O79" s="84">
        <f t="shared" ca="1" si="18"/>
        <v>0</v>
      </c>
      <c r="P79" s="84">
        <f ca="1">('Invoer gegevens (N)'!$F$20/12)*L78*MIN(BA79,BC79)</f>
        <v>0</v>
      </c>
      <c r="Q79" s="84">
        <f t="shared" ca="1" si="22"/>
        <v>0</v>
      </c>
      <c r="R79" s="85">
        <f ca="1">IF('Invoer gegevens (N)'!$C$17=E79,'Invoer gegevens (N)'!$C$11,IF(C79=1,W78,0))</f>
        <v>0</v>
      </c>
      <c r="S79" s="86">
        <f t="shared" ca="1" si="19"/>
        <v>0</v>
      </c>
      <c r="T79" s="86">
        <f ca="1">(1-('Invoer gegevens (N)'!$F$20/12))*R79*MIN(BC79,BA79)</f>
        <v>0</v>
      </c>
      <c r="U79" s="86">
        <f ca="1">IF(BD79&lt;1,IF('Reeksen (N)'!AD79&lt;='Reeksen (N)'!AE79,R79*'Reeksen (N)'!C79,0),IF(BC79&gt;=BA79,0,IF('Reeksen (N)'!AD79&lt;='Reeksen (N)'!AE79,(BA79-BC79)*R79,0)))</f>
        <v>0</v>
      </c>
      <c r="V79" s="86">
        <f ca="1">IF(BD79&lt;1,IF('Reeksen (N)'!AD79&gt;'Reeksen (N)'!AE79,R79*'Reeksen (N)'!C79,0),IF(BC79&gt;=BA79,0,IF('Reeksen (N)'!AD79&gt;'Reeksen (N)'!AE79,(BA79-BC79)*R79,0)))</f>
        <v>0</v>
      </c>
      <c r="W79" s="218">
        <f t="shared" ca="1" si="23"/>
        <v>0</v>
      </c>
      <c r="X79" s="98">
        <f ca="1">IF('Invoer gegevens (N)'!$C$17=E79,'Invoer gegevens (N)'!$C$10-'Invoer gegevens (N)'!$C$11,IF(C79=1,AC78,0))</f>
        <v>0</v>
      </c>
      <c r="Y79" s="98">
        <f t="shared" ca="1" si="20"/>
        <v>0</v>
      </c>
      <c r="Z79" s="98">
        <f ca="1">(1-('Invoer gegevens (N)'!$F$20/12))*X79*MIN(BA79,BC79)</f>
        <v>0</v>
      </c>
      <c r="AA79" s="98">
        <f ca="1">IF(BD79&lt;1,IF('Reeksen (N)'!AD79&lt;='Reeksen (N)'!AE79,X79*'Reeksen (N)'!C79,0),IF(BC79&gt;=BA79,0,IF('Reeksen (N)'!AD79&lt;='Reeksen (N)'!AE79,(BA79-BC79)*X79,0)))</f>
        <v>0</v>
      </c>
      <c r="AB79" s="98">
        <f ca="1">IF(BD79&lt;1,IF('Reeksen (N)'!AD79&gt;'Reeksen (N)'!AE79,X79*'Reeksen (N)'!C79,0),IF(BC79&gt;=BA79,0,IF('Reeksen (N)'!AD79&gt;'Reeksen (N)'!AE79,(BA79-BC79)*X79,0)))</f>
        <v>0</v>
      </c>
      <c r="AC79" s="99">
        <f t="shared" ca="1" si="24"/>
        <v>0</v>
      </c>
      <c r="AD79" s="98">
        <f ca="1">IF('Invoer gegevens (N)'!$C$17=E79,R79,IF(C79=0,0,AE78))</f>
        <v>0</v>
      </c>
      <c r="AE79" s="98">
        <f t="shared" ca="1" si="25"/>
        <v>0</v>
      </c>
      <c r="AF79" s="98">
        <f ca="1">IF('Invoer gegevens (N)'!$C$17=E79,X79,IF(C79=0,0,AG78))</f>
        <v>0</v>
      </c>
      <c r="AG79" s="98">
        <f t="shared" ca="1" si="26"/>
        <v>0</v>
      </c>
      <c r="AH79" s="66"/>
      <c r="AI79" s="71">
        <f ca="1">IF(C79=1,'Reeksen (N)'!AI79*((F79+K79)/2)*12+'Reeksen (N)'!AD79*((L79+Q79)/2)*12,0)</f>
        <v>0</v>
      </c>
      <c r="AJ79" s="71">
        <f ca="1">-AI79*'Invoer gegevens (N)'!$F$28</f>
        <v>0</v>
      </c>
      <c r="AK79" s="71">
        <f t="shared" ca="1" si="27"/>
        <v>0</v>
      </c>
      <c r="AL79" s="71">
        <f ca="1">IF(C79=1,'Reeksen (N)'!AL79*((F79-G79+F79)/2)*12+'Reeksen (N)'!AM79*((L79-M79+L79)/2)*12,0)</f>
        <v>0</v>
      </c>
      <c r="AM79" s="71">
        <f ca="1">-AL79*'Invoer gegevens (N)'!$F$31</f>
        <v>0</v>
      </c>
      <c r="AN79" s="71">
        <f t="shared" ca="1" si="28"/>
        <v>0</v>
      </c>
      <c r="AO79" s="71">
        <f ca="1">IF(C79=1,(H79+J79+N79+P79)*'Reeksen (N)'!AN79,0)</f>
        <v>0</v>
      </c>
      <c r="AP79" s="71">
        <f ca="1">-IF(C79=1,(H79+J79+N79+P79)*'Hulp - basis'!$O$550*'Reeksen (N)'!H79,0)</f>
        <v>0</v>
      </c>
      <c r="AQ79" s="71">
        <f ca="1">-IF(C79=1,(F79+K79+L79+Q79)/2*'Invoer gegevens (N)'!$F$35*'Reeksen (N)'!J79,0)*2</f>
        <v>0</v>
      </c>
      <c r="AR79" s="71">
        <f ca="1">IF(BD79&lt;1,-IF(C79=1,(G79*'Invoer gegevens (N)'!$F$36)*'Reeksen (N)'!J79,0),0)</f>
        <v>0</v>
      </c>
      <c r="AS79" s="71">
        <f ca="1">-IF(C79=1,(F79+K79+L79+Q79)/2*'Invoer gegevens (N)'!$F$37*'Reeksen (N)'!L79,0)</f>
        <v>0</v>
      </c>
      <c r="AT79" s="71">
        <f ca="1">-IF(C79=1,IF(E79='Invoer gegevens (N)'!$C$17,'Invoer gegevens (N)'!$C$11,AD79)*'Reeksen (N)'!S79*'Invoer gegevens (N)'!$C$18*'Reeksen (N)'!P79,0)</f>
        <v>0</v>
      </c>
      <c r="AU79" s="71">
        <f ca="1">-IF(C79=1,(F79+K79+L79+Q79)/2*'Invoer gegevens (N)'!$F$38*'Reeksen (N)'!H79,0)</f>
        <v>0</v>
      </c>
      <c r="AV79" s="71">
        <v>0</v>
      </c>
      <c r="AW79" s="71">
        <f t="shared" ca="1" si="29"/>
        <v>0</v>
      </c>
      <c r="AX79" s="71">
        <f ca="1">IF(E79&lt;'Invoer gegevens (N)'!$C$17+15,0,IF(E79&gt;'Invoer gegevens (N)'!$C$17+215,0,AW79))</f>
        <v>0</v>
      </c>
      <c r="AY79" s="71">
        <f ca="1">AX79/(1+'Invoer gegevens (N)'!$F$18)^($AZ79-('Invoer gegevens (N)'!$C$17-'Invoer gegevens (N)'!$C$16))/(1+'Invoer gegevens (N)'!$C$39)^('Invoer gegevens (N)'!$C$17-'Invoer gegevens (N)'!$C$16)</f>
        <v>0</v>
      </c>
      <c r="AZ79" s="68">
        <f ca="1">IF(E79-'Invoer gegevens (N)'!$C$17-14.5&lt;0,0,E79-'Invoer gegevens (N)'!$C$17-14.5)</f>
        <v>59.5</v>
      </c>
      <c r="BA79" s="109">
        <f ca="1">IFERROR(VLOOKUP(E79-15,'Reeksen (N)'!$A$5:$D$234,2,FALSE),0)</f>
        <v>0</v>
      </c>
      <c r="BB79" s="109">
        <f ca="1">IFERROR(VLOOKUP(E79-15,'Reeksen (N)'!$A$5:$D$234,3,FALSE),0)</f>
        <v>0</v>
      </c>
      <c r="BC79" s="109">
        <f ca="1">IFERROR(VLOOKUP(E79-15,'Reeksen (N)'!$A$5:$D$234,4,FALSE),0)</f>
        <v>0</v>
      </c>
      <c r="BD79" s="67">
        <f ca="1">IF(E79-'Invoer gegevens (N)'!$C$17&lt;15,0,1)</f>
        <v>1</v>
      </c>
    </row>
    <row r="80" spans="1:56" x14ac:dyDescent="0.25">
      <c r="A80" s="59"/>
      <c r="B80" s="70">
        <f t="shared" si="30"/>
        <v>76</v>
      </c>
      <c r="C80" s="67">
        <f ca="1">IF(E80-'Invoer gegevens (N)'!$C$17&lt;0,0,1)</f>
        <v>1</v>
      </c>
      <c r="D80" s="68">
        <f t="shared" si="31"/>
        <v>75.5</v>
      </c>
      <c r="E80" s="108">
        <f ca="1">IF('Invoer gegevens (N)'!$C$16="","",E79+1)</f>
        <v>2094</v>
      </c>
      <c r="F80" s="84">
        <f ca="1">IF('Invoer gegevens (N)'!$C$17=E80,'Invoer gegevens (N)'!$C$10,IF(C80=1,K79,0))</f>
        <v>0</v>
      </c>
      <c r="G80" s="96">
        <f ca="1">IF(BD80&lt;1,F80*'Reeksen (N)'!C80,IF(C80&gt;=1,F80*BA80,0))</f>
        <v>0</v>
      </c>
      <c r="H80" s="84">
        <f ca="1">(1-('Invoer gegevens (N)'!$F$20/12))*F80*MIN(BA80,BC80)</f>
        <v>0</v>
      </c>
      <c r="I80" s="84">
        <f t="shared" ca="1" si="16"/>
        <v>0</v>
      </c>
      <c r="J80" s="84">
        <f ca="1">('Invoer gegevens (N)'!$F$20/12)*F79*MIN(BA80,BC80)</f>
        <v>0</v>
      </c>
      <c r="K80" s="97">
        <f t="shared" ca="1" si="21"/>
        <v>0</v>
      </c>
      <c r="L80" s="84">
        <f ca="1">IF('Invoer gegevens (N)'!$C$17=E80,0,IF(C80=1,Q79,0))</f>
        <v>0</v>
      </c>
      <c r="M80" s="96">
        <f t="shared" ca="1" si="17"/>
        <v>0</v>
      </c>
      <c r="N80" s="84">
        <f ca="1">(1-('Invoer gegevens (N)'!$F$20/12))*L80*MIN(BA80,BC80)</f>
        <v>0</v>
      </c>
      <c r="O80" s="84">
        <f t="shared" ca="1" si="18"/>
        <v>0</v>
      </c>
      <c r="P80" s="84">
        <f ca="1">('Invoer gegevens (N)'!$F$20/12)*L79*MIN(BA80,BC80)</f>
        <v>0</v>
      </c>
      <c r="Q80" s="84">
        <f t="shared" ca="1" si="22"/>
        <v>0</v>
      </c>
      <c r="R80" s="85">
        <f ca="1">IF('Invoer gegevens (N)'!$C$17=E80,'Invoer gegevens (N)'!$C$11,IF(C80=1,W79,0))</f>
        <v>0</v>
      </c>
      <c r="S80" s="86">
        <f t="shared" ca="1" si="19"/>
        <v>0</v>
      </c>
      <c r="T80" s="86">
        <f ca="1">(1-('Invoer gegevens (N)'!$F$20/12))*R80*MIN(BC80,BA80)</f>
        <v>0</v>
      </c>
      <c r="U80" s="86">
        <f ca="1">IF(BD80&lt;1,IF('Reeksen (N)'!AD80&lt;='Reeksen (N)'!AE80,R80*'Reeksen (N)'!C80,0),IF(BC80&gt;=BA80,0,IF('Reeksen (N)'!AD80&lt;='Reeksen (N)'!AE80,(BA80-BC80)*R80,0)))</f>
        <v>0</v>
      </c>
      <c r="V80" s="86">
        <f ca="1">IF(BD80&lt;1,IF('Reeksen (N)'!AD80&gt;'Reeksen (N)'!AE80,R80*'Reeksen (N)'!C80,0),IF(BC80&gt;=BA80,0,IF('Reeksen (N)'!AD80&gt;'Reeksen (N)'!AE80,(BA80-BC80)*R80,0)))</f>
        <v>0</v>
      </c>
      <c r="W80" s="218">
        <f t="shared" ca="1" si="23"/>
        <v>0</v>
      </c>
      <c r="X80" s="98">
        <f ca="1">IF('Invoer gegevens (N)'!$C$17=E80,'Invoer gegevens (N)'!$C$10-'Invoer gegevens (N)'!$C$11,IF(C80=1,AC79,0))</f>
        <v>0</v>
      </c>
      <c r="Y80" s="98">
        <f t="shared" ca="1" si="20"/>
        <v>0</v>
      </c>
      <c r="Z80" s="98">
        <f ca="1">(1-('Invoer gegevens (N)'!$F$20/12))*X80*MIN(BA80,BC80)</f>
        <v>0</v>
      </c>
      <c r="AA80" s="98">
        <f ca="1">IF(BD80&lt;1,IF('Reeksen (N)'!AD80&lt;='Reeksen (N)'!AE80,X80*'Reeksen (N)'!C80,0),IF(BC80&gt;=BA80,0,IF('Reeksen (N)'!AD80&lt;='Reeksen (N)'!AE80,(BA80-BC80)*X80,0)))</f>
        <v>0</v>
      </c>
      <c r="AB80" s="98">
        <f ca="1">IF(BD80&lt;1,IF('Reeksen (N)'!AD80&gt;'Reeksen (N)'!AE80,X80*'Reeksen (N)'!C80,0),IF(BC80&gt;=BA80,0,IF('Reeksen (N)'!AD80&gt;'Reeksen (N)'!AE80,(BA80-BC80)*X80,0)))</f>
        <v>0</v>
      </c>
      <c r="AC80" s="99">
        <f t="shared" ca="1" si="24"/>
        <v>0</v>
      </c>
      <c r="AD80" s="98">
        <f ca="1">IF('Invoer gegevens (N)'!$C$17=E80,R80,IF(C80=0,0,AE79))</f>
        <v>0</v>
      </c>
      <c r="AE80" s="98">
        <f t="shared" ca="1" si="25"/>
        <v>0</v>
      </c>
      <c r="AF80" s="98">
        <f ca="1">IF('Invoer gegevens (N)'!$C$17=E80,X80,IF(C80=0,0,AG79))</f>
        <v>0</v>
      </c>
      <c r="AG80" s="98">
        <f t="shared" ca="1" si="26"/>
        <v>0</v>
      </c>
      <c r="AH80" s="66"/>
      <c r="AI80" s="71">
        <f ca="1">IF(C80=1,'Reeksen (N)'!AI80*((F80+K80)/2)*12+'Reeksen (N)'!AD80*((L80+Q80)/2)*12,0)</f>
        <v>0</v>
      </c>
      <c r="AJ80" s="71">
        <f ca="1">-AI80*'Invoer gegevens (N)'!$F$28</f>
        <v>0</v>
      </c>
      <c r="AK80" s="71">
        <f t="shared" ca="1" si="27"/>
        <v>0</v>
      </c>
      <c r="AL80" s="71">
        <f ca="1">IF(C80=1,'Reeksen (N)'!AL80*((F80-G80+F80)/2)*12+'Reeksen (N)'!AM80*((L80-M80+L80)/2)*12,0)</f>
        <v>0</v>
      </c>
      <c r="AM80" s="71">
        <f ca="1">-AL80*'Invoer gegevens (N)'!$F$31</f>
        <v>0</v>
      </c>
      <c r="AN80" s="71">
        <f t="shared" ca="1" si="28"/>
        <v>0</v>
      </c>
      <c r="AO80" s="71">
        <f ca="1">IF(C80=1,(H80+J80+N80+P80)*'Reeksen (N)'!AN80,0)</f>
        <v>0</v>
      </c>
      <c r="AP80" s="71">
        <f ca="1">-IF(C80=1,(H80+J80+N80+P80)*'Hulp - basis'!$O$550*'Reeksen (N)'!H80,0)</f>
        <v>0</v>
      </c>
      <c r="AQ80" s="71">
        <f ca="1">-IF(C80=1,(F80+K80+L80+Q80)/2*'Invoer gegevens (N)'!$F$35*'Reeksen (N)'!J80,0)*2</f>
        <v>0</v>
      </c>
      <c r="AR80" s="71">
        <f ca="1">IF(BD80&lt;1,-IF(C80=1,(G80*'Invoer gegevens (N)'!$F$36)*'Reeksen (N)'!J80,0),0)</f>
        <v>0</v>
      </c>
      <c r="AS80" s="71">
        <f ca="1">-IF(C80=1,(F80+K80+L80+Q80)/2*'Invoer gegevens (N)'!$F$37*'Reeksen (N)'!L80,0)</f>
        <v>0</v>
      </c>
      <c r="AT80" s="71">
        <f ca="1">-IF(C80=1,IF(E80='Invoer gegevens (N)'!$C$17,'Invoer gegevens (N)'!$C$11,AD80)*'Reeksen (N)'!S80*'Invoer gegevens (N)'!$C$18*'Reeksen (N)'!P80,0)</f>
        <v>0</v>
      </c>
      <c r="AU80" s="71">
        <f ca="1">-IF(C80=1,(F80+K80+L80+Q80)/2*'Invoer gegevens (N)'!$F$38*'Reeksen (N)'!H80,0)</f>
        <v>0</v>
      </c>
      <c r="AV80" s="71">
        <v>0</v>
      </c>
      <c r="AW80" s="71">
        <f t="shared" ca="1" si="29"/>
        <v>0</v>
      </c>
      <c r="AX80" s="71">
        <f ca="1">IF(E80&lt;'Invoer gegevens (N)'!$C$17+15,0,IF(E80&gt;'Invoer gegevens (N)'!$C$17+215,0,AW80))</f>
        <v>0</v>
      </c>
      <c r="AY80" s="71">
        <f ca="1">AX80/(1+'Invoer gegevens (N)'!$F$18)^($AZ80-('Invoer gegevens (N)'!$C$17-'Invoer gegevens (N)'!$C$16))/(1+'Invoer gegevens (N)'!$C$39)^('Invoer gegevens (N)'!$C$17-'Invoer gegevens (N)'!$C$16)</f>
        <v>0</v>
      </c>
      <c r="AZ80" s="68">
        <f ca="1">IF(E80-'Invoer gegevens (N)'!$C$17-14.5&lt;0,0,E80-'Invoer gegevens (N)'!$C$17-14.5)</f>
        <v>60.5</v>
      </c>
      <c r="BA80" s="109">
        <f ca="1">IFERROR(VLOOKUP(E80-15,'Reeksen (N)'!$A$5:$D$234,2,FALSE),0)</f>
        <v>0</v>
      </c>
      <c r="BB80" s="109">
        <f ca="1">IFERROR(VLOOKUP(E80-15,'Reeksen (N)'!$A$5:$D$234,3,FALSE),0)</f>
        <v>0</v>
      </c>
      <c r="BC80" s="109">
        <f ca="1">IFERROR(VLOOKUP(E80-15,'Reeksen (N)'!$A$5:$D$234,4,FALSE),0)</f>
        <v>0</v>
      </c>
      <c r="BD80" s="67">
        <f ca="1">IF(E80-'Invoer gegevens (N)'!$C$17&lt;15,0,1)</f>
        <v>1</v>
      </c>
    </row>
    <row r="81" spans="1:56" x14ac:dyDescent="0.25">
      <c r="A81" s="59"/>
      <c r="B81" s="70">
        <f t="shared" si="30"/>
        <v>77</v>
      </c>
      <c r="C81" s="67">
        <f ca="1">IF(E81-'Invoer gegevens (N)'!$C$17&lt;0,0,1)</f>
        <v>1</v>
      </c>
      <c r="D81" s="68">
        <f t="shared" si="31"/>
        <v>76.5</v>
      </c>
      <c r="E81" s="108">
        <f ca="1">IF('Invoer gegevens (N)'!$C$16="","",E80+1)</f>
        <v>2095</v>
      </c>
      <c r="F81" s="84">
        <f ca="1">IF('Invoer gegevens (N)'!$C$17=E81,'Invoer gegevens (N)'!$C$10,IF(C81=1,K80,0))</f>
        <v>0</v>
      </c>
      <c r="G81" s="96">
        <f ca="1">IF(BD81&lt;1,F81*'Reeksen (N)'!C81,IF(C81&gt;=1,F81*BA81,0))</f>
        <v>0</v>
      </c>
      <c r="H81" s="84">
        <f ca="1">(1-('Invoer gegevens (N)'!$F$20/12))*F81*MIN(BA81,BC81)</f>
        <v>0</v>
      </c>
      <c r="I81" s="84">
        <f t="shared" ca="1" si="16"/>
        <v>0</v>
      </c>
      <c r="J81" s="84">
        <f ca="1">('Invoer gegevens (N)'!$F$20/12)*F80*MIN(BA81,BC81)</f>
        <v>0</v>
      </c>
      <c r="K81" s="97">
        <f t="shared" ca="1" si="21"/>
        <v>0</v>
      </c>
      <c r="L81" s="84">
        <f ca="1">IF('Invoer gegevens (N)'!$C$17=E81,0,IF(C81=1,Q80,0))</f>
        <v>0</v>
      </c>
      <c r="M81" s="96">
        <f t="shared" ca="1" si="17"/>
        <v>0</v>
      </c>
      <c r="N81" s="84">
        <f ca="1">(1-('Invoer gegevens (N)'!$F$20/12))*L81*MIN(BA81,BC81)</f>
        <v>0</v>
      </c>
      <c r="O81" s="84">
        <f t="shared" ca="1" si="18"/>
        <v>0</v>
      </c>
      <c r="P81" s="84">
        <f ca="1">('Invoer gegevens (N)'!$F$20/12)*L80*MIN(BA81,BC81)</f>
        <v>0</v>
      </c>
      <c r="Q81" s="84">
        <f t="shared" ca="1" si="22"/>
        <v>0</v>
      </c>
      <c r="R81" s="85">
        <f ca="1">IF('Invoer gegevens (N)'!$C$17=E81,'Invoer gegevens (N)'!$C$11,IF(C81=1,W80,0))</f>
        <v>0</v>
      </c>
      <c r="S81" s="86">
        <f t="shared" ca="1" si="19"/>
        <v>0</v>
      </c>
      <c r="T81" s="86">
        <f ca="1">(1-('Invoer gegevens (N)'!$F$20/12))*R81*MIN(BC81,BA81)</f>
        <v>0</v>
      </c>
      <c r="U81" s="86">
        <f ca="1">IF(BD81&lt;1,IF('Reeksen (N)'!AD81&lt;='Reeksen (N)'!AE81,R81*'Reeksen (N)'!C81,0),IF(BC81&gt;=BA81,0,IF('Reeksen (N)'!AD81&lt;='Reeksen (N)'!AE81,(BA81-BC81)*R81,0)))</f>
        <v>0</v>
      </c>
      <c r="V81" s="86">
        <f ca="1">IF(BD81&lt;1,IF('Reeksen (N)'!AD81&gt;'Reeksen (N)'!AE81,R81*'Reeksen (N)'!C81,0),IF(BC81&gt;=BA81,0,IF('Reeksen (N)'!AD81&gt;'Reeksen (N)'!AE81,(BA81-BC81)*R81,0)))</f>
        <v>0</v>
      </c>
      <c r="W81" s="218">
        <f t="shared" ca="1" si="23"/>
        <v>0</v>
      </c>
      <c r="X81" s="98">
        <f ca="1">IF('Invoer gegevens (N)'!$C$17=E81,'Invoer gegevens (N)'!$C$10-'Invoer gegevens (N)'!$C$11,IF(C81=1,AC80,0))</f>
        <v>0</v>
      </c>
      <c r="Y81" s="98">
        <f t="shared" ca="1" si="20"/>
        <v>0</v>
      </c>
      <c r="Z81" s="98">
        <f ca="1">(1-('Invoer gegevens (N)'!$F$20/12))*X81*MIN(BA81,BC81)</f>
        <v>0</v>
      </c>
      <c r="AA81" s="98">
        <f ca="1">IF(BD81&lt;1,IF('Reeksen (N)'!AD81&lt;='Reeksen (N)'!AE81,X81*'Reeksen (N)'!C81,0),IF(BC81&gt;=BA81,0,IF('Reeksen (N)'!AD81&lt;='Reeksen (N)'!AE81,(BA81-BC81)*X81,0)))</f>
        <v>0</v>
      </c>
      <c r="AB81" s="98">
        <f ca="1">IF(BD81&lt;1,IF('Reeksen (N)'!AD81&gt;'Reeksen (N)'!AE81,X81*'Reeksen (N)'!C81,0),IF(BC81&gt;=BA81,0,IF('Reeksen (N)'!AD81&gt;'Reeksen (N)'!AE81,(BA81-BC81)*X81,0)))</f>
        <v>0</v>
      </c>
      <c r="AC81" s="99">
        <f t="shared" ca="1" si="24"/>
        <v>0</v>
      </c>
      <c r="AD81" s="98">
        <f ca="1">IF('Invoer gegevens (N)'!$C$17=E81,R81,IF(C81=0,0,AE80))</f>
        <v>0</v>
      </c>
      <c r="AE81" s="98">
        <f t="shared" ca="1" si="25"/>
        <v>0</v>
      </c>
      <c r="AF81" s="98">
        <f ca="1">IF('Invoer gegevens (N)'!$C$17=E81,X81,IF(C81=0,0,AG80))</f>
        <v>0</v>
      </c>
      <c r="AG81" s="98">
        <f t="shared" ca="1" si="26"/>
        <v>0</v>
      </c>
      <c r="AH81" s="66"/>
      <c r="AI81" s="71">
        <f ca="1">IF(C81=1,'Reeksen (N)'!AI81*((F81+K81)/2)*12+'Reeksen (N)'!AD81*((L81+Q81)/2)*12,0)</f>
        <v>0</v>
      </c>
      <c r="AJ81" s="71">
        <f ca="1">-AI81*'Invoer gegevens (N)'!$F$28</f>
        <v>0</v>
      </c>
      <c r="AK81" s="71">
        <f t="shared" ca="1" si="27"/>
        <v>0</v>
      </c>
      <c r="AL81" s="71">
        <f ca="1">IF(C81=1,'Reeksen (N)'!AL81*((F81-G81+F81)/2)*12+'Reeksen (N)'!AM81*((L81-M81+L81)/2)*12,0)</f>
        <v>0</v>
      </c>
      <c r="AM81" s="71">
        <f ca="1">-AL81*'Invoer gegevens (N)'!$F$31</f>
        <v>0</v>
      </c>
      <c r="AN81" s="71">
        <f t="shared" ca="1" si="28"/>
        <v>0</v>
      </c>
      <c r="AO81" s="71">
        <f ca="1">IF(C81=1,(H81+J81+N81+P81)*'Reeksen (N)'!AN81,0)</f>
        <v>0</v>
      </c>
      <c r="AP81" s="71">
        <f ca="1">-IF(C81=1,(H81+J81+N81+P81)*'Hulp - basis'!$O$550*'Reeksen (N)'!H81,0)</f>
        <v>0</v>
      </c>
      <c r="AQ81" s="71">
        <f ca="1">-IF(C81=1,(F81+K81+L81+Q81)/2*'Invoer gegevens (N)'!$F$35*'Reeksen (N)'!J81,0)*2</f>
        <v>0</v>
      </c>
      <c r="AR81" s="71">
        <f ca="1">IF(BD81&lt;1,-IF(C81=1,(G81*'Invoer gegevens (N)'!$F$36)*'Reeksen (N)'!J81,0),0)</f>
        <v>0</v>
      </c>
      <c r="AS81" s="71">
        <f ca="1">-IF(C81=1,(F81+K81+L81+Q81)/2*'Invoer gegevens (N)'!$F$37*'Reeksen (N)'!L81,0)</f>
        <v>0</v>
      </c>
      <c r="AT81" s="71">
        <f ca="1">-IF(C81=1,IF(E81='Invoer gegevens (N)'!$C$17,'Invoer gegevens (N)'!$C$11,AD81)*'Reeksen (N)'!S81*'Invoer gegevens (N)'!$C$18*'Reeksen (N)'!P81,0)</f>
        <v>0</v>
      </c>
      <c r="AU81" s="71">
        <f ca="1">-IF(C81=1,(F81+K81+L81+Q81)/2*'Invoer gegevens (N)'!$F$38*'Reeksen (N)'!H81,0)</f>
        <v>0</v>
      </c>
      <c r="AV81" s="71">
        <v>0</v>
      </c>
      <c r="AW81" s="71">
        <f t="shared" ca="1" si="29"/>
        <v>0</v>
      </c>
      <c r="AX81" s="71">
        <f ca="1">IF(E81&lt;'Invoer gegevens (N)'!$C$17+15,0,IF(E81&gt;'Invoer gegevens (N)'!$C$17+215,0,AW81))</f>
        <v>0</v>
      </c>
      <c r="AY81" s="71">
        <f ca="1">AX81/(1+'Invoer gegevens (N)'!$F$18)^($AZ81-('Invoer gegevens (N)'!$C$17-'Invoer gegevens (N)'!$C$16))/(1+'Invoer gegevens (N)'!$C$39)^('Invoer gegevens (N)'!$C$17-'Invoer gegevens (N)'!$C$16)</f>
        <v>0</v>
      </c>
      <c r="AZ81" s="68">
        <f ca="1">IF(E81-'Invoer gegevens (N)'!$C$17-14.5&lt;0,0,E81-'Invoer gegevens (N)'!$C$17-14.5)</f>
        <v>61.5</v>
      </c>
      <c r="BA81" s="109">
        <f ca="1">IFERROR(VLOOKUP(E81-15,'Reeksen (N)'!$A$5:$D$234,2,FALSE),0)</f>
        <v>0</v>
      </c>
      <c r="BB81" s="109">
        <f ca="1">IFERROR(VLOOKUP(E81-15,'Reeksen (N)'!$A$5:$D$234,3,FALSE),0)</f>
        <v>0</v>
      </c>
      <c r="BC81" s="109">
        <f ca="1">IFERROR(VLOOKUP(E81-15,'Reeksen (N)'!$A$5:$D$234,4,FALSE),0)</f>
        <v>0</v>
      </c>
      <c r="BD81" s="67">
        <f ca="1">IF(E81-'Invoer gegevens (N)'!$C$17&lt;15,0,1)</f>
        <v>1</v>
      </c>
    </row>
    <row r="82" spans="1:56" x14ac:dyDescent="0.25">
      <c r="A82" s="59"/>
      <c r="B82" s="70">
        <f t="shared" si="30"/>
        <v>78</v>
      </c>
      <c r="C82" s="67">
        <f ca="1">IF(E82-'Invoer gegevens (N)'!$C$17&lt;0,0,1)</f>
        <v>1</v>
      </c>
      <c r="D82" s="68">
        <f t="shared" si="31"/>
        <v>77.5</v>
      </c>
      <c r="E82" s="108">
        <f ca="1">IF('Invoer gegevens (N)'!$C$16="","",E81+1)</f>
        <v>2096</v>
      </c>
      <c r="F82" s="84">
        <f ca="1">IF('Invoer gegevens (N)'!$C$17=E82,'Invoer gegevens (N)'!$C$10,IF(C82=1,K81,0))</f>
        <v>0</v>
      </c>
      <c r="G82" s="96">
        <f ca="1">IF(BD82&lt;1,F82*'Reeksen (N)'!C82,IF(C82&gt;=1,F82*BA82,0))</f>
        <v>0</v>
      </c>
      <c r="H82" s="84">
        <f ca="1">(1-('Invoer gegevens (N)'!$F$20/12))*F82*MIN(BA82,BC82)</f>
        <v>0</v>
      </c>
      <c r="I82" s="84">
        <f t="shared" ca="1" si="16"/>
        <v>0</v>
      </c>
      <c r="J82" s="84">
        <f ca="1">('Invoer gegevens (N)'!$F$20/12)*F81*MIN(BA82,BC82)</f>
        <v>0</v>
      </c>
      <c r="K82" s="97">
        <f t="shared" ca="1" si="21"/>
        <v>0</v>
      </c>
      <c r="L82" s="84">
        <f ca="1">IF('Invoer gegevens (N)'!$C$17=E82,0,IF(C82=1,Q81,0))</f>
        <v>0</v>
      </c>
      <c r="M82" s="96">
        <f t="shared" ca="1" si="17"/>
        <v>0</v>
      </c>
      <c r="N82" s="84">
        <f ca="1">(1-('Invoer gegevens (N)'!$F$20/12))*L82*MIN(BA82,BC82)</f>
        <v>0</v>
      </c>
      <c r="O82" s="84">
        <f t="shared" ca="1" si="18"/>
        <v>0</v>
      </c>
      <c r="P82" s="84">
        <f ca="1">('Invoer gegevens (N)'!$F$20/12)*L81*MIN(BA82,BC82)</f>
        <v>0</v>
      </c>
      <c r="Q82" s="84">
        <f t="shared" ca="1" si="22"/>
        <v>0</v>
      </c>
      <c r="R82" s="85">
        <f ca="1">IF('Invoer gegevens (N)'!$C$17=E82,'Invoer gegevens (N)'!$C$11,IF(C82=1,W81,0))</f>
        <v>0</v>
      </c>
      <c r="S82" s="86">
        <f t="shared" ca="1" si="19"/>
        <v>0</v>
      </c>
      <c r="T82" s="86">
        <f ca="1">(1-('Invoer gegevens (N)'!$F$20/12))*R82*MIN(BC82,BA82)</f>
        <v>0</v>
      </c>
      <c r="U82" s="86">
        <f ca="1">IF(BD82&lt;1,IF('Reeksen (N)'!AD82&lt;='Reeksen (N)'!AE82,R82*'Reeksen (N)'!C82,0),IF(BC82&gt;=BA82,0,IF('Reeksen (N)'!AD82&lt;='Reeksen (N)'!AE82,(BA82-BC82)*R82,0)))</f>
        <v>0</v>
      </c>
      <c r="V82" s="86">
        <f ca="1">IF(BD82&lt;1,IF('Reeksen (N)'!AD82&gt;'Reeksen (N)'!AE82,R82*'Reeksen (N)'!C82,0),IF(BC82&gt;=BA82,0,IF('Reeksen (N)'!AD82&gt;'Reeksen (N)'!AE82,(BA82-BC82)*R82,0)))</f>
        <v>0</v>
      </c>
      <c r="W82" s="218">
        <f t="shared" ca="1" si="23"/>
        <v>0</v>
      </c>
      <c r="X82" s="98">
        <f ca="1">IF('Invoer gegevens (N)'!$C$17=E82,'Invoer gegevens (N)'!$C$10-'Invoer gegevens (N)'!$C$11,IF(C82=1,AC81,0))</f>
        <v>0</v>
      </c>
      <c r="Y82" s="98">
        <f t="shared" ca="1" si="20"/>
        <v>0</v>
      </c>
      <c r="Z82" s="98">
        <f ca="1">(1-('Invoer gegevens (N)'!$F$20/12))*X82*MIN(BA82,BC82)</f>
        <v>0</v>
      </c>
      <c r="AA82" s="98">
        <f ca="1">IF(BD82&lt;1,IF('Reeksen (N)'!AD82&lt;='Reeksen (N)'!AE82,X82*'Reeksen (N)'!C82,0),IF(BC82&gt;=BA82,0,IF('Reeksen (N)'!AD82&lt;='Reeksen (N)'!AE82,(BA82-BC82)*X82,0)))</f>
        <v>0</v>
      </c>
      <c r="AB82" s="98">
        <f ca="1">IF(BD82&lt;1,IF('Reeksen (N)'!AD82&gt;'Reeksen (N)'!AE82,X82*'Reeksen (N)'!C82,0),IF(BC82&gt;=BA82,0,IF('Reeksen (N)'!AD82&gt;'Reeksen (N)'!AE82,(BA82-BC82)*X82,0)))</f>
        <v>0</v>
      </c>
      <c r="AC82" s="99">
        <f t="shared" ca="1" si="24"/>
        <v>0</v>
      </c>
      <c r="AD82" s="98">
        <f ca="1">IF('Invoer gegevens (N)'!$C$17=E82,R82,IF(C82=0,0,AE81))</f>
        <v>0</v>
      </c>
      <c r="AE82" s="98">
        <f t="shared" ca="1" si="25"/>
        <v>0</v>
      </c>
      <c r="AF82" s="98">
        <f ca="1">IF('Invoer gegevens (N)'!$C$17=E82,X82,IF(C82=0,0,AG81))</f>
        <v>0</v>
      </c>
      <c r="AG82" s="98">
        <f t="shared" ca="1" si="26"/>
        <v>0</v>
      </c>
      <c r="AH82" s="66"/>
      <c r="AI82" s="71">
        <f ca="1">IF(C82=1,'Reeksen (N)'!AI82*((F82+K82)/2)*12+'Reeksen (N)'!AD82*((L82+Q82)/2)*12,0)</f>
        <v>0</v>
      </c>
      <c r="AJ82" s="71">
        <f ca="1">-AI82*'Invoer gegevens (N)'!$F$28</f>
        <v>0</v>
      </c>
      <c r="AK82" s="71">
        <f t="shared" ca="1" si="27"/>
        <v>0</v>
      </c>
      <c r="AL82" s="71">
        <f ca="1">IF(C82=1,'Reeksen (N)'!AL82*((F82-G82+F82)/2)*12+'Reeksen (N)'!AM82*((L82-M82+L82)/2)*12,0)</f>
        <v>0</v>
      </c>
      <c r="AM82" s="71">
        <f ca="1">-AL82*'Invoer gegevens (N)'!$F$31</f>
        <v>0</v>
      </c>
      <c r="AN82" s="71">
        <f t="shared" ca="1" si="28"/>
        <v>0</v>
      </c>
      <c r="AO82" s="71">
        <f ca="1">IF(C82=1,(H82+J82+N82+P82)*'Reeksen (N)'!AN82,0)</f>
        <v>0</v>
      </c>
      <c r="AP82" s="71">
        <f ca="1">-IF(C82=1,(H82+J82+N82+P82)*'Hulp - basis'!$O$550*'Reeksen (N)'!H82,0)</f>
        <v>0</v>
      </c>
      <c r="AQ82" s="71">
        <f ca="1">-IF(C82=1,(F82+K82+L82+Q82)/2*'Invoer gegevens (N)'!$F$35*'Reeksen (N)'!J82,0)*2</f>
        <v>0</v>
      </c>
      <c r="AR82" s="71">
        <f ca="1">IF(BD82&lt;1,-IF(C82=1,(G82*'Invoer gegevens (N)'!$F$36)*'Reeksen (N)'!J82,0),0)</f>
        <v>0</v>
      </c>
      <c r="AS82" s="71">
        <f ca="1">-IF(C82=1,(F82+K82+L82+Q82)/2*'Invoer gegevens (N)'!$F$37*'Reeksen (N)'!L82,0)</f>
        <v>0</v>
      </c>
      <c r="AT82" s="71">
        <f ca="1">-IF(C82=1,IF(E82='Invoer gegevens (N)'!$C$17,'Invoer gegevens (N)'!$C$11,AD82)*'Reeksen (N)'!S82*'Invoer gegevens (N)'!$C$18*'Reeksen (N)'!P82,0)</f>
        <v>0</v>
      </c>
      <c r="AU82" s="71">
        <f ca="1">-IF(C82=1,(F82+K82+L82+Q82)/2*'Invoer gegevens (N)'!$F$38*'Reeksen (N)'!H82,0)</f>
        <v>0</v>
      </c>
      <c r="AV82" s="71">
        <v>0</v>
      </c>
      <c r="AW82" s="71">
        <f t="shared" ca="1" si="29"/>
        <v>0</v>
      </c>
      <c r="AX82" s="71">
        <f ca="1">IF(E82&lt;'Invoer gegevens (N)'!$C$17+15,0,IF(E82&gt;'Invoer gegevens (N)'!$C$17+215,0,AW82))</f>
        <v>0</v>
      </c>
      <c r="AY82" s="71">
        <f ca="1">AX82/(1+'Invoer gegevens (N)'!$F$18)^($AZ82-('Invoer gegevens (N)'!$C$17-'Invoer gegevens (N)'!$C$16))/(1+'Invoer gegevens (N)'!$C$39)^('Invoer gegevens (N)'!$C$17-'Invoer gegevens (N)'!$C$16)</f>
        <v>0</v>
      </c>
      <c r="AZ82" s="68">
        <f ca="1">IF(E82-'Invoer gegevens (N)'!$C$17-14.5&lt;0,0,E82-'Invoer gegevens (N)'!$C$17-14.5)</f>
        <v>62.5</v>
      </c>
      <c r="BA82" s="109">
        <f ca="1">IFERROR(VLOOKUP(E82-15,'Reeksen (N)'!$A$5:$D$234,2,FALSE),0)</f>
        <v>0</v>
      </c>
      <c r="BB82" s="109">
        <f ca="1">IFERROR(VLOOKUP(E82-15,'Reeksen (N)'!$A$5:$D$234,3,FALSE),0)</f>
        <v>0</v>
      </c>
      <c r="BC82" s="109">
        <f ca="1">IFERROR(VLOOKUP(E82-15,'Reeksen (N)'!$A$5:$D$234,4,FALSE),0)</f>
        <v>0</v>
      </c>
      <c r="BD82" s="67">
        <f ca="1">IF(E82-'Invoer gegevens (N)'!$C$17&lt;15,0,1)</f>
        <v>1</v>
      </c>
    </row>
    <row r="83" spans="1:56" x14ac:dyDescent="0.25">
      <c r="A83" s="59"/>
      <c r="B83" s="70">
        <f t="shared" si="30"/>
        <v>79</v>
      </c>
      <c r="C83" s="67">
        <f ca="1">IF(E83-'Invoer gegevens (N)'!$C$17&lt;0,0,1)</f>
        <v>1</v>
      </c>
      <c r="D83" s="68">
        <f t="shared" si="31"/>
        <v>78.5</v>
      </c>
      <c r="E83" s="108">
        <f ca="1">IF('Invoer gegevens (N)'!$C$16="","",E82+1)</f>
        <v>2097</v>
      </c>
      <c r="F83" s="84">
        <f ca="1">IF('Invoer gegevens (N)'!$C$17=E83,'Invoer gegevens (N)'!$C$10,IF(C83=1,K82,0))</f>
        <v>0</v>
      </c>
      <c r="G83" s="96">
        <f ca="1">IF(BD83&lt;1,F83*'Reeksen (N)'!C83,IF(C83&gt;=1,F83*BA83,0))</f>
        <v>0</v>
      </c>
      <c r="H83" s="84">
        <f ca="1">(1-('Invoer gegevens (N)'!$F$20/12))*F83*MIN(BA83,BC83)</f>
        <v>0</v>
      </c>
      <c r="I83" s="84">
        <f t="shared" ca="1" si="16"/>
        <v>0</v>
      </c>
      <c r="J83" s="84">
        <f ca="1">('Invoer gegevens (N)'!$F$20/12)*F82*MIN(BA83,BC83)</f>
        <v>0</v>
      </c>
      <c r="K83" s="97">
        <f t="shared" ca="1" si="21"/>
        <v>0</v>
      </c>
      <c r="L83" s="84">
        <f ca="1">IF('Invoer gegevens (N)'!$C$17=E83,0,IF(C83=1,Q82,0))</f>
        <v>0</v>
      </c>
      <c r="M83" s="96">
        <f t="shared" ca="1" si="17"/>
        <v>0</v>
      </c>
      <c r="N83" s="84">
        <f ca="1">(1-('Invoer gegevens (N)'!$F$20/12))*L83*MIN(BA83,BC83)</f>
        <v>0</v>
      </c>
      <c r="O83" s="84">
        <f t="shared" ca="1" si="18"/>
        <v>0</v>
      </c>
      <c r="P83" s="84">
        <f ca="1">('Invoer gegevens (N)'!$F$20/12)*L82*MIN(BA83,BC83)</f>
        <v>0</v>
      </c>
      <c r="Q83" s="84">
        <f t="shared" ca="1" si="22"/>
        <v>0</v>
      </c>
      <c r="R83" s="85">
        <f ca="1">IF('Invoer gegevens (N)'!$C$17=E83,'Invoer gegevens (N)'!$C$11,IF(C83=1,W82,0))</f>
        <v>0</v>
      </c>
      <c r="S83" s="86">
        <f t="shared" ca="1" si="19"/>
        <v>0</v>
      </c>
      <c r="T83" s="86">
        <f ca="1">(1-('Invoer gegevens (N)'!$F$20/12))*R83*MIN(BC83,BA83)</f>
        <v>0</v>
      </c>
      <c r="U83" s="86">
        <f ca="1">IF(BD83&lt;1,IF('Reeksen (N)'!AD83&lt;='Reeksen (N)'!AE83,R83*'Reeksen (N)'!C83,0),IF(BC83&gt;=BA83,0,IF('Reeksen (N)'!AD83&lt;='Reeksen (N)'!AE83,(BA83-BC83)*R83,0)))</f>
        <v>0</v>
      </c>
      <c r="V83" s="86">
        <f ca="1">IF(BD83&lt;1,IF('Reeksen (N)'!AD83&gt;'Reeksen (N)'!AE83,R83*'Reeksen (N)'!C83,0),IF(BC83&gt;=BA83,0,IF('Reeksen (N)'!AD83&gt;'Reeksen (N)'!AE83,(BA83-BC83)*R83,0)))</f>
        <v>0</v>
      </c>
      <c r="W83" s="218">
        <f t="shared" ca="1" si="23"/>
        <v>0</v>
      </c>
      <c r="X83" s="98">
        <f ca="1">IF('Invoer gegevens (N)'!$C$17=E83,'Invoer gegevens (N)'!$C$10-'Invoer gegevens (N)'!$C$11,IF(C83=1,AC82,0))</f>
        <v>0</v>
      </c>
      <c r="Y83" s="98">
        <f t="shared" ca="1" si="20"/>
        <v>0</v>
      </c>
      <c r="Z83" s="98">
        <f ca="1">(1-('Invoer gegevens (N)'!$F$20/12))*X83*MIN(BA83,BC83)</f>
        <v>0</v>
      </c>
      <c r="AA83" s="98">
        <f ca="1">IF(BD83&lt;1,IF('Reeksen (N)'!AD83&lt;='Reeksen (N)'!AE83,X83*'Reeksen (N)'!C83,0),IF(BC83&gt;=BA83,0,IF('Reeksen (N)'!AD83&lt;='Reeksen (N)'!AE83,(BA83-BC83)*X83,0)))</f>
        <v>0</v>
      </c>
      <c r="AB83" s="98">
        <f ca="1">IF(BD83&lt;1,IF('Reeksen (N)'!AD83&gt;'Reeksen (N)'!AE83,X83*'Reeksen (N)'!C83,0),IF(BC83&gt;=BA83,0,IF('Reeksen (N)'!AD83&gt;'Reeksen (N)'!AE83,(BA83-BC83)*X83,0)))</f>
        <v>0</v>
      </c>
      <c r="AC83" s="99">
        <f t="shared" ca="1" si="24"/>
        <v>0</v>
      </c>
      <c r="AD83" s="98">
        <f ca="1">IF('Invoer gegevens (N)'!$C$17=E83,R83,IF(C83=0,0,AE82))</f>
        <v>0</v>
      </c>
      <c r="AE83" s="98">
        <f t="shared" ca="1" si="25"/>
        <v>0</v>
      </c>
      <c r="AF83" s="98">
        <f ca="1">IF('Invoer gegevens (N)'!$C$17=E83,X83,IF(C83=0,0,AG82))</f>
        <v>0</v>
      </c>
      <c r="AG83" s="98">
        <f t="shared" ca="1" si="26"/>
        <v>0</v>
      </c>
      <c r="AH83" s="66"/>
      <c r="AI83" s="71">
        <f ca="1">IF(C83=1,'Reeksen (N)'!AI83*((F83+K83)/2)*12+'Reeksen (N)'!AD83*((L83+Q83)/2)*12,0)</f>
        <v>0</v>
      </c>
      <c r="AJ83" s="71">
        <f ca="1">-AI83*'Invoer gegevens (N)'!$F$28</f>
        <v>0</v>
      </c>
      <c r="AK83" s="71">
        <f t="shared" ca="1" si="27"/>
        <v>0</v>
      </c>
      <c r="AL83" s="71">
        <f ca="1">IF(C83=1,'Reeksen (N)'!AL83*((F83-G83+F83)/2)*12+'Reeksen (N)'!AM83*((L83-M83+L83)/2)*12,0)</f>
        <v>0</v>
      </c>
      <c r="AM83" s="71">
        <f ca="1">-AL83*'Invoer gegevens (N)'!$F$31</f>
        <v>0</v>
      </c>
      <c r="AN83" s="71">
        <f t="shared" ca="1" si="28"/>
        <v>0</v>
      </c>
      <c r="AO83" s="71">
        <f ca="1">IF(C83=1,(H83+J83+N83+P83)*'Reeksen (N)'!AN83,0)</f>
        <v>0</v>
      </c>
      <c r="AP83" s="71">
        <f ca="1">-IF(C83=1,(H83+J83+N83+P83)*'Hulp - basis'!$O$550*'Reeksen (N)'!H83,0)</f>
        <v>0</v>
      </c>
      <c r="AQ83" s="71">
        <f ca="1">-IF(C83=1,(F83+K83+L83+Q83)/2*'Invoer gegevens (N)'!$F$35*'Reeksen (N)'!J83,0)*2</f>
        <v>0</v>
      </c>
      <c r="AR83" s="71">
        <f ca="1">IF(BD83&lt;1,-IF(C83=1,(G83*'Invoer gegevens (N)'!$F$36)*'Reeksen (N)'!J83,0),0)</f>
        <v>0</v>
      </c>
      <c r="AS83" s="71">
        <f ca="1">-IF(C83=1,(F83+K83+L83+Q83)/2*'Invoer gegevens (N)'!$F$37*'Reeksen (N)'!L83,0)</f>
        <v>0</v>
      </c>
      <c r="AT83" s="71">
        <f ca="1">-IF(C83=1,IF(E83='Invoer gegevens (N)'!$C$17,'Invoer gegevens (N)'!$C$11,AD83)*'Reeksen (N)'!S83*'Invoer gegevens (N)'!$C$18*'Reeksen (N)'!P83,0)</f>
        <v>0</v>
      </c>
      <c r="AU83" s="71">
        <f ca="1">-IF(C83=1,(F83+K83+L83+Q83)/2*'Invoer gegevens (N)'!$F$38*'Reeksen (N)'!H83,0)</f>
        <v>0</v>
      </c>
      <c r="AV83" s="71">
        <v>0</v>
      </c>
      <c r="AW83" s="71">
        <f t="shared" ca="1" si="29"/>
        <v>0</v>
      </c>
      <c r="AX83" s="71">
        <f ca="1">IF(E83&lt;'Invoer gegevens (N)'!$C$17+15,0,IF(E83&gt;'Invoer gegevens (N)'!$C$17+215,0,AW83))</f>
        <v>0</v>
      </c>
      <c r="AY83" s="71">
        <f ca="1">AX83/(1+'Invoer gegevens (N)'!$F$18)^($AZ83-('Invoer gegevens (N)'!$C$17-'Invoer gegevens (N)'!$C$16))/(1+'Invoer gegevens (N)'!$C$39)^('Invoer gegevens (N)'!$C$17-'Invoer gegevens (N)'!$C$16)</f>
        <v>0</v>
      </c>
      <c r="AZ83" s="68">
        <f ca="1">IF(E83-'Invoer gegevens (N)'!$C$17-14.5&lt;0,0,E83-'Invoer gegevens (N)'!$C$17-14.5)</f>
        <v>63.5</v>
      </c>
      <c r="BA83" s="109">
        <f ca="1">IFERROR(VLOOKUP(E83-15,'Reeksen (N)'!$A$5:$D$234,2,FALSE),0)</f>
        <v>0</v>
      </c>
      <c r="BB83" s="109">
        <f ca="1">IFERROR(VLOOKUP(E83-15,'Reeksen (N)'!$A$5:$D$234,3,FALSE),0)</f>
        <v>0</v>
      </c>
      <c r="BC83" s="109">
        <f ca="1">IFERROR(VLOOKUP(E83-15,'Reeksen (N)'!$A$5:$D$234,4,FALSE),0)</f>
        <v>0</v>
      </c>
      <c r="BD83" s="67">
        <f ca="1">IF(E83-'Invoer gegevens (N)'!$C$17&lt;15,0,1)</f>
        <v>1</v>
      </c>
    </row>
    <row r="84" spans="1:56" x14ac:dyDescent="0.25">
      <c r="A84" s="59"/>
      <c r="B84" s="70">
        <f t="shared" si="30"/>
        <v>80</v>
      </c>
      <c r="C84" s="67">
        <f ca="1">IF(E84-'Invoer gegevens (N)'!$C$17&lt;0,0,1)</f>
        <v>1</v>
      </c>
      <c r="D84" s="68">
        <f t="shared" si="31"/>
        <v>79.5</v>
      </c>
      <c r="E84" s="108">
        <f ca="1">IF('Invoer gegevens (N)'!$C$16="","",E83+1)</f>
        <v>2098</v>
      </c>
      <c r="F84" s="84">
        <f ca="1">IF('Invoer gegevens (N)'!$C$17=E84,'Invoer gegevens (N)'!$C$10,IF(C84=1,K83,0))</f>
        <v>0</v>
      </c>
      <c r="G84" s="96">
        <f ca="1">IF(BD84&lt;1,F84*'Reeksen (N)'!C84,IF(C84&gt;=1,F84*BA84,0))</f>
        <v>0</v>
      </c>
      <c r="H84" s="84">
        <f ca="1">(1-('Invoer gegevens (N)'!$F$20/12))*F84*MIN(BA84,BC84)</f>
        <v>0</v>
      </c>
      <c r="I84" s="84">
        <f t="shared" ca="1" si="16"/>
        <v>0</v>
      </c>
      <c r="J84" s="84">
        <f ca="1">('Invoer gegevens (N)'!$F$20/12)*F83*MIN(BA84,BC84)</f>
        <v>0</v>
      </c>
      <c r="K84" s="97">
        <f t="shared" ca="1" si="21"/>
        <v>0</v>
      </c>
      <c r="L84" s="84">
        <f ca="1">IF('Invoer gegevens (N)'!$C$17=E84,0,IF(C84=1,Q83,0))</f>
        <v>0</v>
      </c>
      <c r="M84" s="96">
        <f t="shared" ca="1" si="17"/>
        <v>0</v>
      </c>
      <c r="N84" s="84">
        <f ca="1">(1-('Invoer gegevens (N)'!$F$20/12))*L84*MIN(BA84,BC84)</f>
        <v>0</v>
      </c>
      <c r="O84" s="84">
        <f t="shared" ca="1" si="18"/>
        <v>0</v>
      </c>
      <c r="P84" s="84">
        <f ca="1">('Invoer gegevens (N)'!$F$20/12)*L83*MIN(BA84,BC84)</f>
        <v>0</v>
      </c>
      <c r="Q84" s="84">
        <f t="shared" ca="1" si="22"/>
        <v>0</v>
      </c>
      <c r="R84" s="85">
        <f ca="1">IF('Invoer gegevens (N)'!$C$17=E84,'Invoer gegevens (N)'!$C$11,IF(C84=1,W83,0))</f>
        <v>0</v>
      </c>
      <c r="S84" s="86">
        <f t="shared" ca="1" si="19"/>
        <v>0</v>
      </c>
      <c r="T84" s="86">
        <f ca="1">(1-('Invoer gegevens (N)'!$F$20/12))*R84*MIN(BC84,BA84)</f>
        <v>0</v>
      </c>
      <c r="U84" s="86">
        <f ca="1">IF(BD84&lt;1,IF('Reeksen (N)'!AD84&lt;='Reeksen (N)'!AE84,R84*'Reeksen (N)'!C84,0),IF(BC84&gt;=BA84,0,IF('Reeksen (N)'!AD84&lt;='Reeksen (N)'!AE84,(BA84-BC84)*R84,0)))</f>
        <v>0</v>
      </c>
      <c r="V84" s="86">
        <f ca="1">IF(BD84&lt;1,IF('Reeksen (N)'!AD84&gt;'Reeksen (N)'!AE84,R84*'Reeksen (N)'!C84,0),IF(BC84&gt;=BA84,0,IF('Reeksen (N)'!AD84&gt;'Reeksen (N)'!AE84,(BA84-BC84)*R84,0)))</f>
        <v>0</v>
      </c>
      <c r="W84" s="218">
        <f t="shared" ca="1" si="23"/>
        <v>0</v>
      </c>
      <c r="X84" s="98">
        <f ca="1">IF('Invoer gegevens (N)'!$C$17=E84,'Invoer gegevens (N)'!$C$10-'Invoer gegevens (N)'!$C$11,IF(C84=1,AC83,0))</f>
        <v>0</v>
      </c>
      <c r="Y84" s="98">
        <f t="shared" ca="1" si="20"/>
        <v>0</v>
      </c>
      <c r="Z84" s="98">
        <f ca="1">(1-('Invoer gegevens (N)'!$F$20/12))*X84*MIN(BA84,BC84)</f>
        <v>0</v>
      </c>
      <c r="AA84" s="98">
        <f ca="1">IF(BD84&lt;1,IF('Reeksen (N)'!AD84&lt;='Reeksen (N)'!AE84,X84*'Reeksen (N)'!C84,0),IF(BC84&gt;=BA84,0,IF('Reeksen (N)'!AD84&lt;='Reeksen (N)'!AE84,(BA84-BC84)*X84,0)))</f>
        <v>0</v>
      </c>
      <c r="AB84" s="98">
        <f ca="1">IF(BD84&lt;1,IF('Reeksen (N)'!AD84&gt;'Reeksen (N)'!AE84,X84*'Reeksen (N)'!C84,0),IF(BC84&gt;=BA84,0,IF('Reeksen (N)'!AD84&gt;'Reeksen (N)'!AE84,(BA84-BC84)*X84,0)))</f>
        <v>0</v>
      </c>
      <c r="AC84" s="99">
        <f t="shared" ca="1" si="24"/>
        <v>0</v>
      </c>
      <c r="AD84" s="98">
        <f ca="1">IF('Invoer gegevens (N)'!$C$17=E84,R84,IF(C84=0,0,AE83))</f>
        <v>0</v>
      </c>
      <c r="AE84" s="98">
        <f t="shared" ca="1" si="25"/>
        <v>0</v>
      </c>
      <c r="AF84" s="98">
        <f ca="1">IF('Invoer gegevens (N)'!$C$17=E84,X84,IF(C84=0,0,AG83))</f>
        <v>0</v>
      </c>
      <c r="AG84" s="98">
        <f t="shared" ca="1" si="26"/>
        <v>0</v>
      </c>
      <c r="AH84" s="66"/>
      <c r="AI84" s="71">
        <f ca="1">IF(C84=1,'Reeksen (N)'!AI84*((F84+K84)/2)*12+'Reeksen (N)'!AD84*((L84+Q84)/2)*12,0)</f>
        <v>0</v>
      </c>
      <c r="AJ84" s="71">
        <f ca="1">-AI84*'Invoer gegevens (N)'!$F$28</f>
        <v>0</v>
      </c>
      <c r="AK84" s="71">
        <f t="shared" ca="1" si="27"/>
        <v>0</v>
      </c>
      <c r="AL84" s="71">
        <f ca="1">IF(C84=1,'Reeksen (N)'!AL84*((F84-G84+F84)/2)*12+'Reeksen (N)'!AM84*((L84-M84+L84)/2)*12,0)</f>
        <v>0</v>
      </c>
      <c r="AM84" s="71">
        <f ca="1">-AL84*'Invoer gegevens (N)'!$F$31</f>
        <v>0</v>
      </c>
      <c r="AN84" s="71">
        <f t="shared" ca="1" si="28"/>
        <v>0</v>
      </c>
      <c r="AO84" s="71">
        <f ca="1">IF(C84=1,(H84+J84+N84+P84)*'Reeksen (N)'!AN84,0)</f>
        <v>0</v>
      </c>
      <c r="AP84" s="71">
        <f ca="1">-IF(C84=1,(H84+J84+N84+P84)*'Hulp - basis'!$O$550*'Reeksen (N)'!H84,0)</f>
        <v>0</v>
      </c>
      <c r="AQ84" s="71">
        <f ca="1">-IF(C84=1,(F84+K84+L84+Q84)/2*'Invoer gegevens (N)'!$F$35*'Reeksen (N)'!J84,0)*2</f>
        <v>0</v>
      </c>
      <c r="AR84" s="71">
        <f ca="1">IF(BD84&lt;1,-IF(C84=1,(G84*'Invoer gegevens (N)'!$F$36)*'Reeksen (N)'!J84,0),0)</f>
        <v>0</v>
      </c>
      <c r="AS84" s="71">
        <f ca="1">-IF(C84=1,(F84+K84+L84+Q84)/2*'Invoer gegevens (N)'!$F$37*'Reeksen (N)'!L84,0)</f>
        <v>0</v>
      </c>
      <c r="AT84" s="71">
        <f ca="1">-IF(C84=1,IF(E84='Invoer gegevens (N)'!$C$17,'Invoer gegevens (N)'!$C$11,AD84)*'Reeksen (N)'!S84*'Invoer gegevens (N)'!$C$18*'Reeksen (N)'!P84,0)</f>
        <v>0</v>
      </c>
      <c r="AU84" s="71">
        <f ca="1">-IF(C84=1,(F84+K84+L84+Q84)/2*'Invoer gegevens (N)'!$F$38*'Reeksen (N)'!H84,0)</f>
        <v>0</v>
      </c>
      <c r="AV84" s="71">
        <v>0</v>
      </c>
      <c r="AW84" s="71">
        <f t="shared" ca="1" si="29"/>
        <v>0</v>
      </c>
      <c r="AX84" s="71">
        <f ca="1">IF(E84&lt;'Invoer gegevens (N)'!$C$17+15,0,IF(E84&gt;'Invoer gegevens (N)'!$C$17+215,0,AW84))</f>
        <v>0</v>
      </c>
      <c r="AY84" s="71">
        <f ca="1">AX84/(1+'Invoer gegevens (N)'!$F$18)^($AZ84-('Invoer gegevens (N)'!$C$17-'Invoer gegevens (N)'!$C$16))/(1+'Invoer gegevens (N)'!$C$39)^('Invoer gegevens (N)'!$C$17-'Invoer gegevens (N)'!$C$16)</f>
        <v>0</v>
      </c>
      <c r="AZ84" s="68">
        <f ca="1">IF(E84-'Invoer gegevens (N)'!$C$17-14.5&lt;0,0,E84-'Invoer gegevens (N)'!$C$17-14.5)</f>
        <v>64.5</v>
      </c>
      <c r="BA84" s="109">
        <f ca="1">IFERROR(VLOOKUP(E84-15,'Reeksen (N)'!$A$5:$D$234,2,FALSE),0)</f>
        <v>0</v>
      </c>
      <c r="BB84" s="109">
        <f ca="1">IFERROR(VLOOKUP(E84-15,'Reeksen (N)'!$A$5:$D$234,3,FALSE),0)</f>
        <v>0</v>
      </c>
      <c r="BC84" s="109">
        <f ca="1">IFERROR(VLOOKUP(E84-15,'Reeksen (N)'!$A$5:$D$234,4,FALSE),0)</f>
        <v>0</v>
      </c>
      <c r="BD84" s="67">
        <f ca="1">IF(E84-'Invoer gegevens (N)'!$C$17&lt;15,0,1)</f>
        <v>1</v>
      </c>
    </row>
    <row r="85" spans="1:56" x14ac:dyDescent="0.25">
      <c r="A85" s="59"/>
      <c r="B85" s="70">
        <f t="shared" si="30"/>
        <v>81</v>
      </c>
      <c r="C85" s="67">
        <f ca="1">IF(E85-'Invoer gegevens (N)'!$C$17&lt;0,0,1)</f>
        <v>1</v>
      </c>
      <c r="D85" s="68">
        <f t="shared" si="31"/>
        <v>80.5</v>
      </c>
      <c r="E85" s="108">
        <f ca="1">IF('Invoer gegevens (N)'!$C$16="","",E84+1)</f>
        <v>2099</v>
      </c>
      <c r="F85" s="84">
        <f ca="1">IF('Invoer gegevens (N)'!$C$17=E85,'Invoer gegevens (N)'!$C$10,IF(C85=1,K84,0))</f>
        <v>0</v>
      </c>
      <c r="G85" s="96">
        <f ca="1">IF(BD85&lt;1,F85*'Reeksen (N)'!C85,IF(C85&gt;=1,F85*BA85,0))</f>
        <v>0</v>
      </c>
      <c r="H85" s="84">
        <f ca="1">(1-('Invoer gegevens (N)'!$F$20/12))*F85*MIN(BA85,BC85)</f>
        <v>0</v>
      </c>
      <c r="I85" s="84">
        <f t="shared" ca="1" si="16"/>
        <v>0</v>
      </c>
      <c r="J85" s="84">
        <f ca="1">('Invoer gegevens (N)'!$F$20/12)*F84*MIN(BA85,BC85)</f>
        <v>0</v>
      </c>
      <c r="K85" s="97">
        <f t="shared" ca="1" si="21"/>
        <v>0</v>
      </c>
      <c r="L85" s="84">
        <f ca="1">IF('Invoer gegevens (N)'!$C$17=E85,0,IF(C85=1,Q84,0))</f>
        <v>0</v>
      </c>
      <c r="M85" s="96">
        <f t="shared" ca="1" si="17"/>
        <v>0</v>
      </c>
      <c r="N85" s="84">
        <f ca="1">(1-('Invoer gegevens (N)'!$F$20/12))*L85*MIN(BA85,BC85)</f>
        <v>0</v>
      </c>
      <c r="O85" s="84">
        <f t="shared" ca="1" si="18"/>
        <v>0</v>
      </c>
      <c r="P85" s="84">
        <f ca="1">('Invoer gegevens (N)'!$F$20/12)*L84*MIN(BA85,BC85)</f>
        <v>0</v>
      </c>
      <c r="Q85" s="84">
        <f t="shared" ca="1" si="22"/>
        <v>0</v>
      </c>
      <c r="R85" s="85">
        <f ca="1">IF('Invoer gegevens (N)'!$C$17=E85,'Invoer gegevens (N)'!$C$11,IF(C85=1,W84,0))</f>
        <v>0</v>
      </c>
      <c r="S85" s="86">
        <f t="shared" ca="1" si="19"/>
        <v>0</v>
      </c>
      <c r="T85" s="86">
        <f ca="1">(1-('Invoer gegevens (N)'!$F$20/12))*R85*MIN(BC85,BA85)</f>
        <v>0</v>
      </c>
      <c r="U85" s="86">
        <f ca="1">IF(BD85&lt;1,IF('Reeksen (N)'!AD85&lt;='Reeksen (N)'!AE85,R85*'Reeksen (N)'!C85,0),IF(BC85&gt;=BA85,0,IF('Reeksen (N)'!AD85&lt;='Reeksen (N)'!AE85,(BA85-BC85)*R85,0)))</f>
        <v>0</v>
      </c>
      <c r="V85" s="86">
        <f ca="1">IF(BD85&lt;1,IF('Reeksen (N)'!AD85&gt;'Reeksen (N)'!AE85,R85*'Reeksen (N)'!C85,0),IF(BC85&gt;=BA85,0,IF('Reeksen (N)'!AD85&gt;'Reeksen (N)'!AE85,(BA85-BC85)*R85,0)))</f>
        <v>0</v>
      </c>
      <c r="W85" s="218">
        <f t="shared" ca="1" si="23"/>
        <v>0</v>
      </c>
      <c r="X85" s="98">
        <f ca="1">IF('Invoer gegevens (N)'!$C$17=E85,'Invoer gegevens (N)'!$C$10-'Invoer gegevens (N)'!$C$11,IF(C85=1,AC84,0))</f>
        <v>0</v>
      </c>
      <c r="Y85" s="98">
        <f t="shared" ca="1" si="20"/>
        <v>0</v>
      </c>
      <c r="Z85" s="98">
        <f ca="1">(1-('Invoer gegevens (N)'!$F$20/12))*X85*MIN(BA85,BC85)</f>
        <v>0</v>
      </c>
      <c r="AA85" s="98">
        <f ca="1">IF(BD85&lt;1,IF('Reeksen (N)'!AD85&lt;='Reeksen (N)'!AE85,X85*'Reeksen (N)'!C85,0),IF(BC85&gt;=BA85,0,IF('Reeksen (N)'!AD85&lt;='Reeksen (N)'!AE85,(BA85-BC85)*X85,0)))</f>
        <v>0</v>
      </c>
      <c r="AB85" s="98">
        <f ca="1">IF(BD85&lt;1,IF('Reeksen (N)'!AD85&gt;'Reeksen (N)'!AE85,X85*'Reeksen (N)'!C85,0),IF(BC85&gt;=BA85,0,IF('Reeksen (N)'!AD85&gt;'Reeksen (N)'!AE85,(BA85-BC85)*X85,0)))</f>
        <v>0</v>
      </c>
      <c r="AC85" s="99">
        <f t="shared" ca="1" si="24"/>
        <v>0</v>
      </c>
      <c r="AD85" s="98">
        <f ca="1">IF('Invoer gegevens (N)'!$C$17=E85,R85,IF(C85=0,0,AE84))</f>
        <v>0</v>
      </c>
      <c r="AE85" s="98">
        <f t="shared" ca="1" si="25"/>
        <v>0</v>
      </c>
      <c r="AF85" s="98">
        <f ca="1">IF('Invoer gegevens (N)'!$C$17=E85,X85,IF(C85=0,0,AG84))</f>
        <v>0</v>
      </c>
      <c r="AG85" s="98">
        <f t="shared" ca="1" si="26"/>
        <v>0</v>
      </c>
      <c r="AH85" s="66"/>
      <c r="AI85" s="71">
        <f ca="1">IF(C85=1,'Reeksen (N)'!AI85*((F85+K85)/2)*12+'Reeksen (N)'!AD85*((L85+Q85)/2)*12,0)</f>
        <v>0</v>
      </c>
      <c r="AJ85" s="71">
        <f ca="1">-AI85*'Invoer gegevens (N)'!$F$28</f>
        <v>0</v>
      </c>
      <c r="AK85" s="71">
        <f t="shared" ca="1" si="27"/>
        <v>0</v>
      </c>
      <c r="AL85" s="71">
        <f ca="1">IF(C85=1,'Reeksen (N)'!AL85*((F85-G85+F85)/2)*12+'Reeksen (N)'!AM85*((L85-M85+L85)/2)*12,0)</f>
        <v>0</v>
      </c>
      <c r="AM85" s="71">
        <f ca="1">-AL85*'Invoer gegevens (N)'!$F$31</f>
        <v>0</v>
      </c>
      <c r="AN85" s="71">
        <f t="shared" ca="1" si="28"/>
        <v>0</v>
      </c>
      <c r="AO85" s="71">
        <f ca="1">IF(C85=1,(H85+J85+N85+P85)*'Reeksen (N)'!AN85,0)</f>
        <v>0</v>
      </c>
      <c r="AP85" s="71">
        <f ca="1">-IF(C85=1,(H85+J85+N85+P85)*'Hulp - basis'!$O$550*'Reeksen (N)'!H85,0)</f>
        <v>0</v>
      </c>
      <c r="AQ85" s="71">
        <f ca="1">-IF(C85=1,(F85+K85+L85+Q85)/2*'Invoer gegevens (N)'!$F$35*'Reeksen (N)'!J85,0)*2</f>
        <v>0</v>
      </c>
      <c r="AR85" s="71">
        <f ca="1">IF(BD85&lt;1,-IF(C85=1,(G85*'Invoer gegevens (N)'!$F$36)*'Reeksen (N)'!J85,0),0)</f>
        <v>0</v>
      </c>
      <c r="AS85" s="71">
        <f ca="1">-IF(C85=1,(F85+K85+L85+Q85)/2*'Invoer gegevens (N)'!$F$37*'Reeksen (N)'!L85,0)</f>
        <v>0</v>
      </c>
      <c r="AT85" s="71">
        <f ca="1">-IF(C85=1,IF(E85='Invoer gegevens (N)'!$C$17,'Invoer gegevens (N)'!$C$11,AD85)*'Reeksen (N)'!S85*'Invoer gegevens (N)'!$C$18*'Reeksen (N)'!P85,0)</f>
        <v>0</v>
      </c>
      <c r="AU85" s="71">
        <f ca="1">-IF(C85=1,(F85+K85+L85+Q85)/2*'Invoer gegevens (N)'!$F$38*'Reeksen (N)'!H85,0)</f>
        <v>0</v>
      </c>
      <c r="AV85" s="71">
        <v>0</v>
      </c>
      <c r="AW85" s="71">
        <f t="shared" ca="1" si="29"/>
        <v>0</v>
      </c>
      <c r="AX85" s="71">
        <f ca="1">IF(E85&lt;'Invoer gegevens (N)'!$C$17+15,0,IF(E85&gt;'Invoer gegevens (N)'!$C$17+215,0,AW85))</f>
        <v>0</v>
      </c>
      <c r="AY85" s="71">
        <f ca="1">AX85/(1+'Invoer gegevens (N)'!$F$18)^($AZ85-('Invoer gegevens (N)'!$C$17-'Invoer gegevens (N)'!$C$16))/(1+'Invoer gegevens (N)'!$C$39)^('Invoer gegevens (N)'!$C$17-'Invoer gegevens (N)'!$C$16)</f>
        <v>0</v>
      </c>
      <c r="AZ85" s="68">
        <f ca="1">IF(E85-'Invoer gegevens (N)'!$C$17-14.5&lt;0,0,E85-'Invoer gegevens (N)'!$C$17-14.5)</f>
        <v>65.5</v>
      </c>
      <c r="BA85" s="109">
        <f ca="1">IFERROR(VLOOKUP(E85-15,'Reeksen (N)'!$A$5:$D$234,2,FALSE),0)</f>
        <v>0</v>
      </c>
      <c r="BB85" s="109">
        <f ca="1">IFERROR(VLOOKUP(E85-15,'Reeksen (N)'!$A$5:$D$234,3,FALSE),0)</f>
        <v>0</v>
      </c>
      <c r="BC85" s="109">
        <f ca="1">IFERROR(VLOOKUP(E85-15,'Reeksen (N)'!$A$5:$D$234,4,FALSE),0)</f>
        <v>0</v>
      </c>
      <c r="BD85" s="67">
        <f ca="1">IF(E85-'Invoer gegevens (N)'!$C$17&lt;15,0,1)</f>
        <v>1</v>
      </c>
    </row>
    <row r="86" spans="1:56" x14ac:dyDescent="0.25">
      <c r="A86" s="59"/>
      <c r="B86" s="70">
        <f t="shared" si="30"/>
        <v>82</v>
      </c>
      <c r="C86" s="67">
        <f ca="1">IF(E86-'Invoer gegevens (N)'!$C$17&lt;0,0,1)</f>
        <v>1</v>
      </c>
      <c r="D86" s="68">
        <f t="shared" si="31"/>
        <v>81.5</v>
      </c>
      <c r="E86" s="108">
        <f ca="1">IF('Invoer gegevens (N)'!$C$16="","",E85+1)</f>
        <v>2100</v>
      </c>
      <c r="F86" s="84">
        <f ca="1">IF('Invoer gegevens (N)'!$C$17=E86,'Invoer gegevens (N)'!$C$10,IF(C86=1,K85,0))</f>
        <v>0</v>
      </c>
      <c r="G86" s="96">
        <f ca="1">IF(BD86&lt;1,F86*'Reeksen (N)'!C86,IF(C86&gt;=1,F86*BA86,0))</f>
        <v>0</v>
      </c>
      <c r="H86" s="84">
        <f ca="1">(1-('Invoer gegevens (N)'!$F$20/12))*F86*MIN(BA86,BC86)</f>
        <v>0</v>
      </c>
      <c r="I86" s="84">
        <f t="shared" ca="1" si="16"/>
        <v>0</v>
      </c>
      <c r="J86" s="84">
        <f ca="1">('Invoer gegevens (N)'!$F$20/12)*F85*MIN(BA86,BC86)</f>
        <v>0</v>
      </c>
      <c r="K86" s="97">
        <f t="shared" ca="1" si="21"/>
        <v>0</v>
      </c>
      <c r="L86" s="84">
        <f ca="1">IF('Invoer gegevens (N)'!$C$17=E86,0,IF(C86=1,Q85,0))</f>
        <v>0</v>
      </c>
      <c r="M86" s="96">
        <f t="shared" ca="1" si="17"/>
        <v>0</v>
      </c>
      <c r="N86" s="84">
        <f ca="1">(1-('Invoer gegevens (N)'!$F$20/12))*L86*MIN(BA86,BC86)</f>
        <v>0</v>
      </c>
      <c r="O86" s="84">
        <f t="shared" ca="1" si="18"/>
        <v>0</v>
      </c>
      <c r="P86" s="84">
        <f ca="1">('Invoer gegevens (N)'!$F$20/12)*L85*MIN(BA86,BC86)</f>
        <v>0</v>
      </c>
      <c r="Q86" s="84">
        <f t="shared" ca="1" si="22"/>
        <v>0</v>
      </c>
      <c r="R86" s="85">
        <f ca="1">IF('Invoer gegevens (N)'!$C$17=E86,'Invoer gegevens (N)'!$C$11,IF(C86=1,W85,0))</f>
        <v>0</v>
      </c>
      <c r="S86" s="86">
        <f t="shared" ca="1" si="19"/>
        <v>0</v>
      </c>
      <c r="T86" s="86">
        <f ca="1">(1-('Invoer gegevens (N)'!$F$20/12))*R86*MIN(BC86,BA86)</f>
        <v>0</v>
      </c>
      <c r="U86" s="86">
        <f ca="1">IF(BD86&lt;1,IF('Reeksen (N)'!AD86&lt;='Reeksen (N)'!AE86,R86*'Reeksen (N)'!C86,0),IF(BC86&gt;=BA86,0,IF('Reeksen (N)'!AD86&lt;='Reeksen (N)'!AE86,(BA86-BC86)*R86,0)))</f>
        <v>0</v>
      </c>
      <c r="V86" s="86">
        <f ca="1">IF(BD86&lt;1,IF('Reeksen (N)'!AD86&gt;'Reeksen (N)'!AE86,R86*'Reeksen (N)'!C86,0),IF(BC86&gt;=BA86,0,IF('Reeksen (N)'!AD86&gt;'Reeksen (N)'!AE86,(BA86-BC86)*R86,0)))</f>
        <v>0</v>
      </c>
      <c r="W86" s="218">
        <f t="shared" ca="1" si="23"/>
        <v>0</v>
      </c>
      <c r="X86" s="98">
        <f ca="1">IF('Invoer gegevens (N)'!$C$17=E86,'Invoer gegevens (N)'!$C$10-'Invoer gegevens (N)'!$C$11,IF(C86=1,AC85,0))</f>
        <v>0</v>
      </c>
      <c r="Y86" s="98">
        <f t="shared" ca="1" si="20"/>
        <v>0</v>
      </c>
      <c r="Z86" s="98">
        <f ca="1">(1-('Invoer gegevens (N)'!$F$20/12))*X86*MIN(BA86,BC86)</f>
        <v>0</v>
      </c>
      <c r="AA86" s="98">
        <f ca="1">IF(BD86&lt;1,IF('Reeksen (N)'!AD86&lt;='Reeksen (N)'!AE86,X86*'Reeksen (N)'!C86,0),IF(BC86&gt;=BA86,0,IF('Reeksen (N)'!AD86&lt;='Reeksen (N)'!AE86,(BA86-BC86)*X86,0)))</f>
        <v>0</v>
      </c>
      <c r="AB86" s="98">
        <f ca="1">IF(BD86&lt;1,IF('Reeksen (N)'!AD86&gt;'Reeksen (N)'!AE86,X86*'Reeksen (N)'!C86,0),IF(BC86&gt;=BA86,0,IF('Reeksen (N)'!AD86&gt;'Reeksen (N)'!AE86,(BA86-BC86)*X86,0)))</f>
        <v>0</v>
      </c>
      <c r="AC86" s="99">
        <f t="shared" ca="1" si="24"/>
        <v>0</v>
      </c>
      <c r="AD86" s="98">
        <f ca="1">IF('Invoer gegevens (N)'!$C$17=E86,R86,IF(C86=0,0,AE85))</f>
        <v>0</v>
      </c>
      <c r="AE86" s="98">
        <f t="shared" ca="1" si="25"/>
        <v>0</v>
      </c>
      <c r="AF86" s="98">
        <f ca="1">IF('Invoer gegevens (N)'!$C$17=E86,X86,IF(C86=0,0,AG85))</f>
        <v>0</v>
      </c>
      <c r="AG86" s="98">
        <f t="shared" ca="1" si="26"/>
        <v>0</v>
      </c>
      <c r="AH86" s="66"/>
      <c r="AI86" s="71">
        <f ca="1">IF(C86=1,'Reeksen (N)'!AI86*((F86+K86)/2)*12+'Reeksen (N)'!AD86*((L86+Q86)/2)*12,0)</f>
        <v>0</v>
      </c>
      <c r="AJ86" s="71">
        <f ca="1">-AI86*'Invoer gegevens (N)'!$F$28</f>
        <v>0</v>
      </c>
      <c r="AK86" s="71">
        <f t="shared" ca="1" si="27"/>
        <v>0</v>
      </c>
      <c r="AL86" s="71">
        <f ca="1">IF(C86=1,'Reeksen (N)'!AL86*((F86-G86+F86)/2)*12+'Reeksen (N)'!AM86*((L86-M86+L86)/2)*12,0)</f>
        <v>0</v>
      </c>
      <c r="AM86" s="71">
        <f ca="1">-AL86*'Invoer gegevens (N)'!$F$31</f>
        <v>0</v>
      </c>
      <c r="AN86" s="71">
        <f t="shared" ca="1" si="28"/>
        <v>0</v>
      </c>
      <c r="AO86" s="71">
        <f ca="1">IF(C86=1,(H86+J86+N86+P86)*'Reeksen (N)'!AN86,0)</f>
        <v>0</v>
      </c>
      <c r="AP86" s="71">
        <f ca="1">-IF(C86=1,(H86+J86+N86+P86)*'Hulp - basis'!$O$550*'Reeksen (N)'!H86,0)</f>
        <v>0</v>
      </c>
      <c r="AQ86" s="71">
        <f ca="1">-IF(C86=1,(F86+K86+L86+Q86)/2*'Invoer gegevens (N)'!$F$35*'Reeksen (N)'!J86,0)*2</f>
        <v>0</v>
      </c>
      <c r="AR86" s="71">
        <f ca="1">IF(BD86&lt;1,-IF(C86=1,(G86*'Invoer gegevens (N)'!$F$36)*'Reeksen (N)'!J86,0),0)</f>
        <v>0</v>
      </c>
      <c r="AS86" s="71">
        <f ca="1">-IF(C86=1,(F86+K86+L86+Q86)/2*'Invoer gegevens (N)'!$F$37*'Reeksen (N)'!L86,0)</f>
        <v>0</v>
      </c>
      <c r="AT86" s="71">
        <f ca="1">-IF(C86=1,IF(E86='Invoer gegevens (N)'!$C$17,'Invoer gegevens (N)'!$C$11,AD86)*'Reeksen (N)'!S86*'Invoer gegevens (N)'!$C$18*'Reeksen (N)'!P86,0)</f>
        <v>0</v>
      </c>
      <c r="AU86" s="71">
        <f ca="1">-IF(C86=1,(F86+K86+L86+Q86)/2*'Invoer gegevens (N)'!$F$38*'Reeksen (N)'!H86,0)</f>
        <v>0</v>
      </c>
      <c r="AV86" s="71">
        <v>0</v>
      </c>
      <c r="AW86" s="71">
        <f t="shared" ca="1" si="29"/>
        <v>0</v>
      </c>
      <c r="AX86" s="71">
        <f ca="1">IF(E86&lt;'Invoer gegevens (N)'!$C$17+15,0,IF(E86&gt;'Invoer gegevens (N)'!$C$17+215,0,AW86))</f>
        <v>0</v>
      </c>
      <c r="AY86" s="71">
        <f ca="1">AX86/(1+'Invoer gegevens (N)'!$F$18)^($AZ86-('Invoer gegevens (N)'!$C$17-'Invoer gegevens (N)'!$C$16))/(1+'Invoer gegevens (N)'!$C$39)^('Invoer gegevens (N)'!$C$17-'Invoer gegevens (N)'!$C$16)</f>
        <v>0</v>
      </c>
      <c r="AZ86" s="68">
        <f ca="1">IF(E86-'Invoer gegevens (N)'!$C$17-14.5&lt;0,0,E86-'Invoer gegevens (N)'!$C$17-14.5)</f>
        <v>66.5</v>
      </c>
      <c r="BA86" s="109">
        <f ca="1">IFERROR(VLOOKUP(E86-15,'Reeksen (N)'!$A$5:$D$234,2,FALSE),0)</f>
        <v>0</v>
      </c>
      <c r="BB86" s="109">
        <f ca="1">IFERROR(VLOOKUP(E86-15,'Reeksen (N)'!$A$5:$D$234,3,FALSE),0)</f>
        <v>0</v>
      </c>
      <c r="BC86" s="109">
        <f ca="1">IFERROR(VLOOKUP(E86-15,'Reeksen (N)'!$A$5:$D$234,4,FALSE),0)</f>
        <v>0</v>
      </c>
      <c r="BD86" s="67">
        <f ca="1">IF(E86-'Invoer gegevens (N)'!$C$17&lt;15,0,1)</f>
        <v>1</v>
      </c>
    </row>
    <row r="87" spans="1:56" x14ac:dyDescent="0.25">
      <c r="A87" s="59"/>
      <c r="B87" s="70">
        <f t="shared" si="30"/>
        <v>83</v>
      </c>
      <c r="C87" s="67">
        <f ca="1">IF(E87-'Invoer gegevens (N)'!$C$17&lt;0,0,1)</f>
        <v>1</v>
      </c>
      <c r="D87" s="68">
        <f t="shared" si="31"/>
        <v>82.5</v>
      </c>
      <c r="E87" s="108">
        <f ca="1">IF('Invoer gegevens (N)'!$C$16="","",E86+1)</f>
        <v>2101</v>
      </c>
      <c r="F87" s="84">
        <f ca="1">IF('Invoer gegevens (N)'!$C$17=E87,'Invoer gegevens (N)'!$C$10,IF(C87=1,K86,0))</f>
        <v>0</v>
      </c>
      <c r="G87" s="96">
        <f ca="1">IF(BD87&lt;1,F87*'Reeksen (N)'!C87,IF(C87&gt;=1,F87*BA87,0))</f>
        <v>0</v>
      </c>
      <c r="H87" s="84">
        <f ca="1">(1-('Invoer gegevens (N)'!$F$20/12))*F87*MIN(BA87,BC87)</f>
        <v>0</v>
      </c>
      <c r="I87" s="84">
        <f t="shared" ca="1" si="16"/>
        <v>0</v>
      </c>
      <c r="J87" s="84">
        <f ca="1">('Invoer gegevens (N)'!$F$20/12)*F86*MIN(BA87,BC87)</f>
        <v>0</v>
      </c>
      <c r="K87" s="97">
        <f t="shared" ca="1" si="21"/>
        <v>0</v>
      </c>
      <c r="L87" s="84">
        <f ca="1">IF('Invoer gegevens (N)'!$C$17=E87,0,IF(C87=1,Q86,0))</f>
        <v>0</v>
      </c>
      <c r="M87" s="96">
        <f t="shared" ca="1" si="17"/>
        <v>0</v>
      </c>
      <c r="N87" s="84">
        <f ca="1">(1-('Invoer gegevens (N)'!$F$20/12))*L87*MIN(BA87,BC87)</f>
        <v>0</v>
      </c>
      <c r="O87" s="84">
        <f t="shared" ca="1" si="18"/>
        <v>0</v>
      </c>
      <c r="P87" s="84">
        <f ca="1">('Invoer gegevens (N)'!$F$20/12)*L86*MIN(BA87,BC87)</f>
        <v>0</v>
      </c>
      <c r="Q87" s="84">
        <f t="shared" ca="1" si="22"/>
        <v>0</v>
      </c>
      <c r="R87" s="85">
        <f ca="1">IF('Invoer gegevens (N)'!$C$17=E87,'Invoer gegevens (N)'!$C$11,IF(C87=1,W86,0))</f>
        <v>0</v>
      </c>
      <c r="S87" s="86">
        <f t="shared" ca="1" si="19"/>
        <v>0</v>
      </c>
      <c r="T87" s="86">
        <f ca="1">(1-('Invoer gegevens (N)'!$F$20/12))*R87*MIN(BC87,BA87)</f>
        <v>0</v>
      </c>
      <c r="U87" s="86">
        <f ca="1">IF(BD87&lt;1,IF('Reeksen (N)'!AD87&lt;='Reeksen (N)'!AE87,R87*'Reeksen (N)'!C87,0),IF(BC87&gt;=BA87,0,IF('Reeksen (N)'!AD87&lt;='Reeksen (N)'!AE87,(BA87-BC87)*R87,0)))</f>
        <v>0</v>
      </c>
      <c r="V87" s="86">
        <f ca="1">IF(BD87&lt;1,IF('Reeksen (N)'!AD87&gt;'Reeksen (N)'!AE87,R87*'Reeksen (N)'!C87,0),IF(BC87&gt;=BA87,0,IF('Reeksen (N)'!AD87&gt;'Reeksen (N)'!AE87,(BA87-BC87)*R87,0)))</f>
        <v>0</v>
      </c>
      <c r="W87" s="218">
        <f t="shared" ca="1" si="23"/>
        <v>0</v>
      </c>
      <c r="X87" s="98">
        <f ca="1">IF('Invoer gegevens (N)'!$C$17=E87,'Invoer gegevens (N)'!$C$10-'Invoer gegevens (N)'!$C$11,IF(C87=1,AC86,0))</f>
        <v>0</v>
      </c>
      <c r="Y87" s="98">
        <f t="shared" ca="1" si="20"/>
        <v>0</v>
      </c>
      <c r="Z87" s="98">
        <f ca="1">(1-('Invoer gegevens (N)'!$F$20/12))*X87*MIN(BA87,BC87)</f>
        <v>0</v>
      </c>
      <c r="AA87" s="98">
        <f ca="1">IF(BD87&lt;1,IF('Reeksen (N)'!AD87&lt;='Reeksen (N)'!AE87,X87*'Reeksen (N)'!C87,0),IF(BC87&gt;=BA87,0,IF('Reeksen (N)'!AD87&lt;='Reeksen (N)'!AE87,(BA87-BC87)*X87,0)))</f>
        <v>0</v>
      </c>
      <c r="AB87" s="98">
        <f ca="1">IF(BD87&lt;1,IF('Reeksen (N)'!AD87&gt;'Reeksen (N)'!AE87,X87*'Reeksen (N)'!C87,0),IF(BC87&gt;=BA87,0,IF('Reeksen (N)'!AD87&gt;'Reeksen (N)'!AE87,(BA87-BC87)*X87,0)))</f>
        <v>0</v>
      </c>
      <c r="AC87" s="99">
        <f t="shared" ca="1" si="24"/>
        <v>0</v>
      </c>
      <c r="AD87" s="98">
        <f ca="1">IF('Invoer gegevens (N)'!$C$17=E87,R87,IF(C87=0,0,AE86))</f>
        <v>0</v>
      </c>
      <c r="AE87" s="98">
        <f t="shared" ca="1" si="25"/>
        <v>0</v>
      </c>
      <c r="AF87" s="98">
        <f ca="1">IF('Invoer gegevens (N)'!$C$17=E87,X87,IF(C87=0,0,AG86))</f>
        <v>0</v>
      </c>
      <c r="AG87" s="98">
        <f t="shared" ca="1" si="26"/>
        <v>0</v>
      </c>
      <c r="AH87" s="66"/>
      <c r="AI87" s="71">
        <f ca="1">IF(C87=1,'Reeksen (N)'!AI87*((F87+K87)/2)*12+'Reeksen (N)'!AD87*((L87+Q87)/2)*12,0)</f>
        <v>0</v>
      </c>
      <c r="AJ87" s="71">
        <f ca="1">-AI87*'Invoer gegevens (N)'!$F$28</f>
        <v>0</v>
      </c>
      <c r="AK87" s="71">
        <f t="shared" ca="1" si="27"/>
        <v>0</v>
      </c>
      <c r="AL87" s="71">
        <f ca="1">IF(C87=1,'Reeksen (N)'!AL87*((F87-G87+F87)/2)*12+'Reeksen (N)'!AM87*((L87-M87+L87)/2)*12,0)</f>
        <v>0</v>
      </c>
      <c r="AM87" s="71">
        <f ca="1">-AL87*'Invoer gegevens (N)'!$F$31</f>
        <v>0</v>
      </c>
      <c r="AN87" s="71">
        <f t="shared" ca="1" si="28"/>
        <v>0</v>
      </c>
      <c r="AO87" s="71">
        <f ca="1">IF(C87=1,(H87+J87+N87+P87)*'Reeksen (N)'!AN87,0)</f>
        <v>0</v>
      </c>
      <c r="AP87" s="71">
        <f ca="1">-IF(C87=1,(H87+J87+N87+P87)*'Hulp - basis'!$O$550*'Reeksen (N)'!H87,0)</f>
        <v>0</v>
      </c>
      <c r="AQ87" s="71">
        <f ca="1">-IF(C87=1,(F87+K87+L87+Q87)/2*'Invoer gegevens (N)'!$F$35*'Reeksen (N)'!J87,0)*2</f>
        <v>0</v>
      </c>
      <c r="AR87" s="71">
        <f ca="1">IF(BD87&lt;1,-IF(C87=1,(G87*'Invoer gegevens (N)'!$F$36)*'Reeksen (N)'!J87,0),0)</f>
        <v>0</v>
      </c>
      <c r="AS87" s="71">
        <f ca="1">-IF(C87=1,(F87+K87+L87+Q87)/2*'Invoer gegevens (N)'!$F$37*'Reeksen (N)'!L87,0)</f>
        <v>0</v>
      </c>
      <c r="AT87" s="71">
        <f ca="1">-IF(C87=1,IF(E87='Invoer gegevens (N)'!$C$17,'Invoer gegevens (N)'!$C$11,AD87)*'Reeksen (N)'!S87*'Invoer gegevens (N)'!$C$18*'Reeksen (N)'!P87,0)</f>
        <v>0</v>
      </c>
      <c r="AU87" s="71">
        <f ca="1">-IF(C87=1,(F87+K87+L87+Q87)/2*'Invoer gegevens (N)'!$F$38*'Reeksen (N)'!H87,0)</f>
        <v>0</v>
      </c>
      <c r="AV87" s="71">
        <v>0</v>
      </c>
      <c r="AW87" s="71">
        <f t="shared" ca="1" si="29"/>
        <v>0</v>
      </c>
      <c r="AX87" s="71">
        <f ca="1">IF(E87&lt;'Invoer gegevens (N)'!$C$17+15,0,IF(E87&gt;'Invoer gegevens (N)'!$C$17+215,0,AW87))</f>
        <v>0</v>
      </c>
      <c r="AY87" s="71">
        <f ca="1">AX87/(1+'Invoer gegevens (N)'!$F$18)^($AZ87-('Invoer gegevens (N)'!$C$17-'Invoer gegevens (N)'!$C$16))/(1+'Invoer gegevens (N)'!$C$39)^('Invoer gegevens (N)'!$C$17-'Invoer gegevens (N)'!$C$16)</f>
        <v>0</v>
      </c>
      <c r="AZ87" s="68">
        <f ca="1">IF(E87-'Invoer gegevens (N)'!$C$17-14.5&lt;0,0,E87-'Invoer gegevens (N)'!$C$17-14.5)</f>
        <v>67.5</v>
      </c>
      <c r="BA87" s="109">
        <f ca="1">IFERROR(VLOOKUP(E87-15,'Reeksen (N)'!$A$5:$D$234,2,FALSE),0)</f>
        <v>0</v>
      </c>
      <c r="BB87" s="109">
        <f ca="1">IFERROR(VLOOKUP(E87-15,'Reeksen (N)'!$A$5:$D$234,3,FALSE),0)</f>
        <v>0</v>
      </c>
      <c r="BC87" s="109">
        <f ca="1">IFERROR(VLOOKUP(E87-15,'Reeksen (N)'!$A$5:$D$234,4,FALSE),0)</f>
        <v>0</v>
      </c>
      <c r="BD87" s="67">
        <f ca="1">IF(E87-'Invoer gegevens (N)'!$C$17&lt;15,0,1)</f>
        <v>1</v>
      </c>
    </row>
    <row r="88" spans="1:56" x14ac:dyDescent="0.25">
      <c r="A88" s="59"/>
      <c r="B88" s="70">
        <f t="shared" si="30"/>
        <v>84</v>
      </c>
      <c r="C88" s="67">
        <f ca="1">IF(E88-'Invoer gegevens (N)'!$C$17&lt;0,0,1)</f>
        <v>1</v>
      </c>
      <c r="D88" s="68">
        <f t="shared" si="31"/>
        <v>83.5</v>
      </c>
      <c r="E88" s="108">
        <f ca="1">IF('Invoer gegevens (N)'!$C$16="","",E87+1)</f>
        <v>2102</v>
      </c>
      <c r="F88" s="84">
        <f ca="1">IF('Invoer gegevens (N)'!$C$17=E88,'Invoer gegevens (N)'!$C$10,IF(C88=1,K87,0))</f>
        <v>0</v>
      </c>
      <c r="G88" s="96">
        <f ca="1">IF(BD88&lt;1,F88*'Reeksen (N)'!C88,IF(C88&gt;=1,F88*BA88,0))</f>
        <v>0</v>
      </c>
      <c r="H88" s="84">
        <f ca="1">(1-('Invoer gegevens (N)'!$F$20/12))*F88*MIN(BA88,BC88)</f>
        <v>0</v>
      </c>
      <c r="I88" s="84">
        <f t="shared" ca="1" si="16"/>
        <v>0</v>
      </c>
      <c r="J88" s="84">
        <f ca="1">('Invoer gegevens (N)'!$F$20/12)*F87*MIN(BA88,BC88)</f>
        <v>0</v>
      </c>
      <c r="K88" s="97">
        <f t="shared" ca="1" si="21"/>
        <v>0</v>
      </c>
      <c r="L88" s="84">
        <f ca="1">IF('Invoer gegevens (N)'!$C$17=E88,0,IF(C88=1,Q87,0))</f>
        <v>0</v>
      </c>
      <c r="M88" s="96">
        <f t="shared" ca="1" si="17"/>
        <v>0</v>
      </c>
      <c r="N88" s="84">
        <f ca="1">(1-('Invoer gegevens (N)'!$F$20/12))*L88*MIN(BA88,BC88)</f>
        <v>0</v>
      </c>
      <c r="O88" s="84">
        <f t="shared" ca="1" si="18"/>
        <v>0</v>
      </c>
      <c r="P88" s="84">
        <f ca="1">('Invoer gegevens (N)'!$F$20/12)*L87*MIN(BA88,BC88)</f>
        <v>0</v>
      </c>
      <c r="Q88" s="84">
        <f t="shared" ca="1" si="22"/>
        <v>0</v>
      </c>
      <c r="R88" s="85">
        <f ca="1">IF('Invoer gegevens (N)'!$C$17=E88,'Invoer gegevens (N)'!$C$11,IF(C88=1,W87,0))</f>
        <v>0</v>
      </c>
      <c r="S88" s="86">
        <f t="shared" ca="1" si="19"/>
        <v>0</v>
      </c>
      <c r="T88" s="86">
        <f ca="1">(1-('Invoer gegevens (N)'!$F$20/12))*R88*MIN(BC88,BA88)</f>
        <v>0</v>
      </c>
      <c r="U88" s="86">
        <f ca="1">IF(BD88&lt;1,IF('Reeksen (N)'!AD88&lt;='Reeksen (N)'!AE88,R88*'Reeksen (N)'!C88,0),IF(BC88&gt;=BA88,0,IF('Reeksen (N)'!AD88&lt;='Reeksen (N)'!AE88,(BA88-BC88)*R88,0)))</f>
        <v>0</v>
      </c>
      <c r="V88" s="86">
        <f ca="1">IF(BD88&lt;1,IF('Reeksen (N)'!AD88&gt;'Reeksen (N)'!AE88,R88*'Reeksen (N)'!C88,0),IF(BC88&gt;=BA88,0,IF('Reeksen (N)'!AD88&gt;'Reeksen (N)'!AE88,(BA88-BC88)*R88,0)))</f>
        <v>0</v>
      </c>
      <c r="W88" s="218">
        <f t="shared" ca="1" si="23"/>
        <v>0</v>
      </c>
      <c r="X88" s="98">
        <f ca="1">IF('Invoer gegevens (N)'!$C$17=E88,'Invoer gegevens (N)'!$C$10-'Invoer gegevens (N)'!$C$11,IF(C88=1,AC87,0))</f>
        <v>0</v>
      </c>
      <c r="Y88" s="98">
        <f t="shared" ca="1" si="20"/>
        <v>0</v>
      </c>
      <c r="Z88" s="98">
        <f ca="1">(1-('Invoer gegevens (N)'!$F$20/12))*X88*MIN(BA88,BC88)</f>
        <v>0</v>
      </c>
      <c r="AA88" s="98">
        <f ca="1">IF(BD88&lt;1,IF('Reeksen (N)'!AD88&lt;='Reeksen (N)'!AE88,X88*'Reeksen (N)'!C88,0),IF(BC88&gt;=BA88,0,IF('Reeksen (N)'!AD88&lt;='Reeksen (N)'!AE88,(BA88-BC88)*X88,0)))</f>
        <v>0</v>
      </c>
      <c r="AB88" s="98">
        <f ca="1">IF(BD88&lt;1,IF('Reeksen (N)'!AD88&gt;'Reeksen (N)'!AE88,X88*'Reeksen (N)'!C88,0),IF(BC88&gt;=BA88,0,IF('Reeksen (N)'!AD88&gt;'Reeksen (N)'!AE88,(BA88-BC88)*X88,0)))</f>
        <v>0</v>
      </c>
      <c r="AC88" s="99">
        <f t="shared" ca="1" si="24"/>
        <v>0</v>
      </c>
      <c r="AD88" s="98">
        <f ca="1">IF('Invoer gegevens (N)'!$C$17=E88,R88,IF(C88=0,0,AE87))</f>
        <v>0</v>
      </c>
      <c r="AE88" s="98">
        <f t="shared" ca="1" si="25"/>
        <v>0</v>
      </c>
      <c r="AF88" s="98">
        <f ca="1">IF('Invoer gegevens (N)'!$C$17=E88,X88,IF(C88=0,0,AG87))</f>
        <v>0</v>
      </c>
      <c r="AG88" s="98">
        <f t="shared" ca="1" si="26"/>
        <v>0</v>
      </c>
      <c r="AH88" s="66"/>
      <c r="AI88" s="71">
        <f ca="1">IF(C88=1,'Reeksen (N)'!AI88*((F88+K88)/2)*12+'Reeksen (N)'!AD88*((L88+Q88)/2)*12,0)</f>
        <v>0</v>
      </c>
      <c r="AJ88" s="71">
        <f ca="1">-AI88*'Invoer gegevens (N)'!$F$28</f>
        <v>0</v>
      </c>
      <c r="AK88" s="71">
        <f t="shared" ca="1" si="27"/>
        <v>0</v>
      </c>
      <c r="AL88" s="71">
        <f ca="1">IF(C88=1,'Reeksen (N)'!AL88*((F88-G88+F88)/2)*12+'Reeksen (N)'!AM88*((L88-M88+L88)/2)*12,0)</f>
        <v>0</v>
      </c>
      <c r="AM88" s="71">
        <f ca="1">-AL88*'Invoer gegevens (N)'!$F$31</f>
        <v>0</v>
      </c>
      <c r="AN88" s="71">
        <f t="shared" ca="1" si="28"/>
        <v>0</v>
      </c>
      <c r="AO88" s="71">
        <f ca="1">IF(C88=1,(H88+J88+N88+P88)*'Reeksen (N)'!AN88,0)</f>
        <v>0</v>
      </c>
      <c r="AP88" s="71">
        <f ca="1">-IF(C88=1,(H88+J88+N88+P88)*'Hulp - basis'!$O$550*'Reeksen (N)'!H88,0)</f>
        <v>0</v>
      </c>
      <c r="AQ88" s="71">
        <f ca="1">-IF(C88=1,(F88+K88+L88+Q88)/2*'Invoer gegevens (N)'!$F$35*'Reeksen (N)'!J88,0)*2</f>
        <v>0</v>
      </c>
      <c r="AR88" s="71">
        <f ca="1">IF(BD88&lt;1,-IF(C88=1,(G88*'Invoer gegevens (N)'!$F$36)*'Reeksen (N)'!J88,0),0)</f>
        <v>0</v>
      </c>
      <c r="AS88" s="71">
        <f ca="1">-IF(C88=1,(F88+K88+L88+Q88)/2*'Invoer gegevens (N)'!$F$37*'Reeksen (N)'!L88,0)</f>
        <v>0</v>
      </c>
      <c r="AT88" s="71">
        <f ca="1">-IF(C88=1,IF(E88='Invoer gegevens (N)'!$C$17,'Invoer gegevens (N)'!$C$11,AD88)*'Reeksen (N)'!S88*'Invoer gegevens (N)'!$C$18*'Reeksen (N)'!P88,0)</f>
        <v>0</v>
      </c>
      <c r="AU88" s="71">
        <f ca="1">-IF(C88=1,(F88+K88+L88+Q88)/2*'Invoer gegevens (N)'!$F$38*'Reeksen (N)'!H88,0)</f>
        <v>0</v>
      </c>
      <c r="AV88" s="71">
        <v>0</v>
      </c>
      <c r="AW88" s="71">
        <f t="shared" ca="1" si="29"/>
        <v>0</v>
      </c>
      <c r="AX88" s="71">
        <f ca="1">IF(E88&lt;'Invoer gegevens (N)'!$C$17+15,0,IF(E88&gt;'Invoer gegevens (N)'!$C$17+215,0,AW88))</f>
        <v>0</v>
      </c>
      <c r="AY88" s="71">
        <f ca="1">AX88/(1+'Invoer gegevens (N)'!$F$18)^($AZ88-('Invoer gegevens (N)'!$C$17-'Invoer gegevens (N)'!$C$16))/(1+'Invoer gegevens (N)'!$C$39)^('Invoer gegevens (N)'!$C$17-'Invoer gegevens (N)'!$C$16)</f>
        <v>0</v>
      </c>
      <c r="AZ88" s="68">
        <f ca="1">IF(E88-'Invoer gegevens (N)'!$C$17-14.5&lt;0,0,E88-'Invoer gegevens (N)'!$C$17-14.5)</f>
        <v>68.5</v>
      </c>
      <c r="BA88" s="109">
        <f ca="1">IFERROR(VLOOKUP(E88-15,'Reeksen (N)'!$A$5:$D$234,2,FALSE),0)</f>
        <v>0</v>
      </c>
      <c r="BB88" s="109">
        <f ca="1">IFERROR(VLOOKUP(E88-15,'Reeksen (N)'!$A$5:$D$234,3,FALSE),0)</f>
        <v>0</v>
      </c>
      <c r="BC88" s="109">
        <f ca="1">IFERROR(VLOOKUP(E88-15,'Reeksen (N)'!$A$5:$D$234,4,FALSE),0)</f>
        <v>0</v>
      </c>
      <c r="BD88" s="67">
        <f ca="1">IF(E88-'Invoer gegevens (N)'!$C$17&lt;15,0,1)</f>
        <v>1</v>
      </c>
    </row>
    <row r="89" spans="1:56" x14ac:dyDescent="0.25">
      <c r="A89" s="59"/>
      <c r="B89" s="70">
        <f t="shared" si="30"/>
        <v>85</v>
      </c>
      <c r="C89" s="67">
        <f ca="1">IF(E89-'Invoer gegevens (N)'!$C$17&lt;0,0,1)</f>
        <v>1</v>
      </c>
      <c r="D89" s="68">
        <f t="shared" si="31"/>
        <v>84.5</v>
      </c>
      <c r="E89" s="108">
        <f ca="1">IF('Invoer gegevens (N)'!$C$16="","",E88+1)</f>
        <v>2103</v>
      </c>
      <c r="F89" s="84">
        <f ca="1">IF('Invoer gegevens (N)'!$C$17=E89,'Invoer gegevens (N)'!$C$10,IF(C89=1,K88,0))</f>
        <v>0</v>
      </c>
      <c r="G89" s="96">
        <f ca="1">IF(BD89&lt;1,F89*'Reeksen (N)'!C89,IF(C89&gt;=1,F89*BA89,0))</f>
        <v>0</v>
      </c>
      <c r="H89" s="84">
        <f ca="1">(1-('Invoer gegevens (N)'!$F$20/12))*F89*MIN(BA89,BC89)</f>
        <v>0</v>
      </c>
      <c r="I89" s="84">
        <f t="shared" ca="1" si="16"/>
        <v>0</v>
      </c>
      <c r="J89" s="84">
        <f ca="1">('Invoer gegevens (N)'!$F$20/12)*F88*MIN(BA89,BC89)</f>
        <v>0</v>
      </c>
      <c r="K89" s="97">
        <f t="shared" ca="1" si="21"/>
        <v>0</v>
      </c>
      <c r="L89" s="84">
        <f ca="1">IF('Invoer gegevens (N)'!$C$17=E89,0,IF(C89=1,Q88,0))</f>
        <v>0</v>
      </c>
      <c r="M89" s="96">
        <f t="shared" ca="1" si="17"/>
        <v>0</v>
      </c>
      <c r="N89" s="84">
        <f ca="1">(1-('Invoer gegevens (N)'!$F$20/12))*L89*MIN(BA89,BC89)</f>
        <v>0</v>
      </c>
      <c r="O89" s="84">
        <f t="shared" ca="1" si="18"/>
        <v>0</v>
      </c>
      <c r="P89" s="84">
        <f ca="1">('Invoer gegevens (N)'!$F$20/12)*L88*MIN(BA89,BC89)</f>
        <v>0</v>
      </c>
      <c r="Q89" s="84">
        <f t="shared" ca="1" si="22"/>
        <v>0</v>
      </c>
      <c r="R89" s="85">
        <f ca="1">IF('Invoer gegevens (N)'!$C$17=E89,'Invoer gegevens (N)'!$C$11,IF(C89=1,W88,0))</f>
        <v>0</v>
      </c>
      <c r="S89" s="86">
        <f t="shared" ca="1" si="19"/>
        <v>0</v>
      </c>
      <c r="T89" s="86">
        <f ca="1">(1-('Invoer gegevens (N)'!$F$20/12))*R89*MIN(BC89,BA89)</f>
        <v>0</v>
      </c>
      <c r="U89" s="86">
        <f ca="1">IF(BD89&lt;1,IF('Reeksen (N)'!AD89&lt;='Reeksen (N)'!AE89,R89*'Reeksen (N)'!C89,0),IF(BC89&gt;=BA89,0,IF('Reeksen (N)'!AD89&lt;='Reeksen (N)'!AE89,(BA89-BC89)*R89,0)))</f>
        <v>0</v>
      </c>
      <c r="V89" s="86">
        <f ca="1">IF(BD89&lt;1,IF('Reeksen (N)'!AD89&gt;'Reeksen (N)'!AE89,R89*'Reeksen (N)'!C89,0),IF(BC89&gt;=BA89,0,IF('Reeksen (N)'!AD89&gt;'Reeksen (N)'!AE89,(BA89-BC89)*R89,0)))</f>
        <v>0</v>
      </c>
      <c r="W89" s="218">
        <f t="shared" ca="1" si="23"/>
        <v>0</v>
      </c>
      <c r="X89" s="98">
        <f ca="1">IF('Invoer gegevens (N)'!$C$17=E89,'Invoer gegevens (N)'!$C$10-'Invoer gegevens (N)'!$C$11,IF(C89=1,AC88,0))</f>
        <v>0</v>
      </c>
      <c r="Y89" s="98">
        <f t="shared" ca="1" si="20"/>
        <v>0</v>
      </c>
      <c r="Z89" s="98">
        <f ca="1">(1-('Invoer gegevens (N)'!$F$20/12))*X89*MIN(BA89,BC89)</f>
        <v>0</v>
      </c>
      <c r="AA89" s="98">
        <f ca="1">IF(BD89&lt;1,IF('Reeksen (N)'!AD89&lt;='Reeksen (N)'!AE89,X89*'Reeksen (N)'!C89,0),IF(BC89&gt;=BA89,0,IF('Reeksen (N)'!AD89&lt;='Reeksen (N)'!AE89,(BA89-BC89)*X89,0)))</f>
        <v>0</v>
      </c>
      <c r="AB89" s="98">
        <f ca="1">IF(BD89&lt;1,IF('Reeksen (N)'!AD89&gt;'Reeksen (N)'!AE89,X89*'Reeksen (N)'!C89,0),IF(BC89&gt;=BA89,0,IF('Reeksen (N)'!AD89&gt;'Reeksen (N)'!AE89,(BA89-BC89)*X89,0)))</f>
        <v>0</v>
      </c>
      <c r="AC89" s="99">
        <f t="shared" ca="1" si="24"/>
        <v>0</v>
      </c>
      <c r="AD89" s="98">
        <f ca="1">IF('Invoer gegevens (N)'!$C$17=E89,R89,IF(C89=0,0,AE88))</f>
        <v>0</v>
      </c>
      <c r="AE89" s="98">
        <f t="shared" ca="1" si="25"/>
        <v>0</v>
      </c>
      <c r="AF89" s="98">
        <f ca="1">IF('Invoer gegevens (N)'!$C$17=E89,X89,IF(C89=0,0,AG88))</f>
        <v>0</v>
      </c>
      <c r="AG89" s="98">
        <f t="shared" ca="1" si="26"/>
        <v>0</v>
      </c>
      <c r="AH89" s="66"/>
      <c r="AI89" s="71">
        <f ca="1">IF(C89=1,'Reeksen (N)'!AI89*((F89+K89)/2)*12+'Reeksen (N)'!AD89*((L89+Q89)/2)*12,0)</f>
        <v>0</v>
      </c>
      <c r="AJ89" s="71">
        <f ca="1">-AI89*'Invoer gegevens (N)'!$F$28</f>
        <v>0</v>
      </c>
      <c r="AK89" s="71">
        <f t="shared" ca="1" si="27"/>
        <v>0</v>
      </c>
      <c r="AL89" s="71">
        <f ca="1">IF(C89=1,'Reeksen (N)'!AL89*((F89-G89+F89)/2)*12+'Reeksen (N)'!AM89*((L89-M89+L89)/2)*12,0)</f>
        <v>0</v>
      </c>
      <c r="AM89" s="71">
        <f ca="1">-AL89*'Invoer gegevens (N)'!$F$31</f>
        <v>0</v>
      </c>
      <c r="AN89" s="71">
        <f t="shared" ca="1" si="28"/>
        <v>0</v>
      </c>
      <c r="AO89" s="71">
        <f ca="1">IF(C89=1,(H89+J89+N89+P89)*'Reeksen (N)'!AN89,0)</f>
        <v>0</v>
      </c>
      <c r="AP89" s="71">
        <f ca="1">-IF(C89=1,(H89+J89+N89+P89)*'Hulp - basis'!$O$550*'Reeksen (N)'!H89,0)</f>
        <v>0</v>
      </c>
      <c r="AQ89" s="71">
        <f ca="1">-IF(C89=1,(F89+K89+L89+Q89)/2*'Invoer gegevens (N)'!$F$35*'Reeksen (N)'!J89,0)*2</f>
        <v>0</v>
      </c>
      <c r="AR89" s="71">
        <f ca="1">IF(BD89&lt;1,-IF(C89=1,(G89*'Invoer gegevens (N)'!$F$36)*'Reeksen (N)'!J89,0),0)</f>
        <v>0</v>
      </c>
      <c r="AS89" s="71">
        <f ca="1">-IF(C89=1,(F89+K89+L89+Q89)/2*'Invoer gegevens (N)'!$F$37*'Reeksen (N)'!L89,0)</f>
        <v>0</v>
      </c>
      <c r="AT89" s="71">
        <f ca="1">-IF(C89=1,IF(E89='Invoer gegevens (N)'!$C$17,'Invoer gegevens (N)'!$C$11,AD89)*'Reeksen (N)'!S89*'Invoer gegevens (N)'!$C$18*'Reeksen (N)'!P89,0)</f>
        <v>0</v>
      </c>
      <c r="AU89" s="71">
        <f ca="1">-IF(C89=1,(F89+K89+L89+Q89)/2*'Invoer gegevens (N)'!$F$38*'Reeksen (N)'!H89,0)</f>
        <v>0</v>
      </c>
      <c r="AV89" s="71">
        <v>0</v>
      </c>
      <c r="AW89" s="71">
        <f t="shared" ca="1" si="29"/>
        <v>0</v>
      </c>
      <c r="AX89" s="71">
        <f ca="1">IF(E89&lt;'Invoer gegevens (N)'!$C$17+15,0,IF(E89&gt;'Invoer gegevens (N)'!$C$17+215,0,AW89))</f>
        <v>0</v>
      </c>
      <c r="AY89" s="71">
        <f ca="1">AX89/(1+'Invoer gegevens (N)'!$F$18)^($AZ89-('Invoer gegevens (N)'!$C$17-'Invoer gegevens (N)'!$C$16))/(1+'Invoer gegevens (N)'!$C$39)^('Invoer gegevens (N)'!$C$17-'Invoer gegevens (N)'!$C$16)</f>
        <v>0</v>
      </c>
      <c r="AZ89" s="68">
        <f ca="1">IF(E89-'Invoer gegevens (N)'!$C$17-14.5&lt;0,0,E89-'Invoer gegevens (N)'!$C$17-14.5)</f>
        <v>69.5</v>
      </c>
      <c r="BA89" s="109">
        <f ca="1">IFERROR(VLOOKUP(E89-15,'Reeksen (N)'!$A$5:$D$234,2,FALSE),0)</f>
        <v>0</v>
      </c>
      <c r="BB89" s="109">
        <f ca="1">IFERROR(VLOOKUP(E89-15,'Reeksen (N)'!$A$5:$D$234,3,FALSE),0)</f>
        <v>0</v>
      </c>
      <c r="BC89" s="109">
        <f ca="1">IFERROR(VLOOKUP(E89-15,'Reeksen (N)'!$A$5:$D$234,4,FALSE),0)</f>
        <v>0</v>
      </c>
      <c r="BD89" s="67">
        <f ca="1">IF(E89-'Invoer gegevens (N)'!$C$17&lt;15,0,1)</f>
        <v>1</v>
      </c>
    </row>
    <row r="90" spans="1:56" x14ac:dyDescent="0.25">
      <c r="A90" s="59"/>
      <c r="B90" s="70">
        <f t="shared" si="30"/>
        <v>86</v>
      </c>
      <c r="C90" s="67">
        <f ca="1">IF(E90-'Invoer gegevens (N)'!$C$17&lt;0,0,1)</f>
        <v>1</v>
      </c>
      <c r="D90" s="68">
        <f t="shared" si="31"/>
        <v>85.5</v>
      </c>
      <c r="E90" s="108">
        <f ca="1">IF('Invoer gegevens (N)'!$C$16="","",E89+1)</f>
        <v>2104</v>
      </c>
      <c r="F90" s="84">
        <f ca="1">IF('Invoer gegevens (N)'!$C$17=E90,'Invoer gegevens (N)'!$C$10,IF(C90=1,K89,0))</f>
        <v>0</v>
      </c>
      <c r="G90" s="96">
        <f ca="1">IF(BD90&lt;1,F90*'Reeksen (N)'!C90,IF(C90&gt;=1,F90*BA90,0))</f>
        <v>0</v>
      </c>
      <c r="H90" s="84">
        <f ca="1">(1-('Invoer gegevens (N)'!$F$20/12))*F90*MIN(BA90,BC90)</f>
        <v>0</v>
      </c>
      <c r="I90" s="84">
        <f t="shared" ca="1" si="16"/>
        <v>0</v>
      </c>
      <c r="J90" s="84">
        <f ca="1">('Invoer gegevens (N)'!$F$20/12)*F89*MIN(BA90,BC90)</f>
        <v>0</v>
      </c>
      <c r="K90" s="97">
        <f t="shared" ca="1" si="21"/>
        <v>0</v>
      </c>
      <c r="L90" s="84">
        <f ca="1">IF('Invoer gegevens (N)'!$C$17=E90,0,IF(C90=1,Q89,0))</f>
        <v>0</v>
      </c>
      <c r="M90" s="96">
        <f t="shared" ca="1" si="17"/>
        <v>0</v>
      </c>
      <c r="N90" s="84">
        <f ca="1">(1-('Invoer gegevens (N)'!$F$20/12))*L90*MIN(BA90,BC90)</f>
        <v>0</v>
      </c>
      <c r="O90" s="84">
        <f t="shared" ca="1" si="18"/>
        <v>0</v>
      </c>
      <c r="P90" s="84">
        <f ca="1">('Invoer gegevens (N)'!$F$20/12)*L89*MIN(BA90,BC90)</f>
        <v>0</v>
      </c>
      <c r="Q90" s="84">
        <f t="shared" ca="1" si="22"/>
        <v>0</v>
      </c>
      <c r="R90" s="85">
        <f ca="1">IF('Invoer gegevens (N)'!$C$17=E90,'Invoer gegevens (N)'!$C$11,IF(C90=1,W89,0))</f>
        <v>0</v>
      </c>
      <c r="S90" s="86">
        <f t="shared" ca="1" si="19"/>
        <v>0</v>
      </c>
      <c r="T90" s="86">
        <f ca="1">(1-('Invoer gegevens (N)'!$F$20/12))*R90*MIN(BC90,BA90)</f>
        <v>0</v>
      </c>
      <c r="U90" s="86">
        <f ca="1">IF(BD90&lt;1,IF('Reeksen (N)'!AD90&lt;='Reeksen (N)'!AE90,R90*'Reeksen (N)'!C90,0),IF(BC90&gt;=BA90,0,IF('Reeksen (N)'!AD90&lt;='Reeksen (N)'!AE90,(BA90-BC90)*R90,0)))</f>
        <v>0</v>
      </c>
      <c r="V90" s="86">
        <f ca="1">IF(BD90&lt;1,IF('Reeksen (N)'!AD90&gt;'Reeksen (N)'!AE90,R90*'Reeksen (N)'!C90,0),IF(BC90&gt;=BA90,0,IF('Reeksen (N)'!AD90&gt;'Reeksen (N)'!AE90,(BA90-BC90)*R90,0)))</f>
        <v>0</v>
      </c>
      <c r="W90" s="218">
        <f t="shared" ca="1" si="23"/>
        <v>0</v>
      </c>
      <c r="X90" s="98">
        <f ca="1">IF('Invoer gegevens (N)'!$C$17=E90,'Invoer gegevens (N)'!$C$10-'Invoer gegevens (N)'!$C$11,IF(C90=1,AC89,0))</f>
        <v>0</v>
      </c>
      <c r="Y90" s="98">
        <f t="shared" ca="1" si="20"/>
        <v>0</v>
      </c>
      <c r="Z90" s="98">
        <f ca="1">(1-('Invoer gegevens (N)'!$F$20/12))*X90*MIN(BA90,BC90)</f>
        <v>0</v>
      </c>
      <c r="AA90" s="98">
        <f ca="1">IF(BD90&lt;1,IF('Reeksen (N)'!AD90&lt;='Reeksen (N)'!AE90,X90*'Reeksen (N)'!C90,0),IF(BC90&gt;=BA90,0,IF('Reeksen (N)'!AD90&lt;='Reeksen (N)'!AE90,(BA90-BC90)*X90,0)))</f>
        <v>0</v>
      </c>
      <c r="AB90" s="98">
        <f ca="1">IF(BD90&lt;1,IF('Reeksen (N)'!AD90&gt;'Reeksen (N)'!AE90,X90*'Reeksen (N)'!C90,0),IF(BC90&gt;=BA90,0,IF('Reeksen (N)'!AD90&gt;'Reeksen (N)'!AE90,(BA90-BC90)*X90,0)))</f>
        <v>0</v>
      </c>
      <c r="AC90" s="99">
        <f t="shared" ca="1" si="24"/>
        <v>0</v>
      </c>
      <c r="AD90" s="98">
        <f ca="1">IF('Invoer gegevens (N)'!$C$17=E90,R90,IF(C90=0,0,AE89))</f>
        <v>0</v>
      </c>
      <c r="AE90" s="98">
        <f t="shared" ca="1" si="25"/>
        <v>0</v>
      </c>
      <c r="AF90" s="98">
        <f ca="1">IF('Invoer gegevens (N)'!$C$17=E90,X90,IF(C90=0,0,AG89))</f>
        <v>0</v>
      </c>
      <c r="AG90" s="98">
        <f t="shared" ca="1" si="26"/>
        <v>0</v>
      </c>
      <c r="AH90" s="66"/>
      <c r="AI90" s="71">
        <f ca="1">IF(C90=1,'Reeksen (N)'!AI90*((F90+K90)/2)*12+'Reeksen (N)'!AD90*((L90+Q90)/2)*12,0)</f>
        <v>0</v>
      </c>
      <c r="AJ90" s="71">
        <f ca="1">-AI90*'Invoer gegevens (N)'!$F$28</f>
        <v>0</v>
      </c>
      <c r="AK90" s="71">
        <f t="shared" ca="1" si="27"/>
        <v>0</v>
      </c>
      <c r="AL90" s="71">
        <f ca="1">IF(C90=1,'Reeksen (N)'!AL90*((F90-G90+F90)/2)*12+'Reeksen (N)'!AM90*((L90-M90+L90)/2)*12,0)</f>
        <v>0</v>
      </c>
      <c r="AM90" s="71">
        <f ca="1">-AL90*'Invoer gegevens (N)'!$F$31</f>
        <v>0</v>
      </c>
      <c r="AN90" s="71">
        <f t="shared" ca="1" si="28"/>
        <v>0</v>
      </c>
      <c r="AO90" s="71">
        <f ca="1">IF(C90=1,(H90+J90+N90+P90)*'Reeksen (N)'!AN90,0)</f>
        <v>0</v>
      </c>
      <c r="AP90" s="71">
        <f ca="1">-IF(C90=1,(H90+J90+N90+P90)*'Hulp - basis'!$O$550*'Reeksen (N)'!H90,0)</f>
        <v>0</v>
      </c>
      <c r="AQ90" s="71">
        <f ca="1">-IF(C90=1,(F90+K90+L90+Q90)/2*'Invoer gegevens (N)'!$F$35*'Reeksen (N)'!J90,0)*2</f>
        <v>0</v>
      </c>
      <c r="AR90" s="71">
        <f ca="1">IF(BD90&lt;1,-IF(C90=1,(G90*'Invoer gegevens (N)'!$F$36)*'Reeksen (N)'!J90,0),0)</f>
        <v>0</v>
      </c>
      <c r="AS90" s="71">
        <f ca="1">-IF(C90=1,(F90+K90+L90+Q90)/2*'Invoer gegevens (N)'!$F$37*'Reeksen (N)'!L90,0)</f>
        <v>0</v>
      </c>
      <c r="AT90" s="71">
        <f ca="1">-IF(C90=1,IF(E90='Invoer gegevens (N)'!$C$17,'Invoer gegevens (N)'!$C$11,AD90)*'Reeksen (N)'!S90*'Invoer gegevens (N)'!$C$18*'Reeksen (N)'!P90,0)</f>
        <v>0</v>
      </c>
      <c r="AU90" s="71">
        <f ca="1">-IF(C90=1,(F90+K90+L90+Q90)/2*'Invoer gegevens (N)'!$F$38*'Reeksen (N)'!H90,0)</f>
        <v>0</v>
      </c>
      <c r="AV90" s="71">
        <v>0</v>
      </c>
      <c r="AW90" s="71">
        <f t="shared" ca="1" si="29"/>
        <v>0</v>
      </c>
      <c r="AX90" s="71">
        <f ca="1">IF(E90&lt;'Invoer gegevens (N)'!$C$17+15,0,IF(E90&gt;'Invoer gegevens (N)'!$C$17+215,0,AW90))</f>
        <v>0</v>
      </c>
      <c r="AY90" s="71">
        <f ca="1">AX90/(1+'Invoer gegevens (N)'!$F$18)^($AZ90-('Invoer gegevens (N)'!$C$17-'Invoer gegevens (N)'!$C$16))/(1+'Invoer gegevens (N)'!$C$39)^('Invoer gegevens (N)'!$C$17-'Invoer gegevens (N)'!$C$16)</f>
        <v>0</v>
      </c>
      <c r="AZ90" s="68">
        <f ca="1">IF(E90-'Invoer gegevens (N)'!$C$17-14.5&lt;0,0,E90-'Invoer gegevens (N)'!$C$17-14.5)</f>
        <v>70.5</v>
      </c>
      <c r="BA90" s="109">
        <f ca="1">IFERROR(VLOOKUP(E90-15,'Reeksen (N)'!$A$5:$D$234,2,FALSE),0)</f>
        <v>0</v>
      </c>
      <c r="BB90" s="109">
        <f ca="1">IFERROR(VLOOKUP(E90-15,'Reeksen (N)'!$A$5:$D$234,3,FALSE),0)</f>
        <v>0</v>
      </c>
      <c r="BC90" s="109">
        <f ca="1">IFERROR(VLOOKUP(E90-15,'Reeksen (N)'!$A$5:$D$234,4,FALSE),0)</f>
        <v>0</v>
      </c>
      <c r="BD90" s="67">
        <f ca="1">IF(E90-'Invoer gegevens (N)'!$C$17&lt;15,0,1)</f>
        <v>1</v>
      </c>
    </row>
    <row r="91" spans="1:56" x14ac:dyDescent="0.25">
      <c r="A91" s="59"/>
      <c r="B91" s="70">
        <f t="shared" si="30"/>
        <v>87</v>
      </c>
      <c r="C91" s="67">
        <f ca="1">IF(E91-'Invoer gegevens (N)'!$C$17&lt;0,0,1)</f>
        <v>1</v>
      </c>
      <c r="D91" s="68">
        <f t="shared" si="31"/>
        <v>86.5</v>
      </c>
      <c r="E91" s="108">
        <f ca="1">IF('Invoer gegevens (N)'!$C$16="","",E90+1)</f>
        <v>2105</v>
      </c>
      <c r="F91" s="84">
        <f ca="1">IF('Invoer gegevens (N)'!$C$17=E91,'Invoer gegevens (N)'!$C$10,IF(C91=1,K90,0))</f>
        <v>0</v>
      </c>
      <c r="G91" s="96">
        <f ca="1">IF(BD91&lt;1,F91*'Reeksen (N)'!C91,IF(C91&gt;=1,F91*BA91,0))</f>
        <v>0</v>
      </c>
      <c r="H91" s="84">
        <f ca="1">(1-('Invoer gegevens (N)'!$F$20/12))*F91*MIN(BA91,BC91)</f>
        <v>0</v>
      </c>
      <c r="I91" s="84">
        <f t="shared" ca="1" si="16"/>
        <v>0</v>
      </c>
      <c r="J91" s="84">
        <f ca="1">('Invoer gegevens (N)'!$F$20/12)*F90*MIN(BA91,BC91)</f>
        <v>0</v>
      </c>
      <c r="K91" s="97">
        <f t="shared" ca="1" si="21"/>
        <v>0</v>
      </c>
      <c r="L91" s="84">
        <f ca="1">IF('Invoer gegevens (N)'!$C$17=E91,0,IF(C91=1,Q90,0))</f>
        <v>0</v>
      </c>
      <c r="M91" s="96">
        <f t="shared" ca="1" si="17"/>
        <v>0</v>
      </c>
      <c r="N91" s="84">
        <f ca="1">(1-('Invoer gegevens (N)'!$F$20/12))*L91*MIN(BA91,BC91)</f>
        <v>0</v>
      </c>
      <c r="O91" s="84">
        <f t="shared" ca="1" si="18"/>
        <v>0</v>
      </c>
      <c r="P91" s="84">
        <f ca="1">('Invoer gegevens (N)'!$F$20/12)*L90*MIN(BA91,BC91)</f>
        <v>0</v>
      </c>
      <c r="Q91" s="84">
        <f t="shared" ca="1" si="22"/>
        <v>0</v>
      </c>
      <c r="R91" s="85">
        <f ca="1">IF('Invoer gegevens (N)'!$C$17=E91,'Invoer gegevens (N)'!$C$11,IF(C91=1,W90,0))</f>
        <v>0</v>
      </c>
      <c r="S91" s="86">
        <f t="shared" ca="1" si="19"/>
        <v>0</v>
      </c>
      <c r="T91" s="86">
        <f ca="1">(1-('Invoer gegevens (N)'!$F$20/12))*R91*MIN(BC91,BA91)</f>
        <v>0</v>
      </c>
      <c r="U91" s="86">
        <f ca="1">IF(BD91&lt;1,IF('Reeksen (N)'!AD91&lt;='Reeksen (N)'!AE91,R91*'Reeksen (N)'!C91,0),IF(BC91&gt;=BA91,0,IF('Reeksen (N)'!AD91&lt;='Reeksen (N)'!AE91,(BA91-BC91)*R91,0)))</f>
        <v>0</v>
      </c>
      <c r="V91" s="86">
        <f ca="1">IF(BD91&lt;1,IF('Reeksen (N)'!AD91&gt;'Reeksen (N)'!AE91,R91*'Reeksen (N)'!C91,0),IF(BC91&gt;=BA91,0,IF('Reeksen (N)'!AD91&gt;'Reeksen (N)'!AE91,(BA91-BC91)*R91,0)))</f>
        <v>0</v>
      </c>
      <c r="W91" s="218">
        <f t="shared" ca="1" si="23"/>
        <v>0</v>
      </c>
      <c r="X91" s="98">
        <f ca="1">IF('Invoer gegevens (N)'!$C$17=E91,'Invoer gegevens (N)'!$C$10-'Invoer gegevens (N)'!$C$11,IF(C91=1,AC90,0))</f>
        <v>0</v>
      </c>
      <c r="Y91" s="98">
        <f t="shared" ca="1" si="20"/>
        <v>0</v>
      </c>
      <c r="Z91" s="98">
        <f ca="1">(1-('Invoer gegevens (N)'!$F$20/12))*X91*MIN(BA91,BC91)</f>
        <v>0</v>
      </c>
      <c r="AA91" s="98">
        <f ca="1">IF(BD91&lt;1,IF('Reeksen (N)'!AD91&lt;='Reeksen (N)'!AE91,X91*'Reeksen (N)'!C91,0),IF(BC91&gt;=BA91,0,IF('Reeksen (N)'!AD91&lt;='Reeksen (N)'!AE91,(BA91-BC91)*X91,0)))</f>
        <v>0</v>
      </c>
      <c r="AB91" s="98">
        <f ca="1">IF(BD91&lt;1,IF('Reeksen (N)'!AD91&gt;'Reeksen (N)'!AE91,X91*'Reeksen (N)'!C91,0),IF(BC91&gt;=BA91,0,IF('Reeksen (N)'!AD91&gt;'Reeksen (N)'!AE91,(BA91-BC91)*X91,0)))</f>
        <v>0</v>
      </c>
      <c r="AC91" s="99">
        <f t="shared" ca="1" si="24"/>
        <v>0</v>
      </c>
      <c r="AD91" s="98">
        <f ca="1">IF('Invoer gegevens (N)'!$C$17=E91,R91,IF(C91=0,0,AE90))</f>
        <v>0</v>
      </c>
      <c r="AE91" s="98">
        <f t="shared" ca="1" si="25"/>
        <v>0</v>
      </c>
      <c r="AF91" s="98">
        <f ca="1">IF('Invoer gegevens (N)'!$C$17=E91,X91,IF(C91=0,0,AG90))</f>
        <v>0</v>
      </c>
      <c r="AG91" s="98">
        <f t="shared" ca="1" si="26"/>
        <v>0</v>
      </c>
      <c r="AH91" s="66"/>
      <c r="AI91" s="71">
        <f ca="1">IF(C91=1,'Reeksen (N)'!AI91*((F91+K91)/2)*12+'Reeksen (N)'!AD91*((L91+Q91)/2)*12,0)</f>
        <v>0</v>
      </c>
      <c r="AJ91" s="71">
        <f ca="1">-AI91*'Invoer gegevens (N)'!$F$28</f>
        <v>0</v>
      </c>
      <c r="AK91" s="71">
        <f t="shared" ca="1" si="27"/>
        <v>0</v>
      </c>
      <c r="AL91" s="71">
        <f ca="1">IF(C91=1,'Reeksen (N)'!AL91*((F91-G91+F91)/2)*12+'Reeksen (N)'!AM91*((L91-M91+L91)/2)*12,0)</f>
        <v>0</v>
      </c>
      <c r="AM91" s="71">
        <f ca="1">-AL91*'Invoer gegevens (N)'!$F$31</f>
        <v>0</v>
      </c>
      <c r="AN91" s="71">
        <f t="shared" ca="1" si="28"/>
        <v>0</v>
      </c>
      <c r="AO91" s="71">
        <f ca="1">IF(C91=1,(H91+J91+N91+P91)*'Reeksen (N)'!AN91,0)</f>
        <v>0</v>
      </c>
      <c r="AP91" s="71">
        <f ca="1">-IF(C91=1,(H91+J91+N91+P91)*'Hulp - basis'!$O$550*'Reeksen (N)'!H91,0)</f>
        <v>0</v>
      </c>
      <c r="AQ91" s="71">
        <f ca="1">-IF(C91=1,(F91+K91+L91+Q91)/2*'Invoer gegevens (N)'!$F$35*'Reeksen (N)'!J91,0)*2</f>
        <v>0</v>
      </c>
      <c r="AR91" s="71">
        <f ca="1">IF(BD91&lt;1,-IF(C91=1,(G91*'Invoer gegevens (N)'!$F$36)*'Reeksen (N)'!J91,0),0)</f>
        <v>0</v>
      </c>
      <c r="AS91" s="71">
        <f ca="1">-IF(C91=1,(F91+K91+L91+Q91)/2*'Invoer gegevens (N)'!$F$37*'Reeksen (N)'!L91,0)</f>
        <v>0</v>
      </c>
      <c r="AT91" s="71">
        <f ca="1">-IF(C91=1,IF(E91='Invoer gegevens (N)'!$C$17,'Invoer gegevens (N)'!$C$11,AD91)*'Reeksen (N)'!S91*'Invoer gegevens (N)'!$C$18*'Reeksen (N)'!P91,0)</f>
        <v>0</v>
      </c>
      <c r="AU91" s="71">
        <f ca="1">-IF(C91=1,(F91+K91+L91+Q91)/2*'Invoer gegevens (N)'!$F$38*'Reeksen (N)'!H91,0)</f>
        <v>0</v>
      </c>
      <c r="AV91" s="71">
        <v>0</v>
      </c>
      <c r="AW91" s="71">
        <f t="shared" ca="1" si="29"/>
        <v>0</v>
      </c>
      <c r="AX91" s="71">
        <f ca="1">IF(E91&lt;'Invoer gegevens (N)'!$C$17+15,0,IF(E91&gt;'Invoer gegevens (N)'!$C$17+215,0,AW91))</f>
        <v>0</v>
      </c>
      <c r="AY91" s="71">
        <f ca="1">AX91/(1+'Invoer gegevens (N)'!$F$18)^($AZ91-('Invoer gegevens (N)'!$C$17-'Invoer gegevens (N)'!$C$16))/(1+'Invoer gegevens (N)'!$C$39)^('Invoer gegevens (N)'!$C$17-'Invoer gegevens (N)'!$C$16)</f>
        <v>0</v>
      </c>
      <c r="AZ91" s="68">
        <f ca="1">IF(E91-'Invoer gegevens (N)'!$C$17-14.5&lt;0,0,E91-'Invoer gegevens (N)'!$C$17-14.5)</f>
        <v>71.5</v>
      </c>
      <c r="BA91" s="109">
        <f ca="1">IFERROR(VLOOKUP(E91-15,'Reeksen (N)'!$A$5:$D$234,2,FALSE),0)</f>
        <v>0</v>
      </c>
      <c r="BB91" s="109">
        <f ca="1">IFERROR(VLOOKUP(E91-15,'Reeksen (N)'!$A$5:$D$234,3,FALSE),0)</f>
        <v>0</v>
      </c>
      <c r="BC91" s="109">
        <f ca="1">IFERROR(VLOOKUP(E91-15,'Reeksen (N)'!$A$5:$D$234,4,FALSE),0)</f>
        <v>0</v>
      </c>
      <c r="BD91" s="67">
        <f ca="1">IF(E91-'Invoer gegevens (N)'!$C$17&lt;15,0,1)</f>
        <v>1</v>
      </c>
    </row>
    <row r="92" spans="1:56" x14ac:dyDescent="0.25">
      <c r="A92" s="59"/>
      <c r="B92" s="70">
        <f t="shared" si="30"/>
        <v>88</v>
      </c>
      <c r="C92" s="67">
        <f ca="1">IF(E92-'Invoer gegevens (N)'!$C$17&lt;0,0,1)</f>
        <v>1</v>
      </c>
      <c r="D92" s="68">
        <f t="shared" si="31"/>
        <v>87.5</v>
      </c>
      <c r="E92" s="108">
        <f ca="1">IF('Invoer gegevens (N)'!$C$16="","",E91+1)</f>
        <v>2106</v>
      </c>
      <c r="F92" s="84">
        <f ca="1">IF('Invoer gegevens (N)'!$C$17=E92,'Invoer gegevens (N)'!$C$10,IF(C92=1,K91,0))</f>
        <v>0</v>
      </c>
      <c r="G92" s="96">
        <f ca="1">IF(BD92&lt;1,F92*'Reeksen (N)'!C92,IF(C92&gt;=1,F92*BA92,0))</f>
        <v>0</v>
      </c>
      <c r="H92" s="84">
        <f ca="1">(1-('Invoer gegevens (N)'!$F$20/12))*F92*MIN(BA92,BC92)</f>
        <v>0</v>
      </c>
      <c r="I92" s="84">
        <f t="shared" ca="1" si="16"/>
        <v>0</v>
      </c>
      <c r="J92" s="84">
        <f ca="1">('Invoer gegevens (N)'!$F$20/12)*F91*MIN(BA92,BC92)</f>
        <v>0</v>
      </c>
      <c r="K92" s="97">
        <f t="shared" ca="1" si="21"/>
        <v>0</v>
      </c>
      <c r="L92" s="84">
        <f ca="1">IF('Invoer gegevens (N)'!$C$17=E92,0,IF(C92=1,Q91,0))</f>
        <v>0</v>
      </c>
      <c r="M92" s="96">
        <f t="shared" ca="1" si="17"/>
        <v>0</v>
      </c>
      <c r="N92" s="84">
        <f ca="1">(1-('Invoer gegevens (N)'!$F$20/12))*L92*MIN(BA92,BC92)</f>
        <v>0</v>
      </c>
      <c r="O92" s="84">
        <f t="shared" ca="1" si="18"/>
        <v>0</v>
      </c>
      <c r="P92" s="84">
        <f ca="1">('Invoer gegevens (N)'!$F$20/12)*L91*MIN(BA92,BC92)</f>
        <v>0</v>
      </c>
      <c r="Q92" s="84">
        <f t="shared" ca="1" si="22"/>
        <v>0</v>
      </c>
      <c r="R92" s="85">
        <f ca="1">IF('Invoer gegevens (N)'!$C$17=E92,'Invoer gegevens (N)'!$C$11,IF(C92=1,W91,0))</f>
        <v>0</v>
      </c>
      <c r="S92" s="86">
        <f t="shared" ca="1" si="19"/>
        <v>0</v>
      </c>
      <c r="T92" s="86">
        <f ca="1">(1-('Invoer gegevens (N)'!$F$20/12))*R92*MIN(BC92,BA92)</f>
        <v>0</v>
      </c>
      <c r="U92" s="86">
        <f ca="1">IF(BD92&lt;1,IF('Reeksen (N)'!AD92&lt;='Reeksen (N)'!AE92,R92*'Reeksen (N)'!C92,0),IF(BC92&gt;=BA92,0,IF('Reeksen (N)'!AD92&lt;='Reeksen (N)'!AE92,(BA92-BC92)*R92,0)))</f>
        <v>0</v>
      </c>
      <c r="V92" s="86">
        <f ca="1">IF(BD92&lt;1,IF('Reeksen (N)'!AD92&gt;'Reeksen (N)'!AE92,R92*'Reeksen (N)'!C92,0),IF(BC92&gt;=BA92,0,IF('Reeksen (N)'!AD92&gt;'Reeksen (N)'!AE92,(BA92-BC92)*R92,0)))</f>
        <v>0</v>
      </c>
      <c r="W92" s="218">
        <f t="shared" ca="1" si="23"/>
        <v>0</v>
      </c>
      <c r="X92" s="98">
        <f ca="1">IF('Invoer gegevens (N)'!$C$17=E92,'Invoer gegevens (N)'!$C$10-'Invoer gegevens (N)'!$C$11,IF(C92=1,AC91,0))</f>
        <v>0</v>
      </c>
      <c r="Y92" s="98">
        <f t="shared" ca="1" si="20"/>
        <v>0</v>
      </c>
      <c r="Z92" s="98">
        <f ca="1">(1-('Invoer gegevens (N)'!$F$20/12))*X92*MIN(BA92,BC92)</f>
        <v>0</v>
      </c>
      <c r="AA92" s="98">
        <f ca="1">IF(BD92&lt;1,IF('Reeksen (N)'!AD92&lt;='Reeksen (N)'!AE92,X92*'Reeksen (N)'!C92,0),IF(BC92&gt;=BA92,0,IF('Reeksen (N)'!AD92&lt;='Reeksen (N)'!AE92,(BA92-BC92)*X92,0)))</f>
        <v>0</v>
      </c>
      <c r="AB92" s="98">
        <f ca="1">IF(BD92&lt;1,IF('Reeksen (N)'!AD92&gt;'Reeksen (N)'!AE92,X92*'Reeksen (N)'!C92,0),IF(BC92&gt;=BA92,0,IF('Reeksen (N)'!AD92&gt;'Reeksen (N)'!AE92,(BA92-BC92)*X92,0)))</f>
        <v>0</v>
      </c>
      <c r="AC92" s="99">
        <f t="shared" ca="1" si="24"/>
        <v>0</v>
      </c>
      <c r="AD92" s="98">
        <f ca="1">IF('Invoer gegevens (N)'!$C$17=E92,R92,IF(C92=0,0,AE91))</f>
        <v>0</v>
      </c>
      <c r="AE92" s="98">
        <f t="shared" ca="1" si="25"/>
        <v>0</v>
      </c>
      <c r="AF92" s="98">
        <f ca="1">IF('Invoer gegevens (N)'!$C$17=E92,X92,IF(C92=0,0,AG91))</f>
        <v>0</v>
      </c>
      <c r="AG92" s="98">
        <f t="shared" ca="1" si="26"/>
        <v>0</v>
      </c>
      <c r="AH92" s="66"/>
      <c r="AI92" s="71">
        <f ca="1">IF(C92=1,'Reeksen (N)'!AI92*((F92+K92)/2)*12+'Reeksen (N)'!AD92*((L92+Q92)/2)*12,0)</f>
        <v>0</v>
      </c>
      <c r="AJ92" s="71">
        <f ca="1">-AI92*'Invoer gegevens (N)'!$F$28</f>
        <v>0</v>
      </c>
      <c r="AK92" s="71">
        <f t="shared" ca="1" si="27"/>
        <v>0</v>
      </c>
      <c r="AL92" s="71">
        <f ca="1">IF(C92=1,'Reeksen (N)'!AL92*((F92-G92+F92)/2)*12+'Reeksen (N)'!AM92*((L92-M92+L92)/2)*12,0)</f>
        <v>0</v>
      </c>
      <c r="AM92" s="71">
        <f ca="1">-AL92*'Invoer gegevens (N)'!$F$31</f>
        <v>0</v>
      </c>
      <c r="AN92" s="71">
        <f t="shared" ca="1" si="28"/>
        <v>0</v>
      </c>
      <c r="AO92" s="71">
        <f ca="1">IF(C92=1,(H92+J92+N92+P92)*'Reeksen (N)'!AN92,0)</f>
        <v>0</v>
      </c>
      <c r="AP92" s="71">
        <f ca="1">-IF(C92=1,(H92+J92+N92+P92)*'Hulp - basis'!$O$550*'Reeksen (N)'!H92,0)</f>
        <v>0</v>
      </c>
      <c r="AQ92" s="71">
        <f ca="1">-IF(C92=1,(F92+K92+L92+Q92)/2*'Invoer gegevens (N)'!$F$35*'Reeksen (N)'!J92,0)*2</f>
        <v>0</v>
      </c>
      <c r="AR92" s="71">
        <f ca="1">IF(BD92&lt;1,-IF(C92=1,(G92*'Invoer gegevens (N)'!$F$36)*'Reeksen (N)'!J92,0),0)</f>
        <v>0</v>
      </c>
      <c r="AS92" s="71">
        <f ca="1">-IF(C92=1,(F92+K92+L92+Q92)/2*'Invoer gegevens (N)'!$F$37*'Reeksen (N)'!L92,0)</f>
        <v>0</v>
      </c>
      <c r="AT92" s="71">
        <f ca="1">-IF(C92=1,IF(E92='Invoer gegevens (N)'!$C$17,'Invoer gegevens (N)'!$C$11,AD92)*'Reeksen (N)'!S92*'Invoer gegevens (N)'!$C$18*'Reeksen (N)'!P92,0)</f>
        <v>0</v>
      </c>
      <c r="AU92" s="71">
        <f ca="1">-IF(C92=1,(F92+K92+L92+Q92)/2*'Invoer gegevens (N)'!$F$38*'Reeksen (N)'!H92,0)</f>
        <v>0</v>
      </c>
      <c r="AV92" s="71">
        <v>0</v>
      </c>
      <c r="AW92" s="71">
        <f t="shared" ca="1" si="29"/>
        <v>0</v>
      </c>
      <c r="AX92" s="71">
        <f ca="1">IF(E92&lt;'Invoer gegevens (N)'!$C$17+15,0,IF(E92&gt;'Invoer gegevens (N)'!$C$17+215,0,AW92))</f>
        <v>0</v>
      </c>
      <c r="AY92" s="71">
        <f ca="1">AX92/(1+'Invoer gegevens (N)'!$F$18)^($AZ92-('Invoer gegevens (N)'!$C$17-'Invoer gegevens (N)'!$C$16))/(1+'Invoer gegevens (N)'!$C$39)^('Invoer gegevens (N)'!$C$17-'Invoer gegevens (N)'!$C$16)</f>
        <v>0</v>
      </c>
      <c r="AZ92" s="68">
        <f ca="1">IF(E92-'Invoer gegevens (N)'!$C$17-14.5&lt;0,0,E92-'Invoer gegevens (N)'!$C$17-14.5)</f>
        <v>72.5</v>
      </c>
      <c r="BA92" s="109">
        <f ca="1">IFERROR(VLOOKUP(E92-15,'Reeksen (N)'!$A$5:$D$234,2,FALSE),0)</f>
        <v>0</v>
      </c>
      <c r="BB92" s="109">
        <f ca="1">IFERROR(VLOOKUP(E92-15,'Reeksen (N)'!$A$5:$D$234,3,FALSE),0)</f>
        <v>0</v>
      </c>
      <c r="BC92" s="109">
        <f ca="1">IFERROR(VLOOKUP(E92-15,'Reeksen (N)'!$A$5:$D$234,4,FALSE),0)</f>
        <v>0</v>
      </c>
      <c r="BD92" s="67">
        <f ca="1">IF(E92-'Invoer gegevens (N)'!$C$17&lt;15,0,1)</f>
        <v>1</v>
      </c>
    </row>
    <row r="93" spans="1:56" x14ac:dyDescent="0.25">
      <c r="A93" s="59"/>
      <c r="B93" s="70">
        <f t="shared" si="30"/>
        <v>89</v>
      </c>
      <c r="C93" s="67">
        <f ca="1">IF(E93-'Invoer gegevens (N)'!$C$17&lt;0,0,1)</f>
        <v>1</v>
      </c>
      <c r="D93" s="68">
        <f t="shared" si="31"/>
        <v>88.5</v>
      </c>
      <c r="E93" s="108">
        <f ca="1">IF('Invoer gegevens (N)'!$C$16="","",E92+1)</f>
        <v>2107</v>
      </c>
      <c r="F93" s="84">
        <f ca="1">IF('Invoer gegevens (N)'!$C$17=E93,'Invoer gegevens (N)'!$C$10,IF(C93=1,K92,0))</f>
        <v>0</v>
      </c>
      <c r="G93" s="96">
        <f ca="1">IF(BD93&lt;1,F93*'Reeksen (N)'!C93,IF(C93&gt;=1,F93*BA93,0))</f>
        <v>0</v>
      </c>
      <c r="H93" s="84">
        <f ca="1">(1-('Invoer gegevens (N)'!$F$20/12))*F93*MIN(BA93,BC93)</f>
        <v>0</v>
      </c>
      <c r="I93" s="84">
        <f t="shared" ca="1" si="16"/>
        <v>0</v>
      </c>
      <c r="J93" s="84">
        <f ca="1">('Invoer gegevens (N)'!$F$20/12)*F92*MIN(BA93,BC93)</f>
        <v>0</v>
      </c>
      <c r="K93" s="97">
        <f t="shared" ca="1" si="21"/>
        <v>0</v>
      </c>
      <c r="L93" s="84">
        <f ca="1">IF('Invoer gegevens (N)'!$C$17=E93,0,IF(C93=1,Q92,0))</f>
        <v>0</v>
      </c>
      <c r="M93" s="96">
        <f t="shared" ca="1" si="17"/>
        <v>0</v>
      </c>
      <c r="N93" s="84">
        <f ca="1">(1-('Invoer gegevens (N)'!$F$20/12))*L93*MIN(BA93,BC93)</f>
        <v>0</v>
      </c>
      <c r="O93" s="84">
        <f t="shared" ca="1" si="18"/>
        <v>0</v>
      </c>
      <c r="P93" s="84">
        <f ca="1">('Invoer gegevens (N)'!$F$20/12)*L92*MIN(BA93,BC93)</f>
        <v>0</v>
      </c>
      <c r="Q93" s="84">
        <f t="shared" ca="1" si="22"/>
        <v>0</v>
      </c>
      <c r="R93" s="85">
        <f ca="1">IF('Invoer gegevens (N)'!$C$17=E93,'Invoer gegevens (N)'!$C$11,IF(C93=1,W92,0))</f>
        <v>0</v>
      </c>
      <c r="S93" s="86">
        <f t="shared" ca="1" si="19"/>
        <v>0</v>
      </c>
      <c r="T93" s="86">
        <f ca="1">(1-('Invoer gegevens (N)'!$F$20/12))*R93*MIN(BC93,BA93)</f>
        <v>0</v>
      </c>
      <c r="U93" s="86">
        <f ca="1">IF(BD93&lt;1,IF('Reeksen (N)'!AD93&lt;='Reeksen (N)'!AE93,R93*'Reeksen (N)'!C93,0),IF(BC93&gt;=BA93,0,IF('Reeksen (N)'!AD93&lt;='Reeksen (N)'!AE93,(BA93-BC93)*R93,0)))</f>
        <v>0</v>
      </c>
      <c r="V93" s="86">
        <f ca="1">IF(BD93&lt;1,IF('Reeksen (N)'!AD93&gt;'Reeksen (N)'!AE93,R93*'Reeksen (N)'!C93,0),IF(BC93&gt;=BA93,0,IF('Reeksen (N)'!AD93&gt;'Reeksen (N)'!AE93,(BA93-BC93)*R93,0)))</f>
        <v>0</v>
      </c>
      <c r="W93" s="218">
        <f t="shared" ca="1" si="23"/>
        <v>0</v>
      </c>
      <c r="X93" s="98">
        <f ca="1">IF('Invoer gegevens (N)'!$C$17=E93,'Invoer gegevens (N)'!$C$10-'Invoer gegevens (N)'!$C$11,IF(C93=1,AC92,0))</f>
        <v>0</v>
      </c>
      <c r="Y93" s="98">
        <f t="shared" ca="1" si="20"/>
        <v>0</v>
      </c>
      <c r="Z93" s="98">
        <f ca="1">(1-('Invoer gegevens (N)'!$F$20/12))*X93*MIN(BA93,BC93)</f>
        <v>0</v>
      </c>
      <c r="AA93" s="98">
        <f ca="1">IF(BD93&lt;1,IF('Reeksen (N)'!AD93&lt;='Reeksen (N)'!AE93,X93*'Reeksen (N)'!C93,0),IF(BC93&gt;=BA93,0,IF('Reeksen (N)'!AD93&lt;='Reeksen (N)'!AE93,(BA93-BC93)*X93,0)))</f>
        <v>0</v>
      </c>
      <c r="AB93" s="98">
        <f ca="1">IF(BD93&lt;1,IF('Reeksen (N)'!AD93&gt;'Reeksen (N)'!AE93,X93*'Reeksen (N)'!C93,0),IF(BC93&gt;=BA93,0,IF('Reeksen (N)'!AD93&gt;'Reeksen (N)'!AE93,(BA93-BC93)*X93,0)))</f>
        <v>0</v>
      </c>
      <c r="AC93" s="99">
        <f t="shared" ca="1" si="24"/>
        <v>0</v>
      </c>
      <c r="AD93" s="98">
        <f ca="1">IF('Invoer gegevens (N)'!$C$17=E93,R93,IF(C93=0,0,AE92))</f>
        <v>0</v>
      </c>
      <c r="AE93" s="98">
        <f t="shared" ca="1" si="25"/>
        <v>0</v>
      </c>
      <c r="AF93" s="98">
        <f ca="1">IF('Invoer gegevens (N)'!$C$17=E93,X93,IF(C93=0,0,AG92))</f>
        <v>0</v>
      </c>
      <c r="AG93" s="98">
        <f t="shared" ca="1" si="26"/>
        <v>0</v>
      </c>
      <c r="AH93" s="66"/>
      <c r="AI93" s="71">
        <f ca="1">IF(C93=1,'Reeksen (N)'!AI93*((F93+K93)/2)*12+'Reeksen (N)'!AD93*((L93+Q93)/2)*12,0)</f>
        <v>0</v>
      </c>
      <c r="AJ93" s="71">
        <f ca="1">-AI93*'Invoer gegevens (N)'!$F$28</f>
        <v>0</v>
      </c>
      <c r="AK93" s="71">
        <f t="shared" ca="1" si="27"/>
        <v>0</v>
      </c>
      <c r="AL93" s="71">
        <f ca="1">IF(C93=1,'Reeksen (N)'!AL93*((F93-G93+F93)/2)*12+'Reeksen (N)'!AM93*((L93-M93+L93)/2)*12,0)</f>
        <v>0</v>
      </c>
      <c r="AM93" s="71">
        <f ca="1">-AL93*'Invoer gegevens (N)'!$F$31</f>
        <v>0</v>
      </c>
      <c r="AN93" s="71">
        <f t="shared" ca="1" si="28"/>
        <v>0</v>
      </c>
      <c r="AO93" s="71">
        <f ca="1">IF(C93=1,(H93+J93+N93+P93)*'Reeksen (N)'!AN93,0)</f>
        <v>0</v>
      </c>
      <c r="AP93" s="71">
        <f ca="1">-IF(C93=1,(H93+J93+N93+P93)*'Hulp - basis'!$O$550*'Reeksen (N)'!H93,0)</f>
        <v>0</v>
      </c>
      <c r="AQ93" s="71">
        <f ca="1">-IF(C93=1,(F93+K93+L93+Q93)/2*'Invoer gegevens (N)'!$F$35*'Reeksen (N)'!J93,0)*2</f>
        <v>0</v>
      </c>
      <c r="AR93" s="71">
        <f ca="1">IF(BD93&lt;1,-IF(C93=1,(G93*'Invoer gegevens (N)'!$F$36)*'Reeksen (N)'!J93,0),0)</f>
        <v>0</v>
      </c>
      <c r="AS93" s="71">
        <f ca="1">-IF(C93=1,(F93+K93+L93+Q93)/2*'Invoer gegevens (N)'!$F$37*'Reeksen (N)'!L93,0)</f>
        <v>0</v>
      </c>
      <c r="AT93" s="71">
        <f ca="1">-IF(C93=1,IF(E93='Invoer gegevens (N)'!$C$17,'Invoer gegevens (N)'!$C$11,AD93)*'Reeksen (N)'!S93*'Invoer gegevens (N)'!$C$18*'Reeksen (N)'!P93,0)</f>
        <v>0</v>
      </c>
      <c r="AU93" s="71">
        <f ca="1">-IF(C93=1,(F93+K93+L93+Q93)/2*'Invoer gegevens (N)'!$F$38*'Reeksen (N)'!H93,0)</f>
        <v>0</v>
      </c>
      <c r="AV93" s="71">
        <v>0</v>
      </c>
      <c r="AW93" s="71">
        <f t="shared" ca="1" si="29"/>
        <v>0</v>
      </c>
      <c r="AX93" s="71">
        <f ca="1">IF(E93&lt;'Invoer gegevens (N)'!$C$17+15,0,IF(E93&gt;'Invoer gegevens (N)'!$C$17+215,0,AW93))</f>
        <v>0</v>
      </c>
      <c r="AY93" s="71">
        <f ca="1">AX93/(1+'Invoer gegevens (N)'!$F$18)^($AZ93-('Invoer gegevens (N)'!$C$17-'Invoer gegevens (N)'!$C$16))/(1+'Invoer gegevens (N)'!$C$39)^('Invoer gegevens (N)'!$C$17-'Invoer gegevens (N)'!$C$16)</f>
        <v>0</v>
      </c>
      <c r="AZ93" s="68">
        <f ca="1">IF(E93-'Invoer gegevens (N)'!$C$17-14.5&lt;0,0,E93-'Invoer gegevens (N)'!$C$17-14.5)</f>
        <v>73.5</v>
      </c>
      <c r="BA93" s="109">
        <f ca="1">IFERROR(VLOOKUP(E93-15,'Reeksen (N)'!$A$5:$D$234,2,FALSE),0)</f>
        <v>0</v>
      </c>
      <c r="BB93" s="109">
        <f ca="1">IFERROR(VLOOKUP(E93-15,'Reeksen (N)'!$A$5:$D$234,3,FALSE),0)</f>
        <v>0</v>
      </c>
      <c r="BC93" s="109">
        <f ca="1">IFERROR(VLOOKUP(E93-15,'Reeksen (N)'!$A$5:$D$234,4,FALSE),0)</f>
        <v>0</v>
      </c>
      <c r="BD93" s="67">
        <f ca="1">IF(E93-'Invoer gegevens (N)'!$C$17&lt;15,0,1)</f>
        <v>1</v>
      </c>
    </row>
    <row r="94" spans="1:56" x14ac:dyDescent="0.25">
      <c r="A94" s="59"/>
      <c r="B94" s="70">
        <f t="shared" si="30"/>
        <v>90</v>
      </c>
      <c r="C94" s="67">
        <f ca="1">IF(E94-'Invoer gegevens (N)'!$C$17&lt;0,0,1)</f>
        <v>1</v>
      </c>
      <c r="D94" s="68">
        <f t="shared" si="31"/>
        <v>89.5</v>
      </c>
      <c r="E94" s="108">
        <f ca="1">IF('Invoer gegevens (N)'!$C$16="","",E93+1)</f>
        <v>2108</v>
      </c>
      <c r="F94" s="84">
        <f ca="1">IF('Invoer gegevens (N)'!$C$17=E94,'Invoer gegevens (N)'!$C$10,IF(C94=1,K93,0))</f>
        <v>0</v>
      </c>
      <c r="G94" s="96">
        <f ca="1">IF(BD94&lt;1,F94*'Reeksen (N)'!C94,IF(C94&gt;=1,F94*BA94,0))</f>
        <v>0</v>
      </c>
      <c r="H94" s="84">
        <f ca="1">(1-('Invoer gegevens (N)'!$F$20/12))*F94*MIN(BA94,BC94)</f>
        <v>0</v>
      </c>
      <c r="I94" s="84">
        <f t="shared" ca="1" si="16"/>
        <v>0</v>
      </c>
      <c r="J94" s="84">
        <f ca="1">('Invoer gegevens (N)'!$F$20/12)*F93*MIN(BA94,BC94)</f>
        <v>0</v>
      </c>
      <c r="K94" s="97">
        <f t="shared" ca="1" si="21"/>
        <v>0</v>
      </c>
      <c r="L94" s="84">
        <f ca="1">IF('Invoer gegevens (N)'!$C$17=E94,0,IF(C94=1,Q93,0))</f>
        <v>0</v>
      </c>
      <c r="M94" s="96">
        <f t="shared" ca="1" si="17"/>
        <v>0</v>
      </c>
      <c r="N94" s="84">
        <f ca="1">(1-('Invoer gegevens (N)'!$F$20/12))*L94*MIN(BA94,BC94)</f>
        <v>0</v>
      </c>
      <c r="O94" s="84">
        <f t="shared" ca="1" si="18"/>
        <v>0</v>
      </c>
      <c r="P94" s="84">
        <f ca="1">('Invoer gegevens (N)'!$F$20/12)*L93*MIN(BA94,BC94)</f>
        <v>0</v>
      </c>
      <c r="Q94" s="84">
        <f t="shared" ca="1" si="22"/>
        <v>0</v>
      </c>
      <c r="R94" s="85">
        <f ca="1">IF('Invoer gegevens (N)'!$C$17=E94,'Invoer gegevens (N)'!$C$11,IF(C94=1,W93,0))</f>
        <v>0</v>
      </c>
      <c r="S94" s="86">
        <f t="shared" ca="1" si="19"/>
        <v>0</v>
      </c>
      <c r="T94" s="86">
        <f ca="1">(1-('Invoer gegevens (N)'!$F$20/12))*R94*MIN(BC94,BA94)</f>
        <v>0</v>
      </c>
      <c r="U94" s="86">
        <f ca="1">IF(BD94&lt;1,IF('Reeksen (N)'!AD94&lt;='Reeksen (N)'!AE94,R94*'Reeksen (N)'!C94,0),IF(BC94&gt;=BA94,0,IF('Reeksen (N)'!AD94&lt;='Reeksen (N)'!AE94,(BA94-BC94)*R94,0)))</f>
        <v>0</v>
      </c>
      <c r="V94" s="86">
        <f ca="1">IF(BD94&lt;1,IF('Reeksen (N)'!AD94&gt;'Reeksen (N)'!AE94,R94*'Reeksen (N)'!C94,0),IF(BC94&gt;=BA94,0,IF('Reeksen (N)'!AD94&gt;'Reeksen (N)'!AE94,(BA94-BC94)*R94,0)))</f>
        <v>0</v>
      </c>
      <c r="W94" s="218">
        <f t="shared" ca="1" si="23"/>
        <v>0</v>
      </c>
      <c r="X94" s="98">
        <f ca="1">IF('Invoer gegevens (N)'!$C$17=E94,'Invoer gegevens (N)'!$C$10-'Invoer gegevens (N)'!$C$11,IF(C94=1,AC93,0))</f>
        <v>0</v>
      </c>
      <c r="Y94" s="98">
        <f t="shared" ca="1" si="20"/>
        <v>0</v>
      </c>
      <c r="Z94" s="98">
        <f ca="1">(1-('Invoer gegevens (N)'!$F$20/12))*X94*MIN(BA94,BC94)</f>
        <v>0</v>
      </c>
      <c r="AA94" s="98">
        <f ca="1">IF(BD94&lt;1,IF('Reeksen (N)'!AD94&lt;='Reeksen (N)'!AE94,X94*'Reeksen (N)'!C94,0),IF(BC94&gt;=BA94,0,IF('Reeksen (N)'!AD94&lt;='Reeksen (N)'!AE94,(BA94-BC94)*X94,0)))</f>
        <v>0</v>
      </c>
      <c r="AB94" s="98">
        <f ca="1">IF(BD94&lt;1,IF('Reeksen (N)'!AD94&gt;'Reeksen (N)'!AE94,X94*'Reeksen (N)'!C94,0),IF(BC94&gt;=BA94,0,IF('Reeksen (N)'!AD94&gt;'Reeksen (N)'!AE94,(BA94-BC94)*X94,0)))</f>
        <v>0</v>
      </c>
      <c r="AC94" s="99">
        <f t="shared" ca="1" si="24"/>
        <v>0</v>
      </c>
      <c r="AD94" s="98">
        <f ca="1">IF('Invoer gegevens (N)'!$C$17=E94,R94,IF(C94=0,0,AE93))</f>
        <v>0</v>
      </c>
      <c r="AE94" s="98">
        <f t="shared" ca="1" si="25"/>
        <v>0</v>
      </c>
      <c r="AF94" s="98">
        <f ca="1">IF('Invoer gegevens (N)'!$C$17=E94,X94,IF(C94=0,0,AG93))</f>
        <v>0</v>
      </c>
      <c r="AG94" s="98">
        <f t="shared" ca="1" si="26"/>
        <v>0</v>
      </c>
      <c r="AH94" s="66"/>
      <c r="AI94" s="71">
        <f ca="1">IF(C94=1,'Reeksen (N)'!AI94*((F94+K94)/2)*12+'Reeksen (N)'!AD94*((L94+Q94)/2)*12,0)</f>
        <v>0</v>
      </c>
      <c r="AJ94" s="71">
        <f ca="1">-AI94*'Invoer gegevens (N)'!$F$28</f>
        <v>0</v>
      </c>
      <c r="AK94" s="71">
        <f t="shared" ca="1" si="27"/>
        <v>0</v>
      </c>
      <c r="AL94" s="71">
        <f ca="1">IF(C94=1,'Reeksen (N)'!AL94*((F94-G94+F94)/2)*12+'Reeksen (N)'!AM94*((L94-M94+L94)/2)*12,0)</f>
        <v>0</v>
      </c>
      <c r="AM94" s="71">
        <f ca="1">-AL94*'Invoer gegevens (N)'!$F$31</f>
        <v>0</v>
      </c>
      <c r="AN94" s="71">
        <f t="shared" ca="1" si="28"/>
        <v>0</v>
      </c>
      <c r="AO94" s="71">
        <f ca="1">IF(C94=1,(H94+J94+N94+P94)*'Reeksen (N)'!AN94,0)</f>
        <v>0</v>
      </c>
      <c r="AP94" s="71">
        <f ca="1">-IF(C94=1,(H94+J94+N94+P94)*'Hulp - basis'!$O$550*'Reeksen (N)'!H94,0)</f>
        <v>0</v>
      </c>
      <c r="AQ94" s="71">
        <f ca="1">-IF(C94=1,(F94+K94+L94+Q94)/2*'Invoer gegevens (N)'!$F$35*'Reeksen (N)'!J94,0)*2</f>
        <v>0</v>
      </c>
      <c r="AR94" s="71">
        <f ca="1">IF(BD94&lt;1,-IF(C94=1,(G94*'Invoer gegevens (N)'!$F$36)*'Reeksen (N)'!J94,0),0)</f>
        <v>0</v>
      </c>
      <c r="AS94" s="71">
        <f ca="1">-IF(C94=1,(F94+K94+L94+Q94)/2*'Invoer gegevens (N)'!$F$37*'Reeksen (N)'!L94,0)</f>
        <v>0</v>
      </c>
      <c r="AT94" s="71">
        <f ca="1">-IF(C94=1,IF(E94='Invoer gegevens (N)'!$C$17,'Invoer gegevens (N)'!$C$11,AD94)*'Reeksen (N)'!S94*'Invoer gegevens (N)'!$C$18*'Reeksen (N)'!P94,0)</f>
        <v>0</v>
      </c>
      <c r="AU94" s="71">
        <f ca="1">-IF(C94=1,(F94+K94+L94+Q94)/2*'Invoer gegevens (N)'!$F$38*'Reeksen (N)'!H94,0)</f>
        <v>0</v>
      </c>
      <c r="AV94" s="71">
        <v>0</v>
      </c>
      <c r="AW94" s="71">
        <f t="shared" ca="1" si="29"/>
        <v>0</v>
      </c>
      <c r="AX94" s="71">
        <f ca="1">IF(E94&lt;'Invoer gegevens (N)'!$C$17+15,0,IF(E94&gt;'Invoer gegevens (N)'!$C$17+215,0,AW94))</f>
        <v>0</v>
      </c>
      <c r="AY94" s="71">
        <f ca="1">AX94/(1+'Invoer gegevens (N)'!$F$18)^($AZ94-('Invoer gegevens (N)'!$C$17-'Invoer gegevens (N)'!$C$16))/(1+'Invoer gegevens (N)'!$C$39)^('Invoer gegevens (N)'!$C$17-'Invoer gegevens (N)'!$C$16)</f>
        <v>0</v>
      </c>
      <c r="AZ94" s="68">
        <f ca="1">IF(E94-'Invoer gegevens (N)'!$C$17-14.5&lt;0,0,E94-'Invoer gegevens (N)'!$C$17-14.5)</f>
        <v>74.5</v>
      </c>
      <c r="BA94" s="109">
        <f ca="1">IFERROR(VLOOKUP(E94-15,'Reeksen (N)'!$A$5:$D$234,2,FALSE),0)</f>
        <v>0</v>
      </c>
      <c r="BB94" s="109">
        <f ca="1">IFERROR(VLOOKUP(E94-15,'Reeksen (N)'!$A$5:$D$234,3,FALSE),0)</f>
        <v>0</v>
      </c>
      <c r="BC94" s="109">
        <f ca="1">IFERROR(VLOOKUP(E94-15,'Reeksen (N)'!$A$5:$D$234,4,FALSE),0)</f>
        <v>0</v>
      </c>
      <c r="BD94" s="67">
        <f ca="1">IF(E94-'Invoer gegevens (N)'!$C$17&lt;15,0,1)</f>
        <v>1</v>
      </c>
    </row>
    <row r="95" spans="1:56" x14ac:dyDescent="0.25">
      <c r="A95" s="59"/>
      <c r="B95" s="70">
        <f t="shared" si="30"/>
        <v>91</v>
      </c>
      <c r="C95" s="67">
        <f ca="1">IF(E95-'Invoer gegevens (N)'!$C$17&lt;0,0,1)</f>
        <v>1</v>
      </c>
      <c r="D95" s="68">
        <f t="shared" si="31"/>
        <v>90.5</v>
      </c>
      <c r="E95" s="108">
        <f ca="1">IF('Invoer gegevens (N)'!$C$16="","",E94+1)</f>
        <v>2109</v>
      </c>
      <c r="F95" s="84">
        <f ca="1">IF('Invoer gegevens (N)'!$C$17=E95,'Invoer gegevens (N)'!$C$10,IF(C95=1,K94,0))</f>
        <v>0</v>
      </c>
      <c r="G95" s="96">
        <f ca="1">IF(BD95&lt;1,F95*'Reeksen (N)'!C95,IF(C95&gt;=1,F95*BA95,0))</f>
        <v>0</v>
      </c>
      <c r="H95" s="84">
        <f ca="1">(1-('Invoer gegevens (N)'!$F$20/12))*F95*MIN(BA95,BC95)</f>
        <v>0</v>
      </c>
      <c r="I95" s="84">
        <f t="shared" ca="1" si="16"/>
        <v>0</v>
      </c>
      <c r="J95" s="84">
        <f ca="1">('Invoer gegevens (N)'!$F$20/12)*F94*MIN(BA95,BC95)</f>
        <v>0</v>
      </c>
      <c r="K95" s="97">
        <f t="shared" ca="1" si="21"/>
        <v>0</v>
      </c>
      <c r="L95" s="84">
        <f ca="1">IF('Invoer gegevens (N)'!$C$17=E95,0,IF(C95=1,Q94,0))</f>
        <v>0</v>
      </c>
      <c r="M95" s="96">
        <f t="shared" ca="1" si="17"/>
        <v>0</v>
      </c>
      <c r="N95" s="84">
        <f ca="1">(1-('Invoer gegevens (N)'!$F$20/12))*L95*MIN(BA95,BC95)</f>
        <v>0</v>
      </c>
      <c r="O95" s="84">
        <f t="shared" ca="1" si="18"/>
        <v>0</v>
      </c>
      <c r="P95" s="84">
        <f ca="1">('Invoer gegevens (N)'!$F$20/12)*L94*MIN(BA95,BC95)</f>
        <v>0</v>
      </c>
      <c r="Q95" s="84">
        <f t="shared" ca="1" si="22"/>
        <v>0</v>
      </c>
      <c r="R95" s="85">
        <f ca="1">IF('Invoer gegevens (N)'!$C$17=E95,'Invoer gegevens (N)'!$C$11,IF(C95=1,W94,0))</f>
        <v>0</v>
      </c>
      <c r="S95" s="86">
        <f t="shared" ca="1" si="19"/>
        <v>0</v>
      </c>
      <c r="T95" s="86">
        <f ca="1">(1-('Invoer gegevens (N)'!$F$20/12))*R95*MIN(BC95,BA95)</f>
        <v>0</v>
      </c>
      <c r="U95" s="86">
        <f ca="1">IF(BD95&lt;1,IF('Reeksen (N)'!AD95&lt;='Reeksen (N)'!AE95,R95*'Reeksen (N)'!C95,0),IF(BC95&gt;=BA95,0,IF('Reeksen (N)'!AD95&lt;='Reeksen (N)'!AE95,(BA95-BC95)*R95,0)))</f>
        <v>0</v>
      </c>
      <c r="V95" s="86">
        <f ca="1">IF(BD95&lt;1,IF('Reeksen (N)'!AD95&gt;'Reeksen (N)'!AE95,R95*'Reeksen (N)'!C95,0),IF(BC95&gt;=BA95,0,IF('Reeksen (N)'!AD95&gt;'Reeksen (N)'!AE95,(BA95-BC95)*R95,0)))</f>
        <v>0</v>
      </c>
      <c r="W95" s="218">
        <f t="shared" ca="1" si="23"/>
        <v>0</v>
      </c>
      <c r="X95" s="98">
        <f ca="1">IF('Invoer gegevens (N)'!$C$17=E95,'Invoer gegevens (N)'!$C$10-'Invoer gegevens (N)'!$C$11,IF(C95=1,AC94,0))</f>
        <v>0</v>
      </c>
      <c r="Y95" s="98">
        <f t="shared" ca="1" si="20"/>
        <v>0</v>
      </c>
      <c r="Z95" s="98">
        <f ca="1">(1-('Invoer gegevens (N)'!$F$20/12))*X95*MIN(BA95,BC95)</f>
        <v>0</v>
      </c>
      <c r="AA95" s="98">
        <f ca="1">IF(BD95&lt;1,IF('Reeksen (N)'!AD95&lt;='Reeksen (N)'!AE95,X95*'Reeksen (N)'!C95,0),IF(BC95&gt;=BA95,0,IF('Reeksen (N)'!AD95&lt;='Reeksen (N)'!AE95,(BA95-BC95)*X95,0)))</f>
        <v>0</v>
      </c>
      <c r="AB95" s="98">
        <f ca="1">IF(BD95&lt;1,IF('Reeksen (N)'!AD95&gt;'Reeksen (N)'!AE95,X95*'Reeksen (N)'!C95,0),IF(BC95&gt;=BA95,0,IF('Reeksen (N)'!AD95&gt;'Reeksen (N)'!AE95,(BA95-BC95)*X95,0)))</f>
        <v>0</v>
      </c>
      <c r="AC95" s="99">
        <f t="shared" ca="1" si="24"/>
        <v>0</v>
      </c>
      <c r="AD95" s="98">
        <f ca="1">IF('Invoer gegevens (N)'!$C$17=E95,R95,IF(C95=0,0,AE94))</f>
        <v>0</v>
      </c>
      <c r="AE95" s="98">
        <f t="shared" ca="1" si="25"/>
        <v>0</v>
      </c>
      <c r="AF95" s="98">
        <f ca="1">IF('Invoer gegevens (N)'!$C$17=E95,X95,IF(C95=0,0,AG94))</f>
        <v>0</v>
      </c>
      <c r="AG95" s="98">
        <f t="shared" ca="1" si="26"/>
        <v>0</v>
      </c>
      <c r="AH95" s="66"/>
      <c r="AI95" s="71">
        <f ca="1">IF(C95=1,'Reeksen (N)'!AI95*((F95+K95)/2)*12+'Reeksen (N)'!AD95*((L95+Q95)/2)*12,0)</f>
        <v>0</v>
      </c>
      <c r="AJ95" s="71">
        <f ca="1">-AI95*'Invoer gegevens (N)'!$F$28</f>
        <v>0</v>
      </c>
      <c r="AK95" s="71">
        <f t="shared" ca="1" si="27"/>
        <v>0</v>
      </c>
      <c r="AL95" s="71">
        <f ca="1">IF(C95=1,'Reeksen (N)'!AL95*((F95-G95+F95)/2)*12+'Reeksen (N)'!AM95*((L95-M95+L95)/2)*12,0)</f>
        <v>0</v>
      </c>
      <c r="AM95" s="71">
        <f ca="1">-AL95*'Invoer gegevens (N)'!$F$31</f>
        <v>0</v>
      </c>
      <c r="AN95" s="71">
        <f t="shared" ca="1" si="28"/>
        <v>0</v>
      </c>
      <c r="AO95" s="71">
        <f ca="1">IF(C95=1,(H95+J95+N95+P95)*'Reeksen (N)'!AN95,0)</f>
        <v>0</v>
      </c>
      <c r="AP95" s="71">
        <f ca="1">-IF(C95=1,(H95+J95+N95+P95)*'Hulp - basis'!$O$550*'Reeksen (N)'!H95,0)</f>
        <v>0</v>
      </c>
      <c r="AQ95" s="71">
        <f ca="1">-IF(C95=1,(F95+K95+L95+Q95)/2*'Invoer gegevens (N)'!$F$35*'Reeksen (N)'!J95,0)*2</f>
        <v>0</v>
      </c>
      <c r="AR95" s="71">
        <f ca="1">IF(BD95&lt;1,-IF(C95=1,(G95*'Invoer gegevens (N)'!$F$36)*'Reeksen (N)'!J95,0),0)</f>
        <v>0</v>
      </c>
      <c r="AS95" s="71">
        <f ca="1">-IF(C95=1,(F95+K95+L95+Q95)/2*'Invoer gegevens (N)'!$F$37*'Reeksen (N)'!L95,0)</f>
        <v>0</v>
      </c>
      <c r="AT95" s="71">
        <f ca="1">-IF(C95=1,IF(E95='Invoer gegevens (N)'!$C$17,'Invoer gegevens (N)'!$C$11,AD95)*'Reeksen (N)'!S95*'Invoer gegevens (N)'!$C$18*'Reeksen (N)'!P95,0)</f>
        <v>0</v>
      </c>
      <c r="AU95" s="71">
        <f ca="1">-IF(C95=1,(F95+K95+L95+Q95)/2*'Invoer gegevens (N)'!$F$38*'Reeksen (N)'!H95,0)</f>
        <v>0</v>
      </c>
      <c r="AV95" s="71">
        <v>0</v>
      </c>
      <c r="AW95" s="71">
        <f t="shared" ca="1" si="29"/>
        <v>0</v>
      </c>
      <c r="AX95" s="71">
        <f ca="1">IF(E95&lt;'Invoer gegevens (N)'!$C$17+15,0,IF(E95&gt;'Invoer gegevens (N)'!$C$17+215,0,AW95))</f>
        <v>0</v>
      </c>
      <c r="AY95" s="71">
        <f ca="1">AX95/(1+'Invoer gegevens (N)'!$F$18)^($AZ95-('Invoer gegevens (N)'!$C$17-'Invoer gegevens (N)'!$C$16))/(1+'Invoer gegevens (N)'!$C$39)^('Invoer gegevens (N)'!$C$17-'Invoer gegevens (N)'!$C$16)</f>
        <v>0</v>
      </c>
      <c r="AZ95" s="68">
        <f ca="1">IF(E95-'Invoer gegevens (N)'!$C$17-14.5&lt;0,0,E95-'Invoer gegevens (N)'!$C$17-14.5)</f>
        <v>75.5</v>
      </c>
      <c r="BA95" s="109">
        <f ca="1">IFERROR(VLOOKUP(E95-15,'Reeksen (N)'!$A$5:$D$234,2,FALSE),0)</f>
        <v>0</v>
      </c>
      <c r="BB95" s="109">
        <f ca="1">IFERROR(VLOOKUP(E95-15,'Reeksen (N)'!$A$5:$D$234,3,FALSE),0)</f>
        <v>0</v>
      </c>
      <c r="BC95" s="109">
        <f ca="1">IFERROR(VLOOKUP(E95-15,'Reeksen (N)'!$A$5:$D$234,4,FALSE),0)</f>
        <v>0</v>
      </c>
      <c r="BD95" s="67">
        <f ca="1">IF(E95-'Invoer gegevens (N)'!$C$17&lt;15,0,1)</f>
        <v>1</v>
      </c>
    </row>
    <row r="96" spans="1:56" x14ac:dyDescent="0.25">
      <c r="A96" s="59"/>
      <c r="B96" s="70">
        <f t="shared" si="30"/>
        <v>92</v>
      </c>
      <c r="C96" s="67">
        <f ca="1">IF(E96-'Invoer gegevens (N)'!$C$17&lt;0,0,1)</f>
        <v>1</v>
      </c>
      <c r="D96" s="68">
        <f t="shared" si="31"/>
        <v>91.5</v>
      </c>
      <c r="E96" s="108">
        <f ca="1">IF('Invoer gegevens (N)'!$C$16="","",E95+1)</f>
        <v>2110</v>
      </c>
      <c r="F96" s="84">
        <f ca="1">IF('Invoer gegevens (N)'!$C$17=E96,'Invoer gegevens (N)'!$C$10,IF(C96=1,K95,0))</f>
        <v>0</v>
      </c>
      <c r="G96" s="96">
        <f ca="1">IF(BD96&lt;1,F96*'Reeksen (N)'!C96,IF(C96&gt;=1,F96*BA96,0))</f>
        <v>0</v>
      </c>
      <c r="H96" s="84">
        <f ca="1">(1-('Invoer gegevens (N)'!$F$20/12))*F96*MIN(BA96,BC96)</f>
        <v>0</v>
      </c>
      <c r="I96" s="84">
        <f t="shared" ca="1" si="16"/>
        <v>0</v>
      </c>
      <c r="J96" s="84">
        <f ca="1">('Invoer gegevens (N)'!$F$20/12)*F95*MIN(BA96,BC96)</f>
        <v>0</v>
      </c>
      <c r="K96" s="97">
        <f t="shared" ca="1" si="21"/>
        <v>0</v>
      </c>
      <c r="L96" s="84">
        <f ca="1">IF('Invoer gegevens (N)'!$C$17=E96,0,IF(C96=1,Q95,0))</f>
        <v>0</v>
      </c>
      <c r="M96" s="96">
        <f t="shared" ca="1" si="17"/>
        <v>0</v>
      </c>
      <c r="N96" s="84">
        <f ca="1">(1-('Invoer gegevens (N)'!$F$20/12))*L96*MIN(BA96,BC96)</f>
        <v>0</v>
      </c>
      <c r="O96" s="84">
        <f t="shared" ca="1" si="18"/>
        <v>0</v>
      </c>
      <c r="P96" s="84">
        <f ca="1">('Invoer gegevens (N)'!$F$20/12)*L95*MIN(BA96,BC96)</f>
        <v>0</v>
      </c>
      <c r="Q96" s="84">
        <f t="shared" ca="1" si="22"/>
        <v>0</v>
      </c>
      <c r="R96" s="85">
        <f ca="1">IF('Invoer gegevens (N)'!$C$17=E96,'Invoer gegevens (N)'!$C$11,IF(C96=1,W95,0))</f>
        <v>0</v>
      </c>
      <c r="S96" s="86">
        <f t="shared" ca="1" si="19"/>
        <v>0</v>
      </c>
      <c r="T96" s="86">
        <f ca="1">(1-('Invoer gegevens (N)'!$F$20/12))*R96*MIN(BC96,BA96)</f>
        <v>0</v>
      </c>
      <c r="U96" s="86">
        <f ca="1">IF(BD96&lt;1,IF('Reeksen (N)'!AD96&lt;='Reeksen (N)'!AE96,R96*'Reeksen (N)'!C96,0),IF(BC96&gt;=BA96,0,IF('Reeksen (N)'!AD96&lt;='Reeksen (N)'!AE96,(BA96-BC96)*R96,0)))</f>
        <v>0</v>
      </c>
      <c r="V96" s="86">
        <f ca="1">IF(BD96&lt;1,IF('Reeksen (N)'!AD96&gt;'Reeksen (N)'!AE96,R96*'Reeksen (N)'!C96,0),IF(BC96&gt;=BA96,0,IF('Reeksen (N)'!AD96&gt;'Reeksen (N)'!AE96,(BA96-BC96)*R96,0)))</f>
        <v>0</v>
      </c>
      <c r="W96" s="218">
        <f t="shared" ca="1" si="23"/>
        <v>0</v>
      </c>
      <c r="X96" s="98">
        <f ca="1">IF('Invoer gegevens (N)'!$C$17=E96,'Invoer gegevens (N)'!$C$10-'Invoer gegevens (N)'!$C$11,IF(C96=1,AC95,0))</f>
        <v>0</v>
      </c>
      <c r="Y96" s="98">
        <f t="shared" ca="1" si="20"/>
        <v>0</v>
      </c>
      <c r="Z96" s="98">
        <f ca="1">(1-('Invoer gegevens (N)'!$F$20/12))*X96*MIN(BA96,BC96)</f>
        <v>0</v>
      </c>
      <c r="AA96" s="98">
        <f ca="1">IF(BD96&lt;1,IF('Reeksen (N)'!AD96&lt;='Reeksen (N)'!AE96,X96*'Reeksen (N)'!C96,0),IF(BC96&gt;=BA96,0,IF('Reeksen (N)'!AD96&lt;='Reeksen (N)'!AE96,(BA96-BC96)*X96,0)))</f>
        <v>0</v>
      </c>
      <c r="AB96" s="98">
        <f ca="1">IF(BD96&lt;1,IF('Reeksen (N)'!AD96&gt;'Reeksen (N)'!AE96,X96*'Reeksen (N)'!C96,0),IF(BC96&gt;=BA96,0,IF('Reeksen (N)'!AD96&gt;'Reeksen (N)'!AE96,(BA96-BC96)*X96,0)))</f>
        <v>0</v>
      </c>
      <c r="AC96" s="99">
        <f t="shared" ca="1" si="24"/>
        <v>0</v>
      </c>
      <c r="AD96" s="98">
        <f ca="1">IF('Invoer gegevens (N)'!$C$17=E96,R96,IF(C96=0,0,AE95))</f>
        <v>0</v>
      </c>
      <c r="AE96" s="98">
        <f t="shared" ca="1" si="25"/>
        <v>0</v>
      </c>
      <c r="AF96" s="98">
        <f ca="1">IF('Invoer gegevens (N)'!$C$17=E96,X96,IF(C96=0,0,AG95))</f>
        <v>0</v>
      </c>
      <c r="AG96" s="98">
        <f t="shared" ca="1" si="26"/>
        <v>0</v>
      </c>
      <c r="AH96" s="66"/>
      <c r="AI96" s="71">
        <f ca="1">IF(C96=1,'Reeksen (N)'!AI96*((F96+K96)/2)*12+'Reeksen (N)'!AD96*((L96+Q96)/2)*12,0)</f>
        <v>0</v>
      </c>
      <c r="AJ96" s="71">
        <f ca="1">-AI96*'Invoer gegevens (N)'!$F$28</f>
        <v>0</v>
      </c>
      <c r="AK96" s="71">
        <f t="shared" ca="1" si="27"/>
        <v>0</v>
      </c>
      <c r="AL96" s="71">
        <f ca="1">IF(C96=1,'Reeksen (N)'!AL96*((F96-G96+F96)/2)*12+'Reeksen (N)'!AM96*((L96-M96+L96)/2)*12,0)</f>
        <v>0</v>
      </c>
      <c r="AM96" s="71">
        <f ca="1">-AL96*'Invoer gegevens (N)'!$F$31</f>
        <v>0</v>
      </c>
      <c r="AN96" s="71">
        <f t="shared" ca="1" si="28"/>
        <v>0</v>
      </c>
      <c r="AO96" s="71">
        <f ca="1">IF(C96=1,(H96+J96+N96+P96)*'Reeksen (N)'!AN96,0)</f>
        <v>0</v>
      </c>
      <c r="AP96" s="71">
        <f ca="1">-IF(C96=1,(H96+J96+N96+P96)*'Hulp - basis'!$O$550*'Reeksen (N)'!H96,0)</f>
        <v>0</v>
      </c>
      <c r="AQ96" s="71">
        <f ca="1">-IF(C96=1,(F96+K96+L96+Q96)/2*'Invoer gegevens (N)'!$F$35*'Reeksen (N)'!J96,0)*2</f>
        <v>0</v>
      </c>
      <c r="AR96" s="71">
        <f ca="1">IF(BD96&lt;1,-IF(C96=1,(G96*'Invoer gegevens (N)'!$F$36)*'Reeksen (N)'!J96,0),0)</f>
        <v>0</v>
      </c>
      <c r="AS96" s="71">
        <f ca="1">-IF(C96=1,(F96+K96+L96+Q96)/2*'Invoer gegevens (N)'!$F$37*'Reeksen (N)'!L96,0)</f>
        <v>0</v>
      </c>
      <c r="AT96" s="71">
        <f ca="1">-IF(C96=1,IF(E96='Invoer gegevens (N)'!$C$17,'Invoer gegevens (N)'!$C$11,AD96)*'Reeksen (N)'!S96*'Invoer gegevens (N)'!$C$18*'Reeksen (N)'!P96,0)</f>
        <v>0</v>
      </c>
      <c r="AU96" s="71">
        <f ca="1">-IF(C96=1,(F96+K96+L96+Q96)/2*'Invoer gegevens (N)'!$F$38*'Reeksen (N)'!H96,0)</f>
        <v>0</v>
      </c>
      <c r="AV96" s="71">
        <v>0</v>
      </c>
      <c r="AW96" s="71">
        <f t="shared" ca="1" si="29"/>
        <v>0</v>
      </c>
      <c r="AX96" s="71">
        <f ca="1">IF(E96&lt;'Invoer gegevens (N)'!$C$17+15,0,IF(E96&gt;'Invoer gegevens (N)'!$C$17+215,0,AW96))</f>
        <v>0</v>
      </c>
      <c r="AY96" s="71">
        <f ca="1">AX96/(1+'Invoer gegevens (N)'!$F$18)^($AZ96-('Invoer gegevens (N)'!$C$17-'Invoer gegevens (N)'!$C$16))/(1+'Invoer gegevens (N)'!$C$39)^('Invoer gegevens (N)'!$C$17-'Invoer gegevens (N)'!$C$16)</f>
        <v>0</v>
      </c>
      <c r="AZ96" s="68">
        <f ca="1">IF(E96-'Invoer gegevens (N)'!$C$17-14.5&lt;0,0,E96-'Invoer gegevens (N)'!$C$17-14.5)</f>
        <v>76.5</v>
      </c>
      <c r="BA96" s="109">
        <f ca="1">IFERROR(VLOOKUP(E96-15,'Reeksen (N)'!$A$5:$D$234,2,FALSE),0)</f>
        <v>0</v>
      </c>
      <c r="BB96" s="109">
        <f ca="1">IFERROR(VLOOKUP(E96-15,'Reeksen (N)'!$A$5:$D$234,3,FALSE),0)</f>
        <v>0</v>
      </c>
      <c r="BC96" s="109">
        <f ca="1">IFERROR(VLOOKUP(E96-15,'Reeksen (N)'!$A$5:$D$234,4,FALSE),0)</f>
        <v>0</v>
      </c>
      <c r="BD96" s="67">
        <f ca="1">IF(E96-'Invoer gegevens (N)'!$C$17&lt;15,0,1)</f>
        <v>1</v>
      </c>
    </row>
    <row r="97" spans="1:56" x14ac:dyDescent="0.25">
      <c r="A97" s="59"/>
      <c r="B97" s="70">
        <f t="shared" si="30"/>
        <v>93</v>
      </c>
      <c r="C97" s="67">
        <f ca="1">IF(E97-'Invoer gegevens (N)'!$C$17&lt;0,0,1)</f>
        <v>1</v>
      </c>
      <c r="D97" s="68">
        <f t="shared" si="31"/>
        <v>92.5</v>
      </c>
      <c r="E97" s="108">
        <f ca="1">IF('Invoer gegevens (N)'!$C$16="","",E96+1)</f>
        <v>2111</v>
      </c>
      <c r="F97" s="84">
        <f ca="1">IF('Invoer gegevens (N)'!$C$17=E97,'Invoer gegevens (N)'!$C$10,IF(C97=1,K96,0))</f>
        <v>0</v>
      </c>
      <c r="G97" s="96">
        <f ca="1">IF(BD97&lt;1,F97*'Reeksen (N)'!C97,IF(C97&gt;=1,F97*BA97,0))</f>
        <v>0</v>
      </c>
      <c r="H97" s="84">
        <f ca="1">(1-('Invoer gegevens (N)'!$F$20/12))*F97*MIN(BA97,BC97)</f>
        <v>0</v>
      </c>
      <c r="I97" s="84">
        <f t="shared" ca="1" si="16"/>
        <v>0</v>
      </c>
      <c r="J97" s="84">
        <f ca="1">('Invoer gegevens (N)'!$F$20/12)*F96*MIN(BA97,BC97)</f>
        <v>0</v>
      </c>
      <c r="K97" s="97">
        <f t="shared" ca="1" si="21"/>
        <v>0</v>
      </c>
      <c r="L97" s="84">
        <f ca="1">IF('Invoer gegevens (N)'!$C$17=E97,0,IF(C97=1,Q96,0))</f>
        <v>0</v>
      </c>
      <c r="M97" s="96">
        <f t="shared" ca="1" si="17"/>
        <v>0</v>
      </c>
      <c r="N97" s="84">
        <f ca="1">(1-('Invoer gegevens (N)'!$F$20/12))*L97*MIN(BA97,BC97)</f>
        <v>0</v>
      </c>
      <c r="O97" s="84">
        <f t="shared" ca="1" si="18"/>
        <v>0</v>
      </c>
      <c r="P97" s="84">
        <f ca="1">('Invoer gegevens (N)'!$F$20/12)*L96*MIN(BA97,BC97)</f>
        <v>0</v>
      </c>
      <c r="Q97" s="84">
        <f t="shared" ca="1" si="22"/>
        <v>0</v>
      </c>
      <c r="R97" s="85">
        <f ca="1">IF('Invoer gegevens (N)'!$C$17=E97,'Invoer gegevens (N)'!$C$11,IF(C97=1,W96,0))</f>
        <v>0</v>
      </c>
      <c r="S97" s="86">
        <f t="shared" ca="1" si="19"/>
        <v>0</v>
      </c>
      <c r="T97" s="86">
        <f ca="1">(1-('Invoer gegevens (N)'!$F$20/12))*R97*MIN(BC97,BA97)</f>
        <v>0</v>
      </c>
      <c r="U97" s="86">
        <f ca="1">IF(BD97&lt;1,IF('Reeksen (N)'!AD97&lt;='Reeksen (N)'!AE97,R97*'Reeksen (N)'!C97,0),IF(BC97&gt;=BA97,0,IF('Reeksen (N)'!AD97&lt;='Reeksen (N)'!AE97,(BA97-BC97)*R97,0)))</f>
        <v>0</v>
      </c>
      <c r="V97" s="86">
        <f ca="1">IF(BD97&lt;1,IF('Reeksen (N)'!AD97&gt;'Reeksen (N)'!AE97,R97*'Reeksen (N)'!C97,0),IF(BC97&gt;=BA97,0,IF('Reeksen (N)'!AD97&gt;'Reeksen (N)'!AE97,(BA97-BC97)*R97,0)))</f>
        <v>0</v>
      </c>
      <c r="W97" s="218">
        <f t="shared" ca="1" si="23"/>
        <v>0</v>
      </c>
      <c r="X97" s="98">
        <f ca="1">IF('Invoer gegevens (N)'!$C$17=E97,'Invoer gegevens (N)'!$C$10-'Invoer gegevens (N)'!$C$11,IF(C97=1,AC96,0))</f>
        <v>0</v>
      </c>
      <c r="Y97" s="98">
        <f t="shared" ca="1" si="20"/>
        <v>0</v>
      </c>
      <c r="Z97" s="98">
        <f ca="1">(1-('Invoer gegevens (N)'!$F$20/12))*X97*MIN(BA97,BC97)</f>
        <v>0</v>
      </c>
      <c r="AA97" s="98">
        <f ca="1">IF(BD97&lt;1,IF('Reeksen (N)'!AD97&lt;='Reeksen (N)'!AE97,X97*'Reeksen (N)'!C97,0),IF(BC97&gt;=BA97,0,IF('Reeksen (N)'!AD97&lt;='Reeksen (N)'!AE97,(BA97-BC97)*X97,0)))</f>
        <v>0</v>
      </c>
      <c r="AB97" s="98">
        <f ca="1">IF(BD97&lt;1,IF('Reeksen (N)'!AD97&gt;'Reeksen (N)'!AE97,X97*'Reeksen (N)'!C97,0),IF(BC97&gt;=BA97,0,IF('Reeksen (N)'!AD97&gt;'Reeksen (N)'!AE97,(BA97-BC97)*X97,0)))</f>
        <v>0</v>
      </c>
      <c r="AC97" s="99">
        <f t="shared" ca="1" si="24"/>
        <v>0</v>
      </c>
      <c r="AD97" s="98">
        <f ca="1">IF('Invoer gegevens (N)'!$C$17=E97,R97,IF(C97=0,0,AE96))</f>
        <v>0</v>
      </c>
      <c r="AE97" s="98">
        <f t="shared" ca="1" si="25"/>
        <v>0</v>
      </c>
      <c r="AF97" s="98">
        <f ca="1">IF('Invoer gegevens (N)'!$C$17=E97,X97,IF(C97=0,0,AG96))</f>
        <v>0</v>
      </c>
      <c r="AG97" s="98">
        <f t="shared" ca="1" si="26"/>
        <v>0</v>
      </c>
      <c r="AH97" s="66"/>
      <c r="AI97" s="71">
        <f ca="1">IF(C97=1,'Reeksen (N)'!AI97*((F97+K97)/2)*12+'Reeksen (N)'!AD97*((L97+Q97)/2)*12,0)</f>
        <v>0</v>
      </c>
      <c r="AJ97" s="71">
        <f ca="1">-AI97*'Invoer gegevens (N)'!$F$28</f>
        <v>0</v>
      </c>
      <c r="AK97" s="71">
        <f t="shared" ca="1" si="27"/>
        <v>0</v>
      </c>
      <c r="AL97" s="71">
        <f ca="1">IF(C97=1,'Reeksen (N)'!AL97*((F97-G97+F97)/2)*12+'Reeksen (N)'!AM97*((L97-M97+L97)/2)*12,0)</f>
        <v>0</v>
      </c>
      <c r="AM97" s="71">
        <f ca="1">-AL97*'Invoer gegevens (N)'!$F$31</f>
        <v>0</v>
      </c>
      <c r="AN97" s="71">
        <f t="shared" ca="1" si="28"/>
        <v>0</v>
      </c>
      <c r="AO97" s="71">
        <f ca="1">IF(C97=1,(H97+J97+N97+P97)*'Reeksen (N)'!AN97,0)</f>
        <v>0</v>
      </c>
      <c r="AP97" s="71">
        <f ca="1">-IF(C97=1,(H97+J97+N97+P97)*'Hulp - basis'!$O$550*'Reeksen (N)'!H97,0)</f>
        <v>0</v>
      </c>
      <c r="AQ97" s="71">
        <f ca="1">-IF(C97=1,(F97+K97+L97+Q97)/2*'Invoer gegevens (N)'!$F$35*'Reeksen (N)'!J97,0)*2</f>
        <v>0</v>
      </c>
      <c r="AR97" s="71">
        <f ca="1">IF(BD97&lt;1,-IF(C97=1,(G97*'Invoer gegevens (N)'!$F$36)*'Reeksen (N)'!J97,0),0)</f>
        <v>0</v>
      </c>
      <c r="AS97" s="71">
        <f ca="1">-IF(C97=1,(F97+K97+L97+Q97)/2*'Invoer gegevens (N)'!$F$37*'Reeksen (N)'!L97,0)</f>
        <v>0</v>
      </c>
      <c r="AT97" s="71">
        <f ca="1">-IF(C97=1,IF(E97='Invoer gegevens (N)'!$C$17,'Invoer gegevens (N)'!$C$11,AD97)*'Reeksen (N)'!S97*'Invoer gegevens (N)'!$C$18*'Reeksen (N)'!P97,0)</f>
        <v>0</v>
      </c>
      <c r="AU97" s="71">
        <f ca="1">-IF(C97=1,(F97+K97+L97+Q97)/2*'Invoer gegevens (N)'!$F$38*'Reeksen (N)'!H97,0)</f>
        <v>0</v>
      </c>
      <c r="AV97" s="71">
        <v>0</v>
      </c>
      <c r="AW97" s="71">
        <f t="shared" ca="1" si="29"/>
        <v>0</v>
      </c>
      <c r="AX97" s="71">
        <f ca="1">IF(E97&lt;'Invoer gegevens (N)'!$C$17+15,0,IF(E97&gt;'Invoer gegevens (N)'!$C$17+215,0,AW97))</f>
        <v>0</v>
      </c>
      <c r="AY97" s="71">
        <f ca="1">AX97/(1+'Invoer gegevens (N)'!$F$18)^($AZ97-('Invoer gegevens (N)'!$C$17-'Invoer gegevens (N)'!$C$16))/(1+'Invoer gegevens (N)'!$C$39)^('Invoer gegevens (N)'!$C$17-'Invoer gegevens (N)'!$C$16)</f>
        <v>0</v>
      </c>
      <c r="AZ97" s="68">
        <f ca="1">IF(E97-'Invoer gegevens (N)'!$C$17-14.5&lt;0,0,E97-'Invoer gegevens (N)'!$C$17-14.5)</f>
        <v>77.5</v>
      </c>
      <c r="BA97" s="109">
        <f ca="1">IFERROR(VLOOKUP(E97-15,'Reeksen (N)'!$A$5:$D$234,2,FALSE),0)</f>
        <v>0</v>
      </c>
      <c r="BB97" s="109">
        <f ca="1">IFERROR(VLOOKUP(E97-15,'Reeksen (N)'!$A$5:$D$234,3,FALSE),0)</f>
        <v>0</v>
      </c>
      <c r="BC97" s="109">
        <f ca="1">IFERROR(VLOOKUP(E97-15,'Reeksen (N)'!$A$5:$D$234,4,FALSE),0)</f>
        <v>0</v>
      </c>
      <c r="BD97" s="67">
        <f ca="1">IF(E97-'Invoer gegevens (N)'!$C$17&lt;15,0,1)</f>
        <v>1</v>
      </c>
    </row>
    <row r="98" spans="1:56" x14ac:dyDescent="0.25">
      <c r="A98" s="59"/>
      <c r="B98" s="70">
        <f t="shared" si="30"/>
        <v>94</v>
      </c>
      <c r="C98" s="67">
        <f ca="1">IF(E98-'Invoer gegevens (N)'!$C$17&lt;0,0,1)</f>
        <v>1</v>
      </c>
      <c r="D98" s="68">
        <f t="shared" si="31"/>
        <v>93.5</v>
      </c>
      <c r="E98" s="108">
        <f ca="1">IF('Invoer gegevens (N)'!$C$16="","",E97+1)</f>
        <v>2112</v>
      </c>
      <c r="F98" s="84">
        <f ca="1">IF('Invoer gegevens (N)'!$C$17=E98,'Invoer gegevens (N)'!$C$10,IF(C98=1,K97,0))</f>
        <v>0</v>
      </c>
      <c r="G98" s="96">
        <f ca="1">IF(BD98&lt;1,F98*'Reeksen (N)'!C98,IF(C98&gt;=1,F98*BA98,0))</f>
        <v>0</v>
      </c>
      <c r="H98" s="84">
        <f ca="1">(1-('Invoer gegevens (N)'!$F$20/12))*F98*MIN(BA98,BC98)</f>
        <v>0</v>
      </c>
      <c r="I98" s="84">
        <f t="shared" ca="1" si="16"/>
        <v>0</v>
      </c>
      <c r="J98" s="84">
        <f ca="1">('Invoer gegevens (N)'!$F$20/12)*F97*MIN(BA98,BC98)</f>
        <v>0</v>
      </c>
      <c r="K98" s="97">
        <f t="shared" ca="1" si="21"/>
        <v>0</v>
      </c>
      <c r="L98" s="84">
        <f ca="1">IF('Invoer gegevens (N)'!$C$17=E98,0,IF(C98=1,Q97,0))</f>
        <v>0</v>
      </c>
      <c r="M98" s="96">
        <f t="shared" ca="1" si="17"/>
        <v>0</v>
      </c>
      <c r="N98" s="84">
        <f ca="1">(1-('Invoer gegevens (N)'!$F$20/12))*L98*MIN(BA98,BC98)</f>
        <v>0</v>
      </c>
      <c r="O98" s="84">
        <f t="shared" ca="1" si="18"/>
        <v>0</v>
      </c>
      <c r="P98" s="84">
        <f ca="1">('Invoer gegevens (N)'!$F$20/12)*L97*MIN(BA98,BC98)</f>
        <v>0</v>
      </c>
      <c r="Q98" s="84">
        <f t="shared" ca="1" si="22"/>
        <v>0</v>
      </c>
      <c r="R98" s="85">
        <f ca="1">IF('Invoer gegevens (N)'!$C$17=E98,'Invoer gegevens (N)'!$C$11,IF(C98=1,W97,0))</f>
        <v>0</v>
      </c>
      <c r="S98" s="86">
        <f t="shared" ca="1" si="19"/>
        <v>0</v>
      </c>
      <c r="T98" s="86">
        <f ca="1">(1-('Invoer gegevens (N)'!$F$20/12))*R98*MIN(BC98,BA98)</f>
        <v>0</v>
      </c>
      <c r="U98" s="86">
        <f ca="1">IF(BD98&lt;1,IF('Reeksen (N)'!AD98&lt;='Reeksen (N)'!AE98,R98*'Reeksen (N)'!C98,0),IF(BC98&gt;=BA98,0,IF('Reeksen (N)'!AD98&lt;='Reeksen (N)'!AE98,(BA98-BC98)*R98,0)))</f>
        <v>0</v>
      </c>
      <c r="V98" s="86">
        <f ca="1">IF(BD98&lt;1,IF('Reeksen (N)'!AD98&gt;'Reeksen (N)'!AE98,R98*'Reeksen (N)'!C98,0),IF(BC98&gt;=BA98,0,IF('Reeksen (N)'!AD98&gt;'Reeksen (N)'!AE98,(BA98-BC98)*R98,0)))</f>
        <v>0</v>
      </c>
      <c r="W98" s="218">
        <f t="shared" ca="1" si="23"/>
        <v>0</v>
      </c>
      <c r="X98" s="98">
        <f ca="1">IF('Invoer gegevens (N)'!$C$17=E98,'Invoer gegevens (N)'!$C$10-'Invoer gegevens (N)'!$C$11,IF(C98=1,AC97,0))</f>
        <v>0</v>
      </c>
      <c r="Y98" s="98">
        <f t="shared" ca="1" si="20"/>
        <v>0</v>
      </c>
      <c r="Z98" s="98">
        <f ca="1">(1-('Invoer gegevens (N)'!$F$20/12))*X98*MIN(BA98,BC98)</f>
        <v>0</v>
      </c>
      <c r="AA98" s="98">
        <f ca="1">IF(BD98&lt;1,IF('Reeksen (N)'!AD98&lt;='Reeksen (N)'!AE98,X98*'Reeksen (N)'!C98,0),IF(BC98&gt;=BA98,0,IF('Reeksen (N)'!AD98&lt;='Reeksen (N)'!AE98,(BA98-BC98)*X98,0)))</f>
        <v>0</v>
      </c>
      <c r="AB98" s="98">
        <f ca="1">IF(BD98&lt;1,IF('Reeksen (N)'!AD98&gt;'Reeksen (N)'!AE98,X98*'Reeksen (N)'!C98,0),IF(BC98&gt;=BA98,0,IF('Reeksen (N)'!AD98&gt;'Reeksen (N)'!AE98,(BA98-BC98)*X98,0)))</f>
        <v>0</v>
      </c>
      <c r="AC98" s="99">
        <f t="shared" ca="1" si="24"/>
        <v>0</v>
      </c>
      <c r="AD98" s="98">
        <f ca="1">IF('Invoer gegevens (N)'!$C$17=E98,R98,IF(C98=0,0,AE97))</f>
        <v>0</v>
      </c>
      <c r="AE98" s="98">
        <f t="shared" ca="1" si="25"/>
        <v>0</v>
      </c>
      <c r="AF98" s="98">
        <f ca="1">IF('Invoer gegevens (N)'!$C$17=E98,X98,IF(C98=0,0,AG97))</f>
        <v>0</v>
      </c>
      <c r="AG98" s="98">
        <f t="shared" ca="1" si="26"/>
        <v>0</v>
      </c>
      <c r="AH98" s="66"/>
      <c r="AI98" s="71">
        <f ca="1">IF(C98=1,'Reeksen (N)'!AI98*((F98+K98)/2)*12+'Reeksen (N)'!AD98*((L98+Q98)/2)*12,0)</f>
        <v>0</v>
      </c>
      <c r="AJ98" s="71">
        <f ca="1">-AI98*'Invoer gegevens (N)'!$F$28</f>
        <v>0</v>
      </c>
      <c r="AK98" s="71">
        <f t="shared" ca="1" si="27"/>
        <v>0</v>
      </c>
      <c r="AL98" s="71">
        <f ca="1">IF(C98=1,'Reeksen (N)'!AL98*((F98-G98+F98)/2)*12+'Reeksen (N)'!AM98*((L98-M98+L98)/2)*12,0)</f>
        <v>0</v>
      </c>
      <c r="AM98" s="71">
        <f ca="1">-AL98*'Invoer gegevens (N)'!$F$31</f>
        <v>0</v>
      </c>
      <c r="AN98" s="71">
        <f t="shared" ca="1" si="28"/>
        <v>0</v>
      </c>
      <c r="AO98" s="71">
        <f ca="1">IF(C98=1,(H98+J98+N98+P98)*'Reeksen (N)'!AN98,0)</f>
        <v>0</v>
      </c>
      <c r="AP98" s="71">
        <f ca="1">-IF(C98=1,(H98+J98+N98+P98)*'Hulp - basis'!$O$550*'Reeksen (N)'!H98,0)</f>
        <v>0</v>
      </c>
      <c r="AQ98" s="71">
        <f ca="1">-IF(C98=1,(F98+K98+L98+Q98)/2*'Invoer gegevens (N)'!$F$35*'Reeksen (N)'!J98,0)*2</f>
        <v>0</v>
      </c>
      <c r="AR98" s="71">
        <f ca="1">IF(BD98&lt;1,-IF(C98=1,(G98*'Invoer gegevens (N)'!$F$36)*'Reeksen (N)'!J98,0),0)</f>
        <v>0</v>
      </c>
      <c r="AS98" s="71">
        <f ca="1">-IF(C98=1,(F98+K98+L98+Q98)/2*'Invoer gegevens (N)'!$F$37*'Reeksen (N)'!L98,0)</f>
        <v>0</v>
      </c>
      <c r="AT98" s="71">
        <f ca="1">-IF(C98=1,IF(E98='Invoer gegevens (N)'!$C$17,'Invoer gegevens (N)'!$C$11,AD98)*'Reeksen (N)'!S98*'Invoer gegevens (N)'!$C$18*'Reeksen (N)'!P98,0)</f>
        <v>0</v>
      </c>
      <c r="AU98" s="71">
        <f ca="1">-IF(C98=1,(F98+K98+L98+Q98)/2*'Invoer gegevens (N)'!$F$38*'Reeksen (N)'!H98,0)</f>
        <v>0</v>
      </c>
      <c r="AV98" s="71">
        <v>0</v>
      </c>
      <c r="AW98" s="71">
        <f t="shared" ca="1" si="29"/>
        <v>0</v>
      </c>
      <c r="AX98" s="71">
        <f ca="1">IF(E98&lt;'Invoer gegevens (N)'!$C$17+15,0,IF(E98&gt;'Invoer gegevens (N)'!$C$17+215,0,AW98))</f>
        <v>0</v>
      </c>
      <c r="AY98" s="71">
        <f ca="1">AX98/(1+'Invoer gegevens (N)'!$F$18)^($AZ98-('Invoer gegevens (N)'!$C$17-'Invoer gegevens (N)'!$C$16))/(1+'Invoer gegevens (N)'!$C$39)^('Invoer gegevens (N)'!$C$17-'Invoer gegevens (N)'!$C$16)</f>
        <v>0</v>
      </c>
      <c r="AZ98" s="68">
        <f ca="1">IF(E98-'Invoer gegevens (N)'!$C$17-14.5&lt;0,0,E98-'Invoer gegevens (N)'!$C$17-14.5)</f>
        <v>78.5</v>
      </c>
      <c r="BA98" s="109">
        <f ca="1">IFERROR(VLOOKUP(E98-15,'Reeksen (N)'!$A$5:$D$234,2,FALSE),0)</f>
        <v>0</v>
      </c>
      <c r="BB98" s="109">
        <f ca="1">IFERROR(VLOOKUP(E98-15,'Reeksen (N)'!$A$5:$D$234,3,FALSE),0)</f>
        <v>0</v>
      </c>
      <c r="BC98" s="109">
        <f ca="1">IFERROR(VLOOKUP(E98-15,'Reeksen (N)'!$A$5:$D$234,4,FALSE),0)</f>
        <v>0</v>
      </c>
      <c r="BD98" s="67">
        <f ca="1">IF(E98-'Invoer gegevens (N)'!$C$17&lt;15,0,1)</f>
        <v>1</v>
      </c>
    </row>
    <row r="99" spans="1:56" x14ac:dyDescent="0.25">
      <c r="A99" s="59"/>
      <c r="B99" s="70">
        <f t="shared" si="30"/>
        <v>95</v>
      </c>
      <c r="C99" s="67">
        <f ca="1">IF(E99-'Invoer gegevens (N)'!$C$17&lt;0,0,1)</f>
        <v>1</v>
      </c>
      <c r="D99" s="68">
        <f t="shared" si="31"/>
        <v>94.5</v>
      </c>
      <c r="E99" s="108">
        <f ca="1">IF('Invoer gegevens (N)'!$C$16="","",E98+1)</f>
        <v>2113</v>
      </c>
      <c r="F99" s="84">
        <f ca="1">IF('Invoer gegevens (N)'!$C$17=E99,'Invoer gegevens (N)'!$C$10,IF(C99=1,K98,0))</f>
        <v>0</v>
      </c>
      <c r="G99" s="96">
        <f ca="1">IF(BD99&lt;1,F99*'Reeksen (N)'!C99,IF(C99&gt;=1,F99*BA99,0))</f>
        <v>0</v>
      </c>
      <c r="H99" s="84">
        <f ca="1">(1-('Invoer gegevens (N)'!$F$20/12))*F99*MIN(BA99,BC99)</f>
        <v>0</v>
      </c>
      <c r="I99" s="84">
        <f t="shared" ca="1" si="16"/>
        <v>0</v>
      </c>
      <c r="J99" s="84">
        <f ca="1">('Invoer gegevens (N)'!$F$20/12)*F98*MIN(BA99,BC99)</f>
        <v>0</v>
      </c>
      <c r="K99" s="97">
        <f t="shared" ca="1" si="21"/>
        <v>0</v>
      </c>
      <c r="L99" s="84">
        <f ca="1">IF('Invoer gegevens (N)'!$C$17=E99,0,IF(C99=1,Q98,0))</f>
        <v>0</v>
      </c>
      <c r="M99" s="96">
        <f t="shared" ca="1" si="17"/>
        <v>0</v>
      </c>
      <c r="N99" s="84">
        <f ca="1">(1-('Invoer gegevens (N)'!$F$20/12))*L99*MIN(BA99,BC99)</f>
        <v>0</v>
      </c>
      <c r="O99" s="84">
        <f t="shared" ca="1" si="18"/>
        <v>0</v>
      </c>
      <c r="P99" s="84">
        <f ca="1">('Invoer gegevens (N)'!$F$20/12)*L98*MIN(BA99,BC99)</f>
        <v>0</v>
      </c>
      <c r="Q99" s="84">
        <f t="shared" ca="1" si="22"/>
        <v>0</v>
      </c>
      <c r="R99" s="85">
        <f ca="1">IF('Invoer gegevens (N)'!$C$17=E99,'Invoer gegevens (N)'!$C$11,IF(C99=1,W98,0))</f>
        <v>0</v>
      </c>
      <c r="S99" s="86">
        <f t="shared" ca="1" si="19"/>
        <v>0</v>
      </c>
      <c r="T99" s="86">
        <f ca="1">(1-('Invoer gegevens (N)'!$F$20/12))*R99*MIN(BC99,BA99)</f>
        <v>0</v>
      </c>
      <c r="U99" s="86">
        <f ca="1">IF(BD99&lt;1,IF('Reeksen (N)'!AD99&lt;='Reeksen (N)'!AE99,R99*'Reeksen (N)'!C99,0),IF(BC99&gt;=BA99,0,IF('Reeksen (N)'!AD99&lt;='Reeksen (N)'!AE99,(BA99-BC99)*R99,0)))</f>
        <v>0</v>
      </c>
      <c r="V99" s="86">
        <f ca="1">IF(BD99&lt;1,IF('Reeksen (N)'!AD99&gt;'Reeksen (N)'!AE99,R99*'Reeksen (N)'!C99,0),IF(BC99&gt;=BA99,0,IF('Reeksen (N)'!AD99&gt;'Reeksen (N)'!AE99,(BA99-BC99)*R99,0)))</f>
        <v>0</v>
      </c>
      <c r="W99" s="218">
        <f t="shared" ca="1" si="23"/>
        <v>0</v>
      </c>
      <c r="X99" s="98">
        <f ca="1">IF('Invoer gegevens (N)'!$C$17=E99,'Invoer gegevens (N)'!$C$10-'Invoer gegevens (N)'!$C$11,IF(C99=1,AC98,0))</f>
        <v>0</v>
      </c>
      <c r="Y99" s="98">
        <f t="shared" ca="1" si="20"/>
        <v>0</v>
      </c>
      <c r="Z99" s="98">
        <f ca="1">(1-('Invoer gegevens (N)'!$F$20/12))*X99*MIN(BA99,BC99)</f>
        <v>0</v>
      </c>
      <c r="AA99" s="98">
        <f ca="1">IF(BD99&lt;1,IF('Reeksen (N)'!AD99&lt;='Reeksen (N)'!AE99,X99*'Reeksen (N)'!C99,0),IF(BC99&gt;=BA99,0,IF('Reeksen (N)'!AD99&lt;='Reeksen (N)'!AE99,(BA99-BC99)*X99,0)))</f>
        <v>0</v>
      </c>
      <c r="AB99" s="98">
        <f ca="1">IF(BD99&lt;1,IF('Reeksen (N)'!AD99&gt;'Reeksen (N)'!AE99,X99*'Reeksen (N)'!C99,0),IF(BC99&gt;=BA99,0,IF('Reeksen (N)'!AD99&gt;'Reeksen (N)'!AE99,(BA99-BC99)*X99,0)))</f>
        <v>0</v>
      </c>
      <c r="AC99" s="99">
        <f t="shared" ca="1" si="24"/>
        <v>0</v>
      </c>
      <c r="AD99" s="98">
        <f ca="1">IF('Invoer gegevens (N)'!$C$17=E99,R99,IF(C99=0,0,AE98))</f>
        <v>0</v>
      </c>
      <c r="AE99" s="98">
        <f t="shared" ca="1" si="25"/>
        <v>0</v>
      </c>
      <c r="AF99" s="98">
        <f ca="1">IF('Invoer gegevens (N)'!$C$17=E99,X99,IF(C99=0,0,AG98))</f>
        <v>0</v>
      </c>
      <c r="AG99" s="98">
        <f t="shared" ca="1" si="26"/>
        <v>0</v>
      </c>
      <c r="AH99" s="66"/>
      <c r="AI99" s="71">
        <f ca="1">IF(C99=1,'Reeksen (N)'!AI99*((F99+K99)/2)*12+'Reeksen (N)'!AD99*((L99+Q99)/2)*12,0)</f>
        <v>0</v>
      </c>
      <c r="AJ99" s="71">
        <f ca="1">-AI99*'Invoer gegevens (N)'!$F$28</f>
        <v>0</v>
      </c>
      <c r="AK99" s="71">
        <f t="shared" ca="1" si="27"/>
        <v>0</v>
      </c>
      <c r="AL99" s="71">
        <f ca="1">IF(C99=1,'Reeksen (N)'!AL99*((F99-G99+F99)/2)*12+'Reeksen (N)'!AM99*((L99-M99+L99)/2)*12,0)</f>
        <v>0</v>
      </c>
      <c r="AM99" s="71">
        <f ca="1">-AL99*'Invoer gegevens (N)'!$F$31</f>
        <v>0</v>
      </c>
      <c r="AN99" s="71">
        <f t="shared" ca="1" si="28"/>
        <v>0</v>
      </c>
      <c r="AO99" s="71">
        <f ca="1">IF(C99=1,(H99+J99+N99+P99)*'Reeksen (N)'!AN99,0)</f>
        <v>0</v>
      </c>
      <c r="AP99" s="71">
        <f ca="1">-IF(C99=1,(H99+J99+N99+P99)*'Hulp - basis'!$O$550*'Reeksen (N)'!H99,0)</f>
        <v>0</v>
      </c>
      <c r="AQ99" s="71">
        <f ca="1">-IF(C99=1,(F99+K99+L99+Q99)/2*'Invoer gegevens (N)'!$F$35*'Reeksen (N)'!J99,0)*2</f>
        <v>0</v>
      </c>
      <c r="AR99" s="71">
        <f ca="1">IF(BD99&lt;1,-IF(C99=1,(G99*'Invoer gegevens (N)'!$F$36)*'Reeksen (N)'!J99,0),0)</f>
        <v>0</v>
      </c>
      <c r="AS99" s="71">
        <f ca="1">-IF(C99=1,(F99+K99+L99+Q99)/2*'Invoer gegevens (N)'!$F$37*'Reeksen (N)'!L99,0)</f>
        <v>0</v>
      </c>
      <c r="AT99" s="71">
        <f ca="1">-IF(C99=1,IF(E99='Invoer gegevens (N)'!$C$17,'Invoer gegevens (N)'!$C$11,AD99)*'Reeksen (N)'!S99*'Invoer gegevens (N)'!$C$18*'Reeksen (N)'!P99,0)</f>
        <v>0</v>
      </c>
      <c r="AU99" s="71">
        <f ca="1">-IF(C99=1,(F99+K99+L99+Q99)/2*'Invoer gegevens (N)'!$F$38*'Reeksen (N)'!H99,0)</f>
        <v>0</v>
      </c>
      <c r="AV99" s="71">
        <v>0</v>
      </c>
      <c r="AW99" s="71">
        <f t="shared" ca="1" si="29"/>
        <v>0</v>
      </c>
      <c r="AX99" s="71">
        <f ca="1">IF(E99&lt;'Invoer gegevens (N)'!$C$17+15,0,IF(E99&gt;'Invoer gegevens (N)'!$C$17+215,0,AW99))</f>
        <v>0</v>
      </c>
      <c r="AY99" s="71">
        <f ca="1">AX99/(1+'Invoer gegevens (N)'!$F$18)^($AZ99-('Invoer gegevens (N)'!$C$17-'Invoer gegevens (N)'!$C$16))/(1+'Invoer gegevens (N)'!$C$39)^('Invoer gegevens (N)'!$C$17-'Invoer gegevens (N)'!$C$16)</f>
        <v>0</v>
      </c>
      <c r="AZ99" s="68">
        <f ca="1">IF(E99-'Invoer gegevens (N)'!$C$17-14.5&lt;0,0,E99-'Invoer gegevens (N)'!$C$17-14.5)</f>
        <v>79.5</v>
      </c>
      <c r="BA99" s="109">
        <f ca="1">IFERROR(VLOOKUP(E99-15,'Reeksen (N)'!$A$5:$D$234,2,FALSE),0)</f>
        <v>0</v>
      </c>
      <c r="BB99" s="109">
        <f ca="1">IFERROR(VLOOKUP(E99-15,'Reeksen (N)'!$A$5:$D$234,3,FALSE),0)</f>
        <v>0</v>
      </c>
      <c r="BC99" s="109">
        <f ca="1">IFERROR(VLOOKUP(E99-15,'Reeksen (N)'!$A$5:$D$234,4,FALSE),0)</f>
        <v>0</v>
      </c>
      <c r="BD99" s="67">
        <f ca="1">IF(E99-'Invoer gegevens (N)'!$C$17&lt;15,0,1)</f>
        <v>1</v>
      </c>
    </row>
    <row r="100" spans="1:56" x14ac:dyDescent="0.25">
      <c r="A100" s="59"/>
      <c r="B100" s="70">
        <f t="shared" si="30"/>
        <v>96</v>
      </c>
      <c r="C100" s="67">
        <f ca="1">IF(E100-'Invoer gegevens (N)'!$C$17&lt;0,0,1)</f>
        <v>1</v>
      </c>
      <c r="D100" s="68">
        <f t="shared" si="31"/>
        <v>95.5</v>
      </c>
      <c r="E100" s="108">
        <f ca="1">IF('Invoer gegevens (N)'!$C$16="","",E99+1)</f>
        <v>2114</v>
      </c>
      <c r="F100" s="84">
        <f ca="1">IF('Invoer gegevens (N)'!$C$17=E100,'Invoer gegevens (N)'!$C$10,IF(C100=1,K99,0))</f>
        <v>0</v>
      </c>
      <c r="G100" s="96">
        <f ca="1">IF(BD100&lt;1,F100*'Reeksen (N)'!C100,IF(C100&gt;=1,F100*BA100,0))</f>
        <v>0</v>
      </c>
      <c r="H100" s="84">
        <f ca="1">(1-('Invoer gegevens (N)'!$F$20/12))*F100*MIN(BA100,BC100)</f>
        <v>0</v>
      </c>
      <c r="I100" s="84">
        <f t="shared" ca="1" si="16"/>
        <v>0</v>
      </c>
      <c r="J100" s="84">
        <f ca="1">('Invoer gegevens (N)'!$F$20/12)*F99*MIN(BA100,BC100)</f>
        <v>0</v>
      </c>
      <c r="K100" s="97">
        <f t="shared" ca="1" si="21"/>
        <v>0</v>
      </c>
      <c r="L100" s="84">
        <f ca="1">IF('Invoer gegevens (N)'!$C$17=E100,0,IF(C100=1,Q99,0))</f>
        <v>0</v>
      </c>
      <c r="M100" s="96">
        <f t="shared" ca="1" si="17"/>
        <v>0</v>
      </c>
      <c r="N100" s="84">
        <f ca="1">(1-('Invoer gegevens (N)'!$F$20/12))*L100*MIN(BA100,BC100)</f>
        <v>0</v>
      </c>
      <c r="O100" s="84">
        <f t="shared" ca="1" si="18"/>
        <v>0</v>
      </c>
      <c r="P100" s="84">
        <f ca="1">('Invoer gegevens (N)'!$F$20/12)*L99*MIN(BA100,BC100)</f>
        <v>0</v>
      </c>
      <c r="Q100" s="84">
        <f t="shared" ca="1" si="22"/>
        <v>0</v>
      </c>
      <c r="R100" s="85">
        <f ca="1">IF('Invoer gegevens (N)'!$C$17=E100,'Invoer gegevens (N)'!$C$11,IF(C100=1,W99,0))</f>
        <v>0</v>
      </c>
      <c r="S100" s="86">
        <f t="shared" ca="1" si="19"/>
        <v>0</v>
      </c>
      <c r="T100" s="86">
        <f ca="1">(1-('Invoer gegevens (N)'!$F$20/12))*R100*MIN(BC100,BA100)</f>
        <v>0</v>
      </c>
      <c r="U100" s="86">
        <f ca="1">IF(BD100&lt;1,IF('Reeksen (N)'!AD100&lt;='Reeksen (N)'!AE100,R100*'Reeksen (N)'!C100,0),IF(BC100&gt;=BA100,0,IF('Reeksen (N)'!AD100&lt;='Reeksen (N)'!AE100,(BA100-BC100)*R100,0)))</f>
        <v>0</v>
      </c>
      <c r="V100" s="86">
        <f ca="1">IF(BD100&lt;1,IF('Reeksen (N)'!AD100&gt;'Reeksen (N)'!AE100,R100*'Reeksen (N)'!C100,0),IF(BC100&gt;=BA100,0,IF('Reeksen (N)'!AD100&gt;'Reeksen (N)'!AE100,(BA100-BC100)*R100,0)))</f>
        <v>0</v>
      </c>
      <c r="W100" s="218">
        <f t="shared" ca="1" si="23"/>
        <v>0</v>
      </c>
      <c r="X100" s="98">
        <f ca="1">IF('Invoer gegevens (N)'!$C$17=E100,'Invoer gegevens (N)'!$C$10-'Invoer gegevens (N)'!$C$11,IF(C100=1,AC99,0))</f>
        <v>0</v>
      </c>
      <c r="Y100" s="98">
        <f t="shared" ca="1" si="20"/>
        <v>0</v>
      </c>
      <c r="Z100" s="98">
        <f ca="1">(1-('Invoer gegevens (N)'!$F$20/12))*X100*MIN(BA100,BC100)</f>
        <v>0</v>
      </c>
      <c r="AA100" s="98">
        <f ca="1">IF(BD100&lt;1,IF('Reeksen (N)'!AD100&lt;='Reeksen (N)'!AE100,X100*'Reeksen (N)'!C100,0),IF(BC100&gt;=BA100,0,IF('Reeksen (N)'!AD100&lt;='Reeksen (N)'!AE100,(BA100-BC100)*X100,0)))</f>
        <v>0</v>
      </c>
      <c r="AB100" s="98">
        <f ca="1">IF(BD100&lt;1,IF('Reeksen (N)'!AD100&gt;'Reeksen (N)'!AE100,X100*'Reeksen (N)'!C100,0),IF(BC100&gt;=BA100,0,IF('Reeksen (N)'!AD100&gt;'Reeksen (N)'!AE100,(BA100-BC100)*X100,0)))</f>
        <v>0</v>
      </c>
      <c r="AC100" s="99">
        <f t="shared" ca="1" si="24"/>
        <v>0</v>
      </c>
      <c r="AD100" s="98">
        <f ca="1">IF('Invoer gegevens (N)'!$C$17=E100,R100,IF(C100=0,0,AE99))</f>
        <v>0</v>
      </c>
      <c r="AE100" s="98">
        <f t="shared" ca="1" si="25"/>
        <v>0</v>
      </c>
      <c r="AF100" s="98">
        <f ca="1">IF('Invoer gegevens (N)'!$C$17=E100,X100,IF(C100=0,0,AG99))</f>
        <v>0</v>
      </c>
      <c r="AG100" s="98">
        <f t="shared" ca="1" si="26"/>
        <v>0</v>
      </c>
      <c r="AH100" s="66"/>
      <c r="AI100" s="71">
        <f ca="1">IF(C100=1,'Reeksen (N)'!AI100*((F100+K100)/2)*12+'Reeksen (N)'!AD100*((L100+Q100)/2)*12,0)</f>
        <v>0</v>
      </c>
      <c r="AJ100" s="71">
        <f ca="1">-AI100*'Invoer gegevens (N)'!$F$28</f>
        <v>0</v>
      </c>
      <c r="AK100" s="71">
        <f t="shared" ca="1" si="27"/>
        <v>0</v>
      </c>
      <c r="AL100" s="71">
        <f ca="1">IF(C100=1,'Reeksen (N)'!AL100*((F100-G100+F100)/2)*12+'Reeksen (N)'!AM100*((L100-M100+L100)/2)*12,0)</f>
        <v>0</v>
      </c>
      <c r="AM100" s="71">
        <f ca="1">-AL100*'Invoer gegevens (N)'!$F$31</f>
        <v>0</v>
      </c>
      <c r="AN100" s="71">
        <f t="shared" ca="1" si="28"/>
        <v>0</v>
      </c>
      <c r="AO100" s="71">
        <f ca="1">IF(C100=1,(H100+J100+N100+P100)*'Reeksen (N)'!AN100,0)</f>
        <v>0</v>
      </c>
      <c r="AP100" s="71">
        <f ca="1">-IF(C100=1,(H100+J100+N100+P100)*'Hulp - basis'!$O$550*'Reeksen (N)'!H100,0)</f>
        <v>0</v>
      </c>
      <c r="AQ100" s="71">
        <f ca="1">-IF(C100=1,(F100+K100+L100+Q100)/2*'Invoer gegevens (N)'!$F$35*'Reeksen (N)'!J100,0)*2</f>
        <v>0</v>
      </c>
      <c r="AR100" s="71">
        <f ca="1">IF(BD100&lt;1,-IF(C100=1,(G100*'Invoer gegevens (N)'!$F$36)*'Reeksen (N)'!J100,0),0)</f>
        <v>0</v>
      </c>
      <c r="AS100" s="71">
        <f ca="1">-IF(C100=1,(F100+K100+L100+Q100)/2*'Invoer gegevens (N)'!$F$37*'Reeksen (N)'!L100,0)</f>
        <v>0</v>
      </c>
      <c r="AT100" s="71">
        <f ca="1">-IF(C100=1,IF(E100='Invoer gegevens (N)'!$C$17,'Invoer gegevens (N)'!$C$11,AD100)*'Reeksen (N)'!S100*'Invoer gegevens (N)'!$C$18*'Reeksen (N)'!P100,0)</f>
        <v>0</v>
      </c>
      <c r="AU100" s="71">
        <f ca="1">-IF(C100=1,(F100+K100+L100+Q100)/2*'Invoer gegevens (N)'!$F$38*'Reeksen (N)'!H100,0)</f>
        <v>0</v>
      </c>
      <c r="AV100" s="71">
        <v>0</v>
      </c>
      <c r="AW100" s="71">
        <f t="shared" ca="1" si="29"/>
        <v>0</v>
      </c>
      <c r="AX100" s="71">
        <f ca="1">IF(E100&lt;'Invoer gegevens (N)'!$C$17+15,0,IF(E100&gt;'Invoer gegevens (N)'!$C$17+215,0,AW100))</f>
        <v>0</v>
      </c>
      <c r="AY100" s="71">
        <f ca="1">AX100/(1+'Invoer gegevens (N)'!$F$18)^($AZ100-('Invoer gegevens (N)'!$C$17-'Invoer gegevens (N)'!$C$16))/(1+'Invoer gegevens (N)'!$C$39)^('Invoer gegevens (N)'!$C$17-'Invoer gegevens (N)'!$C$16)</f>
        <v>0</v>
      </c>
      <c r="AZ100" s="68">
        <f ca="1">IF(E100-'Invoer gegevens (N)'!$C$17-14.5&lt;0,0,E100-'Invoer gegevens (N)'!$C$17-14.5)</f>
        <v>80.5</v>
      </c>
      <c r="BA100" s="109">
        <f ca="1">IFERROR(VLOOKUP(E100-15,'Reeksen (N)'!$A$5:$D$234,2,FALSE),0)</f>
        <v>0</v>
      </c>
      <c r="BB100" s="109">
        <f ca="1">IFERROR(VLOOKUP(E100-15,'Reeksen (N)'!$A$5:$D$234,3,FALSE),0)</f>
        <v>0</v>
      </c>
      <c r="BC100" s="109">
        <f ca="1">IFERROR(VLOOKUP(E100-15,'Reeksen (N)'!$A$5:$D$234,4,FALSE),0)</f>
        <v>0</v>
      </c>
      <c r="BD100" s="67">
        <f ca="1">IF(E100-'Invoer gegevens (N)'!$C$17&lt;15,0,1)</f>
        <v>1</v>
      </c>
    </row>
    <row r="101" spans="1:56" x14ac:dyDescent="0.25">
      <c r="A101" s="59"/>
      <c r="B101" s="70">
        <f t="shared" si="30"/>
        <v>97</v>
      </c>
      <c r="C101" s="67">
        <f ca="1">IF(E101-'Invoer gegevens (N)'!$C$17&lt;0,0,1)</f>
        <v>1</v>
      </c>
      <c r="D101" s="68">
        <f t="shared" si="31"/>
        <v>96.5</v>
      </c>
      <c r="E101" s="108">
        <f ca="1">IF('Invoer gegevens (N)'!$C$16="","",E100+1)</f>
        <v>2115</v>
      </c>
      <c r="F101" s="84">
        <f ca="1">IF('Invoer gegevens (N)'!$C$17=E101,'Invoer gegevens (N)'!$C$10,IF(C101=1,K100,0))</f>
        <v>0</v>
      </c>
      <c r="G101" s="96">
        <f ca="1">IF(BD101&lt;1,F101*'Reeksen (N)'!C101,IF(C101&gt;=1,F101*BA101,0))</f>
        <v>0</v>
      </c>
      <c r="H101" s="84">
        <f ca="1">(1-('Invoer gegevens (N)'!$F$20/12))*F101*MIN(BA101,BC101)</f>
        <v>0</v>
      </c>
      <c r="I101" s="84">
        <f t="shared" ca="1" si="16"/>
        <v>0</v>
      </c>
      <c r="J101" s="84">
        <f ca="1">('Invoer gegevens (N)'!$F$20/12)*F100*MIN(BA101,BC101)</f>
        <v>0</v>
      </c>
      <c r="K101" s="97">
        <f t="shared" ca="1" si="21"/>
        <v>0</v>
      </c>
      <c r="L101" s="84">
        <f ca="1">IF('Invoer gegevens (N)'!$C$17=E101,0,IF(C101=1,Q100,0))</f>
        <v>0</v>
      </c>
      <c r="M101" s="96">
        <f t="shared" ca="1" si="17"/>
        <v>0</v>
      </c>
      <c r="N101" s="84">
        <f ca="1">(1-('Invoer gegevens (N)'!$F$20/12))*L101*MIN(BA101,BC101)</f>
        <v>0</v>
      </c>
      <c r="O101" s="84">
        <f t="shared" ca="1" si="18"/>
        <v>0</v>
      </c>
      <c r="P101" s="84">
        <f ca="1">('Invoer gegevens (N)'!$F$20/12)*L100*MIN(BA101,BC101)</f>
        <v>0</v>
      </c>
      <c r="Q101" s="84">
        <f t="shared" ca="1" si="22"/>
        <v>0</v>
      </c>
      <c r="R101" s="85">
        <f ca="1">IF('Invoer gegevens (N)'!$C$17=E101,'Invoer gegevens (N)'!$C$11,IF(C101=1,W100,0))</f>
        <v>0</v>
      </c>
      <c r="S101" s="86">
        <f t="shared" ca="1" si="19"/>
        <v>0</v>
      </c>
      <c r="T101" s="86">
        <f ca="1">(1-('Invoer gegevens (N)'!$F$20/12))*R101*MIN(BC101,BA101)</f>
        <v>0</v>
      </c>
      <c r="U101" s="86">
        <f ca="1">IF(BD101&lt;1,IF('Reeksen (N)'!AD101&lt;='Reeksen (N)'!AE101,R101*'Reeksen (N)'!C101,0),IF(BC101&gt;=BA101,0,IF('Reeksen (N)'!AD101&lt;='Reeksen (N)'!AE101,(BA101-BC101)*R101,0)))</f>
        <v>0</v>
      </c>
      <c r="V101" s="86">
        <f ca="1">IF(BD101&lt;1,IF('Reeksen (N)'!AD101&gt;'Reeksen (N)'!AE101,R101*'Reeksen (N)'!C101,0),IF(BC101&gt;=BA101,0,IF('Reeksen (N)'!AD101&gt;'Reeksen (N)'!AE101,(BA101-BC101)*R101,0)))</f>
        <v>0</v>
      </c>
      <c r="W101" s="218">
        <f t="shared" ca="1" si="23"/>
        <v>0</v>
      </c>
      <c r="X101" s="98">
        <f ca="1">IF('Invoer gegevens (N)'!$C$17=E101,'Invoer gegevens (N)'!$C$10-'Invoer gegevens (N)'!$C$11,IF(C101=1,AC100,0))</f>
        <v>0</v>
      </c>
      <c r="Y101" s="98">
        <f t="shared" ca="1" si="20"/>
        <v>0</v>
      </c>
      <c r="Z101" s="98">
        <f ca="1">(1-('Invoer gegevens (N)'!$F$20/12))*X101*MIN(BA101,BC101)</f>
        <v>0</v>
      </c>
      <c r="AA101" s="98">
        <f ca="1">IF(BD101&lt;1,IF('Reeksen (N)'!AD101&lt;='Reeksen (N)'!AE101,X101*'Reeksen (N)'!C101,0),IF(BC101&gt;=BA101,0,IF('Reeksen (N)'!AD101&lt;='Reeksen (N)'!AE101,(BA101-BC101)*X101,0)))</f>
        <v>0</v>
      </c>
      <c r="AB101" s="98">
        <f ca="1">IF(BD101&lt;1,IF('Reeksen (N)'!AD101&gt;'Reeksen (N)'!AE101,X101*'Reeksen (N)'!C101,0),IF(BC101&gt;=BA101,0,IF('Reeksen (N)'!AD101&gt;'Reeksen (N)'!AE101,(BA101-BC101)*X101,0)))</f>
        <v>0</v>
      </c>
      <c r="AC101" s="99">
        <f t="shared" ca="1" si="24"/>
        <v>0</v>
      </c>
      <c r="AD101" s="98">
        <f ca="1">IF('Invoer gegevens (N)'!$C$17=E101,R101,IF(C101=0,0,AE100))</f>
        <v>0</v>
      </c>
      <c r="AE101" s="98">
        <f t="shared" ca="1" si="25"/>
        <v>0</v>
      </c>
      <c r="AF101" s="98">
        <f ca="1">IF('Invoer gegevens (N)'!$C$17=E101,X101,IF(C101=0,0,AG100))</f>
        <v>0</v>
      </c>
      <c r="AG101" s="98">
        <f t="shared" ca="1" si="26"/>
        <v>0</v>
      </c>
      <c r="AH101" s="66"/>
      <c r="AI101" s="71">
        <f ca="1">IF(C101=1,'Reeksen (N)'!AI101*((F101+K101)/2)*12+'Reeksen (N)'!AD101*((L101+Q101)/2)*12,0)</f>
        <v>0</v>
      </c>
      <c r="AJ101" s="71">
        <f ca="1">-AI101*'Invoer gegevens (N)'!$F$28</f>
        <v>0</v>
      </c>
      <c r="AK101" s="71">
        <f t="shared" ca="1" si="27"/>
        <v>0</v>
      </c>
      <c r="AL101" s="71">
        <f ca="1">IF(C101=1,'Reeksen (N)'!AL101*((F101-G101+F101)/2)*12+'Reeksen (N)'!AM101*((L101-M101+L101)/2)*12,0)</f>
        <v>0</v>
      </c>
      <c r="AM101" s="71">
        <f ca="1">-AL101*'Invoer gegevens (N)'!$F$31</f>
        <v>0</v>
      </c>
      <c r="AN101" s="71">
        <f t="shared" ca="1" si="28"/>
        <v>0</v>
      </c>
      <c r="AO101" s="71">
        <f ca="1">IF(C101=1,(H101+J101+N101+P101)*'Reeksen (N)'!AN101,0)</f>
        <v>0</v>
      </c>
      <c r="AP101" s="71">
        <f ca="1">-IF(C101=1,(H101+J101+N101+P101)*'Hulp - basis'!$O$550*'Reeksen (N)'!H101,0)</f>
        <v>0</v>
      </c>
      <c r="AQ101" s="71">
        <f ca="1">-IF(C101=1,(F101+K101+L101+Q101)/2*'Invoer gegevens (N)'!$F$35*'Reeksen (N)'!J101,0)*2</f>
        <v>0</v>
      </c>
      <c r="AR101" s="71">
        <f ca="1">IF(BD101&lt;1,-IF(C101=1,(G101*'Invoer gegevens (N)'!$F$36)*'Reeksen (N)'!J101,0),0)</f>
        <v>0</v>
      </c>
      <c r="AS101" s="71">
        <f ca="1">-IF(C101=1,(F101+K101+L101+Q101)/2*'Invoer gegevens (N)'!$F$37*'Reeksen (N)'!L101,0)</f>
        <v>0</v>
      </c>
      <c r="AT101" s="71">
        <f ca="1">-IF(C101=1,IF(E101='Invoer gegevens (N)'!$C$17,'Invoer gegevens (N)'!$C$11,AD101)*'Reeksen (N)'!S101*'Invoer gegevens (N)'!$C$18*'Reeksen (N)'!P101,0)</f>
        <v>0</v>
      </c>
      <c r="AU101" s="71">
        <f ca="1">-IF(C101=1,(F101+K101+L101+Q101)/2*'Invoer gegevens (N)'!$F$38*'Reeksen (N)'!H101,0)</f>
        <v>0</v>
      </c>
      <c r="AV101" s="71">
        <v>0</v>
      </c>
      <c r="AW101" s="71">
        <f t="shared" ca="1" si="29"/>
        <v>0</v>
      </c>
      <c r="AX101" s="71">
        <f ca="1">IF(E101&lt;'Invoer gegevens (N)'!$C$17+15,0,IF(E101&gt;'Invoer gegevens (N)'!$C$17+215,0,AW101))</f>
        <v>0</v>
      </c>
      <c r="AY101" s="71">
        <f ca="1">AX101/(1+'Invoer gegevens (N)'!$F$18)^($AZ101-('Invoer gegevens (N)'!$C$17-'Invoer gegevens (N)'!$C$16))/(1+'Invoer gegevens (N)'!$C$39)^('Invoer gegevens (N)'!$C$17-'Invoer gegevens (N)'!$C$16)</f>
        <v>0</v>
      </c>
      <c r="AZ101" s="68">
        <f ca="1">IF(E101-'Invoer gegevens (N)'!$C$17-14.5&lt;0,0,E101-'Invoer gegevens (N)'!$C$17-14.5)</f>
        <v>81.5</v>
      </c>
      <c r="BA101" s="109">
        <f ca="1">IFERROR(VLOOKUP(E101-15,'Reeksen (N)'!$A$5:$D$234,2,FALSE),0)</f>
        <v>0</v>
      </c>
      <c r="BB101" s="109">
        <f ca="1">IFERROR(VLOOKUP(E101-15,'Reeksen (N)'!$A$5:$D$234,3,FALSE),0)</f>
        <v>0</v>
      </c>
      <c r="BC101" s="109">
        <f ca="1">IFERROR(VLOOKUP(E101-15,'Reeksen (N)'!$A$5:$D$234,4,FALSE),0)</f>
        <v>0</v>
      </c>
      <c r="BD101" s="67">
        <f ca="1">IF(E101-'Invoer gegevens (N)'!$C$17&lt;15,0,1)</f>
        <v>1</v>
      </c>
    </row>
    <row r="102" spans="1:56" x14ac:dyDescent="0.25">
      <c r="A102" s="59"/>
      <c r="B102" s="70">
        <f t="shared" si="30"/>
        <v>98</v>
      </c>
      <c r="C102" s="67">
        <f ca="1">IF(E102-'Invoer gegevens (N)'!$C$17&lt;0,0,1)</f>
        <v>1</v>
      </c>
      <c r="D102" s="68">
        <f t="shared" si="31"/>
        <v>97.5</v>
      </c>
      <c r="E102" s="108">
        <f ca="1">IF('Invoer gegevens (N)'!$C$16="","",E101+1)</f>
        <v>2116</v>
      </c>
      <c r="F102" s="84">
        <f ca="1">IF('Invoer gegevens (N)'!$C$17=E102,'Invoer gegevens (N)'!$C$10,IF(C102=1,K101,0))</f>
        <v>0</v>
      </c>
      <c r="G102" s="96">
        <f ca="1">IF(BD102&lt;1,F102*'Reeksen (N)'!C102,IF(C102&gt;=1,F102*BA102,0))</f>
        <v>0</v>
      </c>
      <c r="H102" s="84">
        <f ca="1">(1-('Invoer gegevens (N)'!$F$20/12))*F102*MIN(BA102,BC102)</f>
        <v>0</v>
      </c>
      <c r="I102" s="84">
        <f t="shared" ca="1" si="16"/>
        <v>0</v>
      </c>
      <c r="J102" s="84">
        <f ca="1">('Invoer gegevens (N)'!$F$20/12)*F101*MIN(BA102,BC102)</f>
        <v>0</v>
      </c>
      <c r="K102" s="97">
        <f t="shared" ca="1" si="21"/>
        <v>0</v>
      </c>
      <c r="L102" s="84">
        <f ca="1">IF('Invoer gegevens (N)'!$C$17=E102,0,IF(C102=1,Q101,0))</f>
        <v>0</v>
      </c>
      <c r="M102" s="96">
        <f t="shared" ca="1" si="17"/>
        <v>0</v>
      </c>
      <c r="N102" s="84">
        <f ca="1">(1-('Invoer gegevens (N)'!$F$20/12))*L102*MIN(BA102,BC102)</f>
        <v>0</v>
      </c>
      <c r="O102" s="84">
        <f t="shared" ca="1" si="18"/>
        <v>0</v>
      </c>
      <c r="P102" s="84">
        <f ca="1">('Invoer gegevens (N)'!$F$20/12)*L101*MIN(BA102,BC102)</f>
        <v>0</v>
      </c>
      <c r="Q102" s="84">
        <f t="shared" ca="1" si="22"/>
        <v>0</v>
      </c>
      <c r="R102" s="85">
        <f ca="1">IF('Invoer gegevens (N)'!$C$17=E102,'Invoer gegevens (N)'!$C$11,IF(C102=1,W101,0))</f>
        <v>0</v>
      </c>
      <c r="S102" s="86">
        <f t="shared" ca="1" si="19"/>
        <v>0</v>
      </c>
      <c r="T102" s="86">
        <f ca="1">(1-('Invoer gegevens (N)'!$F$20/12))*R102*MIN(BC102,BA102)</f>
        <v>0</v>
      </c>
      <c r="U102" s="86">
        <f ca="1">IF(BD102&lt;1,IF('Reeksen (N)'!AD102&lt;='Reeksen (N)'!AE102,R102*'Reeksen (N)'!C102,0),IF(BC102&gt;=BA102,0,IF('Reeksen (N)'!AD102&lt;='Reeksen (N)'!AE102,(BA102-BC102)*R102,0)))</f>
        <v>0</v>
      </c>
      <c r="V102" s="86">
        <f ca="1">IF(BD102&lt;1,IF('Reeksen (N)'!AD102&gt;'Reeksen (N)'!AE102,R102*'Reeksen (N)'!C102,0),IF(BC102&gt;=BA102,0,IF('Reeksen (N)'!AD102&gt;'Reeksen (N)'!AE102,(BA102-BC102)*R102,0)))</f>
        <v>0</v>
      </c>
      <c r="W102" s="218">
        <f t="shared" ca="1" si="23"/>
        <v>0</v>
      </c>
      <c r="X102" s="98">
        <f ca="1">IF('Invoer gegevens (N)'!$C$17=E102,'Invoer gegevens (N)'!$C$10-'Invoer gegevens (N)'!$C$11,IF(C102=1,AC101,0))</f>
        <v>0</v>
      </c>
      <c r="Y102" s="98">
        <f t="shared" ca="1" si="20"/>
        <v>0</v>
      </c>
      <c r="Z102" s="98">
        <f ca="1">(1-('Invoer gegevens (N)'!$F$20/12))*X102*MIN(BA102,BC102)</f>
        <v>0</v>
      </c>
      <c r="AA102" s="98">
        <f ca="1">IF(BD102&lt;1,IF('Reeksen (N)'!AD102&lt;='Reeksen (N)'!AE102,X102*'Reeksen (N)'!C102,0),IF(BC102&gt;=BA102,0,IF('Reeksen (N)'!AD102&lt;='Reeksen (N)'!AE102,(BA102-BC102)*X102,0)))</f>
        <v>0</v>
      </c>
      <c r="AB102" s="98">
        <f ca="1">IF(BD102&lt;1,IF('Reeksen (N)'!AD102&gt;'Reeksen (N)'!AE102,X102*'Reeksen (N)'!C102,0),IF(BC102&gt;=BA102,0,IF('Reeksen (N)'!AD102&gt;'Reeksen (N)'!AE102,(BA102-BC102)*X102,0)))</f>
        <v>0</v>
      </c>
      <c r="AC102" s="99">
        <f t="shared" ca="1" si="24"/>
        <v>0</v>
      </c>
      <c r="AD102" s="98">
        <f ca="1">IF('Invoer gegevens (N)'!$C$17=E102,R102,IF(C102=0,0,AE101))</f>
        <v>0</v>
      </c>
      <c r="AE102" s="98">
        <f t="shared" ca="1" si="25"/>
        <v>0</v>
      </c>
      <c r="AF102" s="98">
        <f ca="1">IF('Invoer gegevens (N)'!$C$17=E102,X102,IF(C102=0,0,AG101))</f>
        <v>0</v>
      </c>
      <c r="AG102" s="98">
        <f t="shared" ca="1" si="26"/>
        <v>0</v>
      </c>
      <c r="AH102" s="66"/>
      <c r="AI102" s="71">
        <f ca="1">IF(C102=1,'Reeksen (N)'!AI102*((F102+K102)/2)*12+'Reeksen (N)'!AD102*((L102+Q102)/2)*12,0)</f>
        <v>0</v>
      </c>
      <c r="AJ102" s="71">
        <f ca="1">-AI102*'Invoer gegevens (N)'!$F$28</f>
        <v>0</v>
      </c>
      <c r="AK102" s="71">
        <f t="shared" ca="1" si="27"/>
        <v>0</v>
      </c>
      <c r="AL102" s="71">
        <f ca="1">IF(C102=1,'Reeksen (N)'!AL102*((F102-G102+F102)/2)*12+'Reeksen (N)'!AM102*((L102-M102+L102)/2)*12,0)</f>
        <v>0</v>
      </c>
      <c r="AM102" s="71">
        <f ca="1">-AL102*'Invoer gegevens (N)'!$F$31</f>
        <v>0</v>
      </c>
      <c r="AN102" s="71">
        <f t="shared" ca="1" si="28"/>
        <v>0</v>
      </c>
      <c r="AO102" s="71">
        <f ca="1">IF(C102=1,(H102+J102+N102+P102)*'Reeksen (N)'!AN102,0)</f>
        <v>0</v>
      </c>
      <c r="AP102" s="71">
        <f ca="1">-IF(C102=1,(H102+J102+N102+P102)*'Hulp - basis'!$O$550*'Reeksen (N)'!H102,0)</f>
        <v>0</v>
      </c>
      <c r="AQ102" s="71">
        <f ca="1">-IF(C102=1,(F102+K102+L102+Q102)/2*'Invoer gegevens (N)'!$F$35*'Reeksen (N)'!J102,0)*2</f>
        <v>0</v>
      </c>
      <c r="AR102" s="71">
        <f ca="1">IF(BD102&lt;1,-IF(C102=1,(G102*'Invoer gegevens (N)'!$F$36)*'Reeksen (N)'!J102,0),0)</f>
        <v>0</v>
      </c>
      <c r="AS102" s="71">
        <f ca="1">-IF(C102=1,(F102+K102+L102+Q102)/2*'Invoer gegevens (N)'!$F$37*'Reeksen (N)'!L102,0)</f>
        <v>0</v>
      </c>
      <c r="AT102" s="71">
        <f ca="1">-IF(C102=1,IF(E102='Invoer gegevens (N)'!$C$17,'Invoer gegevens (N)'!$C$11,AD102)*'Reeksen (N)'!S102*'Invoer gegevens (N)'!$C$18*'Reeksen (N)'!P102,0)</f>
        <v>0</v>
      </c>
      <c r="AU102" s="71">
        <f ca="1">-IF(C102=1,(F102+K102+L102+Q102)/2*'Invoer gegevens (N)'!$F$38*'Reeksen (N)'!H102,0)</f>
        <v>0</v>
      </c>
      <c r="AV102" s="71">
        <v>0</v>
      </c>
      <c r="AW102" s="71">
        <f t="shared" ca="1" si="29"/>
        <v>0</v>
      </c>
      <c r="AX102" s="71">
        <f ca="1">IF(E102&lt;'Invoer gegevens (N)'!$C$17+15,0,IF(E102&gt;'Invoer gegevens (N)'!$C$17+215,0,AW102))</f>
        <v>0</v>
      </c>
      <c r="AY102" s="71">
        <f ca="1">AX102/(1+'Invoer gegevens (N)'!$F$18)^($AZ102-('Invoer gegevens (N)'!$C$17-'Invoer gegevens (N)'!$C$16))/(1+'Invoer gegevens (N)'!$C$39)^('Invoer gegevens (N)'!$C$17-'Invoer gegevens (N)'!$C$16)</f>
        <v>0</v>
      </c>
      <c r="AZ102" s="68">
        <f ca="1">IF(E102-'Invoer gegevens (N)'!$C$17-14.5&lt;0,0,E102-'Invoer gegevens (N)'!$C$17-14.5)</f>
        <v>82.5</v>
      </c>
      <c r="BA102" s="109">
        <f ca="1">IFERROR(VLOOKUP(E102-15,'Reeksen (N)'!$A$5:$D$234,2,FALSE),0)</f>
        <v>0</v>
      </c>
      <c r="BB102" s="109">
        <f ca="1">IFERROR(VLOOKUP(E102-15,'Reeksen (N)'!$A$5:$D$234,3,FALSE),0)</f>
        <v>0</v>
      </c>
      <c r="BC102" s="109">
        <f ca="1">IFERROR(VLOOKUP(E102-15,'Reeksen (N)'!$A$5:$D$234,4,FALSE),0)</f>
        <v>0</v>
      </c>
      <c r="BD102" s="67">
        <f ca="1">IF(E102-'Invoer gegevens (N)'!$C$17&lt;15,0,1)</f>
        <v>1</v>
      </c>
    </row>
    <row r="103" spans="1:56" x14ac:dyDescent="0.25">
      <c r="A103" s="59"/>
      <c r="B103" s="70">
        <f t="shared" si="30"/>
        <v>99</v>
      </c>
      <c r="C103" s="67">
        <f ca="1">IF(E103-'Invoer gegevens (N)'!$C$17&lt;0,0,1)</f>
        <v>1</v>
      </c>
      <c r="D103" s="68">
        <f t="shared" si="31"/>
        <v>98.5</v>
      </c>
      <c r="E103" s="108">
        <f ca="1">IF('Invoer gegevens (N)'!$C$16="","",E102+1)</f>
        <v>2117</v>
      </c>
      <c r="F103" s="84">
        <f ca="1">IF('Invoer gegevens (N)'!$C$17=E103,'Invoer gegevens (N)'!$C$10,IF(C103=1,K102,0))</f>
        <v>0</v>
      </c>
      <c r="G103" s="96">
        <f ca="1">IF(BD103&lt;1,F103*'Reeksen (N)'!C103,IF(C103&gt;=1,F103*BA103,0))</f>
        <v>0</v>
      </c>
      <c r="H103" s="84">
        <f ca="1">(1-('Invoer gegevens (N)'!$F$20/12))*F103*MIN(BA103,BC103)</f>
        <v>0</v>
      </c>
      <c r="I103" s="84">
        <f t="shared" ca="1" si="16"/>
        <v>0</v>
      </c>
      <c r="J103" s="84">
        <f ca="1">('Invoer gegevens (N)'!$F$20/12)*F102*MIN(BA103,BC103)</f>
        <v>0</v>
      </c>
      <c r="K103" s="97">
        <f t="shared" ca="1" si="21"/>
        <v>0</v>
      </c>
      <c r="L103" s="84">
        <f ca="1">IF('Invoer gegevens (N)'!$C$17=E103,0,IF(C103=1,Q102,0))</f>
        <v>0</v>
      </c>
      <c r="M103" s="96">
        <f t="shared" ca="1" si="17"/>
        <v>0</v>
      </c>
      <c r="N103" s="84">
        <f ca="1">(1-('Invoer gegevens (N)'!$F$20/12))*L103*MIN(BA103,BC103)</f>
        <v>0</v>
      </c>
      <c r="O103" s="84">
        <f t="shared" ca="1" si="18"/>
        <v>0</v>
      </c>
      <c r="P103" s="84">
        <f ca="1">('Invoer gegevens (N)'!$F$20/12)*L102*MIN(BA103,BC103)</f>
        <v>0</v>
      </c>
      <c r="Q103" s="84">
        <f t="shared" ca="1" si="22"/>
        <v>0</v>
      </c>
      <c r="R103" s="85">
        <f ca="1">IF('Invoer gegevens (N)'!$C$17=E103,'Invoer gegevens (N)'!$C$11,IF(C103=1,W102,0))</f>
        <v>0</v>
      </c>
      <c r="S103" s="86">
        <f t="shared" ca="1" si="19"/>
        <v>0</v>
      </c>
      <c r="T103" s="86">
        <f ca="1">(1-('Invoer gegevens (N)'!$F$20/12))*R103*MIN(BC103,BA103)</f>
        <v>0</v>
      </c>
      <c r="U103" s="86">
        <f ca="1">IF(BD103&lt;1,IF('Reeksen (N)'!AD103&lt;='Reeksen (N)'!AE103,R103*'Reeksen (N)'!C103,0),IF(BC103&gt;=BA103,0,IF('Reeksen (N)'!AD103&lt;='Reeksen (N)'!AE103,(BA103-BC103)*R103,0)))</f>
        <v>0</v>
      </c>
      <c r="V103" s="86">
        <f ca="1">IF(BD103&lt;1,IF('Reeksen (N)'!AD103&gt;'Reeksen (N)'!AE103,R103*'Reeksen (N)'!C103,0),IF(BC103&gt;=BA103,0,IF('Reeksen (N)'!AD103&gt;'Reeksen (N)'!AE103,(BA103-BC103)*R103,0)))</f>
        <v>0</v>
      </c>
      <c r="W103" s="218">
        <f t="shared" ca="1" si="23"/>
        <v>0</v>
      </c>
      <c r="X103" s="98">
        <f ca="1">IF('Invoer gegevens (N)'!$C$17=E103,'Invoer gegevens (N)'!$C$10-'Invoer gegevens (N)'!$C$11,IF(C103=1,AC102,0))</f>
        <v>0</v>
      </c>
      <c r="Y103" s="98">
        <f t="shared" ca="1" si="20"/>
        <v>0</v>
      </c>
      <c r="Z103" s="98">
        <f ca="1">(1-('Invoer gegevens (N)'!$F$20/12))*X103*MIN(BA103,BC103)</f>
        <v>0</v>
      </c>
      <c r="AA103" s="98">
        <f ca="1">IF(BD103&lt;1,IF('Reeksen (N)'!AD103&lt;='Reeksen (N)'!AE103,X103*'Reeksen (N)'!C103,0),IF(BC103&gt;=BA103,0,IF('Reeksen (N)'!AD103&lt;='Reeksen (N)'!AE103,(BA103-BC103)*X103,0)))</f>
        <v>0</v>
      </c>
      <c r="AB103" s="98">
        <f ca="1">IF(BD103&lt;1,IF('Reeksen (N)'!AD103&gt;'Reeksen (N)'!AE103,X103*'Reeksen (N)'!C103,0),IF(BC103&gt;=BA103,0,IF('Reeksen (N)'!AD103&gt;'Reeksen (N)'!AE103,(BA103-BC103)*X103,0)))</f>
        <v>0</v>
      </c>
      <c r="AC103" s="99">
        <f t="shared" ca="1" si="24"/>
        <v>0</v>
      </c>
      <c r="AD103" s="98">
        <f ca="1">IF('Invoer gegevens (N)'!$C$17=E103,R103,IF(C103=0,0,AE102))</f>
        <v>0</v>
      </c>
      <c r="AE103" s="98">
        <f t="shared" ca="1" si="25"/>
        <v>0</v>
      </c>
      <c r="AF103" s="98">
        <f ca="1">IF('Invoer gegevens (N)'!$C$17=E103,X103,IF(C103=0,0,AG102))</f>
        <v>0</v>
      </c>
      <c r="AG103" s="98">
        <f t="shared" ca="1" si="26"/>
        <v>0</v>
      </c>
      <c r="AH103" s="66"/>
      <c r="AI103" s="71">
        <f ca="1">IF(C103=1,'Reeksen (N)'!AI103*((F103+K103)/2)*12+'Reeksen (N)'!AD103*((L103+Q103)/2)*12,0)</f>
        <v>0</v>
      </c>
      <c r="AJ103" s="71">
        <f ca="1">-AI103*'Invoer gegevens (N)'!$F$28</f>
        <v>0</v>
      </c>
      <c r="AK103" s="71">
        <f t="shared" ca="1" si="27"/>
        <v>0</v>
      </c>
      <c r="AL103" s="71">
        <f ca="1">IF(C103=1,'Reeksen (N)'!AL103*((F103-G103+F103)/2)*12+'Reeksen (N)'!AM103*((L103-M103+L103)/2)*12,0)</f>
        <v>0</v>
      </c>
      <c r="AM103" s="71">
        <f ca="1">-AL103*'Invoer gegevens (N)'!$F$31</f>
        <v>0</v>
      </c>
      <c r="AN103" s="71">
        <f t="shared" ca="1" si="28"/>
        <v>0</v>
      </c>
      <c r="AO103" s="71">
        <f ca="1">IF(C103=1,(H103+J103+N103+P103)*'Reeksen (N)'!AN103,0)</f>
        <v>0</v>
      </c>
      <c r="AP103" s="71">
        <f ca="1">-IF(C103=1,(H103+J103+N103+P103)*'Hulp - basis'!$O$550*'Reeksen (N)'!H103,0)</f>
        <v>0</v>
      </c>
      <c r="AQ103" s="71">
        <f ca="1">-IF(C103=1,(F103+K103+L103+Q103)/2*'Invoer gegevens (N)'!$F$35*'Reeksen (N)'!J103,0)*2</f>
        <v>0</v>
      </c>
      <c r="AR103" s="71">
        <f ca="1">IF(BD103&lt;1,-IF(C103=1,(G103*'Invoer gegevens (N)'!$F$36)*'Reeksen (N)'!J103,0),0)</f>
        <v>0</v>
      </c>
      <c r="AS103" s="71">
        <f ca="1">-IF(C103=1,(F103+K103+L103+Q103)/2*'Invoer gegevens (N)'!$F$37*'Reeksen (N)'!L103,0)</f>
        <v>0</v>
      </c>
      <c r="AT103" s="71">
        <f ca="1">-IF(C103=1,IF(E103='Invoer gegevens (N)'!$C$17,'Invoer gegevens (N)'!$C$11,AD103)*'Reeksen (N)'!S103*'Invoer gegevens (N)'!$C$18*'Reeksen (N)'!P103,0)</f>
        <v>0</v>
      </c>
      <c r="AU103" s="71">
        <f ca="1">-IF(C103=1,(F103+K103+L103+Q103)/2*'Invoer gegevens (N)'!$F$38*'Reeksen (N)'!H103,0)</f>
        <v>0</v>
      </c>
      <c r="AV103" s="71">
        <v>0</v>
      </c>
      <c r="AW103" s="71">
        <f t="shared" ca="1" si="29"/>
        <v>0</v>
      </c>
      <c r="AX103" s="71">
        <f ca="1">IF(E103&lt;'Invoer gegevens (N)'!$C$17+15,0,IF(E103&gt;'Invoer gegevens (N)'!$C$17+215,0,AW103))</f>
        <v>0</v>
      </c>
      <c r="AY103" s="71">
        <f ca="1">AX103/(1+'Invoer gegevens (N)'!$F$18)^($AZ103-('Invoer gegevens (N)'!$C$17-'Invoer gegevens (N)'!$C$16))/(1+'Invoer gegevens (N)'!$C$39)^('Invoer gegevens (N)'!$C$17-'Invoer gegevens (N)'!$C$16)</f>
        <v>0</v>
      </c>
      <c r="AZ103" s="68">
        <f ca="1">IF(E103-'Invoer gegevens (N)'!$C$17-14.5&lt;0,0,E103-'Invoer gegevens (N)'!$C$17-14.5)</f>
        <v>83.5</v>
      </c>
      <c r="BA103" s="109">
        <f ca="1">IFERROR(VLOOKUP(E103-15,'Reeksen (N)'!$A$5:$D$234,2,FALSE),0)</f>
        <v>0</v>
      </c>
      <c r="BB103" s="109">
        <f ca="1">IFERROR(VLOOKUP(E103-15,'Reeksen (N)'!$A$5:$D$234,3,FALSE),0)</f>
        <v>0</v>
      </c>
      <c r="BC103" s="109">
        <f ca="1">IFERROR(VLOOKUP(E103-15,'Reeksen (N)'!$A$5:$D$234,4,FALSE),0)</f>
        <v>0</v>
      </c>
      <c r="BD103" s="67">
        <f ca="1">IF(E103-'Invoer gegevens (N)'!$C$17&lt;15,0,1)</f>
        <v>1</v>
      </c>
    </row>
    <row r="104" spans="1:56" x14ac:dyDescent="0.25">
      <c r="A104" s="59"/>
      <c r="B104" s="70">
        <f t="shared" si="30"/>
        <v>100</v>
      </c>
      <c r="C104" s="67">
        <f ca="1">IF(E104-'Invoer gegevens (N)'!$C$17&lt;0,0,1)</f>
        <v>1</v>
      </c>
      <c r="D104" s="68">
        <f t="shared" si="31"/>
        <v>99.5</v>
      </c>
      <c r="E104" s="108">
        <f ca="1">IF('Invoer gegevens (N)'!$C$16="","",E103+1)</f>
        <v>2118</v>
      </c>
      <c r="F104" s="84">
        <f ca="1">IF('Invoer gegevens (N)'!$C$17=E104,'Invoer gegevens (N)'!$C$10,IF(C104=1,K103,0))</f>
        <v>0</v>
      </c>
      <c r="G104" s="96">
        <f ca="1">IF(BD104&lt;1,F104*'Reeksen (N)'!C104,IF(C104&gt;=1,F104*BA104,0))</f>
        <v>0</v>
      </c>
      <c r="H104" s="84">
        <f ca="1">(1-('Invoer gegevens (N)'!$F$20/12))*F104*MIN(BA104,BC104)</f>
        <v>0</v>
      </c>
      <c r="I104" s="84">
        <f t="shared" ca="1" si="16"/>
        <v>0</v>
      </c>
      <c r="J104" s="84">
        <f ca="1">('Invoer gegevens (N)'!$F$20/12)*F103*MIN(BA104,BC104)</f>
        <v>0</v>
      </c>
      <c r="K104" s="97">
        <f t="shared" ca="1" si="21"/>
        <v>0</v>
      </c>
      <c r="L104" s="84">
        <f ca="1">IF('Invoer gegevens (N)'!$C$17=E104,0,IF(C104=1,Q103,0))</f>
        <v>0</v>
      </c>
      <c r="M104" s="96">
        <f t="shared" ca="1" si="17"/>
        <v>0</v>
      </c>
      <c r="N104" s="84">
        <f ca="1">(1-('Invoer gegevens (N)'!$F$20/12))*L104*MIN(BA104,BC104)</f>
        <v>0</v>
      </c>
      <c r="O104" s="84">
        <f t="shared" ca="1" si="18"/>
        <v>0</v>
      </c>
      <c r="P104" s="84">
        <f ca="1">('Invoer gegevens (N)'!$F$20/12)*L103*MIN(BA104,BC104)</f>
        <v>0</v>
      </c>
      <c r="Q104" s="84">
        <f t="shared" ca="1" si="22"/>
        <v>0</v>
      </c>
      <c r="R104" s="85">
        <f ca="1">IF('Invoer gegevens (N)'!$C$17=E104,'Invoer gegevens (N)'!$C$11,IF(C104=1,W103,0))</f>
        <v>0</v>
      </c>
      <c r="S104" s="86">
        <f t="shared" ca="1" si="19"/>
        <v>0</v>
      </c>
      <c r="T104" s="86">
        <f ca="1">(1-('Invoer gegevens (N)'!$F$20/12))*R104*MIN(BC104,BA104)</f>
        <v>0</v>
      </c>
      <c r="U104" s="86">
        <f ca="1">IF(BD104&lt;1,IF('Reeksen (N)'!AD104&lt;='Reeksen (N)'!AE104,R104*'Reeksen (N)'!C104,0),IF(BC104&gt;=BA104,0,IF('Reeksen (N)'!AD104&lt;='Reeksen (N)'!AE104,(BA104-BC104)*R104,0)))</f>
        <v>0</v>
      </c>
      <c r="V104" s="86">
        <f ca="1">IF(BD104&lt;1,IF('Reeksen (N)'!AD104&gt;'Reeksen (N)'!AE104,R104*'Reeksen (N)'!C104,0),IF(BC104&gt;=BA104,0,IF('Reeksen (N)'!AD104&gt;'Reeksen (N)'!AE104,(BA104-BC104)*R104,0)))</f>
        <v>0</v>
      </c>
      <c r="W104" s="218">
        <f t="shared" ca="1" si="23"/>
        <v>0</v>
      </c>
      <c r="X104" s="98">
        <f ca="1">IF('Invoer gegevens (N)'!$C$17=E104,'Invoer gegevens (N)'!$C$10-'Invoer gegevens (N)'!$C$11,IF(C104=1,AC103,0))</f>
        <v>0</v>
      </c>
      <c r="Y104" s="98">
        <f t="shared" ca="1" si="20"/>
        <v>0</v>
      </c>
      <c r="Z104" s="98">
        <f ca="1">(1-('Invoer gegevens (N)'!$F$20/12))*X104*MIN(BA104,BC104)</f>
        <v>0</v>
      </c>
      <c r="AA104" s="98">
        <f ca="1">IF(BD104&lt;1,IF('Reeksen (N)'!AD104&lt;='Reeksen (N)'!AE104,X104*'Reeksen (N)'!C104,0),IF(BC104&gt;=BA104,0,IF('Reeksen (N)'!AD104&lt;='Reeksen (N)'!AE104,(BA104-BC104)*X104,0)))</f>
        <v>0</v>
      </c>
      <c r="AB104" s="98">
        <f ca="1">IF(BD104&lt;1,IF('Reeksen (N)'!AD104&gt;'Reeksen (N)'!AE104,X104*'Reeksen (N)'!C104,0),IF(BC104&gt;=BA104,0,IF('Reeksen (N)'!AD104&gt;'Reeksen (N)'!AE104,(BA104-BC104)*X104,0)))</f>
        <v>0</v>
      </c>
      <c r="AC104" s="99">
        <f t="shared" ca="1" si="24"/>
        <v>0</v>
      </c>
      <c r="AD104" s="98">
        <f ca="1">IF('Invoer gegevens (N)'!$C$17=E104,R104,IF(C104=0,0,AE103))</f>
        <v>0</v>
      </c>
      <c r="AE104" s="98">
        <f t="shared" ca="1" si="25"/>
        <v>0</v>
      </c>
      <c r="AF104" s="98">
        <f ca="1">IF('Invoer gegevens (N)'!$C$17=E104,X104,IF(C104=0,0,AG103))</f>
        <v>0</v>
      </c>
      <c r="AG104" s="98">
        <f t="shared" ca="1" si="26"/>
        <v>0</v>
      </c>
      <c r="AH104" s="66"/>
      <c r="AI104" s="71">
        <f ca="1">IF(C104=1,'Reeksen (N)'!AI104*((F104+K104)/2)*12+'Reeksen (N)'!AD104*((L104+Q104)/2)*12,0)</f>
        <v>0</v>
      </c>
      <c r="AJ104" s="71">
        <f ca="1">-AI104*'Invoer gegevens (N)'!$F$28</f>
        <v>0</v>
      </c>
      <c r="AK104" s="71">
        <f t="shared" ca="1" si="27"/>
        <v>0</v>
      </c>
      <c r="AL104" s="71">
        <f ca="1">IF(C104=1,'Reeksen (N)'!AL104*((F104-G104+F104)/2)*12+'Reeksen (N)'!AM104*((L104-M104+L104)/2)*12,0)</f>
        <v>0</v>
      </c>
      <c r="AM104" s="71">
        <f ca="1">-AL104*'Invoer gegevens (N)'!$F$31</f>
        <v>0</v>
      </c>
      <c r="AN104" s="71">
        <f t="shared" ca="1" si="28"/>
        <v>0</v>
      </c>
      <c r="AO104" s="71">
        <f ca="1">IF(C104=1,(H104+J104+N104+P104)*'Reeksen (N)'!AN104,0)</f>
        <v>0</v>
      </c>
      <c r="AP104" s="71">
        <f ca="1">-IF(C104=1,(H104+J104+N104+P104)*'Hulp - basis'!$O$550*'Reeksen (N)'!H104,0)</f>
        <v>0</v>
      </c>
      <c r="AQ104" s="71">
        <f ca="1">-IF(C104=1,(F104+K104+L104+Q104)/2*'Invoer gegevens (N)'!$F$35*'Reeksen (N)'!J104,0)*2</f>
        <v>0</v>
      </c>
      <c r="AR104" s="71">
        <f ca="1">IF(BD104&lt;1,-IF(C104=1,(G104*'Invoer gegevens (N)'!$F$36)*'Reeksen (N)'!J104,0),0)</f>
        <v>0</v>
      </c>
      <c r="AS104" s="71">
        <f ca="1">-IF(C104=1,(F104+K104+L104+Q104)/2*'Invoer gegevens (N)'!$F$37*'Reeksen (N)'!L104,0)</f>
        <v>0</v>
      </c>
      <c r="AT104" s="71">
        <f ca="1">-IF(C104=1,IF(E104='Invoer gegevens (N)'!$C$17,'Invoer gegevens (N)'!$C$11,AD104)*'Reeksen (N)'!S104*'Invoer gegevens (N)'!$C$18*'Reeksen (N)'!P104,0)</f>
        <v>0</v>
      </c>
      <c r="AU104" s="71">
        <f ca="1">-IF(C104=1,(F104+K104+L104+Q104)/2*'Invoer gegevens (N)'!$F$38*'Reeksen (N)'!H104,0)</f>
        <v>0</v>
      </c>
      <c r="AV104" s="71">
        <v>0</v>
      </c>
      <c r="AW104" s="71">
        <f t="shared" ca="1" si="29"/>
        <v>0</v>
      </c>
      <c r="AX104" s="71">
        <f ca="1">IF(E104&lt;'Invoer gegevens (N)'!$C$17+15,0,IF(E104&gt;'Invoer gegevens (N)'!$C$17+215,0,AW104))</f>
        <v>0</v>
      </c>
      <c r="AY104" s="71">
        <f ca="1">AX104/(1+'Invoer gegevens (N)'!$F$18)^($AZ104-('Invoer gegevens (N)'!$C$17-'Invoer gegevens (N)'!$C$16))/(1+'Invoer gegevens (N)'!$C$39)^('Invoer gegevens (N)'!$C$17-'Invoer gegevens (N)'!$C$16)</f>
        <v>0</v>
      </c>
      <c r="AZ104" s="68">
        <f ca="1">IF(E104-'Invoer gegevens (N)'!$C$17-14.5&lt;0,0,E104-'Invoer gegevens (N)'!$C$17-14.5)</f>
        <v>84.5</v>
      </c>
      <c r="BA104" s="109">
        <f ca="1">IFERROR(VLOOKUP(E104-15,'Reeksen (N)'!$A$5:$D$234,2,FALSE),0)</f>
        <v>0</v>
      </c>
      <c r="BB104" s="109">
        <f ca="1">IFERROR(VLOOKUP(E104-15,'Reeksen (N)'!$A$5:$D$234,3,FALSE),0)</f>
        <v>0</v>
      </c>
      <c r="BC104" s="109">
        <f ca="1">IFERROR(VLOOKUP(E104-15,'Reeksen (N)'!$A$5:$D$234,4,FALSE),0)</f>
        <v>0</v>
      </c>
      <c r="BD104" s="67">
        <f ca="1">IF(E104-'Invoer gegevens (N)'!$C$17&lt;15,0,1)</f>
        <v>1</v>
      </c>
    </row>
    <row r="105" spans="1:56" x14ac:dyDescent="0.25">
      <c r="A105" s="59"/>
      <c r="B105" s="70">
        <f t="shared" si="30"/>
        <v>101</v>
      </c>
      <c r="C105" s="67">
        <f ca="1">IF(E105-'Invoer gegevens (N)'!$C$17&lt;0,0,1)</f>
        <v>1</v>
      </c>
      <c r="D105" s="68">
        <f t="shared" si="31"/>
        <v>100.5</v>
      </c>
      <c r="E105" s="108">
        <f ca="1">IF('Invoer gegevens (N)'!$C$16="","",E104+1)</f>
        <v>2119</v>
      </c>
      <c r="F105" s="84">
        <f ca="1">IF('Invoer gegevens (N)'!$C$17=E105,'Invoer gegevens (N)'!$C$10,IF(C105=1,K104,0))</f>
        <v>0</v>
      </c>
      <c r="G105" s="96">
        <f ca="1">IF(BD105&lt;1,F105*'Reeksen (N)'!C105,IF(C105&gt;=1,F105*BA105,0))</f>
        <v>0</v>
      </c>
      <c r="H105" s="84">
        <f ca="1">(1-('Invoer gegevens (N)'!$F$20/12))*F105*MIN(BA105,BC105)</f>
        <v>0</v>
      </c>
      <c r="I105" s="84">
        <f t="shared" ca="1" si="16"/>
        <v>0</v>
      </c>
      <c r="J105" s="84">
        <f ca="1">('Invoer gegevens (N)'!$F$20/12)*F104*MIN(BA105,BC105)</f>
        <v>0</v>
      </c>
      <c r="K105" s="97">
        <f t="shared" ca="1" si="21"/>
        <v>0</v>
      </c>
      <c r="L105" s="84">
        <f ca="1">IF('Invoer gegevens (N)'!$C$17=E105,0,IF(C105=1,Q104,0))</f>
        <v>0</v>
      </c>
      <c r="M105" s="96">
        <f t="shared" ca="1" si="17"/>
        <v>0</v>
      </c>
      <c r="N105" s="84">
        <f ca="1">(1-('Invoer gegevens (N)'!$F$20/12))*L105*MIN(BA105,BC105)</f>
        <v>0</v>
      </c>
      <c r="O105" s="84">
        <f t="shared" ca="1" si="18"/>
        <v>0</v>
      </c>
      <c r="P105" s="84">
        <f ca="1">('Invoer gegevens (N)'!$F$20/12)*L104*MIN(BA105,BC105)</f>
        <v>0</v>
      </c>
      <c r="Q105" s="84">
        <f t="shared" ca="1" si="22"/>
        <v>0</v>
      </c>
      <c r="R105" s="85">
        <f ca="1">IF('Invoer gegevens (N)'!$C$17=E105,'Invoer gegevens (N)'!$C$11,IF(C105=1,W104,0))</f>
        <v>0</v>
      </c>
      <c r="S105" s="86">
        <f t="shared" ca="1" si="19"/>
        <v>0</v>
      </c>
      <c r="T105" s="86">
        <f ca="1">(1-('Invoer gegevens (N)'!$F$20/12))*R105*MIN(BC105,BA105)</f>
        <v>0</v>
      </c>
      <c r="U105" s="86">
        <f ca="1">IF(BD105&lt;1,IF('Reeksen (N)'!AD105&lt;='Reeksen (N)'!AE105,R105*'Reeksen (N)'!C105,0),IF(BC105&gt;=BA105,0,IF('Reeksen (N)'!AD105&lt;='Reeksen (N)'!AE105,(BA105-BC105)*R105,0)))</f>
        <v>0</v>
      </c>
      <c r="V105" s="86">
        <f ca="1">IF(BD105&lt;1,IF('Reeksen (N)'!AD105&gt;'Reeksen (N)'!AE105,R105*'Reeksen (N)'!C105,0),IF(BC105&gt;=BA105,0,IF('Reeksen (N)'!AD105&gt;'Reeksen (N)'!AE105,(BA105-BC105)*R105,0)))</f>
        <v>0</v>
      </c>
      <c r="W105" s="218">
        <f t="shared" ca="1" si="23"/>
        <v>0</v>
      </c>
      <c r="X105" s="98">
        <f ca="1">IF('Invoer gegevens (N)'!$C$17=E105,'Invoer gegevens (N)'!$C$10-'Invoer gegevens (N)'!$C$11,IF(C105=1,AC104,0))</f>
        <v>0</v>
      </c>
      <c r="Y105" s="98">
        <f t="shared" ca="1" si="20"/>
        <v>0</v>
      </c>
      <c r="Z105" s="98">
        <f ca="1">(1-('Invoer gegevens (N)'!$F$20/12))*X105*MIN(BA105,BC105)</f>
        <v>0</v>
      </c>
      <c r="AA105" s="98">
        <f ca="1">IF(BD105&lt;1,IF('Reeksen (N)'!AD105&lt;='Reeksen (N)'!AE105,X105*'Reeksen (N)'!C105,0),IF(BC105&gt;=BA105,0,IF('Reeksen (N)'!AD105&lt;='Reeksen (N)'!AE105,(BA105-BC105)*X105,0)))</f>
        <v>0</v>
      </c>
      <c r="AB105" s="98">
        <f ca="1">IF(BD105&lt;1,IF('Reeksen (N)'!AD105&gt;'Reeksen (N)'!AE105,X105*'Reeksen (N)'!C105,0),IF(BC105&gt;=BA105,0,IF('Reeksen (N)'!AD105&gt;'Reeksen (N)'!AE105,(BA105-BC105)*X105,0)))</f>
        <v>0</v>
      </c>
      <c r="AC105" s="99">
        <f t="shared" ca="1" si="24"/>
        <v>0</v>
      </c>
      <c r="AD105" s="98">
        <f ca="1">IF('Invoer gegevens (N)'!$C$17=E105,R105,IF(C105=0,0,AE104))</f>
        <v>0</v>
      </c>
      <c r="AE105" s="98">
        <f t="shared" ca="1" si="25"/>
        <v>0</v>
      </c>
      <c r="AF105" s="98">
        <f ca="1">IF('Invoer gegevens (N)'!$C$17=E105,X105,IF(C105=0,0,AG104))</f>
        <v>0</v>
      </c>
      <c r="AG105" s="98">
        <f t="shared" ca="1" si="26"/>
        <v>0</v>
      </c>
      <c r="AH105" s="66"/>
      <c r="AI105" s="71">
        <f ca="1">IF(C105=1,'Reeksen (N)'!AI105*((F105+K105)/2)*12+'Reeksen (N)'!AD105*((L105+Q105)/2)*12,0)</f>
        <v>0</v>
      </c>
      <c r="AJ105" s="71">
        <f ca="1">-AI105*'Invoer gegevens (N)'!$F$28</f>
        <v>0</v>
      </c>
      <c r="AK105" s="71">
        <f t="shared" ca="1" si="27"/>
        <v>0</v>
      </c>
      <c r="AL105" s="71">
        <f ca="1">IF(C105=1,'Reeksen (N)'!AL105*((F105-G105+F105)/2)*12+'Reeksen (N)'!AM105*((L105-M105+L105)/2)*12,0)</f>
        <v>0</v>
      </c>
      <c r="AM105" s="71">
        <f ca="1">-AL105*'Invoer gegevens (N)'!$F$31</f>
        <v>0</v>
      </c>
      <c r="AN105" s="71">
        <f t="shared" ca="1" si="28"/>
        <v>0</v>
      </c>
      <c r="AO105" s="71">
        <f ca="1">IF(C105=1,(H105+J105+N105+P105)*'Reeksen (N)'!AN105,0)</f>
        <v>0</v>
      </c>
      <c r="AP105" s="71">
        <f ca="1">-IF(C105=1,(H105+J105+N105+P105)*'Hulp - basis'!$O$550*'Reeksen (N)'!H105,0)</f>
        <v>0</v>
      </c>
      <c r="AQ105" s="71">
        <f ca="1">-IF(C105=1,(F105+K105+L105+Q105)/2*'Invoer gegevens (N)'!$F$35*'Reeksen (N)'!J105,0)*2</f>
        <v>0</v>
      </c>
      <c r="AR105" s="71">
        <f ca="1">IF(BD105&lt;1,-IF(C105=1,(G105*'Invoer gegevens (N)'!$F$36)*'Reeksen (N)'!J105,0),0)</f>
        <v>0</v>
      </c>
      <c r="AS105" s="71">
        <f ca="1">-IF(C105=1,(F105+K105+L105+Q105)/2*'Invoer gegevens (N)'!$F$37*'Reeksen (N)'!L105,0)</f>
        <v>0</v>
      </c>
      <c r="AT105" s="71">
        <f ca="1">-IF(C105=1,IF(E105='Invoer gegevens (N)'!$C$17,'Invoer gegevens (N)'!$C$11,AD105)*'Reeksen (N)'!S105*'Invoer gegevens (N)'!$C$18*'Reeksen (N)'!P105,0)</f>
        <v>0</v>
      </c>
      <c r="AU105" s="71">
        <f ca="1">-IF(C105=1,(F105+K105+L105+Q105)/2*'Invoer gegevens (N)'!$F$38*'Reeksen (N)'!H105,0)</f>
        <v>0</v>
      </c>
      <c r="AV105" s="71">
        <v>0</v>
      </c>
      <c r="AW105" s="71">
        <f t="shared" ca="1" si="29"/>
        <v>0</v>
      </c>
      <c r="AX105" s="71">
        <f ca="1">IF(E105&lt;'Invoer gegevens (N)'!$C$17+15,0,IF(E105&gt;'Invoer gegevens (N)'!$C$17+215,0,AW105))</f>
        <v>0</v>
      </c>
      <c r="AY105" s="71">
        <f ca="1">AX105/(1+'Invoer gegevens (N)'!$F$18)^($AZ105-('Invoer gegevens (N)'!$C$17-'Invoer gegevens (N)'!$C$16))/(1+'Invoer gegevens (N)'!$C$39)^('Invoer gegevens (N)'!$C$17-'Invoer gegevens (N)'!$C$16)</f>
        <v>0</v>
      </c>
      <c r="AZ105" s="68">
        <f ca="1">IF(E105-'Invoer gegevens (N)'!$C$17-14.5&lt;0,0,E105-'Invoer gegevens (N)'!$C$17-14.5)</f>
        <v>85.5</v>
      </c>
      <c r="BA105" s="109">
        <f ca="1">IFERROR(VLOOKUP(E105-15,'Reeksen (N)'!$A$5:$D$234,2,FALSE),0)</f>
        <v>0</v>
      </c>
      <c r="BB105" s="109">
        <f ca="1">IFERROR(VLOOKUP(E105-15,'Reeksen (N)'!$A$5:$D$234,3,FALSE),0)</f>
        <v>0</v>
      </c>
      <c r="BC105" s="109">
        <f ca="1">IFERROR(VLOOKUP(E105-15,'Reeksen (N)'!$A$5:$D$234,4,FALSE),0)</f>
        <v>0</v>
      </c>
      <c r="BD105" s="67">
        <f ca="1">IF(E105-'Invoer gegevens (N)'!$C$17&lt;15,0,1)</f>
        <v>1</v>
      </c>
    </row>
    <row r="106" spans="1:56" x14ac:dyDescent="0.25">
      <c r="A106" s="59"/>
      <c r="B106" s="70">
        <f t="shared" si="30"/>
        <v>102</v>
      </c>
      <c r="C106" s="67">
        <f ca="1">IF(E106-'Invoer gegevens (N)'!$C$17&lt;0,0,1)</f>
        <v>1</v>
      </c>
      <c r="D106" s="68">
        <f t="shared" si="31"/>
        <v>101.5</v>
      </c>
      <c r="E106" s="108">
        <f ca="1">IF('Invoer gegevens (N)'!$C$16="","",E105+1)</f>
        <v>2120</v>
      </c>
      <c r="F106" s="84">
        <f ca="1">IF('Invoer gegevens (N)'!$C$17=E106,'Invoer gegevens (N)'!$C$10,IF(C106=1,K105,0))</f>
        <v>0</v>
      </c>
      <c r="G106" s="96">
        <f ca="1">IF(BD106&lt;1,F106*'Reeksen (N)'!C106,IF(C106&gt;=1,F106*BA106,0))</f>
        <v>0</v>
      </c>
      <c r="H106" s="84">
        <f ca="1">(1-('Invoer gegevens (N)'!$F$20/12))*F106*MIN(BA106,BC106)</f>
        <v>0</v>
      </c>
      <c r="I106" s="84">
        <f t="shared" ca="1" si="16"/>
        <v>0</v>
      </c>
      <c r="J106" s="84">
        <f ca="1">('Invoer gegevens (N)'!$F$20/12)*F105*MIN(BA106,BC106)</f>
        <v>0</v>
      </c>
      <c r="K106" s="97">
        <f t="shared" ca="1" si="21"/>
        <v>0</v>
      </c>
      <c r="L106" s="84">
        <f ca="1">IF('Invoer gegevens (N)'!$C$17=E106,0,IF(C106=1,Q105,0))</f>
        <v>0</v>
      </c>
      <c r="M106" s="96">
        <f t="shared" ca="1" si="17"/>
        <v>0</v>
      </c>
      <c r="N106" s="84">
        <f ca="1">(1-('Invoer gegevens (N)'!$F$20/12))*L106*MIN(BA106,BC106)</f>
        <v>0</v>
      </c>
      <c r="O106" s="84">
        <f t="shared" ca="1" si="18"/>
        <v>0</v>
      </c>
      <c r="P106" s="84">
        <f ca="1">('Invoer gegevens (N)'!$F$20/12)*L105*MIN(BA106,BC106)</f>
        <v>0</v>
      </c>
      <c r="Q106" s="84">
        <f t="shared" ca="1" si="22"/>
        <v>0</v>
      </c>
      <c r="R106" s="85">
        <f ca="1">IF('Invoer gegevens (N)'!$C$17=E106,'Invoer gegevens (N)'!$C$11,IF(C106=1,W105,0))</f>
        <v>0</v>
      </c>
      <c r="S106" s="86">
        <f t="shared" ca="1" si="19"/>
        <v>0</v>
      </c>
      <c r="T106" s="86">
        <f ca="1">(1-('Invoer gegevens (N)'!$F$20/12))*R106*MIN(BC106,BA106)</f>
        <v>0</v>
      </c>
      <c r="U106" s="86">
        <f ca="1">IF(BD106&lt;1,IF('Reeksen (N)'!AD106&lt;='Reeksen (N)'!AE106,R106*'Reeksen (N)'!C106,0),IF(BC106&gt;=BA106,0,IF('Reeksen (N)'!AD106&lt;='Reeksen (N)'!AE106,(BA106-BC106)*R106,0)))</f>
        <v>0</v>
      </c>
      <c r="V106" s="86">
        <f ca="1">IF(BD106&lt;1,IF('Reeksen (N)'!AD106&gt;'Reeksen (N)'!AE106,R106*'Reeksen (N)'!C106,0),IF(BC106&gt;=BA106,0,IF('Reeksen (N)'!AD106&gt;'Reeksen (N)'!AE106,(BA106-BC106)*R106,0)))</f>
        <v>0</v>
      </c>
      <c r="W106" s="218">
        <f t="shared" ca="1" si="23"/>
        <v>0</v>
      </c>
      <c r="X106" s="98">
        <f ca="1">IF('Invoer gegevens (N)'!$C$17=E106,'Invoer gegevens (N)'!$C$10-'Invoer gegevens (N)'!$C$11,IF(C106=1,AC105,0))</f>
        <v>0</v>
      </c>
      <c r="Y106" s="98">
        <f t="shared" ca="1" si="20"/>
        <v>0</v>
      </c>
      <c r="Z106" s="98">
        <f ca="1">(1-('Invoer gegevens (N)'!$F$20/12))*X106*MIN(BA106,BC106)</f>
        <v>0</v>
      </c>
      <c r="AA106" s="98">
        <f ca="1">IF(BD106&lt;1,IF('Reeksen (N)'!AD106&lt;='Reeksen (N)'!AE106,X106*'Reeksen (N)'!C106,0),IF(BC106&gt;=BA106,0,IF('Reeksen (N)'!AD106&lt;='Reeksen (N)'!AE106,(BA106-BC106)*X106,0)))</f>
        <v>0</v>
      </c>
      <c r="AB106" s="98">
        <f ca="1">IF(BD106&lt;1,IF('Reeksen (N)'!AD106&gt;'Reeksen (N)'!AE106,X106*'Reeksen (N)'!C106,0),IF(BC106&gt;=BA106,0,IF('Reeksen (N)'!AD106&gt;'Reeksen (N)'!AE106,(BA106-BC106)*X106,0)))</f>
        <v>0</v>
      </c>
      <c r="AC106" s="99">
        <f t="shared" ca="1" si="24"/>
        <v>0</v>
      </c>
      <c r="AD106" s="98">
        <f ca="1">IF('Invoer gegevens (N)'!$C$17=E106,R106,IF(C106=0,0,AE105))</f>
        <v>0</v>
      </c>
      <c r="AE106" s="98">
        <f t="shared" ca="1" si="25"/>
        <v>0</v>
      </c>
      <c r="AF106" s="98">
        <f ca="1">IF('Invoer gegevens (N)'!$C$17=E106,X106,IF(C106=0,0,AG105))</f>
        <v>0</v>
      </c>
      <c r="AG106" s="98">
        <f t="shared" ca="1" si="26"/>
        <v>0</v>
      </c>
      <c r="AH106" s="66"/>
      <c r="AI106" s="71">
        <f ca="1">IF(C106=1,'Reeksen (N)'!AI106*((F106+K106)/2)*12+'Reeksen (N)'!AD106*((L106+Q106)/2)*12,0)</f>
        <v>0</v>
      </c>
      <c r="AJ106" s="71">
        <f ca="1">-AI106*'Invoer gegevens (N)'!$F$28</f>
        <v>0</v>
      </c>
      <c r="AK106" s="71">
        <f t="shared" ca="1" si="27"/>
        <v>0</v>
      </c>
      <c r="AL106" s="71">
        <f ca="1">IF(C106=1,'Reeksen (N)'!AL106*((F106-G106+F106)/2)*12+'Reeksen (N)'!AM106*((L106-M106+L106)/2)*12,0)</f>
        <v>0</v>
      </c>
      <c r="AM106" s="71">
        <f ca="1">-AL106*'Invoer gegevens (N)'!$F$31</f>
        <v>0</v>
      </c>
      <c r="AN106" s="71">
        <f t="shared" ca="1" si="28"/>
        <v>0</v>
      </c>
      <c r="AO106" s="71">
        <f ca="1">IF(C106=1,(H106+J106+N106+P106)*'Reeksen (N)'!AN106,0)</f>
        <v>0</v>
      </c>
      <c r="AP106" s="71">
        <f ca="1">-IF(C106=1,(H106+J106+N106+P106)*'Hulp - basis'!$O$550*'Reeksen (N)'!H106,0)</f>
        <v>0</v>
      </c>
      <c r="AQ106" s="71">
        <f ca="1">-IF(C106=1,(F106+K106+L106+Q106)/2*'Invoer gegevens (N)'!$F$35*'Reeksen (N)'!J106,0)*2</f>
        <v>0</v>
      </c>
      <c r="AR106" s="71">
        <f ca="1">IF(BD106&lt;1,-IF(C106=1,(G106*'Invoer gegevens (N)'!$F$36)*'Reeksen (N)'!J106,0),0)</f>
        <v>0</v>
      </c>
      <c r="AS106" s="71">
        <f ca="1">-IF(C106=1,(F106+K106+L106+Q106)/2*'Invoer gegevens (N)'!$F$37*'Reeksen (N)'!L106,0)</f>
        <v>0</v>
      </c>
      <c r="AT106" s="71">
        <f ca="1">-IF(C106=1,IF(E106='Invoer gegevens (N)'!$C$17,'Invoer gegevens (N)'!$C$11,AD106)*'Reeksen (N)'!S106*'Invoer gegevens (N)'!$C$18*'Reeksen (N)'!P106,0)</f>
        <v>0</v>
      </c>
      <c r="AU106" s="71">
        <f ca="1">-IF(C106=1,(F106+K106+L106+Q106)/2*'Invoer gegevens (N)'!$F$38*'Reeksen (N)'!H106,0)</f>
        <v>0</v>
      </c>
      <c r="AV106" s="71">
        <v>0</v>
      </c>
      <c r="AW106" s="71">
        <f t="shared" ca="1" si="29"/>
        <v>0</v>
      </c>
      <c r="AX106" s="71">
        <f ca="1">IF(E106&lt;'Invoer gegevens (N)'!$C$17+15,0,IF(E106&gt;'Invoer gegevens (N)'!$C$17+215,0,AW106))</f>
        <v>0</v>
      </c>
      <c r="AY106" s="71">
        <f ca="1">AX106/(1+'Invoer gegevens (N)'!$F$18)^($AZ106-('Invoer gegevens (N)'!$C$17-'Invoer gegevens (N)'!$C$16))/(1+'Invoer gegevens (N)'!$C$39)^('Invoer gegevens (N)'!$C$17-'Invoer gegevens (N)'!$C$16)</f>
        <v>0</v>
      </c>
      <c r="AZ106" s="68">
        <f ca="1">IF(E106-'Invoer gegevens (N)'!$C$17-14.5&lt;0,0,E106-'Invoer gegevens (N)'!$C$17-14.5)</f>
        <v>86.5</v>
      </c>
      <c r="BA106" s="109">
        <f ca="1">IFERROR(VLOOKUP(E106-15,'Reeksen (N)'!$A$5:$D$234,2,FALSE),0)</f>
        <v>0</v>
      </c>
      <c r="BB106" s="109">
        <f ca="1">IFERROR(VLOOKUP(E106-15,'Reeksen (N)'!$A$5:$D$234,3,FALSE),0)</f>
        <v>0</v>
      </c>
      <c r="BC106" s="109">
        <f ca="1">IFERROR(VLOOKUP(E106-15,'Reeksen (N)'!$A$5:$D$234,4,FALSE),0)</f>
        <v>0</v>
      </c>
      <c r="BD106" s="67">
        <f ca="1">IF(E106-'Invoer gegevens (N)'!$C$17&lt;15,0,1)</f>
        <v>1</v>
      </c>
    </row>
    <row r="107" spans="1:56" x14ac:dyDescent="0.25">
      <c r="A107" s="59"/>
      <c r="B107" s="70">
        <f t="shared" si="30"/>
        <v>103</v>
      </c>
      <c r="C107" s="67">
        <f ca="1">IF(E107-'Invoer gegevens (N)'!$C$17&lt;0,0,1)</f>
        <v>1</v>
      </c>
      <c r="D107" s="68">
        <f t="shared" si="31"/>
        <v>102.5</v>
      </c>
      <c r="E107" s="108">
        <f ca="1">IF('Invoer gegevens (N)'!$C$16="","",E106+1)</f>
        <v>2121</v>
      </c>
      <c r="F107" s="84">
        <f ca="1">IF('Invoer gegevens (N)'!$C$17=E107,'Invoer gegevens (N)'!$C$10,IF(C107=1,K106,0))</f>
        <v>0</v>
      </c>
      <c r="G107" s="96">
        <f ca="1">IF(BD107&lt;1,F107*'Reeksen (N)'!C107,IF(C107&gt;=1,F107*BA107,0))</f>
        <v>0</v>
      </c>
      <c r="H107" s="84">
        <f ca="1">(1-('Invoer gegevens (N)'!$F$20/12))*F107*MIN(BA107,BC107)</f>
        <v>0</v>
      </c>
      <c r="I107" s="84">
        <f t="shared" ca="1" si="16"/>
        <v>0</v>
      </c>
      <c r="J107" s="84">
        <f ca="1">('Invoer gegevens (N)'!$F$20/12)*F106*MIN(BA107,BC107)</f>
        <v>0</v>
      </c>
      <c r="K107" s="97">
        <f t="shared" ca="1" si="21"/>
        <v>0</v>
      </c>
      <c r="L107" s="84">
        <f ca="1">IF('Invoer gegevens (N)'!$C$17=E107,0,IF(C107=1,Q106,0))</f>
        <v>0</v>
      </c>
      <c r="M107" s="96">
        <f t="shared" ca="1" si="17"/>
        <v>0</v>
      </c>
      <c r="N107" s="84">
        <f ca="1">(1-('Invoer gegevens (N)'!$F$20/12))*L107*MIN(BA107,BC107)</f>
        <v>0</v>
      </c>
      <c r="O107" s="84">
        <f t="shared" ca="1" si="18"/>
        <v>0</v>
      </c>
      <c r="P107" s="84">
        <f ca="1">('Invoer gegevens (N)'!$F$20/12)*L106*MIN(BA107,BC107)</f>
        <v>0</v>
      </c>
      <c r="Q107" s="84">
        <f t="shared" ca="1" si="22"/>
        <v>0</v>
      </c>
      <c r="R107" s="85">
        <f ca="1">IF('Invoer gegevens (N)'!$C$17=E107,'Invoer gegevens (N)'!$C$11,IF(C107=1,W106,0))</f>
        <v>0</v>
      </c>
      <c r="S107" s="86">
        <f t="shared" ca="1" si="19"/>
        <v>0</v>
      </c>
      <c r="T107" s="86">
        <f ca="1">(1-('Invoer gegevens (N)'!$F$20/12))*R107*MIN(BC107,BA107)</f>
        <v>0</v>
      </c>
      <c r="U107" s="86">
        <f ca="1">IF(BD107&lt;1,IF('Reeksen (N)'!AD107&lt;='Reeksen (N)'!AE107,R107*'Reeksen (N)'!C107,0),IF(BC107&gt;=BA107,0,IF('Reeksen (N)'!AD107&lt;='Reeksen (N)'!AE107,(BA107-BC107)*R107,0)))</f>
        <v>0</v>
      </c>
      <c r="V107" s="86">
        <f ca="1">IF(BD107&lt;1,IF('Reeksen (N)'!AD107&gt;'Reeksen (N)'!AE107,R107*'Reeksen (N)'!C107,0),IF(BC107&gt;=BA107,0,IF('Reeksen (N)'!AD107&gt;'Reeksen (N)'!AE107,(BA107-BC107)*R107,0)))</f>
        <v>0</v>
      </c>
      <c r="W107" s="218">
        <f t="shared" ca="1" si="23"/>
        <v>0</v>
      </c>
      <c r="X107" s="98">
        <f ca="1">IF('Invoer gegevens (N)'!$C$17=E107,'Invoer gegevens (N)'!$C$10-'Invoer gegevens (N)'!$C$11,IF(C107=1,AC106,0))</f>
        <v>0</v>
      </c>
      <c r="Y107" s="98">
        <f t="shared" ca="1" si="20"/>
        <v>0</v>
      </c>
      <c r="Z107" s="98">
        <f ca="1">(1-('Invoer gegevens (N)'!$F$20/12))*X107*MIN(BA107,BC107)</f>
        <v>0</v>
      </c>
      <c r="AA107" s="98">
        <f ca="1">IF(BD107&lt;1,IF('Reeksen (N)'!AD107&lt;='Reeksen (N)'!AE107,X107*'Reeksen (N)'!C107,0),IF(BC107&gt;=BA107,0,IF('Reeksen (N)'!AD107&lt;='Reeksen (N)'!AE107,(BA107-BC107)*X107,0)))</f>
        <v>0</v>
      </c>
      <c r="AB107" s="98">
        <f ca="1">IF(BD107&lt;1,IF('Reeksen (N)'!AD107&gt;'Reeksen (N)'!AE107,X107*'Reeksen (N)'!C107,0),IF(BC107&gt;=BA107,0,IF('Reeksen (N)'!AD107&gt;'Reeksen (N)'!AE107,(BA107-BC107)*X107,0)))</f>
        <v>0</v>
      </c>
      <c r="AC107" s="99">
        <f t="shared" ca="1" si="24"/>
        <v>0</v>
      </c>
      <c r="AD107" s="98">
        <f ca="1">IF('Invoer gegevens (N)'!$C$17=E107,R107,IF(C107=0,0,AE106))</f>
        <v>0</v>
      </c>
      <c r="AE107" s="98">
        <f t="shared" ca="1" si="25"/>
        <v>0</v>
      </c>
      <c r="AF107" s="98">
        <f ca="1">IF('Invoer gegevens (N)'!$C$17=E107,X107,IF(C107=0,0,AG106))</f>
        <v>0</v>
      </c>
      <c r="AG107" s="98">
        <f t="shared" ca="1" si="26"/>
        <v>0</v>
      </c>
      <c r="AH107" s="66"/>
      <c r="AI107" s="71">
        <f ca="1">IF(C107=1,'Reeksen (N)'!AI107*((F107+K107)/2)*12+'Reeksen (N)'!AD107*((L107+Q107)/2)*12,0)</f>
        <v>0</v>
      </c>
      <c r="AJ107" s="71">
        <f ca="1">-AI107*'Invoer gegevens (N)'!$F$28</f>
        <v>0</v>
      </c>
      <c r="AK107" s="71">
        <f t="shared" ca="1" si="27"/>
        <v>0</v>
      </c>
      <c r="AL107" s="71">
        <f ca="1">IF(C107=1,'Reeksen (N)'!AL107*((F107-G107+F107)/2)*12+'Reeksen (N)'!AM107*((L107-M107+L107)/2)*12,0)</f>
        <v>0</v>
      </c>
      <c r="AM107" s="71">
        <f ca="1">-AL107*'Invoer gegevens (N)'!$F$31</f>
        <v>0</v>
      </c>
      <c r="AN107" s="71">
        <f t="shared" ca="1" si="28"/>
        <v>0</v>
      </c>
      <c r="AO107" s="71">
        <f ca="1">IF(C107=1,(H107+J107+N107+P107)*'Reeksen (N)'!AN107,0)</f>
        <v>0</v>
      </c>
      <c r="AP107" s="71">
        <f ca="1">-IF(C107=1,(H107+J107+N107+P107)*'Hulp - basis'!$O$550*'Reeksen (N)'!H107,0)</f>
        <v>0</v>
      </c>
      <c r="AQ107" s="71">
        <f ca="1">-IF(C107=1,(F107+K107+L107+Q107)/2*'Invoer gegevens (N)'!$F$35*'Reeksen (N)'!J107,0)*2</f>
        <v>0</v>
      </c>
      <c r="AR107" s="71">
        <f ca="1">IF(BD107&lt;1,-IF(C107=1,(G107*'Invoer gegevens (N)'!$F$36)*'Reeksen (N)'!J107,0),0)</f>
        <v>0</v>
      </c>
      <c r="AS107" s="71">
        <f ca="1">-IF(C107=1,(F107+K107+L107+Q107)/2*'Invoer gegevens (N)'!$F$37*'Reeksen (N)'!L107,0)</f>
        <v>0</v>
      </c>
      <c r="AT107" s="71">
        <f ca="1">-IF(C107=1,IF(E107='Invoer gegevens (N)'!$C$17,'Invoer gegevens (N)'!$C$11,AD107)*'Reeksen (N)'!S107*'Invoer gegevens (N)'!$C$18*'Reeksen (N)'!P107,0)</f>
        <v>0</v>
      </c>
      <c r="AU107" s="71">
        <f ca="1">-IF(C107=1,(F107+K107+L107+Q107)/2*'Invoer gegevens (N)'!$F$38*'Reeksen (N)'!H107,0)</f>
        <v>0</v>
      </c>
      <c r="AV107" s="71">
        <v>0</v>
      </c>
      <c r="AW107" s="71">
        <f t="shared" ca="1" si="29"/>
        <v>0</v>
      </c>
      <c r="AX107" s="71">
        <f ca="1">IF(E107&lt;'Invoer gegevens (N)'!$C$17+15,0,IF(E107&gt;'Invoer gegevens (N)'!$C$17+215,0,AW107))</f>
        <v>0</v>
      </c>
      <c r="AY107" s="71">
        <f ca="1">AX107/(1+'Invoer gegevens (N)'!$F$18)^($AZ107-('Invoer gegevens (N)'!$C$17-'Invoer gegevens (N)'!$C$16))/(1+'Invoer gegevens (N)'!$C$39)^('Invoer gegevens (N)'!$C$17-'Invoer gegevens (N)'!$C$16)</f>
        <v>0</v>
      </c>
      <c r="AZ107" s="68">
        <f ca="1">IF(E107-'Invoer gegevens (N)'!$C$17-14.5&lt;0,0,E107-'Invoer gegevens (N)'!$C$17-14.5)</f>
        <v>87.5</v>
      </c>
      <c r="BA107" s="109">
        <f ca="1">IFERROR(VLOOKUP(E107-15,'Reeksen (N)'!$A$5:$D$234,2,FALSE),0)</f>
        <v>0</v>
      </c>
      <c r="BB107" s="109">
        <f ca="1">IFERROR(VLOOKUP(E107-15,'Reeksen (N)'!$A$5:$D$234,3,FALSE),0)</f>
        <v>0</v>
      </c>
      <c r="BC107" s="109">
        <f ca="1">IFERROR(VLOOKUP(E107-15,'Reeksen (N)'!$A$5:$D$234,4,FALSE),0)</f>
        <v>0</v>
      </c>
      <c r="BD107" s="67">
        <f ca="1">IF(E107-'Invoer gegevens (N)'!$C$17&lt;15,0,1)</f>
        <v>1</v>
      </c>
    </row>
    <row r="108" spans="1:56" x14ac:dyDescent="0.25">
      <c r="A108" s="59"/>
      <c r="B108" s="70">
        <f t="shared" si="30"/>
        <v>104</v>
      </c>
      <c r="C108" s="67">
        <f ca="1">IF(E108-'Invoer gegevens (N)'!$C$17&lt;0,0,1)</f>
        <v>1</v>
      </c>
      <c r="D108" s="68">
        <f t="shared" si="31"/>
        <v>103.5</v>
      </c>
      <c r="E108" s="108">
        <f ca="1">IF('Invoer gegevens (N)'!$C$16="","",E107+1)</f>
        <v>2122</v>
      </c>
      <c r="F108" s="84">
        <f ca="1">IF('Invoer gegevens (N)'!$C$17=E108,'Invoer gegevens (N)'!$C$10,IF(C108=1,K107,0))</f>
        <v>0</v>
      </c>
      <c r="G108" s="96">
        <f ca="1">IF(BD108&lt;1,F108*'Reeksen (N)'!C108,IF(C108&gt;=1,F108*BA108,0))</f>
        <v>0</v>
      </c>
      <c r="H108" s="84">
        <f ca="1">(1-('Invoer gegevens (N)'!$F$20/12))*F108*MIN(BA108,BC108)</f>
        <v>0</v>
      </c>
      <c r="I108" s="84">
        <f t="shared" ca="1" si="16"/>
        <v>0</v>
      </c>
      <c r="J108" s="84">
        <f ca="1">('Invoer gegevens (N)'!$F$20/12)*F107*MIN(BA108,BC108)</f>
        <v>0</v>
      </c>
      <c r="K108" s="97">
        <f t="shared" ca="1" si="21"/>
        <v>0</v>
      </c>
      <c r="L108" s="84">
        <f ca="1">IF('Invoer gegevens (N)'!$C$17=E108,0,IF(C108=1,Q107,0))</f>
        <v>0</v>
      </c>
      <c r="M108" s="96">
        <f t="shared" ca="1" si="17"/>
        <v>0</v>
      </c>
      <c r="N108" s="84">
        <f ca="1">(1-('Invoer gegevens (N)'!$F$20/12))*L108*MIN(BA108,BC108)</f>
        <v>0</v>
      </c>
      <c r="O108" s="84">
        <f t="shared" ca="1" si="18"/>
        <v>0</v>
      </c>
      <c r="P108" s="84">
        <f ca="1">('Invoer gegevens (N)'!$F$20/12)*L107*MIN(BA108,BC108)</f>
        <v>0</v>
      </c>
      <c r="Q108" s="84">
        <f t="shared" ca="1" si="22"/>
        <v>0</v>
      </c>
      <c r="R108" s="85">
        <f ca="1">IF('Invoer gegevens (N)'!$C$17=E108,'Invoer gegevens (N)'!$C$11,IF(C108=1,W107,0))</f>
        <v>0</v>
      </c>
      <c r="S108" s="86">
        <f t="shared" ca="1" si="19"/>
        <v>0</v>
      </c>
      <c r="T108" s="86">
        <f ca="1">(1-('Invoer gegevens (N)'!$F$20/12))*R108*MIN(BC108,BA108)</f>
        <v>0</v>
      </c>
      <c r="U108" s="86">
        <f ca="1">IF(BD108&lt;1,IF('Reeksen (N)'!AD108&lt;='Reeksen (N)'!AE108,R108*'Reeksen (N)'!C108,0),IF(BC108&gt;=BA108,0,IF('Reeksen (N)'!AD108&lt;='Reeksen (N)'!AE108,(BA108-BC108)*R108,0)))</f>
        <v>0</v>
      </c>
      <c r="V108" s="86">
        <f ca="1">IF(BD108&lt;1,IF('Reeksen (N)'!AD108&gt;'Reeksen (N)'!AE108,R108*'Reeksen (N)'!C108,0),IF(BC108&gt;=BA108,0,IF('Reeksen (N)'!AD108&gt;'Reeksen (N)'!AE108,(BA108-BC108)*R108,0)))</f>
        <v>0</v>
      </c>
      <c r="W108" s="218">
        <f t="shared" ca="1" si="23"/>
        <v>0</v>
      </c>
      <c r="X108" s="98">
        <f ca="1">IF('Invoer gegevens (N)'!$C$17=E108,'Invoer gegevens (N)'!$C$10-'Invoer gegevens (N)'!$C$11,IF(C108=1,AC107,0))</f>
        <v>0</v>
      </c>
      <c r="Y108" s="98">
        <f t="shared" ca="1" si="20"/>
        <v>0</v>
      </c>
      <c r="Z108" s="98">
        <f ca="1">(1-('Invoer gegevens (N)'!$F$20/12))*X108*MIN(BA108,BC108)</f>
        <v>0</v>
      </c>
      <c r="AA108" s="98">
        <f ca="1">IF(BD108&lt;1,IF('Reeksen (N)'!AD108&lt;='Reeksen (N)'!AE108,X108*'Reeksen (N)'!C108,0),IF(BC108&gt;=BA108,0,IF('Reeksen (N)'!AD108&lt;='Reeksen (N)'!AE108,(BA108-BC108)*X108,0)))</f>
        <v>0</v>
      </c>
      <c r="AB108" s="98">
        <f ca="1">IF(BD108&lt;1,IF('Reeksen (N)'!AD108&gt;'Reeksen (N)'!AE108,X108*'Reeksen (N)'!C108,0),IF(BC108&gt;=BA108,0,IF('Reeksen (N)'!AD108&gt;'Reeksen (N)'!AE108,(BA108-BC108)*X108,0)))</f>
        <v>0</v>
      </c>
      <c r="AC108" s="99">
        <f t="shared" ca="1" si="24"/>
        <v>0</v>
      </c>
      <c r="AD108" s="98">
        <f ca="1">IF('Invoer gegevens (N)'!$C$17=E108,R108,IF(C108=0,0,AE107))</f>
        <v>0</v>
      </c>
      <c r="AE108" s="98">
        <f t="shared" ca="1" si="25"/>
        <v>0</v>
      </c>
      <c r="AF108" s="98">
        <f ca="1">IF('Invoer gegevens (N)'!$C$17=E108,X108,IF(C108=0,0,AG107))</f>
        <v>0</v>
      </c>
      <c r="AG108" s="98">
        <f t="shared" ca="1" si="26"/>
        <v>0</v>
      </c>
      <c r="AH108" s="66"/>
      <c r="AI108" s="71">
        <f ca="1">IF(C108=1,'Reeksen (N)'!AI108*((F108+K108)/2)*12+'Reeksen (N)'!AD108*((L108+Q108)/2)*12,0)</f>
        <v>0</v>
      </c>
      <c r="AJ108" s="71">
        <f ca="1">-AI108*'Invoer gegevens (N)'!$F$28</f>
        <v>0</v>
      </c>
      <c r="AK108" s="71">
        <f t="shared" ca="1" si="27"/>
        <v>0</v>
      </c>
      <c r="AL108" s="71">
        <f ca="1">IF(C108=1,'Reeksen (N)'!AL108*((F108-G108+F108)/2)*12+'Reeksen (N)'!AM108*((L108-M108+L108)/2)*12,0)</f>
        <v>0</v>
      </c>
      <c r="AM108" s="71">
        <f ca="1">-AL108*'Invoer gegevens (N)'!$F$31</f>
        <v>0</v>
      </c>
      <c r="AN108" s="71">
        <f t="shared" ca="1" si="28"/>
        <v>0</v>
      </c>
      <c r="AO108" s="71">
        <f ca="1">IF(C108=1,(H108+J108+N108+P108)*'Reeksen (N)'!AN108,0)</f>
        <v>0</v>
      </c>
      <c r="AP108" s="71">
        <f ca="1">-IF(C108=1,(H108+J108+N108+P108)*'Hulp - basis'!$O$550*'Reeksen (N)'!H108,0)</f>
        <v>0</v>
      </c>
      <c r="AQ108" s="71">
        <f ca="1">-IF(C108=1,(F108+K108+L108+Q108)/2*'Invoer gegevens (N)'!$F$35*'Reeksen (N)'!J108,0)*2</f>
        <v>0</v>
      </c>
      <c r="AR108" s="71">
        <f ca="1">IF(BD108&lt;1,-IF(C108=1,(G108*'Invoer gegevens (N)'!$F$36)*'Reeksen (N)'!J108,0),0)</f>
        <v>0</v>
      </c>
      <c r="AS108" s="71">
        <f ca="1">-IF(C108=1,(F108+K108+L108+Q108)/2*'Invoer gegevens (N)'!$F$37*'Reeksen (N)'!L108,0)</f>
        <v>0</v>
      </c>
      <c r="AT108" s="71">
        <f ca="1">-IF(C108=1,IF(E108='Invoer gegevens (N)'!$C$17,'Invoer gegevens (N)'!$C$11,AD108)*'Reeksen (N)'!S108*'Invoer gegevens (N)'!$C$18*'Reeksen (N)'!P108,0)</f>
        <v>0</v>
      </c>
      <c r="AU108" s="71">
        <f ca="1">-IF(C108=1,(F108+K108+L108+Q108)/2*'Invoer gegevens (N)'!$F$38*'Reeksen (N)'!H108,0)</f>
        <v>0</v>
      </c>
      <c r="AV108" s="71">
        <v>0</v>
      </c>
      <c r="AW108" s="71">
        <f t="shared" ca="1" si="29"/>
        <v>0</v>
      </c>
      <c r="AX108" s="71">
        <f ca="1">IF(E108&lt;'Invoer gegevens (N)'!$C$17+15,0,IF(E108&gt;'Invoer gegevens (N)'!$C$17+215,0,AW108))</f>
        <v>0</v>
      </c>
      <c r="AY108" s="71">
        <f ca="1">AX108/(1+'Invoer gegevens (N)'!$F$18)^($AZ108-('Invoer gegevens (N)'!$C$17-'Invoer gegevens (N)'!$C$16))/(1+'Invoer gegevens (N)'!$C$39)^('Invoer gegevens (N)'!$C$17-'Invoer gegevens (N)'!$C$16)</f>
        <v>0</v>
      </c>
      <c r="AZ108" s="68">
        <f ca="1">IF(E108-'Invoer gegevens (N)'!$C$17-14.5&lt;0,0,E108-'Invoer gegevens (N)'!$C$17-14.5)</f>
        <v>88.5</v>
      </c>
      <c r="BA108" s="109">
        <f ca="1">IFERROR(VLOOKUP(E108-15,'Reeksen (N)'!$A$5:$D$234,2,FALSE),0)</f>
        <v>0</v>
      </c>
      <c r="BB108" s="109">
        <f ca="1">IFERROR(VLOOKUP(E108-15,'Reeksen (N)'!$A$5:$D$234,3,FALSE),0)</f>
        <v>0</v>
      </c>
      <c r="BC108" s="109">
        <f ca="1">IFERROR(VLOOKUP(E108-15,'Reeksen (N)'!$A$5:$D$234,4,FALSE),0)</f>
        <v>0</v>
      </c>
      <c r="BD108" s="67">
        <f ca="1">IF(E108-'Invoer gegevens (N)'!$C$17&lt;15,0,1)</f>
        <v>1</v>
      </c>
    </row>
    <row r="109" spans="1:56" x14ac:dyDescent="0.25">
      <c r="A109" s="59"/>
      <c r="B109" s="70">
        <f t="shared" si="30"/>
        <v>105</v>
      </c>
      <c r="C109" s="67">
        <f ca="1">IF(E109-'Invoer gegevens (N)'!$C$17&lt;0,0,1)</f>
        <v>1</v>
      </c>
      <c r="D109" s="68">
        <f t="shared" si="31"/>
        <v>104.5</v>
      </c>
      <c r="E109" s="108">
        <f ca="1">IF('Invoer gegevens (N)'!$C$16="","",E108+1)</f>
        <v>2123</v>
      </c>
      <c r="F109" s="84">
        <f ca="1">IF('Invoer gegevens (N)'!$C$17=E109,'Invoer gegevens (N)'!$C$10,IF(C109=1,K108,0))</f>
        <v>0</v>
      </c>
      <c r="G109" s="96">
        <f ca="1">IF(BD109&lt;1,F109*'Reeksen (N)'!C109,IF(C109&gt;=1,F109*BA109,0))</f>
        <v>0</v>
      </c>
      <c r="H109" s="84">
        <f ca="1">(1-('Invoer gegevens (N)'!$F$20/12))*F109*MIN(BA109,BC109)</f>
        <v>0</v>
      </c>
      <c r="I109" s="84">
        <f t="shared" ca="1" si="16"/>
        <v>0</v>
      </c>
      <c r="J109" s="84">
        <f ca="1">('Invoer gegevens (N)'!$F$20/12)*F108*MIN(BA109,BC109)</f>
        <v>0</v>
      </c>
      <c r="K109" s="97">
        <f t="shared" ca="1" si="21"/>
        <v>0</v>
      </c>
      <c r="L109" s="84">
        <f ca="1">IF('Invoer gegevens (N)'!$C$17=E109,0,IF(C109=1,Q108,0))</f>
        <v>0</v>
      </c>
      <c r="M109" s="96">
        <f t="shared" ca="1" si="17"/>
        <v>0</v>
      </c>
      <c r="N109" s="84">
        <f ca="1">(1-('Invoer gegevens (N)'!$F$20/12))*L109*MIN(BA109,BC109)</f>
        <v>0</v>
      </c>
      <c r="O109" s="84">
        <f t="shared" ca="1" si="18"/>
        <v>0</v>
      </c>
      <c r="P109" s="84">
        <f ca="1">('Invoer gegevens (N)'!$F$20/12)*L108*MIN(BA109,BC109)</f>
        <v>0</v>
      </c>
      <c r="Q109" s="84">
        <f t="shared" ca="1" si="22"/>
        <v>0</v>
      </c>
      <c r="R109" s="85">
        <f ca="1">IF('Invoer gegevens (N)'!$C$17=E109,'Invoer gegevens (N)'!$C$11,IF(C109=1,W108,0))</f>
        <v>0</v>
      </c>
      <c r="S109" s="86">
        <f t="shared" ca="1" si="19"/>
        <v>0</v>
      </c>
      <c r="T109" s="86">
        <f ca="1">(1-('Invoer gegevens (N)'!$F$20/12))*R109*MIN(BC109,BA109)</f>
        <v>0</v>
      </c>
      <c r="U109" s="86">
        <f ca="1">IF(BD109&lt;1,IF('Reeksen (N)'!AD109&lt;='Reeksen (N)'!AE109,R109*'Reeksen (N)'!C109,0),IF(BC109&gt;=BA109,0,IF('Reeksen (N)'!AD109&lt;='Reeksen (N)'!AE109,(BA109-BC109)*R109,0)))</f>
        <v>0</v>
      </c>
      <c r="V109" s="86">
        <f ca="1">IF(BD109&lt;1,IF('Reeksen (N)'!AD109&gt;'Reeksen (N)'!AE109,R109*'Reeksen (N)'!C109,0),IF(BC109&gt;=BA109,0,IF('Reeksen (N)'!AD109&gt;'Reeksen (N)'!AE109,(BA109-BC109)*R109,0)))</f>
        <v>0</v>
      </c>
      <c r="W109" s="218">
        <f t="shared" ca="1" si="23"/>
        <v>0</v>
      </c>
      <c r="X109" s="98">
        <f ca="1">IF('Invoer gegevens (N)'!$C$17=E109,'Invoer gegevens (N)'!$C$10-'Invoer gegevens (N)'!$C$11,IF(C109=1,AC108,0))</f>
        <v>0</v>
      </c>
      <c r="Y109" s="98">
        <f t="shared" ca="1" si="20"/>
        <v>0</v>
      </c>
      <c r="Z109" s="98">
        <f ca="1">(1-('Invoer gegevens (N)'!$F$20/12))*X109*MIN(BA109,BC109)</f>
        <v>0</v>
      </c>
      <c r="AA109" s="98">
        <f ca="1">IF(BD109&lt;1,IF('Reeksen (N)'!AD109&lt;='Reeksen (N)'!AE109,X109*'Reeksen (N)'!C109,0),IF(BC109&gt;=BA109,0,IF('Reeksen (N)'!AD109&lt;='Reeksen (N)'!AE109,(BA109-BC109)*X109,0)))</f>
        <v>0</v>
      </c>
      <c r="AB109" s="98">
        <f ca="1">IF(BD109&lt;1,IF('Reeksen (N)'!AD109&gt;'Reeksen (N)'!AE109,X109*'Reeksen (N)'!C109,0),IF(BC109&gt;=BA109,0,IF('Reeksen (N)'!AD109&gt;'Reeksen (N)'!AE109,(BA109-BC109)*X109,0)))</f>
        <v>0</v>
      </c>
      <c r="AC109" s="99">
        <f t="shared" ca="1" si="24"/>
        <v>0</v>
      </c>
      <c r="AD109" s="98">
        <f ca="1">IF('Invoer gegevens (N)'!$C$17=E109,R109,IF(C109=0,0,AE108))</f>
        <v>0</v>
      </c>
      <c r="AE109" s="98">
        <f t="shared" ca="1" si="25"/>
        <v>0</v>
      </c>
      <c r="AF109" s="98">
        <f ca="1">IF('Invoer gegevens (N)'!$C$17=E109,X109,IF(C109=0,0,AG108))</f>
        <v>0</v>
      </c>
      <c r="AG109" s="98">
        <f t="shared" ca="1" si="26"/>
        <v>0</v>
      </c>
      <c r="AH109" s="66"/>
      <c r="AI109" s="71">
        <f ca="1">IF(C109=1,'Reeksen (N)'!AI109*((F109+K109)/2)*12+'Reeksen (N)'!AD109*((L109+Q109)/2)*12,0)</f>
        <v>0</v>
      </c>
      <c r="AJ109" s="71">
        <f ca="1">-AI109*'Invoer gegevens (N)'!$F$28</f>
        <v>0</v>
      </c>
      <c r="AK109" s="71">
        <f t="shared" ca="1" si="27"/>
        <v>0</v>
      </c>
      <c r="AL109" s="71">
        <f ca="1">IF(C109=1,'Reeksen (N)'!AL109*((F109-G109+F109)/2)*12+'Reeksen (N)'!AM109*((L109-M109+L109)/2)*12,0)</f>
        <v>0</v>
      </c>
      <c r="AM109" s="71">
        <f ca="1">-AL109*'Invoer gegevens (N)'!$F$31</f>
        <v>0</v>
      </c>
      <c r="AN109" s="71">
        <f t="shared" ca="1" si="28"/>
        <v>0</v>
      </c>
      <c r="AO109" s="71">
        <f ca="1">IF(C109=1,(H109+J109+N109+P109)*'Reeksen (N)'!AN109,0)</f>
        <v>0</v>
      </c>
      <c r="AP109" s="71">
        <f ca="1">-IF(C109=1,(H109+J109+N109+P109)*'Hulp - basis'!$O$550*'Reeksen (N)'!H109,0)</f>
        <v>0</v>
      </c>
      <c r="AQ109" s="71">
        <f ca="1">-IF(C109=1,(F109+K109+L109+Q109)/2*'Invoer gegevens (N)'!$F$35*'Reeksen (N)'!J109,0)*2</f>
        <v>0</v>
      </c>
      <c r="AR109" s="71">
        <f ca="1">IF(BD109&lt;1,-IF(C109=1,(G109*'Invoer gegevens (N)'!$F$36)*'Reeksen (N)'!J109,0),0)</f>
        <v>0</v>
      </c>
      <c r="AS109" s="71">
        <f ca="1">-IF(C109=1,(F109+K109+L109+Q109)/2*'Invoer gegevens (N)'!$F$37*'Reeksen (N)'!L109,0)</f>
        <v>0</v>
      </c>
      <c r="AT109" s="71">
        <f ca="1">-IF(C109=1,IF(E109='Invoer gegevens (N)'!$C$17,'Invoer gegevens (N)'!$C$11,AD109)*'Reeksen (N)'!S109*'Invoer gegevens (N)'!$C$18*'Reeksen (N)'!P109,0)</f>
        <v>0</v>
      </c>
      <c r="AU109" s="71">
        <f ca="1">-IF(C109=1,(F109+K109+L109+Q109)/2*'Invoer gegevens (N)'!$F$38*'Reeksen (N)'!H109,0)</f>
        <v>0</v>
      </c>
      <c r="AV109" s="71">
        <v>0</v>
      </c>
      <c r="AW109" s="71">
        <f t="shared" ca="1" si="29"/>
        <v>0</v>
      </c>
      <c r="AX109" s="71">
        <f ca="1">IF(E109&lt;'Invoer gegevens (N)'!$C$17+15,0,IF(E109&gt;'Invoer gegevens (N)'!$C$17+215,0,AW109))</f>
        <v>0</v>
      </c>
      <c r="AY109" s="71">
        <f ca="1">AX109/(1+'Invoer gegevens (N)'!$F$18)^($AZ109-('Invoer gegevens (N)'!$C$17-'Invoer gegevens (N)'!$C$16))/(1+'Invoer gegevens (N)'!$C$39)^('Invoer gegevens (N)'!$C$17-'Invoer gegevens (N)'!$C$16)</f>
        <v>0</v>
      </c>
      <c r="AZ109" s="68">
        <f ca="1">IF(E109-'Invoer gegevens (N)'!$C$17-14.5&lt;0,0,E109-'Invoer gegevens (N)'!$C$17-14.5)</f>
        <v>89.5</v>
      </c>
      <c r="BA109" s="109">
        <f ca="1">IFERROR(VLOOKUP(E109-15,'Reeksen (N)'!$A$5:$D$234,2,FALSE),0)</f>
        <v>0</v>
      </c>
      <c r="BB109" s="109">
        <f ca="1">IFERROR(VLOOKUP(E109-15,'Reeksen (N)'!$A$5:$D$234,3,FALSE),0)</f>
        <v>0</v>
      </c>
      <c r="BC109" s="109">
        <f ca="1">IFERROR(VLOOKUP(E109-15,'Reeksen (N)'!$A$5:$D$234,4,FALSE),0)</f>
        <v>0</v>
      </c>
      <c r="BD109" s="67">
        <f ca="1">IF(E109-'Invoer gegevens (N)'!$C$17&lt;15,0,1)</f>
        <v>1</v>
      </c>
    </row>
    <row r="110" spans="1:56" x14ac:dyDescent="0.25">
      <c r="A110" s="59"/>
      <c r="B110" s="70">
        <f t="shared" si="30"/>
        <v>106</v>
      </c>
      <c r="C110" s="67">
        <f ca="1">IF(E110-'Invoer gegevens (N)'!$C$17&lt;0,0,1)</f>
        <v>1</v>
      </c>
      <c r="D110" s="68">
        <f t="shared" si="31"/>
        <v>105.5</v>
      </c>
      <c r="E110" s="108">
        <f ca="1">IF('Invoer gegevens (N)'!$C$16="","",E109+1)</f>
        <v>2124</v>
      </c>
      <c r="F110" s="84">
        <f ca="1">IF('Invoer gegevens (N)'!$C$17=E110,'Invoer gegevens (N)'!$C$10,IF(C110=1,K109,0))</f>
        <v>0</v>
      </c>
      <c r="G110" s="96">
        <f ca="1">IF(BD110&lt;1,F110*'Reeksen (N)'!C110,IF(C110&gt;=1,F110*BA110,0))</f>
        <v>0</v>
      </c>
      <c r="H110" s="84">
        <f ca="1">(1-('Invoer gegevens (N)'!$F$20/12))*F110*MIN(BA110,BC110)</f>
        <v>0</v>
      </c>
      <c r="I110" s="84">
        <f t="shared" ca="1" si="16"/>
        <v>0</v>
      </c>
      <c r="J110" s="84">
        <f ca="1">('Invoer gegevens (N)'!$F$20/12)*F109*MIN(BA110,BC110)</f>
        <v>0</v>
      </c>
      <c r="K110" s="97">
        <f t="shared" ca="1" si="21"/>
        <v>0</v>
      </c>
      <c r="L110" s="84">
        <f ca="1">IF('Invoer gegevens (N)'!$C$17=E110,0,IF(C110=1,Q109,0))</f>
        <v>0</v>
      </c>
      <c r="M110" s="96">
        <f t="shared" ca="1" si="17"/>
        <v>0</v>
      </c>
      <c r="N110" s="84">
        <f ca="1">(1-('Invoer gegevens (N)'!$F$20/12))*L110*MIN(BA110,BC110)</f>
        <v>0</v>
      </c>
      <c r="O110" s="84">
        <f t="shared" ca="1" si="18"/>
        <v>0</v>
      </c>
      <c r="P110" s="84">
        <f ca="1">('Invoer gegevens (N)'!$F$20/12)*L109*MIN(BA110,BC110)</f>
        <v>0</v>
      </c>
      <c r="Q110" s="84">
        <f t="shared" ca="1" si="22"/>
        <v>0</v>
      </c>
      <c r="R110" s="85">
        <f ca="1">IF('Invoer gegevens (N)'!$C$17=E110,'Invoer gegevens (N)'!$C$11,IF(C110=1,W109,0))</f>
        <v>0</v>
      </c>
      <c r="S110" s="86">
        <f t="shared" ca="1" si="19"/>
        <v>0</v>
      </c>
      <c r="T110" s="86">
        <f ca="1">(1-('Invoer gegevens (N)'!$F$20/12))*R110*MIN(BC110,BA110)</f>
        <v>0</v>
      </c>
      <c r="U110" s="86">
        <f ca="1">IF(BD110&lt;1,IF('Reeksen (N)'!AD110&lt;='Reeksen (N)'!AE110,R110*'Reeksen (N)'!C110,0),IF(BC110&gt;=BA110,0,IF('Reeksen (N)'!AD110&lt;='Reeksen (N)'!AE110,(BA110-BC110)*R110,0)))</f>
        <v>0</v>
      </c>
      <c r="V110" s="86">
        <f ca="1">IF(BD110&lt;1,IF('Reeksen (N)'!AD110&gt;'Reeksen (N)'!AE110,R110*'Reeksen (N)'!C110,0),IF(BC110&gt;=BA110,0,IF('Reeksen (N)'!AD110&gt;'Reeksen (N)'!AE110,(BA110-BC110)*R110,0)))</f>
        <v>0</v>
      </c>
      <c r="W110" s="218">
        <f t="shared" ca="1" si="23"/>
        <v>0</v>
      </c>
      <c r="X110" s="98">
        <f ca="1">IF('Invoer gegevens (N)'!$C$17=E110,'Invoer gegevens (N)'!$C$10-'Invoer gegevens (N)'!$C$11,IF(C110=1,AC109,0))</f>
        <v>0</v>
      </c>
      <c r="Y110" s="98">
        <f t="shared" ca="1" si="20"/>
        <v>0</v>
      </c>
      <c r="Z110" s="98">
        <f ca="1">(1-('Invoer gegevens (N)'!$F$20/12))*X110*MIN(BA110,BC110)</f>
        <v>0</v>
      </c>
      <c r="AA110" s="98">
        <f ca="1">IF(BD110&lt;1,IF('Reeksen (N)'!AD110&lt;='Reeksen (N)'!AE110,X110*'Reeksen (N)'!C110,0),IF(BC110&gt;=BA110,0,IF('Reeksen (N)'!AD110&lt;='Reeksen (N)'!AE110,(BA110-BC110)*X110,0)))</f>
        <v>0</v>
      </c>
      <c r="AB110" s="98">
        <f ca="1">IF(BD110&lt;1,IF('Reeksen (N)'!AD110&gt;'Reeksen (N)'!AE110,X110*'Reeksen (N)'!C110,0),IF(BC110&gt;=BA110,0,IF('Reeksen (N)'!AD110&gt;'Reeksen (N)'!AE110,(BA110-BC110)*X110,0)))</f>
        <v>0</v>
      </c>
      <c r="AC110" s="99">
        <f t="shared" ca="1" si="24"/>
        <v>0</v>
      </c>
      <c r="AD110" s="98">
        <f ca="1">IF('Invoer gegevens (N)'!$C$17=E110,R110,IF(C110=0,0,AE109))</f>
        <v>0</v>
      </c>
      <c r="AE110" s="98">
        <f t="shared" ca="1" si="25"/>
        <v>0</v>
      </c>
      <c r="AF110" s="98">
        <f ca="1">IF('Invoer gegevens (N)'!$C$17=E110,X110,IF(C110=0,0,AG109))</f>
        <v>0</v>
      </c>
      <c r="AG110" s="98">
        <f t="shared" ca="1" si="26"/>
        <v>0</v>
      </c>
      <c r="AH110" s="66"/>
      <c r="AI110" s="71">
        <f ca="1">IF(C110=1,'Reeksen (N)'!AI110*((F110+K110)/2)*12+'Reeksen (N)'!AD110*((L110+Q110)/2)*12,0)</f>
        <v>0</v>
      </c>
      <c r="AJ110" s="71">
        <f ca="1">-AI110*'Invoer gegevens (N)'!$F$28</f>
        <v>0</v>
      </c>
      <c r="AK110" s="71">
        <f t="shared" ca="1" si="27"/>
        <v>0</v>
      </c>
      <c r="AL110" s="71">
        <f ca="1">IF(C110=1,'Reeksen (N)'!AL110*((F110-G110+F110)/2)*12+'Reeksen (N)'!AM110*((L110-M110+L110)/2)*12,0)</f>
        <v>0</v>
      </c>
      <c r="AM110" s="71">
        <f ca="1">-AL110*'Invoer gegevens (N)'!$F$31</f>
        <v>0</v>
      </c>
      <c r="AN110" s="71">
        <f t="shared" ca="1" si="28"/>
        <v>0</v>
      </c>
      <c r="AO110" s="71">
        <f ca="1">IF(C110=1,(H110+J110+N110+P110)*'Reeksen (N)'!AN110,0)</f>
        <v>0</v>
      </c>
      <c r="AP110" s="71">
        <f ca="1">-IF(C110=1,(H110+J110+N110+P110)*'Hulp - basis'!$O$550*'Reeksen (N)'!H110,0)</f>
        <v>0</v>
      </c>
      <c r="AQ110" s="71">
        <f ca="1">-IF(C110=1,(F110+K110+L110+Q110)/2*'Invoer gegevens (N)'!$F$35*'Reeksen (N)'!J110,0)*2</f>
        <v>0</v>
      </c>
      <c r="AR110" s="71">
        <f ca="1">IF(BD110&lt;1,-IF(C110=1,(G110*'Invoer gegevens (N)'!$F$36)*'Reeksen (N)'!J110,0),0)</f>
        <v>0</v>
      </c>
      <c r="AS110" s="71">
        <f ca="1">-IF(C110=1,(F110+K110+L110+Q110)/2*'Invoer gegevens (N)'!$F$37*'Reeksen (N)'!L110,0)</f>
        <v>0</v>
      </c>
      <c r="AT110" s="71">
        <f ca="1">-IF(C110=1,IF(E110='Invoer gegevens (N)'!$C$17,'Invoer gegevens (N)'!$C$11,AD110)*'Reeksen (N)'!S110*'Invoer gegevens (N)'!$C$18*'Reeksen (N)'!P110,0)</f>
        <v>0</v>
      </c>
      <c r="AU110" s="71">
        <f ca="1">-IF(C110=1,(F110+K110+L110+Q110)/2*'Invoer gegevens (N)'!$F$38*'Reeksen (N)'!H110,0)</f>
        <v>0</v>
      </c>
      <c r="AV110" s="71">
        <v>0</v>
      </c>
      <c r="AW110" s="71">
        <f t="shared" ca="1" si="29"/>
        <v>0</v>
      </c>
      <c r="AX110" s="71">
        <f ca="1">IF(E110&lt;'Invoer gegevens (N)'!$C$17+15,0,IF(E110&gt;'Invoer gegevens (N)'!$C$17+215,0,AW110))</f>
        <v>0</v>
      </c>
      <c r="AY110" s="71">
        <f ca="1">AX110/(1+'Invoer gegevens (N)'!$F$18)^($AZ110-('Invoer gegevens (N)'!$C$17-'Invoer gegevens (N)'!$C$16))/(1+'Invoer gegevens (N)'!$C$39)^('Invoer gegevens (N)'!$C$17-'Invoer gegevens (N)'!$C$16)</f>
        <v>0</v>
      </c>
      <c r="AZ110" s="68">
        <f ca="1">IF(E110-'Invoer gegevens (N)'!$C$17-14.5&lt;0,0,E110-'Invoer gegevens (N)'!$C$17-14.5)</f>
        <v>90.5</v>
      </c>
      <c r="BA110" s="109">
        <f ca="1">IFERROR(VLOOKUP(E110-15,'Reeksen (N)'!$A$5:$D$234,2,FALSE),0)</f>
        <v>0</v>
      </c>
      <c r="BB110" s="109">
        <f ca="1">IFERROR(VLOOKUP(E110-15,'Reeksen (N)'!$A$5:$D$234,3,FALSE),0)</f>
        <v>0</v>
      </c>
      <c r="BC110" s="109">
        <f ca="1">IFERROR(VLOOKUP(E110-15,'Reeksen (N)'!$A$5:$D$234,4,FALSE),0)</f>
        <v>0</v>
      </c>
      <c r="BD110" s="67">
        <f ca="1">IF(E110-'Invoer gegevens (N)'!$C$17&lt;15,0,1)</f>
        <v>1</v>
      </c>
    </row>
    <row r="111" spans="1:56" x14ac:dyDescent="0.25">
      <c r="A111" s="59"/>
      <c r="B111" s="70">
        <f t="shared" si="30"/>
        <v>107</v>
      </c>
      <c r="C111" s="67">
        <f ca="1">IF(E111-'Invoer gegevens (N)'!$C$17&lt;0,0,1)</f>
        <v>1</v>
      </c>
      <c r="D111" s="68">
        <f t="shared" si="31"/>
        <v>106.5</v>
      </c>
      <c r="E111" s="108">
        <f ca="1">IF('Invoer gegevens (N)'!$C$16="","",E110+1)</f>
        <v>2125</v>
      </c>
      <c r="F111" s="84">
        <f ca="1">IF('Invoer gegevens (N)'!$C$17=E111,'Invoer gegevens (N)'!$C$10,IF(C111=1,K110,0))</f>
        <v>0</v>
      </c>
      <c r="G111" s="96">
        <f ca="1">IF(BD111&lt;1,F111*'Reeksen (N)'!C111,IF(C111&gt;=1,F111*BA111,0))</f>
        <v>0</v>
      </c>
      <c r="H111" s="84">
        <f ca="1">(1-('Invoer gegevens (N)'!$F$20/12))*F111*MIN(BA111,BC111)</f>
        <v>0</v>
      </c>
      <c r="I111" s="84">
        <f t="shared" ca="1" si="16"/>
        <v>0</v>
      </c>
      <c r="J111" s="84">
        <f ca="1">('Invoer gegevens (N)'!$F$20/12)*F110*MIN(BA111,BC111)</f>
        <v>0</v>
      </c>
      <c r="K111" s="97">
        <f t="shared" ca="1" si="21"/>
        <v>0</v>
      </c>
      <c r="L111" s="84">
        <f ca="1">IF('Invoer gegevens (N)'!$C$17=E111,0,IF(C111=1,Q110,0))</f>
        <v>0</v>
      </c>
      <c r="M111" s="96">
        <f t="shared" ca="1" si="17"/>
        <v>0</v>
      </c>
      <c r="N111" s="84">
        <f ca="1">(1-('Invoer gegevens (N)'!$F$20/12))*L111*MIN(BA111,BC111)</f>
        <v>0</v>
      </c>
      <c r="O111" s="84">
        <f t="shared" ca="1" si="18"/>
        <v>0</v>
      </c>
      <c r="P111" s="84">
        <f ca="1">('Invoer gegevens (N)'!$F$20/12)*L110*MIN(BA111,BC111)</f>
        <v>0</v>
      </c>
      <c r="Q111" s="84">
        <f t="shared" ca="1" si="22"/>
        <v>0</v>
      </c>
      <c r="R111" s="85">
        <f ca="1">IF('Invoer gegevens (N)'!$C$17=E111,'Invoer gegevens (N)'!$C$11,IF(C111=1,W110,0))</f>
        <v>0</v>
      </c>
      <c r="S111" s="86">
        <f t="shared" ca="1" si="19"/>
        <v>0</v>
      </c>
      <c r="T111" s="86">
        <f ca="1">(1-('Invoer gegevens (N)'!$F$20/12))*R111*MIN(BC111,BA111)</f>
        <v>0</v>
      </c>
      <c r="U111" s="86">
        <f ca="1">IF(BD111&lt;1,IF('Reeksen (N)'!AD111&lt;='Reeksen (N)'!AE111,R111*'Reeksen (N)'!C111,0),IF(BC111&gt;=BA111,0,IF('Reeksen (N)'!AD111&lt;='Reeksen (N)'!AE111,(BA111-BC111)*R111,0)))</f>
        <v>0</v>
      </c>
      <c r="V111" s="86">
        <f ca="1">IF(BD111&lt;1,IF('Reeksen (N)'!AD111&gt;'Reeksen (N)'!AE111,R111*'Reeksen (N)'!C111,0),IF(BC111&gt;=BA111,0,IF('Reeksen (N)'!AD111&gt;'Reeksen (N)'!AE111,(BA111-BC111)*R111,0)))</f>
        <v>0</v>
      </c>
      <c r="W111" s="218">
        <f t="shared" ca="1" si="23"/>
        <v>0</v>
      </c>
      <c r="X111" s="98">
        <f ca="1">IF('Invoer gegevens (N)'!$C$17=E111,'Invoer gegevens (N)'!$C$10-'Invoer gegevens (N)'!$C$11,IF(C111=1,AC110,0))</f>
        <v>0</v>
      </c>
      <c r="Y111" s="98">
        <f t="shared" ca="1" si="20"/>
        <v>0</v>
      </c>
      <c r="Z111" s="98">
        <f ca="1">(1-('Invoer gegevens (N)'!$F$20/12))*X111*MIN(BA111,BC111)</f>
        <v>0</v>
      </c>
      <c r="AA111" s="98">
        <f ca="1">IF(BD111&lt;1,IF('Reeksen (N)'!AD111&lt;='Reeksen (N)'!AE111,X111*'Reeksen (N)'!C111,0),IF(BC111&gt;=BA111,0,IF('Reeksen (N)'!AD111&lt;='Reeksen (N)'!AE111,(BA111-BC111)*X111,0)))</f>
        <v>0</v>
      </c>
      <c r="AB111" s="98">
        <f ca="1">IF(BD111&lt;1,IF('Reeksen (N)'!AD111&gt;'Reeksen (N)'!AE111,X111*'Reeksen (N)'!C111,0),IF(BC111&gt;=BA111,0,IF('Reeksen (N)'!AD111&gt;'Reeksen (N)'!AE111,(BA111-BC111)*X111,0)))</f>
        <v>0</v>
      </c>
      <c r="AC111" s="99">
        <f t="shared" ca="1" si="24"/>
        <v>0</v>
      </c>
      <c r="AD111" s="98">
        <f ca="1">IF('Invoer gegevens (N)'!$C$17=E111,R111,IF(C111=0,0,AE110))</f>
        <v>0</v>
      </c>
      <c r="AE111" s="98">
        <f t="shared" ca="1" si="25"/>
        <v>0</v>
      </c>
      <c r="AF111" s="98">
        <f ca="1">IF('Invoer gegevens (N)'!$C$17=E111,X111,IF(C111=0,0,AG110))</f>
        <v>0</v>
      </c>
      <c r="AG111" s="98">
        <f t="shared" ca="1" si="26"/>
        <v>0</v>
      </c>
      <c r="AH111" s="66"/>
      <c r="AI111" s="71">
        <f ca="1">IF(C111=1,'Reeksen (N)'!AI111*((F111+K111)/2)*12+'Reeksen (N)'!AD111*((L111+Q111)/2)*12,0)</f>
        <v>0</v>
      </c>
      <c r="AJ111" s="71">
        <f ca="1">-AI111*'Invoer gegevens (N)'!$F$28</f>
        <v>0</v>
      </c>
      <c r="AK111" s="71">
        <f t="shared" ca="1" si="27"/>
        <v>0</v>
      </c>
      <c r="AL111" s="71">
        <f ca="1">IF(C111=1,'Reeksen (N)'!AL111*((F111-G111+F111)/2)*12+'Reeksen (N)'!AM111*((L111-M111+L111)/2)*12,0)</f>
        <v>0</v>
      </c>
      <c r="AM111" s="71">
        <f ca="1">-AL111*'Invoer gegevens (N)'!$F$31</f>
        <v>0</v>
      </c>
      <c r="AN111" s="71">
        <f t="shared" ca="1" si="28"/>
        <v>0</v>
      </c>
      <c r="AO111" s="71">
        <f ca="1">IF(C111=1,(H111+J111+N111+P111)*'Reeksen (N)'!AN111,0)</f>
        <v>0</v>
      </c>
      <c r="AP111" s="71">
        <f ca="1">-IF(C111=1,(H111+J111+N111+P111)*'Hulp - basis'!$O$550*'Reeksen (N)'!H111,0)</f>
        <v>0</v>
      </c>
      <c r="AQ111" s="71">
        <f ca="1">-IF(C111=1,(F111+K111+L111+Q111)/2*'Invoer gegevens (N)'!$F$35*'Reeksen (N)'!J111,0)*2</f>
        <v>0</v>
      </c>
      <c r="AR111" s="71">
        <f ca="1">IF(BD111&lt;1,-IF(C111=1,(G111*'Invoer gegevens (N)'!$F$36)*'Reeksen (N)'!J111,0),0)</f>
        <v>0</v>
      </c>
      <c r="AS111" s="71">
        <f ca="1">-IF(C111=1,(F111+K111+L111+Q111)/2*'Invoer gegevens (N)'!$F$37*'Reeksen (N)'!L111,0)</f>
        <v>0</v>
      </c>
      <c r="AT111" s="71">
        <f ca="1">-IF(C111=1,IF(E111='Invoer gegevens (N)'!$C$17,'Invoer gegevens (N)'!$C$11,AD111)*'Reeksen (N)'!S111*'Invoer gegevens (N)'!$C$18*'Reeksen (N)'!P111,0)</f>
        <v>0</v>
      </c>
      <c r="AU111" s="71">
        <f ca="1">-IF(C111=1,(F111+K111+L111+Q111)/2*'Invoer gegevens (N)'!$F$38*'Reeksen (N)'!H111,0)</f>
        <v>0</v>
      </c>
      <c r="AV111" s="71">
        <v>0</v>
      </c>
      <c r="AW111" s="71">
        <f t="shared" ca="1" si="29"/>
        <v>0</v>
      </c>
      <c r="AX111" s="71">
        <f ca="1">IF(E111&lt;'Invoer gegevens (N)'!$C$17+15,0,IF(E111&gt;'Invoer gegevens (N)'!$C$17+215,0,AW111))</f>
        <v>0</v>
      </c>
      <c r="AY111" s="71">
        <f ca="1">AX111/(1+'Invoer gegevens (N)'!$F$18)^($AZ111-('Invoer gegevens (N)'!$C$17-'Invoer gegevens (N)'!$C$16))/(1+'Invoer gegevens (N)'!$C$39)^('Invoer gegevens (N)'!$C$17-'Invoer gegevens (N)'!$C$16)</f>
        <v>0</v>
      </c>
      <c r="AZ111" s="68">
        <f ca="1">IF(E111-'Invoer gegevens (N)'!$C$17-14.5&lt;0,0,E111-'Invoer gegevens (N)'!$C$17-14.5)</f>
        <v>91.5</v>
      </c>
      <c r="BA111" s="109">
        <f ca="1">IFERROR(VLOOKUP(E111-15,'Reeksen (N)'!$A$5:$D$234,2,FALSE),0)</f>
        <v>0</v>
      </c>
      <c r="BB111" s="109">
        <f ca="1">IFERROR(VLOOKUP(E111-15,'Reeksen (N)'!$A$5:$D$234,3,FALSE),0)</f>
        <v>0</v>
      </c>
      <c r="BC111" s="109">
        <f ca="1">IFERROR(VLOOKUP(E111-15,'Reeksen (N)'!$A$5:$D$234,4,FALSE),0)</f>
        <v>0</v>
      </c>
      <c r="BD111" s="67">
        <f ca="1">IF(E111-'Invoer gegevens (N)'!$C$17&lt;15,0,1)</f>
        <v>1</v>
      </c>
    </row>
    <row r="112" spans="1:56" x14ac:dyDescent="0.25">
      <c r="A112" s="59"/>
      <c r="B112" s="70">
        <f t="shared" si="30"/>
        <v>108</v>
      </c>
      <c r="C112" s="67">
        <f ca="1">IF(E112-'Invoer gegevens (N)'!$C$17&lt;0,0,1)</f>
        <v>1</v>
      </c>
      <c r="D112" s="68">
        <f t="shared" si="31"/>
        <v>107.5</v>
      </c>
      <c r="E112" s="108">
        <f ca="1">IF('Invoer gegevens (N)'!$C$16="","",E111+1)</f>
        <v>2126</v>
      </c>
      <c r="F112" s="84">
        <f ca="1">IF('Invoer gegevens (N)'!$C$17=E112,'Invoer gegevens (N)'!$C$10,IF(C112=1,K111,0))</f>
        <v>0</v>
      </c>
      <c r="G112" s="96">
        <f ca="1">IF(BD112&lt;1,F112*'Reeksen (N)'!C112,IF(C112&gt;=1,F112*BA112,0))</f>
        <v>0</v>
      </c>
      <c r="H112" s="84">
        <f ca="1">(1-('Invoer gegevens (N)'!$F$20/12))*F112*MIN(BA112,BC112)</f>
        <v>0</v>
      </c>
      <c r="I112" s="84">
        <f t="shared" ca="1" si="16"/>
        <v>0</v>
      </c>
      <c r="J112" s="84">
        <f ca="1">('Invoer gegevens (N)'!$F$20/12)*F111*MIN(BA112,BC112)</f>
        <v>0</v>
      </c>
      <c r="K112" s="97">
        <f t="shared" ca="1" si="21"/>
        <v>0</v>
      </c>
      <c r="L112" s="84">
        <f ca="1">IF('Invoer gegevens (N)'!$C$17=E112,0,IF(C112=1,Q111,0))</f>
        <v>0</v>
      </c>
      <c r="M112" s="96">
        <f t="shared" ca="1" si="17"/>
        <v>0</v>
      </c>
      <c r="N112" s="84">
        <f ca="1">(1-('Invoer gegevens (N)'!$F$20/12))*L112*MIN(BA112,BC112)</f>
        <v>0</v>
      </c>
      <c r="O112" s="84">
        <f t="shared" ca="1" si="18"/>
        <v>0</v>
      </c>
      <c r="P112" s="84">
        <f ca="1">('Invoer gegevens (N)'!$F$20/12)*L111*MIN(BA112,BC112)</f>
        <v>0</v>
      </c>
      <c r="Q112" s="84">
        <f t="shared" ca="1" si="22"/>
        <v>0</v>
      </c>
      <c r="R112" s="85">
        <f ca="1">IF('Invoer gegevens (N)'!$C$17=E112,'Invoer gegevens (N)'!$C$11,IF(C112=1,W111,0))</f>
        <v>0</v>
      </c>
      <c r="S112" s="86">
        <f t="shared" ca="1" si="19"/>
        <v>0</v>
      </c>
      <c r="T112" s="86">
        <f ca="1">(1-('Invoer gegevens (N)'!$F$20/12))*R112*MIN(BC112,BA112)</f>
        <v>0</v>
      </c>
      <c r="U112" s="86">
        <f ca="1">IF(BD112&lt;1,IF('Reeksen (N)'!AD112&lt;='Reeksen (N)'!AE112,R112*'Reeksen (N)'!C112,0),IF(BC112&gt;=BA112,0,IF('Reeksen (N)'!AD112&lt;='Reeksen (N)'!AE112,(BA112-BC112)*R112,0)))</f>
        <v>0</v>
      </c>
      <c r="V112" s="86">
        <f ca="1">IF(BD112&lt;1,IF('Reeksen (N)'!AD112&gt;'Reeksen (N)'!AE112,R112*'Reeksen (N)'!C112,0),IF(BC112&gt;=BA112,0,IF('Reeksen (N)'!AD112&gt;'Reeksen (N)'!AE112,(BA112-BC112)*R112,0)))</f>
        <v>0</v>
      </c>
      <c r="W112" s="218">
        <f t="shared" ca="1" si="23"/>
        <v>0</v>
      </c>
      <c r="X112" s="98">
        <f ca="1">IF('Invoer gegevens (N)'!$C$17=E112,'Invoer gegevens (N)'!$C$10-'Invoer gegevens (N)'!$C$11,IF(C112=1,AC111,0))</f>
        <v>0</v>
      </c>
      <c r="Y112" s="98">
        <f t="shared" ca="1" si="20"/>
        <v>0</v>
      </c>
      <c r="Z112" s="98">
        <f ca="1">(1-('Invoer gegevens (N)'!$F$20/12))*X112*MIN(BA112,BC112)</f>
        <v>0</v>
      </c>
      <c r="AA112" s="98">
        <f ca="1">IF(BD112&lt;1,IF('Reeksen (N)'!AD112&lt;='Reeksen (N)'!AE112,X112*'Reeksen (N)'!C112,0),IF(BC112&gt;=BA112,0,IF('Reeksen (N)'!AD112&lt;='Reeksen (N)'!AE112,(BA112-BC112)*X112,0)))</f>
        <v>0</v>
      </c>
      <c r="AB112" s="98">
        <f ca="1">IF(BD112&lt;1,IF('Reeksen (N)'!AD112&gt;'Reeksen (N)'!AE112,X112*'Reeksen (N)'!C112,0),IF(BC112&gt;=BA112,0,IF('Reeksen (N)'!AD112&gt;'Reeksen (N)'!AE112,(BA112-BC112)*X112,0)))</f>
        <v>0</v>
      </c>
      <c r="AC112" s="99">
        <f t="shared" ca="1" si="24"/>
        <v>0</v>
      </c>
      <c r="AD112" s="98">
        <f ca="1">IF('Invoer gegevens (N)'!$C$17=E112,R112,IF(C112=0,0,AE111))</f>
        <v>0</v>
      </c>
      <c r="AE112" s="98">
        <f t="shared" ca="1" si="25"/>
        <v>0</v>
      </c>
      <c r="AF112" s="98">
        <f ca="1">IF('Invoer gegevens (N)'!$C$17=E112,X112,IF(C112=0,0,AG111))</f>
        <v>0</v>
      </c>
      <c r="AG112" s="98">
        <f t="shared" ca="1" si="26"/>
        <v>0</v>
      </c>
      <c r="AH112" s="66"/>
      <c r="AI112" s="71">
        <f ca="1">IF(C112=1,'Reeksen (N)'!AI112*((F112+K112)/2)*12+'Reeksen (N)'!AD112*((L112+Q112)/2)*12,0)</f>
        <v>0</v>
      </c>
      <c r="AJ112" s="71">
        <f ca="1">-AI112*'Invoer gegevens (N)'!$F$28</f>
        <v>0</v>
      </c>
      <c r="AK112" s="71">
        <f t="shared" ca="1" si="27"/>
        <v>0</v>
      </c>
      <c r="AL112" s="71">
        <f ca="1">IF(C112=1,'Reeksen (N)'!AL112*((F112-G112+F112)/2)*12+'Reeksen (N)'!AM112*((L112-M112+L112)/2)*12,0)</f>
        <v>0</v>
      </c>
      <c r="AM112" s="71">
        <f ca="1">-AL112*'Invoer gegevens (N)'!$F$31</f>
        <v>0</v>
      </c>
      <c r="AN112" s="71">
        <f t="shared" ca="1" si="28"/>
        <v>0</v>
      </c>
      <c r="AO112" s="71">
        <f ca="1">IF(C112=1,(H112+J112+N112+P112)*'Reeksen (N)'!AN112,0)</f>
        <v>0</v>
      </c>
      <c r="AP112" s="71">
        <f ca="1">-IF(C112=1,(H112+J112+N112+P112)*'Hulp - basis'!$O$550*'Reeksen (N)'!H112,0)</f>
        <v>0</v>
      </c>
      <c r="AQ112" s="71">
        <f ca="1">-IF(C112=1,(F112+K112+L112+Q112)/2*'Invoer gegevens (N)'!$F$35*'Reeksen (N)'!J112,0)*2</f>
        <v>0</v>
      </c>
      <c r="AR112" s="71">
        <f ca="1">IF(BD112&lt;1,-IF(C112=1,(G112*'Invoer gegevens (N)'!$F$36)*'Reeksen (N)'!J112,0),0)</f>
        <v>0</v>
      </c>
      <c r="AS112" s="71">
        <f ca="1">-IF(C112=1,(F112+K112+L112+Q112)/2*'Invoer gegevens (N)'!$F$37*'Reeksen (N)'!L112,0)</f>
        <v>0</v>
      </c>
      <c r="AT112" s="71">
        <f ca="1">-IF(C112=1,IF(E112='Invoer gegevens (N)'!$C$17,'Invoer gegevens (N)'!$C$11,AD112)*'Reeksen (N)'!S112*'Invoer gegevens (N)'!$C$18*'Reeksen (N)'!P112,0)</f>
        <v>0</v>
      </c>
      <c r="AU112" s="71">
        <f ca="1">-IF(C112=1,(F112+K112+L112+Q112)/2*'Invoer gegevens (N)'!$F$38*'Reeksen (N)'!H112,0)</f>
        <v>0</v>
      </c>
      <c r="AV112" s="71">
        <v>0</v>
      </c>
      <c r="AW112" s="71">
        <f t="shared" ca="1" si="29"/>
        <v>0</v>
      </c>
      <c r="AX112" s="71">
        <f ca="1">IF(E112&lt;'Invoer gegevens (N)'!$C$17+15,0,IF(E112&gt;'Invoer gegevens (N)'!$C$17+215,0,AW112))</f>
        <v>0</v>
      </c>
      <c r="AY112" s="71">
        <f ca="1">AX112/(1+'Invoer gegevens (N)'!$F$18)^($AZ112-('Invoer gegevens (N)'!$C$17-'Invoer gegevens (N)'!$C$16))/(1+'Invoer gegevens (N)'!$C$39)^('Invoer gegevens (N)'!$C$17-'Invoer gegevens (N)'!$C$16)</f>
        <v>0</v>
      </c>
      <c r="AZ112" s="68">
        <f ca="1">IF(E112-'Invoer gegevens (N)'!$C$17-14.5&lt;0,0,E112-'Invoer gegevens (N)'!$C$17-14.5)</f>
        <v>92.5</v>
      </c>
      <c r="BA112" s="109">
        <f ca="1">IFERROR(VLOOKUP(E112-15,'Reeksen (N)'!$A$5:$D$234,2,FALSE),0)</f>
        <v>0</v>
      </c>
      <c r="BB112" s="109">
        <f ca="1">IFERROR(VLOOKUP(E112-15,'Reeksen (N)'!$A$5:$D$234,3,FALSE),0)</f>
        <v>0</v>
      </c>
      <c r="BC112" s="109">
        <f ca="1">IFERROR(VLOOKUP(E112-15,'Reeksen (N)'!$A$5:$D$234,4,FALSE),0)</f>
        <v>0</v>
      </c>
      <c r="BD112" s="67">
        <f ca="1">IF(E112-'Invoer gegevens (N)'!$C$17&lt;15,0,1)</f>
        <v>1</v>
      </c>
    </row>
    <row r="113" spans="1:56" x14ac:dyDescent="0.25">
      <c r="A113" s="59"/>
      <c r="B113" s="70">
        <f t="shared" si="30"/>
        <v>109</v>
      </c>
      <c r="C113" s="67">
        <f ca="1">IF(E113-'Invoer gegevens (N)'!$C$17&lt;0,0,1)</f>
        <v>1</v>
      </c>
      <c r="D113" s="68">
        <f t="shared" si="31"/>
        <v>108.5</v>
      </c>
      <c r="E113" s="108">
        <f ca="1">IF('Invoer gegevens (N)'!$C$16="","",E112+1)</f>
        <v>2127</v>
      </c>
      <c r="F113" s="84">
        <f ca="1">IF('Invoer gegevens (N)'!$C$17=E113,'Invoer gegevens (N)'!$C$10,IF(C113=1,K112,0))</f>
        <v>0</v>
      </c>
      <c r="G113" s="96">
        <f ca="1">IF(BD113&lt;1,F113*'Reeksen (N)'!C113,IF(C113&gt;=1,F113*BA113,0))</f>
        <v>0</v>
      </c>
      <c r="H113" s="84">
        <f ca="1">(1-('Invoer gegevens (N)'!$F$20/12))*F113*MIN(BA113,BC113)</f>
        <v>0</v>
      </c>
      <c r="I113" s="84">
        <f t="shared" ca="1" si="16"/>
        <v>0</v>
      </c>
      <c r="J113" s="84">
        <f ca="1">('Invoer gegevens (N)'!$F$20/12)*F112*MIN(BA113,BC113)</f>
        <v>0</v>
      </c>
      <c r="K113" s="97">
        <f t="shared" ca="1" si="21"/>
        <v>0</v>
      </c>
      <c r="L113" s="84">
        <f ca="1">IF('Invoer gegevens (N)'!$C$17=E113,0,IF(C113=1,Q112,0))</f>
        <v>0</v>
      </c>
      <c r="M113" s="96">
        <f t="shared" ca="1" si="17"/>
        <v>0</v>
      </c>
      <c r="N113" s="84">
        <f ca="1">(1-('Invoer gegevens (N)'!$F$20/12))*L113*MIN(BA113,BC113)</f>
        <v>0</v>
      </c>
      <c r="O113" s="84">
        <f t="shared" ca="1" si="18"/>
        <v>0</v>
      </c>
      <c r="P113" s="84">
        <f ca="1">('Invoer gegevens (N)'!$F$20/12)*L112*MIN(BA113,BC113)</f>
        <v>0</v>
      </c>
      <c r="Q113" s="84">
        <f t="shared" ca="1" si="22"/>
        <v>0</v>
      </c>
      <c r="R113" s="85">
        <f ca="1">IF('Invoer gegevens (N)'!$C$17=E113,'Invoer gegevens (N)'!$C$11,IF(C113=1,W112,0))</f>
        <v>0</v>
      </c>
      <c r="S113" s="86">
        <f t="shared" ca="1" si="19"/>
        <v>0</v>
      </c>
      <c r="T113" s="86">
        <f ca="1">(1-('Invoer gegevens (N)'!$F$20/12))*R113*MIN(BC113,BA113)</f>
        <v>0</v>
      </c>
      <c r="U113" s="86">
        <f ca="1">IF(BD113&lt;1,IF('Reeksen (N)'!AD113&lt;='Reeksen (N)'!AE113,R113*'Reeksen (N)'!C113,0),IF(BC113&gt;=BA113,0,IF('Reeksen (N)'!AD113&lt;='Reeksen (N)'!AE113,(BA113-BC113)*R113,0)))</f>
        <v>0</v>
      </c>
      <c r="V113" s="86">
        <f ca="1">IF(BD113&lt;1,IF('Reeksen (N)'!AD113&gt;'Reeksen (N)'!AE113,R113*'Reeksen (N)'!C113,0),IF(BC113&gt;=BA113,0,IF('Reeksen (N)'!AD113&gt;'Reeksen (N)'!AE113,(BA113-BC113)*R113,0)))</f>
        <v>0</v>
      </c>
      <c r="W113" s="218">
        <f t="shared" ca="1" si="23"/>
        <v>0</v>
      </c>
      <c r="X113" s="98">
        <f ca="1">IF('Invoer gegevens (N)'!$C$17=E113,'Invoer gegevens (N)'!$C$10-'Invoer gegevens (N)'!$C$11,IF(C113=1,AC112,0))</f>
        <v>0</v>
      </c>
      <c r="Y113" s="98">
        <f t="shared" ca="1" si="20"/>
        <v>0</v>
      </c>
      <c r="Z113" s="98">
        <f ca="1">(1-('Invoer gegevens (N)'!$F$20/12))*X113*MIN(BA113,BC113)</f>
        <v>0</v>
      </c>
      <c r="AA113" s="98">
        <f ca="1">IF(BD113&lt;1,IF('Reeksen (N)'!AD113&lt;='Reeksen (N)'!AE113,X113*'Reeksen (N)'!C113,0),IF(BC113&gt;=BA113,0,IF('Reeksen (N)'!AD113&lt;='Reeksen (N)'!AE113,(BA113-BC113)*X113,0)))</f>
        <v>0</v>
      </c>
      <c r="AB113" s="98">
        <f ca="1">IF(BD113&lt;1,IF('Reeksen (N)'!AD113&gt;'Reeksen (N)'!AE113,X113*'Reeksen (N)'!C113,0),IF(BC113&gt;=BA113,0,IF('Reeksen (N)'!AD113&gt;'Reeksen (N)'!AE113,(BA113-BC113)*X113,0)))</f>
        <v>0</v>
      </c>
      <c r="AC113" s="99">
        <f t="shared" ca="1" si="24"/>
        <v>0</v>
      </c>
      <c r="AD113" s="98">
        <f ca="1">IF('Invoer gegevens (N)'!$C$17=E113,R113,IF(C113=0,0,AE112))</f>
        <v>0</v>
      </c>
      <c r="AE113" s="98">
        <f t="shared" ca="1" si="25"/>
        <v>0</v>
      </c>
      <c r="AF113" s="98">
        <f ca="1">IF('Invoer gegevens (N)'!$C$17=E113,X113,IF(C113=0,0,AG112))</f>
        <v>0</v>
      </c>
      <c r="AG113" s="98">
        <f t="shared" ca="1" si="26"/>
        <v>0</v>
      </c>
      <c r="AH113" s="66"/>
      <c r="AI113" s="71">
        <f ca="1">IF(C113=1,'Reeksen (N)'!AI113*((F113+K113)/2)*12+'Reeksen (N)'!AD113*((L113+Q113)/2)*12,0)</f>
        <v>0</v>
      </c>
      <c r="AJ113" s="71">
        <f ca="1">-AI113*'Invoer gegevens (N)'!$F$28</f>
        <v>0</v>
      </c>
      <c r="AK113" s="71">
        <f t="shared" ca="1" si="27"/>
        <v>0</v>
      </c>
      <c r="AL113" s="71">
        <f ca="1">IF(C113=1,'Reeksen (N)'!AL113*((F113-G113+F113)/2)*12+'Reeksen (N)'!AM113*((L113-M113+L113)/2)*12,0)</f>
        <v>0</v>
      </c>
      <c r="AM113" s="71">
        <f ca="1">-AL113*'Invoer gegevens (N)'!$F$31</f>
        <v>0</v>
      </c>
      <c r="AN113" s="71">
        <f t="shared" ca="1" si="28"/>
        <v>0</v>
      </c>
      <c r="AO113" s="71">
        <f ca="1">IF(C113=1,(H113+J113+N113+P113)*'Reeksen (N)'!AN113,0)</f>
        <v>0</v>
      </c>
      <c r="AP113" s="71">
        <f ca="1">-IF(C113=1,(H113+J113+N113+P113)*'Hulp - basis'!$O$550*'Reeksen (N)'!H113,0)</f>
        <v>0</v>
      </c>
      <c r="AQ113" s="71">
        <f ca="1">-IF(C113=1,(F113+K113+L113+Q113)/2*'Invoer gegevens (N)'!$F$35*'Reeksen (N)'!J113,0)*2</f>
        <v>0</v>
      </c>
      <c r="AR113" s="71">
        <f ca="1">IF(BD113&lt;1,-IF(C113=1,(G113*'Invoer gegevens (N)'!$F$36)*'Reeksen (N)'!J113,0),0)</f>
        <v>0</v>
      </c>
      <c r="AS113" s="71">
        <f ca="1">-IF(C113=1,(F113+K113+L113+Q113)/2*'Invoer gegevens (N)'!$F$37*'Reeksen (N)'!L113,0)</f>
        <v>0</v>
      </c>
      <c r="AT113" s="71">
        <f ca="1">-IF(C113=1,IF(E113='Invoer gegevens (N)'!$C$17,'Invoer gegevens (N)'!$C$11,AD113)*'Reeksen (N)'!S113*'Invoer gegevens (N)'!$C$18*'Reeksen (N)'!P113,0)</f>
        <v>0</v>
      </c>
      <c r="AU113" s="71">
        <f ca="1">-IF(C113=1,(F113+K113+L113+Q113)/2*'Invoer gegevens (N)'!$F$38*'Reeksen (N)'!H113,0)</f>
        <v>0</v>
      </c>
      <c r="AV113" s="71">
        <v>0</v>
      </c>
      <c r="AW113" s="71">
        <f t="shared" ca="1" si="29"/>
        <v>0</v>
      </c>
      <c r="AX113" s="71">
        <f ca="1">IF(E113&lt;'Invoer gegevens (N)'!$C$17+15,0,IF(E113&gt;'Invoer gegevens (N)'!$C$17+215,0,AW113))</f>
        <v>0</v>
      </c>
      <c r="AY113" s="71">
        <f ca="1">AX113/(1+'Invoer gegevens (N)'!$F$18)^($AZ113-('Invoer gegevens (N)'!$C$17-'Invoer gegevens (N)'!$C$16))/(1+'Invoer gegevens (N)'!$C$39)^('Invoer gegevens (N)'!$C$17-'Invoer gegevens (N)'!$C$16)</f>
        <v>0</v>
      </c>
      <c r="AZ113" s="68">
        <f ca="1">IF(E113-'Invoer gegevens (N)'!$C$17-14.5&lt;0,0,E113-'Invoer gegevens (N)'!$C$17-14.5)</f>
        <v>93.5</v>
      </c>
      <c r="BA113" s="109">
        <f ca="1">IFERROR(VLOOKUP(E113-15,'Reeksen (N)'!$A$5:$D$234,2,FALSE),0)</f>
        <v>0</v>
      </c>
      <c r="BB113" s="109">
        <f ca="1">IFERROR(VLOOKUP(E113-15,'Reeksen (N)'!$A$5:$D$234,3,FALSE),0)</f>
        <v>0</v>
      </c>
      <c r="BC113" s="109">
        <f ca="1">IFERROR(VLOOKUP(E113-15,'Reeksen (N)'!$A$5:$D$234,4,FALSE),0)</f>
        <v>0</v>
      </c>
      <c r="BD113" s="67">
        <f ca="1">IF(E113-'Invoer gegevens (N)'!$C$17&lt;15,0,1)</f>
        <v>1</v>
      </c>
    </row>
    <row r="114" spans="1:56" x14ac:dyDescent="0.25">
      <c r="A114" s="59"/>
      <c r="B114" s="70">
        <f t="shared" si="30"/>
        <v>110</v>
      </c>
      <c r="C114" s="67">
        <f ca="1">IF(E114-'Invoer gegevens (N)'!$C$17&lt;0,0,1)</f>
        <v>1</v>
      </c>
      <c r="D114" s="68">
        <f t="shared" si="31"/>
        <v>109.5</v>
      </c>
      <c r="E114" s="108">
        <f ca="1">IF('Invoer gegevens (N)'!$C$16="","",E113+1)</f>
        <v>2128</v>
      </c>
      <c r="F114" s="84">
        <f ca="1">IF('Invoer gegevens (N)'!$C$17=E114,'Invoer gegevens (N)'!$C$10,IF(C114=1,K113,0))</f>
        <v>0</v>
      </c>
      <c r="G114" s="96">
        <f ca="1">IF(BD114&lt;1,F114*'Reeksen (N)'!C114,IF(C114&gt;=1,F114*BA114,0))</f>
        <v>0</v>
      </c>
      <c r="H114" s="84">
        <f ca="1">(1-('Invoer gegevens (N)'!$F$20/12))*F114*MIN(BA114,BC114)</f>
        <v>0</v>
      </c>
      <c r="I114" s="84">
        <f t="shared" ca="1" si="16"/>
        <v>0</v>
      </c>
      <c r="J114" s="84">
        <f ca="1">('Invoer gegevens (N)'!$F$20/12)*F113*MIN(BA114,BC114)</f>
        <v>0</v>
      </c>
      <c r="K114" s="97">
        <f t="shared" ca="1" si="21"/>
        <v>0</v>
      </c>
      <c r="L114" s="84">
        <f ca="1">IF('Invoer gegevens (N)'!$C$17=E114,0,IF(C114=1,Q113,0))</f>
        <v>0</v>
      </c>
      <c r="M114" s="96">
        <f t="shared" ca="1" si="17"/>
        <v>0</v>
      </c>
      <c r="N114" s="84">
        <f ca="1">(1-('Invoer gegevens (N)'!$F$20/12))*L114*MIN(BA114,BC114)</f>
        <v>0</v>
      </c>
      <c r="O114" s="84">
        <f t="shared" ca="1" si="18"/>
        <v>0</v>
      </c>
      <c r="P114" s="84">
        <f ca="1">('Invoer gegevens (N)'!$F$20/12)*L113*MIN(BA114,BC114)</f>
        <v>0</v>
      </c>
      <c r="Q114" s="84">
        <f t="shared" ca="1" si="22"/>
        <v>0</v>
      </c>
      <c r="R114" s="85">
        <f ca="1">IF('Invoer gegevens (N)'!$C$17=E114,'Invoer gegevens (N)'!$C$11,IF(C114=1,W113,0))</f>
        <v>0</v>
      </c>
      <c r="S114" s="86">
        <f t="shared" ca="1" si="19"/>
        <v>0</v>
      </c>
      <c r="T114" s="86">
        <f ca="1">(1-('Invoer gegevens (N)'!$F$20/12))*R114*MIN(BC114,BA114)</f>
        <v>0</v>
      </c>
      <c r="U114" s="86">
        <f ca="1">IF(BD114&lt;1,IF('Reeksen (N)'!AD114&lt;='Reeksen (N)'!AE114,R114*'Reeksen (N)'!C114,0),IF(BC114&gt;=BA114,0,IF('Reeksen (N)'!AD114&lt;='Reeksen (N)'!AE114,(BA114-BC114)*R114,0)))</f>
        <v>0</v>
      </c>
      <c r="V114" s="86">
        <f ca="1">IF(BD114&lt;1,IF('Reeksen (N)'!AD114&gt;'Reeksen (N)'!AE114,R114*'Reeksen (N)'!C114,0),IF(BC114&gt;=BA114,0,IF('Reeksen (N)'!AD114&gt;'Reeksen (N)'!AE114,(BA114-BC114)*R114,0)))</f>
        <v>0</v>
      </c>
      <c r="W114" s="218">
        <f t="shared" ca="1" si="23"/>
        <v>0</v>
      </c>
      <c r="X114" s="98">
        <f ca="1">IF('Invoer gegevens (N)'!$C$17=E114,'Invoer gegevens (N)'!$C$10-'Invoer gegevens (N)'!$C$11,IF(C114=1,AC113,0))</f>
        <v>0</v>
      </c>
      <c r="Y114" s="98">
        <f t="shared" ca="1" si="20"/>
        <v>0</v>
      </c>
      <c r="Z114" s="98">
        <f ca="1">(1-('Invoer gegevens (N)'!$F$20/12))*X114*MIN(BA114,BC114)</f>
        <v>0</v>
      </c>
      <c r="AA114" s="98">
        <f ca="1">IF(BD114&lt;1,IF('Reeksen (N)'!AD114&lt;='Reeksen (N)'!AE114,X114*'Reeksen (N)'!C114,0),IF(BC114&gt;=BA114,0,IF('Reeksen (N)'!AD114&lt;='Reeksen (N)'!AE114,(BA114-BC114)*X114,0)))</f>
        <v>0</v>
      </c>
      <c r="AB114" s="98">
        <f ca="1">IF(BD114&lt;1,IF('Reeksen (N)'!AD114&gt;'Reeksen (N)'!AE114,X114*'Reeksen (N)'!C114,0),IF(BC114&gt;=BA114,0,IF('Reeksen (N)'!AD114&gt;'Reeksen (N)'!AE114,(BA114-BC114)*X114,0)))</f>
        <v>0</v>
      </c>
      <c r="AC114" s="99">
        <f t="shared" ca="1" si="24"/>
        <v>0</v>
      </c>
      <c r="AD114" s="98">
        <f ca="1">IF('Invoer gegevens (N)'!$C$17=E114,R114,IF(C114=0,0,AE113))</f>
        <v>0</v>
      </c>
      <c r="AE114" s="98">
        <f t="shared" ca="1" si="25"/>
        <v>0</v>
      </c>
      <c r="AF114" s="98">
        <f ca="1">IF('Invoer gegevens (N)'!$C$17=E114,X114,IF(C114=0,0,AG113))</f>
        <v>0</v>
      </c>
      <c r="AG114" s="98">
        <f t="shared" ca="1" si="26"/>
        <v>0</v>
      </c>
      <c r="AH114" s="66"/>
      <c r="AI114" s="71">
        <f ca="1">IF(C114=1,'Reeksen (N)'!AI114*((F114+K114)/2)*12+'Reeksen (N)'!AD114*((L114+Q114)/2)*12,0)</f>
        <v>0</v>
      </c>
      <c r="AJ114" s="71">
        <f ca="1">-AI114*'Invoer gegevens (N)'!$F$28</f>
        <v>0</v>
      </c>
      <c r="AK114" s="71">
        <f t="shared" ca="1" si="27"/>
        <v>0</v>
      </c>
      <c r="AL114" s="71">
        <f ca="1">IF(C114=1,'Reeksen (N)'!AL114*((F114-G114+F114)/2)*12+'Reeksen (N)'!AM114*((L114-M114+L114)/2)*12,0)</f>
        <v>0</v>
      </c>
      <c r="AM114" s="71">
        <f ca="1">-AL114*'Invoer gegevens (N)'!$F$31</f>
        <v>0</v>
      </c>
      <c r="AN114" s="71">
        <f t="shared" ca="1" si="28"/>
        <v>0</v>
      </c>
      <c r="AO114" s="71">
        <f ca="1">IF(C114=1,(H114+J114+N114+P114)*'Reeksen (N)'!AN114,0)</f>
        <v>0</v>
      </c>
      <c r="AP114" s="71">
        <f ca="1">-IF(C114=1,(H114+J114+N114+P114)*'Hulp - basis'!$O$550*'Reeksen (N)'!H114,0)</f>
        <v>0</v>
      </c>
      <c r="AQ114" s="71">
        <f ca="1">-IF(C114=1,(F114+K114+L114+Q114)/2*'Invoer gegevens (N)'!$F$35*'Reeksen (N)'!J114,0)*2</f>
        <v>0</v>
      </c>
      <c r="AR114" s="71">
        <f ca="1">IF(BD114&lt;1,-IF(C114=1,(G114*'Invoer gegevens (N)'!$F$36)*'Reeksen (N)'!J114,0),0)</f>
        <v>0</v>
      </c>
      <c r="AS114" s="71">
        <f ca="1">-IF(C114=1,(F114+K114+L114+Q114)/2*'Invoer gegevens (N)'!$F$37*'Reeksen (N)'!L114,0)</f>
        <v>0</v>
      </c>
      <c r="AT114" s="71">
        <f ca="1">-IF(C114=1,IF(E114='Invoer gegevens (N)'!$C$17,'Invoer gegevens (N)'!$C$11,AD114)*'Reeksen (N)'!S114*'Invoer gegevens (N)'!$C$18*'Reeksen (N)'!P114,0)</f>
        <v>0</v>
      </c>
      <c r="AU114" s="71">
        <f ca="1">-IF(C114=1,(F114+K114+L114+Q114)/2*'Invoer gegevens (N)'!$F$38*'Reeksen (N)'!H114,0)</f>
        <v>0</v>
      </c>
      <c r="AV114" s="71">
        <v>0</v>
      </c>
      <c r="AW114" s="71">
        <f t="shared" ca="1" si="29"/>
        <v>0</v>
      </c>
      <c r="AX114" s="71">
        <f ca="1">IF(E114&lt;'Invoer gegevens (N)'!$C$17+15,0,IF(E114&gt;'Invoer gegevens (N)'!$C$17+215,0,AW114))</f>
        <v>0</v>
      </c>
      <c r="AY114" s="71">
        <f ca="1">AX114/(1+'Invoer gegevens (N)'!$F$18)^($AZ114-('Invoer gegevens (N)'!$C$17-'Invoer gegevens (N)'!$C$16))/(1+'Invoer gegevens (N)'!$C$39)^('Invoer gegevens (N)'!$C$17-'Invoer gegevens (N)'!$C$16)</f>
        <v>0</v>
      </c>
      <c r="AZ114" s="68">
        <f ca="1">IF(E114-'Invoer gegevens (N)'!$C$17-14.5&lt;0,0,E114-'Invoer gegevens (N)'!$C$17-14.5)</f>
        <v>94.5</v>
      </c>
      <c r="BA114" s="109">
        <f ca="1">IFERROR(VLOOKUP(E114-15,'Reeksen (N)'!$A$5:$D$234,2,FALSE),0)</f>
        <v>0</v>
      </c>
      <c r="BB114" s="109">
        <f ca="1">IFERROR(VLOOKUP(E114-15,'Reeksen (N)'!$A$5:$D$234,3,FALSE),0)</f>
        <v>0</v>
      </c>
      <c r="BC114" s="109">
        <f ca="1">IFERROR(VLOOKUP(E114-15,'Reeksen (N)'!$A$5:$D$234,4,FALSE),0)</f>
        <v>0</v>
      </c>
      <c r="BD114" s="67">
        <f ca="1">IF(E114-'Invoer gegevens (N)'!$C$17&lt;15,0,1)</f>
        <v>1</v>
      </c>
    </row>
    <row r="115" spans="1:56" x14ac:dyDescent="0.25">
      <c r="A115" s="59"/>
      <c r="B115" s="70">
        <f t="shared" si="30"/>
        <v>111</v>
      </c>
      <c r="C115" s="67">
        <f ca="1">IF(E115-'Invoer gegevens (N)'!$C$17&lt;0,0,1)</f>
        <v>1</v>
      </c>
      <c r="D115" s="68">
        <f t="shared" si="31"/>
        <v>110.5</v>
      </c>
      <c r="E115" s="108">
        <f ca="1">IF('Invoer gegevens (N)'!$C$16="","",E114+1)</f>
        <v>2129</v>
      </c>
      <c r="F115" s="84">
        <f ca="1">IF('Invoer gegevens (N)'!$C$17=E115,'Invoer gegevens (N)'!$C$10,IF(C115=1,K114,0))</f>
        <v>0</v>
      </c>
      <c r="G115" s="96">
        <f ca="1">IF(BD115&lt;1,F115*'Reeksen (N)'!C115,IF(C115&gt;=1,F115*BA115,0))</f>
        <v>0</v>
      </c>
      <c r="H115" s="84">
        <f ca="1">(1-('Invoer gegevens (N)'!$F$20/12))*F115*MIN(BA115,BC115)</f>
        <v>0</v>
      </c>
      <c r="I115" s="84">
        <f t="shared" ca="1" si="16"/>
        <v>0</v>
      </c>
      <c r="J115" s="84">
        <f ca="1">('Invoer gegevens (N)'!$F$20/12)*F114*MIN(BA115,BC115)</f>
        <v>0</v>
      </c>
      <c r="K115" s="97">
        <f t="shared" ca="1" si="21"/>
        <v>0</v>
      </c>
      <c r="L115" s="84">
        <f ca="1">IF('Invoer gegevens (N)'!$C$17=E115,0,IF(C115=1,Q114,0))</f>
        <v>0</v>
      </c>
      <c r="M115" s="96">
        <f t="shared" ca="1" si="17"/>
        <v>0</v>
      </c>
      <c r="N115" s="84">
        <f ca="1">(1-('Invoer gegevens (N)'!$F$20/12))*L115*MIN(BA115,BC115)</f>
        <v>0</v>
      </c>
      <c r="O115" s="84">
        <f t="shared" ca="1" si="18"/>
        <v>0</v>
      </c>
      <c r="P115" s="84">
        <f ca="1">('Invoer gegevens (N)'!$F$20/12)*L114*MIN(BA115,BC115)</f>
        <v>0</v>
      </c>
      <c r="Q115" s="84">
        <f t="shared" ca="1" si="22"/>
        <v>0</v>
      </c>
      <c r="R115" s="85">
        <f ca="1">IF('Invoer gegevens (N)'!$C$17=E115,'Invoer gegevens (N)'!$C$11,IF(C115=1,W114,0))</f>
        <v>0</v>
      </c>
      <c r="S115" s="86">
        <f t="shared" ca="1" si="19"/>
        <v>0</v>
      </c>
      <c r="T115" s="86">
        <f ca="1">(1-('Invoer gegevens (N)'!$F$20/12))*R115*MIN(BC115,BA115)</f>
        <v>0</v>
      </c>
      <c r="U115" s="86">
        <f ca="1">IF(BD115&lt;1,IF('Reeksen (N)'!AD115&lt;='Reeksen (N)'!AE115,R115*'Reeksen (N)'!C115,0),IF(BC115&gt;=BA115,0,IF('Reeksen (N)'!AD115&lt;='Reeksen (N)'!AE115,(BA115-BC115)*R115,0)))</f>
        <v>0</v>
      </c>
      <c r="V115" s="86">
        <f ca="1">IF(BD115&lt;1,IF('Reeksen (N)'!AD115&gt;'Reeksen (N)'!AE115,R115*'Reeksen (N)'!C115,0),IF(BC115&gt;=BA115,0,IF('Reeksen (N)'!AD115&gt;'Reeksen (N)'!AE115,(BA115-BC115)*R115,0)))</f>
        <v>0</v>
      </c>
      <c r="W115" s="218">
        <f t="shared" ca="1" si="23"/>
        <v>0</v>
      </c>
      <c r="X115" s="98">
        <f ca="1">IF('Invoer gegevens (N)'!$C$17=E115,'Invoer gegevens (N)'!$C$10-'Invoer gegevens (N)'!$C$11,IF(C115=1,AC114,0))</f>
        <v>0</v>
      </c>
      <c r="Y115" s="98">
        <f t="shared" ca="1" si="20"/>
        <v>0</v>
      </c>
      <c r="Z115" s="98">
        <f ca="1">(1-('Invoer gegevens (N)'!$F$20/12))*X115*MIN(BA115,BC115)</f>
        <v>0</v>
      </c>
      <c r="AA115" s="98">
        <f ca="1">IF(BD115&lt;1,IF('Reeksen (N)'!AD115&lt;='Reeksen (N)'!AE115,X115*'Reeksen (N)'!C115,0),IF(BC115&gt;=BA115,0,IF('Reeksen (N)'!AD115&lt;='Reeksen (N)'!AE115,(BA115-BC115)*X115,0)))</f>
        <v>0</v>
      </c>
      <c r="AB115" s="98">
        <f ca="1">IF(BD115&lt;1,IF('Reeksen (N)'!AD115&gt;'Reeksen (N)'!AE115,X115*'Reeksen (N)'!C115,0),IF(BC115&gt;=BA115,0,IF('Reeksen (N)'!AD115&gt;'Reeksen (N)'!AE115,(BA115-BC115)*X115,0)))</f>
        <v>0</v>
      </c>
      <c r="AC115" s="99">
        <f t="shared" ca="1" si="24"/>
        <v>0</v>
      </c>
      <c r="AD115" s="98">
        <f ca="1">IF('Invoer gegevens (N)'!$C$17=E115,R115,IF(C115=0,0,AE114))</f>
        <v>0</v>
      </c>
      <c r="AE115" s="98">
        <f t="shared" ca="1" si="25"/>
        <v>0</v>
      </c>
      <c r="AF115" s="98">
        <f ca="1">IF('Invoer gegevens (N)'!$C$17=E115,X115,IF(C115=0,0,AG114))</f>
        <v>0</v>
      </c>
      <c r="AG115" s="98">
        <f t="shared" ca="1" si="26"/>
        <v>0</v>
      </c>
      <c r="AH115" s="66"/>
      <c r="AI115" s="71">
        <f ca="1">IF(C115=1,'Reeksen (N)'!AI115*((F115+K115)/2)*12+'Reeksen (N)'!AD115*((L115+Q115)/2)*12,0)</f>
        <v>0</v>
      </c>
      <c r="AJ115" s="71">
        <f ca="1">-AI115*'Invoer gegevens (N)'!$F$28</f>
        <v>0</v>
      </c>
      <c r="AK115" s="71">
        <f t="shared" ca="1" si="27"/>
        <v>0</v>
      </c>
      <c r="AL115" s="71">
        <f ca="1">IF(C115=1,'Reeksen (N)'!AL115*((F115-G115+F115)/2)*12+'Reeksen (N)'!AM115*((L115-M115+L115)/2)*12,0)</f>
        <v>0</v>
      </c>
      <c r="AM115" s="71">
        <f ca="1">-AL115*'Invoer gegevens (N)'!$F$31</f>
        <v>0</v>
      </c>
      <c r="AN115" s="71">
        <f t="shared" ca="1" si="28"/>
        <v>0</v>
      </c>
      <c r="AO115" s="71">
        <f ca="1">IF(C115=1,(H115+J115+N115+P115)*'Reeksen (N)'!AN115,0)</f>
        <v>0</v>
      </c>
      <c r="AP115" s="71">
        <f ca="1">-IF(C115=1,(H115+J115+N115+P115)*'Hulp - basis'!$O$550*'Reeksen (N)'!H115,0)</f>
        <v>0</v>
      </c>
      <c r="AQ115" s="71">
        <f ca="1">-IF(C115=1,(F115+K115+L115+Q115)/2*'Invoer gegevens (N)'!$F$35*'Reeksen (N)'!J115,0)*2</f>
        <v>0</v>
      </c>
      <c r="AR115" s="71">
        <f ca="1">IF(BD115&lt;1,-IF(C115=1,(G115*'Invoer gegevens (N)'!$F$36)*'Reeksen (N)'!J115,0),0)</f>
        <v>0</v>
      </c>
      <c r="AS115" s="71">
        <f ca="1">-IF(C115=1,(F115+K115+L115+Q115)/2*'Invoer gegevens (N)'!$F$37*'Reeksen (N)'!L115,0)</f>
        <v>0</v>
      </c>
      <c r="AT115" s="71">
        <f ca="1">-IF(C115=1,IF(E115='Invoer gegevens (N)'!$C$17,'Invoer gegevens (N)'!$C$11,AD115)*'Reeksen (N)'!S115*'Invoer gegevens (N)'!$C$18*'Reeksen (N)'!P115,0)</f>
        <v>0</v>
      </c>
      <c r="AU115" s="71">
        <f ca="1">-IF(C115=1,(F115+K115+L115+Q115)/2*'Invoer gegevens (N)'!$F$38*'Reeksen (N)'!H115,0)</f>
        <v>0</v>
      </c>
      <c r="AV115" s="71">
        <v>0</v>
      </c>
      <c r="AW115" s="71">
        <f t="shared" ca="1" si="29"/>
        <v>0</v>
      </c>
      <c r="AX115" s="71">
        <f ca="1">IF(E115&lt;'Invoer gegevens (N)'!$C$17+15,0,IF(E115&gt;'Invoer gegevens (N)'!$C$17+215,0,AW115))</f>
        <v>0</v>
      </c>
      <c r="AY115" s="71">
        <f ca="1">AX115/(1+'Invoer gegevens (N)'!$F$18)^($AZ115-('Invoer gegevens (N)'!$C$17-'Invoer gegevens (N)'!$C$16))/(1+'Invoer gegevens (N)'!$C$39)^('Invoer gegevens (N)'!$C$17-'Invoer gegevens (N)'!$C$16)</f>
        <v>0</v>
      </c>
      <c r="AZ115" s="68">
        <f ca="1">IF(E115-'Invoer gegevens (N)'!$C$17-14.5&lt;0,0,E115-'Invoer gegevens (N)'!$C$17-14.5)</f>
        <v>95.5</v>
      </c>
      <c r="BA115" s="109">
        <f ca="1">IFERROR(VLOOKUP(E115-15,'Reeksen (N)'!$A$5:$D$234,2,FALSE),0)</f>
        <v>0</v>
      </c>
      <c r="BB115" s="109">
        <f ca="1">IFERROR(VLOOKUP(E115-15,'Reeksen (N)'!$A$5:$D$234,3,FALSE),0)</f>
        <v>0</v>
      </c>
      <c r="BC115" s="109">
        <f ca="1">IFERROR(VLOOKUP(E115-15,'Reeksen (N)'!$A$5:$D$234,4,FALSE),0)</f>
        <v>0</v>
      </c>
      <c r="BD115" s="67">
        <f ca="1">IF(E115-'Invoer gegevens (N)'!$C$17&lt;15,0,1)</f>
        <v>1</v>
      </c>
    </row>
    <row r="116" spans="1:56" x14ac:dyDescent="0.25">
      <c r="A116" s="59"/>
      <c r="B116" s="70">
        <f t="shared" si="30"/>
        <v>112</v>
      </c>
      <c r="C116" s="67">
        <f ca="1">IF(E116-'Invoer gegevens (N)'!$C$17&lt;0,0,1)</f>
        <v>1</v>
      </c>
      <c r="D116" s="68">
        <f t="shared" si="31"/>
        <v>111.5</v>
      </c>
      <c r="E116" s="108">
        <f ca="1">IF('Invoer gegevens (N)'!$C$16="","",E115+1)</f>
        <v>2130</v>
      </c>
      <c r="F116" s="84">
        <f ca="1">IF('Invoer gegevens (N)'!$C$17=E116,'Invoer gegevens (N)'!$C$10,IF(C116=1,K115,0))</f>
        <v>0</v>
      </c>
      <c r="G116" s="96">
        <f ca="1">IF(BD116&lt;1,F116*'Reeksen (N)'!C116,IF(C116&gt;=1,F116*BA116,0))</f>
        <v>0</v>
      </c>
      <c r="H116" s="84">
        <f ca="1">(1-('Invoer gegevens (N)'!$F$20/12))*F116*MIN(BA116,BC116)</f>
        <v>0</v>
      </c>
      <c r="I116" s="84">
        <f t="shared" ca="1" si="16"/>
        <v>0</v>
      </c>
      <c r="J116" s="84">
        <f ca="1">('Invoer gegevens (N)'!$F$20/12)*F115*MIN(BA116,BC116)</f>
        <v>0</v>
      </c>
      <c r="K116" s="97">
        <f t="shared" ca="1" si="21"/>
        <v>0</v>
      </c>
      <c r="L116" s="84">
        <f ca="1">IF('Invoer gegevens (N)'!$C$17=E116,0,IF(C116=1,Q115,0))</f>
        <v>0</v>
      </c>
      <c r="M116" s="96">
        <f t="shared" ca="1" si="17"/>
        <v>0</v>
      </c>
      <c r="N116" s="84">
        <f ca="1">(1-('Invoer gegevens (N)'!$F$20/12))*L116*MIN(BA116,BC116)</f>
        <v>0</v>
      </c>
      <c r="O116" s="84">
        <f t="shared" ca="1" si="18"/>
        <v>0</v>
      </c>
      <c r="P116" s="84">
        <f ca="1">('Invoer gegevens (N)'!$F$20/12)*L115*MIN(BA116,BC116)</f>
        <v>0</v>
      </c>
      <c r="Q116" s="84">
        <f t="shared" ca="1" si="22"/>
        <v>0</v>
      </c>
      <c r="R116" s="85">
        <f ca="1">IF('Invoer gegevens (N)'!$C$17=E116,'Invoer gegevens (N)'!$C$11,IF(C116=1,W115,0))</f>
        <v>0</v>
      </c>
      <c r="S116" s="86">
        <f t="shared" ca="1" si="19"/>
        <v>0</v>
      </c>
      <c r="T116" s="86">
        <f ca="1">(1-('Invoer gegevens (N)'!$F$20/12))*R116*MIN(BC116,BA116)</f>
        <v>0</v>
      </c>
      <c r="U116" s="86">
        <f ca="1">IF(BD116&lt;1,IF('Reeksen (N)'!AD116&lt;='Reeksen (N)'!AE116,R116*'Reeksen (N)'!C116,0),IF(BC116&gt;=BA116,0,IF('Reeksen (N)'!AD116&lt;='Reeksen (N)'!AE116,(BA116-BC116)*R116,0)))</f>
        <v>0</v>
      </c>
      <c r="V116" s="86">
        <f ca="1">IF(BD116&lt;1,IF('Reeksen (N)'!AD116&gt;'Reeksen (N)'!AE116,R116*'Reeksen (N)'!C116,0),IF(BC116&gt;=BA116,0,IF('Reeksen (N)'!AD116&gt;'Reeksen (N)'!AE116,(BA116-BC116)*R116,0)))</f>
        <v>0</v>
      </c>
      <c r="W116" s="218">
        <f t="shared" ca="1" si="23"/>
        <v>0</v>
      </c>
      <c r="X116" s="98">
        <f ca="1">IF('Invoer gegevens (N)'!$C$17=E116,'Invoer gegevens (N)'!$C$10-'Invoer gegevens (N)'!$C$11,IF(C116=1,AC115,0))</f>
        <v>0</v>
      </c>
      <c r="Y116" s="98">
        <f t="shared" ca="1" si="20"/>
        <v>0</v>
      </c>
      <c r="Z116" s="98">
        <f ca="1">(1-('Invoer gegevens (N)'!$F$20/12))*X116*MIN(BA116,BC116)</f>
        <v>0</v>
      </c>
      <c r="AA116" s="98">
        <f ca="1">IF(BD116&lt;1,IF('Reeksen (N)'!AD116&lt;='Reeksen (N)'!AE116,X116*'Reeksen (N)'!C116,0),IF(BC116&gt;=BA116,0,IF('Reeksen (N)'!AD116&lt;='Reeksen (N)'!AE116,(BA116-BC116)*X116,0)))</f>
        <v>0</v>
      </c>
      <c r="AB116" s="98">
        <f ca="1">IF(BD116&lt;1,IF('Reeksen (N)'!AD116&gt;'Reeksen (N)'!AE116,X116*'Reeksen (N)'!C116,0),IF(BC116&gt;=BA116,0,IF('Reeksen (N)'!AD116&gt;'Reeksen (N)'!AE116,(BA116-BC116)*X116,0)))</f>
        <v>0</v>
      </c>
      <c r="AC116" s="99">
        <f t="shared" ca="1" si="24"/>
        <v>0</v>
      </c>
      <c r="AD116" s="98">
        <f ca="1">IF('Invoer gegevens (N)'!$C$17=E116,R116,IF(C116=0,0,AE115))</f>
        <v>0</v>
      </c>
      <c r="AE116" s="98">
        <f t="shared" ca="1" si="25"/>
        <v>0</v>
      </c>
      <c r="AF116" s="98">
        <f ca="1">IF('Invoer gegevens (N)'!$C$17=E116,X116,IF(C116=0,0,AG115))</f>
        <v>0</v>
      </c>
      <c r="AG116" s="98">
        <f t="shared" ca="1" si="26"/>
        <v>0</v>
      </c>
      <c r="AH116" s="66"/>
      <c r="AI116" s="71">
        <f ca="1">IF(C116=1,'Reeksen (N)'!AI116*((F116+K116)/2)*12+'Reeksen (N)'!AD116*((L116+Q116)/2)*12,0)</f>
        <v>0</v>
      </c>
      <c r="AJ116" s="71">
        <f ca="1">-AI116*'Invoer gegevens (N)'!$F$28</f>
        <v>0</v>
      </c>
      <c r="AK116" s="71">
        <f t="shared" ca="1" si="27"/>
        <v>0</v>
      </c>
      <c r="AL116" s="71">
        <f ca="1">IF(C116=1,'Reeksen (N)'!AL116*((F116-G116+F116)/2)*12+'Reeksen (N)'!AM116*((L116-M116+L116)/2)*12,0)</f>
        <v>0</v>
      </c>
      <c r="AM116" s="71">
        <f ca="1">-AL116*'Invoer gegevens (N)'!$F$31</f>
        <v>0</v>
      </c>
      <c r="AN116" s="71">
        <f t="shared" ca="1" si="28"/>
        <v>0</v>
      </c>
      <c r="AO116" s="71">
        <f ca="1">IF(C116=1,(H116+J116+N116+P116)*'Reeksen (N)'!AN116,0)</f>
        <v>0</v>
      </c>
      <c r="AP116" s="71">
        <f ca="1">-IF(C116=1,(H116+J116+N116+P116)*'Hulp - basis'!$O$550*'Reeksen (N)'!H116,0)</f>
        <v>0</v>
      </c>
      <c r="AQ116" s="71">
        <f ca="1">-IF(C116=1,(F116+K116+L116+Q116)/2*'Invoer gegevens (N)'!$F$35*'Reeksen (N)'!J116,0)*2</f>
        <v>0</v>
      </c>
      <c r="AR116" s="71">
        <f ca="1">IF(BD116&lt;1,-IF(C116=1,(G116*'Invoer gegevens (N)'!$F$36)*'Reeksen (N)'!J116,0),0)</f>
        <v>0</v>
      </c>
      <c r="AS116" s="71">
        <f ca="1">-IF(C116=1,(F116+K116+L116+Q116)/2*'Invoer gegevens (N)'!$F$37*'Reeksen (N)'!L116,0)</f>
        <v>0</v>
      </c>
      <c r="AT116" s="71">
        <f ca="1">-IF(C116=1,IF(E116='Invoer gegevens (N)'!$C$17,'Invoer gegevens (N)'!$C$11,AD116)*'Reeksen (N)'!S116*'Invoer gegevens (N)'!$C$18*'Reeksen (N)'!P116,0)</f>
        <v>0</v>
      </c>
      <c r="AU116" s="71">
        <f ca="1">-IF(C116=1,(F116+K116+L116+Q116)/2*'Invoer gegevens (N)'!$F$38*'Reeksen (N)'!H116,0)</f>
        <v>0</v>
      </c>
      <c r="AV116" s="71">
        <v>0</v>
      </c>
      <c r="AW116" s="71">
        <f t="shared" ca="1" si="29"/>
        <v>0</v>
      </c>
      <c r="AX116" s="71">
        <f ca="1">IF(E116&lt;'Invoer gegevens (N)'!$C$17+15,0,IF(E116&gt;'Invoer gegevens (N)'!$C$17+215,0,AW116))</f>
        <v>0</v>
      </c>
      <c r="AY116" s="71">
        <f ca="1">AX116/(1+'Invoer gegevens (N)'!$F$18)^($AZ116-('Invoer gegevens (N)'!$C$17-'Invoer gegevens (N)'!$C$16))/(1+'Invoer gegevens (N)'!$C$39)^('Invoer gegevens (N)'!$C$17-'Invoer gegevens (N)'!$C$16)</f>
        <v>0</v>
      </c>
      <c r="AZ116" s="68">
        <f ca="1">IF(E116-'Invoer gegevens (N)'!$C$17-14.5&lt;0,0,E116-'Invoer gegevens (N)'!$C$17-14.5)</f>
        <v>96.5</v>
      </c>
      <c r="BA116" s="109">
        <f ca="1">IFERROR(VLOOKUP(E116-15,'Reeksen (N)'!$A$5:$D$234,2,FALSE),0)</f>
        <v>0</v>
      </c>
      <c r="BB116" s="109">
        <f ca="1">IFERROR(VLOOKUP(E116-15,'Reeksen (N)'!$A$5:$D$234,3,FALSE),0)</f>
        <v>0</v>
      </c>
      <c r="BC116" s="109">
        <f ca="1">IFERROR(VLOOKUP(E116-15,'Reeksen (N)'!$A$5:$D$234,4,FALSE),0)</f>
        <v>0</v>
      </c>
      <c r="BD116" s="67">
        <f ca="1">IF(E116-'Invoer gegevens (N)'!$C$17&lt;15,0,1)</f>
        <v>1</v>
      </c>
    </row>
    <row r="117" spans="1:56" x14ac:dyDescent="0.25">
      <c r="A117" s="59"/>
      <c r="B117" s="70">
        <f t="shared" si="30"/>
        <v>113</v>
      </c>
      <c r="C117" s="67">
        <f ca="1">IF(E117-'Invoer gegevens (N)'!$C$17&lt;0,0,1)</f>
        <v>1</v>
      </c>
      <c r="D117" s="68">
        <f t="shared" si="31"/>
        <v>112.5</v>
      </c>
      <c r="E117" s="108">
        <f ca="1">IF('Invoer gegevens (N)'!$C$16="","",E116+1)</f>
        <v>2131</v>
      </c>
      <c r="F117" s="84">
        <f ca="1">IF('Invoer gegevens (N)'!$C$17=E117,'Invoer gegevens (N)'!$C$10,IF(C117=1,K116,0))</f>
        <v>0</v>
      </c>
      <c r="G117" s="96">
        <f ca="1">IF(BD117&lt;1,F117*'Reeksen (N)'!C117,IF(C117&gt;=1,F117*BA117,0))</f>
        <v>0</v>
      </c>
      <c r="H117" s="84">
        <f ca="1">(1-('Invoer gegevens (N)'!$F$20/12))*F117*MIN(BA117,BC117)</f>
        <v>0</v>
      </c>
      <c r="I117" s="84">
        <f t="shared" ca="1" si="16"/>
        <v>0</v>
      </c>
      <c r="J117" s="84">
        <f ca="1">('Invoer gegevens (N)'!$F$20/12)*F116*MIN(BA117,BC117)</f>
        <v>0</v>
      </c>
      <c r="K117" s="97">
        <f t="shared" ca="1" si="21"/>
        <v>0</v>
      </c>
      <c r="L117" s="84">
        <f ca="1">IF('Invoer gegevens (N)'!$C$17=E117,0,IF(C117=1,Q116,0))</f>
        <v>0</v>
      </c>
      <c r="M117" s="96">
        <f t="shared" ca="1" si="17"/>
        <v>0</v>
      </c>
      <c r="N117" s="84">
        <f ca="1">(1-('Invoer gegevens (N)'!$F$20/12))*L117*MIN(BA117,BC117)</f>
        <v>0</v>
      </c>
      <c r="O117" s="84">
        <f t="shared" ca="1" si="18"/>
        <v>0</v>
      </c>
      <c r="P117" s="84">
        <f ca="1">('Invoer gegevens (N)'!$F$20/12)*L116*MIN(BA117,BC117)</f>
        <v>0</v>
      </c>
      <c r="Q117" s="84">
        <f t="shared" ca="1" si="22"/>
        <v>0</v>
      </c>
      <c r="R117" s="85">
        <f ca="1">IF('Invoer gegevens (N)'!$C$17=E117,'Invoer gegevens (N)'!$C$11,IF(C117=1,W116,0))</f>
        <v>0</v>
      </c>
      <c r="S117" s="86">
        <f t="shared" ca="1" si="19"/>
        <v>0</v>
      </c>
      <c r="T117" s="86">
        <f ca="1">(1-('Invoer gegevens (N)'!$F$20/12))*R117*MIN(BC117,BA117)</f>
        <v>0</v>
      </c>
      <c r="U117" s="86">
        <f ca="1">IF(BD117&lt;1,IF('Reeksen (N)'!AD117&lt;='Reeksen (N)'!AE117,R117*'Reeksen (N)'!C117,0),IF(BC117&gt;=BA117,0,IF('Reeksen (N)'!AD117&lt;='Reeksen (N)'!AE117,(BA117-BC117)*R117,0)))</f>
        <v>0</v>
      </c>
      <c r="V117" s="86">
        <f ca="1">IF(BD117&lt;1,IF('Reeksen (N)'!AD117&gt;'Reeksen (N)'!AE117,R117*'Reeksen (N)'!C117,0),IF(BC117&gt;=BA117,0,IF('Reeksen (N)'!AD117&gt;'Reeksen (N)'!AE117,(BA117-BC117)*R117,0)))</f>
        <v>0</v>
      </c>
      <c r="W117" s="218">
        <f t="shared" ca="1" si="23"/>
        <v>0</v>
      </c>
      <c r="X117" s="98">
        <f ca="1">IF('Invoer gegevens (N)'!$C$17=E117,'Invoer gegevens (N)'!$C$10-'Invoer gegevens (N)'!$C$11,IF(C117=1,AC116,0))</f>
        <v>0</v>
      </c>
      <c r="Y117" s="98">
        <f t="shared" ca="1" si="20"/>
        <v>0</v>
      </c>
      <c r="Z117" s="98">
        <f ca="1">(1-('Invoer gegevens (N)'!$F$20/12))*X117*MIN(BA117,BC117)</f>
        <v>0</v>
      </c>
      <c r="AA117" s="98">
        <f ca="1">IF(BD117&lt;1,IF('Reeksen (N)'!AD117&lt;='Reeksen (N)'!AE117,X117*'Reeksen (N)'!C117,0),IF(BC117&gt;=BA117,0,IF('Reeksen (N)'!AD117&lt;='Reeksen (N)'!AE117,(BA117-BC117)*X117,0)))</f>
        <v>0</v>
      </c>
      <c r="AB117" s="98">
        <f ca="1">IF(BD117&lt;1,IF('Reeksen (N)'!AD117&gt;'Reeksen (N)'!AE117,X117*'Reeksen (N)'!C117,0),IF(BC117&gt;=BA117,0,IF('Reeksen (N)'!AD117&gt;'Reeksen (N)'!AE117,(BA117-BC117)*X117,0)))</f>
        <v>0</v>
      </c>
      <c r="AC117" s="99">
        <f t="shared" ca="1" si="24"/>
        <v>0</v>
      </c>
      <c r="AD117" s="98">
        <f ca="1">IF('Invoer gegevens (N)'!$C$17=E117,R117,IF(C117=0,0,AE116))</f>
        <v>0</v>
      </c>
      <c r="AE117" s="98">
        <f t="shared" ca="1" si="25"/>
        <v>0</v>
      </c>
      <c r="AF117" s="98">
        <f ca="1">IF('Invoer gegevens (N)'!$C$17=E117,X117,IF(C117=0,0,AG116))</f>
        <v>0</v>
      </c>
      <c r="AG117" s="98">
        <f t="shared" ca="1" si="26"/>
        <v>0</v>
      </c>
      <c r="AH117" s="66"/>
      <c r="AI117" s="71">
        <f ca="1">IF(C117=1,'Reeksen (N)'!AI117*((F117+K117)/2)*12+'Reeksen (N)'!AD117*((L117+Q117)/2)*12,0)</f>
        <v>0</v>
      </c>
      <c r="AJ117" s="71">
        <f ca="1">-AI117*'Invoer gegevens (N)'!$F$28</f>
        <v>0</v>
      </c>
      <c r="AK117" s="71">
        <f t="shared" ca="1" si="27"/>
        <v>0</v>
      </c>
      <c r="AL117" s="71">
        <f ca="1">IF(C117=1,'Reeksen (N)'!AL117*((F117-G117+F117)/2)*12+'Reeksen (N)'!AM117*((L117-M117+L117)/2)*12,0)</f>
        <v>0</v>
      </c>
      <c r="AM117" s="71">
        <f ca="1">-AL117*'Invoer gegevens (N)'!$F$31</f>
        <v>0</v>
      </c>
      <c r="AN117" s="71">
        <f t="shared" ca="1" si="28"/>
        <v>0</v>
      </c>
      <c r="AO117" s="71">
        <f ca="1">IF(C117=1,(H117+J117+N117+P117)*'Reeksen (N)'!AN117,0)</f>
        <v>0</v>
      </c>
      <c r="AP117" s="71">
        <f ca="1">-IF(C117=1,(H117+J117+N117+P117)*'Hulp - basis'!$O$550*'Reeksen (N)'!H117,0)</f>
        <v>0</v>
      </c>
      <c r="AQ117" s="71">
        <f ca="1">-IF(C117=1,(F117+K117+L117+Q117)/2*'Invoer gegevens (N)'!$F$35*'Reeksen (N)'!J117,0)*2</f>
        <v>0</v>
      </c>
      <c r="AR117" s="71">
        <f ca="1">IF(BD117&lt;1,-IF(C117=1,(G117*'Invoer gegevens (N)'!$F$36)*'Reeksen (N)'!J117,0),0)</f>
        <v>0</v>
      </c>
      <c r="AS117" s="71">
        <f ca="1">-IF(C117=1,(F117+K117+L117+Q117)/2*'Invoer gegevens (N)'!$F$37*'Reeksen (N)'!L117,0)</f>
        <v>0</v>
      </c>
      <c r="AT117" s="71">
        <f ca="1">-IF(C117=1,IF(E117='Invoer gegevens (N)'!$C$17,'Invoer gegevens (N)'!$C$11,AD117)*'Reeksen (N)'!S117*'Invoer gegevens (N)'!$C$18*'Reeksen (N)'!P117,0)</f>
        <v>0</v>
      </c>
      <c r="AU117" s="71">
        <f ca="1">-IF(C117=1,(F117+K117+L117+Q117)/2*'Invoer gegevens (N)'!$F$38*'Reeksen (N)'!H117,0)</f>
        <v>0</v>
      </c>
      <c r="AV117" s="71">
        <v>0</v>
      </c>
      <c r="AW117" s="71">
        <f t="shared" ca="1" si="29"/>
        <v>0</v>
      </c>
      <c r="AX117" s="71">
        <f ca="1">IF(E117&lt;'Invoer gegevens (N)'!$C$17+15,0,IF(E117&gt;'Invoer gegevens (N)'!$C$17+215,0,AW117))</f>
        <v>0</v>
      </c>
      <c r="AY117" s="71">
        <f ca="1">AX117/(1+'Invoer gegevens (N)'!$F$18)^($AZ117-('Invoer gegevens (N)'!$C$17-'Invoer gegevens (N)'!$C$16))/(1+'Invoer gegevens (N)'!$C$39)^('Invoer gegevens (N)'!$C$17-'Invoer gegevens (N)'!$C$16)</f>
        <v>0</v>
      </c>
      <c r="AZ117" s="68">
        <f ca="1">IF(E117-'Invoer gegevens (N)'!$C$17-14.5&lt;0,0,E117-'Invoer gegevens (N)'!$C$17-14.5)</f>
        <v>97.5</v>
      </c>
      <c r="BA117" s="109">
        <f ca="1">IFERROR(VLOOKUP(E117-15,'Reeksen (N)'!$A$5:$D$234,2,FALSE),0)</f>
        <v>0</v>
      </c>
      <c r="BB117" s="109">
        <f ca="1">IFERROR(VLOOKUP(E117-15,'Reeksen (N)'!$A$5:$D$234,3,FALSE),0)</f>
        <v>0</v>
      </c>
      <c r="BC117" s="109">
        <f ca="1">IFERROR(VLOOKUP(E117-15,'Reeksen (N)'!$A$5:$D$234,4,FALSE),0)</f>
        <v>0</v>
      </c>
      <c r="BD117" s="67">
        <f ca="1">IF(E117-'Invoer gegevens (N)'!$C$17&lt;15,0,1)</f>
        <v>1</v>
      </c>
    </row>
    <row r="118" spans="1:56" x14ac:dyDescent="0.25">
      <c r="A118" s="59"/>
      <c r="B118" s="70">
        <f t="shared" si="30"/>
        <v>114</v>
      </c>
      <c r="C118" s="67">
        <f ca="1">IF(E118-'Invoer gegevens (N)'!$C$17&lt;0,0,1)</f>
        <v>1</v>
      </c>
      <c r="D118" s="68">
        <f t="shared" si="31"/>
        <v>113.5</v>
      </c>
      <c r="E118" s="108">
        <f ca="1">IF('Invoer gegevens (N)'!$C$16="","",E117+1)</f>
        <v>2132</v>
      </c>
      <c r="F118" s="84">
        <f ca="1">IF('Invoer gegevens (N)'!$C$17=E118,'Invoer gegevens (N)'!$C$10,IF(C118=1,K117,0))</f>
        <v>0</v>
      </c>
      <c r="G118" s="96">
        <f ca="1">IF(BD118&lt;1,F118*'Reeksen (N)'!C118,IF(C118&gt;=1,F118*BA118,0))</f>
        <v>0</v>
      </c>
      <c r="H118" s="84">
        <f ca="1">(1-('Invoer gegevens (N)'!$F$20/12))*F118*MIN(BA118,BC118)</f>
        <v>0</v>
      </c>
      <c r="I118" s="84">
        <f t="shared" ca="1" si="16"/>
        <v>0</v>
      </c>
      <c r="J118" s="84">
        <f ca="1">('Invoer gegevens (N)'!$F$20/12)*F117*MIN(BA118,BC118)</f>
        <v>0</v>
      </c>
      <c r="K118" s="97">
        <f t="shared" ca="1" si="21"/>
        <v>0</v>
      </c>
      <c r="L118" s="84">
        <f ca="1">IF('Invoer gegevens (N)'!$C$17=E118,0,IF(C118=1,Q117,0))</f>
        <v>0</v>
      </c>
      <c r="M118" s="96">
        <f t="shared" ca="1" si="17"/>
        <v>0</v>
      </c>
      <c r="N118" s="84">
        <f ca="1">(1-('Invoer gegevens (N)'!$F$20/12))*L118*MIN(BA118,BC118)</f>
        <v>0</v>
      </c>
      <c r="O118" s="84">
        <f t="shared" ca="1" si="18"/>
        <v>0</v>
      </c>
      <c r="P118" s="84">
        <f ca="1">('Invoer gegevens (N)'!$F$20/12)*L117*MIN(BA118,BC118)</f>
        <v>0</v>
      </c>
      <c r="Q118" s="84">
        <f t="shared" ca="1" si="22"/>
        <v>0</v>
      </c>
      <c r="R118" s="85">
        <f ca="1">IF('Invoer gegevens (N)'!$C$17=E118,'Invoer gegevens (N)'!$C$11,IF(C118=1,W117,0))</f>
        <v>0</v>
      </c>
      <c r="S118" s="86">
        <f t="shared" ca="1" si="19"/>
        <v>0</v>
      </c>
      <c r="T118" s="86">
        <f ca="1">(1-('Invoer gegevens (N)'!$F$20/12))*R118*MIN(BC118,BA118)</f>
        <v>0</v>
      </c>
      <c r="U118" s="86">
        <f ca="1">IF(BD118&lt;1,IF('Reeksen (N)'!AD118&lt;='Reeksen (N)'!AE118,R118*'Reeksen (N)'!C118,0),IF(BC118&gt;=BA118,0,IF('Reeksen (N)'!AD118&lt;='Reeksen (N)'!AE118,(BA118-BC118)*R118,0)))</f>
        <v>0</v>
      </c>
      <c r="V118" s="86">
        <f ca="1">IF(BD118&lt;1,IF('Reeksen (N)'!AD118&gt;'Reeksen (N)'!AE118,R118*'Reeksen (N)'!C118,0),IF(BC118&gt;=BA118,0,IF('Reeksen (N)'!AD118&gt;'Reeksen (N)'!AE118,(BA118-BC118)*R118,0)))</f>
        <v>0</v>
      </c>
      <c r="W118" s="218">
        <f t="shared" ca="1" si="23"/>
        <v>0</v>
      </c>
      <c r="X118" s="98">
        <f ca="1">IF('Invoer gegevens (N)'!$C$17=E118,'Invoer gegevens (N)'!$C$10-'Invoer gegevens (N)'!$C$11,IF(C118=1,AC117,0))</f>
        <v>0</v>
      </c>
      <c r="Y118" s="98">
        <f t="shared" ca="1" si="20"/>
        <v>0</v>
      </c>
      <c r="Z118" s="98">
        <f ca="1">(1-('Invoer gegevens (N)'!$F$20/12))*X118*MIN(BA118,BC118)</f>
        <v>0</v>
      </c>
      <c r="AA118" s="98">
        <f ca="1">IF(BD118&lt;1,IF('Reeksen (N)'!AD118&lt;='Reeksen (N)'!AE118,X118*'Reeksen (N)'!C118,0),IF(BC118&gt;=BA118,0,IF('Reeksen (N)'!AD118&lt;='Reeksen (N)'!AE118,(BA118-BC118)*X118,0)))</f>
        <v>0</v>
      </c>
      <c r="AB118" s="98">
        <f ca="1">IF(BD118&lt;1,IF('Reeksen (N)'!AD118&gt;'Reeksen (N)'!AE118,X118*'Reeksen (N)'!C118,0),IF(BC118&gt;=BA118,0,IF('Reeksen (N)'!AD118&gt;'Reeksen (N)'!AE118,(BA118-BC118)*X118,0)))</f>
        <v>0</v>
      </c>
      <c r="AC118" s="99">
        <f t="shared" ca="1" si="24"/>
        <v>0</v>
      </c>
      <c r="AD118" s="98">
        <f ca="1">IF('Invoer gegevens (N)'!$C$17=E118,R118,IF(C118=0,0,AE117))</f>
        <v>0</v>
      </c>
      <c r="AE118" s="98">
        <f t="shared" ca="1" si="25"/>
        <v>0</v>
      </c>
      <c r="AF118" s="98">
        <f ca="1">IF('Invoer gegevens (N)'!$C$17=E118,X118,IF(C118=0,0,AG117))</f>
        <v>0</v>
      </c>
      <c r="AG118" s="98">
        <f t="shared" ca="1" si="26"/>
        <v>0</v>
      </c>
      <c r="AH118" s="66"/>
      <c r="AI118" s="71">
        <f ca="1">IF(C118=1,'Reeksen (N)'!AI118*((F118+K118)/2)*12+'Reeksen (N)'!AD118*((L118+Q118)/2)*12,0)</f>
        <v>0</v>
      </c>
      <c r="AJ118" s="71">
        <f ca="1">-AI118*'Invoer gegevens (N)'!$F$28</f>
        <v>0</v>
      </c>
      <c r="AK118" s="71">
        <f t="shared" ca="1" si="27"/>
        <v>0</v>
      </c>
      <c r="AL118" s="71">
        <f ca="1">IF(C118=1,'Reeksen (N)'!AL118*((F118-G118+F118)/2)*12+'Reeksen (N)'!AM118*((L118-M118+L118)/2)*12,0)</f>
        <v>0</v>
      </c>
      <c r="AM118" s="71">
        <f ca="1">-AL118*'Invoer gegevens (N)'!$F$31</f>
        <v>0</v>
      </c>
      <c r="AN118" s="71">
        <f t="shared" ca="1" si="28"/>
        <v>0</v>
      </c>
      <c r="AO118" s="71">
        <f ca="1">IF(C118=1,(H118+J118+N118+P118)*'Reeksen (N)'!AN118,0)</f>
        <v>0</v>
      </c>
      <c r="AP118" s="71">
        <f ca="1">-IF(C118=1,(H118+J118+N118+P118)*'Hulp - basis'!$O$550*'Reeksen (N)'!H118,0)</f>
        <v>0</v>
      </c>
      <c r="AQ118" s="71">
        <f ca="1">-IF(C118=1,(F118+K118+L118+Q118)/2*'Invoer gegevens (N)'!$F$35*'Reeksen (N)'!J118,0)*2</f>
        <v>0</v>
      </c>
      <c r="AR118" s="71">
        <f ca="1">IF(BD118&lt;1,-IF(C118=1,(G118*'Invoer gegevens (N)'!$F$36)*'Reeksen (N)'!J118,0),0)</f>
        <v>0</v>
      </c>
      <c r="AS118" s="71">
        <f ca="1">-IF(C118=1,(F118+K118+L118+Q118)/2*'Invoer gegevens (N)'!$F$37*'Reeksen (N)'!L118,0)</f>
        <v>0</v>
      </c>
      <c r="AT118" s="71">
        <f ca="1">-IF(C118=1,IF(E118='Invoer gegevens (N)'!$C$17,'Invoer gegevens (N)'!$C$11,AD118)*'Reeksen (N)'!S118*'Invoer gegevens (N)'!$C$18*'Reeksen (N)'!P118,0)</f>
        <v>0</v>
      </c>
      <c r="AU118" s="71">
        <f ca="1">-IF(C118=1,(F118+K118+L118+Q118)/2*'Invoer gegevens (N)'!$F$38*'Reeksen (N)'!H118,0)</f>
        <v>0</v>
      </c>
      <c r="AV118" s="71">
        <v>0</v>
      </c>
      <c r="AW118" s="71">
        <f t="shared" ca="1" si="29"/>
        <v>0</v>
      </c>
      <c r="AX118" s="71">
        <f ca="1">IF(E118&lt;'Invoer gegevens (N)'!$C$17+15,0,IF(E118&gt;'Invoer gegevens (N)'!$C$17+215,0,AW118))</f>
        <v>0</v>
      </c>
      <c r="AY118" s="71">
        <f ca="1">AX118/(1+'Invoer gegevens (N)'!$F$18)^($AZ118-('Invoer gegevens (N)'!$C$17-'Invoer gegevens (N)'!$C$16))/(1+'Invoer gegevens (N)'!$C$39)^('Invoer gegevens (N)'!$C$17-'Invoer gegevens (N)'!$C$16)</f>
        <v>0</v>
      </c>
      <c r="AZ118" s="68">
        <f ca="1">IF(E118-'Invoer gegevens (N)'!$C$17-14.5&lt;0,0,E118-'Invoer gegevens (N)'!$C$17-14.5)</f>
        <v>98.5</v>
      </c>
      <c r="BA118" s="109">
        <f ca="1">IFERROR(VLOOKUP(E118-15,'Reeksen (N)'!$A$5:$D$234,2,FALSE),0)</f>
        <v>0</v>
      </c>
      <c r="BB118" s="109">
        <f ca="1">IFERROR(VLOOKUP(E118-15,'Reeksen (N)'!$A$5:$D$234,3,FALSE),0)</f>
        <v>0</v>
      </c>
      <c r="BC118" s="109">
        <f ca="1">IFERROR(VLOOKUP(E118-15,'Reeksen (N)'!$A$5:$D$234,4,FALSE),0)</f>
        <v>0</v>
      </c>
      <c r="BD118" s="67">
        <f ca="1">IF(E118-'Invoer gegevens (N)'!$C$17&lt;15,0,1)</f>
        <v>1</v>
      </c>
    </row>
    <row r="119" spans="1:56" x14ac:dyDescent="0.25">
      <c r="A119" s="59"/>
      <c r="B119" s="70">
        <f t="shared" si="30"/>
        <v>115</v>
      </c>
      <c r="C119" s="67">
        <f ca="1">IF(E119-'Invoer gegevens (N)'!$C$17&lt;0,0,1)</f>
        <v>1</v>
      </c>
      <c r="D119" s="68">
        <f t="shared" si="31"/>
        <v>114.5</v>
      </c>
      <c r="E119" s="108">
        <f ca="1">IF('Invoer gegevens (N)'!$C$16="","",E118+1)</f>
        <v>2133</v>
      </c>
      <c r="F119" s="84">
        <f ca="1">IF('Invoer gegevens (N)'!$C$17=E119,'Invoer gegevens (N)'!$C$10,IF(C119=1,K118,0))</f>
        <v>0</v>
      </c>
      <c r="G119" s="96">
        <f ca="1">IF(BD119&lt;1,F119*'Reeksen (N)'!C119,IF(C119&gt;=1,F119*BA119,0))</f>
        <v>0</v>
      </c>
      <c r="H119" s="84">
        <f ca="1">(1-('Invoer gegevens (N)'!$F$20/12))*F119*MIN(BA119,BC119)</f>
        <v>0</v>
      </c>
      <c r="I119" s="84">
        <f t="shared" ca="1" si="16"/>
        <v>0</v>
      </c>
      <c r="J119" s="84">
        <f ca="1">('Invoer gegevens (N)'!$F$20/12)*F118*MIN(BA119,BC119)</f>
        <v>0</v>
      </c>
      <c r="K119" s="97">
        <f t="shared" ca="1" si="21"/>
        <v>0</v>
      </c>
      <c r="L119" s="84">
        <f ca="1">IF('Invoer gegevens (N)'!$C$17=E119,0,IF(C119=1,Q118,0))</f>
        <v>0</v>
      </c>
      <c r="M119" s="96">
        <f t="shared" ca="1" si="17"/>
        <v>0</v>
      </c>
      <c r="N119" s="84">
        <f ca="1">(1-('Invoer gegevens (N)'!$F$20/12))*L119*MIN(BA119,BC119)</f>
        <v>0</v>
      </c>
      <c r="O119" s="84">
        <f t="shared" ca="1" si="18"/>
        <v>0</v>
      </c>
      <c r="P119" s="84">
        <f ca="1">('Invoer gegevens (N)'!$F$20/12)*L118*MIN(BA119,BC119)</f>
        <v>0</v>
      </c>
      <c r="Q119" s="84">
        <f t="shared" ca="1" si="22"/>
        <v>0</v>
      </c>
      <c r="R119" s="85">
        <f ca="1">IF('Invoer gegevens (N)'!$C$17=E119,'Invoer gegevens (N)'!$C$11,IF(C119=1,W118,0))</f>
        <v>0</v>
      </c>
      <c r="S119" s="86">
        <f t="shared" ca="1" si="19"/>
        <v>0</v>
      </c>
      <c r="T119" s="86">
        <f ca="1">(1-('Invoer gegevens (N)'!$F$20/12))*R119*MIN(BC119,BA119)</f>
        <v>0</v>
      </c>
      <c r="U119" s="86">
        <f ca="1">IF(BD119&lt;1,IF('Reeksen (N)'!AD119&lt;='Reeksen (N)'!AE119,R119*'Reeksen (N)'!C119,0),IF(BC119&gt;=BA119,0,IF('Reeksen (N)'!AD119&lt;='Reeksen (N)'!AE119,(BA119-BC119)*R119,0)))</f>
        <v>0</v>
      </c>
      <c r="V119" s="86">
        <f ca="1">IF(BD119&lt;1,IF('Reeksen (N)'!AD119&gt;'Reeksen (N)'!AE119,R119*'Reeksen (N)'!C119,0),IF(BC119&gt;=BA119,0,IF('Reeksen (N)'!AD119&gt;'Reeksen (N)'!AE119,(BA119-BC119)*R119,0)))</f>
        <v>0</v>
      </c>
      <c r="W119" s="218">
        <f t="shared" ca="1" si="23"/>
        <v>0</v>
      </c>
      <c r="X119" s="98">
        <f ca="1">IF('Invoer gegevens (N)'!$C$17=E119,'Invoer gegevens (N)'!$C$10-'Invoer gegevens (N)'!$C$11,IF(C119=1,AC118,0))</f>
        <v>0</v>
      </c>
      <c r="Y119" s="98">
        <f t="shared" ca="1" si="20"/>
        <v>0</v>
      </c>
      <c r="Z119" s="98">
        <f ca="1">(1-('Invoer gegevens (N)'!$F$20/12))*X119*MIN(BA119,BC119)</f>
        <v>0</v>
      </c>
      <c r="AA119" s="98">
        <f ca="1">IF(BD119&lt;1,IF('Reeksen (N)'!AD119&lt;='Reeksen (N)'!AE119,X119*'Reeksen (N)'!C119,0),IF(BC119&gt;=BA119,0,IF('Reeksen (N)'!AD119&lt;='Reeksen (N)'!AE119,(BA119-BC119)*X119,0)))</f>
        <v>0</v>
      </c>
      <c r="AB119" s="98">
        <f ca="1">IF(BD119&lt;1,IF('Reeksen (N)'!AD119&gt;'Reeksen (N)'!AE119,X119*'Reeksen (N)'!C119,0),IF(BC119&gt;=BA119,0,IF('Reeksen (N)'!AD119&gt;'Reeksen (N)'!AE119,(BA119-BC119)*X119,0)))</f>
        <v>0</v>
      </c>
      <c r="AC119" s="99">
        <f t="shared" ca="1" si="24"/>
        <v>0</v>
      </c>
      <c r="AD119" s="98">
        <f ca="1">IF('Invoer gegevens (N)'!$C$17=E119,R119,IF(C119=0,0,AE118))</f>
        <v>0</v>
      </c>
      <c r="AE119" s="98">
        <f t="shared" ca="1" si="25"/>
        <v>0</v>
      </c>
      <c r="AF119" s="98">
        <f ca="1">IF('Invoer gegevens (N)'!$C$17=E119,X119,IF(C119=0,0,AG118))</f>
        <v>0</v>
      </c>
      <c r="AG119" s="98">
        <f t="shared" ca="1" si="26"/>
        <v>0</v>
      </c>
      <c r="AH119" s="66"/>
      <c r="AI119" s="71">
        <f ca="1">IF(C119=1,'Reeksen (N)'!AI119*((F119+K119)/2)*12+'Reeksen (N)'!AD119*((L119+Q119)/2)*12,0)</f>
        <v>0</v>
      </c>
      <c r="AJ119" s="71">
        <f ca="1">-AI119*'Invoer gegevens (N)'!$F$28</f>
        <v>0</v>
      </c>
      <c r="AK119" s="71">
        <f t="shared" ca="1" si="27"/>
        <v>0</v>
      </c>
      <c r="AL119" s="71">
        <f ca="1">IF(C119=1,'Reeksen (N)'!AL119*((F119-G119+F119)/2)*12+'Reeksen (N)'!AM119*((L119-M119+L119)/2)*12,0)</f>
        <v>0</v>
      </c>
      <c r="AM119" s="71">
        <f ca="1">-AL119*'Invoer gegevens (N)'!$F$31</f>
        <v>0</v>
      </c>
      <c r="AN119" s="71">
        <f t="shared" ca="1" si="28"/>
        <v>0</v>
      </c>
      <c r="AO119" s="71">
        <f ca="1">IF(C119=1,(H119+J119+N119+P119)*'Reeksen (N)'!AN119,0)</f>
        <v>0</v>
      </c>
      <c r="AP119" s="71">
        <f ca="1">-IF(C119=1,(H119+J119+N119+P119)*'Hulp - basis'!$O$550*'Reeksen (N)'!H119,0)</f>
        <v>0</v>
      </c>
      <c r="AQ119" s="71">
        <f ca="1">-IF(C119=1,(F119+K119+L119+Q119)/2*'Invoer gegevens (N)'!$F$35*'Reeksen (N)'!J119,0)*2</f>
        <v>0</v>
      </c>
      <c r="AR119" s="71">
        <f ca="1">IF(BD119&lt;1,-IF(C119=1,(G119*'Invoer gegevens (N)'!$F$36)*'Reeksen (N)'!J119,0),0)</f>
        <v>0</v>
      </c>
      <c r="AS119" s="71">
        <f ca="1">-IF(C119=1,(F119+K119+L119+Q119)/2*'Invoer gegevens (N)'!$F$37*'Reeksen (N)'!L119,0)</f>
        <v>0</v>
      </c>
      <c r="AT119" s="71">
        <f ca="1">-IF(C119=1,IF(E119='Invoer gegevens (N)'!$C$17,'Invoer gegevens (N)'!$C$11,AD119)*'Reeksen (N)'!S119*'Invoer gegevens (N)'!$C$18*'Reeksen (N)'!P119,0)</f>
        <v>0</v>
      </c>
      <c r="AU119" s="71">
        <f ca="1">-IF(C119=1,(F119+K119+L119+Q119)/2*'Invoer gegevens (N)'!$F$38*'Reeksen (N)'!H119,0)</f>
        <v>0</v>
      </c>
      <c r="AV119" s="71">
        <v>0</v>
      </c>
      <c r="AW119" s="71">
        <f t="shared" ca="1" si="29"/>
        <v>0</v>
      </c>
      <c r="AX119" s="71">
        <f ca="1">IF(E119&lt;'Invoer gegevens (N)'!$C$17+15,0,IF(E119&gt;'Invoer gegevens (N)'!$C$17+215,0,AW119))</f>
        <v>0</v>
      </c>
      <c r="AY119" s="71">
        <f ca="1">AX119/(1+'Invoer gegevens (N)'!$F$18)^($AZ119-('Invoer gegevens (N)'!$C$17-'Invoer gegevens (N)'!$C$16))/(1+'Invoer gegevens (N)'!$C$39)^('Invoer gegevens (N)'!$C$17-'Invoer gegevens (N)'!$C$16)</f>
        <v>0</v>
      </c>
      <c r="AZ119" s="68">
        <f ca="1">IF(E119-'Invoer gegevens (N)'!$C$17-14.5&lt;0,0,E119-'Invoer gegevens (N)'!$C$17-14.5)</f>
        <v>99.5</v>
      </c>
      <c r="BA119" s="109">
        <f ca="1">IFERROR(VLOOKUP(E119-15,'Reeksen (N)'!$A$5:$D$234,2,FALSE),0)</f>
        <v>0</v>
      </c>
      <c r="BB119" s="109">
        <f ca="1">IFERROR(VLOOKUP(E119-15,'Reeksen (N)'!$A$5:$D$234,3,FALSE),0)</f>
        <v>0</v>
      </c>
      <c r="BC119" s="109">
        <f ca="1">IFERROR(VLOOKUP(E119-15,'Reeksen (N)'!$A$5:$D$234,4,FALSE),0)</f>
        <v>0</v>
      </c>
      <c r="BD119" s="67">
        <f ca="1">IF(E119-'Invoer gegevens (N)'!$C$17&lt;15,0,1)</f>
        <v>1</v>
      </c>
    </row>
    <row r="120" spans="1:56" x14ac:dyDescent="0.25">
      <c r="A120" s="59"/>
      <c r="B120" s="70">
        <f t="shared" si="30"/>
        <v>116</v>
      </c>
      <c r="C120" s="67">
        <f ca="1">IF(E120-'Invoer gegevens (N)'!$C$17&lt;0,0,1)</f>
        <v>1</v>
      </c>
      <c r="D120" s="68">
        <f t="shared" si="31"/>
        <v>115.5</v>
      </c>
      <c r="E120" s="108">
        <f ca="1">IF('Invoer gegevens (N)'!$C$16="","",E119+1)</f>
        <v>2134</v>
      </c>
      <c r="F120" s="84">
        <f ca="1">IF('Invoer gegevens (N)'!$C$17=E120,'Invoer gegevens (N)'!$C$10,IF(C120=1,K119,0))</f>
        <v>0</v>
      </c>
      <c r="G120" s="96">
        <f ca="1">IF(BD120&lt;1,F120*'Reeksen (N)'!C120,IF(C120&gt;=1,F120*BA120,0))</f>
        <v>0</v>
      </c>
      <c r="H120" s="84">
        <f ca="1">(1-('Invoer gegevens (N)'!$F$20/12))*F120*MIN(BA120,BC120)</f>
        <v>0</v>
      </c>
      <c r="I120" s="84">
        <f t="shared" ca="1" si="16"/>
        <v>0</v>
      </c>
      <c r="J120" s="84">
        <f ca="1">('Invoer gegevens (N)'!$F$20/12)*F119*MIN(BA120,BC120)</f>
        <v>0</v>
      </c>
      <c r="K120" s="97">
        <f t="shared" ca="1" si="21"/>
        <v>0</v>
      </c>
      <c r="L120" s="84">
        <f ca="1">IF('Invoer gegevens (N)'!$C$17=E120,0,IF(C120=1,Q119,0))</f>
        <v>0</v>
      </c>
      <c r="M120" s="96">
        <f t="shared" ca="1" si="17"/>
        <v>0</v>
      </c>
      <c r="N120" s="84">
        <f ca="1">(1-('Invoer gegevens (N)'!$F$20/12))*L120*MIN(BA120,BC120)</f>
        <v>0</v>
      </c>
      <c r="O120" s="84">
        <f t="shared" ca="1" si="18"/>
        <v>0</v>
      </c>
      <c r="P120" s="84">
        <f ca="1">('Invoer gegevens (N)'!$F$20/12)*L119*MIN(BA120,BC120)</f>
        <v>0</v>
      </c>
      <c r="Q120" s="84">
        <f t="shared" ca="1" si="22"/>
        <v>0</v>
      </c>
      <c r="R120" s="85">
        <f ca="1">IF('Invoer gegevens (N)'!$C$17=E120,'Invoer gegevens (N)'!$C$11,IF(C120=1,W119,0))</f>
        <v>0</v>
      </c>
      <c r="S120" s="86">
        <f t="shared" ca="1" si="19"/>
        <v>0</v>
      </c>
      <c r="T120" s="86">
        <f ca="1">(1-('Invoer gegevens (N)'!$F$20/12))*R120*MIN(BC120,BA120)</f>
        <v>0</v>
      </c>
      <c r="U120" s="86">
        <f ca="1">IF(BD120&lt;1,IF('Reeksen (N)'!AD120&lt;='Reeksen (N)'!AE120,R120*'Reeksen (N)'!C120,0),IF(BC120&gt;=BA120,0,IF('Reeksen (N)'!AD120&lt;='Reeksen (N)'!AE120,(BA120-BC120)*R120,0)))</f>
        <v>0</v>
      </c>
      <c r="V120" s="86">
        <f ca="1">IF(BD120&lt;1,IF('Reeksen (N)'!AD120&gt;'Reeksen (N)'!AE120,R120*'Reeksen (N)'!C120,0),IF(BC120&gt;=BA120,0,IF('Reeksen (N)'!AD120&gt;'Reeksen (N)'!AE120,(BA120-BC120)*R120,0)))</f>
        <v>0</v>
      </c>
      <c r="W120" s="218">
        <f t="shared" ca="1" si="23"/>
        <v>0</v>
      </c>
      <c r="X120" s="98">
        <f ca="1">IF('Invoer gegevens (N)'!$C$17=E120,'Invoer gegevens (N)'!$C$10-'Invoer gegevens (N)'!$C$11,IF(C120=1,AC119,0))</f>
        <v>0</v>
      </c>
      <c r="Y120" s="98">
        <f t="shared" ca="1" si="20"/>
        <v>0</v>
      </c>
      <c r="Z120" s="98">
        <f ca="1">(1-('Invoer gegevens (N)'!$F$20/12))*X120*MIN(BA120,BC120)</f>
        <v>0</v>
      </c>
      <c r="AA120" s="98">
        <f ca="1">IF(BD120&lt;1,IF('Reeksen (N)'!AD120&lt;='Reeksen (N)'!AE120,X120*'Reeksen (N)'!C120,0),IF(BC120&gt;=BA120,0,IF('Reeksen (N)'!AD120&lt;='Reeksen (N)'!AE120,(BA120-BC120)*X120,0)))</f>
        <v>0</v>
      </c>
      <c r="AB120" s="98">
        <f ca="1">IF(BD120&lt;1,IF('Reeksen (N)'!AD120&gt;'Reeksen (N)'!AE120,X120*'Reeksen (N)'!C120,0),IF(BC120&gt;=BA120,0,IF('Reeksen (N)'!AD120&gt;'Reeksen (N)'!AE120,(BA120-BC120)*X120,0)))</f>
        <v>0</v>
      </c>
      <c r="AC120" s="99">
        <f t="shared" ca="1" si="24"/>
        <v>0</v>
      </c>
      <c r="AD120" s="98">
        <f ca="1">IF('Invoer gegevens (N)'!$C$17=E120,R120,IF(C120=0,0,AE119))</f>
        <v>0</v>
      </c>
      <c r="AE120" s="98">
        <f t="shared" ca="1" si="25"/>
        <v>0</v>
      </c>
      <c r="AF120" s="98">
        <f ca="1">IF('Invoer gegevens (N)'!$C$17=E120,X120,IF(C120=0,0,AG119))</f>
        <v>0</v>
      </c>
      <c r="AG120" s="98">
        <f t="shared" ca="1" si="26"/>
        <v>0</v>
      </c>
      <c r="AH120" s="66"/>
      <c r="AI120" s="71">
        <f ca="1">IF(C120=1,'Reeksen (N)'!AI120*((F120+K120)/2)*12+'Reeksen (N)'!AD120*((L120+Q120)/2)*12,0)</f>
        <v>0</v>
      </c>
      <c r="AJ120" s="71">
        <f ca="1">-AI120*'Invoer gegevens (N)'!$F$28</f>
        <v>0</v>
      </c>
      <c r="AK120" s="71">
        <f t="shared" ca="1" si="27"/>
        <v>0</v>
      </c>
      <c r="AL120" s="71">
        <f ca="1">IF(C120=1,'Reeksen (N)'!AL120*((F120-G120+F120)/2)*12+'Reeksen (N)'!AM120*((L120-M120+L120)/2)*12,0)</f>
        <v>0</v>
      </c>
      <c r="AM120" s="71">
        <f ca="1">-AL120*'Invoer gegevens (N)'!$F$31</f>
        <v>0</v>
      </c>
      <c r="AN120" s="71">
        <f t="shared" ca="1" si="28"/>
        <v>0</v>
      </c>
      <c r="AO120" s="71">
        <f ca="1">IF(C120=1,(H120+J120+N120+P120)*'Reeksen (N)'!AN120,0)</f>
        <v>0</v>
      </c>
      <c r="AP120" s="71">
        <f ca="1">-IF(C120=1,(H120+J120+N120+P120)*'Hulp - basis'!$O$550*'Reeksen (N)'!H120,0)</f>
        <v>0</v>
      </c>
      <c r="AQ120" s="71">
        <f ca="1">-IF(C120=1,(F120+K120+L120+Q120)/2*'Invoer gegevens (N)'!$F$35*'Reeksen (N)'!J120,0)*2</f>
        <v>0</v>
      </c>
      <c r="AR120" s="71">
        <f ca="1">IF(BD120&lt;1,-IF(C120=1,(G120*'Invoer gegevens (N)'!$F$36)*'Reeksen (N)'!J120,0),0)</f>
        <v>0</v>
      </c>
      <c r="AS120" s="71">
        <f ca="1">-IF(C120=1,(F120+K120+L120+Q120)/2*'Invoer gegevens (N)'!$F$37*'Reeksen (N)'!L120,0)</f>
        <v>0</v>
      </c>
      <c r="AT120" s="71">
        <f ca="1">-IF(C120=1,IF(E120='Invoer gegevens (N)'!$C$17,'Invoer gegevens (N)'!$C$11,AD120)*'Reeksen (N)'!S120*'Invoer gegevens (N)'!$C$18*'Reeksen (N)'!P120,0)</f>
        <v>0</v>
      </c>
      <c r="AU120" s="71">
        <f ca="1">-IF(C120=1,(F120+K120+L120+Q120)/2*'Invoer gegevens (N)'!$F$38*'Reeksen (N)'!H120,0)</f>
        <v>0</v>
      </c>
      <c r="AV120" s="71">
        <v>0</v>
      </c>
      <c r="AW120" s="71">
        <f t="shared" ca="1" si="29"/>
        <v>0</v>
      </c>
      <c r="AX120" s="71">
        <f ca="1">IF(E120&lt;'Invoer gegevens (N)'!$C$17+15,0,IF(E120&gt;'Invoer gegevens (N)'!$C$17+215,0,AW120))</f>
        <v>0</v>
      </c>
      <c r="AY120" s="71">
        <f ca="1">AX120/(1+'Invoer gegevens (N)'!$F$18)^($AZ120-('Invoer gegevens (N)'!$C$17-'Invoer gegevens (N)'!$C$16))/(1+'Invoer gegevens (N)'!$C$39)^('Invoer gegevens (N)'!$C$17-'Invoer gegevens (N)'!$C$16)</f>
        <v>0</v>
      </c>
      <c r="AZ120" s="68">
        <f ca="1">IF(E120-'Invoer gegevens (N)'!$C$17-14.5&lt;0,0,E120-'Invoer gegevens (N)'!$C$17-14.5)</f>
        <v>100.5</v>
      </c>
      <c r="BA120" s="109">
        <f ca="1">IFERROR(VLOOKUP(E120-15,'Reeksen (N)'!$A$5:$D$234,2,FALSE),0)</f>
        <v>0</v>
      </c>
      <c r="BB120" s="109">
        <f ca="1">IFERROR(VLOOKUP(E120-15,'Reeksen (N)'!$A$5:$D$234,3,FALSE),0)</f>
        <v>0</v>
      </c>
      <c r="BC120" s="109">
        <f ca="1">IFERROR(VLOOKUP(E120-15,'Reeksen (N)'!$A$5:$D$234,4,FALSE),0)</f>
        <v>0</v>
      </c>
      <c r="BD120" s="67">
        <f ca="1">IF(E120-'Invoer gegevens (N)'!$C$17&lt;15,0,1)</f>
        <v>1</v>
      </c>
    </row>
    <row r="121" spans="1:56" x14ac:dyDescent="0.25">
      <c r="A121" s="59"/>
      <c r="B121" s="70">
        <f t="shared" si="30"/>
        <v>117</v>
      </c>
      <c r="C121" s="67">
        <f ca="1">IF(E121-'Invoer gegevens (N)'!$C$17&lt;0,0,1)</f>
        <v>1</v>
      </c>
      <c r="D121" s="68">
        <f t="shared" si="31"/>
        <v>116.5</v>
      </c>
      <c r="E121" s="108">
        <f ca="1">IF('Invoer gegevens (N)'!$C$16="","",E120+1)</f>
        <v>2135</v>
      </c>
      <c r="F121" s="84">
        <f ca="1">IF('Invoer gegevens (N)'!$C$17=E121,'Invoer gegevens (N)'!$C$10,IF(C121=1,K120,0))</f>
        <v>0</v>
      </c>
      <c r="G121" s="96">
        <f ca="1">IF(BD121&lt;1,F121*'Reeksen (N)'!C121,IF(C121&gt;=1,F121*BA121,0))</f>
        <v>0</v>
      </c>
      <c r="H121" s="84">
        <f ca="1">(1-('Invoer gegevens (N)'!$F$20/12))*F121*MIN(BA121,BC121)</f>
        <v>0</v>
      </c>
      <c r="I121" s="84">
        <f t="shared" ca="1" si="16"/>
        <v>0</v>
      </c>
      <c r="J121" s="84">
        <f ca="1">('Invoer gegevens (N)'!$F$20/12)*F120*MIN(BA121,BC121)</f>
        <v>0</v>
      </c>
      <c r="K121" s="97">
        <f t="shared" ca="1" si="21"/>
        <v>0</v>
      </c>
      <c r="L121" s="84">
        <f ca="1">IF('Invoer gegevens (N)'!$C$17=E121,0,IF(C121=1,Q120,0))</f>
        <v>0</v>
      </c>
      <c r="M121" s="96">
        <f t="shared" ca="1" si="17"/>
        <v>0</v>
      </c>
      <c r="N121" s="84">
        <f ca="1">(1-('Invoer gegevens (N)'!$F$20/12))*L121*MIN(BA121,BC121)</f>
        <v>0</v>
      </c>
      <c r="O121" s="84">
        <f t="shared" ca="1" si="18"/>
        <v>0</v>
      </c>
      <c r="P121" s="84">
        <f ca="1">('Invoer gegevens (N)'!$F$20/12)*L120*MIN(BA121,BC121)</f>
        <v>0</v>
      </c>
      <c r="Q121" s="84">
        <f t="shared" ca="1" si="22"/>
        <v>0</v>
      </c>
      <c r="R121" s="85">
        <f ca="1">IF('Invoer gegevens (N)'!$C$17=E121,'Invoer gegevens (N)'!$C$11,IF(C121=1,W120,0))</f>
        <v>0</v>
      </c>
      <c r="S121" s="86">
        <f t="shared" ca="1" si="19"/>
        <v>0</v>
      </c>
      <c r="T121" s="86">
        <f ca="1">(1-('Invoer gegevens (N)'!$F$20/12))*R121*MIN(BC121,BA121)</f>
        <v>0</v>
      </c>
      <c r="U121" s="86">
        <f ca="1">IF(BD121&lt;1,IF('Reeksen (N)'!AD121&lt;='Reeksen (N)'!AE121,R121*'Reeksen (N)'!C121,0),IF(BC121&gt;=BA121,0,IF('Reeksen (N)'!AD121&lt;='Reeksen (N)'!AE121,(BA121-BC121)*R121,0)))</f>
        <v>0</v>
      </c>
      <c r="V121" s="86">
        <f ca="1">IF(BD121&lt;1,IF('Reeksen (N)'!AD121&gt;'Reeksen (N)'!AE121,R121*'Reeksen (N)'!C121,0),IF(BC121&gt;=BA121,0,IF('Reeksen (N)'!AD121&gt;'Reeksen (N)'!AE121,(BA121-BC121)*R121,0)))</f>
        <v>0</v>
      </c>
      <c r="W121" s="218">
        <f t="shared" ca="1" si="23"/>
        <v>0</v>
      </c>
      <c r="X121" s="98">
        <f ca="1">IF('Invoer gegevens (N)'!$C$17=E121,'Invoer gegevens (N)'!$C$10-'Invoer gegevens (N)'!$C$11,IF(C121=1,AC120,0))</f>
        <v>0</v>
      </c>
      <c r="Y121" s="98">
        <f t="shared" ca="1" si="20"/>
        <v>0</v>
      </c>
      <c r="Z121" s="98">
        <f ca="1">(1-('Invoer gegevens (N)'!$F$20/12))*X121*MIN(BA121,BC121)</f>
        <v>0</v>
      </c>
      <c r="AA121" s="98">
        <f ca="1">IF(BD121&lt;1,IF('Reeksen (N)'!AD121&lt;='Reeksen (N)'!AE121,X121*'Reeksen (N)'!C121,0),IF(BC121&gt;=BA121,0,IF('Reeksen (N)'!AD121&lt;='Reeksen (N)'!AE121,(BA121-BC121)*X121,0)))</f>
        <v>0</v>
      </c>
      <c r="AB121" s="98">
        <f ca="1">IF(BD121&lt;1,IF('Reeksen (N)'!AD121&gt;'Reeksen (N)'!AE121,X121*'Reeksen (N)'!C121,0),IF(BC121&gt;=BA121,0,IF('Reeksen (N)'!AD121&gt;'Reeksen (N)'!AE121,(BA121-BC121)*X121,0)))</f>
        <v>0</v>
      </c>
      <c r="AC121" s="99">
        <f t="shared" ca="1" si="24"/>
        <v>0</v>
      </c>
      <c r="AD121" s="98">
        <f ca="1">IF('Invoer gegevens (N)'!$C$17=E121,R121,IF(C121=0,0,AE120))</f>
        <v>0</v>
      </c>
      <c r="AE121" s="98">
        <f t="shared" ca="1" si="25"/>
        <v>0</v>
      </c>
      <c r="AF121" s="98">
        <f ca="1">IF('Invoer gegevens (N)'!$C$17=E121,X121,IF(C121=0,0,AG120))</f>
        <v>0</v>
      </c>
      <c r="AG121" s="98">
        <f t="shared" ca="1" si="26"/>
        <v>0</v>
      </c>
      <c r="AH121" s="66"/>
      <c r="AI121" s="71">
        <f ca="1">IF(C121=1,'Reeksen (N)'!AI121*((F121+K121)/2)*12+'Reeksen (N)'!AD121*((L121+Q121)/2)*12,0)</f>
        <v>0</v>
      </c>
      <c r="AJ121" s="71">
        <f ca="1">-AI121*'Invoer gegevens (N)'!$F$28</f>
        <v>0</v>
      </c>
      <c r="AK121" s="71">
        <f t="shared" ca="1" si="27"/>
        <v>0</v>
      </c>
      <c r="AL121" s="71">
        <f ca="1">IF(C121=1,'Reeksen (N)'!AL121*((F121-G121+F121)/2)*12+'Reeksen (N)'!AM121*((L121-M121+L121)/2)*12,0)</f>
        <v>0</v>
      </c>
      <c r="AM121" s="71">
        <f ca="1">-AL121*'Invoer gegevens (N)'!$F$31</f>
        <v>0</v>
      </c>
      <c r="AN121" s="71">
        <f t="shared" ca="1" si="28"/>
        <v>0</v>
      </c>
      <c r="AO121" s="71">
        <f ca="1">IF(C121=1,(H121+J121+N121+P121)*'Reeksen (N)'!AN121,0)</f>
        <v>0</v>
      </c>
      <c r="AP121" s="71">
        <f ca="1">-IF(C121=1,(H121+J121+N121+P121)*'Hulp - basis'!$O$550*'Reeksen (N)'!H121,0)</f>
        <v>0</v>
      </c>
      <c r="AQ121" s="71">
        <f ca="1">-IF(C121=1,(F121+K121+L121+Q121)/2*'Invoer gegevens (N)'!$F$35*'Reeksen (N)'!J121,0)*2</f>
        <v>0</v>
      </c>
      <c r="AR121" s="71">
        <f ca="1">IF(BD121&lt;1,-IF(C121=1,(G121*'Invoer gegevens (N)'!$F$36)*'Reeksen (N)'!J121,0),0)</f>
        <v>0</v>
      </c>
      <c r="AS121" s="71">
        <f ca="1">-IF(C121=1,(F121+K121+L121+Q121)/2*'Invoer gegevens (N)'!$F$37*'Reeksen (N)'!L121,0)</f>
        <v>0</v>
      </c>
      <c r="AT121" s="71">
        <f ca="1">-IF(C121=1,IF(E121='Invoer gegevens (N)'!$C$17,'Invoer gegevens (N)'!$C$11,AD121)*'Reeksen (N)'!S121*'Invoer gegevens (N)'!$C$18*'Reeksen (N)'!P121,0)</f>
        <v>0</v>
      </c>
      <c r="AU121" s="71">
        <f ca="1">-IF(C121=1,(F121+K121+L121+Q121)/2*'Invoer gegevens (N)'!$F$38*'Reeksen (N)'!H121,0)</f>
        <v>0</v>
      </c>
      <c r="AV121" s="71">
        <v>0</v>
      </c>
      <c r="AW121" s="71">
        <f t="shared" ca="1" si="29"/>
        <v>0</v>
      </c>
      <c r="AX121" s="71">
        <f ca="1">IF(E121&lt;'Invoer gegevens (N)'!$C$17+15,0,IF(E121&gt;'Invoer gegevens (N)'!$C$17+215,0,AW121))</f>
        <v>0</v>
      </c>
      <c r="AY121" s="71">
        <f ca="1">AX121/(1+'Invoer gegevens (N)'!$F$18)^($AZ121-('Invoer gegevens (N)'!$C$17-'Invoer gegevens (N)'!$C$16))/(1+'Invoer gegevens (N)'!$C$39)^('Invoer gegevens (N)'!$C$17-'Invoer gegevens (N)'!$C$16)</f>
        <v>0</v>
      </c>
      <c r="AZ121" s="68">
        <f ca="1">IF(E121-'Invoer gegevens (N)'!$C$17-14.5&lt;0,0,E121-'Invoer gegevens (N)'!$C$17-14.5)</f>
        <v>101.5</v>
      </c>
      <c r="BA121" s="109">
        <f ca="1">IFERROR(VLOOKUP(E121-15,'Reeksen (N)'!$A$5:$D$234,2,FALSE),0)</f>
        <v>0</v>
      </c>
      <c r="BB121" s="109">
        <f ca="1">IFERROR(VLOOKUP(E121-15,'Reeksen (N)'!$A$5:$D$234,3,FALSE),0)</f>
        <v>0</v>
      </c>
      <c r="BC121" s="109">
        <f ca="1">IFERROR(VLOOKUP(E121-15,'Reeksen (N)'!$A$5:$D$234,4,FALSE),0)</f>
        <v>0</v>
      </c>
      <c r="BD121" s="67">
        <f ca="1">IF(E121-'Invoer gegevens (N)'!$C$17&lt;15,0,1)</f>
        <v>1</v>
      </c>
    </row>
    <row r="122" spans="1:56" x14ac:dyDescent="0.25">
      <c r="A122" s="59"/>
      <c r="B122" s="70">
        <f t="shared" si="30"/>
        <v>118</v>
      </c>
      <c r="C122" s="67">
        <f ca="1">IF(E122-'Invoer gegevens (N)'!$C$17&lt;0,0,1)</f>
        <v>1</v>
      </c>
      <c r="D122" s="68">
        <f t="shared" si="31"/>
        <v>117.5</v>
      </c>
      <c r="E122" s="108">
        <f ca="1">IF('Invoer gegevens (N)'!$C$16="","",E121+1)</f>
        <v>2136</v>
      </c>
      <c r="F122" s="84">
        <f ca="1">IF('Invoer gegevens (N)'!$C$17=E122,'Invoer gegevens (N)'!$C$10,IF(C122=1,K121,0))</f>
        <v>0</v>
      </c>
      <c r="G122" s="96">
        <f ca="1">IF(BD122&lt;1,F122*'Reeksen (N)'!C122,IF(C122&gt;=1,F122*BA122,0))</f>
        <v>0</v>
      </c>
      <c r="H122" s="84">
        <f ca="1">(1-('Invoer gegevens (N)'!$F$20/12))*F122*MIN(BA122,BC122)</f>
        <v>0</v>
      </c>
      <c r="I122" s="84">
        <f t="shared" ca="1" si="16"/>
        <v>0</v>
      </c>
      <c r="J122" s="84">
        <f ca="1">('Invoer gegevens (N)'!$F$20/12)*F121*MIN(BA122,BC122)</f>
        <v>0</v>
      </c>
      <c r="K122" s="97">
        <f t="shared" ca="1" si="21"/>
        <v>0</v>
      </c>
      <c r="L122" s="84">
        <f ca="1">IF('Invoer gegevens (N)'!$C$17=E122,0,IF(C122=1,Q121,0))</f>
        <v>0</v>
      </c>
      <c r="M122" s="96">
        <f t="shared" ca="1" si="17"/>
        <v>0</v>
      </c>
      <c r="N122" s="84">
        <f ca="1">(1-('Invoer gegevens (N)'!$F$20/12))*L122*MIN(BA122,BC122)</f>
        <v>0</v>
      </c>
      <c r="O122" s="84">
        <f t="shared" ca="1" si="18"/>
        <v>0</v>
      </c>
      <c r="P122" s="84">
        <f ca="1">('Invoer gegevens (N)'!$F$20/12)*L121*MIN(BA122,BC122)</f>
        <v>0</v>
      </c>
      <c r="Q122" s="84">
        <f t="shared" ca="1" si="22"/>
        <v>0</v>
      </c>
      <c r="R122" s="85">
        <f ca="1">IF('Invoer gegevens (N)'!$C$17=E122,'Invoer gegevens (N)'!$C$11,IF(C122=1,W121,0))</f>
        <v>0</v>
      </c>
      <c r="S122" s="86">
        <f t="shared" ca="1" si="19"/>
        <v>0</v>
      </c>
      <c r="T122" s="86">
        <f ca="1">(1-('Invoer gegevens (N)'!$F$20/12))*R122*MIN(BC122,BA122)</f>
        <v>0</v>
      </c>
      <c r="U122" s="86">
        <f ca="1">IF(BD122&lt;1,IF('Reeksen (N)'!AD122&lt;='Reeksen (N)'!AE122,R122*'Reeksen (N)'!C122,0),IF(BC122&gt;=BA122,0,IF('Reeksen (N)'!AD122&lt;='Reeksen (N)'!AE122,(BA122-BC122)*R122,0)))</f>
        <v>0</v>
      </c>
      <c r="V122" s="86">
        <f ca="1">IF(BD122&lt;1,IF('Reeksen (N)'!AD122&gt;'Reeksen (N)'!AE122,R122*'Reeksen (N)'!C122,0),IF(BC122&gt;=BA122,0,IF('Reeksen (N)'!AD122&gt;'Reeksen (N)'!AE122,(BA122-BC122)*R122,0)))</f>
        <v>0</v>
      </c>
      <c r="W122" s="218">
        <f t="shared" ca="1" si="23"/>
        <v>0</v>
      </c>
      <c r="X122" s="98">
        <f ca="1">IF('Invoer gegevens (N)'!$C$17=E122,'Invoer gegevens (N)'!$C$10-'Invoer gegevens (N)'!$C$11,IF(C122=1,AC121,0))</f>
        <v>0</v>
      </c>
      <c r="Y122" s="98">
        <f t="shared" ca="1" si="20"/>
        <v>0</v>
      </c>
      <c r="Z122" s="98">
        <f ca="1">(1-('Invoer gegevens (N)'!$F$20/12))*X122*MIN(BA122,BC122)</f>
        <v>0</v>
      </c>
      <c r="AA122" s="98">
        <f ca="1">IF(BD122&lt;1,IF('Reeksen (N)'!AD122&lt;='Reeksen (N)'!AE122,X122*'Reeksen (N)'!C122,0),IF(BC122&gt;=BA122,0,IF('Reeksen (N)'!AD122&lt;='Reeksen (N)'!AE122,(BA122-BC122)*X122,0)))</f>
        <v>0</v>
      </c>
      <c r="AB122" s="98">
        <f ca="1">IF(BD122&lt;1,IF('Reeksen (N)'!AD122&gt;'Reeksen (N)'!AE122,X122*'Reeksen (N)'!C122,0),IF(BC122&gt;=BA122,0,IF('Reeksen (N)'!AD122&gt;'Reeksen (N)'!AE122,(BA122-BC122)*X122,0)))</f>
        <v>0</v>
      </c>
      <c r="AC122" s="99">
        <f t="shared" ca="1" si="24"/>
        <v>0</v>
      </c>
      <c r="AD122" s="98">
        <f ca="1">IF('Invoer gegevens (N)'!$C$17=E122,R122,IF(C122=0,0,AE121))</f>
        <v>0</v>
      </c>
      <c r="AE122" s="98">
        <f t="shared" ca="1" si="25"/>
        <v>0</v>
      </c>
      <c r="AF122" s="98">
        <f ca="1">IF('Invoer gegevens (N)'!$C$17=E122,X122,IF(C122=0,0,AG121))</f>
        <v>0</v>
      </c>
      <c r="AG122" s="98">
        <f t="shared" ca="1" si="26"/>
        <v>0</v>
      </c>
      <c r="AH122" s="66"/>
      <c r="AI122" s="71">
        <f ca="1">IF(C122=1,'Reeksen (N)'!AI122*((F122+K122)/2)*12+'Reeksen (N)'!AD122*((L122+Q122)/2)*12,0)</f>
        <v>0</v>
      </c>
      <c r="AJ122" s="71">
        <f ca="1">-AI122*'Invoer gegevens (N)'!$F$28</f>
        <v>0</v>
      </c>
      <c r="AK122" s="71">
        <f t="shared" ca="1" si="27"/>
        <v>0</v>
      </c>
      <c r="AL122" s="71">
        <f ca="1">IF(C122=1,'Reeksen (N)'!AL122*((F122-G122+F122)/2)*12+'Reeksen (N)'!AM122*((L122-M122+L122)/2)*12,0)</f>
        <v>0</v>
      </c>
      <c r="AM122" s="71">
        <f ca="1">-AL122*'Invoer gegevens (N)'!$F$31</f>
        <v>0</v>
      </c>
      <c r="AN122" s="71">
        <f t="shared" ca="1" si="28"/>
        <v>0</v>
      </c>
      <c r="AO122" s="71">
        <f ca="1">IF(C122=1,(H122+J122+N122+P122)*'Reeksen (N)'!AN122,0)</f>
        <v>0</v>
      </c>
      <c r="AP122" s="71">
        <f ca="1">-IF(C122=1,(H122+J122+N122+P122)*'Hulp - basis'!$O$550*'Reeksen (N)'!H122,0)</f>
        <v>0</v>
      </c>
      <c r="AQ122" s="71">
        <f ca="1">-IF(C122=1,(F122+K122+L122+Q122)/2*'Invoer gegevens (N)'!$F$35*'Reeksen (N)'!J122,0)*2</f>
        <v>0</v>
      </c>
      <c r="AR122" s="71">
        <f ca="1">IF(BD122&lt;1,-IF(C122=1,(G122*'Invoer gegevens (N)'!$F$36)*'Reeksen (N)'!J122,0),0)</f>
        <v>0</v>
      </c>
      <c r="AS122" s="71">
        <f ca="1">-IF(C122=1,(F122+K122+L122+Q122)/2*'Invoer gegevens (N)'!$F$37*'Reeksen (N)'!L122,0)</f>
        <v>0</v>
      </c>
      <c r="AT122" s="71">
        <f ca="1">-IF(C122=1,IF(E122='Invoer gegevens (N)'!$C$17,'Invoer gegevens (N)'!$C$11,AD122)*'Reeksen (N)'!S122*'Invoer gegevens (N)'!$C$18*'Reeksen (N)'!P122,0)</f>
        <v>0</v>
      </c>
      <c r="AU122" s="71">
        <f ca="1">-IF(C122=1,(F122+K122+L122+Q122)/2*'Invoer gegevens (N)'!$F$38*'Reeksen (N)'!H122,0)</f>
        <v>0</v>
      </c>
      <c r="AV122" s="71">
        <v>0</v>
      </c>
      <c r="AW122" s="71">
        <f t="shared" ca="1" si="29"/>
        <v>0</v>
      </c>
      <c r="AX122" s="71">
        <f ca="1">IF(E122&lt;'Invoer gegevens (N)'!$C$17+15,0,IF(E122&gt;'Invoer gegevens (N)'!$C$17+215,0,AW122))</f>
        <v>0</v>
      </c>
      <c r="AY122" s="71">
        <f ca="1">AX122/(1+'Invoer gegevens (N)'!$F$18)^($AZ122-('Invoer gegevens (N)'!$C$17-'Invoer gegevens (N)'!$C$16))/(1+'Invoer gegevens (N)'!$C$39)^('Invoer gegevens (N)'!$C$17-'Invoer gegevens (N)'!$C$16)</f>
        <v>0</v>
      </c>
      <c r="AZ122" s="68">
        <f ca="1">IF(E122-'Invoer gegevens (N)'!$C$17-14.5&lt;0,0,E122-'Invoer gegevens (N)'!$C$17-14.5)</f>
        <v>102.5</v>
      </c>
      <c r="BA122" s="109">
        <f ca="1">IFERROR(VLOOKUP(E122-15,'Reeksen (N)'!$A$5:$D$234,2,FALSE),0)</f>
        <v>0</v>
      </c>
      <c r="BB122" s="109">
        <f ca="1">IFERROR(VLOOKUP(E122-15,'Reeksen (N)'!$A$5:$D$234,3,FALSE),0)</f>
        <v>0</v>
      </c>
      <c r="BC122" s="109">
        <f ca="1">IFERROR(VLOOKUP(E122-15,'Reeksen (N)'!$A$5:$D$234,4,FALSE),0)</f>
        <v>0</v>
      </c>
      <c r="BD122" s="67">
        <f ca="1">IF(E122-'Invoer gegevens (N)'!$C$17&lt;15,0,1)</f>
        <v>1</v>
      </c>
    </row>
    <row r="123" spans="1:56" x14ac:dyDescent="0.25">
      <c r="A123" s="59"/>
      <c r="B123" s="70">
        <f t="shared" si="30"/>
        <v>119</v>
      </c>
      <c r="C123" s="67">
        <f ca="1">IF(E123-'Invoer gegevens (N)'!$C$17&lt;0,0,1)</f>
        <v>1</v>
      </c>
      <c r="D123" s="68">
        <f t="shared" si="31"/>
        <v>118.5</v>
      </c>
      <c r="E123" s="108">
        <f ca="1">IF('Invoer gegevens (N)'!$C$16="","",E122+1)</f>
        <v>2137</v>
      </c>
      <c r="F123" s="84">
        <f ca="1">IF('Invoer gegevens (N)'!$C$17=E123,'Invoer gegevens (N)'!$C$10,IF(C123=1,K122,0))</f>
        <v>0</v>
      </c>
      <c r="G123" s="96">
        <f ca="1">IF(BD123&lt;1,F123*'Reeksen (N)'!C123,IF(C123&gt;=1,F123*BA123,0))</f>
        <v>0</v>
      </c>
      <c r="H123" s="84">
        <f ca="1">(1-('Invoer gegevens (N)'!$F$20/12))*F123*MIN(BA123,BC123)</f>
        <v>0</v>
      </c>
      <c r="I123" s="84">
        <f t="shared" ca="1" si="16"/>
        <v>0</v>
      </c>
      <c r="J123" s="84">
        <f ca="1">('Invoer gegevens (N)'!$F$20/12)*F122*MIN(BA123,BC123)</f>
        <v>0</v>
      </c>
      <c r="K123" s="97">
        <f t="shared" ca="1" si="21"/>
        <v>0</v>
      </c>
      <c r="L123" s="84">
        <f ca="1">IF('Invoer gegevens (N)'!$C$17=E123,0,IF(C123=1,Q122,0))</f>
        <v>0</v>
      </c>
      <c r="M123" s="96">
        <f t="shared" ca="1" si="17"/>
        <v>0</v>
      </c>
      <c r="N123" s="84">
        <f ca="1">(1-('Invoer gegevens (N)'!$F$20/12))*L123*MIN(BA123,BC123)</f>
        <v>0</v>
      </c>
      <c r="O123" s="84">
        <f t="shared" ca="1" si="18"/>
        <v>0</v>
      </c>
      <c r="P123" s="84">
        <f ca="1">('Invoer gegevens (N)'!$F$20/12)*L122*MIN(BA123,BC123)</f>
        <v>0</v>
      </c>
      <c r="Q123" s="84">
        <f t="shared" ca="1" si="22"/>
        <v>0</v>
      </c>
      <c r="R123" s="85">
        <f ca="1">IF('Invoer gegevens (N)'!$C$17=E123,'Invoer gegevens (N)'!$C$11,IF(C123=1,W122,0))</f>
        <v>0</v>
      </c>
      <c r="S123" s="86">
        <f t="shared" ca="1" si="19"/>
        <v>0</v>
      </c>
      <c r="T123" s="86">
        <f ca="1">(1-('Invoer gegevens (N)'!$F$20/12))*R123*MIN(BC123,BA123)</f>
        <v>0</v>
      </c>
      <c r="U123" s="86">
        <f ca="1">IF(BD123&lt;1,IF('Reeksen (N)'!AD123&lt;='Reeksen (N)'!AE123,R123*'Reeksen (N)'!C123,0),IF(BC123&gt;=BA123,0,IF('Reeksen (N)'!AD123&lt;='Reeksen (N)'!AE123,(BA123-BC123)*R123,0)))</f>
        <v>0</v>
      </c>
      <c r="V123" s="86">
        <f ca="1">IF(BD123&lt;1,IF('Reeksen (N)'!AD123&gt;'Reeksen (N)'!AE123,R123*'Reeksen (N)'!C123,0),IF(BC123&gt;=BA123,0,IF('Reeksen (N)'!AD123&gt;'Reeksen (N)'!AE123,(BA123-BC123)*R123,0)))</f>
        <v>0</v>
      </c>
      <c r="W123" s="218">
        <f t="shared" ca="1" si="23"/>
        <v>0</v>
      </c>
      <c r="X123" s="98">
        <f ca="1">IF('Invoer gegevens (N)'!$C$17=E123,'Invoer gegevens (N)'!$C$10-'Invoer gegevens (N)'!$C$11,IF(C123=1,AC122,0))</f>
        <v>0</v>
      </c>
      <c r="Y123" s="98">
        <f t="shared" ca="1" si="20"/>
        <v>0</v>
      </c>
      <c r="Z123" s="98">
        <f ca="1">(1-('Invoer gegevens (N)'!$F$20/12))*X123*MIN(BA123,BC123)</f>
        <v>0</v>
      </c>
      <c r="AA123" s="98">
        <f ca="1">IF(BD123&lt;1,IF('Reeksen (N)'!AD123&lt;='Reeksen (N)'!AE123,X123*'Reeksen (N)'!C123,0),IF(BC123&gt;=BA123,0,IF('Reeksen (N)'!AD123&lt;='Reeksen (N)'!AE123,(BA123-BC123)*X123,0)))</f>
        <v>0</v>
      </c>
      <c r="AB123" s="98">
        <f ca="1">IF(BD123&lt;1,IF('Reeksen (N)'!AD123&gt;'Reeksen (N)'!AE123,X123*'Reeksen (N)'!C123,0),IF(BC123&gt;=BA123,0,IF('Reeksen (N)'!AD123&gt;'Reeksen (N)'!AE123,(BA123-BC123)*X123,0)))</f>
        <v>0</v>
      </c>
      <c r="AC123" s="99">
        <f t="shared" ca="1" si="24"/>
        <v>0</v>
      </c>
      <c r="AD123" s="98">
        <f ca="1">IF('Invoer gegevens (N)'!$C$17=E123,R123,IF(C123=0,0,AE122))</f>
        <v>0</v>
      </c>
      <c r="AE123" s="98">
        <f t="shared" ca="1" si="25"/>
        <v>0</v>
      </c>
      <c r="AF123" s="98">
        <f ca="1">IF('Invoer gegevens (N)'!$C$17=E123,X123,IF(C123=0,0,AG122))</f>
        <v>0</v>
      </c>
      <c r="AG123" s="98">
        <f t="shared" ca="1" si="26"/>
        <v>0</v>
      </c>
      <c r="AH123" s="66"/>
      <c r="AI123" s="71">
        <f ca="1">IF(C123=1,'Reeksen (N)'!AI123*((F123+K123)/2)*12+'Reeksen (N)'!AD123*((L123+Q123)/2)*12,0)</f>
        <v>0</v>
      </c>
      <c r="AJ123" s="71">
        <f ca="1">-AI123*'Invoer gegevens (N)'!$F$28</f>
        <v>0</v>
      </c>
      <c r="AK123" s="71">
        <f t="shared" ca="1" si="27"/>
        <v>0</v>
      </c>
      <c r="AL123" s="71">
        <f ca="1">IF(C123=1,'Reeksen (N)'!AL123*((F123-G123+F123)/2)*12+'Reeksen (N)'!AM123*((L123-M123+L123)/2)*12,0)</f>
        <v>0</v>
      </c>
      <c r="AM123" s="71">
        <f ca="1">-AL123*'Invoer gegevens (N)'!$F$31</f>
        <v>0</v>
      </c>
      <c r="AN123" s="71">
        <f t="shared" ca="1" si="28"/>
        <v>0</v>
      </c>
      <c r="AO123" s="71">
        <f ca="1">IF(C123=1,(H123+J123+N123+P123)*'Reeksen (N)'!AN123,0)</f>
        <v>0</v>
      </c>
      <c r="AP123" s="71">
        <f ca="1">-IF(C123=1,(H123+J123+N123+P123)*'Hulp - basis'!$O$550*'Reeksen (N)'!H123,0)</f>
        <v>0</v>
      </c>
      <c r="AQ123" s="71">
        <f ca="1">-IF(C123=1,(F123+K123+L123+Q123)/2*'Invoer gegevens (N)'!$F$35*'Reeksen (N)'!J123,0)*2</f>
        <v>0</v>
      </c>
      <c r="AR123" s="71">
        <f ca="1">IF(BD123&lt;1,-IF(C123=1,(G123*'Invoer gegevens (N)'!$F$36)*'Reeksen (N)'!J123,0),0)</f>
        <v>0</v>
      </c>
      <c r="AS123" s="71">
        <f ca="1">-IF(C123=1,(F123+K123+L123+Q123)/2*'Invoer gegevens (N)'!$F$37*'Reeksen (N)'!L123,0)</f>
        <v>0</v>
      </c>
      <c r="AT123" s="71">
        <f ca="1">-IF(C123=1,IF(E123='Invoer gegevens (N)'!$C$17,'Invoer gegevens (N)'!$C$11,AD123)*'Reeksen (N)'!S123*'Invoer gegevens (N)'!$C$18*'Reeksen (N)'!P123,0)</f>
        <v>0</v>
      </c>
      <c r="AU123" s="71">
        <f ca="1">-IF(C123=1,(F123+K123+L123+Q123)/2*'Invoer gegevens (N)'!$F$38*'Reeksen (N)'!H123,0)</f>
        <v>0</v>
      </c>
      <c r="AV123" s="71">
        <v>0</v>
      </c>
      <c r="AW123" s="71">
        <f t="shared" ca="1" si="29"/>
        <v>0</v>
      </c>
      <c r="AX123" s="71">
        <f ca="1">IF(E123&lt;'Invoer gegevens (N)'!$C$17+15,0,IF(E123&gt;'Invoer gegevens (N)'!$C$17+215,0,AW123))</f>
        <v>0</v>
      </c>
      <c r="AY123" s="71">
        <f ca="1">AX123/(1+'Invoer gegevens (N)'!$F$18)^($AZ123-('Invoer gegevens (N)'!$C$17-'Invoer gegevens (N)'!$C$16))/(1+'Invoer gegevens (N)'!$C$39)^('Invoer gegevens (N)'!$C$17-'Invoer gegevens (N)'!$C$16)</f>
        <v>0</v>
      </c>
      <c r="AZ123" s="68">
        <f ca="1">IF(E123-'Invoer gegevens (N)'!$C$17-14.5&lt;0,0,E123-'Invoer gegevens (N)'!$C$17-14.5)</f>
        <v>103.5</v>
      </c>
      <c r="BA123" s="109">
        <f ca="1">IFERROR(VLOOKUP(E123-15,'Reeksen (N)'!$A$5:$D$234,2,FALSE),0)</f>
        <v>0</v>
      </c>
      <c r="BB123" s="109">
        <f ca="1">IFERROR(VLOOKUP(E123-15,'Reeksen (N)'!$A$5:$D$234,3,FALSE),0)</f>
        <v>0</v>
      </c>
      <c r="BC123" s="109">
        <f ca="1">IFERROR(VLOOKUP(E123-15,'Reeksen (N)'!$A$5:$D$234,4,FALSE),0)</f>
        <v>0</v>
      </c>
      <c r="BD123" s="67">
        <f ca="1">IF(E123-'Invoer gegevens (N)'!$C$17&lt;15,0,1)</f>
        <v>1</v>
      </c>
    </row>
    <row r="124" spans="1:56" x14ac:dyDescent="0.25">
      <c r="A124" s="59"/>
      <c r="B124" s="70">
        <f t="shared" si="30"/>
        <v>120</v>
      </c>
      <c r="C124" s="67">
        <f ca="1">IF(E124-'Invoer gegevens (N)'!$C$17&lt;0,0,1)</f>
        <v>1</v>
      </c>
      <c r="D124" s="68">
        <f t="shared" si="31"/>
        <v>119.5</v>
      </c>
      <c r="E124" s="108">
        <f ca="1">IF('Invoer gegevens (N)'!$C$16="","",E123+1)</f>
        <v>2138</v>
      </c>
      <c r="F124" s="84">
        <f ca="1">IF('Invoer gegevens (N)'!$C$17=E124,'Invoer gegevens (N)'!$C$10,IF(C124=1,K123,0))</f>
        <v>0</v>
      </c>
      <c r="G124" s="96">
        <f ca="1">IF(BD124&lt;1,F124*'Reeksen (N)'!C124,IF(C124&gt;=1,F124*BA124,0))</f>
        <v>0</v>
      </c>
      <c r="H124" s="84">
        <f ca="1">(1-('Invoer gegevens (N)'!$F$20/12))*F124*MIN(BA124,BC124)</f>
        <v>0</v>
      </c>
      <c r="I124" s="84">
        <f t="shared" ca="1" si="16"/>
        <v>0</v>
      </c>
      <c r="J124" s="84">
        <f ca="1">('Invoer gegevens (N)'!$F$20/12)*F123*MIN(BA124,BC124)</f>
        <v>0</v>
      </c>
      <c r="K124" s="97">
        <f t="shared" ca="1" si="21"/>
        <v>0</v>
      </c>
      <c r="L124" s="84">
        <f ca="1">IF('Invoer gegevens (N)'!$C$17=E124,0,IF(C124=1,Q123,0))</f>
        <v>0</v>
      </c>
      <c r="M124" s="96">
        <f t="shared" ca="1" si="17"/>
        <v>0</v>
      </c>
      <c r="N124" s="84">
        <f ca="1">(1-('Invoer gegevens (N)'!$F$20/12))*L124*MIN(BA124,BC124)</f>
        <v>0</v>
      </c>
      <c r="O124" s="84">
        <f t="shared" ca="1" si="18"/>
        <v>0</v>
      </c>
      <c r="P124" s="84">
        <f ca="1">('Invoer gegevens (N)'!$F$20/12)*L123*MIN(BA124,BC124)</f>
        <v>0</v>
      </c>
      <c r="Q124" s="84">
        <f t="shared" ca="1" si="22"/>
        <v>0</v>
      </c>
      <c r="R124" s="85">
        <f ca="1">IF('Invoer gegevens (N)'!$C$17=E124,'Invoer gegevens (N)'!$C$11,IF(C124=1,W123,0))</f>
        <v>0</v>
      </c>
      <c r="S124" s="86">
        <f t="shared" ca="1" si="19"/>
        <v>0</v>
      </c>
      <c r="T124" s="86">
        <f ca="1">(1-('Invoer gegevens (N)'!$F$20/12))*R124*MIN(BC124,BA124)</f>
        <v>0</v>
      </c>
      <c r="U124" s="86">
        <f ca="1">IF(BD124&lt;1,IF('Reeksen (N)'!AD124&lt;='Reeksen (N)'!AE124,R124*'Reeksen (N)'!C124,0),IF(BC124&gt;=BA124,0,IF('Reeksen (N)'!AD124&lt;='Reeksen (N)'!AE124,(BA124-BC124)*R124,0)))</f>
        <v>0</v>
      </c>
      <c r="V124" s="86">
        <f ca="1">IF(BD124&lt;1,IF('Reeksen (N)'!AD124&gt;'Reeksen (N)'!AE124,R124*'Reeksen (N)'!C124,0),IF(BC124&gt;=BA124,0,IF('Reeksen (N)'!AD124&gt;'Reeksen (N)'!AE124,(BA124-BC124)*R124,0)))</f>
        <v>0</v>
      </c>
      <c r="W124" s="218">
        <f t="shared" ca="1" si="23"/>
        <v>0</v>
      </c>
      <c r="X124" s="98">
        <f ca="1">IF('Invoer gegevens (N)'!$C$17=E124,'Invoer gegevens (N)'!$C$10-'Invoer gegevens (N)'!$C$11,IF(C124=1,AC123,0))</f>
        <v>0</v>
      </c>
      <c r="Y124" s="98">
        <f t="shared" ca="1" si="20"/>
        <v>0</v>
      </c>
      <c r="Z124" s="98">
        <f ca="1">(1-('Invoer gegevens (N)'!$F$20/12))*X124*MIN(BA124,BC124)</f>
        <v>0</v>
      </c>
      <c r="AA124" s="98">
        <f ca="1">IF(BD124&lt;1,IF('Reeksen (N)'!AD124&lt;='Reeksen (N)'!AE124,X124*'Reeksen (N)'!C124,0),IF(BC124&gt;=BA124,0,IF('Reeksen (N)'!AD124&lt;='Reeksen (N)'!AE124,(BA124-BC124)*X124,0)))</f>
        <v>0</v>
      </c>
      <c r="AB124" s="98">
        <f ca="1">IF(BD124&lt;1,IF('Reeksen (N)'!AD124&gt;'Reeksen (N)'!AE124,X124*'Reeksen (N)'!C124,0),IF(BC124&gt;=BA124,0,IF('Reeksen (N)'!AD124&gt;'Reeksen (N)'!AE124,(BA124-BC124)*X124,0)))</f>
        <v>0</v>
      </c>
      <c r="AC124" s="99">
        <f t="shared" ca="1" si="24"/>
        <v>0</v>
      </c>
      <c r="AD124" s="98">
        <f ca="1">IF('Invoer gegevens (N)'!$C$17=E124,R124,IF(C124=0,0,AE123))</f>
        <v>0</v>
      </c>
      <c r="AE124" s="98">
        <f t="shared" ca="1" si="25"/>
        <v>0</v>
      </c>
      <c r="AF124" s="98">
        <f ca="1">IF('Invoer gegevens (N)'!$C$17=E124,X124,IF(C124=0,0,AG123))</f>
        <v>0</v>
      </c>
      <c r="AG124" s="98">
        <f t="shared" ca="1" si="26"/>
        <v>0</v>
      </c>
      <c r="AH124" s="66"/>
      <c r="AI124" s="71">
        <f ca="1">IF(C124=1,'Reeksen (N)'!AI124*((F124+K124)/2)*12+'Reeksen (N)'!AD124*((L124+Q124)/2)*12,0)</f>
        <v>0</v>
      </c>
      <c r="AJ124" s="71">
        <f ca="1">-AI124*'Invoer gegevens (N)'!$F$28</f>
        <v>0</v>
      </c>
      <c r="AK124" s="71">
        <f t="shared" ca="1" si="27"/>
        <v>0</v>
      </c>
      <c r="AL124" s="71">
        <f ca="1">IF(C124=1,'Reeksen (N)'!AL124*((F124-G124+F124)/2)*12+'Reeksen (N)'!AM124*((L124-M124+L124)/2)*12,0)</f>
        <v>0</v>
      </c>
      <c r="AM124" s="71">
        <f ca="1">-AL124*'Invoer gegevens (N)'!$F$31</f>
        <v>0</v>
      </c>
      <c r="AN124" s="71">
        <f t="shared" ca="1" si="28"/>
        <v>0</v>
      </c>
      <c r="AO124" s="71">
        <f ca="1">IF(C124=1,(H124+J124+N124+P124)*'Reeksen (N)'!AN124,0)</f>
        <v>0</v>
      </c>
      <c r="AP124" s="71">
        <f ca="1">-IF(C124=1,(H124+J124+N124+P124)*'Hulp - basis'!$O$550*'Reeksen (N)'!H124,0)</f>
        <v>0</v>
      </c>
      <c r="AQ124" s="71">
        <f ca="1">-IF(C124=1,(F124+K124+L124+Q124)/2*'Invoer gegevens (N)'!$F$35*'Reeksen (N)'!J124,0)*2</f>
        <v>0</v>
      </c>
      <c r="AR124" s="71">
        <f ca="1">IF(BD124&lt;1,-IF(C124=1,(G124*'Invoer gegevens (N)'!$F$36)*'Reeksen (N)'!J124,0),0)</f>
        <v>0</v>
      </c>
      <c r="AS124" s="71">
        <f ca="1">-IF(C124=1,(F124+K124+L124+Q124)/2*'Invoer gegevens (N)'!$F$37*'Reeksen (N)'!L124,0)</f>
        <v>0</v>
      </c>
      <c r="AT124" s="71">
        <f ca="1">-IF(C124=1,IF(E124='Invoer gegevens (N)'!$C$17,'Invoer gegevens (N)'!$C$11,AD124)*'Reeksen (N)'!S124*'Invoer gegevens (N)'!$C$18*'Reeksen (N)'!P124,0)</f>
        <v>0</v>
      </c>
      <c r="AU124" s="71">
        <f ca="1">-IF(C124=1,(F124+K124+L124+Q124)/2*'Invoer gegevens (N)'!$F$38*'Reeksen (N)'!H124,0)</f>
        <v>0</v>
      </c>
      <c r="AV124" s="71">
        <v>0</v>
      </c>
      <c r="AW124" s="71">
        <f t="shared" ca="1" si="29"/>
        <v>0</v>
      </c>
      <c r="AX124" s="71">
        <f ca="1">IF(E124&lt;'Invoer gegevens (N)'!$C$17+15,0,IF(E124&gt;'Invoer gegevens (N)'!$C$17+215,0,AW124))</f>
        <v>0</v>
      </c>
      <c r="AY124" s="71">
        <f ca="1">AX124/(1+'Invoer gegevens (N)'!$F$18)^($AZ124-('Invoer gegevens (N)'!$C$17-'Invoer gegevens (N)'!$C$16))/(1+'Invoer gegevens (N)'!$C$39)^('Invoer gegevens (N)'!$C$17-'Invoer gegevens (N)'!$C$16)</f>
        <v>0</v>
      </c>
      <c r="AZ124" s="68">
        <f ca="1">IF(E124-'Invoer gegevens (N)'!$C$17-14.5&lt;0,0,E124-'Invoer gegevens (N)'!$C$17-14.5)</f>
        <v>104.5</v>
      </c>
      <c r="BA124" s="109">
        <f ca="1">IFERROR(VLOOKUP(E124-15,'Reeksen (N)'!$A$5:$D$234,2,FALSE),0)</f>
        <v>0</v>
      </c>
      <c r="BB124" s="109">
        <f ca="1">IFERROR(VLOOKUP(E124-15,'Reeksen (N)'!$A$5:$D$234,3,FALSE),0)</f>
        <v>0</v>
      </c>
      <c r="BC124" s="109">
        <f ca="1">IFERROR(VLOOKUP(E124-15,'Reeksen (N)'!$A$5:$D$234,4,FALSE),0)</f>
        <v>0</v>
      </c>
      <c r="BD124" s="67">
        <f ca="1">IF(E124-'Invoer gegevens (N)'!$C$17&lt;15,0,1)</f>
        <v>1</v>
      </c>
    </row>
    <row r="125" spans="1:56" x14ac:dyDescent="0.25">
      <c r="A125" s="59"/>
      <c r="B125" s="70">
        <f t="shared" si="30"/>
        <v>121</v>
      </c>
      <c r="C125" s="67">
        <f ca="1">IF(E125-'Invoer gegevens (N)'!$C$17&lt;0,0,1)</f>
        <v>1</v>
      </c>
      <c r="D125" s="68">
        <f t="shared" si="31"/>
        <v>120.5</v>
      </c>
      <c r="E125" s="108">
        <f ca="1">IF('Invoer gegevens (N)'!$C$16="","",E124+1)</f>
        <v>2139</v>
      </c>
      <c r="F125" s="84">
        <f ca="1">IF('Invoer gegevens (N)'!$C$17=E125,'Invoer gegevens (N)'!$C$10,IF(C125=1,K124,0))</f>
        <v>0</v>
      </c>
      <c r="G125" s="96">
        <f ca="1">IF(BD125&lt;1,F125*'Reeksen (N)'!C125,IF(C125&gt;=1,F125*BA125,0))</f>
        <v>0</v>
      </c>
      <c r="H125" s="84">
        <f ca="1">(1-('Invoer gegevens (N)'!$F$20/12))*F125*MIN(BA125,BC125)</f>
        <v>0</v>
      </c>
      <c r="I125" s="84">
        <f t="shared" ca="1" si="16"/>
        <v>0</v>
      </c>
      <c r="J125" s="84">
        <f ca="1">('Invoer gegevens (N)'!$F$20/12)*F124*MIN(BA125,BC125)</f>
        <v>0</v>
      </c>
      <c r="K125" s="97">
        <f t="shared" ca="1" si="21"/>
        <v>0</v>
      </c>
      <c r="L125" s="84">
        <f ca="1">IF('Invoer gegevens (N)'!$C$17=E125,0,IF(C125=1,Q124,0))</f>
        <v>0</v>
      </c>
      <c r="M125" s="96">
        <f t="shared" ca="1" si="17"/>
        <v>0</v>
      </c>
      <c r="N125" s="84">
        <f ca="1">(1-('Invoer gegevens (N)'!$F$20/12))*L125*MIN(BA125,BC125)</f>
        <v>0</v>
      </c>
      <c r="O125" s="84">
        <f t="shared" ca="1" si="18"/>
        <v>0</v>
      </c>
      <c r="P125" s="84">
        <f ca="1">('Invoer gegevens (N)'!$F$20/12)*L124*MIN(BA125,BC125)</f>
        <v>0</v>
      </c>
      <c r="Q125" s="84">
        <f t="shared" ca="1" si="22"/>
        <v>0</v>
      </c>
      <c r="R125" s="85">
        <f ca="1">IF('Invoer gegevens (N)'!$C$17=E125,'Invoer gegevens (N)'!$C$11,IF(C125=1,W124,0))</f>
        <v>0</v>
      </c>
      <c r="S125" s="86">
        <f t="shared" ca="1" si="19"/>
        <v>0</v>
      </c>
      <c r="T125" s="86">
        <f ca="1">(1-('Invoer gegevens (N)'!$F$20/12))*R125*MIN(BC125,BA125)</f>
        <v>0</v>
      </c>
      <c r="U125" s="86">
        <f ca="1">IF(BD125&lt;1,IF('Reeksen (N)'!AD125&lt;='Reeksen (N)'!AE125,R125*'Reeksen (N)'!C125,0),IF(BC125&gt;=BA125,0,IF('Reeksen (N)'!AD125&lt;='Reeksen (N)'!AE125,(BA125-BC125)*R125,0)))</f>
        <v>0</v>
      </c>
      <c r="V125" s="86">
        <f ca="1">IF(BD125&lt;1,IF('Reeksen (N)'!AD125&gt;'Reeksen (N)'!AE125,R125*'Reeksen (N)'!C125,0),IF(BC125&gt;=BA125,0,IF('Reeksen (N)'!AD125&gt;'Reeksen (N)'!AE125,(BA125-BC125)*R125,0)))</f>
        <v>0</v>
      </c>
      <c r="W125" s="218">
        <f t="shared" ca="1" si="23"/>
        <v>0</v>
      </c>
      <c r="X125" s="98">
        <f ca="1">IF('Invoer gegevens (N)'!$C$17=E125,'Invoer gegevens (N)'!$C$10-'Invoer gegevens (N)'!$C$11,IF(C125=1,AC124,0))</f>
        <v>0</v>
      </c>
      <c r="Y125" s="98">
        <f t="shared" ca="1" si="20"/>
        <v>0</v>
      </c>
      <c r="Z125" s="98">
        <f ca="1">(1-('Invoer gegevens (N)'!$F$20/12))*X125*MIN(BA125,BC125)</f>
        <v>0</v>
      </c>
      <c r="AA125" s="98">
        <f ca="1">IF(BD125&lt;1,IF('Reeksen (N)'!AD125&lt;='Reeksen (N)'!AE125,X125*'Reeksen (N)'!C125,0),IF(BC125&gt;=BA125,0,IF('Reeksen (N)'!AD125&lt;='Reeksen (N)'!AE125,(BA125-BC125)*X125,0)))</f>
        <v>0</v>
      </c>
      <c r="AB125" s="98">
        <f ca="1">IF(BD125&lt;1,IF('Reeksen (N)'!AD125&gt;'Reeksen (N)'!AE125,X125*'Reeksen (N)'!C125,0),IF(BC125&gt;=BA125,0,IF('Reeksen (N)'!AD125&gt;'Reeksen (N)'!AE125,(BA125-BC125)*X125,0)))</f>
        <v>0</v>
      </c>
      <c r="AC125" s="99">
        <f t="shared" ca="1" si="24"/>
        <v>0</v>
      </c>
      <c r="AD125" s="98">
        <f ca="1">IF('Invoer gegevens (N)'!$C$17=E125,R125,IF(C125=0,0,AE124))</f>
        <v>0</v>
      </c>
      <c r="AE125" s="98">
        <f t="shared" ca="1" si="25"/>
        <v>0</v>
      </c>
      <c r="AF125" s="98">
        <f ca="1">IF('Invoer gegevens (N)'!$C$17=E125,X125,IF(C125=0,0,AG124))</f>
        <v>0</v>
      </c>
      <c r="AG125" s="98">
        <f t="shared" ca="1" si="26"/>
        <v>0</v>
      </c>
      <c r="AH125" s="66"/>
      <c r="AI125" s="71">
        <f ca="1">IF(C125=1,'Reeksen (N)'!AI125*((F125+K125)/2)*12+'Reeksen (N)'!AD125*((L125+Q125)/2)*12,0)</f>
        <v>0</v>
      </c>
      <c r="AJ125" s="71">
        <f ca="1">-AI125*'Invoer gegevens (N)'!$F$28</f>
        <v>0</v>
      </c>
      <c r="AK125" s="71">
        <f t="shared" ca="1" si="27"/>
        <v>0</v>
      </c>
      <c r="AL125" s="71">
        <f ca="1">IF(C125=1,'Reeksen (N)'!AL125*((F125-G125+F125)/2)*12+'Reeksen (N)'!AM125*((L125-M125+L125)/2)*12,0)</f>
        <v>0</v>
      </c>
      <c r="AM125" s="71">
        <f ca="1">-AL125*'Invoer gegevens (N)'!$F$31</f>
        <v>0</v>
      </c>
      <c r="AN125" s="71">
        <f t="shared" ca="1" si="28"/>
        <v>0</v>
      </c>
      <c r="AO125" s="71">
        <f ca="1">IF(C125=1,(H125+J125+N125+P125)*'Reeksen (N)'!AN125,0)</f>
        <v>0</v>
      </c>
      <c r="AP125" s="71">
        <f ca="1">-IF(C125=1,(H125+J125+N125+P125)*'Hulp - basis'!$O$550*'Reeksen (N)'!H125,0)</f>
        <v>0</v>
      </c>
      <c r="AQ125" s="71">
        <f ca="1">-IF(C125=1,(F125+K125+L125+Q125)/2*'Invoer gegevens (N)'!$F$35*'Reeksen (N)'!J125,0)*2</f>
        <v>0</v>
      </c>
      <c r="AR125" s="71">
        <f ca="1">IF(BD125&lt;1,-IF(C125=1,(G125*'Invoer gegevens (N)'!$F$36)*'Reeksen (N)'!J125,0),0)</f>
        <v>0</v>
      </c>
      <c r="AS125" s="71">
        <f ca="1">-IF(C125=1,(F125+K125+L125+Q125)/2*'Invoer gegevens (N)'!$F$37*'Reeksen (N)'!L125,0)</f>
        <v>0</v>
      </c>
      <c r="AT125" s="71">
        <f ca="1">-IF(C125=1,IF(E125='Invoer gegevens (N)'!$C$17,'Invoer gegevens (N)'!$C$11,AD125)*'Reeksen (N)'!S125*'Invoer gegevens (N)'!$C$18*'Reeksen (N)'!P125,0)</f>
        <v>0</v>
      </c>
      <c r="AU125" s="71">
        <f ca="1">-IF(C125=1,(F125+K125+L125+Q125)/2*'Invoer gegevens (N)'!$F$38*'Reeksen (N)'!H125,0)</f>
        <v>0</v>
      </c>
      <c r="AV125" s="71">
        <v>0</v>
      </c>
      <c r="AW125" s="71">
        <f t="shared" ca="1" si="29"/>
        <v>0</v>
      </c>
      <c r="AX125" s="71">
        <f ca="1">IF(E125&lt;'Invoer gegevens (N)'!$C$17+15,0,IF(E125&gt;'Invoer gegevens (N)'!$C$17+215,0,AW125))</f>
        <v>0</v>
      </c>
      <c r="AY125" s="71">
        <f ca="1">AX125/(1+'Invoer gegevens (N)'!$F$18)^($AZ125-('Invoer gegevens (N)'!$C$17-'Invoer gegevens (N)'!$C$16))/(1+'Invoer gegevens (N)'!$C$39)^('Invoer gegevens (N)'!$C$17-'Invoer gegevens (N)'!$C$16)</f>
        <v>0</v>
      </c>
      <c r="AZ125" s="68">
        <f ca="1">IF(E125-'Invoer gegevens (N)'!$C$17-14.5&lt;0,0,E125-'Invoer gegevens (N)'!$C$17-14.5)</f>
        <v>105.5</v>
      </c>
      <c r="BA125" s="109">
        <f ca="1">IFERROR(VLOOKUP(E125-15,'Reeksen (N)'!$A$5:$D$234,2,FALSE),0)</f>
        <v>0</v>
      </c>
      <c r="BB125" s="109">
        <f ca="1">IFERROR(VLOOKUP(E125-15,'Reeksen (N)'!$A$5:$D$234,3,FALSE),0)</f>
        <v>0</v>
      </c>
      <c r="BC125" s="109">
        <f ca="1">IFERROR(VLOOKUP(E125-15,'Reeksen (N)'!$A$5:$D$234,4,FALSE),0)</f>
        <v>0</v>
      </c>
      <c r="BD125" s="67">
        <f ca="1">IF(E125-'Invoer gegevens (N)'!$C$17&lt;15,0,1)</f>
        <v>1</v>
      </c>
    </row>
    <row r="126" spans="1:56" x14ac:dyDescent="0.25">
      <c r="A126" s="59"/>
      <c r="B126" s="70">
        <f t="shared" si="30"/>
        <v>122</v>
      </c>
      <c r="C126" s="67">
        <f ca="1">IF(E126-'Invoer gegevens (N)'!$C$17&lt;0,0,1)</f>
        <v>1</v>
      </c>
      <c r="D126" s="68">
        <f t="shared" si="31"/>
        <v>121.5</v>
      </c>
      <c r="E126" s="108">
        <f ca="1">IF('Invoer gegevens (N)'!$C$16="","",E125+1)</f>
        <v>2140</v>
      </c>
      <c r="F126" s="84">
        <f ca="1">IF('Invoer gegevens (N)'!$C$17=E126,'Invoer gegevens (N)'!$C$10,IF(C126=1,K125,0))</f>
        <v>0</v>
      </c>
      <c r="G126" s="96">
        <f ca="1">IF(BD126&lt;1,F126*'Reeksen (N)'!C126,IF(C126&gt;=1,F126*BA126,0))</f>
        <v>0</v>
      </c>
      <c r="H126" s="84">
        <f ca="1">(1-('Invoer gegevens (N)'!$F$20/12))*F126*MIN(BA126,BC126)</f>
        <v>0</v>
      </c>
      <c r="I126" s="84">
        <f t="shared" ca="1" si="16"/>
        <v>0</v>
      </c>
      <c r="J126" s="84">
        <f ca="1">('Invoer gegevens (N)'!$F$20/12)*F125*MIN(BA126,BC126)</f>
        <v>0</v>
      </c>
      <c r="K126" s="97">
        <f t="shared" ca="1" si="21"/>
        <v>0</v>
      </c>
      <c r="L126" s="84">
        <f ca="1">IF('Invoer gegevens (N)'!$C$17=E126,0,IF(C126=1,Q125,0))</f>
        <v>0</v>
      </c>
      <c r="M126" s="96">
        <f t="shared" ca="1" si="17"/>
        <v>0</v>
      </c>
      <c r="N126" s="84">
        <f ca="1">(1-('Invoer gegevens (N)'!$F$20/12))*L126*MIN(BA126,BC126)</f>
        <v>0</v>
      </c>
      <c r="O126" s="84">
        <f t="shared" ca="1" si="18"/>
        <v>0</v>
      </c>
      <c r="P126" s="84">
        <f ca="1">('Invoer gegevens (N)'!$F$20/12)*L125*MIN(BA126,BC126)</f>
        <v>0</v>
      </c>
      <c r="Q126" s="84">
        <f t="shared" ca="1" si="22"/>
        <v>0</v>
      </c>
      <c r="R126" s="85">
        <f ca="1">IF('Invoer gegevens (N)'!$C$17=E126,'Invoer gegevens (N)'!$C$11,IF(C126=1,W125,0))</f>
        <v>0</v>
      </c>
      <c r="S126" s="86">
        <f t="shared" ca="1" si="19"/>
        <v>0</v>
      </c>
      <c r="T126" s="86">
        <f ca="1">(1-('Invoer gegevens (N)'!$F$20/12))*R126*MIN(BC126,BA126)</f>
        <v>0</v>
      </c>
      <c r="U126" s="86">
        <f ca="1">IF(BD126&lt;1,IF('Reeksen (N)'!AD126&lt;='Reeksen (N)'!AE126,R126*'Reeksen (N)'!C126,0),IF(BC126&gt;=BA126,0,IF('Reeksen (N)'!AD126&lt;='Reeksen (N)'!AE126,(BA126-BC126)*R126,0)))</f>
        <v>0</v>
      </c>
      <c r="V126" s="86">
        <f ca="1">IF(BD126&lt;1,IF('Reeksen (N)'!AD126&gt;'Reeksen (N)'!AE126,R126*'Reeksen (N)'!C126,0),IF(BC126&gt;=BA126,0,IF('Reeksen (N)'!AD126&gt;'Reeksen (N)'!AE126,(BA126-BC126)*R126,0)))</f>
        <v>0</v>
      </c>
      <c r="W126" s="218">
        <f t="shared" ca="1" si="23"/>
        <v>0</v>
      </c>
      <c r="X126" s="98">
        <f ca="1">IF('Invoer gegevens (N)'!$C$17=E126,'Invoer gegevens (N)'!$C$10-'Invoer gegevens (N)'!$C$11,IF(C126=1,AC125,0))</f>
        <v>0</v>
      </c>
      <c r="Y126" s="98">
        <f t="shared" ca="1" si="20"/>
        <v>0</v>
      </c>
      <c r="Z126" s="98">
        <f ca="1">(1-('Invoer gegevens (N)'!$F$20/12))*X126*MIN(BA126,BC126)</f>
        <v>0</v>
      </c>
      <c r="AA126" s="98">
        <f ca="1">IF(BD126&lt;1,IF('Reeksen (N)'!AD126&lt;='Reeksen (N)'!AE126,X126*'Reeksen (N)'!C126,0),IF(BC126&gt;=BA126,0,IF('Reeksen (N)'!AD126&lt;='Reeksen (N)'!AE126,(BA126-BC126)*X126,0)))</f>
        <v>0</v>
      </c>
      <c r="AB126" s="98">
        <f ca="1">IF(BD126&lt;1,IF('Reeksen (N)'!AD126&gt;'Reeksen (N)'!AE126,X126*'Reeksen (N)'!C126,0),IF(BC126&gt;=BA126,0,IF('Reeksen (N)'!AD126&gt;'Reeksen (N)'!AE126,(BA126-BC126)*X126,0)))</f>
        <v>0</v>
      </c>
      <c r="AC126" s="99">
        <f t="shared" ca="1" si="24"/>
        <v>0</v>
      </c>
      <c r="AD126" s="98">
        <f ca="1">IF('Invoer gegevens (N)'!$C$17=E126,R126,IF(C126=0,0,AE125))</f>
        <v>0</v>
      </c>
      <c r="AE126" s="98">
        <f t="shared" ca="1" si="25"/>
        <v>0</v>
      </c>
      <c r="AF126" s="98">
        <f ca="1">IF('Invoer gegevens (N)'!$C$17=E126,X126,IF(C126=0,0,AG125))</f>
        <v>0</v>
      </c>
      <c r="AG126" s="98">
        <f t="shared" ca="1" si="26"/>
        <v>0</v>
      </c>
      <c r="AH126" s="66"/>
      <c r="AI126" s="71">
        <f ca="1">IF(C126=1,'Reeksen (N)'!AI126*((F126+K126)/2)*12+'Reeksen (N)'!AD126*((L126+Q126)/2)*12,0)</f>
        <v>0</v>
      </c>
      <c r="AJ126" s="71">
        <f ca="1">-AI126*'Invoer gegevens (N)'!$F$28</f>
        <v>0</v>
      </c>
      <c r="AK126" s="71">
        <f t="shared" ca="1" si="27"/>
        <v>0</v>
      </c>
      <c r="AL126" s="71">
        <f ca="1">IF(C126=1,'Reeksen (N)'!AL126*((F126-G126+F126)/2)*12+'Reeksen (N)'!AM126*((L126-M126+L126)/2)*12,0)</f>
        <v>0</v>
      </c>
      <c r="AM126" s="71">
        <f ca="1">-AL126*'Invoer gegevens (N)'!$F$31</f>
        <v>0</v>
      </c>
      <c r="AN126" s="71">
        <f t="shared" ca="1" si="28"/>
        <v>0</v>
      </c>
      <c r="AO126" s="71">
        <f ca="1">IF(C126=1,(H126+J126+N126+P126)*'Reeksen (N)'!AN126,0)</f>
        <v>0</v>
      </c>
      <c r="AP126" s="71">
        <f ca="1">-IF(C126=1,(H126+J126+N126+P126)*'Hulp - basis'!$O$550*'Reeksen (N)'!H126,0)</f>
        <v>0</v>
      </c>
      <c r="AQ126" s="71">
        <f ca="1">-IF(C126=1,(F126+K126+L126+Q126)/2*'Invoer gegevens (N)'!$F$35*'Reeksen (N)'!J126,0)*2</f>
        <v>0</v>
      </c>
      <c r="AR126" s="71">
        <f ca="1">IF(BD126&lt;1,-IF(C126=1,(G126*'Invoer gegevens (N)'!$F$36)*'Reeksen (N)'!J126,0),0)</f>
        <v>0</v>
      </c>
      <c r="AS126" s="71">
        <f ca="1">-IF(C126=1,(F126+K126+L126+Q126)/2*'Invoer gegevens (N)'!$F$37*'Reeksen (N)'!L126,0)</f>
        <v>0</v>
      </c>
      <c r="AT126" s="71">
        <f ca="1">-IF(C126=1,IF(E126='Invoer gegevens (N)'!$C$17,'Invoer gegevens (N)'!$C$11,AD126)*'Reeksen (N)'!S126*'Invoer gegevens (N)'!$C$18*'Reeksen (N)'!P126,0)</f>
        <v>0</v>
      </c>
      <c r="AU126" s="71">
        <f ca="1">-IF(C126=1,(F126+K126+L126+Q126)/2*'Invoer gegevens (N)'!$F$38*'Reeksen (N)'!H126,0)</f>
        <v>0</v>
      </c>
      <c r="AV126" s="71">
        <v>0</v>
      </c>
      <c r="AW126" s="71">
        <f t="shared" ca="1" si="29"/>
        <v>0</v>
      </c>
      <c r="AX126" s="71">
        <f ca="1">IF(E126&lt;'Invoer gegevens (N)'!$C$17+15,0,IF(E126&gt;'Invoer gegevens (N)'!$C$17+215,0,AW126))</f>
        <v>0</v>
      </c>
      <c r="AY126" s="71">
        <f ca="1">AX126/(1+'Invoer gegevens (N)'!$F$18)^($AZ126-('Invoer gegevens (N)'!$C$17-'Invoer gegevens (N)'!$C$16))/(1+'Invoer gegevens (N)'!$C$39)^('Invoer gegevens (N)'!$C$17-'Invoer gegevens (N)'!$C$16)</f>
        <v>0</v>
      </c>
      <c r="AZ126" s="68">
        <f ca="1">IF(E126-'Invoer gegevens (N)'!$C$17-14.5&lt;0,0,E126-'Invoer gegevens (N)'!$C$17-14.5)</f>
        <v>106.5</v>
      </c>
      <c r="BA126" s="109">
        <f ca="1">IFERROR(VLOOKUP(E126-15,'Reeksen (N)'!$A$5:$D$234,2,FALSE),0)</f>
        <v>0</v>
      </c>
      <c r="BB126" s="109">
        <f ca="1">IFERROR(VLOOKUP(E126-15,'Reeksen (N)'!$A$5:$D$234,3,FALSE),0)</f>
        <v>0</v>
      </c>
      <c r="BC126" s="109">
        <f ca="1">IFERROR(VLOOKUP(E126-15,'Reeksen (N)'!$A$5:$D$234,4,FALSE),0)</f>
        <v>0</v>
      </c>
      <c r="BD126" s="67">
        <f ca="1">IF(E126-'Invoer gegevens (N)'!$C$17&lt;15,0,1)</f>
        <v>1</v>
      </c>
    </row>
    <row r="127" spans="1:56" x14ac:dyDescent="0.25">
      <c r="A127" s="59"/>
      <c r="B127" s="70">
        <f t="shared" si="30"/>
        <v>123</v>
      </c>
      <c r="C127" s="67">
        <f ca="1">IF(E127-'Invoer gegevens (N)'!$C$17&lt;0,0,1)</f>
        <v>1</v>
      </c>
      <c r="D127" s="68">
        <f t="shared" si="31"/>
        <v>122.5</v>
      </c>
      <c r="E127" s="108">
        <f ca="1">IF('Invoer gegevens (N)'!$C$16="","",E126+1)</f>
        <v>2141</v>
      </c>
      <c r="F127" s="84">
        <f ca="1">IF('Invoer gegevens (N)'!$C$17=E127,'Invoer gegevens (N)'!$C$10,IF(C127=1,K126,0))</f>
        <v>0</v>
      </c>
      <c r="G127" s="96">
        <f ca="1">IF(BD127&lt;1,F127*'Reeksen (N)'!C127,IF(C127&gt;=1,F127*BA127,0))</f>
        <v>0</v>
      </c>
      <c r="H127" s="84">
        <f ca="1">(1-('Invoer gegevens (N)'!$F$20/12))*F127*MIN(BA127,BC127)</f>
        <v>0</v>
      </c>
      <c r="I127" s="84">
        <f t="shared" ca="1" si="16"/>
        <v>0</v>
      </c>
      <c r="J127" s="84">
        <f ca="1">('Invoer gegevens (N)'!$F$20/12)*F126*MIN(BA127,BC127)</f>
        <v>0</v>
      </c>
      <c r="K127" s="97">
        <f t="shared" ca="1" si="21"/>
        <v>0</v>
      </c>
      <c r="L127" s="84">
        <f ca="1">IF('Invoer gegevens (N)'!$C$17=E127,0,IF(C127=1,Q126,0))</f>
        <v>0</v>
      </c>
      <c r="M127" s="96">
        <f t="shared" ca="1" si="17"/>
        <v>0</v>
      </c>
      <c r="N127" s="84">
        <f ca="1">(1-('Invoer gegevens (N)'!$F$20/12))*L127*MIN(BA127,BC127)</f>
        <v>0</v>
      </c>
      <c r="O127" s="84">
        <f t="shared" ca="1" si="18"/>
        <v>0</v>
      </c>
      <c r="P127" s="84">
        <f ca="1">('Invoer gegevens (N)'!$F$20/12)*L126*MIN(BA127,BC127)</f>
        <v>0</v>
      </c>
      <c r="Q127" s="84">
        <f t="shared" ca="1" si="22"/>
        <v>0</v>
      </c>
      <c r="R127" s="85">
        <f ca="1">IF('Invoer gegevens (N)'!$C$17=E127,'Invoer gegevens (N)'!$C$11,IF(C127=1,W126,0))</f>
        <v>0</v>
      </c>
      <c r="S127" s="86">
        <f t="shared" ca="1" si="19"/>
        <v>0</v>
      </c>
      <c r="T127" s="86">
        <f ca="1">(1-('Invoer gegevens (N)'!$F$20/12))*R127*MIN(BC127,BA127)</f>
        <v>0</v>
      </c>
      <c r="U127" s="86">
        <f ca="1">IF(BD127&lt;1,IF('Reeksen (N)'!AD127&lt;='Reeksen (N)'!AE127,R127*'Reeksen (N)'!C127,0),IF(BC127&gt;=BA127,0,IF('Reeksen (N)'!AD127&lt;='Reeksen (N)'!AE127,(BA127-BC127)*R127,0)))</f>
        <v>0</v>
      </c>
      <c r="V127" s="86">
        <f ca="1">IF(BD127&lt;1,IF('Reeksen (N)'!AD127&gt;'Reeksen (N)'!AE127,R127*'Reeksen (N)'!C127,0),IF(BC127&gt;=BA127,0,IF('Reeksen (N)'!AD127&gt;'Reeksen (N)'!AE127,(BA127-BC127)*R127,0)))</f>
        <v>0</v>
      </c>
      <c r="W127" s="218">
        <f t="shared" ca="1" si="23"/>
        <v>0</v>
      </c>
      <c r="X127" s="98">
        <f ca="1">IF('Invoer gegevens (N)'!$C$17=E127,'Invoer gegevens (N)'!$C$10-'Invoer gegevens (N)'!$C$11,IF(C127=1,AC126,0))</f>
        <v>0</v>
      </c>
      <c r="Y127" s="98">
        <f t="shared" ca="1" si="20"/>
        <v>0</v>
      </c>
      <c r="Z127" s="98">
        <f ca="1">(1-('Invoer gegevens (N)'!$F$20/12))*X127*MIN(BA127,BC127)</f>
        <v>0</v>
      </c>
      <c r="AA127" s="98">
        <f ca="1">IF(BD127&lt;1,IF('Reeksen (N)'!AD127&lt;='Reeksen (N)'!AE127,X127*'Reeksen (N)'!C127,0),IF(BC127&gt;=BA127,0,IF('Reeksen (N)'!AD127&lt;='Reeksen (N)'!AE127,(BA127-BC127)*X127,0)))</f>
        <v>0</v>
      </c>
      <c r="AB127" s="98">
        <f ca="1">IF(BD127&lt;1,IF('Reeksen (N)'!AD127&gt;'Reeksen (N)'!AE127,X127*'Reeksen (N)'!C127,0),IF(BC127&gt;=BA127,0,IF('Reeksen (N)'!AD127&gt;'Reeksen (N)'!AE127,(BA127-BC127)*X127,0)))</f>
        <v>0</v>
      </c>
      <c r="AC127" s="99">
        <f t="shared" ca="1" si="24"/>
        <v>0</v>
      </c>
      <c r="AD127" s="98">
        <f ca="1">IF('Invoer gegevens (N)'!$C$17=E127,R127,IF(C127=0,0,AE126))</f>
        <v>0</v>
      </c>
      <c r="AE127" s="98">
        <f t="shared" ca="1" si="25"/>
        <v>0</v>
      </c>
      <c r="AF127" s="98">
        <f ca="1">IF('Invoer gegevens (N)'!$C$17=E127,X127,IF(C127=0,0,AG126))</f>
        <v>0</v>
      </c>
      <c r="AG127" s="98">
        <f t="shared" ca="1" si="26"/>
        <v>0</v>
      </c>
      <c r="AH127" s="66"/>
      <c r="AI127" s="71">
        <f ca="1">IF(C127=1,'Reeksen (N)'!AI127*((F127+K127)/2)*12+'Reeksen (N)'!AD127*((L127+Q127)/2)*12,0)</f>
        <v>0</v>
      </c>
      <c r="AJ127" s="71">
        <f ca="1">-AI127*'Invoer gegevens (N)'!$F$28</f>
        <v>0</v>
      </c>
      <c r="AK127" s="71">
        <f t="shared" ca="1" si="27"/>
        <v>0</v>
      </c>
      <c r="AL127" s="71">
        <f ca="1">IF(C127=1,'Reeksen (N)'!AL127*((F127-G127+F127)/2)*12+'Reeksen (N)'!AM127*((L127-M127+L127)/2)*12,0)</f>
        <v>0</v>
      </c>
      <c r="AM127" s="71">
        <f ca="1">-AL127*'Invoer gegevens (N)'!$F$31</f>
        <v>0</v>
      </c>
      <c r="AN127" s="71">
        <f t="shared" ca="1" si="28"/>
        <v>0</v>
      </c>
      <c r="AO127" s="71">
        <f ca="1">IF(C127=1,(H127+J127+N127+P127)*'Reeksen (N)'!AN127,0)</f>
        <v>0</v>
      </c>
      <c r="AP127" s="71">
        <f ca="1">-IF(C127=1,(H127+J127+N127+P127)*'Hulp - basis'!$O$550*'Reeksen (N)'!H127,0)</f>
        <v>0</v>
      </c>
      <c r="AQ127" s="71">
        <f ca="1">-IF(C127=1,(F127+K127+L127+Q127)/2*'Invoer gegevens (N)'!$F$35*'Reeksen (N)'!J127,0)*2</f>
        <v>0</v>
      </c>
      <c r="AR127" s="71">
        <f ca="1">IF(BD127&lt;1,-IF(C127=1,(G127*'Invoer gegevens (N)'!$F$36)*'Reeksen (N)'!J127,0),0)</f>
        <v>0</v>
      </c>
      <c r="AS127" s="71">
        <f ca="1">-IF(C127=1,(F127+K127+L127+Q127)/2*'Invoer gegevens (N)'!$F$37*'Reeksen (N)'!L127,0)</f>
        <v>0</v>
      </c>
      <c r="AT127" s="71">
        <f ca="1">-IF(C127=1,IF(E127='Invoer gegevens (N)'!$C$17,'Invoer gegevens (N)'!$C$11,AD127)*'Reeksen (N)'!S127*'Invoer gegevens (N)'!$C$18*'Reeksen (N)'!P127,0)</f>
        <v>0</v>
      </c>
      <c r="AU127" s="71">
        <f ca="1">-IF(C127=1,(F127+K127+L127+Q127)/2*'Invoer gegevens (N)'!$F$38*'Reeksen (N)'!H127,0)</f>
        <v>0</v>
      </c>
      <c r="AV127" s="71">
        <v>0</v>
      </c>
      <c r="AW127" s="71">
        <f t="shared" ca="1" si="29"/>
        <v>0</v>
      </c>
      <c r="AX127" s="71">
        <f ca="1">IF(E127&lt;'Invoer gegevens (N)'!$C$17+15,0,IF(E127&gt;'Invoer gegevens (N)'!$C$17+215,0,AW127))</f>
        <v>0</v>
      </c>
      <c r="AY127" s="71">
        <f ca="1">AX127/(1+'Invoer gegevens (N)'!$F$18)^($AZ127-('Invoer gegevens (N)'!$C$17-'Invoer gegevens (N)'!$C$16))/(1+'Invoer gegevens (N)'!$C$39)^('Invoer gegevens (N)'!$C$17-'Invoer gegevens (N)'!$C$16)</f>
        <v>0</v>
      </c>
      <c r="AZ127" s="68">
        <f ca="1">IF(E127-'Invoer gegevens (N)'!$C$17-14.5&lt;0,0,E127-'Invoer gegevens (N)'!$C$17-14.5)</f>
        <v>107.5</v>
      </c>
      <c r="BA127" s="109">
        <f ca="1">IFERROR(VLOOKUP(E127-15,'Reeksen (N)'!$A$5:$D$234,2,FALSE),0)</f>
        <v>0</v>
      </c>
      <c r="BB127" s="109">
        <f ca="1">IFERROR(VLOOKUP(E127-15,'Reeksen (N)'!$A$5:$D$234,3,FALSE),0)</f>
        <v>0</v>
      </c>
      <c r="BC127" s="109">
        <f ca="1">IFERROR(VLOOKUP(E127-15,'Reeksen (N)'!$A$5:$D$234,4,FALSE),0)</f>
        <v>0</v>
      </c>
      <c r="BD127" s="67">
        <f ca="1">IF(E127-'Invoer gegevens (N)'!$C$17&lt;15,0,1)</f>
        <v>1</v>
      </c>
    </row>
    <row r="128" spans="1:56" x14ac:dyDescent="0.25">
      <c r="A128" s="59"/>
      <c r="B128" s="70">
        <f t="shared" si="30"/>
        <v>124</v>
      </c>
      <c r="C128" s="67">
        <f ca="1">IF(E128-'Invoer gegevens (N)'!$C$17&lt;0,0,1)</f>
        <v>1</v>
      </c>
      <c r="D128" s="68">
        <f t="shared" si="31"/>
        <v>123.5</v>
      </c>
      <c r="E128" s="108">
        <f ca="1">IF('Invoer gegevens (N)'!$C$16="","",E127+1)</f>
        <v>2142</v>
      </c>
      <c r="F128" s="84">
        <f ca="1">IF('Invoer gegevens (N)'!$C$17=E128,'Invoer gegevens (N)'!$C$10,IF(C128=1,K127,0))</f>
        <v>0</v>
      </c>
      <c r="G128" s="96">
        <f ca="1">IF(BD128&lt;1,F128*'Reeksen (N)'!C128,IF(C128&gt;=1,F128*BA128,0))</f>
        <v>0</v>
      </c>
      <c r="H128" s="84">
        <f ca="1">(1-('Invoer gegevens (N)'!$F$20/12))*F128*MIN(BA128,BC128)</f>
        <v>0</v>
      </c>
      <c r="I128" s="84">
        <f t="shared" ca="1" si="16"/>
        <v>0</v>
      </c>
      <c r="J128" s="84">
        <f ca="1">('Invoer gegevens (N)'!$F$20/12)*F127*MIN(BA128,BC128)</f>
        <v>0</v>
      </c>
      <c r="K128" s="97">
        <f t="shared" ca="1" si="21"/>
        <v>0</v>
      </c>
      <c r="L128" s="84">
        <f ca="1">IF('Invoer gegevens (N)'!$C$17=E128,0,IF(C128=1,Q127,0))</f>
        <v>0</v>
      </c>
      <c r="M128" s="96">
        <f t="shared" ca="1" si="17"/>
        <v>0</v>
      </c>
      <c r="N128" s="84">
        <f ca="1">(1-('Invoer gegevens (N)'!$F$20/12))*L128*MIN(BA128,BC128)</f>
        <v>0</v>
      </c>
      <c r="O128" s="84">
        <f t="shared" ca="1" si="18"/>
        <v>0</v>
      </c>
      <c r="P128" s="84">
        <f ca="1">('Invoer gegevens (N)'!$F$20/12)*L127*MIN(BA128,BC128)</f>
        <v>0</v>
      </c>
      <c r="Q128" s="84">
        <f t="shared" ca="1" si="22"/>
        <v>0</v>
      </c>
      <c r="R128" s="85">
        <f ca="1">IF('Invoer gegevens (N)'!$C$17=E128,'Invoer gegevens (N)'!$C$11,IF(C128=1,W127,0))</f>
        <v>0</v>
      </c>
      <c r="S128" s="86">
        <f t="shared" ca="1" si="19"/>
        <v>0</v>
      </c>
      <c r="T128" s="86">
        <f ca="1">(1-('Invoer gegevens (N)'!$F$20/12))*R128*MIN(BC128,BA128)</f>
        <v>0</v>
      </c>
      <c r="U128" s="86">
        <f ca="1">IF(BD128&lt;1,IF('Reeksen (N)'!AD128&lt;='Reeksen (N)'!AE128,R128*'Reeksen (N)'!C128,0),IF(BC128&gt;=BA128,0,IF('Reeksen (N)'!AD128&lt;='Reeksen (N)'!AE128,(BA128-BC128)*R128,0)))</f>
        <v>0</v>
      </c>
      <c r="V128" s="86">
        <f ca="1">IF(BD128&lt;1,IF('Reeksen (N)'!AD128&gt;'Reeksen (N)'!AE128,R128*'Reeksen (N)'!C128,0),IF(BC128&gt;=BA128,0,IF('Reeksen (N)'!AD128&gt;'Reeksen (N)'!AE128,(BA128-BC128)*R128,0)))</f>
        <v>0</v>
      </c>
      <c r="W128" s="218">
        <f t="shared" ca="1" si="23"/>
        <v>0</v>
      </c>
      <c r="X128" s="98">
        <f ca="1">IF('Invoer gegevens (N)'!$C$17=E128,'Invoer gegevens (N)'!$C$10-'Invoer gegevens (N)'!$C$11,IF(C128=1,AC127,0))</f>
        <v>0</v>
      </c>
      <c r="Y128" s="98">
        <f t="shared" ca="1" si="20"/>
        <v>0</v>
      </c>
      <c r="Z128" s="98">
        <f ca="1">(1-('Invoer gegevens (N)'!$F$20/12))*X128*MIN(BA128,BC128)</f>
        <v>0</v>
      </c>
      <c r="AA128" s="98">
        <f ca="1">IF(BD128&lt;1,IF('Reeksen (N)'!AD128&lt;='Reeksen (N)'!AE128,X128*'Reeksen (N)'!C128,0),IF(BC128&gt;=BA128,0,IF('Reeksen (N)'!AD128&lt;='Reeksen (N)'!AE128,(BA128-BC128)*X128,0)))</f>
        <v>0</v>
      </c>
      <c r="AB128" s="98">
        <f ca="1">IF(BD128&lt;1,IF('Reeksen (N)'!AD128&gt;'Reeksen (N)'!AE128,X128*'Reeksen (N)'!C128,0),IF(BC128&gt;=BA128,0,IF('Reeksen (N)'!AD128&gt;'Reeksen (N)'!AE128,(BA128-BC128)*X128,0)))</f>
        <v>0</v>
      </c>
      <c r="AC128" s="99">
        <f t="shared" ca="1" si="24"/>
        <v>0</v>
      </c>
      <c r="AD128" s="98">
        <f ca="1">IF('Invoer gegevens (N)'!$C$17=E128,R128,IF(C128=0,0,AE127))</f>
        <v>0</v>
      </c>
      <c r="AE128" s="98">
        <f t="shared" ca="1" si="25"/>
        <v>0</v>
      </c>
      <c r="AF128" s="98">
        <f ca="1">IF('Invoer gegevens (N)'!$C$17=E128,X128,IF(C128=0,0,AG127))</f>
        <v>0</v>
      </c>
      <c r="AG128" s="98">
        <f t="shared" ca="1" si="26"/>
        <v>0</v>
      </c>
      <c r="AH128" s="66"/>
      <c r="AI128" s="71">
        <f ca="1">IF(C128=1,'Reeksen (N)'!AI128*((F128+K128)/2)*12+'Reeksen (N)'!AD128*((L128+Q128)/2)*12,0)</f>
        <v>0</v>
      </c>
      <c r="AJ128" s="71">
        <f ca="1">-AI128*'Invoer gegevens (N)'!$F$28</f>
        <v>0</v>
      </c>
      <c r="AK128" s="71">
        <f t="shared" ca="1" si="27"/>
        <v>0</v>
      </c>
      <c r="AL128" s="71">
        <f ca="1">IF(C128=1,'Reeksen (N)'!AL128*((F128-G128+F128)/2)*12+'Reeksen (N)'!AM128*((L128-M128+L128)/2)*12,0)</f>
        <v>0</v>
      </c>
      <c r="AM128" s="71">
        <f ca="1">-AL128*'Invoer gegevens (N)'!$F$31</f>
        <v>0</v>
      </c>
      <c r="AN128" s="71">
        <f t="shared" ca="1" si="28"/>
        <v>0</v>
      </c>
      <c r="AO128" s="71">
        <f ca="1">IF(C128=1,(H128+J128+N128+P128)*'Reeksen (N)'!AN128,0)</f>
        <v>0</v>
      </c>
      <c r="AP128" s="71">
        <f ca="1">-IF(C128=1,(H128+J128+N128+P128)*'Hulp - basis'!$O$550*'Reeksen (N)'!H128,0)</f>
        <v>0</v>
      </c>
      <c r="AQ128" s="71">
        <f ca="1">-IF(C128=1,(F128+K128+L128+Q128)/2*'Invoer gegevens (N)'!$F$35*'Reeksen (N)'!J128,0)*2</f>
        <v>0</v>
      </c>
      <c r="AR128" s="71">
        <f ca="1">IF(BD128&lt;1,-IF(C128=1,(G128*'Invoer gegevens (N)'!$F$36)*'Reeksen (N)'!J128,0),0)</f>
        <v>0</v>
      </c>
      <c r="AS128" s="71">
        <f ca="1">-IF(C128=1,(F128+K128+L128+Q128)/2*'Invoer gegevens (N)'!$F$37*'Reeksen (N)'!L128,0)</f>
        <v>0</v>
      </c>
      <c r="AT128" s="71">
        <f ca="1">-IF(C128=1,IF(E128='Invoer gegevens (N)'!$C$17,'Invoer gegevens (N)'!$C$11,AD128)*'Reeksen (N)'!S128*'Invoer gegevens (N)'!$C$18*'Reeksen (N)'!P128,0)</f>
        <v>0</v>
      </c>
      <c r="AU128" s="71">
        <f ca="1">-IF(C128=1,(F128+K128+L128+Q128)/2*'Invoer gegevens (N)'!$F$38*'Reeksen (N)'!H128,0)</f>
        <v>0</v>
      </c>
      <c r="AV128" s="71">
        <v>0</v>
      </c>
      <c r="AW128" s="71">
        <f t="shared" ca="1" si="29"/>
        <v>0</v>
      </c>
      <c r="AX128" s="71">
        <f ca="1">IF(E128&lt;'Invoer gegevens (N)'!$C$17+15,0,IF(E128&gt;'Invoer gegevens (N)'!$C$17+215,0,AW128))</f>
        <v>0</v>
      </c>
      <c r="AY128" s="71">
        <f ca="1">AX128/(1+'Invoer gegevens (N)'!$F$18)^($AZ128-('Invoer gegevens (N)'!$C$17-'Invoer gegevens (N)'!$C$16))/(1+'Invoer gegevens (N)'!$C$39)^('Invoer gegevens (N)'!$C$17-'Invoer gegevens (N)'!$C$16)</f>
        <v>0</v>
      </c>
      <c r="AZ128" s="68">
        <f ca="1">IF(E128-'Invoer gegevens (N)'!$C$17-14.5&lt;0,0,E128-'Invoer gegevens (N)'!$C$17-14.5)</f>
        <v>108.5</v>
      </c>
      <c r="BA128" s="109">
        <f ca="1">IFERROR(VLOOKUP(E128-15,'Reeksen (N)'!$A$5:$D$234,2,FALSE),0)</f>
        <v>0</v>
      </c>
      <c r="BB128" s="109">
        <f ca="1">IFERROR(VLOOKUP(E128-15,'Reeksen (N)'!$A$5:$D$234,3,FALSE),0)</f>
        <v>0</v>
      </c>
      <c r="BC128" s="109">
        <f ca="1">IFERROR(VLOOKUP(E128-15,'Reeksen (N)'!$A$5:$D$234,4,FALSE),0)</f>
        <v>0</v>
      </c>
      <c r="BD128" s="67">
        <f ca="1">IF(E128-'Invoer gegevens (N)'!$C$17&lt;15,0,1)</f>
        <v>1</v>
      </c>
    </row>
    <row r="129" spans="1:56" x14ac:dyDescent="0.25">
      <c r="A129" s="59"/>
      <c r="B129" s="70">
        <f t="shared" si="30"/>
        <v>125</v>
      </c>
      <c r="C129" s="67">
        <f ca="1">IF(E129-'Invoer gegevens (N)'!$C$17&lt;0,0,1)</f>
        <v>1</v>
      </c>
      <c r="D129" s="68">
        <f t="shared" si="31"/>
        <v>124.5</v>
      </c>
      <c r="E129" s="108">
        <f ca="1">IF('Invoer gegevens (N)'!$C$16="","",E128+1)</f>
        <v>2143</v>
      </c>
      <c r="F129" s="84">
        <f ca="1">IF('Invoer gegevens (N)'!$C$17=E129,'Invoer gegevens (N)'!$C$10,IF(C129=1,K128,0))</f>
        <v>0</v>
      </c>
      <c r="G129" s="96">
        <f ca="1">IF(BD129&lt;1,F129*'Reeksen (N)'!C129,IF(C129&gt;=1,F129*BA129,0))</f>
        <v>0</v>
      </c>
      <c r="H129" s="84">
        <f ca="1">(1-('Invoer gegevens (N)'!$F$20/12))*F129*MIN(BA129,BC129)</f>
        <v>0</v>
      </c>
      <c r="I129" s="84">
        <f t="shared" ca="1" si="16"/>
        <v>0</v>
      </c>
      <c r="J129" s="84">
        <f ca="1">('Invoer gegevens (N)'!$F$20/12)*F128*MIN(BA129,BC129)</f>
        <v>0</v>
      </c>
      <c r="K129" s="97">
        <f t="shared" ca="1" si="21"/>
        <v>0</v>
      </c>
      <c r="L129" s="84">
        <f ca="1">IF('Invoer gegevens (N)'!$C$17=E129,0,IF(C129=1,Q128,0))</f>
        <v>0</v>
      </c>
      <c r="M129" s="96">
        <f t="shared" ca="1" si="17"/>
        <v>0</v>
      </c>
      <c r="N129" s="84">
        <f ca="1">(1-('Invoer gegevens (N)'!$F$20/12))*L129*MIN(BA129,BC129)</f>
        <v>0</v>
      </c>
      <c r="O129" s="84">
        <f t="shared" ca="1" si="18"/>
        <v>0</v>
      </c>
      <c r="P129" s="84">
        <f ca="1">('Invoer gegevens (N)'!$F$20/12)*L128*MIN(BA129,BC129)</f>
        <v>0</v>
      </c>
      <c r="Q129" s="84">
        <f t="shared" ca="1" si="22"/>
        <v>0</v>
      </c>
      <c r="R129" s="85">
        <f ca="1">IF('Invoer gegevens (N)'!$C$17=E129,'Invoer gegevens (N)'!$C$11,IF(C129=1,W128,0))</f>
        <v>0</v>
      </c>
      <c r="S129" s="86">
        <f t="shared" ca="1" si="19"/>
        <v>0</v>
      </c>
      <c r="T129" s="86">
        <f ca="1">(1-('Invoer gegevens (N)'!$F$20/12))*R129*MIN(BC129,BA129)</f>
        <v>0</v>
      </c>
      <c r="U129" s="86">
        <f ca="1">IF(BD129&lt;1,IF('Reeksen (N)'!AD129&lt;='Reeksen (N)'!AE129,R129*'Reeksen (N)'!C129,0),IF(BC129&gt;=BA129,0,IF('Reeksen (N)'!AD129&lt;='Reeksen (N)'!AE129,(BA129-BC129)*R129,0)))</f>
        <v>0</v>
      </c>
      <c r="V129" s="86">
        <f ca="1">IF(BD129&lt;1,IF('Reeksen (N)'!AD129&gt;'Reeksen (N)'!AE129,R129*'Reeksen (N)'!C129,0),IF(BC129&gt;=BA129,0,IF('Reeksen (N)'!AD129&gt;'Reeksen (N)'!AE129,(BA129-BC129)*R129,0)))</f>
        <v>0</v>
      </c>
      <c r="W129" s="218">
        <f t="shared" ca="1" si="23"/>
        <v>0</v>
      </c>
      <c r="X129" s="98">
        <f ca="1">IF('Invoer gegevens (N)'!$C$17=E129,'Invoer gegevens (N)'!$C$10-'Invoer gegevens (N)'!$C$11,IF(C129=1,AC128,0))</f>
        <v>0</v>
      </c>
      <c r="Y129" s="98">
        <f t="shared" ca="1" si="20"/>
        <v>0</v>
      </c>
      <c r="Z129" s="98">
        <f ca="1">(1-('Invoer gegevens (N)'!$F$20/12))*X129*MIN(BA129,BC129)</f>
        <v>0</v>
      </c>
      <c r="AA129" s="98">
        <f ca="1">IF(BD129&lt;1,IF('Reeksen (N)'!AD129&lt;='Reeksen (N)'!AE129,X129*'Reeksen (N)'!C129,0),IF(BC129&gt;=BA129,0,IF('Reeksen (N)'!AD129&lt;='Reeksen (N)'!AE129,(BA129-BC129)*X129,0)))</f>
        <v>0</v>
      </c>
      <c r="AB129" s="98">
        <f ca="1">IF(BD129&lt;1,IF('Reeksen (N)'!AD129&gt;'Reeksen (N)'!AE129,X129*'Reeksen (N)'!C129,0),IF(BC129&gt;=BA129,0,IF('Reeksen (N)'!AD129&gt;'Reeksen (N)'!AE129,(BA129-BC129)*X129,0)))</f>
        <v>0</v>
      </c>
      <c r="AC129" s="99">
        <f t="shared" ca="1" si="24"/>
        <v>0</v>
      </c>
      <c r="AD129" s="98">
        <f ca="1">IF('Invoer gegevens (N)'!$C$17=E129,R129,IF(C129=0,0,AE128))</f>
        <v>0</v>
      </c>
      <c r="AE129" s="98">
        <f t="shared" ca="1" si="25"/>
        <v>0</v>
      </c>
      <c r="AF129" s="98">
        <f ca="1">IF('Invoer gegevens (N)'!$C$17=E129,X129,IF(C129=0,0,AG128))</f>
        <v>0</v>
      </c>
      <c r="AG129" s="98">
        <f t="shared" ca="1" si="26"/>
        <v>0</v>
      </c>
      <c r="AH129" s="66"/>
      <c r="AI129" s="71">
        <f ca="1">IF(C129=1,'Reeksen (N)'!AI129*((F129+K129)/2)*12+'Reeksen (N)'!AD129*((L129+Q129)/2)*12,0)</f>
        <v>0</v>
      </c>
      <c r="AJ129" s="71">
        <f ca="1">-AI129*'Invoer gegevens (N)'!$F$28</f>
        <v>0</v>
      </c>
      <c r="AK129" s="71">
        <f t="shared" ca="1" si="27"/>
        <v>0</v>
      </c>
      <c r="AL129" s="71">
        <f ca="1">IF(C129=1,'Reeksen (N)'!AL129*((F129-G129+F129)/2)*12+'Reeksen (N)'!AM129*((L129-M129+L129)/2)*12,0)</f>
        <v>0</v>
      </c>
      <c r="AM129" s="71">
        <f ca="1">-AL129*'Invoer gegevens (N)'!$F$31</f>
        <v>0</v>
      </c>
      <c r="AN129" s="71">
        <f t="shared" ca="1" si="28"/>
        <v>0</v>
      </c>
      <c r="AO129" s="71">
        <f ca="1">IF(C129=1,(H129+J129+N129+P129)*'Reeksen (N)'!AN129,0)</f>
        <v>0</v>
      </c>
      <c r="AP129" s="71">
        <f ca="1">-IF(C129=1,(H129+J129+N129+P129)*'Hulp - basis'!$O$550*'Reeksen (N)'!H129,0)</f>
        <v>0</v>
      </c>
      <c r="AQ129" s="71">
        <f ca="1">-IF(C129=1,(F129+K129+L129+Q129)/2*'Invoer gegevens (N)'!$F$35*'Reeksen (N)'!J129,0)*2</f>
        <v>0</v>
      </c>
      <c r="AR129" s="71">
        <f ca="1">IF(BD129&lt;1,-IF(C129=1,(G129*'Invoer gegevens (N)'!$F$36)*'Reeksen (N)'!J129,0),0)</f>
        <v>0</v>
      </c>
      <c r="AS129" s="71">
        <f ca="1">-IF(C129=1,(F129+K129+L129+Q129)/2*'Invoer gegevens (N)'!$F$37*'Reeksen (N)'!L129,0)</f>
        <v>0</v>
      </c>
      <c r="AT129" s="71">
        <f ca="1">-IF(C129=1,IF(E129='Invoer gegevens (N)'!$C$17,'Invoer gegevens (N)'!$C$11,AD129)*'Reeksen (N)'!S129*'Invoer gegevens (N)'!$C$18*'Reeksen (N)'!P129,0)</f>
        <v>0</v>
      </c>
      <c r="AU129" s="71">
        <f ca="1">-IF(C129=1,(F129+K129+L129+Q129)/2*'Invoer gegevens (N)'!$F$38*'Reeksen (N)'!H129,0)</f>
        <v>0</v>
      </c>
      <c r="AV129" s="71">
        <v>0</v>
      </c>
      <c r="AW129" s="71">
        <f t="shared" ca="1" si="29"/>
        <v>0</v>
      </c>
      <c r="AX129" s="71">
        <f ca="1">IF(E129&lt;'Invoer gegevens (N)'!$C$17+15,0,IF(E129&gt;'Invoer gegevens (N)'!$C$17+215,0,AW129))</f>
        <v>0</v>
      </c>
      <c r="AY129" s="71">
        <f ca="1">AX129/(1+'Invoer gegevens (N)'!$F$18)^($AZ129-('Invoer gegevens (N)'!$C$17-'Invoer gegevens (N)'!$C$16))/(1+'Invoer gegevens (N)'!$C$39)^('Invoer gegevens (N)'!$C$17-'Invoer gegevens (N)'!$C$16)</f>
        <v>0</v>
      </c>
      <c r="AZ129" s="68">
        <f ca="1">IF(E129-'Invoer gegevens (N)'!$C$17-14.5&lt;0,0,E129-'Invoer gegevens (N)'!$C$17-14.5)</f>
        <v>109.5</v>
      </c>
      <c r="BA129" s="109">
        <f ca="1">IFERROR(VLOOKUP(E129-15,'Reeksen (N)'!$A$5:$D$234,2,FALSE),0)</f>
        <v>0</v>
      </c>
      <c r="BB129" s="109">
        <f ca="1">IFERROR(VLOOKUP(E129-15,'Reeksen (N)'!$A$5:$D$234,3,FALSE),0)</f>
        <v>0</v>
      </c>
      <c r="BC129" s="109">
        <f ca="1">IFERROR(VLOOKUP(E129-15,'Reeksen (N)'!$A$5:$D$234,4,FALSE),0)</f>
        <v>0</v>
      </c>
      <c r="BD129" s="67">
        <f ca="1">IF(E129-'Invoer gegevens (N)'!$C$17&lt;15,0,1)</f>
        <v>1</v>
      </c>
    </row>
    <row r="130" spans="1:56" x14ac:dyDescent="0.25">
      <c r="A130" s="59"/>
      <c r="B130" s="70">
        <f t="shared" si="30"/>
        <v>126</v>
      </c>
      <c r="C130" s="67">
        <f ca="1">IF(E130-'Invoer gegevens (N)'!$C$17&lt;0,0,1)</f>
        <v>1</v>
      </c>
      <c r="D130" s="68">
        <f t="shared" si="31"/>
        <v>125.5</v>
      </c>
      <c r="E130" s="108">
        <f ca="1">IF('Invoer gegevens (N)'!$C$16="","",E129+1)</f>
        <v>2144</v>
      </c>
      <c r="F130" s="84">
        <f ca="1">IF('Invoer gegevens (N)'!$C$17=E130,'Invoer gegevens (N)'!$C$10,IF(C130=1,K129,0))</f>
        <v>0</v>
      </c>
      <c r="G130" s="96">
        <f ca="1">IF(BD130&lt;1,F130*'Reeksen (N)'!C130,IF(C130&gt;=1,F130*BA130,0))</f>
        <v>0</v>
      </c>
      <c r="H130" s="84">
        <f ca="1">(1-('Invoer gegevens (N)'!$F$20/12))*F130*MIN(BA130,BC130)</f>
        <v>0</v>
      </c>
      <c r="I130" s="84">
        <f t="shared" ca="1" si="16"/>
        <v>0</v>
      </c>
      <c r="J130" s="84">
        <f ca="1">('Invoer gegevens (N)'!$F$20/12)*F129*MIN(BA130,BC130)</f>
        <v>0</v>
      </c>
      <c r="K130" s="97">
        <f t="shared" ca="1" si="21"/>
        <v>0</v>
      </c>
      <c r="L130" s="84">
        <f ca="1">IF('Invoer gegevens (N)'!$C$17=E130,0,IF(C130=1,Q129,0))</f>
        <v>0</v>
      </c>
      <c r="M130" s="96">
        <f t="shared" ca="1" si="17"/>
        <v>0</v>
      </c>
      <c r="N130" s="84">
        <f ca="1">(1-('Invoer gegevens (N)'!$F$20/12))*L130*MIN(BA130,BC130)</f>
        <v>0</v>
      </c>
      <c r="O130" s="84">
        <f t="shared" ca="1" si="18"/>
        <v>0</v>
      </c>
      <c r="P130" s="84">
        <f ca="1">('Invoer gegevens (N)'!$F$20/12)*L129*MIN(BA130,BC130)</f>
        <v>0</v>
      </c>
      <c r="Q130" s="84">
        <f t="shared" ca="1" si="22"/>
        <v>0</v>
      </c>
      <c r="R130" s="85">
        <f ca="1">IF('Invoer gegevens (N)'!$C$17=E130,'Invoer gegevens (N)'!$C$11,IF(C130=1,W129,0))</f>
        <v>0</v>
      </c>
      <c r="S130" s="86">
        <f t="shared" ca="1" si="19"/>
        <v>0</v>
      </c>
      <c r="T130" s="86">
        <f ca="1">(1-('Invoer gegevens (N)'!$F$20/12))*R130*MIN(BC130,BA130)</f>
        <v>0</v>
      </c>
      <c r="U130" s="86">
        <f ca="1">IF(BD130&lt;1,IF('Reeksen (N)'!AD130&lt;='Reeksen (N)'!AE130,R130*'Reeksen (N)'!C130,0),IF(BC130&gt;=BA130,0,IF('Reeksen (N)'!AD130&lt;='Reeksen (N)'!AE130,(BA130-BC130)*R130,0)))</f>
        <v>0</v>
      </c>
      <c r="V130" s="86">
        <f ca="1">IF(BD130&lt;1,IF('Reeksen (N)'!AD130&gt;'Reeksen (N)'!AE130,R130*'Reeksen (N)'!C130,0),IF(BC130&gt;=BA130,0,IF('Reeksen (N)'!AD130&gt;'Reeksen (N)'!AE130,(BA130-BC130)*R130,0)))</f>
        <v>0</v>
      </c>
      <c r="W130" s="218">
        <f t="shared" ca="1" si="23"/>
        <v>0</v>
      </c>
      <c r="X130" s="98">
        <f ca="1">IF('Invoer gegevens (N)'!$C$17=E130,'Invoer gegevens (N)'!$C$10-'Invoer gegevens (N)'!$C$11,IF(C130=1,AC129,0))</f>
        <v>0</v>
      </c>
      <c r="Y130" s="98">
        <f t="shared" ca="1" si="20"/>
        <v>0</v>
      </c>
      <c r="Z130" s="98">
        <f ca="1">(1-('Invoer gegevens (N)'!$F$20/12))*X130*MIN(BA130,BC130)</f>
        <v>0</v>
      </c>
      <c r="AA130" s="98">
        <f ca="1">IF(BD130&lt;1,IF('Reeksen (N)'!AD130&lt;='Reeksen (N)'!AE130,X130*'Reeksen (N)'!C130,0),IF(BC130&gt;=BA130,0,IF('Reeksen (N)'!AD130&lt;='Reeksen (N)'!AE130,(BA130-BC130)*X130,0)))</f>
        <v>0</v>
      </c>
      <c r="AB130" s="98">
        <f ca="1">IF(BD130&lt;1,IF('Reeksen (N)'!AD130&gt;'Reeksen (N)'!AE130,X130*'Reeksen (N)'!C130,0),IF(BC130&gt;=BA130,0,IF('Reeksen (N)'!AD130&gt;'Reeksen (N)'!AE130,(BA130-BC130)*X130,0)))</f>
        <v>0</v>
      </c>
      <c r="AC130" s="99">
        <f t="shared" ca="1" si="24"/>
        <v>0</v>
      </c>
      <c r="AD130" s="98">
        <f ca="1">IF('Invoer gegevens (N)'!$C$17=E130,R130,IF(C130=0,0,AE129))</f>
        <v>0</v>
      </c>
      <c r="AE130" s="98">
        <f t="shared" ca="1" si="25"/>
        <v>0</v>
      </c>
      <c r="AF130" s="98">
        <f ca="1">IF('Invoer gegevens (N)'!$C$17=E130,X130,IF(C130=0,0,AG129))</f>
        <v>0</v>
      </c>
      <c r="AG130" s="98">
        <f t="shared" ca="1" si="26"/>
        <v>0</v>
      </c>
      <c r="AH130" s="66"/>
      <c r="AI130" s="71">
        <f ca="1">IF(C130=1,'Reeksen (N)'!AI130*((F130+K130)/2)*12+'Reeksen (N)'!AD130*((L130+Q130)/2)*12,0)</f>
        <v>0</v>
      </c>
      <c r="AJ130" s="71">
        <f ca="1">-AI130*'Invoer gegevens (N)'!$F$28</f>
        <v>0</v>
      </c>
      <c r="AK130" s="71">
        <f t="shared" ca="1" si="27"/>
        <v>0</v>
      </c>
      <c r="AL130" s="71">
        <f ca="1">IF(C130=1,'Reeksen (N)'!AL130*((F130-G130+F130)/2)*12+'Reeksen (N)'!AM130*((L130-M130+L130)/2)*12,0)</f>
        <v>0</v>
      </c>
      <c r="AM130" s="71">
        <f ca="1">-AL130*'Invoer gegevens (N)'!$F$31</f>
        <v>0</v>
      </c>
      <c r="AN130" s="71">
        <f t="shared" ca="1" si="28"/>
        <v>0</v>
      </c>
      <c r="AO130" s="71">
        <f ca="1">IF(C130=1,(H130+J130+N130+P130)*'Reeksen (N)'!AN130,0)</f>
        <v>0</v>
      </c>
      <c r="AP130" s="71">
        <f ca="1">-IF(C130=1,(H130+J130+N130+P130)*'Hulp - basis'!$O$550*'Reeksen (N)'!H130,0)</f>
        <v>0</v>
      </c>
      <c r="AQ130" s="71">
        <f ca="1">-IF(C130=1,(F130+K130+L130+Q130)/2*'Invoer gegevens (N)'!$F$35*'Reeksen (N)'!J130,0)*2</f>
        <v>0</v>
      </c>
      <c r="AR130" s="71">
        <f ca="1">IF(BD130&lt;1,-IF(C130=1,(G130*'Invoer gegevens (N)'!$F$36)*'Reeksen (N)'!J130,0),0)</f>
        <v>0</v>
      </c>
      <c r="AS130" s="71">
        <f ca="1">-IF(C130=1,(F130+K130+L130+Q130)/2*'Invoer gegevens (N)'!$F$37*'Reeksen (N)'!L130,0)</f>
        <v>0</v>
      </c>
      <c r="AT130" s="71">
        <f ca="1">-IF(C130=1,IF(E130='Invoer gegevens (N)'!$C$17,'Invoer gegevens (N)'!$C$11,AD130)*'Reeksen (N)'!S130*'Invoer gegevens (N)'!$C$18*'Reeksen (N)'!P130,0)</f>
        <v>0</v>
      </c>
      <c r="AU130" s="71">
        <f ca="1">-IF(C130=1,(F130+K130+L130+Q130)/2*'Invoer gegevens (N)'!$F$38*'Reeksen (N)'!H130,0)</f>
        <v>0</v>
      </c>
      <c r="AV130" s="71">
        <v>0</v>
      </c>
      <c r="AW130" s="71">
        <f t="shared" ca="1" si="29"/>
        <v>0</v>
      </c>
      <c r="AX130" s="71">
        <f ca="1">IF(E130&lt;'Invoer gegevens (N)'!$C$17+15,0,IF(E130&gt;'Invoer gegevens (N)'!$C$17+215,0,AW130))</f>
        <v>0</v>
      </c>
      <c r="AY130" s="71">
        <f ca="1">AX130/(1+'Invoer gegevens (N)'!$F$18)^($AZ130-('Invoer gegevens (N)'!$C$17-'Invoer gegevens (N)'!$C$16))/(1+'Invoer gegevens (N)'!$C$39)^('Invoer gegevens (N)'!$C$17-'Invoer gegevens (N)'!$C$16)</f>
        <v>0</v>
      </c>
      <c r="AZ130" s="68">
        <f ca="1">IF(E130-'Invoer gegevens (N)'!$C$17-14.5&lt;0,0,E130-'Invoer gegevens (N)'!$C$17-14.5)</f>
        <v>110.5</v>
      </c>
      <c r="BA130" s="109">
        <f ca="1">IFERROR(VLOOKUP(E130-15,'Reeksen (N)'!$A$5:$D$234,2,FALSE),0)</f>
        <v>0</v>
      </c>
      <c r="BB130" s="109">
        <f ca="1">IFERROR(VLOOKUP(E130-15,'Reeksen (N)'!$A$5:$D$234,3,FALSE),0)</f>
        <v>0</v>
      </c>
      <c r="BC130" s="109">
        <f ca="1">IFERROR(VLOOKUP(E130-15,'Reeksen (N)'!$A$5:$D$234,4,FALSE),0)</f>
        <v>0</v>
      </c>
      <c r="BD130" s="67">
        <f ca="1">IF(E130-'Invoer gegevens (N)'!$C$17&lt;15,0,1)</f>
        <v>1</v>
      </c>
    </row>
    <row r="131" spans="1:56" x14ac:dyDescent="0.25">
      <c r="A131" s="59"/>
      <c r="B131" s="70">
        <f t="shared" si="30"/>
        <v>127</v>
      </c>
      <c r="C131" s="67">
        <f ca="1">IF(E131-'Invoer gegevens (N)'!$C$17&lt;0,0,1)</f>
        <v>1</v>
      </c>
      <c r="D131" s="68">
        <f t="shared" si="31"/>
        <v>126.5</v>
      </c>
      <c r="E131" s="108">
        <f ca="1">IF('Invoer gegevens (N)'!$C$16="","",E130+1)</f>
        <v>2145</v>
      </c>
      <c r="F131" s="84">
        <f ca="1">IF('Invoer gegevens (N)'!$C$17=E131,'Invoer gegevens (N)'!$C$10,IF(C131=1,K130,0))</f>
        <v>0</v>
      </c>
      <c r="G131" s="96">
        <f ca="1">IF(BD131&lt;1,F131*'Reeksen (N)'!C131,IF(C131&gt;=1,F131*BA131,0))</f>
        <v>0</v>
      </c>
      <c r="H131" s="84">
        <f ca="1">(1-('Invoer gegevens (N)'!$F$20/12))*F131*MIN(BA131,BC131)</f>
        <v>0</v>
      </c>
      <c r="I131" s="84">
        <f t="shared" ca="1" si="16"/>
        <v>0</v>
      </c>
      <c r="J131" s="84">
        <f ca="1">('Invoer gegevens (N)'!$F$20/12)*F130*MIN(BA131,BC131)</f>
        <v>0</v>
      </c>
      <c r="K131" s="97">
        <f t="shared" ca="1" si="21"/>
        <v>0</v>
      </c>
      <c r="L131" s="84">
        <f ca="1">IF('Invoer gegevens (N)'!$C$17=E131,0,IF(C131=1,Q130,0))</f>
        <v>0</v>
      </c>
      <c r="M131" s="96">
        <f t="shared" ca="1" si="17"/>
        <v>0</v>
      </c>
      <c r="N131" s="84">
        <f ca="1">(1-('Invoer gegevens (N)'!$F$20/12))*L131*MIN(BA131,BC131)</f>
        <v>0</v>
      </c>
      <c r="O131" s="84">
        <f t="shared" ca="1" si="18"/>
        <v>0</v>
      </c>
      <c r="P131" s="84">
        <f ca="1">('Invoer gegevens (N)'!$F$20/12)*L130*MIN(BA131,BC131)</f>
        <v>0</v>
      </c>
      <c r="Q131" s="84">
        <f t="shared" ca="1" si="22"/>
        <v>0</v>
      </c>
      <c r="R131" s="85">
        <f ca="1">IF('Invoer gegevens (N)'!$C$17=E131,'Invoer gegevens (N)'!$C$11,IF(C131=1,W130,0))</f>
        <v>0</v>
      </c>
      <c r="S131" s="86">
        <f t="shared" ca="1" si="19"/>
        <v>0</v>
      </c>
      <c r="T131" s="86">
        <f ca="1">(1-('Invoer gegevens (N)'!$F$20/12))*R131*MIN(BC131,BA131)</f>
        <v>0</v>
      </c>
      <c r="U131" s="86">
        <f ca="1">IF(BD131&lt;1,IF('Reeksen (N)'!AD131&lt;='Reeksen (N)'!AE131,R131*'Reeksen (N)'!C131,0),IF(BC131&gt;=BA131,0,IF('Reeksen (N)'!AD131&lt;='Reeksen (N)'!AE131,(BA131-BC131)*R131,0)))</f>
        <v>0</v>
      </c>
      <c r="V131" s="86">
        <f ca="1">IF(BD131&lt;1,IF('Reeksen (N)'!AD131&gt;'Reeksen (N)'!AE131,R131*'Reeksen (N)'!C131,0),IF(BC131&gt;=BA131,0,IF('Reeksen (N)'!AD131&gt;'Reeksen (N)'!AE131,(BA131-BC131)*R131,0)))</f>
        <v>0</v>
      </c>
      <c r="W131" s="218">
        <f t="shared" ca="1" si="23"/>
        <v>0</v>
      </c>
      <c r="X131" s="98">
        <f ca="1">IF('Invoer gegevens (N)'!$C$17=E131,'Invoer gegevens (N)'!$C$10-'Invoer gegevens (N)'!$C$11,IF(C131=1,AC130,0))</f>
        <v>0</v>
      </c>
      <c r="Y131" s="98">
        <f t="shared" ca="1" si="20"/>
        <v>0</v>
      </c>
      <c r="Z131" s="98">
        <f ca="1">(1-('Invoer gegevens (N)'!$F$20/12))*X131*MIN(BA131,BC131)</f>
        <v>0</v>
      </c>
      <c r="AA131" s="98">
        <f ca="1">IF(BD131&lt;1,IF('Reeksen (N)'!AD131&lt;='Reeksen (N)'!AE131,X131*'Reeksen (N)'!C131,0),IF(BC131&gt;=BA131,0,IF('Reeksen (N)'!AD131&lt;='Reeksen (N)'!AE131,(BA131-BC131)*X131,0)))</f>
        <v>0</v>
      </c>
      <c r="AB131" s="98">
        <f ca="1">IF(BD131&lt;1,IF('Reeksen (N)'!AD131&gt;'Reeksen (N)'!AE131,X131*'Reeksen (N)'!C131,0),IF(BC131&gt;=BA131,0,IF('Reeksen (N)'!AD131&gt;'Reeksen (N)'!AE131,(BA131-BC131)*X131,0)))</f>
        <v>0</v>
      </c>
      <c r="AC131" s="99">
        <f t="shared" ca="1" si="24"/>
        <v>0</v>
      </c>
      <c r="AD131" s="98">
        <f ca="1">IF('Invoer gegevens (N)'!$C$17=E131,R131,IF(C131=0,0,AE130))</f>
        <v>0</v>
      </c>
      <c r="AE131" s="98">
        <f t="shared" ca="1" si="25"/>
        <v>0</v>
      </c>
      <c r="AF131" s="98">
        <f ca="1">IF('Invoer gegevens (N)'!$C$17=E131,X131,IF(C131=0,0,AG130))</f>
        <v>0</v>
      </c>
      <c r="AG131" s="98">
        <f t="shared" ca="1" si="26"/>
        <v>0</v>
      </c>
      <c r="AH131" s="66"/>
      <c r="AI131" s="71">
        <f ca="1">IF(C131=1,'Reeksen (N)'!AI131*((F131+K131)/2)*12+'Reeksen (N)'!AD131*((L131+Q131)/2)*12,0)</f>
        <v>0</v>
      </c>
      <c r="AJ131" s="71">
        <f ca="1">-AI131*'Invoer gegevens (N)'!$F$28</f>
        <v>0</v>
      </c>
      <c r="AK131" s="71">
        <f t="shared" ca="1" si="27"/>
        <v>0</v>
      </c>
      <c r="AL131" s="71">
        <f ca="1">IF(C131=1,'Reeksen (N)'!AL131*((F131-G131+F131)/2)*12+'Reeksen (N)'!AM131*((L131-M131+L131)/2)*12,0)</f>
        <v>0</v>
      </c>
      <c r="AM131" s="71">
        <f ca="1">-AL131*'Invoer gegevens (N)'!$F$31</f>
        <v>0</v>
      </c>
      <c r="AN131" s="71">
        <f t="shared" ca="1" si="28"/>
        <v>0</v>
      </c>
      <c r="AO131" s="71">
        <f ca="1">IF(C131=1,(H131+J131+N131+P131)*'Reeksen (N)'!AN131,0)</f>
        <v>0</v>
      </c>
      <c r="AP131" s="71">
        <f ca="1">-IF(C131=1,(H131+J131+N131+P131)*'Hulp - basis'!$O$550*'Reeksen (N)'!H131,0)</f>
        <v>0</v>
      </c>
      <c r="AQ131" s="71">
        <f ca="1">-IF(C131=1,(F131+K131+L131+Q131)/2*'Invoer gegevens (N)'!$F$35*'Reeksen (N)'!J131,0)*2</f>
        <v>0</v>
      </c>
      <c r="AR131" s="71">
        <f ca="1">IF(BD131&lt;1,-IF(C131=1,(G131*'Invoer gegevens (N)'!$F$36)*'Reeksen (N)'!J131,0),0)</f>
        <v>0</v>
      </c>
      <c r="AS131" s="71">
        <f ca="1">-IF(C131=1,(F131+K131+L131+Q131)/2*'Invoer gegevens (N)'!$F$37*'Reeksen (N)'!L131,0)</f>
        <v>0</v>
      </c>
      <c r="AT131" s="71">
        <f ca="1">-IF(C131=1,IF(E131='Invoer gegevens (N)'!$C$17,'Invoer gegevens (N)'!$C$11,AD131)*'Reeksen (N)'!S131*'Invoer gegevens (N)'!$C$18*'Reeksen (N)'!P131,0)</f>
        <v>0</v>
      </c>
      <c r="AU131" s="71">
        <f ca="1">-IF(C131=1,(F131+K131+L131+Q131)/2*'Invoer gegevens (N)'!$F$38*'Reeksen (N)'!H131,0)</f>
        <v>0</v>
      </c>
      <c r="AV131" s="71">
        <v>0</v>
      </c>
      <c r="AW131" s="71">
        <f t="shared" ca="1" si="29"/>
        <v>0</v>
      </c>
      <c r="AX131" s="71">
        <f ca="1">IF(E131&lt;'Invoer gegevens (N)'!$C$17+15,0,IF(E131&gt;'Invoer gegevens (N)'!$C$17+215,0,AW131))</f>
        <v>0</v>
      </c>
      <c r="AY131" s="71">
        <f ca="1">AX131/(1+'Invoer gegevens (N)'!$F$18)^($AZ131-('Invoer gegevens (N)'!$C$17-'Invoer gegevens (N)'!$C$16))/(1+'Invoer gegevens (N)'!$C$39)^('Invoer gegevens (N)'!$C$17-'Invoer gegevens (N)'!$C$16)</f>
        <v>0</v>
      </c>
      <c r="AZ131" s="68">
        <f ca="1">IF(E131-'Invoer gegevens (N)'!$C$17-14.5&lt;0,0,E131-'Invoer gegevens (N)'!$C$17-14.5)</f>
        <v>111.5</v>
      </c>
      <c r="BA131" s="109">
        <f ca="1">IFERROR(VLOOKUP(E131-15,'Reeksen (N)'!$A$5:$D$234,2,FALSE),0)</f>
        <v>0</v>
      </c>
      <c r="BB131" s="109">
        <f ca="1">IFERROR(VLOOKUP(E131-15,'Reeksen (N)'!$A$5:$D$234,3,FALSE),0)</f>
        <v>0</v>
      </c>
      <c r="BC131" s="109">
        <f ca="1">IFERROR(VLOOKUP(E131-15,'Reeksen (N)'!$A$5:$D$234,4,FALSE),0)</f>
        <v>0</v>
      </c>
      <c r="BD131" s="67">
        <f ca="1">IF(E131-'Invoer gegevens (N)'!$C$17&lt;15,0,1)</f>
        <v>1</v>
      </c>
    </row>
    <row r="132" spans="1:56" x14ac:dyDescent="0.25">
      <c r="A132" s="59"/>
      <c r="B132" s="70">
        <f t="shared" si="30"/>
        <v>128</v>
      </c>
      <c r="C132" s="67">
        <f ca="1">IF(E132-'Invoer gegevens (N)'!$C$17&lt;0,0,1)</f>
        <v>1</v>
      </c>
      <c r="D132" s="68">
        <f t="shared" si="31"/>
        <v>127.5</v>
      </c>
      <c r="E132" s="108">
        <f ca="1">IF('Invoer gegevens (N)'!$C$16="","",E131+1)</f>
        <v>2146</v>
      </c>
      <c r="F132" s="84">
        <f ca="1">IF('Invoer gegevens (N)'!$C$17=E132,'Invoer gegevens (N)'!$C$10,IF(C132=1,K131,0))</f>
        <v>0</v>
      </c>
      <c r="G132" s="96">
        <f ca="1">IF(BD132&lt;1,F132*'Reeksen (N)'!C132,IF(C132&gt;=1,F132*BA132,0))</f>
        <v>0</v>
      </c>
      <c r="H132" s="84">
        <f ca="1">(1-('Invoer gegevens (N)'!$F$20/12))*F132*MIN(BA132,BC132)</f>
        <v>0</v>
      </c>
      <c r="I132" s="84">
        <f t="shared" ca="1" si="16"/>
        <v>0</v>
      </c>
      <c r="J132" s="84">
        <f ca="1">('Invoer gegevens (N)'!$F$20/12)*F131*MIN(BA132,BC132)</f>
        <v>0</v>
      </c>
      <c r="K132" s="97">
        <f t="shared" ca="1" si="21"/>
        <v>0</v>
      </c>
      <c r="L132" s="84">
        <f ca="1">IF('Invoer gegevens (N)'!$C$17=E132,0,IF(C132=1,Q131,0))</f>
        <v>0</v>
      </c>
      <c r="M132" s="96">
        <f t="shared" ca="1" si="17"/>
        <v>0</v>
      </c>
      <c r="N132" s="84">
        <f ca="1">(1-('Invoer gegevens (N)'!$F$20/12))*L132*MIN(BA132,BC132)</f>
        <v>0</v>
      </c>
      <c r="O132" s="84">
        <f t="shared" ca="1" si="18"/>
        <v>0</v>
      </c>
      <c r="P132" s="84">
        <f ca="1">('Invoer gegevens (N)'!$F$20/12)*L131*MIN(BA132,BC132)</f>
        <v>0</v>
      </c>
      <c r="Q132" s="84">
        <f t="shared" ca="1" si="22"/>
        <v>0</v>
      </c>
      <c r="R132" s="85">
        <f ca="1">IF('Invoer gegevens (N)'!$C$17=E132,'Invoer gegevens (N)'!$C$11,IF(C132=1,W131,0))</f>
        <v>0</v>
      </c>
      <c r="S132" s="86">
        <f t="shared" ca="1" si="19"/>
        <v>0</v>
      </c>
      <c r="T132" s="86">
        <f ca="1">(1-('Invoer gegevens (N)'!$F$20/12))*R132*MIN(BC132,BA132)</f>
        <v>0</v>
      </c>
      <c r="U132" s="86">
        <f ca="1">IF(BD132&lt;1,IF('Reeksen (N)'!AD132&lt;='Reeksen (N)'!AE132,R132*'Reeksen (N)'!C132,0),IF(BC132&gt;=BA132,0,IF('Reeksen (N)'!AD132&lt;='Reeksen (N)'!AE132,(BA132-BC132)*R132,0)))</f>
        <v>0</v>
      </c>
      <c r="V132" s="86">
        <f ca="1">IF(BD132&lt;1,IF('Reeksen (N)'!AD132&gt;'Reeksen (N)'!AE132,R132*'Reeksen (N)'!C132,0),IF(BC132&gt;=BA132,0,IF('Reeksen (N)'!AD132&gt;'Reeksen (N)'!AE132,(BA132-BC132)*R132,0)))</f>
        <v>0</v>
      </c>
      <c r="W132" s="218">
        <f t="shared" ca="1" si="23"/>
        <v>0</v>
      </c>
      <c r="X132" s="98">
        <f ca="1">IF('Invoer gegevens (N)'!$C$17=E132,'Invoer gegevens (N)'!$C$10-'Invoer gegevens (N)'!$C$11,IF(C132=1,AC131,0))</f>
        <v>0</v>
      </c>
      <c r="Y132" s="98">
        <f t="shared" ca="1" si="20"/>
        <v>0</v>
      </c>
      <c r="Z132" s="98">
        <f ca="1">(1-('Invoer gegevens (N)'!$F$20/12))*X132*MIN(BA132,BC132)</f>
        <v>0</v>
      </c>
      <c r="AA132" s="98">
        <f ca="1">IF(BD132&lt;1,IF('Reeksen (N)'!AD132&lt;='Reeksen (N)'!AE132,X132*'Reeksen (N)'!C132,0),IF(BC132&gt;=BA132,0,IF('Reeksen (N)'!AD132&lt;='Reeksen (N)'!AE132,(BA132-BC132)*X132,0)))</f>
        <v>0</v>
      </c>
      <c r="AB132" s="98">
        <f ca="1">IF(BD132&lt;1,IF('Reeksen (N)'!AD132&gt;'Reeksen (N)'!AE132,X132*'Reeksen (N)'!C132,0),IF(BC132&gt;=BA132,0,IF('Reeksen (N)'!AD132&gt;'Reeksen (N)'!AE132,(BA132-BC132)*X132,0)))</f>
        <v>0</v>
      </c>
      <c r="AC132" s="99">
        <f t="shared" ca="1" si="24"/>
        <v>0</v>
      </c>
      <c r="AD132" s="98">
        <f ca="1">IF('Invoer gegevens (N)'!$C$17=E132,R132,IF(C132=0,0,AE131))</f>
        <v>0</v>
      </c>
      <c r="AE132" s="98">
        <f t="shared" ca="1" si="25"/>
        <v>0</v>
      </c>
      <c r="AF132" s="98">
        <f ca="1">IF('Invoer gegevens (N)'!$C$17=E132,X132,IF(C132=0,0,AG131))</f>
        <v>0</v>
      </c>
      <c r="AG132" s="98">
        <f t="shared" ca="1" si="26"/>
        <v>0</v>
      </c>
      <c r="AH132" s="66"/>
      <c r="AI132" s="71">
        <f ca="1">IF(C132=1,'Reeksen (N)'!AI132*((F132+K132)/2)*12+'Reeksen (N)'!AD132*((L132+Q132)/2)*12,0)</f>
        <v>0</v>
      </c>
      <c r="AJ132" s="71">
        <f ca="1">-AI132*'Invoer gegevens (N)'!$F$28</f>
        <v>0</v>
      </c>
      <c r="AK132" s="71">
        <f t="shared" ca="1" si="27"/>
        <v>0</v>
      </c>
      <c r="AL132" s="71">
        <f ca="1">IF(C132=1,'Reeksen (N)'!AL132*((F132-G132+F132)/2)*12+'Reeksen (N)'!AM132*((L132-M132+L132)/2)*12,0)</f>
        <v>0</v>
      </c>
      <c r="AM132" s="71">
        <f ca="1">-AL132*'Invoer gegevens (N)'!$F$31</f>
        <v>0</v>
      </c>
      <c r="AN132" s="71">
        <f t="shared" ca="1" si="28"/>
        <v>0</v>
      </c>
      <c r="AO132" s="71">
        <f ca="1">IF(C132=1,(H132+J132+N132+P132)*'Reeksen (N)'!AN132,0)</f>
        <v>0</v>
      </c>
      <c r="AP132" s="71">
        <f ca="1">-IF(C132=1,(H132+J132+N132+P132)*'Hulp - basis'!$O$550*'Reeksen (N)'!H132,0)</f>
        <v>0</v>
      </c>
      <c r="AQ132" s="71">
        <f ca="1">-IF(C132=1,(F132+K132+L132+Q132)/2*'Invoer gegevens (N)'!$F$35*'Reeksen (N)'!J132,0)*2</f>
        <v>0</v>
      </c>
      <c r="AR132" s="71">
        <f ca="1">IF(BD132&lt;1,-IF(C132=1,(G132*'Invoer gegevens (N)'!$F$36)*'Reeksen (N)'!J132,0),0)</f>
        <v>0</v>
      </c>
      <c r="AS132" s="71">
        <f ca="1">-IF(C132=1,(F132+K132+L132+Q132)/2*'Invoer gegevens (N)'!$F$37*'Reeksen (N)'!L132,0)</f>
        <v>0</v>
      </c>
      <c r="AT132" s="71">
        <f ca="1">-IF(C132=1,IF(E132='Invoer gegevens (N)'!$C$17,'Invoer gegevens (N)'!$C$11,AD132)*'Reeksen (N)'!S132*'Invoer gegevens (N)'!$C$18*'Reeksen (N)'!P132,0)</f>
        <v>0</v>
      </c>
      <c r="AU132" s="71">
        <f ca="1">-IF(C132=1,(F132+K132+L132+Q132)/2*'Invoer gegevens (N)'!$F$38*'Reeksen (N)'!H132,0)</f>
        <v>0</v>
      </c>
      <c r="AV132" s="71">
        <v>0</v>
      </c>
      <c r="AW132" s="71">
        <f t="shared" ca="1" si="29"/>
        <v>0</v>
      </c>
      <c r="AX132" s="71">
        <f ca="1">IF(E132&lt;'Invoer gegevens (N)'!$C$17+15,0,IF(E132&gt;'Invoer gegevens (N)'!$C$17+215,0,AW132))</f>
        <v>0</v>
      </c>
      <c r="AY132" s="71">
        <f ca="1">AX132/(1+'Invoer gegevens (N)'!$F$18)^($AZ132-('Invoer gegevens (N)'!$C$17-'Invoer gegevens (N)'!$C$16))/(1+'Invoer gegevens (N)'!$C$39)^('Invoer gegevens (N)'!$C$17-'Invoer gegevens (N)'!$C$16)</f>
        <v>0</v>
      </c>
      <c r="AZ132" s="68">
        <f ca="1">IF(E132-'Invoer gegevens (N)'!$C$17-14.5&lt;0,0,E132-'Invoer gegevens (N)'!$C$17-14.5)</f>
        <v>112.5</v>
      </c>
      <c r="BA132" s="109">
        <f ca="1">IFERROR(VLOOKUP(E132-15,'Reeksen (N)'!$A$5:$D$234,2,FALSE),0)</f>
        <v>0</v>
      </c>
      <c r="BB132" s="109">
        <f ca="1">IFERROR(VLOOKUP(E132-15,'Reeksen (N)'!$A$5:$D$234,3,FALSE),0)</f>
        <v>0</v>
      </c>
      <c r="BC132" s="109">
        <f ca="1">IFERROR(VLOOKUP(E132-15,'Reeksen (N)'!$A$5:$D$234,4,FALSE),0)</f>
        <v>0</v>
      </c>
      <c r="BD132" s="67">
        <f ca="1">IF(E132-'Invoer gegevens (N)'!$C$17&lt;15,0,1)</f>
        <v>1</v>
      </c>
    </row>
    <row r="133" spans="1:56" x14ac:dyDescent="0.25">
      <c r="A133" s="59"/>
      <c r="B133" s="70">
        <f t="shared" si="30"/>
        <v>129</v>
      </c>
      <c r="C133" s="67">
        <f ca="1">IF(E133-'Invoer gegevens (N)'!$C$17&lt;0,0,1)</f>
        <v>1</v>
      </c>
      <c r="D133" s="68">
        <f t="shared" si="31"/>
        <v>128.5</v>
      </c>
      <c r="E133" s="108">
        <f ca="1">IF('Invoer gegevens (N)'!$C$16="","",E132+1)</f>
        <v>2147</v>
      </c>
      <c r="F133" s="84">
        <f ca="1">IF('Invoer gegevens (N)'!$C$17=E133,'Invoer gegevens (N)'!$C$10,IF(C133=1,K132,0))</f>
        <v>0</v>
      </c>
      <c r="G133" s="96">
        <f ca="1">IF(BD133&lt;1,F133*'Reeksen (N)'!C133,IF(C133&gt;=1,F133*BA133,0))</f>
        <v>0</v>
      </c>
      <c r="H133" s="84">
        <f ca="1">(1-('Invoer gegevens (N)'!$F$20/12))*F133*MIN(BA133,BC133)</f>
        <v>0</v>
      </c>
      <c r="I133" s="84">
        <f t="shared" ref="I133:I196" ca="1" si="32">IF(BD133&lt;1,G133-H133,IF(BC133&lt;BA133,(BA133-BC133)*F133,0))</f>
        <v>0</v>
      </c>
      <c r="J133" s="84">
        <f ca="1">('Invoer gegevens (N)'!$F$20/12)*F132*MIN(BA133,BC133)</f>
        <v>0</v>
      </c>
      <c r="K133" s="97">
        <f t="shared" ca="1" si="21"/>
        <v>0</v>
      </c>
      <c r="L133" s="84">
        <f ca="1">IF('Invoer gegevens (N)'!$C$17=E133,0,IF(C133=1,Q132,0))</f>
        <v>0</v>
      </c>
      <c r="M133" s="96">
        <f t="shared" ref="M133:M196" ca="1" si="33">IF(C133&gt;=1,L133*BA133,0)</f>
        <v>0</v>
      </c>
      <c r="N133" s="84">
        <f ca="1">(1-('Invoer gegevens (N)'!$F$20/12))*L133*MIN(BA133,BC133)</f>
        <v>0</v>
      </c>
      <c r="O133" s="84">
        <f t="shared" ref="O133:O196" ca="1" si="34">IF(BC133&lt;BA133,(BA133-BC133)*L133,0)</f>
        <v>0</v>
      </c>
      <c r="P133" s="84">
        <f ca="1">('Invoer gegevens (N)'!$F$20/12)*L132*MIN(BA133,BC133)</f>
        <v>0</v>
      </c>
      <c r="Q133" s="84">
        <f t="shared" ca="1" si="22"/>
        <v>0</v>
      </c>
      <c r="R133" s="85">
        <f ca="1">IF('Invoer gegevens (N)'!$C$17=E133,'Invoer gegevens (N)'!$C$11,IF(C133=1,W132,0))</f>
        <v>0</v>
      </c>
      <c r="S133" s="86">
        <f t="shared" ref="S133:S196" ca="1" si="35">IF(C133&gt;=1,R133*BA133,0)</f>
        <v>0</v>
      </c>
      <c r="T133" s="86">
        <f ca="1">(1-('Invoer gegevens (N)'!$F$20/12))*R133*MIN(BC133,BA133)</f>
        <v>0</v>
      </c>
      <c r="U133" s="86">
        <f ca="1">IF(BD133&lt;1,IF('Reeksen (N)'!AD133&lt;='Reeksen (N)'!AE133,R133*'Reeksen (N)'!C133,0),IF(BC133&gt;=BA133,0,IF('Reeksen (N)'!AD133&lt;='Reeksen (N)'!AE133,(BA133-BC133)*R133,0)))</f>
        <v>0</v>
      </c>
      <c r="V133" s="86">
        <f ca="1">IF(BD133&lt;1,IF('Reeksen (N)'!AD133&gt;'Reeksen (N)'!AE133,R133*'Reeksen (N)'!C133,0),IF(BC133&gt;=BA133,0,IF('Reeksen (N)'!AD133&gt;'Reeksen (N)'!AE133,(BA133-BC133)*R133,0)))</f>
        <v>0</v>
      </c>
      <c r="W133" s="218">
        <f t="shared" ca="1" si="23"/>
        <v>0</v>
      </c>
      <c r="X133" s="98">
        <f ca="1">IF('Invoer gegevens (N)'!$C$17=E133,'Invoer gegevens (N)'!$C$10-'Invoer gegevens (N)'!$C$11,IF(C133=1,AC132,0))</f>
        <v>0</v>
      </c>
      <c r="Y133" s="98">
        <f t="shared" ref="Y133:Y196" ca="1" si="36">IF(C133&gt;=1,X133*BA133,0)</f>
        <v>0</v>
      </c>
      <c r="Z133" s="98">
        <f ca="1">(1-('Invoer gegevens (N)'!$F$20/12))*X133*MIN(BA133,BC133)</f>
        <v>0</v>
      </c>
      <c r="AA133" s="98">
        <f ca="1">IF(BD133&lt;1,IF('Reeksen (N)'!AD133&lt;='Reeksen (N)'!AE133,X133*'Reeksen (N)'!C133,0),IF(BC133&gt;=BA133,0,IF('Reeksen (N)'!AD133&lt;='Reeksen (N)'!AE133,(BA133-BC133)*X133,0)))</f>
        <v>0</v>
      </c>
      <c r="AB133" s="98">
        <f ca="1">IF(BD133&lt;1,IF('Reeksen (N)'!AD133&gt;'Reeksen (N)'!AE133,X133*'Reeksen (N)'!C133,0),IF(BC133&gt;=BA133,0,IF('Reeksen (N)'!AD133&gt;'Reeksen (N)'!AE133,(BA133-BC133)*X133,0)))</f>
        <v>0</v>
      </c>
      <c r="AC133" s="99">
        <f t="shared" ca="1" si="24"/>
        <v>0</v>
      </c>
      <c r="AD133" s="98">
        <f ca="1">IF('Invoer gegevens (N)'!$C$17=E133,R133,IF(C133=0,0,AE132))</f>
        <v>0</v>
      </c>
      <c r="AE133" s="98">
        <f t="shared" ca="1" si="25"/>
        <v>0</v>
      </c>
      <c r="AF133" s="98">
        <f ca="1">IF('Invoer gegevens (N)'!$C$17=E133,X133,IF(C133=0,0,AG132))</f>
        <v>0</v>
      </c>
      <c r="AG133" s="98">
        <f t="shared" ca="1" si="26"/>
        <v>0</v>
      </c>
      <c r="AH133" s="66"/>
      <c r="AI133" s="71">
        <f ca="1">IF(C133=1,'Reeksen (N)'!AI133*((F133+K133)/2)*12+'Reeksen (N)'!AD133*((L133+Q133)/2)*12,0)</f>
        <v>0</v>
      </c>
      <c r="AJ133" s="71">
        <f ca="1">-AI133*'Invoer gegevens (N)'!$F$28</f>
        <v>0</v>
      </c>
      <c r="AK133" s="71">
        <f t="shared" ca="1" si="27"/>
        <v>0</v>
      </c>
      <c r="AL133" s="71">
        <f ca="1">IF(C133=1,'Reeksen (N)'!AL133*((F133-G133+F133)/2)*12+'Reeksen (N)'!AM133*((L133-M133+L133)/2)*12,0)</f>
        <v>0</v>
      </c>
      <c r="AM133" s="71">
        <f ca="1">-AL133*'Invoer gegevens (N)'!$F$31</f>
        <v>0</v>
      </c>
      <c r="AN133" s="71">
        <f t="shared" ca="1" si="28"/>
        <v>0</v>
      </c>
      <c r="AO133" s="71">
        <f ca="1">IF(C133=1,(H133+J133+N133+P133)*'Reeksen (N)'!AN133,0)</f>
        <v>0</v>
      </c>
      <c r="AP133" s="71">
        <f ca="1">-IF(C133=1,(H133+J133+N133+P133)*'Hulp - basis'!$O$550*'Reeksen (N)'!H133,0)</f>
        <v>0</v>
      </c>
      <c r="AQ133" s="71">
        <f ca="1">-IF(C133=1,(F133+K133+L133+Q133)/2*'Invoer gegevens (N)'!$F$35*'Reeksen (N)'!J133,0)*2</f>
        <v>0</v>
      </c>
      <c r="AR133" s="71">
        <f ca="1">IF(BD133&lt;1,-IF(C133=1,(G133*'Invoer gegevens (N)'!$F$36)*'Reeksen (N)'!J133,0),0)</f>
        <v>0</v>
      </c>
      <c r="AS133" s="71">
        <f ca="1">-IF(C133=1,(F133+K133+L133+Q133)/2*'Invoer gegevens (N)'!$F$37*'Reeksen (N)'!L133,0)</f>
        <v>0</v>
      </c>
      <c r="AT133" s="71">
        <f ca="1">-IF(C133=1,IF(E133='Invoer gegevens (N)'!$C$17,'Invoer gegevens (N)'!$C$11,AD133)*'Reeksen (N)'!S133*'Invoer gegevens (N)'!$C$18*'Reeksen (N)'!P133,0)</f>
        <v>0</v>
      </c>
      <c r="AU133" s="71">
        <f ca="1">-IF(C133=1,(F133+K133+L133+Q133)/2*'Invoer gegevens (N)'!$F$38*'Reeksen (N)'!H133,0)</f>
        <v>0</v>
      </c>
      <c r="AV133" s="71">
        <v>0</v>
      </c>
      <c r="AW133" s="71">
        <f t="shared" ca="1" si="29"/>
        <v>0</v>
      </c>
      <c r="AX133" s="71">
        <f ca="1">IF(E133&lt;'Invoer gegevens (N)'!$C$17+15,0,IF(E133&gt;'Invoer gegevens (N)'!$C$17+215,0,AW133))</f>
        <v>0</v>
      </c>
      <c r="AY133" s="71">
        <f ca="1">AX133/(1+'Invoer gegevens (N)'!$F$18)^($AZ133-('Invoer gegevens (N)'!$C$17-'Invoer gegevens (N)'!$C$16))/(1+'Invoer gegevens (N)'!$C$39)^('Invoer gegevens (N)'!$C$17-'Invoer gegevens (N)'!$C$16)</f>
        <v>0</v>
      </c>
      <c r="AZ133" s="68">
        <f ca="1">IF(E133-'Invoer gegevens (N)'!$C$17-14.5&lt;0,0,E133-'Invoer gegevens (N)'!$C$17-14.5)</f>
        <v>113.5</v>
      </c>
      <c r="BA133" s="109">
        <f ca="1">IFERROR(VLOOKUP(E133-15,'Reeksen (N)'!$A$5:$D$234,2,FALSE),0)</f>
        <v>0</v>
      </c>
      <c r="BB133" s="109">
        <f ca="1">IFERROR(VLOOKUP(E133-15,'Reeksen (N)'!$A$5:$D$234,3,FALSE),0)</f>
        <v>0</v>
      </c>
      <c r="BC133" s="109">
        <f ca="1">IFERROR(VLOOKUP(E133-15,'Reeksen (N)'!$A$5:$D$234,4,FALSE),0)</f>
        <v>0</v>
      </c>
      <c r="BD133" s="67">
        <f ca="1">IF(E133-'Invoer gegevens (N)'!$C$17&lt;15,0,1)</f>
        <v>1</v>
      </c>
    </row>
    <row r="134" spans="1:56" x14ac:dyDescent="0.25">
      <c r="A134" s="59"/>
      <c r="B134" s="70">
        <f t="shared" si="30"/>
        <v>130</v>
      </c>
      <c r="C134" s="67">
        <f ca="1">IF(E134-'Invoer gegevens (N)'!$C$17&lt;0,0,1)</f>
        <v>1</v>
      </c>
      <c r="D134" s="68">
        <f t="shared" si="31"/>
        <v>129.5</v>
      </c>
      <c r="E134" s="108">
        <f ca="1">IF('Invoer gegevens (N)'!$C$16="","",E133+1)</f>
        <v>2148</v>
      </c>
      <c r="F134" s="84">
        <f ca="1">IF('Invoer gegevens (N)'!$C$17=E134,'Invoer gegevens (N)'!$C$10,IF(C134=1,K133,0))</f>
        <v>0</v>
      </c>
      <c r="G134" s="96">
        <f ca="1">IF(BD134&lt;1,F134*'Reeksen (N)'!C134,IF(C134&gt;=1,F134*BA134,0))</f>
        <v>0</v>
      </c>
      <c r="H134" s="84">
        <f ca="1">(1-('Invoer gegevens (N)'!$F$20/12))*F134*MIN(BA134,BC134)</f>
        <v>0</v>
      </c>
      <c r="I134" s="84">
        <f t="shared" ca="1" si="32"/>
        <v>0</v>
      </c>
      <c r="J134" s="84">
        <f ca="1">('Invoer gegevens (N)'!$F$20/12)*F133*MIN(BA134,BC134)</f>
        <v>0</v>
      </c>
      <c r="K134" s="97">
        <f t="shared" ref="K134:K197" ca="1" si="37">IF(F134-G134&lt;0,0,F134-G134)</f>
        <v>0</v>
      </c>
      <c r="L134" s="84">
        <f ca="1">IF('Invoer gegevens (N)'!$C$17=E134,0,IF(C134=1,Q133,0))</f>
        <v>0</v>
      </c>
      <c r="M134" s="96">
        <f t="shared" ca="1" si="33"/>
        <v>0</v>
      </c>
      <c r="N134" s="84">
        <f ca="1">(1-('Invoer gegevens (N)'!$F$20/12))*L134*MIN(BA134,BC134)</f>
        <v>0</v>
      </c>
      <c r="O134" s="84">
        <f t="shared" ca="1" si="34"/>
        <v>0</v>
      </c>
      <c r="P134" s="84">
        <f ca="1">('Invoer gegevens (N)'!$F$20/12)*L133*MIN(BA134,BC134)</f>
        <v>0</v>
      </c>
      <c r="Q134" s="84">
        <f t="shared" ref="Q134:Q197" ca="1" si="38">IF(L134-M134+I134+O134&lt;0,0,L134-M134+I134+O134)</f>
        <v>0</v>
      </c>
      <c r="R134" s="85">
        <f ca="1">IF('Invoer gegevens (N)'!$C$17=E134,'Invoer gegevens (N)'!$C$11,IF(C134=1,W133,0))</f>
        <v>0</v>
      </c>
      <c r="S134" s="86">
        <f t="shared" ca="1" si="35"/>
        <v>0</v>
      </c>
      <c r="T134" s="86">
        <f ca="1">(1-('Invoer gegevens (N)'!$F$20/12))*R134*MIN(BC134,BA134)</f>
        <v>0</v>
      </c>
      <c r="U134" s="86">
        <f ca="1">IF(BD134&lt;1,IF('Reeksen (N)'!AD134&lt;='Reeksen (N)'!AE134,R134*'Reeksen (N)'!C134,0),IF(BC134&gt;=BA134,0,IF('Reeksen (N)'!AD134&lt;='Reeksen (N)'!AE134,(BA134-BC134)*R134,0)))</f>
        <v>0</v>
      </c>
      <c r="V134" s="86">
        <f ca="1">IF(BD134&lt;1,IF('Reeksen (N)'!AD134&gt;'Reeksen (N)'!AE134,R134*'Reeksen (N)'!C134,0),IF(BC134&gt;=BA134,0,IF('Reeksen (N)'!AD134&gt;'Reeksen (N)'!AE134,(BA134-BC134)*R134,0)))</f>
        <v>0</v>
      </c>
      <c r="W134" s="218">
        <f t="shared" ref="W134:W197" ca="1" si="39">R134-S134-V134+AA134</f>
        <v>0</v>
      </c>
      <c r="X134" s="98">
        <f ca="1">IF('Invoer gegevens (N)'!$C$17=E134,'Invoer gegevens (N)'!$C$10-'Invoer gegevens (N)'!$C$11,IF(C134=1,AC133,0))</f>
        <v>0</v>
      </c>
      <c r="Y134" s="98">
        <f t="shared" ca="1" si="36"/>
        <v>0</v>
      </c>
      <c r="Z134" s="98">
        <f ca="1">(1-('Invoer gegevens (N)'!$F$20/12))*X134*MIN(BA134,BC134)</f>
        <v>0</v>
      </c>
      <c r="AA134" s="98">
        <f ca="1">IF(BD134&lt;1,IF('Reeksen (N)'!AD134&lt;='Reeksen (N)'!AE134,X134*'Reeksen (N)'!C134,0),IF(BC134&gt;=BA134,0,IF('Reeksen (N)'!AD134&lt;='Reeksen (N)'!AE134,(BA134-BC134)*X134,0)))</f>
        <v>0</v>
      </c>
      <c r="AB134" s="98">
        <f ca="1">IF(BD134&lt;1,IF('Reeksen (N)'!AD134&gt;'Reeksen (N)'!AE134,X134*'Reeksen (N)'!C134,0),IF(BC134&gt;=BA134,0,IF('Reeksen (N)'!AD134&gt;'Reeksen (N)'!AE134,(BA134-BC134)*X134,0)))</f>
        <v>0</v>
      </c>
      <c r="AC134" s="99">
        <f t="shared" ref="AC134:AC197" ca="1" si="40">X134-Y134+V134-AA134</f>
        <v>0</v>
      </c>
      <c r="AD134" s="98">
        <f ca="1">IF('Invoer gegevens (N)'!$C$17=E134,R134,IF(C134=0,0,AE133))</f>
        <v>0</v>
      </c>
      <c r="AE134" s="98">
        <f t="shared" ref="AE134:AE197" ca="1" si="41">IF(C134=0,0,AD134-S134-V134+AA134)</f>
        <v>0</v>
      </c>
      <c r="AF134" s="98">
        <f ca="1">IF('Invoer gegevens (N)'!$C$17=E134,X134,IF(C134=0,0,AG133))</f>
        <v>0</v>
      </c>
      <c r="AG134" s="98">
        <f t="shared" ref="AG134:AG197" ca="1" si="42">IF(C134=0,0,AF134-Y134-AA134+V134)</f>
        <v>0</v>
      </c>
      <c r="AH134" s="66"/>
      <c r="AI134" s="71">
        <f ca="1">IF(C134=1,'Reeksen (N)'!AI134*((F134+K134)/2)*12+'Reeksen (N)'!AD134*((L134+Q134)/2)*12,0)</f>
        <v>0</v>
      </c>
      <c r="AJ134" s="71">
        <f ca="1">-AI134*'Invoer gegevens (N)'!$F$28</f>
        <v>0</v>
      </c>
      <c r="AK134" s="71">
        <f t="shared" ref="AK134:AK197" ca="1" si="43">AI134+AJ134</f>
        <v>0</v>
      </c>
      <c r="AL134" s="71">
        <f ca="1">IF(C134=1,'Reeksen (N)'!AL134*((F134-G134+F134)/2)*12+'Reeksen (N)'!AM134*((L134-M134+L134)/2)*12,0)</f>
        <v>0</v>
      </c>
      <c r="AM134" s="71">
        <f ca="1">-AL134*'Invoer gegevens (N)'!$F$31</f>
        <v>0</v>
      </c>
      <c r="AN134" s="71">
        <f t="shared" ref="AN134:AN197" ca="1" si="44">AL134+AM134</f>
        <v>0</v>
      </c>
      <c r="AO134" s="71">
        <f ca="1">IF(C134=1,(H134+J134+N134+P134)*'Reeksen (N)'!AN134,0)</f>
        <v>0</v>
      </c>
      <c r="AP134" s="71">
        <f ca="1">-IF(C134=1,(H134+J134+N134+P134)*'Hulp - basis'!$O$550*'Reeksen (N)'!H134,0)</f>
        <v>0</v>
      </c>
      <c r="AQ134" s="71">
        <f ca="1">-IF(C134=1,(F134+K134+L134+Q134)/2*'Invoer gegevens (N)'!$F$35*'Reeksen (N)'!J134,0)*2</f>
        <v>0</v>
      </c>
      <c r="AR134" s="71">
        <f ca="1">IF(BD134&lt;1,-IF(C134=1,(G134*'Invoer gegevens (N)'!$F$36)*'Reeksen (N)'!J134,0),0)</f>
        <v>0</v>
      </c>
      <c r="AS134" s="71">
        <f ca="1">-IF(C134=1,(F134+K134+L134+Q134)/2*'Invoer gegevens (N)'!$F$37*'Reeksen (N)'!L134,0)</f>
        <v>0</v>
      </c>
      <c r="AT134" s="71">
        <f ca="1">-IF(C134=1,IF(E134='Invoer gegevens (N)'!$C$17,'Invoer gegevens (N)'!$C$11,AD134)*'Reeksen (N)'!S134*'Invoer gegevens (N)'!$C$18*'Reeksen (N)'!P134,0)</f>
        <v>0</v>
      </c>
      <c r="AU134" s="71">
        <f ca="1">-IF(C134=1,(F134+K134+L134+Q134)/2*'Invoer gegevens (N)'!$F$38*'Reeksen (N)'!H134,0)</f>
        <v>0</v>
      </c>
      <c r="AV134" s="71">
        <v>0</v>
      </c>
      <c r="AW134" s="71">
        <f t="shared" ref="AW134:AW197" ca="1" si="45">SUM(AK134,AN134:AV134)</f>
        <v>0</v>
      </c>
      <c r="AX134" s="71">
        <f ca="1">IF(E134&lt;'Invoer gegevens (N)'!$C$17+15,0,IF(E134&gt;'Invoer gegevens (N)'!$C$17+215,0,AW134))</f>
        <v>0</v>
      </c>
      <c r="AY134" s="71">
        <f ca="1">AX134/(1+'Invoer gegevens (N)'!$F$18)^($AZ134-('Invoer gegevens (N)'!$C$17-'Invoer gegevens (N)'!$C$16))/(1+'Invoer gegevens (N)'!$C$39)^('Invoer gegevens (N)'!$C$17-'Invoer gegevens (N)'!$C$16)</f>
        <v>0</v>
      </c>
      <c r="AZ134" s="68">
        <f ca="1">IF(E134-'Invoer gegevens (N)'!$C$17-14.5&lt;0,0,E134-'Invoer gegevens (N)'!$C$17-14.5)</f>
        <v>114.5</v>
      </c>
      <c r="BA134" s="109">
        <f ca="1">IFERROR(VLOOKUP(E134-15,'Reeksen (N)'!$A$5:$D$234,2,FALSE),0)</f>
        <v>0</v>
      </c>
      <c r="BB134" s="109">
        <f ca="1">IFERROR(VLOOKUP(E134-15,'Reeksen (N)'!$A$5:$D$234,3,FALSE),0)</f>
        <v>0</v>
      </c>
      <c r="BC134" s="109">
        <f ca="1">IFERROR(VLOOKUP(E134-15,'Reeksen (N)'!$A$5:$D$234,4,FALSE),0)</f>
        <v>0</v>
      </c>
      <c r="BD134" s="67">
        <f ca="1">IF(E134-'Invoer gegevens (N)'!$C$17&lt;15,0,1)</f>
        <v>1</v>
      </c>
    </row>
    <row r="135" spans="1:56" x14ac:dyDescent="0.25">
      <c r="A135" s="59"/>
      <c r="B135" s="70">
        <f t="shared" si="30"/>
        <v>131</v>
      </c>
      <c r="C135" s="67">
        <f ca="1">IF(E135-'Invoer gegevens (N)'!$C$17&lt;0,0,1)</f>
        <v>1</v>
      </c>
      <c r="D135" s="68">
        <f t="shared" si="31"/>
        <v>130.5</v>
      </c>
      <c r="E135" s="108">
        <f ca="1">IF('Invoer gegevens (N)'!$C$16="","",E134+1)</f>
        <v>2149</v>
      </c>
      <c r="F135" s="84">
        <f ca="1">IF('Invoer gegevens (N)'!$C$17=E135,'Invoer gegevens (N)'!$C$10,IF(C135=1,K134,0))</f>
        <v>0</v>
      </c>
      <c r="G135" s="96">
        <f ca="1">IF(BD135&lt;1,F135*'Reeksen (N)'!C135,IF(C135&gt;=1,F135*BA135,0))</f>
        <v>0</v>
      </c>
      <c r="H135" s="84">
        <f ca="1">(1-('Invoer gegevens (N)'!$F$20/12))*F135*MIN(BA135,BC135)</f>
        <v>0</v>
      </c>
      <c r="I135" s="84">
        <f t="shared" ca="1" si="32"/>
        <v>0</v>
      </c>
      <c r="J135" s="84">
        <f ca="1">('Invoer gegevens (N)'!$F$20/12)*F134*MIN(BA135,BC135)</f>
        <v>0</v>
      </c>
      <c r="K135" s="97">
        <f t="shared" ca="1" si="37"/>
        <v>0</v>
      </c>
      <c r="L135" s="84">
        <f ca="1">IF('Invoer gegevens (N)'!$C$17=E135,0,IF(C135=1,Q134,0))</f>
        <v>0</v>
      </c>
      <c r="M135" s="96">
        <f t="shared" ca="1" si="33"/>
        <v>0</v>
      </c>
      <c r="N135" s="84">
        <f ca="1">(1-('Invoer gegevens (N)'!$F$20/12))*L135*MIN(BA135,BC135)</f>
        <v>0</v>
      </c>
      <c r="O135" s="84">
        <f t="shared" ca="1" si="34"/>
        <v>0</v>
      </c>
      <c r="P135" s="84">
        <f ca="1">('Invoer gegevens (N)'!$F$20/12)*L134*MIN(BA135,BC135)</f>
        <v>0</v>
      </c>
      <c r="Q135" s="84">
        <f t="shared" ca="1" si="38"/>
        <v>0</v>
      </c>
      <c r="R135" s="85">
        <f ca="1">IF('Invoer gegevens (N)'!$C$17=E135,'Invoer gegevens (N)'!$C$11,IF(C135=1,W134,0))</f>
        <v>0</v>
      </c>
      <c r="S135" s="86">
        <f t="shared" ca="1" si="35"/>
        <v>0</v>
      </c>
      <c r="T135" s="86">
        <f ca="1">(1-('Invoer gegevens (N)'!$F$20/12))*R135*MIN(BC135,BA135)</f>
        <v>0</v>
      </c>
      <c r="U135" s="86">
        <f ca="1">IF(BD135&lt;1,IF('Reeksen (N)'!AD135&lt;='Reeksen (N)'!AE135,R135*'Reeksen (N)'!C135,0),IF(BC135&gt;=BA135,0,IF('Reeksen (N)'!AD135&lt;='Reeksen (N)'!AE135,(BA135-BC135)*R135,0)))</f>
        <v>0</v>
      </c>
      <c r="V135" s="86">
        <f ca="1">IF(BD135&lt;1,IF('Reeksen (N)'!AD135&gt;'Reeksen (N)'!AE135,R135*'Reeksen (N)'!C135,0),IF(BC135&gt;=BA135,0,IF('Reeksen (N)'!AD135&gt;'Reeksen (N)'!AE135,(BA135-BC135)*R135,0)))</f>
        <v>0</v>
      </c>
      <c r="W135" s="218">
        <f t="shared" ca="1" si="39"/>
        <v>0</v>
      </c>
      <c r="X135" s="98">
        <f ca="1">IF('Invoer gegevens (N)'!$C$17=E135,'Invoer gegevens (N)'!$C$10-'Invoer gegevens (N)'!$C$11,IF(C135=1,AC134,0))</f>
        <v>0</v>
      </c>
      <c r="Y135" s="98">
        <f t="shared" ca="1" si="36"/>
        <v>0</v>
      </c>
      <c r="Z135" s="98">
        <f ca="1">(1-('Invoer gegevens (N)'!$F$20/12))*X135*MIN(BA135,BC135)</f>
        <v>0</v>
      </c>
      <c r="AA135" s="98">
        <f ca="1">IF(BD135&lt;1,IF('Reeksen (N)'!AD135&lt;='Reeksen (N)'!AE135,X135*'Reeksen (N)'!C135,0),IF(BC135&gt;=BA135,0,IF('Reeksen (N)'!AD135&lt;='Reeksen (N)'!AE135,(BA135-BC135)*X135,0)))</f>
        <v>0</v>
      </c>
      <c r="AB135" s="98">
        <f ca="1">IF(BD135&lt;1,IF('Reeksen (N)'!AD135&gt;'Reeksen (N)'!AE135,X135*'Reeksen (N)'!C135,0),IF(BC135&gt;=BA135,0,IF('Reeksen (N)'!AD135&gt;'Reeksen (N)'!AE135,(BA135-BC135)*X135,0)))</f>
        <v>0</v>
      </c>
      <c r="AC135" s="99">
        <f t="shared" ca="1" si="40"/>
        <v>0</v>
      </c>
      <c r="AD135" s="98">
        <f ca="1">IF('Invoer gegevens (N)'!$C$17=E135,R135,IF(C135=0,0,AE134))</f>
        <v>0</v>
      </c>
      <c r="AE135" s="98">
        <f t="shared" ca="1" si="41"/>
        <v>0</v>
      </c>
      <c r="AF135" s="98">
        <f ca="1">IF('Invoer gegevens (N)'!$C$17=E135,X135,IF(C135=0,0,AG134))</f>
        <v>0</v>
      </c>
      <c r="AG135" s="98">
        <f t="shared" ca="1" si="42"/>
        <v>0</v>
      </c>
      <c r="AH135" s="66"/>
      <c r="AI135" s="71">
        <f ca="1">IF(C135=1,'Reeksen (N)'!AI135*((F135+K135)/2)*12+'Reeksen (N)'!AD135*((L135+Q135)/2)*12,0)</f>
        <v>0</v>
      </c>
      <c r="AJ135" s="71">
        <f ca="1">-AI135*'Invoer gegevens (N)'!$F$28</f>
        <v>0</v>
      </c>
      <c r="AK135" s="71">
        <f t="shared" ca="1" si="43"/>
        <v>0</v>
      </c>
      <c r="AL135" s="71">
        <f ca="1">IF(C135=1,'Reeksen (N)'!AL135*((F135-G135+F135)/2)*12+'Reeksen (N)'!AM135*((L135-M135+L135)/2)*12,0)</f>
        <v>0</v>
      </c>
      <c r="AM135" s="71">
        <f ca="1">-AL135*'Invoer gegevens (N)'!$F$31</f>
        <v>0</v>
      </c>
      <c r="AN135" s="71">
        <f t="shared" ca="1" si="44"/>
        <v>0</v>
      </c>
      <c r="AO135" s="71">
        <f ca="1">IF(C135=1,(H135+J135+N135+P135)*'Reeksen (N)'!AN135,0)</f>
        <v>0</v>
      </c>
      <c r="AP135" s="71">
        <f ca="1">-IF(C135=1,(H135+J135+N135+P135)*'Hulp - basis'!$O$550*'Reeksen (N)'!H135,0)</f>
        <v>0</v>
      </c>
      <c r="AQ135" s="71">
        <f ca="1">-IF(C135=1,(F135+K135+L135+Q135)/2*'Invoer gegevens (N)'!$F$35*'Reeksen (N)'!J135,0)*2</f>
        <v>0</v>
      </c>
      <c r="AR135" s="71">
        <f ca="1">IF(BD135&lt;1,-IF(C135=1,(G135*'Invoer gegevens (N)'!$F$36)*'Reeksen (N)'!J135,0),0)</f>
        <v>0</v>
      </c>
      <c r="AS135" s="71">
        <f ca="1">-IF(C135=1,(F135+K135+L135+Q135)/2*'Invoer gegevens (N)'!$F$37*'Reeksen (N)'!L135,0)</f>
        <v>0</v>
      </c>
      <c r="AT135" s="71">
        <f ca="1">-IF(C135=1,IF(E135='Invoer gegevens (N)'!$C$17,'Invoer gegevens (N)'!$C$11,AD135)*'Reeksen (N)'!S135*'Invoer gegevens (N)'!$C$18*'Reeksen (N)'!P135,0)</f>
        <v>0</v>
      </c>
      <c r="AU135" s="71">
        <f ca="1">-IF(C135=1,(F135+K135+L135+Q135)/2*'Invoer gegevens (N)'!$F$38*'Reeksen (N)'!H135,0)</f>
        <v>0</v>
      </c>
      <c r="AV135" s="71">
        <v>0</v>
      </c>
      <c r="AW135" s="71">
        <f t="shared" ca="1" si="45"/>
        <v>0</v>
      </c>
      <c r="AX135" s="71">
        <f ca="1">IF(E135&lt;'Invoer gegevens (N)'!$C$17+15,0,IF(E135&gt;'Invoer gegevens (N)'!$C$17+215,0,AW135))</f>
        <v>0</v>
      </c>
      <c r="AY135" s="71">
        <f ca="1">AX135/(1+'Invoer gegevens (N)'!$F$18)^($AZ135-('Invoer gegevens (N)'!$C$17-'Invoer gegevens (N)'!$C$16))/(1+'Invoer gegevens (N)'!$C$39)^('Invoer gegevens (N)'!$C$17-'Invoer gegevens (N)'!$C$16)</f>
        <v>0</v>
      </c>
      <c r="AZ135" s="68">
        <f ca="1">IF(E135-'Invoer gegevens (N)'!$C$17-14.5&lt;0,0,E135-'Invoer gegevens (N)'!$C$17-14.5)</f>
        <v>115.5</v>
      </c>
      <c r="BA135" s="109">
        <f ca="1">IFERROR(VLOOKUP(E135-15,'Reeksen (N)'!$A$5:$D$234,2,FALSE),0)</f>
        <v>0</v>
      </c>
      <c r="BB135" s="109">
        <f ca="1">IFERROR(VLOOKUP(E135-15,'Reeksen (N)'!$A$5:$D$234,3,FALSE),0)</f>
        <v>0</v>
      </c>
      <c r="BC135" s="109">
        <f ca="1">IFERROR(VLOOKUP(E135-15,'Reeksen (N)'!$A$5:$D$234,4,FALSE),0)</f>
        <v>0</v>
      </c>
      <c r="BD135" s="67">
        <f ca="1">IF(E135-'Invoer gegevens (N)'!$C$17&lt;15,0,1)</f>
        <v>1</v>
      </c>
    </row>
    <row r="136" spans="1:56" x14ac:dyDescent="0.25">
      <c r="A136" s="59"/>
      <c r="B136" s="70">
        <f t="shared" ref="B136:B199" si="46">B135+1</f>
        <v>132</v>
      </c>
      <c r="C136" s="67">
        <f ca="1">IF(E136-'Invoer gegevens (N)'!$C$17&lt;0,0,1)</f>
        <v>1</v>
      </c>
      <c r="D136" s="68">
        <f t="shared" ref="D136:D199" si="47">D135+1</f>
        <v>131.5</v>
      </c>
      <c r="E136" s="108">
        <f ca="1">IF('Invoer gegevens (N)'!$C$16="","",E135+1)</f>
        <v>2150</v>
      </c>
      <c r="F136" s="84">
        <f ca="1">IF('Invoer gegevens (N)'!$C$17=E136,'Invoer gegevens (N)'!$C$10,IF(C136=1,K135,0))</f>
        <v>0</v>
      </c>
      <c r="G136" s="96">
        <f ca="1">IF(BD136&lt;1,F136*'Reeksen (N)'!C136,IF(C136&gt;=1,F136*BA136,0))</f>
        <v>0</v>
      </c>
      <c r="H136" s="84">
        <f ca="1">(1-('Invoer gegevens (N)'!$F$20/12))*F136*MIN(BA136,BC136)</f>
        <v>0</v>
      </c>
      <c r="I136" s="84">
        <f t="shared" ca="1" si="32"/>
        <v>0</v>
      </c>
      <c r="J136" s="84">
        <f ca="1">('Invoer gegevens (N)'!$F$20/12)*F135*MIN(BA136,BC136)</f>
        <v>0</v>
      </c>
      <c r="K136" s="97">
        <f t="shared" ca="1" si="37"/>
        <v>0</v>
      </c>
      <c r="L136" s="84">
        <f ca="1">IF('Invoer gegevens (N)'!$C$17=E136,0,IF(C136=1,Q135,0))</f>
        <v>0</v>
      </c>
      <c r="M136" s="96">
        <f t="shared" ca="1" si="33"/>
        <v>0</v>
      </c>
      <c r="N136" s="84">
        <f ca="1">(1-('Invoer gegevens (N)'!$F$20/12))*L136*MIN(BA136,BC136)</f>
        <v>0</v>
      </c>
      <c r="O136" s="84">
        <f t="shared" ca="1" si="34"/>
        <v>0</v>
      </c>
      <c r="P136" s="84">
        <f ca="1">('Invoer gegevens (N)'!$F$20/12)*L135*MIN(BA136,BC136)</f>
        <v>0</v>
      </c>
      <c r="Q136" s="84">
        <f t="shared" ca="1" si="38"/>
        <v>0</v>
      </c>
      <c r="R136" s="85">
        <f ca="1">IF('Invoer gegevens (N)'!$C$17=E136,'Invoer gegevens (N)'!$C$11,IF(C136=1,W135,0))</f>
        <v>0</v>
      </c>
      <c r="S136" s="86">
        <f t="shared" ca="1" si="35"/>
        <v>0</v>
      </c>
      <c r="T136" s="86">
        <f ca="1">(1-('Invoer gegevens (N)'!$F$20/12))*R136*MIN(BC136,BA136)</f>
        <v>0</v>
      </c>
      <c r="U136" s="86">
        <f ca="1">IF(BD136&lt;1,IF('Reeksen (N)'!AD136&lt;='Reeksen (N)'!AE136,R136*'Reeksen (N)'!C136,0),IF(BC136&gt;=BA136,0,IF('Reeksen (N)'!AD136&lt;='Reeksen (N)'!AE136,(BA136-BC136)*R136,0)))</f>
        <v>0</v>
      </c>
      <c r="V136" s="86">
        <f ca="1">IF(BD136&lt;1,IF('Reeksen (N)'!AD136&gt;'Reeksen (N)'!AE136,R136*'Reeksen (N)'!C136,0),IF(BC136&gt;=BA136,0,IF('Reeksen (N)'!AD136&gt;'Reeksen (N)'!AE136,(BA136-BC136)*R136,0)))</f>
        <v>0</v>
      </c>
      <c r="W136" s="218">
        <f t="shared" ca="1" si="39"/>
        <v>0</v>
      </c>
      <c r="X136" s="98">
        <f ca="1">IF('Invoer gegevens (N)'!$C$17=E136,'Invoer gegevens (N)'!$C$10-'Invoer gegevens (N)'!$C$11,IF(C136=1,AC135,0))</f>
        <v>0</v>
      </c>
      <c r="Y136" s="98">
        <f t="shared" ca="1" si="36"/>
        <v>0</v>
      </c>
      <c r="Z136" s="98">
        <f ca="1">(1-('Invoer gegevens (N)'!$F$20/12))*X136*MIN(BA136,BC136)</f>
        <v>0</v>
      </c>
      <c r="AA136" s="98">
        <f ca="1">IF(BD136&lt;1,IF('Reeksen (N)'!AD136&lt;='Reeksen (N)'!AE136,X136*'Reeksen (N)'!C136,0),IF(BC136&gt;=BA136,0,IF('Reeksen (N)'!AD136&lt;='Reeksen (N)'!AE136,(BA136-BC136)*X136,0)))</f>
        <v>0</v>
      </c>
      <c r="AB136" s="98">
        <f ca="1">IF(BD136&lt;1,IF('Reeksen (N)'!AD136&gt;'Reeksen (N)'!AE136,X136*'Reeksen (N)'!C136,0),IF(BC136&gt;=BA136,0,IF('Reeksen (N)'!AD136&gt;'Reeksen (N)'!AE136,(BA136-BC136)*X136,0)))</f>
        <v>0</v>
      </c>
      <c r="AC136" s="99">
        <f t="shared" ca="1" si="40"/>
        <v>0</v>
      </c>
      <c r="AD136" s="98">
        <f ca="1">IF('Invoer gegevens (N)'!$C$17=E136,R136,IF(C136=0,0,AE135))</f>
        <v>0</v>
      </c>
      <c r="AE136" s="98">
        <f t="shared" ca="1" si="41"/>
        <v>0</v>
      </c>
      <c r="AF136" s="98">
        <f ca="1">IF('Invoer gegevens (N)'!$C$17=E136,X136,IF(C136=0,0,AG135))</f>
        <v>0</v>
      </c>
      <c r="AG136" s="98">
        <f t="shared" ca="1" si="42"/>
        <v>0</v>
      </c>
      <c r="AH136" s="66"/>
      <c r="AI136" s="71">
        <f ca="1">IF(C136=1,'Reeksen (N)'!AI136*((F136+K136)/2)*12+'Reeksen (N)'!AD136*((L136+Q136)/2)*12,0)</f>
        <v>0</v>
      </c>
      <c r="AJ136" s="71">
        <f ca="1">-AI136*'Invoer gegevens (N)'!$F$28</f>
        <v>0</v>
      </c>
      <c r="AK136" s="71">
        <f t="shared" ca="1" si="43"/>
        <v>0</v>
      </c>
      <c r="AL136" s="71">
        <f ca="1">IF(C136=1,'Reeksen (N)'!AL136*((F136-G136+F136)/2)*12+'Reeksen (N)'!AM136*((L136-M136+L136)/2)*12,0)</f>
        <v>0</v>
      </c>
      <c r="AM136" s="71">
        <f ca="1">-AL136*'Invoer gegevens (N)'!$F$31</f>
        <v>0</v>
      </c>
      <c r="AN136" s="71">
        <f t="shared" ca="1" si="44"/>
        <v>0</v>
      </c>
      <c r="AO136" s="71">
        <f ca="1">IF(C136=1,(H136+J136+N136+P136)*'Reeksen (N)'!AN136,0)</f>
        <v>0</v>
      </c>
      <c r="AP136" s="71">
        <f ca="1">-IF(C136=1,(H136+J136+N136+P136)*'Hulp - basis'!$O$550*'Reeksen (N)'!H136,0)</f>
        <v>0</v>
      </c>
      <c r="AQ136" s="71">
        <f ca="1">-IF(C136=1,(F136+K136+L136+Q136)/2*'Invoer gegevens (N)'!$F$35*'Reeksen (N)'!J136,0)*2</f>
        <v>0</v>
      </c>
      <c r="AR136" s="71">
        <f ca="1">IF(BD136&lt;1,-IF(C136=1,(G136*'Invoer gegevens (N)'!$F$36)*'Reeksen (N)'!J136,0),0)</f>
        <v>0</v>
      </c>
      <c r="AS136" s="71">
        <f ca="1">-IF(C136=1,(F136+K136+L136+Q136)/2*'Invoer gegevens (N)'!$F$37*'Reeksen (N)'!L136,0)</f>
        <v>0</v>
      </c>
      <c r="AT136" s="71">
        <f ca="1">-IF(C136=1,IF(E136='Invoer gegevens (N)'!$C$17,'Invoer gegevens (N)'!$C$11,AD136)*'Reeksen (N)'!S136*'Invoer gegevens (N)'!$C$18*'Reeksen (N)'!P136,0)</f>
        <v>0</v>
      </c>
      <c r="AU136" s="71">
        <f ca="1">-IF(C136=1,(F136+K136+L136+Q136)/2*'Invoer gegevens (N)'!$F$38*'Reeksen (N)'!H136,0)</f>
        <v>0</v>
      </c>
      <c r="AV136" s="71">
        <v>0</v>
      </c>
      <c r="AW136" s="71">
        <f t="shared" ca="1" si="45"/>
        <v>0</v>
      </c>
      <c r="AX136" s="71">
        <f ca="1">IF(E136&lt;'Invoer gegevens (N)'!$C$17+15,0,IF(E136&gt;'Invoer gegevens (N)'!$C$17+215,0,AW136))</f>
        <v>0</v>
      </c>
      <c r="AY136" s="71">
        <f ca="1">AX136/(1+'Invoer gegevens (N)'!$F$18)^($AZ136-('Invoer gegevens (N)'!$C$17-'Invoer gegevens (N)'!$C$16))/(1+'Invoer gegevens (N)'!$C$39)^('Invoer gegevens (N)'!$C$17-'Invoer gegevens (N)'!$C$16)</f>
        <v>0</v>
      </c>
      <c r="AZ136" s="68">
        <f ca="1">IF(E136-'Invoer gegevens (N)'!$C$17-14.5&lt;0,0,E136-'Invoer gegevens (N)'!$C$17-14.5)</f>
        <v>116.5</v>
      </c>
      <c r="BA136" s="109">
        <f ca="1">IFERROR(VLOOKUP(E136-15,'Reeksen (N)'!$A$5:$D$234,2,FALSE),0)</f>
        <v>0</v>
      </c>
      <c r="BB136" s="109">
        <f ca="1">IFERROR(VLOOKUP(E136-15,'Reeksen (N)'!$A$5:$D$234,3,FALSE),0)</f>
        <v>0</v>
      </c>
      <c r="BC136" s="109">
        <f ca="1">IFERROR(VLOOKUP(E136-15,'Reeksen (N)'!$A$5:$D$234,4,FALSE),0)</f>
        <v>0</v>
      </c>
      <c r="BD136" s="67">
        <f ca="1">IF(E136-'Invoer gegevens (N)'!$C$17&lt;15,0,1)</f>
        <v>1</v>
      </c>
    </row>
    <row r="137" spans="1:56" x14ac:dyDescent="0.25">
      <c r="A137" s="59"/>
      <c r="B137" s="70">
        <f t="shared" si="46"/>
        <v>133</v>
      </c>
      <c r="C137" s="67">
        <f ca="1">IF(E137-'Invoer gegevens (N)'!$C$17&lt;0,0,1)</f>
        <v>1</v>
      </c>
      <c r="D137" s="68">
        <f t="shared" si="47"/>
        <v>132.5</v>
      </c>
      <c r="E137" s="108">
        <f ca="1">IF('Invoer gegevens (N)'!$C$16="","",E136+1)</f>
        <v>2151</v>
      </c>
      <c r="F137" s="84">
        <f ca="1">IF('Invoer gegevens (N)'!$C$17=E137,'Invoer gegevens (N)'!$C$10,IF(C137=1,K136,0))</f>
        <v>0</v>
      </c>
      <c r="G137" s="96">
        <f ca="1">IF(BD137&lt;1,F137*'Reeksen (N)'!C137,IF(C137&gt;=1,F137*BA137,0))</f>
        <v>0</v>
      </c>
      <c r="H137" s="84">
        <f ca="1">(1-('Invoer gegevens (N)'!$F$20/12))*F137*MIN(BA137,BC137)</f>
        <v>0</v>
      </c>
      <c r="I137" s="84">
        <f t="shared" ca="1" si="32"/>
        <v>0</v>
      </c>
      <c r="J137" s="84">
        <f ca="1">('Invoer gegevens (N)'!$F$20/12)*F136*MIN(BA137,BC137)</f>
        <v>0</v>
      </c>
      <c r="K137" s="97">
        <f t="shared" ca="1" si="37"/>
        <v>0</v>
      </c>
      <c r="L137" s="84">
        <f ca="1">IF('Invoer gegevens (N)'!$C$17=E137,0,IF(C137=1,Q136,0))</f>
        <v>0</v>
      </c>
      <c r="M137" s="96">
        <f t="shared" ca="1" si="33"/>
        <v>0</v>
      </c>
      <c r="N137" s="84">
        <f ca="1">(1-('Invoer gegevens (N)'!$F$20/12))*L137*MIN(BA137,BC137)</f>
        <v>0</v>
      </c>
      <c r="O137" s="84">
        <f t="shared" ca="1" si="34"/>
        <v>0</v>
      </c>
      <c r="P137" s="84">
        <f ca="1">('Invoer gegevens (N)'!$F$20/12)*L136*MIN(BA137,BC137)</f>
        <v>0</v>
      </c>
      <c r="Q137" s="84">
        <f t="shared" ca="1" si="38"/>
        <v>0</v>
      </c>
      <c r="R137" s="85">
        <f ca="1">IF('Invoer gegevens (N)'!$C$17=E137,'Invoer gegevens (N)'!$C$11,IF(C137=1,W136,0))</f>
        <v>0</v>
      </c>
      <c r="S137" s="86">
        <f t="shared" ca="1" si="35"/>
        <v>0</v>
      </c>
      <c r="T137" s="86">
        <f ca="1">(1-('Invoer gegevens (N)'!$F$20/12))*R137*MIN(BC137,BA137)</f>
        <v>0</v>
      </c>
      <c r="U137" s="86">
        <f ca="1">IF(BD137&lt;1,IF('Reeksen (N)'!AD137&lt;='Reeksen (N)'!AE137,R137*'Reeksen (N)'!C137,0),IF(BC137&gt;=BA137,0,IF('Reeksen (N)'!AD137&lt;='Reeksen (N)'!AE137,(BA137-BC137)*R137,0)))</f>
        <v>0</v>
      </c>
      <c r="V137" s="86">
        <f ca="1">IF(BD137&lt;1,IF('Reeksen (N)'!AD137&gt;'Reeksen (N)'!AE137,R137*'Reeksen (N)'!C137,0),IF(BC137&gt;=BA137,0,IF('Reeksen (N)'!AD137&gt;'Reeksen (N)'!AE137,(BA137-BC137)*R137,0)))</f>
        <v>0</v>
      </c>
      <c r="W137" s="218">
        <f t="shared" ca="1" si="39"/>
        <v>0</v>
      </c>
      <c r="X137" s="98">
        <f ca="1">IF('Invoer gegevens (N)'!$C$17=E137,'Invoer gegevens (N)'!$C$10-'Invoer gegevens (N)'!$C$11,IF(C137=1,AC136,0))</f>
        <v>0</v>
      </c>
      <c r="Y137" s="98">
        <f t="shared" ca="1" si="36"/>
        <v>0</v>
      </c>
      <c r="Z137" s="98">
        <f ca="1">(1-('Invoer gegevens (N)'!$F$20/12))*X137*MIN(BA137,BC137)</f>
        <v>0</v>
      </c>
      <c r="AA137" s="98">
        <f ca="1">IF(BD137&lt;1,IF('Reeksen (N)'!AD137&lt;='Reeksen (N)'!AE137,X137*'Reeksen (N)'!C137,0),IF(BC137&gt;=BA137,0,IF('Reeksen (N)'!AD137&lt;='Reeksen (N)'!AE137,(BA137-BC137)*X137,0)))</f>
        <v>0</v>
      </c>
      <c r="AB137" s="98">
        <f ca="1">IF(BD137&lt;1,IF('Reeksen (N)'!AD137&gt;'Reeksen (N)'!AE137,X137*'Reeksen (N)'!C137,0),IF(BC137&gt;=BA137,0,IF('Reeksen (N)'!AD137&gt;'Reeksen (N)'!AE137,(BA137-BC137)*X137,0)))</f>
        <v>0</v>
      </c>
      <c r="AC137" s="99">
        <f t="shared" ca="1" si="40"/>
        <v>0</v>
      </c>
      <c r="AD137" s="98">
        <f ca="1">IF('Invoer gegevens (N)'!$C$17=E137,R137,IF(C137=0,0,AE136))</f>
        <v>0</v>
      </c>
      <c r="AE137" s="98">
        <f t="shared" ca="1" si="41"/>
        <v>0</v>
      </c>
      <c r="AF137" s="98">
        <f ca="1">IF('Invoer gegevens (N)'!$C$17=E137,X137,IF(C137=0,0,AG136))</f>
        <v>0</v>
      </c>
      <c r="AG137" s="98">
        <f t="shared" ca="1" si="42"/>
        <v>0</v>
      </c>
      <c r="AH137" s="66"/>
      <c r="AI137" s="71">
        <f ca="1">IF(C137=1,'Reeksen (N)'!AI137*((F137+K137)/2)*12+'Reeksen (N)'!AD137*((L137+Q137)/2)*12,0)</f>
        <v>0</v>
      </c>
      <c r="AJ137" s="71">
        <f ca="1">-AI137*'Invoer gegevens (N)'!$F$28</f>
        <v>0</v>
      </c>
      <c r="AK137" s="71">
        <f t="shared" ca="1" si="43"/>
        <v>0</v>
      </c>
      <c r="AL137" s="71">
        <f ca="1">IF(C137=1,'Reeksen (N)'!AL137*((F137-G137+F137)/2)*12+'Reeksen (N)'!AM137*((L137-M137+L137)/2)*12,0)</f>
        <v>0</v>
      </c>
      <c r="AM137" s="71">
        <f ca="1">-AL137*'Invoer gegevens (N)'!$F$31</f>
        <v>0</v>
      </c>
      <c r="AN137" s="71">
        <f t="shared" ca="1" si="44"/>
        <v>0</v>
      </c>
      <c r="AO137" s="71">
        <f ca="1">IF(C137=1,(H137+J137+N137+P137)*'Reeksen (N)'!AN137,0)</f>
        <v>0</v>
      </c>
      <c r="AP137" s="71">
        <f ca="1">-IF(C137=1,(H137+J137+N137+P137)*'Hulp - basis'!$O$550*'Reeksen (N)'!H137,0)</f>
        <v>0</v>
      </c>
      <c r="AQ137" s="71">
        <f ca="1">-IF(C137=1,(F137+K137+L137+Q137)/2*'Invoer gegevens (N)'!$F$35*'Reeksen (N)'!J137,0)*2</f>
        <v>0</v>
      </c>
      <c r="AR137" s="71">
        <f ca="1">IF(BD137&lt;1,-IF(C137=1,(G137*'Invoer gegevens (N)'!$F$36)*'Reeksen (N)'!J137,0),0)</f>
        <v>0</v>
      </c>
      <c r="AS137" s="71">
        <f ca="1">-IF(C137=1,(F137+K137+L137+Q137)/2*'Invoer gegevens (N)'!$F$37*'Reeksen (N)'!L137,0)</f>
        <v>0</v>
      </c>
      <c r="AT137" s="71">
        <f ca="1">-IF(C137=1,IF(E137='Invoer gegevens (N)'!$C$17,'Invoer gegevens (N)'!$C$11,AD137)*'Reeksen (N)'!S137*'Invoer gegevens (N)'!$C$18*'Reeksen (N)'!P137,0)</f>
        <v>0</v>
      </c>
      <c r="AU137" s="71">
        <f ca="1">-IF(C137=1,(F137+K137+L137+Q137)/2*'Invoer gegevens (N)'!$F$38*'Reeksen (N)'!H137,0)</f>
        <v>0</v>
      </c>
      <c r="AV137" s="71">
        <v>0</v>
      </c>
      <c r="AW137" s="71">
        <f t="shared" ca="1" si="45"/>
        <v>0</v>
      </c>
      <c r="AX137" s="71">
        <f ca="1">IF(E137&lt;'Invoer gegevens (N)'!$C$17+15,0,IF(E137&gt;'Invoer gegevens (N)'!$C$17+215,0,AW137))</f>
        <v>0</v>
      </c>
      <c r="AY137" s="71">
        <f ca="1">AX137/(1+'Invoer gegevens (N)'!$F$18)^($AZ137-('Invoer gegevens (N)'!$C$17-'Invoer gegevens (N)'!$C$16))/(1+'Invoer gegevens (N)'!$C$39)^('Invoer gegevens (N)'!$C$17-'Invoer gegevens (N)'!$C$16)</f>
        <v>0</v>
      </c>
      <c r="AZ137" s="68">
        <f ca="1">IF(E137-'Invoer gegevens (N)'!$C$17-14.5&lt;0,0,E137-'Invoer gegevens (N)'!$C$17-14.5)</f>
        <v>117.5</v>
      </c>
      <c r="BA137" s="109">
        <f ca="1">IFERROR(VLOOKUP(E137-15,'Reeksen (N)'!$A$5:$D$234,2,FALSE),0)</f>
        <v>0</v>
      </c>
      <c r="BB137" s="109">
        <f ca="1">IFERROR(VLOOKUP(E137-15,'Reeksen (N)'!$A$5:$D$234,3,FALSE),0)</f>
        <v>0</v>
      </c>
      <c r="BC137" s="109">
        <f ca="1">IFERROR(VLOOKUP(E137-15,'Reeksen (N)'!$A$5:$D$234,4,FALSE),0)</f>
        <v>0</v>
      </c>
      <c r="BD137" s="67">
        <f ca="1">IF(E137-'Invoer gegevens (N)'!$C$17&lt;15,0,1)</f>
        <v>1</v>
      </c>
    </row>
    <row r="138" spans="1:56" x14ac:dyDescent="0.25">
      <c r="A138" s="59"/>
      <c r="B138" s="70">
        <f t="shared" si="46"/>
        <v>134</v>
      </c>
      <c r="C138" s="67">
        <f ca="1">IF(E138-'Invoer gegevens (N)'!$C$17&lt;0,0,1)</f>
        <v>1</v>
      </c>
      <c r="D138" s="68">
        <f t="shared" si="47"/>
        <v>133.5</v>
      </c>
      <c r="E138" s="108">
        <f ca="1">IF('Invoer gegevens (N)'!$C$16="","",E137+1)</f>
        <v>2152</v>
      </c>
      <c r="F138" s="84">
        <f ca="1">IF('Invoer gegevens (N)'!$C$17=E138,'Invoer gegevens (N)'!$C$10,IF(C138=1,K137,0))</f>
        <v>0</v>
      </c>
      <c r="G138" s="96">
        <f ca="1">IF(BD138&lt;1,F138*'Reeksen (N)'!C138,IF(C138&gt;=1,F138*BA138,0))</f>
        <v>0</v>
      </c>
      <c r="H138" s="84">
        <f ca="1">(1-('Invoer gegevens (N)'!$F$20/12))*F138*MIN(BA138,BC138)</f>
        <v>0</v>
      </c>
      <c r="I138" s="84">
        <f t="shared" ca="1" si="32"/>
        <v>0</v>
      </c>
      <c r="J138" s="84">
        <f ca="1">('Invoer gegevens (N)'!$F$20/12)*F137*MIN(BA138,BC138)</f>
        <v>0</v>
      </c>
      <c r="K138" s="97">
        <f t="shared" ca="1" si="37"/>
        <v>0</v>
      </c>
      <c r="L138" s="84">
        <f ca="1">IF('Invoer gegevens (N)'!$C$17=E138,0,IF(C138=1,Q137,0))</f>
        <v>0</v>
      </c>
      <c r="M138" s="96">
        <f t="shared" ca="1" si="33"/>
        <v>0</v>
      </c>
      <c r="N138" s="84">
        <f ca="1">(1-('Invoer gegevens (N)'!$F$20/12))*L138*MIN(BA138,BC138)</f>
        <v>0</v>
      </c>
      <c r="O138" s="84">
        <f t="shared" ca="1" si="34"/>
        <v>0</v>
      </c>
      <c r="P138" s="84">
        <f ca="1">('Invoer gegevens (N)'!$F$20/12)*L137*MIN(BA138,BC138)</f>
        <v>0</v>
      </c>
      <c r="Q138" s="84">
        <f t="shared" ca="1" si="38"/>
        <v>0</v>
      </c>
      <c r="R138" s="85">
        <f ca="1">IF('Invoer gegevens (N)'!$C$17=E138,'Invoer gegevens (N)'!$C$11,IF(C138=1,W137,0))</f>
        <v>0</v>
      </c>
      <c r="S138" s="86">
        <f t="shared" ca="1" si="35"/>
        <v>0</v>
      </c>
      <c r="T138" s="86">
        <f ca="1">(1-('Invoer gegevens (N)'!$F$20/12))*R138*MIN(BC138,BA138)</f>
        <v>0</v>
      </c>
      <c r="U138" s="86">
        <f ca="1">IF(BD138&lt;1,IF('Reeksen (N)'!AD138&lt;='Reeksen (N)'!AE138,R138*'Reeksen (N)'!C138,0),IF(BC138&gt;=BA138,0,IF('Reeksen (N)'!AD138&lt;='Reeksen (N)'!AE138,(BA138-BC138)*R138,0)))</f>
        <v>0</v>
      </c>
      <c r="V138" s="86">
        <f ca="1">IF(BD138&lt;1,IF('Reeksen (N)'!AD138&gt;'Reeksen (N)'!AE138,R138*'Reeksen (N)'!C138,0),IF(BC138&gt;=BA138,0,IF('Reeksen (N)'!AD138&gt;'Reeksen (N)'!AE138,(BA138-BC138)*R138,0)))</f>
        <v>0</v>
      </c>
      <c r="W138" s="218">
        <f t="shared" ca="1" si="39"/>
        <v>0</v>
      </c>
      <c r="X138" s="98">
        <f ca="1">IF('Invoer gegevens (N)'!$C$17=E138,'Invoer gegevens (N)'!$C$10-'Invoer gegevens (N)'!$C$11,IF(C138=1,AC137,0))</f>
        <v>0</v>
      </c>
      <c r="Y138" s="98">
        <f t="shared" ca="1" si="36"/>
        <v>0</v>
      </c>
      <c r="Z138" s="98">
        <f ca="1">(1-('Invoer gegevens (N)'!$F$20/12))*X138*MIN(BA138,BC138)</f>
        <v>0</v>
      </c>
      <c r="AA138" s="98">
        <f ca="1">IF(BD138&lt;1,IF('Reeksen (N)'!AD138&lt;='Reeksen (N)'!AE138,X138*'Reeksen (N)'!C138,0),IF(BC138&gt;=BA138,0,IF('Reeksen (N)'!AD138&lt;='Reeksen (N)'!AE138,(BA138-BC138)*X138,0)))</f>
        <v>0</v>
      </c>
      <c r="AB138" s="98">
        <f ca="1">IF(BD138&lt;1,IF('Reeksen (N)'!AD138&gt;'Reeksen (N)'!AE138,X138*'Reeksen (N)'!C138,0),IF(BC138&gt;=BA138,0,IF('Reeksen (N)'!AD138&gt;'Reeksen (N)'!AE138,(BA138-BC138)*X138,0)))</f>
        <v>0</v>
      </c>
      <c r="AC138" s="99">
        <f t="shared" ca="1" si="40"/>
        <v>0</v>
      </c>
      <c r="AD138" s="98">
        <f ca="1">IF('Invoer gegevens (N)'!$C$17=E138,R138,IF(C138=0,0,AE137))</f>
        <v>0</v>
      </c>
      <c r="AE138" s="98">
        <f t="shared" ca="1" si="41"/>
        <v>0</v>
      </c>
      <c r="AF138" s="98">
        <f ca="1">IF('Invoer gegevens (N)'!$C$17=E138,X138,IF(C138=0,0,AG137))</f>
        <v>0</v>
      </c>
      <c r="AG138" s="98">
        <f t="shared" ca="1" si="42"/>
        <v>0</v>
      </c>
      <c r="AH138" s="66"/>
      <c r="AI138" s="71">
        <f ca="1">IF(C138=1,'Reeksen (N)'!AI138*((F138+K138)/2)*12+'Reeksen (N)'!AD138*((L138+Q138)/2)*12,0)</f>
        <v>0</v>
      </c>
      <c r="AJ138" s="71">
        <f ca="1">-AI138*'Invoer gegevens (N)'!$F$28</f>
        <v>0</v>
      </c>
      <c r="AK138" s="71">
        <f t="shared" ca="1" si="43"/>
        <v>0</v>
      </c>
      <c r="AL138" s="71">
        <f ca="1">IF(C138=1,'Reeksen (N)'!AL138*((F138-G138+F138)/2)*12+'Reeksen (N)'!AM138*((L138-M138+L138)/2)*12,0)</f>
        <v>0</v>
      </c>
      <c r="AM138" s="71">
        <f ca="1">-AL138*'Invoer gegevens (N)'!$F$31</f>
        <v>0</v>
      </c>
      <c r="AN138" s="71">
        <f t="shared" ca="1" si="44"/>
        <v>0</v>
      </c>
      <c r="AO138" s="71">
        <f ca="1">IF(C138=1,(H138+J138+N138+P138)*'Reeksen (N)'!AN138,0)</f>
        <v>0</v>
      </c>
      <c r="AP138" s="71">
        <f ca="1">-IF(C138=1,(H138+J138+N138+P138)*'Hulp - basis'!$O$550*'Reeksen (N)'!H138,0)</f>
        <v>0</v>
      </c>
      <c r="AQ138" s="71">
        <f ca="1">-IF(C138=1,(F138+K138+L138+Q138)/2*'Invoer gegevens (N)'!$F$35*'Reeksen (N)'!J138,0)*2</f>
        <v>0</v>
      </c>
      <c r="AR138" s="71">
        <f ca="1">IF(BD138&lt;1,-IF(C138=1,(G138*'Invoer gegevens (N)'!$F$36)*'Reeksen (N)'!J138,0),0)</f>
        <v>0</v>
      </c>
      <c r="AS138" s="71">
        <f ca="1">-IF(C138=1,(F138+K138+L138+Q138)/2*'Invoer gegevens (N)'!$F$37*'Reeksen (N)'!L138,0)</f>
        <v>0</v>
      </c>
      <c r="AT138" s="71">
        <f ca="1">-IF(C138=1,IF(E138='Invoer gegevens (N)'!$C$17,'Invoer gegevens (N)'!$C$11,AD138)*'Reeksen (N)'!S138*'Invoer gegevens (N)'!$C$18*'Reeksen (N)'!P138,0)</f>
        <v>0</v>
      </c>
      <c r="AU138" s="71">
        <f ca="1">-IF(C138=1,(F138+K138+L138+Q138)/2*'Invoer gegevens (N)'!$F$38*'Reeksen (N)'!H138,0)</f>
        <v>0</v>
      </c>
      <c r="AV138" s="71">
        <v>0</v>
      </c>
      <c r="AW138" s="71">
        <f t="shared" ca="1" si="45"/>
        <v>0</v>
      </c>
      <c r="AX138" s="71">
        <f ca="1">IF(E138&lt;'Invoer gegevens (N)'!$C$17+15,0,IF(E138&gt;'Invoer gegevens (N)'!$C$17+215,0,AW138))</f>
        <v>0</v>
      </c>
      <c r="AY138" s="71">
        <f ca="1">AX138/(1+'Invoer gegevens (N)'!$F$18)^($AZ138-('Invoer gegevens (N)'!$C$17-'Invoer gegevens (N)'!$C$16))/(1+'Invoer gegevens (N)'!$C$39)^('Invoer gegevens (N)'!$C$17-'Invoer gegevens (N)'!$C$16)</f>
        <v>0</v>
      </c>
      <c r="AZ138" s="68">
        <f ca="1">IF(E138-'Invoer gegevens (N)'!$C$17-14.5&lt;0,0,E138-'Invoer gegevens (N)'!$C$17-14.5)</f>
        <v>118.5</v>
      </c>
      <c r="BA138" s="109">
        <f ca="1">IFERROR(VLOOKUP(E138-15,'Reeksen (N)'!$A$5:$D$234,2,FALSE),0)</f>
        <v>0</v>
      </c>
      <c r="BB138" s="109">
        <f ca="1">IFERROR(VLOOKUP(E138-15,'Reeksen (N)'!$A$5:$D$234,3,FALSE),0)</f>
        <v>0</v>
      </c>
      <c r="BC138" s="109">
        <f ca="1">IFERROR(VLOOKUP(E138-15,'Reeksen (N)'!$A$5:$D$234,4,FALSE),0)</f>
        <v>0</v>
      </c>
      <c r="BD138" s="67">
        <f ca="1">IF(E138-'Invoer gegevens (N)'!$C$17&lt;15,0,1)</f>
        <v>1</v>
      </c>
    </row>
    <row r="139" spans="1:56" x14ac:dyDescent="0.25">
      <c r="A139" s="59"/>
      <c r="B139" s="70">
        <f t="shared" si="46"/>
        <v>135</v>
      </c>
      <c r="C139" s="67">
        <f ca="1">IF(E139-'Invoer gegevens (N)'!$C$17&lt;0,0,1)</f>
        <v>1</v>
      </c>
      <c r="D139" s="68">
        <f t="shared" si="47"/>
        <v>134.5</v>
      </c>
      <c r="E139" s="108">
        <f ca="1">IF('Invoer gegevens (N)'!$C$16="","",E138+1)</f>
        <v>2153</v>
      </c>
      <c r="F139" s="84">
        <f ca="1">IF('Invoer gegevens (N)'!$C$17=E139,'Invoer gegevens (N)'!$C$10,IF(C139=1,K138,0))</f>
        <v>0</v>
      </c>
      <c r="G139" s="96">
        <f ca="1">IF(BD139&lt;1,F139*'Reeksen (N)'!C139,IF(C139&gt;=1,F139*BA139,0))</f>
        <v>0</v>
      </c>
      <c r="H139" s="84">
        <f ca="1">(1-('Invoer gegevens (N)'!$F$20/12))*F139*MIN(BA139,BC139)</f>
        <v>0</v>
      </c>
      <c r="I139" s="84">
        <f t="shared" ca="1" si="32"/>
        <v>0</v>
      </c>
      <c r="J139" s="84">
        <f ca="1">('Invoer gegevens (N)'!$F$20/12)*F138*MIN(BA139,BC139)</f>
        <v>0</v>
      </c>
      <c r="K139" s="97">
        <f t="shared" ca="1" si="37"/>
        <v>0</v>
      </c>
      <c r="L139" s="84">
        <f ca="1">IF('Invoer gegevens (N)'!$C$17=E139,0,IF(C139=1,Q138,0))</f>
        <v>0</v>
      </c>
      <c r="M139" s="96">
        <f t="shared" ca="1" si="33"/>
        <v>0</v>
      </c>
      <c r="N139" s="84">
        <f ca="1">(1-('Invoer gegevens (N)'!$F$20/12))*L139*MIN(BA139,BC139)</f>
        <v>0</v>
      </c>
      <c r="O139" s="84">
        <f t="shared" ca="1" si="34"/>
        <v>0</v>
      </c>
      <c r="P139" s="84">
        <f ca="1">('Invoer gegevens (N)'!$F$20/12)*L138*MIN(BA139,BC139)</f>
        <v>0</v>
      </c>
      <c r="Q139" s="84">
        <f t="shared" ca="1" si="38"/>
        <v>0</v>
      </c>
      <c r="R139" s="85">
        <f ca="1">IF('Invoer gegevens (N)'!$C$17=E139,'Invoer gegevens (N)'!$C$11,IF(C139=1,W138,0))</f>
        <v>0</v>
      </c>
      <c r="S139" s="86">
        <f t="shared" ca="1" si="35"/>
        <v>0</v>
      </c>
      <c r="T139" s="86">
        <f ca="1">(1-('Invoer gegevens (N)'!$F$20/12))*R139*MIN(BC139,BA139)</f>
        <v>0</v>
      </c>
      <c r="U139" s="86">
        <f ca="1">IF(BD139&lt;1,IF('Reeksen (N)'!AD139&lt;='Reeksen (N)'!AE139,R139*'Reeksen (N)'!C139,0),IF(BC139&gt;=BA139,0,IF('Reeksen (N)'!AD139&lt;='Reeksen (N)'!AE139,(BA139-BC139)*R139,0)))</f>
        <v>0</v>
      </c>
      <c r="V139" s="86">
        <f ca="1">IF(BD139&lt;1,IF('Reeksen (N)'!AD139&gt;'Reeksen (N)'!AE139,R139*'Reeksen (N)'!C139,0),IF(BC139&gt;=BA139,0,IF('Reeksen (N)'!AD139&gt;'Reeksen (N)'!AE139,(BA139-BC139)*R139,0)))</f>
        <v>0</v>
      </c>
      <c r="W139" s="218">
        <f t="shared" ca="1" si="39"/>
        <v>0</v>
      </c>
      <c r="X139" s="98">
        <f ca="1">IF('Invoer gegevens (N)'!$C$17=E139,'Invoer gegevens (N)'!$C$10-'Invoer gegevens (N)'!$C$11,IF(C139=1,AC138,0))</f>
        <v>0</v>
      </c>
      <c r="Y139" s="98">
        <f t="shared" ca="1" si="36"/>
        <v>0</v>
      </c>
      <c r="Z139" s="98">
        <f ca="1">(1-('Invoer gegevens (N)'!$F$20/12))*X139*MIN(BA139,BC139)</f>
        <v>0</v>
      </c>
      <c r="AA139" s="98">
        <f ca="1">IF(BD139&lt;1,IF('Reeksen (N)'!AD139&lt;='Reeksen (N)'!AE139,X139*'Reeksen (N)'!C139,0),IF(BC139&gt;=BA139,0,IF('Reeksen (N)'!AD139&lt;='Reeksen (N)'!AE139,(BA139-BC139)*X139,0)))</f>
        <v>0</v>
      </c>
      <c r="AB139" s="98">
        <f ca="1">IF(BD139&lt;1,IF('Reeksen (N)'!AD139&gt;'Reeksen (N)'!AE139,X139*'Reeksen (N)'!C139,0),IF(BC139&gt;=BA139,0,IF('Reeksen (N)'!AD139&gt;'Reeksen (N)'!AE139,(BA139-BC139)*X139,0)))</f>
        <v>0</v>
      </c>
      <c r="AC139" s="99">
        <f t="shared" ca="1" si="40"/>
        <v>0</v>
      </c>
      <c r="AD139" s="98">
        <f ca="1">IF('Invoer gegevens (N)'!$C$17=E139,R139,IF(C139=0,0,AE138))</f>
        <v>0</v>
      </c>
      <c r="AE139" s="98">
        <f t="shared" ca="1" si="41"/>
        <v>0</v>
      </c>
      <c r="AF139" s="98">
        <f ca="1">IF('Invoer gegevens (N)'!$C$17=E139,X139,IF(C139=0,0,AG138))</f>
        <v>0</v>
      </c>
      <c r="AG139" s="98">
        <f t="shared" ca="1" si="42"/>
        <v>0</v>
      </c>
      <c r="AH139" s="66"/>
      <c r="AI139" s="71">
        <f ca="1">IF(C139=1,'Reeksen (N)'!AI139*((F139+K139)/2)*12+'Reeksen (N)'!AD139*((L139+Q139)/2)*12,0)</f>
        <v>0</v>
      </c>
      <c r="AJ139" s="71">
        <f ca="1">-AI139*'Invoer gegevens (N)'!$F$28</f>
        <v>0</v>
      </c>
      <c r="AK139" s="71">
        <f t="shared" ca="1" si="43"/>
        <v>0</v>
      </c>
      <c r="AL139" s="71">
        <f ca="1">IF(C139=1,'Reeksen (N)'!AL139*((F139-G139+F139)/2)*12+'Reeksen (N)'!AM139*((L139-M139+L139)/2)*12,0)</f>
        <v>0</v>
      </c>
      <c r="AM139" s="71">
        <f ca="1">-AL139*'Invoer gegevens (N)'!$F$31</f>
        <v>0</v>
      </c>
      <c r="AN139" s="71">
        <f t="shared" ca="1" si="44"/>
        <v>0</v>
      </c>
      <c r="AO139" s="71">
        <f ca="1">IF(C139=1,(H139+J139+N139+P139)*'Reeksen (N)'!AN139,0)</f>
        <v>0</v>
      </c>
      <c r="AP139" s="71">
        <f ca="1">-IF(C139=1,(H139+J139+N139+P139)*'Hulp - basis'!$O$550*'Reeksen (N)'!H139,0)</f>
        <v>0</v>
      </c>
      <c r="AQ139" s="71">
        <f ca="1">-IF(C139=1,(F139+K139+L139+Q139)/2*'Invoer gegevens (N)'!$F$35*'Reeksen (N)'!J139,0)*2</f>
        <v>0</v>
      </c>
      <c r="AR139" s="71">
        <f ca="1">IF(BD139&lt;1,-IF(C139=1,(G139*'Invoer gegevens (N)'!$F$36)*'Reeksen (N)'!J139,0),0)</f>
        <v>0</v>
      </c>
      <c r="AS139" s="71">
        <f ca="1">-IF(C139=1,(F139+K139+L139+Q139)/2*'Invoer gegevens (N)'!$F$37*'Reeksen (N)'!L139,0)</f>
        <v>0</v>
      </c>
      <c r="AT139" s="71">
        <f ca="1">-IF(C139=1,IF(E139='Invoer gegevens (N)'!$C$17,'Invoer gegevens (N)'!$C$11,AD139)*'Reeksen (N)'!S139*'Invoer gegevens (N)'!$C$18*'Reeksen (N)'!P139,0)</f>
        <v>0</v>
      </c>
      <c r="AU139" s="71">
        <f ca="1">-IF(C139=1,(F139+K139+L139+Q139)/2*'Invoer gegevens (N)'!$F$38*'Reeksen (N)'!H139,0)</f>
        <v>0</v>
      </c>
      <c r="AV139" s="71">
        <v>0</v>
      </c>
      <c r="AW139" s="71">
        <f t="shared" ca="1" si="45"/>
        <v>0</v>
      </c>
      <c r="AX139" s="71">
        <f ca="1">IF(E139&lt;'Invoer gegevens (N)'!$C$17+15,0,IF(E139&gt;'Invoer gegevens (N)'!$C$17+215,0,AW139))</f>
        <v>0</v>
      </c>
      <c r="AY139" s="71">
        <f ca="1">AX139/(1+'Invoer gegevens (N)'!$F$18)^($AZ139-('Invoer gegevens (N)'!$C$17-'Invoer gegevens (N)'!$C$16))/(1+'Invoer gegevens (N)'!$C$39)^('Invoer gegevens (N)'!$C$17-'Invoer gegevens (N)'!$C$16)</f>
        <v>0</v>
      </c>
      <c r="AZ139" s="68">
        <f ca="1">IF(E139-'Invoer gegevens (N)'!$C$17-14.5&lt;0,0,E139-'Invoer gegevens (N)'!$C$17-14.5)</f>
        <v>119.5</v>
      </c>
      <c r="BA139" s="109">
        <f ca="1">IFERROR(VLOOKUP(E139-15,'Reeksen (N)'!$A$5:$D$234,2,FALSE),0)</f>
        <v>0</v>
      </c>
      <c r="BB139" s="109">
        <f ca="1">IFERROR(VLOOKUP(E139-15,'Reeksen (N)'!$A$5:$D$234,3,FALSE),0)</f>
        <v>0</v>
      </c>
      <c r="BC139" s="109">
        <f ca="1">IFERROR(VLOOKUP(E139-15,'Reeksen (N)'!$A$5:$D$234,4,FALSE),0)</f>
        <v>0</v>
      </c>
      <c r="BD139" s="67">
        <f ca="1">IF(E139-'Invoer gegevens (N)'!$C$17&lt;15,0,1)</f>
        <v>1</v>
      </c>
    </row>
    <row r="140" spans="1:56" x14ac:dyDescent="0.25">
      <c r="A140" s="59"/>
      <c r="B140" s="70">
        <f t="shared" si="46"/>
        <v>136</v>
      </c>
      <c r="C140" s="67">
        <f ca="1">IF(E140-'Invoer gegevens (N)'!$C$17&lt;0,0,1)</f>
        <v>1</v>
      </c>
      <c r="D140" s="68">
        <f t="shared" si="47"/>
        <v>135.5</v>
      </c>
      <c r="E140" s="108">
        <f ca="1">IF('Invoer gegevens (N)'!$C$16="","",E139+1)</f>
        <v>2154</v>
      </c>
      <c r="F140" s="84">
        <f ca="1">IF('Invoer gegevens (N)'!$C$17=E140,'Invoer gegevens (N)'!$C$10,IF(C140=1,K139,0))</f>
        <v>0</v>
      </c>
      <c r="G140" s="96">
        <f ca="1">IF(BD140&lt;1,F140*'Reeksen (N)'!C140,IF(C140&gt;=1,F140*BA140,0))</f>
        <v>0</v>
      </c>
      <c r="H140" s="84">
        <f ca="1">(1-('Invoer gegevens (N)'!$F$20/12))*F140*MIN(BA140,BC140)</f>
        <v>0</v>
      </c>
      <c r="I140" s="84">
        <f t="shared" ca="1" si="32"/>
        <v>0</v>
      </c>
      <c r="J140" s="84">
        <f ca="1">('Invoer gegevens (N)'!$F$20/12)*F139*MIN(BA140,BC140)</f>
        <v>0</v>
      </c>
      <c r="K140" s="97">
        <f t="shared" ca="1" si="37"/>
        <v>0</v>
      </c>
      <c r="L140" s="84">
        <f ca="1">IF('Invoer gegevens (N)'!$C$17=E140,0,IF(C140=1,Q139,0))</f>
        <v>0</v>
      </c>
      <c r="M140" s="96">
        <f t="shared" ca="1" si="33"/>
        <v>0</v>
      </c>
      <c r="N140" s="84">
        <f ca="1">(1-('Invoer gegevens (N)'!$F$20/12))*L140*MIN(BA140,BC140)</f>
        <v>0</v>
      </c>
      <c r="O140" s="84">
        <f t="shared" ca="1" si="34"/>
        <v>0</v>
      </c>
      <c r="P140" s="84">
        <f ca="1">('Invoer gegevens (N)'!$F$20/12)*L139*MIN(BA140,BC140)</f>
        <v>0</v>
      </c>
      <c r="Q140" s="84">
        <f t="shared" ca="1" si="38"/>
        <v>0</v>
      </c>
      <c r="R140" s="85">
        <f ca="1">IF('Invoer gegevens (N)'!$C$17=E140,'Invoer gegevens (N)'!$C$11,IF(C140=1,W139,0))</f>
        <v>0</v>
      </c>
      <c r="S140" s="86">
        <f t="shared" ca="1" si="35"/>
        <v>0</v>
      </c>
      <c r="T140" s="86">
        <f ca="1">(1-('Invoer gegevens (N)'!$F$20/12))*R140*MIN(BC140,BA140)</f>
        <v>0</v>
      </c>
      <c r="U140" s="86">
        <f ca="1">IF(BD140&lt;1,IF('Reeksen (N)'!AD140&lt;='Reeksen (N)'!AE140,R140*'Reeksen (N)'!C140,0),IF(BC140&gt;=BA140,0,IF('Reeksen (N)'!AD140&lt;='Reeksen (N)'!AE140,(BA140-BC140)*R140,0)))</f>
        <v>0</v>
      </c>
      <c r="V140" s="86">
        <f ca="1">IF(BD140&lt;1,IF('Reeksen (N)'!AD140&gt;'Reeksen (N)'!AE140,R140*'Reeksen (N)'!C140,0),IF(BC140&gt;=BA140,0,IF('Reeksen (N)'!AD140&gt;'Reeksen (N)'!AE140,(BA140-BC140)*R140,0)))</f>
        <v>0</v>
      </c>
      <c r="W140" s="218">
        <f t="shared" ca="1" si="39"/>
        <v>0</v>
      </c>
      <c r="X140" s="98">
        <f ca="1">IF('Invoer gegevens (N)'!$C$17=E140,'Invoer gegevens (N)'!$C$10-'Invoer gegevens (N)'!$C$11,IF(C140=1,AC139,0))</f>
        <v>0</v>
      </c>
      <c r="Y140" s="98">
        <f t="shared" ca="1" si="36"/>
        <v>0</v>
      </c>
      <c r="Z140" s="98">
        <f ca="1">(1-('Invoer gegevens (N)'!$F$20/12))*X140*MIN(BA140,BC140)</f>
        <v>0</v>
      </c>
      <c r="AA140" s="98">
        <f ca="1">IF(BD140&lt;1,IF('Reeksen (N)'!AD140&lt;='Reeksen (N)'!AE140,X140*'Reeksen (N)'!C140,0),IF(BC140&gt;=BA140,0,IF('Reeksen (N)'!AD140&lt;='Reeksen (N)'!AE140,(BA140-BC140)*X140,0)))</f>
        <v>0</v>
      </c>
      <c r="AB140" s="98">
        <f ca="1">IF(BD140&lt;1,IF('Reeksen (N)'!AD140&gt;'Reeksen (N)'!AE140,X140*'Reeksen (N)'!C140,0),IF(BC140&gt;=BA140,0,IF('Reeksen (N)'!AD140&gt;'Reeksen (N)'!AE140,(BA140-BC140)*X140,0)))</f>
        <v>0</v>
      </c>
      <c r="AC140" s="99">
        <f t="shared" ca="1" si="40"/>
        <v>0</v>
      </c>
      <c r="AD140" s="98">
        <f ca="1">IF('Invoer gegevens (N)'!$C$17=E140,R140,IF(C140=0,0,AE139))</f>
        <v>0</v>
      </c>
      <c r="AE140" s="98">
        <f t="shared" ca="1" si="41"/>
        <v>0</v>
      </c>
      <c r="AF140" s="98">
        <f ca="1">IF('Invoer gegevens (N)'!$C$17=E140,X140,IF(C140=0,0,AG139))</f>
        <v>0</v>
      </c>
      <c r="AG140" s="98">
        <f t="shared" ca="1" si="42"/>
        <v>0</v>
      </c>
      <c r="AH140" s="66"/>
      <c r="AI140" s="71">
        <f ca="1">IF(C140=1,'Reeksen (N)'!AI140*((F140+K140)/2)*12+'Reeksen (N)'!AD140*((L140+Q140)/2)*12,0)</f>
        <v>0</v>
      </c>
      <c r="AJ140" s="71">
        <f ca="1">-AI140*'Invoer gegevens (N)'!$F$28</f>
        <v>0</v>
      </c>
      <c r="AK140" s="71">
        <f t="shared" ca="1" si="43"/>
        <v>0</v>
      </c>
      <c r="AL140" s="71">
        <f ca="1">IF(C140=1,'Reeksen (N)'!AL140*((F140-G140+F140)/2)*12+'Reeksen (N)'!AM140*((L140-M140+L140)/2)*12,0)</f>
        <v>0</v>
      </c>
      <c r="AM140" s="71">
        <f ca="1">-AL140*'Invoer gegevens (N)'!$F$31</f>
        <v>0</v>
      </c>
      <c r="AN140" s="71">
        <f t="shared" ca="1" si="44"/>
        <v>0</v>
      </c>
      <c r="AO140" s="71">
        <f ca="1">IF(C140=1,(H140+J140+N140+P140)*'Reeksen (N)'!AN140,0)</f>
        <v>0</v>
      </c>
      <c r="AP140" s="71">
        <f ca="1">-IF(C140=1,(H140+J140+N140+P140)*'Hulp - basis'!$O$550*'Reeksen (N)'!H140,0)</f>
        <v>0</v>
      </c>
      <c r="AQ140" s="71">
        <f ca="1">-IF(C140=1,(F140+K140+L140+Q140)/2*'Invoer gegevens (N)'!$F$35*'Reeksen (N)'!J140,0)*2</f>
        <v>0</v>
      </c>
      <c r="AR140" s="71">
        <f ca="1">IF(BD140&lt;1,-IF(C140=1,(G140*'Invoer gegevens (N)'!$F$36)*'Reeksen (N)'!J140,0),0)</f>
        <v>0</v>
      </c>
      <c r="AS140" s="71">
        <f ca="1">-IF(C140=1,(F140+K140+L140+Q140)/2*'Invoer gegevens (N)'!$F$37*'Reeksen (N)'!L140,0)</f>
        <v>0</v>
      </c>
      <c r="AT140" s="71">
        <f ca="1">-IF(C140=1,IF(E140='Invoer gegevens (N)'!$C$17,'Invoer gegevens (N)'!$C$11,AD140)*'Reeksen (N)'!S140*'Invoer gegevens (N)'!$C$18*'Reeksen (N)'!P140,0)</f>
        <v>0</v>
      </c>
      <c r="AU140" s="71">
        <f ca="1">-IF(C140=1,(F140+K140+L140+Q140)/2*'Invoer gegevens (N)'!$F$38*'Reeksen (N)'!H140,0)</f>
        <v>0</v>
      </c>
      <c r="AV140" s="71">
        <v>0</v>
      </c>
      <c r="AW140" s="71">
        <f t="shared" ca="1" si="45"/>
        <v>0</v>
      </c>
      <c r="AX140" s="71">
        <f ca="1">IF(E140&lt;'Invoer gegevens (N)'!$C$17+15,0,IF(E140&gt;'Invoer gegevens (N)'!$C$17+215,0,AW140))</f>
        <v>0</v>
      </c>
      <c r="AY140" s="71">
        <f ca="1">AX140/(1+'Invoer gegevens (N)'!$F$18)^($AZ140-('Invoer gegevens (N)'!$C$17-'Invoer gegevens (N)'!$C$16))/(1+'Invoer gegevens (N)'!$C$39)^('Invoer gegevens (N)'!$C$17-'Invoer gegevens (N)'!$C$16)</f>
        <v>0</v>
      </c>
      <c r="AZ140" s="68">
        <f ca="1">IF(E140-'Invoer gegevens (N)'!$C$17-14.5&lt;0,0,E140-'Invoer gegevens (N)'!$C$17-14.5)</f>
        <v>120.5</v>
      </c>
      <c r="BA140" s="109">
        <f ca="1">IFERROR(VLOOKUP(E140-15,'Reeksen (N)'!$A$5:$D$234,2,FALSE),0)</f>
        <v>0</v>
      </c>
      <c r="BB140" s="109">
        <f ca="1">IFERROR(VLOOKUP(E140-15,'Reeksen (N)'!$A$5:$D$234,3,FALSE),0)</f>
        <v>0</v>
      </c>
      <c r="BC140" s="109">
        <f ca="1">IFERROR(VLOOKUP(E140-15,'Reeksen (N)'!$A$5:$D$234,4,FALSE),0)</f>
        <v>0</v>
      </c>
      <c r="BD140" s="67">
        <f ca="1">IF(E140-'Invoer gegevens (N)'!$C$17&lt;15,0,1)</f>
        <v>1</v>
      </c>
    </row>
    <row r="141" spans="1:56" x14ac:dyDescent="0.25">
      <c r="A141" s="59"/>
      <c r="B141" s="70">
        <f t="shared" si="46"/>
        <v>137</v>
      </c>
      <c r="C141" s="67">
        <f ca="1">IF(E141-'Invoer gegevens (N)'!$C$17&lt;0,0,1)</f>
        <v>1</v>
      </c>
      <c r="D141" s="68">
        <f t="shared" si="47"/>
        <v>136.5</v>
      </c>
      <c r="E141" s="108">
        <f ca="1">IF('Invoer gegevens (N)'!$C$16="","",E140+1)</f>
        <v>2155</v>
      </c>
      <c r="F141" s="84">
        <f ca="1">IF('Invoer gegevens (N)'!$C$17=E141,'Invoer gegevens (N)'!$C$10,IF(C141=1,K140,0))</f>
        <v>0</v>
      </c>
      <c r="G141" s="96">
        <f ca="1">IF(BD141&lt;1,F141*'Reeksen (N)'!C141,IF(C141&gt;=1,F141*BA141,0))</f>
        <v>0</v>
      </c>
      <c r="H141" s="84">
        <f ca="1">(1-('Invoer gegevens (N)'!$F$20/12))*F141*MIN(BA141,BC141)</f>
        <v>0</v>
      </c>
      <c r="I141" s="84">
        <f t="shared" ca="1" si="32"/>
        <v>0</v>
      </c>
      <c r="J141" s="84">
        <f ca="1">('Invoer gegevens (N)'!$F$20/12)*F140*MIN(BA141,BC141)</f>
        <v>0</v>
      </c>
      <c r="K141" s="97">
        <f t="shared" ca="1" si="37"/>
        <v>0</v>
      </c>
      <c r="L141" s="84">
        <f ca="1">IF('Invoer gegevens (N)'!$C$17=E141,0,IF(C141=1,Q140,0))</f>
        <v>0</v>
      </c>
      <c r="M141" s="96">
        <f t="shared" ca="1" si="33"/>
        <v>0</v>
      </c>
      <c r="N141" s="84">
        <f ca="1">(1-('Invoer gegevens (N)'!$F$20/12))*L141*MIN(BA141,BC141)</f>
        <v>0</v>
      </c>
      <c r="O141" s="84">
        <f t="shared" ca="1" si="34"/>
        <v>0</v>
      </c>
      <c r="P141" s="84">
        <f ca="1">('Invoer gegevens (N)'!$F$20/12)*L140*MIN(BA141,BC141)</f>
        <v>0</v>
      </c>
      <c r="Q141" s="84">
        <f t="shared" ca="1" si="38"/>
        <v>0</v>
      </c>
      <c r="R141" s="85">
        <f ca="1">IF('Invoer gegevens (N)'!$C$17=E141,'Invoer gegevens (N)'!$C$11,IF(C141=1,W140,0))</f>
        <v>0</v>
      </c>
      <c r="S141" s="86">
        <f t="shared" ca="1" si="35"/>
        <v>0</v>
      </c>
      <c r="T141" s="86">
        <f ca="1">(1-('Invoer gegevens (N)'!$F$20/12))*R141*MIN(BC141,BA141)</f>
        <v>0</v>
      </c>
      <c r="U141" s="86">
        <f ca="1">IF(BD141&lt;1,IF('Reeksen (N)'!AD141&lt;='Reeksen (N)'!AE141,R141*'Reeksen (N)'!C141,0),IF(BC141&gt;=BA141,0,IF('Reeksen (N)'!AD141&lt;='Reeksen (N)'!AE141,(BA141-BC141)*R141,0)))</f>
        <v>0</v>
      </c>
      <c r="V141" s="86">
        <f ca="1">IF(BD141&lt;1,IF('Reeksen (N)'!AD141&gt;'Reeksen (N)'!AE141,R141*'Reeksen (N)'!C141,0),IF(BC141&gt;=BA141,0,IF('Reeksen (N)'!AD141&gt;'Reeksen (N)'!AE141,(BA141-BC141)*R141,0)))</f>
        <v>0</v>
      </c>
      <c r="W141" s="218">
        <f t="shared" ca="1" si="39"/>
        <v>0</v>
      </c>
      <c r="X141" s="98">
        <f ca="1">IF('Invoer gegevens (N)'!$C$17=E141,'Invoer gegevens (N)'!$C$10-'Invoer gegevens (N)'!$C$11,IF(C141=1,AC140,0))</f>
        <v>0</v>
      </c>
      <c r="Y141" s="98">
        <f t="shared" ca="1" si="36"/>
        <v>0</v>
      </c>
      <c r="Z141" s="98">
        <f ca="1">(1-('Invoer gegevens (N)'!$F$20/12))*X141*MIN(BA141,BC141)</f>
        <v>0</v>
      </c>
      <c r="AA141" s="98">
        <f ca="1">IF(BD141&lt;1,IF('Reeksen (N)'!AD141&lt;='Reeksen (N)'!AE141,X141*'Reeksen (N)'!C141,0),IF(BC141&gt;=BA141,0,IF('Reeksen (N)'!AD141&lt;='Reeksen (N)'!AE141,(BA141-BC141)*X141,0)))</f>
        <v>0</v>
      </c>
      <c r="AB141" s="98">
        <f ca="1">IF(BD141&lt;1,IF('Reeksen (N)'!AD141&gt;'Reeksen (N)'!AE141,X141*'Reeksen (N)'!C141,0),IF(BC141&gt;=BA141,0,IF('Reeksen (N)'!AD141&gt;'Reeksen (N)'!AE141,(BA141-BC141)*X141,0)))</f>
        <v>0</v>
      </c>
      <c r="AC141" s="99">
        <f t="shared" ca="1" si="40"/>
        <v>0</v>
      </c>
      <c r="AD141" s="98">
        <f ca="1">IF('Invoer gegevens (N)'!$C$17=E141,R141,IF(C141=0,0,AE140))</f>
        <v>0</v>
      </c>
      <c r="AE141" s="98">
        <f t="shared" ca="1" si="41"/>
        <v>0</v>
      </c>
      <c r="AF141" s="98">
        <f ca="1">IF('Invoer gegevens (N)'!$C$17=E141,X141,IF(C141=0,0,AG140))</f>
        <v>0</v>
      </c>
      <c r="AG141" s="98">
        <f t="shared" ca="1" si="42"/>
        <v>0</v>
      </c>
      <c r="AH141" s="66"/>
      <c r="AI141" s="71">
        <f ca="1">IF(C141=1,'Reeksen (N)'!AI141*((F141+K141)/2)*12+'Reeksen (N)'!AD141*((L141+Q141)/2)*12,0)</f>
        <v>0</v>
      </c>
      <c r="AJ141" s="71">
        <f ca="1">-AI141*'Invoer gegevens (N)'!$F$28</f>
        <v>0</v>
      </c>
      <c r="AK141" s="71">
        <f t="shared" ca="1" si="43"/>
        <v>0</v>
      </c>
      <c r="AL141" s="71">
        <f ca="1">IF(C141=1,'Reeksen (N)'!AL141*((F141-G141+F141)/2)*12+'Reeksen (N)'!AM141*((L141-M141+L141)/2)*12,0)</f>
        <v>0</v>
      </c>
      <c r="AM141" s="71">
        <f ca="1">-AL141*'Invoer gegevens (N)'!$F$31</f>
        <v>0</v>
      </c>
      <c r="AN141" s="71">
        <f t="shared" ca="1" si="44"/>
        <v>0</v>
      </c>
      <c r="AO141" s="71">
        <f ca="1">IF(C141=1,(H141+J141+N141+P141)*'Reeksen (N)'!AN141,0)</f>
        <v>0</v>
      </c>
      <c r="AP141" s="71">
        <f ca="1">-IF(C141=1,(H141+J141+N141+P141)*'Hulp - basis'!$O$550*'Reeksen (N)'!H141,0)</f>
        <v>0</v>
      </c>
      <c r="AQ141" s="71">
        <f ca="1">-IF(C141=1,(F141+K141+L141+Q141)/2*'Invoer gegevens (N)'!$F$35*'Reeksen (N)'!J141,0)*2</f>
        <v>0</v>
      </c>
      <c r="AR141" s="71">
        <f ca="1">IF(BD141&lt;1,-IF(C141=1,(G141*'Invoer gegevens (N)'!$F$36)*'Reeksen (N)'!J141,0),0)</f>
        <v>0</v>
      </c>
      <c r="AS141" s="71">
        <f ca="1">-IF(C141=1,(F141+K141+L141+Q141)/2*'Invoer gegevens (N)'!$F$37*'Reeksen (N)'!L141,0)</f>
        <v>0</v>
      </c>
      <c r="AT141" s="71">
        <f ca="1">-IF(C141=1,IF(E141='Invoer gegevens (N)'!$C$17,'Invoer gegevens (N)'!$C$11,AD141)*'Reeksen (N)'!S141*'Invoer gegevens (N)'!$C$18*'Reeksen (N)'!P141,0)</f>
        <v>0</v>
      </c>
      <c r="AU141" s="71">
        <f ca="1">-IF(C141=1,(F141+K141+L141+Q141)/2*'Invoer gegevens (N)'!$F$38*'Reeksen (N)'!H141,0)</f>
        <v>0</v>
      </c>
      <c r="AV141" s="71">
        <v>0</v>
      </c>
      <c r="AW141" s="71">
        <f t="shared" ca="1" si="45"/>
        <v>0</v>
      </c>
      <c r="AX141" s="71">
        <f ca="1">IF(E141&lt;'Invoer gegevens (N)'!$C$17+15,0,IF(E141&gt;'Invoer gegevens (N)'!$C$17+215,0,AW141))</f>
        <v>0</v>
      </c>
      <c r="AY141" s="71">
        <f ca="1">AX141/(1+'Invoer gegevens (N)'!$F$18)^($AZ141-('Invoer gegevens (N)'!$C$17-'Invoer gegevens (N)'!$C$16))/(1+'Invoer gegevens (N)'!$C$39)^('Invoer gegevens (N)'!$C$17-'Invoer gegevens (N)'!$C$16)</f>
        <v>0</v>
      </c>
      <c r="AZ141" s="68">
        <f ca="1">IF(E141-'Invoer gegevens (N)'!$C$17-14.5&lt;0,0,E141-'Invoer gegevens (N)'!$C$17-14.5)</f>
        <v>121.5</v>
      </c>
      <c r="BA141" s="109">
        <f ca="1">IFERROR(VLOOKUP(E141-15,'Reeksen (N)'!$A$5:$D$234,2,FALSE),0)</f>
        <v>0</v>
      </c>
      <c r="BB141" s="109">
        <f ca="1">IFERROR(VLOOKUP(E141-15,'Reeksen (N)'!$A$5:$D$234,3,FALSE),0)</f>
        <v>0</v>
      </c>
      <c r="BC141" s="109">
        <f ca="1">IFERROR(VLOOKUP(E141-15,'Reeksen (N)'!$A$5:$D$234,4,FALSE),0)</f>
        <v>0</v>
      </c>
      <c r="BD141" s="67">
        <f ca="1">IF(E141-'Invoer gegevens (N)'!$C$17&lt;15,0,1)</f>
        <v>1</v>
      </c>
    </row>
    <row r="142" spans="1:56" x14ac:dyDescent="0.25">
      <c r="A142" s="59"/>
      <c r="B142" s="70">
        <f t="shared" si="46"/>
        <v>138</v>
      </c>
      <c r="C142" s="67">
        <f ca="1">IF(E142-'Invoer gegevens (N)'!$C$17&lt;0,0,1)</f>
        <v>1</v>
      </c>
      <c r="D142" s="68">
        <f t="shared" si="47"/>
        <v>137.5</v>
      </c>
      <c r="E142" s="108">
        <f ca="1">IF('Invoer gegevens (N)'!$C$16="","",E141+1)</f>
        <v>2156</v>
      </c>
      <c r="F142" s="84">
        <f ca="1">IF('Invoer gegevens (N)'!$C$17=E142,'Invoer gegevens (N)'!$C$10,IF(C142=1,K141,0))</f>
        <v>0</v>
      </c>
      <c r="G142" s="96">
        <f ca="1">IF(BD142&lt;1,F142*'Reeksen (N)'!C142,IF(C142&gt;=1,F142*BA142,0))</f>
        <v>0</v>
      </c>
      <c r="H142" s="84">
        <f ca="1">(1-('Invoer gegevens (N)'!$F$20/12))*F142*MIN(BA142,BC142)</f>
        <v>0</v>
      </c>
      <c r="I142" s="84">
        <f t="shared" ca="1" si="32"/>
        <v>0</v>
      </c>
      <c r="J142" s="84">
        <f ca="1">('Invoer gegevens (N)'!$F$20/12)*F141*MIN(BA142,BC142)</f>
        <v>0</v>
      </c>
      <c r="K142" s="97">
        <f t="shared" ca="1" si="37"/>
        <v>0</v>
      </c>
      <c r="L142" s="84">
        <f ca="1">IF('Invoer gegevens (N)'!$C$17=E142,0,IF(C142=1,Q141,0))</f>
        <v>0</v>
      </c>
      <c r="M142" s="96">
        <f t="shared" ca="1" si="33"/>
        <v>0</v>
      </c>
      <c r="N142" s="84">
        <f ca="1">(1-('Invoer gegevens (N)'!$F$20/12))*L142*MIN(BA142,BC142)</f>
        <v>0</v>
      </c>
      <c r="O142" s="84">
        <f t="shared" ca="1" si="34"/>
        <v>0</v>
      </c>
      <c r="P142" s="84">
        <f ca="1">('Invoer gegevens (N)'!$F$20/12)*L141*MIN(BA142,BC142)</f>
        <v>0</v>
      </c>
      <c r="Q142" s="84">
        <f t="shared" ca="1" si="38"/>
        <v>0</v>
      </c>
      <c r="R142" s="85">
        <f ca="1">IF('Invoer gegevens (N)'!$C$17=E142,'Invoer gegevens (N)'!$C$11,IF(C142=1,W141,0))</f>
        <v>0</v>
      </c>
      <c r="S142" s="86">
        <f t="shared" ca="1" si="35"/>
        <v>0</v>
      </c>
      <c r="T142" s="86">
        <f ca="1">(1-('Invoer gegevens (N)'!$F$20/12))*R142*MIN(BC142,BA142)</f>
        <v>0</v>
      </c>
      <c r="U142" s="86">
        <f ca="1">IF(BD142&lt;1,IF('Reeksen (N)'!AD142&lt;='Reeksen (N)'!AE142,R142*'Reeksen (N)'!C142,0),IF(BC142&gt;=BA142,0,IF('Reeksen (N)'!AD142&lt;='Reeksen (N)'!AE142,(BA142-BC142)*R142,0)))</f>
        <v>0</v>
      </c>
      <c r="V142" s="86">
        <f ca="1">IF(BD142&lt;1,IF('Reeksen (N)'!AD142&gt;'Reeksen (N)'!AE142,R142*'Reeksen (N)'!C142,0),IF(BC142&gt;=BA142,0,IF('Reeksen (N)'!AD142&gt;'Reeksen (N)'!AE142,(BA142-BC142)*R142,0)))</f>
        <v>0</v>
      </c>
      <c r="W142" s="218">
        <f t="shared" ca="1" si="39"/>
        <v>0</v>
      </c>
      <c r="X142" s="98">
        <f ca="1">IF('Invoer gegevens (N)'!$C$17=E142,'Invoer gegevens (N)'!$C$10-'Invoer gegevens (N)'!$C$11,IF(C142=1,AC141,0))</f>
        <v>0</v>
      </c>
      <c r="Y142" s="98">
        <f t="shared" ca="1" si="36"/>
        <v>0</v>
      </c>
      <c r="Z142" s="98">
        <f ca="1">(1-('Invoer gegevens (N)'!$F$20/12))*X142*MIN(BA142,BC142)</f>
        <v>0</v>
      </c>
      <c r="AA142" s="98">
        <f ca="1">IF(BD142&lt;1,IF('Reeksen (N)'!AD142&lt;='Reeksen (N)'!AE142,X142*'Reeksen (N)'!C142,0),IF(BC142&gt;=BA142,0,IF('Reeksen (N)'!AD142&lt;='Reeksen (N)'!AE142,(BA142-BC142)*X142,0)))</f>
        <v>0</v>
      </c>
      <c r="AB142" s="98">
        <f ca="1">IF(BD142&lt;1,IF('Reeksen (N)'!AD142&gt;'Reeksen (N)'!AE142,X142*'Reeksen (N)'!C142,0),IF(BC142&gt;=BA142,0,IF('Reeksen (N)'!AD142&gt;'Reeksen (N)'!AE142,(BA142-BC142)*X142,0)))</f>
        <v>0</v>
      </c>
      <c r="AC142" s="99">
        <f t="shared" ca="1" si="40"/>
        <v>0</v>
      </c>
      <c r="AD142" s="98">
        <f ca="1">IF('Invoer gegevens (N)'!$C$17=E142,R142,IF(C142=0,0,AE141))</f>
        <v>0</v>
      </c>
      <c r="AE142" s="98">
        <f t="shared" ca="1" si="41"/>
        <v>0</v>
      </c>
      <c r="AF142" s="98">
        <f ca="1">IF('Invoer gegevens (N)'!$C$17=E142,X142,IF(C142=0,0,AG141))</f>
        <v>0</v>
      </c>
      <c r="AG142" s="98">
        <f t="shared" ca="1" si="42"/>
        <v>0</v>
      </c>
      <c r="AH142" s="66"/>
      <c r="AI142" s="71">
        <f ca="1">IF(C142=1,'Reeksen (N)'!AI142*((F142+K142)/2)*12+'Reeksen (N)'!AD142*((L142+Q142)/2)*12,0)</f>
        <v>0</v>
      </c>
      <c r="AJ142" s="71">
        <f ca="1">-AI142*'Invoer gegevens (N)'!$F$28</f>
        <v>0</v>
      </c>
      <c r="AK142" s="71">
        <f t="shared" ca="1" si="43"/>
        <v>0</v>
      </c>
      <c r="AL142" s="71">
        <f ca="1">IF(C142=1,'Reeksen (N)'!AL142*((F142-G142+F142)/2)*12+'Reeksen (N)'!AM142*((L142-M142+L142)/2)*12,0)</f>
        <v>0</v>
      </c>
      <c r="AM142" s="71">
        <f ca="1">-AL142*'Invoer gegevens (N)'!$F$31</f>
        <v>0</v>
      </c>
      <c r="AN142" s="71">
        <f t="shared" ca="1" si="44"/>
        <v>0</v>
      </c>
      <c r="AO142" s="71">
        <f ca="1">IF(C142=1,(H142+J142+N142+P142)*'Reeksen (N)'!AN142,0)</f>
        <v>0</v>
      </c>
      <c r="AP142" s="71">
        <f ca="1">-IF(C142=1,(H142+J142+N142+P142)*'Hulp - basis'!$O$550*'Reeksen (N)'!H142,0)</f>
        <v>0</v>
      </c>
      <c r="AQ142" s="71">
        <f ca="1">-IF(C142=1,(F142+K142+L142+Q142)/2*'Invoer gegevens (N)'!$F$35*'Reeksen (N)'!J142,0)*2</f>
        <v>0</v>
      </c>
      <c r="AR142" s="71">
        <f ca="1">IF(BD142&lt;1,-IF(C142=1,(G142*'Invoer gegevens (N)'!$F$36)*'Reeksen (N)'!J142,0),0)</f>
        <v>0</v>
      </c>
      <c r="AS142" s="71">
        <f ca="1">-IF(C142=1,(F142+K142+L142+Q142)/2*'Invoer gegevens (N)'!$F$37*'Reeksen (N)'!L142,0)</f>
        <v>0</v>
      </c>
      <c r="AT142" s="71">
        <f ca="1">-IF(C142=1,IF(E142='Invoer gegevens (N)'!$C$17,'Invoer gegevens (N)'!$C$11,AD142)*'Reeksen (N)'!S142*'Invoer gegevens (N)'!$C$18*'Reeksen (N)'!P142,0)</f>
        <v>0</v>
      </c>
      <c r="AU142" s="71">
        <f ca="1">-IF(C142=1,(F142+K142+L142+Q142)/2*'Invoer gegevens (N)'!$F$38*'Reeksen (N)'!H142,0)</f>
        <v>0</v>
      </c>
      <c r="AV142" s="71">
        <v>0</v>
      </c>
      <c r="AW142" s="71">
        <f t="shared" ca="1" si="45"/>
        <v>0</v>
      </c>
      <c r="AX142" s="71">
        <f ca="1">IF(E142&lt;'Invoer gegevens (N)'!$C$17+15,0,IF(E142&gt;'Invoer gegevens (N)'!$C$17+215,0,AW142))</f>
        <v>0</v>
      </c>
      <c r="AY142" s="71">
        <f ca="1">AX142/(1+'Invoer gegevens (N)'!$F$18)^($AZ142-('Invoer gegevens (N)'!$C$17-'Invoer gegevens (N)'!$C$16))/(1+'Invoer gegevens (N)'!$C$39)^('Invoer gegevens (N)'!$C$17-'Invoer gegevens (N)'!$C$16)</f>
        <v>0</v>
      </c>
      <c r="AZ142" s="68">
        <f ca="1">IF(E142-'Invoer gegevens (N)'!$C$17-14.5&lt;0,0,E142-'Invoer gegevens (N)'!$C$17-14.5)</f>
        <v>122.5</v>
      </c>
      <c r="BA142" s="109">
        <f ca="1">IFERROR(VLOOKUP(E142-15,'Reeksen (N)'!$A$5:$D$234,2,FALSE),0)</f>
        <v>0</v>
      </c>
      <c r="BB142" s="109">
        <f ca="1">IFERROR(VLOOKUP(E142-15,'Reeksen (N)'!$A$5:$D$234,3,FALSE),0)</f>
        <v>0</v>
      </c>
      <c r="BC142" s="109">
        <f ca="1">IFERROR(VLOOKUP(E142-15,'Reeksen (N)'!$A$5:$D$234,4,FALSE),0)</f>
        <v>0</v>
      </c>
      <c r="BD142" s="67">
        <f ca="1">IF(E142-'Invoer gegevens (N)'!$C$17&lt;15,0,1)</f>
        <v>1</v>
      </c>
    </row>
    <row r="143" spans="1:56" x14ac:dyDescent="0.25">
      <c r="A143" s="59"/>
      <c r="B143" s="70">
        <f t="shared" si="46"/>
        <v>139</v>
      </c>
      <c r="C143" s="67">
        <f ca="1">IF(E143-'Invoer gegevens (N)'!$C$17&lt;0,0,1)</f>
        <v>1</v>
      </c>
      <c r="D143" s="68">
        <f t="shared" si="47"/>
        <v>138.5</v>
      </c>
      <c r="E143" s="108">
        <f ca="1">IF('Invoer gegevens (N)'!$C$16="","",E142+1)</f>
        <v>2157</v>
      </c>
      <c r="F143" s="84">
        <f ca="1">IF('Invoer gegevens (N)'!$C$17=E143,'Invoer gegevens (N)'!$C$10,IF(C143=1,K142,0))</f>
        <v>0</v>
      </c>
      <c r="G143" s="96">
        <f ca="1">IF(BD143&lt;1,F143*'Reeksen (N)'!C143,IF(C143&gt;=1,F143*BA143,0))</f>
        <v>0</v>
      </c>
      <c r="H143" s="84">
        <f ca="1">(1-('Invoer gegevens (N)'!$F$20/12))*F143*MIN(BA143,BC143)</f>
        <v>0</v>
      </c>
      <c r="I143" s="84">
        <f t="shared" ca="1" si="32"/>
        <v>0</v>
      </c>
      <c r="J143" s="84">
        <f ca="1">('Invoer gegevens (N)'!$F$20/12)*F142*MIN(BA143,BC143)</f>
        <v>0</v>
      </c>
      <c r="K143" s="97">
        <f t="shared" ca="1" si="37"/>
        <v>0</v>
      </c>
      <c r="L143" s="84">
        <f ca="1">IF('Invoer gegevens (N)'!$C$17=E143,0,IF(C143=1,Q142,0))</f>
        <v>0</v>
      </c>
      <c r="M143" s="96">
        <f t="shared" ca="1" si="33"/>
        <v>0</v>
      </c>
      <c r="N143" s="84">
        <f ca="1">(1-('Invoer gegevens (N)'!$F$20/12))*L143*MIN(BA143,BC143)</f>
        <v>0</v>
      </c>
      <c r="O143" s="84">
        <f t="shared" ca="1" si="34"/>
        <v>0</v>
      </c>
      <c r="P143" s="84">
        <f ca="1">('Invoer gegevens (N)'!$F$20/12)*L142*MIN(BA143,BC143)</f>
        <v>0</v>
      </c>
      <c r="Q143" s="84">
        <f t="shared" ca="1" si="38"/>
        <v>0</v>
      </c>
      <c r="R143" s="85">
        <f ca="1">IF('Invoer gegevens (N)'!$C$17=E143,'Invoer gegevens (N)'!$C$11,IF(C143=1,W142,0))</f>
        <v>0</v>
      </c>
      <c r="S143" s="86">
        <f t="shared" ca="1" si="35"/>
        <v>0</v>
      </c>
      <c r="T143" s="86">
        <f ca="1">(1-('Invoer gegevens (N)'!$F$20/12))*R143*MIN(BC143,BA143)</f>
        <v>0</v>
      </c>
      <c r="U143" s="86">
        <f ca="1">IF(BD143&lt;1,IF('Reeksen (N)'!AD143&lt;='Reeksen (N)'!AE143,R143*'Reeksen (N)'!C143,0),IF(BC143&gt;=BA143,0,IF('Reeksen (N)'!AD143&lt;='Reeksen (N)'!AE143,(BA143-BC143)*R143,0)))</f>
        <v>0</v>
      </c>
      <c r="V143" s="86">
        <f ca="1">IF(BD143&lt;1,IF('Reeksen (N)'!AD143&gt;'Reeksen (N)'!AE143,R143*'Reeksen (N)'!C143,0),IF(BC143&gt;=BA143,0,IF('Reeksen (N)'!AD143&gt;'Reeksen (N)'!AE143,(BA143-BC143)*R143,0)))</f>
        <v>0</v>
      </c>
      <c r="W143" s="218">
        <f t="shared" ca="1" si="39"/>
        <v>0</v>
      </c>
      <c r="X143" s="98">
        <f ca="1">IF('Invoer gegevens (N)'!$C$17=E143,'Invoer gegevens (N)'!$C$10-'Invoer gegevens (N)'!$C$11,IF(C143=1,AC142,0))</f>
        <v>0</v>
      </c>
      <c r="Y143" s="98">
        <f t="shared" ca="1" si="36"/>
        <v>0</v>
      </c>
      <c r="Z143" s="98">
        <f ca="1">(1-('Invoer gegevens (N)'!$F$20/12))*X143*MIN(BA143,BC143)</f>
        <v>0</v>
      </c>
      <c r="AA143" s="98">
        <f ca="1">IF(BD143&lt;1,IF('Reeksen (N)'!AD143&lt;='Reeksen (N)'!AE143,X143*'Reeksen (N)'!C143,0),IF(BC143&gt;=BA143,0,IF('Reeksen (N)'!AD143&lt;='Reeksen (N)'!AE143,(BA143-BC143)*X143,0)))</f>
        <v>0</v>
      </c>
      <c r="AB143" s="98">
        <f ca="1">IF(BD143&lt;1,IF('Reeksen (N)'!AD143&gt;'Reeksen (N)'!AE143,X143*'Reeksen (N)'!C143,0),IF(BC143&gt;=BA143,0,IF('Reeksen (N)'!AD143&gt;'Reeksen (N)'!AE143,(BA143-BC143)*X143,0)))</f>
        <v>0</v>
      </c>
      <c r="AC143" s="99">
        <f t="shared" ca="1" si="40"/>
        <v>0</v>
      </c>
      <c r="AD143" s="98">
        <f ca="1">IF('Invoer gegevens (N)'!$C$17=E143,R143,IF(C143=0,0,AE142))</f>
        <v>0</v>
      </c>
      <c r="AE143" s="98">
        <f t="shared" ca="1" si="41"/>
        <v>0</v>
      </c>
      <c r="AF143" s="98">
        <f ca="1">IF('Invoer gegevens (N)'!$C$17=E143,X143,IF(C143=0,0,AG142))</f>
        <v>0</v>
      </c>
      <c r="AG143" s="98">
        <f t="shared" ca="1" si="42"/>
        <v>0</v>
      </c>
      <c r="AH143" s="66"/>
      <c r="AI143" s="71">
        <f ca="1">IF(C143=1,'Reeksen (N)'!AI143*((F143+K143)/2)*12+'Reeksen (N)'!AD143*((L143+Q143)/2)*12,0)</f>
        <v>0</v>
      </c>
      <c r="AJ143" s="71">
        <f ca="1">-AI143*'Invoer gegevens (N)'!$F$28</f>
        <v>0</v>
      </c>
      <c r="AK143" s="71">
        <f t="shared" ca="1" si="43"/>
        <v>0</v>
      </c>
      <c r="AL143" s="71">
        <f ca="1">IF(C143=1,'Reeksen (N)'!AL143*((F143-G143+F143)/2)*12+'Reeksen (N)'!AM143*((L143-M143+L143)/2)*12,0)</f>
        <v>0</v>
      </c>
      <c r="AM143" s="71">
        <f ca="1">-AL143*'Invoer gegevens (N)'!$F$31</f>
        <v>0</v>
      </c>
      <c r="AN143" s="71">
        <f t="shared" ca="1" si="44"/>
        <v>0</v>
      </c>
      <c r="AO143" s="71">
        <f ca="1">IF(C143=1,(H143+J143+N143+P143)*'Reeksen (N)'!AN143,0)</f>
        <v>0</v>
      </c>
      <c r="AP143" s="71">
        <f ca="1">-IF(C143=1,(H143+J143+N143+P143)*'Hulp - basis'!$O$550*'Reeksen (N)'!H143,0)</f>
        <v>0</v>
      </c>
      <c r="AQ143" s="71">
        <f ca="1">-IF(C143=1,(F143+K143+L143+Q143)/2*'Invoer gegevens (N)'!$F$35*'Reeksen (N)'!J143,0)*2</f>
        <v>0</v>
      </c>
      <c r="AR143" s="71">
        <f ca="1">IF(BD143&lt;1,-IF(C143=1,(G143*'Invoer gegevens (N)'!$F$36)*'Reeksen (N)'!J143,0),0)</f>
        <v>0</v>
      </c>
      <c r="AS143" s="71">
        <f ca="1">-IF(C143=1,(F143+K143+L143+Q143)/2*'Invoer gegevens (N)'!$F$37*'Reeksen (N)'!L143,0)</f>
        <v>0</v>
      </c>
      <c r="AT143" s="71">
        <f ca="1">-IF(C143=1,IF(E143='Invoer gegevens (N)'!$C$17,'Invoer gegevens (N)'!$C$11,AD143)*'Reeksen (N)'!S143*'Invoer gegevens (N)'!$C$18*'Reeksen (N)'!P143,0)</f>
        <v>0</v>
      </c>
      <c r="AU143" s="71">
        <f ca="1">-IF(C143=1,(F143+K143+L143+Q143)/2*'Invoer gegevens (N)'!$F$38*'Reeksen (N)'!H143,0)</f>
        <v>0</v>
      </c>
      <c r="AV143" s="71">
        <v>0</v>
      </c>
      <c r="AW143" s="71">
        <f t="shared" ca="1" si="45"/>
        <v>0</v>
      </c>
      <c r="AX143" s="71">
        <f ca="1">IF(E143&lt;'Invoer gegevens (N)'!$C$17+15,0,IF(E143&gt;'Invoer gegevens (N)'!$C$17+215,0,AW143))</f>
        <v>0</v>
      </c>
      <c r="AY143" s="71">
        <f ca="1">AX143/(1+'Invoer gegevens (N)'!$F$18)^($AZ143-('Invoer gegevens (N)'!$C$17-'Invoer gegevens (N)'!$C$16))/(1+'Invoer gegevens (N)'!$C$39)^('Invoer gegevens (N)'!$C$17-'Invoer gegevens (N)'!$C$16)</f>
        <v>0</v>
      </c>
      <c r="AZ143" s="68">
        <f ca="1">IF(E143-'Invoer gegevens (N)'!$C$17-14.5&lt;0,0,E143-'Invoer gegevens (N)'!$C$17-14.5)</f>
        <v>123.5</v>
      </c>
      <c r="BA143" s="109">
        <f ca="1">IFERROR(VLOOKUP(E143-15,'Reeksen (N)'!$A$5:$D$234,2,FALSE),0)</f>
        <v>0</v>
      </c>
      <c r="BB143" s="109">
        <f ca="1">IFERROR(VLOOKUP(E143-15,'Reeksen (N)'!$A$5:$D$234,3,FALSE),0)</f>
        <v>0</v>
      </c>
      <c r="BC143" s="109">
        <f ca="1">IFERROR(VLOOKUP(E143-15,'Reeksen (N)'!$A$5:$D$234,4,FALSE),0)</f>
        <v>0</v>
      </c>
      <c r="BD143" s="67">
        <f ca="1">IF(E143-'Invoer gegevens (N)'!$C$17&lt;15,0,1)</f>
        <v>1</v>
      </c>
    </row>
    <row r="144" spans="1:56" x14ac:dyDescent="0.25">
      <c r="A144" s="59"/>
      <c r="B144" s="70">
        <f t="shared" si="46"/>
        <v>140</v>
      </c>
      <c r="C144" s="67">
        <f ca="1">IF(E144-'Invoer gegevens (N)'!$C$17&lt;0,0,1)</f>
        <v>1</v>
      </c>
      <c r="D144" s="68">
        <f t="shared" si="47"/>
        <v>139.5</v>
      </c>
      <c r="E144" s="108">
        <f ca="1">IF('Invoer gegevens (N)'!$C$16="","",E143+1)</f>
        <v>2158</v>
      </c>
      <c r="F144" s="84">
        <f ca="1">IF('Invoer gegevens (N)'!$C$17=E144,'Invoer gegevens (N)'!$C$10,IF(C144=1,K143,0))</f>
        <v>0</v>
      </c>
      <c r="G144" s="96">
        <f ca="1">IF(BD144&lt;1,F144*'Reeksen (N)'!C144,IF(C144&gt;=1,F144*BA144,0))</f>
        <v>0</v>
      </c>
      <c r="H144" s="84">
        <f ca="1">(1-('Invoer gegevens (N)'!$F$20/12))*F144*MIN(BA144,BC144)</f>
        <v>0</v>
      </c>
      <c r="I144" s="84">
        <f t="shared" ca="1" si="32"/>
        <v>0</v>
      </c>
      <c r="J144" s="84">
        <f ca="1">('Invoer gegevens (N)'!$F$20/12)*F143*MIN(BA144,BC144)</f>
        <v>0</v>
      </c>
      <c r="K144" s="97">
        <f t="shared" ca="1" si="37"/>
        <v>0</v>
      </c>
      <c r="L144" s="84">
        <f ca="1">IF('Invoer gegevens (N)'!$C$17=E144,0,IF(C144=1,Q143,0))</f>
        <v>0</v>
      </c>
      <c r="M144" s="96">
        <f t="shared" ca="1" si="33"/>
        <v>0</v>
      </c>
      <c r="N144" s="84">
        <f ca="1">(1-('Invoer gegevens (N)'!$F$20/12))*L144*MIN(BA144,BC144)</f>
        <v>0</v>
      </c>
      <c r="O144" s="84">
        <f t="shared" ca="1" si="34"/>
        <v>0</v>
      </c>
      <c r="P144" s="84">
        <f ca="1">('Invoer gegevens (N)'!$F$20/12)*L143*MIN(BA144,BC144)</f>
        <v>0</v>
      </c>
      <c r="Q144" s="84">
        <f t="shared" ca="1" si="38"/>
        <v>0</v>
      </c>
      <c r="R144" s="85">
        <f ca="1">IF('Invoer gegevens (N)'!$C$17=E144,'Invoer gegevens (N)'!$C$11,IF(C144=1,W143,0))</f>
        <v>0</v>
      </c>
      <c r="S144" s="86">
        <f t="shared" ca="1" si="35"/>
        <v>0</v>
      </c>
      <c r="T144" s="86">
        <f ca="1">(1-('Invoer gegevens (N)'!$F$20/12))*R144*MIN(BC144,BA144)</f>
        <v>0</v>
      </c>
      <c r="U144" s="86">
        <f ca="1">IF(BD144&lt;1,IF('Reeksen (N)'!AD144&lt;='Reeksen (N)'!AE144,R144*'Reeksen (N)'!C144,0),IF(BC144&gt;=BA144,0,IF('Reeksen (N)'!AD144&lt;='Reeksen (N)'!AE144,(BA144-BC144)*R144,0)))</f>
        <v>0</v>
      </c>
      <c r="V144" s="86">
        <f ca="1">IF(BD144&lt;1,IF('Reeksen (N)'!AD144&gt;'Reeksen (N)'!AE144,R144*'Reeksen (N)'!C144,0),IF(BC144&gt;=BA144,0,IF('Reeksen (N)'!AD144&gt;'Reeksen (N)'!AE144,(BA144-BC144)*R144,0)))</f>
        <v>0</v>
      </c>
      <c r="W144" s="218">
        <f t="shared" ca="1" si="39"/>
        <v>0</v>
      </c>
      <c r="X144" s="98">
        <f ca="1">IF('Invoer gegevens (N)'!$C$17=E144,'Invoer gegevens (N)'!$C$10-'Invoer gegevens (N)'!$C$11,IF(C144=1,AC143,0))</f>
        <v>0</v>
      </c>
      <c r="Y144" s="98">
        <f t="shared" ca="1" si="36"/>
        <v>0</v>
      </c>
      <c r="Z144" s="98">
        <f ca="1">(1-('Invoer gegevens (N)'!$F$20/12))*X144*MIN(BA144,BC144)</f>
        <v>0</v>
      </c>
      <c r="AA144" s="98">
        <f ca="1">IF(BD144&lt;1,IF('Reeksen (N)'!AD144&lt;='Reeksen (N)'!AE144,X144*'Reeksen (N)'!C144,0),IF(BC144&gt;=BA144,0,IF('Reeksen (N)'!AD144&lt;='Reeksen (N)'!AE144,(BA144-BC144)*X144,0)))</f>
        <v>0</v>
      </c>
      <c r="AB144" s="98">
        <f ca="1">IF(BD144&lt;1,IF('Reeksen (N)'!AD144&gt;'Reeksen (N)'!AE144,X144*'Reeksen (N)'!C144,0),IF(BC144&gt;=BA144,0,IF('Reeksen (N)'!AD144&gt;'Reeksen (N)'!AE144,(BA144-BC144)*X144,0)))</f>
        <v>0</v>
      </c>
      <c r="AC144" s="99">
        <f t="shared" ca="1" si="40"/>
        <v>0</v>
      </c>
      <c r="AD144" s="98">
        <f ca="1">IF('Invoer gegevens (N)'!$C$17=E144,R144,IF(C144=0,0,AE143))</f>
        <v>0</v>
      </c>
      <c r="AE144" s="98">
        <f t="shared" ca="1" si="41"/>
        <v>0</v>
      </c>
      <c r="AF144" s="98">
        <f ca="1">IF('Invoer gegevens (N)'!$C$17=E144,X144,IF(C144=0,0,AG143))</f>
        <v>0</v>
      </c>
      <c r="AG144" s="98">
        <f t="shared" ca="1" si="42"/>
        <v>0</v>
      </c>
      <c r="AH144" s="66"/>
      <c r="AI144" s="71">
        <f ca="1">IF(C144=1,'Reeksen (N)'!AI144*((F144+K144)/2)*12+'Reeksen (N)'!AD144*((L144+Q144)/2)*12,0)</f>
        <v>0</v>
      </c>
      <c r="AJ144" s="71">
        <f ca="1">-AI144*'Invoer gegevens (N)'!$F$28</f>
        <v>0</v>
      </c>
      <c r="AK144" s="71">
        <f t="shared" ca="1" si="43"/>
        <v>0</v>
      </c>
      <c r="AL144" s="71">
        <f ca="1">IF(C144=1,'Reeksen (N)'!AL144*((F144-G144+F144)/2)*12+'Reeksen (N)'!AM144*((L144-M144+L144)/2)*12,0)</f>
        <v>0</v>
      </c>
      <c r="AM144" s="71">
        <f ca="1">-AL144*'Invoer gegevens (N)'!$F$31</f>
        <v>0</v>
      </c>
      <c r="AN144" s="71">
        <f t="shared" ca="1" si="44"/>
        <v>0</v>
      </c>
      <c r="AO144" s="71">
        <f ca="1">IF(C144=1,(H144+J144+N144+P144)*'Reeksen (N)'!AN144,0)</f>
        <v>0</v>
      </c>
      <c r="AP144" s="71">
        <f ca="1">-IF(C144=1,(H144+J144+N144+P144)*'Hulp - basis'!$O$550*'Reeksen (N)'!H144,0)</f>
        <v>0</v>
      </c>
      <c r="AQ144" s="71">
        <f ca="1">-IF(C144=1,(F144+K144+L144+Q144)/2*'Invoer gegevens (N)'!$F$35*'Reeksen (N)'!J144,0)*2</f>
        <v>0</v>
      </c>
      <c r="AR144" s="71">
        <f ca="1">IF(BD144&lt;1,-IF(C144=1,(G144*'Invoer gegevens (N)'!$F$36)*'Reeksen (N)'!J144,0),0)</f>
        <v>0</v>
      </c>
      <c r="AS144" s="71">
        <f ca="1">-IF(C144=1,(F144+K144+L144+Q144)/2*'Invoer gegevens (N)'!$F$37*'Reeksen (N)'!L144,0)</f>
        <v>0</v>
      </c>
      <c r="AT144" s="71">
        <f ca="1">-IF(C144=1,IF(E144='Invoer gegevens (N)'!$C$17,'Invoer gegevens (N)'!$C$11,AD144)*'Reeksen (N)'!S144*'Invoer gegevens (N)'!$C$18*'Reeksen (N)'!P144,0)</f>
        <v>0</v>
      </c>
      <c r="AU144" s="71">
        <f ca="1">-IF(C144=1,(F144+K144+L144+Q144)/2*'Invoer gegevens (N)'!$F$38*'Reeksen (N)'!H144,0)</f>
        <v>0</v>
      </c>
      <c r="AV144" s="71">
        <v>0</v>
      </c>
      <c r="AW144" s="71">
        <f t="shared" ca="1" si="45"/>
        <v>0</v>
      </c>
      <c r="AX144" s="71">
        <f ca="1">IF(E144&lt;'Invoer gegevens (N)'!$C$17+15,0,IF(E144&gt;'Invoer gegevens (N)'!$C$17+215,0,AW144))</f>
        <v>0</v>
      </c>
      <c r="AY144" s="71">
        <f ca="1">AX144/(1+'Invoer gegevens (N)'!$F$18)^($AZ144-('Invoer gegevens (N)'!$C$17-'Invoer gegevens (N)'!$C$16))/(1+'Invoer gegevens (N)'!$C$39)^('Invoer gegevens (N)'!$C$17-'Invoer gegevens (N)'!$C$16)</f>
        <v>0</v>
      </c>
      <c r="AZ144" s="68">
        <f ca="1">IF(E144-'Invoer gegevens (N)'!$C$17-14.5&lt;0,0,E144-'Invoer gegevens (N)'!$C$17-14.5)</f>
        <v>124.5</v>
      </c>
      <c r="BA144" s="109">
        <f ca="1">IFERROR(VLOOKUP(E144-15,'Reeksen (N)'!$A$5:$D$234,2,FALSE),0)</f>
        <v>0</v>
      </c>
      <c r="BB144" s="109">
        <f ca="1">IFERROR(VLOOKUP(E144-15,'Reeksen (N)'!$A$5:$D$234,3,FALSE),0)</f>
        <v>0</v>
      </c>
      <c r="BC144" s="109">
        <f ca="1">IFERROR(VLOOKUP(E144-15,'Reeksen (N)'!$A$5:$D$234,4,FALSE),0)</f>
        <v>0</v>
      </c>
      <c r="BD144" s="67">
        <f ca="1">IF(E144-'Invoer gegevens (N)'!$C$17&lt;15,0,1)</f>
        <v>1</v>
      </c>
    </row>
    <row r="145" spans="1:56" x14ac:dyDescent="0.25">
      <c r="A145" s="59"/>
      <c r="B145" s="70">
        <f t="shared" si="46"/>
        <v>141</v>
      </c>
      <c r="C145" s="67">
        <f ca="1">IF(E145-'Invoer gegevens (N)'!$C$17&lt;0,0,1)</f>
        <v>1</v>
      </c>
      <c r="D145" s="68">
        <f t="shared" si="47"/>
        <v>140.5</v>
      </c>
      <c r="E145" s="108">
        <f ca="1">IF('Invoer gegevens (N)'!$C$16="","",E144+1)</f>
        <v>2159</v>
      </c>
      <c r="F145" s="84">
        <f ca="1">IF('Invoer gegevens (N)'!$C$17=E145,'Invoer gegevens (N)'!$C$10,IF(C145=1,K144,0))</f>
        <v>0</v>
      </c>
      <c r="G145" s="96">
        <f ca="1">IF(BD145&lt;1,F145*'Reeksen (N)'!C145,IF(C145&gt;=1,F145*BA145,0))</f>
        <v>0</v>
      </c>
      <c r="H145" s="84">
        <f ca="1">(1-('Invoer gegevens (N)'!$F$20/12))*F145*MIN(BA145,BC145)</f>
        <v>0</v>
      </c>
      <c r="I145" s="84">
        <f t="shared" ca="1" si="32"/>
        <v>0</v>
      </c>
      <c r="J145" s="84">
        <f ca="1">('Invoer gegevens (N)'!$F$20/12)*F144*MIN(BA145,BC145)</f>
        <v>0</v>
      </c>
      <c r="K145" s="97">
        <f t="shared" ca="1" si="37"/>
        <v>0</v>
      </c>
      <c r="L145" s="84">
        <f ca="1">IF('Invoer gegevens (N)'!$C$17=E145,0,IF(C145=1,Q144,0))</f>
        <v>0</v>
      </c>
      <c r="M145" s="96">
        <f t="shared" ca="1" si="33"/>
        <v>0</v>
      </c>
      <c r="N145" s="84">
        <f ca="1">(1-('Invoer gegevens (N)'!$F$20/12))*L145*MIN(BA145,BC145)</f>
        <v>0</v>
      </c>
      <c r="O145" s="84">
        <f t="shared" ca="1" si="34"/>
        <v>0</v>
      </c>
      <c r="P145" s="84">
        <f ca="1">('Invoer gegevens (N)'!$F$20/12)*L144*MIN(BA145,BC145)</f>
        <v>0</v>
      </c>
      <c r="Q145" s="84">
        <f t="shared" ca="1" si="38"/>
        <v>0</v>
      </c>
      <c r="R145" s="85">
        <f ca="1">IF('Invoer gegevens (N)'!$C$17=E145,'Invoer gegevens (N)'!$C$11,IF(C145=1,W144,0))</f>
        <v>0</v>
      </c>
      <c r="S145" s="86">
        <f t="shared" ca="1" si="35"/>
        <v>0</v>
      </c>
      <c r="T145" s="86">
        <f ca="1">(1-('Invoer gegevens (N)'!$F$20/12))*R145*MIN(BC145,BA145)</f>
        <v>0</v>
      </c>
      <c r="U145" s="86">
        <f ca="1">IF(BD145&lt;1,IF('Reeksen (N)'!AD145&lt;='Reeksen (N)'!AE145,R145*'Reeksen (N)'!C145,0),IF(BC145&gt;=BA145,0,IF('Reeksen (N)'!AD145&lt;='Reeksen (N)'!AE145,(BA145-BC145)*R145,0)))</f>
        <v>0</v>
      </c>
      <c r="V145" s="86">
        <f ca="1">IF(BD145&lt;1,IF('Reeksen (N)'!AD145&gt;'Reeksen (N)'!AE145,R145*'Reeksen (N)'!C145,0),IF(BC145&gt;=BA145,0,IF('Reeksen (N)'!AD145&gt;'Reeksen (N)'!AE145,(BA145-BC145)*R145,0)))</f>
        <v>0</v>
      </c>
      <c r="W145" s="218">
        <f t="shared" ca="1" si="39"/>
        <v>0</v>
      </c>
      <c r="X145" s="98">
        <f ca="1">IF('Invoer gegevens (N)'!$C$17=E145,'Invoer gegevens (N)'!$C$10-'Invoer gegevens (N)'!$C$11,IF(C145=1,AC144,0))</f>
        <v>0</v>
      </c>
      <c r="Y145" s="98">
        <f t="shared" ca="1" si="36"/>
        <v>0</v>
      </c>
      <c r="Z145" s="98">
        <f ca="1">(1-('Invoer gegevens (N)'!$F$20/12))*X145*MIN(BA145,BC145)</f>
        <v>0</v>
      </c>
      <c r="AA145" s="98">
        <f ca="1">IF(BD145&lt;1,IF('Reeksen (N)'!AD145&lt;='Reeksen (N)'!AE145,X145*'Reeksen (N)'!C145,0),IF(BC145&gt;=BA145,0,IF('Reeksen (N)'!AD145&lt;='Reeksen (N)'!AE145,(BA145-BC145)*X145,0)))</f>
        <v>0</v>
      </c>
      <c r="AB145" s="98">
        <f ca="1">IF(BD145&lt;1,IF('Reeksen (N)'!AD145&gt;'Reeksen (N)'!AE145,X145*'Reeksen (N)'!C145,0),IF(BC145&gt;=BA145,0,IF('Reeksen (N)'!AD145&gt;'Reeksen (N)'!AE145,(BA145-BC145)*X145,0)))</f>
        <v>0</v>
      </c>
      <c r="AC145" s="99">
        <f t="shared" ca="1" si="40"/>
        <v>0</v>
      </c>
      <c r="AD145" s="98">
        <f ca="1">IF('Invoer gegevens (N)'!$C$17=E145,R145,IF(C145=0,0,AE144))</f>
        <v>0</v>
      </c>
      <c r="AE145" s="98">
        <f t="shared" ca="1" si="41"/>
        <v>0</v>
      </c>
      <c r="AF145" s="98">
        <f ca="1">IF('Invoer gegevens (N)'!$C$17=E145,X145,IF(C145=0,0,AG144))</f>
        <v>0</v>
      </c>
      <c r="AG145" s="98">
        <f t="shared" ca="1" si="42"/>
        <v>0</v>
      </c>
      <c r="AH145" s="66"/>
      <c r="AI145" s="71">
        <f ca="1">IF(C145=1,'Reeksen (N)'!AI145*((F145+K145)/2)*12+'Reeksen (N)'!AD145*((L145+Q145)/2)*12,0)</f>
        <v>0</v>
      </c>
      <c r="AJ145" s="71">
        <f ca="1">-AI145*'Invoer gegevens (N)'!$F$28</f>
        <v>0</v>
      </c>
      <c r="AK145" s="71">
        <f t="shared" ca="1" si="43"/>
        <v>0</v>
      </c>
      <c r="AL145" s="71">
        <f ca="1">IF(C145=1,'Reeksen (N)'!AL145*((F145-G145+F145)/2)*12+'Reeksen (N)'!AM145*((L145-M145+L145)/2)*12,0)</f>
        <v>0</v>
      </c>
      <c r="AM145" s="71">
        <f ca="1">-AL145*'Invoer gegevens (N)'!$F$31</f>
        <v>0</v>
      </c>
      <c r="AN145" s="71">
        <f t="shared" ca="1" si="44"/>
        <v>0</v>
      </c>
      <c r="AO145" s="71">
        <f ca="1">IF(C145=1,(H145+J145+N145+P145)*'Reeksen (N)'!AN145,0)</f>
        <v>0</v>
      </c>
      <c r="AP145" s="71">
        <f ca="1">-IF(C145=1,(H145+J145+N145+P145)*'Hulp - basis'!$O$550*'Reeksen (N)'!H145,0)</f>
        <v>0</v>
      </c>
      <c r="AQ145" s="71">
        <f ca="1">-IF(C145=1,(F145+K145+L145+Q145)/2*'Invoer gegevens (N)'!$F$35*'Reeksen (N)'!J145,0)*2</f>
        <v>0</v>
      </c>
      <c r="AR145" s="71">
        <f ca="1">IF(BD145&lt;1,-IF(C145=1,(G145*'Invoer gegevens (N)'!$F$36)*'Reeksen (N)'!J145,0),0)</f>
        <v>0</v>
      </c>
      <c r="AS145" s="71">
        <f ca="1">-IF(C145=1,(F145+K145+L145+Q145)/2*'Invoer gegevens (N)'!$F$37*'Reeksen (N)'!L145,0)</f>
        <v>0</v>
      </c>
      <c r="AT145" s="71">
        <f ca="1">-IF(C145=1,IF(E145='Invoer gegevens (N)'!$C$17,'Invoer gegevens (N)'!$C$11,AD145)*'Reeksen (N)'!S145*'Invoer gegevens (N)'!$C$18*'Reeksen (N)'!P145,0)</f>
        <v>0</v>
      </c>
      <c r="AU145" s="71">
        <f ca="1">-IF(C145=1,(F145+K145+L145+Q145)/2*'Invoer gegevens (N)'!$F$38*'Reeksen (N)'!H145,0)</f>
        <v>0</v>
      </c>
      <c r="AV145" s="71">
        <v>0</v>
      </c>
      <c r="AW145" s="71">
        <f t="shared" ca="1" si="45"/>
        <v>0</v>
      </c>
      <c r="AX145" s="71">
        <f ca="1">IF(E145&lt;'Invoer gegevens (N)'!$C$17+15,0,IF(E145&gt;'Invoer gegevens (N)'!$C$17+215,0,AW145))</f>
        <v>0</v>
      </c>
      <c r="AY145" s="71">
        <f ca="1">AX145/(1+'Invoer gegevens (N)'!$F$18)^($AZ145-('Invoer gegevens (N)'!$C$17-'Invoer gegevens (N)'!$C$16))/(1+'Invoer gegevens (N)'!$C$39)^('Invoer gegevens (N)'!$C$17-'Invoer gegevens (N)'!$C$16)</f>
        <v>0</v>
      </c>
      <c r="AZ145" s="68">
        <f ca="1">IF(E145-'Invoer gegevens (N)'!$C$17-14.5&lt;0,0,E145-'Invoer gegevens (N)'!$C$17-14.5)</f>
        <v>125.5</v>
      </c>
      <c r="BA145" s="109">
        <f ca="1">IFERROR(VLOOKUP(E145-15,'Reeksen (N)'!$A$5:$D$234,2,FALSE),0)</f>
        <v>0</v>
      </c>
      <c r="BB145" s="109">
        <f ca="1">IFERROR(VLOOKUP(E145-15,'Reeksen (N)'!$A$5:$D$234,3,FALSE),0)</f>
        <v>0</v>
      </c>
      <c r="BC145" s="109">
        <f ca="1">IFERROR(VLOOKUP(E145-15,'Reeksen (N)'!$A$5:$D$234,4,FALSE),0)</f>
        <v>0</v>
      </c>
      <c r="BD145" s="67">
        <f ca="1">IF(E145-'Invoer gegevens (N)'!$C$17&lt;15,0,1)</f>
        <v>1</v>
      </c>
    </row>
    <row r="146" spans="1:56" x14ac:dyDescent="0.25">
      <c r="A146" s="59"/>
      <c r="B146" s="70">
        <f t="shared" si="46"/>
        <v>142</v>
      </c>
      <c r="C146" s="67">
        <f ca="1">IF(E146-'Invoer gegevens (N)'!$C$17&lt;0,0,1)</f>
        <v>1</v>
      </c>
      <c r="D146" s="68">
        <f t="shared" si="47"/>
        <v>141.5</v>
      </c>
      <c r="E146" s="108">
        <f ca="1">IF('Invoer gegevens (N)'!$C$16="","",E145+1)</f>
        <v>2160</v>
      </c>
      <c r="F146" s="84">
        <f ca="1">IF('Invoer gegevens (N)'!$C$17=E146,'Invoer gegevens (N)'!$C$10,IF(C146=1,K145,0))</f>
        <v>0</v>
      </c>
      <c r="G146" s="96">
        <f ca="1">IF(BD146&lt;1,F146*'Reeksen (N)'!C146,IF(C146&gt;=1,F146*BA146,0))</f>
        <v>0</v>
      </c>
      <c r="H146" s="84">
        <f ca="1">(1-('Invoer gegevens (N)'!$F$20/12))*F146*MIN(BA146,BC146)</f>
        <v>0</v>
      </c>
      <c r="I146" s="84">
        <f t="shared" ca="1" si="32"/>
        <v>0</v>
      </c>
      <c r="J146" s="84">
        <f ca="1">('Invoer gegevens (N)'!$F$20/12)*F145*MIN(BA146,BC146)</f>
        <v>0</v>
      </c>
      <c r="K146" s="97">
        <f t="shared" ca="1" si="37"/>
        <v>0</v>
      </c>
      <c r="L146" s="84">
        <f ca="1">IF('Invoer gegevens (N)'!$C$17=E146,0,IF(C146=1,Q145,0))</f>
        <v>0</v>
      </c>
      <c r="M146" s="96">
        <f t="shared" ca="1" si="33"/>
        <v>0</v>
      </c>
      <c r="N146" s="84">
        <f ca="1">(1-('Invoer gegevens (N)'!$F$20/12))*L146*MIN(BA146,BC146)</f>
        <v>0</v>
      </c>
      <c r="O146" s="84">
        <f t="shared" ca="1" si="34"/>
        <v>0</v>
      </c>
      <c r="P146" s="84">
        <f ca="1">('Invoer gegevens (N)'!$F$20/12)*L145*MIN(BA146,BC146)</f>
        <v>0</v>
      </c>
      <c r="Q146" s="84">
        <f t="shared" ca="1" si="38"/>
        <v>0</v>
      </c>
      <c r="R146" s="85">
        <f ca="1">IF('Invoer gegevens (N)'!$C$17=E146,'Invoer gegevens (N)'!$C$11,IF(C146=1,W145,0))</f>
        <v>0</v>
      </c>
      <c r="S146" s="86">
        <f t="shared" ca="1" si="35"/>
        <v>0</v>
      </c>
      <c r="T146" s="86">
        <f ca="1">(1-('Invoer gegevens (N)'!$F$20/12))*R146*MIN(BC146,BA146)</f>
        <v>0</v>
      </c>
      <c r="U146" s="86">
        <f ca="1">IF(BD146&lt;1,IF('Reeksen (N)'!AD146&lt;='Reeksen (N)'!AE146,R146*'Reeksen (N)'!C146,0),IF(BC146&gt;=BA146,0,IF('Reeksen (N)'!AD146&lt;='Reeksen (N)'!AE146,(BA146-BC146)*R146,0)))</f>
        <v>0</v>
      </c>
      <c r="V146" s="86">
        <f ca="1">IF(BD146&lt;1,IF('Reeksen (N)'!AD146&gt;'Reeksen (N)'!AE146,R146*'Reeksen (N)'!C146,0),IF(BC146&gt;=BA146,0,IF('Reeksen (N)'!AD146&gt;'Reeksen (N)'!AE146,(BA146-BC146)*R146,0)))</f>
        <v>0</v>
      </c>
      <c r="W146" s="218">
        <f t="shared" ca="1" si="39"/>
        <v>0</v>
      </c>
      <c r="X146" s="98">
        <f ca="1">IF('Invoer gegevens (N)'!$C$17=E146,'Invoer gegevens (N)'!$C$10-'Invoer gegevens (N)'!$C$11,IF(C146=1,AC145,0))</f>
        <v>0</v>
      </c>
      <c r="Y146" s="98">
        <f t="shared" ca="1" si="36"/>
        <v>0</v>
      </c>
      <c r="Z146" s="98">
        <f ca="1">(1-('Invoer gegevens (N)'!$F$20/12))*X146*MIN(BA146,BC146)</f>
        <v>0</v>
      </c>
      <c r="AA146" s="98">
        <f ca="1">IF(BD146&lt;1,IF('Reeksen (N)'!AD146&lt;='Reeksen (N)'!AE146,X146*'Reeksen (N)'!C146,0),IF(BC146&gt;=BA146,0,IF('Reeksen (N)'!AD146&lt;='Reeksen (N)'!AE146,(BA146-BC146)*X146,0)))</f>
        <v>0</v>
      </c>
      <c r="AB146" s="98">
        <f ca="1">IF(BD146&lt;1,IF('Reeksen (N)'!AD146&gt;'Reeksen (N)'!AE146,X146*'Reeksen (N)'!C146,0),IF(BC146&gt;=BA146,0,IF('Reeksen (N)'!AD146&gt;'Reeksen (N)'!AE146,(BA146-BC146)*X146,0)))</f>
        <v>0</v>
      </c>
      <c r="AC146" s="99">
        <f t="shared" ca="1" si="40"/>
        <v>0</v>
      </c>
      <c r="AD146" s="98">
        <f ca="1">IF('Invoer gegevens (N)'!$C$17=E146,R146,IF(C146=0,0,AE145))</f>
        <v>0</v>
      </c>
      <c r="AE146" s="98">
        <f t="shared" ca="1" si="41"/>
        <v>0</v>
      </c>
      <c r="AF146" s="98">
        <f ca="1">IF('Invoer gegevens (N)'!$C$17=E146,X146,IF(C146=0,0,AG145))</f>
        <v>0</v>
      </c>
      <c r="AG146" s="98">
        <f t="shared" ca="1" si="42"/>
        <v>0</v>
      </c>
      <c r="AH146" s="66"/>
      <c r="AI146" s="71">
        <f ca="1">IF(C146=1,'Reeksen (N)'!AI146*((F146+K146)/2)*12+'Reeksen (N)'!AD146*((L146+Q146)/2)*12,0)</f>
        <v>0</v>
      </c>
      <c r="AJ146" s="71">
        <f ca="1">-AI146*'Invoer gegevens (N)'!$F$28</f>
        <v>0</v>
      </c>
      <c r="AK146" s="71">
        <f t="shared" ca="1" si="43"/>
        <v>0</v>
      </c>
      <c r="AL146" s="71">
        <f ca="1">IF(C146=1,'Reeksen (N)'!AL146*((F146-G146+F146)/2)*12+'Reeksen (N)'!AM146*((L146-M146+L146)/2)*12,0)</f>
        <v>0</v>
      </c>
      <c r="AM146" s="71">
        <f ca="1">-AL146*'Invoer gegevens (N)'!$F$31</f>
        <v>0</v>
      </c>
      <c r="AN146" s="71">
        <f t="shared" ca="1" si="44"/>
        <v>0</v>
      </c>
      <c r="AO146" s="71">
        <f ca="1">IF(C146=1,(H146+J146+N146+P146)*'Reeksen (N)'!AN146,0)</f>
        <v>0</v>
      </c>
      <c r="AP146" s="71">
        <f ca="1">-IF(C146=1,(H146+J146+N146+P146)*'Hulp - basis'!$O$550*'Reeksen (N)'!H146,0)</f>
        <v>0</v>
      </c>
      <c r="AQ146" s="71">
        <f ca="1">-IF(C146=1,(F146+K146+L146+Q146)/2*'Invoer gegevens (N)'!$F$35*'Reeksen (N)'!J146,0)*2</f>
        <v>0</v>
      </c>
      <c r="AR146" s="71">
        <f ca="1">IF(BD146&lt;1,-IF(C146=1,(G146*'Invoer gegevens (N)'!$F$36)*'Reeksen (N)'!J146,0),0)</f>
        <v>0</v>
      </c>
      <c r="AS146" s="71">
        <f ca="1">-IF(C146=1,(F146+K146+L146+Q146)/2*'Invoer gegevens (N)'!$F$37*'Reeksen (N)'!L146,0)</f>
        <v>0</v>
      </c>
      <c r="AT146" s="71">
        <f ca="1">-IF(C146=1,IF(E146='Invoer gegevens (N)'!$C$17,'Invoer gegevens (N)'!$C$11,AD146)*'Reeksen (N)'!S146*'Invoer gegevens (N)'!$C$18*'Reeksen (N)'!P146,0)</f>
        <v>0</v>
      </c>
      <c r="AU146" s="71">
        <f ca="1">-IF(C146=1,(F146+K146+L146+Q146)/2*'Invoer gegevens (N)'!$F$38*'Reeksen (N)'!H146,0)</f>
        <v>0</v>
      </c>
      <c r="AV146" s="71">
        <v>0</v>
      </c>
      <c r="AW146" s="71">
        <f t="shared" ca="1" si="45"/>
        <v>0</v>
      </c>
      <c r="AX146" s="71">
        <f ca="1">IF(E146&lt;'Invoer gegevens (N)'!$C$17+15,0,IF(E146&gt;'Invoer gegevens (N)'!$C$17+215,0,AW146))</f>
        <v>0</v>
      </c>
      <c r="AY146" s="71">
        <f ca="1">AX146/(1+'Invoer gegevens (N)'!$F$18)^($AZ146-('Invoer gegevens (N)'!$C$17-'Invoer gegevens (N)'!$C$16))/(1+'Invoer gegevens (N)'!$C$39)^('Invoer gegevens (N)'!$C$17-'Invoer gegevens (N)'!$C$16)</f>
        <v>0</v>
      </c>
      <c r="AZ146" s="68">
        <f ca="1">IF(E146-'Invoer gegevens (N)'!$C$17-14.5&lt;0,0,E146-'Invoer gegevens (N)'!$C$17-14.5)</f>
        <v>126.5</v>
      </c>
      <c r="BA146" s="109">
        <f ca="1">IFERROR(VLOOKUP(E146-15,'Reeksen (N)'!$A$5:$D$234,2,FALSE),0)</f>
        <v>0</v>
      </c>
      <c r="BB146" s="109">
        <f ca="1">IFERROR(VLOOKUP(E146-15,'Reeksen (N)'!$A$5:$D$234,3,FALSE),0)</f>
        <v>0</v>
      </c>
      <c r="BC146" s="109">
        <f ca="1">IFERROR(VLOOKUP(E146-15,'Reeksen (N)'!$A$5:$D$234,4,FALSE),0)</f>
        <v>0</v>
      </c>
      <c r="BD146" s="67">
        <f ca="1">IF(E146-'Invoer gegevens (N)'!$C$17&lt;15,0,1)</f>
        <v>1</v>
      </c>
    </row>
    <row r="147" spans="1:56" x14ac:dyDescent="0.25">
      <c r="A147" s="59"/>
      <c r="B147" s="70">
        <f t="shared" si="46"/>
        <v>143</v>
      </c>
      <c r="C147" s="67">
        <f ca="1">IF(E147-'Invoer gegevens (N)'!$C$17&lt;0,0,1)</f>
        <v>1</v>
      </c>
      <c r="D147" s="68">
        <f t="shared" si="47"/>
        <v>142.5</v>
      </c>
      <c r="E147" s="108">
        <f ca="1">IF('Invoer gegevens (N)'!$C$16="","",E146+1)</f>
        <v>2161</v>
      </c>
      <c r="F147" s="84">
        <f ca="1">IF('Invoer gegevens (N)'!$C$17=E147,'Invoer gegevens (N)'!$C$10,IF(C147=1,K146,0))</f>
        <v>0</v>
      </c>
      <c r="G147" s="96">
        <f ca="1">IF(BD147&lt;1,F147*'Reeksen (N)'!C147,IF(C147&gt;=1,F147*BA147,0))</f>
        <v>0</v>
      </c>
      <c r="H147" s="84">
        <f ca="1">(1-('Invoer gegevens (N)'!$F$20/12))*F147*MIN(BA147,BC147)</f>
        <v>0</v>
      </c>
      <c r="I147" s="84">
        <f t="shared" ca="1" si="32"/>
        <v>0</v>
      </c>
      <c r="J147" s="84">
        <f ca="1">('Invoer gegevens (N)'!$F$20/12)*F146*MIN(BA147,BC147)</f>
        <v>0</v>
      </c>
      <c r="K147" s="97">
        <f t="shared" ca="1" si="37"/>
        <v>0</v>
      </c>
      <c r="L147" s="84">
        <f ca="1">IF('Invoer gegevens (N)'!$C$17=E147,0,IF(C147=1,Q146,0))</f>
        <v>0</v>
      </c>
      <c r="M147" s="96">
        <f t="shared" ca="1" si="33"/>
        <v>0</v>
      </c>
      <c r="N147" s="84">
        <f ca="1">(1-('Invoer gegevens (N)'!$F$20/12))*L147*MIN(BA147,BC147)</f>
        <v>0</v>
      </c>
      <c r="O147" s="84">
        <f t="shared" ca="1" si="34"/>
        <v>0</v>
      </c>
      <c r="P147" s="84">
        <f ca="1">('Invoer gegevens (N)'!$F$20/12)*L146*MIN(BA147,BC147)</f>
        <v>0</v>
      </c>
      <c r="Q147" s="84">
        <f t="shared" ca="1" si="38"/>
        <v>0</v>
      </c>
      <c r="R147" s="85">
        <f ca="1">IF('Invoer gegevens (N)'!$C$17=E147,'Invoer gegevens (N)'!$C$11,IF(C147=1,W146,0))</f>
        <v>0</v>
      </c>
      <c r="S147" s="86">
        <f t="shared" ca="1" si="35"/>
        <v>0</v>
      </c>
      <c r="T147" s="86">
        <f ca="1">(1-('Invoer gegevens (N)'!$F$20/12))*R147*MIN(BC147,BA147)</f>
        <v>0</v>
      </c>
      <c r="U147" s="86">
        <f ca="1">IF(BD147&lt;1,IF('Reeksen (N)'!AD147&lt;='Reeksen (N)'!AE147,R147*'Reeksen (N)'!C147,0),IF(BC147&gt;=BA147,0,IF('Reeksen (N)'!AD147&lt;='Reeksen (N)'!AE147,(BA147-BC147)*R147,0)))</f>
        <v>0</v>
      </c>
      <c r="V147" s="86">
        <f ca="1">IF(BD147&lt;1,IF('Reeksen (N)'!AD147&gt;'Reeksen (N)'!AE147,R147*'Reeksen (N)'!C147,0),IF(BC147&gt;=BA147,0,IF('Reeksen (N)'!AD147&gt;'Reeksen (N)'!AE147,(BA147-BC147)*R147,0)))</f>
        <v>0</v>
      </c>
      <c r="W147" s="218">
        <f t="shared" ca="1" si="39"/>
        <v>0</v>
      </c>
      <c r="X147" s="98">
        <f ca="1">IF('Invoer gegevens (N)'!$C$17=E147,'Invoer gegevens (N)'!$C$10-'Invoer gegevens (N)'!$C$11,IF(C147=1,AC146,0))</f>
        <v>0</v>
      </c>
      <c r="Y147" s="98">
        <f t="shared" ca="1" si="36"/>
        <v>0</v>
      </c>
      <c r="Z147" s="98">
        <f ca="1">(1-('Invoer gegevens (N)'!$F$20/12))*X147*MIN(BA147,BC147)</f>
        <v>0</v>
      </c>
      <c r="AA147" s="98">
        <f ca="1">IF(BD147&lt;1,IF('Reeksen (N)'!AD147&lt;='Reeksen (N)'!AE147,X147*'Reeksen (N)'!C147,0),IF(BC147&gt;=BA147,0,IF('Reeksen (N)'!AD147&lt;='Reeksen (N)'!AE147,(BA147-BC147)*X147,0)))</f>
        <v>0</v>
      </c>
      <c r="AB147" s="98">
        <f ca="1">IF(BD147&lt;1,IF('Reeksen (N)'!AD147&gt;'Reeksen (N)'!AE147,X147*'Reeksen (N)'!C147,0),IF(BC147&gt;=BA147,0,IF('Reeksen (N)'!AD147&gt;'Reeksen (N)'!AE147,(BA147-BC147)*X147,0)))</f>
        <v>0</v>
      </c>
      <c r="AC147" s="99">
        <f t="shared" ca="1" si="40"/>
        <v>0</v>
      </c>
      <c r="AD147" s="98">
        <f ca="1">IF('Invoer gegevens (N)'!$C$17=E147,R147,IF(C147=0,0,AE146))</f>
        <v>0</v>
      </c>
      <c r="AE147" s="98">
        <f t="shared" ca="1" si="41"/>
        <v>0</v>
      </c>
      <c r="AF147" s="98">
        <f ca="1">IF('Invoer gegevens (N)'!$C$17=E147,X147,IF(C147=0,0,AG146))</f>
        <v>0</v>
      </c>
      <c r="AG147" s="98">
        <f t="shared" ca="1" si="42"/>
        <v>0</v>
      </c>
      <c r="AH147" s="66"/>
      <c r="AI147" s="71">
        <f ca="1">IF(C147=1,'Reeksen (N)'!AI147*((F147+K147)/2)*12+'Reeksen (N)'!AD147*((L147+Q147)/2)*12,0)</f>
        <v>0</v>
      </c>
      <c r="AJ147" s="71">
        <f ca="1">-AI147*'Invoer gegevens (N)'!$F$28</f>
        <v>0</v>
      </c>
      <c r="AK147" s="71">
        <f t="shared" ca="1" si="43"/>
        <v>0</v>
      </c>
      <c r="AL147" s="71">
        <f ca="1">IF(C147=1,'Reeksen (N)'!AL147*((F147-G147+F147)/2)*12+'Reeksen (N)'!AM147*((L147-M147+L147)/2)*12,0)</f>
        <v>0</v>
      </c>
      <c r="AM147" s="71">
        <f ca="1">-AL147*'Invoer gegevens (N)'!$F$31</f>
        <v>0</v>
      </c>
      <c r="AN147" s="71">
        <f t="shared" ca="1" si="44"/>
        <v>0</v>
      </c>
      <c r="AO147" s="71">
        <f ca="1">IF(C147=1,(H147+J147+N147+P147)*'Reeksen (N)'!AN147,0)</f>
        <v>0</v>
      </c>
      <c r="AP147" s="71">
        <f ca="1">-IF(C147=1,(H147+J147+N147+P147)*'Hulp - basis'!$O$550*'Reeksen (N)'!H147,0)</f>
        <v>0</v>
      </c>
      <c r="AQ147" s="71">
        <f ca="1">-IF(C147=1,(F147+K147+L147+Q147)/2*'Invoer gegevens (N)'!$F$35*'Reeksen (N)'!J147,0)*2</f>
        <v>0</v>
      </c>
      <c r="AR147" s="71">
        <f ca="1">IF(BD147&lt;1,-IF(C147=1,(G147*'Invoer gegevens (N)'!$F$36)*'Reeksen (N)'!J147,0),0)</f>
        <v>0</v>
      </c>
      <c r="AS147" s="71">
        <f ca="1">-IF(C147=1,(F147+K147+L147+Q147)/2*'Invoer gegevens (N)'!$F$37*'Reeksen (N)'!L147,0)</f>
        <v>0</v>
      </c>
      <c r="AT147" s="71">
        <f ca="1">-IF(C147=1,IF(E147='Invoer gegevens (N)'!$C$17,'Invoer gegevens (N)'!$C$11,AD147)*'Reeksen (N)'!S147*'Invoer gegevens (N)'!$C$18*'Reeksen (N)'!P147,0)</f>
        <v>0</v>
      </c>
      <c r="AU147" s="71">
        <f ca="1">-IF(C147=1,(F147+K147+L147+Q147)/2*'Invoer gegevens (N)'!$F$38*'Reeksen (N)'!H147,0)</f>
        <v>0</v>
      </c>
      <c r="AV147" s="71">
        <v>0</v>
      </c>
      <c r="AW147" s="71">
        <f t="shared" ca="1" si="45"/>
        <v>0</v>
      </c>
      <c r="AX147" s="71">
        <f ca="1">IF(E147&lt;'Invoer gegevens (N)'!$C$17+15,0,IF(E147&gt;'Invoer gegevens (N)'!$C$17+215,0,AW147))</f>
        <v>0</v>
      </c>
      <c r="AY147" s="71">
        <f ca="1">AX147/(1+'Invoer gegevens (N)'!$F$18)^($AZ147-('Invoer gegevens (N)'!$C$17-'Invoer gegevens (N)'!$C$16))/(1+'Invoer gegevens (N)'!$C$39)^('Invoer gegevens (N)'!$C$17-'Invoer gegevens (N)'!$C$16)</f>
        <v>0</v>
      </c>
      <c r="AZ147" s="68">
        <f ca="1">IF(E147-'Invoer gegevens (N)'!$C$17-14.5&lt;0,0,E147-'Invoer gegevens (N)'!$C$17-14.5)</f>
        <v>127.5</v>
      </c>
      <c r="BA147" s="109">
        <f ca="1">IFERROR(VLOOKUP(E147-15,'Reeksen (N)'!$A$5:$D$234,2,FALSE),0)</f>
        <v>0</v>
      </c>
      <c r="BB147" s="109">
        <f ca="1">IFERROR(VLOOKUP(E147-15,'Reeksen (N)'!$A$5:$D$234,3,FALSE),0)</f>
        <v>0</v>
      </c>
      <c r="BC147" s="109">
        <f ca="1">IFERROR(VLOOKUP(E147-15,'Reeksen (N)'!$A$5:$D$234,4,FALSE),0)</f>
        <v>0</v>
      </c>
      <c r="BD147" s="67">
        <f ca="1">IF(E147-'Invoer gegevens (N)'!$C$17&lt;15,0,1)</f>
        <v>1</v>
      </c>
    </row>
    <row r="148" spans="1:56" x14ac:dyDescent="0.25">
      <c r="A148" s="59"/>
      <c r="B148" s="70">
        <f t="shared" si="46"/>
        <v>144</v>
      </c>
      <c r="C148" s="67">
        <f ca="1">IF(E148-'Invoer gegevens (N)'!$C$17&lt;0,0,1)</f>
        <v>1</v>
      </c>
      <c r="D148" s="68">
        <f t="shared" si="47"/>
        <v>143.5</v>
      </c>
      <c r="E148" s="108">
        <f ca="1">IF('Invoer gegevens (N)'!$C$16="","",E147+1)</f>
        <v>2162</v>
      </c>
      <c r="F148" s="84">
        <f ca="1">IF('Invoer gegevens (N)'!$C$17=E148,'Invoer gegevens (N)'!$C$10,IF(C148=1,K147,0))</f>
        <v>0</v>
      </c>
      <c r="G148" s="96">
        <f ca="1">IF(BD148&lt;1,F148*'Reeksen (N)'!C148,IF(C148&gt;=1,F148*BA148,0))</f>
        <v>0</v>
      </c>
      <c r="H148" s="84">
        <f ca="1">(1-('Invoer gegevens (N)'!$F$20/12))*F148*MIN(BA148,BC148)</f>
        <v>0</v>
      </c>
      <c r="I148" s="84">
        <f t="shared" ca="1" si="32"/>
        <v>0</v>
      </c>
      <c r="J148" s="84">
        <f ca="1">('Invoer gegevens (N)'!$F$20/12)*F147*MIN(BA148,BC148)</f>
        <v>0</v>
      </c>
      <c r="K148" s="97">
        <f t="shared" ca="1" si="37"/>
        <v>0</v>
      </c>
      <c r="L148" s="84">
        <f ca="1">IF('Invoer gegevens (N)'!$C$17=E148,0,IF(C148=1,Q147,0))</f>
        <v>0</v>
      </c>
      <c r="M148" s="96">
        <f t="shared" ca="1" si="33"/>
        <v>0</v>
      </c>
      <c r="N148" s="84">
        <f ca="1">(1-('Invoer gegevens (N)'!$F$20/12))*L148*MIN(BA148,BC148)</f>
        <v>0</v>
      </c>
      <c r="O148" s="84">
        <f t="shared" ca="1" si="34"/>
        <v>0</v>
      </c>
      <c r="P148" s="84">
        <f ca="1">('Invoer gegevens (N)'!$F$20/12)*L147*MIN(BA148,BC148)</f>
        <v>0</v>
      </c>
      <c r="Q148" s="84">
        <f t="shared" ca="1" si="38"/>
        <v>0</v>
      </c>
      <c r="R148" s="85">
        <f ca="1">IF('Invoer gegevens (N)'!$C$17=E148,'Invoer gegevens (N)'!$C$11,IF(C148=1,W147,0))</f>
        <v>0</v>
      </c>
      <c r="S148" s="86">
        <f t="shared" ca="1" si="35"/>
        <v>0</v>
      </c>
      <c r="T148" s="86">
        <f ca="1">(1-('Invoer gegevens (N)'!$F$20/12))*R148*MIN(BC148,BA148)</f>
        <v>0</v>
      </c>
      <c r="U148" s="86">
        <f ca="1">IF(BD148&lt;1,IF('Reeksen (N)'!AD148&lt;='Reeksen (N)'!AE148,R148*'Reeksen (N)'!C148,0),IF(BC148&gt;=BA148,0,IF('Reeksen (N)'!AD148&lt;='Reeksen (N)'!AE148,(BA148-BC148)*R148,0)))</f>
        <v>0</v>
      </c>
      <c r="V148" s="86">
        <f ca="1">IF(BD148&lt;1,IF('Reeksen (N)'!AD148&gt;'Reeksen (N)'!AE148,R148*'Reeksen (N)'!C148,0),IF(BC148&gt;=BA148,0,IF('Reeksen (N)'!AD148&gt;'Reeksen (N)'!AE148,(BA148-BC148)*R148,0)))</f>
        <v>0</v>
      </c>
      <c r="W148" s="218">
        <f t="shared" ca="1" si="39"/>
        <v>0</v>
      </c>
      <c r="X148" s="98">
        <f ca="1">IF('Invoer gegevens (N)'!$C$17=E148,'Invoer gegevens (N)'!$C$10-'Invoer gegevens (N)'!$C$11,IF(C148=1,AC147,0))</f>
        <v>0</v>
      </c>
      <c r="Y148" s="98">
        <f t="shared" ca="1" si="36"/>
        <v>0</v>
      </c>
      <c r="Z148" s="98">
        <f ca="1">(1-('Invoer gegevens (N)'!$F$20/12))*X148*MIN(BA148,BC148)</f>
        <v>0</v>
      </c>
      <c r="AA148" s="98">
        <f ca="1">IF(BD148&lt;1,IF('Reeksen (N)'!AD148&lt;='Reeksen (N)'!AE148,X148*'Reeksen (N)'!C148,0),IF(BC148&gt;=BA148,0,IF('Reeksen (N)'!AD148&lt;='Reeksen (N)'!AE148,(BA148-BC148)*X148,0)))</f>
        <v>0</v>
      </c>
      <c r="AB148" s="98">
        <f ca="1">IF(BD148&lt;1,IF('Reeksen (N)'!AD148&gt;'Reeksen (N)'!AE148,X148*'Reeksen (N)'!C148,0),IF(BC148&gt;=BA148,0,IF('Reeksen (N)'!AD148&gt;'Reeksen (N)'!AE148,(BA148-BC148)*X148,0)))</f>
        <v>0</v>
      </c>
      <c r="AC148" s="99">
        <f t="shared" ca="1" si="40"/>
        <v>0</v>
      </c>
      <c r="AD148" s="98">
        <f ca="1">IF('Invoer gegevens (N)'!$C$17=E148,R148,IF(C148=0,0,AE147))</f>
        <v>0</v>
      </c>
      <c r="AE148" s="98">
        <f t="shared" ca="1" si="41"/>
        <v>0</v>
      </c>
      <c r="AF148" s="98">
        <f ca="1">IF('Invoer gegevens (N)'!$C$17=E148,X148,IF(C148=0,0,AG147))</f>
        <v>0</v>
      </c>
      <c r="AG148" s="98">
        <f t="shared" ca="1" si="42"/>
        <v>0</v>
      </c>
      <c r="AH148" s="66"/>
      <c r="AI148" s="71">
        <f ca="1">IF(C148=1,'Reeksen (N)'!AI148*((F148+K148)/2)*12+'Reeksen (N)'!AD148*((L148+Q148)/2)*12,0)</f>
        <v>0</v>
      </c>
      <c r="AJ148" s="71">
        <f ca="1">-AI148*'Invoer gegevens (N)'!$F$28</f>
        <v>0</v>
      </c>
      <c r="AK148" s="71">
        <f t="shared" ca="1" si="43"/>
        <v>0</v>
      </c>
      <c r="AL148" s="71">
        <f ca="1">IF(C148=1,'Reeksen (N)'!AL148*((F148-G148+F148)/2)*12+'Reeksen (N)'!AM148*((L148-M148+L148)/2)*12,0)</f>
        <v>0</v>
      </c>
      <c r="AM148" s="71">
        <f ca="1">-AL148*'Invoer gegevens (N)'!$F$31</f>
        <v>0</v>
      </c>
      <c r="AN148" s="71">
        <f t="shared" ca="1" si="44"/>
        <v>0</v>
      </c>
      <c r="AO148" s="71">
        <f ca="1">IF(C148=1,(H148+J148+N148+P148)*'Reeksen (N)'!AN148,0)</f>
        <v>0</v>
      </c>
      <c r="AP148" s="71">
        <f ca="1">-IF(C148=1,(H148+J148+N148+P148)*'Hulp - basis'!$O$550*'Reeksen (N)'!H148,0)</f>
        <v>0</v>
      </c>
      <c r="AQ148" s="71">
        <f ca="1">-IF(C148=1,(F148+K148+L148+Q148)/2*'Invoer gegevens (N)'!$F$35*'Reeksen (N)'!J148,0)*2</f>
        <v>0</v>
      </c>
      <c r="AR148" s="71">
        <f ca="1">IF(BD148&lt;1,-IF(C148=1,(G148*'Invoer gegevens (N)'!$F$36)*'Reeksen (N)'!J148,0),0)</f>
        <v>0</v>
      </c>
      <c r="AS148" s="71">
        <f ca="1">-IF(C148=1,(F148+K148+L148+Q148)/2*'Invoer gegevens (N)'!$F$37*'Reeksen (N)'!L148,0)</f>
        <v>0</v>
      </c>
      <c r="AT148" s="71">
        <f ca="1">-IF(C148=1,IF(E148='Invoer gegevens (N)'!$C$17,'Invoer gegevens (N)'!$C$11,AD148)*'Reeksen (N)'!S148*'Invoer gegevens (N)'!$C$18*'Reeksen (N)'!P148,0)</f>
        <v>0</v>
      </c>
      <c r="AU148" s="71">
        <f ca="1">-IF(C148=1,(F148+K148+L148+Q148)/2*'Invoer gegevens (N)'!$F$38*'Reeksen (N)'!H148,0)</f>
        <v>0</v>
      </c>
      <c r="AV148" s="71">
        <v>0</v>
      </c>
      <c r="AW148" s="71">
        <f t="shared" ca="1" si="45"/>
        <v>0</v>
      </c>
      <c r="AX148" s="71">
        <f ca="1">IF(E148&lt;'Invoer gegevens (N)'!$C$17+15,0,IF(E148&gt;'Invoer gegevens (N)'!$C$17+215,0,AW148))</f>
        <v>0</v>
      </c>
      <c r="AY148" s="71">
        <f ca="1">AX148/(1+'Invoer gegevens (N)'!$F$18)^($AZ148-('Invoer gegevens (N)'!$C$17-'Invoer gegevens (N)'!$C$16))/(1+'Invoer gegevens (N)'!$C$39)^('Invoer gegevens (N)'!$C$17-'Invoer gegevens (N)'!$C$16)</f>
        <v>0</v>
      </c>
      <c r="AZ148" s="68">
        <f ca="1">IF(E148-'Invoer gegevens (N)'!$C$17-14.5&lt;0,0,E148-'Invoer gegevens (N)'!$C$17-14.5)</f>
        <v>128.5</v>
      </c>
      <c r="BA148" s="109">
        <f ca="1">IFERROR(VLOOKUP(E148-15,'Reeksen (N)'!$A$5:$D$234,2,FALSE),0)</f>
        <v>0</v>
      </c>
      <c r="BB148" s="109">
        <f ca="1">IFERROR(VLOOKUP(E148-15,'Reeksen (N)'!$A$5:$D$234,3,FALSE),0)</f>
        <v>0</v>
      </c>
      <c r="BC148" s="109">
        <f ca="1">IFERROR(VLOOKUP(E148-15,'Reeksen (N)'!$A$5:$D$234,4,FALSE),0)</f>
        <v>0</v>
      </c>
      <c r="BD148" s="67">
        <f ca="1">IF(E148-'Invoer gegevens (N)'!$C$17&lt;15,0,1)</f>
        <v>1</v>
      </c>
    </row>
    <row r="149" spans="1:56" x14ac:dyDescent="0.25">
      <c r="A149" s="59"/>
      <c r="B149" s="70">
        <f t="shared" si="46"/>
        <v>145</v>
      </c>
      <c r="C149" s="67">
        <f ca="1">IF(E149-'Invoer gegevens (N)'!$C$17&lt;0,0,1)</f>
        <v>1</v>
      </c>
      <c r="D149" s="68">
        <f t="shared" si="47"/>
        <v>144.5</v>
      </c>
      <c r="E149" s="108">
        <f ca="1">IF('Invoer gegevens (N)'!$C$16="","",E148+1)</f>
        <v>2163</v>
      </c>
      <c r="F149" s="84">
        <f ca="1">IF('Invoer gegevens (N)'!$C$17=E149,'Invoer gegevens (N)'!$C$10,IF(C149=1,K148,0))</f>
        <v>0</v>
      </c>
      <c r="G149" s="96">
        <f ca="1">IF(BD149&lt;1,F149*'Reeksen (N)'!C149,IF(C149&gt;=1,F149*BA149,0))</f>
        <v>0</v>
      </c>
      <c r="H149" s="84">
        <f ca="1">(1-('Invoer gegevens (N)'!$F$20/12))*F149*MIN(BA149,BC149)</f>
        <v>0</v>
      </c>
      <c r="I149" s="84">
        <f t="shared" ca="1" si="32"/>
        <v>0</v>
      </c>
      <c r="J149" s="84">
        <f ca="1">('Invoer gegevens (N)'!$F$20/12)*F148*MIN(BA149,BC149)</f>
        <v>0</v>
      </c>
      <c r="K149" s="97">
        <f t="shared" ca="1" si="37"/>
        <v>0</v>
      </c>
      <c r="L149" s="84">
        <f ca="1">IF('Invoer gegevens (N)'!$C$17=E149,0,IF(C149=1,Q148,0))</f>
        <v>0</v>
      </c>
      <c r="M149" s="96">
        <f t="shared" ca="1" si="33"/>
        <v>0</v>
      </c>
      <c r="N149" s="84">
        <f ca="1">(1-('Invoer gegevens (N)'!$F$20/12))*L149*MIN(BA149,BC149)</f>
        <v>0</v>
      </c>
      <c r="O149" s="84">
        <f t="shared" ca="1" si="34"/>
        <v>0</v>
      </c>
      <c r="P149" s="84">
        <f ca="1">('Invoer gegevens (N)'!$F$20/12)*L148*MIN(BA149,BC149)</f>
        <v>0</v>
      </c>
      <c r="Q149" s="84">
        <f t="shared" ca="1" si="38"/>
        <v>0</v>
      </c>
      <c r="R149" s="85">
        <f ca="1">IF('Invoer gegevens (N)'!$C$17=E149,'Invoer gegevens (N)'!$C$11,IF(C149=1,W148,0))</f>
        <v>0</v>
      </c>
      <c r="S149" s="86">
        <f t="shared" ca="1" si="35"/>
        <v>0</v>
      </c>
      <c r="T149" s="86">
        <f ca="1">(1-('Invoer gegevens (N)'!$F$20/12))*R149*MIN(BC149,BA149)</f>
        <v>0</v>
      </c>
      <c r="U149" s="86">
        <f ca="1">IF(BD149&lt;1,IF('Reeksen (N)'!AD149&lt;='Reeksen (N)'!AE149,R149*'Reeksen (N)'!C149,0),IF(BC149&gt;=BA149,0,IF('Reeksen (N)'!AD149&lt;='Reeksen (N)'!AE149,(BA149-BC149)*R149,0)))</f>
        <v>0</v>
      </c>
      <c r="V149" s="86">
        <f ca="1">IF(BD149&lt;1,IF('Reeksen (N)'!AD149&gt;'Reeksen (N)'!AE149,R149*'Reeksen (N)'!C149,0),IF(BC149&gt;=BA149,0,IF('Reeksen (N)'!AD149&gt;'Reeksen (N)'!AE149,(BA149-BC149)*R149,0)))</f>
        <v>0</v>
      </c>
      <c r="W149" s="218">
        <f t="shared" ca="1" si="39"/>
        <v>0</v>
      </c>
      <c r="X149" s="98">
        <f ca="1">IF('Invoer gegevens (N)'!$C$17=E149,'Invoer gegevens (N)'!$C$10-'Invoer gegevens (N)'!$C$11,IF(C149=1,AC148,0))</f>
        <v>0</v>
      </c>
      <c r="Y149" s="98">
        <f t="shared" ca="1" si="36"/>
        <v>0</v>
      </c>
      <c r="Z149" s="98">
        <f ca="1">(1-('Invoer gegevens (N)'!$F$20/12))*X149*MIN(BA149,BC149)</f>
        <v>0</v>
      </c>
      <c r="AA149" s="98">
        <f ca="1">IF(BD149&lt;1,IF('Reeksen (N)'!AD149&lt;='Reeksen (N)'!AE149,X149*'Reeksen (N)'!C149,0),IF(BC149&gt;=BA149,0,IF('Reeksen (N)'!AD149&lt;='Reeksen (N)'!AE149,(BA149-BC149)*X149,0)))</f>
        <v>0</v>
      </c>
      <c r="AB149" s="98">
        <f ca="1">IF(BD149&lt;1,IF('Reeksen (N)'!AD149&gt;'Reeksen (N)'!AE149,X149*'Reeksen (N)'!C149,0),IF(BC149&gt;=BA149,0,IF('Reeksen (N)'!AD149&gt;'Reeksen (N)'!AE149,(BA149-BC149)*X149,0)))</f>
        <v>0</v>
      </c>
      <c r="AC149" s="99">
        <f t="shared" ca="1" si="40"/>
        <v>0</v>
      </c>
      <c r="AD149" s="98">
        <f ca="1">IF('Invoer gegevens (N)'!$C$17=E149,R149,IF(C149=0,0,AE148))</f>
        <v>0</v>
      </c>
      <c r="AE149" s="98">
        <f t="shared" ca="1" si="41"/>
        <v>0</v>
      </c>
      <c r="AF149" s="98">
        <f ca="1">IF('Invoer gegevens (N)'!$C$17=E149,X149,IF(C149=0,0,AG148))</f>
        <v>0</v>
      </c>
      <c r="AG149" s="98">
        <f t="shared" ca="1" si="42"/>
        <v>0</v>
      </c>
      <c r="AH149" s="66"/>
      <c r="AI149" s="71">
        <f ca="1">IF(C149=1,'Reeksen (N)'!AI149*((F149+K149)/2)*12+'Reeksen (N)'!AD149*((L149+Q149)/2)*12,0)</f>
        <v>0</v>
      </c>
      <c r="AJ149" s="71">
        <f ca="1">-AI149*'Invoer gegevens (N)'!$F$28</f>
        <v>0</v>
      </c>
      <c r="AK149" s="71">
        <f t="shared" ca="1" si="43"/>
        <v>0</v>
      </c>
      <c r="AL149" s="71">
        <f ca="1">IF(C149=1,'Reeksen (N)'!AL149*((F149-G149+F149)/2)*12+'Reeksen (N)'!AM149*((L149-M149+L149)/2)*12,0)</f>
        <v>0</v>
      </c>
      <c r="AM149" s="71">
        <f ca="1">-AL149*'Invoer gegevens (N)'!$F$31</f>
        <v>0</v>
      </c>
      <c r="AN149" s="71">
        <f t="shared" ca="1" si="44"/>
        <v>0</v>
      </c>
      <c r="AO149" s="71">
        <f ca="1">IF(C149=1,(H149+J149+N149+P149)*'Reeksen (N)'!AN149,0)</f>
        <v>0</v>
      </c>
      <c r="AP149" s="71">
        <f ca="1">-IF(C149=1,(H149+J149+N149+P149)*'Hulp - basis'!$O$550*'Reeksen (N)'!H149,0)</f>
        <v>0</v>
      </c>
      <c r="AQ149" s="71">
        <f ca="1">-IF(C149=1,(F149+K149+L149+Q149)/2*'Invoer gegevens (N)'!$F$35*'Reeksen (N)'!J149,0)*2</f>
        <v>0</v>
      </c>
      <c r="AR149" s="71">
        <f ca="1">IF(BD149&lt;1,-IF(C149=1,(G149*'Invoer gegevens (N)'!$F$36)*'Reeksen (N)'!J149,0),0)</f>
        <v>0</v>
      </c>
      <c r="AS149" s="71">
        <f ca="1">-IF(C149=1,(F149+K149+L149+Q149)/2*'Invoer gegevens (N)'!$F$37*'Reeksen (N)'!L149,0)</f>
        <v>0</v>
      </c>
      <c r="AT149" s="71">
        <f ca="1">-IF(C149=1,IF(E149='Invoer gegevens (N)'!$C$17,'Invoer gegevens (N)'!$C$11,AD149)*'Reeksen (N)'!S149*'Invoer gegevens (N)'!$C$18*'Reeksen (N)'!P149,0)</f>
        <v>0</v>
      </c>
      <c r="AU149" s="71">
        <f ca="1">-IF(C149=1,(F149+K149+L149+Q149)/2*'Invoer gegevens (N)'!$F$38*'Reeksen (N)'!H149,0)</f>
        <v>0</v>
      </c>
      <c r="AV149" s="71">
        <v>0</v>
      </c>
      <c r="AW149" s="71">
        <f t="shared" ca="1" si="45"/>
        <v>0</v>
      </c>
      <c r="AX149" s="71">
        <f ca="1">IF(E149&lt;'Invoer gegevens (N)'!$C$17+15,0,IF(E149&gt;'Invoer gegevens (N)'!$C$17+215,0,AW149))</f>
        <v>0</v>
      </c>
      <c r="AY149" s="71">
        <f ca="1">AX149/(1+'Invoer gegevens (N)'!$F$18)^($AZ149-('Invoer gegevens (N)'!$C$17-'Invoer gegevens (N)'!$C$16))/(1+'Invoer gegevens (N)'!$C$39)^('Invoer gegevens (N)'!$C$17-'Invoer gegevens (N)'!$C$16)</f>
        <v>0</v>
      </c>
      <c r="AZ149" s="68">
        <f ca="1">IF(E149-'Invoer gegevens (N)'!$C$17-14.5&lt;0,0,E149-'Invoer gegevens (N)'!$C$17-14.5)</f>
        <v>129.5</v>
      </c>
      <c r="BA149" s="109">
        <f ca="1">IFERROR(VLOOKUP(E149-15,'Reeksen (N)'!$A$5:$D$234,2,FALSE),0)</f>
        <v>0</v>
      </c>
      <c r="BB149" s="109">
        <f ca="1">IFERROR(VLOOKUP(E149-15,'Reeksen (N)'!$A$5:$D$234,3,FALSE),0)</f>
        <v>0</v>
      </c>
      <c r="BC149" s="109">
        <f ca="1">IFERROR(VLOOKUP(E149-15,'Reeksen (N)'!$A$5:$D$234,4,FALSE),0)</f>
        <v>0</v>
      </c>
      <c r="BD149" s="67">
        <f ca="1">IF(E149-'Invoer gegevens (N)'!$C$17&lt;15,0,1)</f>
        <v>1</v>
      </c>
    </row>
    <row r="150" spans="1:56" x14ac:dyDescent="0.25">
      <c r="A150" s="59"/>
      <c r="B150" s="70">
        <f t="shared" si="46"/>
        <v>146</v>
      </c>
      <c r="C150" s="67">
        <f ca="1">IF(E150-'Invoer gegevens (N)'!$C$17&lt;0,0,1)</f>
        <v>1</v>
      </c>
      <c r="D150" s="68">
        <f t="shared" si="47"/>
        <v>145.5</v>
      </c>
      <c r="E150" s="108">
        <f ca="1">IF('Invoer gegevens (N)'!$C$16="","",E149+1)</f>
        <v>2164</v>
      </c>
      <c r="F150" s="84">
        <f ca="1">IF('Invoer gegevens (N)'!$C$17=E150,'Invoer gegevens (N)'!$C$10,IF(C150=1,K149,0))</f>
        <v>0</v>
      </c>
      <c r="G150" s="96">
        <f ca="1">IF(BD150&lt;1,F150*'Reeksen (N)'!C150,IF(C150&gt;=1,F150*BA150,0))</f>
        <v>0</v>
      </c>
      <c r="H150" s="84">
        <f ca="1">(1-('Invoer gegevens (N)'!$F$20/12))*F150*MIN(BA150,BC150)</f>
        <v>0</v>
      </c>
      <c r="I150" s="84">
        <f t="shared" ca="1" si="32"/>
        <v>0</v>
      </c>
      <c r="J150" s="84">
        <f ca="1">('Invoer gegevens (N)'!$F$20/12)*F149*MIN(BA150,BC150)</f>
        <v>0</v>
      </c>
      <c r="K150" s="97">
        <f t="shared" ca="1" si="37"/>
        <v>0</v>
      </c>
      <c r="L150" s="84">
        <f ca="1">IF('Invoer gegevens (N)'!$C$17=E150,0,IF(C150=1,Q149,0))</f>
        <v>0</v>
      </c>
      <c r="M150" s="96">
        <f t="shared" ca="1" si="33"/>
        <v>0</v>
      </c>
      <c r="N150" s="84">
        <f ca="1">(1-('Invoer gegevens (N)'!$F$20/12))*L150*MIN(BA150,BC150)</f>
        <v>0</v>
      </c>
      <c r="O150" s="84">
        <f t="shared" ca="1" si="34"/>
        <v>0</v>
      </c>
      <c r="P150" s="84">
        <f ca="1">('Invoer gegevens (N)'!$F$20/12)*L149*MIN(BA150,BC150)</f>
        <v>0</v>
      </c>
      <c r="Q150" s="84">
        <f t="shared" ca="1" si="38"/>
        <v>0</v>
      </c>
      <c r="R150" s="85">
        <f ca="1">IF('Invoer gegevens (N)'!$C$17=E150,'Invoer gegevens (N)'!$C$11,IF(C150=1,W149,0))</f>
        <v>0</v>
      </c>
      <c r="S150" s="86">
        <f t="shared" ca="1" si="35"/>
        <v>0</v>
      </c>
      <c r="T150" s="86">
        <f ca="1">(1-('Invoer gegevens (N)'!$F$20/12))*R150*MIN(BC150,BA150)</f>
        <v>0</v>
      </c>
      <c r="U150" s="86">
        <f ca="1">IF(BD150&lt;1,IF('Reeksen (N)'!AD150&lt;='Reeksen (N)'!AE150,R150*'Reeksen (N)'!C150,0),IF(BC150&gt;=BA150,0,IF('Reeksen (N)'!AD150&lt;='Reeksen (N)'!AE150,(BA150-BC150)*R150,0)))</f>
        <v>0</v>
      </c>
      <c r="V150" s="86">
        <f ca="1">IF(BD150&lt;1,IF('Reeksen (N)'!AD150&gt;'Reeksen (N)'!AE150,R150*'Reeksen (N)'!C150,0),IF(BC150&gt;=BA150,0,IF('Reeksen (N)'!AD150&gt;'Reeksen (N)'!AE150,(BA150-BC150)*R150,0)))</f>
        <v>0</v>
      </c>
      <c r="W150" s="218">
        <f t="shared" ca="1" si="39"/>
        <v>0</v>
      </c>
      <c r="X150" s="98">
        <f ca="1">IF('Invoer gegevens (N)'!$C$17=E150,'Invoer gegevens (N)'!$C$10-'Invoer gegevens (N)'!$C$11,IF(C150=1,AC149,0))</f>
        <v>0</v>
      </c>
      <c r="Y150" s="98">
        <f t="shared" ca="1" si="36"/>
        <v>0</v>
      </c>
      <c r="Z150" s="98">
        <f ca="1">(1-('Invoer gegevens (N)'!$F$20/12))*X150*MIN(BA150,BC150)</f>
        <v>0</v>
      </c>
      <c r="AA150" s="98">
        <f ca="1">IF(BD150&lt;1,IF('Reeksen (N)'!AD150&lt;='Reeksen (N)'!AE150,X150*'Reeksen (N)'!C150,0),IF(BC150&gt;=BA150,0,IF('Reeksen (N)'!AD150&lt;='Reeksen (N)'!AE150,(BA150-BC150)*X150,0)))</f>
        <v>0</v>
      </c>
      <c r="AB150" s="98">
        <f ca="1">IF(BD150&lt;1,IF('Reeksen (N)'!AD150&gt;'Reeksen (N)'!AE150,X150*'Reeksen (N)'!C150,0),IF(BC150&gt;=BA150,0,IF('Reeksen (N)'!AD150&gt;'Reeksen (N)'!AE150,(BA150-BC150)*X150,0)))</f>
        <v>0</v>
      </c>
      <c r="AC150" s="99">
        <f t="shared" ca="1" si="40"/>
        <v>0</v>
      </c>
      <c r="AD150" s="98">
        <f ca="1">IF('Invoer gegevens (N)'!$C$17=E150,R150,IF(C150=0,0,AE149))</f>
        <v>0</v>
      </c>
      <c r="AE150" s="98">
        <f t="shared" ca="1" si="41"/>
        <v>0</v>
      </c>
      <c r="AF150" s="98">
        <f ca="1">IF('Invoer gegevens (N)'!$C$17=E150,X150,IF(C150=0,0,AG149))</f>
        <v>0</v>
      </c>
      <c r="AG150" s="98">
        <f t="shared" ca="1" si="42"/>
        <v>0</v>
      </c>
      <c r="AH150" s="66"/>
      <c r="AI150" s="71">
        <f ca="1">IF(C150=1,'Reeksen (N)'!AI150*((F150+K150)/2)*12+'Reeksen (N)'!AD150*((L150+Q150)/2)*12,0)</f>
        <v>0</v>
      </c>
      <c r="AJ150" s="71">
        <f ca="1">-AI150*'Invoer gegevens (N)'!$F$28</f>
        <v>0</v>
      </c>
      <c r="AK150" s="71">
        <f t="shared" ca="1" si="43"/>
        <v>0</v>
      </c>
      <c r="AL150" s="71">
        <f ca="1">IF(C150=1,'Reeksen (N)'!AL150*((F150-G150+F150)/2)*12+'Reeksen (N)'!AM150*((L150-M150+L150)/2)*12,0)</f>
        <v>0</v>
      </c>
      <c r="AM150" s="71">
        <f ca="1">-AL150*'Invoer gegevens (N)'!$F$31</f>
        <v>0</v>
      </c>
      <c r="AN150" s="71">
        <f t="shared" ca="1" si="44"/>
        <v>0</v>
      </c>
      <c r="AO150" s="71">
        <f ca="1">IF(C150=1,(H150+J150+N150+P150)*'Reeksen (N)'!AN150,0)</f>
        <v>0</v>
      </c>
      <c r="AP150" s="71">
        <f ca="1">-IF(C150=1,(H150+J150+N150+P150)*'Hulp - basis'!$O$550*'Reeksen (N)'!H150,0)</f>
        <v>0</v>
      </c>
      <c r="AQ150" s="71">
        <f ca="1">-IF(C150=1,(F150+K150+L150+Q150)/2*'Invoer gegevens (N)'!$F$35*'Reeksen (N)'!J150,0)*2</f>
        <v>0</v>
      </c>
      <c r="AR150" s="71">
        <f ca="1">IF(BD150&lt;1,-IF(C150=1,(G150*'Invoer gegevens (N)'!$F$36)*'Reeksen (N)'!J150,0),0)</f>
        <v>0</v>
      </c>
      <c r="AS150" s="71">
        <f ca="1">-IF(C150=1,(F150+K150+L150+Q150)/2*'Invoer gegevens (N)'!$F$37*'Reeksen (N)'!L150,0)</f>
        <v>0</v>
      </c>
      <c r="AT150" s="71">
        <f ca="1">-IF(C150=1,IF(E150='Invoer gegevens (N)'!$C$17,'Invoer gegevens (N)'!$C$11,AD150)*'Reeksen (N)'!S150*'Invoer gegevens (N)'!$C$18*'Reeksen (N)'!P150,0)</f>
        <v>0</v>
      </c>
      <c r="AU150" s="71">
        <f ca="1">-IF(C150=1,(F150+K150+L150+Q150)/2*'Invoer gegevens (N)'!$F$38*'Reeksen (N)'!H150,0)</f>
        <v>0</v>
      </c>
      <c r="AV150" s="71">
        <v>0</v>
      </c>
      <c r="AW150" s="71">
        <f t="shared" ca="1" si="45"/>
        <v>0</v>
      </c>
      <c r="AX150" s="71">
        <f ca="1">IF(E150&lt;'Invoer gegevens (N)'!$C$17+15,0,IF(E150&gt;'Invoer gegevens (N)'!$C$17+215,0,AW150))</f>
        <v>0</v>
      </c>
      <c r="AY150" s="71">
        <f ca="1">AX150/(1+'Invoer gegevens (N)'!$F$18)^($AZ150-('Invoer gegevens (N)'!$C$17-'Invoer gegevens (N)'!$C$16))/(1+'Invoer gegevens (N)'!$C$39)^('Invoer gegevens (N)'!$C$17-'Invoer gegevens (N)'!$C$16)</f>
        <v>0</v>
      </c>
      <c r="AZ150" s="68">
        <f ca="1">IF(E150-'Invoer gegevens (N)'!$C$17-14.5&lt;0,0,E150-'Invoer gegevens (N)'!$C$17-14.5)</f>
        <v>130.5</v>
      </c>
      <c r="BA150" s="109">
        <f ca="1">IFERROR(VLOOKUP(E150-15,'Reeksen (N)'!$A$5:$D$234,2,FALSE),0)</f>
        <v>0</v>
      </c>
      <c r="BB150" s="109">
        <f ca="1">IFERROR(VLOOKUP(E150-15,'Reeksen (N)'!$A$5:$D$234,3,FALSE),0)</f>
        <v>0</v>
      </c>
      <c r="BC150" s="109">
        <f ca="1">IFERROR(VLOOKUP(E150-15,'Reeksen (N)'!$A$5:$D$234,4,FALSE),0)</f>
        <v>0</v>
      </c>
      <c r="BD150" s="67">
        <f ca="1">IF(E150-'Invoer gegevens (N)'!$C$17&lt;15,0,1)</f>
        <v>1</v>
      </c>
    </row>
    <row r="151" spans="1:56" x14ac:dyDescent="0.25">
      <c r="A151" s="59"/>
      <c r="B151" s="70">
        <f t="shared" si="46"/>
        <v>147</v>
      </c>
      <c r="C151" s="67">
        <f ca="1">IF(E151-'Invoer gegevens (N)'!$C$17&lt;0,0,1)</f>
        <v>1</v>
      </c>
      <c r="D151" s="68">
        <f t="shared" si="47"/>
        <v>146.5</v>
      </c>
      <c r="E151" s="108">
        <f ca="1">IF('Invoer gegevens (N)'!$C$16="","",E150+1)</f>
        <v>2165</v>
      </c>
      <c r="F151" s="84">
        <f ca="1">IF('Invoer gegevens (N)'!$C$17=E151,'Invoer gegevens (N)'!$C$10,IF(C151=1,K150,0))</f>
        <v>0</v>
      </c>
      <c r="G151" s="96">
        <f ca="1">IF(BD151&lt;1,F151*'Reeksen (N)'!C151,IF(C151&gt;=1,F151*BA151,0))</f>
        <v>0</v>
      </c>
      <c r="H151" s="84">
        <f ca="1">(1-('Invoer gegevens (N)'!$F$20/12))*F151*MIN(BA151,BC151)</f>
        <v>0</v>
      </c>
      <c r="I151" s="84">
        <f t="shared" ca="1" si="32"/>
        <v>0</v>
      </c>
      <c r="J151" s="84">
        <f ca="1">('Invoer gegevens (N)'!$F$20/12)*F150*MIN(BA151,BC151)</f>
        <v>0</v>
      </c>
      <c r="K151" s="97">
        <f t="shared" ca="1" si="37"/>
        <v>0</v>
      </c>
      <c r="L151" s="84">
        <f ca="1">IF('Invoer gegevens (N)'!$C$17=E151,0,IF(C151=1,Q150,0))</f>
        <v>0</v>
      </c>
      <c r="M151" s="96">
        <f t="shared" ca="1" si="33"/>
        <v>0</v>
      </c>
      <c r="N151" s="84">
        <f ca="1">(1-('Invoer gegevens (N)'!$F$20/12))*L151*MIN(BA151,BC151)</f>
        <v>0</v>
      </c>
      <c r="O151" s="84">
        <f t="shared" ca="1" si="34"/>
        <v>0</v>
      </c>
      <c r="P151" s="84">
        <f ca="1">('Invoer gegevens (N)'!$F$20/12)*L150*MIN(BA151,BC151)</f>
        <v>0</v>
      </c>
      <c r="Q151" s="84">
        <f t="shared" ca="1" si="38"/>
        <v>0</v>
      </c>
      <c r="R151" s="85">
        <f ca="1">IF('Invoer gegevens (N)'!$C$17=E151,'Invoer gegevens (N)'!$C$11,IF(C151=1,W150,0))</f>
        <v>0</v>
      </c>
      <c r="S151" s="86">
        <f t="shared" ca="1" si="35"/>
        <v>0</v>
      </c>
      <c r="T151" s="86">
        <f ca="1">(1-('Invoer gegevens (N)'!$F$20/12))*R151*MIN(BC151,BA151)</f>
        <v>0</v>
      </c>
      <c r="U151" s="86">
        <f ca="1">IF(BD151&lt;1,IF('Reeksen (N)'!AD151&lt;='Reeksen (N)'!AE151,R151*'Reeksen (N)'!C151,0),IF(BC151&gt;=BA151,0,IF('Reeksen (N)'!AD151&lt;='Reeksen (N)'!AE151,(BA151-BC151)*R151,0)))</f>
        <v>0</v>
      </c>
      <c r="V151" s="86">
        <f ca="1">IF(BD151&lt;1,IF('Reeksen (N)'!AD151&gt;'Reeksen (N)'!AE151,R151*'Reeksen (N)'!C151,0),IF(BC151&gt;=BA151,0,IF('Reeksen (N)'!AD151&gt;'Reeksen (N)'!AE151,(BA151-BC151)*R151,0)))</f>
        <v>0</v>
      </c>
      <c r="W151" s="218">
        <f t="shared" ca="1" si="39"/>
        <v>0</v>
      </c>
      <c r="X151" s="98">
        <f ca="1">IF('Invoer gegevens (N)'!$C$17=E151,'Invoer gegevens (N)'!$C$10-'Invoer gegevens (N)'!$C$11,IF(C151=1,AC150,0))</f>
        <v>0</v>
      </c>
      <c r="Y151" s="98">
        <f t="shared" ca="1" si="36"/>
        <v>0</v>
      </c>
      <c r="Z151" s="98">
        <f ca="1">(1-('Invoer gegevens (N)'!$F$20/12))*X151*MIN(BA151,BC151)</f>
        <v>0</v>
      </c>
      <c r="AA151" s="98">
        <f ca="1">IF(BD151&lt;1,IF('Reeksen (N)'!AD151&lt;='Reeksen (N)'!AE151,X151*'Reeksen (N)'!C151,0),IF(BC151&gt;=BA151,0,IF('Reeksen (N)'!AD151&lt;='Reeksen (N)'!AE151,(BA151-BC151)*X151,0)))</f>
        <v>0</v>
      </c>
      <c r="AB151" s="98">
        <f ca="1">IF(BD151&lt;1,IF('Reeksen (N)'!AD151&gt;'Reeksen (N)'!AE151,X151*'Reeksen (N)'!C151,0),IF(BC151&gt;=BA151,0,IF('Reeksen (N)'!AD151&gt;'Reeksen (N)'!AE151,(BA151-BC151)*X151,0)))</f>
        <v>0</v>
      </c>
      <c r="AC151" s="99">
        <f t="shared" ca="1" si="40"/>
        <v>0</v>
      </c>
      <c r="AD151" s="98">
        <f ca="1">IF('Invoer gegevens (N)'!$C$17=E151,R151,IF(C151=0,0,AE150))</f>
        <v>0</v>
      </c>
      <c r="AE151" s="98">
        <f t="shared" ca="1" si="41"/>
        <v>0</v>
      </c>
      <c r="AF151" s="98">
        <f ca="1">IF('Invoer gegevens (N)'!$C$17=E151,X151,IF(C151=0,0,AG150))</f>
        <v>0</v>
      </c>
      <c r="AG151" s="98">
        <f t="shared" ca="1" si="42"/>
        <v>0</v>
      </c>
      <c r="AH151" s="66"/>
      <c r="AI151" s="71">
        <f ca="1">IF(C151=1,'Reeksen (N)'!AI151*((F151+K151)/2)*12+'Reeksen (N)'!AD151*((L151+Q151)/2)*12,0)</f>
        <v>0</v>
      </c>
      <c r="AJ151" s="71">
        <f ca="1">-AI151*'Invoer gegevens (N)'!$F$28</f>
        <v>0</v>
      </c>
      <c r="AK151" s="71">
        <f t="shared" ca="1" si="43"/>
        <v>0</v>
      </c>
      <c r="AL151" s="71">
        <f ca="1">IF(C151=1,'Reeksen (N)'!AL151*((F151-G151+F151)/2)*12+'Reeksen (N)'!AM151*((L151-M151+L151)/2)*12,0)</f>
        <v>0</v>
      </c>
      <c r="AM151" s="71">
        <f ca="1">-AL151*'Invoer gegevens (N)'!$F$31</f>
        <v>0</v>
      </c>
      <c r="AN151" s="71">
        <f t="shared" ca="1" si="44"/>
        <v>0</v>
      </c>
      <c r="AO151" s="71">
        <f ca="1">IF(C151=1,(H151+J151+N151+P151)*'Reeksen (N)'!AN151,0)</f>
        <v>0</v>
      </c>
      <c r="AP151" s="71">
        <f ca="1">-IF(C151=1,(H151+J151+N151+P151)*'Hulp - basis'!$O$550*'Reeksen (N)'!H151,0)</f>
        <v>0</v>
      </c>
      <c r="AQ151" s="71">
        <f ca="1">-IF(C151=1,(F151+K151+L151+Q151)/2*'Invoer gegevens (N)'!$F$35*'Reeksen (N)'!J151,0)*2</f>
        <v>0</v>
      </c>
      <c r="AR151" s="71">
        <f ca="1">IF(BD151&lt;1,-IF(C151=1,(G151*'Invoer gegevens (N)'!$F$36)*'Reeksen (N)'!J151,0),0)</f>
        <v>0</v>
      </c>
      <c r="AS151" s="71">
        <f ca="1">-IF(C151=1,(F151+K151+L151+Q151)/2*'Invoer gegevens (N)'!$F$37*'Reeksen (N)'!L151,0)</f>
        <v>0</v>
      </c>
      <c r="AT151" s="71">
        <f ca="1">-IF(C151=1,IF(E151='Invoer gegevens (N)'!$C$17,'Invoer gegevens (N)'!$C$11,AD151)*'Reeksen (N)'!S151*'Invoer gegevens (N)'!$C$18*'Reeksen (N)'!P151,0)</f>
        <v>0</v>
      </c>
      <c r="AU151" s="71">
        <f ca="1">-IF(C151=1,(F151+K151+L151+Q151)/2*'Invoer gegevens (N)'!$F$38*'Reeksen (N)'!H151,0)</f>
        <v>0</v>
      </c>
      <c r="AV151" s="71">
        <v>0</v>
      </c>
      <c r="AW151" s="71">
        <f t="shared" ca="1" si="45"/>
        <v>0</v>
      </c>
      <c r="AX151" s="71">
        <f ca="1">IF(E151&lt;'Invoer gegevens (N)'!$C$17+15,0,IF(E151&gt;'Invoer gegevens (N)'!$C$17+215,0,AW151))</f>
        <v>0</v>
      </c>
      <c r="AY151" s="71">
        <f ca="1">AX151/(1+'Invoer gegevens (N)'!$F$18)^($AZ151-('Invoer gegevens (N)'!$C$17-'Invoer gegevens (N)'!$C$16))/(1+'Invoer gegevens (N)'!$C$39)^('Invoer gegevens (N)'!$C$17-'Invoer gegevens (N)'!$C$16)</f>
        <v>0</v>
      </c>
      <c r="AZ151" s="68">
        <f ca="1">IF(E151-'Invoer gegevens (N)'!$C$17-14.5&lt;0,0,E151-'Invoer gegevens (N)'!$C$17-14.5)</f>
        <v>131.5</v>
      </c>
      <c r="BA151" s="109">
        <f ca="1">IFERROR(VLOOKUP(E151-15,'Reeksen (N)'!$A$5:$D$234,2,FALSE),0)</f>
        <v>0</v>
      </c>
      <c r="BB151" s="109">
        <f ca="1">IFERROR(VLOOKUP(E151-15,'Reeksen (N)'!$A$5:$D$234,3,FALSE),0)</f>
        <v>0</v>
      </c>
      <c r="BC151" s="109">
        <f ca="1">IFERROR(VLOOKUP(E151-15,'Reeksen (N)'!$A$5:$D$234,4,FALSE),0)</f>
        <v>0</v>
      </c>
      <c r="BD151" s="67">
        <f ca="1">IF(E151-'Invoer gegevens (N)'!$C$17&lt;15,0,1)</f>
        <v>1</v>
      </c>
    </row>
    <row r="152" spans="1:56" x14ac:dyDescent="0.25">
      <c r="A152" s="59"/>
      <c r="B152" s="70">
        <f t="shared" si="46"/>
        <v>148</v>
      </c>
      <c r="C152" s="67">
        <f ca="1">IF(E152-'Invoer gegevens (N)'!$C$17&lt;0,0,1)</f>
        <v>1</v>
      </c>
      <c r="D152" s="68">
        <f t="shared" si="47"/>
        <v>147.5</v>
      </c>
      <c r="E152" s="108">
        <f ca="1">IF('Invoer gegevens (N)'!$C$16="","",E151+1)</f>
        <v>2166</v>
      </c>
      <c r="F152" s="84">
        <f ca="1">IF('Invoer gegevens (N)'!$C$17=E152,'Invoer gegevens (N)'!$C$10,IF(C152=1,K151,0))</f>
        <v>0</v>
      </c>
      <c r="G152" s="96">
        <f ca="1">IF(BD152&lt;1,F152*'Reeksen (N)'!C152,IF(C152&gt;=1,F152*BA152,0))</f>
        <v>0</v>
      </c>
      <c r="H152" s="84">
        <f ca="1">(1-('Invoer gegevens (N)'!$F$20/12))*F152*MIN(BA152,BC152)</f>
        <v>0</v>
      </c>
      <c r="I152" s="84">
        <f t="shared" ca="1" si="32"/>
        <v>0</v>
      </c>
      <c r="J152" s="84">
        <f ca="1">('Invoer gegevens (N)'!$F$20/12)*F151*MIN(BA152,BC152)</f>
        <v>0</v>
      </c>
      <c r="K152" s="97">
        <f t="shared" ca="1" si="37"/>
        <v>0</v>
      </c>
      <c r="L152" s="84">
        <f ca="1">IF('Invoer gegevens (N)'!$C$17=E152,0,IF(C152=1,Q151,0))</f>
        <v>0</v>
      </c>
      <c r="M152" s="96">
        <f t="shared" ca="1" si="33"/>
        <v>0</v>
      </c>
      <c r="N152" s="84">
        <f ca="1">(1-('Invoer gegevens (N)'!$F$20/12))*L152*MIN(BA152,BC152)</f>
        <v>0</v>
      </c>
      <c r="O152" s="84">
        <f t="shared" ca="1" si="34"/>
        <v>0</v>
      </c>
      <c r="P152" s="84">
        <f ca="1">('Invoer gegevens (N)'!$F$20/12)*L151*MIN(BA152,BC152)</f>
        <v>0</v>
      </c>
      <c r="Q152" s="84">
        <f t="shared" ca="1" si="38"/>
        <v>0</v>
      </c>
      <c r="R152" s="85">
        <f ca="1">IF('Invoer gegevens (N)'!$C$17=E152,'Invoer gegevens (N)'!$C$11,IF(C152=1,W151,0))</f>
        <v>0</v>
      </c>
      <c r="S152" s="86">
        <f t="shared" ca="1" si="35"/>
        <v>0</v>
      </c>
      <c r="T152" s="86">
        <f ca="1">(1-('Invoer gegevens (N)'!$F$20/12))*R152*MIN(BC152,BA152)</f>
        <v>0</v>
      </c>
      <c r="U152" s="86">
        <f ca="1">IF(BD152&lt;1,IF('Reeksen (N)'!AD152&lt;='Reeksen (N)'!AE152,R152*'Reeksen (N)'!C152,0),IF(BC152&gt;=BA152,0,IF('Reeksen (N)'!AD152&lt;='Reeksen (N)'!AE152,(BA152-BC152)*R152,0)))</f>
        <v>0</v>
      </c>
      <c r="V152" s="86">
        <f ca="1">IF(BD152&lt;1,IF('Reeksen (N)'!AD152&gt;'Reeksen (N)'!AE152,R152*'Reeksen (N)'!C152,0),IF(BC152&gt;=BA152,0,IF('Reeksen (N)'!AD152&gt;'Reeksen (N)'!AE152,(BA152-BC152)*R152,0)))</f>
        <v>0</v>
      </c>
      <c r="W152" s="218">
        <f t="shared" ca="1" si="39"/>
        <v>0</v>
      </c>
      <c r="X152" s="98">
        <f ca="1">IF('Invoer gegevens (N)'!$C$17=E152,'Invoer gegevens (N)'!$C$10-'Invoer gegevens (N)'!$C$11,IF(C152=1,AC151,0))</f>
        <v>0</v>
      </c>
      <c r="Y152" s="98">
        <f t="shared" ca="1" si="36"/>
        <v>0</v>
      </c>
      <c r="Z152" s="98">
        <f ca="1">(1-('Invoer gegevens (N)'!$F$20/12))*X152*MIN(BA152,BC152)</f>
        <v>0</v>
      </c>
      <c r="AA152" s="98">
        <f ca="1">IF(BD152&lt;1,IF('Reeksen (N)'!AD152&lt;='Reeksen (N)'!AE152,X152*'Reeksen (N)'!C152,0),IF(BC152&gt;=BA152,0,IF('Reeksen (N)'!AD152&lt;='Reeksen (N)'!AE152,(BA152-BC152)*X152,0)))</f>
        <v>0</v>
      </c>
      <c r="AB152" s="98">
        <f ca="1">IF(BD152&lt;1,IF('Reeksen (N)'!AD152&gt;'Reeksen (N)'!AE152,X152*'Reeksen (N)'!C152,0),IF(BC152&gt;=BA152,0,IF('Reeksen (N)'!AD152&gt;'Reeksen (N)'!AE152,(BA152-BC152)*X152,0)))</f>
        <v>0</v>
      </c>
      <c r="AC152" s="99">
        <f t="shared" ca="1" si="40"/>
        <v>0</v>
      </c>
      <c r="AD152" s="98">
        <f ca="1">IF('Invoer gegevens (N)'!$C$17=E152,R152,IF(C152=0,0,AE151))</f>
        <v>0</v>
      </c>
      <c r="AE152" s="98">
        <f t="shared" ca="1" si="41"/>
        <v>0</v>
      </c>
      <c r="AF152" s="98">
        <f ca="1">IF('Invoer gegevens (N)'!$C$17=E152,X152,IF(C152=0,0,AG151))</f>
        <v>0</v>
      </c>
      <c r="AG152" s="98">
        <f t="shared" ca="1" si="42"/>
        <v>0</v>
      </c>
      <c r="AH152" s="66"/>
      <c r="AI152" s="71">
        <f ca="1">IF(C152=1,'Reeksen (N)'!AI152*((F152+K152)/2)*12+'Reeksen (N)'!AD152*((L152+Q152)/2)*12,0)</f>
        <v>0</v>
      </c>
      <c r="AJ152" s="71">
        <f ca="1">-AI152*'Invoer gegevens (N)'!$F$28</f>
        <v>0</v>
      </c>
      <c r="AK152" s="71">
        <f t="shared" ca="1" si="43"/>
        <v>0</v>
      </c>
      <c r="AL152" s="71">
        <f ca="1">IF(C152=1,'Reeksen (N)'!AL152*((F152-G152+F152)/2)*12+'Reeksen (N)'!AM152*((L152-M152+L152)/2)*12,0)</f>
        <v>0</v>
      </c>
      <c r="AM152" s="71">
        <f ca="1">-AL152*'Invoer gegevens (N)'!$F$31</f>
        <v>0</v>
      </c>
      <c r="AN152" s="71">
        <f t="shared" ca="1" si="44"/>
        <v>0</v>
      </c>
      <c r="AO152" s="71">
        <f ca="1">IF(C152=1,(H152+J152+N152+P152)*'Reeksen (N)'!AN152,0)</f>
        <v>0</v>
      </c>
      <c r="AP152" s="71">
        <f ca="1">-IF(C152=1,(H152+J152+N152+P152)*'Hulp - basis'!$O$550*'Reeksen (N)'!H152,0)</f>
        <v>0</v>
      </c>
      <c r="AQ152" s="71">
        <f ca="1">-IF(C152=1,(F152+K152+L152+Q152)/2*'Invoer gegevens (N)'!$F$35*'Reeksen (N)'!J152,0)*2</f>
        <v>0</v>
      </c>
      <c r="AR152" s="71">
        <f ca="1">IF(BD152&lt;1,-IF(C152=1,(G152*'Invoer gegevens (N)'!$F$36)*'Reeksen (N)'!J152,0),0)</f>
        <v>0</v>
      </c>
      <c r="AS152" s="71">
        <f ca="1">-IF(C152=1,(F152+K152+L152+Q152)/2*'Invoer gegevens (N)'!$F$37*'Reeksen (N)'!L152,0)</f>
        <v>0</v>
      </c>
      <c r="AT152" s="71">
        <f ca="1">-IF(C152=1,IF(E152='Invoer gegevens (N)'!$C$17,'Invoer gegevens (N)'!$C$11,AD152)*'Reeksen (N)'!S152*'Invoer gegevens (N)'!$C$18*'Reeksen (N)'!P152,0)</f>
        <v>0</v>
      </c>
      <c r="AU152" s="71">
        <f ca="1">-IF(C152=1,(F152+K152+L152+Q152)/2*'Invoer gegevens (N)'!$F$38*'Reeksen (N)'!H152,0)</f>
        <v>0</v>
      </c>
      <c r="AV152" s="71">
        <v>0</v>
      </c>
      <c r="AW152" s="71">
        <f t="shared" ca="1" si="45"/>
        <v>0</v>
      </c>
      <c r="AX152" s="71">
        <f ca="1">IF(E152&lt;'Invoer gegevens (N)'!$C$17+15,0,IF(E152&gt;'Invoer gegevens (N)'!$C$17+215,0,AW152))</f>
        <v>0</v>
      </c>
      <c r="AY152" s="71">
        <f ca="1">AX152/(1+'Invoer gegevens (N)'!$F$18)^($AZ152-('Invoer gegevens (N)'!$C$17-'Invoer gegevens (N)'!$C$16))/(1+'Invoer gegevens (N)'!$C$39)^('Invoer gegevens (N)'!$C$17-'Invoer gegevens (N)'!$C$16)</f>
        <v>0</v>
      </c>
      <c r="AZ152" s="68">
        <f ca="1">IF(E152-'Invoer gegevens (N)'!$C$17-14.5&lt;0,0,E152-'Invoer gegevens (N)'!$C$17-14.5)</f>
        <v>132.5</v>
      </c>
      <c r="BA152" s="109">
        <f ca="1">IFERROR(VLOOKUP(E152-15,'Reeksen (N)'!$A$5:$D$234,2,FALSE),0)</f>
        <v>0</v>
      </c>
      <c r="BB152" s="109">
        <f ca="1">IFERROR(VLOOKUP(E152-15,'Reeksen (N)'!$A$5:$D$234,3,FALSE),0)</f>
        <v>0</v>
      </c>
      <c r="BC152" s="109">
        <f ca="1">IFERROR(VLOOKUP(E152-15,'Reeksen (N)'!$A$5:$D$234,4,FALSE),0)</f>
        <v>0</v>
      </c>
      <c r="BD152" s="67">
        <f ca="1">IF(E152-'Invoer gegevens (N)'!$C$17&lt;15,0,1)</f>
        <v>1</v>
      </c>
    </row>
    <row r="153" spans="1:56" x14ac:dyDescent="0.25">
      <c r="A153" s="59"/>
      <c r="B153" s="70">
        <f t="shared" si="46"/>
        <v>149</v>
      </c>
      <c r="C153" s="67">
        <f ca="1">IF(E153-'Invoer gegevens (N)'!$C$17&lt;0,0,1)</f>
        <v>1</v>
      </c>
      <c r="D153" s="68">
        <f t="shared" si="47"/>
        <v>148.5</v>
      </c>
      <c r="E153" s="108">
        <f ca="1">IF('Invoer gegevens (N)'!$C$16="","",E152+1)</f>
        <v>2167</v>
      </c>
      <c r="F153" s="84">
        <f ca="1">IF('Invoer gegevens (N)'!$C$17=E153,'Invoer gegevens (N)'!$C$10,IF(C153=1,K152,0))</f>
        <v>0</v>
      </c>
      <c r="G153" s="96">
        <f ca="1">IF(BD153&lt;1,F153*'Reeksen (N)'!C153,IF(C153&gt;=1,F153*BA153,0))</f>
        <v>0</v>
      </c>
      <c r="H153" s="84">
        <f ca="1">(1-('Invoer gegevens (N)'!$F$20/12))*F153*MIN(BA153,BC153)</f>
        <v>0</v>
      </c>
      <c r="I153" s="84">
        <f t="shared" ca="1" si="32"/>
        <v>0</v>
      </c>
      <c r="J153" s="84">
        <f ca="1">('Invoer gegevens (N)'!$F$20/12)*F152*MIN(BA153,BC153)</f>
        <v>0</v>
      </c>
      <c r="K153" s="97">
        <f t="shared" ca="1" si="37"/>
        <v>0</v>
      </c>
      <c r="L153" s="84">
        <f ca="1">IF('Invoer gegevens (N)'!$C$17=E153,0,IF(C153=1,Q152,0))</f>
        <v>0</v>
      </c>
      <c r="M153" s="96">
        <f t="shared" ca="1" si="33"/>
        <v>0</v>
      </c>
      <c r="N153" s="84">
        <f ca="1">(1-('Invoer gegevens (N)'!$F$20/12))*L153*MIN(BA153,BC153)</f>
        <v>0</v>
      </c>
      <c r="O153" s="84">
        <f t="shared" ca="1" si="34"/>
        <v>0</v>
      </c>
      <c r="P153" s="84">
        <f ca="1">('Invoer gegevens (N)'!$F$20/12)*L152*MIN(BA153,BC153)</f>
        <v>0</v>
      </c>
      <c r="Q153" s="84">
        <f t="shared" ca="1" si="38"/>
        <v>0</v>
      </c>
      <c r="R153" s="85">
        <f ca="1">IF('Invoer gegevens (N)'!$C$17=E153,'Invoer gegevens (N)'!$C$11,IF(C153=1,W152,0))</f>
        <v>0</v>
      </c>
      <c r="S153" s="86">
        <f t="shared" ca="1" si="35"/>
        <v>0</v>
      </c>
      <c r="T153" s="86">
        <f ca="1">(1-('Invoer gegevens (N)'!$F$20/12))*R153*MIN(BC153,BA153)</f>
        <v>0</v>
      </c>
      <c r="U153" s="86">
        <f ca="1">IF(BD153&lt;1,IF('Reeksen (N)'!AD153&lt;='Reeksen (N)'!AE153,R153*'Reeksen (N)'!C153,0),IF(BC153&gt;=BA153,0,IF('Reeksen (N)'!AD153&lt;='Reeksen (N)'!AE153,(BA153-BC153)*R153,0)))</f>
        <v>0</v>
      </c>
      <c r="V153" s="86">
        <f ca="1">IF(BD153&lt;1,IF('Reeksen (N)'!AD153&gt;'Reeksen (N)'!AE153,R153*'Reeksen (N)'!C153,0),IF(BC153&gt;=BA153,0,IF('Reeksen (N)'!AD153&gt;'Reeksen (N)'!AE153,(BA153-BC153)*R153,0)))</f>
        <v>0</v>
      </c>
      <c r="W153" s="218">
        <f t="shared" ca="1" si="39"/>
        <v>0</v>
      </c>
      <c r="X153" s="98">
        <f ca="1">IF('Invoer gegevens (N)'!$C$17=E153,'Invoer gegevens (N)'!$C$10-'Invoer gegevens (N)'!$C$11,IF(C153=1,AC152,0))</f>
        <v>0</v>
      </c>
      <c r="Y153" s="98">
        <f t="shared" ca="1" si="36"/>
        <v>0</v>
      </c>
      <c r="Z153" s="98">
        <f ca="1">(1-('Invoer gegevens (N)'!$F$20/12))*X153*MIN(BA153,BC153)</f>
        <v>0</v>
      </c>
      <c r="AA153" s="98">
        <f ca="1">IF(BD153&lt;1,IF('Reeksen (N)'!AD153&lt;='Reeksen (N)'!AE153,X153*'Reeksen (N)'!C153,0),IF(BC153&gt;=BA153,0,IF('Reeksen (N)'!AD153&lt;='Reeksen (N)'!AE153,(BA153-BC153)*X153,0)))</f>
        <v>0</v>
      </c>
      <c r="AB153" s="98">
        <f ca="1">IF(BD153&lt;1,IF('Reeksen (N)'!AD153&gt;'Reeksen (N)'!AE153,X153*'Reeksen (N)'!C153,0),IF(BC153&gt;=BA153,0,IF('Reeksen (N)'!AD153&gt;'Reeksen (N)'!AE153,(BA153-BC153)*X153,0)))</f>
        <v>0</v>
      </c>
      <c r="AC153" s="99">
        <f t="shared" ca="1" si="40"/>
        <v>0</v>
      </c>
      <c r="AD153" s="98">
        <f ca="1">IF('Invoer gegevens (N)'!$C$17=E153,R153,IF(C153=0,0,AE152))</f>
        <v>0</v>
      </c>
      <c r="AE153" s="98">
        <f t="shared" ca="1" si="41"/>
        <v>0</v>
      </c>
      <c r="AF153" s="98">
        <f ca="1">IF('Invoer gegevens (N)'!$C$17=E153,X153,IF(C153=0,0,AG152))</f>
        <v>0</v>
      </c>
      <c r="AG153" s="98">
        <f t="shared" ca="1" si="42"/>
        <v>0</v>
      </c>
      <c r="AH153" s="66"/>
      <c r="AI153" s="71">
        <f ca="1">IF(C153=1,'Reeksen (N)'!AI153*((F153+K153)/2)*12+'Reeksen (N)'!AD153*((L153+Q153)/2)*12,0)</f>
        <v>0</v>
      </c>
      <c r="AJ153" s="71">
        <f ca="1">-AI153*'Invoer gegevens (N)'!$F$28</f>
        <v>0</v>
      </c>
      <c r="AK153" s="71">
        <f t="shared" ca="1" si="43"/>
        <v>0</v>
      </c>
      <c r="AL153" s="71">
        <f ca="1">IF(C153=1,'Reeksen (N)'!AL153*((F153-G153+F153)/2)*12+'Reeksen (N)'!AM153*((L153-M153+L153)/2)*12,0)</f>
        <v>0</v>
      </c>
      <c r="AM153" s="71">
        <f ca="1">-AL153*'Invoer gegevens (N)'!$F$31</f>
        <v>0</v>
      </c>
      <c r="AN153" s="71">
        <f t="shared" ca="1" si="44"/>
        <v>0</v>
      </c>
      <c r="AO153" s="71">
        <f ca="1">IF(C153=1,(H153+J153+N153+P153)*'Reeksen (N)'!AN153,0)</f>
        <v>0</v>
      </c>
      <c r="AP153" s="71">
        <f ca="1">-IF(C153=1,(H153+J153+N153+P153)*'Hulp - basis'!$O$550*'Reeksen (N)'!H153,0)</f>
        <v>0</v>
      </c>
      <c r="AQ153" s="71">
        <f ca="1">-IF(C153=1,(F153+K153+L153+Q153)/2*'Invoer gegevens (N)'!$F$35*'Reeksen (N)'!J153,0)*2</f>
        <v>0</v>
      </c>
      <c r="AR153" s="71">
        <f ca="1">IF(BD153&lt;1,-IF(C153=1,(G153*'Invoer gegevens (N)'!$F$36)*'Reeksen (N)'!J153,0),0)</f>
        <v>0</v>
      </c>
      <c r="AS153" s="71">
        <f ca="1">-IF(C153=1,(F153+K153+L153+Q153)/2*'Invoer gegevens (N)'!$F$37*'Reeksen (N)'!L153,0)</f>
        <v>0</v>
      </c>
      <c r="AT153" s="71">
        <f ca="1">-IF(C153=1,IF(E153='Invoer gegevens (N)'!$C$17,'Invoer gegevens (N)'!$C$11,AD153)*'Reeksen (N)'!S153*'Invoer gegevens (N)'!$C$18*'Reeksen (N)'!P153,0)</f>
        <v>0</v>
      </c>
      <c r="AU153" s="71">
        <f ca="1">-IF(C153=1,(F153+K153+L153+Q153)/2*'Invoer gegevens (N)'!$F$38*'Reeksen (N)'!H153,0)</f>
        <v>0</v>
      </c>
      <c r="AV153" s="71">
        <v>0</v>
      </c>
      <c r="AW153" s="71">
        <f t="shared" ca="1" si="45"/>
        <v>0</v>
      </c>
      <c r="AX153" s="71">
        <f ca="1">IF(E153&lt;'Invoer gegevens (N)'!$C$17+15,0,IF(E153&gt;'Invoer gegevens (N)'!$C$17+215,0,AW153))</f>
        <v>0</v>
      </c>
      <c r="AY153" s="71">
        <f ca="1">AX153/(1+'Invoer gegevens (N)'!$F$18)^($AZ153-('Invoer gegevens (N)'!$C$17-'Invoer gegevens (N)'!$C$16))/(1+'Invoer gegevens (N)'!$C$39)^('Invoer gegevens (N)'!$C$17-'Invoer gegevens (N)'!$C$16)</f>
        <v>0</v>
      </c>
      <c r="AZ153" s="68">
        <f ca="1">IF(E153-'Invoer gegevens (N)'!$C$17-14.5&lt;0,0,E153-'Invoer gegevens (N)'!$C$17-14.5)</f>
        <v>133.5</v>
      </c>
      <c r="BA153" s="109">
        <f ca="1">IFERROR(VLOOKUP(E153-15,'Reeksen (N)'!$A$5:$D$234,2,FALSE),0)</f>
        <v>0</v>
      </c>
      <c r="BB153" s="109">
        <f ca="1">IFERROR(VLOOKUP(E153-15,'Reeksen (N)'!$A$5:$D$234,3,FALSE),0)</f>
        <v>0</v>
      </c>
      <c r="BC153" s="109">
        <f ca="1">IFERROR(VLOOKUP(E153-15,'Reeksen (N)'!$A$5:$D$234,4,FALSE),0)</f>
        <v>0</v>
      </c>
      <c r="BD153" s="67">
        <f ca="1">IF(E153-'Invoer gegevens (N)'!$C$17&lt;15,0,1)</f>
        <v>1</v>
      </c>
    </row>
    <row r="154" spans="1:56" x14ac:dyDescent="0.25">
      <c r="A154" s="59"/>
      <c r="B154" s="70">
        <f t="shared" si="46"/>
        <v>150</v>
      </c>
      <c r="C154" s="67">
        <f ca="1">IF(E154-'Invoer gegevens (N)'!$C$17&lt;0,0,1)</f>
        <v>1</v>
      </c>
      <c r="D154" s="68">
        <f t="shared" si="47"/>
        <v>149.5</v>
      </c>
      <c r="E154" s="108">
        <f ca="1">IF('Invoer gegevens (N)'!$C$16="","",E153+1)</f>
        <v>2168</v>
      </c>
      <c r="F154" s="84">
        <f ca="1">IF('Invoer gegevens (N)'!$C$17=E154,'Invoer gegevens (N)'!$C$10,IF(C154=1,K153,0))</f>
        <v>0</v>
      </c>
      <c r="G154" s="96">
        <f ca="1">IF(BD154&lt;1,F154*'Reeksen (N)'!C154,IF(C154&gt;=1,F154*BA154,0))</f>
        <v>0</v>
      </c>
      <c r="H154" s="84">
        <f ca="1">(1-('Invoer gegevens (N)'!$F$20/12))*F154*MIN(BA154,BC154)</f>
        <v>0</v>
      </c>
      <c r="I154" s="84">
        <f t="shared" ca="1" si="32"/>
        <v>0</v>
      </c>
      <c r="J154" s="84">
        <f ca="1">('Invoer gegevens (N)'!$F$20/12)*F153*MIN(BA154,BC154)</f>
        <v>0</v>
      </c>
      <c r="K154" s="97">
        <f t="shared" ca="1" si="37"/>
        <v>0</v>
      </c>
      <c r="L154" s="84">
        <f ca="1">IF('Invoer gegevens (N)'!$C$17=E154,0,IF(C154=1,Q153,0))</f>
        <v>0</v>
      </c>
      <c r="M154" s="96">
        <f t="shared" ca="1" si="33"/>
        <v>0</v>
      </c>
      <c r="N154" s="84">
        <f ca="1">(1-('Invoer gegevens (N)'!$F$20/12))*L154*MIN(BA154,BC154)</f>
        <v>0</v>
      </c>
      <c r="O154" s="84">
        <f t="shared" ca="1" si="34"/>
        <v>0</v>
      </c>
      <c r="P154" s="84">
        <f ca="1">('Invoer gegevens (N)'!$F$20/12)*L153*MIN(BA154,BC154)</f>
        <v>0</v>
      </c>
      <c r="Q154" s="84">
        <f t="shared" ca="1" si="38"/>
        <v>0</v>
      </c>
      <c r="R154" s="85">
        <f ca="1">IF('Invoer gegevens (N)'!$C$17=E154,'Invoer gegevens (N)'!$C$11,IF(C154=1,W153,0))</f>
        <v>0</v>
      </c>
      <c r="S154" s="86">
        <f t="shared" ca="1" si="35"/>
        <v>0</v>
      </c>
      <c r="T154" s="86">
        <f ca="1">(1-('Invoer gegevens (N)'!$F$20/12))*R154*MIN(BC154,BA154)</f>
        <v>0</v>
      </c>
      <c r="U154" s="86">
        <f ca="1">IF(BD154&lt;1,IF('Reeksen (N)'!AD154&lt;='Reeksen (N)'!AE154,R154*'Reeksen (N)'!C154,0),IF(BC154&gt;=BA154,0,IF('Reeksen (N)'!AD154&lt;='Reeksen (N)'!AE154,(BA154-BC154)*R154,0)))</f>
        <v>0</v>
      </c>
      <c r="V154" s="86">
        <f ca="1">IF(BD154&lt;1,IF('Reeksen (N)'!AD154&gt;'Reeksen (N)'!AE154,R154*'Reeksen (N)'!C154,0),IF(BC154&gt;=BA154,0,IF('Reeksen (N)'!AD154&gt;'Reeksen (N)'!AE154,(BA154-BC154)*R154,0)))</f>
        <v>0</v>
      </c>
      <c r="W154" s="218">
        <f t="shared" ca="1" si="39"/>
        <v>0</v>
      </c>
      <c r="X154" s="98">
        <f ca="1">IF('Invoer gegevens (N)'!$C$17=E154,'Invoer gegevens (N)'!$C$10-'Invoer gegevens (N)'!$C$11,IF(C154=1,AC153,0))</f>
        <v>0</v>
      </c>
      <c r="Y154" s="98">
        <f t="shared" ca="1" si="36"/>
        <v>0</v>
      </c>
      <c r="Z154" s="98">
        <f ca="1">(1-('Invoer gegevens (N)'!$F$20/12))*X154*MIN(BA154,BC154)</f>
        <v>0</v>
      </c>
      <c r="AA154" s="98">
        <f ca="1">IF(BD154&lt;1,IF('Reeksen (N)'!AD154&lt;='Reeksen (N)'!AE154,X154*'Reeksen (N)'!C154,0),IF(BC154&gt;=BA154,0,IF('Reeksen (N)'!AD154&lt;='Reeksen (N)'!AE154,(BA154-BC154)*X154,0)))</f>
        <v>0</v>
      </c>
      <c r="AB154" s="98">
        <f ca="1">IF(BD154&lt;1,IF('Reeksen (N)'!AD154&gt;'Reeksen (N)'!AE154,X154*'Reeksen (N)'!C154,0),IF(BC154&gt;=BA154,0,IF('Reeksen (N)'!AD154&gt;'Reeksen (N)'!AE154,(BA154-BC154)*X154,0)))</f>
        <v>0</v>
      </c>
      <c r="AC154" s="99">
        <f t="shared" ca="1" si="40"/>
        <v>0</v>
      </c>
      <c r="AD154" s="98">
        <f ca="1">IF('Invoer gegevens (N)'!$C$17=E154,R154,IF(C154=0,0,AE153))</f>
        <v>0</v>
      </c>
      <c r="AE154" s="98">
        <f t="shared" ca="1" si="41"/>
        <v>0</v>
      </c>
      <c r="AF154" s="98">
        <f ca="1">IF('Invoer gegevens (N)'!$C$17=E154,X154,IF(C154=0,0,AG153))</f>
        <v>0</v>
      </c>
      <c r="AG154" s="98">
        <f t="shared" ca="1" si="42"/>
        <v>0</v>
      </c>
      <c r="AH154" s="66"/>
      <c r="AI154" s="71">
        <f ca="1">IF(C154=1,'Reeksen (N)'!AI154*((F154+K154)/2)*12+'Reeksen (N)'!AD154*((L154+Q154)/2)*12,0)</f>
        <v>0</v>
      </c>
      <c r="AJ154" s="71">
        <f ca="1">-AI154*'Invoer gegevens (N)'!$F$28</f>
        <v>0</v>
      </c>
      <c r="AK154" s="71">
        <f t="shared" ca="1" si="43"/>
        <v>0</v>
      </c>
      <c r="AL154" s="71">
        <f ca="1">IF(C154=1,'Reeksen (N)'!AL154*((F154-G154+F154)/2)*12+'Reeksen (N)'!AM154*((L154-M154+L154)/2)*12,0)</f>
        <v>0</v>
      </c>
      <c r="AM154" s="71">
        <f ca="1">-AL154*'Invoer gegevens (N)'!$F$31</f>
        <v>0</v>
      </c>
      <c r="AN154" s="71">
        <f t="shared" ca="1" si="44"/>
        <v>0</v>
      </c>
      <c r="AO154" s="71">
        <f ca="1">IF(C154=1,(H154+J154+N154+P154)*'Reeksen (N)'!AN154,0)</f>
        <v>0</v>
      </c>
      <c r="AP154" s="71">
        <f ca="1">-IF(C154=1,(H154+J154+N154+P154)*'Hulp - basis'!$O$550*'Reeksen (N)'!H154,0)</f>
        <v>0</v>
      </c>
      <c r="AQ154" s="71">
        <f ca="1">-IF(C154=1,(F154+K154+L154+Q154)/2*'Invoer gegevens (N)'!$F$35*'Reeksen (N)'!J154,0)*2</f>
        <v>0</v>
      </c>
      <c r="AR154" s="71">
        <f ca="1">IF(BD154&lt;1,-IF(C154=1,(G154*'Invoer gegevens (N)'!$F$36)*'Reeksen (N)'!J154,0),0)</f>
        <v>0</v>
      </c>
      <c r="AS154" s="71">
        <f ca="1">-IF(C154=1,(F154+K154+L154+Q154)/2*'Invoer gegevens (N)'!$F$37*'Reeksen (N)'!L154,0)</f>
        <v>0</v>
      </c>
      <c r="AT154" s="71">
        <f ca="1">-IF(C154=1,IF(E154='Invoer gegevens (N)'!$C$17,'Invoer gegevens (N)'!$C$11,AD154)*'Reeksen (N)'!S154*'Invoer gegevens (N)'!$C$18*'Reeksen (N)'!P154,0)</f>
        <v>0</v>
      </c>
      <c r="AU154" s="71">
        <f ca="1">-IF(C154=1,(F154+K154+L154+Q154)/2*'Invoer gegevens (N)'!$F$38*'Reeksen (N)'!H154,0)</f>
        <v>0</v>
      </c>
      <c r="AV154" s="71">
        <v>0</v>
      </c>
      <c r="AW154" s="71">
        <f t="shared" ca="1" si="45"/>
        <v>0</v>
      </c>
      <c r="AX154" s="71">
        <f ca="1">IF(E154&lt;'Invoer gegevens (N)'!$C$17+15,0,IF(E154&gt;'Invoer gegevens (N)'!$C$17+215,0,AW154))</f>
        <v>0</v>
      </c>
      <c r="AY154" s="71">
        <f ca="1">AX154/(1+'Invoer gegevens (N)'!$F$18)^($AZ154-('Invoer gegevens (N)'!$C$17-'Invoer gegevens (N)'!$C$16))/(1+'Invoer gegevens (N)'!$C$39)^('Invoer gegevens (N)'!$C$17-'Invoer gegevens (N)'!$C$16)</f>
        <v>0</v>
      </c>
      <c r="AZ154" s="68">
        <f ca="1">IF(E154-'Invoer gegevens (N)'!$C$17-14.5&lt;0,0,E154-'Invoer gegevens (N)'!$C$17-14.5)</f>
        <v>134.5</v>
      </c>
      <c r="BA154" s="109">
        <f ca="1">IFERROR(VLOOKUP(E154-15,'Reeksen (N)'!$A$5:$D$234,2,FALSE),0)</f>
        <v>0</v>
      </c>
      <c r="BB154" s="109">
        <f ca="1">IFERROR(VLOOKUP(E154-15,'Reeksen (N)'!$A$5:$D$234,3,FALSE),0)</f>
        <v>0</v>
      </c>
      <c r="BC154" s="109">
        <f ca="1">IFERROR(VLOOKUP(E154-15,'Reeksen (N)'!$A$5:$D$234,4,FALSE),0)</f>
        <v>0</v>
      </c>
      <c r="BD154" s="67">
        <f ca="1">IF(E154-'Invoer gegevens (N)'!$C$17&lt;15,0,1)</f>
        <v>1</v>
      </c>
    </row>
    <row r="155" spans="1:56" x14ac:dyDescent="0.25">
      <c r="A155" s="59"/>
      <c r="B155" s="70">
        <f t="shared" si="46"/>
        <v>151</v>
      </c>
      <c r="C155" s="67">
        <f ca="1">IF(E155-'Invoer gegevens (N)'!$C$17&lt;0,0,1)</f>
        <v>1</v>
      </c>
      <c r="D155" s="68">
        <f t="shared" si="47"/>
        <v>150.5</v>
      </c>
      <c r="E155" s="108">
        <f ca="1">IF('Invoer gegevens (N)'!$C$16="","",E154+1)</f>
        <v>2169</v>
      </c>
      <c r="F155" s="84">
        <f ca="1">IF('Invoer gegevens (N)'!$C$17=E155,'Invoer gegevens (N)'!$C$10,IF(C155=1,K154,0))</f>
        <v>0</v>
      </c>
      <c r="G155" s="96">
        <f ca="1">IF(BD155&lt;1,F155*'Reeksen (N)'!C155,IF(C155&gt;=1,F155*BA155,0))</f>
        <v>0</v>
      </c>
      <c r="H155" s="84">
        <f ca="1">(1-('Invoer gegevens (N)'!$F$20/12))*F155*MIN(BA155,BC155)</f>
        <v>0</v>
      </c>
      <c r="I155" s="84">
        <f t="shared" ca="1" si="32"/>
        <v>0</v>
      </c>
      <c r="J155" s="84">
        <f ca="1">('Invoer gegevens (N)'!$F$20/12)*F154*MIN(BA155,BC155)</f>
        <v>0</v>
      </c>
      <c r="K155" s="97">
        <f t="shared" ca="1" si="37"/>
        <v>0</v>
      </c>
      <c r="L155" s="84">
        <f ca="1">IF('Invoer gegevens (N)'!$C$17=E155,0,IF(C155=1,Q154,0))</f>
        <v>0</v>
      </c>
      <c r="M155" s="96">
        <f t="shared" ca="1" si="33"/>
        <v>0</v>
      </c>
      <c r="N155" s="84">
        <f ca="1">(1-('Invoer gegevens (N)'!$F$20/12))*L155*MIN(BA155,BC155)</f>
        <v>0</v>
      </c>
      <c r="O155" s="84">
        <f t="shared" ca="1" si="34"/>
        <v>0</v>
      </c>
      <c r="P155" s="84">
        <f ca="1">('Invoer gegevens (N)'!$F$20/12)*L154*MIN(BA155,BC155)</f>
        <v>0</v>
      </c>
      <c r="Q155" s="84">
        <f t="shared" ca="1" si="38"/>
        <v>0</v>
      </c>
      <c r="R155" s="85">
        <f ca="1">IF('Invoer gegevens (N)'!$C$17=E155,'Invoer gegevens (N)'!$C$11,IF(C155=1,W154,0))</f>
        <v>0</v>
      </c>
      <c r="S155" s="86">
        <f t="shared" ca="1" si="35"/>
        <v>0</v>
      </c>
      <c r="T155" s="86">
        <f ca="1">(1-('Invoer gegevens (N)'!$F$20/12))*R155*MIN(BC155,BA155)</f>
        <v>0</v>
      </c>
      <c r="U155" s="86">
        <f ca="1">IF(BD155&lt;1,IF('Reeksen (N)'!AD155&lt;='Reeksen (N)'!AE155,R155*'Reeksen (N)'!C155,0),IF(BC155&gt;=BA155,0,IF('Reeksen (N)'!AD155&lt;='Reeksen (N)'!AE155,(BA155-BC155)*R155,0)))</f>
        <v>0</v>
      </c>
      <c r="V155" s="86">
        <f ca="1">IF(BD155&lt;1,IF('Reeksen (N)'!AD155&gt;'Reeksen (N)'!AE155,R155*'Reeksen (N)'!C155,0),IF(BC155&gt;=BA155,0,IF('Reeksen (N)'!AD155&gt;'Reeksen (N)'!AE155,(BA155-BC155)*R155,0)))</f>
        <v>0</v>
      </c>
      <c r="W155" s="218">
        <f t="shared" ca="1" si="39"/>
        <v>0</v>
      </c>
      <c r="X155" s="98">
        <f ca="1">IF('Invoer gegevens (N)'!$C$17=E155,'Invoer gegevens (N)'!$C$10-'Invoer gegevens (N)'!$C$11,IF(C155=1,AC154,0))</f>
        <v>0</v>
      </c>
      <c r="Y155" s="98">
        <f t="shared" ca="1" si="36"/>
        <v>0</v>
      </c>
      <c r="Z155" s="98">
        <f ca="1">(1-('Invoer gegevens (N)'!$F$20/12))*X155*MIN(BA155,BC155)</f>
        <v>0</v>
      </c>
      <c r="AA155" s="98">
        <f ca="1">IF(BD155&lt;1,IF('Reeksen (N)'!AD155&lt;='Reeksen (N)'!AE155,X155*'Reeksen (N)'!C155,0),IF(BC155&gt;=BA155,0,IF('Reeksen (N)'!AD155&lt;='Reeksen (N)'!AE155,(BA155-BC155)*X155,0)))</f>
        <v>0</v>
      </c>
      <c r="AB155" s="98">
        <f ca="1">IF(BD155&lt;1,IF('Reeksen (N)'!AD155&gt;'Reeksen (N)'!AE155,X155*'Reeksen (N)'!C155,0),IF(BC155&gt;=BA155,0,IF('Reeksen (N)'!AD155&gt;'Reeksen (N)'!AE155,(BA155-BC155)*X155,0)))</f>
        <v>0</v>
      </c>
      <c r="AC155" s="99">
        <f t="shared" ca="1" si="40"/>
        <v>0</v>
      </c>
      <c r="AD155" s="98">
        <f ca="1">IF('Invoer gegevens (N)'!$C$17=E155,R155,IF(C155=0,0,AE154))</f>
        <v>0</v>
      </c>
      <c r="AE155" s="98">
        <f t="shared" ca="1" si="41"/>
        <v>0</v>
      </c>
      <c r="AF155" s="98">
        <f ca="1">IF('Invoer gegevens (N)'!$C$17=E155,X155,IF(C155=0,0,AG154))</f>
        <v>0</v>
      </c>
      <c r="AG155" s="98">
        <f t="shared" ca="1" si="42"/>
        <v>0</v>
      </c>
      <c r="AH155" s="66"/>
      <c r="AI155" s="71">
        <f ca="1">IF(C155=1,'Reeksen (N)'!AI155*((F155+K155)/2)*12+'Reeksen (N)'!AD155*((L155+Q155)/2)*12,0)</f>
        <v>0</v>
      </c>
      <c r="AJ155" s="71">
        <f ca="1">-AI155*'Invoer gegevens (N)'!$F$28</f>
        <v>0</v>
      </c>
      <c r="AK155" s="71">
        <f t="shared" ca="1" si="43"/>
        <v>0</v>
      </c>
      <c r="AL155" s="71">
        <f ca="1">IF(C155=1,'Reeksen (N)'!AL155*((F155-G155+F155)/2)*12+'Reeksen (N)'!AM155*((L155-M155+L155)/2)*12,0)</f>
        <v>0</v>
      </c>
      <c r="AM155" s="71">
        <f ca="1">-AL155*'Invoer gegevens (N)'!$F$31</f>
        <v>0</v>
      </c>
      <c r="AN155" s="71">
        <f t="shared" ca="1" si="44"/>
        <v>0</v>
      </c>
      <c r="AO155" s="71">
        <f ca="1">IF(C155=1,(H155+J155+N155+P155)*'Reeksen (N)'!AN155,0)</f>
        <v>0</v>
      </c>
      <c r="AP155" s="71">
        <f ca="1">-IF(C155=1,(H155+J155+N155+P155)*'Hulp - basis'!$O$550*'Reeksen (N)'!H155,0)</f>
        <v>0</v>
      </c>
      <c r="AQ155" s="71">
        <f ca="1">-IF(C155=1,(F155+K155+L155+Q155)/2*'Invoer gegevens (N)'!$F$35*'Reeksen (N)'!J155,0)*2</f>
        <v>0</v>
      </c>
      <c r="AR155" s="71">
        <f ca="1">IF(BD155&lt;1,-IF(C155=1,(G155*'Invoer gegevens (N)'!$F$36)*'Reeksen (N)'!J155,0),0)</f>
        <v>0</v>
      </c>
      <c r="AS155" s="71">
        <f ca="1">-IF(C155=1,(F155+K155+L155+Q155)/2*'Invoer gegevens (N)'!$F$37*'Reeksen (N)'!L155,0)</f>
        <v>0</v>
      </c>
      <c r="AT155" s="71">
        <f ca="1">-IF(C155=1,IF(E155='Invoer gegevens (N)'!$C$17,'Invoer gegevens (N)'!$C$11,AD155)*'Reeksen (N)'!S155*'Invoer gegevens (N)'!$C$18*'Reeksen (N)'!P155,0)</f>
        <v>0</v>
      </c>
      <c r="AU155" s="71">
        <f ca="1">-IF(C155=1,(F155+K155+L155+Q155)/2*'Invoer gegevens (N)'!$F$38*'Reeksen (N)'!H155,0)</f>
        <v>0</v>
      </c>
      <c r="AV155" s="71">
        <v>0</v>
      </c>
      <c r="AW155" s="71">
        <f t="shared" ca="1" si="45"/>
        <v>0</v>
      </c>
      <c r="AX155" s="71">
        <f ca="1">IF(E155&lt;'Invoer gegevens (N)'!$C$17+15,0,IF(E155&gt;'Invoer gegevens (N)'!$C$17+215,0,AW155))</f>
        <v>0</v>
      </c>
      <c r="AY155" s="71">
        <f ca="1">AX155/(1+'Invoer gegevens (N)'!$F$18)^($AZ155-('Invoer gegevens (N)'!$C$17-'Invoer gegevens (N)'!$C$16))/(1+'Invoer gegevens (N)'!$C$39)^('Invoer gegevens (N)'!$C$17-'Invoer gegevens (N)'!$C$16)</f>
        <v>0</v>
      </c>
      <c r="AZ155" s="68">
        <f ca="1">IF(E155-'Invoer gegevens (N)'!$C$17-14.5&lt;0,0,E155-'Invoer gegevens (N)'!$C$17-14.5)</f>
        <v>135.5</v>
      </c>
      <c r="BA155" s="109">
        <f ca="1">IFERROR(VLOOKUP(E155-15,'Reeksen (N)'!$A$5:$D$234,2,FALSE),0)</f>
        <v>0</v>
      </c>
      <c r="BB155" s="109">
        <f ca="1">IFERROR(VLOOKUP(E155-15,'Reeksen (N)'!$A$5:$D$234,3,FALSE),0)</f>
        <v>0</v>
      </c>
      <c r="BC155" s="109">
        <f ca="1">IFERROR(VLOOKUP(E155-15,'Reeksen (N)'!$A$5:$D$234,4,FALSE),0)</f>
        <v>0</v>
      </c>
      <c r="BD155" s="67">
        <f ca="1">IF(E155-'Invoer gegevens (N)'!$C$17&lt;15,0,1)</f>
        <v>1</v>
      </c>
    </row>
    <row r="156" spans="1:56" x14ac:dyDescent="0.25">
      <c r="A156" s="59"/>
      <c r="B156" s="70">
        <f t="shared" si="46"/>
        <v>152</v>
      </c>
      <c r="C156" s="67">
        <f ca="1">IF(E156-'Invoer gegevens (N)'!$C$17&lt;0,0,1)</f>
        <v>1</v>
      </c>
      <c r="D156" s="68">
        <f t="shared" si="47"/>
        <v>151.5</v>
      </c>
      <c r="E156" s="108">
        <f ca="1">IF('Invoer gegevens (N)'!$C$16="","",E155+1)</f>
        <v>2170</v>
      </c>
      <c r="F156" s="84">
        <f ca="1">IF('Invoer gegevens (N)'!$C$17=E156,'Invoer gegevens (N)'!$C$10,IF(C156=1,K155,0))</f>
        <v>0</v>
      </c>
      <c r="G156" s="96">
        <f ca="1">IF(BD156&lt;1,F156*'Reeksen (N)'!C156,IF(C156&gt;=1,F156*BA156,0))</f>
        <v>0</v>
      </c>
      <c r="H156" s="84">
        <f ca="1">(1-('Invoer gegevens (N)'!$F$20/12))*F156*MIN(BA156,BC156)</f>
        <v>0</v>
      </c>
      <c r="I156" s="84">
        <f t="shared" ca="1" si="32"/>
        <v>0</v>
      </c>
      <c r="J156" s="84">
        <f ca="1">('Invoer gegevens (N)'!$F$20/12)*F155*MIN(BA156,BC156)</f>
        <v>0</v>
      </c>
      <c r="K156" s="97">
        <f t="shared" ca="1" si="37"/>
        <v>0</v>
      </c>
      <c r="L156" s="84">
        <f ca="1">IF('Invoer gegevens (N)'!$C$17=E156,0,IF(C156=1,Q155,0))</f>
        <v>0</v>
      </c>
      <c r="M156" s="96">
        <f t="shared" ca="1" si="33"/>
        <v>0</v>
      </c>
      <c r="N156" s="84">
        <f ca="1">(1-('Invoer gegevens (N)'!$F$20/12))*L156*MIN(BA156,BC156)</f>
        <v>0</v>
      </c>
      <c r="O156" s="84">
        <f t="shared" ca="1" si="34"/>
        <v>0</v>
      </c>
      <c r="P156" s="84">
        <f ca="1">('Invoer gegevens (N)'!$F$20/12)*L155*MIN(BA156,BC156)</f>
        <v>0</v>
      </c>
      <c r="Q156" s="84">
        <f t="shared" ca="1" si="38"/>
        <v>0</v>
      </c>
      <c r="R156" s="85">
        <f ca="1">IF('Invoer gegevens (N)'!$C$17=E156,'Invoer gegevens (N)'!$C$11,IF(C156=1,W155,0))</f>
        <v>0</v>
      </c>
      <c r="S156" s="86">
        <f t="shared" ca="1" si="35"/>
        <v>0</v>
      </c>
      <c r="T156" s="86">
        <f ca="1">(1-('Invoer gegevens (N)'!$F$20/12))*R156*MIN(BC156,BA156)</f>
        <v>0</v>
      </c>
      <c r="U156" s="86">
        <f ca="1">IF(BD156&lt;1,IF('Reeksen (N)'!AD156&lt;='Reeksen (N)'!AE156,R156*'Reeksen (N)'!C156,0),IF(BC156&gt;=BA156,0,IF('Reeksen (N)'!AD156&lt;='Reeksen (N)'!AE156,(BA156-BC156)*R156,0)))</f>
        <v>0</v>
      </c>
      <c r="V156" s="86">
        <f ca="1">IF(BD156&lt;1,IF('Reeksen (N)'!AD156&gt;'Reeksen (N)'!AE156,R156*'Reeksen (N)'!C156,0),IF(BC156&gt;=BA156,0,IF('Reeksen (N)'!AD156&gt;'Reeksen (N)'!AE156,(BA156-BC156)*R156,0)))</f>
        <v>0</v>
      </c>
      <c r="W156" s="218">
        <f t="shared" ca="1" si="39"/>
        <v>0</v>
      </c>
      <c r="X156" s="98">
        <f ca="1">IF('Invoer gegevens (N)'!$C$17=E156,'Invoer gegevens (N)'!$C$10-'Invoer gegevens (N)'!$C$11,IF(C156=1,AC155,0))</f>
        <v>0</v>
      </c>
      <c r="Y156" s="98">
        <f t="shared" ca="1" si="36"/>
        <v>0</v>
      </c>
      <c r="Z156" s="98">
        <f ca="1">(1-('Invoer gegevens (N)'!$F$20/12))*X156*MIN(BA156,BC156)</f>
        <v>0</v>
      </c>
      <c r="AA156" s="98">
        <f ca="1">IF(BD156&lt;1,IF('Reeksen (N)'!AD156&lt;='Reeksen (N)'!AE156,X156*'Reeksen (N)'!C156,0),IF(BC156&gt;=BA156,0,IF('Reeksen (N)'!AD156&lt;='Reeksen (N)'!AE156,(BA156-BC156)*X156,0)))</f>
        <v>0</v>
      </c>
      <c r="AB156" s="98">
        <f ca="1">IF(BD156&lt;1,IF('Reeksen (N)'!AD156&gt;'Reeksen (N)'!AE156,X156*'Reeksen (N)'!C156,0),IF(BC156&gt;=BA156,0,IF('Reeksen (N)'!AD156&gt;'Reeksen (N)'!AE156,(BA156-BC156)*X156,0)))</f>
        <v>0</v>
      </c>
      <c r="AC156" s="99">
        <f t="shared" ca="1" si="40"/>
        <v>0</v>
      </c>
      <c r="AD156" s="98">
        <f ca="1">IF('Invoer gegevens (N)'!$C$17=E156,R156,IF(C156=0,0,AE155))</f>
        <v>0</v>
      </c>
      <c r="AE156" s="98">
        <f t="shared" ca="1" si="41"/>
        <v>0</v>
      </c>
      <c r="AF156" s="98">
        <f ca="1">IF('Invoer gegevens (N)'!$C$17=E156,X156,IF(C156=0,0,AG155))</f>
        <v>0</v>
      </c>
      <c r="AG156" s="98">
        <f t="shared" ca="1" si="42"/>
        <v>0</v>
      </c>
      <c r="AH156" s="66"/>
      <c r="AI156" s="71">
        <f ca="1">IF(C156=1,'Reeksen (N)'!AI156*((F156+K156)/2)*12+'Reeksen (N)'!AD156*((L156+Q156)/2)*12,0)</f>
        <v>0</v>
      </c>
      <c r="AJ156" s="71">
        <f ca="1">-AI156*'Invoer gegevens (N)'!$F$28</f>
        <v>0</v>
      </c>
      <c r="AK156" s="71">
        <f t="shared" ca="1" si="43"/>
        <v>0</v>
      </c>
      <c r="AL156" s="71">
        <f ca="1">IF(C156=1,'Reeksen (N)'!AL156*((F156-G156+F156)/2)*12+'Reeksen (N)'!AM156*((L156-M156+L156)/2)*12,0)</f>
        <v>0</v>
      </c>
      <c r="AM156" s="71">
        <f ca="1">-AL156*'Invoer gegevens (N)'!$F$31</f>
        <v>0</v>
      </c>
      <c r="AN156" s="71">
        <f t="shared" ca="1" si="44"/>
        <v>0</v>
      </c>
      <c r="AO156" s="71">
        <f ca="1">IF(C156=1,(H156+J156+N156+P156)*'Reeksen (N)'!AN156,0)</f>
        <v>0</v>
      </c>
      <c r="AP156" s="71">
        <f ca="1">-IF(C156=1,(H156+J156+N156+P156)*'Hulp - basis'!$O$550*'Reeksen (N)'!H156,0)</f>
        <v>0</v>
      </c>
      <c r="AQ156" s="71">
        <f ca="1">-IF(C156=1,(F156+K156+L156+Q156)/2*'Invoer gegevens (N)'!$F$35*'Reeksen (N)'!J156,0)*2</f>
        <v>0</v>
      </c>
      <c r="AR156" s="71">
        <f ca="1">IF(BD156&lt;1,-IF(C156=1,(G156*'Invoer gegevens (N)'!$F$36)*'Reeksen (N)'!J156,0),0)</f>
        <v>0</v>
      </c>
      <c r="AS156" s="71">
        <f ca="1">-IF(C156=1,(F156+K156+L156+Q156)/2*'Invoer gegevens (N)'!$F$37*'Reeksen (N)'!L156,0)</f>
        <v>0</v>
      </c>
      <c r="AT156" s="71">
        <f ca="1">-IF(C156=1,IF(E156='Invoer gegevens (N)'!$C$17,'Invoer gegevens (N)'!$C$11,AD156)*'Reeksen (N)'!S156*'Invoer gegevens (N)'!$C$18*'Reeksen (N)'!P156,0)</f>
        <v>0</v>
      </c>
      <c r="AU156" s="71">
        <f ca="1">-IF(C156=1,(F156+K156+L156+Q156)/2*'Invoer gegevens (N)'!$F$38*'Reeksen (N)'!H156,0)</f>
        <v>0</v>
      </c>
      <c r="AV156" s="71">
        <v>0</v>
      </c>
      <c r="AW156" s="71">
        <f t="shared" ca="1" si="45"/>
        <v>0</v>
      </c>
      <c r="AX156" s="71">
        <f ca="1">IF(E156&lt;'Invoer gegevens (N)'!$C$17+15,0,IF(E156&gt;'Invoer gegevens (N)'!$C$17+215,0,AW156))</f>
        <v>0</v>
      </c>
      <c r="AY156" s="71">
        <f ca="1">AX156/(1+'Invoer gegevens (N)'!$F$18)^($AZ156-('Invoer gegevens (N)'!$C$17-'Invoer gegevens (N)'!$C$16))/(1+'Invoer gegevens (N)'!$C$39)^('Invoer gegevens (N)'!$C$17-'Invoer gegevens (N)'!$C$16)</f>
        <v>0</v>
      </c>
      <c r="AZ156" s="68">
        <f ca="1">IF(E156-'Invoer gegevens (N)'!$C$17-14.5&lt;0,0,E156-'Invoer gegevens (N)'!$C$17-14.5)</f>
        <v>136.5</v>
      </c>
      <c r="BA156" s="109">
        <f ca="1">IFERROR(VLOOKUP(E156-15,'Reeksen (N)'!$A$5:$D$234,2,FALSE),0)</f>
        <v>0</v>
      </c>
      <c r="BB156" s="109">
        <f ca="1">IFERROR(VLOOKUP(E156-15,'Reeksen (N)'!$A$5:$D$234,3,FALSE),0)</f>
        <v>0</v>
      </c>
      <c r="BC156" s="109">
        <f ca="1">IFERROR(VLOOKUP(E156-15,'Reeksen (N)'!$A$5:$D$234,4,FALSE),0)</f>
        <v>0</v>
      </c>
      <c r="BD156" s="67">
        <f ca="1">IF(E156-'Invoer gegevens (N)'!$C$17&lt;15,0,1)</f>
        <v>1</v>
      </c>
    </row>
    <row r="157" spans="1:56" x14ac:dyDescent="0.25">
      <c r="A157" s="59"/>
      <c r="B157" s="70">
        <f t="shared" si="46"/>
        <v>153</v>
      </c>
      <c r="C157" s="67">
        <f ca="1">IF(E157-'Invoer gegevens (N)'!$C$17&lt;0,0,1)</f>
        <v>1</v>
      </c>
      <c r="D157" s="68">
        <f t="shared" si="47"/>
        <v>152.5</v>
      </c>
      <c r="E157" s="108">
        <f ca="1">IF('Invoer gegevens (N)'!$C$16="","",E156+1)</f>
        <v>2171</v>
      </c>
      <c r="F157" s="84">
        <f ca="1">IF('Invoer gegevens (N)'!$C$17=E157,'Invoer gegevens (N)'!$C$10,IF(C157=1,K156,0))</f>
        <v>0</v>
      </c>
      <c r="G157" s="96">
        <f ca="1">IF(BD157&lt;1,F157*'Reeksen (N)'!C157,IF(C157&gt;=1,F157*BA157,0))</f>
        <v>0</v>
      </c>
      <c r="H157" s="84">
        <f ca="1">(1-('Invoer gegevens (N)'!$F$20/12))*F157*MIN(BA157,BC157)</f>
        <v>0</v>
      </c>
      <c r="I157" s="84">
        <f t="shared" ca="1" si="32"/>
        <v>0</v>
      </c>
      <c r="J157" s="84">
        <f ca="1">('Invoer gegevens (N)'!$F$20/12)*F156*MIN(BA157,BC157)</f>
        <v>0</v>
      </c>
      <c r="K157" s="97">
        <f t="shared" ca="1" si="37"/>
        <v>0</v>
      </c>
      <c r="L157" s="84">
        <f ca="1">IF('Invoer gegevens (N)'!$C$17=E157,0,IF(C157=1,Q156,0))</f>
        <v>0</v>
      </c>
      <c r="M157" s="96">
        <f t="shared" ca="1" si="33"/>
        <v>0</v>
      </c>
      <c r="N157" s="84">
        <f ca="1">(1-('Invoer gegevens (N)'!$F$20/12))*L157*MIN(BA157,BC157)</f>
        <v>0</v>
      </c>
      <c r="O157" s="84">
        <f t="shared" ca="1" si="34"/>
        <v>0</v>
      </c>
      <c r="P157" s="84">
        <f ca="1">('Invoer gegevens (N)'!$F$20/12)*L156*MIN(BA157,BC157)</f>
        <v>0</v>
      </c>
      <c r="Q157" s="84">
        <f t="shared" ca="1" si="38"/>
        <v>0</v>
      </c>
      <c r="R157" s="85">
        <f ca="1">IF('Invoer gegevens (N)'!$C$17=E157,'Invoer gegevens (N)'!$C$11,IF(C157=1,W156,0))</f>
        <v>0</v>
      </c>
      <c r="S157" s="86">
        <f t="shared" ca="1" si="35"/>
        <v>0</v>
      </c>
      <c r="T157" s="86">
        <f ca="1">(1-('Invoer gegevens (N)'!$F$20/12))*R157*MIN(BC157,BA157)</f>
        <v>0</v>
      </c>
      <c r="U157" s="86">
        <f ca="1">IF(BD157&lt;1,IF('Reeksen (N)'!AD157&lt;='Reeksen (N)'!AE157,R157*'Reeksen (N)'!C157,0),IF(BC157&gt;=BA157,0,IF('Reeksen (N)'!AD157&lt;='Reeksen (N)'!AE157,(BA157-BC157)*R157,0)))</f>
        <v>0</v>
      </c>
      <c r="V157" s="86">
        <f ca="1">IF(BD157&lt;1,IF('Reeksen (N)'!AD157&gt;'Reeksen (N)'!AE157,R157*'Reeksen (N)'!C157,0),IF(BC157&gt;=BA157,0,IF('Reeksen (N)'!AD157&gt;'Reeksen (N)'!AE157,(BA157-BC157)*R157,0)))</f>
        <v>0</v>
      </c>
      <c r="W157" s="218">
        <f t="shared" ca="1" si="39"/>
        <v>0</v>
      </c>
      <c r="X157" s="98">
        <f ca="1">IF('Invoer gegevens (N)'!$C$17=E157,'Invoer gegevens (N)'!$C$10-'Invoer gegevens (N)'!$C$11,IF(C157=1,AC156,0))</f>
        <v>0</v>
      </c>
      <c r="Y157" s="98">
        <f t="shared" ca="1" si="36"/>
        <v>0</v>
      </c>
      <c r="Z157" s="98">
        <f ca="1">(1-('Invoer gegevens (N)'!$F$20/12))*X157*MIN(BA157,BC157)</f>
        <v>0</v>
      </c>
      <c r="AA157" s="98">
        <f ca="1">IF(BD157&lt;1,IF('Reeksen (N)'!AD157&lt;='Reeksen (N)'!AE157,X157*'Reeksen (N)'!C157,0),IF(BC157&gt;=BA157,0,IF('Reeksen (N)'!AD157&lt;='Reeksen (N)'!AE157,(BA157-BC157)*X157,0)))</f>
        <v>0</v>
      </c>
      <c r="AB157" s="98">
        <f ca="1">IF(BD157&lt;1,IF('Reeksen (N)'!AD157&gt;'Reeksen (N)'!AE157,X157*'Reeksen (N)'!C157,0),IF(BC157&gt;=BA157,0,IF('Reeksen (N)'!AD157&gt;'Reeksen (N)'!AE157,(BA157-BC157)*X157,0)))</f>
        <v>0</v>
      </c>
      <c r="AC157" s="99">
        <f t="shared" ca="1" si="40"/>
        <v>0</v>
      </c>
      <c r="AD157" s="98">
        <f ca="1">IF('Invoer gegevens (N)'!$C$17=E157,R157,IF(C157=0,0,AE156))</f>
        <v>0</v>
      </c>
      <c r="AE157" s="98">
        <f t="shared" ca="1" si="41"/>
        <v>0</v>
      </c>
      <c r="AF157" s="98">
        <f ca="1">IF('Invoer gegevens (N)'!$C$17=E157,X157,IF(C157=0,0,AG156))</f>
        <v>0</v>
      </c>
      <c r="AG157" s="98">
        <f t="shared" ca="1" si="42"/>
        <v>0</v>
      </c>
      <c r="AH157" s="66"/>
      <c r="AI157" s="71">
        <f ca="1">IF(C157=1,'Reeksen (N)'!AI157*((F157+K157)/2)*12+'Reeksen (N)'!AD157*((L157+Q157)/2)*12,0)</f>
        <v>0</v>
      </c>
      <c r="AJ157" s="71">
        <f ca="1">-AI157*'Invoer gegevens (N)'!$F$28</f>
        <v>0</v>
      </c>
      <c r="AK157" s="71">
        <f t="shared" ca="1" si="43"/>
        <v>0</v>
      </c>
      <c r="AL157" s="71">
        <f ca="1">IF(C157=1,'Reeksen (N)'!AL157*((F157-G157+F157)/2)*12+'Reeksen (N)'!AM157*((L157-M157+L157)/2)*12,0)</f>
        <v>0</v>
      </c>
      <c r="AM157" s="71">
        <f ca="1">-AL157*'Invoer gegevens (N)'!$F$31</f>
        <v>0</v>
      </c>
      <c r="AN157" s="71">
        <f t="shared" ca="1" si="44"/>
        <v>0</v>
      </c>
      <c r="AO157" s="71">
        <f ca="1">IF(C157=1,(H157+J157+N157+P157)*'Reeksen (N)'!AN157,0)</f>
        <v>0</v>
      </c>
      <c r="AP157" s="71">
        <f ca="1">-IF(C157=1,(H157+J157+N157+P157)*'Hulp - basis'!$O$550*'Reeksen (N)'!H157,0)</f>
        <v>0</v>
      </c>
      <c r="AQ157" s="71">
        <f ca="1">-IF(C157=1,(F157+K157+L157+Q157)/2*'Invoer gegevens (N)'!$F$35*'Reeksen (N)'!J157,0)*2</f>
        <v>0</v>
      </c>
      <c r="AR157" s="71">
        <f ca="1">IF(BD157&lt;1,-IF(C157=1,(G157*'Invoer gegevens (N)'!$F$36)*'Reeksen (N)'!J157,0),0)</f>
        <v>0</v>
      </c>
      <c r="AS157" s="71">
        <f ca="1">-IF(C157=1,(F157+K157+L157+Q157)/2*'Invoer gegevens (N)'!$F$37*'Reeksen (N)'!L157,0)</f>
        <v>0</v>
      </c>
      <c r="AT157" s="71">
        <f ca="1">-IF(C157=1,IF(E157='Invoer gegevens (N)'!$C$17,'Invoer gegevens (N)'!$C$11,AD157)*'Reeksen (N)'!S157*'Invoer gegevens (N)'!$C$18*'Reeksen (N)'!P157,0)</f>
        <v>0</v>
      </c>
      <c r="AU157" s="71">
        <f ca="1">-IF(C157=1,(F157+K157+L157+Q157)/2*'Invoer gegevens (N)'!$F$38*'Reeksen (N)'!H157,0)</f>
        <v>0</v>
      </c>
      <c r="AV157" s="71">
        <v>0</v>
      </c>
      <c r="AW157" s="71">
        <f t="shared" ca="1" si="45"/>
        <v>0</v>
      </c>
      <c r="AX157" s="71">
        <f ca="1">IF(E157&lt;'Invoer gegevens (N)'!$C$17+15,0,IF(E157&gt;'Invoer gegevens (N)'!$C$17+215,0,AW157))</f>
        <v>0</v>
      </c>
      <c r="AY157" s="71">
        <f ca="1">AX157/(1+'Invoer gegevens (N)'!$F$18)^($AZ157-('Invoer gegevens (N)'!$C$17-'Invoer gegevens (N)'!$C$16))/(1+'Invoer gegevens (N)'!$C$39)^('Invoer gegevens (N)'!$C$17-'Invoer gegevens (N)'!$C$16)</f>
        <v>0</v>
      </c>
      <c r="AZ157" s="68">
        <f ca="1">IF(E157-'Invoer gegevens (N)'!$C$17-14.5&lt;0,0,E157-'Invoer gegevens (N)'!$C$17-14.5)</f>
        <v>137.5</v>
      </c>
      <c r="BA157" s="109">
        <f ca="1">IFERROR(VLOOKUP(E157-15,'Reeksen (N)'!$A$5:$D$234,2,FALSE),0)</f>
        <v>0</v>
      </c>
      <c r="BB157" s="109">
        <f ca="1">IFERROR(VLOOKUP(E157-15,'Reeksen (N)'!$A$5:$D$234,3,FALSE),0)</f>
        <v>0</v>
      </c>
      <c r="BC157" s="109">
        <f ca="1">IFERROR(VLOOKUP(E157-15,'Reeksen (N)'!$A$5:$D$234,4,FALSE),0)</f>
        <v>0</v>
      </c>
      <c r="BD157" s="67">
        <f ca="1">IF(E157-'Invoer gegevens (N)'!$C$17&lt;15,0,1)</f>
        <v>1</v>
      </c>
    </row>
    <row r="158" spans="1:56" x14ac:dyDescent="0.25">
      <c r="A158" s="59"/>
      <c r="B158" s="70">
        <f t="shared" si="46"/>
        <v>154</v>
      </c>
      <c r="C158" s="67">
        <f ca="1">IF(E158-'Invoer gegevens (N)'!$C$17&lt;0,0,1)</f>
        <v>1</v>
      </c>
      <c r="D158" s="68">
        <f t="shared" si="47"/>
        <v>153.5</v>
      </c>
      <c r="E158" s="108">
        <f ca="1">IF('Invoer gegevens (N)'!$C$16="","",E157+1)</f>
        <v>2172</v>
      </c>
      <c r="F158" s="84">
        <f ca="1">IF('Invoer gegevens (N)'!$C$17=E158,'Invoer gegevens (N)'!$C$10,IF(C158=1,K157,0))</f>
        <v>0</v>
      </c>
      <c r="G158" s="96">
        <f ca="1">IF(BD158&lt;1,F158*'Reeksen (N)'!C158,IF(C158&gt;=1,F158*BA158,0))</f>
        <v>0</v>
      </c>
      <c r="H158" s="84">
        <f ca="1">(1-('Invoer gegevens (N)'!$F$20/12))*F158*MIN(BA158,BC158)</f>
        <v>0</v>
      </c>
      <c r="I158" s="84">
        <f t="shared" ca="1" si="32"/>
        <v>0</v>
      </c>
      <c r="J158" s="84">
        <f ca="1">('Invoer gegevens (N)'!$F$20/12)*F157*MIN(BA158,BC158)</f>
        <v>0</v>
      </c>
      <c r="K158" s="97">
        <f t="shared" ca="1" si="37"/>
        <v>0</v>
      </c>
      <c r="L158" s="84">
        <f ca="1">IF('Invoer gegevens (N)'!$C$17=E158,0,IF(C158=1,Q157,0))</f>
        <v>0</v>
      </c>
      <c r="M158" s="96">
        <f t="shared" ca="1" si="33"/>
        <v>0</v>
      </c>
      <c r="N158" s="84">
        <f ca="1">(1-('Invoer gegevens (N)'!$F$20/12))*L158*MIN(BA158,BC158)</f>
        <v>0</v>
      </c>
      <c r="O158" s="84">
        <f t="shared" ca="1" si="34"/>
        <v>0</v>
      </c>
      <c r="P158" s="84">
        <f ca="1">('Invoer gegevens (N)'!$F$20/12)*L157*MIN(BA158,BC158)</f>
        <v>0</v>
      </c>
      <c r="Q158" s="84">
        <f t="shared" ca="1" si="38"/>
        <v>0</v>
      </c>
      <c r="R158" s="85">
        <f ca="1">IF('Invoer gegevens (N)'!$C$17=E158,'Invoer gegevens (N)'!$C$11,IF(C158=1,W157,0))</f>
        <v>0</v>
      </c>
      <c r="S158" s="86">
        <f t="shared" ca="1" si="35"/>
        <v>0</v>
      </c>
      <c r="T158" s="86">
        <f ca="1">(1-('Invoer gegevens (N)'!$F$20/12))*R158*MIN(BC158,BA158)</f>
        <v>0</v>
      </c>
      <c r="U158" s="86">
        <f ca="1">IF(BD158&lt;1,IF('Reeksen (N)'!AD158&lt;='Reeksen (N)'!AE158,R158*'Reeksen (N)'!C158,0),IF(BC158&gt;=BA158,0,IF('Reeksen (N)'!AD158&lt;='Reeksen (N)'!AE158,(BA158-BC158)*R158,0)))</f>
        <v>0</v>
      </c>
      <c r="V158" s="86">
        <f ca="1">IF(BD158&lt;1,IF('Reeksen (N)'!AD158&gt;'Reeksen (N)'!AE158,R158*'Reeksen (N)'!C158,0),IF(BC158&gt;=BA158,0,IF('Reeksen (N)'!AD158&gt;'Reeksen (N)'!AE158,(BA158-BC158)*R158,0)))</f>
        <v>0</v>
      </c>
      <c r="W158" s="218">
        <f t="shared" ca="1" si="39"/>
        <v>0</v>
      </c>
      <c r="X158" s="98">
        <f ca="1">IF('Invoer gegevens (N)'!$C$17=E158,'Invoer gegevens (N)'!$C$10-'Invoer gegevens (N)'!$C$11,IF(C158=1,AC157,0))</f>
        <v>0</v>
      </c>
      <c r="Y158" s="98">
        <f t="shared" ca="1" si="36"/>
        <v>0</v>
      </c>
      <c r="Z158" s="98">
        <f ca="1">(1-('Invoer gegevens (N)'!$F$20/12))*X158*MIN(BA158,BC158)</f>
        <v>0</v>
      </c>
      <c r="AA158" s="98">
        <f ca="1">IF(BD158&lt;1,IF('Reeksen (N)'!AD158&lt;='Reeksen (N)'!AE158,X158*'Reeksen (N)'!C158,0),IF(BC158&gt;=BA158,0,IF('Reeksen (N)'!AD158&lt;='Reeksen (N)'!AE158,(BA158-BC158)*X158,0)))</f>
        <v>0</v>
      </c>
      <c r="AB158" s="98">
        <f ca="1">IF(BD158&lt;1,IF('Reeksen (N)'!AD158&gt;'Reeksen (N)'!AE158,X158*'Reeksen (N)'!C158,0),IF(BC158&gt;=BA158,0,IF('Reeksen (N)'!AD158&gt;'Reeksen (N)'!AE158,(BA158-BC158)*X158,0)))</f>
        <v>0</v>
      </c>
      <c r="AC158" s="99">
        <f t="shared" ca="1" si="40"/>
        <v>0</v>
      </c>
      <c r="AD158" s="98">
        <f ca="1">IF('Invoer gegevens (N)'!$C$17=E158,R158,IF(C158=0,0,AE157))</f>
        <v>0</v>
      </c>
      <c r="AE158" s="98">
        <f t="shared" ca="1" si="41"/>
        <v>0</v>
      </c>
      <c r="AF158" s="98">
        <f ca="1">IF('Invoer gegevens (N)'!$C$17=E158,X158,IF(C158=0,0,AG157))</f>
        <v>0</v>
      </c>
      <c r="AG158" s="98">
        <f t="shared" ca="1" si="42"/>
        <v>0</v>
      </c>
      <c r="AH158" s="66"/>
      <c r="AI158" s="71">
        <f ca="1">IF(C158=1,'Reeksen (N)'!AI158*((F158+K158)/2)*12+'Reeksen (N)'!AD158*((L158+Q158)/2)*12,0)</f>
        <v>0</v>
      </c>
      <c r="AJ158" s="71">
        <f ca="1">-AI158*'Invoer gegevens (N)'!$F$28</f>
        <v>0</v>
      </c>
      <c r="AK158" s="71">
        <f t="shared" ca="1" si="43"/>
        <v>0</v>
      </c>
      <c r="AL158" s="71">
        <f ca="1">IF(C158=1,'Reeksen (N)'!AL158*((F158-G158+F158)/2)*12+'Reeksen (N)'!AM158*((L158-M158+L158)/2)*12,0)</f>
        <v>0</v>
      </c>
      <c r="AM158" s="71">
        <f ca="1">-AL158*'Invoer gegevens (N)'!$F$31</f>
        <v>0</v>
      </c>
      <c r="AN158" s="71">
        <f t="shared" ca="1" si="44"/>
        <v>0</v>
      </c>
      <c r="AO158" s="71">
        <f ca="1">IF(C158=1,(H158+J158+N158+P158)*'Reeksen (N)'!AN158,0)</f>
        <v>0</v>
      </c>
      <c r="AP158" s="71">
        <f ca="1">-IF(C158=1,(H158+J158+N158+P158)*'Hulp - basis'!$O$550*'Reeksen (N)'!H158,0)</f>
        <v>0</v>
      </c>
      <c r="AQ158" s="71">
        <f ca="1">-IF(C158=1,(F158+K158+L158+Q158)/2*'Invoer gegevens (N)'!$F$35*'Reeksen (N)'!J158,0)*2</f>
        <v>0</v>
      </c>
      <c r="AR158" s="71">
        <f ca="1">IF(BD158&lt;1,-IF(C158=1,(G158*'Invoer gegevens (N)'!$F$36)*'Reeksen (N)'!J158,0),0)</f>
        <v>0</v>
      </c>
      <c r="AS158" s="71">
        <f ca="1">-IF(C158=1,(F158+K158+L158+Q158)/2*'Invoer gegevens (N)'!$F$37*'Reeksen (N)'!L158,0)</f>
        <v>0</v>
      </c>
      <c r="AT158" s="71">
        <f ca="1">-IF(C158=1,IF(E158='Invoer gegevens (N)'!$C$17,'Invoer gegevens (N)'!$C$11,AD158)*'Reeksen (N)'!S158*'Invoer gegevens (N)'!$C$18*'Reeksen (N)'!P158,0)</f>
        <v>0</v>
      </c>
      <c r="AU158" s="71">
        <f ca="1">-IF(C158=1,(F158+K158+L158+Q158)/2*'Invoer gegevens (N)'!$F$38*'Reeksen (N)'!H158,0)</f>
        <v>0</v>
      </c>
      <c r="AV158" s="71">
        <v>0</v>
      </c>
      <c r="AW158" s="71">
        <f t="shared" ca="1" si="45"/>
        <v>0</v>
      </c>
      <c r="AX158" s="71">
        <f ca="1">IF(E158&lt;'Invoer gegevens (N)'!$C$17+15,0,IF(E158&gt;'Invoer gegevens (N)'!$C$17+215,0,AW158))</f>
        <v>0</v>
      </c>
      <c r="AY158" s="71">
        <f ca="1">AX158/(1+'Invoer gegevens (N)'!$F$18)^($AZ158-('Invoer gegevens (N)'!$C$17-'Invoer gegevens (N)'!$C$16))/(1+'Invoer gegevens (N)'!$C$39)^('Invoer gegevens (N)'!$C$17-'Invoer gegevens (N)'!$C$16)</f>
        <v>0</v>
      </c>
      <c r="AZ158" s="68">
        <f ca="1">IF(E158-'Invoer gegevens (N)'!$C$17-14.5&lt;0,0,E158-'Invoer gegevens (N)'!$C$17-14.5)</f>
        <v>138.5</v>
      </c>
      <c r="BA158" s="109">
        <f ca="1">IFERROR(VLOOKUP(E158-15,'Reeksen (N)'!$A$5:$D$234,2,FALSE),0)</f>
        <v>0</v>
      </c>
      <c r="BB158" s="109">
        <f ca="1">IFERROR(VLOOKUP(E158-15,'Reeksen (N)'!$A$5:$D$234,3,FALSE),0)</f>
        <v>0</v>
      </c>
      <c r="BC158" s="109">
        <f ca="1">IFERROR(VLOOKUP(E158-15,'Reeksen (N)'!$A$5:$D$234,4,FALSE),0)</f>
        <v>0</v>
      </c>
      <c r="BD158" s="67">
        <f ca="1">IF(E158-'Invoer gegevens (N)'!$C$17&lt;15,0,1)</f>
        <v>1</v>
      </c>
    </row>
    <row r="159" spans="1:56" x14ac:dyDescent="0.25">
      <c r="A159" s="59"/>
      <c r="B159" s="70">
        <f t="shared" si="46"/>
        <v>155</v>
      </c>
      <c r="C159" s="67">
        <f ca="1">IF(E159-'Invoer gegevens (N)'!$C$17&lt;0,0,1)</f>
        <v>1</v>
      </c>
      <c r="D159" s="68">
        <f t="shared" si="47"/>
        <v>154.5</v>
      </c>
      <c r="E159" s="108">
        <f ca="1">IF('Invoer gegevens (N)'!$C$16="","",E158+1)</f>
        <v>2173</v>
      </c>
      <c r="F159" s="84">
        <f ca="1">IF('Invoer gegevens (N)'!$C$17=E159,'Invoer gegevens (N)'!$C$10,IF(C159=1,K158,0))</f>
        <v>0</v>
      </c>
      <c r="G159" s="96">
        <f ca="1">IF(BD159&lt;1,F159*'Reeksen (N)'!C159,IF(C159&gt;=1,F159*BA159,0))</f>
        <v>0</v>
      </c>
      <c r="H159" s="84">
        <f ca="1">(1-('Invoer gegevens (N)'!$F$20/12))*F159*MIN(BA159,BC159)</f>
        <v>0</v>
      </c>
      <c r="I159" s="84">
        <f t="shared" ca="1" si="32"/>
        <v>0</v>
      </c>
      <c r="J159" s="84">
        <f ca="1">('Invoer gegevens (N)'!$F$20/12)*F158*MIN(BA159,BC159)</f>
        <v>0</v>
      </c>
      <c r="K159" s="97">
        <f t="shared" ca="1" si="37"/>
        <v>0</v>
      </c>
      <c r="L159" s="84">
        <f ca="1">IF('Invoer gegevens (N)'!$C$17=E159,0,IF(C159=1,Q158,0))</f>
        <v>0</v>
      </c>
      <c r="M159" s="96">
        <f t="shared" ca="1" si="33"/>
        <v>0</v>
      </c>
      <c r="N159" s="84">
        <f ca="1">(1-('Invoer gegevens (N)'!$F$20/12))*L159*MIN(BA159,BC159)</f>
        <v>0</v>
      </c>
      <c r="O159" s="84">
        <f t="shared" ca="1" si="34"/>
        <v>0</v>
      </c>
      <c r="P159" s="84">
        <f ca="1">('Invoer gegevens (N)'!$F$20/12)*L158*MIN(BA159,BC159)</f>
        <v>0</v>
      </c>
      <c r="Q159" s="84">
        <f t="shared" ca="1" si="38"/>
        <v>0</v>
      </c>
      <c r="R159" s="85">
        <f ca="1">IF('Invoer gegevens (N)'!$C$17=E159,'Invoer gegevens (N)'!$C$11,IF(C159=1,W158,0))</f>
        <v>0</v>
      </c>
      <c r="S159" s="86">
        <f t="shared" ca="1" si="35"/>
        <v>0</v>
      </c>
      <c r="T159" s="86">
        <f ca="1">(1-('Invoer gegevens (N)'!$F$20/12))*R159*MIN(BC159,BA159)</f>
        <v>0</v>
      </c>
      <c r="U159" s="86">
        <f ca="1">IF(BD159&lt;1,IF('Reeksen (N)'!AD159&lt;='Reeksen (N)'!AE159,R159*'Reeksen (N)'!C159,0),IF(BC159&gt;=BA159,0,IF('Reeksen (N)'!AD159&lt;='Reeksen (N)'!AE159,(BA159-BC159)*R159,0)))</f>
        <v>0</v>
      </c>
      <c r="V159" s="86">
        <f ca="1">IF(BD159&lt;1,IF('Reeksen (N)'!AD159&gt;'Reeksen (N)'!AE159,R159*'Reeksen (N)'!C159,0),IF(BC159&gt;=BA159,0,IF('Reeksen (N)'!AD159&gt;'Reeksen (N)'!AE159,(BA159-BC159)*R159,0)))</f>
        <v>0</v>
      </c>
      <c r="W159" s="218">
        <f t="shared" ca="1" si="39"/>
        <v>0</v>
      </c>
      <c r="X159" s="98">
        <f ca="1">IF('Invoer gegevens (N)'!$C$17=E159,'Invoer gegevens (N)'!$C$10-'Invoer gegevens (N)'!$C$11,IF(C159=1,AC158,0))</f>
        <v>0</v>
      </c>
      <c r="Y159" s="98">
        <f t="shared" ca="1" si="36"/>
        <v>0</v>
      </c>
      <c r="Z159" s="98">
        <f ca="1">(1-('Invoer gegevens (N)'!$F$20/12))*X159*MIN(BA159,BC159)</f>
        <v>0</v>
      </c>
      <c r="AA159" s="98">
        <f ca="1">IF(BD159&lt;1,IF('Reeksen (N)'!AD159&lt;='Reeksen (N)'!AE159,X159*'Reeksen (N)'!C159,0),IF(BC159&gt;=BA159,0,IF('Reeksen (N)'!AD159&lt;='Reeksen (N)'!AE159,(BA159-BC159)*X159,0)))</f>
        <v>0</v>
      </c>
      <c r="AB159" s="98">
        <f ca="1">IF(BD159&lt;1,IF('Reeksen (N)'!AD159&gt;'Reeksen (N)'!AE159,X159*'Reeksen (N)'!C159,0),IF(BC159&gt;=BA159,0,IF('Reeksen (N)'!AD159&gt;'Reeksen (N)'!AE159,(BA159-BC159)*X159,0)))</f>
        <v>0</v>
      </c>
      <c r="AC159" s="99">
        <f t="shared" ca="1" si="40"/>
        <v>0</v>
      </c>
      <c r="AD159" s="98">
        <f ca="1">IF('Invoer gegevens (N)'!$C$17=E159,R159,IF(C159=0,0,AE158))</f>
        <v>0</v>
      </c>
      <c r="AE159" s="98">
        <f t="shared" ca="1" si="41"/>
        <v>0</v>
      </c>
      <c r="AF159" s="98">
        <f ca="1">IF('Invoer gegevens (N)'!$C$17=E159,X159,IF(C159=0,0,AG158))</f>
        <v>0</v>
      </c>
      <c r="AG159" s="98">
        <f t="shared" ca="1" si="42"/>
        <v>0</v>
      </c>
      <c r="AH159" s="66"/>
      <c r="AI159" s="71">
        <f ca="1">IF(C159=1,'Reeksen (N)'!AI159*((F159+K159)/2)*12+'Reeksen (N)'!AD159*((L159+Q159)/2)*12,0)</f>
        <v>0</v>
      </c>
      <c r="AJ159" s="71">
        <f ca="1">-AI159*'Invoer gegevens (N)'!$F$28</f>
        <v>0</v>
      </c>
      <c r="AK159" s="71">
        <f t="shared" ca="1" si="43"/>
        <v>0</v>
      </c>
      <c r="AL159" s="71">
        <f ca="1">IF(C159=1,'Reeksen (N)'!AL159*((F159-G159+F159)/2)*12+'Reeksen (N)'!AM159*((L159-M159+L159)/2)*12,0)</f>
        <v>0</v>
      </c>
      <c r="AM159" s="71">
        <f ca="1">-AL159*'Invoer gegevens (N)'!$F$31</f>
        <v>0</v>
      </c>
      <c r="AN159" s="71">
        <f t="shared" ca="1" si="44"/>
        <v>0</v>
      </c>
      <c r="AO159" s="71">
        <f ca="1">IF(C159=1,(H159+J159+N159+P159)*'Reeksen (N)'!AN159,0)</f>
        <v>0</v>
      </c>
      <c r="AP159" s="71">
        <f ca="1">-IF(C159=1,(H159+J159+N159+P159)*'Hulp - basis'!$O$550*'Reeksen (N)'!H159,0)</f>
        <v>0</v>
      </c>
      <c r="AQ159" s="71">
        <f ca="1">-IF(C159=1,(F159+K159+L159+Q159)/2*'Invoer gegevens (N)'!$F$35*'Reeksen (N)'!J159,0)*2</f>
        <v>0</v>
      </c>
      <c r="AR159" s="71">
        <f ca="1">IF(BD159&lt;1,-IF(C159=1,(G159*'Invoer gegevens (N)'!$F$36)*'Reeksen (N)'!J159,0),0)</f>
        <v>0</v>
      </c>
      <c r="AS159" s="71">
        <f ca="1">-IF(C159=1,(F159+K159+L159+Q159)/2*'Invoer gegevens (N)'!$F$37*'Reeksen (N)'!L159,0)</f>
        <v>0</v>
      </c>
      <c r="AT159" s="71">
        <f ca="1">-IF(C159=1,IF(E159='Invoer gegevens (N)'!$C$17,'Invoer gegevens (N)'!$C$11,AD159)*'Reeksen (N)'!S159*'Invoer gegevens (N)'!$C$18*'Reeksen (N)'!P159,0)</f>
        <v>0</v>
      </c>
      <c r="AU159" s="71">
        <f ca="1">-IF(C159=1,(F159+K159+L159+Q159)/2*'Invoer gegevens (N)'!$F$38*'Reeksen (N)'!H159,0)</f>
        <v>0</v>
      </c>
      <c r="AV159" s="71">
        <v>0</v>
      </c>
      <c r="AW159" s="71">
        <f t="shared" ca="1" si="45"/>
        <v>0</v>
      </c>
      <c r="AX159" s="71">
        <f ca="1">IF(E159&lt;'Invoer gegevens (N)'!$C$17+15,0,IF(E159&gt;'Invoer gegevens (N)'!$C$17+215,0,AW159))</f>
        <v>0</v>
      </c>
      <c r="AY159" s="71">
        <f ca="1">AX159/(1+'Invoer gegevens (N)'!$F$18)^($AZ159-('Invoer gegevens (N)'!$C$17-'Invoer gegevens (N)'!$C$16))/(1+'Invoer gegevens (N)'!$C$39)^('Invoer gegevens (N)'!$C$17-'Invoer gegevens (N)'!$C$16)</f>
        <v>0</v>
      </c>
      <c r="AZ159" s="68">
        <f ca="1">IF(E159-'Invoer gegevens (N)'!$C$17-14.5&lt;0,0,E159-'Invoer gegevens (N)'!$C$17-14.5)</f>
        <v>139.5</v>
      </c>
      <c r="BA159" s="109">
        <f ca="1">IFERROR(VLOOKUP(E159-15,'Reeksen (N)'!$A$5:$D$234,2,FALSE),0)</f>
        <v>0</v>
      </c>
      <c r="BB159" s="109">
        <f ca="1">IFERROR(VLOOKUP(E159-15,'Reeksen (N)'!$A$5:$D$234,3,FALSE),0)</f>
        <v>0</v>
      </c>
      <c r="BC159" s="109">
        <f ca="1">IFERROR(VLOOKUP(E159-15,'Reeksen (N)'!$A$5:$D$234,4,FALSE),0)</f>
        <v>0</v>
      </c>
      <c r="BD159" s="67">
        <f ca="1">IF(E159-'Invoer gegevens (N)'!$C$17&lt;15,0,1)</f>
        <v>1</v>
      </c>
    </row>
    <row r="160" spans="1:56" x14ac:dyDescent="0.25">
      <c r="A160" s="59"/>
      <c r="B160" s="70">
        <f t="shared" si="46"/>
        <v>156</v>
      </c>
      <c r="C160" s="67">
        <f ca="1">IF(E160-'Invoer gegevens (N)'!$C$17&lt;0,0,1)</f>
        <v>1</v>
      </c>
      <c r="D160" s="68">
        <f t="shared" si="47"/>
        <v>155.5</v>
      </c>
      <c r="E160" s="108">
        <f ca="1">IF('Invoer gegevens (N)'!$C$16="","",E159+1)</f>
        <v>2174</v>
      </c>
      <c r="F160" s="84">
        <f ca="1">IF('Invoer gegevens (N)'!$C$17=E160,'Invoer gegevens (N)'!$C$10,IF(C160=1,K159,0))</f>
        <v>0</v>
      </c>
      <c r="G160" s="96">
        <f ca="1">IF(BD160&lt;1,F160*'Reeksen (N)'!C160,IF(C160&gt;=1,F160*BA160,0))</f>
        <v>0</v>
      </c>
      <c r="H160" s="84">
        <f ca="1">(1-('Invoer gegevens (N)'!$F$20/12))*F160*MIN(BA160,BC160)</f>
        <v>0</v>
      </c>
      <c r="I160" s="84">
        <f t="shared" ca="1" si="32"/>
        <v>0</v>
      </c>
      <c r="J160" s="84">
        <f ca="1">('Invoer gegevens (N)'!$F$20/12)*F159*MIN(BA160,BC160)</f>
        <v>0</v>
      </c>
      <c r="K160" s="97">
        <f t="shared" ca="1" si="37"/>
        <v>0</v>
      </c>
      <c r="L160" s="84">
        <f ca="1">IF('Invoer gegevens (N)'!$C$17=E160,0,IF(C160=1,Q159,0))</f>
        <v>0</v>
      </c>
      <c r="M160" s="96">
        <f t="shared" ca="1" si="33"/>
        <v>0</v>
      </c>
      <c r="N160" s="84">
        <f ca="1">(1-('Invoer gegevens (N)'!$F$20/12))*L160*MIN(BA160,BC160)</f>
        <v>0</v>
      </c>
      <c r="O160" s="84">
        <f t="shared" ca="1" si="34"/>
        <v>0</v>
      </c>
      <c r="P160" s="84">
        <f ca="1">('Invoer gegevens (N)'!$F$20/12)*L159*MIN(BA160,BC160)</f>
        <v>0</v>
      </c>
      <c r="Q160" s="84">
        <f t="shared" ca="1" si="38"/>
        <v>0</v>
      </c>
      <c r="R160" s="85">
        <f ca="1">IF('Invoer gegevens (N)'!$C$17=E160,'Invoer gegevens (N)'!$C$11,IF(C160=1,W159,0))</f>
        <v>0</v>
      </c>
      <c r="S160" s="86">
        <f t="shared" ca="1" si="35"/>
        <v>0</v>
      </c>
      <c r="T160" s="86">
        <f ca="1">(1-('Invoer gegevens (N)'!$F$20/12))*R160*MIN(BC160,BA160)</f>
        <v>0</v>
      </c>
      <c r="U160" s="86">
        <f ca="1">IF(BD160&lt;1,IF('Reeksen (N)'!AD160&lt;='Reeksen (N)'!AE160,R160*'Reeksen (N)'!C160,0),IF(BC160&gt;=BA160,0,IF('Reeksen (N)'!AD160&lt;='Reeksen (N)'!AE160,(BA160-BC160)*R160,0)))</f>
        <v>0</v>
      </c>
      <c r="V160" s="86">
        <f ca="1">IF(BD160&lt;1,IF('Reeksen (N)'!AD160&gt;'Reeksen (N)'!AE160,R160*'Reeksen (N)'!C160,0),IF(BC160&gt;=BA160,0,IF('Reeksen (N)'!AD160&gt;'Reeksen (N)'!AE160,(BA160-BC160)*R160,0)))</f>
        <v>0</v>
      </c>
      <c r="W160" s="218">
        <f t="shared" ca="1" si="39"/>
        <v>0</v>
      </c>
      <c r="X160" s="98">
        <f ca="1">IF('Invoer gegevens (N)'!$C$17=E160,'Invoer gegevens (N)'!$C$10-'Invoer gegevens (N)'!$C$11,IF(C160=1,AC159,0))</f>
        <v>0</v>
      </c>
      <c r="Y160" s="98">
        <f t="shared" ca="1" si="36"/>
        <v>0</v>
      </c>
      <c r="Z160" s="98">
        <f ca="1">(1-('Invoer gegevens (N)'!$F$20/12))*X160*MIN(BA160,BC160)</f>
        <v>0</v>
      </c>
      <c r="AA160" s="98">
        <f ca="1">IF(BD160&lt;1,IF('Reeksen (N)'!AD160&lt;='Reeksen (N)'!AE160,X160*'Reeksen (N)'!C160,0),IF(BC160&gt;=BA160,0,IF('Reeksen (N)'!AD160&lt;='Reeksen (N)'!AE160,(BA160-BC160)*X160,0)))</f>
        <v>0</v>
      </c>
      <c r="AB160" s="98">
        <f ca="1">IF(BD160&lt;1,IF('Reeksen (N)'!AD160&gt;'Reeksen (N)'!AE160,X160*'Reeksen (N)'!C160,0),IF(BC160&gt;=BA160,0,IF('Reeksen (N)'!AD160&gt;'Reeksen (N)'!AE160,(BA160-BC160)*X160,0)))</f>
        <v>0</v>
      </c>
      <c r="AC160" s="99">
        <f t="shared" ca="1" si="40"/>
        <v>0</v>
      </c>
      <c r="AD160" s="98">
        <f ca="1">IF('Invoer gegevens (N)'!$C$17=E160,R160,IF(C160=0,0,AE159))</f>
        <v>0</v>
      </c>
      <c r="AE160" s="98">
        <f t="shared" ca="1" si="41"/>
        <v>0</v>
      </c>
      <c r="AF160" s="98">
        <f ca="1">IF('Invoer gegevens (N)'!$C$17=E160,X160,IF(C160=0,0,AG159))</f>
        <v>0</v>
      </c>
      <c r="AG160" s="98">
        <f t="shared" ca="1" si="42"/>
        <v>0</v>
      </c>
      <c r="AH160" s="66"/>
      <c r="AI160" s="71">
        <f ca="1">IF(C160=1,'Reeksen (N)'!AI160*((F160+K160)/2)*12+'Reeksen (N)'!AD160*((L160+Q160)/2)*12,0)</f>
        <v>0</v>
      </c>
      <c r="AJ160" s="71">
        <f ca="1">-AI160*'Invoer gegevens (N)'!$F$28</f>
        <v>0</v>
      </c>
      <c r="AK160" s="71">
        <f t="shared" ca="1" si="43"/>
        <v>0</v>
      </c>
      <c r="AL160" s="71">
        <f ca="1">IF(C160=1,'Reeksen (N)'!AL160*((F160-G160+F160)/2)*12+'Reeksen (N)'!AM160*((L160-M160+L160)/2)*12,0)</f>
        <v>0</v>
      </c>
      <c r="AM160" s="71">
        <f ca="1">-AL160*'Invoer gegevens (N)'!$F$31</f>
        <v>0</v>
      </c>
      <c r="AN160" s="71">
        <f t="shared" ca="1" si="44"/>
        <v>0</v>
      </c>
      <c r="AO160" s="71">
        <f ca="1">IF(C160=1,(H160+J160+N160+P160)*'Reeksen (N)'!AN160,0)</f>
        <v>0</v>
      </c>
      <c r="AP160" s="71">
        <f ca="1">-IF(C160=1,(H160+J160+N160+P160)*'Hulp - basis'!$O$550*'Reeksen (N)'!H160,0)</f>
        <v>0</v>
      </c>
      <c r="AQ160" s="71">
        <f ca="1">-IF(C160=1,(F160+K160+L160+Q160)/2*'Invoer gegevens (N)'!$F$35*'Reeksen (N)'!J160,0)*2</f>
        <v>0</v>
      </c>
      <c r="AR160" s="71">
        <f ca="1">IF(BD160&lt;1,-IF(C160=1,(G160*'Invoer gegevens (N)'!$F$36)*'Reeksen (N)'!J160,0),0)</f>
        <v>0</v>
      </c>
      <c r="AS160" s="71">
        <f ca="1">-IF(C160=1,(F160+K160+L160+Q160)/2*'Invoer gegevens (N)'!$F$37*'Reeksen (N)'!L160,0)</f>
        <v>0</v>
      </c>
      <c r="AT160" s="71">
        <f ca="1">-IF(C160=1,IF(E160='Invoer gegevens (N)'!$C$17,'Invoer gegevens (N)'!$C$11,AD160)*'Reeksen (N)'!S160*'Invoer gegevens (N)'!$C$18*'Reeksen (N)'!P160,0)</f>
        <v>0</v>
      </c>
      <c r="AU160" s="71">
        <f ca="1">-IF(C160=1,(F160+K160+L160+Q160)/2*'Invoer gegevens (N)'!$F$38*'Reeksen (N)'!H160,0)</f>
        <v>0</v>
      </c>
      <c r="AV160" s="71">
        <v>0</v>
      </c>
      <c r="AW160" s="71">
        <f t="shared" ca="1" si="45"/>
        <v>0</v>
      </c>
      <c r="AX160" s="71">
        <f ca="1">IF(E160&lt;'Invoer gegevens (N)'!$C$17+15,0,IF(E160&gt;'Invoer gegevens (N)'!$C$17+215,0,AW160))</f>
        <v>0</v>
      </c>
      <c r="AY160" s="71">
        <f ca="1">AX160/(1+'Invoer gegevens (N)'!$F$18)^($AZ160-('Invoer gegevens (N)'!$C$17-'Invoer gegevens (N)'!$C$16))/(1+'Invoer gegevens (N)'!$C$39)^('Invoer gegevens (N)'!$C$17-'Invoer gegevens (N)'!$C$16)</f>
        <v>0</v>
      </c>
      <c r="AZ160" s="68">
        <f ca="1">IF(E160-'Invoer gegevens (N)'!$C$17-14.5&lt;0,0,E160-'Invoer gegevens (N)'!$C$17-14.5)</f>
        <v>140.5</v>
      </c>
      <c r="BA160" s="109">
        <f ca="1">IFERROR(VLOOKUP(E160-15,'Reeksen (N)'!$A$5:$D$234,2,FALSE),0)</f>
        <v>0</v>
      </c>
      <c r="BB160" s="109">
        <f ca="1">IFERROR(VLOOKUP(E160-15,'Reeksen (N)'!$A$5:$D$234,3,FALSE),0)</f>
        <v>0</v>
      </c>
      <c r="BC160" s="109">
        <f ca="1">IFERROR(VLOOKUP(E160-15,'Reeksen (N)'!$A$5:$D$234,4,FALSE),0)</f>
        <v>0</v>
      </c>
      <c r="BD160" s="67">
        <f ca="1">IF(E160-'Invoer gegevens (N)'!$C$17&lt;15,0,1)</f>
        <v>1</v>
      </c>
    </row>
    <row r="161" spans="1:56" x14ac:dyDescent="0.25">
      <c r="A161" s="59"/>
      <c r="B161" s="70">
        <f t="shared" si="46"/>
        <v>157</v>
      </c>
      <c r="C161" s="67">
        <f ca="1">IF(E161-'Invoer gegevens (N)'!$C$17&lt;0,0,1)</f>
        <v>1</v>
      </c>
      <c r="D161" s="68">
        <f t="shared" si="47"/>
        <v>156.5</v>
      </c>
      <c r="E161" s="108">
        <f ca="1">IF('Invoer gegevens (N)'!$C$16="","",E160+1)</f>
        <v>2175</v>
      </c>
      <c r="F161" s="84">
        <f ca="1">IF('Invoer gegevens (N)'!$C$17=E161,'Invoer gegevens (N)'!$C$10,IF(C161=1,K160,0))</f>
        <v>0</v>
      </c>
      <c r="G161" s="96">
        <f ca="1">IF(BD161&lt;1,F161*'Reeksen (N)'!C161,IF(C161&gt;=1,F161*BA161,0))</f>
        <v>0</v>
      </c>
      <c r="H161" s="84">
        <f ca="1">(1-('Invoer gegevens (N)'!$F$20/12))*F161*MIN(BA161,BC161)</f>
        <v>0</v>
      </c>
      <c r="I161" s="84">
        <f t="shared" ca="1" si="32"/>
        <v>0</v>
      </c>
      <c r="J161" s="84">
        <f ca="1">('Invoer gegevens (N)'!$F$20/12)*F160*MIN(BA161,BC161)</f>
        <v>0</v>
      </c>
      <c r="K161" s="97">
        <f t="shared" ca="1" si="37"/>
        <v>0</v>
      </c>
      <c r="L161" s="84">
        <f ca="1">IF('Invoer gegevens (N)'!$C$17=E161,0,IF(C161=1,Q160,0))</f>
        <v>0</v>
      </c>
      <c r="M161" s="96">
        <f t="shared" ca="1" si="33"/>
        <v>0</v>
      </c>
      <c r="N161" s="84">
        <f ca="1">(1-('Invoer gegevens (N)'!$F$20/12))*L161*MIN(BA161,BC161)</f>
        <v>0</v>
      </c>
      <c r="O161" s="84">
        <f t="shared" ca="1" si="34"/>
        <v>0</v>
      </c>
      <c r="P161" s="84">
        <f ca="1">('Invoer gegevens (N)'!$F$20/12)*L160*MIN(BA161,BC161)</f>
        <v>0</v>
      </c>
      <c r="Q161" s="84">
        <f t="shared" ca="1" si="38"/>
        <v>0</v>
      </c>
      <c r="R161" s="85">
        <f ca="1">IF('Invoer gegevens (N)'!$C$17=E161,'Invoer gegevens (N)'!$C$11,IF(C161=1,W160,0))</f>
        <v>0</v>
      </c>
      <c r="S161" s="86">
        <f t="shared" ca="1" si="35"/>
        <v>0</v>
      </c>
      <c r="T161" s="86">
        <f ca="1">(1-('Invoer gegevens (N)'!$F$20/12))*R161*MIN(BC161,BA161)</f>
        <v>0</v>
      </c>
      <c r="U161" s="86">
        <f ca="1">IF(BD161&lt;1,IF('Reeksen (N)'!AD161&lt;='Reeksen (N)'!AE161,R161*'Reeksen (N)'!C161,0),IF(BC161&gt;=BA161,0,IF('Reeksen (N)'!AD161&lt;='Reeksen (N)'!AE161,(BA161-BC161)*R161,0)))</f>
        <v>0</v>
      </c>
      <c r="V161" s="86">
        <f ca="1">IF(BD161&lt;1,IF('Reeksen (N)'!AD161&gt;'Reeksen (N)'!AE161,R161*'Reeksen (N)'!C161,0),IF(BC161&gt;=BA161,0,IF('Reeksen (N)'!AD161&gt;'Reeksen (N)'!AE161,(BA161-BC161)*R161,0)))</f>
        <v>0</v>
      </c>
      <c r="W161" s="218">
        <f t="shared" ca="1" si="39"/>
        <v>0</v>
      </c>
      <c r="X161" s="98">
        <f ca="1">IF('Invoer gegevens (N)'!$C$17=E161,'Invoer gegevens (N)'!$C$10-'Invoer gegevens (N)'!$C$11,IF(C161=1,AC160,0))</f>
        <v>0</v>
      </c>
      <c r="Y161" s="98">
        <f t="shared" ca="1" si="36"/>
        <v>0</v>
      </c>
      <c r="Z161" s="98">
        <f ca="1">(1-('Invoer gegevens (N)'!$F$20/12))*X161*MIN(BA161,BC161)</f>
        <v>0</v>
      </c>
      <c r="AA161" s="98">
        <f ca="1">IF(BD161&lt;1,IF('Reeksen (N)'!AD161&lt;='Reeksen (N)'!AE161,X161*'Reeksen (N)'!C161,0),IF(BC161&gt;=BA161,0,IF('Reeksen (N)'!AD161&lt;='Reeksen (N)'!AE161,(BA161-BC161)*X161,0)))</f>
        <v>0</v>
      </c>
      <c r="AB161" s="98">
        <f ca="1">IF(BD161&lt;1,IF('Reeksen (N)'!AD161&gt;'Reeksen (N)'!AE161,X161*'Reeksen (N)'!C161,0),IF(BC161&gt;=BA161,0,IF('Reeksen (N)'!AD161&gt;'Reeksen (N)'!AE161,(BA161-BC161)*X161,0)))</f>
        <v>0</v>
      </c>
      <c r="AC161" s="99">
        <f t="shared" ca="1" si="40"/>
        <v>0</v>
      </c>
      <c r="AD161" s="98">
        <f ca="1">IF('Invoer gegevens (N)'!$C$17=E161,R161,IF(C161=0,0,AE160))</f>
        <v>0</v>
      </c>
      <c r="AE161" s="98">
        <f t="shared" ca="1" si="41"/>
        <v>0</v>
      </c>
      <c r="AF161" s="98">
        <f ca="1">IF('Invoer gegevens (N)'!$C$17=E161,X161,IF(C161=0,0,AG160))</f>
        <v>0</v>
      </c>
      <c r="AG161" s="98">
        <f t="shared" ca="1" si="42"/>
        <v>0</v>
      </c>
      <c r="AH161" s="66"/>
      <c r="AI161" s="71">
        <f ca="1">IF(C161=1,'Reeksen (N)'!AI161*((F161+K161)/2)*12+'Reeksen (N)'!AD161*((L161+Q161)/2)*12,0)</f>
        <v>0</v>
      </c>
      <c r="AJ161" s="71">
        <f ca="1">-AI161*'Invoer gegevens (N)'!$F$28</f>
        <v>0</v>
      </c>
      <c r="AK161" s="71">
        <f t="shared" ca="1" si="43"/>
        <v>0</v>
      </c>
      <c r="AL161" s="71">
        <f ca="1">IF(C161=1,'Reeksen (N)'!AL161*((F161-G161+F161)/2)*12+'Reeksen (N)'!AM161*((L161-M161+L161)/2)*12,0)</f>
        <v>0</v>
      </c>
      <c r="AM161" s="71">
        <f ca="1">-AL161*'Invoer gegevens (N)'!$F$31</f>
        <v>0</v>
      </c>
      <c r="AN161" s="71">
        <f t="shared" ca="1" si="44"/>
        <v>0</v>
      </c>
      <c r="AO161" s="71">
        <f ca="1">IF(C161=1,(H161+J161+N161+P161)*'Reeksen (N)'!AN161,0)</f>
        <v>0</v>
      </c>
      <c r="AP161" s="71">
        <f ca="1">-IF(C161=1,(H161+J161+N161+P161)*'Hulp - basis'!$O$550*'Reeksen (N)'!H161,0)</f>
        <v>0</v>
      </c>
      <c r="AQ161" s="71">
        <f ca="1">-IF(C161=1,(F161+K161+L161+Q161)/2*'Invoer gegevens (N)'!$F$35*'Reeksen (N)'!J161,0)*2</f>
        <v>0</v>
      </c>
      <c r="AR161" s="71">
        <f ca="1">IF(BD161&lt;1,-IF(C161=1,(G161*'Invoer gegevens (N)'!$F$36)*'Reeksen (N)'!J161,0),0)</f>
        <v>0</v>
      </c>
      <c r="AS161" s="71">
        <f ca="1">-IF(C161=1,(F161+K161+L161+Q161)/2*'Invoer gegevens (N)'!$F$37*'Reeksen (N)'!L161,0)</f>
        <v>0</v>
      </c>
      <c r="AT161" s="71">
        <f ca="1">-IF(C161=1,IF(E161='Invoer gegevens (N)'!$C$17,'Invoer gegevens (N)'!$C$11,AD161)*'Reeksen (N)'!S161*'Invoer gegevens (N)'!$C$18*'Reeksen (N)'!P161,0)</f>
        <v>0</v>
      </c>
      <c r="AU161" s="71">
        <f ca="1">-IF(C161=1,(F161+K161+L161+Q161)/2*'Invoer gegevens (N)'!$F$38*'Reeksen (N)'!H161,0)</f>
        <v>0</v>
      </c>
      <c r="AV161" s="71">
        <v>0</v>
      </c>
      <c r="AW161" s="71">
        <f t="shared" ca="1" si="45"/>
        <v>0</v>
      </c>
      <c r="AX161" s="71">
        <f ca="1">IF(E161&lt;'Invoer gegevens (N)'!$C$17+15,0,IF(E161&gt;'Invoer gegevens (N)'!$C$17+215,0,AW161))</f>
        <v>0</v>
      </c>
      <c r="AY161" s="71">
        <f ca="1">AX161/(1+'Invoer gegevens (N)'!$F$18)^($AZ161-('Invoer gegevens (N)'!$C$17-'Invoer gegevens (N)'!$C$16))/(1+'Invoer gegevens (N)'!$C$39)^('Invoer gegevens (N)'!$C$17-'Invoer gegevens (N)'!$C$16)</f>
        <v>0</v>
      </c>
      <c r="AZ161" s="68">
        <f ca="1">IF(E161-'Invoer gegevens (N)'!$C$17-14.5&lt;0,0,E161-'Invoer gegevens (N)'!$C$17-14.5)</f>
        <v>141.5</v>
      </c>
      <c r="BA161" s="109">
        <f ca="1">IFERROR(VLOOKUP(E161-15,'Reeksen (N)'!$A$5:$D$234,2,FALSE),0)</f>
        <v>0</v>
      </c>
      <c r="BB161" s="109">
        <f ca="1">IFERROR(VLOOKUP(E161-15,'Reeksen (N)'!$A$5:$D$234,3,FALSE),0)</f>
        <v>0</v>
      </c>
      <c r="BC161" s="109">
        <f ca="1">IFERROR(VLOOKUP(E161-15,'Reeksen (N)'!$A$5:$D$234,4,FALSE),0)</f>
        <v>0</v>
      </c>
      <c r="BD161" s="67">
        <f ca="1">IF(E161-'Invoer gegevens (N)'!$C$17&lt;15,0,1)</f>
        <v>1</v>
      </c>
    </row>
    <row r="162" spans="1:56" x14ac:dyDescent="0.25">
      <c r="A162" s="59"/>
      <c r="B162" s="70">
        <f t="shared" si="46"/>
        <v>158</v>
      </c>
      <c r="C162" s="67">
        <f ca="1">IF(E162-'Invoer gegevens (N)'!$C$17&lt;0,0,1)</f>
        <v>1</v>
      </c>
      <c r="D162" s="68">
        <f t="shared" si="47"/>
        <v>157.5</v>
      </c>
      <c r="E162" s="108">
        <f ca="1">IF('Invoer gegevens (N)'!$C$16="","",E161+1)</f>
        <v>2176</v>
      </c>
      <c r="F162" s="84">
        <f ca="1">IF('Invoer gegevens (N)'!$C$17=E162,'Invoer gegevens (N)'!$C$10,IF(C162=1,K161,0))</f>
        <v>0</v>
      </c>
      <c r="G162" s="96">
        <f ca="1">IF(BD162&lt;1,F162*'Reeksen (N)'!C162,IF(C162&gt;=1,F162*BA162,0))</f>
        <v>0</v>
      </c>
      <c r="H162" s="84">
        <f ca="1">(1-('Invoer gegevens (N)'!$F$20/12))*F162*MIN(BA162,BC162)</f>
        <v>0</v>
      </c>
      <c r="I162" s="84">
        <f t="shared" ca="1" si="32"/>
        <v>0</v>
      </c>
      <c r="J162" s="84">
        <f ca="1">('Invoer gegevens (N)'!$F$20/12)*F161*MIN(BA162,BC162)</f>
        <v>0</v>
      </c>
      <c r="K162" s="97">
        <f t="shared" ca="1" si="37"/>
        <v>0</v>
      </c>
      <c r="L162" s="84">
        <f ca="1">IF('Invoer gegevens (N)'!$C$17=E162,0,IF(C162=1,Q161,0))</f>
        <v>0</v>
      </c>
      <c r="M162" s="96">
        <f t="shared" ca="1" si="33"/>
        <v>0</v>
      </c>
      <c r="N162" s="84">
        <f ca="1">(1-('Invoer gegevens (N)'!$F$20/12))*L162*MIN(BA162,BC162)</f>
        <v>0</v>
      </c>
      <c r="O162" s="84">
        <f t="shared" ca="1" si="34"/>
        <v>0</v>
      </c>
      <c r="P162" s="84">
        <f ca="1">('Invoer gegevens (N)'!$F$20/12)*L161*MIN(BA162,BC162)</f>
        <v>0</v>
      </c>
      <c r="Q162" s="84">
        <f t="shared" ca="1" si="38"/>
        <v>0</v>
      </c>
      <c r="R162" s="85">
        <f ca="1">IF('Invoer gegevens (N)'!$C$17=E162,'Invoer gegevens (N)'!$C$11,IF(C162=1,W161,0))</f>
        <v>0</v>
      </c>
      <c r="S162" s="86">
        <f t="shared" ca="1" si="35"/>
        <v>0</v>
      </c>
      <c r="T162" s="86">
        <f ca="1">(1-('Invoer gegevens (N)'!$F$20/12))*R162*MIN(BC162,BA162)</f>
        <v>0</v>
      </c>
      <c r="U162" s="86">
        <f ca="1">IF(BD162&lt;1,IF('Reeksen (N)'!AD162&lt;='Reeksen (N)'!AE162,R162*'Reeksen (N)'!C162,0),IF(BC162&gt;=BA162,0,IF('Reeksen (N)'!AD162&lt;='Reeksen (N)'!AE162,(BA162-BC162)*R162,0)))</f>
        <v>0</v>
      </c>
      <c r="V162" s="86">
        <f ca="1">IF(BD162&lt;1,IF('Reeksen (N)'!AD162&gt;'Reeksen (N)'!AE162,R162*'Reeksen (N)'!C162,0),IF(BC162&gt;=BA162,0,IF('Reeksen (N)'!AD162&gt;'Reeksen (N)'!AE162,(BA162-BC162)*R162,0)))</f>
        <v>0</v>
      </c>
      <c r="W162" s="218">
        <f t="shared" ca="1" si="39"/>
        <v>0</v>
      </c>
      <c r="X162" s="98">
        <f ca="1">IF('Invoer gegevens (N)'!$C$17=E162,'Invoer gegevens (N)'!$C$10-'Invoer gegevens (N)'!$C$11,IF(C162=1,AC161,0))</f>
        <v>0</v>
      </c>
      <c r="Y162" s="98">
        <f t="shared" ca="1" si="36"/>
        <v>0</v>
      </c>
      <c r="Z162" s="98">
        <f ca="1">(1-('Invoer gegevens (N)'!$F$20/12))*X162*MIN(BA162,BC162)</f>
        <v>0</v>
      </c>
      <c r="AA162" s="98">
        <f ca="1">IF(BD162&lt;1,IF('Reeksen (N)'!AD162&lt;='Reeksen (N)'!AE162,X162*'Reeksen (N)'!C162,0),IF(BC162&gt;=BA162,0,IF('Reeksen (N)'!AD162&lt;='Reeksen (N)'!AE162,(BA162-BC162)*X162,0)))</f>
        <v>0</v>
      </c>
      <c r="AB162" s="98">
        <f ca="1">IF(BD162&lt;1,IF('Reeksen (N)'!AD162&gt;'Reeksen (N)'!AE162,X162*'Reeksen (N)'!C162,0),IF(BC162&gt;=BA162,0,IF('Reeksen (N)'!AD162&gt;'Reeksen (N)'!AE162,(BA162-BC162)*X162,0)))</f>
        <v>0</v>
      </c>
      <c r="AC162" s="99">
        <f t="shared" ca="1" si="40"/>
        <v>0</v>
      </c>
      <c r="AD162" s="98">
        <f ca="1">IF('Invoer gegevens (N)'!$C$17=E162,R162,IF(C162=0,0,AE161))</f>
        <v>0</v>
      </c>
      <c r="AE162" s="98">
        <f t="shared" ca="1" si="41"/>
        <v>0</v>
      </c>
      <c r="AF162" s="98">
        <f ca="1">IF('Invoer gegevens (N)'!$C$17=E162,X162,IF(C162=0,0,AG161))</f>
        <v>0</v>
      </c>
      <c r="AG162" s="98">
        <f t="shared" ca="1" si="42"/>
        <v>0</v>
      </c>
      <c r="AH162" s="66"/>
      <c r="AI162" s="71">
        <f ca="1">IF(C162=1,'Reeksen (N)'!AI162*((F162+K162)/2)*12+'Reeksen (N)'!AD162*((L162+Q162)/2)*12,0)</f>
        <v>0</v>
      </c>
      <c r="AJ162" s="71">
        <f ca="1">-AI162*'Invoer gegevens (N)'!$F$28</f>
        <v>0</v>
      </c>
      <c r="AK162" s="71">
        <f t="shared" ca="1" si="43"/>
        <v>0</v>
      </c>
      <c r="AL162" s="71">
        <f ca="1">IF(C162=1,'Reeksen (N)'!AL162*((F162-G162+F162)/2)*12+'Reeksen (N)'!AM162*((L162-M162+L162)/2)*12,0)</f>
        <v>0</v>
      </c>
      <c r="AM162" s="71">
        <f ca="1">-AL162*'Invoer gegevens (N)'!$F$31</f>
        <v>0</v>
      </c>
      <c r="AN162" s="71">
        <f t="shared" ca="1" si="44"/>
        <v>0</v>
      </c>
      <c r="AO162" s="71">
        <f ca="1">IF(C162=1,(H162+J162+N162+P162)*'Reeksen (N)'!AN162,0)</f>
        <v>0</v>
      </c>
      <c r="AP162" s="71">
        <f ca="1">-IF(C162=1,(H162+J162+N162+P162)*'Hulp - basis'!$O$550*'Reeksen (N)'!H162,0)</f>
        <v>0</v>
      </c>
      <c r="AQ162" s="71">
        <f ca="1">-IF(C162=1,(F162+K162+L162+Q162)/2*'Invoer gegevens (N)'!$F$35*'Reeksen (N)'!J162,0)*2</f>
        <v>0</v>
      </c>
      <c r="AR162" s="71">
        <f ca="1">IF(BD162&lt;1,-IF(C162=1,(G162*'Invoer gegevens (N)'!$F$36)*'Reeksen (N)'!J162,0),0)</f>
        <v>0</v>
      </c>
      <c r="AS162" s="71">
        <f ca="1">-IF(C162=1,(F162+K162+L162+Q162)/2*'Invoer gegevens (N)'!$F$37*'Reeksen (N)'!L162,0)</f>
        <v>0</v>
      </c>
      <c r="AT162" s="71">
        <f ca="1">-IF(C162=1,IF(E162='Invoer gegevens (N)'!$C$17,'Invoer gegevens (N)'!$C$11,AD162)*'Reeksen (N)'!S162*'Invoer gegevens (N)'!$C$18*'Reeksen (N)'!P162,0)</f>
        <v>0</v>
      </c>
      <c r="AU162" s="71">
        <f ca="1">-IF(C162=1,(F162+K162+L162+Q162)/2*'Invoer gegevens (N)'!$F$38*'Reeksen (N)'!H162,0)</f>
        <v>0</v>
      </c>
      <c r="AV162" s="71">
        <v>0</v>
      </c>
      <c r="AW162" s="71">
        <f t="shared" ca="1" si="45"/>
        <v>0</v>
      </c>
      <c r="AX162" s="71">
        <f ca="1">IF(E162&lt;'Invoer gegevens (N)'!$C$17+15,0,IF(E162&gt;'Invoer gegevens (N)'!$C$17+215,0,AW162))</f>
        <v>0</v>
      </c>
      <c r="AY162" s="71">
        <f ca="1">AX162/(1+'Invoer gegevens (N)'!$F$18)^($AZ162-('Invoer gegevens (N)'!$C$17-'Invoer gegevens (N)'!$C$16))/(1+'Invoer gegevens (N)'!$C$39)^('Invoer gegevens (N)'!$C$17-'Invoer gegevens (N)'!$C$16)</f>
        <v>0</v>
      </c>
      <c r="AZ162" s="68">
        <f ca="1">IF(E162-'Invoer gegevens (N)'!$C$17-14.5&lt;0,0,E162-'Invoer gegevens (N)'!$C$17-14.5)</f>
        <v>142.5</v>
      </c>
      <c r="BA162" s="109">
        <f ca="1">IFERROR(VLOOKUP(E162-15,'Reeksen (N)'!$A$5:$D$234,2,FALSE),0)</f>
        <v>0</v>
      </c>
      <c r="BB162" s="109">
        <f ca="1">IFERROR(VLOOKUP(E162-15,'Reeksen (N)'!$A$5:$D$234,3,FALSE),0)</f>
        <v>0</v>
      </c>
      <c r="BC162" s="109">
        <f ca="1">IFERROR(VLOOKUP(E162-15,'Reeksen (N)'!$A$5:$D$234,4,FALSE),0)</f>
        <v>0</v>
      </c>
      <c r="BD162" s="67">
        <f ca="1">IF(E162-'Invoer gegevens (N)'!$C$17&lt;15,0,1)</f>
        <v>1</v>
      </c>
    </row>
    <row r="163" spans="1:56" x14ac:dyDescent="0.25">
      <c r="A163" s="59"/>
      <c r="B163" s="70">
        <f t="shared" si="46"/>
        <v>159</v>
      </c>
      <c r="C163" s="67">
        <f ca="1">IF(E163-'Invoer gegevens (N)'!$C$17&lt;0,0,1)</f>
        <v>1</v>
      </c>
      <c r="D163" s="68">
        <f t="shared" si="47"/>
        <v>158.5</v>
      </c>
      <c r="E163" s="108">
        <f ca="1">IF('Invoer gegevens (N)'!$C$16="","",E162+1)</f>
        <v>2177</v>
      </c>
      <c r="F163" s="84">
        <f ca="1">IF('Invoer gegevens (N)'!$C$17=E163,'Invoer gegevens (N)'!$C$10,IF(C163=1,K162,0))</f>
        <v>0</v>
      </c>
      <c r="G163" s="96">
        <f ca="1">IF(BD163&lt;1,F163*'Reeksen (N)'!C163,IF(C163&gt;=1,F163*BA163,0))</f>
        <v>0</v>
      </c>
      <c r="H163" s="84">
        <f ca="1">(1-('Invoer gegevens (N)'!$F$20/12))*F163*MIN(BA163,BC163)</f>
        <v>0</v>
      </c>
      <c r="I163" s="84">
        <f t="shared" ca="1" si="32"/>
        <v>0</v>
      </c>
      <c r="J163" s="84">
        <f ca="1">('Invoer gegevens (N)'!$F$20/12)*F162*MIN(BA163,BC163)</f>
        <v>0</v>
      </c>
      <c r="K163" s="97">
        <f t="shared" ca="1" si="37"/>
        <v>0</v>
      </c>
      <c r="L163" s="84">
        <f ca="1">IF('Invoer gegevens (N)'!$C$17=E163,0,IF(C163=1,Q162,0))</f>
        <v>0</v>
      </c>
      <c r="M163" s="96">
        <f t="shared" ca="1" si="33"/>
        <v>0</v>
      </c>
      <c r="N163" s="84">
        <f ca="1">(1-('Invoer gegevens (N)'!$F$20/12))*L163*MIN(BA163,BC163)</f>
        <v>0</v>
      </c>
      <c r="O163" s="84">
        <f t="shared" ca="1" si="34"/>
        <v>0</v>
      </c>
      <c r="P163" s="84">
        <f ca="1">('Invoer gegevens (N)'!$F$20/12)*L162*MIN(BA163,BC163)</f>
        <v>0</v>
      </c>
      <c r="Q163" s="84">
        <f t="shared" ca="1" si="38"/>
        <v>0</v>
      </c>
      <c r="R163" s="85">
        <f ca="1">IF('Invoer gegevens (N)'!$C$17=E163,'Invoer gegevens (N)'!$C$11,IF(C163=1,W162,0))</f>
        <v>0</v>
      </c>
      <c r="S163" s="86">
        <f t="shared" ca="1" si="35"/>
        <v>0</v>
      </c>
      <c r="T163" s="86">
        <f ca="1">(1-('Invoer gegevens (N)'!$F$20/12))*R163*MIN(BC163,BA163)</f>
        <v>0</v>
      </c>
      <c r="U163" s="86">
        <f ca="1">IF(BD163&lt;1,IF('Reeksen (N)'!AD163&lt;='Reeksen (N)'!AE163,R163*'Reeksen (N)'!C163,0),IF(BC163&gt;=BA163,0,IF('Reeksen (N)'!AD163&lt;='Reeksen (N)'!AE163,(BA163-BC163)*R163,0)))</f>
        <v>0</v>
      </c>
      <c r="V163" s="86">
        <f ca="1">IF(BD163&lt;1,IF('Reeksen (N)'!AD163&gt;'Reeksen (N)'!AE163,R163*'Reeksen (N)'!C163,0),IF(BC163&gt;=BA163,0,IF('Reeksen (N)'!AD163&gt;'Reeksen (N)'!AE163,(BA163-BC163)*R163,0)))</f>
        <v>0</v>
      </c>
      <c r="W163" s="218">
        <f t="shared" ca="1" si="39"/>
        <v>0</v>
      </c>
      <c r="X163" s="98">
        <f ca="1">IF('Invoer gegevens (N)'!$C$17=E163,'Invoer gegevens (N)'!$C$10-'Invoer gegevens (N)'!$C$11,IF(C163=1,AC162,0))</f>
        <v>0</v>
      </c>
      <c r="Y163" s="98">
        <f t="shared" ca="1" si="36"/>
        <v>0</v>
      </c>
      <c r="Z163" s="98">
        <f ca="1">(1-('Invoer gegevens (N)'!$F$20/12))*X163*MIN(BA163,BC163)</f>
        <v>0</v>
      </c>
      <c r="AA163" s="98">
        <f ca="1">IF(BD163&lt;1,IF('Reeksen (N)'!AD163&lt;='Reeksen (N)'!AE163,X163*'Reeksen (N)'!C163,0),IF(BC163&gt;=BA163,0,IF('Reeksen (N)'!AD163&lt;='Reeksen (N)'!AE163,(BA163-BC163)*X163,0)))</f>
        <v>0</v>
      </c>
      <c r="AB163" s="98">
        <f ca="1">IF(BD163&lt;1,IF('Reeksen (N)'!AD163&gt;'Reeksen (N)'!AE163,X163*'Reeksen (N)'!C163,0),IF(BC163&gt;=BA163,0,IF('Reeksen (N)'!AD163&gt;'Reeksen (N)'!AE163,(BA163-BC163)*X163,0)))</f>
        <v>0</v>
      </c>
      <c r="AC163" s="99">
        <f t="shared" ca="1" si="40"/>
        <v>0</v>
      </c>
      <c r="AD163" s="98">
        <f ca="1">IF('Invoer gegevens (N)'!$C$17=E163,R163,IF(C163=0,0,AE162))</f>
        <v>0</v>
      </c>
      <c r="AE163" s="98">
        <f t="shared" ca="1" si="41"/>
        <v>0</v>
      </c>
      <c r="AF163" s="98">
        <f ca="1">IF('Invoer gegevens (N)'!$C$17=E163,X163,IF(C163=0,0,AG162))</f>
        <v>0</v>
      </c>
      <c r="AG163" s="98">
        <f t="shared" ca="1" si="42"/>
        <v>0</v>
      </c>
      <c r="AH163" s="66"/>
      <c r="AI163" s="71">
        <f ca="1">IF(C163=1,'Reeksen (N)'!AI163*((F163+K163)/2)*12+'Reeksen (N)'!AD163*((L163+Q163)/2)*12,0)</f>
        <v>0</v>
      </c>
      <c r="AJ163" s="71">
        <f ca="1">-AI163*'Invoer gegevens (N)'!$F$28</f>
        <v>0</v>
      </c>
      <c r="AK163" s="71">
        <f t="shared" ca="1" si="43"/>
        <v>0</v>
      </c>
      <c r="AL163" s="71">
        <f ca="1">IF(C163=1,'Reeksen (N)'!AL163*((F163-G163+F163)/2)*12+'Reeksen (N)'!AM163*((L163-M163+L163)/2)*12,0)</f>
        <v>0</v>
      </c>
      <c r="AM163" s="71">
        <f ca="1">-AL163*'Invoer gegevens (N)'!$F$31</f>
        <v>0</v>
      </c>
      <c r="AN163" s="71">
        <f t="shared" ca="1" si="44"/>
        <v>0</v>
      </c>
      <c r="AO163" s="71">
        <f ca="1">IF(C163=1,(H163+J163+N163+P163)*'Reeksen (N)'!AN163,0)</f>
        <v>0</v>
      </c>
      <c r="AP163" s="71">
        <f ca="1">-IF(C163=1,(H163+J163+N163+P163)*'Hulp - basis'!$O$550*'Reeksen (N)'!H163,0)</f>
        <v>0</v>
      </c>
      <c r="AQ163" s="71">
        <f ca="1">-IF(C163=1,(F163+K163+L163+Q163)/2*'Invoer gegevens (N)'!$F$35*'Reeksen (N)'!J163,0)*2</f>
        <v>0</v>
      </c>
      <c r="AR163" s="71">
        <f ca="1">IF(BD163&lt;1,-IF(C163=1,(G163*'Invoer gegevens (N)'!$F$36)*'Reeksen (N)'!J163,0),0)</f>
        <v>0</v>
      </c>
      <c r="AS163" s="71">
        <f ca="1">-IF(C163=1,(F163+K163+L163+Q163)/2*'Invoer gegevens (N)'!$F$37*'Reeksen (N)'!L163,0)</f>
        <v>0</v>
      </c>
      <c r="AT163" s="71">
        <f ca="1">-IF(C163=1,IF(E163='Invoer gegevens (N)'!$C$17,'Invoer gegevens (N)'!$C$11,AD163)*'Reeksen (N)'!S163*'Invoer gegevens (N)'!$C$18*'Reeksen (N)'!P163,0)</f>
        <v>0</v>
      </c>
      <c r="AU163" s="71">
        <f ca="1">-IF(C163=1,(F163+K163+L163+Q163)/2*'Invoer gegevens (N)'!$F$38*'Reeksen (N)'!H163,0)</f>
        <v>0</v>
      </c>
      <c r="AV163" s="71">
        <v>0</v>
      </c>
      <c r="AW163" s="71">
        <f t="shared" ca="1" si="45"/>
        <v>0</v>
      </c>
      <c r="AX163" s="71">
        <f ca="1">IF(E163&lt;'Invoer gegevens (N)'!$C$17+15,0,IF(E163&gt;'Invoer gegevens (N)'!$C$17+215,0,AW163))</f>
        <v>0</v>
      </c>
      <c r="AY163" s="71">
        <f ca="1">AX163/(1+'Invoer gegevens (N)'!$F$18)^($AZ163-('Invoer gegevens (N)'!$C$17-'Invoer gegevens (N)'!$C$16))/(1+'Invoer gegevens (N)'!$C$39)^('Invoer gegevens (N)'!$C$17-'Invoer gegevens (N)'!$C$16)</f>
        <v>0</v>
      </c>
      <c r="AZ163" s="68">
        <f ca="1">IF(E163-'Invoer gegevens (N)'!$C$17-14.5&lt;0,0,E163-'Invoer gegevens (N)'!$C$17-14.5)</f>
        <v>143.5</v>
      </c>
      <c r="BA163" s="109">
        <f ca="1">IFERROR(VLOOKUP(E163-15,'Reeksen (N)'!$A$5:$D$234,2,FALSE),0)</f>
        <v>0</v>
      </c>
      <c r="BB163" s="109">
        <f ca="1">IFERROR(VLOOKUP(E163-15,'Reeksen (N)'!$A$5:$D$234,3,FALSE),0)</f>
        <v>0</v>
      </c>
      <c r="BC163" s="109">
        <f ca="1">IFERROR(VLOOKUP(E163-15,'Reeksen (N)'!$A$5:$D$234,4,FALSE),0)</f>
        <v>0</v>
      </c>
      <c r="BD163" s="67">
        <f ca="1">IF(E163-'Invoer gegevens (N)'!$C$17&lt;15,0,1)</f>
        <v>1</v>
      </c>
    </row>
    <row r="164" spans="1:56" x14ac:dyDescent="0.25">
      <c r="A164" s="59"/>
      <c r="B164" s="70">
        <f t="shared" si="46"/>
        <v>160</v>
      </c>
      <c r="C164" s="67">
        <f ca="1">IF(E164-'Invoer gegevens (N)'!$C$17&lt;0,0,1)</f>
        <v>1</v>
      </c>
      <c r="D164" s="68">
        <f t="shared" si="47"/>
        <v>159.5</v>
      </c>
      <c r="E164" s="108">
        <f ca="1">IF('Invoer gegevens (N)'!$C$16="","",E163+1)</f>
        <v>2178</v>
      </c>
      <c r="F164" s="84">
        <f ca="1">IF('Invoer gegevens (N)'!$C$17=E164,'Invoer gegevens (N)'!$C$10,IF(C164=1,K163,0))</f>
        <v>0</v>
      </c>
      <c r="G164" s="96">
        <f ca="1">IF(BD164&lt;1,F164*'Reeksen (N)'!C164,IF(C164&gt;=1,F164*BA164,0))</f>
        <v>0</v>
      </c>
      <c r="H164" s="84">
        <f ca="1">(1-('Invoer gegevens (N)'!$F$20/12))*F164*MIN(BA164,BC164)</f>
        <v>0</v>
      </c>
      <c r="I164" s="84">
        <f t="shared" ca="1" si="32"/>
        <v>0</v>
      </c>
      <c r="J164" s="84">
        <f ca="1">('Invoer gegevens (N)'!$F$20/12)*F163*MIN(BA164,BC164)</f>
        <v>0</v>
      </c>
      <c r="K164" s="97">
        <f t="shared" ca="1" si="37"/>
        <v>0</v>
      </c>
      <c r="L164" s="84">
        <f ca="1">IF('Invoer gegevens (N)'!$C$17=E164,0,IF(C164=1,Q163,0))</f>
        <v>0</v>
      </c>
      <c r="M164" s="96">
        <f t="shared" ca="1" si="33"/>
        <v>0</v>
      </c>
      <c r="N164" s="84">
        <f ca="1">(1-('Invoer gegevens (N)'!$F$20/12))*L164*MIN(BA164,BC164)</f>
        <v>0</v>
      </c>
      <c r="O164" s="84">
        <f t="shared" ca="1" si="34"/>
        <v>0</v>
      </c>
      <c r="P164" s="84">
        <f ca="1">('Invoer gegevens (N)'!$F$20/12)*L163*MIN(BA164,BC164)</f>
        <v>0</v>
      </c>
      <c r="Q164" s="84">
        <f t="shared" ca="1" si="38"/>
        <v>0</v>
      </c>
      <c r="R164" s="85">
        <f ca="1">IF('Invoer gegevens (N)'!$C$17=E164,'Invoer gegevens (N)'!$C$11,IF(C164=1,W163,0))</f>
        <v>0</v>
      </c>
      <c r="S164" s="86">
        <f t="shared" ca="1" si="35"/>
        <v>0</v>
      </c>
      <c r="T164" s="86">
        <f ca="1">(1-('Invoer gegevens (N)'!$F$20/12))*R164*MIN(BC164,BA164)</f>
        <v>0</v>
      </c>
      <c r="U164" s="86">
        <f ca="1">IF(BD164&lt;1,IF('Reeksen (N)'!AD164&lt;='Reeksen (N)'!AE164,R164*'Reeksen (N)'!C164,0),IF(BC164&gt;=BA164,0,IF('Reeksen (N)'!AD164&lt;='Reeksen (N)'!AE164,(BA164-BC164)*R164,0)))</f>
        <v>0</v>
      </c>
      <c r="V164" s="86">
        <f ca="1">IF(BD164&lt;1,IF('Reeksen (N)'!AD164&gt;'Reeksen (N)'!AE164,R164*'Reeksen (N)'!C164,0),IF(BC164&gt;=BA164,0,IF('Reeksen (N)'!AD164&gt;'Reeksen (N)'!AE164,(BA164-BC164)*R164,0)))</f>
        <v>0</v>
      </c>
      <c r="W164" s="218">
        <f t="shared" ca="1" si="39"/>
        <v>0</v>
      </c>
      <c r="X164" s="98">
        <f ca="1">IF('Invoer gegevens (N)'!$C$17=E164,'Invoer gegevens (N)'!$C$10-'Invoer gegevens (N)'!$C$11,IF(C164=1,AC163,0))</f>
        <v>0</v>
      </c>
      <c r="Y164" s="98">
        <f t="shared" ca="1" si="36"/>
        <v>0</v>
      </c>
      <c r="Z164" s="98">
        <f ca="1">(1-('Invoer gegevens (N)'!$F$20/12))*X164*MIN(BA164,BC164)</f>
        <v>0</v>
      </c>
      <c r="AA164" s="98">
        <f ca="1">IF(BD164&lt;1,IF('Reeksen (N)'!AD164&lt;='Reeksen (N)'!AE164,X164*'Reeksen (N)'!C164,0),IF(BC164&gt;=BA164,0,IF('Reeksen (N)'!AD164&lt;='Reeksen (N)'!AE164,(BA164-BC164)*X164,0)))</f>
        <v>0</v>
      </c>
      <c r="AB164" s="98">
        <f ca="1">IF(BD164&lt;1,IF('Reeksen (N)'!AD164&gt;'Reeksen (N)'!AE164,X164*'Reeksen (N)'!C164,0),IF(BC164&gt;=BA164,0,IF('Reeksen (N)'!AD164&gt;'Reeksen (N)'!AE164,(BA164-BC164)*X164,0)))</f>
        <v>0</v>
      </c>
      <c r="AC164" s="99">
        <f t="shared" ca="1" si="40"/>
        <v>0</v>
      </c>
      <c r="AD164" s="98">
        <f ca="1">IF('Invoer gegevens (N)'!$C$17=E164,R164,IF(C164=0,0,AE163))</f>
        <v>0</v>
      </c>
      <c r="AE164" s="98">
        <f t="shared" ca="1" si="41"/>
        <v>0</v>
      </c>
      <c r="AF164" s="98">
        <f ca="1">IF('Invoer gegevens (N)'!$C$17=E164,X164,IF(C164=0,0,AG163))</f>
        <v>0</v>
      </c>
      <c r="AG164" s="98">
        <f t="shared" ca="1" si="42"/>
        <v>0</v>
      </c>
      <c r="AH164" s="66"/>
      <c r="AI164" s="71">
        <f ca="1">IF(C164=1,'Reeksen (N)'!AI164*((F164+K164)/2)*12+'Reeksen (N)'!AD164*((L164+Q164)/2)*12,0)</f>
        <v>0</v>
      </c>
      <c r="AJ164" s="71">
        <f ca="1">-AI164*'Invoer gegevens (N)'!$F$28</f>
        <v>0</v>
      </c>
      <c r="AK164" s="71">
        <f t="shared" ca="1" si="43"/>
        <v>0</v>
      </c>
      <c r="AL164" s="71">
        <f ca="1">IF(C164=1,'Reeksen (N)'!AL164*((F164-G164+F164)/2)*12+'Reeksen (N)'!AM164*((L164-M164+L164)/2)*12,0)</f>
        <v>0</v>
      </c>
      <c r="AM164" s="71">
        <f ca="1">-AL164*'Invoer gegevens (N)'!$F$31</f>
        <v>0</v>
      </c>
      <c r="AN164" s="71">
        <f t="shared" ca="1" si="44"/>
        <v>0</v>
      </c>
      <c r="AO164" s="71">
        <f ca="1">IF(C164=1,(H164+J164+N164+P164)*'Reeksen (N)'!AN164,0)</f>
        <v>0</v>
      </c>
      <c r="AP164" s="71">
        <f ca="1">-IF(C164=1,(H164+J164+N164+P164)*'Hulp - basis'!$O$550*'Reeksen (N)'!H164,0)</f>
        <v>0</v>
      </c>
      <c r="AQ164" s="71">
        <f ca="1">-IF(C164=1,(F164+K164+L164+Q164)/2*'Invoer gegevens (N)'!$F$35*'Reeksen (N)'!J164,0)*2</f>
        <v>0</v>
      </c>
      <c r="AR164" s="71">
        <f ca="1">IF(BD164&lt;1,-IF(C164=1,(G164*'Invoer gegevens (N)'!$F$36)*'Reeksen (N)'!J164,0),0)</f>
        <v>0</v>
      </c>
      <c r="AS164" s="71">
        <f ca="1">-IF(C164=1,(F164+K164+L164+Q164)/2*'Invoer gegevens (N)'!$F$37*'Reeksen (N)'!L164,0)</f>
        <v>0</v>
      </c>
      <c r="AT164" s="71">
        <f ca="1">-IF(C164=1,IF(E164='Invoer gegevens (N)'!$C$17,'Invoer gegevens (N)'!$C$11,AD164)*'Reeksen (N)'!S164*'Invoer gegevens (N)'!$C$18*'Reeksen (N)'!P164,0)</f>
        <v>0</v>
      </c>
      <c r="AU164" s="71">
        <f ca="1">-IF(C164=1,(F164+K164+L164+Q164)/2*'Invoer gegevens (N)'!$F$38*'Reeksen (N)'!H164,0)</f>
        <v>0</v>
      </c>
      <c r="AV164" s="71">
        <v>0</v>
      </c>
      <c r="AW164" s="71">
        <f t="shared" ca="1" si="45"/>
        <v>0</v>
      </c>
      <c r="AX164" s="71">
        <f ca="1">IF(E164&lt;'Invoer gegevens (N)'!$C$17+15,0,IF(E164&gt;'Invoer gegevens (N)'!$C$17+215,0,AW164))</f>
        <v>0</v>
      </c>
      <c r="AY164" s="71">
        <f ca="1">AX164/(1+'Invoer gegevens (N)'!$F$18)^($AZ164-('Invoer gegevens (N)'!$C$17-'Invoer gegevens (N)'!$C$16))/(1+'Invoer gegevens (N)'!$C$39)^('Invoer gegevens (N)'!$C$17-'Invoer gegevens (N)'!$C$16)</f>
        <v>0</v>
      </c>
      <c r="AZ164" s="68">
        <f ca="1">IF(E164-'Invoer gegevens (N)'!$C$17-14.5&lt;0,0,E164-'Invoer gegevens (N)'!$C$17-14.5)</f>
        <v>144.5</v>
      </c>
      <c r="BA164" s="109">
        <f ca="1">IFERROR(VLOOKUP(E164-15,'Reeksen (N)'!$A$5:$D$234,2,FALSE),0)</f>
        <v>0</v>
      </c>
      <c r="BB164" s="109">
        <f ca="1">IFERROR(VLOOKUP(E164-15,'Reeksen (N)'!$A$5:$D$234,3,FALSE),0)</f>
        <v>0</v>
      </c>
      <c r="BC164" s="109">
        <f ca="1">IFERROR(VLOOKUP(E164-15,'Reeksen (N)'!$A$5:$D$234,4,FALSE),0)</f>
        <v>0</v>
      </c>
      <c r="BD164" s="67">
        <f ca="1">IF(E164-'Invoer gegevens (N)'!$C$17&lt;15,0,1)</f>
        <v>1</v>
      </c>
    </row>
    <row r="165" spans="1:56" x14ac:dyDescent="0.25">
      <c r="A165" s="59"/>
      <c r="B165" s="70">
        <f t="shared" si="46"/>
        <v>161</v>
      </c>
      <c r="C165" s="67">
        <f ca="1">IF(E165-'Invoer gegevens (N)'!$C$17&lt;0,0,1)</f>
        <v>1</v>
      </c>
      <c r="D165" s="68">
        <f t="shared" si="47"/>
        <v>160.5</v>
      </c>
      <c r="E165" s="108">
        <f ca="1">IF('Invoer gegevens (N)'!$C$16="","",E164+1)</f>
        <v>2179</v>
      </c>
      <c r="F165" s="84">
        <f ca="1">IF('Invoer gegevens (N)'!$C$17=E165,'Invoer gegevens (N)'!$C$10,IF(C165=1,K164,0))</f>
        <v>0</v>
      </c>
      <c r="G165" s="96">
        <f ca="1">IF(BD165&lt;1,F165*'Reeksen (N)'!C165,IF(C165&gt;=1,F165*BA165,0))</f>
        <v>0</v>
      </c>
      <c r="H165" s="84">
        <f ca="1">(1-('Invoer gegevens (N)'!$F$20/12))*F165*MIN(BA165,BC165)</f>
        <v>0</v>
      </c>
      <c r="I165" s="84">
        <f t="shared" ca="1" si="32"/>
        <v>0</v>
      </c>
      <c r="J165" s="84">
        <f ca="1">('Invoer gegevens (N)'!$F$20/12)*F164*MIN(BA165,BC165)</f>
        <v>0</v>
      </c>
      <c r="K165" s="97">
        <f t="shared" ca="1" si="37"/>
        <v>0</v>
      </c>
      <c r="L165" s="84">
        <f ca="1">IF('Invoer gegevens (N)'!$C$17=E165,0,IF(C165=1,Q164,0))</f>
        <v>0</v>
      </c>
      <c r="M165" s="96">
        <f t="shared" ca="1" si="33"/>
        <v>0</v>
      </c>
      <c r="N165" s="84">
        <f ca="1">(1-('Invoer gegevens (N)'!$F$20/12))*L165*MIN(BA165,BC165)</f>
        <v>0</v>
      </c>
      <c r="O165" s="84">
        <f t="shared" ca="1" si="34"/>
        <v>0</v>
      </c>
      <c r="P165" s="84">
        <f ca="1">('Invoer gegevens (N)'!$F$20/12)*L164*MIN(BA165,BC165)</f>
        <v>0</v>
      </c>
      <c r="Q165" s="84">
        <f t="shared" ca="1" si="38"/>
        <v>0</v>
      </c>
      <c r="R165" s="85">
        <f ca="1">IF('Invoer gegevens (N)'!$C$17=E165,'Invoer gegevens (N)'!$C$11,IF(C165=1,W164,0))</f>
        <v>0</v>
      </c>
      <c r="S165" s="86">
        <f t="shared" ca="1" si="35"/>
        <v>0</v>
      </c>
      <c r="T165" s="86">
        <f ca="1">(1-('Invoer gegevens (N)'!$F$20/12))*R165*MIN(BC165,BA165)</f>
        <v>0</v>
      </c>
      <c r="U165" s="86">
        <f ca="1">IF(BD165&lt;1,IF('Reeksen (N)'!AD165&lt;='Reeksen (N)'!AE165,R165*'Reeksen (N)'!C165,0),IF(BC165&gt;=BA165,0,IF('Reeksen (N)'!AD165&lt;='Reeksen (N)'!AE165,(BA165-BC165)*R165,0)))</f>
        <v>0</v>
      </c>
      <c r="V165" s="86">
        <f ca="1">IF(BD165&lt;1,IF('Reeksen (N)'!AD165&gt;'Reeksen (N)'!AE165,R165*'Reeksen (N)'!C165,0),IF(BC165&gt;=BA165,0,IF('Reeksen (N)'!AD165&gt;'Reeksen (N)'!AE165,(BA165-BC165)*R165,0)))</f>
        <v>0</v>
      </c>
      <c r="W165" s="218">
        <f t="shared" ca="1" si="39"/>
        <v>0</v>
      </c>
      <c r="X165" s="98">
        <f ca="1">IF('Invoer gegevens (N)'!$C$17=E165,'Invoer gegevens (N)'!$C$10-'Invoer gegevens (N)'!$C$11,IF(C165=1,AC164,0))</f>
        <v>0</v>
      </c>
      <c r="Y165" s="98">
        <f t="shared" ca="1" si="36"/>
        <v>0</v>
      </c>
      <c r="Z165" s="98">
        <f ca="1">(1-('Invoer gegevens (N)'!$F$20/12))*X165*MIN(BA165,BC165)</f>
        <v>0</v>
      </c>
      <c r="AA165" s="98">
        <f ca="1">IF(BD165&lt;1,IF('Reeksen (N)'!AD165&lt;='Reeksen (N)'!AE165,X165*'Reeksen (N)'!C165,0),IF(BC165&gt;=BA165,0,IF('Reeksen (N)'!AD165&lt;='Reeksen (N)'!AE165,(BA165-BC165)*X165,0)))</f>
        <v>0</v>
      </c>
      <c r="AB165" s="98">
        <f ca="1">IF(BD165&lt;1,IF('Reeksen (N)'!AD165&gt;'Reeksen (N)'!AE165,X165*'Reeksen (N)'!C165,0),IF(BC165&gt;=BA165,0,IF('Reeksen (N)'!AD165&gt;'Reeksen (N)'!AE165,(BA165-BC165)*X165,0)))</f>
        <v>0</v>
      </c>
      <c r="AC165" s="99">
        <f t="shared" ca="1" si="40"/>
        <v>0</v>
      </c>
      <c r="AD165" s="98">
        <f ca="1">IF('Invoer gegevens (N)'!$C$17=E165,R165,IF(C165=0,0,AE164))</f>
        <v>0</v>
      </c>
      <c r="AE165" s="98">
        <f t="shared" ca="1" si="41"/>
        <v>0</v>
      </c>
      <c r="AF165" s="98">
        <f ca="1">IF('Invoer gegevens (N)'!$C$17=E165,X165,IF(C165=0,0,AG164))</f>
        <v>0</v>
      </c>
      <c r="AG165" s="98">
        <f t="shared" ca="1" si="42"/>
        <v>0</v>
      </c>
      <c r="AH165" s="66"/>
      <c r="AI165" s="71">
        <f ca="1">IF(C165=1,'Reeksen (N)'!AI165*((F165+K165)/2)*12+'Reeksen (N)'!AD165*((L165+Q165)/2)*12,0)</f>
        <v>0</v>
      </c>
      <c r="AJ165" s="71">
        <f ca="1">-AI165*'Invoer gegevens (N)'!$F$28</f>
        <v>0</v>
      </c>
      <c r="AK165" s="71">
        <f t="shared" ca="1" si="43"/>
        <v>0</v>
      </c>
      <c r="AL165" s="71">
        <f ca="1">IF(C165=1,'Reeksen (N)'!AL165*((F165-G165+F165)/2)*12+'Reeksen (N)'!AM165*((L165-M165+L165)/2)*12,0)</f>
        <v>0</v>
      </c>
      <c r="AM165" s="71">
        <f ca="1">-AL165*'Invoer gegevens (N)'!$F$31</f>
        <v>0</v>
      </c>
      <c r="AN165" s="71">
        <f t="shared" ca="1" si="44"/>
        <v>0</v>
      </c>
      <c r="AO165" s="71">
        <f ca="1">IF(C165=1,(H165+J165+N165+P165)*'Reeksen (N)'!AN165,0)</f>
        <v>0</v>
      </c>
      <c r="AP165" s="71">
        <f ca="1">-IF(C165=1,(H165+J165+N165+P165)*'Hulp - basis'!$O$550*'Reeksen (N)'!H165,0)</f>
        <v>0</v>
      </c>
      <c r="AQ165" s="71">
        <f ca="1">-IF(C165=1,(F165+K165+L165+Q165)/2*'Invoer gegevens (N)'!$F$35*'Reeksen (N)'!J165,0)*2</f>
        <v>0</v>
      </c>
      <c r="AR165" s="71">
        <f ca="1">IF(BD165&lt;1,-IF(C165=1,(G165*'Invoer gegevens (N)'!$F$36)*'Reeksen (N)'!J165,0),0)</f>
        <v>0</v>
      </c>
      <c r="AS165" s="71">
        <f ca="1">-IF(C165=1,(F165+K165+L165+Q165)/2*'Invoer gegevens (N)'!$F$37*'Reeksen (N)'!L165,0)</f>
        <v>0</v>
      </c>
      <c r="AT165" s="71">
        <f ca="1">-IF(C165=1,IF(E165='Invoer gegevens (N)'!$C$17,'Invoer gegevens (N)'!$C$11,AD165)*'Reeksen (N)'!S165*'Invoer gegevens (N)'!$C$18*'Reeksen (N)'!P165,0)</f>
        <v>0</v>
      </c>
      <c r="AU165" s="71">
        <f ca="1">-IF(C165=1,(F165+K165+L165+Q165)/2*'Invoer gegevens (N)'!$F$38*'Reeksen (N)'!H165,0)</f>
        <v>0</v>
      </c>
      <c r="AV165" s="71">
        <v>0</v>
      </c>
      <c r="AW165" s="71">
        <f t="shared" ca="1" si="45"/>
        <v>0</v>
      </c>
      <c r="AX165" s="71">
        <f ca="1">IF(E165&lt;'Invoer gegevens (N)'!$C$17+15,0,IF(E165&gt;'Invoer gegevens (N)'!$C$17+215,0,AW165))</f>
        <v>0</v>
      </c>
      <c r="AY165" s="71">
        <f ca="1">AX165/(1+'Invoer gegevens (N)'!$F$18)^($AZ165-('Invoer gegevens (N)'!$C$17-'Invoer gegevens (N)'!$C$16))/(1+'Invoer gegevens (N)'!$C$39)^('Invoer gegevens (N)'!$C$17-'Invoer gegevens (N)'!$C$16)</f>
        <v>0</v>
      </c>
      <c r="AZ165" s="68">
        <f ca="1">IF(E165-'Invoer gegevens (N)'!$C$17-14.5&lt;0,0,E165-'Invoer gegevens (N)'!$C$17-14.5)</f>
        <v>145.5</v>
      </c>
      <c r="BA165" s="109">
        <f ca="1">IFERROR(VLOOKUP(E165-15,'Reeksen (N)'!$A$5:$D$234,2,FALSE),0)</f>
        <v>0</v>
      </c>
      <c r="BB165" s="109">
        <f ca="1">IFERROR(VLOOKUP(E165-15,'Reeksen (N)'!$A$5:$D$234,3,FALSE),0)</f>
        <v>0</v>
      </c>
      <c r="BC165" s="109">
        <f ca="1">IFERROR(VLOOKUP(E165-15,'Reeksen (N)'!$A$5:$D$234,4,FALSE),0)</f>
        <v>0</v>
      </c>
      <c r="BD165" s="67">
        <f ca="1">IF(E165-'Invoer gegevens (N)'!$C$17&lt;15,0,1)</f>
        <v>1</v>
      </c>
    </row>
    <row r="166" spans="1:56" x14ac:dyDescent="0.25">
      <c r="A166" s="59"/>
      <c r="B166" s="70">
        <f t="shared" si="46"/>
        <v>162</v>
      </c>
      <c r="C166" s="67">
        <f ca="1">IF(E166-'Invoer gegevens (N)'!$C$17&lt;0,0,1)</f>
        <v>1</v>
      </c>
      <c r="D166" s="68">
        <f t="shared" si="47"/>
        <v>161.5</v>
      </c>
      <c r="E166" s="108">
        <f ca="1">IF('Invoer gegevens (N)'!$C$16="","",E165+1)</f>
        <v>2180</v>
      </c>
      <c r="F166" s="84">
        <f ca="1">IF('Invoer gegevens (N)'!$C$17=E166,'Invoer gegevens (N)'!$C$10,IF(C166=1,K165,0))</f>
        <v>0</v>
      </c>
      <c r="G166" s="96">
        <f ca="1">IF(BD166&lt;1,F166*'Reeksen (N)'!C166,IF(C166&gt;=1,F166*BA166,0))</f>
        <v>0</v>
      </c>
      <c r="H166" s="84">
        <f ca="1">(1-('Invoer gegevens (N)'!$F$20/12))*F166*MIN(BA166,BC166)</f>
        <v>0</v>
      </c>
      <c r="I166" s="84">
        <f t="shared" ca="1" si="32"/>
        <v>0</v>
      </c>
      <c r="J166" s="84">
        <f ca="1">('Invoer gegevens (N)'!$F$20/12)*F165*MIN(BA166,BC166)</f>
        <v>0</v>
      </c>
      <c r="K166" s="97">
        <f t="shared" ca="1" si="37"/>
        <v>0</v>
      </c>
      <c r="L166" s="84">
        <f ca="1">IF('Invoer gegevens (N)'!$C$17=E166,0,IF(C166=1,Q165,0))</f>
        <v>0</v>
      </c>
      <c r="M166" s="96">
        <f t="shared" ca="1" si="33"/>
        <v>0</v>
      </c>
      <c r="N166" s="84">
        <f ca="1">(1-('Invoer gegevens (N)'!$F$20/12))*L166*MIN(BA166,BC166)</f>
        <v>0</v>
      </c>
      <c r="O166" s="84">
        <f t="shared" ca="1" si="34"/>
        <v>0</v>
      </c>
      <c r="P166" s="84">
        <f ca="1">('Invoer gegevens (N)'!$F$20/12)*L165*MIN(BA166,BC166)</f>
        <v>0</v>
      </c>
      <c r="Q166" s="84">
        <f t="shared" ca="1" si="38"/>
        <v>0</v>
      </c>
      <c r="R166" s="85">
        <f ca="1">IF('Invoer gegevens (N)'!$C$17=E166,'Invoer gegevens (N)'!$C$11,IF(C166=1,W165,0))</f>
        <v>0</v>
      </c>
      <c r="S166" s="86">
        <f t="shared" ca="1" si="35"/>
        <v>0</v>
      </c>
      <c r="T166" s="86">
        <f ca="1">(1-('Invoer gegevens (N)'!$F$20/12))*R166*MIN(BC166,BA166)</f>
        <v>0</v>
      </c>
      <c r="U166" s="86">
        <f ca="1">IF(BD166&lt;1,IF('Reeksen (N)'!AD166&lt;='Reeksen (N)'!AE166,R166*'Reeksen (N)'!C166,0),IF(BC166&gt;=BA166,0,IF('Reeksen (N)'!AD166&lt;='Reeksen (N)'!AE166,(BA166-BC166)*R166,0)))</f>
        <v>0</v>
      </c>
      <c r="V166" s="86">
        <f ca="1">IF(BD166&lt;1,IF('Reeksen (N)'!AD166&gt;'Reeksen (N)'!AE166,R166*'Reeksen (N)'!C166,0),IF(BC166&gt;=BA166,0,IF('Reeksen (N)'!AD166&gt;'Reeksen (N)'!AE166,(BA166-BC166)*R166,0)))</f>
        <v>0</v>
      </c>
      <c r="W166" s="218">
        <f t="shared" ca="1" si="39"/>
        <v>0</v>
      </c>
      <c r="X166" s="98">
        <f ca="1">IF('Invoer gegevens (N)'!$C$17=E166,'Invoer gegevens (N)'!$C$10-'Invoer gegevens (N)'!$C$11,IF(C166=1,AC165,0))</f>
        <v>0</v>
      </c>
      <c r="Y166" s="98">
        <f t="shared" ca="1" si="36"/>
        <v>0</v>
      </c>
      <c r="Z166" s="98">
        <f ca="1">(1-('Invoer gegevens (N)'!$F$20/12))*X166*MIN(BA166,BC166)</f>
        <v>0</v>
      </c>
      <c r="AA166" s="98">
        <f ca="1">IF(BD166&lt;1,IF('Reeksen (N)'!AD166&lt;='Reeksen (N)'!AE166,X166*'Reeksen (N)'!C166,0),IF(BC166&gt;=BA166,0,IF('Reeksen (N)'!AD166&lt;='Reeksen (N)'!AE166,(BA166-BC166)*X166,0)))</f>
        <v>0</v>
      </c>
      <c r="AB166" s="98">
        <f ca="1">IF(BD166&lt;1,IF('Reeksen (N)'!AD166&gt;'Reeksen (N)'!AE166,X166*'Reeksen (N)'!C166,0),IF(BC166&gt;=BA166,0,IF('Reeksen (N)'!AD166&gt;'Reeksen (N)'!AE166,(BA166-BC166)*X166,0)))</f>
        <v>0</v>
      </c>
      <c r="AC166" s="99">
        <f t="shared" ca="1" si="40"/>
        <v>0</v>
      </c>
      <c r="AD166" s="98">
        <f ca="1">IF('Invoer gegevens (N)'!$C$17=E166,R166,IF(C166=0,0,AE165))</f>
        <v>0</v>
      </c>
      <c r="AE166" s="98">
        <f t="shared" ca="1" si="41"/>
        <v>0</v>
      </c>
      <c r="AF166" s="98">
        <f ca="1">IF('Invoer gegevens (N)'!$C$17=E166,X166,IF(C166=0,0,AG165))</f>
        <v>0</v>
      </c>
      <c r="AG166" s="98">
        <f t="shared" ca="1" si="42"/>
        <v>0</v>
      </c>
      <c r="AH166" s="66"/>
      <c r="AI166" s="71">
        <f ca="1">IF(C166=1,'Reeksen (N)'!AI166*((F166+K166)/2)*12+'Reeksen (N)'!AD166*((L166+Q166)/2)*12,0)</f>
        <v>0</v>
      </c>
      <c r="AJ166" s="71">
        <f ca="1">-AI166*'Invoer gegevens (N)'!$F$28</f>
        <v>0</v>
      </c>
      <c r="AK166" s="71">
        <f t="shared" ca="1" si="43"/>
        <v>0</v>
      </c>
      <c r="AL166" s="71">
        <f ca="1">IF(C166=1,'Reeksen (N)'!AL166*((F166-G166+F166)/2)*12+'Reeksen (N)'!AM166*((L166-M166+L166)/2)*12,0)</f>
        <v>0</v>
      </c>
      <c r="AM166" s="71">
        <f ca="1">-AL166*'Invoer gegevens (N)'!$F$31</f>
        <v>0</v>
      </c>
      <c r="AN166" s="71">
        <f t="shared" ca="1" si="44"/>
        <v>0</v>
      </c>
      <c r="AO166" s="71">
        <f ca="1">IF(C166=1,(H166+J166+N166+P166)*'Reeksen (N)'!AN166,0)</f>
        <v>0</v>
      </c>
      <c r="AP166" s="71">
        <f ca="1">-IF(C166=1,(H166+J166+N166+P166)*'Hulp - basis'!$O$550*'Reeksen (N)'!H166,0)</f>
        <v>0</v>
      </c>
      <c r="AQ166" s="71">
        <f ca="1">-IF(C166=1,(F166+K166+L166+Q166)/2*'Invoer gegevens (N)'!$F$35*'Reeksen (N)'!J166,0)*2</f>
        <v>0</v>
      </c>
      <c r="AR166" s="71">
        <f ca="1">IF(BD166&lt;1,-IF(C166=1,(G166*'Invoer gegevens (N)'!$F$36)*'Reeksen (N)'!J166,0),0)</f>
        <v>0</v>
      </c>
      <c r="AS166" s="71">
        <f ca="1">-IF(C166=1,(F166+K166+L166+Q166)/2*'Invoer gegevens (N)'!$F$37*'Reeksen (N)'!L166,0)</f>
        <v>0</v>
      </c>
      <c r="AT166" s="71">
        <f ca="1">-IF(C166=1,IF(E166='Invoer gegevens (N)'!$C$17,'Invoer gegevens (N)'!$C$11,AD166)*'Reeksen (N)'!S166*'Invoer gegevens (N)'!$C$18*'Reeksen (N)'!P166,0)</f>
        <v>0</v>
      </c>
      <c r="AU166" s="71">
        <f ca="1">-IF(C166=1,(F166+K166+L166+Q166)/2*'Invoer gegevens (N)'!$F$38*'Reeksen (N)'!H166,0)</f>
        <v>0</v>
      </c>
      <c r="AV166" s="71">
        <v>0</v>
      </c>
      <c r="AW166" s="71">
        <f t="shared" ca="1" si="45"/>
        <v>0</v>
      </c>
      <c r="AX166" s="71">
        <f ca="1">IF(E166&lt;'Invoer gegevens (N)'!$C$17+15,0,IF(E166&gt;'Invoer gegevens (N)'!$C$17+215,0,AW166))</f>
        <v>0</v>
      </c>
      <c r="AY166" s="71">
        <f ca="1">AX166/(1+'Invoer gegevens (N)'!$F$18)^($AZ166-('Invoer gegevens (N)'!$C$17-'Invoer gegevens (N)'!$C$16))/(1+'Invoer gegevens (N)'!$C$39)^('Invoer gegevens (N)'!$C$17-'Invoer gegevens (N)'!$C$16)</f>
        <v>0</v>
      </c>
      <c r="AZ166" s="68">
        <f ca="1">IF(E166-'Invoer gegevens (N)'!$C$17-14.5&lt;0,0,E166-'Invoer gegevens (N)'!$C$17-14.5)</f>
        <v>146.5</v>
      </c>
      <c r="BA166" s="109">
        <f ca="1">IFERROR(VLOOKUP(E166-15,'Reeksen (N)'!$A$5:$D$234,2,FALSE),0)</f>
        <v>0</v>
      </c>
      <c r="BB166" s="109">
        <f ca="1">IFERROR(VLOOKUP(E166-15,'Reeksen (N)'!$A$5:$D$234,3,FALSE),0)</f>
        <v>0</v>
      </c>
      <c r="BC166" s="109">
        <f ca="1">IFERROR(VLOOKUP(E166-15,'Reeksen (N)'!$A$5:$D$234,4,FALSE),0)</f>
        <v>0</v>
      </c>
      <c r="BD166" s="67">
        <f ca="1">IF(E166-'Invoer gegevens (N)'!$C$17&lt;15,0,1)</f>
        <v>1</v>
      </c>
    </row>
    <row r="167" spans="1:56" x14ac:dyDescent="0.25">
      <c r="A167" s="59"/>
      <c r="B167" s="70">
        <f t="shared" si="46"/>
        <v>163</v>
      </c>
      <c r="C167" s="67">
        <f ca="1">IF(E167-'Invoer gegevens (N)'!$C$17&lt;0,0,1)</f>
        <v>1</v>
      </c>
      <c r="D167" s="68">
        <f t="shared" si="47"/>
        <v>162.5</v>
      </c>
      <c r="E167" s="108">
        <f ca="1">IF('Invoer gegevens (N)'!$C$16="","",E166+1)</f>
        <v>2181</v>
      </c>
      <c r="F167" s="84">
        <f ca="1">IF('Invoer gegevens (N)'!$C$17=E167,'Invoer gegevens (N)'!$C$10,IF(C167=1,K166,0))</f>
        <v>0</v>
      </c>
      <c r="G167" s="96">
        <f ca="1">IF(BD167&lt;1,F167*'Reeksen (N)'!C167,IF(C167&gt;=1,F167*BA167,0))</f>
        <v>0</v>
      </c>
      <c r="H167" s="84">
        <f ca="1">(1-('Invoer gegevens (N)'!$F$20/12))*F167*MIN(BA167,BC167)</f>
        <v>0</v>
      </c>
      <c r="I167" s="84">
        <f t="shared" ca="1" si="32"/>
        <v>0</v>
      </c>
      <c r="J167" s="84">
        <f ca="1">('Invoer gegevens (N)'!$F$20/12)*F166*MIN(BA167,BC167)</f>
        <v>0</v>
      </c>
      <c r="K167" s="97">
        <f t="shared" ca="1" si="37"/>
        <v>0</v>
      </c>
      <c r="L167" s="84">
        <f ca="1">IF('Invoer gegevens (N)'!$C$17=E167,0,IF(C167=1,Q166,0))</f>
        <v>0</v>
      </c>
      <c r="M167" s="96">
        <f t="shared" ca="1" si="33"/>
        <v>0</v>
      </c>
      <c r="N167" s="84">
        <f ca="1">(1-('Invoer gegevens (N)'!$F$20/12))*L167*MIN(BA167,BC167)</f>
        <v>0</v>
      </c>
      <c r="O167" s="84">
        <f t="shared" ca="1" si="34"/>
        <v>0</v>
      </c>
      <c r="P167" s="84">
        <f ca="1">('Invoer gegevens (N)'!$F$20/12)*L166*MIN(BA167,BC167)</f>
        <v>0</v>
      </c>
      <c r="Q167" s="84">
        <f t="shared" ca="1" si="38"/>
        <v>0</v>
      </c>
      <c r="R167" s="85">
        <f ca="1">IF('Invoer gegevens (N)'!$C$17=E167,'Invoer gegevens (N)'!$C$11,IF(C167=1,W166,0))</f>
        <v>0</v>
      </c>
      <c r="S167" s="86">
        <f t="shared" ca="1" si="35"/>
        <v>0</v>
      </c>
      <c r="T167" s="86">
        <f ca="1">(1-('Invoer gegevens (N)'!$F$20/12))*R167*MIN(BC167,BA167)</f>
        <v>0</v>
      </c>
      <c r="U167" s="86">
        <f ca="1">IF(BD167&lt;1,IF('Reeksen (N)'!AD167&lt;='Reeksen (N)'!AE167,R167*'Reeksen (N)'!C167,0),IF(BC167&gt;=BA167,0,IF('Reeksen (N)'!AD167&lt;='Reeksen (N)'!AE167,(BA167-BC167)*R167,0)))</f>
        <v>0</v>
      </c>
      <c r="V167" s="86">
        <f ca="1">IF(BD167&lt;1,IF('Reeksen (N)'!AD167&gt;'Reeksen (N)'!AE167,R167*'Reeksen (N)'!C167,0),IF(BC167&gt;=BA167,0,IF('Reeksen (N)'!AD167&gt;'Reeksen (N)'!AE167,(BA167-BC167)*R167,0)))</f>
        <v>0</v>
      </c>
      <c r="W167" s="218">
        <f t="shared" ca="1" si="39"/>
        <v>0</v>
      </c>
      <c r="X167" s="98">
        <f ca="1">IF('Invoer gegevens (N)'!$C$17=E167,'Invoer gegevens (N)'!$C$10-'Invoer gegevens (N)'!$C$11,IF(C167=1,AC166,0))</f>
        <v>0</v>
      </c>
      <c r="Y167" s="98">
        <f t="shared" ca="1" si="36"/>
        <v>0</v>
      </c>
      <c r="Z167" s="98">
        <f ca="1">(1-('Invoer gegevens (N)'!$F$20/12))*X167*MIN(BA167,BC167)</f>
        <v>0</v>
      </c>
      <c r="AA167" s="98">
        <f ca="1">IF(BD167&lt;1,IF('Reeksen (N)'!AD167&lt;='Reeksen (N)'!AE167,X167*'Reeksen (N)'!C167,0),IF(BC167&gt;=BA167,0,IF('Reeksen (N)'!AD167&lt;='Reeksen (N)'!AE167,(BA167-BC167)*X167,0)))</f>
        <v>0</v>
      </c>
      <c r="AB167" s="98">
        <f ca="1">IF(BD167&lt;1,IF('Reeksen (N)'!AD167&gt;'Reeksen (N)'!AE167,X167*'Reeksen (N)'!C167,0),IF(BC167&gt;=BA167,0,IF('Reeksen (N)'!AD167&gt;'Reeksen (N)'!AE167,(BA167-BC167)*X167,0)))</f>
        <v>0</v>
      </c>
      <c r="AC167" s="99">
        <f t="shared" ca="1" si="40"/>
        <v>0</v>
      </c>
      <c r="AD167" s="98">
        <f ca="1">IF('Invoer gegevens (N)'!$C$17=E167,R167,IF(C167=0,0,AE166))</f>
        <v>0</v>
      </c>
      <c r="AE167" s="98">
        <f t="shared" ca="1" si="41"/>
        <v>0</v>
      </c>
      <c r="AF167" s="98">
        <f ca="1">IF('Invoer gegevens (N)'!$C$17=E167,X167,IF(C167=0,0,AG166))</f>
        <v>0</v>
      </c>
      <c r="AG167" s="98">
        <f t="shared" ca="1" si="42"/>
        <v>0</v>
      </c>
      <c r="AH167" s="66"/>
      <c r="AI167" s="71">
        <f ca="1">IF(C167=1,'Reeksen (N)'!AI167*((F167+K167)/2)*12+'Reeksen (N)'!AD167*((L167+Q167)/2)*12,0)</f>
        <v>0</v>
      </c>
      <c r="AJ167" s="71">
        <f ca="1">-AI167*'Invoer gegevens (N)'!$F$28</f>
        <v>0</v>
      </c>
      <c r="AK167" s="71">
        <f t="shared" ca="1" si="43"/>
        <v>0</v>
      </c>
      <c r="AL167" s="71">
        <f ca="1">IF(C167=1,'Reeksen (N)'!AL167*((F167-G167+F167)/2)*12+'Reeksen (N)'!AM167*((L167-M167+L167)/2)*12,0)</f>
        <v>0</v>
      </c>
      <c r="AM167" s="71">
        <f ca="1">-AL167*'Invoer gegevens (N)'!$F$31</f>
        <v>0</v>
      </c>
      <c r="AN167" s="71">
        <f t="shared" ca="1" si="44"/>
        <v>0</v>
      </c>
      <c r="AO167" s="71">
        <f ca="1">IF(C167=1,(H167+J167+N167+P167)*'Reeksen (N)'!AN167,0)</f>
        <v>0</v>
      </c>
      <c r="AP167" s="71">
        <f ca="1">-IF(C167=1,(H167+J167+N167+P167)*'Hulp - basis'!$O$550*'Reeksen (N)'!H167,0)</f>
        <v>0</v>
      </c>
      <c r="AQ167" s="71">
        <f ca="1">-IF(C167=1,(F167+K167+L167+Q167)/2*'Invoer gegevens (N)'!$F$35*'Reeksen (N)'!J167,0)*2</f>
        <v>0</v>
      </c>
      <c r="AR167" s="71">
        <f ca="1">IF(BD167&lt;1,-IF(C167=1,(G167*'Invoer gegevens (N)'!$F$36)*'Reeksen (N)'!J167,0),0)</f>
        <v>0</v>
      </c>
      <c r="AS167" s="71">
        <f ca="1">-IF(C167=1,(F167+K167+L167+Q167)/2*'Invoer gegevens (N)'!$F$37*'Reeksen (N)'!L167,0)</f>
        <v>0</v>
      </c>
      <c r="AT167" s="71">
        <f ca="1">-IF(C167=1,IF(E167='Invoer gegevens (N)'!$C$17,'Invoer gegevens (N)'!$C$11,AD167)*'Reeksen (N)'!S167*'Invoer gegevens (N)'!$C$18*'Reeksen (N)'!P167,0)</f>
        <v>0</v>
      </c>
      <c r="AU167" s="71">
        <f ca="1">-IF(C167=1,(F167+K167+L167+Q167)/2*'Invoer gegevens (N)'!$F$38*'Reeksen (N)'!H167,0)</f>
        <v>0</v>
      </c>
      <c r="AV167" s="71">
        <v>0</v>
      </c>
      <c r="AW167" s="71">
        <f t="shared" ca="1" si="45"/>
        <v>0</v>
      </c>
      <c r="AX167" s="71">
        <f ca="1">IF(E167&lt;'Invoer gegevens (N)'!$C$17+15,0,IF(E167&gt;'Invoer gegevens (N)'!$C$17+215,0,AW167))</f>
        <v>0</v>
      </c>
      <c r="AY167" s="71">
        <f ca="1">AX167/(1+'Invoer gegevens (N)'!$F$18)^($AZ167-('Invoer gegevens (N)'!$C$17-'Invoer gegevens (N)'!$C$16))/(1+'Invoer gegevens (N)'!$C$39)^('Invoer gegevens (N)'!$C$17-'Invoer gegevens (N)'!$C$16)</f>
        <v>0</v>
      </c>
      <c r="AZ167" s="68">
        <f ca="1">IF(E167-'Invoer gegevens (N)'!$C$17-14.5&lt;0,0,E167-'Invoer gegevens (N)'!$C$17-14.5)</f>
        <v>147.5</v>
      </c>
      <c r="BA167" s="109">
        <f ca="1">IFERROR(VLOOKUP(E167-15,'Reeksen (N)'!$A$5:$D$234,2,FALSE),0)</f>
        <v>0</v>
      </c>
      <c r="BB167" s="109">
        <f ca="1">IFERROR(VLOOKUP(E167-15,'Reeksen (N)'!$A$5:$D$234,3,FALSE),0)</f>
        <v>0</v>
      </c>
      <c r="BC167" s="109">
        <f ca="1">IFERROR(VLOOKUP(E167-15,'Reeksen (N)'!$A$5:$D$234,4,FALSE),0)</f>
        <v>0</v>
      </c>
      <c r="BD167" s="67">
        <f ca="1">IF(E167-'Invoer gegevens (N)'!$C$17&lt;15,0,1)</f>
        <v>1</v>
      </c>
    </row>
    <row r="168" spans="1:56" x14ac:dyDescent="0.25">
      <c r="A168" s="59"/>
      <c r="B168" s="70">
        <f t="shared" si="46"/>
        <v>164</v>
      </c>
      <c r="C168" s="67">
        <f ca="1">IF(E168-'Invoer gegevens (N)'!$C$17&lt;0,0,1)</f>
        <v>1</v>
      </c>
      <c r="D168" s="68">
        <f t="shared" si="47"/>
        <v>163.5</v>
      </c>
      <c r="E168" s="108">
        <f ca="1">IF('Invoer gegevens (N)'!$C$16="","",E167+1)</f>
        <v>2182</v>
      </c>
      <c r="F168" s="84">
        <f ca="1">IF('Invoer gegevens (N)'!$C$17=E168,'Invoer gegevens (N)'!$C$10,IF(C168=1,K167,0))</f>
        <v>0</v>
      </c>
      <c r="G168" s="96">
        <f ca="1">IF(BD168&lt;1,F168*'Reeksen (N)'!C168,IF(C168&gt;=1,F168*BA168,0))</f>
        <v>0</v>
      </c>
      <c r="H168" s="84">
        <f ca="1">(1-('Invoer gegevens (N)'!$F$20/12))*F168*MIN(BA168,BC168)</f>
        <v>0</v>
      </c>
      <c r="I168" s="84">
        <f t="shared" ca="1" si="32"/>
        <v>0</v>
      </c>
      <c r="J168" s="84">
        <f ca="1">('Invoer gegevens (N)'!$F$20/12)*F167*MIN(BA168,BC168)</f>
        <v>0</v>
      </c>
      <c r="K168" s="97">
        <f t="shared" ca="1" si="37"/>
        <v>0</v>
      </c>
      <c r="L168" s="84">
        <f ca="1">IF('Invoer gegevens (N)'!$C$17=E168,0,IF(C168=1,Q167,0))</f>
        <v>0</v>
      </c>
      <c r="M168" s="96">
        <f t="shared" ca="1" si="33"/>
        <v>0</v>
      </c>
      <c r="N168" s="84">
        <f ca="1">(1-('Invoer gegevens (N)'!$F$20/12))*L168*MIN(BA168,BC168)</f>
        <v>0</v>
      </c>
      <c r="O168" s="84">
        <f t="shared" ca="1" si="34"/>
        <v>0</v>
      </c>
      <c r="P168" s="84">
        <f ca="1">('Invoer gegevens (N)'!$F$20/12)*L167*MIN(BA168,BC168)</f>
        <v>0</v>
      </c>
      <c r="Q168" s="84">
        <f t="shared" ca="1" si="38"/>
        <v>0</v>
      </c>
      <c r="R168" s="85">
        <f ca="1">IF('Invoer gegevens (N)'!$C$17=E168,'Invoer gegevens (N)'!$C$11,IF(C168=1,W167,0))</f>
        <v>0</v>
      </c>
      <c r="S168" s="86">
        <f t="shared" ca="1" si="35"/>
        <v>0</v>
      </c>
      <c r="T168" s="86">
        <f ca="1">(1-('Invoer gegevens (N)'!$F$20/12))*R168*MIN(BC168,BA168)</f>
        <v>0</v>
      </c>
      <c r="U168" s="86">
        <f ca="1">IF(BD168&lt;1,IF('Reeksen (N)'!AD168&lt;='Reeksen (N)'!AE168,R168*'Reeksen (N)'!C168,0),IF(BC168&gt;=BA168,0,IF('Reeksen (N)'!AD168&lt;='Reeksen (N)'!AE168,(BA168-BC168)*R168,0)))</f>
        <v>0</v>
      </c>
      <c r="V168" s="86">
        <f ca="1">IF(BD168&lt;1,IF('Reeksen (N)'!AD168&gt;'Reeksen (N)'!AE168,R168*'Reeksen (N)'!C168,0),IF(BC168&gt;=BA168,0,IF('Reeksen (N)'!AD168&gt;'Reeksen (N)'!AE168,(BA168-BC168)*R168,0)))</f>
        <v>0</v>
      </c>
      <c r="W168" s="218">
        <f t="shared" ca="1" si="39"/>
        <v>0</v>
      </c>
      <c r="X168" s="98">
        <f ca="1">IF('Invoer gegevens (N)'!$C$17=E168,'Invoer gegevens (N)'!$C$10-'Invoer gegevens (N)'!$C$11,IF(C168=1,AC167,0))</f>
        <v>0</v>
      </c>
      <c r="Y168" s="98">
        <f t="shared" ca="1" si="36"/>
        <v>0</v>
      </c>
      <c r="Z168" s="98">
        <f ca="1">(1-('Invoer gegevens (N)'!$F$20/12))*X168*MIN(BA168,BC168)</f>
        <v>0</v>
      </c>
      <c r="AA168" s="98">
        <f ca="1">IF(BD168&lt;1,IF('Reeksen (N)'!AD168&lt;='Reeksen (N)'!AE168,X168*'Reeksen (N)'!C168,0),IF(BC168&gt;=BA168,0,IF('Reeksen (N)'!AD168&lt;='Reeksen (N)'!AE168,(BA168-BC168)*X168,0)))</f>
        <v>0</v>
      </c>
      <c r="AB168" s="98">
        <f ca="1">IF(BD168&lt;1,IF('Reeksen (N)'!AD168&gt;'Reeksen (N)'!AE168,X168*'Reeksen (N)'!C168,0),IF(BC168&gt;=BA168,0,IF('Reeksen (N)'!AD168&gt;'Reeksen (N)'!AE168,(BA168-BC168)*X168,0)))</f>
        <v>0</v>
      </c>
      <c r="AC168" s="99">
        <f t="shared" ca="1" si="40"/>
        <v>0</v>
      </c>
      <c r="AD168" s="98">
        <f ca="1">IF('Invoer gegevens (N)'!$C$17=E168,R168,IF(C168=0,0,AE167))</f>
        <v>0</v>
      </c>
      <c r="AE168" s="98">
        <f t="shared" ca="1" si="41"/>
        <v>0</v>
      </c>
      <c r="AF168" s="98">
        <f ca="1">IF('Invoer gegevens (N)'!$C$17=E168,X168,IF(C168=0,0,AG167))</f>
        <v>0</v>
      </c>
      <c r="AG168" s="98">
        <f t="shared" ca="1" si="42"/>
        <v>0</v>
      </c>
      <c r="AH168" s="66"/>
      <c r="AI168" s="71">
        <f ca="1">IF(C168=1,'Reeksen (N)'!AI168*((F168+K168)/2)*12+'Reeksen (N)'!AD168*((L168+Q168)/2)*12,0)</f>
        <v>0</v>
      </c>
      <c r="AJ168" s="71">
        <f ca="1">-AI168*'Invoer gegevens (N)'!$F$28</f>
        <v>0</v>
      </c>
      <c r="AK168" s="71">
        <f t="shared" ca="1" si="43"/>
        <v>0</v>
      </c>
      <c r="AL168" s="71">
        <f ca="1">IF(C168=1,'Reeksen (N)'!AL168*((F168-G168+F168)/2)*12+'Reeksen (N)'!AM168*((L168-M168+L168)/2)*12,0)</f>
        <v>0</v>
      </c>
      <c r="AM168" s="71">
        <f ca="1">-AL168*'Invoer gegevens (N)'!$F$31</f>
        <v>0</v>
      </c>
      <c r="AN168" s="71">
        <f t="shared" ca="1" si="44"/>
        <v>0</v>
      </c>
      <c r="AO168" s="71">
        <f ca="1">IF(C168=1,(H168+J168+N168+P168)*'Reeksen (N)'!AN168,0)</f>
        <v>0</v>
      </c>
      <c r="AP168" s="71">
        <f ca="1">-IF(C168=1,(H168+J168+N168+P168)*'Hulp - basis'!$O$550*'Reeksen (N)'!H168,0)</f>
        <v>0</v>
      </c>
      <c r="AQ168" s="71">
        <f ca="1">-IF(C168=1,(F168+K168+L168+Q168)/2*'Invoer gegevens (N)'!$F$35*'Reeksen (N)'!J168,0)*2</f>
        <v>0</v>
      </c>
      <c r="AR168" s="71">
        <f ca="1">IF(BD168&lt;1,-IF(C168=1,(G168*'Invoer gegevens (N)'!$F$36)*'Reeksen (N)'!J168,0),0)</f>
        <v>0</v>
      </c>
      <c r="AS168" s="71">
        <f ca="1">-IF(C168=1,(F168+K168+L168+Q168)/2*'Invoer gegevens (N)'!$F$37*'Reeksen (N)'!L168,0)</f>
        <v>0</v>
      </c>
      <c r="AT168" s="71">
        <f ca="1">-IF(C168=1,IF(E168='Invoer gegevens (N)'!$C$17,'Invoer gegevens (N)'!$C$11,AD168)*'Reeksen (N)'!S168*'Invoer gegevens (N)'!$C$18*'Reeksen (N)'!P168,0)</f>
        <v>0</v>
      </c>
      <c r="AU168" s="71">
        <f ca="1">-IF(C168=1,(F168+K168+L168+Q168)/2*'Invoer gegevens (N)'!$F$38*'Reeksen (N)'!H168,0)</f>
        <v>0</v>
      </c>
      <c r="AV168" s="71">
        <v>0</v>
      </c>
      <c r="AW168" s="71">
        <f t="shared" ca="1" si="45"/>
        <v>0</v>
      </c>
      <c r="AX168" s="71">
        <f ca="1">IF(E168&lt;'Invoer gegevens (N)'!$C$17+15,0,IF(E168&gt;'Invoer gegevens (N)'!$C$17+215,0,AW168))</f>
        <v>0</v>
      </c>
      <c r="AY168" s="71">
        <f ca="1">AX168/(1+'Invoer gegevens (N)'!$F$18)^($AZ168-('Invoer gegevens (N)'!$C$17-'Invoer gegevens (N)'!$C$16))/(1+'Invoer gegevens (N)'!$C$39)^('Invoer gegevens (N)'!$C$17-'Invoer gegevens (N)'!$C$16)</f>
        <v>0</v>
      </c>
      <c r="AZ168" s="68">
        <f ca="1">IF(E168-'Invoer gegevens (N)'!$C$17-14.5&lt;0,0,E168-'Invoer gegevens (N)'!$C$17-14.5)</f>
        <v>148.5</v>
      </c>
      <c r="BA168" s="109">
        <f ca="1">IFERROR(VLOOKUP(E168-15,'Reeksen (N)'!$A$5:$D$234,2,FALSE),0)</f>
        <v>0</v>
      </c>
      <c r="BB168" s="109">
        <f ca="1">IFERROR(VLOOKUP(E168-15,'Reeksen (N)'!$A$5:$D$234,3,FALSE),0)</f>
        <v>0</v>
      </c>
      <c r="BC168" s="109">
        <f ca="1">IFERROR(VLOOKUP(E168-15,'Reeksen (N)'!$A$5:$D$234,4,FALSE),0)</f>
        <v>0</v>
      </c>
      <c r="BD168" s="67">
        <f ca="1">IF(E168-'Invoer gegevens (N)'!$C$17&lt;15,0,1)</f>
        <v>1</v>
      </c>
    </row>
    <row r="169" spans="1:56" x14ac:dyDescent="0.25">
      <c r="A169" s="59"/>
      <c r="B169" s="70">
        <f t="shared" si="46"/>
        <v>165</v>
      </c>
      <c r="C169" s="67">
        <f ca="1">IF(E169-'Invoer gegevens (N)'!$C$17&lt;0,0,1)</f>
        <v>1</v>
      </c>
      <c r="D169" s="68">
        <f t="shared" si="47"/>
        <v>164.5</v>
      </c>
      <c r="E169" s="108">
        <f ca="1">IF('Invoer gegevens (N)'!$C$16="","",E168+1)</f>
        <v>2183</v>
      </c>
      <c r="F169" s="84">
        <f ca="1">IF('Invoer gegevens (N)'!$C$17=E169,'Invoer gegevens (N)'!$C$10,IF(C169=1,K168,0))</f>
        <v>0</v>
      </c>
      <c r="G169" s="96">
        <f ca="1">IF(BD169&lt;1,F169*'Reeksen (N)'!C169,IF(C169&gt;=1,F169*BA169,0))</f>
        <v>0</v>
      </c>
      <c r="H169" s="84">
        <f ca="1">(1-('Invoer gegevens (N)'!$F$20/12))*F169*MIN(BA169,BC169)</f>
        <v>0</v>
      </c>
      <c r="I169" s="84">
        <f t="shared" ca="1" si="32"/>
        <v>0</v>
      </c>
      <c r="J169" s="84">
        <f ca="1">('Invoer gegevens (N)'!$F$20/12)*F168*MIN(BA169,BC169)</f>
        <v>0</v>
      </c>
      <c r="K169" s="97">
        <f t="shared" ca="1" si="37"/>
        <v>0</v>
      </c>
      <c r="L169" s="84">
        <f ca="1">IF('Invoer gegevens (N)'!$C$17=E169,0,IF(C169=1,Q168,0))</f>
        <v>0</v>
      </c>
      <c r="M169" s="96">
        <f t="shared" ca="1" si="33"/>
        <v>0</v>
      </c>
      <c r="N169" s="84">
        <f ca="1">(1-('Invoer gegevens (N)'!$F$20/12))*L169*MIN(BA169,BC169)</f>
        <v>0</v>
      </c>
      <c r="O169" s="84">
        <f t="shared" ca="1" si="34"/>
        <v>0</v>
      </c>
      <c r="P169" s="84">
        <f ca="1">('Invoer gegevens (N)'!$F$20/12)*L168*MIN(BA169,BC169)</f>
        <v>0</v>
      </c>
      <c r="Q169" s="84">
        <f t="shared" ca="1" si="38"/>
        <v>0</v>
      </c>
      <c r="R169" s="85">
        <f ca="1">IF('Invoer gegevens (N)'!$C$17=E169,'Invoer gegevens (N)'!$C$11,IF(C169=1,W168,0))</f>
        <v>0</v>
      </c>
      <c r="S169" s="86">
        <f t="shared" ca="1" si="35"/>
        <v>0</v>
      </c>
      <c r="T169" s="86">
        <f ca="1">(1-('Invoer gegevens (N)'!$F$20/12))*R169*MIN(BC169,BA169)</f>
        <v>0</v>
      </c>
      <c r="U169" s="86">
        <f ca="1">IF(BD169&lt;1,IF('Reeksen (N)'!AD169&lt;='Reeksen (N)'!AE169,R169*'Reeksen (N)'!C169,0),IF(BC169&gt;=BA169,0,IF('Reeksen (N)'!AD169&lt;='Reeksen (N)'!AE169,(BA169-BC169)*R169,0)))</f>
        <v>0</v>
      </c>
      <c r="V169" s="86">
        <f ca="1">IF(BD169&lt;1,IF('Reeksen (N)'!AD169&gt;'Reeksen (N)'!AE169,R169*'Reeksen (N)'!C169,0),IF(BC169&gt;=BA169,0,IF('Reeksen (N)'!AD169&gt;'Reeksen (N)'!AE169,(BA169-BC169)*R169,0)))</f>
        <v>0</v>
      </c>
      <c r="W169" s="218">
        <f t="shared" ca="1" si="39"/>
        <v>0</v>
      </c>
      <c r="X169" s="98">
        <f ca="1">IF('Invoer gegevens (N)'!$C$17=E169,'Invoer gegevens (N)'!$C$10-'Invoer gegevens (N)'!$C$11,IF(C169=1,AC168,0))</f>
        <v>0</v>
      </c>
      <c r="Y169" s="98">
        <f t="shared" ca="1" si="36"/>
        <v>0</v>
      </c>
      <c r="Z169" s="98">
        <f ca="1">(1-('Invoer gegevens (N)'!$F$20/12))*X169*MIN(BA169,BC169)</f>
        <v>0</v>
      </c>
      <c r="AA169" s="98">
        <f ca="1">IF(BD169&lt;1,IF('Reeksen (N)'!AD169&lt;='Reeksen (N)'!AE169,X169*'Reeksen (N)'!C169,0),IF(BC169&gt;=BA169,0,IF('Reeksen (N)'!AD169&lt;='Reeksen (N)'!AE169,(BA169-BC169)*X169,0)))</f>
        <v>0</v>
      </c>
      <c r="AB169" s="98">
        <f ca="1">IF(BD169&lt;1,IF('Reeksen (N)'!AD169&gt;'Reeksen (N)'!AE169,X169*'Reeksen (N)'!C169,0),IF(BC169&gt;=BA169,0,IF('Reeksen (N)'!AD169&gt;'Reeksen (N)'!AE169,(BA169-BC169)*X169,0)))</f>
        <v>0</v>
      </c>
      <c r="AC169" s="99">
        <f t="shared" ca="1" si="40"/>
        <v>0</v>
      </c>
      <c r="AD169" s="98">
        <f ca="1">IF('Invoer gegevens (N)'!$C$17=E169,R169,IF(C169=0,0,AE168))</f>
        <v>0</v>
      </c>
      <c r="AE169" s="98">
        <f t="shared" ca="1" si="41"/>
        <v>0</v>
      </c>
      <c r="AF169" s="98">
        <f ca="1">IF('Invoer gegevens (N)'!$C$17=E169,X169,IF(C169=0,0,AG168))</f>
        <v>0</v>
      </c>
      <c r="AG169" s="98">
        <f t="shared" ca="1" si="42"/>
        <v>0</v>
      </c>
      <c r="AH169" s="66"/>
      <c r="AI169" s="71">
        <f ca="1">IF(C169=1,'Reeksen (N)'!AI169*((F169+K169)/2)*12+'Reeksen (N)'!AD169*((L169+Q169)/2)*12,0)</f>
        <v>0</v>
      </c>
      <c r="AJ169" s="71">
        <f ca="1">-AI169*'Invoer gegevens (N)'!$F$28</f>
        <v>0</v>
      </c>
      <c r="AK169" s="71">
        <f t="shared" ca="1" si="43"/>
        <v>0</v>
      </c>
      <c r="AL169" s="71">
        <f ca="1">IF(C169=1,'Reeksen (N)'!AL169*((F169-G169+F169)/2)*12+'Reeksen (N)'!AM169*((L169-M169+L169)/2)*12,0)</f>
        <v>0</v>
      </c>
      <c r="AM169" s="71">
        <f ca="1">-AL169*'Invoer gegevens (N)'!$F$31</f>
        <v>0</v>
      </c>
      <c r="AN169" s="71">
        <f t="shared" ca="1" si="44"/>
        <v>0</v>
      </c>
      <c r="AO169" s="71">
        <f ca="1">IF(C169=1,(H169+J169+N169+P169)*'Reeksen (N)'!AN169,0)</f>
        <v>0</v>
      </c>
      <c r="AP169" s="71">
        <f ca="1">-IF(C169=1,(H169+J169+N169+P169)*'Hulp - basis'!$O$550*'Reeksen (N)'!H169,0)</f>
        <v>0</v>
      </c>
      <c r="AQ169" s="71">
        <f ca="1">-IF(C169=1,(F169+K169+L169+Q169)/2*'Invoer gegevens (N)'!$F$35*'Reeksen (N)'!J169,0)*2</f>
        <v>0</v>
      </c>
      <c r="AR169" s="71">
        <f ca="1">IF(BD169&lt;1,-IF(C169=1,(G169*'Invoer gegevens (N)'!$F$36)*'Reeksen (N)'!J169,0),0)</f>
        <v>0</v>
      </c>
      <c r="AS169" s="71">
        <f ca="1">-IF(C169=1,(F169+K169+L169+Q169)/2*'Invoer gegevens (N)'!$F$37*'Reeksen (N)'!L169,0)</f>
        <v>0</v>
      </c>
      <c r="AT169" s="71">
        <f ca="1">-IF(C169=1,IF(E169='Invoer gegevens (N)'!$C$17,'Invoer gegevens (N)'!$C$11,AD169)*'Reeksen (N)'!S169*'Invoer gegevens (N)'!$C$18*'Reeksen (N)'!P169,0)</f>
        <v>0</v>
      </c>
      <c r="AU169" s="71">
        <f ca="1">-IF(C169=1,(F169+K169+L169+Q169)/2*'Invoer gegevens (N)'!$F$38*'Reeksen (N)'!H169,0)</f>
        <v>0</v>
      </c>
      <c r="AV169" s="71">
        <v>0</v>
      </c>
      <c r="AW169" s="71">
        <f t="shared" ca="1" si="45"/>
        <v>0</v>
      </c>
      <c r="AX169" s="71">
        <f ca="1">IF(E169&lt;'Invoer gegevens (N)'!$C$17+15,0,IF(E169&gt;'Invoer gegevens (N)'!$C$17+215,0,AW169))</f>
        <v>0</v>
      </c>
      <c r="AY169" s="71">
        <f ca="1">AX169/(1+'Invoer gegevens (N)'!$F$18)^($AZ169-('Invoer gegevens (N)'!$C$17-'Invoer gegevens (N)'!$C$16))/(1+'Invoer gegevens (N)'!$C$39)^('Invoer gegevens (N)'!$C$17-'Invoer gegevens (N)'!$C$16)</f>
        <v>0</v>
      </c>
      <c r="AZ169" s="68">
        <f ca="1">IF(E169-'Invoer gegevens (N)'!$C$17-14.5&lt;0,0,E169-'Invoer gegevens (N)'!$C$17-14.5)</f>
        <v>149.5</v>
      </c>
      <c r="BA169" s="109">
        <f ca="1">IFERROR(VLOOKUP(E169-15,'Reeksen (N)'!$A$5:$D$234,2,FALSE),0)</f>
        <v>0</v>
      </c>
      <c r="BB169" s="109">
        <f ca="1">IFERROR(VLOOKUP(E169-15,'Reeksen (N)'!$A$5:$D$234,3,FALSE),0)</f>
        <v>0</v>
      </c>
      <c r="BC169" s="109">
        <f ca="1">IFERROR(VLOOKUP(E169-15,'Reeksen (N)'!$A$5:$D$234,4,FALSE),0)</f>
        <v>0</v>
      </c>
      <c r="BD169" s="67">
        <f ca="1">IF(E169-'Invoer gegevens (N)'!$C$17&lt;15,0,1)</f>
        <v>1</v>
      </c>
    </row>
    <row r="170" spans="1:56" x14ac:dyDescent="0.25">
      <c r="A170" s="59"/>
      <c r="B170" s="70">
        <f t="shared" si="46"/>
        <v>166</v>
      </c>
      <c r="C170" s="67">
        <f ca="1">IF(E170-'Invoer gegevens (N)'!$C$17&lt;0,0,1)</f>
        <v>1</v>
      </c>
      <c r="D170" s="68">
        <f t="shared" si="47"/>
        <v>165.5</v>
      </c>
      <c r="E170" s="108">
        <f ca="1">IF('Invoer gegevens (N)'!$C$16="","",E169+1)</f>
        <v>2184</v>
      </c>
      <c r="F170" s="84">
        <f ca="1">IF('Invoer gegevens (N)'!$C$17=E170,'Invoer gegevens (N)'!$C$10,IF(C170=1,K169,0))</f>
        <v>0</v>
      </c>
      <c r="G170" s="96">
        <f ca="1">IF(BD170&lt;1,F170*'Reeksen (N)'!C170,IF(C170&gt;=1,F170*BA170,0))</f>
        <v>0</v>
      </c>
      <c r="H170" s="84">
        <f ca="1">(1-('Invoer gegevens (N)'!$F$20/12))*F170*MIN(BA170,BC170)</f>
        <v>0</v>
      </c>
      <c r="I170" s="84">
        <f t="shared" ca="1" si="32"/>
        <v>0</v>
      </c>
      <c r="J170" s="84">
        <f ca="1">('Invoer gegevens (N)'!$F$20/12)*F169*MIN(BA170,BC170)</f>
        <v>0</v>
      </c>
      <c r="K170" s="97">
        <f t="shared" ca="1" si="37"/>
        <v>0</v>
      </c>
      <c r="L170" s="84">
        <f ca="1">IF('Invoer gegevens (N)'!$C$17=E170,0,IF(C170=1,Q169,0))</f>
        <v>0</v>
      </c>
      <c r="M170" s="96">
        <f t="shared" ca="1" si="33"/>
        <v>0</v>
      </c>
      <c r="N170" s="84">
        <f ca="1">(1-('Invoer gegevens (N)'!$F$20/12))*L170*MIN(BA170,BC170)</f>
        <v>0</v>
      </c>
      <c r="O170" s="84">
        <f t="shared" ca="1" si="34"/>
        <v>0</v>
      </c>
      <c r="P170" s="84">
        <f ca="1">('Invoer gegevens (N)'!$F$20/12)*L169*MIN(BA170,BC170)</f>
        <v>0</v>
      </c>
      <c r="Q170" s="84">
        <f t="shared" ca="1" si="38"/>
        <v>0</v>
      </c>
      <c r="R170" s="85">
        <f ca="1">IF('Invoer gegevens (N)'!$C$17=E170,'Invoer gegevens (N)'!$C$11,IF(C170=1,W169,0))</f>
        <v>0</v>
      </c>
      <c r="S170" s="86">
        <f t="shared" ca="1" si="35"/>
        <v>0</v>
      </c>
      <c r="T170" s="86">
        <f ca="1">(1-('Invoer gegevens (N)'!$F$20/12))*R170*MIN(BC170,BA170)</f>
        <v>0</v>
      </c>
      <c r="U170" s="86">
        <f ca="1">IF(BD170&lt;1,IF('Reeksen (N)'!AD170&lt;='Reeksen (N)'!AE170,R170*'Reeksen (N)'!C170,0),IF(BC170&gt;=BA170,0,IF('Reeksen (N)'!AD170&lt;='Reeksen (N)'!AE170,(BA170-BC170)*R170,0)))</f>
        <v>0</v>
      </c>
      <c r="V170" s="86">
        <f ca="1">IF(BD170&lt;1,IF('Reeksen (N)'!AD170&gt;'Reeksen (N)'!AE170,R170*'Reeksen (N)'!C170,0),IF(BC170&gt;=BA170,0,IF('Reeksen (N)'!AD170&gt;'Reeksen (N)'!AE170,(BA170-BC170)*R170,0)))</f>
        <v>0</v>
      </c>
      <c r="W170" s="218">
        <f t="shared" ca="1" si="39"/>
        <v>0</v>
      </c>
      <c r="X170" s="98">
        <f ca="1">IF('Invoer gegevens (N)'!$C$17=E170,'Invoer gegevens (N)'!$C$10-'Invoer gegevens (N)'!$C$11,IF(C170=1,AC169,0))</f>
        <v>0</v>
      </c>
      <c r="Y170" s="98">
        <f t="shared" ca="1" si="36"/>
        <v>0</v>
      </c>
      <c r="Z170" s="98">
        <f ca="1">(1-('Invoer gegevens (N)'!$F$20/12))*X170*MIN(BA170,BC170)</f>
        <v>0</v>
      </c>
      <c r="AA170" s="98">
        <f ca="1">IF(BD170&lt;1,IF('Reeksen (N)'!AD170&lt;='Reeksen (N)'!AE170,X170*'Reeksen (N)'!C170,0),IF(BC170&gt;=BA170,0,IF('Reeksen (N)'!AD170&lt;='Reeksen (N)'!AE170,(BA170-BC170)*X170,0)))</f>
        <v>0</v>
      </c>
      <c r="AB170" s="98">
        <f ca="1">IF(BD170&lt;1,IF('Reeksen (N)'!AD170&gt;'Reeksen (N)'!AE170,X170*'Reeksen (N)'!C170,0),IF(BC170&gt;=BA170,0,IF('Reeksen (N)'!AD170&gt;'Reeksen (N)'!AE170,(BA170-BC170)*X170,0)))</f>
        <v>0</v>
      </c>
      <c r="AC170" s="99">
        <f t="shared" ca="1" si="40"/>
        <v>0</v>
      </c>
      <c r="AD170" s="98">
        <f ca="1">IF('Invoer gegevens (N)'!$C$17=E170,R170,IF(C170=0,0,AE169))</f>
        <v>0</v>
      </c>
      <c r="AE170" s="98">
        <f t="shared" ca="1" si="41"/>
        <v>0</v>
      </c>
      <c r="AF170" s="98">
        <f ca="1">IF('Invoer gegevens (N)'!$C$17=E170,X170,IF(C170=0,0,AG169))</f>
        <v>0</v>
      </c>
      <c r="AG170" s="98">
        <f t="shared" ca="1" si="42"/>
        <v>0</v>
      </c>
      <c r="AH170" s="66"/>
      <c r="AI170" s="71">
        <f ca="1">IF(C170=1,'Reeksen (N)'!AI170*((F170+K170)/2)*12+'Reeksen (N)'!AD170*((L170+Q170)/2)*12,0)</f>
        <v>0</v>
      </c>
      <c r="AJ170" s="71">
        <f ca="1">-AI170*'Invoer gegevens (N)'!$F$28</f>
        <v>0</v>
      </c>
      <c r="AK170" s="71">
        <f t="shared" ca="1" si="43"/>
        <v>0</v>
      </c>
      <c r="AL170" s="71">
        <f ca="1">IF(C170=1,'Reeksen (N)'!AL170*((F170-G170+F170)/2)*12+'Reeksen (N)'!AM170*((L170-M170+L170)/2)*12,0)</f>
        <v>0</v>
      </c>
      <c r="AM170" s="71">
        <f ca="1">-AL170*'Invoer gegevens (N)'!$F$31</f>
        <v>0</v>
      </c>
      <c r="AN170" s="71">
        <f t="shared" ca="1" si="44"/>
        <v>0</v>
      </c>
      <c r="AO170" s="71">
        <f ca="1">IF(C170=1,(H170+J170+N170+P170)*'Reeksen (N)'!AN170,0)</f>
        <v>0</v>
      </c>
      <c r="AP170" s="71">
        <f ca="1">-IF(C170=1,(H170+J170+N170+P170)*'Hulp - basis'!$O$550*'Reeksen (N)'!H170,0)</f>
        <v>0</v>
      </c>
      <c r="AQ170" s="71">
        <f ca="1">-IF(C170=1,(F170+K170+L170+Q170)/2*'Invoer gegevens (N)'!$F$35*'Reeksen (N)'!J170,0)*2</f>
        <v>0</v>
      </c>
      <c r="AR170" s="71">
        <f ca="1">IF(BD170&lt;1,-IF(C170=1,(G170*'Invoer gegevens (N)'!$F$36)*'Reeksen (N)'!J170,0),0)</f>
        <v>0</v>
      </c>
      <c r="AS170" s="71">
        <f ca="1">-IF(C170=1,(F170+K170+L170+Q170)/2*'Invoer gegevens (N)'!$F$37*'Reeksen (N)'!L170,0)</f>
        <v>0</v>
      </c>
      <c r="AT170" s="71">
        <f ca="1">-IF(C170=1,IF(E170='Invoer gegevens (N)'!$C$17,'Invoer gegevens (N)'!$C$11,AD170)*'Reeksen (N)'!S170*'Invoer gegevens (N)'!$C$18*'Reeksen (N)'!P170,0)</f>
        <v>0</v>
      </c>
      <c r="AU170" s="71">
        <f ca="1">-IF(C170=1,(F170+K170+L170+Q170)/2*'Invoer gegevens (N)'!$F$38*'Reeksen (N)'!H170,0)</f>
        <v>0</v>
      </c>
      <c r="AV170" s="71">
        <v>0</v>
      </c>
      <c r="AW170" s="71">
        <f t="shared" ca="1" si="45"/>
        <v>0</v>
      </c>
      <c r="AX170" s="71">
        <f ca="1">IF(E170&lt;'Invoer gegevens (N)'!$C$17+15,0,IF(E170&gt;'Invoer gegevens (N)'!$C$17+215,0,AW170))</f>
        <v>0</v>
      </c>
      <c r="AY170" s="71">
        <f ca="1">AX170/(1+'Invoer gegevens (N)'!$F$18)^($AZ170-('Invoer gegevens (N)'!$C$17-'Invoer gegevens (N)'!$C$16))/(1+'Invoer gegevens (N)'!$C$39)^('Invoer gegevens (N)'!$C$17-'Invoer gegevens (N)'!$C$16)</f>
        <v>0</v>
      </c>
      <c r="AZ170" s="68">
        <f ca="1">IF(E170-'Invoer gegevens (N)'!$C$17-14.5&lt;0,0,E170-'Invoer gegevens (N)'!$C$17-14.5)</f>
        <v>150.5</v>
      </c>
      <c r="BA170" s="109">
        <f ca="1">IFERROR(VLOOKUP(E170-15,'Reeksen (N)'!$A$5:$D$234,2,FALSE),0)</f>
        <v>0</v>
      </c>
      <c r="BB170" s="109">
        <f ca="1">IFERROR(VLOOKUP(E170-15,'Reeksen (N)'!$A$5:$D$234,3,FALSE),0)</f>
        <v>0</v>
      </c>
      <c r="BC170" s="109">
        <f ca="1">IFERROR(VLOOKUP(E170-15,'Reeksen (N)'!$A$5:$D$234,4,FALSE),0)</f>
        <v>0</v>
      </c>
      <c r="BD170" s="67">
        <f ca="1">IF(E170-'Invoer gegevens (N)'!$C$17&lt;15,0,1)</f>
        <v>1</v>
      </c>
    </row>
    <row r="171" spans="1:56" x14ac:dyDescent="0.25">
      <c r="A171" s="59"/>
      <c r="B171" s="70">
        <f t="shared" si="46"/>
        <v>167</v>
      </c>
      <c r="C171" s="67">
        <f ca="1">IF(E171-'Invoer gegevens (N)'!$C$17&lt;0,0,1)</f>
        <v>1</v>
      </c>
      <c r="D171" s="68">
        <f t="shared" si="47"/>
        <v>166.5</v>
      </c>
      <c r="E171" s="108">
        <f ca="1">IF('Invoer gegevens (N)'!$C$16="","",E170+1)</f>
        <v>2185</v>
      </c>
      <c r="F171" s="84">
        <f ca="1">IF('Invoer gegevens (N)'!$C$17=E171,'Invoer gegevens (N)'!$C$10,IF(C171=1,K170,0))</f>
        <v>0</v>
      </c>
      <c r="G171" s="96">
        <f ca="1">IF(BD171&lt;1,F171*'Reeksen (N)'!C171,IF(C171&gt;=1,F171*BA171,0))</f>
        <v>0</v>
      </c>
      <c r="H171" s="84">
        <f ca="1">(1-('Invoer gegevens (N)'!$F$20/12))*F171*MIN(BA171,BC171)</f>
        <v>0</v>
      </c>
      <c r="I171" s="84">
        <f t="shared" ca="1" si="32"/>
        <v>0</v>
      </c>
      <c r="J171" s="84">
        <f ca="1">('Invoer gegevens (N)'!$F$20/12)*F170*MIN(BA171,BC171)</f>
        <v>0</v>
      </c>
      <c r="K171" s="97">
        <f t="shared" ca="1" si="37"/>
        <v>0</v>
      </c>
      <c r="L171" s="84">
        <f ca="1">IF('Invoer gegevens (N)'!$C$17=E171,0,IF(C171=1,Q170,0))</f>
        <v>0</v>
      </c>
      <c r="M171" s="96">
        <f t="shared" ca="1" si="33"/>
        <v>0</v>
      </c>
      <c r="N171" s="84">
        <f ca="1">(1-('Invoer gegevens (N)'!$F$20/12))*L171*MIN(BA171,BC171)</f>
        <v>0</v>
      </c>
      <c r="O171" s="84">
        <f t="shared" ca="1" si="34"/>
        <v>0</v>
      </c>
      <c r="P171" s="84">
        <f ca="1">('Invoer gegevens (N)'!$F$20/12)*L170*MIN(BA171,BC171)</f>
        <v>0</v>
      </c>
      <c r="Q171" s="84">
        <f t="shared" ca="1" si="38"/>
        <v>0</v>
      </c>
      <c r="R171" s="85">
        <f ca="1">IF('Invoer gegevens (N)'!$C$17=E171,'Invoer gegevens (N)'!$C$11,IF(C171=1,W170,0))</f>
        <v>0</v>
      </c>
      <c r="S171" s="86">
        <f t="shared" ca="1" si="35"/>
        <v>0</v>
      </c>
      <c r="T171" s="86">
        <f ca="1">(1-('Invoer gegevens (N)'!$F$20/12))*R171*MIN(BC171,BA171)</f>
        <v>0</v>
      </c>
      <c r="U171" s="86">
        <f ca="1">IF(BD171&lt;1,IF('Reeksen (N)'!AD171&lt;='Reeksen (N)'!AE171,R171*'Reeksen (N)'!C171,0),IF(BC171&gt;=BA171,0,IF('Reeksen (N)'!AD171&lt;='Reeksen (N)'!AE171,(BA171-BC171)*R171,0)))</f>
        <v>0</v>
      </c>
      <c r="V171" s="86">
        <f ca="1">IF(BD171&lt;1,IF('Reeksen (N)'!AD171&gt;'Reeksen (N)'!AE171,R171*'Reeksen (N)'!C171,0),IF(BC171&gt;=BA171,0,IF('Reeksen (N)'!AD171&gt;'Reeksen (N)'!AE171,(BA171-BC171)*R171,0)))</f>
        <v>0</v>
      </c>
      <c r="W171" s="218">
        <f t="shared" ca="1" si="39"/>
        <v>0</v>
      </c>
      <c r="X171" s="98">
        <f ca="1">IF('Invoer gegevens (N)'!$C$17=E171,'Invoer gegevens (N)'!$C$10-'Invoer gegevens (N)'!$C$11,IF(C171=1,AC170,0))</f>
        <v>0</v>
      </c>
      <c r="Y171" s="98">
        <f t="shared" ca="1" si="36"/>
        <v>0</v>
      </c>
      <c r="Z171" s="98">
        <f ca="1">(1-('Invoer gegevens (N)'!$F$20/12))*X171*MIN(BA171,BC171)</f>
        <v>0</v>
      </c>
      <c r="AA171" s="98">
        <f ca="1">IF(BD171&lt;1,IF('Reeksen (N)'!AD171&lt;='Reeksen (N)'!AE171,X171*'Reeksen (N)'!C171,0),IF(BC171&gt;=BA171,0,IF('Reeksen (N)'!AD171&lt;='Reeksen (N)'!AE171,(BA171-BC171)*X171,0)))</f>
        <v>0</v>
      </c>
      <c r="AB171" s="98">
        <f ca="1">IF(BD171&lt;1,IF('Reeksen (N)'!AD171&gt;'Reeksen (N)'!AE171,X171*'Reeksen (N)'!C171,0),IF(BC171&gt;=BA171,0,IF('Reeksen (N)'!AD171&gt;'Reeksen (N)'!AE171,(BA171-BC171)*X171,0)))</f>
        <v>0</v>
      </c>
      <c r="AC171" s="99">
        <f t="shared" ca="1" si="40"/>
        <v>0</v>
      </c>
      <c r="AD171" s="98">
        <f ca="1">IF('Invoer gegevens (N)'!$C$17=E171,R171,IF(C171=0,0,AE170))</f>
        <v>0</v>
      </c>
      <c r="AE171" s="98">
        <f t="shared" ca="1" si="41"/>
        <v>0</v>
      </c>
      <c r="AF171" s="98">
        <f ca="1">IF('Invoer gegevens (N)'!$C$17=E171,X171,IF(C171=0,0,AG170))</f>
        <v>0</v>
      </c>
      <c r="AG171" s="98">
        <f t="shared" ca="1" si="42"/>
        <v>0</v>
      </c>
      <c r="AH171" s="66"/>
      <c r="AI171" s="71">
        <f ca="1">IF(C171=1,'Reeksen (N)'!AI171*((F171+K171)/2)*12+'Reeksen (N)'!AD171*((L171+Q171)/2)*12,0)</f>
        <v>0</v>
      </c>
      <c r="AJ171" s="71">
        <f ca="1">-AI171*'Invoer gegevens (N)'!$F$28</f>
        <v>0</v>
      </c>
      <c r="AK171" s="71">
        <f t="shared" ca="1" si="43"/>
        <v>0</v>
      </c>
      <c r="AL171" s="71">
        <f ca="1">IF(C171=1,'Reeksen (N)'!AL171*((F171-G171+F171)/2)*12+'Reeksen (N)'!AM171*((L171-M171+L171)/2)*12,0)</f>
        <v>0</v>
      </c>
      <c r="AM171" s="71">
        <f ca="1">-AL171*'Invoer gegevens (N)'!$F$31</f>
        <v>0</v>
      </c>
      <c r="AN171" s="71">
        <f t="shared" ca="1" si="44"/>
        <v>0</v>
      </c>
      <c r="AO171" s="71">
        <f ca="1">IF(C171=1,(H171+J171+N171+P171)*'Reeksen (N)'!AN171,0)</f>
        <v>0</v>
      </c>
      <c r="AP171" s="71">
        <f ca="1">-IF(C171=1,(H171+J171+N171+P171)*'Hulp - basis'!$O$550*'Reeksen (N)'!H171,0)</f>
        <v>0</v>
      </c>
      <c r="AQ171" s="71">
        <f ca="1">-IF(C171=1,(F171+K171+L171+Q171)/2*'Invoer gegevens (N)'!$F$35*'Reeksen (N)'!J171,0)*2</f>
        <v>0</v>
      </c>
      <c r="AR171" s="71">
        <f ca="1">IF(BD171&lt;1,-IF(C171=1,(G171*'Invoer gegevens (N)'!$F$36)*'Reeksen (N)'!J171,0),0)</f>
        <v>0</v>
      </c>
      <c r="AS171" s="71">
        <f ca="1">-IF(C171=1,(F171+K171+L171+Q171)/2*'Invoer gegevens (N)'!$F$37*'Reeksen (N)'!L171,0)</f>
        <v>0</v>
      </c>
      <c r="AT171" s="71">
        <f ca="1">-IF(C171=1,IF(E171='Invoer gegevens (N)'!$C$17,'Invoer gegevens (N)'!$C$11,AD171)*'Reeksen (N)'!S171*'Invoer gegevens (N)'!$C$18*'Reeksen (N)'!P171,0)</f>
        <v>0</v>
      </c>
      <c r="AU171" s="71">
        <f ca="1">-IF(C171=1,(F171+K171+L171+Q171)/2*'Invoer gegevens (N)'!$F$38*'Reeksen (N)'!H171,0)</f>
        <v>0</v>
      </c>
      <c r="AV171" s="71">
        <v>0</v>
      </c>
      <c r="AW171" s="71">
        <f t="shared" ca="1" si="45"/>
        <v>0</v>
      </c>
      <c r="AX171" s="71">
        <f ca="1">IF(E171&lt;'Invoer gegevens (N)'!$C$17+15,0,IF(E171&gt;'Invoer gegevens (N)'!$C$17+215,0,AW171))</f>
        <v>0</v>
      </c>
      <c r="AY171" s="71">
        <f ca="1">AX171/(1+'Invoer gegevens (N)'!$F$18)^($AZ171-('Invoer gegevens (N)'!$C$17-'Invoer gegevens (N)'!$C$16))/(1+'Invoer gegevens (N)'!$C$39)^('Invoer gegevens (N)'!$C$17-'Invoer gegevens (N)'!$C$16)</f>
        <v>0</v>
      </c>
      <c r="AZ171" s="68">
        <f ca="1">IF(E171-'Invoer gegevens (N)'!$C$17-14.5&lt;0,0,E171-'Invoer gegevens (N)'!$C$17-14.5)</f>
        <v>151.5</v>
      </c>
      <c r="BA171" s="109">
        <f ca="1">IFERROR(VLOOKUP(E171-15,'Reeksen (N)'!$A$5:$D$234,2,FALSE),0)</f>
        <v>0</v>
      </c>
      <c r="BB171" s="109">
        <f ca="1">IFERROR(VLOOKUP(E171-15,'Reeksen (N)'!$A$5:$D$234,3,FALSE),0)</f>
        <v>0</v>
      </c>
      <c r="BC171" s="109">
        <f ca="1">IFERROR(VLOOKUP(E171-15,'Reeksen (N)'!$A$5:$D$234,4,FALSE),0)</f>
        <v>0</v>
      </c>
      <c r="BD171" s="67">
        <f ca="1">IF(E171-'Invoer gegevens (N)'!$C$17&lt;15,0,1)</f>
        <v>1</v>
      </c>
    </row>
    <row r="172" spans="1:56" x14ac:dyDescent="0.25">
      <c r="A172" s="59"/>
      <c r="B172" s="70">
        <f t="shared" si="46"/>
        <v>168</v>
      </c>
      <c r="C172" s="67">
        <f ca="1">IF(E172-'Invoer gegevens (N)'!$C$17&lt;0,0,1)</f>
        <v>1</v>
      </c>
      <c r="D172" s="68">
        <f t="shared" si="47"/>
        <v>167.5</v>
      </c>
      <c r="E172" s="108">
        <f ca="1">IF('Invoer gegevens (N)'!$C$16="","",E171+1)</f>
        <v>2186</v>
      </c>
      <c r="F172" s="84">
        <f ca="1">IF('Invoer gegevens (N)'!$C$17=E172,'Invoer gegevens (N)'!$C$10,IF(C172=1,K171,0))</f>
        <v>0</v>
      </c>
      <c r="G172" s="96">
        <f ca="1">IF(BD172&lt;1,F172*'Reeksen (N)'!C172,IF(C172&gt;=1,F172*BA172,0))</f>
        <v>0</v>
      </c>
      <c r="H172" s="84">
        <f ca="1">(1-('Invoer gegevens (N)'!$F$20/12))*F172*MIN(BA172,BC172)</f>
        <v>0</v>
      </c>
      <c r="I172" s="84">
        <f t="shared" ca="1" si="32"/>
        <v>0</v>
      </c>
      <c r="J172" s="84">
        <f ca="1">('Invoer gegevens (N)'!$F$20/12)*F171*MIN(BA172,BC172)</f>
        <v>0</v>
      </c>
      <c r="K172" s="97">
        <f t="shared" ca="1" si="37"/>
        <v>0</v>
      </c>
      <c r="L172" s="84">
        <f ca="1">IF('Invoer gegevens (N)'!$C$17=E172,0,IF(C172=1,Q171,0))</f>
        <v>0</v>
      </c>
      <c r="M172" s="96">
        <f t="shared" ca="1" si="33"/>
        <v>0</v>
      </c>
      <c r="N172" s="84">
        <f ca="1">(1-('Invoer gegevens (N)'!$F$20/12))*L172*MIN(BA172,BC172)</f>
        <v>0</v>
      </c>
      <c r="O172" s="84">
        <f t="shared" ca="1" si="34"/>
        <v>0</v>
      </c>
      <c r="P172" s="84">
        <f ca="1">('Invoer gegevens (N)'!$F$20/12)*L171*MIN(BA172,BC172)</f>
        <v>0</v>
      </c>
      <c r="Q172" s="84">
        <f t="shared" ca="1" si="38"/>
        <v>0</v>
      </c>
      <c r="R172" s="85">
        <f ca="1">IF('Invoer gegevens (N)'!$C$17=E172,'Invoer gegevens (N)'!$C$11,IF(C172=1,W171,0))</f>
        <v>0</v>
      </c>
      <c r="S172" s="86">
        <f t="shared" ca="1" si="35"/>
        <v>0</v>
      </c>
      <c r="T172" s="86">
        <f ca="1">(1-('Invoer gegevens (N)'!$F$20/12))*R172*MIN(BC172,BA172)</f>
        <v>0</v>
      </c>
      <c r="U172" s="86">
        <f ca="1">IF(BD172&lt;1,IF('Reeksen (N)'!AD172&lt;='Reeksen (N)'!AE172,R172*'Reeksen (N)'!C172,0),IF(BC172&gt;=BA172,0,IF('Reeksen (N)'!AD172&lt;='Reeksen (N)'!AE172,(BA172-BC172)*R172,0)))</f>
        <v>0</v>
      </c>
      <c r="V172" s="86">
        <f ca="1">IF(BD172&lt;1,IF('Reeksen (N)'!AD172&gt;'Reeksen (N)'!AE172,R172*'Reeksen (N)'!C172,0),IF(BC172&gt;=BA172,0,IF('Reeksen (N)'!AD172&gt;'Reeksen (N)'!AE172,(BA172-BC172)*R172,0)))</f>
        <v>0</v>
      </c>
      <c r="W172" s="218">
        <f t="shared" ca="1" si="39"/>
        <v>0</v>
      </c>
      <c r="X172" s="98">
        <f ca="1">IF('Invoer gegevens (N)'!$C$17=E172,'Invoer gegevens (N)'!$C$10-'Invoer gegevens (N)'!$C$11,IF(C172=1,AC171,0))</f>
        <v>0</v>
      </c>
      <c r="Y172" s="98">
        <f t="shared" ca="1" si="36"/>
        <v>0</v>
      </c>
      <c r="Z172" s="98">
        <f ca="1">(1-('Invoer gegevens (N)'!$F$20/12))*X172*MIN(BA172,BC172)</f>
        <v>0</v>
      </c>
      <c r="AA172" s="98">
        <f ca="1">IF(BD172&lt;1,IF('Reeksen (N)'!AD172&lt;='Reeksen (N)'!AE172,X172*'Reeksen (N)'!C172,0),IF(BC172&gt;=BA172,0,IF('Reeksen (N)'!AD172&lt;='Reeksen (N)'!AE172,(BA172-BC172)*X172,0)))</f>
        <v>0</v>
      </c>
      <c r="AB172" s="98">
        <f ca="1">IF(BD172&lt;1,IF('Reeksen (N)'!AD172&gt;'Reeksen (N)'!AE172,X172*'Reeksen (N)'!C172,0),IF(BC172&gt;=BA172,0,IF('Reeksen (N)'!AD172&gt;'Reeksen (N)'!AE172,(BA172-BC172)*X172,0)))</f>
        <v>0</v>
      </c>
      <c r="AC172" s="99">
        <f t="shared" ca="1" si="40"/>
        <v>0</v>
      </c>
      <c r="AD172" s="98">
        <f ca="1">IF('Invoer gegevens (N)'!$C$17=E172,R172,IF(C172=0,0,AE171))</f>
        <v>0</v>
      </c>
      <c r="AE172" s="98">
        <f t="shared" ca="1" si="41"/>
        <v>0</v>
      </c>
      <c r="AF172" s="98">
        <f ca="1">IF('Invoer gegevens (N)'!$C$17=E172,X172,IF(C172=0,0,AG171))</f>
        <v>0</v>
      </c>
      <c r="AG172" s="98">
        <f t="shared" ca="1" si="42"/>
        <v>0</v>
      </c>
      <c r="AH172" s="66"/>
      <c r="AI172" s="71">
        <f ca="1">IF(C172=1,'Reeksen (N)'!AI172*((F172+K172)/2)*12+'Reeksen (N)'!AD172*((L172+Q172)/2)*12,0)</f>
        <v>0</v>
      </c>
      <c r="AJ172" s="71">
        <f ca="1">-AI172*'Invoer gegevens (N)'!$F$28</f>
        <v>0</v>
      </c>
      <c r="AK172" s="71">
        <f t="shared" ca="1" si="43"/>
        <v>0</v>
      </c>
      <c r="AL172" s="71">
        <f ca="1">IF(C172=1,'Reeksen (N)'!AL172*((F172-G172+F172)/2)*12+'Reeksen (N)'!AM172*((L172-M172+L172)/2)*12,0)</f>
        <v>0</v>
      </c>
      <c r="AM172" s="71">
        <f ca="1">-AL172*'Invoer gegevens (N)'!$F$31</f>
        <v>0</v>
      </c>
      <c r="AN172" s="71">
        <f t="shared" ca="1" si="44"/>
        <v>0</v>
      </c>
      <c r="AO172" s="71">
        <f ca="1">IF(C172=1,(H172+J172+N172+P172)*'Reeksen (N)'!AN172,0)</f>
        <v>0</v>
      </c>
      <c r="AP172" s="71">
        <f ca="1">-IF(C172=1,(H172+J172+N172+P172)*'Hulp - basis'!$O$550*'Reeksen (N)'!H172,0)</f>
        <v>0</v>
      </c>
      <c r="AQ172" s="71">
        <f ca="1">-IF(C172=1,(F172+K172+L172+Q172)/2*'Invoer gegevens (N)'!$F$35*'Reeksen (N)'!J172,0)*2</f>
        <v>0</v>
      </c>
      <c r="AR172" s="71">
        <f ca="1">IF(BD172&lt;1,-IF(C172=1,(G172*'Invoer gegevens (N)'!$F$36)*'Reeksen (N)'!J172,0),0)</f>
        <v>0</v>
      </c>
      <c r="AS172" s="71">
        <f ca="1">-IF(C172=1,(F172+K172+L172+Q172)/2*'Invoer gegevens (N)'!$F$37*'Reeksen (N)'!L172,0)</f>
        <v>0</v>
      </c>
      <c r="AT172" s="71">
        <f ca="1">-IF(C172=1,IF(E172='Invoer gegevens (N)'!$C$17,'Invoer gegevens (N)'!$C$11,AD172)*'Reeksen (N)'!S172*'Invoer gegevens (N)'!$C$18*'Reeksen (N)'!P172,0)</f>
        <v>0</v>
      </c>
      <c r="AU172" s="71">
        <f ca="1">-IF(C172=1,(F172+K172+L172+Q172)/2*'Invoer gegevens (N)'!$F$38*'Reeksen (N)'!H172,0)</f>
        <v>0</v>
      </c>
      <c r="AV172" s="71">
        <v>0</v>
      </c>
      <c r="AW172" s="71">
        <f t="shared" ca="1" si="45"/>
        <v>0</v>
      </c>
      <c r="AX172" s="71">
        <f ca="1">IF(E172&lt;'Invoer gegevens (N)'!$C$17+15,0,IF(E172&gt;'Invoer gegevens (N)'!$C$17+215,0,AW172))</f>
        <v>0</v>
      </c>
      <c r="AY172" s="71">
        <f ca="1">AX172/(1+'Invoer gegevens (N)'!$F$18)^($AZ172-('Invoer gegevens (N)'!$C$17-'Invoer gegevens (N)'!$C$16))/(1+'Invoer gegevens (N)'!$C$39)^('Invoer gegevens (N)'!$C$17-'Invoer gegevens (N)'!$C$16)</f>
        <v>0</v>
      </c>
      <c r="AZ172" s="68">
        <f ca="1">IF(E172-'Invoer gegevens (N)'!$C$17-14.5&lt;0,0,E172-'Invoer gegevens (N)'!$C$17-14.5)</f>
        <v>152.5</v>
      </c>
      <c r="BA172" s="109">
        <f ca="1">IFERROR(VLOOKUP(E172-15,'Reeksen (N)'!$A$5:$D$234,2,FALSE),0)</f>
        <v>0</v>
      </c>
      <c r="BB172" s="109">
        <f ca="1">IFERROR(VLOOKUP(E172-15,'Reeksen (N)'!$A$5:$D$234,3,FALSE),0)</f>
        <v>0</v>
      </c>
      <c r="BC172" s="109">
        <f ca="1">IFERROR(VLOOKUP(E172-15,'Reeksen (N)'!$A$5:$D$234,4,FALSE),0)</f>
        <v>0</v>
      </c>
      <c r="BD172" s="67">
        <f ca="1">IF(E172-'Invoer gegevens (N)'!$C$17&lt;15,0,1)</f>
        <v>1</v>
      </c>
    </row>
    <row r="173" spans="1:56" x14ac:dyDescent="0.25">
      <c r="A173" s="59"/>
      <c r="B173" s="70">
        <f t="shared" si="46"/>
        <v>169</v>
      </c>
      <c r="C173" s="67">
        <f ca="1">IF(E173-'Invoer gegevens (N)'!$C$17&lt;0,0,1)</f>
        <v>1</v>
      </c>
      <c r="D173" s="68">
        <f t="shared" si="47"/>
        <v>168.5</v>
      </c>
      <c r="E173" s="108">
        <f ca="1">IF('Invoer gegevens (N)'!$C$16="","",E172+1)</f>
        <v>2187</v>
      </c>
      <c r="F173" s="84">
        <f ca="1">IF('Invoer gegevens (N)'!$C$17=E173,'Invoer gegevens (N)'!$C$10,IF(C173=1,K172,0))</f>
        <v>0</v>
      </c>
      <c r="G173" s="96">
        <f ca="1">IF(BD173&lt;1,F173*'Reeksen (N)'!C173,IF(C173&gt;=1,F173*BA173,0))</f>
        <v>0</v>
      </c>
      <c r="H173" s="84">
        <f ca="1">(1-('Invoer gegevens (N)'!$F$20/12))*F173*MIN(BA173,BC173)</f>
        <v>0</v>
      </c>
      <c r="I173" s="84">
        <f t="shared" ca="1" si="32"/>
        <v>0</v>
      </c>
      <c r="J173" s="84">
        <f ca="1">('Invoer gegevens (N)'!$F$20/12)*F172*MIN(BA173,BC173)</f>
        <v>0</v>
      </c>
      <c r="K173" s="97">
        <f t="shared" ca="1" si="37"/>
        <v>0</v>
      </c>
      <c r="L173" s="84">
        <f ca="1">IF('Invoer gegevens (N)'!$C$17=E173,0,IF(C173=1,Q172,0))</f>
        <v>0</v>
      </c>
      <c r="M173" s="96">
        <f t="shared" ca="1" si="33"/>
        <v>0</v>
      </c>
      <c r="N173" s="84">
        <f ca="1">(1-('Invoer gegevens (N)'!$F$20/12))*L173*MIN(BA173,BC173)</f>
        <v>0</v>
      </c>
      <c r="O173" s="84">
        <f t="shared" ca="1" si="34"/>
        <v>0</v>
      </c>
      <c r="P173" s="84">
        <f ca="1">('Invoer gegevens (N)'!$F$20/12)*L172*MIN(BA173,BC173)</f>
        <v>0</v>
      </c>
      <c r="Q173" s="84">
        <f t="shared" ca="1" si="38"/>
        <v>0</v>
      </c>
      <c r="R173" s="85">
        <f ca="1">IF('Invoer gegevens (N)'!$C$17=E173,'Invoer gegevens (N)'!$C$11,IF(C173=1,W172,0))</f>
        <v>0</v>
      </c>
      <c r="S173" s="86">
        <f t="shared" ca="1" si="35"/>
        <v>0</v>
      </c>
      <c r="T173" s="86">
        <f ca="1">(1-('Invoer gegevens (N)'!$F$20/12))*R173*MIN(BC173,BA173)</f>
        <v>0</v>
      </c>
      <c r="U173" s="86">
        <f ca="1">IF(BD173&lt;1,IF('Reeksen (N)'!AD173&lt;='Reeksen (N)'!AE173,R173*'Reeksen (N)'!C173,0),IF(BC173&gt;=BA173,0,IF('Reeksen (N)'!AD173&lt;='Reeksen (N)'!AE173,(BA173-BC173)*R173,0)))</f>
        <v>0</v>
      </c>
      <c r="V173" s="86">
        <f ca="1">IF(BD173&lt;1,IF('Reeksen (N)'!AD173&gt;'Reeksen (N)'!AE173,R173*'Reeksen (N)'!C173,0),IF(BC173&gt;=BA173,0,IF('Reeksen (N)'!AD173&gt;'Reeksen (N)'!AE173,(BA173-BC173)*R173,0)))</f>
        <v>0</v>
      </c>
      <c r="W173" s="218">
        <f t="shared" ca="1" si="39"/>
        <v>0</v>
      </c>
      <c r="X173" s="98">
        <f ca="1">IF('Invoer gegevens (N)'!$C$17=E173,'Invoer gegevens (N)'!$C$10-'Invoer gegevens (N)'!$C$11,IF(C173=1,AC172,0))</f>
        <v>0</v>
      </c>
      <c r="Y173" s="98">
        <f t="shared" ca="1" si="36"/>
        <v>0</v>
      </c>
      <c r="Z173" s="98">
        <f ca="1">(1-('Invoer gegevens (N)'!$F$20/12))*X173*MIN(BA173,BC173)</f>
        <v>0</v>
      </c>
      <c r="AA173" s="98">
        <f ca="1">IF(BD173&lt;1,IF('Reeksen (N)'!AD173&lt;='Reeksen (N)'!AE173,X173*'Reeksen (N)'!C173,0),IF(BC173&gt;=BA173,0,IF('Reeksen (N)'!AD173&lt;='Reeksen (N)'!AE173,(BA173-BC173)*X173,0)))</f>
        <v>0</v>
      </c>
      <c r="AB173" s="98">
        <f ca="1">IF(BD173&lt;1,IF('Reeksen (N)'!AD173&gt;'Reeksen (N)'!AE173,X173*'Reeksen (N)'!C173,0),IF(BC173&gt;=BA173,0,IF('Reeksen (N)'!AD173&gt;'Reeksen (N)'!AE173,(BA173-BC173)*X173,0)))</f>
        <v>0</v>
      </c>
      <c r="AC173" s="99">
        <f t="shared" ca="1" si="40"/>
        <v>0</v>
      </c>
      <c r="AD173" s="98">
        <f ca="1">IF('Invoer gegevens (N)'!$C$17=E173,R173,IF(C173=0,0,AE172))</f>
        <v>0</v>
      </c>
      <c r="AE173" s="98">
        <f t="shared" ca="1" si="41"/>
        <v>0</v>
      </c>
      <c r="AF173" s="98">
        <f ca="1">IF('Invoer gegevens (N)'!$C$17=E173,X173,IF(C173=0,0,AG172))</f>
        <v>0</v>
      </c>
      <c r="AG173" s="98">
        <f t="shared" ca="1" si="42"/>
        <v>0</v>
      </c>
      <c r="AH173" s="66"/>
      <c r="AI173" s="71">
        <f ca="1">IF(C173=1,'Reeksen (N)'!AI173*((F173+K173)/2)*12+'Reeksen (N)'!AD173*((L173+Q173)/2)*12,0)</f>
        <v>0</v>
      </c>
      <c r="AJ173" s="71">
        <f ca="1">-AI173*'Invoer gegevens (N)'!$F$28</f>
        <v>0</v>
      </c>
      <c r="AK173" s="71">
        <f t="shared" ca="1" si="43"/>
        <v>0</v>
      </c>
      <c r="AL173" s="71">
        <f ca="1">IF(C173=1,'Reeksen (N)'!AL173*((F173-G173+F173)/2)*12+'Reeksen (N)'!AM173*((L173-M173+L173)/2)*12,0)</f>
        <v>0</v>
      </c>
      <c r="AM173" s="71">
        <f ca="1">-AL173*'Invoer gegevens (N)'!$F$31</f>
        <v>0</v>
      </c>
      <c r="AN173" s="71">
        <f t="shared" ca="1" si="44"/>
        <v>0</v>
      </c>
      <c r="AO173" s="71">
        <f ca="1">IF(C173=1,(H173+J173+N173+P173)*'Reeksen (N)'!AN173,0)</f>
        <v>0</v>
      </c>
      <c r="AP173" s="71">
        <f ca="1">-IF(C173=1,(H173+J173+N173+P173)*'Hulp - basis'!$O$550*'Reeksen (N)'!H173,0)</f>
        <v>0</v>
      </c>
      <c r="AQ173" s="71">
        <f ca="1">-IF(C173=1,(F173+K173+L173+Q173)/2*'Invoer gegevens (N)'!$F$35*'Reeksen (N)'!J173,0)*2</f>
        <v>0</v>
      </c>
      <c r="AR173" s="71">
        <f ca="1">IF(BD173&lt;1,-IF(C173=1,(G173*'Invoer gegevens (N)'!$F$36)*'Reeksen (N)'!J173,0),0)</f>
        <v>0</v>
      </c>
      <c r="AS173" s="71">
        <f ca="1">-IF(C173=1,(F173+K173+L173+Q173)/2*'Invoer gegevens (N)'!$F$37*'Reeksen (N)'!L173,0)</f>
        <v>0</v>
      </c>
      <c r="AT173" s="71">
        <f ca="1">-IF(C173=1,IF(E173='Invoer gegevens (N)'!$C$17,'Invoer gegevens (N)'!$C$11,AD173)*'Reeksen (N)'!S173*'Invoer gegevens (N)'!$C$18*'Reeksen (N)'!P173,0)</f>
        <v>0</v>
      </c>
      <c r="AU173" s="71">
        <f ca="1">-IF(C173=1,(F173+K173+L173+Q173)/2*'Invoer gegevens (N)'!$F$38*'Reeksen (N)'!H173,0)</f>
        <v>0</v>
      </c>
      <c r="AV173" s="71">
        <v>0</v>
      </c>
      <c r="AW173" s="71">
        <f t="shared" ca="1" si="45"/>
        <v>0</v>
      </c>
      <c r="AX173" s="71">
        <f ca="1">IF(E173&lt;'Invoer gegevens (N)'!$C$17+15,0,IF(E173&gt;'Invoer gegevens (N)'!$C$17+215,0,AW173))</f>
        <v>0</v>
      </c>
      <c r="AY173" s="71">
        <f ca="1">AX173/(1+'Invoer gegevens (N)'!$F$18)^($AZ173-('Invoer gegevens (N)'!$C$17-'Invoer gegevens (N)'!$C$16))/(1+'Invoer gegevens (N)'!$C$39)^('Invoer gegevens (N)'!$C$17-'Invoer gegevens (N)'!$C$16)</f>
        <v>0</v>
      </c>
      <c r="AZ173" s="68">
        <f ca="1">IF(E173-'Invoer gegevens (N)'!$C$17-14.5&lt;0,0,E173-'Invoer gegevens (N)'!$C$17-14.5)</f>
        <v>153.5</v>
      </c>
      <c r="BA173" s="109">
        <f ca="1">IFERROR(VLOOKUP(E173-15,'Reeksen (N)'!$A$5:$D$234,2,FALSE),0)</f>
        <v>0</v>
      </c>
      <c r="BB173" s="109">
        <f ca="1">IFERROR(VLOOKUP(E173-15,'Reeksen (N)'!$A$5:$D$234,3,FALSE),0)</f>
        <v>0</v>
      </c>
      <c r="BC173" s="109">
        <f ca="1">IFERROR(VLOOKUP(E173-15,'Reeksen (N)'!$A$5:$D$234,4,FALSE),0)</f>
        <v>0</v>
      </c>
      <c r="BD173" s="67">
        <f ca="1">IF(E173-'Invoer gegevens (N)'!$C$17&lt;15,0,1)</f>
        <v>1</v>
      </c>
    </row>
    <row r="174" spans="1:56" x14ac:dyDescent="0.25">
      <c r="A174" s="59"/>
      <c r="B174" s="70">
        <f t="shared" si="46"/>
        <v>170</v>
      </c>
      <c r="C174" s="67">
        <f ca="1">IF(E174-'Invoer gegevens (N)'!$C$17&lt;0,0,1)</f>
        <v>1</v>
      </c>
      <c r="D174" s="68">
        <f t="shared" si="47"/>
        <v>169.5</v>
      </c>
      <c r="E174" s="108">
        <f ca="1">IF('Invoer gegevens (N)'!$C$16="","",E173+1)</f>
        <v>2188</v>
      </c>
      <c r="F174" s="84">
        <f ca="1">IF('Invoer gegevens (N)'!$C$17=E174,'Invoer gegevens (N)'!$C$10,IF(C174=1,K173,0))</f>
        <v>0</v>
      </c>
      <c r="G174" s="96">
        <f ca="1">IF(BD174&lt;1,F174*'Reeksen (N)'!C174,IF(C174&gt;=1,F174*BA174,0))</f>
        <v>0</v>
      </c>
      <c r="H174" s="84">
        <f ca="1">(1-('Invoer gegevens (N)'!$F$20/12))*F174*MIN(BA174,BC174)</f>
        <v>0</v>
      </c>
      <c r="I174" s="84">
        <f t="shared" ca="1" si="32"/>
        <v>0</v>
      </c>
      <c r="J174" s="84">
        <f ca="1">('Invoer gegevens (N)'!$F$20/12)*F173*MIN(BA174,BC174)</f>
        <v>0</v>
      </c>
      <c r="K174" s="97">
        <f t="shared" ca="1" si="37"/>
        <v>0</v>
      </c>
      <c r="L174" s="84">
        <f ca="1">IF('Invoer gegevens (N)'!$C$17=E174,0,IF(C174=1,Q173,0))</f>
        <v>0</v>
      </c>
      <c r="M174" s="96">
        <f t="shared" ca="1" si="33"/>
        <v>0</v>
      </c>
      <c r="N174" s="84">
        <f ca="1">(1-('Invoer gegevens (N)'!$F$20/12))*L174*MIN(BA174,BC174)</f>
        <v>0</v>
      </c>
      <c r="O174" s="84">
        <f t="shared" ca="1" si="34"/>
        <v>0</v>
      </c>
      <c r="P174" s="84">
        <f ca="1">('Invoer gegevens (N)'!$F$20/12)*L173*MIN(BA174,BC174)</f>
        <v>0</v>
      </c>
      <c r="Q174" s="84">
        <f t="shared" ca="1" si="38"/>
        <v>0</v>
      </c>
      <c r="R174" s="85">
        <f ca="1">IF('Invoer gegevens (N)'!$C$17=E174,'Invoer gegevens (N)'!$C$11,IF(C174=1,W173,0))</f>
        <v>0</v>
      </c>
      <c r="S174" s="86">
        <f t="shared" ca="1" si="35"/>
        <v>0</v>
      </c>
      <c r="T174" s="86">
        <f ca="1">(1-('Invoer gegevens (N)'!$F$20/12))*R174*MIN(BC174,BA174)</f>
        <v>0</v>
      </c>
      <c r="U174" s="86">
        <f ca="1">IF(BD174&lt;1,IF('Reeksen (N)'!AD174&lt;='Reeksen (N)'!AE174,R174*'Reeksen (N)'!C174,0),IF(BC174&gt;=BA174,0,IF('Reeksen (N)'!AD174&lt;='Reeksen (N)'!AE174,(BA174-BC174)*R174,0)))</f>
        <v>0</v>
      </c>
      <c r="V174" s="86">
        <f ca="1">IF(BD174&lt;1,IF('Reeksen (N)'!AD174&gt;'Reeksen (N)'!AE174,R174*'Reeksen (N)'!C174,0),IF(BC174&gt;=BA174,0,IF('Reeksen (N)'!AD174&gt;'Reeksen (N)'!AE174,(BA174-BC174)*R174,0)))</f>
        <v>0</v>
      </c>
      <c r="W174" s="218">
        <f t="shared" ca="1" si="39"/>
        <v>0</v>
      </c>
      <c r="X174" s="98">
        <f ca="1">IF('Invoer gegevens (N)'!$C$17=E174,'Invoer gegevens (N)'!$C$10-'Invoer gegevens (N)'!$C$11,IF(C174=1,AC173,0))</f>
        <v>0</v>
      </c>
      <c r="Y174" s="98">
        <f t="shared" ca="1" si="36"/>
        <v>0</v>
      </c>
      <c r="Z174" s="98">
        <f ca="1">(1-('Invoer gegevens (N)'!$F$20/12))*X174*MIN(BA174,BC174)</f>
        <v>0</v>
      </c>
      <c r="AA174" s="98">
        <f ca="1">IF(BD174&lt;1,IF('Reeksen (N)'!AD174&lt;='Reeksen (N)'!AE174,X174*'Reeksen (N)'!C174,0),IF(BC174&gt;=BA174,0,IF('Reeksen (N)'!AD174&lt;='Reeksen (N)'!AE174,(BA174-BC174)*X174,0)))</f>
        <v>0</v>
      </c>
      <c r="AB174" s="98">
        <f ca="1">IF(BD174&lt;1,IF('Reeksen (N)'!AD174&gt;'Reeksen (N)'!AE174,X174*'Reeksen (N)'!C174,0),IF(BC174&gt;=BA174,0,IF('Reeksen (N)'!AD174&gt;'Reeksen (N)'!AE174,(BA174-BC174)*X174,0)))</f>
        <v>0</v>
      </c>
      <c r="AC174" s="99">
        <f t="shared" ca="1" si="40"/>
        <v>0</v>
      </c>
      <c r="AD174" s="98">
        <f ca="1">IF('Invoer gegevens (N)'!$C$17=E174,R174,IF(C174=0,0,AE173))</f>
        <v>0</v>
      </c>
      <c r="AE174" s="98">
        <f t="shared" ca="1" si="41"/>
        <v>0</v>
      </c>
      <c r="AF174" s="98">
        <f ca="1">IF('Invoer gegevens (N)'!$C$17=E174,X174,IF(C174=0,0,AG173))</f>
        <v>0</v>
      </c>
      <c r="AG174" s="98">
        <f t="shared" ca="1" si="42"/>
        <v>0</v>
      </c>
      <c r="AH174" s="66"/>
      <c r="AI174" s="71">
        <f ca="1">IF(C174=1,'Reeksen (N)'!AI174*((F174+K174)/2)*12+'Reeksen (N)'!AD174*((L174+Q174)/2)*12,0)</f>
        <v>0</v>
      </c>
      <c r="AJ174" s="71">
        <f ca="1">-AI174*'Invoer gegevens (N)'!$F$28</f>
        <v>0</v>
      </c>
      <c r="AK174" s="71">
        <f t="shared" ca="1" si="43"/>
        <v>0</v>
      </c>
      <c r="AL174" s="71">
        <f ca="1">IF(C174=1,'Reeksen (N)'!AL174*((F174-G174+F174)/2)*12+'Reeksen (N)'!AM174*((L174-M174+L174)/2)*12,0)</f>
        <v>0</v>
      </c>
      <c r="AM174" s="71">
        <f ca="1">-AL174*'Invoer gegevens (N)'!$F$31</f>
        <v>0</v>
      </c>
      <c r="AN174" s="71">
        <f t="shared" ca="1" si="44"/>
        <v>0</v>
      </c>
      <c r="AO174" s="71">
        <f ca="1">IF(C174=1,(H174+J174+N174+P174)*'Reeksen (N)'!AN174,0)</f>
        <v>0</v>
      </c>
      <c r="AP174" s="71">
        <f ca="1">-IF(C174=1,(H174+J174+N174+P174)*'Hulp - basis'!$O$550*'Reeksen (N)'!H174,0)</f>
        <v>0</v>
      </c>
      <c r="AQ174" s="71">
        <f ca="1">-IF(C174=1,(F174+K174+L174+Q174)/2*'Invoer gegevens (N)'!$F$35*'Reeksen (N)'!J174,0)*2</f>
        <v>0</v>
      </c>
      <c r="AR174" s="71">
        <f ca="1">IF(BD174&lt;1,-IF(C174=1,(G174*'Invoer gegevens (N)'!$F$36)*'Reeksen (N)'!J174,0),0)</f>
        <v>0</v>
      </c>
      <c r="AS174" s="71">
        <f ca="1">-IF(C174=1,(F174+K174+L174+Q174)/2*'Invoer gegevens (N)'!$F$37*'Reeksen (N)'!L174,0)</f>
        <v>0</v>
      </c>
      <c r="AT174" s="71">
        <f ca="1">-IF(C174=1,IF(E174='Invoer gegevens (N)'!$C$17,'Invoer gegevens (N)'!$C$11,AD174)*'Reeksen (N)'!S174*'Invoer gegevens (N)'!$C$18*'Reeksen (N)'!P174,0)</f>
        <v>0</v>
      </c>
      <c r="AU174" s="71">
        <f ca="1">-IF(C174=1,(F174+K174+L174+Q174)/2*'Invoer gegevens (N)'!$F$38*'Reeksen (N)'!H174,0)</f>
        <v>0</v>
      </c>
      <c r="AV174" s="71">
        <v>0</v>
      </c>
      <c r="AW174" s="71">
        <f t="shared" ca="1" si="45"/>
        <v>0</v>
      </c>
      <c r="AX174" s="71">
        <f ca="1">IF(E174&lt;'Invoer gegevens (N)'!$C$17+15,0,IF(E174&gt;'Invoer gegevens (N)'!$C$17+215,0,AW174))</f>
        <v>0</v>
      </c>
      <c r="AY174" s="71">
        <f ca="1">AX174/(1+'Invoer gegevens (N)'!$F$18)^($AZ174-('Invoer gegevens (N)'!$C$17-'Invoer gegevens (N)'!$C$16))/(1+'Invoer gegevens (N)'!$C$39)^('Invoer gegevens (N)'!$C$17-'Invoer gegevens (N)'!$C$16)</f>
        <v>0</v>
      </c>
      <c r="AZ174" s="68">
        <f ca="1">IF(E174-'Invoer gegevens (N)'!$C$17-14.5&lt;0,0,E174-'Invoer gegevens (N)'!$C$17-14.5)</f>
        <v>154.5</v>
      </c>
      <c r="BA174" s="109">
        <f ca="1">IFERROR(VLOOKUP(E174-15,'Reeksen (N)'!$A$5:$D$234,2,FALSE),0)</f>
        <v>0</v>
      </c>
      <c r="BB174" s="109">
        <f ca="1">IFERROR(VLOOKUP(E174-15,'Reeksen (N)'!$A$5:$D$234,3,FALSE),0)</f>
        <v>0</v>
      </c>
      <c r="BC174" s="109">
        <f ca="1">IFERROR(VLOOKUP(E174-15,'Reeksen (N)'!$A$5:$D$234,4,FALSE),0)</f>
        <v>0</v>
      </c>
      <c r="BD174" s="67">
        <f ca="1">IF(E174-'Invoer gegevens (N)'!$C$17&lt;15,0,1)</f>
        <v>1</v>
      </c>
    </row>
    <row r="175" spans="1:56" x14ac:dyDescent="0.25">
      <c r="A175" s="59"/>
      <c r="B175" s="70">
        <f t="shared" si="46"/>
        <v>171</v>
      </c>
      <c r="C175" s="67">
        <f ca="1">IF(E175-'Invoer gegevens (N)'!$C$17&lt;0,0,1)</f>
        <v>1</v>
      </c>
      <c r="D175" s="68">
        <f t="shared" si="47"/>
        <v>170.5</v>
      </c>
      <c r="E175" s="108">
        <f ca="1">IF('Invoer gegevens (N)'!$C$16="","",E174+1)</f>
        <v>2189</v>
      </c>
      <c r="F175" s="84">
        <f ca="1">IF('Invoer gegevens (N)'!$C$17=E175,'Invoer gegevens (N)'!$C$10,IF(C175=1,K174,0))</f>
        <v>0</v>
      </c>
      <c r="G175" s="96">
        <f ca="1">IF(BD175&lt;1,F175*'Reeksen (N)'!C175,IF(C175&gt;=1,F175*BA175,0))</f>
        <v>0</v>
      </c>
      <c r="H175" s="84">
        <f ca="1">(1-('Invoer gegevens (N)'!$F$20/12))*F175*MIN(BA175,BC175)</f>
        <v>0</v>
      </c>
      <c r="I175" s="84">
        <f t="shared" ca="1" si="32"/>
        <v>0</v>
      </c>
      <c r="J175" s="84">
        <f ca="1">('Invoer gegevens (N)'!$F$20/12)*F174*MIN(BA175,BC175)</f>
        <v>0</v>
      </c>
      <c r="K175" s="97">
        <f t="shared" ca="1" si="37"/>
        <v>0</v>
      </c>
      <c r="L175" s="84">
        <f ca="1">IF('Invoer gegevens (N)'!$C$17=E175,0,IF(C175=1,Q174,0))</f>
        <v>0</v>
      </c>
      <c r="M175" s="96">
        <f t="shared" ca="1" si="33"/>
        <v>0</v>
      </c>
      <c r="N175" s="84">
        <f ca="1">(1-('Invoer gegevens (N)'!$F$20/12))*L175*MIN(BA175,BC175)</f>
        <v>0</v>
      </c>
      <c r="O175" s="84">
        <f t="shared" ca="1" si="34"/>
        <v>0</v>
      </c>
      <c r="P175" s="84">
        <f ca="1">('Invoer gegevens (N)'!$F$20/12)*L174*MIN(BA175,BC175)</f>
        <v>0</v>
      </c>
      <c r="Q175" s="84">
        <f t="shared" ca="1" si="38"/>
        <v>0</v>
      </c>
      <c r="R175" s="85">
        <f ca="1">IF('Invoer gegevens (N)'!$C$17=E175,'Invoer gegevens (N)'!$C$11,IF(C175=1,W174,0))</f>
        <v>0</v>
      </c>
      <c r="S175" s="86">
        <f t="shared" ca="1" si="35"/>
        <v>0</v>
      </c>
      <c r="T175" s="86">
        <f ca="1">(1-('Invoer gegevens (N)'!$F$20/12))*R175*MIN(BC175,BA175)</f>
        <v>0</v>
      </c>
      <c r="U175" s="86">
        <f ca="1">IF(BD175&lt;1,IF('Reeksen (N)'!AD175&lt;='Reeksen (N)'!AE175,R175*'Reeksen (N)'!C175,0),IF(BC175&gt;=BA175,0,IF('Reeksen (N)'!AD175&lt;='Reeksen (N)'!AE175,(BA175-BC175)*R175,0)))</f>
        <v>0</v>
      </c>
      <c r="V175" s="86">
        <f ca="1">IF(BD175&lt;1,IF('Reeksen (N)'!AD175&gt;'Reeksen (N)'!AE175,R175*'Reeksen (N)'!C175,0),IF(BC175&gt;=BA175,0,IF('Reeksen (N)'!AD175&gt;'Reeksen (N)'!AE175,(BA175-BC175)*R175,0)))</f>
        <v>0</v>
      </c>
      <c r="W175" s="218">
        <f t="shared" ca="1" si="39"/>
        <v>0</v>
      </c>
      <c r="X175" s="98">
        <f ca="1">IF('Invoer gegevens (N)'!$C$17=E175,'Invoer gegevens (N)'!$C$10-'Invoer gegevens (N)'!$C$11,IF(C175=1,AC174,0))</f>
        <v>0</v>
      </c>
      <c r="Y175" s="98">
        <f t="shared" ca="1" si="36"/>
        <v>0</v>
      </c>
      <c r="Z175" s="98">
        <f ca="1">(1-('Invoer gegevens (N)'!$F$20/12))*X175*MIN(BA175,BC175)</f>
        <v>0</v>
      </c>
      <c r="AA175" s="98">
        <f ca="1">IF(BD175&lt;1,IF('Reeksen (N)'!AD175&lt;='Reeksen (N)'!AE175,X175*'Reeksen (N)'!C175,0),IF(BC175&gt;=BA175,0,IF('Reeksen (N)'!AD175&lt;='Reeksen (N)'!AE175,(BA175-BC175)*X175,0)))</f>
        <v>0</v>
      </c>
      <c r="AB175" s="98">
        <f ca="1">IF(BD175&lt;1,IF('Reeksen (N)'!AD175&gt;'Reeksen (N)'!AE175,X175*'Reeksen (N)'!C175,0),IF(BC175&gt;=BA175,0,IF('Reeksen (N)'!AD175&gt;'Reeksen (N)'!AE175,(BA175-BC175)*X175,0)))</f>
        <v>0</v>
      </c>
      <c r="AC175" s="99">
        <f t="shared" ca="1" si="40"/>
        <v>0</v>
      </c>
      <c r="AD175" s="98">
        <f ca="1">IF('Invoer gegevens (N)'!$C$17=E175,R175,IF(C175=0,0,AE174))</f>
        <v>0</v>
      </c>
      <c r="AE175" s="98">
        <f t="shared" ca="1" si="41"/>
        <v>0</v>
      </c>
      <c r="AF175" s="98">
        <f ca="1">IF('Invoer gegevens (N)'!$C$17=E175,X175,IF(C175=0,0,AG174))</f>
        <v>0</v>
      </c>
      <c r="AG175" s="98">
        <f t="shared" ca="1" si="42"/>
        <v>0</v>
      </c>
      <c r="AH175" s="66"/>
      <c r="AI175" s="71">
        <f ca="1">IF(C175=1,'Reeksen (N)'!AI175*((F175+K175)/2)*12+'Reeksen (N)'!AD175*((L175+Q175)/2)*12,0)</f>
        <v>0</v>
      </c>
      <c r="AJ175" s="71">
        <f ca="1">-AI175*'Invoer gegevens (N)'!$F$28</f>
        <v>0</v>
      </c>
      <c r="AK175" s="71">
        <f t="shared" ca="1" si="43"/>
        <v>0</v>
      </c>
      <c r="AL175" s="71">
        <f ca="1">IF(C175=1,'Reeksen (N)'!AL175*((F175-G175+F175)/2)*12+'Reeksen (N)'!AM175*((L175-M175+L175)/2)*12,0)</f>
        <v>0</v>
      </c>
      <c r="AM175" s="71">
        <f ca="1">-AL175*'Invoer gegevens (N)'!$F$31</f>
        <v>0</v>
      </c>
      <c r="AN175" s="71">
        <f t="shared" ca="1" si="44"/>
        <v>0</v>
      </c>
      <c r="AO175" s="71">
        <f ca="1">IF(C175=1,(H175+J175+N175+P175)*'Reeksen (N)'!AN175,0)</f>
        <v>0</v>
      </c>
      <c r="AP175" s="71">
        <f ca="1">-IF(C175=1,(H175+J175+N175+P175)*'Hulp - basis'!$O$550*'Reeksen (N)'!H175,0)</f>
        <v>0</v>
      </c>
      <c r="AQ175" s="71">
        <f ca="1">-IF(C175=1,(F175+K175+L175+Q175)/2*'Invoer gegevens (N)'!$F$35*'Reeksen (N)'!J175,0)*2</f>
        <v>0</v>
      </c>
      <c r="AR175" s="71">
        <f ca="1">IF(BD175&lt;1,-IF(C175=1,(G175*'Invoer gegevens (N)'!$F$36)*'Reeksen (N)'!J175,0),0)</f>
        <v>0</v>
      </c>
      <c r="AS175" s="71">
        <f ca="1">-IF(C175=1,(F175+K175+L175+Q175)/2*'Invoer gegevens (N)'!$F$37*'Reeksen (N)'!L175,0)</f>
        <v>0</v>
      </c>
      <c r="AT175" s="71">
        <f ca="1">-IF(C175=1,IF(E175='Invoer gegevens (N)'!$C$17,'Invoer gegevens (N)'!$C$11,AD175)*'Reeksen (N)'!S175*'Invoer gegevens (N)'!$C$18*'Reeksen (N)'!P175,0)</f>
        <v>0</v>
      </c>
      <c r="AU175" s="71">
        <f ca="1">-IF(C175=1,(F175+K175+L175+Q175)/2*'Invoer gegevens (N)'!$F$38*'Reeksen (N)'!H175,0)</f>
        <v>0</v>
      </c>
      <c r="AV175" s="71">
        <v>0</v>
      </c>
      <c r="AW175" s="71">
        <f t="shared" ca="1" si="45"/>
        <v>0</v>
      </c>
      <c r="AX175" s="71">
        <f ca="1">IF(E175&lt;'Invoer gegevens (N)'!$C$17+15,0,IF(E175&gt;'Invoer gegevens (N)'!$C$17+215,0,AW175))</f>
        <v>0</v>
      </c>
      <c r="AY175" s="71">
        <f ca="1">AX175/(1+'Invoer gegevens (N)'!$F$18)^($AZ175-('Invoer gegevens (N)'!$C$17-'Invoer gegevens (N)'!$C$16))/(1+'Invoer gegevens (N)'!$C$39)^('Invoer gegevens (N)'!$C$17-'Invoer gegevens (N)'!$C$16)</f>
        <v>0</v>
      </c>
      <c r="AZ175" s="68">
        <f ca="1">IF(E175-'Invoer gegevens (N)'!$C$17-14.5&lt;0,0,E175-'Invoer gegevens (N)'!$C$17-14.5)</f>
        <v>155.5</v>
      </c>
      <c r="BA175" s="109">
        <f ca="1">IFERROR(VLOOKUP(E175-15,'Reeksen (N)'!$A$5:$D$234,2,FALSE),0)</f>
        <v>0</v>
      </c>
      <c r="BB175" s="109">
        <f ca="1">IFERROR(VLOOKUP(E175-15,'Reeksen (N)'!$A$5:$D$234,3,FALSE),0)</f>
        <v>0</v>
      </c>
      <c r="BC175" s="109">
        <f ca="1">IFERROR(VLOOKUP(E175-15,'Reeksen (N)'!$A$5:$D$234,4,FALSE),0)</f>
        <v>0</v>
      </c>
      <c r="BD175" s="67">
        <f ca="1">IF(E175-'Invoer gegevens (N)'!$C$17&lt;15,0,1)</f>
        <v>1</v>
      </c>
    </row>
    <row r="176" spans="1:56" x14ac:dyDescent="0.25">
      <c r="A176" s="59"/>
      <c r="B176" s="70">
        <f t="shared" si="46"/>
        <v>172</v>
      </c>
      <c r="C176" s="67">
        <f ca="1">IF(E176-'Invoer gegevens (N)'!$C$17&lt;0,0,1)</f>
        <v>1</v>
      </c>
      <c r="D176" s="68">
        <f t="shared" si="47"/>
        <v>171.5</v>
      </c>
      <c r="E176" s="108">
        <f ca="1">IF('Invoer gegevens (N)'!$C$16="","",E175+1)</f>
        <v>2190</v>
      </c>
      <c r="F176" s="84">
        <f ca="1">IF('Invoer gegevens (N)'!$C$17=E176,'Invoer gegevens (N)'!$C$10,IF(C176=1,K175,0))</f>
        <v>0</v>
      </c>
      <c r="G176" s="96">
        <f ca="1">IF(BD176&lt;1,F176*'Reeksen (N)'!C176,IF(C176&gt;=1,F176*BA176,0))</f>
        <v>0</v>
      </c>
      <c r="H176" s="84">
        <f ca="1">(1-('Invoer gegevens (N)'!$F$20/12))*F176*MIN(BA176,BC176)</f>
        <v>0</v>
      </c>
      <c r="I176" s="84">
        <f t="shared" ca="1" si="32"/>
        <v>0</v>
      </c>
      <c r="J176" s="84">
        <f ca="1">('Invoer gegevens (N)'!$F$20/12)*F175*MIN(BA176,BC176)</f>
        <v>0</v>
      </c>
      <c r="K176" s="97">
        <f t="shared" ca="1" si="37"/>
        <v>0</v>
      </c>
      <c r="L176" s="84">
        <f ca="1">IF('Invoer gegevens (N)'!$C$17=E176,0,IF(C176=1,Q175,0))</f>
        <v>0</v>
      </c>
      <c r="M176" s="96">
        <f t="shared" ca="1" si="33"/>
        <v>0</v>
      </c>
      <c r="N176" s="84">
        <f ca="1">(1-('Invoer gegevens (N)'!$F$20/12))*L176*MIN(BA176,BC176)</f>
        <v>0</v>
      </c>
      <c r="O176" s="84">
        <f t="shared" ca="1" si="34"/>
        <v>0</v>
      </c>
      <c r="P176" s="84">
        <f ca="1">('Invoer gegevens (N)'!$F$20/12)*L175*MIN(BA176,BC176)</f>
        <v>0</v>
      </c>
      <c r="Q176" s="84">
        <f t="shared" ca="1" si="38"/>
        <v>0</v>
      </c>
      <c r="R176" s="85">
        <f ca="1">IF('Invoer gegevens (N)'!$C$17=E176,'Invoer gegevens (N)'!$C$11,IF(C176=1,W175,0))</f>
        <v>0</v>
      </c>
      <c r="S176" s="86">
        <f t="shared" ca="1" si="35"/>
        <v>0</v>
      </c>
      <c r="T176" s="86">
        <f ca="1">(1-('Invoer gegevens (N)'!$F$20/12))*R176*MIN(BC176,BA176)</f>
        <v>0</v>
      </c>
      <c r="U176" s="86">
        <f ca="1">IF(BD176&lt;1,IF('Reeksen (N)'!AD176&lt;='Reeksen (N)'!AE176,R176*'Reeksen (N)'!C176,0),IF(BC176&gt;=BA176,0,IF('Reeksen (N)'!AD176&lt;='Reeksen (N)'!AE176,(BA176-BC176)*R176,0)))</f>
        <v>0</v>
      </c>
      <c r="V176" s="86">
        <f ca="1">IF(BD176&lt;1,IF('Reeksen (N)'!AD176&gt;'Reeksen (N)'!AE176,R176*'Reeksen (N)'!C176,0),IF(BC176&gt;=BA176,0,IF('Reeksen (N)'!AD176&gt;'Reeksen (N)'!AE176,(BA176-BC176)*R176,0)))</f>
        <v>0</v>
      </c>
      <c r="W176" s="218">
        <f t="shared" ca="1" si="39"/>
        <v>0</v>
      </c>
      <c r="X176" s="98">
        <f ca="1">IF('Invoer gegevens (N)'!$C$17=E176,'Invoer gegevens (N)'!$C$10-'Invoer gegevens (N)'!$C$11,IF(C176=1,AC175,0))</f>
        <v>0</v>
      </c>
      <c r="Y176" s="98">
        <f t="shared" ca="1" si="36"/>
        <v>0</v>
      </c>
      <c r="Z176" s="98">
        <f ca="1">(1-('Invoer gegevens (N)'!$F$20/12))*X176*MIN(BA176,BC176)</f>
        <v>0</v>
      </c>
      <c r="AA176" s="98">
        <f ca="1">IF(BD176&lt;1,IF('Reeksen (N)'!AD176&lt;='Reeksen (N)'!AE176,X176*'Reeksen (N)'!C176,0),IF(BC176&gt;=BA176,0,IF('Reeksen (N)'!AD176&lt;='Reeksen (N)'!AE176,(BA176-BC176)*X176,0)))</f>
        <v>0</v>
      </c>
      <c r="AB176" s="98">
        <f ca="1">IF(BD176&lt;1,IF('Reeksen (N)'!AD176&gt;'Reeksen (N)'!AE176,X176*'Reeksen (N)'!C176,0),IF(BC176&gt;=BA176,0,IF('Reeksen (N)'!AD176&gt;'Reeksen (N)'!AE176,(BA176-BC176)*X176,0)))</f>
        <v>0</v>
      </c>
      <c r="AC176" s="99">
        <f t="shared" ca="1" si="40"/>
        <v>0</v>
      </c>
      <c r="AD176" s="98">
        <f ca="1">IF('Invoer gegevens (N)'!$C$17=E176,R176,IF(C176=0,0,AE175))</f>
        <v>0</v>
      </c>
      <c r="AE176" s="98">
        <f t="shared" ca="1" si="41"/>
        <v>0</v>
      </c>
      <c r="AF176" s="98">
        <f ca="1">IF('Invoer gegevens (N)'!$C$17=E176,X176,IF(C176=0,0,AG175))</f>
        <v>0</v>
      </c>
      <c r="AG176" s="98">
        <f t="shared" ca="1" si="42"/>
        <v>0</v>
      </c>
      <c r="AH176" s="66"/>
      <c r="AI176" s="71">
        <f ca="1">IF(C176=1,'Reeksen (N)'!AI176*((F176+K176)/2)*12+'Reeksen (N)'!AD176*((L176+Q176)/2)*12,0)</f>
        <v>0</v>
      </c>
      <c r="AJ176" s="71">
        <f ca="1">-AI176*'Invoer gegevens (N)'!$F$28</f>
        <v>0</v>
      </c>
      <c r="AK176" s="71">
        <f t="shared" ca="1" si="43"/>
        <v>0</v>
      </c>
      <c r="AL176" s="71">
        <f ca="1">IF(C176=1,'Reeksen (N)'!AL176*((F176-G176+F176)/2)*12+'Reeksen (N)'!AM176*((L176-M176+L176)/2)*12,0)</f>
        <v>0</v>
      </c>
      <c r="AM176" s="71">
        <f ca="1">-AL176*'Invoer gegevens (N)'!$F$31</f>
        <v>0</v>
      </c>
      <c r="AN176" s="71">
        <f t="shared" ca="1" si="44"/>
        <v>0</v>
      </c>
      <c r="AO176" s="71">
        <f ca="1">IF(C176=1,(H176+J176+N176+P176)*'Reeksen (N)'!AN176,0)</f>
        <v>0</v>
      </c>
      <c r="AP176" s="71">
        <f ca="1">-IF(C176=1,(H176+J176+N176+P176)*'Hulp - basis'!$O$550*'Reeksen (N)'!H176,0)</f>
        <v>0</v>
      </c>
      <c r="AQ176" s="71">
        <f ca="1">-IF(C176=1,(F176+K176+L176+Q176)/2*'Invoer gegevens (N)'!$F$35*'Reeksen (N)'!J176,0)*2</f>
        <v>0</v>
      </c>
      <c r="AR176" s="71">
        <f ca="1">IF(BD176&lt;1,-IF(C176=1,(G176*'Invoer gegevens (N)'!$F$36)*'Reeksen (N)'!J176,0),0)</f>
        <v>0</v>
      </c>
      <c r="AS176" s="71">
        <f ca="1">-IF(C176=1,(F176+K176+L176+Q176)/2*'Invoer gegevens (N)'!$F$37*'Reeksen (N)'!L176,0)</f>
        <v>0</v>
      </c>
      <c r="AT176" s="71">
        <f ca="1">-IF(C176=1,IF(E176='Invoer gegevens (N)'!$C$17,'Invoer gegevens (N)'!$C$11,AD176)*'Reeksen (N)'!S176*'Invoer gegevens (N)'!$C$18*'Reeksen (N)'!P176,0)</f>
        <v>0</v>
      </c>
      <c r="AU176" s="71">
        <f ca="1">-IF(C176=1,(F176+K176+L176+Q176)/2*'Invoer gegevens (N)'!$F$38*'Reeksen (N)'!H176,0)</f>
        <v>0</v>
      </c>
      <c r="AV176" s="71">
        <v>0</v>
      </c>
      <c r="AW176" s="71">
        <f t="shared" ca="1" si="45"/>
        <v>0</v>
      </c>
      <c r="AX176" s="71">
        <f ca="1">IF(E176&lt;'Invoer gegevens (N)'!$C$17+15,0,IF(E176&gt;'Invoer gegevens (N)'!$C$17+215,0,AW176))</f>
        <v>0</v>
      </c>
      <c r="AY176" s="71">
        <f ca="1">AX176/(1+'Invoer gegevens (N)'!$F$18)^($AZ176-('Invoer gegevens (N)'!$C$17-'Invoer gegevens (N)'!$C$16))/(1+'Invoer gegevens (N)'!$C$39)^('Invoer gegevens (N)'!$C$17-'Invoer gegevens (N)'!$C$16)</f>
        <v>0</v>
      </c>
      <c r="AZ176" s="68">
        <f ca="1">IF(E176-'Invoer gegevens (N)'!$C$17-14.5&lt;0,0,E176-'Invoer gegevens (N)'!$C$17-14.5)</f>
        <v>156.5</v>
      </c>
      <c r="BA176" s="109">
        <f ca="1">IFERROR(VLOOKUP(E176-15,'Reeksen (N)'!$A$5:$D$234,2,FALSE),0)</f>
        <v>0</v>
      </c>
      <c r="BB176" s="109">
        <f ca="1">IFERROR(VLOOKUP(E176-15,'Reeksen (N)'!$A$5:$D$234,3,FALSE),0)</f>
        <v>0</v>
      </c>
      <c r="BC176" s="109">
        <f ca="1">IFERROR(VLOOKUP(E176-15,'Reeksen (N)'!$A$5:$D$234,4,FALSE),0)</f>
        <v>0</v>
      </c>
      <c r="BD176" s="67">
        <f ca="1">IF(E176-'Invoer gegevens (N)'!$C$17&lt;15,0,1)</f>
        <v>1</v>
      </c>
    </row>
    <row r="177" spans="1:56" x14ac:dyDescent="0.25">
      <c r="A177" s="59"/>
      <c r="B177" s="70">
        <f t="shared" si="46"/>
        <v>173</v>
      </c>
      <c r="C177" s="67">
        <f ca="1">IF(E177-'Invoer gegevens (N)'!$C$17&lt;0,0,1)</f>
        <v>1</v>
      </c>
      <c r="D177" s="68">
        <f t="shared" si="47"/>
        <v>172.5</v>
      </c>
      <c r="E177" s="108">
        <f ca="1">IF('Invoer gegevens (N)'!$C$16="","",E176+1)</f>
        <v>2191</v>
      </c>
      <c r="F177" s="84">
        <f ca="1">IF('Invoer gegevens (N)'!$C$17=E177,'Invoer gegevens (N)'!$C$10,IF(C177=1,K176,0))</f>
        <v>0</v>
      </c>
      <c r="G177" s="96">
        <f ca="1">IF(BD177&lt;1,F177*'Reeksen (N)'!C177,IF(C177&gt;=1,F177*BA177,0))</f>
        <v>0</v>
      </c>
      <c r="H177" s="84">
        <f ca="1">(1-('Invoer gegevens (N)'!$F$20/12))*F177*MIN(BA177,BC177)</f>
        <v>0</v>
      </c>
      <c r="I177" s="84">
        <f t="shared" ca="1" si="32"/>
        <v>0</v>
      </c>
      <c r="J177" s="84">
        <f ca="1">('Invoer gegevens (N)'!$F$20/12)*F176*MIN(BA177,BC177)</f>
        <v>0</v>
      </c>
      <c r="K177" s="97">
        <f t="shared" ca="1" si="37"/>
        <v>0</v>
      </c>
      <c r="L177" s="84">
        <f ca="1">IF('Invoer gegevens (N)'!$C$17=E177,0,IF(C177=1,Q176,0))</f>
        <v>0</v>
      </c>
      <c r="M177" s="96">
        <f t="shared" ca="1" si="33"/>
        <v>0</v>
      </c>
      <c r="N177" s="84">
        <f ca="1">(1-('Invoer gegevens (N)'!$F$20/12))*L177*MIN(BA177,BC177)</f>
        <v>0</v>
      </c>
      <c r="O177" s="84">
        <f t="shared" ca="1" si="34"/>
        <v>0</v>
      </c>
      <c r="P177" s="84">
        <f ca="1">('Invoer gegevens (N)'!$F$20/12)*L176*MIN(BA177,BC177)</f>
        <v>0</v>
      </c>
      <c r="Q177" s="84">
        <f t="shared" ca="1" si="38"/>
        <v>0</v>
      </c>
      <c r="R177" s="85">
        <f ca="1">IF('Invoer gegevens (N)'!$C$17=E177,'Invoer gegevens (N)'!$C$11,IF(C177=1,W176,0))</f>
        <v>0</v>
      </c>
      <c r="S177" s="86">
        <f t="shared" ca="1" si="35"/>
        <v>0</v>
      </c>
      <c r="T177" s="86">
        <f ca="1">(1-('Invoer gegevens (N)'!$F$20/12))*R177*MIN(BC177,BA177)</f>
        <v>0</v>
      </c>
      <c r="U177" s="86">
        <f ca="1">IF(BD177&lt;1,IF('Reeksen (N)'!AD177&lt;='Reeksen (N)'!AE177,R177*'Reeksen (N)'!C177,0),IF(BC177&gt;=BA177,0,IF('Reeksen (N)'!AD177&lt;='Reeksen (N)'!AE177,(BA177-BC177)*R177,0)))</f>
        <v>0</v>
      </c>
      <c r="V177" s="86">
        <f ca="1">IF(BD177&lt;1,IF('Reeksen (N)'!AD177&gt;'Reeksen (N)'!AE177,R177*'Reeksen (N)'!C177,0),IF(BC177&gt;=BA177,0,IF('Reeksen (N)'!AD177&gt;'Reeksen (N)'!AE177,(BA177-BC177)*R177,0)))</f>
        <v>0</v>
      </c>
      <c r="W177" s="218">
        <f t="shared" ca="1" si="39"/>
        <v>0</v>
      </c>
      <c r="X177" s="98">
        <f ca="1">IF('Invoer gegevens (N)'!$C$17=E177,'Invoer gegevens (N)'!$C$10-'Invoer gegevens (N)'!$C$11,IF(C177=1,AC176,0))</f>
        <v>0</v>
      </c>
      <c r="Y177" s="98">
        <f t="shared" ca="1" si="36"/>
        <v>0</v>
      </c>
      <c r="Z177" s="98">
        <f ca="1">(1-('Invoer gegevens (N)'!$F$20/12))*X177*MIN(BA177,BC177)</f>
        <v>0</v>
      </c>
      <c r="AA177" s="98">
        <f ca="1">IF(BD177&lt;1,IF('Reeksen (N)'!AD177&lt;='Reeksen (N)'!AE177,X177*'Reeksen (N)'!C177,0),IF(BC177&gt;=BA177,0,IF('Reeksen (N)'!AD177&lt;='Reeksen (N)'!AE177,(BA177-BC177)*X177,0)))</f>
        <v>0</v>
      </c>
      <c r="AB177" s="98">
        <f ca="1">IF(BD177&lt;1,IF('Reeksen (N)'!AD177&gt;'Reeksen (N)'!AE177,X177*'Reeksen (N)'!C177,0),IF(BC177&gt;=BA177,0,IF('Reeksen (N)'!AD177&gt;'Reeksen (N)'!AE177,(BA177-BC177)*X177,0)))</f>
        <v>0</v>
      </c>
      <c r="AC177" s="99">
        <f t="shared" ca="1" si="40"/>
        <v>0</v>
      </c>
      <c r="AD177" s="98">
        <f ca="1">IF('Invoer gegevens (N)'!$C$17=E177,R177,IF(C177=0,0,AE176))</f>
        <v>0</v>
      </c>
      <c r="AE177" s="98">
        <f t="shared" ca="1" si="41"/>
        <v>0</v>
      </c>
      <c r="AF177" s="98">
        <f ca="1">IF('Invoer gegevens (N)'!$C$17=E177,X177,IF(C177=0,0,AG176))</f>
        <v>0</v>
      </c>
      <c r="AG177" s="98">
        <f t="shared" ca="1" si="42"/>
        <v>0</v>
      </c>
      <c r="AH177" s="66"/>
      <c r="AI177" s="71">
        <f ca="1">IF(C177=1,'Reeksen (N)'!AI177*((F177+K177)/2)*12+'Reeksen (N)'!AD177*((L177+Q177)/2)*12,0)</f>
        <v>0</v>
      </c>
      <c r="AJ177" s="71">
        <f ca="1">-AI177*'Invoer gegevens (N)'!$F$28</f>
        <v>0</v>
      </c>
      <c r="AK177" s="71">
        <f t="shared" ca="1" si="43"/>
        <v>0</v>
      </c>
      <c r="AL177" s="71">
        <f ca="1">IF(C177=1,'Reeksen (N)'!AL177*((F177-G177+F177)/2)*12+'Reeksen (N)'!AM177*((L177-M177+L177)/2)*12,0)</f>
        <v>0</v>
      </c>
      <c r="AM177" s="71">
        <f ca="1">-AL177*'Invoer gegevens (N)'!$F$31</f>
        <v>0</v>
      </c>
      <c r="AN177" s="71">
        <f t="shared" ca="1" si="44"/>
        <v>0</v>
      </c>
      <c r="AO177" s="71">
        <f ca="1">IF(C177=1,(H177+J177+N177+P177)*'Reeksen (N)'!AN177,0)</f>
        <v>0</v>
      </c>
      <c r="AP177" s="71">
        <f ca="1">-IF(C177=1,(H177+J177+N177+P177)*'Hulp - basis'!$O$550*'Reeksen (N)'!H177,0)</f>
        <v>0</v>
      </c>
      <c r="AQ177" s="71">
        <f ca="1">-IF(C177=1,(F177+K177+L177+Q177)/2*'Invoer gegevens (N)'!$F$35*'Reeksen (N)'!J177,0)*2</f>
        <v>0</v>
      </c>
      <c r="AR177" s="71">
        <f ca="1">IF(BD177&lt;1,-IF(C177=1,(G177*'Invoer gegevens (N)'!$F$36)*'Reeksen (N)'!J177,0),0)</f>
        <v>0</v>
      </c>
      <c r="AS177" s="71">
        <f ca="1">-IF(C177=1,(F177+K177+L177+Q177)/2*'Invoer gegevens (N)'!$F$37*'Reeksen (N)'!L177,0)</f>
        <v>0</v>
      </c>
      <c r="AT177" s="71">
        <f ca="1">-IF(C177=1,IF(E177='Invoer gegevens (N)'!$C$17,'Invoer gegevens (N)'!$C$11,AD177)*'Reeksen (N)'!S177*'Invoer gegevens (N)'!$C$18*'Reeksen (N)'!P177,0)</f>
        <v>0</v>
      </c>
      <c r="AU177" s="71">
        <f ca="1">-IF(C177=1,(F177+K177+L177+Q177)/2*'Invoer gegevens (N)'!$F$38*'Reeksen (N)'!H177,0)</f>
        <v>0</v>
      </c>
      <c r="AV177" s="71">
        <v>0</v>
      </c>
      <c r="AW177" s="71">
        <f t="shared" ca="1" si="45"/>
        <v>0</v>
      </c>
      <c r="AX177" s="71">
        <f ca="1">IF(E177&lt;'Invoer gegevens (N)'!$C$17+15,0,IF(E177&gt;'Invoer gegevens (N)'!$C$17+215,0,AW177))</f>
        <v>0</v>
      </c>
      <c r="AY177" s="71">
        <f ca="1">AX177/(1+'Invoer gegevens (N)'!$F$18)^($AZ177-('Invoer gegevens (N)'!$C$17-'Invoer gegevens (N)'!$C$16))/(1+'Invoer gegevens (N)'!$C$39)^('Invoer gegevens (N)'!$C$17-'Invoer gegevens (N)'!$C$16)</f>
        <v>0</v>
      </c>
      <c r="AZ177" s="68">
        <f ca="1">IF(E177-'Invoer gegevens (N)'!$C$17-14.5&lt;0,0,E177-'Invoer gegevens (N)'!$C$17-14.5)</f>
        <v>157.5</v>
      </c>
      <c r="BA177" s="109">
        <f ca="1">IFERROR(VLOOKUP(E177-15,'Reeksen (N)'!$A$5:$D$234,2,FALSE),0)</f>
        <v>0</v>
      </c>
      <c r="BB177" s="109">
        <f ca="1">IFERROR(VLOOKUP(E177-15,'Reeksen (N)'!$A$5:$D$234,3,FALSE),0)</f>
        <v>0</v>
      </c>
      <c r="BC177" s="109">
        <f ca="1">IFERROR(VLOOKUP(E177-15,'Reeksen (N)'!$A$5:$D$234,4,FALSE),0)</f>
        <v>0</v>
      </c>
      <c r="BD177" s="67">
        <f ca="1">IF(E177-'Invoer gegevens (N)'!$C$17&lt;15,0,1)</f>
        <v>1</v>
      </c>
    </row>
    <row r="178" spans="1:56" x14ac:dyDescent="0.25">
      <c r="A178" s="59"/>
      <c r="B178" s="70">
        <f t="shared" si="46"/>
        <v>174</v>
      </c>
      <c r="C178" s="67">
        <f ca="1">IF(E178-'Invoer gegevens (N)'!$C$17&lt;0,0,1)</f>
        <v>1</v>
      </c>
      <c r="D178" s="68">
        <f t="shared" si="47"/>
        <v>173.5</v>
      </c>
      <c r="E178" s="108">
        <f ca="1">IF('Invoer gegevens (N)'!$C$16="","",E177+1)</f>
        <v>2192</v>
      </c>
      <c r="F178" s="84">
        <f ca="1">IF('Invoer gegevens (N)'!$C$17=E178,'Invoer gegevens (N)'!$C$10,IF(C178=1,K177,0))</f>
        <v>0</v>
      </c>
      <c r="G178" s="96">
        <f ca="1">IF(BD178&lt;1,F178*'Reeksen (N)'!C178,IF(C178&gt;=1,F178*BA178,0))</f>
        <v>0</v>
      </c>
      <c r="H178" s="84">
        <f ca="1">(1-('Invoer gegevens (N)'!$F$20/12))*F178*MIN(BA178,BC178)</f>
        <v>0</v>
      </c>
      <c r="I178" s="84">
        <f t="shared" ca="1" si="32"/>
        <v>0</v>
      </c>
      <c r="J178" s="84">
        <f ca="1">('Invoer gegevens (N)'!$F$20/12)*F177*MIN(BA178,BC178)</f>
        <v>0</v>
      </c>
      <c r="K178" s="97">
        <f t="shared" ca="1" si="37"/>
        <v>0</v>
      </c>
      <c r="L178" s="84">
        <f ca="1">IF('Invoer gegevens (N)'!$C$17=E178,0,IF(C178=1,Q177,0))</f>
        <v>0</v>
      </c>
      <c r="M178" s="96">
        <f t="shared" ca="1" si="33"/>
        <v>0</v>
      </c>
      <c r="N178" s="84">
        <f ca="1">(1-('Invoer gegevens (N)'!$F$20/12))*L178*MIN(BA178,BC178)</f>
        <v>0</v>
      </c>
      <c r="O178" s="84">
        <f t="shared" ca="1" si="34"/>
        <v>0</v>
      </c>
      <c r="P178" s="84">
        <f ca="1">('Invoer gegevens (N)'!$F$20/12)*L177*MIN(BA178,BC178)</f>
        <v>0</v>
      </c>
      <c r="Q178" s="84">
        <f t="shared" ca="1" si="38"/>
        <v>0</v>
      </c>
      <c r="R178" s="85">
        <f ca="1">IF('Invoer gegevens (N)'!$C$17=E178,'Invoer gegevens (N)'!$C$11,IF(C178=1,W177,0))</f>
        <v>0</v>
      </c>
      <c r="S178" s="86">
        <f t="shared" ca="1" si="35"/>
        <v>0</v>
      </c>
      <c r="T178" s="86">
        <f ca="1">(1-('Invoer gegevens (N)'!$F$20/12))*R178*MIN(BC178,BA178)</f>
        <v>0</v>
      </c>
      <c r="U178" s="86">
        <f ca="1">IF(BD178&lt;1,IF('Reeksen (N)'!AD178&lt;='Reeksen (N)'!AE178,R178*'Reeksen (N)'!C178,0),IF(BC178&gt;=BA178,0,IF('Reeksen (N)'!AD178&lt;='Reeksen (N)'!AE178,(BA178-BC178)*R178,0)))</f>
        <v>0</v>
      </c>
      <c r="V178" s="86">
        <f ca="1">IF(BD178&lt;1,IF('Reeksen (N)'!AD178&gt;'Reeksen (N)'!AE178,R178*'Reeksen (N)'!C178,0),IF(BC178&gt;=BA178,0,IF('Reeksen (N)'!AD178&gt;'Reeksen (N)'!AE178,(BA178-BC178)*R178,0)))</f>
        <v>0</v>
      </c>
      <c r="W178" s="218">
        <f t="shared" ca="1" si="39"/>
        <v>0</v>
      </c>
      <c r="X178" s="98">
        <f ca="1">IF('Invoer gegevens (N)'!$C$17=E178,'Invoer gegevens (N)'!$C$10-'Invoer gegevens (N)'!$C$11,IF(C178=1,AC177,0))</f>
        <v>0</v>
      </c>
      <c r="Y178" s="98">
        <f t="shared" ca="1" si="36"/>
        <v>0</v>
      </c>
      <c r="Z178" s="98">
        <f ca="1">(1-('Invoer gegevens (N)'!$F$20/12))*X178*MIN(BA178,BC178)</f>
        <v>0</v>
      </c>
      <c r="AA178" s="98">
        <f ca="1">IF(BD178&lt;1,IF('Reeksen (N)'!AD178&lt;='Reeksen (N)'!AE178,X178*'Reeksen (N)'!C178,0),IF(BC178&gt;=BA178,0,IF('Reeksen (N)'!AD178&lt;='Reeksen (N)'!AE178,(BA178-BC178)*X178,0)))</f>
        <v>0</v>
      </c>
      <c r="AB178" s="98">
        <f ca="1">IF(BD178&lt;1,IF('Reeksen (N)'!AD178&gt;'Reeksen (N)'!AE178,X178*'Reeksen (N)'!C178,0),IF(BC178&gt;=BA178,0,IF('Reeksen (N)'!AD178&gt;'Reeksen (N)'!AE178,(BA178-BC178)*X178,0)))</f>
        <v>0</v>
      </c>
      <c r="AC178" s="99">
        <f t="shared" ca="1" si="40"/>
        <v>0</v>
      </c>
      <c r="AD178" s="98">
        <f ca="1">IF('Invoer gegevens (N)'!$C$17=E178,R178,IF(C178=0,0,AE177))</f>
        <v>0</v>
      </c>
      <c r="AE178" s="98">
        <f t="shared" ca="1" si="41"/>
        <v>0</v>
      </c>
      <c r="AF178" s="98">
        <f ca="1">IF('Invoer gegevens (N)'!$C$17=E178,X178,IF(C178=0,0,AG177))</f>
        <v>0</v>
      </c>
      <c r="AG178" s="98">
        <f t="shared" ca="1" si="42"/>
        <v>0</v>
      </c>
      <c r="AH178" s="66"/>
      <c r="AI178" s="71">
        <f ca="1">IF(C178=1,'Reeksen (N)'!AI178*((F178+K178)/2)*12+'Reeksen (N)'!AD178*((L178+Q178)/2)*12,0)</f>
        <v>0</v>
      </c>
      <c r="AJ178" s="71">
        <f ca="1">-AI178*'Invoer gegevens (N)'!$F$28</f>
        <v>0</v>
      </c>
      <c r="AK178" s="71">
        <f t="shared" ca="1" si="43"/>
        <v>0</v>
      </c>
      <c r="AL178" s="71">
        <f ca="1">IF(C178=1,'Reeksen (N)'!AL178*((F178-G178+F178)/2)*12+'Reeksen (N)'!AM178*((L178-M178+L178)/2)*12,0)</f>
        <v>0</v>
      </c>
      <c r="AM178" s="71">
        <f ca="1">-AL178*'Invoer gegevens (N)'!$F$31</f>
        <v>0</v>
      </c>
      <c r="AN178" s="71">
        <f t="shared" ca="1" si="44"/>
        <v>0</v>
      </c>
      <c r="AO178" s="71">
        <f ca="1">IF(C178=1,(H178+J178+N178+P178)*'Reeksen (N)'!AN178,0)</f>
        <v>0</v>
      </c>
      <c r="AP178" s="71">
        <f ca="1">-IF(C178=1,(H178+J178+N178+P178)*'Hulp - basis'!$O$550*'Reeksen (N)'!H178,0)</f>
        <v>0</v>
      </c>
      <c r="AQ178" s="71">
        <f ca="1">-IF(C178=1,(F178+K178+L178+Q178)/2*'Invoer gegevens (N)'!$F$35*'Reeksen (N)'!J178,0)*2</f>
        <v>0</v>
      </c>
      <c r="AR178" s="71">
        <f ca="1">IF(BD178&lt;1,-IF(C178=1,(G178*'Invoer gegevens (N)'!$F$36)*'Reeksen (N)'!J178,0),0)</f>
        <v>0</v>
      </c>
      <c r="AS178" s="71">
        <f ca="1">-IF(C178=1,(F178+K178+L178+Q178)/2*'Invoer gegevens (N)'!$F$37*'Reeksen (N)'!L178,0)</f>
        <v>0</v>
      </c>
      <c r="AT178" s="71">
        <f ca="1">-IF(C178=1,IF(E178='Invoer gegevens (N)'!$C$17,'Invoer gegevens (N)'!$C$11,AD178)*'Reeksen (N)'!S178*'Invoer gegevens (N)'!$C$18*'Reeksen (N)'!P178,0)</f>
        <v>0</v>
      </c>
      <c r="AU178" s="71">
        <f ca="1">-IF(C178=1,(F178+K178+L178+Q178)/2*'Invoer gegevens (N)'!$F$38*'Reeksen (N)'!H178,0)</f>
        <v>0</v>
      </c>
      <c r="AV178" s="71">
        <v>0</v>
      </c>
      <c r="AW178" s="71">
        <f t="shared" ca="1" si="45"/>
        <v>0</v>
      </c>
      <c r="AX178" s="71">
        <f ca="1">IF(E178&lt;'Invoer gegevens (N)'!$C$17+15,0,IF(E178&gt;'Invoer gegevens (N)'!$C$17+215,0,AW178))</f>
        <v>0</v>
      </c>
      <c r="AY178" s="71">
        <f ca="1">AX178/(1+'Invoer gegevens (N)'!$F$18)^($AZ178-('Invoer gegevens (N)'!$C$17-'Invoer gegevens (N)'!$C$16))/(1+'Invoer gegevens (N)'!$C$39)^('Invoer gegevens (N)'!$C$17-'Invoer gegevens (N)'!$C$16)</f>
        <v>0</v>
      </c>
      <c r="AZ178" s="68">
        <f ca="1">IF(E178-'Invoer gegevens (N)'!$C$17-14.5&lt;0,0,E178-'Invoer gegevens (N)'!$C$17-14.5)</f>
        <v>158.5</v>
      </c>
      <c r="BA178" s="109">
        <f ca="1">IFERROR(VLOOKUP(E178-15,'Reeksen (N)'!$A$5:$D$234,2,FALSE),0)</f>
        <v>0</v>
      </c>
      <c r="BB178" s="109">
        <f ca="1">IFERROR(VLOOKUP(E178-15,'Reeksen (N)'!$A$5:$D$234,3,FALSE),0)</f>
        <v>0</v>
      </c>
      <c r="BC178" s="109">
        <f ca="1">IFERROR(VLOOKUP(E178-15,'Reeksen (N)'!$A$5:$D$234,4,FALSE),0)</f>
        <v>0</v>
      </c>
      <c r="BD178" s="67">
        <f ca="1">IF(E178-'Invoer gegevens (N)'!$C$17&lt;15,0,1)</f>
        <v>1</v>
      </c>
    </row>
    <row r="179" spans="1:56" x14ac:dyDescent="0.25">
      <c r="A179" s="59"/>
      <c r="B179" s="70">
        <f t="shared" si="46"/>
        <v>175</v>
      </c>
      <c r="C179" s="67">
        <f ca="1">IF(E179-'Invoer gegevens (N)'!$C$17&lt;0,0,1)</f>
        <v>1</v>
      </c>
      <c r="D179" s="68">
        <f t="shared" si="47"/>
        <v>174.5</v>
      </c>
      <c r="E179" s="108">
        <f ca="1">IF('Invoer gegevens (N)'!$C$16="","",E178+1)</f>
        <v>2193</v>
      </c>
      <c r="F179" s="84">
        <f ca="1">IF('Invoer gegevens (N)'!$C$17=E179,'Invoer gegevens (N)'!$C$10,IF(C179=1,K178,0))</f>
        <v>0</v>
      </c>
      <c r="G179" s="96">
        <f ca="1">IF(BD179&lt;1,F179*'Reeksen (N)'!C179,IF(C179&gt;=1,F179*BA179,0))</f>
        <v>0</v>
      </c>
      <c r="H179" s="84">
        <f ca="1">(1-('Invoer gegevens (N)'!$F$20/12))*F179*MIN(BA179,BC179)</f>
        <v>0</v>
      </c>
      <c r="I179" s="84">
        <f t="shared" ca="1" si="32"/>
        <v>0</v>
      </c>
      <c r="J179" s="84">
        <f ca="1">('Invoer gegevens (N)'!$F$20/12)*F178*MIN(BA179,BC179)</f>
        <v>0</v>
      </c>
      <c r="K179" s="97">
        <f t="shared" ca="1" si="37"/>
        <v>0</v>
      </c>
      <c r="L179" s="84">
        <f ca="1">IF('Invoer gegevens (N)'!$C$17=E179,0,IF(C179=1,Q178,0))</f>
        <v>0</v>
      </c>
      <c r="M179" s="96">
        <f t="shared" ca="1" si="33"/>
        <v>0</v>
      </c>
      <c r="N179" s="84">
        <f ca="1">(1-('Invoer gegevens (N)'!$F$20/12))*L179*MIN(BA179,BC179)</f>
        <v>0</v>
      </c>
      <c r="O179" s="84">
        <f t="shared" ca="1" si="34"/>
        <v>0</v>
      </c>
      <c r="P179" s="84">
        <f ca="1">('Invoer gegevens (N)'!$F$20/12)*L178*MIN(BA179,BC179)</f>
        <v>0</v>
      </c>
      <c r="Q179" s="84">
        <f t="shared" ca="1" si="38"/>
        <v>0</v>
      </c>
      <c r="R179" s="85">
        <f ca="1">IF('Invoer gegevens (N)'!$C$17=E179,'Invoer gegevens (N)'!$C$11,IF(C179=1,W178,0))</f>
        <v>0</v>
      </c>
      <c r="S179" s="86">
        <f t="shared" ca="1" si="35"/>
        <v>0</v>
      </c>
      <c r="T179" s="86">
        <f ca="1">(1-('Invoer gegevens (N)'!$F$20/12))*R179*MIN(BC179,BA179)</f>
        <v>0</v>
      </c>
      <c r="U179" s="86">
        <f ca="1">IF(BD179&lt;1,IF('Reeksen (N)'!AD179&lt;='Reeksen (N)'!AE179,R179*'Reeksen (N)'!C179,0),IF(BC179&gt;=BA179,0,IF('Reeksen (N)'!AD179&lt;='Reeksen (N)'!AE179,(BA179-BC179)*R179,0)))</f>
        <v>0</v>
      </c>
      <c r="V179" s="86">
        <f ca="1">IF(BD179&lt;1,IF('Reeksen (N)'!AD179&gt;'Reeksen (N)'!AE179,R179*'Reeksen (N)'!C179,0),IF(BC179&gt;=BA179,0,IF('Reeksen (N)'!AD179&gt;'Reeksen (N)'!AE179,(BA179-BC179)*R179,0)))</f>
        <v>0</v>
      </c>
      <c r="W179" s="218">
        <f t="shared" ca="1" si="39"/>
        <v>0</v>
      </c>
      <c r="X179" s="98">
        <f ca="1">IF('Invoer gegevens (N)'!$C$17=E179,'Invoer gegevens (N)'!$C$10-'Invoer gegevens (N)'!$C$11,IF(C179=1,AC178,0))</f>
        <v>0</v>
      </c>
      <c r="Y179" s="98">
        <f t="shared" ca="1" si="36"/>
        <v>0</v>
      </c>
      <c r="Z179" s="98">
        <f ca="1">(1-('Invoer gegevens (N)'!$F$20/12))*X179*MIN(BA179,BC179)</f>
        <v>0</v>
      </c>
      <c r="AA179" s="98">
        <f ca="1">IF(BD179&lt;1,IF('Reeksen (N)'!AD179&lt;='Reeksen (N)'!AE179,X179*'Reeksen (N)'!C179,0),IF(BC179&gt;=BA179,0,IF('Reeksen (N)'!AD179&lt;='Reeksen (N)'!AE179,(BA179-BC179)*X179,0)))</f>
        <v>0</v>
      </c>
      <c r="AB179" s="98">
        <f ca="1">IF(BD179&lt;1,IF('Reeksen (N)'!AD179&gt;'Reeksen (N)'!AE179,X179*'Reeksen (N)'!C179,0),IF(BC179&gt;=BA179,0,IF('Reeksen (N)'!AD179&gt;'Reeksen (N)'!AE179,(BA179-BC179)*X179,0)))</f>
        <v>0</v>
      </c>
      <c r="AC179" s="99">
        <f t="shared" ca="1" si="40"/>
        <v>0</v>
      </c>
      <c r="AD179" s="98">
        <f ca="1">IF('Invoer gegevens (N)'!$C$17=E179,R179,IF(C179=0,0,AE178))</f>
        <v>0</v>
      </c>
      <c r="AE179" s="98">
        <f t="shared" ca="1" si="41"/>
        <v>0</v>
      </c>
      <c r="AF179" s="98">
        <f ca="1">IF('Invoer gegevens (N)'!$C$17=E179,X179,IF(C179=0,0,AG178))</f>
        <v>0</v>
      </c>
      <c r="AG179" s="98">
        <f t="shared" ca="1" si="42"/>
        <v>0</v>
      </c>
      <c r="AH179" s="66"/>
      <c r="AI179" s="71">
        <f ca="1">IF(C179=1,'Reeksen (N)'!AI179*((F179+K179)/2)*12+'Reeksen (N)'!AD179*((L179+Q179)/2)*12,0)</f>
        <v>0</v>
      </c>
      <c r="AJ179" s="71">
        <f ca="1">-AI179*'Invoer gegevens (N)'!$F$28</f>
        <v>0</v>
      </c>
      <c r="AK179" s="71">
        <f t="shared" ca="1" si="43"/>
        <v>0</v>
      </c>
      <c r="AL179" s="71">
        <f ca="1">IF(C179=1,'Reeksen (N)'!AL179*((F179-G179+F179)/2)*12+'Reeksen (N)'!AM179*((L179-M179+L179)/2)*12,0)</f>
        <v>0</v>
      </c>
      <c r="AM179" s="71">
        <f ca="1">-AL179*'Invoer gegevens (N)'!$F$31</f>
        <v>0</v>
      </c>
      <c r="AN179" s="71">
        <f t="shared" ca="1" si="44"/>
        <v>0</v>
      </c>
      <c r="AO179" s="71">
        <f ca="1">IF(C179=1,(H179+J179+N179+P179)*'Reeksen (N)'!AN179,0)</f>
        <v>0</v>
      </c>
      <c r="AP179" s="71">
        <f ca="1">-IF(C179=1,(H179+J179+N179+P179)*'Hulp - basis'!$O$550*'Reeksen (N)'!H179,0)</f>
        <v>0</v>
      </c>
      <c r="AQ179" s="71">
        <f ca="1">-IF(C179=1,(F179+K179+L179+Q179)/2*'Invoer gegevens (N)'!$F$35*'Reeksen (N)'!J179,0)*2</f>
        <v>0</v>
      </c>
      <c r="AR179" s="71">
        <f ca="1">IF(BD179&lt;1,-IF(C179=1,(G179*'Invoer gegevens (N)'!$F$36)*'Reeksen (N)'!J179,0),0)</f>
        <v>0</v>
      </c>
      <c r="AS179" s="71">
        <f ca="1">-IF(C179=1,(F179+K179+L179+Q179)/2*'Invoer gegevens (N)'!$F$37*'Reeksen (N)'!L179,0)</f>
        <v>0</v>
      </c>
      <c r="AT179" s="71">
        <f ca="1">-IF(C179=1,IF(E179='Invoer gegevens (N)'!$C$17,'Invoer gegevens (N)'!$C$11,AD179)*'Reeksen (N)'!S179*'Invoer gegevens (N)'!$C$18*'Reeksen (N)'!P179,0)</f>
        <v>0</v>
      </c>
      <c r="AU179" s="71">
        <f ca="1">-IF(C179=1,(F179+K179+L179+Q179)/2*'Invoer gegevens (N)'!$F$38*'Reeksen (N)'!H179,0)</f>
        <v>0</v>
      </c>
      <c r="AV179" s="71">
        <v>0</v>
      </c>
      <c r="AW179" s="71">
        <f t="shared" ca="1" si="45"/>
        <v>0</v>
      </c>
      <c r="AX179" s="71">
        <f ca="1">IF(E179&lt;'Invoer gegevens (N)'!$C$17+15,0,IF(E179&gt;'Invoer gegevens (N)'!$C$17+215,0,AW179))</f>
        <v>0</v>
      </c>
      <c r="AY179" s="71">
        <f ca="1">AX179/(1+'Invoer gegevens (N)'!$F$18)^($AZ179-('Invoer gegevens (N)'!$C$17-'Invoer gegevens (N)'!$C$16))/(1+'Invoer gegevens (N)'!$C$39)^('Invoer gegevens (N)'!$C$17-'Invoer gegevens (N)'!$C$16)</f>
        <v>0</v>
      </c>
      <c r="AZ179" s="68">
        <f ca="1">IF(E179-'Invoer gegevens (N)'!$C$17-14.5&lt;0,0,E179-'Invoer gegevens (N)'!$C$17-14.5)</f>
        <v>159.5</v>
      </c>
      <c r="BA179" s="109">
        <f ca="1">IFERROR(VLOOKUP(E179-15,'Reeksen (N)'!$A$5:$D$234,2,FALSE),0)</f>
        <v>0</v>
      </c>
      <c r="BB179" s="109">
        <f ca="1">IFERROR(VLOOKUP(E179-15,'Reeksen (N)'!$A$5:$D$234,3,FALSE),0)</f>
        <v>0</v>
      </c>
      <c r="BC179" s="109">
        <f ca="1">IFERROR(VLOOKUP(E179-15,'Reeksen (N)'!$A$5:$D$234,4,FALSE),0)</f>
        <v>0</v>
      </c>
      <c r="BD179" s="67">
        <f ca="1">IF(E179-'Invoer gegevens (N)'!$C$17&lt;15,0,1)</f>
        <v>1</v>
      </c>
    </row>
    <row r="180" spans="1:56" x14ac:dyDescent="0.25">
      <c r="A180" s="59"/>
      <c r="B180" s="70">
        <f t="shared" si="46"/>
        <v>176</v>
      </c>
      <c r="C180" s="67">
        <f ca="1">IF(E180-'Invoer gegevens (N)'!$C$17&lt;0,0,1)</f>
        <v>1</v>
      </c>
      <c r="D180" s="68">
        <f t="shared" si="47"/>
        <v>175.5</v>
      </c>
      <c r="E180" s="108">
        <f ca="1">IF('Invoer gegevens (N)'!$C$16="","",E179+1)</f>
        <v>2194</v>
      </c>
      <c r="F180" s="84">
        <f ca="1">IF('Invoer gegevens (N)'!$C$17=E180,'Invoer gegevens (N)'!$C$10,IF(C180=1,K179,0))</f>
        <v>0</v>
      </c>
      <c r="G180" s="96">
        <f ca="1">IF(BD180&lt;1,F180*'Reeksen (N)'!C180,IF(C180&gt;=1,F180*BA180,0))</f>
        <v>0</v>
      </c>
      <c r="H180" s="84">
        <f ca="1">(1-('Invoer gegevens (N)'!$F$20/12))*F180*MIN(BA180,BC180)</f>
        <v>0</v>
      </c>
      <c r="I180" s="84">
        <f t="shared" ca="1" si="32"/>
        <v>0</v>
      </c>
      <c r="J180" s="84">
        <f ca="1">('Invoer gegevens (N)'!$F$20/12)*F179*MIN(BA180,BC180)</f>
        <v>0</v>
      </c>
      <c r="K180" s="97">
        <f t="shared" ca="1" si="37"/>
        <v>0</v>
      </c>
      <c r="L180" s="84">
        <f ca="1">IF('Invoer gegevens (N)'!$C$17=E180,0,IF(C180=1,Q179,0))</f>
        <v>0</v>
      </c>
      <c r="M180" s="96">
        <f t="shared" ca="1" si="33"/>
        <v>0</v>
      </c>
      <c r="N180" s="84">
        <f ca="1">(1-('Invoer gegevens (N)'!$F$20/12))*L180*MIN(BA180,BC180)</f>
        <v>0</v>
      </c>
      <c r="O180" s="84">
        <f t="shared" ca="1" si="34"/>
        <v>0</v>
      </c>
      <c r="P180" s="84">
        <f ca="1">('Invoer gegevens (N)'!$F$20/12)*L179*MIN(BA180,BC180)</f>
        <v>0</v>
      </c>
      <c r="Q180" s="84">
        <f t="shared" ca="1" si="38"/>
        <v>0</v>
      </c>
      <c r="R180" s="85">
        <f ca="1">IF('Invoer gegevens (N)'!$C$17=E180,'Invoer gegevens (N)'!$C$11,IF(C180=1,W179,0))</f>
        <v>0</v>
      </c>
      <c r="S180" s="86">
        <f t="shared" ca="1" si="35"/>
        <v>0</v>
      </c>
      <c r="T180" s="86">
        <f ca="1">(1-('Invoer gegevens (N)'!$F$20/12))*R180*MIN(BC180,BA180)</f>
        <v>0</v>
      </c>
      <c r="U180" s="86">
        <f ca="1">IF(BD180&lt;1,IF('Reeksen (N)'!AD180&lt;='Reeksen (N)'!AE180,R180*'Reeksen (N)'!C180,0),IF(BC180&gt;=BA180,0,IF('Reeksen (N)'!AD180&lt;='Reeksen (N)'!AE180,(BA180-BC180)*R180,0)))</f>
        <v>0</v>
      </c>
      <c r="V180" s="86">
        <f ca="1">IF(BD180&lt;1,IF('Reeksen (N)'!AD180&gt;'Reeksen (N)'!AE180,R180*'Reeksen (N)'!C180,0),IF(BC180&gt;=BA180,0,IF('Reeksen (N)'!AD180&gt;'Reeksen (N)'!AE180,(BA180-BC180)*R180,0)))</f>
        <v>0</v>
      </c>
      <c r="W180" s="218">
        <f t="shared" ca="1" si="39"/>
        <v>0</v>
      </c>
      <c r="X180" s="98">
        <f ca="1">IF('Invoer gegevens (N)'!$C$17=E180,'Invoer gegevens (N)'!$C$10-'Invoer gegevens (N)'!$C$11,IF(C180=1,AC179,0))</f>
        <v>0</v>
      </c>
      <c r="Y180" s="98">
        <f t="shared" ca="1" si="36"/>
        <v>0</v>
      </c>
      <c r="Z180" s="98">
        <f ca="1">(1-('Invoer gegevens (N)'!$F$20/12))*X180*MIN(BA180,BC180)</f>
        <v>0</v>
      </c>
      <c r="AA180" s="98">
        <f ca="1">IF(BD180&lt;1,IF('Reeksen (N)'!AD180&lt;='Reeksen (N)'!AE180,X180*'Reeksen (N)'!C180,0),IF(BC180&gt;=BA180,0,IF('Reeksen (N)'!AD180&lt;='Reeksen (N)'!AE180,(BA180-BC180)*X180,0)))</f>
        <v>0</v>
      </c>
      <c r="AB180" s="98">
        <f ca="1">IF(BD180&lt;1,IF('Reeksen (N)'!AD180&gt;'Reeksen (N)'!AE180,X180*'Reeksen (N)'!C180,0),IF(BC180&gt;=BA180,0,IF('Reeksen (N)'!AD180&gt;'Reeksen (N)'!AE180,(BA180-BC180)*X180,0)))</f>
        <v>0</v>
      </c>
      <c r="AC180" s="99">
        <f t="shared" ca="1" si="40"/>
        <v>0</v>
      </c>
      <c r="AD180" s="98">
        <f ca="1">IF('Invoer gegevens (N)'!$C$17=E180,R180,IF(C180=0,0,AE179))</f>
        <v>0</v>
      </c>
      <c r="AE180" s="98">
        <f t="shared" ca="1" si="41"/>
        <v>0</v>
      </c>
      <c r="AF180" s="98">
        <f ca="1">IF('Invoer gegevens (N)'!$C$17=E180,X180,IF(C180=0,0,AG179))</f>
        <v>0</v>
      </c>
      <c r="AG180" s="98">
        <f t="shared" ca="1" si="42"/>
        <v>0</v>
      </c>
      <c r="AH180" s="66"/>
      <c r="AI180" s="71">
        <f ca="1">IF(C180=1,'Reeksen (N)'!AI180*((F180+K180)/2)*12+'Reeksen (N)'!AD180*((L180+Q180)/2)*12,0)</f>
        <v>0</v>
      </c>
      <c r="AJ180" s="71">
        <f ca="1">-AI180*'Invoer gegevens (N)'!$F$28</f>
        <v>0</v>
      </c>
      <c r="AK180" s="71">
        <f t="shared" ca="1" si="43"/>
        <v>0</v>
      </c>
      <c r="AL180" s="71">
        <f ca="1">IF(C180=1,'Reeksen (N)'!AL180*((F180-G180+F180)/2)*12+'Reeksen (N)'!AM180*((L180-M180+L180)/2)*12,0)</f>
        <v>0</v>
      </c>
      <c r="AM180" s="71">
        <f ca="1">-AL180*'Invoer gegevens (N)'!$F$31</f>
        <v>0</v>
      </c>
      <c r="AN180" s="71">
        <f t="shared" ca="1" si="44"/>
        <v>0</v>
      </c>
      <c r="AO180" s="71">
        <f ca="1">IF(C180=1,(H180+J180+N180+P180)*'Reeksen (N)'!AN180,0)</f>
        <v>0</v>
      </c>
      <c r="AP180" s="71">
        <f ca="1">-IF(C180=1,(H180+J180+N180+P180)*'Hulp - basis'!$O$550*'Reeksen (N)'!H180,0)</f>
        <v>0</v>
      </c>
      <c r="AQ180" s="71">
        <f ca="1">-IF(C180=1,(F180+K180+L180+Q180)/2*'Invoer gegevens (N)'!$F$35*'Reeksen (N)'!J180,0)*2</f>
        <v>0</v>
      </c>
      <c r="AR180" s="71">
        <f ca="1">IF(BD180&lt;1,-IF(C180=1,(G180*'Invoer gegevens (N)'!$F$36)*'Reeksen (N)'!J180,0),0)</f>
        <v>0</v>
      </c>
      <c r="AS180" s="71">
        <f ca="1">-IF(C180=1,(F180+K180+L180+Q180)/2*'Invoer gegevens (N)'!$F$37*'Reeksen (N)'!L180,0)</f>
        <v>0</v>
      </c>
      <c r="AT180" s="71">
        <f ca="1">-IF(C180=1,IF(E180='Invoer gegevens (N)'!$C$17,'Invoer gegevens (N)'!$C$11,AD180)*'Reeksen (N)'!S180*'Invoer gegevens (N)'!$C$18*'Reeksen (N)'!P180,0)</f>
        <v>0</v>
      </c>
      <c r="AU180" s="71">
        <f ca="1">-IF(C180=1,(F180+K180+L180+Q180)/2*'Invoer gegevens (N)'!$F$38*'Reeksen (N)'!H180,0)</f>
        <v>0</v>
      </c>
      <c r="AV180" s="71">
        <v>0</v>
      </c>
      <c r="AW180" s="71">
        <f t="shared" ca="1" si="45"/>
        <v>0</v>
      </c>
      <c r="AX180" s="71">
        <f ca="1">IF(E180&lt;'Invoer gegevens (N)'!$C$17+15,0,IF(E180&gt;'Invoer gegevens (N)'!$C$17+215,0,AW180))</f>
        <v>0</v>
      </c>
      <c r="AY180" s="71">
        <f ca="1">AX180/(1+'Invoer gegevens (N)'!$F$18)^($AZ180-('Invoer gegevens (N)'!$C$17-'Invoer gegevens (N)'!$C$16))/(1+'Invoer gegevens (N)'!$C$39)^('Invoer gegevens (N)'!$C$17-'Invoer gegevens (N)'!$C$16)</f>
        <v>0</v>
      </c>
      <c r="AZ180" s="68">
        <f ca="1">IF(E180-'Invoer gegevens (N)'!$C$17-14.5&lt;0,0,E180-'Invoer gegevens (N)'!$C$17-14.5)</f>
        <v>160.5</v>
      </c>
      <c r="BA180" s="109">
        <f ca="1">IFERROR(VLOOKUP(E180-15,'Reeksen (N)'!$A$5:$D$234,2,FALSE),0)</f>
        <v>0</v>
      </c>
      <c r="BB180" s="109">
        <f ca="1">IFERROR(VLOOKUP(E180-15,'Reeksen (N)'!$A$5:$D$234,3,FALSE),0)</f>
        <v>0</v>
      </c>
      <c r="BC180" s="109">
        <f ca="1">IFERROR(VLOOKUP(E180-15,'Reeksen (N)'!$A$5:$D$234,4,FALSE),0)</f>
        <v>0</v>
      </c>
      <c r="BD180" s="67">
        <f ca="1">IF(E180-'Invoer gegevens (N)'!$C$17&lt;15,0,1)</f>
        <v>1</v>
      </c>
    </row>
    <row r="181" spans="1:56" x14ac:dyDescent="0.25">
      <c r="A181" s="59"/>
      <c r="B181" s="70">
        <f t="shared" si="46"/>
        <v>177</v>
      </c>
      <c r="C181" s="67">
        <f ca="1">IF(E181-'Invoer gegevens (N)'!$C$17&lt;0,0,1)</f>
        <v>1</v>
      </c>
      <c r="D181" s="68">
        <f t="shared" si="47"/>
        <v>176.5</v>
      </c>
      <c r="E181" s="108">
        <f ca="1">IF('Invoer gegevens (N)'!$C$16="","",E180+1)</f>
        <v>2195</v>
      </c>
      <c r="F181" s="84">
        <f ca="1">IF('Invoer gegevens (N)'!$C$17=E181,'Invoer gegevens (N)'!$C$10,IF(C181=1,K180,0))</f>
        <v>0</v>
      </c>
      <c r="G181" s="96">
        <f ca="1">IF(BD181&lt;1,F181*'Reeksen (N)'!C181,IF(C181&gt;=1,F181*BA181,0))</f>
        <v>0</v>
      </c>
      <c r="H181" s="84">
        <f ca="1">(1-('Invoer gegevens (N)'!$F$20/12))*F181*MIN(BA181,BC181)</f>
        <v>0</v>
      </c>
      <c r="I181" s="84">
        <f t="shared" ca="1" si="32"/>
        <v>0</v>
      </c>
      <c r="J181" s="84">
        <f ca="1">('Invoer gegevens (N)'!$F$20/12)*F180*MIN(BA181,BC181)</f>
        <v>0</v>
      </c>
      <c r="K181" s="97">
        <f t="shared" ca="1" si="37"/>
        <v>0</v>
      </c>
      <c r="L181" s="84">
        <f ca="1">IF('Invoer gegevens (N)'!$C$17=E181,0,IF(C181=1,Q180,0))</f>
        <v>0</v>
      </c>
      <c r="M181" s="96">
        <f t="shared" ca="1" si="33"/>
        <v>0</v>
      </c>
      <c r="N181" s="84">
        <f ca="1">(1-('Invoer gegevens (N)'!$F$20/12))*L181*MIN(BA181,BC181)</f>
        <v>0</v>
      </c>
      <c r="O181" s="84">
        <f t="shared" ca="1" si="34"/>
        <v>0</v>
      </c>
      <c r="P181" s="84">
        <f ca="1">('Invoer gegevens (N)'!$F$20/12)*L180*MIN(BA181,BC181)</f>
        <v>0</v>
      </c>
      <c r="Q181" s="84">
        <f t="shared" ca="1" si="38"/>
        <v>0</v>
      </c>
      <c r="R181" s="85">
        <f ca="1">IF('Invoer gegevens (N)'!$C$17=E181,'Invoer gegevens (N)'!$C$11,IF(C181=1,W180,0))</f>
        <v>0</v>
      </c>
      <c r="S181" s="86">
        <f t="shared" ca="1" si="35"/>
        <v>0</v>
      </c>
      <c r="T181" s="86">
        <f ca="1">(1-('Invoer gegevens (N)'!$F$20/12))*R181*MIN(BC181,BA181)</f>
        <v>0</v>
      </c>
      <c r="U181" s="86">
        <f ca="1">IF(BD181&lt;1,IF('Reeksen (N)'!AD181&lt;='Reeksen (N)'!AE181,R181*'Reeksen (N)'!C181,0),IF(BC181&gt;=BA181,0,IF('Reeksen (N)'!AD181&lt;='Reeksen (N)'!AE181,(BA181-BC181)*R181,0)))</f>
        <v>0</v>
      </c>
      <c r="V181" s="86">
        <f ca="1">IF(BD181&lt;1,IF('Reeksen (N)'!AD181&gt;'Reeksen (N)'!AE181,R181*'Reeksen (N)'!C181,0),IF(BC181&gt;=BA181,0,IF('Reeksen (N)'!AD181&gt;'Reeksen (N)'!AE181,(BA181-BC181)*R181,0)))</f>
        <v>0</v>
      </c>
      <c r="W181" s="218">
        <f t="shared" ca="1" si="39"/>
        <v>0</v>
      </c>
      <c r="X181" s="98">
        <f ca="1">IF('Invoer gegevens (N)'!$C$17=E181,'Invoer gegevens (N)'!$C$10-'Invoer gegevens (N)'!$C$11,IF(C181=1,AC180,0))</f>
        <v>0</v>
      </c>
      <c r="Y181" s="98">
        <f t="shared" ca="1" si="36"/>
        <v>0</v>
      </c>
      <c r="Z181" s="98">
        <f ca="1">(1-('Invoer gegevens (N)'!$F$20/12))*X181*MIN(BA181,BC181)</f>
        <v>0</v>
      </c>
      <c r="AA181" s="98">
        <f ca="1">IF(BD181&lt;1,IF('Reeksen (N)'!AD181&lt;='Reeksen (N)'!AE181,X181*'Reeksen (N)'!C181,0),IF(BC181&gt;=BA181,0,IF('Reeksen (N)'!AD181&lt;='Reeksen (N)'!AE181,(BA181-BC181)*X181,0)))</f>
        <v>0</v>
      </c>
      <c r="AB181" s="98">
        <f ca="1">IF(BD181&lt;1,IF('Reeksen (N)'!AD181&gt;'Reeksen (N)'!AE181,X181*'Reeksen (N)'!C181,0),IF(BC181&gt;=BA181,0,IF('Reeksen (N)'!AD181&gt;'Reeksen (N)'!AE181,(BA181-BC181)*X181,0)))</f>
        <v>0</v>
      </c>
      <c r="AC181" s="99">
        <f t="shared" ca="1" si="40"/>
        <v>0</v>
      </c>
      <c r="AD181" s="98">
        <f ca="1">IF('Invoer gegevens (N)'!$C$17=E181,R181,IF(C181=0,0,AE180))</f>
        <v>0</v>
      </c>
      <c r="AE181" s="98">
        <f t="shared" ca="1" si="41"/>
        <v>0</v>
      </c>
      <c r="AF181" s="98">
        <f ca="1">IF('Invoer gegevens (N)'!$C$17=E181,X181,IF(C181=0,0,AG180))</f>
        <v>0</v>
      </c>
      <c r="AG181" s="98">
        <f t="shared" ca="1" si="42"/>
        <v>0</v>
      </c>
      <c r="AH181" s="66"/>
      <c r="AI181" s="71">
        <f ca="1">IF(C181=1,'Reeksen (N)'!AI181*((F181+K181)/2)*12+'Reeksen (N)'!AD181*((L181+Q181)/2)*12,0)</f>
        <v>0</v>
      </c>
      <c r="AJ181" s="71">
        <f ca="1">-AI181*'Invoer gegevens (N)'!$F$28</f>
        <v>0</v>
      </c>
      <c r="AK181" s="71">
        <f t="shared" ca="1" si="43"/>
        <v>0</v>
      </c>
      <c r="AL181" s="71">
        <f ca="1">IF(C181=1,'Reeksen (N)'!AL181*((F181-G181+F181)/2)*12+'Reeksen (N)'!AM181*((L181-M181+L181)/2)*12,0)</f>
        <v>0</v>
      </c>
      <c r="AM181" s="71">
        <f ca="1">-AL181*'Invoer gegevens (N)'!$F$31</f>
        <v>0</v>
      </c>
      <c r="AN181" s="71">
        <f t="shared" ca="1" si="44"/>
        <v>0</v>
      </c>
      <c r="AO181" s="71">
        <f ca="1">IF(C181=1,(H181+J181+N181+P181)*'Reeksen (N)'!AN181,0)</f>
        <v>0</v>
      </c>
      <c r="AP181" s="71">
        <f ca="1">-IF(C181=1,(H181+J181+N181+P181)*'Hulp - basis'!$O$550*'Reeksen (N)'!H181,0)</f>
        <v>0</v>
      </c>
      <c r="AQ181" s="71">
        <f ca="1">-IF(C181=1,(F181+K181+L181+Q181)/2*'Invoer gegevens (N)'!$F$35*'Reeksen (N)'!J181,0)*2</f>
        <v>0</v>
      </c>
      <c r="AR181" s="71">
        <f ca="1">IF(BD181&lt;1,-IF(C181=1,(G181*'Invoer gegevens (N)'!$F$36)*'Reeksen (N)'!J181,0),0)</f>
        <v>0</v>
      </c>
      <c r="AS181" s="71">
        <f ca="1">-IF(C181=1,(F181+K181+L181+Q181)/2*'Invoer gegevens (N)'!$F$37*'Reeksen (N)'!L181,0)</f>
        <v>0</v>
      </c>
      <c r="AT181" s="71">
        <f ca="1">-IF(C181=1,IF(E181='Invoer gegevens (N)'!$C$17,'Invoer gegevens (N)'!$C$11,AD181)*'Reeksen (N)'!S181*'Invoer gegevens (N)'!$C$18*'Reeksen (N)'!P181,0)</f>
        <v>0</v>
      </c>
      <c r="AU181" s="71">
        <f ca="1">-IF(C181=1,(F181+K181+L181+Q181)/2*'Invoer gegevens (N)'!$F$38*'Reeksen (N)'!H181,0)</f>
        <v>0</v>
      </c>
      <c r="AV181" s="71">
        <v>0</v>
      </c>
      <c r="AW181" s="71">
        <f t="shared" ca="1" si="45"/>
        <v>0</v>
      </c>
      <c r="AX181" s="71">
        <f ca="1">IF(E181&lt;'Invoer gegevens (N)'!$C$17+15,0,IF(E181&gt;'Invoer gegevens (N)'!$C$17+215,0,AW181))</f>
        <v>0</v>
      </c>
      <c r="AY181" s="71">
        <f ca="1">AX181/(1+'Invoer gegevens (N)'!$F$18)^($AZ181-('Invoer gegevens (N)'!$C$17-'Invoer gegevens (N)'!$C$16))/(1+'Invoer gegevens (N)'!$C$39)^('Invoer gegevens (N)'!$C$17-'Invoer gegevens (N)'!$C$16)</f>
        <v>0</v>
      </c>
      <c r="AZ181" s="68">
        <f ca="1">IF(E181-'Invoer gegevens (N)'!$C$17-14.5&lt;0,0,E181-'Invoer gegevens (N)'!$C$17-14.5)</f>
        <v>161.5</v>
      </c>
      <c r="BA181" s="109">
        <f ca="1">IFERROR(VLOOKUP(E181-15,'Reeksen (N)'!$A$5:$D$234,2,FALSE),0)</f>
        <v>0</v>
      </c>
      <c r="BB181" s="109">
        <f ca="1">IFERROR(VLOOKUP(E181-15,'Reeksen (N)'!$A$5:$D$234,3,FALSE),0)</f>
        <v>0</v>
      </c>
      <c r="BC181" s="109">
        <f ca="1">IFERROR(VLOOKUP(E181-15,'Reeksen (N)'!$A$5:$D$234,4,FALSE),0)</f>
        <v>0</v>
      </c>
      <c r="BD181" s="67">
        <f ca="1">IF(E181-'Invoer gegevens (N)'!$C$17&lt;15,0,1)</f>
        <v>1</v>
      </c>
    </row>
    <row r="182" spans="1:56" x14ac:dyDescent="0.25">
      <c r="A182" s="59"/>
      <c r="B182" s="70">
        <f t="shared" si="46"/>
        <v>178</v>
      </c>
      <c r="C182" s="67">
        <f ca="1">IF(E182-'Invoer gegevens (N)'!$C$17&lt;0,0,1)</f>
        <v>1</v>
      </c>
      <c r="D182" s="68">
        <f t="shared" si="47"/>
        <v>177.5</v>
      </c>
      <c r="E182" s="108">
        <f ca="1">IF('Invoer gegevens (N)'!$C$16="","",E181+1)</f>
        <v>2196</v>
      </c>
      <c r="F182" s="84">
        <f ca="1">IF('Invoer gegevens (N)'!$C$17=E182,'Invoer gegevens (N)'!$C$10,IF(C182=1,K181,0))</f>
        <v>0</v>
      </c>
      <c r="G182" s="96">
        <f ca="1">IF(BD182&lt;1,F182*'Reeksen (N)'!C182,IF(C182&gt;=1,F182*BA182,0))</f>
        <v>0</v>
      </c>
      <c r="H182" s="84">
        <f ca="1">(1-('Invoer gegevens (N)'!$F$20/12))*F182*MIN(BA182,BC182)</f>
        <v>0</v>
      </c>
      <c r="I182" s="84">
        <f t="shared" ca="1" si="32"/>
        <v>0</v>
      </c>
      <c r="J182" s="84">
        <f ca="1">('Invoer gegevens (N)'!$F$20/12)*F181*MIN(BA182,BC182)</f>
        <v>0</v>
      </c>
      <c r="K182" s="97">
        <f t="shared" ca="1" si="37"/>
        <v>0</v>
      </c>
      <c r="L182" s="84">
        <f ca="1">IF('Invoer gegevens (N)'!$C$17=E182,0,IF(C182=1,Q181,0))</f>
        <v>0</v>
      </c>
      <c r="M182" s="96">
        <f t="shared" ca="1" si="33"/>
        <v>0</v>
      </c>
      <c r="N182" s="84">
        <f ca="1">(1-('Invoer gegevens (N)'!$F$20/12))*L182*MIN(BA182,BC182)</f>
        <v>0</v>
      </c>
      <c r="O182" s="84">
        <f t="shared" ca="1" si="34"/>
        <v>0</v>
      </c>
      <c r="P182" s="84">
        <f ca="1">('Invoer gegevens (N)'!$F$20/12)*L181*MIN(BA182,BC182)</f>
        <v>0</v>
      </c>
      <c r="Q182" s="84">
        <f t="shared" ca="1" si="38"/>
        <v>0</v>
      </c>
      <c r="R182" s="85">
        <f ca="1">IF('Invoer gegevens (N)'!$C$17=E182,'Invoer gegevens (N)'!$C$11,IF(C182=1,W181,0))</f>
        <v>0</v>
      </c>
      <c r="S182" s="86">
        <f t="shared" ca="1" si="35"/>
        <v>0</v>
      </c>
      <c r="T182" s="86">
        <f ca="1">(1-('Invoer gegevens (N)'!$F$20/12))*R182*MIN(BC182,BA182)</f>
        <v>0</v>
      </c>
      <c r="U182" s="86">
        <f ca="1">IF(BD182&lt;1,IF('Reeksen (N)'!AD182&lt;='Reeksen (N)'!AE182,R182*'Reeksen (N)'!C182,0),IF(BC182&gt;=BA182,0,IF('Reeksen (N)'!AD182&lt;='Reeksen (N)'!AE182,(BA182-BC182)*R182,0)))</f>
        <v>0</v>
      </c>
      <c r="V182" s="86">
        <f ca="1">IF(BD182&lt;1,IF('Reeksen (N)'!AD182&gt;'Reeksen (N)'!AE182,R182*'Reeksen (N)'!C182,0),IF(BC182&gt;=BA182,0,IF('Reeksen (N)'!AD182&gt;'Reeksen (N)'!AE182,(BA182-BC182)*R182,0)))</f>
        <v>0</v>
      </c>
      <c r="W182" s="218">
        <f t="shared" ca="1" si="39"/>
        <v>0</v>
      </c>
      <c r="X182" s="98">
        <f ca="1">IF('Invoer gegevens (N)'!$C$17=E182,'Invoer gegevens (N)'!$C$10-'Invoer gegevens (N)'!$C$11,IF(C182=1,AC181,0))</f>
        <v>0</v>
      </c>
      <c r="Y182" s="98">
        <f t="shared" ca="1" si="36"/>
        <v>0</v>
      </c>
      <c r="Z182" s="98">
        <f ca="1">(1-('Invoer gegevens (N)'!$F$20/12))*X182*MIN(BA182,BC182)</f>
        <v>0</v>
      </c>
      <c r="AA182" s="98">
        <f ca="1">IF(BD182&lt;1,IF('Reeksen (N)'!AD182&lt;='Reeksen (N)'!AE182,X182*'Reeksen (N)'!C182,0),IF(BC182&gt;=BA182,0,IF('Reeksen (N)'!AD182&lt;='Reeksen (N)'!AE182,(BA182-BC182)*X182,0)))</f>
        <v>0</v>
      </c>
      <c r="AB182" s="98">
        <f ca="1">IF(BD182&lt;1,IF('Reeksen (N)'!AD182&gt;'Reeksen (N)'!AE182,X182*'Reeksen (N)'!C182,0),IF(BC182&gt;=BA182,0,IF('Reeksen (N)'!AD182&gt;'Reeksen (N)'!AE182,(BA182-BC182)*X182,0)))</f>
        <v>0</v>
      </c>
      <c r="AC182" s="99">
        <f t="shared" ca="1" si="40"/>
        <v>0</v>
      </c>
      <c r="AD182" s="98">
        <f ca="1">IF('Invoer gegevens (N)'!$C$17=E182,R182,IF(C182=0,0,AE181))</f>
        <v>0</v>
      </c>
      <c r="AE182" s="98">
        <f t="shared" ca="1" si="41"/>
        <v>0</v>
      </c>
      <c r="AF182" s="98">
        <f ca="1">IF('Invoer gegevens (N)'!$C$17=E182,X182,IF(C182=0,0,AG181))</f>
        <v>0</v>
      </c>
      <c r="AG182" s="98">
        <f t="shared" ca="1" si="42"/>
        <v>0</v>
      </c>
      <c r="AH182" s="66"/>
      <c r="AI182" s="71">
        <f ca="1">IF(C182=1,'Reeksen (N)'!AI182*((F182+K182)/2)*12+'Reeksen (N)'!AD182*((L182+Q182)/2)*12,0)</f>
        <v>0</v>
      </c>
      <c r="AJ182" s="71">
        <f ca="1">-AI182*'Invoer gegevens (N)'!$F$28</f>
        <v>0</v>
      </c>
      <c r="AK182" s="71">
        <f t="shared" ca="1" si="43"/>
        <v>0</v>
      </c>
      <c r="AL182" s="71">
        <f ca="1">IF(C182=1,'Reeksen (N)'!AL182*((F182-G182+F182)/2)*12+'Reeksen (N)'!AM182*((L182-M182+L182)/2)*12,0)</f>
        <v>0</v>
      </c>
      <c r="AM182" s="71">
        <f ca="1">-AL182*'Invoer gegevens (N)'!$F$31</f>
        <v>0</v>
      </c>
      <c r="AN182" s="71">
        <f t="shared" ca="1" si="44"/>
        <v>0</v>
      </c>
      <c r="AO182" s="71">
        <f ca="1">IF(C182=1,(H182+J182+N182+P182)*'Reeksen (N)'!AN182,0)</f>
        <v>0</v>
      </c>
      <c r="AP182" s="71">
        <f ca="1">-IF(C182=1,(H182+J182+N182+P182)*'Hulp - basis'!$O$550*'Reeksen (N)'!H182,0)</f>
        <v>0</v>
      </c>
      <c r="AQ182" s="71">
        <f ca="1">-IF(C182=1,(F182+K182+L182+Q182)/2*'Invoer gegevens (N)'!$F$35*'Reeksen (N)'!J182,0)*2</f>
        <v>0</v>
      </c>
      <c r="AR182" s="71">
        <f ca="1">IF(BD182&lt;1,-IF(C182=1,(G182*'Invoer gegevens (N)'!$F$36)*'Reeksen (N)'!J182,0),0)</f>
        <v>0</v>
      </c>
      <c r="AS182" s="71">
        <f ca="1">-IF(C182=1,(F182+K182+L182+Q182)/2*'Invoer gegevens (N)'!$F$37*'Reeksen (N)'!L182,0)</f>
        <v>0</v>
      </c>
      <c r="AT182" s="71">
        <f ca="1">-IF(C182=1,IF(E182='Invoer gegevens (N)'!$C$17,'Invoer gegevens (N)'!$C$11,AD182)*'Reeksen (N)'!S182*'Invoer gegevens (N)'!$C$18*'Reeksen (N)'!P182,0)</f>
        <v>0</v>
      </c>
      <c r="AU182" s="71">
        <f ca="1">-IF(C182=1,(F182+K182+L182+Q182)/2*'Invoer gegevens (N)'!$F$38*'Reeksen (N)'!H182,0)</f>
        <v>0</v>
      </c>
      <c r="AV182" s="71">
        <v>0</v>
      </c>
      <c r="AW182" s="71">
        <f t="shared" ca="1" si="45"/>
        <v>0</v>
      </c>
      <c r="AX182" s="71">
        <f ca="1">IF(E182&lt;'Invoer gegevens (N)'!$C$17+15,0,IF(E182&gt;'Invoer gegevens (N)'!$C$17+215,0,AW182))</f>
        <v>0</v>
      </c>
      <c r="AY182" s="71">
        <f ca="1">AX182/(1+'Invoer gegevens (N)'!$F$18)^($AZ182-('Invoer gegevens (N)'!$C$17-'Invoer gegevens (N)'!$C$16))/(1+'Invoer gegevens (N)'!$C$39)^('Invoer gegevens (N)'!$C$17-'Invoer gegevens (N)'!$C$16)</f>
        <v>0</v>
      </c>
      <c r="AZ182" s="68">
        <f ca="1">IF(E182-'Invoer gegevens (N)'!$C$17-14.5&lt;0,0,E182-'Invoer gegevens (N)'!$C$17-14.5)</f>
        <v>162.5</v>
      </c>
      <c r="BA182" s="109">
        <f ca="1">IFERROR(VLOOKUP(E182-15,'Reeksen (N)'!$A$5:$D$234,2,FALSE),0)</f>
        <v>0</v>
      </c>
      <c r="BB182" s="109">
        <f ca="1">IFERROR(VLOOKUP(E182-15,'Reeksen (N)'!$A$5:$D$234,3,FALSE),0)</f>
        <v>0</v>
      </c>
      <c r="BC182" s="109">
        <f ca="1">IFERROR(VLOOKUP(E182-15,'Reeksen (N)'!$A$5:$D$234,4,FALSE),0)</f>
        <v>0</v>
      </c>
      <c r="BD182" s="67">
        <f ca="1">IF(E182-'Invoer gegevens (N)'!$C$17&lt;15,0,1)</f>
        <v>1</v>
      </c>
    </row>
    <row r="183" spans="1:56" x14ac:dyDescent="0.25">
      <c r="A183" s="59"/>
      <c r="B183" s="70">
        <f t="shared" si="46"/>
        <v>179</v>
      </c>
      <c r="C183" s="67">
        <f ca="1">IF(E183-'Invoer gegevens (N)'!$C$17&lt;0,0,1)</f>
        <v>1</v>
      </c>
      <c r="D183" s="68">
        <f t="shared" si="47"/>
        <v>178.5</v>
      </c>
      <c r="E183" s="108">
        <f ca="1">IF('Invoer gegevens (N)'!$C$16="","",E182+1)</f>
        <v>2197</v>
      </c>
      <c r="F183" s="84">
        <f ca="1">IF('Invoer gegevens (N)'!$C$17=E183,'Invoer gegevens (N)'!$C$10,IF(C183=1,K182,0))</f>
        <v>0</v>
      </c>
      <c r="G183" s="96">
        <f ca="1">IF(BD183&lt;1,F183*'Reeksen (N)'!C183,IF(C183&gt;=1,F183*BA183,0))</f>
        <v>0</v>
      </c>
      <c r="H183" s="84">
        <f ca="1">(1-('Invoer gegevens (N)'!$F$20/12))*F183*MIN(BA183,BC183)</f>
        <v>0</v>
      </c>
      <c r="I183" s="84">
        <f t="shared" ca="1" si="32"/>
        <v>0</v>
      </c>
      <c r="J183" s="84">
        <f ca="1">('Invoer gegevens (N)'!$F$20/12)*F182*MIN(BA183,BC183)</f>
        <v>0</v>
      </c>
      <c r="K183" s="97">
        <f t="shared" ca="1" si="37"/>
        <v>0</v>
      </c>
      <c r="L183" s="84">
        <f ca="1">IF('Invoer gegevens (N)'!$C$17=E183,0,IF(C183=1,Q182,0))</f>
        <v>0</v>
      </c>
      <c r="M183" s="96">
        <f t="shared" ca="1" si="33"/>
        <v>0</v>
      </c>
      <c r="N183" s="84">
        <f ca="1">(1-('Invoer gegevens (N)'!$F$20/12))*L183*MIN(BA183,BC183)</f>
        <v>0</v>
      </c>
      <c r="O183" s="84">
        <f t="shared" ca="1" si="34"/>
        <v>0</v>
      </c>
      <c r="P183" s="84">
        <f ca="1">('Invoer gegevens (N)'!$F$20/12)*L182*MIN(BA183,BC183)</f>
        <v>0</v>
      </c>
      <c r="Q183" s="84">
        <f t="shared" ca="1" si="38"/>
        <v>0</v>
      </c>
      <c r="R183" s="85">
        <f ca="1">IF('Invoer gegevens (N)'!$C$17=E183,'Invoer gegevens (N)'!$C$11,IF(C183=1,W182,0))</f>
        <v>0</v>
      </c>
      <c r="S183" s="86">
        <f t="shared" ca="1" si="35"/>
        <v>0</v>
      </c>
      <c r="T183" s="86">
        <f ca="1">(1-('Invoer gegevens (N)'!$F$20/12))*R183*MIN(BC183,BA183)</f>
        <v>0</v>
      </c>
      <c r="U183" s="86">
        <f ca="1">IF(BD183&lt;1,IF('Reeksen (N)'!AD183&lt;='Reeksen (N)'!AE183,R183*'Reeksen (N)'!C183,0),IF(BC183&gt;=BA183,0,IF('Reeksen (N)'!AD183&lt;='Reeksen (N)'!AE183,(BA183-BC183)*R183,0)))</f>
        <v>0</v>
      </c>
      <c r="V183" s="86">
        <f ca="1">IF(BD183&lt;1,IF('Reeksen (N)'!AD183&gt;'Reeksen (N)'!AE183,R183*'Reeksen (N)'!C183,0),IF(BC183&gt;=BA183,0,IF('Reeksen (N)'!AD183&gt;'Reeksen (N)'!AE183,(BA183-BC183)*R183,0)))</f>
        <v>0</v>
      </c>
      <c r="W183" s="218">
        <f t="shared" ca="1" si="39"/>
        <v>0</v>
      </c>
      <c r="X183" s="98">
        <f ca="1">IF('Invoer gegevens (N)'!$C$17=E183,'Invoer gegevens (N)'!$C$10-'Invoer gegevens (N)'!$C$11,IF(C183=1,AC182,0))</f>
        <v>0</v>
      </c>
      <c r="Y183" s="98">
        <f t="shared" ca="1" si="36"/>
        <v>0</v>
      </c>
      <c r="Z183" s="98">
        <f ca="1">(1-('Invoer gegevens (N)'!$F$20/12))*X183*MIN(BA183,BC183)</f>
        <v>0</v>
      </c>
      <c r="AA183" s="98">
        <f ca="1">IF(BD183&lt;1,IF('Reeksen (N)'!AD183&lt;='Reeksen (N)'!AE183,X183*'Reeksen (N)'!C183,0),IF(BC183&gt;=BA183,0,IF('Reeksen (N)'!AD183&lt;='Reeksen (N)'!AE183,(BA183-BC183)*X183,0)))</f>
        <v>0</v>
      </c>
      <c r="AB183" s="98">
        <f ca="1">IF(BD183&lt;1,IF('Reeksen (N)'!AD183&gt;'Reeksen (N)'!AE183,X183*'Reeksen (N)'!C183,0),IF(BC183&gt;=BA183,0,IF('Reeksen (N)'!AD183&gt;'Reeksen (N)'!AE183,(BA183-BC183)*X183,0)))</f>
        <v>0</v>
      </c>
      <c r="AC183" s="99">
        <f t="shared" ca="1" si="40"/>
        <v>0</v>
      </c>
      <c r="AD183" s="98">
        <f ca="1">IF('Invoer gegevens (N)'!$C$17=E183,R183,IF(C183=0,0,AE182))</f>
        <v>0</v>
      </c>
      <c r="AE183" s="98">
        <f t="shared" ca="1" si="41"/>
        <v>0</v>
      </c>
      <c r="AF183" s="98">
        <f ca="1">IF('Invoer gegevens (N)'!$C$17=E183,X183,IF(C183=0,0,AG182))</f>
        <v>0</v>
      </c>
      <c r="AG183" s="98">
        <f t="shared" ca="1" si="42"/>
        <v>0</v>
      </c>
      <c r="AH183" s="66"/>
      <c r="AI183" s="71">
        <f ca="1">IF(C183=1,'Reeksen (N)'!AI183*((F183+K183)/2)*12+'Reeksen (N)'!AD183*((L183+Q183)/2)*12,0)</f>
        <v>0</v>
      </c>
      <c r="AJ183" s="71">
        <f ca="1">-AI183*'Invoer gegevens (N)'!$F$28</f>
        <v>0</v>
      </c>
      <c r="AK183" s="71">
        <f t="shared" ca="1" si="43"/>
        <v>0</v>
      </c>
      <c r="AL183" s="71">
        <f ca="1">IF(C183=1,'Reeksen (N)'!AL183*((F183-G183+F183)/2)*12+'Reeksen (N)'!AM183*((L183-M183+L183)/2)*12,0)</f>
        <v>0</v>
      </c>
      <c r="AM183" s="71">
        <f ca="1">-AL183*'Invoer gegevens (N)'!$F$31</f>
        <v>0</v>
      </c>
      <c r="AN183" s="71">
        <f t="shared" ca="1" si="44"/>
        <v>0</v>
      </c>
      <c r="AO183" s="71">
        <f ca="1">IF(C183=1,(H183+J183+N183+P183)*'Reeksen (N)'!AN183,0)</f>
        <v>0</v>
      </c>
      <c r="AP183" s="71">
        <f ca="1">-IF(C183=1,(H183+J183+N183+P183)*'Hulp - basis'!$O$550*'Reeksen (N)'!H183,0)</f>
        <v>0</v>
      </c>
      <c r="AQ183" s="71">
        <f ca="1">-IF(C183=1,(F183+K183+L183+Q183)/2*'Invoer gegevens (N)'!$F$35*'Reeksen (N)'!J183,0)*2</f>
        <v>0</v>
      </c>
      <c r="AR183" s="71">
        <f ca="1">IF(BD183&lt;1,-IF(C183=1,(G183*'Invoer gegevens (N)'!$F$36)*'Reeksen (N)'!J183,0),0)</f>
        <v>0</v>
      </c>
      <c r="AS183" s="71">
        <f ca="1">-IF(C183=1,(F183+K183+L183+Q183)/2*'Invoer gegevens (N)'!$F$37*'Reeksen (N)'!L183,0)</f>
        <v>0</v>
      </c>
      <c r="AT183" s="71">
        <f ca="1">-IF(C183=1,IF(E183='Invoer gegevens (N)'!$C$17,'Invoer gegevens (N)'!$C$11,AD183)*'Reeksen (N)'!S183*'Invoer gegevens (N)'!$C$18*'Reeksen (N)'!P183,0)</f>
        <v>0</v>
      </c>
      <c r="AU183" s="71">
        <f ca="1">-IF(C183=1,(F183+K183+L183+Q183)/2*'Invoer gegevens (N)'!$F$38*'Reeksen (N)'!H183,0)</f>
        <v>0</v>
      </c>
      <c r="AV183" s="71">
        <v>0</v>
      </c>
      <c r="AW183" s="71">
        <f t="shared" ca="1" si="45"/>
        <v>0</v>
      </c>
      <c r="AX183" s="71">
        <f ca="1">IF(E183&lt;'Invoer gegevens (N)'!$C$17+15,0,IF(E183&gt;'Invoer gegevens (N)'!$C$17+215,0,AW183))</f>
        <v>0</v>
      </c>
      <c r="AY183" s="71">
        <f ca="1">AX183/(1+'Invoer gegevens (N)'!$F$18)^($AZ183-('Invoer gegevens (N)'!$C$17-'Invoer gegevens (N)'!$C$16))/(1+'Invoer gegevens (N)'!$C$39)^('Invoer gegevens (N)'!$C$17-'Invoer gegevens (N)'!$C$16)</f>
        <v>0</v>
      </c>
      <c r="AZ183" s="68">
        <f ca="1">IF(E183-'Invoer gegevens (N)'!$C$17-14.5&lt;0,0,E183-'Invoer gegevens (N)'!$C$17-14.5)</f>
        <v>163.5</v>
      </c>
      <c r="BA183" s="109">
        <f ca="1">IFERROR(VLOOKUP(E183-15,'Reeksen (N)'!$A$5:$D$234,2,FALSE),0)</f>
        <v>0</v>
      </c>
      <c r="BB183" s="109">
        <f ca="1">IFERROR(VLOOKUP(E183-15,'Reeksen (N)'!$A$5:$D$234,3,FALSE),0)</f>
        <v>0</v>
      </c>
      <c r="BC183" s="109">
        <f ca="1">IFERROR(VLOOKUP(E183-15,'Reeksen (N)'!$A$5:$D$234,4,FALSE),0)</f>
        <v>0</v>
      </c>
      <c r="BD183" s="67">
        <f ca="1">IF(E183-'Invoer gegevens (N)'!$C$17&lt;15,0,1)</f>
        <v>1</v>
      </c>
    </row>
    <row r="184" spans="1:56" x14ac:dyDescent="0.25">
      <c r="A184" s="59"/>
      <c r="B184" s="70">
        <f t="shared" si="46"/>
        <v>180</v>
      </c>
      <c r="C184" s="67">
        <f ca="1">IF(E184-'Invoer gegevens (N)'!$C$17&lt;0,0,1)</f>
        <v>1</v>
      </c>
      <c r="D184" s="68">
        <f t="shared" si="47"/>
        <v>179.5</v>
      </c>
      <c r="E184" s="108">
        <f ca="1">IF('Invoer gegevens (N)'!$C$16="","",E183+1)</f>
        <v>2198</v>
      </c>
      <c r="F184" s="84">
        <f ca="1">IF('Invoer gegevens (N)'!$C$17=E184,'Invoer gegevens (N)'!$C$10,IF(C184=1,K183,0))</f>
        <v>0</v>
      </c>
      <c r="G184" s="96">
        <f ca="1">IF(BD184&lt;1,F184*'Reeksen (N)'!C184,IF(C184&gt;=1,F184*BA184,0))</f>
        <v>0</v>
      </c>
      <c r="H184" s="84">
        <f ca="1">(1-('Invoer gegevens (N)'!$F$20/12))*F184*MIN(BA184,BC184)</f>
        <v>0</v>
      </c>
      <c r="I184" s="84">
        <f t="shared" ca="1" si="32"/>
        <v>0</v>
      </c>
      <c r="J184" s="84">
        <f ca="1">('Invoer gegevens (N)'!$F$20/12)*F183*MIN(BA184,BC184)</f>
        <v>0</v>
      </c>
      <c r="K184" s="97">
        <f t="shared" ca="1" si="37"/>
        <v>0</v>
      </c>
      <c r="L184" s="84">
        <f ca="1">IF('Invoer gegevens (N)'!$C$17=E184,0,IF(C184=1,Q183,0))</f>
        <v>0</v>
      </c>
      <c r="M184" s="96">
        <f t="shared" ca="1" si="33"/>
        <v>0</v>
      </c>
      <c r="N184" s="84">
        <f ca="1">(1-('Invoer gegevens (N)'!$F$20/12))*L184*MIN(BA184,BC184)</f>
        <v>0</v>
      </c>
      <c r="O184" s="84">
        <f t="shared" ca="1" si="34"/>
        <v>0</v>
      </c>
      <c r="P184" s="84">
        <f ca="1">('Invoer gegevens (N)'!$F$20/12)*L183*MIN(BA184,BC184)</f>
        <v>0</v>
      </c>
      <c r="Q184" s="84">
        <f t="shared" ca="1" si="38"/>
        <v>0</v>
      </c>
      <c r="R184" s="85">
        <f ca="1">IF('Invoer gegevens (N)'!$C$17=E184,'Invoer gegevens (N)'!$C$11,IF(C184=1,W183,0))</f>
        <v>0</v>
      </c>
      <c r="S184" s="86">
        <f t="shared" ca="1" si="35"/>
        <v>0</v>
      </c>
      <c r="T184" s="86">
        <f ca="1">(1-('Invoer gegevens (N)'!$F$20/12))*R184*MIN(BC184,BA184)</f>
        <v>0</v>
      </c>
      <c r="U184" s="86">
        <f ca="1">IF(BD184&lt;1,IF('Reeksen (N)'!AD184&lt;='Reeksen (N)'!AE184,R184*'Reeksen (N)'!C184,0),IF(BC184&gt;=BA184,0,IF('Reeksen (N)'!AD184&lt;='Reeksen (N)'!AE184,(BA184-BC184)*R184,0)))</f>
        <v>0</v>
      </c>
      <c r="V184" s="86">
        <f ca="1">IF(BD184&lt;1,IF('Reeksen (N)'!AD184&gt;'Reeksen (N)'!AE184,R184*'Reeksen (N)'!C184,0),IF(BC184&gt;=BA184,0,IF('Reeksen (N)'!AD184&gt;'Reeksen (N)'!AE184,(BA184-BC184)*R184,0)))</f>
        <v>0</v>
      </c>
      <c r="W184" s="218">
        <f t="shared" ca="1" si="39"/>
        <v>0</v>
      </c>
      <c r="X184" s="98">
        <f ca="1">IF('Invoer gegevens (N)'!$C$17=E184,'Invoer gegevens (N)'!$C$10-'Invoer gegevens (N)'!$C$11,IF(C184=1,AC183,0))</f>
        <v>0</v>
      </c>
      <c r="Y184" s="98">
        <f t="shared" ca="1" si="36"/>
        <v>0</v>
      </c>
      <c r="Z184" s="98">
        <f ca="1">(1-('Invoer gegevens (N)'!$F$20/12))*X184*MIN(BA184,BC184)</f>
        <v>0</v>
      </c>
      <c r="AA184" s="98">
        <f ca="1">IF(BD184&lt;1,IF('Reeksen (N)'!AD184&lt;='Reeksen (N)'!AE184,X184*'Reeksen (N)'!C184,0),IF(BC184&gt;=BA184,0,IF('Reeksen (N)'!AD184&lt;='Reeksen (N)'!AE184,(BA184-BC184)*X184,0)))</f>
        <v>0</v>
      </c>
      <c r="AB184" s="98">
        <f ca="1">IF(BD184&lt;1,IF('Reeksen (N)'!AD184&gt;'Reeksen (N)'!AE184,X184*'Reeksen (N)'!C184,0),IF(BC184&gt;=BA184,0,IF('Reeksen (N)'!AD184&gt;'Reeksen (N)'!AE184,(BA184-BC184)*X184,0)))</f>
        <v>0</v>
      </c>
      <c r="AC184" s="99">
        <f t="shared" ca="1" si="40"/>
        <v>0</v>
      </c>
      <c r="AD184" s="98">
        <f ca="1">IF('Invoer gegevens (N)'!$C$17=E184,R184,IF(C184=0,0,AE183))</f>
        <v>0</v>
      </c>
      <c r="AE184" s="98">
        <f t="shared" ca="1" si="41"/>
        <v>0</v>
      </c>
      <c r="AF184" s="98">
        <f ca="1">IF('Invoer gegevens (N)'!$C$17=E184,X184,IF(C184=0,0,AG183))</f>
        <v>0</v>
      </c>
      <c r="AG184" s="98">
        <f t="shared" ca="1" si="42"/>
        <v>0</v>
      </c>
      <c r="AH184" s="66"/>
      <c r="AI184" s="71">
        <f ca="1">IF(C184=1,'Reeksen (N)'!AI184*((F184+K184)/2)*12+'Reeksen (N)'!AD184*((L184+Q184)/2)*12,0)</f>
        <v>0</v>
      </c>
      <c r="AJ184" s="71">
        <f ca="1">-AI184*'Invoer gegevens (N)'!$F$28</f>
        <v>0</v>
      </c>
      <c r="AK184" s="71">
        <f t="shared" ca="1" si="43"/>
        <v>0</v>
      </c>
      <c r="AL184" s="71">
        <f ca="1">IF(C184=1,'Reeksen (N)'!AL184*((F184-G184+F184)/2)*12+'Reeksen (N)'!AM184*((L184-M184+L184)/2)*12,0)</f>
        <v>0</v>
      </c>
      <c r="AM184" s="71">
        <f ca="1">-AL184*'Invoer gegevens (N)'!$F$31</f>
        <v>0</v>
      </c>
      <c r="AN184" s="71">
        <f t="shared" ca="1" si="44"/>
        <v>0</v>
      </c>
      <c r="AO184" s="71">
        <f ca="1">IF(C184=1,(H184+J184+N184+P184)*'Reeksen (N)'!AN184,0)</f>
        <v>0</v>
      </c>
      <c r="AP184" s="71">
        <f ca="1">-IF(C184=1,(H184+J184+N184+P184)*'Hulp - basis'!$O$550*'Reeksen (N)'!H184,0)</f>
        <v>0</v>
      </c>
      <c r="AQ184" s="71">
        <f ca="1">-IF(C184=1,(F184+K184+L184+Q184)/2*'Invoer gegevens (N)'!$F$35*'Reeksen (N)'!J184,0)*2</f>
        <v>0</v>
      </c>
      <c r="AR184" s="71">
        <f ca="1">IF(BD184&lt;1,-IF(C184=1,(G184*'Invoer gegevens (N)'!$F$36)*'Reeksen (N)'!J184,0),0)</f>
        <v>0</v>
      </c>
      <c r="AS184" s="71">
        <f ca="1">-IF(C184=1,(F184+K184+L184+Q184)/2*'Invoer gegevens (N)'!$F$37*'Reeksen (N)'!L184,0)</f>
        <v>0</v>
      </c>
      <c r="AT184" s="71">
        <f ca="1">-IF(C184=1,IF(E184='Invoer gegevens (N)'!$C$17,'Invoer gegevens (N)'!$C$11,AD184)*'Reeksen (N)'!S184*'Invoer gegevens (N)'!$C$18*'Reeksen (N)'!P184,0)</f>
        <v>0</v>
      </c>
      <c r="AU184" s="71">
        <f ca="1">-IF(C184=1,(F184+K184+L184+Q184)/2*'Invoer gegevens (N)'!$F$38*'Reeksen (N)'!H184,0)</f>
        <v>0</v>
      </c>
      <c r="AV184" s="71">
        <v>0</v>
      </c>
      <c r="AW184" s="71">
        <f t="shared" ca="1" si="45"/>
        <v>0</v>
      </c>
      <c r="AX184" s="71">
        <f ca="1">IF(E184&lt;'Invoer gegevens (N)'!$C$17+15,0,IF(E184&gt;'Invoer gegevens (N)'!$C$17+215,0,AW184))</f>
        <v>0</v>
      </c>
      <c r="AY184" s="71">
        <f ca="1">AX184/(1+'Invoer gegevens (N)'!$F$18)^($AZ184-('Invoer gegevens (N)'!$C$17-'Invoer gegevens (N)'!$C$16))/(1+'Invoer gegevens (N)'!$C$39)^('Invoer gegevens (N)'!$C$17-'Invoer gegevens (N)'!$C$16)</f>
        <v>0</v>
      </c>
      <c r="AZ184" s="68">
        <f ca="1">IF(E184-'Invoer gegevens (N)'!$C$17-14.5&lt;0,0,E184-'Invoer gegevens (N)'!$C$17-14.5)</f>
        <v>164.5</v>
      </c>
      <c r="BA184" s="109">
        <f ca="1">IFERROR(VLOOKUP(E184-15,'Reeksen (N)'!$A$5:$D$234,2,FALSE),0)</f>
        <v>0</v>
      </c>
      <c r="BB184" s="109">
        <f ca="1">IFERROR(VLOOKUP(E184-15,'Reeksen (N)'!$A$5:$D$234,3,FALSE),0)</f>
        <v>0</v>
      </c>
      <c r="BC184" s="109">
        <f ca="1">IFERROR(VLOOKUP(E184-15,'Reeksen (N)'!$A$5:$D$234,4,FALSE),0)</f>
        <v>0</v>
      </c>
      <c r="BD184" s="67">
        <f ca="1">IF(E184-'Invoer gegevens (N)'!$C$17&lt;15,0,1)</f>
        <v>1</v>
      </c>
    </row>
    <row r="185" spans="1:56" x14ac:dyDescent="0.25">
      <c r="A185" s="59"/>
      <c r="B185" s="70">
        <f t="shared" si="46"/>
        <v>181</v>
      </c>
      <c r="C185" s="67">
        <f ca="1">IF(E185-'Invoer gegevens (N)'!$C$17&lt;0,0,1)</f>
        <v>1</v>
      </c>
      <c r="D185" s="68">
        <f t="shared" si="47"/>
        <v>180.5</v>
      </c>
      <c r="E185" s="108">
        <f ca="1">IF('Invoer gegevens (N)'!$C$16="","",E184+1)</f>
        <v>2199</v>
      </c>
      <c r="F185" s="84">
        <f ca="1">IF('Invoer gegevens (N)'!$C$17=E185,'Invoer gegevens (N)'!$C$10,IF(C185=1,K184,0))</f>
        <v>0</v>
      </c>
      <c r="G185" s="96">
        <f ca="1">IF(BD185&lt;1,F185*'Reeksen (N)'!C185,IF(C185&gt;=1,F185*BA185,0))</f>
        <v>0</v>
      </c>
      <c r="H185" s="84">
        <f ca="1">(1-('Invoer gegevens (N)'!$F$20/12))*F185*MIN(BA185,BC185)</f>
        <v>0</v>
      </c>
      <c r="I185" s="84">
        <f t="shared" ca="1" si="32"/>
        <v>0</v>
      </c>
      <c r="J185" s="84">
        <f ca="1">('Invoer gegevens (N)'!$F$20/12)*F184*MIN(BA185,BC185)</f>
        <v>0</v>
      </c>
      <c r="K185" s="97">
        <f t="shared" ca="1" si="37"/>
        <v>0</v>
      </c>
      <c r="L185" s="84">
        <f ca="1">IF('Invoer gegevens (N)'!$C$17=E185,0,IF(C185=1,Q184,0))</f>
        <v>0</v>
      </c>
      <c r="M185" s="96">
        <f t="shared" ca="1" si="33"/>
        <v>0</v>
      </c>
      <c r="N185" s="84">
        <f ca="1">(1-('Invoer gegevens (N)'!$F$20/12))*L185*MIN(BA185,BC185)</f>
        <v>0</v>
      </c>
      <c r="O185" s="84">
        <f t="shared" ca="1" si="34"/>
        <v>0</v>
      </c>
      <c r="P185" s="84">
        <f ca="1">('Invoer gegevens (N)'!$F$20/12)*L184*MIN(BA185,BC185)</f>
        <v>0</v>
      </c>
      <c r="Q185" s="84">
        <f t="shared" ca="1" si="38"/>
        <v>0</v>
      </c>
      <c r="R185" s="85">
        <f ca="1">IF('Invoer gegevens (N)'!$C$17=E185,'Invoer gegevens (N)'!$C$11,IF(C185=1,W184,0))</f>
        <v>0</v>
      </c>
      <c r="S185" s="86">
        <f t="shared" ca="1" si="35"/>
        <v>0</v>
      </c>
      <c r="T185" s="86">
        <f ca="1">(1-('Invoer gegevens (N)'!$F$20/12))*R185*MIN(BC185,BA185)</f>
        <v>0</v>
      </c>
      <c r="U185" s="86">
        <f ca="1">IF(BD185&lt;1,IF('Reeksen (N)'!AD185&lt;='Reeksen (N)'!AE185,R185*'Reeksen (N)'!C185,0),IF(BC185&gt;=BA185,0,IF('Reeksen (N)'!AD185&lt;='Reeksen (N)'!AE185,(BA185-BC185)*R185,0)))</f>
        <v>0</v>
      </c>
      <c r="V185" s="86">
        <f ca="1">IF(BD185&lt;1,IF('Reeksen (N)'!AD185&gt;'Reeksen (N)'!AE185,R185*'Reeksen (N)'!C185,0),IF(BC185&gt;=BA185,0,IF('Reeksen (N)'!AD185&gt;'Reeksen (N)'!AE185,(BA185-BC185)*R185,0)))</f>
        <v>0</v>
      </c>
      <c r="W185" s="218">
        <f t="shared" ca="1" si="39"/>
        <v>0</v>
      </c>
      <c r="X185" s="98">
        <f ca="1">IF('Invoer gegevens (N)'!$C$17=E185,'Invoer gegevens (N)'!$C$10-'Invoer gegevens (N)'!$C$11,IF(C185=1,AC184,0))</f>
        <v>0</v>
      </c>
      <c r="Y185" s="98">
        <f t="shared" ca="1" si="36"/>
        <v>0</v>
      </c>
      <c r="Z185" s="98">
        <f ca="1">(1-('Invoer gegevens (N)'!$F$20/12))*X185*MIN(BA185,BC185)</f>
        <v>0</v>
      </c>
      <c r="AA185" s="98">
        <f ca="1">IF(BD185&lt;1,IF('Reeksen (N)'!AD185&lt;='Reeksen (N)'!AE185,X185*'Reeksen (N)'!C185,0),IF(BC185&gt;=BA185,0,IF('Reeksen (N)'!AD185&lt;='Reeksen (N)'!AE185,(BA185-BC185)*X185,0)))</f>
        <v>0</v>
      </c>
      <c r="AB185" s="98">
        <f ca="1">IF(BD185&lt;1,IF('Reeksen (N)'!AD185&gt;'Reeksen (N)'!AE185,X185*'Reeksen (N)'!C185,0),IF(BC185&gt;=BA185,0,IF('Reeksen (N)'!AD185&gt;'Reeksen (N)'!AE185,(BA185-BC185)*X185,0)))</f>
        <v>0</v>
      </c>
      <c r="AC185" s="99">
        <f t="shared" ca="1" si="40"/>
        <v>0</v>
      </c>
      <c r="AD185" s="98">
        <f ca="1">IF('Invoer gegevens (N)'!$C$17=E185,R185,IF(C185=0,0,AE184))</f>
        <v>0</v>
      </c>
      <c r="AE185" s="98">
        <f t="shared" ca="1" si="41"/>
        <v>0</v>
      </c>
      <c r="AF185" s="98">
        <f ca="1">IF('Invoer gegevens (N)'!$C$17=E185,X185,IF(C185=0,0,AG184))</f>
        <v>0</v>
      </c>
      <c r="AG185" s="98">
        <f t="shared" ca="1" si="42"/>
        <v>0</v>
      </c>
      <c r="AH185" s="66"/>
      <c r="AI185" s="71">
        <f ca="1">IF(C185=1,'Reeksen (N)'!AI185*((F185+K185)/2)*12+'Reeksen (N)'!AD185*((L185+Q185)/2)*12,0)</f>
        <v>0</v>
      </c>
      <c r="AJ185" s="71">
        <f ca="1">-AI185*'Invoer gegevens (N)'!$F$28</f>
        <v>0</v>
      </c>
      <c r="AK185" s="71">
        <f t="shared" ca="1" si="43"/>
        <v>0</v>
      </c>
      <c r="AL185" s="71">
        <f ca="1">IF(C185=1,'Reeksen (N)'!AL185*((F185-G185+F185)/2)*12+'Reeksen (N)'!AM185*((L185-M185+L185)/2)*12,0)</f>
        <v>0</v>
      </c>
      <c r="AM185" s="71">
        <f ca="1">-AL185*'Invoer gegevens (N)'!$F$31</f>
        <v>0</v>
      </c>
      <c r="AN185" s="71">
        <f t="shared" ca="1" si="44"/>
        <v>0</v>
      </c>
      <c r="AO185" s="71">
        <f ca="1">IF(C185=1,(H185+J185+N185+P185)*'Reeksen (N)'!AN185,0)</f>
        <v>0</v>
      </c>
      <c r="AP185" s="71">
        <f ca="1">-IF(C185=1,(H185+J185+N185+P185)*'Hulp - basis'!$O$550*'Reeksen (N)'!H185,0)</f>
        <v>0</v>
      </c>
      <c r="AQ185" s="71">
        <f ca="1">-IF(C185=1,(F185+K185+L185+Q185)/2*'Invoer gegevens (N)'!$F$35*'Reeksen (N)'!J185,0)*2</f>
        <v>0</v>
      </c>
      <c r="AR185" s="71">
        <f ca="1">IF(BD185&lt;1,-IF(C185=1,(G185*'Invoer gegevens (N)'!$F$36)*'Reeksen (N)'!J185,0),0)</f>
        <v>0</v>
      </c>
      <c r="AS185" s="71">
        <f ca="1">-IF(C185=1,(F185+K185+L185+Q185)/2*'Invoer gegevens (N)'!$F$37*'Reeksen (N)'!L185,0)</f>
        <v>0</v>
      </c>
      <c r="AT185" s="71">
        <f ca="1">-IF(C185=1,IF(E185='Invoer gegevens (N)'!$C$17,'Invoer gegevens (N)'!$C$11,AD185)*'Reeksen (N)'!S185*'Invoer gegevens (N)'!$C$18*'Reeksen (N)'!P185,0)</f>
        <v>0</v>
      </c>
      <c r="AU185" s="71">
        <f ca="1">-IF(C185=1,(F185+K185+L185+Q185)/2*'Invoer gegevens (N)'!$F$38*'Reeksen (N)'!H185,0)</f>
        <v>0</v>
      </c>
      <c r="AV185" s="71">
        <v>0</v>
      </c>
      <c r="AW185" s="71">
        <f t="shared" ca="1" si="45"/>
        <v>0</v>
      </c>
      <c r="AX185" s="71">
        <f ca="1">IF(E185&lt;'Invoer gegevens (N)'!$C$17+15,0,IF(E185&gt;'Invoer gegevens (N)'!$C$17+215,0,AW185))</f>
        <v>0</v>
      </c>
      <c r="AY185" s="71">
        <f ca="1">AX185/(1+'Invoer gegevens (N)'!$F$18)^($AZ185-('Invoer gegevens (N)'!$C$17-'Invoer gegevens (N)'!$C$16))/(1+'Invoer gegevens (N)'!$C$39)^('Invoer gegevens (N)'!$C$17-'Invoer gegevens (N)'!$C$16)</f>
        <v>0</v>
      </c>
      <c r="AZ185" s="68">
        <f ca="1">IF(E185-'Invoer gegevens (N)'!$C$17-14.5&lt;0,0,E185-'Invoer gegevens (N)'!$C$17-14.5)</f>
        <v>165.5</v>
      </c>
      <c r="BA185" s="109">
        <f ca="1">IFERROR(VLOOKUP(E185-15,'Reeksen (N)'!$A$5:$D$234,2,FALSE),0)</f>
        <v>0</v>
      </c>
      <c r="BB185" s="109">
        <f ca="1">IFERROR(VLOOKUP(E185-15,'Reeksen (N)'!$A$5:$D$234,3,FALSE),0)</f>
        <v>0</v>
      </c>
      <c r="BC185" s="109">
        <f ca="1">IFERROR(VLOOKUP(E185-15,'Reeksen (N)'!$A$5:$D$234,4,FALSE),0)</f>
        <v>0</v>
      </c>
      <c r="BD185" s="67">
        <f ca="1">IF(E185-'Invoer gegevens (N)'!$C$17&lt;15,0,1)</f>
        <v>1</v>
      </c>
    </row>
    <row r="186" spans="1:56" x14ac:dyDescent="0.25">
      <c r="A186" s="59"/>
      <c r="B186" s="70">
        <f t="shared" si="46"/>
        <v>182</v>
      </c>
      <c r="C186" s="67">
        <f ca="1">IF(E186-'Invoer gegevens (N)'!$C$17&lt;0,0,1)</f>
        <v>1</v>
      </c>
      <c r="D186" s="68">
        <f t="shared" si="47"/>
        <v>181.5</v>
      </c>
      <c r="E186" s="108">
        <f ca="1">IF('Invoer gegevens (N)'!$C$16="","",E185+1)</f>
        <v>2200</v>
      </c>
      <c r="F186" s="84">
        <f ca="1">IF('Invoer gegevens (N)'!$C$17=E186,'Invoer gegevens (N)'!$C$10,IF(C186=1,K185,0))</f>
        <v>0</v>
      </c>
      <c r="G186" s="96">
        <f ca="1">IF(BD186&lt;1,F186*'Reeksen (N)'!C186,IF(C186&gt;=1,F186*BA186,0))</f>
        <v>0</v>
      </c>
      <c r="H186" s="84">
        <f ca="1">(1-('Invoer gegevens (N)'!$F$20/12))*F186*MIN(BA186,BC186)</f>
        <v>0</v>
      </c>
      <c r="I186" s="84">
        <f t="shared" ca="1" si="32"/>
        <v>0</v>
      </c>
      <c r="J186" s="84">
        <f ca="1">('Invoer gegevens (N)'!$F$20/12)*F185*MIN(BA186,BC186)</f>
        <v>0</v>
      </c>
      <c r="K186" s="97">
        <f t="shared" ca="1" si="37"/>
        <v>0</v>
      </c>
      <c r="L186" s="84">
        <f ca="1">IF('Invoer gegevens (N)'!$C$17=E186,0,IF(C186=1,Q185,0))</f>
        <v>0</v>
      </c>
      <c r="M186" s="96">
        <f t="shared" ca="1" si="33"/>
        <v>0</v>
      </c>
      <c r="N186" s="84">
        <f ca="1">(1-('Invoer gegevens (N)'!$F$20/12))*L186*MIN(BA186,BC186)</f>
        <v>0</v>
      </c>
      <c r="O186" s="84">
        <f t="shared" ca="1" si="34"/>
        <v>0</v>
      </c>
      <c r="P186" s="84">
        <f ca="1">('Invoer gegevens (N)'!$F$20/12)*L185*MIN(BA186,BC186)</f>
        <v>0</v>
      </c>
      <c r="Q186" s="84">
        <f t="shared" ca="1" si="38"/>
        <v>0</v>
      </c>
      <c r="R186" s="85">
        <f ca="1">IF('Invoer gegevens (N)'!$C$17=E186,'Invoer gegevens (N)'!$C$11,IF(C186=1,W185,0))</f>
        <v>0</v>
      </c>
      <c r="S186" s="86">
        <f t="shared" ca="1" si="35"/>
        <v>0</v>
      </c>
      <c r="T186" s="86">
        <f ca="1">(1-('Invoer gegevens (N)'!$F$20/12))*R186*MIN(BC186,BA186)</f>
        <v>0</v>
      </c>
      <c r="U186" s="86">
        <f ca="1">IF(BD186&lt;1,IF('Reeksen (N)'!AD186&lt;='Reeksen (N)'!AE186,R186*'Reeksen (N)'!C186,0),IF(BC186&gt;=BA186,0,IF('Reeksen (N)'!AD186&lt;='Reeksen (N)'!AE186,(BA186-BC186)*R186,0)))</f>
        <v>0</v>
      </c>
      <c r="V186" s="86">
        <f ca="1">IF(BD186&lt;1,IF('Reeksen (N)'!AD186&gt;'Reeksen (N)'!AE186,R186*'Reeksen (N)'!C186,0),IF(BC186&gt;=BA186,0,IF('Reeksen (N)'!AD186&gt;'Reeksen (N)'!AE186,(BA186-BC186)*R186,0)))</f>
        <v>0</v>
      </c>
      <c r="W186" s="218">
        <f t="shared" ca="1" si="39"/>
        <v>0</v>
      </c>
      <c r="X186" s="98">
        <f ca="1">IF('Invoer gegevens (N)'!$C$17=E186,'Invoer gegevens (N)'!$C$10-'Invoer gegevens (N)'!$C$11,IF(C186=1,AC185,0))</f>
        <v>0</v>
      </c>
      <c r="Y186" s="98">
        <f t="shared" ca="1" si="36"/>
        <v>0</v>
      </c>
      <c r="Z186" s="98">
        <f ca="1">(1-('Invoer gegevens (N)'!$F$20/12))*X186*MIN(BA186,BC186)</f>
        <v>0</v>
      </c>
      <c r="AA186" s="98">
        <f ca="1">IF(BD186&lt;1,IF('Reeksen (N)'!AD186&lt;='Reeksen (N)'!AE186,X186*'Reeksen (N)'!C186,0),IF(BC186&gt;=BA186,0,IF('Reeksen (N)'!AD186&lt;='Reeksen (N)'!AE186,(BA186-BC186)*X186,0)))</f>
        <v>0</v>
      </c>
      <c r="AB186" s="98">
        <f ca="1">IF(BD186&lt;1,IF('Reeksen (N)'!AD186&gt;'Reeksen (N)'!AE186,X186*'Reeksen (N)'!C186,0),IF(BC186&gt;=BA186,0,IF('Reeksen (N)'!AD186&gt;'Reeksen (N)'!AE186,(BA186-BC186)*X186,0)))</f>
        <v>0</v>
      </c>
      <c r="AC186" s="99">
        <f t="shared" ca="1" si="40"/>
        <v>0</v>
      </c>
      <c r="AD186" s="98">
        <f ca="1">IF('Invoer gegevens (N)'!$C$17=E186,R186,IF(C186=0,0,AE185))</f>
        <v>0</v>
      </c>
      <c r="AE186" s="98">
        <f t="shared" ca="1" si="41"/>
        <v>0</v>
      </c>
      <c r="AF186" s="98">
        <f ca="1">IF('Invoer gegevens (N)'!$C$17=E186,X186,IF(C186=0,0,AG185))</f>
        <v>0</v>
      </c>
      <c r="AG186" s="98">
        <f t="shared" ca="1" si="42"/>
        <v>0</v>
      </c>
      <c r="AH186" s="66"/>
      <c r="AI186" s="71">
        <f ca="1">IF(C186=1,'Reeksen (N)'!AI186*((F186+K186)/2)*12+'Reeksen (N)'!AD186*((L186+Q186)/2)*12,0)</f>
        <v>0</v>
      </c>
      <c r="AJ186" s="71">
        <f ca="1">-AI186*'Invoer gegevens (N)'!$F$28</f>
        <v>0</v>
      </c>
      <c r="AK186" s="71">
        <f t="shared" ca="1" si="43"/>
        <v>0</v>
      </c>
      <c r="AL186" s="71">
        <f ca="1">IF(C186=1,'Reeksen (N)'!AL186*((F186-G186+F186)/2)*12+'Reeksen (N)'!AM186*((L186-M186+L186)/2)*12,0)</f>
        <v>0</v>
      </c>
      <c r="AM186" s="71">
        <f ca="1">-AL186*'Invoer gegevens (N)'!$F$31</f>
        <v>0</v>
      </c>
      <c r="AN186" s="71">
        <f t="shared" ca="1" si="44"/>
        <v>0</v>
      </c>
      <c r="AO186" s="71">
        <f ca="1">IF(C186=1,(H186+J186+N186+P186)*'Reeksen (N)'!AN186,0)</f>
        <v>0</v>
      </c>
      <c r="AP186" s="71">
        <f ca="1">-IF(C186=1,(H186+J186+N186+P186)*'Hulp - basis'!$O$550*'Reeksen (N)'!H186,0)</f>
        <v>0</v>
      </c>
      <c r="AQ186" s="71">
        <f ca="1">-IF(C186=1,(F186+K186+L186+Q186)/2*'Invoer gegevens (N)'!$F$35*'Reeksen (N)'!J186,0)*2</f>
        <v>0</v>
      </c>
      <c r="AR186" s="71">
        <f ca="1">IF(BD186&lt;1,-IF(C186=1,(G186*'Invoer gegevens (N)'!$F$36)*'Reeksen (N)'!J186,0),0)</f>
        <v>0</v>
      </c>
      <c r="AS186" s="71">
        <f ca="1">-IF(C186=1,(F186+K186+L186+Q186)/2*'Invoer gegevens (N)'!$F$37*'Reeksen (N)'!L186,0)</f>
        <v>0</v>
      </c>
      <c r="AT186" s="71">
        <f ca="1">-IF(C186=1,IF(E186='Invoer gegevens (N)'!$C$17,'Invoer gegevens (N)'!$C$11,AD186)*'Reeksen (N)'!S186*'Invoer gegevens (N)'!$C$18*'Reeksen (N)'!P186,0)</f>
        <v>0</v>
      </c>
      <c r="AU186" s="71">
        <f ca="1">-IF(C186=1,(F186+K186+L186+Q186)/2*'Invoer gegevens (N)'!$F$38*'Reeksen (N)'!H186,0)</f>
        <v>0</v>
      </c>
      <c r="AV186" s="71">
        <v>0</v>
      </c>
      <c r="AW186" s="71">
        <f t="shared" ca="1" si="45"/>
        <v>0</v>
      </c>
      <c r="AX186" s="71">
        <f ca="1">IF(E186&lt;'Invoer gegevens (N)'!$C$17+15,0,IF(E186&gt;'Invoer gegevens (N)'!$C$17+215,0,AW186))</f>
        <v>0</v>
      </c>
      <c r="AY186" s="71">
        <f ca="1">AX186/(1+'Invoer gegevens (N)'!$F$18)^($AZ186-('Invoer gegevens (N)'!$C$17-'Invoer gegevens (N)'!$C$16))/(1+'Invoer gegevens (N)'!$C$39)^('Invoer gegevens (N)'!$C$17-'Invoer gegevens (N)'!$C$16)</f>
        <v>0</v>
      </c>
      <c r="AZ186" s="68">
        <f ca="1">IF(E186-'Invoer gegevens (N)'!$C$17-14.5&lt;0,0,E186-'Invoer gegevens (N)'!$C$17-14.5)</f>
        <v>166.5</v>
      </c>
      <c r="BA186" s="109">
        <f ca="1">IFERROR(VLOOKUP(E186-15,'Reeksen (N)'!$A$5:$D$234,2,FALSE),0)</f>
        <v>0</v>
      </c>
      <c r="BB186" s="109">
        <f ca="1">IFERROR(VLOOKUP(E186-15,'Reeksen (N)'!$A$5:$D$234,3,FALSE),0)</f>
        <v>0</v>
      </c>
      <c r="BC186" s="109">
        <f ca="1">IFERROR(VLOOKUP(E186-15,'Reeksen (N)'!$A$5:$D$234,4,FALSE),0)</f>
        <v>0</v>
      </c>
      <c r="BD186" s="67">
        <f ca="1">IF(E186-'Invoer gegevens (N)'!$C$17&lt;15,0,1)</f>
        <v>1</v>
      </c>
    </row>
    <row r="187" spans="1:56" x14ac:dyDescent="0.25">
      <c r="A187" s="59"/>
      <c r="B187" s="70">
        <f t="shared" si="46"/>
        <v>183</v>
      </c>
      <c r="C187" s="67">
        <f ca="1">IF(E187-'Invoer gegevens (N)'!$C$17&lt;0,0,1)</f>
        <v>1</v>
      </c>
      <c r="D187" s="68">
        <f t="shared" si="47"/>
        <v>182.5</v>
      </c>
      <c r="E187" s="108">
        <f ca="1">IF('Invoer gegevens (N)'!$C$16="","",E186+1)</f>
        <v>2201</v>
      </c>
      <c r="F187" s="84">
        <f ca="1">IF('Invoer gegevens (N)'!$C$17=E187,'Invoer gegevens (N)'!$C$10,IF(C187=1,K186,0))</f>
        <v>0</v>
      </c>
      <c r="G187" s="96">
        <f ca="1">IF(BD187&lt;1,F187*'Reeksen (N)'!C187,IF(C187&gt;=1,F187*BA187,0))</f>
        <v>0</v>
      </c>
      <c r="H187" s="84">
        <f ca="1">(1-('Invoer gegevens (N)'!$F$20/12))*F187*MIN(BA187,BC187)</f>
        <v>0</v>
      </c>
      <c r="I187" s="84">
        <f t="shared" ca="1" si="32"/>
        <v>0</v>
      </c>
      <c r="J187" s="84">
        <f ca="1">('Invoer gegevens (N)'!$F$20/12)*F186*MIN(BA187,BC187)</f>
        <v>0</v>
      </c>
      <c r="K187" s="97">
        <f t="shared" ca="1" si="37"/>
        <v>0</v>
      </c>
      <c r="L187" s="84">
        <f ca="1">IF('Invoer gegevens (N)'!$C$17=E187,0,IF(C187=1,Q186,0))</f>
        <v>0</v>
      </c>
      <c r="M187" s="96">
        <f t="shared" ca="1" si="33"/>
        <v>0</v>
      </c>
      <c r="N187" s="84">
        <f ca="1">(1-('Invoer gegevens (N)'!$F$20/12))*L187*MIN(BA187,BC187)</f>
        <v>0</v>
      </c>
      <c r="O187" s="84">
        <f t="shared" ca="1" si="34"/>
        <v>0</v>
      </c>
      <c r="P187" s="84">
        <f ca="1">('Invoer gegevens (N)'!$F$20/12)*L186*MIN(BA187,BC187)</f>
        <v>0</v>
      </c>
      <c r="Q187" s="84">
        <f t="shared" ca="1" si="38"/>
        <v>0</v>
      </c>
      <c r="R187" s="85">
        <f ca="1">IF('Invoer gegevens (N)'!$C$17=E187,'Invoer gegevens (N)'!$C$11,IF(C187=1,W186,0))</f>
        <v>0</v>
      </c>
      <c r="S187" s="86">
        <f t="shared" ca="1" si="35"/>
        <v>0</v>
      </c>
      <c r="T187" s="86">
        <f ca="1">(1-('Invoer gegevens (N)'!$F$20/12))*R187*MIN(BC187,BA187)</f>
        <v>0</v>
      </c>
      <c r="U187" s="86">
        <f ca="1">IF(BD187&lt;1,IF('Reeksen (N)'!AD187&lt;='Reeksen (N)'!AE187,R187*'Reeksen (N)'!C187,0),IF(BC187&gt;=BA187,0,IF('Reeksen (N)'!AD187&lt;='Reeksen (N)'!AE187,(BA187-BC187)*R187,0)))</f>
        <v>0</v>
      </c>
      <c r="V187" s="86">
        <f ca="1">IF(BD187&lt;1,IF('Reeksen (N)'!AD187&gt;'Reeksen (N)'!AE187,R187*'Reeksen (N)'!C187,0),IF(BC187&gt;=BA187,0,IF('Reeksen (N)'!AD187&gt;'Reeksen (N)'!AE187,(BA187-BC187)*R187,0)))</f>
        <v>0</v>
      </c>
      <c r="W187" s="218">
        <f t="shared" ca="1" si="39"/>
        <v>0</v>
      </c>
      <c r="X187" s="98">
        <f ca="1">IF('Invoer gegevens (N)'!$C$17=E187,'Invoer gegevens (N)'!$C$10-'Invoer gegevens (N)'!$C$11,IF(C187=1,AC186,0))</f>
        <v>0</v>
      </c>
      <c r="Y187" s="98">
        <f t="shared" ca="1" si="36"/>
        <v>0</v>
      </c>
      <c r="Z187" s="98">
        <f ca="1">(1-('Invoer gegevens (N)'!$F$20/12))*X187*MIN(BA187,BC187)</f>
        <v>0</v>
      </c>
      <c r="AA187" s="98">
        <f ca="1">IF(BD187&lt;1,IF('Reeksen (N)'!AD187&lt;='Reeksen (N)'!AE187,X187*'Reeksen (N)'!C187,0),IF(BC187&gt;=BA187,0,IF('Reeksen (N)'!AD187&lt;='Reeksen (N)'!AE187,(BA187-BC187)*X187,0)))</f>
        <v>0</v>
      </c>
      <c r="AB187" s="98">
        <f ca="1">IF(BD187&lt;1,IF('Reeksen (N)'!AD187&gt;'Reeksen (N)'!AE187,X187*'Reeksen (N)'!C187,0),IF(BC187&gt;=BA187,0,IF('Reeksen (N)'!AD187&gt;'Reeksen (N)'!AE187,(BA187-BC187)*X187,0)))</f>
        <v>0</v>
      </c>
      <c r="AC187" s="99">
        <f t="shared" ca="1" si="40"/>
        <v>0</v>
      </c>
      <c r="AD187" s="98">
        <f ca="1">IF('Invoer gegevens (N)'!$C$17=E187,R187,IF(C187=0,0,AE186))</f>
        <v>0</v>
      </c>
      <c r="AE187" s="98">
        <f t="shared" ca="1" si="41"/>
        <v>0</v>
      </c>
      <c r="AF187" s="98">
        <f ca="1">IF('Invoer gegevens (N)'!$C$17=E187,X187,IF(C187=0,0,AG186))</f>
        <v>0</v>
      </c>
      <c r="AG187" s="98">
        <f t="shared" ca="1" si="42"/>
        <v>0</v>
      </c>
      <c r="AH187" s="66"/>
      <c r="AI187" s="71">
        <f ca="1">IF(C187=1,'Reeksen (N)'!AI187*((F187+K187)/2)*12+'Reeksen (N)'!AD187*((L187+Q187)/2)*12,0)</f>
        <v>0</v>
      </c>
      <c r="AJ187" s="71">
        <f ca="1">-AI187*'Invoer gegevens (N)'!$F$28</f>
        <v>0</v>
      </c>
      <c r="AK187" s="71">
        <f t="shared" ca="1" si="43"/>
        <v>0</v>
      </c>
      <c r="AL187" s="71">
        <f ca="1">IF(C187=1,'Reeksen (N)'!AL187*((F187-G187+F187)/2)*12+'Reeksen (N)'!AM187*((L187-M187+L187)/2)*12,0)</f>
        <v>0</v>
      </c>
      <c r="AM187" s="71">
        <f ca="1">-AL187*'Invoer gegevens (N)'!$F$31</f>
        <v>0</v>
      </c>
      <c r="AN187" s="71">
        <f t="shared" ca="1" si="44"/>
        <v>0</v>
      </c>
      <c r="AO187" s="71">
        <f ca="1">IF(C187=1,(H187+J187+N187+P187)*'Reeksen (N)'!AN187,0)</f>
        <v>0</v>
      </c>
      <c r="AP187" s="71">
        <f ca="1">-IF(C187=1,(H187+J187+N187+P187)*'Hulp - basis'!$O$550*'Reeksen (N)'!H187,0)</f>
        <v>0</v>
      </c>
      <c r="AQ187" s="71">
        <f ca="1">-IF(C187=1,(F187+K187+L187+Q187)/2*'Invoer gegevens (N)'!$F$35*'Reeksen (N)'!J187,0)*2</f>
        <v>0</v>
      </c>
      <c r="AR187" s="71">
        <f ca="1">IF(BD187&lt;1,-IF(C187=1,(G187*'Invoer gegevens (N)'!$F$36)*'Reeksen (N)'!J187,0),0)</f>
        <v>0</v>
      </c>
      <c r="AS187" s="71">
        <f ca="1">-IF(C187=1,(F187+K187+L187+Q187)/2*'Invoer gegevens (N)'!$F$37*'Reeksen (N)'!L187,0)</f>
        <v>0</v>
      </c>
      <c r="AT187" s="71">
        <f ca="1">-IF(C187=1,IF(E187='Invoer gegevens (N)'!$C$17,'Invoer gegevens (N)'!$C$11,AD187)*'Reeksen (N)'!S187*'Invoer gegevens (N)'!$C$18*'Reeksen (N)'!P187,0)</f>
        <v>0</v>
      </c>
      <c r="AU187" s="71">
        <f ca="1">-IF(C187=1,(F187+K187+L187+Q187)/2*'Invoer gegevens (N)'!$F$38*'Reeksen (N)'!H187,0)</f>
        <v>0</v>
      </c>
      <c r="AV187" s="71">
        <v>0</v>
      </c>
      <c r="AW187" s="71">
        <f t="shared" ca="1" si="45"/>
        <v>0</v>
      </c>
      <c r="AX187" s="71">
        <f ca="1">IF(E187&lt;'Invoer gegevens (N)'!$C$17+15,0,IF(E187&gt;'Invoer gegevens (N)'!$C$17+215,0,AW187))</f>
        <v>0</v>
      </c>
      <c r="AY187" s="71">
        <f ca="1">AX187/(1+'Invoer gegevens (N)'!$F$18)^($AZ187-('Invoer gegevens (N)'!$C$17-'Invoer gegevens (N)'!$C$16))/(1+'Invoer gegevens (N)'!$C$39)^('Invoer gegevens (N)'!$C$17-'Invoer gegevens (N)'!$C$16)</f>
        <v>0</v>
      </c>
      <c r="AZ187" s="68">
        <f ca="1">IF(E187-'Invoer gegevens (N)'!$C$17-14.5&lt;0,0,E187-'Invoer gegevens (N)'!$C$17-14.5)</f>
        <v>167.5</v>
      </c>
      <c r="BA187" s="109">
        <f ca="1">IFERROR(VLOOKUP(E187-15,'Reeksen (N)'!$A$5:$D$234,2,FALSE),0)</f>
        <v>0</v>
      </c>
      <c r="BB187" s="109">
        <f ca="1">IFERROR(VLOOKUP(E187-15,'Reeksen (N)'!$A$5:$D$234,3,FALSE),0)</f>
        <v>0</v>
      </c>
      <c r="BC187" s="109">
        <f ca="1">IFERROR(VLOOKUP(E187-15,'Reeksen (N)'!$A$5:$D$234,4,FALSE),0)</f>
        <v>0</v>
      </c>
      <c r="BD187" s="67">
        <f ca="1">IF(E187-'Invoer gegevens (N)'!$C$17&lt;15,0,1)</f>
        <v>1</v>
      </c>
    </row>
    <row r="188" spans="1:56" x14ac:dyDescent="0.25">
      <c r="A188" s="59"/>
      <c r="B188" s="70">
        <f t="shared" si="46"/>
        <v>184</v>
      </c>
      <c r="C188" s="67">
        <f ca="1">IF(E188-'Invoer gegevens (N)'!$C$17&lt;0,0,1)</f>
        <v>1</v>
      </c>
      <c r="D188" s="68">
        <f t="shared" si="47"/>
        <v>183.5</v>
      </c>
      <c r="E188" s="108">
        <f ca="1">IF('Invoer gegevens (N)'!$C$16="","",E187+1)</f>
        <v>2202</v>
      </c>
      <c r="F188" s="84">
        <f ca="1">IF('Invoer gegevens (N)'!$C$17=E188,'Invoer gegevens (N)'!$C$10,IF(C188=1,K187,0))</f>
        <v>0</v>
      </c>
      <c r="G188" s="96">
        <f ca="1">IF(BD188&lt;1,F188*'Reeksen (N)'!C188,IF(C188&gt;=1,F188*BA188,0))</f>
        <v>0</v>
      </c>
      <c r="H188" s="84">
        <f ca="1">(1-('Invoer gegevens (N)'!$F$20/12))*F188*MIN(BA188,BC188)</f>
        <v>0</v>
      </c>
      <c r="I188" s="84">
        <f t="shared" ca="1" si="32"/>
        <v>0</v>
      </c>
      <c r="J188" s="84">
        <f ca="1">('Invoer gegevens (N)'!$F$20/12)*F187*MIN(BA188,BC188)</f>
        <v>0</v>
      </c>
      <c r="K188" s="97">
        <f t="shared" ca="1" si="37"/>
        <v>0</v>
      </c>
      <c r="L188" s="84">
        <f ca="1">IF('Invoer gegevens (N)'!$C$17=E188,0,IF(C188=1,Q187,0))</f>
        <v>0</v>
      </c>
      <c r="M188" s="96">
        <f t="shared" ca="1" si="33"/>
        <v>0</v>
      </c>
      <c r="N188" s="84">
        <f ca="1">(1-('Invoer gegevens (N)'!$F$20/12))*L188*MIN(BA188,BC188)</f>
        <v>0</v>
      </c>
      <c r="O188" s="84">
        <f t="shared" ca="1" si="34"/>
        <v>0</v>
      </c>
      <c r="P188" s="84">
        <f ca="1">('Invoer gegevens (N)'!$F$20/12)*L187*MIN(BA188,BC188)</f>
        <v>0</v>
      </c>
      <c r="Q188" s="84">
        <f t="shared" ca="1" si="38"/>
        <v>0</v>
      </c>
      <c r="R188" s="85">
        <f ca="1">IF('Invoer gegevens (N)'!$C$17=E188,'Invoer gegevens (N)'!$C$11,IF(C188=1,W187,0))</f>
        <v>0</v>
      </c>
      <c r="S188" s="86">
        <f t="shared" ca="1" si="35"/>
        <v>0</v>
      </c>
      <c r="T188" s="86">
        <f ca="1">(1-('Invoer gegevens (N)'!$F$20/12))*R188*MIN(BC188,BA188)</f>
        <v>0</v>
      </c>
      <c r="U188" s="86">
        <f ca="1">IF(BD188&lt;1,IF('Reeksen (N)'!AD188&lt;='Reeksen (N)'!AE188,R188*'Reeksen (N)'!C188,0),IF(BC188&gt;=BA188,0,IF('Reeksen (N)'!AD188&lt;='Reeksen (N)'!AE188,(BA188-BC188)*R188,0)))</f>
        <v>0</v>
      </c>
      <c r="V188" s="86">
        <f ca="1">IF(BD188&lt;1,IF('Reeksen (N)'!AD188&gt;'Reeksen (N)'!AE188,R188*'Reeksen (N)'!C188,0),IF(BC188&gt;=BA188,0,IF('Reeksen (N)'!AD188&gt;'Reeksen (N)'!AE188,(BA188-BC188)*R188,0)))</f>
        <v>0</v>
      </c>
      <c r="W188" s="218">
        <f t="shared" ca="1" si="39"/>
        <v>0</v>
      </c>
      <c r="X188" s="98">
        <f ca="1">IF('Invoer gegevens (N)'!$C$17=E188,'Invoer gegevens (N)'!$C$10-'Invoer gegevens (N)'!$C$11,IF(C188=1,AC187,0))</f>
        <v>0</v>
      </c>
      <c r="Y188" s="98">
        <f t="shared" ca="1" si="36"/>
        <v>0</v>
      </c>
      <c r="Z188" s="98">
        <f ca="1">(1-('Invoer gegevens (N)'!$F$20/12))*X188*MIN(BA188,BC188)</f>
        <v>0</v>
      </c>
      <c r="AA188" s="98">
        <f ca="1">IF(BD188&lt;1,IF('Reeksen (N)'!AD188&lt;='Reeksen (N)'!AE188,X188*'Reeksen (N)'!C188,0),IF(BC188&gt;=BA188,0,IF('Reeksen (N)'!AD188&lt;='Reeksen (N)'!AE188,(BA188-BC188)*X188,0)))</f>
        <v>0</v>
      </c>
      <c r="AB188" s="98">
        <f ca="1">IF(BD188&lt;1,IF('Reeksen (N)'!AD188&gt;'Reeksen (N)'!AE188,X188*'Reeksen (N)'!C188,0),IF(BC188&gt;=BA188,0,IF('Reeksen (N)'!AD188&gt;'Reeksen (N)'!AE188,(BA188-BC188)*X188,0)))</f>
        <v>0</v>
      </c>
      <c r="AC188" s="99">
        <f t="shared" ca="1" si="40"/>
        <v>0</v>
      </c>
      <c r="AD188" s="98">
        <f ca="1">IF('Invoer gegevens (N)'!$C$17=E188,R188,IF(C188=0,0,AE187))</f>
        <v>0</v>
      </c>
      <c r="AE188" s="98">
        <f t="shared" ca="1" si="41"/>
        <v>0</v>
      </c>
      <c r="AF188" s="98">
        <f ca="1">IF('Invoer gegevens (N)'!$C$17=E188,X188,IF(C188=0,0,AG187))</f>
        <v>0</v>
      </c>
      <c r="AG188" s="98">
        <f t="shared" ca="1" si="42"/>
        <v>0</v>
      </c>
      <c r="AH188" s="66"/>
      <c r="AI188" s="71">
        <f ca="1">IF(C188=1,'Reeksen (N)'!AI188*((F188+K188)/2)*12+'Reeksen (N)'!AD188*((L188+Q188)/2)*12,0)</f>
        <v>0</v>
      </c>
      <c r="AJ188" s="71">
        <f ca="1">-AI188*'Invoer gegevens (N)'!$F$28</f>
        <v>0</v>
      </c>
      <c r="AK188" s="71">
        <f t="shared" ca="1" si="43"/>
        <v>0</v>
      </c>
      <c r="AL188" s="71">
        <f ca="1">IF(C188=1,'Reeksen (N)'!AL188*((F188-G188+F188)/2)*12+'Reeksen (N)'!AM188*((L188-M188+L188)/2)*12,0)</f>
        <v>0</v>
      </c>
      <c r="AM188" s="71">
        <f ca="1">-AL188*'Invoer gegevens (N)'!$F$31</f>
        <v>0</v>
      </c>
      <c r="AN188" s="71">
        <f t="shared" ca="1" si="44"/>
        <v>0</v>
      </c>
      <c r="AO188" s="71">
        <f ca="1">IF(C188=1,(H188+J188+N188+P188)*'Reeksen (N)'!AN188,0)</f>
        <v>0</v>
      </c>
      <c r="AP188" s="71">
        <f ca="1">-IF(C188=1,(H188+J188+N188+P188)*'Hulp - basis'!$O$550*'Reeksen (N)'!H188,0)</f>
        <v>0</v>
      </c>
      <c r="AQ188" s="71">
        <f ca="1">-IF(C188=1,(F188+K188+L188+Q188)/2*'Invoer gegevens (N)'!$F$35*'Reeksen (N)'!J188,0)*2</f>
        <v>0</v>
      </c>
      <c r="AR188" s="71">
        <f ca="1">IF(BD188&lt;1,-IF(C188=1,(G188*'Invoer gegevens (N)'!$F$36)*'Reeksen (N)'!J188,0),0)</f>
        <v>0</v>
      </c>
      <c r="AS188" s="71">
        <f ca="1">-IF(C188=1,(F188+K188+L188+Q188)/2*'Invoer gegevens (N)'!$F$37*'Reeksen (N)'!L188,0)</f>
        <v>0</v>
      </c>
      <c r="AT188" s="71">
        <f ca="1">-IF(C188=1,IF(E188='Invoer gegevens (N)'!$C$17,'Invoer gegevens (N)'!$C$11,AD188)*'Reeksen (N)'!S188*'Invoer gegevens (N)'!$C$18*'Reeksen (N)'!P188,0)</f>
        <v>0</v>
      </c>
      <c r="AU188" s="71">
        <f ca="1">-IF(C188=1,(F188+K188+L188+Q188)/2*'Invoer gegevens (N)'!$F$38*'Reeksen (N)'!H188,0)</f>
        <v>0</v>
      </c>
      <c r="AV188" s="71">
        <v>0</v>
      </c>
      <c r="AW188" s="71">
        <f t="shared" ca="1" si="45"/>
        <v>0</v>
      </c>
      <c r="AX188" s="71">
        <f ca="1">IF(E188&lt;'Invoer gegevens (N)'!$C$17+15,0,IF(E188&gt;'Invoer gegevens (N)'!$C$17+215,0,AW188))</f>
        <v>0</v>
      </c>
      <c r="AY188" s="71">
        <f ca="1">AX188/(1+'Invoer gegevens (N)'!$F$18)^($AZ188-('Invoer gegevens (N)'!$C$17-'Invoer gegevens (N)'!$C$16))/(1+'Invoer gegevens (N)'!$C$39)^('Invoer gegevens (N)'!$C$17-'Invoer gegevens (N)'!$C$16)</f>
        <v>0</v>
      </c>
      <c r="AZ188" s="68">
        <f ca="1">IF(E188-'Invoer gegevens (N)'!$C$17-14.5&lt;0,0,E188-'Invoer gegevens (N)'!$C$17-14.5)</f>
        <v>168.5</v>
      </c>
      <c r="BA188" s="109">
        <f ca="1">IFERROR(VLOOKUP(E188-15,'Reeksen (N)'!$A$5:$D$234,2,FALSE),0)</f>
        <v>0</v>
      </c>
      <c r="BB188" s="109">
        <f ca="1">IFERROR(VLOOKUP(E188-15,'Reeksen (N)'!$A$5:$D$234,3,FALSE),0)</f>
        <v>0</v>
      </c>
      <c r="BC188" s="109">
        <f ca="1">IFERROR(VLOOKUP(E188-15,'Reeksen (N)'!$A$5:$D$234,4,FALSE),0)</f>
        <v>0</v>
      </c>
      <c r="BD188" s="67">
        <f ca="1">IF(E188-'Invoer gegevens (N)'!$C$17&lt;15,0,1)</f>
        <v>1</v>
      </c>
    </row>
    <row r="189" spans="1:56" x14ac:dyDescent="0.25">
      <c r="A189" s="59"/>
      <c r="B189" s="70">
        <f t="shared" si="46"/>
        <v>185</v>
      </c>
      <c r="C189" s="67">
        <f ca="1">IF(E189-'Invoer gegevens (N)'!$C$17&lt;0,0,1)</f>
        <v>1</v>
      </c>
      <c r="D189" s="68">
        <f t="shared" si="47"/>
        <v>184.5</v>
      </c>
      <c r="E189" s="108">
        <f ca="1">IF('Invoer gegevens (N)'!$C$16="","",E188+1)</f>
        <v>2203</v>
      </c>
      <c r="F189" s="84">
        <f ca="1">IF('Invoer gegevens (N)'!$C$17=E189,'Invoer gegevens (N)'!$C$10,IF(C189=1,K188,0))</f>
        <v>0</v>
      </c>
      <c r="G189" s="96">
        <f ca="1">IF(BD189&lt;1,F189*'Reeksen (N)'!C189,IF(C189&gt;=1,F189*BA189,0))</f>
        <v>0</v>
      </c>
      <c r="H189" s="84">
        <f ca="1">(1-('Invoer gegevens (N)'!$F$20/12))*F189*MIN(BA189,BC189)</f>
        <v>0</v>
      </c>
      <c r="I189" s="84">
        <f t="shared" ca="1" si="32"/>
        <v>0</v>
      </c>
      <c r="J189" s="84">
        <f ca="1">('Invoer gegevens (N)'!$F$20/12)*F188*MIN(BA189,BC189)</f>
        <v>0</v>
      </c>
      <c r="K189" s="97">
        <f t="shared" ca="1" si="37"/>
        <v>0</v>
      </c>
      <c r="L189" s="84">
        <f ca="1">IF('Invoer gegevens (N)'!$C$17=E189,0,IF(C189=1,Q188,0))</f>
        <v>0</v>
      </c>
      <c r="M189" s="96">
        <f t="shared" ca="1" si="33"/>
        <v>0</v>
      </c>
      <c r="N189" s="84">
        <f ca="1">(1-('Invoer gegevens (N)'!$F$20/12))*L189*MIN(BA189,BC189)</f>
        <v>0</v>
      </c>
      <c r="O189" s="84">
        <f t="shared" ca="1" si="34"/>
        <v>0</v>
      </c>
      <c r="P189" s="84">
        <f ca="1">('Invoer gegevens (N)'!$F$20/12)*L188*MIN(BA189,BC189)</f>
        <v>0</v>
      </c>
      <c r="Q189" s="84">
        <f t="shared" ca="1" si="38"/>
        <v>0</v>
      </c>
      <c r="R189" s="85">
        <f ca="1">IF('Invoer gegevens (N)'!$C$17=E189,'Invoer gegevens (N)'!$C$11,IF(C189=1,W188,0))</f>
        <v>0</v>
      </c>
      <c r="S189" s="86">
        <f t="shared" ca="1" si="35"/>
        <v>0</v>
      </c>
      <c r="T189" s="86">
        <f ca="1">(1-('Invoer gegevens (N)'!$F$20/12))*R189*MIN(BC189,BA189)</f>
        <v>0</v>
      </c>
      <c r="U189" s="86">
        <f ca="1">IF(BD189&lt;1,IF('Reeksen (N)'!AD189&lt;='Reeksen (N)'!AE189,R189*'Reeksen (N)'!C189,0),IF(BC189&gt;=BA189,0,IF('Reeksen (N)'!AD189&lt;='Reeksen (N)'!AE189,(BA189-BC189)*R189,0)))</f>
        <v>0</v>
      </c>
      <c r="V189" s="86">
        <f ca="1">IF(BD189&lt;1,IF('Reeksen (N)'!AD189&gt;'Reeksen (N)'!AE189,R189*'Reeksen (N)'!C189,0),IF(BC189&gt;=BA189,0,IF('Reeksen (N)'!AD189&gt;'Reeksen (N)'!AE189,(BA189-BC189)*R189,0)))</f>
        <v>0</v>
      </c>
      <c r="W189" s="218">
        <f t="shared" ca="1" si="39"/>
        <v>0</v>
      </c>
      <c r="X189" s="98">
        <f ca="1">IF('Invoer gegevens (N)'!$C$17=E189,'Invoer gegevens (N)'!$C$10-'Invoer gegevens (N)'!$C$11,IF(C189=1,AC188,0))</f>
        <v>0</v>
      </c>
      <c r="Y189" s="98">
        <f t="shared" ca="1" si="36"/>
        <v>0</v>
      </c>
      <c r="Z189" s="98">
        <f ca="1">(1-('Invoer gegevens (N)'!$F$20/12))*X189*MIN(BA189,BC189)</f>
        <v>0</v>
      </c>
      <c r="AA189" s="98">
        <f ca="1">IF(BD189&lt;1,IF('Reeksen (N)'!AD189&lt;='Reeksen (N)'!AE189,X189*'Reeksen (N)'!C189,0),IF(BC189&gt;=BA189,0,IF('Reeksen (N)'!AD189&lt;='Reeksen (N)'!AE189,(BA189-BC189)*X189,0)))</f>
        <v>0</v>
      </c>
      <c r="AB189" s="98">
        <f ca="1">IF(BD189&lt;1,IF('Reeksen (N)'!AD189&gt;'Reeksen (N)'!AE189,X189*'Reeksen (N)'!C189,0),IF(BC189&gt;=BA189,0,IF('Reeksen (N)'!AD189&gt;'Reeksen (N)'!AE189,(BA189-BC189)*X189,0)))</f>
        <v>0</v>
      </c>
      <c r="AC189" s="99">
        <f t="shared" ca="1" si="40"/>
        <v>0</v>
      </c>
      <c r="AD189" s="98">
        <f ca="1">IF('Invoer gegevens (N)'!$C$17=E189,R189,IF(C189=0,0,AE188))</f>
        <v>0</v>
      </c>
      <c r="AE189" s="98">
        <f t="shared" ca="1" si="41"/>
        <v>0</v>
      </c>
      <c r="AF189" s="98">
        <f ca="1">IF('Invoer gegevens (N)'!$C$17=E189,X189,IF(C189=0,0,AG188))</f>
        <v>0</v>
      </c>
      <c r="AG189" s="98">
        <f t="shared" ca="1" si="42"/>
        <v>0</v>
      </c>
      <c r="AH189" s="66"/>
      <c r="AI189" s="71">
        <f ca="1">IF(C189=1,'Reeksen (N)'!AI189*((F189+K189)/2)*12+'Reeksen (N)'!AD189*((L189+Q189)/2)*12,0)</f>
        <v>0</v>
      </c>
      <c r="AJ189" s="71">
        <f ca="1">-AI189*'Invoer gegevens (N)'!$F$28</f>
        <v>0</v>
      </c>
      <c r="AK189" s="71">
        <f t="shared" ca="1" si="43"/>
        <v>0</v>
      </c>
      <c r="AL189" s="71">
        <f ca="1">IF(C189=1,'Reeksen (N)'!AL189*((F189-G189+F189)/2)*12+'Reeksen (N)'!AM189*((L189-M189+L189)/2)*12,0)</f>
        <v>0</v>
      </c>
      <c r="AM189" s="71">
        <f ca="1">-AL189*'Invoer gegevens (N)'!$F$31</f>
        <v>0</v>
      </c>
      <c r="AN189" s="71">
        <f t="shared" ca="1" si="44"/>
        <v>0</v>
      </c>
      <c r="AO189" s="71">
        <f ca="1">IF(C189=1,(H189+J189+N189+P189)*'Reeksen (N)'!AN189,0)</f>
        <v>0</v>
      </c>
      <c r="AP189" s="71">
        <f ca="1">-IF(C189=1,(H189+J189+N189+P189)*'Hulp - basis'!$O$550*'Reeksen (N)'!H189,0)</f>
        <v>0</v>
      </c>
      <c r="AQ189" s="71">
        <f ca="1">-IF(C189=1,(F189+K189+L189+Q189)/2*'Invoer gegevens (N)'!$F$35*'Reeksen (N)'!J189,0)*2</f>
        <v>0</v>
      </c>
      <c r="AR189" s="71">
        <f ca="1">IF(BD189&lt;1,-IF(C189=1,(G189*'Invoer gegevens (N)'!$F$36)*'Reeksen (N)'!J189,0),0)</f>
        <v>0</v>
      </c>
      <c r="AS189" s="71">
        <f ca="1">-IF(C189=1,(F189+K189+L189+Q189)/2*'Invoer gegevens (N)'!$F$37*'Reeksen (N)'!L189,0)</f>
        <v>0</v>
      </c>
      <c r="AT189" s="71">
        <f ca="1">-IF(C189=1,IF(E189='Invoer gegevens (N)'!$C$17,'Invoer gegevens (N)'!$C$11,AD189)*'Reeksen (N)'!S189*'Invoer gegevens (N)'!$C$18*'Reeksen (N)'!P189,0)</f>
        <v>0</v>
      </c>
      <c r="AU189" s="71">
        <f ca="1">-IF(C189=1,(F189+K189+L189+Q189)/2*'Invoer gegevens (N)'!$F$38*'Reeksen (N)'!H189,0)</f>
        <v>0</v>
      </c>
      <c r="AV189" s="71">
        <v>0</v>
      </c>
      <c r="AW189" s="71">
        <f t="shared" ca="1" si="45"/>
        <v>0</v>
      </c>
      <c r="AX189" s="71">
        <f ca="1">IF(E189&lt;'Invoer gegevens (N)'!$C$17+15,0,IF(E189&gt;'Invoer gegevens (N)'!$C$17+215,0,AW189))</f>
        <v>0</v>
      </c>
      <c r="AY189" s="71">
        <f ca="1">AX189/(1+'Invoer gegevens (N)'!$F$18)^($AZ189-('Invoer gegevens (N)'!$C$17-'Invoer gegevens (N)'!$C$16))/(1+'Invoer gegevens (N)'!$C$39)^('Invoer gegevens (N)'!$C$17-'Invoer gegevens (N)'!$C$16)</f>
        <v>0</v>
      </c>
      <c r="AZ189" s="68">
        <f ca="1">IF(E189-'Invoer gegevens (N)'!$C$17-14.5&lt;0,0,E189-'Invoer gegevens (N)'!$C$17-14.5)</f>
        <v>169.5</v>
      </c>
      <c r="BA189" s="109">
        <f ca="1">IFERROR(VLOOKUP(E189-15,'Reeksen (N)'!$A$5:$D$234,2,FALSE),0)</f>
        <v>0</v>
      </c>
      <c r="BB189" s="109">
        <f ca="1">IFERROR(VLOOKUP(E189-15,'Reeksen (N)'!$A$5:$D$234,3,FALSE),0)</f>
        <v>0</v>
      </c>
      <c r="BC189" s="109">
        <f ca="1">IFERROR(VLOOKUP(E189-15,'Reeksen (N)'!$A$5:$D$234,4,FALSE),0)</f>
        <v>0</v>
      </c>
      <c r="BD189" s="67">
        <f ca="1">IF(E189-'Invoer gegevens (N)'!$C$17&lt;15,0,1)</f>
        <v>1</v>
      </c>
    </row>
    <row r="190" spans="1:56" x14ac:dyDescent="0.25">
      <c r="A190" s="59"/>
      <c r="B190" s="70">
        <f t="shared" si="46"/>
        <v>186</v>
      </c>
      <c r="C190" s="67">
        <f ca="1">IF(E190-'Invoer gegevens (N)'!$C$17&lt;0,0,1)</f>
        <v>1</v>
      </c>
      <c r="D190" s="68">
        <f t="shared" si="47"/>
        <v>185.5</v>
      </c>
      <c r="E190" s="108">
        <f ca="1">IF('Invoer gegevens (N)'!$C$16="","",E189+1)</f>
        <v>2204</v>
      </c>
      <c r="F190" s="84">
        <f ca="1">IF('Invoer gegevens (N)'!$C$17=E190,'Invoer gegevens (N)'!$C$10,IF(C190=1,K189,0))</f>
        <v>0</v>
      </c>
      <c r="G190" s="96">
        <f ca="1">IF(BD190&lt;1,F190*'Reeksen (N)'!C190,IF(C190&gt;=1,F190*BA190,0))</f>
        <v>0</v>
      </c>
      <c r="H190" s="84">
        <f ca="1">(1-('Invoer gegevens (N)'!$F$20/12))*F190*MIN(BA190,BC190)</f>
        <v>0</v>
      </c>
      <c r="I190" s="84">
        <f t="shared" ca="1" si="32"/>
        <v>0</v>
      </c>
      <c r="J190" s="84">
        <f ca="1">('Invoer gegevens (N)'!$F$20/12)*F189*MIN(BA190,BC190)</f>
        <v>0</v>
      </c>
      <c r="K190" s="97">
        <f t="shared" ca="1" si="37"/>
        <v>0</v>
      </c>
      <c r="L190" s="84">
        <f ca="1">IF('Invoer gegevens (N)'!$C$17=E190,0,IF(C190=1,Q189,0))</f>
        <v>0</v>
      </c>
      <c r="M190" s="96">
        <f t="shared" ca="1" si="33"/>
        <v>0</v>
      </c>
      <c r="N190" s="84">
        <f ca="1">(1-('Invoer gegevens (N)'!$F$20/12))*L190*MIN(BA190,BC190)</f>
        <v>0</v>
      </c>
      <c r="O190" s="84">
        <f t="shared" ca="1" si="34"/>
        <v>0</v>
      </c>
      <c r="P190" s="84">
        <f ca="1">('Invoer gegevens (N)'!$F$20/12)*L189*MIN(BA190,BC190)</f>
        <v>0</v>
      </c>
      <c r="Q190" s="84">
        <f t="shared" ca="1" si="38"/>
        <v>0</v>
      </c>
      <c r="R190" s="85">
        <f ca="1">IF('Invoer gegevens (N)'!$C$17=E190,'Invoer gegevens (N)'!$C$11,IF(C190=1,W189,0))</f>
        <v>0</v>
      </c>
      <c r="S190" s="86">
        <f t="shared" ca="1" si="35"/>
        <v>0</v>
      </c>
      <c r="T190" s="86">
        <f ca="1">(1-('Invoer gegevens (N)'!$F$20/12))*R190*MIN(BC190,BA190)</f>
        <v>0</v>
      </c>
      <c r="U190" s="86">
        <f ca="1">IF(BD190&lt;1,IF('Reeksen (N)'!AD190&lt;='Reeksen (N)'!AE190,R190*'Reeksen (N)'!C190,0),IF(BC190&gt;=BA190,0,IF('Reeksen (N)'!AD190&lt;='Reeksen (N)'!AE190,(BA190-BC190)*R190,0)))</f>
        <v>0</v>
      </c>
      <c r="V190" s="86">
        <f ca="1">IF(BD190&lt;1,IF('Reeksen (N)'!AD190&gt;'Reeksen (N)'!AE190,R190*'Reeksen (N)'!C190,0),IF(BC190&gt;=BA190,0,IF('Reeksen (N)'!AD190&gt;'Reeksen (N)'!AE190,(BA190-BC190)*R190,0)))</f>
        <v>0</v>
      </c>
      <c r="W190" s="218">
        <f t="shared" ca="1" si="39"/>
        <v>0</v>
      </c>
      <c r="X190" s="98">
        <f ca="1">IF('Invoer gegevens (N)'!$C$17=E190,'Invoer gegevens (N)'!$C$10-'Invoer gegevens (N)'!$C$11,IF(C190=1,AC189,0))</f>
        <v>0</v>
      </c>
      <c r="Y190" s="98">
        <f t="shared" ca="1" si="36"/>
        <v>0</v>
      </c>
      <c r="Z190" s="98">
        <f ca="1">(1-('Invoer gegevens (N)'!$F$20/12))*X190*MIN(BA190,BC190)</f>
        <v>0</v>
      </c>
      <c r="AA190" s="98">
        <f ca="1">IF(BD190&lt;1,IF('Reeksen (N)'!AD190&lt;='Reeksen (N)'!AE190,X190*'Reeksen (N)'!C190,0),IF(BC190&gt;=BA190,0,IF('Reeksen (N)'!AD190&lt;='Reeksen (N)'!AE190,(BA190-BC190)*X190,0)))</f>
        <v>0</v>
      </c>
      <c r="AB190" s="98">
        <f ca="1">IF(BD190&lt;1,IF('Reeksen (N)'!AD190&gt;'Reeksen (N)'!AE190,X190*'Reeksen (N)'!C190,0),IF(BC190&gt;=BA190,0,IF('Reeksen (N)'!AD190&gt;'Reeksen (N)'!AE190,(BA190-BC190)*X190,0)))</f>
        <v>0</v>
      </c>
      <c r="AC190" s="99">
        <f t="shared" ca="1" si="40"/>
        <v>0</v>
      </c>
      <c r="AD190" s="98">
        <f ca="1">IF('Invoer gegevens (N)'!$C$17=E190,R190,IF(C190=0,0,AE189))</f>
        <v>0</v>
      </c>
      <c r="AE190" s="98">
        <f t="shared" ca="1" si="41"/>
        <v>0</v>
      </c>
      <c r="AF190" s="98">
        <f ca="1">IF('Invoer gegevens (N)'!$C$17=E190,X190,IF(C190=0,0,AG189))</f>
        <v>0</v>
      </c>
      <c r="AG190" s="98">
        <f t="shared" ca="1" si="42"/>
        <v>0</v>
      </c>
      <c r="AH190" s="66"/>
      <c r="AI190" s="71">
        <f ca="1">IF(C190=1,'Reeksen (N)'!AI190*((F190+K190)/2)*12+'Reeksen (N)'!AD190*((L190+Q190)/2)*12,0)</f>
        <v>0</v>
      </c>
      <c r="AJ190" s="71">
        <f ca="1">-AI190*'Invoer gegevens (N)'!$F$28</f>
        <v>0</v>
      </c>
      <c r="AK190" s="71">
        <f t="shared" ca="1" si="43"/>
        <v>0</v>
      </c>
      <c r="AL190" s="71">
        <f ca="1">IF(C190=1,'Reeksen (N)'!AL190*((F190-G190+F190)/2)*12+'Reeksen (N)'!AM190*((L190-M190+L190)/2)*12,0)</f>
        <v>0</v>
      </c>
      <c r="AM190" s="71">
        <f ca="1">-AL190*'Invoer gegevens (N)'!$F$31</f>
        <v>0</v>
      </c>
      <c r="AN190" s="71">
        <f t="shared" ca="1" si="44"/>
        <v>0</v>
      </c>
      <c r="AO190" s="71">
        <f ca="1">IF(C190=1,(H190+J190+N190+P190)*'Reeksen (N)'!AN190,0)</f>
        <v>0</v>
      </c>
      <c r="AP190" s="71">
        <f ca="1">-IF(C190=1,(H190+J190+N190+P190)*'Hulp - basis'!$O$550*'Reeksen (N)'!H190,0)</f>
        <v>0</v>
      </c>
      <c r="AQ190" s="71">
        <f ca="1">-IF(C190=1,(F190+K190+L190+Q190)/2*'Invoer gegevens (N)'!$F$35*'Reeksen (N)'!J190,0)*2</f>
        <v>0</v>
      </c>
      <c r="AR190" s="71">
        <f ca="1">IF(BD190&lt;1,-IF(C190=1,(G190*'Invoer gegevens (N)'!$F$36)*'Reeksen (N)'!J190,0),0)</f>
        <v>0</v>
      </c>
      <c r="AS190" s="71">
        <f ca="1">-IF(C190=1,(F190+K190+L190+Q190)/2*'Invoer gegevens (N)'!$F$37*'Reeksen (N)'!L190,0)</f>
        <v>0</v>
      </c>
      <c r="AT190" s="71">
        <f ca="1">-IF(C190=1,IF(E190='Invoer gegevens (N)'!$C$17,'Invoer gegevens (N)'!$C$11,AD190)*'Reeksen (N)'!S190*'Invoer gegevens (N)'!$C$18*'Reeksen (N)'!P190,0)</f>
        <v>0</v>
      </c>
      <c r="AU190" s="71">
        <f ca="1">-IF(C190=1,(F190+K190+L190+Q190)/2*'Invoer gegevens (N)'!$F$38*'Reeksen (N)'!H190,0)</f>
        <v>0</v>
      </c>
      <c r="AV190" s="71">
        <v>0</v>
      </c>
      <c r="AW190" s="71">
        <f t="shared" ca="1" si="45"/>
        <v>0</v>
      </c>
      <c r="AX190" s="71">
        <f ca="1">IF(E190&lt;'Invoer gegevens (N)'!$C$17+15,0,IF(E190&gt;'Invoer gegevens (N)'!$C$17+215,0,AW190))</f>
        <v>0</v>
      </c>
      <c r="AY190" s="71">
        <f ca="1">AX190/(1+'Invoer gegevens (N)'!$F$18)^($AZ190-('Invoer gegevens (N)'!$C$17-'Invoer gegevens (N)'!$C$16))/(1+'Invoer gegevens (N)'!$C$39)^('Invoer gegevens (N)'!$C$17-'Invoer gegevens (N)'!$C$16)</f>
        <v>0</v>
      </c>
      <c r="AZ190" s="68">
        <f ca="1">IF(E190-'Invoer gegevens (N)'!$C$17-14.5&lt;0,0,E190-'Invoer gegevens (N)'!$C$17-14.5)</f>
        <v>170.5</v>
      </c>
      <c r="BA190" s="109">
        <f ca="1">IFERROR(VLOOKUP(E190-15,'Reeksen (N)'!$A$5:$D$234,2,FALSE),0)</f>
        <v>0</v>
      </c>
      <c r="BB190" s="109">
        <f ca="1">IFERROR(VLOOKUP(E190-15,'Reeksen (N)'!$A$5:$D$234,3,FALSE),0)</f>
        <v>0</v>
      </c>
      <c r="BC190" s="109">
        <f ca="1">IFERROR(VLOOKUP(E190-15,'Reeksen (N)'!$A$5:$D$234,4,FALSE),0)</f>
        <v>0</v>
      </c>
      <c r="BD190" s="67">
        <f ca="1">IF(E190-'Invoer gegevens (N)'!$C$17&lt;15,0,1)</f>
        <v>1</v>
      </c>
    </row>
    <row r="191" spans="1:56" x14ac:dyDescent="0.25">
      <c r="A191" s="59"/>
      <c r="B191" s="70">
        <f t="shared" si="46"/>
        <v>187</v>
      </c>
      <c r="C191" s="67">
        <f ca="1">IF(E191-'Invoer gegevens (N)'!$C$17&lt;0,0,1)</f>
        <v>1</v>
      </c>
      <c r="D191" s="68">
        <f t="shared" si="47"/>
        <v>186.5</v>
      </c>
      <c r="E191" s="108">
        <f ca="1">IF('Invoer gegevens (N)'!$C$16="","",E190+1)</f>
        <v>2205</v>
      </c>
      <c r="F191" s="84">
        <f ca="1">IF('Invoer gegevens (N)'!$C$17=E191,'Invoer gegevens (N)'!$C$10,IF(C191=1,K190,0))</f>
        <v>0</v>
      </c>
      <c r="G191" s="96">
        <f ca="1">IF(BD191&lt;1,F191*'Reeksen (N)'!C191,IF(C191&gt;=1,F191*BA191,0))</f>
        <v>0</v>
      </c>
      <c r="H191" s="84">
        <f ca="1">(1-('Invoer gegevens (N)'!$F$20/12))*F191*MIN(BA191,BC191)</f>
        <v>0</v>
      </c>
      <c r="I191" s="84">
        <f t="shared" ca="1" si="32"/>
        <v>0</v>
      </c>
      <c r="J191" s="84">
        <f ca="1">('Invoer gegevens (N)'!$F$20/12)*F190*MIN(BA191,BC191)</f>
        <v>0</v>
      </c>
      <c r="K191" s="97">
        <f t="shared" ca="1" si="37"/>
        <v>0</v>
      </c>
      <c r="L191" s="84">
        <f ca="1">IF('Invoer gegevens (N)'!$C$17=E191,0,IF(C191=1,Q190,0))</f>
        <v>0</v>
      </c>
      <c r="M191" s="96">
        <f t="shared" ca="1" si="33"/>
        <v>0</v>
      </c>
      <c r="N191" s="84">
        <f ca="1">(1-('Invoer gegevens (N)'!$F$20/12))*L191*MIN(BA191,BC191)</f>
        <v>0</v>
      </c>
      <c r="O191" s="84">
        <f t="shared" ca="1" si="34"/>
        <v>0</v>
      </c>
      <c r="P191" s="84">
        <f ca="1">('Invoer gegevens (N)'!$F$20/12)*L190*MIN(BA191,BC191)</f>
        <v>0</v>
      </c>
      <c r="Q191" s="84">
        <f t="shared" ca="1" si="38"/>
        <v>0</v>
      </c>
      <c r="R191" s="85">
        <f ca="1">IF('Invoer gegevens (N)'!$C$17=E191,'Invoer gegevens (N)'!$C$11,IF(C191=1,W190,0))</f>
        <v>0</v>
      </c>
      <c r="S191" s="86">
        <f t="shared" ca="1" si="35"/>
        <v>0</v>
      </c>
      <c r="T191" s="86">
        <f ca="1">(1-('Invoer gegevens (N)'!$F$20/12))*R191*MIN(BC191,BA191)</f>
        <v>0</v>
      </c>
      <c r="U191" s="86">
        <f ca="1">IF(BD191&lt;1,IF('Reeksen (N)'!AD191&lt;='Reeksen (N)'!AE191,R191*'Reeksen (N)'!C191,0),IF(BC191&gt;=BA191,0,IF('Reeksen (N)'!AD191&lt;='Reeksen (N)'!AE191,(BA191-BC191)*R191,0)))</f>
        <v>0</v>
      </c>
      <c r="V191" s="86">
        <f ca="1">IF(BD191&lt;1,IF('Reeksen (N)'!AD191&gt;'Reeksen (N)'!AE191,R191*'Reeksen (N)'!C191,0),IF(BC191&gt;=BA191,0,IF('Reeksen (N)'!AD191&gt;'Reeksen (N)'!AE191,(BA191-BC191)*R191,0)))</f>
        <v>0</v>
      </c>
      <c r="W191" s="218">
        <f t="shared" ca="1" si="39"/>
        <v>0</v>
      </c>
      <c r="X191" s="98">
        <f ca="1">IF('Invoer gegevens (N)'!$C$17=E191,'Invoer gegevens (N)'!$C$10-'Invoer gegevens (N)'!$C$11,IF(C191=1,AC190,0))</f>
        <v>0</v>
      </c>
      <c r="Y191" s="98">
        <f t="shared" ca="1" si="36"/>
        <v>0</v>
      </c>
      <c r="Z191" s="98">
        <f ca="1">(1-('Invoer gegevens (N)'!$F$20/12))*X191*MIN(BA191,BC191)</f>
        <v>0</v>
      </c>
      <c r="AA191" s="98">
        <f ca="1">IF(BD191&lt;1,IF('Reeksen (N)'!AD191&lt;='Reeksen (N)'!AE191,X191*'Reeksen (N)'!C191,0),IF(BC191&gt;=BA191,0,IF('Reeksen (N)'!AD191&lt;='Reeksen (N)'!AE191,(BA191-BC191)*X191,0)))</f>
        <v>0</v>
      </c>
      <c r="AB191" s="98">
        <f ca="1">IF(BD191&lt;1,IF('Reeksen (N)'!AD191&gt;'Reeksen (N)'!AE191,X191*'Reeksen (N)'!C191,0),IF(BC191&gt;=BA191,0,IF('Reeksen (N)'!AD191&gt;'Reeksen (N)'!AE191,(BA191-BC191)*X191,0)))</f>
        <v>0</v>
      </c>
      <c r="AC191" s="99">
        <f t="shared" ca="1" si="40"/>
        <v>0</v>
      </c>
      <c r="AD191" s="98">
        <f ca="1">IF('Invoer gegevens (N)'!$C$17=E191,R191,IF(C191=0,0,AE190))</f>
        <v>0</v>
      </c>
      <c r="AE191" s="98">
        <f t="shared" ca="1" si="41"/>
        <v>0</v>
      </c>
      <c r="AF191" s="98">
        <f ca="1">IF('Invoer gegevens (N)'!$C$17=E191,X191,IF(C191=0,0,AG190))</f>
        <v>0</v>
      </c>
      <c r="AG191" s="98">
        <f t="shared" ca="1" si="42"/>
        <v>0</v>
      </c>
      <c r="AH191" s="66"/>
      <c r="AI191" s="71">
        <f ca="1">IF(C191=1,'Reeksen (N)'!AI191*((F191+K191)/2)*12+'Reeksen (N)'!AD191*((L191+Q191)/2)*12,0)</f>
        <v>0</v>
      </c>
      <c r="AJ191" s="71">
        <f ca="1">-AI191*'Invoer gegevens (N)'!$F$28</f>
        <v>0</v>
      </c>
      <c r="AK191" s="71">
        <f t="shared" ca="1" si="43"/>
        <v>0</v>
      </c>
      <c r="AL191" s="71">
        <f ca="1">IF(C191=1,'Reeksen (N)'!AL191*((F191-G191+F191)/2)*12+'Reeksen (N)'!AM191*((L191-M191+L191)/2)*12,0)</f>
        <v>0</v>
      </c>
      <c r="AM191" s="71">
        <f ca="1">-AL191*'Invoer gegevens (N)'!$F$31</f>
        <v>0</v>
      </c>
      <c r="AN191" s="71">
        <f t="shared" ca="1" si="44"/>
        <v>0</v>
      </c>
      <c r="AO191" s="71">
        <f ca="1">IF(C191=1,(H191+J191+N191+P191)*'Reeksen (N)'!AN191,0)</f>
        <v>0</v>
      </c>
      <c r="AP191" s="71">
        <f ca="1">-IF(C191=1,(H191+J191+N191+P191)*'Hulp - basis'!$O$550*'Reeksen (N)'!H191,0)</f>
        <v>0</v>
      </c>
      <c r="AQ191" s="71">
        <f ca="1">-IF(C191=1,(F191+K191+L191+Q191)/2*'Invoer gegevens (N)'!$F$35*'Reeksen (N)'!J191,0)*2</f>
        <v>0</v>
      </c>
      <c r="AR191" s="71">
        <f ca="1">IF(BD191&lt;1,-IF(C191=1,(G191*'Invoer gegevens (N)'!$F$36)*'Reeksen (N)'!J191,0),0)</f>
        <v>0</v>
      </c>
      <c r="AS191" s="71">
        <f ca="1">-IF(C191=1,(F191+K191+L191+Q191)/2*'Invoer gegevens (N)'!$F$37*'Reeksen (N)'!L191,0)</f>
        <v>0</v>
      </c>
      <c r="AT191" s="71">
        <f ca="1">-IF(C191=1,IF(E191='Invoer gegevens (N)'!$C$17,'Invoer gegevens (N)'!$C$11,AD191)*'Reeksen (N)'!S191*'Invoer gegevens (N)'!$C$18*'Reeksen (N)'!P191,0)</f>
        <v>0</v>
      </c>
      <c r="AU191" s="71">
        <f ca="1">-IF(C191=1,(F191+K191+L191+Q191)/2*'Invoer gegevens (N)'!$F$38*'Reeksen (N)'!H191,0)</f>
        <v>0</v>
      </c>
      <c r="AV191" s="71">
        <v>0</v>
      </c>
      <c r="AW191" s="71">
        <f t="shared" ca="1" si="45"/>
        <v>0</v>
      </c>
      <c r="AX191" s="71">
        <f ca="1">IF(E191&lt;'Invoer gegevens (N)'!$C$17+15,0,IF(E191&gt;'Invoer gegevens (N)'!$C$17+215,0,AW191))</f>
        <v>0</v>
      </c>
      <c r="AY191" s="71">
        <f ca="1">AX191/(1+'Invoer gegevens (N)'!$F$18)^($AZ191-('Invoer gegevens (N)'!$C$17-'Invoer gegevens (N)'!$C$16))/(1+'Invoer gegevens (N)'!$C$39)^('Invoer gegevens (N)'!$C$17-'Invoer gegevens (N)'!$C$16)</f>
        <v>0</v>
      </c>
      <c r="AZ191" s="68">
        <f ca="1">IF(E191-'Invoer gegevens (N)'!$C$17-14.5&lt;0,0,E191-'Invoer gegevens (N)'!$C$17-14.5)</f>
        <v>171.5</v>
      </c>
      <c r="BA191" s="109">
        <f ca="1">IFERROR(VLOOKUP(E191-15,'Reeksen (N)'!$A$5:$D$234,2,FALSE),0)</f>
        <v>0</v>
      </c>
      <c r="BB191" s="109">
        <f ca="1">IFERROR(VLOOKUP(E191-15,'Reeksen (N)'!$A$5:$D$234,3,FALSE),0)</f>
        <v>0</v>
      </c>
      <c r="BC191" s="109">
        <f ca="1">IFERROR(VLOOKUP(E191-15,'Reeksen (N)'!$A$5:$D$234,4,FALSE),0)</f>
        <v>0</v>
      </c>
      <c r="BD191" s="67">
        <f ca="1">IF(E191-'Invoer gegevens (N)'!$C$17&lt;15,0,1)</f>
        <v>1</v>
      </c>
    </row>
    <row r="192" spans="1:56" x14ac:dyDescent="0.25">
      <c r="A192" s="59"/>
      <c r="B192" s="70">
        <f t="shared" si="46"/>
        <v>188</v>
      </c>
      <c r="C192" s="67">
        <f ca="1">IF(E192-'Invoer gegevens (N)'!$C$17&lt;0,0,1)</f>
        <v>1</v>
      </c>
      <c r="D192" s="68">
        <f t="shared" si="47"/>
        <v>187.5</v>
      </c>
      <c r="E192" s="108">
        <f ca="1">IF('Invoer gegevens (N)'!$C$16="","",E191+1)</f>
        <v>2206</v>
      </c>
      <c r="F192" s="84">
        <f ca="1">IF('Invoer gegevens (N)'!$C$17=E192,'Invoer gegevens (N)'!$C$10,IF(C192=1,K191,0))</f>
        <v>0</v>
      </c>
      <c r="G192" s="96">
        <f ca="1">IF(BD192&lt;1,F192*'Reeksen (N)'!C192,IF(C192&gt;=1,F192*BA192,0))</f>
        <v>0</v>
      </c>
      <c r="H192" s="84">
        <f ca="1">(1-('Invoer gegevens (N)'!$F$20/12))*F192*MIN(BA192,BC192)</f>
        <v>0</v>
      </c>
      <c r="I192" s="84">
        <f t="shared" ca="1" si="32"/>
        <v>0</v>
      </c>
      <c r="J192" s="84">
        <f ca="1">('Invoer gegevens (N)'!$F$20/12)*F191*MIN(BA192,BC192)</f>
        <v>0</v>
      </c>
      <c r="K192" s="97">
        <f t="shared" ca="1" si="37"/>
        <v>0</v>
      </c>
      <c r="L192" s="84">
        <f ca="1">IF('Invoer gegevens (N)'!$C$17=E192,0,IF(C192=1,Q191,0))</f>
        <v>0</v>
      </c>
      <c r="M192" s="96">
        <f t="shared" ca="1" si="33"/>
        <v>0</v>
      </c>
      <c r="N192" s="84">
        <f ca="1">(1-('Invoer gegevens (N)'!$F$20/12))*L192*MIN(BA192,BC192)</f>
        <v>0</v>
      </c>
      <c r="O192" s="84">
        <f t="shared" ca="1" si="34"/>
        <v>0</v>
      </c>
      <c r="P192" s="84">
        <f ca="1">('Invoer gegevens (N)'!$F$20/12)*L191*MIN(BA192,BC192)</f>
        <v>0</v>
      </c>
      <c r="Q192" s="84">
        <f t="shared" ca="1" si="38"/>
        <v>0</v>
      </c>
      <c r="R192" s="85">
        <f ca="1">IF('Invoer gegevens (N)'!$C$17=E192,'Invoer gegevens (N)'!$C$11,IF(C192=1,W191,0))</f>
        <v>0</v>
      </c>
      <c r="S192" s="86">
        <f t="shared" ca="1" si="35"/>
        <v>0</v>
      </c>
      <c r="T192" s="86">
        <f ca="1">(1-('Invoer gegevens (N)'!$F$20/12))*R192*MIN(BC192,BA192)</f>
        <v>0</v>
      </c>
      <c r="U192" s="86">
        <f ca="1">IF(BD192&lt;1,IF('Reeksen (N)'!AD192&lt;='Reeksen (N)'!AE192,R192*'Reeksen (N)'!C192,0),IF(BC192&gt;=BA192,0,IF('Reeksen (N)'!AD192&lt;='Reeksen (N)'!AE192,(BA192-BC192)*R192,0)))</f>
        <v>0</v>
      </c>
      <c r="V192" s="86">
        <f ca="1">IF(BD192&lt;1,IF('Reeksen (N)'!AD192&gt;'Reeksen (N)'!AE192,R192*'Reeksen (N)'!C192,0),IF(BC192&gt;=BA192,0,IF('Reeksen (N)'!AD192&gt;'Reeksen (N)'!AE192,(BA192-BC192)*R192,0)))</f>
        <v>0</v>
      </c>
      <c r="W192" s="218">
        <f t="shared" ca="1" si="39"/>
        <v>0</v>
      </c>
      <c r="X192" s="98">
        <f ca="1">IF('Invoer gegevens (N)'!$C$17=E192,'Invoer gegevens (N)'!$C$10-'Invoer gegevens (N)'!$C$11,IF(C192=1,AC191,0))</f>
        <v>0</v>
      </c>
      <c r="Y192" s="98">
        <f t="shared" ca="1" si="36"/>
        <v>0</v>
      </c>
      <c r="Z192" s="98">
        <f ca="1">(1-('Invoer gegevens (N)'!$F$20/12))*X192*MIN(BA192,BC192)</f>
        <v>0</v>
      </c>
      <c r="AA192" s="98">
        <f ca="1">IF(BD192&lt;1,IF('Reeksen (N)'!AD192&lt;='Reeksen (N)'!AE192,X192*'Reeksen (N)'!C192,0),IF(BC192&gt;=BA192,0,IF('Reeksen (N)'!AD192&lt;='Reeksen (N)'!AE192,(BA192-BC192)*X192,0)))</f>
        <v>0</v>
      </c>
      <c r="AB192" s="98">
        <f ca="1">IF(BD192&lt;1,IF('Reeksen (N)'!AD192&gt;'Reeksen (N)'!AE192,X192*'Reeksen (N)'!C192,0),IF(BC192&gt;=BA192,0,IF('Reeksen (N)'!AD192&gt;'Reeksen (N)'!AE192,(BA192-BC192)*X192,0)))</f>
        <v>0</v>
      </c>
      <c r="AC192" s="99">
        <f t="shared" ca="1" si="40"/>
        <v>0</v>
      </c>
      <c r="AD192" s="98">
        <f ca="1">IF('Invoer gegevens (N)'!$C$17=E192,R192,IF(C192=0,0,AE191))</f>
        <v>0</v>
      </c>
      <c r="AE192" s="98">
        <f t="shared" ca="1" si="41"/>
        <v>0</v>
      </c>
      <c r="AF192" s="98">
        <f ca="1">IF('Invoer gegevens (N)'!$C$17=E192,X192,IF(C192=0,0,AG191))</f>
        <v>0</v>
      </c>
      <c r="AG192" s="98">
        <f t="shared" ca="1" si="42"/>
        <v>0</v>
      </c>
      <c r="AH192" s="66"/>
      <c r="AI192" s="71">
        <f ca="1">IF(C192=1,'Reeksen (N)'!AI192*((F192+K192)/2)*12+'Reeksen (N)'!AD192*((L192+Q192)/2)*12,0)</f>
        <v>0</v>
      </c>
      <c r="AJ192" s="71">
        <f ca="1">-AI192*'Invoer gegevens (N)'!$F$28</f>
        <v>0</v>
      </c>
      <c r="AK192" s="71">
        <f t="shared" ca="1" si="43"/>
        <v>0</v>
      </c>
      <c r="AL192" s="71">
        <f ca="1">IF(C192=1,'Reeksen (N)'!AL192*((F192-G192+F192)/2)*12+'Reeksen (N)'!AM192*((L192-M192+L192)/2)*12,0)</f>
        <v>0</v>
      </c>
      <c r="AM192" s="71">
        <f ca="1">-AL192*'Invoer gegevens (N)'!$F$31</f>
        <v>0</v>
      </c>
      <c r="AN192" s="71">
        <f t="shared" ca="1" si="44"/>
        <v>0</v>
      </c>
      <c r="AO192" s="71">
        <f ca="1">IF(C192=1,(H192+J192+N192+P192)*'Reeksen (N)'!AN192,0)</f>
        <v>0</v>
      </c>
      <c r="AP192" s="71">
        <f ca="1">-IF(C192=1,(H192+J192+N192+P192)*'Hulp - basis'!$O$550*'Reeksen (N)'!H192,0)</f>
        <v>0</v>
      </c>
      <c r="AQ192" s="71">
        <f ca="1">-IF(C192=1,(F192+K192+L192+Q192)/2*'Invoer gegevens (N)'!$F$35*'Reeksen (N)'!J192,0)*2</f>
        <v>0</v>
      </c>
      <c r="AR192" s="71">
        <f ca="1">IF(BD192&lt;1,-IF(C192=1,(G192*'Invoer gegevens (N)'!$F$36)*'Reeksen (N)'!J192,0),0)</f>
        <v>0</v>
      </c>
      <c r="AS192" s="71">
        <f ca="1">-IF(C192=1,(F192+K192+L192+Q192)/2*'Invoer gegevens (N)'!$F$37*'Reeksen (N)'!L192,0)</f>
        <v>0</v>
      </c>
      <c r="AT192" s="71">
        <f ca="1">-IF(C192=1,IF(E192='Invoer gegevens (N)'!$C$17,'Invoer gegevens (N)'!$C$11,AD192)*'Reeksen (N)'!S192*'Invoer gegevens (N)'!$C$18*'Reeksen (N)'!P192,0)</f>
        <v>0</v>
      </c>
      <c r="AU192" s="71">
        <f ca="1">-IF(C192=1,(F192+K192+L192+Q192)/2*'Invoer gegevens (N)'!$F$38*'Reeksen (N)'!H192,0)</f>
        <v>0</v>
      </c>
      <c r="AV192" s="71">
        <v>0</v>
      </c>
      <c r="AW192" s="71">
        <f t="shared" ca="1" si="45"/>
        <v>0</v>
      </c>
      <c r="AX192" s="71">
        <f ca="1">IF(E192&lt;'Invoer gegevens (N)'!$C$17+15,0,IF(E192&gt;'Invoer gegevens (N)'!$C$17+215,0,AW192))</f>
        <v>0</v>
      </c>
      <c r="AY192" s="71">
        <f ca="1">AX192/(1+'Invoer gegevens (N)'!$F$18)^($AZ192-('Invoer gegevens (N)'!$C$17-'Invoer gegevens (N)'!$C$16))/(1+'Invoer gegevens (N)'!$C$39)^('Invoer gegevens (N)'!$C$17-'Invoer gegevens (N)'!$C$16)</f>
        <v>0</v>
      </c>
      <c r="AZ192" s="68">
        <f ca="1">IF(E192-'Invoer gegevens (N)'!$C$17-14.5&lt;0,0,E192-'Invoer gegevens (N)'!$C$17-14.5)</f>
        <v>172.5</v>
      </c>
      <c r="BA192" s="109">
        <f ca="1">IFERROR(VLOOKUP(E192-15,'Reeksen (N)'!$A$5:$D$234,2,FALSE),0)</f>
        <v>0</v>
      </c>
      <c r="BB192" s="109">
        <f ca="1">IFERROR(VLOOKUP(E192-15,'Reeksen (N)'!$A$5:$D$234,3,FALSE),0)</f>
        <v>0</v>
      </c>
      <c r="BC192" s="109">
        <f ca="1">IFERROR(VLOOKUP(E192-15,'Reeksen (N)'!$A$5:$D$234,4,FALSE),0)</f>
        <v>0</v>
      </c>
      <c r="BD192" s="67">
        <f ca="1">IF(E192-'Invoer gegevens (N)'!$C$17&lt;15,0,1)</f>
        <v>1</v>
      </c>
    </row>
    <row r="193" spans="1:56" x14ac:dyDescent="0.25">
      <c r="A193" s="59"/>
      <c r="B193" s="70">
        <f t="shared" si="46"/>
        <v>189</v>
      </c>
      <c r="C193" s="67">
        <f ca="1">IF(E193-'Invoer gegevens (N)'!$C$17&lt;0,0,1)</f>
        <v>1</v>
      </c>
      <c r="D193" s="68">
        <f t="shared" si="47"/>
        <v>188.5</v>
      </c>
      <c r="E193" s="108">
        <f ca="1">IF('Invoer gegevens (N)'!$C$16="","",E192+1)</f>
        <v>2207</v>
      </c>
      <c r="F193" s="84">
        <f ca="1">IF('Invoer gegevens (N)'!$C$17=E193,'Invoer gegevens (N)'!$C$10,IF(C193=1,K192,0))</f>
        <v>0</v>
      </c>
      <c r="G193" s="96">
        <f ca="1">IF(BD193&lt;1,F193*'Reeksen (N)'!C193,IF(C193&gt;=1,F193*BA193,0))</f>
        <v>0</v>
      </c>
      <c r="H193" s="84">
        <f ca="1">(1-('Invoer gegevens (N)'!$F$20/12))*F193*MIN(BA193,BC193)</f>
        <v>0</v>
      </c>
      <c r="I193" s="84">
        <f t="shared" ca="1" si="32"/>
        <v>0</v>
      </c>
      <c r="J193" s="84">
        <f ca="1">('Invoer gegevens (N)'!$F$20/12)*F192*MIN(BA193,BC193)</f>
        <v>0</v>
      </c>
      <c r="K193" s="97">
        <f t="shared" ca="1" si="37"/>
        <v>0</v>
      </c>
      <c r="L193" s="84">
        <f ca="1">IF('Invoer gegevens (N)'!$C$17=E193,0,IF(C193=1,Q192,0))</f>
        <v>0</v>
      </c>
      <c r="M193" s="96">
        <f t="shared" ca="1" si="33"/>
        <v>0</v>
      </c>
      <c r="N193" s="84">
        <f ca="1">(1-('Invoer gegevens (N)'!$F$20/12))*L193*MIN(BA193,BC193)</f>
        <v>0</v>
      </c>
      <c r="O193" s="84">
        <f t="shared" ca="1" si="34"/>
        <v>0</v>
      </c>
      <c r="P193" s="84">
        <f ca="1">('Invoer gegevens (N)'!$F$20/12)*L192*MIN(BA193,BC193)</f>
        <v>0</v>
      </c>
      <c r="Q193" s="84">
        <f t="shared" ca="1" si="38"/>
        <v>0</v>
      </c>
      <c r="R193" s="85">
        <f ca="1">IF('Invoer gegevens (N)'!$C$17=E193,'Invoer gegevens (N)'!$C$11,IF(C193=1,W192,0))</f>
        <v>0</v>
      </c>
      <c r="S193" s="86">
        <f t="shared" ca="1" si="35"/>
        <v>0</v>
      </c>
      <c r="T193" s="86">
        <f ca="1">(1-('Invoer gegevens (N)'!$F$20/12))*R193*MIN(BC193,BA193)</f>
        <v>0</v>
      </c>
      <c r="U193" s="86">
        <f ca="1">IF(BD193&lt;1,IF('Reeksen (N)'!AD193&lt;='Reeksen (N)'!AE193,R193*'Reeksen (N)'!C193,0),IF(BC193&gt;=BA193,0,IF('Reeksen (N)'!AD193&lt;='Reeksen (N)'!AE193,(BA193-BC193)*R193,0)))</f>
        <v>0</v>
      </c>
      <c r="V193" s="86">
        <f ca="1">IF(BD193&lt;1,IF('Reeksen (N)'!AD193&gt;'Reeksen (N)'!AE193,R193*'Reeksen (N)'!C193,0),IF(BC193&gt;=BA193,0,IF('Reeksen (N)'!AD193&gt;'Reeksen (N)'!AE193,(BA193-BC193)*R193,0)))</f>
        <v>0</v>
      </c>
      <c r="W193" s="218">
        <f t="shared" ca="1" si="39"/>
        <v>0</v>
      </c>
      <c r="X193" s="98">
        <f ca="1">IF('Invoer gegevens (N)'!$C$17=E193,'Invoer gegevens (N)'!$C$10-'Invoer gegevens (N)'!$C$11,IF(C193=1,AC192,0))</f>
        <v>0</v>
      </c>
      <c r="Y193" s="98">
        <f t="shared" ca="1" si="36"/>
        <v>0</v>
      </c>
      <c r="Z193" s="98">
        <f ca="1">(1-('Invoer gegevens (N)'!$F$20/12))*X193*MIN(BA193,BC193)</f>
        <v>0</v>
      </c>
      <c r="AA193" s="98">
        <f ca="1">IF(BD193&lt;1,IF('Reeksen (N)'!AD193&lt;='Reeksen (N)'!AE193,X193*'Reeksen (N)'!C193,0),IF(BC193&gt;=BA193,0,IF('Reeksen (N)'!AD193&lt;='Reeksen (N)'!AE193,(BA193-BC193)*X193,0)))</f>
        <v>0</v>
      </c>
      <c r="AB193" s="98">
        <f ca="1">IF(BD193&lt;1,IF('Reeksen (N)'!AD193&gt;'Reeksen (N)'!AE193,X193*'Reeksen (N)'!C193,0),IF(BC193&gt;=BA193,0,IF('Reeksen (N)'!AD193&gt;'Reeksen (N)'!AE193,(BA193-BC193)*X193,0)))</f>
        <v>0</v>
      </c>
      <c r="AC193" s="99">
        <f t="shared" ca="1" si="40"/>
        <v>0</v>
      </c>
      <c r="AD193" s="98">
        <f ca="1">IF('Invoer gegevens (N)'!$C$17=E193,R193,IF(C193=0,0,AE192))</f>
        <v>0</v>
      </c>
      <c r="AE193" s="98">
        <f t="shared" ca="1" si="41"/>
        <v>0</v>
      </c>
      <c r="AF193" s="98">
        <f ca="1">IF('Invoer gegevens (N)'!$C$17=E193,X193,IF(C193=0,0,AG192))</f>
        <v>0</v>
      </c>
      <c r="AG193" s="98">
        <f t="shared" ca="1" si="42"/>
        <v>0</v>
      </c>
      <c r="AH193" s="66"/>
      <c r="AI193" s="71">
        <f ca="1">IF(C193=1,'Reeksen (N)'!AI193*((F193+K193)/2)*12+'Reeksen (N)'!AD193*((L193+Q193)/2)*12,0)</f>
        <v>0</v>
      </c>
      <c r="AJ193" s="71">
        <f ca="1">-AI193*'Invoer gegevens (N)'!$F$28</f>
        <v>0</v>
      </c>
      <c r="AK193" s="71">
        <f t="shared" ca="1" si="43"/>
        <v>0</v>
      </c>
      <c r="AL193" s="71">
        <f ca="1">IF(C193=1,'Reeksen (N)'!AL193*((F193-G193+F193)/2)*12+'Reeksen (N)'!AM193*((L193-M193+L193)/2)*12,0)</f>
        <v>0</v>
      </c>
      <c r="AM193" s="71">
        <f ca="1">-AL193*'Invoer gegevens (N)'!$F$31</f>
        <v>0</v>
      </c>
      <c r="AN193" s="71">
        <f t="shared" ca="1" si="44"/>
        <v>0</v>
      </c>
      <c r="AO193" s="71">
        <f ca="1">IF(C193=1,(H193+J193+N193+P193)*'Reeksen (N)'!AN193,0)</f>
        <v>0</v>
      </c>
      <c r="AP193" s="71">
        <f ca="1">-IF(C193=1,(H193+J193+N193+P193)*'Hulp - basis'!$O$550*'Reeksen (N)'!H193,0)</f>
        <v>0</v>
      </c>
      <c r="AQ193" s="71">
        <f ca="1">-IF(C193=1,(F193+K193+L193+Q193)/2*'Invoer gegevens (N)'!$F$35*'Reeksen (N)'!J193,0)*2</f>
        <v>0</v>
      </c>
      <c r="AR193" s="71">
        <f ca="1">IF(BD193&lt;1,-IF(C193=1,(G193*'Invoer gegevens (N)'!$F$36)*'Reeksen (N)'!J193,0),0)</f>
        <v>0</v>
      </c>
      <c r="AS193" s="71">
        <f ca="1">-IF(C193=1,(F193+K193+L193+Q193)/2*'Invoer gegevens (N)'!$F$37*'Reeksen (N)'!L193,0)</f>
        <v>0</v>
      </c>
      <c r="AT193" s="71">
        <f ca="1">-IF(C193=1,IF(E193='Invoer gegevens (N)'!$C$17,'Invoer gegevens (N)'!$C$11,AD193)*'Reeksen (N)'!S193*'Invoer gegevens (N)'!$C$18*'Reeksen (N)'!P193,0)</f>
        <v>0</v>
      </c>
      <c r="AU193" s="71">
        <f ca="1">-IF(C193=1,(F193+K193+L193+Q193)/2*'Invoer gegevens (N)'!$F$38*'Reeksen (N)'!H193,0)</f>
        <v>0</v>
      </c>
      <c r="AV193" s="71">
        <v>0</v>
      </c>
      <c r="AW193" s="71">
        <f t="shared" ca="1" si="45"/>
        <v>0</v>
      </c>
      <c r="AX193" s="71">
        <f ca="1">IF(E193&lt;'Invoer gegevens (N)'!$C$17+15,0,IF(E193&gt;'Invoer gegevens (N)'!$C$17+215,0,AW193))</f>
        <v>0</v>
      </c>
      <c r="AY193" s="71">
        <f ca="1">AX193/(1+'Invoer gegevens (N)'!$F$18)^($AZ193-('Invoer gegevens (N)'!$C$17-'Invoer gegevens (N)'!$C$16))/(1+'Invoer gegevens (N)'!$C$39)^('Invoer gegevens (N)'!$C$17-'Invoer gegevens (N)'!$C$16)</f>
        <v>0</v>
      </c>
      <c r="AZ193" s="68">
        <f ca="1">IF(E193-'Invoer gegevens (N)'!$C$17-14.5&lt;0,0,E193-'Invoer gegevens (N)'!$C$17-14.5)</f>
        <v>173.5</v>
      </c>
      <c r="BA193" s="109">
        <f ca="1">IFERROR(VLOOKUP(E193-15,'Reeksen (N)'!$A$5:$D$234,2,FALSE),0)</f>
        <v>0</v>
      </c>
      <c r="BB193" s="109">
        <f ca="1">IFERROR(VLOOKUP(E193-15,'Reeksen (N)'!$A$5:$D$234,3,FALSE),0)</f>
        <v>0</v>
      </c>
      <c r="BC193" s="109">
        <f ca="1">IFERROR(VLOOKUP(E193-15,'Reeksen (N)'!$A$5:$D$234,4,FALSE),0)</f>
        <v>0</v>
      </c>
      <c r="BD193" s="67">
        <f ca="1">IF(E193-'Invoer gegevens (N)'!$C$17&lt;15,0,1)</f>
        <v>1</v>
      </c>
    </row>
    <row r="194" spans="1:56" x14ac:dyDescent="0.25">
      <c r="A194" s="59"/>
      <c r="B194" s="70">
        <f t="shared" si="46"/>
        <v>190</v>
      </c>
      <c r="C194" s="67">
        <f ca="1">IF(E194-'Invoer gegevens (N)'!$C$17&lt;0,0,1)</f>
        <v>1</v>
      </c>
      <c r="D194" s="68">
        <f t="shared" si="47"/>
        <v>189.5</v>
      </c>
      <c r="E194" s="108">
        <f ca="1">IF('Invoer gegevens (N)'!$C$16="","",E193+1)</f>
        <v>2208</v>
      </c>
      <c r="F194" s="84">
        <f ca="1">IF('Invoer gegevens (N)'!$C$17=E194,'Invoer gegevens (N)'!$C$10,IF(C194=1,K193,0))</f>
        <v>0</v>
      </c>
      <c r="G194" s="96">
        <f ca="1">IF(BD194&lt;1,F194*'Reeksen (N)'!C194,IF(C194&gt;=1,F194*BA194,0))</f>
        <v>0</v>
      </c>
      <c r="H194" s="84">
        <f ca="1">(1-('Invoer gegevens (N)'!$F$20/12))*F194*MIN(BA194,BC194)</f>
        <v>0</v>
      </c>
      <c r="I194" s="84">
        <f t="shared" ca="1" si="32"/>
        <v>0</v>
      </c>
      <c r="J194" s="84">
        <f ca="1">('Invoer gegevens (N)'!$F$20/12)*F193*MIN(BA194,BC194)</f>
        <v>0</v>
      </c>
      <c r="K194" s="97">
        <f t="shared" ca="1" si="37"/>
        <v>0</v>
      </c>
      <c r="L194" s="84">
        <f ca="1">IF('Invoer gegevens (N)'!$C$17=E194,0,IF(C194=1,Q193,0))</f>
        <v>0</v>
      </c>
      <c r="M194" s="96">
        <f t="shared" ca="1" si="33"/>
        <v>0</v>
      </c>
      <c r="N194" s="84">
        <f ca="1">(1-('Invoer gegevens (N)'!$F$20/12))*L194*MIN(BA194,BC194)</f>
        <v>0</v>
      </c>
      <c r="O194" s="84">
        <f t="shared" ca="1" si="34"/>
        <v>0</v>
      </c>
      <c r="P194" s="84">
        <f ca="1">('Invoer gegevens (N)'!$F$20/12)*L193*MIN(BA194,BC194)</f>
        <v>0</v>
      </c>
      <c r="Q194" s="84">
        <f t="shared" ca="1" si="38"/>
        <v>0</v>
      </c>
      <c r="R194" s="85">
        <f ca="1">IF('Invoer gegevens (N)'!$C$17=E194,'Invoer gegevens (N)'!$C$11,IF(C194=1,W193,0))</f>
        <v>0</v>
      </c>
      <c r="S194" s="86">
        <f t="shared" ca="1" si="35"/>
        <v>0</v>
      </c>
      <c r="T194" s="86">
        <f ca="1">(1-('Invoer gegevens (N)'!$F$20/12))*R194*MIN(BC194,BA194)</f>
        <v>0</v>
      </c>
      <c r="U194" s="86">
        <f ca="1">IF(BD194&lt;1,IF('Reeksen (N)'!AD194&lt;='Reeksen (N)'!AE194,R194*'Reeksen (N)'!C194,0),IF(BC194&gt;=BA194,0,IF('Reeksen (N)'!AD194&lt;='Reeksen (N)'!AE194,(BA194-BC194)*R194,0)))</f>
        <v>0</v>
      </c>
      <c r="V194" s="86">
        <f ca="1">IF(BD194&lt;1,IF('Reeksen (N)'!AD194&gt;'Reeksen (N)'!AE194,R194*'Reeksen (N)'!C194,0),IF(BC194&gt;=BA194,0,IF('Reeksen (N)'!AD194&gt;'Reeksen (N)'!AE194,(BA194-BC194)*R194,0)))</f>
        <v>0</v>
      </c>
      <c r="W194" s="218">
        <f t="shared" ca="1" si="39"/>
        <v>0</v>
      </c>
      <c r="X194" s="98">
        <f ca="1">IF('Invoer gegevens (N)'!$C$17=E194,'Invoer gegevens (N)'!$C$10-'Invoer gegevens (N)'!$C$11,IF(C194=1,AC193,0))</f>
        <v>0</v>
      </c>
      <c r="Y194" s="98">
        <f t="shared" ca="1" si="36"/>
        <v>0</v>
      </c>
      <c r="Z194" s="98">
        <f ca="1">(1-('Invoer gegevens (N)'!$F$20/12))*X194*MIN(BA194,BC194)</f>
        <v>0</v>
      </c>
      <c r="AA194" s="98">
        <f ca="1">IF(BD194&lt;1,IF('Reeksen (N)'!AD194&lt;='Reeksen (N)'!AE194,X194*'Reeksen (N)'!C194,0),IF(BC194&gt;=BA194,0,IF('Reeksen (N)'!AD194&lt;='Reeksen (N)'!AE194,(BA194-BC194)*X194,0)))</f>
        <v>0</v>
      </c>
      <c r="AB194" s="98">
        <f ca="1">IF(BD194&lt;1,IF('Reeksen (N)'!AD194&gt;'Reeksen (N)'!AE194,X194*'Reeksen (N)'!C194,0),IF(BC194&gt;=BA194,0,IF('Reeksen (N)'!AD194&gt;'Reeksen (N)'!AE194,(BA194-BC194)*X194,0)))</f>
        <v>0</v>
      </c>
      <c r="AC194" s="99">
        <f t="shared" ca="1" si="40"/>
        <v>0</v>
      </c>
      <c r="AD194" s="98">
        <f ca="1">IF('Invoer gegevens (N)'!$C$17=E194,R194,IF(C194=0,0,AE193))</f>
        <v>0</v>
      </c>
      <c r="AE194" s="98">
        <f t="shared" ca="1" si="41"/>
        <v>0</v>
      </c>
      <c r="AF194" s="98">
        <f ca="1">IF('Invoer gegevens (N)'!$C$17=E194,X194,IF(C194=0,0,AG193))</f>
        <v>0</v>
      </c>
      <c r="AG194" s="98">
        <f t="shared" ca="1" si="42"/>
        <v>0</v>
      </c>
      <c r="AH194" s="66"/>
      <c r="AI194" s="71">
        <f ca="1">IF(C194=1,'Reeksen (N)'!AI194*((F194+K194)/2)*12+'Reeksen (N)'!AD194*((L194+Q194)/2)*12,0)</f>
        <v>0</v>
      </c>
      <c r="AJ194" s="71">
        <f ca="1">-AI194*'Invoer gegevens (N)'!$F$28</f>
        <v>0</v>
      </c>
      <c r="AK194" s="71">
        <f t="shared" ca="1" si="43"/>
        <v>0</v>
      </c>
      <c r="AL194" s="71">
        <f ca="1">IF(C194=1,'Reeksen (N)'!AL194*((F194-G194+F194)/2)*12+'Reeksen (N)'!AM194*((L194-M194+L194)/2)*12,0)</f>
        <v>0</v>
      </c>
      <c r="AM194" s="71">
        <f ca="1">-AL194*'Invoer gegevens (N)'!$F$31</f>
        <v>0</v>
      </c>
      <c r="AN194" s="71">
        <f t="shared" ca="1" si="44"/>
        <v>0</v>
      </c>
      <c r="AO194" s="71">
        <f ca="1">IF(C194=1,(H194+J194+N194+P194)*'Reeksen (N)'!AN194,0)</f>
        <v>0</v>
      </c>
      <c r="AP194" s="71">
        <f ca="1">-IF(C194=1,(H194+J194+N194+P194)*'Hulp - basis'!$O$550*'Reeksen (N)'!H194,0)</f>
        <v>0</v>
      </c>
      <c r="AQ194" s="71">
        <f ca="1">-IF(C194=1,(F194+K194+L194+Q194)/2*'Invoer gegevens (N)'!$F$35*'Reeksen (N)'!J194,0)*2</f>
        <v>0</v>
      </c>
      <c r="AR194" s="71">
        <f ca="1">IF(BD194&lt;1,-IF(C194=1,(G194*'Invoer gegevens (N)'!$F$36)*'Reeksen (N)'!J194,0),0)</f>
        <v>0</v>
      </c>
      <c r="AS194" s="71">
        <f ca="1">-IF(C194=1,(F194+K194+L194+Q194)/2*'Invoer gegevens (N)'!$F$37*'Reeksen (N)'!L194,0)</f>
        <v>0</v>
      </c>
      <c r="AT194" s="71">
        <f ca="1">-IF(C194=1,IF(E194='Invoer gegevens (N)'!$C$17,'Invoer gegevens (N)'!$C$11,AD194)*'Reeksen (N)'!S194*'Invoer gegevens (N)'!$C$18*'Reeksen (N)'!P194,0)</f>
        <v>0</v>
      </c>
      <c r="AU194" s="71">
        <f ca="1">-IF(C194=1,(F194+K194+L194+Q194)/2*'Invoer gegevens (N)'!$F$38*'Reeksen (N)'!H194,0)</f>
        <v>0</v>
      </c>
      <c r="AV194" s="71">
        <v>0</v>
      </c>
      <c r="AW194" s="71">
        <f t="shared" ca="1" si="45"/>
        <v>0</v>
      </c>
      <c r="AX194" s="71">
        <f ca="1">IF(E194&lt;'Invoer gegevens (N)'!$C$17+15,0,IF(E194&gt;'Invoer gegevens (N)'!$C$17+215,0,AW194))</f>
        <v>0</v>
      </c>
      <c r="AY194" s="71">
        <f ca="1">AX194/(1+'Invoer gegevens (N)'!$F$18)^($AZ194-('Invoer gegevens (N)'!$C$17-'Invoer gegevens (N)'!$C$16))/(1+'Invoer gegevens (N)'!$C$39)^('Invoer gegevens (N)'!$C$17-'Invoer gegevens (N)'!$C$16)</f>
        <v>0</v>
      </c>
      <c r="AZ194" s="68">
        <f ca="1">IF(E194-'Invoer gegevens (N)'!$C$17-14.5&lt;0,0,E194-'Invoer gegevens (N)'!$C$17-14.5)</f>
        <v>174.5</v>
      </c>
      <c r="BA194" s="109">
        <f ca="1">IFERROR(VLOOKUP(E194-15,'Reeksen (N)'!$A$5:$D$234,2,FALSE),0)</f>
        <v>0</v>
      </c>
      <c r="BB194" s="109">
        <f ca="1">IFERROR(VLOOKUP(E194-15,'Reeksen (N)'!$A$5:$D$234,3,FALSE),0)</f>
        <v>0</v>
      </c>
      <c r="BC194" s="109">
        <f ca="1">IFERROR(VLOOKUP(E194-15,'Reeksen (N)'!$A$5:$D$234,4,FALSE),0)</f>
        <v>0</v>
      </c>
      <c r="BD194" s="67">
        <f ca="1">IF(E194-'Invoer gegevens (N)'!$C$17&lt;15,0,1)</f>
        <v>1</v>
      </c>
    </row>
    <row r="195" spans="1:56" x14ac:dyDescent="0.25">
      <c r="A195" s="59"/>
      <c r="B195" s="70">
        <f t="shared" si="46"/>
        <v>191</v>
      </c>
      <c r="C195" s="67">
        <f ca="1">IF(E195-'Invoer gegevens (N)'!$C$17&lt;0,0,1)</f>
        <v>1</v>
      </c>
      <c r="D195" s="68">
        <f t="shared" si="47"/>
        <v>190.5</v>
      </c>
      <c r="E195" s="108">
        <f ca="1">IF('Invoer gegevens (N)'!$C$16="","",E194+1)</f>
        <v>2209</v>
      </c>
      <c r="F195" s="84">
        <f ca="1">IF('Invoer gegevens (N)'!$C$17=E195,'Invoer gegevens (N)'!$C$10,IF(C195=1,K194,0))</f>
        <v>0</v>
      </c>
      <c r="G195" s="96">
        <f ca="1">IF(BD195&lt;1,F195*'Reeksen (N)'!C195,IF(C195&gt;=1,F195*BA195,0))</f>
        <v>0</v>
      </c>
      <c r="H195" s="84">
        <f ca="1">(1-('Invoer gegevens (N)'!$F$20/12))*F195*MIN(BA195,BC195)</f>
        <v>0</v>
      </c>
      <c r="I195" s="84">
        <f t="shared" ca="1" si="32"/>
        <v>0</v>
      </c>
      <c r="J195" s="84">
        <f ca="1">('Invoer gegevens (N)'!$F$20/12)*F194*MIN(BA195,BC195)</f>
        <v>0</v>
      </c>
      <c r="K195" s="97">
        <f t="shared" ca="1" si="37"/>
        <v>0</v>
      </c>
      <c r="L195" s="84">
        <f ca="1">IF('Invoer gegevens (N)'!$C$17=E195,0,IF(C195=1,Q194,0))</f>
        <v>0</v>
      </c>
      <c r="M195" s="96">
        <f t="shared" ca="1" si="33"/>
        <v>0</v>
      </c>
      <c r="N195" s="84">
        <f ca="1">(1-('Invoer gegevens (N)'!$F$20/12))*L195*MIN(BA195,BC195)</f>
        <v>0</v>
      </c>
      <c r="O195" s="84">
        <f t="shared" ca="1" si="34"/>
        <v>0</v>
      </c>
      <c r="P195" s="84">
        <f ca="1">('Invoer gegevens (N)'!$F$20/12)*L194*MIN(BA195,BC195)</f>
        <v>0</v>
      </c>
      <c r="Q195" s="84">
        <f t="shared" ca="1" si="38"/>
        <v>0</v>
      </c>
      <c r="R195" s="85">
        <f ca="1">IF('Invoer gegevens (N)'!$C$17=E195,'Invoer gegevens (N)'!$C$11,IF(C195=1,W194,0))</f>
        <v>0</v>
      </c>
      <c r="S195" s="86">
        <f t="shared" ca="1" si="35"/>
        <v>0</v>
      </c>
      <c r="T195" s="86">
        <f ca="1">(1-('Invoer gegevens (N)'!$F$20/12))*R195*MIN(BC195,BA195)</f>
        <v>0</v>
      </c>
      <c r="U195" s="86">
        <f ca="1">IF(BD195&lt;1,IF('Reeksen (N)'!AD195&lt;='Reeksen (N)'!AE195,R195*'Reeksen (N)'!C195,0),IF(BC195&gt;=BA195,0,IF('Reeksen (N)'!AD195&lt;='Reeksen (N)'!AE195,(BA195-BC195)*R195,0)))</f>
        <v>0</v>
      </c>
      <c r="V195" s="86">
        <f ca="1">IF(BD195&lt;1,IF('Reeksen (N)'!AD195&gt;'Reeksen (N)'!AE195,R195*'Reeksen (N)'!C195,0),IF(BC195&gt;=BA195,0,IF('Reeksen (N)'!AD195&gt;'Reeksen (N)'!AE195,(BA195-BC195)*R195,0)))</f>
        <v>0</v>
      </c>
      <c r="W195" s="218">
        <f t="shared" ca="1" si="39"/>
        <v>0</v>
      </c>
      <c r="X195" s="98">
        <f ca="1">IF('Invoer gegevens (N)'!$C$17=E195,'Invoer gegevens (N)'!$C$10-'Invoer gegevens (N)'!$C$11,IF(C195=1,AC194,0))</f>
        <v>0</v>
      </c>
      <c r="Y195" s="98">
        <f t="shared" ca="1" si="36"/>
        <v>0</v>
      </c>
      <c r="Z195" s="98">
        <f ca="1">(1-('Invoer gegevens (N)'!$F$20/12))*X195*MIN(BA195,BC195)</f>
        <v>0</v>
      </c>
      <c r="AA195" s="98">
        <f ca="1">IF(BD195&lt;1,IF('Reeksen (N)'!AD195&lt;='Reeksen (N)'!AE195,X195*'Reeksen (N)'!C195,0),IF(BC195&gt;=BA195,0,IF('Reeksen (N)'!AD195&lt;='Reeksen (N)'!AE195,(BA195-BC195)*X195,0)))</f>
        <v>0</v>
      </c>
      <c r="AB195" s="98">
        <f ca="1">IF(BD195&lt;1,IF('Reeksen (N)'!AD195&gt;'Reeksen (N)'!AE195,X195*'Reeksen (N)'!C195,0),IF(BC195&gt;=BA195,0,IF('Reeksen (N)'!AD195&gt;'Reeksen (N)'!AE195,(BA195-BC195)*X195,0)))</f>
        <v>0</v>
      </c>
      <c r="AC195" s="99">
        <f t="shared" ca="1" si="40"/>
        <v>0</v>
      </c>
      <c r="AD195" s="98">
        <f ca="1">IF('Invoer gegevens (N)'!$C$17=E195,R195,IF(C195=0,0,AE194))</f>
        <v>0</v>
      </c>
      <c r="AE195" s="98">
        <f t="shared" ca="1" si="41"/>
        <v>0</v>
      </c>
      <c r="AF195" s="98">
        <f ca="1">IF('Invoer gegevens (N)'!$C$17=E195,X195,IF(C195=0,0,AG194))</f>
        <v>0</v>
      </c>
      <c r="AG195" s="98">
        <f t="shared" ca="1" si="42"/>
        <v>0</v>
      </c>
      <c r="AH195" s="66"/>
      <c r="AI195" s="71">
        <f ca="1">IF(C195=1,'Reeksen (N)'!AI195*((F195+K195)/2)*12+'Reeksen (N)'!AD195*((L195+Q195)/2)*12,0)</f>
        <v>0</v>
      </c>
      <c r="AJ195" s="71">
        <f ca="1">-AI195*'Invoer gegevens (N)'!$F$28</f>
        <v>0</v>
      </c>
      <c r="AK195" s="71">
        <f t="shared" ca="1" si="43"/>
        <v>0</v>
      </c>
      <c r="AL195" s="71">
        <f ca="1">IF(C195=1,'Reeksen (N)'!AL195*((F195-G195+F195)/2)*12+'Reeksen (N)'!AM195*((L195-M195+L195)/2)*12,0)</f>
        <v>0</v>
      </c>
      <c r="AM195" s="71">
        <f ca="1">-AL195*'Invoer gegevens (N)'!$F$31</f>
        <v>0</v>
      </c>
      <c r="AN195" s="71">
        <f t="shared" ca="1" si="44"/>
        <v>0</v>
      </c>
      <c r="AO195" s="71">
        <f ca="1">IF(C195=1,(H195+J195+N195+P195)*'Reeksen (N)'!AN195,0)</f>
        <v>0</v>
      </c>
      <c r="AP195" s="71">
        <f ca="1">-IF(C195=1,(H195+J195+N195+P195)*'Hulp - basis'!$O$550*'Reeksen (N)'!H195,0)</f>
        <v>0</v>
      </c>
      <c r="AQ195" s="71">
        <f ca="1">-IF(C195=1,(F195+K195+L195+Q195)/2*'Invoer gegevens (N)'!$F$35*'Reeksen (N)'!J195,0)*2</f>
        <v>0</v>
      </c>
      <c r="AR195" s="71">
        <f ca="1">IF(BD195&lt;1,-IF(C195=1,(G195*'Invoer gegevens (N)'!$F$36)*'Reeksen (N)'!J195,0),0)</f>
        <v>0</v>
      </c>
      <c r="AS195" s="71">
        <f ca="1">-IF(C195=1,(F195+K195+L195+Q195)/2*'Invoer gegevens (N)'!$F$37*'Reeksen (N)'!L195,0)</f>
        <v>0</v>
      </c>
      <c r="AT195" s="71">
        <f ca="1">-IF(C195=1,IF(E195='Invoer gegevens (N)'!$C$17,'Invoer gegevens (N)'!$C$11,AD195)*'Reeksen (N)'!S195*'Invoer gegevens (N)'!$C$18*'Reeksen (N)'!P195,0)</f>
        <v>0</v>
      </c>
      <c r="AU195" s="71">
        <f ca="1">-IF(C195=1,(F195+K195+L195+Q195)/2*'Invoer gegevens (N)'!$F$38*'Reeksen (N)'!H195,0)</f>
        <v>0</v>
      </c>
      <c r="AV195" s="71">
        <v>0</v>
      </c>
      <c r="AW195" s="71">
        <f t="shared" ca="1" si="45"/>
        <v>0</v>
      </c>
      <c r="AX195" s="71">
        <f ca="1">IF(E195&lt;'Invoer gegevens (N)'!$C$17+15,0,IF(E195&gt;'Invoer gegevens (N)'!$C$17+215,0,AW195))</f>
        <v>0</v>
      </c>
      <c r="AY195" s="71">
        <f ca="1">AX195/(1+'Invoer gegevens (N)'!$F$18)^($AZ195-('Invoer gegevens (N)'!$C$17-'Invoer gegevens (N)'!$C$16))/(1+'Invoer gegevens (N)'!$C$39)^('Invoer gegevens (N)'!$C$17-'Invoer gegevens (N)'!$C$16)</f>
        <v>0</v>
      </c>
      <c r="AZ195" s="68">
        <f ca="1">IF(E195-'Invoer gegevens (N)'!$C$17-14.5&lt;0,0,E195-'Invoer gegevens (N)'!$C$17-14.5)</f>
        <v>175.5</v>
      </c>
      <c r="BA195" s="109">
        <f ca="1">IFERROR(VLOOKUP(E195-15,'Reeksen (N)'!$A$5:$D$234,2,FALSE),0)</f>
        <v>0</v>
      </c>
      <c r="BB195" s="109">
        <f ca="1">IFERROR(VLOOKUP(E195-15,'Reeksen (N)'!$A$5:$D$234,3,FALSE),0)</f>
        <v>0</v>
      </c>
      <c r="BC195" s="109">
        <f ca="1">IFERROR(VLOOKUP(E195-15,'Reeksen (N)'!$A$5:$D$234,4,FALSE),0)</f>
        <v>0</v>
      </c>
      <c r="BD195" s="67">
        <f ca="1">IF(E195-'Invoer gegevens (N)'!$C$17&lt;15,0,1)</f>
        <v>1</v>
      </c>
    </row>
    <row r="196" spans="1:56" x14ac:dyDescent="0.25">
      <c r="A196" s="59"/>
      <c r="B196" s="70">
        <f t="shared" si="46"/>
        <v>192</v>
      </c>
      <c r="C196" s="67">
        <f ca="1">IF(E196-'Invoer gegevens (N)'!$C$17&lt;0,0,1)</f>
        <v>1</v>
      </c>
      <c r="D196" s="68">
        <f t="shared" si="47"/>
        <v>191.5</v>
      </c>
      <c r="E196" s="108">
        <f ca="1">IF('Invoer gegevens (N)'!$C$16="","",E195+1)</f>
        <v>2210</v>
      </c>
      <c r="F196" s="84">
        <f ca="1">IF('Invoer gegevens (N)'!$C$17=E196,'Invoer gegevens (N)'!$C$10,IF(C196=1,K195,0))</f>
        <v>0</v>
      </c>
      <c r="G196" s="96">
        <f ca="1">IF(BD196&lt;1,F196*'Reeksen (N)'!C196,IF(C196&gt;=1,F196*BA196,0))</f>
        <v>0</v>
      </c>
      <c r="H196" s="84">
        <f ca="1">(1-('Invoer gegevens (N)'!$F$20/12))*F196*MIN(BA196,BC196)</f>
        <v>0</v>
      </c>
      <c r="I196" s="84">
        <f t="shared" ca="1" si="32"/>
        <v>0</v>
      </c>
      <c r="J196" s="84">
        <f ca="1">('Invoer gegevens (N)'!$F$20/12)*F195*MIN(BA196,BC196)</f>
        <v>0</v>
      </c>
      <c r="K196" s="97">
        <f t="shared" ca="1" si="37"/>
        <v>0</v>
      </c>
      <c r="L196" s="84">
        <f ca="1">IF('Invoer gegevens (N)'!$C$17=E196,0,IF(C196=1,Q195,0))</f>
        <v>0</v>
      </c>
      <c r="M196" s="96">
        <f t="shared" ca="1" si="33"/>
        <v>0</v>
      </c>
      <c r="N196" s="84">
        <f ca="1">(1-('Invoer gegevens (N)'!$F$20/12))*L196*MIN(BA196,BC196)</f>
        <v>0</v>
      </c>
      <c r="O196" s="84">
        <f t="shared" ca="1" si="34"/>
        <v>0</v>
      </c>
      <c r="P196" s="84">
        <f ca="1">('Invoer gegevens (N)'!$F$20/12)*L195*MIN(BA196,BC196)</f>
        <v>0</v>
      </c>
      <c r="Q196" s="84">
        <f t="shared" ca="1" si="38"/>
        <v>0</v>
      </c>
      <c r="R196" s="85">
        <f ca="1">IF('Invoer gegevens (N)'!$C$17=E196,'Invoer gegevens (N)'!$C$11,IF(C196=1,W195,0))</f>
        <v>0</v>
      </c>
      <c r="S196" s="86">
        <f t="shared" ca="1" si="35"/>
        <v>0</v>
      </c>
      <c r="T196" s="86">
        <f ca="1">(1-('Invoer gegevens (N)'!$F$20/12))*R196*MIN(BC196,BA196)</f>
        <v>0</v>
      </c>
      <c r="U196" s="86">
        <f ca="1">IF(BD196&lt;1,IF('Reeksen (N)'!AD196&lt;='Reeksen (N)'!AE196,R196*'Reeksen (N)'!C196,0),IF(BC196&gt;=BA196,0,IF('Reeksen (N)'!AD196&lt;='Reeksen (N)'!AE196,(BA196-BC196)*R196,0)))</f>
        <v>0</v>
      </c>
      <c r="V196" s="86">
        <f ca="1">IF(BD196&lt;1,IF('Reeksen (N)'!AD196&gt;'Reeksen (N)'!AE196,R196*'Reeksen (N)'!C196,0),IF(BC196&gt;=BA196,0,IF('Reeksen (N)'!AD196&gt;'Reeksen (N)'!AE196,(BA196-BC196)*R196,0)))</f>
        <v>0</v>
      </c>
      <c r="W196" s="218">
        <f t="shared" ca="1" si="39"/>
        <v>0</v>
      </c>
      <c r="X196" s="98">
        <f ca="1">IF('Invoer gegevens (N)'!$C$17=E196,'Invoer gegevens (N)'!$C$10-'Invoer gegevens (N)'!$C$11,IF(C196=1,AC195,0))</f>
        <v>0</v>
      </c>
      <c r="Y196" s="98">
        <f t="shared" ca="1" si="36"/>
        <v>0</v>
      </c>
      <c r="Z196" s="98">
        <f ca="1">(1-('Invoer gegevens (N)'!$F$20/12))*X196*MIN(BA196,BC196)</f>
        <v>0</v>
      </c>
      <c r="AA196" s="98">
        <f ca="1">IF(BD196&lt;1,IF('Reeksen (N)'!AD196&lt;='Reeksen (N)'!AE196,X196*'Reeksen (N)'!C196,0),IF(BC196&gt;=BA196,0,IF('Reeksen (N)'!AD196&lt;='Reeksen (N)'!AE196,(BA196-BC196)*X196,0)))</f>
        <v>0</v>
      </c>
      <c r="AB196" s="98">
        <f ca="1">IF(BD196&lt;1,IF('Reeksen (N)'!AD196&gt;'Reeksen (N)'!AE196,X196*'Reeksen (N)'!C196,0),IF(BC196&gt;=BA196,0,IF('Reeksen (N)'!AD196&gt;'Reeksen (N)'!AE196,(BA196-BC196)*X196,0)))</f>
        <v>0</v>
      </c>
      <c r="AC196" s="99">
        <f t="shared" ca="1" si="40"/>
        <v>0</v>
      </c>
      <c r="AD196" s="98">
        <f ca="1">IF('Invoer gegevens (N)'!$C$17=E196,R196,IF(C196=0,0,AE195))</f>
        <v>0</v>
      </c>
      <c r="AE196" s="98">
        <f t="shared" ca="1" si="41"/>
        <v>0</v>
      </c>
      <c r="AF196" s="98">
        <f ca="1">IF('Invoer gegevens (N)'!$C$17=E196,X196,IF(C196=0,0,AG195))</f>
        <v>0</v>
      </c>
      <c r="AG196" s="98">
        <f t="shared" ca="1" si="42"/>
        <v>0</v>
      </c>
      <c r="AH196" s="66"/>
      <c r="AI196" s="71">
        <f ca="1">IF(C196=1,'Reeksen (N)'!AI196*((F196+K196)/2)*12+'Reeksen (N)'!AD196*((L196+Q196)/2)*12,0)</f>
        <v>0</v>
      </c>
      <c r="AJ196" s="71">
        <f ca="1">-AI196*'Invoer gegevens (N)'!$F$28</f>
        <v>0</v>
      </c>
      <c r="AK196" s="71">
        <f t="shared" ca="1" si="43"/>
        <v>0</v>
      </c>
      <c r="AL196" s="71">
        <f ca="1">IF(C196=1,'Reeksen (N)'!AL196*((F196-G196+F196)/2)*12+'Reeksen (N)'!AM196*((L196-M196+L196)/2)*12,0)</f>
        <v>0</v>
      </c>
      <c r="AM196" s="71">
        <f ca="1">-AL196*'Invoer gegevens (N)'!$F$31</f>
        <v>0</v>
      </c>
      <c r="AN196" s="71">
        <f t="shared" ca="1" si="44"/>
        <v>0</v>
      </c>
      <c r="AO196" s="71">
        <f ca="1">IF(C196=1,(H196+J196+N196+P196)*'Reeksen (N)'!AN196,0)</f>
        <v>0</v>
      </c>
      <c r="AP196" s="71">
        <f ca="1">-IF(C196=1,(H196+J196+N196+P196)*'Hulp - basis'!$O$550*'Reeksen (N)'!H196,0)</f>
        <v>0</v>
      </c>
      <c r="AQ196" s="71">
        <f ca="1">-IF(C196=1,(F196+K196+L196+Q196)/2*'Invoer gegevens (N)'!$F$35*'Reeksen (N)'!J196,0)*2</f>
        <v>0</v>
      </c>
      <c r="AR196" s="71">
        <f ca="1">IF(BD196&lt;1,-IF(C196=1,(G196*'Invoer gegevens (N)'!$F$36)*'Reeksen (N)'!J196,0),0)</f>
        <v>0</v>
      </c>
      <c r="AS196" s="71">
        <f ca="1">-IF(C196=1,(F196+K196+L196+Q196)/2*'Invoer gegevens (N)'!$F$37*'Reeksen (N)'!L196,0)</f>
        <v>0</v>
      </c>
      <c r="AT196" s="71">
        <f ca="1">-IF(C196=1,IF(E196='Invoer gegevens (N)'!$C$17,'Invoer gegevens (N)'!$C$11,AD196)*'Reeksen (N)'!S196*'Invoer gegevens (N)'!$C$18*'Reeksen (N)'!P196,0)</f>
        <v>0</v>
      </c>
      <c r="AU196" s="71">
        <f ca="1">-IF(C196=1,(F196+K196+L196+Q196)/2*'Invoer gegevens (N)'!$F$38*'Reeksen (N)'!H196,0)</f>
        <v>0</v>
      </c>
      <c r="AV196" s="71">
        <v>0</v>
      </c>
      <c r="AW196" s="71">
        <f t="shared" ca="1" si="45"/>
        <v>0</v>
      </c>
      <c r="AX196" s="71">
        <f ca="1">IF(E196&lt;'Invoer gegevens (N)'!$C$17+15,0,IF(E196&gt;'Invoer gegevens (N)'!$C$17+215,0,AW196))</f>
        <v>0</v>
      </c>
      <c r="AY196" s="71">
        <f ca="1">AX196/(1+'Invoer gegevens (N)'!$F$18)^($AZ196-('Invoer gegevens (N)'!$C$17-'Invoer gegevens (N)'!$C$16))/(1+'Invoer gegevens (N)'!$C$39)^('Invoer gegevens (N)'!$C$17-'Invoer gegevens (N)'!$C$16)</f>
        <v>0</v>
      </c>
      <c r="AZ196" s="68">
        <f ca="1">IF(E196-'Invoer gegevens (N)'!$C$17-14.5&lt;0,0,E196-'Invoer gegevens (N)'!$C$17-14.5)</f>
        <v>176.5</v>
      </c>
      <c r="BA196" s="109">
        <f ca="1">IFERROR(VLOOKUP(E196-15,'Reeksen (N)'!$A$5:$D$234,2,FALSE),0)</f>
        <v>0</v>
      </c>
      <c r="BB196" s="109">
        <f ca="1">IFERROR(VLOOKUP(E196-15,'Reeksen (N)'!$A$5:$D$234,3,FALSE),0)</f>
        <v>0</v>
      </c>
      <c r="BC196" s="109">
        <f ca="1">IFERROR(VLOOKUP(E196-15,'Reeksen (N)'!$A$5:$D$234,4,FALSE),0)</f>
        <v>0</v>
      </c>
      <c r="BD196" s="67">
        <f ca="1">IF(E196-'Invoer gegevens (N)'!$C$17&lt;15,0,1)</f>
        <v>1</v>
      </c>
    </row>
    <row r="197" spans="1:56" x14ac:dyDescent="0.25">
      <c r="A197" s="59"/>
      <c r="B197" s="70">
        <f t="shared" si="46"/>
        <v>193</v>
      </c>
      <c r="C197" s="67">
        <f ca="1">IF(E197-'Invoer gegevens (N)'!$C$17&lt;0,0,1)</f>
        <v>1</v>
      </c>
      <c r="D197" s="68">
        <f t="shared" si="47"/>
        <v>192.5</v>
      </c>
      <c r="E197" s="108">
        <f ca="1">IF('Invoer gegevens (N)'!$C$16="","",E196+1)</f>
        <v>2211</v>
      </c>
      <c r="F197" s="84">
        <f ca="1">IF('Invoer gegevens (N)'!$C$17=E197,'Invoer gegevens (N)'!$C$10,IF(C197=1,K196,0))</f>
        <v>0</v>
      </c>
      <c r="G197" s="96">
        <f ca="1">IF(BD197&lt;1,F197*'Reeksen (N)'!C197,IF(C197&gt;=1,F197*BA197,0))</f>
        <v>0</v>
      </c>
      <c r="H197" s="84">
        <f ca="1">(1-('Invoer gegevens (N)'!$F$20/12))*F197*MIN(BA197,BC197)</f>
        <v>0</v>
      </c>
      <c r="I197" s="84">
        <f t="shared" ref="I197:I234" ca="1" si="48">IF(BD197&lt;1,G197-H197,IF(BC197&lt;BA197,(BA197-BC197)*F197,0))</f>
        <v>0</v>
      </c>
      <c r="J197" s="84">
        <f ca="1">('Invoer gegevens (N)'!$F$20/12)*F196*MIN(BA197,BC197)</f>
        <v>0</v>
      </c>
      <c r="K197" s="97">
        <f t="shared" ca="1" si="37"/>
        <v>0</v>
      </c>
      <c r="L197" s="84">
        <f ca="1">IF('Invoer gegevens (N)'!$C$17=E197,0,IF(C197=1,Q196,0))</f>
        <v>0</v>
      </c>
      <c r="M197" s="96">
        <f t="shared" ref="M197:M234" ca="1" si="49">IF(C197&gt;=1,L197*BA197,0)</f>
        <v>0</v>
      </c>
      <c r="N197" s="84">
        <f ca="1">(1-('Invoer gegevens (N)'!$F$20/12))*L197*MIN(BA197,BC197)</f>
        <v>0</v>
      </c>
      <c r="O197" s="84">
        <f t="shared" ref="O197:O234" ca="1" si="50">IF(BC197&lt;BA197,(BA197-BC197)*L197,0)</f>
        <v>0</v>
      </c>
      <c r="P197" s="84">
        <f ca="1">('Invoer gegevens (N)'!$F$20/12)*L196*MIN(BA197,BC197)</f>
        <v>0</v>
      </c>
      <c r="Q197" s="84">
        <f t="shared" ca="1" si="38"/>
        <v>0</v>
      </c>
      <c r="R197" s="85">
        <f ca="1">IF('Invoer gegevens (N)'!$C$17=E197,'Invoer gegevens (N)'!$C$11,IF(C197=1,W196,0))</f>
        <v>0</v>
      </c>
      <c r="S197" s="86">
        <f t="shared" ref="S197:S234" ca="1" si="51">IF(C197&gt;=1,R197*BA197,0)</f>
        <v>0</v>
      </c>
      <c r="T197" s="86">
        <f ca="1">(1-('Invoer gegevens (N)'!$F$20/12))*R197*MIN(BC197,BA197)</f>
        <v>0</v>
      </c>
      <c r="U197" s="86">
        <f ca="1">IF(BD197&lt;1,IF('Reeksen (N)'!AD197&lt;='Reeksen (N)'!AE197,R197*'Reeksen (N)'!C197,0),IF(BC197&gt;=BA197,0,IF('Reeksen (N)'!AD197&lt;='Reeksen (N)'!AE197,(BA197-BC197)*R197,0)))</f>
        <v>0</v>
      </c>
      <c r="V197" s="86">
        <f ca="1">IF(BD197&lt;1,IF('Reeksen (N)'!AD197&gt;'Reeksen (N)'!AE197,R197*'Reeksen (N)'!C197,0),IF(BC197&gt;=BA197,0,IF('Reeksen (N)'!AD197&gt;'Reeksen (N)'!AE197,(BA197-BC197)*R197,0)))</f>
        <v>0</v>
      </c>
      <c r="W197" s="218">
        <f t="shared" ca="1" si="39"/>
        <v>0</v>
      </c>
      <c r="X197" s="98">
        <f ca="1">IF('Invoer gegevens (N)'!$C$17=E197,'Invoer gegevens (N)'!$C$10-'Invoer gegevens (N)'!$C$11,IF(C197=1,AC196,0))</f>
        <v>0</v>
      </c>
      <c r="Y197" s="98">
        <f t="shared" ref="Y197:Y234" ca="1" si="52">IF(C197&gt;=1,X197*BA197,0)</f>
        <v>0</v>
      </c>
      <c r="Z197" s="98">
        <f ca="1">(1-('Invoer gegevens (N)'!$F$20/12))*X197*MIN(BA197,BC197)</f>
        <v>0</v>
      </c>
      <c r="AA197" s="98">
        <f ca="1">IF(BD197&lt;1,IF('Reeksen (N)'!AD197&lt;='Reeksen (N)'!AE197,X197*'Reeksen (N)'!C197,0),IF(BC197&gt;=BA197,0,IF('Reeksen (N)'!AD197&lt;='Reeksen (N)'!AE197,(BA197-BC197)*X197,0)))</f>
        <v>0</v>
      </c>
      <c r="AB197" s="98">
        <f ca="1">IF(BD197&lt;1,IF('Reeksen (N)'!AD197&gt;'Reeksen (N)'!AE197,X197*'Reeksen (N)'!C197,0),IF(BC197&gt;=BA197,0,IF('Reeksen (N)'!AD197&gt;'Reeksen (N)'!AE197,(BA197-BC197)*X197,0)))</f>
        <v>0</v>
      </c>
      <c r="AC197" s="99">
        <f t="shared" ca="1" si="40"/>
        <v>0</v>
      </c>
      <c r="AD197" s="98">
        <f ca="1">IF('Invoer gegevens (N)'!$C$17=E197,R197,IF(C197=0,0,AE196))</f>
        <v>0</v>
      </c>
      <c r="AE197" s="98">
        <f t="shared" ca="1" si="41"/>
        <v>0</v>
      </c>
      <c r="AF197" s="98">
        <f ca="1">IF('Invoer gegevens (N)'!$C$17=E197,X197,IF(C197=0,0,AG196))</f>
        <v>0</v>
      </c>
      <c r="AG197" s="98">
        <f t="shared" ca="1" si="42"/>
        <v>0</v>
      </c>
      <c r="AH197" s="66"/>
      <c r="AI197" s="71">
        <f ca="1">IF(C197=1,'Reeksen (N)'!AI197*((F197+K197)/2)*12+'Reeksen (N)'!AD197*((L197+Q197)/2)*12,0)</f>
        <v>0</v>
      </c>
      <c r="AJ197" s="71">
        <f ca="1">-AI197*'Invoer gegevens (N)'!$F$28</f>
        <v>0</v>
      </c>
      <c r="AK197" s="71">
        <f t="shared" ca="1" si="43"/>
        <v>0</v>
      </c>
      <c r="AL197" s="71">
        <f ca="1">IF(C197=1,'Reeksen (N)'!AL197*((F197-G197+F197)/2)*12+'Reeksen (N)'!AM197*((L197-M197+L197)/2)*12,0)</f>
        <v>0</v>
      </c>
      <c r="AM197" s="71">
        <f ca="1">-AL197*'Invoer gegevens (N)'!$F$31</f>
        <v>0</v>
      </c>
      <c r="AN197" s="71">
        <f t="shared" ca="1" si="44"/>
        <v>0</v>
      </c>
      <c r="AO197" s="71">
        <f ca="1">IF(C197=1,(H197+J197+N197+P197)*'Reeksen (N)'!AN197,0)</f>
        <v>0</v>
      </c>
      <c r="AP197" s="71">
        <f ca="1">-IF(C197=1,(H197+J197+N197+P197)*'Hulp - basis'!$O$550*'Reeksen (N)'!H197,0)</f>
        <v>0</v>
      </c>
      <c r="AQ197" s="71">
        <f ca="1">-IF(C197=1,(F197+K197+L197+Q197)/2*'Invoer gegevens (N)'!$F$35*'Reeksen (N)'!J197,0)*2</f>
        <v>0</v>
      </c>
      <c r="AR197" s="71">
        <f ca="1">IF(BD197&lt;1,-IF(C197=1,(G197*'Invoer gegevens (N)'!$F$36)*'Reeksen (N)'!J197,0),0)</f>
        <v>0</v>
      </c>
      <c r="AS197" s="71">
        <f ca="1">-IF(C197=1,(F197+K197+L197+Q197)/2*'Invoer gegevens (N)'!$F$37*'Reeksen (N)'!L197,0)</f>
        <v>0</v>
      </c>
      <c r="AT197" s="71">
        <f ca="1">-IF(C197=1,IF(E197='Invoer gegevens (N)'!$C$17,'Invoer gegevens (N)'!$C$11,AD197)*'Reeksen (N)'!S197*'Invoer gegevens (N)'!$C$18*'Reeksen (N)'!P197,0)</f>
        <v>0</v>
      </c>
      <c r="AU197" s="71">
        <f ca="1">-IF(C197=1,(F197+K197+L197+Q197)/2*'Invoer gegevens (N)'!$F$38*'Reeksen (N)'!H197,0)</f>
        <v>0</v>
      </c>
      <c r="AV197" s="71">
        <v>0</v>
      </c>
      <c r="AW197" s="71">
        <f t="shared" ca="1" si="45"/>
        <v>0</v>
      </c>
      <c r="AX197" s="71">
        <f ca="1">IF(E197&lt;'Invoer gegevens (N)'!$C$17+15,0,IF(E197&gt;'Invoer gegevens (N)'!$C$17+215,0,AW197))</f>
        <v>0</v>
      </c>
      <c r="AY197" s="71">
        <f ca="1">AX197/(1+'Invoer gegevens (N)'!$F$18)^($AZ197-('Invoer gegevens (N)'!$C$17-'Invoer gegevens (N)'!$C$16))/(1+'Invoer gegevens (N)'!$C$39)^('Invoer gegevens (N)'!$C$17-'Invoer gegevens (N)'!$C$16)</f>
        <v>0</v>
      </c>
      <c r="AZ197" s="68">
        <f ca="1">IF(E197-'Invoer gegevens (N)'!$C$17-14.5&lt;0,0,E197-'Invoer gegevens (N)'!$C$17-14.5)</f>
        <v>177.5</v>
      </c>
      <c r="BA197" s="109">
        <f ca="1">IFERROR(VLOOKUP(E197-15,'Reeksen (N)'!$A$5:$D$234,2,FALSE),0)</f>
        <v>0</v>
      </c>
      <c r="BB197" s="109">
        <f ca="1">IFERROR(VLOOKUP(E197-15,'Reeksen (N)'!$A$5:$D$234,3,FALSE),0)</f>
        <v>0</v>
      </c>
      <c r="BC197" s="109">
        <f ca="1">IFERROR(VLOOKUP(E197-15,'Reeksen (N)'!$A$5:$D$234,4,FALSE),0)</f>
        <v>0</v>
      </c>
      <c r="BD197" s="67">
        <f ca="1">IF(E197-'Invoer gegevens (N)'!$C$17&lt;15,0,1)</f>
        <v>1</v>
      </c>
    </row>
    <row r="198" spans="1:56" x14ac:dyDescent="0.25">
      <c r="A198" s="59"/>
      <c r="B198" s="70">
        <f t="shared" si="46"/>
        <v>194</v>
      </c>
      <c r="C198" s="67">
        <f ca="1">IF(E198-'Invoer gegevens (N)'!$C$17&lt;0,0,1)</f>
        <v>1</v>
      </c>
      <c r="D198" s="68">
        <f t="shared" si="47"/>
        <v>193.5</v>
      </c>
      <c r="E198" s="108">
        <f ca="1">IF('Invoer gegevens (N)'!$C$16="","",E197+1)</f>
        <v>2212</v>
      </c>
      <c r="F198" s="84">
        <f ca="1">IF('Invoer gegevens (N)'!$C$17=E198,'Invoer gegevens (N)'!$C$10,IF(C198=1,K197,0))</f>
        <v>0</v>
      </c>
      <c r="G198" s="96">
        <f ca="1">IF(BD198&lt;1,F198*'Reeksen (N)'!C198,IF(C198&gt;=1,F198*BA198,0))</f>
        <v>0</v>
      </c>
      <c r="H198" s="84">
        <f ca="1">(1-('Invoer gegevens (N)'!$F$20/12))*F198*MIN(BA198,BC198)</f>
        <v>0</v>
      </c>
      <c r="I198" s="84">
        <f t="shared" ca="1" si="48"/>
        <v>0</v>
      </c>
      <c r="J198" s="84">
        <f ca="1">('Invoer gegevens (N)'!$F$20/12)*F197*MIN(BA198,BC198)</f>
        <v>0</v>
      </c>
      <c r="K198" s="97">
        <f t="shared" ref="K198:K234" ca="1" si="53">IF(F198-G198&lt;0,0,F198-G198)</f>
        <v>0</v>
      </c>
      <c r="L198" s="84">
        <f ca="1">IF('Invoer gegevens (N)'!$C$17=E198,0,IF(C198=1,Q197,0))</f>
        <v>0</v>
      </c>
      <c r="M198" s="96">
        <f t="shared" ca="1" si="49"/>
        <v>0</v>
      </c>
      <c r="N198" s="84">
        <f ca="1">(1-('Invoer gegevens (N)'!$F$20/12))*L198*MIN(BA198,BC198)</f>
        <v>0</v>
      </c>
      <c r="O198" s="84">
        <f t="shared" ca="1" si="50"/>
        <v>0</v>
      </c>
      <c r="P198" s="84">
        <f ca="1">('Invoer gegevens (N)'!$F$20/12)*L197*MIN(BA198,BC198)</f>
        <v>0</v>
      </c>
      <c r="Q198" s="84">
        <f t="shared" ref="Q198:Q234" ca="1" si="54">IF(L198-M198+I198+O198&lt;0,0,L198-M198+I198+O198)</f>
        <v>0</v>
      </c>
      <c r="R198" s="85">
        <f ca="1">IF('Invoer gegevens (N)'!$C$17=E198,'Invoer gegevens (N)'!$C$11,IF(C198=1,W197,0))</f>
        <v>0</v>
      </c>
      <c r="S198" s="86">
        <f t="shared" ca="1" si="51"/>
        <v>0</v>
      </c>
      <c r="T198" s="86">
        <f ca="1">(1-('Invoer gegevens (N)'!$F$20/12))*R198*MIN(BC198,BA198)</f>
        <v>0</v>
      </c>
      <c r="U198" s="86">
        <f ca="1">IF(BD198&lt;1,IF('Reeksen (N)'!AD198&lt;='Reeksen (N)'!AE198,R198*'Reeksen (N)'!C198,0),IF(BC198&gt;=BA198,0,IF('Reeksen (N)'!AD198&lt;='Reeksen (N)'!AE198,(BA198-BC198)*R198,0)))</f>
        <v>0</v>
      </c>
      <c r="V198" s="86">
        <f ca="1">IF(BD198&lt;1,IF('Reeksen (N)'!AD198&gt;'Reeksen (N)'!AE198,R198*'Reeksen (N)'!C198,0),IF(BC198&gt;=BA198,0,IF('Reeksen (N)'!AD198&gt;'Reeksen (N)'!AE198,(BA198-BC198)*R198,0)))</f>
        <v>0</v>
      </c>
      <c r="W198" s="218">
        <f t="shared" ref="W198:W234" ca="1" si="55">R198-S198-V198+AA198</f>
        <v>0</v>
      </c>
      <c r="X198" s="98">
        <f ca="1">IF('Invoer gegevens (N)'!$C$17=E198,'Invoer gegevens (N)'!$C$10-'Invoer gegevens (N)'!$C$11,IF(C198=1,AC197,0))</f>
        <v>0</v>
      </c>
      <c r="Y198" s="98">
        <f t="shared" ca="1" si="52"/>
        <v>0</v>
      </c>
      <c r="Z198" s="98">
        <f ca="1">(1-('Invoer gegevens (N)'!$F$20/12))*X198*MIN(BA198,BC198)</f>
        <v>0</v>
      </c>
      <c r="AA198" s="98">
        <f ca="1">IF(BD198&lt;1,IF('Reeksen (N)'!AD198&lt;='Reeksen (N)'!AE198,X198*'Reeksen (N)'!C198,0),IF(BC198&gt;=BA198,0,IF('Reeksen (N)'!AD198&lt;='Reeksen (N)'!AE198,(BA198-BC198)*X198,0)))</f>
        <v>0</v>
      </c>
      <c r="AB198" s="98">
        <f ca="1">IF(BD198&lt;1,IF('Reeksen (N)'!AD198&gt;'Reeksen (N)'!AE198,X198*'Reeksen (N)'!C198,0),IF(BC198&gt;=BA198,0,IF('Reeksen (N)'!AD198&gt;'Reeksen (N)'!AE198,(BA198-BC198)*X198,0)))</f>
        <v>0</v>
      </c>
      <c r="AC198" s="99">
        <f t="shared" ref="AC198:AC234" ca="1" si="56">X198-Y198+V198-AA198</f>
        <v>0</v>
      </c>
      <c r="AD198" s="98">
        <f ca="1">IF('Invoer gegevens (N)'!$C$17=E198,R198,IF(C198=0,0,AE197))</f>
        <v>0</v>
      </c>
      <c r="AE198" s="98">
        <f t="shared" ref="AE198:AE234" ca="1" si="57">IF(C198=0,0,AD198-S198-V198+AA198)</f>
        <v>0</v>
      </c>
      <c r="AF198" s="98">
        <f ca="1">IF('Invoer gegevens (N)'!$C$17=E198,X198,IF(C198=0,0,AG197))</f>
        <v>0</v>
      </c>
      <c r="AG198" s="98">
        <f t="shared" ref="AG198:AG234" ca="1" si="58">IF(C198=0,0,AF198-Y198-AA198+V198)</f>
        <v>0</v>
      </c>
      <c r="AH198" s="66"/>
      <c r="AI198" s="71">
        <f ca="1">IF(C198=1,'Reeksen (N)'!AI198*((F198+K198)/2)*12+'Reeksen (N)'!AD198*((L198+Q198)/2)*12,0)</f>
        <v>0</v>
      </c>
      <c r="AJ198" s="71">
        <f ca="1">-AI198*'Invoer gegevens (N)'!$F$28</f>
        <v>0</v>
      </c>
      <c r="AK198" s="71">
        <f t="shared" ref="AK198:AK234" ca="1" si="59">AI198+AJ198</f>
        <v>0</v>
      </c>
      <c r="AL198" s="71">
        <f ca="1">IF(C198=1,'Reeksen (N)'!AL198*((F198-G198+F198)/2)*12+'Reeksen (N)'!AM198*((L198-M198+L198)/2)*12,0)</f>
        <v>0</v>
      </c>
      <c r="AM198" s="71">
        <f ca="1">-AL198*'Invoer gegevens (N)'!$F$31</f>
        <v>0</v>
      </c>
      <c r="AN198" s="71">
        <f t="shared" ref="AN198:AN234" ca="1" si="60">AL198+AM198</f>
        <v>0</v>
      </c>
      <c r="AO198" s="71">
        <f ca="1">IF(C198=1,(H198+J198+N198+P198)*'Reeksen (N)'!AN198,0)</f>
        <v>0</v>
      </c>
      <c r="AP198" s="71">
        <f ca="1">-IF(C198=1,(H198+J198+N198+P198)*'Hulp - basis'!$O$550*'Reeksen (N)'!H198,0)</f>
        <v>0</v>
      </c>
      <c r="AQ198" s="71">
        <f ca="1">-IF(C198=1,(F198+K198+L198+Q198)/2*'Invoer gegevens (N)'!$F$35*'Reeksen (N)'!J198,0)*2</f>
        <v>0</v>
      </c>
      <c r="AR198" s="71">
        <f ca="1">IF(BD198&lt;1,-IF(C198=1,(G198*'Invoer gegevens (N)'!$F$36)*'Reeksen (N)'!J198,0),0)</f>
        <v>0</v>
      </c>
      <c r="AS198" s="71">
        <f ca="1">-IF(C198=1,(F198+K198+L198+Q198)/2*'Invoer gegevens (N)'!$F$37*'Reeksen (N)'!L198,0)</f>
        <v>0</v>
      </c>
      <c r="AT198" s="71">
        <f ca="1">-IF(C198=1,IF(E198='Invoer gegevens (N)'!$C$17,'Invoer gegevens (N)'!$C$11,AD198)*'Reeksen (N)'!S198*'Invoer gegevens (N)'!$C$18*'Reeksen (N)'!P198,0)</f>
        <v>0</v>
      </c>
      <c r="AU198" s="71">
        <f ca="1">-IF(C198=1,(F198+K198+L198+Q198)/2*'Invoer gegevens (N)'!$F$38*'Reeksen (N)'!H198,0)</f>
        <v>0</v>
      </c>
      <c r="AV198" s="71">
        <v>0</v>
      </c>
      <c r="AW198" s="71">
        <f t="shared" ref="AW198:AW234" ca="1" si="61">SUM(AK198,AN198:AV198)</f>
        <v>0</v>
      </c>
      <c r="AX198" s="71">
        <f ca="1">IF(E198&lt;'Invoer gegevens (N)'!$C$17+15,0,IF(E198&gt;'Invoer gegevens (N)'!$C$17+215,0,AW198))</f>
        <v>0</v>
      </c>
      <c r="AY198" s="71">
        <f ca="1">AX198/(1+'Invoer gegevens (N)'!$F$18)^($AZ198-('Invoer gegevens (N)'!$C$17-'Invoer gegevens (N)'!$C$16))/(1+'Invoer gegevens (N)'!$C$39)^('Invoer gegevens (N)'!$C$17-'Invoer gegevens (N)'!$C$16)</f>
        <v>0</v>
      </c>
      <c r="AZ198" s="68">
        <f ca="1">IF(E198-'Invoer gegevens (N)'!$C$17-14.5&lt;0,0,E198-'Invoer gegevens (N)'!$C$17-14.5)</f>
        <v>178.5</v>
      </c>
      <c r="BA198" s="109">
        <f ca="1">IFERROR(VLOOKUP(E198-15,'Reeksen (N)'!$A$5:$D$234,2,FALSE),0)</f>
        <v>0</v>
      </c>
      <c r="BB198" s="109">
        <f ca="1">IFERROR(VLOOKUP(E198-15,'Reeksen (N)'!$A$5:$D$234,3,FALSE),0)</f>
        <v>0</v>
      </c>
      <c r="BC198" s="109">
        <f ca="1">IFERROR(VLOOKUP(E198-15,'Reeksen (N)'!$A$5:$D$234,4,FALSE),0)</f>
        <v>0</v>
      </c>
      <c r="BD198" s="67">
        <f ca="1">IF(E198-'Invoer gegevens (N)'!$C$17&lt;15,0,1)</f>
        <v>1</v>
      </c>
    </row>
    <row r="199" spans="1:56" x14ac:dyDescent="0.25">
      <c r="A199" s="59"/>
      <c r="B199" s="70">
        <f t="shared" si="46"/>
        <v>195</v>
      </c>
      <c r="C199" s="67">
        <f ca="1">IF(E199-'Invoer gegevens (N)'!$C$17&lt;0,0,1)</f>
        <v>1</v>
      </c>
      <c r="D199" s="68">
        <f t="shared" si="47"/>
        <v>194.5</v>
      </c>
      <c r="E199" s="108">
        <f ca="1">IF('Invoer gegevens (N)'!$C$16="","",E198+1)</f>
        <v>2213</v>
      </c>
      <c r="F199" s="84">
        <f ca="1">IF('Invoer gegevens (N)'!$C$17=E199,'Invoer gegevens (N)'!$C$10,IF(C199=1,K198,0))</f>
        <v>0</v>
      </c>
      <c r="G199" s="96">
        <f ca="1">IF(BD199&lt;1,F199*'Reeksen (N)'!C199,IF(C199&gt;=1,F199*BA199,0))</f>
        <v>0</v>
      </c>
      <c r="H199" s="84">
        <f ca="1">(1-('Invoer gegevens (N)'!$F$20/12))*F199*MIN(BA199,BC199)</f>
        <v>0</v>
      </c>
      <c r="I199" s="84">
        <f t="shared" ca="1" si="48"/>
        <v>0</v>
      </c>
      <c r="J199" s="84">
        <f ca="1">('Invoer gegevens (N)'!$F$20/12)*F198*MIN(BA199,BC199)</f>
        <v>0</v>
      </c>
      <c r="K199" s="97">
        <f t="shared" ca="1" si="53"/>
        <v>0</v>
      </c>
      <c r="L199" s="84">
        <f ca="1">IF('Invoer gegevens (N)'!$C$17=E199,0,IF(C199=1,Q198,0))</f>
        <v>0</v>
      </c>
      <c r="M199" s="96">
        <f t="shared" ca="1" si="49"/>
        <v>0</v>
      </c>
      <c r="N199" s="84">
        <f ca="1">(1-('Invoer gegevens (N)'!$F$20/12))*L199*MIN(BA199,BC199)</f>
        <v>0</v>
      </c>
      <c r="O199" s="84">
        <f t="shared" ca="1" si="50"/>
        <v>0</v>
      </c>
      <c r="P199" s="84">
        <f ca="1">('Invoer gegevens (N)'!$F$20/12)*L198*MIN(BA199,BC199)</f>
        <v>0</v>
      </c>
      <c r="Q199" s="84">
        <f t="shared" ca="1" si="54"/>
        <v>0</v>
      </c>
      <c r="R199" s="85">
        <f ca="1">IF('Invoer gegevens (N)'!$C$17=E199,'Invoer gegevens (N)'!$C$11,IF(C199=1,W198,0))</f>
        <v>0</v>
      </c>
      <c r="S199" s="86">
        <f t="shared" ca="1" si="51"/>
        <v>0</v>
      </c>
      <c r="T199" s="86">
        <f ca="1">(1-('Invoer gegevens (N)'!$F$20/12))*R199*MIN(BC199,BA199)</f>
        <v>0</v>
      </c>
      <c r="U199" s="86">
        <f ca="1">IF(BD199&lt;1,IF('Reeksen (N)'!AD199&lt;='Reeksen (N)'!AE199,R199*'Reeksen (N)'!C199,0),IF(BC199&gt;=BA199,0,IF('Reeksen (N)'!AD199&lt;='Reeksen (N)'!AE199,(BA199-BC199)*R199,0)))</f>
        <v>0</v>
      </c>
      <c r="V199" s="86">
        <f ca="1">IF(BD199&lt;1,IF('Reeksen (N)'!AD199&gt;'Reeksen (N)'!AE199,R199*'Reeksen (N)'!C199,0),IF(BC199&gt;=BA199,0,IF('Reeksen (N)'!AD199&gt;'Reeksen (N)'!AE199,(BA199-BC199)*R199,0)))</f>
        <v>0</v>
      </c>
      <c r="W199" s="218">
        <f t="shared" ca="1" si="55"/>
        <v>0</v>
      </c>
      <c r="X199" s="98">
        <f ca="1">IF('Invoer gegevens (N)'!$C$17=E199,'Invoer gegevens (N)'!$C$10-'Invoer gegevens (N)'!$C$11,IF(C199=1,AC198,0))</f>
        <v>0</v>
      </c>
      <c r="Y199" s="98">
        <f t="shared" ca="1" si="52"/>
        <v>0</v>
      </c>
      <c r="Z199" s="98">
        <f ca="1">(1-('Invoer gegevens (N)'!$F$20/12))*X199*MIN(BA199,BC199)</f>
        <v>0</v>
      </c>
      <c r="AA199" s="98">
        <f ca="1">IF(BD199&lt;1,IF('Reeksen (N)'!AD199&lt;='Reeksen (N)'!AE199,X199*'Reeksen (N)'!C199,0),IF(BC199&gt;=BA199,0,IF('Reeksen (N)'!AD199&lt;='Reeksen (N)'!AE199,(BA199-BC199)*X199,0)))</f>
        <v>0</v>
      </c>
      <c r="AB199" s="98">
        <f ca="1">IF(BD199&lt;1,IF('Reeksen (N)'!AD199&gt;'Reeksen (N)'!AE199,X199*'Reeksen (N)'!C199,0),IF(BC199&gt;=BA199,0,IF('Reeksen (N)'!AD199&gt;'Reeksen (N)'!AE199,(BA199-BC199)*X199,0)))</f>
        <v>0</v>
      </c>
      <c r="AC199" s="99">
        <f t="shared" ca="1" si="56"/>
        <v>0</v>
      </c>
      <c r="AD199" s="98">
        <f ca="1">IF('Invoer gegevens (N)'!$C$17=E199,R199,IF(C199=0,0,AE198))</f>
        <v>0</v>
      </c>
      <c r="AE199" s="98">
        <f t="shared" ca="1" si="57"/>
        <v>0</v>
      </c>
      <c r="AF199" s="98">
        <f ca="1">IF('Invoer gegevens (N)'!$C$17=E199,X199,IF(C199=0,0,AG198))</f>
        <v>0</v>
      </c>
      <c r="AG199" s="98">
        <f t="shared" ca="1" si="58"/>
        <v>0</v>
      </c>
      <c r="AH199" s="66"/>
      <c r="AI199" s="71">
        <f ca="1">IF(C199=1,'Reeksen (N)'!AI199*((F199+K199)/2)*12+'Reeksen (N)'!AD199*((L199+Q199)/2)*12,0)</f>
        <v>0</v>
      </c>
      <c r="AJ199" s="71">
        <f ca="1">-AI199*'Invoer gegevens (N)'!$F$28</f>
        <v>0</v>
      </c>
      <c r="AK199" s="71">
        <f t="shared" ca="1" si="59"/>
        <v>0</v>
      </c>
      <c r="AL199" s="71">
        <f ca="1">IF(C199=1,'Reeksen (N)'!AL199*((F199-G199+F199)/2)*12+'Reeksen (N)'!AM199*((L199-M199+L199)/2)*12,0)</f>
        <v>0</v>
      </c>
      <c r="AM199" s="71">
        <f ca="1">-AL199*'Invoer gegevens (N)'!$F$31</f>
        <v>0</v>
      </c>
      <c r="AN199" s="71">
        <f t="shared" ca="1" si="60"/>
        <v>0</v>
      </c>
      <c r="AO199" s="71">
        <f ca="1">IF(C199=1,(H199+J199+N199+P199)*'Reeksen (N)'!AN199,0)</f>
        <v>0</v>
      </c>
      <c r="AP199" s="71">
        <f ca="1">-IF(C199=1,(H199+J199+N199+P199)*'Hulp - basis'!$O$550*'Reeksen (N)'!H199,0)</f>
        <v>0</v>
      </c>
      <c r="AQ199" s="71">
        <f ca="1">-IF(C199=1,(F199+K199+L199+Q199)/2*'Invoer gegevens (N)'!$F$35*'Reeksen (N)'!J199,0)*2</f>
        <v>0</v>
      </c>
      <c r="AR199" s="71">
        <f ca="1">IF(BD199&lt;1,-IF(C199=1,(G199*'Invoer gegevens (N)'!$F$36)*'Reeksen (N)'!J199,0),0)</f>
        <v>0</v>
      </c>
      <c r="AS199" s="71">
        <f ca="1">-IF(C199=1,(F199+K199+L199+Q199)/2*'Invoer gegevens (N)'!$F$37*'Reeksen (N)'!L199,0)</f>
        <v>0</v>
      </c>
      <c r="AT199" s="71">
        <f ca="1">-IF(C199=1,IF(E199='Invoer gegevens (N)'!$C$17,'Invoer gegevens (N)'!$C$11,AD199)*'Reeksen (N)'!S199*'Invoer gegevens (N)'!$C$18*'Reeksen (N)'!P199,0)</f>
        <v>0</v>
      </c>
      <c r="AU199" s="71">
        <f ca="1">-IF(C199=1,(F199+K199+L199+Q199)/2*'Invoer gegevens (N)'!$F$38*'Reeksen (N)'!H199,0)</f>
        <v>0</v>
      </c>
      <c r="AV199" s="71">
        <v>0</v>
      </c>
      <c r="AW199" s="71">
        <f t="shared" ca="1" si="61"/>
        <v>0</v>
      </c>
      <c r="AX199" s="71">
        <f ca="1">IF(E199&lt;'Invoer gegevens (N)'!$C$17+15,0,IF(E199&gt;'Invoer gegevens (N)'!$C$17+215,0,AW199))</f>
        <v>0</v>
      </c>
      <c r="AY199" s="71">
        <f ca="1">AX199/(1+'Invoer gegevens (N)'!$F$18)^($AZ199-('Invoer gegevens (N)'!$C$17-'Invoer gegevens (N)'!$C$16))/(1+'Invoer gegevens (N)'!$C$39)^('Invoer gegevens (N)'!$C$17-'Invoer gegevens (N)'!$C$16)</f>
        <v>0</v>
      </c>
      <c r="AZ199" s="68">
        <f ca="1">IF(E199-'Invoer gegevens (N)'!$C$17-14.5&lt;0,0,E199-'Invoer gegevens (N)'!$C$17-14.5)</f>
        <v>179.5</v>
      </c>
      <c r="BA199" s="109">
        <f ca="1">IFERROR(VLOOKUP(E199-15,'Reeksen (N)'!$A$5:$D$234,2,FALSE),0)</f>
        <v>0</v>
      </c>
      <c r="BB199" s="109">
        <f ca="1">IFERROR(VLOOKUP(E199-15,'Reeksen (N)'!$A$5:$D$234,3,FALSE),0)</f>
        <v>0</v>
      </c>
      <c r="BC199" s="109">
        <f ca="1">IFERROR(VLOOKUP(E199-15,'Reeksen (N)'!$A$5:$D$234,4,FALSE),0)</f>
        <v>0</v>
      </c>
      <c r="BD199" s="67">
        <f ca="1">IF(E199-'Invoer gegevens (N)'!$C$17&lt;15,0,1)</f>
        <v>1</v>
      </c>
    </row>
    <row r="200" spans="1:56" x14ac:dyDescent="0.25">
      <c r="A200" s="59"/>
      <c r="B200" s="70">
        <f t="shared" ref="B200:B234" si="62">B199+1</f>
        <v>196</v>
      </c>
      <c r="C200" s="67">
        <f ca="1">IF(E200-'Invoer gegevens (N)'!$C$17&lt;0,0,1)</f>
        <v>1</v>
      </c>
      <c r="D200" s="68">
        <f t="shared" ref="D200:D234" si="63">D199+1</f>
        <v>195.5</v>
      </c>
      <c r="E200" s="108">
        <f ca="1">IF('Invoer gegevens (N)'!$C$16="","",E199+1)</f>
        <v>2214</v>
      </c>
      <c r="F200" s="84">
        <f ca="1">IF('Invoer gegevens (N)'!$C$17=E200,'Invoer gegevens (N)'!$C$10,IF(C200=1,K199,0))</f>
        <v>0</v>
      </c>
      <c r="G200" s="96">
        <f ca="1">IF(BD200&lt;1,F200*'Reeksen (N)'!C200,IF(C200&gt;=1,F200*BA200,0))</f>
        <v>0</v>
      </c>
      <c r="H200" s="84">
        <f ca="1">(1-('Invoer gegevens (N)'!$F$20/12))*F200*MIN(BA200,BC200)</f>
        <v>0</v>
      </c>
      <c r="I200" s="84">
        <f t="shared" ca="1" si="48"/>
        <v>0</v>
      </c>
      <c r="J200" s="84">
        <f ca="1">('Invoer gegevens (N)'!$F$20/12)*F199*MIN(BA200,BC200)</f>
        <v>0</v>
      </c>
      <c r="K200" s="97">
        <f t="shared" ca="1" si="53"/>
        <v>0</v>
      </c>
      <c r="L200" s="84">
        <f ca="1">IF('Invoer gegevens (N)'!$C$17=E200,0,IF(C200=1,Q199,0))</f>
        <v>0</v>
      </c>
      <c r="M200" s="96">
        <f t="shared" ca="1" si="49"/>
        <v>0</v>
      </c>
      <c r="N200" s="84">
        <f ca="1">(1-('Invoer gegevens (N)'!$F$20/12))*L200*MIN(BA200,BC200)</f>
        <v>0</v>
      </c>
      <c r="O200" s="84">
        <f t="shared" ca="1" si="50"/>
        <v>0</v>
      </c>
      <c r="P200" s="84">
        <f ca="1">('Invoer gegevens (N)'!$F$20/12)*L199*MIN(BA200,BC200)</f>
        <v>0</v>
      </c>
      <c r="Q200" s="84">
        <f t="shared" ca="1" si="54"/>
        <v>0</v>
      </c>
      <c r="R200" s="85">
        <f ca="1">IF('Invoer gegevens (N)'!$C$17=E200,'Invoer gegevens (N)'!$C$11,IF(C200=1,W199,0))</f>
        <v>0</v>
      </c>
      <c r="S200" s="86">
        <f t="shared" ca="1" si="51"/>
        <v>0</v>
      </c>
      <c r="T200" s="86">
        <f ca="1">(1-('Invoer gegevens (N)'!$F$20/12))*R200*MIN(BC200,BA200)</f>
        <v>0</v>
      </c>
      <c r="U200" s="86">
        <f ca="1">IF(BD200&lt;1,IF('Reeksen (N)'!AD200&lt;='Reeksen (N)'!AE200,R200*'Reeksen (N)'!C200,0),IF(BC200&gt;=BA200,0,IF('Reeksen (N)'!AD200&lt;='Reeksen (N)'!AE200,(BA200-BC200)*R200,0)))</f>
        <v>0</v>
      </c>
      <c r="V200" s="86">
        <f ca="1">IF(BD200&lt;1,IF('Reeksen (N)'!AD200&gt;'Reeksen (N)'!AE200,R200*'Reeksen (N)'!C200,0),IF(BC200&gt;=BA200,0,IF('Reeksen (N)'!AD200&gt;'Reeksen (N)'!AE200,(BA200-BC200)*R200,0)))</f>
        <v>0</v>
      </c>
      <c r="W200" s="218">
        <f t="shared" ca="1" si="55"/>
        <v>0</v>
      </c>
      <c r="X200" s="98">
        <f ca="1">IF('Invoer gegevens (N)'!$C$17=E200,'Invoer gegevens (N)'!$C$10-'Invoer gegevens (N)'!$C$11,IF(C200=1,AC199,0))</f>
        <v>0</v>
      </c>
      <c r="Y200" s="98">
        <f t="shared" ca="1" si="52"/>
        <v>0</v>
      </c>
      <c r="Z200" s="98">
        <f ca="1">(1-('Invoer gegevens (N)'!$F$20/12))*X200*MIN(BA200,BC200)</f>
        <v>0</v>
      </c>
      <c r="AA200" s="98">
        <f ca="1">IF(BD200&lt;1,IF('Reeksen (N)'!AD200&lt;='Reeksen (N)'!AE200,X200*'Reeksen (N)'!C200,0),IF(BC200&gt;=BA200,0,IF('Reeksen (N)'!AD200&lt;='Reeksen (N)'!AE200,(BA200-BC200)*X200,0)))</f>
        <v>0</v>
      </c>
      <c r="AB200" s="98">
        <f ca="1">IF(BD200&lt;1,IF('Reeksen (N)'!AD200&gt;'Reeksen (N)'!AE200,X200*'Reeksen (N)'!C200,0),IF(BC200&gt;=BA200,0,IF('Reeksen (N)'!AD200&gt;'Reeksen (N)'!AE200,(BA200-BC200)*X200,0)))</f>
        <v>0</v>
      </c>
      <c r="AC200" s="99">
        <f t="shared" ca="1" si="56"/>
        <v>0</v>
      </c>
      <c r="AD200" s="98">
        <f ca="1">IF('Invoer gegevens (N)'!$C$17=E200,R200,IF(C200=0,0,AE199))</f>
        <v>0</v>
      </c>
      <c r="AE200" s="98">
        <f t="shared" ca="1" si="57"/>
        <v>0</v>
      </c>
      <c r="AF200" s="98">
        <f ca="1">IF('Invoer gegevens (N)'!$C$17=E200,X200,IF(C200=0,0,AG199))</f>
        <v>0</v>
      </c>
      <c r="AG200" s="98">
        <f t="shared" ca="1" si="58"/>
        <v>0</v>
      </c>
      <c r="AH200" s="66"/>
      <c r="AI200" s="71">
        <f ca="1">IF(C200=1,'Reeksen (N)'!AI200*((F200+K200)/2)*12+'Reeksen (N)'!AD200*((L200+Q200)/2)*12,0)</f>
        <v>0</v>
      </c>
      <c r="AJ200" s="71">
        <f ca="1">-AI200*'Invoer gegevens (N)'!$F$28</f>
        <v>0</v>
      </c>
      <c r="AK200" s="71">
        <f t="shared" ca="1" si="59"/>
        <v>0</v>
      </c>
      <c r="AL200" s="71">
        <f ca="1">IF(C200=1,'Reeksen (N)'!AL200*((F200-G200+F200)/2)*12+'Reeksen (N)'!AM200*((L200-M200+L200)/2)*12,0)</f>
        <v>0</v>
      </c>
      <c r="AM200" s="71">
        <f ca="1">-AL200*'Invoer gegevens (N)'!$F$31</f>
        <v>0</v>
      </c>
      <c r="AN200" s="71">
        <f t="shared" ca="1" si="60"/>
        <v>0</v>
      </c>
      <c r="AO200" s="71">
        <f ca="1">IF(C200=1,(H200+J200+N200+P200)*'Reeksen (N)'!AN200,0)</f>
        <v>0</v>
      </c>
      <c r="AP200" s="71">
        <f ca="1">-IF(C200=1,(H200+J200+N200+P200)*'Hulp - basis'!$O$550*'Reeksen (N)'!H200,0)</f>
        <v>0</v>
      </c>
      <c r="AQ200" s="71">
        <f ca="1">-IF(C200=1,(F200+K200+L200+Q200)/2*'Invoer gegevens (N)'!$F$35*'Reeksen (N)'!J200,0)*2</f>
        <v>0</v>
      </c>
      <c r="AR200" s="71">
        <f ca="1">IF(BD200&lt;1,-IF(C200=1,(G200*'Invoer gegevens (N)'!$F$36)*'Reeksen (N)'!J200,0),0)</f>
        <v>0</v>
      </c>
      <c r="AS200" s="71">
        <f ca="1">-IF(C200=1,(F200+K200+L200+Q200)/2*'Invoer gegevens (N)'!$F$37*'Reeksen (N)'!L200,0)</f>
        <v>0</v>
      </c>
      <c r="AT200" s="71">
        <f ca="1">-IF(C200=1,IF(E200='Invoer gegevens (N)'!$C$17,'Invoer gegevens (N)'!$C$11,AD200)*'Reeksen (N)'!S200*'Invoer gegevens (N)'!$C$18*'Reeksen (N)'!P200,0)</f>
        <v>0</v>
      </c>
      <c r="AU200" s="71">
        <f ca="1">-IF(C200=1,(F200+K200+L200+Q200)/2*'Invoer gegevens (N)'!$F$38*'Reeksen (N)'!H200,0)</f>
        <v>0</v>
      </c>
      <c r="AV200" s="71">
        <v>0</v>
      </c>
      <c r="AW200" s="71">
        <f t="shared" ca="1" si="61"/>
        <v>0</v>
      </c>
      <c r="AX200" s="71">
        <f ca="1">IF(E200&lt;'Invoer gegevens (N)'!$C$17+15,0,IF(E200&gt;'Invoer gegevens (N)'!$C$17+215,0,AW200))</f>
        <v>0</v>
      </c>
      <c r="AY200" s="71">
        <f ca="1">AX200/(1+'Invoer gegevens (N)'!$F$18)^($AZ200-('Invoer gegevens (N)'!$C$17-'Invoer gegevens (N)'!$C$16))/(1+'Invoer gegevens (N)'!$C$39)^('Invoer gegevens (N)'!$C$17-'Invoer gegevens (N)'!$C$16)</f>
        <v>0</v>
      </c>
      <c r="AZ200" s="68">
        <f ca="1">IF(E200-'Invoer gegevens (N)'!$C$17-14.5&lt;0,0,E200-'Invoer gegevens (N)'!$C$17-14.5)</f>
        <v>180.5</v>
      </c>
      <c r="BA200" s="109">
        <f ca="1">IFERROR(VLOOKUP(E200-15,'Reeksen (N)'!$A$5:$D$234,2,FALSE),0)</f>
        <v>0</v>
      </c>
      <c r="BB200" s="109">
        <f ca="1">IFERROR(VLOOKUP(E200-15,'Reeksen (N)'!$A$5:$D$234,3,FALSE),0)</f>
        <v>0</v>
      </c>
      <c r="BC200" s="109">
        <f ca="1">IFERROR(VLOOKUP(E200-15,'Reeksen (N)'!$A$5:$D$234,4,FALSE),0)</f>
        <v>0</v>
      </c>
      <c r="BD200" s="67">
        <f ca="1">IF(E200-'Invoer gegevens (N)'!$C$17&lt;15,0,1)</f>
        <v>1</v>
      </c>
    </row>
    <row r="201" spans="1:56" x14ac:dyDescent="0.25">
      <c r="A201" s="59"/>
      <c r="B201" s="70">
        <f t="shared" si="62"/>
        <v>197</v>
      </c>
      <c r="C201" s="67">
        <f ca="1">IF(E201-'Invoer gegevens (N)'!$C$17&lt;0,0,1)</f>
        <v>1</v>
      </c>
      <c r="D201" s="68">
        <f t="shared" si="63"/>
        <v>196.5</v>
      </c>
      <c r="E201" s="108">
        <f ca="1">IF('Invoer gegevens (N)'!$C$16="","",E200+1)</f>
        <v>2215</v>
      </c>
      <c r="F201" s="84">
        <f ca="1">IF('Invoer gegevens (N)'!$C$17=E201,'Invoer gegevens (N)'!$C$10,IF(C201=1,K200,0))</f>
        <v>0</v>
      </c>
      <c r="G201" s="96">
        <f ca="1">IF(BD201&lt;1,F201*'Reeksen (N)'!C201,IF(C201&gt;=1,F201*BA201,0))</f>
        <v>0</v>
      </c>
      <c r="H201" s="84">
        <f ca="1">(1-('Invoer gegevens (N)'!$F$20/12))*F201*MIN(BA201,BC201)</f>
        <v>0</v>
      </c>
      <c r="I201" s="84">
        <f t="shared" ca="1" si="48"/>
        <v>0</v>
      </c>
      <c r="J201" s="84">
        <f ca="1">('Invoer gegevens (N)'!$F$20/12)*F200*MIN(BA201,BC201)</f>
        <v>0</v>
      </c>
      <c r="K201" s="97">
        <f t="shared" ca="1" si="53"/>
        <v>0</v>
      </c>
      <c r="L201" s="84">
        <f ca="1">IF('Invoer gegevens (N)'!$C$17=E201,0,IF(C201=1,Q200,0))</f>
        <v>0</v>
      </c>
      <c r="M201" s="96">
        <f t="shared" ca="1" si="49"/>
        <v>0</v>
      </c>
      <c r="N201" s="84">
        <f ca="1">(1-('Invoer gegevens (N)'!$F$20/12))*L201*MIN(BA201,BC201)</f>
        <v>0</v>
      </c>
      <c r="O201" s="84">
        <f t="shared" ca="1" si="50"/>
        <v>0</v>
      </c>
      <c r="P201" s="84">
        <f ca="1">('Invoer gegevens (N)'!$F$20/12)*L200*MIN(BA201,BC201)</f>
        <v>0</v>
      </c>
      <c r="Q201" s="84">
        <f t="shared" ca="1" si="54"/>
        <v>0</v>
      </c>
      <c r="R201" s="85">
        <f ca="1">IF('Invoer gegevens (N)'!$C$17=E201,'Invoer gegevens (N)'!$C$11,IF(C201=1,W200,0))</f>
        <v>0</v>
      </c>
      <c r="S201" s="86">
        <f t="shared" ca="1" si="51"/>
        <v>0</v>
      </c>
      <c r="T201" s="86">
        <f ca="1">(1-('Invoer gegevens (N)'!$F$20/12))*R201*MIN(BC201,BA201)</f>
        <v>0</v>
      </c>
      <c r="U201" s="86">
        <f ca="1">IF(BD201&lt;1,IF('Reeksen (N)'!AD201&lt;='Reeksen (N)'!AE201,R201*'Reeksen (N)'!C201,0),IF(BC201&gt;=BA201,0,IF('Reeksen (N)'!AD201&lt;='Reeksen (N)'!AE201,(BA201-BC201)*R201,0)))</f>
        <v>0</v>
      </c>
      <c r="V201" s="86">
        <f ca="1">IF(BD201&lt;1,IF('Reeksen (N)'!AD201&gt;'Reeksen (N)'!AE201,R201*'Reeksen (N)'!C201,0),IF(BC201&gt;=BA201,0,IF('Reeksen (N)'!AD201&gt;'Reeksen (N)'!AE201,(BA201-BC201)*R201,0)))</f>
        <v>0</v>
      </c>
      <c r="W201" s="218">
        <f t="shared" ca="1" si="55"/>
        <v>0</v>
      </c>
      <c r="X201" s="98">
        <f ca="1">IF('Invoer gegevens (N)'!$C$17=E201,'Invoer gegevens (N)'!$C$10-'Invoer gegevens (N)'!$C$11,IF(C201=1,AC200,0))</f>
        <v>0</v>
      </c>
      <c r="Y201" s="98">
        <f t="shared" ca="1" si="52"/>
        <v>0</v>
      </c>
      <c r="Z201" s="98">
        <f ca="1">(1-('Invoer gegevens (N)'!$F$20/12))*X201*MIN(BA201,BC201)</f>
        <v>0</v>
      </c>
      <c r="AA201" s="98">
        <f ca="1">IF(BD201&lt;1,IF('Reeksen (N)'!AD201&lt;='Reeksen (N)'!AE201,X201*'Reeksen (N)'!C201,0),IF(BC201&gt;=BA201,0,IF('Reeksen (N)'!AD201&lt;='Reeksen (N)'!AE201,(BA201-BC201)*X201,0)))</f>
        <v>0</v>
      </c>
      <c r="AB201" s="98">
        <f ca="1">IF(BD201&lt;1,IF('Reeksen (N)'!AD201&gt;'Reeksen (N)'!AE201,X201*'Reeksen (N)'!C201,0),IF(BC201&gt;=BA201,0,IF('Reeksen (N)'!AD201&gt;'Reeksen (N)'!AE201,(BA201-BC201)*X201,0)))</f>
        <v>0</v>
      </c>
      <c r="AC201" s="99">
        <f t="shared" ca="1" si="56"/>
        <v>0</v>
      </c>
      <c r="AD201" s="98">
        <f ca="1">IF('Invoer gegevens (N)'!$C$17=E201,R201,IF(C201=0,0,AE200))</f>
        <v>0</v>
      </c>
      <c r="AE201" s="98">
        <f t="shared" ca="1" si="57"/>
        <v>0</v>
      </c>
      <c r="AF201" s="98">
        <f ca="1">IF('Invoer gegevens (N)'!$C$17=E201,X201,IF(C201=0,0,AG200))</f>
        <v>0</v>
      </c>
      <c r="AG201" s="98">
        <f t="shared" ca="1" si="58"/>
        <v>0</v>
      </c>
      <c r="AH201" s="66"/>
      <c r="AI201" s="71">
        <f ca="1">IF(C201=1,'Reeksen (N)'!AI201*((F201+K201)/2)*12+'Reeksen (N)'!AD201*((L201+Q201)/2)*12,0)</f>
        <v>0</v>
      </c>
      <c r="AJ201" s="71">
        <f ca="1">-AI201*'Invoer gegevens (N)'!$F$28</f>
        <v>0</v>
      </c>
      <c r="AK201" s="71">
        <f t="shared" ca="1" si="59"/>
        <v>0</v>
      </c>
      <c r="AL201" s="71">
        <f ca="1">IF(C201=1,'Reeksen (N)'!AL201*((F201-G201+F201)/2)*12+'Reeksen (N)'!AM201*((L201-M201+L201)/2)*12,0)</f>
        <v>0</v>
      </c>
      <c r="AM201" s="71">
        <f ca="1">-AL201*'Invoer gegevens (N)'!$F$31</f>
        <v>0</v>
      </c>
      <c r="AN201" s="71">
        <f t="shared" ca="1" si="60"/>
        <v>0</v>
      </c>
      <c r="AO201" s="71">
        <f ca="1">IF(C201=1,(H201+J201+N201+P201)*'Reeksen (N)'!AN201,0)</f>
        <v>0</v>
      </c>
      <c r="AP201" s="71">
        <f ca="1">-IF(C201=1,(H201+J201+N201+P201)*'Hulp - basis'!$O$550*'Reeksen (N)'!H201,0)</f>
        <v>0</v>
      </c>
      <c r="AQ201" s="71">
        <f ca="1">-IF(C201=1,(F201+K201+L201+Q201)/2*'Invoer gegevens (N)'!$F$35*'Reeksen (N)'!J201,0)*2</f>
        <v>0</v>
      </c>
      <c r="AR201" s="71">
        <f ca="1">IF(BD201&lt;1,-IF(C201=1,(G201*'Invoer gegevens (N)'!$F$36)*'Reeksen (N)'!J201,0),0)</f>
        <v>0</v>
      </c>
      <c r="AS201" s="71">
        <f ca="1">-IF(C201=1,(F201+K201+L201+Q201)/2*'Invoer gegevens (N)'!$F$37*'Reeksen (N)'!L201,0)</f>
        <v>0</v>
      </c>
      <c r="AT201" s="71">
        <f ca="1">-IF(C201=1,IF(E201='Invoer gegevens (N)'!$C$17,'Invoer gegevens (N)'!$C$11,AD201)*'Reeksen (N)'!S201*'Invoer gegevens (N)'!$C$18*'Reeksen (N)'!P201,0)</f>
        <v>0</v>
      </c>
      <c r="AU201" s="71">
        <f ca="1">-IF(C201=1,(F201+K201+L201+Q201)/2*'Invoer gegevens (N)'!$F$38*'Reeksen (N)'!H201,0)</f>
        <v>0</v>
      </c>
      <c r="AV201" s="71">
        <v>0</v>
      </c>
      <c r="AW201" s="71">
        <f t="shared" ca="1" si="61"/>
        <v>0</v>
      </c>
      <c r="AX201" s="71">
        <f ca="1">IF(E201&lt;'Invoer gegevens (N)'!$C$17+15,0,IF(E201&gt;'Invoer gegevens (N)'!$C$17+215,0,AW201))</f>
        <v>0</v>
      </c>
      <c r="AY201" s="71">
        <f ca="1">AX201/(1+'Invoer gegevens (N)'!$F$18)^($AZ201-('Invoer gegevens (N)'!$C$17-'Invoer gegevens (N)'!$C$16))/(1+'Invoer gegevens (N)'!$C$39)^('Invoer gegevens (N)'!$C$17-'Invoer gegevens (N)'!$C$16)</f>
        <v>0</v>
      </c>
      <c r="AZ201" s="68">
        <f ca="1">IF(E201-'Invoer gegevens (N)'!$C$17-14.5&lt;0,0,E201-'Invoer gegevens (N)'!$C$17-14.5)</f>
        <v>181.5</v>
      </c>
      <c r="BA201" s="109">
        <f ca="1">IFERROR(VLOOKUP(E201-15,'Reeksen (N)'!$A$5:$D$234,2,FALSE),0)</f>
        <v>0</v>
      </c>
      <c r="BB201" s="109">
        <f ca="1">IFERROR(VLOOKUP(E201-15,'Reeksen (N)'!$A$5:$D$234,3,FALSE),0)</f>
        <v>0</v>
      </c>
      <c r="BC201" s="109">
        <f ca="1">IFERROR(VLOOKUP(E201-15,'Reeksen (N)'!$A$5:$D$234,4,FALSE),0)</f>
        <v>0</v>
      </c>
      <c r="BD201" s="67">
        <f ca="1">IF(E201-'Invoer gegevens (N)'!$C$17&lt;15,0,1)</f>
        <v>1</v>
      </c>
    </row>
    <row r="202" spans="1:56" x14ac:dyDescent="0.25">
      <c r="A202" s="59"/>
      <c r="B202" s="70">
        <f t="shared" si="62"/>
        <v>198</v>
      </c>
      <c r="C202" s="67">
        <f ca="1">IF(E202-'Invoer gegevens (N)'!$C$17&lt;0,0,1)</f>
        <v>1</v>
      </c>
      <c r="D202" s="68">
        <f t="shared" si="63"/>
        <v>197.5</v>
      </c>
      <c r="E202" s="108">
        <f ca="1">IF('Invoer gegevens (N)'!$C$16="","",E201+1)</f>
        <v>2216</v>
      </c>
      <c r="F202" s="84">
        <f ca="1">IF('Invoer gegevens (N)'!$C$17=E202,'Invoer gegevens (N)'!$C$10,IF(C202=1,K201,0))</f>
        <v>0</v>
      </c>
      <c r="G202" s="96">
        <f ca="1">IF(BD202&lt;1,F202*'Reeksen (N)'!C202,IF(C202&gt;=1,F202*BA202,0))</f>
        <v>0</v>
      </c>
      <c r="H202" s="84">
        <f ca="1">(1-('Invoer gegevens (N)'!$F$20/12))*F202*MIN(BA202,BC202)</f>
        <v>0</v>
      </c>
      <c r="I202" s="84">
        <f t="shared" ca="1" si="48"/>
        <v>0</v>
      </c>
      <c r="J202" s="84">
        <f ca="1">('Invoer gegevens (N)'!$F$20/12)*F201*MIN(BA202,BC202)</f>
        <v>0</v>
      </c>
      <c r="K202" s="97">
        <f t="shared" ca="1" si="53"/>
        <v>0</v>
      </c>
      <c r="L202" s="84">
        <f ca="1">IF('Invoer gegevens (N)'!$C$17=E202,0,IF(C202=1,Q201,0))</f>
        <v>0</v>
      </c>
      <c r="M202" s="96">
        <f t="shared" ca="1" si="49"/>
        <v>0</v>
      </c>
      <c r="N202" s="84">
        <f ca="1">(1-('Invoer gegevens (N)'!$F$20/12))*L202*MIN(BA202,BC202)</f>
        <v>0</v>
      </c>
      <c r="O202" s="84">
        <f t="shared" ca="1" si="50"/>
        <v>0</v>
      </c>
      <c r="P202" s="84">
        <f ca="1">('Invoer gegevens (N)'!$F$20/12)*L201*MIN(BA202,BC202)</f>
        <v>0</v>
      </c>
      <c r="Q202" s="84">
        <f t="shared" ca="1" si="54"/>
        <v>0</v>
      </c>
      <c r="R202" s="85">
        <f ca="1">IF('Invoer gegevens (N)'!$C$17=E202,'Invoer gegevens (N)'!$C$11,IF(C202=1,W201,0))</f>
        <v>0</v>
      </c>
      <c r="S202" s="86">
        <f t="shared" ca="1" si="51"/>
        <v>0</v>
      </c>
      <c r="T202" s="86">
        <f ca="1">(1-('Invoer gegevens (N)'!$F$20/12))*R202*MIN(BC202,BA202)</f>
        <v>0</v>
      </c>
      <c r="U202" s="86">
        <f ca="1">IF(BD202&lt;1,IF('Reeksen (N)'!AD202&lt;='Reeksen (N)'!AE202,R202*'Reeksen (N)'!C202,0),IF(BC202&gt;=BA202,0,IF('Reeksen (N)'!AD202&lt;='Reeksen (N)'!AE202,(BA202-BC202)*R202,0)))</f>
        <v>0</v>
      </c>
      <c r="V202" s="86">
        <f ca="1">IF(BD202&lt;1,IF('Reeksen (N)'!AD202&gt;'Reeksen (N)'!AE202,R202*'Reeksen (N)'!C202,0),IF(BC202&gt;=BA202,0,IF('Reeksen (N)'!AD202&gt;'Reeksen (N)'!AE202,(BA202-BC202)*R202,0)))</f>
        <v>0</v>
      </c>
      <c r="W202" s="218">
        <f t="shared" ca="1" si="55"/>
        <v>0</v>
      </c>
      <c r="X202" s="98">
        <f ca="1">IF('Invoer gegevens (N)'!$C$17=E202,'Invoer gegevens (N)'!$C$10-'Invoer gegevens (N)'!$C$11,IF(C202=1,AC201,0))</f>
        <v>0</v>
      </c>
      <c r="Y202" s="98">
        <f t="shared" ca="1" si="52"/>
        <v>0</v>
      </c>
      <c r="Z202" s="98">
        <f ca="1">(1-('Invoer gegevens (N)'!$F$20/12))*X202*MIN(BA202,BC202)</f>
        <v>0</v>
      </c>
      <c r="AA202" s="98">
        <f ca="1">IF(BD202&lt;1,IF('Reeksen (N)'!AD202&lt;='Reeksen (N)'!AE202,X202*'Reeksen (N)'!C202,0),IF(BC202&gt;=BA202,0,IF('Reeksen (N)'!AD202&lt;='Reeksen (N)'!AE202,(BA202-BC202)*X202,0)))</f>
        <v>0</v>
      </c>
      <c r="AB202" s="98">
        <f ca="1">IF(BD202&lt;1,IF('Reeksen (N)'!AD202&gt;'Reeksen (N)'!AE202,X202*'Reeksen (N)'!C202,0),IF(BC202&gt;=BA202,0,IF('Reeksen (N)'!AD202&gt;'Reeksen (N)'!AE202,(BA202-BC202)*X202,0)))</f>
        <v>0</v>
      </c>
      <c r="AC202" s="99">
        <f t="shared" ca="1" si="56"/>
        <v>0</v>
      </c>
      <c r="AD202" s="98">
        <f ca="1">IF('Invoer gegevens (N)'!$C$17=E202,R202,IF(C202=0,0,AE201))</f>
        <v>0</v>
      </c>
      <c r="AE202" s="98">
        <f t="shared" ca="1" si="57"/>
        <v>0</v>
      </c>
      <c r="AF202" s="98">
        <f ca="1">IF('Invoer gegevens (N)'!$C$17=E202,X202,IF(C202=0,0,AG201))</f>
        <v>0</v>
      </c>
      <c r="AG202" s="98">
        <f t="shared" ca="1" si="58"/>
        <v>0</v>
      </c>
      <c r="AH202" s="66"/>
      <c r="AI202" s="71">
        <f ca="1">IF(C202=1,'Reeksen (N)'!AI202*((F202+K202)/2)*12+'Reeksen (N)'!AD202*((L202+Q202)/2)*12,0)</f>
        <v>0</v>
      </c>
      <c r="AJ202" s="71">
        <f ca="1">-AI202*'Invoer gegevens (N)'!$F$28</f>
        <v>0</v>
      </c>
      <c r="AK202" s="71">
        <f t="shared" ca="1" si="59"/>
        <v>0</v>
      </c>
      <c r="AL202" s="71">
        <f ca="1">IF(C202=1,'Reeksen (N)'!AL202*((F202-G202+F202)/2)*12+'Reeksen (N)'!AM202*((L202-M202+L202)/2)*12,0)</f>
        <v>0</v>
      </c>
      <c r="AM202" s="71">
        <f ca="1">-AL202*'Invoer gegevens (N)'!$F$31</f>
        <v>0</v>
      </c>
      <c r="AN202" s="71">
        <f t="shared" ca="1" si="60"/>
        <v>0</v>
      </c>
      <c r="AO202" s="71">
        <f ca="1">IF(C202=1,(H202+J202+N202+P202)*'Reeksen (N)'!AN202,0)</f>
        <v>0</v>
      </c>
      <c r="AP202" s="71">
        <f ca="1">-IF(C202=1,(H202+J202+N202+P202)*'Hulp - basis'!$O$550*'Reeksen (N)'!H202,0)</f>
        <v>0</v>
      </c>
      <c r="AQ202" s="71">
        <f ca="1">-IF(C202=1,(F202+K202+L202+Q202)/2*'Invoer gegevens (N)'!$F$35*'Reeksen (N)'!J202,0)*2</f>
        <v>0</v>
      </c>
      <c r="AR202" s="71">
        <f ca="1">IF(BD202&lt;1,-IF(C202=1,(G202*'Invoer gegevens (N)'!$F$36)*'Reeksen (N)'!J202,0),0)</f>
        <v>0</v>
      </c>
      <c r="AS202" s="71">
        <f ca="1">-IF(C202=1,(F202+K202+L202+Q202)/2*'Invoer gegevens (N)'!$F$37*'Reeksen (N)'!L202,0)</f>
        <v>0</v>
      </c>
      <c r="AT202" s="71">
        <f ca="1">-IF(C202=1,IF(E202='Invoer gegevens (N)'!$C$17,'Invoer gegevens (N)'!$C$11,AD202)*'Reeksen (N)'!S202*'Invoer gegevens (N)'!$C$18*'Reeksen (N)'!P202,0)</f>
        <v>0</v>
      </c>
      <c r="AU202" s="71">
        <f ca="1">-IF(C202=1,(F202+K202+L202+Q202)/2*'Invoer gegevens (N)'!$F$38*'Reeksen (N)'!H202,0)</f>
        <v>0</v>
      </c>
      <c r="AV202" s="71">
        <v>0</v>
      </c>
      <c r="AW202" s="71">
        <f t="shared" ca="1" si="61"/>
        <v>0</v>
      </c>
      <c r="AX202" s="71">
        <f ca="1">IF(E202&lt;'Invoer gegevens (N)'!$C$17+15,0,IF(E202&gt;'Invoer gegevens (N)'!$C$17+215,0,AW202))</f>
        <v>0</v>
      </c>
      <c r="AY202" s="71">
        <f ca="1">AX202/(1+'Invoer gegevens (N)'!$F$18)^($AZ202-('Invoer gegevens (N)'!$C$17-'Invoer gegevens (N)'!$C$16))/(1+'Invoer gegevens (N)'!$C$39)^('Invoer gegevens (N)'!$C$17-'Invoer gegevens (N)'!$C$16)</f>
        <v>0</v>
      </c>
      <c r="AZ202" s="68">
        <f ca="1">IF(E202-'Invoer gegevens (N)'!$C$17-14.5&lt;0,0,E202-'Invoer gegevens (N)'!$C$17-14.5)</f>
        <v>182.5</v>
      </c>
      <c r="BA202" s="109">
        <f ca="1">IFERROR(VLOOKUP(E202-15,'Reeksen (N)'!$A$5:$D$234,2,FALSE),0)</f>
        <v>0</v>
      </c>
      <c r="BB202" s="109">
        <f ca="1">IFERROR(VLOOKUP(E202-15,'Reeksen (N)'!$A$5:$D$234,3,FALSE),0)</f>
        <v>0</v>
      </c>
      <c r="BC202" s="109">
        <f ca="1">IFERROR(VLOOKUP(E202-15,'Reeksen (N)'!$A$5:$D$234,4,FALSE),0)</f>
        <v>0</v>
      </c>
      <c r="BD202" s="67">
        <f ca="1">IF(E202-'Invoer gegevens (N)'!$C$17&lt;15,0,1)</f>
        <v>1</v>
      </c>
    </row>
    <row r="203" spans="1:56" x14ac:dyDescent="0.25">
      <c r="A203" s="59"/>
      <c r="B203" s="70">
        <f t="shared" si="62"/>
        <v>199</v>
      </c>
      <c r="C203" s="67">
        <f ca="1">IF(E203-'Invoer gegevens (N)'!$C$17&lt;0,0,1)</f>
        <v>1</v>
      </c>
      <c r="D203" s="68">
        <f t="shared" si="63"/>
        <v>198.5</v>
      </c>
      <c r="E203" s="108">
        <f ca="1">IF('Invoer gegevens (N)'!$C$16="","",E202+1)</f>
        <v>2217</v>
      </c>
      <c r="F203" s="84">
        <f ca="1">IF('Invoer gegevens (N)'!$C$17=E203,'Invoer gegevens (N)'!$C$10,IF(C203=1,K202,0))</f>
        <v>0</v>
      </c>
      <c r="G203" s="96">
        <f ca="1">IF(BD203&lt;1,F203*'Reeksen (N)'!C203,IF(C203&gt;=1,F203*BA203,0))</f>
        <v>0</v>
      </c>
      <c r="H203" s="84">
        <f ca="1">(1-('Invoer gegevens (N)'!$F$20/12))*F203*MIN(BA203,BC203)</f>
        <v>0</v>
      </c>
      <c r="I203" s="84">
        <f t="shared" ca="1" si="48"/>
        <v>0</v>
      </c>
      <c r="J203" s="84">
        <f ca="1">('Invoer gegevens (N)'!$F$20/12)*F202*MIN(BA203,BC203)</f>
        <v>0</v>
      </c>
      <c r="K203" s="97">
        <f t="shared" ca="1" si="53"/>
        <v>0</v>
      </c>
      <c r="L203" s="84">
        <f ca="1">IF('Invoer gegevens (N)'!$C$17=E203,0,IF(C203=1,Q202,0))</f>
        <v>0</v>
      </c>
      <c r="M203" s="96">
        <f t="shared" ca="1" si="49"/>
        <v>0</v>
      </c>
      <c r="N203" s="84">
        <f ca="1">(1-('Invoer gegevens (N)'!$F$20/12))*L203*MIN(BA203,BC203)</f>
        <v>0</v>
      </c>
      <c r="O203" s="84">
        <f t="shared" ca="1" si="50"/>
        <v>0</v>
      </c>
      <c r="P203" s="84">
        <f ca="1">('Invoer gegevens (N)'!$F$20/12)*L202*MIN(BA203,BC203)</f>
        <v>0</v>
      </c>
      <c r="Q203" s="84">
        <f t="shared" ca="1" si="54"/>
        <v>0</v>
      </c>
      <c r="R203" s="85">
        <f ca="1">IF('Invoer gegevens (N)'!$C$17=E203,'Invoer gegevens (N)'!$C$11,IF(C203=1,W202,0))</f>
        <v>0</v>
      </c>
      <c r="S203" s="86">
        <f t="shared" ca="1" si="51"/>
        <v>0</v>
      </c>
      <c r="T203" s="86">
        <f ca="1">(1-('Invoer gegevens (N)'!$F$20/12))*R203*MIN(BC203,BA203)</f>
        <v>0</v>
      </c>
      <c r="U203" s="86">
        <f ca="1">IF(BD203&lt;1,IF('Reeksen (N)'!AD203&lt;='Reeksen (N)'!AE203,R203*'Reeksen (N)'!C203,0),IF(BC203&gt;=BA203,0,IF('Reeksen (N)'!AD203&lt;='Reeksen (N)'!AE203,(BA203-BC203)*R203,0)))</f>
        <v>0</v>
      </c>
      <c r="V203" s="86">
        <f ca="1">IF(BD203&lt;1,IF('Reeksen (N)'!AD203&gt;'Reeksen (N)'!AE203,R203*'Reeksen (N)'!C203,0),IF(BC203&gt;=BA203,0,IF('Reeksen (N)'!AD203&gt;'Reeksen (N)'!AE203,(BA203-BC203)*R203,0)))</f>
        <v>0</v>
      </c>
      <c r="W203" s="218">
        <f t="shared" ca="1" si="55"/>
        <v>0</v>
      </c>
      <c r="X203" s="98">
        <f ca="1">IF('Invoer gegevens (N)'!$C$17=E203,'Invoer gegevens (N)'!$C$10-'Invoer gegevens (N)'!$C$11,IF(C203=1,AC202,0))</f>
        <v>0</v>
      </c>
      <c r="Y203" s="98">
        <f t="shared" ca="1" si="52"/>
        <v>0</v>
      </c>
      <c r="Z203" s="98">
        <f ca="1">(1-('Invoer gegevens (N)'!$F$20/12))*X203*MIN(BA203,BC203)</f>
        <v>0</v>
      </c>
      <c r="AA203" s="98">
        <f ca="1">IF(BD203&lt;1,IF('Reeksen (N)'!AD203&lt;='Reeksen (N)'!AE203,X203*'Reeksen (N)'!C203,0),IF(BC203&gt;=BA203,0,IF('Reeksen (N)'!AD203&lt;='Reeksen (N)'!AE203,(BA203-BC203)*X203,0)))</f>
        <v>0</v>
      </c>
      <c r="AB203" s="98">
        <f ca="1">IF(BD203&lt;1,IF('Reeksen (N)'!AD203&gt;'Reeksen (N)'!AE203,X203*'Reeksen (N)'!C203,0),IF(BC203&gt;=BA203,0,IF('Reeksen (N)'!AD203&gt;'Reeksen (N)'!AE203,(BA203-BC203)*X203,0)))</f>
        <v>0</v>
      </c>
      <c r="AC203" s="99">
        <f t="shared" ca="1" si="56"/>
        <v>0</v>
      </c>
      <c r="AD203" s="98">
        <f ca="1">IF('Invoer gegevens (N)'!$C$17=E203,R203,IF(C203=0,0,AE202))</f>
        <v>0</v>
      </c>
      <c r="AE203" s="98">
        <f t="shared" ca="1" si="57"/>
        <v>0</v>
      </c>
      <c r="AF203" s="98">
        <f ca="1">IF('Invoer gegevens (N)'!$C$17=E203,X203,IF(C203=0,0,AG202))</f>
        <v>0</v>
      </c>
      <c r="AG203" s="98">
        <f t="shared" ca="1" si="58"/>
        <v>0</v>
      </c>
      <c r="AH203" s="66"/>
      <c r="AI203" s="71">
        <f ca="1">IF(C203=1,'Reeksen (N)'!AI203*((F203+K203)/2)*12+'Reeksen (N)'!AD203*((L203+Q203)/2)*12,0)</f>
        <v>0</v>
      </c>
      <c r="AJ203" s="71">
        <f ca="1">-AI203*'Invoer gegevens (N)'!$F$28</f>
        <v>0</v>
      </c>
      <c r="AK203" s="71">
        <f t="shared" ca="1" si="59"/>
        <v>0</v>
      </c>
      <c r="AL203" s="71">
        <f ca="1">IF(C203=1,'Reeksen (N)'!AL203*((F203-G203+F203)/2)*12+'Reeksen (N)'!AM203*((L203-M203+L203)/2)*12,0)</f>
        <v>0</v>
      </c>
      <c r="AM203" s="71">
        <f ca="1">-AL203*'Invoer gegevens (N)'!$F$31</f>
        <v>0</v>
      </c>
      <c r="AN203" s="71">
        <f t="shared" ca="1" si="60"/>
        <v>0</v>
      </c>
      <c r="AO203" s="71">
        <f ca="1">IF(C203=1,(H203+J203+N203+P203)*'Reeksen (N)'!AN203,0)</f>
        <v>0</v>
      </c>
      <c r="AP203" s="71">
        <f ca="1">-IF(C203=1,(H203+J203+N203+P203)*'Hulp - basis'!$O$550*'Reeksen (N)'!H203,0)</f>
        <v>0</v>
      </c>
      <c r="AQ203" s="71">
        <f ca="1">-IF(C203=1,(F203+K203+L203+Q203)/2*'Invoer gegevens (N)'!$F$35*'Reeksen (N)'!J203,0)*2</f>
        <v>0</v>
      </c>
      <c r="AR203" s="71">
        <f ca="1">IF(BD203&lt;1,-IF(C203=1,(G203*'Invoer gegevens (N)'!$F$36)*'Reeksen (N)'!J203,0),0)</f>
        <v>0</v>
      </c>
      <c r="AS203" s="71">
        <f ca="1">-IF(C203=1,(F203+K203+L203+Q203)/2*'Invoer gegevens (N)'!$F$37*'Reeksen (N)'!L203,0)</f>
        <v>0</v>
      </c>
      <c r="AT203" s="71">
        <f ca="1">-IF(C203=1,IF(E203='Invoer gegevens (N)'!$C$17,'Invoer gegevens (N)'!$C$11,AD203)*'Reeksen (N)'!S203*'Invoer gegevens (N)'!$C$18*'Reeksen (N)'!P203,0)</f>
        <v>0</v>
      </c>
      <c r="AU203" s="71">
        <f ca="1">-IF(C203=1,(F203+K203+L203+Q203)/2*'Invoer gegevens (N)'!$F$38*'Reeksen (N)'!H203,0)</f>
        <v>0</v>
      </c>
      <c r="AV203" s="71">
        <v>0</v>
      </c>
      <c r="AW203" s="71">
        <f t="shared" ca="1" si="61"/>
        <v>0</v>
      </c>
      <c r="AX203" s="71">
        <f ca="1">IF(E203&lt;'Invoer gegevens (N)'!$C$17+15,0,IF(E203&gt;'Invoer gegevens (N)'!$C$17+215,0,AW203))</f>
        <v>0</v>
      </c>
      <c r="AY203" s="71">
        <f ca="1">AX203/(1+'Invoer gegevens (N)'!$F$18)^($AZ203-('Invoer gegevens (N)'!$C$17-'Invoer gegevens (N)'!$C$16))/(1+'Invoer gegevens (N)'!$C$39)^('Invoer gegevens (N)'!$C$17-'Invoer gegevens (N)'!$C$16)</f>
        <v>0</v>
      </c>
      <c r="AZ203" s="68">
        <f ca="1">IF(E203-'Invoer gegevens (N)'!$C$17-14.5&lt;0,0,E203-'Invoer gegevens (N)'!$C$17-14.5)</f>
        <v>183.5</v>
      </c>
      <c r="BA203" s="109">
        <f ca="1">IFERROR(VLOOKUP(E203-15,'Reeksen (N)'!$A$5:$D$234,2,FALSE),0)</f>
        <v>0</v>
      </c>
      <c r="BB203" s="109">
        <f ca="1">IFERROR(VLOOKUP(E203-15,'Reeksen (N)'!$A$5:$D$234,3,FALSE),0)</f>
        <v>0</v>
      </c>
      <c r="BC203" s="109">
        <f ca="1">IFERROR(VLOOKUP(E203-15,'Reeksen (N)'!$A$5:$D$234,4,FALSE),0)</f>
        <v>0</v>
      </c>
      <c r="BD203" s="67">
        <f ca="1">IF(E203-'Invoer gegevens (N)'!$C$17&lt;15,0,1)</f>
        <v>1</v>
      </c>
    </row>
    <row r="204" spans="1:56" x14ac:dyDescent="0.25">
      <c r="A204" s="59"/>
      <c r="B204" s="70">
        <f t="shared" si="62"/>
        <v>200</v>
      </c>
      <c r="C204" s="67">
        <f ca="1">IF(E204-'Invoer gegevens (N)'!$C$17&lt;0,0,1)</f>
        <v>1</v>
      </c>
      <c r="D204" s="68">
        <f t="shared" si="63"/>
        <v>199.5</v>
      </c>
      <c r="E204" s="108">
        <f ca="1">IF('Invoer gegevens (N)'!$C$16="","",E203+1)</f>
        <v>2218</v>
      </c>
      <c r="F204" s="84">
        <f ca="1">IF('Invoer gegevens (N)'!$C$17=E204,'Invoer gegevens (N)'!$C$10,IF(C204=1,K203,0))</f>
        <v>0</v>
      </c>
      <c r="G204" s="96">
        <f ca="1">IF(BD204&lt;1,F204*'Reeksen (N)'!C204,IF(C204&gt;=1,F204*BA204,0))</f>
        <v>0</v>
      </c>
      <c r="H204" s="84">
        <f ca="1">(1-('Invoer gegevens (N)'!$F$20/12))*F204*MIN(BA204,BC204)</f>
        <v>0</v>
      </c>
      <c r="I204" s="84">
        <f t="shared" ca="1" si="48"/>
        <v>0</v>
      </c>
      <c r="J204" s="84">
        <f ca="1">('Invoer gegevens (N)'!$F$20/12)*F203*MIN(BA204,BC204)</f>
        <v>0</v>
      </c>
      <c r="K204" s="97">
        <f t="shared" ca="1" si="53"/>
        <v>0</v>
      </c>
      <c r="L204" s="84">
        <f ca="1">IF('Invoer gegevens (N)'!$C$17=E204,0,IF(C204=1,Q203,0))</f>
        <v>0</v>
      </c>
      <c r="M204" s="96">
        <f t="shared" ca="1" si="49"/>
        <v>0</v>
      </c>
      <c r="N204" s="84">
        <f ca="1">(1-('Invoer gegevens (N)'!$F$20/12))*L204*MIN(BA204,BC204)</f>
        <v>0</v>
      </c>
      <c r="O204" s="84">
        <f t="shared" ca="1" si="50"/>
        <v>0</v>
      </c>
      <c r="P204" s="84">
        <f ca="1">('Invoer gegevens (N)'!$F$20/12)*L203*MIN(BA204,BC204)</f>
        <v>0</v>
      </c>
      <c r="Q204" s="84">
        <f t="shared" ca="1" si="54"/>
        <v>0</v>
      </c>
      <c r="R204" s="85">
        <f ca="1">IF('Invoer gegevens (N)'!$C$17=E204,'Invoer gegevens (N)'!$C$11,IF(C204=1,W203,0))</f>
        <v>0</v>
      </c>
      <c r="S204" s="86">
        <f t="shared" ca="1" si="51"/>
        <v>0</v>
      </c>
      <c r="T204" s="86">
        <f ca="1">(1-('Invoer gegevens (N)'!$F$20/12))*R204*MIN(BC204,BA204)</f>
        <v>0</v>
      </c>
      <c r="U204" s="86">
        <f ca="1">IF(BD204&lt;1,IF('Reeksen (N)'!AD204&lt;='Reeksen (N)'!AE204,R204*'Reeksen (N)'!C204,0),IF(BC204&gt;=BA204,0,IF('Reeksen (N)'!AD204&lt;='Reeksen (N)'!AE204,(BA204-BC204)*R204,0)))</f>
        <v>0</v>
      </c>
      <c r="V204" s="86">
        <f ca="1">IF(BD204&lt;1,IF('Reeksen (N)'!AD204&gt;'Reeksen (N)'!AE204,R204*'Reeksen (N)'!C204,0),IF(BC204&gt;=BA204,0,IF('Reeksen (N)'!AD204&gt;'Reeksen (N)'!AE204,(BA204-BC204)*R204,0)))</f>
        <v>0</v>
      </c>
      <c r="W204" s="218">
        <f t="shared" ca="1" si="55"/>
        <v>0</v>
      </c>
      <c r="X204" s="98">
        <f ca="1">IF('Invoer gegevens (N)'!$C$17=E204,'Invoer gegevens (N)'!$C$10-'Invoer gegevens (N)'!$C$11,IF(C204=1,AC203,0))</f>
        <v>0</v>
      </c>
      <c r="Y204" s="98">
        <f t="shared" ca="1" si="52"/>
        <v>0</v>
      </c>
      <c r="Z204" s="98">
        <f ca="1">(1-('Invoer gegevens (N)'!$F$20/12))*X204*MIN(BA204,BC204)</f>
        <v>0</v>
      </c>
      <c r="AA204" s="98">
        <f ca="1">IF(BD204&lt;1,IF('Reeksen (N)'!AD204&lt;='Reeksen (N)'!AE204,X204*'Reeksen (N)'!C204,0),IF(BC204&gt;=BA204,0,IF('Reeksen (N)'!AD204&lt;='Reeksen (N)'!AE204,(BA204-BC204)*X204,0)))</f>
        <v>0</v>
      </c>
      <c r="AB204" s="98">
        <f ca="1">IF(BD204&lt;1,IF('Reeksen (N)'!AD204&gt;'Reeksen (N)'!AE204,X204*'Reeksen (N)'!C204,0),IF(BC204&gt;=BA204,0,IF('Reeksen (N)'!AD204&gt;'Reeksen (N)'!AE204,(BA204-BC204)*X204,0)))</f>
        <v>0</v>
      </c>
      <c r="AC204" s="99">
        <f t="shared" ca="1" si="56"/>
        <v>0</v>
      </c>
      <c r="AD204" s="98">
        <f ca="1">IF('Invoer gegevens (N)'!$C$17=E204,R204,IF(C204=0,0,AE203))</f>
        <v>0</v>
      </c>
      <c r="AE204" s="98">
        <f t="shared" ca="1" si="57"/>
        <v>0</v>
      </c>
      <c r="AF204" s="98">
        <f ca="1">IF('Invoer gegevens (N)'!$C$17=E204,X204,IF(C204=0,0,AG203))</f>
        <v>0</v>
      </c>
      <c r="AG204" s="98">
        <f t="shared" ca="1" si="58"/>
        <v>0</v>
      </c>
      <c r="AH204" s="66"/>
      <c r="AI204" s="71">
        <f ca="1">IF(C204=1,'Reeksen (N)'!AI204*((F204+K204)/2)*12+'Reeksen (N)'!AD204*((L204+Q204)/2)*12,0)</f>
        <v>0</v>
      </c>
      <c r="AJ204" s="71">
        <f ca="1">-AI204*'Invoer gegevens (N)'!$F$28</f>
        <v>0</v>
      </c>
      <c r="AK204" s="71">
        <f t="shared" ca="1" si="59"/>
        <v>0</v>
      </c>
      <c r="AL204" s="71">
        <f ca="1">IF(C204=1,'Reeksen (N)'!AL204*((F204-G204+F204)/2)*12+'Reeksen (N)'!AM204*((L204-M204+L204)/2)*12,0)</f>
        <v>0</v>
      </c>
      <c r="AM204" s="71">
        <f ca="1">-AL204*'Invoer gegevens (N)'!$F$31</f>
        <v>0</v>
      </c>
      <c r="AN204" s="71">
        <f t="shared" ca="1" si="60"/>
        <v>0</v>
      </c>
      <c r="AO204" s="71">
        <f ca="1">IF(C204=1,(H204+J204+N204+P204)*'Reeksen (N)'!AN204,0)</f>
        <v>0</v>
      </c>
      <c r="AP204" s="71">
        <f ca="1">-IF(C204=1,(H204+J204+N204+P204)*'Hulp - basis'!$O$550*'Reeksen (N)'!H204,0)</f>
        <v>0</v>
      </c>
      <c r="AQ204" s="71">
        <f ca="1">-IF(C204=1,(F204+K204+L204+Q204)/2*'Invoer gegevens (N)'!$F$35*'Reeksen (N)'!J204,0)*2</f>
        <v>0</v>
      </c>
      <c r="AR204" s="71">
        <f ca="1">IF(BD204&lt;1,-IF(C204=1,(G204*'Invoer gegevens (N)'!$F$36)*'Reeksen (N)'!J204,0),0)</f>
        <v>0</v>
      </c>
      <c r="AS204" s="71">
        <f ca="1">-IF(C204=1,(F204+K204+L204+Q204)/2*'Invoer gegevens (N)'!$F$37*'Reeksen (N)'!L204,0)</f>
        <v>0</v>
      </c>
      <c r="AT204" s="71">
        <f ca="1">-IF(C204=1,IF(E204='Invoer gegevens (N)'!$C$17,'Invoer gegevens (N)'!$C$11,AD204)*'Reeksen (N)'!S204*'Invoer gegevens (N)'!$C$18*'Reeksen (N)'!P204,0)</f>
        <v>0</v>
      </c>
      <c r="AU204" s="71">
        <f ca="1">-IF(C204=1,(F204+K204+L204+Q204)/2*'Invoer gegevens (N)'!$F$38*'Reeksen (N)'!H204,0)</f>
        <v>0</v>
      </c>
      <c r="AV204" s="71">
        <v>0</v>
      </c>
      <c r="AW204" s="71">
        <f t="shared" ca="1" si="61"/>
        <v>0</v>
      </c>
      <c r="AX204" s="71">
        <f ca="1">IF(E204&lt;'Invoer gegevens (N)'!$C$17+15,0,IF(E204&gt;'Invoer gegevens (N)'!$C$17+215,0,AW204))</f>
        <v>0</v>
      </c>
      <c r="AY204" s="71">
        <f ca="1">AX204/(1+'Invoer gegevens (N)'!$F$18)^($AZ204-('Invoer gegevens (N)'!$C$17-'Invoer gegevens (N)'!$C$16))/(1+'Invoer gegevens (N)'!$C$39)^('Invoer gegevens (N)'!$C$17-'Invoer gegevens (N)'!$C$16)</f>
        <v>0</v>
      </c>
      <c r="AZ204" s="68">
        <f ca="1">IF(E204-'Invoer gegevens (N)'!$C$17-14.5&lt;0,0,E204-'Invoer gegevens (N)'!$C$17-14.5)</f>
        <v>184.5</v>
      </c>
      <c r="BA204" s="109">
        <f ca="1">IFERROR(VLOOKUP(E204-15,'Reeksen (N)'!$A$5:$D$234,2,FALSE),0)</f>
        <v>0</v>
      </c>
      <c r="BB204" s="109">
        <f ca="1">IFERROR(VLOOKUP(E204-15,'Reeksen (N)'!$A$5:$D$234,3,FALSE),0)</f>
        <v>0</v>
      </c>
      <c r="BC204" s="109">
        <f ca="1">IFERROR(VLOOKUP(E204-15,'Reeksen (N)'!$A$5:$D$234,4,FALSE),0)</f>
        <v>0</v>
      </c>
      <c r="BD204" s="67">
        <f ca="1">IF(E204-'Invoer gegevens (N)'!$C$17&lt;15,0,1)</f>
        <v>1</v>
      </c>
    </row>
    <row r="205" spans="1:56" x14ac:dyDescent="0.25">
      <c r="A205" s="59"/>
      <c r="B205" s="70">
        <f t="shared" si="62"/>
        <v>201</v>
      </c>
      <c r="C205" s="67">
        <f ca="1">IF(E205-'Invoer gegevens (N)'!$C$17&lt;0,0,1)</f>
        <v>1</v>
      </c>
      <c r="D205" s="68">
        <f t="shared" si="63"/>
        <v>200.5</v>
      </c>
      <c r="E205" s="108">
        <f ca="1">IF('Invoer gegevens (N)'!$C$16="","",E204+1)</f>
        <v>2219</v>
      </c>
      <c r="F205" s="84">
        <f ca="1">IF('Invoer gegevens (N)'!$C$17=E205,'Invoer gegevens (N)'!$C$10,IF(C205=1,K204,0))</f>
        <v>0</v>
      </c>
      <c r="G205" s="96">
        <f ca="1">IF(BD205&lt;1,F205*'Reeksen (N)'!C205,IF(C205&gt;=1,F205*BA205,0))</f>
        <v>0</v>
      </c>
      <c r="H205" s="84">
        <f ca="1">(1-('Invoer gegevens (N)'!$F$20/12))*F205*MIN(BA205,BC205)</f>
        <v>0</v>
      </c>
      <c r="I205" s="84">
        <f t="shared" ca="1" si="48"/>
        <v>0</v>
      </c>
      <c r="J205" s="84">
        <f ca="1">('Invoer gegevens (N)'!$F$20/12)*F204*MIN(BA205,BC205)</f>
        <v>0</v>
      </c>
      <c r="K205" s="97">
        <f t="shared" ca="1" si="53"/>
        <v>0</v>
      </c>
      <c r="L205" s="84">
        <f ca="1">IF('Invoer gegevens (N)'!$C$17=E205,0,IF(C205=1,Q204,0))</f>
        <v>0</v>
      </c>
      <c r="M205" s="96">
        <f t="shared" ca="1" si="49"/>
        <v>0</v>
      </c>
      <c r="N205" s="84">
        <f ca="1">(1-('Invoer gegevens (N)'!$F$20/12))*L205*MIN(BA205,BC205)</f>
        <v>0</v>
      </c>
      <c r="O205" s="84">
        <f t="shared" ca="1" si="50"/>
        <v>0</v>
      </c>
      <c r="P205" s="84">
        <f ca="1">('Invoer gegevens (N)'!$F$20/12)*L204*MIN(BA205,BC205)</f>
        <v>0</v>
      </c>
      <c r="Q205" s="84">
        <f t="shared" ca="1" si="54"/>
        <v>0</v>
      </c>
      <c r="R205" s="85">
        <f ca="1">IF('Invoer gegevens (N)'!$C$17=E205,'Invoer gegevens (N)'!$C$11,IF(C205=1,W204,0))</f>
        <v>0</v>
      </c>
      <c r="S205" s="86">
        <f t="shared" ca="1" si="51"/>
        <v>0</v>
      </c>
      <c r="T205" s="86">
        <f ca="1">(1-('Invoer gegevens (N)'!$F$20/12))*R205*MIN(BC205,BA205)</f>
        <v>0</v>
      </c>
      <c r="U205" s="86">
        <f ca="1">IF(BD205&lt;1,IF('Reeksen (N)'!AD205&lt;='Reeksen (N)'!AE205,R205*'Reeksen (N)'!C205,0),IF(BC205&gt;=BA205,0,IF('Reeksen (N)'!AD205&lt;='Reeksen (N)'!AE205,(BA205-BC205)*R205,0)))</f>
        <v>0</v>
      </c>
      <c r="V205" s="86">
        <f ca="1">IF(BD205&lt;1,IF('Reeksen (N)'!AD205&gt;'Reeksen (N)'!AE205,R205*'Reeksen (N)'!C205,0),IF(BC205&gt;=BA205,0,IF('Reeksen (N)'!AD205&gt;'Reeksen (N)'!AE205,(BA205-BC205)*R205,0)))</f>
        <v>0</v>
      </c>
      <c r="W205" s="218">
        <f t="shared" ca="1" si="55"/>
        <v>0</v>
      </c>
      <c r="X205" s="98">
        <f ca="1">IF('Invoer gegevens (N)'!$C$17=E205,'Invoer gegevens (N)'!$C$10-'Invoer gegevens (N)'!$C$11,IF(C205=1,AC204,0))</f>
        <v>0</v>
      </c>
      <c r="Y205" s="98">
        <f t="shared" ca="1" si="52"/>
        <v>0</v>
      </c>
      <c r="Z205" s="98">
        <f ca="1">(1-('Invoer gegevens (N)'!$F$20/12))*X205*MIN(BA205,BC205)</f>
        <v>0</v>
      </c>
      <c r="AA205" s="98">
        <f ca="1">IF(BD205&lt;1,IF('Reeksen (N)'!AD205&lt;='Reeksen (N)'!AE205,X205*'Reeksen (N)'!C205,0),IF(BC205&gt;=BA205,0,IF('Reeksen (N)'!AD205&lt;='Reeksen (N)'!AE205,(BA205-BC205)*X205,0)))</f>
        <v>0</v>
      </c>
      <c r="AB205" s="98">
        <f ca="1">IF(BD205&lt;1,IF('Reeksen (N)'!AD205&gt;'Reeksen (N)'!AE205,X205*'Reeksen (N)'!C205,0),IF(BC205&gt;=BA205,0,IF('Reeksen (N)'!AD205&gt;'Reeksen (N)'!AE205,(BA205-BC205)*X205,0)))</f>
        <v>0</v>
      </c>
      <c r="AC205" s="99">
        <f t="shared" ca="1" si="56"/>
        <v>0</v>
      </c>
      <c r="AD205" s="98">
        <f ca="1">IF('Invoer gegevens (N)'!$C$17=E205,R205,IF(C205=0,0,AE204))</f>
        <v>0</v>
      </c>
      <c r="AE205" s="98">
        <f t="shared" ca="1" si="57"/>
        <v>0</v>
      </c>
      <c r="AF205" s="98">
        <f ca="1">IF('Invoer gegevens (N)'!$C$17=E205,X205,IF(C205=0,0,AG204))</f>
        <v>0</v>
      </c>
      <c r="AG205" s="98">
        <f t="shared" ca="1" si="58"/>
        <v>0</v>
      </c>
      <c r="AH205" s="66"/>
      <c r="AI205" s="71">
        <f ca="1">IF(C205=1,'Reeksen (N)'!AI205*((F205+K205)/2)*12+'Reeksen (N)'!AD205*((L205+Q205)/2)*12,0)</f>
        <v>0</v>
      </c>
      <c r="AJ205" s="71">
        <f ca="1">-AI205*'Invoer gegevens (N)'!$F$28</f>
        <v>0</v>
      </c>
      <c r="AK205" s="71">
        <f t="shared" ca="1" si="59"/>
        <v>0</v>
      </c>
      <c r="AL205" s="71">
        <f ca="1">IF(C205=1,'Reeksen (N)'!AL205*((F205-G205+F205)/2)*12+'Reeksen (N)'!AM205*((L205-M205+L205)/2)*12,0)</f>
        <v>0</v>
      </c>
      <c r="AM205" s="71">
        <f ca="1">-AL205*'Invoer gegevens (N)'!$F$31</f>
        <v>0</v>
      </c>
      <c r="AN205" s="71">
        <f t="shared" ca="1" si="60"/>
        <v>0</v>
      </c>
      <c r="AO205" s="71">
        <f ca="1">IF(C205=1,(H205+J205+N205+P205)*'Reeksen (N)'!AN205,0)</f>
        <v>0</v>
      </c>
      <c r="AP205" s="71">
        <f ca="1">-IF(C205=1,(H205+J205+N205+P205)*'Hulp - basis'!$O$550*'Reeksen (N)'!H205,0)</f>
        <v>0</v>
      </c>
      <c r="AQ205" s="71">
        <f ca="1">-IF(C205=1,(F205+K205+L205+Q205)/2*'Invoer gegevens (N)'!$F$35*'Reeksen (N)'!J205,0)*2</f>
        <v>0</v>
      </c>
      <c r="AR205" s="71">
        <f ca="1">IF(BD205&lt;1,-IF(C205=1,(G205*'Invoer gegevens (N)'!$F$36)*'Reeksen (N)'!J205,0),0)</f>
        <v>0</v>
      </c>
      <c r="AS205" s="71">
        <f ca="1">-IF(C205=1,(F205+K205+L205+Q205)/2*'Invoer gegevens (N)'!$F$37*'Reeksen (N)'!L205,0)</f>
        <v>0</v>
      </c>
      <c r="AT205" s="71">
        <f ca="1">-IF(C205=1,IF(E205='Invoer gegevens (N)'!$C$17,'Invoer gegevens (N)'!$C$11,AD205)*'Reeksen (N)'!S205*'Invoer gegevens (N)'!$C$18*'Reeksen (N)'!P205,0)</f>
        <v>0</v>
      </c>
      <c r="AU205" s="71">
        <f ca="1">-IF(C205=1,(F205+K205+L205+Q205)/2*'Invoer gegevens (N)'!$F$38*'Reeksen (N)'!H205,0)</f>
        <v>0</v>
      </c>
      <c r="AV205" s="71">
        <v>0</v>
      </c>
      <c r="AW205" s="71">
        <f t="shared" ca="1" si="61"/>
        <v>0</v>
      </c>
      <c r="AX205" s="71">
        <f ca="1">IF(E205&lt;'Invoer gegevens (N)'!$C$17+15,0,IF(E205&gt;'Invoer gegevens (N)'!$C$17+215,0,AW205))</f>
        <v>0</v>
      </c>
      <c r="AY205" s="71">
        <f ca="1">AX205/(1+'Invoer gegevens (N)'!$F$18)^($AZ205-('Invoer gegevens (N)'!$C$17-'Invoer gegevens (N)'!$C$16))/(1+'Invoer gegevens (N)'!$C$39)^('Invoer gegevens (N)'!$C$17-'Invoer gegevens (N)'!$C$16)</f>
        <v>0</v>
      </c>
      <c r="AZ205" s="68">
        <f ca="1">IF(E205-'Invoer gegevens (N)'!$C$17-14.5&lt;0,0,E205-'Invoer gegevens (N)'!$C$17-14.5)</f>
        <v>185.5</v>
      </c>
      <c r="BA205" s="109">
        <f ca="1">IFERROR(VLOOKUP(E205-15,'Reeksen (N)'!$A$5:$D$234,2,FALSE),0)</f>
        <v>0</v>
      </c>
      <c r="BB205" s="109">
        <f ca="1">IFERROR(VLOOKUP(E205-15,'Reeksen (N)'!$A$5:$D$234,3,FALSE),0)</f>
        <v>0</v>
      </c>
      <c r="BC205" s="109">
        <f ca="1">IFERROR(VLOOKUP(E205-15,'Reeksen (N)'!$A$5:$D$234,4,FALSE),0)</f>
        <v>0</v>
      </c>
      <c r="BD205" s="67">
        <f ca="1">IF(E205-'Invoer gegevens (N)'!$C$17&lt;15,0,1)</f>
        <v>1</v>
      </c>
    </row>
    <row r="206" spans="1:56" x14ac:dyDescent="0.25">
      <c r="A206" s="59"/>
      <c r="B206" s="70">
        <f t="shared" si="62"/>
        <v>202</v>
      </c>
      <c r="C206" s="67">
        <f ca="1">IF(E206-'Invoer gegevens (N)'!$C$17&lt;0,0,1)</f>
        <v>1</v>
      </c>
      <c r="D206" s="68">
        <f t="shared" si="63"/>
        <v>201.5</v>
      </c>
      <c r="E206" s="108">
        <f ca="1">IF('Invoer gegevens (N)'!$C$16="","",E205+1)</f>
        <v>2220</v>
      </c>
      <c r="F206" s="84">
        <f ca="1">IF('Invoer gegevens (N)'!$C$17=E206,'Invoer gegevens (N)'!$C$10,IF(C206=1,K205,0))</f>
        <v>0</v>
      </c>
      <c r="G206" s="96">
        <f ca="1">IF(BD206&lt;1,F206*'Reeksen (N)'!C206,IF(C206&gt;=1,F206*BA206,0))</f>
        <v>0</v>
      </c>
      <c r="H206" s="84">
        <f ca="1">(1-('Invoer gegevens (N)'!$F$20/12))*F206*MIN(BA206,BC206)</f>
        <v>0</v>
      </c>
      <c r="I206" s="84">
        <f t="shared" ca="1" si="48"/>
        <v>0</v>
      </c>
      <c r="J206" s="84">
        <f ca="1">('Invoer gegevens (N)'!$F$20/12)*F205*MIN(BA206,BC206)</f>
        <v>0</v>
      </c>
      <c r="K206" s="97">
        <f t="shared" ca="1" si="53"/>
        <v>0</v>
      </c>
      <c r="L206" s="84">
        <f ca="1">IF('Invoer gegevens (N)'!$C$17=E206,0,IF(C206=1,Q205,0))</f>
        <v>0</v>
      </c>
      <c r="M206" s="96">
        <f t="shared" ca="1" si="49"/>
        <v>0</v>
      </c>
      <c r="N206" s="84">
        <f ca="1">(1-('Invoer gegevens (N)'!$F$20/12))*L206*MIN(BA206,BC206)</f>
        <v>0</v>
      </c>
      <c r="O206" s="84">
        <f t="shared" ca="1" si="50"/>
        <v>0</v>
      </c>
      <c r="P206" s="84">
        <f ca="1">('Invoer gegevens (N)'!$F$20/12)*L205*MIN(BA206,BC206)</f>
        <v>0</v>
      </c>
      <c r="Q206" s="84">
        <f t="shared" ca="1" si="54"/>
        <v>0</v>
      </c>
      <c r="R206" s="85">
        <f ca="1">IF('Invoer gegevens (N)'!$C$17=E206,'Invoer gegevens (N)'!$C$11,IF(C206=1,W205,0))</f>
        <v>0</v>
      </c>
      <c r="S206" s="86">
        <f t="shared" ca="1" si="51"/>
        <v>0</v>
      </c>
      <c r="T206" s="86">
        <f ca="1">(1-('Invoer gegevens (N)'!$F$20/12))*R206*MIN(BC206,BA206)</f>
        <v>0</v>
      </c>
      <c r="U206" s="86">
        <f ca="1">IF(BD206&lt;1,IF('Reeksen (N)'!AD206&lt;='Reeksen (N)'!AE206,R206*'Reeksen (N)'!C206,0),IF(BC206&gt;=BA206,0,IF('Reeksen (N)'!AD206&lt;='Reeksen (N)'!AE206,(BA206-BC206)*R206,0)))</f>
        <v>0</v>
      </c>
      <c r="V206" s="86">
        <f ca="1">IF(BD206&lt;1,IF('Reeksen (N)'!AD206&gt;'Reeksen (N)'!AE206,R206*'Reeksen (N)'!C206,0),IF(BC206&gt;=BA206,0,IF('Reeksen (N)'!AD206&gt;'Reeksen (N)'!AE206,(BA206-BC206)*R206,0)))</f>
        <v>0</v>
      </c>
      <c r="W206" s="218">
        <f t="shared" ca="1" si="55"/>
        <v>0</v>
      </c>
      <c r="X206" s="98">
        <f ca="1">IF('Invoer gegevens (N)'!$C$17=E206,'Invoer gegevens (N)'!$C$10-'Invoer gegevens (N)'!$C$11,IF(C206=1,AC205,0))</f>
        <v>0</v>
      </c>
      <c r="Y206" s="98">
        <f t="shared" ca="1" si="52"/>
        <v>0</v>
      </c>
      <c r="Z206" s="98">
        <f ca="1">(1-('Invoer gegevens (N)'!$F$20/12))*X206*MIN(BA206,BC206)</f>
        <v>0</v>
      </c>
      <c r="AA206" s="98">
        <f ca="1">IF(BD206&lt;1,IF('Reeksen (N)'!AD206&lt;='Reeksen (N)'!AE206,X206*'Reeksen (N)'!C206,0),IF(BC206&gt;=BA206,0,IF('Reeksen (N)'!AD206&lt;='Reeksen (N)'!AE206,(BA206-BC206)*X206,0)))</f>
        <v>0</v>
      </c>
      <c r="AB206" s="98">
        <f ca="1">IF(BD206&lt;1,IF('Reeksen (N)'!AD206&gt;'Reeksen (N)'!AE206,X206*'Reeksen (N)'!C206,0),IF(BC206&gt;=BA206,0,IF('Reeksen (N)'!AD206&gt;'Reeksen (N)'!AE206,(BA206-BC206)*X206,0)))</f>
        <v>0</v>
      </c>
      <c r="AC206" s="99">
        <f t="shared" ca="1" si="56"/>
        <v>0</v>
      </c>
      <c r="AD206" s="98">
        <f ca="1">IF('Invoer gegevens (N)'!$C$17=E206,R206,IF(C206=0,0,AE205))</f>
        <v>0</v>
      </c>
      <c r="AE206" s="98">
        <f t="shared" ca="1" si="57"/>
        <v>0</v>
      </c>
      <c r="AF206" s="98">
        <f ca="1">IF('Invoer gegevens (N)'!$C$17=E206,X206,IF(C206=0,0,AG205))</f>
        <v>0</v>
      </c>
      <c r="AG206" s="98">
        <f t="shared" ca="1" si="58"/>
        <v>0</v>
      </c>
      <c r="AH206" s="66"/>
      <c r="AI206" s="71">
        <f ca="1">IF(C206=1,'Reeksen (N)'!AI206*((F206+K206)/2)*12+'Reeksen (N)'!AD206*((L206+Q206)/2)*12,0)</f>
        <v>0</v>
      </c>
      <c r="AJ206" s="71">
        <f ca="1">-AI206*'Invoer gegevens (N)'!$F$28</f>
        <v>0</v>
      </c>
      <c r="AK206" s="71">
        <f t="shared" ca="1" si="59"/>
        <v>0</v>
      </c>
      <c r="AL206" s="71">
        <f ca="1">IF(C206=1,'Reeksen (N)'!AL206*((F206-G206+F206)/2)*12+'Reeksen (N)'!AM206*((L206-M206+L206)/2)*12,0)</f>
        <v>0</v>
      </c>
      <c r="AM206" s="71">
        <f ca="1">-AL206*'Invoer gegevens (N)'!$F$31</f>
        <v>0</v>
      </c>
      <c r="AN206" s="71">
        <f t="shared" ca="1" si="60"/>
        <v>0</v>
      </c>
      <c r="AO206" s="71">
        <f ca="1">IF(C206=1,(H206+J206+N206+P206)*'Reeksen (N)'!AN206,0)</f>
        <v>0</v>
      </c>
      <c r="AP206" s="71">
        <f ca="1">-IF(C206=1,(H206+J206+N206+P206)*'Hulp - basis'!$O$550*'Reeksen (N)'!H206,0)</f>
        <v>0</v>
      </c>
      <c r="AQ206" s="71">
        <f ca="1">-IF(C206=1,(F206+K206+L206+Q206)/2*'Invoer gegevens (N)'!$F$35*'Reeksen (N)'!J206,0)*2</f>
        <v>0</v>
      </c>
      <c r="AR206" s="71">
        <f ca="1">IF(BD206&lt;1,-IF(C206=1,(G206*'Invoer gegevens (N)'!$F$36)*'Reeksen (N)'!J206,0),0)</f>
        <v>0</v>
      </c>
      <c r="AS206" s="71">
        <f ca="1">-IF(C206=1,(F206+K206+L206+Q206)/2*'Invoer gegevens (N)'!$F$37*'Reeksen (N)'!L206,0)</f>
        <v>0</v>
      </c>
      <c r="AT206" s="71">
        <f ca="1">-IF(C206=1,IF(E206='Invoer gegevens (N)'!$C$17,'Invoer gegevens (N)'!$C$11,AD206)*'Reeksen (N)'!S206*'Invoer gegevens (N)'!$C$18*'Reeksen (N)'!P206,0)</f>
        <v>0</v>
      </c>
      <c r="AU206" s="71">
        <f ca="1">-IF(C206=1,(F206+K206+L206+Q206)/2*'Invoer gegevens (N)'!$F$38*'Reeksen (N)'!H206,0)</f>
        <v>0</v>
      </c>
      <c r="AV206" s="71">
        <v>0</v>
      </c>
      <c r="AW206" s="71">
        <f t="shared" ca="1" si="61"/>
        <v>0</v>
      </c>
      <c r="AX206" s="71">
        <f ca="1">IF(E206&lt;'Invoer gegevens (N)'!$C$17+15,0,IF(E206&gt;'Invoer gegevens (N)'!$C$17+215,0,AW206))</f>
        <v>0</v>
      </c>
      <c r="AY206" s="71">
        <f ca="1">AX206/(1+'Invoer gegevens (N)'!$F$18)^($AZ206-('Invoer gegevens (N)'!$C$17-'Invoer gegevens (N)'!$C$16))/(1+'Invoer gegevens (N)'!$C$39)^('Invoer gegevens (N)'!$C$17-'Invoer gegevens (N)'!$C$16)</f>
        <v>0</v>
      </c>
      <c r="AZ206" s="68">
        <f ca="1">IF(E206-'Invoer gegevens (N)'!$C$17-14.5&lt;0,0,E206-'Invoer gegevens (N)'!$C$17-14.5)</f>
        <v>186.5</v>
      </c>
      <c r="BA206" s="109">
        <f ca="1">IFERROR(VLOOKUP(E206-15,'Reeksen (N)'!$A$5:$D$234,2,FALSE),0)</f>
        <v>0</v>
      </c>
      <c r="BB206" s="109">
        <f ca="1">IFERROR(VLOOKUP(E206-15,'Reeksen (N)'!$A$5:$D$234,3,FALSE),0)</f>
        <v>0</v>
      </c>
      <c r="BC206" s="109">
        <f ca="1">IFERROR(VLOOKUP(E206-15,'Reeksen (N)'!$A$5:$D$234,4,FALSE),0)</f>
        <v>0</v>
      </c>
      <c r="BD206" s="67">
        <f ca="1">IF(E206-'Invoer gegevens (N)'!$C$17&lt;15,0,1)</f>
        <v>1</v>
      </c>
    </row>
    <row r="207" spans="1:56" x14ac:dyDescent="0.25">
      <c r="A207" s="59"/>
      <c r="B207" s="70">
        <f t="shared" si="62"/>
        <v>203</v>
      </c>
      <c r="C207" s="67">
        <f ca="1">IF(E207-'Invoer gegevens (N)'!$C$17&lt;0,0,1)</f>
        <v>1</v>
      </c>
      <c r="D207" s="68">
        <f t="shared" si="63"/>
        <v>202.5</v>
      </c>
      <c r="E207" s="108">
        <f ca="1">IF('Invoer gegevens (N)'!$C$16="","",E206+1)</f>
        <v>2221</v>
      </c>
      <c r="F207" s="84">
        <f ca="1">IF('Invoer gegevens (N)'!$C$17=E207,'Invoer gegevens (N)'!$C$10,IF(C207=1,K206,0))</f>
        <v>0</v>
      </c>
      <c r="G207" s="96">
        <f ca="1">IF(BD207&lt;1,F207*'Reeksen (N)'!C207,IF(C207&gt;=1,F207*BA207,0))</f>
        <v>0</v>
      </c>
      <c r="H207" s="84">
        <f ca="1">(1-('Invoer gegevens (N)'!$F$20/12))*F207*MIN(BA207,BC207)</f>
        <v>0</v>
      </c>
      <c r="I207" s="84">
        <f t="shared" ca="1" si="48"/>
        <v>0</v>
      </c>
      <c r="J207" s="84">
        <f ca="1">('Invoer gegevens (N)'!$F$20/12)*F206*MIN(BA207,BC207)</f>
        <v>0</v>
      </c>
      <c r="K207" s="97">
        <f t="shared" ca="1" si="53"/>
        <v>0</v>
      </c>
      <c r="L207" s="84">
        <f ca="1">IF('Invoer gegevens (N)'!$C$17=E207,0,IF(C207=1,Q206,0))</f>
        <v>0</v>
      </c>
      <c r="M207" s="96">
        <f t="shared" ca="1" si="49"/>
        <v>0</v>
      </c>
      <c r="N207" s="84">
        <f ca="1">(1-('Invoer gegevens (N)'!$F$20/12))*L207*MIN(BA207,BC207)</f>
        <v>0</v>
      </c>
      <c r="O207" s="84">
        <f t="shared" ca="1" si="50"/>
        <v>0</v>
      </c>
      <c r="P207" s="84">
        <f ca="1">('Invoer gegevens (N)'!$F$20/12)*L206*MIN(BA207,BC207)</f>
        <v>0</v>
      </c>
      <c r="Q207" s="84">
        <f t="shared" ca="1" si="54"/>
        <v>0</v>
      </c>
      <c r="R207" s="85">
        <f ca="1">IF('Invoer gegevens (N)'!$C$17=E207,'Invoer gegevens (N)'!$C$11,IF(C207=1,W206,0))</f>
        <v>0</v>
      </c>
      <c r="S207" s="86">
        <f t="shared" ca="1" si="51"/>
        <v>0</v>
      </c>
      <c r="T207" s="86">
        <f ca="1">(1-('Invoer gegevens (N)'!$F$20/12))*R207*MIN(BC207,BA207)</f>
        <v>0</v>
      </c>
      <c r="U207" s="86">
        <f ca="1">IF(BD207&lt;1,IF('Reeksen (N)'!AD207&lt;='Reeksen (N)'!AE207,R207*'Reeksen (N)'!C207,0),IF(BC207&gt;=BA207,0,IF('Reeksen (N)'!AD207&lt;='Reeksen (N)'!AE207,(BA207-BC207)*R207,0)))</f>
        <v>0</v>
      </c>
      <c r="V207" s="86">
        <f ca="1">IF(BD207&lt;1,IF('Reeksen (N)'!AD207&gt;'Reeksen (N)'!AE207,R207*'Reeksen (N)'!C207,0),IF(BC207&gt;=BA207,0,IF('Reeksen (N)'!AD207&gt;'Reeksen (N)'!AE207,(BA207-BC207)*R207,0)))</f>
        <v>0</v>
      </c>
      <c r="W207" s="218">
        <f t="shared" ca="1" si="55"/>
        <v>0</v>
      </c>
      <c r="X207" s="98">
        <f ca="1">IF('Invoer gegevens (N)'!$C$17=E207,'Invoer gegevens (N)'!$C$10-'Invoer gegevens (N)'!$C$11,IF(C207=1,AC206,0))</f>
        <v>0</v>
      </c>
      <c r="Y207" s="98">
        <f t="shared" ca="1" si="52"/>
        <v>0</v>
      </c>
      <c r="Z207" s="98">
        <f ca="1">(1-('Invoer gegevens (N)'!$F$20/12))*X207*MIN(BA207,BC207)</f>
        <v>0</v>
      </c>
      <c r="AA207" s="98">
        <f ca="1">IF(BD207&lt;1,IF('Reeksen (N)'!AD207&lt;='Reeksen (N)'!AE207,X207*'Reeksen (N)'!C207,0),IF(BC207&gt;=BA207,0,IF('Reeksen (N)'!AD207&lt;='Reeksen (N)'!AE207,(BA207-BC207)*X207,0)))</f>
        <v>0</v>
      </c>
      <c r="AB207" s="98">
        <f ca="1">IF(BD207&lt;1,IF('Reeksen (N)'!AD207&gt;'Reeksen (N)'!AE207,X207*'Reeksen (N)'!C207,0),IF(BC207&gt;=BA207,0,IF('Reeksen (N)'!AD207&gt;'Reeksen (N)'!AE207,(BA207-BC207)*X207,0)))</f>
        <v>0</v>
      </c>
      <c r="AC207" s="99">
        <f t="shared" ca="1" si="56"/>
        <v>0</v>
      </c>
      <c r="AD207" s="98">
        <f ca="1">IF('Invoer gegevens (N)'!$C$17=E207,R207,IF(C207=0,0,AE206))</f>
        <v>0</v>
      </c>
      <c r="AE207" s="98">
        <f t="shared" ca="1" si="57"/>
        <v>0</v>
      </c>
      <c r="AF207" s="98">
        <f ca="1">IF('Invoer gegevens (N)'!$C$17=E207,X207,IF(C207=0,0,AG206))</f>
        <v>0</v>
      </c>
      <c r="AG207" s="98">
        <f t="shared" ca="1" si="58"/>
        <v>0</v>
      </c>
      <c r="AH207" s="66"/>
      <c r="AI207" s="71">
        <f ca="1">IF(C207=1,'Reeksen (N)'!AI207*((F207+K207)/2)*12+'Reeksen (N)'!AD207*((L207+Q207)/2)*12,0)</f>
        <v>0</v>
      </c>
      <c r="AJ207" s="71">
        <f ca="1">-AI207*'Invoer gegevens (N)'!$F$28</f>
        <v>0</v>
      </c>
      <c r="AK207" s="71">
        <f t="shared" ca="1" si="59"/>
        <v>0</v>
      </c>
      <c r="AL207" s="71">
        <f ca="1">IF(C207=1,'Reeksen (N)'!AL207*((F207-G207+F207)/2)*12+'Reeksen (N)'!AM207*((L207-M207+L207)/2)*12,0)</f>
        <v>0</v>
      </c>
      <c r="AM207" s="71">
        <f ca="1">-AL207*'Invoer gegevens (N)'!$F$31</f>
        <v>0</v>
      </c>
      <c r="AN207" s="71">
        <f t="shared" ca="1" si="60"/>
        <v>0</v>
      </c>
      <c r="AO207" s="71">
        <f ca="1">IF(C207=1,(H207+J207+N207+P207)*'Reeksen (N)'!AN207,0)</f>
        <v>0</v>
      </c>
      <c r="AP207" s="71">
        <f ca="1">-IF(C207=1,(H207+J207+N207+P207)*'Hulp - basis'!$O$550*'Reeksen (N)'!H207,0)</f>
        <v>0</v>
      </c>
      <c r="AQ207" s="71">
        <f ca="1">-IF(C207=1,(F207+K207+L207+Q207)/2*'Invoer gegevens (N)'!$F$35*'Reeksen (N)'!J207,0)*2</f>
        <v>0</v>
      </c>
      <c r="AR207" s="71">
        <f ca="1">IF(BD207&lt;1,-IF(C207=1,(G207*'Invoer gegevens (N)'!$F$36)*'Reeksen (N)'!J207,0),0)</f>
        <v>0</v>
      </c>
      <c r="AS207" s="71">
        <f ca="1">-IF(C207=1,(F207+K207+L207+Q207)/2*'Invoer gegevens (N)'!$F$37*'Reeksen (N)'!L207,0)</f>
        <v>0</v>
      </c>
      <c r="AT207" s="71">
        <f ca="1">-IF(C207=1,IF(E207='Invoer gegevens (N)'!$C$17,'Invoer gegevens (N)'!$C$11,AD207)*'Reeksen (N)'!S207*'Invoer gegevens (N)'!$C$18*'Reeksen (N)'!P207,0)</f>
        <v>0</v>
      </c>
      <c r="AU207" s="71">
        <f ca="1">-IF(C207=1,(F207+K207+L207+Q207)/2*'Invoer gegevens (N)'!$F$38*'Reeksen (N)'!H207,0)</f>
        <v>0</v>
      </c>
      <c r="AV207" s="71">
        <v>0</v>
      </c>
      <c r="AW207" s="71">
        <f t="shared" ca="1" si="61"/>
        <v>0</v>
      </c>
      <c r="AX207" s="71">
        <f ca="1">IF(E207&lt;'Invoer gegevens (N)'!$C$17+15,0,IF(E207&gt;'Invoer gegevens (N)'!$C$17+215,0,AW207))</f>
        <v>0</v>
      </c>
      <c r="AY207" s="71">
        <f ca="1">AX207/(1+'Invoer gegevens (N)'!$F$18)^($AZ207-('Invoer gegevens (N)'!$C$17-'Invoer gegevens (N)'!$C$16))/(1+'Invoer gegevens (N)'!$C$39)^('Invoer gegevens (N)'!$C$17-'Invoer gegevens (N)'!$C$16)</f>
        <v>0</v>
      </c>
      <c r="AZ207" s="68">
        <f ca="1">IF(E207-'Invoer gegevens (N)'!$C$17-14.5&lt;0,0,E207-'Invoer gegevens (N)'!$C$17-14.5)</f>
        <v>187.5</v>
      </c>
      <c r="BA207" s="109">
        <f ca="1">IFERROR(VLOOKUP(E207-15,'Reeksen (N)'!$A$5:$D$234,2,FALSE),0)</f>
        <v>0</v>
      </c>
      <c r="BB207" s="109">
        <f ca="1">IFERROR(VLOOKUP(E207-15,'Reeksen (N)'!$A$5:$D$234,3,FALSE),0)</f>
        <v>0</v>
      </c>
      <c r="BC207" s="109">
        <f ca="1">IFERROR(VLOOKUP(E207-15,'Reeksen (N)'!$A$5:$D$234,4,FALSE),0)</f>
        <v>0</v>
      </c>
      <c r="BD207" s="67">
        <f ca="1">IF(E207-'Invoer gegevens (N)'!$C$17&lt;15,0,1)</f>
        <v>1</v>
      </c>
    </row>
    <row r="208" spans="1:56" x14ac:dyDescent="0.25">
      <c r="A208" s="59"/>
      <c r="B208" s="70">
        <f t="shared" si="62"/>
        <v>204</v>
      </c>
      <c r="C208" s="67">
        <f ca="1">IF(E208-'Invoer gegevens (N)'!$C$17&lt;0,0,1)</f>
        <v>1</v>
      </c>
      <c r="D208" s="68">
        <f t="shared" si="63"/>
        <v>203.5</v>
      </c>
      <c r="E208" s="108">
        <f ca="1">IF('Invoer gegevens (N)'!$C$16="","",E207+1)</f>
        <v>2222</v>
      </c>
      <c r="F208" s="84">
        <f ca="1">IF('Invoer gegevens (N)'!$C$17=E208,'Invoer gegevens (N)'!$C$10,IF(C208=1,K207,0))</f>
        <v>0</v>
      </c>
      <c r="G208" s="96">
        <f ca="1">IF(BD208&lt;1,F208*'Reeksen (N)'!C208,IF(C208&gt;=1,F208*BA208,0))</f>
        <v>0</v>
      </c>
      <c r="H208" s="84">
        <f ca="1">(1-('Invoer gegevens (N)'!$F$20/12))*F208*MIN(BA208,BC208)</f>
        <v>0</v>
      </c>
      <c r="I208" s="84">
        <f t="shared" ca="1" si="48"/>
        <v>0</v>
      </c>
      <c r="J208" s="84">
        <f ca="1">('Invoer gegevens (N)'!$F$20/12)*F207*MIN(BA208,BC208)</f>
        <v>0</v>
      </c>
      <c r="K208" s="97">
        <f t="shared" ca="1" si="53"/>
        <v>0</v>
      </c>
      <c r="L208" s="84">
        <f ca="1">IF('Invoer gegevens (N)'!$C$17=E208,0,IF(C208=1,Q207,0))</f>
        <v>0</v>
      </c>
      <c r="M208" s="96">
        <f t="shared" ca="1" si="49"/>
        <v>0</v>
      </c>
      <c r="N208" s="84">
        <f ca="1">(1-('Invoer gegevens (N)'!$F$20/12))*L208*MIN(BA208,BC208)</f>
        <v>0</v>
      </c>
      <c r="O208" s="84">
        <f t="shared" ca="1" si="50"/>
        <v>0</v>
      </c>
      <c r="P208" s="84">
        <f ca="1">('Invoer gegevens (N)'!$F$20/12)*L207*MIN(BA208,BC208)</f>
        <v>0</v>
      </c>
      <c r="Q208" s="84">
        <f t="shared" ca="1" si="54"/>
        <v>0</v>
      </c>
      <c r="R208" s="85">
        <f ca="1">IF('Invoer gegevens (N)'!$C$17=E208,'Invoer gegevens (N)'!$C$11,IF(C208=1,W207,0))</f>
        <v>0</v>
      </c>
      <c r="S208" s="86">
        <f t="shared" ca="1" si="51"/>
        <v>0</v>
      </c>
      <c r="T208" s="86">
        <f ca="1">(1-('Invoer gegevens (N)'!$F$20/12))*R208*MIN(BC208,BA208)</f>
        <v>0</v>
      </c>
      <c r="U208" s="86">
        <f ca="1">IF(BD208&lt;1,IF('Reeksen (N)'!AD208&lt;='Reeksen (N)'!AE208,R208*'Reeksen (N)'!C208,0),IF(BC208&gt;=BA208,0,IF('Reeksen (N)'!AD208&lt;='Reeksen (N)'!AE208,(BA208-BC208)*R208,0)))</f>
        <v>0</v>
      </c>
      <c r="V208" s="86">
        <f ca="1">IF(BD208&lt;1,IF('Reeksen (N)'!AD208&gt;'Reeksen (N)'!AE208,R208*'Reeksen (N)'!C208,0),IF(BC208&gt;=BA208,0,IF('Reeksen (N)'!AD208&gt;'Reeksen (N)'!AE208,(BA208-BC208)*R208,0)))</f>
        <v>0</v>
      </c>
      <c r="W208" s="218">
        <f t="shared" ca="1" si="55"/>
        <v>0</v>
      </c>
      <c r="X208" s="98">
        <f ca="1">IF('Invoer gegevens (N)'!$C$17=E208,'Invoer gegevens (N)'!$C$10-'Invoer gegevens (N)'!$C$11,IF(C208=1,AC207,0))</f>
        <v>0</v>
      </c>
      <c r="Y208" s="98">
        <f t="shared" ca="1" si="52"/>
        <v>0</v>
      </c>
      <c r="Z208" s="98">
        <f ca="1">(1-('Invoer gegevens (N)'!$F$20/12))*X208*MIN(BA208,BC208)</f>
        <v>0</v>
      </c>
      <c r="AA208" s="98">
        <f ca="1">IF(BD208&lt;1,IF('Reeksen (N)'!AD208&lt;='Reeksen (N)'!AE208,X208*'Reeksen (N)'!C208,0),IF(BC208&gt;=BA208,0,IF('Reeksen (N)'!AD208&lt;='Reeksen (N)'!AE208,(BA208-BC208)*X208,0)))</f>
        <v>0</v>
      </c>
      <c r="AB208" s="98">
        <f ca="1">IF(BD208&lt;1,IF('Reeksen (N)'!AD208&gt;'Reeksen (N)'!AE208,X208*'Reeksen (N)'!C208,0),IF(BC208&gt;=BA208,0,IF('Reeksen (N)'!AD208&gt;'Reeksen (N)'!AE208,(BA208-BC208)*X208,0)))</f>
        <v>0</v>
      </c>
      <c r="AC208" s="99">
        <f t="shared" ca="1" si="56"/>
        <v>0</v>
      </c>
      <c r="AD208" s="98">
        <f ca="1">IF('Invoer gegevens (N)'!$C$17=E208,R208,IF(C208=0,0,AE207))</f>
        <v>0</v>
      </c>
      <c r="AE208" s="98">
        <f t="shared" ca="1" si="57"/>
        <v>0</v>
      </c>
      <c r="AF208" s="98">
        <f ca="1">IF('Invoer gegevens (N)'!$C$17=E208,X208,IF(C208=0,0,AG207))</f>
        <v>0</v>
      </c>
      <c r="AG208" s="98">
        <f t="shared" ca="1" si="58"/>
        <v>0</v>
      </c>
      <c r="AH208" s="66"/>
      <c r="AI208" s="71">
        <f ca="1">IF(C208=1,'Reeksen (N)'!AI208*((F208+K208)/2)*12+'Reeksen (N)'!AD208*((L208+Q208)/2)*12,0)</f>
        <v>0</v>
      </c>
      <c r="AJ208" s="71">
        <f ca="1">-AI208*'Invoer gegevens (N)'!$F$28</f>
        <v>0</v>
      </c>
      <c r="AK208" s="71">
        <f t="shared" ca="1" si="59"/>
        <v>0</v>
      </c>
      <c r="AL208" s="71">
        <f ca="1">IF(C208=1,'Reeksen (N)'!AL208*((F208-G208+F208)/2)*12+'Reeksen (N)'!AM208*((L208-M208+L208)/2)*12,0)</f>
        <v>0</v>
      </c>
      <c r="AM208" s="71">
        <f ca="1">-AL208*'Invoer gegevens (N)'!$F$31</f>
        <v>0</v>
      </c>
      <c r="AN208" s="71">
        <f t="shared" ca="1" si="60"/>
        <v>0</v>
      </c>
      <c r="AO208" s="71">
        <f ca="1">IF(C208=1,(H208+J208+N208+P208)*'Reeksen (N)'!AN208,0)</f>
        <v>0</v>
      </c>
      <c r="AP208" s="71">
        <f ca="1">-IF(C208=1,(H208+J208+N208+P208)*'Hulp - basis'!$O$550*'Reeksen (N)'!H208,0)</f>
        <v>0</v>
      </c>
      <c r="AQ208" s="71">
        <f ca="1">-IF(C208=1,(F208+K208+L208+Q208)/2*'Invoer gegevens (N)'!$F$35*'Reeksen (N)'!J208,0)*2</f>
        <v>0</v>
      </c>
      <c r="AR208" s="71">
        <f ca="1">IF(BD208&lt;1,-IF(C208=1,(G208*'Invoer gegevens (N)'!$F$36)*'Reeksen (N)'!J208,0),0)</f>
        <v>0</v>
      </c>
      <c r="AS208" s="71">
        <f ca="1">-IF(C208=1,(F208+K208+L208+Q208)/2*'Invoer gegevens (N)'!$F$37*'Reeksen (N)'!L208,0)</f>
        <v>0</v>
      </c>
      <c r="AT208" s="71">
        <f ca="1">-IF(C208=1,IF(E208='Invoer gegevens (N)'!$C$17,'Invoer gegevens (N)'!$C$11,AD208)*'Reeksen (N)'!S208*'Invoer gegevens (N)'!$C$18*'Reeksen (N)'!P208,0)</f>
        <v>0</v>
      </c>
      <c r="AU208" s="71">
        <f ca="1">-IF(C208=1,(F208+K208+L208+Q208)/2*'Invoer gegevens (N)'!$F$38*'Reeksen (N)'!H208,0)</f>
        <v>0</v>
      </c>
      <c r="AV208" s="71">
        <v>0</v>
      </c>
      <c r="AW208" s="71">
        <f t="shared" ca="1" si="61"/>
        <v>0</v>
      </c>
      <c r="AX208" s="71">
        <f ca="1">IF(E208&lt;'Invoer gegevens (N)'!$C$17+15,0,IF(E208&gt;'Invoer gegevens (N)'!$C$17+215,0,AW208))</f>
        <v>0</v>
      </c>
      <c r="AY208" s="71">
        <f ca="1">AX208/(1+'Invoer gegevens (N)'!$F$18)^($AZ208-('Invoer gegevens (N)'!$C$17-'Invoer gegevens (N)'!$C$16))/(1+'Invoer gegevens (N)'!$C$39)^('Invoer gegevens (N)'!$C$17-'Invoer gegevens (N)'!$C$16)</f>
        <v>0</v>
      </c>
      <c r="AZ208" s="68">
        <f ca="1">IF(E208-'Invoer gegevens (N)'!$C$17-14.5&lt;0,0,E208-'Invoer gegevens (N)'!$C$17-14.5)</f>
        <v>188.5</v>
      </c>
      <c r="BA208" s="109">
        <f ca="1">IFERROR(VLOOKUP(E208-15,'Reeksen (N)'!$A$5:$D$234,2,FALSE),0)</f>
        <v>0</v>
      </c>
      <c r="BB208" s="109">
        <f ca="1">IFERROR(VLOOKUP(E208-15,'Reeksen (N)'!$A$5:$D$234,3,FALSE),0)</f>
        <v>0</v>
      </c>
      <c r="BC208" s="109">
        <f ca="1">IFERROR(VLOOKUP(E208-15,'Reeksen (N)'!$A$5:$D$234,4,FALSE),0)</f>
        <v>0</v>
      </c>
      <c r="BD208" s="67">
        <f ca="1">IF(E208-'Invoer gegevens (N)'!$C$17&lt;15,0,1)</f>
        <v>1</v>
      </c>
    </row>
    <row r="209" spans="1:56" x14ac:dyDescent="0.25">
      <c r="A209" s="59"/>
      <c r="B209" s="70">
        <f t="shared" si="62"/>
        <v>205</v>
      </c>
      <c r="C209" s="67">
        <f ca="1">IF(E209-'Invoer gegevens (N)'!$C$17&lt;0,0,1)</f>
        <v>1</v>
      </c>
      <c r="D209" s="68">
        <f t="shared" si="63"/>
        <v>204.5</v>
      </c>
      <c r="E209" s="108">
        <f ca="1">IF('Invoer gegevens (N)'!$C$16="","",E208+1)</f>
        <v>2223</v>
      </c>
      <c r="F209" s="84">
        <f ca="1">IF('Invoer gegevens (N)'!$C$17=E209,'Invoer gegevens (N)'!$C$10,IF(C209=1,K208,0))</f>
        <v>0</v>
      </c>
      <c r="G209" s="96">
        <f ca="1">IF(BD209&lt;1,F209*'Reeksen (N)'!C209,IF(C209&gt;=1,F209*BA209,0))</f>
        <v>0</v>
      </c>
      <c r="H209" s="84">
        <f ca="1">(1-('Invoer gegevens (N)'!$F$20/12))*F209*MIN(BA209,BC209)</f>
        <v>0</v>
      </c>
      <c r="I209" s="84">
        <f t="shared" ca="1" si="48"/>
        <v>0</v>
      </c>
      <c r="J209" s="84">
        <f ca="1">('Invoer gegevens (N)'!$F$20/12)*F208*MIN(BA209,BC209)</f>
        <v>0</v>
      </c>
      <c r="K209" s="97">
        <f t="shared" ca="1" si="53"/>
        <v>0</v>
      </c>
      <c r="L209" s="84">
        <f ca="1">IF('Invoer gegevens (N)'!$C$17=E209,0,IF(C209=1,Q208,0))</f>
        <v>0</v>
      </c>
      <c r="M209" s="96">
        <f t="shared" ca="1" si="49"/>
        <v>0</v>
      </c>
      <c r="N209" s="84">
        <f ca="1">(1-('Invoer gegevens (N)'!$F$20/12))*L209*MIN(BA209,BC209)</f>
        <v>0</v>
      </c>
      <c r="O209" s="84">
        <f t="shared" ca="1" si="50"/>
        <v>0</v>
      </c>
      <c r="P209" s="84">
        <f ca="1">('Invoer gegevens (N)'!$F$20/12)*L208*MIN(BA209,BC209)</f>
        <v>0</v>
      </c>
      <c r="Q209" s="84">
        <f t="shared" ca="1" si="54"/>
        <v>0</v>
      </c>
      <c r="R209" s="85">
        <f ca="1">IF('Invoer gegevens (N)'!$C$17=E209,'Invoer gegevens (N)'!$C$11,IF(C209=1,W208,0))</f>
        <v>0</v>
      </c>
      <c r="S209" s="86">
        <f t="shared" ca="1" si="51"/>
        <v>0</v>
      </c>
      <c r="T209" s="86">
        <f ca="1">(1-('Invoer gegevens (N)'!$F$20/12))*R209*MIN(BC209,BA209)</f>
        <v>0</v>
      </c>
      <c r="U209" s="86">
        <f ca="1">IF(BD209&lt;1,IF('Reeksen (N)'!AD209&lt;='Reeksen (N)'!AE209,R209*'Reeksen (N)'!C209,0),IF(BC209&gt;=BA209,0,IF('Reeksen (N)'!AD209&lt;='Reeksen (N)'!AE209,(BA209-BC209)*R209,0)))</f>
        <v>0</v>
      </c>
      <c r="V209" s="86">
        <f ca="1">IF(BD209&lt;1,IF('Reeksen (N)'!AD209&gt;'Reeksen (N)'!AE209,R209*'Reeksen (N)'!C209,0),IF(BC209&gt;=BA209,0,IF('Reeksen (N)'!AD209&gt;'Reeksen (N)'!AE209,(BA209-BC209)*R209,0)))</f>
        <v>0</v>
      </c>
      <c r="W209" s="218">
        <f t="shared" ca="1" si="55"/>
        <v>0</v>
      </c>
      <c r="X209" s="98">
        <f ca="1">IF('Invoer gegevens (N)'!$C$17=E209,'Invoer gegevens (N)'!$C$10-'Invoer gegevens (N)'!$C$11,IF(C209=1,AC208,0))</f>
        <v>0</v>
      </c>
      <c r="Y209" s="98">
        <f t="shared" ca="1" si="52"/>
        <v>0</v>
      </c>
      <c r="Z209" s="98">
        <f ca="1">(1-('Invoer gegevens (N)'!$F$20/12))*X209*MIN(BA209,BC209)</f>
        <v>0</v>
      </c>
      <c r="AA209" s="98">
        <f ca="1">IF(BD209&lt;1,IF('Reeksen (N)'!AD209&lt;='Reeksen (N)'!AE209,X209*'Reeksen (N)'!C209,0),IF(BC209&gt;=BA209,0,IF('Reeksen (N)'!AD209&lt;='Reeksen (N)'!AE209,(BA209-BC209)*X209,0)))</f>
        <v>0</v>
      </c>
      <c r="AB209" s="98">
        <f ca="1">IF(BD209&lt;1,IF('Reeksen (N)'!AD209&gt;'Reeksen (N)'!AE209,X209*'Reeksen (N)'!C209,0),IF(BC209&gt;=BA209,0,IF('Reeksen (N)'!AD209&gt;'Reeksen (N)'!AE209,(BA209-BC209)*X209,0)))</f>
        <v>0</v>
      </c>
      <c r="AC209" s="99">
        <f t="shared" ca="1" si="56"/>
        <v>0</v>
      </c>
      <c r="AD209" s="98">
        <f ca="1">IF('Invoer gegevens (N)'!$C$17=E209,R209,IF(C209=0,0,AE208))</f>
        <v>0</v>
      </c>
      <c r="AE209" s="98">
        <f t="shared" ca="1" si="57"/>
        <v>0</v>
      </c>
      <c r="AF209" s="98">
        <f ca="1">IF('Invoer gegevens (N)'!$C$17=E209,X209,IF(C209=0,0,AG208))</f>
        <v>0</v>
      </c>
      <c r="AG209" s="98">
        <f t="shared" ca="1" si="58"/>
        <v>0</v>
      </c>
      <c r="AH209" s="66"/>
      <c r="AI209" s="71">
        <f ca="1">IF(C209=1,'Reeksen (N)'!AI209*((F209+K209)/2)*12+'Reeksen (N)'!AD209*((L209+Q209)/2)*12,0)</f>
        <v>0</v>
      </c>
      <c r="AJ209" s="71">
        <f ca="1">-AI209*'Invoer gegevens (N)'!$F$28</f>
        <v>0</v>
      </c>
      <c r="AK209" s="71">
        <f t="shared" ca="1" si="59"/>
        <v>0</v>
      </c>
      <c r="AL209" s="71">
        <f ca="1">IF(C209=1,'Reeksen (N)'!AL209*((F209-G209+F209)/2)*12+'Reeksen (N)'!AM209*((L209-M209+L209)/2)*12,0)</f>
        <v>0</v>
      </c>
      <c r="AM209" s="71">
        <f ca="1">-AL209*'Invoer gegevens (N)'!$F$31</f>
        <v>0</v>
      </c>
      <c r="AN209" s="71">
        <f t="shared" ca="1" si="60"/>
        <v>0</v>
      </c>
      <c r="AO209" s="71">
        <f ca="1">IF(C209=1,(H209+J209+N209+P209)*'Reeksen (N)'!AN209,0)</f>
        <v>0</v>
      </c>
      <c r="AP209" s="71">
        <f ca="1">-IF(C209=1,(H209+J209+N209+P209)*'Hulp - basis'!$O$550*'Reeksen (N)'!H209,0)</f>
        <v>0</v>
      </c>
      <c r="AQ209" s="71">
        <f ca="1">-IF(C209=1,(F209+K209+L209+Q209)/2*'Invoer gegevens (N)'!$F$35*'Reeksen (N)'!J209,0)*2</f>
        <v>0</v>
      </c>
      <c r="AR209" s="71">
        <f ca="1">IF(BD209&lt;1,-IF(C209=1,(G209*'Invoer gegevens (N)'!$F$36)*'Reeksen (N)'!J209,0),0)</f>
        <v>0</v>
      </c>
      <c r="AS209" s="71">
        <f ca="1">-IF(C209=1,(F209+K209+L209+Q209)/2*'Invoer gegevens (N)'!$F$37*'Reeksen (N)'!L209,0)</f>
        <v>0</v>
      </c>
      <c r="AT209" s="71">
        <f ca="1">-IF(C209=1,IF(E209='Invoer gegevens (N)'!$C$17,'Invoer gegevens (N)'!$C$11,AD209)*'Reeksen (N)'!S209*'Invoer gegevens (N)'!$C$18*'Reeksen (N)'!P209,0)</f>
        <v>0</v>
      </c>
      <c r="AU209" s="71">
        <f ca="1">-IF(C209=1,(F209+K209+L209+Q209)/2*'Invoer gegevens (N)'!$F$38*'Reeksen (N)'!H209,0)</f>
        <v>0</v>
      </c>
      <c r="AV209" s="71">
        <v>0</v>
      </c>
      <c r="AW209" s="71">
        <f t="shared" ca="1" si="61"/>
        <v>0</v>
      </c>
      <c r="AX209" s="71">
        <f ca="1">IF(E209&lt;'Invoer gegevens (N)'!$C$17+15,0,IF(E209&gt;'Invoer gegevens (N)'!$C$17+215,0,AW209))</f>
        <v>0</v>
      </c>
      <c r="AY209" s="71">
        <f ca="1">AX209/(1+'Invoer gegevens (N)'!$F$18)^($AZ209-('Invoer gegevens (N)'!$C$17-'Invoer gegevens (N)'!$C$16))/(1+'Invoer gegevens (N)'!$C$39)^('Invoer gegevens (N)'!$C$17-'Invoer gegevens (N)'!$C$16)</f>
        <v>0</v>
      </c>
      <c r="AZ209" s="68">
        <f ca="1">IF(E209-'Invoer gegevens (N)'!$C$17-14.5&lt;0,0,E209-'Invoer gegevens (N)'!$C$17-14.5)</f>
        <v>189.5</v>
      </c>
      <c r="BA209" s="109">
        <f ca="1">IFERROR(VLOOKUP(E209-15,'Reeksen (N)'!$A$5:$D$234,2,FALSE),0)</f>
        <v>0</v>
      </c>
      <c r="BB209" s="109">
        <f ca="1">IFERROR(VLOOKUP(E209-15,'Reeksen (N)'!$A$5:$D$234,3,FALSE),0)</f>
        <v>0</v>
      </c>
      <c r="BC209" s="109">
        <f ca="1">IFERROR(VLOOKUP(E209-15,'Reeksen (N)'!$A$5:$D$234,4,FALSE),0)</f>
        <v>0</v>
      </c>
      <c r="BD209" s="67">
        <f ca="1">IF(E209-'Invoer gegevens (N)'!$C$17&lt;15,0,1)</f>
        <v>1</v>
      </c>
    </row>
    <row r="210" spans="1:56" x14ac:dyDescent="0.25">
      <c r="A210" s="59"/>
      <c r="B210" s="70">
        <f t="shared" si="62"/>
        <v>206</v>
      </c>
      <c r="C210" s="67">
        <f ca="1">IF(E210-'Invoer gegevens (N)'!$C$17&lt;0,0,1)</f>
        <v>1</v>
      </c>
      <c r="D210" s="68">
        <f t="shared" si="63"/>
        <v>205.5</v>
      </c>
      <c r="E210" s="108">
        <f ca="1">IF('Invoer gegevens (N)'!$C$16="","",E209+1)</f>
        <v>2224</v>
      </c>
      <c r="F210" s="84">
        <f ca="1">IF('Invoer gegevens (N)'!$C$17=E210,'Invoer gegevens (N)'!$C$10,IF(C210=1,K209,0))</f>
        <v>0</v>
      </c>
      <c r="G210" s="96">
        <f ca="1">IF(BD210&lt;1,F210*'Reeksen (N)'!C210,IF(C210&gt;=1,F210*BA210,0))</f>
        <v>0</v>
      </c>
      <c r="H210" s="84">
        <f ca="1">(1-('Invoer gegevens (N)'!$F$20/12))*F210*MIN(BA210,BC210)</f>
        <v>0</v>
      </c>
      <c r="I210" s="84">
        <f t="shared" ca="1" si="48"/>
        <v>0</v>
      </c>
      <c r="J210" s="84">
        <f ca="1">('Invoer gegevens (N)'!$F$20/12)*F209*MIN(BA210,BC210)</f>
        <v>0</v>
      </c>
      <c r="K210" s="97">
        <f t="shared" ca="1" si="53"/>
        <v>0</v>
      </c>
      <c r="L210" s="84">
        <f ca="1">IF('Invoer gegevens (N)'!$C$17=E210,0,IF(C210=1,Q209,0))</f>
        <v>0</v>
      </c>
      <c r="M210" s="96">
        <f t="shared" ca="1" si="49"/>
        <v>0</v>
      </c>
      <c r="N210" s="84">
        <f ca="1">(1-('Invoer gegevens (N)'!$F$20/12))*L210*MIN(BA210,BC210)</f>
        <v>0</v>
      </c>
      <c r="O210" s="84">
        <f t="shared" ca="1" si="50"/>
        <v>0</v>
      </c>
      <c r="P210" s="84">
        <f ca="1">('Invoer gegevens (N)'!$F$20/12)*L209*MIN(BA210,BC210)</f>
        <v>0</v>
      </c>
      <c r="Q210" s="84">
        <f t="shared" ca="1" si="54"/>
        <v>0</v>
      </c>
      <c r="R210" s="85">
        <f ca="1">IF('Invoer gegevens (N)'!$C$17=E210,'Invoer gegevens (N)'!$C$11,IF(C210=1,W209,0))</f>
        <v>0</v>
      </c>
      <c r="S210" s="86">
        <f t="shared" ca="1" si="51"/>
        <v>0</v>
      </c>
      <c r="T210" s="86">
        <f ca="1">(1-('Invoer gegevens (N)'!$F$20/12))*R210*MIN(BC210,BA210)</f>
        <v>0</v>
      </c>
      <c r="U210" s="86">
        <f ca="1">IF(BD210&lt;1,IF('Reeksen (N)'!AD210&lt;='Reeksen (N)'!AE210,R210*'Reeksen (N)'!C210,0),IF(BC210&gt;=BA210,0,IF('Reeksen (N)'!AD210&lt;='Reeksen (N)'!AE210,(BA210-BC210)*R210,0)))</f>
        <v>0</v>
      </c>
      <c r="V210" s="86">
        <f ca="1">IF(BD210&lt;1,IF('Reeksen (N)'!AD210&gt;'Reeksen (N)'!AE210,R210*'Reeksen (N)'!C210,0),IF(BC210&gt;=BA210,0,IF('Reeksen (N)'!AD210&gt;'Reeksen (N)'!AE210,(BA210-BC210)*R210,0)))</f>
        <v>0</v>
      </c>
      <c r="W210" s="218">
        <f t="shared" ca="1" si="55"/>
        <v>0</v>
      </c>
      <c r="X210" s="98">
        <f ca="1">IF('Invoer gegevens (N)'!$C$17=E210,'Invoer gegevens (N)'!$C$10-'Invoer gegevens (N)'!$C$11,IF(C210=1,AC209,0))</f>
        <v>0</v>
      </c>
      <c r="Y210" s="98">
        <f t="shared" ca="1" si="52"/>
        <v>0</v>
      </c>
      <c r="Z210" s="98">
        <f ca="1">(1-('Invoer gegevens (N)'!$F$20/12))*X210*MIN(BA210,BC210)</f>
        <v>0</v>
      </c>
      <c r="AA210" s="98">
        <f ca="1">IF(BD210&lt;1,IF('Reeksen (N)'!AD210&lt;='Reeksen (N)'!AE210,X210*'Reeksen (N)'!C210,0),IF(BC210&gt;=BA210,0,IF('Reeksen (N)'!AD210&lt;='Reeksen (N)'!AE210,(BA210-BC210)*X210,0)))</f>
        <v>0</v>
      </c>
      <c r="AB210" s="98">
        <f ca="1">IF(BD210&lt;1,IF('Reeksen (N)'!AD210&gt;'Reeksen (N)'!AE210,X210*'Reeksen (N)'!C210,0),IF(BC210&gt;=BA210,0,IF('Reeksen (N)'!AD210&gt;'Reeksen (N)'!AE210,(BA210-BC210)*X210,0)))</f>
        <v>0</v>
      </c>
      <c r="AC210" s="99">
        <f t="shared" ca="1" si="56"/>
        <v>0</v>
      </c>
      <c r="AD210" s="98">
        <f ca="1">IF('Invoer gegevens (N)'!$C$17=E210,R210,IF(C210=0,0,AE209))</f>
        <v>0</v>
      </c>
      <c r="AE210" s="98">
        <f t="shared" ca="1" si="57"/>
        <v>0</v>
      </c>
      <c r="AF210" s="98">
        <f ca="1">IF('Invoer gegevens (N)'!$C$17=E210,X210,IF(C210=0,0,AG209))</f>
        <v>0</v>
      </c>
      <c r="AG210" s="98">
        <f t="shared" ca="1" si="58"/>
        <v>0</v>
      </c>
      <c r="AH210" s="66"/>
      <c r="AI210" s="71">
        <f ca="1">IF(C210=1,'Reeksen (N)'!AI210*((F210+K210)/2)*12+'Reeksen (N)'!AD210*((L210+Q210)/2)*12,0)</f>
        <v>0</v>
      </c>
      <c r="AJ210" s="71">
        <f ca="1">-AI210*'Invoer gegevens (N)'!$F$28</f>
        <v>0</v>
      </c>
      <c r="AK210" s="71">
        <f t="shared" ca="1" si="59"/>
        <v>0</v>
      </c>
      <c r="AL210" s="71">
        <f ca="1">IF(C210=1,'Reeksen (N)'!AL210*((F210-G210+F210)/2)*12+'Reeksen (N)'!AM210*((L210-M210+L210)/2)*12,0)</f>
        <v>0</v>
      </c>
      <c r="AM210" s="71">
        <f ca="1">-AL210*'Invoer gegevens (N)'!$F$31</f>
        <v>0</v>
      </c>
      <c r="AN210" s="71">
        <f t="shared" ca="1" si="60"/>
        <v>0</v>
      </c>
      <c r="AO210" s="71">
        <f ca="1">IF(C210=1,(H210+J210+N210+P210)*'Reeksen (N)'!AN210,0)</f>
        <v>0</v>
      </c>
      <c r="AP210" s="71">
        <f ca="1">-IF(C210=1,(H210+J210+N210+P210)*'Hulp - basis'!$O$550*'Reeksen (N)'!H210,0)</f>
        <v>0</v>
      </c>
      <c r="AQ210" s="71">
        <f ca="1">-IF(C210=1,(F210+K210+L210+Q210)/2*'Invoer gegevens (N)'!$F$35*'Reeksen (N)'!J210,0)*2</f>
        <v>0</v>
      </c>
      <c r="AR210" s="71">
        <f ca="1">IF(BD210&lt;1,-IF(C210=1,(G210*'Invoer gegevens (N)'!$F$36)*'Reeksen (N)'!J210,0),0)</f>
        <v>0</v>
      </c>
      <c r="AS210" s="71">
        <f ca="1">-IF(C210=1,(F210+K210+L210+Q210)/2*'Invoer gegevens (N)'!$F$37*'Reeksen (N)'!L210,0)</f>
        <v>0</v>
      </c>
      <c r="AT210" s="71">
        <f ca="1">-IF(C210=1,IF(E210='Invoer gegevens (N)'!$C$17,'Invoer gegevens (N)'!$C$11,AD210)*'Reeksen (N)'!S210*'Invoer gegevens (N)'!$C$18*'Reeksen (N)'!P210,0)</f>
        <v>0</v>
      </c>
      <c r="AU210" s="71">
        <f ca="1">-IF(C210=1,(F210+K210+L210+Q210)/2*'Invoer gegevens (N)'!$F$38*'Reeksen (N)'!H210,0)</f>
        <v>0</v>
      </c>
      <c r="AV210" s="71">
        <v>0</v>
      </c>
      <c r="AW210" s="71">
        <f t="shared" ca="1" si="61"/>
        <v>0</v>
      </c>
      <c r="AX210" s="71">
        <f ca="1">IF(E210&lt;'Invoer gegevens (N)'!$C$17+15,0,IF(E210&gt;'Invoer gegevens (N)'!$C$17+215,0,AW210))</f>
        <v>0</v>
      </c>
      <c r="AY210" s="71">
        <f ca="1">AX210/(1+'Invoer gegevens (N)'!$F$18)^($AZ210-('Invoer gegevens (N)'!$C$17-'Invoer gegevens (N)'!$C$16))/(1+'Invoer gegevens (N)'!$C$39)^('Invoer gegevens (N)'!$C$17-'Invoer gegevens (N)'!$C$16)</f>
        <v>0</v>
      </c>
      <c r="AZ210" s="68">
        <f ca="1">IF(E210-'Invoer gegevens (N)'!$C$17-14.5&lt;0,0,E210-'Invoer gegevens (N)'!$C$17-14.5)</f>
        <v>190.5</v>
      </c>
      <c r="BA210" s="109">
        <f ca="1">IFERROR(VLOOKUP(E210-15,'Reeksen (N)'!$A$5:$D$234,2,FALSE),0)</f>
        <v>0</v>
      </c>
      <c r="BB210" s="109">
        <f ca="1">IFERROR(VLOOKUP(E210-15,'Reeksen (N)'!$A$5:$D$234,3,FALSE),0)</f>
        <v>0</v>
      </c>
      <c r="BC210" s="109">
        <f ca="1">IFERROR(VLOOKUP(E210-15,'Reeksen (N)'!$A$5:$D$234,4,FALSE),0)</f>
        <v>0</v>
      </c>
      <c r="BD210" s="67">
        <f ca="1">IF(E210-'Invoer gegevens (N)'!$C$17&lt;15,0,1)</f>
        <v>1</v>
      </c>
    </row>
    <row r="211" spans="1:56" x14ac:dyDescent="0.25">
      <c r="A211" s="59"/>
      <c r="B211" s="70">
        <f t="shared" si="62"/>
        <v>207</v>
      </c>
      <c r="C211" s="67">
        <f ca="1">IF(E211-'Invoer gegevens (N)'!$C$17&lt;0,0,1)</f>
        <v>1</v>
      </c>
      <c r="D211" s="68">
        <f t="shared" si="63"/>
        <v>206.5</v>
      </c>
      <c r="E211" s="108">
        <f ca="1">IF('Invoer gegevens (N)'!$C$16="","",E210+1)</f>
        <v>2225</v>
      </c>
      <c r="F211" s="84">
        <f ca="1">IF('Invoer gegevens (N)'!$C$17=E211,'Invoer gegevens (N)'!$C$10,IF(C211=1,K210,0))</f>
        <v>0</v>
      </c>
      <c r="G211" s="96">
        <f ca="1">IF(BD211&lt;1,F211*'Reeksen (N)'!C211,IF(C211&gt;=1,F211*BA211,0))</f>
        <v>0</v>
      </c>
      <c r="H211" s="84">
        <f ca="1">(1-('Invoer gegevens (N)'!$F$20/12))*F211*MIN(BA211,BC211)</f>
        <v>0</v>
      </c>
      <c r="I211" s="84">
        <f t="shared" ca="1" si="48"/>
        <v>0</v>
      </c>
      <c r="J211" s="84">
        <f ca="1">('Invoer gegevens (N)'!$F$20/12)*F210*MIN(BA211,BC211)</f>
        <v>0</v>
      </c>
      <c r="K211" s="97">
        <f t="shared" ca="1" si="53"/>
        <v>0</v>
      </c>
      <c r="L211" s="84">
        <f ca="1">IF('Invoer gegevens (N)'!$C$17=E211,0,IF(C211=1,Q210,0))</f>
        <v>0</v>
      </c>
      <c r="M211" s="96">
        <f t="shared" ca="1" si="49"/>
        <v>0</v>
      </c>
      <c r="N211" s="84">
        <f ca="1">(1-('Invoer gegevens (N)'!$F$20/12))*L211*MIN(BA211,BC211)</f>
        <v>0</v>
      </c>
      <c r="O211" s="84">
        <f t="shared" ca="1" si="50"/>
        <v>0</v>
      </c>
      <c r="P211" s="84">
        <f ca="1">('Invoer gegevens (N)'!$F$20/12)*L210*MIN(BA211,BC211)</f>
        <v>0</v>
      </c>
      <c r="Q211" s="84">
        <f t="shared" ca="1" si="54"/>
        <v>0</v>
      </c>
      <c r="R211" s="85">
        <f ca="1">IF('Invoer gegevens (N)'!$C$17=E211,'Invoer gegevens (N)'!$C$11,IF(C211=1,W210,0))</f>
        <v>0</v>
      </c>
      <c r="S211" s="86">
        <f t="shared" ca="1" si="51"/>
        <v>0</v>
      </c>
      <c r="T211" s="86">
        <f ca="1">(1-('Invoer gegevens (N)'!$F$20/12))*R211*MIN(BC211,BA211)</f>
        <v>0</v>
      </c>
      <c r="U211" s="86">
        <f ca="1">IF(BD211&lt;1,IF('Reeksen (N)'!AD211&lt;='Reeksen (N)'!AE211,R211*'Reeksen (N)'!C211,0),IF(BC211&gt;=BA211,0,IF('Reeksen (N)'!AD211&lt;='Reeksen (N)'!AE211,(BA211-BC211)*R211,0)))</f>
        <v>0</v>
      </c>
      <c r="V211" s="86">
        <f ca="1">IF(BD211&lt;1,IF('Reeksen (N)'!AD211&gt;'Reeksen (N)'!AE211,R211*'Reeksen (N)'!C211,0),IF(BC211&gt;=BA211,0,IF('Reeksen (N)'!AD211&gt;'Reeksen (N)'!AE211,(BA211-BC211)*R211,0)))</f>
        <v>0</v>
      </c>
      <c r="W211" s="218">
        <f t="shared" ca="1" si="55"/>
        <v>0</v>
      </c>
      <c r="X211" s="98">
        <f ca="1">IF('Invoer gegevens (N)'!$C$17=E211,'Invoer gegevens (N)'!$C$10-'Invoer gegevens (N)'!$C$11,IF(C211=1,AC210,0))</f>
        <v>0</v>
      </c>
      <c r="Y211" s="98">
        <f t="shared" ca="1" si="52"/>
        <v>0</v>
      </c>
      <c r="Z211" s="98">
        <f ca="1">(1-('Invoer gegevens (N)'!$F$20/12))*X211*MIN(BA211,BC211)</f>
        <v>0</v>
      </c>
      <c r="AA211" s="98">
        <f ca="1">IF(BD211&lt;1,IF('Reeksen (N)'!AD211&lt;='Reeksen (N)'!AE211,X211*'Reeksen (N)'!C211,0),IF(BC211&gt;=BA211,0,IF('Reeksen (N)'!AD211&lt;='Reeksen (N)'!AE211,(BA211-BC211)*X211,0)))</f>
        <v>0</v>
      </c>
      <c r="AB211" s="98">
        <f ca="1">IF(BD211&lt;1,IF('Reeksen (N)'!AD211&gt;'Reeksen (N)'!AE211,X211*'Reeksen (N)'!C211,0),IF(BC211&gt;=BA211,0,IF('Reeksen (N)'!AD211&gt;'Reeksen (N)'!AE211,(BA211-BC211)*X211,0)))</f>
        <v>0</v>
      </c>
      <c r="AC211" s="99">
        <f t="shared" ca="1" si="56"/>
        <v>0</v>
      </c>
      <c r="AD211" s="98">
        <f ca="1">IF('Invoer gegevens (N)'!$C$17=E211,R211,IF(C211=0,0,AE210))</f>
        <v>0</v>
      </c>
      <c r="AE211" s="98">
        <f t="shared" ca="1" si="57"/>
        <v>0</v>
      </c>
      <c r="AF211" s="98">
        <f ca="1">IF('Invoer gegevens (N)'!$C$17=E211,X211,IF(C211=0,0,AG210))</f>
        <v>0</v>
      </c>
      <c r="AG211" s="98">
        <f t="shared" ca="1" si="58"/>
        <v>0</v>
      </c>
      <c r="AH211" s="66"/>
      <c r="AI211" s="71">
        <f ca="1">IF(C211=1,'Reeksen (N)'!AI211*((F211+K211)/2)*12+'Reeksen (N)'!AD211*((L211+Q211)/2)*12,0)</f>
        <v>0</v>
      </c>
      <c r="AJ211" s="71">
        <f ca="1">-AI211*'Invoer gegevens (N)'!$F$28</f>
        <v>0</v>
      </c>
      <c r="AK211" s="71">
        <f t="shared" ca="1" si="59"/>
        <v>0</v>
      </c>
      <c r="AL211" s="71">
        <f ca="1">IF(C211=1,'Reeksen (N)'!AL211*((F211-G211+F211)/2)*12+'Reeksen (N)'!AM211*((L211-M211+L211)/2)*12,0)</f>
        <v>0</v>
      </c>
      <c r="AM211" s="71">
        <f ca="1">-AL211*'Invoer gegevens (N)'!$F$31</f>
        <v>0</v>
      </c>
      <c r="AN211" s="71">
        <f t="shared" ca="1" si="60"/>
        <v>0</v>
      </c>
      <c r="AO211" s="71">
        <f ca="1">IF(C211=1,(H211+J211+N211+P211)*'Reeksen (N)'!AN211,0)</f>
        <v>0</v>
      </c>
      <c r="AP211" s="71">
        <f ca="1">-IF(C211=1,(H211+J211+N211+P211)*'Hulp - basis'!$O$550*'Reeksen (N)'!H211,0)</f>
        <v>0</v>
      </c>
      <c r="AQ211" s="71">
        <f ca="1">-IF(C211=1,(F211+K211+L211+Q211)/2*'Invoer gegevens (N)'!$F$35*'Reeksen (N)'!J211,0)*2</f>
        <v>0</v>
      </c>
      <c r="AR211" s="71">
        <f ca="1">IF(BD211&lt;1,-IF(C211=1,(G211*'Invoer gegevens (N)'!$F$36)*'Reeksen (N)'!J211,0),0)</f>
        <v>0</v>
      </c>
      <c r="AS211" s="71">
        <f ca="1">-IF(C211=1,(F211+K211+L211+Q211)/2*'Invoer gegevens (N)'!$F$37*'Reeksen (N)'!L211,0)</f>
        <v>0</v>
      </c>
      <c r="AT211" s="71">
        <f ca="1">-IF(C211=1,IF(E211='Invoer gegevens (N)'!$C$17,'Invoer gegevens (N)'!$C$11,AD211)*'Reeksen (N)'!S211*'Invoer gegevens (N)'!$C$18*'Reeksen (N)'!P211,0)</f>
        <v>0</v>
      </c>
      <c r="AU211" s="71">
        <f ca="1">-IF(C211=1,(F211+K211+L211+Q211)/2*'Invoer gegevens (N)'!$F$38*'Reeksen (N)'!H211,0)</f>
        <v>0</v>
      </c>
      <c r="AV211" s="71">
        <v>0</v>
      </c>
      <c r="AW211" s="71">
        <f t="shared" ca="1" si="61"/>
        <v>0</v>
      </c>
      <c r="AX211" s="71">
        <f ca="1">IF(E211&lt;'Invoer gegevens (N)'!$C$17+15,0,IF(E211&gt;'Invoer gegevens (N)'!$C$17+215,0,AW211))</f>
        <v>0</v>
      </c>
      <c r="AY211" s="71">
        <f ca="1">AX211/(1+'Invoer gegevens (N)'!$F$18)^($AZ211-('Invoer gegevens (N)'!$C$17-'Invoer gegevens (N)'!$C$16))/(1+'Invoer gegevens (N)'!$C$39)^('Invoer gegevens (N)'!$C$17-'Invoer gegevens (N)'!$C$16)</f>
        <v>0</v>
      </c>
      <c r="AZ211" s="68">
        <f ca="1">IF(E211-'Invoer gegevens (N)'!$C$17-14.5&lt;0,0,E211-'Invoer gegevens (N)'!$C$17-14.5)</f>
        <v>191.5</v>
      </c>
      <c r="BA211" s="109">
        <f ca="1">IFERROR(VLOOKUP(E211-15,'Reeksen (N)'!$A$5:$D$234,2,FALSE),0)</f>
        <v>0</v>
      </c>
      <c r="BB211" s="109">
        <f ca="1">IFERROR(VLOOKUP(E211-15,'Reeksen (N)'!$A$5:$D$234,3,FALSE),0)</f>
        <v>0</v>
      </c>
      <c r="BC211" s="109">
        <f ca="1">IFERROR(VLOOKUP(E211-15,'Reeksen (N)'!$A$5:$D$234,4,FALSE),0)</f>
        <v>0</v>
      </c>
      <c r="BD211" s="67">
        <f ca="1">IF(E211-'Invoer gegevens (N)'!$C$17&lt;15,0,1)</f>
        <v>1</v>
      </c>
    </row>
    <row r="212" spans="1:56" x14ac:dyDescent="0.25">
      <c r="A212" s="59"/>
      <c r="B212" s="70">
        <f t="shared" si="62"/>
        <v>208</v>
      </c>
      <c r="C212" s="67">
        <f ca="1">IF(E212-'Invoer gegevens (N)'!$C$17&lt;0,0,1)</f>
        <v>1</v>
      </c>
      <c r="D212" s="68">
        <f t="shared" si="63"/>
        <v>207.5</v>
      </c>
      <c r="E212" s="108">
        <f ca="1">IF('Invoer gegevens (N)'!$C$16="","",E211+1)</f>
        <v>2226</v>
      </c>
      <c r="F212" s="84">
        <f ca="1">IF('Invoer gegevens (N)'!$C$17=E212,'Invoer gegevens (N)'!$C$10,IF(C212=1,K211,0))</f>
        <v>0</v>
      </c>
      <c r="G212" s="96">
        <f ca="1">IF(BD212&lt;1,F212*'Reeksen (N)'!C212,IF(C212&gt;=1,F212*BA212,0))</f>
        <v>0</v>
      </c>
      <c r="H212" s="84">
        <f ca="1">(1-('Invoer gegevens (N)'!$F$20/12))*F212*MIN(BA212,BC212)</f>
        <v>0</v>
      </c>
      <c r="I212" s="84">
        <f t="shared" ca="1" si="48"/>
        <v>0</v>
      </c>
      <c r="J212" s="84">
        <f ca="1">('Invoer gegevens (N)'!$F$20/12)*F211*MIN(BA212,BC212)</f>
        <v>0</v>
      </c>
      <c r="K212" s="97">
        <f t="shared" ca="1" si="53"/>
        <v>0</v>
      </c>
      <c r="L212" s="84">
        <f ca="1">IF('Invoer gegevens (N)'!$C$17=E212,0,IF(C212=1,Q211,0))</f>
        <v>0</v>
      </c>
      <c r="M212" s="96">
        <f t="shared" ca="1" si="49"/>
        <v>0</v>
      </c>
      <c r="N212" s="84">
        <f ca="1">(1-('Invoer gegevens (N)'!$F$20/12))*L212*MIN(BA212,BC212)</f>
        <v>0</v>
      </c>
      <c r="O212" s="84">
        <f t="shared" ca="1" si="50"/>
        <v>0</v>
      </c>
      <c r="P212" s="84">
        <f ca="1">('Invoer gegevens (N)'!$F$20/12)*L211*MIN(BA212,BC212)</f>
        <v>0</v>
      </c>
      <c r="Q212" s="84">
        <f t="shared" ca="1" si="54"/>
        <v>0</v>
      </c>
      <c r="R212" s="85">
        <f ca="1">IF('Invoer gegevens (N)'!$C$17=E212,'Invoer gegevens (N)'!$C$11,IF(C212=1,W211,0))</f>
        <v>0</v>
      </c>
      <c r="S212" s="86">
        <f t="shared" ca="1" si="51"/>
        <v>0</v>
      </c>
      <c r="T212" s="86">
        <f ca="1">(1-('Invoer gegevens (N)'!$F$20/12))*R212*MIN(BC212,BA212)</f>
        <v>0</v>
      </c>
      <c r="U212" s="86">
        <f ca="1">IF(BD212&lt;1,IF('Reeksen (N)'!AD212&lt;='Reeksen (N)'!AE212,R212*'Reeksen (N)'!C212,0),IF(BC212&gt;=BA212,0,IF('Reeksen (N)'!AD212&lt;='Reeksen (N)'!AE212,(BA212-BC212)*R212,0)))</f>
        <v>0</v>
      </c>
      <c r="V212" s="86">
        <f ca="1">IF(BD212&lt;1,IF('Reeksen (N)'!AD212&gt;'Reeksen (N)'!AE212,R212*'Reeksen (N)'!C212,0),IF(BC212&gt;=BA212,0,IF('Reeksen (N)'!AD212&gt;'Reeksen (N)'!AE212,(BA212-BC212)*R212,0)))</f>
        <v>0</v>
      </c>
      <c r="W212" s="218">
        <f t="shared" ca="1" si="55"/>
        <v>0</v>
      </c>
      <c r="X212" s="98">
        <f ca="1">IF('Invoer gegevens (N)'!$C$17=E212,'Invoer gegevens (N)'!$C$10-'Invoer gegevens (N)'!$C$11,IF(C212=1,AC211,0))</f>
        <v>0</v>
      </c>
      <c r="Y212" s="98">
        <f t="shared" ca="1" si="52"/>
        <v>0</v>
      </c>
      <c r="Z212" s="98">
        <f ca="1">(1-('Invoer gegevens (N)'!$F$20/12))*X212*MIN(BA212,BC212)</f>
        <v>0</v>
      </c>
      <c r="AA212" s="98">
        <f ca="1">IF(BD212&lt;1,IF('Reeksen (N)'!AD212&lt;='Reeksen (N)'!AE212,X212*'Reeksen (N)'!C212,0),IF(BC212&gt;=BA212,0,IF('Reeksen (N)'!AD212&lt;='Reeksen (N)'!AE212,(BA212-BC212)*X212,0)))</f>
        <v>0</v>
      </c>
      <c r="AB212" s="98">
        <f ca="1">IF(BD212&lt;1,IF('Reeksen (N)'!AD212&gt;'Reeksen (N)'!AE212,X212*'Reeksen (N)'!C212,0),IF(BC212&gt;=BA212,0,IF('Reeksen (N)'!AD212&gt;'Reeksen (N)'!AE212,(BA212-BC212)*X212,0)))</f>
        <v>0</v>
      </c>
      <c r="AC212" s="99">
        <f t="shared" ca="1" si="56"/>
        <v>0</v>
      </c>
      <c r="AD212" s="98">
        <f ca="1">IF('Invoer gegevens (N)'!$C$17=E212,R212,IF(C212=0,0,AE211))</f>
        <v>0</v>
      </c>
      <c r="AE212" s="98">
        <f t="shared" ca="1" si="57"/>
        <v>0</v>
      </c>
      <c r="AF212" s="98">
        <f ca="1">IF('Invoer gegevens (N)'!$C$17=E212,X212,IF(C212=0,0,AG211))</f>
        <v>0</v>
      </c>
      <c r="AG212" s="98">
        <f t="shared" ca="1" si="58"/>
        <v>0</v>
      </c>
      <c r="AH212" s="66"/>
      <c r="AI212" s="71">
        <f ca="1">IF(C212=1,'Reeksen (N)'!AI212*((F212+K212)/2)*12+'Reeksen (N)'!AD212*((L212+Q212)/2)*12,0)</f>
        <v>0</v>
      </c>
      <c r="AJ212" s="71">
        <f ca="1">-AI212*'Invoer gegevens (N)'!$F$28</f>
        <v>0</v>
      </c>
      <c r="AK212" s="71">
        <f t="shared" ca="1" si="59"/>
        <v>0</v>
      </c>
      <c r="AL212" s="71">
        <f ca="1">IF(C212=1,'Reeksen (N)'!AL212*((F212-G212+F212)/2)*12+'Reeksen (N)'!AM212*((L212-M212+L212)/2)*12,0)</f>
        <v>0</v>
      </c>
      <c r="AM212" s="71">
        <f ca="1">-AL212*'Invoer gegevens (N)'!$F$31</f>
        <v>0</v>
      </c>
      <c r="AN212" s="71">
        <f t="shared" ca="1" si="60"/>
        <v>0</v>
      </c>
      <c r="AO212" s="71">
        <f ca="1">IF(C212=1,(H212+J212+N212+P212)*'Reeksen (N)'!AN212,0)</f>
        <v>0</v>
      </c>
      <c r="AP212" s="71">
        <f ca="1">-IF(C212=1,(H212+J212+N212+P212)*'Hulp - basis'!$O$550*'Reeksen (N)'!H212,0)</f>
        <v>0</v>
      </c>
      <c r="AQ212" s="71">
        <f ca="1">-IF(C212=1,(F212+K212+L212+Q212)/2*'Invoer gegevens (N)'!$F$35*'Reeksen (N)'!J212,0)*2</f>
        <v>0</v>
      </c>
      <c r="AR212" s="71">
        <f ca="1">IF(BD212&lt;1,-IF(C212=1,(G212*'Invoer gegevens (N)'!$F$36)*'Reeksen (N)'!J212,0),0)</f>
        <v>0</v>
      </c>
      <c r="AS212" s="71">
        <f ca="1">-IF(C212=1,(F212+K212+L212+Q212)/2*'Invoer gegevens (N)'!$F$37*'Reeksen (N)'!L212,0)</f>
        <v>0</v>
      </c>
      <c r="AT212" s="71">
        <f ca="1">-IF(C212=1,IF(E212='Invoer gegevens (N)'!$C$17,'Invoer gegevens (N)'!$C$11,AD212)*'Reeksen (N)'!S212*'Invoer gegevens (N)'!$C$18*'Reeksen (N)'!P212,0)</f>
        <v>0</v>
      </c>
      <c r="AU212" s="71">
        <f ca="1">-IF(C212=1,(F212+K212+L212+Q212)/2*'Invoer gegevens (N)'!$F$38*'Reeksen (N)'!H212,0)</f>
        <v>0</v>
      </c>
      <c r="AV212" s="71">
        <v>0</v>
      </c>
      <c r="AW212" s="71">
        <f t="shared" ca="1" si="61"/>
        <v>0</v>
      </c>
      <c r="AX212" s="71">
        <f ca="1">IF(E212&lt;'Invoer gegevens (N)'!$C$17+15,0,IF(E212&gt;'Invoer gegevens (N)'!$C$17+215,0,AW212))</f>
        <v>0</v>
      </c>
      <c r="AY212" s="71">
        <f ca="1">AX212/(1+'Invoer gegevens (N)'!$F$18)^($AZ212-('Invoer gegevens (N)'!$C$17-'Invoer gegevens (N)'!$C$16))/(1+'Invoer gegevens (N)'!$C$39)^('Invoer gegevens (N)'!$C$17-'Invoer gegevens (N)'!$C$16)</f>
        <v>0</v>
      </c>
      <c r="AZ212" s="68">
        <f ca="1">IF(E212-'Invoer gegevens (N)'!$C$17-14.5&lt;0,0,E212-'Invoer gegevens (N)'!$C$17-14.5)</f>
        <v>192.5</v>
      </c>
      <c r="BA212" s="109">
        <f ca="1">IFERROR(VLOOKUP(E212-15,'Reeksen (N)'!$A$5:$D$234,2,FALSE),0)</f>
        <v>0</v>
      </c>
      <c r="BB212" s="109">
        <f ca="1">IFERROR(VLOOKUP(E212-15,'Reeksen (N)'!$A$5:$D$234,3,FALSE),0)</f>
        <v>0</v>
      </c>
      <c r="BC212" s="109">
        <f ca="1">IFERROR(VLOOKUP(E212-15,'Reeksen (N)'!$A$5:$D$234,4,FALSE),0)</f>
        <v>0</v>
      </c>
      <c r="BD212" s="67">
        <f ca="1">IF(E212-'Invoer gegevens (N)'!$C$17&lt;15,0,1)</f>
        <v>1</v>
      </c>
    </row>
    <row r="213" spans="1:56" x14ac:dyDescent="0.25">
      <c r="A213" s="59"/>
      <c r="B213" s="70">
        <f t="shared" si="62"/>
        <v>209</v>
      </c>
      <c r="C213" s="67">
        <f ca="1">IF(E213-'Invoer gegevens (N)'!$C$17&lt;0,0,1)</f>
        <v>1</v>
      </c>
      <c r="D213" s="68">
        <f t="shared" si="63"/>
        <v>208.5</v>
      </c>
      <c r="E213" s="108">
        <f ca="1">IF('Invoer gegevens (N)'!$C$16="","",E212+1)</f>
        <v>2227</v>
      </c>
      <c r="F213" s="84">
        <f ca="1">IF('Invoer gegevens (N)'!$C$17=E213,'Invoer gegevens (N)'!$C$10,IF(C213=1,K212,0))</f>
        <v>0</v>
      </c>
      <c r="G213" s="96">
        <f ca="1">IF(BD213&lt;1,F213*'Reeksen (N)'!C213,IF(C213&gt;=1,F213*BA213,0))</f>
        <v>0</v>
      </c>
      <c r="H213" s="84">
        <f ca="1">(1-('Invoer gegevens (N)'!$F$20/12))*F213*MIN(BA213,BC213)</f>
        <v>0</v>
      </c>
      <c r="I213" s="84">
        <f t="shared" ca="1" si="48"/>
        <v>0</v>
      </c>
      <c r="J213" s="84">
        <f ca="1">('Invoer gegevens (N)'!$F$20/12)*F212*MIN(BA213,BC213)</f>
        <v>0</v>
      </c>
      <c r="K213" s="97">
        <f t="shared" ca="1" si="53"/>
        <v>0</v>
      </c>
      <c r="L213" s="84">
        <f ca="1">IF('Invoer gegevens (N)'!$C$17=E213,0,IF(C213=1,Q212,0))</f>
        <v>0</v>
      </c>
      <c r="M213" s="96">
        <f t="shared" ca="1" si="49"/>
        <v>0</v>
      </c>
      <c r="N213" s="84">
        <f ca="1">(1-('Invoer gegevens (N)'!$F$20/12))*L213*MIN(BA213,BC213)</f>
        <v>0</v>
      </c>
      <c r="O213" s="84">
        <f t="shared" ca="1" si="50"/>
        <v>0</v>
      </c>
      <c r="P213" s="84">
        <f ca="1">('Invoer gegevens (N)'!$F$20/12)*L212*MIN(BA213,BC213)</f>
        <v>0</v>
      </c>
      <c r="Q213" s="84">
        <f t="shared" ca="1" si="54"/>
        <v>0</v>
      </c>
      <c r="R213" s="85">
        <f ca="1">IF('Invoer gegevens (N)'!$C$17=E213,'Invoer gegevens (N)'!$C$11,IF(C213=1,W212,0))</f>
        <v>0</v>
      </c>
      <c r="S213" s="86">
        <f t="shared" ca="1" si="51"/>
        <v>0</v>
      </c>
      <c r="T213" s="86">
        <f ca="1">(1-('Invoer gegevens (N)'!$F$20/12))*R213*MIN(BC213,BA213)</f>
        <v>0</v>
      </c>
      <c r="U213" s="86">
        <f ca="1">IF(BD213&lt;1,IF('Reeksen (N)'!AD213&lt;='Reeksen (N)'!AE213,R213*'Reeksen (N)'!C213,0),IF(BC213&gt;=BA213,0,IF('Reeksen (N)'!AD213&lt;='Reeksen (N)'!AE213,(BA213-BC213)*R213,0)))</f>
        <v>0</v>
      </c>
      <c r="V213" s="86">
        <f ca="1">IF(BD213&lt;1,IF('Reeksen (N)'!AD213&gt;'Reeksen (N)'!AE213,R213*'Reeksen (N)'!C213,0),IF(BC213&gt;=BA213,0,IF('Reeksen (N)'!AD213&gt;'Reeksen (N)'!AE213,(BA213-BC213)*R213,0)))</f>
        <v>0</v>
      </c>
      <c r="W213" s="218">
        <f t="shared" ca="1" si="55"/>
        <v>0</v>
      </c>
      <c r="X213" s="98">
        <f ca="1">IF('Invoer gegevens (N)'!$C$17=E213,'Invoer gegevens (N)'!$C$10-'Invoer gegevens (N)'!$C$11,IF(C213=1,AC212,0))</f>
        <v>0</v>
      </c>
      <c r="Y213" s="98">
        <f t="shared" ca="1" si="52"/>
        <v>0</v>
      </c>
      <c r="Z213" s="98">
        <f ca="1">(1-('Invoer gegevens (N)'!$F$20/12))*X213*MIN(BA213,BC213)</f>
        <v>0</v>
      </c>
      <c r="AA213" s="98">
        <f ca="1">IF(BD213&lt;1,IF('Reeksen (N)'!AD213&lt;='Reeksen (N)'!AE213,X213*'Reeksen (N)'!C213,0),IF(BC213&gt;=BA213,0,IF('Reeksen (N)'!AD213&lt;='Reeksen (N)'!AE213,(BA213-BC213)*X213,0)))</f>
        <v>0</v>
      </c>
      <c r="AB213" s="98">
        <f ca="1">IF(BD213&lt;1,IF('Reeksen (N)'!AD213&gt;'Reeksen (N)'!AE213,X213*'Reeksen (N)'!C213,0),IF(BC213&gt;=BA213,0,IF('Reeksen (N)'!AD213&gt;'Reeksen (N)'!AE213,(BA213-BC213)*X213,0)))</f>
        <v>0</v>
      </c>
      <c r="AC213" s="99">
        <f t="shared" ca="1" si="56"/>
        <v>0</v>
      </c>
      <c r="AD213" s="98">
        <f ca="1">IF('Invoer gegevens (N)'!$C$17=E213,R213,IF(C213=0,0,AE212))</f>
        <v>0</v>
      </c>
      <c r="AE213" s="98">
        <f t="shared" ca="1" si="57"/>
        <v>0</v>
      </c>
      <c r="AF213" s="98">
        <f ca="1">IF('Invoer gegevens (N)'!$C$17=E213,X213,IF(C213=0,0,AG212))</f>
        <v>0</v>
      </c>
      <c r="AG213" s="98">
        <f t="shared" ca="1" si="58"/>
        <v>0</v>
      </c>
      <c r="AH213" s="66"/>
      <c r="AI213" s="71">
        <f ca="1">IF(C213=1,'Reeksen (N)'!AI213*((F213+K213)/2)*12+'Reeksen (N)'!AD213*((L213+Q213)/2)*12,0)</f>
        <v>0</v>
      </c>
      <c r="AJ213" s="71">
        <f ca="1">-AI213*'Invoer gegevens (N)'!$F$28</f>
        <v>0</v>
      </c>
      <c r="AK213" s="71">
        <f t="shared" ca="1" si="59"/>
        <v>0</v>
      </c>
      <c r="AL213" s="71">
        <f ca="1">IF(C213=1,'Reeksen (N)'!AL213*((F213-G213+F213)/2)*12+'Reeksen (N)'!AM213*((L213-M213+L213)/2)*12,0)</f>
        <v>0</v>
      </c>
      <c r="AM213" s="71">
        <f ca="1">-AL213*'Invoer gegevens (N)'!$F$31</f>
        <v>0</v>
      </c>
      <c r="AN213" s="71">
        <f t="shared" ca="1" si="60"/>
        <v>0</v>
      </c>
      <c r="AO213" s="71">
        <f ca="1">IF(C213=1,(H213+J213+N213+P213)*'Reeksen (N)'!AN213,0)</f>
        <v>0</v>
      </c>
      <c r="AP213" s="71">
        <f ca="1">-IF(C213=1,(H213+J213+N213+P213)*'Hulp - basis'!$O$550*'Reeksen (N)'!H213,0)</f>
        <v>0</v>
      </c>
      <c r="AQ213" s="71">
        <f ca="1">-IF(C213=1,(F213+K213+L213+Q213)/2*'Invoer gegevens (N)'!$F$35*'Reeksen (N)'!J213,0)*2</f>
        <v>0</v>
      </c>
      <c r="AR213" s="71">
        <f ca="1">IF(BD213&lt;1,-IF(C213=1,(G213*'Invoer gegevens (N)'!$F$36)*'Reeksen (N)'!J213,0),0)</f>
        <v>0</v>
      </c>
      <c r="AS213" s="71">
        <f ca="1">-IF(C213=1,(F213+K213+L213+Q213)/2*'Invoer gegevens (N)'!$F$37*'Reeksen (N)'!L213,0)</f>
        <v>0</v>
      </c>
      <c r="AT213" s="71">
        <f ca="1">-IF(C213=1,IF(E213='Invoer gegevens (N)'!$C$17,'Invoer gegevens (N)'!$C$11,AD213)*'Reeksen (N)'!S213*'Invoer gegevens (N)'!$C$18*'Reeksen (N)'!P213,0)</f>
        <v>0</v>
      </c>
      <c r="AU213" s="71">
        <f ca="1">-IF(C213=1,(F213+K213+L213+Q213)/2*'Invoer gegevens (N)'!$F$38*'Reeksen (N)'!H213,0)</f>
        <v>0</v>
      </c>
      <c r="AV213" s="71">
        <v>0</v>
      </c>
      <c r="AW213" s="71">
        <f t="shared" ca="1" si="61"/>
        <v>0</v>
      </c>
      <c r="AX213" s="71">
        <f ca="1">IF(E213&lt;'Invoer gegevens (N)'!$C$17+15,0,IF(E213&gt;'Invoer gegevens (N)'!$C$17+215,0,AW213))</f>
        <v>0</v>
      </c>
      <c r="AY213" s="71">
        <f ca="1">AX213/(1+'Invoer gegevens (N)'!$F$18)^($AZ213-('Invoer gegevens (N)'!$C$17-'Invoer gegevens (N)'!$C$16))/(1+'Invoer gegevens (N)'!$C$39)^('Invoer gegevens (N)'!$C$17-'Invoer gegevens (N)'!$C$16)</f>
        <v>0</v>
      </c>
      <c r="AZ213" s="68">
        <f ca="1">IF(E213-'Invoer gegevens (N)'!$C$17-14.5&lt;0,0,E213-'Invoer gegevens (N)'!$C$17-14.5)</f>
        <v>193.5</v>
      </c>
      <c r="BA213" s="109">
        <f ca="1">IFERROR(VLOOKUP(E213-15,'Reeksen (N)'!$A$5:$D$234,2,FALSE),0)</f>
        <v>0</v>
      </c>
      <c r="BB213" s="109">
        <f ca="1">IFERROR(VLOOKUP(E213-15,'Reeksen (N)'!$A$5:$D$234,3,FALSE),0)</f>
        <v>0</v>
      </c>
      <c r="BC213" s="109">
        <f ca="1">IFERROR(VLOOKUP(E213-15,'Reeksen (N)'!$A$5:$D$234,4,FALSE),0)</f>
        <v>0</v>
      </c>
      <c r="BD213" s="67">
        <f ca="1">IF(E213-'Invoer gegevens (N)'!$C$17&lt;15,0,1)</f>
        <v>1</v>
      </c>
    </row>
    <row r="214" spans="1:56" x14ac:dyDescent="0.25">
      <c r="A214" s="59"/>
      <c r="B214" s="70">
        <f t="shared" si="62"/>
        <v>210</v>
      </c>
      <c r="C214" s="67">
        <f ca="1">IF(E214-'Invoer gegevens (N)'!$C$17&lt;0,0,1)</f>
        <v>1</v>
      </c>
      <c r="D214" s="68">
        <f t="shared" si="63"/>
        <v>209.5</v>
      </c>
      <c r="E214" s="108">
        <f ca="1">IF('Invoer gegevens (N)'!$C$16="","",E213+1)</f>
        <v>2228</v>
      </c>
      <c r="F214" s="84">
        <f ca="1">IF('Invoer gegevens (N)'!$C$17=E214,'Invoer gegevens (N)'!$C$10,IF(C214=1,K213,0))</f>
        <v>0</v>
      </c>
      <c r="G214" s="96">
        <f ca="1">IF(BD214&lt;1,F214*'Reeksen (N)'!C214,IF(C214&gt;=1,F214*BA214,0))</f>
        <v>0</v>
      </c>
      <c r="H214" s="84">
        <f ca="1">(1-('Invoer gegevens (N)'!$F$20/12))*F214*MIN(BA214,BC214)</f>
        <v>0</v>
      </c>
      <c r="I214" s="84">
        <f t="shared" ca="1" si="48"/>
        <v>0</v>
      </c>
      <c r="J214" s="84">
        <f ca="1">('Invoer gegevens (N)'!$F$20/12)*F213*MIN(BA214,BC214)</f>
        <v>0</v>
      </c>
      <c r="K214" s="97">
        <f t="shared" ca="1" si="53"/>
        <v>0</v>
      </c>
      <c r="L214" s="84">
        <f ca="1">IF('Invoer gegevens (N)'!$C$17=E214,0,IF(C214=1,Q213,0))</f>
        <v>0</v>
      </c>
      <c r="M214" s="96">
        <f t="shared" ca="1" si="49"/>
        <v>0</v>
      </c>
      <c r="N214" s="84">
        <f ca="1">(1-('Invoer gegevens (N)'!$F$20/12))*L214*MIN(BA214,BC214)</f>
        <v>0</v>
      </c>
      <c r="O214" s="84">
        <f t="shared" ca="1" si="50"/>
        <v>0</v>
      </c>
      <c r="P214" s="84">
        <f ca="1">('Invoer gegevens (N)'!$F$20/12)*L213*MIN(BA214,BC214)</f>
        <v>0</v>
      </c>
      <c r="Q214" s="84">
        <f t="shared" ca="1" si="54"/>
        <v>0</v>
      </c>
      <c r="R214" s="85">
        <f ca="1">IF('Invoer gegevens (N)'!$C$17=E214,'Invoer gegevens (N)'!$C$11,IF(C214=1,W213,0))</f>
        <v>0</v>
      </c>
      <c r="S214" s="86">
        <f t="shared" ca="1" si="51"/>
        <v>0</v>
      </c>
      <c r="T214" s="86">
        <f ca="1">(1-('Invoer gegevens (N)'!$F$20/12))*R214*MIN(BC214,BA214)</f>
        <v>0</v>
      </c>
      <c r="U214" s="86">
        <f ca="1">IF(BD214&lt;1,IF('Reeksen (N)'!AD214&lt;='Reeksen (N)'!AE214,R214*'Reeksen (N)'!C214,0),IF(BC214&gt;=BA214,0,IF('Reeksen (N)'!AD214&lt;='Reeksen (N)'!AE214,(BA214-BC214)*R214,0)))</f>
        <v>0</v>
      </c>
      <c r="V214" s="86">
        <f ca="1">IF(BD214&lt;1,IF('Reeksen (N)'!AD214&gt;'Reeksen (N)'!AE214,R214*'Reeksen (N)'!C214,0),IF(BC214&gt;=BA214,0,IF('Reeksen (N)'!AD214&gt;'Reeksen (N)'!AE214,(BA214-BC214)*R214,0)))</f>
        <v>0</v>
      </c>
      <c r="W214" s="218">
        <f t="shared" ca="1" si="55"/>
        <v>0</v>
      </c>
      <c r="X214" s="98">
        <f ca="1">IF('Invoer gegevens (N)'!$C$17=E214,'Invoer gegevens (N)'!$C$10-'Invoer gegevens (N)'!$C$11,IF(C214=1,AC213,0))</f>
        <v>0</v>
      </c>
      <c r="Y214" s="98">
        <f t="shared" ca="1" si="52"/>
        <v>0</v>
      </c>
      <c r="Z214" s="98">
        <f ca="1">(1-('Invoer gegevens (N)'!$F$20/12))*X214*MIN(BA214,BC214)</f>
        <v>0</v>
      </c>
      <c r="AA214" s="98">
        <f ca="1">IF(BD214&lt;1,IF('Reeksen (N)'!AD214&lt;='Reeksen (N)'!AE214,X214*'Reeksen (N)'!C214,0),IF(BC214&gt;=BA214,0,IF('Reeksen (N)'!AD214&lt;='Reeksen (N)'!AE214,(BA214-BC214)*X214,0)))</f>
        <v>0</v>
      </c>
      <c r="AB214" s="98">
        <f ca="1">IF(BD214&lt;1,IF('Reeksen (N)'!AD214&gt;'Reeksen (N)'!AE214,X214*'Reeksen (N)'!C214,0),IF(BC214&gt;=BA214,0,IF('Reeksen (N)'!AD214&gt;'Reeksen (N)'!AE214,(BA214-BC214)*X214,0)))</f>
        <v>0</v>
      </c>
      <c r="AC214" s="99">
        <f t="shared" ca="1" si="56"/>
        <v>0</v>
      </c>
      <c r="AD214" s="98">
        <f ca="1">IF('Invoer gegevens (N)'!$C$17=E214,R214,IF(C214=0,0,AE213))</f>
        <v>0</v>
      </c>
      <c r="AE214" s="98">
        <f t="shared" ca="1" si="57"/>
        <v>0</v>
      </c>
      <c r="AF214" s="98">
        <f ca="1">IF('Invoer gegevens (N)'!$C$17=E214,X214,IF(C214=0,0,AG213))</f>
        <v>0</v>
      </c>
      <c r="AG214" s="98">
        <f t="shared" ca="1" si="58"/>
        <v>0</v>
      </c>
      <c r="AH214" s="66"/>
      <c r="AI214" s="71">
        <f ca="1">IF(C214=1,'Reeksen (N)'!AI214*((F214+K214)/2)*12+'Reeksen (N)'!AD214*((L214+Q214)/2)*12,0)</f>
        <v>0</v>
      </c>
      <c r="AJ214" s="71">
        <f ca="1">-AI214*'Invoer gegevens (N)'!$F$28</f>
        <v>0</v>
      </c>
      <c r="AK214" s="71">
        <f t="shared" ca="1" si="59"/>
        <v>0</v>
      </c>
      <c r="AL214" s="71">
        <f ca="1">IF(C214=1,'Reeksen (N)'!AL214*((F214-G214+F214)/2)*12+'Reeksen (N)'!AM214*((L214-M214+L214)/2)*12,0)</f>
        <v>0</v>
      </c>
      <c r="AM214" s="71">
        <f ca="1">-AL214*'Invoer gegevens (N)'!$F$31</f>
        <v>0</v>
      </c>
      <c r="AN214" s="71">
        <f t="shared" ca="1" si="60"/>
        <v>0</v>
      </c>
      <c r="AO214" s="71">
        <f ca="1">IF(C214=1,(H214+J214+N214+P214)*'Reeksen (N)'!AN214,0)</f>
        <v>0</v>
      </c>
      <c r="AP214" s="71">
        <f ca="1">-IF(C214=1,(H214+J214+N214+P214)*'Hulp - basis'!$O$550*'Reeksen (N)'!H214,0)</f>
        <v>0</v>
      </c>
      <c r="AQ214" s="71">
        <f ca="1">-IF(C214=1,(F214+K214+L214+Q214)/2*'Invoer gegevens (N)'!$F$35*'Reeksen (N)'!J214,0)*2</f>
        <v>0</v>
      </c>
      <c r="AR214" s="71">
        <f ca="1">IF(BD214&lt;1,-IF(C214=1,(G214*'Invoer gegevens (N)'!$F$36)*'Reeksen (N)'!J214,0),0)</f>
        <v>0</v>
      </c>
      <c r="AS214" s="71">
        <f ca="1">-IF(C214=1,(F214+K214+L214+Q214)/2*'Invoer gegevens (N)'!$F$37*'Reeksen (N)'!L214,0)</f>
        <v>0</v>
      </c>
      <c r="AT214" s="71">
        <f ca="1">-IF(C214=1,IF(E214='Invoer gegevens (N)'!$C$17,'Invoer gegevens (N)'!$C$11,AD214)*'Reeksen (N)'!S214*'Invoer gegevens (N)'!$C$18*'Reeksen (N)'!P214,0)</f>
        <v>0</v>
      </c>
      <c r="AU214" s="71">
        <f ca="1">-IF(C214=1,(F214+K214+L214+Q214)/2*'Invoer gegevens (N)'!$F$38*'Reeksen (N)'!H214,0)</f>
        <v>0</v>
      </c>
      <c r="AV214" s="71">
        <v>0</v>
      </c>
      <c r="AW214" s="71">
        <f t="shared" ca="1" si="61"/>
        <v>0</v>
      </c>
      <c r="AX214" s="71">
        <f ca="1">IF(E214&lt;'Invoer gegevens (N)'!$C$17+15,0,IF(E214&gt;'Invoer gegevens (N)'!$C$17+215,0,AW214))</f>
        <v>0</v>
      </c>
      <c r="AY214" s="71">
        <f ca="1">AX214/(1+'Invoer gegevens (N)'!$F$18)^($AZ214-('Invoer gegevens (N)'!$C$17-'Invoer gegevens (N)'!$C$16))/(1+'Invoer gegevens (N)'!$C$39)^('Invoer gegevens (N)'!$C$17-'Invoer gegevens (N)'!$C$16)</f>
        <v>0</v>
      </c>
      <c r="AZ214" s="68">
        <f ca="1">IF(E214-'Invoer gegevens (N)'!$C$17-14.5&lt;0,0,E214-'Invoer gegevens (N)'!$C$17-14.5)</f>
        <v>194.5</v>
      </c>
      <c r="BA214" s="109">
        <f ca="1">IFERROR(VLOOKUP(E214-15,'Reeksen (N)'!$A$5:$D$234,2,FALSE),0)</f>
        <v>0</v>
      </c>
      <c r="BB214" s="109">
        <f ca="1">IFERROR(VLOOKUP(E214-15,'Reeksen (N)'!$A$5:$D$234,3,FALSE),0)</f>
        <v>0</v>
      </c>
      <c r="BC214" s="109">
        <f ca="1">IFERROR(VLOOKUP(E214-15,'Reeksen (N)'!$A$5:$D$234,4,FALSE),0)</f>
        <v>0</v>
      </c>
      <c r="BD214" s="67">
        <f ca="1">IF(E214-'Invoer gegevens (N)'!$C$17&lt;15,0,1)</f>
        <v>1</v>
      </c>
    </row>
    <row r="215" spans="1:56" x14ac:dyDescent="0.25">
      <c r="A215" s="59"/>
      <c r="B215" s="70">
        <f t="shared" si="62"/>
        <v>211</v>
      </c>
      <c r="C215" s="67">
        <f ca="1">IF(E215-'Invoer gegevens (N)'!$C$17&lt;0,0,1)</f>
        <v>1</v>
      </c>
      <c r="D215" s="68">
        <f t="shared" si="63"/>
        <v>210.5</v>
      </c>
      <c r="E215" s="108">
        <f ca="1">IF('Invoer gegevens (N)'!$C$16="","",E214+1)</f>
        <v>2229</v>
      </c>
      <c r="F215" s="84">
        <f ca="1">IF('Invoer gegevens (N)'!$C$17=E215,'Invoer gegevens (N)'!$C$10,IF(C215=1,K214,0))</f>
        <v>0</v>
      </c>
      <c r="G215" s="96">
        <f ca="1">IF(BD215&lt;1,F215*'Reeksen (N)'!C215,IF(C215&gt;=1,F215*BA215,0))</f>
        <v>0</v>
      </c>
      <c r="H215" s="84">
        <f ca="1">(1-('Invoer gegevens (N)'!$F$20/12))*F215*MIN(BA215,BC215)</f>
        <v>0</v>
      </c>
      <c r="I215" s="84">
        <f t="shared" ca="1" si="48"/>
        <v>0</v>
      </c>
      <c r="J215" s="84">
        <f ca="1">('Invoer gegevens (N)'!$F$20/12)*F214*MIN(BA215,BC215)</f>
        <v>0</v>
      </c>
      <c r="K215" s="97">
        <f t="shared" ca="1" si="53"/>
        <v>0</v>
      </c>
      <c r="L215" s="84">
        <f ca="1">IF('Invoer gegevens (N)'!$C$17=E215,0,IF(C215=1,Q214,0))</f>
        <v>0</v>
      </c>
      <c r="M215" s="96">
        <f t="shared" ca="1" si="49"/>
        <v>0</v>
      </c>
      <c r="N215" s="84">
        <f ca="1">(1-('Invoer gegevens (N)'!$F$20/12))*L215*MIN(BA215,BC215)</f>
        <v>0</v>
      </c>
      <c r="O215" s="84">
        <f t="shared" ca="1" si="50"/>
        <v>0</v>
      </c>
      <c r="P215" s="84">
        <f ca="1">('Invoer gegevens (N)'!$F$20/12)*L214*MIN(BA215,BC215)</f>
        <v>0</v>
      </c>
      <c r="Q215" s="84">
        <f t="shared" ca="1" si="54"/>
        <v>0</v>
      </c>
      <c r="R215" s="85">
        <f ca="1">IF('Invoer gegevens (N)'!$C$17=E215,'Invoer gegevens (N)'!$C$11,IF(C215=1,W214,0))</f>
        <v>0</v>
      </c>
      <c r="S215" s="86">
        <f t="shared" ca="1" si="51"/>
        <v>0</v>
      </c>
      <c r="T215" s="86">
        <f ca="1">(1-('Invoer gegevens (N)'!$F$20/12))*R215*MIN(BC215,BA215)</f>
        <v>0</v>
      </c>
      <c r="U215" s="86">
        <f ca="1">IF(BD215&lt;1,IF('Reeksen (N)'!AD215&lt;='Reeksen (N)'!AE215,R215*'Reeksen (N)'!C215,0),IF(BC215&gt;=BA215,0,IF('Reeksen (N)'!AD215&lt;='Reeksen (N)'!AE215,(BA215-BC215)*R215,0)))</f>
        <v>0</v>
      </c>
      <c r="V215" s="86">
        <f ca="1">IF(BD215&lt;1,IF('Reeksen (N)'!AD215&gt;'Reeksen (N)'!AE215,R215*'Reeksen (N)'!C215,0),IF(BC215&gt;=BA215,0,IF('Reeksen (N)'!AD215&gt;'Reeksen (N)'!AE215,(BA215-BC215)*R215,0)))</f>
        <v>0</v>
      </c>
      <c r="W215" s="218">
        <f t="shared" ca="1" si="55"/>
        <v>0</v>
      </c>
      <c r="X215" s="98">
        <f ca="1">IF('Invoer gegevens (N)'!$C$17=E215,'Invoer gegevens (N)'!$C$10-'Invoer gegevens (N)'!$C$11,IF(C215=1,AC214,0))</f>
        <v>0</v>
      </c>
      <c r="Y215" s="98">
        <f t="shared" ca="1" si="52"/>
        <v>0</v>
      </c>
      <c r="Z215" s="98">
        <f ca="1">(1-('Invoer gegevens (N)'!$F$20/12))*X215*MIN(BA215,BC215)</f>
        <v>0</v>
      </c>
      <c r="AA215" s="98">
        <f ca="1">IF(BD215&lt;1,IF('Reeksen (N)'!AD215&lt;='Reeksen (N)'!AE215,X215*'Reeksen (N)'!C215,0),IF(BC215&gt;=BA215,0,IF('Reeksen (N)'!AD215&lt;='Reeksen (N)'!AE215,(BA215-BC215)*X215,0)))</f>
        <v>0</v>
      </c>
      <c r="AB215" s="98">
        <f ca="1">IF(BD215&lt;1,IF('Reeksen (N)'!AD215&gt;'Reeksen (N)'!AE215,X215*'Reeksen (N)'!C215,0),IF(BC215&gt;=BA215,0,IF('Reeksen (N)'!AD215&gt;'Reeksen (N)'!AE215,(BA215-BC215)*X215,0)))</f>
        <v>0</v>
      </c>
      <c r="AC215" s="99">
        <f t="shared" ca="1" si="56"/>
        <v>0</v>
      </c>
      <c r="AD215" s="98">
        <f ca="1">IF('Invoer gegevens (N)'!$C$17=E215,R215,IF(C215=0,0,AE214))</f>
        <v>0</v>
      </c>
      <c r="AE215" s="98">
        <f t="shared" ca="1" si="57"/>
        <v>0</v>
      </c>
      <c r="AF215" s="98">
        <f ca="1">IF('Invoer gegevens (N)'!$C$17=E215,X215,IF(C215=0,0,AG214))</f>
        <v>0</v>
      </c>
      <c r="AG215" s="98">
        <f t="shared" ca="1" si="58"/>
        <v>0</v>
      </c>
      <c r="AH215" s="66"/>
      <c r="AI215" s="71">
        <f ca="1">IF(C215=1,'Reeksen (N)'!AI215*((F215+K215)/2)*12+'Reeksen (N)'!AD215*((L215+Q215)/2)*12,0)</f>
        <v>0</v>
      </c>
      <c r="AJ215" s="71">
        <f ca="1">-AI215*'Invoer gegevens (N)'!$F$28</f>
        <v>0</v>
      </c>
      <c r="AK215" s="71">
        <f t="shared" ca="1" si="59"/>
        <v>0</v>
      </c>
      <c r="AL215" s="71">
        <f ca="1">IF(C215=1,'Reeksen (N)'!AL215*((F215-G215+F215)/2)*12+'Reeksen (N)'!AM215*((L215-M215+L215)/2)*12,0)</f>
        <v>0</v>
      </c>
      <c r="AM215" s="71">
        <f ca="1">-AL215*'Invoer gegevens (N)'!$F$31</f>
        <v>0</v>
      </c>
      <c r="AN215" s="71">
        <f t="shared" ca="1" si="60"/>
        <v>0</v>
      </c>
      <c r="AO215" s="71">
        <f ca="1">IF(C215=1,(H215+J215+N215+P215)*'Reeksen (N)'!AN215,0)</f>
        <v>0</v>
      </c>
      <c r="AP215" s="71">
        <f ca="1">-IF(C215=1,(H215+J215+N215+P215)*'Hulp - basis'!$O$550*'Reeksen (N)'!H215,0)</f>
        <v>0</v>
      </c>
      <c r="AQ215" s="71">
        <f ca="1">-IF(C215=1,(F215+K215+L215+Q215)/2*'Invoer gegevens (N)'!$F$35*'Reeksen (N)'!J215,0)*2</f>
        <v>0</v>
      </c>
      <c r="AR215" s="71">
        <f ca="1">IF(BD215&lt;1,-IF(C215=1,(G215*'Invoer gegevens (N)'!$F$36)*'Reeksen (N)'!J215,0),0)</f>
        <v>0</v>
      </c>
      <c r="AS215" s="71">
        <f ca="1">-IF(C215=1,(F215+K215+L215+Q215)/2*'Invoer gegevens (N)'!$F$37*'Reeksen (N)'!L215,0)</f>
        <v>0</v>
      </c>
      <c r="AT215" s="71">
        <f ca="1">-IF(C215=1,IF(E215='Invoer gegevens (N)'!$C$17,'Invoer gegevens (N)'!$C$11,AD215)*'Reeksen (N)'!S215*'Invoer gegevens (N)'!$C$18*'Reeksen (N)'!P215,0)</f>
        <v>0</v>
      </c>
      <c r="AU215" s="71">
        <f ca="1">-IF(C215=1,(F215+K215+L215+Q215)/2*'Invoer gegevens (N)'!$F$38*'Reeksen (N)'!H215,0)</f>
        <v>0</v>
      </c>
      <c r="AV215" s="71">
        <v>0</v>
      </c>
      <c r="AW215" s="71">
        <f t="shared" ca="1" si="61"/>
        <v>0</v>
      </c>
      <c r="AX215" s="71">
        <f ca="1">IF(E215&lt;'Invoer gegevens (N)'!$C$17+15,0,IF(E215&gt;'Invoer gegevens (N)'!$C$17+215,0,AW215))</f>
        <v>0</v>
      </c>
      <c r="AY215" s="71">
        <f ca="1">AX215/(1+'Invoer gegevens (N)'!$F$18)^($AZ215-('Invoer gegevens (N)'!$C$17-'Invoer gegevens (N)'!$C$16))/(1+'Invoer gegevens (N)'!$C$39)^('Invoer gegevens (N)'!$C$17-'Invoer gegevens (N)'!$C$16)</f>
        <v>0</v>
      </c>
      <c r="AZ215" s="68">
        <f ca="1">IF(E215-'Invoer gegevens (N)'!$C$17-14.5&lt;0,0,E215-'Invoer gegevens (N)'!$C$17-14.5)</f>
        <v>195.5</v>
      </c>
      <c r="BA215" s="109">
        <f ca="1">IFERROR(VLOOKUP(E215-15,'Reeksen (N)'!$A$5:$D$234,2,FALSE),0)</f>
        <v>0</v>
      </c>
      <c r="BB215" s="109">
        <f ca="1">IFERROR(VLOOKUP(E215-15,'Reeksen (N)'!$A$5:$D$234,3,FALSE),0)</f>
        <v>0</v>
      </c>
      <c r="BC215" s="109">
        <f ca="1">IFERROR(VLOOKUP(E215-15,'Reeksen (N)'!$A$5:$D$234,4,FALSE),0)</f>
        <v>0</v>
      </c>
      <c r="BD215" s="67">
        <f ca="1">IF(E215-'Invoer gegevens (N)'!$C$17&lt;15,0,1)</f>
        <v>1</v>
      </c>
    </row>
    <row r="216" spans="1:56" x14ac:dyDescent="0.25">
      <c r="A216" s="59"/>
      <c r="B216" s="70">
        <f t="shared" si="62"/>
        <v>212</v>
      </c>
      <c r="C216" s="67">
        <f ca="1">IF(E216-'Invoer gegevens (N)'!$C$17&lt;0,0,1)</f>
        <v>1</v>
      </c>
      <c r="D216" s="68">
        <f t="shared" si="63"/>
        <v>211.5</v>
      </c>
      <c r="E216" s="108">
        <f ca="1">IF('Invoer gegevens (N)'!$C$16="","",E215+1)</f>
        <v>2230</v>
      </c>
      <c r="F216" s="84">
        <f ca="1">IF('Invoer gegevens (N)'!$C$17=E216,'Invoer gegevens (N)'!$C$10,IF(C216=1,K215,0))</f>
        <v>0</v>
      </c>
      <c r="G216" s="96">
        <f ca="1">IF(BD216&lt;1,F216*'Reeksen (N)'!C216,IF(C216&gt;=1,F216*BA216,0))</f>
        <v>0</v>
      </c>
      <c r="H216" s="84">
        <f ca="1">(1-('Invoer gegevens (N)'!$F$20/12))*F216*MIN(BA216,BC216)</f>
        <v>0</v>
      </c>
      <c r="I216" s="84">
        <f t="shared" ca="1" si="48"/>
        <v>0</v>
      </c>
      <c r="J216" s="84">
        <f ca="1">('Invoer gegevens (N)'!$F$20/12)*F215*MIN(BA216,BC216)</f>
        <v>0</v>
      </c>
      <c r="K216" s="97">
        <f t="shared" ca="1" si="53"/>
        <v>0</v>
      </c>
      <c r="L216" s="84">
        <f ca="1">IF('Invoer gegevens (N)'!$C$17=E216,0,IF(C216=1,Q215,0))</f>
        <v>0</v>
      </c>
      <c r="M216" s="96">
        <f t="shared" ca="1" si="49"/>
        <v>0</v>
      </c>
      <c r="N216" s="84">
        <f ca="1">(1-('Invoer gegevens (N)'!$F$20/12))*L216*MIN(BA216,BC216)</f>
        <v>0</v>
      </c>
      <c r="O216" s="84">
        <f t="shared" ca="1" si="50"/>
        <v>0</v>
      </c>
      <c r="P216" s="84">
        <f ca="1">('Invoer gegevens (N)'!$F$20/12)*L215*MIN(BA216,BC216)</f>
        <v>0</v>
      </c>
      <c r="Q216" s="84">
        <f t="shared" ca="1" si="54"/>
        <v>0</v>
      </c>
      <c r="R216" s="85">
        <f ca="1">IF('Invoer gegevens (N)'!$C$17=E216,'Invoer gegevens (N)'!$C$11,IF(C216=1,W215,0))</f>
        <v>0</v>
      </c>
      <c r="S216" s="86">
        <f t="shared" ca="1" si="51"/>
        <v>0</v>
      </c>
      <c r="T216" s="86">
        <f ca="1">(1-('Invoer gegevens (N)'!$F$20/12))*R216*MIN(BC216,BA216)</f>
        <v>0</v>
      </c>
      <c r="U216" s="86">
        <f ca="1">IF(BD216&lt;1,IF('Reeksen (N)'!AD216&lt;='Reeksen (N)'!AE216,R216*'Reeksen (N)'!C216,0),IF(BC216&gt;=BA216,0,IF('Reeksen (N)'!AD216&lt;='Reeksen (N)'!AE216,(BA216-BC216)*R216,0)))</f>
        <v>0</v>
      </c>
      <c r="V216" s="86">
        <f ca="1">IF(BD216&lt;1,IF('Reeksen (N)'!AD216&gt;'Reeksen (N)'!AE216,R216*'Reeksen (N)'!C216,0),IF(BC216&gt;=BA216,0,IF('Reeksen (N)'!AD216&gt;'Reeksen (N)'!AE216,(BA216-BC216)*R216,0)))</f>
        <v>0</v>
      </c>
      <c r="W216" s="218">
        <f t="shared" ca="1" si="55"/>
        <v>0</v>
      </c>
      <c r="X216" s="98">
        <f ca="1">IF('Invoer gegevens (N)'!$C$17=E216,'Invoer gegevens (N)'!$C$10-'Invoer gegevens (N)'!$C$11,IF(C216=1,AC215,0))</f>
        <v>0</v>
      </c>
      <c r="Y216" s="98">
        <f t="shared" ca="1" si="52"/>
        <v>0</v>
      </c>
      <c r="Z216" s="98">
        <f ca="1">(1-('Invoer gegevens (N)'!$F$20/12))*X216*MIN(BA216,BC216)</f>
        <v>0</v>
      </c>
      <c r="AA216" s="98">
        <f ca="1">IF(BD216&lt;1,IF('Reeksen (N)'!AD216&lt;='Reeksen (N)'!AE216,X216*'Reeksen (N)'!C216,0),IF(BC216&gt;=BA216,0,IF('Reeksen (N)'!AD216&lt;='Reeksen (N)'!AE216,(BA216-BC216)*X216,0)))</f>
        <v>0</v>
      </c>
      <c r="AB216" s="98">
        <f ca="1">IF(BD216&lt;1,IF('Reeksen (N)'!AD216&gt;'Reeksen (N)'!AE216,X216*'Reeksen (N)'!C216,0),IF(BC216&gt;=BA216,0,IF('Reeksen (N)'!AD216&gt;'Reeksen (N)'!AE216,(BA216-BC216)*X216,0)))</f>
        <v>0</v>
      </c>
      <c r="AC216" s="99">
        <f t="shared" ca="1" si="56"/>
        <v>0</v>
      </c>
      <c r="AD216" s="98">
        <f ca="1">IF('Invoer gegevens (N)'!$C$17=E216,R216,IF(C216=0,0,AE215))</f>
        <v>0</v>
      </c>
      <c r="AE216" s="98">
        <f t="shared" ca="1" si="57"/>
        <v>0</v>
      </c>
      <c r="AF216" s="98">
        <f ca="1">IF('Invoer gegevens (N)'!$C$17=E216,X216,IF(C216=0,0,AG215))</f>
        <v>0</v>
      </c>
      <c r="AG216" s="98">
        <f t="shared" ca="1" si="58"/>
        <v>0</v>
      </c>
      <c r="AH216" s="66"/>
      <c r="AI216" s="71">
        <f ca="1">IF(C216=1,'Reeksen (N)'!AI216*((F216+K216)/2)*12+'Reeksen (N)'!AD216*((L216+Q216)/2)*12,0)</f>
        <v>0</v>
      </c>
      <c r="AJ216" s="71">
        <f ca="1">-AI216*'Invoer gegevens (N)'!$F$28</f>
        <v>0</v>
      </c>
      <c r="AK216" s="71">
        <f t="shared" ca="1" si="59"/>
        <v>0</v>
      </c>
      <c r="AL216" s="71">
        <f ca="1">IF(C216=1,'Reeksen (N)'!AL216*((F216-G216+F216)/2)*12+'Reeksen (N)'!AM216*((L216-M216+L216)/2)*12,0)</f>
        <v>0</v>
      </c>
      <c r="AM216" s="71">
        <f ca="1">-AL216*'Invoer gegevens (N)'!$F$31</f>
        <v>0</v>
      </c>
      <c r="AN216" s="71">
        <f t="shared" ca="1" si="60"/>
        <v>0</v>
      </c>
      <c r="AO216" s="71">
        <f ca="1">IF(C216=1,(H216+J216+N216+P216)*'Reeksen (N)'!AN216,0)</f>
        <v>0</v>
      </c>
      <c r="AP216" s="71">
        <f ca="1">-IF(C216=1,(H216+J216+N216+P216)*'Hulp - basis'!$O$550*'Reeksen (N)'!H216,0)</f>
        <v>0</v>
      </c>
      <c r="AQ216" s="71">
        <f ca="1">-IF(C216=1,(F216+K216+L216+Q216)/2*'Invoer gegevens (N)'!$F$35*'Reeksen (N)'!J216,0)*2</f>
        <v>0</v>
      </c>
      <c r="AR216" s="71">
        <f ca="1">IF(BD216&lt;1,-IF(C216=1,(G216*'Invoer gegevens (N)'!$F$36)*'Reeksen (N)'!J216,0),0)</f>
        <v>0</v>
      </c>
      <c r="AS216" s="71">
        <f ca="1">-IF(C216=1,(F216+K216+L216+Q216)/2*'Invoer gegevens (N)'!$F$37*'Reeksen (N)'!L216,0)</f>
        <v>0</v>
      </c>
      <c r="AT216" s="71">
        <f ca="1">-IF(C216=1,IF(E216='Invoer gegevens (N)'!$C$17,'Invoer gegevens (N)'!$C$11,AD216)*'Reeksen (N)'!S216*'Invoer gegevens (N)'!$C$18*'Reeksen (N)'!P216,0)</f>
        <v>0</v>
      </c>
      <c r="AU216" s="71">
        <f ca="1">-IF(C216=1,(F216+K216+L216+Q216)/2*'Invoer gegevens (N)'!$F$38*'Reeksen (N)'!H216,0)</f>
        <v>0</v>
      </c>
      <c r="AV216" s="71">
        <v>0</v>
      </c>
      <c r="AW216" s="71">
        <f t="shared" ca="1" si="61"/>
        <v>0</v>
      </c>
      <c r="AX216" s="71">
        <f ca="1">IF(E216&lt;'Invoer gegevens (N)'!$C$17+15,0,IF(E216&gt;'Invoer gegevens (N)'!$C$17+215,0,AW216))</f>
        <v>0</v>
      </c>
      <c r="AY216" s="71">
        <f ca="1">AX216/(1+'Invoer gegevens (N)'!$F$18)^($AZ216-('Invoer gegevens (N)'!$C$17-'Invoer gegevens (N)'!$C$16))/(1+'Invoer gegevens (N)'!$C$39)^('Invoer gegevens (N)'!$C$17-'Invoer gegevens (N)'!$C$16)</f>
        <v>0</v>
      </c>
      <c r="AZ216" s="68">
        <f ca="1">IF(E216-'Invoer gegevens (N)'!$C$17-14.5&lt;0,0,E216-'Invoer gegevens (N)'!$C$17-14.5)</f>
        <v>196.5</v>
      </c>
      <c r="BA216" s="109">
        <f ca="1">IFERROR(VLOOKUP(E216-15,'Reeksen (N)'!$A$5:$D$234,2,FALSE),0)</f>
        <v>0</v>
      </c>
      <c r="BB216" s="109">
        <f ca="1">IFERROR(VLOOKUP(E216-15,'Reeksen (N)'!$A$5:$D$234,3,FALSE),0)</f>
        <v>0</v>
      </c>
      <c r="BC216" s="109">
        <f ca="1">IFERROR(VLOOKUP(E216-15,'Reeksen (N)'!$A$5:$D$234,4,FALSE),0)</f>
        <v>0</v>
      </c>
      <c r="BD216" s="67">
        <f ca="1">IF(E216-'Invoer gegevens (N)'!$C$17&lt;15,0,1)</f>
        <v>1</v>
      </c>
    </row>
    <row r="217" spans="1:56" x14ac:dyDescent="0.25">
      <c r="A217" s="59"/>
      <c r="B217" s="70">
        <f t="shared" si="62"/>
        <v>213</v>
      </c>
      <c r="C217" s="67">
        <f ca="1">IF(E217-'Invoer gegevens (N)'!$C$17&lt;0,0,1)</f>
        <v>1</v>
      </c>
      <c r="D217" s="68">
        <f t="shared" si="63"/>
        <v>212.5</v>
      </c>
      <c r="E217" s="108">
        <f ca="1">IF('Invoer gegevens (N)'!$C$16="","",E216+1)</f>
        <v>2231</v>
      </c>
      <c r="F217" s="84">
        <f ca="1">IF('Invoer gegevens (N)'!$C$17=E217,'Invoer gegevens (N)'!$C$10,IF(C217=1,K216,0))</f>
        <v>0</v>
      </c>
      <c r="G217" s="96">
        <f ca="1">IF(BD217&lt;1,F217*'Reeksen (N)'!C217,IF(C217&gt;=1,F217*BA217,0))</f>
        <v>0</v>
      </c>
      <c r="H217" s="84">
        <f ca="1">(1-('Invoer gegevens (N)'!$F$20/12))*F217*MIN(BA217,BC217)</f>
        <v>0</v>
      </c>
      <c r="I217" s="84">
        <f t="shared" ca="1" si="48"/>
        <v>0</v>
      </c>
      <c r="J217" s="84">
        <f ca="1">('Invoer gegevens (N)'!$F$20/12)*F216*MIN(BA217,BC217)</f>
        <v>0</v>
      </c>
      <c r="K217" s="97">
        <f t="shared" ca="1" si="53"/>
        <v>0</v>
      </c>
      <c r="L217" s="84">
        <f ca="1">IF('Invoer gegevens (N)'!$C$17=E217,0,IF(C217=1,Q216,0))</f>
        <v>0</v>
      </c>
      <c r="M217" s="96">
        <f t="shared" ca="1" si="49"/>
        <v>0</v>
      </c>
      <c r="N217" s="84">
        <f ca="1">(1-('Invoer gegevens (N)'!$F$20/12))*L217*MIN(BA217,BC217)</f>
        <v>0</v>
      </c>
      <c r="O217" s="84">
        <f t="shared" ca="1" si="50"/>
        <v>0</v>
      </c>
      <c r="P217" s="84">
        <f ca="1">('Invoer gegevens (N)'!$F$20/12)*L216*MIN(BA217,BC217)</f>
        <v>0</v>
      </c>
      <c r="Q217" s="84">
        <f t="shared" ca="1" si="54"/>
        <v>0</v>
      </c>
      <c r="R217" s="85">
        <f ca="1">IF('Invoer gegevens (N)'!$C$17=E217,'Invoer gegevens (N)'!$C$11,IF(C217=1,W216,0))</f>
        <v>0</v>
      </c>
      <c r="S217" s="86">
        <f t="shared" ca="1" si="51"/>
        <v>0</v>
      </c>
      <c r="T217" s="86">
        <f ca="1">(1-('Invoer gegevens (N)'!$F$20/12))*R217*MIN(BC217,BA217)</f>
        <v>0</v>
      </c>
      <c r="U217" s="86">
        <f ca="1">IF(BD217&lt;1,IF('Reeksen (N)'!AD217&lt;='Reeksen (N)'!AE217,R217*'Reeksen (N)'!C217,0),IF(BC217&gt;=BA217,0,IF('Reeksen (N)'!AD217&lt;='Reeksen (N)'!AE217,(BA217-BC217)*R217,0)))</f>
        <v>0</v>
      </c>
      <c r="V217" s="86">
        <f ca="1">IF(BD217&lt;1,IF('Reeksen (N)'!AD217&gt;'Reeksen (N)'!AE217,R217*'Reeksen (N)'!C217,0),IF(BC217&gt;=BA217,0,IF('Reeksen (N)'!AD217&gt;'Reeksen (N)'!AE217,(BA217-BC217)*R217,0)))</f>
        <v>0</v>
      </c>
      <c r="W217" s="218">
        <f t="shared" ca="1" si="55"/>
        <v>0</v>
      </c>
      <c r="X217" s="98">
        <f ca="1">IF('Invoer gegevens (N)'!$C$17=E217,'Invoer gegevens (N)'!$C$10-'Invoer gegevens (N)'!$C$11,IF(C217=1,AC216,0))</f>
        <v>0</v>
      </c>
      <c r="Y217" s="98">
        <f t="shared" ca="1" si="52"/>
        <v>0</v>
      </c>
      <c r="Z217" s="98">
        <f ca="1">(1-('Invoer gegevens (N)'!$F$20/12))*X217*MIN(BA217,BC217)</f>
        <v>0</v>
      </c>
      <c r="AA217" s="98">
        <f ca="1">IF(BD217&lt;1,IF('Reeksen (N)'!AD217&lt;='Reeksen (N)'!AE217,X217*'Reeksen (N)'!C217,0),IF(BC217&gt;=BA217,0,IF('Reeksen (N)'!AD217&lt;='Reeksen (N)'!AE217,(BA217-BC217)*X217,0)))</f>
        <v>0</v>
      </c>
      <c r="AB217" s="98">
        <f ca="1">IF(BD217&lt;1,IF('Reeksen (N)'!AD217&gt;'Reeksen (N)'!AE217,X217*'Reeksen (N)'!C217,0),IF(BC217&gt;=BA217,0,IF('Reeksen (N)'!AD217&gt;'Reeksen (N)'!AE217,(BA217-BC217)*X217,0)))</f>
        <v>0</v>
      </c>
      <c r="AC217" s="99">
        <f t="shared" ca="1" si="56"/>
        <v>0</v>
      </c>
      <c r="AD217" s="98">
        <f ca="1">IF('Invoer gegevens (N)'!$C$17=E217,R217,IF(C217=0,0,AE216))</f>
        <v>0</v>
      </c>
      <c r="AE217" s="98">
        <f t="shared" ca="1" si="57"/>
        <v>0</v>
      </c>
      <c r="AF217" s="98">
        <f ca="1">IF('Invoer gegevens (N)'!$C$17=E217,X217,IF(C217=0,0,AG216))</f>
        <v>0</v>
      </c>
      <c r="AG217" s="98">
        <f t="shared" ca="1" si="58"/>
        <v>0</v>
      </c>
      <c r="AH217" s="66"/>
      <c r="AI217" s="71">
        <f ca="1">IF(C217=1,'Reeksen (N)'!AI217*((F217+K217)/2)*12+'Reeksen (N)'!AD217*((L217+Q217)/2)*12,0)</f>
        <v>0</v>
      </c>
      <c r="AJ217" s="71">
        <f ca="1">-AI217*'Invoer gegevens (N)'!$F$28</f>
        <v>0</v>
      </c>
      <c r="AK217" s="71">
        <f t="shared" ca="1" si="59"/>
        <v>0</v>
      </c>
      <c r="AL217" s="71">
        <f ca="1">IF(C217=1,'Reeksen (N)'!AL217*((F217-G217+F217)/2)*12+'Reeksen (N)'!AM217*((L217-M217+L217)/2)*12,0)</f>
        <v>0</v>
      </c>
      <c r="AM217" s="71">
        <f ca="1">-AL217*'Invoer gegevens (N)'!$F$31</f>
        <v>0</v>
      </c>
      <c r="AN217" s="71">
        <f t="shared" ca="1" si="60"/>
        <v>0</v>
      </c>
      <c r="AO217" s="71">
        <f ca="1">IF(C217=1,(H217+J217+N217+P217)*'Reeksen (N)'!AN217,0)</f>
        <v>0</v>
      </c>
      <c r="AP217" s="71">
        <f ca="1">-IF(C217=1,(H217+J217+N217+P217)*'Hulp - basis'!$O$550*'Reeksen (N)'!H217,0)</f>
        <v>0</v>
      </c>
      <c r="AQ217" s="71">
        <f ca="1">-IF(C217=1,(F217+K217+L217+Q217)/2*'Invoer gegevens (N)'!$F$35*'Reeksen (N)'!J217,0)*2</f>
        <v>0</v>
      </c>
      <c r="AR217" s="71">
        <f ca="1">IF(BD217&lt;1,-IF(C217=1,(G217*'Invoer gegevens (N)'!$F$36)*'Reeksen (N)'!J217,0),0)</f>
        <v>0</v>
      </c>
      <c r="AS217" s="71">
        <f ca="1">-IF(C217=1,(F217+K217+L217+Q217)/2*'Invoer gegevens (N)'!$F$37*'Reeksen (N)'!L217,0)</f>
        <v>0</v>
      </c>
      <c r="AT217" s="71">
        <f ca="1">-IF(C217=1,IF(E217='Invoer gegevens (N)'!$C$17,'Invoer gegevens (N)'!$C$11,AD217)*'Reeksen (N)'!S217*'Invoer gegevens (N)'!$C$18*'Reeksen (N)'!P217,0)</f>
        <v>0</v>
      </c>
      <c r="AU217" s="71">
        <f ca="1">-IF(C217=1,(F217+K217+L217+Q217)/2*'Invoer gegevens (N)'!$F$38*'Reeksen (N)'!H217,0)</f>
        <v>0</v>
      </c>
      <c r="AV217" s="71">
        <v>0</v>
      </c>
      <c r="AW217" s="71">
        <f t="shared" ca="1" si="61"/>
        <v>0</v>
      </c>
      <c r="AX217" s="71">
        <f ca="1">IF(E217&lt;'Invoer gegevens (N)'!$C$17+15,0,IF(E217&gt;'Invoer gegevens (N)'!$C$17+215,0,AW217))</f>
        <v>0</v>
      </c>
      <c r="AY217" s="71">
        <f ca="1">AX217/(1+'Invoer gegevens (N)'!$F$18)^($AZ217-('Invoer gegevens (N)'!$C$17-'Invoer gegevens (N)'!$C$16))/(1+'Invoer gegevens (N)'!$C$39)^('Invoer gegevens (N)'!$C$17-'Invoer gegevens (N)'!$C$16)</f>
        <v>0</v>
      </c>
      <c r="AZ217" s="68">
        <f ca="1">IF(E217-'Invoer gegevens (N)'!$C$17-14.5&lt;0,0,E217-'Invoer gegevens (N)'!$C$17-14.5)</f>
        <v>197.5</v>
      </c>
      <c r="BA217" s="109">
        <f ca="1">IFERROR(VLOOKUP(E217-15,'Reeksen (N)'!$A$5:$D$234,2,FALSE),0)</f>
        <v>0</v>
      </c>
      <c r="BB217" s="109">
        <f ca="1">IFERROR(VLOOKUP(E217-15,'Reeksen (N)'!$A$5:$D$234,3,FALSE),0)</f>
        <v>0</v>
      </c>
      <c r="BC217" s="109">
        <f ca="1">IFERROR(VLOOKUP(E217-15,'Reeksen (N)'!$A$5:$D$234,4,FALSE),0)</f>
        <v>0</v>
      </c>
      <c r="BD217" s="67">
        <f ca="1">IF(E217-'Invoer gegevens (N)'!$C$17&lt;15,0,1)</f>
        <v>1</v>
      </c>
    </row>
    <row r="218" spans="1:56" x14ac:dyDescent="0.25">
      <c r="A218" s="59"/>
      <c r="B218" s="70">
        <f t="shared" si="62"/>
        <v>214</v>
      </c>
      <c r="C218" s="67">
        <f ca="1">IF(E218-'Invoer gegevens (N)'!$C$17&lt;0,0,1)</f>
        <v>1</v>
      </c>
      <c r="D218" s="68">
        <f t="shared" si="63"/>
        <v>213.5</v>
      </c>
      <c r="E218" s="108">
        <f ca="1">IF('Invoer gegevens (N)'!$C$16="","",E217+1)</f>
        <v>2232</v>
      </c>
      <c r="F218" s="84">
        <f ca="1">IF('Invoer gegevens (N)'!$C$17=E218,'Invoer gegevens (N)'!$C$10,IF(C218=1,K217,0))</f>
        <v>0</v>
      </c>
      <c r="G218" s="96">
        <f ca="1">IF(BD218&lt;1,F218*'Reeksen (N)'!C218,IF(C218&gt;=1,F218*BA218,0))</f>
        <v>0</v>
      </c>
      <c r="H218" s="84">
        <f ca="1">(1-('Invoer gegevens (N)'!$F$20/12))*F218*MIN(BA218,BC218)</f>
        <v>0</v>
      </c>
      <c r="I218" s="84">
        <f t="shared" ca="1" si="48"/>
        <v>0</v>
      </c>
      <c r="J218" s="84">
        <f ca="1">('Invoer gegevens (N)'!$F$20/12)*F217*MIN(BA218,BC218)</f>
        <v>0</v>
      </c>
      <c r="K218" s="97">
        <f t="shared" ca="1" si="53"/>
        <v>0</v>
      </c>
      <c r="L218" s="84">
        <f ca="1">IF('Invoer gegevens (N)'!$C$17=E218,0,IF(C218=1,Q217,0))</f>
        <v>0</v>
      </c>
      <c r="M218" s="96">
        <f t="shared" ca="1" si="49"/>
        <v>0</v>
      </c>
      <c r="N218" s="84">
        <f ca="1">(1-('Invoer gegevens (N)'!$F$20/12))*L218*MIN(BA218,BC218)</f>
        <v>0</v>
      </c>
      <c r="O218" s="84">
        <f t="shared" ca="1" si="50"/>
        <v>0</v>
      </c>
      <c r="P218" s="84">
        <f ca="1">('Invoer gegevens (N)'!$F$20/12)*L217*MIN(BA218,BC218)</f>
        <v>0</v>
      </c>
      <c r="Q218" s="84">
        <f t="shared" ca="1" si="54"/>
        <v>0</v>
      </c>
      <c r="R218" s="85">
        <f ca="1">IF('Invoer gegevens (N)'!$C$17=E218,'Invoer gegevens (N)'!$C$11,IF(C218=1,W217,0))</f>
        <v>0</v>
      </c>
      <c r="S218" s="86">
        <f t="shared" ca="1" si="51"/>
        <v>0</v>
      </c>
      <c r="T218" s="86">
        <f ca="1">(1-('Invoer gegevens (N)'!$F$20/12))*R218*MIN(BC218,BA218)</f>
        <v>0</v>
      </c>
      <c r="U218" s="86">
        <f ca="1">IF(BD218&lt;1,IF('Reeksen (N)'!AD218&lt;='Reeksen (N)'!AE218,R218*'Reeksen (N)'!C218,0),IF(BC218&gt;=BA218,0,IF('Reeksen (N)'!AD218&lt;='Reeksen (N)'!AE218,(BA218-BC218)*R218,0)))</f>
        <v>0</v>
      </c>
      <c r="V218" s="86">
        <f ca="1">IF(BD218&lt;1,IF('Reeksen (N)'!AD218&gt;'Reeksen (N)'!AE218,R218*'Reeksen (N)'!C218,0),IF(BC218&gt;=BA218,0,IF('Reeksen (N)'!AD218&gt;'Reeksen (N)'!AE218,(BA218-BC218)*R218,0)))</f>
        <v>0</v>
      </c>
      <c r="W218" s="218">
        <f t="shared" ca="1" si="55"/>
        <v>0</v>
      </c>
      <c r="X218" s="98">
        <f ca="1">IF('Invoer gegevens (N)'!$C$17=E218,'Invoer gegevens (N)'!$C$10-'Invoer gegevens (N)'!$C$11,IF(C218=1,AC217,0))</f>
        <v>0</v>
      </c>
      <c r="Y218" s="98">
        <f t="shared" ca="1" si="52"/>
        <v>0</v>
      </c>
      <c r="Z218" s="98">
        <f ca="1">(1-('Invoer gegevens (N)'!$F$20/12))*X218*MIN(BA218,BC218)</f>
        <v>0</v>
      </c>
      <c r="AA218" s="98">
        <f ca="1">IF(BD218&lt;1,IF('Reeksen (N)'!AD218&lt;='Reeksen (N)'!AE218,X218*'Reeksen (N)'!C218,0),IF(BC218&gt;=BA218,0,IF('Reeksen (N)'!AD218&lt;='Reeksen (N)'!AE218,(BA218-BC218)*X218,0)))</f>
        <v>0</v>
      </c>
      <c r="AB218" s="98">
        <f ca="1">IF(BD218&lt;1,IF('Reeksen (N)'!AD218&gt;'Reeksen (N)'!AE218,X218*'Reeksen (N)'!C218,0),IF(BC218&gt;=BA218,0,IF('Reeksen (N)'!AD218&gt;'Reeksen (N)'!AE218,(BA218-BC218)*X218,0)))</f>
        <v>0</v>
      </c>
      <c r="AC218" s="99">
        <f t="shared" ca="1" si="56"/>
        <v>0</v>
      </c>
      <c r="AD218" s="98">
        <f ca="1">IF('Invoer gegevens (N)'!$C$17=E218,R218,IF(C218=0,0,AE217))</f>
        <v>0</v>
      </c>
      <c r="AE218" s="98">
        <f t="shared" ca="1" si="57"/>
        <v>0</v>
      </c>
      <c r="AF218" s="98">
        <f ca="1">IF('Invoer gegevens (N)'!$C$17=E218,X218,IF(C218=0,0,AG217))</f>
        <v>0</v>
      </c>
      <c r="AG218" s="98">
        <f t="shared" ca="1" si="58"/>
        <v>0</v>
      </c>
      <c r="AH218" s="66"/>
      <c r="AI218" s="71">
        <f ca="1">IF(C218=1,'Reeksen (N)'!AI218*((F218+K218)/2)*12+'Reeksen (N)'!AD218*((L218+Q218)/2)*12,0)</f>
        <v>0</v>
      </c>
      <c r="AJ218" s="71">
        <f ca="1">-AI218*'Invoer gegevens (N)'!$F$28</f>
        <v>0</v>
      </c>
      <c r="AK218" s="71">
        <f t="shared" ca="1" si="59"/>
        <v>0</v>
      </c>
      <c r="AL218" s="71">
        <f ca="1">IF(C218=1,'Reeksen (N)'!AL218*((F218-G218+F218)/2)*12+'Reeksen (N)'!AM218*((L218-M218+L218)/2)*12,0)</f>
        <v>0</v>
      </c>
      <c r="AM218" s="71">
        <f ca="1">-AL218*'Invoer gegevens (N)'!$F$31</f>
        <v>0</v>
      </c>
      <c r="AN218" s="71">
        <f t="shared" ca="1" si="60"/>
        <v>0</v>
      </c>
      <c r="AO218" s="71">
        <f ca="1">IF(C218=1,(H218+J218+N218+P218)*'Reeksen (N)'!AN218,0)</f>
        <v>0</v>
      </c>
      <c r="AP218" s="71">
        <f ca="1">-IF(C218=1,(H218+J218+N218+P218)*'Hulp - basis'!$O$550*'Reeksen (N)'!H218,0)</f>
        <v>0</v>
      </c>
      <c r="AQ218" s="71">
        <f ca="1">-IF(C218=1,(F218+K218+L218+Q218)/2*'Invoer gegevens (N)'!$F$35*'Reeksen (N)'!J218,0)*2</f>
        <v>0</v>
      </c>
      <c r="AR218" s="71">
        <f ca="1">IF(BD218&lt;1,-IF(C218=1,(G218*'Invoer gegevens (N)'!$F$36)*'Reeksen (N)'!J218,0),0)</f>
        <v>0</v>
      </c>
      <c r="AS218" s="71">
        <f ca="1">-IF(C218=1,(F218+K218+L218+Q218)/2*'Invoer gegevens (N)'!$F$37*'Reeksen (N)'!L218,0)</f>
        <v>0</v>
      </c>
      <c r="AT218" s="71">
        <f ca="1">-IF(C218=1,IF(E218='Invoer gegevens (N)'!$C$17,'Invoer gegevens (N)'!$C$11,AD218)*'Reeksen (N)'!S218*'Invoer gegevens (N)'!$C$18*'Reeksen (N)'!P218,0)</f>
        <v>0</v>
      </c>
      <c r="AU218" s="71">
        <f ca="1">-IF(C218=1,(F218+K218+L218+Q218)/2*'Invoer gegevens (N)'!$F$38*'Reeksen (N)'!H218,0)</f>
        <v>0</v>
      </c>
      <c r="AV218" s="71">
        <v>0</v>
      </c>
      <c r="AW218" s="71">
        <f t="shared" ca="1" si="61"/>
        <v>0</v>
      </c>
      <c r="AX218" s="71">
        <f ca="1">IF(E218&lt;'Invoer gegevens (N)'!$C$17+15,0,IF(E218&gt;'Invoer gegevens (N)'!$C$17+215,0,AW218))</f>
        <v>0</v>
      </c>
      <c r="AY218" s="71">
        <f ca="1">AX218/(1+'Invoer gegevens (N)'!$F$18)^($AZ218-('Invoer gegevens (N)'!$C$17-'Invoer gegevens (N)'!$C$16))/(1+'Invoer gegevens (N)'!$C$39)^('Invoer gegevens (N)'!$C$17-'Invoer gegevens (N)'!$C$16)</f>
        <v>0</v>
      </c>
      <c r="AZ218" s="68">
        <f ca="1">IF(E218-'Invoer gegevens (N)'!$C$17-14.5&lt;0,0,E218-'Invoer gegevens (N)'!$C$17-14.5)</f>
        <v>198.5</v>
      </c>
      <c r="BA218" s="109">
        <f ca="1">IFERROR(VLOOKUP(E218-15,'Reeksen (N)'!$A$5:$D$234,2,FALSE),0)</f>
        <v>0</v>
      </c>
      <c r="BB218" s="109">
        <f ca="1">IFERROR(VLOOKUP(E218-15,'Reeksen (N)'!$A$5:$D$234,3,FALSE),0)</f>
        <v>0</v>
      </c>
      <c r="BC218" s="109">
        <f ca="1">IFERROR(VLOOKUP(E218-15,'Reeksen (N)'!$A$5:$D$234,4,FALSE),0)</f>
        <v>0</v>
      </c>
      <c r="BD218" s="67">
        <f ca="1">IF(E218-'Invoer gegevens (N)'!$C$17&lt;15,0,1)</f>
        <v>1</v>
      </c>
    </row>
    <row r="219" spans="1:56" x14ac:dyDescent="0.25">
      <c r="A219" s="59"/>
      <c r="B219" s="70">
        <f t="shared" si="62"/>
        <v>215</v>
      </c>
      <c r="C219" s="67">
        <f ca="1">IF(E219-'Invoer gegevens (N)'!$C$17&lt;0,0,1)</f>
        <v>1</v>
      </c>
      <c r="D219" s="68">
        <f t="shared" si="63"/>
        <v>214.5</v>
      </c>
      <c r="E219" s="108">
        <f ca="1">IF('Invoer gegevens (N)'!$C$16="","",E218+1)</f>
        <v>2233</v>
      </c>
      <c r="F219" s="84">
        <f ca="1">IF('Invoer gegevens (N)'!$C$17=E219,'Invoer gegevens (N)'!$C$10,IF(C219=1,K218,0))</f>
        <v>0</v>
      </c>
      <c r="G219" s="96">
        <f ca="1">IF(BD219&lt;1,F219*'Reeksen (N)'!C219,IF(C219&gt;=1,F219*BA219,0))</f>
        <v>0</v>
      </c>
      <c r="H219" s="84">
        <f ca="1">(1-('Invoer gegevens (N)'!$F$20/12))*F219*MIN(BA219,BC219)</f>
        <v>0</v>
      </c>
      <c r="I219" s="84">
        <f t="shared" ca="1" si="48"/>
        <v>0</v>
      </c>
      <c r="J219" s="84">
        <f ca="1">('Invoer gegevens (N)'!$F$20/12)*F218*MIN(BA219,BC219)</f>
        <v>0</v>
      </c>
      <c r="K219" s="97">
        <f t="shared" ca="1" si="53"/>
        <v>0</v>
      </c>
      <c r="L219" s="84">
        <f ca="1">IF('Invoer gegevens (N)'!$C$17=E219,0,IF(C219=1,Q218,0))</f>
        <v>0</v>
      </c>
      <c r="M219" s="96">
        <f t="shared" ca="1" si="49"/>
        <v>0</v>
      </c>
      <c r="N219" s="84">
        <f ca="1">(1-('Invoer gegevens (N)'!$F$20/12))*L219*MIN(BA219,BC219)</f>
        <v>0</v>
      </c>
      <c r="O219" s="84">
        <f t="shared" ca="1" si="50"/>
        <v>0</v>
      </c>
      <c r="P219" s="84">
        <f ca="1">('Invoer gegevens (N)'!$F$20/12)*L218*MIN(BA219,BC219)</f>
        <v>0</v>
      </c>
      <c r="Q219" s="84">
        <f t="shared" ca="1" si="54"/>
        <v>0</v>
      </c>
      <c r="R219" s="85">
        <f ca="1">IF('Invoer gegevens (N)'!$C$17=E219,'Invoer gegevens (N)'!$C$11,IF(C219=1,W218,0))</f>
        <v>0</v>
      </c>
      <c r="S219" s="86">
        <f t="shared" ca="1" si="51"/>
        <v>0</v>
      </c>
      <c r="T219" s="86">
        <f ca="1">(1-('Invoer gegevens (N)'!$F$20/12))*R219*MIN(BC219,BA219)</f>
        <v>0</v>
      </c>
      <c r="U219" s="86">
        <f ca="1">IF(BD219&lt;1,IF('Reeksen (N)'!AD219&lt;='Reeksen (N)'!AE219,R219*'Reeksen (N)'!C219,0),IF(BC219&gt;=BA219,0,IF('Reeksen (N)'!AD219&lt;='Reeksen (N)'!AE219,(BA219-BC219)*R219,0)))</f>
        <v>0</v>
      </c>
      <c r="V219" s="86">
        <f ca="1">IF(BD219&lt;1,IF('Reeksen (N)'!AD219&gt;'Reeksen (N)'!AE219,R219*'Reeksen (N)'!C219,0),IF(BC219&gt;=BA219,0,IF('Reeksen (N)'!AD219&gt;'Reeksen (N)'!AE219,(BA219-BC219)*R219,0)))</f>
        <v>0</v>
      </c>
      <c r="W219" s="218">
        <f t="shared" ca="1" si="55"/>
        <v>0</v>
      </c>
      <c r="X219" s="98">
        <f ca="1">IF('Invoer gegevens (N)'!$C$17=E219,'Invoer gegevens (N)'!$C$10-'Invoer gegevens (N)'!$C$11,IF(C219=1,AC218,0))</f>
        <v>0</v>
      </c>
      <c r="Y219" s="98">
        <f t="shared" ca="1" si="52"/>
        <v>0</v>
      </c>
      <c r="Z219" s="98">
        <f ca="1">(1-('Invoer gegevens (N)'!$F$20/12))*X219*MIN(BA219,BC219)</f>
        <v>0</v>
      </c>
      <c r="AA219" s="98">
        <f ca="1">IF(BD219&lt;1,IF('Reeksen (N)'!AD219&lt;='Reeksen (N)'!AE219,X219*'Reeksen (N)'!C219,0),IF(BC219&gt;=BA219,0,IF('Reeksen (N)'!AD219&lt;='Reeksen (N)'!AE219,(BA219-BC219)*X219,0)))</f>
        <v>0</v>
      </c>
      <c r="AB219" s="98">
        <f ca="1">IF(BD219&lt;1,IF('Reeksen (N)'!AD219&gt;'Reeksen (N)'!AE219,X219*'Reeksen (N)'!C219,0),IF(BC219&gt;=BA219,0,IF('Reeksen (N)'!AD219&gt;'Reeksen (N)'!AE219,(BA219-BC219)*X219,0)))</f>
        <v>0</v>
      </c>
      <c r="AC219" s="99">
        <f t="shared" ca="1" si="56"/>
        <v>0</v>
      </c>
      <c r="AD219" s="98">
        <f ca="1">IF('Invoer gegevens (N)'!$C$17=E219,R219,IF(C219=0,0,AE218))</f>
        <v>0</v>
      </c>
      <c r="AE219" s="98">
        <f t="shared" ca="1" si="57"/>
        <v>0</v>
      </c>
      <c r="AF219" s="98">
        <f ca="1">IF('Invoer gegevens (N)'!$C$17=E219,X219,IF(C219=0,0,AG218))</f>
        <v>0</v>
      </c>
      <c r="AG219" s="98">
        <f t="shared" ca="1" si="58"/>
        <v>0</v>
      </c>
      <c r="AH219" s="66"/>
      <c r="AI219" s="71">
        <f ca="1">IF(C219=1,'Reeksen (N)'!AI219*((F219+K219)/2)*12+'Reeksen (N)'!AD219*((L219+Q219)/2)*12,0)</f>
        <v>0</v>
      </c>
      <c r="AJ219" s="71">
        <f ca="1">-AI219*'Invoer gegevens (N)'!$F$28</f>
        <v>0</v>
      </c>
      <c r="AK219" s="71">
        <f t="shared" ca="1" si="59"/>
        <v>0</v>
      </c>
      <c r="AL219" s="71">
        <f ca="1">IF(C219=1,'Reeksen (N)'!AL219*((F219-G219+F219)/2)*12+'Reeksen (N)'!AM219*((L219-M219+L219)/2)*12,0)</f>
        <v>0</v>
      </c>
      <c r="AM219" s="71">
        <f ca="1">-AL219*'Invoer gegevens (N)'!$F$31</f>
        <v>0</v>
      </c>
      <c r="AN219" s="71">
        <f t="shared" ca="1" si="60"/>
        <v>0</v>
      </c>
      <c r="AO219" s="71">
        <f ca="1">IF(C219=1,(H219+J219+N219+P219)*'Reeksen (N)'!AN219,0)</f>
        <v>0</v>
      </c>
      <c r="AP219" s="71">
        <f ca="1">-IF(C219=1,(H219+J219+N219+P219)*'Hulp - basis'!$O$550*'Reeksen (N)'!H219,0)</f>
        <v>0</v>
      </c>
      <c r="AQ219" s="71">
        <f ca="1">-IF(C219=1,(F219+K219+L219+Q219)/2*'Invoer gegevens (N)'!$F$35*'Reeksen (N)'!J219,0)*2</f>
        <v>0</v>
      </c>
      <c r="AR219" s="71">
        <f ca="1">IF(BD219&lt;1,-IF(C219=1,(G219*'Invoer gegevens (N)'!$F$36)*'Reeksen (N)'!J219,0),0)</f>
        <v>0</v>
      </c>
      <c r="AS219" s="71">
        <f ca="1">-IF(C219=1,(F219+K219+L219+Q219)/2*'Invoer gegevens (N)'!$F$37*'Reeksen (N)'!L219,0)</f>
        <v>0</v>
      </c>
      <c r="AT219" s="71">
        <f ca="1">-IF(C219=1,IF(E219='Invoer gegevens (N)'!$C$17,'Invoer gegevens (N)'!$C$11,AD219)*'Reeksen (N)'!S219*'Invoer gegevens (N)'!$C$18*'Reeksen (N)'!P219,0)</f>
        <v>0</v>
      </c>
      <c r="AU219" s="71">
        <f ca="1">-IF(C219=1,(F219+K219+L219+Q219)/2*'Invoer gegevens (N)'!$F$38*'Reeksen (N)'!H219,0)</f>
        <v>0</v>
      </c>
      <c r="AV219" s="71">
        <v>0</v>
      </c>
      <c r="AW219" s="71">
        <f t="shared" ca="1" si="61"/>
        <v>0</v>
      </c>
      <c r="AX219" s="71">
        <f ca="1">IF(E219&lt;'Invoer gegevens (N)'!$C$17+15,0,IF(E219&gt;'Invoer gegevens (N)'!$C$17+215,0,AW219))</f>
        <v>0</v>
      </c>
      <c r="AY219" s="71">
        <f ca="1">AX219/(1+'Invoer gegevens (N)'!$F$18)^($AZ219-('Invoer gegevens (N)'!$C$17-'Invoer gegevens (N)'!$C$16))/(1+'Invoer gegevens (N)'!$C$39)^('Invoer gegevens (N)'!$C$17-'Invoer gegevens (N)'!$C$16)</f>
        <v>0</v>
      </c>
      <c r="AZ219" s="68">
        <f ca="1">IF(E219-'Invoer gegevens (N)'!$C$17-14.5&lt;0,0,E219-'Invoer gegevens (N)'!$C$17-14.5)</f>
        <v>199.5</v>
      </c>
      <c r="BA219" s="109">
        <f ca="1">IFERROR(VLOOKUP(E219-15,'Reeksen (N)'!$A$5:$D$234,2,FALSE),0)</f>
        <v>0</v>
      </c>
      <c r="BB219" s="109">
        <f ca="1">IFERROR(VLOOKUP(E219-15,'Reeksen (N)'!$A$5:$D$234,3,FALSE),0)</f>
        <v>0</v>
      </c>
      <c r="BC219" s="109">
        <f ca="1">IFERROR(VLOOKUP(E219-15,'Reeksen (N)'!$A$5:$D$234,4,FALSE),0)</f>
        <v>0</v>
      </c>
      <c r="BD219" s="67">
        <f ca="1">IF(E219-'Invoer gegevens (N)'!$C$17&lt;15,0,1)</f>
        <v>1</v>
      </c>
    </row>
    <row r="220" spans="1:56" x14ac:dyDescent="0.25">
      <c r="A220" s="59"/>
      <c r="B220" s="70">
        <f t="shared" si="62"/>
        <v>216</v>
      </c>
      <c r="C220" s="67">
        <f ca="1">IF(E220-'Invoer gegevens (N)'!$C$17&lt;0,0,1)</f>
        <v>1</v>
      </c>
      <c r="D220" s="68">
        <f t="shared" si="63"/>
        <v>215.5</v>
      </c>
      <c r="E220" s="108">
        <f ca="1">IF('Invoer gegevens (N)'!$C$16="","",E219+1)</f>
        <v>2234</v>
      </c>
      <c r="F220" s="84">
        <f ca="1">IF('Invoer gegevens (N)'!$C$17=E220,'Invoer gegevens (N)'!$C$10,IF(C220=1,K219,0))</f>
        <v>0</v>
      </c>
      <c r="G220" s="96">
        <f ca="1">IF(BD220&lt;1,F220*'Reeksen (N)'!C220,IF(C220&gt;=1,F220*BA220,0))</f>
        <v>0</v>
      </c>
      <c r="H220" s="84">
        <f ca="1">(1-('Invoer gegevens (N)'!$F$20/12))*F220*MIN(BA220,BC220)</f>
        <v>0</v>
      </c>
      <c r="I220" s="84">
        <f t="shared" ca="1" si="48"/>
        <v>0</v>
      </c>
      <c r="J220" s="84">
        <f ca="1">('Invoer gegevens (N)'!$F$20/12)*F219*MIN(BA220,BC220)</f>
        <v>0</v>
      </c>
      <c r="K220" s="97">
        <f t="shared" ca="1" si="53"/>
        <v>0</v>
      </c>
      <c r="L220" s="84">
        <f ca="1">IF('Invoer gegevens (N)'!$C$17=E220,0,IF(C220=1,Q219,0))</f>
        <v>0</v>
      </c>
      <c r="M220" s="96">
        <f t="shared" ca="1" si="49"/>
        <v>0</v>
      </c>
      <c r="N220" s="84">
        <f ca="1">(1-('Invoer gegevens (N)'!$F$20/12))*L220*MIN(BA220,BC220)</f>
        <v>0</v>
      </c>
      <c r="O220" s="84">
        <f t="shared" ca="1" si="50"/>
        <v>0</v>
      </c>
      <c r="P220" s="84">
        <f ca="1">('Invoer gegevens (N)'!$F$20/12)*L219*MIN(BA220,BC220)</f>
        <v>0</v>
      </c>
      <c r="Q220" s="84">
        <f t="shared" ca="1" si="54"/>
        <v>0</v>
      </c>
      <c r="R220" s="85">
        <f ca="1">IF('Invoer gegevens (N)'!$C$17=E220,'Invoer gegevens (N)'!$C$11,IF(C220=1,W219,0))</f>
        <v>0</v>
      </c>
      <c r="S220" s="86">
        <f t="shared" ca="1" si="51"/>
        <v>0</v>
      </c>
      <c r="T220" s="86">
        <f ca="1">(1-('Invoer gegevens (N)'!$F$20/12))*R220*MIN(BC220,BA220)</f>
        <v>0</v>
      </c>
      <c r="U220" s="86">
        <f ca="1">IF(BD220&lt;1,IF('Reeksen (N)'!AD220&lt;='Reeksen (N)'!AE220,R220*'Reeksen (N)'!C220,0),IF(BC220&gt;=BA220,0,IF('Reeksen (N)'!AD220&lt;='Reeksen (N)'!AE220,(BA220-BC220)*R220,0)))</f>
        <v>0</v>
      </c>
      <c r="V220" s="86">
        <f ca="1">IF(BD220&lt;1,IF('Reeksen (N)'!AD220&gt;'Reeksen (N)'!AE220,R220*'Reeksen (N)'!C220,0),IF(BC220&gt;=BA220,0,IF('Reeksen (N)'!AD220&gt;'Reeksen (N)'!AE220,(BA220-BC220)*R220,0)))</f>
        <v>0</v>
      </c>
      <c r="W220" s="218">
        <f t="shared" ca="1" si="55"/>
        <v>0</v>
      </c>
      <c r="X220" s="98">
        <f ca="1">IF('Invoer gegevens (N)'!$C$17=E220,'Invoer gegevens (N)'!$C$10-'Invoer gegevens (N)'!$C$11,IF(C220=1,AC219,0))</f>
        <v>0</v>
      </c>
      <c r="Y220" s="98">
        <f t="shared" ca="1" si="52"/>
        <v>0</v>
      </c>
      <c r="Z220" s="98">
        <f ca="1">(1-('Invoer gegevens (N)'!$F$20/12))*X220*MIN(BA220,BC220)</f>
        <v>0</v>
      </c>
      <c r="AA220" s="98">
        <f ca="1">IF(BD220&lt;1,IF('Reeksen (N)'!AD220&lt;='Reeksen (N)'!AE220,X220*'Reeksen (N)'!C220,0),IF(BC220&gt;=BA220,0,IF('Reeksen (N)'!AD220&lt;='Reeksen (N)'!AE220,(BA220-BC220)*X220,0)))</f>
        <v>0</v>
      </c>
      <c r="AB220" s="98">
        <f ca="1">IF(BD220&lt;1,IF('Reeksen (N)'!AD220&gt;'Reeksen (N)'!AE220,X220*'Reeksen (N)'!C220,0),IF(BC220&gt;=BA220,0,IF('Reeksen (N)'!AD220&gt;'Reeksen (N)'!AE220,(BA220-BC220)*X220,0)))</f>
        <v>0</v>
      </c>
      <c r="AC220" s="99">
        <f t="shared" ca="1" si="56"/>
        <v>0</v>
      </c>
      <c r="AD220" s="98">
        <f ca="1">IF('Invoer gegevens (N)'!$C$17=E220,R220,IF(C220=0,0,AE219))</f>
        <v>0</v>
      </c>
      <c r="AE220" s="98">
        <f t="shared" ca="1" si="57"/>
        <v>0</v>
      </c>
      <c r="AF220" s="98">
        <f ca="1">IF('Invoer gegevens (N)'!$C$17=E220,X220,IF(C220=0,0,AG219))</f>
        <v>0</v>
      </c>
      <c r="AG220" s="98">
        <f t="shared" ca="1" si="58"/>
        <v>0</v>
      </c>
      <c r="AH220" s="66"/>
      <c r="AI220" s="71">
        <f ca="1">IF(C220=1,'Reeksen (N)'!AI220*((F220+K220)/2)*12+'Reeksen (N)'!AD220*((L220+Q220)/2)*12,0)</f>
        <v>0</v>
      </c>
      <c r="AJ220" s="71">
        <f ca="1">-AI220*'Invoer gegevens (N)'!$F$28</f>
        <v>0</v>
      </c>
      <c r="AK220" s="71">
        <f t="shared" ca="1" si="59"/>
        <v>0</v>
      </c>
      <c r="AL220" s="71">
        <f ca="1">IF(C220=1,'Reeksen (N)'!AL220*((F220-G220+F220)/2)*12+'Reeksen (N)'!AM220*((L220-M220+L220)/2)*12,0)</f>
        <v>0</v>
      </c>
      <c r="AM220" s="71">
        <f ca="1">-AL220*'Invoer gegevens (N)'!$F$31</f>
        <v>0</v>
      </c>
      <c r="AN220" s="71">
        <f t="shared" ca="1" si="60"/>
        <v>0</v>
      </c>
      <c r="AO220" s="71">
        <f ca="1">IF(C220=1,(H220+J220+N220+P220)*'Reeksen (N)'!AN220,0)</f>
        <v>0</v>
      </c>
      <c r="AP220" s="71">
        <f ca="1">-IF(C220=1,(H220+J220+N220+P220)*'Hulp - basis'!$O$550*'Reeksen (N)'!H220,0)</f>
        <v>0</v>
      </c>
      <c r="AQ220" s="71">
        <f ca="1">-IF(C220=1,(F220+K220+L220+Q220)/2*'Invoer gegevens (N)'!$F$35*'Reeksen (N)'!J220,0)*2</f>
        <v>0</v>
      </c>
      <c r="AR220" s="71">
        <f ca="1">IF(BD220&lt;1,-IF(C220=1,(G220*'Invoer gegevens (N)'!$F$36)*'Reeksen (N)'!J220,0),0)</f>
        <v>0</v>
      </c>
      <c r="AS220" s="71">
        <f ca="1">-IF(C220=1,(F220+K220+L220+Q220)/2*'Invoer gegevens (N)'!$F$37*'Reeksen (N)'!L220,0)</f>
        <v>0</v>
      </c>
      <c r="AT220" s="71">
        <f ca="1">-IF(C220=1,IF(E220='Invoer gegevens (N)'!$C$17,'Invoer gegevens (N)'!$C$11,AD220)*'Reeksen (N)'!S220*'Invoer gegevens (N)'!$C$18*'Reeksen (N)'!P220,0)</f>
        <v>0</v>
      </c>
      <c r="AU220" s="71">
        <f ca="1">-IF(C220=1,(F220+K220+L220+Q220)/2*'Invoer gegevens (N)'!$F$38*'Reeksen (N)'!H220,0)</f>
        <v>0</v>
      </c>
      <c r="AV220" s="71">
        <v>0</v>
      </c>
      <c r="AW220" s="71">
        <f t="shared" ca="1" si="61"/>
        <v>0</v>
      </c>
      <c r="AX220" s="71">
        <f ca="1">IF(E220&lt;'Invoer gegevens (N)'!$C$17+15,0,IF(E220&gt;'Invoer gegevens (N)'!$C$17+215,0,AW220))</f>
        <v>0</v>
      </c>
      <c r="AY220" s="71">
        <f ca="1">AX220/(1+'Invoer gegevens (N)'!$F$18)^($AZ220-('Invoer gegevens (N)'!$C$17-'Invoer gegevens (N)'!$C$16))/(1+'Invoer gegevens (N)'!$C$39)^('Invoer gegevens (N)'!$C$17-'Invoer gegevens (N)'!$C$16)</f>
        <v>0</v>
      </c>
      <c r="AZ220" s="68">
        <f ca="1">IF(E220-'Invoer gegevens (N)'!$C$17-14.5&lt;0,0,E220-'Invoer gegevens (N)'!$C$17-14.5)</f>
        <v>200.5</v>
      </c>
      <c r="BA220" s="109">
        <f ca="1">IFERROR(VLOOKUP(E220-15,'Reeksen (N)'!$A$5:$D$234,2,FALSE),0)</f>
        <v>0</v>
      </c>
      <c r="BB220" s="109">
        <f ca="1">IFERROR(VLOOKUP(E220-15,'Reeksen (N)'!$A$5:$D$234,3,FALSE),0)</f>
        <v>0</v>
      </c>
      <c r="BC220" s="109">
        <f ca="1">IFERROR(VLOOKUP(E220-15,'Reeksen (N)'!$A$5:$D$234,4,FALSE),0)</f>
        <v>0</v>
      </c>
      <c r="BD220" s="67">
        <f ca="1">IF(E220-'Invoer gegevens (N)'!$C$17&lt;15,0,1)</f>
        <v>1</v>
      </c>
    </row>
    <row r="221" spans="1:56" x14ac:dyDescent="0.25">
      <c r="A221" s="59"/>
      <c r="B221" s="70">
        <f t="shared" si="62"/>
        <v>217</v>
      </c>
      <c r="C221" s="67">
        <f ca="1">IF(E221-'Invoer gegevens (N)'!$C$17&lt;0,0,1)</f>
        <v>1</v>
      </c>
      <c r="D221" s="68">
        <f t="shared" si="63"/>
        <v>216.5</v>
      </c>
      <c r="E221" s="108">
        <f ca="1">IF('Invoer gegevens (N)'!$C$16="","",E220+1)</f>
        <v>2235</v>
      </c>
      <c r="F221" s="84">
        <f ca="1">IF('Invoer gegevens (N)'!$C$17=E221,'Invoer gegevens (N)'!$C$10,IF(C221=1,K220,0))</f>
        <v>0</v>
      </c>
      <c r="G221" s="96">
        <f ca="1">IF(BD221&lt;1,F221*'Reeksen (N)'!C221,IF(C221&gt;=1,F221*BA221,0))</f>
        <v>0</v>
      </c>
      <c r="H221" s="84">
        <f ca="1">(1-('Invoer gegevens (N)'!$F$20/12))*F221*MIN(BA221,BC221)</f>
        <v>0</v>
      </c>
      <c r="I221" s="84">
        <f t="shared" ca="1" si="48"/>
        <v>0</v>
      </c>
      <c r="J221" s="84">
        <f ca="1">('Invoer gegevens (N)'!$F$20/12)*F220*MIN(BA221,BC221)</f>
        <v>0</v>
      </c>
      <c r="K221" s="97">
        <f t="shared" ca="1" si="53"/>
        <v>0</v>
      </c>
      <c r="L221" s="84">
        <f ca="1">IF('Invoer gegevens (N)'!$C$17=E221,0,IF(C221=1,Q220,0))</f>
        <v>0</v>
      </c>
      <c r="M221" s="96">
        <f t="shared" ca="1" si="49"/>
        <v>0</v>
      </c>
      <c r="N221" s="84">
        <f ca="1">(1-('Invoer gegevens (N)'!$F$20/12))*L221*MIN(BA221,BC221)</f>
        <v>0</v>
      </c>
      <c r="O221" s="84">
        <f t="shared" ca="1" si="50"/>
        <v>0</v>
      </c>
      <c r="P221" s="84">
        <f ca="1">('Invoer gegevens (N)'!$F$20/12)*L220*MIN(BA221,BC221)</f>
        <v>0</v>
      </c>
      <c r="Q221" s="84">
        <f t="shared" ca="1" si="54"/>
        <v>0</v>
      </c>
      <c r="R221" s="85">
        <f ca="1">IF('Invoer gegevens (N)'!$C$17=E221,'Invoer gegevens (N)'!$C$11,IF(C221=1,W220,0))</f>
        <v>0</v>
      </c>
      <c r="S221" s="86">
        <f t="shared" ca="1" si="51"/>
        <v>0</v>
      </c>
      <c r="T221" s="86">
        <f ca="1">(1-('Invoer gegevens (N)'!$F$20/12))*R221*MIN(BC221,BA221)</f>
        <v>0</v>
      </c>
      <c r="U221" s="86">
        <f ca="1">IF(BD221&lt;1,IF('Reeksen (N)'!AD221&lt;='Reeksen (N)'!AE221,R221*'Reeksen (N)'!C221,0),IF(BC221&gt;=BA221,0,IF('Reeksen (N)'!AD221&lt;='Reeksen (N)'!AE221,(BA221-BC221)*R221,0)))</f>
        <v>0</v>
      </c>
      <c r="V221" s="86">
        <f ca="1">IF(BD221&lt;1,IF('Reeksen (N)'!AD221&gt;'Reeksen (N)'!AE221,R221*'Reeksen (N)'!C221,0),IF(BC221&gt;=BA221,0,IF('Reeksen (N)'!AD221&gt;'Reeksen (N)'!AE221,(BA221-BC221)*R221,0)))</f>
        <v>0</v>
      </c>
      <c r="W221" s="218">
        <f t="shared" ca="1" si="55"/>
        <v>0</v>
      </c>
      <c r="X221" s="98">
        <f ca="1">IF('Invoer gegevens (N)'!$C$17=E221,'Invoer gegevens (N)'!$C$10-'Invoer gegevens (N)'!$C$11,IF(C221=1,AC220,0))</f>
        <v>0</v>
      </c>
      <c r="Y221" s="98">
        <f t="shared" ca="1" si="52"/>
        <v>0</v>
      </c>
      <c r="Z221" s="98">
        <f ca="1">(1-('Invoer gegevens (N)'!$F$20/12))*X221*MIN(BA221,BC221)</f>
        <v>0</v>
      </c>
      <c r="AA221" s="98">
        <f ca="1">IF(BD221&lt;1,IF('Reeksen (N)'!AD221&lt;='Reeksen (N)'!AE221,X221*'Reeksen (N)'!C221,0),IF(BC221&gt;=BA221,0,IF('Reeksen (N)'!AD221&lt;='Reeksen (N)'!AE221,(BA221-BC221)*X221,0)))</f>
        <v>0</v>
      </c>
      <c r="AB221" s="98">
        <f ca="1">IF(BD221&lt;1,IF('Reeksen (N)'!AD221&gt;'Reeksen (N)'!AE221,X221*'Reeksen (N)'!C221,0),IF(BC221&gt;=BA221,0,IF('Reeksen (N)'!AD221&gt;'Reeksen (N)'!AE221,(BA221-BC221)*X221,0)))</f>
        <v>0</v>
      </c>
      <c r="AC221" s="99">
        <f t="shared" ca="1" si="56"/>
        <v>0</v>
      </c>
      <c r="AD221" s="98">
        <f ca="1">IF('Invoer gegevens (N)'!$C$17=E221,R221,IF(C221=0,0,AE220))</f>
        <v>0</v>
      </c>
      <c r="AE221" s="98">
        <f t="shared" ca="1" si="57"/>
        <v>0</v>
      </c>
      <c r="AF221" s="98">
        <f ca="1">IF('Invoer gegevens (N)'!$C$17=E221,X221,IF(C221=0,0,AG220))</f>
        <v>0</v>
      </c>
      <c r="AG221" s="98">
        <f t="shared" ca="1" si="58"/>
        <v>0</v>
      </c>
      <c r="AH221" s="66"/>
      <c r="AI221" s="71">
        <f ca="1">IF(C221=1,'Reeksen (N)'!AI221*((F221+K221)/2)*12+'Reeksen (N)'!AD221*((L221+Q221)/2)*12,0)</f>
        <v>0</v>
      </c>
      <c r="AJ221" s="71">
        <f ca="1">-AI221*'Invoer gegevens (N)'!$F$28</f>
        <v>0</v>
      </c>
      <c r="AK221" s="71">
        <f t="shared" ca="1" si="59"/>
        <v>0</v>
      </c>
      <c r="AL221" s="71">
        <f ca="1">IF(C221=1,'Reeksen (N)'!AL221*((F221-G221+F221)/2)*12+'Reeksen (N)'!AM221*((L221-M221+L221)/2)*12,0)</f>
        <v>0</v>
      </c>
      <c r="AM221" s="71">
        <f ca="1">-AL221*'Invoer gegevens (N)'!$F$31</f>
        <v>0</v>
      </c>
      <c r="AN221" s="71">
        <f t="shared" ca="1" si="60"/>
        <v>0</v>
      </c>
      <c r="AO221" s="71">
        <f ca="1">IF(C221=1,(H221+J221+N221+P221)*'Reeksen (N)'!AN221,0)</f>
        <v>0</v>
      </c>
      <c r="AP221" s="71">
        <f ca="1">-IF(C221=1,(H221+J221+N221+P221)*'Hulp - basis'!$O$550*'Reeksen (N)'!H221,0)</f>
        <v>0</v>
      </c>
      <c r="AQ221" s="71">
        <f ca="1">-IF(C221=1,(F221+K221+L221+Q221)/2*'Invoer gegevens (N)'!$F$35*'Reeksen (N)'!J221,0)*2</f>
        <v>0</v>
      </c>
      <c r="AR221" s="71">
        <f ca="1">IF(BD221&lt;1,-IF(C221=1,(G221*'Invoer gegevens (N)'!$F$36)*'Reeksen (N)'!J221,0),0)</f>
        <v>0</v>
      </c>
      <c r="AS221" s="71">
        <f ca="1">-IF(C221=1,(F221+K221+L221+Q221)/2*'Invoer gegevens (N)'!$F$37*'Reeksen (N)'!L221,0)</f>
        <v>0</v>
      </c>
      <c r="AT221" s="71">
        <f ca="1">-IF(C221=1,IF(E221='Invoer gegevens (N)'!$C$17,'Invoer gegevens (N)'!$C$11,AD221)*'Reeksen (N)'!S221*'Invoer gegevens (N)'!$C$18*'Reeksen (N)'!P221,0)</f>
        <v>0</v>
      </c>
      <c r="AU221" s="71">
        <f ca="1">-IF(C221=1,(F221+K221+L221+Q221)/2*'Invoer gegevens (N)'!$F$38*'Reeksen (N)'!H221,0)</f>
        <v>0</v>
      </c>
      <c r="AV221" s="71">
        <v>0</v>
      </c>
      <c r="AW221" s="71">
        <f t="shared" ca="1" si="61"/>
        <v>0</v>
      </c>
      <c r="AX221" s="71">
        <f ca="1">IF(E221&lt;'Invoer gegevens (N)'!$C$17+15,0,IF(E221&gt;'Invoer gegevens (N)'!$C$17+215,0,AW221))</f>
        <v>0</v>
      </c>
      <c r="AY221" s="71">
        <f ca="1">AX221/(1+'Invoer gegevens (N)'!$F$18)^($AZ221-('Invoer gegevens (N)'!$C$17-'Invoer gegevens (N)'!$C$16))/(1+'Invoer gegevens (N)'!$C$39)^('Invoer gegevens (N)'!$C$17-'Invoer gegevens (N)'!$C$16)</f>
        <v>0</v>
      </c>
      <c r="AZ221" s="68">
        <f ca="1">IF(E221-'Invoer gegevens (N)'!$C$17-14.5&lt;0,0,E221-'Invoer gegevens (N)'!$C$17-14.5)</f>
        <v>201.5</v>
      </c>
      <c r="BA221" s="109">
        <f ca="1">IFERROR(VLOOKUP(E221-15,'Reeksen (N)'!$A$5:$D$234,2,FALSE),0)</f>
        <v>0</v>
      </c>
      <c r="BB221" s="109">
        <f ca="1">IFERROR(VLOOKUP(E221-15,'Reeksen (N)'!$A$5:$D$234,3,FALSE),0)</f>
        <v>0</v>
      </c>
      <c r="BC221" s="109">
        <f ca="1">IFERROR(VLOOKUP(E221-15,'Reeksen (N)'!$A$5:$D$234,4,FALSE),0)</f>
        <v>0</v>
      </c>
      <c r="BD221" s="67">
        <f ca="1">IF(E221-'Invoer gegevens (N)'!$C$17&lt;15,0,1)</f>
        <v>1</v>
      </c>
    </row>
    <row r="222" spans="1:56" x14ac:dyDescent="0.25">
      <c r="A222" s="59"/>
      <c r="B222" s="70">
        <f t="shared" si="62"/>
        <v>218</v>
      </c>
      <c r="C222" s="67">
        <f ca="1">IF(E222-'Invoer gegevens (N)'!$C$17&lt;0,0,1)</f>
        <v>1</v>
      </c>
      <c r="D222" s="68">
        <f t="shared" si="63"/>
        <v>217.5</v>
      </c>
      <c r="E222" s="108">
        <f ca="1">IF('Invoer gegevens (N)'!$C$16="","",E221+1)</f>
        <v>2236</v>
      </c>
      <c r="F222" s="84">
        <f ca="1">IF('Invoer gegevens (N)'!$C$17=E222,'Invoer gegevens (N)'!$C$10,IF(C222=1,K221,0))</f>
        <v>0</v>
      </c>
      <c r="G222" s="96">
        <f ca="1">IF(BD222&lt;1,F222*'Reeksen (N)'!C222,IF(C222&gt;=1,F222*BA222,0))</f>
        <v>0</v>
      </c>
      <c r="H222" s="84">
        <f ca="1">(1-('Invoer gegevens (N)'!$F$20/12))*F222*MIN(BA222,BC222)</f>
        <v>0</v>
      </c>
      <c r="I222" s="84">
        <f t="shared" ca="1" si="48"/>
        <v>0</v>
      </c>
      <c r="J222" s="84">
        <f ca="1">('Invoer gegevens (N)'!$F$20/12)*F221*MIN(BA222,BC222)</f>
        <v>0</v>
      </c>
      <c r="K222" s="97">
        <f t="shared" ca="1" si="53"/>
        <v>0</v>
      </c>
      <c r="L222" s="84">
        <f ca="1">IF('Invoer gegevens (N)'!$C$17=E222,0,IF(C222=1,Q221,0))</f>
        <v>0</v>
      </c>
      <c r="M222" s="96">
        <f t="shared" ca="1" si="49"/>
        <v>0</v>
      </c>
      <c r="N222" s="84">
        <f ca="1">(1-('Invoer gegevens (N)'!$F$20/12))*L222*MIN(BA222,BC222)</f>
        <v>0</v>
      </c>
      <c r="O222" s="84">
        <f t="shared" ca="1" si="50"/>
        <v>0</v>
      </c>
      <c r="P222" s="84">
        <f ca="1">('Invoer gegevens (N)'!$F$20/12)*L221*MIN(BA222,BC222)</f>
        <v>0</v>
      </c>
      <c r="Q222" s="84">
        <f t="shared" ca="1" si="54"/>
        <v>0</v>
      </c>
      <c r="R222" s="85">
        <f ca="1">IF('Invoer gegevens (N)'!$C$17=E222,'Invoer gegevens (N)'!$C$11,IF(C222=1,W221,0))</f>
        <v>0</v>
      </c>
      <c r="S222" s="86">
        <f t="shared" ca="1" si="51"/>
        <v>0</v>
      </c>
      <c r="T222" s="86">
        <f ca="1">(1-('Invoer gegevens (N)'!$F$20/12))*R222*MIN(BC222,BA222)</f>
        <v>0</v>
      </c>
      <c r="U222" s="86">
        <f ca="1">IF(BD222&lt;1,IF('Reeksen (N)'!AD222&lt;='Reeksen (N)'!AE222,R222*'Reeksen (N)'!C222,0),IF(BC222&gt;=BA222,0,IF('Reeksen (N)'!AD222&lt;='Reeksen (N)'!AE222,(BA222-BC222)*R222,0)))</f>
        <v>0</v>
      </c>
      <c r="V222" s="86">
        <f ca="1">IF(BD222&lt;1,IF('Reeksen (N)'!AD222&gt;'Reeksen (N)'!AE222,R222*'Reeksen (N)'!C222,0),IF(BC222&gt;=BA222,0,IF('Reeksen (N)'!AD222&gt;'Reeksen (N)'!AE222,(BA222-BC222)*R222,0)))</f>
        <v>0</v>
      </c>
      <c r="W222" s="218">
        <f t="shared" ca="1" si="55"/>
        <v>0</v>
      </c>
      <c r="X222" s="98">
        <f ca="1">IF('Invoer gegevens (N)'!$C$17=E222,'Invoer gegevens (N)'!$C$10-'Invoer gegevens (N)'!$C$11,IF(C222=1,AC221,0))</f>
        <v>0</v>
      </c>
      <c r="Y222" s="98">
        <f t="shared" ca="1" si="52"/>
        <v>0</v>
      </c>
      <c r="Z222" s="98">
        <f ca="1">(1-('Invoer gegevens (N)'!$F$20/12))*X222*MIN(BA222,BC222)</f>
        <v>0</v>
      </c>
      <c r="AA222" s="98">
        <f ca="1">IF(BD222&lt;1,IF('Reeksen (N)'!AD222&lt;='Reeksen (N)'!AE222,X222*'Reeksen (N)'!C222,0),IF(BC222&gt;=BA222,0,IF('Reeksen (N)'!AD222&lt;='Reeksen (N)'!AE222,(BA222-BC222)*X222,0)))</f>
        <v>0</v>
      </c>
      <c r="AB222" s="98">
        <f ca="1">IF(BD222&lt;1,IF('Reeksen (N)'!AD222&gt;'Reeksen (N)'!AE222,X222*'Reeksen (N)'!C222,0),IF(BC222&gt;=BA222,0,IF('Reeksen (N)'!AD222&gt;'Reeksen (N)'!AE222,(BA222-BC222)*X222,0)))</f>
        <v>0</v>
      </c>
      <c r="AC222" s="99">
        <f t="shared" ca="1" si="56"/>
        <v>0</v>
      </c>
      <c r="AD222" s="98">
        <f ca="1">IF('Invoer gegevens (N)'!$C$17=E222,R222,IF(C222=0,0,AE221))</f>
        <v>0</v>
      </c>
      <c r="AE222" s="98">
        <f t="shared" ca="1" si="57"/>
        <v>0</v>
      </c>
      <c r="AF222" s="98">
        <f ca="1">IF('Invoer gegevens (N)'!$C$17=E222,X222,IF(C222=0,0,AG221))</f>
        <v>0</v>
      </c>
      <c r="AG222" s="98">
        <f t="shared" ca="1" si="58"/>
        <v>0</v>
      </c>
      <c r="AH222" s="66"/>
      <c r="AI222" s="71">
        <f ca="1">IF(C222=1,'Reeksen (N)'!AI222*((F222+K222)/2)*12+'Reeksen (N)'!AD222*((L222+Q222)/2)*12,0)</f>
        <v>0</v>
      </c>
      <c r="AJ222" s="71">
        <f ca="1">-AI222*'Invoer gegevens (N)'!$F$28</f>
        <v>0</v>
      </c>
      <c r="AK222" s="71">
        <f t="shared" ca="1" si="59"/>
        <v>0</v>
      </c>
      <c r="AL222" s="71">
        <f ca="1">IF(C222=1,'Reeksen (N)'!AL222*((F222-G222+F222)/2)*12+'Reeksen (N)'!AM222*((L222-M222+L222)/2)*12,0)</f>
        <v>0</v>
      </c>
      <c r="AM222" s="71">
        <f ca="1">-AL222*'Invoer gegevens (N)'!$F$31</f>
        <v>0</v>
      </c>
      <c r="AN222" s="71">
        <f t="shared" ca="1" si="60"/>
        <v>0</v>
      </c>
      <c r="AO222" s="71">
        <f ca="1">IF(C222=1,(H222+J222+N222+P222)*'Reeksen (N)'!AN222,0)</f>
        <v>0</v>
      </c>
      <c r="AP222" s="71">
        <f ca="1">-IF(C222=1,(H222+J222+N222+P222)*'Hulp - basis'!$O$550*'Reeksen (N)'!H222,0)</f>
        <v>0</v>
      </c>
      <c r="AQ222" s="71">
        <f ca="1">-IF(C222=1,(F222+K222+L222+Q222)/2*'Invoer gegevens (N)'!$F$35*'Reeksen (N)'!J222,0)*2</f>
        <v>0</v>
      </c>
      <c r="AR222" s="71">
        <f ca="1">IF(BD222&lt;1,-IF(C222=1,(G222*'Invoer gegevens (N)'!$F$36)*'Reeksen (N)'!J222,0),0)</f>
        <v>0</v>
      </c>
      <c r="AS222" s="71">
        <f ca="1">-IF(C222=1,(F222+K222+L222+Q222)/2*'Invoer gegevens (N)'!$F$37*'Reeksen (N)'!L222,0)</f>
        <v>0</v>
      </c>
      <c r="AT222" s="71">
        <f ca="1">-IF(C222=1,IF(E222='Invoer gegevens (N)'!$C$17,'Invoer gegevens (N)'!$C$11,AD222)*'Reeksen (N)'!S222*'Invoer gegevens (N)'!$C$18*'Reeksen (N)'!P222,0)</f>
        <v>0</v>
      </c>
      <c r="AU222" s="71">
        <f ca="1">-IF(C222=1,(F222+K222+L222+Q222)/2*'Invoer gegevens (N)'!$F$38*'Reeksen (N)'!H222,0)</f>
        <v>0</v>
      </c>
      <c r="AV222" s="71">
        <v>0</v>
      </c>
      <c r="AW222" s="71">
        <f t="shared" ca="1" si="61"/>
        <v>0</v>
      </c>
      <c r="AX222" s="71">
        <f ca="1">IF(E222&lt;'Invoer gegevens (N)'!$C$17+15,0,IF(E222&gt;'Invoer gegevens (N)'!$C$17+215,0,AW222))</f>
        <v>0</v>
      </c>
      <c r="AY222" s="71">
        <f ca="1">AX222/(1+'Invoer gegevens (N)'!$F$18)^($AZ222-('Invoer gegevens (N)'!$C$17-'Invoer gegevens (N)'!$C$16))/(1+'Invoer gegevens (N)'!$C$39)^('Invoer gegevens (N)'!$C$17-'Invoer gegevens (N)'!$C$16)</f>
        <v>0</v>
      </c>
      <c r="AZ222" s="68">
        <f ca="1">IF(E222-'Invoer gegevens (N)'!$C$17-14.5&lt;0,0,E222-'Invoer gegevens (N)'!$C$17-14.5)</f>
        <v>202.5</v>
      </c>
      <c r="BA222" s="109">
        <f ca="1">IFERROR(VLOOKUP(E222-15,'Reeksen (N)'!$A$5:$D$234,2,FALSE),0)</f>
        <v>0</v>
      </c>
      <c r="BB222" s="109">
        <f ca="1">IFERROR(VLOOKUP(E222-15,'Reeksen (N)'!$A$5:$D$234,3,FALSE),0)</f>
        <v>0</v>
      </c>
      <c r="BC222" s="109">
        <f ca="1">IFERROR(VLOOKUP(E222-15,'Reeksen (N)'!$A$5:$D$234,4,FALSE),0)</f>
        <v>0</v>
      </c>
      <c r="BD222" s="67">
        <f ca="1">IF(E222-'Invoer gegevens (N)'!$C$17&lt;15,0,1)</f>
        <v>1</v>
      </c>
    </row>
    <row r="223" spans="1:56" x14ac:dyDescent="0.25">
      <c r="A223" s="59"/>
      <c r="B223" s="70">
        <f t="shared" si="62"/>
        <v>219</v>
      </c>
      <c r="C223" s="67">
        <f ca="1">IF(E223-'Invoer gegevens (N)'!$C$17&lt;0,0,1)</f>
        <v>1</v>
      </c>
      <c r="D223" s="68">
        <f t="shared" si="63"/>
        <v>218.5</v>
      </c>
      <c r="E223" s="108">
        <f ca="1">IF('Invoer gegevens (N)'!$C$16="","",E222+1)</f>
        <v>2237</v>
      </c>
      <c r="F223" s="84">
        <f ca="1">IF('Invoer gegevens (N)'!$C$17=E223,'Invoer gegevens (N)'!$C$10,IF(C223=1,K222,0))</f>
        <v>0</v>
      </c>
      <c r="G223" s="96">
        <f ca="1">IF(BD223&lt;1,F223*'Reeksen (N)'!C223,IF(C223&gt;=1,F223*BA223,0))</f>
        <v>0</v>
      </c>
      <c r="H223" s="84">
        <f ca="1">(1-('Invoer gegevens (N)'!$F$20/12))*F223*MIN(BA223,BC223)</f>
        <v>0</v>
      </c>
      <c r="I223" s="84">
        <f t="shared" ca="1" si="48"/>
        <v>0</v>
      </c>
      <c r="J223" s="84">
        <f ca="1">('Invoer gegevens (N)'!$F$20/12)*F222*MIN(BA223,BC223)</f>
        <v>0</v>
      </c>
      <c r="K223" s="97">
        <f t="shared" ca="1" si="53"/>
        <v>0</v>
      </c>
      <c r="L223" s="84">
        <f ca="1">IF('Invoer gegevens (N)'!$C$17=E223,0,IF(C223=1,Q222,0))</f>
        <v>0</v>
      </c>
      <c r="M223" s="96">
        <f t="shared" ca="1" si="49"/>
        <v>0</v>
      </c>
      <c r="N223" s="84">
        <f ca="1">(1-('Invoer gegevens (N)'!$F$20/12))*L223*MIN(BA223,BC223)</f>
        <v>0</v>
      </c>
      <c r="O223" s="84">
        <f t="shared" ca="1" si="50"/>
        <v>0</v>
      </c>
      <c r="P223" s="84">
        <f ca="1">('Invoer gegevens (N)'!$F$20/12)*L222*MIN(BA223,BC223)</f>
        <v>0</v>
      </c>
      <c r="Q223" s="84">
        <f t="shared" ca="1" si="54"/>
        <v>0</v>
      </c>
      <c r="R223" s="85">
        <f ca="1">IF('Invoer gegevens (N)'!$C$17=E223,'Invoer gegevens (N)'!$C$11,IF(C223=1,W222,0))</f>
        <v>0</v>
      </c>
      <c r="S223" s="86">
        <f t="shared" ca="1" si="51"/>
        <v>0</v>
      </c>
      <c r="T223" s="86">
        <f ca="1">(1-('Invoer gegevens (N)'!$F$20/12))*R223*MIN(BC223,BA223)</f>
        <v>0</v>
      </c>
      <c r="U223" s="86">
        <f ca="1">IF(BD223&lt;1,IF('Reeksen (N)'!AD223&lt;='Reeksen (N)'!AE223,R223*'Reeksen (N)'!C223,0),IF(BC223&gt;=BA223,0,IF('Reeksen (N)'!AD223&lt;='Reeksen (N)'!AE223,(BA223-BC223)*R223,0)))</f>
        <v>0</v>
      </c>
      <c r="V223" s="86">
        <f ca="1">IF(BD223&lt;1,IF('Reeksen (N)'!AD223&gt;'Reeksen (N)'!AE223,R223*'Reeksen (N)'!C223,0),IF(BC223&gt;=BA223,0,IF('Reeksen (N)'!AD223&gt;'Reeksen (N)'!AE223,(BA223-BC223)*R223,0)))</f>
        <v>0</v>
      </c>
      <c r="W223" s="218">
        <f t="shared" ca="1" si="55"/>
        <v>0</v>
      </c>
      <c r="X223" s="98">
        <f ca="1">IF('Invoer gegevens (N)'!$C$17=E223,'Invoer gegevens (N)'!$C$10-'Invoer gegevens (N)'!$C$11,IF(C223=1,AC222,0))</f>
        <v>0</v>
      </c>
      <c r="Y223" s="98">
        <f t="shared" ca="1" si="52"/>
        <v>0</v>
      </c>
      <c r="Z223" s="98">
        <f ca="1">(1-('Invoer gegevens (N)'!$F$20/12))*X223*MIN(BA223,BC223)</f>
        <v>0</v>
      </c>
      <c r="AA223" s="98">
        <f ca="1">IF(BD223&lt;1,IF('Reeksen (N)'!AD223&lt;='Reeksen (N)'!AE223,X223*'Reeksen (N)'!C223,0),IF(BC223&gt;=BA223,0,IF('Reeksen (N)'!AD223&lt;='Reeksen (N)'!AE223,(BA223-BC223)*X223,0)))</f>
        <v>0</v>
      </c>
      <c r="AB223" s="98">
        <f ca="1">IF(BD223&lt;1,IF('Reeksen (N)'!AD223&gt;'Reeksen (N)'!AE223,X223*'Reeksen (N)'!C223,0),IF(BC223&gt;=BA223,0,IF('Reeksen (N)'!AD223&gt;'Reeksen (N)'!AE223,(BA223-BC223)*X223,0)))</f>
        <v>0</v>
      </c>
      <c r="AC223" s="99">
        <f t="shared" ca="1" si="56"/>
        <v>0</v>
      </c>
      <c r="AD223" s="98">
        <f ca="1">IF('Invoer gegevens (N)'!$C$17=E223,R223,IF(C223=0,0,AE222))</f>
        <v>0</v>
      </c>
      <c r="AE223" s="98">
        <f t="shared" ca="1" si="57"/>
        <v>0</v>
      </c>
      <c r="AF223" s="98">
        <f ca="1">IF('Invoer gegevens (N)'!$C$17=E223,X223,IF(C223=0,0,AG222))</f>
        <v>0</v>
      </c>
      <c r="AG223" s="98">
        <f t="shared" ca="1" si="58"/>
        <v>0</v>
      </c>
      <c r="AH223" s="66"/>
      <c r="AI223" s="71">
        <f ca="1">IF(C223=1,'Reeksen (N)'!AI223*((F223+K223)/2)*12+'Reeksen (N)'!AD223*((L223+Q223)/2)*12,0)</f>
        <v>0</v>
      </c>
      <c r="AJ223" s="71">
        <f ca="1">-AI223*'Invoer gegevens (N)'!$F$28</f>
        <v>0</v>
      </c>
      <c r="AK223" s="71">
        <f t="shared" ca="1" si="59"/>
        <v>0</v>
      </c>
      <c r="AL223" s="71">
        <f ca="1">IF(C223=1,'Reeksen (N)'!AL223*((F223-G223+F223)/2)*12+'Reeksen (N)'!AM223*((L223-M223+L223)/2)*12,0)</f>
        <v>0</v>
      </c>
      <c r="AM223" s="71">
        <f ca="1">-AL223*'Invoer gegevens (N)'!$F$31</f>
        <v>0</v>
      </c>
      <c r="AN223" s="71">
        <f t="shared" ca="1" si="60"/>
        <v>0</v>
      </c>
      <c r="AO223" s="71">
        <f ca="1">IF(C223=1,(H223+J223+N223+P223)*'Reeksen (N)'!AN223,0)</f>
        <v>0</v>
      </c>
      <c r="AP223" s="71">
        <f ca="1">-IF(C223=1,(H223+J223+N223+P223)*'Hulp - basis'!$O$550*'Reeksen (N)'!H223,0)</f>
        <v>0</v>
      </c>
      <c r="AQ223" s="71">
        <f ca="1">-IF(C223=1,(F223+K223+L223+Q223)/2*'Invoer gegevens (N)'!$F$35*'Reeksen (N)'!J223,0)*2</f>
        <v>0</v>
      </c>
      <c r="AR223" s="71">
        <f ca="1">IF(BD223&lt;1,-IF(C223=1,(G223*'Invoer gegevens (N)'!$F$36)*'Reeksen (N)'!J223,0),0)</f>
        <v>0</v>
      </c>
      <c r="AS223" s="71">
        <f ca="1">-IF(C223=1,(F223+K223+L223+Q223)/2*'Invoer gegevens (N)'!$F$37*'Reeksen (N)'!L223,0)</f>
        <v>0</v>
      </c>
      <c r="AT223" s="71">
        <f ca="1">-IF(C223=1,IF(E223='Invoer gegevens (N)'!$C$17,'Invoer gegevens (N)'!$C$11,AD223)*'Reeksen (N)'!S223*'Invoer gegevens (N)'!$C$18*'Reeksen (N)'!P223,0)</f>
        <v>0</v>
      </c>
      <c r="AU223" s="71">
        <f ca="1">-IF(C223=1,(F223+K223+L223+Q223)/2*'Invoer gegevens (N)'!$F$38*'Reeksen (N)'!H223,0)</f>
        <v>0</v>
      </c>
      <c r="AV223" s="71">
        <v>0</v>
      </c>
      <c r="AW223" s="71">
        <f t="shared" ca="1" si="61"/>
        <v>0</v>
      </c>
      <c r="AX223" s="71">
        <f ca="1">IF(E223&lt;'Invoer gegevens (N)'!$C$17+15,0,IF(E223&gt;'Invoer gegevens (N)'!$C$17+215,0,AW223))</f>
        <v>0</v>
      </c>
      <c r="AY223" s="71">
        <f ca="1">AX223/(1+'Invoer gegevens (N)'!$F$18)^($AZ223-('Invoer gegevens (N)'!$C$17-'Invoer gegevens (N)'!$C$16))/(1+'Invoer gegevens (N)'!$C$39)^('Invoer gegevens (N)'!$C$17-'Invoer gegevens (N)'!$C$16)</f>
        <v>0</v>
      </c>
      <c r="AZ223" s="68">
        <f ca="1">IF(E223-'Invoer gegevens (N)'!$C$17-14.5&lt;0,0,E223-'Invoer gegevens (N)'!$C$17-14.5)</f>
        <v>203.5</v>
      </c>
      <c r="BA223" s="109">
        <f ca="1">IFERROR(VLOOKUP(E223-15,'Reeksen (N)'!$A$5:$D$234,2,FALSE),0)</f>
        <v>0</v>
      </c>
      <c r="BB223" s="109">
        <f ca="1">IFERROR(VLOOKUP(E223-15,'Reeksen (N)'!$A$5:$D$234,3,FALSE),0)</f>
        <v>0</v>
      </c>
      <c r="BC223" s="109">
        <f ca="1">IFERROR(VLOOKUP(E223-15,'Reeksen (N)'!$A$5:$D$234,4,FALSE),0)</f>
        <v>0</v>
      </c>
      <c r="BD223" s="67">
        <f ca="1">IF(E223-'Invoer gegevens (N)'!$C$17&lt;15,0,1)</f>
        <v>1</v>
      </c>
    </row>
    <row r="224" spans="1:56" x14ac:dyDescent="0.25">
      <c r="A224" s="59"/>
      <c r="B224" s="70">
        <f t="shared" si="62"/>
        <v>220</v>
      </c>
      <c r="C224" s="67">
        <f ca="1">IF(E224-'Invoer gegevens (N)'!$C$17&lt;0,0,1)</f>
        <v>1</v>
      </c>
      <c r="D224" s="68">
        <f t="shared" si="63"/>
        <v>219.5</v>
      </c>
      <c r="E224" s="108">
        <f ca="1">IF('Invoer gegevens (N)'!$C$16="","",E223+1)</f>
        <v>2238</v>
      </c>
      <c r="F224" s="84">
        <f ca="1">IF('Invoer gegevens (N)'!$C$17=E224,'Invoer gegevens (N)'!$C$10,IF(C224=1,K223,0))</f>
        <v>0</v>
      </c>
      <c r="G224" s="96">
        <f ca="1">IF(BD224&lt;1,F224*'Reeksen (N)'!C224,IF(C224&gt;=1,F224*BA224,0))</f>
        <v>0</v>
      </c>
      <c r="H224" s="84">
        <f ca="1">(1-('Invoer gegevens (N)'!$F$20/12))*F224*MIN(BA224,BC224)</f>
        <v>0</v>
      </c>
      <c r="I224" s="84">
        <f t="shared" ca="1" si="48"/>
        <v>0</v>
      </c>
      <c r="J224" s="84">
        <f ca="1">('Invoer gegevens (N)'!$F$20/12)*F223*MIN(BA224,BC224)</f>
        <v>0</v>
      </c>
      <c r="K224" s="97">
        <f t="shared" ca="1" si="53"/>
        <v>0</v>
      </c>
      <c r="L224" s="84">
        <f ca="1">IF('Invoer gegevens (N)'!$C$17=E224,0,IF(C224=1,Q223,0))</f>
        <v>0</v>
      </c>
      <c r="M224" s="96">
        <f t="shared" ca="1" si="49"/>
        <v>0</v>
      </c>
      <c r="N224" s="84">
        <f ca="1">(1-('Invoer gegevens (N)'!$F$20/12))*L224*MIN(BA224,BC224)</f>
        <v>0</v>
      </c>
      <c r="O224" s="84">
        <f t="shared" ca="1" si="50"/>
        <v>0</v>
      </c>
      <c r="P224" s="84">
        <f ca="1">('Invoer gegevens (N)'!$F$20/12)*L223*MIN(BA224,BC224)</f>
        <v>0</v>
      </c>
      <c r="Q224" s="84">
        <f t="shared" ca="1" si="54"/>
        <v>0</v>
      </c>
      <c r="R224" s="85">
        <f ca="1">IF('Invoer gegevens (N)'!$C$17=E224,'Invoer gegevens (N)'!$C$11,IF(C224=1,W223,0))</f>
        <v>0</v>
      </c>
      <c r="S224" s="86">
        <f t="shared" ca="1" si="51"/>
        <v>0</v>
      </c>
      <c r="T224" s="86">
        <f ca="1">(1-('Invoer gegevens (N)'!$F$20/12))*R224*MIN(BC224,BA224)</f>
        <v>0</v>
      </c>
      <c r="U224" s="86">
        <f ca="1">IF(BD224&lt;1,IF('Reeksen (N)'!AD224&lt;='Reeksen (N)'!AE224,R224*'Reeksen (N)'!C224,0),IF(BC224&gt;=BA224,0,IF('Reeksen (N)'!AD224&lt;='Reeksen (N)'!AE224,(BA224-BC224)*R224,0)))</f>
        <v>0</v>
      </c>
      <c r="V224" s="86">
        <f ca="1">IF(BD224&lt;1,IF('Reeksen (N)'!AD224&gt;'Reeksen (N)'!AE224,R224*'Reeksen (N)'!C224,0),IF(BC224&gt;=BA224,0,IF('Reeksen (N)'!AD224&gt;'Reeksen (N)'!AE224,(BA224-BC224)*R224,0)))</f>
        <v>0</v>
      </c>
      <c r="W224" s="218">
        <f t="shared" ca="1" si="55"/>
        <v>0</v>
      </c>
      <c r="X224" s="98">
        <f ca="1">IF('Invoer gegevens (N)'!$C$17=E224,'Invoer gegevens (N)'!$C$10-'Invoer gegevens (N)'!$C$11,IF(C224=1,AC223,0))</f>
        <v>0</v>
      </c>
      <c r="Y224" s="98">
        <f t="shared" ca="1" si="52"/>
        <v>0</v>
      </c>
      <c r="Z224" s="98">
        <f ca="1">(1-('Invoer gegevens (N)'!$F$20/12))*X224*MIN(BA224,BC224)</f>
        <v>0</v>
      </c>
      <c r="AA224" s="98">
        <f ca="1">IF(BD224&lt;1,IF('Reeksen (N)'!AD224&lt;='Reeksen (N)'!AE224,X224*'Reeksen (N)'!C224,0),IF(BC224&gt;=BA224,0,IF('Reeksen (N)'!AD224&lt;='Reeksen (N)'!AE224,(BA224-BC224)*X224,0)))</f>
        <v>0</v>
      </c>
      <c r="AB224" s="98">
        <f ca="1">IF(BD224&lt;1,IF('Reeksen (N)'!AD224&gt;'Reeksen (N)'!AE224,X224*'Reeksen (N)'!C224,0),IF(BC224&gt;=BA224,0,IF('Reeksen (N)'!AD224&gt;'Reeksen (N)'!AE224,(BA224-BC224)*X224,0)))</f>
        <v>0</v>
      </c>
      <c r="AC224" s="99">
        <f t="shared" ca="1" si="56"/>
        <v>0</v>
      </c>
      <c r="AD224" s="98">
        <f ca="1">IF('Invoer gegevens (N)'!$C$17=E224,R224,IF(C224=0,0,AE223))</f>
        <v>0</v>
      </c>
      <c r="AE224" s="98">
        <f t="shared" ca="1" si="57"/>
        <v>0</v>
      </c>
      <c r="AF224" s="98">
        <f ca="1">IF('Invoer gegevens (N)'!$C$17=E224,X224,IF(C224=0,0,AG223))</f>
        <v>0</v>
      </c>
      <c r="AG224" s="98">
        <f t="shared" ca="1" si="58"/>
        <v>0</v>
      </c>
      <c r="AH224" s="66"/>
      <c r="AI224" s="71">
        <f ca="1">IF(C224=1,'Reeksen (N)'!AI224*((F224+K224)/2)*12+'Reeksen (N)'!AD224*((L224+Q224)/2)*12,0)</f>
        <v>0</v>
      </c>
      <c r="AJ224" s="71">
        <f ca="1">-AI224*'Invoer gegevens (N)'!$F$28</f>
        <v>0</v>
      </c>
      <c r="AK224" s="71">
        <f t="shared" ca="1" si="59"/>
        <v>0</v>
      </c>
      <c r="AL224" s="71">
        <f ca="1">IF(C224=1,'Reeksen (N)'!AL224*((F224-G224+F224)/2)*12+'Reeksen (N)'!AM224*((L224-M224+L224)/2)*12,0)</f>
        <v>0</v>
      </c>
      <c r="AM224" s="71">
        <f ca="1">-AL224*'Invoer gegevens (N)'!$F$31</f>
        <v>0</v>
      </c>
      <c r="AN224" s="71">
        <f t="shared" ca="1" si="60"/>
        <v>0</v>
      </c>
      <c r="AO224" s="71">
        <f ca="1">IF(C224=1,(H224+J224+N224+P224)*'Reeksen (N)'!AN224,0)</f>
        <v>0</v>
      </c>
      <c r="AP224" s="71">
        <f ca="1">-IF(C224=1,(H224+J224+N224+P224)*'Hulp - basis'!$O$550*'Reeksen (N)'!H224,0)</f>
        <v>0</v>
      </c>
      <c r="AQ224" s="71">
        <f ca="1">-IF(C224=1,(F224+K224+L224+Q224)/2*'Invoer gegevens (N)'!$F$35*'Reeksen (N)'!J224,0)*2</f>
        <v>0</v>
      </c>
      <c r="AR224" s="71">
        <f ca="1">IF(BD224&lt;1,-IF(C224=1,(G224*'Invoer gegevens (N)'!$F$36)*'Reeksen (N)'!J224,0),0)</f>
        <v>0</v>
      </c>
      <c r="AS224" s="71">
        <f ca="1">-IF(C224=1,(F224+K224+L224+Q224)/2*'Invoer gegevens (N)'!$F$37*'Reeksen (N)'!L224,0)</f>
        <v>0</v>
      </c>
      <c r="AT224" s="71">
        <f ca="1">-IF(C224=1,IF(E224='Invoer gegevens (N)'!$C$17,'Invoer gegevens (N)'!$C$11,AD224)*'Reeksen (N)'!S224*'Invoer gegevens (N)'!$C$18*'Reeksen (N)'!P224,0)</f>
        <v>0</v>
      </c>
      <c r="AU224" s="71">
        <f ca="1">-IF(C224=1,(F224+K224+L224+Q224)/2*'Invoer gegevens (N)'!$F$38*'Reeksen (N)'!H224,0)</f>
        <v>0</v>
      </c>
      <c r="AV224" s="71">
        <v>0</v>
      </c>
      <c r="AW224" s="71">
        <f t="shared" ca="1" si="61"/>
        <v>0</v>
      </c>
      <c r="AX224" s="71">
        <f ca="1">IF(E224&lt;'Invoer gegevens (N)'!$C$17+15,0,IF(E224&gt;'Invoer gegevens (N)'!$C$17+215,0,AW224))</f>
        <v>0</v>
      </c>
      <c r="AY224" s="71">
        <f ca="1">AX224/(1+'Invoer gegevens (N)'!$F$18)^($AZ224-('Invoer gegevens (N)'!$C$17-'Invoer gegevens (N)'!$C$16))/(1+'Invoer gegevens (N)'!$C$39)^('Invoer gegevens (N)'!$C$17-'Invoer gegevens (N)'!$C$16)</f>
        <v>0</v>
      </c>
      <c r="AZ224" s="68">
        <f ca="1">IF(E224-'Invoer gegevens (N)'!$C$17-14.5&lt;0,0,E224-'Invoer gegevens (N)'!$C$17-14.5)</f>
        <v>204.5</v>
      </c>
      <c r="BA224" s="109">
        <f ca="1">IFERROR(VLOOKUP(E224-15,'Reeksen (N)'!$A$5:$D$234,2,FALSE),0)</f>
        <v>0</v>
      </c>
      <c r="BB224" s="109">
        <f ca="1">IFERROR(VLOOKUP(E224-15,'Reeksen (N)'!$A$5:$D$234,3,FALSE),0)</f>
        <v>0</v>
      </c>
      <c r="BC224" s="109">
        <f ca="1">IFERROR(VLOOKUP(E224-15,'Reeksen (N)'!$A$5:$D$234,4,FALSE),0)</f>
        <v>0</v>
      </c>
      <c r="BD224" s="67">
        <f ca="1">IF(E224-'Invoer gegevens (N)'!$C$17&lt;15,0,1)</f>
        <v>1</v>
      </c>
    </row>
    <row r="225" spans="1:57" x14ac:dyDescent="0.25">
      <c r="A225" s="59"/>
      <c r="B225" s="70">
        <f t="shared" si="62"/>
        <v>221</v>
      </c>
      <c r="C225" s="67">
        <f ca="1">IF(E225-'Invoer gegevens (N)'!$C$17&lt;0,0,1)</f>
        <v>1</v>
      </c>
      <c r="D225" s="68">
        <f t="shared" si="63"/>
        <v>220.5</v>
      </c>
      <c r="E225" s="108">
        <f ca="1">IF('Invoer gegevens (N)'!$C$16="","",E224+1)</f>
        <v>2239</v>
      </c>
      <c r="F225" s="84">
        <f ca="1">IF('Invoer gegevens (N)'!$C$17=E225,'Invoer gegevens (N)'!$C$10,IF(C225=1,K224,0))</f>
        <v>0</v>
      </c>
      <c r="G225" s="96">
        <f ca="1">IF(BD225&lt;1,F225*'Reeksen (N)'!C225,IF(C225&gt;=1,F225*BA225,0))</f>
        <v>0</v>
      </c>
      <c r="H225" s="84">
        <f ca="1">(1-('Invoer gegevens (N)'!$F$20/12))*F225*MIN(BA225,BC225)</f>
        <v>0</v>
      </c>
      <c r="I225" s="84">
        <f t="shared" ca="1" si="48"/>
        <v>0</v>
      </c>
      <c r="J225" s="84">
        <f ca="1">('Invoer gegevens (N)'!$F$20/12)*F224*MIN(BA225,BC225)</f>
        <v>0</v>
      </c>
      <c r="K225" s="97">
        <f t="shared" ca="1" si="53"/>
        <v>0</v>
      </c>
      <c r="L225" s="84">
        <f ca="1">IF('Invoer gegevens (N)'!$C$17=E225,0,IF(C225=1,Q224,0))</f>
        <v>0</v>
      </c>
      <c r="M225" s="96">
        <f t="shared" ca="1" si="49"/>
        <v>0</v>
      </c>
      <c r="N225" s="84">
        <f ca="1">(1-('Invoer gegevens (N)'!$F$20/12))*L225*MIN(BA225,BC225)</f>
        <v>0</v>
      </c>
      <c r="O225" s="84">
        <f t="shared" ca="1" si="50"/>
        <v>0</v>
      </c>
      <c r="P225" s="84">
        <f ca="1">('Invoer gegevens (N)'!$F$20/12)*L224*MIN(BA225,BC225)</f>
        <v>0</v>
      </c>
      <c r="Q225" s="84">
        <f t="shared" ca="1" si="54"/>
        <v>0</v>
      </c>
      <c r="R225" s="85">
        <f ca="1">IF('Invoer gegevens (N)'!$C$17=E225,'Invoer gegevens (N)'!$C$11,IF(C225=1,W224,0))</f>
        <v>0</v>
      </c>
      <c r="S225" s="86">
        <f t="shared" ca="1" si="51"/>
        <v>0</v>
      </c>
      <c r="T225" s="86">
        <f ca="1">(1-('Invoer gegevens (N)'!$F$20/12))*R225*MIN(BC225,BA225)</f>
        <v>0</v>
      </c>
      <c r="U225" s="86">
        <f ca="1">IF(BD225&lt;1,IF('Reeksen (N)'!AD225&lt;='Reeksen (N)'!AE225,R225*'Reeksen (N)'!C225,0),IF(BC225&gt;=BA225,0,IF('Reeksen (N)'!AD225&lt;='Reeksen (N)'!AE225,(BA225-BC225)*R225,0)))</f>
        <v>0</v>
      </c>
      <c r="V225" s="86">
        <f ca="1">IF(BD225&lt;1,IF('Reeksen (N)'!AD225&gt;'Reeksen (N)'!AE225,R225*'Reeksen (N)'!C225,0),IF(BC225&gt;=BA225,0,IF('Reeksen (N)'!AD225&gt;'Reeksen (N)'!AE225,(BA225-BC225)*R225,0)))</f>
        <v>0</v>
      </c>
      <c r="W225" s="218">
        <f t="shared" ca="1" si="55"/>
        <v>0</v>
      </c>
      <c r="X225" s="98">
        <f ca="1">IF('Invoer gegevens (N)'!$C$17=E225,'Invoer gegevens (N)'!$C$10-'Invoer gegevens (N)'!$C$11,IF(C225=1,AC224,0))</f>
        <v>0</v>
      </c>
      <c r="Y225" s="98">
        <f t="shared" ca="1" si="52"/>
        <v>0</v>
      </c>
      <c r="Z225" s="98">
        <f ca="1">(1-('Invoer gegevens (N)'!$F$20/12))*X225*MIN(BA225,BC225)</f>
        <v>0</v>
      </c>
      <c r="AA225" s="98">
        <f ca="1">IF(BD225&lt;1,IF('Reeksen (N)'!AD225&lt;='Reeksen (N)'!AE225,X225*'Reeksen (N)'!C225,0),IF(BC225&gt;=BA225,0,IF('Reeksen (N)'!AD225&lt;='Reeksen (N)'!AE225,(BA225-BC225)*X225,0)))</f>
        <v>0</v>
      </c>
      <c r="AB225" s="98">
        <f ca="1">IF(BD225&lt;1,IF('Reeksen (N)'!AD225&gt;'Reeksen (N)'!AE225,X225*'Reeksen (N)'!C225,0),IF(BC225&gt;=BA225,0,IF('Reeksen (N)'!AD225&gt;'Reeksen (N)'!AE225,(BA225-BC225)*X225,0)))</f>
        <v>0</v>
      </c>
      <c r="AC225" s="99">
        <f t="shared" ca="1" si="56"/>
        <v>0</v>
      </c>
      <c r="AD225" s="98">
        <f ca="1">IF('Invoer gegevens (N)'!$C$17=E225,R225,IF(C225=0,0,AE224))</f>
        <v>0</v>
      </c>
      <c r="AE225" s="98">
        <f t="shared" ca="1" si="57"/>
        <v>0</v>
      </c>
      <c r="AF225" s="98">
        <f ca="1">IF('Invoer gegevens (N)'!$C$17=E225,X225,IF(C225=0,0,AG224))</f>
        <v>0</v>
      </c>
      <c r="AG225" s="98">
        <f t="shared" ca="1" si="58"/>
        <v>0</v>
      </c>
      <c r="AH225" s="66"/>
      <c r="AI225" s="71">
        <f ca="1">IF(C225=1,'Reeksen (N)'!AI225*((F225+K225)/2)*12+'Reeksen (N)'!AD225*((L225+Q225)/2)*12,0)</f>
        <v>0</v>
      </c>
      <c r="AJ225" s="71">
        <f ca="1">-AI225*'Invoer gegevens (N)'!$F$28</f>
        <v>0</v>
      </c>
      <c r="AK225" s="71">
        <f t="shared" ca="1" si="59"/>
        <v>0</v>
      </c>
      <c r="AL225" s="71">
        <f ca="1">IF(C225=1,'Reeksen (N)'!AL225*((F225-G225+F225)/2)*12+'Reeksen (N)'!AM225*((L225-M225+L225)/2)*12,0)</f>
        <v>0</v>
      </c>
      <c r="AM225" s="71">
        <f ca="1">-AL225*'Invoer gegevens (N)'!$F$31</f>
        <v>0</v>
      </c>
      <c r="AN225" s="71">
        <f t="shared" ca="1" si="60"/>
        <v>0</v>
      </c>
      <c r="AO225" s="71">
        <f ca="1">IF(C225=1,(H225+J225+N225+P225)*'Reeksen (N)'!AN225,0)</f>
        <v>0</v>
      </c>
      <c r="AP225" s="71">
        <f ca="1">-IF(C225=1,(H225+J225+N225+P225)*'Hulp - basis'!$O$550*'Reeksen (N)'!H225,0)</f>
        <v>0</v>
      </c>
      <c r="AQ225" s="71">
        <f ca="1">-IF(C225=1,(F225+K225+L225+Q225)/2*'Invoer gegevens (N)'!$F$35*'Reeksen (N)'!J225,0)*2</f>
        <v>0</v>
      </c>
      <c r="AR225" s="71">
        <f ca="1">IF(BD225&lt;1,-IF(C225=1,(G225*'Invoer gegevens (N)'!$F$36)*'Reeksen (N)'!J225,0),0)</f>
        <v>0</v>
      </c>
      <c r="AS225" s="71">
        <f ca="1">-IF(C225=1,(F225+K225+L225+Q225)/2*'Invoer gegevens (N)'!$F$37*'Reeksen (N)'!L225,0)</f>
        <v>0</v>
      </c>
      <c r="AT225" s="71">
        <f ca="1">-IF(C225=1,IF(E225='Invoer gegevens (N)'!$C$17,'Invoer gegevens (N)'!$C$11,AD225)*'Reeksen (N)'!S225*'Invoer gegevens (N)'!$C$18*'Reeksen (N)'!P225,0)</f>
        <v>0</v>
      </c>
      <c r="AU225" s="71">
        <f ca="1">-IF(C225=1,(F225+K225+L225+Q225)/2*'Invoer gegevens (N)'!$F$38*'Reeksen (N)'!H225,0)</f>
        <v>0</v>
      </c>
      <c r="AV225" s="71">
        <v>0</v>
      </c>
      <c r="AW225" s="71">
        <f t="shared" ca="1" si="61"/>
        <v>0</v>
      </c>
      <c r="AX225" s="71">
        <f ca="1">IF(E225&lt;'Invoer gegevens (N)'!$C$17+15,0,IF(E225&gt;'Invoer gegevens (N)'!$C$17+215,0,AW225))</f>
        <v>0</v>
      </c>
      <c r="AY225" s="71">
        <f ca="1">AX225/(1+'Invoer gegevens (N)'!$F$18)^($AZ225-('Invoer gegevens (N)'!$C$17-'Invoer gegevens (N)'!$C$16))/(1+'Invoer gegevens (N)'!$C$39)^('Invoer gegevens (N)'!$C$17-'Invoer gegevens (N)'!$C$16)</f>
        <v>0</v>
      </c>
      <c r="AZ225" s="68">
        <f ca="1">IF(E225-'Invoer gegevens (N)'!$C$17-14.5&lt;0,0,E225-'Invoer gegevens (N)'!$C$17-14.5)</f>
        <v>205.5</v>
      </c>
      <c r="BA225" s="109">
        <f ca="1">IFERROR(VLOOKUP(E225-15,'Reeksen (N)'!$A$5:$D$234,2,FALSE),0)</f>
        <v>0</v>
      </c>
      <c r="BB225" s="109">
        <f ca="1">IFERROR(VLOOKUP(E225-15,'Reeksen (N)'!$A$5:$D$234,3,FALSE),0)</f>
        <v>0</v>
      </c>
      <c r="BC225" s="109">
        <f ca="1">IFERROR(VLOOKUP(E225-15,'Reeksen (N)'!$A$5:$D$234,4,FALSE),0)</f>
        <v>0</v>
      </c>
      <c r="BD225" s="67">
        <f ca="1">IF(E225-'Invoer gegevens (N)'!$C$17&lt;15,0,1)</f>
        <v>1</v>
      </c>
    </row>
    <row r="226" spans="1:57" x14ac:dyDescent="0.25">
      <c r="A226" s="59"/>
      <c r="B226" s="70">
        <f t="shared" si="62"/>
        <v>222</v>
      </c>
      <c r="C226" s="67">
        <f ca="1">IF(E226-'Invoer gegevens (N)'!$C$17&lt;0,0,1)</f>
        <v>1</v>
      </c>
      <c r="D226" s="68">
        <f t="shared" si="63"/>
        <v>221.5</v>
      </c>
      <c r="E226" s="108">
        <f ca="1">IF('Invoer gegevens (N)'!$C$16="","",E225+1)</f>
        <v>2240</v>
      </c>
      <c r="F226" s="84">
        <f ca="1">IF('Invoer gegevens (N)'!$C$17=E226,'Invoer gegevens (N)'!$C$10,IF(C226=1,K225,0))</f>
        <v>0</v>
      </c>
      <c r="G226" s="96">
        <f ca="1">IF(BD226&lt;1,F226*'Reeksen (N)'!C226,IF(C226&gt;=1,F226*BA226,0))</f>
        <v>0</v>
      </c>
      <c r="H226" s="84">
        <f ca="1">(1-('Invoer gegevens (N)'!$F$20/12))*F226*MIN(BA226,BC226)</f>
        <v>0</v>
      </c>
      <c r="I226" s="84">
        <f t="shared" ca="1" si="48"/>
        <v>0</v>
      </c>
      <c r="J226" s="84">
        <f ca="1">('Invoer gegevens (N)'!$F$20/12)*F225*MIN(BA226,BC226)</f>
        <v>0</v>
      </c>
      <c r="K226" s="97">
        <f t="shared" ca="1" si="53"/>
        <v>0</v>
      </c>
      <c r="L226" s="84">
        <f ca="1">IF('Invoer gegevens (N)'!$C$17=E226,0,IF(C226=1,Q225,0))</f>
        <v>0</v>
      </c>
      <c r="M226" s="96">
        <f t="shared" ca="1" si="49"/>
        <v>0</v>
      </c>
      <c r="N226" s="84">
        <f ca="1">(1-('Invoer gegevens (N)'!$F$20/12))*L226*MIN(BA226,BC226)</f>
        <v>0</v>
      </c>
      <c r="O226" s="84">
        <f t="shared" ca="1" si="50"/>
        <v>0</v>
      </c>
      <c r="P226" s="84">
        <f ca="1">('Invoer gegevens (N)'!$F$20/12)*L225*MIN(BA226,BC226)</f>
        <v>0</v>
      </c>
      <c r="Q226" s="84">
        <f t="shared" ca="1" si="54"/>
        <v>0</v>
      </c>
      <c r="R226" s="85">
        <f ca="1">IF('Invoer gegevens (N)'!$C$17=E226,'Invoer gegevens (N)'!$C$11,IF(C226=1,W225,0))</f>
        <v>0</v>
      </c>
      <c r="S226" s="86">
        <f t="shared" ca="1" si="51"/>
        <v>0</v>
      </c>
      <c r="T226" s="86">
        <f ca="1">(1-('Invoer gegevens (N)'!$F$20/12))*R226*MIN(BC226,BA226)</f>
        <v>0</v>
      </c>
      <c r="U226" s="86">
        <f ca="1">IF(BD226&lt;1,IF('Reeksen (N)'!AD226&lt;='Reeksen (N)'!AE226,R226*'Reeksen (N)'!C226,0),IF(BC226&gt;=BA226,0,IF('Reeksen (N)'!AD226&lt;='Reeksen (N)'!AE226,(BA226-BC226)*R226,0)))</f>
        <v>0</v>
      </c>
      <c r="V226" s="86">
        <f ca="1">IF(BD226&lt;1,IF('Reeksen (N)'!AD226&gt;'Reeksen (N)'!AE226,R226*'Reeksen (N)'!C226,0),IF(BC226&gt;=BA226,0,IF('Reeksen (N)'!AD226&gt;'Reeksen (N)'!AE226,(BA226-BC226)*R226,0)))</f>
        <v>0</v>
      </c>
      <c r="W226" s="218">
        <f t="shared" ca="1" si="55"/>
        <v>0</v>
      </c>
      <c r="X226" s="98">
        <f ca="1">IF('Invoer gegevens (N)'!$C$17=E226,'Invoer gegevens (N)'!$C$10-'Invoer gegevens (N)'!$C$11,IF(C226=1,AC225,0))</f>
        <v>0</v>
      </c>
      <c r="Y226" s="98">
        <f t="shared" ca="1" si="52"/>
        <v>0</v>
      </c>
      <c r="Z226" s="98">
        <f ca="1">(1-('Invoer gegevens (N)'!$F$20/12))*X226*MIN(BA226,BC226)</f>
        <v>0</v>
      </c>
      <c r="AA226" s="98">
        <f ca="1">IF(BD226&lt;1,IF('Reeksen (N)'!AD226&lt;='Reeksen (N)'!AE226,X226*'Reeksen (N)'!C226,0),IF(BC226&gt;=BA226,0,IF('Reeksen (N)'!AD226&lt;='Reeksen (N)'!AE226,(BA226-BC226)*X226,0)))</f>
        <v>0</v>
      </c>
      <c r="AB226" s="98">
        <f ca="1">IF(BD226&lt;1,IF('Reeksen (N)'!AD226&gt;'Reeksen (N)'!AE226,X226*'Reeksen (N)'!C226,0),IF(BC226&gt;=BA226,0,IF('Reeksen (N)'!AD226&gt;'Reeksen (N)'!AE226,(BA226-BC226)*X226,0)))</f>
        <v>0</v>
      </c>
      <c r="AC226" s="99">
        <f t="shared" ca="1" si="56"/>
        <v>0</v>
      </c>
      <c r="AD226" s="98">
        <f ca="1">IF('Invoer gegevens (N)'!$C$17=E226,R226,IF(C226=0,0,AE225))</f>
        <v>0</v>
      </c>
      <c r="AE226" s="98">
        <f t="shared" ca="1" si="57"/>
        <v>0</v>
      </c>
      <c r="AF226" s="98">
        <f ca="1">IF('Invoer gegevens (N)'!$C$17=E226,X226,IF(C226=0,0,AG225))</f>
        <v>0</v>
      </c>
      <c r="AG226" s="98">
        <f t="shared" ca="1" si="58"/>
        <v>0</v>
      </c>
      <c r="AH226" s="66"/>
      <c r="AI226" s="71">
        <f ca="1">IF(C226=1,'Reeksen (N)'!AI226*((F226+K226)/2)*12+'Reeksen (N)'!AD226*((L226+Q226)/2)*12,0)</f>
        <v>0</v>
      </c>
      <c r="AJ226" s="71">
        <f ca="1">-AI226*'Invoer gegevens (N)'!$F$28</f>
        <v>0</v>
      </c>
      <c r="AK226" s="71">
        <f t="shared" ca="1" si="59"/>
        <v>0</v>
      </c>
      <c r="AL226" s="71">
        <f ca="1">IF(C226=1,'Reeksen (N)'!AL226*((F226-G226+F226)/2)*12+'Reeksen (N)'!AM226*((L226-M226+L226)/2)*12,0)</f>
        <v>0</v>
      </c>
      <c r="AM226" s="71">
        <f ca="1">-AL226*'Invoer gegevens (N)'!$F$31</f>
        <v>0</v>
      </c>
      <c r="AN226" s="71">
        <f t="shared" ca="1" si="60"/>
        <v>0</v>
      </c>
      <c r="AO226" s="71">
        <f ca="1">IF(C226=1,(H226+J226+N226+P226)*'Reeksen (N)'!AN226,0)</f>
        <v>0</v>
      </c>
      <c r="AP226" s="71">
        <f ca="1">-IF(C226=1,(H226+J226+N226+P226)*'Hulp - basis'!$O$550*'Reeksen (N)'!H226,0)</f>
        <v>0</v>
      </c>
      <c r="AQ226" s="71">
        <f ca="1">-IF(C226=1,(F226+K226+L226+Q226)/2*'Invoer gegevens (N)'!$F$35*'Reeksen (N)'!J226,0)*2</f>
        <v>0</v>
      </c>
      <c r="AR226" s="71">
        <f ca="1">IF(BD226&lt;1,-IF(C226=1,(G226*'Invoer gegevens (N)'!$F$36)*'Reeksen (N)'!J226,0),0)</f>
        <v>0</v>
      </c>
      <c r="AS226" s="71">
        <f ca="1">-IF(C226=1,(F226+K226+L226+Q226)/2*'Invoer gegevens (N)'!$F$37*'Reeksen (N)'!L226,0)</f>
        <v>0</v>
      </c>
      <c r="AT226" s="71">
        <f ca="1">-IF(C226=1,IF(E226='Invoer gegevens (N)'!$C$17,'Invoer gegevens (N)'!$C$11,AD226)*'Reeksen (N)'!S226*'Invoer gegevens (N)'!$C$18*'Reeksen (N)'!P226,0)</f>
        <v>0</v>
      </c>
      <c r="AU226" s="71">
        <f ca="1">-IF(C226=1,(F226+K226+L226+Q226)/2*'Invoer gegevens (N)'!$F$38*'Reeksen (N)'!H226,0)</f>
        <v>0</v>
      </c>
      <c r="AV226" s="71">
        <v>0</v>
      </c>
      <c r="AW226" s="71">
        <f t="shared" ca="1" si="61"/>
        <v>0</v>
      </c>
      <c r="AX226" s="71">
        <f ca="1">IF(E226&lt;'Invoer gegevens (N)'!$C$17+15,0,IF(E226&gt;'Invoer gegevens (N)'!$C$17+215,0,AW226))</f>
        <v>0</v>
      </c>
      <c r="AY226" s="71">
        <f ca="1">AX226/(1+'Invoer gegevens (N)'!$F$18)^($AZ226-('Invoer gegevens (N)'!$C$17-'Invoer gegevens (N)'!$C$16))/(1+'Invoer gegevens (N)'!$C$39)^('Invoer gegevens (N)'!$C$17-'Invoer gegevens (N)'!$C$16)</f>
        <v>0</v>
      </c>
      <c r="AZ226" s="68">
        <f ca="1">IF(E226-'Invoer gegevens (N)'!$C$17-14.5&lt;0,0,E226-'Invoer gegevens (N)'!$C$17-14.5)</f>
        <v>206.5</v>
      </c>
      <c r="BA226" s="109">
        <f ca="1">IFERROR(VLOOKUP(E226-15,'Reeksen (N)'!$A$5:$D$234,2,FALSE),0)</f>
        <v>0</v>
      </c>
      <c r="BB226" s="109">
        <f ca="1">IFERROR(VLOOKUP(E226-15,'Reeksen (N)'!$A$5:$D$234,3,FALSE),0)</f>
        <v>0</v>
      </c>
      <c r="BC226" s="109">
        <f ca="1">IFERROR(VLOOKUP(E226-15,'Reeksen (N)'!$A$5:$D$234,4,FALSE),0)</f>
        <v>0</v>
      </c>
      <c r="BD226" s="67">
        <f ca="1">IF(E226-'Invoer gegevens (N)'!$C$17&lt;15,0,1)</f>
        <v>1</v>
      </c>
    </row>
    <row r="227" spans="1:57" x14ac:dyDescent="0.25">
      <c r="A227" s="59"/>
      <c r="B227" s="70">
        <f t="shared" si="62"/>
        <v>223</v>
      </c>
      <c r="C227" s="67">
        <f ca="1">IF(E227-'Invoer gegevens (N)'!$C$17&lt;0,0,1)</f>
        <v>1</v>
      </c>
      <c r="D227" s="68">
        <f t="shared" si="63"/>
        <v>222.5</v>
      </c>
      <c r="E227" s="108">
        <f ca="1">IF('Invoer gegevens (N)'!$C$16="","",E226+1)</f>
        <v>2241</v>
      </c>
      <c r="F227" s="84">
        <f ca="1">IF('Invoer gegevens (N)'!$C$17=E227,'Invoer gegevens (N)'!$C$10,IF(C227=1,K226,0))</f>
        <v>0</v>
      </c>
      <c r="G227" s="96">
        <f ca="1">IF(BD227&lt;1,F227*'Reeksen (N)'!C227,IF(C227&gt;=1,F227*BA227,0))</f>
        <v>0</v>
      </c>
      <c r="H227" s="84">
        <f ca="1">(1-('Invoer gegevens (N)'!$F$20/12))*F227*MIN(BA227,BC227)</f>
        <v>0</v>
      </c>
      <c r="I227" s="84">
        <f t="shared" ca="1" si="48"/>
        <v>0</v>
      </c>
      <c r="J227" s="84">
        <f ca="1">('Invoer gegevens (N)'!$F$20/12)*F226*MIN(BA227,BC227)</f>
        <v>0</v>
      </c>
      <c r="K227" s="97">
        <f t="shared" ca="1" si="53"/>
        <v>0</v>
      </c>
      <c r="L227" s="84">
        <f ca="1">IF('Invoer gegevens (N)'!$C$17=E227,0,IF(C227=1,Q226,0))</f>
        <v>0</v>
      </c>
      <c r="M227" s="96">
        <f t="shared" ca="1" si="49"/>
        <v>0</v>
      </c>
      <c r="N227" s="84">
        <f ca="1">(1-('Invoer gegevens (N)'!$F$20/12))*L227*MIN(BA227,BC227)</f>
        <v>0</v>
      </c>
      <c r="O227" s="84">
        <f t="shared" ca="1" si="50"/>
        <v>0</v>
      </c>
      <c r="P227" s="84">
        <f ca="1">('Invoer gegevens (N)'!$F$20/12)*L226*MIN(BA227,BC227)</f>
        <v>0</v>
      </c>
      <c r="Q227" s="84">
        <f t="shared" ca="1" si="54"/>
        <v>0</v>
      </c>
      <c r="R227" s="85">
        <f ca="1">IF('Invoer gegevens (N)'!$C$17=E227,'Invoer gegevens (N)'!$C$11,IF(C227=1,W226,0))</f>
        <v>0</v>
      </c>
      <c r="S227" s="86">
        <f t="shared" ca="1" si="51"/>
        <v>0</v>
      </c>
      <c r="T227" s="86">
        <f ca="1">(1-('Invoer gegevens (N)'!$F$20/12))*R227*MIN(BC227,BA227)</f>
        <v>0</v>
      </c>
      <c r="U227" s="86">
        <f ca="1">IF(BD227&lt;1,IF('Reeksen (N)'!AD227&lt;='Reeksen (N)'!AE227,R227*'Reeksen (N)'!C227,0),IF(BC227&gt;=BA227,0,IF('Reeksen (N)'!AD227&lt;='Reeksen (N)'!AE227,(BA227-BC227)*R227,0)))</f>
        <v>0</v>
      </c>
      <c r="V227" s="86">
        <f ca="1">IF(BD227&lt;1,IF('Reeksen (N)'!AD227&gt;'Reeksen (N)'!AE227,R227*'Reeksen (N)'!C227,0),IF(BC227&gt;=BA227,0,IF('Reeksen (N)'!AD227&gt;'Reeksen (N)'!AE227,(BA227-BC227)*R227,0)))</f>
        <v>0</v>
      </c>
      <c r="W227" s="218">
        <f t="shared" ca="1" si="55"/>
        <v>0</v>
      </c>
      <c r="X227" s="98">
        <f ca="1">IF('Invoer gegevens (N)'!$C$17=E227,'Invoer gegevens (N)'!$C$10-'Invoer gegevens (N)'!$C$11,IF(C227=1,AC226,0))</f>
        <v>0</v>
      </c>
      <c r="Y227" s="98">
        <f t="shared" ca="1" si="52"/>
        <v>0</v>
      </c>
      <c r="Z227" s="98">
        <f ca="1">(1-('Invoer gegevens (N)'!$F$20/12))*X227*MIN(BA227,BC227)</f>
        <v>0</v>
      </c>
      <c r="AA227" s="98">
        <f ca="1">IF(BD227&lt;1,IF('Reeksen (N)'!AD227&lt;='Reeksen (N)'!AE227,X227*'Reeksen (N)'!C227,0),IF(BC227&gt;=BA227,0,IF('Reeksen (N)'!AD227&lt;='Reeksen (N)'!AE227,(BA227-BC227)*X227,0)))</f>
        <v>0</v>
      </c>
      <c r="AB227" s="98">
        <f ca="1">IF(BD227&lt;1,IF('Reeksen (N)'!AD227&gt;'Reeksen (N)'!AE227,X227*'Reeksen (N)'!C227,0),IF(BC227&gt;=BA227,0,IF('Reeksen (N)'!AD227&gt;'Reeksen (N)'!AE227,(BA227-BC227)*X227,0)))</f>
        <v>0</v>
      </c>
      <c r="AC227" s="99">
        <f t="shared" ca="1" si="56"/>
        <v>0</v>
      </c>
      <c r="AD227" s="98">
        <f ca="1">IF('Invoer gegevens (N)'!$C$17=E227,R227,IF(C227=0,0,AE226))</f>
        <v>0</v>
      </c>
      <c r="AE227" s="98">
        <f t="shared" ca="1" si="57"/>
        <v>0</v>
      </c>
      <c r="AF227" s="98">
        <f ca="1">IF('Invoer gegevens (N)'!$C$17=E227,X227,IF(C227=0,0,AG226))</f>
        <v>0</v>
      </c>
      <c r="AG227" s="98">
        <f t="shared" ca="1" si="58"/>
        <v>0</v>
      </c>
      <c r="AH227" s="66"/>
      <c r="AI227" s="71">
        <f ca="1">IF(C227=1,'Reeksen (N)'!AI227*((F227+K227)/2)*12+'Reeksen (N)'!AD227*((L227+Q227)/2)*12,0)</f>
        <v>0</v>
      </c>
      <c r="AJ227" s="71">
        <f ca="1">-AI227*'Invoer gegevens (N)'!$F$28</f>
        <v>0</v>
      </c>
      <c r="AK227" s="71">
        <f t="shared" ca="1" si="59"/>
        <v>0</v>
      </c>
      <c r="AL227" s="71">
        <f ca="1">IF(C227=1,'Reeksen (N)'!AL227*((F227-G227+F227)/2)*12+'Reeksen (N)'!AM227*((L227-M227+L227)/2)*12,0)</f>
        <v>0</v>
      </c>
      <c r="AM227" s="71">
        <f ca="1">-AL227*'Invoer gegevens (N)'!$F$31</f>
        <v>0</v>
      </c>
      <c r="AN227" s="71">
        <f t="shared" ca="1" si="60"/>
        <v>0</v>
      </c>
      <c r="AO227" s="71">
        <f ca="1">IF(C227=1,(H227+J227+N227+P227)*'Reeksen (N)'!AN227,0)</f>
        <v>0</v>
      </c>
      <c r="AP227" s="71">
        <f ca="1">-IF(C227=1,(H227+J227+N227+P227)*'Hulp - basis'!$O$550*'Reeksen (N)'!H227,0)</f>
        <v>0</v>
      </c>
      <c r="AQ227" s="71">
        <f ca="1">-IF(C227=1,(F227+K227+L227+Q227)/2*'Invoer gegevens (N)'!$F$35*'Reeksen (N)'!J227,0)*2</f>
        <v>0</v>
      </c>
      <c r="AR227" s="71">
        <f ca="1">IF(BD227&lt;1,-IF(C227=1,(G227*'Invoer gegevens (N)'!$F$36)*'Reeksen (N)'!J227,0),0)</f>
        <v>0</v>
      </c>
      <c r="AS227" s="71">
        <f ca="1">-IF(C227=1,(F227+K227+L227+Q227)/2*'Invoer gegevens (N)'!$F$37*'Reeksen (N)'!L227,0)</f>
        <v>0</v>
      </c>
      <c r="AT227" s="71">
        <f ca="1">-IF(C227=1,IF(E227='Invoer gegevens (N)'!$C$17,'Invoer gegevens (N)'!$C$11,AD227)*'Reeksen (N)'!S227*'Invoer gegevens (N)'!$C$18*'Reeksen (N)'!P227,0)</f>
        <v>0</v>
      </c>
      <c r="AU227" s="71">
        <f ca="1">-IF(C227=1,(F227+K227+L227+Q227)/2*'Invoer gegevens (N)'!$F$38*'Reeksen (N)'!H227,0)</f>
        <v>0</v>
      </c>
      <c r="AV227" s="71">
        <v>0</v>
      </c>
      <c r="AW227" s="71">
        <f t="shared" ca="1" si="61"/>
        <v>0</v>
      </c>
      <c r="AX227" s="71">
        <f ca="1">IF(E227&lt;'Invoer gegevens (N)'!$C$17+15,0,IF(E227&gt;'Invoer gegevens (N)'!$C$17+215,0,AW227))</f>
        <v>0</v>
      </c>
      <c r="AY227" s="71">
        <f ca="1">AX227/(1+'Invoer gegevens (N)'!$F$18)^($AZ227-('Invoer gegevens (N)'!$C$17-'Invoer gegevens (N)'!$C$16))/(1+'Invoer gegevens (N)'!$C$39)^('Invoer gegevens (N)'!$C$17-'Invoer gegevens (N)'!$C$16)</f>
        <v>0</v>
      </c>
      <c r="AZ227" s="68">
        <f ca="1">IF(E227-'Invoer gegevens (N)'!$C$17-14.5&lt;0,0,E227-'Invoer gegevens (N)'!$C$17-14.5)</f>
        <v>207.5</v>
      </c>
      <c r="BA227" s="109">
        <f ca="1">IFERROR(VLOOKUP(E227-15,'Reeksen (N)'!$A$5:$D$234,2,FALSE),0)</f>
        <v>0</v>
      </c>
      <c r="BB227" s="109">
        <f ca="1">IFERROR(VLOOKUP(E227-15,'Reeksen (N)'!$A$5:$D$234,3,FALSE),0)</f>
        <v>0</v>
      </c>
      <c r="BC227" s="109">
        <f ca="1">IFERROR(VLOOKUP(E227-15,'Reeksen (N)'!$A$5:$D$234,4,FALSE),0)</f>
        <v>0</v>
      </c>
      <c r="BD227" s="67">
        <f ca="1">IF(E227-'Invoer gegevens (N)'!$C$17&lt;15,0,1)</f>
        <v>1</v>
      </c>
    </row>
    <row r="228" spans="1:57" x14ac:dyDescent="0.25">
      <c r="A228" s="59"/>
      <c r="B228" s="70">
        <f t="shared" si="62"/>
        <v>224</v>
      </c>
      <c r="C228" s="67">
        <f ca="1">IF(E228-'Invoer gegevens (N)'!$C$17&lt;0,0,1)</f>
        <v>1</v>
      </c>
      <c r="D228" s="68">
        <f t="shared" si="63"/>
        <v>223.5</v>
      </c>
      <c r="E228" s="108">
        <f ca="1">IF('Invoer gegevens (N)'!$C$16="","",E227+1)</f>
        <v>2242</v>
      </c>
      <c r="F228" s="84">
        <f ca="1">IF('Invoer gegevens (N)'!$C$17=E228,'Invoer gegevens (N)'!$C$10,IF(C228=1,K227,0))</f>
        <v>0</v>
      </c>
      <c r="G228" s="96">
        <f ca="1">IF(BD228&lt;1,F228*'Reeksen (N)'!C228,IF(C228&gt;=1,F228*BA228,0))</f>
        <v>0</v>
      </c>
      <c r="H228" s="84">
        <f ca="1">(1-('Invoer gegevens (N)'!$F$20/12))*F228*MIN(BA228,BC228)</f>
        <v>0</v>
      </c>
      <c r="I228" s="84">
        <f t="shared" ca="1" si="48"/>
        <v>0</v>
      </c>
      <c r="J228" s="84">
        <f ca="1">('Invoer gegevens (N)'!$F$20/12)*F227*MIN(BA228,BC228)</f>
        <v>0</v>
      </c>
      <c r="K228" s="97">
        <f t="shared" ca="1" si="53"/>
        <v>0</v>
      </c>
      <c r="L228" s="84">
        <f ca="1">IF('Invoer gegevens (N)'!$C$17=E228,0,IF(C228=1,Q227,0))</f>
        <v>0</v>
      </c>
      <c r="M228" s="96">
        <f t="shared" ca="1" si="49"/>
        <v>0</v>
      </c>
      <c r="N228" s="84">
        <f ca="1">(1-('Invoer gegevens (N)'!$F$20/12))*L228*MIN(BA228,BC228)</f>
        <v>0</v>
      </c>
      <c r="O228" s="84">
        <f t="shared" ca="1" si="50"/>
        <v>0</v>
      </c>
      <c r="P228" s="84">
        <f ca="1">('Invoer gegevens (N)'!$F$20/12)*L227*MIN(BA228,BC228)</f>
        <v>0</v>
      </c>
      <c r="Q228" s="84">
        <f t="shared" ca="1" si="54"/>
        <v>0</v>
      </c>
      <c r="R228" s="85">
        <f ca="1">IF('Invoer gegevens (N)'!$C$17=E228,'Invoer gegevens (N)'!$C$11,IF(C228=1,W227,0))</f>
        <v>0</v>
      </c>
      <c r="S228" s="86">
        <f t="shared" ca="1" si="51"/>
        <v>0</v>
      </c>
      <c r="T228" s="86">
        <f ca="1">(1-('Invoer gegevens (N)'!$F$20/12))*R228*MIN(BC228,BA228)</f>
        <v>0</v>
      </c>
      <c r="U228" s="86">
        <f ca="1">IF(BD228&lt;1,IF('Reeksen (N)'!AD228&lt;='Reeksen (N)'!AE228,R228*'Reeksen (N)'!C228,0),IF(BC228&gt;=BA228,0,IF('Reeksen (N)'!AD228&lt;='Reeksen (N)'!AE228,(BA228-BC228)*R228,0)))</f>
        <v>0</v>
      </c>
      <c r="V228" s="86">
        <f ca="1">IF(BD228&lt;1,IF('Reeksen (N)'!AD228&gt;'Reeksen (N)'!AE228,R228*'Reeksen (N)'!C228,0),IF(BC228&gt;=BA228,0,IF('Reeksen (N)'!AD228&gt;'Reeksen (N)'!AE228,(BA228-BC228)*R228,0)))</f>
        <v>0</v>
      </c>
      <c r="W228" s="218">
        <f t="shared" ca="1" si="55"/>
        <v>0</v>
      </c>
      <c r="X228" s="98">
        <f ca="1">IF('Invoer gegevens (N)'!$C$17=E228,'Invoer gegevens (N)'!$C$10-'Invoer gegevens (N)'!$C$11,IF(C228=1,AC227,0))</f>
        <v>0</v>
      </c>
      <c r="Y228" s="98">
        <f t="shared" ca="1" si="52"/>
        <v>0</v>
      </c>
      <c r="Z228" s="98">
        <f ca="1">(1-('Invoer gegevens (N)'!$F$20/12))*X228*MIN(BA228,BC228)</f>
        <v>0</v>
      </c>
      <c r="AA228" s="98">
        <f ca="1">IF(BD228&lt;1,IF('Reeksen (N)'!AD228&lt;='Reeksen (N)'!AE228,X228*'Reeksen (N)'!C228,0),IF(BC228&gt;=BA228,0,IF('Reeksen (N)'!AD228&lt;='Reeksen (N)'!AE228,(BA228-BC228)*X228,0)))</f>
        <v>0</v>
      </c>
      <c r="AB228" s="98">
        <f ca="1">IF(BD228&lt;1,IF('Reeksen (N)'!AD228&gt;'Reeksen (N)'!AE228,X228*'Reeksen (N)'!C228,0),IF(BC228&gt;=BA228,0,IF('Reeksen (N)'!AD228&gt;'Reeksen (N)'!AE228,(BA228-BC228)*X228,0)))</f>
        <v>0</v>
      </c>
      <c r="AC228" s="99">
        <f t="shared" ca="1" si="56"/>
        <v>0</v>
      </c>
      <c r="AD228" s="98">
        <f ca="1">IF('Invoer gegevens (N)'!$C$17=E228,R228,IF(C228=0,0,AE227))</f>
        <v>0</v>
      </c>
      <c r="AE228" s="98">
        <f t="shared" ca="1" si="57"/>
        <v>0</v>
      </c>
      <c r="AF228" s="98">
        <f ca="1">IF('Invoer gegevens (N)'!$C$17=E228,X228,IF(C228=0,0,AG227))</f>
        <v>0</v>
      </c>
      <c r="AG228" s="98">
        <f t="shared" ca="1" si="58"/>
        <v>0</v>
      </c>
      <c r="AH228" s="66"/>
      <c r="AI228" s="71">
        <f ca="1">IF(C228=1,'Reeksen (N)'!AI228*((F228+K228)/2)*12+'Reeksen (N)'!AD228*((L228+Q228)/2)*12,0)</f>
        <v>0</v>
      </c>
      <c r="AJ228" s="71">
        <f ca="1">-AI228*'Invoer gegevens (N)'!$F$28</f>
        <v>0</v>
      </c>
      <c r="AK228" s="71">
        <f t="shared" ca="1" si="59"/>
        <v>0</v>
      </c>
      <c r="AL228" s="71">
        <f ca="1">IF(C228=1,'Reeksen (N)'!AL228*((F228-G228+F228)/2)*12+'Reeksen (N)'!AM228*((L228-M228+L228)/2)*12,0)</f>
        <v>0</v>
      </c>
      <c r="AM228" s="71">
        <f ca="1">-AL228*'Invoer gegevens (N)'!$F$31</f>
        <v>0</v>
      </c>
      <c r="AN228" s="71">
        <f t="shared" ca="1" si="60"/>
        <v>0</v>
      </c>
      <c r="AO228" s="71">
        <f ca="1">IF(C228=1,(H228+J228+N228+P228)*'Reeksen (N)'!AN228,0)</f>
        <v>0</v>
      </c>
      <c r="AP228" s="71">
        <f ca="1">-IF(C228=1,(H228+J228+N228+P228)*'Hulp - basis'!$O$550*'Reeksen (N)'!H228,0)</f>
        <v>0</v>
      </c>
      <c r="AQ228" s="71">
        <f ca="1">-IF(C228=1,(F228+K228+L228+Q228)/2*'Invoer gegevens (N)'!$F$35*'Reeksen (N)'!J228,0)*2</f>
        <v>0</v>
      </c>
      <c r="AR228" s="71">
        <f ca="1">IF(BD228&lt;1,-IF(C228=1,(G228*'Invoer gegevens (N)'!$F$36)*'Reeksen (N)'!J228,0),0)</f>
        <v>0</v>
      </c>
      <c r="AS228" s="71">
        <f ca="1">-IF(C228=1,(F228+K228+L228+Q228)/2*'Invoer gegevens (N)'!$F$37*'Reeksen (N)'!L228,0)</f>
        <v>0</v>
      </c>
      <c r="AT228" s="71">
        <f ca="1">-IF(C228=1,IF(E228='Invoer gegevens (N)'!$C$17,'Invoer gegevens (N)'!$C$11,AD228)*'Reeksen (N)'!S228*'Invoer gegevens (N)'!$C$18*'Reeksen (N)'!P228,0)</f>
        <v>0</v>
      </c>
      <c r="AU228" s="71">
        <f ca="1">-IF(C228=1,(F228+K228+L228+Q228)/2*'Invoer gegevens (N)'!$F$38*'Reeksen (N)'!H228,0)</f>
        <v>0</v>
      </c>
      <c r="AV228" s="71">
        <v>0</v>
      </c>
      <c r="AW228" s="71">
        <f t="shared" ca="1" si="61"/>
        <v>0</v>
      </c>
      <c r="AX228" s="71">
        <f ca="1">IF(E228&lt;'Invoer gegevens (N)'!$C$17+15,0,IF(E228&gt;'Invoer gegevens (N)'!$C$17+215,0,AW228))</f>
        <v>0</v>
      </c>
      <c r="AY228" s="71">
        <f ca="1">AX228/(1+'Invoer gegevens (N)'!$F$18)^($AZ228-('Invoer gegevens (N)'!$C$17-'Invoer gegevens (N)'!$C$16))/(1+'Invoer gegevens (N)'!$C$39)^('Invoer gegevens (N)'!$C$17-'Invoer gegevens (N)'!$C$16)</f>
        <v>0</v>
      </c>
      <c r="AZ228" s="68">
        <f ca="1">IF(E228-'Invoer gegevens (N)'!$C$17-14.5&lt;0,0,E228-'Invoer gegevens (N)'!$C$17-14.5)</f>
        <v>208.5</v>
      </c>
      <c r="BA228" s="109">
        <f ca="1">IFERROR(VLOOKUP(E228-15,'Reeksen (N)'!$A$5:$D$234,2,FALSE),0)</f>
        <v>0</v>
      </c>
      <c r="BB228" s="109">
        <f ca="1">IFERROR(VLOOKUP(E228-15,'Reeksen (N)'!$A$5:$D$234,3,FALSE),0)</f>
        <v>0</v>
      </c>
      <c r="BC228" s="109">
        <f ca="1">IFERROR(VLOOKUP(E228-15,'Reeksen (N)'!$A$5:$D$234,4,FALSE),0)</f>
        <v>0</v>
      </c>
      <c r="BD228" s="67">
        <f ca="1">IF(E228-'Invoer gegevens (N)'!$C$17&lt;15,0,1)</f>
        <v>1</v>
      </c>
    </row>
    <row r="229" spans="1:57" x14ac:dyDescent="0.25">
      <c r="A229" s="59"/>
      <c r="B229" s="70">
        <f t="shared" si="62"/>
        <v>225</v>
      </c>
      <c r="C229" s="67">
        <f ca="1">IF(E229-'Invoer gegevens (N)'!$C$17&lt;0,0,1)</f>
        <v>1</v>
      </c>
      <c r="D229" s="68">
        <f t="shared" si="63"/>
        <v>224.5</v>
      </c>
      <c r="E229" s="108">
        <f ca="1">IF('Invoer gegevens (N)'!$C$16="","",E228+1)</f>
        <v>2243</v>
      </c>
      <c r="F229" s="84">
        <f ca="1">IF('Invoer gegevens (N)'!$C$17=E229,'Invoer gegevens (N)'!$C$10,IF(C229=1,K228,0))</f>
        <v>0</v>
      </c>
      <c r="G229" s="96">
        <f ca="1">IF(BD229&lt;1,F229*'Reeksen (N)'!C229,IF(C229&gt;=1,F229*BA229,0))</f>
        <v>0</v>
      </c>
      <c r="H229" s="84">
        <f ca="1">(1-('Invoer gegevens (N)'!$F$20/12))*F229*MIN(BA229,BC229)</f>
        <v>0</v>
      </c>
      <c r="I229" s="84">
        <f t="shared" ca="1" si="48"/>
        <v>0</v>
      </c>
      <c r="J229" s="84">
        <f ca="1">('Invoer gegevens (N)'!$F$20/12)*F228*MIN(BA229,BC229)</f>
        <v>0</v>
      </c>
      <c r="K229" s="97">
        <f t="shared" ca="1" si="53"/>
        <v>0</v>
      </c>
      <c r="L229" s="84">
        <f ca="1">IF('Invoer gegevens (N)'!$C$17=E229,0,IF(C229=1,Q228,0))</f>
        <v>0</v>
      </c>
      <c r="M229" s="96">
        <f t="shared" ca="1" si="49"/>
        <v>0</v>
      </c>
      <c r="N229" s="84">
        <f ca="1">(1-('Invoer gegevens (N)'!$F$20/12))*L229*MIN(BA229,BC229)</f>
        <v>0</v>
      </c>
      <c r="O229" s="84">
        <f t="shared" ca="1" si="50"/>
        <v>0</v>
      </c>
      <c r="P229" s="84">
        <f ca="1">('Invoer gegevens (N)'!$F$20/12)*L228*MIN(BA229,BC229)</f>
        <v>0</v>
      </c>
      <c r="Q229" s="84">
        <f t="shared" ca="1" si="54"/>
        <v>0</v>
      </c>
      <c r="R229" s="85">
        <f ca="1">IF('Invoer gegevens (N)'!$C$17=E229,'Invoer gegevens (N)'!$C$11,IF(C229=1,W228,0))</f>
        <v>0</v>
      </c>
      <c r="S229" s="86">
        <f t="shared" ca="1" si="51"/>
        <v>0</v>
      </c>
      <c r="T229" s="86">
        <f ca="1">(1-('Invoer gegevens (N)'!$F$20/12))*R229*MIN(BC229,BA229)</f>
        <v>0</v>
      </c>
      <c r="U229" s="86">
        <f ca="1">IF(BD229&lt;1,IF('Reeksen (N)'!AD229&lt;='Reeksen (N)'!AE229,R229*'Reeksen (N)'!C229,0),IF(BC229&gt;=BA229,0,IF('Reeksen (N)'!AD229&lt;='Reeksen (N)'!AE229,(BA229-BC229)*R229,0)))</f>
        <v>0</v>
      </c>
      <c r="V229" s="86">
        <f ca="1">IF(BD229&lt;1,IF('Reeksen (N)'!AD229&gt;'Reeksen (N)'!AE229,R229*'Reeksen (N)'!C229,0),IF(BC229&gt;=BA229,0,IF('Reeksen (N)'!AD229&gt;'Reeksen (N)'!AE229,(BA229-BC229)*R229,0)))</f>
        <v>0</v>
      </c>
      <c r="W229" s="218">
        <f t="shared" ca="1" si="55"/>
        <v>0</v>
      </c>
      <c r="X229" s="98">
        <f ca="1">IF('Invoer gegevens (N)'!$C$17=E229,'Invoer gegevens (N)'!$C$10-'Invoer gegevens (N)'!$C$11,IF(C229=1,AC228,0))</f>
        <v>0</v>
      </c>
      <c r="Y229" s="98">
        <f t="shared" ca="1" si="52"/>
        <v>0</v>
      </c>
      <c r="Z229" s="98">
        <f ca="1">(1-('Invoer gegevens (N)'!$F$20/12))*X229*MIN(BA229,BC229)</f>
        <v>0</v>
      </c>
      <c r="AA229" s="98">
        <f ca="1">IF(BD229&lt;1,IF('Reeksen (N)'!AD229&lt;='Reeksen (N)'!AE229,X229*'Reeksen (N)'!C229,0),IF(BC229&gt;=BA229,0,IF('Reeksen (N)'!AD229&lt;='Reeksen (N)'!AE229,(BA229-BC229)*X229,0)))</f>
        <v>0</v>
      </c>
      <c r="AB229" s="98">
        <f ca="1">IF(BD229&lt;1,IF('Reeksen (N)'!AD229&gt;'Reeksen (N)'!AE229,X229*'Reeksen (N)'!C229,0),IF(BC229&gt;=BA229,0,IF('Reeksen (N)'!AD229&gt;'Reeksen (N)'!AE229,(BA229-BC229)*X229,0)))</f>
        <v>0</v>
      </c>
      <c r="AC229" s="99">
        <f t="shared" ca="1" si="56"/>
        <v>0</v>
      </c>
      <c r="AD229" s="98">
        <f ca="1">IF('Invoer gegevens (N)'!$C$17=E229,R229,IF(C229=0,0,AE228))</f>
        <v>0</v>
      </c>
      <c r="AE229" s="98">
        <f t="shared" ca="1" si="57"/>
        <v>0</v>
      </c>
      <c r="AF229" s="98">
        <f ca="1">IF('Invoer gegevens (N)'!$C$17=E229,X229,IF(C229=0,0,AG228))</f>
        <v>0</v>
      </c>
      <c r="AG229" s="98">
        <f t="shared" ca="1" si="58"/>
        <v>0</v>
      </c>
      <c r="AH229" s="66"/>
      <c r="AI229" s="71">
        <f ca="1">IF(C229=1,'Reeksen (N)'!AI229*((F229+K229)/2)*12+'Reeksen (N)'!AD229*((L229+Q229)/2)*12,0)</f>
        <v>0</v>
      </c>
      <c r="AJ229" s="71">
        <f ca="1">-AI229*'Invoer gegevens (N)'!$F$28</f>
        <v>0</v>
      </c>
      <c r="AK229" s="71">
        <f t="shared" ca="1" si="59"/>
        <v>0</v>
      </c>
      <c r="AL229" s="71">
        <f ca="1">IF(C229=1,'Reeksen (N)'!AL229*((F229-G229+F229)/2)*12+'Reeksen (N)'!AM229*((L229-M229+L229)/2)*12,0)</f>
        <v>0</v>
      </c>
      <c r="AM229" s="71">
        <f ca="1">-AL229*'Invoer gegevens (N)'!$F$31</f>
        <v>0</v>
      </c>
      <c r="AN229" s="71">
        <f t="shared" ca="1" si="60"/>
        <v>0</v>
      </c>
      <c r="AO229" s="71">
        <f ca="1">IF(C229=1,(H229+J229+N229+P229)*'Reeksen (N)'!AN229,0)</f>
        <v>0</v>
      </c>
      <c r="AP229" s="71">
        <f ca="1">-IF(C229=1,(H229+J229+N229+P229)*'Hulp - basis'!$O$550*'Reeksen (N)'!H229,0)</f>
        <v>0</v>
      </c>
      <c r="AQ229" s="71">
        <f ca="1">-IF(C229=1,(F229+K229+L229+Q229)/2*'Invoer gegevens (N)'!$F$35*'Reeksen (N)'!J229,0)*2</f>
        <v>0</v>
      </c>
      <c r="AR229" s="71">
        <f ca="1">IF(BD229&lt;1,-IF(C229=1,(G229*'Invoer gegevens (N)'!$F$36)*'Reeksen (N)'!J229,0),0)</f>
        <v>0</v>
      </c>
      <c r="AS229" s="71">
        <f ca="1">-IF(C229=1,(F229+K229+L229+Q229)/2*'Invoer gegevens (N)'!$F$37*'Reeksen (N)'!L229,0)</f>
        <v>0</v>
      </c>
      <c r="AT229" s="71">
        <f ca="1">-IF(C229=1,IF(E229='Invoer gegevens (N)'!$C$17,'Invoer gegevens (N)'!$C$11,AD229)*'Reeksen (N)'!S229*'Invoer gegevens (N)'!$C$18*'Reeksen (N)'!P229,0)</f>
        <v>0</v>
      </c>
      <c r="AU229" s="71">
        <f ca="1">-IF(C229=1,(F229+K229+L229+Q229)/2*'Invoer gegevens (N)'!$F$38*'Reeksen (N)'!H229,0)</f>
        <v>0</v>
      </c>
      <c r="AV229" s="71">
        <v>0</v>
      </c>
      <c r="AW229" s="71">
        <f t="shared" ca="1" si="61"/>
        <v>0</v>
      </c>
      <c r="AX229" s="71">
        <f ca="1">IF(E229&lt;'Invoer gegevens (N)'!$C$17+15,0,IF(E229&gt;'Invoer gegevens (N)'!$C$17+215,0,AW229))</f>
        <v>0</v>
      </c>
      <c r="AY229" s="71">
        <f ca="1">AX229/(1+'Invoer gegevens (N)'!$F$18)^($AZ229-('Invoer gegevens (N)'!$C$17-'Invoer gegevens (N)'!$C$16))/(1+'Invoer gegevens (N)'!$C$39)^('Invoer gegevens (N)'!$C$17-'Invoer gegevens (N)'!$C$16)</f>
        <v>0</v>
      </c>
      <c r="AZ229" s="68">
        <f ca="1">IF(E229-'Invoer gegevens (N)'!$C$17-14.5&lt;0,0,E229-'Invoer gegevens (N)'!$C$17-14.5)</f>
        <v>209.5</v>
      </c>
      <c r="BA229" s="109">
        <f ca="1">IFERROR(VLOOKUP(E229-15,'Reeksen (N)'!$A$5:$D$234,2,FALSE),0)</f>
        <v>0</v>
      </c>
      <c r="BB229" s="109">
        <f ca="1">IFERROR(VLOOKUP(E229-15,'Reeksen (N)'!$A$5:$D$234,3,FALSE),0)</f>
        <v>0</v>
      </c>
      <c r="BC229" s="109">
        <f ca="1">IFERROR(VLOOKUP(E229-15,'Reeksen (N)'!$A$5:$D$234,4,FALSE),0)</f>
        <v>0</v>
      </c>
      <c r="BD229" s="67">
        <f ca="1">IF(E229-'Invoer gegevens (N)'!$C$17&lt;15,0,1)</f>
        <v>1</v>
      </c>
    </row>
    <row r="230" spans="1:57" x14ac:dyDescent="0.25">
      <c r="A230" s="59"/>
      <c r="B230" s="70">
        <f t="shared" si="62"/>
        <v>226</v>
      </c>
      <c r="C230" s="67">
        <f ca="1">IF(E230-'Invoer gegevens (N)'!$C$17&lt;0,0,1)</f>
        <v>1</v>
      </c>
      <c r="D230" s="68">
        <f t="shared" si="63"/>
        <v>225.5</v>
      </c>
      <c r="E230" s="108">
        <f ca="1">IF('Invoer gegevens (N)'!$C$16="","",E229+1)</f>
        <v>2244</v>
      </c>
      <c r="F230" s="84">
        <f ca="1">IF('Invoer gegevens (N)'!$C$17=E230,'Invoer gegevens (N)'!$C$10,IF(C230=1,K229,0))</f>
        <v>0</v>
      </c>
      <c r="G230" s="96">
        <f ca="1">IF(BD230&lt;1,F230*'Reeksen (N)'!C230,IF(C230&gt;=1,F230*BA230,0))</f>
        <v>0</v>
      </c>
      <c r="H230" s="84">
        <f ca="1">(1-('Invoer gegevens (N)'!$F$20/12))*F230*MIN(BA230,BC230)</f>
        <v>0</v>
      </c>
      <c r="I230" s="84">
        <f t="shared" ca="1" si="48"/>
        <v>0</v>
      </c>
      <c r="J230" s="84">
        <f ca="1">('Invoer gegevens (N)'!$F$20/12)*F229*MIN(BA230,BC230)</f>
        <v>0</v>
      </c>
      <c r="K230" s="97">
        <f t="shared" ca="1" si="53"/>
        <v>0</v>
      </c>
      <c r="L230" s="84">
        <f ca="1">IF('Invoer gegevens (N)'!$C$17=E230,0,IF(C230=1,Q229,0))</f>
        <v>0</v>
      </c>
      <c r="M230" s="96">
        <f t="shared" ca="1" si="49"/>
        <v>0</v>
      </c>
      <c r="N230" s="84">
        <f ca="1">(1-('Invoer gegevens (N)'!$F$20/12))*L230*MIN(BA230,BC230)</f>
        <v>0</v>
      </c>
      <c r="O230" s="84">
        <f t="shared" ca="1" si="50"/>
        <v>0</v>
      </c>
      <c r="P230" s="84">
        <f ca="1">('Invoer gegevens (N)'!$F$20/12)*L229*MIN(BA230,BC230)</f>
        <v>0</v>
      </c>
      <c r="Q230" s="84">
        <f t="shared" ca="1" si="54"/>
        <v>0</v>
      </c>
      <c r="R230" s="85">
        <f ca="1">IF('Invoer gegevens (N)'!$C$17=E230,'Invoer gegevens (N)'!$C$11,IF(C230=1,W229,0))</f>
        <v>0</v>
      </c>
      <c r="S230" s="86">
        <f t="shared" ca="1" si="51"/>
        <v>0</v>
      </c>
      <c r="T230" s="86">
        <f ca="1">(1-('Invoer gegevens (N)'!$F$20/12))*R230*MIN(BC230,BA230)</f>
        <v>0</v>
      </c>
      <c r="U230" s="86">
        <f ca="1">IF(BD230&lt;1,IF('Reeksen (N)'!AD230&lt;='Reeksen (N)'!AE230,R230*'Reeksen (N)'!C230,0),IF(BC230&gt;=BA230,0,IF('Reeksen (N)'!AD230&lt;='Reeksen (N)'!AE230,(BA230-BC230)*R230,0)))</f>
        <v>0</v>
      </c>
      <c r="V230" s="86">
        <f ca="1">IF(BD230&lt;1,IF('Reeksen (N)'!AD230&gt;'Reeksen (N)'!AE230,R230*'Reeksen (N)'!C230,0),IF(BC230&gt;=BA230,0,IF('Reeksen (N)'!AD230&gt;'Reeksen (N)'!AE230,(BA230-BC230)*R230,0)))</f>
        <v>0</v>
      </c>
      <c r="W230" s="218">
        <f t="shared" ca="1" si="55"/>
        <v>0</v>
      </c>
      <c r="X230" s="98">
        <f ca="1">IF('Invoer gegevens (N)'!$C$17=E230,'Invoer gegevens (N)'!$C$10-'Invoer gegevens (N)'!$C$11,IF(C230=1,AC229,0))</f>
        <v>0</v>
      </c>
      <c r="Y230" s="98">
        <f t="shared" ca="1" si="52"/>
        <v>0</v>
      </c>
      <c r="Z230" s="98">
        <f ca="1">(1-('Invoer gegevens (N)'!$F$20/12))*X230*MIN(BA230,BC230)</f>
        <v>0</v>
      </c>
      <c r="AA230" s="98">
        <f ca="1">IF(BD230&lt;1,IF('Reeksen (N)'!AD230&lt;='Reeksen (N)'!AE230,X230*'Reeksen (N)'!C230,0),IF(BC230&gt;=BA230,0,IF('Reeksen (N)'!AD230&lt;='Reeksen (N)'!AE230,(BA230-BC230)*X230,0)))</f>
        <v>0</v>
      </c>
      <c r="AB230" s="98">
        <f ca="1">IF(BD230&lt;1,IF('Reeksen (N)'!AD230&gt;'Reeksen (N)'!AE230,X230*'Reeksen (N)'!C230,0),IF(BC230&gt;=BA230,0,IF('Reeksen (N)'!AD230&gt;'Reeksen (N)'!AE230,(BA230-BC230)*X230,0)))</f>
        <v>0</v>
      </c>
      <c r="AC230" s="99">
        <f t="shared" ca="1" si="56"/>
        <v>0</v>
      </c>
      <c r="AD230" s="98">
        <f ca="1">IF('Invoer gegevens (N)'!$C$17=E230,R230,IF(C230=0,0,AE229))</f>
        <v>0</v>
      </c>
      <c r="AE230" s="98">
        <f t="shared" ca="1" si="57"/>
        <v>0</v>
      </c>
      <c r="AF230" s="98">
        <f ca="1">IF('Invoer gegevens (N)'!$C$17=E230,X230,IF(C230=0,0,AG229))</f>
        <v>0</v>
      </c>
      <c r="AG230" s="98">
        <f t="shared" ca="1" si="58"/>
        <v>0</v>
      </c>
      <c r="AH230" s="66"/>
      <c r="AI230" s="71">
        <f ca="1">IF(C230=1,'Reeksen (N)'!AI230*((F230+K230)/2)*12+'Reeksen (N)'!AD230*((L230+Q230)/2)*12,0)</f>
        <v>0</v>
      </c>
      <c r="AJ230" s="71">
        <f ca="1">-AI230*'Invoer gegevens (N)'!$F$28</f>
        <v>0</v>
      </c>
      <c r="AK230" s="71">
        <f t="shared" ca="1" si="59"/>
        <v>0</v>
      </c>
      <c r="AL230" s="71">
        <f ca="1">IF(C230=1,'Reeksen (N)'!AL230*((F230-G230+F230)/2)*12+'Reeksen (N)'!AM230*((L230-M230+L230)/2)*12,0)</f>
        <v>0</v>
      </c>
      <c r="AM230" s="71">
        <f ca="1">-AL230*'Invoer gegevens (N)'!$F$31</f>
        <v>0</v>
      </c>
      <c r="AN230" s="71">
        <f t="shared" ca="1" si="60"/>
        <v>0</v>
      </c>
      <c r="AO230" s="71">
        <f ca="1">IF(C230=1,(H230+J230+N230+P230)*'Reeksen (N)'!AN230,0)</f>
        <v>0</v>
      </c>
      <c r="AP230" s="71">
        <f ca="1">-IF(C230=1,(H230+J230+N230+P230)*'Hulp - basis'!$O$550*'Reeksen (N)'!H230,0)</f>
        <v>0</v>
      </c>
      <c r="AQ230" s="71">
        <f ca="1">-IF(C230=1,(F230+K230+L230+Q230)/2*'Invoer gegevens (N)'!$F$35*'Reeksen (N)'!J230,0)*2</f>
        <v>0</v>
      </c>
      <c r="AR230" s="71">
        <f ca="1">IF(BD230&lt;1,-IF(C230=1,(G230*'Invoer gegevens (N)'!$F$36)*'Reeksen (N)'!J230,0),0)</f>
        <v>0</v>
      </c>
      <c r="AS230" s="71">
        <f ca="1">-IF(C230=1,(F230+K230+L230+Q230)/2*'Invoer gegevens (N)'!$F$37*'Reeksen (N)'!L230,0)</f>
        <v>0</v>
      </c>
      <c r="AT230" s="71">
        <f ca="1">-IF(C230=1,IF(E230='Invoer gegevens (N)'!$C$17,'Invoer gegevens (N)'!$C$11,AD230)*'Reeksen (N)'!S230*'Invoer gegevens (N)'!$C$18*'Reeksen (N)'!P230,0)</f>
        <v>0</v>
      </c>
      <c r="AU230" s="71">
        <f ca="1">-IF(C230=1,(F230+K230+L230+Q230)/2*'Invoer gegevens (N)'!$F$38*'Reeksen (N)'!H230,0)</f>
        <v>0</v>
      </c>
      <c r="AV230" s="71">
        <v>0</v>
      </c>
      <c r="AW230" s="71">
        <f t="shared" ca="1" si="61"/>
        <v>0</v>
      </c>
      <c r="AX230" s="71">
        <f ca="1">IF(E230&lt;'Invoer gegevens (N)'!$C$17+15,0,IF(E230&gt;'Invoer gegevens (N)'!$C$17+215,0,AW230))</f>
        <v>0</v>
      </c>
      <c r="AY230" s="71">
        <f ca="1">AX230/(1+'Invoer gegevens (N)'!$F$18)^($AZ230-('Invoer gegevens (N)'!$C$17-'Invoer gegevens (N)'!$C$16))/(1+'Invoer gegevens (N)'!$C$39)^('Invoer gegevens (N)'!$C$17-'Invoer gegevens (N)'!$C$16)</f>
        <v>0</v>
      </c>
      <c r="AZ230" s="68">
        <f ca="1">IF(E230-'Invoer gegevens (N)'!$C$17-14.5&lt;0,0,E230-'Invoer gegevens (N)'!$C$17-14.5)</f>
        <v>210.5</v>
      </c>
      <c r="BA230" s="109">
        <f ca="1">IFERROR(VLOOKUP(E230-15,'Reeksen (N)'!$A$5:$D$234,2,FALSE),0)</f>
        <v>0</v>
      </c>
      <c r="BB230" s="109">
        <f ca="1">IFERROR(VLOOKUP(E230-15,'Reeksen (N)'!$A$5:$D$234,3,FALSE),0)</f>
        <v>0</v>
      </c>
      <c r="BC230" s="109">
        <f ca="1">IFERROR(VLOOKUP(E230-15,'Reeksen (N)'!$A$5:$D$234,4,FALSE),0)</f>
        <v>0</v>
      </c>
      <c r="BD230" s="67">
        <f ca="1">IF(E230-'Invoer gegevens (N)'!$C$17&lt;15,0,1)</f>
        <v>1</v>
      </c>
    </row>
    <row r="231" spans="1:57" x14ac:dyDescent="0.25">
      <c r="A231" s="59"/>
      <c r="B231" s="70">
        <f t="shared" si="62"/>
        <v>227</v>
      </c>
      <c r="C231" s="67">
        <f ca="1">IF(E231-'Invoer gegevens (N)'!$C$17&lt;0,0,1)</f>
        <v>1</v>
      </c>
      <c r="D231" s="68">
        <f t="shared" si="63"/>
        <v>226.5</v>
      </c>
      <c r="E231" s="108">
        <f ca="1">IF('Invoer gegevens (N)'!$C$16="","",E230+1)</f>
        <v>2245</v>
      </c>
      <c r="F231" s="84">
        <f ca="1">IF('Invoer gegevens (N)'!$C$17=E231,'Invoer gegevens (N)'!$C$10,IF(C231=1,K230,0))</f>
        <v>0</v>
      </c>
      <c r="G231" s="96">
        <f ca="1">IF(BD231&lt;1,F231*'Reeksen (N)'!C231,IF(C231&gt;=1,F231*BA231,0))</f>
        <v>0</v>
      </c>
      <c r="H231" s="84">
        <f ca="1">(1-('Invoer gegevens (N)'!$F$20/12))*F231*MIN(BA231,BC231)</f>
        <v>0</v>
      </c>
      <c r="I231" s="84">
        <f t="shared" ca="1" si="48"/>
        <v>0</v>
      </c>
      <c r="J231" s="84">
        <f ca="1">('Invoer gegevens (N)'!$F$20/12)*F230*MIN(BA231,BC231)</f>
        <v>0</v>
      </c>
      <c r="K231" s="97">
        <f t="shared" ca="1" si="53"/>
        <v>0</v>
      </c>
      <c r="L231" s="84">
        <f ca="1">IF('Invoer gegevens (N)'!$C$17=E231,0,IF(C231=1,Q230,0))</f>
        <v>0</v>
      </c>
      <c r="M231" s="96">
        <f t="shared" ca="1" si="49"/>
        <v>0</v>
      </c>
      <c r="N231" s="84">
        <f ca="1">(1-('Invoer gegevens (N)'!$F$20/12))*L231*MIN(BA231,BC231)</f>
        <v>0</v>
      </c>
      <c r="O231" s="84">
        <f t="shared" ca="1" si="50"/>
        <v>0</v>
      </c>
      <c r="P231" s="84">
        <f ca="1">('Invoer gegevens (N)'!$F$20/12)*L230*MIN(BA231,BC231)</f>
        <v>0</v>
      </c>
      <c r="Q231" s="84">
        <f t="shared" ca="1" si="54"/>
        <v>0</v>
      </c>
      <c r="R231" s="85">
        <f ca="1">IF('Invoer gegevens (N)'!$C$17=E231,'Invoer gegevens (N)'!$C$11,IF(C231=1,W230,0))</f>
        <v>0</v>
      </c>
      <c r="S231" s="86">
        <f t="shared" ca="1" si="51"/>
        <v>0</v>
      </c>
      <c r="T231" s="86">
        <f ca="1">(1-('Invoer gegevens (N)'!$F$20/12))*R231*MIN(BC231,BA231)</f>
        <v>0</v>
      </c>
      <c r="U231" s="86">
        <f ca="1">IF(BD231&lt;1,IF('Reeksen (N)'!AD231&lt;='Reeksen (N)'!AE231,R231*'Reeksen (N)'!C231,0),IF(BC231&gt;=BA231,0,IF('Reeksen (N)'!AD231&lt;='Reeksen (N)'!AE231,(BA231-BC231)*R231,0)))</f>
        <v>0</v>
      </c>
      <c r="V231" s="86">
        <f ca="1">IF(BD231&lt;1,IF('Reeksen (N)'!AD231&gt;'Reeksen (N)'!AE231,R231*'Reeksen (N)'!C231,0),IF(BC231&gt;=BA231,0,IF('Reeksen (N)'!AD231&gt;'Reeksen (N)'!AE231,(BA231-BC231)*R231,0)))</f>
        <v>0</v>
      </c>
      <c r="W231" s="218">
        <f t="shared" ca="1" si="55"/>
        <v>0</v>
      </c>
      <c r="X231" s="98">
        <f ca="1">IF('Invoer gegevens (N)'!$C$17=E231,'Invoer gegevens (N)'!$C$10-'Invoer gegevens (N)'!$C$11,IF(C231=1,AC230,0))</f>
        <v>0</v>
      </c>
      <c r="Y231" s="98">
        <f t="shared" ca="1" si="52"/>
        <v>0</v>
      </c>
      <c r="Z231" s="98">
        <f ca="1">(1-('Invoer gegevens (N)'!$F$20/12))*X231*MIN(BA231,BC231)</f>
        <v>0</v>
      </c>
      <c r="AA231" s="98">
        <f ca="1">IF(BD231&lt;1,IF('Reeksen (N)'!AD231&lt;='Reeksen (N)'!AE231,X231*'Reeksen (N)'!C231,0),IF(BC231&gt;=BA231,0,IF('Reeksen (N)'!AD231&lt;='Reeksen (N)'!AE231,(BA231-BC231)*X231,0)))</f>
        <v>0</v>
      </c>
      <c r="AB231" s="98">
        <f ca="1">IF(BD231&lt;1,IF('Reeksen (N)'!AD231&gt;'Reeksen (N)'!AE231,X231*'Reeksen (N)'!C231,0),IF(BC231&gt;=BA231,0,IF('Reeksen (N)'!AD231&gt;'Reeksen (N)'!AE231,(BA231-BC231)*X231,0)))</f>
        <v>0</v>
      </c>
      <c r="AC231" s="99">
        <f t="shared" ca="1" si="56"/>
        <v>0</v>
      </c>
      <c r="AD231" s="98">
        <f ca="1">IF('Invoer gegevens (N)'!$C$17=E231,R231,IF(C231=0,0,AE230))</f>
        <v>0</v>
      </c>
      <c r="AE231" s="98">
        <f t="shared" ca="1" si="57"/>
        <v>0</v>
      </c>
      <c r="AF231" s="98">
        <f ca="1">IF('Invoer gegevens (N)'!$C$17=E231,X231,IF(C231=0,0,AG230))</f>
        <v>0</v>
      </c>
      <c r="AG231" s="98">
        <f t="shared" ca="1" si="58"/>
        <v>0</v>
      </c>
      <c r="AH231" s="66"/>
      <c r="AI231" s="71">
        <f ca="1">IF(C231=1,'Reeksen (N)'!AI231*((F231+K231)/2)*12+'Reeksen (N)'!AD231*((L231+Q231)/2)*12,0)</f>
        <v>0</v>
      </c>
      <c r="AJ231" s="71">
        <f ca="1">-AI231*'Invoer gegevens (N)'!$F$28</f>
        <v>0</v>
      </c>
      <c r="AK231" s="71">
        <f t="shared" ca="1" si="59"/>
        <v>0</v>
      </c>
      <c r="AL231" s="71">
        <f ca="1">IF(C231=1,'Reeksen (N)'!AL231*((F231-G231+F231)/2)*12+'Reeksen (N)'!AM231*((L231-M231+L231)/2)*12,0)</f>
        <v>0</v>
      </c>
      <c r="AM231" s="71">
        <f ca="1">-AL231*'Invoer gegevens (N)'!$F$31</f>
        <v>0</v>
      </c>
      <c r="AN231" s="71">
        <f t="shared" ca="1" si="60"/>
        <v>0</v>
      </c>
      <c r="AO231" s="71">
        <f ca="1">IF(C231=1,(H231+J231+N231+P231)*'Reeksen (N)'!AN231,0)</f>
        <v>0</v>
      </c>
      <c r="AP231" s="71">
        <f ca="1">-IF(C231=1,(H231+J231+N231+P231)*'Hulp - basis'!$O$550*'Reeksen (N)'!H231,0)</f>
        <v>0</v>
      </c>
      <c r="AQ231" s="71">
        <f ca="1">-IF(C231=1,(F231+K231+L231+Q231)/2*'Invoer gegevens (N)'!$F$35*'Reeksen (N)'!J231,0)*2</f>
        <v>0</v>
      </c>
      <c r="AR231" s="71">
        <f ca="1">IF(BD231&lt;1,-IF(C231=1,(G231*'Invoer gegevens (N)'!$F$36)*'Reeksen (N)'!J231,0),0)</f>
        <v>0</v>
      </c>
      <c r="AS231" s="71">
        <f ca="1">-IF(C231=1,(F231+K231+L231+Q231)/2*'Invoer gegevens (N)'!$F$37*'Reeksen (N)'!L231,0)</f>
        <v>0</v>
      </c>
      <c r="AT231" s="71">
        <f ca="1">-IF(C231=1,IF(E231='Invoer gegevens (N)'!$C$17,'Invoer gegevens (N)'!$C$11,AD231)*'Reeksen (N)'!S231*'Invoer gegevens (N)'!$C$18*'Reeksen (N)'!P231,0)</f>
        <v>0</v>
      </c>
      <c r="AU231" s="71">
        <f ca="1">-IF(C231=1,(F231+K231+L231+Q231)/2*'Invoer gegevens (N)'!$F$38*'Reeksen (N)'!H231,0)</f>
        <v>0</v>
      </c>
      <c r="AV231" s="71">
        <v>0</v>
      </c>
      <c r="AW231" s="71">
        <f t="shared" ca="1" si="61"/>
        <v>0</v>
      </c>
      <c r="AX231" s="71">
        <f ca="1">IF(E231&lt;'Invoer gegevens (N)'!$C$17+15,0,IF(E231&gt;'Invoer gegevens (N)'!$C$17+215,0,AW231))</f>
        <v>0</v>
      </c>
      <c r="AY231" s="71">
        <f ca="1">AX231/(1+'Invoer gegevens (N)'!$F$18)^($AZ231-('Invoer gegevens (N)'!$C$17-'Invoer gegevens (N)'!$C$16))/(1+'Invoer gegevens (N)'!$C$39)^('Invoer gegevens (N)'!$C$17-'Invoer gegevens (N)'!$C$16)</f>
        <v>0</v>
      </c>
      <c r="AZ231" s="68">
        <f ca="1">IF(E231-'Invoer gegevens (N)'!$C$17-14.5&lt;0,0,E231-'Invoer gegevens (N)'!$C$17-14.5)</f>
        <v>211.5</v>
      </c>
      <c r="BA231" s="109">
        <f ca="1">IFERROR(VLOOKUP(E231-15,'Reeksen (N)'!$A$5:$D$234,2,FALSE),0)</f>
        <v>0</v>
      </c>
      <c r="BB231" s="109">
        <f ca="1">IFERROR(VLOOKUP(E231-15,'Reeksen (N)'!$A$5:$D$234,3,FALSE),0)</f>
        <v>0</v>
      </c>
      <c r="BC231" s="109">
        <f ca="1">IFERROR(VLOOKUP(E231-15,'Reeksen (N)'!$A$5:$D$234,4,FALSE),0)</f>
        <v>0</v>
      </c>
      <c r="BD231" s="67">
        <f ca="1">IF(E231-'Invoer gegevens (N)'!$C$17&lt;15,0,1)</f>
        <v>1</v>
      </c>
    </row>
    <row r="232" spans="1:57" x14ac:dyDescent="0.25">
      <c r="A232" s="59"/>
      <c r="B232" s="70">
        <f t="shared" si="62"/>
        <v>228</v>
      </c>
      <c r="C232" s="67">
        <f ca="1">IF(E232-'Invoer gegevens (N)'!$C$17&lt;0,0,1)</f>
        <v>1</v>
      </c>
      <c r="D232" s="68">
        <f t="shared" si="63"/>
        <v>227.5</v>
      </c>
      <c r="E232" s="108">
        <f ca="1">IF('Invoer gegevens (N)'!$C$16="","",E231+1)</f>
        <v>2246</v>
      </c>
      <c r="F232" s="84">
        <f ca="1">IF('Invoer gegevens (N)'!$C$17=E232,'Invoer gegevens (N)'!$C$10,IF(C232=1,K231,0))</f>
        <v>0</v>
      </c>
      <c r="G232" s="96">
        <f ca="1">IF(BD232&lt;1,F232*'Reeksen (N)'!C232,IF(C232&gt;=1,F232*BA232,0))</f>
        <v>0</v>
      </c>
      <c r="H232" s="84">
        <f ca="1">(1-('Invoer gegevens (N)'!$F$20/12))*F232*MIN(BA232,BC232)</f>
        <v>0</v>
      </c>
      <c r="I232" s="84">
        <f t="shared" ca="1" si="48"/>
        <v>0</v>
      </c>
      <c r="J232" s="84">
        <f ca="1">('Invoer gegevens (N)'!$F$20/12)*F231*MIN(BA232,BC232)</f>
        <v>0</v>
      </c>
      <c r="K232" s="97">
        <f t="shared" ca="1" si="53"/>
        <v>0</v>
      </c>
      <c r="L232" s="84">
        <f ca="1">IF('Invoer gegevens (N)'!$C$17=E232,0,IF(C232=1,Q231,0))</f>
        <v>0</v>
      </c>
      <c r="M232" s="96">
        <f t="shared" ca="1" si="49"/>
        <v>0</v>
      </c>
      <c r="N232" s="84">
        <f ca="1">(1-('Invoer gegevens (N)'!$F$20/12))*L232*MIN(BA232,BC232)</f>
        <v>0</v>
      </c>
      <c r="O232" s="84">
        <f t="shared" ca="1" si="50"/>
        <v>0</v>
      </c>
      <c r="P232" s="84">
        <f ca="1">('Invoer gegevens (N)'!$F$20/12)*L231*MIN(BA232,BC232)</f>
        <v>0</v>
      </c>
      <c r="Q232" s="84">
        <f t="shared" ca="1" si="54"/>
        <v>0</v>
      </c>
      <c r="R232" s="85">
        <f ca="1">IF('Invoer gegevens (N)'!$C$17=E232,'Invoer gegevens (N)'!$C$11,IF(C232=1,W231,0))</f>
        <v>0</v>
      </c>
      <c r="S232" s="86">
        <f t="shared" ca="1" si="51"/>
        <v>0</v>
      </c>
      <c r="T232" s="86">
        <f ca="1">(1-('Invoer gegevens (N)'!$F$20/12))*R232*MIN(BC232,BA232)</f>
        <v>0</v>
      </c>
      <c r="U232" s="86">
        <f ca="1">IF(BD232&lt;1,IF('Reeksen (N)'!AD232&lt;='Reeksen (N)'!AE232,R232*'Reeksen (N)'!C232,0),IF(BC232&gt;=BA232,0,IF('Reeksen (N)'!AD232&lt;='Reeksen (N)'!AE232,(BA232-BC232)*R232,0)))</f>
        <v>0</v>
      </c>
      <c r="V232" s="86">
        <f ca="1">IF(BD232&lt;1,IF('Reeksen (N)'!AD232&gt;'Reeksen (N)'!AE232,R232*'Reeksen (N)'!C232,0),IF(BC232&gt;=BA232,0,IF('Reeksen (N)'!AD232&gt;'Reeksen (N)'!AE232,(BA232-BC232)*R232,0)))</f>
        <v>0</v>
      </c>
      <c r="W232" s="218">
        <f t="shared" ca="1" si="55"/>
        <v>0</v>
      </c>
      <c r="X232" s="98">
        <f ca="1">IF('Invoer gegevens (N)'!$C$17=E232,'Invoer gegevens (N)'!$C$10-'Invoer gegevens (N)'!$C$11,IF(C232=1,AC231,0))</f>
        <v>0</v>
      </c>
      <c r="Y232" s="98">
        <f t="shared" ca="1" si="52"/>
        <v>0</v>
      </c>
      <c r="Z232" s="98">
        <f ca="1">(1-('Invoer gegevens (N)'!$F$20/12))*X232*MIN(BA232,BC232)</f>
        <v>0</v>
      </c>
      <c r="AA232" s="98">
        <f ca="1">IF(BD232&lt;1,IF('Reeksen (N)'!AD232&lt;='Reeksen (N)'!AE232,X232*'Reeksen (N)'!C232,0),IF(BC232&gt;=BA232,0,IF('Reeksen (N)'!AD232&lt;='Reeksen (N)'!AE232,(BA232-BC232)*X232,0)))</f>
        <v>0</v>
      </c>
      <c r="AB232" s="98">
        <f ca="1">IF(BD232&lt;1,IF('Reeksen (N)'!AD232&gt;'Reeksen (N)'!AE232,X232*'Reeksen (N)'!C232,0),IF(BC232&gt;=BA232,0,IF('Reeksen (N)'!AD232&gt;'Reeksen (N)'!AE232,(BA232-BC232)*X232,0)))</f>
        <v>0</v>
      </c>
      <c r="AC232" s="99">
        <f t="shared" ca="1" si="56"/>
        <v>0</v>
      </c>
      <c r="AD232" s="98">
        <f ca="1">IF('Invoer gegevens (N)'!$C$17=E232,R232,IF(C232=0,0,AE231))</f>
        <v>0</v>
      </c>
      <c r="AE232" s="98">
        <f t="shared" ca="1" si="57"/>
        <v>0</v>
      </c>
      <c r="AF232" s="98">
        <f ca="1">IF('Invoer gegevens (N)'!$C$17=E232,X232,IF(C232=0,0,AG231))</f>
        <v>0</v>
      </c>
      <c r="AG232" s="98">
        <f t="shared" ca="1" si="58"/>
        <v>0</v>
      </c>
      <c r="AH232" s="66"/>
      <c r="AI232" s="71">
        <f ca="1">IF(C232=1,'Reeksen (N)'!AI232*((F232+K232)/2)*12+'Reeksen (N)'!AD232*((L232+Q232)/2)*12,0)</f>
        <v>0</v>
      </c>
      <c r="AJ232" s="71">
        <f ca="1">-AI232*'Invoer gegevens (N)'!$F$28</f>
        <v>0</v>
      </c>
      <c r="AK232" s="71">
        <f t="shared" ca="1" si="59"/>
        <v>0</v>
      </c>
      <c r="AL232" s="71">
        <f ca="1">IF(C232=1,'Reeksen (N)'!AL232*((F232-G232+F232)/2)*12+'Reeksen (N)'!AM232*((L232-M232+L232)/2)*12,0)</f>
        <v>0</v>
      </c>
      <c r="AM232" s="71">
        <f ca="1">-AL232*'Invoer gegevens (N)'!$F$31</f>
        <v>0</v>
      </c>
      <c r="AN232" s="71">
        <f t="shared" ca="1" si="60"/>
        <v>0</v>
      </c>
      <c r="AO232" s="71">
        <f ca="1">IF(C232=1,(H232+J232+N232+P232)*'Reeksen (N)'!AN232,0)</f>
        <v>0</v>
      </c>
      <c r="AP232" s="71">
        <f ca="1">-IF(C232=1,(H232+J232+N232+P232)*'Hulp - basis'!$O$550*'Reeksen (N)'!H232,0)</f>
        <v>0</v>
      </c>
      <c r="AQ232" s="71">
        <f ca="1">-IF(C232=1,(F232+K232+L232+Q232)/2*'Invoer gegevens (N)'!$F$35*'Reeksen (N)'!J232,0)*2</f>
        <v>0</v>
      </c>
      <c r="AR232" s="71">
        <f ca="1">IF(BD232&lt;1,-IF(C232=1,(G232*'Invoer gegevens (N)'!$F$36)*'Reeksen (N)'!J232,0),0)</f>
        <v>0</v>
      </c>
      <c r="AS232" s="71">
        <f ca="1">-IF(C232=1,(F232+K232+L232+Q232)/2*'Invoer gegevens (N)'!$F$37*'Reeksen (N)'!L232,0)</f>
        <v>0</v>
      </c>
      <c r="AT232" s="71">
        <f ca="1">-IF(C232=1,IF(E232='Invoer gegevens (N)'!$C$17,'Invoer gegevens (N)'!$C$11,AD232)*'Reeksen (N)'!S232*'Invoer gegevens (N)'!$C$18*'Reeksen (N)'!P232,0)</f>
        <v>0</v>
      </c>
      <c r="AU232" s="71">
        <f ca="1">-IF(C232=1,(F232+K232+L232+Q232)/2*'Invoer gegevens (N)'!$F$38*'Reeksen (N)'!H232,0)</f>
        <v>0</v>
      </c>
      <c r="AV232" s="71">
        <v>0</v>
      </c>
      <c r="AW232" s="71">
        <f t="shared" ca="1" si="61"/>
        <v>0</v>
      </c>
      <c r="AX232" s="71">
        <f ca="1">IF(E232&lt;'Invoer gegevens (N)'!$C$17+15,0,IF(E232&gt;'Invoer gegevens (N)'!$C$17+215,0,AW232))</f>
        <v>0</v>
      </c>
      <c r="AY232" s="71">
        <f ca="1">AX232/(1+'Invoer gegevens (N)'!$F$18)^($AZ232-('Invoer gegevens (N)'!$C$17-'Invoer gegevens (N)'!$C$16))/(1+'Invoer gegevens (N)'!$C$39)^('Invoer gegevens (N)'!$C$17-'Invoer gegevens (N)'!$C$16)</f>
        <v>0</v>
      </c>
      <c r="AZ232" s="68">
        <f ca="1">IF(E232-'Invoer gegevens (N)'!$C$17-14.5&lt;0,0,E232-'Invoer gegevens (N)'!$C$17-14.5)</f>
        <v>212.5</v>
      </c>
      <c r="BA232" s="109">
        <f ca="1">IFERROR(VLOOKUP(E232-15,'Reeksen (N)'!$A$5:$D$234,2,FALSE),0)</f>
        <v>0</v>
      </c>
      <c r="BB232" s="109">
        <f ca="1">IFERROR(VLOOKUP(E232-15,'Reeksen (N)'!$A$5:$D$234,3,FALSE),0)</f>
        <v>0</v>
      </c>
      <c r="BC232" s="109">
        <f ca="1">IFERROR(VLOOKUP(E232-15,'Reeksen (N)'!$A$5:$D$234,4,FALSE),0)</f>
        <v>0</v>
      </c>
      <c r="BD232" s="67">
        <f ca="1">IF(E232-'Invoer gegevens (N)'!$C$17&lt;15,0,1)</f>
        <v>1</v>
      </c>
    </row>
    <row r="233" spans="1:57" x14ac:dyDescent="0.25">
      <c r="A233" s="59"/>
      <c r="B233" s="70">
        <f t="shared" si="62"/>
        <v>229</v>
      </c>
      <c r="C233" s="67">
        <f ca="1">IF(E233-'Invoer gegevens (N)'!$C$17&lt;0,0,1)</f>
        <v>1</v>
      </c>
      <c r="D233" s="68">
        <f t="shared" si="63"/>
        <v>228.5</v>
      </c>
      <c r="E233" s="108">
        <f ca="1">IF('Invoer gegevens (N)'!$C$16="","",E232+1)</f>
        <v>2247</v>
      </c>
      <c r="F233" s="84">
        <f ca="1">IF('Invoer gegevens (N)'!$C$17=E233,'Invoer gegevens (N)'!$C$10,IF(C233=1,K232,0))</f>
        <v>0</v>
      </c>
      <c r="G233" s="96">
        <f ca="1">IF(BD233&lt;1,F233*'Reeksen (N)'!C233,IF(C233&gt;=1,F233*BA233,0))</f>
        <v>0</v>
      </c>
      <c r="H233" s="84">
        <f ca="1">(1-('Invoer gegevens (N)'!$F$20/12))*F233*MIN(BA233,BC233)</f>
        <v>0</v>
      </c>
      <c r="I233" s="84">
        <f t="shared" ca="1" si="48"/>
        <v>0</v>
      </c>
      <c r="J233" s="84">
        <f ca="1">('Invoer gegevens (N)'!$F$20/12)*F232*MIN(BA233,BC233)</f>
        <v>0</v>
      </c>
      <c r="K233" s="97">
        <f t="shared" ca="1" si="53"/>
        <v>0</v>
      </c>
      <c r="L233" s="84">
        <f ca="1">IF('Invoer gegevens (N)'!$C$17=E233,0,IF(C233=1,Q232,0))</f>
        <v>0</v>
      </c>
      <c r="M233" s="96">
        <f t="shared" ca="1" si="49"/>
        <v>0</v>
      </c>
      <c r="N233" s="84">
        <f ca="1">(1-('Invoer gegevens (N)'!$F$20/12))*L233*MIN(BA233,BC233)</f>
        <v>0</v>
      </c>
      <c r="O233" s="84">
        <f t="shared" ca="1" si="50"/>
        <v>0</v>
      </c>
      <c r="P233" s="84">
        <f ca="1">('Invoer gegevens (N)'!$F$20/12)*L232*MIN(BA233,BC233)</f>
        <v>0</v>
      </c>
      <c r="Q233" s="84">
        <f t="shared" ca="1" si="54"/>
        <v>0</v>
      </c>
      <c r="R233" s="85">
        <f ca="1">IF('Invoer gegevens (N)'!$C$17=E233,'Invoer gegevens (N)'!$C$11,IF(C233=1,W232,0))</f>
        <v>0</v>
      </c>
      <c r="S233" s="86">
        <f t="shared" ca="1" si="51"/>
        <v>0</v>
      </c>
      <c r="T233" s="86">
        <f ca="1">(1-('Invoer gegevens (N)'!$F$20/12))*R233*MIN(BC233,BA233)</f>
        <v>0</v>
      </c>
      <c r="U233" s="86">
        <f ca="1">IF(BD233&lt;1,IF('Reeksen (N)'!AD233&lt;='Reeksen (N)'!AE233,R233*'Reeksen (N)'!C233,0),IF(BC233&gt;=BA233,0,IF('Reeksen (N)'!AD233&lt;='Reeksen (N)'!AE233,(BA233-BC233)*R233,0)))</f>
        <v>0</v>
      </c>
      <c r="V233" s="86">
        <f ca="1">IF(BD233&lt;1,IF('Reeksen (N)'!AD233&gt;'Reeksen (N)'!AE233,R233*'Reeksen (N)'!C233,0),IF(BC233&gt;=BA233,0,IF('Reeksen (N)'!AD233&gt;'Reeksen (N)'!AE233,(BA233-BC233)*R233,0)))</f>
        <v>0</v>
      </c>
      <c r="W233" s="218">
        <f t="shared" ca="1" si="55"/>
        <v>0</v>
      </c>
      <c r="X233" s="98">
        <f ca="1">IF('Invoer gegevens (N)'!$C$17=E233,'Invoer gegevens (N)'!$C$10-'Invoer gegevens (N)'!$C$11,IF(C233=1,AC232,0))</f>
        <v>0</v>
      </c>
      <c r="Y233" s="98">
        <f t="shared" ca="1" si="52"/>
        <v>0</v>
      </c>
      <c r="Z233" s="98">
        <f ca="1">(1-('Invoer gegevens (N)'!$F$20/12))*X233*MIN(BA233,BC233)</f>
        <v>0</v>
      </c>
      <c r="AA233" s="98">
        <f ca="1">IF(BD233&lt;1,IF('Reeksen (N)'!AD233&lt;='Reeksen (N)'!AE233,X233*'Reeksen (N)'!C233,0),IF(BC233&gt;=BA233,0,IF('Reeksen (N)'!AD233&lt;='Reeksen (N)'!AE233,(BA233-BC233)*X233,0)))</f>
        <v>0</v>
      </c>
      <c r="AB233" s="98">
        <f ca="1">IF(BD233&lt;1,IF('Reeksen (N)'!AD233&gt;'Reeksen (N)'!AE233,X233*'Reeksen (N)'!C233,0),IF(BC233&gt;=BA233,0,IF('Reeksen (N)'!AD233&gt;'Reeksen (N)'!AE233,(BA233-BC233)*X233,0)))</f>
        <v>0</v>
      </c>
      <c r="AC233" s="99">
        <f t="shared" ca="1" si="56"/>
        <v>0</v>
      </c>
      <c r="AD233" s="98">
        <f ca="1">IF('Invoer gegevens (N)'!$C$17=E233,R233,IF(C233=0,0,AE232))</f>
        <v>0</v>
      </c>
      <c r="AE233" s="98">
        <f t="shared" ca="1" si="57"/>
        <v>0</v>
      </c>
      <c r="AF233" s="98">
        <f ca="1">IF('Invoer gegevens (N)'!$C$17=E233,X233,IF(C233=0,0,AG232))</f>
        <v>0</v>
      </c>
      <c r="AG233" s="98">
        <f t="shared" ca="1" si="58"/>
        <v>0</v>
      </c>
      <c r="AH233" s="66"/>
      <c r="AI233" s="71">
        <f ca="1">IF(C233=1,'Reeksen (N)'!AI233*((F233+K233)/2)*12+'Reeksen (N)'!AD233*((L233+Q233)/2)*12,0)</f>
        <v>0</v>
      </c>
      <c r="AJ233" s="71">
        <f ca="1">-AI233*'Invoer gegevens (N)'!$F$28</f>
        <v>0</v>
      </c>
      <c r="AK233" s="71">
        <f t="shared" ca="1" si="59"/>
        <v>0</v>
      </c>
      <c r="AL233" s="71">
        <f ca="1">IF(C233=1,'Reeksen (N)'!AL233*((F233-G233+F233)/2)*12+'Reeksen (N)'!AM233*((L233-M233+L233)/2)*12,0)</f>
        <v>0</v>
      </c>
      <c r="AM233" s="71">
        <f ca="1">-AL233*'Invoer gegevens (N)'!$F$31</f>
        <v>0</v>
      </c>
      <c r="AN233" s="71">
        <f t="shared" ca="1" si="60"/>
        <v>0</v>
      </c>
      <c r="AO233" s="71">
        <f ca="1">IF(C233=1,(H233+J233+N233+P233)*'Reeksen (N)'!AN233,0)</f>
        <v>0</v>
      </c>
      <c r="AP233" s="71">
        <f ca="1">-IF(C233=1,(H233+J233+N233+P233)*'Hulp - basis'!$O$550*'Reeksen (N)'!H233,0)</f>
        <v>0</v>
      </c>
      <c r="AQ233" s="71">
        <f ca="1">-IF(C233=1,(F233+K233+L233+Q233)/2*'Invoer gegevens (N)'!$F$35*'Reeksen (N)'!J233,0)*2</f>
        <v>0</v>
      </c>
      <c r="AR233" s="71">
        <f ca="1">IF(BD233&lt;1,-IF(C233=1,(G233*'Invoer gegevens (N)'!$F$36)*'Reeksen (N)'!J233,0),0)</f>
        <v>0</v>
      </c>
      <c r="AS233" s="71">
        <f ca="1">-IF(C233=1,(F233+K233+L233+Q233)/2*'Invoer gegevens (N)'!$F$37*'Reeksen (N)'!L233,0)</f>
        <v>0</v>
      </c>
      <c r="AT233" s="71">
        <f ca="1">-IF(C233=1,IF(E233='Invoer gegevens (N)'!$C$17,'Invoer gegevens (N)'!$C$11,AD233)*'Reeksen (N)'!S233*'Invoer gegevens (N)'!$C$18*'Reeksen (N)'!P233,0)</f>
        <v>0</v>
      </c>
      <c r="AU233" s="71">
        <f ca="1">-IF(C233=1,(F233+K233+L233+Q233)/2*'Invoer gegevens (N)'!$F$38*'Reeksen (N)'!H233,0)</f>
        <v>0</v>
      </c>
      <c r="AV233" s="71">
        <v>0</v>
      </c>
      <c r="AW233" s="71">
        <f t="shared" ca="1" si="61"/>
        <v>0</v>
      </c>
      <c r="AX233" s="71">
        <f ca="1">IF(E233&lt;'Invoer gegevens (N)'!$C$17+15,0,IF(E233&gt;'Invoer gegevens (N)'!$C$17+215,0,AW233))</f>
        <v>0</v>
      </c>
      <c r="AY233" s="71">
        <f ca="1">AX233/(1+'Invoer gegevens (N)'!$F$18)^($AZ233-('Invoer gegevens (N)'!$C$17-'Invoer gegevens (N)'!$C$16))/(1+'Invoer gegevens (N)'!$C$39)^('Invoer gegevens (N)'!$C$17-'Invoer gegevens (N)'!$C$16)</f>
        <v>0</v>
      </c>
      <c r="AZ233" s="68">
        <f ca="1">IF(E233-'Invoer gegevens (N)'!$C$17-14.5&lt;0,0,E233-'Invoer gegevens (N)'!$C$17-14.5)</f>
        <v>213.5</v>
      </c>
      <c r="BA233" s="109">
        <f ca="1">IFERROR(VLOOKUP(E233-15,'Reeksen (N)'!$A$5:$D$234,2,FALSE),0)</f>
        <v>0</v>
      </c>
      <c r="BB233" s="109">
        <f ca="1">IFERROR(VLOOKUP(E233-15,'Reeksen (N)'!$A$5:$D$234,3,FALSE),0)</f>
        <v>0</v>
      </c>
      <c r="BC233" s="109">
        <f ca="1">IFERROR(VLOOKUP(E233-15,'Reeksen (N)'!$A$5:$D$234,4,FALSE),0)</f>
        <v>0</v>
      </c>
      <c r="BD233" s="67">
        <f ca="1">IF(E233-'Invoer gegevens (N)'!$C$17&lt;15,0,1)</f>
        <v>1</v>
      </c>
    </row>
    <row r="234" spans="1:57" x14ac:dyDescent="0.25">
      <c r="A234" s="59"/>
      <c r="B234" s="70">
        <f t="shared" si="62"/>
        <v>230</v>
      </c>
      <c r="C234" s="67">
        <f ca="1">IF(E234-'Invoer gegevens (N)'!$C$17&lt;0,0,1)</f>
        <v>1</v>
      </c>
      <c r="D234" s="68">
        <f t="shared" si="63"/>
        <v>229.5</v>
      </c>
      <c r="E234" s="108">
        <f ca="1">IF('Invoer gegevens (N)'!$C$16="","",E233+1)</f>
        <v>2248</v>
      </c>
      <c r="F234" s="84">
        <f ca="1">IF('Invoer gegevens (N)'!$C$17=E234,'Invoer gegevens (N)'!$C$10,IF(C234=1,K233,0))</f>
        <v>0</v>
      </c>
      <c r="G234" s="96">
        <f ca="1">IF(BD234&lt;1,F234*'Reeksen (N)'!C234,IF(C234&gt;=1,F234*BA234,0))</f>
        <v>0</v>
      </c>
      <c r="H234" s="84">
        <f ca="1">(1-('Invoer gegevens (N)'!$F$20/12))*F234*MIN(BA234,BC234)</f>
        <v>0</v>
      </c>
      <c r="I234" s="84">
        <f t="shared" ca="1" si="48"/>
        <v>0</v>
      </c>
      <c r="J234" s="84">
        <f ca="1">('Invoer gegevens (N)'!$F$20/12)*F233*MIN(BA234,BC234)</f>
        <v>0</v>
      </c>
      <c r="K234" s="97">
        <f t="shared" ca="1" si="53"/>
        <v>0</v>
      </c>
      <c r="L234" s="84">
        <f ca="1">IF('Invoer gegevens (N)'!$C$17=E234,0,IF(C234=1,Q233,0))</f>
        <v>0</v>
      </c>
      <c r="M234" s="96">
        <f t="shared" ca="1" si="49"/>
        <v>0</v>
      </c>
      <c r="N234" s="84">
        <f ca="1">(1-('Invoer gegevens (N)'!$F$20/12))*L234*MIN(BA234,BC234)</f>
        <v>0</v>
      </c>
      <c r="O234" s="84">
        <f t="shared" ca="1" si="50"/>
        <v>0</v>
      </c>
      <c r="P234" s="84">
        <f ca="1">('Invoer gegevens (N)'!$F$20/12)*L233*MIN(BA234,BC234)</f>
        <v>0</v>
      </c>
      <c r="Q234" s="84">
        <f t="shared" ca="1" si="54"/>
        <v>0</v>
      </c>
      <c r="R234" s="85">
        <f ca="1">IF('Invoer gegevens (N)'!$C$17=E234,'Invoer gegevens (N)'!$C$11,IF(C234=1,W233,0))</f>
        <v>0</v>
      </c>
      <c r="S234" s="86">
        <f t="shared" ca="1" si="51"/>
        <v>0</v>
      </c>
      <c r="T234" s="86">
        <f ca="1">(1-('Invoer gegevens (N)'!$F$20/12))*R234*MIN(BC234,BA234)</f>
        <v>0</v>
      </c>
      <c r="U234" s="86">
        <f ca="1">IF(BD234&lt;1,IF('Reeksen (N)'!AD234&lt;='Reeksen (N)'!AE234,R234*'Reeksen (N)'!C234,0),IF(BC234&gt;=BA234,0,IF('Reeksen (N)'!AD234&lt;='Reeksen (N)'!AE234,(BA234-BC234)*R234,0)))</f>
        <v>0</v>
      </c>
      <c r="V234" s="86">
        <f ca="1">IF(BD234&lt;1,IF('Reeksen (N)'!AD234&gt;'Reeksen (N)'!AE234,R234*'Reeksen (N)'!C234,0),IF(BC234&gt;=BA234,0,IF('Reeksen (N)'!AD234&gt;'Reeksen (N)'!AE234,(BA234-BC234)*R234,0)))</f>
        <v>0</v>
      </c>
      <c r="W234" s="218">
        <f t="shared" ca="1" si="55"/>
        <v>0</v>
      </c>
      <c r="X234" s="98">
        <f ca="1">IF('Invoer gegevens (N)'!$C$17=E234,'Invoer gegevens (N)'!$C$10-'Invoer gegevens (N)'!$C$11,IF(C234=1,AC233,0))</f>
        <v>0</v>
      </c>
      <c r="Y234" s="98">
        <f t="shared" ca="1" si="52"/>
        <v>0</v>
      </c>
      <c r="Z234" s="98">
        <f ca="1">(1-('Invoer gegevens (N)'!$F$20/12))*X234*MIN(BA234,BC234)</f>
        <v>0</v>
      </c>
      <c r="AA234" s="98">
        <f ca="1">IF(BD234&lt;1,IF('Reeksen (N)'!AD234&lt;='Reeksen (N)'!AE234,X234*'Reeksen (N)'!C234,0),IF(BC234&gt;=BA234,0,IF('Reeksen (N)'!AD234&lt;='Reeksen (N)'!AE234,(BA234-BC234)*X234,0)))</f>
        <v>0</v>
      </c>
      <c r="AB234" s="98">
        <f ca="1">IF(BD234&lt;1,IF('Reeksen (N)'!AD234&gt;'Reeksen (N)'!AE234,X234*'Reeksen (N)'!C234,0),IF(BC234&gt;=BA234,0,IF('Reeksen (N)'!AD234&gt;'Reeksen (N)'!AE234,(BA234-BC234)*X234,0)))</f>
        <v>0</v>
      </c>
      <c r="AC234" s="99">
        <f t="shared" ca="1" si="56"/>
        <v>0</v>
      </c>
      <c r="AD234" s="98">
        <f ca="1">IF('Invoer gegevens (N)'!$C$17=E234,R234,IF(C234=0,0,AE233))</f>
        <v>0</v>
      </c>
      <c r="AE234" s="98">
        <f t="shared" ca="1" si="57"/>
        <v>0</v>
      </c>
      <c r="AF234" s="98">
        <f ca="1">IF('Invoer gegevens (N)'!$C$17=E234,X234,IF(C234=0,0,AG233))</f>
        <v>0</v>
      </c>
      <c r="AG234" s="98">
        <f t="shared" ca="1" si="58"/>
        <v>0</v>
      </c>
      <c r="AH234" s="66"/>
      <c r="AI234" s="71">
        <f ca="1">IF(C234=1,'Reeksen (N)'!AI234*((F234+K234)/2)*12+'Reeksen (N)'!AD234*((L234+Q234)/2)*12,0)</f>
        <v>0</v>
      </c>
      <c r="AJ234" s="71">
        <f ca="1">-AI234*'Invoer gegevens (N)'!$F$28</f>
        <v>0</v>
      </c>
      <c r="AK234" s="71">
        <f t="shared" ca="1" si="59"/>
        <v>0</v>
      </c>
      <c r="AL234" s="71">
        <f ca="1">IF(C234=1,'Reeksen (N)'!AL234*((F234-G234+F234)/2)*12+'Reeksen (N)'!AM234*((L234-M234+L234)/2)*12,0)</f>
        <v>0</v>
      </c>
      <c r="AM234" s="71">
        <f ca="1">-AL234*'Invoer gegevens (N)'!$F$31</f>
        <v>0</v>
      </c>
      <c r="AN234" s="71">
        <f t="shared" ca="1" si="60"/>
        <v>0</v>
      </c>
      <c r="AO234" s="71">
        <f ca="1">IF(C234=1,(H234+J234+N234+P234)*'Reeksen (N)'!AN234,0)</f>
        <v>0</v>
      </c>
      <c r="AP234" s="71">
        <f ca="1">-IF(C234=1,(H234+J234+N234+P234)*'Hulp - basis'!$O$550*'Reeksen (N)'!H234,0)</f>
        <v>0</v>
      </c>
      <c r="AQ234" s="71">
        <f ca="1">-IF(C234=1,(F234+K234+L234+Q234)/2*'Invoer gegevens (N)'!$F$35*'Reeksen (N)'!J234,0)*2</f>
        <v>0</v>
      </c>
      <c r="AR234" s="71">
        <f ca="1">IF(BD234&lt;1,-IF(C234=1,(G234*'Invoer gegevens (N)'!$F$36)*'Reeksen (N)'!J234,0),0)</f>
        <v>0</v>
      </c>
      <c r="AS234" s="71">
        <f ca="1">-IF(C234=1,(F234+K234+L234+Q234)/2*'Invoer gegevens (N)'!$F$37*'Reeksen (N)'!L234,0)</f>
        <v>0</v>
      </c>
      <c r="AT234" s="71">
        <f ca="1">-IF(C234=1,IF(E234='Invoer gegevens (N)'!$C$17,'Invoer gegevens (N)'!$C$11,AD234)*'Reeksen (N)'!S234*'Invoer gegevens (N)'!$C$18*'Reeksen (N)'!P234,0)</f>
        <v>0</v>
      </c>
      <c r="AU234" s="71">
        <f ca="1">-IF(C234=1,(F234+K234+L234+Q234)/2*'Invoer gegevens (N)'!$F$38*'Reeksen (N)'!H234,0)</f>
        <v>0</v>
      </c>
      <c r="AV234" s="71">
        <v>0</v>
      </c>
      <c r="AW234" s="71">
        <f t="shared" ca="1" si="61"/>
        <v>0</v>
      </c>
      <c r="AX234" s="71">
        <f ca="1">IF(E234&lt;'Invoer gegevens (N)'!$C$17+15,0,IF(E234&gt;'Invoer gegevens (N)'!$C$17+215,0,AW234))</f>
        <v>0</v>
      </c>
      <c r="AY234" s="71">
        <f ca="1">AX234/(1+'Invoer gegevens (N)'!$F$18)^($AZ234-('Invoer gegevens (N)'!$C$17-'Invoer gegevens (N)'!$C$16))/(1+'Invoer gegevens (N)'!$C$39)^('Invoer gegevens (N)'!$C$17-'Invoer gegevens (N)'!$C$16)</f>
        <v>0</v>
      </c>
      <c r="AZ234" s="68">
        <f ca="1">IF(E234-'Invoer gegevens (N)'!$C$17-14.5&lt;0,0,E234-'Invoer gegevens (N)'!$C$17-14.5)</f>
        <v>214.5</v>
      </c>
      <c r="BA234" s="109">
        <f ca="1">IFERROR(VLOOKUP(E234-15,'Reeksen (N)'!$A$5:$D$234,2,FALSE),0)</f>
        <v>0</v>
      </c>
      <c r="BB234" s="109">
        <f ca="1">IFERROR(VLOOKUP(E234-15,'Reeksen (N)'!$A$5:$D$234,3,FALSE),0)</f>
        <v>0</v>
      </c>
      <c r="BC234" s="109">
        <f ca="1">IFERROR(VLOOKUP(E234-15,'Reeksen (N)'!$A$5:$D$234,4,FALSE),0)</f>
        <v>0</v>
      </c>
      <c r="BD234" s="67">
        <f ca="1">IF(E234-'Invoer gegevens (N)'!$C$17&lt;15,0,1)</f>
        <v>1</v>
      </c>
    </row>
    <row r="235" spans="1:57" x14ac:dyDescent="0.25">
      <c r="A235" s="59"/>
      <c r="B235" s="70"/>
      <c r="C235" s="67"/>
      <c r="D235" s="68"/>
      <c r="E235" s="69"/>
      <c r="F235" s="84"/>
      <c r="G235" s="83"/>
      <c r="H235" s="84"/>
      <c r="I235" s="84"/>
      <c r="J235" s="84"/>
      <c r="K235" s="84"/>
      <c r="L235" s="84"/>
      <c r="M235" s="83"/>
      <c r="N235" s="84"/>
      <c r="O235" s="84"/>
      <c r="P235" s="84"/>
      <c r="Q235" s="84"/>
      <c r="R235" s="86"/>
      <c r="S235" s="86"/>
      <c r="T235" s="86"/>
      <c r="U235" s="86"/>
      <c r="V235" s="86"/>
      <c r="W235" s="86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66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  <c r="BA235" s="105"/>
      <c r="BB235" s="105"/>
      <c r="BC235" s="105"/>
      <c r="BD235" s="105"/>
      <c r="BE235" s="105"/>
    </row>
    <row r="236" spans="1:57" x14ac:dyDescent="0.25">
      <c r="A236" s="59"/>
      <c r="B236" s="70"/>
      <c r="C236" s="67"/>
      <c r="D236" s="68"/>
      <c r="E236" s="69"/>
      <c r="F236" s="84"/>
      <c r="G236" s="83"/>
      <c r="H236" s="84"/>
      <c r="I236" s="84"/>
      <c r="J236" s="84"/>
      <c r="K236" s="84"/>
      <c r="L236" s="84"/>
      <c r="M236" s="83"/>
      <c r="N236" s="84"/>
      <c r="O236" s="84"/>
      <c r="P236" s="84"/>
      <c r="Q236" s="84"/>
      <c r="R236" s="86"/>
      <c r="S236" s="86"/>
      <c r="T236" s="86"/>
      <c r="U236" s="86"/>
      <c r="V236" s="86"/>
      <c r="W236" s="86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66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  <c r="BA236" s="105"/>
      <c r="BB236" s="105"/>
      <c r="BC236" s="105"/>
      <c r="BD236" s="105"/>
      <c r="BE236" s="105"/>
    </row>
    <row r="237" spans="1:57" x14ac:dyDescent="0.25">
      <c r="A237" s="59"/>
      <c r="B237" s="70"/>
      <c r="C237" s="67"/>
      <c r="D237" s="68"/>
      <c r="E237" s="69"/>
      <c r="F237" s="84"/>
      <c r="G237" s="83"/>
      <c r="H237" s="84"/>
      <c r="I237" s="84"/>
      <c r="J237" s="84"/>
      <c r="K237" s="84"/>
      <c r="L237" s="84"/>
      <c r="M237" s="83"/>
      <c r="N237" s="84"/>
      <c r="O237" s="84"/>
      <c r="P237" s="84"/>
      <c r="Q237" s="84"/>
      <c r="R237" s="86"/>
      <c r="S237" s="86"/>
      <c r="T237" s="86"/>
      <c r="U237" s="86"/>
      <c r="V237" s="86"/>
      <c r="W237" s="86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66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  <c r="BA237" s="105"/>
      <c r="BB237" s="105"/>
      <c r="BC237" s="105"/>
      <c r="BD237" s="105"/>
      <c r="BE237" s="105"/>
    </row>
    <row r="238" spans="1:5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</row>
    <row r="239" spans="1:5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</row>
    <row r="240" spans="1:5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</row>
    <row r="241" spans="1:5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</row>
    <row r="242" spans="1:5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</row>
    <row r="243" spans="1:5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</row>
    <row r="244" spans="1:5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</row>
  </sheetData>
  <mergeCells count="31"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W3:W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2:K2"/>
    <mergeCell ref="L2:Q2"/>
    <mergeCell ref="R2:W2"/>
    <mergeCell ref="X2:AC2"/>
    <mergeCell ref="AD2:AG2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0" orientation="portrait" horizontalDpi="0" verticalDpi="0" copies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/>
  <dimension ref="A1:AZ252"/>
  <sheetViews>
    <sheetView showGridLines="0" topLeftCell="W1" workbookViewId="0">
      <selection activeCell="AJ7" sqref="AJ7"/>
    </sheetView>
  </sheetViews>
  <sheetFormatPr defaultRowHeight="15" x14ac:dyDescent="0.25"/>
  <cols>
    <col min="1" max="1" width="1.5703125" customWidth="1"/>
    <col min="2" max="2" width="4.85546875" customWidth="1"/>
    <col min="3" max="4" width="6" customWidth="1"/>
    <col min="5" max="6" width="6.5703125" customWidth="1"/>
    <col min="7" max="7" width="8.7109375" customWidth="1"/>
    <col min="8" max="8" width="11.5703125" customWidth="1"/>
    <col min="9" max="9" width="9.28515625" customWidth="1"/>
    <col min="10" max="10" width="9.7109375" customWidth="1"/>
    <col min="11" max="11" width="10.42578125" customWidth="1"/>
    <col min="12" max="14" width="8.7109375" customWidth="1"/>
    <col min="15" max="15" width="10.5703125" customWidth="1"/>
    <col min="16" max="16" width="9.85546875" customWidth="1"/>
    <col min="17" max="17" width="8.7109375" customWidth="1"/>
    <col min="18" max="18" width="10.28515625" customWidth="1"/>
    <col min="19" max="19" width="17" bestFit="1" customWidth="1"/>
    <col min="20" max="21" width="10.42578125" customWidth="1"/>
    <col min="22" max="22" width="14.140625" customWidth="1"/>
    <col min="23" max="28" width="8.85546875" customWidth="1"/>
    <col min="29" max="29" width="9.7109375" customWidth="1"/>
    <col min="30" max="31" width="9.5703125" customWidth="1"/>
    <col min="32" max="32" width="10.7109375" customWidth="1"/>
    <col min="33" max="33" width="9.5703125" customWidth="1"/>
    <col min="34" max="34" width="3.140625" customWidth="1"/>
    <col min="35" max="35" width="12.85546875" customWidth="1"/>
    <col min="36" max="36" width="10" customWidth="1"/>
    <col min="37" max="40" width="12.7109375" customWidth="1"/>
    <col min="41" max="41" width="11.85546875" bestFit="1" customWidth="1"/>
    <col min="42" max="42" width="9.85546875" bestFit="1" customWidth="1"/>
    <col min="43" max="43" width="12.5703125" customWidth="1"/>
    <col min="44" max="44" width="10.7109375" customWidth="1"/>
    <col min="45" max="45" width="10.85546875" customWidth="1"/>
    <col min="46" max="46" width="12.42578125" customWidth="1"/>
    <col min="47" max="47" width="16.42578125" bestFit="1" customWidth="1"/>
    <col min="48" max="48" width="16.42578125" customWidth="1"/>
    <col min="49" max="49" width="12.28515625" customWidth="1"/>
    <col min="50" max="52" width="14.42578125" bestFit="1" customWidth="1"/>
  </cols>
  <sheetData>
    <row r="1" spans="1:52" ht="15.75" x14ac:dyDescent="0.25">
      <c r="A1" s="89" t="s">
        <v>720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</row>
    <row r="2" spans="1:52" x14ac:dyDescent="0.25">
      <c r="A2" s="59"/>
      <c r="B2" s="70"/>
      <c r="C2" s="70"/>
      <c r="D2" s="70"/>
      <c r="E2" s="70"/>
      <c r="F2" s="397" t="s">
        <v>721</v>
      </c>
      <c r="G2" s="398"/>
      <c r="H2" s="398"/>
      <c r="I2" s="398"/>
      <c r="J2" s="398"/>
      <c r="K2" s="399"/>
      <c r="L2" s="400" t="s">
        <v>722</v>
      </c>
      <c r="M2" s="401"/>
      <c r="N2" s="401"/>
      <c r="O2" s="401"/>
      <c r="P2" s="401"/>
      <c r="Q2" s="402"/>
      <c r="R2" s="397" t="s">
        <v>666</v>
      </c>
      <c r="S2" s="398"/>
      <c r="T2" s="398"/>
      <c r="U2" s="398"/>
      <c r="V2" s="398"/>
      <c r="W2" s="399"/>
      <c r="X2" s="397" t="s">
        <v>667</v>
      </c>
      <c r="Y2" s="398"/>
      <c r="Z2" s="398"/>
      <c r="AA2" s="398"/>
      <c r="AB2" s="398"/>
      <c r="AC2" s="399"/>
      <c r="AD2" s="397" t="s">
        <v>700</v>
      </c>
      <c r="AE2" s="398"/>
      <c r="AF2" s="398"/>
      <c r="AG2" s="398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2" x14ac:dyDescent="0.25">
      <c r="A3" s="59"/>
      <c r="B3" s="91" t="s">
        <v>668</v>
      </c>
      <c r="C3" s="91" t="s">
        <v>669</v>
      </c>
      <c r="D3" s="91" t="s">
        <v>669</v>
      </c>
      <c r="E3" s="91" t="s">
        <v>670</v>
      </c>
      <c r="F3" s="404" t="s">
        <v>723</v>
      </c>
      <c r="G3" s="403" t="s">
        <v>724</v>
      </c>
      <c r="H3" s="403" t="s">
        <v>725</v>
      </c>
      <c r="I3" s="403" t="s">
        <v>726</v>
      </c>
      <c r="J3" s="403" t="s">
        <v>727</v>
      </c>
      <c r="K3" s="93" t="s">
        <v>671</v>
      </c>
      <c r="L3" s="405" t="s">
        <v>723</v>
      </c>
      <c r="M3" s="406" t="s">
        <v>724</v>
      </c>
      <c r="N3" s="406" t="s">
        <v>725</v>
      </c>
      <c r="O3" s="406" t="s">
        <v>726</v>
      </c>
      <c r="P3" s="406" t="s">
        <v>728</v>
      </c>
      <c r="Q3" s="407" t="s">
        <v>729</v>
      </c>
      <c r="R3" s="405" t="s">
        <v>730</v>
      </c>
      <c r="S3" s="403" t="s">
        <v>724</v>
      </c>
      <c r="T3" s="403" t="s">
        <v>731</v>
      </c>
      <c r="U3" s="403" t="s">
        <v>732</v>
      </c>
      <c r="V3" s="403" t="s">
        <v>733</v>
      </c>
      <c r="W3" s="407" t="s">
        <v>730</v>
      </c>
      <c r="X3" s="406" t="s">
        <v>734</v>
      </c>
      <c r="Y3" s="406" t="s">
        <v>724</v>
      </c>
      <c r="Z3" s="406" t="s">
        <v>731</v>
      </c>
      <c r="AA3" s="406" t="s">
        <v>732</v>
      </c>
      <c r="AB3" s="406" t="s">
        <v>733</v>
      </c>
      <c r="AC3" s="407" t="s">
        <v>734</v>
      </c>
      <c r="AD3" s="408" t="s">
        <v>703</v>
      </c>
      <c r="AE3" s="403" t="s">
        <v>735</v>
      </c>
      <c r="AF3" s="403" t="s">
        <v>736</v>
      </c>
      <c r="AG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62" t="s">
        <v>677</v>
      </c>
      <c r="AX3" s="62" t="s">
        <v>677</v>
      </c>
      <c r="AY3" s="62" t="s">
        <v>679</v>
      </c>
      <c r="AZ3" s="62" t="s">
        <v>738</v>
      </c>
    </row>
    <row r="4" spans="1:52" x14ac:dyDescent="0.25">
      <c r="A4" s="59"/>
      <c r="B4" s="91"/>
      <c r="C4" s="91" t="s">
        <v>682</v>
      </c>
      <c r="D4" s="91" t="s">
        <v>682</v>
      </c>
      <c r="E4" s="91"/>
      <c r="F4" s="404"/>
      <c r="G4" s="403"/>
      <c r="H4" s="403"/>
      <c r="I4" s="403"/>
      <c r="J4" s="403"/>
      <c r="K4" s="93" t="s">
        <v>737</v>
      </c>
      <c r="L4" s="405"/>
      <c r="M4" s="406"/>
      <c r="N4" s="406"/>
      <c r="O4" s="406"/>
      <c r="P4" s="406"/>
      <c r="Q4" s="407"/>
      <c r="R4" s="405"/>
      <c r="S4" s="403"/>
      <c r="T4" s="403"/>
      <c r="U4" s="403"/>
      <c r="V4" s="403"/>
      <c r="W4" s="407"/>
      <c r="X4" s="406"/>
      <c r="Y4" s="406"/>
      <c r="Z4" s="406"/>
      <c r="AA4" s="406"/>
      <c r="AB4" s="406"/>
      <c r="AC4" s="407"/>
      <c r="AD4" s="408"/>
      <c r="AE4" s="403"/>
      <c r="AF4" s="403"/>
      <c r="AG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689</v>
      </c>
      <c r="AZ4" s="62" t="s">
        <v>689</v>
      </c>
    </row>
    <row r="5" spans="1:52" x14ac:dyDescent="0.25">
      <c r="A5" s="59"/>
      <c r="B5" s="66">
        <v>1</v>
      </c>
      <c r="C5" s="67">
        <f ca="1">IF(E5-'Invoer gegevens'!$C$17&lt;0,0,1)</f>
        <v>1</v>
      </c>
      <c r="D5" s="68">
        <v>0.5</v>
      </c>
      <c r="E5" s="69">
        <f ca="1">IF('Invoer gegevens'!$C$16="","",'Invoer gegevens'!$C$16)</f>
        <v>2019</v>
      </c>
      <c r="F5" s="84">
        <f ca="1">IF('Invoer gegevens'!$C$17=E5,'Invoer gegevens'!$C$10,IF(C5=1,K4,0))</f>
        <v>0</v>
      </c>
      <c r="G5" s="96">
        <f ca="1">IF(C5&gt;=1,F5*VLOOKUP(E5,Reeksen!$A$5:$B$76,2),0)</f>
        <v>0</v>
      </c>
      <c r="H5" s="84">
        <f ca="1">(1-('Invoer gegevens'!$F$20/12))*F5*MIN(Reeksen!B5,Reeksen!D5)</f>
        <v>0</v>
      </c>
      <c r="I5" s="84">
        <f>IF(Reeksen!D5&lt;Reeksen!B5,(Reeksen!B5-Reeksen!D5)*F5,0)</f>
        <v>0</v>
      </c>
      <c r="J5" s="84">
        <f>('Invoer gegevens'!$F$20/12)*F4*MIN(Reeksen!B4,Reeksen!D4)</f>
        <v>0</v>
      </c>
      <c r="K5" s="97">
        <f ca="1">F5-G5</f>
        <v>0</v>
      </c>
      <c r="L5" s="84">
        <f ca="1">IF('Invoer gegevens'!$C$17=E5,0,IF(C5=1,Q4,0))</f>
        <v>0</v>
      </c>
      <c r="M5" s="96">
        <f ca="1">IF(C5&gt;=1,L5*VLOOKUP(E5,Reeksen!$A$5:$B$76,2),0)</f>
        <v>0</v>
      </c>
      <c r="N5" s="84">
        <f ca="1">(1-('Invoer gegevens'!$F$20/12))*L5*MIN(Reeksen!B5,Reeksen!D5)</f>
        <v>0</v>
      </c>
      <c r="O5" s="84">
        <f>IF(Reeksen!D5&lt;Reeksen!B5,(Reeksen!B5-Reeksen!D5)*L5,0)</f>
        <v>0</v>
      </c>
      <c r="P5" s="84">
        <f>('Invoer gegevens'!$F$20/12)*L4*MIN(Reeksen!B4,Reeksen!D4)</f>
        <v>0</v>
      </c>
      <c r="Q5" s="84">
        <f ca="1">L5-M5+I5+O5</f>
        <v>0</v>
      </c>
      <c r="R5" s="82">
        <f ca="1">IF('Invoer gegevens'!$C$17=E5,'Invoer gegevens'!$C$11,IF(C5=1,W4,0))</f>
        <v>0</v>
      </c>
      <c r="S5" s="86">
        <f ca="1">IF(C5&gt;=1,R5*VLOOKUP(E5,Reeksen!$A$5:$B$76,2),0)</f>
        <v>0</v>
      </c>
      <c r="T5" s="84">
        <f ca="1">(1-('Invoer gegevens'!$F$20/12))*R5*MIN(Reeksen!B5,Reeksen!D5)</f>
        <v>0</v>
      </c>
      <c r="U5" s="84">
        <f>IF(Reeksen!D5&gt;=Reeksen!B5,0,IF(Reeksen!AD5&lt;=Reeksen!AE5,(Reeksen!B5-Reeksen!D5)*R5,0))</f>
        <v>0</v>
      </c>
      <c r="V5" s="86">
        <f>IF(Reeksen!D5&gt;=Reeksen!B5,0,IF(Reeksen!AD5&gt;Reeksen!AE5,(Reeksen!B5-Reeksen!D5)*R5,0))</f>
        <v>0</v>
      </c>
      <c r="W5" s="97">
        <f ca="1">R5-S5</f>
        <v>0</v>
      </c>
      <c r="X5" s="98">
        <f ca="1">IF('Invoer gegevens'!$C$17=E5,'Invoer gegevens'!$C$10-'Invoer gegevens'!$C$11,IF(C5=1,AC4,0))</f>
        <v>0</v>
      </c>
      <c r="Y5" s="98">
        <f ca="1">IF(C5&gt;=1,X5*VLOOKUP(E5,Reeksen!$A$5:$B$76,2),0)</f>
        <v>0</v>
      </c>
      <c r="Z5" s="98">
        <f ca="1">(1-('Invoer gegevens'!$F$20/12))*X5*MIN(Reeksen!B5,Reeksen!D5)</f>
        <v>0</v>
      </c>
      <c r="AA5" s="98">
        <f>IF(Reeksen!D5&gt;=Reeksen!B5,0,IF(Reeksen!AD5&lt;=Reeksen!AE5,(Reeksen!B5-Reeksen!D5)*X5,0))</f>
        <v>0</v>
      </c>
      <c r="AB5" s="98">
        <f>IF(Reeksen!D5&gt;=Reeksen!B5,0,IF(Reeksen!AD5&gt;Reeksen!AE5,(Reeksen!B5-Reeksen!D5)*X5,0))</f>
        <v>0</v>
      </c>
      <c r="AC5" s="99">
        <f ca="1">X5-Y5</f>
        <v>0</v>
      </c>
      <c r="AD5" s="98">
        <f ca="1">IF('Invoer gegevens'!$C$17=E5,R5,IF(C5=0,0,AE4))</f>
        <v>0</v>
      </c>
      <c r="AE5" s="98">
        <f ca="1">IF(C5=0,0,AD5-S5-V5+AA5)</f>
        <v>0</v>
      </c>
      <c r="AF5" s="98">
        <f ca="1">IF('Invoer gegevens'!$C$17=E5,X5,IF(C5=0,0,AG4))</f>
        <v>0</v>
      </c>
      <c r="AG5" s="98">
        <f ca="1">IF(C5=0,0,AF5-Y5-AA5+V5)</f>
        <v>0</v>
      </c>
      <c r="AH5" s="66"/>
      <c r="AI5" s="71">
        <f ca="1">IF(C5=1,Reeksen!AI5*((F5-G5+F5)/2)*12+Reeksen!AD5*((L5-M5+L5)/2)*12,0)</f>
        <v>0</v>
      </c>
      <c r="AJ5" s="71">
        <f ca="1">-AI5*'Invoer gegevens'!$F$26</f>
        <v>0</v>
      </c>
      <c r="AK5" s="71">
        <f ca="1">AI5+AJ5</f>
        <v>0</v>
      </c>
      <c r="AL5" s="71">
        <f ca="1">IF(C5=1,Reeksen!AL5*((F5-G5+F5)/2)*12+Reeksen!AM5*((L5-M5+L5)/2)*12,0)</f>
        <v>0</v>
      </c>
      <c r="AM5" s="71">
        <f ca="1">-AL5*'Invoer gegevens'!$F$31</f>
        <v>0</v>
      </c>
      <c r="AN5" s="71">
        <f ca="1">AL5+AM5</f>
        <v>0</v>
      </c>
      <c r="AO5" s="71">
        <f ca="1">IF(C5=1,(H5+J5+N5+P5)*Reeksen!AN5,0)</f>
        <v>0</v>
      </c>
      <c r="AP5" s="71">
        <f ca="1">-IF(C5=1,(H5+J5+N5+P5)*'Hulp - basis'!$G$550*Reeksen!H5,0)</f>
        <v>0</v>
      </c>
      <c r="AQ5" s="71">
        <f ca="1">-IF(C5=1,(F5+K5+L5+Q5)/2*'Invoer gegevens'!$F$35*Reeksen!J5,0)*2</f>
        <v>0</v>
      </c>
      <c r="AR5" s="71"/>
      <c r="AS5" s="71">
        <f ca="1">-IF(C5=1,(F5+K5+L5+Q5)/2*'Invoer gegevens'!$F$37*Reeksen!L5,0)</f>
        <v>0</v>
      </c>
      <c r="AT5" s="71">
        <f ca="1">-IF(C5=1,IF(E5='Invoer gegevens'!$C$17,'Invoer gegevens'!$C$11,AD5)*Reeksen!S5*'Invoer gegevens'!$C$18*Reeksen!P5,0)</f>
        <v>0</v>
      </c>
      <c r="AU5" s="71">
        <f ca="1">-IF(C5=1,(F5+K5+L5+Q5)/2*'Invoer gegevens'!$F$38*Reeksen!H5,0)</f>
        <v>0</v>
      </c>
      <c r="AV5" s="71">
        <f>IF('Invoer gegevens'!$C$3="Basis",0,#REF!)</f>
        <v>0</v>
      </c>
      <c r="AW5" s="71">
        <f ca="1">SUM(AK5,AN5:AV5)</f>
        <v>0</v>
      </c>
      <c r="AX5" s="71">
        <f ca="1">IF(E5&lt;'Invoer gegevens'!$C$17+15,0,IF(E5&gt;'Invoer gegevens'!$C$17+215,0,AW5))</f>
        <v>0</v>
      </c>
      <c r="AY5" s="71">
        <f ca="1">AX5/(1+'Invoer gegevens'!$F$18)^($AZ5-('Invoer gegevens'!$C$17-'Invoer gegevens'!$C$16))/(1+'Invoer gegevens'!$C$39)^('Invoer gegevens'!$C$17-'Invoer gegevens'!$C$16)</f>
        <v>0</v>
      </c>
      <c r="AZ5" s="68">
        <f ca="1">IF(E5-'Invoer gegevens'!$C$17-14.5&lt;0,0,E5-'Invoer gegevens'!$C$17-14.5)</f>
        <v>0</v>
      </c>
    </row>
    <row r="6" spans="1:52" x14ac:dyDescent="0.25">
      <c r="A6" s="59"/>
      <c r="B6" s="70">
        <f>B5+1</f>
        <v>2</v>
      </c>
      <c r="C6" s="67">
        <f ca="1">IF(E6-'Invoer gegevens'!$C$17&lt;0,0,1)</f>
        <v>1</v>
      </c>
      <c r="D6" s="68">
        <f>D5+1</f>
        <v>1.5</v>
      </c>
      <c r="E6" s="69">
        <f ca="1">IF('Invoer gegevens'!$C$16="","",E5+1)</f>
        <v>2020</v>
      </c>
      <c r="F6" s="84">
        <f ca="1">IF('Invoer gegevens'!$C$17=E6,'Invoer gegevens'!$C$10,IF(C6=1,K5,0))</f>
        <v>0</v>
      </c>
      <c r="G6" s="96">
        <f ca="1">IF(C6&gt;=1,F6*VLOOKUP(E6,Reeksen!$A$5:$B$76,2),0)</f>
        <v>0</v>
      </c>
      <c r="H6" s="84">
        <f ca="1">(1-('Invoer gegevens'!$F$20/12))*F6*MIN(Reeksen!B6,Reeksen!D6)</f>
        <v>0</v>
      </c>
      <c r="I6" s="84">
        <f>IF(Reeksen!D6&lt;Reeksen!B6,(Reeksen!B6-Reeksen!D6)*F6,0)</f>
        <v>0</v>
      </c>
      <c r="J6" s="84">
        <f ca="1">('Invoer gegevens'!$F$20/12)*F5*MIN(Reeksen!B5,Reeksen!D5)</f>
        <v>0</v>
      </c>
      <c r="K6" s="97">
        <f t="shared" ref="K6:K69" ca="1" si="0">F6-G6</f>
        <v>0</v>
      </c>
      <c r="L6" s="84">
        <f ca="1">IF('Invoer gegevens'!$C$17=E6,0,IF(C6=1,Q5,0))</f>
        <v>0</v>
      </c>
      <c r="M6" s="96">
        <f ca="1">IF(C6&gt;=1,L6*VLOOKUP(E6,Reeksen!$A$5:$B$76,2),0)</f>
        <v>0</v>
      </c>
      <c r="N6" s="84">
        <f ca="1">(1-('Invoer gegevens'!$F$20/12))*L6*MIN(Reeksen!B6,Reeksen!D6)</f>
        <v>0</v>
      </c>
      <c r="O6" s="84">
        <f>IF(Reeksen!D6&lt;Reeksen!B6,(Reeksen!B6-Reeksen!D6)*L6,0)</f>
        <v>0</v>
      </c>
      <c r="P6" s="84">
        <f ca="1">('Invoer gegevens'!$F$20/12)*L5*MIN(Reeksen!B5,Reeksen!D5)</f>
        <v>0</v>
      </c>
      <c r="Q6" s="84">
        <f t="shared" ref="Q6:Q69" ca="1" si="1">L6-M6+I6+O6</f>
        <v>0</v>
      </c>
      <c r="R6" s="82">
        <f ca="1">IF('Invoer gegevens'!$C$17=E6,'Invoer gegevens'!$C$11,IF(C6=1,W5,0))</f>
        <v>0</v>
      </c>
      <c r="S6" s="86">
        <f ca="1">IF(C6&gt;=1,R6*VLOOKUP(E6,Reeksen!$A$5:$B$76,2),0)</f>
        <v>0</v>
      </c>
      <c r="T6" s="84">
        <f ca="1">(1-('Invoer gegevens'!$F$20/12))*R6*MIN(Reeksen!B6,Reeksen!D6)</f>
        <v>0</v>
      </c>
      <c r="U6" s="84">
        <f>IF(Reeksen!D6&gt;=Reeksen!B6,0,IF(Reeksen!AD6&lt;=Reeksen!AE6,(Reeksen!B6-Reeksen!D6)*R6,0))</f>
        <v>0</v>
      </c>
      <c r="V6" s="86">
        <f>IF(Reeksen!D6&gt;=Reeksen!B6,0,IF(Reeksen!AD6&gt;Reeksen!AE6,(Reeksen!B6-Reeksen!D6)*R6,0))</f>
        <v>0</v>
      </c>
      <c r="W6" s="97">
        <f t="shared" ref="W6:W69" ca="1" si="2">R6-S6</f>
        <v>0</v>
      </c>
      <c r="X6" s="98">
        <f ca="1">IF('Invoer gegevens'!$C$17=E6,'Invoer gegevens'!$C$10-'Invoer gegevens'!$C$11,IF(C6=1,AC5,0))</f>
        <v>0</v>
      </c>
      <c r="Y6" s="98">
        <f ca="1">IF(C6&gt;=1,X6*VLOOKUP(E6,Reeksen!$A$5:$B$76,2),0)</f>
        <v>0</v>
      </c>
      <c r="Z6" s="98">
        <f ca="1">(1-('Invoer gegevens'!$F$20/12))*X6*MIN(Reeksen!B6,Reeksen!D6)</f>
        <v>0</v>
      </c>
      <c r="AA6" s="98">
        <f>IF(Reeksen!D6&gt;=Reeksen!B6,0,IF(Reeksen!AD6&lt;=Reeksen!AE6,(Reeksen!B6-Reeksen!D6)*X6,0))</f>
        <v>0</v>
      </c>
      <c r="AB6" s="98">
        <f>IF(Reeksen!D6&gt;=Reeksen!B6,0,IF(Reeksen!AD6&gt;Reeksen!AE6,(Reeksen!B6-Reeksen!D6)*X6,0))</f>
        <v>0</v>
      </c>
      <c r="AC6" s="99">
        <f t="shared" ref="AC6:AC69" ca="1" si="3">X6-Y6</f>
        <v>0</v>
      </c>
      <c r="AD6" s="98">
        <f ca="1">IF('Invoer gegevens'!$C$17=E6,R6,IF(C6=0,0,AE5))</f>
        <v>0</v>
      </c>
      <c r="AE6" s="98">
        <f t="shared" ref="AE6:AE69" ca="1" si="4">IF(C6=0,0,AD6-S6-V6+AA6)</f>
        <v>0</v>
      </c>
      <c r="AF6" s="98">
        <f ca="1">IF('Invoer gegevens'!$C$17=E6,X6,IF(C6=0,0,AG5))</f>
        <v>0</v>
      </c>
      <c r="AG6" s="98">
        <f t="shared" ref="AG6:AG69" ca="1" si="5">IF(C6=0,0,AF6-Y6-AA6+V6)</f>
        <v>0</v>
      </c>
      <c r="AH6" s="66"/>
      <c r="AI6" s="71">
        <f ca="1">IF(C6=1,Reeksen!AI6*((F6-G6+F6)/2)*12+Reeksen!AD6*((L6-M6+L6)/2)*12,0)</f>
        <v>0</v>
      </c>
      <c r="AJ6" s="71">
        <f ca="1">-AI6*'Invoer gegevens'!$F$27</f>
        <v>0</v>
      </c>
      <c r="AK6" s="71">
        <f t="shared" ref="AK6:AK69" ca="1" si="6">AI6+AJ6</f>
        <v>0</v>
      </c>
      <c r="AL6" s="71">
        <f ca="1">IF(C6=1,Reeksen!AL6*((F6-G6+F6)/2)*12+Reeksen!AM6*((L6-M6+L6)/2)*12,0)</f>
        <v>0</v>
      </c>
      <c r="AM6" s="71">
        <f ca="1">-AL6*'Invoer gegevens'!$F$31</f>
        <v>0</v>
      </c>
      <c r="AN6" s="71">
        <f t="shared" ref="AN6:AN69" ca="1" si="7">AL6+AM6</f>
        <v>0</v>
      </c>
      <c r="AO6" s="71">
        <f ca="1">IF(C6=1,(H6+J6+N6+P6)*Reeksen!AN6,0)</f>
        <v>0</v>
      </c>
      <c r="AP6" s="71">
        <f ca="1">-IF(C6=1,(H6+J6+N6+P6)*'Hulp - basis'!$G$550*Reeksen!H6,0)</f>
        <v>0</v>
      </c>
      <c r="AQ6" s="71">
        <f ca="1">-IF(C6=1,(F6+K6+L6+Q6)/2*'Invoer gegevens'!$F$35*Reeksen!J6,0)*2</f>
        <v>0</v>
      </c>
      <c r="AR6" s="71"/>
      <c r="AS6" s="71">
        <f ca="1">-IF(C6=1,(F6+K6+L6+Q6)/2*'Invoer gegevens'!$F$37*Reeksen!L6,0)</f>
        <v>0</v>
      </c>
      <c r="AT6" s="71">
        <f ca="1">-IF(C6=1,IF(E6='Invoer gegevens'!$C$17,'Invoer gegevens'!$C$11,AD6)*Reeksen!S6*'Invoer gegevens'!$C$18*Reeksen!P6,0)</f>
        <v>0</v>
      </c>
      <c r="AU6" s="71">
        <f ca="1">-IF(C6=1,(F6+K6+L6+Q6)/2*'Invoer gegevens'!$F$38*Reeksen!H6,0)</f>
        <v>0</v>
      </c>
      <c r="AV6" s="71">
        <f>IF('Invoer gegevens'!$C$3="Basis",0,#REF!)</f>
        <v>0</v>
      </c>
      <c r="AW6" s="71">
        <f t="shared" ref="AW6:AW69" ca="1" si="8">SUM(AK6,AN6:AV6)</f>
        <v>0</v>
      </c>
      <c r="AX6" s="71">
        <f ca="1">IF(E6&lt;'Invoer gegevens'!$C$17+15,0,IF(E6&gt;'Invoer gegevens'!$C$17+215,0,AW6))</f>
        <v>0</v>
      </c>
      <c r="AY6" s="71">
        <f ca="1">AX6/(1+'Invoer gegevens'!$F$18)^($AZ6-('Invoer gegevens'!$C$17-'Invoer gegevens'!$C$16))/(1+'Invoer gegevens'!$C$39)^('Invoer gegevens'!$C$17-'Invoer gegevens'!$C$16)</f>
        <v>0</v>
      </c>
      <c r="AZ6" s="68">
        <f ca="1">IF(E6-'Invoer gegevens'!$C$17-14.5&lt;0,0,E6-'Invoer gegevens'!$C$17-14.5)</f>
        <v>0</v>
      </c>
    </row>
    <row r="7" spans="1:52" x14ac:dyDescent="0.25">
      <c r="A7" s="59"/>
      <c r="B7" s="70">
        <f>B6+1</f>
        <v>3</v>
      </c>
      <c r="C7" s="67">
        <f ca="1">IF(E7-'Invoer gegevens'!$C$17&lt;0,0,1)</f>
        <v>1</v>
      </c>
      <c r="D7" s="68">
        <f>D6+1</f>
        <v>2.5</v>
      </c>
      <c r="E7" s="69">
        <f ca="1">IF('Invoer gegevens'!$C$16="","",E6+1)</f>
        <v>2021</v>
      </c>
      <c r="F7" s="84">
        <f ca="1">IF('Invoer gegevens'!$C$17=E7,'Invoer gegevens'!$C$10,IF(C7=1,K6,0))</f>
        <v>0</v>
      </c>
      <c r="G7" s="96">
        <f ca="1">IF(C7&gt;=1,F7*VLOOKUP(E7,Reeksen!$A$5:$B$76,2),0)</f>
        <v>0</v>
      </c>
      <c r="H7" s="84">
        <f ca="1">(1-('Invoer gegevens'!$F$20/12))*F7*MIN(Reeksen!B7,Reeksen!D7)</f>
        <v>0</v>
      </c>
      <c r="I7" s="84">
        <f>IF(Reeksen!D7&lt;Reeksen!B7,(Reeksen!B7-Reeksen!D7)*F7,0)</f>
        <v>0</v>
      </c>
      <c r="J7" s="84">
        <f ca="1">('Invoer gegevens'!$F$20/12)*F6*MIN(Reeksen!B6,Reeksen!D6)</f>
        <v>0</v>
      </c>
      <c r="K7" s="97">
        <f t="shared" ca="1" si="0"/>
        <v>0</v>
      </c>
      <c r="L7" s="84">
        <f ca="1">IF('Invoer gegevens'!$C$17=E7,0,IF(C7=1,Q6,0))</f>
        <v>0</v>
      </c>
      <c r="M7" s="96">
        <f ca="1">IF(C7&gt;=1,L7*VLOOKUP(E7,Reeksen!$A$5:$B$76,2),0)</f>
        <v>0</v>
      </c>
      <c r="N7" s="84">
        <f ca="1">(1-('Invoer gegevens'!$F$20/12))*L7*MIN(Reeksen!B7,Reeksen!D7)</f>
        <v>0</v>
      </c>
      <c r="O7" s="84">
        <f>IF(Reeksen!D7&lt;Reeksen!B7,(Reeksen!B7-Reeksen!D7)*L7,0)</f>
        <v>0</v>
      </c>
      <c r="P7" s="84">
        <f ca="1">('Invoer gegevens'!$F$20/12)*L6*MIN(Reeksen!B6,Reeksen!D6)</f>
        <v>0</v>
      </c>
      <c r="Q7" s="84">
        <f t="shared" ca="1" si="1"/>
        <v>0</v>
      </c>
      <c r="R7" s="82">
        <f ca="1">IF('Invoer gegevens'!$C$17=E7,'Invoer gegevens'!$C$11,IF(C7=1,W6,0))</f>
        <v>0</v>
      </c>
      <c r="S7" s="86">
        <f ca="1">IF(C7&gt;=1,R7*VLOOKUP(E7,Reeksen!$A$5:$B$76,2),0)</f>
        <v>0</v>
      </c>
      <c r="T7" s="84">
        <f ca="1">(1-('Invoer gegevens'!$F$20/12))*R7*MIN(Reeksen!B7,Reeksen!D7)</f>
        <v>0</v>
      </c>
      <c r="U7" s="84">
        <f>IF(Reeksen!D7&gt;=Reeksen!B7,0,IF(Reeksen!AD7&lt;=Reeksen!AE7,(Reeksen!B7-Reeksen!D7)*R7,0))</f>
        <v>0</v>
      </c>
      <c r="V7" s="86">
        <f>IF(Reeksen!D7&gt;=Reeksen!B7,0,IF(Reeksen!AD7&gt;Reeksen!AE7,(Reeksen!B7-Reeksen!D7)*R7,0))</f>
        <v>0</v>
      </c>
      <c r="W7" s="97">
        <f t="shared" ca="1" si="2"/>
        <v>0</v>
      </c>
      <c r="X7" s="98">
        <f ca="1">IF('Invoer gegevens'!$C$17=E7,'Invoer gegevens'!$C$10-'Invoer gegevens'!$C$11,IF(C7=1,AC6,0))</f>
        <v>0</v>
      </c>
      <c r="Y7" s="98">
        <f ca="1">IF(C7&gt;=1,X7*VLOOKUP(E7,Reeksen!$A$5:$B$76,2),0)</f>
        <v>0</v>
      </c>
      <c r="Z7" s="98">
        <f ca="1">(1-('Invoer gegevens'!$F$20/12))*X7*MIN(Reeksen!B7,Reeksen!D7)</f>
        <v>0</v>
      </c>
      <c r="AA7" s="98">
        <f>IF(Reeksen!D7&gt;=Reeksen!B7,0,IF(Reeksen!AD7&lt;=Reeksen!AE7,(Reeksen!B7-Reeksen!D7)*X7,0))</f>
        <v>0</v>
      </c>
      <c r="AB7" s="98">
        <f>IF(Reeksen!D7&gt;=Reeksen!B7,0,IF(Reeksen!AD7&gt;Reeksen!AE7,(Reeksen!B7-Reeksen!D7)*X7,0))</f>
        <v>0</v>
      </c>
      <c r="AC7" s="99">
        <f t="shared" ca="1" si="3"/>
        <v>0</v>
      </c>
      <c r="AD7" s="98">
        <f ca="1">IF('Invoer gegevens'!$C$17=E7,R7,IF(C7=0,0,AE6))</f>
        <v>0</v>
      </c>
      <c r="AE7" s="98">
        <f t="shared" ca="1" si="4"/>
        <v>0</v>
      </c>
      <c r="AF7" s="98">
        <f ca="1">IF('Invoer gegevens'!$C$17=E7,X7,IF(C7=0,0,AG6))</f>
        <v>0</v>
      </c>
      <c r="AG7" s="98">
        <f t="shared" ca="1" si="5"/>
        <v>0</v>
      </c>
      <c r="AH7" s="66"/>
      <c r="AI7" s="71">
        <f ca="1">IF(C7=1,Reeksen!AI7*((F7-G7+F7)/2)*12+Reeksen!AD7*((L7-M7+L7)/2)*12,0)</f>
        <v>0</v>
      </c>
      <c r="AJ7" s="71">
        <f ca="1">-AI7*'Invoer gegevens'!$F$28</f>
        <v>0</v>
      </c>
      <c r="AK7" s="71">
        <f t="shared" ca="1" si="6"/>
        <v>0</v>
      </c>
      <c r="AL7" s="71">
        <f ca="1">IF(C7=1,Reeksen!AL7*((F7-G7+F7)/2)*12+Reeksen!AM7*((L7-M7+L7)/2)*12,0)</f>
        <v>0</v>
      </c>
      <c r="AM7" s="71">
        <f ca="1">-AL7*'Invoer gegevens'!$F$31</f>
        <v>0</v>
      </c>
      <c r="AN7" s="71">
        <f t="shared" ca="1" si="7"/>
        <v>0</v>
      </c>
      <c r="AO7" s="71">
        <f ca="1">IF(C7=1,(H7+J7+N7+P7)*Reeksen!AN7,0)</f>
        <v>0</v>
      </c>
      <c r="AP7" s="71">
        <f ca="1">-IF(C7=1,(H7+J7+N7+P7)*'Hulp - basis'!$G$550*Reeksen!H7,0)</f>
        <v>0</v>
      </c>
      <c r="AQ7" s="71">
        <f ca="1">-IF(C7=1,(F7+K7+L7+Q7)/2*'Invoer gegevens'!$F$35*Reeksen!J7,0)*2</f>
        <v>0</v>
      </c>
      <c r="AR7" s="71"/>
      <c r="AS7" s="71">
        <f ca="1">-IF(C7=1,(F7+K7+L7+Q7)/2*'Invoer gegevens'!$F$37*Reeksen!L7,0)</f>
        <v>0</v>
      </c>
      <c r="AT7" s="71">
        <f ca="1">-IF(C7=1,IF(E7='Invoer gegevens'!$C$17,'Invoer gegevens'!$C$11,AD7)*Reeksen!S7*'Invoer gegevens'!$C$18*Reeksen!P7,0)</f>
        <v>0</v>
      </c>
      <c r="AU7" s="71">
        <f ca="1">-IF(C7=1,(F7+K7+L7+Q7)/2*'Invoer gegevens'!$F$38*Reeksen!H7,0)</f>
        <v>0</v>
      </c>
      <c r="AV7" s="71">
        <f>IF('Invoer gegevens'!$C$3="Basis",0,#REF!)</f>
        <v>0</v>
      </c>
      <c r="AW7" s="71">
        <f t="shared" ca="1" si="8"/>
        <v>0</v>
      </c>
      <c r="AX7" s="71">
        <f ca="1">IF(E7&lt;'Invoer gegevens'!$C$17+15,0,IF(E7&gt;'Invoer gegevens'!$C$17+215,0,AW7))</f>
        <v>0</v>
      </c>
      <c r="AY7" s="71">
        <f ca="1">AX7/(1+'Invoer gegevens'!$F$18)^($AZ7-('Invoer gegevens'!$C$17-'Invoer gegevens'!$C$16))/(1+'Invoer gegevens'!$C$39)^('Invoer gegevens'!$C$17-'Invoer gegevens'!$C$16)</f>
        <v>0</v>
      </c>
      <c r="AZ7" s="68">
        <f ca="1">IF(E7-'Invoer gegevens'!$C$17-14.5&lt;0,0,E7-'Invoer gegevens'!$C$17-14.5)</f>
        <v>0</v>
      </c>
    </row>
    <row r="8" spans="1:52" x14ac:dyDescent="0.25">
      <c r="A8" s="59"/>
      <c r="B8" s="70">
        <f t="shared" ref="B8:B71" si="9">B7+1</f>
        <v>4</v>
      </c>
      <c r="C8" s="67">
        <f ca="1">IF(E8-'Invoer gegevens'!$C$17&lt;0,0,1)</f>
        <v>1</v>
      </c>
      <c r="D8" s="68">
        <f t="shared" ref="D8:D71" si="10">D7+1</f>
        <v>3.5</v>
      </c>
      <c r="E8" s="69">
        <f ca="1">IF('Invoer gegevens'!$C$16="","",E7+1)</f>
        <v>2022</v>
      </c>
      <c r="F8" s="84">
        <f ca="1">IF('Invoer gegevens'!$C$17=E8,'Invoer gegevens'!$C$10,IF(C8=1,K7,0))</f>
        <v>0</v>
      </c>
      <c r="G8" s="96">
        <f ca="1">IF(C8&gt;=1,F8*VLOOKUP(E8,Reeksen!$A$5:$B$76,2),0)</f>
        <v>0</v>
      </c>
      <c r="H8" s="84">
        <f ca="1">(1-('Invoer gegevens'!$F$20/12))*F8*MIN(Reeksen!B8,Reeksen!D8)</f>
        <v>0</v>
      </c>
      <c r="I8" s="84">
        <f>IF(Reeksen!D8&lt;Reeksen!B8,(Reeksen!B8-Reeksen!D8)*F8,0)</f>
        <v>0</v>
      </c>
      <c r="J8" s="84">
        <f ca="1">('Invoer gegevens'!$F$20/12)*F7*MIN(Reeksen!B7,Reeksen!D7)</f>
        <v>0</v>
      </c>
      <c r="K8" s="97">
        <f t="shared" ca="1" si="0"/>
        <v>0</v>
      </c>
      <c r="L8" s="84">
        <f ca="1">IF('Invoer gegevens'!$C$17=E8,0,IF(C8=1,Q7,0))</f>
        <v>0</v>
      </c>
      <c r="M8" s="96">
        <f ca="1">IF(C8&gt;=1,L8*VLOOKUP(E8,Reeksen!$A$5:$B$76,2),0)</f>
        <v>0</v>
      </c>
      <c r="N8" s="84">
        <f ca="1">(1-('Invoer gegevens'!$F$20/12))*L8*MIN(Reeksen!B8,Reeksen!D8)</f>
        <v>0</v>
      </c>
      <c r="O8" s="84">
        <f>IF(Reeksen!D8&lt;Reeksen!B8,(Reeksen!B8-Reeksen!D8)*L8,0)</f>
        <v>0</v>
      </c>
      <c r="P8" s="84">
        <f ca="1">('Invoer gegevens'!$F$20/12)*L7*MIN(Reeksen!B7,Reeksen!D7)</f>
        <v>0</v>
      </c>
      <c r="Q8" s="84">
        <f t="shared" ca="1" si="1"/>
        <v>0</v>
      </c>
      <c r="R8" s="82">
        <f ca="1">IF('Invoer gegevens'!$C$17=E8,'Invoer gegevens'!$C$11,IF(C8=1,W7,0))</f>
        <v>0</v>
      </c>
      <c r="S8" s="86">
        <f ca="1">IF(C8&gt;=1,R8*VLOOKUP(E8,Reeksen!$A$5:$B$76,2),0)</f>
        <v>0</v>
      </c>
      <c r="T8" s="84">
        <f ca="1">(1-('Invoer gegevens'!$F$20/12))*R8*MIN(Reeksen!B8,Reeksen!D8)</f>
        <v>0</v>
      </c>
      <c r="U8" s="84">
        <f>IF(Reeksen!D8&gt;=Reeksen!B8,0,IF(Reeksen!AD8&lt;=Reeksen!AE8,(Reeksen!B8-Reeksen!D8)*R8,0))</f>
        <v>0</v>
      </c>
      <c r="V8" s="86">
        <f>IF(Reeksen!D8&gt;=Reeksen!B8,0,IF(Reeksen!AD8&gt;Reeksen!AE8,(Reeksen!B8-Reeksen!D8)*R8,0))</f>
        <v>0</v>
      </c>
      <c r="W8" s="97">
        <f t="shared" ca="1" si="2"/>
        <v>0</v>
      </c>
      <c r="X8" s="98">
        <f ca="1">IF('Invoer gegevens'!$C$17=E8,'Invoer gegevens'!$C$10-'Invoer gegevens'!$C$11,IF(C8=1,AC7,0))</f>
        <v>0</v>
      </c>
      <c r="Y8" s="98">
        <f ca="1">IF(C8&gt;=1,X8*VLOOKUP(E8,Reeksen!$A$5:$B$76,2),0)</f>
        <v>0</v>
      </c>
      <c r="Z8" s="98">
        <f ca="1">(1-('Invoer gegevens'!$F$20/12))*X8*MIN(Reeksen!B8,Reeksen!D8)</f>
        <v>0</v>
      </c>
      <c r="AA8" s="98">
        <f>IF(Reeksen!D8&gt;=Reeksen!B8,0,IF(Reeksen!AD8&lt;=Reeksen!AE8,(Reeksen!B8-Reeksen!D8)*X8,0))</f>
        <v>0</v>
      </c>
      <c r="AB8" s="98">
        <f>IF(Reeksen!D8&gt;=Reeksen!B8,0,IF(Reeksen!AD8&gt;Reeksen!AE8,(Reeksen!B8-Reeksen!D8)*X8,0))</f>
        <v>0</v>
      </c>
      <c r="AC8" s="99">
        <f t="shared" ca="1" si="3"/>
        <v>0</v>
      </c>
      <c r="AD8" s="98">
        <f ca="1">IF('Invoer gegevens'!$C$17=E8,R8,IF(C8=0,0,AE7))</f>
        <v>0</v>
      </c>
      <c r="AE8" s="98">
        <f t="shared" ca="1" si="4"/>
        <v>0</v>
      </c>
      <c r="AF8" s="98">
        <f ca="1">IF('Invoer gegevens'!$C$17=E8,X8,IF(C8=0,0,AG7))</f>
        <v>0</v>
      </c>
      <c r="AG8" s="98">
        <f t="shared" ca="1" si="5"/>
        <v>0</v>
      </c>
      <c r="AH8" s="66"/>
      <c r="AI8" s="71">
        <f ca="1">IF(C8=1,Reeksen!AI8*((F8-G8+F8)/2)*12+Reeksen!AD8*((L8-M8+L8)/2)*12,0)</f>
        <v>0</v>
      </c>
      <c r="AJ8" s="71">
        <f ca="1">-AI8*'Invoer gegevens'!$F$28</f>
        <v>0</v>
      </c>
      <c r="AK8" s="71">
        <f t="shared" ca="1" si="6"/>
        <v>0</v>
      </c>
      <c r="AL8" s="71">
        <f ca="1">IF(C8=1,Reeksen!AL8*((F8-G8+F8)/2)*12+Reeksen!AM8*((L8-M8+L8)/2)*12,0)</f>
        <v>0</v>
      </c>
      <c r="AM8" s="71">
        <f ca="1">-AL8*'Invoer gegevens'!$F$31</f>
        <v>0</v>
      </c>
      <c r="AN8" s="71">
        <f t="shared" ca="1" si="7"/>
        <v>0</v>
      </c>
      <c r="AO8" s="71">
        <f ca="1">IF(C8=1,(H8+J8+N8+P8)*Reeksen!AN8,0)</f>
        <v>0</v>
      </c>
      <c r="AP8" s="71">
        <f ca="1">-IF(C8=1,(H8+J8+N8+P8)*'Hulp - basis'!$G$550*Reeksen!H8,0)</f>
        <v>0</v>
      </c>
      <c r="AQ8" s="71">
        <f ca="1">-IF(C8=1,(F8+K8+L8+Q8)/2*'Invoer gegevens'!$F$35*Reeksen!J8,0)*2</f>
        <v>0</v>
      </c>
      <c r="AR8" s="71"/>
      <c r="AS8" s="71">
        <f ca="1">-IF(C8=1,(F8+K8+L8+Q8)/2*'Invoer gegevens'!$F$37*Reeksen!L8,0)</f>
        <v>0</v>
      </c>
      <c r="AT8" s="71">
        <f ca="1">-IF(C8=1,IF(E8='Invoer gegevens'!$C$17,'Invoer gegevens'!$C$11,AD8)*Reeksen!S8*'Invoer gegevens'!$C$18*Reeksen!P8,0)</f>
        <v>0</v>
      </c>
      <c r="AU8" s="71">
        <f ca="1">-IF(C8=1,(F8+K8+L8+Q8)/2*'Invoer gegevens'!$F$38*Reeksen!H8,0)</f>
        <v>0</v>
      </c>
      <c r="AV8" s="71">
        <f>IF('Invoer gegevens'!$C$3="Basis",0,#REF!)</f>
        <v>0</v>
      </c>
      <c r="AW8" s="71">
        <f t="shared" ca="1" si="8"/>
        <v>0</v>
      </c>
      <c r="AX8" s="71">
        <f ca="1">IF(E8&lt;'Invoer gegevens'!$C$17+15,0,IF(E8&gt;'Invoer gegevens'!$C$17+215,0,AW8))</f>
        <v>0</v>
      </c>
      <c r="AY8" s="71">
        <f ca="1">AX8/(1+'Invoer gegevens'!$F$18)^($AZ8-('Invoer gegevens'!$C$17-'Invoer gegevens'!$C$16))/(1+'Invoer gegevens'!$C$39)^('Invoer gegevens'!$C$17-'Invoer gegevens'!$C$16)</f>
        <v>0</v>
      </c>
      <c r="AZ8" s="68">
        <f ca="1">IF(E8-'Invoer gegevens'!$C$17-14.5&lt;0,0,E8-'Invoer gegevens'!$C$17-14.5)</f>
        <v>0</v>
      </c>
    </row>
    <row r="9" spans="1:52" x14ac:dyDescent="0.25">
      <c r="A9" s="59"/>
      <c r="B9" s="70">
        <f t="shared" si="9"/>
        <v>5</v>
      </c>
      <c r="C9" s="67">
        <f ca="1">IF(E9-'Invoer gegevens'!$C$17&lt;0,0,1)</f>
        <v>1</v>
      </c>
      <c r="D9" s="68">
        <f t="shared" si="10"/>
        <v>4.5</v>
      </c>
      <c r="E9" s="69">
        <f ca="1">IF('Invoer gegevens'!$C$16="","",E8+1)</f>
        <v>2023</v>
      </c>
      <c r="F9" s="84">
        <f ca="1">IF('Invoer gegevens'!$C$17=E9,'Invoer gegevens'!$C$10,IF(C9=1,K8,0))</f>
        <v>0</v>
      </c>
      <c r="G9" s="96">
        <f ca="1">IF(C9&gt;=1,F9*VLOOKUP(E9,Reeksen!$A$5:$B$76,2),0)</f>
        <v>0</v>
      </c>
      <c r="H9" s="84">
        <f ca="1">(1-('Invoer gegevens'!$F$20/12))*F9*MIN(Reeksen!B9,Reeksen!D9)</f>
        <v>0</v>
      </c>
      <c r="I9" s="84">
        <f>IF(Reeksen!D9&lt;Reeksen!B9,(Reeksen!B9-Reeksen!D9)*F9,0)</f>
        <v>0</v>
      </c>
      <c r="J9" s="84">
        <f ca="1">('Invoer gegevens'!$F$20/12)*F8*MIN(Reeksen!B8,Reeksen!D8)</f>
        <v>0</v>
      </c>
      <c r="K9" s="97">
        <f t="shared" ca="1" si="0"/>
        <v>0</v>
      </c>
      <c r="L9" s="84">
        <f ca="1">IF('Invoer gegevens'!$C$17=E9,0,IF(C9=1,Q8,0))</f>
        <v>0</v>
      </c>
      <c r="M9" s="96">
        <f ca="1">IF(C9&gt;=1,L9*VLOOKUP(E9,Reeksen!$A$5:$B$76,2),0)</f>
        <v>0</v>
      </c>
      <c r="N9" s="84">
        <f ca="1">(1-('Invoer gegevens'!$F$20/12))*L9*MIN(Reeksen!B9,Reeksen!D9)</f>
        <v>0</v>
      </c>
      <c r="O9" s="84">
        <f>IF(Reeksen!D9&lt;Reeksen!B9,(Reeksen!B9-Reeksen!D9)*L9,0)</f>
        <v>0</v>
      </c>
      <c r="P9" s="84">
        <f ca="1">('Invoer gegevens'!$F$20/12)*L8*MIN(Reeksen!B8,Reeksen!D8)</f>
        <v>0</v>
      </c>
      <c r="Q9" s="84">
        <f t="shared" ca="1" si="1"/>
        <v>0</v>
      </c>
      <c r="R9" s="82">
        <f ca="1">IF('Invoer gegevens'!$C$17=E9,'Invoer gegevens'!$C$11,IF(C9=1,W8,0))</f>
        <v>0</v>
      </c>
      <c r="S9" s="86">
        <f ca="1">IF(C9&gt;=1,R9*VLOOKUP(E9,Reeksen!$A$5:$B$76,2),0)</f>
        <v>0</v>
      </c>
      <c r="T9" s="84">
        <f ca="1">(1-('Invoer gegevens'!$F$20/12))*R9*MIN(Reeksen!B9,Reeksen!D9)</f>
        <v>0</v>
      </c>
      <c r="U9" s="84">
        <f>IF(Reeksen!D9&gt;=Reeksen!B9,0,IF(Reeksen!AD9&lt;=Reeksen!AE9,(Reeksen!B9-Reeksen!D9)*R9,0))</f>
        <v>0</v>
      </c>
      <c r="V9" s="86">
        <f>IF(Reeksen!D9&gt;=Reeksen!B9,0,IF(Reeksen!AD9&gt;Reeksen!AE9,(Reeksen!B9-Reeksen!D9)*R9,0))</f>
        <v>0</v>
      </c>
      <c r="W9" s="97">
        <f t="shared" ca="1" si="2"/>
        <v>0</v>
      </c>
      <c r="X9" s="98">
        <f ca="1">IF('Invoer gegevens'!$C$17=E9,'Invoer gegevens'!$C$10-'Invoer gegevens'!$C$11,IF(C9=1,AC8,0))</f>
        <v>0</v>
      </c>
      <c r="Y9" s="98">
        <f ca="1">IF(C9&gt;=1,X9*VLOOKUP(E9,Reeksen!$A$5:$B$76,2),0)</f>
        <v>0</v>
      </c>
      <c r="Z9" s="98">
        <f ca="1">(1-('Invoer gegevens'!$F$20/12))*X9*MIN(Reeksen!B9,Reeksen!D9)</f>
        <v>0</v>
      </c>
      <c r="AA9" s="98">
        <f>IF(Reeksen!D9&gt;=Reeksen!B9,0,IF(Reeksen!AD9&lt;=Reeksen!AE9,(Reeksen!B9-Reeksen!D9)*X9,0))</f>
        <v>0</v>
      </c>
      <c r="AB9" s="98">
        <f>IF(Reeksen!D9&gt;=Reeksen!B9,0,IF(Reeksen!AD9&gt;Reeksen!AE9,(Reeksen!B9-Reeksen!D9)*X9,0))</f>
        <v>0</v>
      </c>
      <c r="AC9" s="99">
        <f t="shared" ca="1" si="3"/>
        <v>0</v>
      </c>
      <c r="AD9" s="98">
        <f ca="1">IF('Invoer gegevens'!$C$17=E9,R9,IF(C9=0,0,AE8))</f>
        <v>0</v>
      </c>
      <c r="AE9" s="98">
        <f t="shared" ca="1" si="4"/>
        <v>0</v>
      </c>
      <c r="AF9" s="98">
        <f ca="1">IF('Invoer gegevens'!$C$17=E9,X9,IF(C9=0,0,AG8))</f>
        <v>0</v>
      </c>
      <c r="AG9" s="98">
        <f t="shared" ca="1" si="5"/>
        <v>0</v>
      </c>
      <c r="AH9" s="66"/>
      <c r="AI9" s="71">
        <f ca="1">IF(C9=1,Reeksen!AI9*((F9-G9+F9)/2)*12+Reeksen!AD9*((L9-M9+L9)/2)*12,0)</f>
        <v>0</v>
      </c>
      <c r="AJ9" s="71">
        <f ca="1">-AI9*'Invoer gegevens'!$F$28</f>
        <v>0</v>
      </c>
      <c r="AK9" s="71">
        <f t="shared" ca="1" si="6"/>
        <v>0</v>
      </c>
      <c r="AL9" s="71">
        <f ca="1">IF(C9=1,Reeksen!AL9*((F9-G9+F9)/2)*12+Reeksen!AM9*((L9-M9+L9)/2)*12,0)</f>
        <v>0</v>
      </c>
      <c r="AM9" s="71">
        <f ca="1">-AL9*'Invoer gegevens'!$F$31</f>
        <v>0</v>
      </c>
      <c r="AN9" s="71">
        <f t="shared" ca="1" si="7"/>
        <v>0</v>
      </c>
      <c r="AO9" s="71">
        <f ca="1">IF(C9=1,(H9+J9+N9+P9)*Reeksen!AN9,0)</f>
        <v>0</v>
      </c>
      <c r="AP9" s="71">
        <f ca="1">-IF(C9=1,(H9+J9+N9+P9)*'Hulp - basis'!$G$550*Reeksen!H9,0)</f>
        <v>0</v>
      </c>
      <c r="AQ9" s="71">
        <f ca="1">-IF(C9=1,(F9+K9+L9+Q9)/2*'Invoer gegevens'!$F$35*Reeksen!J9,0)*2</f>
        <v>0</v>
      </c>
      <c r="AR9" s="71"/>
      <c r="AS9" s="71">
        <f ca="1">-IF(C9=1,(F9+K9+L9+Q9)/2*'Invoer gegevens'!$F$37*Reeksen!L9,0)</f>
        <v>0</v>
      </c>
      <c r="AT9" s="71">
        <f ca="1">-IF(C9=1,IF(E9='Invoer gegevens'!$C$17,'Invoer gegevens'!$C$11,AD9)*Reeksen!S9*'Invoer gegevens'!$C$18*Reeksen!P9,0)</f>
        <v>0</v>
      </c>
      <c r="AU9" s="71">
        <f ca="1">-IF(C9=1,(F9+K9+L9+Q9)/2*'Invoer gegevens'!$F$38*Reeksen!H9,0)</f>
        <v>0</v>
      </c>
      <c r="AV9" s="71">
        <f>IF('Invoer gegevens'!$C$3="Basis",0,#REF!)</f>
        <v>0</v>
      </c>
      <c r="AW9" s="71">
        <f t="shared" ca="1" si="8"/>
        <v>0</v>
      </c>
      <c r="AX9" s="71">
        <f ca="1">IF(E9&lt;'Invoer gegevens'!$C$17+15,0,IF(E9&gt;'Invoer gegevens'!$C$17+215,0,AW9))</f>
        <v>0</v>
      </c>
      <c r="AY9" s="71">
        <f ca="1">AX9/(1+'Invoer gegevens'!$F$18)^($AZ9-('Invoer gegevens'!$C$17-'Invoer gegevens'!$C$16))/(1+'Invoer gegevens'!$C$39)^('Invoer gegevens'!$C$17-'Invoer gegevens'!$C$16)</f>
        <v>0</v>
      </c>
      <c r="AZ9" s="68">
        <f ca="1">IF(E9-'Invoer gegevens'!$C$17-14.5&lt;0,0,E9-'Invoer gegevens'!$C$17-14.5)</f>
        <v>0</v>
      </c>
    </row>
    <row r="10" spans="1:52" x14ac:dyDescent="0.25">
      <c r="A10" s="59"/>
      <c r="B10" s="70">
        <f t="shared" si="9"/>
        <v>6</v>
      </c>
      <c r="C10" s="67">
        <f ca="1">IF(E10-'Invoer gegevens'!$C$17&lt;0,0,1)</f>
        <v>1</v>
      </c>
      <c r="D10" s="68">
        <f t="shared" si="10"/>
        <v>5.5</v>
      </c>
      <c r="E10" s="69">
        <f ca="1">IF('Invoer gegevens'!$C$16="","",E9+1)</f>
        <v>2024</v>
      </c>
      <c r="F10" s="84">
        <f ca="1">IF('Invoer gegevens'!$C$17=E10,'Invoer gegevens'!$C$10,IF(C10=1,K9,0))</f>
        <v>0</v>
      </c>
      <c r="G10" s="96">
        <f ca="1">IF(C10&gt;=1,F10*VLOOKUP(E10,Reeksen!$A$5:$B$76,2),0)</f>
        <v>0</v>
      </c>
      <c r="H10" s="84">
        <f ca="1">(1-('Invoer gegevens'!$F$20/12))*F10*MIN(Reeksen!B10,Reeksen!D10)</f>
        <v>0</v>
      </c>
      <c r="I10" s="84">
        <f>IF(Reeksen!D10&lt;Reeksen!B10,(Reeksen!B10-Reeksen!D10)*F10,0)</f>
        <v>0</v>
      </c>
      <c r="J10" s="84">
        <f ca="1">('Invoer gegevens'!$F$20/12)*F9*MIN(Reeksen!B9,Reeksen!D9)</f>
        <v>0</v>
      </c>
      <c r="K10" s="97">
        <f t="shared" ca="1" si="0"/>
        <v>0</v>
      </c>
      <c r="L10" s="84">
        <f ca="1">IF('Invoer gegevens'!$C$17=E10,0,IF(C10=1,Q9,0))</f>
        <v>0</v>
      </c>
      <c r="M10" s="96">
        <f ca="1">IF(C10&gt;=1,L10*VLOOKUP(E10,Reeksen!$A$5:$B$76,2),0)</f>
        <v>0</v>
      </c>
      <c r="N10" s="84">
        <f ca="1">(1-('Invoer gegevens'!$F$20/12))*L10*MIN(Reeksen!B10,Reeksen!D10)</f>
        <v>0</v>
      </c>
      <c r="O10" s="84">
        <f>IF(Reeksen!D10&lt;Reeksen!B10,(Reeksen!B10-Reeksen!D10)*L10,0)</f>
        <v>0</v>
      </c>
      <c r="P10" s="84">
        <f ca="1">('Invoer gegevens'!$F$20/12)*L9*MIN(Reeksen!B9,Reeksen!D9)</f>
        <v>0</v>
      </c>
      <c r="Q10" s="84">
        <f t="shared" ca="1" si="1"/>
        <v>0</v>
      </c>
      <c r="R10" s="82">
        <f ca="1">IF('Invoer gegevens'!$C$17=E10,'Invoer gegevens'!$C$11,IF(C10=1,W9,0))</f>
        <v>0</v>
      </c>
      <c r="S10" s="86">
        <f ca="1">IF(C10&gt;=1,R10*VLOOKUP(E10,Reeksen!$A$5:$B$76,2),0)</f>
        <v>0</v>
      </c>
      <c r="T10" s="84">
        <f ca="1">(1-('Invoer gegevens'!$F$20/12))*R10*MIN(Reeksen!B10,Reeksen!D10)</f>
        <v>0</v>
      </c>
      <c r="U10" s="84">
        <f>IF(Reeksen!D10&gt;=Reeksen!B10,0,IF(Reeksen!AD10&lt;=Reeksen!AE10,(Reeksen!B10-Reeksen!D10)*R10,0))</f>
        <v>0</v>
      </c>
      <c r="V10" s="86">
        <f>IF(Reeksen!D10&gt;=Reeksen!B10,0,IF(Reeksen!AD10&gt;Reeksen!AE10,(Reeksen!B10-Reeksen!D10)*R10,0))</f>
        <v>0</v>
      </c>
      <c r="W10" s="97">
        <f t="shared" ca="1" si="2"/>
        <v>0</v>
      </c>
      <c r="X10" s="98">
        <f ca="1">IF('Invoer gegevens'!$C$17=E10,'Invoer gegevens'!$C$10-'Invoer gegevens'!$C$11,IF(C10=1,AC9,0))</f>
        <v>0</v>
      </c>
      <c r="Y10" s="98">
        <f ca="1">IF(C10&gt;=1,X10*VLOOKUP(E10,Reeksen!$A$5:$B$76,2),0)</f>
        <v>0</v>
      </c>
      <c r="Z10" s="98">
        <f ca="1">(1-('Invoer gegevens'!$F$20/12))*X10*MIN(Reeksen!B10,Reeksen!D10)</f>
        <v>0</v>
      </c>
      <c r="AA10" s="98">
        <f>IF(Reeksen!D10&gt;=Reeksen!B10,0,IF(Reeksen!AD10&lt;=Reeksen!AE10,(Reeksen!B10-Reeksen!D10)*X10,0))</f>
        <v>0</v>
      </c>
      <c r="AB10" s="98">
        <f>IF(Reeksen!D10&gt;=Reeksen!B10,0,IF(Reeksen!AD10&gt;Reeksen!AE10,(Reeksen!B10-Reeksen!D10)*X10,0))</f>
        <v>0</v>
      </c>
      <c r="AC10" s="99">
        <f t="shared" ca="1" si="3"/>
        <v>0</v>
      </c>
      <c r="AD10" s="98">
        <f ca="1">IF('Invoer gegevens'!$C$17=E10,R10,IF(C10=0,0,AE9))</f>
        <v>0</v>
      </c>
      <c r="AE10" s="98">
        <f t="shared" ca="1" si="4"/>
        <v>0</v>
      </c>
      <c r="AF10" s="98">
        <f ca="1">IF('Invoer gegevens'!$C$17=E10,X10,IF(C10=0,0,AG9))</f>
        <v>0</v>
      </c>
      <c r="AG10" s="98">
        <f t="shared" ca="1" si="5"/>
        <v>0</v>
      </c>
      <c r="AH10" s="66"/>
      <c r="AI10" s="71">
        <f ca="1">IF(C10=1,Reeksen!AI10*((F10-G10+F10)/2)*12+Reeksen!AD10*((L10-M10+L10)/2)*12,0)</f>
        <v>0</v>
      </c>
      <c r="AJ10" s="71">
        <f ca="1">-AI10*'Invoer gegevens'!$F$28</f>
        <v>0</v>
      </c>
      <c r="AK10" s="71">
        <f t="shared" ca="1" si="6"/>
        <v>0</v>
      </c>
      <c r="AL10" s="71">
        <f ca="1">IF(C10=1,Reeksen!AL10*((F10-G10+F10)/2)*12+Reeksen!AM10*((L10-M10+L10)/2)*12,0)</f>
        <v>0</v>
      </c>
      <c r="AM10" s="71">
        <f ca="1">-AL10*'Invoer gegevens'!$F$31</f>
        <v>0</v>
      </c>
      <c r="AN10" s="71">
        <f t="shared" ca="1" si="7"/>
        <v>0</v>
      </c>
      <c r="AO10" s="71">
        <f ca="1">IF(C10=1,(H10+J10+N10+P10)*Reeksen!AN10,0)</f>
        <v>0</v>
      </c>
      <c r="AP10" s="71">
        <f ca="1">-IF(C10=1,(H10+J10+N10+P10)*'Hulp - basis'!$G$550*Reeksen!H10,0)</f>
        <v>0</v>
      </c>
      <c r="AQ10" s="71">
        <f ca="1">-IF(C10=1,(F10+K10+L10+Q10)/2*'Invoer gegevens'!$F$35*Reeksen!J10,0)*2</f>
        <v>0</v>
      </c>
      <c r="AR10" s="71"/>
      <c r="AS10" s="71">
        <f ca="1">-IF(C10=1,(F10+K10+L10+Q10)/2*'Invoer gegevens'!$F$37*Reeksen!L10,0)</f>
        <v>0</v>
      </c>
      <c r="AT10" s="71">
        <f ca="1">-IF(C10=1,IF(E10='Invoer gegevens'!$C$17,'Invoer gegevens'!$C$11,AD10)*Reeksen!S10*'Invoer gegevens'!$C$18*Reeksen!P10,0)</f>
        <v>0</v>
      </c>
      <c r="AU10" s="71">
        <f ca="1">-IF(C10=1,(F10+K10+L10+Q10)/2*'Invoer gegevens'!$F$38*Reeksen!H10,0)</f>
        <v>0</v>
      </c>
      <c r="AV10" s="71">
        <f>IF('Invoer gegevens'!$C$3="Basis",0,#REF!)</f>
        <v>0</v>
      </c>
      <c r="AW10" s="71">
        <f t="shared" ca="1" si="8"/>
        <v>0</v>
      </c>
      <c r="AX10" s="71">
        <f ca="1">IF(E10&lt;'Invoer gegevens'!$C$17+15,0,IF(E10&gt;'Invoer gegevens'!$C$17+215,0,AW10))</f>
        <v>0</v>
      </c>
      <c r="AY10" s="71">
        <f ca="1">AX10/(1+'Invoer gegevens'!$F$18)^($AZ10-('Invoer gegevens'!$C$17-'Invoer gegevens'!$C$16))/(1+'Invoer gegevens'!$C$39)^('Invoer gegevens'!$C$17-'Invoer gegevens'!$C$16)</f>
        <v>0</v>
      </c>
      <c r="AZ10" s="68">
        <f ca="1">IF(E10-'Invoer gegevens'!$C$17-14.5&lt;0,0,E10-'Invoer gegevens'!$C$17-14.5)</f>
        <v>0</v>
      </c>
    </row>
    <row r="11" spans="1:52" x14ac:dyDescent="0.25">
      <c r="A11" s="59"/>
      <c r="B11" s="70">
        <f t="shared" si="9"/>
        <v>7</v>
      </c>
      <c r="C11" s="67">
        <f ca="1">IF(E11-'Invoer gegevens'!$C$17&lt;0,0,1)</f>
        <v>1</v>
      </c>
      <c r="D11" s="68">
        <f t="shared" si="10"/>
        <v>6.5</v>
      </c>
      <c r="E11" s="69">
        <f ca="1">IF('Invoer gegevens'!$C$16="","",E10+1)</f>
        <v>2025</v>
      </c>
      <c r="F11" s="84">
        <f ca="1">IF('Invoer gegevens'!$C$17=E11,'Invoer gegevens'!$C$10,IF(C11=1,K10,0))</f>
        <v>0</v>
      </c>
      <c r="G11" s="96">
        <f ca="1">IF(C11&gt;=1,F11*VLOOKUP(E11,Reeksen!$A$5:$B$76,2),0)</f>
        <v>0</v>
      </c>
      <c r="H11" s="84">
        <f ca="1">(1-('Invoer gegevens'!$F$20/12))*F11*MIN(Reeksen!B11,Reeksen!D11)</f>
        <v>0</v>
      </c>
      <c r="I11" s="84">
        <f>IF(Reeksen!D11&lt;Reeksen!B11,(Reeksen!B11-Reeksen!D11)*F11,0)</f>
        <v>0</v>
      </c>
      <c r="J11" s="84">
        <f ca="1">('Invoer gegevens'!$F$20/12)*F10*MIN(Reeksen!B10,Reeksen!D10)</f>
        <v>0</v>
      </c>
      <c r="K11" s="97">
        <f t="shared" ca="1" si="0"/>
        <v>0</v>
      </c>
      <c r="L11" s="84">
        <f ca="1">IF('Invoer gegevens'!$C$17=E11,0,IF(C11=1,Q10,0))</f>
        <v>0</v>
      </c>
      <c r="M11" s="96">
        <f ca="1">IF(C11&gt;=1,L11*VLOOKUP(E11,Reeksen!$A$5:$B$76,2),0)</f>
        <v>0</v>
      </c>
      <c r="N11" s="84">
        <f ca="1">(1-('Invoer gegevens'!$F$20/12))*L11*MIN(Reeksen!B11,Reeksen!D11)</f>
        <v>0</v>
      </c>
      <c r="O11" s="84">
        <f>IF(Reeksen!D11&lt;Reeksen!B11,(Reeksen!B11-Reeksen!D11)*L11,0)</f>
        <v>0</v>
      </c>
      <c r="P11" s="84">
        <f ca="1">('Invoer gegevens'!$F$20/12)*L10*MIN(Reeksen!B10,Reeksen!D10)</f>
        <v>0</v>
      </c>
      <c r="Q11" s="84">
        <f t="shared" ca="1" si="1"/>
        <v>0</v>
      </c>
      <c r="R11" s="82">
        <f ca="1">IF('Invoer gegevens'!$C$17=E11,'Invoer gegevens'!$C$11,IF(C11=1,W10,0))</f>
        <v>0</v>
      </c>
      <c r="S11" s="86">
        <f ca="1">IF(C11&gt;=1,R11*VLOOKUP(E11,Reeksen!$A$5:$B$76,2),0)</f>
        <v>0</v>
      </c>
      <c r="T11" s="84">
        <f ca="1">(1-('Invoer gegevens'!$F$20/12))*R11*MIN(Reeksen!B11,Reeksen!D11)</f>
        <v>0</v>
      </c>
      <c r="U11" s="84">
        <f>IF(Reeksen!D11&gt;=Reeksen!B11,0,IF(Reeksen!AD11&lt;=Reeksen!AE11,(Reeksen!B11-Reeksen!D11)*R11,0))</f>
        <v>0</v>
      </c>
      <c r="V11" s="86">
        <f>IF(Reeksen!D11&gt;=Reeksen!B11,0,IF(Reeksen!AD11&gt;Reeksen!AE11,(Reeksen!B11-Reeksen!D11)*R11,0))</f>
        <v>0</v>
      </c>
      <c r="W11" s="97">
        <f t="shared" ca="1" si="2"/>
        <v>0</v>
      </c>
      <c r="X11" s="98">
        <f ca="1">IF('Invoer gegevens'!$C$17=E11,'Invoer gegevens'!$C$10-'Invoer gegevens'!$C$11,IF(C11=1,AC10,0))</f>
        <v>0</v>
      </c>
      <c r="Y11" s="98">
        <f ca="1">IF(C11&gt;=1,X11*VLOOKUP(E11,Reeksen!$A$5:$B$76,2),0)</f>
        <v>0</v>
      </c>
      <c r="Z11" s="98">
        <f ca="1">(1-('Invoer gegevens'!$F$20/12))*X11*MIN(Reeksen!B11,Reeksen!D11)</f>
        <v>0</v>
      </c>
      <c r="AA11" s="98">
        <f>IF(Reeksen!D11&gt;=Reeksen!B11,0,IF(Reeksen!AD11&lt;=Reeksen!AE11,(Reeksen!B11-Reeksen!D11)*X11,0))</f>
        <v>0</v>
      </c>
      <c r="AB11" s="98">
        <f>IF(Reeksen!D11&gt;=Reeksen!B11,0,IF(Reeksen!AD11&gt;Reeksen!AE11,(Reeksen!B11-Reeksen!D11)*X11,0))</f>
        <v>0</v>
      </c>
      <c r="AC11" s="99">
        <f t="shared" ca="1" si="3"/>
        <v>0</v>
      </c>
      <c r="AD11" s="98">
        <f ca="1">IF('Invoer gegevens'!$C$17=E11,R11,IF(C11=0,0,AE10))</f>
        <v>0</v>
      </c>
      <c r="AE11" s="98">
        <f t="shared" ca="1" si="4"/>
        <v>0</v>
      </c>
      <c r="AF11" s="98">
        <f ca="1">IF('Invoer gegevens'!$C$17=E11,X11,IF(C11=0,0,AG10))</f>
        <v>0</v>
      </c>
      <c r="AG11" s="98">
        <f t="shared" ca="1" si="5"/>
        <v>0</v>
      </c>
      <c r="AH11" s="66"/>
      <c r="AI11" s="71">
        <f ca="1">IF(C11=1,Reeksen!AI11*((F11-G11+F11)/2)*12+Reeksen!AD11*((L11-M11+L11)/2)*12,0)</f>
        <v>0</v>
      </c>
      <c r="AJ11" s="71">
        <f ca="1">-AI11*'Invoer gegevens'!$F$28</f>
        <v>0</v>
      </c>
      <c r="AK11" s="71">
        <f t="shared" ca="1" si="6"/>
        <v>0</v>
      </c>
      <c r="AL11" s="71">
        <f ca="1">IF(C11=1,Reeksen!AL11*((F11-G11+F11)/2)*12+Reeksen!AM11*((L11-M11+L11)/2)*12,0)</f>
        <v>0</v>
      </c>
      <c r="AM11" s="71">
        <f ca="1">-AL11*'Invoer gegevens'!$F$31</f>
        <v>0</v>
      </c>
      <c r="AN11" s="71">
        <f t="shared" ca="1" si="7"/>
        <v>0</v>
      </c>
      <c r="AO11" s="71">
        <f ca="1">IF(C11=1,(H11+J11+N11+P11)*Reeksen!AN11,0)</f>
        <v>0</v>
      </c>
      <c r="AP11" s="71">
        <f ca="1">-IF(C11=1,(H11+J11+N11+P11)*'Hulp - basis'!$G$550*Reeksen!H11,0)</f>
        <v>0</v>
      </c>
      <c r="AQ11" s="71">
        <f ca="1">-IF(C11=1,(F11+K11+L11+Q11)/2*'Invoer gegevens'!$F$35*Reeksen!J11,0)*2</f>
        <v>0</v>
      </c>
      <c r="AR11" s="71"/>
      <c r="AS11" s="71">
        <f ca="1">-IF(C11=1,(F11+K11+L11+Q11)/2*'Invoer gegevens'!$F$37*Reeksen!L11,0)</f>
        <v>0</v>
      </c>
      <c r="AT11" s="71">
        <f ca="1">-IF(C11=1,IF(E11='Invoer gegevens'!$C$17,'Invoer gegevens'!$C$11,AD11)*Reeksen!S11*'Invoer gegevens'!$C$18*Reeksen!P11,0)</f>
        <v>0</v>
      </c>
      <c r="AU11" s="71">
        <f ca="1">-IF(C11=1,(F11+K11+L11+Q11)/2*'Invoer gegevens'!$F$38*Reeksen!H11,0)</f>
        <v>0</v>
      </c>
      <c r="AV11" s="71">
        <f>IF('Invoer gegevens'!$C$3="Basis",0,#REF!)</f>
        <v>0</v>
      </c>
      <c r="AW11" s="71">
        <f t="shared" ca="1" si="8"/>
        <v>0</v>
      </c>
      <c r="AX11" s="71">
        <f ca="1">IF(E11&lt;'Invoer gegevens'!$C$17+15,0,IF(E11&gt;'Invoer gegevens'!$C$17+215,0,AW11))</f>
        <v>0</v>
      </c>
      <c r="AY11" s="71">
        <f ca="1">AX11/(1+'Invoer gegevens'!$F$18)^($AZ11-('Invoer gegevens'!$C$17-'Invoer gegevens'!$C$16))/(1+'Invoer gegevens'!$C$39)^('Invoer gegevens'!$C$17-'Invoer gegevens'!$C$16)</f>
        <v>0</v>
      </c>
      <c r="AZ11" s="68">
        <f ca="1">IF(E11-'Invoer gegevens'!$C$17-14.5&lt;0,0,E11-'Invoer gegevens'!$C$17-14.5)</f>
        <v>0</v>
      </c>
    </row>
    <row r="12" spans="1:52" x14ac:dyDescent="0.25">
      <c r="A12" s="59"/>
      <c r="B12" s="70">
        <f t="shared" si="9"/>
        <v>8</v>
      </c>
      <c r="C12" s="67">
        <f ca="1">IF(E12-'Invoer gegevens'!$C$17&lt;0,0,1)</f>
        <v>1</v>
      </c>
      <c r="D12" s="68">
        <f t="shared" si="10"/>
        <v>7.5</v>
      </c>
      <c r="E12" s="69">
        <f ca="1">IF('Invoer gegevens'!$C$16="","",E11+1)</f>
        <v>2026</v>
      </c>
      <c r="F12" s="84">
        <f ca="1">IF('Invoer gegevens'!$C$17=E12,'Invoer gegevens'!$C$10,IF(C12=1,K11,0))</f>
        <v>0</v>
      </c>
      <c r="G12" s="96">
        <f ca="1">IF(C12&gt;=1,F12*VLOOKUP(E12,Reeksen!$A$5:$B$76,2),0)</f>
        <v>0</v>
      </c>
      <c r="H12" s="84">
        <f ca="1">(1-('Invoer gegevens'!$F$20/12))*F12*MIN(Reeksen!B12,Reeksen!D12)</f>
        <v>0</v>
      </c>
      <c r="I12" s="84">
        <f>IF(Reeksen!D12&lt;Reeksen!B12,(Reeksen!B12-Reeksen!D12)*F12,0)</f>
        <v>0</v>
      </c>
      <c r="J12" s="84">
        <f ca="1">('Invoer gegevens'!$F$20/12)*F11*MIN(Reeksen!B11,Reeksen!D11)</f>
        <v>0</v>
      </c>
      <c r="K12" s="97">
        <f t="shared" ca="1" si="0"/>
        <v>0</v>
      </c>
      <c r="L12" s="84">
        <f ca="1">IF('Invoer gegevens'!$C$17=E12,0,IF(C12=1,Q11,0))</f>
        <v>0</v>
      </c>
      <c r="M12" s="96">
        <f ca="1">IF(C12&gt;=1,L12*VLOOKUP(E12,Reeksen!$A$5:$B$76,2),0)</f>
        <v>0</v>
      </c>
      <c r="N12" s="84">
        <f ca="1">(1-('Invoer gegevens'!$F$20/12))*L12*MIN(Reeksen!B12,Reeksen!D12)</f>
        <v>0</v>
      </c>
      <c r="O12" s="84">
        <f>IF(Reeksen!D12&lt;Reeksen!B12,(Reeksen!B12-Reeksen!D12)*L12,0)</f>
        <v>0</v>
      </c>
      <c r="P12" s="84">
        <f ca="1">('Invoer gegevens'!$F$20/12)*L11*MIN(Reeksen!B11,Reeksen!D11)</f>
        <v>0</v>
      </c>
      <c r="Q12" s="84">
        <f t="shared" ca="1" si="1"/>
        <v>0</v>
      </c>
      <c r="R12" s="82">
        <f ca="1">IF('Invoer gegevens'!$C$17=E12,'Invoer gegevens'!$C$11,IF(C12=1,W11,0))</f>
        <v>0</v>
      </c>
      <c r="S12" s="86">
        <f ca="1">IF(C12&gt;=1,R12*VLOOKUP(E12,Reeksen!$A$5:$B$76,2),0)</f>
        <v>0</v>
      </c>
      <c r="T12" s="84">
        <f ca="1">(1-('Invoer gegevens'!$F$20/12))*R12*MIN(Reeksen!B12,Reeksen!D12)</f>
        <v>0</v>
      </c>
      <c r="U12" s="84">
        <f>IF(Reeksen!D12&gt;=Reeksen!B12,0,IF(Reeksen!AD12&lt;=Reeksen!AE12,(Reeksen!B12-Reeksen!D12)*R12,0))</f>
        <v>0</v>
      </c>
      <c r="V12" s="86">
        <f>IF(Reeksen!D12&gt;=Reeksen!B12,0,IF(Reeksen!AD12&gt;Reeksen!AE12,(Reeksen!B12-Reeksen!D12)*R12,0))</f>
        <v>0</v>
      </c>
      <c r="W12" s="97">
        <f t="shared" ca="1" si="2"/>
        <v>0</v>
      </c>
      <c r="X12" s="98">
        <f ca="1">IF('Invoer gegevens'!$C$17=E12,'Invoer gegevens'!$C$10-'Invoer gegevens'!$C$11,IF(C12=1,AC11,0))</f>
        <v>0</v>
      </c>
      <c r="Y12" s="98">
        <f ca="1">IF(C12&gt;=1,X12*VLOOKUP(E12,Reeksen!$A$5:$B$76,2),0)</f>
        <v>0</v>
      </c>
      <c r="Z12" s="98">
        <f ca="1">(1-('Invoer gegevens'!$F$20/12))*X12*MIN(Reeksen!B12,Reeksen!D12)</f>
        <v>0</v>
      </c>
      <c r="AA12" s="98">
        <f>IF(Reeksen!D12&gt;=Reeksen!B12,0,IF(Reeksen!AD12&lt;=Reeksen!AE12,(Reeksen!B12-Reeksen!D12)*X12,0))</f>
        <v>0</v>
      </c>
      <c r="AB12" s="98">
        <f>IF(Reeksen!D12&gt;=Reeksen!B12,0,IF(Reeksen!AD12&gt;Reeksen!AE12,(Reeksen!B12-Reeksen!D12)*X12,0))</f>
        <v>0</v>
      </c>
      <c r="AC12" s="99">
        <f t="shared" ca="1" si="3"/>
        <v>0</v>
      </c>
      <c r="AD12" s="98">
        <f ca="1">IF('Invoer gegevens'!$C$17=E12,R12,IF(C12=0,0,AE11))</f>
        <v>0</v>
      </c>
      <c r="AE12" s="98">
        <f t="shared" ca="1" si="4"/>
        <v>0</v>
      </c>
      <c r="AF12" s="98">
        <f ca="1">IF('Invoer gegevens'!$C$17=E12,X12,IF(C12=0,0,AG11))</f>
        <v>0</v>
      </c>
      <c r="AG12" s="98">
        <f t="shared" ca="1" si="5"/>
        <v>0</v>
      </c>
      <c r="AH12" s="66"/>
      <c r="AI12" s="71">
        <f ca="1">IF(C12=1,Reeksen!AI12*((F12-G12+F12)/2)*12+Reeksen!AD12*((L12-M12+L12)/2)*12,0)</f>
        <v>0</v>
      </c>
      <c r="AJ12" s="71">
        <f ca="1">-AI12*'Invoer gegevens'!$F$28</f>
        <v>0</v>
      </c>
      <c r="AK12" s="71">
        <f t="shared" ca="1" si="6"/>
        <v>0</v>
      </c>
      <c r="AL12" s="71">
        <f ca="1">IF(C12=1,Reeksen!AL12*((F12-G12+F12)/2)*12+Reeksen!AM12*((L12-M12+L12)/2)*12,0)</f>
        <v>0</v>
      </c>
      <c r="AM12" s="71">
        <f ca="1">-AL12*'Invoer gegevens'!$F$31</f>
        <v>0</v>
      </c>
      <c r="AN12" s="71">
        <f t="shared" ca="1" si="7"/>
        <v>0</v>
      </c>
      <c r="AO12" s="71">
        <f ca="1">IF(C12=1,(H12+J12+N12+P12)*Reeksen!AN12,0)</f>
        <v>0</v>
      </c>
      <c r="AP12" s="71">
        <f ca="1">-IF(C12=1,(H12+J12+N12+P12)*'Hulp - basis'!$G$550*Reeksen!H12,0)</f>
        <v>0</v>
      </c>
      <c r="AQ12" s="71">
        <f ca="1">-IF(C12=1,(F12+K12+L12+Q12)/2*'Invoer gegevens'!$F$35*Reeksen!J12,0)*2</f>
        <v>0</v>
      </c>
      <c r="AR12" s="71"/>
      <c r="AS12" s="71">
        <f ca="1">-IF(C12=1,(F12+K12+L12+Q12)/2*'Invoer gegevens'!$F$37*Reeksen!L12,0)</f>
        <v>0</v>
      </c>
      <c r="AT12" s="71">
        <f ca="1">-IF(C12=1,IF(E12='Invoer gegevens'!$C$17,'Invoer gegevens'!$C$11,AD12)*Reeksen!S12*'Invoer gegevens'!$C$18*Reeksen!P12,0)</f>
        <v>0</v>
      </c>
      <c r="AU12" s="71">
        <f ca="1">-IF(C12=1,(F12+K12+L12+Q12)/2*'Invoer gegevens'!$F$38*Reeksen!H12,0)</f>
        <v>0</v>
      </c>
      <c r="AV12" s="71">
        <f>IF('Invoer gegevens'!$C$3="Basis",0,#REF!)</f>
        <v>0</v>
      </c>
      <c r="AW12" s="71">
        <f t="shared" ca="1" si="8"/>
        <v>0</v>
      </c>
      <c r="AX12" s="71">
        <f ca="1">IF(E12&lt;'Invoer gegevens'!$C$17+15,0,IF(E12&gt;'Invoer gegevens'!$C$17+215,0,AW12))</f>
        <v>0</v>
      </c>
      <c r="AY12" s="71">
        <f ca="1">AX12/(1+'Invoer gegevens'!$F$18)^($AZ12-('Invoer gegevens'!$C$17-'Invoer gegevens'!$C$16))/(1+'Invoer gegevens'!$C$39)^('Invoer gegevens'!$C$17-'Invoer gegevens'!$C$16)</f>
        <v>0</v>
      </c>
      <c r="AZ12" s="68">
        <f ca="1">IF(E12-'Invoer gegevens'!$C$17-14.5&lt;0,0,E12-'Invoer gegevens'!$C$17-14.5)</f>
        <v>0</v>
      </c>
    </row>
    <row r="13" spans="1:52" x14ac:dyDescent="0.25">
      <c r="A13" s="59"/>
      <c r="B13" s="70">
        <f t="shared" si="9"/>
        <v>9</v>
      </c>
      <c r="C13" s="67">
        <f ca="1">IF(E13-'Invoer gegevens'!$C$17&lt;0,0,1)</f>
        <v>1</v>
      </c>
      <c r="D13" s="68">
        <f t="shared" si="10"/>
        <v>8.5</v>
      </c>
      <c r="E13" s="69">
        <f ca="1">IF('Invoer gegevens'!$C$16="","",E12+1)</f>
        <v>2027</v>
      </c>
      <c r="F13" s="84">
        <f ca="1">IF('Invoer gegevens'!$C$17=E13,'Invoer gegevens'!$C$10,IF(C13=1,K12,0))</f>
        <v>0</v>
      </c>
      <c r="G13" s="96">
        <f ca="1">IF(C13&gt;=1,F13*VLOOKUP(E13,Reeksen!$A$5:$B$76,2),0)</f>
        <v>0</v>
      </c>
      <c r="H13" s="84">
        <f ca="1">(1-('Invoer gegevens'!$F$20/12))*F13*MIN(Reeksen!B13,Reeksen!D13)</f>
        <v>0</v>
      </c>
      <c r="I13" s="84">
        <f>IF(Reeksen!D13&lt;Reeksen!B13,(Reeksen!B13-Reeksen!D13)*F13,0)</f>
        <v>0</v>
      </c>
      <c r="J13" s="84">
        <f ca="1">('Invoer gegevens'!$F$20/12)*F12*MIN(Reeksen!B12,Reeksen!D12)</f>
        <v>0</v>
      </c>
      <c r="K13" s="97">
        <f t="shared" ca="1" si="0"/>
        <v>0</v>
      </c>
      <c r="L13" s="84">
        <f ca="1">IF('Invoer gegevens'!$C$17=E13,0,IF(C13=1,Q12,0))</f>
        <v>0</v>
      </c>
      <c r="M13" s="96">
        <f ca="1">IF(C13&gt;=1,L13*VLOOKUP(E13,Reeksen!$A$5:$B$76,2),0)</f>
        <v>0</v>
      </c>
      <c r="N13" s="84">
        <f ca="1">(1-('Invoer gegevens'!$F$20/12))*L13*MIN(Reeksen!B13,Reeksen!D13)</f>
        <v>0</v>
      </c>
      <c r="O13" s="84">
        <f>IF(Reeksen!D13&lt;Reeksen!B13,(Reeksen!B13-Reeksen!D13)*L13,0)</f>
        <v>0</v>
      </c>
      <c r="P13" s="84">
        <f ca="1">('Invoer gegevens'!$F$20/12)*L12*MIN(Reeksen!B12,Reeksen!D12)</f>
        <v>0</v>
      </c>
      <c r="Q13" s="84">
        <f t="shared" ca="1" si="1"/>
        <v>0</v>
      </c>
      <c r="R13" s="82">
        <f ca="1">IF('Invoer gegevens'!$C$17=E13,'Invoer gegevens'!$C$11,IF(C13=1,W12,0))</f>
        <v>0</v>
      </c>
      <c r="S13" s="86">
        <f ca="1">IF(C13&gt;=1,R13*VLOOKUP(E13,Reeksen!$A$5:$B$76,2),0)</f>
        <v>0</v>
      </c>
      <c r="T13" s="84">
        <f ca="1">(1-('Invoer gegevens'!$F$20/12))*R13*MIN(Reeksen!B13,Reeksen!D13)</f>
        <v>0</v>
      </c>
      <c r="U13" s="84">
        <f>IF(Reeksen!D13&gt;=Reeksen!B13,0,IF(Reeksen!AD13&lt;=Reeksen!AE13,(Reeksen!B13-Reeksen!D13)*R13,0))</f>
        <v>0</v>
      </c>
      <c r="V13" s="86">
        <f>IF(Reeksen!D13&gt;=Reeksen!B13,0,IF(Reeksen!AD13&gt;Reeksen!AE13,(Reeksen!B13-Reeksen!D13)*R13,0))</f>
        <v>0</v>
      </c>
      <c r="W13" s="97">
        <f t="shared" ca="1" si="2"/>
        <v>0</v>
      </c>
      <c r="X13" s="98">
        <f ca="1">IF('Invoer gegevens'!$C$17=E13,'Invoer gegevens'!$C$10-'Invoer gegevens'!$C$11,IF(C13=1,AC12,0))</f>
        <v>0</v>
      </c>
      <c r="Y13" s="98">
        <f ca="1">IF(C13&gt;=1,X13*VLOOKUP(E13,Reeksen!$A$5:$B$76,2),0)</f>
        <v>0</v>
      </c>
      <c r="Z13" s="98">
        <f ca="1">(1-('Invoer gegevens'!$F$20/12))*X13*MIN(Reeksen!B13,Reeksen!D13)</f>
        <v>0</v>
      </c>
      <c r="AA13" s="98">
        <f>IF(Reeksen!D13&gt;=Reeksen!B13,0,IF(Reeksen!AD13&lt;=Reeksen!AE13,(Reeksen!B13-Reeksen!D13)*X13,0))</f>
        <v>0</v>
      </c>
      <c r="AB13" s="98">
        <f>IF(Reeksen!D13&gt;=Reeksen!B13,0,IF(Reeksen!AD13&gt;Reeksen!AE13,(Reeksen!B13-Reeksen!D13)*X13,0))</f>
        <v>0</v>
      </c>
      <c r="AC13" s="99">
        <f t="shared" ca="1" si="3"/>
        <v>0</v>
      </c>
      <c r="AD13" s="98">
        <f ca="1">IF('Invoer gegevens'!$C$17=E13,R13,IF(C13=0,0,AE12))</f>
        <v>0</v>
      </c>
      <c r="AE13" s="98">
        <f t="shared" ca="1" si="4"/>
        <v>0</v>
      </c>
      <c r="AF13" s="98">
        <f ca="1">IF('Invoer gegevens'!$C$17=E13,X13,IF(C13=0,0,AG12))</f>
        <v>0</v>
      </c>
      <c r="AG13" s="98">
        <f t="shared" ca="1" si="5"/>
        <v>0</v>
      </c>
      <c r="AH13" s="66"/>
      <c r="AI13" s="71">
        <f ca="1">IF(C13=1,Reeksen!AI13*((F13-G13+F13)/2)*12+Reeksen!AD13*((L13-M13+L13)/2)*12,0)</f>
        <v>0</v>
      </c>
      <c r="AJ13" s="71">
        <f ca="1">-AI13*'Invoer gegevens'!$F$28</f>
        <v>0</v>
      </c>
      <c r="AK13" s="71">
        <f t="shared" ca="1" si="6"/>
        <v>0</v>
      </c>
      <c r="AL13" s="71">
        <f ca="1">IF(C13=1,Reeksen!AL13*((F13-G13+F13)/2)*12+Reeksen!AM13*((L13-M13+L13)/2)*12,0)</f>
        <v>0</v>
      </c>
      <c r="AM13" s="71">
        <f ca="1">-AL13*'Invoer gegevens'!$F$31</f>
        <v>0</v>
      </c>
      <c r="AN13" s="71">
        <f t="shared" ca="1" si="7"/>
        <v>0</v>
      </c>
      <c r="AO13" s="71">
        <f ca="1">IF(C13=1,(H13+J13+N13+P13)*Reeksen!AN13,0)</f>
        <v>0</v>
      </c>
      <c r="AP13" s="71">
        <f ca="1">-IF(C13=1,(H13+J13+N13+P13)*'Hulp - basis'!$G$550*Reeksen!H13,0)</f>
        <v>0</v>
      </c>
      <c r="AQ13" s="71">
        <f ca="1">-IF(C13=1,(F13+K13+L13+Q13)/2*'Invoer gegevens'!$F$35*Reeksen!J13,0)*2</f>
        <v>0</v>
      </c>
      <c r="AR13" s="71"/>
      <c r="AS13" s="71">
        <f ca="1">-IF(C13=1,(F13+K13+L13+Q13)/2*'Invoer gegevens'!$F$37*Reeksen!L13,0)</f>
        <v>0</v>
      </c>
      <c r="AT13" s="71">
        <f ca="1">-IF(C13=1,IF(E13='Invoer gegevens'!$C$17,'Invoer gegevens'!$C$11,AD13)*Reeksen!S13*'Invoer gegevens'!$C$18*Reeksen!P13,0)</f>
        <v>0</v>
      </c>
      <c r="AU13" s="71">
        <f ca="1">-IF(C13=1,(F13+K13+L13+Q13)/2*'Invoer gegevens'!$F$38*Reeksen!H13,0)</f>
        <v>0</v>
      </c>
      <c r="AV13" s="71">
        <f>IF('Invoer gegevens'!$C$3="Basis",0,#REF!)</f>
        <v>0</v>
      </c>
      <c r="AW13" s="71">
        <f t="shared" ca="1" si="8"/>
        <v>0</v>
      </c>
      <c r="AX13" s="71">
        <f ca="1">IF(E13&lt;'Invoer gegevens'!$C$17+15,0,IF(E13&gt;'Invoer gegevens'!$C$17+215,0,AW13))</f>
        <v>0</v>
      </c>
      <c r="AY13" s="71">
        <f ca="1">AX13/(1+'Invoer gegevens'!$F$18)^($AZ13-('Invoer gegevens'!$C$17-'Invoer gegevens'!$C$16))/(1+'Invoer gegevens'!$C$39)^('Invoer gegevens'!$C$17-'Invoer gegevens'!$C$16)</f>
        <v>0</v>
      </c>
      <c r="AZ13" s="68">
        <f ca="1">IF(E13-'Invoer gegevens'!$C$17-14.5&lt;0,0,E13-'Invoer gegevens'!$C$17-14.5)</f>
        <v>0</v>
      </c>
    </row>
    <row r="14" spans="1:52" x14ac:dyDescent="0.25">
      <c r="A14" s="59"/>
      <c r="B14" s="70">
        <f t="shared" si="9"/>
        <v>10</v>
      </c>
      <c r="C14" s="67">
        <f ca="1">IF(E14-'Invoer gegevens'!$C$17&lt;0,0,1)</f>
        <v>1</v>
      </c>
      <c r="D14" s="68">
        <f t="shared" si="10"/>
        <v>9.5</v>
      </c>
      <c r="E14" s="69">
        <f ca="1">IF('Invoer gegevens'!$C$16="","",E13+1)</f>
        <v>2028</v>
      </c>
      <c r="F14" s="84">
        <f ca="1">IF('Invoer gegevens'!$C$17=E14,'Invoer gegevens'!$C$10,IF(C14=1,K13,0))</f>
        <v>0</v>
      </c>
      <c r="G14" s="96">
        <f ca="1">IF(C14&gt;=1,F14*VLOOKUP(E14,Reeksen!$A$5:$B$76,2),0)</f>
        <v>0</v>
      </c>
      <c r="H14" s="84">
        <f ca="1">(1-('Invoer gegevens'!$F$20/12))*F14*MIN(Reeksen!B14,Reeksen!D14)</f>
        <v>0</v>
      </c>
      <c r="I14" s="84">
        <f>IF(Reeksen!D14&lt;Reeksen!B14,(Reeksen!B14-Reeksen!D14)*F14,0)</f>
        <v>0</v>
      </c>
      <c r="J14" s="84">
        <f ca="1">('Invoer gegevens'!$F$20/12)*F13*MIN(Reeksen!B13,Reeksen!D13)</f>
        <v>0</v>
      </c>
      <c r="K14" s="97">
        <f t="shared" ca="1" si="0"/>
        <v>0</v>
      </c>
      <c r="L14" s="84">
        <f ca="1">IF('Invoer gegevens'!$C$17=E14,0,IF(C14=1,Q13,0))</f>
        <v>0</v>
      </c>
      <c r="M14" s="96">
        <f ca="1">IF(C14&gt;=1,L14*VLOOKUP(E14,Reeksen!$A$5:$B$76,2),0)</f>
        <v>0</v>
      </c>
      <c r="N14" s="84">
        <f ca="1">(1-('Invoer gegevens'!$F$20/12))*L14*MIN(Reeksen!B14,Reeksen!D14)</f>
        <v>0</v>
      </c>
      <c r="O14" s="84">
        <f>IF(Reeksen!D14&lt;Reeksen!B14,(Reeksen!B14-Reeksen!D14)*L14,0)</f>
        <v>0</v>
      </c>
      <c r="P14" s="84">
        <f ca="1">('Invoer gegevens'!$F$20/12)*L13*MIN(Reeksen!B13,Reeksen!D13)</f>
        <v>0</v>
      </c>
      <c r="Q14" s="84">
        <f t="shared" ca="1" si="1"/>
        <v>0</v>
      </c>
      <c r="R14" s="82">
        <f ca="1">IF('Invoer gegevens'!$C$17=E14,'Invoer gegevens'!$C$11,IF(C14=1,W13,0))</f>
        <v>0</v>
      </c>
      <c r="S14" s="86">
        <f ca="1">IF(C14&gt;=1,R14*VLOOKUP(E14,Reeksen!$A$5:$B$76,2),0)</f>
        <v>0</v>
      </c>
      <c r="T14" s="84">
        <f ca="1">(1-('Invoer gegevens'!$F$20/12))*R14*MIN(Reeksen!B14,Reeksen!D14)</f>
        <v>0</v>
      </c>
      <c r="U14" s="84">
        <f>IF(Reeksen!D14&gt;=Reeksen!B14,0,IF(Reeksen!AD14&lt;=Reeksen!AE14,(Reeksen!B14-Reeksen!D14)*R14,0))</f>
        <v>0</v>
      </c>
      <c r="V14" s="86">
        <f>IF(Reeksen!D14&gt;=Reeksen!B14,0,IF(Reeksen!AD14&gt;Reeksen!AE14,(Reeksen!B14-Reeksen!D14)*R14,0))</f>
        <v>0</v>
      </c>
      <c r="W14" s="97">
        <f t="shared" ca="1" si="2"/>
        <v>0</v>
      </c>
      <c r="X14" s="98">
        <f ca="1">IF('Invoer gegevens'!$C$17=E14,'Invoer gegevens'!$C$10-'Invoer gegevens'!$C$11,IF(C14=1,AC13,0))</f>
        <v>0</v>
      </c>
      <c r="Y14" s="98">
        <f ca="1">IF(C14&gt;=1,X14*VLOOKUP(E14,Reeksen!$A$5:$B$76,2),0)</f>
        <v>0</v>
      </c>
      <c r="Z14" s="98">
        <f ca="1">(1-('Invoer gegevens'!$F$20/12))*X14*MIN(Reeksen!B14,Reeksen!D14)</f>
        <v>0</v>
      </c>
      <c r="AA14" s="98">
        <f>IF(Reeksen!D14&gt;=Reeksen!B14,0,IF(Reeksen!AD14&lt;=Reeksen!AE14,(Reeksen!B14-Reeksen!D14)*X14,0))</f>
        <v>0</v>
      </c>
      <c r="AB14" s="98">
        <f>IF(Reeksen!D14&gt;=Reeksen!B14,0,IF(Reeksen!AD14&gt;Reeksen!AE14,(Reeksen!B14-Reeksen!D14)*X14,0))</f>
        <v>0</v>
      </c>
      <c r="AC14" s="99">
        <f t="shared" ca="1" si="3"/>
        <v>0</v>
      </c>
      <c r="AD14" s="98">
        <f ca="1">IF('Invoer gegevens'!$C$17=E14,R14,IF(C14=0,0,AE13))</f>
        <v>0</v>
      </c>
      <c r="AE14" s="98">
        <f t="shared" ca="1" si="4"/>
        <v>0</v>
      </c>
      <c r="AF14" s="98">
        <f ca="1">IF('Invoer gegevens'!$C$17=E14,X14,IF(C14=0,0,AG13))</f>
        <v>0</v>
      </c>
      <c r="AG14" s="98">
        <f t="shared" ca="1" si="5"/>
        <v>0</v>
      </c>
      <c r="AH14" s="66"/>
      <c r="AI14" s="71">
        <f ca="1">IF(C14=1,Reeksen!AI14*((F14-G14+F14)/2)*12+Reeksen!AD14*((L14-M14+L14)/2)*12,0)</f>
        <v>0</v>
      </c>
      <c r="AJ14" s="71">
        <f ca="1">-AI14*'Invoer gegevens'!$F$28</f>
        <v>0</v>
      </c>
      <c r="AK14" s="71">
        <f t="shared" ca="1" si="6"/>
        <v>0</v>
      </c>
      <c r="AL14" s="71">
        <f ca="1">IF(C14=1,Reeksen!AL14*((F14-G14+F14)/2)*12+Reeksen!AM14*((L14-M14+L14)/2)*12,0)</f>
        <v>0</v>
      </c>
      <c r="AM14" s="71">
        <f ca="1">-AL14*'Invoer gegevens'!$F$31</f>
        <v>0</v>
      </c>
      <c r="AN14" s="71">
        <f t="shared" ca="1" si="7"/>
        <v>0</v>
      </c>
      <c r="AO14" s="71">
        <f ca="1">IF(C14=1,(H14+J14+N14+P14)*Reeksen!AN14,0)</f>
        <v>0</v>
      </c>
      <c r="AP14" s="71">
        <f ca="1">-IF(C14=1,(H14+J14+N14+P14)*'Hulp - basis'!$G$550*Reeksen!H14,0)</f>
        <v>0</v>
      </c>
      <c r="AQ14" s="71">
        <f ca="1">-IF(C14=1,(F14+K14+L14+Q14)/2*'Invoer gegevens'!$F$35*Reeksen!J14,0)*2</f>
        <v>0</v>
      </c>
      <c r="AR14" s="71"/>
      <c r="AS14" s="71">
        <f ca="1">-IF(C14=1,(F14+K14+L14+Q14)/2*'Invoer gegevens'!$F$37*Reeksen!L14,0)</f>
        <v>0</v>
      </c>
      <c r="AT14" s="71">
        <f ca="1">-IF(C14=1,IF(E14='Invoer gegevens'!$C$17,'Invoer gegevens'!$C$11,AD14)*Reeksen!S14*'Invoer gegevens'!$C$18*Reeksen!P14,0)</f>
        <v>0</v>
      </c>
      <c r="AU14" s="71">
        <f ca="1">-IF(C14=1,(F14+K14+L14+Q14)/2*'Invoer gegevens'!$F$38*Reeksen!H14,0)</f>
        <v>0</v>
      </c>
      <c r="AV14" s="71">
        <f>IF('Invoer gegevens'!$C$3="Basis",0,#REF!)</f>
        <v>0</v>
      </c>
      <c r="AW14" s="71">
        <f t="shared" ca="1" si="8"/>
        <v>0</v>
      </c>
      <c r="AX14" s="71">
        <f ca="1">IF(E14&lt;'Invoer gegevens'!$C$17+15,0,IF(E14&gt;'Invoer gegevens'!$C$17+215,0,AW14))</f>
        <v>0</v>
      </c>
      <c r="AY14" s="71">
        <f ca="1">AX14/(1+'Invoer gegevens'!$F$18)^($AZ14-('Invoer gegevens'!$C$17-'Invoer gegevens'!$C$16))/(1+'Invoer gegevens'!$C$39)^('Invoer gegevens'!$C$17-'Invoer gegevens'!$C$16)</f>
        <v>0</v>
      </c>
      <c r="AZ14" s="68">
        <f ca="1">IF(E14-'Invoer gegevens'!$C$17-14.5&lt;0,0,E14-'Invoer gegevens'!$C$17-14.5)</f>
        <v>0</v>
      </c>
    </row>
    <row r="15" spans="1:52" x14ac:dyDescent="0.25">
      <c r="A15" s="59"/>
      <c r="B15" s="70">
        <f t="shared" si="9"/>
        <v>11</v>
      </c>
      <c r="C15" s="67">
        <f ca="1">IF(E15-'Invoer gegevens'!$C$17&lt;0,0,1)</f>
        <v>1</v>
      </c>
      <c r="D15" s="68">
        <f t="shared" si="10"/>
        <v>10.5</v>
      </c>
      <c r="E15" s="69">
        <f ca="1">IF('Invoer gegevens'!$C$16="","",E14+1)</f>
        <v>2029</v>
      </c>
      <c r="F15" s="84">
        <f ca="1">IF('Invoer gegevens'!$C$17=E15,'Invoer gegevens'!$C$10,IF(C15=1,K14,0))</f>
        <v>0</v>
      </c>
      <c r="G15" s="96">
        <f ca="1">IF(C15&gt;=1,F15*VLOOKUP(E15,Reeksen!$A$5:$B$76,2),0)</f>
        <v>0</v>
      </c>
      <c r="H15" s="84">
        <f ca="1">(1-('Invoer gegevens'!$F$20/12))*F15*MIN(Reeksen!B15,Reeksen!D15)</f>
        <v>0</v>
      </c>
      <c r="I15" s="84">
        <f>IF(Reeksen!D15&lt;Reeksen!B15,(Reeksen!B15-Reeksen!D15)*F15,0)</f>
        <v>0</v>
      </c>
      <c r="J15" s="84">
        <f ca="1">('Invoer gegevens'!$F$20/12)*F14*MIN(Reeksen!B14,Reeksen!D14)</f>
        <v>0</v>
      </c>
      <c r="K15" s="97">
        <f t="shared" ca="1" si="0"/>
        <v>0</v>
      </c>
      <c r="L15" s="84">
        <f ca="1">IF('Invoer gegevens'!$C$17=E15,0,IF(C15=1,Q14,0))</f>
        <v>0</v>
      </c>
      <c r="M15" s="96">
        <f ca="1">IF(C15&gt;=1,L15*VLOOKUP(E15,Reeksen!$A$5:$B$76,2),0)</f>
        <v>0</v>
      </c>
      <c r="N15" s="84">
        <f ca="1">(1-('Invoer gegevens'!$F$20/12))*L15*MIN(Reeksen!B15,Reeksen!D15)</f>
        <v>0</v>
      </c>
      <c r="O15" s="84">
        <f>IF(Reeksen!D15&lt;Reeksen!B15,(Reeksen!B15-Reeksen!D15)*L15,0)</f>
        <v>0</v>
      </c>
      <c r="P15" s="84">
        <f ca="1">('Invoer gegevens'!$F$20/12)*L14*MIN(Reeksen!B14,Reeksen!D14)</f>
        <v>0</v>
      </c>
      <c r="Q15" s="84">
        <f t="shared" ca="1" si="1"/>
        <v>0</v>
      </c>
      <c r="R15" s="82">
        <f ca="1">IF('Invoer gegevens'!$C$17=E15,'Invoer gegevens'!$C$11,IF(C15=1,W14,0))</f>
        <v>0</v>
      </c>
      <c r="S15" s="86">
        <f ca="1">IF(C15&gt;=1,R15*VLOOKUP(E15,Reeksen!$A$5:$B$76,2),0)</f>
        <v>0</v>
      </c>
      <c r="T15" s="84">
        <f ca="1">(1-('Invoer gegevens'!$F$20/12))*R15*MIN(Reeksen!B15,Reeksen!D15)</f>
        <v>0</v>
      </c>
      <c r="U15" s="84">
        <f>IF(Reeksen!D15&gt;=Reeksen!B15,0,IF(Reeksen!AD15&lt;=Reeksen!AE15,(Reeksen!B15-Reeksen!D15)*R15,0))</f>
        <v>0</v>
      </c>
      <c r="V15" s="86">
        <f>IF(Reeksen!D15&gt;=Reeksen!B15,0,IF(Reeksen!AD15&gt;Reeksen!AE15,(Reeksen!B15-Reeksen!D15)*R15,0))</f>
        <v>0</v>
      </c>
      <c r="W15" s="97">
        <f t="shared" ca="1" si="2"/>
        <v>0</v>
      </c>
      <c r="X15" s="98">
        <f ca="1">IF('Invoer gegevens'!$C$17=E15,'Invoer gegevens'!$C$10-'Invoer gegevens'!$C$11,IF(C15=1,AC14,0))</f>
        <v>0</v>
      </c>
      <c r="Y15" s="98">
        <f ca="1">IF(C15&gt;=1,X15*VLOOKUP(E15,Reeksen!$A$5:$B$76,2),0)</f>
        <v>0</v>
      </c>
      <c r="Z15" s="98">
        <f ca="1">(1-('Invoer gegevens'!$F$20/12))*X15*MIN(Reeksen!B15,Reeksen!D15)</f>
        <v>0</v>
      </c>
      <c r="AA15" s="98">
        <f>IF(Reeksen!D15&gt;=Reeksen!B15,0,IF(Reeksen!AD15&lt;=Reeksen!AE15,(Reeksen!B15-Reeksen!D15)*X15,0))</f>
        <v>0</v>
      </c>
      <c r="AB15" s="98">
        <f>IF(Reeksen!D15&gt;=Reeksen!B15,0,IF(Reeksen!AD15&gt;Reeksen!AE15,(Reeksen!B15-Reeksen!D15)*X15,0))</f>
        <v>0</v>
      </c>
      <c r="AC15" s="99">
        <f t="shared" ca="1" si="3"/>
        <v>0</v>
      </c>
      <c r="AD15" s="98">
        <f ca="1">IF('Invoer gegevens'!$C$17=E15,R15,IF(C15=0,0,AE14))</f>
        <v>0</v>
      </c>
      <c r="AE15" s="98">
        <f t="shared" ca="1" si="4"/>
        <v>0</v>
      </c>
      <c r="AF15" s="98">
        <f ca="1">IF('Invoer gegevens'!$C$17=E15,X15,IF(C15=0,0,AG14))</f>
        <v>0</v>
      </c>
      <c r="AG15" s="98">
        <f t="shared" ca="1" si="5"/>
        <v>0</v>
      </c>
      <c r="AH15" s="66"/>
      <c r="AI15" s="71">
        <f ca="1">IF(C15=1,Reeksen!AI15*((F15-G15+F15)/2)*12+Reeksen!AD15*((L15-M15+L15)/2)*12,0)</f>
        <v>0</v>
      </c>
      <c r="AJ15" s="71">
        <f ca="1">-AI15*'Invoer gegevens'!$F$28</f>
        <v>0</v>
      </c>
      <c r="AK15" s="71">
        <f t="shared" ca="1" si="6"/>
        <v>0</v>
      </c>
      <c r="AL15" s="71">
        <f ca="1">IF(C15=1,Reeksen!AL15*((F15-G15+F15)/2)*12+Reeksen!AM15*((L15-M15+L15)/2)*12,0)</f>
        <v>0</v>
      </c>
      <c r="AM15" s="71">
        <f ca="1">-AL15*'Invoer gegevens'!$F$31</f>
        <v>0</v>
      </c>
      <c r="AN15" s="71">
        <f t="shared" ca="1" si="7"/>
        <v>0</v>
      </c>
      <c r="AO15" s="71">
        <f ca="1">IF(C15=1,(H15+J15+N15+P15)*Reeksen!AN15,0)</f>
        <v>0</v>
      </c>
      <c r="AP15" s="71">
        <f ca="1">-IF(C15=1,(H15+J15+N15+P15)*'Hulp - basis'!$G$550*Reeksen!H15,0)</f>
        <v>0</v>
      </c>
      <c r="AQ15" s="71">
        <f ca="1">-IF(C15=1,(F15+K15+L15+Q15)/2*'Invoer gegevens'!$F$35*Reeksen!J15,0)*2</f>
        <v>0</v>
      </c>
      <c r="AR15" s="71"/>
      <c r="AS15" s="71">
        <f ca="1">-IF(C15=1,(F15+K15+L15+Q15)/2*'Invoer gegevens'!$F$37*Reeksen!L15,0)</f>
        <v>0</v>
      </c>
      <c r="AT15" s="71">
        <f ca="1">-IF(C15=1,IF(E15='Invoer gegevens'!$C$17,'Invoer gegevens'!$C$11,AD15)*Reeksen!S15*'Invoer gegevens'!$C$18*Reeksen!P15,0)</f>
        <v>0</v>
      </c>
      <c r="AU15" s="71">
        <f ca="1">-IF(C15=1,(F15+K15+L15+Q15)/2*'Invoer gegevens'!$F$38*Reeksen!H15,0)</f>
        <v>0</v>
      </c>
      <c r="AV15" s="71">
        <f>IF('Invoer gegevens'!$C$3="Basis",0,#REF!)</f>
        <v>0</v>
      </c>
      <c r="AW15" s="71">
        <f t="shared" ca="1" si="8"/>
        <v>0</v>
      </c>
      <c r="AX15" s="71">
        <f ca="1">IF(E15&lt;'Invoer gegevens'!$C$17+15,0,IF(E15&gt;'Invoer gegevens'!$C$17+215,0,AW15))</f>
        <v>0</v>
      </c>
      <c r="AY15" s="71">
        <f ca="1">AX15/(1+'Invoer gegevens'!$F$18)^($AZ15-('Invoer gegevens'!$C$17-'Invoer gegevens'!$C$16))/(1+'Invoer gegevens'!$C$39)^('Invoer gegevens'!$C$17-'Invoer gegevens'!$C$16)</f>
        <v>0</v>
      </c>
      <c r="AZ15" s="68">
        <f ca="1">IF(E15-'Invoer gegevens'!$C$17-14.5&lt;0,0,E15-'Invoer gegevens'!$C$17-14.5)</f>
        <v>0</v>
      </c>
    </row>
    <row r="16" spans="1:52" x14ac:dyDescent="0.25">
      <c r="A16" s="59"/>
      <c r="B16" s="70">
        <f t="shared" si="9"/>
        <v>12</v>
      </c>
      <c r="C16" s="67">
        <f ca="1">IF(E16-'Invoer gegevens'!$C$17&lt;0,0,1)</f>
        <v>1</v>
      </c>
      <c r="D16" s="68">
        <f t="shared" si="10"/>
        <v>11.5</v>
      </c>
      <c r="E16" s="69">
        <f ca="1">IF('Invoer gegevens'!$C$16="","",E15+1)</f>
        <v>2030</v>
      </c>
      <c r="F16" s="84">
        <f ca="1">IF('Invoer gegevens'!$C$17=E16,'Invoer gegevens'!$C$10,IF(C16=1,K15,0))</f>
        <v>0</v>
      </c>
      <c r="G16" s="96">
        <f ca="1">IF(C16&gt;=1,F16*VLOOKUP(E16,Reeksen!$A$5:$B$76,2),0)</f>
        <v>0</v>
      </c>
      <c r="H16" s="84">
        <f ca="1">(1-('Invoer gegevens'!$F$20/12))*F16*MIN(Reeksen!B16,Reeksen!D16)</f>
        <v>0</v>
      </c>
      <c r="I16" s="84">
        <f>IF(Reeksen!D16&lt;Reeksen!B16,(Reeksen!B16-Reeksen!D16)*F16,0)</f>
        <v>0</v>
      </c>
      <c r="J16" s="84">
        <f ca="1">('Invoer gegevens'!$F$20/12)*F15*MIN(Reeksen!B15,Reeksen!D15)</f>
        <v>0</v>
      </c>
      <c r="K16" s="97">
        <f t="shared" ca="1" si="0"/>
        <v>0</v>
      </c>
      <c r="L16" s="84">
        <f ca="1">IF('Invoer gegevens'!$C$17=E16,0,IF(C16=1,Q15,0))</f>
        <v>0</v>
      </c>
      <c r="M16" s="96">
        <f ca="1">IF(C16&gt;=1,L16*VLOOKUP(E16,Reeksen!$A$5:$B$76,2),0)</f>
        <v>0</v>
      </c>
      <c r="N16" s="84">
        <f ca="1">(1-('Invoer gegevens'!$F$20/12))*L16*MIN(Reeksen!B16,Reeksen!D16)</f>
        <v>0</v>
      </c>
      <c r="O16" s="84">
        <f>IF(Reeksen!D16&lt;Reeksen!B16,(Reeksen!B16-Reeksen!D16)*L16,0)</f>
        <v>0</v>
      </c>
      <c r="P16" s="84">
        <f ca="1">('Invoer gegevens'!$F$20/12)*L15*MIN(Reeksen!B15,Reeksen!D15)</f>
        <v>0</v>
      </c>
      <c r="Q16" s="84">
        <f t="shared" ca="1" si="1"/>
        <v>0</v>
      </c>
      <c r="R16" s="82">
        <f ca="1">IF('Invoer gegevens'!$C$17=E16,'Invoer gegevens'!$C$11,IF(C16=1,W15,0))</f>
        <v>0</v>
      </c>
      <c r="S16" s="86">
        <f ca="1">IF(C16&gt;=1,R16*VLOOKUP(E16,Reeksen!$A$5:$B$76,2),0)</f>
        <v>0</v>
      </c>
      <c r="T16" s="84">
        <f ca="1">(1-('Invoer gegevens'!$F$20/12))*R16*MIN(Reeksen!B16,Reeksen!D16)</f>
        <v>0</v>
      </c>
      <c r="U16" s="84">
        <f>IF(Reeksen!D16&gt;=Reeksen!B16,0,IF(Reeksen!AD16&lt;=Reeksen!AE16,(Reeksen!B16-Reeksen!D16)*R16,0))</f>
        <v>0</v>
      </c>
      <c r="V16" s="86">
        <f>IF(Reeksen!D16&gt;=Reeksen!B16,0,IF(Reeksen!AD16&gt;Reeksen!AE16,(Reeksen!B16-Reeksen!D16)*R16,0))</f>
        <v>0</v>
      </c>
      <c r="W16" s="97">
        <f t="shared" ca="1" si="2"/>
        <v>0</v>
      </c>
      <c r="X16" s="98">
        <f ca="1">IF('Invoer gegevens'!$C$17=E16,'Invoer gegevens'!$C$10-'Invoer gegevens'!$C$11,IF(C16=1,AC15,0))</f>
        <v>0</v>
      </c>
      <c r="Y16" s="98">
        <f ca="1">IF(C16&gt;=1,X16*VLOOKUP(E16,Reeksen!$A$5:$B$76,2),0)</f>
        <v>0</v>
      </c>
      <c r="Z16" s="98">
        <f ca="1">(1-('Invoer gegevens'!$F$20/12))*X16*MIN(Reeksen!B16,Reeksen!D16)</f>
        <v>0</v>
      </c>
      <c r="AA16" s="98">
        <f>IF(Reeksen!D16&gt;=Reeksen!B16,0,IF(Reeksen!AD16&lt;=Reeksen!AE16,(Reeksen!B16-Reeksen!D16)*X16,0))</f>
        <v>0</v>
      </c>
      <c r="AB16" s="98">
        <f>IF(Reeksen!D16&gt;=Reeksen!B16,0,IF(Reeksen!AD16&gt;Reeksen!AE16,(Reeksen!B16-Reeksen!D16)*X16,0))</f>
        <v>0</v>
      </c>
      <c r="AC16" s="99">
        <f t="shared" ca="1" si="3"/>
        <v>0</v>
      </c>
      <c r="AD16" s="98">
        <f ca="1">IF('Invoer gegevens'!$C$17=E16,R16,IF(C16=0,0,AE15))</f>
        <v>0</v>
      </c>
      <c r="AE16" s="98">
        <f t="shared" ca="1" si="4"/>
        <v>0</v>
      </c>
      <c r="AF16" s="98">
        <f ca="1">IF('Invoer gegevens'!$C$17=E16,X16,IF(C16=0,0,AG15))</f>
        <v>0</v>
      </c>
      <c r="AG16" s="98">
        <f t="shared" ca="1" si="5"/>
        <v>0</v>
      </c>
      <c r="AH16" s="66"/>
      <c r="AI16" s="71">
        <f ca="1">IF(C16=1,Reeksen!AI16*((F16-G16+F16)/2)*12+Reeksen!AD16*((L16-M16+L16)/2)*12,0)</f>
        <v>0</v>
      </c>
      <c r="AJ16" s="71">
        <f ca="1">-AI16*'Invoer gegevens'!$F$28</f>
        <v>0</v>
      </c>
      <c r="AK16" s="71">
        <f t="shared" ca="1" si="6"/>
        <v>0</v>
      </c>
      <c r="AL16" s="71">
        <f ca="1">IF(C16=1,Reeksen!AL16*((F16-G16+F16)/2)*12+Reeksen!AM16*((L16-M16+L16)/2)*12,0)</f>
        <v>0</v>
      </c>
      <c r="AM16" s="71">
        <f ca="1">-AL16*'Invoer gegevens'!$F$31</f>
        <v>0</v>
      </c>
      <c r="AN16" s="71">
        <f t="shared" ca="1" si="7"/>
        <v>0</v>
      </c>
      <c r="AO16" s="71">
        <f ca="1">IF(C16=1,(H16+J16+N16+P16)*Reeksen!AN16,0)</f>
        <v>0</v>
      </c>
      <c r="AP16" s="71">
        <f ca="1">-IF(C16=1,(H16+J16+N16+P16)*'Hulp - basis'!$G$550*Reeksen!H16,0)</f>
        <v>0</v>
      </c>
      <c r="AQ16" s="71">
        <f ca="1">-IF(C16=1,(F16+K16+L16+Q16)/2*'Invoer gegevens'!$F$35*Reeksen!J16,0)*2</f>
        <v>0</v>
      </c>
      <c r="AR16" s="71"/>
      <c r="AS16" s="71">
        <f ca="1">-IF(C16=1,(F16+K16+L16+Q16)/2*'Invoer gegevens'!$F$37*Reeksen!L16,0)</f>
        <v>0</v>
      </c>
      <c r="AT16" s="71">
        <f ca="1">-IF(C16=1,IF(E16='Invoer gegevens'!$C$17,'Invoer gegevens'!$C$11,AD16)*Reeksen!S16*'Invoer gegevens'!$C$18*Reeksen!P16,0)</f>
        <v>0</v>
      </c>
      <c r="AU16" s="71">
        <f ca="1">-IF(C16=1,(F16+K16+L16+Q16)/2*'Invoer gegevens'!$F$38*Reeksen!H16,0)</f>
        <v>0</v>
      </c>
      <c r="AV16" s="71">
        <f>IF('Invoer gegevens'!$C$3="Basis",0,#REF!)</f>
        <v>0</v>
      </c>
      <c r="AW16" s="71">
        <f t="shared" ca="1" si="8"/>
        <v>0</v>
      </c>
      <c r="AX16" s="71">
        <f ca="1">IF(E16&lt;'Invoer gegevens'!$C$17+15,0,IF(E16&gt;'Invoer gegevens'!$C$17+215,0,AW16))</f>
        <v>0</v>
      </c>
      <c r="AY16" s="71">
        <f ca="1">AX16/(1+'Invoer gegevens'!$F$18)^($AZ16-('Invoer gegevens'!$C$17-'Invoer gegevens'!$C$16))/(1+'Invoer gegevens'!$C$39)^('Invoer gegevens'!$C$17-'Invoer gegevens'!$C$16)</f>
        <v>0</v>
      </c>
      <c r="AZ16" s="68">
        <f ca="1">IF(E16-'Invoer gegevens'!$C$17-14.5&lt;0,0,E16-'Invoer gegevens'!$C$17-14.5)</f>
        <v>0</v>
      </c>
    </row>
    <row r="17" spans="1:52" x14ac:dyDescent="0.25">
      <c r="A17" s="59"/>
      <c r="B17" s="70">
        <f t="shared" si="9"/>
        <v>13</v>
      </c>
      <c r="C17" s="67">
        <f ca="1">IF(E17-'Invoer gegevens'!$C$17&lt;0,0,1)</f>
        <v>1</v>
      </c>
      <c r="D17" s="68">
        <f t="shared" si="10"/>
        <v>12.5</v>
      </c>
      <c r="E17" s="69">
        <f ca="1">IF('Invoer gegevens'!$C$16="","",E16+1)</f>
        <v>2031</v>
      </c>
      <c r="F17" s="84">
        <f ca="1">IF('Invoer gegevens'!$C$17=E17,'Invoer gegevens'!$C$10,IF(C17=1,K16,0))</f>
        <v>0</v>
      </c>
      <c r="G17" s="96">
        <f ca="1">IF(C17&gt;=1,F17*VLOOKUP(E17,Reeksen!$A$5:$B$76,2),0)</f>
        <v>0</v>
      </c>
      <c r="H17" s="84">
        <f ca="1">(1-('Invoer gegevens'!$F$20/12))*F17*MIN(Reeksen!B17,Reeksen!D17)</f>
        <v>0</v>
      </c>
      <c r="I17" s="84">
        <f>IF(Reeksen!D17&lt;Reeksen!B17,(Reeksen!B17-Reeksen!D17)*F17,0)</f>
        <v>0</v>
      </c>
      <c r="J17" s="84">
        <f ca="1">('Invoer gegevens'!$F$20/12)*F16*MIN(Reeksen!B16,Reeksen!D16)</f>
        <v>0</v>
      </c>
      <c r="K17" s="97">
        <f t="shared" ca="1" si="0"/>
        <v>0</v>
      </c>
      <c r="L17" s="84">
        <f ca="1">IF('Invoer gegevens'!$C$17=E17,0,IF(C17=1,Q16,0))</f>
        <v>0</v>
      </c>
      <c r="M17" s="96">
        <f ca="1">IF(C17&gt;=1,L17*VLOOKUP(E17,Reeksen!$A$5:$B$76,2),0)</f>
        <v>0</v>
      </c>
      <c r="N17" s="84">
        <f ca="1">(1-('Invoer gegevens'!$F$20/12))*L17*MIN(Reeksen!B17,Reeksen!D17)</f>
        <v>0</v>
      </c>
      <c r="O17" s="84">
        <f>IF(Reeksen!D17&lt;Reeksen!B17,(Reeksen!B17-Reeksen!D17)*L17,0)</f>
        <v>0</v>
      </c>
      <c r="P17" s="84">
        <f ca="1">('Invoer gegevens'!$F$20/12)*L16*MIN(Reeksen!B16,Reeksen!D16)</f>
        <v>0</v>
      </c>
      <c r="Q17" s="84">
        <f t="shared" ca="1" si="1"/>
        <v>0</v>
      </c>
      <c r="R17" s="82">
        <f ca="1">IF('Invoer gegevens'!$C$17=E17,'Invoer gegevens'!$C$11,IF(C17=1,W16,0))</f>
        <v>0</v>
      </c>
      <c r="S17" s="86">
        <f ca="1">IF(C17&gt;=1,R17*VLOOKUP(E17,Reeksen!$A$5:$B$76,2),0)</f>
        <v>0</v>
      </c>
      <c r="T17" s="84">
        <f ca="1">(1-('Invoer gegevens'!$F$20/12))*R17*MIN(Reeksen!B17,Reeksen!D17)</f>
        <v>0</v>
      </c>
      <c r="U17" s="84">
        <f>IF(Reeksen!D17&gt;=Reeksen!B17,0,IF(Reeksen!AD17&lt;=Reeksen!AE17,(Reeksen!B17-Reeksen!D17)*R17,0))</f>
        <v>0</v>
      </c>
      <c r="V17" s="86">
        <f>IF(Reeksen!D17&gt;=Reeksen!B17,0,IF(Reeksen!AD17&gt;Reeksen!AE17,(Reeksen!B17-Reeksen!D17)*R17,0))</f>
        <v>0</v>
      </c>
      <c r="W17" s="97">
        <f t="shared" ca="1" si="2"/>
        <v>0</v>
      </c>
      <c r="X17" s="98">
        <f ca="1">IF('Invoer gegevens'!$C$17=E17,'Invoer gegevens'!$C$10-'Invoer gegevens'!$C$11,IF(C17=1,AC16,0))</f>
        <v>0</v>
      </c>
      <c r="Y17" s="98">
        <f ca="1">IF(C17&gt;=1,X17*VLOOKUP(E17,Reeksen!$A$5:$B$76,2),0)</f>
        <v>0</v>
      </c>
      <c r="Z17" s="98">
        <f ca="1">(1-('Invoer gegevens'!$F$20/12))*X17*MIN(Reeksen!B17,Reeksen!D17)</f>
        <v>0</v>
      </c>
      <c r="AA17" s="98">
        <f>IF(Reeksen!D17&gt;=Reeksen!B17,0,IF(Reeksen!AD17&lt;=Reeksen!AE17,(Reeksen!B17-Reeksen!D17)*X17,0))</f>
        <v>0</v>
      </c>
      <c r="AB17" s="98">
        <f>IF(Reeksen!D17&gt;=Reeksen!B17,0,IF(Reeksen!AD17&gt;Reeksen!AE17,(Reeksen!B17-Reeksen!D17)*X17,0))</f>
        <v>0</v>
      </c>
      <c r="AC17" s="99">
        <f t="shared" ca="1" si="3"/>
        <v>0</v>
      </c>
      <c r="AD17" s="98">
        <f ca="1">IF('Invoer gegevens'!$C$17=E17,R17,IF(C17=0,0,AE16))</f>
        <v>0</v>
      </c>
      <c r="AE17" s="98">
        <f t="shared" ca="1" si="4"/>
        <v>0</v>
      </c>
      <c r="AF17" s="98">
        <f ca="1">IF('Invoer gegevens'!$C$17=E17,X17,IF(C17=0,0,AG16))</f>
        <v>0</v>
      </c>
      <c r="AG17" s="98">
        <f t="shared" ca="1" si="5"/>
        <v>0</v>
      </c>
      <c r="AH17" s="66"/>
      <c r="AI17" s="71">
        <f ca="1">IF(C17=1,Reeksen!AI17*((F17-G17+F17)/2)*12+Reeksen!AD17*((L17-M17+L17)/2)*12,0)</f>
        <v>0</v>
      </c>
      <c r="AJ17" s="71">
        <f ca="1">-AI17*'Invoer gegevens'!$F$28</f>
        <v>0</v>
      </c>
      <c r="AK17" s="71">
        <f t="shared" ca="1" si="6"/>
        <v>0</v>
      </c>
      <c r="AL17" s="71">
        <f ca="1">IF(C17=1,Reeksen!AL17*((F17-G17+F17)/2)*12+Reeksen!AM17*((L17-M17+L17)/2)*12,0)</f>
        <v>0</v>
      </c>
      <c r="AM17" s="71">
        <f ca="1">-AL17*'Invoer gegevens'!$F$31</f>
        <v>0</v>
      </c>
      <c r="AN17" s="71">
        <f t="shared" ca="1" si="7"/>
        <v>0</v>
      </c>
      <c r="AO17" s="71">
        <f ca="1">IF(C17=1,(H17+J17+N17+P17)*Reeksen!AN17,0)</f>
        <v>0</v>
      </c>
      <c r="AP17" s="71">
        <f ca="1">-IF(C17=1,(H17+J17+N17+P17)*'Hulp - basis'!$G$550*Reeksen!H17,0)</f>
        <v>0</v>
      </c>
      <c r="AQ17" s="71">
        <f ca="1">-IF(C17=1,(F17+K17+L17+Q17)/2*'Invoer gegevens'!$F$35*Reeksen!J17,0)*2</f>
        <v>0</v>
      </c>
      <c r="AR17" s="71"/>
      <c r="AS17" s="71">
        <f ca="1">-IF(C17=1,(F17+K17+L17+Q17)/2*'Invoer gegevens'!$F$37*Reeksen!L17,0)</f>
        <v>0</v>
      </c>
      <c r="AT17" s="71">
        <f ca="1">-IF(C17=1,IF(E17='Invoer gegevens'!$C$17,'Invoer gegevens'!$C$11,AD17)*Reeksen!S17*'Invoer gegevens'!$C$18*Reeksen!P17,0)</f>
        <v>0</v>
      </c>
      <c r="AU17" s="71">
        <f ca="1">-IF(C17=1,(F17+K17+L17+Q17)/2*'Invoer gegevens'!$F$38*Reeksen!H17,0)</f>
        <v>0</v>
      </c>
      <c r="AV17" s="71">
        <f>IF('Invoer gegevens'!$C$3="Basis",0,#REF!)</f>
        <v>0</v>
      </c>
      <c r="AW17" s="71">
        <f t="shared" ca="1" si="8"/>
        <v>0</v>
      </c>
      <c r="AX17" s="71">
        <f ca="1">IF(E17&lt;'Invoer gegevens'!$C$17+15,0,IF(E17&gt;'Invoer gegevens'!$C$17+215,0,AW17))</f>
        <v>0</v>
      </c>
      <c r="AY17" s="71">
        <f ca="1">AX17/(1+'Invoer gegevens'!$F$18)^($AZ17-('Invoer gegevens'!$C$17-'Invoer gegevens'!$C$16))/(1+'Invoer gegevens'!$C$39)^('Invoer gegevens'!$C$17-'Invoer gegevens'!$C$16)</f>
        <v>0</v>
      </c>
      <c r="AZ17" s="68">
        <f ca="1">IF(E17-'Invoer gegevens'!$C$17-14.5&lt;0,0,E17-'Invoer gegevens'!$C$17-14.5)</f>
        <v>0</v>
      </c>
    </row>
    <row r="18" spans="1:52" x14ac:dyDescent="0.25">
      <c r="A18" s="59"/>
      <c r="B18" s="70">
        <f t="shared" si="9"/>
        <v>14</v>
      </c>
      <c r="C18" s="67">
        <f ca="1">IF(E18-'Invoer gegevens'!$C$17&lt;0,0,1)</f>
        <v>1</v>
      </c>
      <c r="D18" s="68">
        <f t="shared" si="10"/>
        <v>13.5</v>
      </c>
      <c r="E18" s="69">
        <f ca="1">IF('Invoer gegevens'!$C$16="","",E17+1)</f>
        <v>2032</v>
      </c>
      <c r="F18" s="84">
        <f ca="1">IF('Invoer gegevens'!$C$17=E18,'Invoer gegevens'!$C$10,IF(C18=1,K17,0))</f>
        <v>0</v>
      </c>
      <c r="G18" s="96">
        <f ca="1">IF(C18&gt;=1,F18*VLOOKUP(E18,Reeksen!$A$5:$B$76,2),0)</f>
        <v>0</v>
      </c>
      <c r="H18" s="84">
        <f ca="1">(1-('Invoer gegevens'!$F$20/12))*F18*MIN(Reeksen!B18,Reeksen!D18)</f>
        <v>0</v>
      </c>
      <c r="I18" s="84">
        <f>IF(Reeksen!D18&lt;Reeksen!B18,(Reeksen!B18-Reeksen!D18)*F18,0)</f>
        <v>0</v>
      </c>
      <c r="J18" s="84">
        <f ca="1">('Invoer gegevens'!$F$20/12)*F17*MIN(Reeksen!B17,Reeksen!D17)</f>
        <v>0</v>
      </c>
      <c r="K18" s="97">
        <f t="shared" ca="1" si="0"/>
        <v>0</v>
      </c>
      <c r="L18" s="84">
        <f ca="1">IF('Invoer gegevens'!$C$17=E18,0,IF(C18=1,Q17,0))</f>
        <v>0</v>
      </c>
      <c r="M18" s="96">
        <f ca="1">IF(C18&gt;=1,L18*VLOOKUP(E18,Reeksen!$A$5:$B$76,2),0)</f>
        <v>0</v>
      </c>
      <c r="N18" s="84">
        <f ca="1">(1-('Invoer gegevens'!$F$20/12))*L18*MIN(Reeksen!B18,Reeksen!D18)</f>
        <v>0</v>
      </c>
      <c r="O18" s="84">
        <f>IF(Reeksen!D18&lt;Reeksen!B18,(Reeksen!B18-Reeksen!D18)*L18,0)</f>
        <v>0</v>
      </c>
      <c r="P18" s="84">
        <f ca="1">('Invoer gegevens'!$F$20/12)*L17*MIN(Reeksen!B17,Reeksen!D17)</f>
        <v>0</v>
      </c>
      <c r="Q18" s="84">
        <f t="shared" ca="1" si="1"/>
        <v>0</v>
      </c>
      <c r="R18" s="82">
        <f ca="1">IF('Invoer gegevens'!$C$17=E18,'Invoer gegevens'!$C$11,IF(C18=1,W17,0))</f>
        <v>0</v>
      </c>
      <c r="S18" s="86">
        <f ca="1">IF(C18&gt;=1,R18*VLOOKUP(E18,Reeksen!$A$5:$B$76,2),0)</f>
        <v>0</v>
      </c>
      <c r="T18" s="84">
        <f ca="1">(1-('Invoer gegevens'!$F$20/12))*R18*MIN(Reeksen!B18,Reeksen!D18)</f>
        <v>0</v>
      </c>
      <c r="U18" s="84">
        <f>IF(Reeksen!D18&gt;=Reeksen!B18,0,IF(Reeksen!AD18&lt;=Reeksen!AE18,(Reeksen!B18-Reeksen!D18)*R18,0))</f>
        <v>0</v>
      </c>
      <c r="V18" s="86">
        <f>IF(Reeksen!D18&gt;=Reeksen!B18,0,IF(Reeksen!AD18&gt;Reeksen!AE18,(Reeksen!B18-Reeksen!D18)*R18,0))</f>
        <v>0</v>
      </c>
      <c r="W18" s="97">
        <f t="shared" ca="1" si="2"/>
        <v>0</v>
      </c>
      <c r="X18" s="98">
        <f ca="1">IF('Invoer gegevens'!$C$17=E18,'Invoer gegevens'!$C$10-'Invoer gegevens'!$C$11,IF(C18=1,AC17,0))</f>
        <v>0</v>
      </c>
      <c r="Y18" s="98">
        <f ca="1">IF(C18&gt;=1,X18*VLOOKUP(E18,Reeksen!$A$5:$B$76,2),0)</f>
        <v>0</v>
      </c>
      <c r="Z18" s="98">
        <f ca="1">(1-('Invoer gegevens'!$F$20/12))*X18*MIN(Reeksen!B18,Reeksen!D18)</f>
        <v>0</v>
      </c>
      <c r="AA18" s="98">
        <f>IF(Reeksen!D18&gt;=Reeksen!B18,0,IF(Reeksen!AD18&lt;=Reeksen!AE18,(Reeksen!B18-Reeksen!D18)*X18,0))</f>
        <v>0</v>
      </c>
      <c r="AB18" s="98">
        <f>IF(Reeksen!D18&gt;=Reeksen!B18,0,IF(Reeksen!AD18&gt;Reeksen!AE18,(Reeksen!B18-Reeksen!D18)*X18,0))</f>
        <v>0</v>
      </c>
      <c r="AC18" s="99">
        <f t="shared" ca="1" si="3"/>
        <v>0</v>
      </c>
      <c r="AD18" s="98">
        <f ca="1">IF('Invoer gegevens'!$C$17=E18,R18,IF(C18=0,0,AE17))</f>
        <v>0</v>
      </c>
      <c r="AE18" s="98">
        <f t="shared" ca="1" si="4"/>
        <v>0</v>
      </c>
      <c r="AF18" s="98">
        <f ca="1">IF('Invoer gegevens'!$C$17=E18,X18,IF(C18=0,0,AG17))</f>
        <v>0</v>
      </c>
      <c r="AG18" s="98">
        <f t="shared" ca="1" si="5"/>
        <v>0</v>
      </c>
      <c r="AH18" s="66"/>
      <c r="AI18" s="71">
        <f ca="1">IF(C18=1,Reeksen!AI18*((F18-G18+F18)/2)*12+Reeksen!AD18*((L18-M18+L18)/2)*12,0)</f>
        <v>0</v>
      </c>
      <c r="AJ18" s="71">
        <f ca="1">-AI18*'Invoer gegevens'!$F$28</f>
        <v>0</v>
      </c>
      <c r="AK18" s="71">
        <f t="shared" ca="1" si="6"/>
        <v>0</v>
      </c>
      <c r="AL18" s="71">
        <f ca="1">IF(C18=1,Reeksen!AL18*((F18-G18+F18)/2)*12+Reeksen!AM18*((L18-M18+L18)/2)*12,0)</f>
        <v>0</v>
      </c>
      <c r="AM18" s="71">
        <f ca="1">-AL18*'Invoer gegevens'!$F$31</f>
        <v>0</v>
      </c>
      <c r="AN18" s="71">
        <f t="shared" ca="1" si="7"/>
        <v>0</v>
      </c>
      <c r="AO18" s="71">
        <f ca="1">IF(C18=1,(H18+J18+N18+P18)*Reeksen!AN18,0)</f>
        <v>0</v>
      </c>
      <c r="AP18" s="71">
        <f ca="1">-IF(C18=1,(H18+J18+N18+P18)*'Hulp - basis'!$G$550*Reeksen!H18,0)</f>
        <v>0</v>
      </c>
      <c r="AQ18" s="71">
        <f ca="1">-IF(C18=1,(F18+K18+L18+Q18)/2*'Invoer gegevens'!$F$35*Reeksen!J18,0)*2</f>
        <v>0</v>
      </c>
      <c r="AR18" s="71"/>
      <c r="AS18" s="71">
        <f ca="1">-IF(C18=1,(F18+K18+L18+Q18)/2*'Invoer gegevens'!$F$37*Reeksen!L18,0)</f>
        <v>0</v>
      </c>
      <c r="AT18" s="71">
        <f ca="1">-IF(C18=1,IF(E18='Invoer gegevens'!$C$17,'Invoer gegevens'!$C$11,AD18)*Reeksen!S18*'Invoer gegevens'!$C$18*Reeksen!P18,0)</f>
        <v>0</v>
      </c>
      <c r="AU18" s="71">
        <f ca="1">-IF(C18=1,(F18+K18+L18+Q18)/2*'Invoer gegevens'!$F$38*Reeksen!H18,0)</f>
        <v>0</v>
      </c>
      <c r="AV18" s="71">
        <f>IF('Invoer gegevens'!$C$3="Basis",0,#REF!)</f>
        <v>0</v>
      </c>
      <c r="AW18" s="71">
        <f t="shared" ca="1" si="8"/>
        <v>0</v>
      </c>
      <c r="AX18" s="71">
        <f ca="1">IF(E18&lt;'Invoer gegevens'!$C$17+15,0,IF(E18&gt;'Invoer gegevens'!$C$17+215,0,AW18))</f>
        <v>0</v>
      </c>
      <c r="AY18" s="71">
        <f ca="1">AX18/(1+'Invoer gegevens'!$F$18)^($AZ18-('Invoer gegevens'!$C$17-'Invoer gegevens'!$C$16))/(1+'Invoer gegevens'!$C$39)^('Invoer gegevens'!$C$17-'Invoer gegevens'!$C$16)</f>
        <v>0</v>
      </c>
      <c r="AZ18" s="68">
        <f ca="1">IF(E18-'Invoer gegevens'!$C$17-14.5&lt;0,0,E18-'Invoer gegevens'!$C$17-14.5)</f>
        <v>0</v>
      </c>
    </row>
    <row r="19" spans="1:52" x14ac:dyDescent="0.25">
      <c r="A19" s="59"/>
      <c r="B19" s="70">
        <f t="shared" si="9"/>
        <v>15</v>
      </c>
      <c r="C19" s="67">
        <f ca="1">IF(E19-'Invoer gegevens'!$C$17&lt;0,0,1)</f>
        <v>1</v>
      </c>
      <c r="D19" s="68">
        <f t="shared" si="10"/>
        <v>14.5</v>
      </c>
      <c r="E19" s="69">
        <f ca="1">IF('Invoer gegevens'!$C$16="","",E18+1)</f>
        <v>2033</v>
      </c>
      <c r="F19" s="84">
        <f ca="1">IF('Invoer gegevens'!$C$17=E19,'Invoer gegevens'!$C$10,IF(C19=1,K18,0))</f>
        <v>0</v>
      </c>
      <c r="G19" s="96">
        <f ca="1">IF(C19&gt;=1,F19*VLOOKUP(E19,Reeksen!$A$5:$B$76,2),0)</f>
        <v>0</v>
      </c>
      <c r="H19" s="84">
        <f ca="1">(1-('Invoer gegevens'!$F$20/12))*F19*MIN(Reeksen!B19,Reeksen!D19)</f>
        <v>0</v>
      </c>
      <c r="I19" s="84">
        <f>IF(Reeksen!D19&lt;Reeksen!B19,(Reeksen!B19-Reeksen!D19)*F19,0)</f>
        <v>0</v>
      </c>
      <c r="J19" s="84">
        <f ca="1">('Invoer gegevens'!$F$20/12)*F18*MIN(Reeksen!B18,Reeksen!D18)</f>
        <v>0</v>
      </c>
      <c r="K19" s="97">
        <f t="shared" ca="1" si="0"/>
        <v>0</v>
      </c>
      <c r="L19" s="84">
        <f ca="1">IF('Invoer gegevens'!$C$17=E19,0,IF(C19=1,Q18,0))</f>
        <v>0</v>
      </c>
      <c r="M19" s="96">
        <f ca="1">IF(C19&gt;=1,L19*VLOOKUP(E19,Reeksen!$A$5:$B$76,2),0)</f>
        <v>0</v>
      </c>
      <c r="N19" s="84">
        <f ca="1">(1-('Invoer gegevens'!$F$20/12))*L19*MIN(Reeksen!B19,Reeksen!D19)</f>
        <v>0</v>
      </c>
      <c r="O19" s="84">
        <f>IF(Reeksen!D19&lt;Reeksen!B19,(Reeksen!B19-Reeksen!D19)*L19,0)</f>
        <v>0</v>
      </c>
      <c r="P19" s="84">
        <f ca="1">('Invoer gegevens'!$F$20/12)*L18*MIN(Reeksen!B18,Reeksen!D18)</f>
        <v>0</v>
      </c>
      <c r="Q19" s="84">
        <f t="shared" ca="1" si="1"/>
        <v>0</v>
      </c>
      <c r="R19" s="82">
        <f ca="1">IF('Invoer gegevens'!$C$17=E19,'Invoer gegevens'!$C$11,IF(C19=1,W18,0))</f>
        <v>0</v>
      </c>
      <c r="S19" s="86">
        <f ca="1">IF(C19&gt;=1,R19*VLOOKUP(E19,Reeksen!$A$5:$B$76,2),0)</f>
        <v>0</v>
      </c>
      <c r="T19" s="84">
        <f ca="1">(1-('Invoer gegevens'!$F$20/12))*R19*MIN(Reeksen!B19,Reeksen!D19)</f>
        <v>0</v>
      </c>
      <c r="U19" s="84">
        <f>IF(Reeksen!D19&gt;=Reeksen!B19,0,IF(Reeksen!AD19&lt;=Reeksen!AE19,(Reeksen!B19-Reeksen!D19)*R19,0))</f>
        <v>0</v>
      </c>
      <c r="V19" s="86">
        <f>IF(Reeksen!D19&gt;=Reeksen!B19,0,IF(Reeksen!AD19&gt;Reeksen!AE19,(Reeksen!B19-Reeksen!D19)*R19,0))</f>
        <v>0</v>
      </c>
      <c r="W19" s="97">
        <f t="shared" ca="1" si="2"/>
        <v>0</v>
      </c>
      <c r="X19" s="98">
        <f ca="1">IF('Invoer gegevens'!$C$17=E19,'Invoer gegevens'!$C$10-'Invoer gegevens'!$C$11,IF(C19=1,AC18,0))</f>
        <v>0</v>
      </c>
      <c r="Y19" s="98">
        <f ca="1">IF(C19&gt;=1,X19*VLOOKUP(E19,Reeksen!$A$5:$B$76,2),0)</f>
        <v>0</v>
      </c>
      <c r="Z19" s="98">
        <f ca="1">(1-('Invoer gegevens'!$F$20/12))*X19*MIN(Reeksen!B19,Reeksen!D19)</f>
        <v>0</v>
      </c>
      <c r="AA19" s="98">
        <f>IF(Reeksen!D19&gt;=Reeksen!B19,0,IF(Reeksen!AD19&lt;=Reeksen!AE19,(Reeksen!B19-Reeksen!D19)*X19,0))</f>
        <v>0</v>
      </c>
      <c r="AB19" s="98">
        <f>IF(Reeksen!D19&gt;=Reeksen!B19,0,IF(Reeksen!AD19&gt;Reeksen!AE19,(Reeksen!B19-Reeksen!D19)*X19,0))</f>
        <v>0</v>
      </c>
      <c r="AC19" s="99">
        <f t="shared" ca="1" si="3"/>
        <v>0</v>
      </c>
      <c r="AD19" s="98">
        <f ca="1">IF('Invoer gegevens'!$C$17=E19,R19,IF(C19=0,0,AE18))</f>
        <v>0</v>
      </c>
      <c r="AE19" s="98">
        <f t="shared" ca="1" si="4"/>
        <v>0</v>
      </c>
      <c r="AF19" s="98">
        <f ca="1">IF('Invoer gegevens'!$C$17=E19,X19,IF(C19=0,0,AG18))</f>
        <v>0</v>
      </c>
      <c r="AG19" s="98">
        <f t="shared" ca="1" si="5"/>
        <v>0</v>
      </c>
      <c r="AH19" s="66"/>
      <c r="AI19" s="71">
        <f ca="1">IF(C19=1,Reeksen!AI19*((F19-G19+F19)/2)*12+Reeksen!AD19*((L19-M19+L19)/2)*12,0)</f>
        <v>0</v>
      </c>
      <c r="AJ19" s="71">
        <f ca="1">-AI19*'Invoer gegevens'!$F$28</f>
        <v>0</v>
      </c>
      <c r="AK19" s="71">
        <f t="shared" ca="1" si="6"/>
        <v>0</v>
      </c>
      <c r="AL19" s="71">
        <f ca="1">IF(C19=1,Reeksen!AL19*((F19-G19+F19)/2)*12+Reeksen!AM19*((L19-M19+L19)/2)*12,0)</f>
        <v>0</v>
      </c>
      <c r="AM19" s="71">
        <f ca="1">-AL19*'Invoer gegevens'!$F$31</f>
        <v>0</v>
      </c>
      <c r="AN19" s="71">
        <f t="shared" ca="1" si="7"/>
        <v>0</v>
      </c>
      <c r="AO19" s="71">
        <f ca="1">IF(C19=1,(H19+J19+N19+P19)*Reeksen!AN19,0)</f>
        <v>0</v>
      </c>
      <c r="AP19" s="71">
        <f ca="1">-IF(C19=1,(H19+J19+N19+P19)*'Hulp - basis'!$G$550*Reeksen!H19,0)</f>
        <v>0</v>
      </c>
      <c r="AQ19" s="71">
        <f ca="1">-IF(C19=1,(F19+K19+L19+Q19)/2*'Invoer gegevens'!$F$35*Reeksen!J19,0)*2</f>
        <v>0</v>
      </c>
      <c r="AR19" s="71"/>
      <c r="AS19" s="71">
        <f ca="1">-IF(C19=1,(F19+K19+L19+Q19)/2*'Invoer gegevens'!$F$37*Reeksen!L19,0)</f>
        <v>0</v>
      </c>
      <c r="AT19" s="71">
        <f ca="1">-IF(C19=1,IF(E19='Invoer gegevens'!$C$17,'Invoer gegevens'!$C$11,AD19)*Reeksen!S19*'Invoer gegevens'!$C$18*Reeksen!P19,0)</f>
        <v>0</v>
      </c>
      <c r="AU19" s="71">
        <f ca="1">-IF(C19=1,(F19+K19+L19+Q19)/2*'Invoer gegevens'!$F$38*Reeksen!H19,0)</f>
        <v>0</v>
      </c>
      <c r="AV19" s="71">
        <f>IF('Invoer gegevens'!$C$3="Basis",0,#REF!)</f>
        <v>0</v>
      </c>
      <c r="AW19" s="71">
        <f t="shared" ca="1" si="8"/>
        <v>0</v>
      </c>
      <c r="AX19" s="71">
        <f ca="1">IF(E19&lt;'Invoer gegevens'!$C$17+15,0,IF(E19&gt;'Invoer gegevens'!$C$17+215,0,AW19))</f>
        <v>0</v>
      </c>
      <c r="AY19" s="71">
        <f ca="1">AX19/(1+'Invoer gegevens'!$F$18)^($AZ19-('Invoer gegevens'!$C$17-'Invoer gegevens'!$C$16))/(1+'Invoer gegevens'!$C$39)^('Invoer gegevens'!$C$17-'Invoer gegevens'!$C$16)</f>
        <v>0</v>
      </c>
      <c r="AZ19" s="68">
        <f ca="1">IF(E19-'Invoer gegevens'!$C$17-14.5&lt;0,0,E19-'Invoer gegevens'!$C$17-14.5)</f>
        <v>0</v>
      </c>
    </row>
    <row r="20" spans="1:52" x14ac:dyDescent="0.25">
      <c r="A20" s="59"/>
      <c r="B20" s="70">
        <f t="shared" si="9"/>
        <v>16</v>
      </c>
      <c r="C20" s="67">
        <f ca="1">IF(E20-'Invoer gegevens'!$C$17&lt;0,0,1)</f>
        <v>1</v>
      </c>
      <c r="D20" s="68">
        <f t="shared" si="10"/>
        <v>15.5</v>
      </c>
      <c r="E20" s="69">
        <f ca="1">IF('Invoer gegevens'!$C$16="","",E19+1)</f>
        <v>2034</v>
      </c>
      <c r="F20" s="84">
        <f ca="1">IF('Invoer gegevens'!$C$17=E20,'Invoer gegevens'!$C$10,IF(C20=1,K19,0))</f>
        <v>0</v>
      </c>
      <c r="G20" s="96">
        <f ca="1">IF(C20&gt;=1,F20*VLOOKUP(E20,Reeksen!$A$5:$B$76,2),0)</f>
        <v>0</v>
      </c>
      <c r="H20" s="84">
        <f ca="1">(1-('Invoer gegevens'!$F$20/12))*F20*MIN(Reeksen!B20,Reeksen!D20)</f>
        <v>0</v>
      </c>
      <c r="I20" s="84">
        <f>IF(Reeksen!D20&lt;Reeksen!B20,(Reeksen!B20-Reeksen!D20)*F20,0)</f>
        <v>0</v>
      </c>
      <c r="J20" s="84">
        <f ca="1">('Invoer gegevens'!$F$20/12)*F19*MIN(Reeksen!B19,Reeksen!D19)</f>
        <v>0</v>
      </c>
      <c r="K20" s="97">
        <f t="shared" ca="1" si="0"/>
        <v>0</v>
      </c>
      <c r="L20" s="84">
        <f ca="1">IF('Invoer gegevens'!$C$17=E20,0,IF(C20=1,Q19,0))</f>
        <v>0</v>
      </c>
      <c r="M20" s="96">
        <f ca="1">IF(C20&gt;=1,L20*VLOOKUP(E20,Reeksen!$A$5:$B$76,2),0)</f>
        <v>0</v>
      </c>
      <c r="N20" s="84">
        <f ca="1">(1-('Invoer gegevens'!$F$20/12))*L20*MIN(Reeksen!B20,Reeksen!D20)</f>
        <v>0</v>
      </c>
      <c r="O20" s="84">
        <f>IF(Reeksen!D20&lt;Reeksen!B20,(Reeksen!B20-Reeksen!D20)*L20,0)</f>
        <v>0</v>
      </c>
      <c r="P20" s="84">
        <f ca="1">('Invoer gegevens'!$F$20/12)*L19*MIN(Reeksen!B19,Reeksen!D19)</f>
        <v>0</v>
      </c>
      <c r="Q20" s="84">
        <f t="shared" ca="1" si="1"/>
        <v>0</v>
      </c>
      <c r="R20" s="82">
        <f ca="1">IF('Invoer gegevens'!$C$17=E20,'Invoer gegevens'!$C$11,IF(C20=1,W19,0))</f>
        <v>0</v>
      </c>
      <c r="S20" s="86">
        <f ca="1">IF(C20&gt;=1,R20*VLOOKUP(E20,Reeksen!$A$5:$B$76,2),0)</f>
        <v>0</v>
      </c>
      <c r="T20" s="84">
        <f ca="1">(1-('Invoer gegevens'!$F$20/12))*R20*MIN(Reeksen!B20,Reeksen!D20)</f>
        <v>0</v>
      </c>
      <c r="U20" s="84">
        <f>IF(Reeksen!D20&gt;=Reeksen!B20,0,IF(Reeksen!AD20&lt;=Reeksen!AE20,(Reeksen!B20-Reeksen!D20)*R20,0))</f>
        <v>0</v>
      </c>
      <c r="V20" s="86">
        <f>IF(Reeksen!D20&gt;=Reeksen!B20,0,IF(Reeksen!AD20&gt;Reeksen!AE20,(Reeksen!B20-Reeksen!D20)*R20,0))</f>
        <v>0</v>
      </c>
      <c r="W20" s="97">
        <f t="shared" ca="1" si="2"/>
        <v>0</v>
      </c>
      <c r="X20" s="98">
        <f ca="1">IF('Invoer gegevens'!$C$17=E20,'Invoer gegevens'!$C$10-'Invoer gegevens'!$C$11,IF(C20=1,AC19,0))</f>
        <v>0</v>
      </c>
      <c r="Y20" s="98">
        <f ca="1">IF(C20&gt;=1,X20*VLOOKUP(E20,Reeksen!$A$5:$B$76,2),0)</f>
        <v>0</v>
      </c>
      <c r="Z20" s="98">
        <f ca="1">(1-('Invoer gegevens'!$F$20/12))*X20*MIN(Reeksen!B20,Reeksen!D20)</f>
        <v>0</v>
      </c>
      <c r="AA20" s="98">
        <f>IF(Reeksen!D20&gt;=Reeksen!B20,0,IF(Reeksen!AD20&lt;=Reeksen!AE20,(Reeksen!B20-Reeksen!D20)*X20,0))</f>
        <v>0</v>
      </c>
      <c r="AB20" s="98">
        <f>IF(Reeksen!D20&gt;=Reeksen!B20,0,IF(Reeksen!AD20&gt;Reeksen!AE20,(Reeksen!B20-Reeksen!D20)*X20,0))</f>
        <v>0</v>
      </c>
      <c r="AC20" s="99">
        <f t="shared" ca="1" si="3"/>
        <v>0</v>
      </c>
      <c r="AD20" s="98">
        <f ca="1">IF('Invoer gegevens'!$C$17=E20,R20,IF(C20=0,0,AE19))</f>
        <v>0</v>
      </c>
      <c r="AE20" s="98">
        <f t="shared" ca="1" si="4"/>
        <v>0</v>
      </c>
      <c r="AF20" s="98">
        <f ca="1">IF('Invoer gegevens'!$C$17=E20,X20,IF(C20=0,0,AG19))</f>
        <v>0</v>
      </c>
      <c r="AG20" s="98">
        <f t="shared" ca="1" si="5"/>
        <v>0</v>
      </c>
      <c r="AH20" s="66"/>
      <c r="AI20" s="71">
        <f ca="1">IF(C20=1,Reeksen!AI20*((F20-G20+F20)/2)*12+Reeksen!AD20*((L20-M20+L20)/2)*12,0)</f>
        <v>0</v>
      </c>
      <c r="AJ20" s="71">
        <f ca="1">-AI20*'Invoer gegevens'!$F$28</f>
        <v>0</v>
      </c>
      <c r="AK20" s="71">
        <f t="shared" ca="1" si="6"/>
        <v>0</v>
      </c>
      <c r="AL20" s="71">
        <f ca="1">IF(C20=1,Reeksen!AL20*((F20-G20+F20)/2)*12+Reeksen!AM20*((L20-M20+L20)/2)*12,0)</f>
        <v>0</v>
      </c>
      <c r="AM20" s="71">
        <f ca="1">-AL20*'Invoer gegevens'!$F$31</f>
        <v>0</v>
      </c>
      <c r="AN20" s="71">
        <f t="shared" ca="1" si="7"/>
        <v>0</v>
      </c>
      <c r="AO20" s="71">
        <f ca="1">IF(C20=1,(H20+J20+N20+P20)*Reeksen!AN20,0)</f>
        <v>0</v>
      </c>
      <c r="AP20" s="71">
        <f ca="1">-IF(C20=1,(H20+J20+N20+P20)*'Hulp - basis'!$G$550*Reeksen!H20,0)</f>
        <v>0</v>
      </c>
      <c r="AQ20" s="71">
        <f ca="1">-IF(C20=1,(F20+K20+L20+Q20)/2*'Invoer gegevens'!$F$35*Reeksen!J20,0)*2</f>
        <v>0</v>
      </c>
      <c r="AR20" s="71"/>
      <c r="AS20" s="71">
        <f ca="1">-IF(C20=1,(F20+K20+L20+Q20)/2*'Invoer gegevens'!$F$37*Reeksen!L20,0)</f>
        <v>0</v>
      </c>
      <c r="AT20" s="71">
        <f ca="1">-IF(C20=1,IF(E20='Invoer gegevens'!$C$17,'Invoer gegevens'!$C$11,AD20)*Reeksen!S20*'Invoer gegevens'!$C$18*Reeksen!P20,0)</f>
        <v>0</v>
      </c>
      <c r="AU20" s="71">
        <f ca="1">-IF(C20=1,(F20+K20+L20+Q20)/2*'Invoer gegevens'!$F$38*Reeksen!H20,0)</f>
        <v>0</v>
      </c>
      <c r="AV20" s="71">
        <f>AV19</f>
        <v>0</v>
      </c>
      <c r="AW20" s="71">
        <f t="shared" ca="1" si="8"/>
        <v>0</v>
      </c>
      <c r="AX20" s="71">
        <f ca="1">IF(E20&lt;'Invoer gegevens'!$C$17+15,0,IF(E20&gt;'Invoer gegevens'!$C$17+215,0,AW20))</f>
        <v>0</v>
      </c>
      <c r="AY20" s="71">
        <f ca="1">AX20/(1+'Invoer gegevens'!$F$18)^($AZ20-('Invoer gegevens'!$C$17-'Invoer gegevens'!$C$16))/(1+'Invoer gegevens'!$C$39)^('Invoer gegevens'!$C$17-'Invoer gegevens'!$C$16)</f>
        <v>0</v>
      </c>
      <c r="AZ20" s="68">
        <f ca="1">IF(E20-'Invoer gegevens'!$C$17-14.5&lt;0,0,E20-'Invoer gegevens'!$C$17-14.5)</f>
        <v>0.5</v>
      </c>
    </row>
    <row r="21" spans="1:52" x14ac:dyDescent="0.25">
      <c r="A21" s="59"/>
      <c r="B21" s="70">
        <f t="shared" si="9"/>
        <v>17</v>
      </c>
      <c r="C21" s="67">
        <f ca="1">IF(E21-'Invoer gegevens'!$C$17&lt;0,0,1)</f>
        <v>1</v>
      </c>
      <c r="D21" s="68">
        <f t="shared" si="10"/>
        <v>16.5</v>
      </c>
      <c r="E21" s="69">
        <f ca="1">IF('Invoer gegevens'!$C$16="","",E20+1)</f>
        <v>2035</v>
      </c>
      <c r="F21" s="84">
        <f ca="1">IF('Invoer gegevens'!$C$17=E21,'Invoer gegevens'!$C$10,IF(C21=1,K20,0))</f>
        <v>0</v>
      </c>
      <c r="G21" s="96">
        <f ca="1">IF(C21&gt;=1,F21*VLOOKUP(E21,Reeksen!$A$5:$B$76,2),0)</f>
        <v>0</v>
      </c>
      <c r="H21" s="84">
        <f ca="1">(1-('Invoer gegevens'!$F$20/12))*F21*MIN(Reeksen!B21,Reeksen!D21)</f>
        <v>0</v>
      </c>
      <c r="I21" s="84">
        <f>IF(Reeksen!D21&lt;Reeksen!B21,(Reeksen!B21-Reeksen!D21)*F21,0)</f>
        <v>0</v>
      </c>
      <c r="J21" s="84">
        <f ca="1">('Invoer gegevens'!$F$20/12)*F20*MIN(Reeksen!B20,Reeksen!D20)</f>
        <v>0</v>
      </c>
      <c r="K21" s="97">
        <f t="shared" ca="1" si="0"/>
        <v>0</v>
      </c>
      <c r="L21" s="84">
        <f ca="1">IF('Invoer gegevens'!$C$17=E21,0,IF(C21=1,Q20,0))</f>
        <v>0</v>
      </c>
      <c r="M21" s="96">
        <f ca="1">IF(C21&gt;=1,L21*VLOOKUP(E21,Reeksen!$A$5:$B$76,2),0)</f>
        <v>0</v>
      </c>
      <c r="N21" s="84">
        <f ca="1">(1-('Invoer gegevens'!$F$20/12))*L21*MIN(Reeksen!B21,Reeksen!D21)</f>
        <v>0</v>
      </c>
      <c r="O21" s="84">
        <f>IF(Reeksen!D21&lt;Reeksen!B21,(Reeksen!B21-Reeksen!D21)*L21,0)</f>
        <v>0</v>
      </c>
      <c r="P21" s="84">
        <f ca="1">('Invoer gegevens'!$F$20/12)*L20*MIN(Reeksen!B20,Reeksen!D20)</f>
        <v>0</v>
      </c>
      <c r="Q21" s="84">
        <f t="shared" ca="1" si="1"/>
        <v>0</v>
      </c>
      <c r="R21" s="82">
        <f ca="1">IF('Invoer gegevens'!$C$17=E21,'Invoer gegevens'!$C$11,IF(C21=1,W20,0))</f>
        <v>0</v>
      </c>
      <c r="S21" s="86">
        <f ca="1">IF(C21&gt;=1,R21*VLOOKUP(E21,Reeksen!$A$5:$B$76,2),0)</f>
        <v>0</v>
      </c>
      <c r="T21" s="84">
        <f ca="1">(1-('Invoer gegevens'!$F$20/12))*R21*MIN(Reeksen!B21,Reeksen!D21)</f>
        <v>0</v>
      </c>
      <c r="U21" s="84">
        <f>IF(Reeksen!D21&gt;=Reeksen!B21,0,IF(Reeksen!AD21&lt;=Reeksen!AE21,(Reeksen!B21-Reeksen!D21)*R21,0))</f>
        <v>0</v>
      </c>
      <c r="V21" s="86">
        <f>IF(Reeksen!D21&gt;=Reeksen!B21,0,IF(Reeksen!AD21&gt;Reeksen!AE21,(Reeksen!B21-Reeksen!D21)*R21,0))</f>
        <v>0</v>
      </c>
      <c r="W21" s="97">
        <f t="shared" ca="1" si="2"/>
        <v>0</v>
      </c>
      <c r="X21" s="98">
        <f ca="1">IF('Invoer gegevens'!$C$17=E21,'Invoer gegevens'!$C$10-'Invoer gegevens'!$C$11,IF(C21=1,AC20,0))</f>
        <v>0</v>
      </c>
      <c r="Y21" s="98">
        <f ca="1">IF(C21&gt;=1,X21*VLOOKUP(E21,Reeksen!$A$5:$B$76,2),0)</f>
        <v>0</v>
      </c>
      <c r="Z21" s="98">
        <f ca="1">(1-('Invoer gegevens'!$F$20/12))*X21*MIN(Reeksen!B21,Reeksen!D21)</f>
        <v>0</v>
      </c>
      <c r="AA21" s="98">
        <f>IF(Reeksen!D21&gt;=Reeksen!B21,0,IF(Reeksen!AD21&lt;=Reeksen!AE21,(Reeksen!B21-Reeksen!D21)*X21,0))</f>
        <v>0</v>
      </c>
      <c r="AB21" s="98">
        <f>IF(Reeksen!D21&gt;=Reeksen!B21,0,IF(Reeksen!AD21&gt;Reeksen!AE21,(Reeksen!B21-Reeksen!D21)*X21,0))</f>
        <v>0</v>
      </c>
      <c r="AC21" s="99">
        <f t="shared" ca="1" si="3"/>
        <v>0</v>
      </c>
      <c r="AD21" s="98">
        <f ca="1">IF('Invoer gegevens'!$C$17=E21,R21,IF(C21=0,0,AE20))</f>
        <v>0</v>
      </c>
      <c r="AE21" s="98">
        <f t="shared" ca="1" si="4"/>
        <v>0</v>
      </c>
      <c r="AF21" s="98">
        <f ca="1">IF('Invoer gegevens'!$C$17=E21,X21,IF(C21=0,0,AG20))</f>
        <v>0</v>
      </c>
      <c r="AG21" s="98">
        <f t="shared" ca="1" si="5"/>
        <v>0</v>
      </c>
      <c r="AH21" s="66"/>
      <c r="AI21" s="71">
        <f ca="1">IF(C21=1,Reeksen!AI21*((F21-G21+F21)/2)*12+Reeksen!AD21*((L21-M21+L21)/2)*12,0)</f>
        <v>0</v>
      </c>
      <c r="AJ21" s="71">
        <f ca="1">-AI21*'Invoer gegevens'!$F$28</f>
        <v>0</v>
      </c>
      <c r="AK21" s="71">
        <f t="shared" ca="1" si="6"/>
        <v>0</v>
      </c>
      <c r="AL21" s="71">
        <f ca="1">IF(C21=1,Reeksen!AL21*((F21-G21+F21)/2)*12+Reeksen!AM21*((L21-M21+L21)/2)*12,0)</f>
        <v>0</v>
      </c>
      <c r="AM21" s="71">
        <f ca="1">-AL21*'Invoer gegevens'!$F$31</f>
        <v>0</v>
      </c>
      <c r="AN21" s="71">
        <f t="shared" ca="1" si="7"/>
        <v>0</v>
      </c>
      <c r="AO21" s="71">
        <f ca="1">IF(C21=1,(H21+J21+N21+P21)*Reeksen!AN21,0)</f>
        <v>0</v>
      </c>
      <c r="AP21" s="71">
        <f ca="1">-IF(C21=1,(H21+J21+N21+P21)*'Hulp - basis'!$G$550*Reeksen!H21,0)</f>
        <v>0</v>
      </c>
      <c r="AQ21" s="71">
        <f ca="1">-IF(C21=1,(F21+K21+L21+Q21)/2*'Invoer gegevens'!$F$35*Reeksen!J21,0)*2</f>
        <v>0</v>
      </c>
      <c r="AR21" s="71"/>
      <c r="AS21" s="71">
        <f ca="1">-IF(C21=1,(F21+K21+L21+Q21)/2*'Invoer gegevens'!$F$37*Reeksen!L21,0)</f>
        <v>0</v>
      </c>
      <c r="AT21" s="71">
        <f ca="1">-IF(C21=1,IF(E21='Invoer gegevens'!$C$17,'Invoer gegevens'!$C$11,AD21)*Reeksen!S21*'Invoer gegevens'!$C$18*Reeksen!P21,0)</f>
        <v>0</v>
      </c>
      <c r="AU21" s="71">
        <f ca="1">-IF(C21=1,(F21+K21+L21+Q21)/2*'Invoer gegevens'!$F$38*Reeksen!H21,0)</f>
        <v>0</v>
      </c>
      <c r="AV21" s="71">
        <f t="shared" ref="AV21:AV84" si="11">AV20</f>
        <v>0</v>
      </c>
      <c r="AW21" s="71">
        <f t="shared" ca="1" si="8"/>
        <v>0</v>
      </c>
      <c r="AX21" s="71">
        <f ca="1">IF(E21&lt;'Invoer gegevens'!$C$17+15,0,IF(E21&gt;'Invoer gegevens'!$C$17+215,0,AW21))</f>
        <v>0</v>
      </c>
      <c r="AY21" s="71">
        <f ca="1">AX21/(1+'Invoer gegevens'!$F$18)^($AZ21-('Invoer gegevens'!$C$17-'Invoer gegevens'!$C$16))/(1+'Invoer gegevens'!$C$39)^('Invoer gegevens'!$C$17-'Invoer gegevens'!$C$16)</f>
        <v>0</v>
      </c>
      <c r="AZ21" s="68">
        <f ca="1">IF(E21-'Invoer gegevens'!$C$17-14.5&lt;0,0,E21-'Invoer gegevens'!$C$17-14.5)</f>
        <v>1.5</v>
      </c>
    </row>
    <row r="22" spans="1:52" x14ac:dyDescent="0.25">
      <c r="A22" s="59"/>
      <c r="B22" s="70">
        <f t="shared" si="9"/>
        <v>18</v>
      </c>
      <c r="C22" s="67">
        <f ca="1">IF(E22-'Invoer gegevens'!$C$17&lt;0,0,1)</f>
        <v>1</v>
      </c>
      <c r="D22" s="68">
        <f t="shared" si="10"/>
        <v>17.5</v>
      </c>
      <c r="E22" s="69">
        <f ca="1">IF('Invoer gegevens'!$C$16="","",E21+1)</f>
        <v>2036</v>
      </c>
      <c r="F22" s="84">
        <f ca="1">IF('Invoer gegevens'!$C$17=E22,'Invoer gegevens'!$C$10,IF(C22=1,K21,0))</f>
        <v>0</v>
      </c>
      <c r="G22" s="96">
        <f ca="1">IF(C22&gt;=1,F22*VLOOKUP(E22,Reeksen!$A$5:$B$76,2),0)</f>
        <v>0</v>
      </c>
      <c r="H22" s="84">
        <f ca="1">(1-('Invoer gegevens'!$F$20/12))*F22*MIN(Reeksen!B22,Reeksen!D22)</f>
        <v>0</v>
      </c>
      <c r="I22" s="84">
        <f>IF(Reeksen!D22&lt;Reeksen!B22,(Reeksen!B22-Reeksen!D22)*F22,0)</f>
        <v>0</v>
      </c>
      <c r="J22" s="84">
        <f ca="1">('Invoer gegevens'!$F$20/12)*F21*MIN(Reeksen!B21,Reeksen!D21)</f>
        <v>0</v>
      </c>
      <c r="K22" s="97">
        <f t="shared" ca="1" si="0"/>
        <v>0</v>
      </c>
      <c r="L22" s="84">
        <f ca="1">IF('Invoer gegevens'!$C$17=E22,0,IF(C22=1,Q21,0))</f>
        <v>0</v>
      </c>
      <c r="M22" s="96">
        <f ca="1">IF(C22&gt;=1,L22*VLOOKUP(E22,Reeksen!$A$5:$B$76,2),0)</f>
        <v>0</v>
      </c>
      <c r="N22" s="84">
        <f ca="1">(1-('Invoer gegevens'!$F$20/12))*L22*MIN(Reeksen!B22,Reeksen!D22)</f>
        <v>0</v>
      </c>
      <c r="O22" s="84">
        <f>IF(Reeksen!D22&lt;Reeksen!B22,(Reeksen!B22-Reeksen!D22)*L22,0)</f>
        <v>0</v>
      </c>
      <c r="P22" s="84">
        <f ca="1">('Invoer gegevens'!$F$20/12)*L21*MIN(Reeksen!B21,Reeksen!D21)</f>
        <v>0</v>
      </c>
      <c r="Q22" s="84">
        <f t="shared" ca="1" si="1"/>
        <v>0</v>
      </c>
      <c r="R22" s="82">
        <f ca="1">IF('Invoer gegevens'!$C$17=E22,'Invoer gegevens'!$C$11,IF(C22=1,W21,0))</f>
        <v>0</v>
      </c>
      <c r="S22" s="86">
        <f ca="1">IF(C22&gt;=1,R22*VLOOKUP(E22,Reeksen!$A$5:$B$76,2),0)</f>
        <v>0</v>
      </c>
      <c r="T22" s="84">
        <f ca="1">(1-('Invoer gegevens'!$F$20/12))*R22*MIN(Reeksen!B22,Reeksen!D22)</f>
        <v>0</v>
      </c>
      <c r="U22" s="84">
        <f>IF(Reeksen!D22&gt;=Reeksen!B22,0,IF(Reeksen!AD22&lt;=Reeksen!AE22,(Reeksen!B22-Reeksen!D22)*R22,0))</f>
        <v>0</v>
      </c>
      <c r="V22" s="86">
        <f>IF(Reeksen!D22&gt;=Reeksen!B22,0,IF(Reeksen!AD22&gt;Reeksen!AE22,(Reeksen!B22-Reeksen!D22)*R22,0))</f>
        <v>0</v>
      </c>
      <c r="W22" s="97">
        <f t="shared" ca="1" si="2"/>
        <v>0</v>
      </c>
      <c r="X22" s="98">
        <f ca="1">IF('Invoer gegevens'!$C$17=E22,'Invoer gegevens'!$C$10-'Invoer gegevens'!$C$11,IF(C22=1,AC21,0))</f>
        <v>0</v>
      </c>
      <c r="Y22" s="98">
        <f ca="1">IF(C22&gt;=1,X22*VLOOKUP(E22,Reeksen!$A$5:$B$76,2),0)</f>
        <v>0</v>
      </c>
      <c r="Z22" s="98">
        <f ca="1">(1-('Invoer gegevens'!$F$20/12))*X22*MIN(Reeksen!B22,Reeksen!D22)</f>
        <v>0</v>
      </c>
      <c r="AA22" s="98">
        <f>IF(Reeksen!D22&gt;=Reeksen!B22,0,IF(Reeksen!AD22&lt;=Reeksen!AE22,(Reeksen!B22-Reeksen!D22)*X22,0))</f>
        <v>0</v>
      </c>
      <c r="AB22" s="98">
        <f>IF(Reeksen!D22&gt;=Reeksen!B22,0,IF(Reeksen!AD22&gt;Reeksen!AE22,(Reeksen!B22-Reeksen!D22)*X22,0))</f>
        <v>0</v>
      </c>
      <c r="AC22" s="99">
        <f t="shared" ca="1" si="3"/>
        <v>0</v>
      </c>
      <c r="AD22" s="98">
        <f ca="1">IF('Invoer gegevens'!$C$17=E22,R22,IF(C22=0,0,AE21))</f>
        <v>0</v>
      </c>
      <c r="AE22" s="98">
        <f t="shared" ca="1" si="4"/>
        <v>0</v>
      </c>
      <c r="AF22" s="98">
        <f ca="1">IF('Invoer gegevens'!$C$17=E22,X22,IF(C22=0,0,AG21))</f>
        <v>0</v>
      </c>
      <c r="AG22" s="98">
        <f t="shared" ca="1" si="5"/>
        <v>0</v>
      </c>
      <c r="AH22" s="66"/>
      <c r="AI22" s="71">
        <f ca="1">IF(C22=1,Reeksen!AI22*((F22-G22+F22)/2)*12+Reeksen!AD22*((L22-M22+L22)/2)*12,0)</f>
        <v>0</v>
      </c>
      <c r="AJ22" s="71">
        <f ca="1">-AI22*'Invoer gegevens'!$F$28</f>
        <v>0</v>
      </c>
      <c r="AK22" s="71">
        <f t="shared" ca="1" si="6"/>
        <v>0</v>
      </c>
      <c r="AL22" s="71">
        <f ca="1">IF(C22=1,Reeksen!AL22*((F22-G22+F22)/2)*12+Reeksen!AM22*((L22-M22+L22)/2)*12,0)</f>
        <v>0</v>
      </c>
      <c r="AM22" s="71">
        <f ca="1">-AL22*'Invoer gegevens'!$F$31</f>
        <v>0</v>
      </c>
      <c r="AN22" s="71">
        <f t="shared" ca="1" si="7"/>
        <v>0</v>
      </c>
      <c r="AO22" s="71">
        <f ca="1">IF(C22=1,(H22+J22+N22+P22)*Reeksen!AN22,0)</f>
        <v>0</v>
      </c>
      <c r="AP22" s="71">
        <f ca="1">-IF(C22=1,(H22+J22+N22+P22)*'Hulp - basis'!$G$550*Reeksen!H22,0)</f>
        <v>0</v>
      </c>
      <c r="AQ22" s="71">
        <f ca="1">-IF(C22=1,(F22+K22+L22+Q22)/2*'Invoer gegevens'!$F$35*Reeksen!J22,0)*2</f>
        <v>0</v>
      </c>
      <c r="AR22" s="71"/>
      <c r="AS22" s="71">
        <f ca="1">-IF(C22=1,(F22+K22+L22+Q22)/2*'Invoer gegevens'!$F$37*Reeksen!L22,0)</f>
        <v>0</v>
      </c>
      <c r="AT22" s="71">
        <f ca="1">-IF(C22=1,IF(E22='Invoer gegevens'!$C$17,'Invoer gegevens'!$C$11,AD22)*Reeksen!S22*'Invoer gegevens'!$C$18*Reeksen!P22,0)</f>
        <v>0</v>
      </c>
      <c r="AU22" s="71">
        <f ca="1">-IF(C22=1,(F22+K22+L22+Q22)/2*'Invoer gegevens'!$F$38*Reeksen!H22,0)</f>
        <v>0</v>
      </c>
      <c r="AV22" s="71">
        <f t="shared" si="11"/>
        <v>0</v>
      </c>
      <c r="AW22" s="71">
        <f t="shared" ca="1" si="8"/>
        <v>0</v>
      </c>
      <c r="AX22" s="71">
        <f ca="1">IF(E22&lt;'Invoer gegevens'!$C$17+15,0,IF(E22&gt;'Invoer gegevens'!$C$17+215,0,AW22))</f>
        <v>0</v>
      </c>
      <c r="AY22" s="71">
        <f ca="1">AX22/(1+'Invoer gegevens'!$F$18)^($AZ22-('Invoer gegevens'!$C$17-'Invoer gegevens'!$C$16))/(1+'Invoer gegevens'!$C$39)^('Invoer gegevens'!$C$17-'Invoer gegevens'!$C$16)</f>
        <v>0</v>
      </c>
      <c r="AZ22" s="68">
        <f ca="1">IF(E22-'Invoer gegevens'!$C$17-14.5&lt;0,0,E22-'Invoer gegevens'!$C$17-14.5)</f>
        <v>2.5</v>
      </c>
    </row>
    <row r="23" spans="1:52" x14ac:dyDescent="0.25">
      <c r="A23" s="59"/>
      <c r="B23" s="70">
        <f t="shared" si="9"/>
        <v>19</v>
      </c>
      <c r="C23" s="67">
        <f ca="1">IF(E23-'Invoer gegevens'!$C$17&lt;0,0,1)</f>
        <v>1</v>
      </c>
      <c r="D23" s="68">
        <f t="shared" si="10"/>
        <v>18.5</v>
      </c>
      <c r="E23" s="69">
        <f ca="1">IF('Invoer gegevens'!$C$16="","",E22+1)</f>
        <v>2037</v>
      </c>
      <c r="F23" s="84">
        <f ca="1">IF('Invoer gegevens'!$C$17=E23,'Invoer gegevens'!$C$10,IF(C23=1,K22,0))</f>
        <v>0</v>
      </c>
      <c r="G23" s="96">
        <f ca="1">IF(C23&gt;=1,F23*VLOOKUP(E23,Reeksen!$A$5:$B$76,2),0)</f>
        <v>0</v>
      </c>
      <c r="H23" s="84">
        <f ca="1">(1-('Invoer gegevens'!$F$20/12))*F23*MIN(Reeksen!B23,Reeksen!D23)</f>
        <v>0</v>
      </c>
      <c r="I23" s="84">
        <f>IF(Reeksen!D23&lt;Reeksen!B23,(Reeksen!B23-Reeksen!D23)*F23,0)</f>
        <v>0</v>
      </c>
      <c r="J23" s="84">
        <f ca="1">('Invoer gegevens'!$F$20/12)*F22*MIN(Reeksen!B22,Reeksen!D22)</f>
        <v>0</v>
      </c>
      <c r="K23" s="97">
        <f t="shared" ca="1" si="0"/>
        <v>0</v>
      </c>
      <c r="L23" s="84">
        <f ca="1">IF('Invoer gegevens'!$C$17=E23,0,IF(C23=1,Q22,0))</f>
        <v>0</v>
      </c>
      <c r="M23" s="96">
        <f ca="1">IF(C23&gt;=1,L23*VLOOKUP(E23,Reeksen!$A$5:$B$76,2),0)</f>
        <v>0</v>
      </c>
      <c r="N23" s="84">
        <f ca="1">(1-('Invoer gegevens'!$F$20/12))*L23*MIN(Reeksen!B23,Reeksen!D23)</f>
        <v>0</v>
      </c>
      <c r="O23" s="84">
        <f>IF(Reeksen!D23&lt;Reeksen!B23,(Reeksen!B23-Reeksen!D23)*L23,0)</f>
        <v>0</v>
      </c>
      <c r="P23" s="84">
        <f ca="1">('Invoer gegevens'!$F$20/12)*L22*MIN(Reeksen!B22,Reeksen!D22)</f>
        <v>0</v>
      </c>
      <c r="Q23" s="84">
        <f t="shared" ca="1" si="1"/>
        <v>0</v>
      </c>
      <c r="R23" s="82">
        <f ca="1">IF('Invoer gegevens'!$C$17=E23,'Invoer gegevens'!$C$11,IF(C23=1,W22,0))</f>
        <v>0</v>
      </c>
      <c r="S23" s="86">
        <f ca="1">IF(C23&gt;=1,R23*VLOOKUP(E23,Reeksen!$A$5:$B$76,2),0)</f>
        <v>0</v>
      </c>
      <c r="T23" s="84">
        <f ca="1">(1-('Invoer gegevens'!$F$20/12))*R23*MIN(Reeksen!B23,Reeksen!D23)</f>
        <v>0</v>
      </c>
      <c r="U23" s="84">
        <f>IF(Reeksen!D23&gt;=Reeksen!B23,0,IF(Reeksen!AD23&lt;=Reeksen!AE23,(Reeksen!B23-Reeksen!D23)*R23,0))</f>
        <v>0</v>
      </c>
      <c r="V23" s="86">
        <f>IF(Reeksen!D23&gt;=Reeksen!B23,0,IF(Reeksen!AD23&gt;Reeksen!AE23,(Reeksen!B23-Reeksen!D23)*R23,0))</f>
        <v>0</v>
      </c>
      <c r="W23" s="97">
        <f t="shared" ca="1" si="2"/>
        <v>0</v>
      </c>
      <c r="X23" s="98">
        <f ca="1">IF('Invoer gegevens'!$C$17=E23,'Invoer gegevens'!$C$10-'Invoer gegevens'!$C$11,IF(C23=1,AC22,0))</f>
        <v>0</v>
      </c>
      <c r="Y23" s="98">
        <f ca="1">IF(C23&gt;=1,X23*VLOOKUP(E23,Reeksen!$A$5:$B$76,2),0)</f>
        <v>0</v>
      </c>
      <c r="Z23" s="98">
        <f ca="1">(1-('Invoer gegevens'!$F$20/12))*X23*MIN(Reeksen!B23,Reeksen!D23)</f>
        <v>0</v>
      </c>
      <c r="AA23" s="98">
        <f>IF(Reeksen!D23&gt;=Reeksen!B23,0,IF(Reeksen!AD23&lt;=Reeksen!AE23,(Reeksen!B23-Reeksen!D23)*X23,0))</f>
        <v>0</v>
      </c>
      <c r="AB23" s="98">
        <f>IF(Reeksen!D23&gt;=Reeksen!B23,0,IF(Reeksen!AD23&gt;Reeksen!AE23,(Reeksen!B23-Reeksen!D23)*X23,0))</f>
        <v>0</v>
      </c>
      <c r="AC23" s="99">
        <f t="shared" ca="1" si="3"/>
        <v>0</v>
      </c>
      <c r="AD23" s="98">
        <f ca="1">IF('Invoer gegevens'!$C$17=E23,R23,IF(C23=0,0,AE22))</f>
        <v>0</v>
      </c>
      <c r="AE23" s="98">
        <f t="shared" ca="1" si="4"/>
        <v>0</v>
      </c>
      <c r="AF23" s="98">
        <f ca="1">IF('Invoer gegevens'!$C$17=E23,X23,IF(C23=0,0,AG22))</f>
        <v>0</v>
      </c>
      <c r="AG23" s="98">
        <f t="shared" ca="1" si="5"/>
        <v>0</v>
      </c>
      <c r="AH23" s="66"/>
      <c r="AI23" s="71">
        <f ca="1">IF(C23=1,Reeksen!AI23*((F23-G23+F23)/2)*12+Reeksen!AD23*((L23-M23+L23)/2)*12,0)</f>
        <v>0</v>
      </c>
      <c r="AJ23" s="71">
        <f ca="1">-AI23*'Invoer gegevens'!$F$28</f>
        <v>0</v>
      </c>
      <c r="AK23" s="71">
        <f t="shared" ca="1" si="6"/>
        <v>0</v>
      </c>
      <c r="AL23" s="71">
        <f ca="1">IF(C23=1,Reeksen!AL23*((F23-G23+F23)/2)*12+Reeksen!AM23*((L23-M23+L23)/2)*12,0)</f>
        <v>0</v>
      </c>
      <c r="AM23" s="71">
        <f ca="1">-AL23*'Invoer gegevens'!$F$31</f>
        <v>0</v>
      </c>
      <c r="AN23" s="71">
        <f t="shared" ca="1" si="7"/>
        <v>0</v>
      </c>
      <c r="AO23" s="71">
        <f ca="1">IF(C23=1,(H23+J23+N23+P23)*Reeksen!AN23,0)</f>
        <v>0</v>
      </c>
      <c r="AP23" s="71">
        <f ca="1">-IF(C23=1,(H23+J23+N23+P23)*'Hulp - basis'!$G$550*Reeksen!H23,0)</f>
        <v>0</v>
      </c>
      <c r="AQ23" s="71">
        <f ca="1">-IF(C23=1,(F23+K23+L23+Q23)/2*'Invoer gegevens'!$F$35*Reeksen!J23,0)*2</f>
        <v>0</v>
      </c>
      <c r="AR23" s="71"/>
      <c r="AS23" s="71">
        <f ca="1">-IF(C23=1,(F23+K23+L23+Q23)/2*'Invoer gegevens'!$F$37*Reeksen!L23,0)</f>
        <v>0</v>
      </c>
      <c r="AT23" s="71">
        <f ca="1">-IF(C23=1,IF(E23='Invoer gegevens'!$C$17,'Invoer gegevens'!$C$11,AD23)*Reeksen!S23*'Invoer gegevens'!$C$18*Reeksen!P23,0)</f>
        <v>0</v>
      </c>
      <c r="AU23" s="71">
        <f ca="1">-IF(C23=1,(F23+K23+L23+Q23)/2*'Invoer gegevens'!$F$38*Reeksen!H23,0)</f>
        <v>0</v>
      </c>
      <c r="AV23" s="71">
        <f t="shared" si="11"/>
        <v>0</v>
      </c>
      <c r="AW23" s="71">
        <f t="shared" ca="1" si="8"/>
        <v>0</v>
      </c>
      <c r="AX23" s="71">
        <f ca="1">IF(E23&lt;'Invoer gegevens'!$C$17+15,0,IF(E23&gt;'Invoer gegevens'!$C$17+215,0,AW23))</f>
        <v>0</v>
      </c>
      <c r="AY23" s="71">
        <f ca="1">AX23/(1+'Invoer gegevens'!$F$18)^($AZ23-('Invoer gegevens'!$C$17-'Invoer gegevens'!$C$16))/(1+'Invoer gegevens'!$C$39)^('Invoer gegevens'!$C$17-'Invoer gegevens'!$C$16)</f>
        <v>0</v>
      </c>
      <c r="AZ23" s="68">
        <f ca="1">IF(E23-'Invoer gegevens'!$C$17-14.5&lt;0,0,E23-'Invoer gegevens'!$C$17-14.5)</f>
        <v>3.5</v>
      </c>
    </row>
    <row r="24" spans="1:52" x14ac:dyDescent="0.25">
      <c r="A24" s="59"/>
      <c r="B24" s="70">
        <f t="shared" si="9"/>
        <v>20</v>
      </c>
      <c r="C24" s="67">
        <f ca="1">IF(E24-'Invoer gegevens'!$C$17&lt;0,0,1)</f>
        <v>1</v>
      </c>
      <c r="D24" s="68">
        <f t="shared" si="10"/>
        <v>19.5</v>
      </c>
      <c r="E24" s="69">
        <f ca="1">IF('Invoer gegevens'!$C$16="","",E23+1)</f>
        <v>2038</v>
      </c>
      <c r="F24" s="84">
        <f ca="1">IF('Invoer gegevens'!$C$17=E24,'Invoer gegevens'!$C$10,IF(C24=1,K23,0))</f>
        <v>0</v>
      </c>
      <c r="G24" s="96">
        <f ca="1">IF(C24&gt;=1,F24*VLOOKUP(E24,Reeksen!$A$5:$B$76,2),0)</f>
        <v>0</v>
      </c>
      <c r="H24" s="84">
        <f ca="1">(1-('Invoer gegevens'!$F$20/12))*F24*MIN(Reeksen!B24,Reeksen!D24)</f>
        <v>0</v>
      </c>
      <c r="I24" s="84">
        <f>IF(Reeksen!D24&lt;Reeksen!B24,(Reeksen!B24-Reeksen!D24)*F24,0)</f>
        <v>0</v>
      </c>
      <c r="J24" s="84">
        <f ca="1">('Invoer gegevens'!$F$20/12)*F23*MIN(Reeksen!B23,Reeksen!D23)</f>
        <v>0</v>
      </c>
      <c r="K24" s="97">
        <f t="shared" ca="1" si="0"/>
        <v>0</v>
      </c>
      <c r="L24" s="84">
        <f ca="1">IF('Invoer gegevens'!$C$17=E24,0,IF(C24=1,Q23,0))</f>
        <v>0</v>
      </c>
      <c r="M24" s="96">
        <f ca="1">IF(C24&gt;=1,L24*VLOOKUP(E24,Reeksen!$A$5:$B$76,2),0)</f>
        <v>0</v>
      </c>
      <c r="N24" s="84">
        <f ca="1">(1-('Invoer gegevens'!$F$20/12))*L24*MIN(Reeksen!B24,Reeksen!D24)</f>
        <v>0</v>
      </c>
      <c r="O24" s="84">
        <f>IF(Reeksen!D24&lt;Reeksen!B24,(Reeksen!B24-Reeksen!D24)*L24,0)</f>
        <v>0</v>
      </c>
      <c r="P24" s="84">
        <f ca="1">('Invoer gegevens'!$F$20/12)*L23*MIN(Reeksen!B23,Reeksen!D23)</f>
        <v>0</v>
      </c>
      <c r="Q24" s="84">
        <f t="shared" ca="1" si="1"/>
        <v>0</v>
      </c>
      <c r="R24" s="82">
        <f ca="1">IF('Invoer gegevens'!$C$17=E24,'Invoer gegevens'!$C$11,IF(C24=1,W23,0))</f>
        <v>0</v>
      </c>
      <c r="S24" s="86">
        <f ca="1">IF(C24&gt;=1,R24*VLOOKUP(E24,Reeksen!$A$5:$B$76,2),0)</f>
        <v>0</v>
      </c>
      <c r="T24" s="84">
        <f ca="1">(1-('Invoer gegevens'!$F$20/12))*R24*MIN(Reeksen!B24,Reeksen!D24)</f>
        <v>0</v>
      </c>
      <c r="U24" s="84">
        <f>IF(Reeksen!D24&gt;=Reeksen!B24,0,IF(Reeksen!AD24&lt;=Reeksen!AE24,(Reeksen!B24-Reeksen!D24)*R24,0))</f>
        <v>0</v>
      </c>
      <c r="V24" s="86">
        <f>IF(Reeksen!D24&gt;=Reeksen!B24,0,IF(Reeksen!AD24&gt;Reeksen!AE24,(Reeksen!B24-Reeksen!D24)*R24,0))</f>
        <v>0</v>
      </c>
      <c r="W24" s="97">
        <f t="shared" ca="1" si="2"/>
        <v>0</v>
      </c>
      <c r="X24" s="98">
        <f ca="1">IF('Invoer gegevens'!$C$17=E24,'Invoer gegevens'!$C$10-'Invoer gegevens'!$C$11,IF(C24=1,AC23,0))</f>
        <v>0</v>
      </c>
      <c r="Y24" s="98">
        <f ca="1">IF(C24&gt;=1,X24*VLOOKUP(E24,Reeksen!$A$5:$B$76,2),0)</f>
        <v>0</v>
      </c>
      <c r="Z24" s="98">
        <f ca="1">(1-('Invoer gegevens'!$F$20/12))*X24*MIN(Reeksen!B24,Reeksen!D24)</f>
        <v>0</v>
      </c>
      <c r="AA24" s="98">
        <f>IF(Reeksen!D24&gt;=Reeksen!B24,0,IF(Reeksen!AD24&lt;=Reeksen!AE24,(Reeksen!B24-Reeksen!D24)*X24,0))</f>
        <v>0</v>
      </c>
      <c r="AB24" s="98">
        <f>IF(Reeksen!D24&gt;=Reeksen!B24,0,IF(Reeksen!AD24&gt;Reeksen!AE24,(Reeksen!B24-Reeksen!D24)*X24,0))</f>
        <v>0</v>
      </c>
      <c r="AC24" s="99">
        <f t="shared" ca="1" si="3"/>
        <v>0</v>
      </c>
      <c r="AD24" s="98">
        <f ca="1">IF('Invoer gegevens'!$C$17=E24,R24,IF(C24=0,0,AE23))</f>
        <v>0</v>
      </c>
      <c r="AE24" s="98">
        <f t="shared" ca="1" si="4"/>
        <v>0</v>
      </c>
      <c r="AF24" s="98">
        <f ca="1">IF('Invoer gegevens'!$C$17=E24,X24,IF(C24=0,0,AG23))</f>
        <v>0</v>
      </c>
      <c r="AG24" s="98">
        <f t="shared" ca="1" si="5"/>
        <v>0</v>
      </c>
      <c r="AH24" s="66"/>
      <c r="AI24" s="71">
        <f ca="1">IF(C24=1,Reeksen!AI24*((F24-G24+F24)/2)*12+Reeksen!AD24*((L24-M24+L24)/2)*12,0)</f>
        <v>0</v>
      </c>
      <c r="AJ24" s="71">
        <f ca="1">-AI24*'Invoer gegevens'!$F$28</f>
        <v>0</v>
      </c>
      <c r="AK24" s="71">
        <f t="shared" ca="1" si="6"/>
        <v>0</v>
      </c>
      <c r="AL24" s="71">
        <f ca="1">IF(C24=1,Reeksen!AL24*((F24-G24+F24)/2)*12+Reeksen!AM24*((L24-M24+L24)/2)*12,0)</f>
        <v>0</v>
      </c>
      <c r="AM24" s="71">
        <f ca="1">-AL24*'Invoer gegevens'!$F$31</f>
        <v>0</v>
      </c>
      <c r="AN24" s="71">
        <f t="shared" ca="1" si="7"/>
        <v>0</v>
      </c>
      <c r="AO24" s="71">
        <f ca="1">IF(C24=1,(H24+J24+N24+P24)*Reeksen!AN24,0)</f>
        <v>0</v>
      </c>
      <c r="AP24" s="71">
        <f ca="1">-IF(C24=1,(H24+J24+N24+P24)*'Hulp - basis'!$G$550*Reeksen!H24,0)</f>
        <v>0</v>
      </c>
      <c r="AQ24" s="71">
        <f ca="1">-IF(C24=1,(F24+K24+L24+Q24)/2*'Invoer gegevens'!$F$35*Reeksen!J24,0)*2</f>
        <v>0</v>
      </c>
      <c r="AR24" s="71"/>
      <c r="AS24" s="71">
        <f ca="1">-IF(C24=1,(F24+K24+L24+Q24)/2*'Invoer gegevens'!$F$37*Reeksen!L24,0)</f>
        <v>0</v>
      </c>
      <c r="AT24" s="71">
        <f ca="1">-IF(C24=1,IF(E24='Invoer gegevens'!$C$17,'Invoer gegevens'!$C$11,AD24)*Reeksen!S24*'Invoer gegevens'!$C$18*Reeksen!P24,0)</f>
        <v>0</v>
      </c>
      <c r="AU24" s="71">
        <f ca="1">-IF(C24=1,(F24+K24+L24+Q24)/2*'Invoer gegevens'!$F$38*Reeksen!H24,0)</f>
        <v>0</v>
      </c>
      <c r="AV24" s="71">
        <f t="shared" si="11"/>
        <v>0</v>
      </c>
      <c r="AW24" s="71">
        <f t="shared" ca="1" si="8"/>
        <v>0</v>
      </c>
      <c r="AX24" s="71">
        <f ca="1">IF(E24&lt;'Invoer gegevens'!$C$17+15,0,IF(E24&gt;'Invoer gegevens'!$C$17+215,0,AW24))</f>
        <v>0</v>
      </c>
      <c r="AY24" s="71">
        <f ca="1">AX24/(1+'Invoer gegevens'!$F$18)^($AZ24-('Invoer gegevens'!$C$17-'Invoer gegevens'!$C$16))/(1+'Invoer gegevens'!$C$39)^('Invoer gegevens'!$C$17-'Invoer gegevens'!$C$16)</f>
        <v>0</v>
      </c>
      <c r="AZ24" s="68">
        <f ca="1">IF(E24-'Invoer gegevens'!$C$17-14.5&lt;0,0,E24-'Invoer gegevens'!$C$17-14.5)</f>
        <v>4.5</v>
      </c>
    </row>
    <row r="25" spans="1:52" x14ac:dyDescent="0.25">
      <c r="A25" s="59"/>
      <c r="B25" s="70">
        <f t="shared" si="9"/>
        <v>21</v>
      </c>
      <c r="C25" s="67">
        <f ca="1">IF(E25-'Invoer gegevens'!$C$17&lt;0,0,1)</f>
        <v>1</v>
      </c>
      <c r="D25" s="68">
        <f t="shared" si="10"/>
        <v>20.5</v>
      </c>
      <c r="E25" s="69">
        <f ca="1">IF('Invoer gegevens'!$C$16="","",E24+1)</f>
        <v>2039</v>
      </c>
      <c r="F25" s="84">
        <f ca="1">IF('Invoer gegevens'!$C$17=E25,'Invoer gegevens'!$C$10,IF(C25=1,K24,0))</f>
        <v>0</v>
      </c>
      <c r="G25" s="96">
        <f ca="1">IF(C25&gt;=1,F25*VLOOKUP(E25,Reeksen!$A$5:$B$76,2),0)</f>
        <v>0</v>
      </c>
      <c r="H25" s="84">
        <f ca="1">(1-('Invoer gegevens'!$F$20/12))*F25*MIN(Reeksen!B25,Reeksen!D25)</f>
        <v>0</v>
      </c>
      <c r="I25" s="84">
        <f>IF(Reeksen!D25&lt;Reeksen!B25,(Reeksen!B25-Reeksen!D25)*F25,0)</f>
        <v>0</v>
      </c>
      <c r="J25" s="84">
        <f ca="1">('Invoer gegevens'!$F$20/12)*F24*MIN(Reeksen!B24,Reeksen!D24)</f>
        <v>0</v>
      </c>
      <c r="K25" s="97">
        <f t="shared" ca="1" si="0"/>
        <v>0</v>
      </c>
      <c r="L25" s="84">
        <f ca="1">IF('Invoer gegevens'!$C$17=E25,0,IF(C25=1,Q24,0))</f>
        <v>0</v>
      </c>
      <c r="M25" s="96">
        <f ca="1">IF(C25&gt;=1,L25*VLOOKUP(E25,Reeksen!$A$5:$B$76,2),0)</f>
        <v>0</v>
      </c>
      <c r="N25" s="84">
        <f ca="1">(1-('Invoer gegevens'!$F$20/12))*L25*MIN(Reeksen!B25,Reeksen!D25)</f>
        <v>0</v>
      </c>
      <c r="O25" s="84">
        <f>IF(Reeksen!D25&lt;Reeksen!B25,(Reeksen!B25-Reeksen!D25)*L25,0)</f>
        <v>0</v>
      </c>
      <c r="P25" s="84">
        <f ca="1">('Invoer gegevens'!$F$20/12)*L24*MIN(Reeksen!B24,Reeksen!D24)</f>
        <v>0</v>
      </c>
      <c r="Q25" s="84">
        <f t="shared" ca="1" si="1"/>
        <v>0</v>
      </c>
      <c r="R25" s="82">
        <f ca="1">IF('Invoer gegevens'!$C$17=E25,'Invoer gegevens'!$C$11,IF(C25=1,W24,0))</f>
        <v>0</v>
      </c>
      <c r="S25" s="86">
        <f ca="1">IF(C25&gt;=1,R25*VLOOKUP(E25,Reeksen!$A$5:$B$76,2),0)</f>
        <v>0</v>
      </c>
      <c r="T25" s="84">
        <f ca="1">(1-('Invoer gegevens'!$F$20/12))*R25*MIN(Reeksen!B25,Reeksen!D25)</f>
        <v>0</v>
      </c>
      <c r="U25" s="84">
        <f>IF(Reeksen!D25&gt;=Reeksen!B25,0,IF(Reeksen!AD25&lt;=Reeksen!AE25,(Reeksen!B25-Reeksen!D25)*R25,0))</f>
        <v>0</v>
      </c>
      <c r="V25" s="86">
        <f>IF(Reeksen!D25&gt;=Reeksen!B25,0,IF(Reeksen!AD25&gt;Reeksen!AE25,(Reeksen!B25-Reeksen!D25)*R25,0))</f>
        <v>0</v>
      </c>
      <c r="W25" s="97">
        <f t="shared" ca="1" si="2"/>
        <v>0</v>
      </c>
      <c r="X25" s="98">
        <f ca="1">IF('Invoer gegevens'!$C$17=E25,'Invoer gegevens'!$C$10-'Invoer gegevens'!$C$11,IF(C25=1,AC24,0))</f>
        <v>0</v>
      </c>
      <c r="Y25" s="98">
        <f ca="1">IF(C25&gt;=1,X25*VLOOKUP(E25,Reeksen!$A$5:$B$76,2),0)</f>
        <v>0</v>
      </c>
      <c r="Z25" s="98">
        <f ca="1">(1-('Invoer gegevens'!$F$20/12))*X25*MIN(Reeksen!B25,Reeksen!D25)</f>
        <v>0</v>
      </c>
      <c r="AA25" s="98">
        <f>IF(Reeksen!D25&gt;=Reeksen!B25,0,IF(Reeksen!AD25&lt;=Reeksen!AE25,(Reeksen!B25-Reeksen!D25)*X25,0))</f>
        <v>0</v>
      </c>
      <c r="AB25" s="98">
        <f>IF(Reeksen!D25&gt;=Reeksen!B25,0,IF(Reeksen!AD25&gt;Reeksen!AE25,(Reeksen!B25-Reeksen!D25)*X25,0))</f>
        <v>0</v>
      </c>
      <c r="AC25" s="99">
        <f t="shared" ca="1" si="3"/>
        <v>0</v>
      </c>
      <c r="AD25" s="98">
        <f ca="1">IF('Invoer gegevens'!$C$17=E25,R25,IF(C25=0,0,AE24))</f>
        <v>0</v>
      </c>
      <c r="AE25" s="98">
        <f t="shared" ca="1" si="4"/>
        <v>0</v>
      </c>
      <c r="AF25" s="98">
        <f ca="1">IF('Invoer gegevens'!$C$17=E25,X25,IF(C25=0,0,AG24))</f>
        <v>0</v>
      </c>
      <c r="AG25" s="98">
        <f t="shared" ca="1" si="5"/>
        <v>0</v>
      </c>
      <c r="AH25" s="66"/>
      <c r="AI25" s="71">
        <f ca="1">IF(C25=1,Reeksen!AI25*((F25-G25+F25)/2)*12+Reeksen!AD25*((L25-M25+L25)/2)*12,0)</f>
        <v>0</v>
      </c>
      <c r="AJ25" s="71">
        <f ca="1">-AI25*'Invoer gegevens'!$F$28</f>
        <v>0</v>
      </c>
      <c r="AK25" s="71">
        <f t="shared" ca="1" si="6"/>
        <v>0</v>
      </c>
      <c r="AL25" s="71">
        <f ca="1">IF(C25=1,Reeksen!AL25*((F25-G25+F25)/2)*12+Reeksen!AM25*((L25-M25+L25)/2)*12,0)</f>
        <v>0</v>
      </c>
      <c r="AM25" s="71">
        <f ca="1">-AL25*'Invoer gegevens'!$F$31</f>
        <v>0</v>
      </c>
      <c r="AN25" s="71">
        <f t="shared" ca="1" si="7"/>
        <v>0</v>
      </c>
      <c r="AO25" s="71">
        <f ca="1">IF(C25=1,(H25+J25+N25+P25)*Reeksen!AN25,0)</f>
        <v>0</v>
      </c>
      <c r="AP25" s="71">
        <f ca="1">-IF(C25=1,(H25+J25+N25+P25)*'Hulp - basis'!$G$550*Reeksen!H25,0)</f>
        <v>0</v>
      </c>
      <c r="AQ25" s="71">
        <f ca="1">-IF(C25=1,(F25+K25+L25+Q25)/2*'Invoer gegevens'!$F$35*Reeksen!J25,0)*2</f>
        <v>0</v>
      </c>
      <c r="AR25" s="71"/>
      <c r="AS25" s="71">
        <f ca="1">-IF(C25=1,(F25+K25+L25+Q25)/2*'Invoer gegevens'!$F$37*Reeksen!L25,0)</f>
        <v>0</v>
      </c>
      <c r="AT25" s="71">
        <f ca="1">-IF(C25=1,IF(E25='Invoer gegevens'!$C$17,'Invoer gegevens'!$C$11,AD25)*Reeksen!S25*'Invoer gegevens'!$C$18*Reeksen!P25,0)</f>
        <v>0</v>
      </c>
      <c r="AU25" s="71">
        <f ca="1">-IF(C25=1,(F25+K25+L25+Q25)/2*'Invoer gegevens'!$F$38*Reeksen!H25,0)</f>
        <v>0</v>
      </c>
      <c r="AV25" s="71">
        <f t="shared" si="11"/>
        <v>0</v>
      </c>
      <c r="AW25" s="71">
        <f t="shared" ca="1" si="8"/>
        <v>0</v>
      </c>
      <c r="AX25" s="71">
        <f ca="1">IF(E25&lt;'Invoer gegevens'!$C$17+15,0,IF(E25&gt;'Invoer gegevens'!$C$17+215,0,AW25))</f>
        <v>0</v>
      </c>
      <c r="AY25" s="71">
        <f ca="1">AX25/(1+'Invoer gegevens'!$F$18)^($AZ25-('Invoer gegevens'!$C$17-'Invoer gegevens'!$C$16))/(1+'Invoer gegevens'!$C$39)^('Invoer gegevens'!$C$17-'Invoer gegevens'!$C$16)</f>
        <v>0</v>
      </c>
      <c r="AZ25" s="68">
        <f ca="1">IF(E25-'Invoer gegevens'!$C$17-14.5&lt;0,0,E25-'Invoer gegevens'!$C$17-14.5)</f>
        <v>5.5</v>
      </c>
    </row>
    <row r="26" spans="1:52" x14ac:dyDescent="0.25">
      <c r="A26" s="59"/>
      <c r="B26" s="70">
        <f>B25+1</f>
        <v>22</v>
      </c>
      <c r="C26" s="67">
        <f ca="1">IF(E26-'Invoer gegevens'!$C$17&lt;0,0,1)</f>
        <v>1</v>
      </c>
      <c r="D26" s="68">
        <f t="shared" si="10"/>
        <v>21.5</v>
      </c>
      <c r="E26" s="69">
        <f ca="1">IF('Invoer gegevens'!$C$16="","",E25+1)</f>
        <v>2040</v>
      </c>
      <c r="F26" s="84">
        <f ca="1">IF('Invoer gegevens'!$C$17=E26,'Invoer gegevens'!$C$10,IF(C26=1,K25,0))</f>
        <v>0</v>
      </c>
      <c r="G26" s="96">
        <f ca="1">IF(C26&gt;=1,F26*VLOOKUP(E26,Reeksen!$A$5:$B$76,2),0)</f>
        <v>0</v>
      </c>
      <c r="H26" s="84">
        <f ca="1">(1-('Invoer gegevens'!$F$20/12))*F26*MIN(Reeksen!B26,Reeksen!D26)</f>
        <v>0</v>
      </c>
      <c r="I26" s="84">
        <f>IF(Reeksen!D26&lt;Reeksen!B26,(Reeksen!B26-Reeksen!D26)*F26,0)</f>
        <v>0</v>
      </c>
      <c r="J26" s="84">
        <f ca="1">('Invoer gegevens'!$F$20/12)*F25*MIN(Reeksen!B25,Reeksen!D25)</f>
        <v>0</v>
      </c>
      <c r="K26" s="97">
        <f t="shared" ca="1" si="0"/>
        <v>0</v>
      </c>
      <c r="L26" s="84">
        <f ca="1">IF('Invoer gegevens'!$C$17=E26,0,IF(C26=1,Q25,0))</f>
        <v>0</v>
      </c>
      <c r="M26" s="96">
        <f ca="1">IF(C26&gt;=1,L26*VLOOKUP(E26,Reeksen!$A$5:$B$76,2),0)</f>
        <v>0</v>
      </c>
      <c r="N26" s="84">
        <f ca="1">(1-('Invoer gegevens'!$F$20/12))*L26*MIN(Reeksen!B26,Reeksen!D26)</f>
        <v>0</v>
      </c>
      <c r="O26" s="84">
        <f>IF(Reeksen!D26&lt;Reeksen!B26,(Reeksen!B26-Reeksen!D26)*L26,0)</f>
        <v>0</v>
      </c>
      <c r="P26" s="84">
        <f ca="1">('Invoer gegevens'!$F$20/12)*L25*MIN(Reeksen!B25,Reeksen!D25)</f>
        <v>0</v>
      </c>
      <c r="Q26" s="84">
        <f t="shared" ca="1" si="1"/>
        <v>0</v>
      </c>
      <c r="R26" s="82">
        <f ca="1">IF('Invoer gegevens'!$C$17=E26,'Invoer gegevens'!$C$11,IF(C26=1,W25,0))</f>
        <v>0</v>
      </c>
      <c r="S26" s="86">
        <f ca="1">IF(C26&gt;=1,R26*VLOOKUP(E26,Reeksen!$A$5:$B$76,2),0)</f>
        <v>0</v>
      </c>
      <c r="T26" s="84">
        <f ca="1">(1-('Invoer gegevens'!$F$20/12))*R26*MIN(Reeksen!B26,Reeksen!D26)</f>
        <v>0</v>
      </c>
      <c r="U26" s="84">
        <f>IF(Reeksen!D26&gt;=Reeksen!B26,0,IF(Reeksen!AD26&lt;=Reeksen!AE26,(Reeksen!B26-Reeksen!D26)*R26,0))</f>
        <v>0</v>
      </c>
      <c r="V26" s="86">
        <f>IF(Reeksen!D26&gt;=Reeksen!B26,0,IF(Reeksen!AD26&gt;Reeksen!AE26,(Reeksen!B26-Reeksen!D26)*R26,0))</f>
        <v>0</v>
      </c>
      <c r="W26" s="97">
        <f t="shared" ca="1" si="2"/>
        <v>0</v>
      </c>
      <c r="X26" s="98">
        <f ca="1">IF('Invoer gegevens'!$C$17=E26,'Invoer gegevens'!$C$10-'Invoer gegevens'!$C$11,IF(C26=1,AC25,0))</f>
        <v>0</v>
      </c>
      <c r="Y26" s="98">
        <f ca="1">IF(C26&gt;=1,X26*VLOOKUP(E26,Reeksen!$A$5:$B$76,2),0)</f>
        <v>0</v>
      </c>
      <c r="Z26" s="98">
        <f ca="1">(1-('Invoer gegevens'!$F$20/12))*X26*MIN(Reeksen!B26,Reeksen!D26)</f>
        <v>0</v>
      </c>
      <c r="AA26" s="98">
        <f>IF(Reeksen!D26&gt;=Reeksen!B26,0,IF(Reeksen!AD26&lt;=Reeksen!AE26,(Reeksen!B26-Reeksen!D26)*X26,0))</f>
        <v>0</v>
      </c>
      <c r="AB26" s="98">
        <f>IF(Reeksen!D26&gt;=Reeksen!B26,0,IF(Reeksen!AD26&gt;Reeksen!AE26,(Reeksen!B26-Reeksen!D26)*X26,0))</f>
        <v>0</v>
      </c>
      <c r="AC26" s="99">
        <f t="shared" ca="1" si="3"/>
        <v>0</v>
      </c>
      <c r="AD26" s="98">
        <f ca="1">IF('Invoer gegevens'!$C$17=E26,R26,IF(C26=0,0,AE25))</f>
        <v>0</v>
      </c>
      <c r="AE26" s="98">
        <f t="shared" ca="1" si="4"/>
        <v>0</v>
      </c>
      <c r="AF26" s="98">
        <f ca="1">IF('Invoer gegevens'!$C$17=E26,X26,IF(C26=0,0,AG25))</f>
        <v>0</v>
      </c>
      <c r="AG26" s="98">
        <f t="shared" ca="1" si="5"/>
        <v>0</v>
      </c>
      <c r="AH26" s="66"/>
      <c r="AI26" s="71">
        <f ca="1">IF(C26=1,Reeksen!AI26*((F26-G26+F26)/2)*12+Reeksen!AD26*((L26-M26+L26)/2)*12,0)</f>
        <v>0</v>
      </c>
      <c r="AJ26" s="71">
        <f ca="1">-AI26*'Invoer gegevens'!$F$28</f>
        <v>0</v>
      </c>
      <c r="AK26" s="71">
        <f t="shared" ca="1" si="6"/>
        <v>0</v>
      </c>
      <c r="AL26" s="71">
        <f ca="1">IF(C26=1,Reeksen!AL26*((F26-G26+F26)/2)*12+Reeksen!AM26*((L26-M26+L26)/2)*12,0)</f>
        <v>0</v>
      </c>
      <c r="AM26" s="71">
        <f ca="1">-AL26*'Invoer gegevens'!$F$31</f>
        <v>0</v>
      </c>
      <c r="AN26" s="71">
        <f t="shared" ca="1" si="7"/>
        <v>0</v>
      </c>
      <c r="AO26" s="71">
        <f ca="1">IF(C26=1,(H26+J26+N26+P26)*Reeksen!AN26,0)</f>
        <v>0</v>
      </c>
      <c r="AP26" s="71">
        <f ca="1">-IF(C26=1,(H26+J26+N26+P26)*'Hulp - basis'!$G$550*Reeksen!H26,0)</f>
        <v>0</v>
      </c>
      <c r="AQ26" s="71">
        <f ca="1">-IF(C26=1,(F26+K26+L26+Q26)/2*'Invoer gegevens'!$F$35*Reeksen!J26,0)*2</f>
        <v>0</v>
      </c>
      <c r="AR26" s="71"/>
      <c r="AS26" s="71">
        <f ca="1">-IF(C26=1,(F26+K26+L26+Q26)/2*'Invoer gegevens'!$F$37*Reeksen!L26,0)</f>
        <v>0</v>
      </c>
      <c r="AT26" s="71">
        <f ca="1">-IF(C26=1,IF(E26='Invoer gegevens'!$C$17,'Invoer gegevens'!$C$11,AD26)*Reeksen!S26*'Invoer gegevens'!$C$18*Reeksen!P26,0)</f>
        <v>0</v>
      </c>
      <c r="AU26" s="71">
        <f ca="1">-IF(C26=1,(F26+K26+L26+Q26)/2*'Invoer gegevens'!$F$38*Reeksen!H26,0)</f>
        <v>0</v>
      </c>
      <c r="AV26" s="71">
        <f t="shared" si="11"/>
        <v>0</v>
      </c>
      <c r="AW26" s="71">
        <f t="shared" ca="1" si="8"/>
        <v>0</v>
      </c>
      <c r="AX26" s="71">
        <f ca="1">IF(E26&lt;'Invoer gegevens'!$C$17+15,0,IF(E26&gt;'Invoer gegevens'!$C$17+215,0,AW26))</f>
        <v>0</v>
      </c>
      <c r="AY26" s="71">
        <f ca="1">AX26/(1+'Invoer gegevens'!$F$18)^($AZ26-('Invoer gegevens'!$C$17-'Invoer gegevens'!$C$16))/(1+'Invoer gegevens'!$C$39)^('Invoer gegevens'!$C$17-'Invoer gegevens'!$C$16)</f>
        <v>0</v>
      </c>
      <c r="AZ26" s="68">
        <f ca="1">IF(E26-'Invoer gegevens'!$C$17-14.5&lt;0,0,E26-'Invoer gegevens'!$C$17-14.5)</f>
        <v>6.5</v>
      </c>
    </row>
    <row r="27" spans="1:52" x14ac:dyDescent="0.25">
      <c r="A27" s="59"/>
      <c r="B27" s="70">
        <f t="shared" si="9"/>
        <v>23</v>
      </c>
      <c r="C27" s="67">
        <f ca="1">IF(E27-'Invoer gegevens'!$C$17&lt;0,0,1)</f>
        <v>1</v>
      </c>
      <c r="D27" s="68">
        <f t="shared" si="10"/>
        <v>22.5</v>
      </c>
      <c r="E27" s="69">
        <f ca="1">IF('Invoer gegevens'!$C$16="","",E26+1)</f>
        <v>2041</v>
      </c>
      <c r="F27" s="84">
        <f ca="1">IF('Invoer gegevens'!$C$17=E27,'Invoer gegevens'!$C$10,IF(C27=1,K26,0))</f>
        <v>0</v>
      </c>
      <c r="G27" s="96">
        <f ca="1">IF(C27&gt;=1,F27*VLOOKUP(E27,Reeksen!$A$5:$B$76,2),0)</f>
        <v>0</v>
      </c>
      <c r="H27" s="84">
        <f ca="1">(1-('Invoer gegevens'!$F$20/12))*F27*MIN(Reeksen!B27,Reeksen!D27)</f>
        <v>0</v>
      </c>
      <c r="I27" s="84">
        <f>IF(Reeksen!D27&lt;Reeksen!B27,(Reeksen!B27-Reeksen!D27)*F27,0)</f>
        <v>0</v>
      </c>
      <c r="J27" s="84">
        <f ca="1">('Invoer gegevens'!$F$20/12)*F26*MIN(Reeksen!B26,Reeksen!D26)</f>
        <v>0</v>
      </c>
      <c r="K27" s="97">
        <f t="shared" ca="1" si="0"/>
        <v>0</v>
      </c>
      <c r="L27" s="84">
        <f ca="1">IF('Invoer gegevens'!$C$17=E27,0,IF(C27=1,Q26,0))</f>
        <v>0</v>
      </c>
      <c r="M27" s="96">
        <f ca="1">IF(C27&gt;=1,L27*VLOOKUP(E27,Reeksen!$A$5:$B$76,2),0)</f>
        <v>0</v>
      </c>
      <c r="N27" s="84">
        <f ca="1">(1-('Invoer gegevens'!$F$20/12))*L27*MIN(Reeksen!B27,Reeksen!D27)</f>
        <v>0</v>
      </c>
      <c r="O27" s="84">
        <f>IF(Reeksen!D27&lt;Reeksen!B27,(Reeksen!B27-Reeksen!D27)*L27,0)</f>
        <v>0</v>
      </c>
      <c r="P27" s="84">
        <f ca="1">('Invoer gegevens'!$F$20/12)*L26*MIN(Reeksen!B26,Reeksen!D26)</f>
        <v>0</v>
      </c>
      <c r="Q27" s="84">
        <f t="shared" ca="1" si="1"/>
        <v>0</v>
      </c>
      <c r="R27" s="82">
        <f ca="1">IF('Invoer gegevens'!$C$17=E27,'Invoer gegevens'!$C$11,IF(C27=1,W26,0))</f>
        <v>0</v>
      </c>
      <c r="S27" s="86">
        <f ca="1">IF(C27&gt;=1,R27*VLOOKUP(E27,Reeksen!$A$5:$B$76,2),0)</f>
        <v>0</v>
      </c>
      <c r="T27" s="84">
        <f ca="1">(1-('Invoer gegevens'!$F$20/12))*R27*MIN(Reeksen!B27,Reeksen!D27)</f>
        <v>0</v>
      </c>
      <c r="U27" s="84">
        <f>IF(Reeksen!D27&gt;=Reeksen!B27,0,IF(Reeksen!AD27&lt;=Reeksen!AE27,(Reeksen!B27-Reeksen!D27)*R27,0))</f>
        <v>0</v>
      </c>
      <c r="V27" s="86">
        <f>IF(Reeksen!D27&gt;=Reeksen!B27,0,IF(Reeksen!AD27&gt;Reeksen!AE27,(Reeksen!B27-Reeksen!D27)*R27,0))</f>
        <v>0</v>
      </c>
      <c r="W27" s="97">
        <f t="shared" ca="1" si="2"/>
        <v>0</v>
      </c>
      <c r="X27" s="98">
        <f ca="1">IF('Invoer gegevens'!$C$17=E27,'Invoer gegevens'!$C$10-'Invoer gegevens'!$C$11,IF(C27=1,AC26,0))</f>
        <v>0</v>
      </c>
      <c r="Y27" s="98">
        <f ca="1">IF(C27&gt;=1,X27*VLOOKUP(E27,Reeksen!$A$5:$B$76,2),0)</f>
        <v>0</v>
      </c>
      <c r="Z27" s="98">
        <f ca="1">(1-('Invoer gegevens'!$F$20/12))*X27*MIN(Reeksen!B27,Reeksen!D27)</f>
        <v>0</v>
      </c>
      <c r="AA27" s="98">
        <f>IF(Reeksen!D27&gt;=Reeksen!B27,0,IF(Reeksen!AD27&lt;=Reeksen!AE27,(Reeksen!B27-Reeksen!D27)*X27,0))</f>
        <v>0</v>
      </c>
      <c r="AB27" s="98">
        <f>IF(Reeksen!D27&gt;=Reeksen!B27,0,IF(Reeksen!AD27&gt;Reeksen!AE27,(Reeksen!B27-Reeksen!D27)*X27,0))</f>
        <v>0</v>
      </c>
      <c r="AC27" s="99">
        <f t="shared" ca="1" si="3"/>
        <v>0</v>
      </c>
      <c r="AD27" s="98">
        <f ca="1">IF('Invoer gegevens'!$C$17=E27,R27,IF(C27=0,0,AE26))</f>
        <v>0</v>
      </c>
      <c r="AE27" s="98">
        <f t="shared" ca="1" si="4"/>
        <v>0</v>
      </c>
      <c r="AF27" s="98">
        <f ca="1">IF('Invoer gegevens'!$C$17=E27,X27,IF(C27=0,0,AG26))</f>
        <v>0</v>
      </c>
      <c r="AG27" s="98">
        <f t="shared" ca="1" si="5"/>
        <v>0</v>
      </c>
      <c r="AH27" s="66"/>
      <c r="AI27" s="71">
        <f ca="1">IF(C27=1,Reeksen!AI27*((F27-G27+F27)/2)*12+Reeksen!AD27*((L27-M27+L27)/2)*12,0)</f>
        <v>0</v>
      </c>
      <c r="AJ27" s="71">
        <f ca="1">-AI27*'Invoer gegevens'!$F$28</f>
        <v>0</v>
      </c>
      <c r="AK27" s="71">
        <f t="shared" ca="1" si="6"/>
        <v>0</v>
      </c>
      <c r="AL27" s="71">
        <f ca="1">IF(C27=1,Reeksen!AL27*((F27-G27+F27)/2)*12+Reeksen!AM27*((L27-M27+L27)/2)*12,0)</f>
        <v>0</v>
      </c>
      <c r="AM27" s="71">
        <f ca="1">-AL27*'Invoer gegevens'!$F$31</f>
        <v>0</v>
      </c>
      <c r="AN27" s="71">
        <f t="shared" ca="1" si="7"/>
        <v>0</v>
      </c>
      <c r="AO27" s="71">
        <f ca="1">IF(C27=1,(H27+J27+N27+P27)*Reeksen!AN27,0)</f>
        <v>0</v>
      </c>
      <c r="AP27" s="71">
        <f ca="1">-IF(C27=1,(H27+J27+N27+P27)*'Hulp - basis'!$G$550*Reeksen!H27,0)</f>
        <v>0</v>
      </c>
      <c r="AQ27" s="71">
        <f ca="1">-IF(C27=1,(F27+K27+L27+Q27)/2*'Invoer gegevens'!$F$35*Reeksen!J27,0)*2</f>
        <v>0</v>
      </c>
      <c r="AR27" s="71"/>
      <c r="AS27" s="71">
        <f ca="1">-IF(C27=1,(F27+K27+L27+Q27)/2*'Invoer gegevens'!$F$37*Reeksen!L27,0)</f>
        <v>0</v>
      </c>
      <c r="AT27" s="71">
        <f ca="1">-IF(C27=1,IF(E27='Invoer gegevens'!$C$17,'Invoer gegevens'!$C$11,AD27)*Reeksen!S27*'Invoer gegevens'!$C$18*Reeksen!P27,0)</f>
        <v>0</v>
      </c>
      <c r="AU27" s="71">
        <f ca="1">-IF(C27=1,(F27+K27+L27+Q27)/2*'Invoer gegevens'!$F$38*Reeksen!H27,0)</f>
        <v>0</v>
      </c>
      <c r="AV27" s="71">
        <f t="shared" si="11"/>
        <v>0</v>
      </c>
      <c r="AW27" s="71">
        <f t="shared" ca="1" si="8"/>
        <v>0</v>
      </c>
      <c r="AX27" s="71">
        <f ca="1">IF(E27&lt;'Invoer gegevens'!$C$17+15,0,IF(E27&gt;'Invoer gegevens'!$C$17+215,0,AW27))</f>
        <v>0</v>
      </c>
      <c r="AY27" s="71">
        <f ca="1">AX27/(1+'Invoer gegevens'!$F$18)^($AZ27-('Invoer gegevens'!$C$17-'Invoer gegevens'!$C$16))/(1+'Invoer gegevens'!$C$39)^('Invoer gegevens'!$C$17-'Invoer gegevens'!$C$16)</f>
        <v>0</v>
      </c>
      <c r="AZ27" s="68">
        <f ca="1">IF(E27-'Invoer gegevens'!$C$17-14.5&lt;0,0,E27-'Invoer gegevens'!$C$17-14.5)</f>
        <v>7.5</v>
      </c>
    </row>
    <row r="28" spans="1:52" x14ac:dyDescent="0.25">
      <c r="A28" s="59"/>
      <c r="B28" s="70">
        <f t="shared" si="9"/>
        <v>24</v>
      </c>
      <c r="C28" s="67">
        <f ca="1">IF(E28-'Invoer gegevens'!$C$17&lt;0,0,1)</f>
        <v>1</v>
      </c>
      <c r="D28" s="68">
        <f t="shared" si="10"/>
        <v>23.5</v>
      </c>
      <c r="E28" s="69">
        <f ca="1">IF('Invoer gegevens'!$C$16="","",E27+1)</f>
        <v>2042</v>
      </c>
      <c r="F28" s="84">
        <f ca="1">IF('Invoer gegevens'!$C$17=E28,'Invoer gegevens'!$C$10,IF(C28=1,K27,0))</f>
        <v>0</v>
      </c>
      <c r="G28" s="96">
        <f ca="1">IF(C28&gt;=1,F28*VLOOKUP(E28,Reeksen!$A$5:$B$76,2),0)</f>
        <v>0</v>
      </c>
      <c r="H28" s="84">
        <f ca="1">(1-('Invoer gegevens'!$F$20/12))*F28*MIN(Reeksen!B28,Reeksen!D28)</f>
        <v>0</v>
      </c>
      <c r="I28" s="84">
        <f>IF(Reeksen!D28&lt;Reeksen!B28,(Reeksen!B28-Reeksen!D28)*F28,0)</f>
        <v>0</v>
      </c>
      <c r="J28" s="84">
        <f ca="1">('Invoer gegevens'!$F$20/12)*F27*MIN(Reeksen!B27,Reeksen!D27)</f>
        <v>0</v>
      </c>
      <c r="K28" s="97">
        <f t="shared" ca="1" si="0"/>
        <v>0</v>
      </c>
      <c r="L28" s="84">
        <f ca="1">IF('Invoer gegevens'!$C$17=E28,0,IF(C28=1,Q27,0))</f>
        <v>0</v>
      </c>
      <c r="M28" s="96">
        <f ca="1">IF(C28&gt;=1,L28*VLOOKUP(E28,Reeksen!$A$5:$B$76,2),0)</f>
        <v>0</v>
      </c>
      <c r="N28" s="84">
        <f ca="1">(1-('Invoer gegevens'!$F$20/12))*L28*MIN(Reeksen!B28,Reeksen!D28)</f>
        <v>0</v>
      </c>
      <c r="O28" s="84">
        <f>IF(Reeksen!D28&lt;Reeksen!B28,(Reeksen!B28-Reeksen!D28)*L28,0)</f>
        <v>0</v>
      </c>
      <c r="P28" s="84">
        <f ca="1">('Invoer gegevens'!$F$20/12)*L27*MIN(Reeksen!B27,Reeksen!D27)</f>
        <v>0</v>
      </c>
      <c r="Q28" s="84">
        <f t="shared" ca="1" si="1"/>
        <v>0</v>
      </c>
      <c r="R28" s="82">
        <f ca="1">IF('Invoer gegevens'!$C$17=E28,'Invoer gegevens'!$C$11,IF(C28=1,W27,0))</f>
        <v>0</v>
      </c>
      <c r="S28" s="86">
        <f ca="1">IF(C28&gt;=1,R28*VLOOKUP(E28,Reeksen!$A$5:$B$76,2),0)</f>
        <v>0</v>
      </c>
      <c r="T28" s="84">
        <f ca="1">(1-('Invoer gegevens'!$F$20/12))*R28*MIN(Reeksen!B28,Reeksen!D28)</f>
        <v>0</v>
      </c>
      <c r="U28" s="84">
        <f>IF(Reeksen!D28&gt;=Reeksen!B28,0,IF(Reeksen!AD28&lt;=Reeksen!AE28,(Reeksen!B28-Reeksen!D28)*R28,0))</f>
        <v>0</v>
      </c>
      <c r="V28" s="86">
        <f>IF(Reeksen!D28&gt;=Reeksen!B28,0,IF(Reeksen!AD28&gt;Reeksen!AE28,(Reeksen!B28-Reeksen!D28)*R28,0))</f>
        <v>0</v>
      </c>
      <c r="W28" s="97">
        <f t="shared" ca="1" si="2"/>
        <v>0</v>
      </c>
      <c r="X28" s="98">
        <f ca="1">IF('Invoer gegevens'!$C$17=E28,'Invoer gegevens'!$C$10-'Invoer gegevens'!$C$11,IF(C28=1,AC27,0))</f>
        <v>0</v>
      </c>
      <c r="Y28" s="98">
        <f ca="1">IF(C28&gt;=1,X28*VLOOKUP(E28,Reeksen!$A$5:$B$76,2),0)</f>
        <v>0</v>
      </c>
      <c r="Z28" s="98">
        <f ca="1">(1-('Invoer gegevens'!$F$20/12))*X28*MIN(Reeksen!B28,Reeksen!D28)</f>
        <v>0</v>
      </c>
      <c r="AA28" s="98">
        <f>IF(Reeksen!D28&gt;=Reeksen!B28,0,IF(Reeksen!AD28&lt;=Reeksen!AE28,(Reeksen!B28-Reeksen!D28)*X28,0))</f>
        <v>0</v>
      </c>
      <c r="AB28" s="98">
        <f>IF(Reeksen!D28&gt;=Reeksen!B28,0,IF(Reeksen!AD28&gt;Reeksen!AE28,(Reeksen!B28-Reeksen!D28)*X28,0))</f>
        <v>0</v>
      </c>
      <c r="AC28" s="99">
        <f t="shared" ca="1" si="3"/>
        <v>0</v>
      </c>
      <c r="AD28" s="98">
        <f ca="1">IF('Invoer gegevens'!$C$17=E28,R28,IF(C28=0,0,AE27))</f>
        <v>0</v>
      </c>
      <c r="AE28" s="98">
        <f t="shared" ca="1" si="4"/>
        <v>0</v>
      </c>
      <c r="AF28" s="98">
        <f ca="1">IF('Invoer gegevens'!$C$17=E28,X28,IF(C28=0,0,AG27))</f>
        <v>0</v>
      </c>
      <c r="AG28" s="98">
        <f t="shared" ca="1" si="5"/>
        <v>0</v>
      </c>
      <c r="AH28" s="66"/>
      <c r="AI28" s="71">
        <f ca="1">IF(C28=1,Reeksen!AI28*((F28-G28+F28)/2)*12+Reeksen!AD28*((L28-M28+L28)/2)*12,0)</f>
        <v>0</v>
      </c>
      <c r="AJ28" s="71">
        <f ca="1">-AI28*'Invoer gegevens'!$F$28</f>
        <v>0</v>
      </c>
      <c r="AK28" s="71">
        <f t="shared" ca="1" si="6"/>
        <v>0</v>
      </c>
      <c r="AL28" s="71">
        <f ca="1">IF(C28=1,Reeksen!AL28*((F28-G28+F28)/2)*12+Reeksen!AM28*((L28-M28+L28)/2)*12,0)</f>
        <v>0</v>
      </c>
      <c r="AM28" s="71">
        <f ca="1">-AL28*'Invoer gegevens'!$F$31</f>
        <v>0</v>
      </c>
      <c r="AN28" s="71">
        <f t="shared" ca="1" si="7"/>
        <v>0</v>
      </c>
      <c r="AO28" s="71">
        <f ca="1">IF(C28=1,(H28+J28+N28+P28)*Reeksen!AN28,0)</f>
        <v>0</v>
      </c>
      <c r="AP28" s="71">
        <f ca="1">-IF(C28=1,(H28+J28+N28+P28)*'Hulp - basis'!$G$550*Reeksen!H28,0)</f>
        <v>0</v>
      </c>
      <c r="AQ28" s="71">
        <f ca="1">-IF(C28=1,(F28+K28+L28+Q28)/2*'Invoer gegevens'!$F$35*Reeksen!J28,0)*2</f>
        <v>0</v>
      </c>
      <c r="AR28" s="71"/>
      <c r="AS28" s="71">
        <f ca="1">-IF(C28=1,(F28+K28+L28+Q28)/2*'Invoer gegevens'!$F$37*Reeksen!L28,0)</f>
        <v>0</v>
      </c>
      <c r="AT28" s="71">
        <f ca="1">-IF(C28=1,IF(E28='Invoer gegevens'!$C$17,'Invoer gegevens'!$C$11,AD28)*Reeksen!S28*'Invoer gegevens'!$C$18*Reeksen!P28,0)</f>
        <v>0</v>
      </c>
      <c r="AU28" s="71">
        <f ca="1">-IF(C28=1,(F28+K28+L28+Q28)/2*'Invoer gegevens'!$F$38*Reeksen!H28,0)</f>
        <v>0</v>
      </c>
      <c r="AV28" s="71">
        <f t="shared" si="11"/>
        <v>0</v>
      </c>
      <c r="AW28" s="71">
        <f t="shared" ca="1" si="8"/>
        <v>0</v>
      </c>
      <c r="AX28" s="71">
        <f ca="1">IF(E28&lt;'Invoer gegevens'!$C$17+15,0,IF(E28&gt;'Invoer gegevens'!$C$17+215,0,AW28))</f>
        <v>0</v>
      </c>
      <c r="AY28" s="71">
        <f ca="1">AX28/(1+'Invoer gegevens'!$F$18)^($AZ28-('Invoer gegevens'!$C$17-'Invoer gegevens'!$C$16))/(1+'Invoer gegevens'!$C$39)^('Invoer gegevens'!$C$17-'Invoer gegevens'!$C$16)</f>
        <v>0</v>
      </c>
      <c r="AZ28" s="68">
        <f ca="1">IF(E28-'Invoer gegevens'!$C$17-14.5&lt;0,0,E28-'Invoer gegevens'!$C$17-14.5)</f>
        <v>8.5</v>
      </c>
    </row>
    <row r="29" spans="1:52" x14ac:dyDescent="0.25">
      <c r="A29" s="59"/>
      <c r="B29" s="70">
        <f t="shared" si="9"/>
        <v>25</v>
      </c>
      <c r="C29" s="67">
        <f ca="1">IF(E29-'Invoer gegevens'!$C$17&lt;0,0,1)</f>
        <v>1</v>
      </c>
      <c r="D29" s="68">
        <f t="shared" si="10"/>
        <v>24.5</v>
      </c>
      <c r="E29" s="69">
        <f ca="1">IF('Invoer gegevens'!$C$16="","",E28+1)</f>
        <v>2043</v>
      </c>
      <c r="F29" s="84">
        <f ca="1">IF('Invoer gegevens'!$C$17=E29,'Invoer gegevens'!$C$10,IF(C29=1,K28,0))</f>
        <v>0</v>
      </c>
      <c r="G29" s="96">
        <f ca="1">IF(C29&gt;=1,F29*VLOOKUP(E29,Reeksen!$A$5:$B$76,2),0)</f>
        <v>0</v>
      </c>
      <c r="H29" s="84">
        <f ca="1">(1-('Invoer gegevens'!$F$20/12))*F29*MIN(Reeksen!B29,Reeksen!D29)</f>
        <v>0</v>
      </c>
      <c r="I29" s="84">
        <f>IF(Reeksen!D29&lt;Reeksen!B29,(Reeksen!B29-Reeksen!D29)*F29,0)</f>
        <v>0</v>
      </c>
      <c r="J29" s="84">
        <f ca="1">('Invoer gegevens'!$F$20/12)*F28*MIN(Reeksen!B28,Reeksen!D28)</f>
        <v>0</v>
      </c>
      <c r="K29" s="97">
        <f t="shared" ca="1" si="0"/>
        <v>0</v>
      </c>
      <c r="L29" s="84">
        <f ca="1">IF('Invoer gegevens'!$C$17=E29,0,IF(C29=1,Q28,0))</f>
        <v>0</v>
      </c>
      <c r="M29" s="96">
        <f ca="1">IF(C29&gt;=1,L29*VLOOKUP(E29,Reeksen!$A$5:$B$76,2),0)</f>
        <v>0</v>
      </c>
      <c r="N29" s="84">
        <f ca="1">(1-('Invoer gegevens'!$F$20/12))*L29*MIN(Reeksen!B29,Reeksen!D29)</f>
        <v>0</v>
      </c>
      <c r="O29" s="84">
        <f>IF(Reeksen!D29&lt;Reeksen!B29,(Reeksen!B29-Reeksen!D29)*L29,0)</f>
        <v>0</v>
      </c>
      <c r="P29" s="84">
        <f ca="1">('Invoer gegevens'!$F$20/12)*L28*MIN(Reeksen!B28,Reeksen!D28)</f>
        <v>0</v>
      </c>
      <c r="Q29" s="84">
        <f t="shared" ca="1" si="1"/>
        <v>0</v>
      </c>
      <c r="R29" s="82">
        <f ca="1">IF('Invoer gegevens'!$C$17=E29,'Invoer gegevens'!$C$11,IF(C29=1,W28,0))</f>
        <v>0</v>
      </c>
      <c r="S29" s="86">
        <f ca="1">IF(C29&gt;=1,R29*VLOOKUP(E29,Reeksen!$A$5:$B$76,2),0)</f>
        <v>0</v>
      </c>
      <c r="T29" s="84">
        <f ca="1">(1-('Invoer gegevens'!$F$20/12))*R29*MIN(Reeksen!B29,Reeksen!D29)</f>
        <v>0</v>
      </c>
      <c r="U29" s="84">
        <f>IF(Reeksen!D29&gt;=Reeksen!B29,0,IF(Reeksen!AD29&lt;=Reeksen!AE29,(Reeksen!B29-Reeksen!D29)*R29,0))</f>
        <v>0</v>
      </c>
      <c r="V29" s="86">
        <f>IF(Reeksen!D29&gt;=Reeksen!B29,0,IF(Reeksen!AD29&gt;Reeksen!AE29,(Reeksen!B29-Reeksen!D29)*R29,0))</f>
        <v>0</v>
      </c>
      <c r="W29" s="97">
        <f t="shared" ca="1" si="2"/>
        <v>0</v>
      </c>
      <c r="X29" s="98">
        <f ca="1">IF('Invoer gegevens'!$C$17=E29,'Invoer gegevens'!$C$10-'Invoer gegevens'!$C$11,IF(C29=1,AC28,0))</f>
        <v>0</v>
      </c>
      <c r="Y29" s="98">
        <f ca="1">IF(C29&gt;=1,X29*VLOOKUP(E29,Reeksen!$A$5:$B$76,2),0)</f>
        <v>0</v>
      </c>
      <c r="Z29" s="98">
        <f ca="1">(1-('Invoer gegevens'!$F$20/12))*X29*MIN(Reeksen!B29,Reeksen!D29)</f>
        <v>0</v>
      </c>
      <c r="AA29" s="98">
        <f>IF(Reeksen!D29&gt;=Reeksen!B29,0,IF(Reeksen!AD29&lt;=Reeksen!AE29,(Reeksen!B29-Reeksen!D29)*X29,0))</f>
        <v>0</v>
      </c>
      <c r="AB29" s="98">
        <f>IF(Reeksen!D29&gt;=Reeksen!B29,0,IF(Reeksen!AD29&gt;Reeksen!AE29,(Reeksen!B29-Reeksen!D29)*X29,0))</f>
        <v>0</v>
      </c>
      <c r="AC29" s="99">
        <f t="shared" ca="1" si="3"/>
        <v>0</v>
      </c>
      <c r="AD29" s="98">
        <f ca="1">IF('Invoer gegevens'!$C$17=E29,R29,IF(C29=0,0,AE28))</f>
        <v>0</v>
      </c>
      <c r="AE29" s="98">
        <f t="shared" ca="1" si="4"/>
        <v>0</v>
      </c>
      <c r="AF29" s="98">
        <f ca="1">IF('Invoer gegevens'!$C$17=E29,X29,IF(C29=0,0,AG28))</f>
        <v>0</v>
      </c>
      <c r="AG29" s="98">
        <f t="shared" ca="1" si="5"/>
        <v>0</v>
      </c>
      <c r="AH29" s="66"/>
      <c r="AI29" s="71">
        <f ca="1">IF(C29=1,Reeksen!AI29*((F29-G29+F29)/2)*12+Reeksen!AD29*((L29-M29+L29)/2)*12,0)</f>
        <v>0</v>
      </c>
      <c r="AJ29" s="71">
        <f ca="1">-AI29*'Invoer gegevens'!$F$28</f>
        <v>0</v>
      </c>
      <c r="AK29" s="71">
        <f t="shared" ca="1" si="6"/>
        <v>0</v>
      </c>
      <c r="AL29" s="71">
        <f ca="1">IF(C29=1,Reeksen!AL29*((F29-G29+F29)/2)*12+Reeksen!AM29*((L29-M29+L29)/2)*12,0)</f>
        <v>0</v>
      </c>
      <c r="AM29" s="71">
        <f ca="1">-AL29*'Invoer gegevens'!$F$31</f>
        <v>0</v>
      </c>
      <c r="AN29" s="71">
        <f t="shared" ca="1" si="7"/>
        <v>0</v>
      </c>
      <c r="AO29" s="71">
        <f ca="1">IF(C29=1,(H29+J29+N29+P29)*Reeksen!AN29,0)</f>
        <v>0</v>
      </c>
      <c r="AP29" s="71">
        <f ca="1">-IF(C29=1,(H29+J29+N29+P29)*'Hulp - basis'!$G$550*Reeksen!H29,0)</f>
        <v>0</v>
      </c>
      <c r="AQ29" s="71">
        <f ca="1">-IF(C29=1,(F29+K29+L29+Q29)/2*'Invoer gegevens'!$F$35*Reeksen!J29,0)*2</f>
        <v>0</v>
      </c>
      <c r="AR29" s="71"/>
      <c r="AS29" s="71">
        <f ca="1">-IF(C29=1,(F29+K29+L29+Q29)/2*'Invoer gegevens'!$F$37*Reeksen!L29,0)</f>
        <v>0</v>
      </c>
      <c r="AT29" s="71">
        <f ca="1">-IF(C29=1,IF(E29='Invoer gegevens'!$C$17,'Invoer gegevens'!$C$11,AD29)*Reeksen!S29*'Invoer gegevens'!$C$18*Reeksen!P29,0)</f>
        <v>0</v>
      </c>
      <c r="AU29" s="71">
        <f ca="1">-IF(C29=1,(F29+K29+L29+Q29)/2*'Invoer gegevens'!$F$38*Reeksen!H29,0)</f>
        <v>0</v>
      </c>
      <c r="AV29" s="71">
        <f t="shared" si="11"/>
        <v>0</v>
      </c>
      <c r="AW29" s="71">
        <f t="shared" ca="1" si="8"/>
        <v>0</v>
      </c>
      <c r="AX29" s="71">
        <f ca="1">IF(E29&lt;'Invoer gegevens'!$C$17+15,0,IF(E29&gt;'Invoer gegevens'!$C$17+215,0,AW29))</f>
        <v>0</v>
      </c>
      <c r="AY29" s="71">
        <f ca="1">AX29/(1+'Invoer gegevens'!$F$18)^($AZ29-('Invoer gegevens'!$C$17-'Invoer gegevens'!$C$16))/(1+'Invoer gegevens'!$C$39)^('Invoer gegevens'!$C$17-'Invoer gegevens'!$C$16)</f>
        <v>0</v>
      </c>
      <c r="AZ29" s="68">
        <f ca="1">IF(E29-'Invoer gegevens'!$C$17-14.5&lt;0,0,E29-'Invoer gegevens'!$C$17-14.5)</f>
        <v>9.5</v>
      </c>
    </row>
    <row r="30" spans="1:52" x14ac:dyDescent="0.25">
      <c r="A30" s="59"/>
      <c r="B30" s="70">
        <f t="shared" si="9"/>
        <v>26</v>
      </c>
      <c r="C30" s="67">
        <f ca="1">IF(E30-'Invoer gegevens'!$C$17&lt;0,0,1)</f>
        <v>1</v>
      </c>
      <c r="D30" s="68">
        <f t="shared" si="10"/>
        <v>25.5</v>
      </c>
      <c r="E30" s="69">
        <f ca="1">IF('Invoer gegevens'!$C$16="","",E29+1)</f>
        <v>2044</v>
      </c>
      <c r="F30" s="84">
        <f ca="1">IF('Invoer gegevens'!$C$17=E30,'Invoer gegevens'!$C$10,IF(C30=1,K29,0))</f>
        <v>0</v>
      </c>
      <c r="G30" s="96">
        <f ca="1">IF(C30&gt;=1,F30*VLOOKUP(E30,Reeksen!$A$5:$B$76,2),0)</f>
        <v>0</v>
      </c>
      <c r="H30" s="84">
        <f ca="1">(1-('Invoer gegevens'!$F$20/12))*F30*MIN(Reeksen!B30,Reeksen!D30)</f>
        <v>0</v>
      </c>
      <c r="I30" s="84">
        <f>IF(Reeksen!D30&lt;Reeksen!B30,(Reeksen!B30-Reeksen!D30)*F30,0)</f>
        <v>0</v>
      </c>
      <c r="J30" s="84">
        <f ca="1">('Invoer gegevens'!$F$20/12)*F29*MIN(Reeksen!B29,Reeksen!D29)</f>
        <v>0</v>
      </c>
      <c r="K30" s="97">
        <f t="shared" ca="1" si="0"/>
        <v>0</v>
      </c>
      <c r="L30" s="84">
        <f ca="1">IF('Invoer gegevens'!$C$17=E30,0,IF(C30=1,Q29,0))</f>
        <v>0</v>
      </c>
      <c r="M30" s="96">
        <f ca="1">IF(C30&gt;=1,L30*VLOOKUP(E30,Reeksen!$A$5:$B$76,2),0)</f>
        <v>0</v>
      </c>
      <c r="N30" s="84">
        <f ca="1">(1-('Invoer gegevens'!$F$20/12))*L30*MIN(Reeksen!B30,Reeksen!D30)</f>
        <v>0</v>
      </c>
      <c r="O30" s="84">
        <f>IF(Reeksen!D30&lt;Reeksen!B30,(Reeksen!B30-Reeksen!D30)*L30,0)</f>
        <v>0</v>
      </c>
      <c r="P30" s="84">
        <f ca="1">('Invoer gegevens'!$F$20/12)*L29*MIN(Reeksen!B29,Reeksen!D29)</f>
        <v>0</v>
      </c>
      <c r="Q30" s="84">
        <f t="shared" ca="1" si="1"/>
        <v>0</v>
      </c>
      <c r="R30" s="82">
        <f ca="1">IF('Invoer gegevens'!$C$17=E30,'Invoer gegevens'!$C$11,IF(C30=1,W29,0))</f>
        <v>0</v>
      </c>
      <c r="S30" s="86">
        <f ca="1">IF(C30&gt;=1,R30*VLOOKUP(E30,Reeksen!$A$5:$B$76,2),0)</f>
        <v>0</v>
      </c>
      <c r="T30" s="84">
        <f ca="1">(1-('Invoer gegevens'!$F$20/12))*R30*MIN(Reeksen!B30,Reeksen!D30)</f>
        <v>0</v>
      </c>
      <c r="U30" s="84">
        <f>IF(Reeksen!D30&gt;=Reeksen!B30,0,IF(Reeksen!AD30&lt;=Reeksen!AE30,(Reeksen!B30-Reeksen!D30)*R30,0))</f>
        <v>0</v>
      </c>
      <c r="V30" s="86">
        <f>IF(Reeksen!D30&gt;=Reeksen!B30,0,IF(Reeksen!AD30&gt;Reeksen!AE30,(Reeksen!B30-Reeksen!D30)*R30,0))</f>
        <v>0</v>
      </c>
      <c r="W30" s="97">
        <f t="shared" ca="1" si="2"/>
        <v>0</v>
      </c>
      <c r="X30" s="98">
        <f ca="1">IF('Invoer gegevens'!$C$17=E30,'Invoer gegevens'!$C$10-'Invoer gegevens'!$C$11,IF(C30=1,AC29,0))</f>
        <v>0</v>
      </c>
      <c r="Y30" s="98">
        <f ca="1">IF(C30&gt;=1,X30*VLOOKUP(E30,Reeksen!$A$5:$B$76,2),0)</f>
        <v>0</v>
      </c>
      <c r="Z30" s="98">
        <f ca="1">(1-('Invoer gegevens'!$F$20/12))*X30*MIN(Reeksen!B30,Reeksen!D30)</f>
        <v>0</v>
      </c>
      <c r="AA30" s="98">
        <f>IF(Reeksen!D30&gt;=Reeksen!B30,0,IF(Reeksen!AD30&lt;=Reeksen!AE30,(Reeksen!B30-Reeksen!D30)*X30,0))</f>
        <v>0</v>
      </c>
      <c r="AB30" s="98">
        <f>IF(Reeksen!D30&gt;=Reeksen!B30,0,IF(Reeksen!AD30&gt;Reeksen!AE30,(Reeksen!B30-Reeksen!D30)*X30,0))</f>
        <v>0</v>
      </c>
      <c r="AC30" s="99">
        <f t="shared" ca="1" si="3"/>
        <v>0</v>
      </c>
      <c r="AD30" s="98">
        <f ca="1">IF('Invoer gegevens'!$C$17=E30,R30,IF(C30=0,0,AE29))</f>
        <v>0</v>
      </c>
      <c r="AE30" s="98">
        <f t="shared" ca="1" si="4"/>
        <v>0</v>
      </c>
      <c r="AF30" s="98">
        <f ca="1">IF('Invoer gegevens'!$C$17=E30,X30,IF(C30=0,0,AG29))</f>
        <v>0</v>
      </c>
      <c r="AG30" s="98">
        <f t="shared" ca="1" si="5"/>
        <v>0</v>
      </c>
      <c r="AH30" s="66"/>
      <c r="AI30" s="71">
        <f ca="1">IF(C30=1,Reeksen!AI30*((F30-G30+F30)/2)*12+Reeksen!AD30*((L30-M30+L30)/2)*12,0)</f>
        <v>0</v>
      </c>
      <c r="AJ30" s="71">
        <f ca="1">-AI30*'Invoer gegevens'!$F$28</f>
        <v>0</v>
      </c>
      <c r="AK30" s="71">
        <f t="shared" ca="1" si="6"/>
        <v>0</v>
      </c>
      <c r="AL30" s="71">
        <f ca="1">IF(C30=1,Reeksen!AL30*((F30-G30+F30)/2)*12+Reeksen!AM30*((L30-M30+L30)/2)*12,0)</f>
        <v>0</v>
      </c>
      <c r="AM30" s="71">
        <f ca="1">-AL30*'Invoer gegevens'!$F$31</f>
        <v>0</v>
      </c>
      <c r="AN30" s="71">
        <f t="shared" ca="1" si="7"/>
        <v>0</v>
      </c>
      <c r="AO30" s="71">
        <f ca="1">IF(C30=1,(H30+J30+N30+P30)*Reeksen!AN30,0)</f>
        <v>0</v>
      </c>
      <c r="AP30" s="71">
        <f ca="1">-IF(C30=1,(H30+J30+N30+P30)*'Hulp - basis'!$G$550*Reeksen!H30,0)</f>
        <v>0</v>
      </c>
      <c r="AQ30" s="71">
        <f ca="1">-IF(C30=1,(F30+K30+L30+Q30)/2*'Invoer gegevens'!$F$35*Reeksen!J30,0)*2</f>
        <v>0</v>
      </c>
      <c r="AR30" s="71"/>
      <c r="AS30" s="71">
        <f ca="1">-IF(C30=1,(F30+K30+L30+Q30)/2*'Invoer gegevens'!$F$37*Reeksen!L30,0)</f>
        <v>0</v>
      </c>
      <c r="AT30" s="71">
        <f ca="1">-IF(C30=1,IF(E30='Invoer gegevens'!$C$17,'Invoer gegevens'!$C$11,AD30)*Reeksen!S30*'Invoer gegevens'!$C$18*Reeksen!P30,0)</f>
        <v>0</v>
      </c>
      <c r="AU30" s="71">
        <f ca="1">-IF(C30=1,(F30+K30+L30+Q30)/2*'Invoer gegevens'!$F$38*Reeksen!H30,0)</f>
        <v>0</v>
      </c>
      <c r="AV30" s="71">
        <f t="shared" si="11"/>
        <v>0</v>
      </c>
      <c r="AW30" s="71">
        <f t="shared" ca="1" si="8"/>
        <v>0</v>
      </c>
      <c r="AX30" s="71">
        <f ca="1">IF(E30&lt;'Invoer gegevens'!$C$17+15,0,IF(E30&gt;'Invoer gegevens'!$C$17+215,0,AW30))</f>
        <v>0</v>
      </c>
      <c r="AY30" s="71">
        <f ca="1">AX30/(1+'Invoer gegevens'!$F$18)^($AZ30-('Invoer gegevens'!$C$17-'Invoer gegevens'!$C$16))/(1+'Invoer gegevens'!$C$39)^('Invoer gegevens'!$C$17-'Invoer gegevens'!$C$16)</f>
        <v>0</v>
      </c>
      <c r="AZ30" s="68">
        <f ca="1">IF(E30-'Invoer gegevens'!$C$17-14.5&lt;0,0,E30-'Invoer gegevens'!$C$17-14.5)</f>
        <v>10.5</v>
      </c>
    </row>
    <row r="31" spans="1:52" x14ac:dyDescent="0.25">
      <c r="A31" s="59"/>
      <c r="B31" s="70">
        <f t="shared" si="9"/>
        <v>27</v>
      </c>
      <c r="C31" s="67">
        <f ca="1">IF(E31-'Invoer gegevens'!$C$17&lt;0,0,1)</f>
        <v>1</v>
      </c>
      <c r="D31" s="68">
        <f t="shared" si="10"/>
        <v>26.5</v>
      </c>
      <c r="E31" s="69">
        <f ca="1">IF('Invoer gegevens'!$C$16="","",E30+1)</f>
        <v>2045</v>
      </c>
      <c r="F31" s="84">
        <f ca="1">IF('Invoer gegevens'!$C$17=E31,'Invoer gegevens'!$C$10,IF(C31=1,K30,0))</f>
        <v>0</v>
      </c>
      <c r="G31" s="96">
        <f ca="1">IF(C31&gt;=1,F31*VLOOKUP(E31,Reeksen!$A$5:$B$76,2),0)</f>
        <v>0</v>
      </c>
      <c r="H31" s="84">
        <f ca="1">(1-('Invoer gegevens'!$F$20/12))*F31*MIN(Reeksen!B31,Reeksen!D31)</f>
        <v>0</v>
      </c>
      <c r="I31" s="84">
        <f>IF(Reeksen!D31&lt;Reeksen!B31,(Reeksen!B31-Reeksen!D31)*F31,0)</f>
        <v>0</v>
      </c>
      <c r="J31" s="84">
        <f ca="1">('Invoer gegevens'!$F$20/12)*F30*MIN(Reeksen!B30,Reeksen!D30)</f>
        <v>0</v>
      </c>
      <c r="K31" s="97">
        <f t="shared" ca="1" si="0"/>
        <v>0</v>
      </c>
      <c r="L31" s="84">
        <f ca="1">IF('Invoer gegevens'!$C$17=E31,0,IF(C31=1,Q30,0))</f>
        <v>0</v>
      </c>
      <c r="M31" s="96">
        <f ca="1">IF(C31&gt;=1,L31*VLOOKUP(E31,Reeksen!$A$5:$B$76,2),0)</f>
        <v>0</v>
      </c>
      <c r="N31" s="84">
        <f ca="1">(1-('Invoer gegevens'!$F$20/12))*L31*MIN(Reeksen!B31,Reeksen!D31)</f>
        <v>0</v>
      </c>
      <c r="O31" s="84">
        <f>IF(Reeksen!D31&lt;Reeksen!B31,(Reeksen!B31-Reeksen!D31)*L31,0)</f>
        <v>0</v>
      </c>
      <c r="P31" s="84">
        <f ca="1">('Invoer gegevens'!$F$20/12)*L30*MIN(Reeksen!B30,Reeksen!D30)</f>
        <v>0</v>
      </c>
      <c r="Q31" s="84">
        <f t="shared" ca="1" si="1"/>
        <v>0</v>
      </c>
      <c r="R31" s="82">
        <f ca="1">IF('Invoer gegevens'!$C$17=E31,'Invoer gegevens'!$C$11,IF(C31=1,W30,0))</f>
        <v>0</v>
      </c>
      <c r="S31" s="86">
        <f ca="1">IF(C31&gt;=1,R31*VLOOKUP(E31,Reeksen!$A$5:$B$76,2),0)</f>
        <v>0</v>
      </c>
      <c r="T31" s="84">
        <f ca="1">(1-('Invoer gegevens'!$F$20/12))*R31*MIN(Reeksen!B31,Reeksen!D31)</f>
        <v>0</v>
      </c>
      <c r="U31" s="84">
        <f>IF(Reeksen!D31&gt;=Reeksen!B31,0,IF(Reeksen!AD31&lt;=Reeksen!AE31,(Reeksen!B31-Reeksen!D31)*R31,0))</f>
        <v>0</v>
      </c>
      <c r="V31" s="86">
        <f>IF(Reeksen!D31&gt;=Reeksen!B31,0,IF(Reeksen!AD31&gt;Reeksen!AE31,(Reeksen!B31-Reeksen!D31)*R31,0))</f>
        <v>0</v>
      </c>
      <c r="W31" s="97">
        <f t="shared" ca="1" si="2"/>
        <v>0</v>
      </c>
      <c r="X31" s="98">
        <f ca="1">IF('Invoer gegevens'!$C$17=E31,'Invoer gegevens'!$C$10-'Invoer gegevens'!$C$11,IF(C31=1,AC30,0))</f>
        <v>0</v>
      </c>
      <c r="Y31" s="98">
        <f ca="1">IF(C31&gt;=1,X31*VLOOKUP(E31,Reeksen!$A$5:$B$76,2),0)</f>
        <v>0</v>
      </c>
      <c r="Z31" s="98">
        <f ca="1">(1-('Invoer gegevens'!$F$20/12))*X31*MIN(Reeksen!B31,Reeksen!D31)</f>
        <v>0</v>
      </c>
      <c r="AA31" s="98">
        <f>IF(Reeksen!D31&gt;=Reeksen!B31,0,IF(Reeksen!AD31&lt;=Reeksen!AE31,(Reeksen!B31-Reeksen!D31)*X31,0))</f>
        <v>0</v>
      </c>
      <c r="AB31" s="98">
        <f>IF(Reeksen!D31&gt;=Reeksen!B31,0,IF(Reeksen!AD31&gt;Reeksen!AE31,(Reeksen!B31-Reeksen!D31)*X31,0))</f>
        <v>0</v>
      </c>
      <c r="AC31" s="99">
        <f t="shared" ca="1" si="3"/>
        <v>0</v>
      </c>
      <c r="AD31" s="98">
        <f ca="1">IF('Invoer gegevens'!$C$17=E31,R31,IF(C31=0,0,AE30))</f>
        <v>0</v>
      </c>
      <c r="AE31" s="98">
        <f t="shared" ca="1" si="4"/>
        <v>0</v>
      </c>
      <c r="AF31" s="98">
        <f ca="1">IF('Invoer gegevens'!$C$17=E31,X31,IF(C31=0,0,AG30))</f>
        <v>0</v>
      </c>
      <c r="AG31" s="98">
        <f t="shared" ca="1" si="5"/>
        <v>0</v>
      </c>
      <c r="AH31" s="66"/>
      <c r="AI31" s="71">
        <f ca="1">IF(C31=1,Reeksen!AI31*((F31-G31+F31)/2)*12+Reeksen!AD31*((L31-M31+L31)/2)*12,0)</f>
        <v>0</v>
      </c>
      <c r="AJ31" s="71">
        <f ca="1">-AI31*'Invoer gegevens'!$F$28</f>
        <v>0</v>
      </c>
      <c r="AK31" s="71">
        <f t="shared" ca="1" si="6"/>
        <v>0</v>
      </c>
      <c r="AL31" s="71">
        <f ca="1">IF(C31=1,Reeksen!AL31*((F31-G31+F31)/2)*12+Reeksen!AM31*((L31-M31+L31)/2)*12,0)</f>
        <v>0</v>
      </c>
      <c r="AM31" s="71">
        <f ca="1">-AL31*'Invoer gegevens'!$F$31</f>
        <v>0</v>
      </c>
      <c r="AN31" s="71">
        <f t="shared" ca="1" si="7"/>
        <v>0</v>
      </c>
      <c r="AO31" s="71">
        <f ca="1">IF(C31=1,(H31+J31+N31+P31)*Reeksen!AN31,0)</f>
        <v>0</v>
      </c>
      <c r="AP31" s="71">
        <f ca="1">-IF(C31=1,(H31+J31+N31+P31)*'Hulp - basis'!$G$550*Reeksen!H31,0)</f>
        <v>0</v>
      </c>
      <c r="AQ31" s="71">
        <f ca="1">-IF(C31=1,(F31+K31+L31+Q31)/2*'Invoer gegevens'!$F$35*Reeksen!J31,0)*2</f>
        <v>0</v>
      </c>
      <c r="AR31" s="71"/>
      <c r="AS31" s="71">
        <f ca="1">-IF(C31=1,(F31+K31+L31+Q31)/2*'Invoer gegevens'!$F$37*Reeksen!L31,0)</f>
        <v>0</v>
      </c>
      <c r="AT31" s="71">
        <f ca="1">-IF(C31=1,IF(E31='Invoer gegevens'!$C$17,'Invoer gegevens'!$C$11,AD31)*Reeksen!S31*'Invoer gegevens'!$C$18*Reeksen!P31,0)</f>
        <v>0</v>
      </c>
      <c r="AU31" s="71">
        <f ca="1">-IF(C31=1,(F31+K31+L31+Q31)/2*'Invoer gegevens'!$F$38*Reeksen!H31,0)</f>
        <v>0</v>
      </c>
      <c r="AV31" s="71">
        <f t="shared" si="11"/>
        <v>0</v>
      </c>
      <c r="AW31" s="71">
        <f t="shared" ca="1" si="8"/>
        <v>0</v>
      </c>
      <c r="AX31" s="71">
        <f ca="1">IF(E31&lt;'Invoer gegevens'!$C$17+15,0,IF(E31&gt;'Invoer gegevens'!$C$17+215,0,AW31))</f>
        <v>0</v>
      </c>
      <c r="AY31" s="71">
        <f ca="1">AX31/(1+'Invoer gegevens'!$F$18)^($AZ31-('Invoer gegevens'!$C$17-'Invoer gegevens'!$C$16))/(1+'Invoer gegevens'!$C$39)^('Invoer gegevens'!$C$17-'Invoer gegevens'!$C$16)</f>
        <v>0</v>
      </c>
      <c r="AZ31" s="68">
        <f ca="1">IF(E31-'Invoer gegevens'!$C$17-14.5&lt;0,0,E31-'Invoer gegevens'!$C$17-14.5)</f>
        <v>11.5</v>
      </c>
    </row>
    <row r="32" spans="1:52" x14ac:dyDescent="0.25">
      <c r="A32" s="59"/>
      <c r="B32" s="70">
        <f t="shared" si="9"/>
        <v>28</v>
      </c>
      <c r="C32" s="67">
        <f ca="1">IF(E32-'Invoer gegevens'!$C$17&lt;0,0,1)</f>
        <v>1</v>
      </c>
      <c r="D32" s="68">
        <f t="shared" si="10"/>
        <v>27.5</v>
      </c>
      <c r="E32" s="69">
        <f ca="1">IF('Invoer gegevens'!$C$16="","",E31+1)</f>
        <v>2046</v>
      </c>
      <c r="F32" s="84">
        <f ca="1">IF('Invoer gegevens'!$C$17=E32,'Invoer gegevens'!$C$10,IF(C32=1,K31,0))</f>
        <v>0</v>
      </c>
      <c r="G32" s="96">
        <f ca="1">IF(C32&gt;=1,F32*VLOOKUP(E32,Reeksen!$A$5:$B$76,2),0)</f>
        <v>0</v>
      </c>
      <c r="H32" s="84">
        <f ca="1">(1-('Invoer gegevens'!$F$20/12))*F32*MIN(Reeksen!B32,Reeksen!D32)</f>
        <v>0</v>
      </c>
      <c r="I32" s="84">
        <f>IF(Reeksen!D32&lt;Reeksen!B32,(Reeksen!B32-Reeksen!D32)*F32,0)</f>
        <v>0</v>
      </c>
      <c r="J32" s="84">
        <f ca="1">('Invoer gegevens'!$F$20/12)*F31*MIN(Reeksen!B31,Reeksen!D31)</f>
        <v>0</v>
      </c>
      <c r="K32" s="97">
        <f t="shared" ca="1" si="0"/>
        <v>0</v>
      </c>
      <c r="L32" s="84">
        <f ca="1">IF('Invoer gegevens'!$C$17=E32,0,IF(C32=1,Q31,0))</f>
        <v>0</v>
      </c>
      <c r="M32" s="96">
        <f ca="1">IF(C32&gt;=1,L32*VLOOKUP(E32,Reeksen!$A$5:$B$76,2),0)</f>
        <v>0</v>
      </c>
      <c r="N32" s="84">
        <f ca="1">(1-('Invoer gegevens'!$F$20/12))*L32*MIN(Reeksen!B32,Reeksen!D32)</f>
        <v>0</v>
      </c>
      <c r="O32" s="84">
        <f>IF(Reeksen!D32&lt;Reeksen!B32,(Reeksen!B32-Reeksen!D32)*L32,0)</f>
        <v>0</v>
      </c>
      <c r="P32" s="84">
        <f ca="1">('Invoer gegevens'!$F$20/12)*L31*MIN(Reeksen!B31,Reeksen!D31)</f>
        <v>0</v>
      </c>
      <c r="Q32" s="84">
        <f t="shared" ca="1" si="1"/>
        <v>0</v>
      </c>
      <c r="R32" s="82">
        <f ca="1">IF('Invoer gegevens'!$C$17=E32,'Invoer gegevens'!$C$11,IF(C32=1,W31,0))</f>
        <v>0</v>
      </c>
      <c r="S32" s="86">
        <f ca="1">IF(C32&gt;=1,R32*VLOOKUP(E32,Reeksen!$A$5:$B$76,2),0)</f>
        <v>0</v>
      </c>
      <c r="T32" s="84">
        <f ca="1">(1-('Invoer gegevens'!$F$20/12))*R32*MIN(Reeksen!B32,Reeksen!D32)</f>
        <v>0</v>
      </c>
      <c r="U32" s="84">
        <f>IF(Reeksen!D32&gt;=Reeksen!B32,0,IF(Reeksen!AD32&lt;=Reeksen!AE32,(Reeksen!B32-Reeksen!D32)*R32,0))</f>
        <v>0</v>
      </c>
      <c r="V32" s="86">
        <f>IF(Reeksen!D32&gt;=Reeksen!B32,0,IF(Reeksen!AD32&gt;Reeksen!AE32,(Reeksen!B32-Reeksen!D32)*R32,0))</f>
        <v>0</v>
      </c>
      <c r="W32" s="97">
        <f t="shared" ca="1" si="2"/>
        <v>0</v>
      </c>
      <c r="X32" s="98">
        <f ca="1">IF('Invoer gegevens'!$C$17=E32,'Invoer gegevens'!$C$10-'Invoer gegevens'!$C$11,IF(C32=1,AC31,0))</f>
        <v>0</v>
      </c>
      <c r="Y32" s="98">
        <f ca="1">IF(C32&gt;=1,X32*VLOOKUP(E32,Reeksen!$A$5:$B$76,2),0)</f>
        <v>0</v>
      </c>
      <c r="Z32" s="98">
        <f ca="1">(1-('Invoer gegevens'!$F$20/12))*X32*MIN(Reeksen!B32,Reeksen!D32)</f>
        <v>0</v>
      </c>
      <c r="AA32" s="98">
        <f>IF(Reeksen!D32&gt;=Reeksen!B32,0,IF(Reeksen!AD32&lt;=Reeksen!AE32,(Reeksen!B32-Reeksen!D32)*X32,0))</f>
        <v>0</v>
      </c>
      <c r="AB32" s="98">
        <f>IF(Reeksen!D32&gt;=Reeksen!B32,0,IF(Reeksen!AD32&gt;Reeksen!AE32,(Reeksen!B32-Reeksen!D32)*X32,0))</f>
        <v>0</v>
      </c>
      <c r="AC32" s="99">
        <f t="shared" ca="1" si="3"/>
        <v>0</v>
      </c>
      <c r="AD32" s="98">
        <f ca="1">IF('Invoer gegevens'!$C$17=E32,R32,IF(C32=0,0,AE31))</f>
        <v>0</v>
      </c>
      <c r="AE32" s="98">
        <f t="shared" ca="1" si="4"/>
        <v>0</v>
      </c>
      <c r="AF32" s="98">
        <f ca="1">IF('Invoer gegevens'!$C$17=E32,X32,IF(C32=0,0,AG31))</f>
        <v>0</v>
      </c>
      <c r="AG32" s="98">
        <f t="shared" ca="1" si="5"/>
        <v>0</v>
      </c>
      <c r="AH32" s="66"/>
      <c r="AI32" s="71">
        <f ca="1">IF(C32=1,Reeksen!AI32*((F32-G32+F32)/2)*12+Reeksen!AD32*((L32-M32+L32)/2)*12,0)</f>
        <v>0</v>
      </c>
      <c r="AJ32" s="71">
        <f ca="1">-AI32*'Invoer gegevens'!$F$28</f>
        <v>0</v>
      </c>
      <c r="AK32" s="71">
        <f t="shared" ca="1" si="6"/>
        <v>0</v>
      </c>
      <c r="AL32" s="71">
        <f ca="1">IF(C32=1,Reeksen!AL32*((F32-G32+F32)/2)*12+Reeksen!AM32*((L32-M32+L32)/2)*12,0)</f>
        <v>0</v>
      </c>
      <c r="AM32" s="71">
        <f ca="1">-AL32*'Invoer gegevens'!$F$31</f>
        <v>0</v>
      </c>
      <c r="AN32" s="71">
        <f t="shared" ca="1" si="7"/>
        <v>0</v>
      </c>
      <c r="AO32" s="71">
        <f ca="1">IF(C32=1,(H32+J32+N32+P32)*Reeksen!AN32,0)</f>
        <v>0</v>
      </c>
      <c r="AP32" s="71">
        <f ca="1">-IF(C32=1,(H32+J32+N32+P32)*'Hulp - basis'!$G$550*Reeksen!H32,0)</f>
        <v>0</v>
      </c>
      <c r="AQ32" s="71">
        <f ca="1">-IF(C32=1,(F32+K32+L32+Q32)/2*'Invoer gegevens'!$F$35*Reeksen!J32,0)*2</f>
        <v>0</v>
      </c>
      <c r="AR32" s="71"/>
      <c r="AS32" s="71">
        <f ca="1">-IF(C32=1,(F32+K32+L32+Q32)/2*'Invoer gegevens'!$F$37*Reeksen!L32,0)</f>
        <v>0</v>
      </c>
      <c r="AT32" s="71">
        <f ca="1">-IF(C32=1,IF(E32='Invoer gegevens'!$C$17,'Invoer gegevens'!$C$11,AD32)*Reeksen!S32*'Invoer gegevens'!$C$18*Reeksen!P32,0)</f>
        <v>0</v>
      </c>
      <c r="AU32" s="71">
        <f ca="1">-IF(C32=1,(F32+K32+L32+Q32)/2*'Invoer gegevens'!$F$38*Reeksen!H32,0)</f>
        <v>0</v>
      </c>
      <c r="AV32" s="71">
        <f t="shared" si="11"/>
        <v>0</v>
      </c>
      <c r="AW32" s="71">
        <f t="shared" ca="1" si="8"/>
        <v>0</v>
      </c>
      <c r="AX32" s="71">
        <f ca="1">IF(E32&lt;'Invoer gegevens'!$C$17+15,0,IF(E32&gt;'Invoer gegevens'!$C$17+215,0,AW32))</f>
        <v>0</v>
      </c>
      <c r="AY32" s="71">
        <f ca="1">AX32/(1+'Invoer gegevens'!$F$18)^($AZ32-('Invoer gegevens'!$C$17-'Invoer gegevens'!$C$16))/(1+'Invoer gegevens'!$C$39)^('Invoer gegevens'!$C$17-'Invoer gegevens'!$C$16)</f>
        <v>0</v>
      </c>
      <c r="AZ32" s="68">
        <f ca="1">IF(E32-'Invoer gegevens'!$C$17-14.5&lt;0,0,E32-'Invoer gegevens'!$C$17-14.5)</f>
        <v>12.5</v>
      </c>
    </row>
    <row r="33" spans="1:52" x14ac:dyDescent="0.25">
      <c r="A33" s="59"/>
      <c r="B33" s="70">
        <f t="shared" si="9"/>
        <v>29</v>
      </c>
      <c r="C33" s="67">
        <f ca="1">IF(E33-'Invoer gegevens'!$C$17&lt;0,0,1)</f>
        <v>1</v>
      </c>
      <c r="D33" s="68">
        <f t="shared" si="10"/>
        <v>28.5</v>
      </c>
      <c r="E33" s="69">
        <f ca="1">IF('Invoer gegevens'!$C$16="","",E32+1)</f>
        <v>2047</v>
      </c>
      <c r="F33" s="84">
        <f ca="1">IF('Invoer gegevens'!$C$17=E33,'Invoer gegevens'!$C$10,IF(C33=1,K32,0))</f>
        <v>0</v>
      </c>
      <c r="G33" s="96">
        <f ca="1">IF(C33&gt;=1,F33*VLOOKUP(E33,Reeksen!$A$5:$B$76,2),0)</f>
        <v>0</v>
      </c>
      <c r="H33" s="84">
        <f ca="1">(1-('Invoer gegevens'!$F$20/12))*F33*MIN(Reeksen!B33,Reeksen!D33)</f>
        <v>0</v>
      </c>
      <c r="I33" s="84">
        <f>IF(Reeksen!D33&lt;Reeksen!B33,(Reeksen!B33-Reeksen!D33)*F33,0)</f>
        <v>0</v>
      </c>
      <c r="J33" s="84">
        <f ca="1">('Invoer gegevens'!$F$20/12)*F32*MIN(Reeksen!B32,Reeksen!D32)</f>
        <v>0</v>
      </c>
      <c r="K33" s="97">
        <f t="shared" ca="1" si="0"/>
        <v>0</v>
      </c>
      <c r="L33" s="84">
        <f ca="1">IF('Invoer gegevens'!$C$17=E33,0,IF(C33=1,Q32,0))</f>
        <v>0</v>
      </c>
      <c r="M33" s="96">
        <f ca="1">IF(C33&gt;=1,L33*VLOOKUP(E33,Reeksen!$A$5:$B$76,2),0)</f>
        <v>0</v>
      </c>
      <c r="N33" s="84">
        <f ca="1">(1-('Invoer gegevens'!$F$20/12))*L33*MIN(Reeksen!B33,Reeksen!D33)</f>
        <v>0</v>
      </c>
      <c r="O33" s="84">
        <f>IF(Reeksen!D33&lt;Reeksen!B33,(Reeksen!B33-Reeksen!D33)*L33,0)</f>
        <v>0</v>
      </c>
      <c r="P33" s="84">
        <f ca="1">('Invoer gegevens'!$F$20/12)*L32*MIN(Reeksen!B32,Reeksen!D32)</f>
        <v>0</v>
      </c>
      <c r="Q33" s="84">
        <f t="shared" ca="1" si="1"/>
        <v>0</v>
      </c>
      <c r="R33" s="82">
        <f ca="1">IF('Invoer gegevens'!$C$17=E33,'Invoer gegevens'!$C$11,IF(C33=1,W32,0))</f>
        <v>0</v>
      </c>
      <c r="S33" s="86">
        <f ca="1">IF(C33&gt;=1,R33*VLOOKUP(E33,Reeksen!$A$5:$B$76,2),0)</f>
        <v>0</v>
      </c>
      <c r="T33" s="84">
        <f ca="1">(1-('Invoer gegevens'!$F$20/12))*R33*MIN(Reeksen!B33,Reeksen!D33)</f>
        <v>0</v>
      </c>
      <c r="U33" s="84">
        <f>IF(Reeksen!D33&gt;=Reeksen!B33,0,IF(Reeksen!AD33&lt;=Reeksen!AE33,(Reeksen!B33-Reeksen!D33)*R33,0))</f>
        <v>0</v>
      </c>
      <c r="V33" s="86">
        <f>IF(Reeksen!D33&gt;=Reeksen!B33,0,IF(Reeksen!AD33&gt;Reeksen!AE33,(Reeksen!B33-Reeksen!D33)*R33,0))</f>
        <v>0</v>
      </c>
      <c r="W33" s="97">
        <f t="shared" ca="1" si="2"/>
        <v>0</v>
      </c>
      <c r="X33" s="98">
        <f ca="1">IF('Invoer gegevens'!$C$17=E33,'Invoer gegevens'!$C$10-'Invoer gegevens'!$C$11,IF(C33=1,AC32,0))</f>
        <v>0</v>
      </c>
      <c r="Y33" s="98">
        <f ca="1">IF(C33&gt;=1,X33*VLOOKUP(E33,Reeksen!$A$5:$B$76,2),0)</f>
        <v>0</v>
      </c>
      <c r="Z33" s="98">
        <f ca="1">(1-('Invoer gegevens'!$F$20/12))*X33*MIN(Reeksen!B33,Reeksen!D33)</f>
        <v>0</v>
      </c>
      <c r="AA33" s="98">
        <f>IF(Reeksen!D33&gt;=Reeksen!B33,0,IF(Reeksen!AD33&lt;=Reeksen!AE33,(Reeksen!B33-Reeksen!D33)*X33,0))</f>
        <v>0</v>
      </c>
      <c r="AB33" s="98">
        <f>IF(Reeksen!D33&gt;=Reeksen!B33,0,IF(Reeksen!AD33&gt;Reeksen!AE33,(Reeksen!B33-Reeksen!D33)*X33,0))</f>
        <v>0</v>
      </c>
      <c r="AC33" s="99">
        <f t="shared" ca="1" si="3"/>
        <v>0</v>
      </c>
      <c r="AD33" s="98">
        <f ca="1">IF('Invoer gegevens'!$C$17=E33,R33,IF(C33=0,0,AE32))</f>
        <v>0</v>
      </c>
      <c r="AE33" s="98">
        <f t="shared" ca="1" si="4"/>
        <v>0</v>
      </c>
      <c r="AF33" s="98">
        <f ca="1">IF('Invoer gegevens'!$C$17=E33,X33,IF(C33=0,0,AG32))</f>
        <v>0</v>
      </c>
      <c r="AG33" s="98">
        <f t="shared" ca="1" si="5"/>
        <v>0</v>
      </c>
      <c r="AH33" s="66"/>
      <c r="AI33" s="71">
        <f ca="1">IF(C33=1,Reeksen!AI33*((F33-G33+F33)/2)*12+Reeksen!AD33*((L33-M33+L33)/2)*12,0)</f>
        <v>0</v>
      </c>
      <c r="AJ33" s="71">
        <f ca="1">-AI33*'Invoer gegevens'!$F$28</f>
        <v>0</v>
      </c>
      <c r="AK33" s="71">
        <f t="shared" ca="1" si="6"/>
        <v>0</v>
      </c>
      <c r="AL33" s="71">
        <f ca="1">IF(C33=1,Reeksen!AL33*((F33-G33+F33)/2)*12+Reeksen!AM33*((L33-M33+L33)/2)*12,0)</f>
        <v>0</v>
      </c>
      <c r="AM33" s="71">
        <f ca="1">-AL33*'Invoer gegevens'!$F$31</f>
        <v>0</v>
      </c>
      <c r="AN33" s="71">
        <f t="shared" ca="1" si="7"/>
        <v>0</v>
      </c>
      <c r="AO33" s="71">
        <f ca="1">IF(C33=1,(H33+J33+N33+P33)*Reeksen!AN33,0)</f>
        <v>0</v>
      </c>
      <c r="AP33" s="71">
        <f ca="1">-IF(C33=1,(H33+J33+N33+P33)*'Hulp - basis'!$G$550*Reeksen!H33,0)</f>
        <v>0</v>
      </c>
      <c r="AQ33" s="71">
        <f ca="1">-IF(C33=1,(F33+K33+L33+Q33)/2*'Invoer gegevens'!$F$35*Reeksen!J33,0)*2</f>
        <v>0</v>
      </c>
      <c r="AR33" s="71"/>
      <c r="AS33" s="71">
        <f ca="1">-IF(C33=1,(F33+K33+L33+Q33)/2*'Invoer gegevens'!$F$37*Reeksen!L33,0)</f>
        <v>0</v>
      </c>
      <c r="AT33" s="71">
        <f ca="1">-IF(C33=1,IF(E33='Invoer gegevens'!$C$17,'Invoer gegevens'!$C$11,AD33)*Reeksen!S33*'Invoer gegevens'!$C$18*Reeksen!P33,0)</f>
        <v>0</v>
      </c>
      <c r="AU33" s="71">
        <f ca="1">-IF(C33=1,(F33+K33+L33+Q33)/2*'Invoer gegevens'!$F$38*Reeksen!H33,0)</f>
        <v>0</v>
      </c>
      <c r="AV33" s="71">
        <f t="shared" si="11"/>
        <v>0</v>
      </c>
      <c r="AW33" s="71">
        <f t="shared" ca="1" si="8"/>
        <v>0</v>
      </c>
      <c r="AX33" s="71">
        <f ca="1">IF(E33&lt;'Invoer gegevens'!$C$17+15,0,IF(E33&gt;'Invoer gegevens'!$C$17+215,0,AW33))</f>
        <v>0</v>
      </c>
      <c r="AY33" s="71">
        <f ca="1">AX33/(1+'Invoer gegevens'!$F$18)^($AZ33-('Invoer gegevens'!$C$17-'Invoer gegevens'!$C$16))/(1+'Invoer gegevens'!$C$39)^('Invoer gegevens'!$C$17-'Invoer gegevens'!$C$16)</f>
        <v>0</v>
      </c>
      <c r="AZ33" s="68">
        <f ca="1">IF(E33-'Invoer gegevens'!$C$17-14.5&lt;0,0,E33-'Invoer gegevens'!$C$17-14.5)</f>
        <v>13.5</v>
      </c>
    </row>
    <row r="34" spans="1:52" x14ac:dyDescent="0.25">
      <c r="A34" s="59"/>
      <c r="B34" s="70">
        <f t="shared" si="9"/>
        <v>30</v>
      </c>
      <c r="C34" s="67">
        <f ca="1">IF(E34-'Invoer gegevens'!$C$17&lt;0,0,1)</f>
        <v>1</v>
      </c>
      <c r="D34" s="68">
        <f t="shared" si="10"/>
        <v>29.5</v>
      </c>
      <c r="E34" s="69">
        <f ca="1">IF('Invoer gegevens'!$C$16="","",E33+1)</f>
        <v>2048</v>
      </c>
      <c r="F34" s="84">
        <f ca="1">IF('Invoer gegevens'!$C$17=E34,'Invoer gegevens'!$C$10,IF(C34=1,K33,0))</f>
        <v>0</v>
      </c>
      <c r="G34" s="96">
        <f ca="1">IF(C34&gt;=1,F34*VLOOKUP(E34,Reeksen!$A$5:$B$76,2),0)</f>
        <v>0</v>
      </c>
      <c r="H34" s="84">
        <f ca="1">(1-('Invoer gegevens'!$F$20/12))*F34*MIN(Reeksen!B34,Reeksen!D34)</f>
        <v>0</v>
      </c>
      <c r="I34" s="84">
        <f>IF(Reeksen!D34&lt;Reeksen!B34,(Reeksen!B34-Reeksen!D34)*F34,0)</f>
        <v>0</v>
      </c>
      <c r="J34" s="84">
        <f ca="1">('Invoer gegevens'!$F$20/12)*F33*MIN(Reeksen!B33,Reeksen!D33)</f>
        <v>0</v>
      </c>
      <c r="K34" s="97">
        <f t="shared" ca="1" si="0"/>
        <v>0</v>
      </c>
      <c r="L34" s="84">
        <f ca="1">IF('Invoer gegevens'!$C$17=E34,0,IF(C34=1,Q33,0))</f>
        <v>0</v>
      </c>
      <c r="M34" s="96">
        <f ca="1">IF(C34&gt;=1,L34*VLOOKUP(E34,Reeksen!$A$5:$B$76,2),0)</f>
        <v>0</v>
      </c>
      <c r="N34" s="84">
        <f ca="1">(1-('Invoer gegevens'!$F$20/12))*L34*MIN(Reeksen!B34,Reeksen!D34)</f>
        <v>0</v>
      </c>
      <c r="O34" s="84">
        <f>IF(Reeksen!D34&lt;Reeksen!B34,(Reeksen!B34-Reeksen!D34)*L34,0)</f>
        <v>0</v>
      </c>
      <c r="P34" s="84">
        <f ca="1">('Invoer gegevens'!$F$20/12)*L33*MIN(Reeksen!B33,Reeksen!D33)</f>
        <v>0</v>
      </c>
      <c r="Q34" s="84">
        <f t="shared" ca="1" si="1"/>
        <v>0</v>
      </c>
      <c r="R34" s="82">
        <f ca="1">IF('Invoer gegevens'!$C$17=E34,'Invoer gegevens'!$C$11,IF(C34=1,W33,0))</f>
        <v>0</v>
      </c>
      <c r="S34" s="86">
        <f ca="1">IF(C34&gt;=1,R34*VLOOKUP(E34,Reeksen!$A$5:$B$76,2),0)</f>
        <v>0</v>
      </c>
      <c r="T34" s="84">
        <f ca="1">(1-('Invoer gegevens'!$F$20/12))*R34*MIN(Reeksen!B34,Reeksen!D34)</f>
        <v>0</v>
      </c>
      <c r="U34" s="84">
        <f>IF(Reeksen!D34&gt;=Reeksen!B34,0,IF(Reeksen!AD34&lt;=Reeksen!AE34,(Reeksen!B34-Reeksen!D34)*R34,0))</f>
        <v>0</v>
      </c>
      <c r="V34" s="86">
        <f>IF(Reeksen!D34&gt;=Reeksen!B34,0,IF(Reeksen!AD34&gt;Reeksen!AE34,(Reeksen!B34-Reeksen!D34)*R34,0))</f>
        <v>0</v>
      </c>
      <c r="W34" s="97">
        <f t="shared" ca="1" si="2"/>
        <v>0</v>
      </c>
      <c r="X34" s="98">
        <f ca="1">IF('Invoer gegevens'!$C$17=E34,'Invoer gegevens'!$C$10-'Invoer gegevens'!$C$11,IF(C34=1,AC33,0))</f>
        <v>0</v>
      </c>
      <c r="Y34" s="98">
        <f ca="1">IF(C34&gt;=1,X34*VLOOKUP(E34,Reeksen!$A$5:$B$76,2),0)</f>
        <v>0</v>
      </c>
      <c r="Z34" s="98">
        <f ca="1">(1-('Invoer gegevens'!$F$20/12))*X34*MIN(Reeksen!B34,Reeksen!D34)</f>
        <v>0</v>
      </c>
      <c r="AA34" s="98">
        <f>IF(Reeksen!D34&gt;=Reeksen!B34,0,IF(Reeksen!AD34&lt;=Reeksen!AE34,(Reeksen!B34-Reeksen!D34)*X34,0))</f>
        <v>0</v>
      </c>
      <c r="AB34" s="98">
        <f>IF(Reeksen!D34&gt;=Reeksen!B34,0,IF(Reeksen!AD34&gt;Reeksen!AE34,(Reeksen!B34-Reeksen!D34)*X34,0))</f>
        <v>0</v>
      </c>
      <c r="AC34" s="99">
        <f t="shared" ca="1" si="3"/>
        <v>0</v>
      </c>
      <c r="AD34" s="98">
        <f ca="1">IF('Invoer gegevens'!$C$17=E34,R34,IF(C34=0,0,AE33))</f>
        <v>0</v>
      </c>
      <c r="AE34" s="98">
        <f t="shared" ca="1" si="4"/>
        <v>0</v>
      </c>
      <c r="AF34" s="98">
        <f ca="1">IF('Invoer gegevens'!$C$17=E34,X34,IF(C34=0,0,AG33))</f>
        <v>0</v>
      </c>
      <c r="AG34" s="98">
        <f t="shared" ca="1" si="5"/>
        <v>0</v>
      </c>
      <c r="AH34" s="66"/>
      <c r="AI34" s="71">
        <f ca="1">IF(C34=1,Reeksen!AI34*((F34-G34+F34)/2)*12+Reeksen!AD34*((L34-M34+L34)/2)*12,0)</f>
        <v>0</v>
      </c>
      <c r="AJ34" s="71">
        <f ca="1">-AI34*'Invoer gegevens'!$F$28</f>
        <v>0</v>
      </c>
      <c r="AK34" s="71">
        <f t="shared" ca="1" si="6"/>
        <v>0</v>
      </c>
      <c r="AL34" s="71">
        <f ca="1">IF(C34=1,Reeksen!AL34*((F34-G34+F34)/2)*12+Reeksen!AM34*((L34-M34+L34)/2)*12,0)</f>
        <v>0</v>
      </c>
      <c r="AM34" s="71">
        <f ca="1">-AL34*'Invoer gegevens'!$F$31</f>
        <v>0</v>
      </c>
      <c r="AN34" s="71">
        <f t="shared" ca="1" si="7"/>
        <v>0</v>
      </c>
      <c r="AO34" s="71">
        <f ca="1">IF(C34=1,(H34+J34+N34+P34)*Reeksen!AN34,0)</f>
        <v>0</v>
      </c>
      <c r="AP34" s="71">
        <f ca="1">-IF(C34=1,(H34+J34+N34+P34)*'Hulp - basis'!$G$550*Reeksen!H34,0)</f>
        <v>0</v>
      </c>
      <c r="AQ34" s="71">
        <f ca="1">-IF(C34=1,(F34+K34+L34+Q34)/2*'Invoer gegevens'!$F$35*Reeksen!J34,0)*2</f>
        <v>0</v>
      </c>
      <c r="AR34" s="71"/>
      <c r="AS34" s="71">
        <f ca="1">-IF(C34=1,(F34+K34+L34+Q34)/2*'Invoer gegevens'!$F$37*Reeksen!L34,0)</f>
        <v>0</v>
      </c>
      <c r="AT34" s="71">
        <f ca="1">-IF(C34=1,IF(E34='Invoer gegevens'!$C$17,'Invoer gegevens'!$C$11,AD34)*Reeksen!S34*'Invoer gegevens'!$C$18*Reeksen!P34,0)</f>
        <v>0</v>
      </c>
      <c r="AU34" s="71">
        <f ca="1">-IF(C34=1,(F34+K34+L34+Q34)/2*'Invoer gegevens'!$F$38*Reeksen!H34,0)</f>
        <v>0</v>
      </c>
      <c r="AV34" s="71">
        <f t="shared" si="11"/>
        <v>0</v>
      </c>
      <c r="AW34" s="71">
        <f t="shared" ca="1" si="8"/>
        <v>0</v>
      </c>
      <c r="AX34" s="71">
        <f ca="1">IF(E34&lt;'Invoer gegevens'!$C$17+15,0,IF(E34&gt;'Invoer gegevens'!$C$17+215,0,AW34))</f>
        <v>0</v>
      </c>
      <c r="AY34" s="71">
        <f ca="1">AX34/(1+'Invoer gegevens'!$F$18)^($AZ34-('Invoer gegevens'!$C$17-'Invoer gegevens'!$C$16))/(1+'Invoer gegevens'!$C$39)^('Invoer gegevens'!$C$17-'Invoer gegevens'!$C$16)</f>
        <v>0</v>
      </c>
      <c r="AZ34" s="68">
        <f ca="1">IF(E34-'Invoer gegevens'!$C$17-14.5&lt;0,0,E34-'Invoer gegevens'!$C$17-14.5)</f>
        <v>14.5</v>
      </c>
    </row>
    <row r="35" spans="1:52" x14ac:dyDescent="0.25">
      <c r="A35" s="59"/>
      <c r="B35" s="70">
        <f t="shared" si="9"/>
        <v>31</v>
      </c>
      <c r="C35" s="67">
        <f ca="1">IF(E35-'Invoer gegevens'!$C$17&lt;0,0,1)</f>
        <v>1</v>
      </c>
      <c r="D35" s="68">
        <f t="shared" si="10"/>
        <v>30.5</v>
      </c>
      <c r="E35" s="69">
        <f ca="1">IF('Invoer gegevens'!$C$16="","",E34+1)</f>
        <v>2049</v>
      </c>
      <c r="F35" s="84">
        <f ca="1">IF('Invoer gegevens'!$C$17=E35,'Invoer gegevens'!$C$10,IF(C35=1,K34,0))</f>
        <v>0</v>
      </c>
      <c r="G35" s="96">
        <f ca="1">IF(C35&gt;=1,F35*VLOOKUP(E35,Reeksen!$A$5:$B$76,2),0)</f>
        <v>0</v>
      </c>
      <c r="H35" s="84">
        <f ca="1">(1-('Invoer gegevens'!$F$20/12))*F35*MIN(Reeksen!B35,Reeksen!D35)</f>
        <v>0</v>
      </c>
      <c r="I35" s="84">
        <f>IF(Reeksen!D35&lt;Reeksen!B35,(Reeksen!B35-Reeksen!D35)*F35,0)</f>
        <v>0</v>
      </c>
      <c r="J35" s="84">
        <f ca="1">('Invoer gegevens'!$F$20/12)*F34*MIN(Reeksen!B34,Reeksen!D34)</f>
        <v>0</v>
      </c>
      <c r="K35" s="97">
        <f t="shared" ca="1" si="0"/>
        <v>0</v>
      </c>
      <c r="L35" s="84">
        <f ca="1">IF('Invoer gegevens'!$C$17=E35,0,IF(C35=1,Q34,0))</f>
        <v>0</v>
      </c>
      <c r="M35" s="96">
        <f ca="1">IF(C35&gt;=1,L35*VLOOKUP(E35,Reeksen!$A$5:$B$76,2),0)</f>
        <v>0</v>
      </c>
      <c r="N35" s="84">
        <f ca="1">(1-('Invoer gegevens'!$F$20/12))*L35*MIN(Reeksen!B35,Reeksen!D35)</f>
        <v>0</v>
      </c>
      <c r="O35" s="84">
        <f>IF(Reeksen!D35&lt;Reeksen!B35,(Reeksen!B35-Reeksen!D35)*L35,0)</f>
        <v>0</v>
      </c>
      <c r="P35" s="84">
        <f ca="1">('Invoer gegevens'!$F$20/12)*L34*MIN(Reeksen!B34,Reeksen!D34)</f>
        <v>0</v>
      </c>
      <c r="Q35" s="84">
        <f t="shared" ca="1" si="1"/>
        <v>0</v>
      </c>
      <c r="R35" s="82">
        <f ca="1">IF('Invoer gegevens'!$C$17=E35,'Invoer gegevens'!$C$11,IF(C35=1,W34,0))</f>
        <v>0</v>
      </c>
      <c r="S35" s="86">
        <f ca="1">IF(C35&gt;=1,R35*VLOOKUP(E35,Reeksen!$A$5:$B$76,2),0)</f>
        <v>0</v>
      </c>
      <c r="T35" s="84">
        <f ca="1">(1-('Invoer gegevens'!$F$20/12))*R35*MIN(Reeksen!B35,Reeksen!D35)</f>
        <v>0</v>
      </c>
      <c r="U35" s="84">
        <f>IF(Reeksen!D35&gt;=Reeksen!B35,0,IF(Reeksen!AD35&lt;=Reeksen!AE35,(Reeksen!B35-Reeksen!D35)*R35,0))</f>
        <v>0</v>
      </c>
      <c r="V35" s="86">
        <f>IF(Reeksen!D35&gt;=Reeksen!B35,0,IF(Reeksen!AD35&gt;Reeksen!AE35,(Reeksen!B35-Reeksen!D35)*R35,0))</f>
        <v>0</v>
      </c>
      <c r="W35" s="97">
        <f t="shared" ca="1" si="2"/>
        <v>0</v>
      </c>
      <c r="X35" s="98">
        <f ca="1">IF('Invoer gegevens'!$C$17=E35,'Invoer gegevens'!$C$10-'Invoer gegevens'!$C$11,IF(C35=1,AC34,0))</f>
        <v>0</v>
      </c>
      <c r="Y35" s="98">
        <f ca="1">IF(C35&gt;=1,X35*VLOOKUP(E35,Reeksen!$A$5:$B$76,2),0)</f>
        <v>0</v>
      </c>
      <c r="Z35" s="98">
        <f ca="1">(1-('Invoer gegevens'!$F$20/12))*X35*MIN(Reeksen!B35,Reeksen!D35)</f>
        <v>0</v>
      </c>
      <c r="AA35" s="98">
        <f>IF(Reeksen!D35&gt;=Reeksen!B35,0,IF(Reeksen!AD35&lt;=Reeksen!AE35,(Reeksen!B35-Reeksen!D35)*X35,0))</f>
        <v>0</v>
      </c>
      <c r="AB35" s="98">
        <f>IF(Reeksen!D35&gt;=Reeksen!B35,0,IF(Reeksen!AD35&gt;Reeksen!AE35,(Reeksen!B35-Reeksen!D35)*X35,0))</f>
        <v>0</v>
      </c>
      <c r="AC35" s="99">
        <f t="shared" ca="1" si="3"/>
        <v>0</v>
      </c>
      <c r="AD35" s="98">
        <f ca="1">IF('Invoer gegevens'!$C$17=E35,R35,IF(C35=0,0,AE34))</f>
        <v>0</v>
      </c>
      <c r="AE35" s="98">
        <f t="shared" ca="1" si="4"/>
        <v>0</v>
      </c>
      <c r="AF35" s="98">
        <f ca="1">IF('Invoer gegevens'!$C$17=E35,X35,IF(C35=0,0,AG34))</f>
        <v>0</v>
      </c>
      <c r="AG35" s="98">
        <f t="shared" ca="1" si="5"/>
        <v>0</v>
      </c>
      <c r="AH35" s="66"/>
      <c r="AI35" s="71">
        <f ca="1">IF(C35=1,Reeksen!AI35*((F35-G35+F35)/2)*12+Reeksen!AD35*((L35-M35+L35)/2)*12,0)</f>
        <v>0</v>
      </c>
      <c r="AJ35" s="71">
        <f ca="1">-AI35*'Invoer gegevens'!$F$28</f>
        <v>0</v>
      </c>
      <c r="AK35" s="71">
        <f t="shared" ca="1" si="6"/>
        <v>0</v>
      </c>
      <c r="AL35" s="71">
        <f ca="1">IF(C35=1,Reeksen!AL35*((F35-G35+F35)/2)*12+Reeksen!AM35*((L35-M35+L35)/2)*12,0)</f>
        <v>0</v>
      </c>
      <c r="AM35" s="71">
        <f ca="1">-AL35*'Invoer gegevens'!$F$31</f>
        <v>0</v>
      </c>
      <c r="AN35" s="71">
        <f t="shared" ca="1" si="7"/>
        <v>0</v>
      </c>
      <c r="AO35" s="71">
        <f ca="1">IF(C35=1,(H35+J35+N35+P35)*Reeksen!AN35,0)</f>
        <v>0</v>
      </c>
      <c r="AP35" s="71">
        <f ca="1">-IF(C35=1,(H35+J35+N35+P35)*'Hulp - basis'!$G$550*Reeksen!H35,0)</f>
        <v>0</v>
      </c>
      <c r="AQ35" s="71">
        <f ca="1">-IF(C35=1,(F35+K35+L35+Q35)/2*'Invoer gegevens'!$F$35*Reeksen!J35,0)*2</f>
        <v>0</v>
      </c>
      <c r="AR35" s="71"/>
      <c r="AS35" s="71">
        <f ca="1">-IF(C35=1,(F35+K35+L35+Q35)/2*'Invoer gegevens'!$F$37*Reeksen!L35,0)</f>
        <v>0</v>
      </c>
      <c r="AT35" s="71">
        <f ca="1">-IF(C35=1,IF(E35='Invoer gegevens'!$C$17,'Invoer gegevens'!$C$11,AD35)*Reeksen!S35*'Invoer gegevens'!$C$18*Reeksen!P35,0)</f>
        <v>0</v>
      </c>
      <c r="AU35" s="71">
        <f ca="1">-IF(C35=1,(F35+K35+L35+Q35)/2*'Invoer gegevens'!$F$38*Reeksen!H35,0)</f>
        <v>0</v>
      </c>
      <c r="AV35" s="71">
        <f t="shared" si="11"/>
        <v>0</v>
      </c>
      <c r="AW35" s="71">
        <f t="shared" ca="1" si="8"/>
        <v>0</v>
      </c>
      <c r="AX35" s="71">
        <f ca="1">IF(E35&lt;'Invoer gegevens'!$C$17+15,0,IF(E35&gt;'Invoer gegevens'!$C$17+215,0,AW35))</f>
        <v>0</v>
      </c>
      <c r="AY35" s="71">
        <f ca="1">AX35/(1+'Invoer gegevens'!$F$18)^($AZ35-('Invoer gegevens'!$C$17-'Invoer gegevens'!$C$16))/(1+'Invoer gegevens'!$C$39)^('Invoer gegevens'!$C$17-'Invoer gegevens'!$C$16)</f>
        <v>0</v>
      </c>
      <c r="AZ35" s="68">
        <f ca="1">IF(E35-'Invoer gegevens'!$C$17-14.5&lt;0,0,E35-'Invoer gegevens'!$C$17-14.5)</f>
        <v>15.5</v>
      </c>
    </row>
    <row r="36" spans="1:52" x14ac:dyDescent="0.25">
      <c r="A36" s="59"/>
      <c r="B36" s="70">
        <f t="shared" si="9"/>
        <v>32</v>
      </c>
      <c r="C36" s="67">
        <f ca="1">IF(E36-'Invoer gegevens'!$C$17&lt;0,0,1)</f>
        <v>1</v>
      </c>
      <c r="D36" s="68">
        <f t="shared" si="10"/>
        <v>31.5</v>
      </c>
      <c r="E36" s="69">
        <f ca="1">IF('Invoer gegevens'!$C$16="","",E35+1)</f>
        <v>2050</v>
      </c>
      <c r="F36" s="84">
        <f ca="1">IF('Invoer gegevens'!$C$17=E36,'Invoer gegevens'!$C$10,IF(C36=1,K35,0))</f>
        <v>0</v>
      </c>
      <c r="G36" s="96">
        <f ca="1">IF(C36&gt;=1,F36*VLOOKUP(E36,Reeksen!$A$5:$B$76,2),0)</f>
        <v>0</v>
      </c>
      <c r="H36" s="84">
        <f ca="1">(1-('Invoer gegevens'!$F$20/12))*F36*MIN(Reeksen!B36,Reeksen!D36)</f>
        <v>0</v>
      </c>
      <c r="I36" s="84">
        <f>IF(Reeksen!D36&lt;Reeksen!B36,(Reeksen!B36-Reeksen!D36)*F36,0)</f>
        <v>0</v>
      </c>
      <c r="J36" s="84">
        <f ca="1">('Invoer gegevens'!$F$20/12)*F35*MIN(Reeksen!B35,Reeksen!D35)</f>
        <v>0</v>
      </c>
      <c r="K36" s="97">
        <f t="shared" ca="1" si="0"/>
        <v>0</v>
      </c>
      <c r="L36" s="84">
        <f ca="1">IF('Invoer gegevens'!$C$17=E36,0,IF(C36=1,Q35,0))</f>
        <v>0</v>
      </c>
      <c r="M36" s="96">
        <f ca="1">IF(C36&gt;=1,L36*VLOOKUP(E36,Reeksen!$A$5:$B$76,2),0)</f>
        <v>0</v>
      </c>
      <c r="N36" s="84">
        <f ca="1">(1-('Invoer gegevens'!$F$20/12))*L36*MIN(Reeksen!B36,Reeksen!D36)</f>
        <v>0</v>
      </c>
      <c r="O36" s="84">
        <f>IF(Reeksen!D36&lt;Reeksen!B36,(Reeksen!B36-Reeksen!D36)*L36,0)</f>
        <v>0</v>
      </c>
      <c r="P36" s="84">
        <f ca="1">('Invoer gegevens'!$F$20/12)*L35*MIN(Reeksen!B35,Reeksen!D35)</f>
        <v>0</v>
      </c>
      <c r="Q36" s="84">
        <f t="shared" ca="1" si="1"/>
        <v>0</v>
      </c>
      <c r="R36" s="82">
        <f ca="1">IF('Invoer gegevens'!$C$17=E36,'Invoer gegevens'!$C$11,IF(C36=1,W35,0))</f>
        <v>0</v>
      </c>
      <c r="S36" s="86">
        <f ca="1">IF(C36&gt;=1,R36*VLOOKUP(E36,Reeksen!$A$5:$B$76,2),0)</f>
        <v>0</v>
      </c>
      <c r="T36" s="84">
        <f ca="1">(1-('Invoer gegevens'!$F$20/12))*R36*MIN(Reeksen!B36,Reeksen!D36)</f>
        <v>0</v>
      </c>
      <c r="U36" s="84">
        <f>IF(Reeksen!D36&gt;=Reeksen!B36,0,IF(Reeksen!AD36&lt;=Reeksen!AE36,(Reeksen!B36-Reeksen!D36)*R36,0))</f>
        <v>0</v>
      </c>
      <c r="V36" s="86">
        <f>IF(Reeksen!D36&gt;=Reeksen!B36,0,IF(Reeksen!AD36&gt;Reeksen!AE36,(Reeksen!B36-Reeksen!D36)*R36,0))</f>
        <v>0</v>
      </c>
      <c r="W36" s="97">
        <f t="shared" ca="1" si="2"/>
        <v>0</v>
      </c>
      <c r="X36" s="98">
        <f ca="1">IF('Invoer gegevens'!$C$17=E36,'Invoer gegevens'!$C$10-'Invoer gegevens'!$C$11,IF(C36=1,AC35,0))</f>
        <v>0</v>
      </c>
      <c r="Y36" s="98">
        <f ca="1">IF(C36&gt;=1,X36*VLOOKUP(E36,Reeksen!$A$5:$B$76,2),0)</f>
        <v>0</v>
      </c>
      <c r="Z36" s="98">
        <f ca="1">(1-('Invoer gegevens'!$F$20/12))*X36*MIN(Reeksen!B36,Reeksen!D36)</f>
        <v>0</v>
      </c>
      <c r="AA36" s="98">
        <f>IF(Reeksen!D36&gt;=Reeksen!B36,0,IF(Reeksen!AD36&lt;=Reeksen!AE36,(Reeksen!B36-Reeksen!D36)*X36,0))</f>
        <v>0</v>
      </c>
      <c r="AB36" s="98">
        <f>IF(Reeksen!D36&gt;=Reeksen!B36,0,IF(Reeksen!AD36&gt;Reeksen!AE36,(Reeksen!B36-Reeksen!D36)*X36,0))</f>
        <v>0</v>
      </c>
      <c r="AC36" s="99">
        <f t="shared" ca="1" si="3"/>
        <v>0</v>
      </c>
      <c r="AD36" s="98">
        <f ca="1">IF('Invoer gegevens'!$C$17=E36,R36,IF(C36=0,0,AE35))</f>
        <v>0</v>
      </c>
      <c r="AE36" s="98">
        <f t="shared" ca="1" si="4"/>
        <v>0</v>
      </c>
      <c r="AF36" s="98">
        <f ca="1">IF('Invoer gegevens'!$C$17=E36,X36,IF(C36=0,0,AG35))</f>
        <v>0</v>
      </c>
      <c r="AG36" s="98">
        <f t="shared" ca="1" si="5"/>
        <v>0</v>
      </c>
      <c r="AH36" s="66"/>
      <c r="AI36" s="71">
        <f ca="1">IF(C36=1,Reeksen!AI36*((F36-G36+F36)/2)*12+Reeksen!AD36*((L36-M36+L36)/2)*12,0)</f>
        <v>0</v>
      </c>
      <c r="AJ36" s="71">
        <f ca="1">-AI36*'Invoer gegevens'!$F$28</f>
        <v>0</v>
      </c>
      <c r="AK36" s="71">
        <f t="shared" ca="1" si="6"/>
        <v>0</v>
      </c>
      <c r="AL36" s="71">
        <f ca="1">IF(C36=1,Reeksen!AL36*((F36-G36+F36)/2)*12+Reeksen!AM36*((L36-M36+L36)/2)*12,0)</f>
        <v>0</v>
      </c>
      <c r="AM36" s="71">
        <f ca="1">-AL36*'Invoer gegevens'!$F$31</f>
        <v>0</v>
      </c>
      <c r="AN36" s="71">
        <f t="shared" ca="1" si="7"/>
        <v>0</v>
      </c>
      <c r="AO36" s="71">
        <f ca="1">IF(C36=1,(H36+J36+N36+P36)*Reeksen!AN36,0)</f>
        <v>0</v>
      </c>
      <c r="AP36" s="71">
        <f ca="1">-IF(C36=1,(H36+J36+N36+P36)*'Hulp - basis'!$G$550*Reeksen!H36,0)</f>
        <v>0</v>
      </c>
      <c r="AQ36" s="71">
        <f ca="1">-IF(C36=1,(F36+K36+L36+Q36)/2*'Invoer gegevens'!$F$35*Reeksen!J36,0)*2</f>
        <v>0</v>
      </c>
      <c r="AR36" s="71"/>
      <c r="AS36" s="71">
        <f ca="1">-IF(C36=1,(F36+K36+L36+Q36)/2*'Invoer gegevens'!$F$37*Reeksen!L36,0)</f>
        <v>0</v>
      </c>
      <c r="AT36" s="71">
        <f ca="1">-IF(C36=1,IF(E36='Invoer gegevens'!$C$17,'Invoer gegevens'!$C$11,AD36)*Reeksen!S36*'Invoer gegevens'!$C$18*Reeksen!P36,0)</f>
        <v>0</v>
      </c>
      <c r="AU36" s="71">
        <f ca="1">-IF(C36=1,(F36+K36+L36+Q36)/2*'Invoer gegevens'!$F$38*Reeksen!H36,0)</f>
        <v>0</v>
      </c>
      <c r="AV36" s="71">
        <f t="shared" si="11"/>
        <v>0</v>
      </c>
      <c r="AW36" s="71">
        <f t="shared" ca="1" si="8"/>
        <v>0</v>
      </c>
      <c r="AX36" s="71">
        <f ca="1">IF(E36&lt;'Invoer gegevens'!$C$17+15,0,IF(E36&gt;'Invoer gegevens'!$C$17+215,0,AW36))</f>
        <v>0</v>
      </c>
      <c r="AY36" s="71">
        <f ca="1">AX36/(1+'Invoer gegevens'!$F$18)^($AZ36-('Invoer gegevens'!$C$17-'Invoer gegevens'!$C$16))/(1+'Invoer gegevens'!$C$39)^('Invoer gegevens'!$C$17-'Invoer gegevens'!$C$16)</f>
        <v>0</v>
      </c>
      <c r="AZ36" s="68">
        <f ca="1">IF(E36-'Invoer gegevens'!$C$17-14.5&lt;0,0,E36-'Invoer gegevens'!$C$17-14.5)</f>
        <v>16.5</v>
      </c>
    </row>
    <row r="37" spans="1:52" x14ac:dyDescent="0.25">
      <c r="A37" s="59"/>
      <c r="B37" s="70">
        <f t="shared" si="9"/>
        <v>33</v>
      </c>
      <c r="C37" s="67">
        <f ca="1">IF(E37-'Invoer gegevens'!$C$17&lt;0,0,1)</f>
        <v>1</v>
      </c>
      <c r="D37" s="68">
        <f t="shared" si="10"/>
        <v>32.5</v>
      </c>
      <c r="E37" s="69">
        <f ca="1">IF('Invoer gegevens'!$C$16="","",E36+1)</f>
        <v>2051</v>
      </c>
      <c r="F37" s="84">
        <f ca="1">IF('Invoer gegevens'!$C$17=E37,'Invoer gegevens'!$C$10,IF(C37=1,K36,0))</f>
        <v>0</v>
      </c>
      <c r="G37" s="96">
        <f ca="1">IF(C37&gt;=1,F37*VLOOKUP(E37,Reeksen!$A$5:$B$76,2),0)</f>
        <v>0</v>
      </c>
      <c r="H37" s="84">
        <f ca="1">(1-('Invoer gegevens'!$F$20/12))*F37*MIN(Reeksen!B37,Reeksen!D37)</f>
        <v>0</v>
      </c>
      <c r="I37" s="84">
        <f>IF(Reeksen!D37&lt;Reeksen!B37,(Reeksen!B37-Reeksen!D37)*F37,0)</f>
        <v>0</v>
      </c>
      <c r="J37" s="84">
        <f ca="1">('Invoer gegevens'!$F$20/12)*F36*MIN(Reeksen!B36,Reeksen!D36)</f>
        <v>0</v>
      </c>
      <c r="K37" s="97">
        <f t="shared" ca="1" si="0"/>
        <v>0</v>
      </c>
      <c r="L37" s="84">
        <f ca="1">IF('Invoer gegevens'!$C$17=E37,0,IF(C37=1,Q36,0))</f>
        <v>0</v>
      </c>
      <c r="M37" s="96">
        <f ca="1">IF(C37&gt;=1,L37*VLOOKUP(E37,Reeksen!$A$5:$B$76,2),0)</f>
        <v>0</v>
      </c>
      <c r="N37" s="84">
        <f ca="1">(1-('Invoer gegevens'!$F$20/12))*L37*MIN(Reeksen!B37,Reeksen!D37)</f>
        <v>0</v>
      </c>
      <c r="O37" s="84">
        <f>IF(Reeksen!D37&lt;Reeksen!B37,(Reeksen!B37-Reeksen!D37)*L37,0)</f>
        <v>0</v>
      </c>
      <c r="P37" s="84">
        <f ca="1">('Invoer gegevens'!$F$20/12)*L36*MIN(Reeksen!B36,Reeksen!D36)</f>
        <v>0</v>
      </c>
      <c r="Q37" s="84">
        <f t="shared" ca="1" si="1"/>
        <v>0</v>
      </c>
      <c r="R37" s="82">
        <f ca="1">IF('Invoer gegevens'!$C$17=E37,'Invoer gegevens'!$C$11,IF(C37=1,W36,0))</f>
        <v>0</v>
      </c>
      <c r="S37" s="86">
        <f ca="1">IF(C37&gt;=1,R37*VLOOKUP(E37,Reeksen!$A$5:$B$76,2),0)</f>
        <v>0</v>
      </c>
      <c r="T37" s="84">
        <f ca="1">(1-('Invoer gegevens'!$F$20/12))*R37*MIN(Reeksen!B37,Reeksen!D37)</f>
        <v>0</v>
      </c>
      <c r="U37" s="84">
        <f>IF(Reeksen!D37&gt;=Reeksen!B37,0,IF(Reeksen!AD37&lt;=Reeksen!AE37,(Reeksen!B37-Reeksen!D37)*R37,0))</f>
        <v>0</v>
      </c>
      <c r="V37" s="86">
        <f>IF(Reeksen!D37&gt;=Reeksen!B37,0,IF(Reeksen!AD37&gt;Reeksen!AE37,(Reeksen!B37-Reeksen!D37)*R37,0))</f>
        <v>0</v>
      </c>
      <c r="W37" s="97">
        <f t="shared" ca="1" si="2"/>
        <v>0</v>
      </c>
      <c r="X37" s="98">
        <f ca="1">IF('Invoer gegevens'!$C$17=E37,'Invoer gegevens'!$C$10-'Invoer gegevens'!$C$11,IF(C37=1,AC36,0))</f>
        <v>0</v>
      </c>
      <c r="Y37" s="98">
        <f ca="1">IF(C37&gt;=1,X37*VLOOKUP(E37,Reeksen!$A$5:$B$76,2),0)</f>
        <v>0</v>
      </c>
      <c r="Z37" s="98">
        <f ca="1">(1-('Invoer gegevens'!$F$20/12))*X37*MIN(Reeksen!B37,Reeksen!D37)</f>
        <v>0</v>
      </c>
      <c r="AA37" s="98">
        <f>IF(Reeksen!D37&gt;=Reeksen!B37,0,IF(Reeksen!AD37&lt;=Reeksen!AE37,(Reeksen!B37-Reeksen!D37)*X37,0))</f>
        <v>0</v>
      </c>
      <c r="AB37" s="98">
        <f>IF(Reeksen!D37&gt;=Reeksen!B37,0,IF(Reeksen!AD37&gt;Reeksen!AE37,(Reeksen!B37-Reeksen!D37)*X37,0))</f>
        <v>0</v>
      </c>
      <c r="AC37" s="99">
        <f t="shared" ca="1" si="3"/>
        <v>0</v>
      </c>
      <c r="AD37" s="98">
        <f ca="1">IF('Invoer gegevens'!$C$17=E37,R37,IF(C37=0,0,AE36))</f>
        <v>0</v>
      </c>
      <c r="AE37" s="98">
        <f t="shared" ca="1" si="4"/>
        <v>0</v>
      </c>
      <c r="AF37" s="98">
        <f ca="1">IF('Invoer gegevens'!$C$17=E37,X37,IF(C37=0,0,AG36))</f>
        <v>0</v>
      </c>
      <c r="AG37" s="98">
        <f t="shared" ca="1" si="5"/>
        <v>0</v>
      </c>
      <c r="AH37" s="66"/>
      <c r="AI37" s="71">
        <f ca="1">IF(C37=1,Reeksen!AI37*((F37-G37+F37)/2)*12+Reeksen!AD37*((L37-M37+L37)/2)*12,0)</f>
        <v>0</v>
      </c>
      <c r="AJ37" s="71">
        <f ca="1">-AI37*'Invoer gegevens'!$F$28</f>
        <v>0</v>
      </c>
      <c r="AK37" s="71">
        <f t="shared" ca="1" si="6"/>
        <v>0</v>
      </c>
      <c r="AL37" s="71">
        <f ca="1">IF(C37=1,Reeksen!AL37*((F37-G37+F37)/2)*12+Reeksen!AM37*((L37-M37+L37)/2)*12,0)</f>
        <v>0</v>
      </c>
      <c r="AM37" s="71">
        <f ca="1">-AL37*'Invoer gegevens'!$F$31</f>
        <v>0</v>
      </c>
      <c r="AN37" s="71">
        <f t="shared" ca="1" si="7"/>
        <v>0</v>
      </c>
      <c r="AO37" s="71">
        <f ca="1">IF(C37=1,(H37+J37+N37+P37)*Reeksen!AN37,0)</f>
        <v>0</v>
      </c>
      <c r="AP37" s="71">
        <f ca="1">-IF(C37=1,(H37+J37+N37+P37)*'Hulp - basis'!$G$550*Reeksen!H37,0)</f>
        <v>0</v>
      </c>
      <c r="AQ37" s="71">
        <f ca="1">-IF(C37=1,(F37+K37+L37+Q37)/2*'Invoer gegevens'!$F$35*Reeksen!J37,0)*2</f>
        <v>0</v>
      </c>
      <c r="AR37" s="71"/>
      <c r="AS37" s="71">
        <f ca="1">-IF(C37=1,(F37+K37+L37+Q37)/2*'Invoer gegevens'!$F$37*Reeksen!L37,0)</f>
        <v>0</v>
      </c>
      <c r="AT37" s="71">
        <f ca="1">-IF(C37=1,IF(E37='Invoer gegevens'!$C$17,'Invoer gegevens'!$C$11,AD37)*Reeksen!S37*'Invoer gegevens'!$C$18*Reeksen!P37,0)</f>
        <v>0</v>
      </c>
      <c r="AU37" s="71">
        <f ca="1">-IF(C37=1,(F37+K37+L37+Q37)/2*'Invoer gegevens'!$F$38*Reeksen!H37,0)</f>
        <v>0</v>
      </c>
      <c r="AV37" s="71">
        <f t="shared" si="11"/>
        <v>0</v>
      </c>
      <c r="AW37" s="71">
        <f t="shared" ca="1" si="8"/>
        <v>0</v>
      </c>
      <c r="AX37" s="71">
        <f ca="1">IF(E37&lt;'Invoer gegevens'!$C$17+15,0,IF(E37&gt;'Invoer gegevens'!$C$17+215,0,AW37))</f>
        <v>0</v>
      </c>
      <c r="AY37" s="71">
        <f ca="1">AX37/(1+'Invoer gegevens'!$F$18)^($AZ37-('Invoer gegevens'!$C$17-'Invoer gegevens'!$C$16))/(1+'Invoer gegevens'!$C$39)^('Invoer gegevens'!$C$17-'Invoer gegevens'!$C$16)</f>
        <v>0</v>
      </c>
      <c r="AZ37" s="68">
        <f ca="1">IF(E37-'Invoer gegevens'!$C$17-14.5&lt;0,0,E37-'Invoer gegevens'!$C$17-14.5)</f>
        <v>17.5</v>
      </c>
    </row>
    <row r="38" spans="1:52" x14ac:dyDescent="0.25">
      <c r="A38" s="59"/>
      <c r="B38" s="70">
        <f t="shared" si="9"/>
        <v>34</v>
      </c>
      <c r="C38" s="67">
        <f ca="1">IF(E38-'Invoer gegevens'!$C$17&lt;0,0,1)</f>
        <v>1</v>
      </c>
      <c r="D38" s="68">
        <f t="shared" si="10"/>
        <v>33.5</v>
      </c>
      <c r="E38" s="69">
        <f ca="1">IF('Invoer gegevens'!$C$16="","",E37+1)</f>
        <v>2052</v>
      </c>
      <c r="F38" s="84">
        <f ca="1">IF('Invoer gegevens'!$C$17=E38,'Invoer gegevens'!$C$10,IF(C38=1,K37,0))</f>
        <v>0</v>
      </c>
      <c r="G38" s="96">
        <f ca="1">IF(C38&gt;=1,F38*VLOOKUP(E38,Reeksen!$A$5:$B$76,2),0)</f>
        <v>0</v>
      </c>
      <c r="H38" s="84">
        <f ca="1">(1-('Invoer gegevens'!$F$20/12))*F38*MIN(Reeksen!B38,Reeksen!D38)</f>
        <v>0</v>
      </c>
      <c r="I38" s="84">
        <f>IF(Reeksen!D38&lt;Reeksen!B38,(Reeksen!B38-Reeksen!D38)*F38,0)</f>
        <v>0</v>
      </c>
      <c r="J38" s="84">
        <f ca="1">('Invoer gegevens'!$F$20/12)*F37*MIN(Reeksen!B37,Reeksen!D37)</f>
        <v>0</v>
      </c>
      <c r="K38" s="97">
        <f t="shared" ca="1" si="0"/>
        <v>0</v>
      </c>
      <c r="L38" s="84">
        <f ca="1">IF('Invoer gegevens'!$C$17=E38,0,IF(C38=1,Q37,0))</f>
        <v>0</v>
      </c>
      <c r="M38" s="96">
        <f ca="1">IF(C38&gt;=1,L38*VLOOKUP(E38,Reeksen!$A$5:$B$76,2),0)</f>
        <v>0</v>
      </c>
      <c r="N38" s="84">
        <f ca="1">(1-('Invoer gegevens'!$F$20/12))*L38*MIN(Reeksen!B38,Reeksen!D38)</f>
        <v>0</v>
      </c>
      <c r="O38" s="84">
        <f>IF(Reeksen!D38&lt;Reeksen!B38,(Reeksen!B38-Reeksen!D38)*L38,0)</f>
        <v>0</v>
      </c>
      <c r="P38" s="84">
        <f ca="1">('Invoer gegevens'!$F$20/12)*L37*MIN(Reeksen!B37,Reeksen!D37)</f>
        <v>0</v>
      </c>
      <c r="Q38" s="84">
        <f t="shared" ca="1" si="1"/>
        <v>0</v>
      </c>
      <c r="R38" s="82">
        <f ca="1">IF('Invoer gegevens'!$C$17=E38,'Invoer gegevens'!$C$11,IF(C38=1,W37,0))</f>
        <v>0</v>
      </c>
      <c r="S38" s="86">
        <f ca="1">IF(C38&gt;=1,R38*VLOOKUP(E38,Reeksen!$A$5:$B$76,2),0)</f>
        <v>0</v>
      </c>
      <c r="T38" s="84">
        <f ca="1">(1-('Invoer gegevens'!$F$20/12))*R38*MIN(Reeksen!B38,Reeksen!D38)</f>
        <v>0</v>
      </c>
      <c r="U38" s="84">
        <f>IF(Reeksen!D38&gt;=Reeksen!B38,0,IF(Reeksen!AD38&lt;=Reeksen!AE38,(Reeksen!B38-Reeksen!D38)*R38,0))</f>
        <v>0</v>
      </c>
      <c r="V38" s="86">
        <f>IF(Reeksen!D38&gt;=Reeksen!B38,0,IF(Reeksen!AD38&gt;Reeksen!AE38,(Reeksen!B38-Reeksen!D38)*R38,0))</f>
        <v>0</v>
      </c>
      <c r="W38" s="97">
        <f t="shared" ca="1" si="2"/>
        <v>0</v>
      </c>
      <c r="X38" s="98">
        <f ca="1">IF('Invoer gegevens'!$C$17=E38,'Invoer gegevens'!$C$10-'Invoer gegevens'!$C$11,IF(C38=1,AC37,0))</f>
        <v>0</v>
      </c>
      <c r="Y38" s="98">
        <f ca="1">IF(C38&gt;=1,X38*VLOOKUP(E38,Reeksen!$A$5:$B$76,2),0)</f>
        <v>0</v>
      </c>
      <c r="Z38" s="98">
        <f ca="1">(1-('Invoer gegevens'!$F$20/12))*X38*MIN(Reeksen!B38,Reeksen!D38)</f>
        <v>0</v>
      </c>
      <c r="AA38" s="98">
        <f>IF(Reeksen!D38&gt;=Reeksen!B38,0,IF(Reeksen!AD38&lt;=Reeksen!AE38,(Reeksen!B38-Reeksen!D38)*X38,0))</f>
        <v>0</v>
      </c>
      <c r="AB38" s="98">
        <f>IF(Reeksen!D38&gt;=Reeksen!B38,0,IF(Reeksen!AD38&gt;Reeksen!AE38,(Reeksen!B38-Reeksen!D38)*X38,0))</f>
        <v>0</v>
      </c>
      <c r="AC38" s="99">
        <f t="shared" ca="1" si="3"/>
        <v>0</v>
      </c>
      <c r="AD38" s="98">
        <f ca="1">IF('Invoer gegevens'!$C$17=E38,R38,IF(C38=0,0,AE37))</f>
        <v>0</v>
      </c>
      <c r="AE38" s="98">
        <f t="shared" ca="1" si="4"/>
        <v>0</v>
      </c>
      <c r="AF38" s="98">
        <f ca="1">IF('Invoer gegevens'!$C$17=E38,X38,IF(C38=0,0,AG37))</f>
        <v>0</v>
      </c>
      <c r="AG38" s="98">
        <f t="shared" ca="1" si="5"/>
        <v>0</v>
      </c>
      <c r="AH38" s="66"/>
      <c r="AI38" s="71">
        <f ca="1">IF(C38=1,Reeksen!AI38*((F38-G38+F38)/2)*12+Reeksen!AD38*((L38-M38+L38)/2)*12,0)</f>
        <v>0</v>
      </c>
      <c r="AJ38" s="71">
        <f ca="1">-AI38*'Invoer gegevens'!$F$28</f>
        <v>0</v>
      </c>
      <c r="AK38" s="71">
        <f t="shared" ca="1" si="6"/>
        <v>0</v>
      </c>
      <c r="AL38" s="71">
        <f ca="1">IF(C38=1,Reeksen!AL38*((F38-G38+F38)/2)*12+Reeksen!AM38*((L38-M38+L38)/2)*12,0)</f>
        <v>0</v>
      </c>
      <c r="AM38" s="71">
        <f ca="1">-AL38*'Invoer gegevens'!$F$31</f>
        <v>0</v>
      </c>
      <c r="AN38" s="71">
        <f t="shared" ca="1" si="7"/>
        <v>0</v>
      </c>
      <c r="AO38" s="71">
        <f ca="1">IF(C38=1,(H38+J38+N38+P38)*Reeksen!AN38,0)</f>
        <v>0</v>
      </c>
      <c r="AP38" s="71">
        <f ca="1">-IF(C38=1,(H38+J38+N38+P38)*'Hulp - basis'!$G$550*Reeksen!H38,0)</f>
        <v>0</v>
      </c>
      <c r="AQ38" s="71">
        <f ca="1">-IF(C38=1,(F38+K38+L38+Q38)/2*'Invoer gegevens'!$F$35*Reeksen!J38,0)*2</f>
        <v>0</v>
      </c>
      <c r="AR38" s="71"/>
      <c r="AS38" s="71">
        <f ca="1">-IF(C38=1,(F38+K38+L38+Q38)/2*'Invoer gegevens'!$F$37*Reeksen!L38,0)</f>
        <v>0</v>
      </c>
      <c r="AT38" s="71">
        <f ca="1">-IF(C38=1,IF(E38='Invoer gegevens'!$C$17,'Invoer gegevens'!$C$11,AD38)*Reeksen!S38*'Invoer gegevens'!$C$18*Reeksen!P38,0)</f>
        <v>0</v>
      </c>
      <c r="AU38" s="71">
        <f ca="1">-IF(C38=1,(F38+K38+L38+Q38)/2*'Invoer gegevens'!$F$38*Reeksen!H38,0)</f>
        <v>0</v>
      </c>
      <c r="AV38" s="71">
        <f t="shared" si="11"/>
        <v>0</v>
      </c>
      <c r="AW38" s="71">
        <f t="shared" ca="1" si="8"/>
        <v>0</v>
      </c>
      <c r="AX38" s="71">
        <f ca="1">IF(E38&lt;'Invoer gegevens'!$C$17+15,0,IF(E38&gt;'Invoer gegevens'!$C$17+215,0,AW38))</f>
        <v>0</v>
      </c>
      <c r="AY38" s="71">
        <f ca="1">AX38/(1+'Invoer gegevens'!$F$18)^($AZ38-('Invoer gegevens'!$C$17-'Invoer gegevens'!$C$16))/(1+'Invoer gegevens'!$C$39)^('Invoer gegevens'!$C$17-'Invoer gegevens'!$C$16)</f>
        <v>0</v>
      </c>
      <c r="AZ38" s="68">
        <f ca="1">IF(E38-'Invoer gegevens'!$C$17-14.5&lt;0,0,E38-'Invoer gegevens'!$C$17-14.5)</f>
        <v>18.5</v>
      </c>
    </row>
    <row r="39" spans="1:52" x14ac:dyDescent="0.25">
      <c r="A39" s="59"/>
      <c r="B39" s="70">
        <f t="shared" si="9"/>
        <v>35</v>
      </c>
      <c r="C39" s="67">
        <f ca="1">IF(E39-'Invoer gegevens'!$C$17&lt;0,0,1)</f>
        <v>1</v>
      </c>
      <c r="D39" s="68">
        <f t="shared" si="10"/>
        <v>34.5</v>
      </c>
      <c r="E39" s="69">
        <f ca="1">IF('Invoer gegevens'!$C$16="","",E38+1)</f>
        <v>2053</v>
      </c>
      <c r="F39" s="84">
        <f ca="1">IF('Invoer gegevens'!$C$17=E39,'Invoer gegevens'!$C$10,IF(C39=1,K38,0))</f>
        <v>0</v>
      </c>
      <c r="G39" s="96">
        <f ca="1">IF(C39&gt;=1,F39*VLOOKUP(E39,Reeksen!$A$5:$B$76,2),0)</f>
        <v>0</v>
      </c>
      <c r="H39" s="84">
        <f ca="1">(1-('Invoer gegevens'!$F$20/12))*F39*MIN(Reeksen!B39,Reeksen!D39)</f>
        <v>0</v>
      </c>
      <c r="I39" s="84">
        <f>IF(Reeksen!D39&lt;Reeksen!B39,(Reeksen!B39-Reeksen!D39)*F39,0)</f>
        <v>0</v>
      </c>
      <c r="J39" s="84">
        <f ca="1">('Invoer gegevens'!$F$20/12)*F38*MIN(Reeksen!B38,Reeksen!D38)</f>
        <v>0</v>
      </c>
      <c r="K39" s="97">
        <f t="shared" ca="1" si="0"/>
        <v>0</v>
      </c>
      <c r="L39" s="84">
        <f ca="1">IF('Invoer gegevens'!$C$17=E39,0,IF(C39=1,Q38,0))</f>
        <v>0</v>
      </c>
      <c r="M39" s="96">
        <f ca="1">IF(C39&gt;=1,L39*VLOOKUP(E39,Reeksen!$A$5:$B$76,2),0)</f>
        <v>0</v>
      </c>
      <c r="N39" s="84">
        <f ca="1">(1-('Invoer gegevens'!$F$20/12))*L39*MIN(Reeksen!B39,Reeksen!D39)</f>
        <v>0</v>
      </c>
      <c r="O39" s="84">
        <f>IF(Reeksen!D39&lt;Reeksen!B39,(Reeksen!B39-Reeksen!D39)*L39,0)</f>
        <v>0</v>
      </c>
      <c r="P39" s="84">
        <f ca="1">('Invoer gegevens'!$F$20/12)*L38*MIN(Reeksen!B38,Reeksen!D38)</f>
        <v>0</v>
      </c>
      <c r="Q39" s="84">
        <f t="shared" ca="1" si="1"/>
        <v>0</v>
      </c>
      <c r="R39" s="82">
        <f ca="1">IF('Invoer gegevens'!$C$17=E39,'Invoer gegevens'!$C$11,IF(C39=1,W38,0))</f>
        <v>0</v>
      </c>
      <c r="S39" s="86">
        <f ca="1">IF(C39&gt;=1,R39*VLOOKUP(E39,Reeksen!$A$5:$B$76,2),0)</f>
        <v>0</v>
      </c>
      <c r="T39" s="84">
        <f ca="1">(1-('Invoer gegevens'!$F$20/12))*R39*MIN(Reeksen!B39,Reeksen!D39)</f>
        <v>0</v>
      </c>
      <c r="U39" s="84">
        <f>IF(Reeksen!D39&gt;=Reeksen!B39,0,IF(Reeksen!AD39&lt;=Reeksen!AE39,(Reeksen!B39-Reeksen!D39)*R39,0))</f>
        <v>0</v>
      </c>
      <c r="V39" s="86">
        <f>IF(Reeksen!D39&gt;=Reeksen!B39,0,IF(Reeksen!AD39&gt;Reeksen!AE39,(Reeksen!B39-Reeksen!D39)*R39,0))</f>
        <v>0</v>
      </c>
      <c r="W39" s="97">
        <f t="shared" ca="1" si="2"/>
        <v>0</v>
      </c>
      <c r="X39" s="98">
        <f ca="1">IF('Invoer gegevens'!$C$17=E39,'Invoer gegevens'!$C$10-'Invoer gegevens'!$C$11,IF(C39=1,AC38,0))</f>
        <v>0</v>
      </c>
      <c r="Y39" s="98">
        <f ca="1">IF(C39&gt;=1,X39*VLOOKUP(E39,Reeksen!$A$5:$B$76,2),0)</f>
        <v>0</v>
      </c>
      <c r="Z39" s="98">
        <f ca="1">(1-('Invoer gegevens'!$F$20/12))*X39*MIN(Reeksen!B39,Reeksen!D39)</f>
        <v>0</v>
      </c>
      <c r="AA39" s="98">
        <f>IF(Reeksen!D39&gt;=Reeksen!B39,0,IF(Reeksen!AD39&lt;=Reeksen!AE39,(Reeksen!B39-Reeksen!D39)*X39,0))</f>
        <v>0</v>
      </c>
      <c r="AB39" s="98">
        <f>IF(Reeksen!D39&gt;=Reeksen!B39,0,IF(Reeksen!AD39&gt;Reeksen!AE39,(Reeksen!B39-Reeksen!D39)*X39,0))</f>
        <v>0</v>
      </c>
      <c r="AC39" s="99">
        <f t="shared" ca="1" si="3"/>
        <v>0</v>
      </c>
      <c r="AD39" s="98">
        <f ca="1">IF('Invoer gegevens'!$C$17=E39,R39,IF(C39=0,0,AE38))</f>
        <v>0</v>
      </c>
      <c r="AE39" s="98">
        <f t="shared" ca="1" si="4"/>
        <v>0</v>
      </c>
      <c r="AF39" s="98">
        <f ca="1">IF('Invoer gegevens'!$C$17=E39,X39,IF(C39=0,0,AG38))</f>
        <v>0</v>
      </c>
      <c r="AG39" s="98">
        <f t="shared" ca="1" si="5"/>
        <v>0</v>
      </c>
      <c r="AH39" s="66"/>
      <c r="AI39" s="71">
        <f ca="1">IF(C39=1,Reeksen!AI39*((F39-G39+F39)/2)*12+Reeksen!AD39*((L39-M39+L39)/2)*12,0)</f>
        <v>0</v>
      </c>
      <c r="AJ39" s="71">
        <f ca="1">-AI39*'Invoer gegevens'!$F$28</f>
        <v>0</v>
      </c>
      <c r="AK39" s="71">
        <f t="shared" ca="1" si="6"/>
        <v>0</v>
      </c>
      <c r="AL39" s="71">
        <f ca="1">IF(C39=1,Reeksen!AL39*((F39-G39+F39)/2)*12+Reeksen!AM39*((L39-M39+L39)/2)*12,0)</f>
        <v>0</v>
      </c>
      <c r="AM39" s="71">
        <f ca="1">-AL39*'Invoer gegevens'!$F$31</f>
        <v>0</v>
      </c>
      <c r="AN39" s="71">
        <f t="shared" ca="1" si="7"/>
        <v>0</v>
      </c>
      <c r="AO39" s="71">
        <f ca="1">IF(C39=1,(H39+J39+N39+P39)*Reeksen!AN39,0)</f>
        <v>0</v>
      </c>
      <c r="AP39" s="71">
        <f ca="1">-IF(C39=1,(H39+J39+N39+P39)*'Hulp - basis'!$G$550*Reeksen!H39,0)</f>
        <v>0</v>
      </c>
      <c r="AQ39" s="71">
        <f ca="1">-IF(C39=1,(F39+K39+L39+Q39)/2*'Invoer gegevens'!$F$35*Reeksen!J39,0)*2</f>
        <v>0</v>
      </c>
      <c r="AR39" s="71"/>
      <c r="AS39" s="71">
        <f ca="1">-IF(C39=1,(F39+K39+L39+Q39)/2*'Invoer gegevens'!$F$37*Reeksen!L39,0)</f>
        <v>0</v>
      </c>
      <c r="AT39" s="71">
        <f ca="1">-IF(C39=1,IF(E39='Invoer gegevens'!$C$17,'Invoer gegevens'!$C$11,AD39)*Reeksen!S39*'Invoer gegevens'!$C$18*Reeksen!P39,0)</f>
        <v>0</v>
      </c>
      <c r="AU39" s="71">
        <f ca="1">-IF(C39=1,(F39+K39+L39+Q39)/2*'Invoer gegevens'!$F$38*Reeksen!H39,0)</f>
        <v>0</v>
      </c>
      <c r="AV39" s="71">
        <f t="shared" si="11"/>
        <v>0</v>
      </c>
      <c r="AW39" s="71">
        <f t="shared" ca="1" si="8"/>
        <v>0</v>
      </c>
      <c r="AX39" s="71">
        <f ca="1">IF(E39&lt;'Invoer gegevens'!$C$17+15,0,IF(E39&gt;'Invoer gegevens'!$C$17+215,0,AW39))</f>
        <v>0</v>
      </c>
      <c r="AY39" s="71">
        <f ca="1">AX39/(1+'Invoer gegevens'!$F$18)^($AZ39-('Invoer gegevens'!$C$17-'Invoer gegevens'!$C$16))/(1+'Invoer gegevens'!$C$39)^('Invoer gegevens'!$C$17-'Invoer gegevens'!$C$16)</f>
        <v>0</v>
      </c>
      <c r="AZ39" s="68">
        <f ca="1">IF(E39-'Invoer gegevens'!$C$17-14.5&lt;0,0,E39-'Invoer gegevens'!$C$17-14.5)</f>
        <v>19.5</v>
      </c>
    </row>
    <row r="40" spans="1:52" x14ac:dyDescent="0.25">
      <c r="A40" s="59"/>
      <c r="B40" s="70">
        <f t="shared" si="9"/>
        <v>36</v>
      </c>
      <c r="C40" s="67">
        <f ca="1">IF(E40-'Invoer gegevens'!$C$17&lt;0,0,1)</f>
        <v>1</v>
      </c>
      <c r="D40" s="68">
        <f t="shared" si="10"/>
        <v>35.5</v>
      </c>
      <c r="E40" s="69">
        <f ca="1">IF('Invoer gegevens'!$C$16="","",E39+1)</f>
        <v>2054</v>
      </c>
      <c r="F40" s="84">
        <f ca="1">IF('Invoer gegevens'!$C$17=E40,'Invoer gegevens'!$C$10,IF(C40=1,K39,0))</f>
        <v>0</v>
      </c>
      <c r="G40" s="96">
        <f ca="1">IF(C40&gt;=1,F40*VLOOKUP(E40,Reeksen!$A$5:$B$76,2),0)</f>
        <v>0</v>
      </c>
      <c r="H40" s="84">
        <f ca="1">(1-('Invoer gegevens'!$F$20/12))*F40*MIN(Reeksen!B40,Reeksen!D40)</f>
        <v>0</v>
      </c>
      <c r="I40" s="84">
        <f>IF(Reeksen!D40&lt;Reeksen!B40,(Reeksen!B40-Reeksen!D40)*F40,0)</f>
        <v>0</v>
      </c>
      <c r="J40" s="84">
        <f ca="1">('Invoer gegevens'!$F$20/12)*F39*MIN(Reeksen!B39,Reeksen!D39)</f>
        <v>0</v>
      </c>
      <c r="K40" s="97">
        <f t="shared" ca="1" si="0"/>
        <v>0</v>
      </c>
      <c r="L40" s="84">
        <f ca="1">IF('Invoer gegevens'!$C$17=E40,0,IF(C40=1,Q39,0))</f>
        <v>0</v>
      </c>
      <c r="M40" s="96">
        <f ca="1">IF(C40&gt;=1,L40*VLOOKUP(E40,Reeksen!$A$5:$B$76,2),0)</f>
        <v>0</v>
      </c>
      <c r="N40" s="84">
        <f ca="1">(1-('Invoer gegevens'!$F$20/12))*L40*MIN(Reeksen!B40,Reeksen!D40)</f>
        <v>0</v>
      </c>
      <c r="O40" s="84">
        <f>IF(Reeksen!D40&lt;Reeksen!B40,(Reeksen!B40-Reeksen!D40)*L40,0)</f>
        <v>0</v>
      </c>
      <c r="P40" s="84">
        <f ca="1">('Invoer gegevens'!$F$20/12)*L39*MIN(Reeksen!B39,Reeksen!D39)</f>
        <v>0</v>
      </c>
      <c r="Q40" s="84">
        <f t="shared" ca="1" si="1"/>
        <v>0</v>
      </c>
      <c r="R40" s="82">
        <f ca="1">IF('Invoer gegevens'!$C$17=E40,'Invoer gegevens'!$C$11,IF(C40=1,W39,0))</f>
        <v>0</v>
      </c>
      <c r="S40" s="86">
        <f ca="1">IF(C40&gt;=1,R40*VLOOKUP(E40,Reeksen!$A$5:$B$76,2),0)</f>
        <v>0</v>
      </c>
      <c r="T40" s="84">
        <f ca="1">(1-('Invoer gegevens'!$F$20/12))*R40*MIN(Reeksen!B40,Reeksen!D40)</f>
        <v>0</v>
      </c>
      <c r="U40" s="84">
        <f>IF(Reeksen!D40&gt;=Reeksen!B40,0,IF(Reeksen!AD40&lt;=Reeksen!AE40,(Reeksen!B40-Reeksen!D40)*R40,0))</f>
        <v>0</v>
      </c>
      <c r="V40" s="86">
        <f>IF(Reeksen!D40&gt;=Reeksen!B40,0,IF(Reeksen!AD40&gt;Reeksen!AE40,(Reeksen!B40-Reeksen!D40)*R40,0))</f>
        <v>0</v>
      </c>
      <c r="W40" s="97">
        <f t="shared" ca="1" si="2"/>
        <v>0</v>
      </c>
      <c r="X40" s="98">
        <f ca="1">IF('Invoer gegevens'!$C$17=E40,'Invoer gegevens'!$C$10-'Invoer gegevens'!$C$11,IF(C40=1,AC39,0))</f>
        <v>0</v>
      </c>
      <c r="Y40" s="98">
        <f ca="1">IF(C40&gt;=1,X40*VLOOKUP(E40,Reeksen!$A$5:$B$76,2),0)</f>
        <v>0</v>
      </c>
      <c r="Z40" s="98">
        <f ca="1">(1-('Invoer gegevens'!$F$20/12))*X40*MIN(Reeksen!B40,Reeksen!D40)</f>
        <v>0</v>
      </c>
      <c r="AA40" s="98">
        <f>IF(Reeksen!D40&gt;=Reeksen!B40,0,IF(Reeksen!AD40&lt;=Reeksen!AE40,(Reeksen!B40-Reeksen!D40)*X40,0))</f>
        <v>0</v>
      </c>
      <c r="AB40" s="98">
        <f>IF(Reeksen!D40&gt;=Reeksen!B40,0,IF(Reeksen!AD40&gt;Reeksen!AE40,(Reeksen!B40-Reeksen!D40)*X40,0))</f>
        <v>0</v>
      </c>
      <c r="AC40" s="99">
        <f t="shared" ca="1" si="3"/>
        <v>0</v>
      </c>
      <c r="AD40" s="98">
        <f ca="1">IF('Invoer gegevens'!$C$17=E40,R40,IF(C40=0,0,AE39))</f>
        <v>0</v>
      </c>
      <c r="AE40" s="98">
        <f t="shared" ca="1" si="4"/>
        <v>0</v>
      </c>
      <c r="AF40" s="98">
        <f ca="1">IF('Invoer gegevens'!$C$17=E40,X40,IF(C40=0,0,AG39))</f>
        <v>0</v>
      </c>
      <c r="AG40" s="98">
        <f t="shared" ca="1" si="5"/>
        <v>0</v>
      </c>
      <c r="AH40" s="66"/>
      <c r="AI40" s="71">
        <f ca="1">IF(C40=1,Reeksen!AI40*((F40-G40+F40)/2)*12+Reeksen!AD40*((L40-M40+L40)/2)*12,0)</f>
        <v>0</v>
      </c>
      <c r="AJ40" s="71">
        <f ca="1">-AI40*'Invoer gegevens'!$F$28</f>
        <v>0</v>
      </c>
      <c r="AK40" s="71">
        <f t="shared" ca="1" si="6"/>
        <v>0</v>
      </c>
      <c r="AL40" s="71">
        <f ca="1">IF(C40=1,Reeksen!AL40*((F40-G40+F40)/2)*12+Reeksen!AM40*((L40-M40+L40)/2)*12,0)</f>
        <v>0</v>
      </c>
      <c r="AM40" s="71">
        <f ca="1">-AL40*'Invoer gegevens'!$F$31</f>
        <v>0</v>
      </c>
      <c r="AN40" s="71">
        <f t="shared" ca="1" si="7"/>
        <v>0</v>
      </c>
      <c r="AO40" s="71">
        <f ca="1">IF(C40=1,(H40+J40+N40+P40)*Reeksen!AN40,0)</f>
        <v>0</v>
      </c>
      <c r="AP40" s="71">
        <f ca="1">-IF(C40=1,(H40+J40+N40+P40)*'Hulp - basis'!$G$550*Reeksen!H40,0)</f>
        <v>0</v>
      </c>
      <c r="AQ40" s="71">
        <f ca="1">-IF(C40=1,(F40+K40+L40+Q40)/2*'Invoer gegevens'!$F$35*Reeksen!J40,0)*2</f>
        <v>0</v>
      </c>
      <c r="AR40" s="71"/>
      <c r="AS40" s="71">
        <f ca="1">-IF(C40=1,(F40+K40+L40+Q40)/2*'Invoer gegevens'!$F$37*Reeksen!L40,0)</f>
        <v>0</v>
      </c>
      <c r="AT40" s="71">
        <f ca="1">-IF(C40=1,IF(E40='Invoer gegevens'!$C$17,'Invoer gegevens'!$C$11,AD40)*Reeksen!S40*'Invoer gegevens'!$C$18*Reeksen!P40,0)</f>
        <v>0</v>
      </c>
      <c r="AU40" s="71">
        <f ca="1">-IF(C40=1,(F40+K40+L40+Q40)/2*'Invoer gegevens'!$F$38*Reeksen!H40,0)</f>
        <v>0</v>
      </c>
      <c r="AV40" s="71">
        <f t="shared" si="11"/>
        <v>0</v>
      </c>
      <c r="AW40" s="71">
        <f t="shared" ca="1" si="8"/>
        <v>0</v>
      </c>
      <c r="AX40" s="71">
        <f ca="1">IF(E40&lt;'Invoer gegevens'!$C$17+15,0,IF(E40&gt;'Invoer gegevens'!$C$17+215,0,AW40))</f>
        <v>0</v>
      </c>
      <c r="AY40" s="71">
        <f ca="1">AX40/(1+'Invoer gegevens'!$F$18)^($AZ40-('Invoer gegevens'!$C$17-'Invoer gegevens'!$C$16))/(1+'Invoer gegevens'!$C$39)^('Invoer gegevens'!$C$17-'Invoer gegevens'!$C$16)</f>
        <v>0</v>
      </c>
      <c r="AZ40" s="68">
        <f ca="1">IF(E40-'Invoer gegevens'!$C$17-14.5&lt;0,0,E40-'Invoer gegevens'!$C$17-14.5)</f>
        <v>20.5</v>
      </c>
    </row>
    <row r="41" spans="1:52" x14ac:dyDescent="0.25">
      <c r="A41" s="59"/>
      <c r="B41" s="70">
        <f t="shared" si="9"/>
        <v>37</v>
      </c>
      <c r="C41" s="67">
        <f ca="1">IF(E41-'Invoer gegevens'!$C$17&lt;0,0,1)</f>
        <v>1</v>
      </c>
      <c r="D41" s="68">
        <f t="shared" si="10"/>
        <v>36.5</v>
      </c>
      <c r="E41" s="69">
        <f ca="1">IF('Invoer gegevens'!$C$16="","",E40+1)</f>
        <v>2055</v>
      </c>
      <c r="F41" s="84">
        <f ca="1">IF('Invoer gegevens'!$C$17=E41,'Invoer gegevens'!$C$10,IF(C41=1,K40,0))</f>
        <v>0</v>
      </c>
      <c r="G41" s="96">
        <f ca="1">IF(C41&gt;=1,F41*VLOOKUP(E41,Reeksen!$A$5:$B$76,2),0)</f>
        <v>0</v>
      </c>
      <c r="H41" s="84">
        <f ca="1">(1-('Invoer gegevens'!$F$20/12))*F41*MIN(Reeksen!B41,Reeksen!D41)</f>
        <v>0</v>
      </c>
      <c r="I41" s="84">
        <f>IF(Reeksen!D41&lt;Reeksen!B41,(Reeksen!B41-Reeksen!D41)*F41,0)</f>
        <v>0</v>
      </c>
      <c r="J41" s="84">
        <f ca="1">('Invoer gegevens'!$F$20/12)*F40*MIN(Reeksen!B40,Reeksen!D40)</f>
        <v>0</v>
      </c>
      <c r="K41" s="97">
        <f t="shared" ca="1" si="0"/>
        <v>0</v>
      </c>
      <c r="L41" s="84">
        <f ca="1">IF('Invoer gegevens'!$C$17=E41,0,IF(C41=1,Q40,0))</f>
        <v>0</v>
      </c>
      <c r="M41" s="96">
        <f ca="1">IF(C41&gt;=1,L41*VLOOKUP(E41,Reeksen!$A$5:$B$76,2),0)</f>
        <v>0</v>
      </c>
      <c r="N41" s="84">
        <f ca="1">(1-('Invoer gegevens'!$F$20/12))*L41*MIN(Reeksen!B41,Reeksen!D41)</f>
        <v>0</v>
      </c>
      <c r="O41" s="84">
        <f>IF(Reeksen!D41&lt;Reeksen!B41,(Reeksen!B41-Reeksen!D41)*L41,0)</f>
        <v>0</v>
      </c>
      <c r="P41" s="84">
        <f ca="1">('Invoer gegevens'!$F$20/12)*L40*MIN(Reeksen!B40,Reeksen!D40)</f>
        <v>0</v>
      </c>
      <c r="Q41" s="84">
        <f t="shared" ca="1" si="1"/>
        <v>0</v>
      </c>
      <c r="R41" s="82">
        <f ca="1">IF('Invoer gegevens'!$C$17=E41,'Invoer gegevens'!$C$11,IF(C41=1,W40,0))</f>
        <v>0</v>
      </c>
      <c r="S41" s="86">
        <f ca="1">IF(C41&gt;=1,R41*VLOOKUP(E41,Reeksen!$A$5:$B$76,2),0)</f>
        <v>0</v>
      </c>
      <c r="T41" s="84">
        <f ca="1">(1-('Invoer gegevens'!$F$20/12))*R41*MIN(Reeksen!B41,Reeksen!D41)</f>
        <v>0</v>
      </c>
      <c r="U41" s="84">
        <f>IF(Reeksen!D41&gt;=Reeksen!B41,0,IF(Reeksen!AD41&lt;=Reeksen!AE41,(Reeksen!B41-Reeksen!D41)*R41,0))</f>
        <v>0</v>
      </c>
      <c r="V41" s="86">
        <f>IF(Reeksen!D41&gt;=Reeksen!B41,0,IF(Reeksen!AD41&gt;Reeksen!AE41,(Reeksen!B41-Reeksen!D41)*R41,0))</f>
        <v>0</v>
      </c>
      <c r="W41" s="97">
        <f t="shared" ca="1" si="2"/>
        <v>0</v>
      </c>
      <c r="X41" s="98">
        <f ca="1">IF('Invoer gegevens'!$C$17=E41,'Invoer gegevens'!$C$10-'Invoer gegevens'!$C$11,IF(C41=1,AC40,0))</f>
        <v>0</v>
      </c>
      <c r="Y41" s="98">
        <f ca="1">IF(C41&gt;=1,X41*VLOOKUP(E41,Reeksen!$A$5:$B$76,2),0)</f>
        <v>0</v>
      </c>
      <c r="Z41" s="98">
        <f ca="1">(1-('Invoer gegevens'!$F$20/12))*X41*MIN(Reeksen!B41,Reeksen!D41)</f>
        <v>0</v>
      </c>
      <c r="AA41" s="98">
        <f>IF(Reeksen!D41&gt;=Reeksen!B41,0,IF(Reeksen!AD41&lt;=Reeksen!AE41,(Reeksen!B41-Reeksen!D41)*X41,0))</f>
        <v>0</v>
      </c>
      <c r="AB41" s="98">
        <f>IF(Reeksen!D41&gt;=Reeksen!B41,0,IF(Reeksen!AD41&gt;Reeksen!AE41,(Reeksen!B41-Reeksen!D41)*X41,0))</f>
        <v>0</v>
      </c>
      <c r="AC41" s="99">
        <f t="shared" ca="1" si="3"/>
        <v>0</v>
      </c>
      <c r="AD41" s="98">
        <f ca="1">IF('Invoer gegevens'!$C$17=E41,R41,IF(C41=0,0,AE40))</f>
        <v>0</v>
      </c>
      <c r="AE41" s="98">
        <f t="shared" ca="1" si="4"/>
        <v>0</v>
      </c>
      <c r="AF41" s="98">
        <f ca="1">IF('Invoer gegevens'!$C$17=E41,X41,IF(C41=0,0,AG40))</f>
        <v>0</v>
      </c>
      <c r="AG41" s="98">
        <f t="shared" ca="1" si="5"/>
        <v>0</v>
      </c>
      <c r="AH41" s="66"/>
      <c r="AI41" s="71">
        <f ca="1">IF(C41=1,Reeksen!AI41*((F41-G41+F41)/2)*12+Reeksen!AD41*((L41-M41+L41)/2)*12,0)</f>
        <v>0</v>
      </c>
      <c r="AJ41" s="71">
        <f ca="1">-AI41*'Invoer gegevens'!$F$28</f>
        <v>0</v>
      </c>
      <c r="AK41" s="71">
        <f t="shared" ca="1" si="6"/>
        <v>0</v>
      </c>
      <c r="AL41" s="71">
        <f ca="1">IF(C41=1,Reeksen!AL41*((F41-G41+F41)/2)*12+Reeksen!AM41*((L41-M41+L41)/2)*12,0)</f>
        <v>0</v>
      </c>
      <c r="AM41" s="71">
        <f ca="1">-AL41*'Invoer gegevens'!$F$31</f>
        <v>0</v>
      </c>
      <c r="AN41" s="71">
        <f t="shared" ca="1" si="7"/>
        <v>0</v>
      </c>
      <c r="AO41" s="71">
        <f ca="1">IF(C41=1,(H41+J41+N41+P41)*Reeksen!AN41,0)</f>
        <v>0</v>
      </c>
      <c r="AP41" s="71">
        <f ca="1">-IF(C41=1,(H41+J41+N41+P41)*'Hulp - basis'!$G$550*Reeksen!H41,0)</f>
        <v>0</v>
      </c>
      <c r="AQ41" s="71">
        <f ca="1">-IF(C41=1,(F41+K41+L41+Q41)/2*'Invoer gegevens'!$F$35*Reeksen!J41,0)*2</f>
        <v>0</v>
      </c>
      <c r="AR41" s="71"/>
      <c r="AS41" s="71">
        <f ca="1">-IF(C41=1,(F41+K41+L41+Q41)/2*'Invoer gegevens'!$F$37*Reeksen!L41,0)</f>
        <v>0</v>
      </c>
      <c r="AT41" s="71">
        <f ca="1">-IF(C41=1,IF(E41='Invoer gegevens'!$C$17,'Invoer gegevens'!$C$11,AD41)*Reeksen!S41*'Invoer gegevens'!$C$18*Reeksen!P41,0)</f>
        <v>0</v>
      </c>
      <c r="AU41" s="71">
        <f ca="1">-IF(C41=1,(F41+K41+L41+Q41)/2*'Invoer gegevens'!$F$38*Reeksen!H41,0)</f>
        <v>0</v>
      </c>
      <c r="AV41" s="71">
        <f t="shared" si="11"/>
        <v>0</v>
      </c>
      <c r="AW41" s="71">
        <f t="shared" ca="1" si="8"/>
        <v>0</v>
      </c>
      <c r="AX41" s="71">
        <f ca="1">IF(E41&lt;'Invoer gegevens'!$C$17+15,0,IF(E41&gt;'Invoer gegevens'!$C$17+215,0,AW41))</f>
        <v>0</v>
      </c>
      <c r="AY41" s="71">
        <f ca="1">AX41/(1+'Invoer gegevens'!$F$18)^($AZ41-('Invoer gegevens'!$C$17-'Invoer gegevens'!$C$16))/(1+'Invoer gegevens'!$C$39)^('Invoer gegevens'!$C$17-'Invoer gegevens'!$C$16)</f>
        <v>0</v>
      </c>
      <c r="AZ41" s="68">
        <f ca="1">IF(E41-'Invoer gegevens'!$C$17-14.5&lt;0,0,E41-'Invoer gegevens'!$C$17-14.5)</f>
        <v>21.5</v>
      </c>
    </row>
    <row r="42" spans="1:52" x14ac:dyDescent="0.25">
      <c r="A42" s="59"/>
      <c r="B42" s="70">
        <f t="shared" si="9"/>
        <v>38</v>
      </c>
      <c r="C42" s="67">
        <f ca="1">IF(E42-'Invoer gegevens'!$C$17&lt;0,0,1)</f>
        <v>1</v>
      </c>
      <c r="D42" s="68">
        <f t="shared" si="10"/>
        <v>37.5</v>
      </c>
      <c r="E42" s="69">
        <f ca="1">IF('Invoer gegevens'!$C$16="","",E41+1)</f>
        <v>2056</v>
      </c>
      <c r="F42" s="84">
        <f ca="1">IF('Invoer gegevens'!$C$17=E42,'Invoer gegevens'!$C$10,IF(C42=1,K41,0))</f>
        <v>0</v>
      </c>
      <c r="G42" s="96">
        <f ca="1">IF(C42&gt;=1,F42*VLOOKUP(E42,Reeksen!$A$5:$B$76,2),0)</f>
        <v>0</v>
      </c>
      <c r="H42" s="84">
        <f ca="1">(1-('Invoer gegevens'!$F$20/12))*F42*MIN(Reeksen!B42,Reeksen!D42)</f>
        <v>0</v>
      </c>
      <c r="I42" s="84">
        <f>IF(Reeksen!D42&lt;Reeksen!B42,(Reeksen!B42-Reeksen!D42)*F42,0)</f>
        <v>0</v>
      </c>
      <c r="J42" s="84">
        <f ca="1">('Invoer gegevens'!$F$20/12)*F41*MIN(Reeksen!B41,Reeksen!D41)</f>
        <v>0</v>
      </c>
      <c r="K42" s="97">
        <f t="shared" ca="1" si="0"/>
        <v>0</v>
      </c>
      <c r="L42" s="84">
        <f ca="1">IF('Invoer gegevens'!$C$17=E42,0,IF(C42=1,Q41,0))</f>
        <v>0</v>
      </c>
      <c r="M42" s="96">
        <f ca="1">IF(C42&gt;=1,L42*VLOOKUP(E42,Reeksen!$A$5:$B$76,2),0)</f>
        <v>0</v>
      </c>
      <c r="N42" s="84">
        <f ca="1">(1-('Invoer gegevens'!$F$20/12))*L42*MIN(Reeksen!B42,Reeksen!D42)</f>
        <v>0</v>
      </c>
      <c r="O42" s="84">
        <f>IF(Reeksen!D42&lt;Reeksen!B42,(Reeksen!B42-Reeksen!D42)*L42,0)</f>
        <v>0</v>
      </c>
      <c r="P42" s="84">
        <f ca="1">('Invoer gegevens'!$F$20/12)*L41*MIN(Reeksen!B41,Reeksen!D41)</f>
        <v>0</v>
      </c>
      <c r="Q42" s="84">
        <f t="shared" ca="1" si="1"/>
        <v>0</v>
      </c>
      <c r="R42" s="82">
        <f ca="1">IF('Invoer gegevens'!$C$17=E42,'Invoer gegevens'!$C$11,IF(C42=1,W41,0))</f>
        <v>0</v>
      </c>
      <c r="S42" s="86">
        <f ca="1">IF(C42&gt;=1,R42*VLOOKUP(E42,Reeksen!$A$5:$B$76,2),0)</f>
        <v>0</v>
      </c>
      <c r="T42" s="84">
        <f ca="1">(1-('Invoer gegevens'!$F$20/12))*R42*MIN(Reeksen!B42,Reeksen!D42)</f>
        <v>0</v>
      </c>
      <c r="U42" s="84">
        <f>IF(Reeksen!D42&gt;=Reeksen!B42,0,IF(Reeksen!AD42&lt;=Reeksen!AE42,(Reeksen!B42-Reeksen!D42)*R42,0))</f>
        <v>0</v>
      </c>
      <c r="V42" s="86">
        <f>IF(Reeksen!D42&gt;=Reeksen!B42,0,IF(Reeksen!AD42&gt;Reeksen!AE42,(Reeksen!B42-Reeksen!D42)*R42,0))</f>
        <v>0</v>
      </c>
      <c r="W42" s="97">
        <f t="shared" ca="1" si="2"/>
        <v>0</v>
      </c>
      <c r="X42" s="98">
        <f ca="1">IF('Invoer gegevens'!$C$17=E42,'Invoer gegevens'!$C$10-'Invoer gegevens'!$C$11,IF(C42=1,AC41,0))</f>
        <v>0</v>
      </c>
      <c r="Y42" s="98">
        <f ca="1">IF(C42&gt;=1,X42*VLOOKUP(E42,Reeksen!$A$5:$B$76,2),0)</f>
        <v>0</v>
      </c>
      <c r="Z42" s="98">
        <f ca="1">(1-('Invoer gegevens'!$F$20/12))*X42*MIN(Reeksen!B42,Reeksen!D42)</f>
        <v>0</v>
      </c>
      <c r="AA42" s="98">
        <f>IF(Reeksen!D42&gt;=Reeksen!B42,0,IF(Reeksen!AD42&lt;=Reeksen!AE42,(Reeksen!B42-Reeksen!D42)*X42,0))</f>
        <v>0</v>
      </c>
      <c r="AB42" s="98">
        <f>IF(Reeksen!D42&gt;=Reeksen!B42,0,IF(Reeksen!AD42&gt;Reeksen!AE42,(Reeksen!B42-Reeksen!D42)*X42,0))</f>
        <v>0</v>
      </c>
      <c r="AC42" s="99">
        <f t="shared" ca="1" si="3"/>
        <v>0</v>
      </c>
      <c r="AD42" s="98">
        <f ca="1">IF('Invoer gegevens'!$C$17=E42,R42,IF(C42=0,0,AE41))</f>
        <v>0</v>
      </c>
      <c r="AE42" s="98">
        <f t="shared" ca="1" si="4"/>
        <v>0</v>
      </c>
      <c r="AF42" s="98">
        <f ca="1">IF('Invoer gegevens'!$C$17=E42,X42,IF(C42=0,0,AG41))</f>
        <v>0</v>
      </c>
      <c r="AG42" s="98">
        <f t="shared" ca="1" si="5"/>
        <v>0</v>
      </c>
      <c r="AH42" s="66"/>
      <c r="AI42" s="71">
        <f ca="1">IF(C42=1,Reeksen!AI42*((F42-G42+F42)/2)*12+Reeksen!AD42*((L42-M42+L42)/2)*12,0)</f>
        <v>0</v>
      </c>
      <c r="AJ42" s="71">
        <f ca="1">-AI42*'Invoer gegevens'!$F$28</f>
        <v>0</v>
      </c>
      <c r="AK42" s="71">
        <f t="shared" ca="1" si="6"/>
        <v>0</v>
      </c>
      <c r="AL42" s="71">
        <f ca="1">IF(C42=1,Reeksen!AL42*((F42-G42+F42)/2)*12+Reeksen!AM42*((L42-M42+L42)/2)*12,0)</f>
        <v>0</v>
      </c>
      <c r="AM42" s="71">
        <f ca="1">-AL42*'Invoer gegevens'!$F$31</f>
        <v>0</v>
      </c>
      <c r="AN42" s="71">
        <f t="shared" ca="1" si="7"/>
        <v>0</v>
      </c>
      <c r="AO42" s="71">
        <f ca="1">IF(C42=1,(H42+J42+N42+P42)*Reeksen!AN42,0)</f>
        <v>0</v>
      </c>
      <c r="AP42" s="71">
        <f ca="1">-IF(C42=1,(H42+J42+N42+P42)*'Hulp - basis'!$G$550*Reeksen!H42,0)</f>
        <v>0</v>
      </c>
      <c r="AQ42" s="71">
        <f ca="1">-IF(C42=1,(F42+K42+L42+Q42)/2*'Invoer gegevens'!$F$35*Reeksen!J42,0)*2</f>
        <v>0</v>
      </c>
      <c r="AR42" s="71"/>
      <c r="AS42" s="71">
        <f ca="1">-IF(C42=1,(F42+K42+L42+Q42)/2*'Invoer gegevens'!$F$37*Reeksen!L42,0)</f>
        <v>0</v>
      </c>
      <c r="AT42" s="71">
        <f ca="1">-IF(C42=1,IF(E42='Invoer gegevens'!$C$17,'Invoer gegevens'!$C$11,AD42)*Reeksen!S42*'Invoer gegevens'!$C$18*Reeksen!P42,0)</f>
        <v>0</v>
      </c>
      <c r="AU42" s="71">
        <f ca="1">-IF(C42=1,(F42+K42+L42+Q42)/2*'Invoer gegevens'!$F$38*Reeksen!H42,0)</f>
        <v>0</v>
      </c>
      <c r="AV42" s="71">
        <f t="shared" si="11"/>
        <v>0</v>
      </c>
      <c r="AW42" s="71">
        <f t="shared" ca="1" si="8"/>
        <v>0</v>
      </c>
      <c r="AX42" s="71">
        <f ca="1">IF(E42&lt;'Invoer gegevens'!$C$17+15,0,IF(E42&gt;'Invoer gegevens'!$C$17+215,0,AW42))</f>
        <v>0</v>
      </c>
      <c r="AY42" s="71">
        <f ca="1">AX42/(1+'Invoer gegevens'!$F$18)^($AZ42-('Invoer gegevens'!$C$17-'Invoer gegevens'!$C$16))/(1+'Invoer gegevens'!$C$39)^('Invoer gegevens'!$C$17-'Invoer gegevens'!$C$16)</f>
        <v>0</v>
      </c>
      <c r="AZ42" s="68">
        <f ca="1">IF(E42-'Invoer gegevens'!$C$17-14.5&lt;0,0,E42-'Invoer gegevens'!$C$17-14.5)</f>
        <v>22.5</v>
      </c>
    </row>
    <row r="43" spans="1:52" x14ac:dyDescent="0.25">
      <c r="A43" s="59"/>
      <c r="B43" s="70">
        <f t="shared" si="9"/>
        <v>39</v>
      </c>
      <c r="C43" s="67">
        <f ca="1">IF(E43-'Invoer gegevens'!$C$17&lt;0,0,1)</f>
        <v>1</v>
      </c>
      <c r="D43" s="68">
        <f t="shared" si="10"/>
        <v>38.5</v>
      </c>
      <c r="E43" s="69">
        <f ca="1">IF('Invoer gegevens'!$C$16="","",E42+1)</f>
        <v>2057</v>
      </c>
      <c r="F43" s="84">
        <f ca="1">IF('Invoer gegevens'!$C$17=E43,'Invoer gegevens'!$C$10,IF(C43=1,K42,0))</f>
        <v>0</v>
      </c>
      <c r="G43" s="96">
        <f ca="1">IF(C43&gt;=1,F43*VLOOKUP(E43,Reeksen!$A$5:$B$76,2),0)</f>
        <v>0</v>
      </c>
      <c r="H43" s="84">
        <f ca="1">(1-('Invoer gegevens'!$F$20/12))*F43*MIN(Reeksen!B43,Reeksen!D43)</f>
        <v>0</v>
      </c>
      <c r="I43" s="84">
        <f>IF(Reeksen!D43&lt;Reeksen!B43,(Reeksen!B43-Reeksen!D43)*F43,0)</f>
        <v>0</v>
      </c>
      <c r="J43" s="84">
        <f ca="1">('Invoer gegevens'!$F$20/12)*F42*MIN(Reeksen!B42,Reeksen!D42)</f>
        <v>0</v>
      </c>
      <c r="K43" s="97">
        <f t="shared" ca="1" si="0"/>
        <v>0</v>
      </c>
      <c r="L43" s="84">
        <f ca="1">IF('Invoer gegevens'!$C$17=E43,0,IF(C43=1,Q42,0))</f>
        <v>0</v>
      </c>
      <c r="M43" s="96">
        <f ca="1">IF(C43&gt;=1,L43*VLOOKUP(E43,Reeksen!$A$5:$B$76,2),0)</f>
        <v>0</v>
      </c>
      <c r="N43" s="84">
        <f ca="1">(1-('Invoer gegevens'!$F$20/12))*L43*MIN(Reeksen!B43,Reeksen!D43)</f>
        <v>0</v>
      </c>
      <c r="O43" s="84">
        <f>IF(Reeksen!D43&lt;Reeksen!B43,(Reeksen!B43-Reeksen!D43)*L43,0)</f>
        <v>0</v>
      </c>
      <c r="P43" s="84">
        <f ca="1">('Invoer gegevens'!$F$20/12)*L42*MIN(Reeksen!B42,Reeksen!D42)</f>
        <v>0</v>
      </c>
      <c r="Q43" s="84">
        <f t="shared" ca="1" si="1"/>
        <v>0</v>
      </c>
      <c r="R43" s="82">
        <f ca="1">IF('Invoer gegevens'!$C$17=E43,'Invoer gegevens'!$C$11,IF(C43=1,W42,0))</f>
        <v>0</v>
      </c>
      <c r="S43" s="86">
        <f ca="1">IF(C43&gt;=1,R43*VLOOKUP(E43,Reeksen!$A$5:$B$76,2),0)</f>
        <v>0</v>
      </c>
      <c r="T43" s="84">
        <f ca="1">(1-('Invoer gegevens'!$F$20/12))*R43*MIN(Reeksen!B43,Reeksen!D43)</f>
        <v>0</v>
      </c>
      <c r="U43" s="84">
        <f>IF(Reeksen!D43&gt;=Reeksen!B43,0,IF(Reeksen!AD43&lt;=Reeksen!AE43,(Reeksen!B43-Reeksen!D43)*R43,0))</f>
        <v>0</v>
      </c>
      <c r="V43" s="86">
        <f>IF(Reeksen!D43&gt;=Reeksen!B43,0,IF(Reeksen!AD43&gt;Reeksen!AE43,(Reeksen!B43-Reeksen!D43)*R43,0))</f>
        <v>0</v>
      </c>
      <c r="W43" s="97">
        <f t="shared" ca="1" si="2"/>
        <v>0</v>
      </c>
      <c r="X43" s="98">
        <f ca="1">IF('Invoer gegevens'!$C$17=E43,'Invoer gegevens'!$C$10-'Invoer gegevens'!$C$11,IF(C43=1,AC42,0))</f>
        <v>0</v>
      </c>
      <c r="Y43" s="98">
        <f ca="1">IF(C43&gt;=1,X43*VLOOKUP(E43,Reeksen!$A$5:$B$76,2),0)</f>
        <v>0</v>
      </c>
      <c r="Z43" s="98">
        <f ca="1">(1-('Invoer gegevens'!$F$20/12))*X43*MIN(Reeksen!B43,Reeksen!D43)</f>
        <v>0</v>
      </c>
      <c r="AA43" s="98">
        <f>IF(Reeksen!D43&gt;=Reeksen!B43,0,IF(Reeksen!AD43&lt;=Reeksen!AE43,(Reeksen!B43-Reeksen!D43)*X43,0))</f>
        <v>0</v>
      </c>
      <c r="AB43" s="98">
        <f>IF(Reeksen!D43&gt;=Reeksen!B43,0,IF(Reeksen!AD43&gt;Reeksen!AE43,(Reeksen!B43-Reeksen!D43)*X43,0))</f>
        <v>0</v>
      </c>
      <c r="AC43" s="99">
        <f t="shared" ca="1" si="3"/>
        <v>0</v>
      </c>
      <c r="AD43" s="98">
        <f ca="1">IF('Invoer gegevens'!$C$17=E43,R43,IF(C43=0,0,AE42))</f>
        <v>0</v>
      </c>
      <c r="AE43" s="98">
        <f t="shared" ca="1" si="4"/>
        <v>0</v>
      </c>
      <c r="AF43" s="98">
        <f ca="1">IF('Invoer gegevens'!$C$17=E43,X43,IF(C43=0,0,AG42))</f>
        <v>0</v>
      </c>
      <c r="AG43" s="98">
        <f t="shared" ca="1" si="5"/>
        <v>0</v>
      </c>
      <c r="AH43" s="66"/>
      <c r="AI43" s="71">
        <f ca="1">IF(C43=1,Reeksen!AI43*((F43-G43+F43)/2)*12+Reeksen!AD43*((L43-M43+L43)/2)*12,0)</f>
        <v>0</v>
      </c>
      <c r="AJ43" s="71">
        <f ca="1">-AI43*'Invoer gegevens'!$F$28</f>
        <v>0</v>
      </c>
      <c r="AK43" s="71">
        <f t="shared" ca="1" si="6"/>
        <v>0</v>
      </c>
      <c r="AL43" s="71">
        <f ca="1">IF(C43=1,Reeksen!AL43*((F43-G43+F43)/2)*12+Reeksen!AM43*((L43-M43+L43)/2)*12,0)</f>
        <v>0</v>
      </c>
      <c r="AM43" s="71">
        <f ca="1">-AL43*'Invoer gegevens'!$F$31</f>
        <v>0</v>
      </c>
      <c r="AN43" s="71">
        <f t="shared" ca="1" si="7"/>
        <v>0</v>
      </c>
      <c r="AO43" s="71">
        <f ca="1">IF(C43=1,(H43+J43+N43+P43)*Reeksen!AN43,0)</f>
        <v>0</v>
      </c>
      <c r="AP43" s="71">
        <f ca="1">-IF(C43=1,(H43+J43+N43+P43)*'Hulp - basis'!$G$550*Reeksen!H43,0)</f>
        <v>0</v>
      </c>
      <c r="AQ43" s="71">
        <f ca="1">-IF(C43=1,(F43+K43+L43+Q43)/2*'Invoer gegevens'!$F$35*Reeksen!J43,0)*2</f>
        <v>0</v>
      </c>
      <c r="AR43" s="71"/>
      <c r="AS43" s="71">
        <f ca="1">-IF(C43=1,(F43+K43+L43+Q43)/2*'Invoer gegevens'!$F$37*Reeksen!L43,0)</f>
        <v>0</v>
      </c>
      <c r="AT43" s="71">
        <f ca="1">-IF(C43=1,IF(E43='Invoer gegevens'!$C$17,'Invoer gegevens'!$C$11,AD43)*Reeksen!S43*'Invoer gegevens'!$C$18*Reeksen!P43,0)</f>
        <v>0</v>
      </c>
      <c r="AU43" s="71">
        <f ca="1">-IF(C43=1,(F43+K43+L43+Q43)/2*'Invoer gegevens'!$F$38*Reeksen!H43,0)</f>
        <v>0</v>
      </c>
      <c r="AV43" s="71">
        <f t="shared" si="11"/>
        <v>0</v>
      </c>
      <c r="AW43" s="71">
        <f t="shared" ca="1" si="8"/>
        <v>0</v>
      </c>
      <c r="AX43" s="71">
        <f ca="1">IF(E43&lt;'Invoer gegevens'!$C$17+15,0,IF(E43&gt;'Invoer gegevens'!$C$17+215,0,AW43))</f>
        <v>0</v>
      </c>
      <c r="AY43" s="71">
        <f ca="1">AX43/(1+'Invoer gegevens'!$F$18)^($AZ43-('Invoer gegevens'!$C$17-'Invoer gegevens'!$C$16))/(1+'Invoer gegevens'!$C$39)^('Invoer gegevens'!$C$17-'Invoer gegevens'!$C$16)</f>
        <v>0</v>
      </c>
      <c r="AZ43" s="68">
        <f ca="1">IF(E43-'Invoer gegevens'!$C$17-14.5&lt;0,0,E43-'Invoer gegevens'!$C$17-14.5)</f>
        <v>23.5</v>
      </c>
    </row>
    <row r="44" spans="1:52" x14ac:dyDescent="0.25">
      <c r="A44" s="59"/>
      <c r="B44" s="70">
        <f t="shared" si="9"/>
        <v>40</v>
      </c>
      <c r="C44" s="67">
        <f ca="1">IF(E44-'Invoer gegevens'!$C$17&lt;0,0,1)</f>
        <v>1</v>
      </c>
      <c r="D44" s="68">
        <f t="shared" si="10"/>
        <v>39.5</v>
      </c>
      <c r="E44" s="69">
        <f ca="1">IF('Invoer gegevens'!$C$16="","",E43+1)</f>
        <v>2058</v>
      </c>
      <c r="F44" s="84">
        <f ca="1">IF('Invoer gegevens'!$C$17=E44,'Invoer gegevens'!$C$10,IF(C44=1,K43,0))</f>
        <v>0</v>
      </c>
      <c r="G44" s="96">
        <f ca="1">IF(C44&gt;=1,F44*VLOOKUP(E44,Reeksen!$A$5:$B$76,2),0)</f>
        <v>0</v>
      </c>
      <c r="H44" s="84">
        <f ca="1">(1-('Invoer gegevens'!$F$20/12))*F44*MIN(Reeksen!B44,Reeksen!D44)</f>
        <v>0</v>
      </c>
      <c r="I44" s="84">
        <f>IF(Reeksen!D44&lt;Reeksen!B44,(Reeksen!B44-Reeksen!D44)*F44,0)</f>
        <v>0</v>
      </c>
      <c r="J44" s="84">
        <f ca="1">('Invoer gegevens'!$F$20/12)*F43*MIN(Reeksen!B43,Reeksen!D43)</f>
        <v>0</v>
      </c>
      <c r="K44" s="97">
        <f t="shared" ca="1" si="0"/>
        <v>0</v>
      </c>
      <c r="L44" s="84">
        <f ca="1">IF('Invoer gegevens'!$C$17=E44,0,IF(C44=1,Q43,0))</f>
        <v>0</v>
      </c>
      <c r="M44" s="96">
        <f ca="1">IF(C44&gt;=1,L44*VLOOKUP(E44,Reeksen!$A$5:$B$76,2),0)</f>
        <v>0</v>
      </c>
      <c r="N44" s="84">
        <f ca="1">(1-('Invoer gegevens'!$F$20/12))*L44*MIN(Reeksen!B44,Reeksen!D44)</f>
        <v>0</v>
      </c>
      <c r="O44" s="84">
        <f>IF(Reeksen!D44&lt;Reeksen!B44,(Reeksen!B44-Reeksen!D44)*L44,0)</f>
        <v>0</v>
      </c>
      <c r="P44" s="84">
        <f ca="1">('Invoer gegevens'!$F$20/12)*L43*MIN(Reeksen!B43,Reeksen!D43)</f>
        <v>0</v>
      </c>
      <c r="Q44" s="84">
        <f t="shared" ca="1" si="1"/>
        <v>0</v>
      </c>
      <c r="R44" s="82">
        <f ca="1">IF('Invoer gegevens'!$C$17=E44,'Invoer gegevens'!$C$11,IF(C44=1,W43,0))</f>
        <v>0</v>
      </c>
      <c r="S44" s="86">
        <f ca="1">IF(C44&gt;=1,R44*VLOOKUP(E44,Reeksen!$A$5:$B$76,2),0)</f>
        <v>0</v>
      </c>
      <c r="T44" s="84">
        <f ca="1">(1-('Invoer gegevens'!$F$20/12))*R44*MIN(Reeksen!B44,Reeksen!D44)</f>
        <v>0</v>
      </c>
      <c r="U44" s="84">
        <f>IF(Reeksen!D44&gt;=Reeksen!B44,0,IF(Reeksen!AD44&lt;=Reeksen!AE44,(Reeksen!B44-Reeksen!D44)*R44,0))</f>
        <v>0</v>
      </c>
      <c r="V44" s="86">
        <f>IF(Reeksen!D44&gt;=Reeksen!B44,0,IF(Reeksen!AD44&gt;Reeksen!AE44,(Reeksen!B44-Reeksen!D44)*R44,0))</f>
        <v>0</v>
      </c>
      <c r="W44" s="97">
        <f t="shared" ca="1" si="2"/>
        <v>0</v>
      </c>
      <c r="X44" s="98">
        <f ca="1">IF('Invoer gegevens'!$C$17=E44,'Invoer gegevens'!$C$10-'Invoer gegevens'!$C$11,IF(C44=1,AC43,0))</f>
        <v>0</v>
      </c>
      <c r="Y44" s="98">
        <f ca="1">IF(C44&gt;=1,X44*VLOOKUP(E44,Reeksen!$A$5:$B$76,2),0)</f>
        <v>0</v>
      </c>
      <c r="Z44" s="98">
        <f ca="1">(1-('Invoer gegevens'!$F$20/12))*X44*MIN(Reeksen!B44,Reeksen!D44)</f>
        <v>0</v>
      </c>
      <c r="AA44" s="98">
        <f>IF(Reeksen!D44&gt;=Reeksen!B44,0,IF(Reeksen!AD44&lt;=Reeksen!AE44,(Reeksen!B44-Reeksen!D44)*X44,0))</f>
        <v>0</v>
      </c>
      <c r="AB44" s="98">
        <f>IF(Reeksen!D44&gt;=Reeksen!B44,0,IF(Reeksen!AD44&gt;Reeksen!AE44,(Reeksen!B44-Reeksen!D44)*X44,0))</f>
        <v>0</v>
      </c>
      <c r="AC44" s="99">
        <f t="shared" ca="1" si="3"/>
        <v>0</v>
      </c>
      <c r="AD44" s="98">
        <f ca="1">IF('Invoer gegevens'!$C$17=E44,R44,IF(C44=0,0,AE43))</f>
        <v>0</v>
      </c>
      <c r="AE44" s="98">
        <f t="shared" ca="1" si="4"/>
        <v>0</v>
      </c>
      <c r="AF44" s="98">
        <f ca="1">IF('Invoer gegevens'!$C$17=E44,X44,IF(C44=0,0,AG43))</f>
        <v>0</v>
      </c>
      <c r="AG44" s="98">
        <f t="shared" ca="1" si="5"/>
        <v>0</v>
      </c>
      <c r="AH44" s="66"/>
      <c r="AI44" s="71">
        <f ca="1">IF(C44=1,Reeksen!AI44*((F44-G44+F44)/2)*12+Reeksen!AD44*((L44-M44+L44)/2)*12,0)</f>
        <v>0</v>
      </c>
      <c r="AJ44" s="71">
        <f ca="1">-AI44*'Invoer gegevens'!$F$28</f>
        <v>0</v>
      </c>
      <c r="AK44" s="71">
        <f t="shared" ca="1" si="6"/>
        <v>0</v>
      </c>
      <c r="AL44" s="71">
        <f ca="1">IF(C44=1,Reeksen!AL44*((F44-G44+F44)/2)*12+Reeksen!AM44*((L44-M44+L44)/2)*12,0)</f>
        <v>0</v>
      </c>
      <c r="AM44" s="71">
        <f ca="1">-AL44*'Invoer gegevens'!$F$31</f>
        <v>0</v>
      </c>
      <c r="AN44" s="71">
        <f t="shared" ca="1" si="7"/>
        <v>0</v>
      </c>
      <c r="AO44" s="71">
        <f ca="1">IF(C44=1,(H44+J44+N44+P44)*Reeksen!AN44,0)</f>
        <v>0</v>
      </c>
      <c r="AP44" s="71">
        <f ca="1">-IF(C44=1,(H44+J44+N44+P44)*'Hulp - basis'!$G$550*Reeksen!H44,0)</f>
        <v>0</v>
      </c>
      <c r="AQ44" s="71">
        <f ca="1">-IF(C44=1,(F44+K44+L44+Q44)/2*'Invoer gegevens'!$F$35*Reeksen!J44,0)*2</f>
        <v>0</v>
      </c>
      <c r="AR44" s="71"/>
      <c r="AS44" s="71">
        <f ca="1">-IF(C44=1,(F44+K44+L44+Q44)/2*'Invoer gegevens'!$F$37*Reeksen!L44,0)</f>
        <v>0</v>
      </c>
      <c r="AT44" s="71">
        <f ca="1">-IF(C44=1,IF(E44='Invoer gegevens'!$C$17,'Invoer gegevens'!$C$11,AD44)*Reeksen!S44*'Invoer gegevens'!$C$18*Reeksen!P44,0)</f>
        <v>0</v>
      </c>
      <c r="AU44" s="71">
        <f ca="1">-IF(C44=1,(F44+K44+L44+Q44)/2*'Invoer gegevens'!$F$38*Reeksen!H44,0)</f>
        <v>0</v>
      </c>
      <c r="AV44" s="71">
        <f t="shared" si="11"/>
        <v>0</v>
      </c>
      <c r="AW44" s="71">
        <f t="shared" ca="1" si="8"/>
        <v>0</v>
      </c>
      <c r="AX44" s="71">
        <f ca="1">IF(E44&lt;'Invoer gegevens'!$C$17+15,0,IF(E44&gt;'Invoer gegevens'!$C$17+215,0,AW44))</f>
        <v>0</v>
      </c>
      <c r="AY44" s="71">
        <f ca="1">AX44/(1+'Invoer gegevens'!$F$18)^($AZ44-('Invoer gegevens'!$C$17-'Invoer gegevens'!$C$16))/(1+'Invoer gegevens'!$C$39)^('Invoer gegevens'!$C$17-'Invoer gegevens'!$C$16)</f>
        <v>0</v>
      </c>
      <c r="AZ44" s="68">
        <f ca="1">IF(E44-'Invoer gegevens'!$C$17-14.5&lt;0,0,E44-'Invoer gegevens'!$C$17-14.5)</f>
        <v>24.5</v>
      </c>
    </row>
    <row r="45" spans="1:52" x14ac:dyDescent="0.25">
      <c r="A45" s="59"/>
      <c r="B45" s="70">
        <f t="shared" si="9"/>
        <v>41</v>
      </c>
      <c r="C45" s="67">
        <f ca="1">IF(E45-'Invoer gegevens'!$C$17&lt;0,0,1)</f>
        <v>1</v>
      </c>
      <c r="D45" s="68">
        <f t="shared" si="10"/>
        <v>40.5</v>
      </c>
      <c r="E45" s="69">
        <f ca="1">IF('Invoer gegevens'!$C$16="","",E44+1)</f>
        <v>2059</v>
      </c>
      <c r="F45" s="84">
        <f ca="1">IF('Invoer gegevens'!$C$17=E45,'Invoer gegevens'!$C$10,IF(C45=1,K44,0))</f>
        <v>0</v>
      </c>
      <c r="G45" s="96">
        <f ca="1">IF(C45&gt;=1,F45*VLOOKUP(E45,Reeksen!$A$5:$B$76,2),0)</f>
        <v>0</v>
      </c>
      <c r="H45" s="84">
        <f ca="1">(1-('Invoer gegevens'!$F$20/12))*F45*MIN(Reeksen!B45,Reeksen!D45)</f>
        <v>0</v>
      </c>
      <c r="I45" s="84">
        <f>IF(Reeksen!D45&lt;Reeksen!B45,(Reeksen!B45-Reeksen!D45)*F45,0)</f>
        <v>0</v>
      </c>
      <c r="J45" s="84">
        <f ca="1">('Invoer gegevens'!$F$20/12)*F44*MIN(Reeksen!B44,Reeksen!D44)</f>
        <v>0</v>
      </c>
      <c r="K45" s="97">
        <f t="shared" ca="1" si="0"/>
        <v>0</v>
      </c>
      <c r="L45" s="84">
        <f ca="1">IF('Invoer gegevens'!$C$17=E45,0,IF(C45=1,Q44,0))</f>
        <v>0</v>
      </c>
      <c r="M45" s="96">
        <f ca="1">IF(C45&gt;=1,L45*VLOOKUP(E45,Reeksen!$A$5:$B$76,2),0)</f>
        <v>0</v>
      </c>
      <c r="N45" s="84">
        <f ca="1">(1-('Invoer gegevens'!$F$20/12))*L45*MIN(Reeksen!B45,Reeksen!D45)</f>
        <v>0</v>
      </c>
      <c r="O45" s="84">
        <f>IF(Reeksen!D45&lt;Reeksen!B45,(Reeksen!B45-Reeksen!D45)*L45,0)</f>
        <v>0</v>
      </c>
      <c r="P45" s="84">
        <f ca="1">('Invoer gegevens'!$F$20/12)*L44*MIN(Reeksen!B44,Reeksen!D44)</f>
        <v>0</v>
      </c>
      <c r="Q45" s="84">
        <f t="shared" ca="1" si="1"/>
        <v>0</v>
      </c>
      <c r="R45" s="82">
        <f ca="1">IF('Invoer gegevens'!$C$17=E45,'Invoer gegevens'!$C$11,IF(C45=1,W44,0))</f>
        <v>0</v>
      </c>
      <c r="S45" s="86">
        <f ca="1">IF(C45&gt;=1,R45*VLOOKUP(E45,Reeksen!$A$5:$B$76,2),0)</f>
        <v>0</v>
      </c>
      <c r="T45" s="84">
        <f ca="1">(1-('Invoer gegevens'!$F$20/12))*R45*MIN(Reeksen!B45,Reeksen!D45)</f>
        <v>0</v>
      </c>
      <c r="U45" s="84">
        <f>IF(Reeksen!D45&gt;=Reeksen!B45,0,IF(Reeksen!AD45&lt;=Reeksen!AE45,(Reeksen!B45-Reeksen!D45)*R45,0))</f>
        <v>0</v>
      </c>
      <c r="V45" s="86">
        <f>IF(Reeksen!D45&gt;=Reeksen!B45,0,IF(Reeksen!AD45&gt;Reeksen!AE45,(Reeksen!B45-Reeksen!D45)*R45,0))</f>
        <v>0</v>
      </c>
      <c r="W45" s="97">
        <f t="shared" ca="1" si="2"/>
        <v>0</v>
      </c>
      <c r="X45" s="98">
        <f ca="1">IF('Invoer gegevens'!$C$17=E45,'Invoer gegevens'!$C$10-'Invoer gegevens'!$C$11,IF(C45=1,AC44,0))</f>
        <v>0</v>
      </c>
      <c r="Y45" s="98">
        <f ca="1">IF(C45&gt;=1,X45*VLOOKUP(E45,Reeksen!$A$5:$B$76,2),0)</f>
        <v>0</v>
      </c>
      <c r="Z45" s="98">
        <f ca="1">(1-('Invoer gegevens'!$F$20/12))*X45*MIN(Reeksen!B45,Reeksen!D45)</f>
        <v>0</v>
      </c>
      <c r="AA45" s="98">
        <f>IF(Reeksen!D45&gt;=Reeksen!B45,0,IF(Reeksen!AD45&lt;=Reeksen!AE45,(Reeksen!B45-Reeksen!D45)*X45,0))</f>
        <v>0</v>
      </c>
      <c r="AB45" s="98">
        <f>IF(Reeksen!D45&gt;=Reeksen!B45,0,IF(Reeksen!AD45&gt;Reeksen!AE45,(Reeksen!B45-Reeksen!D45)*X45,0))</f>
        <v>0</v>
      </c>
      <c r="AC45" s="99">
        <f t="shared" ca="1" si="3"/>
        <v>0</v>
      </c>
      <c r="AD45" s="98">
        <f ca="1">IF('Invoer gegevens'!$C$17=E45,R45,IF(C45=0,0,AE44))</f>
        <v>0</v>
      </c>
      <c r="AE45" s="98">
        <f t="shared" ca="1" si="4"/>
        <v>0</v>
      </c>
      <c r="AF45" s="98">
        <f ca="1">IF('Invoer gegevens'!$C$17=E45,X45,IF(C45=0,0,AG44))</f>
        <v>0</v>
      </c>
      <c r="AG45" s="98">
        <f t="shared" ca="1" si="5"/>
        <v>0</v>
      </c>
      <c r="AH45" s="66"/>
      <c r="AI45" s="71">
        <f ca="1">IF(C45=1,Reeksen!AI45*((F45-G45+F45)/2)*12+Reeksen!AD45*((L45-M45+L45)/2)*12,0)</f>
        <v>0</v>
      </c>
      <c r="AJ45" s="71">
        <f ca="1">-AI45*'Invoer gegevens'!$F$28</f>
        <v>0</v>
      </c>
      <c r="AK45" s="71">
        <f t="shared" ca="1" si="6"/>
        <v>0</v>
      </c>
      <c r="AL45" s="71">
        <f ca="1">IF(C45=1,Reeksen!AL45*((F45-G45+F45)/2)*12+Reeksen!AM45*((L45-M45+L45)/2)*12,0)</f>
        <v>0</v>
      </c>
      <c r="AM45" s="71">
        <f ca="1">-AL45*'Invoer gegevens'!$F$31</f>
        <v>0</v>
      </c>
      <c r="AN45" s="71">
        <f t="shared" ca="1" si="7"/>
        <v>0</v>
      </c>
      <c r="AO45" s="71">
        <f ca="1">IF(C45=1,(H45+J45+N45+P45)*Reeksen!AN45,0)</f>
        <v>0</v>
      </c>
      <c r="AP45" s="71">
        <f ca="1">-IF(C45=1,(H45+J45+N45+P45)*'Hulp - basis'!$G$550*Reeksen!H45,0)</f>
        <v>0</v>
      </c>
      <c r="AQ45" s="71">
        <f ca="1">-IF(C45=1,(F45+K45+L45+Q45)/2*'Invoer gegevens'!$F$35*Reeksen!J45,0)*2</f>
        <v>0</v>
      </c>
      <c r="AR45" s="71"/>
      <c r="AS45" s="71">
        <f ca="1">-IF(C45=1,(F45+K45+L45+Q45)/2*'Invoer gegevens'!$F$37*Reeksen!L45,0)</f>
        <v>0</v>
      </c>
      <c r="AT45" s="71">
        <f ca="1">-IF(C45=1,IF(E45='Invoer gegevens'!$C$17,'Invoer gegevens'!$C$11,AD45)*Reeksen!S45*'Invoer gegevens'!$C$18*Reeksen!P45,0)</f>
        <v>0</v>
      </c>
      <c r="AU45" s="71">
        <f ca="1">-IF(C45=1,(F45+K45+L45+Q45)/2*'Invoer gegevens'!$F$38*Reeksen!H45,0)</f>
        <v>0</v>
      </c>
      <c r="AV45" s="71">
        <f t="shared" si="11"/>
        <v>0</v>
      </c>
      <c r="AW45" s="71">
        <f t="shared" ca="1" si="8"/>
        <v>0</v>
      </c>
      <c r="AX45" s="71">
        <f ca="1">IF(E45&lt;'Invoer gegevens'!$C$17+15,0,IF(E45&gt;'Invoer gegevens'!$C$17+215,0,AW45))</f>
        <v>0</v>
      </c>
      <c r="AY45" s="71">
        <f ca="1">AX45/(1+'Invoer gegevens'!$F$18)^($AZ45-('Invoer gegevens'!$C$17-'Invoer gegevens'!$C$16))/(1+'Invoer gegevens'!$C$39)^('Invoer gegevens'!$C$17-'Invoer gegevens'!$C$16)</f>
        <v>0</v>
      </c>
      <c r="AZ45" s="68">
        <f ca="1">IF(E45-'Invoer gegevens'!$C$17-14.5&lt;0,0,E45-'Invoer gegevens'!$C$17-14.5)</f>
        <v>25.5</v>
      </c>
    </row>
    <row r="46" spans="1:52" x14ac:dyDescent="0.25">
      <c r="A46" s="59"/>
      <c r="B46" s="70">
        <f t="shared" si="9"/>
        <v>42</v>
      </c>
      <c r="C46" s="67">
        <f ca="1">IF(E46-'Invoer gegevens'!$C$17&lt;0,0,1)</f>
        <v>1</v>
      </c>
      <c r="D46" s="68">
        <f t="shared" si="10"/>
        <v>41.5</v>
      </c>
      <c r="E46" s="69">
        <f ca="1">IF('Invoer gegevens'!$C$16="","",E45+1)</f>
        <v>2060</v>
      </c>
      <c r="F46" s="84">
        <f ca="1">IF('Invoer gegevens'!$C$17=E46,'Invoer gegevens'!$C$10,IF(C46=1,K45,0))</f>
        <v>0</v>
      </c>
      <c r="G46" s="96">
        <f ca="1">IF(C46&gt;=1,F46*VLOOKUP(E46,Reeksen!$A$5:$B$76,2),0)</f>
        <v>0</v>
      </c>
      <c r="H46" s="84">
        <f ca="1">(1-('Invoer gegevens'!$F$20/12))*F46*MIN(Reeksen!B46,Reeksen!D46)</f>
        <v>0</v>
      </c>
      <c r="I46" s="84">
        <f>IF(Reeksen!D46&lt;Reeksen!B46,(Reeksen!B46-Reeksen!D46)*F46,0)</f>
        <v>0</v>
      </c>
      <c r="J46" s="84">
        <f ca="1">('Invoer gegevens'!$F$20/12)*F45*MIN(Reeksen!B45,Reeksen!D45)</f>
        <v>0</v>
      </c>
      <c r="K46" s="97">
        <f t="shared" ca="1" si="0"/>
        <v>0</v>
      </c>
      <c r="L46" s="84">
        <f ca="1">IF('Invoer gegevens'!$C$17=E46,0,IF(C46=1,Q45,0))</f>
        <v>0</v>
      </c>
      <c r="M46" s="96">
        <f ca="1">IF(C46&gt;=1,L46*VLOOKUP(E46,Reeksen!$A$5:$B$76,2),0)</f>
        <v>0</v>
      </c>
      <c r="N46" s="84">
        <f ca="1">(1-('Invoer gegevens'!$F$20/12))*L46*MIN(Reeksen!B46,Reeksen!D46)</f>
        <v>0</v>
      </c>
      <c r="O46" s="84">
        <f>IF(Reeksen!D46&lt;Reeksen!B46,(Reeksen!B46-Reeksen!D46)*L46,0)</f>
        <v>0</v>
      </c>
      <c r="P46" s="84">
        <f ca="1">('Invoer gegevens'!$F$20/12)*L45*MIN(Reeksen!B45,Reeksen!D45)</f>
        <v>0</v>
      </c>
      <c r="Q46" s="84">
        <f t="shared" ca="1" si="1"/>
        <v>0</v>
      </c>
      <c r="R46" s="82">
        <f ca="1">IF('Invoer gegevens'!$C$17=E46,'Invoer gegevens'!$C$11,IF(C46=1,W45,0))</f>
        <v>0</v>
      </c>
      <c r="S46" s="86">
        <f ca="1">IF(C46&gt;=1,R46*VLOOKUP(E46,Reeksen!$A$5:$B$76,2),0)</f>
        <v>0</v>
      </c>
      <c r="T46" s="84">
        <f ca="1">(1-('Invoer gegevens'!$F$20/12))*R46*MIN(Reeksen!B46,Reeksen!D46)</f>
        <v>0</v>
      </c>
      <c r="U46" s="84">
        <f>IF(Reeksen!D46&gt;=Reeksen!B46,0,IF(Reeksen!AD46&lt;=Reeksen!AE46,(Reeksen!B46-Reeksen!D46)*R46,0))</f>
        <v>0</v>
      </c>
      <c r="V46" s="86">
        <f>IF(Reeksen!D46&gt;=Reeksen!B46,0,IF(Reeksen!AD46&gt;Reeksen!AE46,(Reeksen!B46-Reeksen!D46)*R46,0))</f>
        <v>0</v>
      </c>
      <c r="W46" s="97">
        <f t="shared" ca="1" si="2"/>
        <v>0</v>
      </c>
      <c r="X46" s="98">
        <f ca="1">IF('Invoer gegevens'!$C$17=E46,'Invoer gegevens'!$C$10-'Invoer gegevens'!$C$11,IF(C46=1,AC45,0))</f>
        <v>0</v>
      </c>
      <c r="Y46" s="98">
        <f ca="1">IF(C46&gt;=1,X46*VLOOKUP(E46,Reeksen!$A$5:$B$76,2),0)</f>
        <v>0</v>
      </c>
      <c r="Z46" s="98">
        <f ca="1">(1-('Invoer gegevens'!$F$20/12))*X46*MIN(Reeksen!B46,Reeksen!D46)</f>
        <v>0</v>
      </c>
      <c r="AA46" s="98">
        <f>IF(Reeksen!D46&gt;=Reeksen!B46,0,IF(Reeksen!AD46&lt;=Reeksen!AE46,(Reeksen!B46-Reeksen!D46)*X46,0))</f>
        <v>0</v>
      </c>
      <c r="AB46" s="98">
        <f>IF(Reeksen!D46&gt;=Reeksen!B46,0,IF(Reeksen!AD46&gt;Reeksen!AE46,(Reeksen!B46-Reeksen!D46)*X46,0))</f>
        <v>0</v>
      </c>
      <c r="AC46" s="99">
        <f t="shared" ca="1" si="3"/>
        <v>0</v>
      </c>
      <c r="AD46" s="98">
        <f ca="1">IF('Invoer gegevens'!$C$17=E46,R46,IF(C46=0,0,AE45))</f>
        <v>0</v>
      </c>
      <c r="AE46" s="98">
        <f t="shared" ca="1" si="4"/>
        <v>0</v>
      </c>
      <c r="AF46" s="98">
        <f ca="1">IF('Invoer gegevens'!$C$17=E46,X46,IF(C46=0,0,AG45))</f>
        <v>0</v>
      </c>
      <c r="AG46" s="98">
        <f t="shared" ca="1" si="5"/>
        <v>0</v>
      </c>
      <c r="AH46" s="66"/>
      <c r="AI46" s="71">
        <f ca="1">IF(C46=1,Reeksen!AI46*((F46-G46+F46)/2)*12+Reeksen!AD46*((L46-M46+L46)/2)*12,0)</f>
        <v>0</v>
      </c>
      <c r="AJ46" s="71">
        <f ca="1">-AI46*'Invoer gegevens'!$F$28</f>
        <v>0</v>
      </c>
      <c r="AK46" s="71">
        <f t="shared" ca="1" si="6"/>
        <v>0</v>
      </c>
      <c r="AL46" s="71">
        <f ca="1">IF(C46=1,Reeksen!AL46*((F46-G46+F46)/2)*12+Reeksen!AM46*((L46-M46+L46)/2)*12,0)</f>
        <v>0</v>
      </c>
      <c r="AM46" s="71">
        <f ca="1">-AL46*'Invoer gegevens'!$F$31</f>
        <v>0</v>
      </c>
      <c r="AN46" s="71">
        <f t="shared" ca="1" si="7"/>
        <v>0</v>
      </c>
      <c r="AO46" s="71">
        <f ca="1">IF(C46=1,(H46+J46+N46+P46)*Reeksen!AN46,0)</f>
        <v>0</v>
      </c>
      <c r="AP46" s="71">
        <f ca="1">-IF(C46=1,(H46+J46+N46+P46)*'Hulp - basis'!$G$550*Reeksen!H46,0)</f>
        <v>0</v>
      </c>
      <c r="AQ46" s="71">
        <f ca="1">-IF(C46=1,(F46+K46+L46+Q46)/2*'Invoer gegevens'!$F$35*Reeksen!J46,0)*2</f>
        <v>0</v>
      </c>
      <c r="AR46" s="71"/>
      <c r="AS46" s="71">
        <f ca="1">-IF(C46=1,(F46+K46+L46+Q46)/2*'Invoer gegevens'!$F$37*Reeksen!L46,0)</f>
        <v>0</v>
      </c>
      <c r="AT46" s="71">
        <f ca="1">-IF(C46=1,IF(E46='Invoer gegevens'!$C$17,'Invoer gegevens'!$C$11,AD46)*Reeksen!S46*'Invoer gegevens'!$C$18*Reeksen!P46,0)</f>
        <v>0</v>
      </c>
      <c r="AU46" s="71">
        <f ca="1">-IF(C46=1,(F46+K46+L46+Q46)/2*'Invoer gegevens'!$F$38*Reeksen!H46,0)</f>
        <v>0</v>
      </c>
      <c r="AV46" s="71">
        <f t="shared" si="11"/>
        <v>0</v>
      </c>
      <c r="AW46" s="71">
        <f t="shared" ca="1" si="8"/>
        <v>0</v>
      </c>
      <c r="AX46" s="71">
        <f ca="1">IF(E46&lt;'Invoer gegevens'!$C$17+15,0,IF(E46&gt;'Invoer gegevens'!$C$17+215,0,AW46))</f>
        <v>0</v>
      </c>
      <c r="AY46" s="71">
        <f ca="1">AX46/(1+'Invoer gegevens'!$F$18)^($AZ46-('Invoer gegevens'!$C$17-'Invoer gegevens'!$C$16))/(1+'Invoer gegevens'!$C$39)^('Invoer gegevens'!$C$17-'Invoer gegevens'!$C$16)</f>
        <v>0</v>
      </c>
      <c r="AZ46" s="68">
        <f ca="1">IF(E46-'Invoer gegevens'!$C$17-14.5&lt;0,0,E46-'Invoer gegevens'!$C$17-14.5)</f>
        <v>26.5</v>
      </c>
    </row>
    <row r="47" spans="1:52" x14ac:dyDescent="0.25">
      <c r="A47" s="59"/>
      <c r="B47" s="70">
        <f t="shared" si="9"/>
        <v>43</v>
      </c>
      <c r="C47" s="67">
        <f ca="1">IF(E47-'Invoer gegevens'!$C$17&lt;0,0,1)</f>
        <v>1</v>
      </c>
      <c r="D47" s="68">
        <f t="shared" si="10"/>
        <v>42.5</v>
      </c>
      <c r="E47" s="69">
        <f ca="1">IF('Invoer gegevens'!$C$16="","",E46+1)</f>
        <v>2061</v>
      </c>
      <c r="F47" s="84">
        <f ca="1">IF('Invoer gegevens'!$C$17=E47,'Invoer gegevens'!$C$10,IF(C47=1,K46,0))</f>
        <v>0</v>
      </c>
      <c r="G47" s="96">
        <f ca="1">IF(C47&gt;=1,F47*VLOOKUP(E47,Reeksen!$A$5:$B$76,2),0)</f>
        <v>0</v>
      </c>
      <c r="H47" s="84">
        <f ca="1">(1-('Invoer gegevens'!$F$20/12))*F47*MIN(Reeksen!B47,Reeksen!D47)</f>
        <v>0</v>
      </c>
      <c r="I47" s="84">
        <f>IF(Reeksen!D47&lt;Reeksen!B47,(Reeksen!B47-Reeksen!D47)*F47,0)</f>
        <v>0</v>
      </c>
      <c r="J47" s="84">
        <f ca="1">('Invoer gegevens'!$F$20/12)*F46*MIN(Reeksen!B46,Reeksen!D46)</f>
        <v>0</v>
      </c>
      <c r="K47" s="97">
        <f t="shared" ca="1" si="0"/>
        <v>0</v>
      </c>
      <c r="L47" s="84">
        <f ca="1">IF('Invoer gegevens'!$C$17=E47,0,IF(C47=1,Q46,0))</f>
        <v>0</v>
      </c>
      <c r="M47" s="96">
        <f ca="1">IF(C47&gt;=1,L47*VLOOKUP(E47,Reeksen!$A$5:$B$76,2),0)</f>
        <v>0</v>
      </c>
      <c r="N47" s="84">
        <f ca="1">(1-('Invoer gegevens'!$F$20/12))*L47*MIN(Reeksen!B47,Reeksen!D47)</f>
        <v>0</v>
      </c>
      <c r="O47" s="84">
        <f>IF(Reeksen!D47&lt;Reeksen!B47,(Reeksen!B47-Reeksen!D47)*L47,0)</f>
        <v>0</v>
      </c>
      <c r="P47" s="84">
        <f ca="1">('Invoer gegevens'!$F$20/12)*L46*MIN(Reeksen!B46,Reeksen!D46)</f>
        <v>0</v>
      </c>
      <c r="Q47" s="84">
        <f t="shared" ca="1" si="1"/>
        <v>0</v>
      </c>
      <c r="R47" s="82">
        <f ca="1">IF('Invoer gegevens'!$C$17=E47,'Invoer gegevens'!$C$11,IF(C47=1,W46,0))</f>
        <v>0</v>
      </c>
      <c r="S47" s="86">
        <f ca="1">IF(C47&gt;=1,R47*VLOOKUP(E47,Reeksen!$A$5:$B$76,2),0)</f>
        <v>0</v>
      </c>
      <c r="T47" s="84">
        <f ca="1">(1-('Invoer gegevens'!$F$20/12))*R47*MIN(Reeksen!B47,Reeksen!D47)</f>
        <v>0</v>
      </c>
      <c r="U47" s="84">
        <f>IF(Reeksen!D47&gt;=Reeksen!B47,0,IF(Reeksen!AD47&lt;=Reeksen!AE47,(Reeksen!B47-Reeksen!D47)*R47,0))</f>
        <v>0</v>
      </c>
      <c r="V47" s="86">
        <f>IF(Reeksen!D47&gt;=Reeksen!B47,0,IF(Reeksen!AD47&gt;Reeksen!AE47,(Reeksen!B47-Reeksen!D47)*R47,0))</f>
        <v>0</v>
      </c>
      <c r="W47" s="97">
        <f t="shared" ca="1" si="2"/>
        <v>0</v>
      </c>
      <c r="X47" s="98">
        <f ca="1">IF('Invoer gegevens'!$C$17=E47,'Invoer gegevens'!$C$10-'Invoer gegevens'!$C$11,IF(C47=1,AC46,0))</f>
        <v>0</v>
      </c>
      <c r="Y47" s="98">
        <f ca="1">IF(C47&gt;=1,X47*VLOOKUP(E47,Reeksen!$A$5:$B$76,2),0)</f>
        <v>0</v>
      </c>
      <c r="Z47" s="98">
        <f ca="1">(1-('Invoer gegevens'!$F$20/12))*X47*MIN(Reeksen!B47,Reeksen!D47)</f>
        <v>0</v>
      </c>
      <c r="AA47" s="98">
        <f>IF(Reeksen!D47&gt;=Reeksen!B47,0,IF(Reeksen!AD47&lt;=Reeksen!AE47,(Reeksen!B47-Reeksen!D47)*X47,0))</f>
        <v>0</v>
      </c>
      <c r="AB47" s="98">
        <f>IF(Reeksen!D47&gt;=Reeksen!B47,0,IF(Reeksen!AD47&gt;Reeksen!AE47,(Reeksen!B47-Reeksen!D47)*X47,0))</f>
        <v>0</v>
      </c>
      <c r="AC47" s="99">
        <f t="shared" ca="1" si="3"/>
        <v>0</v>
      </c>
      <c r="AD47" s="98">
        <f ca="1">IF('Invoer gegevens'!$C$17=E47,R47,IF(C47=0,0,AE46))</f>
        <v>0</v>
      </c>
      <c r="AE47" s="98">
        <f t="shared" ca="1" si="4"/>
        <v>0</v>
      </c>
      <c r="AF47" s="98">
        <f ca="1">IF('Invoer gegevens'!$C$17=E47,X47,IF(C47=0,0,AG46))</f>
        <v>0</v>
      </c>
      <c r="AG47" s="98">
        <f t="shared" ca="1" si="5"/>
        <v>0</v>
      </c>
      <c r="AH47" s="66"/>
      <c r="AI47" s="71">
        <f ca="1">IF(C47=1,Reeksen!AI47*((F47-G47+F47)/2)*12+Reeksen!AD47*((L47-M47+L47)/2)*12,0)</f>
        <v>0</v>
      </c>
      <c r="AJ47" s="71">
        <f ca="1">-AI47*'Invoer gegevens'!$F$28</f>
        <v>0</v>
      </c>
      <c r="AK47" s="71">
        <f t="shared" ca="1" si="6"/>
        <v>0</v>
      </c>
      <c r="AL47" s="71">
        <f ca="1">IF(C47=1,Reeksen!AL47*((F47-G47+F47)/2)*12+Reeksen!AM47*((L47-M47+L47)/2)*12,0)</f>
        <v>0</v>
      </c>
      <c r="AM47" s="71">
        <f ca="1">-AL47*'Invoer gegevens'!$F$31</f>
        <v>0</v>
      </c>
      <c r="AN47" s="71">
        <f t="shared" ca="1" si="7"/>
        <v>0</v>
      </c>
      <c r="AO47" s="71">
        <f ca="1">IF(C47=1,(H47+J47+N47+P47)*Reeksen!AN47,0)</f>
        <v>0</v>
      </c>
      <c r="AP47" s="71">
        <f ca="1">-IF(C47=1,(H47+J47+N47+P47)*'Hulp - basis'!$G$550*Reeksen!H47,0)</f>
        <v>0</v>
      </c>
      <c r="AQ47" s="71">
        <f ca="1">-IF(C47=1,(F47+K47+L47+Q47)/2*'Invoer gegevens'!$F$35*Reeksen!J47,0)*2</f>
        <v>0</v>
      </c>
      <c r="AR47" s="71"/>
      <c r="AS47" s="71">
        <f ca="1">-IF(C47=1,(F47+K47+L47+Q47)/2*'Invoer gegevens'!$F$37*Reeksen!L47,0)</f>
        <v>0</v>
      </c>
      <c r="AT47" s="71">
        <f ca="1">-IF(C47=1,IF(E47='Invoer gegevens'!$C$17,'Invoer gegevens'!$C$11,AD47)*Reeksen!S47*'Invoer gegevens'!$C$18*Reeksen!P47,0)</f>
        <v>0</v>
      </c>
      <c r="AU47" s="71">
        <f ca="1">-IF(C47=1,(F47+K47+L47+Q47)/2*'Invoer gegevens'!$F$38*Reeksen!H47,0)</f>
        <v>0</v>
      </c>
      <c r="AV47" s="71">
        <f t="shared" si="11"/>
        <v>0</v>
      </c>
      <c r="AW47" s="71">
        <f t="shared" ca="1" si="8"/>
        <v>0</v>
      </c>
      <c r="AX47" s="71">
        <f ca="1">IF(E47&lt;'Invoer gegevens'!$C$17+15,0,IF(E47&gt;'Invoer gegevens'!$C$17+215,0,AW47))</f>
        <v>0</v>
      </c>
      <c r="AY47" s="71">
        <f ca="1">AX47/(1+'Invoer gegevens'!$F$18)^($AZ47-('Invoer gegevens'!$C$17-'Invoer gegevens'!$C$16))/(1+'Invoer gegevens'!$C$39)^('Invoer gegevens'!$C$17-'Invoer gegevens'!$C$16)</f>
        <v>0</v>
      </c>
      <c r="AZ47" s="68">
        <f ca="1">IF(E47-'Invoer gegevens'!$C$17-14.5&lt;0,0,E47-'Invoer gegevens'!$C$17-14.5)</f>
        <v>27.5</v>
      </c>
    </row>
    <row r="48" spans="1:52" x14ac:dyDescent="0.25">
      <c r="A48" s="59"/>
      <c r="B48" s="70">
        <f t="shared" si="9"/>
        <v>44</v>
      </c>
      <c r="C48" s="67">
        <f ca="1">IF(E48-'Invoer gegevens'!$C$17&lt;0,0,1)</f>
        <v>1</v>
      </c>
      <c r="D48" s="68">
        <f t="shared" si="10"/>
        <v>43.5</v>
      </c>
      <c r="E48" s="69">
        <f ca="1">IF('Invoer gegevens'!$C$16="","",E47+1)</f>
        <v>2062</v>
      </c>
      <c r="F48" s="84">
        <f ca="1">IF('Invoer gegevens'!$C$17=E48,'Invoer gegevens'!$C$10,IF(C48=1,K47,0))</f>
        <v>0</v>
      </c>
      <c r="G48" s="96">
        <f ca="1">IF(C48&gt;=1,F48*VLOOKUP(E48,Reeksen!$A$5:$B$76,2),0)</f>
        <v>0</v>
      </c>
      <c r="H48" s="84">
        <f ca="1">(1-('Invoer gegevens'!$F$20/12))*F48*MIN(Reeksen!B48,Reeksen!D48)</f>
        <v>0</v>
      </c>
      <c r="I48" s="84">
        <f>IF(Reeksen!D48&lt;Reeksen!B48,(Reeksen!B48-Reeksen!D48)*F48,0)</f>
        <v>0</v>
      </c>
      <c r="J48" s="84">
        <f ca="1">('Invoer gegevens'!$F$20/12)*F47*MIN(Reeksen!B47,Reeksen!D47)</f>
        <v>0</v>
      </c>
      <c r="K48" s="97">
        <f t="shared" ca="1" si="0"/>
        <v>0</v>
      </c>
      <c r="L48" s="84">
        <f ca="1">IF('Invoer gegevens'!$C$17=E48,0,IF(C48=1,Q47,0))</f>
        <v>0</v>
      </c>
      <c r="M48" s="96">
        <f ca="1">IF(C48&gt;=1,L48*VLOOKUP(E48,Reeksen!$A$5:$B$76,2),0)</f>
        <v>0</v>
      </c>
      <c r="N48" s="84">
        <f ca="1">(1-('Invoer gegevens'!$F$20/12))*L48*MIN(Reeksen!B48,Reeksen!D48)</f>
        <v>0</v>
      </c>
      <c r="O48" s="84">
        <f>IF(Reeksen!D48&lt;Reeksen!B48,(Reeksen!B48-Reeksen!D48)*L48,0)</f>
        <v>0</v>
      </c>
      <c r="P48" s="84">
        <f ca="1">('Invoer gegevens'!$F$20/12)*L47*MIN(Reeksen!B47,Reeksen!D47)</f>
        <v>0</v>
      </c>
      <c r="Q48" s="84">
        <f t="shared" ca="1" si="1"/>
        <v>0</v>
      </c>
      <c r="R48" s="82">
        <f ca="1">IF('Invoer gegevens'!$C$17=E48,'Invoer gegevens'!$C$11,IF(C48=1,W47,0))</f>
        <v>0</v>
      </c>
      <c r="S48" s="86">
        <f ca="1">IF(C48&gt;=1,R48*VLOOKUP(E48,Reeksen!$A$5:$B$76,2),0)</f>
        <v>0</v>
      </c>
      <c r="T48" s="84">
        <f ca="1">(1-('Invoer gegevens'!$F$20/12))*R48*MIN(Reeksen!B48,Reeksen!D48)</f>
        <v>0</v>
      </c>
      <c r="U48" s="84">
        <f>IF(Reeksen!D48&gt;=Reeksen!B48,0,IF(Reeksen!AD48&lt;=Reeksen!AE48,(Reeksen!B48-Reeksen!D48)*R48,0))</f>
        <v>0</v>
      </c>
      <c r="V48" s="86">
        <f>IF(Reeksen!D48&gt;=Reeksen!B48,0,IF(Reeksen!AD48&gt;Reeksen!AE48,(Reeksen!B48-Reeksen!D48)*R48,0))</f>
        <v>0</v>
      </c>
      <c r="W48" s="97">
        <f t="shared" ca="1" si="2"/>
        <v>0</v>
      </c>
      <c r="X48" s="98">
        <f ca="1">IF('Invoer gegevens'!$C$17=E48,'Invoer gegevens'!$C$10-'Invoer gegevens'!$C$11,IF(C48=1,AC47,0))</f>
        <v>0</v>
      </c>
      <c r="Y48" s="98">
        <f ca="1">IF(C48&gt;=1,X48*VLOOKUP(E48,Reeksen!$A$5:$B$76,2),0)</f>
        <v>0</v>
      </c>
      <c r="Z48" s="98">
        <f ca="1">(1-('Invoer gegevens'!$F$20/12))*X48*MIN(Reeksen!B48,Reeksen!D48)</f>
        <v>0</v>
      </c>
      <c r="AA48" s="98">
        <f>IF(Reeksen!D48&gt;=Reeksen!B48,0,IF(Reeksen!AD48&lt;=Reeksen!AE48,(Reeksen!B48-Reeksen!D48)*X48,0))</f>
        <v>0</v>
      </c>
      <c r="AB48" s="98">
        <f>IF(Reeksen!D48&gt;=Reeksen!B48,0,IF(Reeksen!AD48&gt;Reeksen!AE48,(Reeksen!B48-Reeksen!D48)*X48,0))</f>
        <v>0</v>
      </c>
      <c r="AC48" s="99">
        <f t="shared" ca="1" si="3"/>
        <v>0</v>
      </c>
      <c r="AD48" s="98">
        <f ca="1">IF('Invoer gegevens'!$C$17=E48,R48,IF(C48=0,0,AE47))</f>
        <v>0</v>
      </c>
      <c r="AE48" s="98">
        <f t="shared" ca="1" si="4"/>
        <v>0</v>
      </c>
      <c r="AF48" s="98">
        <f ca="1">IF('Invoer gegevens'!$C$17=E48,X48,IF(C48=0,0,AG47))</f>
        <v>0</v>
      </c>
      <c r="AG48" s="98">
        <f t="shared" ca="1" si="5"/>
        <v>0</v>
      </c>
      <c r="AH48" s="66"/>
      <c r="AI48" s="71">
        <f ca="1">IF(C48=1,Reeksen!AI48*((F48-G48+F48)/2)*12+Reeksen!AD48*((L48-M48+L48)/2)*12,0)</f>
        <v>0</v>
      </c>
      <c r="AJ48" s="71">
        <f ca="1">-AI48*'Invoer gegevens'!$F$28</f>
        <v>0</v>
      </c>
      <c r="AK48" s="71">
        <f t="shared" ca="1" si="6"/>
        <v>0</v>
      </c>
      <c r="AL48" s="71">
        <f ca="1">IF(C48=1,Reeksen!AL48*((F48-G48+F48)/2)*12+Reeksen!AM48*((L48-M48+L48)/2)*12,0)</f>
        <v>0</v>
      </c>
      <c r="AM48" s="71">
        <f ca="1">-AL48*'Invoer gegevens'!$F$31</f>
        <v>0</v>
      </c>
      <c r="AN48" s="71">
        <f t="shared" ca="1" si="7"/>
        <v>0</v>
      </c>
      <c r="AO48" s="71">
        <f ca="1">IF(C48=1,(H48+J48+N48+P48)*Reeksen!AN48,0)</f>
        <v>0</v>
      </c>
      <c r="AP48" s="71">
        <f ca="1">-IF(C48=1,(H48+J48+N48+P48)*'Hulp - basis'!$G$550*Reeksen!H48,0)</f>
        <v>0</v>
      </c>
      <c r="AQ48" s="71">
        <f ca="1">-IF(C48=1,(F48+K48+L48+Q48)/2*'Invoer gegevens'!$F$35*Reeksen!J48,0)*2</f>
        <v>0</v>
      </c>
      <c r="AR48" s="71"/>
      <c r="AS48" s="71">
        <f ca="1">-IF(C48=1,(F48+K48+L48+Q48)/2*'Invoer gegevens'!$F$37*Reeksen!L48,0)</f>
        <v>0</v>
      </c>
      <c r="AT48" s="71">
        <f ca="1">-IF(C48=1,IF(E48='Invoer gegevens'!$C$17,'Invoer gegevens'!$C$11,AD48)*Reeksen!S48*'Invoer gegevens'!$C$18*Reeksen!P48,0)</f>
        <v>0</v>
      </c>
      <c r="AU48" s="71">
        <f ca="1">-IF(C48=1,(F48+K48+L48+Q48)/2*'Invoer gegevens'!$F$38*Reeksen!H48,0)</f>
        <v>0</v>
      </c>
      <c r="AV48" s="71">
        <f t="shared" si="11"/>
        <v>0</v>
      </c>
      <c r="AW48" s="71">
        <f t="shared" ca="1" si="8"/>
        <v>0</v>
      </c>
      <c r="AX48" s="71">
        <f ca="1">IF(E48&lt;'Invoer gegevens'!$C$17+15,0,IF(E48&gt;'Invoer gegevens'!$C$17+215,0,AW48))</f>
        <v>0</v>
      </c>
      <c r="AY48" s="71">
        <f ca="1">AX48/(1+'Invoer gegevens'!$F$18)^($AZ48-('Invoer gegevens'!$C$17-'Invoer gegevens'!$C$16))/(1+'Invoer gegevens'!$C$39)^('Invoer gegevens'!$C$17-'Invoer gegevens'!$C$16)</f>
        <v>0</v>
      </c>
      <c r="AZ48" s="68">
        <f ca="1">IF(E48-'Invoer gegevens'!$C$17-14.5&lt;0,0,E48-'Invoer gegevens'!$C$17-14.5)</f>
        <v>28.5</v>
      </c>
    </row>
    <row r="49" spans="1:52" x14ac:dyDescent="0.25">
      <c r="A49" s="59"/>
      <c r="B49" s="70">
        <f t="shared" si="9"/>
        <v>45</v>
      </c>
      <c r="C49" s="67">
        <f ca="1">IF(E49-'Invoer gegevens'!$C$17&lt;0,0,1)</f>
        <v>1</v>
      </c>
      <c r="D49" s="68">
        <f t="shared" si="10"/>
        <v>44.5</v>
      </c>
      <c r="E49" s="69">
        <f ca="1">IF('Invoer gegevens'!$C$16="","",E48+1)</f>
        <v>2063</v>
      </c>
      <c r="F49" s="84">
        <f ca="1">IF('Invoer gegevens'!$C$17=E49,'Invoer gegevens'!$C$10,IF(C49=1,K48,0))</f>
        <v>0</v>
      </c>
      <c r="G49" s="96">
        <f ca="1">IF(C49&gt;=1,F49*VLOOKUP(E49,Reeksen!$A$5:$B$76,2),0)</f>
        <v>0</v>
      </c>
      <c r="H49" s="84">
        <f ca="1">(1-('Invoer gegevens'!$F$20/12))*F49*MIN(Reeksen!B49,Reeksen!D49)</f>
        <v>0</v>
      </c>
      <c r="I49" s="84">
        <f>IF(Reeksen!D49&lt;Reeksen!B49,(Reeksen!B49-Reeksen!D49)*F49,0)</f>
        <v>0</v>
      </c>
      <c r="J49" s="84">
        <f ca="1">('Invoer gegevens'!$F$20/12)*F48*MIN(Reeksen!B48,Reeksen!D48)</f>
        <v>0</v>
      </c>
      <c r="K49" s="97">
        <f t="shared" ca="1" si="0"/>
        <v>0</v>
      </c>
      <c r="L49" s="84">
        <f ca="1">IF('Invoer gegevens'!$C$17=E49,0,IF(C49=1,Q48,0))</f>
        <v>0</v>
      </c>
      <c r="M49" s="96">
        <f ca="1">IF(C49&gt;=1,L49*VLOOKUP(E49,Reeksen!$A$5:$B$76,2),0)</f>
        <v>0</v>
      </c>
      <c r="N49" s="84">
        <f ca="1">(1-('Invoer gegevens'!$F$20/12))*L49*MIN(Reeksen!B49,Reeksen!D49)</f>
        <v>0</v>
      </c>
      <c r="O49" s="84">
        <f>IF(Reeksen!D49&lt;Reeksen!B49,(Reeksen!B49-Reeksen!D49)*L49,0)</f>
        <v>0</v>
      </c>
      <c r="P49" s="84">
        <f ca="1">('Invoer gegevens'!$F$20/12)*L48*MIN(Reeksen!B48,Reeksen!D48)</f>
        <v>0</v>
      </c>
      <c r="Q49" s="84">
        <f t="shared" ca="1" si="1"/>
        <v>0</v>
      </c>
      <c r="R49" s="82">
        <f ca="1">IF('Invoer gegevens'!$C$17=E49,'Invoer gegevens'!$C$11,IF(C49=1,W48,0))</f>
        <v>0</v>
      </c>
      <c r="S49" s="86">
        <f ca="1">IF(C49&gt;=1,R49*VLOOKUP(E49,Reeksen!$A$5:$B$76,2),0)</f>
        <v>0</v>
      </c>
      <c r="T49" s="84">
        <f ca="1">(1-('Invoer gegevens'!$F$20/12))*R49*MIN(Reeksen!B49,Reeksen!D49)</f>
        <v>0</v>
      </c>
      <c r="U49" s="84">
        <f>IF(Reeksen!D49&gt;=Reeksen!B49,0,IF(Reeksen!AD49&lt;=Reeksen!AE49,(Reeksen!B49-Reeksen!D49)*R49,0))</f>
        <v>0</v>
      </c>
      <c r="V49" s="86">
        <f>IF(Reeksen!D49&gt;=Reeksen!B49,0,IF(Reeksen!AD49&gt;Reeksen!AE49,(Reeksen!B49-Reeksen!D49)*R49,0))</f>
        <v>0</v>
      </c>
      <c r="W49" s="97">
        <f t="shared" ca="1" si="2"/>
        <v>0</v>
      </c>
      <c r="X49" s="98">
        <f ca="1">IF('Invoer gegevens'!$C$17=E49,'Invoer gegevens'!$C$10-'Invoer gegevens'!$C$11,IF(C49=1,AC48,0))</f>
        <v>0</v>
      </c>
      <c r="Y49" s="98">
        <f ca="1">IF(C49&gt;=1,X49*VLOOKUP(E49,Reeksen!$A$5:$B$76,2),0)</f>
        <v>0</v>
      </c>
      <c r="Z49" s="98">
        <f ca="1">(1-('Invoer gegevens'!$F$20/12))*X49*MIN(Reeksen!B49,Reeksen!D49)</f>
        <v>0</v>
      </c>
      <c r="AA49" s="98">
        <f>IF(Reeksen!D49&gt;=Reeksen!B49,0,IF(Reeksen!AD49&lt;=Reeksen!AE49,(Reeksen!B49-Reeksen!D49)*X49,0))</f>
        <v>0</v>
      </c>
      <c r="AB49" s="98">
        <f>IF(Reeksen!D49&gt;=Reeksen!B49,0,IF(Reeksen!AD49&gt;Reeksen!AE49,(Reeksen!B49-Reeksen!D49)*X49,0))</f>
        <v>0</v>
      </c>
      <c r="AC49" s="99">
        <f t="shared" ca="1" si="3"/>
        <v>0</v>
      </c>
      <c r="AD49" s="98">
        <f ca="1">IF('Invoer gegevens'!$C$17=E49,R49,IF(C49=0,0,AE48))</f>
        <v>0</v>
      </c>
      <c r="AE49" s="98">
        <f t="shared" ca="1" si="4"/>
        <v>0</v>
      </c>
      <c r="AF49" s="98">
        <f ca="1">IF('Invoer gegevens'!$C$17=E49,X49,IF(C49=0,0,AG48))</f>
        <v>0</v>
      </c>
      <c r="AG49" s="98">
        <f t="shared" ca="1" si="5"/>
        <v>0</v>
      </c>
      <c r="AH49" s="66"/>
      <c r="AI49" s="71">
        <f ca="1">IF(C49=1,Reeksen!AI49*((F49-G49+F49)/2)*12+Reeksen!AD49*((L49-M49+L49)/2)*12,0)</f>
        <v>0</v>
      </c>
      <c r="AJ49" s="71">
        <f ca="1">-AI49*'Invoer gegevens'!$F$28</f>
        <v>0</v>
      </c>
      <c r="AK49" s="71">
        <f t="shared" ca="1" si="6"/>
        <v>0</v>
      </c>
      <c r="AL49" s="71">
        <f ca="1">IF(C49=1,Reeksen!AL49*((F49-G49+F49)/2)*12+Reeksen!AM49*((L49-M49+L49)/2)*12,0)</f>
        <v>0</v>
      </c>
      <c r="AM49" s="71">
        <f ca="1">-AL49*'Invoer gegevens'!$F$31</f>
        <v>0</v>
      </c>
      <c r="AN49" s="71">
        <f t="shared" ca="1" si="7"/>
        <v>0</v>
      </c>
      <c r="AO49" s="71">
        <f ca="1">IF(C49=1,(H49+J49+N49+P49)*Reeksen!AN49,0)</f>
        <v>0</v>
      </c>
      <c r="AP49" s="71">
        <f ca="1">-IF(C49=1,(H49+J49+N49+P49)*'Hulp - basis'!$G$550*Reeksen!H49,0)</f>
        <v>0</v>
      </c>
      <c r="AQ49" s="71">
        <f ca="1">-IF(C49=1,(F49+K49+L49+Q49)/2*'Invoer gegevens'!$F$35*Reeksen!J49,0)*2</f>
        <v>0</v>
      </c>
      <c r="AR49" s="71"/>
      <c r="AS49" s="71">
        <f ca="1">-IF(C49=1,(F49+K49+L49+Q49)/2*'Invoer gegevens'!$F$37*Reeksen!L49,0)</f>
        <v>0</v>
      </c>
      <c r="AT49" s="71">
        <f ca="1">-IF(C49=1,IF(E49='Invoer gegevens'!$C$17,'Invoer gegevens'!$C$11,AD49)*Reeksen!S49*'Invoer gegevens'!$C$18*Reeksen!P49,0)</f>
        <v>0</v>
      </c>
      <c r="AU49" s="71">
        <f ca="1">-IF(C49=1,(F49+K49+L49+Q49)/2*'Invoer gegevens'!$F$38*Reeksen!H49,0)</f>
        <v>0</v>
      </c>
      <c r="AV49" s="71">
        <f t="shared" si="11"/>
        <v>0</v>
      </c>
      <c r="AW49" s="71">
        <f t="shared" ca="1" si="8"/>
        <v>0</v>
      </c>
      <c r="AX49" s="71">
        <f ca="1">IF(E49&lt;'Invoer gegevens'!$C$17+15,0,IF(E49&gt;'Invoer gegevens'!$C$17+215,0,AW49))</f>
        <v>0</v>
      </c>
      <c r="AY49" s="71">
        <f ca="1">AX49/(1+'Invoer gegevens'!$F$18)^($AZ49-('Invoer gegevens'!$C$17-'Invoer gegevens'!$C$16))/(1+'Invoer gegevens'!$C$39)^('Invoer gegevens'!$C$17-'Invoer gegevens'!$C$16)</f>
        <v>0</v>
      </c>
      <c r="AZ49" s="68">
        <f ca="1">IF(E49-'Invoer gegevens'!$C$17-14.5&lt;0,0,E49-'Invoer gegevens'!$C$17-14.5)</f>
        <v>29.5</v>
      </c>
    </row>
    <row r="50" spans="1:52" x14ac:dyDescent="0.25">
      <c r="A50" s="59"/>
      <c r="B50" s="70">
        <f t="shared" si="9"/>
        <v>46</v>
      </c>
      <c r="C50" s="67">
        <f ca="1">IF(E50-'Invoer gegevens'!$C$17&lt;0,0,1)</f>
        <v>1</v>
      </c>
      <c r="D50" s="68">
        <f t="shared" si="10"/>
        <v>45.5</v>
      </c>
      <c r="E50" s="69">
        <f ca="1">IF('Invoer gegevens'!$C$16="","",E49+1)</f>
        <v>2064</v>
      </c>
      <c r="F50" s="84">
        <f ca="1">IF('Invoer gegevens'!$C$17=E50,'Invoer gegevens'!$C$10,IF(C50=1,K49,0))</f>
        <v>0</v>
      </c>
      <c r="G50" s="96">
        <f ca="1">IF(C50&gt;=1,F50*VLOOKUP(E50,Reeksen!$A$5:$B$76,2),0)</f>
        <v>0</v>
      </c>
      <c r="H50" s="84">
        <f ca="1">(1-('Invoer gegevens'!$F$20/12))*F50*MIN(Reeksen!B50,Reeksen!D50)</f>
        <v>0</v>
      </c>
      <c r="I50" s="84">
        <f>IF(Reeksen!D50&lt;Reeksen!B50,(Reeksen!B50-Reeksen!D50)*F50,0)</f>
        <v>0</v>
      </c>
      <c r="J50" s="84">
        <f ca="1">('Invoer gegevens'!$F$20/12)*F49*MIN(Reeksen!B49,Reeksen!D49)</f>
        <v>0</v>
      </c>
      <c r="K50" s="97">
        <f t="shared" ca="1" si="0"/>
        <v>0</v>
      </c>
      <c r="L50" s="84">
        <f ca="1">IF('Invoer gegevens'!$C$17=E50,0,IF(C50=1,Q49,0))</f>
        <v>0</v>
      </c>
      <c r="M50" s="96">
        <f ca="1">IF(C50&gt;=1,L50*VLOOKUP(E50,Reeksen!$A$5:$B$76,2),0)</f>
        <v>0</v>
      </c>
      <c r="N50" s="84">
        <f ca="1">(1-('Invoer gegevens'!$F$20/12))*L50*MIN(Reeksen!B50,Reeksen!D50)</f>
        <v>0</v>
      </c>
      <c r="O50" s="84">
        <f>IF(Reeksen!D50&lt;Reeksen!B50,(Reeksen!B50-Reeksen!D50)*L50,0)</f>
        <v>0</v>
      </c>
      <c r="P50" s="84">
        <f ca="1">('Invoer gegevens'!$F$20/12)*L49*MIN(Reeksen!B49,Reeksen!D49)</f>
        <v>0</v>
      </c>
      <c r="Q50" s="84">
        <f t="shared" ca="1" si="1"/>
        <v>0</v>
      </c>
      <c r="R50" s="82">
        <f ca="1">IF('Invoer gegevens'!$C$17=E50,'Invoer gegevens'!$C$11,IF(C50=1,W49,0))</f>
        <v>0</v>
      </c>
      <c r="S50" s="86">
        <f ca="1">IF(C50&gt;=1,R50*VLOOKUP(E50,Reeksen!$A$5:$B$76,2),0)</f>
        <v>0</v>
      </c>
      <c r="T50" s="84">
        <f ca="1">(1-('Invoer gegevens'!$F$20/12))*R50*MIN(Reeksen!B50,Reeksen!D50)</f>
        <v>0</v>
      </c>
      <c r="U50" s="84">
        <f>IF(Reeksen!D50&gt;=Reeksen!B50,0,IF(Reeksen!AD50&lt;=Reeksen!AE50,(Reeksen!B50-Reeksen!D50)*R50,0))</f>
        <v>0</v>
      </c>
      <c r="V50" s="86">
        <f>IF(Reeksen!D50&gt;=Reeksen!B50,0,IF(Reeksen!AD50&gt;Reeksen!AE50,(Reeksen!B50-Reeksen!D50)*R50,0))</f>
        <v>0</v>
      </c>
      <c r="W50" s="97">
        <f t="shared" ca="1" si="2"/>
        <v>0</v>
      </c>
      <c r="X50" s="98">
        <f ca="1">IF('Invoer gegevens'!$C$17=E50,'Invoer gegevens'!$C$10-'Invoer gegevens'!$C$11,IF(C50=1,AC49,0))</f>
        <v>0</v>
      </c>
      <c r="Y50" s="98">
        <f ca="1">IF(C50&gt;=1,X50*VLOOKUP(E50,Reeksen!$A$5:$B$76,2),0)</f>
        <v>0</v>
      </c>
      <c r="Z50" s="98">
        <f ca="1">(1-('Invoer gegevens'!$F$20/12))*X50*MIN(Reeksen!B50,Reeksen!D50)</f>
        <v>0</v>
      </c>
      <c r="AA50" s="98">
        <f>IF(Reeksen!D50&gt;=Reeksen!B50,0,IF(Reeksen!AD50&lt;=Reeksen!AE50,(Reeksen!B50-Reeksen!D50)*X50,0))</f>
        <v>0</v>
      </c>
      <c r="AB50" s="98">
        <f>IF(Reeksen!D50&gt;=Reeksen!B50,0,IF(Reeksen!AD50&gt;Reeksen!AE50,(Reeksen!B50-Reeksen!D50)*X50,0))</f>
        <v>0</v>
      </c>
      <c r="AC50" s="99">
        <f t="shared" ca="1" si="3"/>
        <v>0</v>
      </c>
      <c r="AD50" s="98">
        <f ca="1">IF('Invoer gegevens'!$C$17=E50,R50,IF(C50=0,0,AE49))</f>
        <v>0</v>
      </c>
      <c r="AE50" s="98">
        <f t="shared" ca="1" si="4"/>
        <v>0</v>
      </c>
      <c r="AF50" s="98">
        <f ca="1">IF('Invoer gegevens'!$C$17=E50,X50,IF(C50=0,0,AG49))</f>
        <v>0</v>
      </c>
      <c r="AG50" s="98">
        <f t="shared" ca="1" si="5"/>
        <v>0</v>
      </c>
      <c r="AH50" s="66"/>
      <c r="AI50" s="71">
        <f ca="1">IF(C50=1,Reeksen!AI50*((F50-G50+F50)/2)*12+Reeksen!AD50*((L50-M50+L50)/2)*12,0)</f>
        <v>0</v>
      </c>
      <c r="AJ50" s="71">
        <f ca="1">-AI50*'Invoer gegevens'!$F$28</f>
        <v>0</v>
      </c>
      <c r="AK50" s="71">
        <f t="shared" ca="1" si="6"/>
        <v>0</v>
      </c>
      <c r="AL50" s="71">
        <f ca="1">IF(C50=1,Reeksen!AL50*((F50-G50+F50)/2)*12+Reeksen!AM50*((L50-M50+L50)/2)*12,0)</f>
        <v>0</v>
      </c>
      <c r="AM50" s="71">
        <f ca="1">-AL50*'Invoer gegevens'!$F$31</f>
        <v>0</v>
      </c>
      <c r="AN50" s="71">
        <f t="shared" ca="1" si="7"/>
        <v>0</v>
      </c>
      <c r="AO50" s="71">
        <f ca="1">IF(C50=1,(H50+J50+N50+P50)*Reeksen!AN50,0)</f>
        <v>0</v>
      </c>
      <c r="AP50" s="71">
        <f ca="1">-IF(C50=1,(H50+J50+N50+P50)*'Hulp - basis'!$G$550*Reeksen!H50,0)</f>
        <v>0</v>
      </c>
      <c r="AQ50" s="71">
        <f ca="1">-IF(C50=1,(F50+K50+L50+Q50)/2*'Invoer gegevens'!$F$35*Reeksen!J50,0)*2</f>
        <v>0</v>
      </c>
      <c r="AR50" s="71"/>
      <c r="AS50" s="71">
        <f ca="1">-IF(C50=1,(F50+K50+L50+Q50)/2*'Invoer gegevens'!$F$37*Reeksen!L50,0)</f>
        <v>0</v>
      </c>
      <c r="AT50" s="71">
        <f ca="1">-IF(C50=1,IF(E50='Invoer gegevens'!$C$17,'Invoer gegevens'!$C$11,AD50)*Reeksen!S50*'Invoer gegevens'!$C$18*Reeksen!P50,0)</f>
        <v>0</v>
      </c>
      <c r="AU50" s="71">
        <f ca="1">-IF(C50=1,(F50+K50+L50+Q50)/2*'Invoer gegevens'!$F$38*Reeksen!H50,0)</f>
        <v>0</v>
      </c>
      <c r="AV50" s="71">
        <f t="shared" si="11"/>
        <v>0</v>
      </c>
      <c r="AW50" s="71">
        <f t="shared" ca="1" si="8"/>
        <v>0</v>
      </c>
      <c r="AX50" s="71">
        <f ca="1">IF(E50&lt;'Invoer gegevens'!$C$17+15,0,IF(E50&gt;'Invoer gegevens'!$C$17+215,0,AW50))</f>
        <v>0</v>
      </c>
      <c r="AY50" s="71">
        <f ca="1">AX50/(1+'Invoer gegevens'!$F$18)^($AZ50-('Invoer gegevens'!$C$17-'Invoer gegevens'!$C$16))/(1+'Invoer gegevens'!$C$39)^('Invoer gegevens'!$C$17-'Invoer gegevens'!$C$16)</f>
        <v>0</v>
      </c>
      <c r="AZ50" s="68">
        <f ca="1">IF(E50-'Invoer gegevens'!$C$17-14.5&lt;0,0,E50-'Invoer gegevens'!$C$17-14.5)</f>
        <v>30.5</v>
      </c>
    </row>
    <row r="51" spans="1:52" x14ac:dyDescent="0.25">
      <c r="A51" s="59"/>
      <c r="B51" s="70">
        <f t="shared" si="9"/>
        <v>47</v>
      </c>
      <c r="C51" s="67">
        <f ca="1">IF(E51-'Invoer gegevens'!$C$17&lt;0,0,1)</f>
        <v>1</v>
      </c>
      <c r="D51" s="68">
        <f t="shared" si="10"/>
        <v>46.5</v>
      </c>
      <c r="E51" s="69">
        <f ca="1">IF('Invoer gegevens'!$C$16="","",E50+1)</f>
        <v>2065</v>
      </c>
      <c r="F51" s="84">
        <f ca="1">IF('Invoer gegevens'!$C$17=E51,'Invoer gegevens'!$C$10,IF(C51=1,K50,0))</f>
        <v>0</v>
      </c>
      <c r="G51" s="96">
        <f ca="1">IF(C51&gt;=1,F51*VLOOKUP(E51,Reeksen!$A$5:$B$76,2),0)</f>
        <v>0</v>
      </c>
      <c r="H51" s="84">
        <f ca="1">(1-('Invoer gegevens'!$F$20/12))*F51*MIN(Reeksen!B51,Reeksen!D51)</f>
        <v>0</v>
      </c>
      <c r="I51" s="84">
        <f>IF(Reeksen!D51&lt;Reeksen!B51,(Reeksen!B51-Reeksen!D51)*F51,0)</f>
        <v>0</v>
      </c>
      <c r="J51" s="84">
        <f ca="1">('Invoer gegevens'!$F$20/12)*F50*MIN(Reeksen!B50,Reeksen!D50)</f>
        <v>0</v>
      </c>
      <c r="K51" s="97">
        <f t="shared" ca="1" si="0"/>
        <v>0</v>
      </c>
      <c r="L51" s="84">
        <f ca="1">IF('Invoer gegevens'!$C$17=E51,0,IF(C51=1,Q50,0))</f>
        <v>0</v>
      </c>
      <c r="M51" s="96">
        <f ca="1">IF(C51&gt;=1,L51*VLOOKUP(E51,Reeksen!$A$5:$B$76,2),0)</f>
        <v>0</v>
      </c>
      <c r="N51" s="84">
        <f ca="1">(1-('Invoer gegevens'!$F$20/12))*L51*MIN(Reeksen!B51,Reeksen!D51)</f>
        <v>0</v>
      </c>
      <c r="O51" s="84">
        <f>IF(Reeksen!D51&lt;Reeksen!B51,(Reeksen!B51-Reeksen!D51)*L51,0)</f>
        <v>0</v>
      </c>
      <c r="P51" s="84">
        <f ca="1">('Invoer gegevens'!$F$20/12)*L50*MIN(Reeksen!B50,Reeksen!D50)</f>
        <v>0</v>
      </c>
      <c r="Q51" s="84">
        <f t="shared" ca="1" si="1"/>
        <v>0</v>
      </c>
      <c r="R51" s="82">
        <f ca="1">IF('Invoer gegevens'!$C$17=E51,'Invoer gegevens'!$C$11,IF(C51=1,W50,0))</f>
        <v>0</v>
      </c>
      <c r="S51" s="86">
        <f ca="1">IF(C51&gt;=1,R51*VLOOKUP(E51,Reeksen!$A$5:$B$76,2),0)</f>
        <v>0</v>
      </c>
      <c r="T51" s="84">
        <f ca="1">(1-('Invoer gegevens'!$F$20/12))*R51*MIN(Reeksen!B51,Reeksen!D51)</f>
        <v>0</v>
      </c>
      <c r="U51" s="84">
        <f>IF(Reeksen!D51&gt;=Reeksen!B51,0,IF(Reeksen!AD51&lt;=Reeksen!AE51,(Reeksen!B51-Reeksen!D51)*R51,0))</f>
        <v>0</v>
      </c>
      <c r="V51" s="86">
        <f>IF(Reeksen!D51&gt;=Reeksen!B51,0,IF(Reeksen!AD51&gt;Reeksen!AE51,(Reeksen!B51-Reeksen!D51)*R51,0))</f>
        <v>0</v>
      </c>
      <c r="W51" s="97">
        <f t="shared" ca="1" si="2"/>
        <v>0</v>
      </c>
      <c r="X51" s="98">
        <f ca="1">IF('Invoer gegevens'!$C$17=E51,'Invoer gegevens'!$C$10-'Invoer gegevens'!$C$11,IF(C51=1,AC50,0))</f>
        <v>0</v>
      </c>
      <c r="Y51" s="98">
        <f ca="1">IF(C51&gt;=1,X51*VLOOKUP(E51,Reeksen!$A$5:$B$76,2),0)</f>
        <v>0</v>
      </c>
      <c r="Z51" s="98">
        <f ca="1">(1-('Invoer gegevens'!$F$20/12))*X51*MIN(Reeksen!B51,Reeksen!D51)</f>
        <v>0</v>
      </c>
      <c r="AA51" s="98">
        <f>IF(Reeksen!D51&gt;=Reeksen!B51,0,IF(Reeksen!AD51&lt;=Reeksen!AE51,(Reeksen!B51-Reeksen!D51)*X51,0))</f>
        <v>0</v>
      </c>
      <c r="AB51" s="98">
        <f>IF(Reeksen!D51&gt;=Reeksen!B51,0,IF(Reeksen!AD51&gt;Reeksen!AE51,(Reeksen!B51-Reeksen!D51)*X51,0))</f>
        <v>0</v>
      </c>
      <c r="AC51" s="99">
        <f t="shared" ca="1" si="3"/>
        <v>0</v>
      </c>
      <c r="AD51" s="98">
        <f ca="1">IF('Invoer gegevens'!$C$17=E51,R51,IF(C51=0,0,AE50))</f>
        <v>0</v>
      </c>
      <c r="AE51" s="98">
        <f t="shared" ca="1" si="4"/>
        <v>0</v>
      </c>
      <c r="AF51" s="98">
        <f ca="1">IF('Invoer gegevens'!$C$17=E51,X51,IF(C51=0,0,AG50))</f>
        <v>0</v>
      </c>
      <c r="AG51" s="98">
        <f t="shared" ca="1" si="5"/>
        <v>0</v>
      </c>
      <c r="AH51" s="66"/>
      <c r="AI51" s="71">
        <f ca="1">IF(C51=1,Reeksen!AI51*((F51-G51+F51)/2)*12+Reeksen!AD51*((L51-M51+L51)/2)*12,0)</f>
        <v>0</v>
      </c>
      <c r="AJ51" s="71">
        <f ca="1">-AI51*'Invoer gegevens'!$F$28</f>
        <v>0</v>
      </c>
      <c r="AK51" s="71">
        <f t="shared" ca="1" si="6"/>
        <v>0</v>
      </c>
      <c r="AL51" s="71">
        <f ca="1">IF(C51=1,Reeksen!AL51*((F51-G51+F51)/2)*12+Reeksen!AM51*((L51-M51+L51)/2)*12,0)</f>
        <v>0</v>
      </c>
      <c r="AM51" s="71">
        <f ca="1">-AL51*'Invoer gegevens'!$F$31</f>
        <v>0</v>
      </c>
      <c r="AN51" s="71">
        <f t="shared" ca="1" si="7"/>
        <v>0</v>
      </c>
      <c r="AO51" s="71">
        <f ca="1">IF(C51=1,(H51+J51+N51+P51)*Reeksen!AN51,0)</f>
        <v>0</v>
      </c>
      <c r="AP51" s="71">
        <f ca="1">-IF(C51=1,(H51+J51+N51+P51)*'Hulp - basis'!$G$550*Reeksen!H51,0)</f>
        <v>0</v>
      </c>
      <c r="AQ51" s="71">
        <f ca="1">-IF(C51=1,(F51+K51+L51+Q51)/2*'Invoer gegevens'!$F$35*Reeksen!J51,0)*2</f>
        <v>0</v>
      </c>
      <c r="AR51" s="71"/>
      <c r="AS51" s="71">
        <f ca="1">-IF(C51=1,(F51+K51+L51+Q51)/2*'Invoer gegevens'!$F$37*Reeksen!L51,0)</f>
        <v>0</v>
      </c>
      <c r="AT51" s="71">
        <f ca="1">-IF(C51=1,IF(E51='Invoer gegevens'!$C$17,'Invoer gegevens'!$C$11,AD51)*Reeksen!S51*'Invoer gegevens'!$C$18*Reeksen!P51,0)</f>
        <v>0</v>
      </c>
      <c r="AU51" s="71">
        <f ca="1">-IF(C51=1,(F51+K51+L51+Q51)/2*'Invoer gegevens'!$F$38*Reeksen!H51,0)</f>
        <v>0</v>
      </c>
      <c r="AV51" s="71">
        <f t="shared" si="11"/>
        <v>0</v>
      </c>
      <c r="AW51" s="71">
        <f t="shared" ca="1" si="8"/>
        <v>0</v>
      </c>
      <c r="AX51" s="71">
        <f ca="1">IF(E51&lt;'Invoer gegevens'!$C$17+15,0,IF(E51&gt;'Invoer gegevens'!$C$17+215,0,AW51))</f>
        <v>0</v>
      </c>
      <c r="AY51" s="71">
        <f ca="1">AX51/(1+'Invoer gegevens'!$F$18)^($AZ51-('Invoer gegevens'!$C$17-'Invoer gegevens'!$C$16))/(1+'Invoer gegevens'!$C$39)^('Invoer gegevens'!$C$17-'Invoer gegevens'!$C$16)</f>
        <v>0</v>
      </c>
      <c r="AZ51" s="68">
        <f ca="1">IF(E51-'Invoer gegevens'!$C$17-14.5&lt;0,0,E51-'Invoer gegevens'!$C$17-14.5)</f>
        <v>31.5</v>
      </c>
    </row>
    <row r="52" spans="1:52" x14ac:dyDescent="0.25">
      <c r="A52" s="59"/>
      <c r="B52" s="70">
        <f t="shared" si="9"/>
        <v>48</v>
      </c>
      <c r="C52" s="67">
        <f ca="1">IF(E52-'Invoer gegevens'!$C$17&lt;0,0,1)</f>
        <v>1</v>
      </c>
      <c r="D52" s="68">
        <f t="shared" si="10"/>
        <v>47.5</v>
      </c>
      <c r="E52" s="69">
        <f ca="1">IF('Invoer gegevens'!$C$16="","",E51+1)</f>
        <v>2066</v>
      </c>
      <c r="F52" s="84">
        <f ca="1">IF('Invoer gegevens'!$C$17=E52,'Invoer gegevens'!$C$10,IF(C52=1,K51,0))</f>
        <v>0</v>
      </c>
      <c r="G52" s="96">
        <f ca="1">IF(C52&gt;=1,F52*VLOOKUP(E52,Reeksen!$A$5:$B$76,2),0)</f>
        <v>0</v>
      </c>
      <c r="H52" s="84">
        <f ca="1">(1-('Invoer gegevens'!$F$20/12))*F52*MIN(Reeksen!B52,Reeksen!D52)</f>
        <v>0</v>
      </c>
      <c r="I52" s="84">
        <f>IF(Reeksen!D52&lt;Reeksen!B52,(Reeksen!B52-Reeksen!D52)*F52,0)</f>
        <v>0</v>
      </c>
      <c r="J52" s="84">
        <f ca="1">('Invoer gegevens'!$F$20/12)*F51*MIN(Reeksen!B51,Reeksen!D51)</f>
        <v>0</v>
      </c>
      <c r="K52" s="97">
        <f t="shared" ca="1" si="0"/>
        <v>0</v>
      </c>
      <c r="L52" s="84">
        <f ca="1">IF('Invoer gegevens'!$C$17=E52,0,IF(C52=1,Q51,0))</f>
        <v>0</v>
      </c>
      <c r="M52" s="96">
        <f ca="1">IF(C52&gt;=1,L52*VLOOKUP(E52,Reeksen!$A$5:$B$76,2),0)</f>
        <v>0</v>
      </c>
      <c r="N52" s="84">
        <f ca="1">(1-('Invoer gegevens'!$F$20/12))*L52*MIN(Reeksen!B52,Reeksen!D52)</f>
        <v>0</v>
      </c>
      <c r="O52" s="84">
        <f>IF(Reeksen!D52&lt;Reeksen!B52,(Reeksen!B52-Reeksen!D52)*L52,0)</f>
        <v>0</v>
      </c>
      <c r="P52" s="84">
        <f ca="1">('Invoer gegevens'!$F$20/12)*L51*MIN(Reeksen!B51,Reeksen!D51)</f>
        <v>0</v>
      </c>
      <c r="Q52" s="84">
        <f t="shared" ca="1" si="1"/>
        <v>0</v>
      </c>
      <c r="R52" s="82">
        <f ca="1">IF('Invoer gegevens'!$C$17=E52,'Invoer gegevens'!$C$11,IF(C52=1,W51,0))</f>
        <v>0</v>
      </c>
      <c r="S52" s="86">
        <f ca="1">IF(C52&gt;=1,R52*VLOOKUP(E52,Reeksen!$A$5:$B$76,2),0)</f>
        <v>0</v>
      </c>
      <c r="T52" s="84">
        <f ca="1">(1-('Invoer gegevens'!$F$20/12))*R52*MIN(Reeksen!B52,Reeksen!D52)</f>
        <v>0</v>
      </c>
      <c r="U52" s="84">
        <f>IF(Reeksen!D52&gt;=Reeksen!B52,0,IF(Reeksen!AD52&lt;=Reeksen!AE52,(Reeksen!B52-Reeksen!D52)*R52,0))</f>
        <v>0</v>
      </c>
      <c r="V52" s="86">
        <f>IF(Reeksen!D52&gt;=Reeksen!B52,0,IF(Reeksen!AD52&gt;Reeksen!AE52,(Reeksen!B52-Reeksen!D52)*R52,0))</f>
        <v>0</v>
      </c>
      <c r="W52" s="97">
        <f t="shared" ca="1" si="2"/>
        <v>0</v>
      </c>
      <c r="X52" s="98">
        <f ca="1">IF('Invoer gegevens'!$C$17=E52,'Invoer gegevens'!$C$10-'Invoer gegevens'!$C$11,IF(C52=1,AC51,0))</f>
        <v>0</v>
      </c>
      <c r="Y52" s="98">
        <f ca="1">IF(C52&gt;=1,X52*VLOOKUP(E52,Reeksen!$A$5:$B$76,2),0)</f>
        <v>0</v>
      </c>
      <c r="Z52" s="98">
        <f ca="1">(1-('Invoer gegevens'!$F$20/12))*X52*MIN(Reeksen!B52,Reeksen!D52)</f>
        <v>0</v>
      </c>
      <c r="AA52" s="98">
        <f>IF(Reeksen!D52&gt;=Reeksen!B52,0,IF(Reeksen!AD52&lt;=Reeksen!AE52,(Reeksen!B52-Reeksen!D52)*X52,0))</f>
        <v>0</v>
      </c>
      <c r="AB52" s="98">
        <f>IF(Reeksen!D52&gt;=Reeksen!B52,0,IF(Reeksen!AD52&gt;Reeksen!AE52,(Reeksen!B52-Reeksen!D52)*X52,0))</f>
        <v>0</v>
      </c>
      <c r="AC52" s="99">
        <f t="shared" ca="1" si="3"/>
        <v>0</v>
      </c>
      <c r="AD52" s="98">
        <f ca="1">IF('Invoer gegevens'!$C$17=E52,R52,IF(C52=0,0,AE51))</f>
        <v>0</v>
      </c>
      <c r="AE52" s="98">
        <f t="shared" ca="1" si="4"/>
        <v>0</v>
      </c>
      <c r="AF52" s="98">
        <f ca="1">IF('Invoer gegevens'!$C$17=E52,X52,IF(C52=0,0,AG51))</f>
        <v>0</v>
      </c>
      <c r="AG52" s="98">
        <f t="shared" ca="1" si="5"/>
        <v>0</v>
      </c>
      <c r="AH52" s="66"/>
      <c r="AI52" s="71">
        <f ca="1">IF(C52=1,Reeksen!AI52*((F52-G52+F52)/2)*12+Reeksen!AD52*((L52-M52+L52)/2)*12,0)</f>
        <v>0</v>
      </c>
      <c r="AJ52" s="71">
        <f ca="1">-AI52*'Invoer gegevens'!$F$28</f>
        <v>0</v>
      </c>
      <c r="AK52" s="71">
        <f t="shared" ca="1" si="6"/>
        <v>0</v>
      </c>
      <c r="AL52" s="71">
        <f ca="1">IF(C52=1,Reeksen!AL52*((F52-G52+F52)/2)*12+Reeksen!AM52*((L52-M52+L52)/2)*12,0)</f>
        <v>0</v>
      </c>
      <c r="AM52" s="71">
        <f ca="1">-AL52*'Invoer gegevens'!$F$31</f>
        <v>0</v>
      </c>
      <c r="AN52" s="71">
        <f t="shared" ca="1" si="7"/>
        <v>0</v>
      </c>
      <c r="AO52" s="71">
        <f ca="1">IF(C52=1,(H52+J52+N52+P52)*Reeksen!AN52,0)</f>
        <v>0</v>
      </c>
      <c r="AP52" s="71">
        <f ca="1">-IF(C52=1,(H52+J52+N52+P52)*'Hulp - basis'!$G$550*Reeksen!H52,0)</f>
        <v>0</v>
      </c>
      <c r="AQ52" s="71">
        <f ca="1">-IF(C52=1,(F52+K52+L52+Q52)/2*'Invoer gegevens'!$F$35*Reeksen!J52,0)*2</f>
        <v>0</v>
      </c>
      <c r="AR52" s="71"/>
      <c r="AS52" s="71">
        <f ca="1">-IF(C52=1,(F52+K52+L52+Q52)/2*'Invoer gegevens'!$F$37*Reeksen!L52,0)</f>
        <v>0</v>
      </c>
      <c r="AT52" s="71">
        <f ca="1">-IF(C52=1,IF(E52='Invoer gegevens'!$C$17,'Invoer gegevens'!$C$11,AD52)*Reeksen!S52*'Invoer gegevens'!$C$18*Reeksen!P52,0)</f>
        <v>0</v>
      </c>
      <c r="AU52" s="71">
        <f ca="1">-IF(C52=1,(F52+K52+L52+Q52)/2*'Invoer gegevens'!$F$38*Reeksen!H52,0)</f>
        <v>0</v>
      </c>
      <c r="AV52" s="71">
        <f t="shared" si="11"/>
        <v>0</v>
      </c>
      <c r="AW52" s="71">
        <f t="shared" ca="1" si="8"/>
        <v>0</v>
      </c>
      <c r="AX52" s="71">
        <f ca="1">IF(E52&lt;'Invoer gegevens'!$C$17+15,0,IF(E52&gt;'Invoer gegevens'!$C$17+215,0,AW52))</f>
        <v>0</v>
      </c>
      <c r="AY52" s="71">
        <f ca="1">AX52/(1+'Invoer gegevens'!$F$18)^($AZ52-('Invoer gegevens'!$C$17-'Invoer gegevens'!$C$16))/(1+'Invoer gegevens'!$C$39)^('Invoer gegevens'!$C$17-'Invoer gegevens'!$C$16)</f>
        <v>0</v>
      </c>
      <c r="AZ52" s="68">
        <f ca="1">IF(E52-'Invoer gegevens'!$C$17-14.5&lt;0,0,E52-'Invoer gegevens'!$C$17-14.5)</f>
        <v>32.5</v>
      </c>
    </row>
    <row r="53" spans="1:52" x14ac:dyDescent="0.25">
      <c r="A53" s="59"/>
      <c r="B53" s="70">
        <f t="shared" si="9"/>
        <v>49</v>
      </c>
      <c r="C53" s="67">
        <f ca="1">IF(E53-'Invoer gegevens'!$C$17&lt;0,0,1)</f>
        <v>1</v>
      </c>
      <c r="D53" s="68">
        <f t="shared" si="10"/>
        <v>48.5</v>
      </c>
      <c r="E53" s="69">
        <f ca="1">IF('Invoer gegevens'!$C$16="","",E52+1)</f>
        <v>2067</v>
      </c>
      <c r="F53" s="84">
        <f ca="1">IF('Invoer gegevens'!$C$17=E53,'Invoer gegevens'!$C$10,IF(C53=1,K52,0))</f>
        <v>0</v>
      </c>
      <c r="G53" s="96">
        <f ca="1">IF(C53&gt;=1,F53*VLOOKUP(E53,Reeksen!$A$5:$B$76,2),0)</f>
        <v>0</v>
      </c>
      <c r="H53" s="84">
        <f ca="1">(1-('Invoer gegevens'!$F$20/12))*F53*MIN(Reeksen!B53,Reeksen!D53)</f>
        <v>0</v>
      </c>
      <c r="I53" s="84">
        <f>IF(Reeksen!D53&lt;Reeksen!B53,(Reeksen!B53-Reeksen!D53)*F53,0)</f>
        <v>0</v>
      </c>
      <c r="J53" s="84">
        <f ca="1">('Invoer gegevens'!$F$20/12)*F52*MIN(Reeksen!B52,Reeksen!D52)</f>
        <v>0</v>
      </c>
      <c r="K53" s="97">
        <f t="shared" ca="1" si="0"/>
        <v>0</v>
      </c>
      <c r="L53" s="84">
        <f ca="1">IF('Invoer gegevens'!$C$17=E53,0,IF(C53=1,Q52,0))</f>
        <v>0</v>
      </c>
      <c r="M53" s="96">
        <f ca="1">IF(C53&gt;=1,L53*VLOOKUP(E53,Reeksen!$A$5:$B$76,2),0)</f>
        <v>0</v>
      </c>
      <c r="N53" s="84">
        <f ca="1">(1-('Invoer gegevens'!$F$20/12))*L53*MIN(Reeksen!B53,Reeksen!D53)</f>
        <v>0</v>
      </c>
      <c r="O53" s="84">
        <f>IF(Reeksen!D53&lt;Reeksen!B53,(Reeksen!B53-Reeksen!D53)*L53,0)</f>
        <v>0</v>
      </c>
      <c r="P53" s="84">
        <f ca="1">('Invoer gegevens'!$F$20/12)*L52*MIN(Reeksen!B52,Reeksen!D52)</f>
        <v>0</v>
      </c>
      <c r="Q53" s="84">
        <f t="shared" ca="1" si="1"/>
        <v>0</v>
      </c>
      <c r="R53" s="82">
        <f ca="1">IF('Invoer gegevens'!$C$17=E53,'Invoer gegevens'!$C$11,IF(C53=1,W52,0))</f>
        <v>0</v>
      </c>
      <c r="S53" s="86">
        <f ca="1">IF(C53&gt;=1,R53*VLOOKUP(E53,Reeksen!$A$5:$B$76,2),0)</f>
        <v>0</v>
      </c>
      <c r="T53" s="84">
        <f ca="1">(1-('Invoer gegevens'!$F$20/12))*R53*MIN(Reeksen!B53,Reeksen!D53)</f>
        <v>0</v>
      </c>
      <c r="U53" s="84">
        <f>IF(Reeksen!D53&gt;=Reeksen!B53,0,IF(Reeksen!AD53&lt;=Reeksen!AE53,(Reeksen!B53-Reeksen!D53)*R53,0))</f>
        <v>0</v>
      </c>
      <c r="V53" s="86">
        <f>IF(Reeksen!D53&gt;=Reeksen!B53,0,IF(Reeksen!AD53&gt;Reeksen!AE53,(Reeksen!B53-Reeksen!D53)*R53,0))</f>
        <v>0</v>
      </c>
      <c r="W53" s="97">
        <f t="shared" ca="1" si="2"/>
        <v>0</v>
      </c>
      <c r="X53" s="98">
        <f ca="1">IF('Invoer gegevens'!$C$17=E53,'Invoer gegevens'!$C$10-'Invoer gegevens'!$C$11,IF(C53=1,AC52,0))</f>
        <v>0</v>
      </c>
      <c r="Y53" s="98">
        <f ca="1">IF(C53&gt;=1,X53*VLOOKUP(E53,Reeksen!$A$5:$B$76,2),0)</f>
        <v>0</v>
      </c>
      <c r="Z53" s="98">
        <f ca="1">(1-('Invoer gegevens'!$F$20/12))*X53*MIN(Reeksen!B53,Reeksen!D53)</f>
        <v>0</v>
      </c>
      <c r="AA53" s="98">
        <f>IF(Reeksen!D53&gt;=Reeksen!B53,0,IF(Reeksen!AD53&lt;=Reeksen!AE53,(Reeksen!B53-Reeksen!D53)*X53,0))</f>
        <v>0</v>
      </c>
      <c r="AB53" s="98">
        <f>IF(Reeksen!D53&gt;=Reeksen!B53,0,IF(Reeksen!AD53&gt;Reeksen!AE53,(Reeksen!B53-Reeksen!D53)*X53,0))</f>
        <v>0</v>
      </c>
      <c r="AC53" s="99">
        <f t="shared" ca="1" si="3"/>
        <v>0</v>
      </c>
      <c r="AD53" s="98">
        <f ca="1">IF('Invoer gegevens'!$C$17=E53,R53,IF(C53=0,0,AE52))</f>
        <v>0</v>
      </c>
      <c r="AE53" s="98">
        <f t="shared" ca="1" si="4"/>
        <v>0</v>
      </c>
      <c r="AF53" s="98">
        <f ca="1">IF('Invoer gegevens'!$C$17=E53,X53,IF(C53=0,0,AG52))</f>
        <v>0</v>
      </c>
      <c r="AG53" s="98">
        <f t="shared" ca="1" si="5"/>
        <v>0</v>
      </c>
      <c r="AH53" s="66"/>
      <c r="AI53" s="71">
        <f ca="1">IF(C53=1,Reeksen!AI53*((F53-G53+F53)/2)*12+Reeksen!AD53*((L53-M53+L53)/2)*12,0)</f>
        <v>0</v>
      </c>
      <c r="AJ53" s="71">
        <f ca="1">-AI53*'Invoer gegevens'!$F$28</f>
        <v>0</v>
      </c>
      <c r="AK53" s="71">
        <f t="shared" ca="1" si="6"/>
        <v>0</v>
      </c>
      <c r="AL53" s="71">
        <f ca="1">IF(C53=1,Reeksen!AL53*((F53-G53+F53)/2)*12+Reeksen!AM53*((L53-M53+L53)/2)*12,0)</f>
        <v>0</v>
      </c>
      <c r="AM53" s="71">
        <f ca="1">-AL53*'Invoer gegevens'!$F$31</f>
        <v>0</v>
      </c>
      <c r="AN53" s="71">
        <f t="shared" ca="1" si="7"/>
        <v>0</v>
      </c>
      <c r="AO53" s="71">
        <f ca="1">IF(C53=1,(H53+J53+N53+P53)*Reeksen!AN53,0)</f>
        <v>0</v>
      </c>
      <c r="AP53" s="71">
        <f ca="1">-IF(C53=1,(H53+J53+N53+P53)*'Hulp - basis'!$G$550*Reeksen!H53,0)</f>
        <v>0</v>
      </c>
      <c r="AQ53" s="71">
        <f ca="1">-IF(C53=1,(F53+K53+L53+Q53)/2*'Invoer gegevens'!$F$35*Reeksen!J53,0)*2</f>
        <v>0</v>
      </c>
      <c r="AR53" s="71"/>
      <c r="AS53" s="71">
        <f ca="1">-IF(C53=1,(F53+K53+L53+Q53)/2*'Invoer gegevens'!$F$37*Reeksen!L53,0)</f>
        <v>0</v>
      </c>
      <c r="AT53" s="71">
        <f ca="1">-IF(C53=1,IF(E53='Invoer gegevens'!$C$17,'Invoer gegevens'!$C$11,AD53)*Reeksen!S53*'Invoer gegevens'!$C$18*Reeksen!P53,0)</f>
        <v>0</v>
      </c>
      <c r="AU53" s="71">
        <f ca="1">-IF(C53=1,(F53+K53+L53+Q53)/2*'Invoer gegevens'!$F$38*Reeksen!H53,0)</f>
        <v>0</v>
      </c>
      <c r="AV53" s="71">
        <f t="shared" si="11"/>
        <v>0</v>
      </c>
      <c r="AW53" s="71">
        <f t="shared" ca="1" si="8"/>
        <v>0</v>
      </c>
      <c r="AX53" s="71">
        <f ca="1">IF(E53&lt;'Invoer gegevens'!$C$17+15,0,IF(E53&gt;'Invoer gegevens'!$C$17+215,0,AW53))</f>
        <v>0</v>
      </c>
      <c r="AY53" s="71">
        <f ca="1">AX53/(1+'Invoer gegevens'!$F$18)^($AZ53-('Invoer gegevens'!$C$17-'Invoer gegevens'!$C$16))/(1+'Invoer gegevens'!$C$39)^('Invoer gegevens'!$C$17-'Invoer gegevens'!$C$16)</f>
        <v>0</v>
      </c>
      <c r="AZ53" s="68">
        <f ca="1">IF(E53-'Invoer gegevens'!$C$17-14.5&lt;0,0,E53-'Invoer gegevens'!$C$17-14.5)</f>
        <v>33.5</v>
      </c>
    </row>
    <row r="54" spans="1:52" x14ac:dyDescent="0.25">
      <c r="A54" s="59"/>
      <c r="B54" s="70">
        <f t="shared" si="9"/>
        <v>50</v>
      </c>
      <c r="C54" s="67">
        <f ca="1">IF(E54-'Invoer gegevens'!$C$17&lt;0,0,1)</f>
        <v>1</v>
      </c>
      <c r="D54" s="68">
        <f t="shared" si="10"/>
        <v>49.5</v>
      </c>
      <c r="E54" s="69">
        <f ca="1">IF('Invoer gegevens'!$C$16="","",E53+1)</f>
        <v>2068</v>
      </c>
      <c r="F54" s="84">
        <f ca="1">IF('Invoer gegevens'!$C$17=E54,'Invoer gegevens'!$C$10,IF(C54=1,K53,0))</f>
        <v>0</v>
      </c>
      <c r="G54" s="96">
        <f ca="1">IF(C54&gt;=1,F54*VLOOKUP(E54,Reeksen!$A$5:$B$76,2),0)</f>
        <v>0</v>
      </c>
      <c r="H54" s="84">
        <f ca="1">(1-('Invoer gegevens'!$F$20/12))*F54*MIN(Reeksen!B54,Reeksen!D54)</f>
        <v>0</v>
      </c>
      <c r="I54" s="84">
        <f>IF(Reeksen!D54&lt;Reeksen!B54,(Reeksen!B54-Reeksen!D54)*F54,0)</f>
        <v>0</v>
      </c>
      <c r="J54" s="84">
        <f ca="1">('Invoer gegevens'!$F$20/12)*F53*MIN(Reeksen!B53,Reeksen!D53)</f>
        <v>0</v>
      </c>
      <c r="K54" s="97">
        <f t="shared" ca="1" si="0"/>
        <v>0</v>
      </c>
      <c r="L54" s="84">
        <f ca="1">IF('Invoer gegevens'!$C$17=E54,0,IF(C54=1,Q53,0))</f>
        <v>0</v>
      </c>
      <c r="M54" s="96">
        <f ca="1">IF(C54&gt;=1,L54*VLOOKUP(E54,Reeksen!$A$5:$B$76,2),0)</f>
        <v>0</v>
      </c>
      <c r="N54" s="84">
        <f ca="1">(1-('Invoer gegevens'!$F$20/12))*L54*MIN(Reeksen!B54,Reeksen!D54)</f>
        <v>0</v>
      </c>
      <c r="O54" s="84">
        <f>IF(Reeksen!D54&lt;Reeksen!B54,(Reeksen!B54-Reeksen!D54)*L54,0)</f>
        <v>0</v>
      </c>
      <c r="P54" s="84">
        <f ca="1">('Invoer gegevens'!$F$20/12)*L53*MIN(Reeksen!B53,Reeksen!D53)</f>
        <v>0</v>
      </c>
      <c r="Q54" s="84">
        <f t="shared" ca="1" si="1"/>
        <v>0</v>
      </c>
      <c r="R54" s="82">
        <f ca="1">IF('Invoer gegevens'!$C$17=E54,'Invoer gegevens'!$C$11,IF(C54=1,W53,0))</f>
        <v>0</v>
      </c>
      <c r="S54" s="86">
        <f ca="1">IF(C54&gt;=1,R54*VLOOKUP(E54,Reeksen!$A$5:$B$76,2),0)</f>
        <v>0</v>
      </c>
      <c r="T54" s="84">
        <f ca="1">(1-('Invoer gegevens'!$F$20/12))*R54*MIN(Reeksen!B54,Reeksen!D54)</f>
        <v>0</v>
      </c>
      <c r="U54" s="84">
        <f>IF(Reeksen!D54&gt;=Reeksen!B54,0,IF(Reeksen!AD54&lt;=Reeksen!AE54,(Reeksen!B54-Reeksen!D54)*R54,0))</f>
        <v>0</v>
      </c>
      <c r="V54" s="86">
        <f>IF(Reeksen!D54&gt;=Reeksen!B54,0,IF(Reeksen!AD54&gt;Reeksen!AE54,(Reeksen!B54-Reeksen!D54)*R54,0))</f>
        <v>0</v>
      </c>
      <c r="W54" s="97">
        <f t="shared" ca="1" si="2"/>
        <v>0</v>
      </c>
      <c r="X54" s="98">
        <f ca="1">IF('Invoer gegevens'!$C$17=E54,'Invoer gegevens'!$C$10-'Invoer gegevens'!$C$11,IF(C54=1,AC53,0))</f>
        <v>0</v>
      </c>
      <c r="Y54" s="98">
        <f ca="1">IF(C54&gt;=1,X54*VLOOKUP(E54,Reeksen!$A$5:$B$76,2),0)</f>
        <v>0</v>
      </c>
      <c r="Z54" s="98">
        <f ca="1">(1-('Invoer gegevens'!$F$20/12))*X54*MIN(Reeksen!B54,Reeksen!D54)</f>
        <v>0</v>
      </c>
      <c r="AA54" s="98">
        <f>IF(Reeksen!D54&gt;=Reeksen!B54,0,IF(Reeksen!AD54&lt;=Reeksen!AE54,(Reeksen!B54-Reeksen!D54)*X54,0))</f>
        <v>0</v>
      </c>
      <c r="AB54" s="98">
        <f>IF(Reeksen!D54&gt;=Reeksen!B54,0,IF(Reeksen!AD54&gt;Reeksen!AE54,(Reeksen!B54-Reeksen!D54)*X54,0))</f>
        <v>0</v>
      </c>
      <c r="AC54" s="99">
        <f t="shared" ca="1" si="3"/>
        <v>0</v>
      </c>
      <c r="AD54" s="98">
        <f ca="1">IF('Invoer gegevens'!$C$17=E54,R54,IF(C54=0,0,AE53))</f>
        <v>0</v>
      </c>
      <c r="AE54" s="98">
        <f t="shared" ca="1" si="4"/>
        <v>0</v>
      </c>
      <c r="AF54" s="98">
        <f ca="1">IF('Invoer gegevens'!$C$17=E54,X54,IF(C54=0,0,AG53))</f>
        <v>0</v>
      </c>
      <c r="AG54" s="98">
        <f t="shared" ca="1" si="5"/>
        <v>0</v>
      </c>
      <c r="AH54" s="66"/>
      <c r="AI54" s="71">
        <f ca="1">IF(C54=1,Reeksen!AI54*((F54-G54+F54)/2)*12+Reeksen!AD54*((L54-M54+L54)/2)*12,0)</f>
        <v>0</v>
      </c>
      <c r="AJ54" s="71">
        <f ca="1">-AI54*'Invoer gegevens'!$F$28</f>
        <v>0</v>
      </c>
      <c r="AK54" s="71">
        <f t="shared" ca="1" si="6"/>
        <v>0</v>
      </c>
      <c r="AL54" s="71">
        <f ca="1">IF(C54=1,Reeksen!AL54*((F54-G54+F54)/2)*12+Reeksen!AM54*((L54-M54+L54)/2)*12,0)</f>
        <v>0</v>
      </c>
      <c r="AM54" s="71">
        <f ca="1">-AL54*'Invoer gegevens'!$F$31</f>
        <v>0</v>
      </c>
      <c r="AN54" s="71">
        <f t="shared" ca="1" si="7"/>
        <v>0</v>
      </c>
      <c r="AO54" s="71">
        <f ca="1">IF(C54=1,(H54+J54+N54+P54)*Reeksen!AN54,0)</f>
        <v>0</v>
      </c>
      <c r="AP54" s="71">
        <f ca="1">-IF(C54=1,(H54+J54+N54+P54)*'Hulp - basis'!$G$550*Reeksen!H54,0)</f>
        <v>0</v>
      </c>
      <c r="AQ54" s="71">
        <f ca="1">-IF(C54=1,(F54+K54+L54+Q54)/2*'Invoer gegevens'!$F$35*Reeksen!J54,0)*2</f>
        <v>0</v>
      </c>
      <c r="AR54" s="71"/>
      <c r="AS54" s="71">
        <f ca="1">-IF(C54=1,(F54+K54+L54+Q54)/2*'Invoer gegevens'!$F$37*Reeksen!L54,0)</f>
        <v>0</v>
      </c>
      <c r="AT54" s="71">
        <f ca="1">-IF(C54=1,IF(E54='Invoer gegevens'!$C$17,'Invoer gegevens'!$C$11,AD54)*Reeksen!S54*'Invoer gegevens'!$C$18*Reeksen!P54,0)</f>
        <v>0</v>
      </c>
      <c r="AU54" s="71">
        <f ca="1">-IF(C54=1,(F54+K54+L54+Q54)/2*'Invoer gegevens'!$F$38*Reeksen!H54,0)</f>
        <v>0</v>
      </c>
      <c r="AV54" s="71">
        <f t="shared" si="11"/>
        <v>0</v>
      </c>
      <c r="AW54" s="71">
        <f t="shared" ca="1" si="8"/>
        <v>0</v>
      </c>
      <c r="AX54" s="71">
        <f ca="1">IF(E54&lt;'Invoer gegevens'!$C$17+15,0,IF(E54&gt;'Invoer gegevens'!$C$17+215,0,AW54))</f>
        <v>0</v>
      </c>
      <c r="AY54" s="71">
        <f ca="1">AX54/(1+'Invoer gegevens'!$F$18)^($AZ54-('Invoer gegevens'!$C$17-'Invoer gegevens'!$C$16))/(1+'Invoer gegevens'!$C$39)^('Invoer gegevens'!$C$17-'Invoer gegevens'!$C$16)</f>
        <v>0</v>
      </c>
      <c r="AZ54" s="68">
        <f ca="1">IF(E54-'Invoer gegevens'!$C$17-14.5&lt;0,0,E54-'Invoer gegevens'!$C$17-14.5)</f>
        <v>34.5</v>
      </c>
    </row>
    <row r="55" spans="1:52" x14ac:dyDescent="0.25">
      <c r="A55" s="59"/>
      <c r="B55" s="70">
        <f t="shared" si="9"/>
        <v>51</v>
      </c>
      <c r="C55" s="67">
        <f ca="1">IF(E55-'Invoer gegevens'!$C$17&lt;0,0,1)</f>
        <v>1</v>
      </c>
      <c r="D55" s="68">
        <f t="shared" si="10"/>
        <v>50.5</v>
      </c>
      <c r="E55" s="69">
        <f ca="1">IF('Invoer gegevens'!$C$16="","",E54+1)</f>
        <v>2069</v>
      </c>
      <c r="F55" s="84">
        <f ca="1">IF('Invoer gegevens'!$C$17=E55,'Invoer gegevens'!$C$10,IF(C55=1,K54,0))</f>
        <v>0</v>
      </c>
      <c r="G55" s="96">
        <f ca="1">IF(C55&gt;=1,F55*VLOOKUP(E55,Reeksen!$A$5:$B$76,2),0)</f>
        <v>0</v>
      </c>
      <c r="H55" s="84">
        <f ca="1">(1-('Invoer gegevens'!$F$20/12))*F55*MIN(Reeksen!B55,Reeksen!D55)</f>
        <v>0</v>
      </c>
      <c r="I55" s="84">
        <f>IF(Reeksen!D55&lt;Reeksen!B55,(Reeksen!B55-Reeksen!D55)*F55,0)</f>
        <v>0</v>
      </c>
      <c r="J55" s="84">
        <f ca="1">('Invoer gegevens'!$F$20/12)*F54*MIN(Reeksen!B54,Reeksen!D54)</f>
        <v>0</v>
      </c>
      <c r="K55" s="97">
        <f t="shared" ca="1" si="0"/>
        <v>0</v>
      </c>
      <c r="L55" s="84">
        <f ca="1">IF('Invoer gegevens'!$C$17=E55,0,IF(C55=1,Q54,0))</f>
        <v>0</v>
      </c>
      <c r="M55" s="96">
        <f ca="1">IF(C55&gt;=1,L55*VLOOKUP(E55,Reeksen!$A$5:$B$76,2),0)</f>
        <v>0</v>
      </c>
      <c r="N55" s="84">
        <f ca="1">(1-('Invoer gegevens'!$F$20/12))*L55*MIN(Reeksen!B55,Reeksen!D55)</f>
        <v>0</v>
      </c>
      <c r="O55" s="84">
        <f>IF(Reeksen!D55&lt;Reeksen!B55,(Reeksen!B55-Reeksen!D55)*L55,0)</f>
        <v>0</v>
      </c>
      <c r="P55" s="84">
        <f ca="1">('Invoer gegevens'!$F$20/12)*L54*MIN(Reeksen!B54,Reeksen!D54)</f>
        <v>0</v>
      </c>
      <c r="Q55" s="84">
        <f t="shared" ca="1" si="1"/>
        <v>0</v>
      </c>
      <c r="R55" s="82">
        <f ca="1">IF('Invoer gegevens'!$C$17=E55,'Invoer gegevens'!$C$11,IF(C55=1,W54,0))</f>
        <v>0</v>
      </c>
      <c r="S55" s="86">
        <f ca="1">IF(C55&gt;=1,R55*VLOOKUP(E55,Reeksen!$A$5:$B$76,2),0)</f>
        <v>0</v>
      </c>
      <c r="T55" s="84">
        <f ca="1">(1-('Invoer gegevens'!$F$20/12))*R55*MIN(Reeksen!B55,Reeksen!D55)</f>
        <v>0</v>
      </c>
      <c r="U55" s="84">
        <f>IF(Reeksen!D55&gt;=Reeksen!B55,0,IF(Reeksen!AD55&lt;=Reeksen!AE55,(Reeksen!B55-Reeksen!D55)*R55,0))</f>
        <v>0</v>
      </c>
      <c r="V55" s="86">
        <f>IF(Reeksen!D55&gt;=Reeksen!B55,0,IF(Reeksen!AD55&gt;Reeksen!AE55,(Reeksen!B55-Reeksen!D55)*R55,0))</f>
        <v>0</v>
      </c>
      <c r="W55" s="97">
        <f t="shared" ca="1" si="2"/>
        <v>0</v>
      </c>
      <c r="X55" s="98">
        <f ca="1">IF('Invoer gegevens'!$C$17=E55,'Invoer gegevens'!$C$10-'Invoer gegevens'!$C$11,IF(C55=1,AC54,0))</f>
        <v>0</v>
      </c>
      <c r="Y55" s="98">
        <f ca="1">IF(C55&gt;=1,X55*VLOOKUP(E55,Reeksen!$A$5:$B$76,2),0)</f>
        <v>0</v>
      </c>
      <c r="Z55" s="98">
        <f ca="1">(1-('Invoer gegevens'!$F$20/12))*X55*MIN(Reeksen!B55,Reeksen!D55)</f>
        <v>0</v>
      </c>
      <c r="AA55" s="98">
        <f>IF(Reeksen!D55&gt;=Reeksen!B55,0,IF(Reeksen!AD55&lt;=Reeksen!AE55,(Reeksen!B55-Reeksen!D55)*X55,0))</f>
        <v>0</v>
      </c>
      <c r="AB55" s="98">
        <f>IF(Reeksen!D55&gt;=Reeksen!B55,0,IF(Reeksen!AD55&gt;Reeksen!AE55,(Reeksen!B55-Reeksen!D55)*X55,0))</f>
        <v>0</v>
      </c>
      <c r="AC55" s="99">
        <f t="shared" ca="1" si="3"/>
        <v>0</v>
      </c>
      <c r="AD55" s="98">
        <f ca="1">IF('Invoer gegevens'!$C$17=E55,R55,IF(C55=0,0,AE54))</f>
        <v>0</v>
      </c>
      <c r="AE55" s="98">
        <f t="shared" ca="1" si="4"/>
        <v>0</v>
      </c>
      <c r="AF55" s="98">
        <f ca="1">IF('Invoer gegevens'!$C$17=E55,X55,IF(C55=0,0,AG54))</f>
        <v>0</v>
      </c>
      <c r="AG55" s="98">
        <f t="shared" ca="1" si="5"/>
        <v>0</v>
      </c>
      <c r="AH55" s="66"/>
      <c r="AI55" s="71">
        <f ca="1">IF(C55=1,Reeksen!AI55*((F55-G55+F55)/2)*12+Reeksen!AD55*((L55-M55+L55)/2)*12,0)</f>
        <v>0</v>
      </c>
      <c r="AJ55" s="71">
        <f ca="1">-AI55*'Invoer gegevens'!$F$28</f>
        <v>0</v>
      </c>
      <c r="AK55" s="71">
        <f t="shared" ca="1" si="6"/>
        <v>0</v>
      </c>
      <c r="AL55" s="71">
        <f ca="1">IF(C55=1,Reeksen!AL55*((F55-G55+F55)/2)*12+Reeksen!AM55*((L55-M55+L55)/2)*12,0)</f>
        <v>0</v>
      </c>
      <c r="AM55" s="71">
        <f ca="1">-AL55*'Invoer gegevens'!$F$31</f>
        <v>0</v>
      </c>
      <c r="AN55" s="71">
        <f t="shared" ca="1" si="7"/>
        <v>0</v>
      </c>
      <c r="AO55" s="71">
        <f ca="1">IF(C55=1,(H55+J55+N55+P55)*Reeksen!AN55,0)</f>
        <v>0</v>
      </c>
      <c r="AP55" s="71">
        <f ca="1">-IF(C55=1,(H55+J55+N55+P55)*'Hulp - basis'!$G$550*Reeksen!H55,0)</f>
        <v>0</v>
      </c>
      <c r="AQ55" s="71">
        <f ca="1">-IF(C55=1,(F55+K55+L55+Q55)/2*'Invoer gegevens'!$F$35*Reeksen!J55,0)*2</f>
        <v>0</v>
      </c>
      <c r="AR55" s="71"/>
      <c r="AS55" s="71">
        <f ca="1">-IF(C55=1,(F55+K55+L55+Q55)/2*'Invoer gegevens'!$F$37*Reeksen!L55,0)</f>
        <v>0</v>
      </c>
      <c r="AT55" s="71">
        <f ca="1">-IF(C55=1,IF(E55='Invoer gegevens'!$C$17,'Invoer gegevens'!$C$11,AD55)*Reeksen!S55*'Invoer gegevens'!$C$18*Reeksen!P55,0)</f>
        <v>0</v>
      </c>
      <c r="AU55" s="71">
        <f ca="1">-IF(C55=1,(F55+K55+L55+Q55)/2*'Invoer gegevens'!$F$38*Reeksen!H55,0)</f>
        <v>0</v>
      </c>
      <c r="AV55" s="71">
        <f t="shared" si="11"/>
        <v>0</v>
      </c>
      <c r="AW55" s="71">
        <f t="shared" ca="1" si="8"/>
        <v>0</v>
      </c>
      <c r="AX55" s="71">
        <f ca="1">IF(E55&lt;'Invoer gegevens'!$C$17+15,0,IF(E55&gt;'Invoer gegevens'!$C$17+215,0,AW55))</f>
        <v>0</v>
      </c>
      <c r="AY55" s="71">
        <f ca="1">AX55/(1+'Invoer gegevens'!$F$18)^($AZ55-('Invoer gegevens'!$C$17-'Invoer gegevens'!$C$16))/(1+'Invoer gegevens'!$C$39)^('Invoer gegevens'!$C$17-'Invoer gegevens'!$C$16)</f>
        <v>0</v>
      </c>
      <c r="AZ55" s="68">
        <f ca="1">IF(E55-'Invoer gegevens'!$C$17-14.5&lt;0,0,E55-'Invoer gegevens'!$C$17-14.5)</f>
        <v>35.5</v>
      </c>
    </row>
    <row r="56" spans="1:52" x14ac:dyDescent="0.25">
      <c r="A56" s="59"/>
      <c r="B56" s="70">
        <f t="shared" si="9"/>
        <v>52</v>
      </c>
      <c r="C56" s="67">
        <f ca="1">IF(E56-'Invoer gegevens'!$C$17&lt;0,0,1)</f>
        <v>1</v>
      </c>
      <c r="D56" s="68">
        <f t="shared" si="10"/>
        <v>51.5</v>
      </c>
      <c r="E56" s="69">
        <f ca="1">IF('Invoer gegevens'!$C$16="","",E55+1)</f>
        <v>2070</v>
      </c>
      <c r="F56" s="84">
        <f ca="1">IF('Invoer gegevens'!$C$17=E56,'Invoer gegevens'!$C$10,IF(C56=1,K55,0))</f>
        <v>0</v>
      </c>
      <c r="G56" s="96">
        <f ca="1">IF(C56&gt;=1,F56*VLOOKUP(E56,Reeksen!$A$5:$B$76,2),0)</f>
        <v>0</v>
      </c>
      <c r="H56" s="84">
        <f ca="1">(1-('Invoer gegevens'!$F$20/12))*F56*MIN(Reeksen!B56,Reeksen!D56)</f>
        <v>0</v>
      </c>
      <c r="I56" s="84">
        <f>IF(Reeksen!D56&lt;Reeksen!B56,(Reeksen!B56-Reeksen!D56)*F56,0)</f>
        <v>0</v>
      </c>
      <c r="J56" s="84">
        <f ca="1">('Invoer gegevens'!$F$20/12)*F55*MIN(Reeksen!B55,Reeksen!D55)</f>
        <v>0</v>
      </c>
      <c r="K56" s="97">
        <f t="shared" ca="1" si="0"/>
        <v>0</v>
      </c>
      <c r="L56" s="84">
        <f ca="1">IF('Invoer gegevens'!$C$17=E56,0,IF(C56=1,Q55,0))</f>
        <v>0</v>
      </c>
      <c r="M56" s="96">
        <f ca="1">IF(C56&gt;=1,L56*VLOOKUP(E56,Reeksen!$A$5:$B$76,2),0)</f>
        <v>0</v>
      </c>
      <c r="N56" s="84">
        <f ca="1">(1-('Invoer gegevens'!$F$20/12))*L56*MIN(Reeksen!B56,Reeksen!D56)</f>
        <v>0</v>
      </c>
      <c r="O56" s="84">
        <f>IF(Reeksen!D56&lt;Reeksen!B56,(Reeksen!B56-Reeksen!D56)*L56,0)</f>
        <v>0</v>
      </c>
      <c r="P56" s="84">
        <f ca="1">('Invoer gegevens'!$F$20/12)*L55*MIN(Reeksen!B55,Reeksen!D55)</f>
        <v>0</v>
      </c>
      <c r="Q56" s="84">
        <f t="shared" ca="1" si="1"/>
        <v>0</v>
      </c>
      <c r="R56" s="82">
        <f ca="1">IF('Invoer gegevens'!$C$17=E56,'Invoer gegevens'!$C$11,IF(C56=1,W55,0))</f>
        <v>0</v>
      </c>
      <c r="S56" s="86">
        <f ca="1">IF(C56&gt;=1,R56*VLOOKUP(E56,Reeksen!$A$5:$B$76,2),0)</f>
        <v>0</v>
      </c>
      <c r="T56" s="84">
        <f ca="1">(1-('Invoer gegevens'!$F$20/12))*R56*MIN(Reeksen!B56,Reeksen!D56)</f>
        <v>0</v>
      </c>
      <c r="U56" s="84">
        <f>IF(Reeksen!D56&gt;=Reeksen!B56,0,IF(Reeksen!AD56&lt;=Reeksen!AE56,(Reeksen!B56-Reeksen!D56)*R56,0))</f>
        <v>0</v>
      </c>
      <c r="V56" s="86">
        <f>IF(Reeksen!D56&gt;=Reeksen!B56,0,IF(Reeksen!AD56&gt;Reeksen!AE56,(Reeksen!B56-Reeksen!D56)*R56,0))</f>
        <v>0</v>
      </c>
      <c r="W56" s="97">
        <f t="shared" ca="1" si="2"/>
        <v>0</v>
      </c>
      <c r="X56" s="98">
        <f ca="1">IF('Invoer gegevens'!$C$17=E56,'Invoer gegevens'!$C$10-'Invoer gegevens'!$C$11,IF(C56=1,AC55,0))</f>
        <v>0</v>
      </c>
      <c r="Y56" s="98">
        <f ca="1">IF(C56&gt;=1,X56*VLOOKUP(E56,Reeksen!$A$5:$B$76,2),0)</f>
        <v>0</v>
      </c>
      <c r="Z56" s="98">
        <f ca="1">(1-('Invoer gegevens'!$F$20/12))*X56*MIN(Reeksen!B56,Reeksen!D56)</f>
        <v>0</v>
      </c>
      <c r="AA56" s="98">
        <f>IF(Reeksen!D56&gt;=Reeksen!B56,0,IF(Reeksen!AD56&lt;=Reeksen!AE56,(Reeksen!B56-Reeksen!D56)*X56,0))</f>
        <v>0</v>
      </c>
      <c r="AB56" s="98">
        <f>IF(Reeksen!D56&gt;=Reeksen!B56,0,IF(Reeksen!AD56&gt;Reeksen!AE56,(Reeksen!B56-Reeksen!D56)*X56,0))</f>
        <v>0</v>
      </c>
      <c r="AC56" s="99">
        <f t="shared" ca="1" si="3"/>
        <v>0</v>
      </c>
      <c r="AD56" s="98">
        <f ca="1">IF('Invoer gegevens'!$C$17=E56,R56,IF(C56=0,0,AE55))</f>
        <v>0</v>
      </c>
      <c r="AE56" s="98">
        <f t="shared" ca="1" si="4"/>
        <v>0</v>
      </c>
      <c r="AF56" s="98">
        <f ca="1">IF('Invoer gegevens'!$C$17=E56,X56,IF(C56=0,0,AG55))</f>
        <v>0</v>
      </c>
      <c r="AG56" s="98">
        <f t="shared" ca="1" si="5"/>
        <v>0</v>
      </c>
      <c r="AH56" s="66"/>
      <c r="AI56" s="71">
        <f ca="1">IF(C56=1,Reeksen!AI56*((F56-G56+F56)/2)*12+Reeksen!AD56*((L56-M56+L56)/2)*12,0)</f>
        <v>0</v>
      </c>
      <c r="AJ56" s="71">
        <f ca="1">-AI56*'Invoer gegevens'!$F$28</f>
        <v>0</v>
      </c>
      <c r="AK56" s="71">
        <f t="shared" ca="1" si="6"/>
        <v>0</v>
      </c>
      <c r="AL56" s="71">
        <f ca="1">IF(C56=1,Reeksen!AL56*((F56-G56+F56)/2)*12+Reeksen!AM56*((L56-M56+L56)/2)*12,0)</f>
        <v>0</v>
      </c>
      <c r="AM56" s="71">
        <f ca="1">-AL56*'Invoer gegevens'!$F$31</f>
        <v>0</v>
      </c>
      <c r="AN56" s="71">
        <f t="shared" ca="1" si="7"/>
        <v>0</v>
      </c>
      <c r="AO56" s="71">
        <f ca="1">IF(C56=1,(H56+J56+N56+P56)*Reeksen!AN56,0)</f>
        <v>0</v>
      </c>
      <c r="AP56" s="71">
        <f ca="1">-IF(C56=1,(H56+J56+N56+P56)*'Hulp - basis'!$G$550*Reeksen!H56,0)</f>
        <v>0</v>
      </c>
      <c r="AQ56" s="71">
        <f ca="1">-IF(C56=1,(F56+K56+L56+Q56)/2*'Invoer gegevens'!$F$35*Reeksen!J56,0)*2</f>
        <v>0</v>
      </c>
      <c r="AR56" s="71"/>
      <c r="AS56" s="71">
        <f ca="1">-IF(C56=1,(F56+K56+L56+Q56)/2*'Invoer gegevens'!$F$37*Reeksen!L56,0)</f>
        <v>0</v>
      </c>
      <c r="AT56" s="71">
        <f ca="1">-IF(C56=1,IF(E56='Invoer gegevens'!$C$17,'Invoer gegevens'!$C$11,AD56)*Reeksen!S56*'Invoer gegevens'!$C$18*Reeksen!P56,0)</f>
        <v>0</v>
      </c>
      <c r="AU56" s="71">
        <f ca="1">-IF(C56=1,(F56+K56+L56+Q56)/2*'Invoer gegevens'!$F$38*Reeksen!H56,0)</f>
        <v>0</v>
      </c>
      <c r="AV56" s="71">
        <f t="shared" si="11"/>
        <v>0</v>
      </c>
      <c r="AW56" s="71">
        <f t="shared" ca="1" si="8"/>
        <v>0</v>
      </c>
      <c r="AX56" s="71">
        <f ca="1">IF(E56&lt;'Invoer gegevens'!$C$17+15,0,IF(E56&gt;'Invoer gegevens'!$C$17+215,0,AW56))</f>
        <v>0</v>
      </c>
      <c r="AY56" s="71">
        <f ca="1">AX56/(1+'Invoer gegevens'!$F$18)^($AZ56-('Invoer gegevens'!$C$17-'Invoer gegevens'!$C$16))/(1+'Invoer gegevens'!$C$39)^('Invoer gegevens'!$C$17-'Invoer gegevens'!$C$16)</f>
        <v>0</v>
      </c>
      <c r="AZ56" s="68">
        <f ca="1">IF(E56-'Invoer gegevens'!$C$17-14.5&lt;0,0,E56-'Invoer gegevens'!$C$17-14.5)</f>
        <v>36.5</v>
      </c>
    </row>
    <row r="57" spans="1:52" x14ac:dyDescent="0.25">
      <c r="A57" s="59"/>
      <c r="B57" s="70">
        <f t="shared" si="9"/>
        <v>53</v>
      </c>
      <c r="C57" s="67">
        <f ca="1">IF(E57-'Invoer gegevens'!$C$17&lt;0,0,1)</f>
        <v>1</v>
      </c>
      <c r="D57" s="68">
        <f t="shared" si="10"/>
        <v>52.5</v>
      </c>
      <c r="E57" s="69">
        <f ca="1">IF('Invoer gegevens'!$C$16="","",E56+1)</f>
        <v>2071</v>
      </c>
      <c r="F57" s="84">
        <f ca="1">IF('Invoer gegevens'!$C$17=E57,'Invoer gegevens'!$C$10,IF(C57=1,K56,0))</f>
        <v>0</v>
      </c>
      <c r="G57" s="96">
        <f ca="1">IF(C57&gt;=1,F57*VLOOKUP(E57,Reeksen!$A$5:$B$76,2),0)</f>
        <v>0</v>
      </c>
      <c r="H57" s="84">
        <f ca="1">(1-('Invoer gegevens'!$F$20/12))*F57*MIN(Reeksen!B57,Reeksen!D57)</f>
        <v>0</v>
      </c>
      <c r="I57" s="84">
        <f>IF(Reeksen!D57&lt;Reeksen!B57,(Reeksen!B57-Reeksen!D57)*F57,0)</f>
        <v>0</v>
      </c>
      <c r="J57" s="84">
        <f ca="1">('Invoer gegevens'!$F$20/12)*F56*MIN(Reeksen!B56,Reeksen!D56)</f>
        <v>0</v>
      </c>
      <c r="K57" s="97">
        <f t="shared" ca="1" si="0"/>
        <v>0</v>
      </c>
      <c r="L57" s="84">
        <f ca="1">IF('Invoer gegevens'!$C$17=E57,0,IF(C57=1,Q56,0))</f>
        <v>0</v>
      </c>
      <c r="M57" s="96">
        <f ca="1">IF(C57&gt;=1,L57*VLOOKUP(E57,Reeksen!$A$5:$B$76,2),0)</f>
        <v>0</v>
      </c>
      <c r="N57" s="84">
        <f ca="1">(1-('Invoer gegevens'!$F$20/12))*L57*MIN(Reeksen!B57,Reeksen!D57)</f>
        <v>0</v>
      </c>
      <c r="O57" s="84">
        <f>IF(Reeksen!D57&lt;Reeksen!B57,(Reeksen!B57-Reeksen!D57)*L57,0)</f>
        <v>0</v>
      </c>
      <c r="P57" s="84">
        <f ca="1">('Invoer gegevens'!$F$20/12)*L56*MIN(Reeksen!B56,Reeksen!D56)</f>
        <v>0</v>
      </c>
      <c r="Q57" s="84">
        <f t="shared" ca="1" si="1"/>
        <v>0</v>
      </c>
      <c r="R57" s="82">
        <f ca="1">IF('Invoer gegevens'!$C$17=E57,'Invoer gegevens'!$C$11,IF(C57=1,W56,0))</f>
        <v>0</v>
      </c>
      <c r="S57" s="86">
        <f ca="1">IF(C57&gt;=1,R57*VLOOKUP(E57,Reeksen!$A$5:$B$76,2),0)</f>
        <v>0</v>
      </c>
      <c r="T57" s="84">
        <f ca="1">(1-('Invoer gegevens'!$F$20/12))*R57*MIN(Reeksen!B57,Reeksen!D57)</f>
        <v>0</v>
      </c>
      <c r="U57" s="84">
        <f>IF(Reeksen!D57&gt;=Reeksen!B57,0,IF(Reeksen!AD57&lt;=Reeksen!AE57,(Reeksen!B57-Reeksen!D57)*R57,0))</f>
        <v>0</v>
      </c>
      <c r="V57" s="86">
        <f>IF(Reeksen!D57&gt;=Reeksen!B57,0,IF(Reeksen!AD57&gt;Reeksen!AE57,(Reeksen!B57-Reeksen!D57)*R57,0))</f>
        <v>0</v>
      </c>
      <c r="W57" s="97">
        <f t="shared" ca="1" si="2"/>
        <v>0</v>
      </c>
      <c r="X57" s="98">
        <f ca="1">IF('Invoer gegevens'!$C$17=E57,'Invoer gegevens'!$C$10-'Invoer gegevens'!$C$11,IF(C57=1,AC56,0))</f>
        <v>0</v>
      </c>
      <c r="Y57" s="98">
        <f ca="1">IF(C57&gt;=1,X57*VLOOKUP(E57,Reeksen!$A$5:$B$76,2),0)</f>
        <v>0</v>
      </c>
      <c r="Z57" s="98">
        <f ca="1">(1-('Invoer gegevens'!$F$20/12))*X57*MIN(Reeksen!B57,Reeksen!D57)</f>
        <v>0</v>
      </c>
      <c r="AA57" s="98">
        <f>IF(Reeksen!D57&gt;=Reeksen!B57,0,IF(Reeksen!AD57&lt;=Reeksen!AE57,(Reeksen!B57-Reeksen!D57)*X57,0))</f>
        <v>0</v>
      </c>
      <c r="AB57" s="98">
        <f>IF(Reeksen!D57&gt;=Reeksen!B57,0,IF(Reeksen!AD57&gt;Reeksen!AE57,(Reeksen!B57-Reeksen!D57)*X57,0))</f>
        <v>0</v>
      </c>
      <c r="AC57" s="99">
        <f t="shared" ca="1" si="3"/>
        <v>0</v>
      </c>
      <c r="AD57" s="98">
        <f ca="1">IF('Invoer gegevens'!$C$17=E57,R57,IF(C57=0,0,AE56))</f>
        <v>0</v>
      </c>
      <c r="AE57" s="98">
        <f t="shared" ca="1" si="4"/>
        <v>0</v>
      </c>
      <c r="AF57" s="98">
        <f ca="1">IF('Invoer gegevens'!$C$17=E57,X57,IF(C57=0,0,AG56))</f>
        <v>0</v>
      </c>
      <c r="AG57" s="98">
        <f t="shared" ca="1" si="5"/>
        <v>0</v>
      </c>
      <c r="AH57" s="66"/>
      <c r="AI57" s="71">
        <f ca="1">IF(C57=1,Reeksen!AI57*((F57-G57+F57)/2)*12+Reeksen!AD57*((L57-M57+L57)/2)*12,0)</f>
        <v>0</v>
      </c>
      <c r="AJ57" s="71">
        <f ca="1">-AI57*'Invoer gegevens'!$F$28</f>
        <v>0</v>
      </c>
      <c r="AK57" s="71">
        <f t="shared" ca="1" si="6"/>
        <v>0</v>
      </c>
      <c r="AL57" s="71">
        <f ca="1">IF(C57=1,Reeksen!AL57*((F57-G57+F57)/2)*12+Reeksen!AM57*((L57-M57+L57)/2)*12,0)</f>
        <v>0</v>
      </c>
      <c r="AM57" s="71">
        <f ca="1">-AL57*'Invoer gegevens'!$F$31</f>
        <v>0</v>
      </c>
      <c r="AN57" s="71">
        <f t="shared" ca="1" si="7"/>
        <v>0</v>
      </c>
      <c r="AO57" s="71">
        <f ca="1">IF(C57=1,(H57+J57+N57+P57)*Reeksen!AN57,0)</f>
        <v>0</v>
      </c>
      <c r="AP57" s="71">
        <f ca="1">-IF(C57=1,(H57+J57+N57+P57)*'Hulp - basis'!$G$550*Reeksen!H57,0)</f>
        <v>0</v>
      </c>
      <c r="AQ57" s="71">
        <f ca="1">-IF(C57=1,(F57+K57+L57+Q57)/2*'Invoer gegevens'!$F$35*Reeksen!J57,0)*2</f>
        <v>0</v>
      </c>
      <c r="AR57" s="71"/>
      <c r="AS57" s="71">
        <f ca="1">-IF(C57=1,(F57+K57+L57+Q57)/2*'Invoer gegevens'!$F$37*Reeksen!L57,0)</f>
        <v>0</v>
      </c>
      <c r="AT57" s="71">
        <f ca="1">-IF(C57=1,IF(E57='Invoer gegevens'!$C$17,'Invoer gegevens'!$C$11,AD57)*Reeksen!S57*'Invoer gegevens'!$C$18*Reeksen!P57,0)</f>
        <v>0</v>
      </c>
      <c r="AU57" s="71">
        <f ca="1">-IF(C57=1,(F57+K57+L57+Q57)/2*'Invoer gegevens'!$F$38*Reeksen!H57,0)</f>
        <v>0</v>
      </c>
      <c r="AV57" s="71">
        <f t="shared" si="11"/>
        <v>0</v>
      </c>
      <c r="AW57" s="71">
        <f t="shared" ca="1" si="8"/>
        <v>0</v>
      </c>
      <c r="AX57" s="71">
        <f ca="1">IF(E57&lt;'Invoer gegevens'!$C$17+15,0,IF(E57&gt;'Invoer gegevens'!$C$17+215,0,AW57))</f>
        <v>0</v>
      </c>
      <c r="AY57" s="71">
        <f ca="1">AX57/(1+'Invoer gegevens'!$F$18)^($AZ57-('Invoer gegevens'!$C$17-'Invoer gegevens'!$C$16))/(1+'Invoer gegevens'!$C$39)^('Invoer gegevens'!$C$17-'Invoer gegevens'!$C$16)</f>
        <v>0</v>
      </c>
      <c r="AZ57" s="68">
        <f ca="1">IF(E57-'Invoer gegevens'!$C$17-14.5&lt;0,0,E57-'Invoer gegevens'!$C$17-14.5)</f>
        <v>37.5</v>
      </c>
    </row>
    <row r="58" spans="1:52" x14ac:dyDescent="0.25">
      <c r="A58" s="59"/>
      <c r="B58" s="70">
        <f t="shared" si="9"/>
        <v>54</v>
      </c>
      <c r="C58" s="67">
        <f ca="1">IF(E58-'Invoer gegevens'!$C$17&lt;0,0,1)</f>
        <v>1</v>
      </c>
      <c r="D58" s="68">
        <f t="shared" si="10"/>
        <v>53.5</v>
      </c>
      <c r="E58" s="69">
        <f ca="1">IF('Invoer gegevens'!$C$16="","",E57+1)</f>
        <v>2072</v>
      </c>
      <c r="F58" s="84">
        <f ca="1">IF('Invoer gegevens'!$C$17=E58,'Invoer gegevens'!$C$10,IF(C58=1,K57,0))</f>
        <v>0</v>
      </c>
      <c r="G58" s="96">
        <f ca="1">IF(C58&gt;=1,F58*VLOOKUP(E58,Reeksen!$A$5:$B$76,2),0)</f>
        <v>0</v>
      </c>
      <c r="H58" s="84">
        <f ca="1">(1-('Invoer gegevens'!$F$20/12))*F58*MIN(Reeksen!B58,Reeksen!D58)</f>
        <v>0</v>
      </c>
      <c r="I58" s="84">
        <f>IF(Reeksen!D58&lt;Reeksen!B58,(Reeksen!B58-Reeksen!D58)*F58,0)</f>
        <v>0</v>
      </c>
      <c r="J58" s="84">
        <f ca="1">('Invoer gegevens'!$F$20/12)*F57*MIN(Reeksen!B57,Reeksen!D57)</f>
        <v>0</v>
      </c>
      <c r="K58" s="97">
        <f t="shared" ca="1" si="0"/>
        <v>0</v>
      </c>
      <c r="L58" s="84">
        <f ca="1">IF('Invoer gegevens'!$C$17=E58,0,IF(C58=1,Q57,0))</f>
        <v>0</v>
      </c>
      <c r="M58" s="96">
        <f ca="1">IF(C58&gt;=1,L58*VLOOKUP(E58,Reeksen!$A$5:$B$76,2),0)</f>
        <v>0</v>
      </c>
      <c r="N58" s="84">
        <f ca="1">(1-('Invoer gegevens'!$F$20/12))*L58*MIN(Reeksen!B58,Reeksen!D58)</f>
        <v>0</v>
      </c>
      <c r="O58" s="84">
        <f>IF(Reeksen!D58&lt;Reeksen!B58,(Reeksen!B58-Reeksen!D58)*L58,0)</f>
        <v>0</v>
      </c>
      <c r="P58" s="84">
        <f ca="1">('Invoer gegevens'!$F$20/12)*L57*MIN(Reeksen!B57,Reeksen!D57)</f>
        <v>0</v>
      </c>
      <c r="Q58" s="84">
        <f t="shared" ca="1" si="1"/>
        <v>0</v>
      </c>
      <c r="R58" s="82">
        <f ca="1">IF('Invoer gegevens'!$C$17=E58,'Invoer gegevens'!$C$11,IF(C58=1,W57,0))</f>
        <v>0</v>
      </c>
      <c r="S58" s="86">
        <f ca="1">IF(C58&gt;=1,R58*VLOOKUP(E58,Reeksen!$A$5:$B$76,2),0)</f>
        <v>0</v>
      </c>
      <c r="T58" s="84">
        <f ca="1">(1-('Invoer gegevens'!$F$20/12))*R58*MIN(Reeksen!B58,Reeksen!D58)</f>
        <v>0</v>
      </c>
      <c r="U58" s="84">
        <f>IF(Reeksen!D58&gt;=Reeksen!B58,0,IF(Reeksen!AD58&lt;=Reeksen!AE58,(Reeksen!B58-Reeksen!D58)*R58,0))</f>
        <v>0</v>
      </c>
      <c r="V58" s="86">
        <f>IF(Reeksen!D58&gt;=Reeksen!B58,0,IF(Reeksen!AD58&gt;Reeksen!AE58,(Reeksen!B58-Reeksen!D58)*R58,0))</f>
        <v>0</v>
      </c>
      <c r="W58" s="97">
        <f t="shared" ca="1" si="2"/>
        <v>0</v>
      </c>
      <c r="X58" s="98">
        <f ca="1">IF('Invoer gegevens'!$C$17=E58,'Invoer gegevens'!$C$10-'Invoer gegevens'!$C$11,IF(C58=1,AC57,0))</f>
        <v>0</v>
      </c>
      <c r="Y58" s="98">
        <f ca="1">IF(C58&gt;=1,X58*VLOOKUP(E58,Reeksen!$A$5:$B$76,2),0)</f>
        <v>0</v>
      </c>
      <c r="Z58" s="98">
        <f ca="1">(1-('Invoer gegevens'!$F$20/12))*X58*MIN(Reeksen!B58,Reeksen!D58)</f>
        <v>0</v>
      </c>
      <c r="AA58" s="98">
        <f>IF(Reeksen!D58&gt;=Reeksen!B58,0,IF(Reeksen!AD58&lt;=Reeksen!AE58,(Reeksen!B58-Reeksen!D58)*X58,0))</f>
        <v>0</v>
      </c>
      <c r="AB58" s="98">
        <f>IF(Reeksen!D58&gt;=Reeksen!B58,0,IF(Reeksen!AD58&gt;Reeksen!AE58,(Reeksen!B58-Reeksen!D58)*X58,0))</f>
        <v>0</v>
      </c>
      <c r="AC58" s="99">
        <f t="shared" ca="1" si="3"/>
        <v>0</v>
      </c>
      <c r="AD58" s="98">
        <f ca="1">IF('Invoer gegevens'!$C$17=E58,R58,IF(C58=0,0,AE57))</f>
        <v>0</v>
      </c>
      <c r="AE58" s="98">
        <f t="shared" ca="1" si="4"/>
        <v>0</v>
      </c>
      <c r="AF58" s="98">
        <f ca="1">IF('Invoer gegevens'!$C$17=E58,X58,IF(C58=0,0,AG57))</f>
        <v>0</v>
      </c>
      <c r="AG58" s="98">
        <f t="shared" ca="1" si="5"/>
        <v>0</v>
      </c>
      <c r="AH58" s="66"/>
      <c r="AI58" s="71">
        <f ca="1">IF(C58=1,Reeksen!AI58*((F58-G58+F58)/2)*12+Reeksen!AD58*((L58-M58+L58)/2)*12,0)</f>
        <v>0</v>
      </c>
      <c r="AJ58" s="71">
        <f ca="1">-AI58*'Invoer gegevens'!$F$28</f>
        <v>0</v>
      </c>
      <c r="AK58" s="71">
        <f t="shared" ca="1" si="6"/>
        <v>0</v>
      </c>
      <c r="AL58" s="71">
        <f ca="1">IF(C58=1,Reeksen!AL58*((F58-G58+F58)/2)*12+Reeksen!AM58*((L58-M58+L58)/2)*12,0)</f>
        <v>0</v>
      </c>
      <c r="AM58" s="71">
        <f ca="1">-AL58*'Invoer gegevens'!$F$31</f>
        <v>0</v>
      </c>
      <c r="AN58" s="71">
        <f t="shared" ca="1" si="7"/>
        <v>0</v>
      </c>
      <c r="AO58" s="71">
        <f ca="1">IF(C58=1,(H58+J58+N58+P58)*Reeksen!AN58,0)</f>
        <v>0</v>
      </c>
      <c r="AP58" s="71">
        <f ca="1">-IF(C58=1,(H58+J58+N58+P58)*'Hulp - basis'!$G$550*Reeksen!H58,0)</f>
        <v>0</v>
      </c>
      <c r="AQ58" s="71">
        <f ca="1">-IF(C58=1,(F58+K58+L58+Q58)/2*'Invoer gegevens'!$F$35*Reeksen!J58,0)*2</f>
        <v>0</v>
      </c>
      <c r="AR58" s="71"/>
      <c r="AS58" s="71">
        <f ca="1">-IF(C58=1,(F58+K58+L58+Q58)/2*'Invoer gegevens'!$F$37*Reeksen!L58,0)</f>
        <v>0</v>
      </c>
      <c r="AT58" s="71">
        <f ca="1">-IF(C58=1,IF(E58='Invoer gegevens'!$C$17,'Invoer gegevens'!$C$11,AD58)*Reeksen!S58*'Invoer gegevens'!$C$18*Reeksen!P58,0)</f>
        <v>0</v>
      </c>
      <c r="AU58" s="71">
        <f ca="1">-IF(C58=1,(F58+K58+L58+Q58)/2*'Invoer gegevens'!$F$38*Reeksen!H58,0)</f>
        <v>0</v>
      </c>
      <c r="AV58" s="71">
        <f t="shared" si="11"/>
        <v>0</v>
      </c>
      <c r="AW58" s="71">
        <f t="shared" ca="1" si="8"/>
        <v>0</v>
      </c>
      <c r="AX58" s="71">
        <f ca="1">IF(E58&lt;'Invoer gegevens'!$C$17+15,0,IF(E58&gt;'Invoer gegevens'!$C$17+215,0,AW58))</f>
        <v>0</v>
      </c>
      <c r="AY58" s="71">
        <f ca="1">AX58/(1+'Invoer gegevens'!$F$18)^($AZ58-('Invoer gegevens'!$C$17-'Invoer gegevens'!$C$16))/(1+'Invoer gegevens'!$C$39)^('Invoer gegevens'!$C$17-'Invoer gegevens'!$C$16)</f>
        <v>0</v>
      </c>
      <c r="AZ58" s="68">
        <f ca="1">IF(E58-'Invoer gegevens'!$C$17-14.5&lt;0,0,E58-'Invoer gegevens'!$C$17-14.5)</f>
        <v>38.5</v>
      </c>
    </row>
    <row r="59" spans="1:52" x14ac:dyDescent="0.25">
      <c r="A59" s="59"/>
      <c r="B59" s="70">
        <f t="shared" si="9"/>
        <v>55</v>
      </c>
      <c r="C59" s="67">
        <f ca="1">IF(E59-'Invoer gegevens'!$C$17&lt;0,0,1)</f>
        <v>1</v>
      </c>
      <c r="D59" s="68">
        <f t="shared" si="10"/>
        <v>54.5</v>
      </c>
      <c r="E59" s="69">
        <f ca="1">IF('Invoer gegevens'!$C$16="","",E58+1)</f>
        <v>2073</v>
      </c>
      <c r="F59" s="84">
        <f ca="1">IF('Invoer gegevens'!$C$17=E59,'Invoer gegevens'!$C$10,IF(C59=1,K58,0))</f>
        <v>0</v>
      </c>
      <c r="G59" s="96">
        <f ca="1">IF(C59&gt;=1,F59*VLOOKUP(E59,Reeksen!$A$5:$B$76,2),0)</f>
        <v>0</v>
      </c>
      <c r="H59" s="84">
        <f ca="1">(1-('Invoer gegevens'!$F$20/12))*F59*MIN(Reeksen!B59,Reeksen!D59)</f>
        <v>0</v>
      </c>
      <c r="I59" s="84">
        <f>IF(Reeksen!D59&lt;Reeksen!B59,(Reeksen!B59-Reeksen!D59)*F59,0)</f>
        <v>0</v>
      </c>
      <c r="J59" s="84">
        <f ca="1">('Invoer gegevens'!$F$20/12)*F58*MIN(Reeksen!B58,Reeksen!D58)</f>
        <v>0</v>
      </c>
      <c r="K59" s="97">
        <f t="shared" ca="1" si="0"/>
        <v>0</v>
      </c>
      <c r="L59" s="84">
        <f ca="1">IF('Invoer gegevens'!$C$17=E59,0,IF(C59=1,Q58,0))</f>
        <v>0</v>
      </c>
      <c r="M59" s="96">
        <f ca="1">IF(C59&gt;=1,L59*VLOOKUP(E59,Reeksen!$A$5:$B$76,2),0)</f>
        <v>0</v>
      </c>
      <c r="N59" s="84">
        <f ca="1">(1-('Invoer gegevens'!$F$20/12))*L59*MIN(Reeksen!B59,Reeksen!D59)</f>
        <v>0</v>
      </c>
      <c r="O59" s="84">
        <f>IF(Reeksen!D59&lt;Reeksen!B59,(Reeksen!B59-Reeksen!D59)*L59,0)</f>
        <v>0</v>
      </c>
      <c r="P59" s="84">
        <f ca="1">('Invoer gegevens'!$F$20/12)*L58*MIN(Reeksen!B58,Reeksen!D58)</f>
        <v>0</v>
      </c>
      <c r="Q59" s="84">
        <f t="shared" ca="1" si="1"/>
        <v>0</v>
      </c>
      <c r="R59" s="82">
        <f ca="1">IF('Invoer gegevens'!$C$17=E59,'Invoer gegevens'!$C$11,IF(C59=1,W58,0))</f>
        <v>0</v>
      </c>
      <c r="S59" s="86">
        <f ca="1">IF(C59&gt;=1,R59*VLOOKUP(E59,Reeksen!$A$5:$B$76,2),0)</f>
        <v>0</v>
      </c>
      <c r="T59" s="84">
        <f ca="1">(1-('Invoer gegevens'!$F$20/12))*R59*MIN(Reeksen!B59,Reeksen!D59)</f>
        <v>0</v>
      </c>
      <c r="U59" s="84">
        <f>IF(Reeksen!D59&gt;=Reeksen!B59,0,IF(Reeksen!AD59&lt;=Reeksen!AE59,(Reeksen!B59-Reeksen!D59)*R59,0))</f>
        <v>0</v>
      </c>
      <c r="V59" s="86">
        <f>IF(Reeksen!D59&gt;=Reeksen!B59,0,IF(Reeksen!AD59&gt;Reeksen!AE59,(Reeksen!B59-Reeksen!D59)*R59,0))</f>
        <v>0</v>
      </c>
      <c r="W59" s="97">
        <f t="shared" ca="1" si="2"/>
        <v>0</v>
      </c>
      <c r="X59" s="98">
        <f ca="1">IF('Invoer gegevens'!$C$17=E59,'Invoer gegevens'!$C$10-'Invoer gegevens'!$C$11,IF(C59=1,AC58,0))</f>
        <v>0</v>
      </c>
      <c r="Y59" s="98">
        <f ca="1">IF(C59&gt;=1,X59*VLOOKUP(E59,Reeksen!$A$5:$B$76,2),0)</f>
        <v>0</v>
      </c>
      <c r="Z59" s="98">
        <f ca="1">(1-('Invoer gegevens'!$F$20/12))*X59*MIN(Reeksen!B59,Reeksen!D59)</f>
        <v>0</v>
      </c>
      <c r="AA59" s="98">
        <f>IF(Reeksen!D59&gt;=Reeksen!B59,0,IF(Reeksen!AD59&lt;=Reeksen!AE59,(Reeksen!B59-Reeksen!D59)*X59,0))</f>
        <v>0</v>
      </c>
      <c r="AB59" s="98">
        <f>IF(Reeksen!D59&gt;=Reeksen!B59,0,IF(Reeksen!AD59&gt;Reeksen!AE59,(Reeksen!B59-Reeksen!D59)*X59,0))</f>
        <v>0</v>
      </c>
      <c r="AC59" s="99">
        <f t="shared" ca="1" si="3"/>
        <v>0</v>
      </c>
      <c r="AD59" s="98">
        <f ca="1">IF('Invoer gegevens'!$C$17=E59,R59,IF(C59=0,0,AE58))</f>
        <v>0</v>
      </c>
      <c r="AE59" s="98">
        <f t="shared" ca="1" si="4"/>
        <v>0</v>
      </c>
      <c r="AF59" s="98">
        <f ca="1">IF('Invoer gegevens'!$C$17=E59,X59,IF(C59=0,0,AG58))</f>
        <v>0</v>
      </c>
      <c r="AG59" s="98">
        <f t="shared" ca="1" si="5"/>
        <v>0</v>
      </c>
      <c r="AH59" s="66"/>
      <c r="AI59" s="71">
        <f ca="1">IF(C59=1,Reeksen!AI59*((F59-G59+F59)/2)*12+Reeksen!AD59*((L59-M59+L59)/2)*12,0)</f>
        <v>0</v>
      </c>
      <c r="AJ59" s="71">
        <f ca="1">-AI59*'Invoer gegevens'!$F$28</f>
        <v>0</v>
      </c>
      <c r="AK59" s="71">
        <f t="shared" ca="1" si="6"/>
        <v>0</v>
      </c>
      <c r="AL59" s="71">
        <f ca="1">IF(C59=1,Reeksen!AL59*((F59-G59+F59)/2)*12+Reeksen!AM59*((L59-M59+L59)/2)*12,0)</f>
        <v>0</v>
      </c>
      <c r="AM59" s="71">
        <f ca="1">-AL59*'Invoer gegevens'!$F$31</f>
        <v>0</v>
      </c>
      <c r="AN59" s="71">
        <f t="shared" ca="1" si="7"/>
        <v>0</v>
      </c>
      <c r="AO59" s="71">
        <f ca="1">IF(C59=1,(H59+J59+N59+P59)*Reeksen!AN59,0)</f>
        <v>0</v>
      </c>
      <c r="AP59" s="71">
        <f ca="1">-IF(C59=1,(H59+J59+N59+P59)*'Hulp - basis'!$G$550*Reeksen!H59,0)</f>
        <v>0</v>
      </c>
      <c r="AQ59" s="71">
        <f ca="1">-IF(C59=1,(F59+K59+L59+Q59)/2*'Invoer gegevens'!$F$35*Reeksen!J59,0)*2</f>
        <v>0</v>
      </c>
      <c r="AR59" s="71"/>
      <c r="AS59" s="71">
        <f ca="1">-IF(C59=1,(F59+K59+L59+Q59)/2*'Invoer gegevens'!$F$37*Reeksen!L59,0)</f>
        <v>0</v>
      </c>
      <c r="AT59" s="71">
        <f ca="1">-IF(C59=1,IF(E59='Invoer gegevens'!$C$17,'Invoer gegevens'!$C$11,AD59)*Reeksen!S59*'Invoer gegevens'!$C$18*Reeksen!P59,0)</f>
        <v>0</v>
      </c>
      <c r="AU59" s="71">
        <f ca="1">-IF(C59=1,(F59+K59+L59+Q59)/2*'Invoer gegevens'!$F$38*Reeksen!H59,0)</f>
        <v>0</v>
      </c>
      <c r="AV59" s="71">
        <f t="shared" si="11"/>
        <v>0</v>
      </c>
      <c r="AW59" s="71">
        <f t="shared" ca="1" si="8"/>
        <v>0</v>
      </c>
      <c r="AX59" s="71">
        <f ca="1">IF(E59&lt;'Invoer gegevens'!$C$17+15,0,IF(E59&gt;'Invoer gegevens'!$C$17+215,0,AW59))</f>
        <v>0</v>
      </c>
      <c r="AY59" s="71">
        <f ca="1">AX59/(1+'Invoer gegevens'!$F$18)^($AZ59-('Invoer gegevens'!$C$17-'Invoer gegevens'!$C$16))/(1+'Invoer gegevens'!$C$39)^('Invoer gegevens'!$C$17-'Invoer gegevens'!$C$16)</f>
        <v>0</v>
      </c>
      <c r="AZ59" s="68">
        <f ca="1">IF(E59-'Invoer gegevens'!$C$17-14.5&lt;0,0,E59-'Invoer gegevens'!$C$17-14.5)</f>
        <v>39.5</v>
      </c>
    </row>
    <row r="60" spans="1:52" x14ac:dyDescent="0.25">
      <c r="A60" s="59"/>
      <c r="B60" s="70">
        <f t="shared" si="9"/>
        <v>56</v>
      </c>
      <c r="C60" s="67">
        <f ca="1">IF(E60-'Invoer gegevens'!$C$17&lt;0,0,1)</f>
        <v>1</v>
      </c>
      <c r="D60" s="68">
        <f t="shared" si="10"/>
        <v>55.5</v>
      </c>
      <c r="E60" s="69">
        <f ca="1">IF('Invoer gegevens'!$C$16="","",E59+1)</f>
        <v>2074</v>
      </c>
      <c r="F60" s="84">
        <f ca="1">IF('Invoer gegevens'!$C$17=E60,'Invoer gegevens'!$C$10,IF(C60=1,K59,0))</f>
        <v>0</v>
      </c>
      <c r="G60" s="96">
        <f ca="1">IF(C60&gt;=1,F60*VLOOKUP(E60,Reeksen!$A$5:$B$76,2),0)</f>
        <v>0</v>
      </c>
      <c r="H60" s="84">
        <f ca="1">(1-('Invoer gegevens'!$F$20/12))*F60*MIN(Reeksen!B60,Reeksen!D60)</f>
        <v>0</v>
      </c>
      <c r="I60" s="84">
        <f>IF(Reeksen!D60&lt;Reeksen!B60,(Reeksen!B60-Reeksen!D60)*F60,0)</f>
        <v>0</v>
      </c>
      <c r="J60" s="84">
        <f ca="1">('Invoer gegevens'!$F$20/12)*F59*MIN(Reeksen!B59,Reeksen!D59)</f>
        <v>0</v>
      </c>
      <c r="K60" s="97">
        <f t="shared" ca="1" si="0"/>
        <v>0</v>
      </c>
      <c r="L60" s="84">
        <f ca="1">IF('Invoer gegevens'!$C$17=E60,0,IF(C60=1,Q59,0))</f>
        <v>0</v>
      </c>
      <c r="M60" s="96">
        <f ca="1">IF(C60&gt;=1,L60*VLOOKUP(E60,Reeksen!$A$5:$B$76,2),0)</f>
        <v>0</v>
      </c>
      <c r="N60" s="84">
        <f ca="1">(1-('Invoer gegevens'!$F$20/12))*L60*MIN(Reeksen!B60,Reeksen!D60)</f>
        <v>0</v>
      </c>
      <c r="O60" s="84">
        <f>IF(Reeksen!D60&lt;Reeksen!B60,(Reeksen!B60-Reeksen!D60)*L60,0)</f>
        <v>0</v>
      </c>
      <c r="P60" s="84">
        <f ca="1">('Invoer gegevens'!$F$20/12)*L59*MIN(Reeksen!B59,Reeksen!D59)</f>
        <v>0</v>
      </c>
      <c r="Q60" s="84">
        <f t="shared" ca="1" si="1"/>
        <v>0</v>
      </c>
      <c r="R60" s="82">
        <f ca="1">IF('Invoer gegevens'!$C$17=E60,'Invoer gegevens'!$C$11,IF(C60=1,W59,0))</f>
        <v>0</v>
      </c>
      <c r="S60" s="86">
        <f ca="1">IF(C60&gt;=1,R60*VLOOKUP(E60,Reeksen!$A$5:$B$76,2),0)</f>
        <v>0</v>
      </c>
      <c r="T60" s="84">
        <f ca="1">(1-('Invoer gegevens'!$F$20/12))*R60*MIN(Reeksen!B60,Reeksen!D60)</f>
        <v>0</v>
      </c>
      <c r="U60" s="84">
        <f>IF(Reeksen!D60&gt;=Reeksen!B60,0,IF(Reeksen!AD60&lt;=Reeksen!AE60,(Reeksen!B60-Reeksen!D60)*R60,0))</f>
        <v>0</v>
      </c>
      <c r="V60" s="86">
        <f>IF(Reeksen!D60&gt;=Reeksen!B60,0,IF(Reeksen!AD60&gt;Reeksen!AE60,(Reeksen!B60-Reeksen!D60)*R60,0))</f>
        <v>0</v>
      </c>
      <c r="W60" s="97">
        <f t="shared" ca="1" si="2"/>
        <v>0</v>
      </c>
      <c r="X60" s="98">
        <f ca="1">IF('Invoer gegevens'!$C$17=E60,'Invoer gegevens'!$C$10-'Invoer gegevens'!$C$11,IF(C60=1,AC59,0))</f>
        <v>0</v>
      </c>
      <c r="Y60" s="98">
        <f ca="1">IF(C60&gt;=1,X60*VLOOKUP(E60,Reeksen!$A$5:$B$76,2),0)</f>
        <v>0</v>
      </c>
      <c r="Z60" s="98">
        <f ca="1">(1-('Invoer gegevens'!$F$20/12))*X60*MIN(Reeksen!B60,Reeksen!D60)</f>
        <v>0</v>
      </c>
      <c r="AA60" s="98">
        <f>IF(Reeksen!D60&gt;=Reeksen!B60,0,IF(Reeksen!AD60&lt;=Reeksen!AE60,(Reeksen!B60-Reeksen!D60)*X60,0))</f>
        <v>0</v>
      </c>
      <c r="AB60" s="98">
        <f>IF(Reeksen!D60&gt;=Reeksen!B60,0,IF(Reeksen!AD60&gt;Reeksen!AE60,(Reeksen!B60-Reeksen!D60)*X60,0))</f>
        <v>0</v>
      </c>
      <c r="AC60" s="99">
        <f t="shared" ca="1" si="3"/>
        <v>0</v>
      </c>
      <c r="AD60" s="98">
        <f ca="1">IF('Invoer gegevens'!$C$17=E60,R60,IF(C60=0,0,AE59))</f>
        <v>0</v>
      </c>
      <c r="AE60" s="98">
        <f t="shared" ca="1" si="4"/>
        <v>0</v>
      </c>
      <c r="AF60" s="98">
        <f ca="1">IF('Invoer gegevens'!$C$17=E60,X60,IF(C60=0,0,AG59))</f>
        <v>0</v>
      </c>
      <c r="AG60" s="98">
        <f t="shared" ca="1" si="5"/>
        <v>0</v>
      </c>
      <c r="AH60" s="66"/>
      <c r="AI60" s="71">
        <f ca="1">IF(C60=1,Reeksen!AI60*((F60-G60+F60)/2)*12+Reeksen!AD60*((L60-M60+L60)/2)*12,0)</f>
        <v>0</v>
      </c>
      <c r="AJ60" s="71">
        <f ca="1">-AI60*'Invoer gegevens'!$F$28</f>
        <v>0</v>
      </c>
      <c r="AK60" s="71">
        <f t="shared" ca="1" si="6"/>
        <v>0</v>
      </c>
      <c r="AL60" s="71">
        <f ca="1">IF(C60=1,Reeksen!AL60*((F60-G60+F60)/2)*12+Reeksen!AM60*((L60-M60+L60)/2)*12,0)</f>
        <v>0</v>
      </c>
      <c r="AM60" s="71">
        <f ca="1">-AL60*'Invoer gegevens'!$F$31</f>
        <v>0</v>
      </c>
      <c r="AN60" s="71">
        <f t="shared" ca="1" si="7"/>
        <v>0</v>
      </c>
      <c r="AO60" s="71">
        <f ca="1">IF(C60=1,(H60+J60+N60+P60)*Reeksen!AN60,0)</f>
        <v>0</v>
      </c>
      <c r="AP60" s="71">
        <f ca="1">-IF(C60=1,(H60+J60+N60+P60)*'Hulp - basis'!$G$550*Reeksen!H60,0)</f>
        <v>0</v>
      </c>
      <c r="AQ60" s="71">
        <f ca="1">-IF(C60=1,(F60+K60+L60+Q60)/2*'Invoer gegevens'!$F$35*Reeksen!J60,0)*2</f>
        <v>0</v>
      </c>
      <c r="AR60" s="71"/>
      <c r="AS60" s="71">
        <f ca="1">-IF(C60=1,(F60+K60+L60+Q60)/2*'Invoer gegevens'!$F$37*Reeksen!L60,0)</f>
        <v>0</v>
      </c>
      <c r="AT60" s="71">
        <f ca="1">-IF(C60=1,IF(E60='Invoer gegevens'!$C$17,'Invoer gegevens'!$C$11,AD60)*Reeksen!S60*'Invoer gegevens'!$C$18*Reeksen!P60,0)</f>
        <v>0</v>
      </c>
      <c r="AU60" s="71">
        <f ca="1">-IF(C60=1,(F60+K60+L60+Q60)/2*'Invoer gegevens'!$F$38*Reeksen!H60,0)</f>
        <v>0</v>
      </c>
      <c r="AV60" s="71">
        <f t="shared" si="11"/>
        <v>0</v>
      </c>
      <c r="AW60" s="71">
        <f t="shared" ca="1" si="8"/>
        <v>0</v>
      </c>
      <c r="AX60" s="71">
        <f ca="1">IF(E60&lt;'Invoer gegevens'!$C$17+15,0,IF(E60&gt;'Invoer gegevens'!$C$17+215,0,AW60))</f>
        <v>0</v>
      </c>
      <c r="AY60" s="71">
        <f ca="1">AX60/(1+'Invoer gegevens'!$F$18)^($AZ60-('Invoer gegevens'!$C$17-'Invoer gegevens'!$C$16))/(1+'Invoer gegevens'!$C$39)^('Invoer gegevens'!$C$17-'Invoer gegevens'!$C$16)</f>
        <v>0</v>
      </c>
      <c r="AZ60" s="68">
        <f ca="1">IF(E60-'Invoer gegevens'!$C$17-14.5&lt;0,0,E60-'Invoer gegevens'!$C$17-14.5)</f>
        <v>40.5</v>
      </c>
    </row>
    <row r="61" spans="1:52" x14ac:dyDescent="0.25">
      <c r="A61" s="59"/>
      <c r="B61" s="70">
        <f t="shared" si="9"/>
        <v>57</v>
      </c>
      <c r="C61" s="67">
        <f ca="1">IF(E61-'Invoer gegevens'!$C$17&lt;0,0,1)</f>
        <v>1</v>
      </c>
      <c r="D61" s="68">
        <f t="shared" si="10"/>
        <v>56.5</v>
      </c>
      <c r="E61" s="69">
        <f ca="1">IF('Invoer gegevens'!$C$16="","",E60+1)</f>
        <v>2075</v>
      </c>
      <c r="F61" s="84">
        <f ca="1">IF('Invoer gegevens'!$C$17=E61,'Invoer gegevens'!$C$10,IF(C61=1,K60,0))</f>
        <v>0</v>
      </c>
      <c r="G61" s="96">
        <f ca="1">IF(C61&gt;=1,F61*VLOOKUP(E61,Reeksen!$A$5:$B$76,2),0)</f>
        <v>0</v>
      </c>
      <c r="H61" s="84">
        <f ca="1">(1-('Invoer gegevens'!$F$20/12))*F61*MIN(Reeksen!B61,Reeksen!D61)</f>
        <v>0</v>
      </c>
      <c r="I61" s="84">
        <f>IF(Reeksen!D61&lt;Reeksen!B61,(Reeksen!B61-Reeksen!D61)*F61,0)</f>
        <v>0</v>
      </c>
      <c r="J61" s="84">
        <f ca="1">('Invoer gegevens'!$F$20/12)*F60*MIN(Reeksen!B60,Reeksen!D60)</f>
        <v>0</v>
      </c>
      <c r="K61" s="97">
        <f t="shared" ca="1" si="0"/>
        <v>0</v>
      </c>
      <c r="L61" s="84">
        <f ca="1">IF('Invoer gegevens'!$C$17=E61,0,IF(C61=1,Q60,0))</f>
        <v>0</v>
      </c>
      <c r="M61" s="96">
        <f ca="1">IF(C61&gt;=1,L61*VLOOKUP(E61,Reeksen!$A$5:$B$76,2),0)</f>
        <v>0</v>
      </c>
      <c r="N61" s="84">
        <f ca="1">(1-('Invoer gegevens'!$F$20/12))*L61*MIN(Reeksen!B61,Reeksen!D61)</f>
        <v>0</v>
      </c>
      <c r="O61" s="84">
        <f>IF(Reeksen!D61&lt;Reeksen!B61,(Reeksen!B61-Reeksen!D61)*L61,0)</f>
        <v>0</v>
      </c>
      <c r="P61" s="84">
        <f ca="1">('Invoer gegevens'!$F$20/12)*L60*MIN(Reeksen!B60,Reeksen!D60)</f>
        <v>0</v>
      </c>
      <c r="Q61" s="84">
        <f t="shared" ca="1" si="1"/>
        <v>0</v>
      </c>
      <c r="R61" s="82">
        <f ca="1">IF('Invoer gegevens'!$C$17=E61,'Invoer gegevens'!$C$11,IF(C61=1,W60,0))</f>
        <v>0</v>
      </c>
      <c r="S61" s="86">
        <f ca="1">IF(C61&gt;=1,R61*VLOOKUP(E61,Reeksen!$A$5:$B$76,2),0)</f>
        <v>0</v>
      </c>
      <c r="T61" s="84">
        <f ca="1">(1-('Invoer gegevens'!$F$20/12))*R61*MIN(Reeksen!B61,Reeksen!D61)</f>
        <v>0</v>
      </c>
      <c r="U61" s="84">
        <f>IF(Reeksen!D61&gt;=Reeksen!B61,0,IF(Reeksen!AD61&lt;=Reeksen!AE61,(Reeksen!B61-Reeksen!D61)*R61,0))</f>
        <v>0</v>
      </c>
      <c r="V61" s="86">
        <f>IF(Reeksen!D61&gt;=Reeksen!B61,0,IF(Reeksen!AD61&gt;Reeksen!AE61,(Reeksen!B61-Reeksen!D61)*R61,0))</f>
        <v>0</v>
      </c>
      <c r="W61" s="97">
        <f t="shared" ca="1" si="2"/>
        <v>0</v>
      </c>
      <c r="X61" s="98">
        <f ca="1">IF('Invoer gegevens'!$C$17=E61,'Invoer gegevens'!$C$10-'Invoer gegevens'!$C$11,IF(C61=1,AC60,0))</f>
        <v>0</v>
      </c>
      <c r="Y61" s="98">
        <f ca="1">IF(C61&gt;=1,X61*VLOOKUP(E61,Reeksen!$A$5:$B$76,2),0)</f>
        <v>0</v>
      </c>
      <c r="Z61" s="98">
        <f ca="1">(1-('Invoer gegevens'!$F$20/12))*X61*MIN(Reeksen!B61,Reeksen!D61)</f>
        <v>0</v>
      </c>
      <c r="AA61" s="98">
        <f>IF(Reeksen!D61&gt;=Reeksen!B61,0,IF(Reeksen!AD61&lt;=Reeksen!AE61,(Reeksen!B61-Reeksen!D61)*X61,0))</f>
        <v>0</v>
      </c>
      <c r="AB61" s="98">
        <f>IF(Reeksen!D61&gt;=Reeksen!B61,0,IF(Reeksen!AD61&gt;Reeksen!AE61,(Reeksen!B61-Reeksen!D61)*X61,0))</f>
        <v>0</v>
      </c>
      <c r="AC61" s="99">
        <f t="shared" ca="1" si="3"/>
        <v>0</v>
      </c>
      <c r="AD61" s="98">
        <f ca="1">IF('Invoer gegevens'!$C$17=E61,R61,IF(C61=0,0,AE60))</f>
        <v>0</v>
      </c>
      <c r="AE61" s="98">
        <f t="shared" ca="1" si="4"/>
        <v>0</v>
      </c>
      <c r="AF61" s="98">
        <f ca="1">IF('Invoer gegevens'!$C$17=E61,X61,IF(C61=0,0,AG60))</f>
        <v>0</v>
      </c>
      <c r="AG61" s="98">
        <f t="shared" ca="1" si="5"/>
        <v>0</v>
      </c>
      <c r="AH61" s="66"/>
      <c r="AI61" s="71">
        <f ca="1">IF(C61=1,Reeksen!AI61*((F61-G61+F61)/2)*12+Reeksen!AD61*((L61-M61+L61)/2)*12,0)</f>
        <v>0</v>
      </c>
      <c r="AJ61" s="71">
        <f ca="1">-AI61*'Invoer gegevens'!$F$28</f>
        <v>0</v>
      </c>
      <c r="AK61" s="71">
        <f t="shared" ca="1" si="6"/>
        <v>0</v>
      </c>
      <c r="AL61" s="71">
        <f ca="1">IF(C61=1,Reeksen!AL61*((F61-G61+F61)/2)*12+Reeksen!AM61*((L61-M61+L61)/2)*12,0)</f>
        <v>0</v>
      </c>
      <c r="AM61" s="71">
        <f ca="1">-AL61*'Invoer gegevens'!$F$31</f>
        <v>0</v>
      </c>
      <c r="AN61" s="71">
        <f t="shared" ca="1" si="7"/>
        <v>0</v>
      </c>
      <c r="AO61" s="71">
        <f ca="1">IF(C61=1,(H61+J61+N61+P61)*Reeksen!AN61,0)</f>
        <v>0</v>
      </c>
      <c r="AP61" s="71">
        <f ca="1">-IF(C61=1,(H61+J61+N61+P61)*'Hulp - basis'!$G$550*Reeksen!H61,0)</f>
        <v>0</v>
      </c>
      <c r="AQ61" s="71">
        <f ca="1">-IF(C61=1,(F61+K61+L61+Q61)/2*'Invoer gegevens'!$F$35*Reeksen!J61,0)*2</f>
        <v>0</v>
      </c>
      <c r="AR61" s="71"/>
      <c r="AS61" s="71">
        <f ca="1">-IF(C61=1,(F61+K61+L61+Q61)/2*'Invoer gegevens'!$F$37*Reeksen!L61,0)</f>
        <v>0</v>
      </c>
      <c r="AT61" s="71">
        <f ca="1">-IF(C61=1,IF(E61='Invoer gegevens'!$C$17,'Invoer gegevens'!$C$11,AD61)*Reeksen!S61*'Invoer gegevens'!$C$18*Reeksen!P61,0)</f>
        <v>0</v>
      </c>
      <c r="AU61" s="71">
        <f ca="1">-IF(C61=1,(F61+K61+L61+Q61)/2*'Invoer gegevens'!$F$38*Reeksen!H61,0)</f>
        <v>0</v>
      </c>
      <c r="AV61" s="71">
        <f t="shared" si="11"/>
        <v>0</v>
      </c>
      <c r="AW61" s="71">
        <f t="shared" ca="1" si="8"/>
        <v>0</v>
      </c>
      <c r="AX61" s="71">
        <f ca="1">IF(E61&lt;'Invoer gegevens'!$C$17+15,0,IF(E61&gt;'Invoer gegevens'!$C$17+215,0,AW61))</f>
        <v>0</v>
      </c>
      <c r="AY61" s="71">
        <f ca="1">AX61/(1+'Invoer gegevens'!$F$18)^($AZ61-('Invoer gegevens'!$C$17-'Invoer gegevens'!$C$16))/(1+'Invoer gegevens'!$C$39)^('Invoer gegevens'!$C$17-'Invoer gegevens'!$C$16)</f>
        <v>0</v>
      </c>
      <c r="AZ61" s="68">
        <f ca="1">IF(E61-'Invoer gegevens'!$C$17-14.5&lt;0,0,E61-'Invoer gegevens'!$C$17-14.5)</f>
        <v>41.5</v>
      </c>
    </row>
    <row r="62" spans="1:52" x14ac:dyDescent="0.25">
      <c r="A62" s="59"/>
      <c r="B62" s="70">
        <f t="shared" si="9"/>
        <v>58</v>
      </c>
      <c r="C62" s="67">
        <f ca="1">IF(E62-'Invoer gegevens'!$C$17&lt;0,0,1)</f>
        <v>1</v>
      </c>
      <c r="D62" s="68">
        <f t="shared" si="10"/>
        <v>57.5</v>
      </c>
      <c r="E62" s="69">
        <f ca="1">IF('Invoer gegevens'!$C$16="","",E61+1)</f>
        <v>2076</v>
      </c>
      <c r="F62" s="84">
        <f ca="1">IF('Invoer gegevens'!$C$17=E62,'Invoer gegevens'!$C$10,IF(C62=1,K61,0))</f>
        <v>0</v>
      </c>
      <c r="G62" s="96">
        <f ca="1">IF(C62&gt;=1,F62*VLOOKUP(E62,Reeksen!$A$5:$B$76,2),0)</f>
        <v>0</v>
      </c>
      <c r="H62" s="84">
        <f ca="1">(1-('Invoer gegevens'!$F$20/12))*F62*MIN(Reeksen!B62,Reeksen!D62)</f>
        <v>0</v>
      </c>
      <c r="I62" s="84">
        <f>IF(Reeksen!D62&lt;Reeksen!B62,(Reeksen!B62-Reeksen!D62)*F62,0)</f>
        <v>0</v>
      </c>
      <c r="J62" s="84">
        <f ca="1">('Invoer gegevens'!$F$20/12)*F61*MIN(Reeksen!B61,Reeksen!D61)</f>
        <v>0</v>
      </c>
      <c r="K62" s="97">
        <f t="shared" ca="1" si="0"/>
        <v>0</v>
      </c>
      <c r="L62" s="84">
        <f ca="1">IF('Invoer gegevens'!$C$17=E62,0,IF(C62=1,Q61,0))</f>
        <v>0</v>
      </c>
      <c r="M62" s="96">
        <f ca="1">IF(C62&gt;=1,L62*VLOOKUP(E62,Reeksen!$A$5:$B$76,2),0)</f>
        <v>0</v>
      </c>
      <c r="N62" s="84">
        <f ca="1">(1-('Invoer gegevens'!$F$20/12))*L62*MIN(Reeksen!B62,Reeksen!D62)</f>
        <v>0</v>
      </c>
      <c r="O62" s="84">
        <f>IF(Reeksen!D62&lt;Reeksen!B62,(Reeksen!B62-Reeksen!D62)*L62,0)</f>
        <v>0</v>
      </c>
      <c r="P62" s="84">
        <f ca="1">('Invoer gegevens'!$F$20/12)*L61*MIN(Reeksen!B61,Reeksen!D61)</f>
        <v>0</v>
      </c>
      <c r="Q62" s="84">
        <f t="shared" ca="1" si="1"/>
        <v>0</v>
      </c>
      <c r="R62" s="82">
        <f ca="1">IF('Invoer gegevens'!$C$17=E62,'Invoer gegevens'!$C$11,IF(C62=1,W61,0))</f>
        <v>0</v>
      </c>
      <c r="S62" s="86">
        <f ca="1">IF(C62&gt;=1,R62*VLOOKUP(E62,Reeksen!$A$5:$B$76,2),0)</f>
        <v>0</v>
      </c>
      <c r="T62" s="84">
        <f ca="1">(1-('Invoer gegevens'!$F$20/12))*R62*MIN(Reeksen!B62,Reeksen!D62)</f>
        <v>0</v>
      </c>
      <c r="U62" s="84">
        <f>IF(Reeksen!D62&gt;=Reeksen!B62,0,IF(Reeksen!AD62&lt;=Reeksen!AE62,(Reeksen!B62-Reeksen!D62)*R62,0))</f>
        <v>0</v>
      </c>
      <c r="V62" s="86">
        <f>IF(Reeksen!D62&gt;=Reeksen!B62,0,IF(Reeksen!AD62&gt;Reeksen!AE62,(Reeksen!B62-Reeksen!D62)*R62,0))</f>
        <v>0</v>
      </c>
      <c r="W62" s="97">
        <f t="shared" ca="1" si="2"/>
        <v>0</v>
      </c>
      <c r="X62" s="98">
        <f ca="1">IF('Invoer gegevens'!$C$17=E62,'Invoer gegevens'!$C$10-'Invoer gegevens'!$C$11,IF(C62=1,AC61,0))</f>
        <v>0</v>
      </c>
      <c r="Y62" s="98">
        <f ca="1">IF(C62&gt;=1,X62*VLOOKUP(E62,Reeksen!$A$5:$B$76,2),0)</f>
        <v>0</v>
      </c>
      <c r="Z62" s="98">
        <f ca="1">(1-('Invoer gegevens'!$F$20/12))*X62*MIN(Reeksen!B62,Reeksen!D62)</f>
        <v>0</v>
      </c>
      <c r="AA62" s="98">
        <f>IF(Reeksen!D62&gt;=Reeksen!B62,0,IF(Reeksen!AD62&lt;=Reeksen!AE62,(Reeksen!B62-Reeksen!D62)*X62,0))</f>
        <v>0</v>
      </c>
      <c r="AB62" s="98">
        <f>IF(Reeksen!D62&gt;=Reeksen!B62,0,IF(Reeksen!AD62&gt;Reeksen!AE62,(Reeksen!B62-Reeksen!D62)*X62,0))</f>
        <v>0</v>
      </c>
      <c r="AC62" s="99">
        <f t="shared" ca="1" si="3"/>
        <v>0</v>
      </c>
      <c r="AD62" s="98">
        <f ca="1">IF('Invoer gegevens'!$C$17=E62,R62,IF(C62=0,0,AE61))</f>
        <v>0</v>
      </c>
      <c r="AE62" s="98">
        <f t="shared" ca="1" si="4"/>
        <v>0</v>
      </c>
      <c r="AF62" s="98">
        <f ca="1">IF('Invoer gegevens'!$C$17=E62,X62,IF(C62=0,0,AG61))</f>
        <v>0</v>
      </c>
      <c r="AG62" s="98">
        <f t="shared" ca="1" si="5"/>
        <v>0</v>
      </c>
      <c r="AH62" s="66"/>
      <c r="AI62" s="71">
        <f ca="1">IF(C62=1,Reeksen!AI62*((F62-G62+F62)/2)*12+Reeksen!AD62*((L62-M62+L62)/2)*12,0)</f>
        <v>0</v>
      </c>
      <c r="AJ62" s="71">
        <f ca="1">-AI62*'Invoer gegevens'!$F$28</f>
        <v>0</v>
      </c>
      <c r="AK62" s="71">
        <f t="shared" ca="1" si="6"/>
        <v>0</v>
      </c>
      <c r="AL62" s="71">
        <f ca="1">IF(C62=1,Reeksen!AL62*((F62-G62+F62)/2)*12+Reeksen!AM62*((L62-M62+L62)/2)*12,0)</f>
        <v>0</v>
      </c>
      <c r="AM62" s="71">
        <f ca="1">-AL62*'Invoer gegevens'!$F$31</f>
        <v>0</v>
      </c>
      <c r="AN62" s="71">
        <f t="shared" ca="1" si="7"/>
        <v>0</v>
      </c>
      <c r="AO62" s="71">
        <f ca="1">IF(C62=1,(H62+J62+N62+P62)*Reeksen!AN62,0)</f>
        <v>0</v>
      </c>
      <c r="AP62" s="71">
        <f ca="1">-IF(C62=1,(H62+J62+N62+P62)*'Hulp - basis'!$G$550*Reeksen!H62,0)</f>
        <v>0</v>
      </c>
      <c r="AQ62" s="71">
        <f ca="1">-IF(C62=1,(F62+K62+L62+Q62)/2*'Invoer gegevens'!$F$35*Reeksen!J62,0)*2</f>
        <v>0</v>
      </c>
      <c r="AR62" s="71"/>
      <c r="AS62" s="71">
        <f ca="1">-IF(C62=1,(F62+K62+L62+Q62)/2*'Invoer gegevens'!$F$37*Reeksen!L62,0)</f>
        <v>0</v>
      </c>
      <c r="AT62" s="71">
        <f ca="1">-IF(C62=1,IF(E62='Invoer gegevens'!$C$17,'Invoer gegevens'!$C$11,AD62)*Reeksen!S62*'Invoer gegevens'!$C$18*Reeksen!P62,0)</f>
        <v>0</v>
      </c>
      <c r="AU62" s="71">
        <f ca="1">-IF(C62=1,(F62+K62+L62+Q62)/2*'Invoer gegevens'!$F$38*Reeksen!H62,0)</f>
        <v>0</v>
      </c>
      <c r="AV62" s="71">
        <f t="shared" si="11"/>
        <v>0</v>
      </c>
      <c r="AW62" s="71">
        <f t="shared" ca="1" si="8"/>
        <v>0</v>
      </c>
      <c r="AX62" s="71">
        <f ca="1">IF(E62&lt;'Invoer gegevens'!$C$17+15,0,IF(E62&gt;'Invoer gegevens'!$C$17+215,0,AW62))</f>
        <v>0</v>
      </c>
      <c r="AY62" s="71">
        <f ca="1">AX62/(1+'Invoer gegevens'!$F$18)^($AZ62-('Invoer gegevens'!$C$17-'Invoer gegevens'!$C$16))/(1+'Invoer gegevens'!$C$39)^('Invoer gegevens'!$C$17-'Invoer gegevens'!$C$16)</f>
        <v>0</v>
      </c>
      <c r="AZ62" s="68">
        <f ca="1">IF(E62-'Invoer gegevens'!$C$17-14.5&lt;0,0,E62-'Invoer gegevens'!$C$17-14.5)</f>
        <v>42.5</v>
      </c>
    </row>
    <row r="63" spans="1:52" x14ac:dyDescent="0.25">
      <c r="A63" s="59"/>
      <c r="B63" s="70">
        <f t="shared" si="9"/>
        <v>59</v>
      </c>
      <c r="C63" s="67">
        <f ca="1">IF(E63-'Invoer gegevens'!$C$17&lt;0,0,1)</f>
        <v>1</v>
      </c>
      <c r="D63" s="68">
        <f t="shared" si="10"/>
        <v>58.5</v>
      </c>
      <c r="E63" s="69">
        <f ca="1">IF('Invoer gegevens'!$C$16="","",E62+1)</f>
        <v>2077</v>
      </c>
      <c r="F63" s="84">
        <f ca="1">IF('Invoer gegevens'!$C$17=E63,'Invoer gegevens'!$C$10,IF(C63=1,K62,0))</f>
        <v>0</v>
      </c>
      <c r="G63" s="96">
        <f ca="1">IF(C63&gt;=1,F63*VLOOKUP(E63,Reeksen!$A$5:$B$76,2),0)</f>
        <v>0</v>
      </c>
      <c r="H63" s="84">
        <f ca="1">(1-('Invoer gegevens'!$F$20/12))*F63*MIN(Reeksen!B63,Reeksen!D63)</f>
        <v>0</v>
      </c>
      <c r="I63" s="84">
        <f>IF(Reeksen!D63&lt;Reeksen!B63,(Reeksen!B63-Reeksen!D63)*F63,0)</f>
        <v>0</v>
      </c>
      <c r="J63" s="84">
        <f ca="1">('Invoer gegevens'!$F$20/12)*F62*MIN(Reeksen!B62,Reeksen!D62)</f>
        <v>0</v>
      </c>
      <c r="K63" s="97">
        <f t="shared" ca="1" si="0"/>
        <v>0</v>
      </c>
      <c r="L63" s="84">
        <f ca="1">IF('Invoer gegevens'!$C$17=E63,0,IF(C63=1,Q62,0))</f>
        <v>0</v>
      </c>
      <c r="M63" s="96">
        <f ca="1">IF(C63&gt;=1,L63*VLOOKUP(E63,Reeksen!$A$5:$B$76,2),0)</f>
        <v>0</v>
      </c>
      <c r="N63" s="84">
        <f ca="1">(1-('Invoer gegevens'!$F$20/12))*L63*MIN(Reeksen!B63,Reeksen!D63)</f>
        <v>0</v>
      </c>
      <c r="O63" s="84">
        <f>IF(Reeksen!D63&lt;Reeksen!B63,(Reeksen!B63-Reeksen!D63)*L63,0)</f>
        <v>0</v>
      </c>
      <c r="P63" s="84">
        <f ca="1">('Invoer gegevens'!$F$20/12)*L62*MIN(Reeksen!B62,Reeksen!D62)</f>
        <v>0</v>
      </c>
      <c r="Q63" s="84">
        <f t="shared" ca="1" si="1"/>
        <v>0</v>
      </c>
      <c r="R63" s="82">
        <f ca="1">IF('Invoer gegevens'!$C$17=E63,'Invoer gegevens'!$C$11,IF(C63=1,W62,0))</f>
        <v>0</v>
      </c>
      <c r="S63" s="86">
        <f ca="1">IF(C63&gt;=1,R63*VLOOKUP(E63,Reeksen!$A$5:$B$76,2),0)</f>
        <v>0</v>
      </c>
      <c r="T63" s="84">
        <f ca="1">(1-('Invoer gegevens'!$F$20/12))*R63*MIN(Reeksen!B63,Reeksen!D63)</f>
        <v>0</v>
      </c>
      <c r="U63" s="84">
        <f>IF(Reeksen!D63&gt;=Reeksen!B63,0,IF(Reeksen!AD63&lt;=Reeksen!AE63,(Reeksen!B63-Reeksen!D63)*R63,0))</f>
        <v>0</v>
      </c>
      <c r="V63" s="86">
        <f>IF(Reeksen!D63&gt;=Reeksen!B63,0,IF(Reeksen!AD63&gt;Reeksen!AE63,(Reeksen!B63-Reeksen!D63)*R63,0))</f>
        <v>0</v>
      </c>
      <c r="W63" s="97">
        <f t="shared" ca="1" si="2"/>
        <v>0</v>
      </c>
      <c r="X63" s="98">
        <f ca="1">IF('Invoer gegevens'!$C$17=E63,'Invoer gegevens'!$C$10-'Invoer gegevens'!$C$11,IF(C63=1,AC62,0))</f>
        <v>0</v>
      </c>
      <c r="Y63" s="98">
        <f ca="1">IF(C63&gt;=1,X63*VLOOKUP(E63,Reeksen!$A$5:$B$76,2),0)</f>
        <v>0</v>
      </c>
      <c r="Z63" s="98">
        <f ca="1">(1-('Invoer gegevens'!$F$20/12))*X63*MIN(Reeksen!B63,Reeksen!D63)</f>
        <v>0</v>
      </c>
      <c r="AA63" s="98">
        <f>IF(Reeksen!D63&gt;=Reeksen!B63,0,IF(Reeksen!AD63&lt;=Reeksen!AE63,(Reeksen!B63-Reeksen!D63)*X63,0))</f>
        <v>0</v>
      </c>
      <c r="AB63" s="98">
        <f>IF(Reeksen!D63&gt;=Reeksen!B63,0,IF(Reeksen!AD63&gt;Reeksen!AE63,(Reeksen!B63-Reeksen!D63)*X63,0))</f>
        <v>0</v>
      </c>
      <c r="AC63" s="99">
        <f t="shared" ca="1" si="3"/>
        <v>0</v>
      </c>
      <c r="AD63" s="98">
        <f ca="1">IF('Invoer gegevens'!$C$17=E63,R63,IF(C63=0,0,AE62))</f>
        <v>0</v>
      </c>
      <c r="AE63" s="98">
        <f t="shared" ca="1" si="4"/>
        <v>0</v>
      </c>
      <c r="AF63" s="98">
        <f ca="1">IF('Invoer gegevens'!$C$17=E63,X63,IF(C63=0,0,AG62))</f>
        <v>0</v>
      </c>
      <c r="AG63" s="98">
        <f t="shared" ca="1" si="5"/>
        <v>0</v>
      </c>
      <c r="AH63" s="66"/>
      <c r="AI63" s="71">
        <f ca="1">IF(C63=1,Reeksen!AI63*((F63-G63+F63)/2)*12+Reeksen!AD63*((L63-M63+L63)/2)*12,0)</f>
        <v>0</v>
      </c>
      <c r="AJ63" s="71">
        <f ca="1">-AI63*'Invoer gegevens'!$F$28</f>
        <v>0</v>
      </c>
      <c r="AK63" s="71">
        <f t="shared" ca="1" si="6"/>
        <v>0</v>
      </c>
      <c r="AL63" s="71">
        <f ca="1">IF(C63=1,Reeksen!AL63*((F63-G63+F63)/2)*12+Reeksen!AM63*((L63-M63+L63)/2)*12,0)</f>
        <v>0</v>
      </c>
      <c r="AM63" s="71">
        <f ca="1">-AL63*'Invoer gegevens'!$F$31</f>
        <v>0</v>
      </c>
      <c r="AN63" s="71">
        <f t="shared" ca="1" si="7"/>
        <v>0</v>
      </c>
      <c r="AO63" s="71">
        <f ca="1">IF(C63=1,(H63+J63+N63+P63)*Reeksen!AN63,0)</f>
        <v>0</v>
      </c>
      <c r="AP63" s="71">
        <f ca="1">-IF(C63=1,(H63+J63+N63+P63)*'Hulp - basis'!$G$550*Reeksen!H63,0)</f>
        <v>0</v>
      </c>
      <c r="AQ63" s="71">
        <f ca="1">-IF(C63=1,(F63+K63+L63+Q63)/2*'Invoer gegevens'!$F$35*Reeksen!J63,0)*2</f>
        <v>0</v>
      </c>
      <c r="AR63" s="71"/>
      <c r="AS63" s="71">
        <f ca="1">-IF(C63=1,(F63+K63+L63+Q63)/2*'Invoer gegevens'!$F$37*Reeksen!L63,0)</f>
        <v>0</v>
      </c>
      <c r="AT63" s="71">
        <f ca="1">-IF(C63=1,IF(E63='Invoer gegevens'!$C$17,'Invoer gegevens'!$C$11,AD63)*Reeksen!S63*'Invoer gegevens'!$C$18*Reeksen!P63,0)</f>
        <v>0</v>
      </c>
      <c r="AU63" s="71">
        <f ca="1">-IF(C63=1,(F63+K63+L63+Q63)/2*'Invoer gegevens'!$F$38*Reeksen!H63,0)</f>
        <v>0</v>
      </c>
      <c r="AV63" s="71">
        <f t="shared" si="11"/>
        <v>0</v>
      </c>
      <c r="AW63" s="71">
        <f t="shared" ca="1" si="8"/>
        <v>0</v>
      </c>
      <c r="AX63" s="71">
        <f ca="1">IF(E63&lt;'Invoer gegevens'!$C$17+15,0,IF(E63&gt;'Invoer gegevens'!$C$17+215,0,AW63))</f>
        <v>0</v>
      </c>
      <c r="AY63" s="71">
        <f ca="1">AX63/(1+'Invoer gegevens'!$F$18)^($AZ63-('Invoer gegevens'!$C$17-'Invoer gegevens'!$C$16))/(1+'Invoer gegevens'!$C$39)^('Invoer gegevens'!$C$17-'Invoer gegevens'!$C$16)</f>
        <v>0</v>
      </c>
      <c r="AZ63" s="68">
        <f ca="1">IF(E63-'Invoer gegevens'!$C$17-14.5&lt;0,0,E63-'Invoer gegevens'!$C$17-14.5)</f>
        <v>43.5</v>
      </c>
    </row>
    <row r="64" spans="1:52" x14ac:dyDescent="0.25">
      <c r="A64" s="59"/>
      <c r="B64" s="70">
        <f t="shared" si="9"/>
        <v>60</v>
      </c>
      <c r="C64" s="67">
        <f ca="1">IF(E64-'Invoer gegevens'!$C$17&lt;0,0,1)</f>
        <v>1</v>
      </c>
      <c r="D64" s="68">
        <f t="shared" si="10"/>
        <v>59.5</v>
      </c>
      <c r="E64" s="69">
        <f ca="1">IF('Invoer gegevens'!$C$16="","",E63+1)</f>
        <v>2078</v>
      </c>
      <c r="F64" s="84">
        <f ca="1">IF('Invoer gegevens'!$C$17=E64,'Invoer gegevens'!$C$10,IF(C64=1,K63,0))</f>
        <v>0</v>
      </c>
      <c r="G64" s="96">
        <f ca="1">IF(C64&gt;=1,F64*VLOOKUP(E64,Reeksen!$A$5:$B$76,2),0)</f>
        <v>0</v>
      </c>
      <c r="H64" s="84">
        <f ca="1">(1-('Invoer gegevens'!$F$20/12))*F64*MIN(Reeksen!B64,Reeksen!D64)</f>
        <v>0</v>
      </c>
      <c r="I64" s="84">
        <f>IF(Reeksen!D64&lt;Reeksen!B64,(Reeksen!B64-Reeksen!D64)*F64,0)</f>
        <v>0</v>
      </c>
      <c r="J64" s="84">
        <f ca="1">('Invoer gegevens'!$F$20/12)*F63*MIN(Reeksen!B63,Reeksen!D63)</f>
        <v>0</v>
      </c>
      <c r="K64" s="97">
        <f t="shared" ca="1" si="0"/>
        <v>0</v>
      </c>
      <c r="L64" s="84">
        <f ca="1">IF('Invoer gegevens'!$C$17=E64,0,IF(C64=1,Q63,0))</f>
        <v>0</v>
      </c>
      <c r="M64" s="96">
        <f ca="1">IF(C64&gt;=1,L64*VLOOKUP(E64,Reeksen!$A$5:$B$76,2),0)</f>
        <v>0</v>
      </c>
      <c r="N64" s="84">
        <f ca="1">(1-('Invoer gegevens'!$F$20/12))*L64*MIN(Reeksen!B64,Reeksen!D64)</f>
        <v>0</v>
      </c>
      <c r="O64" s="84">
        <f>IF(Reeksen!D64&lt;Reeksen!B64,(Reeksen!B64-Reeksen!D64)*L64,0)</f>
        <v>0</v>
      </c>
      <c r="P64" s="84">
        <f ca="1">('Invoer gegevens'!$F$20/12)*L63*MIN(Reeksen!B63,Reeksen!D63)</f>
        <v>0</v>
      </c>
      <c r="Q64" s="84">
        <f t="shared" ca="1" si="1"/>
        <v>0</v>
      </c>
      <c r="R64" s="82">
        <f ca="1">IF('Invoer gegevens'!$C$17=E64,'Invoer gegevens'!$C$11,IF(C64=1,W63,0))</f>
        <v>0</v>
      </c>
      <c r="S64" s="86">
        <f ca="1">IF(C64&gt;=1,R64*VLOOKUP(E64,Reeksen!$A$5:$B$76,2),0)</f>
        <v>0</v>
      </c>
      <c r="T64" s="84">
        <f ca="1">(1-('Invoer gegevens'!$F$20/12))*R64*MIN(Reeksen!B64,Reeksen!D64)</f>
        <v>0</v>
      </c>
      <c r="U64" s="84">
        <f>IF(Reeksen!D64&gt;=Reeksen!B64,0,IF(Reeksen!AD64&lt;=Reeksen!AE64,(Reeksen!B64-Reeksen!D64)*R64,0))</f>
        <v>0</v>
      </c>
      <c r="V64" s="86">
        <f>IF(Reeksen!D64&gt;=Reeksen!B64,0,IF(Reeksen!AD64&gt;Reeksen!AE64,(Reeksen!B64-Reeksen!D64)*R64,0))</f>
        <v>0</v>
      </c>
      <c r="W64" s="97">
        <f t="shared" ca="1" si="2"/>
        <v>0</v>
      </c>
      <c r="X64" s="98">
        <f ca="1">IF('Invoer gegevens'!$C$17=E64,'Invoer gegevens'!$C$10-'Invoer gegevens'!$C$11,IF(C64=1,AC63,0))</f>
        <v>0</v>
      </c>
      <c r="Y64" s="98">
        <f ca="1">IF(C64&gt;=1,X64*VLOOKUP(E64,Reeksen!$A$5:$B$76,2),0)</f>
        <v>0</v>
      </c>
      <c r="Z64" s="98">
        <f ca="1">(1-('Invoer gegevens'!$F$20/12))*X64*MIN(Reeksen!B64,Reeksen!D64)</f>
        <v>0</v>
      </c>
      <c r="AA64" s="98">
        <f>IF(Reeksen!D64&gt;=Reeksen!B64,0,IF(Reeksen!AD64&lt;=Reeksen!AE64,(Reeksen!B64-Reeksen!D64)*X64,0))</f>
        <v>0</v>
      </c>
      <c r="AB64" s="98">
        <f>IF(Reeksen!D64&gt;=Reeksen!B64,0,IF(Reeksen!AD64&gt;Reeksen!AE64,(Reeksen!B64-Reeksen!D64)*X64,0))</f>
        <v>0</v>
      </c>
      <c r="AC64" s="99">
        <f t="shared" ca="1" si="3"/>
        <v>0</v>
      </c>
      <c r="AD64" s="98">
        <f ca="1">IF('Invoer gegevens'!$C$17=E64,R64,IF(C64=0,0,AE63))</f>
        <v>0</v>
      </c>
      <c r="AE64" s="98">
        <f t="shared" ca="1" si="4"/>
        <v>0</v>
      </c>
      <c r="AF64" s="98">
        <f ca="1">IF('Invoer gegevens'!$C$17=E64,X64,IF(C64=0,0,AG63))</f>
        <v>0</v>
      </c>
      <c r="AG64" s="98">
        <f t="shared" ca="1" si="5"/>
        <v>0</v>
      </c>
      <c r="AH64" s="66"/>
      <c r="AI64" s="71">
        <f ca="1">IF(C64=1,Reeksen!AI64*((F64-G64+F64)/2)*12+Reeksen!AD64*((L64-M64+L64)/2)*12,0)</f>
        <v>0</v>
      </c>
      <c r="AJ64" s="71">
        <f ca="1">-AI64*'Invoer gegevens'!$F$28</f>
        <v>0</v>
      </c>
      <c r="AK64" s="71">
        <f t="shared" ca="1" si="6"/>
        <v>0</v>
      </c>
      <c r="AL64" s="71">
        <f ca="1">IF(C64=1,Reeksen!AL64*((F64-G64+F64)/2)*12+Reeksen!AM64*((L64-M64+L64)/2)*12,0)</f>
        <v>0</v>
      </c>
      <c r="AM64" s="71">
        <f ca="1">-AL64*'Invoer gegevens'!$F$31</f>
        <v>0</v>
      </c>
      <c r="AN64" s="71">
        <f t="shared" ca="1" si="7"/>
        <v>0</v>
      </c>
      <c r="AO64" s="71">
        <f ca="1">IF(C64=1,(H64+J64+N64+P64)*Reeksen!AN64,0)</f>
        <v>0</v>
      </c>
      <c r="AP64" s="71">
        <f ca="1">-IF(C64=1,(H64+J64+N64+P64)*'Hulp - basis'!$G$550*Reeksen!H64,0)</f>
        <v>0</v>
      </c>
      <c r="AQ64" s="71">
        <f ca="1">-IF(C64=1,(F64+K64+L64+Q64)/2*'Invoer gegevens'!$F$35*Reeksen!J64,0)*2</f>
        <v>0</v>
      </c>
      <c r="AR64" s="71"/>
      <c r="AS64" s="71">
        <f ca="1">-IF(C64=1,(F64+K64+L64+Q64)/2*'Invoer gegevens'!$F$37*Reeksen!L64,0)</f>
        <v>0</v>
      </c>
      <c r="AT64" s="71">
        <f ca="1">-IF(C64=1,IF(E64='Invoer gegevens'!$C$17,'Invoer gegevens'!$C$11,AD64)*Reeksen!S64*'Invoer gegevens'!$C$18*Reeksen!P64,0)</f>
        <v>0</v>
      </c>
      <c r="AU64" s="71">
        <f ca="1">-IF(C64=1,(F64+K64+L64+Q64)/2*'Invoer gegevens'!$F$38*Reeksen!H64,0)</f>
        <v>0</v>
      </c>
      <c r="AV64" s="71">
        <f t="shared" si="11"/>
        <v>0</v>
      </c>
      <c r="AW64" s="71">
        <f t="shared" ca="1" si="8"/>
        <v>0</v>
      </c>
      <c r="AX64" s="71">
        <f ca="1">IF(E64&lt;'Invoer gegevens'!$C$17+15,0,IF(E64&gt;'Invoer gegevens'!$C$17+215,0,AW64))</f>
        <v>0</v>
      </c>
      <c r="AY64" s="71">
        <f ca="1">AX64/(1+'Invoer gegevens'!$F$18)^($AZ64-('Invoer gegevens'!$C$17-'Invoer gegevens'!$C$16))/(1+'Invoer gegevens'!$C$39)^('Invoer gegevens'!$C$17-'Invoer gegevens'!$C$16)</f>
        <v>0</v>
      </c>
      <c r="AZ64" s="68">
        <f ca="1">IF(E64-'Invoer gegevens'!$C$17-14.5&lt;0,0,E64-'Invoer gegevens'!$C$17-14.5)</f>
        <v>44.5</v>
      </c>
    </row>
    <row r="65" spans="1:52" x14ac:dyDescent="0.25">
      <c r="A65" s="59"/>
      <c r="B65" s="70">
        <f t="shared" si="9"/>
        <v>61</v>
      </c>
      <c r="C65" s="67">
        <f ca="1">IF(E65-'Invoer gegevens'!$C$17&lt;0,0,1)</f>
        <v>1</v>
      </c>
      <c r="D65" s="68">
        <f t="shared" si="10"/>
        <v>60.5</v>
      </c>
      <c r="E65" s="69">
        <f ca="1">IF('Invoer gegevens'!$C$16="","",E64+1)</f>
        <v>2079</v>
      </c>
      <c r="F65" s="84">
        <f ca="1">IF('Invoer gegevens'!$C$17=E65,'Invoer gegevens'!$C$10,IF(C65=1,K64,0))</f>
        <v>0</v>
      </c>
      <c r="G65" s="96">
        <f ca="1">IF(C65&gt;=1,F65*VLOOKUP(E65,Reeksen!$A$5:$B$76,2),0)</f>
        <v>0</v>
      </c>
      <c r="H65" s="84">
        <f ca="1">(1-('Invoer gegevens'!$F$20/12))*F65*MIN(Reeksen!B65,Reeksen!D65)</f>
        <v>0</v>
      </c>
      <c r="I65" s="84">
        <f>IF(Reeksen!D65&lt;Reeksen!B65,(Reeksen!B65-Reeksen!D65)*F65,0)</f>
        <v>0</v>
      </c>
      <c r="J65" s="84">
        <f ca="1">('Invoer gegevens'!$F$20/12)*F64*MIN(Reeksen!B64,Reeksen!D64)</f>
        <v>0</v>
      </c>
      <c r="K65" s="97">
        <f t="shared" ca="1" si="0"/>
        <v>0</v>
      </c>
      <c r="L65" s="84">
        <f ca="1">IF('Invoer gegevens'!$C$17=E65,0,IF(C65=1,Q64,0))</f>
        <v>0</v>
      </c>
      <c r="M65" s="96">
        <f ca="1">IF(C65&gt;=1,L65*VLOOKUP(E65,Reeksen!$A$5:$B$76,2),0)</f>
        <v>0</v>
      </c>
      <c r="N65" s="84">
        <f ca="1">(1-('Invoer gegevens'!$F$20/12))*L65*MIN(Reeksen!B65,Reeksen!D65)</f>
        <v>0</v>
      </c>
      <c r="O65" s="84">
        <f>IF(Reeksen!D65&lt;Reeksen!B65,(Reeksen!B65-Reeksen!D65)*L65,0)</f>
        <v>0</v>
      </c>
      <c r="P65" s="84">
        <f ca="1">('Invoer gegevens'!$F$20/12)*L64*MIN(Reeksen!B64,Reeksen!D64)</f>
        <v>0</v>
      </c>
      <c r="Q65" s="84">
        <f t="shared" ca="1" si="1"/>
        <v>0</v>
      </c>
      <c r="R65" s="82">
        <f ca="1">IF('Invoer gegevens'!$C$17=E65,'Invoer gegevens'!$C$11,IF(C65=1,W64,0))</f>
        <v>0</v>
      </c>
      <c r="S65" s="86">
        <f ca="1">IF(C65&gt;=1,R65*VLOOKUP(E65,Reeksen!$A$5:$B$76,2),0)</f>
        <v>0</v>
      </c>
      <c r="T65" s="84">
        <f ca="1">(1-('Invoer gegevens'!$F$20/12))*R65*MIN(Reeksen!B65,Reeksen!D65)</f>
        <v>0</v>
      </c>
      <c r="U65" s="84">
        <f>IF(Reeksen!D65&gt;=Reeksen!B65,0,IF(Reeksen!AD65&lt;=Reeksen!AE65,(Reeksen!B65-Reeksen!D65)*R65,0))</f>
        <v>0</v>
      </c>
      <c r="V65" s="86">
        <f>IF(Reeksen!D65&gt;=Reeksen!B65,0,IF(Reeksen!AD65&gt;Reeksen!AE65,(Reeksen!B65-Reeksen!D65)*R65,0))</f>
        <v>0</v>
      </c>
      <c r="W65" s="97">
        <f t="shared" ca="1" si="2"/>
        <v>0</v>
      </c>
      <c r="X65" s="98">
        <f ca="1">IF('Invoer gegevens'!$C$17=E65,'Invoer gegevens'!$C$10-'Invoer gegevens'!$C$11,IF(C65=1,AC64,0))</f>
        <v>0</v>
      </c>
      <c r="Y65" s="98">
        <f ca="1">IF(C65&gt;=1,X65*VLOOKUP(E65,Reeksen!$A$5:$B$76,2),0)</f>
        <v>0</v>
      </c>
      <c r="Z65" s="98">
        <f ca="1">(1-('Invoer gegevens'!$F$20/12))*X65*MIN(Reeksen!B65,Reeksen!D65)</f>
        <v>0</v>
      </c>
      <c r="AA65" s="98">
        <f>IF(Reeksen!D65&gt;=Reeksen!B65,0,IF(Reeksen!AD65&lt;=Reeksen!AE65,(Reeksen!B65-Reeksen!D65)*X65,0))</f>
        <v>0</v>
      </c>
      <c r="AB65" s="98">
        <f>IF(Reeksen!D65&gt;=Reeksen!B65,0,IF(Reeksen!AD65&gt;Reeksen!AE65,(Reeksen!B65-Reeksen!D65)*X65,0))</f>
        <v>0</v>
      </c>
      <c r="AC65" s="99">
        <f t="shared" ca="1" si="3"/>
        <v>0</v>
      </c>
      <c r="AD65" s="98">
        <f ca="1">IF('Invoer gegevens'!$C$17=E65,R65,IF(C65=0,0,AE64))</f>
        <v>0</v>
      </c>
      <c r="AE65" s="98">
        <f t="shared" ca="1" si="4"/>
        <v>0</v>
      </c>
      <c r="AF65" s="98">
        <f ca="1">IF('Invoer gegevens'!$C$17=E65,X65,IF(C65=0,0,AG64))</f>
        <v>0</v>
      </c>
      <c r="AG65" s="98">
        <f t="shared" ca="1" si="5"/>
        <v>0</v>
      </c>
      <c r="AH65" s="66"/>
      <c r="AI65" s="71">
        <f ca="1">IF(C65=1,Reeksen!AI65*((F65-G65+F65)/2)*12+Reeksen!AD65*((L65-M65+L65)/2)*12,0)</f>
        <v>0</v>
      </c>
      <c r="AJ65" s="71">
        <f ca="1">-AI65*'Invoer gegevens'!$F$28</f>
        <v>0</v>
      </c>
      <c r="AK65" s="71">
        <f t="shared" ca="1" si="6"/>
        <v>0</v>
      </c>
      <c r="AL65" s="71">
        <f ca="1">IF(C65=1,Reeksen!AL65*((F65-G65+F65)/2)*12+Reeksen!AM65*((L65-M65+L65)/2)*12,0)</f>
        <v>0</v>
      </c>
      <c r="AM65" s="71">
        <f ca="1">-AL65*'Invoer gegevens'!$F$31</f>
        <v>0</v>
      </c>
      <c r="AN65" s="71">
        <f t="shared" ca="1" si="7"/>
        <v>0</v>
      </c>
      <c r="AO65" s="71">
        <f ca="1">IF(C65=1,(H65+J65+N65+P65)*Reeksen!AN65,0)</f>
        <v>0</v>
      </c>
      <c r="AP65" s="71">
        <f ca="1">-IF(C65=1,(H65+J65+N65+P65)*'Hulp - basis'!$G$550*Reeksen!H65,0)</f>
        <v>0</v>
      </c>
      <c r="AQ65" s="71">
        <f ca="1">-IF(C65=1,(F65+K65+L65+Q65)/2*'Invoer gegevens'!$F$35*Reeksen!J65,0)*2</f>
        <v>0</v>
      </c>
      <c r="AR65" s="71"/>
      <c r="AS65" s="71">
        <f ca="1">-IF(C65=1,(F65+K65+L65+Q65)/2*'Invoer gegevens'!$F$37*Reeksen!L65,0)</f>
        <v>0</v>
      </c>
      <c r="AT65" s="71">
        <f ca="1">-IF(C65=1,IF(E65='Invoer gegevens'!$C$17,'Invoer gegevens'!$C$11,AD65)*Reeksen!S65*'Invoer gegevens'!$C$18*Reeksen!P65,0)</f>
        <v>0</v>
      </c>
      <c r="AU65" s="71">
        <f ca="1">-IF(C65=1,(F65+K65+L65+Q65)/2*'Invoer gegevens'!$F$38*Reeksen!H65,0)</f>
        <v>0</v>
      </c>
      <c r="AV65" s="71">
        <f t="shared" si="11"/>
        <v>0</v>
      </c>
      <c r="AW65" s="71">
        <f t="shared" ca="1" si="8"/>
        <v>0</v>
      </c>
      <c r="AX65" s="71">
        <f ca="1">IF(E65&lt;'Invoer gegevens'!$C$17+15,0,IF(E65&gt;'Invoer gegevens'!$C$17+215,0,AW65))</f>
        <v>0</v>
      </c>
      <c r="AY65" s="71">
        <f ca="1">AX65/(1+'Invoer gegevens'!$F$18)^($AZ65-('Invoer gegevens'!$C$17-'Invoer gegevens'!$C$16))/(1+'Invoer gegevens'!$C$39)^('Invoer gegevens'!$C$17-'Invoer gegevens'!$C$16)</f>
        <v>0</v>
      </c>
      <c r="AZ65" s="68">
        <f ca="1">IF(E65-'Invoer gegevens'!$C$17-14.5&lt;0,0,E65-'Invoer gegevens'!$C$17-14.5)</f>
        <v>45.5</v>
      </c>
    </row>
    <row r="66" spans="1:52" x14ac:dyDescent="0.25">
      <c r="A66" s="59"/>
      <c r="B66" s="70">
        <f t="shared" si="9"/>
        <v>62</v>
      </c>
      <c r="C66" s="67">
        <f ca="1">IF(E66-'Invoer gegevens'!$C$17&lt;0,0,1)</f>
        <v>1</v>
      </c>
      <c r="D66" s="68">
        <f t="shared" si="10"/>
        <v>61.5</v>
      </c>
      <c r="E66" s="69">
        <f ca="1">IF('Invoer gegevens'!$C$16="","",E65+1)</f>
        <v>2080</v>
      </c>
      <c r="F66" s="84">
        <f ca="1">IF('Invoer gegevens'!$C$17=E66,'Invoer gegevens'!$C$10,IF(C66=1,K65,0))</f>
        <v>0</v>
      </c>
      <c r="G66" s="96">
        <f ca="1">IF(C66&gt;=1,F66*VLOOKUP(E66,Reeksen!$A$5:$B$76,2),0)</f>
        <v>0</v>
      </c>
      <c r="H66" s="84">
        <f ca="1">(1-('Invoer gegevens'!$F$20/12))*F66*MIN(Reeksen!B66,Reeksen!D66)</f>
        <v>0</v>
      </c>
      <c r="I66" s="84">
        <f>IF(Reeksen!D66&lt;Reeksen!B66,(Reeksen!B66-Reeksen!D66)*F66,0)</f>
        <v>0</v>
      </c>
      <c r="J66" s="84">
        <f ca="1">('Invoer gegevens'!$F$20/12)*F65*MIN(Reeksen!B65,Reeksen!D65)</f>
        <v>0</v>
      </c>
      <c r="K66" s="97">
        <f t="shared" ca="1" si="0"/>
        <v>0</v>
      </c>
      <c r="L66" s="84">
        <f ca="1">IF('Invoer gegevens'!$C$17=E66,0,IF(C66=1,Q65,0))</f>
        <v>0</v>
      </c>
      <c r="M66" s="96">
        <f ca="1">IF(C66&gt;=1,L66*VLOOKUP(E66,Reeksen!$A$5:$B$76,2),0)</f>
        <v>0</v>
      </c>
      <c r="N66" s="84">
        <f ca="1">(1-('Invoer gegevens'!$F$20/12))*L66*MIN(Reeksen!B66,Reeksen!D66)</f>
        <v>0</v>
      </c>
      <c r="O66" s="84">
        <f>IF(Reeksen!D66&lt;Reeksen!B66,(Reeksen!B66-Reeksen!D66)*L66,0)</f>
        <v>0</v>
      </c>
      <c r="P66" s="84">
        <f ca="1">('Invoer gegevens'!$F$20/12)*L65*MIN(Reeksen!B65,Reeksen!D65)</f>
        <v>0</v>
      </c>
      <c r="Q66" s="84">
        <f t="shared" ca="1" si="1"/>
        <v>0</v>
      </c>
      <c r="R66" s="82">
        <f ca="1">IF('Invoer gegevens'!$C$17=E66,'Invoer gegevens'!$C$11,IF(C66=1,W65,0))</f>
        <v>0</v>
      </c>
      <c r="S66" s="86">
        <f ca="1">IF(C66&gt;=1,R66*VLOOKUP(E66,Reeksen!$A$5:$B$76,2),0)</f>
        <v>0</v>
      </c>
      <c r="T66" s="84">
        <f ca="1">(1-('Invoer gegevens'!$F$20/12))*R66*MIN(Reeksen!B66,Reeksen!D66)</f>
        <v>0</v>
      </c>
      <c r="U66" s="84">
        <f>IF(Reeksen!D66&gt;=Reeksen!B66,0,IF(Reeksen!AD66&lt;=Reeksen!AE66,(Reeksen!B66-Reeksen!D66)*R66,0))</f>
        <v>0</v>
      </c>
      <c r="V66" s="86">
        <f>IF(Reeksen!D66&gt;=Reeksen!B66,0,IF(Reeksen!AD66&gt;Reeksen!AE66,(Reeksen!B66-Reeksen!D66)*R66,0))</f>
        <v>0</v>
      </c>
      <c r="W66" s="97">
        <f t="shared" ca="1" si="2"/>
        <v>0</v>
      </c>
      <c r="X66" s="98">
        <f ca="1">IF('Invoer gegevens'!$C$17=E66,'Invoer gegevens'!$C$10-'Invoer gegevens'!$C$11,IF(C66=1,AC65,0))</f>
        <v>0</v>
      </c>
      <c r="Y66" s="98">
        <f ca="1">IF(C66&gt;=1,X66*VLOOKUP(E66,Reeksen!$A$5:$B$76,2),0)</f>
        <v>0</v>
      </c>
      <c r="Z66" s="98">
        <f ca="1">(1-('Invoer gegevens'!$F$20/12))*X66*MIN(Reeksen!B66,Reeksen!D66)</f>
        <v>0</v>
      </c>
      <c r="AA66" s="98">
        <f>IF(Reeksen!D66&gt;=Reeksen!B66,0,IF(Reeksen!AD66&lt;=Reeksen!AE66,(Reeksen!B66-Reeksen!D66)*X66,0))</f>
        <v>0</v>
      </c>
      <c r="AB66" s="98">
        <f>IF(Reeksen!D66&gt;=Reeksen!B66,0,IF(Reeksen!AD66&gt;Reeksen!AE66,(Reeksen!B66-Reeksen!D66)*X66,0))</f>
        <v>0</v>
      </c>
      <c r="AC66" s="99">
        <f t="shared" ca="1" si="3"/>
        <v>0</v>
      </c>
      <c r="AD66" s="98">
        <f ca="1">IF('Invoer gegevens'!$C$17=E66,R66,IF(C66=0,0,AE65))</f>
        <v>0</v>
      </c>
      <c r="AE66" s="98">
        <f t="shared" ca="1" si="4"/>
        <v>0</v>
      </c>
      <c r="AF66" s="98">
        <f ca="1">IF('Invoer gegevens'!$C$17=E66,X66,IF(C66=0,0,AG65))</f>
        <v>0</v>
      </c>
      <c r="AG66" s="98">
        <f t="shared" ca="1" si="5"/>
        <v>0</v>
      </c>
      <c r="AH66" s="66"/>
      <c r="AI66" s="71">
        <f ca="1">IF(C66=1,Reeksen!AI66*((F66-G66+F66)/2)*12+Reeksen!AD66*((L66-M66+L66)/2)*12,0)</f>
        <v>0</v>
      </c>
      <c r="AJ66" s="71">
        <f ca="1">-AI66*'Invoer gegevens'!$F$28</f>
        <v>0</v>
      </c>
      <c r="AK66" s="71">
        <f t="shared" ca="1" si="6"/>
        <v>0</v>
      </c>
      <c r="AL66" s="71">
        <f ca="1">IF(C66=1,Reeksen!AL66*((F66-G66+F66)/2)*12+Reeksen!AM66*((L66-M66+L66)/2)*12,0)</f>
        <v>0</v>
      </c>
      <c r="AM66" s="71">
        <f ca="1">-AL66*'Invoer gegevens'!$F$31</f>
        <v>0</v>
      </c>
      <c r="AN66" s="71">
        <f t="shared" ca="1" si="7"/>
        <v>0</v>
      </c>
      <c r="AO66" s="71">
        <f ca="1">IF(C66=1,(H66+J66+N66+P66)*Reeksen!AN66,0)</f>
        <v>0</v>
      </c>
      <c r="AP66" s="71">
        <f ca="1">-IF(C66=1,(H66+J66+N66+P66)*'Hulp - basis'!$G$550*Reeksen!H66,0)</f>
        <v>0</v>
      </c>
      <c r="AQ66" s="71">
        <f ca="1">-IF(C66=1,(F66+K66+L66+Q66)/2*'Invoer gegevens'!$F$35*Reeksen!J66,0)*2</f>
        <v>0</v>
      </c>
      <c r="AR66" s="71"/>
      <c r="AS66" s="71">
        <f ca="1">-IF(C66=1,(F66+K66+L66+Q66)/2*'Invoer gegevens'!$F$37*Reeksen!L66,0)</f>
        <v>0</v>
      </c>
      <c r="AT66" s="71">
        <f ca="1">-IF(C66=1,IF(E66='Invoer gegevens'!$C$17,'Invoer gegevens'!$C$11,AD66)*Reeksen!S66*'Invoer gegevens'!$C$18*Reeksen!P66,0)</f>
        <v>0</v>
      </c>
      <c r="AU66" s="71">
        <f ca="1">-IF(C66=1,(F66+K66+L66+Q66)/2*'Invoer gegevens'!$F$38*Reeksen!H66,0)</f>
        <v>0</v>
      </c>
      <c r="AV66" s="71">
        <f t="shared" si="11"/>
        <v>0</v>
      </c>
      <c r="AW66" s="71">
        <f t="shared" ca="1" si="8"/>
        <v>0</v>
      </c>
      <c r="AX66" s="71">
        <f ca="1">IF(E66&lt;'Invoer gegevens'!$C$17+15,0,IF(E66&gt;'Invoer gegevens'!$C$17+215,0,AW66))</f>
        <v>0</v>
      </c>
      <c r="AY66" s="71">
        <f ca="1">AX66/(1+'Invoer gegevens'!$F$18)^($AZ66-('Invoer gegevens'!$C$17-'Invoer gegevens'!$C$16))/(1+'Invoer gegevens'!$C$39)^('Invoer gegevens'!$C$17-'Invoer gegevens'!$C$16)</f>
        <v>0</v>
      </c>
      <c r="AZ66" s="68">
        <f ca="1">IF(E66-'Invoer gegevens'!$C$17-14.5&lt;0,0,E66-'Invoer gegevens'!$C$17-14.5)</f>
        <v>46.5</v>
      </c>
    </row>
    <row r="67" spans="1:52" x14ac:dyDescent="0.25">
      <c r="A67" s="59"/>
      <c r="B67" s="70">
        <f t="shared" si="9"/>
        <v>63</v>
      </c>
      <c r="C67" s="67">
        <f ca="1">IF(E67-'Invoer gegevens'!$C$17&lt;0,0,1)</f>
        <v>1</v>
      </c>
      <c r="D67" s="68">
        <f t="shared" si="10"/>
        <v>62.5</v>
      </c>
      <c r="E67" s="69">
        <f ca="1">IF('Invoer gegevens'!$C$16="","",E66+1)</f>
        <v>2081</v>
      </c>
      <c r="F67" s="84">
        <f ca="1">IF('Invoer gegevens'!$C$17=E67,'Invoer gegevens'!$C$10,IF(C67=1,K66,0))</f>
        <v>0</v>
      </c>
      <c r="G67" s="96">
        <f ca="1">IF(C67&gt;=1,F67*VLOOKUP(E67,Reeksen!$A$5:$B$76,2),0)</f>
        <v>0</v>
      </c>
      <c r="H67" s="84">
        <f ca="1">(1-('Invoer gegevens'!$F$20/12))*F67*MIN(Reeksen!B67,Reeksen!D67)</f>
        <v>0</v>
      </c>
      <c r="I67" s="84">
        <f>IF(Reeksen!D67&lt;Reeksen!B67,(Reeksen!B67-Reeksen!D67)*F67,0)</f>
        <v>0</v>
      </c>
      <c r="J67" s="84">
        <f ca="1">('Invoer gegevens'!$F$20/12)*F66*MIN(Reeksen!B66,Reeksen!D66)</f>
        <v>0</v>
      </c>
      <c r="K67" s="97">
        <f t="shared" ca="1" si="0"/>
        <v>0</v>
      </c>
      <c r="L67" s="84">
        <f ca="1">IF('Invoer gegevens'!$C$17=E67,0,IF(C67=1,Q66,0))</f>
        <v>0</v>
      </c>
      <c r="M67" s="96">
        <f ca="1">IF(C67&gt;=1,L67*VLOOKUP(E67,Reeksen!$A$5:$B$76,2),0)</f>
        <v>0</v>
      </c>
      <c r="N67" s="84">
        <f ca="1">(1-('Invoer gegevens'!$F$20/12))*L67*MIN(Reeksen!B67,Reeksen!D67)</f>
        <v>0</v>
      </c>
      <c r="O67" s="84">
        <f>IF(Reeksen!D67&lt;Reeksen!B67,(Reeksen!B67-Reeksen!D67)*L67,0)</f>
        <v>0</v>
      </c>
      <c r="P67" s="84">
        <f ca="1">('Invoer gegevens'!$F$20/12)*L66*MIN(Reeksen!B66,Reeksen!D66)</f>
        <v>0</v>
      </c>
      <c r="Q67" s="84">
        <f t="shared" ca="1" si="1"/>
        <v>0</v>
      </c>
      <c r="R67" s="82">
        <f ca="1">IF('Invoer gegevens'!$C$17=E67,'Invoer gegevens'!$C$11,IF(C67=1,W66,0))</f>
        <v>0</v>
      </c>
      <c r="S67" s="86">
        <f ca="1">IF(C67&gt;=1,R67*VLOOKUP(E67,Reeksen!$A$5:$B$76,2),0)</f>
        <v>0</v>
      </c>
      <c r="T67" s="84">
        <f ca="1">(1-('Invoer gegevens'!$F$20/12))*R67*MIN(Reeksen!B67,Reeksen!D67)</f>
        <v>0</v>
      </c>
      <c r="U67" s="84">
        <f>IF(Reeksen!D67&gt;=Reeksen!B67,0,IF(Reeksen!AD67&lt;=Reeksen!AE67,(Reeksen!B67-Reeksen!D67)*R67,0))</f>
        <v>0</v>
      </c>
      <c r="V67" s="86">
        <f>IF(Reeksen!D67&gt;=Reeksen!B67,0,IF(Reeksen!AD67&gt;Reeksen!AE67,(Reeksen!B67-Reeksen!D67)*R67,0))</f>
        <v>0</v>
      </c>
      <c r="W67" s="97">
        <f t="shared" ca="1" si="2"/>
        <v>0</v>
      </c>
      <c r="X67" s="98">
        <f ca="1">IF('Invoer gegevens'!$C$17=E67,'Invoer gegevens'!$C$10-'Invoer gegevens'!$C$11,IF(C67=1,AC66,0))</f>
        <v>0</v>
      </c>
      <c r="Y67" s="98">
        <f ca="1">IF(C67&gt;=1,X67*VLOOKUP(E67,Reeksen!$A$5:$B$76,2),0)</f>
        <v>0</v>
      </c>
      <c r="Z67" s="98">
        <f ca="1">(1-('Invoer gegevens'!$F$20/12))*X67*MIN(Reeksen!B67,Reeksen!D67)</f>
        <v>0</v>
      </c>
      <c r="AA67" s="98">
        <f>IF(Reeksen!D67&gt;=Reeksen!B67,0,IF(Reeksen!AD67&lt;=Reeksen!AE67,(Reeksen!B67-Reeksen!D67)*X67,0))</f>
        <v>0</v>
      </c>
      <c r="AB67" s="98">
        <f>IF(Reeksen!D67&gt;=Reeksen!B67,0,IF(Reeksen!AD67&gt;Reeksen!AE67,(Reeksen!B67-Reeksen!D67)*X67,0))</f>
        <v>0</v>
      </c>
      <c r="AC67" s="99">
        <f t="shared" ca="1" si="3"/>
        <v>0</v>
      </c>
      <c r="AD67" s="98">
        <f ca="1">IF('Invoer gegevens'!$C$17=E67,R67,IF(C67=0,0,AE66))</f>
        <v>0</v>
      </c>
      <c r="AE67" s="98">
        <f t="shared" ca="1" si="4"/>
        <v>0</v>
      </c>
      <c r="AF67" s="98">
        <f ca="1">IF('Invoer gegevens'!$C$17=E67,X67,IF(C67=0,0,AG66))</f>
        <v>0</v>
      </c>
      <c r="AG67" s="98">
        <f t="shared" ca="1" si="5"/>
        <v>0</v>
      </c>
      <c r="AH67" s="66"/>
      <c r="AI67" s="71">
        <f ca="1">IF(C67=1,Reeksen!AI67*((F67-G67+F67)/2)*12+Reeksen!AD67*((L67-M67+L67)/2)*12,0)</f>
        <v>0</v>
      </c>
      <c r="AJ67" s="71">
        <f ca="1">-AI67*'Invoer gegevens'!$F$28</f>
        <v>0</v>
      </c>
      <c r="AK67" s="71">
        <f t="shared" ca="1" si="6"/>
        <v>0</v>
      </c>
      <c r="AL67" s="71">
        <f ca="1">IF(C67=1,Reeksen!AL67*((F67-G67+F67)/2)*12+Reeksen!AM67*((L67-M67+L67)/2)*12,0)</f>
        <v>0</v>
      </c>
      <c r="AM67" s="71">
        <f ca="1">-AL67*'Invoer gegevens'!$F$31</f>
        <v>0</v>
      </c>
      <c r="AN67" s="71">
        <f t="shared" ca="1" si="7"/>
        <v>0</v>
      </c>
      <c r="AO67" s="71">
        <f ca="1">IF(C67=1,(H67+J67+N67+P67)*Reeksen!AN67,0)</f>
        <v>0</v>
      </c>
      <c r="AP67" s="71">
        <f ca="1">-IF(C67=1,(H67+J67+N67+P67)*'Hulp - basis'!$G$550*Reeksen!H67,0)</f>
        <v>0</v>
      </c>
      <c r="AQ67" s="71">
        <f ca="1">-IF(C67=1,(F67+K67+L67+Q67)/2*'Invoer gegevens'!$F$35*Reeksen!J67,0)*2</f>
        <v>0</v>
      </c>
      <c r="AR67" s="71"/>
      <c r="AS67" s="71">
        <f ca="1">-IF(C67=1,(F67+K67+L67+Q67)/2*'Invoer gegevens'!$F$37*Reeksen!L67,0)</f>
        <v>0</v>
      </c>
      <c r="AT67" s="71">
        <f ca="1">-IF(C67=1,IF(E67='Invoer gegevens'!$C$17,'Invoer gegevens'!$C$11,AD67)*Reeksen!S67*'Invoer gegevens'!$C$18*Reeksen!P67,0)</f>
        <v>0</v>
      </c>
      <c r="AU67" s="71">
        <f ca="1">-IF(C67=1,(F67+K67+L67+Q67)/2*'Invoer gegevens'!$F$38*Reeksen!H67,0)</f>
        <v>0</v>
      </c>
      <c r="AV67" s="71">
        <f t="shared" si="11"/>
        <v>0</v>
      </c>
      <c r="AW67" s="71">
        <f t="shared" ca="1" si="8"/>
        <v>0</v>
      </c>
      <c r="AX67" s="71">
        <f ca="1">IF(E67&lt;'Invoer gegevens'!$C$17+15,0,IF(E67&gt;'Invoer gegevens'!$C$17+215,0,AW67))</f>
        <v>0</v>
      </c>
      <c r="AY67" s="71">
        <f ca="1">AX67/(1+'Invoer gegevens'!$F$18)^($AZ67-('Invoer gegevens'!$C$17-'Invoer gegevens'!$C$16))/(1+'Invoer gegevens'!$C$39)^('Invoer gegevens'!$C$17-'Invoer gegevens'!$C$16)</f>
        <v>0</v>
      </c>
      <c r="AZ67" s="68">
        <f ca="1">IF(E67-'Invoer gegevens'!$C$17-14.5&lt;0,0,E67-'Invoer gegevens'!$C$17-14.5)</f>
        <v>47.5</v>
      </c>
    </row>
    <row r="68" spans="1:52" x14ac:dyDescent="0.25">
      <c r="A68" s="59"/>
      <c r="B68" s="70">
        <f t="shared" si="9"/>
        <v>64</v>
      </c>
      <c r="C68" s="67">
        <f ca="1">IF(E68-'Invoer gegevens'!$C$17&lt;0,0,1)</f>
        <v>1</v>
      </c>
      <c r="D68" s="68">
        <f t="shared" si="10"/>
        <v>63.5</v>
      </c>
      <c r="E68" s="69">
        <f ca="1">IF('Invoer gegevens'!$C$16="","",E67+1)</f>
        <v>2082</v>
      </c>
      <c r="F68" s="84">
        <f ca="1">IF('Invoer gegevens'!$C$17=E68,'Invoer gegevens'!$C$10,IF(C68=1,K67,0))</f>
        <v>0</v>
      </c>
      <c r="G68" s="96">
        <f ca="1">IF(C68&gt;=1,F68*VLOOKUP(E68,Reeksen!$A$5:$B$76,2),0)</f>
        <v>0</v>
      </c>
      <c r="H68" s="84">
        <f ca="1">(1-('Invoer gegevens'!$F$20/12))*F68*MIN(Reeksen!B68,Reeksen!D68)</f>
        <v>0</v>
      </c>
      <c r="I68" s="84">
        <f>IF(Reeksen!D68&lt;Reeksen!B68,(Reeksen!B68-Reeksen!D68)*F68,0)</f>
        <v>0</v>
      </c>
      <c r="J68" s="84">
        <f ca="1">('Invoer gegevens'!$F$20/12)*F67*MIN(Reeksen!B67,Reeksen!D67)</f>
        <v>0</v>
      </c>
      <c r="K68" s="97">
        <f t="shared" ca="1" si="0"/>
        <v>0</v>
      </c>
      <c r="L68" s="84">
        <f ca="1">IF('Invoer gegevens'!$C$17=E68,0,IF(C68=1,Q67,0))</f>
        <v>0</v>
      </c>
      <c r="M68" s="96">
        <f ca="1">IF(C68&gt;=1,L68*VLOOKUP(E68,Reeksen!$A$5:$B$76,2),0)</f>
        <v>0</v>
      </c>
      <c r="N68" s="84">
        <f ca="1">(1-('Invoer gegevens'!$F$20/12))*L68*MIN(Reeksen!B68,Reeksen!D68)</f>
        <v>0</v>
      </c>
      <c r="O68" s="84">
        <f>IF(Reeksen!D68&lt;Reeksen!B68,(Reeksen!B68-Reeksen!D68)*L68,0)</f>
        <v>0</v>
      </c>
      <c r="P68" s="84">
        <f ca="1">('Invoer gegevens'!$F$20/12)*L67*MIN(Reeksen!B67,Reeksen!D67)</f>
        <v>0</v>
      </c>
      <c r="Q68" s="84">
        <f t="shared" ca="1" si="1"/>
        <v>0</v>
      </c>
      <c r="R68" s="82">
        <f ca="1">IF('Invoer gegevens'!$C$17=E68,'Invoer gegevens'!$C$11,IF(C68=1,W67,0))</f>
        <v>0</v>
      </c>
      <c r="S68" s="86">
        <f ca="1">IF(C68&gt;=1,R68*VLOOKUP(E68,Reeksen!$A$5:$B$76,2),0)</f>
        <v>0</v>
      </c>
      <c r="T68" s="84">
        <f ca="1">(1-('Invoer gegevens'!$F$20/12))*R68*MIN(Reeksen!B68,Reeksen!D68)</f>
        <v>0</v>
      </c>
      <c r="U68" s="84">
        <f>IF(Reeksen!D68&gt;=Reeksen!B68,0,IF(Reeksen!AD68&lt;=Reeksen!AE68,(Reeksen!B68-Reeksen!D68)*R68,0))</f>
        <v>0</v>
      </c>
      <c r="V68" s="86">
        <f>IF(Reeksen!D68&gt;=Reeksen!B68,0,IF(Reeksen!AD68&gt;Reeksen!AE68,(Reeksen!B68-Reeksen!D68)*R68,0))</f>
        <v>0</v>
      </c>
      <c r="W68" s="97">
        <f t="shared" ca="1" si="2"/>
        <v>0</v>
      </c>
      <c r="X68" s="98">
        <f ca="1">IF('Invoer gegevens'!$C$17=E68,'Invoer gegevens'!$C$10-'Invoer gegevens'!$C$11,IF(C68=1,AC67,0))</f>
        <v>0</v>
      </c>
      <c r="Y68" s="98">
        <f ca="1">IF(C68&gt;=1,X68*VLOOKUP(E68,Reeksen!$A$5:$B$76,2),0)</f>
        <v>0</v>
      </c>
      <c r="Z68" s="98">
        <f ca="1">(1-('Invoer gegevens'!$F$20/12))*X68*MIN(Reeksen!B68,Reeksen!D68)</f>
        <v>0</v>
      </c>
      <c r="AA68" s="98">
        <f>IF(Reeksen!D68&gt;=Reeksen!B68,0,IF(Reeksen!AD68&lt;=Reeksen!AE68,(Reeksen!B68-Reeksen!D68)*X68,0))</f>
        <v>0</v>
      </c>
      <c r="AB68" s="98">
        <f>IF(Reeksen!D68&gt;=Reeksen!B68,0,IF(Reeksen!AD68&gt;Reeksen!AE68,(Reeksen!B68-Reeksen!D68)*X68,0))</f>
        <v>0</v>
      </c>
      <c r="AC68" s="99">
        <f t="shared" ca="1" si="3"/>
        <v>0</v>
      </c>
      <c r="AD68" s="98">
        <f ca="1">IF('Invoer gegevens'!$C$17=E68,R68,IF(C68=0,0,AE67))</f>
        <v>0</v>
      </c>
      <c r="AE68" s="98">
        <f t="shared" ca="1" si="4"/>
        <v>0</v>
      </c>
      <c r="AF68" s="98">
        <f ca="1">IF('Invoer gegevens'!$C$17=E68,X68,IF(C68=0,0,AG67))</f>
        <v>0</v>
      </c>
      <c r="AG68" s="98">
        <f t="shared" ca="1" si="5"/>
        <v>0</v>
      </c>
      <c r="AH68" s="66"/>
      <c r="AI68" s="71">
        <f ca="1">IF(C68=1,Reeksen!AI68*((F68-G68+F68)/2)*12+Reeksen!AD68*((L68-M68+L68)/2)*12,0)</f>
        <v>0</v>
      </c>
      <c r="AJ68" s="71">
        <f ca="1">-AI68*'Invoer gegevens'!$F$28</f>
        <v>0</v>
      </c>
      <c r="AK68" s="71">
        <f t="shared" ca="1" si="6"/>
        <v>0</v>
      </c>
      <c r="AL68" s="71">
        <f ca="1">IF(C68=1,Reeksen!AL68*((F68-G68+F68)/2)*12+Reeksen!AM68*((L68-M68+L68)/2)*12,0)</f>
        <v>0</v>
      </c>
      <c r="AM68" s="71">
        <f ca="1">-AL68*'Invoer gegevens'!$F$31</f>
        <v>0</v>
      </c>
      <c r="AN68" s="71">
        <f t="shared" ca="1" si="7"/>
        <v>0</v>
      </c>
      <c r="AO68" s="71">
        <f ca="1">IF(C68=1,(H68+J68+N68+P68)*Reeksen!AN68,0)</f>
        <v>0</v>
      </c>
      <c r="AP68" s="71">
        <f ca="1">-IF(C68=1,(H68+J68+N68+P68)*'Hulp - basis'!$G$550*Reeksen!H68,0)</f>
        <v>0</v>
      </c>
      <c r="AQ68" s="71">
        <f ca="1">-IF(C68=1,(F68+K68+L68+Q68)/2*'Invoer gegevens'!$F$35*Reeksen!J68,0)*2</f>
        <v>0</v>
      </c>
      <c r="AR68" s="71"/>
      <c r="AS68" s="71">
        <f ca="1">-IF(C68=1,(F68+K68+L68+Q68)/2*'Invoer gegevens'!$F$37*Reeksen!L68,0)</f>
        <v>0</v>
      </c>
      <c r="AT68" s="71">
        <f ca="1">-IF(C68=1,IF(E68='Invoer gegevens'!$C$17,'Invoer gegevens'!$C$11,AD68)*Reeksen!S68*'Invoer gegevens'!$C$18*Reeksen!P68,0)</f>
        <v>0</v>
      </c>
      <c r="AU68" s="71">
        <f ca="1">-IF(C68=1,(F68+K68+L68+Q68)/2*'Invoer gegevens'!$F$38*Reeksen!H68,0)</f>
        <v>0</v>
      </c>
      <c r="AV68" s="71">
        <f t="shared" si="11"/>
        <v>0</v>
      </c>
      <c r="AW68" s="71">
        <f t="shared" ca="1" si="8"/>
        <v>0</v>
      </c>
      <c r="AX68" s="71">
        <f ca="1">IF(E68&lt;'Invoer gegevens'!$C$17+15,0,IF(E68&gt;'Invoer gegevens'!$C$17+215,0,AW68))</f>
        <v>0</v>
      </c>
      <c r="AY68" s="71">
        <f ca="1">AX68/(1+'Invoer gegevens'!$F$18)^($AZ68-('Invoer gegevens'!$C$17-'Invoer gegevens'!$C$16))/(1+'Invoer gegevens'!$C$39)^('Invoer gegevens'!$C$17-'Invoer gegevens'!$C$16)</f>
        <v>0</v>
      </c>
      <c r="AZ68" s="68">
        <f ca="1">IF(E68-'Invoer gegevens'!$C$17-14.5&lt;0,0,E68-'Invoer gegevens'!$C$17-14.5)</f>
        <v>48.5</v>
      </c>
    </row>
    <row r="69" spans="1:52" x14ac:dyDescent="0.25">
      <c r="A69" s="59"/>
      <c r="B69" s="70">
        <f t="shared" si="9"/>
        <v>65</v>
      </c>
      <c r="C69" s="67">
        <f ca="1">IF(E69-'Invoer gegevens'!$C$17&lt;0,0,1)</f>
        <v>1</v>
      </c>
      <c r="D69" s="68">
        <f t="shared" si="10"/>
        <v>64.5</v>
      </c>
      <c r="E69" s="69">
        <f ca="1">IF('Invoer gegevens'!$C$16="","",E68+1)</f>
        <v>2083</v>
      </c>
      <c r="F69" s="84">
        <f ca="1">IF('Invoer gegevens'!$C$17=E69,'Invoer gegevens'!$C$10,IF(C69=1,K68,0))</f>
        <v>0</v>
      </c>
      <c r="G69" s="96">
        <f ca="1">IF(C69&gt;=1,F69*VLOOKUP(E69,Reeksen!$A$5:$B$76,2),0)</f>
        <v>0</v>
      </c>
      <c r="H69" s="84">
        <f ca="1">(1-('Invoer gegevens'!$F$20/12))*F69*MIN(Reeksen!B69,Reeksen!D69)</f>
        <v>0</v>
      </c>
      <c r="I69" s="84">
        <f>IF(Reeksen!D69&lt;Reeksen!B69,(Reeksen!B69-Reeksen!D69)*F69,0)</f>
        <v>0</v>
      </c>
      <c r="J69" s="84">
        <f ca="1">('Invoer gegevens'!$F$20/12)*F68*MIN(Reeksen!B68,Reeksen!D68)</f>
        <v>0</v>
      </c>
      <c r="K69" s="97">
        <f t="shared" ca="1" si="0"/>
        <v>0</v>
      </c>
      <c r="L69" s="84">
        <f ca="1">IF('Invoer gegevens'!$C$17=E69,0,IF(C69=1,Q68,0))</f>
        <v>0</v>
      </c>
      <c r="M69" s="96">
        <f ca="1">IF(C69&gt;=1,L69*VLOOKUP(E69,Reeksen!$A$5:$B$76,2),0)</f>
        <v>0</v>
      </c>
      <c r="N69" s="84">
        <f ca="1">(1-('Invoer gegevens'!$F$20/12))*L69*MIN(Reeksen!B69,Reeksen!D69)</f>
        <v>0</v>
      </c>
      <c r="O69" s="84">
        <f>IF(Reeksen!D69&lt;Reeksen!B69,(Reeksen!B69-Reeksen!D69)*L69,0)</f>
        <v>0</v>
      </c>
      <c r="P69" s="84">
        <f ca="1">('Invoer gegevens'!$F$20/12)*L68*MIN(Reeksen!B68,Reeksen!D68)</f>
        <v>0</v>
      </c>
      <c r="Q69" s="84">
        <f t="shared" ca="1" si="1"/>
        <v>0</v>
      </c>
      <c r="R69" s="82">
        <f ca="1">IF('Invoer gegevens'!$C$17=E69,'Invoer gegevens'!$C$11,IF(C69=1,W68,0))</f>
        <v>0</v>
      </c>
      <c r="S69" s="86">
        <f ca="1">IF(C69&gt;=1,R69*VLOOKUP(E69,Reeksen!$A$5:$B$76,2),0)</f>
        <v>0</v>
      </c>
      <c r="T69" s="84">
        <f ca="1">(1-('Invoer gegevens'!$F$20/12))*R69*MIN(Reeksen!B69,Reeksen!D69)</f>
        <v>0</v>
      </c>
      <c r="U69" s="84">
        <f>IF(Reeksen!D69&gt;=Reeksen!B69,0,IF(Reeksen!AD69&lt;=Reeksen!AE69,(Reeksen!B69-Reeksen!D69)*R69,0))</f>
        <v>0</v>
      </c>
      <c r="V69" s="86">
        <f>IF(Reeksen!D69&gt;=Reeksen!B69,0,IF(Reeksen!AD69&gt;Reeksen!AE69,(Reeksen!B69-Reeksen!D69)*R69,0))</f>
        <v>0</v>
      </c>
      <c r="W69" s="97">
        <f t="shared" ca="1" si="2"/>
        <v>0</v>
      </c>
      <c r="X69" s="98">
        <f ca="1">IF('Invoer gegevens'!$C$17=E69,'Invoer gegevens'!$C$10-'Invoer gegevens'!$C$11,IF(C69=1,AC68,0))</f>
        <v>0</v>
      </c>
      <c r="Y69" s="98">
        <f ca="1">IF(C69&gt;=1,X69*VLOOKUP(E69,Reeksen!$A$5:$B$76,2),0)</f>
        <v>0</v>
      </c>
      <c r="Z69" s="98">
        <f ca="1">(1-('Invoer gegevens'!$F$20/12))*X69*MIN(Reeksen!B69,Reeksen!D69)</f>
        <v>0</v>
      </c>
      <c r="AA69" s="98">
        <f>IF(Reeksen!D69&gt;=Reeksen!B69,0,IF(Reeksen!AD69&lt;=Reeksen!AE69,(Reeksen!B69-Reeksen!D69)*X69,0))</f>
        <v>0</v>
      </c>
      <c r="AB69" s="98">
        <f>IF(Reeksen!D69&gt;=Reeksen!B69,0,IF(Reeksen!AD69&gt;Reeksen!AE69,(Reeksen!B69-Reeksen!D69)*X69,0))</f>
        <v>0</v>
      </c>
      <c r="AC69" s="99">
        <f t="shared" ca="1" si="3"/>
        <v>0</v>
      </c>
      <c r="AD69" s="98">
        <f ca="1">IF('Invoer gegevens'!$C$17=E69,R69,IF(C69=0,0,AE68))</f>
        <v>0</v>
      </c>
      <c r="AE69" s="98">
        <f t="shared" ca="1" si="4"/>
        <v>0</v>
      </c>
      <c r="AF69" s="98">
        <f ca="1">IF('Invoer gegevens'!$C$17=E69,X69,IF(C69=0,0,AG68))</f>
        <v>0</v>
      </c>
      <c r="AG69" s="98">
        <f t="shared" ca="1" si="5"/>
        <v>0</v>
      </c>
      <c r="AH69" s="66"/>
      <c r="AI69" s="71">
        <f ca="1">IF(C69=1,Reeksen!AI69*((F69-G69+F69)/2)*12+Reeksen!AD69*((L69-M69+L69)/2)*12,0)</f>
        <v>0</v>
      </c>
      <c r="AJ69" s="71">
        <f ca="1">-AI69*'Invoer gegevens'!$F$28</f>
        <v>0</v>
      </c>
      <c r="AK69" s="71">
        <f t="shared" ca="1" si="6"/>
        <v>0</v>
      </c>
      <c r="AL69" s="71">
        <f ca="1">IF(C69=1,Reeksen!AL69*((F69-G69+F69)/2)*12+Reeksen!AM69*((L69-M69+L69)/2)*12,0)</f>
        <v>0</v>
      </c>
      <c r="AM69" s="71">
        <f ca="1">-AL69*'Invoer gegevens'!$F$31</f>
        <v>0</v>
      </c>
      <c r="AN69" s="71">
        <f t="shared" ca="1" si="7"/>
        <v>0</v>
      </c>
      <c r="AO69" s="71">
        <f ca="1">IF(C69=1,(H69+J69+N69+P69)*Reeksen!AN69,0)</f>
        <v>0</v>
      </c>
      <c r="AP69" s="71">
        <f ca="1">-IF(C69=1,(H69+J69+N69+P69)*'Hulp - basis'!$G$550*Reeksen!H69,0)</f>
        <v>0</v>
      </c>
      <c r="AQ69" s="71">
        <f ca="1">-IF(C69=1,(F69+K69+L69+Q69)/2*'Invoer gegevens'!$F$35*Reeksen!J69,0)*2</f>
        <v>0</v>
      </c>
      <c r="AR69" s="71"/>
      <c r="AS69" s="71">
        <f ca="1">-IF(C69=1,(F69+K69+L69+Q69)/2*'Invoer gegevens'!$F$37*Reeksen!L69,0)</f>
        <v>0</v>
      </c>
      <c r="AT69" s="71">
        <f ca="1">-IF(C69=1,IF(E69='Invoer gegevens'!$C$17,'Invoer gegevens'!$C$11,AD69)*Reeksen!S69*'Invoer gegevens'!$C$18*Reeksen!P69,0)</f>
        <v>0</v>
      </c>
      <c r="AU69" s="71">
        <f ca="1">-IF(C69=1,(F69+K69+L69+Q69)/2*'Invoer gegevens'!$F$38*Reeksen!H69,0)</f>
        <v>0</v>
      </c>
      <c r="AV69" s="71">
        <f t="shared" si="11"/>
        <v>0</v>
      </c>
      <c r="AW69" s="71">
        <f t="shared" ca="1" si="8"/>
        <v>0</v>
      </c>
      <c r="AX69" s="71">
        <f ca="1">IF(E69&lt;'Invoer gegevens'!$C$17+15,0,IF(E69&gt;'Invoer gegevens'!$C$17+215,0,AW69))</f>
        <v>0</v>
      </c>
      <c r="AY69" s="71">
        <f ca="1">AX69/(1+'Invoer gegevens'!$F$18)^($AZ69-('Invoer gegevens'!$C$17-'Invoer gegevens'!$C$16))/(1+'Invoer gegevens'!$C$39)^('Invoer gegevens'!$C$17-'Invoer gegevens'!$C$16)</f>
        <v>0</v>
      </c>
      <c r="AZ69" s="68">
        <f ca="1">IF(E69-'Invoer gegevens'!$C$17-14.5&lt;0,0,E69-'Invoer gegevens'!$C$17-14.5)</f>
        <v>49.5</v>
      </c>
    </row>
    <row r="70" spans="1:52" x14ac:dyDescent="0.25">
      <c r="A70" s="59"/>
      <c r="B70" s="70">
        <f t="shared" si="9"/>
        <v>66</v>
      </c>
      <c r="C70" s="67">
        <f ca="1">IF(E70-'Invoer gegevens'!$C$17&lt;0,0,1)</f>
        <v>1</v>
      </c>
      <c r="D70" s="68">
        <f t="shared" si="10"/>
        <v>65.5</v>
      </c>
      <c r="E70" s="69">
        <f ca="1">IF('Invoer gegevens'!$C$16="","",E69+1)</f>
        <v>2084</v>
      </c>
      <c r="F70" s="84">
        <f ca="1">IF('Invoer gegevens'!$C$17=E70,'Invoer gegevens'!$C$10,IF(C70=1,K69,0))</f>
        <v>0</v>
      </c>
      <c r="G70" s="96">
        <f ca="1">IF(C70&gt;=1,F70*VLOOKUP(E70,Reeksen!$A$5:$B$76,2),0)</f>
        <v>0</v>
      </c>
      <c r="H70" s="84">
        <f ca="1">(1-('Invoer gegevens'!$F$20/12))*F70*MIN(Reeksen!B70,Reeksen!D70)</f>
        <v>0</v>
      </c>
      <c r="I70" s="84">
        <f>IF(Reeksen!D70&lt;Reeksen!B70,(Reeksen!B70-Reeksen!D70)*F70,0)</f>
        <v>0</v>
      </c>
      <c r="J70" s="84">
        <f ca="1">('Invoer gegevens'!$F$20/12)*F69*MIN(Reeksen!B69,Reeksen!D69)</f>
        <v>0</v>
      </c>
      <c r="K70" s="97">
        <f t="shared" ref="K70:K133" ca="1" si="12">F70-G70</f>
        <v>0</v>
      </c>
      <c r="L70" s="84">
        <f ca="1">IF('Invoer gegevens'!$C$17=E70,0,IF(C70=1,Q69,0))</f>
        <v>0</v>
      </c>
      <c r="M70" s="96">
        <f ca="1">IF(C70&gt;=1,L70*VLOOKUP(E70,Reeksen!$A$5:$B$76,2),0)</f>
        <v>0</v>
      </c>
      <c r="N70" s="84">
        <f ca="1">(1-('Invoer gegevens'!$F$20/12))*L70*MIN(Reeksen!B70,Reeksen!D70)</f>
        <v>0</v>
      </c>
      <c r="O70" s="84">
        <f>IF(Reeksen!D70&lt;Reeksen!B70,(Reeksen!B70-Reeksen!D70)*L70,0)</f>
        <v>0</v>
      </c>
      <c r="P70" s="84">
        <f ca="1">('Invoer gegevens'!$F$20/12)*L69*MIN(Reeksen!B69,Reeksen!D69)</f>
        <v>0</v>
      </c>
      <c r="Q70" s="84">
        <f t="shared" ref="Q70:Q133" ca="1" si="13">L70-M70+I70+O70</f>
        <v>0</v>
      </c>
      <c r="R70" s="82">
        <f ca="1">IF('Invoer gegevens'!$C$17=E70,'Invoer gegevens'!$C$11,IF(C70=1,W69,0))</f>
        <v>0</v>
      </c>
      <c r="S70" s="86">
        <f ca="1">IF(C70&gt;=1,R70*VLOOKUP(E70,Reeksen!$A$5:$B$76,2),0)</f>
        <v>0</v>
      </c>
      <c r="T70" s="84">
        <f ca="1">(1-('Invoer gegevens'!$F$20/12))*R70*MIN(Reeksen!B70,Reeksen!D70)</f>
        <v>0</v>
      </c>
      <c r="U70" s="84">
        <f>IF(Reeksen!D70&gt;=Reeksen!B70,0,IF(Reeksen!AD70&lt;=Reeksen!AE70,(Reeksen!B70-Reeksen!D70)*R70,0))</f>
        <v>0</v>
      </c>
      <c r="V70" s="86">
        <f>IF(Reeksen!D70&gt;=Reeksen!B70,0,IF(Reeksen!AD70&gt;Reeksen!AE70,(Reeksen!B70-Reeksen!D70)*R70,0))</f>
        <v>0</v>
      </c>
      <c r="W70" s="97">
        <f t="shared" ref="W70:W133" ca="1" si="14">R70-S70</f>
        <v>0</v>
      </c>
      <c r="X70" s="98">
        <f ca="1">IF('Invoer gegevens'!$C$17=E70,'Invoer gegevens'!$C$10-'Invoer gegevens'!$C$11,IF(C70=1,AC69,0))</f>
        <v>0</v>
      </c>
      <c r="Y70" s="98">
        <f ca="1">IF(C70&gt;=1,X70*VLOOKUP(E70,Reeksen!$A$5:$B$76,2),0)</f>
        <v>0</v>
      </c>
      <c r="Z70" s="98">
        <f ca="1">(1-('Invoer gegevens'!$F$20/12))*X70*MIN(Reeksen!B70,Reeksen!D70)</f>
        <v>0</v>
      </c>
      <c r="AA70" s="98">
        <f>IF(Reeksen!D70&gt;=Reeksen!B70,0,IF(Reeksen!AD70&lt;=Reeksen!AE70,(Reeksen!B70-Reeksen!D70)*X70,0))</f>
        <v>0</v>
      </c>
      <c r="AB70" s="98">
        <f>IF(Reeksen!D70&gt;=Reeksen!B70,0,IF(Reeksen!AD70&gt;Reeksen!AE70,(Reeksen!B70-Reeksen!D70)*X70,0))</f>
        <v>0</v>
      </c>
      <c r="AC70" s="99">
        <f t="shared" ref="AC70:AC133" ca="1" si="15">X70-Y70</f>
        <v>0</v>
      </c>
      <c r="AD70" s="98">
        <f ca="1">IF('Invoer gegevens'!$C$17=E70,R70,IF(C70=0,0,AE69))</f>
        <v>0</v>
      </c>
      <c r="AE70" s="98">
        <f t="shared" ref="AE70:AE133" ca="1" si="16">IF(C70=0,0,AD70-S70-V70+AA70)</f>
        <v>0</v>
      </c>
      <c r="AF70" s="98">
        <f ca="1">IF('Invoer gegevens'!$C$17=E70,X70,IF(C70=0,0,AG69))</f>
        <v>0</v>
      </c>
      <c r="AG70" s="98">
        <f t="shared" ref="AG70:AG133" ca="1" si="17">IF(C70=0,0,AF70-Y70-AA70+V70)</f>
        <v>0</v>
      </c>
      <c r="AH70" s="66"/>
      <c r="AI70" s="71">
        <f ca="1">IF(C70=1,Reeksen!AI70*((F70-G70+F70)/2)*12+Reeksen!AD70*((L70-M70+L70)/2)*12,0)</f>
        <v>0</v>
      </c>
      <c r="AJ70" s="71">
        <f ca="1">-AI70*'Invoer gegevens'!$F$28</f>
        <v>0</v>
      </c>
      <c r="AK70" s="71">
        <f t="shared" ref="AK70:AK133" ca="1" si="18">AI70+AJ70</f>
        <v>0</v>
      </c>
      <c r="AL70" s="71">
        <f ca="1">IF(C70=1,Reeksen!AL70*((F70-G70+F70)/2)*12+Reeksen!AM70*((L70-M70+L70)/2)*12,0)</f>
        <v>0</v>
      </c>
      <c r="AM70" s="71">
        <f ca="1">-AL70*'Invoer gegevens'!$F$31</f>
        <v>0</v>
      </c>
      <c r="AN70" s="71">
        <f t="shared" ref="AN70:AN133" ca="1" si="19">AL70+AM70</f>
        <v>0</v>
      </c>
      <c r="AO70" s="71">
        <f ca="1">IF(C70=1,(H70+J70+N70+P70)*Reeksen!AN70,0)</f>
        <v>0</v>
      </c>
      <c r="AP70" s="71">
        <f ca="1">-IF(C70=1,(H70+J70+N70+P70)*'Hulp - basis'!$G$550*Reeksen!H70,0)</f>
        <v>0</v>
      </c>
      <c r="AQ70" s="71">
        <f ca="1">-IF(C70=1,(F70+K70+L70+Q70)/2*'Invoer gegevens'!$F$35*Reeksen!J70,0)*2</f>
        <v>0</v>
      </c>
      <c r="AR70" s="71"/>
      <c r="AS70" s="71">
        <f ca="1">-IF(C70=1,(F70+K70+L70+Q70)/2*'Invoer gegevens'!$F$37*Reeksen!L70,0)</f>
        <v>0</v>
      </c>
      <c r="AT70" s="71">
        <f ca="1">-IF(C70=1,IF(E70='Invoer gegevens'!$C$17,'Invoer gegevens'!$C$11,AD70)*Reeksen!S70*'Invoer gegevens'!$C$18*Reeksen!P70,0)</f>
        <v>0</v>
      </c>
      <c r="AU70" s="71">
        <f ca="1">-IF(C70=1,(F70+K70+L70+Q70)/2*'Invoer gegevens'!$F$38*Reeksen!H70,0)</f>
        <v>0</v>
      </c>
      <c r="AV70" s="71">
        <f t="shared" si="11"/>
        <v>0</v>
      </c>
      <c r="AW70" s="71">
        <f t="shared" ref="AW70:AW133" ca="1" si="20">SUM(AK70,AN70:AV70)</f>
        <v>0</v>
      </c>
      <c r="AX70" s="71">
        <f ca="1">IF(E70&lt;'Invoer gegevens'!$C$17+15,0,IF(E70&gt;'Invoer gegevens'!$C$17+215,0,AW70))</f>
        <v>0</v>
      </c>
      <c r="AY70" s="71">
        <f ca="1">AX70/(1+'Invoer gegevens'!$F$18)^($AZ70-('Invoer gegevens'!$C$17-'Invoer gegevens'!$C$16))/(1+'Invoer gegevens'!$C$39)^('Invoer gegevens'!$C$17-'Invoer gegevens'!$C$16)</f>
        <v>0</v>
      </c>
      <c r="AZ70" s="68">
        <f ca="1">IF(E70-'Invoer gegevens'!$C$17-14.5&lt;0,0,E70-'Invoer gegevens'!$C$17-14.5)</f>
        <v>50.5</v>
      </c>
    </row>
    <row r="71" spans="1:52" x14ac:dyDescent="0.25">
      <c r="A71" s="59"/>
      <c r="B71" s="70">
        <f t="shared" si="9"/>
        <v>67</v>
      </c>
      <c r="C71" s="67">
        <f ca="1">IF(E71-'Invoer gegevens'!$C$17&lt;0,0,1)</f>
        <v>1</v>
      </c>
      <c r="D71" s="68">
        <f t="shared" si="10"/>
        <v>66.5</v>
      </c>
      <c r="E71" s="69">
        <f ca="1">IF('Invoer gegevens'!$C$16="","",E70+1)</f>
        <v>2085</v>
      </c>
      <c r="F71" s="84">
        <f ca="1">IF('Invoer gegevens'!$C$17=E71,'Invoer gegevens'!$C$10,IF(C71=1,K70,0))</f>
        <v>0</v>
      </c>
      <c r="G71" s="96">
        <f ca="1">IF(C71&gt;=1,F71*VLOOKUP(E71,Reeksen!$A$5:$B$76,2),0)</f>
        <v>0</v>
      </c>
      <c r="H71" s="84">
        <f ca="1">(1-('Invoer gegevens'!$F$20/12))*F71*MIN(Reeksen!B71,Reeksen!D71)</f>
        <v>0</v>
      </c>
      <c r="I71" s="84">
        <f>IF(Reeksen!D71&lt;Reeksen!B71,(Reeksen!B71-Reeksen!D71)*F71,0)</f>
        <v>0</v>
      </c>
      <c r="J71" s="84">
        <f ca="1">('Invoer gegevens'!$F$20/12)*F70*MIN(Reeksen!B70,Reeksen!D70)</f>
        <v>0</v>
      </c>
      <c r="K71" s="97">
        <f t="shared" ca="1" si="12"/>
        <v>0</v>
      </c>
      <c r="L71" s="84">
        <f ca="1">IF('Invoer gegevens'!$C$17=E71,0,IF(C71=1,Q70,0))</f>
        <v>0</v>
      </c>
      <c r="M71" s="96">
        <f ca="1">IF(C71&gt;=1,L71*VLOOKUP(E71,Reeksen!$A$5:$B$76,2),0)</f>
        <v>0</v>
      </c>
      <c r="N71" s="84">
        <f ca="1">(1-('Invoer gegevens'!$F$20/12))*L71*MIN(Reeksen!B71,Reeksen!D71)</f>
        <v>0</v>
      </c>
      <c r="O71" s="84">
        <f>IF(Reeksen!D71&lt;Reeksen!B71,(Reeksen!B71-Reeksen!D71)*L71,0)</f>
        <v>0</v>
      </c>
      <c r="P71" s="84">
        <f ca="1">('Invoer gegevens'!$F$20/12)*L70*MIN(Reeksen!B70,Reeksen!D70)</f>
        <v>0</v>
      </c>
      <c r="Q71" s="84">
        <f t="shared" ca="1" si="13"/>
        <v>0</v>
      </c>
      <c r="R71" s="82">
        <f ca="1">IF('Invoer gegevens'!$C$17=E71,'Invoer gegevens'!$C$11,IF(C71=1,W70,0))</f>
        <v>0</v>
      </c>
      <c r="S71" s="86">
        <f ca="1">IF(C71&gt;=1,R71*VLOOKUP(E71,Reeksen!$A$5:$B$76,2),0)</f>
        <v>0</v>
      </c>
      <c r="T71" s="84">
        <f ca="1">(1-('Invoer gegevens'!$F$20/12))*R71*MIN(Reeksen!B71,Reeksen!D71)</f>
        <v>0</v>
      </c>
      <c r="U71" s="84">
        <f>IF(Reeksen!D71&gt;=Reeksen!B71,0,IF(Reeksen!AD71&lt;=Reeksen!AE71,(Reeksen!B71-Reeksen!D71)*R71,0))</f>
        <v>0</v>
      </c>
      <c r="V71" s="86">
        <f>IF(Reeksen!D71&gt;=Reeksen!B71,0,IF(Reeksen!AD71&gt;Reeksen!AE71,(Reeksen!B71-Reeksen!D71)*R71,0))</f>
        <v>0</v>
      </c>
      <c r="W71" s="97">
        <f t="shared" ca="1" si="14"/>
        <v>0</v>
      </c>
      <c r="X71" s="98">
        <f ca="1">IF('Invoer gegevens'!$C$17=E71,'Invoer gegevens'!$C$10-'Invoer gegevens'!$C$11,IF(C71=1,AC70,0))</f>
        <v>0</v>
      </c>
      <c r="Y71" s="98">
        <f ca="1">IF(C71&gt;=1,X71*VLOOKUP(E71,Reeksen!$A$5:$B$76,2),0)</f>
        <v>0</v>
      </c>
      <c r="Z71" s="98">
        <f ca="1">(1-('Invoer gegevens'!$F$20/12))*X71*MIN(Reeksen!B71,Reeksen!D71)</f>
        <v>0</v>
      </c>
      <c r="AA71" s="98">
        <f>IF(Reeksen!D71&gt;=Reeksen!B71,0,IF(Reeksen!AD71&lt;=Reeksen!AE71,(Reeksen!B71-Reeksen!D71)*X71,0))</f>
        <v>0</v>
      </c>
      <c r="AB71" s="98">
        <f>IF(Reeksen!D71&gt;=Reeksen!B71,0,IF(Reeksen!AD71&gt;Reeksen!AE71,(Reeksen!B71-Reeksen!D71)*X71,0))</f>
        <v>0</v>
      </c>
      <c r="AC71" s="99">
        <f t="shared" ca="1" si="15"/>
        <v>0</v>
      </c>
      <c r="AD71" s="98">
        <f ca="1">IF('Invoer gegevens'!$C$17=E71,R71,IF(C71=0,0,AE70))</f>
        <v>0</v>
      </c>
      <c r="AE71" s="98">
        <f t="shared" ca="1" si="16"/>
        <v>0</v>
      </c>
      <c r="AF71" s="98">
        <f ca="1">IF('Invoer gegevens'!$C$17=E71,X71,IF(C71=0,0,AG70))</f>
        <v>0</v>
      </c>
      <c r="AG71" s="98">
        <f t="shared" ca="1" si="17"/>
        <v>0</v>
      </c>
      <c r="AH71" s="66"/>
      <c r="AI71" s="71">
        <f ca="1">IF(C71=1,Reeksen!AI71*((F71-G71+F71)/2)*12+Reeksen!AD71*((L71-M71+L71)/2)*12,0)</f>
        <v>0</v>
      </c>
      <c r="AJ71" s="71">
        <f ca="1">-AI71*'Invoer gegevens'!$F$28</f>
        <v>0</v>
      </c>
      <c r="AK71" s="71">
        <f t="shared" ca="1" si="18"/>
        <v>0</v>
      </c>
      <c r="AL71" s="71">
        <f ca="1">IF(C71=1,Reeksen!AL71*((F71-G71+F71)/2)*12+Reeksen!AM71*((L71-M71+L71)/2)*12,0)</f>
        <v>0</v>
      </c>
      <c r="AM71" s="71">
        <f ca="1">-AL71*'Invoer gegevens'!$F$31</f>
        <v>0</v>
      </c>
      <c r="AN71" s="71">
        <f t="shared" ca="1" si="19"/>
        <v>0</v>
      </c>
      <c r="AO71" s="71">
        <f ca="1">IF(C71=1,(H71+J71+N71+P71)*Reeksen!AN71,0)</f>
        <v>0</v>
      </c>
      <c r="AP71" s="71">
        <f ca="1">-IF(C71=1,(H71+J71+N71+P71)*'Hulp - basis'!$G$550*Reeksen!H71,0)</f>
        <v>0</v>
      </c>
      <c r="AQ71" s="71">
        <f ca="1">-IF(C71=1,(F71+K71+L71+Q71)/2*'Invoer gegevens'!$F$35*Reeksen!J71,0)*2</f>
        <v>0</v>
      </c>
      <c r="AR71" s="71"/>
      <c r="AS71" s="71">
        <f ca="1">-IF(C71=1,(F71+K71+L71+Q71)/2*'Invoer gegevens'!$F$37*Reeksen!L71,0)</f>
        <v>0</v>
      </c>
      <c r="AT71" s="71">
        <f ca="1">-IF(C71=1,IF(E71='Invoer gegevens'!$C$17,'Invoer gegevens'!$C$11,AD71)*Reeksen!S71*'Invoer gegevens'!$C$18*Reeksen!P71,0)</f>
        <v>0</v>
      </c>
      <c r="AU71" s="71">
        <f ca="1">-IF(C71=1,(F71+K71+L71+Q71)/2*'Invoer gegevens'!$F$38*Reeksen!H71,0)</f>
        <v>0</v>
      </c>
      <c r="AV71" s="71">
        <f t="shared" si="11"/>
        <v>0</v>
      </c>
      <c r="AW71" s="71">
        <f t="shared" ca="1" si="20"/>
        <v>0</v>
      </c>
      <c r="AX71" s="71">
        <f ca="1">IF(E71&lt;'Invoer gegevens'!$C$17+15,0,IF(E71&gt;'Invoer gegevens'!$C$17+215,0,AW71))</f>
        <v>0</v>
      </c>
      <c r="AY71" s="71">
        <f ca="1">AX71/(1+'Invoer gegevens'!$F$18)^($AZ71-('Invoer gegevens'!$C$17-'Invoer gegevens'!$C$16))/(1+'Invoer gegevens'!$C$39)^('Invoer gegevens'!$C$17-'Invoer gegevens'!$C$16)</f>
        <v>0</v>
      </c>
      <c r="AZ71" s="68">
        <f ca="1">IF(E71-'Invoer gegevens'!$C$17-14.5&lt;0,0,E71-'Invoer gegevens'!$C$17-14.5)</f>
        <v>51.5</v>
      </c>
    </row>
    <row r="72" spans="1:52" x14ac:dyDescent="0.25">
      <c r="A72" s="59"/>
      <c r="B72" s="70">
        <f t="shared" ref="B72:B135" si="21">B71+1</f>
        <v>68</v>
      </c>
      <c r="C72" s="67">
        <f ca="1">IF(E72-'Invoer gegevens'!$C$17&lt;0,0,1)</f>
        <v>1</v>
      </c>
      <c r="D72" s="68">
        <f t="shared" ref="D72:D135" si="22">D71+1</f>
        <v>67.5</v>
      </c>
      <c r="E72" s="69">
        <f ca="1">IF('Invoer gegevens'!$C$16="","",E71+1)</f>
        <v>2086</v>
      </c>
      <c r="F72" s="84">
        <f ca="1">IF('Invoer gegevens'!$C$17=E72,'Invoer gegevens'!$C$10,IF(C72=1,K71,0))</f>
        <v>0</v>
      </c>
      <c r="G72" s="96">
        <f ca="1">IF(C72&gt;=1,F72*VLOOKUP(E72,Reeksen!$A$5:$B$76,2),0)</f>
        <v>0</v>
      </c>
      <c r="H72" s="84">
        <f ca="1">(1-('Invoer gegevens'!$F$20/12))*F72*MIN(Reeksen!B72,Reeksen!D72)</f>
        <v>0</v>
      </c>
      <c r="I72" s="84">
        <f>IF(Reeksen!D72&lt;Reeksen!B72,(Reeksen!B72-Reeksen!D72)*F72,0)</f>
        <v>0</v>
      </c>
      <c r="J72" s="84">
        <f ca="1">('Invoer gegevens'!$F$20/12)*F71*MIN(Reeksen!B71,Reeksen!D71)</f>
        <v>0</v>
      </c>
      <c r="K72" s="97">
        <f t="shared" ca="1" si="12"/>
        <v>0</v>
      </c>
      <c r="L72" s="84">
        <f ca="1">IF('Invoer gegevens'!$C$17=E72,0,IF(C72=1,Q71,0))</f>
        <v>0</v>
      </c>
      <c r="M72" s="96">
        <f ca="1">IF(C72&gt;=1,L72*VLOOKUP(E72,Reeksen!$A$5:$B$76,2),0)</f>
        <v>0</v>
      </c>
      <c r="N72" s="84">
        <f ca="1">(1-('Invoer gegevens'!$F$20/12))*L72*MIN(Reeksen!B72,Reeksen!D72)</f>
        <v>0</v>
      </c>
      <c r="O72" s="84">
        <f>IF(Reeksen!D72&lt;Reeksen!B72,(Reeksen!B72-Reeksen!D72)*L72,0)</f>
        <v>0</v>
      </c>
      <c r="P72" s="84">
        <f ca="1">('Invoer gegevens'!$F$20/12)*L71*MIN(Reeksen!B71,Reeksen!D71)</f>
        <v>0</v>
      </c>
      <c r="Q72" s="84">
        <f t="shared" ca="1" si="13"/>
        <v>0</v>
      </c>
      <c r="R72" s="82">
        <f ca="1">IF('Invoer gegevens'!$C$17=E72,'Invoer gegevens'!$C$11,IF(C72=1,W71,0))</f>
        <v>0</v>
      </c>
      <c r="S72" s="86">
        <f ca="1">IF(C72&gt;=1,R72*VLOOKUP(E72,Reeksen!$A$5:$B$76,2),0)</f>
        <v>0</v>
      </c>
      <c r="T72" s="84">
        <f ca="1">(1-('Invoer gegevens'!$F$20/12))*R72*MIN(Reeksen!B72,Reeksen!D72)</f>
        <v>0</v>
      </c>
      <c r="U72" s="84">
        <f>IF(Reeksen!D72&gt;=Reeksen!B72,0,IF(Reeksen!AD72&lt;=Reeksen!AE72,(Reeksen!B72-Reeksen!D72)*R72,0))</f>
        <v>0</v>
      </c>
      <c r="V72" s="86">
        <f>IF(Reeksen!D72&gt;=Reeksen!B72,0,IF(Reeksen!AD72&gt;Reeksen!AE72,(Reeksen!B72-Reeksen!D72)*R72,0))</f>
        <v>0</v>
      </c>
      <c r="W72" s="97">
        <f t="shared" ca="1" si="14"/>
        <v>0</v>
      </c>
      <c r="X72" s="98">
        <f ca="1">IF('Invoer gegevens'!$C$17=E72,'Invoer gegevens'!$C$10-'Invoer gegevens'!$C$11,IF(C72=1,AC71,0))</f>
        <v>0</v>
      </c>
      <c r="Y72" s="98">
        <f ca="1">IF(C72&gt;=1,X72*VLOOKUP(E72,Reeksen!$A$5:$B$76,2),0)</f>
        <v>0</v>
      </c>
      <c r="Z72" s="98">
        <f ca="1">(1-('Invoer gegevens'!$F$20/12))*X72*MIN(Reeksen!B72,Reeksen!D72)</f>
        <v>0</v>
      </c>
      <c r="AA72" s="98">
        <f>IF(Reeksen!D72&gt;=Reeksen!B72,0,IF(Reeksen!AD72&lt;=Reeksen!AE72,(Reeksen!B72-Reeksen!D72)*X72,0))</f>
        <v>0</v>
      </c>
      <c r="AB72" s="98">
        <f>IF(Reeksen!D72&gt;=Reeksen!B72,0,IF(Reeksen!AD72&gt;Reeksen!AE72,(Reeksen!B72-Reeksen!D72)*X72,0))</f>
        <v>0</v>
      </c>
      <c r="AC72" s="99">
        <f t="shared" ca="1" si="15"/>
        <v>0</v>
      </c>
      <c r="AD72" s="98">
        <f ca="1">IF('Invoer gegevens'!$C$17=E72,R72,IF(C72=0,0,AE71))</f>
        <v>0</v>
      </c>
      <c r="AE72" s="98">
        <f t="shared" ca="1" si="16"/>
        <v>0</v>
      </c>
      <c r="AF72" s="98">
        <f ca="1">IF('Invoer gegevens'!$C$17=E72,X72,IF(C72=0,0,AG71))</f>
        <v>0</v>
      </c>
      <c r="AG72" s="98">
        <f t="shared" ca="1" si="17"/>
        <v>0</v>
      </c>
      <c r="AH72" s="66"/>
      <c r="AI72" s="71">
        <f ca="1">IF(C72=1,Reeksen!AI72*((F72-G72+F72)/2)*12+Reeksen!AD72*((L72-M72+L72)/2)*12,0)</f>
        <v>0</v>
      </c>
      <c r="AJ72" s="71">
        <f ca="1">-AI72*'Invoer gegevens'!$F$28</f>
        <v>0</v>
      </c>
      <c r="AK72" s="71">
        <f t="shared" ca="1" si="18"/>
        <v>0</v>
      </c>
      <c r="AL72" s="71">
        <f ca="1">IF(C72=1,Reeksen!AL72*((F72-G72+F72)/2)*12+Reeksen!AM72*((L72-M72+L72)/2)*12,0)</f>
        <v>0</v>
      </c>
      <c r="AM72" s="71">
        <f ca="1">-AL72*'Invoer gegevens'!$F$31</f>
        <v>0</v>
      </c>
      <c r="AN72" s="71">
        <f t="shared" ca="1" si="19"/>
        <v>0</v>
      </c>
      <c r="AO72" s="71">
        <f ca="1">IF(C72=1,(H72+J72+N72+P72)*Reeksen!AN72,0)</f>
        <v>0</v>
      </c>
      <c r="AP72" s="71">
        <f ca="1">-IF(C72=1,(H72+J72+N72+P72)*'Hulp - basis'!$G$550*Reeksen!H72,0)</f>
        <v>0</v>
      </c>
      <c r="AQ72" s="71">
        <f ca="1">-IF(C72=1,(F72+K72+L72+Q72)/2*'Invoer gegevens'!$F$35*Reeksen!J72,0)*2</f>
        <v>0</v>
      </c>
      <c r="AR72" s="71"/>
      <c r="AS72" s="71">
        <f ca="1">-IF(C72=1,(F72+K72+L72+Q72)/2*'Invoer gegevens'!$F$37*Reeksen!L72,0)</f>
        <v>0</v>
      </c>
      <c r="AT72" s="71">
        <f ca="1">-IF(C72=1,IF(E72='Invoer gegevens'!$C$17,'Invoer gegevens'!$C$11,AD72)*Reeksen!S72*'Invoer gegevens'!$C$18*Reeksen!P72,0)</f>
        <v>0</v>
      </c>
      <c r="AU72" s="71">
        <f ca="1">-IF(C72=1,(F72+K72+L72+Q72)/2*'Invoer gegevens'!$F$38*Reeksen!H72,0)</f>
        <v>0</v>
      </c>
      <c r="AV72" s="71">
        <f t="shared" si="11"/>
        <v>0</v>
      </c>
      <c r="AW72" s="71">
        <f t="shared" ca="1" si="20"/>
        <v>0</v>
      </c>
      <c r="AX72" s="71">
        <f ca="1">IF(E72&lt;'Invoer gegevens'!$C$17+15,0,IF(E72&gt;'Invoer gegevens'!$C$17+215,0,AW72))</f>
        <v>0</v>
      </c>
      <c r="AY72" s="71">
        <f ca="1">AX72/(1+'Invoer gegevens'!$F$18)^($AZ72-('Invoer gegevens'!$C$17-'Invoer gegevens'!$C$16))/(1+'Invoer gegevens'!$C$39)^('Invoer gegevens'!$C$17-'Invoer gegevens'!$C$16)</f>
        <v>0</v>
      </c>
      <c r="AZ72" s="68">
        <f ca="1">IF(E72-'Invoer gegevens'!$C$17-14.5&lt;0,0,E72-'Invoer gegevens'!$C$17-14.5)</f>
        <v>52.5</v>
      </c>
    </row>
    <row r="73" spans="1:52" x14ac:dyDescent="0.25">
      <c r="A73" s="59"/>
      <c r="B73" s="70">
        <f t="shared" si="21"/>
        <v>69</v>
      </c>
      <c r="C73" s="67">
        <f ca="1">IF(E73-'Invoer gegevens'!$C$17&lt;0,0,1)</f>
        <v>1</v>
      </c>
      <c r="D73" s="68">
        <f t="shared" si="22"/>
        <v>68.5</v>
      </c>
      <c r="E73" s="69">
        <f ca="1">IF('Invoer gegevens'!$C$16="","",E72+1)</f>
        <v>2087</v>
      </c>
      <c r="F73" s="84">
        <f ca="1">IF('Invoer gegevens'!$C$17=E73,'Invoer gegevens'!$C$10,IF(C73=1,K72,0))</f>
        <v>0</v>
      </c>
      <c r="G73" s="96">
        <f ca="1">IF(C73&gt;=1,F73*VLOOKUP(E73,Reeksen!$A$5:$B$76,2),0)</f>
        <v>0</v>
      </c>
      <c r="H73" s="84">
        <f ca="1">(1-('Invoer gegevens'!$F$20/12))*F73*MIN(Reeksen!B73,Reeksen!D73)</f>
        <v>0</v>
      </c>
      <c r="I73" s="84">
        <f>IF(Reeksen!D73&lt;Reeksen!B73,(Reeksen!B73-Reeksen!D73)*F73,0)</f>
        <v>0</v>
      </c>
      <c r="J73" s="84">
        <f ca="1">('Invoer gegevens'!$F$20/12)*F72*MIN(Reeksen!B72,Reeksen!D72)</f>
        <v>0</v>
      </c>
      <c r="K73" s="97">
        <f t="shared" ca="1" si="12"/>
        <v>0</v>
      </c>
      <c r="L73" s="84">
        <f ca="1">IF('Invoer gegevens'!$C$17=E73,0,IF(C73=1,Q72,0))</f>
        <v>0</v>
      </c>
      <c r="M73" s="96">
        <f ca="1">IF(C73&gt;=1,L73*VLOOKUP(E73,Reeksen!$A$5:$B$76,2),0)</f>
        <v>0</v>
      </c>
      <c r="N73" s="84">
        <f ca="1">(1-('Invoer gegevens'!$F$20/12))*L73*MIN(Reeksen!B73,Reeksen!D73)</f>
        <v>0</v>
      </c>
      <c r="O73" s="84">
        <f>IF(Reeksen!D73&lt;Reeksen!B73,(Reeksen!B73-Reeksen!D73)*L73,0)</f>
        <v>0</v>
      </c>
      <c r="P73" s="84">
        <f ca="1">('Invoer gegevens'!$F$20/12)*L72*MIN(Reeksen!B72,Reeksen!D72)</f>
        <v>0</v>
      </c>
      <c r="Q73" s="84">
        <f t="shared" ca="1" si="13"/>
        <v>0</v>
      </c>
      <c r="R73" s="82">
        <f ca="1">IF('Invoer gegevens'!$C$17=E73,'Invoer gegevens'!$C$11,IF(C73=1,W72,0))</f>
        <v>0</v>
      </c>
      <c r="S73" s="86">
        <f ca="1">IF(C73&gt;=1,R73*VLOOKUP(E73,Reeksen!$A$5:$B$76,2),0)</f>
        <v>0</v>
      </c>
      <c r="T73" s="84">
        <f ca="1">(1-('Invoer gegevens'!$F$20/12))*R73*MIN(Reeksen!B73,Reeksen!D73)</f>
        <v>0</v>
      </c>
      <c r="U73" s="84">
        <f>IF(Reeksen!D73&gt;=Reeksen!B73,0,IF(Reeksen!AD73&lt;=Reeksen!AE73,(Reeksen!B73-Reeksen!D73)*R73,0))</f>
        <v>0</v>
      </c>
      <c r="V73" s="86">
        <f>IF(Reeksen!D73&gt;=Reeksen!B73,0,IF(Reeksen!AD73&gt;Reeksen!AE73,(Reeksen!B73-Reeksen!D73)*R73,0))</f>
        <v>0</v>
      </c>
      <c r="W73" s="97">
        <f t="shared" ca="1" si="14"/>
        <v>0</v>
      </c>
      <c r="X73" s="98">
        <f ca="1">IF('Invoer gegevens'!$C$17=E73,'Invoer gegevens'!$C$10-'Invoer gegevens'!$C$11,IF(C73=1,AC72,0))</f>
        <v>0</v>
      </c>
      <c r="Y73" s="98">
        <f ca="1">IF(C73&gt;=1,X73*VLOOKUP(E73,Reeksen!$A$5:$B$76,2),0)</f>
        <v>0</v>
      </c>
      <c r="Z73" s="98">
        <f ca="1">(1-('Invoer gegevens'!$F$20/12))*X73*MIN(Reeksen!B73,Reeksen!D73)</f>
        <v>0</v>
      </c>
      <c r="AA73" s="98">
        <f>IF(Reeksen!D73&gt;=Reeksen!B73,0,IF(Reeksen!AD73&lt;=Reeksen!AE73,(Reeksen!B73-Reeksen!D73)*X73,0))</f>
        <v>0</v>
      </c>
      <c r="AB73" s="98">
        <f>IF(Reeksen!D73&gt;=Reeksen!B73,0,IF(Reeksen!AD73&gt;Reeksen!AE73,(Reeksen!B73-Reeksen!D73)*X73,0))</f>
        <v>0</v>
      </c>
      <c r="AC73" s="99">
        <f t="shared" ca="1" si="15"/>
        <v>0</v>
      </c>
      <c r="AD73" s="98">
        <f ca="1">IF('Invoer gegevens'!$C$17=E73,R73,IF(C73=0,0,AE72))</f>
        <v>0</v>
      </c>
      <c r="AE73" s="98">
        <f t="shared" ca="1" si="16"/>
        <v>0</v>
      </c>
      <c r="AF73" s="98">
        <f ca="1">IF('Invoer gegevens'!$C$17=E73,X73,IF(C73=0,0,AG72))</f>
        <v>0</v>
      </c>
      <c r="AG73" s="98">
        <f t="shared" ca="1" si="17"/>
        <v>0</v>
      </c>
      <c r="AH73" s="66"/>
      <c r="AI73" s="71">
        <f ca="1">IF(C73=1,Reeksen!AI73*((F73-G73+F73)/2)*12+Reeksen!AD73*((L73-M73+L73)/2)*12,0)</f>
        <v>0</v>
      </c>
      <c r="AJ73" s="71">
        <f ca="1">-AI73*'Invoer gegevens'!$F$28</f>
        <v>0</v>
      </c>
      <c r="AK73" s="71">
        <f t="shared" ca="1" si="18"/>
        <v>0</v>
      </c>
      <c r="AL73" s="71">
        <f ca="1">IF(C73=1,Reeksen!AL73*((F73-G73+F73)/2)*12+Reeksen!AM73*((L73-M73+L73)/2)*12,0)</f>
        <v>0</v>
      </c>
      <c r="AM73" s="71">
        <f ca="1">-AL73*'Invoer gegevens'!$F$31</f>
        <v>0</v>
      </c>
      <c r="AN73" s="71">
        <f t="shared" ca="1" si="19"/>
        <v>0</v>
      </c>
      <c r="AO73" s="71">
        <f ca="1">IF(C73=1,(H73+J73+N73+P73)*Reeksen!AN73,0)</f>
        <v>0</v>
      </c>
      <c r="AP73" s="71">
        <f ca="1">-IF(C73=1,(H73+J73+N73+P73)*'Hulp - basis'!$G$550*Reeksen!H73,0)</f>
        <v>0</v>
      </c>
      <c r="AQ73" s="71">
        <f ca="1">-IF(C73=1,(F73+K73+L73+Q73)/2*'Invoer gegevens'!$F$35*Reeksen!J73,0)*2</f>
        <v>0</v>
      </c>
      <c r="AR73" s="71"/>
      <c r="AS73" s="71">
        <f ca="1">-IF(C73=1,(F73+K73+L73+Q73)/2*'Invoer gegevens'!$F$37*Reeksen!L73,0)</f>
        <v>0</v>
      </c>
      <c r="AT73" s="71">
        <f ca="1">-IF(C73=1,IF(E73='Invoer gegevens'!$C$17,'Invoer gegevens'!$C$11,AD73)*Reeksen!S73*'Invoer gegevens'!$C$18*Reeksen!P73,0)</f>
        <v>0</v>
      </c>
      <c r="AU73" s="71">
        <f ca="1">-IF(C73=1,(F73+K73+L73+Q73)/2*'Invoer gegevens'!$F$38*Reeksen!H73,0)</f>
        <v>0</v>
      </c>
      <c r="AV73" s="71">
        <f t="shared" si="11"/>
        <v>0</v>
      </c>
      <c r="AW73" s="71">
        <f t="shared" ca="1" si="20"/>
        <v>0</v>
      </c>
      <c r="AX73" s="71">
        <f ca="1">IF(E73&lt;'Invoer gegevens'!$C$17+15,0,IF(E73&gt;'Invoer gegevens'!$C$17+215,0,AW73))</f>
        <v>0</v>
      </c>
      <c r="AY73" s="71">
        <f ca="1">AX73/(1+'Invoer gegevens'!$F$18)^($AZ73-('Invoer gegevens'!$C$17-'Invoer gegevens'!$C$16))/(1+'Invoer gegevens'!$C$39)^('Invoer gegevens'!$C$17-'Invoer gegevens'!$C$16)</f>
        <v>0</v>
      </c>
      <c r="AZ73" s="68">
        <f ca="1">IF(E73-'Invoer gegevens'!$C$17-14.5&lt;0,0,E73-'Invoer gegevens'!$C$17-14.5)</f>
        <v>53.5</v>
      </c>
    </row>
    <row r="74" spans="1:52" x14ac:dyDescent="0.25">
      <c r="A74" s="59"/>
      <c r="B74" s="70">
        <f t="shared" si="21"/>
        <v>70</v>
      </c>
      <c r="C74" s="67">
        <f ca="1">IF(E74-'Invoer gegevens'!$C$17&lt;0,0,1)</f>
        <v>1</v>
      </c>
      <c r="D74" s="68">
        <f t="shared" si="22"/>
        <v>69.5</v>
      </c>
      <c r="E74" s="69">
        <f ca="1">IF('Invoer gegevens'!$C$16="","",E73+1)</f>
        <v>2088</v>
      </c>
      <c r="F74" s="84">
        <f ca="1">IF('Invoer gegevens'!$C$17=E74,'Invoer gegevens'!$C$10,IF(C74=1,K73,0))</f>
        <v>0</v>
      </c>
      <c r="G74" s="96">
        <f ca="1">IF(C74&gt;=1,F74*VLOOKUP(E74,Reeksen!$A$5:$B$76,2),0)</f>
        <v>0</v>
      </c>
      <c r="H74" s="84">
        <f ca="1">(1-('Invoer gegevens'!$F$20/12))*F74*MIN(Reeksen!B74,Reeksen!D74)</f>
        <v>0</v>
      </c>
      <c r="I74" s="84">
        <f>IF(Reeksen!D74&lt;Reeksen!B74,(Reeksen!B74-Reeksen!D74)*F74,0)</f>
        <v>0</v>
      </c>
      <c r="J74" s="84">
        <f ca="1">('Invoer gegevens'!$F$20/12)*F73*MIN(Reeksen!B73,Reeksen!D73)</f>
        <v>0</v>
      </c>
      <c r="K74" s="97">
        <f t="shared" ca="1" si="12"/>
        <v>0</v>
      </c>
      <c r="L74" s="84">
        <f ca="1">IF('Invoer gegevens'!$C$17=E74,0,IF(C74=1,Q73,0))</f>
        <v>0</v>
      </c>
      <c r="M74" s="96">
        <f ca="1">IF(C74&gt;=1,L74*VLOOKUP(E74,Reeksen!$A$5:$B$76,2),0)</f>
        <v>0</v>
      </c>
      <c r="N74" s="84">
        <f ca="1">(1-('Invoer gegevens'!$F$20/12))*L74*MIN(Reeksen!B74,Reeksen!D74)</f>
        <v>0</v>
      </c>
      <c r="O74" s="84">
        <f>IF(Reeksen!D74&lt;Reeksen!B74,(Reeksen!B74-Reeksen!D74)*L74,0)</f>
        <v>0</v>
      </c>
      <c r="P74" s="84">
        <f ca="1">('Invoer gegevens'!$F$20/12)*L73*MIN(Reeksen!B73,Reeksen!D73)</f>
        <v>0</v>
      </c>
      <c r="Q74" s="84">
        <f t="shared" ca="1" si="13"/>
        <v>0</v>
      </c>
      <c r="R74" s="82">
        <f ca="1">IF('Invoer gegevens'!$C$17=E74,'Invoer gegevens'!$C$11,IF(C74=1,W73,0))</f>
        <v>0</v>
      </c>
      <c r="S74" s="86">
        <f ca="1">IF(C74&gt;=1,R74*VLOOKUP(E74,Reeksen!$A$5:$B$76,2),0)</f>
        <v>0</v>
      </c>
      <c r="T74" s="84">
        <f ca="1">(1-('Invoer gegevens'!$F$20/12))*R74*MIN(Reeksen!B74,Reeksen!D74)</f>
        <v>0</v>
      </c>
      <c r="U74" s="84">
        <f>IF(Reeksen!D74&gt;=Reeksen!B74,0,IF(Reeksen!AD74&lt;=Reeksen!AE74,(Reeksen!B74-Reeksen!D74)*R74,0))</f>
        <v>0</v>
      </c>
      <c r="V74" s="86">
        <f>IF(Reeksen!D74&gt;=Reeksen!B74,0,IF(Reeksen!AD74&gt;Reeksen!AE74,(Reeksen!B74-Reeksen!D74)*R74,0))</f>
        <v>0</v>
      </c>
      <c r="W74" s="97">
        <f t="shared" ca="1" si="14"/>
        <v>0</v>
      </c>
      <c r="X74" s="98">
        <f ca="1">IF('Invoer gegevens'!$C$17=E74,'Invoer gegevens'!$C$10-'Invoer gegevens'!$C$11,IF(C74=1,AC73,0))</f>
        <v>0</v>
      </c>
      <c r="Y74" s="98">
        <f ca="1">IF(C74&gt;=1,X74*VLOOKUP(E74,Reeksen!$A$5:$B$76,2),0)</f>
        <v>0</v>
      </c>
      <c r="Z74" s="98">
        <f ca="1">(1-('Invoer gegevens'!$F$20/12))*X74*MIN(Reeksen!B74,Reeksen!D74)</f>
        <v>0</v>
      </c>
      <c r="AA74" s="98">
        <f>IF(Reeksen!D74&gt;=Reeksen!B74,0,IF(Reeksen!AD74&lt;=Reeksen!AE74,(Reeksen!B74-Reeksen!D74)*X74,0))</f>
        <v>0</v>
      </c>
      <c r="AB74" s="98">
        <f>IF(Reeksen!D74&gt;=Reeksen!B74,0,IF(Reeksen!AD74&gt;Reeksen!AE74,(Reeksen!B74-Reeksen!D74)*X74,0))</f>
        <v>0</v>
      </c>
      <c r="AC74" s="99">
        <f t="shared" ca="1" si="15"/>
        <v>0</v>
      </c>
      <c r="AD74" s="98">
        <f ca="1">IF('Invoer gegevens'!$C$17=E74,R74,IF(C74=0,0,AE73))</f>
        <v>0</v>
      </c>
      <c r="AE74" s="98">
        <f t="shared" ca="1" si="16"/>
        <v>0</v>
      </c>
      <c r="AF74" s="98">
        <f ca="1">IF('Invoer gegevens'!$C$17=E74,X74,IF(C74=0,0,AG73))</f>
        <v>0</v>
      </c>
      <c r="AG74" s="98">
        <f t="shared" ca="1" si="17"/>
        <v>0</v>
      </c>
      <c r="AH74" s="66"/>
      <c r="AI74" s="71">
        <f ca="1">IF(C74=1,Reeksen!AI74*((F74-G74+F74)/2)*12+Reeksen!AD74*((L74-M74+L74)/2)*12,0)</f>
        <v>0</v>
      </c>
      <c r="AJ74" s="71">
        <f ca="1">-AI74*'Invoer gegevens'!$F$28</f>
        <v>0</v>
      </c>
      <c r="AK74" s="71">
        <f t="shared" ca="1" si="18"/>
        <v>0</v>
      </c>
      <c r="AL74" s="71">
        <f ca="1">IF(C74=1,Reeksen!AL74*((F74-G74+F74)/2)*12+Reeksen!AM74*((L74-M74+L74)/2)*12,0)</f>
        <v>0</v>
      </c>
      <c r="AM74" s="71">
        <f ca="1">-AL74*'Invoer gegevens'!$F$31</f>
        <v>0</v>
      </c>
      <c r="AN74" s="71">
        <f t="shared" ca="1" si="19"/>
        <v>0</v>
      </c>
      <c r="AO74" s="71">
        <f ca="1">IF(C74=1,(H74+J74+N74+P74)*Reeksen!AN74,0)</f>
        <v>0</v>
      </c>
      <c r="AP74" s="71">
        <f ca="1">-IF(C74=1,(H74+J74+N74+P74)*'Hulp - basis'!$G$550*Reeksen!H74,0)</f>
        <v>0</v>
      </c>
      <c r="AQ74" s="71">
        <f ca="1">-IF(C74=1,(F74+K74+L74+Q74)/2*'Invoer gegevens'!$F$35*Reeksen!J74,0)*2</f>
        <v>0</v>
      </c>
      <c r="AR74" s="71"/>
      <c r="AS74" s="71">
        <f ca="1">-IF(C74=1,(F74+K74+L74+Q74)/2*'Invoer gegevens'!$F$37*Reeksen!L74,0)</f>
        <v>0</v>
      </c>
      <c r="AT74" s="71">
        <f ca="1">-IF(C74=1,IF(E74='Invoer gegevens'!$C$17,'Invoer gegevens'!$C$11,AD74)*Reeksen!S74*'Invoer gegevens'!$C$18*Reeksen!P74,0)</f>
        <v>0</v>
      </c>
      <c r="AU74" s="71">
        <f ca="1">-IF(C74=1,(F74+K74+L74+Q74)/2*'Invoer gegevens'!$F$38*Reeksen!H74,0)</f>
        <v>0</v>
      </c>
      <c r="AV74" s="71">
        <f t="shared" si="11"/>
        <v>0</v>
      </c>
      <c r="AW74" s="71">
        <f t="shared" ca="1" si="20"/>
        <v>0</v>
      </c>
      <c r="AX74" s="71">
        <f ca="1">IF(E74&lt;'Invoer gegevens'!$C$17+15,0,IF(E74&gt;'Invoer gegevens'!$C$17+215,0,AW74))</f>
        <v>0</v>
      </c>
      <c r="AY74" s="71">
        <f ca="1">AX74/(1+'Invoer gegevens'!$F$18)^($AZ74-('Invoer gegevens'!$C$17-'Invoer gegevens'!$C$16))/(1+'Invoer gegevens'!$C$39)^('Invoer gegevens'!$C$17-'Invoer gegevens'!$C$16)</f>
        <v>0</v>
      </c>
      <c r="AZ74" s="68">
        <f ca="1">IF(E74-'Invoer gegevens'!$C$17-14.5&lt;0,0,E74-'Invoer gegevens'!$C$17-14.5)</f>
        <v>54.5</v>
      </c>
    </row>
    <row r="75" spans="1:52" x14ac:dyDescent="0.25">
      <c r="A75" s="59"/>
      <c r="B75" s="70">
        <f t="shared" si="21"/>
        <v>71</v>
      </c>
      <c r="C75" s="67">
        <f ca="1">IF(E75-'Invoer gegevens'!$C$17&lt;0,0,1)</f>
        <v>1</v>
      </c>
      <c r="D75" s="68">
        <f t="shared" si="22"/>
        <v>70.5</v>
      </c>
      <c r="E75" s="69">
        <f ca="1">IF('Invoer gegevens'!$C$16="","",E74+1)</f>
        <v>2089</v>
      </c>
      <c r="F75" s="84">
        <f ca="1">IF('Invoer gegevens'!$C$17=E75,'Invoer gegevens'!$C$10,IF(C75=1,K74,0))</f>
        <v>0</v>
      </c>
      <c r="G75" s="96">
        <f ca="1">IF(C75&gt;=1,F75*VLOOKUP(E75,Reeksen!$A$5:$B$76,2),0)</f>
        <v>0</v>
      </c>
      <c r="H75" s="84">
        <f ca="1">(1-('Invoer gegevens'!$F$20/12))*F75*MIN(Reeksen!B75,Reeksen!D75)</f>
        <v>0</v>
      </c>
      <c r="I75" s="84">
        <f>IF(Reeksen!D75&lt;Reeksen!B75,(Reeksen!B75-Reeksen!D75)*F75,0)</f>
        <v>0</v>
      </c>
      <c r="J75" s="84">
        <f ca="1">('Invoer gegevens'!$F$20/12)*F74*MIN(Reeksen!B74,Reeksen!D74)</f>
        <v>0</v>
      </c>
      <c r="K75" s="97">
        <f t="shared" ca="1" si="12"/>
        <v>0</v>
      </c>
      <c r="L75" s="84">
        <f ca="1">IF('Invoer gegevens'!$C$17=E75,0,IF(C75=1,Q74,0))</f>
        <v>0</v>
      </c>
      <c r="M75" s="96">
        <f ca="1">IF(C75&gt;=1,L75*VLOOKUP(E75,Reeksen!$A$5:$B$76,2),0)</f>
        <v>0</v>
      </c>
      <c r="N75" s="84">
        <f ca="1">(1-('Invoer gegevens'!$F$20/12))*L75*MIN(Reeksen!B75,Reeksen!D75)</f>
        <v>0</v>
      </c>
      <c r="O75" s="84">
        <f>IF(Reeksen!D75&lt;Reeksen!B75,(Reeksen!B75-Reeksen!D75)*L75,0)</f>
        <v>0</v>
      </c>
      <c r="P75" s="84">
        <f ca="1">('Invoer gegevens'!$F$20/12)*L74*MIN(Reeksen!B74,Reeksen!D74)</f>
        <v>0</v>
      </c>
      <c r="Q75" s="84">
        <f t="shared" ca="1" si="13"/>
        <v>0</v>
      </c>
      <c r="R75" s="82">
        <f ca="1">IF('Invoer gegevens'!$C$17=E75,'Invoer gegevens'!$C$11,IF(C75=1,W74,0))</f>
        <v>0</v>
      </c>
      <c r="S75" s="86">
        <f ca="1">IF(C75&gt;=1,R75*VLOOKUP(E75,Reeksen!$A$5:$B$76,2),0)</f>
        <v>0</v>
      </c>
      <c r="T75" s="84">
        <f ca="1">(1-('Invoer gegevens'!$F$20/12))*R75*MIN(Reeksen!B75,Reeksen!D75)</f>
        <v>0</v>
      </c>
      <c r="U75" s="84">
        <f>IF(Reeksen!D75&gt;=Reeksen!B75,0,IF(Reeksen!AD75&lt;=Reeksen!AE75,(Reeksen!B75-Reeksen!D75)*R75,0))</f>
        <v>0</v>
      </c>
      <c r="V75" s="86">
        <f>IF(Reeksen!D75&gt;=Reeksen!B75,0,IF(Reeksen!AD75&gt;Reeksen!AE75,(Reeksen!B75-Reeksen!D75)*R75,0))</f>
        <v>0</v>
      </c>
      <c r="W75" s="97">
        <f t="shared" ca="1" si="14"/>
        <v>0</v>
      </c>
      <c r="X75" s="98">
        <f ca="1">IF('Invoer gegevens'!$C$17=E75,'Invoer gegevens'!$C$10-'Invoer gegevens'!$C$11,IF(C75=1,AC74,0))</f>
        <v>0</v>
      </c>
      <c r="Y75" s="98">
        <f ca="1">IF(C75&gt;=1,X75*VLOOKUP(E75,Reeksen!$A$5:$B$76,2),0)</f>
        <v>0</v>
      </c>
      <c r="Z75" s="98">
        <f ca="1">(1-('Invoer gegevens'!$F$20/12))*X75*MIN(Reeksen!B75,Reeksen!D75)</f>
        <v>0</v>
      </c>
      <c r="AA75" s="98">
        <f>IF(Reeksen!D75&gt;=Reeksen!B75,0,IF(Reeksen!AD75&lt;=Reeksen!AE75,(Reeksen!B75-Reeksen!D75)*X75,0))</f>
        <v>0</v>
      </c>
      <c r="AB75" s="98">
        <f>IF(Reeksen!D75&gt;=Reeksen!B75,0,IF(Reeksen!AD75&gt;Reeksen!AE75,(Reeksen!B75-Reeksen!D75)*X75,0))</f>
        <v>0</v>
      </c>
      <c r="AC75" s="99">
        <f t="shared" ca="1" si="15"/>
        <v>0</v>
      </c>
      <c r="AD75" s="98">
        <f ca="1">IF('Invoer gegevens'!$C$17=E75,R75,IF(C75=0,0,AE74))</f>
        <v>0</v>
      </c>
      <c r="AE75" s="98">
        <f t="shared" ca="1" si="16"/>
        <v>0</v>
      </c>
      <c r="AF75" s="98">
        <f ca="1">IF('Invoer gegevens'!$C$17=E75,X75,IF(C75=0,0,AG74))</f>
        <v>0</v>
      </c>
      <c r="AG75" s="98">
        <f t="shared" ca="1" si="17"/>
        <v>0</v>
      </c>
      <c r="AH75" s="66"/>
      <c r="AI75" s="71">
        <f ca="1">IF(C75=1,Reeksen!AI75*((F75-G75+F75)/2)*12+Reeksen!AD75*((L75-M75+L75)/2)*12,0)</f>
        <v>0</v>
      </c>
      <c r="AJ75" s="71">
        <f ca="1">-AI75*'Invoer gegevens'!$F$28</f>
        <v>0</v>
      </c>
      <c r="AK75" s="71">
        <f t="shared" ca="1" si="18"/>
        <v>0</v>
      </c>
      <c r="AL75" s="71">
        <f ca="1">IF(C75=1,Reeksen!AL75*((F75-G75+F75)/2)*12+Reeksen!AM75*((L75-M75+L75)/2)*12,0)</f>
        <v>0</v>
      </c>
      <c r="AM75" s="71">
        <f ca="1">-AL75*'Invoer gegevens'!$F$31</f>
        <v>0</v>
      </c>
      <c r="AN75" s="71">
        <f t="shared" ca="1" si="19"/>
        <v>0</v>
      </c>
      <c r="AO75" s="71">
        <f ca="1">IF(C75=1,(H75+J75+N75+P75)*Reeksen!AN75,0)</f>
        <v>0</v>
      </c>
      <c r="AP75" s="71">
        <f ca="1">-IF(C75=1,(H75+J75+N75+P75)*'Hulp - basis'!$G$550*Reeksen!H75,0)</f>
        <v>0</v>
      </c>
      <c r="AQ75" s="71">
        <f ca="1">-IF(C75=1,(F75+K75+L75+Q75)/2*'Invoer gegevens'!$F$35*Reeksen!J75,0)*2</f>
        <v>0</v>
      </c>
      <c r="AR75" s="71"/>
      <c r="AS75" s="71">
        <f ca="1">-IF(C75=1,(F75+K75+L75+Q75)/2*'Invoer gegevens'!$F$37*Reeksen!L75,0)</f>
        <v>0</v>
      </c>
      <c r="AT75" s="71">
        <f ca="1">-IF(C75=1,IF(E75='Invoer gegevens'!$C$17,'Invoer gegevens'!$C$11,AD75)*Reeksen!S75*'Invoer gegevens'!$C$18*Reeksen!P75,0)</f>
        <v>0</v>
      </c>
      <c r="AU75" s="71">
        <f ca="1">-IF(C75=1,(F75+K75+L75+Q75)/2*'Invoer gegevens'!$F$38*Reeksen!H75,0)</f>
        <v>0</v>
      </c>
      <c r="AV75" s="71">
        <f t="shared" si="11"/>
        <v>0</v>
      </c>
      <c r="AW75" s="71">
        <f t="shared" ca="1" si="20"/>
        <v>0</v>
      </c>
      <c r="AX75" s="71">
        <f ca="1">IF(E75&lt;'Invoer gegevens'!$C$17+15,0,IF(E75&gt;'Invoer gegevens'!$C$17+215,0,AW75))</f>
        <v>0</v>
      </c>
      <c r="AY75" s="71">
        <f ca="1">AX75/(1+'Invoer gegevens'!$F$18)^($AZ75-('Invoer gegevens'!$C$17-'Invoer gegevens'!$C$16))/(1+'Invoer gegevens'!$C$39)^('Invoer gegevens'!$C$17-'Invoer gegevens'!$C$16)</f>
        <v>0</v>
      </c>
      <c r="AZ75" s="68">
        <f ca="1">IF(E75-'Invoer gegevens'!$C$17-14.5&lt;0,0,E75-'Invoer gegevens'!$C$17-14.5)</f>
        <v>55.5</v>
      </c>
    </row>
    <row r="76" spans="1:52" x14ac:dyDescent="0.25">
      <c r="A76" s="59"/>
      <c r="B76" s="70">
        <f t="shared" si="21"/>
        <v>72</v>
      </c>
      <c r="C76" s="67">
        <f ca="1">IF(E76-'Invoer gegevens'!$C$17&lt;0,0,1)</f>
        <v>1</v>
      </c>
      <c r="D76" s="68">
        <f t="shared" si="22"/>
        <v>71.5</v>
      </c>
      <c r="E76" s="69">
        <f ca="1">IF('Invoer gegevens'!$C$16="","",E75+1)</f>
        <v>2090</v>
      </c>
      <c r="F76" s="84">
        <f ca="1">IF('Invoer gegevens'!$C$17=E76,'Invoer gegevens'!$C$10,IF(C76=1,K75,0))</f>
        <v>0</v>
      </c>
      <c r="G76" s="96">
        <f ca="1">IF(C76&gt;=1,F76*VLOOKUP(E76,Reeksen!$A$5:$B$76,2),0)</f>
        <v>0</v>
      </c>
      <c r="H76" s="84">
        <f ca="1">(1-('Invoer gegevens'!$F$20/12))*F76*MIN(Reeksen!B76,Reeksen!D76)</f>
        <v>0</v>
      </c>
      <c r="I76" s="84">
        <f>IF(Reeksen!D76&lt;Reeksen!B76,(Reeksen!B76-Reeksen!D76)*F76,0)</f>
        <v>0</v>
      </c>
      <c r="J76" s="84">
        <f ca="1">('Invoer gegevens'!$F$20/12)*F75*MIN(Reeksen!B75,Reeksen!D75)</f>
        <v>0</v>
      </c>
      <c r="K76" s="97">
        <f t="shared" ca="1" si="12"/>
        <v>0</v>
      </c>
      <c r="L76" s="84">
        <f ca="1">IF('Invoer gegevens'!$C$17=E76,0,IF(C76=1,Q75,0))</f>
        <v>0</v>
      </c>
      <c r="M76" s="96">
        <f ca="1">IF(C76&gt;=1,L76*VLOOKUP(E76,Reeksen!$A$5:$B$76,2),0)</f>
        <v>0</v>
      </c>
      <c r="N76" s="84">
        <f ca="1">(1-('Invoer gegevens'!$F$20/12))*L76*MIN(Reeksen!B76,Reeksen!D76)</f>
        <v>0</v>
      </c>
      <c r="O76" s="84">
        <f>IF(Reeksen!D76&lt;Reeksen!B76,(Reeksen!B76-Reeksen!D76)*L76,0)</f>
        <v>0</v>
      </c>
      <c r="P76" s="84">
        <f ca="1">('Invoer gegevens'!$F$20/12)*L75*MIN(Reeksen!B75,Reeksen!D75)</f>
        <v>0</v>
      </c>
      <c r="Q76" s="84">
        <f t="shared" ca="1" si="13"/>
        <v>0</v>
      </c>
      <c r="R76" s="82">
        <f ca="1">IF('Invoer gegevens'!$C$17=E76,'Invoer gegevens'!$C$11,IF(C76=1,W75,0))</f>
        <v>0</v>
      </c>
      <c r="S76" s="86">
        <f ca="1">IF(C76&gt;=1,R76*VLOOKUP(E76,Reeksen!$A$5:$B$76,2),0)</f>
        <v>0</v>
      </c>
      <c r="T76" s="84">
        <f ca="1">(1-('Invoer gegevens'!$F$20/12))*R76*MIN(Reeksen!B76,Reeksen!D76)</f>
        <v>0</v>
      </c>
      <c r="U76" s="84">
        <f>IF(Reeksen!D76&gt;=Reeksen!B76,0,IF(Reeksen!AD76&lt;=Reeksen!AE76,(Reeksen!B76-Reeksen!D76)*R76,0))</f>
        <v>0</v>
      </c>
      <c r="V76" s="86">
        <f>IF(Reeksen!D76&gt;=Reeksen!B76,0,IF(Reeksen!AD76&gt;Reeksen!AE76,(Reeksen!B76-Reeksen!D76)*R76,0))</f>
        <v>0</v>
      </c>
      <c r="W76" s="97">
        <f t="shared" ca="1" si="14"/>
        <v>0</v>
      </c>
      <c r="X76" s="98">
        <f ca="1">IF('Invoer gegevens'!$C$17=E76,'Invoer gegevens'!$C$10-'Invoer gegevens'!$C$11,IF(C76=1,AC75,0))</f>
        <v>0</v>
      </c>
      <c r="Y76" s="98">
        <f ca="1">IF(C76&gt;=1,X76*VLOOKUP(E76,Reeksen!$A$5:$B$76,2),0)</f>
        <v>0</v>
      </c>
      <c r="Z76" s="98">
        <f ca="1">(1-('Invoer gegevens'!$F$20/12))*X76*MIN(Reeksen!B76,Reeksen!D76)</f>
        <v>0</v>
      </c>
      <c r="AA76" s="98">
        <f>IF(Reeksen!D76&gt;=Reeksen!B76,0,IF(Reeksen!AD76&lt;=Reeksen!AE76,(Reeksen!B76-Reeksen!D76)*X76,0))</f>
        <v>0</v>
      </c>
      <c r="AB76" s="98">
        <f>IF(Reeksen!D76&gt;=Reeksen!B76,0,IF(Reeksen!AD76&gt;Reeksen!AE76,(Reeksen!B76-Reeksen!D76)*X76,0))</f>
        <v>0</v>
      </c>
      <c r="AC76" s="99">
        <f t="shared" ca="1" si="15"/>
        <v>0</v>
      </c>
      <c r="AD76" s="98">
        <f ca="1">IF('Invoer gegevens'!$C$17=E76,R76,IF(C76=0,0,AE75))</f>
        <v>0</v>
      </c>
      <c r="AE76" s="98">
        <f t="shared" ca="1" si="16"/>
        <v>0</v>
      </c>
      <c r="AF76" s="98">
        <f ca="1">IF('Invoer gegevens'!$C$17=E76,X76,IF(C76=0,0,AG75))</f>
        <v>0</v>
      </c>
      <c r="AG76" s="98">
        <f t="shared" ca="1" si="17"/>
        <v>0</v>
      </c>
      <c r="AH76" s="66"/>
      <c r="AI76" s="71">
        <f ca="1">IF(C76=1,Reeksen!AI76*((F76-G76+F76)/2)*12+Reeksen!AD76*((L76-M76+L76)/2)*12,0)</f>
        <v>0</v>
      </c>
      <c r="AJ76" s="71">
        <f ca="1">-AI76*'Invoer gegevens'!$F$28</f>
        <v>0</v>
      </c>
      <c r="AK76" s="71">
        <f t="shared" ca="1" si="18"/>
        <v>0</v>
      </c>
      <c r="AL76" s="71">
        <f ca="1">IF(C76=1,Reeksen!AL76*((F76-G76+F76)/2)*12+Reeksen!AM76*((L76-M76+L76)/2)*12,0)</f>
        <v>0</v>
      </c>
      <c r="AM76" s="71">
        <f ca="1">-AL76*'Invoer gegevens'!$F$31</f>
        <v>0</v>
      </c>
      <c r="AN76" s="71">
        <f t="shared" ca="1" si="19"/>
        <v>0</v>
      </c>
      <c r="AO76" s="71">
        <f ca="1">IF(C76=1,(H76+J76+N76+P76)*Reeksen!AN76,0)</f>
        <v>0</v>
      </c>
      <c r="AP76" s="71">
        <f ca="1">-IF(C76=1,(H76+J76+N76+P76)*'Hulp - basis'!$G$550*Reeksen!H76,0)</f>
        <v>0</v>
      </c>
      <c r="AQ76" s="71">
        <f ca="1">-IF(C76=1,(F76+K76+L76+Q76)/2*'Invoer gegevens'!$F$35*Reeksen!J76,0)*2</f>
        <v>0</v>
      </c>
      <c r="AR76" s="71"/>
      <c r="AS76" s="71">
        <f ca="1">-IF(C76=1,(F76+K76+L76+Q76)/2*'Invoer gegevens'!$F$37*Reeksen!L76,0)</f>
        <v>0</v>
      </c>
      <c r="AT76" s="71">
        <f ca="1">-IF(C76=1,IF(E76='Invoer gegevens'!$C$17,'Invoer gegevens'!$C$11,AD76)*Reeksen!S76*'Invoer gegevens'!$C$18*Reeksen!P76,0)</f>
        <v>0</v>
      </c>
      <c r="AU76" s="71">
        <f ca="1">-IF(C76=1,(F76+K76+L76+Q76)/2*'Invoer gegevens'!$F$38*Reeksen!H76,0)</f>
        <v>0</v>
      </c>
      <c r="AV76" s="71">
        <f t="shared" si="11"/>
        <v>0</v>
      </c>
      <c r="AW76" s="71">
        <f t="shared" ca="1" si="20"/>
        <v>0</v>
      </c>
      <c r="AX76" s="71">
        <f ca="1">IF(E76&lt;'Invoer gegevens'!$C$17+15,0,IF(E76&gt;'Invoer gegevens'!$C$17+215,0,AW76))</f>
        <v>0</v>
      </c>
      <c r="AY76" s="71">
        <f ca="1">AX76/(1+'Invoer gegevens'!$F$18)^($AZ76-('Invoer gegevens'!$C$17-'Invoer gegevens'!$C$16))/(1+'Invoer gegevens'!$C$39)^('Invoer gegevens'!$C$17-'Invoer gegevens'!$C$16)</f>
        <v>0</v>
      </c>
      <c r="AZ76" s="68">
        <f ca="1">IF(E76-'Invoer gegevens'!$C$17-14.5&lt;0,0,E76-'Invoer gegevens'!$C$17-14.5)</f>
        <v>56.5</v>
      </c>
    </row>
    <row r="77" spans="1:52" x14ac:dyDescent="0.25">
      <c r="A77" s="59"/>
      <c r="B77" s="70">
        <f t="shared" si="21"/>
        <v>73</v>
      </c>
      <c r="C77" s="67">
        <f ca="1">IF(E77-'Invoer gegevens'!$C$17&lt;0,0,1)</f>
        <v>1</v>
      </c>
      <c r="D77" s="68">
        <f t="shared" si="22"/>
        <v>72.5</v>
      </c>
      <c r="E77" s="69">
        <f ca="1">IF('Invoer gegevens'!$C$16="","",E76+1)</f>
        <v>2091</v>
      </c>
      <c r="F77" s="84">
        <f ca="1">IF('Invoer gegevens'!$C$17=E77,'Invoer gegevens'!$C$10,IF(C77=1,K76,0))</f>
        <v>0</v>
      </c>
      <c r="G77" s="96">
        <f ca="1">IF(C77&gt;=1,F77*VLOOKUP(E77,Reeksen!$A$5:$B$76,2),0)</f>
        <v>0</v>
      </c>
      <c r="H77" s="84">
        <f ca="1">(1-('Invoer gegevens'!$F$20/12))*F77*MIN(Reeksen!B77,Reeksen!D77)</f>
        <v>0</v>
      </c>
      <c r="I77" s="84">
        <f>IF(Reeksen!D77&lt;Reeksen!B77,(Reeksen!B77-Reeksen!D77)*F77,0)</f>
        <v>0</v>
      </c>
      <c r="J77" s="84">
        <f ca="1">('Invoer gegevens'!$F$20/12)*F76*MIN(Reeksen!B76,Reeksen!D76)</f>
        <v>0</v>
      </c>
      <c r="K77" s="97">
        <f t="shared" ca="1" si="12"/>
        <v>0</v>
      </c>
      <c r="L77" s="84">
        <f ca="1">IF('Invoer gegevens'!$C$17=E77,0,IF(C77=1,Q76,0))</f>
        <v>0</v>
      </c>
      <c r="M77" s="96">
        <f ca="1">IF(C77&gt;=1,L77*VLOOKUP(E77,Reeksen!$A$5:$B$76,2),0)</f>
        <v>0</v>
      </c>
      <c r="N77" s="84">
        <f ca="1">(1-('Invoer gegevens'!$F$20/12))*L77*MIN(Reeksen!B77,Reeksen!D77)</f>
        <v>0</v>
      </c>
      <c r="O77" s="84">
        <f>IF(Reeksen!D77&lt;Reeksen!B77,(Reeksen!B77-Reeksen!D77)*L77,0)</f>
        <v>0</v>
      </c>
      <c r="P77" s="84">
        <f ca="1">('Invoer gegevens'!$F$20/12)*L76*MIN(Reeksen!B76,Reeksen!D76)</f>
        <v>0</v>
      </c>
      <c r="Q77" s="84">
        <f t="shared" ca="1" si="13"/>
        <v>0</v>
      </c>
      <c r="R77" s="82">
        <f ca="1">IF('Invoer gegevens'!$C$17=E77,'Invoer gegevens'!$C$11,IF(C77=1,W76,0))</f>
        <v>0</v>
      </c>
      <c r="S77" s="86">
        <f ca="1">IF(C77&gt;=1,R77*VLOOKUP(E77,Reeksen!$A$5:$B$76,2),0)</f>
        <v>0</v>
      </c>
      <c r="T77" s="84">
        <f ca="1">(1-('Invoer gegevens'!$F$20/12))*R77*MIN(Reeksen!B77,Reeksen!D77)</f>
        <v>0</v>
      </c>
      <c r="U77" s="84">
        <f>IF(Reeksen!D77&gt;=Reeksen!B77,0,IF(Reeksen!AD77&lt;=Reeksen!AE77,(Reeksen!B77-Reeksen!D77)*R77,0))</f>
        <v>0</v>
      </c>
      <c r="V77" s="86">
        <f>IF(Reeksen!D77&gt;=Reeksen!B77,0,IF(Reeksen!AD77&gt;Reeksen!AE77,(Reeksen!B77-Reeksen!D77)*R77,0))</f>
        <v>0</v>
      </c>
      <c r="W77" s="97">
        <f t="shared" ca="1" si="14"/>
        <v>0</v>
      </c>
      <c r="X77" s="98">
        <f ca="1">IF('Invoer gegevens'!$C$17=E77,'Invoer gegevens'!$C$10-'Invoer gegevens'!$C$11,IF(C77=1,AC76,0))</f>
        <v>0</v>
      </c>
      <c r="Y77" s="98">
        <f ca="1">IF(C77&gt;=1,X77*VLOOKUP(E77,Reeksen!$A$5:$B$76,2),0)</f>
        <v>0</v>
      </c>
      <c r="Z77" s="98">
        <f ca="1">(1-('Invoer gegevens'!$F$20/12))*X77*MIN(Reeksen!B77,Reeksen!D77)</f>
        <v>0</v>
      </c>
      <c r="AA77" s="98">
        <f>IF(Reeksen!D77&gt;=Reeksen!B77,0,IF(Reeksen!AD77&lt;=Reeksen!AE77,(Reeksen!B77-Reeksen!D77)*X77,0))</f>
        <v>0</v>
      </c>
      <c r="AB77" s="98">
        <f>IF(Reeksen!D77&gt;=Reeksen!B77,0,IF(Reeksen!AD77&gt;Reeksen!AE77,(Reeksen!B77-Reeksen!D77)*X77,0))</f>
        <v>0</v>
      </c>
      <c r="AC77" s="99">
        <f t="shared" ca="1" si="15"/>
        <v>0</v>
      </c>
      <c r="AD77" s="98">
        <f ca="1">IF('Invoer gegevens'!$C$17=E77,R77,IF(C77=0,0,AE76))</f>
        <v>0</v>
      </c>
      <c r="AE77" s="98">
        <f t="shared" ca="1" si="16"/>
        <v>0</v>
      </c>
      <c r="AF77" s="98">
        <f ca="1">IF('Invoer gegevens'!$C$17=E77,X77,IF(C77=0,0,AG76))</f>
        <v>0</v>
      </c>
      <c r="AG77" s="98">
        <f t="shared" ca="1" si="17"/>
        <v>0</v>
      </c>
      <c r="AH77" s="66"/>
      <c r="AI77" s="71">
        <f ca="1">IF(C77=1,Reeksen!AI77*((F77-G77+F77)/2)*12+Reeksen!AD77*((L77-M77+L77)/2)*12,0)</f>
        <v>0</v>
      </c>
      <c r="AJ77" s="71">
        <f ca="1">-AI77*'Invoer gegevens'!$F$28</f>
        <v>0</v>
      </c>
      <c r="AK77" s="71">
        <f t="shared" ca="1" si="18"/>
        <v>0</v>
      </c>
      <c r="AL77" s="71">
        <f ca="1">IF(C77=1,Reeksen!AL77*((F77-G77+F77)/2)*12+Reeksen!AM77*((L77-M77+L77)/2)*12,0)</f>
        <v>0</v>
      </c>
      <c r="AM77" s="71">
        <f ca="1">-AL77*'Invoer gegevens'!$F$31</f>
        <v>0</v>
      </c>
      <c r="AN77" s="71">
        <f t="shared" ca="1" si="19"/>
        <v>0</v>
      </c>
      <c r="AO77" s="71">
        <f ca="1">IF(C77=1,(H77+J77+N77+P77)*Reeksen!AN77,0)</f>
        <v>0</v>
      </c>
      <c r="AP77" s="71">
        <f ca="1">-IF(C77=1,(H77+J77+N77+P77)*'Hulp - basis'!$G$550*Reeksen!H77,0)</f>
        <v>0</v>
      </c>
      <c r="AQ77" s="71">
        <f ca="1">-IF(C77=1,(F77+K77+L77+Q77)/2*'Invoer gegevens'!$F$35*Reeksen!J77,0)*2</f>
        <v>0</v>
      </c>
      <c r="AR77" s="71"/>
      <c r="AS77" s="71">
        <f ca="1">-IF(C77=1,(F77+K77+L77+Q77)/2*'Invoer gegevens'!$F$37*Reeksen!L77,0)</f>
        <v>0</v>
      </c>
      <c r="AT77" s="71">
        <f ca="1">-IF(C77=1,IF(E77='Invoer gegevens'!$C$17,'Invoer gegevens'!$C$11,AD77)*Reeksen!S77*'Invoer gegevens'!$C$18*Reeksen!P77,0)</f>
        <v>0</v>
      </c>
      <c r="AU77" s="71">
        <f ca="1">-IF(C77=1,(F77+K77+L77+Q77)/2*'Invoer gegevens'!$F$38*Reeksen!H77,0)</f>
        <v>0</v>
      </c>
      <c r="AV77" s="71">
        <f t="shared" si="11"/>
        <v>0</v>
      </c>
      <c r="AW77" s="71">
        <f t="shared" ca="1" si="20"/>
        <v>0</v>
      </c>
      <c r="AX77" s="71">
        <f ca="1">IF(E77&lt;'Invoer gegevens'!$C$17+15,0,IF(E77&gt;'Invoer gegevens'!$C$17+215,0,AW77))</f>
        <v>0</v>
      </c>
      <c r="AY77" s="71">
        <f ca="1">AX77/(1+'Invoer gegevens'!$F$18)^($AZ77-('Invoer gegevens'!$C$17-'Invoer gegevens'!$C$16))/(1+'Invoer gegevens'!$C$39)^('Invoer gegevens'!$C$17-'Invoer gegevens'!$C$16)</f>
        <v>0</v>
      </c>
      <c r="AZ77" s="68">
        <f ca="1">IF(E77-'Invoer gegevens'!$C$17-14.5&lt;0,0,E77-'Invoer gegevens'!$C$17-14.5)</f>
        <v>57.5</v>
      </c>
    </row>
    <row r="78" spans="1:52" x14ac:dyDescent="0.25">
      <c r="A78" s="59"/>
      <c r="B78" s="70">
        <f t="shared" si="21"/>
        <v>74</v>
      </c>
      <c r="C78" s="67">
        <f ca="1">IF(E78-'Invoer gegevens'!$C$17&lt;0,0,1)</f>
        <v>1</v>
      </c>
      <c r="D78" s="68">
        <f t="shared" si="22"/>
        <v>73.5</v>
      </c>
      <c r="E78" s="69">
        <f ca="1">IF('Invoer gegevens'!$C$16="","",E77+1)</f>
        <v>2092</v>
      </c>
      <c r="F78" s="84">
        <f ca="1">IF('Invoer gegevens'!$C$17=E78,'Invoer gegevens'!$C$10,IF(C78=1,K77,0))</f>
        <v>0</v>
      </c>
      <c r="G78" s="96">
        <f ca="1">IF(C78&gt;=1,F78*VLOOKUP(E78,Reeksen!$A$5:$B$76,2),0)</f>
        <v>0</v>
      </c>
      <c r="H78" s="84">
        <f ca="1">(1-('Invoer gegevens'!$F$20/12))*F78*MIN(Reeksen!B78,Reeksen!D78)</f>
        <v>0</v>
      </c>
      <c r="I78" s="84">
        <f>IF(Reeksen!D78&lt;Reeksen!B78,(Reeksen!B78-Reeksen!D78)*F78,0)</f>
        <v>0</v>
      </c>
      <c r="J78" s="84">
        <f ca="1">('Invoer gegevens'!$F$20/12)*F77*MIN(Reeksen!B77,Reeksen!D77)</f>
        <v>0</v>
      </c>
      <c r="K78" s="97">
        <f t="shared" ca="1" si="12"/>
        <v>0</v>
      </c>
      <c r="L78" s="84">
        <f ca="1">IF('Invoer gegevens'!$C$17=E78,0,IF(C78=1,Q77,0))</f>
        <v>0</v>
      </c>
      <c r="M78" s="96">
        <f ca="1">IF(C78&gt;=1,L78*VLOOKUP(E78,Reeksen!$A$5:$B$76,2),0)</f>
        <v>0</v>
      </c>
      <c r="N78" s="84">
        <f ca="1">(1-('Invoer gegevens'!$F$20/12))*L78*MIN(Reeksen!B78,Reeksen!D78)</f>
        <v>0</v>
      </c>
      <c r="O78" s="84">
        <f>IF(Reeksen!D78&lt;Reeksen!B78,(Reeksen!B78-Reeksen!D78)*L78,0)</f>
        <v>0</v>
      </c>
      <c r="P78" s="84">
        <f ca="1">('Invoer gegevens'!$F$20/12)*L77*MIN(Reeksen!B77,Reeksen!D77)</f>
        <v>0</v>
      </c>
      <c r="Q78" s="84">
        <f t="shared" ca="1" si="13"/>
        <v>0</v>
      </c>
      <c r="R78" s="82">
        <f ca="1">IF('Invoer gegevens'!$C$17=E78,'Invoer gegevens'!$C$11,IF(C78=1,W77,0))</f>
        <v>0</v>
      </c>
      <c r="S78" s="86">
        <f ca="1">IF(C78&gt;=1,R78*VLOOKUP(E78,Reeksen!$A$5:$B$76,2),0)</f>
        <v>0</v>
      </c>
      <c r="T78" s="84">
        <f ca="1">(1-('Invoer gegevens'!$F$20/12))*R78*MIN(Reeksen!B78,Reeksen!D78)</f>
        <v>0</v>
      </c>
      <c r="U78" s="84">
        <f>IF(Reeksen!D78&gt;=Reeksen!B78,0,IF(Reeksen!AD78&lt;=Reeksen!AE78,(Reeksen!B78-Reeksen!D78)*R78,0))</f>
        <v>0</v>
      </c>
      <c r="V78" s="86">
        <f>IF(Reeksen!D78&gt;=Reeksen!B78,0,IF(Reeksen!AD78&gt;Reeksen!AE78,(Reeksen!B78-Reeksen!D78)*R78,0))</f>
        <v>0</v>
      </c>
      <c r="W78" s="97">
        <f t="shared" ca="1" si="14"/>
        <v>0</v>
      </c>
      <c r="X78" s="98">
        <f ca="1">IF('Invoer gegevens'!$C$17=E78,'Invoer gegevens'!$C$10-'Invoer gegevens'!$C$11,IF(C78=1,AC77,0))</f>
        <v>0</v>
      </c>
      <c r="Y78" s="98">
        <f ca="1">IF(C78&gt;=1,X78*VLOOKUP(E78,Reeksen!$A$5:$B$76,2),0)</f>
        <v>0</v>
      </c>
      <c r="Z78" s="98">
        <f ca="1">(1-('Invoer gegevens'!$F$20/12))*X78*MIN(Reeksen!B78,Reeksen!D78)</f>
        <v>0</v>
      </c>
      <c r="AA78" s="98">
        <f>IF(Reeksen!D78&gt;=Reeksen!B78,0,IF(Reeksen!AD78&lt;=Reeksen!AE78,(Reeksen!B78-Reeksen!D78)*X78,0))</f>
        <v>0</v>
      </c>
      <c r="AB78" s="98">
        <f>IF(Reeksen!D78&gt;=Reeksen!B78,0,IF(Reeksen!AD78&gt;Reeksen!AE78,(Reeksen!B78-Reeksen!D78)*X78,0))</f>
        <v>0</v>
      </c>
      <c r="AC78" s="99">
        <f t="shared" ca="1" si="15"/>
        <v>0</v>
      </c>
      <c r="AD78" s="98">
        <f ca="1">IF('Invoer gegevens'!$C$17=E78,R78,IF(C78=0,0,AE77))</f>
        <v>0</v>
      </c>
      <c r="AE78" s="98">
        <f t="shared" ca="1" si="16"/>
        <v>0</v>
      </c>
      <c r="AF78" s="98">
        <f ca="1">IF('Invoer gegevens'!$C$17=E78,X78,IF(C78=0,0,AG77))</f>
        <v>0</v>
      </c>
      <c r="AG78" s="98">
        <f t="shared" ca="1" si="17"/>
        <v>0</v>
      </c>
      <c r="AH78" s="66"/>
      <c r="AI78" s="71">
        <f ca="1">IF(C78=1,Reeksen!AI78*((F78-G78+F78)/2)*12+Reeksen!AD78*((L78-M78+L78)/2)*12,0)</f>
        <v>0</v>
      </c>
      <c r="AJ78" s="71">
        <f ca="1">-AI78*'Invoer gegevens'!$F$28</f>
        <v>0</v>
      </c>
      <c r="AK78" s="71">
        <f t="shared" ca="1" si="18"/>
        <v>0</v>
      </c>
      <c r="AL78" s="71">
        <f ca="1">IF(C78=1,Reeksen!AL78*((F78-G78+F78)/2)*12+Reeksen!AM78*((L78-M78+L78)/2)*12,0)</f>
        <v>0</v>
      </c>
      <c r="AM78" s="71">
        <f ca="1">-AL78*'Invoer gegevens'!$F$31</f>
        <v>0</v>
      </c>
      <c r="AN78" s="71">
        <f t="shared" ca="1" si="19"/>
        <v>0</v>
      </c>
      <c r="AO78" s="71">
        <f ca="1">IF(C78=1,(H78+J78+N78+P78)*Reeksen!AN78,0)</f>
        <v>0</v>
      </c>
      <c r="AP78" s="71">
        <f ca="1">-IF(C78=1,(H78+J78+N78+P78)*'Hulp - basis'!$G$550*Reeksen!H78,0)</f>
        <v>0</v>
      </c>
      <c r="AQ78" s="71">
        <f ca="1">-IF(C78=1,(F78+K78+L78+Q78)/2*'Invoer gegevens'!$F$35*Reeksen!J78,0)*2</f>
        <v>0</v>
      </c>
      <c r="AR78" s="71"/>
      <c r="AS78" s="71">
        <f ca="1">-IF(C78=1,(F78+K78+L78+Q78)/2*'Invoer gegevens'!$F$37*Reeksen!L78,0)</f>
        <v>0</v>
      </c>
      <c r="AT78" s="71">
        <f ca="1">-IF(C78=1,IF(E78='Invoer gegevens'!$C$17,'Invoer gegevens'!$C$11,AD78)*Reeksen!S78*'Invoer gegevens'!$C$18*Reeksen!P78,0)</f>
        <v>0</v>
      </c>
      <c r="AU78" s="71">
        <f ca="1">-IF(C78=1,(F78+K78+L78+Q78)/2*'Invoer gegevens'!$F$38*Reeksen!H78,0)</f>
        <v>0</v>
      </c>
      <c r="AV78" s="71">
        <f t="shared" si="11"/>
        <v>0</v>
      </c>
      <c r="AW78" s="71">
        <f t="shared" ca="1" si="20"/>
        <v>0</v>
      </c>
      <c r="AX78" s="71">
        <f ca="1">IF(E78&lt;'Invoer gegevens'!$C$17+15,0,IF(E78&gt;'Invoer gegevens'!$C$17+215,0,AW78))</f>
        <v>0</v>
      </c>
      <c r="AY78" s="71">
        <f ca="1">AX78/(1+'Invoer gegevens'!$F$18)^($AZ78-('Invoer gegevens'!$C$17-'Invoer gegevens'!$C$16))/(1+'Invoer gegevens'!$C$39)^('Invoer gegevens'!$C$17-'Invoer gegevens'!$C$16)</f>
        <v>0</v>
      </c>
      <c r="AZ78" s="68">
        <f ca="1">IF(E78-'Invoer gegevens'!$C$17-14.5&lt;0,0,E78-'Invoer gegevens'!$C$17-14.5)</f>
        <v>58.5</v>
      </c>
    </row>
    <row r="79" spans="1:52" x14ac:dyDescent="0.25">
      <c r="A79" s="59"/>
      <c r="B79" s="70">
        <f t="shared" si="21"/>
        <v>75</v>
      </c>
      <c r="C79" s="67">
        <f ca="1">IF(E79-'Invoer gegevens'!$C$17&lt;0,0,1)</f>
        <v>1</v>
      </c>
      <c r="D79" s="68">
        <f t="shared" si="22"/>
        <v>74.5</v>
      </c>
      <c r="E79" s="69">
        <f ca="1">IF('Invoer gegevens'!$C$16="","",E78+1)</f>
        <v>2093</v>
      </c>
      <c r="F79" s="84">
        <f ca="1">IF('Invoer gegevens'!$C$17=E79,'Invoer gegevens'!$C$10,IF(C79=1,K78,0))</f>
        <v>0</v>
      </c>
      <c r="G79" s="96">
        <f ca="1">IF(C79&gt;=1,F79*VLOOKUP(E79,Reeksen!$A$5:$B$76,2),0)</f>
        <v>0</v>
      </c>
      <c r="H79" s="84">
        <f ca="1">(1-('Invoer gegevens'!$F$20/12))*F79*MIN(Reeksen!B79,Reeksen!D79)</f>
        <v>0</v>
      </c>
      <c r="I79" s="84">
        <f>IF(Reeksen!D79&lt;Reeksen!B79,(Reeksen!B79-Reeksen!D79)*F79,0)</f>
        <v>0</v>
      </c>
      <c r="J79" s="84">
        <f ca="1">('Invoer gegevens'!$F$20/12)*F78*MIN(Reeksen!B78,Reeksen!D78)</f>
        <v>0</v>
      </c>
      <c r="K79" s="97">
        <f t="shared" ca="1" si="12"/>
        <v>0</v>
      </c>
      <c r="L79" s="84">
        <f ca="1">IF('Invoer gegevens'!$C$17=E79,0,IF(C79=1,Q78,0))</f>
        <v>0</v>
      </c>
      <c r="M79" s="96">
        <f ca="1">IF(C79&gt;=1,L79*VLOOKUP(E79,Reeksen!$A$5:$B$76,2),0)</f>
        <v>0</v>
      </c>
      <c r="N79" s="84">
        <f ca="1">(1-('Invoer gegevens'!$F$20/12))*L79*MIN(Reeksen!B79,Reeksen!D79)</f>
        <v>0</v>
      </c>
      <c r="O79" s="84">
        <f>IF(Reeksen!D79&lt;Reeksen!B79,(Reeksen!B79-Reeksen!D79)*L79,0)</f>
        <v>0</v>
      </c>
      <c r="P79" s="84">
        <f ca="1">('Invoer gegevens'!$F$20/12)*L78*MIN(Reeksen!B78,Reeksen!D78)</f>
        <v>0</v>
      </c>
      <c r="Q79" s="84">
        <f t="shared" ca="1" si="13"/>
        <v>0</v>
      </c>
      <c r="R79" s="82">
        <f ca="1">IF('Invoer gegevens'!$C$17=E79,'Invoer gegevens'!$C$11,IF(C79=1,W78,0))</f>
        <v>0</v>
      </c>
      <c r="S79" s="86">
        <f ca="1">IF(C79&gt;=1,R79*VLOOKUP(E79,Reeksen!$A$5:$B$76,2),0)</f>
        <v>0</v>
      </c>
      <c r="T79" s="84">
        <f ca="1">(1-('Invoer gegevens'!$F$20/12))*R79*MIN(Reeksen!B79,Reeksen!D79)</f>
        <v>0</v>
      </c>
      <c r="U79" s="84">
        <f>IF(Reeksen!D79&gt;=Reeksen!B79,0,IF(Reeksen!AD79&lt;=Reeksen!AE79,(Reeksen!B79-Reeksen!D79)*R79,0))</f>
        <v>0</v>
      </c>
      <c r="V79" s="86">
        <f>IF(Reeksen!D79&gt;=Reeksen!B79,0,IF(Reeksen!AD79&gt;Reeksen!AE79,(Reeksen!B79-Reeksen!D79)*R79,0))</f>
        <v>0</v>
      </c>
      <c r="W79" s="97">
        <f t="shared" ca="1" si="14"/>
        <v>0</v>
      </c>
      <c r="X79" s="98">
        <f ca="1">IF('Invoer gegevens'!$C$17=E79,'Invoer gegevens'!$C$10-'Invoer gegevens'!$C$11,IF(C79=1,AC78,0))</f>
        <v>0</v>
      </c>
      <c r="Y79" s="98">
        <f ca="1">IF(C79&gt;=1,X79*VLOOKUP(E79,Reeksen!$A$5:$B$76,2),0)</f>
        <v>0</v>
      </c>
      <c r="Z79" s="98">
        <f ca="1">(1-('Invoer gegevens'!$F$20/12))*X79*MIN(Reeksen!B79,Reeksen!D79)</f>
        <v>0</v>
      </c>
      <c r="AA79" s="98">
        <f>IF(Reeksen!D79&gt;=Reeksen!B79,0,IF(Reeksen!AD79&lt;=Reeksen!AE79,(Reeksen!B79-Reeksen!D79)*X79,0))</f>
        <v>0</v>
      </c>
      <c r="AB79" s="98">
        <f>IF(Reeksen!D79&gt;=Reeksen!B79,0,IF(Reeksen!AD79&gt;Reeksen!AE79,(Reeksen!B79-Reeksen!D79)*X79,0))</f>
        <v>0</v>
      </c>
      <c r="AC79" s="99">
        <f t="shared" ca="1" si="15"/>
        <v>0</v>
      </c>
      <c r="AD79" s="98">
        <f ca="1">IF('Invoer gegevens'!$C$17=E79,R79,IF(C79=0,0,AE78))</f>
        <v>0</v>
      </c>
      <c r="AE79" s="98">
        <f t="shared" ca="1" si="16"/>
        <v>0</v>
      </c>
      <c r="AF79" s="98">
        <f ca="1">IF('Invoer gegevens'!$C$17=E79,X79,IF(C79=0,0,AG78))</f>
        <v>0</v>
      </c>
      <c r="AG79" s="98">
        <f t="shared" ca="1" si="17"/>
        <v>0</v>
      </c>
      <c r="AH79" s="66"/>
      <c r="AI79" s="71">
        <f ca="1">IF(C79=1,Reeksen!AI79*((F79-G79+F79)/2)*12+Reeksen!AD79*((L79-M79+L79)/2)*12,0)</f>
        <v>0</v>
      </c>
      <c r="AJ79" s="71">
        <f ca="1">-AI79*'Invoer gegevens'!$F$28</f>
        <v>0</v>
      </c>
      <c r="AK79" s="71">
        <f t="shared" ca="1" si="18"/>
        <v>0</v>
      </c>
      <c r="AL79" s="71">
        <f ca="1">IF(C79=1,Reeksen!AL79*((F79-G79+F79)/2)*12+Reeksen!AM79*((L79-M79+L79)/2)*12,0)</f>
        <v>0</v>
      </c>
      <c r="AM79" s="71">
        <f ca="1">-AL79*'Invoer gegevens'!$F$31</f>
        <v>0</v>
      </c>
      <c r="AN79" s="71">
        <f t="shared" ca="1" si="19"/>
        <v>0</v>
      </c>
      <c r="AO79" s="71">
        <f ca="1">IF(C79=1,(H79+J79+N79+P79)*Reeksen!AN79,0)</f>
        <v>0</v>
      </c>
      <c r="AP79" s="71">
        <f ca="1">-IF(C79=1,(H79+J79+N79+P79)*'Hulp - basis'!$G$550*Reeksen!H79,0)</f>
        <v>0</v>
      </c>
      <c r="AQ79" s="71">
        <f ca="1">-IF(C79=1,(F79+K79+L79+Q79)/2*'Invoer gegevens'!$F$35*Reeksen!J79,0)*2</f>
        <v>0</v>
      </c>
      <c r="AR79" s="71"/>
      <c r="AS79" s="71">
        <f ca="1">-IF(C79=1,(F79+K79+L79+Q79)/2*'Invoer gegevens'!$F$37*Reeksen!L79,0)</f>
        <v>0</v>
      </c>
      <c r="AT79" s="71">
        <f ca="1">-IF(C79=1,IF(E79='Invoer gegevens'!$C$17,'Invoer gegevens'!$C$11,AD79)*Reeksen!S79*'Invoer gegevens'!$C$18*Reeksen!P79,0)</f>
        <v>0</v>
      </c>
      <c r="AU79" s="71">
        <f ca="1">-IF(C79=1,(F79+K79+L79+Q79)/2*'Invoer gegevens'!$F$38*Reeksen!H79,0)</f>
        <v>0</v>
      </c>
      <c r="AV79" s="71">
        <f t="shared" si="11"/>
        <v>0</v>
      </c>
      <c r="AW79" s="71">
        <f t="shared" ca="1" si="20"/>
        <v>0</v>
      </c>
      <c r="AX79" s="71">
        <f ca="1">IF(E79&lt;'Invoer gegevens'!$C$17+15,0,IF(E79&gt;'Invoer gegevens'!$C$17+215,0,AW79))</f>
        <v>0</v>
      </c>
      <c r="AY79" s="71">
        <f ca="1">AX79/(1+'Invoer gegevens'!$F$18)^($AZ79-('Invoer gegevens'!$C$17-'Invoer gegevens'!$C$16))/(1+'Invoer gegevens'!$C$39)^('Invoer gegevens'!$C$17-'Invoer gegevens'!$C$16)</f>
        <v>0</v>
      </c>
      <c r="AZ79" s="68">
        <f ca="1">IF(E79-'Invoer gegevens'!$C$17-14.5&lt;0,0,E79-'Invoer gegevens'!$C$17-14.5)</f>
        <v>59.5</v>
      </c>
    </row>
    <row r="80" spans="1:52" x14ac:dyDescent="0.25">
      <c r="A80" s="59"/>
      <c r="B80" s="70">
        <f t="shared" si="21"/>
        <v>76</v>
      </c>
      <c r="C80" s="67">
        <f ca="1">IF(E80-'Invoer gegevens'!$C$17&lt;0,0,1)</f>
        <v>1</v>
      </c>
      <c r="D80" s="68">
        <f t="shared" si="22"/>
        <v>75.5</v>
      </c>
      <c r="E80" s="69">
        <f ca="1">IF('Invoer gegevens'!$C$16="","",E79+1)</f>
        <v>2094</v>
      </c>
      <c r="F80" s="84">
        <f ca="1">IF('Invoer gegevens'!$C$17=E80,'Invoer gegevens'!$C$10,IF(C80=1,K79,0))</f>
        <v>0</v>
      </c>
      <c r="G80" s="96">
        <f ca="1">IF(C80&gt;=1,F80*VLOOKUP(E80,Reeksen!$A$5:$B$76,2),0)</f>
        <v>0</v>
      </c>
      <c r="H80" s="84">
        <f ca="1">(1-('Invoer gegevens'!$F$20/12))*F80*MIN(Reeksen!B80,Reeksen!D80)</f>
        <v>0</v>
      </c>
      <c r="I80" s="84">
        <f>IF(Reeksen!D80&lt;Reeksen!B80,(Reeksen!B80-Reeksen!D80)*F80,0)</f>
        <v>0</v>
      </c>
      <c r="J80" s="84">
        <f ca="1">('Invoer gegevens'!$F$20/12)*F79*MIN(Reeksen!B79,Reeksen!D79)</f>
        <v>0</v>
      </c>
      <c r="K80" s="97">
        <f t="shared" ca="1" si="12"/>
        <v>0</v>
      </c>
      <c r="L80" s="84">
        <f ca="1">IF('Invoer gegevens'!$C$17=E80,0,IF(C80=1,Q79,0))</f>
        <v>0</v>
      </c>
      <c r="M80" s="96">
        <f ca="1">IF(C80&gt;=1,L80*VLOOKUP(E80,Reeksen!$A$5:$B$76,2),0)</f>
        <v>0</v>
      </c>
      <c r="N80" s="84">
        <f ca="1">(1-('Invoer gegevens'!$F$20/12))*L80*MIN(Reeksen!B80,Reeksen!D80)</f>
        <v>0</v>
      </c>
      <c r="O80" s="84">
        <f>IF(Reeksen!D80&lt;Reeksen!B80,(Reeksen!B80-Reeksen!D80)*L80,0)</f>
        <v>0</v>
      </c>
      <c r="P80" s="84">
        <f ca="1">('Invoer gegevens'!$F$20/12)*L79*MIN(Reeksen!B79,Reeksen!D79)</f>
        <v>0</v>
      </c>
      <c r="Q80" s="84">
        <f t="shared" ca="1" si="13"/>
        <v>0</v>
      </c>
      <c r="R80" s="82">
        <f ca="1">IF('Invoer gegevens'!$C$17=E80,'Invoer gegevens'!$C$11,IF(C80=1,W79,0))</f>
        <v>0</v>
      </c>
      <c r="S80" s="86">
        <f ca="1">IF(C80&gt;=1,R80*VLOOKUP(E80,Reeksen!$A$5:$B$76,2),0)</f>
        <v>0</v>
      </c>
      <c r="T80" s="84">
        <f ca="1">(1-('Invoer gegevens'!$F$20/12))*R80*MIN(Reeksen!B80,Reeksen!D80)</f>
        <v>0</v>
      </c>
      <c r="U80" s="84">
        <f>IF(Reeksen!D80&gt;=Reeksen!B80,0,IF(Reeksen!AD80&lt;=Reeksen!AE80,(Reeksen!B80-Reeksen!D80)*R80,0))</f>
        <v>0</v>
      </c>
      <c r="V80" s="86">
        <f>IF(Reeksen!D80&gt;=Reeksen!B80,0,IF(Reeksen!AD80&gt;Reeksen!AE80,(Reeksen!B80-Reeksen!D80)*R80,0))</f>
        <v>0</v>
      </c>
      <c r="W80" s="97">
        <f t="shared" ca="1" si="14"/>
        <v>0</v>
      </c>
      <c r="X80" s="98">
        <f ca="1">IF('Invoer gegevens'!$C$17=E80,'Invoer gegevens'!$C$10-'Invoer gegevens'!$C$11,IF(C80=1,AC79,0))</f>
        <v>0</v>
      </c>
      <c r="Y80" s="98">
        <f ca="1">IF(C80&gt;=1,X80*VLOOKUP(E80,Reeksen!$A$5:$B$76,2),0)</f>
        <v>0</v>
      </c>
      <c r="Z80" s="98">
        <f ca="1">(1-('Invoer gegevens'!$F$20/12))*X80*MIN(Reeksen!B80,Reeksen!D80)</f>
        <v>0</v>
      </c>
      <c r="AA80" s="98">
        <f>IF(Reeksen!D80&gt;=Reeksen!B80,0,IF(Reeksen!AD80&lt;=Reeksen!AE80,(Reeksen!B80-Reeksen!D80)*X80,0))</f>
        <v>0</v>
      </c>
      <c r="AB80" s="98">
        <f>IF(Reeksen!D80&gt;=Reeksen!B80,0,IF(Reeksen!AD80&gt;Reeksen!AE80,(Reeksen!B80-Reeksen!D80)*X80,0))</f>
        <v>0</v>
      </c>
      <c r="AC80" s="99">
        <f t="shared" ca="1" si="15"/>
        <v>0</v>
      </c>
      <c r="AD80" s="98">
        <f ca="1">IF('Invoer gegevens'!$C$17=E80,R80,IF(C80=0,0,AE79))</f>
        <v>0</v>
      </c>
      <c r="AE80" s="98">
        <f t="shared" ca="1" si="16"/>
        <v>0</v>
      </c>
      <c r="AF80" s="98">
        <f ca="1">IF('Invoer gegevens'!$C$17=E80,X80,IF(C80=0,0,AG79))</f>
        <v>0</v>
      </c>
      <c r="AG80" s="98">
        <f t="shared" ca="1" si="17"/>
        <v>0</v>
      </c>
      <c r="AH80" s="66"/>
      <c r="AI80" s="71">
        <f ca="1">IF(C80=1,Reeksen!AI80*((F80-G80+F80)/2)*12+Reeksen!AD80*((L80-M80+L80)/2)*12,0)</f>
        <v>0</v>
      </c>
      <c r="AJ80" s="71">
        <f ca="1">-AI80*'Invoer gegevens'!$F$28</f>
        <v>0</v>
      </c>
      <c r="AK80" s="71">
        <f t="shared" ca="1" si="18"/>
        <v>0</v>
      </c>
      <c r="AL80" s="71">
        <f ca="1">IF(C80=1,Reeksen!AL80*((F80-G80+F80)/2)*12+Reeksen!AM80*((L80-M80+L80)/2)*12,0)</f>
        <v>0</v>
      </c>
      <c r="AM80" s="71">
        <f ca="1">-AL80*'Invoer gegevens'!$F$31</f>
        <v>0</v>
      </c>
      <c r="AN80" s="71">
        <f t="shared" ca="1" si="19"/>
        <v>0</v>
      </c>
      <c r="AO80" s="71">
        <f ca="1">IF(C80=1,(H80+J80+N80+P80)*Reeksen!AN80,0)</f>
        <v>0</v>
      </c>
      <c r="AP80" s="71">
        <f ca="1">-IF(C80=1,(H80+J80+N80+P80)*'Hulp - basis'!$G$550*Reeksen!H80,0)</f>
        <v>0</v>
      </c>
      <c r="AQ80" s="71">
        <f ca="1">-IF(C80=1,(F80+K80+L80+Q80)/2*'Invoer gegevens'!$F$35*Reeksen!J80,0)*2</f>
        <v>0</v>
      </c>
      <c r="AR80" s="71"/>
      <c r="AS80" s="71">
        <f ca="1">-IF(C80=1,(F80+K80+L80+Q80)/2*'Invoer gegevens'!$F$37*Reeksen!L80,0)</f>
        <v>0</v>
      </c>
      <c r="AT80" s="71">
        <f ca="1">-IF(C80=1,IF(E80='Invoer gegevens'!$C$17,'Invoer gegevens'!$C$11,AD80)*Reeksen!S80*'Invoer gegevens'!$C$18*Reeksen!P80,0)</f>
        <v>0</v>
      </c>
      <c r="AU80" s="71">
        <f ca="1">-IF(C80=1,(F80+K80+L80+Q80)/2*'Invoer gegevens'!$F$38*Reeksen!H80,0)</f>
        <v>0</v>
      </c>
      <c r="AV80" s="71">
        <f t="shared" si="11"/>
        <v>0</v>
      </c>
      <c r="AW80" s="71">
        <f t="shared" ca="1" si="20"/>
        <v>0</v>
      </c>
      <c r="AX80" s="71">
        <f ca="1">IF(E80&lt;'Invoer gegevens'!$C$17+15,0,IF(E80&gt;'Invoer gegevens'!$C$17+215,0,AW80))</f>
        <v>0</v>
      </c>
      <c r="AY80" s="71">
        <f ca="1">AX80/(1+'Invoer gegevens'!$F$18)^($AZ80-('Invoer gegevens'!$C$17-'Invoer gegevens'!$C$16))/(1+'Invoer gegevens'!$C$39)^('Invoer gegevens'!$C$17-'Invoer gegevens'!$C$16)</f>
        <v>0</v>
      </c>
      <c r="AZ80" s="68">
        <f ca="1">IF(E80-'Invoer gegevens'!$C$17-14.5&lt;0,0,E80-'Invoer gegevens'!$C$17-14.5)</f>
        <v>60.5</v>
      </c>
    </row>
    <row r="81" spans="1:52" x14ac:dyDescent="0.25">
      <c r="A81" s="59"/>
      <c r="B81" s="70">
        <f t="shared" si="21"/>
        <v>77</v>
      </c>
      <c r="C81" s="67">
        <f ca="1">IF(E81-'Invoer gegevens'!$C$17&lt;0,0,1)</f>
        <v>1</v>
      </c>
      <c r="D81" s="68">
        <f t="shared" si="22"/>
        <v>76.5</v>
      </c>
      <c r="E81" s="69">
        <f ca="1">IF('Invoer gegevens'!$C$16="","",E80+1)</f>
        <v>2095</v>
      </c>
      <c r="F81" s="84">
        <f ca="1">IF('Invoer gegevens'!$C$17=E81,'Invoer gegevens'!$C$10,IF(C81=1,K80,0))</f>
        <v>0</v>
      </c>
      <c r="G81" s="96">
        <f ca="1">IF(C81&gt;=1,F81*VLOOKUP(E81,Reeksen!$A$5:$B$76,2),0)</f>
        <v>0</v>
      </c>
      <c r="H81" s="84">
        <f ca="1">(1-('Invoer gegevens'!$F$20/12))*F81*MIN(Reeksen!B81,Reeksen!D81)</f>
        <v>0</v>
      </c>
      <c r="I81" s="84">
        <f>IF(Reeksen!D81&lt;Reeksen!B81,(Reeksen!B81-Reeksen!D81)*F81,0)</f>
        <v>0</v>
      </c>
      <c r="J81" s="84">
        <f ca="1">('Invoer gegevens'!$F$20/12)*F80*MIN(Reeksen!B80,Reeksen!D80)</f>
        <v>0</v>
      </c>
      <c r="K81" s="97">
        <f t="shared" ca="1" si="12"/>
        <v>0</v>
      </c>
      <c r="L81" s="84">
        <f ca="1">IF('Invoer gegevens'!$C$17=E81,0,IF(C81=1,Q80,0))</f>
        <v>0</v>
      </c>
      <c r="M81" s="96">
        <f ca="1">IF(C81&gt;=1,L81*VLOOKUP(E81,Reeksen!$A$5:$B$76,2),0)</f>
        <v>0</v>
      </c>
      <c r="N81" s="84">
        <f ca="1">(1-('Invoer gegevens'!$F$20/12))*L81*MIN(Reeksen!B81,Reeksen!D81)</f>
        <v>0</v>
      </c>
      <c r="O81" s="84">
        <f>IF(Reeksen!D81&lt;Reeksen!B81,(Reeksen!B81-Reeksen!D81)*L81,0)</f>
        <v>0</v>
      </c>
      <c r="P81" s="84">
        <f ca="1">('Invoer gegevens'!$F$20/12)*L80*MIN(Reeksen!B80,Reeksen!D80)</f>
        <v>0</v>
      </c>
      <c r="Q81" s="84">
        <f t="shared" ca="1" si="13"/>
        <v>0</v>
      </c>
      <c r="R81" s="82">
        <f ca="1">IF('Invoer gegevens'!$C$17=E81,'Invoer gegevens'!$C$11,IF(C81=1,W80,0))</f>
        <v>0</v>
      </c>
      <c r="S81" s="86">
        <f ca="1">IF(C81&gt;=1,R81*VLOOKUP(E81,Reeksen!$A$5:$B$76,2),0)</f>
        <v>0</v>
      </c>
      <c r="T81" s="84">
        <f ca="1">(1-('Invoer gegevens'!$F$20/12))*R81*MIN(Reeksen!B81,Reeksen!D81)</f>
        <v>0</v>
      </c>
      <c r="U81" s="84">
        <f>IF(Reeksen!D81&gt;=Reeksen!B81,0,IF(Reeksen!AD81&lt;=Reeksen!AE81,(Reeksen!B81-Reeksen!D81)*R81,0))</f>
        <v>0</v>
      </c>
      <c r="V81" s="86">
        <f>IF(Reeksen!D81&gt;=Reeksen!B81,0,IF(Reeksen!AD81&gt;Reeksen!AE81,(Reeksen!B81-Reeksen!D81)*R81,0))</f>
        <v>0</v>
      </c>
      <c r="W81" s="97">
        <f t="shared" ca="1" si="14"/>
        <v>0</v>
      </c>
      <c r="X81" s="98">
        <f ca="1">IF('Invoer gegevens'!$C$17=E81,'Invoer gegevens'!$C$10-'Invoer gegevens'!$C$11,IF(C81=1,AC80,0))</f>
        <v>0</v>
      </c>
      <c r="Y81" s="98">
        <f ca="1">IF(C81&gt;=1,X81*VLOOKUP(E81,Reeksen!$A$5:$B$76,2),0)</f>
        <v>0</v>
      </c>
      <c r="Z81" s="98">
        <f ca="1">(1-('Invoer gegevens'!$F$20/12))*X81*MIN(Reeksen!B81,Reeksen!D81)</f>
        <v>0</v>
      </c>
      <c r="AA81" s="98">
        <f>IF(Reeksen!D81&gt;=Reeksen!B81,0,IF(Reeksen!AD81&lt;=Reeksen!AE81,(Reeksen!B81-Reeksen!D81)*X81,0))</f>
        <v>0</v>
      </c>
      <c r="AB81" s="98">
        <f>IF(Reeksen!D81&gt;=Reeksen!B81,0,IF(Reeksen!AD81&gt;Reeksen!AE81,(Reeksen!B81-Reeksen!D81)*X81,0))</f>
        <v>0</v>
      </c>
      <c r="AC81" s="99">
        <f t="shared" ca="1" si="15"/>
        <v>0</v>
      </c>
      <c r="AD81" s="98">
        <f ca="1">IF('Invoer gegevens'!$C$17=E81,R81,IF(C81=0,0,AE80))</f>
        <v>0</v>
      </c>
      <c r="AE81" s="98">
        <f t="shared" ca="1" si="16"/>
        <v>0</v>
      </c>
      <c r="AF81" s="98">
        <f ca="1">IF('Invoer gegevens'!$C$17=E81,X81,IF(C81=0,0,AG80))</f>
        <v>0</v>
      </c>
      <c r="AG81" s="98">
        <f t="shared" ca="1" si="17"/>
        <v>0</v>
      </c>
      <c r="AH81" s="66"/>
      <c r="AI81" s="71">
        <f ca="1">IF(C81=1,Reeksen!AI81*((F81-G81+F81)/2)*12+Reeksen!AD81*((L81-M81+L81)/2)*12,0)</f>
        <v>0</v>
      </c>
      <c r="AJ81" s="71">
        <f ca="1">-AI81*'Invoer gegevens'!$F$28</f>
        <v>0</v>
      </c>
      <c r="AK81" s="71">
        <f t="shared" ca="1" si="18"/>
        <v>0</v>
      </c>
      <c r="AL81" s="71">
        <f ca="1">IF(C81=1,Reeksen!AL81*((F81-G81+F81)/2)*12+Reeksen!AM81*((L81-M81+L81)/2)*12,0)</f>
        <v>0</v>
      </c>
      <c r="AM81" s="71">
        <f ca="1">-AL81*'Invoer gegevens'!$F$31</f>
        <v>0</v>
      </c>
      <c r="AN81" s="71">
        <f t="shared" ca="1" si="19"/>
        <v>0</v>
      </c>
      <c r="AO81" s="71">
        <f ca="1">IF(C81=1,(H81+J81+N81+P81)*Reeksen!AN81,0)</f>
        <v>0</v>
      </c>
      <c r="AP81" s="71">
        <f ca="1">-IF(C81=1,(H81+J81+N81+P81)*'Hulp - basis'!$G$550*Reeksen!H81,0)</f>
        <v>0</v>
      </c>
      <c r="AQ81" s="71">
        <f ca="1">-IF(C81=1,(F81+K81+L81+Q81)/2*'Invoer gegevens'!$F$35*Reeksen!J81,0)*2</f>
        <v>0</v>
      </c>
      <c r="AR81" s="71"/>
      <c r="AS81" s="71">
        <f ca="1">-IF(C81=1,(F81+K81+L81+Q81)/2*'Invoer gegevens'!$F$37*Reeksen!L81,0)</f>
        <v>0</v>
      </c>
      <c r="AT81" s="71">
        <f ca="1">-IF(C81=1,IF(E81='Invoer gegevens'!$C$17,'Invoer gegevens'!$C$11,AD81)*Reeksen!S81*'Invoer gegevens'!$C$18*Reeksen!P81,0)</f>
        <v>0</v>
      </c>
      <c r="AU81" s="71">
        <f ca="1">-IF(C81=1,(F81+K81+L81+Q81)/2*'Invoer gegevens'!$F$38*Reeksen!H81,0)</f>
        <v>0</v>
      </c>
      <c r="AV81" s="71">
        <f t="shared" si="11"/>
        <v>0</v>
      </c>
      <c r="AW81" s="71">
        <f t="shared" ca="1" si="20"/>
        <v>0</v>
      </c>
      <c r="AX81" s="71">
        <f ca="1">IF(E81&lt;'Invoer gegevens'!$C$17+15,0,IF(E81&gt;'Invoer gegevens'!$C$17+215,0,AW81))</f>
        <v>0</v>
      </c>
      <c r="AY81" s="71">
        <f ca="1">AX81/(1+'Invoer gegevens'!$F$18)^($AZ81-('Invoer gegevens'!$C$17-'Invoer gegevens'!$C$16))/(1+'Invoer gegevens'!$C$39)^('Invoer gegevens'!$C$17-'Invoer gegevens'!$C$16)</f>
        <v>0</v>
      </c>
      <c r="AZ81" s="68">
        <f ca="1">IF(E81-'Invoer gegevens'!$C$17-14.5&lt;0,0,E81-'Invoer gegevens'!$C$17-14.5)</f>
        <v>61.5</v>
      </c>
    </row>
    <row r="82" spans="1:52" x14ac:dyDescent="0.25">
      <c r="A82" s="59"/>
      <c r="B82" s="70">
        <f t="shared" si="21"/>
        <v>78</v>
      </c>
      <c r="C82" s="67">
        <f ca="1">IF(E82-'Invoer gegevens'!$C$17&lt;0,0,1)</f>
        <v>1</v>
      </c>
      <c r="D82" s="68">
        <f t="shared" si="22"/>
        <v>77.5</v>
      </c>
      <c r="E82" s="69">
        <f ca="1">IF('Invoer gegevens'!$C$16="","",E81+1)</f>
        <v>2096</v>
      </c>
      <c r="F82" s="84">
        <f ca="1">IF('Invoer gegevens'!$C$17=E82,'Invoer gegevens'!$C$10,IF(C82=1,K81,0))</f>
        <v>0</v>
      </c>
      <c r="G82" s="96">
        <f ca="1">IF(C82&gt;=1,F82*VLOOKUP(E82,Reeksen!$A$5:$B$76,2),0)</f>
        <v>0</v>
      </c>
      <c r="H82" s="84">
        <f ca="1">(1-('Invoer gegevens'!$F$20/12))*F82*MIN(Reeksen!B82,Reeksen!D82)</f>
        <v>0</v>
      </c>
      <c r="I82" s="84">
        <f>IF(Reeksen!D82&lt;Reeksen!B82,(Reeksen!B82-Reeksen!D82)*F82,0)</f>
        <v>0</v>
      </c>
      <c r="J82" s="84">
        <f ca="1">('Invoer gegevens'!$F$20/12)*F81*MIN(Reeksen!B81,Reeksen!D81)</f>
        <v>0</v>
      </c>
      <c r="K82" s="97">
        <f t="shared" ca="1" si="12"/>
        <v>0</v>
      </c>
      <c r="L82" s="84">
        <f ca="1">IF('Invoer gegevens'!$C$17=E82,0,IF(C82=1,Q81,0))</f>
        <v>0</v>
      </c>
      <c r="M82" s="96">
        <f ca="1">IF(C82&gt;=1,L82*VLOOKUP(E82,Reeksen!$A$5:$B$76,2),0)</f>
        <v>0</v>
      </c>
      <c r="N82" s="84">
        <f ca="1">(1-('Invoer gegevens'!$F$20/12))*L82*MIN(Reeksen!B82,Reeksen!D82)</f>
        <v>0</v>
      </c>
      <c r="O82" s="84">
        <f>IF(Reeksen!D82&lt;Reeksen!B82,(Reeksen!B82-Reeksen!D82)*L82,0)</f>
        <v>0</v>
      </c>
      <c r="P82" s="84">
        <f ca="1">('Invoer gegevens'!$F$20/12)*L81*MIN(Reeksen!B81,Reeksen!D81)</f>
        <v>0</v>
      </c>
      <c r="Q82" s="84">
        <f t="shared" ca="1" si="13"/>
        <v>0</v>
      </c>
      <c r="R82" s="82">
        <f ca="1">IF('Invoer gegevens'!$C$17=E82,'Invoer gegevens'!$C$11,IF(C82=1,W81,0))</f>
        <v>0</v>
      </c>
      <c r="S82" s="86">
        <f ca="1">IF(C82&gt;=1,R82*VLOOKUP(E82,Reeksen!$A$5:$B$76,2),0)</f>
        <v>0</v>
      </c>
      <c r="T82" s="84">
        <f ca="1">(1-('Invoer gegevens'!$F$20/12))*R82*MIN(Reeksen!B82,Reeksen!D82)</f>
        <v>0</v>
      </c>
      <c r="U82" s="84">
        <f>IF(Reeksen!D82&gt;=Reeksen!B82,0,IF(Reeksen!AD82&lt;=Reeksen!AE82,(Reeksen!B82-Reeksen!D82)*R82,0))</f>
        <v>0</v>
      </c>
      <c r="V82" s="86">
        <f>IF(Reeksen!D82&gt;=Reeksen!B82,0,IF(Reeksen!AD82&gt;Reeksen!AE82,(Reeksen!B82-Reeksen!D82)*R82,0))</f>
        <v>0</v>
      </c>
      <c r="W82" s="97">
        <f t="shared" ca="1" si="14"/>
        <v>0</v>
      </c>
      <c r="X82" s="98">
        <f ca="1">IF('Invoer gegevens'!$C$17=E82,'Invoer gegevens'!$C$10-'Invoer gegevens'!$C$11,IF(C82=1,AC81,0))</f>
        <v>0</v>
      </c>
      <c r="Y82" s="98">
        <f ca="1">IF(C82&gt;=1,X82*VLOOKUP(E82,Reeksen!$A$5:$B$76,2),0)</f>
        <v>0</v>
      </c>
      <c r="Z82" s="98">
        <f ca="1">(1-('Invoer gegevens'!$F$20/12))*X82*MIN(Reeksen!B82,Reeksen!D82)</f>
        <v>0</v>
      </c>
      <c r="AA82" s="98">
        <f>IF(Reeksen!D82&gt;=Reeksen!B82,0,IF(Reeksen!AD82&lt;=Reeksen!AE82,(Reeksen!B82-Reeksen!D82)*X82,0))</f>
        <v>0</v>
      </c>
      <c r="AB82" s="98">
        <f>IF(Reeksen!D82&gt;=Reeksen!B82,0,IF(Reeksen!AD82&gt;Reeksen!AE82,(Reeksen!B82-Reeksen!D82)*X82,0))</f>
        <v>0</v>
      </c>
      <c r="AC82" s="99">
        <f t="shared" ca="1" si="15"/>
        <v>0</v>
      </c>
      <c r="AD82" s="98">
        <f ca="1">IF('Invoer gegevens'!$C$17=E82,R82,IF(C82=0,0,AE81))</f>
        <v>0</v>
      </c>
      <c r="AE82" s="98">
        <f t="shared" ca="1" si="16"/>
        <v>0</v>
      </c>
      <c r="AF82" s="98">
        <f ca="1">IF('Invoer gegevens'!$C$17=E82,X82,IF(C82=0,0,AG81))</f>
        <v>0</v>
      </c>
      <c r="AG82" s="98">
        <f t="shared" ca="1" si="17"/>
        <v>0</v>
      </c>
      <c r="AH82" s="66"/>
      <c r="AI82" s="71">
        <f ca="1">IF(C82=1,Reeksen!AI82*((F82-G82+F82)/2)*12+Reeksen!AD82*((L82-M82+L82)/2)*12,0)</f>
        <v>0</v>
      </c>
      <c r="AJ82" s="71">
        <f ca="1">-AI82*'Invoer gegevens'!$F$28</f>
        <v>0</v>
      </c>
      <c r="AK82" s="71">
        <f t="shared" ca="1" si="18"/>
        <v>0</v>
      </c>
      <c r="AL82" s="71">
        <f ca="1">IF(C82=1,Reeksen!AL82*((F82-G82+F82)/2)*12+Reeksen!AM82*((L82-M82+L82)/2)*12,0)</f>
        <v>0</v>
      </c>
      <c r="AM82" s="71">
        <f ca="1">-AL82*'Invoer gegevens'!$F$31</f>
        <v>0</v>
      </c>
      <c r="AN82" s="71">
        <f t="shared" ca="1" si="19"/>
        <v>0</v>
      </c>
      <c r="AO82" s="71">
        <f ca="1">IF(C82=1,(H82+J82+N82+P82)*Reeksen!AN82,0)</f>
        <v>0</v>
      </c>
      <c r="AP82" s="71">
        <f ca="1">-IF(C82=1,(H82+J82+N82+P82)*'Hulp - basis'!$G$550*Reeksen!H82,0)</f>
        <v>0</v>
      </c>
      <c r="AQ82" s="71">
        <f ca="1">-IF(C82=1,(F82+K82+L82+Q82)/2*'Invoer gegevens'!$F$35*Reeksen!J82,0)*2</f>
        <v>0</v>
      </c>
      <c r="AR82" s="71"/>
      <c r="AS82" s="71">
        <f ca="1">-IF(C82=1,(F82+K82+L82+Q82)/2*'Invoer gegevens'!$F$37*Reeksen!L82,0)</f>
        <v>0</v>
      </c>
      <c r="AT82" s="71">
        <f ca="1">-IF(C82=1,IF(E82='Invoer gegevens'!$C$17,'Invoer gegevens'!$C$11,AD82)*Reeksen!S82*'Invoer gegevens'!$C$18*Reeksen!P82,0)</f>
        <v>0</v>
      </c>
      <c r="AU82" s="71">
        <f ca="1">-IF(C82=1,(F82+K82+L82+Q82)/2*'Invoer gegevens'!$F$38*Reeksen!H82,0)</f>
        <v>0</v>
      </c>
      <c r="AV82" s="71">
        <f t="shared" si="11"/>
        <v>0</v>
      </c>
      <c r="AW82" s="71">
        <f t="shared" ca="1" si="20"/>
        <v>0</v>
      </c>
      <c r="AX82" s="71">
        <f ca="1">IF(E82&lt;'Invoer gegevens'!$C$17+15,0,IF(E82&gt;'Invoer gegevens'!$C$17+215,0,AW82))</f>
        <v>0</v>
      </c>
      <c r="AY82" s="71">
        <f ca="1">AX82/(1+'Invoer gegevens'!$F$18)^($AZ82-('Invoer gegevens'!$C$17-'Invoer gegevens'!$C$16))/(1+'Invoer gegevens'!$C$39)^('Invoer gegevens'!$C$17-'Invoer gegevens'!$C$16)</f>
        <v>0</v>
      </c>
      <c r="AZ82" s="68">
        <f ca="1">IF(E82-'Invoer gegevens'!$C$17-14.5&lt;0,0,E82-'Invoer gegevens'!$C$17-14.5)</f>
        <v>62.5</v>
      </c>
    </row>
    <row r="83" spans="1:52" x14ac:dyDescent="0.25">
      <c r="A83" s="59"/>
      <c r="B83" s="70">
        <f t="shared" si="21"/>
        <v>79</v>
      </c>
      <c r="C83" s="67">
        <f ca="1">IF(E83-'Invoer gegevens'!$C$17&lt;0,0,1)</f>
        <v>1</v>
      </c>
      <c r="D83" s="68">
        <f t="shared" si="22"/>
        <v>78.5</v>
      </c>
      <c r="E83" s="69">
        <f ca="1">IF('Invoer gegevens'!$C$16="","",E82+1)</f>
        <v>2097</v>
      </c>
      <c r="F83" s="84">
        <f ca="1">IF('Invoer gegevens'!$C$17=E83,'Invoer gegevens'!$C$10,IF(C83=1,K82,0))</f>
        <v>0</v>
      </c>
      <c r="G83" s="96">
        <f ca="1">IF(C83&gt;=1,F83*VLOOKUP(E83,Reeksen!$A$5:$B$76,2),0)</f>
        <v>0</v>
      </c>
      <c r="H83" s="84">
        <f ca="1">(1-('Invoer gegevens'!$F$20/12))*F83*MIN(Reeksen!B83,Reeksen!D83)</f>
        <v>0</v>
      </c>
      <c r="I83" s="84">
        <f>IF(Reeksen!D83&lt;Reeksen!B83,(Reeksen!B83-Reeksen!D83)*F83,0)</f>
        <v>0</v>
      </c>
      <c r="J83" s="84">
        <f ca="1">('Invoer gegevens'!$F$20/12)*F82*MIN(Reeksen!B82,Reeksen!D82)</f>
        <v>0</v>
      </c>
      <c r="K83" s="97">
        <f t="shared" ca="1" si="12"/>
        <v>0</v>
      </c>
      <c r="L83" s="84">
        <f ca="1">IF('Invoer gegevens'!$C$17=E83,0,IF(C83=1,Q82,0))</f>
        <v>0</v>
      </c>
      <c r="M83" s="96">
        <f ca="1">IF(C83&gt;=1,L83*VLOOKUP(E83,Reeksen!$A$5:$B$76,2),0)</f>
        <v>0</v>
      </c>
      <c r="N83" s="84">
        <f ca="1">(1-('Invoer gegevens'!$F$20/12))*L83*MIN(Reeksen!B83,Reeksen!D83)</f>
        <v>0</v>
      </c>
      <c r="O83" s="84">
        <f>IF(Reeksen!D83&lt;Reeksen!B83,(Reeksen!B83-Reeksen!D83)*L83,0)</f>
        <v>0</v>
      </c>
      <c r="P83" s="84">
        <f ca="1">('Invoer gegevens'!$F$20/12)*L82*MIN(Reeksen!B82,Reeksen!D82)</f>
        <v>0</v>
      </c>
      <c r="Q83" s="84">
        <f t="shared" ca="1" si="13"/>
        <v>0</v>
      </c>
      <c r="R83" s="82">
        <f ca="1">IF('Invoer gegevens'!$C$17=E83,'Invoer gegevens'!$C$11,IF(C83=1,W82,0))</f>
        <v>0</v>
      </c>
      <c r="S83" s="86">
        <f ca="1">IF(C83&gt;=1,R83*VLOOKUP(E83,Reeksen!$A$5:$B$76,2),0)</f>
        <v>0</v>
      </c>
      <c r="T83" s="84">
        <f ca="1">(1-('Invoer gegevens'!$F$20/12))*R83*MIN(Reeksen!B83,Reeksen!D83)</f>
        <v>0</v>
      </c>
      <c r="U83" s="84">
        <f>IF(Reeksen!D83&gt;=Reeksen!B83,0,IF(Reeksen!AD83&lt;=Reeksen!AE83,(Reeksen!B83-Reeksen!D83)*R83,0))</f>
        <v>0</v>
      </c>
      <c r="V83" s="86">
        <f>IF(Reeksen!D83&gt;=Reeksen!B83,0,IF(Reeksen!AD83&gt;Reeksen!AE83,(Reeksen!B83-Reeksen!D83)*R83,0))</f>
        <v>0</v>
      </c>
      <c r="W83" s="97">
        <f t="shared" ca="1" si="14"/>
        <v>0</v>
      </c>
      <c r="X83" s="98">
        <f ca="1">IF('Invoer gegevens'!$C$17=E83,'Invoer gegevens'!$C$10-'Invoer gegevens'!$C$11,IF(C83=1,AC82,0))</f>
        <v>0</v>
      </c>
      <c r="Y83" s="98">
        <f ca="1">IF(C83&gt;=1,X83*VLOOKUP(E83,Reeksen!$A$5:$B$76,2),0)</f>
        <v>0</v>
      </c>
      <c r="Z83" s="98">
        <f ca="1">(1-('Invoer gegevens'!$F$20/12))*X83*MIN(Reeksen!B83,Reeksen!D83)</f>
        <v>0</v>
      </c>
      <c r="AA83" s="98">
        <f>IF(Reeksen!D83&gt;=Reeksen!B83,0,IF(Reeksen!AD83&lt;=Reeksen!AE83,(Reeksen!B83-Reeksen!D83)*X83,0))</f>
        <v>0</v>
      </c>
      <c r="AB83" s="98">
        <f>IF(Reeksen!D83&gt;=Reeksen!B83,0,IF(Reeksen!AD83&gt;Reeksen!AE83,(Reeksen!B83-Reeksen!D83)*X83,0))</f>
        <v>0</v>
      </c>
      <c r="AC83" s="99">
        <f t="shared" ca="1" si="15"/>
        <v>0</v>
      </c>
      <c r="AD83" s="98">
        <f ca="1">IF('Invoer gegevens'!$C$17=E83,R83,IF(C83=0,0,AE82))</f>
        <v>0</v>
      </c>
      <c r="AE83" s="98">
        <f t="shared" ca="1" si="16"/>
        <v>0</v>
      </c>
      <c r="AF83" s="98">
        <f ca="1">IF('Invoer gegevens'!$C$17=E83,X83,IF(C83=0,0,AG82))</f>
        <v>0</v>
      </c>
      <c r="AG83" s="98">
        <f t="shared" ca="1" si="17"/>
        <v>0</v>
      </c>
      <c r="AH83" s="66"/>
      <c r="AI83" s="71">
        <f ca="1">IF(C83=1,Reeksen!AI83*((F83-G83+F83)/2)*12+Reeksen!AD83*((L83-M83+L83)/2)*12,0)</f>
        <v>0</v>
      </c>
      <c r="AJ83" s="71">
        <f ca="1">-AI83*'Invoer gegevens'!$F$28</f>
        <v>0</v>
      </c>
      <c r="AK83" s="71">
        <f t="shared" ca="1" si="18"/>
        <v>0</v>
      </c>
      <c r="AL83" s="71">
        <f ca="1">IF(C83=1,Reeksen!AL83*((F83-G83+F83)/2)*12+Reeksen!AM83*((L83-M83+L83)/2)*12,0)</f>
        <v>0</v>
      </c>
      <c r="AM83" s="71">
        <f ca="1">-AL83*'Invoer gegevens'!$F$31</f>
        <v>0</v>
      </c>
      <c r="AN83" s="71">
        <f t="shared" ca="1" si="19"/>
        <v>0</v>
      </c>
      <c r="AO83" s="71">
        <f ca="1">IF(C83=1,(H83+J83+N83+P83)*Reeksen!AN83,0)</f>
        <v>0</v>
      </c>
      <c r="AP83" s="71">
        <f ca="1">-IF(C83=1,(H83+J83+N83+P83)*'Hulp - basis'!$G$550*Reeksen!H83,0)</f>
        <v>0</v>
      </c>
      <c r="AQ83" s="71">
        <f ca="1">-IF(C83=1,(F83+K83+L83+Q83)/2*'Invoer gegevens'!$F$35*Reeksen!J83,0)*2</f>
        <v>0</v>
      </c>
      <c r="AR83" s="71"/>
      <c r="AS83" s="71">
        <f ca="1">-IF(C83=1,(F83+K83+L83+Q83)/2*'Invoer gegevens'!$F$37*Reeksen!L83,0)</f>
        <v>0</v>
      </c>
      <c r="AT83" s="71">
        <f ca="1">-IF(C83=1,IF(E83='Invoer gegevens'!$C$17,'Invoer gegevens'!$C$11,AD83)*Reeksen!S83*'Invoer gegevens'!$C$18*Reeksen!P83,0)</f>
        <v>0</v>
      </c>
      <c r="AU83" s="71">
        <f ca="1">-IF(C83=1,(F83+K83+L83+Q83)/2*'Invoer gegevens'!$F$38*Reeksen!H83,0)</f>
        <v>0</v>
      </c>
      <c r="AV83" s="71">
        <f t="shared" si="11"/>
        <v>0</v>
      </c>
      <c r="AW83" s="71">
        <f t="shared" ca="1" si="20"/>
        <v>0</v>
      </c>
      <c r="AX83" s="71">
        <f ca="1">IF(E83&lt;'Invoer gegevens'!$C$17+15,0,IF(E83&gt;'Invoer gegevens'!$C$17+215,0,AW83))</f>
        <v>0</v>
      </c>
      <c r="AY83" s="71">
        <f ca="1">AX83/(1+'Invoer gegevens'!$F$18)^($AZ83-('Invoer gegevens'!$C$17-'Invoer gegevens'!$C$16))/(1+'Invoer gegevens'!$C$39)^('Invoer gegevens'!$C$17-'Invoer gegevens'!$C$16)</f>
        <v>0</v>
      </c>
      <c r="AZ83" s="68">
        <f ca="1">IF(E83-'Invoer gegevens'!$C$17-14.5&lt;0,0,E83-'Invoer gegevens'!$C$17-14.5)</f>
        <v>63.5</v>
      </c>
    </row>
    <row r="84" spans="1:52" x14ac:dyDescent="0.25">
      <c r="A84" s="59"/>
      <c r="B84" s="70">
        <f t="shared" si="21"/>
        <v>80</v>
      </c>
      <c r="C84" s="67">
        <f ca="1">IF(E84-'Invoer gegevens'!$C$17&lt;0,0,1)</f>
        <v>1</v>
      </c>
      <c r="D84" s="68">
        <f t="shared" si="22"/>
        <v>79.5</v>
      </c>
      <c r="E84" s="69">
        <f ca="1">IF('Invoer gegevens'!$C$16="","",E83+1)</f>
        <v>2098</v>
      </c>
      <c r="F84" s="84">
        <f ca="1">IF('Invoer gegevens'!$C$17=E84,'Invoer gegevens'!$C$10,IF(C84=1,K83,0))</f>
        <v>0</v>
      </c>
      <c r="G84" s="96">
        <f ca="1">IF(C84&gt;=1,F84*VLOOKUP(E84,Reeksen!$A$5:$B$76,2),0)</f>
        <v>0</v>
      </c>
      <c r="H84" s="84">
        <f ca="1">(1-('Invoer gegevens'!$F$20/12))*F84*MIN(Reeksen!B84,Reeksen!D84)</f>
        <v>0</v>
      </c>
      <c r="I84" s="84">
        <f>IF(Reeksen!D84&lt;Reeksen!B84,(Reeksen!B84-Reeksen!D84)*F84,0)</f>
        <v>0</v>
      </c>
      <c r="J84" s="84">
        <f ca="1">('Invoer gegevens'!$F$20/12)*F83*MIN(Reeksen!B83,Reeksen!D83)</f>
        <v>0</v>
      </c>
      <c r="K84" s="97">
        <f t="shared" ca="1" si="12"/>
        <v>0</v>
      </c>
      <c r="L84" s="84">
        <f ca="1">IF('Invoer gegevens'!$C$17=E84,0,IF(C84=1,Q83,0))</f>
        <v>0</v>
      </c>
      <c r="M84" s="96">
        <f ca="1">IF(C84&gt;=1,L84*VLOOKUP(E84,Reeksen!$A$5:$B$76,2),0)</f>
        <v>0</v>
      </c>
      <c r="N84" s="84">
        <f ca="1">(1-('Invoer gegevens'!$F$20/12))*L84*MIN(Reeksen!B84,Reeksen!D84)</f>
        <v>0</v>
      </c>
      <c r="O84" s="84">
        <f>IF(Reeksen!D84&lt;Reeksen!B84,(Reeksen!B84-Reeksen!D84)*L84,0)</f>
        <v>0</v>
      </c>
      <c r="P84" s="84">
        <f ca="1">('Invoer gegevens'!$F$20/12)*L83*MIN(Reeksen!B83,Reeksen!D83)</f>
        <v>0</v>
      </c>
      <c r="Q84" s="84">
        <f t="shared" ca="1" si="13"/>
        <v>0</v>
      </c>
      <c r="R84" s="82">
        <f ca="1">IF('Invoer gegevens'!$C$17=E84,'Invoer gegevens'!$C$11,IF(C84=1,W83,0))</f>
        <v>0</v>
      </c>
      <c r="S84" s="86">
        <f ca="1">IF(C84&gt;=1,R84*VLOOKUP(E84,Reeksen!$A$5:$B$76,2),0)</f>
        <v>0</v>
      </c>
      <c r="T84" s="84">
        <f ca="1">(1-('Invoer gegevens'!$F$20/12))*R84*MIN(Reeksen!B84,Reeksen!D84)</f>
        <v>0</v>
      </c>
      <c r="U84" s="84">
        <f>IF(Reeksen!D84&gt;=Reeksen!B84,0,IF(Reeksen!AD84&lt;=Reeksen!AE84,(Reeksen!B84-Reeksen!D84)*R84,0))</f>
        <v>0</v>
      </c>
      <c r="V84" s="86">
        <f>IF(Reeksen!D84&gt;=Reeksen!B84,0,IF(Reeksen!AD84&gt;Reeksen!AE84,(Reeksen!B84-Reeksen!D84)*R84,0))</f>
        <v>0</v>
      </c>
      <c r="W84" s="97">
        <f t="shared" ca="1" si="14"/>
        <v>0</v>
      </c>
      <c r="X84" s="98">
        <f ca="1">IF('Invoer gegevens'!$C$17=E84,'Invoer gegevens'!$C$10-'Invoer gegevens'!$C$11,IF(C84=1,AC83,0))</f>
        <v>0</v>
      </c>
      <c r="Y84" s="98">
        <f ca="1">IF(C84&gt;=1,X84*VLOOKUP(E84,Reeksen!$A$5:$B$76,2),0)</f>
        <v>0</v>
      </c>
      <c r="Z84" s="98">
        <f ca="1">(1-('Invoer gegevens'!$F$20/12))*X84*MIN(Reeksen!B84,Reeksen!D84)</f>
        <v>0</v>
      </c>
      <c r="AA84" s="98">
        <f>IF(Reeksen!D84&gt;=Reeksen!B84,0,IF(Reeksen!AD84&lt;=Reeksen!AE84,(Reeksen!B84-Reeksen!D84)*X84,0))</f>
        <v>0</v>
      </c>
      <c r="AB84" s="98">
        <f>IF(Reeksen!D84&gt;=Reeksen!B84,0,IF(Reeksen!AD84&gt;Reeksen!AE84,(Reeksen!B84-Reeksen!D84)*X84,0))</f>
        <v>0</v>
      </c>
      <c r="AC84" s="99">
        <f t="shared" ca="1" si="15"/>
        <v>0</v>
      </c>
      <c r="AD84" s="98">
        <f ca="1">IF('Invoer gegevens'!$C$17=E84,R84,IF(C84=0,0,AE83))</f>
        <v>0</v>
      </c>
      <c r="AE84" s="98">
        <f t="shared" ca="1" si="16"/>
        <v>0</v>
      </c>
      <c r="AF84" s="98">
        <f ca="1">IF('Invoer gegevens'!$C$17=E84,X84,IF(C84=0,0,AG83))</f>
        <v>0</v>
      </c>
      <c r="AG84" s="98">
        <f t="shared" ca="1" si="17"/>
        <v>0</v>
      </c>
      <c r="AH84" s="66"/>
      <c r="AI84" s="71">
        <f ca="1">IF(C84=1,Reeksen!AI84*((F84-G84+F84)/2)*12+Reeksen!AD84*((L84-M84+L84)/2)*12,0)</f>
        <v>0</v>
      </c>
      <c r="AJ84" s="71">
        <f ca="1">-AI84*'Invoer gegevens'!$F$28</f>
        <v>0</v>
      </c>
      <c r="AK84" s="71">
        <f t="shared" ca="1" si="18"/>
        <v>0</v>
      </c>
      <c r="AL84" s="71">
        <f ca="1">IF(C84=1,Reeksen!AL84*((F84-G84+F84)/2)*12+Reeksen!AM84*((L84-M84+L84)/2)*12,0)</f>
        <v>0</v>
      </c>
      <c r="AM84" s="71">
        <f ca="1">-AL84*'Invoer gegevens'!$F$31</f>
        <v>0</v>
      </c>
      <c r="AN84" s="71">
        <f t="shared" ca="1" si="19"/>
        <v>0</v>
      </c>
      <c r="AO84" s="71">
        <f ca="1">IF(C84=1,(H84+J84+N84+P84)*Reeksen!AN84,0)</f>
        <v>0</v>
      </c>
      <c r="AP84" s="71">
        <f ca="1">-IF(C84=1,(H84+J84+N84+P84)*'Hulp - basis'!$G$550*Reeksen!H84,0)</f>
        <v>0</v>
      </c>
      <c r="AQ84" s="71">
        <f ca="1">-IF(C84=1,(F84+K84+L84+Q84)/2*'Invoer gegevens'!$F$35*Reeksen!J84,0)*2</f>
        <v>0</v>
      </c>
      <c r="AR84" s="71"/>
      <c r="AS84" s="71">
        <f ca="1">-IF(C84=1,(F84+K84+L84+Q84)/2*'Invoer gegevens'!$F$37*Reeksen!L84,0)</f>
        <v>0</v>
      </c>
      <c r="AT84" s="71">
        <f ca="1">-IF(C84=1,IF(E84='Invoer gegevens'!$C$17,'Invoer gegevens'!$C$11,AD84)*Reeksen!S84*'Invoer gegevens'!$C$18*Reeksen!P84,0)</f>
        <v>0</v>
      </c>
      <c r="AU84" s="71">
        <f ca="1">-IF(C84=1,(F84+K84+L84+Q84)/2*'Invoer gegevens'!$F$38*Reeksen!H84,0)</f>
        <v>0</v>
      </c>
      <c r="AV84" s="71">
        <f t="shared" si="11"/>
        <v>0</v>
      </c>
      <c r="AW84" s="71">
        <f t="shared" ca="1" si="20"/>
        <v>0</v>
      </c>
      <c r="AX84" s="71">
        <f ca="1">IF(E84&lt;'Invoer gegevens'!$C$17+15,0,IF(E84&gt;'Invoer gegevens'!$C$17+215,0,AW84))</f>
        <v>0</v>
      </c>
      <c r="AY84" s="71">
        <f ca="1">AX84/(1+'Invoer gegevens'!$F$18)^($AZ84-('Invoer gegevens'!$C$17-'Invoer gegevens'!$C$16))/(1+'Invoer gegevens'!$C$39)^('Invoer gegevens'!$C$17-'Invoer gegevens'!$C$16)</f>
        <v>0</v>
      </c>
      <c r="AZ84" s="68">
        <f ca="1">IF(E84-'Invoer gegevens'!$C$17-14.5&lt;0,0,E84-'Invoer gegevens'!$C$17-14.5)</f>
        <v>64.5</v>
      </c>
    </row>
    <row r="85" spans="1:52" x14ac:dyDescent="0.25">
      <c r="A85" s="59"/>
      <c r="B85" s="70">
        <f t="shared" si="21"/>
        <v>81</v>
      </c>
      <c r="C85" s="67">
        <f ca="1">IF(E85-'Invoer gegevens'!$C$17&lt;0,0,1)</f>
        <v>1</v>
      </c>
      <c r="D85" s="68">
        <f t="shared" si="22"/>
        <v>80.5</v>
      </c>
      <c r="E85" s="69">
        <f ca="1">IF('Invoer gegevens'!$C$16="","",E84+1)</f>
        <v>2099</v>
      </c>
      <c r="F85" s="84">
        <f ca="1">IF('Invoer gegevens'!$C$17=E85,'Invoer gegevens'!$C$10,IF(C85=1,K84,0))</f>
        <v>0</v>
      </c>
      <c r="G85" s="96">
        <f ca="1">IF(C85&gt;=1,F85*VLOOKUP(E85,Reeksen!$A$5:$B$76,2),0)</f>
        <v>0</v>
      </c>
      <c r="H85" s="84">
        <f ca="1">(1-('Invoer gegevens'!$F$20/12))*F85*MIN(Reeksen!B85,Reeksen!D85)</f>
        <v>0</v>
      </c>
      <c r="I85" s="84">
        <f>IF(Reeksen!D85&lt;Reeksen!B85,(Reeksen!B85-Reeksen!D85)*F85,0)</f>
        <v>0</v>
      </c>
      <c r="J85" s="84">
        <f ca="1">('Invoer gegevens'!$F$20/12)*F84*MIN(Reeksen!B84,Reeksen!D84)</f>
        <v>0</v>
      </c>
      <c r="K85" s="97">
        <f t="shared" ca="1" si="12"/>
        <v>0</v>
      </c>
      <c r="L85" s="84">
        <f ca="1">IF('Invoer gegevens'!$C$17=E85,0,IF(C85=1,Q84,0))</f>
        <v>0</v>
      </c>
      <c r="M85" s="96">
        <f ca="1">IF(C85&gt;=1,L85*VLOOKUP(E85,Reeksen!$A$5:$B$76,2),0)</f>
        <v>0</v>
      </c>
      <c r="N85" s="84">
        <f ca="1">(1-('Invoer gegevens'!$F$20/12))*L85*MIN(Reeksen!B85,Reeksen!D85)</f>
        <v>0</v>
      </c>
      <c r="O85" s="84">
        <f>IF(Reeksen!D85&lt;Reeksen!B85,(Reeksen!B85-Reeksen!D85)*L85,0)</f>
        <v>0</v>
      </c>
      <c r="P85" s="84">
        <f ca="1">('Invoer gegevens'!$F$20/12)*L84*MIN(Reeksen!B84,Reeksen!D84)</f>
        <v>0</v>
      </c>
      <c r="Q85" s="84">
        <f t="shared" ca="1" si="13"/>
        <v>0</v>
      </c>
      <c r="R85" s="82">
        <f ca="1">IF('Invoer gegevens'!$C$17=E85,'Invoer gegevens'!$C$11,IF(C85=1,W84,0))</f>
        <v>0</v>
      </c>
      <c r="S85" s="86">
        <f ca="1">IF(C85&gt;=1,R85*VLOOKUP(E85,Reeksen!$A$5:$B$76,2),0)</f>
        <v>0</v>
      </c>
      <c r="T85" s="84">
        <f ca="1">(1-('Invoer gegevens'!$F$20/12))*R85*MIN(Reeksen!B85,Reeksen!D85)</f>
        <v>0</v>
      </c>
      <c r="U85" s="84">
        <f>IF(Reeksen!D85&gt;=Reeksen!B85,0,IF(Reeksen!AD85&lt;=Reeksen!AE85,(Reeksen!B85-Reeksen!D85)*R85,0))</f>
        <v>0</v>
      </c>
      <c r="V85" s="86">
        <f>IF(Reeksen!D85&gt;=Reeksen!B85,0,IF(Reeksen!AD85&gt;Reeksen!AE85,(Reeksen!B85-Reeksen!D85)*R85,0))</f>
        <v>0</v>
      </c>
      <c r="W85" s="97">
        <f t="shared" ca="1" si="14"/>
        <v>0</v>
      </c>
      <c r="X85" s="98">
        <f ca="1">IF('Invoer gegevens'!$C$17=E85,'Invoer gegevens'!$C$10-'Invoer gegevens'!$C$11,IF(C85=1,AC84,0))</f>
        <v>0</v>
      </c>
      <c r="Y85" s="98">
        <f ca="1">IF(C85&gt;=1,X85*VLOOKUP(E85,Reeksen!$A$5:$B$76,2),0)</f>
        <v>0</v>
      </c>
      <c r="Z85" s="98">
        <f ca="1">(1-('Invoer gegevens'!$F$20/12))*X85*MIN(Reeksen!B85,Reeksen!D85)</f>
        <v>0</v>
      </c>
      <c r="AA85" s="98">
        <f>IF(Reeksen!D85&gt;=Reeksen!B85,0,IF(Reeksen!AD85&lt;=Reeksen!AE85,(Reeksen!B85-Reeksen!D85)*X85,0))</f>
        <v>0</v>
      </c>
      <c r="AB85" s="98">
        <f>IF(Reeksen!D85&gt;=Reeksen!B85,0,IF(Reeksen!AD85&gt;Reeksen!AE85,(Reeksen!B85-Reeksen!D85)*X85,0))</f>
        <v>0</v>
      </c>
      <c r="AC85" s="99">
        <f t="shared" ca="1" si="15"/>
        <v>0</v>
      </c>
      <c r="AD85" s="98">
        <f ca="1">IF('Invoer gegevens'!$C$17=E85,R85,IF(C85=0,0,AE84))</f>
        <v>0</v>
      </c>
      <c r="AE85" s="98">
        <f t="shared" ca="1" si="16"/>
        <v>0</v>
      </c>
      <c r="AF85" s="98">
        <f ca="1">IF('Invoer gegevens'!$C$17=E85,X85,IF(C85=0,0,AG84))</f>
        <v>0</v>
      </c>
      <c r="AG85" s="98">
        <f t="shared" ca="1" si="17"/>
        <v>0</v>
      </c>
      <c r="AH85" s="66"/>
      <c r="AI85" s="71">
        <f ca="1">IF(C85=1,Reeksen!AI85*((F85-G85+F85)/2)*12+Reeksen!AD85*((L85-M85+L85)/2)*12,0)</f>
        <v>0</v>
      </c>
      <c r="AJ85" s="71">
        <f ca="1">-AI85*'Invoer gegevens'!$F$28</f>
        <v>0</v>
      </c>
      <c r="AK85" s="71">
        <f t="shared" ca="1" si="18"/>
        <v>0</v>
      </c>
      <c r="AL85" s="71">
        <f ca="1">IF(C85=1,Reeksen!AL85*((F85-G85+F85)/2)*12+Reeksen!AM85*((L85-M85+L85)/2)*12,0)</f>
        <v>0</v>
      </c>
      <c r="AM85" s="71">
        <f ca="1">-AL85*'Invoer gegevens'!$F$31</f>
        <v>0</v>
      </c>
      <c r="AN85" s="71">
        <f t="shared" ca="1" si="19"/>
        <v>0</v>
      </c>
      <c r="AO85" s="71">
        <f ca="1">IF(C85=1,(H85+J85+N85+P85)*Reeksen!AN85,0)</f>
        <v>0</v>
      </c>
      <c r="AP85" s="71">
        <f ca="1">-IF(C85=1,(H85+J85+N85+P85)*'Hulp - basis'!$G$550*Reeksen!H85,0)</f>
        <v>0</v>
      </c>
      <c r="AQ85" s="71">
        <f ca="1">-IF(C85=1,(F85+K85+L85+Q85)/2*'Invoer gegevens'!$F$35*Reeksen!J85,0)*2</f>
        <v>0</v>
      </c>
      <c r="AR85" s="71"/>
      <c r="AS85" s="71">
        <f ca="1">-IF(C85=1,(F85+K85+L85+Q85)/2*'Invoer gegevens'!$F$37*Reeksen!L85,0)</f>
        <v>0</v>
      </c>
      <c r="AT85" s="71">
        <f ca="1">-IF(C85=1,IF(E85='Invoer gegevens'!$C$17,'Invoer gegevens'!$C$11,AD85)*Reeksen!S85*'Invoer gegevens'!$C$18*Reeksen!P85,0)</f>
        <v>0</v>
      </c>
      <c r="AU85" s="71">
        <f ca="1">-IF(C85=1,(F85+K85+L85+Q85)/2*'Invoer gegevens'!$F$38*Reeksen!H85,0)</f>
        <v>0</v>
      </c>
      <c r="AV85" s="71">
        <f t="shared" ref="AV85:AV148" si="23">AV84</f>
        <v>0</v>
      </c>
      <c r="AW85" s="71">
        <f t="shared" ca="1" si="20"/>
        <v>0</v>
      </c>
      <c r="AX85" s="71">
        <f ca="1">IF(E85&lt;'Invoer gegevens'!$C$17+15,0,IF(E85&gt;'Invoer gegevens'!$C$17+215,0,AW85))</f>
        <v>0</v>
      </c>
      <c r="AY85" s="71">
        <f ca="1">AX85/(1+'Invoer gegevens'!$F$18)^($AZ85-('Invoer gegevens'!$C$17-'Invoer gegevens'!$C$16))/(1+'Invoer gegevens'!$C$39)^('Invoer gegevens'!$C$17-'Invoer gegevens'!$C$16)</f>
        <v>0</v>
      </c>
      <c r="AZ85" s="68">
        <f ca="1">IF(E85-'Invoer gegevens'!$C$17-14.5&lt;0,0,E85-'Invoer gegevens'!$C$17-14.5)</f>
        <v>65.5</v>
      </c>
    </row>
    <row r="86" spans="1:52" x14ac:dyDescent="0.25">
      <c r="A86" s="59"/>
      <c r="B86" s="70">
        <f t="shared" si="21"/>
        <v>82</v>
      </c>
      <c r="C86" s="67">
        <f ca="1">IF(E86-'Invoer gegevens'!$C$17&lt;0,0,1)</f>
        <v>1</v>
      </c>
      <c r="D86" s="68">
        <f t="shared" si="22"/>
        <v>81.5</v>
      </c>
      <c r="E86" s="69">
        <f ca="1">IF('Invoer gegevens'!$C$16="","",E85+1)</f>
        <v>2100</v>
      </c>
      <c r="F86" s="84">
        <f ca="1">IF('Invoer gegevens'!$C$17=E86,'Invoer gegevens'!$C$10,IF(C86=1,K85,0))</f>
        <v>0</v>
      </c>
      <c r="G86" s="96">
        <f ca="1">IF(C86&gt;=1,F86*VLOOKUP(E86,Reeksen!$A$5:$B$76,2),0)</f>
        <v>0</v>
      </c>
      <c r="H86" s="84">
        <f ca="1">(1-('Invoer gegevens'!$F$20/12))*F86*MIN(Reeksen!B86,Reeksen!D86)</f>
        <v>0</v>
      </c>
      <c r="I86" s="84">
        <f>IF(Reeksen!D86&lt;Reeksen!B86,(Reeksen!B86-Reeksen!D86)*F86,0)</f>
        <v>0</v>
      </c>
      <c r="J86" s="84">
        <f ca="1">('Invoer gegevens'!$F$20/12)*F85*MIN(Reeksen!B85,Reeksen!D85)</f>
        <v>0</v>
      </c>
      <c r="K86" s="97">
        <f t="shared" ca="1" si="12"/>
        <v>0</v>
      </c>
      <c r="L86" s="84">
        <f ca="1">IF('Invoer gegevens'!$C$17=E86,0,IF(C86=1,Q85,0))</f>
        <v>0</v>
      </c>
      <c r="M86" s="96">
        <f ca="1">IF(C86&gt;=1,L86*VLOOKUP(E86,Reeksen!$A$5:$B$76,2),0)</f>
        <v>0</v>
      </c>
      <c r="N86" s="84">
        <f ca="1">(1-('Invoer gegevens'!$F$20/12))*L86*MIN(Reeksen!B86,Reeksen!D86)</f>
        <v>0</v>
      </c>
      <c r="O86" s="84">
        <f>IF(Reeksen!D86&lt;Reeksen!B86,(Reeksen!B86-Reeksen!D86)*L86,0)</f>
        <v>0</v>
      </c>
      <c r="P86" s="84">
        <f ca="1">('Invoer gegevens'!$F$20/12)*L85*MIN(Reeksen!B85,Reeksen!D85)</f>
        <v>0</v>
      </c>
      <c r="Q86" s="84">
        <f t="shared" ca="1" si="13"/>
        <v>0</v>
      </c>
      <c r="R86" s="82">
        <f ca="1">IF('Invoer gegevens'!$C$17=E86,'Invoer gegevens'!$C$11,IF(C86=1,W85,0))</f>
        <v>0</v>
      </c>
      <c r="S86" s="86">
        <f ca="1">IF(C86&gt;=1,R86*VLOOKUP(E86,Reeksen!$A$5:$B$76,2),0)</f>
        <v>0</v>
      </c>
      <c r="T86" s="84">
        <f ca="1">(1-('Invoer gegevens'!$F$20/12))*R86*MIN(Reeksen!B86,Reeksen!D86)</f>
        <v>0</v>
      </c>
      <c r="U86" s="84">
        <f>IF(Reeksen!D86&gt;=Reeksen!B86,0,IF(Reeksen!AD86&lt;=Reeksen!AE86,(Reeksen!B86-Reeksen!D86)*R86,0))</f>
        <v>0</v>
      </c>
      <c r="V86" s="86">
        <f>IF(Reeksen!D86&gt;=Reeksen!B86,0,IF(Reeksen!AD86&gt;Reeksen!AE86,(Reeksen!B86-Reeksen!D86)*R86,0))</f>
        <v>0</v>
      </c>
      <c r="W86" s="97">
        <f t="shared" ca="1" si="14"/>
        <v>0</v>
      </c>
      <c r="X86" s="98">
        <f ca="1">IF('Invoer gegevens'!$C$17=E86,'Invoer gegevens'!$C$10-'Invoer gegevens'!$C$11,IF(C86=1,AC85,0))</f>
        <v>0</v>
      </c>
      <c r="Y86" s="98">
        <f ca="1">IF(C86&gt;=1,X86*VLOOKUP(E86,Reeksen!$A$5:$B$76,2),0)</f>
        <v>0</v>
      </c>
      <c r="Z86" s="98">
        <f ca="1">(1-('Invoer gegevens'!$F$20/12))*X86*MIN(Reeksen!B86,Reeksen!D86)</f>
        <v>0</v>
      </c>
      <c r="AA86" s="98">
        <f>IF(Reeksen!D86&gt;=Reeksen!B86,0,IF(Reeksen!AD86&lt;=Reeksen!AE86,(Reeksen!B86-Reeksen!D86)*X86,0))</f>
        <v>0</v>
      </c>
      <c r="AB86" s="98">
        <f>IF(Reeksen!D86&gt;=Reeksen!B86,0,IF(Reeksen!AD86&gt;Reeksen!AE86,(Reeksen!B86-Reeksen!D86)*X86,0))</f>
        <v>0</v>
      </c>
      <c r="AC86" s="99">
        <f t="shared" ca="1" si="15"/>
        <v>0</v>
      </c>
      <c r="AD86" s="98">
        <f ca="1">IF('Invoer gegevens'!$C$17=E86,R86,IF(C86=0,0,AE85))</f>
        <v>0</v>
      </c>
      <c r="AE86" s="98">
        <f t="shared" ca="1" si="16"/>
        <v>0</v>
      </c>
      <c r="AF86" s="98">
        <f ca="1">IF('Invoer gegevens'!$C$17=E86,X86,IF(C86=0,0,AG85))</f>
        <v>0</v>
      </c>
      <c r="AG86" s="98">
        <f t="shared" ca="1" si="17"/>
        <v>0</v>
      </c>
      <c r="AH86" s="66"/>
      <c r="AI86" s="71">
        <f ca="1">IF(C86=1,Reeksen!AI86*((F86-G86+F86)/2)*12+Reeksen!AD86*((L86-M86+L86)/2)*12,0)</f>
        <v>0</v>
      </c>
      <c r="AJ86" s="71">
        <f ca="1">-AI86*'Invoer gegevens'!$F$28</f>
        <v>0</v>
      </c>
      <c r="AK86" s="71">
        <f t="shared" ca="1" si="18"/>
        <v>0</v>
      </c>
      <c r="AL86" s="71">
        <f ca="1">IF(C86=1,Reeksen!AL86*((F86-G86+F86)/2)*12+Reeksen!AM86*((L86-M86+L86)/2)*12,0)</f>
        <v>0</v>
      </c>
      <c r="AM86" s="71">
        <f ca="1">-AL86*'Invoer gegevens'!$F$31</f>
        <v>0</v>
      </c>
      <c r="AN86" s="71">
        <f t="shared" ca="1" si="19"/>
        <v>0</v>
      </c>
      <c r="AO86" s="71">
        <f ca="1">IF(C86=1,(H86+J86+N86+P86)*Reeksen!AN86,0)</f>
        <v>0</v>
      </c>
      <c r="AP86" s="71">
        <f ca="1">-IF(C86=1,(H86+J86+N86+P86)*'Hulp - basis'!$G$550*Reeksen!H86,0)</f>
        <v>0</v>
      </c>
      <c r="AQ86" s="71">
        <f ca="1">-IF(C86=1,(F86+K86+L86+Q86)/2*'Invoer gegevens'!$F$35*Reeksen!J86,0)*2</f>
        <v>0</v>
      </c>
      <c r="AR86" s="71"/>
      <c r="AS86" s="71">
        <f ca="1">-IF(C86=1,(F86+K86+L86+Q86)/2*'Invoer gegevens'!$F$37*Reeksen!L86,0)</f>
        <v>0</v>
      </c>
      <c r="AT86" s="71">
        <f ca="1">-IF(C86=1,IF(E86='Invoer gegevens'!$C$17,'Invoer gegevens'!$C$11,AD86)*Reeksen!S86*'Invoer gegevens'!$C$18*Reeksen!P86,0)</f>
        <v>0</v>
      </c>
      <c r="AU86" s="71">
        <f ca="1">-IF(C86=1,(F86+K86+L86+Q86)/2*'Invoer gegevens'!$F$38*Reeksen!H86,0)</f>
        <v>0</v>
      </c>
      <c r="AV86" s="71">
        <f t="shared" si="23"/>
        <v>0</v>
      </c>
      <c r="AW86" s="71">
        <f t="shared" ca="1" si="20"/>
        <v>0</v>
      </c>
      <c r="AX86" s="71">
        <f ca="1">IF(E86&lt;'Invoer gegevens'!$C$17+15,0,IF(E86&gt;'Invoer gegevens'!$C$17+215,0,AW86))</f>
        <v>0</v>
      </c>
      <c r="AY86" s="71">
        <f ca="1">AX86/(1+'Invoer gegevens'!$F$18)^($AZ86-('Invoer gegevens'!$C$17-'Invoer gegevens'!$C$16))/(1+'Invoer gegevens'!$C$39)^('Invoer gegevens'!$C$17-'Invoer gegevens'!$C$16)</f>
        <v>0</v>
      </c>
      <c r="AZ86" s="68">
        <f ca="1">IF(E86-'Invoer gegevens'!$C$17-14.5&lt;0,0,E86-'Invoer gegevens'!$C$17-14.5)</f>
        <v>66.5</v>
      </c>
    </row>
    <row r="87" spans="1:52" x14ac:dyDescent="0.25">
      <c r="A87" s="59"/>
      <c r="B87" s="70">
        <f t="shared" si="21"/>
        <v>83</v>
      </c>
      <c r="C87" s="67">
        <f ca="1">IF(E87-'Invoer gegevens'!$C$17&lt;0,0,1)</f>
        <v>1</v>
      </c>
      <c r="D87" s="68">
        <f t="shared" si="22"/>
        <v>82.5</v>
      </c>
      <c r="E87" s="69">
        <f ca="1">IF('Invoer gegevens'!$C$16="","",E86+1)</f>
        <v>2101</v>
      </c>
      <c r="F87" s="84">
        <f ca="1">IF('Invoer gegevens'!$C$17=E87,'Invoer gegevens'!$C$10,IF(C87=1,K86,0))</f>
        <v>0</v>
      </c>
      <c r="G87" s="96">
        <f ca="1">IF(C87&gt;=1,F87*VLOOKUP(E87,Reeksen!$A$5:$B$76,2),0)</f>
        <v>0</v>
      </c>
      <c r="H87" s="84">
        <f ca="1">(1-('Invoer gegevens'!$F$20/12))*F87*MIN(Reeksen!B87,Reeksen!D87)</f>
        <v>0</v>
      </c>
      <c r="I87" s="84">
        <f>IF(Reeksen!D87&lt;Reeksen!B87,(Reeksen!B87-Reeksen!D87)*F87,0)</f>
        <v>0</v>
      </c>
      <c r="J87" s="84">
        <f ca="1">('Invoer gegevens'!$F$20/12)*F86*MIN(Reeksen!B86,Reeksen!D86)</f>
        <v>0</v>
      </c>
      <c r="K87" s="97">
        <f t="shared" ca="1" si="12"/>
        <v>0</v>
      </c>
      <c r="L87" s="84">
        <f ca="1">IF('Invoer gegevens'!$C$17=E87,0,IF(C87=1,Q86,0))</f>
        <v>0</v>
      </c>
      <c r="M87" s="96">
        <f ca="1">IF(C87&gt;=1,L87*VLOOKUP(E87,Reeksen!$A$5:$B$76,2),0)</f>
        <v>0</v>
      </c>
      <c r="N87" s="84">
        <f ca="1">(1-('Invoer gegevens'!$F$20/12))*L87*MIN(Reeksen!B87,Reeksen!D87)</f>
        <v>0</v>
      </c>
      <c r="O87" s="84">
        <f>IF(Reeksen!D87&lt;Reeksen!B87,(Reeksen!B87-Reeksen!D87)*L87,0)</f>
        <v>0</v>
      </c>
      <c r="P87" s="84">
        <f ca="1">('Invoer gegevens'!$F$20/12)*L86*MIN(Reeksen!B86,Reeksen!D86)</f>
        <v>0</v>
      </c>
      <c r="Q87" s="84">
        <f t="shared" ca="1" si="13"/>
        <v>0</v>
      </c>
      <c r="R87" s="82">
        <f ca="1">IF('Invoer gegevens'!$C$17=E87,'Invoer gegevens'!$C$11,IF(C87=1,W86,0))</f>
        <v>0</v>
      </c>
      <c r="S87" s="86">
        <f ca="1">IF(C87&gt;=1,R87*VLOOKUP(E87,Reeksen!$A$5:$B$76,2),0)</f>
        <v>0</v>
      </c>
      <c r="T87" s="84">
        <f ca="1">(1-('Invoer gegevens'!$F$20/12))*R87*MIN(Reeksen!B87,Reeksen!D87)</f>
        <v>0</v>
      </c>
      <c r="U87" s="84">
        <f>IF(Reeksen!D87&gt;=Reeksen!B87,0,IF(Reeksen!AD87&lt;=Reeksen!AE87,(Reeksen!B87-Reeksen!D87)*R87,0))</f>
        <v>0</v>
      </c>
      <c r="V87" s="86">
        <f>IF(Reeksen!D87&gt;=Reeksen!B87,0,IF(Reeksen!AD87&gt;Reeksen!AE87,(Reeksen!B87-Reeksen!D87)*R87,0))</f>
        <v>0</v>
      </c>
      <c r="W87" s="97">
        <f t="shared" ca="1" si="14"/>
        <v>0</v>
      </c>
      <c r="X87" s="98">
        <f ca="1">IF('Invoer gegevens'!$C$17=E87,'Invoer gegevens'!$C$10-'Invoer gegevens'!$C$11,IF(C87=1,AC86,0))</f>
        <v>0</v>
      </c>
      <c r="Y87" s="98">
        <f ca="1">IF(C87&gt;=1,X87*VLOOKUP(E87,Reeksen!$A$5:$B$76,2),0)</f>
        <v>0</v>
      </c>
      <c r="Z87" s="98">
        <f ca="1">(1-('Invoer gegevens'!$F$20/12))*X87*MIN(Reeksen!B87,Reeksen!D87)</f>
        <v>0</v>
      </c>
      <c r="AA87" s="98">
        <f>IF(Reeksen!D87&gt;=Reeksen!B87,0,IF(Reeksen!AD87&lt;=Reeksen!AE87,(Reeksen!B87-Reeksen!D87)*X87,0))</f>
        <v>0</v>
      </c>
      <c r="AB87" s="98">
        <f>IF(Reeksen!D87&gt;=Reeksen!B87,0,IF(Reeksen!AD87&gt;Reeksen!AE87,(Reeksen!B87-Reeksen!D87)*X87,0))</f>
        <v>0</v>
      </c>
      <c r="AC87" s="99">
        <f t="shared" ca="1" si="15"/>
        <v>0</v>
      </c>
      <c r="AD87" s="98">
        <f ca="1">IF('Invoer gegevens'!$C$17=E87,R87,IF(C87=0,0,AE86))</f>
        <v>0</v>
      </c>
      <c r="AE87" s="98">
        <f t="shared" ca="1" si="16"/>
        <v>0</v>
      </c>
      <c r="AF87" s="98">
        <f ca="1">IF('Invoer gegevens'!$C$17=E87,X87,IF(C87=0,0,AG86))</f>
        <v>0</v>
      </c>
      <c r="AG87" s="98">
        <f t="shared" ca="1" si="17"/>
        <v>0</v>
      </c>
      <c r="AH87" s="66"/>
      <c r="AI87" s="71">
        <f ca="1">IF(C87=1,Reeksen!AI87*((F87-G87+F87)/2)*12+Reeksen!AD87*((L87-M87+L87)/2)*12,0)</f>
        <v>0</v>
      </c>
      <c r="AJ87" s="71">
        <f ca="1">-AI87*'Invoer gegevens'!$F$28</f>
        <v>0</v>
      </c>
      <c r="AK87" s="71">
        <f t="shared" ca="1" si="18"/>
        <v>0</v>
      </c>
      <c r="AL87" s="71">
        <f ca="1">IF(C87=1,Reeksen!AL87*((F87-G87+F87)/2)*12+Reeksen!AM87*((L87-M87+L87)/2)*12,0)</f>
        <v>0</v>
      </c>
      <c r="AM87" s="71">
        <f ca="1">-AL87*'Invoer gegevens'!$F$31</f>
        <v>0</v>
      </c>
      <c r="AN87" s="71">
        <f t="shared" ca="1" si="19"/>
        <v>0</v>
      </c>
      <c r="AO87" s="71">
        <f ca="1">IF(C87=1,(H87+J87+N87+P87)*Reeksen!AN87,0)</f>
        <v>0</v>
      </c>
      <c r="AP87" s="71">
        <f ca="1">-IF(C87=1,(H87+J87+N87+P87)*'Hulp - basis'!$G$550*Reeksen!H87,0)</f>
        <v>0</v>
      </c>
      <c r="AQ87" s="71">
        <f ca="1">-IF(C87=1,(F87+K87+L87+Q87)/2*'Invoer gegevens'!$F$35*Reeksen!J87,0)*2</f>
        <v>0</v>
      </c>
      <c r="AR87" s="71"/>
      <c r="AS87" s="71">
        <f ca="1">-IF(C87=1,(F87+K87+L87+Q87)/2*'Invoer gegevens'!$F$37*Reeksen!L87,0)</f>
        <v>0</v>
      </c>
      <c r="AT87" s="71">
        <f ca="1">-IF(C87=1,IF(E87='Invoer gegevens'!$C$17,'Invoer gegevens'!$C$11,AD87)*Reeksen!S87*'Invoer gegevens'!$C$18*Reeksen!P87,0)</f>
        <v>0</v>
      </c>
      <c r="AU87" s="71">
        <f ca="1">-IF(C87=1,(F87+K87+L87+Q87)/2*'Invoer gegevens'!$F$38*Reeksen!H87,0)</f>
        <v>0</v>
      </c>
      <c r="AV87" s="71">
        <f t="shared" si="23"/>
        <v>0</v>
      </c>
      <c r="AW87" s="71">
        <f t="shared" ca="1" si="20"/>
        <v>0</v>
      </c>
      <c r="AX87" s="71">
        <f ca="1">IF(E87&lt;'Invoer gegevens'!$C$17+15,0,IF(E87&gt;'Invoer gegevens'!$C$17+215,0,AW87))</f>
        <v>0</v>
      </c>
      <c r="AY87" s="71">
        <f ca="1">AX87/(1+'Invoer gegevens'!$F$18)^($AZ87-('Invoer gegevens'!$C$17-'Invoer gegevens'!$C$16))/(1+'Invoer gegevens'!$C$39)^('Invoer gegevens'!$C$17-'Invoer gegevens'!$C$16)</f>
        <v>0</v>
      </c>
      <c r="AZ87" s="68">
        <f ca="1">IF(E87-'Invoer gegevens'!$C$17-14.5&lt;0,0,E87-'Invoer gegevens'!$C$17-14.5)</f>
        <v>67.5</v>
      </c>
    </row>
    <row r="88" spans="1:52" x14ac:dyDescent="0.25">
      <c r="A88" s="59"/>
      <c r="B88" s="70">
        <f t="shared" si="21"/>
        <v>84</v>
      </c>
      <c r="C88" s="67">
        <f ca="1">IF(E88-'Invoer gegevens'!$C$17&lt;0,0,1)</f>
        <v>1</v>
      </c>
      <c r="D88" s="68">
        <f t="shared" si="22"/>
        <v>83.5</v>
      </c>
      <c r="E88" s="69">
        <f ca="1">IF('Invoer gegevens'!$C$16="","",E87+1)</f>
        <v>2102</v>
      </c>
      <c r="F88" s="84">
        <f ca="1">IF('Invoer gegevens'!$C$17=E88,'Invoer gegevens'!$C$10,IF(C88=1,K87,0))</f>
        <v>0</v>
      </c>
      <c r="G88" s="96">
        <f ca="1">IF(C88&gt;=1,F88*VLOOKUP(E88,Reeksen!$A$5:$B$76,2),0)</f>
        <v>0</v>
      </c>
      <c r="H88" s="84">
        <f ca="1">(1-('Invoer gegevens'!$F$20/12))*F88*MIN(Reeksen!B88,Reeksen!D88)</f>
        <v>0</v>
      </c>
      <c r="I88" s="84">
        <f>IF(Reeksen!D88&lt;Reeksen!B88,(Reeksen!B88-Reeksen!D88)*F88,0)</f>
        <v>0</v>
      </c>
      <c r="J88" s="84">
        <f ca="1">('Invoer gegevens'!$F$20/12)*F87*MIN(Reeksen!B87,Reeksen!D87)</f>
        <v>0</v>
      </c>
      <c r="K88" s="97">
        <f t="shared" ca="1" si="12"/>
        <v>0</v>
      </c>
      <c r="L88" s="84">
        <f ca="1">IF('Invoer gegevens'!$C$17=E88,0,IF(C88=1,Q87,0))</f>
        <v>0</v>
      </c>
      <c r="M88" s="96">
        <f ca="1">IF(C88&gt;=1,L88*VLOOKUP(E88,Reeksen!$A$5:$B$76,2),0)</f>
        <v>0</v>
      </c>
      <c r="N88" s="84">
        <f ca="1">(1-('Invoer gegevens'!$F$20/12))*L88*MIN(Reeksen!B88,Reeksen!D88)</f>
        <v>0</v>
      </c>
      <c r="O88" s="84">
        <f>IF(Reeksen!D88&lt;Reeksen!B88,(Reeksen!B88-Reeksen!D88)*L88,0)</f>
        <v>0</v>
      </c>
      <c r="P88" s="84">
        <f ca="1">('Invoer gegevens'!$F$20/12)*L87*MIN(Reeksen!B87,Reeksen!D87)</f>
        <v>0</v>
      </c>
      <c r="Q88" s="84">
        <f t="shared" ca="1" si="13"/>
        <v>0</v>
      </c>
      <c r="R88" s="82">
        <f ca="1">IF('Invoer gegevens'!$C$17=E88,'Invoer gegevens'!$C$11,IF(C88=1,W87,0))</f>
        <v>0</v>
      </c>
      <c r="S88" s="86">
        <f ca="1">IF(C88&gt;=1,R88*VLOOKUP(E88,Reeksen!$A$5:$B$76,2),0)</f>
        <v>0</v>
      </c>
      <c r="T88" s="84">
        <f ca="1">(1-('Invoer gegevens'!$F$20/12))*R88*MIN(Reeksen!B88,Reeksen!D88)</f>
        <v>0</v>
      </c>
      <c r="U88" s="84">
        <f>IF(Reeksen!D88&gt;=Reeksen!B88,0,IF(Reeksen!AD88&lt;=Reeksen!AE88,(Reeksen!B88-Reeksen!D88)*R88,0))</f>
        <v>0</v>
      </c>
      <c r="V88" s="86">
        <f>IF(Reeksen!D88&gt;=Reeksen!B88,0,IF(Reeksen!AD88&gt;Reeksen!AE88,(Reeksen!B88-Reeksen!D88)*R88,0))</f>
        <v>0</v>
      </c>
      <c r="W88" s="97">
        <f t="shared" ca="1" si="14"/>
        <v>0</v>
      </c>
      <c r="X88" s="98">
        <f ca="1">IF('Invoer gegevens'!$C$17=E88,'Invoer gegevens'!$C$10-'Invoer gegevens'!$C$11,IF(C88=1,AC87,0))</f>
        <v>0</v>
      </c>
      <c r="Y88" s="98">
        <f ca="1">IF(C88&gt;=1,X88*VLOOKUP(E88,Reeksen!$A$5:$B$76,2),0)</f>
        <v>0</v>
      </c>
      <c r="Z88" s="98">
        <f ca="1">(1-('Invoer gegevens'!$F$20/12))*X88*MIN(Reeksen!B88,Reeksen!D88)</f>
        <v>0</v>
      </c>
      <c r="AA88" s="98">
        <f>IF(Reeksen!D88&gt;=Reeksen!B88,0,IF(Reeksen!AD88&lt;=Reeksen!AE88,(Reeksen!B88-Reeksen!D88)*X88,0))</f>
        <v>0</v>
      </c>
      <c r="AB88" s="98">
        <f>IF(Reeksen!D88&gt;=Reeksen!B88,0,IF(Reeksen!AD88&gt;Reeksen!AE88,(Reeksen!B88-Reeksen!D88)*X88,0))</f>
        <v>0</v>
      </c>
      <c r="AC88" s="99">
        <f t="shared" ca="1" si="15"/>
        <v>0</v>
      </c>
      <c r="AD88" s="98">
        <f ca="1">IF('Invoer gegevens'!$C$17=E88,R88,IF(C88=0,0,AE87))</f>
        <v>0</v>
      </c>
      <c r="AE88" s="98">
        <f t="shared" ca="1" si="16"/>
        <v>0</v>
      </c>
      <c r="AF88" s="98">
        <f ca="1">IF('Invoer gegevens'!$C$17=E88,X88,IF(C88=0,0,AG87))</f>
        <v>0</v>
      </c>
      <c r="AG88" s="98">
        <f t="shared" ca="1" si="17"/>
        <v>0</v>
      </c>
      <c r="AH88" s="66"/>
      <c r="AI88" s="71">
        <f ca="1">IF(C88=1,Reeksen!AI88*((F88-G88+F88)/2)*12+Reeksen!AD88*((L88-M88+L88)/2)*12,0)</f>
        <v>0</v>
      </c>
      <c r="AJ88" s="71">
        <f ca="1">-AI88*'Invoer gegevens'!$F$28</f>
        <v>0</v>
      </c>
      <c r="AK88" s="71">
        <f t="shared" ca="1" si="18"/>
        <v>0</v>
      </c>
      <c r="AL88" s="71">
        <f ca="1">IF(C88=1,Reeksen!AL88*((F88-G88+F88)/2)*12+Reeksen!AM88*((L88-M88+L88)/2)*12,0)</f>
        <v>0</v>
      </c>
      <c r="AM88" s="71">
        <f ca="1">-AL88*'Invoer gegevens'!$F$31</f>
        <v>0</v>
      </c>
      <c r="AN88" s="71">
        <f t="shared" ca="1" si="19"/>
        <v>0</v>
      </c>
      <c r="AO88" s="71">
        <f ca="1">IF(C88=1,(H88+J88+N88+P88)*Reeksen!AN88,0)</f>
        <v>0</v>
      </c>
      <c r="AP88" s="71">
        <f ca="1">-IF(C88=1,(H88+J88+N88+P88)*'Hulp - basis'!$G$550*Reeksen!H88,0)</f>
        <v>0</v>
      </c>
      <c r="AQ88" s="71">
        <f ca="1">-IF(C88=1,(F88+K88+L88+Q88)/2*'Invoer gegevens'!$F$35*Reeksen!J88,0)*2</f>
        <v>0</v>
      </c>
      <c r="AR88" s="71"/>
      <c r="AS88" s="71">
        <f ca="1">-IF(C88=1,(F88+K88+L88+Q88)/2*'Invoer gegevens'!$F$37*Reeksen!L88,0)</f>
        <v>0</v>
      </c>
      <c r="AT88" s="71">
        <f ca="1">-IF(C88=1,IF(E88='Invoer gegevens'!$C$17,'Invoer gegevens'!$C$11,AD88)*Reeksen!S88*'Invoer gegevens'!$C$18*Reeksen!P88,0)</f>
        <v>0</v>
      </c>
      <c r="AU88" s="71">
        <f ca="1">-IF(C88=1,(F88+K88+L88+Q88)/2*'Invoer gegevens'!$F$38*Reeksen!H88,0)</f>
        <v>0</v>
      </c>
      <c r="AV88" s="71">
        <f t="shared" si="23"/>
        <v>0</v>
      </c>
      <c r="AW88" s="71">
        <f t="shared" ca="1" si="20"/>
        <v>0</v>
      </c>
      <c r="AX88" s="71">
        <f ca="1">IF(E88&lt;'Invoer gegevens'!$C$17+15,0,IF(E88&gt;'Invoer gegevens'!$C$17+215,0,AW88))</f>
        <v>0</v>
      </c>
      <c r="AY88" s="71">
        <f ca="1">AX88/(1+'Invoer gegevens'!$F$18)^($AZ88-('Invoer gegevens'!$C$17-'Invoer gegevens'!$C$16))/(1+'Invoer gegevens'!$C$39)^('Invoer gegevens'!$C$17-'Invoer gegevens'!$C$16)</f>
        <v>0</v>
      </c>
      <c r="AZ88" s="68">
        <f ca="1">IF(E88-'Invoer gegevens'!$C$17-14.5&lt;0,0,E88-'Invoer gegevens'!$C$17-14.5)</f>
        <v>68.5</v>
      </c>
    </row>
    <row r="89" spans="1:52" x14ac:dyDescent="0.25">
      <c r="A89" s="59"/>
      <c r="B89" s="70">
        <f t="shared" si="21"/>
        <v>85</v>
      </c>
      <c r="C89" s="67">
        <f ca="1">IF(E89-'Invoer gegevens'!$C$17&lt;0,0,1)</f>
        <v>1</v>
      </c>
      <c r="D89" s="68">
        <f t="shared" si="22"/>
        <v>84.5</v>
      </c>
      <c r="E89" s="69">
        <f ca="1">IF('Invoer gegevens'!$C$16="","",E88+1)</f>
        <v>2103</v>
      </c>
      <c r="F89" s="84">
        <f ca="1">IF('Invoer gegevens'!$C$17=E89,'Invoer gegevens'!$C$10,IF(C89=1,K88,0))</f>
        <v>0</v>
      </c>
      <c r="G89" s="96">
        <f ca="1">IF(C89&gt;=1,F89*VLOOKUP(E89,Reeksen!$A$5:$B$76,2),0)</f>
        <v>0</v>
      </c>
      <c r="H89" s="84">
        <f ca="1">(1-('Invoer gegevens'!$F$20/12))*F89*MIN(Reeksen!B89,Reeksen!D89)</f>
        <v>0</v>
      </c>
      <c r="I89" s="84">
        <f>IF(Reeksen!D89&lt;Reeksen!B89,(Reeksen!B89-Reeksen!D89)*F89,0)</f>
        <v>0</v>
      </c>
      <c r="J89" s="84">
        <f ca="1">('Invoer gegevens'!$F$20/12)*F88*MIN(Reeksen!B88,Reeksen!D88)</f>
        <v>0</v>
      </c>
      <c r="K89" s="97">
        <f t="shared" ca="1" si="12"/>
        <v>0</v>
      </c>
      <c r="L89" s="84">
        <f ca="1">IF('Invoer gegevens'!$C$17=E89,0,IF(C89=1,Q88,0))</f>
        <v>0</v>
      </c>
      <c r="M89" s="96">
        <f ca="1">IF(C89&gt;=1,L89*VLOOKUP(E89,Reeksen!$A$5:$B$76,2),0)</f>
        <v>0</v>
      </c>
      <c r="N89" s="84">
        <f ca="1">(1-('Invoer gegevens'!$F$20/12))*L89*MIN(Reeksen!B89,Reeksen!D89)</f>
        <v>0</v>
      </c>
      <c r="O89" s="84">
        <f>IF(Reeksen!D89&lt;Reeksen!B89,(Reeksen!B89-Reeksen!D89)*L89,0)</f>
        <v>0</v>
      </c>
      <c r="P89" s="84">
        <f ca="1">('Invoer gegevens'!$F$20/12)*L88*MIN(Reeksen!B88,Reeksen!D88)</f>
        <v>0</v>
      </c>
      <c r="Q89" s="84">
        <f t="shared" ca="1" si="13"/>
        <v>0</v>
      </c>
      <c r="R89" s="82">
        <f ca="1">IF('Invoer gegevens'!$C$17=E89,'Invoer gegevens'!$C$11,IF(C89=1,W88,0))</f>
        <v>0</v>
      </c>
      <c r="S89" s="86">
        <f ca="1">IF(C89&gt;=1,R89*VLOOKUP(E89,Reeksen!$A$5:$B$76,2),0)</f>
        <v>0</v>
      </c>
      <c r="T89" s="84">
        <f ca="1">(1-('Invoer gegevens'!$F$20/12))*R89*MIN(Reeksen!B89,Reeksen!D89)</f>
        <v>0</v>
      </c>
      <c r="U89" s="84">
        <f>IF(Reeksen!D89&gt;=Reeksen!B89,0,IF(Reeksen!AD89&lt;=Reeksen!AE89,(Reeksen!B89-Reeksen!D89)*R89,0))</f>
        <v>0</v>
      </c>
      <c r="V89" s="86">
        <f>IF(Reeksen!D89&gt;=Reeksen!B89,0,IF(Reeksen!AD89&gt;Reeksen!AE89,(Reeksen!B89-Reeksen!D89)*R89,0))</f>
        <v>0</v>
      </c>
      <c r="W89" s="97">
        <f t="shared" ca="1" si="14"/>
        <v>0</v>
      </c>
      <c r="X89" s="98">
        <f ca="1">IF('Invoer gegevens'!$C$17=E89,'Invoer gegevens'!$C$10-'Invoer gegevens'!$C$11,IF(C89=1,AC88,0))</f>
        <v>0</v>
      </c>
      <c r="Y89" s="98">
        <f ca="1">IF(C89&gt;=1,X89*VLOOKUP(E89,Reeksen!$A$5:$B$76,2),0)</f>
        <v>0</v>
      </c>
      <c r="Z89" s="98">
        <f ca="1">(1-('Invoer gegevens'!$F$20/12))*X89*MIN(Reeksen!B89,Reeksen!D89)</f>
        <v>0</v>
      </c>
      <c r="AA89" s="98">
        <f>IF(Reeksen!D89&gt;=Reeksen!B89,0,IF(Reeksen!AD89&lt;=Reeksen!AE89,(Reeksen!B89-Reeksen!D89)*X89,0))</f>
        <v>0</v>
      </c>
      <c r="AB89" s="98">
        <f>IF(Reeksen!D89&gt;=Reeksen!B89,0,IF(Reeksen!AD89&gt;Reeksen!AE89,(Reeksen!B89-Reeksen!D89)*X89,0))</f>
        <v>0</v>
      </c>
      <c r="AC89" s="99">
        <f t="shared" ca="1" si="15"/>
        <v>0</v>
      </c>
      <c r="AD89" s="98">
        <f ca="1">IF('Invoer gegevens'!$C$17=E89,R89,IF(C89=0,0,AE88))</f>
        <v>0</v>
      </c>
      <c r="AE89" s="98">
        <f t="shared" ca="1" si="16"/>
        <v>0</v>
      </c>
      <c r="AF89" s="98">
        <f ca="1">IF('Invoer gegevens'!$C$17=E89,X89,IF(C89=0,0,AG88))</f>
        <v>0</v>
      </c>
      <c r="AG89" s="98">
        <f t="shared" ca="1" si="17"/>
        <v>0</v>
      </c>
      <c r="AH89" s="66"/>
      <c r="AI89" s="71">
        <f ca="1">IF(C89=1,Reeksen!AI89*((F89-G89+F89)/2)*12+Reeksen!AD89*((L89-M89+L89)/2)*12,0)</f>
        <v>0</v>
      </c>
      <c r="AJ89" s="71">
        <f ca="1">-AI89*'Invoer gegevens'!$F$28</f>
        <v>0</v>
      </c>
      <c r="AK89" s="71">
        <f t="shared" ca="1" si="18"/>
        <v>0</v>
      </c>
      <c r="AL89" s="71">
        <f ca="1">IF(C89=1,Reeksen!AL89*((F89-G89+F89)/2)*12+Reeksen!AM89*((L89-M89+L89)/2)*12,0)</f>
        <v>0</v>
      </c>
      <c r="AM89" s="71">
        <f ca="1">-AL89*'Invoer gegevens'!$F$31</f>
        <v>0</v>
      </c>
      <c r="AN89" s="71">
        <f t="shared" ca="1" si="19"/>
        <v>0</v>
      </c>
      <c r="AO89" s="71">
        <f ca="1">IF(C89=1,(H89+J89+N89+P89)*Reeksen!AN89,0)</f>
        <v>0</v>
      </c>
      <c r="AP89" s="71">
        <f ca="1">-IF(C89=1,(H89+J89+N89+P89)*'Hulp - basis'!$G$550*Reeksen!H89,0)</f>
        <v>0</v>
      </c>
      <c r="AQ89" s="71">
        <f ca="1">-IF(C89=1,(F89+K89+L89+Q89)/2*'Invoer gegevens'!$F$35*Reeksen!J89,0)*2</f>
        <v>0</v>
      </c>
      <c r="AR89" s="71"/>
      <c r="AS89" s="71">
        <f ca="1">-IF(C89=1,(F89+K89+L89+Q89)/2*'Invoer gegevens'!$F$37*Reeksen!L89,0)</f>
        <v>0</v>
      </c>
      <c r="AT89" s="71">
        <f ca="1">-IF(C89=1,IF(E89='Invoer gegevens'!$C$17,'Invoer gegevens'!$C$11,AD89)*Reeksen!S89*'Invoer gegevens'!$C$18*Reeksen!P89,0)</f>
        <v>0</v>
      </c>
      <c r="AU89" s="71">
        <f ca="1">-IF(C89=1,(F89+K89+L89+Q89)/2*'Invoer gegevens'!$F$38*Reeksen!H89,0)</f>
        <v>0</v>
      </c>
      <c r="AV89" s="71">
        <f t="shared" si="23"/>
        <v>0</v>
      </c>
      <c r="AW89" s="71">
        <f t="shared" ca="1" si="20"/>
        <v>0</v>
      </c>
      <c r="AX89" s="71">
        <f ca="1">IF(E89&lt;'Invoer gegevens'!$C$17+15,0,IF(E89&gt;'Invoer gegevens'!$C$17+215,0,AW89))</f>
        <v>0</v>
      </c>
      <c r="AY89" s="71">
        <f ca="1">AX89/(1+'Invoer gegevens'!$F$18)^($AZ89-('Invoer gegevens'!$C$17-'Invoer gegevens'!$C$16))/(1+'Invoer gegevens'!$C$39)^('Invoer gegevens'!$C$17-'Invoer gegevens'!$C$16)</f>
        <v>0</v>
      </c>
      <c r="AZ89" s="68">
        <f ca="1">IF(E89-'Invoer gegevens'!$C$17-14.5&lt;0,0,E89-'Invoer gegevens'!$C$17-14.5)</f>
        <v>69.5</v>
      </c>
    </row>
    <row r="90" spans="1:52" x14ac:dyDescent="0.25">
      <c r="A90" s="59"/>
      <c r="B90" s="70">
        <f t="shared" si="21"/>
        <v>86</v>
      </c>
      <c r="C90" s="67">
        <f ca="1">IF(E90-'Invoer gegevens'!$C$17&lt;0,0,1)</f>
        <v>1</v>
      </c>
      <c r="D90" s="68">
        <f t="shared" si="22"/>
        <v>85.5</v>
      </c>
      <c r="E90" s="69">
        <f ca="1">IF('Invoer gegevens'!$C$16="","",E89+1)</f>
        <v>2104</v>
      </c>
      <c r="F90" s="84">
        <f ca="1">IF('Invoer gegevens'!$C$17=E90,'Invoer gegevens'!$C$10,IF(C90=1,K89,0))</f>
        <v>0</v>
      </c>
      <c r="G90" s="96">
        <f ca="1">IF(C90&gt;=1,F90*VLOOKUP(E90,Reeksen!$A$5:$B$76,2),0)</f>
        <v>0</v>
      </c>
      <c r="H90" s="84">
        <f ca="1">(1-('Invoer gegevens'!$F$20/12))*F90*MIN(Reeksen!B90,Reeksen!D90)</f>
        <v>0</v>
      </c>
      <c r="I90" s="84">
        <f>IF(Reeksen!D90&lt;Reeksen!B90,(Reeksen!B90-Reeksen!D90)*F90,0)</f>
        <v>0</v>
      </c>
      <c r="J90" s="84">
        <f ca="1">('Invoer gegevens'!$F$20/12)*F89*MIN(Reeksen!B89,Reeksen!D89)</f>
        <v>0</v>
      </c>
      <c r="K90" s="97">
        <f t="shared" ca="1" si="12"/>
        <v>0</v>
      </c>
      <c r="L90" s="84">
        <f ca="1">IF('Invoer gegevens'!$C$17=E90,0,IF(C90=1,Q89,0))</f>
        <v>0</v>
      </c>
      <c r="M90" s="96">
        <f ca="1">IF(C90&gt;=1,L90*VLOOKUP(E90,Reeksen!$A$5:$B$76,2),0)</f>
        <v>0</v>
      </c>
      <c r="N90" s="84">
        <f ca="1">(1-('Invoer gegevens'!$F$20/12))*L90*MIN(Reeksen!B90,Reeksen!D90)</f>
        <v>0</v>
      </c>
      <c r="O90" s="84">
        <f>IF(Reeksen!D90&lt;Reeksen!B90,(Reeksen!B90-Reeksen!D90)*L90,0)</f>
        <v>0</v>
      </c>
      <c r="P90" s="84">
        <f ca="1">('Invoer gegevens'!$F$20/12)*L89*MIN(Reeksen!B89,Reeksen!D89)</f>
        <v>0</v>
      </c>
      <c r="Q90" s="84">
        <f t="shared" ca="1" si="13"/>
        <v>0</v>
      </c>
      <c r="R90" s="82">
        <f ca="1">IF('Invoer gegevens'!$C$17=E90,'Invoer gegevens'!$C$11,IF(C90=1,W89,0))</f>
        <v>0</v>
      </c>
      <c r="S90" s="86">
        <f ca="1">IF(C90&gt;=1,R90*VLOOKUP(E90,Reeksen!$A$5:$B$76,2),0)</f>
        <v>0</v>
      </c>
      <c r="T90" s="84">
        <f ca="1">(1-('Invoer gegevens'!$F$20/12))*R90*MIN(Reeksen!B90,Reeksen!D90)</f>
        <v>0</v>
      </c>
      <c r="U90" s="84">
        <f>IF(Reeksen!D90&gt;=Reeksen!B90,0,IF(Reeksen!AD90&lt;=Reeksen!AE90,(Reeksen!B90-Reeksen!D90)*R90,0))</f>
        <v>0</v>
      </c>
      <c r="V90" s="86">
        <f>IF(Reeksen!D90&gt;=Reeksen!B90,0,IF(Reeksen!AD90&gt;Reeksen!AE90,(Reeksen!B90-Reeksen!D90)*R90,0))</f>
        <v>0</v>
      </c>
      <c r="W90" s="97">
        <f t="shared" ca="1" si="14"/>
        <v>0</v>
      </c>
      <c r="X90" s="98">
        <f ca="1">IF('Invoer gegevens'!$C$17=E90,'Invoer gegevens'!$C$10-'Invoer gegevens'!$C$11,IF(C90=1,AC89,0))</f>
        <v>0</v>
      </c>
      <c r="Y90" s="98">
        <f ca="1">IF(C90&gt;=1,X90*VLOOKUP(E90,Reeksen!$A$5:$B$76,2),0)</f>
        <v>0</v>
      </c>
      <c r="Z90" s="98">
        <f ca="1">(1-('Invoer gegevens'!$F$20/12))*X90*MIN(Reeksen!B90,Reeksen!D90)</f>
        <v>0</v>
      </c>
      <c r="AA90" s="98">
        <f>IF(Reeksen!D90&gt;=Reeksen!B90,0,IF(Reeksen!AD90&lt;=Reeksen!AE90,(Reeksen!B90-Reeksen!D90)*X90,0))</f>
        <v>0</v>
      </c>
      <c r="AB90" s="98">
        <f>IF(Reeksen!D90&gt;=Reeksen!B90,0,IF(Reeksen!AD90&gt;Reeksen!AE90,(Reeksen!B90-Reeksen!D90)*X90,0))</f>
        <v>0</v>
      </c>
      <c r="AC90" s="99">
        <f t="shared" ca="1" si="15"/>
        <v>0</v>
      </c>
      <c r="AD90" s="98">
        <f ca="1">IF('Invoer gegevens'!$C$17=E90,R90,IF(C90=0,0,AE89))</f>
        <v>0</v>
      </c>
      <c r="AE90" s="98">
        <f t="shared" ca="1" si="16"/>
        <v>0</v>
      </c>
      <c r="AF90" s="98">
        <f ca="1">IF('Invoer gegevens'!$C$17=E90,X90,IF(C90=0,0,AG89))</f>
        <v>0</v>
      </c>
      <c r="AG90" s="98">
        <f t="shared" ca="1" si="17"/>
        <v>0</v>
      </c>
      <c r="AH90" s="66"/>
      <c r="AI90" s="71">
        <f ca="1">IF(C90=1,Reeksen!AI90*((F90-G90+F90)/2)*12+Reeksen!AD90*((L90-M90+L90)/2)*12,0)</f>
        <v>0</v>
      </c>
      <c r="AJ90" s="71">
        <f ca="1">-AI90*'Invoer gegevens'!$F$28</f>
        <v>0</v>
      </c>
      <c r="AK90" s="71">
        <f t="shared" ca="1" si="18"/>
        <v>0</v>
      </c>
      <c r="AL90" s="71">
        <f ca="1">IF(C90=1,Reeksen!AL90*((F90-G90+F90)/2)*12+Reeksen!AM90*((L90-M90+L90)/2)*12,0)</f>
        <v>0</v>
      </c>
      <c r="AM90" s="71">
        <f ca="1">-AL90*'Invoer gegevens'!$F$31</f>
        <v>0</v>
      </c>
      <c r="AN90" s="71">
        <f t="shared" ca="1" si="19"/>
        <v>0</v>
      </c>
      <c r="AO90" s="71">
        <f ca="1">IF(C90=1,(H90+J90+N90+P90)*Reeksen!AN90,0)</f>
        <v>0</v>
      </c>
      <c r="AP90" s="71">
        <f ca="1">-IF(C90=1,(H90+J90+N90+P90)*'Hulp - basis'!$G$550*Reeksen!H90,0)</f>
        <v>0</v>
      </c>
      <c r="AQ90" s="71">
        <f ca="1">-IF(C90=1,(F90+K90+L90+Q90)/2*'Invoer gegevens'!$F$35*Reeksen!J90,0)*2</f>
        <v>0</v>
      </c>
      <c r="AR90" s="71"/>
      <c r="AS90" s="71">
        <f ca="1">-IF(C90=1,(F90+K90+L90+Q90)/2*'Invoer gegevens'!$F$37*Reeksen!L90,0)</f>
        <v>0</v>
      </c>
      <c r="AT90" s="71">
        <f ca="1">-IF(C90=1,IF(E90='Invoer gegevens'!$C$17,'Invoer gegevens'!$C$11,AD90)*Reeksen!S90*'Invoer gegevens'!$C$18*Reeksen!P90,0)</f>
        <v>0</v>
      </c>
      <c r="AU90" s="71">
        <f ca="1">-IF(C90=1,(F90+K90+L90+Q90)/2*'Invoer gegevens'!$F$38*Reeksen!H90,0)</f>
        <v>0</v>
      </c>
      <c r="AV90" s="71">
        <f t="shared" si="23"/>
        <v>0</v>
      </c>
      <c r="AW90" s="71">
        <f t="shared" ca="1" si="20"/>
        <v>0</v>
      </c>
      <c r="AX90" s="71">
        <f ca="1">IF(E90&lt;'Invoer gegevens'!$C$17+15,0,IF(E90&gt;'Invoer gegevens'!$C$17+215,0,AW90))</f>
        <v>0</v>
      </c>
      <c r="AY90" s="71">
        <f ca="1">AX90/(1+'Invoer gegevens'!$F$18)^($AZ90-('Invoer gegevens'!$C$17-'Invoer gegevens'!$C$16))/(1+'Invoer gegevens'!$C$39)^('Invoer gegevens'!$C$17-'Invoer gegevens'!$C$16)</f>
        <v>0</v>
      </c>
      <c r="AZ90" s="68">
        <f ca="1">IF(E90-'Invoer gegevens'!$C$17-14.5&lt;0,0,E90-'Invoer gegevens'!$C$17-14.5)</f>
        <v>70.5</v>
      </c>
    </row>
    <row r="91" spans="1:52" x14ac:dyDescent="0.25">
      <c r="A91" s="59"/>
      <c r="B91" s="70">
        <f t="shared" si="21"/>
        <v>87</v>
      </c>
      <c r="C91" s="67">
        <f ca="1">IF(E91-'Invoer gegevens'!$C$17&lt;0,0,1)</f>
        <v>1</v>
      </c>
      <c r="D91" s="68">
        <f t="shared" si="22"/>
        <v>86.5</v>
      </c>
      <c r="E91" s="69">
        <f ca="1">IF('Invoer gegevens'!$C$16="","",E90+1)</f>
        <v>2105</v>
      </c>
      <c r="F91" s="84">
        <f ca="1">IF('Invoer gegevens'!$C$17=E91,'Invoer gegevens'!$C$10,IF(C91=1,K90,0))</f>
        <v>0</v>
      </c>
      <c r="G91" s="96">
        <f ca="1">IF(C91&gt;=1,F91*VLOOKUP(E91,Reeksen!$A$5:$B$76,2),0)</f>
        <v>0</v>
      </c>
      <c r="H91" s="84">
        <f ca="1">(1-('Invoer gegevens'!$F$20/12))*F91*MIN(Reeksen!B91,Reeksen!D91)</f>
        <v>0</v>
      </c>
      <c r="I91" s="84">
        <f>IF(Reeksen!D91&lt;Reeksen!B91,(Reeksen!B91-Reeksen!D91)*F91,0)</f>
        <v>0</v>
      </c>
      <c r="J91" s="84">
        <f ca="1">('Invoer gegevens'!$F$20/12)*F90*MIN(Reeksen!B90,Reeksen!D90)</f>
        <v>0</v>
      </c>
      <c r="K91" s="97">
        <f t="shared" ca="1" si="12"/>
        <v>0</v>
      </c>
      <c r="L91" s="84">
        <f ca="1">IF('Invoer gegevens'!$C$17=E91,0,IF(C91=1,Q90,0))</f>
        <v>0</v>
      </c>
      <c r="M91" s="96">
        <f ca="1">IF(C91&gt;=1,L91*VLOOKUP(E91,Reeksen!$A$5:$B$76,2),0)</f>
        <v>0</v>
      </c>
      <c r="N91" s="84">
        <f ca="1">(1-('Invoer gegevens'!$F$20/12))*L91*MIN(Reeksen!B91,Reeksen!D91)</f>
        <v>0</v>
      </c>
      <c r="O91" s="84">
        <f>IF(Reeksen!D91&lt;Reeksen!B91,(Reeksen!B91-Reeksen!D91)*L91,0)</f>
        <v>0</v>
      </c>
      <c r="P91" s="84">
        <f ca="1">('Invoer gegevens'!$F$20/12)*L90*MIN(Reeksen!B90,Reeksen!D90)</f>
        <v>0</v>
      </c>
      <c r="Q91" s="84">
        <f t="shared" ca="1" si="13"/>
        <v>0</v>
      </c>
      <c r="R91" s="82">
        <f ca="1">IF('Invoer gegevens'!$C$17=E91,'Invoer gegevens'!$C$11,IF(C91=1,W90,0))</f>
        <v>0</v>
      </c>
      <c r="S91" s="86">
        <f ca="1">IF(C91&gt;=1,R91*VLOOKUP(E91,Reeksen!$A$5:$B$76,2),0)</f>
        <v>0</v>
      </c>
      <c r="T91" s="84">
        <f ca="1">(1-('Invoer gegevens'!$F$20/12))*R91*MIN(Reeksen!B91,Reeksen!D91)</f>
        <v>0</v>
      </c>
      <c r="U91" s="84">
        <f>IF(Reeksen!D91&gt;=Reeksen!B91,0,IF(Reeksen!AD91&lt;=Reeksen!AE91,(Reeksen!B91-Reeksen!D91)*R91,0))</f>
        <v>0</v>
      </c>
      <c r="V91" s="86">
        <f>IF(Reeksen!D91&gt;=Reeksen!B91,0,IF(Reeksen!AD91&gt;Reeksen!AE91,(Reeksen!B91-Reeksen!D91)*R91,0))</f>
        <v>0</v>
      </c>
      <c r="W91" s="97">
        <f t="shared" ca="1" si="14"/>
        <v>0</v>
      </c>
      <c r="X91" s="98">
        <f ca="1">IF('Invoer gegevens'!$C$17=E91,'Invoer gegevens'!$C$10-'Invoer gegevens'!$C$11,IF(C91=1,AC90,0))</f>
        <v>0</v>
      </c>
      <c r="Y91" s="98">
        <f ca="1">IF(C91&gt;=1,X91*VLOOKUP(E91,Reeksen!$A$5:$B$76,2),0)</f>
        <v>0</v>
      </c>
      <c r="Z91" s="98">
        <f ca="1">(1-('Invoer gegevens'!$F$20/12))*X91*MIN(Reeksen!B91,Reeksen!D91)</f>
        <v>0</v>
      </c>
      <c r="AA91" s="98">
        <f>IF(Reeksen!D91&gt;=Reeksen!B91,0,IF(Reeksen!AD91&lt;=Reeksen!AE91,(Reeksen!B91-Reeksen!D91)*X91,0))</f>
        <v>0</v>
      </c>
      <c r="AB91" s="98">
        <f>IF(Reeksen!D91&gt;=Reeksen!B91,0,IF(Reeksen!AD91&gt;Reeksen!AE91,(Reeksen!B91-Reeksen!D91)*X91,0))</f>
        <v>0</v>
      </c>
      <c r="AC91" s="99">
        <f t="shared" ca="1" si="15"/>
        <v>0</v>
      </c>
      <c r="AD91" s="98">
        <f ca="1">IF('Invoer gegevens'!$C$17=E91,R91,IF(C91=0,0,AE90))</f>
        <v>0</v>
      </c>
      <c r="AE91" s="98">
        <f t="shared" ca="1" si="16"/>
        <v>0</v>
      </c>
      <c r="AF91" s="98">
        <f ca="1">IF('Invoer gegevens'!$C$17=E91,X91,IF(C91=0,0,AG90))</f>
        <v>0</v>
      </c>
      <c r="AG91" s="98">
        <f t="shared" ca="1" si="17"/>
        <v>0</v>
      </c>
      <c r="AH91" s="66"/>
      <c r="AI91" s="71">
        <f ca="1">IF(C91=1,Reeksen!AI91*((F91-G91+F91)/2)*12+Reeksen!AD91*((L91-M91+L91)/2)*12,0)</f>
        <v>0</v>
      </c>
      <c r="AJ91" s="71">
        <f ca="1">-AI91*'Invoer gegevens'!$F$28</f>
        <v>0</v>
      </c>
      <c r="AK91" s="71">
        <f t="shared" ca="1" si="18"/>
        <v>0</v>
      </c>
      <c r="AL91" s="71">
        <f ca="1">IF(C91=1,Reeksen!AL91*((F91-G91+F91)/2)*12+Reeksen!AM91*((L91-M91+L91)/2)*12,0)</f>
        <v>0</v>
      </c>
      <c r="AM91" s="71">
        <f ca="1">-AL91*'Invoer gegevens'!$F$31</f>
        <v>0</v>
      </c>
      <c r="AN91" s="71">
        <f t="shared" ca="1" si="19"/>
        <v>0</v>
      </c>
      <c r="AO91" s="71">
        <f ca="1">IF(C91=1,(H91+J91+N91+P91)*Reeksen!AN91,0)</f>
        <v>0</v>
      </c>
      <c r="AP91" s="71">
        <f ca="1">-IF(C91=1,(H91+J91+N91+P91)*'Hulp - basis'!$G$550*Reeksen!H91,0)</f>
        <v>0</v>
      </c>
      <c r="AQ91" s="71">
        <f ca="1">-IF(C91=1,(F91+K91+L91+Q91)/2*'Invoer gegevens'!$F$35*Reeksen!J91,0)*2</f>
        <v>0</v>
      </c>
      <c r="AR91" s="71"/>
      <c r="AS91" s="71">
        <f ca="1">-IF(C91=1,(F91+K91+L91+Q91)/2*'Invoer gegevens'!$F$37*Reeksen!L91,0)</f>
        <v>0</v>
      </c>
      <c r="AT91" s="71">
        <f ca="1">-IF(C91=1,IF(E91='Invoer gegevens'!$C$17,'Invoer gegevens'!$C$11,AD91)*Reeksen!S91*'Invoer gegevens'!$C$18*Reeksen!P91,0)</f>
        <v>0</v>
      </c>
      <c r="AU91" s="71">
        <f ca="1">-IF(C91=1,(F91+K91+L91+Q91)/2*'Invoer gegevens'!$F$38*Reeksen!H91,0)</f>
        <v>0</v>
      </c>
      <c r="AV91" s="71">
        <f t="shared" si="23"/>
        <v>0</v>
      </c>
      <c r="AW91" s="71">
        <f t="shared" ca="1" si="20"/>
        <v>0</v>
      </c>
      <c r="AX91" s="71">
        <f ca="1">IF(E91&lt;'Invoer gegevens'!$C$17+15,0,IF(E91&gt;'Invoer gegevens'!$C$17+215,0,AW91))</f>
        <v>0</v>
      </c>
      <c r="AY91" s="71">
        <f ca="1">AX91/(1+'Invoer gegevens'!$F$18)^($AZ91-('Invoer gegevens'!$C$17-'Invoer gegevens'!$C$16))/(1+'Invoer gegevens'!$C$39)^('Invoer gegevens'!$C$17-'Invoer gegevens'!$C$16)</f>
        <v>0</v>
      </c>
      <c r="AZ91" s="68">
        <f ca="1">IF(E91-'Invoer gegevens'!$C$17-14.5&lt;0,0,E91-'Invoer gegevens'!$C$17-14.5)</f>
        <v>71.5</v>
      </c>
    </row>
    <row r="92" spans="1:52" x14ac:dyDescent="0.25">
      <c r="A92" s="59"/>
      <c r="B92" s="70">
        <f t="shared" si="21"/>
        <v>88</v>
      </c>
      <c r="C92" s="67">
        <f ca="1">IF(E92-'Invoer gegevens'!$C$17&lt;0,0,1)</f>
        <v>1</v>
      </c>
      <c r="D92" s="68">
        <f t="shared" si="22"/>
        <v>87.5</v>
      </c>
      <c r="E92" s="69">
        <f ca="1">IF('Invoer gegevens'!$C$16="","",E91+1)</f>
        <v>2106</v>
      </c>
      <c r="F92" s="84">
        <f ca="1">IF('Invoer gegevens'!$C$17=E92,'Invoer gegevens'!$C$10,IF(C92=1,K91,0))</f>
        <v>0</v>
      </c>
      <c r="G92" s="96">
        <f ca="1">IF(C92&gt;=1,F92*VLOOKUP(E92,Reeksen!$A$5:$B$76,2),0)</f>
        <v>0</v>
      </c>
      <c r="H92" s="84">
        <f ca="1">(1-('Invoer gegevens'!$F$20/12))*F92*MIN(Reeksen!B92,Reeksen!D92)</f>
        <v>0</v>
      </c>
      <c r="I92" s="84">
        <f>IF(Reeksen!D92&lt;Reeksen!B92,(Reeksen!B92-Reeksen!D92)*F92,0)</f>
        <v>0</v>
      </c>
      <c r="J92" s="84">
        <f ca="1">('Invoer gegevens'!$F$20/12)*F91*MIN(Reeksen!B91,Reeksen!D91)</f>
        <v>0</v>
      </c>
      <c r="K92" s="97">
        <f t="shared" ca="1" si="12"/>
        <v>0</v>
      </c>
      <c r="L92" s="84">
        <f ca="1">IF('Invoer gegevens'!$C$17=E92,0,IF(C92=1,Q91,0))</f>
        <v>0</v>
      </c>
      <c r="M92" s="96">
        <f ca="1">IF(C92&gt;=1,L92*VLOOKUP(E92,Reeksen!$A$5:$B$76,2),0)</f>
        <v>0</v>
      </c>
      <c r="N92" s="84">
        <f ca="1">(1-('Invoer gegevens'!$F$20/12))*L92*MIN(Reeksen!B92,Reeksen!D92)</f>
        <v>0</v>
      </c>
      <c r="O92" s="84">
        <f>IF(Reeksen!D92&lt;Reeksen!B92,(Reeksen!B92-Reeksen!D92)*L92,0)</f>
        <v>0</v>
      </c>
      <c r="P92" s="84">
        <f ca="1">('Invoer gegevens'!$F$20/12)*L91*MIN(Reeksen!B91,Reeksen!D91)</f>
        <v>0</v>
      </c>
      <c r="Q92" s="84">
        <f t="shared" ca="1" si="13"/>
        <v>0</v>
      </c>
      <c r="R92" s="82">
        <f ca="1">IF('Invoer gegevens'!$C$17=E92,'Invoer gegevens'!$C$11,IF(C92=1,W91,0))</f>
        <v>0</v>
      </c>
      <c r="S92" s="86">
        <f ca="1">IF(C92&gt;=1,R92*VLOOKUP(E92,Reeksen!$A$5:$B$76,2),0)</f>
        <v>0</v>
      </c>
      <c r="T92" s="84">
        <f ca="1">(1-('Invoer gegevens'!$F$20/12))*R92*MIN(Reeksen!B92,Reeksen!D92)</f>
        <v>0</v>
      </c>
      <c r="U92" s="84">
        <f>IF(Reeksen!D92&gt;=Reeksen!B92,0,IF(Reeksen!AD92&lt;=Reeksen!AE92,(Reeksen!B92-Reeksen!D92)*R92,0))</f>
        <v>0</v>
      </c>
      <c r="V92" s="86">
        <f>IF(Reeksen!D92&gt;=Reeksen!B92,0,IF(Reeksen!AD92&gt;Reeksen!AE92,(Reeksen!B92-Reeksen!D92)*R92,0))</f>
        <v>0</v>
      </c>
      <c r="W92" s="97">
        <f t="shared" ca="1" si="14"/>
        <v>0</v>
      </c>
      <c r="X92" s="98">
        <f ca="1">IF('Invoer gegevens'!$C$17=E92,'Invoer gegevens'!$C$10-'Invoer gegevens'!$C$11,IF(C92=1,AC91,0))</f>
        <v>0</v>
      </c>
      <c r="Y92" s="98">
        <f ca="1">IF(C92&gt;=1,X92*VLOOKUP(E92,Reeksen!$A$5:$B$76,2),0)</f>
        <v>0</v>
      </c>
      <c r="Z92" s="98">
        <f ca="1">(1-('Invoer gegevens'!$F$20/12))*X92*MIN(Reeksen!B92,Reeksen!D92)</f>
        <v>0</v>
      </c>
      <c r="AA92" s="98">
        <f>IF(Reeksen!D92&gt;=Reeksen!B92,0,IF(Reeksen!AD92&lt;=Reeksen!AE92,(Reeksen!B92-Reeksen!D92)*X92,0))</f>
        <v>0</v>
      </c>
      <c r="AB92" s="98">
        <f>IF(Reeksen!D92&gt;=Reeksen!B92,0,IF(Reeksen!AD92&gt;Reeksen!AE92,(Reeksen!B92-Reeksen!D92)*X92,0))</f>
        <v>0</v>
      </c>
      <c r="AC92" s="99">
        <f t="shared" ca="1" si="15"/>
        <v>0</v>
      </c>
      <c r="AD92" s="98">
        <f ca="1">IF('Invoer gegevens'!$C$17=E92,R92,IF(C92=0,0,AE91))</f>
        <v>0</v>
      </c>
      <c r="AE92" s="98">
        <f t="shared" ca="1" si="16"/>
        <v>0</v>
      </c>
      <c r="AF92" s="98">
        <f ca="1">IF('Invoer gegevens'!$C$17=E92,X92,IF(C92=0,0,AG91))</f>
        <v>0</v>
      </c>
      <c r="AG92" s="98">
        <f t="shared" ca="1" si="17"/>
        <v>0</v>
      </c>
      <c r="AH92" s="66"/>
      <c r="AI92" s="71">
        <f ca="1">IF(C92=1,Reeksen!AI92*((F92-G92+F92)/2)*12+Reeksen!AD92*((L92-M92+L92)/2)*12,0)</f>
        <v>0</v>
      </c>
      <c r="AJ92" s="71">
        <f ca="1">-AI92*'Invoer gegevens'!$F$28</f>
        <v>0</v>
      </c>
      <c r="AK92" s="71">
        <f t="shared" ca="1" si="18"/>
        <v>0</v>
      </c>
      <c r="AL92" s="71">
        <f ca="1">IF(C92=1,Reeksen!AL92*((F92-G92+F92)/2)*12+Reeksen!AM92*((L92-M92+L92)/2)*12,0)</f>
        <v>0</v>
      </c>
      <c r="AM92" s="71">
        <f ca="1">-AL92*'Invoer gegevens'!$F$31</f>
        <v>0</v>
      </c>
      <c r="AN92" s="71">
        <f t="shared" ca="1" si="19"/>
        <v>0</v>
      </c>
      <c r="AO92" s="71">
        <f ca="1">IF(C92=1,(H92+J92+N92+P92)*Reeksen!AN92,0)</f>
        <v>0</v>
      </c>
      <c r="AP92" s="71">
        <f ca="1">-IF(C92=1,(H92+J92+N92+P92)*'Hulp - basis'!$G$550*Reeksen!H92,0)</f>
        <v>0</v>
      </c>
      <c r="AQ92" s="71">
        <f ca="1">-IF(C92=1,(F92+K92+L92+Q92)/2*'Invoer gegevens'!$F$35*Reeksen!J92,0)*2</f>
        <v>0</v>
      </c>
      <c r="AR92" s="71"/>
      <c r="AS92" s="71">
        <f ca="1">-IF(C92=1,(F92+K92+L92+Q92)/2*'Invoer gegevens'!$F$37*Reeksen!L92,0)</f>
        <v>0</v>
      </c>
      <c r="AT92" s="71">
        <f ca="1">-IF(C92=1,IF(E92='Invoer gegevens'!$C$17,'Invoer gegevens'!$C$11,AD92)*Reeksen!S92*'Invoer gegevens'!$C$18*Reeksen!P92,0)</f>
        <v>0</v>
      </c>
      <c r="AU92" s="71">
        <f ca="1">-IF(C92=1,(F92+K92+L92+Q92)/2*'Invoer gegevens'!$F$38*Reeksen!H92,0)</f>
        <v>0</v>
      </c>
      <c r="AV92" s="71">
        <f t="shared" si="23"/>
        <v>0</v>
      </c>
      <c r="AW92" s="71">
        <f t="shared" ca="1" si="20"/>
        <v>0</v>
      </c>
      <c r="AX92" s="71">
        <f ca="1">IF(E92&lt;'Invoer gegevens'!$C$17+15,0,IF(E92&gt;'Invoer gegevens'!$C$17+215,0,AW92))</f>
        <v>0</v>
      </c>
      <c r="AY92" s="71">
        <f ca="1">AX92/(1+'Invoer gegevens'!$F$18)^($AZ92-('Invoer gegevens'!$C$17-'Invoer gegevens'!$C$16))/(1+'Invoer gegevens'!$C$39)^('Invoer gegevens'!$C$17-'Invoer gegevens'!$C$16)</f>
        <v>0</v>
      </c>
      <c r="AZ92" s="68">
        <f ca="1">IF(E92-'Invoer gegevens'!$C$17-14.5&lt;0,0,E92-'Invoer gegevens'!$C$17-14.5)</f>
        <v>72.5</v>
      </c>
    </row>
    <row r="93" spans="1:52" x14ac:dyDescent="0.25">
      <c r="A93" s="59"/>
      <c r="B93" s="70">
        <f t="shared" si="21"/>
        <v>89</v>
      </c>
      <c r="C93" s="67">
        <f ca="1">IF(E93-'Invoer gegevens'!$C$17&lt;0,0,1)</f>
        <v>1</v>
      </c>
      <c r="D93" s="68">
        <f t="shared" si="22"/>
        <v>88.5</v>
      </c>
      <c r="E93" s="69">
        <f ca="1">IF('Invoer gegevens'!$C$16="","",E92+1)</f>
        <v>2107</v>
      </c>
      <c r="F93" s="84">
        <f ca="1">IF('Invoer gegevens'!$C$17=E93,'Invoer gegevens'!$C$10,IF(C93=1,K92,0))</f>
        <v>0</v>
      </c>
      <c r="G93" s="96">
        <f ca="1">IF(C93&gt;=1,F93*VLOOKUP(E93,Reeksen!$A$5:$B$76,2),0)</f>
        <v>0</v>
      </c>
      <c r="H93" s="84">
        <f ca="1">(1-('Invoer gegevens'!$F$20/12))*F93*MIN(Reeksen!B93,Reeksen!D93)</f>
        <v>0</v>
      </c>
      <c r="I93" s="84">
        <f>IF(Reeksen!D93&lt;Reeksen!B93,(Reeksen!B93-Reeksen!D93)*F93,0)</f>
        <v>0</v>
      </c>
      <c r="J93" s="84">
        <f ca="1">('Invoer gegevens'!$F$20/12)*F92*MIN(Reeksen!B92,Reeksen!D92)</f>
        <v>0</v>
      </c>
      <c r="K93" s="97">
        <f t="shared" ca="1" si="12"/>
        <v>0</v>
      </c>
      <c r="L93" s="84">
        <f ca="1">IF('Invoer gegevens'!$C$17=E93,0,IF(C93=1,Q92,0))</f>
        <v>0</v>
      </c>
      <c r="M93" s="96">
        <f ca="1">IF(C93&gt;=1,L93*VLOOKUP(E93,Reeksen!$A$5:$B$76,2),0)</f>
        <v>0</v>
      </c>
      <c r="N93" s="84">
        <f ca="1">(1-('Invoer gegevens'!$F$20/12))*L93*MIN(Reeksen!B93,Reeksen!D93)</f>
        <v>0</v>
      </c>
      <c r="O93" s="84">
        <f>IF(Reeksen!D93&lt;Reeksen!B93,(Reeksen!B93-Reeksen!D93)*L93,0)</f>
        <v>0</v>
      </c>
      <c r="P93" s="84">
        <f ca="1">('Invoer gegevens'!$F$20/12)*L92*MIN(Reeksen!B92,Reeksen!D92)</f>
        <v>0</v>
      </c>
      <c r="Q93" s="84">
        <f t="shared" ca="1" si="13"/>
        <v>0</v>
      </c>
      <c r="R93" s="82">
        <f ca="1">IF('Invoer gegevens'!$C$17=E93,'Invoer gegevens'!$C$11,IF(C93=1,W92,0))</f>
        <v>0</v>
      </c>
      <c r="S93" s="86">
        <f ca="1">IF(C93&gt;=1,R93*VLOOKUP(E93,Reeksen!$A$5:$B$76,2),0)</f>
        <v>0</v>
      </c>
      <c r="T93" s="84">
        <f ca="1">(1-('Invoer gegevens'!$F$20/12))*R93*MIN(Reeksen!B93,Reeksen!D93)</f>
        <v>0</v>
      </c>
      <c r="U93" s="84">
        <f>IF(Reeksen!D93&gt;=Reeksen!B93,0,IF(Reeksen!AD93&lt;=Reeksen!AE93,(Reeksen!B93-Reeksen!D93)*R93,0))</f>
        <v>0</v>
      </c>
      <c r="V93" s="86">
        <f>IF(Reeksen!D93&gt;=Reeksen!B93,0,IF(Reeksen!AD93&gt;Reeksen!AE93,(Reeksen!B93-Reeksen!D93)*R93,0))</f>
        <v>0</v>
      </c>
      <c r="W93" s="97">
        <f t="shared" ca="1" si="14"/>
        <v>0</v>
      </c>
      <c r="X93" s="98">
        <f ca="1">IF('Invoer gegevens'!$C$17=E93,'Invoer gegevens'!$C$10-'Invoer gegevens'!$C$11,IF(C93=1,AC92,0))</f>
        <v>0</v>
      </c>
      <c r="Y93" s="98">
        <f ca="1">IF(C93&gt;=1,X93*VLOOKUP(E93,Reeksen!$A$5:$B$76,2),0)</f>
        <v>0</v>
      </c>
      <c r="Z93" s="98">
        <f ca="1">(1-('Invoer gegevens'!$F$20/12))*X93*MIN(Reeksen!B93,Reeksen!D93)</f>
        <v>0</v>
      </c>
      <c r="AA93" s="98">
        <f>IF(Reeksen!D93&gt;=Reeksen!B93,0,IF(Reeksen!AD93&lt;=Reeksen!AE93,(Reeksen!B93-Reeksen!D93)*X93,0))</f>
        <v>0</v>
      </c>
      <c r="AB93" s="98">
        <f>IF(Reeksen!D93&gt;=Reeksen!B93,0,IF(Reeksen!AD93&gt;Reeksen!AE93,(Reeksen!B93-Reeksen!D93)*X93,0))</f>
        <v>0</v>
      </c>
      <c r="AC93" s="99">
        <f t="shared" ca="1" si="15"/>
        <v>0</v>
      </c>
      <c r="AD93" s="98">
        <f ca="1">IF('Invoer gegevens'!$C$17=E93,R93,IF(C93=0,0,AE92))</f>
        <v>0</v>
      </c>
      <c r="AE93" s="98">
        <f t="shared" ca="1" si="16"/>
        <v>0</v>
      </c>
      <c r="AF93" s="98">
        <f ca="1">IF('Invoer gegevens'!$C$17=E93,X93,IF(C93=0,0,AG92))</f>
        <v>0</v>
      </c>
      <c r="AG93" s="98">
        <f t="shared" ca="1" si="17"/>
        <v>0</v>
      </c>
      <c r="AH93" s="66"/>
      <c r="AI93" s="71">
        <f ca="1">IF(C93=1,Reeksen!AI93*((F93-G93+F93)/2)*12+Reeksen!AD93*((L93-M93+L93)/2)*12,0)</f>
        <v>0</v>
      </c>
      <c r="AJ93" s="71">
        <f ca="1">-AI93*'Invoer gegevens'!$F$28</f>
        <v>0</v>
      </c>
      <c r="AK93" s="71">
        <f t="shared" ca="1" si="18"/>
        <v>0</v>
      </c>
      <c r="AL93" s="71">
        <f ca="1">IF(C93=1,Reeksen!AL93*((F93-G93+F93)/2)*12+Reeksen!AM93*((L93-M93+L93)/2)*12,0)</f>
        <v>0</v>
      </c>
      <c r="AM93" s="71">
        <f ca="1">-AL93*'Invoer gegevens'!$F$31</f>
        <v>0</v>
      </c>
      <c r="AN93" s="71">
        <f t="shared" ca="1" si="19"/>
        <v>0</v>
      </c>
      <c r="AO93" s="71">
        <f ca="1">IF(C93=1,(H93+J93+N93+P93)*Reeksen!AN93,0)</f>
        <v>0</v>
      </c>
      <c r="AP93" s="71">
        <f ca="1">-IF(C93=1,(H93+J93+N93+P93)*'Hulp - basis'!$G$550*Reeksen!H93,0)</f>
        <v>0</v>
      </c>
      <c r="AQ93" s="71">
        <f ca="1">-IF(C93=1,(F93+K93+L93+Q93)/2*'Invoer gegevens'!$F$35*Reeksen!J93,0)*2</f>
        <v>0</v>
      </c>
      <c r="AR93" s="71"/>
      <c r="AS93" s="71">
        <f ca="1">-IF(C93=1,(F93+K93+L93+Q93)/2*'Invoer gegevens'!$F$37*Reeksen!L93,0)</f>
        <v>0</v>
      </c>
      <c r="AT93" s="71">
        <f ca="1">-IF(C93=1,IF(E93='Invoer gegevens'!$C$17,'Invoer gegevens'!$C$11,AD93)*Reeksen!S93*'Invoer gegevens'!$C$18*Reeksen!P93,0)</f>
        <v>0</v>
      </c>
      <c r="AU93" s="71">
        <f ca="1">-IF(C93=1,(F93+K93+L93+Q93)/2*'Invoer gegevens'!$F$38*Reeksen!H93,0)</f>
        <v>0</v>
      </c>
      <c r="AV93" s="71">
        <f t="shared" si="23"/>
        <v>0</v>
      </c>
      <c r="AW93" s="71">
        <f t="shared" ca="1" si="20"/>
        <v>0</v>
      </c>
      <c r="AX93" s="71">
        <f ca="1">IF(E93&lt;'Invoer gegevens'!$C$17+15,0,IF(E93&gt;'Invoer gegevens'!$C$17+215,0,AW93))</f>
        <v>0</v>
      </c>
      <c r="AY93" s="71">
        <f ca="1">AX93/(1+'Invoer gegevens'!$F$18)^($AZ93-('Invoer gegevens'!$C$17-'Invoer gegevens'!$C$16))/(1+'Invoer gegevens'!$C$39)^('Invoer gegevens'!$C$17-'Invoer gegevens'!$C$16)</f>
        <v>0</v>
      </c>
      <c r="AZ93" s="68">
        <f ca="1">IF(E93-'Invoer gegevens'!$C$17-14.5&lt;0,0,E93-'Invoer gegevens'!$C$17-14.5)</f>
        <v>73.5</v>
      </c>
    </row>
    <row r="94" spans="1:52" x14ac:dyDescent="0.25">
      <c r="A94" s="59"/>
      <c r="B94" s="70">
        <f t="shared" si="21"/>
        <v>90</v>
      </c>
      <c r="C94" s="67">
        <f ca="1">IF(E94-'Invoer gegevens'!$C$17&lt;0,0,1)</f>
        <v>1</v>
      </c>
      <c r="D94" s="68">
        <f t="shared" si="22"/>
        <v>89.5</v>
      </c>
      <c r="E94" s="69">
        <f ca="1">IF('Invoer gegevens'!$C$16="","",E93+1)</f>
        <v>2108</v>
      </c>
      <c r="F94" s="84">
        <f ca="1">IF('Invoer gegevens'!$C$17=E94,'Invoer gegevens'!$C$10,IF(C94=1,K93,0))</f>
        <v>0</v>
      </c>
      <c r="G94" s="96">
        <f ca="1">IF(C94&gt;=1,F94*VLOOKUP(E94,Reeksen!$A$5:$B$76,2),0)</f>
        <v>0</v>
      </c>
      <c r="H94" s="84">
        <f ca="1">(1-('Invoer gegevens'!$F$20/12))*F94*MIN(Reeksen!B94,Reeksen!D94)</f>
        <v>0</v>
      </c>
      <c r="I94" s="84">
        <f>IF(Reeksen!D94&lt;Reeksen!B94,(Reeksen!B94-Reeksen!D94)*F94,0)</f>
        <v>0</v>
      </c>
      <c r="J94" s="84">
        <f ca="1">('Invoer gegevens'!$F$20/12)*F93*MIN(Reeksen!B93,Reeksen!D93)</f>
        <v>0</v>
      </c>
      <c r="K94" s="97">
        <f t="shared" ca="1" si="12"/>
        <v>0</v>
      </c>
      <c r="L94" s="84">
        <f ca="1">IF('Invoer gegevens'!$C$17=E94,0,IF(C94=1,Q93,0))</f>
        <v>0</v>
      </c>
      <c r="M94" s="96">
        <f ca="1">IF(C94&gt;=1,L94*VLOOKUP(E94,Reeksen!$A$5:$B$76,2),0)</f>
        <v>0</v>
      </c>
      <c r="N94" s="84">
        <f ca="1">(1-('Invoer gegevens'!$F$20/12))*L94*MIN(Reeksen!B94,Reeksen!D94)</f>
        <v>0</v>
      </c>
      <c r="O94" s="84">
        <f>IF(Reeksen!D94&lt;Reeksen!B94,(Reeksen!B94-Reeksen!D94)*L94,0)</f>
        <v>0</v>
      </c>
      <c r="P94" s="84">
        <f ca="1">('Invoer gegevens'!$F$20/12)*L93*MIN(Reeksen!B93,Reeksen!D93)</f>
        <v>0</v>
      </c>
      <c r="Q94" s="84">
        <f t="shared" ca="1" si="13"/>
        <v>0</v>
      </c>
      <c r="R94" s="82">
        <f ca="1">IF('Invoer gegevens'!$C$17=E94,'Invoer gegevens'!$C$11,IF(C94=1,W93,0))</f>
        <v>0</v>
      </c>
      <c r="S94" s="86">
        <f ca="1">IF(C94&gt;=1,R94*VLOOKUP(E94,Reeksen!$A$5:$B$76,2),0)</f>
        <v>0</v>
      </c>
      <c r="T94" s="84">
        <f ca="1">(1-('Invoer gegevens'!$F$20/12))*R94*MIN(Reeksen!B94,Reeksen!D94)</f>
        <v>0</v>
      </c>
      <c r="U94" s="84">
        <f>IF(Reeksen!D94&gt;=Reeksen!B94,0,IF(Reeksen!AD94&lt;=Reeksen!AE94,(Reeksen!B94-Reeksen!D94)*R94,0))</f>
        <v>0</v>
      </c>
      <c r="V94" s="86">
        <f>IF(Reeksen!D94&gt;=Reeksen!B94,0,IF(Reeksen!AD94&gt;Reeksen!AE94,(Reeksen!B94-Reeksen!D94)*R94,0))</f>
        <v>0</v>
      </c>
      <c r="W94" s="97">
        <f t="shared" ca="1" si="14"/>
        <v>0</v>
      </c>
      <c r="X94" s="98">
        <f ca="1">IF('Invoer gegevens'!$C$17=E94,'Invoer gegevens'!$C$10-'Invoer gegevens'!$C$11,IF(C94=1,AC93,0))</f>
        <v>0</v>
      </c>
      <c r="Y94" s="98">
        <f ca="1">IF(C94&gt;=1,X94*VLOOKUP(E94,Reeksen!$A$5:$B$76,2),0)</f>
        <v>0</v>
      </c>
      <c r="Z94" s="98">
        <f ca="1">(1-('Invoer gegevens'!$F$20/12))*X94*MIN(Reeksen!B94,Reeksen!D94)</f>
        <v>0</v>
      </c>
      <c r="AA94" s="98">
        <f>IF(Reeksen!D94&gt;=Reeksen!B94,0,IF(Reeksen!AD94&lt;=Reeksen!AE94,(Reeksen!B94-Reeksen!D94)*X94,0))</f>
        <v>0</v>
      </c>
      <c r="AB94" s="98">
        <f>IF(Reeksen!D94&gt;=Reeksen!B94,0,IF(Reeksen!AD94&gt;Reeksen!AE94,(Reeksen!B94-Reeksen!D94)*X94,0))</f>
        <v>0</v>
      </c>
      <c r="AC94" s="99">
        <f t="shared" ca="1" si="15"/>
        <v>0</v>
      </c>
      <c r="AD94" s="98">
        <f ca="1">IF('Invoer gegevens'!$C$17=E94,R94,IF(C94=0,0,AE93))</f>
        <v>0</v>
      </c>
      <c r="AE94" s="98">
        <f t="shared" ca="1" si="16"/>
        <v>0</v>
      </c>
      <c r="AF94" s="98">
        <f ca="1">IF('Invoer gegevens'!$C$17=E94,X94,IF(C94=0,0,AG93))</f>
        <v>0</v>
      </c>
      <c r="AG94" s="98">
        <f t="shared" ca="1" si="17"/>
        <v>0</v>
      </c>
      <c r="AH94" s="66"/>
      <c r="AI94" s="71">
        <f ca="1">IF(C94=1,Reeksen!AI94*((F94-G94+F94)/2)*12+Reeksen!AD94*((L94-M94+L94)/2)*12,0)</f>
        <v>0</v>
      </c>
      <c r="AJ94" s="71">
        <f ca="1">-AI94*'Invoer gegevens'!$F$28</f>
        <v>0</v>
      </c>
      <c r="AK94" s="71">
        <f t="shared" ca="1" si="18"/>
        <v>0</v>
      </c>
      <c r="AL94" s="71">
        <f ca="1">IF(C94=1,Reeksen!AL94*((F94-G94+F94)/2)*12+Reeksen!AM94*((L94-M94+L94)/2)*12,0)</f>
        <v>0</v>
      </c>
      <c r="AM94" s="71">
        <f ca="1">-AL94*'Invoer gegevens'!$F$31</f>
        <v>0</v>
      </c>
      <c r="AN94" s="71">
        <f t="shared" ca="1" si="19"/>
        <v>0</v>
      </c>
      <c r="AO94" s="71">
        <f ca="1">IF(C94=1,(H94+J94+N94+P94)*Reeksen!AN94,0)</f>
        <v>0</v>
      </c>
      <c r="AP94" s="71">
        <f ca="1">-IF(C94=1,(H94+J94+N94+P94)*'Hulp - basis'!$G$550*Reeksen!H94,0)</f>
        <v>0</v>
      </c>
      <c r="AQ94" s="71">
        <f ca="1">-IF(C94=1,(F94+K94+L94+Q94)/2*'Invoer gegevens'!$F$35*Reeksen!J94,0)*2</f>
        <v>0</v>
      </c>
      <c r="AR94" s="71"/>
      <c r="AS94" s="71">
        <f ca="1">-IF(C94=1,(F94+K94+L94+Q94)/2*'Invoer gegevens'!$F$37*Reeksen!L94,0)</f>
        <v>0</v>
      </c>
      <c r="AT94" s="71">
        <f ca="1">-IF(C94=1,IF(E94='Invoer gegevens'!$C$17,'Invoer gegevens'!$C$11,AD94)*Reeksen!S94*'Invoer gegevens'!$C$18*Reeksen!P94,0)</f>
        <v>0</v>
      </c>
      <c r="AU94" s="71">
        <f ca="1">-IF(C94=1,(F94+K94+L94+Q94)/2*'Invoer gegevens'!$F$38*Reeksen!H94,0)</f>
        <v>0</v>
      </c>
      <c r="AV94" s="71">
        <f t="shared" si="23"/>
        <v>0</v>
      </c>
      <c r="AW94" s="71">
        <f t="shared" ca="1" si="20"/>
        <v>0</v>
      </c>
      <c r="AX94" s="71">
        <f ca="1">IF(E94&lt;'Invoer gegevens'!$C$17+15,0,IF(E94&gt;'Invoer gegevens'!$C$17+215,0,AW94))</f>
        <v>0</v>
      </c>
      <c r="AY94" s="71">
        <f ca="1">AX94/(1+'Invoer gegevens'!$F$18)^($AZ94-('Invoer gegevens'!$C$17-'Invoer gegevens'!$C$16))/(1+'Invoer gegevens'!$C$39)^('Invoer gegevens'!$C$17-'Invoer gegevens'!$C$16)</f>
        <v>0</v>
      </c>
      <c r="AZ94" s="68">
        <f ca="1">IF(E94-'Invoer gegevens'!$C$17-14.5&lt;0,0,E94-'Invoer gegevens'!$C$17-14.5)</f>
        <v>74.5</v>
      </c>
    </row>
    <row r="95" spans="1:52" x14ac:dyDescent="0.25">
      <c r="A95" s="59"/>
      <c r="B95" s="70">
        <f t="shared" si="21"/>
        <v>91</v>
      </c>
      <c r="C95" s="67">
        <f ca="1">IF(E95-'Invoer gegevens'!$C$17&lt;0,0,1)</f>
        <v>1</v>
      </c>
      <c r="D95" s="68">
        <f t="shared" si="22"/>
        <v>90.5</v>
      </c>
      <c r="E95" s="69">
        <f ca="1">IF('Invoer gegevens'!$C$16="","",E94+1)</f>
        <v>2109</v>
      </c>
      <c r="F95" s="84">
        <f ca="1">IF('Invoer gegevens'!$C$17=E95,'Invoer gegevens'!$C$10,IF(C95=1,K94,0))</f>
        <v>0</v>
      </c>
      <c r="G95" s="96">
        <f ca="1">IF(C95&gt;=1,F95*VLOOKUP(E95,Reeksen!$A$5:$B$76,2),0)</f>
        <v>0</v>
      </c>
      <c r="H95" s="84">
        <f ca="1">(1-('Invoer gegevens'!$F$20/12))*F95*MIN(Reeksen!B95,Reeksen!D95)</f>
        <v>0</v>
      </c>
      <c r="I95" s="84">
        <f>IF(Reeksen!D95&lt;Reeksen!B95,(Reeksen!B95-Reeksen!D95)*F95,0)</f>
        <v>0</v>
      </c>
      <c r="J95" s="84">
        <f ca="1">('Invoer gegevens'!$F$20/12)*F94*MIN(Reeksen!B94,Reeksen!D94)</f>
        <v>0</v>
      </c>
      <c r="K95" s="97">
        <f t="shared" ca="1" si="12"/>
        <v>0</v>
      </c>
      <c r="L95" s="84">
        <f ca="1">IF('Invoer gegevens'!$C$17=E95,0,IF(C95=1,Q94,0))</f>
        <v>0</v>
      </c>
      <c r="M95" s="96">
        <f ca="1">IF(C95&gt;=1,L95*VLOOKUP(E95,Reeksen!$A$5:$B$76,2),0)</f>
        <v>0</v>
      </c>
      <c r="N95" s="84">
        <f ca="1">(1-('Invoer gegevens'!$F$20/12))*L95*MIN(Reeksen!B95,Reeksen!D95)</f>
        <v>0</v>
      </c>
      <c r="O95" s="84">
        <f>IF(Reeksen!D95&lt;Reeksen!B95,(Reeksen!B95-Reeksen!D95)*L95,0)</f>
        <v>0</v>
      </c>
      <c r="P95" s="84">
        <f ca="1">('Invoer gegevens'!$F$20/12)*L94*MIN(Reeksen!B94,Reeksen!D94)</f>
        <v>0</v>
      </c>
      <c r="Q95" s="84">
        <f t="shared" ca="1" si="13"/>
        <v>0</v>
      </c>
      <c r="R95" s="82">
        <f ca="1">IF('Invoer gegevens'!$C$17=E95,'Invoer gegevens'!$C$11,IF(C95=1,W94,0))</f>
        <v>0</v>
      </c>
      <c r="S95" s="86">
        <f ca="1">IF(C95&gt;=1,R95*VLOOKUP(E95,Reeksen!$A$5:$B$76,2),0)</f>
        <v>0</v>
      </c>
      <c r="T95" s="84">
        <f ca="1">(1-('Invoer gegevens'!$F$20/12))*R95*MIN(Reeksen!B95,Reeksen!D95)</f>
        <v>0</v>
      </c>
      <c r="U95" s="84">
        <f>IF(Reeksen!D95&gt;=Reeksen!B95,0,IF(Reeksen!AD95&lt;=Reeksen!AE95,(Reeksen!B95-Reeksen!D95)*R95,0))</f>
        <v>0</v>
      </c>
      <c r="V95" s="86">
        <f>IF(Reeksen!D95&gt;=Reeksen!B95,0,IF(Reeksen!AD95&gt;Reeksen!AE95,(Reeksen!B95-Reeksen!D95)*R95,0))</f>
        <v>0</v>
      </c>
      <c r="W95" s="97">
        <f t="shared" ca="1" si="14"/>
        <v>0</v>
      </c>
      <c r="X95" s="98">
        <f ca="1">IF('Invoer gegevens'!$C$17=E95,'Invoer gegevens'!$C$10-'Invoer gegevens'!$C$11,IF(C95=1,AC94,0))</f>
        <v>0</v>
      </c>
      <c r="Y95" s="98">
        <f ca="1">IF(C95&gt;=1,X95*VLOOKUP(E95,Reeksen!$A$5:$B$76,2),0)</f>
        <v>0</v>
      </c>
      <c r="Z95" s="98">
        <f ca="1">(1-('Invoer gegevens'!$F$20/12))*X95*MIN(Reeksen!B95,Reeksen!D95)</f>
        <v>0</v>
      </c>
      <c r="AA95" s="98">
        <f>IF(Reeksen!D95&gt;=Reeksen!B95,0,IF(Reeksen!AD95&lt;=Reeksen!AE95,(Reeksen!B95-Reeksen!D95)*X95,0))</f>
        <v>0</v>
      </c>
      <c r="AB95" s="98">
        <f>IF(Reeksen!D95&gt;=Reeksen!B95,0,IF(Reeksen!AD95&gt;Reeksen!AE95,(Reeksen!B95-Reeksen!D95)*X95,0))</f>
        <v>0</v>
      </c>
      <c r="AC95" s="99">
        <f t="shared" ca="1" si="15"/>
        <v>0</v>
      </c>
      <c r="AD95" s="98">
        <f ca="1">IF('Invoer gegevens'!$C$17=E95,R95,IF(C95=0,0,AE94))</f>
        <v>0</v>
      </c>
      <c r="AE95" s="98">
        <f t="shared" ca="1" si="16"/>
        <v>0</v>
      </c>
      <c r="AF95" s="98">
        <f ca="1">IF('Invoer gegevens'!$C$17=E95,X95,IF(C95=0,0,AG94))</f>
        <v>0</v>
      </c>
      <c r="AG95" s="98">
        <f t="shared" ca="1" si="17"/>
        <v>0</v>
      </c>
      <c r="AH95" s="66"/>
      <c r="AI95" s="71">
        <f ca="1">IF(C95=1,Reeksen!AI95*((F95-G95+F95)/2)*12+Reeksen!AD95*((L95-M95+L95)/2)*12,0)</f>
        <v>0</v>
      </c>
      <c r="AJ95" s="71">
        <f ca="1">-AI95*'Invoer gegevens'!$F$28</f>
        <v>0</v>
      </c>
      <c r="AK95" s="71">
        <f t="shared" ca="1" si="18"/>
        <v>0</v>
      </c>
      <c r="AL95" s="71">
        <f ca="1">IF(C95=1,Reeksen!AL95*((F95-G95+F95)/2)*12+Reeksen!AM95*((L95-M95+L95)/2)*12,0)</f>
        <v>0</v>
      </c>
      <c r="AM95" s="71">
        <f ca="1">-AL95*'Invoer gegevens'!$F$31</f>
        <v>0</v>
      </c>
      <c r="AN95" s="71">
        <f t="shared" ca="1" si="19"/>
        <v>0</v>
      </c>
      <c r="AO95" s="71">
        <f ca="1">IF(C95=1,(H95+J95+N95+P95)*Reeksen!AN95,0)</f>
        <v>0</v>
      </c>
      <c r="AP95" s="71">
        <f ca="1">-IF(C95=1,(H95+J95+N95+P95)*'Hulp - basis'!$G$550*Reeksen!H95,0)</f>
        <v>0</v>
      </c>
      <c r="AQ95" s="71">
        <f ca="1">-IF(C95=1,(F95+K95+L95+Q95)/2*'Invoer gegevens'!$F$35*Reeksen!J95,0)*2</f>
        <v>0</v>
      </c>
      <c r="AR95" s="71"/>
      <c r="AS95" s="71">
        <f ca="1">-IF(C95=1,(F95+K95+L95+Q95)/2*'Invoer gegevens'!$F$37*Reeksen!L95,0)</f>
        <v>0</v>
      </c>
      <c r="AT95" s="71">
        <f ca="1">-IF(C95=1,IF(E95='Invoer gegevens'!$C$17,'Invoer gegevens'!$C$11,AD95)*Reeksen!S95*'Invoer gegevens'!$C$18*Reeksen!P95,0)</f>
        <v>0</v>
      </c>
      <c r="AU95" s="71">
        <f ca="1">-IF(C95=1,(F95+K95+L95+Q95)/2*'Invoer gegevens'!$F$38*Reeksen!H95,0)</f>
        <v>0</v>
      </c>
      <c r="AV95" s="71">
        <f t="shared" si="23"/>
        <v>0</v>
      </c>
      <c r="AW95" s="71">
        <f t="shared" ca="1" si="20"/>
        <v>0</v>
      </c>
      <c r="AX95" s="71">
        <f ca="1">IF(E95&lt;'Invoer gegevens'!$C$17+15,0,IF(E95&gt;'Invoer gegevens'!$C$17+215,0,AW95))</f>
        <v>0</v>
      </c>
      <c r="AY95" s="71">
        <f ca="1">AX95/(1+'Invoer gegevens'!$F$18)^($AZ95-('Invoer gegevens'!$C$17-'Invoer gegevens'!$C$16))/(1+'Invoer gegevens'!$C$39)^('Invoer gegevens'!$C$17-'Invoer gegevens'!$C$16)</f>
        <v>0</v>
      </c>
      <c r="AZ95" s="68">
        <f ca="1">IF(E95-'Invoer gegevens'!$C$17-14.5&lt;0,0,E95-'Invoer gegevens'!$C$17-14.5)</f>
        <v>75.5</v>
      </c>
    </row>
    <row r="96" spans="1:52" x14ac:dyDescent="0.25">
      <c r="A96" s="59"/>
      <c r="B96" s="70">
        <f t="shared" si="21"/>
        <v>92</v>
      </c>
      <c r="C96" s="67">
        <f ca="1">IF(E96-'Invoer gegevens'!$C$17&lt;0,0,1)</f>
        <v>1</v>
      </c>
      <c r="D96" s="68">
        <f t="shared" si="22"/>
        <v>91.5</v>
      </c>
      <c r="E96" s="69">
        <f ca="1">IF('Invoer gegevens'!$C$16="","",E95+1)</f>
        <v>2110</v>
      </c>
      <c r="F96" s="84">
        <f ca="1">IF('Invoer gegevens'!$C$17=E96,'Invoer gegevens'!$C$10,IF(C96=1,K95,0))</f>
        <v>0</v>
      </c>
      <c r="G96" s="96">
        <f ca="1">IF(C96&gt;=1,F96*VLOOKUP(E96,Reeksen!$A$5:$B$76,2),0)</f>
        <v>0</v>
      </c>
      <c r="H96" s="84">
        <f ca="1">(1-('Invoer gegevens'!$F$20/12))*F96*MIN(Reeksen!B96,Reeksen!D96)</f>
        <v>0</v>
      </c>
      <c r="I96" s="84">
        <f>IF(Reeksen!D96&lt;Reeksen!B96,(Reeksen!B96-Reeksen!D96)*F96,0)</f>
        <v>0</v>
      </c>
      <c r="J96" s="84">
        <f ca="1">('Invoer gegevens'!$F$20/12)*F95*MIN(Reeksen!B95,Reeksen!D95)</f>
        <v>0</v>
      </c>
      <c r="K96" s="97">
        <f t="shared" ca="1" si="12"/>
        <v>0</v>
      </c>
      <c r="L96" s="84">
        <f ca="1">IF('Invoer gegevens'!$C$17=E96,0,IF(C96=1,Q95,0))</f>
        <v>0</v>
      </c>
      <c r="M96" s="96">
        <f ca="1">IF(C96&gt;=1,L96*VLOOKUP(E96,Reeksen!$A$5:$B$76,2),0)</f>
        <v>0</v>
      </c>
      <c r="N96" s="84">
        <f ca="1">(1-('Invoer gegevens'!$F$20/12))*L96*MIN(Reeksen!B96,Reeksen!D96)</f>
        <v>0</v>
      </c>
      <c r="O96" s="84">
        <f>IF(Reeksen!D96&lt;Reeksen!B96,(Reeksen!B96-Reeksen!D96)*L96,0)</f>
        <v>0</v>
      </c>
      <c r="P96" s="84">
        <f ca="1">('Invoer gegevens'!$F$20/12)*L95*MIN(Reeksen!B95,Reeksen!D95)</f>
        <v>0</v>
      </c>
      <c r="Q96" s="84">
        <f t="shared" ca="1" si="13"/>
        <v>0</v>
      </c>
      <c r="R96" s="82">
        <f ca="1">IF('Invoer gegevens'!$C$17=E96,'Invoer gegevens'!$C$11,IF(C96=1,W95,0))</f>
        <v>0</v>
      </c>
      <c r="S96" s="86">
        <f ca="1">IF(C96&gt;=1,R96*VLOOKUP(E96,Reeksen!$A$5:$B$76,2),0)</f>
        <v>0</v>
      </c>
      <c r="T96" s="84">
        <f ca="1">(1-('Invoer gegevens'!$F$20/12))*R96*MIN(Reeksen!B96,Reeksen!D96)</f>
        <v>0</v>
      </c>
      <c r="U96" s="84">
        <f>IF(Reeksen!D96&gt;=Reeksen!B96,0,IF(Reeksen!AD96&lt;=Reeksen!AE96,(Reeksen!B96-Reeksen!D96)*R96,0))</f>
        <v>0</v>
      </c>
      <c r="V96" s="86">
        <f>IF(Reeksen!D96&gt;=Reeksen!B96,0,IF(Reeksen!AD96&gt;Reeksen!AE96,(Reeksen!B96-Reeksen!D96)*R96,0))</f>
        <v>0</v>
      </c>
      <c r="W96" s="97">
        <f t="shared" ca="1" si="14"/>
        <v>0</v>
      </c>
      <c r="X96" s="98">
        <f ca="1">IF('Invoer gegevens'!$C$17=E96,'Invoer gegevens'!$C$10-'Invoer gegevens'!$C$11,IF(C96=1,AC95,0))</f>
        <v>0</v>
      </c>
      <c r="Y96" s="98">
        <f ca="1">IF(C96&gt;=1,X96*VLOOKUP(E96,Reeksen!$A$5:$B$76,2),0)</f>
        <v>0</v>
      </c>
      <c r="Z96" s="98">
        <f ca="1">(1-('Invoer gegevens'!$F$20/12))*X96*MIN(Reeksen!B96,Reeksen!D96)</f>
        <v>0</v>
      </c>
      <c r="AA96" s="98">
        <f>IF(Reeksen!D96&gt;=Reeksen!B96,0,IF(Reeksen!AD96&lt;=Reeksen!AE96,(Reeksen!B96-Reeksen!D96)*X96,0))</f>
        <v>0</v>
      </c>
      <c r="AB96" s="98">
        <f>IF(Reeksen!D96&gt;=Reeksen!B96,0,IF(Reeksen!AD96&gt;Reeksen!AE96,(Reeksen!B96-Reeksen!D96)*X96,0))</f>
        <v>0</v>
      </c>
      <c r="AC96" s="99">
        <f t="shared" ca="1" si="15"/>
        <v>0</v>
      </c>
      <c r="AD96" s="98">
        <f ca="1">IF('Invoer gegevens'!$C$17=E96,R96,IF(C96=0,0,AE95))</f>
        <v>0</v>
      </c>
      <c r="AE96" s="98">
        <f t="shared" ca="1" si="16"/>
        <v>0</v>
      </c>
      <c r="AF96" s="98">
        <f ca="1">IF('Invoer gegevens'!$C$17=E96,X96,IF(C96=0,0,AG95))</f>
        <v>0</v>
      </c>
      <c r="AG96" s="98">
        <f t="shared" ca="1" si="17"/>
        <v>0</v>
      </c>
      <c r="AH96" s="66"/>
      <c r="AI96" s="71">
        <f ca="1">IF(C96=1,Reeksen!AI96*((F96-G96+F96)/2)*12+Reeksen!AD96*((L96-M96+L96)/2)*12,0)</f>
        <v>0</v>
      </c>
      <c r="AJ96" s="71">
        <f ca="1">-AI96*'Invoer gegevens'!$F$28</f>
        <v>0</v>
      </c>
      <c r="AK96" s="71">
        <f t="shared" ca="1" si="18"/>
        <v>0</v>
      </c>
      <c r="AL96" s="71">
        <f ca="1">IF(C96=1,Reeksen!AL96*((F96-G96+F96)/2)*12+Reeksen!AM96*((L96-M96+L96)/2)*12,0)</f>
        <v>0</v>
      </c>
      <c r="AM96" s="71">
        <f ca="1">-AL96*'Invoer gegevens'!$F$31</f>
        <v>0</v>
      </c>
      <c r="AN96" s="71">
        <f t="shared" ca="1" si="19"/>
        <v>0</v>
      </c>
      <c r="AO96" s="71">
        <f ca="1">IF(C96=1,(H96+J96+N96+P96)*Reeksen!AN96,0)</f>
        <v>0</v>
      </c>
      <c r="AP96" s="71">
        <f ca="1">-IF(C96=1,(H96+J96+N96+P96)*'Hulp - basis'!$G$550*Reeksen!H96,0)</f>
        <v>0</v>
      </c>
      <c r="AQ96" s="71">
        <f ca="1">-IF(C96=1,(F96+K96+L96+Q96)/2*'Invoer gegevens'!$F$35*Reeksen!J96,0)*2</f>
        <v>0</v>
      </c>
      <c r="AR96" s="71"/>
      <c r="AS96" s="71">
        <f ca="1">-IF(C96=1,(F96+K96+L96+Q96)/2*'Invoer gegevens'!$F$37*Reeksen!L96,0)</f>
        <v>0</v>
      </c>
      <c r="AT96" s="71">
        <f ca="1">-IF(C96=1,IF(E96='Invoer gegevens'!$C$17,'Invoer gegevens'!$C$11,AD96)*Reeksen!S96*'Invoer gegevens'!$C$18*Reeksen!P96,0)</f>
        <v>0</v>
      </c>
      <c r="AU96" s="71">
        <f ca="1">-IF(C96=1,(F96+K96+L96+Q96)/2*'Invoer gegevens'!$F$38*Reeksen!H96,0)</f>
        <v>0</v>
      </c>
      <c r="AV96" s="71">
        <f t="shared" si="23"/>
        <v>0</v>
      </c>
      <c r="AW96" s="71">
        <f t="shared" ca="1" si="20"/>
        <v>0</v>
      </c>
      <c r="AX96" s="71">
        <f ca="1">IF(E96&lt;'Invoer gegevens'!$C$17+15,0,IF(E96&gt;'Invoer gegevens'!$C$17+215,0,AW96))</f>
        <v>0</v>
      </c>
      <c r="AY96" s="71">
        <f ca="1">AX96/(1+'Invoer gegevens'!$F$18)^($AZ96-('Invoer gegevens'!$C$17-'Invoer gegevens'!$C$16))/(1+'Invoer gegevens'!$C$39)^('Invoer gegevens'!$C$17-'Invoer gegevens'!$C$16)</f>
        <v>0</v>
      </c>
      <c r="AZ96" s="68">
        <f ca="1">IF(E96-'Invoer gegevens'!$C$17-14.5&lt;0,0,E96-'Invoer gegevens'!$C$17-14.5)</f>
        <v>76.5</v>
      </c>
    </row>
    <row r="97" spans="1:52" x14ac:dyDescent="0.25">
      <c r="A97" s="59"/>
      <c r="B97" s="70">
        <f t="shared" si="21"/>
        <v>93</v>
      </c>
      <c r="C97" s="67">
        <f ca="1">IF(E97-'Invoer gegevens'!$C$17&lt;0,0,1)</f>
        <v>1</v>
      </c>
      <c r="D97" s="68">
        <f t="shared" si="22"/>
        <v>92.5</v>
      </c>
      <c r="E97" s="69">
        <f ca="1">IF('Invoer gegevens'!$C$16="","",E96+1)</f>
        <v>2111</v>
      </c>
      <c r="F97" s="84">
        <f ca="1">IF('Invoer gegevens'!$C$17=E97,'Invoer gegevens'!$C$10,IF(C97=1,K96,0))</f>
        <v>0</v>
      </c>
      <c r="G97" s="96">
        <f ca="1">IF(C97&gt;=1,F97*VLOOKUP(E97,Reeksen!$A$5:$B$76,2),0)</f>
        <v>0</v>
      </c>
      <c r="H97" s="84">
        <f ca="1">(1-('Invoer gegevens'!$F$20/12))*F97*MIN(Reeksen!B97,Reeksen!D97)</f>
        <v>0</v>
      </c>
      <c r="I97" s="84">
        <f>IF(Reeksen!D97&lt;Reeksen!B97,(Reeksen!B97-Reeksen!D97)*F97,0)</f>
        <v>0</v>
      </c>
      <c r="J97" s="84">
        <f ca="1">('Invoer gegevens'!$F$20/12)*F96*MIN(Reeksen!B96,Reeksen!D96)</f>
        <v>0</v>
      </c>
      <c r="K97" s="97">
        <f t="shared" ca="1" si="12"/>
        <v>0</v>
      </c>
      <c r="L97" s="84">
        <f ca="1">IF('Invoer gegevens'!$C$17=E97,0,IF(C97=1,Q96,0))</f>
        <v>0</v>
      </c>
      <c r="M97" s="96">
        <f ca="1">IF(C97&gt;=1,L97*VLOOKUP(E97,Reeksen!$A$5:$B$76,2),0)</f>
        <v>0</v>
      </c>
      <c r="N97" s="84">
        <f ca="1">(1-('Invoer gegevens'!$F$20/12))*L97*MIN(Reeksen!B97,Reeksen!D97)</f>
        <v>0</v>
      </c>
      <c r="O97" s="84">
        <f>IF(Reeksen!D97&lt;Reeksen!B97,(Reeksen!B97-Reeksen!D97)*L97,0)</f>
        <v>0</v>
      </c>
      <c r="P97" s="84">
        <f ca="1">('Invoer gegevens'!$F$20/12)*L96*MIN(Reeksen!B96,Reeksen!D96)</f>
        <v>0</v>
      </c>
      <c r="Q97" s="84">
        <f t="shared" ca="1" si="13"/>
        <v>0</v>
      </c>
      <c r="R97" s="82">
        <f ca="1">IF('Invoer gegevens'!$C$17=E97,'Invoer gegevens'!$C$11,IF(C97=1,W96,0))</f>
        <v>0</v>
      </c>
      <c r="S97" s="86">
        <f ca="1">IF(C97&gt;=1,R97*VLOOKUP(E97,Reeksen!$A$5:$B$76,2),0)</f>
        <v>0</v>
      </c>
      <c r="T97" s="84">
        <f ca="1">(1-('Invoer gegevens'!$F$20/12))*R97*MIN(Reeksen!B97,Reeksen!D97)</f>
        <v>0</v>
      </c>
      <c r="U97" s="84">
        <f>IF(Reeksen!D97&gt;=Reeksen!B97,0,IF(Reeksen!AD97&lt;=Reeksen!AE97,(Reeksen!B97-Reeksen!D97)*R97,0))</f>
        <v>0</v>
      </c>
      <c r="V97" s="86">
        <f>IF(Reeksen!D97&gt;=Reeksen!B97,0,IF(Reeksen!AD97&gt;Reeksen!AE97,(Reeksen!B97-Reeksen!D97)*R97,0))</f>
        <v>0</v>
      </c>
      <c r="W97" s="97">
        <f t="shared" ca="1" si="14"/>
        <v>0</v>
      </c>
      <c r="X97" s="98">
        <f ca="1">IF('Invoer gegevens'!$C$17=E97,'Invoer gegevens'!$C$10-'Invoer gegevens'!$C$11,IF(C97=1,AC96,0))</f>
        <v>0</v>
      </c>
      <c r="Y97" s="98">
        <f ca="1">IF(C97&gt;=1,X97*VLOOKUP(E97,Reeksen!$A$5:$B$76,2),0)</f>
        <v>0</v>
      </c>
      <c r="Z97" s="98">
        <f ca="1">(1-('Invoer gegevens'!$F$20/12))*X97*MIN(Reeksen!B97,Reeksen!D97)</f>
        <v>0</v>
      </c>
      <c r="AA97" s="98">
        <f>IF(Reeksen!D97&gt;=Reeksen!B97,0,IF(Reeksen!AD97&lt;=Reeksen!AE97,(Reeksen!B97-Reeksen!D97)*X97,0))</f>
        <v>0</v>
      </c>
      <c r="AB97" s="98">
        <f>IF(Reeksen!D97&gt;=Reeksen!B97,0,IF(Reeksen!AD97&gt;Reeksen!AE97,(Reeksen!B97-Reeksen!D97)*X97,0))</f>
        <v>0</v>
      </c>
      <c r="AC97" s="99">
        <f t="shared" ca="1" si="15"/>
        <v>0</v>
      </c>
      <c r="AD97" s="98">
        <f ca="1">IF('Invoer gegevens'!$C$17=E97,R97,IF(C97=0,0,AE96))</f>
        <v>0</v>
      </c>
      <c r="AE97" s="98">
        <f t="shared" ca="1" si="16"/>
        <v>0</v>
      </c>
      <c r="AF97" s="98">
        <f ca="1">IF('Invoer gegevens'!$C$17=E97,X97,IF(C97=0,0,AG96))</f>
        <v>0</v>
      </c>
      <c r="AG97" s="98">
        <f t="shared" ca="1" si="17"/>
        <v>0</v>
      </c>
      <c r="AH97" s="66"/>
      <c r="AI97" s="71">
        <f ca="1">IF(C97=1,Reeksen!AI97*((F97-G97+F97)/2)*12+Reeksen!AD97*((L97-M97+L97)/2)*12,0)</f>
        <v>0</v>
      </c>
      <c r="AJ97" s="71">
        <f ca="1">-AI97*'Invoer gegevens'!$F$28</f>
        <v>0</v>
      </c>
      <c r="AK97" s="71">
        <f t="shared" ca="1" si="18"/>
        <v>0</v>
      </c>
      <c r="AL97" s="71">
        <f ca="1">IF(C97=1,Reeksen!AL97*((F97-G97+F97)/2)*12+Reeksen!AM97*((L97-M97+L97)/2)*12,0)</f>
        <v>0</v>
      </c>
      <c r="AM97" s="71">
        <f ca="1">-AL97*'Invoer gegevens'!$F$31</f>
        <v>0</v>
      </c>
      <c r="AN97" s="71">
        <f t="shared" ca="1" si="19"/>
        <v>0</v>
      </c>
      <c r="AO97" s="71">
        <f ca="1">IF(C97=1,(H97+J97+N97+P97)*Reeksen!AN97,0)</f>
        <v>0</v>
      </c>
      <c r="AP97" s="71">
        <f ca="1">-IF(C97=1,(H97+J97+N97+P97)*'Hulp - basis'!$G$550*Reeksen!H97,0)</f>
        <v>0</v>
      </c>
      <c r="AQ97" s="71">
        <f ca="1">-IF(C97=1,(F97+K97+L97+Q97)/2*'Invoer gegevens'!$F$35*Reeksen!J97,0)*2</f>
        <v>0</v>
      </c>
      <c r="AR97" s="71"/>
      <c r="AS97" s="71">
        <f ca="1">-IF(C97=1,(F97+K97+L97+Q97)/2*'Invoer gegevens'!$F$37*Reeksen!L97,0)</f>
        <v>0</v>
      </c>
      <c r="AT97" s="71">
        <f ca="1">-IF(C97=1,IF(E97='Invoer gegevens'!$C$17,'Invoer gegevens'!$C$11,AD97)*Reeksen!S97*'Invoer gegevens'!$C$18*Reeksen!P97,0)</f>
        <v>0</v>
      </c>
      <c r="AU97" s="71">
        <f ca="1">-IF(C97=1,(F97+K97+L97+Q97)/2*'Invoer gegevens'!$F$38*Reeksen!H97,0)</f>
        <v>0</v>
      </c>
      <c r="AV97" s="71">
        <f t="shared" si="23"/>
        <v>0</v>
      </c>
      <c r="AW97" s="71">
        <f t="shared" ca="1" si="20"/>
        <v>0</v>
      </c>
      <c r="AX97" s="71">
        <f ca="1">IF(E97&lt;'Invoer gegevens'!$C$17+15,0,IF(E97&gt;'Invoer gegevens'!$C$17+215,0,AW97))</f>
        <v>0</v>
      </c>
      <c r="AY97" s="71">
        <f ca="1">AX97/(1+'Invoer gegevens'!$F$18)^($AZ97-('Invoer gegevens'!$C$17-'Invoer gegevens'!$C$16))/(1+'Invoer gegevens'!$C$39)^('Invoer gegevens'!$C$17-'Invoer gegevens'!$C$16)</f>
        <v>0</v>
      </c>
      <c r="AZ97" s="68">
        <f ca="1">IF(E97-'Invoer gegevens'!$C$17-14.5&lt;0,0,E97-'Invoer gegevens'!$C$17-14.5)</f>
        <v>77.5</v>
      </c>
    </row>
    <row r="98" spans="1:52" x14ac:dyDescent="0.25">
      <c r="A98" s="59"/>
      <c r="B98" s="70">
        <f t="shared" si="21"/>
        <v>94</v>
      </c>
      <c r="C98" s="67">
        <f ca="1">IF(E98-'Invoer gegevens'!$C$17&lt;0,0,1)</f>
        <v>1</v>
      </c>
      <c r="D98" s="68">
        <f t="shared" si="22"/>
        <v>93.5</v>
      </c>
      <c r="E98" s="69">
        <f ca="1">IF('Invoer gegevens'!$C$16="","",E97+1)</f>
        <v>2112</v>
      </c>
      <c r="F98" s="84">
        <f ca="1">IF('Invoer gegevens'!$C$17=E98,'Invoer gegevens'!$C$10,IF(C98=1,K97,0))</f>
        <v>0</v>
      </c>
      <c r="G98" s="96">
        <f ca="1">IF(C98&gt;=1,F98*VLOOKUP(E98,Reeksen!$A$5:$B$76,2),0)</f>
        <v>0</v>
      </c>
      <c r="H98" s="84">
        <f ca="1">(1-('Invoer gegevens'!$F$20/12))*F98*MIN(Reeksen!B98,Reeksen!D98)</f>
        <v>0</v>
      </c>
      <c r="I98" s="84">
        <f>IF(Reeksen!D98&lt;Reeksen!B98,(Reeksen!B98-Reeksen!D98)*F98,0)</f>
        <v>0</v>
      </c>
      <c r="J98" s="84">
        <f ca="1">('Invoer gegevens'!$F$20/12)*F97*MIN(Reeksen!B97,Reeksen!D97)</f>
        <v>0</v>
      </c>
      <c r="K98" s="97">
        <f t="shared" ca="1" si="12"/>
        <v>0</v>
      </c>
      <c r="L98" s="84">
        <f ca="1">IF('Invoer gegevens'!$C$17=E98,0,IF(C98=1,Q97,0))</f>
        <v>0</v>
      </c>
      <c r="M98" s="96">
        <f ca="1">IF(C98&gt;=1,L98*VLOOKUP(E98,Reeksen!$A$5:$B$76,2),0)</f>
        <v>0</v>
      </c>
      <c r="N98" s="84">
        <f ca="1">(1-('Invoer gegevens'!$F$20/12))*L98*MIN(Reeksen!B98,Reeksen!D98)</f>
        <v>0</v>
      </c>
      <c r="O98" s="84">
        <f>IF(Reeksen!D98&lt;Reeksen!B98,(Reeksen!B98-Reeksen!D98)*L98,0)</f>
        <v>0</v>
      </c>
      <c r="P98" s="84">
        <f ca="1">('Invoer gegevens'!$F$20/12)*L97*MIN(Reeksen!B97,Reeksen!D97)</f>
        <v>0</v>
      </c>
      <c r="Q98" s="84">
        <f t="shared" ca="1" si="13"/>
        <v>0</v>
      </c>
      <c r="R98" s="82">
        <f ca="1">IF('Invoer gegevens'!$C$17=E98,'Invoer gegevens'!$C$11,IF(C98=1,W97,0))</f>
        <v>0</v>
      </c>
      <c r="S98" s="86">
        <f ca="1">IF(C98&gt;=1,R98*VLOOKUP(E98,Reeksen!$A$5:$B$76,2),0)</f>
        <v>0</v>
      </c>
      <c r="T98" s="84">
        <f ca="1">(1-('Invoer gegevens'!$F$20/12))*R98*MIN(Reeksen!B98,Reeksen!D98)</f>
        <v>0</v>
      </c>
      <c r="U98" s="84">
        <f>IF(Reeksen!D98&gt;=Reeksen!B98,0,IF(Reeksen!AD98&lt;=Reeksen!AE98,(Reeksen!B98-Reeksen!D98)*R98,0))</f>
        <v>0</v>
      </c>
      <c r="V98" s="86">
        <f>IF(Reeksen!D98&gt;=Reeksen!B98,0,IF(Reeksen!AD98&gt;Reeksen!AE98,(Reeksen!B98-Reeksen!D98)*R98,0))</f>
        <v>0</v>
      </c>
      <c r="W98" s="97">
        <f t="shared" ca="1" si="14"/>
        <v>0</v>
      </c>
      <c r="X98" s="98">
        <f ca="1">IF('Invoer gegevens'!$C$17=E98,'Invoer gegevens'!$C$10-'Invoer gegevens'!$C$11,IF(C98=1,AC97,0))</f>
        <v>0</v>
      </c>
      <c r="Y98" s="98">
        <f ca="1">IF(C98&gt;=1,X98*VLOOKUP(E98,Reeksen!$A$5:$B$76,2),0)</f>
        <v>0</v>
      </c>
      <c r="Z98" s="98">
        <f ca="1">(1-('Invoer gegevens'!$F$20/12))*X98*MIN(Reeksen!B98,Reeksen!D98)</f>
        <v>0</v>
      </c>
      <c r="AA98" s="98">
        <f>IF(Reeksen!D98&gt;=Reeksen!B98,0,IF(Reeksen!AD98&lt;=Reeksen!AE98,(Reeksen!B98-Reeksen!D98)*X98,0))</f>
        <v>0</v>
      </c>
      <c r="AB98" s="98">
        <f>IF(Reeksen!D98&gt;=Reeksen!B98,0,IF(Reeksen!AD98&gt;Reeksen!AE98,(Reeksen!B98-Reeksen!D98)*X98,0))</f>
        <v>0</v>
      </c>
      <c r="AC98" s="99">
        <f t="shared" ca="1" si="15"/>
        <v>0</v>
      </c>
      <c r="AD98" s="98">
        <f ca="1">IF('Invoer gegevens'!$C$17=E98,R98,IF(C98=0,0,AE97))</f>
        <v>0</v>
      </c>
      <c r="AE98" s="98">
        <f t="shared" ca="1" si="16"/>
        <v>0</v>
      </c>
      <c r="AF98" s="98">
        <f ca="1">IF('Invoer gegevens'!$C$17=E98,X98,IF(C98=0,0,AG97))</f>
        <v>0</v>
      </c>
      <c r="AG98" s="98">
        <f t="shared" ca="1" si="17"/>
        <v>0</v>
      </c>
      <c r="AH98" s="66"/>
      <c r="AI98" s="71">
        <f ca="1">IF(C98=1,Reeksen!AI98*((F98-G98+F98)/2)*12+Reeksen!AD98*((L98-M98+L98)/2)*12,0)</f>
        <v>0</v>
      </c>
      <c r="AJ98" s="71">
        <f ca="1">-AI98*'Invoer gegevens'!$F$28</f>
        <v>0</v>
      </c>
      <c r="AK98" s="71">
        <f t="shared" ca="1" si="18"/>
        <v>0</v>
      </c>
      <c r="AL98" s="71">
        <f ca="1">IF(C98=1,Reeksen!AL98*((F98-G98+F98)/2)*12+Reeksen!AM98*((L98-M98+L98)/2)*12,0)</f>
        <v>0</v>
      </c>
      <c r="AM98" s="71">
        <f ca="1">-AL98*'Invoer gegevens'!$F$31</f>
        <v>0</v>
      </c>
      <c r="AN98" s="71">
        <f t="shared" ca="1" si="19"/>
        <v>0</v>
      </c>
      <c r="AO98" s="71">
        <f ca="1">IF(C98=1,(H98+J98+N98+P98)*Reeksen!AN98,0)</f>
        <v>0</v>
      </c>
      <c r="AP98" s="71">
        <f ca="1">-IF(C98=1,(H98+J98+N98+P98)*'Hulp - basis'!$G$550*Reeksen!H98,0)</f>
        <v>0</v>
      </c>
      <c r="AQ98" s="71">
        <f ca="1">-IF(C98=1,(F98+K98+L98+Q98)/2*'Invoer gegevens'!$F$35*Reeksen!J98,0)*2</f>
        <v>0</v>
      </c>
      <c r="AR98" s="71"/>
      <c r="AS98" s="71">
        <f ca="1">-IF(C98=1,(F98+K98+L98+Q98)/2*'Invoer gegevens'!$F$37*Reeksen!L98,0)</f>
        <v>0</v>
      </c>
      <c r="AT98" s="71">
        <f ca="1">-IF(C98=1,IF(E98='Invoer gegevens'!$C$17,'Invoer gegevens'!$C$11,AD98)*Reeksen!S98*'Invoer gegevens'!$C$18*Reeksen!P98,0)</f>
        <v>0</v>
      </c>
      <c r="AU98" s="71">
        <f ca="1">-IF(C98=1,(F98+K98+L98+Q98)/2*'Invoer gegevens'!$F$38*Reeksen!H98,0)</f>
        <v>0</v>
      </c>
      <c r="AV98" s="71">
        <f t="shared" si="23"/>
        <v>0</v>
      </c>
      <c r="AW98" s="71">
        <f t="shared" ca="1" si="20"/>
        <v>0</v>
      </c>
      <c r="AX98" s="71">
        <f ca="1">IF(E98&lt;'Invoer gegevens'!$C$17+15,0,IF(E98&gt;'Invoer gegevens'!$C$17+215,0,AW98))</f>
        <v>0</v>
      </c>
      <c r="AY98" s="71">
        <f ca="1">AX98/(1+'Invoer gegevens'!$F$18)^($AZ98-('Invoer gegevens'!$C$17-'Invoer gegevens'!$C$16))/(1+'Invoer gegevens'!$C$39)^('Invoer gegevens'!$C$17-'Invoer gegevens'!$C$16)</f>
        <v>0</v>
      </c>
      <c r="AZ98" s="68">
        <f ca="1">IF(E98-'Invoer gegevens'!$C$17-14.5&lt;0,0,E98-'Invoer gegevens'!$C$17-14.5)</f>
        <v>78.5</v>
      </c>
    </row>
    <row r="99" spans="1:52" x14ac:dyDescent="0.25">
      <c r="A99" s="59"/>
      <c r="B99" s="70">
        <f t="shared" si="21"/>
        <v>95</v>
      </c>
      <c r="C99" s="67">
        <f ca="1">IF(E99-'Invoer gegevens'!$C$17&lt;0,0,1)</f>
        <v>1</v>
      </c>
      <c r="D99" s="68">
        <f t="shared" si="22"/>
        <v>94.5</v>
      </c>
      <c r="E99" s="69">
        <f ca="1">IF('Invoer gegevens'!$C$16="","",E98+1)</f>
        <v>2113</v>
      </c>
      <c r="F99" s="84">
        <f ca="1">IF('Invoer gegevens'!$C$17=E99,'Invoer gegevens'!$C$10,IF(C99=1,K98,0))</f>
        <v>0</v>
      </c>
      <c r="G99" s="96">
        <f ca="1">IF(C99&gt;=1,F99*VLOOKUP(E99,Reeksen!$A$5:$B$76,2),0)</f>
        <v>0</v>
      </c>
      <c r="H99" s="84">
        <f ca="1">(1-('Invoer gegevens'!$F$20/12))*F99*MIN(Reeksen!B99,Reeksen!D99)</f>
        <v>0</v>
      </c>
      <c r="I99" s="84">
        <f>IF(Reeksen!D99&lt;Reeksen!B99,(Reeksen!B99-Reeksen!D99)*F99,0)</f>
        <v>0</v>
      </c>
      <c r="J99" s="84">
        <f ca="1">('Invoer gegevens'!$F$20/12)*F98*MIN(Reeksen!B98,Reeksen!D98)</f>
        <v>0</v>
      </c>
      <c r="K99" s="97">
        <f t="shared" ca="1" si="12"/>
        <v>0</v>
      </c>
      <c r="L99" s="84">
        <f ca="1">IF('Invoer gegevens'!$C$17=E99,0,IF(C99=1,Q98,0))</f>
        <v>0</v>
      </c>
      <c r="M99" s="96">
        <f ca="1">IF(C99&gt;=1,L99*VLOOKUP(E99,Reeksen!$A$5:$B$76,2),0)</f>
        <v>0</v>
      </c>
      <c r="N99" s="84">
        <f ca="1">(1-('Invoer gegevens'!$F$20/12))*L99*MIN(Reeksen!B99,Reeksen!D99)</f>
        <v>0</v>
      </c>
      <c r="O99" s="84">
        <f>IF(Reeksen!D99&lt;Reeksen!B99,(Reeksen!B99-Reeksen!D99)*L99,0)</f>
        <v>0</v>
      </c>
      <c r="P99" s="84">
        <f ca="1">('Invoer gegevens'!$F$20/12)*L98*MIN(Reeksen!B98,Reeksen!D98)</f>
        <v>0</v>
      </c>
      <c r="Q99" s="84">
        <f t="shared" ca="1" si="13"/>
        <v>0</v>
      </c>
      <c r="R99" s="82">
        <f ca="1">IF('Invoer gegevens'!$C$17=E99,'Invoer gegevens'!$C$11,IF(C99=1,W98,0))</f>
        <v>0</v>
      </c>
      <c r="S99" s="86">
        <f ca="1">IF(C99&gt;=1,R99*VLOOKUP(E99,Reeksen!$A$5:$B$76,2),0)</f>
        <v>0</v>
      </c>
      <c r="T99" s="84">
        <f ca="1">(1-('Invoer gegevens'!$F$20/12))*R99*MIN(Reeksen!B99,Reeksen!D99)</f>
        <v>0</v>
      </c>
      <c r="U99" s="84">
        <f>IF(Reeksen!D99&gt;=Reeksen!B99,0,IF(Reeksen!AD99&lt;=Reeksen!AE99,(Reeksen!B99-Reeksen!D99)*R99,0))</f>
        <v>0</v>
      </c>
      <c r="V99" s="86">
        <f>IF(Reeksen!D99&gt;=Reeksen!B99,0,IF(Reeksen!AD99&gt;Reeksen!AE99,(Reeksen!B99-Reeksen!D99)*R99,0))</f>
        <v>0</v>
      </c>
      <c r="W99" s="97">
        <f t="shared" ca="1" si="14"/>
        <v>0</v>
      </c>
      <c r="X99" s="98">
        <f ca="1">IF('Invoer gegevens'!$C$17=E99,'Invoer gegevens'!$C$10-'Invoer gegevens'!$C$11,IF(C99=1,AC98,0))</f>
        <v>0</v>
      </c>
      <c r="Y99" s="98">
        <f ca="1">IF(C99&gt;=1,X99*VLOOKUP(E99,Reeksen!$A$5:$B$76,2),0)</f>
        <v>0</v>
      </c>
      <c r="Z99" s="98">
        <f ca="1">(1-('Invoer gegevens'!$F$20/12))*X99*MIN(Reeksen!B99,Reeksen!D99)</f>
        <v>0</v>
      </c>
      <c r="AA99" s="98">
        <f>IF(Reeksen!D99&gt;=Reeksen!B99,0,IF(Reeksen!AD99&lt;=Reeksen!AE99,(Reeksen!B99-Reeksen!D99)*X99,0))</f>
        <v>0</v>
      </c>
      <c r="AB99" s="98">
        <f>IF(Reeksen!D99&gt;=Reeksen!B99,0,IF(Reeksen!AD99&gt;Reeksen!AE99,(Reeksen!B99-Reeksen!D99)*X99,0))</f>
        <v>0</v>
      </c>
      <c r="AC99" s="99">
        <f t="shared" ca="1" si="15"/>
        <v>0</v>
      </c>
      <c r="AD99" s="98">
        <f ca="1">IF('Invoer gegevens'!$C$17=E99,R99,IF(C99=0,0,AE98))</f>
        <v>0</v>
      </c>
      <c r="AE99" s="98">
        <f t="shared" ca="1" si="16"/>
        <v>0</v>
      </c>
      <c r="AF99" s="98">
        <f ca="1">IF('Invoer gegevens'!$C$17=E99,X99,IF(C99=0,0,AG98))</f>
        <v>0</v>
      </c>
      <c r="AG99" s="98">
        <f t="shared" ca="1" si="17"/>
        <v>0</v>
      </c>
      <c r="AH99" s="66"/>
      <c r="AI99" s="71">
        <f ca="1">IF(C99=1,Reeksen!AI99*((F99-G99+F99)/2)*12+Reeksen!AD99*((L99-M99+L99)/2)*12,0)</f>
        <v>0</v>
      </c>
      <c r="AJ99" s="71">
        <f ca="1">-AI99*'Invoer gegevens'!$F$28</f>
        <v>0</v>
      </c>
      <c r="AK99" s="71">
        <f t="shared" ca="1" si="18"/>
        <v>0</v>
      </c>
      <c r="AL99" s="71">
        <f ca="1">IF(C99=1,Reeksen!AL99*((F99-G99+F99)/2)*12+Reeksen!AM99*((L99-M99+L99)/2)*12,0)</f>
        <v>0</v>
      </c>
      <c r="AM99" s="71">
        <f ca="1">-AL99*'Invoer gegevens'!$F$31</f>
        <v>0</v>
      </c>
      <c r="AN99" s="71">
        <f t="shared" ca="1" si="19"/>
        <v>0</v>
      </c>
      <c r="AO99" s="71">
        <f ca="1">IF(C99=1,(H99+J99+N99+P99)*Reeksen!AN99,0)</f>
        <v>0</v>
      </c>
      <c r="AP99" s="71">
        <f ca="1">-IF(C99=1,(H99+J99+N99+P99)*'Hulp - basis'!$G$550*Reeksen!H99,0)</f>
        <v>0</v>
      </c>
      <c r="AQ99" s="71">
        <f ca="1">-IF(C99=1,(F99+K99+L99+Q99)/2*'Invoer gegevens'!$F$35*Reeksen!J99,0)*2</f>
        <v>0</v>
      </c>
      <c r="AR99" s="71"/>
      <c r="AS99" s="71">
        <f ca="1">-IF(C99=1,(F99+K99+L99+Q99)/2*'Invoer gegevens'!$F$37*Reeksen!L99,0)</f>
        <v>0</v>
      </c>
      <c r="AT99" s="71">
        <f ca="1">-IF(C99=1,IF(E99='Invoer gegevens'!$C$17,'Invoer gegevens'!$C$11,AD99)*Reeksen!S99*'Invoer gegevens'!$C$18*Reeksen!P99,0)</f>
        <v>0</v>
      </c>
      <c r="AU99" s="71">
        <f ca="1">-IF(C99=1,(F99+K99+L99+Q99)/2*'Invoer gegevens'!$F$38*Reeksen!H99,0)</f>
        <v>0</v>
      </c>
      <c r="AV99" s="71">
        <f t="shared" si="23"/>
        <v>0</v>
      </c>
      <c r="AW99" s="71">
        <f t="shared" ca="1" si="20"/>
        <v>0</v>
      </c>
      <c r="AX99" s="71">
        <f ca="1">IF(E99&lt;'Invoer gegevens'!$C$17+15,0,IF(E99&gt;'Invoer gegevens'!$C$17+215,0,AW99))</f>
        <v>0</v>
      </c>
      <c r="AY99" s="71">
        <f ca="1">AX99/(1+'Invoer gegevens'!$F$18)^($AZ99-('Invoer gegevens'!$C$17-'Invoer gegevens'!$C$16))/(1+'Invoer gegevens'!$C$39)^('Invoer gegevens'!$C$17-'Invoer gegevens'!$C$16)</f>
        <v>0</v>
      </c>
      <c r="AZ99" s="68">
        <f ca="1">IF(E99-'Invoer gegevens'!$C$17-14.5&lt;0,0,E99-'Invoer gegevens'!$C$17-14.5)</f>
        <v>79.5</v>
      </c>
    </row>
    <row r="100" spans="1:52" x14ac:dyDescent="0.25">
      <c r="A100" s="59"/>
      <c r="B100" s="70">
        <f t="shared" si="21"/>
        <v>96</v>
      </c>
      <c r="C100" s="67">
        <f ca="1">IF(E100-'Invoer gegevens'!$C$17&lt;0,0,1)</f>
        <v>1</v>
      </c>
      <c r="D100" s="68">
        <f t="shared" si="22"/>
        <v>95.5</v>
      </c>
      <c r="E100" s="69">
        <f ca="1">IF('Invoer gegevens'!$C$16="","",E99+1)</f>
        <v>2114</v>
      </c>
      <c r="F100" s="84">
        <f ca="1">IF('Invoer gegevens'!$C$17=E100,'Invoer gegevens'!$C$10,IF(C100=1,K99,0))</f>
        <v>0</v>
      </c>
      <c r="G100" s="96">
        <f ca="1">IF(C100&gt;=1,F100*VLOOKUP(E100,Reeksen!$A$5:$B$76,2),0)</f>
        <v>0</v>
      </c>
      <c r="H100" s="84">
        <f ca="1">(1-('Invoer gegevens'!$F$20/12))*F100*MIN(Reeksen!B100,Reeksen!D100)</f>
        <v>0</v>
      </c>
      <c r="I100" s="84">
        <f>IF(Reeksen!D100&lt;Reeksen!B100,(Reeksen!B100-Reeksen!D100)*F100,0)</f>
        <v>0</v>
      </c>
      <c r="J100" s="84">
        <f ca="1">('Invoer gegevens'!$F$20/12)*F99*MIN(Reeksen!B99,Reeksen!D99)</f>
        <v>0</v>
      </c>
      <c r="K100" s="97">
        <f t="shared" ca="1" si="12"/>
        <v>0</v>
      </c>
      <c r="L100" s="84">
        <f ca="1">IF('Invoer gegevens'!$C$17=E100,0,IF(C100=1,Q99,0))</f>
        <v>0</v>
      </c>
      <c r="M100" s="96">
        <f ca="1">IF(C100&gt;=1,L100*VLOOKUP(E100,Reeksen!$A$5:$B$76,2),0)</f>
        <v>0</v>
      </c>
      <c r="N100" s="84">
        <f ca="1">(1-('Invoer gegevens'!$F$20/12))*L100*MIN(Reeksen!B100,Reeksen!D100)</f>
        <v>0</v>
      </c>
      <c r="O100" s="84">
        <f>IF(Reeksen!D100&lt;Reeksen!B100,(Reeksen!B100-Reeksen!D100)*L100,0)</f>
        <v>0</v>
      </c>
      <c r="P100" s="84">
        <f ca="1">('Invoer gegevens'!$F$20/12)*L99*MIN(Reeksen!B99,Reeksen!D99)</f>
        <v>0</v>
      </c>
      <c r="Q100" s="84">
        <f t="shared" ca="1" si="13"/>
        <v>0</v>
      </c>
      <c r="R100" s="82">
        <f ca="1">IF('Invoer gegevens'!$C$17=E100,'Invoer gegevens'!$C$11,IF(C100=1,W99,0))</f>
        <v>0</v>
      </c>
      <c r="S100" s="86">
        <f ca="1">IF(C100&gt;=1,R100*VLOOKUP(E100,Reeksen!$A$5:$B$76,2),0)</f>
        <v>0</v>
      </c>
      <c r="T100" s="84">
        <f ca="1">(1-('Invoer gegevens'!$F$20/12))*R100*MIN(Reeksen!B100,Reeksen!D100)</f>
        <v>0</v>
      </c>
      <c r="U100" s="84">
        <f>IF(Reeksen!D100&gt;=Reeksen!B100,0,IF(Reeksen!AD100&lt;=Reeksen!AE100,(Reeksen!B100-Reeksen!D100)*R100,0))</f>
        <v>0</v>
      </c>
      <c r="V100" s="86">
        <f>IF(Reeksen!D100&gt;=Reeksen!B100,0,IF(Reeksen!AD100&gt;Reeksen!AE100,(Reeksen!B100-Reeksen!D100)*R100,0))</f>
        <v>0</v>
      </c>
      <c r="W100" s="97">
        <f t="shared" ca="1" si="14"/>
        <v>0</v>
      </c>
      <c r="X100" s="98">
        <f ca="1">IF('Invoer gegevens'!$C$17=E100,'Invoer gegevens'!$C$10-'Invoer gegevens'!$C$11,IF(C100=1,AC99,0))</f>
        <v>0</v>
      </c>
      <c r="Y100" s="98">
        <f ca="1">IF(C100&gt;=1,X100*VLOOKUP(E100,Reeksen!$A$5:$B$76,2),0)</f>
        <v>0</v>
      </c>
      <c r="Z100" s="98">
        <f ca="1">(1-('Invoer gegevens'!$F$20/12))*X100*MIN(Reeksen!B100,Reeksen!D100)</f>
        <v>0</v>
      </c>
      <c r="AA100" s="98">
        <f>IF(Reeksen!D100&gt;=Reeksen!B100,0,IF(Reeksen!AD100&lt;=Reeksen!AE100,(Reeksen!B100-Reeksen!D100)*X100,0))</f>
        <v>0</v>
      </c>
      <c r="AB100" s="98">
        <f>IF(Reeksen!D100&gt;=Reeksen!B100,0,IF(Reeksen!AD100&gt;Reeksen!AE100,(Reeksen!B100-Reeksen!D100)*X100,0))</f>
        <v>0</v>
      </c>
      <c r="AC100" s="99">
        <f t="shared" ca="1" si="15"/>
        <v>0</v>
      </c>
      <c r="AD100" s="98">
        <f ca="1">IF('Invoer gegevens'!$C$17=E100,R100,IF(C100=0,0,AE99))</f>
        <v>0</v>
      </c>
      <c r="AE100" s="98">
        <f t="shared" ca="1" si="16"/>
        <v>0</v>
      </c>
      <c r="AF100" s="98">
        <f ca="1">IF('Invoer gegevens'!$C$17=E100,X100,IF(C100=0,0,AG99))</f>
        <v>0</v>
      </c>
      <c r="AG100" s="98">
        <f t="shared" ca="1" si="17"/>
        <v>0</v>
      </c>
      <c r="AH100" s="66"/>
      <c r="AI100" s="71">
        <f ca="1">IF(C100=1,Reeksen!AI100*((F100-G100+F100)/2)*12+Reeksen!AD100*((L100-M100+L100)/2)*12,0)</f>
        <v>0</v>
      </c>
      <c r="AJ100" s="71">
        <f ca="1">-AI100*'Invoer gegevens'!$F$28</f>
        <v>0</v>
      </c>
      <c r="AK100" s="71">
        <f t="shared" ca="1" si="18"/>
        <v>0</v>
      </c>
      <c r="AL100" s="71">
        <f ca="1">IF(C100=1,Reeksen!AL100*((F100-G100+F100)/2)*12+Reeksen!AM100*((L100-M100+L100)/2)*12,0)</f>
        <v>0</v>
      </c>
      <c r="AM100" s="71">
        <f ca="1">-AL100*'Invoer gegevens'!$F$31</f>
        <v>0</v>
      </c>
      <c r="AN100" s="71">
        <f t="shared" ca="1" si="19"/>
        <v>0</v>
      </c>
      <c r="AO100" s="71">
        <f ca="1">IF(C100=1,(H100+J100+N100+P100)*Reeksen!AN100,0)</f>
        <v>0</v>
      </c>
      <c r="AP100" s="71">
        <f ca="1">-IF(C100=1,(H100+J100+N100+P100)*'Hulp - basis'!$G$550*Reeksen!H100,0)</f>
        <v>0</v>
      </c>
      <c r="AQ100" s="71">
        <f ca="1">-IF(C100=1,(F100+K100+L100+Q100)/2*'Invoer gegevens'!$F$35*Reeksen!J100,0)*2</f>
        <v>0</v>
      </c>
      <c r="AR100" s="71"/>
      <c r="AS100" s="71">
        <f ca="1">-IF(C100=1,(F100+K100+L100+Q100)/2*'Invoer gegevens'!$F$37*Reeksen!L100,0)</f>
        <v>0</v>
      </c>
      <c r="AT100" s="71">
        <f ca="1">-IF(C100=1,IF(E100='Invoer gegevens'!$C$17,'Invoer gegevens'!$C$11,AD100)*Reeksen!S100*'Invoer gegevens'!$C$18*Reeksen!P100,0)</f>
        <v>0</v>
      </c>
      <c r="AU100" s="71">
        <f ca="1">-IF(C100=1,(F100+K100+L100+Q100)/2*'Invoer gegevens'!$F$38*Reeksen!H100,0)</f>
        <v>0</v>
      </c>
      <c r="AV100" s="71">
        <f t="shared" si="23"/>
        <v>0</v>
      </c>
      <c r="AW100" s="71">
        <f t="shared" ca="1" si="20"/>
        <v>0</v>
      </c>
      <c r="AX100" s="71">
        <f ca="1">IF(E100&lt;'Invoer gegevens'!$C$17+15,0,IF(E100&gt;'Invoer gegevens'!$C$17+215,0,AW100))</f>
        <v>0</v>
      </c>
      <c r="AY100" s="71">
        <f ca="1">AX100/(1+'Invoer gegevens'!$F$18)^($AZ100-('Invoer gegevens'!$C$17-'Invoer gegevens'!$C$16))/(1+'Invoer gegevens'!$C$39)^('Invoer gegevens'!$C$17-'Invoer gegevens'!$C$16)</f>
        <v>0</v>
      </c>
      <c r="AZ100" s="68">
        <f ca="1">IF(E100-'Invoer gegevens'!$C$17-14.5&lt;0,0,E100-'Invoer gegevens'!$C$17-14.5)</f>
        <v>80.5</v>
      </c>
    </row>
    <row r="101" spans="1:52" x14ac:dyDescent="0.25">
      <c r="A101" s="59"/>
      <c r="B101" s="70">
        <f t="shared" si="21"/>
        <v>97</v>
      </c>
      <c r="C101" s="67">
        <f ca="1">IF(E101-'Invoer gegevens'!$C$17&lt;0,0,1)</f>
        <v>1</v>
      </c>
      <c r="D101" s="68">
        <f t="shared" si="22"/>
        <v>96.5</v>
      </c>
      <c r="E101" s="69">
        <f ca="1">IF('Invoer gegevens'!$C$16="","",E100+1)</f>
        <v>2115</v>
      </c>
      <c r="F101" s="84">
        <f ca="1">IF('Invoer gegevens'!$C$17=E101,'Invoer gegevens'!$C$10,IF(C101=1,K100,0))</f>
        <v>0</v>
      </c>
      <c r="G101" s="96">
        <f ca="1">IF(C101&gt;=1,F101*VLOOKUP(E101,Reeksen!$A$5:$B$76,2),0)</f>
        <v>0</v>
      </c>
      <c r="H101" s="84">
        <f ca="1">(1-('Invoer gegevens'!$F$20/12))*F101*MIN(Reeksen!B101,Reeksen!D101)</f>
        <v>0</v>
      </c>
      <c r="I101" s="84">
        <f>IF(Reeksen!D101&lt;Reeksen!B101,(Reeksen!B101-Reeksen!D101)*F101,0)</f>
        <v>0</v>
      </c>
      <c r="J101" s="84">
        <f ca="1">('Invoer gegevens'!$F$20/12)*F100*MIN(Reeksen!B100,Reeksen!D100)</f>
        <v>0</v>
      </c>
      <c r="K101" s="97">
        <f t="shared" ca="1" si="12"/>
        <v>0</v>
      </c>
      <c r="L101" s="84">
        <f ca="1">IF('Invoer gegevens'!$C$17=E101,0,IF(C101=1,Q100,0))</f>
        <v>0</v>
      </c>
      <c r="M101" s="96">
        <f ca="1">IF(C101&gt;=1,L101*VLOOKUP(E101,Reeksen!$A$5:$B$76,2),0)</f>
        <v>0</v>
      </c>
      <c r="N101" s="84">
        <f ca="1">(1-('Invoer gegevens'!$F$20/12))*L101*MIN(Reeksen!B101,Reeksen!D101)</f>
        <v>0</v>
      </c>
      <c r="O101" s="84">
        <f>IF(Reeksen!D101&lt;Reeksen!B101,(Reeksen!B101-Reeksen!D101)*L101,0)</f>
        <v>0</v>
      </c>
      <c r="P101" s="84">
        <f ca="1">('Invoer gegevens'!$F$20/12)*L100*MIN(Reeksen!B100,Reeksen!D100)</f>
        <v>0</v>
      </c>
      <c r="Q101" s="84">
        <f t="shared" ca="1" si="13"/>
        <v>0</v>
      </c>
      <c r="R101" s="82">
        <f ca="1">IF('Invoer gegevens'!$C$17=E101,'Invoer gegevens'!$C$11,IF(C101=1,W100,0))</f>
        <v>0</v>
      </c>
      <c r="S101" s="86">
        <f ca="1">IF(C101&gt;=1,R101*VLOOKUP(E101,Reeksen!$A$5:$B$76,2),0)</f>
        <v>0</v>
      </c>
      <c r="T101" s="84">
        <f ca="1">(1-('Invoer gegevens'!$F$20/12))*R101*MIN(Reeksen!B101,Reeksen!D101)</f>
        <v>0</v>
      </c>
      <c r="U101" s="84">
        <f>IF(Reeksen!D101&gt;=Reeksen!B101,0,IF(Reeksen!AD101&lt;=Reeksen!AE101,(Reeksen!B101-Reeksen!D101)*R101,0))</f>
        <v>0</v>
      </c>
      <c r="V101" s="86">
        <f>IF(Reeksen!D101&gt;=Reeksen!B101,0,IF(Reeksen!AD101&gt;Reeksen!AE101,(Reeksen!B101-Reeksen!D101)*R101,0))</f>
        <v>0</v>
      </c>
      <c r="W101" s="97">
        <f t="shared" ca="1" si="14"/>
        <v>0</v>
      </c>
      <c r="X101" s="98">
        <f ca="1">IF('Invoer gegevens'!$C$17=E101,'Invoer gegevens'!$C$10-'Invoer gegevens'!$C$11,IF(C101=1,AC100,0))</f>
        <v>0</v>
      </c>
      <c r="Y101" s="98">
        <f ca="1">IF(C101&gt;=1,X101*VLOOKUP(E101,Reeksen!$A$5:$B$76,2),0)</f>
        <v>0</v>
      </c>
      <c r="Z101" s="98">
        <f ca="1">(1-('Invoer gegevens'!$F$20/12))*X101*MIN(Reeksen!B101,Reeksen!D101)</f>
        <v>0</v>
      </c>
      <c r="AA101" s="98">
        <f>IF(Reeksen!D101&gt;=Reeksen!B101,0,IF(Reeksen!AD101&lt;=Reeksen!AE101,(Reeksen!B101-Reeksen!D101)*X101,0))</f>
        <v>0</v>
      </c>
      <c r="AB101" s="98">
        <f>IF(Reeksen!D101&gt;=Reeksen!B101,0,IF(Reeksen!AD101&gt;Reeksen!AE101,(Reeksen!B101-Reeksen!D101)*X101,0))</f>
        <v>0</v>
      </c>
      <c r="AC101" s="99">
        <f t="shared" ca="1" si="15"/>
        <v>0</v>
      </c>
      <c r="AD101" s="98">
        <f ca="1">IF('Invoer gegevens'!$C$17=E101,R101,IF(C101=0,0,AE100))</f>
        <v>0</v>
      </c>
      <c r="AE101" s="98">
        <f t="shared" ca="1" si="16"/>
        <v>0</v>
      </c>
      <c r="AF101" s="98">
        <f ca="1">IF('Invoer gegevens'!$C$17=E101,X101,IF(C101=0,0,AG100))</f>
        <v>0</v>
      </c>
      <c r="AG101" s="98">
        <f t="shared" ca="1" si="17"/>
        <v>0</v>
      </c>
      <c r="AH101" s="66"/>
      <c r="AI101" s="71">
        <f ca="1">IF(C101=1,Reeksen!AI101*((F101-G101+F101)/2)*12+Reeksen!AD101*((L101-M101+L101)/2)*12,0)</f>
        <v>0</v>
      </c>
      <c r="AJ101" s="71">
        <f ca="1">-AI101*'Invoer gegevens'!$F$28</f>
        <v>0</v>
      </c>
      <c r="AK101" s="71">
        <f t="shared" ca="1" si="18"/>
        <v>0</v>
      </c>
      <c r="AL101" s="71">
        <f ca="1">IF(C101=1,Reeksen!AL101*((F101-G101+F101)/2)*12+Reeksen!AM101*((L101-M101+L101)/2)*12,0)</f>
        <v>0</v>
      </c>
      <c r="AM101" s="71">
        <f ca="1">-AL101*'Invoer gegevens'!$F$31</f>
        <v>0</v>
      </c>
      <c r="AN101" s="71">
        <f t="shared" ca="1" si="19"/>
        <v>0</v>
      </c>
      <c r="AO101" s="71">
        <f ca="1">IF(C101=1,(H101+J101+N101+P101)*Reeksen!AN101,0)</f>
        <v>0</v>
      </c>
      <c r="AP101" s="71">
        <f ca="1">-IF(C101=1,(H101+J101+N101+P101)*'Hulp - basis'!$G$550*Reeksen!H101,0)</f>
        <v>0</v>
      </c>
      <c r="AQ101" s="71">
        <f ca="1">-IF(C101=1,(F101+K101+L101+Q101)/2*'Invoer gegevens'!$F$35*Reeksen!J101,0)*2</f>
        <v>0</v>
      </c>
      <c r="AR101" s="71"/>
      <c r="AS101" s="71">
        <f ca="1">-IF(C101=1,(F101+K101+L101+Q101)/2*'Invoer gegevens'!$F$37*Reeksen!L101,0)</f>
        <v>0</v>
      </c>
      <c r="AT101" s="71">
        <f ca="1">-IF(C101=1,IF(E101='Invoer gegevens'!$C$17,'Invoer gegevens'!$C$11,AD101)*Reeksen!S101*'Invoer gegevens'!$C$18*Reeksen!P101,0)</f>
        <v>0</v>
      </c>
      <c r="AU101" s="71">
        <f ca="1">-IF(C101=1,(F101+K101+L101+Q101)/2*'Invoer gegevens'!$F$38*Reeksen!H101,0)</f>
        <v>0</v>
      </c>
      <c r="AV101" s="71">
        <f t="shared" si="23"/>
        <v>0</v>
      </c>
      <c r="AW101" s="71">
        <f t="shared" ca="1" si="20"/>
        <v>0</v>
      </c>
      <c r="AX101" s="71">
        <f ca="1">IF(E101&lt;'Invoer gegevens'!$C$17+15,0,IF(E101&gt;'Invoer gegevens'!$C$17+215,0,AW101))</f>
        <v>0</v>
      </c>
      <c r="AY101" s="71">
        <f ca="1">AX101/(1+'Invoer gegevens'!$F$18)^($AZ101-('Invoer gegevens'!$C$17-'Invoer gegevens'!$C$16))/(1+'Invoer gegevens'!$C$39)^('Invoer gegevens'!$C$17-'Invoer gegevens'!$C$16)</f>
        <v>0</v>
      </c>
      <c r="AZ101" s="68">
        <f ca="1">IF(E101-'Invoer gegevens'!$C$17-14.5&lt;0,0,E101-'Invoer gegevens'!$C$17-14.5)</f>
        <v>81.5</v>
      </c>
    </row>
    <row r="102" spans="1:52" x14ac:dyDescent="0.25">
      <c r="A102" s="59"/>
      <c r="B102" s="70">
        <f t="shared" si="21"/>
        <v>98</v>
      </c>
      <c r="C102" s="67">
        <f ca="1">IF(E102-'Invoer gegevens'!$C$17&lt;0,0,1)</f>
        <v>1</v>
      </c>
      <c r="D102" s="68">
        <f t="shared" si="22"/>
        <v>97.5</v>
      </c>
      <c r="E102" s="69">
        <f ca="1">IF('Invoer gegevens'!$C$16="","",E101+1)</f>
        <v>2116</v>
      </c>
      <c r="F102" s="84">
        <f ca="1">IF('Invoer gegevens'!$C$17=E102,'Invoer gegevens'!$C$10,IF(C102=1,K101,0))</f>
        <v>0</v>
      </c>
      <c r="G102" s="96">
        <f ca="1">IF(C102&gt;=1,F102*VLOOKUP(E102,Reeksen!$A$5:$B$76,2),0)</f>
        <v>0</v>
      </c>
      <c r="H102" s="84">
        <f ca="1">(1-('Invoer gegevens'!$F$20/12))*F102*MIN(Reeksen!B102,Reeksen!D102)</f>
        <v>0</v>
      </c>
      <c r="I102" s="84">
        <f>IF(Reeksen!D102&lt;Reeksen!B102,(Reeksen!B102-Reeksen!D102)*F102,0)</f>
        <v>0</v>
      </c>
      <c r="J102" s="84">
        <f ca="1">('Invoer gegevens'!$F$20/12)*F101*MIN(Reeksen!B101,Reeksen!D101)</f>
        <v>0</v>
      </c>
      <c r="K102" s="97">
        <f t="shared" ca="1" si="12"/>
        <v>0</v>
      </c>
      <c r="L102" s="84">
        <f ca="1">IF('Invoer gegevens'!$C$17=E102,0,IF(C102=1,Q101,0))</f>
        <v>0</v>
      </c>
      <c r="M102" s="96">
        <f ca="1">IF(C102&gt;=1,L102*VLOOKUP(E102,Reeksen!$A$5:$B$76,2),0)</f>
        <v>0</v>
      </c>
      <c r="N102" s="84">
        <f ca="1">(1-('Invoer gegevens'!$F$20/12))*L102*MIN(Reeksen!B102,Reeksen!D102)</f>
        <v>0</v>
      </c>
      <c r="O102" s="84">
        <f>IF(Reeksen!D102&lt;Reeksen!B102,(Reeksen!B102-Reeksen!D102)*L102,0)</f>
        <v>0</v>
      </c>
      <c r="P102" s="84">
        <f ca="1">('Invoer gegevens'!$F$20/12)*L101*MIN(Reeksen!B101,Reeksen!D101)</f>
        <v>0</v>
      </c>
      <c r="Q102" s="84">
        <f t="shared" ca="1" si="13"/>
        <v>0</v>
      </c>
      <c r="R102" s="82">
        <f ca="1">IF('Invoer gegevens'!$C$17=E102,'Invoer gegevens'!$C$11,IF(C102=1,W101,0))</f>
        <v>0</v>
      </c>
      <c r="S102" s="86">
        <f ca="1">IF(C102&gt;=1,R102*VLOOKUP(E102,Reeksen!$A$5:$B$76,2),0)</f>
        <v>0</v>
      </c>
      <c r="T102" s="84">
        <f ca="1">(1-('Invoer gegevens'!$F$20/12))*R102*MIN(Reeksen!B102,Reeksen!D102)</f>
        <v>0</v>
      </c>
      <c r="U102" s="84">
        <f>IF(Reeksen!D102&gt;=Reeksen!B102,0,IF(Reeksen!AD102&lt;=Reeksen!AE102,(Reeksen!B102-Reeksen!D102)*R102,0))</f>
        <v>0</v>
      </c>
      <c r="V102" s="86">
        <f>IF(Reeksen!D102&gt;=Reeksen!B102,0,IF(Reeksen!AD102&gt;Reeksen!AE102,(Reeksen!B102-Reeksen!D102)*R102,0))</f>
        <v>0</v>
      </c>
      <c r="W102" s="97">
        <f t="shared" ca="1" si="14"/>
        <v>0</v>
      </c>
      <c r="X102" s="98">
        <f ca="1">IF('Invoer gegevens'!$C$17=E102,'Invoer gegevens'!$C$10-'Invoer gegevens'!$C$11,IF(C102=1,AC101,0))</f>
        <v>0</v>
      </c>
      <c r="Y102" s="98">
        <f ca="1">IF(C102&gt;=1,X102*VLOOKUP(E102,Reeksen!$A$5:$B$76,2),0)</f>
        <v>0</v>
      </c>
      <c r="Z102" s="98">
        <f ca="1">(1-('Invoer gegevens'!$F$20/12))*X102*MIN(Reeksen!B102,Reeksen!D102)</f>
        <v>0</v>
      </c>
      <c r="AA102" s="98">
        <f>IF(Reeksen!D102&gt;=Reeksen!B102,0,IF(Reeksen!AD102&lt;=Reeksen!AE102,(Reeksen!B102-Reeksen!D102)*X102,0))</f>
        <v>0</v>
      </c>
      <c r="AB102" s="98">
        <f>IF(Reeksen!D102&gt;=Reeksen!B102,0,IF(Reeksen!AD102&gt;Reeksen!AE102,(Reeksen!B102-Reeksen!D102)*X102,0))</f>
        <v>0</v>
      </c>
      <c r="AC102" s="99">
        <f t="shared" ca="1" si="15"/>
        <v>0</v>
      </c>
      <c r="AD102" s="98">
        <f ca="1">IF('Invoer gegevens'!$C$17=E102,R102,IF(C102=0,0,AE101))</f>
        <v>0</v>
      </c>
      <c r="AE102" s="98">
        <f t="shared" ca="1" si="16"/>
        <v>0</v>
      </c>
      <c r="AF102" s="98">
        <f ca="1">IF('Invoer gegevens'!$C$17=E102,X102,IF(C102=0,0,AG101))</f>
        <v>0</v>
      </c>
      <c r="AG102" s="98">
        <f t="shared" ca="1" si="17"/>
        <v>0</v>
      </c>
      <c r="AH102" s="66"/>
      <c r="AI102" s="71">
        <f ca="1">IF(C102=1,Reeksen!AI102*((F102-G102+F102)/2)*12+Reeksen!AD102*((L102-M102+L102)/2)*12,0)</f>
        <v>0</v>
      </c>
      <c r="AJ102" s="71">
        <f ca="1">-AI102*'Invoer gegevens'!$F$28</f>
        <v>0</v>
      </c>
      <c r="AK102" s="71">
        <f t="shared" ca="1" si="18"/>
        <v>0</v>
      </c>
      <c r="AL102" s="71">
        <f ca="1">IF(C102=1,Reeksen!AL102*((F102-G102+F102)/2)*12+Reeksen!AM102*((L102-M102+L102)/2)*12,0)</f>
        <v>0</v>
      </c>
      <c r="AM102" s="71">
        <f ca="1">-AL102*'Invoer gegevens'!$F$31</f>
        <v>0</v>
      </c>
      <c r="AN102" s="71">
        <f t="shared" ca="1" si="19"/>
        <v>0</v>
      </c>
      <c r="AO102" s="71">
        <f ca="1">IF(C102=1,(H102+J102+N102+P102)*Reeksen!AN102,0)</f>
        <v>0</v>
      </c>
      <c r="AP102" s="71">
        <f ca="1">-IF(C102=1,(H102+J102+N102+P102)*'Hulp - basis'!$G$550*Reeksen!H102,0)</f>
        <v>0</v>
      </c>
      <c r="AQ102" s="71">
        <f ca="1">-IF(C102=1,(F102+K102+L102+Q102)/2*'Invoer gegevens'!$F$35*Reeksen!J102,0)*2</f>
        <v>0</v>
      </c>
      <c r="AR102" s="71"/>
      <c r="AS102" s="71">
        <f ca="1">-IF(C102=1,(F102+K102+L102+Q102)/2*'Invoer gegevens'!$F$37*Reeksen!L102,0)</f>
        <v>0</v>
      </c>
      <c r="AT102" s="71">
        <f ca="1">-IF(C102=1,IF(E102='Invoer gegevens'!$C$17,'Invoer gegevens'!$C$11,AD102)*Reeksen!S102*'Invoer gegevens'!$C$18*Reeksen!P102,0)</f>
        <v>0</v>
      </c>
      <c r="AU102" s="71">
        <f ca="1">-IF(C102=1,(F102+K102+L102+Q102)/2*'Invoer gegevens'!$F$38*Reeksen!H102,0)</f>
        <v>0</v>
      </c>
      <c r="AV102" s="71">
        <f t="shared" si="23"/>
        <v>0</v>
      </c>
      <c r="AW102" s="71">
        <f t="shared" ca="1" si="20"/>
        <v>0</v>
      </c>
      <c r="AX102" s="71">
        <f ca="1">IF(E102&lt;'Invoer gegevens'!$C$17+15,0,IF(E102&gt;'Invoer gegevens'!$C$17+215,0,AW102))</f>
        <v>0</v>
      </c>
      <c r="AY102" s="71">
        <f ca="1">AX102/(1+'Invoer gegevens'!$F$18)^($AZ102-('Invoer gegevens'!$C$17-'Invoer gegevens'!$C$16))/(1+'Invoer gegevens'!$C$39)^('Invoer gegevens'!$C$17-'Invoer gegevens'!$C$16)</f>
        <v>0</v>
      </c>
      <c r="AZ102" s="68">
        <f ca="1">IF(E102-'Invoer gegevens'!$C$17-14.5&lt;0,0,E102-'Invoer gegevens'!$C$17-14.5)</f>
        <v>82.5</v>
      </c>
    </row>
    <row r="103" spans="1:52" x14ac:dyDescent="0.25">
      <c r="A103" s="59"/>
      <c r="B103" s="70">
        <f t="shared" si="21"/>
        <v>99</v>
      </c>
      <c r="C103" s="67">
        <f ca="1">IF(E103-'Invoer gegevens'!$C$17&lt;0,0,1)</f>
        <v>1</v>
      </c>
      <c r="D103" s="68">
        <f t="shared" si="22"/>
        <v>98.5</v>
      </c>
      <c r="E103" s="69">
        <f ca="1">IF('Invoer gegevens'!$C$16="","",E102+1)</f>
        <v>2117</v>
      </c>
      <c r="F103" s="84">
        <f ca="1">IF('Invoer gegevens'!$C$17=E103,'Invoer gegevens'!$C$10,IF(C103=1,K102,0))</f>
        <v>0</v>
      </c>
      <c r="G103" s="96">
        <f ca="1">IF(C103&gt;=1,F103*VLOOKUP(E103,Reeksen!$A$5:$B$76,2),0)</f>
        <v>0</v>
      </c>
      <c r="H103" s="84">
        <f ca="1">(1-('Invoer gegevens'!$F$20/12))*F103*MIN(Reeksen!B103,Reeksen!D103)</f>
        <v>0</v>
      </c>
      <c r="I103" s="84">
        <f>IF(Reeksen!D103&lt;Reeksen!B103,(Reeksen!B103-Reeksen!D103)*F103,0)</f>
        <v>0</v>
      </c>
      <c r="J103" s="84">
        <f ca="1">('Invoer gegevens'!$F$20/12)*F102*MIN(Reeksen!B102,Reeksen!D102)</f>
        <v>0</v>
      </c>
      <c r="K103" s="97">
        <f t="shared" ca="1" si="12"/>
        <v>0</v>
      </c>
      <c r="L103" s="84">
        <f ca="1">IF('Invoer gegevens'!$C$17=E103,0,IF(C103=1,Q102,0))</f>
        <v>0</v>
      </c>
      <c r="M103" s="96">
        <f ca="1">IF(C103&gt;=1,L103*VLOOKUP(E103,Reeksen!$A$5:$B$76,2),0)</f>
        <v>0</v>
      </c>
      <c r="N103" s="84">
        <f ca="1">(1-('Invoer gegevens'!$F$20/12))*L103*MIN(Reeksen!B103,Reeksen!D103)</f>
        <v>0</v>
      </c>
      <c r="O103" s="84">
        <f>IF(Reeksen!D103&lt;Reeksen!B103,(Reeksen!B103-Reeksen!D103)*L103,0)</f>
        <v>0</v>
      </c>
      <c r="P103" s="84">
        <f ca="1">('Invoer gegevens'!$F$20/12)*L102*MIN(Reeksen!B102,Reeksen!D102)</f>
        <v>0</v>
      </c>
      <c r="Q103" s="84">
        <f t="shared" ca="1" si="13"/>
        <v>0</v>
      </c>
      <c r="R103" s="82">
        <f ca="1">IF('Invoer gegevens'!$C$17=E103,'Invoer gegevens'!$C$11,IF(C103=1,W102,0))</f>
        <v>0</v>
      </c>
      <c r="S103" s="86">
        <f ca="1">IF(C103&gt;=1,R103*VLOOKUP(E103,Reeksen!$A$5:$B$76,2),0)</f>
        <v>0</v>
      </c>
      <c r="T103" s="84">
        <f ca="1">(1-('Invoer gegevens'!$F$20/12))*R103*MIN(Reeksen!B103,Reeksen!D103)</f>
        <v>0</v>
      </c>
      <c r="U103" s="84">
        <f>IF(Reeksen!D103&gt;=Reeksen!B103,0,IF(Reeksen!AD103&lt;=Reeksen!AE103,(Reeksen!B103-Reeksen!D103)*R103,0))</f>
        <v>0</v>
      </c>
      <c r="V103" s="86">
        <f>IF(Reeksen!D103&gt;=Reeksen!B103,0,IF(Reeksen!AD103&gt;Reeksen!AE103,(Reeksen!B103-Reeksen!D103)*R103,0))</f>
        <v>0</v>
      </c>
      <c r="W103" s="97">
        <f t="shared" ca="1" si="14"/>
        <v>0</v>
      </c>
      <c r="X103" s="98">
        <f ca="1">IF('Invoer gegevens'!$C$17=E103,'Invoer gegevens'!$C$10-'Invoer gegevens'!$C$11,IF(C103=1,AC102,0))</f>
        <v>0</v>
      </c>
      <c r="Y103" s="98">
        <f ca="1">IF(C103&gt;=1,X103*VLOOKUP(E103,Reeksen!$A$5:$B$76,2),0)</f>
        <v>0</v>
      </c>
      <c r="Z103" s="98">
        <f ca="1">(1-('Invoer gegevens'!$F$20/12))*X103*MIN(Reeksen!B103,Reeksen!D103)</f>
        <v>0</v>
      </c>
      <c r="AA103" s="98">
        <f>IF(Reeksen!D103&gt;=Reeksen!B103,0,IF(Reeksen!AD103&lt;=Reeksen!AE103,(Reeksen!B103-Reeksen!D103)*X103,0))</f>
        <v>0</v>
      </c>
      <c r="AB103" s="98">
        <f>IF(Reeksen!D103&gt;=Reeksen!B103,0,IF(Reeksen!AD103&gt;Reeksen!AE103,(Reeksen!B103-Reeksen!D103)*X103,0))</f>
        <v>0</v>
      </c>
      <c r="AC103" s="99">
        <f t="shared" ca="1" si="15"/>
        <v>0</v>
      </c>
      <c r="AD103" s="98">
        <f ca="1">IF('Invoer gegevens'!$C$17=E103,R103,IF(C103=0,0,AE102))</f>
        <v>0</v>
      </c>
      <c r="AE103" s="98">
        <f t="shared" ca="1" si="16"/>
        <v>0</v>
      </c>
      <c r="AF103" s="98">
        <f ca="1">IF('Invoer gegevens'!$C$17=E103,X103,IF(C103=0,0,AG102))</f>
        <v>0</v>
      </c>
      <c r="AG103" s="98">
        <f t="shared" ca="1" si="17"/>
        <v>0</v>
      </c>
      <c r="AH103" s="66"/>
      <c r="AI103" s="71">
        <f ca="1">IF(C103=1,Reeksen!AI103*((F103-G103+F103)/2)*12+Reeksen!AD103*((L103-M103+L103)/2)*12,0)</f>
        <v>0</v>
      </c>
      <c r="AJ103" s="71">
        <f ca="1">-AI103*'Invoer gegevens'!$F$28</f>
        <v>0</v>
      </c>
      <c r="AK103" s="71">
        <f t="shared" ca="1" si="18"/>
        <v>0</v>
      </c>
      <c r="AL103" s="71">
        <f ca="1">IF(C103=1,Reeksen!AL103*((F103-G103+F103)/2)*12+Reeksen!AM103*((L103-M103+L103)/2)*12,0)</f>
        <v>0</v>
      </c>
      <c r="AM103" s="71">
        <f ca="1">-AL103*'Invoer gegevens'!$F$31</f>
        <v>0</v>
      </c>
      <c r="AN103" s="71">
        <f t="shared" ca="1" si="19"/>
        <v>0</v>
      </c>
      <c r="AO103" s="71">
        <f ca="1">IF(C103=1,(H103+J103+N103+P103)*Reeksen!AN103,0)</f>
        <v>0</v>
      </c>
      <c r="AP103" s="71">
        <f ca="1">-IF(C103=1,(H103+J103+N103+P103)*'Hulp - basis'!$G$550*Reeksen!H103,0)</f>
        <v>0</v>
      </c>
      <c r="AQ103" s="71">
        <f ca="1">-IF(C103=1,(F103+K103+L103+Q103)/2*'Invoer gegevens'!$F$35*Reeksen!J103,0)*2</f>
        <v>0</v>
      </c>
      <c r="AR103" s="71"/>
      <c r="AS103" s="71">
        <f ca="1">-IF(C103=1,(F103+K103+L103+Q103)/2*'Invoer gegevens'!$F$37*Reeksen!L103,0)</f>
        <v>0</v>
      </c>
      <c r="AT103" s="71">
        <f ca="1">-IF(C103=1,IF(E103='Invoer gegevens'!$C$17,'Invoer gegevens'!$C$11,AD103)*Reeksen!S103*'Invoer gegevens'!$C$18*Reeksen!P103,0)</f>
        <v>0</v>
      </c>
      <c r="AU103" s="71">
        <f ca="1">-IF(C103=1,(F103+K103+L103+Q103)/2*'Invoer gegevens'!$F$38*Reeksen!H103,0)</f>
        <v>0</v>
      </c>
      <c r="AV103" s="71">
        <f t="shared" si="23"/>
        <v>0</v>
      </c>
      <c r="AW103" s="71">
        <f t="shared" ca="1" si="20"/>
        <v>0</v>
      </c>
      <c r="AX103" s="71">
        <f ca="1">IF(E103&lt;'Invoer gegevens'!$C$17+15,0,IF(E103&gt;'Invoer gegevens'!$C$17+215,0,AW103))</f>
        <v>0</v>
      </c>
      <c r="AY103" s="71">
        <f ca="1">AX103/(1+'Invoer gegevens'!$F$18)^($AZ103-('Invoer gegevens'!$C$17-'Invoer gegevens'!$C$16))/(1+'Invoer gegevens'!$C$39)^('Invoer gegevens'!$C$17-'Invoer gegevens'!$C$16)</f>
        <v>0</v>
      </c>
      <c r="AZ103" s="68">
        <f ca="1">IF(E103-'Invoer gegevens'!$C$17-14.5&lt;0,0,E103-'Invoer gegevens'!$C$17-14.5)</f>
        <v>83.5</v>
      </c>
    </row>
    <row r="104" spans="1:52" x14ac:dyDescent="0.25">
      <c r="A104" s="59"/>
      <c r="B104" s="70">
        <f t="shared" si="21"/>
        <v>100</v>
      </c>
      <c r="C104" s="67">
        <f ca="1">IF(E104-'Invoer gegevens'!$C$17&lt;0,0,1)</f>
        <v>1</v>
      </c>
      <c r="D104" s="68">
        <f t="shared" si="22"/>
        <v>99.5</v>
      </c>
      <c r="E104" s="69">
        <f ca="1">IF('Invoer gegevens'!$C$16="","",E103+1)</f>
        <v>2118</v>
      </c>
      <c r="F104" s="84">
        <f ca="1">IF('Invoer gegevens'!$C$17=E104,'Invoer gegevens'!$C$10,IF(C104=1,K103,0))</f>
        <v>0</v>
      </c>
      <c r="G104" s="96">
        <f ca="1">IF(C104&gt;=1,F104*VLOOKUP(E104,Reeksen!$A$5:$B$76,2),0)</f>
        <v>0</v>
      </c>
      <c r="H104" s="84">
        <f ca="1">(1-('Invoer gegevens'!$F$20/12))*F104*MIN(Reeksen!B104,Reeksen!D104)</f>
        <v>0</v>
      </c>
      <c r="I104" s="84">
        <f>IF(Reeksen!D104&lt;Reeksen!B104,(Reeksen!B104-Reeksen!D104)*F104,0)</f>
        <v>0</v>
      </c>
      <c r="J104" s="84">
        <f ca="1">('Invoer gegevens'!$F$20/12)*F103*MIN(Reeksen!B103,Reeksen!D103)</f>
        <v>0</v>
      </c>
      <c r="K104" s="97">
        <f t="shared" ca="1" si="12"/>
        <v>0</v>
      </c>
      <c r="L104" s="84">
        <f ca="1">IF('Invoer gegevens'!$C$17=E104,0,IF(C104=1,Q103,0))</f>
        <v>0</v>
      </c>
      <c r="M104" s="96">
        <f ca="1">IF(C104&gt;=1,L104*VLOOKUP(E104,Reeksen!$A$5:$B$76,2),0)</f>
        <v>0</v>
      </c>
      <c r="N104" s="84">
        <f ca="1">(1-('Invoer gegevens'!$F$20/12))*L104*MIN(Reeksen!B104,Reeksen!D104)</f>
        <v>0</v>
      </c>
      <c r="O104" s="84">
        <f>IF(Reeksen!D104&lt;Reeksen!B104,(Reeksen!B104-Reeksen!D104)*L104,0)</f>
        <v>0</v>
      </c>
      <c r="P104" s="84">
        <f ca="1">('Invoer gegevens'!$F$20/12)*L103*MIN(Reeksen!B103,Reeksen!D103)</f>
        <v>0</v>
      </c>
      <c r="Q104" s="84">
        <f t="shared" ca="1" si="13"/>
        <v>0</v>
      </c>
      <c r="R104" s="82">
        <f ca="1">IF('Invoer gegevens'!$C$17=E104,'Invoer gegevens'!$C$11,IF(C104=1,W103,0))</f>
        <v>0</v>
      </c>
      <c r="S104" s="86">
        <f ca="1">IF(C104&gt;=1,R104*VLOOKUP(E104,Reeksen!$A$5:$B$76,2),0)</f>
        <v>0</v>
      </c>
      <c r="T104" s="84">
        <f ca="1">(1-('Invoer gegevens'!$F$20/12))*R104*MIN(Reeksen!B104,Reeksen!D104)</f>
        <v>0</v>
      </c>
      <c r="U104" s="84">
        <f>IF(Reeksen!D104&gt;=Reeksen!B104,0,IF(Reeksen!AD104&lt;=Reeksen!AE104,(Reeksen!B104-Reeksen!D104)*R104,0))</f>
        <v>0</v>
      </c>
      <c r="V104" s="86">
        <f>IF(Reeksen!D104&gt;=Reeksen!B104,0,IF(Reeksen!AD104&gt;Reeksen!AE104,(Reeksen!B104-Reeksen!D104)*R104,0))</f>
        <v>0</v>
      </c>
      <c r="W104" s="97">
        <f t="shared" ca="1" si="14"/>
        <v>0</v>
      </c>
      <c r="X104" s="98">
        <f ca="1">IF('Invoer gegevens'!$C$17=E104,'Invoer gegevens'!$C$10-'Invoer gegevens'!$C$11,IF(C104=1,AC103,0))</f>
        <v>0</v>
      </c>
      <c r="Y104" s="98">
        <f ca="1">IF(C104&gt;=1,X104*VLOOKUP(E104,Reeksen!$A$5:$B$76,2),0)</f>
        <v>0</v>
      </c>
      <c r="Z104" s="98">
        <f ca="1">(1-('Invoer gegevens'!$F$20/12))*X104*MIN(Reeksen!B104,Reeksen!D104)</f>
        <v>0</v>
      </c>
      <c r="AA104" s="98">
        <f>IF(Reeksen!D104&gt;=Reeksen!B104,0,IF(Reeksen!AD104&lt;=Reeksen!AE104,(Reeksen!B104-Reeksen!D104)*X104,0))</f>
        <v>0</v>
      </c>
      <c r="AB104" s="98">
        <f>IF(Reeksen!D104&gt;=Reeksen!B104,0,IF(Reeksen!AD104&gt;Reeksen!AE104,(Reeksen!B104-Reeksen!D104)*X104,0))</f>
        <v>0</v>
      </c>
      <c r="AC104" s="99">
        <f t="shared" ca="1" si="15"/>
        <v>0</v>
      </c>
      <c r="AD104" s="98">
        <f ca="1">IF('Invoer gegevens'!$C$17=E104,R104,IF(C104=0,0,AE103))</f>
        <v>0</v>
      </c>
      <c r="AE104" s="98">
        <f t="shared" ca="1" si="16"/>
        <v>0</v>
      </c>
      <c r="AF104" s="98">
        <f ca="1">IF('Invoer gegevens'!$C$17=E104,X104,IF(C104=0,0,AG103))</f>
        <v>0</v>
      </c>
      <c r="AG104" s="98">
        <f t="shared" ca="1" si="17"/>
        <v>0</v>
      </c>
      <c r="AH104" s="66"/>
      <c r="AI104" s="71">
        <f ca="1">IF(C104=1,Reeksen!AI104*((F104-G104+F104)/2)*12+Reeksen!AD104*((L104-M104+L104)/2)*12,0)</f>
        <v>0</v>
      </c>
      <c r="AJ104" s="71">
        <f ca="1">-AI104*'Invoer gegevens'!$F$28</f>
        <v>0</v>
      </c>
      <c r="AK104" s="71">
        <f t="shared" ca="1" si="18"/>
        <v>0</v>
      </c>
      <c r="AL104" s="71">
        <f ca="1">IF(C104=1,Reeksen!AL104*((F104-G104+F104)/2)*12+Reeksen!AM104*((L104-M104+L104)/2)*12,0)</f>
        <v>0</v>
      </c>
      <c r="AM104" s="71">
        <f ca="1">-AL104*'Invoer gegevens'!$F$31</f>
        <v>0</v>
      </c>
      <c r="AN104" s="71">
        <f t="shared" ca="1" si="19"/>
        <v>0</v>
      </c>
      <c r="AO104" s="71">
        <f ca="1">IF(C104=1,(H104+J104+N104+P104)*Reeksen!AN104,0)</f>
        <v>0</v>
      </c>
      <c r="AP104" s="71">
        <f ca="1">-IF(C104=1,(H104+J104+N104+P104)*'Hulp - basis'!$G$550*Reeksen!H104,0)</f>
        <v>0</v>
      </c>
      <c r="AQ104" s="71">
        <f ca="1">-IF(C104=1,(F104+K104+L104+Q104)/2*'Invoer gegevens'!$F$35*Reeksen!J104,0)*2</f>
        <v>0</v>
      </c>
      <c r="AR104" s="71"/>
      <c r="AS104" s="71">
        <f ca="1">-IF(C104=1,(F104+K104+L104+Q104)/2*'Invoer gegevens'!$F$37*Reeksen!L104,0)</f>
        <v>0</v>
      </c>
      <c r="AT104" s="71">
        <f ca="1">-IF(C104=1,IF(E104='Invoer gegevens'!$C$17,'Invoer gegevens'!$C$11,AD104)*Reeksen!S104*'Invoer gegevens'!$C$18*Reeksen!P104,0)</f>
        <v>0</v>
      </c>
      <c r="AU104" s="71">
        <f ca="1">-IF(C104=1,(F104+K104+L104+Q104)/2*'Invoer gegevens'!$F$38*Reeksen!H104,0)</f>
        <v>0</v>
      </c>
      <c r="AV104" s="71">
        <f t="shared" si="23"/>
        <v>0</v>
      </c>
      <c r="AW104" s="71">
        <f t="shared" ca="1" si="20"/>
        <v>0</v>
      </c>
      <c r="AX104" s="71">
        <f ca="1">IF(E104&lt;'Invoer gegevens'!$C$17+15,0,IF(E104&gt;'Invoer gegevens'!$C$17+215,0,AW104))</f>
        <v>0</v>
      </c>
      <c r="AY104" s="71">
        <f ca="1">AX104/(1+'Invoer gegevens'!$F$18)^($AZ104-('Invoer gegevens'!$C$17-'Invoer gegevens'!$C$16))/(1+'Invoer gegevens'!$C$39)^('Invoer gegevens'!$C$17-'Invoer gegevens'!$C$16)</f>
        <v>0</v>
      </c>
      <c r="AZ104" s="68">
        <f ca="1">IF(E104-'Invoer gegevens'!$C$17-14.5&lt;0,0,E104-'Invoer gegevens'!$C$17-14.5)</f>
        <v>84.5</v>
      </c>
    </row>
    <row r="105" spans="1:52" x14ac:dyDescent="0.25">
      <c r="A105" s="59"/>
      <c r="B105" s="70">
        <f t="shared" si="21"/>
        <v>101</v>
      </c>
      <c r="C105" s="67">
        <f ca="1">IF(E105-'Invoer gegevens'!$C$17&lt;0,0,1)</f>
        <v>1</v>
      </c>
      <c r="D105" s="68">
        <f t="shared" si="22"/>
        <v>100.5</v>
      </c>
      <c r="E105" s="69">
        <f ca="1">IF('Invoer gegevens'!$C$16="","",E104+1)</f>
        <v>2119</v>
      </c>
      <c r="F105" s="84">
        <f ca="1">IF('Invoer gegevens'!$C$17=E105,'Invoer gegevens'!$C$10,IF(C105=1,K104,0))</f>
        <v>0</v>
      </c>
      <c r="G105" s="96">
        <f ca="1">IF(C105&gt;=1,F105*VLOOKUP(E105,Reeksen!$A$5:$B$76,2),0)</f>
        <v>0</v>
      </c>
      <c r="H105" s="84">
        <f ca="1">(1-('Invoer gegevens'!$F$20/12))*F105*MIN(Reeksen!B105,Reeksen!D105)</f>
        <v>0</v>
      </c>
      <c r="I105" s="84">
        <f>IF(Reeksen!D105&lt;Reeksen!B105,(Reeksen!B105-Reeksen!D105)*F105,0)</f>
        <v>0</v>
      </c>
      <c r="J105" s="84">
        <f ca="1">('Invoer gegevens'!$F$20/12)*F104*MIN(Reeksen!B104,Reeksen!D104)</f>
        <v>0</v>
      </c>
      <c r="K105" s="97">
        <f t="shared" ca="1" si="12"/>
        <v>0</v>
      </c>
      <c r="L105" s="84">
        <f ca="1">IF('Invoer gegevens'!$C$17=E105,0,IF(C105=1,Q104,0))</f>
        <v>0</v>
      </c>
      <c r="M105" s="96">
        <f ca="1">IF(C105&gt;=1,L105*VLOOKUP(E105,Reeksen!$A$5:$B$76,2),0)</f>
        <v>0</v>
      </c>
      <c r="N105" s="84">
        <f ca="1">(1-('Invoer gegevens'!$F$20/12))*L105*MIN(Reeksen!B105,Reeksen!D105)</f>
        <v>0</v>
      </c>
      <c r="O105" s="84">
        <f>IF(Reeksen!D105&lt;Reeksen!B105,(Reeksen!B105-Reeksen!D105)*L105,0)</f>
        <v>0</v>
      </c>
      <c r="P105" s="84">
        <f ca="1">('Invoer gegevens'!$F$20/12)*L104*MIN(Reeksen!B104,Reeksen!D104)</f>
        <v>0</v>
      </c>
      <c r="Q105" s="84">
        <f t="shared" ca="1" si="13"/>
        <v>0</v>
      </c>
      <c r="R105" s="82">
        <f ca="1">IF('Invoer gegevens'!$C$17=E105,'Invoer gegevens'!$C$11,IF(C105=1,W104,0))</f>
        <v>0</v>
      </c>
      <c r="S105" s="86">
        <f ca="1">IF(C105&gt;=1,R105*VLOOKUP(E105,Reeksen!$A$5:$B$76,2),0)</f>
        <v>0</v>
      </c>
      <c r="T105" s="84">
        <f ca="1">(1-('Invoer gegevens'!$F$20/12))*R105*MIN(Reeksen!B105,Reeksen!D105)</f>
        <v>0</v>
      </c>
      <c r="U105" s="84">
        <f>IF(Reeksen!D105&gt;=Reeksen!B105,0,IF(Reeksen!AD105&lt;=Reeksen!AE105,(Reeksen!B105-Reeksen!D105)*R105,0))</f>
        <v>0</v>
      </c>
      <c r="V105" s="86">
        <f>IF(Reeksen!D105&gt;=Reeksen!B105,0,IF(Reeksen!AD105&gt;Reeksen!AE105,(Reeksen!B105-Reeksen!D105)*R105,0))</f>
        <v>0</v>
      </c>
      <c r="W105" s="97">
        <f t="shared" ca="1" si="14"/>
        <v>0</v>
      </c>
      <c r="X105" s="98">
        <f ca="1">IF('Invoer gegevens'!$C$17=E105,'Invoer gegevens'!$C$10-'Invoer gegevens'!$C$11,IF(C105=1,AC104,0))</f>
        <v>0</v>
      </c>
      <c r="Y105" s="98">
        <f ca="1">IF(C105&gt;=1,X105*VLOOKUP(E105,Reeksen!$A$5:$B$76,2),0)</f>
        <v>0</v>
      </c>
      <c r="Z105" s="98">
        <f ca="1">(1-('Invoer gegevens'!$F$20/12))*X105*MIN(Reeksen!B105,Reeksen!D105)</f>
        <v>0</v>
      </c>
      <c r="AA105" s="98">
        <f>IF(Reeksen!D105&gt;=Reeksen!B105,0,IF(Reeksen!AD105&lt;=Reeksen!AE105,(Reeksen!B105-Reeksen!D105)*X105,0))</f>
        <v>0</v>
      </c>
      <c r="AB105" s="98">
        <f>IF(Reeksen!D105&gt;=Reeksen!B105,0,IF(Reeksen!AD105&gt;Reeksen!AE105,(Reeksen!B105-Reeksen!D105)*X105,0))</f>
        <v>0</v>
      </c>
      <c r="AC105" s="99">
        <f t="shared" ca="1" si="15"/>
        <v>0</v>
      </c>
      <c r="AD105" s="98">
        <f ca="1">IF('Invoer gegevens'!$C$17=E105,R105,IF(C105=0,0,AE104))</f>
        <v>0</v>
      </c>
      <c r="AE105" s="98">
        <f t="shared" ca="1" si="16"/>
        <v>0</v>
      </c>
      <c r="AF105" s="98">
        <f ca="1">IF('Invoer gegevens'!$C$17=E105,X105,IF(C105=0,0,AG104))</f>
        <v>0</v>
      </c>
      <c r="AG105" s="98">
        <f t="shared" ca="1" si="17"/>
        <v>0</v>
      </c>
      <c r="AH105" s="66"/>
      <c r="AI105" s="71">
        <f ca="1">IF(C105=1,Reeksen!AI105*((F105-G105+F105)/2)*12+Reeksen!AD105*((L105-M105+L105)/2)*12,0)</f>
        <v>0</v>
      </c>
      <c r="AJ105" s="71">
        <f ca="1">-AI105*'Invoer gegevens'!$F$28</f>
        <v>0</v>
      </c>
      <c r="AK105" s="71">
        <f t="shared" ca="1" si="18"/>
        <v>0</v>
      </c>
      <c r="AL105" s="71">
        <f ca="1">IF(C105=1,Reeksen!AL105*((F105-G105+F105)/2)*12+Reeksen!AM105*((L105-M105+L105)/2)*12,0)</f>
        <v>0</v>
      </c>
      <c r="AM105" s="71">
        <f ca="1">-AL105*'Invoer gegevens'!$F$31</f>
        <v>0</v>
      </c>
      <c r="AN105" s="71">
        <f t="shared" ca="1" si="19"/>
        <v>0</v>
      </c>
      <c r="AO105" s="71">
        <f ca="1">IF(C105=1,(H105+J105+N105+P105)*Reeksen!AN105,0)</f>
        <v>0</v>
      </c>
      <c r="AP105" s="71">
        <f ca="1">-IF(C105=1,(H105+J105+N105+P105)*'Hulp - basis'!$G$550*Reeksen!H105,0)</f>
        <v>0</v>
      </c>
      <c r="AQ105" s="71">
        <f ca="1">-IF(C105=1,(F105+K105+L105+Q105)/2*'Invoer gegevens'!$F$35*Reeksen!J105,0)*2</f>
        <v>0</v>
      </c>
      <c r="AR105" s="71"/>
      <c r="AS105" s="71">
        <f ca="1">-IF(C105=1,(F105+K105+L105+Q105)/2*'Invoer gegevens'!$F$37*Reeksen!L105,0)</f>
        <v>0</v>
      </c>
      <c r="AT105" s="71">
        <f ca="1">-IF(C105=1,IF(E105='Invoer gegevens'!$C$17,'Invoer gegevens'!$C$11,AD105)*Reeksen!S105*'Invoer gegevens'!$C$18*Reeksen!P105,0)</f>
        <v>0</v>
      </c>
      <c r="AU105" s="71">
        <f ca="1">-IF(C105=1,(F105+K105+L105+Q105)/2*'Invoer gegevens'!$F$38*Reeksen!H105,0)</f>
        <v>0</v>
      </c>
      <c r="AV105" s="71">
        <f t="shared" si="23"/>
        <v>0</v>
      </c>
      <c r="AW105" s="71">
        <f t="shared" ca="1" si="20"/>
        <v>0</v>
      </c>
      <c r="AX105" s="71">
        <f ca="1">IF(E105&lt;'Invoer gegevens'!$C$17+15,0,IF(E105&gt;'Invoer gegevens'!$C$17+215,0,AW105))</f>
        <v>0</v>
      </c>
      <c r="AY105" s="71">
        <f ca="1">AX105/(1+'Invoer gegevens'!$F$18)^($AZ105-('Invoer gegevens'!$C$17-'Invoer gegevens'!$C$16))/(1+'Invoer gegevens'!$C$39)^('Invoer gegevens'!$C$17-'Invoer gegevens'!$C$16)</f>
        <v>0</v>
      </c>
      <c r="AZ105" s="68">
        <f ca="1">IF(E105-'Invoer gegevens'!$C$17-14.5&lt;0,0,E105-'Invoer gegevens'!$C$17-14.5)</f>
        <v>85.5</v>
      </c>
    </row>
    <row r="106" spans="1:52" x14ac:dyDescent="0.25">
      <c r="A106" s="59"/>
      <c r="B106" s="70">
        <f t="shared" si="21"/>
        <v>102</v>
      </c>
      <c r="C106" s="67">
        <f ca="1">IF(E106-'Invoer gegevens'!$C$17&lt;0,0,1)</f>
        <v>1</v>
      </c>
      <c r="D106" s="68">
        <f t="shared" si="22"/>
        <v>101.5</v>
      </c>
      <c r="E106" s="69">
        <f ca="1">IF('Invoer gegevens'!$C$16="","",E105+1)</f>
        <v>2120</v>
      </c>
      <c r="F106" s="84">
        <f ca="1">IF('Invoer gegevens'!$C$17=E106,'Invoer gegevens'!$C$10,IF(C106=1,K105,0))</f>
        <v>0</v>
      </c>
      <c r="G106" s="96">
        <f ca="1">IF(C106&gt;=1,F106*VLOOKUP(E106,Reeksen!$A$5:$B$76,2),0)</f>
        <v>0</v>
      </c>
      <c r="H106" s="84">
        <f ca="1">(1-('Invoer gegevens'!$F$20/12))*F106*MIN(Reeksen!B106,Reeksen!D106)</f>
        <v>0</v>
      </c>
      <c r="I106" s="84">
        <f>IF(Reeksen!D106&lt;Reeksen!B106,(Reeksen!B106-Reeksen!D106)*F106,0)</f>
        <v>0</v>
      </c>
      <c r="J106" s="84">
        <f ca="1">('Invoer gegevens'!$F$20/12)*F105*MIN(Reeksen!B105,Reeksen!D105)</f>
        <v>0</v>
      </c>
      <c r="K106" s="97">
        <f t="shared" ca="1" si="12"/>
        <v>0</v>
      </c>
      <c r="L106" s="84">
        <f ca="1">IF('Invoer gegevens'!$C$17=E106,0,IF(C106=1,Q105,0))</f>
        <v>0</v>
      </c>
      <c r="M106" s="96">
        <f ca="1">IF(C106&gt;=1,L106*VLOOKUP(E106,Reeksen!$A$5:$B$76,2),0)</f>
        <v>0</v>
      </c>
      <c r="N106" s="84">
        <f ca="1">(1-('Invoer gegevens'!$F$20/12))*L106*MIN(Reeksen!B106,Reeksen!D106)</f>
        <v>0</v>
      </c>
      <c r="O106" s="84">
        <f>IF(Reeksen!D106&lt;Reeksen!B106,(Reeksen!B106-Reeksen!D106)*L106,0)</f>
        <v>0</v>
      </c>
      <c r="P106" s="84">
        <f ca="1">('Invoer gegevens'!$F$20/12)*L105*MIN(Reeksen!B105,Reeksen!D105)</f>
        <v>0</v>
      </c>
      <c r="Q106" s="84">
        <f t="shared" ca="1" si="13"/>
        <v>0</v>
      </c>
      <c r="R106" s="82">
        <f ca="1">IF('Invoer gegevens'!$C$17=E106,'Invoer gegevens'!$C$11,IF(C106=1,W105,0))</f>
        <v>0</v>
      </c>
      <c r="S106" s="86">
        <f ca="1">IF(C106&gt;=1,R106*VLOOKUP(E106,Reeksen!$A$5:$B$76,2),0)</f>
        <v>0</v>
      </c>
      <c r="T106" s="84">
        <f ca="1">(1-('Invoer gegevens'!$F$20/12))*R106*MIN(Reeksen!B106,Reeksen!D106)</f>
        <v>0</v>
      </c>
      <c r="U106" s="84">
        <f>IF(Reeksen!D106&gt;=Reeksen!B106,0,IF(Reeksen!AD106&lt;=Reeksen!AE106,(Reeksen!B106-Reeksen!D106)*R106,0))</f>
        <v>0</v>
      </c>
      <c r="V106" s="86">
        <f>IF(Reeksen!D106&gt;=Reeksen!B106,0,IF(Reeksen!AD106&gt;Reeksen!AE106,(Reeksen!B106-Reeksen!D106)*R106,0))</f>
        <v>0</v>
      </c>
      <c r="W106" s="97">
        <f t="shared" ca="1" si="14"/>
        <v>0</v>
      </c>
      <c r="X106" s="98">
        <f ca="1">IF('Invoer gegevens'!$C$17=E106,'Invoer gegevens'!$C$10-'Invoer gegevens'!$C$11,IF(C106=1,AC105,0))</f>
        <v>0</v>
      </c>
      <c r="Y106" s="98">
        <f ca="1">IF(C106&gt;=1,X106*VLOOKUP(E106,Reeksen!$A$5:$B$76,2),0)</f>
        <v>0</v>
      </c>
      <c r="Z106" s="98">
        <f ca="1">(1-('Invoer gegevens'!$F$20/12))*X106*MIN(Reeksen!B106,Reeksen!D106)</f>
        <v>0</v>
      </c>
      <c r="AA106" s="98">
        <f>IF(Reeksen!D106&gt;=Reeksen!B106,0,IF(Reeksen!AD106&lt;=Reeksen!AE106,(Reeksen!B106-Reeksen!D106)*X106,0))</f>
        <v>0</v>
      </c>
      <c r="AB106" s="98">
        <f>IF(Reeksen!D106&gt;=Reeksen!B106,0,IF(Reeksen!AD106&gt;Reeksen!AE106,(Reeksen!B106-Reeksen!D106)*X106,0))</f>
        <v>0</v>
      </c>
      <c r="AC106" s="99">
        <f t="shared" ca="1" si="15"/>
        <v>0</v>
      </c>
      <c r="AD106" s="98">
        <f ca="1">IF('Invoer gegevens'!$C$17=E106,R106,IF(C106=0,0,AE105))</f>
        <v>0</v>
      </c>
      <c r="AE106" s="98">
        <f t="shared" ca="1" si="16"/>
        <v>0</v>
      </c>
      <c r="AF106" s="98">
        <f ca="1">IF('Invoer gegevens'!$C$17=E106,X106,IF(C106=0,0,AG105))</f>
        <v>0</v>
      </c>
      <c r="AG106" s="98">
        <f t="shared" ca="1" si="17"/>
        <v>0</v>
      </c>
      <c r="AH106" s="66"/>
      <c r="AI106" s="71">
        <f ca="1">IF(C106=1,Reeksen!AI106*((F106-G106+F106)/2)*12+Reeksen!AD106*((L106-M106+L106)/2)*12,0)</f>
        <v>0</v>
      </c>
      <c r="AJ106" s="71">
        <f ca="1">-AI106*'Invoer gegevens'!$F$28</f>
        <v>0</v>
      </c>
      <c r="AK106" s="71">
        <f t="shared" ca="1" si="18"/>
        <v>0</v>
      </c>
      <c r="AL106" s="71">
        <f ca="1">IF(C106=1,Reeksen!AL106*((F106-G106+F106)/2)*12+Reeksen!AM106*((L106-M106+L106)/2)*12,0)</f>
        <v>0</v>
      </c>
      <c r="AM106" s="71">
        <f ca="1">-AL106*'Invoer gegevens'!$F$31</f>
        <v>0</v>
      </c>
      <c r="AN106" s="71">
        <f t="shared" ca="1" si="19"/>
        <v>0</v>
      </c>
      <c r="AO106" s="71">
        <f ca="1">IF(C106=1,(H106+J106+N106+P106)*Reeksen!AN106,0)</f>
        <v>0</v>
      </c>
      <c r="AP106" s="71">
        <f ca="1">-IF(C106=1,(H106+J106+N106+P106)*'Hulp - basis'!$G$550*Reeksen!H106,0)</f>
        <v>0</v>
      </c>
      <c r="AQ106" s="71">
        <f ca="1">-IF(C106=1,(F106+K106+L106+Q106)/2*'Invoer gegevens'!$F$35*Reeksen!J106,0)*2</f>
        <v>0</v>
      </c>
      <c r="AR106" s="71"/>
      <c r="AS106" s="71">
        <f ca="1">-IF(C106=1,(F106+K106+L106+Q106)/2*'Invoer gegevens'!$F$37*Reeksen!L106,0)</f>
        <v>0</v>
      </c>
      <c r="AT106" s="71">
        <f ca="1">-IF(C106=1,IF(E106='Invoer gegevens'!$C$17,'Invoer gegevens'!$C$11,AD106)*Reeksen!S106*'Invoer gegevens'!$C$18*Reeksen!P106,0)</f>
        <v>0</v>
      </c>
      <c r="AU106" s="71">
        <f ca="1">-IF(C106=1,(F106+K106+L106+Q106)/2*'Invoer gegevens'!$F$38*Reeksen!H106,0)</f>
        <v>0</v>
      </c>
      <c r="AV106" s="71">
        <f t="shared" si="23"/>
        <v>0</v>
      </c>
      <c r="AW106" s="71">
        <f t="shared" ca="1" si="20"/>
        <v>0</v>
      </c>
      <c r="AX106" s="71">
        <f ca="1">IF(E106&lt;'Invoer gegevens'!$C$17+15,0,IF(E106&gt;'Invoer gegevens'!$C$17+215,0,AW106))</f>
        <v>0</v>
      </c>
      <c r="AY106" s="71">
        <f ca="1">AX106/(1+'Invoer gegevens'!$F$18)^($AZ106-('Invoer gegevens'!$C$17-'Invoer gegevens'!$C$16))/(1+'Invoer gegevens'!$C$39)^('Invoer gegevens'!$C$17-'Invoer gegevens'!$C$16)</f>
        <v>0</v>
      </c>
      <c r="AZ106" s="68">
        <f ca="1">IF(E106-'Invoer gegevens'!$C$17-14.5&lt;0,0,E106-'Invoer gegevens'!$C$17-14.5)</f>
        <v>86.5</v>
      </c>
    </row>
    <row r="107" spans="1:52" x14ac:dyDescent="0.25">
      <c r="A107" s="59"/>
      <c r="B107" s="70">
        <f t="shared" si="21"/>
        <v>103</v>
      </c>
      <c r="C107" s="67">
        <f ca="1">IF(E107-'Invoer gegevens'!$C$17&lt;0,0,1)</f>
        <v>1</v>
      </c>
      <c r="D107" s="68">
        <f t="shared" si="22"/>
        <v>102.5</v>
      </c>
      <c r="E107" s="69">
        <f ca="1">IF('Invoer gegevens'!$C$16="","",E106+1)</f>
        <v>2121</v>
      </c>
      <c r="F107" s="84">
        <f ca="1">IF('Invoer gegevens'!$C$17=E107,'Invoer gegevens'!$C$10,IF(C107=1,K106,0))</f>
        <v>0</v>
      </c>
      <c r="G107" s="96">
        <f ca="1">IF(C107&gt;=1,F107*VLOOKUP(E107,Reeksen!$A$5:$B$76,2),0)</f>
        <v>0</v>
      </c>
      <c r="H107" s="84">
        <f ca="1">(1-('Invoer gegevens'!$F$20/12))*F107*MIN(Reeksen!B107,Reeksen!D107)</f>
        <v>0</v>
      </c>
      <c r="I107" s="84">
        <f>IF(Reeksen!D107&lt;Reeksen!B107,(Reeksen!B107-Reeksen!D107)*F107,0)</f>
        <v>0</v>
      </c>
      <c r="J107" s="84">
        <f ca="1">('Invoer gegevens'!$F$20/12)*F106*MIN(Reeksen!B106,Reeksen!D106)</f>
        <v>0</v>
      </c>
      <c r="K107" s="97">
        <f t="shared" ca="1" si="12"/>
        <v>0</v>
      </c>
      <c r="L107" s="84">
        <f ca="1">IF('Invoer gegevens'!$C$17=E107,0,IF(C107=1,Q106,0))</f>
        <v>0</v>
      </c>
      <c r="M107" s="96">
        <f ca="1">IF(C107&gt;=1,L107*VLOOKUP(E107,Reeksen!$A$5:$B$76,2),0)</f>
        <v>0</v>
      </c>
      <c r="N107" s="84">
        <f ca="1">(1-('Invoer gegevens'!$F$20/12))*L107*MIN(Reeksen!B107,Reeksen!D107)</f>
        <v>0</v>
      </c>
      <c r="O107" s="84">
        <f>IF(Reeksen!D107&lt;Reeksen!B107,(Reeksen!B107-Reeksen!D107)*L107,0)</f>
        <v>0</v>
      </c>
      <c r="P107" s="84">
        <f ca="1">('Invoer gegevens'!$F$20/12)*L106*MIN(Reeksen!B106,Reeksen!D106)</f>
        <v>0</v>
      </c>
      <c r="Q107" s="84">
        <f t="shared" ca="1" si="13"/>
        <v>0</v>
      </c>
      <c r="R107" s="82">
        <f ca="1">IF('Invoer gegevens'!$C$17=E107,'Invoer gegevens'!$C$11,IF(C107=1,W106,0))</f>
        <v>0</v>
      </c>
      <c r="S107" s="86">
        <f ca="1">IF(C107&gt;=1,R107*VLOOKUP(E107,Reeksen!$A$5:$B$76,2),0)</f>
        <v>0</v>
      </c>
      <c r="T107" s="84">
        <f ca="1">(1-('Invoer gegevens'!$F$20/12))*R107*MIN(Reeksen!B107,Reeksen!D107)</f>
        <v>0</v>
      </c>
      <c r="U107" s="84">
        <f>IF(Reeksen!D107&gt;=Reeksen!B107,0,IF(Reeksen!AD107&lt;=Reeksen!AE107,(Reeksen!B107-Reeksen!D107)*R107,0))</f>
        <v>0</v>
      </c>
      <c r="V107" s="86">
        <f>IF(Reeksen!D107&gt;=Reeksen!B107,0,IF(Reeksen!AD107&gt;Reeksen!AE107,(Reeksen!B107-Reeksen!D107)*R107,0))</f>
        <v>0</v>
      </c>
      <c r="W107" s="97">
        <f t="shared" ca="1" si="14"/>
        <v>0</v>
      </c>
      <c r="X107" s="98">
        <f ca="1">IF('Invoer gegevens'!$C$17=E107,'Invoer gegevens'!$C$10-'Invoer gegevens'!$C$11,IF(C107=1,AC106,0))</f>
        <v>0</v>
      </c>
      <c r="Y107" s="98">
        <f ca="1">IF(C107&gt;=1,X107*VLOOKUP(E107,Reeksen!$A$5:$B$76,2),0)</f>
        <v>0</v>
      </c>
      <c r="Z107" s="98">
        <f ca="1">(1-('Invoer gegevens'!$F$20/12))*X107*MIN(Reeksen!B107,Reeksen!D107)</f>
        <v>0</v>
      </c>
      <c r="AA107" s="98">
        <f>IF(Reeksen!D107&gt;=Reeksen!B107,0,IF(Reeksen!AD107&lt;=Reeksen!AE107,(Reeksen!B107-Reeksen!D107)*X107,0))</f>
        <v>0</v>
      </c>
      <c r="AB107" s="98">
        <f>IF(Reeksen!D107&gt;=Reeksen!B107,0,IF(Reeksen!AD107&gt;Reeksen!AE107,(Reeksen!B107-Reeksen!D107)*X107,0))</f>
        <v>0</v>
      </c>
      <c r="AC107" s="99">
        <f t="shared" ca="1" si="15"/>
        <v>0</v>
      </c>
      <c r="AD107" s="98">
        <f ca="1">IF('Invoer gegevens'!$C$17=E107,R107,IF(C107=0,0,AE106))</f>
        <v>0</v>
      </c>
      <c r="AE107" s="98">
        <f t="shared" ca="1" si="16"/>
        <v>0</v>
      </c>
      <c r="AF107" s="98">
        <f ca="1">IF('Invoer gegevens'!$C$17=E107,X107,IF(C107=0,0,AG106))</f>
        <v>0</v>
      </c>
      <c r="AG107" s="98">
        <f t="shared" ca="1" si="17"/>
        <v>0</v>
      </c>
      <c r="AH107" s="66"/>
      <c r="AI107" s="71">
        <f ca="1">IF(C107=1,Reeksen!AI107*((F107-G107+F107)/2)*12+Reeksen!AD107*((L107-M107+L107)/2)*12,0)</f>
        <v>0</v>
      </c>
      <c r="AJ107" s="71">
        <f ca="1">-AI107*'Invoer gegevens'!$F$28</f>
        <v>0</v>
      </c>
      <c r="AK107" s="71">
        <f t="shared" ca="1" si="18"/>
        <v>0</v>
      </c>
      <c r="AL107" s="71">
        <f ca="1">IF(C107=1,Reeksen!AL107*((F107-G107+F107)/2)*12+Reeksen!AM107*((L107-M107+L107)/2)*12,0)</f>
        <v>0</v>
      </c>
      <c r="AM107" s="71">
        <f ca="1">-AL107*'Invoer gegevens'!$F$31</f>
        <v>0</v>
      </c>
      <c r="AN107" s="71">
        <f t="shared" ca="1" si="19"/>
        <v>0</v>
      </c>
      <c r="AO107" s="71">
        <f ca="1">IF(C107=1,(H107+J107+N107+P107)*Reeksen!AN107,0)</f>
        <v>0</v>
      </c>
      <c r="AP107" s="71">
        <f ca="1">-IF(C107=1,(H107+J107+N107+P107)*'Hulp - basis'!$G$550*Reeksen!H107,0)</f>
        <v>0</v>
      </c>
      <c r="AQ107" s="71">
        <f ca="1">-IF(C107=1,(F107+K107+L107+Q107)/2*'Invoer gegevens'!$F$35*Reeksen!J107,0)*2</f>
        <v>0</v>
      </c>
      <c r="AR107" s="71"/>
      <c r="AS107" s="71">
        <f ca="1">-IF(C107=1,(F107+K107+L107+Q107)/2*'Invoer gegevens'!$F$37*Reeksen!L107,0)</f>
        <v>0</v>
      </c>
      <c r="AT107" s="71">
        <f ca="1">-IF(C107=1,IF(E107='Invoer gegevens'!$C$17,'Invoer gegevens'!$C$11,AD107)*Reeksen!S107*'Invoer gegevens'!$C$18*Reeksen!P107,0)</f>
        <v>0</v>
      </c>
      <c r="AU107" s="71">
        <f ca="1">-IF(C107=1,(F107+K107+L107+Q107)/2*'Invoer gegevens'!$F$38*Reeksen!H107,0)</f>
        <v>0</v>
      </c>
      <c r="AV107" s="71">
        <f t="shared" si="23"/>
        <v>0</v>
      </c>
      <c r="AW107" s="71">
        <f t="shared" ca="1" si="20"/>
        <v>0</v>
      </c>
      <c r="AX107" s="71">
        <f ca="1">IF(E107&lt;'Invoer gegevens'!$C$17+15,0,IF(E107&gt;'Invoer gegevens'!$C$17+215,0,AW107))</f>
        <v>0</v>
      </c>
      <c r="AY107" s="71">
        <f ca="1">AX107/(1+'Invoer gegevens'!$F$18)^($AZ107-('Invoer gegevens'!$C$17-'Invoer gegevens'!$C$16))/(1+'Invoer gegevens'!$C$39)^('Invoer gegevens'!$C$17-'Invoer gegevens'!$C$16)</f>
        <v>0</v>
      </c>
      <c r="AZ107" s="68">
        <f ca="1">IF(E107-'Invoer gegevens'!$C$17-14.5&lt;0,0,E107-'Invoer gegevens'!$C$17-14.5)</f>
        <v>87.5</v>
      </c>
    </row>
    <row r="108" spans="1:52" x14ac:dyDescent="0.25">
      <c r="A108" s="59"/>
      <c r="B108" s="70">
        <f t="shared" si="21"/>
        <v>104</v>
      </c>
      <c r="C108" s="67">
        <f ca="1">IF(E108-'Invoer gegevens'!$C$17&lt;0,0,1)</f>
        <v>1</v>
      </c>
      <c r="D108" s="68">
        <f t="shared" si="22"/>
        <v>103.5</v>
      </c>
      <c r="E108" s="69">
        <f ca="1">IF('Invoer gegevens'!$C$16="","",E107+1)</f>
        <v>2122</v>
      </c>
      <c r="F108" s="84">
        <f ca="1">IF('Invoer gegevens'!$C$17=E108,'Invoer gegevens'!$C$10,IF(C108=1,K107,0))</f>
        <v>0</v>
      </c>
      <c r="G108" s="96">
        <f ca="1">IF(C108&gt;=1,F108*VLOOKUP(E108,Reeksen!$A$5:$B$76,2),0)</f>
        <v>0</v>
      </c>
      <c r="H108" s="84">
        <f ca="1">(1-('Invoer gegevens'!$F$20/12))*F108*MIN(Reeksen!B108,Reeksen!D108)</f>
        <v>0</v>
      </c>
      <c r="I108" s="84">
        <f>IF(Reeksen!D108&lt;Reeksen!B108,(Reeksen!B108-Reeksen!D108)*F108,0)</f>
        <v>0</v>
      </c>
      <c r="J108" s="84">
        <f ca="1">('Invoer gegevens'!$F$20/12)*F107*MIN(Reeksen!B107,Reeksen!D107)</f>
        <v>0</v>
      </c>
      <c r="K108" s="97">
        <f t="shared" ca="1" si="12"/>
        <v>0</v>
      </c>
      <c r="L108" s="84">
        <f ca="1">IF('Invoer gegevens'!$C$17=E108,0,IF(C108=1,Q107,0))</f>
        <v>0</v>
      </c>
      <c r="M108" s="96">
        <f ca="1">IF(C108&gt;=1,L108*VLOOKUP(E108,Reeksen!$A$5:$B$76,2),0)</f>
        <v>0</v>
      </c>
      <c r="N108" s="84">
        <f ca="1">(1-('Invoer gegevens'!$F$20/12))*L108*MIN(Reeksen!B108,Reeksen!D108)</f>
        <v>0</v>
      </c>
      <c r="O108" s="84">
        <f>IF(Reeksen!D108&lt;Reeksen!B108,(Reeksen!B108-Reeksen!D108)*L108,0)</f>
        <v>0</v>
      </c>
      <c r="P108" s="84">
        <f ca="1">('Invoer gegevens'!$F$20/12)*L107*MIN(Reeksen!B107,Reeksen!D107)</f>
        <v>0</v>
      </c>
      <c r="Q108" s="84">
        <f t="shared" ca="1" si="13"/>
        <v>0</v>
      </c>
      <c r="R108" s="82">
        <f ca="1">IF('Invoer gegevens'!$C$17=E108,'Invoer gegevens'!$C$11,IF(C108=1,W107,0))</f>
        <v>0</v>
      </c>
      <c r="S108" s="86">
        <f ca="1">IF(C108&gt;=1,R108*VLOOKUP(E108,Reeksen!$A$5:$B$76,2),0)</f>
        <v>0</v>
      </c>
      <c r="T108" s="84">
        <f ca="1">(1-('Invoer gegevens'!$F$20/12))*R108*MIN(Reeksen!B108,Reeksen!D108)</f>
        <v>0</v>
      </c>
      <c r="U108" s="84">
        <f>IF(Reeksen!D108&gt;=Reeksen!B108,0,IF(Reeksen!AD108&lt;=Reeksen!AE108,(Reeksen!B108-Reeksen!D108)*R108,0))</f>
        <v>0</v>
      </c>
      <c r="V108" s="86">
        <f>IF(Reeksen!D108&gt;=Reeksen!B108,0,IF(Reeksen!AD108&gt;Reeksen!AE108,(Reeksen!B108-Reeksen!D108)*R108,0))</f>
        <v>0</v>
      </c>
      <c r="W108" s="97">
        <f t="shared" ca="1" si="14"/>
        <v>0</v>
      </c>
      <c r="X108" s="98">
        <f ca="1">IF('Invoer gegevens'!$C$17=E108,'Invoer gegevens'!$C$10-'Invoer gegevens'!$C$11,IF(C108=1,AC107,0))</f>
        <v>0</v>
      </c>
      <c r="Y108" s="98">
        <f ca="1">IF(C108&gt;=1,X108*VLOOKUP(E108,Reeksen!$A$5:$B$76,2),0)</f>
        <v>0</v>
      </c>
      <c r="Z108" s="98">
        <f ca="1">(1-('Invoer gegevens'!$F$20/12))*X108*MIN(Reeksen!B108,Reeksen!D108)</f>
        <v>0</v>
      </c>
      <c r="AA108" s="98">
        <f>IF(Reeksen!D108&gt;=Reeksen!B108,0,IF(Reeksen!AD108&lt;=Reeksen!AE108,(Reeksen!B108-Reeksen!D108)*X108,0))</f>
        <v>0</v>
      </c>
      <c r="AB108" s="98">
        <f>IF(Reeksen!D108&gt;=Reeksen!B108,0,IF(Reeksen!AD108&gt;Reeksen!AE108,(Reeksen!B108-Reeksen!D108)*X108,0))</f>
        <v>0</v>
      </c>
      <c r="AC108" s="99">
        <f t="shared" ca="1" si="15"/>
        <v>0</v>
      </c>
      <c r="AD108" s="98">
        <f ca="1">IF('Invoer gegevens'!$C$17=E108,R108,IF(C108=0,0,AE107))</f>
        <v>0</v>
      </c>
      <c r="AE108" s="98">
        <f t="shared" ca="1" si="16"/>
        <v>0</v>
      </c>
      <c r="AF108" s="98">
        <f ca="1">IF('Invoer gegevens'!$C$17=E108,X108,IF(C108=0,0,AG107))</f>
        <v>0</v>
      </c>
      <c r="AG108" s="98">
        <f t="shared" ca="1" si="17"/>
        <v>0</v>
      </c>
      <c r="AH108" s="66"/>
      <c r="AI108" s="71">
        <f ca="1">IF(C108=1,Reeksen!AI108*((F108-G108+F108)/2)*12+Reeksen!AD108*((L108-M108+L108)/2)*12,0)</f>
        <v>0</v>
      </c>
      <c r="AJ108" s="71">
        <f ca="1">-AI108*'Invoer gegevens'!$F$28</f>
        <v>0</v>
      </c>
      <c r="AK108" s="71">
        <f t="shared" ca="1" si="18"/>
        <v>0</v>
      </c>
      <c r="AL108" s="71">
        <f ca="1">IF(C108=1,Reeksen!AL108*((F108-G108+F108)/2)*12+Reeksen!AM108*((L108-M108+L108)/2)*12,0)</f>
        <v>0</v>
      </c>
      <c r="AM108" s="71">
        <f ca="1">-AL108*'Invoer gegevens'!$F$31</f>
        <v>0</v>
      </c>
      <c r="AN108" s="71">
        <f t="shared" ca="1" si="19"/>
        <v>0</v>
      </c>
      <c r="AO108" s="71">
        <f ca="1">IF(C108=1,(H108+J108+N108+P108)*Reeksen!AN108,0)</f>
        <v>0</v>
      </c>
      <c r="AP108" s="71">
        <f ca="1">-IF(C108=1,(H108+J108+N108+P108)*'Hulp - basis'!$G$550*Reeksen!H108,0)</f>
        <v>0</v>
      </c>
      <c r="AQ108" s="71">
        <f ca="1">-IF(C108=1,(F108+K108+L108+Q108)/2*'Invoer gegevens'!$F$35*Reeksen!J108,0)*2</f>
        <v>0</v>
      </c>
      <c r="AR108" s="71"/>
      <c r="AS108" s="71">
        <f ca="1">-IF(C108=1,(F108+K108+L108+Q108)/2*'Invoer gegevens'!$F$37*Reeksen!L108,0)</f>
        <v>0</v>
      </c>
      <c r="AT108" s="71">
        <f ca="1">-IF(C108=1,IF(E108='Invoer gegevens'!$C$17,'Invoer gegevens'!$C$11,AD108)*Reeksen!S108*'Invoer gegevens'!$C$18*Reeksen!P108,0)</f>
        <v>0</v>
      </c>
      <c r="AU108" s="71">
        <f ca="1">-IF(C108=1,(F108+K108+L108+Q108)/2*'Invoer gegevens'!$F$38*Reeksen!H108,0)</f>
        <v>0</v>
      </c>
      <c r="AV108" s="71">
        <f t="shared" si="23"/>
        <v>0</v>
      </c>
      <c r="AW108" s="71">
        <f t="shared" ca="1" si="20"/>
        <v>0</v>
      </c>
      <c r="AX108" s="71">
        <f ca="1">IF(E108&lt;'Invoer gegevens'!$C$17+15,0,IF(E108&gt;'Invoer gegevens'!$C$17+215,0,AW108))</f>
        <v>0</v>
      </c>
      <c r="AY108" s="71">
        <f ca="1">AX108/(1+'Invoer gegevens'!$F$18)^($AZ108-('Invoer gegevens'!$C$17-'Invoer gegevens'!$C$16))/(1+'Invoer gegevens'!$C$39)^('Invoer gegevens'!$C$17-'Invoer gegevens'!$C$16)</f>
        <v>0</v>
      </c>
      <c r="AZ108" s="68">
        <f ca="1">IF(E108-'Invoer gegevens'!$C$17-14.5&lt;0,0,E108-'Invoer gegevens'!$C$17-14.5)</f>
        <v>88.5</v>
      </c>
    </row>
    <row r="109" spans="1:52" x14ac:dyDescent="0.25">
      <c r="A109" s="59"/>
      <c r="B109" s="70">
        <f t="shared" si="21"/>
        <v>105</v>
      </c>
      <c r="C109" s="67">
        <f ca="1">IF(E109-'Invoer gegevens'!$C$17&lt;0,0,1)</f>
        <v>1</v>
      </c>
      <c r="D109" s="68">
        <f t="shared" si="22"/>
        <v>104.5</v>
      </c>
      <c r="E109" s="69">
        <f ca="1">IF('Invoer gegevens'!$C$16="","",E108+1)</f>
        <v>2123</v>
      </c>
      <c r="F109" s="84">
        <f ca="1">IF('Invoer gegevens'!$C$17=E109,'Invoer gegevens'!$C$10,IF(C109=1,K108,0))</f>
        <v>0</v>
      </c>
      <c r="G109" s="96">
        <f ca="1">IF(C109&gt;=1,F109*VLOOKUP(E109,Reeksen!$A$5:$B$76,2),0)</f>
        <v>0</v>
      </c>
      <c r="H109" s="84">
        <f ca="1">(1-('Invoer gegevens'!$F$20/12))*F109*MIN(Reeksen!B109,Reeksen!D109)</f>
        <v>0</v>
      </c>
      <c r="I109" s="84">
        <f>IF(Reeksen!D109&lt;Reeksen!B109,(Reeksen!B109-Reeksen!D109)*F109,0)</f>
        <v>0</v>
      </c>
      <c r="J109" s="84">
        <f ca="1">('Invoer gegevens'!$F$20/12)*F108*MIN(Reeksen!B108,Reeksen!D108)</f>
        <v>0</v>
      </c>
      <c r="K109" s="97">
        <f t="shared" ca="1" si="12"/>
        <v>0</v>
      </c>
      <c r="L109" s="84">
        <f ca="1">IF('Invoer gegevens'!$C$17=E109,0,IF(C109=1,Q108,0))</f>
        <v>0</v>
      </c>
      <c r="M109" s="96">
        <f ca="1">IF(C109&gt;=1,L109*VLOOKUP(E109,Reeksen!$A$5:$B$76,2),0)</f>
        <v>0</v>
      </c>
      <c r="N109" s="84">
        <f ca="1">(1-('Invoer gegevens'!$F$20/12))*L109*MIN(Reeksen!B109,Reeksen!D109)</f>
        <v>0</v>
      </c>
      <c r="O109" s="84">
        <f>IF(Reeksen!D109&lt;Reeksen!B109,(Reeksen!B109-Reeksen!D109)*L109,0)</f>
        <v>0</v>
      </c>
      <c r="P109" s="84">
        <f ca="1">('Invoer gegevens'!$F$20/12)*L108*MIN(Reeksen!B108,Reeksen!D108)</f>
        <v>0</v>
      </c>
      <c r="Q109" s="84">
        <f t="shared" ca="1" si="13"/>
        <v>0</v>
      </c>
      <c r="R109" s="82">
        <f ca="1">IF('Invoer gegevens'!$C$17=E109,'Invoer gegevens'!$C$11,IF(C109=1,W108,0))</f>
        <v>0</v>
      </c>
      <c r="S109" s="86">
        <f ca="1">IF(C109&gt;=1,R109*VLOOKUP(E109,Reeksen!$A$5:$B$76,2),0)</f>
        <v>0</v>
      </c>
      <c r="T109" s="84">
        <f ca="1">(1-('Invoer gegevens'!$F$20/12))*R109*MIN(Reeksen!B109,Reeksen!D109)</f>
        <v>0</v>
      </c>
      <c r="U109" s="84">
        <f>IF(Reeksen!D109&gt;=Reeksen!B109,0,IF(Reeksen!AD109&lt;=Reeksen!AE109,(Reeksen!B109-Reeksen!D109)*R109,0))</f>
        <v>0</v>
      </c>
      <c r="V109" s="86">
        <f>IF(Reeksen!D109&gt;=Reeksen!B109,0,IF(Reeksen!AD109&gt;Reeksen!AE109,(Reeksen!B109-Reeksen!D109)*R109,0))</f>
        <v>0</v>
      </c>
      <c r="W109" s="97">
        <f t="shared" ca="1" si="14"/>
        <v>0</v>
      </c>
      <c r="X109" s="98">
        <f ca="1">IF('Invoer gegevens'!$C$17=E109,'Invoer gegevens'!$C$10-'Invoer gegevens'!$C$11,IF(C109=1,AC108,0))</f>
        <v>0</v>
      </c>
      <c r="Y109" s="98">
        <f ca="1">IF(C109&gt;=1,X109*VLOOKUP(E109,Reeksen!$A$5:$B$76,2),0)</f>
        <v>0</v>
      </c>
      <c r="Z109" s="98">
        <f ca="1">(1-('Invoer gegevens'!$F$20/12))*X109*MIN(Reeksen!B109,Reeksen!D109)</f>
        <v>0</v>
      </c>
      <c r="AA109" s="98">
        <f>IF(Reeksen!D109&gt;=Reeksen!B109,0,IF(Reeksen!AD109&lt;=Reeksen!AE109,(Reeksen!B109-Reeksen!D109)*X109,0))</f>
        <v>0</v>
      </c>
      <c r="AB109" s="98">
        <f>IF(Reeksen!D109&gt;=Reeksen!B109,0,IF(Reeksen!AD109&gt;Reeksen!AE109,(Reeksen!B109-Reeksen!D109)*X109,0))</f>
        <v>0</v>
      </c>
      <c r="AC109" s="99">
        <f t="shared" ca="1" si="15"/>
        <v>0</v>
      </c>
      <c r="AD109" s="98">
        <f ca="1">IF('Invoer gegevens'!$C$17=E109,R109,IF(C109=0,0,AE108))</f>
        <v>0</v>
      </c>
      <c r="AE109" s="98">
        <f t="shared" ca="1" si="16"/>
        <v>0</v>
      </c>
      <c r="AF109" s="98">
        <f ca="1">IF('Invoer gegevens'!$C$17=E109,X109,IF(C109=0,0,AG108))</f>
        <v>0</v>
      </c>
      <c r="AG109" s="98">
        <f t="shared" ca="1" si="17"/>
        <v>0</v>
      </c>
      <c r="AH109" s="66"/>
      <c r="AI109" s="71">
        <f ca="1">IF(C109=1,Reeksen!AI109*((F109-G109+F109)/2)*12+Reeksen!AD109*((L109-M109+L109)/2)*12,0)</f>
        <v>0</v>
      </c>
      <c r="AJ109" s="71">
        <f ca="1">-AI109*'Invoer gegevens'!$F$28</f>
        <v>0</v>
      </c>
      <c r="AK109" s="71">
        <f t="shared" ca="1" si="18"/>
        <v>0</v>
      </c>
      <c r="AL109" s="71">
        <f ca="1">IF(C109=1,Reeksen!AL109*((F109-G109+F109)/2)*12+Reeksen!AM109*((L109-M109+L109)/2)*12,0)</f>
        <v>0</v>
      </c>
      <c r="AM109" s="71">
        <f ca="1">-AL109*'Invoer gegevens'!$F$31</f>
        <v>0</v>
      </c>
      <c r="AN109" s="71">
        <f t="shared" ca="1" si="19"/>
        <v>0</v>
      </c>
      <c r="AO109" s="71">
        <f ca="1">IF(C109=1,(H109+J109+N109+P109)*Reeksen!AN109,0)</f>
        <v>0</v>
      </c>
      <c r="AP109" s="71">
        <f ca="1">-IF(C109=1,(H109+J109+N109+P109)*'Hulp - basis'!$G$550*Reeksen!H109,0)</f>
        <v>0</v>
      </c>
      <c r="AQ109" s="71">
        <f ca="1">-IF(C109=1,(F109+K109+L109+Q109)/2*'Invoer gegevens'!$F$35*Reeksen!J109,0)*2</f>
        <v>0</v>
      </c>
      <c r="AR109" s="71"/>
      <c r="AS109" s="71">
        <f ca="1">-IF(C109=1,(F109+K109+L109+Q109)/2*'Invoer gegevens'!$F$37*Reeksen!L109,0)</f>
        <v>0</v>
      </c>
      <c r="AT109" s="71">
        <f ca="1">-IF(C109=1,IF(E109='Invoer gegevens'!$C$17,'Invoer gegevens'!$C$11,AD109)*Reeksen!S109*'Invoer gegevens'!$C$18*Reeksen!P109,0)</f>
        <v>0</v>
      </c>
      <c r="AU109" s="71">
        <f ca="1">-IF(C109=1,(F109+K109+L109+Q109)/2*'Invoer gegevens'!$F$38*Reeksen!H109,0)</f>
        <v>0</v>
      </c>
      <c r="AV109" s="71">
        <f t="shared" si="23"/>
        <v>0</v>
      </c>
      <c r="AW109" s="71">
        <f t="shared" ca="1" si="20"/>
        <v>0</v>
      </c>
      <c r="AX109" s="71">
        <f ca="1">IF(E109&lt;'Invoer gegevens'!$C$17+15,0,IF(E109&gt;'Invoer gegevens'!$C$17+215,0,AW109))</f>
        <v>0</v>
      </c>
      <c r="AY109" s="71">
        <f ca="1">AX109/(1+'Invoer gegevens'!$F$18)^($AZ109-('Invoer gegevens'!$C$17-'Invoer gegevens'!$C$16))/(1+'Invoer gegevens'!$C$39)^('Invoer gegevens'!$C$17-'Invoer gegevens'!$C$16)</f>
        <v>0</v>
      </c>
      <c r="AZ109" s="68">
        <f ca="1">IF(E109-'Invoer gegevens'!$C$17-14.5&lt;0,0,E109-'Invoer gegevens'!$C$17-14.5)</f>
        <v>89.5</v>
      </c>
    </row>
    <row r="110" spans="1:52" x14ac:dyDescent="0.25">
      <c r="A110" s="59"/>
      <c r="B110" s="70">
        <f t="shared" si="21"/>
        <v>106</v>
      </c>
      <c r="C110" s="67">
        <f ca="1">IF(E110-'Invoer gegevens'!$C$17&lt;0,0,1)</f>
        <v>1</v>
      </c>
      <c r="D110" s="68">
        <f t="shared" si="22"/>
        <v>105.5</v>
      </c>
      <c r="E110" s="69">
        <f ca="1">IF('Invoer gegevens'!$C$16="","",E109+1)</f>
        <v>2124</v>
      </c>
      <c r="F110" s="84">
        <f ca="1">IF('Invoer gegevens'!$C$17=E110,'Invoer gegevens'!$C$10,IF(C110=1,K109,0))</f>
        <v>0</v>
      </c>
      <c r="G110" s="96">
        <f ca="1">IF(C110&gt;=1,F110*VLOOKUP(E110,Reeksen!$A$5:$B$76,2),0)</f>
        <v>0</v>
      </c>
      <c r="H110" s="84">
        <f ca="1">(1-('Invoer gegevens'!$F$20/12))*F110*MIN(Reeksen!B110,Reeksen!D110)</f>
        <v>0</v>
      </c>
      <c r="I110" s="84">
        <f>IF(Reeksen!D110&lt;Reeksen!B110,(Reeksen!B110-Reeksen!D110)*F110,0)</f>
        <v>0</v>
      </c>
      <c r="J110" s="84">
        <f ca="1">('Invoer gegevens'!$F$20/12)*F109*MIN(Reeksen!B109,Reeksen!D109)</f>
        <v>0</v>
      </c>
      <c r="K110" s="97">
        <f t="shared" ca="1" si="12"/>
        <v>0</v>
      </c>
      <c r="L110" s="84">
        <f ca="1">IF('Invoer gegevens'!$C$17=E110,0,IF(C110=1,Q109,0))</f>
        <v>0</v>
      </c>
      <c r="M110" s="96">
        <f ca="1">IF(C110&gt;=1,L110*VLOOKUP(E110,Reeksen!$A$5:$B$76,2),0)</f>
        <v>0</v>
      </c>
      <c r="N110" s="84">
        <f ca="1">(1-('Invoer gegevens'!$F$20/12))*L110*MIN(Reeksen!B110,Reeksen!D110)</f>
        <v>0</v>
      </c>
      <c r="O110" s="84">
        <f>IF(Reeksen!D110&lt;Reeksen!B110,(Reeksen!B110-Reeksen!D110)*L110,0)</f>
        <v>0</v>
      </c>
      <c r="P110" s="84">
        <f ca="1">('Invoer gegevens'!$F$20/12)*L109*MIN(Reeksen!B109,Reeksen!D109)</f>
        <v>0</v>
      </c>
      <c r="Q110" s="84">
        <f t="shared" ca="1" si="13"/>
        <v>0</v>
      </c>
      <c r="R110" s="82">
        <f ca="1">IF('Invoer gegevens'!$C$17=E110,'Invoer gegevens'!$C$11,IF(C110=1,W109,0))</f>
        <v>0</v>
      </c>
      <c r="S110" s="86">
        <f ca="1">IF(C110&gt;=1,R110*VLOOKUP(E110,Reeksen!$A$5:$B$76,2),0)</f>
        <v>0</v>
      </c>
      <c r="T110" s="84">
        <f ca="1">(1-('Invoer gegevens'!$F$20/12))*R110*MIN(Reeksen!B110,Reeksen!D110)</f>
        <v>0</v>
      </c>
      <c r="U110" s="84">
        <f>IF(Reeksen!D110&gt;=Reeksen!B110,0,IF(Reeksen!AD110&lt;=Reeksen!AE110,(Reeksen!B110-Reeksen!D110)*R110,0))</f>
        <v>0</v>
      </c>
      <c r="V110" s="86">
        <f>IF(Reeksen!D110&gt;=Reeksen!B110,0,IF(Reeksen!AD110&gt;Reeksen!AE110,(Reeksen!B110-Reeksen!D110)*R110,0))</f>
        <v>0</v>
      </c>
      <c r="W110" s="97">
        <f t="shared" ca="1" si="14"/>
        <v>0</v>
      </c>
      <c r="X110" s="98">
        <f ca="1">IF('Invoer gegevens'!$C$17=E110,'Invoer gegevens'!$C$10-'Invoer gegevens'!$C$11,IF(C110=1,AC109,0))</f>
        <v>0</v>
      </c>
      <c r="Y110" s="98">
        <f ca="1">IF(C110&gt;=1,X110*VLOOKUP(E110,Reeksen!$A$5:$B$76,2),0)</f>
        <v>0</v>
      </c>
      <c r="Z110" s="98">
        <f ca="1">(1-('Invoer gegevens'!$F$20/12))*X110*MIN(Reeksen!B110,Reeksen!D110)</f>
        <v>0</v>
      </c>
      <c r="AA110" s="98">
        <f>IF(Reeksen!D110&gt;=Reeksen!B110,0,IF(Reeksen!AD110&lt;=Reeksen!AE110,(Reeksen!B110-Reeksen!D110)*X110,0))</f>
        <v>0</v>
      </c>
      <c r="AB110" s="98">
        <f>IF(Reeksen!D110&gt;=Reeksen!B110,0,IF(Reeksen!AD110&gt;Reeksen!AE110,(Reeksen!B110-Reeksen!D110)*X110,0))</f>
        <v>0</v>
      </c>
      <c r="AC110" s="99">
        <f t="shared" ca="1" si="15"/>
        <v>0</v>
      </c>
      <c r="AD110" s="98">
        <f ca="1">IF('Invoer gegevens'!$C$17=E110,R110,IF(C110=0,0,AE109))</f>
        <v>0</v>
      </c>
      <c r="AE110" s="98">
        <f t="shared" ca="1" si="16"/>
        <v>0</v>
      </c>
      <c r="AF110" s="98">
        <f ca="1">IF('Invoer gegevens'!$C$17=E110,X110,IF(C110=0,0,AG109))</f>
        <v>0</v>
      </c>
      <c r="AG110" s="98">
        <f t="shared" ca="1" si="17"/>
        <v>0</v>
      </c>
      <c r="AH110" s="66"/>
      <c r="AI110" s="71">
        <f ca="1">IF(C110=1,Reeksen!AI110*((F110-G110+F110)/2)*12+Reeksen!AD110*((L110-M110+L110)/2)*12,0)</f>
        <v>0</v>
      </c>
      <c r="AJ110" s="71">
        <f ca="1">-AI110*'Invoer gegevens'!$F$28</f>
        <v>0</v>
      </c>
      <c r="AK110" s="71">
        <f t="shared" ca="1" si="18"/>
        <v>0</v>
      </c>
      <c r="AL110" s="71">
        <f ca="1">IF(C110=1,Reeksen!AL110*((F110-G110+F110)/2)*12+Reeksen!AM110*((L110-M110+L110)/2)*12,0)</f>
        <v>0</v>
      </c>
      <c r="AM110" s="71">
        <f ca="1">-AL110*'Invoer gegevens'!$F$31</f>
        <v>0</v>
      </c>
      <c r="AN110" s="71">
        <f t="shared" ca="1" si="19"/>
        <v>0</v>
      </c>
      <c r="AO110" s="71">
        <f ca="1">IF(C110=1,(H110+J110+N110+P110)*Reeksen!AN110,0)</f>
        <v>0</v>
      </c>
      <c r="AP110" s="71">
        <f ca="1">-IF(C110=1,(H110+J110+N110+P110)*'Hulp - basis'!$G$550*Reeksen!H110,0)</f>
        <v>0</v>
      </c>
      <c r="AQ110" s="71">
        <f ca="1">-IF(C110=1,(F110+K110+L110+Q110)/2*'Invoer gegevens'!$F$35*Reeksen!J110,0)*2</f>
        <v>0</v>
      </c>
      <c r="AR110" s="71"/>
      <c r="AS110" s="71">
        <f ca="1">-IF(C110=1,(F110+K110+L110+Q110)/2*'Invoer gegevens'!$F$37*Reeksen!L110,0)</f>
        <v>0</v>
      </c>
      <c r="AT110" s="71">
        <f ca="1">-IF(C110=1,IF(E110='Invoer gegevens'!$C$17,'Invoer gegevens'!$C$11,AD110)*Reeksen!S110*'Invoer gegevens'!$C$18*Reeksen!P110,0)</f>
        <v>0</v>
      </c>
      <c r="AU110" s="71">
        <f ca="1">-IF(C110=1,(F110+K110+L110+Q110)/2*'Invoer gegevens'!$F$38*Reeksen!H110,0)</f>
        <v>0</v>
      </c>
      <c r="AV110" s="71">
        <f t="shared" si="23"/>
        <v>0</v>
      </c>
      <c r="AW110" s="71">
        <f t="shared" ca="1" si="20"/>
        <v>0</v>
      </c>
      <c r="AX110" s="71">
        <f ca="1">IF(E110&lt;'Invoer gegevens'!$C$17+15,0,IF(E110&gt;'Invoer gegevens'!$C$17+215,0,AW110))</f>
        <v>0</v>
      </c>
      <c r="AY110" s="71">
        <f ca="1">AX110/(1+'Invoer gegevens'!$F$18)^($AZ110-('Invoer gegevens'!$C$17-'Invoer gegevens'!$C$16))/(1+'Invoer gegevens'!$C$39)^('Invoer gegevens'!$C$17-'Invoer gegevens'!$C$16)</f>
        <v>0</v>
      </c>
      <c r="AZ110" s="68">
        <f ca="1">IF(E110-'Invoer gegevens'!$C$17-14.5&lt;0,0,E110-'Invoer gegevens'!$C$17-14.5)</f>
        <v>90.5</v>
      </c>
    </row>
    <row r="111" spans="1:52" x14ac:dyDescent="0.25">
      <c r="A111" s="59"/>
      <c r="B111" s="70">
        <f t="shared" si="21"/>
        <v>107</v>
      </c>
      <c r="C111" s="67">
        <f ca="1">IF(E111-'Invoer gegevens'!$C$17&lt;0,0,1)</f>
        <v>1</v>
      </c>
      <c r="D111" s="68">
        <f t="shared" si="22"/>
        <v>106.5</v>
      </c>
      <c r="E111" s="69">
        <f ca="1">IF('Invoer gegevens'!$C$16="","",E110+1)</f>
        <v>2125</v>
      </c>
      <c r="F111" s="84">
        <f ca="1">IF('Invoer gegevens'!$C$17=E111,'Invoer gegevens'!$C$10,IF(C111=1,K110,0))</f>
        <v>0</v>
      </c>
      <c r="G111" s="96">
        <f ca="1">IF(C111&gt;=1,F111*VLOOKUP(E111,Reeksen!$A$5:$B$76,2),0)</f>
        <v>0</v>
      </c>
      <c r="H111" s="84">
        <f ca="1">(1-('Invoer gegevens'!$F$20/12))*F111*MIN(Reeksen!B111,Reeksen!D111)</f>
        <v>0</v>
      </c>
      <c r="I111" s="84">
        <f>IF(Reeksen!D111&lt;Reeksen!B111,(Reeksen!B111-Reeksen!D111)*F111,0)</f>
        <v>0</v>
      </c>
      <c r="J111" s="84">
        <f ca="1">('Invoer gegevens'!$F$20/12)*F110*MIN(Reeksen!B110,Reeksen!D110)</f>
        <v>0</v>
      </c>
      <c r="K111" s="97">
        <f t="shared" ca="1" si="12"/>
        <v>0</v>
      </c>
      <c r="L111" s="84">
        <f ca="1">IF('Invoer gegevens'!$C$17=E111,0,IF(C111=1,Q110,0))</f>
        <v>0</v>
      </c>
      <c r="M111" s="96">
        <f ca="1">IF(C111&gt;=1,L111*VLOOKUP(E111,Reeksen!$A$5:$B$76,2),0)</f>
        <v>0</v>
      </c>
      <c r="N111" s="84">
        <f ca="1">(1-('Invoer gegevens'!$F$20/12))*L111*MIN(Reeksen!B111,Reeksen!D111)</f>
        <v>0</v>
      </c>
      <c r="O111" s="84">
        <f>IF(Reeksen!D111&lt;Reeksen!B111,(Reeksen!B111-Reeksen!D111)*L111,0)</f>
        <v>0</v>
      </c>
      <c r="P111" s="84">
        <f ca="1">('Invoer gegevens'!$F$20/12)*L110*MIN(Reeksen!B110,Reeksen!D110)</f>
        <v>0</v>
      </c>
      <c r="Q111" s="84">
        <f t="shared" ca="1" si="13"/>
        <v>0</v>
      </c>
      <c r="R111" s="82">
        <f ca="1">IF('Invoer gegevens'!$C$17=E111,'Invoer gegevens'!$C$11,IF(C111=1,W110,0))</f>
        <v>0</v>
      </c>
      <c r="S111" s="86">
        <f ca="1">IF(C111&gt;=1,R111*VLOOKUP(E111,Reeksen!$A$5:$B$76,2),0)</f>
        <v>0</v>
      </c>
      <c r="T111" s="84">
        <f ca="1">(1-('Invoer gegevens'!$F$20/12))*R111*MIN(Reeksen!B111,Reeksen!D111)</f>
        <v>0</v>
      </c>
      <c r="U111" s="84">
        <f>IF(Reeksen!D111&gt;=Reeksen!B111,0,IF(Reeksen!AD111&lt;=Reeksen!AE111,(Reeksen!B111-Reeksen!D111)*R111,0))</f>
        <v>0</v>
      </c>
      <c r="V111" s="86">
        <f>IF(Reeksen!D111&gt;=Reeksen!B111,0,IF(Reeksen!AD111&gt;Reeksen!AE111,(Reeksen!B111-Reeksen!D111)*R111,0))</f>
        <v>0</v>
      </c>
      <c r="W111" s="97">
        <f t="shared" ca="1" si="14"/>
        <v>0</v>
      </c>
      <c r="X111" s="98">
        <f ca="1">IF('Invoer gegevens'!$C$17=E111,'Invoer gegevens'!$C$10-'Invoer gegevens'!$C$11,IF(C111=1,AC110,0))</f>
        <v>0</v>
      </c>
      <c r="Y111" s="98">
        <f ca="1">IF(C111&gt;=1,X111*VLOOKUP(E111,Reeksen!$A$5:$B$76,2),0)</f>
        <v>0</v>
      </c>
      <c r="Z111" s="98">
        <f ca="1">(1-('Invoer gegevens'!$F$20/12))*X111*MIN(Reeksen!B111,Reeksen!D111)</f>
        <v>0</v>
      </c>
      <c r="AA111" s="98">
        <f>IF(Reeksen!D111&gt;=Reeksen!B111,0,IF(Reeksen!AD111&lt;=Reeksen!AE111,(Reeksen!B111-Reeksen!D111)*X111,0))</f>
        <v>0</v>
      </c>
      <c r="AB111" s="98">
        <f>IF(Reeksen!D111&gt;=Reeksen!B111,0,IF(Reeksen!AD111&gt;Reeksen!AE111,(Reeksen!B111-Reeksen!D111)*X111,0))</f>
        <v>0</v>
      </c>
      <c r="AC111" s="99">
        <f t="shared" ca="1" si="15"/>
        <v>0</v>
      </c>
      <c r="AD111" s="98">
        <f ca="1">IF('Invoer gegevens'!$C$17=E111,R111,IF(C111=0,0,AE110))</f>
        <v>0</v>
      </c>
      <c r="AE111" s="98">
        <f t="shared" ca="1" si="16"/>
        <v>0</v>
      </c>
      <c r="AF111" s="98">
        <f ca="1">IF('Invoer gegevens'!$C$17=E111,X111,IF(C111=0,0,AG110))</f>
        <v>0</v>
      </c>
      <c r="AG111" s="98">
        <f t="shared" ca="1" si="17"/>
        <v>0</v>
      </c>
      <c r="AH111" s="66"/>
      <c r="AI111" s="71">
        <f ca="1">IF(C111=1,Reeksen!AI111*((F111-G111+F111)/2)*12+Reeksen!AD111*((L111-M111+L111)/2)*12,0)</f>
        <v>0</v>
      </c>
      <c r="AJ111" s="71">
        <f ca="1">-AI111*'Invoer gegevens'!$F$28</f>
        <v>0</v>
      </c>
      <c r="AK111" s="71">
        <f t="shared" ca="1" si="18"/>
        <v>0</v>
      </c>
      <c r="AL111" s="71">
        <f ca="1">IF(C111=1,Reeksen!AL111*((F111-G111+F111)/2)*12+Reeksen!AM111*((L111-M111+L111)/2)*12,0)</f>
        <v>0</v>
      </c>
      <c r="AM111" s="71">
        <f ca="1">-AL111*'Invoer gegevens'!$F$31</f>
        <v>0</v>
      </c>
      <c r="AN111" s="71">
        <f t="shared" ca="1" si="19"/>
        <v>0</v>
      </c>
      <c r="AO111" s="71">
        <f ca="1">IF(C111=1,(H111+J111+N111+P111)*Reeksen!AN111,0)</f>
        <v>0</v>
      </c>
      <c r="AP111" s="71">
        <f ca="1">-IF(C111=1,(H111+J111+N111+P111)*'Hulp - basis'!$G$550*Reeksen!H111,0)</f>
        <v>0</v>
      </c>
      <c r="AQ111" s="71">
        <f ca="1">-IF(C111=1,(F111+K111+L111+Q111)/2*'Invoer gegevens'!$F$35*Reeksen!J111,0)*2</f>
        <v>0</v>
      </c>
      <c r="AR111" s="71"/>
      <c r="AS111" s="71">
        <f ca="1">-IF(C111=1,(F111+K111+L111+Q111)/2*'Invoer gegevens'!$F$37*Reeksen!L111,0)</f>
        <v>0</v>
      </c>
      <c r="AT111" s="71">
        <f ca="1">-IF(C111=1,IF(E111='Invoer gegevens'!$C$17,'Invoer gegevens'!$C$11,AD111)*Reeksen!S111*'Invoer gegevens'!$C$18*Reeksen!P111,0)</f>
        <v>0</v>
      </c>
      <c r="AU111" s="71">
        <f ca="1">-IF(C111=1,(F111+K111+L111+Q111)/2*'Invoer gegevens'!$F$38*Reeksen!H111,0)</f>
        <v>0</v>
      </c>
      <c r="AV111" s="71">
        <f t="shared" si="23"/>
        <v>0</v>
      </c>
      <c r="AW111" s="71">
        <f t="shared" ca="1" si="20"/>
        <v>0</v>
      </c>
      <c r="AX111" s="71">
        <f ca="1">IF(E111&lt;'Invoer gegevens'!$C$17+15,0,IF(E111&gt;'Invoer gegevens'!$C$17+215,0,AW111))</f>
        <v>0</v>
      </c>
      <c r="AY111" s="71">
        <f ca="1">AX111/(1+'Invoer gegevens'!$F$18)^($AZ111-('Invoer gegevens'!$C$17-'Invoer gegevens'!$C$16))/(1+'Invoer gegevens'!$C$39)^('Invoer gegevens'!$C$17-'Invoer gegevens'!$C$16)</f>
        <v>0</v>
      </c>
      <c r="AZ111" s="68">
        <f ca="1">IF(E111-'Invoer gegevens'!$C$17-14.5&lt;0,0,E111-'Invoer gegevens'!$C$17-14.5)</f>
        <v>91.5</v>
      </c>
    </row>
    <row r="112" spans="1:52" x14ac:dyDescent="0.25">
      <c r="A112" s="59"/>
      <c r="B112" s="70">
        <f t="shared" si="21"/>
        <v>108</v>
      </c>
      <c r="C112" s="67">
        <f ca="1">IF(E112-'Invoer gegevens'!$C$17&lt;0,0,1)</f>
        <v>1</v>
      </c>
      <c r="D112" s="68">
        <f t="shared" si="22"/>
        <v>107.5</v>
      </c>
      <c r="E112" s="69">
        <f ca="1">IF('Invoer gegevens'!$C$16="","",E111+1)</f>
        <v>2126</v>
      </c>
      <c r="F112" s="84">
        <f ca="1">IF('Invoer gegevens'!$C$17=E112,'Invoer gegevens'!$C$10,IF(C112=1,K111,0))</f>
        <v>0</v>
      </c>
      <c r="G112" s="96">
        <f ca="1">IF(C112&gt;=1,F112*VLOOKUP(E112,Reeksen!$A$5:$B$76,2),0)</f>
        <v>0</v>
      </c>
      <c r="H112" s="84">
        <f ca="1">(1-('Invoer gegevens'!$F$20/12))*F112*MIN(Reeksen!B112,Reeksen!D112)</f>
        <v>0</v>
      </c>
      <c r="I112" s="84">
        <f>IF(Reeksen!D112&lt;Reeksen!B112,(Reeksen!B112-Reeksen!D112)*F112,0)</f>
        <v>0</v>
      </c>
      <c r="J112" s="84">
        <f ca="1">('Invoer gegevens'!$F$20/12)*F111*MIN(Reeksen!B111,Reeksen!D111)</f>
        <v>0</v>
      </c>
      <c r="K112" s="97">
        <f t="shared" ca="1" si="12"/>
        <v>0</v>
      </c>
      <c r="L112" s="84">
        <f ca="1">IF('Invoer gegevens'!$C$17=E112,0,IF(C112=1,Q111,0))</f>
        <v>0</v>
      </c>
      <c r="M112" s="96">
        <f ca="1">IF(C112&gt;=1,L112*VLOOKUP(E112,Reeksen!$A$5:$B$76,2),0)</f>
        <v>0</v>
      </c>
      <c r="N112" s="84">
        <f ca="1">(1-('Invoer gegevens'!$F$20/12))*L112*MIN(Reeksen!B112,Reeksen!D112)</f>
        <v>0</v>
      </c>
      <c r="O112" s="84">
        <f>IF(Reeksen!D112&lt;Reeksen!B112,(Reeksen!B112-Reeksen!D112)*L112,0)</f>
        <v>0</v>
      </c>
      <c r="P112" s="84">
        <f ca="1">('Invoer gegevens'!$F$20/12)*L111*MIN(Reeksen!B111,Reeksen!D111)</f>
        <v>0</v>
      </c>
      <c r="Q112" s="84">
        <f t="shared" ca="1" si="13"/>
        <v>0</v>
      </c>
      <c r="R112" s="82">
        <f ca="1">IF('Invoer gegevens'!$C$17=E112,'Invoer gegevens'!$C$11,IF(C112=1,W111,0))</f>
        <v>0</v>
      </c>
      <c r="S112" s="86">
        <f ca="1">IF(C112&gt;=1,R112*VLOOKUP(E112,Reeksen!$A$5:$B$76,2),0)</f>
        <v>0</v>
      </c>
      <c r="T112" s="84">
        <f ca="1">(1-('Invoer gegevens'!$F$20/12))*R112*MIN(Reeksen!B112,Reeksen!D112)</f>
        <v>0</v>
      </c>
      <c r="U112" s="84">
        <f>IF(Reeksen!D112&gt;=Reeksen!B112,0,IF(Reeksen!AD112&lt;=Reeksen!AE112,(Reeksen!B112-Reeksen!D112)*R112,0))</f>
        <v>0</v>
      </c>
      <c r="V112" s="86">
        <f>IF(Reeksen!D112&gt;=Reeksen!B112,0,IF(Reeksen!AD112&gt;Reeksen!AE112,(Reeksen!B112-Reeksen!D112)*R112,0))</f>
        <v>0</v>
      </c>
      <c r="W112" s="97">
        <f t="shared" ca="1" si="14"/>
        <v>0</v>
      </c>
      <c r="X112" s="98">
        <f ca="1">IF('Invoer gegevens'!$C$17=E112,'Invoer gegevens'!$C$10-'Invoer gegevens'!$C$11,IF(C112=1,AC111,0))</f>
        <v>0</v>
      </c>
      <c r="Y112" s="98">
        <f ca="1">IF(C112&gt;=1,X112*VLOOKUP(E112,Reeksen!$A$5:$B$76,2),0)</f>
        <v>0</v>
      </c>
      <c r="Z112" s="98">
        <f ca="1">(1-('Invoer gegevens'!$F$20/12))*X112*MIN(Reeksen!B112,Reeksen!D112)</f>
        <v>0</v>
      </c>
      <c r="AA112" s="98">
        <f>IF(Reeksen!D112&gt;=Reeksen!B112,0,IF(Reeksen!AD112&lt;=Reeksen!AE112,(Reeksen!B112-Reeksen!D112)*X112,0))</f>
        <v>0</v>
      </c>
      <c r="AB112" s="98">
        <f>IF(Reeksen!D112&gt;=Reeksen!B112,0,IF(Reeksen!AD112&gt;Reeksen!AE112,(Reeksen!B112-Reeksen!D112)*X112,0))</f>
        <v>0</v>
      </c>
      <c r="AC112" s="99">
        <f t="shared" ca="1" si="15"/>
        <v>0</v>
      </c>
      <c r="AD112" s="98">
        <f ca="1">IF('Invoer gegevens'!$C$17=E112,R112,IF(C112=0,0,AE111))</f>
        <v>0</v>
      </c>
      <c r="AE112" s="98">
        <f t="shared" ca="1" si="16"/>
        <v>0</v>
      </c>
      <c r="AF112" s="98">
        <f ca="1">IF('Invoer gegevens'!$C$17=E112,X112,IF(C112=0,0,AG111))</f>
        <v>0</v>
      </c>
      <c r="AG112" s="98">
        <f t="shared" ca="1" si="17"/>
        <v>0</v>
      </c>
      <c r="AH112" s="66"/>
      <c r="AI112" s="71">
        <f ca="1">IF(C112=1,Reeksen!AI112*((F112-G112+F112)/2)*12+Reeksen!AD112*((L112-M112+L112)/2)*12,0)</f>
        <v>0</v>
      </c>
      <c r="AJ112" s="71">
        <f ca="1">-AI112*'Invoer gegevens'!$F$28</f>
        <v>0</v>
      </c>
      <c r="AK112" s="71">
        <f t="shared" ca="1" si="18"/>
        <v>0</v>
      </c>
      <c r="AL112" s="71">
        <f ca="1">IF(C112=1,Reeksen!AL112*((F112-G112+F112)/2)*12+Reeksen!AM112*((L112-M112+L112)/2)*12,0)</f>
        <v>0</v>
      </c>
      <c r="AM112" s="71">
        <f ca="1">-AL112*'Invoer gegevens'!$F$31</f>
        <v>0</v>
      </c>
      <c r="AN112" s="71">
        <f t="shared" ca="1" si="19"/>
        <v>0</v>
      </c>
      <c r="AO112" s="71">
        <f ca="1">IF(C112=1,(H112+J112+N112+P112)*Reeksen!AN112,0)</f>
        <v>0</v>
      </c>
      <c r="AP112" s="71">
        <f ca="1">-IF(C112=1,(H112+J112+N112+P112)*'Hulp - basis'!$G$550*Reeksen!H112,0)</f>
        <v>0</v>
      </c>
      <c r="AQ112" s="71">
        <f ca="1">-IF(C112=1,(F112+K112+L112+Q112)/2*'Invoer gegevens'!$F$35*Reeksen!J112,0)*2</f>
        <v>0</v>
      </c>
      <c r="AR112" s="71"/>
      <c r="AS112" s="71">
        <f ca="1">-IF(C112=1,(F112+K112+L112+Q112)/2*'Invoer gegevens'!$F$37*Reeksen!L112,0)</f>
        <v>0</v>
      </c>
      <c r="AT112" s="71">
        <f ca="1">-IF(C112=1,IF(E112='Invoer gegevens'!$C$17,'Invoer gegevens'!$C$11,AD112)*Reeksen!S112*'Invoer gegevens'!$C$18*Reeksen!P112,0)</f>
        <v>0</v>
      </c>
      <c r="AU112" s="71">
        <f ca="1">-IF(C112=1,(F112+K112+L112+Q112)/2*'Invoer gegevens'!$F$38*Reeksen!H112,0)</f>
        <v>0</v>
      </c>
      <c r="AV112" s="71">
        <f t="shared" si="23"/>
        <v>0</v>
      </c>
      <c r="AW112" s="71">
        <f t="shared" ca="1" si="20"/>
        <v>0</v>
      </c>
      <c r="AX112" s="71">
        <f ca="1">IF(E112&lt;'Invoer gegevens'!$C$17+15,0,IF(E112&gt;'Invoer gegevens'!$C$17+215,0,AW112))</f>
        <v>0</v>
      </c>
      <c r="AY112" s="71">
        <f ca="1">AX112/(1+'Invoer gegevens'!$F$18)^($AZ112-('Invoer gegevens'!$C$17-'Invoer gegevens'!$C$16))/(1+'Invoer gegevens'!$C$39)^('Invoer gegevens'!$C$17-'Invoer gegevens'!$C$16)</f>
        <v>0</v>
      </c>
      <c r="AZ112" s="68">
        <f ca="1">IF(E112-'Invoer gegevens'!$C$17-14.5&lt;0,0,E112-'Invoer gegevens'!$C$17-14.5)</f>
        <v>92.5</v>
      </c>
    </row>
    <row r="113" spans="1:52" x14ac:dyDescent="0.25">
      <c r="A113" s="59"/>
      <c r="B113" s="70">
        <f t="shared" si="21"/>
        <v>109</v>
      </c>
      <c r="C113" s="67">
        <f ca="1">IF(E113-'Invoer gegevens'!$C$17&lt;0,0,1)</f>
        <v>1</v>
      </c>
      <c r="D113" s="68">
        <f t="shared" si="22"/>
        <v>108.5</v>
      </c>
      <c r="E113" s="69">
        <f ca="1">IF('Invoer gegevens'!$C$16="","",E112+1)</f>
        <v>2127</v>
      </c>
      <c r="F113" s="84">
        <f ca="1">IF('Invoer gegevens'!$C$17=E113,'Invoer gegevens'!$C$10,IF(C113=1,K112,0))</f>
        <v>0</v>
      </c>
      <c r="G113" s="96">
        <f ca="1">IF(C113&gt;=1,F113*VLOOKUP(E113,Reeksen!$A$5:$B$76,2),0)</f>
        <v>0</v>
      </c>
      <c r="H113" s="84">
        <f ca="1">(1-('Invoer gegevens'!$F$20/12))*F113*MIN(Reeksen!B113,Reeksen!D113)</f>
        <v>0</v>
      </c>
      <c r="I113" s="84">
        <f>IF(Reeksen!D113&lt;Reeksen!B113,(Reeksen!B113-Reeksen!D113)*F113,0)</f>
        <v>0</v>
      </c>
      <c r="J113" s="84">
        <f ca="1">('Invoer gegevens'!$F$20/12)*F112*MIN(Reeksen!B112,Reeksen!D112)</f>
        <v>0</v>
      </c>
      <c r="K113" s="97">
        <f t="shared" ca="1" si="12"/>
        <v>0</v>
      </c>
      <c r="L113" s="84">
        <f ca="1">IF('Invoer gegevens'!$C$17=E113,0,IF(C113=1,Q112,0))</f>
        <v>0</v>
      </c>
      <c r="M113" s="96">
        <f ca="1">IF(C113&gt;=1,L113*VLOOKUP(E113,Reeksen!$A$5:$B$76,2),0)</f>
        <v>0</v>
      </c>
      <c r="N113" s="84">
        <f ca="1">(1-('Invoer gegevens'!$F$20/12))*L113*MIN(Reeksen!B113,Reeksen!D113)</f>
        <v>0</v>
      </c>
      <c r="O113" s="84">
        <f>IF(Reeksen!D113&lt;Reeksen!B113,(Reeksen!B113-Reeksen!D113)*L113,0)</f>
        <v>0</v>
      </c>
      <c r="P113" s="84">
        <f ca="1">('Invoer gegevens'!$F$20/12)*L112*MIN(Reeksen!B112,Reeksen!D112)</f>
        <v>0</v>
      </c>
      <c r="Q113" s="84">
        <f t="shared" ca="1" si="13"/>
        <v>0</v>
      </c>
      <c r="R113" s="82">
        <f ca="1">IF('Invoer gegevens'!$C$17=E113,'Invoer gegevens'!$C$11,IF(C113=1,W112,0))</f>
        <v>0</v>
      </c>
      <c r="S113" s="86">
        <f ca="1">IF(C113&gt;=1,R113*VLOOKUP(E113,Reeksen!$A$5:$B$76,2),0)</f>
        <v>0</v>
      </c>
      <c r="T113" s="84">
        <f ca="1">(1-('Invoer gegevens'!$F$20/12))*R113*MIN(Reeksen!B113,Reeksen!D113)</f>
        <v>0</v>
      </c>
      <c r="U113" s="84">
        <f>IF(Reeksen!D113&gt;=Reeksen!B113,0,IF(Reeksen!AD113&lt;=Reeksen!AE113,(Reeksen!B113-Reeksen!D113)*R113,0))</f>
        <v>0</v>
      </c>
      <c r="V113" s="86">
        <f>IF(Reeksen!D113&gt;=Reeksen!B113,0,IF(Reeksen!AD113&gt;Reeksen!AE113,(Reeksen!B113-Reeksen!D113)*R113,0))</f>
        <v>0</v>
      </c>
      <c r="W113" s="97">
        <f t="shared" ca="1" si="14"/>
        <v>0</v>
      </c>
      <c r="X113" s="98">
        <f ca="1">IF('Invoer gegevens'!$C$17=E113,'Invoer gegevens'!$C$10-'Invoer gegevens'!$C$11,IF(C113=1,AC112,0))</f>
        <v>0</v>
      </c>
      <c r="Y113" s="98">
        <f ca="1">IF(C113&gt;=1,X113*VLOOKUP(E113,Reeksen!$A$5:$B$76,2),0)</f>
        <v>0</v>
      </c>
      <c r="Z113" s="98">
        <f ca="1">(1-('Invoer gegevens'!$F$20/12))*X113*MIN(Reeksen!B113,Reeksen!D113)</f>
        <v>0</v>
      </c>
      <c r="AA113" s="98">
        <f>IF(Reeksen!D113&gt;=Reeksen!B113,0,IF(Reeksen!AD113&lt;=Reeksen!AE113,(Reeksen!B113-Reeksen!D113)*X113,0))</f>
        <v>0</v>
      </c>
      <c r="AB113" s="98">
        <f>IF(Reeksen!D113&gt;=Reeksen!B113,0,IF(Reeksen!AD113&gt;Reeksen!AE113,(Reeksen!B113-Reeksen!D113)*X113,0))</f>
        <v>0</v>
      </c>
      <c r="AC113" s="99">
        <f t="shared" ca="1" si="15"/>
        <v>0</v>
      </c>
      <c r="AD113" s="98">
        <f ca="1">IF('Invoer gegevens'!$C$17=E113,R113,IF(C113=0,0,AE112))</f>
        <v>0</v>
      </c>
      <c r="AE113" s="98">
        <f t="shared" ca="1" si="16"/>
        <v>0</v>
      </c>
      <c r="AF113" s="98">
        <f ca="1">IF('Invoer gegevens'!$C$17=E113,X113,IF(C113=0,0,AG112))</f>
        <v>0</v>
      </c>
      <c r="AG113" s="98">
        <f t="shared" ca="1" si="17"/>
        <v>0</v>
      </c>
      <c r="AH113" s="66"/>
      <c r="AI113" s="71">
        <f ca="1">IF(C113=1,Reeksen!AI113*((F113-G113+F113)/2)*12+Reeksen!AD113*((L113-M113+L113)/2)*12,0)</f>
        <v>0</v>
      </c>
      <c r="AJ113" s="71">
        <f ca="1">-AI113*'Invoer gegevens'!$F$28</f>
        <v>0</v>
      </c>
      <c r="AK113" s="71">
        <f t="shared" ca="1" si="18"/>
        <v>0</v>
      </c>
      <c r="AL113" s="71">
        <f ca="1">IF(C113=1,Reeksen!AL113*((F113-G113+F113)/2)*12+Reeksen!AM113*((L113-M113+L113)/2)*12,0)</f>
        <v>0</v>
      </c>
      <c r="AM113" s="71">
        <f ca="1">-AL113*'Invoer gegevens'!$F$31</f>
        <v>0</v>
      </c>
      <c r="AN113" s="71">
        <f t="shared" ca="1" si="19"/>
        <v>0</v>
      </c>
      <c r="AO113" s="71">
        <f ca="1">IF(C113=1,(H113+J113+N113+P113)*Reeksen!AN113,0)</f>
        <v>0</v>
      </c>
      <c r="AP113" s="71">
        <f ca="1">-IF(C113=1,(H113+J113+N113+P113)*'Hulp - basis'!$G$550*Reeksen!H113,0)</f>
        <v>0</v>
      </c>
      <c r="AQ113" s="71">
        <f ca="1">-IF(C113=1,(F113+K113+L113+Q113)/2*'Invoer gegevens'!$F$35*Reeksen!J113,0)*2</f>
        <v>0</v>
      </c>
      <c r="AR113" s="71"/>
      <c r="AS113" s="71">
        <f ca="1">-IF(C113=1,(F113+K113+L113+Q113)/2*'Invoer gegevens'!$F$37*Reeksen!L113,0)</f>
        <v>0</v>
      </c>
      <c r="AT113" s="71">
        <f ca="1">-IF(C113=1,IF(E113='Invoer gegevens'!$C$17,'Invoer gegevens'!$C$11,AD113)*Reeksen!S113*'Invoer gegevens'!$C$18*Reeksen!P113,0)</f>
        <v>0</v>
      </c>
      <c r="AU113" s="71">
        <f ca="1">-IF(C113=1,(F113+K113+L113+Q113)/2*'Invoer gegevens'!$F$38*Reeksen!H113,0)</f>
        <v>0</v>
      </c>
      <c r="AV113" s="71">
        <f t="shared" si="23"/>
        <v>0</v>
      </c>
      <c r="AW113" s="71">
        <f t="shared" ca="1" si="20"/>
        <v>0</v>
      </c>
      <c r="AX113" s="71">
        <f ca="1">IF(E113&lt;'Invoer gegevens'!$C$17+15,0,IF(E113&gt;'Invoer gegevens'!$C$17+215,0,AW113))</f>
        <v>0</v>
      </c>
      <c r="AY113" s="71">
        <f ca="1">AX113/(1+'Invoer gegevens'!$F$18)^($AZ113-('Invoer gegevens'!$C$17-'Invoer gegevens'!$C$16))/(1+'Invoer gegevens'!$C$39)^('Invoer gegevens'!$C$17-'Invoer gegevens'!$C$16)</f>
        <v>0</v>
      </c>
      <c r="AZ113" s="68">
        <f ca="1">IF(E113-'Invoer gegevens'!$C$17-14.5&lt;0,0,E113-'Invoer gegevens'!$C$17-14.5)</f>
        <v>93.5</v>
      </c>
    </row>
    <row r="114" spans="1:52" x14ac:dyDescent="0.25">
      <c r="A114" s="59"/>
      <c r="B114" s="70">
        <f t="shared" si="21"/>
        <v>110</v>
      </c>
      <c r="C114" s="67">
        <f ca="1">IF(E114-'Invoer gegevens'!$C$17&lt;0,0,1)</f>
        <v>1</v>
      </c>
      <c r="D114" s="68">
        <f t="shared" si="22"/>
        <v>109.5</v>
      </c>
      <c r="E114" s="69">
        <f ca="1">IF('Invoer gegevens'!$C$16="","",E113+1)</f>
        <v>2128</v>
      </c>
      <c r="F114" s="84">
        <f ca="1">IF('Invoer gegevens'!$C$17=E114,'Invoer gegevens'!$C$10,IF(C114=1,K113,0))</f>
        <v>0</v>
      </c>
      <c r="G114" s="96">
        <f ca="1">IF(C114&gt;=1,F114*VLOOKUP(E114,Reeksen!$A$5:$B$76,2),0)</f>
        <v>0</v>
      </c>
      <c r="H114" s="84">
        <f ca="1">(1-('Invoer gegevens'!$F$20/12))*F114*MIN(Reeksen!B114,Reeksen!D114)</f>
        <v>0</v>
      </c>
      <c r="I114" s="84">
        <f>IF(Reeksen!D114&lt;Reeksen!B114,(Reeksen!B114-Reeksen!D114)*F114,0)</f>
        <v>0</v>
      </c>
      <c r="J114" s="84">
        <f ca="1">('Invoer gegevens'!$F$20/12)*F113*MIN(Reeksen!B113,Reeksen!D113)</f>
        <v>0</v>
      </c>
      <c r="K114" s="97">
        <f t="shared" ca="1" si="12"/>
        <v>0</v>
      </c>
      <c r="L114" s="84">
        <f ca="1">IF('Invoer gegevens'!$C$17=E114,0,IF(C114=1,Q113,0))</f>
        <v>0</v>
      </c>
      <c r="M114" s="96">
        <f ca="1">IF(C114&gt;=1,L114*VLOOKUP(E114,Reeksen!$A$5:$B$76,2),0)</f>
        <v>0</v>
      </c>
      <c r="N114" s="84">
        <f ca="1">(1-('Invoer gegevens'!$F$20/12))*L114*MIN(Reeksen!B114,Reeksen!D114)</f>
        <v>0</v>
      </c>
      <c r="O114" s="84">
        <f>IF(Reeksen!D114&lt;Reeksen!B114,(Reeksen!B114-Reeksen!D114)*L114,0)</f>
        <v>0</v>
      </c>
      <c r="P114" s="84">
        <f ca="1">('Invoer gegevens'!$F$20/12)*L113*MIN(Reeksen!B113,Reeksen!D113)</f>
        <v>0</v>
      </c>
      <c r="Q114" s="84">
        <f t="shared" ca="1" si="13"/>
        <v>0</v>
      </c>
      <c r="R114" s="82">
        <f ca="1">IF('Invoer gegevens'!$C$17=E114,'Invoer gegevens'!$C$11,IF(C114=1,W113,0))</f>
        <v>0</v>
      </c>
      <c r="S114" s="86">
        <f ca="1">IF(C114&gt;=1,R114*VLOOKUP(E114,Reeksen!$A$5:$B$76,2),0)</f>
        <v>0</v>
      </c>
      <c r="T114" s="84">
        <f ca="1">(1-('Invoer gegevens'!$F$20/12))*R114*MIN(Reeksen!B114,Reeksen!D114)</f>
        <v>0</v>
      </c>
      <c r="U114" s="84">
        <f>IF(Reeksen!D114&gt;=Reeksen!B114,0,IF(Reeksen!AD114&lt;=Reeksen!AE114,(Reeksen!B114-Reeksen!D114)*R114,0))</f>
        <v>0</v>
      </c>
      <c r="V114" s="86">
        <f>IF(Reeksen!D114&gt;=Reeksen!B114,0,IF(Reeksen!AD114&gt;Reeksen!AE114,(Reeksen!B114-Reeksen!D114)*R114,0))</f>
        <v>0</v>
      </c>
      <c r="W114" s="97">
        <f t="shared" ca="1" si="14"/>
        <v>0</v>
      </c>
      <c r="X114" s="98">
        <f ca="1">IF('Invoer gegevens'!$C$17=E114,'Invoer gegevens'!$C$10-'Invoer gegevens'!$C$11,IF(C114=1,AC113,0))</f>
        <v>0</v>
      </c>
      <c r="Y114" s="98">
        <f ca="1">IF(C114&gt;=1,X114*VLOOKUP(E114,Reeksen!$A$5:$B$76,2),0)</f>
        <v>0</v>
      </c>
      <c r="Z114" s="98">
        <f ca="1">(1-('Invoer gegevens'!$F$20/12))*X114*MIN(Reeksen!B114,Reeksen!D114)</f>
        <v>0</v>
      </c>
      <c r="AA114" s="98">
        <f>IF(Reeksen!D114&gt;=Reeksen!B114,0,IF(Reeksen!AD114&lt;=Reeksen!AE114,(Reeksen!B114-Reeksen!D114)*X114,0))</f>
        <v>0</v>
      </c>
      <c r="AB114" s="98">
        <f>IF(Reeksen!D114&gt;=Reeksen!B114,0,IF(Reeksen!AD114&gt;Reeksen!AE114,(Reeksen!B114-Reeksen!D114)*X114,0))</f>
        <v>0</v>
      </c>
      <c r="AC114" s="99">
        <f t="shared" ca="1" si="15"/>
        <v>0</v>
      </c>
      <c r="AD114" s="98">
        <f ca="1">IF('Invoer gegevens'!$C$17=E114,R114,IF(C114=0,0,AE113))</f>
        <v>0</v>
      </c>
      <c r="AE114" s="98">
        <f t="shared" ca="1" si="16"/>
        <v>0</v>
      </c>
      <c r="AF114" s="98">
        <f ca="1">IF('Invoer gegevens'!$C$17=E114,X114,IF(C114=0,0,AG113))</f>
        <v>0</v>
      </c>
      <c r="AG114" s="98">
        <f t="shared" ca="1" si="17"/>
        <v>0</v>
      </c>
      <c r="AH114" s="66"/>
      <c r="AI114" s="71">
        <f ca="1">IF(C114=1,Reeksen!AI114*((F114-G114+F114)/2)*12+Reeksen!AD114*((L114-M114+L114)/2)*12,0)</f>
        <v>0</v>
      </c>
      <c r="AJ114" s="71">
        <f ca="1">-AI114*'Invoer gegevens'!$F$28</f>
        <v>0</v>
      </c>
      <c r="AK114" s="71">
        <f t="shared" ca="1" si="18"/>
        <v>0</v>
      </c>
      <c r="AL114" s="71">
        <f ca="1">IF(C114=1,Reeksen!AL114*((F114-G114+F114)/2)*12+Reeksen!AM114*((L114-M114+L114)/2)*12,0)</f>
        <v>0</v>
      </c>
      <c r="AM114" s="71">
        <f ca="1">-AL114*'Invoer gegevens'!$F$31</f>
        <v>0</v>
      </c>
      <c r="AN114" s="71">
        <f t="shared" ca="1" si="19"/>
        <v>0</v>
      </c>
      <c r="AO114" s="71">
        <f ca="1">IF(C114=1,(H114+J114+N114+P114)*Reeksen!AN114,0)</f>
        <v>0</v>
      </c>
      <c r="AP114" s="71">
        <f ca="1">-IF(C114=1,(H114+J114+N114+P114)*'Hulp - basis'!$G$550*Reeksen!H114,0)</f>
        <v>0</v>
      </c>
      <c r="AQ114" s="71">
        <f ca="1">-IF(C114=1,(F114+K114+L114+Q114)/2*'Invoer gegevens'!$F$35*Reeksen!J114,0)*2</f>
        <v>0</v>
      </c>
      <c r="AR114" s="71"/>
      <c r="AS114" s="71">
        <f ca="1">-IF(C114=1,(F114+K114+L114+Q114)/2*'Invoer gegevens'!$F$37*Reeksen!L114,0)</f>
        <v>0</v>
      </c>
      <c r="AT114" s="71">
        <f ca="1">-IF(C114=1,IF(E114='Invoer gegevens'!$C$17,'Invoer gegevens'!$C$11,AD114)*Reeksen!S114*'Invoer gegevens'!$C$18*Reeksen!P114,0)</f>
        <v>0</v>
      </c>
      <c r="AU114" s="71">
        <f ca="1">-IF(C114=1,(F114+K114+L114+Q114)/2*'Invoer gegevens'!$F$38*Reeksen!H114,0)</f>
        <v>0</v>
      </c>
      <c r="AV114" s="71">
        <f t="shared" si="23"/>
        <v>0</v>
      </c>
      <c r="AW114" s="71">
        <f t="shared" ca="1" si="20"/>
        <v>0</v>
      </c>
      <c r="AX114" s="71">
        <f ca="1">IF(E114&lt;'Invoer gegevens'!$C$17+15,0,IF(E114&gt;'Invoer gegevens'!$C$17+215,0,AW114))</f>
        <v>0</v>
      </c>
      <c r="AY114" s="71">
        <f ca="1">AX114/(1+'Invoer gegevens'!$F$18)^($AZ114-('Invoer gegevens'!$C$17-'Invoer gegevens'!$C$16))/(1+'Invoer gegevens'!$C$39)^('Invoer gegevens'!$C$17-'Invoer gegevens'!$C$16)</f>
        <v>0</v>
      </c>
      <c r="AZ114" s="68">
        <f ca="1">IF(E114-'Invoer gegevens'!$C$17-14.5&lt;0,0,E114-'Invoer gegevens'!$C$17-14.5)</f>
        <v>94.5</v>
      </c>
    </row>
    <row r="115" spans="1:52" x14ac:dyDescent="0.25">
      <c r="A115" s="59"/>
      <c r="B115" s="70">
        <f t="shared" si="21"/>
        <v>111</v>
      </c>
      <c r="C115" s="67">
        <f ca="1">IF(E115-'Invoer gegevens'!$C$17&lt;0,0,1)</f>
        <v>1</v>
      </c>
      <c r="D115" s="68">
        <f t="shared" si="22"/>
        <v>110.5</v>
      </c>
      <c r="E115" s="69">
        <f ca="1">IF('Invoer gegevens'!$C$16="","",E114+1)</f>
        <v>2129</v>
      </c>
      <c r="F115" s="84">
        <f ca="1">IF('Invoer gegevens'!$C$17=E115,'Invoer gegevens'!$C$10,IF(C115=1,K114,0))</f>
        <v>0</v>
      </c>
      <c r="G115" s="96">
        <f ca="1">IF(C115&gt;=1,F115*VLOOKUP(E115,Reeksen!$A$5:$B$76,2),0)</f>
        <v>0</v>
      </c>
      <c r="H115" s="84">
        <f ca="1">(1-('Invoer gegevens'!$F$20/12))*F115*MIN(Reeksen!B115,Reeksen!D115)</f>
        <v>0</v>
      </c>
      <c r="I115" s="84">
        <f>IF(Reeksen!D115&lt;Reeksen!B115,(Reeksen!B115-Reeksen!D115)*F115,0)</f>
        <v>0</v>
      </c>
      <c r="J115" s="84">
        <f ca="1">('Invoer gegevens'!$F$20/12)*F114*MIN(Reeksen!B114,Reeksen!D114)</f>
        <v>0</v>
      </c>
      <c r="K115" s="97">
        <f t="shared" ca="1" si="12"/>
        <v>0</v>
      </c>
      <c r="L115" s="84">
        <f ca="1">IF('Invoer gegevens'!$C$17=E115,0,IF(C115=1,Q114,0))</f>
        <v>0</v>
      </c>
      <c r="M115" s="96">
        <f ca="1">IF(C115&gt;=1,L115*VLOOKUP(E115,Reeksen!$A$5:$B$76,2),0)</f>
        <v>0</v>
      </c>
      <c r="N115" s="84">
        <f ca="1">(1-('Invoer gegevens'!$F$20/12))*L115*MIN(Reeksen!B115,Reeksen!D115)</f>
        <v>0</v>
      </c>
      <c r="O115" s="84">
        <f>IF(Reeksen!D115&lt;Reeksen!B115,(Reeksen!B115-Reeksen!D115)*L115,0)</f>
        <v>0</v>
      </c>
      <c r="P115" s="84">
        <f ca="1">('Invoer gegevens'!$F$20/12)*L114*MIN(Reeksen!B114,Reeksen!D114)</f>
        <v>0</v>
      </c>
      <c r="Q115" s="84">
        <f t="shared" ca="1" si="13"/>
        <v>0</v>
      </c>
      <c r="R115" s="82">
        <f ca="1">IF('Invoer gegevens'!$C$17=E115,'Invoer gegevens'!$C$11,IF(C115=1,W114,0))</f>
        <v>0</v>
      </c>
      <c r="S115" s="86">
        <f ca="1">IF(C115&gt;=1,R115*VLOOKUP(E115,Reeksen!$A$5:$B$76,2),0)</f>
        <v>0</v>
      </c>
      <c r="T115" s="84">
        <f ca="1">(1-('Invoer gegevens'!$F$20/12))*R115*MIN(Reeksen!B115,Reeksen!D115)</f>
        <v>0</v>
      </c>
      <c r="U115" s="84">
        <f>IF(Reeksen!D115&gt;=Reeksen!B115,0,IF(Reeksen!AD115&lt;=Reeksen!AE115,(Reeksen!B115-Reeksen!D115)*R115,0))</f>
        <v>0</v>
      </c>
      <c r="V115" s="86">
        <f>IF(Reeksen!D115&gt;=Reeksen!B115,0,IF(Reeksen!AD115&gt;Reeksen!AE115,(Reeksen!B115-Reeksen!D115)*R115,0))</f>
        <v>0</v>
      </c>
      <c r="W115" s="97">
        <f t="shared" ca="1" si="14"/>
        <v>0</v>
      </c>
      <c r="X115" s="98">
        <f ca="1">IF('Invoer gegevens'!$C$17=E115,'Invoer gegevens'!$C$10-'Invoer gegevens'!$C$11,IF(C115=1,AC114,0))</f>
        <v>0</v>
      </c>
      <c r="Y115" s="98">
        <f ca="1">IF(C115&gt;=1,X115*VLOOKUP(E115,Reeksen!$A$5:$B$76,2),0)</f>
        <v>0</v>
      </c>
      <c r="Z115" s="98">
        <f ca="1">(1-('Invoer gegevens'!$F$20/12))*X115*MIN(Reeksen!B115,Reeksen!D115)</f>
        <v>0</v>
      </c>
      <c r="AA115" s="98">
        <f>IF(Reeksen!D115&gt;=Reeksen!B115,0,IF(Reeksen!AD115&lt;=Reeksen!AE115,(Reeksen!B115-Reeksen!D115)*X115,0))</f>
        <v>0</v>
      </c>
      <c r="AB115" s="98">
        <f>IF(Reeksen!D115&gt;=Reeksen!B115,0,IF(Reeksen!AD115&gt;Reeksen!AE115,(Reeksen!B115-Reeksen!D115)*X115,0))</f>
        <v>0</v>
      </c>
      <c r="AC115" s="99">
        <f t="shared" ca="1" si="15"/>
        <v>0</v>
      </c>
      <c r="AD115" s="98">
        <f ca="1">IF('Invoer gegevens'!$C$17=E115,R115,IF(C115=0,0,AE114))</f>
        <v>0</v>
      </c>
      <c r="AE115" s="98">
        <f t="shared" ca="1" si="16"/>
        <v>0</v>
      </c>
      <c r="AF115" s="98">
        <f ca="1">IF('Invoer gegevens'!$C$17=E115,X115,IF(C115=0,0,AG114))</f>
        <v>0</v>
      </c>
      <c r="AG115" s="98">
        <f t="shared" ca="1" si="17"/>
        <v>0</v>
      </c>
      <c r="AH115" s="66"/>
      <c r="AI115" s="71">
        <f ca="1">IF(C115=1,Reeksen!AI115*((F115-G115+F115)/2)*12+Reeksen!AD115*((L115-M115+L115)/2)*12,0)</f>
        <v>0</v>
      </c>
      <c r="AJ115" s="71">
        <f ca="1">-AI115*'Invoer gegevens'!$F$28</f>
        <v>0</v>
      </c>
      <c r="AK115" s="71">
        <f t="shared" ca="1" si="18"/>
        <v>0</v>
      </c>
      <c r="AL115" s="71">
        <f ca="1">IF(C115=1,Reeksen!AL115*((F115-G115+F115)/2)*12+Reeksen!AM115*((L115-M115+L115)/2)*12,0)</f>
        <v>0</v>
      </c>
      <c r="AM115" s="71">
        <f ca="1">-AL115*'Invoer gegevens'!$F$31</f>
        <v>0</v>
      </c>
      <c r="AN115" s="71">
        <f t="shared" ca="1" si="19"/>
        <v>0</v>
      </c>
      <c r="AO115" s="71">
        <f ca="1">IF(C115=1,(H115+J115+N115+P115)*Reeksen!AN115,0)</f>
        <v>0</v>
      </c>
      <c r="AP115" s="71">
        <f ca="1">-IF(C115=1,(H115+J115+N115+P115)*'Hulp - basis'!$G$550*Reeksen!H115,0)</f>
        <v>0</v>
      </c>
      <c r="AQ115" s="71">
        <f ca="1">-IF(C115=1,(F115+K115+L115+Q115)/2*'Invoer gegevens'!$F$35*Reeksen!J115,0)*2</f>
        <v>0</v>
      </c>
      <c r="AR115" s="71"/>
      <c r="AS115" s="71">
        <f ca="1">-IF(C115=1,(F115+K115+L115+Q115)/2*'Invoer gegevens'!$F$37*Reeksen!L115,0)</f>
        <v>0</v>
      </c>
      <c r="AT115" s="71">
        <f ca="1">-IF(C115=1,IF(E115='Invoer gegevens'!$C$17,'Invoer gegevens'!$C$11,AD115)*Reeksen!S115*'Invoer gegevens'!$C$18*Reeksen!P115,0)</f>
        <v>0</v>
      </c>
      <c r="AU115" s="71">
        <f ca="1">-IF(C115=1,(F115+K115+L115+Q115)/2*'Invoer gegevens'!$F$38*Reeksen!H115,0)</f>
        <v>0</v>
      </c>
      <c r="AV115" s="71">
        <f t="shared" si="23"/>
        <v>0</v>
      </c>
      <c r="AW115" s="71">
        <f t="shared" ca="1" si="20"/>
        <v>0</v>
      </c>
      <c r="AX115" s="71">
        <f ca="1">IF(E115&lt;'Invoer gegevens'!$C$17+15,0,IF(E115&gt;'Invoer gegevens'!$C$17+215,0,AW115))</f>
        <v>0</v>
      </c>
      <c r="AY115" s="71">
        <f ca="1">AX115/(1+'Invoer gegevens'!$F$18)^($AZ115-('Invoer gegevens'!$C$17-'Invoer gegevens'!$C$16))/(1+'Invoer gegevens'!$C$39)^('Invoer gegevens'!$C$17-'Invoer gegevens'!$C$16)</f>
        <v>0</v>
      </c>
      <c r="AZ115" s="68">
        <f ca="1">IF(E115-'Invoer gegevens'!$C$17-14.5&lt;0,0,E115-'Invoer gegevens'!$C$17-14.5)</f>
        <v>95.5</v>
      </c>
    </row>
    <row r="116" spans="1:52" x14ac:dyDescent="0.25">
      <c r="A116" s="59"/>
      <c r="B116" s="70">
        <f t="shared" si="21"/>
        <v>112</v>
      </c>
      <c r="C116" s="67">
        <f ca="1">IF(E116-'Invoer gegevens'!$C$17&lt;0,0,1)</f>
        <v>1</v>
      </c>
      <c r="D116" s="68">
        <f t="shared" si="22"/>
        <v>111.5</v>
      </c>
      <c r="E116" s="69">
        <f ca="1">IF('Invoer gegevens'!$C$16="","",E115+1)</f>
        <v>2130</v>
      </c>
      <c r="F116" s="84">
        <f ca="1">IF('Invoer gegevens'!$C$17=E116,'Invoer gegevens'!$C$10,IF(C116=1,K115,0))</f>
        <v>0</v>
      </c>
      <c r="G116" s="96">
        <f ca="1">IF(C116&gt;=1,F116*VLOOKUP(E116,Reeksen!$A$5:$B$76,2),0)</f>
        <v>0</v>
      </c>
      <c r="H116" s="84">
        <f ca="1">(1-('Invoer gegevens'!$F$20/12))*F116*MIN(Reeksen!B116,Reeksen!D116)</f>
        <v>0</v>
      </c>
      <c r="I116" s="84">
        <f>IF(Reeksen!D116&lt;Reeksen!B116,(Reeksen!B116-Reeksen!D116)*F116,0)</f>
        <v>0</v>
      </c>
      <c r="J116" s="84">
        <f ca="1">('Invoer gegevens'!$F$20/12)*F115*MIN(Reeksen!B115,Reeksen!D115)</f>
        <v>0</v>
      </c>
      <c r="K116" s="97">
        <f t="shared" ca="1" si="12"/>
        <v>0</v>
      </c>
      <c r="L116" s="84">
        <f ca="1">IF('Invoer gegevens'!$C$17=E116,0,IF(C116=1,Q115,0))</f>
        <v>0</v>
      </c>
      <c r="M116" s="96">
        <f ca="1">IF(C116&gt;=1,L116*VLOOKUP(E116,Reeksen!$A$5:$B$76,2),0)</f>
        <v>0</v>
      </c>
      <c r="N116" s="84">
        <f ca="1">(1-('Invoer gegevens'!$F$20/12))*L116*MIN(Reeksen!B116,Reeksen!D116)</f>
        <v>0</v>
      </c>
      <c r="O116" s="84">
        <f>IF(Reeksen!D116&lt;Reeksen!B116,(Reeksen!B116-Reeksen!D116)*L116,0)</f>
        <v>0</v>
      </c>
      <c r="P116" s="84">
        <f ca="1">('Invoer gegevens'!$F$20/12)*L115*MIN(Reeksen!B115,Reeksen!D115)</f>
        <v>0</v>
      </c>
      <c r="Q116" s="84">
        <f t="shared" ca="1" si="13"/>
        <v>0</v>
      </c>
      <c r="R116" s="82">
        <f ca="1">IF('Invoer gegevens'!$C$17=E116,'Invoer gegevens'!$C$11,IF(C116=1,W115,0))</f>
        <v>0</v>
      </c>
      <c r="S116" s="86">
        <f ca="1">IF(C116&gt;=1,R116*VLOOKUP(E116,Reeksen!$A$5:$B$76,2),0)</f>
        <v>0</v>
      </c>
      <c r="T116" s="84">
        <f ca="1">(1-('Invoer gegevens'!$F$20/12))*R116*MIN(Reeksen!B116,Reeksen!D116)</f>
        <v>0</v>
      </c>
      <c r="U116" s="84">
        <f>IF(Reeksen!D116&gt;=Reeksen!B116,0,IF(Reeksen!AD116&lt;=Reeksen!AE116,(Reeksen!B116-Reeksen!D116)*R116,0))</f>
        <v>0</v>
      </c>
      <c r="V116" s="86">
        <f>IF(Reeksen!D116&gt;=Reeksen!B116,0,IF(Reeksen!AD116&gt;Reeksen!AE116,(Reeksen!B116-Reeksen!D116)*R116,0))</f>
        <v>0</v>
      </c>
      <c r="W116" s="97">
        <f t="shared" ca="1" si="14"/>
        <v>0</v>
      </c>
      <c r="X116" s="98">
        <f ca="1">IF('Invoer gegevens'!$C$17=E116,'Invoer gegevens'!$C$10-'Invoer gegevens'!$C$11,IF(C116=1,AC115,0))</f>
        <v>0</v>
      </c>
      <c r="Y116" s="98">
        <f ca="1">IF(C116&gt;=1,X116*VLOOKUP(E116,Reeksen!$A$5:$B$76,2),0)</f>
        <v>0</v>
      </c>
      <c r="Z116" s="98">
        <f ca="1">(1-('Invoer gegevens'!$F$20/12))*X116*MIN(Reeksen!B116,Reeksen!D116)</f>
        <v>0</v>
      </c>
      <c r="AA116" s="98">
        <f>IF(Reeksen!D116&gt;=Reeksen!B116,0,IF(Reeksen!AD116&lt;=Reeksen!AE116,(Reeksen!B116-Reeksen!D116)*X116,0))</f>
        <v>0</v>
      </c>
      <c r="AB116" s="98">
        <f>IF(Reeksen!D116&gt;=Reeksen!B116,0,IF(Reeksen!AD116&gt;Reeksen!AE116,(Reeksen!B116-Reeksen!D116)*X116,0))</f>
        <v>0</v>
      </c>
      <c r="AC116" s="99">
        <f t="shared" ca="1" si="15"/>
        <v>0</v>
      </c>
      <c r="AD116" s="98">
        <f ca="1">IF('Invoer gegevens'!$C$17=E116,R116,IF(C116=0,0,AE115))</f>
        <v>0</v>
      </c>
      <c r="AE116" s="98">
        <f t="shared" ca="1" si="16"/>
        <v>0</v>
      </c>
      <c r="AF116" s="98">
        <f ca="1">IF('Invoer gegevens'!$C$17=E116,X116,IF(C116=0,0,AG115))</f>
        <v>0</v>
      </c>
      <c r="AG116" s="98">
        <f t="shared" ca="1" si="17"/>
        <v>0</v>
      </c>
      <c r="AH116" s="66"/>
      <c r="AI116" s="71">
        <f ca="1">IF(C116=1,Reeksen!AI116*((F116-G116+F116)/2)*12+Reeksen!AD116*((L116-M116+L116)/2)*12,0)</f>
        <v>0</v>
      </c>
      <c r="AJ116" s="71">
        <f ca="1">-AI116*'Invoer gegevens'!$F$28</f>
        <v>0</v>
      </c>
      <c r="AK116" s="71">
        <f t="shared" ca="1" si="18"/>
        <v>0</v>
      </c>
      <c r="AL116" s="71">
        <f ca="1">IF(C116=1,Reeksen!AL116*((F116-G116+F116)/2)*12+Reeksen!AM116*((L116-M116+L116)/2)*12,0)</f>
        <v>0</v>
      </c>
      <c r="AM116" s="71">
        <f ca="1">-AL116*'Invoer gegevens'!$F$31</f>
        <v>0</v>
      </c>
      <c r="AN116" s="71">
        <f t="shared" ca="1" si="19"/>
        <v>0</v>
      </c>
      <c r="AO116" s="71">
        <f ca="1">IF(C116=1,(H116+J116+N116+P116)*Reeksen!AN116,0)</f>
        <v>0</v>
      </c>
      <c r="AP116" s="71">
        <f ca="1">-IF(C116=1,(H116+J116+N116+P116)*'Hulp - basis'!$G$550*Reeksen!H116,0)</f>
        <v>0</v>
      </c>
      <c r="AQ116" s="71">
        <f ca="1">-IF(C116=1,(F116+K116+L116+Q116)/2*'Invoer gegevens'!$F$35*Reeksen!J116,0)*2</f>
        <v>0</v>
      </c>
      <c r="AR116" s="71"/>
      <c r="AS116" s="71">
        <f ca="1">-IF(C116=1,(F116+K116+L116+Q116)/2*'Invoer gegevens'!$F$37*Reeksen!L116,0)</f>
        <v>0</v>
      </c>
      <c r="AT116" s="71">
        <f ca="1">-IF(C116=1,IF(E116='Invoer gegevens'!$C$17,'Invoer gegevens'!$C$11,AD116)*Reeksen!S116*'Invoer gegevens'!$C$18*Reeksen!P116,0)</f>
        <v>0</v>
      </c>
      <c r="AU116" s="71">
        <f ca="1">-IF(C116=1,(F116+K116+L116+Q116)/2*'Invoer gegevens'!$F$38*Reeksen!H116,0)</f>
        <v>0</v>
      </c>
      <c r="AV116" s="71">
        <f t="shared" si="23"/>
        <v>0</v>
      </c>
      <c r="AW116" s="71">
        <f t="shared" ca="1" si="20"/>
        <v>0</v>
      </c>
      <c r="AX116" s="71">
        <f ca="1">IF(E116&lt;'Invoer gegevens'!$C$17+15,0,IF(E116&gt;'Invoer gegevens'!$C$17+215,0,AW116))</f>
        <v>0</v>
      </c>
      <c r="AY116" s="71">
        <f ca="1">AX116/(1+'Invoer gegevens'!$F$18)^($AZ116-('Invoer gegevens'!$C$17-'Invoer gegevens'!$C$16))/(1+'Invoer gegevens'!$C$39)^('Invoer gegevens'!$C$17-'Invoer gegevens'!$C$16)</f>
        <v>0</v>
      </c>
      <c r="AZ116" s="68">
        <f ca="1">IF(E116-'Invoer gegevens'!$C$17-14.5&lt;0,0,E116-'Invoer gegevens'!$C$17-14.5)</f>
        <v>96.5</v>
      </c>
    </row>
    <row r="117" spans="1:52" x14ac:dyDescent="0.25">
      <c r="A117" s="59"/>
      <c r="B117" s="70">
        <f t="shared" si="21"/>
        <v>113</v>
      </c>
      <c r="C117" s="67">
        <f ca="1">IF(E117-'Invoer gegevens'!$C$17&lt;0,0,1)</f>
        <v>1</v>
      </c>
      <c r="D117" s="68">
        <f t="shared" si="22"/>
        <v>112.5</v>
      </c>
      <c r="E117" s="69">
        <f ca="1">IF('Invoer gegevens'!$C$16="","",E116+1)</f>
        <v>2131</v>
      </c>
      <c r="F117" s="84">
        <f ca="1">IF('Invoer gegevens'!$C$17=E117,'Invoer gegevens'!$C$10,IF(C117=1,K116,0))</f>
        <v>0</v>
      </c>
      <c r="G117" s="96">
        <f ca="1">IF(C117&gt;=1,F117*VLOOKUP(E117,Reeksen!$A$5:$B$76,2),0)</f>
        <v>0</v>
      </c>
      <c r="H117" s="84">
        <f ca="1">(1-('Invoer gegevens'!$F$20/12))*F117*MIN(Reeksen!B117,Reeksen!D117)</f>
        <v>0</v>
      </c>
      <c r="I117" s="84">
        <f>IF(Reeksen!D117&lt;Reeksen!B117,(Reeksen!B117-Reeksen!D117)*F117,0)</f>
        <v>0</v>
      </c>
      <c r="J117" s="84">
        <f ca="1">('Invoer gegevens'!$F$20/12)*F116*MIN(Reeksen!B116,Reeksen!D116)</f>
        <v>0</v>
      </c>
      <c r="K117" s="97">
        <f t="shared" ca="1" si="12"/>
        <v>0</v>
      </c>
      <c r="L117" s="84">
        <f ca="1">IF('Invoer gegevens'!$C$17=E117,0,IF(C117=1,Q116,0))</f>
        <v>0</v>
      </c>
      <c r="M117" s="96">
        <f ca="1">IF(C117&gt;=1,L117*VLOOKUP(E117,Reeksen!$A$5:$B$76,2),0)</f>
        <v>0</v>
      </c>
      <c r="N117" s="84">
        <f ca="1">(1-('Invoer gegevens'!$F$20/12))*L117*MIN(Reeksen!B117,Reeksen!D117)</f>
        <v>0</v>
      </c>
      <c r="O117" s="84">
        <f>IF(Reeksen!D117&lt;Reeksen!B117,(Reeksen!B117-Reeksen!D117)*L117,0)</f>
        <v>0</v>
      </c>
      <c r="P117" s="84">
        <f ca="1">('Invoer gegevens'!$F$20/12)*L116*MIN(Reeksen!B116,Reeksen!D116)</f>
        <v>0</v>
      </c>
      <c r="Q117" s="84">
        <f t="shared" ca="1" si="13"/>
        <v>0</v>
      </c>
      <c r="R117" s="82">
        <f ca="1">IF('Invoer gegevens'!$C$17=E117,'Invoer gegevens'!$C$11,IF(C117=1,W116,0))</f>
        <v>0</v>
      </c>
      <c r="S117" s="86">
        <f ca="1">IF(C117&gt;=1,R117*VLOOKUP(E117,Reeksen!$A$5:$B$76,2),0)</f>
        <v>0</v>
      </c>
      <c r="T117" s="84">
        <f ca="1">(1-('Invoer gegevens'!$F$20/12))*R117*MIN(Reeksen!B117,Reeksen!D117)</f>
        <v>0</v>
      </c>
      <c r="U117" s="84">
        <f>IF(Reeksen!D117&gt;=Reeksen!B117,0,IF(Reeksen!AD117&lt;=Reeksen!AE117,(Reeksen!B117-Reeksen!D117)*R117,0))</f>
        <v>0</v>
      </c>
      <c r="V117" s="86">
        <f>IF(Reeksen!D117&gt;=Reeksen!B117,0,IF(Reeksen!AD117&gt;Reeksen!AE117,(Reeksen!B117-Reeksen!D117)*R117,0))</f>
        <v>0</v>
      </c>
      <c r="W117" s="97">
        <f t="shared" ca="1" si="14"/>
        <v>0</v>
      </c>
      <c r="X117" s="98">
        <f ca="1">IF('Invoer gegevens'!$C$17=E117,'Invoer gegevens'!$C$10-'Invoer gegevens'!$C$11,IF(C117=1,AC116,0))</f>
        <v>0</v>
      </c>
      <c r="Y117" s="98">
        <f ca="1">IF(C117&gt;=1,X117*VLOOKUP(E117,Reeksen!$A$5:$B$76,2),0)</f>
        <v>0</v>
      </c>
      <c r="Z117" s="98">
        <f ca="1">(1-('Invoer gegevens'!$F$20/12))*X117*MIN(Reeksen!B117,Reeksen!D117)</f>
        <v>0</v>
      </c>
      <c r="AA117" s="98">
        <f>IF(Reeksen!D117&gt;=Reeksen!B117,0,IF(Reeksen!AD117&lt;=Reeksen!AE117,(Reeksen!B117-Reeksen!D117)*X117,0))</f>
        <v>0</v>
      </c>
      <c r="AB117" s="98">
        <f>IF(Reeksen!D117&gt;=Reeksen!B117,0,IF(Reeksen!AD117&gt;Reeksen!AE117,(Reeksen!B117-Reeksen!D117)*X117,0))</f>
        <v>0</v>
      </c>
      <c r="AC117" s="99">
        <f t="shared" ca="1" si="15"/>
        <v>0</v>
      </c>
      <c r="AD117" s="98">
        <f ca="1">IF('Invoer gegevens'!$C$17=E117,R117,IF(C117=0,0,AE116))</f>
        <v>0</v>
      </c>
      <c r="AE117" s="98">
        <f t="shared" ca="1" si="16"/>
        <v>0</v>
      </c>
      <c r="AF117" s="98">
        <f ca="1">IF('Invoer gegevens'!$C$17=E117,X117,IF(C117=0,0,AG116))</f>
        <v>0</v>
      </c>
      <c r="AG117" s="98">
        <f t="shared" ca="1" si="17"/>
        <v>0</v>
      </c>
      <c r="AH117" s="66"/>
      <c r="AI117" s="71">
        <f ca="1">IF(C117=1,Reeksen!AI117*((F117-G117+F117)/2)*12+Reeksen!AD117*((L117-M117+L117)/2)*12,0)</f>
        <v>0</v>
      </c>
      <c r="AJ117" s="71">
        <f ca="1">-AI117*'Invoer gegevens'!$F$28</f>
        <v>0</v>
      </c>
      <c r="AK117" s="71">
        <f t="shared" ca="1" si="18"/>
        <v>0</v>
      </c>
      <c r="AL117" s="71">
        <f ca="1">IF(C117=1,Reeksen!AL117*((F117-G117+F117)/2)*12+Reeksen!AM117*((L117-M117+L117)/2)*12,0)</f>
        <v>0</v>
      </c>
      <c r="AM117" s="71">
        <f ca="1">-AL117*'Invoer gegevens'!$F$31</f>
        <v>0</v>
      </c>
      <c r="AN117" s="71">
        <f t="shared" ca="1" si="19"/>
        <v>0</v>
      </c>
      <c r="AO117" s="71">
        <f ca="1">IF(C117=1,(H117+J117+N117+P117)*Reeksen!AN117,0)</f>
        <v>0</v>
      </c>
      <c r="AP117" s="71">
        <f ca="1">-IF(C117=1,(H117+J117+N117+P117)*'Hulp - basis'!$G$550*Reeksen!H117,0)</f>
        <v>0</v>
      </c>
      <c r="AQ117" s="71">
        <f ca="1">-IF(C117=1,(F117+K117+L117+Q117)/2*'Invoer gegevens'!$F$35*Reeksen!J117,0)*2</f>
        <v>0</v>
      </c>
      <c r="AR117" s="71"/>
      <c r="AS117" s="71">
        <f ca="1">-IF(C117=1,(F117+K117+L117+Q117)/2*'Invoer gegevens'!$F$37*Reeksen!L117,0)</f>
        <v>0</v>
      </c>
      <c r="AT117" s="71">
        <f ca="1">-IF(C117=1,IF(E117='Invoer gegevens'!$C$17,'Invoer gegevens'!$C$11,AD117)*Reeksen!S117*'Invoer gegevens'!$C$18*Reeksen!P117,0)</f>
        <v>0</v>
      </c>
      <c r="AU117" s="71">
        <f ca="1">-IF(C117=1,(F117+K117+L117+Q117)/2*'Invoer gegevens'!$F$38*Reeksen!H117,0)</f>
        <v>0</v>
      </c>
      <c r="AV117" s="71">
        <f t="shared" si="23"/>
        <v>0</v>
      </c>
      <c r="AW117" s="71">
        <f t="shared" ca="1" si="20"/>
        <v>0</v>
      </c>
      <c r="AX117" s="71">
        <f ca="1">IF(E117&lt;'Invoer gegevens'!$C$17+15,0,IF(E117&gt;'Invoer gegevens'!$C$17+215,0,AW117))</f>
        <v>0</v>
      </c>
      <c r="AY117" s="71">
        <f ca="1">AX117/(1+'Invoer gegevens'!$F$18)^($AZ117-('Invoer gegevens'!$C$17-'Invoer gegevens'!$C$16))/(1+'Invoer gegevens'!$C$39)^('Invoer gegevens'!$C$17-'Invoer gegevens'!$C$16)</f>
        <v>0</v>
      </c>
      <c r="AZ117" s="68">
        <f ca="1">IF(E117-'Invoer gegevens'!$C$17-14.5&lt;0,0,E117-'Invoer gegevens'!$C$17-14.5)</f>
        <v>97.5</v>
      </c>
    </row>
    <row r="118" spans="1:52" x14ac:dyDescent="0.25">
      <c r="A118" s="59"/>
      <c r="B118" s="70">
        <f t="shared" si="21"/>
        <v>114</v>
      </c>
      <c r="C118" s="67">
        <f ca="1">IF(E118-'Invoer gegevens'!$C$17&lt;0,0,1)</f>
        <v>1</v>
      </c>
      <c r="D118" s="68">
        <f t="shared" si="22"/>
        <v>113.5</v>
      </c>
      <c r="E118" s="69">
        <f ca="1">IF('Invoer gegevens'!$C$16="","",E117+1)</f>
        <v>2132</v>
      </c>
      <c r="F118" s="84">
        <f ca="1">IF('Invoer gegevens'!$C$17=E118,'Invoer gegevens'!$C$10,IF(C118=1,K117,0))</f>
        <v>0</v>
      </c>
      <c r="G118" s="96">
        <f ca="1">IF(C118&gt;=1,F118*VLOOKUP(E118,Reeksen!$A$5:$B$76,2),0)</f>
        <v>0</v>
      </c>
      <c r="H118" s="84">
        <f ca="1">(1-('Invoer gegevens'!$F$20/12))*F118*MIN(Reeksen!B118,Reeksen!D118)</f>
        <v>0</v>
      </c>
      <c r="I118" s="84">
        <f>IF(Reeksen!D118&lt;Reeksen!B118,(Reeksen!B118-Reeksen!D118)*F118,0)</f>
        <v>0</v>
      </c>
      <c r="J118" s="84">
        <f ca="1">('Invoer gegevens'!$F$20/12)*F117*MIN(Reeksen!B117,Reeksen!D117)</f>
        <v>0</v>
      </c>
      <c r="K118" s="97">
        <f t="shared" ca="1" si="12"/>
        <v>0</v>
      </c>
      <c r="L118" s="84">
        <f ca="1">IF('Invoer gegevens'!$C$17=E118,0,IF(C118=1,Q117,0))</f>
        <v>0</v>
      </c>
      <c r="M118" s="96">
        <f ca="1">IF(C118&gt;=1,L118*VLOOKUP(E118,Reeksen!$A$5:$B$76,2),0)</f>
        <v>0</v>
      </c>
      <c r="N118" s="84">
        <f ca="1">(1-('Invoer gegevens'!$F$20/12))*L118*MIN(Reeksen!B118,Reeksen!D118)</f>
        <v>0</v>
      </c>
      <c r="O118" s="84">
        <f>IF(Reeksen!D118&lt;Reeksen!B118,(Reeksen!B118-Reeksen!D118)*L118,0)</f>
        <v>0</v>
      </c>
      <c r="P118" s="84">
        <f ca="1">('Invoer gegevens'!$F$20/12)*L117*MIN(Reeksen!B117,Reeksen!D117)</f>
        <v>0</v>
      </c>
      <c r="Q118" s="84">
        <f t="shared" ca="1" si="13"/>
        <v>0</v>
      </c>
      <c r="R118" s="82">
        <f ca="1">IF('Invoer gegevens'!$C$17=E118,'Invoer gegevens'!$C$11,IF(C118=1,W117,0))</f>
        <v>0</v>
      </c>
      <c r="S118" s="86">
        <f ca="1">IF(C118&gt;=1,R118*VLOOKUP(E118,Reeksen!$A$5:$B$76,2),0)</f>
        <v>0</v>
      </c>
      <c r="T118" s="84">
        <f ca="1">(1-('Invoer gegevens'!$F$20/12))*R118*MIN(Reeksen!B118,Reeksen!D118)</f>
        <v>0</v>
      </c>
      <c r="U118" s="84">
        <f>IF(Reeksen!D118&gt;=Reeksen!B118,0,IF(Reeksen!AD118&lt;=Reeksen!AE118,(Reeksen!B118-Reeksen!D118)*R118,0))</f>
        <v>0</v>
      </c>
      <c r="V118" s="86">
        <f>IF(Reeksen!D118&gt;=Reeksen!B118,0,IF(Reeksen!AD118&gt;Reeksen!AE118,(Reeksen!B118-Reeksen!D118)*R118,0))</f>
        <v>0</v>
      </c>
      <c r="W118" s="97">
        <f t="shared" ca="1" si="14"/>
        <v>0</v>
      </c>
      <c r="X118" s="98">
        <f ca="1">IF('Invoer gegevens'!$C$17=E118,'Invoer gegevens'!$C$10-'Invoer gegevens'!$C$11,IF(C118=1,AC117,0))</f>
        <v>0</v>
      </c>
      <c r="Y118" s="98">
        <f ca="1">IF(C118&gt;=1,X118*VLOOKUP(E118,Reeksen!$A$5:$B$76,2),0)</f>
        <v>0</v>
      </c>
      <c r="Z118" s="98">
        <f ca="1">(1-('Invoer gegevens'!$F$20/12))*X118*MIN(Reeksen!B118,Reeksen!D118)</f>
        <v>0</v>
      </c>
      <c r="AA118" s="98">
        <f>IF(Reeksen!D118&gt;=Reeksen!B118,0,IF(Reeksen!AD118&lt;=Reeksen!AE118,(Reeksen!B118-Reeksen!D118)*X118,0))</f>
        <v>0</v>
      </c>
      <c r="AB118" s="98">
        <f>IF(Reeksen!D118&gt;=Reeksen!B118,0,IF(Reeksen!AD118&gt;Reeksen!AE118,(Reeksen!B118-Reeksen!D118)*X118,0))</f>
        <v>0</v>
      </c>
      <c r="AC118" s="99">
        <f t="shared" ca="1" si="15"/>
        <v>0</v>
      </c>
      <c r="AD118" s="98">
        <f ca="1">IF('Invoer gegevens'!$C$17=E118,R118,IF(C118=0,0,AE117))</f>
        <v>0</v>
      </c>
      <c r="AE118" s="98">
        <f t="shared" ca="1" si="16"/>
        <v>0</v>
      </c>
      <c r="AF118" s="98">
        <f ca="1">IF('Invoer gegevens'!$C$17=E118,X118,IF(C118=0,0,AG117))</f>
        <v>0</v>
      </c>
      <c r="AG118" s="98">
        <f t="shared" ca="1" si="17"/>
        <v>0</v>
      </c>
      <c r="AH118" s="66"/>
      <c r="AI118" s="71">
        <f ca="1">IF(C118=1,Reeksen!AI118*((F118-G118+F118)/2)*12+Reeksen!AD118*((L118-M118+L118)/2)*12,0)</f>
        <v>0</v>
      </c>
      <c r="AJ118" s="71">
        <f ca="1">-AI118*'Invoer gegevens'!$F$28</f>
        <v>0</v>
      </c>
      <c r="AK118" s="71">
        <f t="shared" ca="1" si="18"/>
        <v>0</v>
      </c>
      <c r="AL118" s="71">
        <f ca="1">IF(C118=1,Reeksen!AL118*((F118-G118+F118)/2)*12+Reeksen!AM118*((L118-M118+L118)/2)*12,0)</f>
        <v>0</v>
      </c>
      <c r="AM118" s="71">
        <f ca="1">-AL118*'Invoer gegevens'!$F$31</f>
        <v>0</v>
      </c>
      <c r="AN118" s="71">
        <f t="shared" ca="1" si="19"/>
        <v>0</v>
      </c>
      <c r="AO118" s="71">
        <f ca="1">IF(C118=1,(H118+J118+N118+P118)*Reeksen!AN118,0)</f>
        <v>0</v>
      </c>
      <c r="AP118" s="71">
        <f ca="1">-IF(C118=1,(H118+J118+N118+P118)*'Hulp - basis'!$G$550*Reeksen!H118,0)</f>
        <v>0</v>
      </c>
      <c r="AQ118" s="71">
        <f ca="1">-IF(C118=1,(F118+K118+L118+Q118)/2*'Invoer gegevens'!$F$35*Reeksen!J118,0)*2</f>
        <v>0</v>
      </c>
      <c r="AR118" s="71"/>
      <c r="AS118" s="71">
        <f ca="1">-IF(C118=1,(F118+K118+L118+Q118)/2*'Invoer gegevens'!$F$37*Reeksen!L118,0)</f>
        <v>0</v>
      </c>
      <c r="AT118" s="71">
        <f ca="1">-IF(C118=1,IF(E118='Invoer gegevens'!$C$17,'Invoer gegevens'!$C$11,AD118)*Reeksen!S118*'Invoer gegevens'!$C$18*Reeksen!P118,0)</f>
        <v>0</v>
      </c>
      <c r="AU118" s="71">
        <f ca="1">-IF(C118=1,(F118+K118+L118+Q118)/2*'Invoer gegevens'!$F$38*Reeksen!H118,0)</f>
        <v>0</v>
      </c>
      <c r="AV118" s="71">
        <f t="shared" si="23"/>
        <v>0</v>
      </c>
      <c r="AW118" s="71">
        <f t="shared" ca="1" si="20"/>
        <v>0</v>
      </c>
      <c r="AX118" s="71">
        <f ca="1">IF(E118&lt;'Invoer gegevens'!$C$17+15,0,IF(E118&gt;'Invoer gegevens'!$C$17+215,0,AW118))</f>
        <v>0</v>
      </c>
      <c r="AY118" s="71">
        <f ca="1">AX118/(1+'Invoer gegevens'!$F$18)^($AZ118-('Invoer gegevens'!$C$17-'Invoer gegevens'!$C$16))/(1+'Invoer gegevens'!$C$39)^('Invoer gegevens'!$C$17-'Invoer gegevens'!$C$16)</f>
        <v>0</v>
      </c>
      <c r="AZ118" s="68">
        <f ca="1">IF(E118-'Invoer gegevens'!$C$17-14.5&lt;0,0,E118-'Invoer gegevens'!$C$17-14.5)</f>
        <v>98.5</v>
      </c>
    </row>
    <row r="119" spans="1:52" x14ac:dyDescent="0.25">
      <c r="A119" s="59"/>
      <c r="B119" s="70">
        <f t="shared" si="21"/>
        <v>115</v>
      </c>
      <c r="C119" s="67">
        <f ca="1">IF(E119-'Invoer gegevens'!$C$17&lt;0,0,1)</f>
        <v>1</v>
      </c>
      <c r="D119" s="68">
        <f t="shared" si="22"/>
        <v>114.5</v>
      </c>
      <c r="E119" s="69">
        <f ca="1">IF('Invoer gegevens'!$C$16="","",E118+1)</f>
        <v>2133</v>
      </c>
      <c r="F119" s="84">
        <f ca="1">IF('Invoer gegevens'!$C$17=E119,'Invoer gegevens'!$C$10,IF(C119=1,K118,0))</f>
        <v>0</v>
      </c>
      <c r="G119" s="96">
        <f ca="1">IF(C119&gt;=1,F119*VLOOKUP(E119,Reeksen!$A$5:$B$76,2),0)</f>
        <v>0</v>
      </c>
      <c r="H119" s="84">
        <f ca="1">(1-('Invoer gegevens'!$F$20/12))*F119*MIN(Reeksen!B119,Reeksen!D119)</f>
        <v>0</v>
      </c>
      <c r="I119" s="84">
        <f>IF(Reeksen!D119&lt;Reeksen!B119,(Reeksen!B119-Reeksen!D119)*F119,0)</f>
        <v>0</v>
      </c>
      <c r="J119" s="84">
        <f ca="1">('Invoer gegevens'!$F$20/12)*F118*MIN(Reeksen!B118,Reeksen!D118)</f>
        <v>0</v>
      </c>
      <c r="K119" s="97">
        <f t="shared" ca="1" si="12"/>
        <v>0</v>
      </c>
      <c r="L119" s="84">
        <f ca="1">IF('Invoer gegevens'!$C$17=E119,0,IF(C119=1,Q118,0))</f>
        <v>0</v>
      </c>
      <c r="M119" s="96">
        <f ca="1">IF(C119&gt;=1,L119*VLOOKUP(E119,Reeksen!$A$5:$B$76,2),0)</f>
        <v>0</v>
      </c>
      <c r="N119" s="84">
        <f ca="1">(1-('Invoer gegevens'!$F$20/12))*L119*MIN(Reeksen!B119,Reeksen!D119)</f>
        <v>0</v>
      </c>
      <c r="O119" s="84">
        <f>IF(Reeksen!D119&lt;Reeksen!B119,(Reeksen!B119-Reeksen!D119)*L119,0)</f>
        <v>0</v>
      </c>
      <c r="P119" s="84">
        <f ca="1">('Invoer gegevens'!$F$20/12)*L118*MIN(Reeksen!B118,Reeksen!D118)</f>
        <v>0</v>
      </c>
      <c r="Q119" s="84">
        <f t="shared" ca="1" si="13"/>
        <v>0</v>
      </c>
      <c r="R119" s="82">
        <f ca="1">IF('Invoer gegevens'!$C$17=E119,'Invoer gegevens'!$C$11,IF(C119=1,W118,0))</f>
        <v>0</v>
      </c>
      <c r="S119" s="86">
        <f ca="1">IF(C119&gt;=1,R119*VLOOKUP(E119,Reeksen!$A$5:$B$76,2),0)</f>
        <v>0</v>
      </c>
      <c r="T119" s="84">
        <f ca="1">(1-('Invoer gegevens'!$F$20/12))*R119*MIN(Reeksen!B119,Reeksen!D119)</f>
        <v>0</v>
      </c>
      <c r="U119" s="84">
        <f>IF(Reeksen!D119&gt;=Reeksen!B119,0,IF(Reeksen!AD119&lt;=Reeksen!AE119,(Reeksen!B119-Reeksen!D119)*R119,0))</f>
        <v>0</v>
      </c>
      <c r="V119" s="86">
        <f>IF(Reeksen!D119&gt;=Reeksen!B119,0,IF(Reeksen!AD119&gt;Reeksen!AE119,(Reeksen!B119-Reeksen!D119)*R119,0))</f>
        <v>0</v>
      </c>
      <c r="W119" s="97">
        <f t="shared" ca="1" si="14"/>
        <v>0</v>
      </c>
      <c r="X119" s="98">
        <f ca="1">IF('Invoer gegevens'!$C$17=E119,'Invoer gegevens'!$C$10-'Invoer gegevens'!$C$11,IF(C119=1,AC118,0))</f>
        <v>0</v>
      </c>
      <c r="Y119" s="98">
        <f ca="1">IF(C119&gt;=1,X119*VLOOKUP(E119,Reeksen!$A$5:$B$76,2),0)</f>
        <v>0</v>
      </c>
      <c r="Z119" s="98">
        <f ca="1">(1-('Invoer gegevens'!$F$20/12))*X119*MIN(Reeksen!B119,Reeksen!D119)</f>
        <v>0</v>
      </c>
      <c r="AA119" s="98">
        <f>IF(Reeksen!D119&gt;=Reeksen!B119,0,IF(Reeksen!AD119&lt;=Reeksen!AE119,(Reeksen!B119-Reeksen!D119)*X119,0))</f>
        <v>0</v>
      </c>
      <c r="AB119" s="98">
        <f>IF(Reeksen!D119&gt;=Reeksen!B119,0,IF(Reeksen!AD119&gt;Reeksen!AE119,(Reeksen!B119-Reeksen!D119)*X119,0))</f>
        <v>0</v>
      </c>
      <c r="AC119" s="99">
        <f t="shared" ca="1" si="15"/>
        <v>0</v>
      </c>
      <c r="AD119" s="98">
        <f ca="1">IF('Invoer gegevens'!$C$17=E119,R119,IF(C119=0,0,AE118))</f>
        <v>0</v>
      </c>
      <c r="AE119" s="98">
        <f t="shared" ca="1" si="16"/>
        <v>0</v>
      </c>
      <c r="AF119" s="98">
        <f ca="1">IF('Invoer gegevens'!$C$17=E119,X119,IF(C119=0,0,AG118))</f>
        <v>0</v>
      </c>
      <c r="AG119" s="98">
        <f t="shared" ca="1" si="17"/>
        <v>0</v>
      </c>
      <c r="AH119" s="66"/>
      <c r="AI119" s="71">
        <f ca="1">IF(C119=1,Reeksen!AI119*((F119-G119+F119)/2)*12+Reeksen!AD119*((L119-M119+L119)/2)*12,0)</f>
        <v>0</v>
      </c>
      <c r="AJ119" s="71">
        <f ca="1">-AI119*'Invoer gegevens'!$F$28</f>
        <v>0</v>
      </c>
      <c r="AK119" s="71">
        <f t="shared" ca="1" si="18"/>
        <v>0</v>
      </c>
      <c r="AL119" s="71">
        <f ca="1">IF(C119=1,Reeksen!AL119*((F119-G119+F119)/2)*12+Reeksen!AM119*((L119-M119+L119)/2)*12,0)</f>
        <v>0</v>
      </c>
      <c r="AM119" s="71">
        <f ca="1">-AL119*'Invoer gegevens'!$F$31</f>
        <v>0</v>
      </c>
      <c r="AN119" s="71">
        <f t="shared" ca="1" si="19"/>
        <v>0</v>
      </c>
      <c r="AO119" s="71">
        <f ca="1">IF(C119=1,(H119+J119+N119+P119)*Reeksen!AN119,0)</f>
        <v>0</v>
      </c>
      <c r="AP119" s="71">
        <f ca="1">-IF(C119=1,(H119+J119+N119+P119)*'Hulp - basis'!$G$550*Reeksen!H119,0)</f>
        <v>0</v>
      </c>
      <c r="AQ119" s="71">
        <f ca="1">-IF(C119=1,(F119+K119+L119+Q119)/2*'Invoer gegevens'!$F$35*Reeksen!J119,0)*2</f>
        <v>0</v>
      </c>
      <c r="AR119" s="71"/>
      <c r="AS119" s="71">
        <f ca="1">-IF(C119=1,(F119+K119+L119+Q119)/2*'Invoer gegevens'!$F$37*Reeksen!L119,0)</f>
        <v>0</v>
      </c>
      <c r="AT119" s="71">
        <f ca="1">-IF(C119=1,IF(E119='Invoer gegevens'!$C$17,'Invoer gegevens'!$C$11,AD119)*Reeksen!S119*'Invoer gegevens'!$C$18*Reeksen!P119,0)</f>
        <v>0</v>
      </c>
      <c r="AU119" s="71">
        <f ca="1">-IF(C119=1,(F119+K119+L119+Q119)/2*'Invoer gegevens'!$F$38*Reeksen!H119,0)</f>
        <v>0</v>
      </c>
      <c r="AV119" s="71">
        <f t="shared" si="23"/>
        <v>0</v>
      </c>
      <c r="AW119" s="71">
        <f t="shared" ca="1" si="20"/>
        <v>0</v>
      </c>
      <c r="AX119" s="71">
        <f ca="1">IF(E119&lt;'Invoer gegevens'!$C$17+15,0,IF(E119&gt;'Invoer gegevens'!$C$17+215,0,AW119))</f>
        <v>0</v>
      </c>
      <c r="AY119" s="71">
        <f ca="1">AX119/(1+'Invoer gegevens'!$F$18)^($AZ119-('Invoer gegevens'!$C$17-'Invoer gegevens'!$C$16))/(1+'Invoer gegevens'!$C$39)^('Invoer gegevens'!$C$17-'Invoer gegevens'!$C$16)</f>
        <v>0</v>
      </c>
      <c r="AZ119" s="68">
        <f ca="1">IF(E119-'Invoer gegevens'!$C$17-14.5&lt;0,0,E119-'Invoer gegevens'!$C$17-14.5)</f>
        <v>99.5</v>
      </c>
    </row>
    <row r="120" spans="1:52" x14ac:dyDescent="0.25">
      <c r="A120" s="59"/>
      <c r="B120" s="70">
        <f t="shared" si="21"/>
        <v>116</v>
      </c>
      <c r="C120" s="67">
        <f ca="1">IF(E120-'Invoer gegevens'!$C$17&lt;0,0,1)</f>
        <v>1</v>
      </c>
      <c r="D120" s="68">
        <f t="shared" si="22"/>
        <v>115.5</v>
      </c>
      <c r="E120" s="69">
        <f ca="1">IF('Invoer gegevens'!$C$16="","",E119+1)</f>
        <v>2134</v>
      </c>
      <c r="F120" s="84">
        <f ca="1">IF('Invoer gegevens'!$C$17=E120,'Invoer gegevens'!$C$10,IF(C120=1,K119,0))</f>
        <v>0</v>
      </c>
      <c r="G120" s="96">
        <f ca="1">IF(C120&gt;=1,F120*VLOOKUP(E120,Reeksen!$A$5:$B$76,2),0)</f>
        <v>0</v>
      </c>
      <c r="H120" s="84">
        <f ca="1">(1-('Invoer gegevens'!$F$20/12))*F120*MIN(Reeksen!B120,Reeksen!D120)</f>
        <v>0</v>
      </c>
      <c r="I120" s="84">
        <f>IF(Reeksen!D120&lt;Reeksen!B120,(Reeksen!B120-Reeksen!D120)*F120,0)</f>
        <v>0</v>
      </c>
      <c r="J120" s="84">
        <f ca="1">('Invoer gegevens'!$F$20/12)*F119*MIN(Reeksen!B119,Reeksen!D119)</f>
        <v>0</v>
      </c>
      <c r="K120" s="97">
        <f t="shared" ca="1" si="12"/>
        <v>0</v>
      </c>
      <c r="L120" s="84">
        <f ca="1">IF('Invoer gegevens'!$C$17=E120,0,IF(C120=1,Q119,0))</f>
        <v>0</v>
      </c>
      <c r="M120" s="96">
        <f ca="1">IF(C120&gt;=1,L120*VLOOKUP(E120,Reeksen!$A$5:$B$76,2),0)</f>
        <v>0</v>
      </c>
      <c r="N120" s="84">
        <f ca="1">(1-('Invoer gegevens'!$F$20/12))*L120*MIN(Reeksen!B120,Reeksen!D120)</f>
        <v>0</v>
      </c>
      <c r="O120" s="84">
        <f>IF(Reeksen!D120&lt;Reeksen!B120,(Reeksen!B120-Reeksen!D120)*L120,0)</f>
        <v>0</v>
      </c>
      <c r="P120" s="84">
        <f ca="1">('Invoer gegevens'!$F$20/12)*L119*MIN(Reeksen!B119,Reeksen!D119)</f>
        <v>0</v>
      </c>
      <c r="Q120" s="84">
        <f t="shared" ca="1" si="13"/>
        <v>0</v>
      </c>
      <c r="R120" s="82">
        <f ca="1">IF('Invoer gegevens'!$C$17=E120,'Invoer gegevens'!$C$11,IF(C120=1,W119,0))</f>
        <v>0</v>
      </c>
      <c r="S120" s="86">
        <f ca="1">IF(C120&gt;=1,R120*VLOOKUP(E120,Reeksen!$A$5:$B$76,2),0)</f>
        <v>0</v>
      </c>
      <c r="T120" s="84">
        <f ca="1">(1-('Invoer gegevens'!$F$20/12))*R120*MIN(Reeksen!B120,Reeksen!D120)</f>
        <v>0</v>
      </c>
      <c r="U120" s="84">
        <f>IF(Reeksen!D120&gt;=Reeksen!B120,0,IF(Reeksen!AD120&lt;=Reeksen!AE120,(Reeksen!B120-Reeksen!D120)*R120,0))</f>
        <v>0</v>
      </c>
      <c r="V120" s="86">
        <f>IF(Reeksen!D120&gt;=Reeksen!B120,0,IF(Reeksen!AD120&gt;Reeksen!AE120,(Reeksen!B120-Reeksen!D120)*R120,0))</f>
        <v>0</v>
      </c>
      <c r="W120" s="97">
        <f t="shared" ca="1" si="14"/>
        <v>0</v>
      </c>
      <c r="X120" s="98">
        <f ca="1">IF('Invoer gegevens'!$C$17=E120,'Invoer gegevens'!$C$10-'Invoer gegevens'!$C$11,IF(C120=1,AC119,0))</f>
        <v>0</v>
      </c>
      <c r="Y120" s="98">
        <f ca="1">IF(C120&gt;=1,X120*VLOOKUP(E120,Reeksen!$A$5:$B$76,2),0)</f>
        <v>0</v>
      </c>
      <c r="Z120" s="98">
        <f ca="1">(1-('Invoer gegevens'!$F$20/12))*X120*MIN(Reeksen!B120,Reeksen!D120)</f>
        <v>0</v>
      </c>
      <c r="AA120" s="98">
        <f>IF(Reeksen!D120&gt;=Reeksen!B120,0,IF(Reeksen!AD120&lt;=Reeksen!AE120,(Reeksen!B120-Reeksen!D120)*X120,0))</f>
        <v>0</v>
      </c>
      <c r="AB120" s="98">
        <f>IF(Reeksen!D120&gt;=Reeksen!B120,0,IF(Reeksen!AD120&gt;Reeksen!AE120,(Reeksen!B120-Reeksen!D120)*X120,0))</f>
        <v>0</v>
      </c>
      <c r="AC120" s="99">
        <f t="shared" ca="1" si="15"/>
        <v>0</v>
      </c>
      <c r="AD120" s="98">
        <f ca="1">IF('Invoer gegevens'!$C$17=E120,R120,IF(C120=0,0,AE119))</f>
        <v>0</v>
      </c>
      <c r="AE120" s="98">
        <f t="shared" ca="1" si="16"/>
        <v>0</v>
      </c>
      <c r="AF120" s="98">
        <f ca="1">IF('Invoer gegevens'!$C$17=E120,X120,IF(C120=0,0,AG119))</f>
        <v>0</v>
      </c>
      <c r="AG120" s="98">
        <f t="shared" ca="1" si="17"/>
        <v>0</v>
      </c>
      <c r="AH120" s="66"/>
      <c r="AI120" s="71">
        <f ca="1">IF(C120=1,Reeksen!AI120*((F120-G120+F120)/2)*12+Reeksen!AD120*((L120-M120+L120)/2)*12,0)</f>
        <v>0</v>
      </c>
      <c r="AJ120" s="71">
        <f ca="1">-AI120*'Invoer gegevens'!$F$28</f>
        <v>0</v>
      </c>
      <c r="AK120" s="71">
        <f t="shared" ca="1" si="18"/>
        <v>0</v>
      </c>
      <c r="AL120" s="71">
        <f ca="1">IF(C120=1,Reeksen!AL120*((F120-G120+F120)/2)*12+Reeksen!AM120*((L120-M120+L120)/2)*12,0)</f>
        <v>0</v>
      </c>
      <c r="AM120" s="71">
        <f ca="1">-AL120*'Invoer gegevens'!$F$31</f>
        <v>0</v>
      </c>
      <c r="AN120" s="71">
        <f t="shared" ca="1" si="19"/>
        <v>0</v>
      </c>
      <c r="AO120" s="71">
        <f ca="1">IF(C120=1,(H120+J120+N120+P120)*Reeksen!AN120,0)</f>
        <v>0</v>
      </c>
      <c r="AP120" s="71">
        <f ca="1">-IF(C120=1,(H120+J120+N120+P120)*'Hulp - basis'!$G$550*Reeksen!H120,0)</f>
        <v>0</v>
      </c>
      <c r="AQ120" s="71">
        <f ca="1">-IF(C120=1,(F120+K120+L120+Q120)/2*'Invoer gegevens'!$F$35*Reeksen!J120,0)*2</f>
        <v>0</v>
      </c>
      <c r="AR120" s="71"/>
      <c r="AS120" s="71">
        <f ca="1">-IF(C120=1,(F120+K120+L120+Q120)/2*'Invoer gegevens'!$F$37*Reeksen!L120,0)</f>
        <v>0</v>
      </c>
      <c r="AT120" s="71">
        <f ca="1">-IF(C120=1,IF(E120='Invoer gegevens'!$C$17,'Invoer gegevens'!$C$11,AD120)*Reeksen!S120*'Invoer gegevens'!$C$18*Reeksen!P120,0)</f>
        <v>0</v>
      </c>
      <c r="AU120" s="71">
        <f ca="1">-IF(C120=1,(F120+K120+L120+Q120)/2*'Invoer gegevens'!$F$38*Reeksen!H120,0)</f>
        <v>0</v>
      </c>
      <c r="AV120" s="71">
        <f t="shared" si="23"/>
        <v>0</v>
      </c>
      <c r="AW120" s="71">
        <f t="shared" ca="1" si="20"/>
        <v>0</v>
      </c>
      <c r="AX120" s="71">
        <f ca="1">IF(E120&lt;'Invoer gegevens'!$C$17+15,0,IF(E120&gt;'Invoer gegevens'!$C$17+215,0,AW120))</f>
        <v>0</v>
      </c>
      <c r="AY120" s="71">
        <f ca="1">AX120/(1+'Invoer gegevens'!$F$18)^($AZ120-('Invoer gegevens'!$C$17-'Invoer gegevens'!$C$16))/(1+'Invoer gegevens'!$C$39)^('Invoer gegevens'!$C$17-'Invoer gegevens'!$C$16)</f>
        <v>0</v>
      </c>
      <c r="AZ120" s="68">
        <f ca="1">IF(E120-'Invoer gegevens'!$C$17-14.5&lt;0,0,E120-'Invoer gegevens'!$C$17-14.5)</f>
        <v>100.5</v>
      </c>
    </row>
    <row r="121" spans="1:52" x14ac:dyDescent="0.25">
      <c r="A121" s="59"/>
      <c r="B121" s="70">
        <f t="shared" si="21"/>
        <v>117</v>
      </c>
      <c r="C121" s="67">
        <f ca="1">IF(E121-'Invoer gegevens'!$C$17&lt;0,0,1)</f>
        <v>1</v>
      </c>
      <c r="D121" s="68">
        <f t="shared" si="22"/>
        <v>116.5</v>
      </c>
      <c r="E121" s="69">
        <f ca="1">IF('Invoer gegevens'!$C$16="","",E120+1)</f>
        <v>2135</v>
      </c>
      <c r="F121" s="84">
        <f ca="1">IF('Invoer gegevens'!$C$17=E121,'Invoer gegevens'!$C$10,IF(C121=1,K120,0))</f>
        <v>0</v>
      </c>
      <c r="G121" s="96">
        <f ca="1">IF(C121&gt;=1,F121*VLOOKUP(E121,Reeksen!$A$5:$B$76,2),0)</f>
        <v>0</v>
      </c>
      <c r="H121" s="84">
        <f ca="1">(1-('Invoer gegevens'!$F$20/12))*F121*MIN(Reeksen!B121,Reeksen!D121)</f>
        <v>0</v>
      </c>
      <c r="I121" s="84">
        <f>IF(Reeksen!D121&lt;Reeksen!B121,(Reeksen!B121-Reeksen!D121)*F121,0)</f>
        <v>0</v>
      </c>
      <c r="J121" s="84">
        <f ca="1">('Invoer gegevens'!$F$20/12)*F120*MIN(Reeksen!B120,Reeksen!D120)</f>
        <v>0</v>
      </c>
      <c r="K121" s="97">
        <f t="shared" ca="1" si="12"/>
        <v>0</v>
      </c>
      <c r="L121" s="84">
        <f ca="1">IF('Invoer gegevens'!$C$17=E121,0,IF(C121=1,Q120,0))</f>
        <v>0</v>
      </c>
      <c r="M121" s="96">
        <f ca="1">IF(C121&gt;=1,L121*VLOOKUP(E121,Reeksen!$A$5:$B$76,2),0)</f>
        <v>0</v>
      </c>
      <c r="N121" s="84">
        <f ca="1">(1-('Invoer gegevens'!$F$20/12))*L121*MIN(Reeksen!B121,Reeksen!D121)</f>
        <v>0</v>
      </c>
      <c r="O121" s="84">
        <f>IF(Reeksen!D121&lt;Reeksen!B121,(Reeksen!B121-Reeksen!D121)*L121,0)</f>
        <v>0</v>
      </c>
      <c r="P121" s="84">
        <f ca="1">('Invoer gegevens'!$F$20/12)*L120*MIN(Reeksen!B120,Reeksen!D120)</f>
        <v>0</v>
      </c>
      <c r="Q121" s="84">
        <f t="shared" ca="1" si="13"/>
        <v>0</v>
      </c>
      <c r="R121" s="82">
        <f ca="1">IF('Invoer gegevens'!$C$17=E121,'Invoer gegevens'!$C$11,IF(C121=1,W120,0))</f>
        <v>0</v>
      </c>
      <c r="S121" s="86">
        <f ca="1">IF(C121&gt;=1,R121*VLOOKUP(E121,Reeksen!$A$5:$B$76,2),0)</f>
        <v>0</v>
      </c>
      <c r="T121" s="84">
        <f ca="1">(1-('Invoer gegevens'!$F$20/12))*R121*MIN(Reeksen!B121,Reeksen!D121)</f>
        <v>0</v>
      </c>
      <c r="U121" s="84">
        <f>IF(Reeksen!D121&gt;=Reeksen!B121,0,IF(Reeksen!AD121&lt;=Reeksen!AE121,(Reeksen!B121-Reeksen!D121)*R121,0))</f>
        <v>0</v>
      </c>
      <c r="V121" s="86">
        <f>IF(Reeksen!D121&gt;=Reeksen!B121,0,IF(Reeksen!AD121&gt;Reeksen!AE121,(Reeksen!B121-Reeksen!D121)*R121,0))</f>
        <v>0</v>
      </c>
      <c r="W121" s="97">
        <f t="shared" ca="1" si="14"/>
        <v>0</v>
      </c>
      <c r="X121" s="98">
        <f ca="1">IF('Invoer gegevens'!$C$17=E121,'Invoer gegevens'!$C$10-'Invoer gegevens'!$C$11,IF(C121=1,AC120,0))</f>
        <v>0</v>
      </c>
      <c r="Y121" s="98">
        <f ca="1">IF(C121&gt;=1,X121*VLOOKUP(E121,Reeksen!$A$5:$B$76,2),0)</f>
        <v>0</v>
      </c>
      <c r="Z121" s="98">
        <f ca="1">(1-('Invoer gegevens'!$F$20/12))*X121*MIN(Reeksen!B121,Reeksen!D121)</f>
        <v>0</v>
      </c>
      <c r="AA121" s="98">
        <f>IF(Reeksen!D121&gt;=Reeksen!B121,0,IF(Reeksen!AD121&lt;=Reeksen!AE121,(Reeksen!B121-Reeksen!D121)*X121,0))</f>
        <v>0</v>
      </c>
      <c r="AB121" s="98">
        <f>IF(Reeksen!D121&gt;=Reeksen!B121,0,IF(Reeksen!AD121&gt;Reeksen!AE121,(Reeksen!B121-Reeksen!D121)*X121,0))</f>
        <v>0</v>
      </c>
      <c r="AC121" s="99">
        <f t="shared" ca="1" si="15"/>
        <v>0</v>
      </c>
      <c r="AD121" s="98">
        <f ca="1">IF('Invoer gegevens'!$C$17=E121,R121,IF(C121=0,0,AE120))</f>
        <v>0</v>
      </c>
      <c r="AE121" s="98">
        <f t="shared" ca="1" si="16"/>
        <v>0</v>
      </c>
      <c r="AF121" s="98">
        <f ca="1">IF('Invoer gegevens'!$C$17=E121,X121,IF(C121=0,0,AG120))</f>
        <v>0</v>
      </c>
      <c r="AG121" s="98">
        <f t="shared" ca="1" si="17"/>
        <v>0</v>
      </c>
      <c r="AH121" s="66"/>
      <c r="AI121" s="71">
        <f ca="1">IF(C121=1,Reeksen!AI121*((F121-G121+F121)/2)*12+Reeksen!AD121*((L121-M121+L121)/2)*12,0)</f>
        <v>0</v>
      </c>
      <c r="AJ121" s="71">
        <f ca="1">-AI121*'Invoer gegevens'!$F$28</f>
        <v>0</v>
      </c>
      <c r="AK121" s="71">
        <f t="shared" ca="1" si="18"/>
        <v>0</v>
      </c>
      <c r="AL121" s="71">
        <f ca="1">IF(C121=1,Reeksen!AL121*((F121-G121+F121)/2)*12+Reeksen!AM121*((L121-M121+L121)/2)*12,0)</f>
        <v>0</v>
      </c>
      <c r="AM121" s="71">
        <f ca="1">-AL121*'Invoer gegevens'!$F$31</f>
        <v>0</v>
      </c>
      <c r="AN121" s="71">
        <f t="shared" ca="1" si="19"/>
        <v>0</v>
      </c>
      <c r="AO121" s="71">
        <f ca="1">IF(C121=1,(H121+J121+N121+P121)*Reeksen!AN121,0)</f>
        <v>0</v>
      </c>
      <c r="AP121" s="71">
        <f ca="1">-IF(C121=1,(H121+J121+N121+P121)*'Hulp - basis'!$G$550*Reeksen!H121,0)</f>
        <v>0</v>
      </c>
      <c r="AQ121" s="71">
        <f ca="1">-IF(C121=1,(F121+K121+L121+Q121)/2*'Invoer gegevens'!$F$35*Reeksen!J121,0)*2</f>
        <v>0</v>
      </c>
      <c r="AR121" s="71"/>
      <c r="AS121" s="71">
        <f ca="1">-IF(C121=1,(F121+K121+L121+Q121)/2*'Invoer gegevens'!$F$37*Reeksen!L121,0)</f>
        <v>0</v>
      </c>
      <c r="AT121" s="71">
        <f ca="1">-IF(C121=1,IF(E121='Invoer gegevens'!$C$17,'Invoer gegevens'!$C$11,AD121)*Reeksen!S121*'Invoer gegevens'!$C$18*Reeksen!P121,0)</f>
        <v>0</v>
      </c>
      <c r="AU121" s="71">
        <f ca="1">-IF(C121=1,(F121+K121+L121+Q121)/2*'Invoer gegevens'!$F$38*Reeksen!H121,0)</f>
        <v>0</v>
      </c>
      <c r="AV121" s="71">
        <f t="shared" si="23"/>
        <v>0</v>
      </c>
      <c r="AW121" s="71">
        <f t="shared" ca="1" si="20"/>
        <v>0</v>
      </c>
      <c r="AX121" s="71">
        <f ca="1">IF(E121&lt;'Invoer gegevens'!$C$17+15,0,IF(E121&gt;'Invoer gegevens'!$C$17+215,0,AW121))</f>
        <v>0</v>
      </c>
      <c r="AY121" s="71">
        <f ca="1">AX121/(1+'Invoer gegevens'!$F$18)^($AZ121-('Invoer gegevens'!$C$17-'Invoer gegevens'!$C$16))/(1+'Invoer gegevens'!$C$39)^('Invoer gegevens'!$C$17-'Invoer gegevens'!$C$16)</f>
        <v>0</v>
      </c>
      <c r="AZ121" s="68">
        <f ca="1">IF(E121-'Invoer gegevens'!$C$17-14.5&lt;0,0,E121-'Invoer gegevens'!$C$17-14.5)</f>
        <v>101.5</v>
      </c>
    </row>
    <row r="122" spans="1:52" x14ac:dyDescent="0.25">
      <c r="A122" s="59"/>
      <c r="B122" s="70">
        <f t="shared" si="21"/>
        <v>118</v>
      </c>
      <c r="C122" s="67">
        <f ca="1">IF(E122-'Invoer gegevens'!$C$17&lt;0,0,1)</f>
        <v>1</v>
      </c>
      <c r="D122" s="68">
        <f t="shared" si="22"/>
        <v>117.5</v>
      </c>
      <c r="E122" s="69">
        <f ca="1">IF('Invoer gegevens'!$C$16="","",E121+1)</f>
        <v>2136</v>
      </c>
      <c r="F122" s="84">
        <f ca="1">IF('Invoer gegevens'!$C$17=E122,'Invoer gegevens'!$C$10,IF(C122=1,K121,0))</f>
        <v>0</v>
      </c>
      <c r="G122" s="96">
        <f ca="1">IF(C122&gt;=1,F122*VLOOKUP(E122,Reeksen!$A$5:$B$76,2),0)</f>
        <v>0</v>
      </c>
      <c r="H122" s="84">
        <f ca="1">(1-('Invoer gegevens'!$F$20/12))*F122*MIN(Reeksen!B122,Reeksen!D122)</f>
        <v>0</v>
      </c>
      <c r="I122" s="84">
        <f>IF(Reeksen!D122&lt;Reeksen!B122,(Reeksen!B122-Reeksen!D122)*F122,0)</f>
        <v>0</v>
      </c>
      <c r="J122" s="84">
        <f ca="1">('Invoer gegevens'!$F$20/12)*F121*MIN(Reeksen!B121,Reeksen!D121)</f>
        <v>0</v>
      </c>
      <c r="K122" s="97">
        <f t="shared" ca="1" si="12"/>
        <v>0</v>
      </c>
      <c r="L122" s="84">
        <f ca="1">IF('Invoer gegevens'!$C$17=E122,0,IF(C122=1,Q121,0))</f>
        <v>0</v>
      </c>
      <c r="M122" s="96">
        <f ca="1">IF(C122&gt;=1,L122*VLOOKUP(E122,Reeksen!$A$5:$B$76,2),0)</f>
        <v>0</v>
      </c>
      <c r="N122" s="84">
        <f ca="1">(1-('Invoer gegevens'!$F$20/12))*L122*MIN(Reeksen!B122,Reeksen!D122)</f>
        <v>0</v>
      </c>
      <c r="O122" s="84">
        <f>IF(Reeksen!D122&lt;Reeksen!B122,(Reeksen!B122-Reeksen!D122)*L122,0)</f>
        <v>0</v>
      </c>
      <c r="P122" s="84">
        <f ca="1">('Invoer gegevens'!$F$20/12)*L121*MIN(Reeksen!B121,Reeksen!D121)</f>
        <v>0</v>
      </c>
      <c r="Q122" s="84">
        <f t="shared" ca="1" si="13"/>
        <v>0</v>
      </c>
      <c r="R122" s="82">
        <f ca="1">IF('Invoer gegevens'!$C$17=E122,'Invoer gegevens'!$C$11,IF(C122=1,W121,0))</f>
        <v>0</v>
      </c>
      <c r="S122" s="86">
        <f ca="1">IF(C122&gt;=1,R122*VLOOKUP(E122,Reeksen!$A$5:$B$76,2),0)</f>
        <v>0</v>
      </c>
      <c r="T122" s="84">
        <f ca="1">(1-('Invoer gegevens'!$F$20/12))*R122*MIN(Reeksen!B122,Reeksen!D122)</f>
        <v>0</v>
      </c>
      <c r="U122" s="84">
        <f>IF(Reeksen!D122&gt;=Reeksen!B122,0,IF(Reeksen!AD122&lt;=Reeksen!AE122,(Reeksen!B122-Reeksen!D122)*R122,0))</f>
        <v>0</v>
      </c>
      <c r="V122" s="86">
        <f>IF(Reeksen!D122&gt;=Reeksen!B122,0,IF(Reeksen!AD122&gt;Reeksen!AE122,(Reeksen!B122-Reeksen!D122)*R122,0))</f>
        <v>0</v>
      </c>
      <c r="W122" s="97">
        <f t="shared" ca="1" si="14"/>
        <v>0</v>
      </c>
      <c r="X122" s="98">
        <f ca="1">IF('Invoer gegevens'!$C$17=E122,'Invoer gegevens'!$C$10-'Invoer gegevens'!$C$11,IF(C122=1,AC121,0))</f>
        <v>0</v>
      </c>
      <c r="Y122" s="98">
        <f ca="1">IF(C122&gt;=1,X122*VLOOKUP(E122,Reeksen!$A$5:$B$76,2),0)</f>
        <v>0</v>
      </c>
      <c r="Z122" s="98">
        <f ca="1">(1-('Invoer gegevens'!$F$20/12))*X122*MIN(Reeksen!B122,Reeksen!D122)</f>
        <v>0</v>
      </c>
      <c r="AA122" s="98">
        <f>IF(Reeksen!D122&gt;=Reeksen!B122,0,IF(Reeksen!AD122&lt;=Reeksen!AE122,(Reeksen!B122-Reeksen!D122)*X122,0))</f>
        <v>0</v>
      </c>
      <c r="AB122" s="98">
        <f>IF(Reeksen!D122&gt;=Reeksen!B122,0,IF(Reeksen!AD122&gt;Reeksen!AE122,(Reeksen!B122-Reeksen!D122)*X122,0))</f>
        <v>0</v>
      </c>
      <c r="AC122" s="99">
        <f t="shared" ca="1" si="15"/>
        <v>0</v>
      </c>
      <c r="AD122" s="98">
        <f ca="1">IF('Invoer gegevens'!$C$17=E122,R122,IF(C122=0,0,AE121))</f>
        <v>0</v>
      </c>
      <c r="AE122" s="98">
        <f t="shared" ca="1" si="16"/>
        <v>0</v>
      </c>
      <c r="AF122" s="98">
        <f ca="1">IF('Invoer gegevens'!$C$17=E122,X122,IF(C122=0,0,AG121))</f>
        <v>0</v>
      </c>
      <c r="AG122" s="98">
        <f t="shared" ca="1" si="17"/>
        <v>0</v>
      </c>
      <c r="AH122" s="66"/>
      <c r="AI122" s="71">
        <f ca="1">IF(C122=1,Reeksen!AI122*((F122-G122+F122)/2)*12+Reeksen!AD122*((L122-M122+L122)/2)*12,0)</f>
        <v>0</v>
      </c>
      <c r="AJ122" s="71">
        <f ca="1">-AI122*'Invoer gegevens'!$F$28</f>
        <v>0</v>
      </c>
      <c r="AK122" s="71">
        <f t="shared" ca="1" si="18"/>
        <v>0</v>
      </c>
      <c r="AL122" s="71">
        <f ca="1">IF(C122=1,Reeksen!AL122*((F122-G122+F122)/2)*12+Reeksen!AM122*((L122-M122+L122)/2)*12,0)</f>
        <v>0</v>
      </c>
      <c r="AM122" s="71">
        <f ca="1">-AL122*'Invoer gegevens'!$F$31</f>
        <v>0</v>
      </c>
      <c r="AN122" s="71">
        <f t="shared" ca="1" si="19"/>
        <v>0</v>
      </c>
      <c r="AO122" s="71">
        <f ca="1">IF(C122=1,(H122+J122+N122+P122)*Reeksen!AN122,0)</f>
        <v>0</v>
      </c>
      <c r="AP122" s="71">
        <f ca="1">-IF(C122=1,(H122+J122+N122+P122)*'Hulp - basis'!$G$550*Reeksen!H122,0)</f>
        <v>0</v>
      </c>
      <c r="AQ122" s="71">
        <f ca="1">-IF(C122=1,(F122+K122+L122+Q122)/2*'Invoer gegevens'!$F$35*Reeksen!J122,0)*2</f>
        <v>0</v>
      </c>
      <c r="AR122" s="71"/>
      <c r="AS122" s="71">
        <f ca="1">-IF(C122=1,(F122+K122+L122+Q122)/2*'Invoer gegevens'!$F$37*Reeksen!L122,0)</f>
        <v>0</v>
      </c>
      <c r="AT122" s="71">
        <f ca="1">-IF(C122=1,IF(E122='Invoer gegevens'!$C$17,'Invoer gegevens'!$C$11,AD122)*Reeksen!S122*'Invoer gegevens'!$C$18*Reeksen!P122,0)</f>
        <v>0</v>
      </c>
      <c r="AU122" s="71">
        <f ca="1">-IF(C122=1,(F122+K122+L122+Q122)/2*'Invoer gegevens'!$F$38*Reeksen!H122,0)</f>
        <v>0</v>
      </c>
      <c r="AV122" s="71">
        <f t="shared" si="23"/>
        <v>0</v>
      </c>
      <c r="AW122" s="71">
        <f t="shared" ca="1" si="20"/>
        <v>0</v>
      </c>
      <c r="AX122" s="71">
        <f ca="1">IF(E122&lt;'Invoer gegevens'!$C$17+15,0,IF(E122&gt;'Invoer gegevens'!$C$17+215,0,AW122))</f>
        <v>0</v>
      </c>
      <c r="AY122" s="71">
        <f ca="1">AX122/(1+'Invoer gegevens'!$F$18)^($AZ122-('Invoer gegevens'!$C$17-'Invoer gegevens'!$C$16))/(1+'Invoer gegevens'!$C$39)^('Invoer gegevens'!$C$17-'Invoer gegevens'!$C$16)</f>
        <v>0</v>
      </c>
      <c r="AZ122" s="68">
        <f ca="1">IF(E122-'Invoer gegevens'!$C$17-14.5&lt;0,0,E122-'Invoer gegevens'!$C$17-14.5)</f>
        <v>102.5</v>
      </c>
    </row>
    <row r="123" spans="1:52" x14ac:dyDescent="0.25">
      <c r="A123" s="59"/>
      <c r="B123" s="70">
        <f t="shared" si="21"/>
        <v>119</v>
      </c>
      <c r="C123" s="67">
        <f ca="1">IF(E123-'Invoer gegevens'!$C$17&lt;0,0,1)</f>
        <v>1</v>
      </c>
      <c r="D123" s="68">
        <f t="shared" si="22"/>
        <v>118.5</v>
      </c>
      <c r="E123" s="69">
        <f ca="1">IF('Invoer gegevens'!$C$16="","",E122+1)</f>
        <v>2137</v>
      </c>
      <c r="F123" s="84">
        <f ca="1">IF('Invoer gegevens'!$C$17=E123,'Invoer gegevens'!$C$10,IF(C123=1,K122,0))</f>
        <v>0</v>
      </c>
      <c r="G123" s="96">
        <f ca="1">IF(C123&gt;=1,F123*VLOOKUP(E123,Reeksen!$A$5:$B$76,2),0)</f>
        <v>0</v>
      </c>
      <c r="H123" s="84">
        <f ca="1">(1-('Invoer gegevens'!$F$20/12))*F123*MIN(Reeksen!B123,Reeksen!D123)</f>
        <v>0</v>
      </c>
      <c r="I123" s="84">
        <f>IF(Reeksen!D123&lt;Reeksen!B123,(Reeksen!B123-Reeksen!D123)*F123,0)</f>
        <v>0</v>
      </c>
      <c r="J123" s="84">
        <f ca="1">('Invoer gegevens'!$F$20/12)*F122*MIN(Reeksen!B122,Reeksen!D122)</f>
        <v>0</v>
      </c>
      <c r="K123" s="97">
        <f t="shared" ca="1" si="12"/>
        <v>0</v>
      </c>
      <c r="L123" s="84">
        <f ca="1">IF('Invoer gegevens'!$C$17=E123,0,IF(C123=1,Q122,0))</f>
        <v>0</v>
      </c>
      <c r="M123" s="96">
        <f ca="1">IF(C123&gt;=1,L123*VLOOKUP(E123,Reeksen!$A$5:$B$76,2),0)</f>
        <v>0</v>
      </c>
      <c r="N123" s="84">
        <f ca="1">(1-('Invoer gegevens'!$F$20/12))*L123*MIN(Reeksen!B123,Reeksen!D123)</f>
        <v>0</v>
      </c>
      <c r="O123" s="84">
        <f>IF(Reeksen!D123&lt;Reeksen!B123,(Reeksen!B123-Reeksen!D123)*L123,0)</f>
        <v>0</v>
      </c>
      <c r="P123" s="84">
        <f ca="1">('Invoer gegevens'!$F$20/12)*L122*MIN(Reeksen!B122,Reeksen!D122)</f>
        <v>0</v>
      </c>
      <c r="Q123" s="84">
        <f t="shared" ca="1" si="13"/>
        <v>0</v>
      </c>
      <c r="R123" s="82">
        <f ca="1">IF('Invoer gegevens'!$C$17=E123,'Invoer gegevens'!$C$11,IF(C123=1,W122,0))</f>
        <v>0</v>
      </c>
      <c r="S123" s="86">
        <f ca="1">IF(C123&gt;=1,R123*VLOOKUP(E123,Reeksen!$A$5:$B$76,2),0)</f>
        <v>0</v>
      </c>
      <c r="T123" s="84">
        <f ca="1">(1-('Invoer gegevens'!$F$20/12))*R123*MIN(Reeksen!B123,Reeksen!D123)</f>
        <v>0</v>
      </c>
      <c r="U123" s="84">
        <f>IF(Reeksen!D123&gt;=Reeksen!B123,0,IF(Reeksen!AD123&lt;=Reeksen!AE123,(Reeksen!B123-Reeksen!D123)*R123,0))</f>
        <v>0</v>
      </c>
      <c r="V123" s="86">
        <f>IF(Reeksen!D123&gt;=Reeksen!B123,0,IF(Reeksen!AD123&gt;Reeksen!AE123,(Reeksen!B123-Reeksen!D123)*R123,0))</f>
        <v>0</v>
      </c>
      <c r="W123" s="97">
        <f t="shared" ca="1" si="14"/>
        <v>0</v>
      </c>
      <c r="X123" s="98">
        <f ca="1">IF('Invoer gegevens'!$C$17=E123,'Invoer gegevens'!$C$10-'Invoer gegevens'!$C$11,IF(C123=1,AC122,0))</f>
        <v>0</v>
      </c>
      <c r="Y123" s="98">
        <f ca="1">IF(C123&gt;=1,X123*VLOOKUP(E123,Reeksen!$A$5:$B$76,2),0)</f>
        <v>0</v>
      </c>
      <c r="Z123" s="98">
        <f ca="1">(1-('Invoer gegevens'!$F$20/12))*X123*MIN(Reeksen!B123,Reeksen!D123)</f>
        <v>0</v>
      </c>
      <c r="AA123" s="98">
        <f>IF(Reeksen!D123&gt;=Reeksen!B123,0,IF(Reeksen!AD123&lt;=Reeksen!AE123,(Reeksen!B123-Reeksen!D123)*X123,0))</f>
        <v>0</v>
      </c>
      <c r="AB123" s="98">
        <f>IF(Reeksen!D123&gt;=Reeksen!B123,0,IF(Reeksen!AD123&gt;Reeksen!AE123,(Reeksen!B123-Reeksen!D123)*X123,0))</f>
        <v>0</v>
      </c>
      <c r="AC123" s="99">
        <f t="shared" ca="1" si="15"/>
        <v>0</v>
      </c>
      <c r="AD123" s="98">
        <f ca="1">IF('Invoer gegevens'!$C$17=E123,R123,IF(C123=0,0,AE122))</f>
        <v>0</v>
      </c>
      <c r="AE123" s="98">
        <f t="shared" ca="1" si="16"/>
        <v>0</v>
      </c>
      <c r="AF123" s="98">
        <f ca="1">IF('Invoer gegevens'!$C$17=E123,X123,IF(C123=0,0,AG122))</f>
        <v>0</v>
      </c>
      <c r="AG123" s="98">
        <f t="shared" ca="1" si="17"/>
        <v>0</v>
      </c>
      <c r="AH123" s="66"/>
      <c r="AI123" s="71">
        <f ca="1">IF(C123=1,Reeksen!AI123*((F123-G123+F123)/2)*12+Reeksen!AD123*((L123-M123+L123)/2)*12,0)</f>
        <v>0</v>
      </c>
      <c r="AJ123" s="71">
        <f ca="1">-AI123*'Invoer gegevens'!$F$28</f>
        <v>0</v>
      </c>
      <c r="AK123" s="71">
        <f t="shared" ca="1" si="18"/>
        <v>0</v>
      </c>
      <c r="AL123" s="71">
        <f ca="1">IF(C123=1,Reeksen!AL123*((F123-G123+F123)/2)*12+Reeksen!AM123*((L123-M123+L123)/2)*12,0)</f>
        <v>0</v>
      </c>
      <c r="AM123" s="71">
        <f ca="1">-AL123*'Invoer gegevens'!$F$31</f>
        <v>0</v>
      </c>
      <c r="AN123" s="71">
        <f t="shared" ca="1" si="19"/>
        <v>0</v>
      </c>
      <c r="AO123" s="71">
        <f ca="1">IF(C123=1,(H123+J123+N123+P123)*Reeksen!AN123,0)</f>
        <v>0</v>
      </c>
      <c r="AP123" s="71">
        <f ca="1">-IF(C123=1,(H123+J123+N123+P123)*'Hulp - basis'!$G$550*Reeksen!H123,0)</f>
        <v>0</v>
      </c>
      <c r="AQ123" s="71">
        <f ca="1">-IF(C123=1,(F123+K123+L123+Q123)/2*'Invoer gegevens'!$F$35*Reeksen!J123,0)*2</f>
        <v>0</v>
      </c>
      <c r="AR123" s="71"/>
      <c r="AS123" s="71">
        <f ca="1">-IF(C123=1,(F123+K123+L123+Q123)/2*'Invoer gegevens'!$F$37*Reeksen!L123,0)</f>
        <v>0</v>
      </c>
      <c r="AT123" s="71">
        <f ca="1">-IF(C123=1,IF(E123='Invoer gegevens'!$C$17,'Invoer gegevens'!$C$11,AD123)*Reeksen!S123*'Invoer gegevens'!$C$18*Reeksen!P123,0)</f>
        <v>0</v>
      </c>
      <c r="AU123" s="71">
        <f ca="1">-IF(C123=1,(F123+K123+L123+Q123)/2*'Invoer gegevens'!$F$38*Reeksen!H123,0)</f>
        <v>0</v>
      </c>
      <c r="AV123" s="71">
        <f t="shared" si="23"/>
        <v>0</v>
      </c>
      <c r="AW123" s="71">
        <f t="shared" ca="1" si="20"/>
        <v>0</v>
      </c>
      <c r="AX123" s="71">
        <f ca="1">IF(E123&lt;'Invoer gegevens'!$C$17+15,0,IF(E123&gt;'Invoer gegevens'!$C$17+215,0,AW123))</f>
        <v>0</v>
      </c>
      <c r="AY123" s="71">
        <f ca="1">AX123/(1+'Invoer gegevens'!$F$18)^($AZ123-('Invoer gegevens'!$C$17-'Invoer gegevens'!$C$16))/(1+'Invoer gegevens'!$C$39)^('Invoer gegevens'!$C$17-'Invoer gegevens'!$C$16)</f>
        <v>0</v>
      </c>
      <c r="AZ123" s="68">
        <f ca="1">IF(E123-'Invoer gegevens'!$C$17-14.5&lt;0,0,E123-'Invoer gegevens'!$C$17-14.5)</f>
        <v>103.5</v>
      </c>
    </row>
    <row r="124" spans="1:52" x14ac:dyDescent="0.25">
      <c r="A124" s="59"/>
      <c r="B124" s="70">
        <f t="shared" si="21"/>
        <v>120</v>
      </c>
      <c r="C124" s="67">
        <f ca="1">IF(E124-'Invoer gegevens'!$C$17&lt;0,0,1)</f>
        <v>1</v>
      </c>
      <c r="D124" s="68">
        <f t="shared" si="22"/>
        <v>119.5</v>
      </c>
      <c r="E124" s="69">
        <f ca="1">IF('Invoer gegevens'!$C$16="","",E123+1)</f>
        <v>2138</v>
      </c>
      <c r="F124" s="84">
        <f ca="1">IF('Invoer gegevens'!$C$17=E124,'Invoer gegevens'!$C$10,IF(C124=1,K123,0))</f>
        <v>0</v>
      </c>
      <c r="G124" s="96">
        <f ca="1">IF(C124&gt;=1,F124*VLOOKUP(E124,Reeksen!$A$5:$B$76,2),0)</f>
        <v>0</v>
      </c>
      <c r="H124" s="84">
        <f ca="1">(1-('Invoer gegevens'!$F$20/12))*F124*MIN(Reeksen!B124,Reeksen!D124)</f>
        <v>0</v>
      </c>
      <c r="I124" s="84">
        <f>IF(Reeksen!D124&lt;Reeksen!B124,(Reeksen!B124-Reeksen!D124)*F124,0)</f>
        <v>0</v>
      </c>
      <c r="J124" s="84">
        <f ca="1">('Invoer gegevens'!$F$20/12)*F123*MIN(Reeksen!B123,Reeksen!D123)</f>
        <v>0</v>
      </c>
      <c r="K124" s="97">
        <f t="shared" ca="1" si="12"/>
        <v>0</v>
      </c>
      <c r="L124" s="84">
        <f ca="1">IF('Invoer gegevens'!$C$17=E124,0,IF(C124=1,Q123,0))</f>
        <v>0</v>
      </c>
      <c r="M124" s="96">
        <f ca="1">IF(C124&gt;=1,L124*VLOOKUP(E124,Reeksen!$A$5:$B$76,2),0)</f>
        <v>0</v>
      </c>
      <c r="N124" s="84">
        <f ca="1">(1-('Invoer gegevens'!$F$20/12))*L124*MIN(Reeksen!B124,Reeksen!D124)</f>
        <v>0</v>
      </c>
      <c r="O124" s="84">
        <f>IF(Reeksen!D124&lt;Reeksen!B124,(Reeksen!B124-Reeksen!D124)*L124,0)</f>
        <v>0</v>
      </c>
      <c r="P124" s="84">
        <f ca="1">('Invoer gegevens'!$F$20/12)*L123*MIN(Reeksen!B123,Reeksen!D123)</f>
        <v>0</v>
      </c>
      <c r="Q124" s="84">
        <f t="shared" ca="1" si="13"/>
        <v>0</v>
      </c>
      <c r="R124" s="82">
        <f ca="1">IF('Invoer gegevens'!$C$17=E124,'Invoer gegevens'!$C$11,IF(C124=1,W123,0))</f>
        <v>0</v>
      </c>
      <c r="S124" s="86">
        <f ca="1">IF(C124&gt;=1,R124*VLOOKUP(E124,Reeksen!$A$5:$B$76,2),0)</f>
        <v>0</v>
      </c>
      <c r="T124" s="84">
        <f ca="1">(1-('Invoer gegevens'!$F$20/12))*R124*MIN(Reeksen!B124,Reeksen!D124)</f>
        <v>0</v>
      </c>
      <c r="U124" s="84">
        <f>IF(Reeksen!D124&gt;=Reeksen!B124,0,IF(Reeksen!AD124&lt;=Reeksen!AE124,(Reeksen!B124-Reeksen!D124)*R124,0))</f>
        <v>0</v>
      </c>
      <c r="V124" s="86">
        <f>IF(Reeksen!D124&gt;=Reeksen!B124,0,IF(Reeksen!AD124&gt;Reeksen!AE124,(Reeksen!B124-Reeksen!D124)*R124,0))</f>
        <v>0</v>
      </c>
      <c r="W124" s="97">
        <f t="shared" ca="1" si="14"/>
        <v>0</v>
      </c>
      <c r="X124" s="98">
        <f ca="1">IF('Invoer gegevens'!$C$17=E124,'Invoer gegevens'!$C$10-'Invoer gegevens'!$C$11,IF(C124=1,AC123,0))</f>
        <v>0</v>
      </c>
      <c r="Y124" s="98">
        <f ca="1">IF(C124&gt;=1,X124*VLOOKUP(E124,Reeksen!$A$5:$B$76,2),0)</f>
        <v>0</v>
      </c>
      <c r="Z124" s="98">
        <f ca="1">(1-('Invoer gegevens'!$F$20/12))*X124*MIN(Reeksen!B124,Reeksen!D124)</f>
        <v>0</v>
      </c>
      <c r="AA124" s="98">
        <f>IF(Reeksen!D124&gt;=Reeksen!B124,0,IF(Reeksen!AD124&lt;=Reeksen!AE124,(Reeksen!B124-Reeksen!D124)*X124,0))</f>
        <v>0</v>
      </c>
      <c r="AB124" s="98">
        <f>IF(Reeksen!D124&gt;=Reeksen!B124,0,IF(Reeksen!AD124&gt;Reeksen!AE124,(Reeksen!B124-Reeksen!D124)*X124,0))</f>
        <v>0</v>
      </c>
      <c r="AC124" s="99">
        <f t="shared" ca="1" si="15"/>
        <v>0</v>
      </c>
      <c r="AD124" s="98">
        <f ca="1">IF('Invoer gegevens'!$C$17=E124,R124,IF(C124=0,0,AE123))</f>
        <v>0</v>
      </c>
      <c r="AE124" s="98">
        <f t="shared" ca="1" si="16"/>
        <v>0</v>
      </c>
      <c r="AF124" s="98">
        <f ca="1">IF('Invoer gegevens'!$C$17=E124,X124,IF(C124=0,0,AG123))</f>
        <v>0</v>
      </c>
      <c r="AG124" s="98">
        <f t="shared" ca="1" si="17"/>
        <v>0</v>
      </c>
      <c r="AH124" s="66"/>
      <c r="AI124" s="71">
        <f ca="1">IF(C124=1,Reeksen!AI124*((F124-G124+F124)/2)*12+Reeksen!AD124*((L124-M124+L124)/2)*12,0)</f>
        <v>0</v>
      </c>
      <c r="AJ124" s="71">
        <f ca="1">-AI124*'Invoer gegevens'!$F$28</f>
        <v>0</v>
      </c>
      <c r="AK124" s="71">
        <f t="shared" ca="1" si="18"/>
        <v>0</v>
      </c>
      <c r="AL124" s="71">
        <f ca="1">IF(C124=1,Reeksen!AL124*((F124-G124+F124)/2)*12+Reeksen!AM124*((L124-M124+L124)/2)*12,0)</f>
        <v>0</v>
      </c>
      <c r="AM124" s="71">
        <f ca="1">-AL124*'Invoer gegevens'!$F$31</f>
        <v>0</v>
      </c>
      <c r="AN124" s="71">
        <f t="shared" ca="1" si="19"/>
        <v>0</v>
      </c>
      <c r="AO124" s="71">
        <f ca="1">IF(C124=1,(H124+J124+N124+P124)*Reeksen!AN124,0)</f>
        <v>0</v>
      </c>
      <c r="AP124" s="71">
        <f ca="1">-IF(C124=1,(H124+J124+N124+P124)*'Hulp - basis'!$G$550*Reeksen!H124,0)</f>
        <v>0</v>
      </c>
      <c r="AQ124" s="71">
        <f ca="1">-IF(C124=1,(F124+K124+L124+Q124)/2*'Invoer gegevens'!$F$35*Reeksen!J124,0)*2</f>
        <v>0</v>
      </c>
      <c r="AR124" s="71"/>
      <c r="AS124" s="71">
        <f ca="1">-IF(C124=1,(F124+K124+L124+Q124)/2*'Invoer gegevens'!$F$37*Reeksen!L124,0)</f>
        <v>0</v>
      </c>
      <c r="AT124" s="71">
        <f ca="1">-IF(C124=1,IF(E124='Invoer gegevens'!$C$17,'Invoer gegevens'!$C$11,AD124)*Reeksen!S124*'Invoer gegevens'!$C$18*Reeksen!P124,0)</f>
        <v>0</v>
      </c>
      <c r="AU124" s="71">
        <f ca="1">-IF(C124=1,(F124+K124+L124+Q124)/2*'Invoer gegevens'!$F$38*Reeksen!H124,0)</f>
        <v>0</v>
      </c>
      <c r="AV124" s="71">
        <f t="shared" si="23"/>
        <v>0</v>
      </c>
      <c r="AW124" s="71">
        <f t="shared" ca="1" si="20"/>
        <v>0</v>
      </c>
      <c r="AX124" s="71">
        <f ca="1">IF(E124&lt;'Invoer gegevens'!$C$17+15,0,IF(E124&gt;'Invoer gegevens'!$C$17+215,0,AW124))</f>
        <v>0</v>
      </c>
      <c r="AY124" s="71">
        <f ca="1">AX124/(1+'Invoer gegevens'!$F$18)^($AZ124-('Invoer gegevens'!$C$17-'Invoer gegevens'!$C$16))/(1+'Invoer gegevens'!$C$39)^('Invoer gegevens'!$C$17-'Invoer gegevens'!$C$16)</f>
        <v>0</v>
      </c>
      <c r="AZ124" s="68">
        <f ca="1">IF(E124-'Invoer gegevens'!$C$17-14.5&lt;0,0,E124-'Invoer gegevens'!$C$17-14.5)</f>
        <v>104.5</v>
      </c>
    </row>
    <row r="125" spans="1:52" x14ac:dyDescent="0.25">
      <c r="A125" s="59"/>
      <c r="B125" s="70">
        <f t="shared" si="21"/>
        <v>121</v>
      </c>
      <c r="C125" s="67">
        <f ca="1">IF(E125-'Invoer gegevens'!$C$17&lt;0,0,1)</f>
        <v>1</v>
      </c>
      <c r="D125" s="68">
        <f t="shared" si="22"/>
        <v>120.5</v>
      </c>
      <c r="E125" s="69">
        <f ca="1">IF('Invoer gegevens'!$C$16="","",E124+1)</f>
        <v>2139</v>
      </c>
      <c r="F125" s="84">
        <f ca="1">IF('Invoer gegevens'!$C$17=E125,'Invoer gegevens'!$C$10,IF(C125=1,K124,0))</f>
        <v>0</v>
      </c>
      <c r="G125" s="96">
        <f ca="1">IF(C125&gt;=1,F125*VLOOKUP(E125,Reeksen!$A$5:$B$76,2),0)</f>
        <v>0</v>
      </c>
      <c r="H125" s="84">
        <f ca="1">(1-('Invoer gegevens'!$F$20/12))*F125*MIN(Reeksen!B125,Reeksen!D125)</f>
        <v>0</v>
      </c>
      <c r="I125" s="84">
        <f>IF(Reeksen!D125&lt;Reeksen!B125,(Reeksen!B125-Reeksen!D125)*F125,0)</f>
        <v>0</v>
      </c>
      <c r="J125" s="84">
        <f ca="1">('Invoer gegevens'!$F$20/12)*F124*MIN(Reeksen!B124,Reeksen!D124)</f>
        <v>0</v>
      </c>
      <c r="K125" s="97">
        <f t="shared" ca="1" si="12"/>
        <v>0</v>
      </c>
      <c r="L125" s="84">
        <f ca="1">IF('Invoer gegevens'!$C$17=E125,0,IF(C125=1,Q124,0))</f>
        <v>0</v>
      </c>
      <c r="M125" s="96">
        <f ca="1">IF(C125&gt;=1,L125*VLOOKUP(E125,Reeksen!$A$5:$B$76,2),0)</f>
        <v>0</v>
      </c>
      <c r="N125" s="84">
        <f ca="1">(1-('Invoer gegevens'!$F$20/12))*L125*MIN(Reeksen!B125,Reeksen!D125)</f>
        <v>0</v>
      </c>
      <c r="O125" s="84">
        <f>IF(Reeksen!D125&lt;Reeksen!B125,(Reeksen!B125-Reeksen!D125)*L125,0)</f>
        <v>0</v>
      </c>
      <c r="P125" s="84">
        <f ca="1">('Invoer gegevens'!$F$20/12)*L124*MIN(Reeksen!B124,Reeksen!D124)</f>
        <v>0</v>
      </c>
      <c r="Q125" s="84">
        <f t="shared" ca="1" si="13"/>
        <v>0</v>
      </c>
      <c r="R125" s="82">
        <f ca="1">IF('Invoer gegevens'!$C$17=E125,'Invoer gegevens'!$C$11,IF(C125=1,W124,0))</f>
        <v>0</v>
      </c>
      <c r="S125" s="86">
        <f ca="1">IF(C125&gt;=1,R125*VLOOKUP(E125,Reeksen!$A$5:$B$76,2),0)</f>
        <v>0</v>
      </c>
      <c r="T125" s="84">
        <f ca="1">(1-('Invoer gegevens'!$F$20/12))*R125*MIN(Reeksen!B125,Reeksen!D125)</f>
        <v>0</v>
      </c>
      <c r="U125" s="84">
        <f>IF(Reeksen!D125&gt;=Reeksen!B125,0,IF(Reeksen!AD125&lt;=Reeksen!AE125,(Reeksen!B125-Reeksen!D125)*R125,0))</f>
        <v>0</v>
      </c>
      <c r="V125" s="86">
        <f>IF(Reeksen!D125&gt;=Reeksen!B125,0,IF(Reeksen!AD125&gt;Reeksen!AE125,(Reeksen!B125-Reeksen!D125)*R125,0))</f>
        <v>0</v>
      </c>
      <c r="W125" s="97">
        <f t="shared" ca="1" si="14"/>
        <v>0</v>
      </c>
      <c r="X125" s="98">
        <f ca="1">IF('Invoer gegevens'!$C$17=E125,'Invoer gegevens'!$C$10-'Invoer gegevens'!$C$11,IF(C125=1,AC124,0))</f>
        <v>0</v>
      </c>
      <c r="Y125" s="98">
        <f ca="1">IF(C125&gt;=1,X125*VLOOKUP(E125,Reeksen!$A$5:$B$76,2),0)</f>
        <v>0</v>
      </c>
      <c r="Z125" s="98">
        <f ca="1">(1-('Invoer gegevens'!$F$20/12))*X125*MIN(Reeksen!B125,Reeksen!D125)</f>
        <v>0</v>
      </c>
      <c r="AA125" s="98">
        <f>IF(Reeksen!D125&gt;=Reeksen!B125,0,IF(Reeksen!AD125&lt;=Reeksen!AE125,(Reeksen!B125-Reeksen!D125)*X125,0))</f>
        <v>0</v>
      </c>
      <c r="AB125" s="98">
        <f>IF(Reeksen!D125&gt;=Reeksen!B125,0,IF(Reeksen!AD125&gt;Reeksen!AE125,(Reeksen!B125-Reeksen!D125)*X125,0))</f>
        <v>0</v>
      </c>
      <c r="AC125" s="99">
        <f t="shared" ca="1" si="15"/>
        <v>0</v>
      </c>
      <c r="AD125" s="98">
        <f ca="1">IF('Invoer gegevens'!$C$17=E125,R125,IF(C125=0,0,AE124))</f>
        <v>0</v>
      </c>
      <c r="AE125" s="98">
        <f t="shared" ca="1" si="16"/>
        <v>0</v>
      </c>
      <c r="AF125" s="98">
        <f ca="1">IF('Invoer gegevens'!$C$17=E125,X125,IF(C125=0,0,AG124))</f>
        <v>0</v>
      </c>
      <c r="AG125" s="98">
        <f t="shared" ca="1" si="17"/>
        <v>0</v>
      </c>
      <c r="AH125" s="66"/>
      <c r="AI125" s="71">
        <f ca="1">IF(C125=1,Reeksen!AI125*((F125-G125+F125)/2)*12+Reeksen!AD125*((L125-M125+L125)/2)*12,0)</f>
        <v>0</v>
      </c>
      <c r="AJ125" s="71">
        <f ca="1">-AI125*'Invoer gegevens'!$F$28</f>
        <v>0</v>
      </c>
      <c r="AK125" s="71">
        <f t="shared" ca="1" si="18"/>
        <v>0</v>
      </c>
      <c r="AL125" s="71">
        <f ca="1">IF(C125=1,Reeksen!AL125*((F125-G125+F125)/2)*12+Reeksen!AM125*((L125-M125+L125)/2)*12,0)</f>
        <v>0</v>
      </c>
      <c r="AM125" s="71">
        <f ca="1">-AL125*'Invoer gegevens'!$F$31</f>
        <v>0</v>
      </c>
      <c r="AN125" s="71">
        <f t="shared" ca="1" si="19"/>
        <v>0</v>
      </c>
      <c r="AO125" s="71">
        <f ca="1">IF(C125=1,(H125+J125+N125+P125)*Reeksen!AN125,0)</f>
        <v>0</v>
      </c>
      <c r="AP125" s="71">
        <f ca="1">-IF(C125=1,(H125+J125+N125+P125)*'Hulp - basis'!$G$550*Reeksen!H125,0)</f>
        <v>0</v>
      </c>
      <c r="AQ125" s="71">
        <f ca="1">-IF(C125=1,(F125+K125+L125+Q125)/2*'Invoer gegevens'!$F$35*Reeksen!J125,0)*2</f>
        <v>0</v>
      </c>
      <c r="AR125" s="71"/>
      <c r="AS125" s="71">
        <f ca="1">-IF(C125=1,(F125+K125+L125+Q125)/2*'Invoer gegevens'!$F$37*Reeksen!L125,0)</f>
        <v>0</v>
      </c>
      <c r="AT125" s="71">
        <f ca="1">-IF(C125=1,IF(E125='Invoer gegevens'!$C$17,'Invoer gegevens'!$C$11,AD125)*Reeksen!S125*'Invoer gegevens'!$C$18*Reeksen!P125,0)</f>
        <v>0</v>
      </c>
      <c r="AU125" s="71">
        <f ca="1">-IF(C125=1,(F125+K125+L125+Q125)/2*'Invoer gegevens'!$F$38*Reeksen!H125,0)</f>
        <v>0</v>
      </c>
      <c r="AV125" s="71">
        <f t="shared" si="23"/>
        <v>0</v>
      </c>
      <c r="AW125" s="71">
        <f t="shared" ca="1" si="20"/>
        <v>0</v>
      </c>
      <c r="AX125" s="71">
        <f ca="1">IF(E125&lt;'Invoer gegevens'!$C$17+15,0,IF(E125&gt;'Invoer gegevens'!$C$17+215,0,AW125))</f>
        <v>0</v>
      </c>
      <c r="AY125" s="71">
        <f ca="1">AX125/(1+'Invoer gegevens'!$F$18)^($AZ125-('Invoer gegevens'!$C$17-'Invoer gegevens'!$C$16))/(1+'Invoer gegevens'!$C$39)^('Invoer gegevens'!$C$17-'Invoer gegevens'!$C$16)</f>
        <v>0</v>
      </c>
      <c r="AZ125" s="68">
        <f ca="1">IF(E125-'Invoer gegevens'!$C$17-14.5&lt;0,0,E125-'Invoer gegevens'!$C$17-14.5)</f>
        <v>105.5</v>
      </c>
    </row>
    <row r="126" spans="1:52" x14ac:dyDescent="0.25">
      <c r="A126" s="59"/>
      <c r="B126" s="70">
        <f t="shared" si="21"/>
        <v>122</v>
      </c>
      <c r="C126" s="67">
        <f ca="1">IF(E126-'Invoer gegevens'!$C$17&lt;0,0,1)</f>
        <v>1</v>
      </c>
      <c r="D126" s="68">
        <f t="shared" si="22"/>
        <v>121.5</v>
      </c>
      <c r="E126" s="69">
        <f ca="1">IF('Invoer gegevens'!$C$16="","",E125+1)</f>
        <v>2140</v>
      </c>
      <c r="F126" s="84">
        <f ca="1">IF('Invoer gegevens'!$C$17=E126,'Invoer gegevens'!$C$10,IF(C126=1,K125,0))</f>
        <v>0</v>
      </c>
      <c r="G126" s="96">
        <f ca="1">IF(C126&gt;=1,F126*VLOOKUP(E126,Reeksen!$A$5:$B$76,2),0)</f>
        <v>0</v>
      </c>
      <c r="H126" s="84">
        <f ca="1">(1-('Invoer gegevens'!$F$20/12))*F126*MIN(Reeksen!B126,Reeksen!D126)</f>
        <v>0</v>
      </c>
      <c r="I126" s="84">
        <f>IF(Reeksen!D126&lt;Reeksen!B126,(Reeksen!B126-Reeksen!D126)*F126,0)</f>
        <v>0</v>
      </c>
      <c r="J126" s="84">
        <f ca="1">('Invoer gegevens'!$F$20/12)*F125*MIN(Reeksen!B125,Reeksen!D125)</f>
        <v>0</v>
      </c>
      <c r="K126" s="97">
        <f t="shared" ca="1" si="12"/>
        <v>0</v>
      </c>
      <c r="L126" s="84">
        <f ca="1">IF('Invoer gegevens'!$C$17=E126,0,IF(C126=1,Q125,0))</f>
        <v>0</v>
      </c>
      <c r="M126" s="96">
        <f ca="1">IF(C126&gt;=1,L126*VLOOKUP(E126,Reeksen!$A$5:$B$76,2),0)</f>
        <v>0</v>
      </c>
      <c r="N126" s="84">
        <f ca="1">(1-('Invoer gegevens'!$F$20/12))*L126*MIN(Reeksen!B126,Reeksen!D126)</f>
        <v>0</v>
      </c>
      <c r="O126" s="84">
        <f>IF(Reeksen!D126&lt;Reeksen!B126,(Reeksen!B126-Reeksen!D126)*L126,0)</f>
        <v>0</v>
      </c>
      <c r="P126" s="84">
        <f ca="1">('Invoer gegevens'!$F$20/12)*L125*MIN(Reeksen!B125,Reeksen!D125)</f>
        <v>0</v>
      </c>
      <c r="Q126" s="84">
        <f t="shared" ca="1" si="13"/>
        <v>0</v>
      </c>
      <c r="R126" s="82">
        <f ca="1">IF('Invoer gegevens'!$C$17=E126,'Invoer gegevens'!$C$11,IF(C126=1,W125,0))</f>
        <v>0</v>
      </c>
      <c r="S126" s="86">
        <f ca="1">IF(C126&gt;=1,R126*VLOOKUP(E126,Reeksen!$A$5:$B$76,2),0)</f>
        <v>0</v>
      </c>
      <c r="T126" s="84">
        <f ca="1">(1-('Invoer gegevens'!$F$20/12))*R126*MIN(Reeksen!B126,Reeksen!D126)</f>
        <v>0</v>
      </c>
      <c r="U126" s="84">
        <f>IF(Reeksen!D126&gt;=Reeksen!B126,0,IF(Reeksen!AD126&lt;=Reeksen!AE126,(Reeksen!B126-Reeksen!D126)*R126,0))</f>
        <v>0</v>
      </c>
      <c r="V126" s="86">
        <f>IF(Reeksen!D126&gt;=Reeksen!B126,0,IF(Reeksen!AD126&gt;Reeksen!AE126,(Reeksen!B126-Reeksen!D126)*R126,0))</f>
        <v>0</v>
      </c>
      <c r="W126" s="97">
        <f t="shared" ca="1" si="14"/>
        <v>0</v>
      </c>
      <c r="X126" s="98">
        <f ca="1">IF('Invoer gegevens'!$C$17=E126,'Invoer gegevens'!$C$10-'Invoer gegevens'!$C$11,IF(C126=1,AC125,0))</f>
        <v>0</v>
      </c>
      <c r="Y126" s="98">
        <f ca="1">IF(C126&gt;=1,X126*VLOOKUP(E126,Reeksen!$A$5:$B$76,2),0)</f>
        <v>0</v>
      </c>
      <c r="Z126" s="98">
        <f ca="1">(1-('Invoer gegevens'!$F$20/12))*X126*MIN(Reeksen!B126,Reeksen!D126)</f>
        <v>0</v>
      </c>
      <c r="AA126" s="98">
        <f>IF(Reeksen!D126&gt;=Reeksen!B126,0,IF(Reeksen!AD126&lt;=Reeksen!AE126,(Reeksen!B126-Reeksen!D126)*X126,0))</f>
        <v>0</v>
      </c>
      <c r="AB126" s="98">
        <f>IF(Reeksen!D126&gt;=Reeksen!B126,0,IF(Reeksen!AD126&gt;Reeksen!AE126,(Reeksen!B126-Reeksen!D126)*X126,0))</f>
        <v>0</v>
      </c>
      <c r="AC126" s="99">
        <f t="shared" ca="1" si="15"/>
        <v>0</v>
      </c>
      <c r="AD126" s="98">
        <f ca="1">IF('Invoer gegevens'!$C$17=E126,R126,IF(C126=0,0,AE125))</f>
        <v>0</v>
      </c>
      <c r="AE126" s="98">
        <f t="shared" ca="1" si="16"/>
        <v>0</v>
      </c>
      <c r="AF126" s="98">
        <f ca="1">IF('Invoer gegevens'!$C$17=E126,X126,IF(C126=0,0,AG125))</f>
        <v>0</v>
      </c>
      <c r="AG126" s="98">
        <f t="shared" ca="1" si="17"/>
        <v>0</v>
      </c>
      <c r="AH126" s="66"/>
      <c r="AI126" s="71">
        <f ca="1">IF(C126=1,Reeksen!AI126*((F126-G126+F126)/2)*12+Reeksen!AD126*((L126-M126+L126)/2)*12,0)</f>
        <v>0</v>
      </c>
      <c r="AJ126" s="71">
        <f ca="1">-AI126*'Invoer gegevens'!$F$28</f>
        <v>0</v>
      </c>
      <c r="AK126" s="71">
        <f t="shared" ca="1" si="18"/>
        <v>0</v>
      </c>
      <c r="AL126" s="71">
        <f ca="1">IF(C126=1,Reeksen!AL126*((F126-G126+F126)/2)*12+Reeksen!AM126*((L126-M126+L126)/2)*12,0)</f>
        <v>0</v>
      </c>
      <c r="AM126" s="71">
        <f ca="1">-AL126*'Invoer gegevens'!$F$31</f>
        <v>0</v>
      </c>
      <c r="AN126" s="71">
        <f t="shared" ca="1" si="19"/>
        <v>0</v>
      </c>
      <c r="AO126" s="71">
        <f ca="1">IF(C126=1,(H126+J126+N126+P126)*Reeksen!AN126,0)</f>
        <v>0</v>
      </c>
      <c r="AP126" s="71">
        <f ca="1">-IF(C126=1,(H126+J126+N126+P126)*'Hulp - basis'!$G$550*Reeksen!H126,0)</f>
        <v>0</v>
      </c>
      <c r="AQ126" s="71">
        <f ca="1">-IF(C126=1,(F126+K126+L126+Q126)/2*'Invoer gegevens'!$F$35*Reeksen!J126,0)*2</f>
        <v>0</v>
      </c>
      <c r="AR126" s="71"/>
      <c r="AS126" s="71">
        <f ca="1">-IF(C126=1,(F126+K126+L126+Q126)/2*'Invoer gegevens'!$F$37*Reeksen!L126,0)</f>
        <v>0</v>
      </c>
      <c r="AT126" s="71">
        <f ca="1">-IF(C126=1,IF(E126='Invoer gegevens'!$C$17,'Invoer gegevens'!$C$11,AD126)*Reeksen!S126*'Invoer gegevens'!$C$18*Reeksen!P126,0)</f>
        <v>0</v>
      </c>
      <c r="AU126" s="71">
        <f ca="1">-IF(C126=1,(F126+K126+L126+Q126)/2*'Invoer gegevens'!$F$38*Reeksen!H126,0)</f>
        <v>0</v>
      </c>
      <c r="AV126" s="71">
        <f t="shared" si="23"/>
        <v>0</v>
      </c>
      <c r="AW126" s="71">
        <f t="shared" ca="1" si="20"/>
        <v>0</v>
      </c>
      <c r="AX126" s="71">
        <f ca="1">IF(E126&lt;'Invoer gegevens'!$C$17+15,0,IF(E126&gt;'Invoer gegevens'!$C$17+215,0,AW126))</f>
        <v>0</v>
      </c>
      <c r="AY126" s="71">
        <f ca="1">AX126/(1+'Invoer gegevens'!$F$18)^($AZ126-('Invoer gegevens'!$C$17-'Invoer gegevens'!$C$16))/(1+'Invoer gegevens'!$C$39)^('Invoer gegevens'!$C$17-'Invoer gegevens'!$C$16)</f>
        <v>0</v>
      </c>
      <c r="AZ126" s="68">
        <f ca="1">IF(E126-'Invoer gegevens'!$C$17-14.5&lt;0,0,E126-'Invoer gegevens'!$C$17-14.5)</f>
        <v>106.5</v>
      </c>
    </row>
    <row r="127" spans="1:52" x14ac:dyDescent="0.25">
      <c r="A127" s="59"/>
      <c r="B127" s="70">
        <f t="shared" si="21"/>
        <v>123</v>
      </c>
      <c r="C127" s="67">
        <f ca="1">IF(E127-'Invoer gegevens'!$C$17&lt;0,0,1)</f>
        <v>1</v>
      </c>
      <c r="D127" s="68">
        <f t="shared" si="22"/>
        <v>122.5</v>
      </c>
      <c r="E127" s="69">
        <f ca="1">IF('Invoer gegevens'!$C$16="","",E126+1)</f>
        <v>2141</v>
      </c>
      <c r="F127" s="84">
        <f ca="1">IF('Invoer gegevens'!$C$17=E127,'Invoer gegevens'!$C$10,IF(C127=1,K126,0))</f>
        <v>0</v>
      </c>
      <c r="G127" s="96">
        <f ca="1">IF(C127&gt;=1,F127*VLOOKUP(E127,Reeksen!$A$5:$B$76,2),0)</f>
        <v>0</v>
      </c>
      <c r="H127" s="84">
        <f ca="1">(1-('Invoer gegevens'!$F$20/12))*F127*MIN(Reeksen!B127,Reeksen!D127)</f>
        <v>0</v>
      </c>
      <c r="I127" s="84">
        <f>IF(Reeksen!D127&lt;Reeksen!B127,(Reeksen!B127-Reeksen!D127)*F127,0)</f>
        <v>0</v>
      </c>
      <c r="J127" s="84">
        <f ca="1">('Invoer gegevens'!$F$20/12)*F126*MIN(Reeksen!B126,Reeksen!D126)</f>
        <v>0</v>
      </c>
      <c r="K127" s="97">
        <f t="shared" ca="1" si="12"/>
        <v>0</v>
      </c>
      <c r="L127" s="84">
        <f ca="1">IF('Invoer gegevens'!$C$17=E127,0,IF(C127=1,Q126,0))</f>
        <v>0</v>
      </c>
      <c r="M127" s="96">
        <f ca="1">IF(C127&gt;=1,L127*VLOOKUP(E127,Reeksen!$A$5:$B$76,2),0)</f>
        <v>0</v>
      </c>
      <c r="N127" s="84">
        <f ca="1">(1-('Invoer gegevens'!$F$20/12))*L127*MIN(Reeksen!B127,Reeksen!D127)</f>
        <v>0</v>
      </c>
      <c r="O127" s="84">
        <f>IF(Reeksen!D127&lt;Reeksen!B127,(Reeksen!B127-Reeksen!D127)*L127,0)</f>
        <v>0</v>
      </c>
      <c r="P127" s="84">
        <f ca="1">('Invoer gegevens'!$F$20/12)*L126*MIN(Reeksen!B126,Reeksen!D126)</f>
        <v>0</v>
      </c>
      <c r="Q127" s="84">
        <f t="shared" ca="1" si="13"/>
        <v>0</v>
      </c>
      <c r="R127" s="82">
        <f ca="1">IF('Invoer gegevens'!$C$17=E127,'Invoer gegevens'!$C$11,IF(C127=1,W126,0))</f>
        <v>0</v>
      </c>
      <c r="S127" s="86">
        <f ca="1">IF(C127&gt;=1,R127*VLOOKUP(E127,Reeksen!$A$5:$B$76,2),0)</f>
        <v>0</v>
      </c>
      <c r="T127" s="84">
        <f ca="1">(1-('Invoer gegevens'!$F$20/12))*R127*MIN(Reeksen!B127,Reeksen!D127)</f>
        <v>0</v>
      </c>
      <c r="U127" s="84">
        <f>IF(Reeksen!D127&gt;=Reeksen!B127,0,IF(Reeksen!AD127&lt;=Reeksen!AE127,(Reeksen!B127-Reeksen!D127)*R127,0))</f>
        <v>0</v>
      </c>
      <c r="V127" s="86">
        <f>IF(Reeksen!D127&gt;=Reeksen!B127,0,IF(Reeksen!AD127&gt;Reeksen!AE127,(Reeksen!B127-Reeksen!D127)*R127,0))</f>
        <v>0</v>
      </c>
      <c r="W127" s="97">
        <f t="shared" ca="1" si="14"/>
        <v>0</v>
      </c>
      <c r="X127" s="98">
        <f ca="1">IF('Invoer gegevens'!$C$17=E127,'Invoer gegevens'!$C$10-'Invoer gegevens'!$C$11,IF(C127=1,AC126,0))</f>
        <v>0</v>
      </c>
      <c r="Y127" s="98">
        <f ca="1">IF(C127&gt;=1,X127*VLOOKUP(E127,Reeksen!$A$5:$B$76,2),0)</f>
        <v>0</v>
      </c>
      <c r="Z127" s="98">
        <f ca="1">(1-('Invoer gegevens'!$F$20/12))*X127*MIN(Reeksen!B127,Reeksen!D127)</f>
        <v>0</v>
      </c>
      <c r="AA127" s="98">
        <f>IF(Reeksen!D127&gt;=Reeksen!B127,0,IF(Reeksen!AD127&lt;=Reeksen!AE127,(Reeksen!B127-Reeksen!D127)*X127,0))</f>
        <v>0</v>
      </c>
      <c r="AB127" s="98">
        <f>IF(Reeksen!D127&gt;=Reeksen!B127,0,IF(Reeksen!AD127&gt;Reeksen!AE127,(Reeksen!B127-Reeksen!D127)*X127,0))</f>
        <v>0</v>
      </c>
      <c r="AC127" s="99">
        <f t="shared" ca="1" si="15"/>
        <v>0</v>
      </c>
      <c r="AD127" s="98">
        <f ca="1">IF('Invoer gegevens'!$C$17=E127,R127,IF(C127=0,0,AE126))</f>
        <v>0</v>
      </c>
      <c r="AE127" s="98">
        <f t="shared" ca="1" si="16"/>
        <v>0</v>
      </c>
      <c r="AF127" s="98">
        <f ca="1">IF('Invoer gegevens'!$C$17=E127,X127,IF(C127=0,0,AG126))</f>
        <v>0</v>
      </c>
      <c r="AG127" s="98">
        <f t="shared" ca="1" si="17"/>
        <v>0</v>
      </c>
      <c r="AH127" s="66"/>
      <c r="AI127" s="71">
        <f ca="1">IF(C127=1,Reeksen!AI127*((F127-G127+F127)/2)*12+Reeksen!AD127*((L127-M127+L127)/2)*12,0)</f>
        <v>0</v>
      </c>
      <c r="AJ127" s="71">
        <f ca="1">-AI127*'Invoer gegevens'!$F$28</f>
        <v>0</v>
      </c>
      <c r="AK127" s="71">
        <f t="shared" ca="1" si="18"/>
        <v>0</v>
      </c>
      <c r="AL127" s="71">
        <f ca="1">IF(C127=1,Reeksen!AL127*((F127-G127+F127)/2)*12+Reeksen!AM127*((L127-M127+L127)/2)*12,0)</f>
        <v>0</v>
      </c>
      <c r="AM127" s="71">
        <f ca="1">-AL127*'Invoer gegevens'!$F$31</f>
        <v>0</v>
      </c>
      <c r="AN127" s="71">
        <f t="shared" ca="1" si="19"/>
        <v>0</v>
      </c>
      <c r="AO127" s="71">
        <f ca="1">IF(C127=1,(H127+J127+N127+P127)*Reeksen!AN127,0)</f>
        <v>0</v>
      </c>
      <c r="AP127" s="71">
        <f ca="1">-IF(C127=1,(H127+J127+N127+P127)*'Hulp - basis'!$G$550*Reeksen!H127,0)</f>
        <v>0</v>
      </c>
      <c r="AQ127" s="71">
        <f ca="1">-IF(C127=1,(F127+K127+L127+Q127)/2*'Invoer gegevens'!$F$35*Reeksen!J127,0)*2</f>
        <v>0</v>
      </c>
      <c r="AR127" s="71"/>
      <c r="AS127" s="71">
        <f ca="1">-IF(C127=1,(F127+K127+L127+Q127)/2*'Invoer gegevens'!$F$37*Reeksen!L127,0)</f>
        <v>0</v>
      </c>
      <c r="AT127" s="71">
        <f ca="1">-IF(C127=1,IF(E127='Invoer gegevens'!$C$17,'Invoer gegevens'!$C$11,AD127)*Reeksen!S127*'Invoer gegevens'!$C$18*Reeksen!P127,0)</f>
        <v>0</v>
      </c>
      <c r="AU127" s="71">
        <f ca="1">-IF(C127=1,(F127+K127+L127+Q127)/2*'Invoer gegevens'!$F$38*Reeksen!H127,0)</f>
        <v>0</v>
      </c>
      <c r="AV127" s="71">
        <f t="shared" si="23"/>
        <v>0</v>
      </c>
      <c r="AW127" s="71">
        <f t="shared" ca="1" si="20"/>
        <v>0</v>
      </c>
      <c r="AX127" s="71">
        <f ca="1">IF(E127&lt;'Invoer gegevens'!$C$17+15,0,IF(E127&gt;'Invoer gegevens'!$C$17+215,0,AW127))</f>
        <v>0</v>
      </c>
      <c r="AY127" s="71">
        <f ca="1">AX127/(1+'Invoer gegevens'!$F$18)^($AZ127-('Invoer gegevens'!$C$17-'Invoer gegevens'!$C$16))/(1+'Invoer gegevens'!$C$39)^('Invoer gegevens'!$C$17-'Invoer gegevens'!$C$16)</f>
        <v>0</v>
      </c>
      <c r="AZ127" s="68">
        <f ca="1">IF(E127-'Invoer gegevens'!$C$17-14.5&lt;0,0,E127-'Invoer gegevens'!$C$17-14.5)</f>
        <v>107.5</v>
      </c>
    </row>
    <row r="128" spans="1:52" x14ac:dyDescent="0.25">
      <c r="A128" s="59"/>
      <c r="B128" s="70">
        <f t="shared" si="21"/>
        <v>124</v>
      </c>
      <c r="C128" s="67">
        <f ca="1">IF(E128-'Invoer gegevens'!$C$17&lt;0,0,1)</f>
        <v>1</v>
      </c>
      <c r="D128" s="68">
        <f t="shared" si="22"/>
        <v>123.5</v>
      </c>
      <c r="E128" s="69">
        <f ca="1">IF('Invoer gegevens'!$C$16="","",E127+1)</f>
        <v>2142</v>
      </c>
      <c r="F128" s="84">
        <f ca="1">IF('Invoer gegevens'!$C$17=E128,'Invoer gegevens'!$C$10,IF(C128=1,K127,0))</f>
        <v>0</v>
      </c>
      <c r="G128" s="96">
        <f ca="1">IF(C128&gt;=1,F128*VLOOKUP(E128,Reeksen!$A$5:$B$76,2),0)</f>
        <v>0</v>
      </c>
      <c r="H128" s="84">
        <f ca="1">(1-('Invoer gegevens'!$F$20/12))*F128*MIN(Reeksen!B128,Reeksen!D128)</f>
        <v>0</v>
      </c>
      <c r="I128" s="84">
        <f>IF(Reeksen!D128&lt;Reeksen!B128,(Reeksen!B128-Reeksen!D128)*F128,0)</f>
        <v>0</v>
      </c>
      <c r="J128" s="84">
        <f ca="1">('Invoer gegevens'!$F$20/12)*F127*MIN(Reeksen!B127,Reeksen!D127)</f>
        <v>0</v>
      </c>
      <c r="K128" s="97">
        <f t="shared" ca="1" si="12"/>
        <v>0</v>
      </c>
      <c r="L128" s="84">
        <f ca="1">IF('Invoer gegevens'!$C$17=E128,0,IF(C128=1,Q127,0))</f>
        <v>0</v>
      </c>
      <c r="M128" s="96">
        <f ca="1">IF(C128&gt;=1,L128*VLOOKUP(E128,Reeksen!$A$5:$B$76,2),0)</f>
        <v>0</v>
      </c>
      <c r="N128" s="84">
        <f ca="1">(1-('Invoer gegevens'!$F$20/12))*L128*MIN(Reeksen!B128,Reeksen!D128)</f>
        <v>0</v>
      </c>
      <c r="O128" s="84">
        <f>IF(Reeksen!D128&lt;Reeksen!B128,(Reeksen!B128-Reeksen!D128)*L128,0)</f>
        <v>0</v>
      </c>
      <c r="P128" s="84">
        <f ca="1">('Invoer gegevens'!$F$20/12)*L127*MIN(Reeksen!B127,Reeksen!D127)</f>
        <v>0</v>
      </c>
      <c r="Q128" s="84">
        <f t="shared" ca="1" si="13"/>
        <v>0</v>
      </c>
      <c r="R128" s="82">
        <f ca="1">IF('Invoer gegevens'!$C$17=E128,'Invoer gegevens'!$C$11,IF(C128=1,W127,0))</f>
        <v>0</v>
      </c>
      <c r="S128" s="86">
        <f ca="1">IF(C128&gt;=1,R128*VLOOKUP(E128,Reeksen!$A$5:$B$76,2),0)</f>
        <v>0</v>
      </c>
      <c r="T128" s="84">
        <f ca="1">(1-('Invoer gegevens'!$F$20/12))*R128*MIN(Reeksen!B128,Reeksen!D128)</f>
        <v>0</v>
      </c>
      <c r="U128" s="84">
        <f>IF(Reeksen!D128&gt;=Reeksen!B128,0,IF(Reeksen!AD128&lt;=Reeksen!AE128,(Reeksen!B128-Reeksen!D128)*R128,0))</f>
        <v>0</v>
      </c>
      <c r="V128" s="86">
        <f>IF(Reeksen!D128&gt;=Reeksen!B128,0,IF(Reeksen!AD128&gt;Reeksen!AE128,(Reeksen!B128-Reeksen!D128)*R128,0))</f>
        <v>0</v>
      </c>
      <c r="W128" s="97">
        <f t="shared" ca="1" si="14"/>
        <v>0</v>
      </c>
      <c r="X128" s="98">
        <f ca="1">IF('Invoer gegevens'!$C$17=E128,'Invoer gegevens'!$C$10-'Invoer gegevens'!$C$11,IF(C128=1,AC127,0))</f>
        <v>0</v>
      </c>
      <c r="Y128" s="98">
        <f ca="1">IF(C128&gt;=1,X128*VLOOKUP(E128,Reeksen!$A$5:$B$76,2),0)</f>
        <v>0</v>
      </c>
      <c r="Z128" s="98">
        <f ca="1">(1-('Invoer gegevens'!$F$20/12))*X128*MIN(Reeksen!B128,Reeksen!D128)</f>
        <v>0</v>
      </c>
      <c r="AA128" s="98">
        <f>IF(Reeksen!D128&gt;=Reeksen!B128,0,IF(Reeksen!AD128&lt;=Reeksen!AE128,(Reeksen!B128-Reeksen!D128)*X128,0))</f>
        <v>0</v>
      </c>
      <c r="AB128" s="98">
        <f>IF(Reeksen!D128&gt;=Reeksen!B128,0,IF(Reeksen!AD128&gt;Reeksen!AE128,(Reeksen!B128-Reeksen!D128)*X128,0))</f>
        <v>0</v>
      </c>
      <c r="AC128" s="99">
        <f t="shared" ca="1" si="15"/>
        <v>0</v>
      </c>
      <c r="AD128" s="98">
        <f ca="1">IF('Invoer gegevens'!$C$17=E128,R128,IF(C128=0,0,AE127))</f>
        <v>0</v>
      </c>
      <c r="AE128" s="98">
        <f t="shared" ca="1" si="16"/>
        <v>0</v>
      </c>
      <c r="AF128" s="98">
        <f ca="1">IF('Invoer gegevens'!$C$17=E128,X128,IF(C128=0,0,AG127))</f>
        <v>0</v>
      </c>
      <c r="AG128" s="98">
        <f t="shared" ca="1" si="17"/>
        <v>0</v>
      </c>
      <c r="AH128" s="66"/>
      <c r="AI128" s="71">
        <f ca="1">IF(C128=1,Reeksen!AI128*((F128-G128+F128)/2)*12+Reeksen!AD128*((L128-M128+L128)/2)*12,0)</f>
        <v>0</v>
      </c>
      <c r="AJ128" s="71">
        <f ca="1">-AI128*'Invoer gegevens'!$F$28</f>
        <v>0</v>
      </c>
      <c r="AK128" s="71">
        <f t="shared" ca="1" si="18"/>
        <v>0</v>
      </c>
      <c r="AL128" s="71">
        <f ca="1">IF(C128=1,Reeksen!AL128*((F128-G128+F128)/2)*12+Reeksen!AM128*((L128-M128+L128)/2)*12,0)</f>
        <v>0</v>
      </c>
      <c r="AM128" s="71">
        <f ca="1">-AL128*'Invoer gegevens'!$F$31</f>
        <v>0</v>
      </c>
      <c r="AN128" s="71">
        <f t="shared" ca="1" si="19"/>
        <v>0</v>
      </c>
      <c r="AO128" s="71">
        <f ca="1">IF(C128=1,(H128+J128+N128+P128)*Reeksen!AN128,0)</f>
        <v>0</v>
      </c>
      <c r="AP128" s="71">
        <f ca="1">-IF(C128=1,(H128+J128+N128+P128)*'Hulp - basis'!$G$550*Reeksen!H128,0)</f>
        <v>0</v>
      </c>
      <c r="AQ128" s="71">
        <f ca="1">-IF(C128=1,(F128+K128+L128+Q128)/2*'Invoer gegevens'!$F$35*Reeksen!J128,0)*2</f>
        <v>0</v>
      </c>
      <c r="AR128" s="71"/>
      <c r="AS128" s="71">
        <f ca="1">-IF(C128=1,(F128+K128+L128+Q128)/2*'Invoer gegevens'!$F$37*Reeksen!L128,0)</f>
        <v>0</v>
      </c>
      <c r="AT128" s="71">
        <f ca="1">-IF(C128=1,IF(E128='Invoer gegevens'!$C$17,'Invoer gegevens'!$C$11,AD128)*Reeksen!S128*'Invoer gegevens'!$C$18*Reeksen!P128,0)</f>
        <v>0</v>
      </c>
      <c r="AU128" s="71">
        <f ca="1">-IF(C128=1,(F128+K128+L128+Q128)/2*'Invoer gegevens'!$F$38*Reeksen!H128,0)</f>
        <v>0</v>
      </c>
      <c r="AV128" s="71">
        <f t="shared" si="23"/>
        <v>0</v>
      </c>
      <c r="AW128" s="71">
        <f t="shared" ca="1" si="20"/>
        <v>0</v>
      </c>
      <c r="AX128" s="71">
        <f ca="1">IF(E128&lt;'Invoer gegevens'!$C$17+15,0,IF(E128&gt;'Invoer gegevens'!$C$17+215,0,AW128))</f>
        <v>0</v>
      </c>
      <c r="AY128" s="71">
        <f ca="1">AX128/(1+'Invoer gegevens'!$F$18)^($AZ128-('Invoer gegevens'!$C$17-'Invoer gegevens'!$C$16))/(1+'Invoer gegevens'!$C$39)^('Invoer gegevens'!$C$17-'Invoer gegevens'!$C$16)</f>
        <v>0</v>
      </c>
      <c r="AZ128" s="68">
        <f ca="1">IF(E128-'Invoer gegevens'!$C$17-14.5&lt;0,0,E128-'Invoer gegevens'!$C$17-14.5)</f>
        <v>108.5</v>
      </c>
    </row>
    <row r="129" spans="1:52" x14ac:dyDescent="0.25">
      <c r="A129" s="59"/>
      <c r="B129" s="70">
        <f t="shared" si="21"/>
        <v>125</v>
      </c>
      <c r="C129" s="67">
        <f ca="1">IF(E129-'Invoer gegevens'!$C$17&lt;0,0,1)</f>
        <v>1</v>
      </c>
      <c r="D129" s="68">
        <f t="shared" si="22"/>
        <v>124.5</v>
      </c>
      <c r="E129" s="69">
        <f ca="1">IF('Invoer gegevens'!$C$16="","",E128+1)</f>
        <v>2143</v>
      </c>
      <c r="F129" s="84">
        <f ca="1">IF('Invoer gegevens'!$C$17=E129,'Invoer gegevens'!$C$10,IF(C129=1,K128,0))</f>
        <v>0</v>
      </c>
      <c r="G129" s="96">
        <f ca="1">IF(C129&gt;=1,F129*VLOOKUP(E129,Reeksen!$A$5:$B$76,2),0)</f>
        <v>0</v>
      </c>
      <c r="H129" s="84">
        <f ca="1">(1-('Invoer gegevens'!$F$20/12))*F129*MIN(Reeksen!B129,Reeksen!D129)</f>
        <v>0</v>
      </c>
      <c r="I129" s="84">
        <f>IF(Reeksen!D129&lt;Reeksen!B129,(Reeksen!B129-Reeksen!D129)*F129,0)</f>
        <v>0</v>
      </c>
      <c r="J129" s="84">
        <f ca="1">('Invoer gegevens'!$F$20/12)*F128*MIN(Reeksen!B128,Reeksen!D128)</f>
        <v>0</v>
      </c>
      <c r="K129" s="97">
        <f t="shared" ca="1" si="12"/>
        <v>0</v>
      </c>
      <c r="L129" s="84">
        <f ca="1">IF('Invoer gegevens'!$C$17=E129,0,IF(C129=1,Q128,0))</f>
        <v>0</v>
      </c>
      <c r="M129" s="96">
        <f ca="1">IF(C129&gt;=1,L129*VLOOKUP(E129,Reeksen!$A$5:$B$76,2),0)</f>
        <v>0</v>
      </c>
      <c r="N129" s="84">
        <f ca="1">(1-('Invoer gegevens'!$F$20/12))*L129*MIN(Reeksen!B129,Reeksen!D129)</f>
        <v>0</v>
      </c>
      <c r="O129" s="84">
        <f>IF(Reeksen!D129&lt;Reeksen!B129,(Reeksen!B129-Reeksen!D129)*L129,0)</f>
        <v>0</v>
      </c>
      <c r="P129" s="84">
        <f ca="1">('Invoer gegevens'!$F$20/12)*L128*MIN(Reeksen!B128,Reeksen!D128)</f>
        <v>0</v>
      </c>
      <c r="Q129" s="84">
        <f t="shared" ca="1" si="13"/>
        <v>0</v>
      </c>
      <c r="R129" s="82">
        <f ca="1">IF('Invoer gegevens'!$C$17=E129,'Invoer gegevens'!$C$11,IF(C129=1,W128,0))</f>
        <v>0</v>
      </c>
      <c r="S129" s="86">
        <f ca="1">IF(C129&gt;=1,R129*VLOOKUP(E129,Reeksen!$A$5:$B$76,2),0)</f>
        <v>0</v>
      </c>
      <c r="T129" s="84">
        <f ca="1">(1-('Invoer gegevens'!$F$20/12))*R129*MIN(Reeksen!B129,Reeksen!D129)</f>
        <v>0</v>
      </c>
      <c r="U129" s="84">
        <f>IF(Reeksen!D129&gt;=Reeksen!B129,0,IF(Reeksen!AD129&lt;=Reeksen!AE129,(Reeksen!B129-Reeksen!D129)*R129,0))</f>
        <v>0</v>
      </c>
      <c r="V129" s="86">
        <f>IF(Reeksen!D129&gt;=Reeksen!B129,0,IF(Reeksen!AD129&gt;Reeksen!AE129,(Reeksen!B129-Reeksen!D129)*R129,0))</f>
        <v>0</v>
      </c>
      <c r="W129" s="97">
        <f t="shared" ca="1" si="14"/>
        <v>0</v>
      </c>
      <c r="X129" s="98">
        <f ca="1">IF('Invoer gegevens'!$C$17=E129,'Invoer gegevens'!$C$10-'Invoer gegevens'!$C$11,IF(C129=1,AC128,0))</f>
        <v>0</v>
      </c>
      <c r="Y129" s="98">
        <f ca="1">IF(C129&gt;=1,X129*VLOOKUP(E129,Reeksen!$A$5:$B$76,2),0)</f>
        <v>0</v>
      </c>
      <c r="Z129" s="98">
        <f ca="1">(1-('Invoer gegevens'!$F$20/12))*X129*MIN(Reeksen!B129,Reeksen!D129)</f>
        <v>0</v>
      </c>
      <c r="AA129" s="98">
        <f>IF(Reeksen!D129&gt;=Reeksen!B129,0,IF(Reeksen!AD129&lt;=Reeksen!AE129,(Reeksen!B129-Reeksen!D129)*X129,0))</f>
        <v>0</v>
      </c>
      <c r="AB129" s="98">
        <f>IF(Reeksen!D129&gt;=Reeksen!B129,0,IF(Reeksen!AD129&gt;Reeksen!AE129,(Reeksen!B129-Reeksen!D129)*X129,0))</f>
        <v>0</v>
      </c>
      <c r="AC129" s="99">
        <f t="shared" ca="1" si="15"/>
        <v>0</v>
      </c>
      <c r="AD129" s="98">
        <f ca="1">IF('Invoer gegevens'!$C$17=E129,R129,IF(C129=0,0,AE128))</f>
        <v>0</v>
      </c>
      <c r="AE129" s="98">
        <f t="shared" ca="1" si="16"/>
        <v>0</v>
      </c>
      <c r="AF129" s="98">
        <f ca="1">IF('Invoer gegevens'!$C$17=E129,X129,IF(C129=0,0,AG128))</f>
        <v>0</v>
      </c>
      <c r="AG129" s="98">
        <f t="shared" ca="1" si="17"/>
        <v>0</v>
      </c>
      <c r="AH129" s="66"/>
      <c r="AI129" s="71">
        <f ca="1">IF(C129=1,Reeksen!AI129*((F129-G129+F129)/2)*12+Reeksen!AD129*((L129-M129+L129)/2)*12,0)</f>
        <v>0</v>
      </c>
      <c r="AJ129" s="71">
        <f ca="1">-AI129*'Invoer gegevens'!$F$28</f>
        <v>0</v>
      </c>
      <c r="AK129" s="71">
        <f t="shared" ca="1" si="18"/>
        <v>0</v>
      </c>
      <c r="AL129" s="71">
        <f ca="1">IF(C129=1,Reeksen!AL129*((F129-G129+F129)/2)*12+Reeksen!AM129*((L129-M129+L129)/2)*12,0)</f>
        <v>0</v>
      </c>
      <c r="AM129" s="71">
        <f ca="1">-AL129*'Invoer gegevens'!$F$31</f>
        <v>0</v>
      </c>
      <c r="AN129" s="71">
        <f t="shared" ca="1" si="19"/>
        <v>0</v>
      </c>
      <c r="AO129" s="71">
        <f ca="1">IF(C129=1,(H129+J129+N129+P129)*Reeksen!AN129,0)</f>
        <v>0</v>
      </c>
      <c r="AP129" s="71">
        <f ca="1">-IF(C129=1,(H129+J129+N129+P129)*'Hulp - basis'!$G$550*Reeksen!H129,0)</f>
        <v>0</v>
      </c>
      <c r="AQ129" s="71">
        <f ca="1">-IF(C129=1,(F129+K129+L129+Q129)/2*'Invoer gegevens'!$F$35*Reeksen!J129,0)*2</f>
        <v>0</v>
      </c>
      <c r="AR129" s="71"/>
      <c r="AS129" s="71">
        <f ca="1">-IF(C129=1,(F129+K129+L129+Q129)/2*'Invoer gegevens'!$F$37*Reeksen!L129,0)</f>
        <v>0</v>
      </c>
      <c r="AT129" s="71">
        <f ca="1">-IF(C129=1,IF(E129='Invoer gegevens'!$C$17,'Invoer gegevens'!$C$11,AD129)*Reeksen!S129*'Invoer gegevens'!$C$18*Reeksen!P129,0)</f>
        <v>0</v>
      </c>
      <c r="AU129" s="71">
        <f ca="1">-IF(C129=1,(F129+K129+L129+Q129)/2*'Invoer gegevens'!$F$38*Reeksen!H129,0)</f>
        <v>0</v>
      </c>
      <c r="AV129" s="71">
        <f t="shared" si="23"/>
        <v>0</v>
      </c>
      <c r="AW129" s="71">
        <f t="shared" ca="1" si="20"/>
        <v>0</v>
      </c>
      <c r="AX129" s="71">
        <f ca="1">IF(E129&lt;'Invoer gegevens'!$C$17+15,0,IF(E129&gt;'Invoer gegevens'!$C$17+215,0,AW129))</f>
        <v>0</v>
      </c>
      <c r="AY129" s="71">
        <f ca="1">AX129/(1+'Invoer gegevens'!$F$18)^($AZ129-('Invoer gegevens'!$C$17-'Invoer gegevens'!$C$16))/(1+'Invoer gegevens'!$C$39)^('Invoer gegevens'!$C$17-'Invoer gegevens'!$C$16)</f>
        <v>0</v>
      </c>
      <c r="AZ129" s="68">
        <f ca="1">IF(E129-'Invoer gegevens'!$C$17-14.5&lt;0,0,E129-'Invoer gegevens'!$C$17-14.5)</f>
        <v>109.5</v>
      </c>
    </row>
    <row r="130" spans="1:52" x14ac:dyDescent="0.25">
      <c r="A130" s="59"/>
      <c r="B130" s="70">
        <f t="shared" si="21"/>
        <v>126</v>
      </c>
      <c r="C130" s="67">
        <f ca="1">IF(E130-'Invoer gegevens'!$C$17&lt;0,0,1)</f>
        <v>1</v>
      </c>
      <c r="D130" s="68">
        <f t="shared" si="22"/>
        <v>125.5</v>
      </c>
      <c r="E130" s="69">
        <f ca="1">IF('Invoer gegevens'!$C$16="","",E129+1)</f>
        <v>2144</v>
      </c>
      <c r="F130" s="84">
        <f ca="1">IF('Invoer gegevens'!$C$17=E130,'Invoer gegevens'!$C$10,IF(C130=1,K129,0))</f>
        <v>0</v>
      </c>
      <c r="G130" s="96">
        <f ca="1">IF(C130&gt;=1,F130*VLOOKUP(E130,Reeksen!$A$5:$B$76,2),0)</f>
        <v>0</v>
      </c>
      <c r="H130" s="84">
        <f ca="1">(1-('Invoer gegevens'!$F$20/12))*F130*MIN(Reeksen!B130,Reeksen!D130)</f>
        <v>0</v>
      </c>
      <c r="I130" s="84">
        <f>IF(Reeksen!D130&lt;Reeksen!B130,(Reeksen!B130-Reeksen!D130)*F130,0)</f>
        <v>0</v>
      </c>
      <c r="J130" s="84">
        <f ca="1">('Invoer gegevens'!$F$20/12)*F129*MIN(Reeksen!B129,Reeksen!D129)</f>
        <v>0</v>
      </c>
      <c r="K130" s="97">
        <f t="shared" ca="1" si="12"/>
        <v>0</v>
      </c>
      <c r="L130" s="84">
        <f ca="1">IF('Invoer gegevens'!$C$17=E130,0,IF(C130=1,Q129,0))</f>
        <v>0</v>
      </c>
      <c r="M130" s="96">
        <f ca="1">IF(C130&gt;=1,L130*VLOOKUP(E130,Reeksen!$A$5:$B$76,2),0)</f>
        <v>0</v>
      </c>
      <c r="N130" s="84">
        <f ca="1">(1-('Invoer gegevens'!$F$20/12))*L130*MIN(Reeksen!B130,Reeksen!D130)</f>
        <v>0</v>
      </c>
      <c r="O130" s="84">
        <f>IF(Reeksen!D130&lt;Reeksen!B130,(Reeksen!B130-Reeksen!D130)*L130,0)</f>
        <v>0</v>
      </c>
      <c r="P130" s="84">
        <f ca="1">('Invoer gegevens'!$F$20/12)*L129*MIN(Reeksen!B129,Reeksen!D129)</f>
        <v>0</v>
      </c>
      <c r="Q130" s="84">
        <f t="shared" ca="1" si="13"/>
        <v>0</v>
      </c>
      <c r="R130" s="82">
        <f ca="1">IF('Invoer gegevens'!$C$17=E130,'Invoer gegevens'!$C$11,IF(C130=1,W129,0))</f>
        <v>0</v>
      </c>
      <c r="S130" s="86">
        <f ca="1">IF(C130&gt;=1,R130*VLOOKUP(E130,Reeksen!$A$5:$B$76,2),0)</f>
        <v>0</v>
      </c>
      <c r="T130" s="84">
        <f ca="1">(1-('Invoer gegevens'!$F$20/12))*R130*MIN(Reeksen!B130,Reeksen!D130)</f>
        <v>0</v>
      </c>
      <c r="U130" s="84">
        <f>IF(Reeksen!D130&gt;=Reeksen!B130,0,IF(Reeksen!AD130&lt;=Reeksen!AE130,(Reeksen!B130-Reeksen!D130)*R130,0))</f>
        <v>0</v>
      </c>
      <c r="V130" s="86">
        <f>IF(Reeksen!D130&gt;=Reeksen!B130,0,IF(Reeksen!AD130&gt;Reeksen!AE130,(Reeksen!B130-Reeksen!D130)*R130,0))</f>
        <v>0</v>
      </c>
      <c r="W130" s="97">
        <f t="shared" ca="1" si="14"/>
        <v>0</v>
      </c>
      <c r="X130" s="98">
        <f ca="1">IF('Invoer gegevens'!$C$17=E130,'Invoer gegevens'!$C$10-'Invoer gegevens'!$C$11,IF(C130=1,AC129,0))</f>
        <v>0</v>
      </c>
      <c r="Y130" s="98">
        <f ca="1">IF(C130&gt;=1,X130*VLOOKUP(E130,Reeksen!$A$5:$B$76,2),0)</f>
        <v>0</v>
      </c>
      <c r="Z130" s="98">
        <f ca="1">(1-('Invoer gegevens'!$F$20/12))*X130*MIN(Reeksen!B130,Reeksen!D130)</f>
        <v>0</v>
      </c>
      <c r="AA130" s="98">
        <f>IF(Reeksen!D130&gt;=Reeksen!B130,0,IF(Reeksen!AD130&lt;=Reeksen!AE130,(Reeksen!B130-Reeksen!D130)*X130,0))</f>
        <v>0</v>
      </c>
      <c r="AB130" s="98">
        <f>IF(Reeksen!D130&gt;=Reeksen!B130,0,IF(Reeksen!AD130&gt;Reeksen!AE130,(Reeksen!B130-Reeksen!D130)*X130,0))</f>
        <v>0</v>
      </c>
      <c r="AC130" s="99">
        <f t="shared" ca="1" si="15"/>
        <v>0</v>
      </c>
      <c r="AD130" s="98">
        <f ca="1">IF('Invoer gegevens'!$C$17=E130,R130,IF(C130=0,0,AE129))</f>
        <v>0</v>
      </c>
      <c r="AE130" s="98">
        <f t="shared" ca="1" si="16"/>
        <v>0</v>
      </c>
      <c r="AF130" s="98">
        <f ca="1">IF('Invoer gegevens'!$C$17=E130,X130,IF(C130=0,0,AG129))</f>
        <v>0</v>
      </c>
      <c r="AG130" s="98">
        <f t="shared" ca="1" si="17"/>
        <v>0</v>
      </c>
      <c r="AH130" s="66"/>
      <c r="AI130" s="71">
        <f ca="1">IF(C130=1,Reeksen!AI130*((F130-G130+F130)/2)*12+Reeksen!AD130*((L130-M130+L130)/2)*12,0)</f>
        <v>0</v>
      </c>
      <c r="AJ130" s="71">
        <f ca="1">-AI130*'Invoer gegevens'!$F$28</f>
        <v>0</v>
      </c>
      <c r="AK130" s="71">
        <f t="shared" ca="1" si="18"/>
        <v>0</v>
      </c>
      <c r="AL130" s="71">
        <f ca="1">IF(C130=1,Reeksen!AL130*((F130-G130+F130)/2)*12+Reeksen!AM130*((L130-M130+L130)/2)*12,0)</f>
        <v>0</v>
      </c>
      <c r="AM130" s="71">
        <f ca="1">-AL130*'Invoer gegevens'!$F$31</f>
        <v>0</v>
      </c>
      <c r="AN130" s="71">
        <f t="shared" ca="1" si="19"/>
        <v>0</v>
      </c>
      <c r="AO130" s="71">
        <f ca="1">IF(C130=1,(H130+J130+N130+P130)*Reeksen!AN130,0)</f>
        <v>0</v>
      </c>
      <c r="AP130" s="71">
        <f ca="1">-IF(C130=1,(H130+J130+N130+P130)*'Hulp - basis'!$G$550*Reeksen!H130,0)</f>
        <v>0</v>
      </c>
      <c r="AQ130" s="71">
        <f ca="1">-IF(C130=1,(F130+K130+L130+Q130)/2*'Invoer gegevens'!$F$35*Reeksen!J130,0)*2</f>
        <v>0</v>
      </c>
      <c r="AR130" s="71"/>
      <c r="AS130" s="71">
        <f ca="1">-IF(C130=1,(F130+K130+L130+Q130)/2*'Invoer gegevens'!$F$37*Reeksen!L130,0)</f>
        <v>0</v>
      </c>
      <c r="AT130" s="71">
        <f ca="1">-IF(C130=1,IF(E130='Invoer gegevens'!$C$17,'Invoer gegevens'!$C$11,AD130)*Reeksen!S130*'Invoer gegevens'!$C$18*Reeksen!P130,0)</f>
        <v>0</v>
      </c>
      <c r="AU130" s="71">
        <f ca="1">-IF(C130=1,(F130+K130+L130+Q130)/2*'Invoer gegevens'!$F$38*Reeksen!H130,0)</f>
        <v>0</v>
      </c>
      <c r="AV130" s="71">
        <f t="shared" si="23"/>
        <v>0</v>
      </c>
      <c r="AW130" s="71">
        <f t="shared" ca="1" si="20"/>
        <v>0</v>
      </c>
      <c r="AX130" s="71">
        <f ca="1">IF(E130&lt;'Invoer gegevens'!$C$17+15,0,IF(E130&gt;'Invoer gegevens'!$C$17+215,0,AW130))</f>
        <v>0</v>
      </c>
      <c r="AY130" s="71">
        <f ca="1">AX130/(1+'Invoer gegevens'!$F$18)^($AZ130-('Invoer gegevens'!$C$17-'Invoer gegevens'!$C$16))/(1+'Invoer gegevens'!$C$39)^('Invoer gegevens'!$C$17-'Invoer gegevens'!$C$16)</f>
        <v>0</v>
      </c>
      <c r="AZ130" s="68">
        <f ca="1">IF(E130-'Invoer gegevens'!$C$17-14.5&lt;0,0,E130-'Invoer gegevens'!$C$17-14.5)</f>
        <v>110.5</v>
      </c>
    </row>
    <row r="131" spans="1:52" x14ac:dyDescent="0.25">
      <c r="A131" s="59"/>
      <c r="B131" s="70">
        <f t="shared" si="21"/>
        <v>127</v>
      </c>
      <c r="C131" s="67">
        <f ca="1">IF(E131-'Invoer gegevens'!$C$17&lt;0,0,1)</f>
        <v>1</v>
      </c>
      <c r="D131" s="68">
        <f t="shared" si="22"/>
        <v>126.5</v>
      </c>
      <c r="E131" s="69">
        <f ca="1">IF('Invoer gegevens'!$C$16="","",E130+1)</f>
        <v>2145</v>
      </c>
      <c r="F131" s="84">
        <f ca="1">IF('Invoer gegevens'!$C$17=E131,'Invoer gegevens'!$C$10,IF(C131=1,K130,0))</f>
        <v>0</v>
      </c>
      <c r="G131" s="96">
        <f ca="1">IF(C131&gt;=1,F131*VLOOKUP(E131,Reeksen!$A$5:$B$76,2),0)</f>
        <v>0</v>
      </c>
      <c r="H131" s="84">
        <f ca="1">(1-('Invoer gegevens'!$F$20/12))*F131*MIN(Reeksen!B131,Reeksen!D131)</f>
        <v>0</v>
      </c>
      <c r="I131" s="84">
        <f>IF(Reeksen!D131&lt;Reeksen!B131,(Reeksen!B131-Reeksen!D131)*F131,0)</f>
        <v>0</v>
      </c>
      <c r="J131" s="84">
        <f ca="1">('Invoer gegevens'!$F$20/12)*F130*MIN(Reeksen!B130,Reeksen!D130)</f>
        <v>0</v>
      </c>
      <c r="K131" s="97">
        <f t="shared" ca="1" si="12"/>
        <v>0</v>
      </c>
      <c r="L131" s="84">
        <f ca="1">IF('Invoer gegevens'!$C$17=E131,0,IF(C131=1,Q130,0))</f>
        <v>0</v>
      </c>
      <c r="M131" s="96">
        <f ca="1">IF(C131&gt;=1,L131*VLOOKUP(E131,Reeksen!$A$5:$B$76,2),0)</f>
        <v>0</v>
      </c>
      <c r="N131" s="84">
        <f ca="1">(1-('Invoer gegevens'!$F$20/12))*L131*MIN(Reeksen!B131,Reeksen!D131)</f>
        <v>0</v>
      </c>
      <c r="O131" s="84">
        <f>IF(Reeksen!D131&lt;Reeksen!B131,(Reeksen!B131-Reeksen!D131)*L131,0)</f>
        <v>0</v>
      </c>
      <c r="P131" s="84">
        <f ca="1">('Invoer gegevens'!$F$20/12)*L130*MIN(Reeksen!B130,Reeksen!D130)</f>
        <v>0</v>
      </c>
      <c r="Q131" s="84">
        <f t="shared" ca="1" si="13"/>
        <v>0</v>
      </c>
      <c r="R131" s="82">
        <f ca="1">IF('Invoer gegevens'!$C$17=E131,'Invoer gegevens'!$C$11,IF(C131=1,W130,0))</f>
        <v>0</v>
      </c>
      <c r="S131" s="86">
        <f ca="1">IF(C131&gt;=1,R131*VLOOKUP(E131,Reeksen!$A$5:$B$76,2),0)</f>
        <v>0</v>
      </c>
      <c r="T131" s="84">
        <f ca="1">(1-('Invoer gegevens'!$F$20/12))*R131*MIN(Reeksen!B131,Reeksen!D131)</f>
        <v>0</v>
      </c>
      <c r="U131" s="84">
        <f>IF(Reeksen!D131&gt;=Reeksen!B131,0,IF(Reeksen!AD131&lt;=Reeksen!AE131,(Reeksen!B131-Reeksen!D131)*R131,0))</f>
        <v>0</v>
      </c>
      <c r="V131" s="86">
        <f>IF(Reeksen!D131&gt;=Reeksen!B131,0,IF(Reeksen!AD131&gt;Reeksen!AE131,(Reeksen!B131-Reeksen!D131)*R131,0))</f>
        <v>0</v>
      </c>
      <c r="W131" s="97">
        <f t="shared" ca="1" si="14"/>
        <v>0</v>
      </c>
      <c r="X131" s="98">
        <f ca="1">IF('Invoer gegevens'!$C$17=E131,'Invoer gegevens'!$C$10-'Invoer gegevens'!$C$11,IF(C131=1,AC130,0))</f>
        <v>0</v>
      </c>
      <c r="Y131" s="98">
        <f ca="1">IF(C131&gt;=1,X131*VLOOKUP(E131,Reeksen!$A$5:$B$76,2),0)</f>
        <v>0</v>
      </c>
      <c r="Z131" s="98">
        <f ca="1">(1-('Invoer gegevens'!$F$20/12))*X131*MIN(Reeksen!B131,Reeksen!D131)</f>
        <v>0</v>
      </c>
      <c r="AA131" s="98">
        <f>IF(Reeksen!D131&gt;=Reeksen!B131,0,IF(Reeksen!AD131&lt;=Reeksen!AE131,(Reeksen!B131-Reeksen!D131)*X131,0))</f>
        <v>0</v>
      </c>
      <c r="AB131" s="98">
        <f>IF(Reeksen!D131&gt;=Reeksen!B131,0,IF(Reeksen!AD131&gt;Reeksen!AE131,(Reeksen!B131-Reeksen!D131)*X131,0))</f>
        <v>0</v>
      </c>
      <c r="AC131" s="99">
        <f t="shared" ca="1" si="15"/>
        <v>0</v>
      </c>
      <c r="AD131" s="98">
        <f ca="1">IF('Invoer gegevens'!$C$17=E131,R131,IF(C131=0,0,AE130))</f>
        <v>0</v>
      </c>
      <c r="AE131" s="98">
        <f t="shared" ca="1" si="16"/>
        <v>0</v>
      </c>
      <c r="AF131" s="98">
        <f ca="1">IF('Invoer gegevens'!$C$17=E131,X131,IF(C131=0,0,AG130))</f>
        <v>0</v>
      </c>
      <c r="AG131" s="98">
        <f t="shared" ca="1" si="17"/>
        <v>0</v>
      </c>
      <c r="AH131" s="66"/>
      <c r="AI131" s="71">
        <f ca="1">IF(C131=1,Reeksen!AI131*((F131-G131+F131)/2)*12+Reeksen!AD131*((L131-M131+L131)/2)*12,0)</f>
        <v>0</v>
      </c>
      <c r="AJ131" s="71">
        <f ca="1">-AI131*'Invoer gegevens'!$F$28</f>
        <v>0</v>
      </c>
      <c r="AK131" s="71">
        <f t="shared" ca="1" si="18"/>
        <v>0</v>
      </c>
      <c r="AL131" s="71">
        <f ca="1">IF(C131=1,Reeksen!AL131*((F131-G131+F131)/2)*12+Reeksen!AM131*((L131-M131+L131)/2)*12,0)</f>
        <v>0</v>
      </c>
      <c r="AM131" s="71">
        <f ca="1">-AL131*'Invoer gegevens'!$F$31</f>
        <v>0</v>
      </c>
      <c r="AN131" s="71">
        <f t="shared" ca="1" si="19"/>
        <v>0</v>
      </c>
      <c r="AO131" s="71">
        <f ca="1">IF(C131=1,(H131+J131+N131+P131)*Reeksen!AN131,0)</f>
        <v>0</v>
      </c>
      <c r="AP131" s="71">
        <f ca="1">-IF(C131=1,(H131+J131+N131+P131)*'Hulp - basis'!$G$550*Reeksen!H131,0)</f>
        <v>0</v>
      </c>
      <c r="AQ131" s="71">
        <f ca="1">-IF(C131=1,(F131+K131+L131+Q131)/2*'Invoer gegevens'!$F$35*Reeksen!J131,0)*2</f>
        <v>0</v>
      </c>
      <c r="AR131" s="71"/>
      <c r="AS131" s="71">
        <f ca="1">-IF(C131=1,(F131+K131+L131+Q131)/2*'Invoer gegevens'!$F$37*Reeksen!L131,0)</f>
        <v>0</v>
      </c>
      <c r="AT131" s="71">
        <f ca="1">-IF(C131=1,IF(E131='Invoer gegevens'!$C$17,'Invoer gegevens'!$C$11,AD131)*Reeksen!S131*'Invoer gegevens'!$C$18*Reeksen!P131,0)</f>
        <v>0</v>
      </c>
      <c r="AU131" s="71">
        <f ca="1">-IF(C131=1,(F131+K131+L131+Q131)/2*'Invoer gegevens'!$F$38*Reeksen!H131,0)</f>
        <v>0</v>
      </c>
      <c r="AV131" s="71">
        <f t="shared" si="23"/>
        <v>0</v>
      </c>
      <c r="AW131" s="71">
        <f t="shared" ca="1" si="20"/>
        <v>0</v>
      </c>
      <c r="AX131" s="71">
        <f ca="1">IF(E131&lt;'Invoer gegevens'!$C$17+15,0,IF(E131&gt;'Invoer gegevens'!$C$17+215,0,AW131))</f>
        <v>0</v>
      </c>
      <c r="AY131" s="71">
        <f ca="1">AX131/(1+'Invoer gegevens'!$F$18)^($AZ131-('Invoer gegevens'!$C$17-'Invoer gegevens'!$C$16))/(1+'Invoer gegevens'!$C$39)^('Invoer gegevens'!$C$17-'Invoer gegevens'!$C$16)</f>
        <v>0</v>
      </c>
      <c r="AZ131" s="68">
        <f ca="1">IF(E131-'Invoer gegevens'!$C$17-14.5&lt;0,0,E131-'Invoer gegevens'!$C$17-14.5)</f>
        <v>111.5</v>
      </c>
    </row>
    <row r="132" spans="1:52" x14ac:dyDescent="0.25">
      <c r="A132" s="59"/>
      <c r="B132" s="70">
        <f t="shared" si="21"/>
        <v>128</v>
      </c>
      <c r="C132" s="67">
        <f ca="1">IF(E132-'Invoer gegevens'!$C$17&lt;0,0,1)</f>
        <v>1</v>
      </c>
      <c r="D132" s="68">
        <f t="shared" si="22"/>
        <v>127.5</v>
      </c>
      <c r="E132" s="69">
        <f ca="1">IF('Invoer gegevens'!$C$16="","",E131+1)</f>
        <v>2146</v>
      </c>
      <c r="F132" s="84">
        <f ca="1">IF('Invoer gegevens'!$C$17=E132,'Invoer gegevens'!$C$10,IF(C132=1,K131,0))</f>
        <v>0</v>
      </c>
      <c r="G132" s="96">
        <f ca="1">IF(C132&gt;=1,F132*VLOOKUP(E132,Reeksen!$A$5:$B$76,2),0)</f>
        <v>0</v>
      </c>
      <c r="H132" s="84">
        <f ca="1">(1-('Invoer gegevens'!$F$20/12))*F132*MIN(Reeksen!B132,Reeksen!D132)</f>
        <v>0</v>
      </c>
      <c r="I132" s="84">
        <f>IF(Reeksen!D132&lt;Reeksen!B132,(Reeksen!B132-Reeksen!D132)*F132,0)</f>
        <v>0</v>
      </c>
      <c r="J132" s="84">
        <f ca="1">('Invoer gegevens'!$F$20/12)*F131*MIN(Reeksen!B131,Reeksen!D131)</f>
        <v>0</v>
      </c>
      <c r="K132" s="97">
        <f t="shared" ca="1" si="12"/>
        <v>0</v>
      </c>
      <c r="L132" s="84">
        <f ca="1">IF('Invoer gegevens'!$C$17=E132,0,IF(C132=1,Q131,0))</f>
        <v>0</v>
      </c>
      <c r="M132" s="96">
        <f ca="1">IF(C132&gt;=1,L132*VLOOKUP(E132,Reeksen!$A$5:$B$76,2),0)</f>
        <v>0</v>
      </c>
      <c r="N132" s="84">
        <f ca="1">(1-('Invoer gegevens'!$F$20/12))*L132*MIN(Reeksen!B132,Reeksen!D132)</f>
        <v>0</v>
      </c>
      <c r="O132" s="84">
        <f>IF(Reeksen!D132&lt;Reeksen!B132,(Reeksen!B132-Reeksen!D132)*L132,0)</f>
        <v>0</v>
      </c>
      <c r="P132" s="84">
        <f ca="1">('Invoer gegevens'!$F$20/12)*L131*MIN(Reeksen!B131,Reeksen!D131)</f>
        <v>0</v>
      </c>
      <c r="Q132" s="84">
        <f t="shared" ca="1" si="13"/>
        <v>0</v>
      </c>
      <c r="R132" s="82">
        <f ca="1">IF('Invoer gegevens'!$C$17=E132,'Invoer gegevens'!$C$11,IF(C132=1,W131,0))</f>
        <v>0</v>
      </c>
      <c r="S132" s="86">
        <f ca="1">IF(C132&gt;=1,R132*VLOOKUP(E132,Reeksen!$A$5:$B$76,2),0)</f>
        <v>0</v>
      </c>
      <c r="T132" s="84">
        <f ca="1">(1-('Invoer gegevens'!$F$20/12))*R132*MIN(Reeksen!B132,Reeksen!D132)</f>
        <v>0</v>
      </c>
      <c r="U132" s="84">
        <f>IF(Reeksen!D132&gt;=Reeksen!B132,0,IF(Reeksen!AD132&lt;=Reeksen!AE132,(Reeksen!B132-Reeksen!D132)*R132,0))</f>
        <v>0</v>
      </c>
      <c r="V132" s="86">
        <f>IF(Reeksen!D132&gt;=Reeksen!B132,0,IF(Reeksen!AD132&gt;Reeksen!AE132,(Reeksen!B132-Reeksen!D132)*R132,0))</f>
        <v>0</v>
      </c>
      <c r="W132" s="97">
        <f t="shared" ca="1" si="14"/>
        <v>0</v>
      </c>
      <c r="X132" s="98">
        <f ca="1">IF('Invoer gegevens'!$C$17=E132,'Invoer gegevens'!$C$10-'Invoer gegevens'!$C$11,IF(C132=1,AC131,0))</f>
        <v>0</v>
      </c>
      <c r="Y132" s="98">
        <f ca="1">IF(C132&gt;=1,X132*VLOOKUP(E132,Reeksen!$A$5:$B$76,2),0)</f>
        <v>0</v>
      </c>
      <c r="Z132" s="98">
        <f ca="1">(1-('Invoer gegevens'!$F$20/12))*X132*MIN(Reeksen!B132,Reeksen!D132)</f>
        <v>0</v>
      </c>
      <c r="AA132" s="98">
        <f>IF(Reeksen!D132&gt;=Reeksen!B132,0,IF(Reeksen!AD132&lt;=Reeksen!AE132,(Reeksen!B132-Reeksen!D132)*X132,0))</f>
        <v>0</v>
      </c>
      <c r="AB132" s="98">
        <f>IF(Reeksen!D132&gt;=Reeksen!B132,0,IF(Reeksen!AD132&gt;Reeksen!AE132,(Reeksen!B132-Reeksen!D132)*X132,0))</f>
        <v>0</v>
      </c>
      <c r="AC132" s="99">
        <f t="shared" ca="1" si="15"/>
        <v>0</v>
      </c>
      <c r="AD132" s="98">
        <f ca="1">IF('Invoer gegevens'!$C$17=E132,R132,IF(C132=0,0,AE131))</f>
        <v>0</v>
      </c>
      <c r="AE132" s="98">
        <f t="shared" ca="1" si="16"/>
        <v>0</v>
      </c>
      <c r="AF132" s="98">
        <f ca="1">IF('Invoer gegevens'!$C$17=E132,X132,IF(C132=0,0,AG131))</f>
        <v>0</v>
      </c>
      <c r="AG132" s="98">
        <f t="shared" ca="1" si="17"/>
        <v>0</v>
      </c>
      <c r="AH132" s="66"/>
      <c r="AI132" s="71">
        <f ca="1">IF(C132=1,Reeksen!AI132*((F132-G132+F132)/2)*12+Reeksen!AD132*((L132-M132+L132)/2)*12,0)</f>
        <v>0</v>
      </c>
      <c r="AJ132" s="71">
        <f ca="1">-AI132*'Invoer gegevens'!$F$28</f>
        <v>0</v>
      </c>
      <c r="AK132" s="71">
        <f t="shared" ca="1" si="18"/>
        <v>0</v>
      </c>
      <c r="AL132" s="71">
        <f ca="1">IF(C132=1,Reeksen!AL132*((F132-G132+F132)/2)*12+Reeksen!AM132*((L132-M132+L132)/2)*12,0)</f>
        <v>0</v>
      </c>
      <c r="AM132" s="71">
        <f ca="1">-AL132*'Invoer gegevens'!$F$31</f>
        <v>0</v>
      </c>
      <c r="AN132" s="71">
        <f t="shared" ca="1" si="19"/>
        <v>0</v>
      </c>
      <c r="AO132" s="71">
        <f ca="1">IF(C132=1,(H132+J132+N132+P132)*Reeksen!AN132,0)</f>
        <v>0</v>
      </c>
      <c r="AP132" s="71">
        <f ca="1">-IF(C132=1,(H132+J132+N132+P132)*'Hulp - basis'!$G$550*Reeksen!H132,0)</f>
        <v>0</v>
      </c>
      <c r="AQ132" s="71">
        <f ca="1">-IF(C132=1,(F132+K132+L132+Q132)/2*'Invoer gegevens'!$F$35*Reeksen!J132,0)*2</f>
        <v>0</v>
      </c>
      <c r="AR132" s="71"/>
      <c r="AS132" s="71">
        <f ca="1">-IF(C132=1,(F132+K132+L132+Q132)/2*'Invoer gegevens'!$F$37*Reeksen!L132,0)</f>
        <v>0</v>
      </c>
      <c r="AT132" s="71">
        <f ca="1">-IF(C132=1,IF(E132='Invoer gegevens'!$C$17,'Invoer gegevens'!$C$11,AD132)*Reeksen!S132*'Invoer gegevens'!$C$18*Reeksen!P132,0)</f>
        <v>0</v>
      </c>
      <c r="AU132" s="71">
        <f ca="1">-IF(C132=1,(F132+K132+L132+Q132)/2*'Invoer gegevens'!$F$38*Reeksen!H132,0)</f>
        <v>0</v>
      </c>
      <c r="AV132" s="71">
        <f t="shared" si="23"/>
        <v>0</v>
      </c>
      <c r="AW132" s="71">
        <f t="shared" ca="1" si="20"/>
        <v>0</v>
      </c>
      <c r="AX132" s="71">
        <f ca="1">IF(E132&lt;'Invoer gegevens'!$C$17+15,0,IF(E132&gt;'Invoer gegevens'!$C$17+215,0,AW132))</f>
        <v>0</v>
      </c>
      <c r="AY132" s="71">
        <f ca="1">AX132/(1+'Invoer gegevens'!$F$18)^($AZ132-('Invoer gegevens'!$C$17-'Invoer gegevens'!$C$16))/(1+'Invoer gegevens'!$C$39)^('Invoer gegevens'!$C$17-'Invoer gegevens'!$C$16)</f>
        <v>0</v>
      </c>
      <c r="AZ132" s="68">
        <f ca="1">IF(E132-'Invoer gegevens'!$C$17-14.5&lt;0,0,E132-'Invoer gegevens'!$C$17-14.5)</f>
        <v>112.5</v>
      </c>
    </row>
    <row r="133" spans="1:52" x14ac:dyDescent="0.25">
      <c r="A133" s="59"/>
      <c r="B133" s="70">
        <f t="shared" si="21"/>
        <v>129</v>
      </c>
      <c r="C133" s="67">
        <f ca="1">IF(E133-'Invoer gegevens'!$C$17&lt;0,0,1)</f>
        <v>1</v>
      </c>
      <c r="D133" s="68">
        <f t="shared" si="22"/>
        <v>128.5</v>
      </c>
      <c r="E133" s="69">
        <f ca="1">IF('Invoer gegevens'!$C$16="","",E132+1)</f>
        <v>2147</v>
      </c>
      <c r="F133" s="84">
        <f ca="1">IF('Invoer gegevens'!$C$17=E133,'Invoer gegevens'!$C$10,IF(C133=1,K132,0))</f>
        <v>0</v>
      </c>
      <c r="G133" s="96">
        <f ca="1">IF(C133&gt;=1,F133*VLOOKUP(E133,Reeksen!$A$5:$B$76,2),0)</f>
        <v>0</v>
      </c>
      <c r="H133" s="84">
        <f ca="1">(1-('Invoer gegevens'!$F$20/12))*F133*MIN(Reeksen!B133,Reeksen!D133)</f>
        <v>0</v>
      </c>
      <c r="I133" s="84">
        <f>IF(Reeksen!D133&lt;Reeksen!B133,(Reeksen!B133-Reeksen!D133)*F133,0)</f>
        <v>0</v>
      </c>
      <c r="J133" s="84">
        <f ca="1">('Invoer gegevens'!$F$20/12)*F132*MIN(Reeksen!B132,Reeksen!D132)</f>
        <v>0</v>
      </c>
      <c r="K133" s="97">
        <f t="shared" ca="1" si="12"/>
        <v>0</v>
      </c>
      <c r="L133" s="84">
        <f ca="1">IF('Invoer gegevens'!$C$17=E133,0,IF(C133=1,Q132,0))</f>
        <v>0</v>
      </c>
      <c r="M133" s="96">
        <f ca="1">IF(C133&gt;=1,L133*VLOOKUP(E133,Reeksen!$A$5:$B$76,2),0)</f>
        <v>0</v>
      </c>
      <c r="N133" s="84">
        <f ca="1">(1-('Invoer gegevens'!$F$20/12))*L133*MIN(Reeksen!B133,Reeksen!D133)</f>
        <v>0</v>
      </c>
      <c r="O133" s="84">
        <f>IF(Reeksen!D133&lt;Reeksen!B133,(Reeksen!B133-Reeksen!D133)*L133,0)</f>
        <v>0</v>
      </c>
      <c r="P133" s="84">
        <f ca="1">('Invoer gegevens'!$F$20/12)*L132*MIN(Reeksen!B132,Reeksen!D132)</f>
        <v>0</v>
      </c>
      <c r="Q133" s="84">
        <f t="shared" ca="1" si="13"/>
        <v>0</v>
      </c>
      <c r="R133" s="82">
        <f ca="1">IF('Invoer gegevens'!$C$17=E133,'Invoer gegevens'!$C$11,IF(C133=1,W132,0))</f>
        <v>0</v>
      </c>
      <c r="S133" s="86">
        <f ca="1">IF(C133&gt;=1,R133*VLOOKUP(E133,Reeksen!$A$5:$B$76,2),0)</f>
        <v>0</v>
      </c>
      <c r="T133" s="84">
        <f ca="1">(1-('Invoer gegevens'!$F$20/12))*R133*MIN(Reeksen!B133,Reeksen!D133)</f>
        <v>0</v>
      </c>
      <c r="U133" s="84">
        <f>IF(Reeksen!D133&gt;=Reeksen!B133,0,IF(Reeksen!AD133&lt;=Reeksen!AE133,(Reeksen!B133-Reeksen!D133)*R133,0))</f>
        <v>0</v>
      </c>
      <c r="V133" s="86">
        <f>IF(Reeksen!D133&gt;=Reeksen!B133,0,IF(Reeksen!AD133&gt;Reeksen!AE133,(Reeksen!B133-Reeksen!D133)*R133,0))</f>
        <v>0</v>
      </c>
      <c r="W133" s="97">
        <f t="shared" ca="1" si="14"/>
        <v>0</v>
      </c>
      <c r="X133" s="98">
        <f ca="1">IF('Invoer gegevens'!$C$17=E133,'Invoer gegevens'!$C$10-'Invoer gegevens'!$C$11,IF(C133=1,AC132,0))</f>
        <v>0</v>
      </c>
      <c r="Y133" s="98">
        <f ca="1">IF(C133&gt;=1,X133*VLOOKUP(E133,Reeksen!$A$5:$B$76,2),0)</f>
        <v>0</v>
      </c>
      <c r="Z133" s="98">
        <f ca="1">(1-('Invoer gegevens'!$F$20/12))*X133*MIN(Reeksen!B133,Reeksen!D133)</f>
        <v>0</v>
      </c>
      <c r="AA133" s="98">
        <f>IF(Reeksen!D133&gt;=Reeksen!B133,0,IF(Reeksen!AD133&lt;=Reeksen!AE133,(Reeksen!B133-Reeksen!D133)*X133,0))</f>
        <v>0</v>
      </c>
      <c r="AB133" s="98">
        <f>IF(Reeksen!D133&gt;=Reeksen!B133,0,IF(Reeksen!AD133&gt;Reeksen!AE133,(Reeksen!B133-Reeksen!D133)*X133,0))</f>
        <v>0</v>
      </c>
      <c r="AC133" s="99">
        <f t="shared" ca="1" si="15"/>
        <v>0</v>
      </c>
      <c r="AD133" s="98">
        <f ca="1">IF('Invoer gegevens'!$C$17=E133,R133,IF(C133=0,0,AE132))</f>
        <v>0</v>
      </c>
      <c r="AE133" s="98">
        <f t="shared" ca="1" si="16"/>
        <v>0</v>
      </c>
      <c r="AF133" s="98">
        <f ca="1">IF('Invoer gegevens'!$C$17=E133,X133,IF(C133=0,0,AG132))</f>
        <v>0</v>
      </c>
      <c r="AG133" s="98">
        <f t="shared" ca="1" si="17"/>
        <v>0</v>
      </c>
      <c r="AH133" s="66"/>
      <c r="AI133" s="71">
        <f ca="1">IF(C133=1,Reeksen!AI133*((F133-G133+F133)/2)*12+Reeksen!AD133*((L133-M133+L133)/2)*12,0)</f>
        <v>0</v>
      </c>
      <c r="AJ133" s="71">
        <f ca="1">-AI133*'Invoer gegevens'!$F$28</f>
        <v>0</v>
      </c>
      <c r="AK133" s="71">
        <f t="shared" ca="1" si="18"/>
        <v>0</v>
      </c>
      <c r="AL133" s="71">
        <f ca="1">IF(C133=1,Reeksen!AL133*((F133-G133+F133)/2)*12+Reeksen!AM133*((L133-M133+L133)/2)*12,0)</f>
        <v>0</v>
      </c>
      <c r="AM133" s="71">
        <f ca="1">-AL133*'Invoer gegevens'!$F$31</f>
        <v>0</v>
      </c>
      <c r="AN133" s="71">
        <f t="shared" ca="1" si="19"/>
        <v>0</v>
      </c>
      <c r="AO133" s="71">
        <f ca="1">IF(C133=1,(H133+J133+N133+P133)*Reeksen!AN133,0)</f>
        <v>0</v>
      </c>
      <c r="AP133" s="71">
        <f ca="1">-IF(C133=1,(H133+J133+N133+P133)*'Hulp - basis'!$G$550*Reeksen!H133,0)</f>
        <v>0</v>
      </c>
      <c r="AQ133" s="71">
        <f ca="1">-IF(C133=1,(F133+K133+L133+Q133)/2*'Invoer gegevens'!$F$35*Reeksen!J133,0)*2</f>
        <v>0</v>
      </c>
      <c r="AR133" s="71"/>
      <c r="AS133" s="71">
        <f ca="1">-IF(C133=1,(F133+K133+L133+Q133)/2*'Invoer gegevens'!$F$37*Reeksen!L133,0)</f>
        <v>0</v>
      </c>
      <c r="AT133" s="71">
        <f ca="1">-IF(C133=1,IF(E133='Invoer gegevens'!$C$17,'Invoer gegevens'!$C$11,AD133)*Reeksen!S133*'Invoer gegevens'!$C$18*Reeksen!P133,0)</f>
        <v>0</v>
      </c>
      <c r="AU133" s="71">
        <f ca="1">-IF(C133=1,(F133+K133+L133+Q133)/2*'Invoer gegevens'!$F$38*Reeksen!H133,0)</f>
        <v>0</v>
      </c>
      <c r="AV133" s="71">
        <f t="shared" si="23"/>
        <v>0</v>
      </c>
      <c r="AW133" s="71">
        <f t="shared" ca="1" si="20"/>
        <v>0</v>
      </c>
      <c r="AX133" s="71">
        <f ca="1">IF(E133&lt;'Invoer gegevens'!$C$17+15,0,IF(E133&gt;'Invoer gegevens'!$C$17+215,0,AW133))</f>
        <v>0</v>
      </c>
      <c r="AY133" s="71">
        <f ca="1">AX133/(1+'Invoer gegevens'!$F$18)^($AZ133-('Invoer gegevens'!$C$17-'Invoer gegevens'!$C$16))/(1+'Invoer gegevens'!$C$39)^('Invoer gegevens'!$C$17-'Invoer gegevens'!$C$16)</f>
        <v>0</v>
      </c>
      <c r="AZ133" s="68">
        <f ca="1">IF(E133-'Invoer gegevens'!$C$17-14.5&lt;0,0,E133-'Invoer gegevens'!$C$17-14.5)</f>
        <v>113.5</v>
      </c>
    </row>
    <row r="134" spans="1:52" x14ac:dyDescent="0.25">
      <c r="A134" s="59"/>
      <c r="B134" s="70">
        <f t="shared" si="21"/>
        <v>130</v>
      </c>
      <c r="C134" s="67">
        <f ca="1">IF(E134-'Invoer gegevens'!$C$17&lt;0,0,1)</f>
        <v>1</v>
      </c>
      <c r="D134" s="68">
        <f t="shared" si="22"/>
        <v>129.5</v>
      </c>
      <c r="E134" s="69">
        <f ca="1">IF('Invoer gegevens'!$C$16="","",E133+1)</f>
        <v>2148</v>
      </c>
      <c r="F134" s="84">
        <f ca="1">IF('Invoer gegevens'!$C$17=E134,'Invoer gegevens'!$C$10,IF(C134=1,K133,0))</f>
        <v>0</v>
      </c>
      <c r="G134" s="96">
        <f ca="1">IF(C134&gt;=1,F134*VLOOKUP(E134,Reeksen!$A$5:$B$76,2),0)</f>
        <v>0</v>
      </c>
      <c r="H134" s="84">
        <f ca="1">(1-('Invoer gegevens'!$F$20/12))*F134*MIN(Reeksen!B134,Reeksen!D134)</f>
        <v>0</v>
      </c>
      <c r="I134" s="84">
        <f>IF(Reeksen!D134&lt;Reeksen!B134,(Reeksen!B134-Reeksen!D134)*F134,0)</f>
        <v>0</v>
      </c>
      <c r="J134" s="84">
        <f ca="1">('Invoer gegevens'!$F$20/12)*F133*MIN(Reeksen!B133,Reeksen!D133)</f>
        <v>0</v>
      </c>
      <c r="K134" s="97">
        <f t="shared" ref="K134:K197" ca="1" si="24">F134-G134</f>
        <v>0</v>
      </c>
      <c r="L134" s="84">
        <f ca="1">IF('Invoer gegevens'!$C$17=E134,0,IF(C134=1,Q133,0))</f>
        <v>0</v>
      </c>
      <c r="M134" s="96">
        <f ca="1">IF(C134&gt;=1,L134*VLOOKUP(E134,Reeksen!$A$5:$B$76,2),0)</f>
        <v>0</v>
      </c>
      <c r="N134" s="84">
        <f ca="1">(1-('Invoer gegevens'!$F$20/12))*L134*MIN(Reeksen!B134,Reeksen!D134)</f>
        <v>0</v>
      </c>
      <c r="O134" s="84">
        <f>IF(Reeksen!D134&lt;Reeksen!B134,(Reeksen!B134-Reeksen!D134)*L134,0)</f>
        <v>0</v>
      </c>
      <c r="P134" s="84">
        <f ca="1">('Invoer gegevens'!$F$20/12)*L133*MIN(Reeksen!B133,Reeksen!D133)</f>
        <v>0</v>
      </c>
      <c r="Q134" s="84">
        <f t="shared" ref="Q134:Q197" ca="1" si="25">L134-M134+I134+O134</f>
        <v>0</v>
      </c>
      <c r="R134" s="82">
        <f ca="1">IF('Invoer gegevens'!$C$17=E134,'Invoer gegevens'!$C$11,IF(C134=1,W133,0))</f>
        <v>0</v>
      </c>
      <c r="S134" s="86">
        <f ca="1">IF(C134&gt;=1,R134*VLOOKUP(E134,Reeksen!$A$5:$B$76,2),0)</f>
        <v>0</v>
      </c>
      <c r="T134" s="84">
        <f ca="1">(1-('Invoer gegevens'!$F$20/12))*R134*MIN(Reeksen!B134,Reeksen!D134)</f>
        <v>0</v>
      </c>
      <c r="U134" s="84">
        <f>IF(Reeksen!D134&gt;=Reeksen!B134,0,IF(Reeksen!AD134&lt;=Reeksen!AE134,(Reeksen!B134-Reeksen!D134)*R134,0))</f>
        <v>0</v>
      </c>
      <c r="V134" s="86">
        <f>IF(Reeksen!D134&gt;=Reeksen!B134,0,IF(Reeksen!AD134&gt;Reeksen!AE134,(Reeksen!B134-Reeksen!D134)*R134,0))</f>
        <v>0</v>
      </c>
      <c r="W134" s="97">
        <f t="shared" ref="W134:W197" ca="1" si="26">R134-S134</f>
        <v>0</v>
      </c>
      <c r="X134" s="98">
        <f ca="1">IF('Invoer gegevens'!$C$17=E134,'Invoer gegevens'!$C$10-'Invoer gegevens'!$C$11,IF(C134=1,AC133,0))</f>
        <v>0</v>
      </c>
      <c r="Y134" s="98">
        <f ca="1">IF(C134&gt;=1,X134*VLOOKUP(E134,Reeksen!$A$5:$B$76,2),0)</f>
        <v>0</v>
      </c>
      <c r="Z134" s="98">
        <f ca="1">(1-('Invoer gegevens'!$F$20/12))*X134*MIN(Reeksen!B134,Reeksen!D134)</f>
        <v>0</v>
      </c>
      <c r="AA134" s="98">
        <f>IF(Reeksen!D134&gt;=Reeksen!B134,0,IF(Reeksen!AD134&lt;=Reeksen!AE134,(Reeksen!B134-Reeksen!D134)*X134,0))</f>
        <v>0</v>
      </c>
      <c r="AB134" s="98">
        <f>IF(Reeksen!D134&gt;=Reeksen!B134,0,IF(Reeksen!AD134&gt;Reeksen!AE134,(Reeksen!B134-Reeksen!D134)*X134,0))</f>
        <v>0</v>
      </c>
      <c r="AC134" s="99">
        <f t="shared" ref="AC134:AC197" ca="1" si="27">X134-Y134</f>
        <v>0</v>
      </c>
      <c r="AD134" s="98">
        <f ca="1">IF('Invoer gegevens'!$C$17=E134,R134,IF(C134=0,0,AE133))</f>
        <v>0</v>
      </c>
      <c r="AE134" s="98">
        <f t="shared" ref="AE134:AE197" ca="1" si="28">IF(C134=0,0,AD134-S134-V134+AA134)</f>
        <v>0</v>
      </c>
      <c r="AF134" s="98">
        <f ca="1">IF('Invoer gegevens'!$C$17=E134,X134,IF(C134=0,0,AG133))</f>
        <v>0</v>
      </c>
      <c r="AG134" s="98">
        <f t="shared" ref="AG134:AG197" ca="1" si="29">IF(C134=0,0,AF134-Y134-AA134+V134)</f>
        <v>0</v>
      </c>
      <c r="AH134" s="66"/>
      <c r="AI134" s="71">
        <f ca="1">IF(C134=1,Reeksen!AI134*((F134-G134+F134)/2)*12+Reeksen!AD134*((L134-M134+L134)/2)*12,0)</f>
        <v>0</v>
      </c>
      <c r="AJ134" s="71">
        <f ca="1">-AI134*'Invoer gegevens'!$F$28</f>
        <v>0</v>
      </c>
      <c r="AK134" s="71">
        <f t="shared" ref="AK134:AK197" ca="1" si="30">AI134+AJ134</f>
        <v>0</v>
      </c>
      <c r="AL134" s="71">
        <f ca="1">IF(C134=1,Reeksen!AL134*((F134-G134+F134)/2)*12+Reeksen!AM134*((L134-M134+L134)/2)*12,0)</f>
        <v>0</v>
      </c>
      <c r="AM134" s="71">
        <f ca="1">-AL134*'Invoer gegevens'!$F$31</f>
        <v>0</v>
      </c>
      <c r="AN134" s="71">
        <f t="shared" ref="AN134:AN197" ca="1" si="31">AL134+AM134</f>
        <v>0</v>
      </c>
      <c r="AO134" s="71">
        <f ca="1">IF(C134=1,(H134+J134+N134+P134)*Reeksen!AN134,0)</f>
        <v>0</v>
      </c>
      <c r="AP134" s="71">
        <f ca="1">-IF(C134=1,(H134+J134+N134+P134)*'Hulp - basis'!$G$550*Reeksen!H134,0)</f>
        <v>0</v>
      </c>
      <c r="AQ134" s="71">
        <f ca="1">-IF(C134=1,(F134+K134+L134+Q134)/2*'Invoer gegevens'!$F$35*Reeksen!J134,0)*2</f>
        <v>0</v>
      </c>
      <c r="AR134" s="71"/>
      <c r="AS134" s="71">
        <f ca="1">-IF(C134=1,(F134+K134+L134+Q134)/2*'Invoer gegevens'!$F$37*Reeksen!L134,0)</f>
        <v>0</v>
      </c>
      <c r="AT134" s="71">
        <f ca="1">-IF(C134=1,IF(E134='Invoer gegevens'!$C$17,'Invoer gegevens'!$C$11,AD134)*Reeksen!S134*'Invoer gegevens'!$C$18*Reeksen!P134,0)</f>
        <v>0</v>
      </c>
      <c r="AU134" s="71">
        <f ca="1">-IF(C134=1,(F134+K134+L134+Q134)/2*'Invoer gegevens'!$F$38*Reeksen!H134,0)</f>
        <v>0</v>
      </c>
      <c r="AV134" s="71">
        <f t="shared" si="23"/>
        <v>0</v>
      </c>
      <c r="AW134" s="71">
        <f t="shared" ref="AW134:AW197" ca="1" si="32">SUM(AK134,AN134:AV134)</f>
        <v>0</v>
      </c>
      <c r="AX134" s="71">
        <f ca="1">IF(E134&lt;'Invoer gegevens'!$C$17+15,0,IF(E134&gt;'Invoer gegevens'!$C$17+215,0,AW134))</f>
        <v>0</v>
      </c>
      <c r="AY134" s="71">
        <f ca="1">AX134/(1+'Invoer gegevens'!$F$18)^($AZ134-('Invoer gegevens'!$C$17-'Invoer gegevens'!$C$16))/(1+'Invoer gegevens'!$C$39)^('Invoer gegevens'!$C$17-'Invoer gegevens'!$C$16)</f>
        <v>0</v>
      </c>
      <c r="AZ134" s="68">
        <f ca="1">IF(E134-'Invoer gegevens'!$C$17-14.5&lt;0,0,E134-'Invoer gegevens'!$C$17-14.5)</f>
        <v>114.5</v>
      </c>
    </row>
    <row r="135" spans="1:52" x14ac:dyDescent="0.25">
      <c r="A135" s="59"/>
      <c r="B135" s="70">
        <f t="shared" si="21"/>
        <v>131</v>
      </c>
      <c r="C135" s="67">
        <f ca="1">IF(E135-'Invoer gegevens'!$C$17&lt;0,0,1)</f>
        <v>1</v>
      </c>
      <c r="D135" s="68">
        <f t="shared" si="22"/>
        <v>130.5</v>
      </c>
      <c r="E135" s="69">
        <f ca="1">IF('Invoer gegevens'!$C$16="","",E134+1)</f>
        <v>2149</v>
      </c>
      <c r="F135" s="84">
        <f ca="1">IF('Invoer gegevens'!$C$17=E135,'Invoer gegevens'!$C$10,IF(C135=1,K134,0))</f>
        <v>0</v>
      </c>
      <c r="G135" s="96">
        <f ca="1">IF(C135&gt;=1,F135*VLOOKUP(E135,Reeksen!$A$5:$B$76,2),0)</f>
        <v>0</v>
      </c>
      <c r="H135" s="84">
        <f ca="1">(1-('Invoer gegevens'!$F$20/12))*F135*MIN(Reeksen!B135,Reeksen!D135)</f>
        <v>0</v>
      </c>
      <c r="I135" s="84">
        <f>IF(Reeksen!D135&lt;Reeksen!B135,(Reeksen!B135-Reeksen!D135)*F135,0)</f>
        <v>0</v>
      </c>
      <c r="J135" s="84">
        <f ca="1">('Invoer gegevens'!$F$20/12)*F134*MIN(Reeksen!B134,Reeksen!D134)</f>
        <v>0</v>
      </c>
      <c r="K135" s="97">
        <f t="shared" ca="1" si="24"/>
        <v>0</v>
      </c>
      <c r="L135" s="84">
        <f ca="1">IF('Invoer gegevens'!$C$17=E135,0,IF(C135=1,Q134,0))</f>
        <v>0</v>
      </c>
      <c r="M135" s="96">
        <f ca="1">IF(C135&gt;=1,L135*VLOOKUP(E135,Reeksen!$A$5:$B$76,2),0)</f>
        <v>0</v>
      </c>
      <c r="N135" s="84">
        <f ca="1">(1-('Invoer gegevens'!$F$20/12))*L135*MIN(Reeksen!B135,Reeksen!D135)</f>
        <v>0</v>
      </c>
      <c r="O135" s="84">
        <f>IF(Reeksen!D135&lt;Reeksen!B135,(Reeksen!B135-Reeksen!D135)*L135,0)</f>
        <v>0</v>
      </c>
      <c r="P135" s="84">
        <f ca="1">('Invoer gegevens'!$F$20/12)*L134*MIN(Reeksen!B134,Reeksen!D134)</f>
        <v>0</v>
      </c>
      <c r="Q135" s="84">
        <f t="shared" ca="1" si="25"/>
        <v>0</v>
      </c>
      <c r="R135" s="82">
        <f ca="1">IF('Invoer gegevens'!$C$17=E135,'Invoer gegevens'!$C$11,IF(C135=1,W134,0))</f>
        <v>0</v>
      </c>
      <c r="S135" s="86">
        <f ca="1">IF(C135&gt;=1,R135*VLOOKUP(E135,Reeksen!$A$5:$B$76,2),0)</f>
        <v>0</v>
      </c>
      <c r="T135" s="84">
        <f ca="1">(1-('Invoer gegevens'!$F$20/12))*R135*MIN(Reeksen!B135,Reeksen!D135)</f>
        <v>0</v>
      </c>
      <c r="U135" s="84">
        <f>IF(Reeksen!D135&gt;=Reeksen!B135,0,IF(Reeksen!AD135&lt;=Reeksen!AE135,(Reeksen!B135-Reeksen!D135)*R135,0))</f>
        <v>0</v>
      </c>
      <c r="V135" s="86">
        <f>IF(Reeksen!D135&gt;=Reeksen!B135,0,IF(Reeksen!AD135&gt;Reeksen!AE135,(Reeksen!B135-Reeksen!D135)*R135,0))</f>
        <v>0</v>
      </c>
      <c r="W135" s="97">
        <f t="shared" ca="1" si="26"/>
        <v>0</v>
      </c>
      <c r="X135" s="98">
        <f ca="1">IF('Invoer gegevens'!$C$17=E135,'Invoer gegevens'!$C$10-'Invoer gegevens'!$C$11,IF(C135=1,AC134,0))</f>
        <v>0</v>
      </c>
      <c r="Y135" s="98">
        <f ca="1">IF(C135&gt;=1,X135*VLOOKUP(E135,Reeksen!$A$5:$B$76,2),0)</f>
        <v>0</v>
      </c>
      <c r="Z135" s="98">
        <f ca="1">(1-('Invoer gegevens'!$F$20/12))*X135*MIN(Reeksen!B135,Reeksen!D135)</f>
        <v>0</v>
      </c>
      <c r="AA135" s="98">
        <f>IF(Reeksen!D135&gt;=Reeksen!B135,0,IF(Reeksen!AD135&lt;=Reeksen!AE135,(Reeksen!B135-Reeksen!D135)*X135,0))</f>
        <v>0</v>
      </c>
      <c r="AB135" s="98">
        <f>IF(Reeksen!D135&gt;=Reeksen!B135,0,IF(Reeksen!AD135&gt;Reeksen!AE135,(Reeksen!B135-Reeksen!D135)*X135,0))</f>
        <v>0</v>
      </c>
      <c r="AC135" s="99">
        <f t="shared" ca="1" si="27"/>
        <v>0</v>
      </c>
      <c r="AD135" s="98">
        <f ca="1">IF('Invoer gegevens'!$C$17=E135,R135,IF(C135=0,0,AE134))</f>
        <v>0</v>
      </c>
      <c r="AE135" s="98">
        <f t="shared" ca="1" si="28"/>
        <v>0</v>
      </c>
      <c r="AF135" s="98">
        <f ca="1">IF('Invoer gegevens'!$C$17=E135,X135,IF(C135=0,0,AG134))</f>
        <v>0</v>
      </c>
      <c r="AG135" s="98">
        <f t="shared" ca="1" si="29"/>
        <v>0</v>
      </c>
      <c r="AH135" s="66"/>
      <c r="AI135" s="71">
        <f ca="1">IF(C135=1,Reeksen!AI135*((F135-G135+F135)/2)*12+Reeksen!AD135*((L135-M135+L135)/2)*12,0)</f>
        <v>0</v>
      </c>
      <c r="AJ135" s="71">
        <f ca="1">-AI135*'Invoer gegevens'!$F$28</f>
        <v>0</v>
      </c>
      <c r="AK135" s="71">
        <f t="shared" ca="1" si="30"/>
        <v>0</v>
      </c>
      <c r="AL135" s="71">
        <f ca="1">IF(C135=1,Reeksen!AL135*((F135-G135+F135)/2)*12+Reeksen!AM135*((L135-M135+L135)/2)*12,0)</f>
        <v>0</v>
      </c>
      <c r="AM135" s="71">
        <f ca="1">-AL135*'Invoer gegevens'!$F$31</f>
        <v>0</v>
      </c>
      <c r="AN135" s="71">
        <f t="shared" ca="1" si="31"/>
        <v>0</v>
      </c>
      <c r="AO135" s="71">
        <f ca="1">IF(C135=1,(H135+J135+N135+P135)*Reeksen!AN135,0)</f>
        <v>0</v>
      </c>
      <c r="AP135" s="71">
        <f ca="1">-IF(C135=1,(H135+J135+N135+P135)*'Hulp - basis'!$G$550*Reeksen!H135,0)</f>
        <v>0</v>
      </c>
      <c r="AQ135" s="71">
        <f ca="1">-IF(C135=1,(F135+K135+L135+Q135)/2*'Invoer gegevens'!$F$35*Reeksen!J135,0)*2</f>
        <v>0</v>
      </c>
      <c r="AR135" s="71"/>
      <c r="AS135" s="71">
        <f ca="1">-IF(C135=1,(F135+K135+L135+Q135)/2*'Invoer gegevens'!$F$37*Reeksen!L135,0)</f>
        <v>0</v>
      </c>
      <c r="AT135" s="71">
        <f ca="1">-IF(C135=1,IF(E135='Invoer gegevens'!$C$17,'Invoer gegevens'!$C$11,AD135)*Reeksen!S135*'Invoer gegevens'!$C$18*Reeksen!P135,0)</f>
        <v>0</v>
      </c>
      <c r="AU135" s="71">
        <f ca="1">-IF(C135=1,(F135+K135+L135+Q135)/2*'Invoer gegevens'!$F$38*Reeksen!H135,0)</f>
        <v>0</v>
      </c>
      <c r="AV135" s="71">
        <f t="shared" si="23"/>
        <v>0</v>
      </c>
      <c r="AW135" s="71">
        <f t="shared" ca="1" si="32"/>
        <v>0</v>
      </c>
      <c r="AX135" s="71">
        <f ca="1">IF(E135&lt;'Invoer gegevens'!$C$17+15,0,IF(E135&gt;'Invoer gegevens'!$C$17+215,0,AW135))</f>
        <v>0</v>
      </c>
      <c r="AY135" s="71">
        <f ca="1">AX135/(1+'Invoer gegevens'!$F$18)^($AZ135-('Invoer gegevens'!$C$17-'Invoer gegevens'!$C$16))/(1+'Invoer gegevens'!$C$39)^('Invoer gegevens'!$C$17-'Invoer gegevens'!$C$16)</f>
        <v>0</v>
      </c>
      <c r="AZ135" s="68">
        <f ca="1">IF(E135-'Invoer gegevens'!$C$17-14.5&lt;0,0,E135-'Invoer gegevens'!$C$17-14.5)</f>
        <v>115.5</v>
      </c>
    </row>
    <row r="136" spans="1:52" x14ac:dyDescent="0.25">
      <c r="A136" s="59"/>
      <c r="B136" s="70">
        <f t="shared" ref="B136:B199" si="33">B135+1</f>
        <v>132</v>
      </c>
      <c r="C136" s="67">
        <f ca="1">IF(E136-'Invoer gegevens'!$C$17&lt;0,0,1)</f>
        <v>1</v>
      </c>
      <c r="D136" s="68">
        <f t="shared" ref="D136:D199" si="34">D135+1</f>
        <v>131.5</v>
      </c>
      <c r="E136" s="69">
        <f ca="1">IF('Invoer gegevens'!$C$16="","",E135+1)</f>
        <v>2150</v>
      </c>
      <c r="F136" s="84">
        <f ca="1">IF('Invoer gegevens'!$C$17=E136,'Invoer gegevens'!$C$10,IF(C136=1,K135,0))</f>
        <v>0</v>
      </c>
      <c r="G136" s="96">
        <f ca="1">IF(C136&gt;=1,F136*VLOOKUP(E136,Reeksen!$A$5:$B$76,2),0)</f>
        <v>0</v>
      </c>
      <c r="H136" s="84">
        <f ca="1">(1-('Invoer gegevens'!$F$20/12))*F136*MIN(Reeksen!B136,Reeksen!D136)</f>
        <v>0</v>
      </c>
      <c r="I136" s="84">
        <f>IF(Reeksen!D136&lt;Reeksen!B136,(Reeksen!B136-Reeksen!D136)*F136,0)</f>
        <v>0</v>
      </c>
      <c r="J136" s="84">
        <f ca="1">('Invoer gegevens'!$F$20/12)*F135*MIN(Reeksen!B135,Reeksen!D135)</f>
        <v>0</v>
      </c>
      <c r="K136" s="97">
        <f t="shared" ca="1" si="24"/>
        <v>0</v>
      </c>
      <c r="L136" s="84">
        <f ca="1">IF('Invoer gegevens'!$C$17=E136,0,IF(C136=1,Q135,0))</f>
        <v>0</v>
      </c>
      <c r="M136" s="96">
        <f ca="1">IF(C136&gt;=1,L136*VLOOKUP(E136,Reeksen!$A$5:$B$76,2),0)</f>
        <v>0</v>
      </c>
      <c r="N136" s="84">
        <f ca="1">(1-('Invoer gegevens'!$F$20/12))*L136*MIN(Reeksen!B136,Reeksen!D136)</f>
        <v>0</v>
      </c>
      <c r="O136" s="84">
        <f>IF(Reeksen!D136&lt;Reeksen!B136,(Reeksen!B136-Reeksen!D136)*L136,0)</f>
        <v>0</v>
      </c>
      <c r="P136" s="84">
        <f ca="1">('Invoer gegevens'!$F$20/12)*L135*MIN(Reeksen!B135,Reeksen!D135)</f>
        <v>0</v>
      </c>
      <c r="Q136" s="84">
        <f t="shared" ca="1" si="25"/>
        <v>0</v>
      </c>
      <c r="R136" s="82">
        <f ca="1">IF('Invoer gegevens'!$C$17=E136,'Invoer gegevens'!$C$11,IF(C136=1,W135,0))</f>
        <v>0</v>
      </c>
      <c r="S136" s="86">
        <f ca="1">IF(C136&gt;=1,R136*VLOOKUP(E136,Reeksen!$A$5:$B$76,2),0)</f>
        <v>0</v>
      </c>
      <c r="T136" s="84">
        <f ca="1">(1-('Invoer gegevens'!$F$20/12))*R136*MIN(Reeksen!B136,Reeksen!D136)</f>
        <v>0</v>
      </c>
      <c r="U136" s="84">
        <f>IF(Reeksen!D136&gt;=Reeksen!B136,0,IF(Reeksen!AD136&lt;=Reeksen!AE136,(Reeksen!B136-Reeksen!D136)*R136,0))</f>
        <v>0</v>
      </c>
      <c r="V136" s="86">
        <f>IF(Reeksen!D136&gt;=Reeksen!B136,0,IF(Reeksen!AD136&gt;Reeksen!AE136,(Reeksen!B136-Reeksen!D136)*R136,0))</f>
        <v>0</v>
      </c>
      <c r="W136" s="97">
        <f t="shared" ca="1" si="26"/>
        <v>0</v>
      </c>
      <c r="X136" s="98">
        <f ca="1">IF('Invoer gegevens'!$C$17=E136,'Invoer gegevens'!$C$10-'Invoer gegevens'!$C$11,IF(C136=1,AC135,0))</f>
        <v>0</v>
      </c>
      <c r="Y136" s="98">
        <f ca="1">IF(C136&gt;=1,X136*VLOOKUP(E136,Reeksen!$A$5:$B$76,2),0)</f>
        <v>0</v>
      </c>
      <c r="Z136" s="98">
        <f ca="1">(1-('Invoer gegevens'!$F$20/12))*X136*MIN(Reeksen!B136,Reeksen!D136)</f>
        <v>0</v>
      </c>
      <c r="AA136" s="98">
        <f>IF(Reeksen!D136&gt;=Reeksen!B136,0,IF(Reeksen!AD136&lt;=Reeksen!AE136,(Reeksen!B136-Reeksen!D136)*X136,0))</f>
        <v>0</v>
      </c>
      <c r="AB136" s="98">
        <f>IF(Reeksen!D136&gt;=Reeksen!B136,0,IF(Reeksen!AD136&gt;Reeksen!AE136,(Reeksen!B136-Reeksen!D136)*X136,0))</f>
        <v>0</v>
      </c>
      <c r="AC136" s="99">
        <f t="shared" ca="1" si="27"/>
        <v>0</v>
      </c>
      <c r="AD136" s="98">
        <f ca="1">IF('Invoer gegevens'!$C$17=E136,R136,IF(C136=0,0,AE135))</f>
        <v>0</v>
      </c>
      <c r="AE136" s="98">
        <f t="shared" ca="1" si="28"/>
        <v>0</v>
      </c>
      <c r="AF136" s="98">
        <f ca="1">IF('Invoer gegevens'!$C$17=E136,X136,IF(C136=0,0,AG135))</f>
        <v>0</v>
      </c>
      <c r="AG136" s="98">
        <f t="shared" ca="1" si="29"/>
        <v>0</v>
      </c>
      <c r="AH136" s="66"/>
      <c r="AI136" s="71">
        <f ca="1">IF(C136=1,Reeksen!AI136*((F136-G136+F136)/2)*12+Reeksen!AD136*((L136-M136+L136)/2)*12,0)</f>
        <v>0</v>
      </c>
      <c r="AJ136" s="71">
        <f ca="1">-AI136*'Invoer gegevens'!$F$28</f>
        <v>0</v>
      </c>
      <c r="AK136" s="71">
        <f t="shared" ca="1" si="30"/>
        <v>0</v>
      </c>
      <c r="AL136" s="71">
        <f ca="1">IF(C136=1,Reeksen!AL136*((F136-G136+F136)/2)*12+Reeksen!AM136*((L136-M136+L136)/2)*12,0)</f>
        <v>0</v>
      </c>
      <c r="AM136" s="71">
        <f ca="1">-AL136*'Invoer gegevens'!$F$31</f>
        <v>0</v>
      </c>
      <c r="AN136" s="71">
        <f t="shared" ca="1" si="31"/>
        <v>0</v>
      </c>
      <c r="AO136" s="71">
        <f ca="1">IF(C136=1,(H136+J136+N136+P136)*Reeksen!AN136,0)</f>
        <v>0</v>
      </c>
      <c r="AP136" s="71">
        <f ca="1">-IF(C136=1,(H136+J136+N136+P136)*'Hulp - basis'!$G$550*Reeksen!H136,0)</f>
        <v>0</v>
      </c>
      <c r="AQ136" s="71">
        <f ca="1">-IF(C136=1,(F136+K136+L136+Q136)/2*'Invoer gegevens'!$F$35*Reeksen!J136,0)*2</f>
        <v>0</v>
      </c>
      <c r="AR136" s="71"/>
      <c r="AS136" s="71">
        <f ca="1">-IF(C136=1,(F136+K136+L136+Q136)/2*'Invoer gegevens'!$F$37*Reeksen!L136,0)</f>
        <v>0</v>
      </c>
      <c r="AT136" s="71">
        <f ca="1">-IF(C136=1,IF(E136='Invoer gegevens'!$C$17,'Invoer gegevens'!$C$11,AD136)*Reeksen!S136*'Invoer gegevens'!$C$18*Reeksen!P136,0)</f>
        <v>0</v>
      </c>
      <c r="AU136" s="71">
        <f ca="1">-IF(C136=1,(F136+K136+L136+Q136)/2*'Invoer gegevens'!$F$38*Reeksen!H136,0)</f>
        <v>0</v>
      </c>
      <c r="AV136" s="71">
        <f t="shared" si="23"/>
        <v>0</v>
      </c>
      <c r="AW136" s="71">
        <f t="shared" ca="1" si="32"/>
        <v>0</v>
      </c>
      <c r="AX136" s="71">
        <f ca="1">IF(E136&lt;'Invoer gegevens'!$C$17+15,0,IF(E136&gt;'Invoer gegevens'!$C$17+215,0,AW136))</f>
        <v>0</v>
      </c>
      <c r="AY136" s="71">
        <f ca="1">AX136/(1+'Invoer gegevens'!$F$18)^($AZ136-('Invoer gegevens'!$C$17-'Invoer gegevens'!$C$16))/(1+'Invoer gegevens'!$C$39)^('Invoer gegevens'!$C$17-'Invoer gegevens'!$C$16)</f>
        <v>0</v>
      </c>
      <c r="AZ136" s="68">
        <f ca="1">IF(E136-'Invoer gegevens'!$C$17-14.5&lt;0,0,E136-'Invoer gegevens'!$C$17-14.5)</f>
        <v>116.5</v>
      </c>
    </row>
    <row r="137" spans="1:52" x14ac:dyDescent="0.25">
      <c r="A137" s="59"/>
      <c r="B137" s="70">
        <f t="shared" si="33"/>
        <v>133</v>
      </c>
      <c r="C137" s="67">
        <f ca="1">IF(E137-'Invoer gegevens'!$C$17&lt;0,0,1)</f>
        <v>1</v>
      </c>
      <c r="D137" s="68">
        <f t="shared" si="34"/>
        <v>132.5</v>
      </c>
      <c r="E137" s="69">
        <f ca="1">IF('Invoer gegevens'!$C$16="","",E136+1)</f>
        <v>2151</v>
      </c>
      <c r="F137" s="84">
        <f ca="1">IF('Invoer gegevens'!$C$17=E137,'Invoer gegevens'!$C$10,IF(C137=1,K136,0))</f>
        <v>0</v>
      </c>
      <c r="G137" s="96">
        <f ca="1">IF(C137&gt;=1,F137*VLOOKUP(E137,Reeksen!$A$5:$B$76,2),0)</f>
        <v>0</v>
      </c>
      <c r="H137" s="84">
        <f ca="1">(1-('Invoer gegevens'!$F$20/12))*F137*MIN(Reeksen!B137,Reeksen!D137)</f>
        <v>0</v>
      </c>
      <c r="I137" s="84">
        <f>IF(Reeksen!D137&lt;Reeksen!B137,(Reeksen!B137-Reeksen!D137)*F137,0)</f>
        <v>0</v>
      </c>
      <c r="J137" s="84">
        <f ca="1">('Invoer gegevens'!$F$20/12)*F136*MIN(Reeksen!B136,Reeksen!D136)</f>
        <v>0</v>
      </c>
      <c r="K137" s="97">
        <f t="shared" ca="1" si="24"/>
        <v>0</v>
      </c>
      <c r="L137" s="84">
        <f ca="1">IF('Invoer gegevens'!$C$17=E137,0,IF(C137=1,Q136,0))</f>
        <v>0</v>
      </c>
      <c r="M137" s="96">
        <f ca="1">IF(C137&gt;=1,L137*VLOOKUP(E137,Reeksen!$A$5:$B$76,2),0)</f>
        <v>0</v>
      </c>
      <c r="N137" s="84">
        <f ca="1">(1-('Invoer gegevens'!$F$20/12))*L137*MIN(Reeksen!B137,Reeksen!D137)</f>
        <v>0</v>
      </c>
      <c r="O137" s="84">
        <f>IF(Reeksen!D137&lt;Reeksen!B137,(Reeksen!B137-Reeksen!D137)*L137,0)</f>
        <v>0</v>
      </c>
      <c r="P137" s="84">
        <f ca="1">('Invoer gegevens'!$F$20/12)*L136*MIN(Reeksen!B136,Reeksen!D136)</f>
        <v>0</v>
      </c>
      <c r="Q137" s="84">
        <f t="shared" ca="1" si="25"/>
        <v>0</v>
      </c>
      <c r="R137" s="82">
        <f ca="1">IF('Invoer gegevens'!$C$17=E137,'Invoer gegevens'!$C$11,IF(C137=1,W136,0))</f>
        <v>0</v>
      </c>
      <c r="S137" s="86">
        <f ca="1">IF(C137&gt;=1,R137*VLOOKUP(E137,Reeksen!$A$5:$B$76,2),0)</f>
        <v>0</v>
      </c>
      <c r="T137" s="84">
        <f ca="1">(1-('Invoer gegevens'!$F$20/12))*R137*MIN(Reeksen!B137,Reeksen!D137)</f>
        <v>0</v>
      </c>
      <c r="U137" s="84">
        <f>IF(Reeksen!D137&gt;=Reeksen!B137,0,IF(Reeksen!AD137&lt;=Reeksen!AE137,(Reeksen!B137-Reeksen!D137)*R137,0))</f>
        <v>0</v>
      </c>
      <c r="V137" s="86">
        <f>IF(Reeksen!D137&gt;=Reeksen!B137,0,IF(Reeksen!AD137&gt;Reeksen!AE137,(Reeksen!B137-Reeksen!D137)*R137,0))</f>
        <v>0</v>
      </c>
      <c r="W137" s="97">
        <f t="shared" ca="1" si="26"/>
        <v>0</v>
      </c>
      <c r="X137" s="98">
        <f ca="1">IF('Invoer gegevens'!$C$17=E137,'Invoer gegevens'!$C$10-'Invoer gegevens'!$C$11,IF(C137=1,AC136,0))</f>
        <v>0</v>
      </c>
      <c r="Y137" s="98">
        <f ca="1">IF(C137&gt;=1,X137*VLOOKUP(E137,Reeksen!$A$5:$B$76,2),0)</f>
        <v>0</v>
      </c>
      <c r="Z137" s="98">
        <f ca="1">(1-('Invoer gegevens'!$F$20/12))*X137*MIN(Reeksen!B137,Reeksen!D137)</f>
        <v>0</v>
      </c>
      <c r="AA137" s="98">
        <f>IF(Reeksen!D137&gt;=Reeksen!B137,0,IF(Reeksen!AD137&lt;=Reeksen!AE137,(Reeksen!B137-Reeksen!D137)*X137,0))</f>
        <v>0</v>
      </c>
      <c r="AB137" s="98">
        <f>IF(Reeksen!D137&gt;=Reeksen!B137,0,IF(Reeksen!AD137&gt;Reeksen!AE137,(Reeksen!B137-Reeksen!D137)*X137,0))</f>
        <v>0</v>
      </c>
      <c r="AC137" s="99">
        <f t="shared" ca="1" si="27"/>
        <v>0</v>
      </c>
      <c r="AD137" s="98">
        <f ca="1">IF('Invoer gegevens'!$C$17=E137,R137,IF(C137=0,0,AE136))</f>
        <v>0</v>
      </c>
      <c r="AE137" s="98">
        <f t="shared" ca="1" si="28"/>
        <v>0</v>
      </c>
      <c r="AF137" s="98">
        <f ca="1">IF('Invoer gegevens'!$C$17=E137,X137,IF(C137=0,0,AG136))</f>
        <v>0</v>
      </c>
      <c r="AG137" s="98">
        <f t="shared" ca="1" si="29"/>
        <v>0</v>
      </c>
      <c r="AH137" s="66"/>
      <c r="AI137" s="71">
        <f ca="1">IF(C137=1,Reeksen!AI137*((F137-G137+F137)/2)*12+Reeksen!AD137*((L137-M137+L137)/2)*12,0)</f>
        <v>0</v>
      </c>
      <c r="AJ137" s="71">
        <f ca="1">-AI137*'Invoer gegevens'!$F$28</f>
        <v>0</v>
      </c>
      <c r="AK137" s="71">
        <f t="shared" ca="1" si="30"/>
        <v>0</v>
      </c>
      <c r="AL137" s="71">
        <f ca="1">IF(C137=1,Reeksen!AL137*((F137-G137+F137)/2)*12+Reeksen!AM137*((L137-M137+L137)/2)*12,0)</f>
        <v>0</v>
      </c>
      <c r="AM137" s="71">
        <f ca="1">-AL137*'Invoer gegevens'!$F$31</f>
        <v>0</v>
      </c>
      <c r="AN137" s="71">
        <f t="shared" ca="1" si="31"/>
        <v>0</v>
      </c>
      <c r="AO137" s="71">
        <f ca="1">IF(C137=1,(H137+J137+N137+P137)*Reeksen!AN137,0)</f>
        <v>0</v>
      </c>
      <c r="AP137" s="71">
        <f ca="1">-IF(C137=1,(H137+J137+N137+P137)*'Hulp - basis'!$G$550*Reeksen!H137,0)</f>
        <v>0</v>
      </c>
      <c r="AQ137" s="71">
        <f ca="1">-IF(C137=1,(F137+K137+L137+Q137)/2*'Invoer gegevens'!$F$35*Reeksen!J137,0)*2</f>
        <v>0</v>
      </c>
      <c r="AR137" s="71"/>
      <c r="AS137" s="71">
        <f ca="1">-IF(C137=1,(F137+K137+L137+Q137)/2*'Invoer gegevens'!$F$37*Reeksen!L137,0)</f>
        <v>0</v>
      </c>
      <c r="AT137" s="71">
        <f ca="1">-IF(C137=1,IF(E137='Invoer gegevens'!$C$17,'Invoer gegevens'!$C$11,AD137)*Reeksen!S137*'Invoer gegevens'!$C$18*Reeksen!P137,0)</f>
        <v>0</v>
      </c>
      <c r="AU137" s="71">
        <f ca="1">-IF(C137=1,(F137+K137+L137+Q137)/2*'Invoer gegevens'!$F$38*Reeksen!H137,0)</f>
        <v>0</v>
      </c>
      <c r="AV137" s="71">
        <f t="shared" si="23"/>
        <v>0</v>
      </c>
      <c r="AW137" s="71">
        <f t="shared" ca="1" si="32"/>
        <v>0</v>
      </c>
      <c r="AX137" s="71">
        <f ca="1">IF(E137&lt;'Invoer gegevens'!$C$17+15,0,IF(E137&gt;'Invoer gegevens'!$C$17+215,0,AW137))</f>
        <v>0</v>
      </c>
      <c r="AY137" s="71">
        <f ca="1">AX137/(1+'Invoer gegevens'!$F$18)^($AZ137-('Invoer gegevens'!$C$17-'Invoer gegevens'!$C$16))/(1+'Invoer gegevens'!$C$39)^('Invoer gegevens'!$C$17-'Invoer gegevens'!$C$16)</f>
        <v>0</v>
      </c>
      <c r="AZ137" s="68">
        <f ca="1">IF(E137-'Invoer gegevens'!$C$17-14.5&lt;0,0,E137-'Invoer gegevens'!$C$17-14.5)</f>
        <v>117.5</v>
      </c>
    </row>
    <row r="138" spans="1:52" x14ac:dyDescent="0.25">
      <c r="A138" s="59"/>
      <c r="B138" s="70">
        <f t="shared" si="33"/>
        <v>134</v>
      </c>
      <c r="C138" s="67">
        <f ca="1">IF(E138-'Invoer gegevens'!$C$17&lt;0,0,1)</f>
        <v>1</v>
      </c>
      <c r="D138" s="68">
        <f t="shared" si="34"/>
        <v>133.5</v>
      </c>
      <c r="E138" s="69">
        <f ca="1">IF('Invoer gegevens'!$C$16="","",E137+1)</f>
        <v>2152</v>
      </c>
      <c r="F138" s="84">
        <f ca="1">IF('Invoer gegevens'!$C$17=E138,'Invoer gegevens'!$C$10,IF(C138=1,K137,0))</f>
        <v>0</v>
      </c>
      <c r="G138" s="96">
        <f ca="1">IF(C138&gt;=1,F138*VLOOKUP(E138,Reeksen!$A$5:$B$76,2),0)</f>
        <v>0</v>
      </c>
      <c r="H138" s="84">
        <f ca="1">(1-('Invoer gegevens'!$F$20/12))*F138*MIN(Reeksen!B138,Reeksen!D138)</f>
        <v>0</v>
      </c>
      <c r="I138" s="84">
        <f>IF(Reeksen!D138&lt;Reeksen!B138,(Reeksen!B138-Reeksen!D138)*F138,0)</f>
        <v>0</v>
      </c>
      <c r="J138" s="84">
        <f ca="1">('Invoer gegevens'!$F$20/12)*F137*MIN(Reeksen!B137,Reeksen!D137)</f>
        <v>0</v>
      </c>
      <c r="K138" s="97">
        <f t="shared" ca="1" si="24"/>
        <v>0</v>
      </c>
      <c r="L138" s="84">
        <f ca="1">IF('Invoer gegevens'!$C$17=E138,0,IF(C138=1,Q137,0))</f>
        <v>0</v>
      </c>
      <c r="M138" s="96">
        <f ca="1">IF(C138&gt;=1,L138*VLOOKUP(E138,Reeksen!$A$5:$B$76,2),0)</f>
        <v>0</v>
      </c>
      <c r="N138" s="84">
        <f ca="1">(1-('Invoer gegevens'!$F$20/12))*L138*MIN(Reeksen!B138,Reeksen!D138)</f>
        <v>0</v>
      </c>
      <c r="O138" s="84">
        <f>IF(Reeksen!D138&lt;Reeksen!B138,(Reeksen!B138-Reeksen!D138)*L138,0)</f>
        <v>0</v>
      </c>
      <c r="P138" s="84">
        <f ca="1">('Invoer gegevens'!$F$20/12)*L137*MIN(Reeksen!B137,Reeksen!D137)</f>
        <v>0</v>
      </c>
      <c r="Q138" s="84">
        <f t="shared" ca="1" si="25"/>
        <v>0</v>
      </c>
      <c r="R138" s="82">
        <f ca="1">IF('Invoer gegevens'!$C$17=E138,'Invoer gegevens'!$C$11,IF(C138=1,W137,0))</f>
        <v>0</v>
      </c>
      <c r="S138" s="86">
        <f ca="1">IF(C138&gt;=1,R138*VLOOKUP(E138,Reeksen!$A$5:$B$76,2),0)</f>
        <v>0</v>
      </c>
      <c r="T138" s="84">
        <f ca="1">(1-('Invoer gegevens'!$F$20/12))*R138*MIN(Reeksen!B138,Reeksen!D138)</f>
        <v>0</v>
      </c>
      <c r="U138" s="84">
        <f>IF(Reeksen!D138&gt;=Reeksen!B138,0,IF(Reeksen!AD138&lt;=Reeksen!AE138,(Reeksen!B138-Reeksen!D138)*R138,0))</f>
        <v>0</v>
      </c>
      <c r="V138" s="86">
        <f>IF(Reeksen!D138&gt;=Reeksen!B138,0,IF(Reeksen!AD138&gt;Reeksen!AE138,(Reeksen!B138-Reeksen!D138)*R138,0))</f>
        <v>0</v>
      </c>
      <c r="W138" s="97">
        <f t="shared" ca="1" si="26"/>
        <v>0</v>
      </c>
      <c r="X138" s="98">
        <f ca="1">IF('Invoer gegevens'!$C$17=E138,'Invoer gegevens'!$C$10-'Invoer gegevens'!$C$11,IF(C138=1,AC137,0))</f>
        <v>0</v>
      </c>
      <c r="Y138" s="98">
        <f ca="1">IF(C138&gt;=1,X138*VLOOKUP(E138,Reeksen!$A$5:$B$76,2),0)</f>
        <v>0</v>
      </c>
      <c r="Z138" s="98">
        <f ca="1">(1-('Invoer gegevens'!$F$20/12))*X138*MIN(Reeksen!B138,Reeksen!D138)</f>
        <v>0</v>
      </c>
      <c r="AA138" s="98">
        <f>IF(Reeksen!D138&gt;=Reeksen!B138,0,IF(Reeksen!AD138&lt;=Reeksen!AE138,(Reeksen!B138-Reeksen!D138)*X138,0))</f>
        <v>0</v>
      </c>
      <c r="AB138" s="98">
        <f>IF(Reeksen!D138&gt;=Reeksen!B138,0,IF(Reeksen!AD138&gt;Reeksen!AE138,(Reeksen!B138-Reeksen!D138)*X138,0))</f>
        <v>0</v>
      </c>
      <c r="AC138" s="99">
        <f t="shared" ca="1" si="27"/>
        <v>0</v>
      </c>
      <c r="AD138" s="98">
        <f ca="1">IF('Invoer gegevens'!$C$17=E138,R138,IF(C138=0,0,AE137))</f>
        <v>0</v>
      </c>
      <c r="AE138" s="98">
        <f t="shared" ca="1" si="28"/>
        <v>0</v>
      </c>
      <c r="AF138" s="98">
        <f ca="1">IF('Invoer gegevens'!$C$17=E138,X138,IF(C138=0,0,AG137))</f>
        <v>0</v>
      </c>
      <c r="AG138" s="98">
        <f t="shared" ca="1" si="29"/>
        <v>0</v>
      </c>
      <c r="AH138" s="66"/>
      <c r="AI138" s="71">
        <f ca="1">IF(C138=1,Reeksen!AI138*((F138-G138+F138)/2)*12+Reeksen!AD138*((L138-M138+L138)/2)*12,0)</f>
        <v>0</v>
      </c>
      <c r="AJ138" s="71">
        <f ca="1">-AI138*'Invoer gegevens'!$F$28</f>
        <v>0</v>
      </c>
      <c r="AK138" s="71">
        <f t="shared" ca="1" si="30"/>
        <v>0</v>
      </c>
      <c r="AL138" s="71">
        <f ca="1">IF(C138=1,Reeksen!AL138*((F138-G138+F138)/2)*12+Reeksen!AM138*((L138-M138+L138)/2)*12,0)</f>
        <v>0</v>
      </c>
      <c r="AM138" s="71">
        <f ca="1">-AL138*'Invoer gegevens'!$F$31</f>
        <v>0</v>
      </c>
      <c r="AN138" s="71">
        <f t="shared" ca="1" si="31"/>
        <v>0</v>
      </c>
      <c r="AO138" s="71">
        <f ca="1">IF(C138=1,(H138+J138+N138+P138)*Reeksen!AN138,0)</f>
        <v>0</v>
      </c>
      <c r="AP138" s="71">
        <f ca="1">-IF(C138=1,(H138+J138+N138+P138)*'Hulp - basis'!$G$550*Reeksen!H138,0)</f>
        <v>0</v>
      </c>
      <c r="AQ138" s="71">
        <f ca="1">-IF(C138=1,(F138+K138+L138+Q138)/2*'Invoer gegevens'!$F$35*Reeksen!J138,0)*2</f>
        <v>0</v>
      </c>
      <c r="AR138" s="71"/>
      <c r="AS138" s="71">
        <f ca="1">-IF(C138=1,(F138+K138+L138+Q138)/2*'Invoer gegevens'!$F$37*Reeksen!L138,0)</f>
        <v>0</v>
      </c>
      <c r="AT138" s="71">
        <f ca="1">-IF(C138=1,IF(E138='Invoer gegevens'!$C$17,'Invoer gegevens'!$C$11,AD138)*Reeksen!S138*'Invoer gegevens'!$C$18*Reeksen!P138,0)</f>
        <v>0</v>
      </c>
      <c r="AU138" s="71">
        <f ca="1">-IF(C138=1,(F138+K138+L138+Q138)/2*'Invoer gegevens'!$F$38*Reeksen!H138,0)</f>
        <v>0</v>
      </c>
      <c r="AV138" s="71">
        <f t="shared" si="23"/>
        <v>0</v>
      </c>
      <c r="AW138" s="71">
        <f t="shared" ca="1" si="32"/>
        <v>0</v>
      </c>
      <c r="AX138" s="71">
        <f ca="1">IF(E138&lt;'Invoer gegevens'!$C$17+15,0,IF(E138&gt;'Invoer gegevens'!$C$17+215,0,AW138))</f>
        <v>0</v>
      </c>
      <c r="AY138" s="71">
        <f ca="1">AX138/(1+'Invoer gegevens'!$F$18)^($AZ138-('Invoer gegevens'!$C$17-'Invoer gegevens'!$C$16))/(1+'Invoer gegevens'!$C$39)^('Invoer gegevens'!$C$17-'Invoer gegevens'!$C$16)</f>
        <v>0</v>
      </c>
      <c r="AZ138" s="68">
        <f ca="1">IF(E138-'Invoer gegevens'!$C$17-14.5&lt;0,0,E138-'Invoer gegevens'!$C$17-14.5)</f>
        <v>118.5</v>
      </c>
    </row>
    <row r="139" spans="1:52" x14ac:dyDescent="0.25">
      <c r="A139" s="59"/>
      <c r="B139" s="70">
        <f t="shared" si="33"/>
        <v>135</v>
      </c>
      <c r="C139" s="67">
        <f ca="1">IF(E139-'Invoer gegevens'!$C$17&lt;0,0,1)</f>
        <v>1</v>
      </c>
      <c r="D139" s="68">
        <f t="shared" si="34"/>
        <v>134.5</v>
      </c>
      <c r="E139" s="69">
        <f ca="1">IF('Invoer gegevens'!$C$16="","",E138+1)</f>
        <v>2153</v>
      </c>
      <c r="F139" s="84">
        <f ca="1">IF('Invoer gegevens'!$C$17=E139,'Invoer gegevens'!$C$10,IF(C139=1,K138,0))</f>
        <v>0</v>
      </c>
      <c r="G139" s="96">
        <f ca="1">IF(C139&gt;=1,F139*VLOOKUP(E139,Reeksen!$A$5:$B$76,2),0)</f>
        <v>0</v>
      </c>
      <c r="H139" s="84">
        <f ca="1">(1-('Invoer gegevens'!$F$20/12))*F139*MIN(Reeksen!B139,Reeksen!D139)</f>
        <v>0</v>
      </c>
      <c r="I139" s="84">
        <f>IF(Reeksen!D139&lt;Reeksen!B139,(Reeksen!B139-Reeksen!D139)*F139,0)</f>
        <v>0</v>
      </c>
      <c r="J139" s="84">
        <f ca="1">('Invoer gegevens'!$F$20/12)*F138*MIN(Reeksen!B138,Reeksen!D138)</f>
        <v>0</v>
      </c>
      <c r="K139" s="97">
        <f t="shared" ca="1" si="24"/>
        <v>0</v>
      </c>
      <c r="L139" s="84">
        <f ca="1">IF('Invoer gegevens'!$C$17=E139,0,IF(C139=1,Q138,0))</f>
        <v>0</v>
      </c>
      <c r="M139" s="96">
        <f ca="1">IF(C139&gt;=1,L139*VLOOKUP(E139,Reeksen!$A$5:$B$76,2),0)</f>
        <v>0</v>
      </c>
      <c r="N139" s="84">
        <f ca="1">(1-('Invoer gegevens'!$F$20/12))*L139*MIN(Reeksen!B139,Reeksen!D139)</f>
        <v>0</v>
      </c>
      <c r="O139" s="84">
        <f>IF(Reeksen!D139&lt;Reeksen!B139,(Reeksen!B139-Reeksen!D139)*L139,0)</f>
        <v>0</v>
      </c>
      <c r="P139" s="84">
        <f ca="1">('Invoer gegevens'!$F$20/12)*L138*MIN(Reeksen!B138,Reeksen!D138)</f>
        <v>0</v>
      </c>
      <c r="Q139" s="84">
        <f t="shared" ca="1" si="25"/>
        <v>0</v>
      </c>
      <c r="R139" s="82">
        <f ca="1">IF('Invoer gegevens'!$C$17=E139,'Invoer gegevens'!$C$11,IF(C139=1,W138,0))</f>
        <v>0</v>
      </c>
      <c r="S139" s="86">
        <f ca="1">IF(C139&gt;=1,R139*VLOOKUP(E139,Reeksen!$A$5:$B$76,2),0)</f>
        <v>0</v>
      </c>
      <c r="T139" s="84">
        <f ca="1">(1-('Invoer gegevens'!$F$20/12))*R139*MIN(Reeksen!B139,Reeksen!D139)</f>
        <v>0</v>
      </c>
      <c r="U139" s="84">
        <f>IF(Reeksen!D139&gt;=Reeksen!B139,0,IF(Reeksen!AD139&lt;=Reeksen!AE139,(Reeksen!B139-Reeksen!D139)*R139,0))</f>
        <v>0</v>
      </c>
      <c r="V139" s="86">
        <f>IF(Reeksen!D139&gt;=Reeksen!B139,0,IF(Reeksen!AD139&gt;Reeksen!AE139,(Reeksen!B139-Reeksen!D139)*R139,0))</f>
        <v>0</v>
      </c>
      <c r="W139" s="97">
        <f t="shared" ca="1" si="26"/>
        <v>0</v>
      </c>
      <c r="X139" s="98">
        <f ca="1">IF('Invoer gegevens'!$C$17=E139,'Invoer gegevens'!$C$10-'Invoer gegevens'!$C$11,IF(C139=1,AC138,0))</f>
        <v>0</v>
      </c>
      <c r="Y139" s="98">
        <f ca="1">IF(C139&gt;=1,X139*VLOOKUP(E139,Reeksen!$A$5:$B$76,2),0)</f>
        <v>0</v>
      </c>
      <c r="Z139" s="98">
        <f ca="1">(1-('Invoer gegevens'!$F$20/12))*X139*MIN(Reeksen!B139,Reeksen!D139)</f>
        <v>0</v>
      </c>
      <c r="AA139" s="98">
        <f>IF(Reeksen!D139&gt;=Reeksen!B139,0,IF(Reeksen!AD139&lt;=Reeksen!AE139,(Reeksen!B139-Reeksen!D139)*X139,0))</f>
        <v>0</v>
      </c>
      <c r="AB139" s="98">
        <f>IF(Reeksen!D139&gt;=Reeksen!B139,0,IF(Reeksen!AD139&gt;Reeksen!AE139,(Reeksen!B139-Reeksen!D139)*X139,0))</f>
        <v>0</v>
      </c>
      <c r="AC139" s="99">
        <f t="shared" ca="1" si="27"/>
        <v>0</v>
      </c>
      <c r="AD139" s="98">
        <f ca="1">IF('Invoer gegevens'!$C$17=E139,R139,IF(C139=0,0,AE138))</f>
        <v>0</v>
      </c>
      <c r="AE139" s="98">
        <f t="shared" ca="1" si="28"/>
        <v>0</v>
      </c>
      <c r="AF139" s="98">
        <f ca="1">IF('Invoer gegevens'!$C$17=E139,X139,IF(C139=0,0,AG138))</f>
        <v>0</v>
      </c>
      <c r="AG139" s="98">
        <f t="shared" ca="1" si="29"/>
        <v>0</v>
      </c>
      <c r="AH139" s="66"/>
      <c r="AI139" s="71">
        <f ca="1">IF(C139=1,Reeksen!AI139*((F139-G139+F139)/2)*12+Reeksen!AD139*((L139-M139+L139)/2)*12,0)</f>
        <v>0</v>
      </c>
      <c r="AJ139" s="71">
        <f ca="1">-AI139*'Invoer gegevens'!$F$28</f>
        <v>0</v>
      </c>
      <c r="AK139" s="71">
        <f t="shared" ca="1" si="30"/>
        <v>0</v>
      </c>
      <c r="AL139" s="71">
        <f ca="1">IF(C139=1,Reeksen!AL139*((F139-G139+F139)/2)*12+Reeksen!AM139*((L139-M139+L139)/2)*12,0)</f>
        <v>0</v>
      </c>
      <c r="AM139" s="71">
        <f ca="1">-AL139*'Invoer gegevens'!$F$31</f>
        <v>0</v>
      </c>
      <c r="AN139" s="71">
        <f t="shared" ca="1" si="31"/>
        <v>0</v>
      </c>
      <c r="AO139" s="71">
        <f ca="1">IF(C139=1,(H139+J139+N139+P139)*Reeksen!AN139,0)</f>
        <v>0</v>
      </c>
      <c r="AP139" s="71">
        <f ca="1">-IF(C139=1,(H139+J139+N139+P139)*'Hulp - basis'!$G$550*Reeksen!H139,0)</f>
        <v>0</v>
      </c>
      <c r="AQ139" s="71">
        <f ca="1">-IF(C139=1,(F139+K139+L139+Q139)/2*'Invoer gegevens'!$F$35*Reeksen!J139,0)*2</f>
        <v>0</v>
      </c>
      <c r="AR139" s="71"/>
      <c r="AS139" s="71">
        <f ca="1">-IF(C139=1,(F139+K139+L139+Q139)/2*'Invoer gegevens'!$F$37*Reeksen!L139,0)</f>
        <v>0</v>
      </c>
      <c r="AT139" s="71">
        <f ca="1">-IF(C139=1,IF(E139='Invoer gegevens'!$C$17,'Invoer gegevens'!$C$11,AD139)*Reeksen!S139*'Invoer gegevens'!$C$18*Reeksen!P139,0)</f>
        <v>0</v>
      </c>
      <c r="AU139" s="71">
        <f ca="1">-IF(C139=1,(F139+K139+L139+Q139)/2*'Invoer gegevens'!$F$38*Reeksen!H139,0)</f>
        <v>0</v>
      </c>
      <c r="AV139" s="71">
        <f t="shared" si="23"/>
        <v>0</v>
      </c>
      <c r="AW139" s="71">
        <f t="shared" ca="1" si="32"/>
        <v>0</v>
      </c>
      <c r="AX139" s="71">
        <f ca="1">IF(E139&lt;'Invoer gegevens'!$C$17+15,0,IF(E139&gt;'Invoer gegevens'!$C$17+215,0,AW139))</f>
        <v>0</v>
      </c>
      <c r="AY139" s="71">
        <f ca="1">AX139/(1+'Invoer gegevens'!$F$18)^($AZ139-('Invoer gegevens'!$C$17-'Invoer gegevens'!$C$16))/(1+'Invoer gegevens'!$C$39)^('Invoer gegevens'!$C$17-'Invoer gegevens'!$C$16)</f>
        <v>0</v>
      </c>
      <c r="AZ139" s="68">
        <f ca="1">IF(E139-'Invoer gegevens'!$C$17-14.5&lt;0,0,E139-'Invoer gegevens'!$C$17-14.5)</f>
        <v>119.5</v>
      </c>
    </row>
    <row r="140" spans="1:52" x14ac:dyDescent="0.25">
      <c r="A140" s="59"/>
      <c r="B140" s="70">
        <f t="shared" si="33"/>
        <v>136</v>
      </c>
      <c r="C140" s="67">
        <f ca="1">IF(E140-'Invoer gegevens'!$C$17&lt;0,0,1)</f>
        <v>1</v>
      </c>
      <c r="D140" s="68">
        <f t="shared" si="34"/>
        <v>135.5</v>
      </c>
      <c r="E140" s="69">
        <f ca="1">IF('Invoer gegevens'!$C$16="","",E139+1)</f>
        <v>2154</v>
      </c>
      <c r="F140" s="84">
        <f ca="1">IF('Invoer gegevens'!$C$17=E140,'Invoer gegevens'!$C$10,IF(C140=1,K139,0))</f>
        <v>0</v>
      </c>
      <c r="G140" s="96">
        <f ca="1">IF(C140&gt;=1,F140*VLOOKUP(E140,Reeksen!$A$5:$B$76,2),0)</f>
        <v>0</v>
      </c>
      <c r="H140" s="84">
        <f ca="1">(1-('Invoer gegevens'!$F$20/12))*F140*MIN(Reeksen!B140,Reeksen!D140)</f>
        <v>0</v>
      </c>
      <c r="I140" s="84">
        <f>IF(Reeksen!D140&lt;Reeksen!B140,(Reeksen!B140-Reeksen!D140)*F140,0)</f>
        <v>0</v>
      </c>
      <c r="J140" s="84">
        <f ca="1">('Invoer gegevens'!$F$20/12)*F139*MIN(Reeksen!B139,Reeksen!D139)</f>
        <v>0</v>
      </c>
      <c r="K140" s="97">
        <f t="shared" ca="1" si="24"/>
        <v>0</v>
      </c>
      <c r="L140" s="84">
        <f ca="1">IF('Invoer gegevens'!$C$17=E140,0,IF(C140=1,Q139,0))</f>
        <v>0</v>
      </c>
      <c r="M140" s="96">
        <f ca="1">IF(C140&gt;=1,L140*VLOOKUP(E140,Reeksen!$A$5:$B$76,2),0)</f>
        <v>0</v>
      </c>
      <c r="N140" s="84">
        <f ca="1">(1-('Invoer gegevens'!$F$20/12))*L140*MIN(Reeksen!B140,Reeksen!D140)</f>
        <v>0</v>
      </c>
      <c r="O140" s="84">
        <f>IF(Reeksen!D140&lt;Reeksen!B140,(Reeksen!B140-Reeksen!D140)*L140,0)</f>
        <v>0</v>
      </c>
      <c r="P140" s="84">
        <f ca="1">('Invoer gegevens'!$F$20/12)*L139*MIN(Reeksen!B139,Reeksen!D139)</f>
        <v>0</v>
      </c>
      <c r="Q140" s="84">
        <f t="shared" ca="1" si="25"/>
        <v>0</v>
      </c>
      <c r="R140" s="82">
        <f ca="1">IF('Invoer gegevens'!$C$17=E140,'Invoer gegevens'!$C$11,IF(C140=1,W139,0))</f>
        <v>0</v>
      </c>
      <c r="S140" s="86">
        <f ca="1">IF(C140&gt;=1,R140*VLOOKUP(E140,Reeksen!$A$5:$B$76,2),0)</f>
        <v>0</v>
      </c>
      <c r="T140" s="84">
        <f ca="1">(1-('Invoer gegevens'!$F$20/12))*R140*MIN(Reeksen!B140,Reeksen!D140)</f>
        <v>0</v>
      </c>
      <c r="U140" s="84">
        <f>IF(Reeksen!D140&gt;=Reeksen!B140,0,IF(Reeksen!AD140&lt;=Reeksen!AE140,(Reeksen!B140-Reeksen!D140)*R140,0))</f>
        <v>0</v>
      </c>
      <c r="V140" s="86">
        <f>IF(Reeksen!D140&gt;=Reeksen!B140,0,IF(Reeksen!AD140&gt;Reeksen!AE140,(Reeksen!B140-Reeksen!D140)*R140,0))</f>
        <v>0</v>
      </c>
      <c r="W140" s="97">
        <f t="shared" ca="1" si="26"/>
        <v>0</v>
      </c>
      <c r="X140" s="98">
        <f ca="1">IF('Invoer gegevens'!$C$17=E140,'Invoer gegevens'!$C$10-'Invoer gegevens'!$C$11,IF(C140=1,AC139,0))</f>
        <v>0</v>
      </c>
      <c r="Y140" s="98">
        <f ca="1">IF(C140&gt;=1,X140*VLOOKUP(E140,Reeksen!$A$5:$B$76,2),0)</f>
        <v>0</v>
      </c>
      <c r="Z140" s="98">
        <f ca="1">(1-('Invoer gegevens'!$F$20/12))*X140*MIN(Reeksen!B140,Reeksen!D140)</f>
        <v>0</v>
      </c>
      <c r="AA140" s="98">
        <f>IF(Reeksen!D140&gt;=Reeksen!B140,0,IF(Reeksen!AD140&lt;=Reeksen!AE140,(Reeksen!B140-Reeksen!D140)*X140,0))</f>
        <v>0</v>
      </c>
      <c r="AB140" s="98">
        <f>IF(Reeksen!D140&gt;=Reeksen!B140,0,IF(Reeksen!AD140&gt;Reeksen!AE140,(Reeksen!B140-Reeksen!D140)*X140,0))</f>
        <v>0</v>
      </c>
      <c r="AC140" s="99">
        <f t="shared" ca="1" si="27"/>
        <v>0</v>
      </c>
      <c r="AD140" s="98">
        <f ca="1">IF('Invoer gegevens'!$C$17=E140,R140,IF(C140=0,0,AE139))</f>
        <v>0</v>
      </c>
      <c r="AE140" s="98">
        <f t="shared" ca="1" si="28"/>
        <v>0</v>
      </c>
      <c r="AF140" s="98">
        <f ca="1">IF('Invoer gegevens'!$C$17=E140,X140,IF(C140=0,0,AG139))</f>
        <v>0</v>
      </c>
      <c r="AG140" s="98">
        <f t="shared" ca="1" si="29"/>
        <v>0</v>
      </c>
      <c r="AH140" s="66"/>
      <c r="AI140" s="71">
        <f ca="1">IF(C140=1,Reeksen!AI140*((F140-G140+F140)/2)*12+Reeksen!AD140*((L140-M140+L140)/2)*12,0)</f>
        <v>0</v>
      </c>
      <c r="AJ140" s="71">
        <f ca="1">-AI140*'Invoer gegevens'!$F$28</f>
        <v>0</v>
      </c>
      <c r="AK140" s="71">
        <f t="shared" ca="1" si="30"/>
        <v>0</v>
      </c>
      <c r="AL140" s="71">
        <f ca="1">IF(C140=1,Reeksen!AL140*((F140-G140+F140)/2)*12+Reeksen!AM140*((L140-M140+L140)/2)*12,0)</f>
        <v>0</v>
      </c>
      <c r="AM140" s="71">
        <f ca="1">-AL140*'Invoer gegevens'!$F$31</f>
        <v>0</v>
      </c>
      <c r="AN140" s="71">
        <f t="shared" ca="1" si="31"/>
        <v>0</v>
      </c>
      <c r="AO140" s="71">
        <f ca="1">IF(C140=1,(H140+J140+N140+P140)*Reeksen!AN140,0)</f>
        <v>0</v>
      </c>
      <c r="AP140" s="71">
        <f ca="1">-IF(C140=1,(H140+J140+N140+P140)*'Hulp - basis'!$G$550*Reeksen!H140,0)</f>
        <v>0</v>
      </c>
      <c r="AQ140" s="71">
        <f ca="1">-IF(C140=1,(F140+K140+L140+Q140)/2*'Invoer gegevens'!$F$35*Reeksen!J140,0)*2</f>
        <v>0</v>
      </c>
      <c r="AR140" s="71"/>
      <c r="AS140" s="71">
        <f ca="1">-IF(C140=1,(F140+K140+L140+Q140)/2*'Invoer gegevens'!$F$37*Reeksen!L140,0)</f>
        <v>0</v>
      </c>
      <c r="AT140" s="71">
        <f ca="1">-IF(C140=1,IF(E140='Invoer gegevens'!$C$17,'Invoer gegevens'!$C$11,AD140)*Reeksen!S140*'Invoer gegevens'!$C$18*Reeksen!P140,0)</f>
        <v>0</v>
      </c>
      <c r="AU140" s="71">
        <f ca="1">-IF(C140=1,(F140+K140+L140+Q140)/2*'Invoer gegevens'!$F$38*Reeksen!H140,0)</f>
        <v>0</v>
      </c>
      <c r="AV140" s="71">
        <f t="shared" si="23"/>
        <v>0</v>
      </c>
      <c r="AW140" s="71">
        <f t="shared" ca="1" si="32"/>
        <v>0</v>
      </c>
      <c r="AX140" s="71">
        <f ca="1">IF(E140&lt;'Invoer gegevens'!$C$17+15,0,IF(E140&gt;'Invoer gegevens'!$C$17+215,0,AW140))</f>
        <v>0</v>
      </c>
      <c r="AY140" s="71">
        <f ca="1">AX140/(1+'Invoer gegevens'!$F$18)^($AZ140-('Invoer gegevens'!$C$17-'Invoer gegevens'!$C$16))/(1+'Invoer gegevens'!$C$39)^('Invoer gegevens'!$C$17-'Invoer gegevens'!$C$16)</f>
        <v>0</v>
      </c>
      <c r="AZ140" s="68">
        <f ca="1">IF(E140-'Invoer gegevens'!$C$17-14.5&lt;0,0,E140-'Invoer gegevens'!$C$17-14.5)</f>
        <v>120.5</v>
      </c>
    </row>
    <row r="141" spans="1:52" x14ac:dyDescent="0.25">
      <c r="A141" s="59"/>
      <c r="B141" s="70">
        <f t="shared" si="33"/>
        <v>137</v>
      </c>
      <c r="C141" s="67">
        <f ca="1">IF(E141-'Invoer gegevens'!$C$17&lt;0,0,1)</f>
        <v>1</v>
      </c>
      <c r="D141" s="68">
        <f t="shared" si="34"/>
        <v>136.5</v>
      </c>
      <c r="E141" s="69">
        <f ca="1">IF('Invoer gegevens'!$C$16="","",E140+1)</f>
        <v>2155</v>
      </c>
      <c r="F141" s="84">
        <f ca="1">IF('Invoer gegevens'!$C$17=E141,'Invoer gegevens'!$C$10,IF(C141=1,K140,0))</f>
        <v>0</v>
      </c>
      <c r="G141" s="96">
        <f ca="1">IF(C141&gt;=1,F141*VLOOKUP(E141,Reeksen!$A$5:$B$76,2),0)</f>
        <v>0</v>
      </c>
      <c r="H141" s="84">
        <f ca="1">(1-('Invoer gegevens'!$F$20/12))*F141*MIN(Reeksen!B141,Reeksen!D141)</f>
        <v>0</v>
      </c>
      <c r="I141" s="84">
        <f>IF(Reeksen!D141&lt;Reeksen!B141,(Reeksen!B141-Reeksen!D141)*F141,0)</f>
        <v>0</v>
      </c>
      <c r="J141" s="84">
        <f ca="1">('Invoer gegevens'!$F$20/12)*F140*MIN(Reeksen!B140,Reeksen!D140)</f>
        <v>0</v>
      </c>
      <c r="K141" s="97">
        <f t="shared" ca="1" si="24"/>
        <v>0</v>
      </c>
      <c r="L141" s="84">
        <f ca="1">IF('Invoer gegevens'!$C$17=E141,0,IF(C141=1,Q140,0))</f>
        <v>0</v>
      </c>
      <c r="M141" s="96">
        <f ca="1">IF(C141&gt;=1,L141*VLOOKUP(E141,Reeksen!$A$5:$B$76,2),0)</f>
        <v>0</v>
      </c>
      <c r="N141" s="84">
        <f ca="1">(1-('Invoer gegevens'!$F$20/12))*L141*MIN(Reeksen!B141,Reeksen!D141)</f>
        <v>0</v>
      </c>
      <c r="O141" s="84">
        <f>IF(Reeksen!D141&lt;Reeksen!B141,(Reeksen!B141-Reeksen!D141)*L141,0)</f>
        <v>0</v>
      </c>
      <c r="P141" s="84">
        <f ca="1">('Invoer gegevens'!$F$20/12)*L140*MIN(Reeksen!B140,Reeksen!D140)</f>
        <v>0</v>
      </c>
      <c r="Q141" s="84">
        <f t="shared" ca="1" si="25"/>
        <v>0</v>
      </c>
      <c r="R141" s="82">
        <f ca="1">IF('Invoer gegevens'!$C$17=E141,'Invoer gegevens'!$C$11,IF(C141=1,W140,0))</f>
        <v>0</v>
      </c>
      <c r="S141" s="86">
        <f ca="1">IF(C141&gt;=1,R141*VLOOKUP(E141,Reeksen!$A$5:$B$76,2),0)</f>
        <v>0</v>
      </c>
      <c r="T141" s="84">
        <f ca="1">(1-('Invoer gegevens'!$F$20/12))*R141*MIN(Reeksen!B141,Reeksen!D141)</f>
        <v>0</v>
      </c>
      <c r="U141" s="84">
        <f>IF(Reeksen!D141&gt;=Reeksen!B141,0,IF(Reeksen!AD141&lt;=Reeksen!AE141,(Reeksen!B141-Reeksen!D141)*R141,0))</f>
        <v>0</v>
      </c>
      <c r="V141" s="86">
        <f>IF(Reeksen!D141&gt;=Reeksen!B141,0,IF(Reeksen!AD141&gt;Reeksen!AE141,(Reeksen!B141-Reeksen!D141)*R141,0))</f>
        <v>0</v>
      </c>
      <c r="W141" s="97">
        <f t="shared" ca="1" si="26"/>
        <v>0</v>
      </c>
      <c r="X141" s="98">
        <f ca="1">IF('Invoer gegevens'!$C$17=E141,'Invoer gegevens'!$C$10-'Invoer gegevens'!$C$11,IF(C141=1,AC140,0))</f>
        <v>0</v>
      </c>
      <c r="Y141" s="98">
        <f ca="1">IF(C141&gt;=1,X141*VLOOKUP(E141,Reeksen!$A$5:$B$76,2),0)</f>
        <v>0</v>
      </c>
      <c r="Z141" s="98">
        <f ca="1">(1-('Invoer gegevens'!$F$20/12))*X141*MIN(Reeksen!B141,Reeksen!D141)</f>
        <v>0</v>
      </c>
      <c r="AA141" s="98">
        <f>IF(Reeksen!D141&gt;=Reeksen!B141,0,IF(Reeksen!AD141&lt;=Reeksen!AE141,(Reeksen!B141-Reeksen!D141)*X141,0))</f>
        <v>0</v>
      </c>
      <c r="AB141" s="98">
        <f>IF(Reeksen!D141&gt;=Reeksen!B141,0,IF(Reeksen!AD141&gt;Reeksen!AE141,(Reeksen!B141-Reeksen!D141)*X141,0))</f>
        <v>0</v>
      </c>
      <c r="AC141" s="99">
        <f t="shared" ca="1" si="27"/>
        <v>0</v>
      </c>
      <c r="AD141" s="98">
        <f ca="1">IF('Invoer gegevens'!$C$17=E141,R141,IF(C141=0,0,AE140))</f>
        <v>0</v>
      </c>
      <c r="AE141" s="98">
        <f t="shared" ca="1" si="28"/>
        <v>0</v>
      </c>
      <c r="AF141" s="98">
        <f ca="1">IF('Invoer gegevens'!$C$17=E141,X141,IF(C141=0,0,AG140))</f>
        <v>0</v>
      </c>
      <c r="AG141" s="98">
        <f t="shared" ca="1" si="29"/>
        <v>0</v>
      </c>
      <c r="AH141" s="66"/>
      <c r="AI141" s="71">
        <f ca="1">IF(C141=1,Reeksen!AI141*((F141-G141+F141)/2)*12+Reeksen!AD141*((L141-M141+L141)/2)*12,0)</f>
        <v>0</v>
      </c>
      <c r="AJ141" s="71">
        <f ca="1">-AI141*'Invoer gegevens'!$F$28</f>
        <v>0</v>
      </c>
      <c r="AK141" s="71">
        <f t="shared" ca="1" si="30"/>
        <v>0</v>
      </c>
      <c r="AL141" s="71">
        <f ca="1">IF(C141=1,Reeksen!AL141*((F141-G141+F141)/2)*12+Reeksen!AM141*((L141-M141+L141)/2)*12,0)</f>
        <v>0</v>
      </c>
      <c r="AM141" s="71">
        <f ca="1">-AL141*'Invoer gegevens'!$F$31</f>
        <v>0</v>
      </c>
      <c r="AN141" s="71">
        <f t="shared" ca="1" si="31"/>
        <v>0</v>
      </c>
      <c r="AO141" s="71">
        <f ca="1">IF(C141=1,(H141+J141+N141+P141)*Reeksen!AN141,0)</f>
        <v>0</v>
      </c>
      <c r="AP141" s="71">
        <f ca="1">-IF(C141=1,(H141+J141+N141+P141)*'Hulp - basis'!$G$550*Reeksen!H141,0)</f>
        <v>0</v>
      </c>
      <c r="AQ141" s="71">
        <f ca="1">-IF(C141=1,(F141+K141+L141+Q141)/2*'Invoer gegevens'!$F$35*Reeksen!J141,0)*2</f>
        <v>0</v>
      </c>
      <c r="AR141" s="71"/>
      <c r="AS141" s="71">
        <f ca="1">-IF(C141=1,(F141+K141+L141+Q141)/2*'Invoer gegevens'!$F$37*Reeksen!L141,0)</f>
        <v>0</v>
      </c>
      <c r="AT141" s="71">
        <f ca="1">-IF(C141=1,IF(E141='Invoer gegevens'!$C$17,'Invoer gegevens'!$C$11,AD141)*Reeksen!S141*'Invoer gegevens'!$C$18*Reeksen!P141,0)</f>
        <v>0</v>
      </c>
      <c r="AU141" s="71">
        <f ca="1">-IF(C141=1,(F141+K141+L141+Q141)/2*'Invoer gegevens'!$F$38*Reeksen!H141,0)</f>
        <v>0</v>
      </c>
      <c r="AV141" s="71">
        <f t="shared" si="23"/>
        <v>0</v>
      </c>
      <c r="AW141" s="71">
        <f t="shared" ca="1" si="32"/>
        <v>0</v>
      </c>
      <c r="AX141" s="71">
        <f ca="1">IF(E141&lt;'Invoer gegevens'!$C$17+15,0,IF(E141&gt;'Invoer gegevens'!$C$17+215,0,AW141))</f>
        <v>0</v>
      </c>
      <c r="AY141" s="71">
        <f ca="1">AX141/(1+'Invoer gegevens'!$F$18)^($AZ141-('Invoer gegevens'!$C$17-'Invoer gegevens'!$C$16))/(1+'Invoer gegevens'!$C$39)^('Invoer gegevens'!$C$17-'Invoer gegevens'!$C$16)</f>
        <v>0</v>
      </c>
      <c r="AZ141" s="68">
        <f ca="1">IF(E141-'Invoer gegevens'!$C$17-14.5&lt;0,0,E141-'Invoer gegevens'!$C$17-14.5)</f>
        <v>121.5</v>
      </c>
    </row>
    <row r="142" spans="1:52" x14ac:dyDescent="0.25">
      <c r="A142" s="59"/>
      <c r="B142" s="70">
        <f t="shared" si="33"/>
        <v>138</v>
      </c>
      <c r="C142" s="67">
        <f ca="1">IF(E142-'Invoer gegevens'!$C$17&lt;0,0,1)</f>
        <v>1</v>
      </c>
      <c r="D142" s="68">
        <f t="shared" si="34"/>
        <v>137.5</v>
      </c>
      <c r="E142" s="69">
        <f ca="1">IF('Invoer gegevens'!$C$16="","",E141+1)</f>
        <v>2156</v>
      </c>
      <c r="F142" s="84">
        <f ca="1">IF('Invoer gegevens'!$C$17=E142,'Invoer gegevens'!$C$10,IF(C142=1,K141,0))</f>
        <v>0</v>
      </c>
      <c r="G142" s="96">
        <f ca="1">IF(C142&gt;=1,F142*VLOOKUP(E142,Reeksen!$A$5:$B$76,2),0)</f>
        <v>0</v>
      </c>
      <c r="H142" s="84">
        <f ca="1">(1-('Invoer gegevens'!$F$20/12))*F142*MIN(Reeksen!B142,Reeksen!D142)</f>
        <v>0</v>
      </c>
      <c r="I142" s="84">
        <f>IF(Reeksen!D142&lt;Reeksen!B142,(Reeksen!B142-Reeksen!D142)*F142,0)</f>
        <v>0</v>
      </c>
      <c r="J142" s="84">
        <f ca="1">('Invoer gegevens'!$F$20/12)*F141*MIN(Reeksen!B141,Reeksen!D141)</f>
        <v>0</v>
      </c>
      <c r="K142" s="97">
        <f t="shared" ca="1" si="24"/>
        <v>0</v>
      </c>
      <c r="L142" s="84">
        <f ca="1">IF('Invoer gegevens'!$C$17=E142,0,IF(C142=1,Q141,0))</f>
        <v>0</v>
      </c>
      <c r="M142" s="96">
        <f ca="1">IF(C142&gt;=1,L142*VLOOKUP(E142,Reeksen!$A$5:$B$76,2),0)</f>
        <v>0</v>
      </c>
      <c r="N142" s="84">
        <f ca="1">(1-('Invoer gegevens'!$F$20/12))*L142*MIN(Reeksen!B142,Reeksen!D142)</f>
        <v>0</v>
      </c>
      <c r="O142" s="84">
        <f>IF(Reeksen!D142&lt;Reeksen!B142,(Reeksen!B142-Reeksen!D142)*L142,0)</f>
        <v>0</v>
      </c>
      <c r="P142" s="84">
        <f ca="1">('Invoer gegevens'!$F$20/12)*L141*MIN(Reeksen!B141,Reeksen!D141)</f>
        <v>0</v>
      </c>
      <c r="Q142" s="84">
        <f t="shared" ca="1" si="25"/>
        <v>0</v>
      </c>
      <c r="R142" s="82">
        <f ca="1">IF('Invoer gegevens'!$C$17=E142,'Invoer gegevens'!$C$11,IF(C142=1,W141,0))</f>
        <v>0</v>
      </c>
      <c r="S142" s="86">
        <f ca="1">IF(C142&gt;=1,R142*VLOOKUP(E142,Reeksen!$A$5:$B$76,2),0)</f>
        <v>0</v>
      </c>
      <c r="T142" s="84">
        <f ca="1">(1-('Invoer gegevens'!$F$20/12))*R142*MIN(Reeksen!B142,Reeksen!D142)</f>
        <v>0</v>
      </c>
      <c r="U142" s="84">
        <f>IF(Reeksen!D142&gt;=Reeksen!B142,0,IF(Reeksen!AD142&lt;=Reeksen!AE142,(Reeksen!B142-Reeksen!D142)*R142,0))</f>
        <v>0</v>
      </c>
      <c r="V142" s="86">
        <f>IF(Reeksen!D142&gt;=Reeksen!B142,0,IF(Reeksen!AD142&gt;Reeksen!AE142,(Reeksen!B142-Reeksen!D142)*R142,0))</f>
        <v>0</v>
      </c>
      <c r="W142" s="97">
        <f t="shared" ca="1" si="26"/>
        <v>0</v>
      </c>
      <c r="X142" s="98">
        <f ca="1">IF('Invoer gegevens'!$C$17=E142,'Invoer gegevens'!$C$10-'Invoer gegevens'!$C$11,IF(C142=1,AC141,0))</f>
        <v>0</v>
      </c>
      <c r="Y142" s="98">
        <f ca="1">IF(C142&gt;=1,X142*VLOOKUP(E142,Reeksen!$A$5:$B$76,2),0)</f>
        <v>0</v>
      </c>
      <c r="Z142" s="98">
        <f ca="1">(1-('Invoer gegevens'!$F$20/12))*X142*MIN(Reeksen!B142,Reeksen!D142)</f>
        <v>0</v>
      </c>
      <c r="AA142" s="98">
        <f>IF(Reeksen!D142&gt;=Reeksen!B142,0,IF(Reeksen!AD142&lt;=Reeksen!AE142,(Reeksen!B142-Reeksen!D142)*X142,0))</f>
        <v>0</v>
      </c>
      <c r="AB142" s="98">
        <f>IF(Reeksen!D142&gt;=Reeksen!B142,0,IF(Reeksen!AD142&gt;Reeksen!AE142,(Reeksen!B142-Reeksen!D142)*X142,0))</f>
        <v>0</v>
      </c>
      <c r="AC142" s="99">
        <f t="shared" ca="1" si="27"/>
        <v>0</v>
      </c>
      <c r="AD142" s="98">
        <f ca="1">IF('Invoer gegevens'!$C$17=E142,R142,IF(C142=0,0,AE141))</f>
        <v>0</v>
      </c>
      <c r="AE142" s="98">
        <f t="shared" ca="1" si="28"/>
        <v>0</v>
      </c>
      <c r="AF142" s="98">
        <f ca="1">IF('Invoer gegevens'!$C$17=E142,X142,IF(C142=0,0,AG141))</f>
        <v>0</v>
      </c>
      <c r="AG142" s="98">
        <f t="shared" ca="1" si="29"/>
        <v>0</v>
      </c>
      <c r="AH142" s="66"/>
      <c r="AI142" s="71">
        <f ca="1">IF(C142=1,Reeksen!AI142*((F142-G142+F142)/2)*12+Reeksen!AD142*((L142-M142+L142)/2)*12,0)</f>
        <v>0</v>
      </c>
      <c r="AJ142" s="71">
        <f ca="1">-AI142*'Invoer gegevens'!$F$28</f>
        <v>0</v>
      </c>
      <c r="AK142" s="71">
        <f t="shared" ca="1" si="30"/>
        <v>0</v>
      </c>
      <c r="AL142" s="71">
        <f ca="1">IF(C142=1,Reeksen!AL142*((F142-G142+F142)/2)*12+Reeksen!AM142*((L142-M142+L142)/2)*12,0)</f>
        <v>0</v>
      </c>
      <c r="AM142" s="71">
        <f ca="1">-AL142*'Invoer gegevens'!$F$31</f>
        <v>0</v>
      </c>
      <c r="AN142" s="71">
        <f t="shared" ca="1" si="31"/>
        <v>0</v>
      </c>
      <c r="AO142" s="71">
        <f ca="1">IF(C142=1,(H142+J142+N142+P142)*Reeksen!AN142,0)</f>
        <v>0</v>
      </c>
      <c r="AP142" s="71">
        <f ca="1">-IF(C142=1,(H142+J142+N142+P142)*'Hulp - basis'!$G$550*Reeksen!H142,0)</f>
        <v>0</v>
      </c>
      <c r="AQ142" s="71">
        <f ca="1">-IF(C142=1,(F142+K142+L142+Q142)/2*'Invoer gegevens'!$F$35*Reeksen!J142,0)*2</f>
        <v>0</v>
      </c>
      <c r="AR142" s="71"/>
      <c r="AS142" s="71">
        <f ca="1">-IF(C142=1,(F142+K142+L142+Q142)/2*'Invoer gegevens'!$F$37*Reeksen!L142,0)</f>
        <v>0</v>
      </c>
      <c r="AT142" s="71">
        <f ca="1">-IF(C142=1,IF(E142='Invoer gegevens'!$C$17,'Invoer gegevens'!$C$11,AD142)*Reeksen!S142*'Invoer gegevens'!$C$18*Reeksen!P142,0)</f>
        <v>0</v>
      </c>
      <c r="AU142" s="71">
        <f ca="1">-IF(C142=1,(F142+K142+L142+Q142)/2*'Invoer gegevens'!$F$38*Reeksen!H142,0)</f>
        <v>0</v>
      </c>
      <c r="AV142" s="71">
        <f t="shared" si="23"/>
        <v>0</v>
      </c>
      <c r="AW142" s="71">
        <f t="shared" ca="1" si="32"/>
        <v>0</v>
      </c>
      <c r="AX142" s="71">
        <f ca="1">IF(E142&lt;'Invoer gegevens'!$C$17+15,0,IF(E142&gt;'Invoer gegevens'!$C$17+215,0,AW142))</f>
        <v>0</v>
      </c>
      <c r="AY142" s="71">
        <f ca="1">AX142/(1+'Invoer gegevens'!$F$18)^($AZ142-('Invoer gegevens'!$C$17-'Invoer gegevens'!$C$16))/(1+'Invoer gegevens'!$C$39)^('Invoer gegevens'!$C$17-'Invoer gegevens'!$C$16)</f>
        <v>0</v>
      </c>
      <c r="AZ142" s="68">
        <f ca="1">IF(E142-'Invoer gegevens'!$C$17-14.5&lt;0,0,E142-'Invoer gegevens'!$C$17-14.5)</f>
        <v>122.5</v>
      </c>
    </row>
    <row r="143" spans="1:52" x14ac:dyDescent="0.25">
      <c r="A143" s="59"/>
      <c r="B143" s="70">
        <f t="shared" si="33"/>
        <v>139</v>
      </c>
      <c r="C143" s="67">
        <f ca="1">IF(E143-'Invoer gegevens'!$C$17&lt;0,0,1)</f>
        <v>1</v>
      </c>
      <c r="D143" s="68">
        <f t="shared" si="34"/>
        <v>138.5</v>
      </c>
      <c r="E143" s="69">
        <f ca="1">IF('Invoer gegevens'!$C$16="","",E142+1)</f>
        <v>2157</v>
      </c>
      <c r="F143" s="84">
        <f ca="1">IF('Invoer gegevens'!$C$17=E143,'Invoer gegevens'!$C$10,IF(C143=1,K142,0))</f>
        <v>0</v>
      </c>
      <c r="G143" s="96">
        <f ca="1">IF(C143&gt;=1,F143*VLOOKUP(E143,Reeksen!$A$5:$B$76,2),0)</f>
        <v>0</v>
      </c>
      <c r="H143" s="84">
        <f ca="1">(1-('Invoer gegevens'!$F$20/12))*F143*MIN(Reeksen!B143,Reeksen!D143)</f>
        <v>0</v>
      </c>
      <c r="I143" s="84">
        <f>IF(Reeksen!D143&lt;Reeksen!B143,(Reeksen!B143-Reeksen!D143)*F143,0)</f>
        <v>0</v>
      </c>
      <c r="J143" s="84">
        <f ca="1">('Invoer gegevens'!$F$20/12)*F142*MIN(Reeksen!B142,Reeksen!D142)</f>
        <v>0</v>
      </c>
      <c r="K143" s="97">
        <f t="shared" ca="1" si="24"/>
        <v>0</v>
      </c>
      <c r="L143" s="84">
        <f ca="1">IF('Invoer gegevens'!$C$17=E143,0,IF(C143=1,Q142,0))</f>
        <v>0</v>
      </c>
      <c r="M143" s="96">
        <f ca="1">IF(C143&gt;=1,L143*VLOOKUP(E143,Reeksen!$A$5:$B$76,2),0)</f>
        <v>0</v>
      </c>
      <c r="N143" s="84">
        <f ca="1">(1-('Invoer gegevens'!$F$20/12))*L143*MIN(Reeksen!B143,Reeksen!D143)</f>
        <v>0</v>
      </c>
      <c r="O143" s="84">
        <f>IF(Reeksen!D143&lt;Reeksen!B143,(Reeksen!B143-Reeksen!D143)*L143,0)</f>
        <v>0</v>
      </c>
      <c r="P143" s="84">
        <f ca="1">('Invoer gegevens'!$F$20/12)*L142*MIN(Reeksen!B142,Reeksen!D142)</f>
        <v>0</v>
      </c>
      <c r="Q143" s="84">
        <f t="shared" ca="1" si="25"/>
        <v>0</v>
      </c>
      <c r="R143" s="82">
        <f ca="1">IF('Invoer gegevens'!$C$17=E143,'Invoer gegevens'!$C$11,IF(C143=1,W142,0))</f>
        <v>0</v>
      </c>
      <c r="S143" s="86">
        <f ca="1">IF(C143&gt;=1,R143*VLOOKUP(E143,Reeksen!$A$5:$B$76,2),0)</f>
        <v>0</v>
      </c>
      <c r="T143" s="84">
        <f ca="1">(1-('Invoer gegevens'!$F$20/12))*R143*MIN(Reeksen!B143,Reeksen!D143)</f>
        <v>0</v>
      </c>
      <c r="U143" s="84">
        <f>IF(Reeksen!D143&gt;=Reeksen!B143,0,IF(Reeksen!AD143&lt;=Reeksen!AE143,(Reeksen!B143-Reeksen!D143)*R143,0))</f>
        <v>0</v>
      </c>
      <c r="V143" s="86">
        <f>IF(Reeksen!D143&gt;=Reeksen!B143,0,IF(Reeksen!AD143&gt;Reeksen!AE143,(Reeksen!B143-Reeksen!D143)*R143,0))</f>
        <v>0</v>
      </c>
      <c r="W143" s="97">
        <f t="shared" ca="1" si="26"/>
        <v>0</v>
      </c>
      <c r="X143" s="98">
        <f ca="1">IF('Invoer gegevens'!$C$17=E143,'Invoer gegevens'!$C$10-'Invoer gegevens'!$C$11,IF(C143=1,AC142,0))</f>
        <v>0</v>
      </c>
      <c r="Y143" s="98">
        <f ca="1">IF(C143&gt;=1,X143*VLOOKUP(E143,Reeksen!$A$5:$B$76,2),0)</f>
        <v>0</v>
      </c>
      <c r="Z143" s="98">
        <f ca="1">(1-('Invoer gegevens'!$F$20/12))*X143*MIN(Reeksen!B143,Reeksen!D143)</f>
        <v>0</v>
      </c>
      <c r="AA143" s="98">
        <f>IF(Reeksen!D143&gt;=Reeksen!B143,0,IF(Reeksen!AD143&lt;=Reeksen!AE143,(Reeksen!B143-Reeksen!D143)*X143,0))</f>
        <v>0</v>
      </c>
      <c r="AB143" s="98">
        <f>IF(Reeksen!D143&gt;=Reeksen!B143,0,IF(Reeksen!AD143&gt;Reeksen!AE143,(Reeksen!B143-Reeksen!D143)*X143,0))</f>
        <v>0</v>
      </c>
      <c r="AC143" s="99">
        <f t="shared" ca="1" si="27"/>
        <v>0</v>
      </c>
      <c r="AD143" s="98">
        <f ca="1">IF('Invoer gegevens'!$C$17=E143,R143,IF(C143=0,0,AE142))</f>
        <v>0</v>
      </c>
      <c r="AE143" s="98">
        <f t="shared" ca="1" si="28"/>
        <v>0</v>
      </c>
      <c r="AF143" s="98">
        <f ca="1">IF('Invoer gegevens'!$C$17=E143,X143,IF(C143=0,0,AG142))</f>
        <v>0</v>
      </c>
      <c r="AG143" s="98">
        <f t="shared" ca="1" si="29"/>
        <v>0</v>
      </c>
      <c r="AH143" s="66"/>
      <c r="AI143" s="71">
        <f ca="1">IF(C143=1,Reeksen!AI143*((F143-G143+F143)/2)*12+Reeksen!AD143*((L143-M143+L143)/2)*12,0)</f>
        <v>0</v>
      </c>
      <c r="AJ143" s="71">
        <f ca="1">-AI143*'Invoer gegevens'!$F$28</f>
        <v>0</v>
      </c>
      <c r="AK143" s="71">
        <f t="shared" ca="1" si="30"/>
        <v>0</v>
      </c>
      <c r="AL143" s="71">
        <f ca="1">IF(C143=1,Reeksen!AL143*((F143-G143+F143)/2)*12+Reeksen!AM143*((L143-M143+L143)/2)*12,0)</f>
        <v>0</v>
      </c>
      <c r="AM143" s="71">
        <f ca="1">-AL143*'Invoer gegevens'!$F$31</f>
        <v>0</v>
      </c>
      <c r="AN143" s="71">
        <f t="shared" ca="1" si="31"/>
        <v>0</v>
      </c>
      <c r="AO143" s="71">
        <f ca="1">IF(C143=1,(H143+J143+N143+P143)*Reeksen!AN143,0)</f>
        <v>0</v>
      </c>
      <c r="AP143" s="71">
        <f ca="1">-IF(C143=1,(H143+J143+N143+P143)*'Hulp - basis'!$G$550*Reeksen!H143,0)</f>
        <v>0</v>
      </c>
      <c r="AQ143" s="71">
        <f ca="1">-IF(C143=1,(F143+K143+L143+Q143)/2*'Invoer gegevens'!$F$35*Reeksen!J143,0)*2</f>
        <v>0</v>
      </c>
      <c r="AR143" s="71"/>
      <c r="AS143" s="71">
        <f ca="1">-IF(C143=1,(F143+K143+L143+Q143)/2*'Invoer gegevens'!$F$37*Reeksen!L143,0)</f>
        <v>0</v>
      </c>
      <c r="AT143" s="71">
        <f ca="1">-IF(C143=1,IF(E143='Invoer gegevens'!$C$17,'Invoer gegevens'!$C$11,AD143)*Reeksen!S143*'Invoer gegevens'!$C$18*Reeksen!P143,0)</f>
        <v>0</v>
      </c>
      <c r="AU143" s="71">
        <f ca="1">-IF(C143=1,(F143+K143+L143+Q143)/2*'Invoer gegevens'!$F$38*Reeksen!H143,0)</f>
        <v>0</v>
      </c>
      <c r="AV143" s="71">
        <f t="shared" si="23"/>
        <v>0</v>
      </c>
      <c r="AW143" s="71">
        <f t="shared" ca="1" si="32"/>
        <v>0</v>
      </c>
      <c r="AX143" s="71">
        <f ca="1">IF(E143&lt;'Invoer gegevens'!$C$17+15,0,IF(E143&gt;'Invoer gegevens'!$C$17+215,0,AW143))</f>
        <v>0</v>
      </c>
      <c r="AY143" s="71">
        <f ca="1">AX143/(1+'Invoer gegevens'!$F$18)^($AZ143-('Invoer gegevens'!$C$17-'Invoer gegevens'!$C$16))/(1+'Invoer gegevens'!$C$39)^('Invoer gegevens'!$C$17-'Invoer gegevens'!$C$16)</f>
        <v>0</v>
      </c>
      <c r="AZ143" s="68">
        <f ca="1">IF(E143-'Invoer gegevens'!$C$17-14.5&lt;0,0,E143-'Invoer gegevens'!$C$17-14.5)</f>
        <v>123.5</v>
      </c>
    </row>
    <row r="144" spans="1:52" x14ac:dyDescent="0.25">
      <c r="A144" s="59"/>
      <c r="B144" s="70">
        <f t="shared" si="33"/>
        <v>140</v>
      </c>
      <c r="C144" s="67">
        <f ca="1">IF(E144-'Invoer gegevens'!$C$17&lt;0,0,1)</f>
        <v>1</v>
      </c>
      <c r="D144" s="68">
        <f t="shared" si="34"/>
        <v>139.5</v>
      </c>
      <c r="E144" s="69">
        <f ca="1">IF('Invoer gegevens'!$C$16="","",E143+1)</f>
        <v>2158</v>
      </c>
      <c r="F144" s="84">
        <f ca="1">IF('Invoer gegevens'!$C$17=E144,'Invoer gegevens'!$C$10,IF(C144=1,K143,0))</f>
        <v>0</v>
      </c>
      <c r="G144" s="96">
        <f ca="1">IF(C144&gt;=1,F144*VLOOKUP(E144,Reeksen!$A$5:$B$76,2),0)</f>
        <v>0</v>
      </c>
      <c r="H144" s="84">
        <f ca="1">(1-('Invoer gegevens'!$F$20/12))*F144*MIN(Reeksen!B144,Reeksen!D144)</f>
        <v>0</v>
      </c>
      <c r="I144" s="84">
        <f>IF(Reeksen!D144&lt;Reeksen!B144,(Reeksen!B144-Reeksen!D144)*F144,0)</f>
        <v>0</v>
      </c>
      <c r="J144" s="84">
        <f ca="1">('Invoer gegevens'!$F$20/12)*F143*MIN(Reeksen!B143,Reeksen!D143)</f>
        <v>0</v>
      </c>
      <c r="K144" s="97">
        <f t="shared" ca="1" si="24"/>
        <v>0</v>
      </c>
      <c r="L144" s="84">
        <f ca="1">IF('Invoer gegevens'!$C$17=E144,0,IF(C144=1,Q143,0))</f>
        <v>0</v>
      </c>
      <c r="M144" s="96">
        <f ca="1">IF(C144&gt;=1,L144*VLOOKUP(E144,Reeksen!$A$5:$B$76,2),0)</f>
        <v>0</v>
      </c>
      <c r="N144" s="84">
        <f ca="1">(1-('Invoer gegevens'!$F$20/12))*L144*MIN(Reeksen!B144,Reeksen!D144)</f>
        <v>0</v>
      </c>
      <c r="O144" s="84">
        <f>IF(Reeksen!D144&lt;Reeksen!B144,(Reeksen!B144-Reeksen!D144)*L144,0)</f>
        <v>0</v>
      </c>
      <c r="P144" s="84">
        <f ca="1">('Invoer gegevens'!$F$20/12)*L143*MIN(Reeksen!B143,Reeksen!D143)</f>
        <v>0</v>
      </c>
      <c r="Q144" s="84">
        <f t="shared" ca="1" si="25"/>
        <v>0</v>
      </c>
      <c r="R144" s="82">
        <f ca="1">IF('Invoer gegevens'!$C$17=E144,'Invoer gegevens'!$C$11,IF(C144=1,W143,0))</f>
        <v>0</v>
      </c>
      <c r="S144" s="86">
        <f ca="1">IF(C144&gt;=1,R144*VLOOKUP(E144,Reeksen!$A$5:$B$76,2),0)</f>
        <v>0</v>
      </c>
      <c r="T144" s="84">
        <f ca="1">(1-('Invoer gegevens'!$F$20/12))*R144*MIN(Reeksen!B144,Reeksen!D144)</f>
        <v>0</v>
      </c>
      <c r="U144" s="84">
        <f>IF(Reeksen!D144&gt;=Reeksen!B144,0,IF(Reeksen!AD144&lt;=Reeksen!AE144,(Reeksen!B144-Reeksen!D144)*R144,0))</f>
        <v>0</v>
      </c>
      <c r="V144" s="86">
        <f>IF(Reeksen!D144&gt;=Reeksen!B144,0,IF(Reeksen!AD144&gt;Reeksen!AE144,(Reeksen!B144-Reeksen!D144)*R144,0))</f>
        <v>0</v>
      </c>
      <c r="W144" s="97">
        <f t="shared" ca="1" si="26"/>
        <v>0</v>
      </c>
      <c r="X144" s="98">
        <f ca="1">IF('Invoer gegevens'!$C$17=E144,'Invoer gegevens'!$C$10-'Invoer gegevens'!$C$11,IF(C144=1,AC143,0))</f>
        <v>0</v>
      </c>
      <c r="Y144" s="98">
        <f ca="1">IF(C144&gt;=1,X144*VLOOKUP(E144,Reeksen!$A$5:$B$76,2),0)</f>
        <v>0</v>
      </c>
      <c r="Z144" s="98">
        <f ca="1">(1-('Invoer gegevens'!$F$20/12))*X144*MIN(Reeksen!B144,Reeksen!D144)</f>
        <v>0</v>
      </c>
      <c r="AA144" s="98">
        <f>IF(Reeksen!D144&gt;=Reeksen!B144,0,IF(Reeksen!AD144&lt;=Reeksen!AE144,(Reeksen!B144-Reeksen!D144)*X144,0))</f>
        <v>0</v>
      </c>
      <c r="AB144" s="98">
        <f>IF(Reeksen!D144&gt;=Reeksen!B144,0,IF(Reeksen!AD144&gt;Reeksen!AE144,(Reeksen!B144-Reeksen!D144)*X144,0))</f>
        <v>0</v>
      </c>
      <c r="AC144" s="99">
        <f t="shared" ca="1" si="27"/>
        <v>0</v>
      </c>
      <c r="AD144" s="98">
        <f ca="1">IF('Invoer gegevens'!$C$17=E144,R144,IF(C144=0,0,AE143))</f>
        <v>0</v>
      </c>
      <c r="AE144" s="98">
        <f t="shared" ca="1" si="28"/>
        <v>0</v>
      </c>
      <c r="AF144" s="98">
        <f ca="1">IF('Invoer gegevens'!$C$17=E144,X144,IF(C144=0,0,AG143))</f>
        <v>0</v>
      </c>
      <c r="AG144" s="98">
        <f t="shared" ca="1" si="29"/>
        <v>0</v>
      </c>
      <c r="AH144" s="66"/>
      <c r="AI144" s="71">
        <f ca="1">IF(C144=1,Reeksen!AI144*((F144-G144+F144)/2)*12+Reeksen!AD144*((L144-M144+L144)/2)*12,0)</f>
        <v>0</v>
      </c>
      <c r="AJ144" s="71">
        <f ca="1">-AI144*'Invoer gegevens'!$F$28</f>
        <v>0</v>
      </c>
      <c r="AK144" s="71">
        <f t="shared" ca="1" si="30"/>
        <v>0</v>
      </c>
      <c r="AL144" s="71">
        <f ca="1">IF(C144=1,Reeksen!AL144*((F144-G144+F144)/2)*12+Reeksen!AM144*((L144-M144+L144)/2)*12,0)</f>
        <v>0</v>
      </c>
      <c r="AM144" s="71">
        <f ca="1">-AL144*'Invoer gegevens'!$F$31</f>
        <v>0</v>
      </c>
      <c r="AN144" s="71">
        <f t="shared" ca="1" si="31"/>
        <v>0</v>
      </c>
      <c r="AO144" s="71">
        <f ca="1">IF(C144=1,(H144+J144+N144+P144)*Reeksen!AN144,0)</f>
        <v>0</v>
      </c>
      <c r="AP144" s="71">
        <f ca="1">-IF(C144=1,(H144+J144+N144+P144)*'Hulp - basis'!$G$550*Reeksen!H144,0)</f>
        <v>0</v>
      </c>
      <c r="AQ144" s="71">
        <f ca="1">-IF(C144=1,(F144+K144+L144+Q144)/2*'Invoer gegevens'!$F$35*Reeksen!J144,0)*2</f>
        <v>0</v>
      </c>
      <c r="AR144" s="71"/>
      <c r="AS144" s="71">
        <f ca="1">-IF(C144=1,(F144+K144+L144+Q144)/2*'Invoer gegevens'!$F$37*Reeksen!L144,0)</f>
        <v>0</v>
      </c>
      <c r="AT144" s="71">
        <f ca="1">-IF(C144=1,IF(E144='Invoer gegevens'!$C$17,'Invoer gegevens'!$C$11,AD144)*Reeksen!S144*'Invoer gegevens'!$C$18*Reeksen!P144,0)</f>
        <v>0</v>
      </c>
      <c r="AU144" s="71">
        <f ca="1">-IF(C144=1,(F144+K144+L144+Q144)/2*'Invoer gegevens'!$F$38*Reeksen!H144,0)</f>
        <v>0</v>
      </c>
      <c r="AV144" s="71">
        <f t="shared" si="23"/>
        <v>0</v>
      </c>
      <c r="AW144" s="71">
        <f t="shared" ca="1" si="32"/>
        <v>0</v>
      </c>
      <c r="AX144" s="71">
        <f ca="1">IF(E144&lt;'Invoer gegevens'!$C$17+15,0,IF(E144&gt;'Invoer gegevens'!$C$17+215,0,AW144))</f>
        <v>0</v>
      </c>
      <c r="AY144" s="71">
        <f ca="1">AX144/(1+'Invoer gegevens'!$F$18)^($AZ144-('Invoer gegevens'!$C$17-'Invoer gegevens'!$C$16))/(1+'Invoer gegevens'!$C$39)^('Invoer gegevens'!$C$17-'Invoer gegevens'!$C$16)</f>
        <v>0</v>
      </c>
      <c r="AZ144" s="68">
        <f ca="1">IF(E144-'Invoer gegevens'!$C$17-14.5&lt;0,0,E144-'Invoer gegevens'!$C$17-14.5)</f>
        <v>124.5</v>
      </c>
    </row>
    <row r="145" spans="1:52" x14ac:dyDescent="0.25">
      <c r="A145" s="59"/>
      <c r="B145" s="70">
        <f t="shared" si="33"/>
        <v>141</v>
      </c>
      <c r="C145" s="67">
        <f ca="1">IF(E145-'Invoer gegevens'!$C$17&lt;0,0,1)</f>
        <v>1</v>
      </c>
      <c r="D145" s="68">
        <f t="shared" si="34"/>
        <v>140.5</v>
      </c>
      <c r="E145" s="69">
        <f ca="1">IF('Invoer gegevens'!$C$16="","",E144+1)</f>
        <v>2159</v>
      </c>
      <c r="F145" s="84">
        <f ca="1">IF('Invoer gegevens'!$C$17=E145,'Invoer gegevens'!$C$10,IF(C145=1,K144,0))</f>
        <v>0</v>
      </c>
      <c r="G145" s="96">
        <f ca="1">IF(C145&gt;=1,F145*VLOOKUP(E145,Reeksen!$A$5:$B$76,2),0)</f>
        <v>0</v>
      </c>
      <c r="H145" s="84">
        <f ca="1">(1-('Invoer gegevens'!$F$20/12))*F145*MIN(Reeksen!B145,Reeksen!D145)</f>
        <v>0</v>
      </c>
      <c r="I145" s="84">
        <f>IF(Reeksen!D145&lt;Reeksen!B145,(Reeksen!B145-Reeksen!D145)*F145,0)</f>
        <v>0</v>
      </c>
      <c r="J145" s="84">
        <f ca="1">('Invoer gegevens'!$F$20/12)*F144*MIN(Reeksen!B144,Reeksen!D144)</f>
        <v>0</v>
      </c>
      <c r="K145" s="97">
        <f t="shared" ca="1" si="24"/>
        <v>0</v>
      </c>
      <c r="L145" s="84">
        <f ca="1">IF('Invoer gegevens'!$C$17=E145,0,IF(C145=1,Q144,0))</f>
        <v>0</v>
      </c>
      <c r="M145" s="96">
        <f ca="1">IF(C145&gt;=1,L145*VLOOKUP(E145,Reeksen!$A$5:$B$76,2),0)</f>
        <v>0</v>
      </c>
      <c r="N145" s="84">
        <f ca="1">(1-('Invoer gegevens'!$F$20/12))*L145*MIN(Reeksen!B145,Reeksen!D145)</f>
        <v>0</v>
      </c>
      <c r="O145" s="84">
        <f>IF(Reeksen!D145&lt;Reeksen!B145,(Reeksen!B145-Reeksen!D145)*L145,0)</f>
        <v>0</v>
      </c>
      <c r="P145" s="84">
        <f ca="1">('Invoer gegevens'!$F$20/12)*L144*MIN(Reeksen!B144,Reeksen!D144)</f>
        <v>0</v>
      </c>
      <c r="Q145" s="84">
        <f t="shared" ca="1" si="25"/>
        <v>0</v>
      </c>
      <c r="R145" s="82">
        <f ca="1">IF('Invoer gegevens'!$C$17=E145,'Invoer gegevens'!$C$11,IF(C145=1,W144,0))</f>
        <v>0</v>
      </c>
      <c r="S145" s="86">
        <f ca="1">IF(C145&gt;=1,R145*VLOOKUP(E145,Reeksen!$A$5:$B$76,2),0)</f>
        <v>0</v>
      </c>
      <c r="T145" s="84">
        <f ca="1">(1-('Invoer gegevens'!$F$20/12))*R145*MIN(Reeksen!B145,Reeksen!D145)</f>
        <v>0</v>
      </c>
      <c r="U145" s="84">
        <f>IF(Reeksen!D145&gt;=Reeksen!B145,0,IF(Reeksen!AD145&lt;=Reeksen!AE145,(Reeksen!B145-Reeksen!D145)*R145,0))</f>
        <v>0</v>
      </c>
      <c r="V145" s="86">
        <f>IF(Reeksen!D145&gt;=Reeksen!B145,0,IF(Reeksen!AD145&gt;Reeksen!AE145,(Reeksen!B145-Reeksen!D145)*R145,0))</f>
        <v>0</v>
      </c>
      <c r="W145" s="97">
        <f t="shared" ca="1" si="26"/>
        <v>0</v>
      </c>
      <c r="X145" s="98">
        <f ca="1">IF('Invoer gegevens'!$C$17=E145,'Invoer gegevens'!$C$10-'Invoer gegevens'!$C$11,IF(C145=1,AC144,0))</f>
        <v>0</v>
      </c>
      <c r="Y145" s="98">
        <f ca="1">IF(C145&gt;=1,X145*VLOOKUP(E145,Reeksen!$A$5:$B$76,2),0)</f>
        <v>0</v>
      </c>
      <c r="Z145" s="98">
        <f ca="1">(1-('Invoer gegevens'!$F$20/12))*X145*MIN(Reeksen!B145,Reeksen!D145)</f>
        <v>0</v>
      </c>
      <c r="AA145" s="98">
        <f>IF(Reeksen!D145&gt;=Reeksen!B145,0,IF(Reeksen!AD145&lt;=Reeksen!AE145,(Reeksen!B145-Reeksen!D145)*X145,0))</f>
        <v>0</v>
      </c>
      <c r="AB145" s="98">
        <f>IF(Reeksen!D145&gt;=Reeksen!B145,0,IF(Reeksen!AD145&gt;Reeksen!AE145,(Reeksen!B145-Reeksen!D145)*X145,0))</f>
        <v>0</v>
      </c>
      <c r="AC145" s="99">
        <f t="shared" ca="1" si="27"/>
        <v>0</v>
      </c>
      <c r="AD145" s="98">
        <f ca="1">IF('Invoer gegevens'!$C$17=E145,R145,IF(C145=0,0,AE144))</f>
        <v>0</v>
      </c>
      <c r="AE145" s="98">
        <f t="shared" ca="1" si="28"/>
        <v>0</v>
      </c>
      <c r="AF145" s="98">
        <f ca="1">IF('Invoer gegevens'!$C$17=E145,X145,IF(C145=0,0,AG144))</f>
        <v>0</v>
      </c>
      <c r="AG145" s="98">
        <f t="shared" ca="1" si="29"/>
        <v>0</v>
      </c>
      <c r="AH145" s="66"/>
      <c r="AI145" s="71">
        <f ca="1">IF(C145=1,Reeksen!AI145*((F145-G145+F145)/2)*12+Reeksen!AD145*((L145-M145+L145)/2)*12,0)</f>
        <v>0</v>
      </c>
      <c r="AJ145" s="71">
        <f ca="1">-AI145*'Invoer gegevens'!$F$28</f>
        <v>0</v>
      </c>
      <c r="AK145" s="71">
        <f t="shared" ca="1" si="30"/>
        <v>0</v>
      </c>
      <c r="AL145" s="71">
        <f ca="1">IF(C145=1,Reeksen!AL145*((F145-G145+F145)/2)*12+Reeksen!AM145*((L145-M145+L145)/2)*12,0)</f>
        <v>0</v>
      </c>
      <c r="AM145" s="71">
        <f ca="1">-AL145*'Invoer gegevens'!$F$31</f>
        <v>0</v>
      </c>
      <c r="AN145" s="71">
        <f t="shared" ca="1" si="31"/>
        <v>0</v>
      </c>
      <c r="AO145" s="71">
        <f ca="1">IF(C145=1,(H145+J145+N145+P145)*Reeksen!AN145,0)</f>
        <v>0</v>
      </c>
      <c r="AP145" s="71">
        <f ca="1">-IF(C145=1,(H145+J145+N145+P145)*'Hulp - basis'!$G$550*Reeksen!H145,0)</f>
        <v>0</v>
      </c>
      <c r="AQ145" s="71">
        <f ca="1">-IF(C145=1,(F145+K145+L145+Q145)/2*'Invoer gegevens'!$F$35*Reeksen!J145,0)*2</f>
        <v>0</v>
      </c>
      <c r="AR145" s="71"/>
      <c r="AS145" s="71">
        <f ca="1">-IF(C145=1,(F145+K145+L145+Q145)/2*'Invoer gegevens'!$F$37*Reeksen!L145,0)</f>
        <v>0</v>
      </c>
      <c r="AT145" s="71">
        <f ca="1">-IF(C145=1,IF(E145='Invoer gegevens'!$C$17,'Invoer gegevens'!$C$11,AD145)*Reeksen!S145*'Invoer gegevens'!$C$18*Reeksen!P145,0)</f>
        <v>0</v>
      </c>
      <c r="AU145" s="71">
        <f ca="1">-IF(C145=1,(F145+K145+L145+Q145)/2*'Invoer gegevens'!$F$38*Reeksen!H145,0)</f>
        <v>0</v>
      </c>
      <c r="AV145" s="71">
        <f t="shared" si="23"/>
        <v>0</v>
      </c>
      <c r="AW145" s="71">
        <f t="shared" ca="1" si="32"/>
        <v>0</v>
      </c>
      <c r="AX145" s="71">
        <f ca="1">IF(E145&lt;'Invoer gegevens'!$C$17+15,0,IF(E145&gt;'Invoer gegevens'!$C$17+215,0,AW145))</f>
        <v>0</v>
      </c>
      <c r="AY145" s="71">
        <f ca="1">AX145/(1+'Invoer gegevens'!$F$18)^($AZ145-('Invoer gegevens'!$C$17-'Invoer gegevens'!$C$16))/(1+'Invoer gegevens'!$C$39)^('Invoer gegevens'!$C$17-'Invoer gegevens'!$C$16)</f>
        <v>0</v>
      </c>
      <c r="AZ145" s="68">
        <f ca="1">IF(E145-'Invoer gegevens'!$C$17-14.5&lt;0,0,E145-'Invoer gegevens'!$C$17-14.5)</f>
        <v>125.5</v>
      </c>
    </row>
    <row r="146" spans="1:52" x14ac:dyDescent="0.25">
      <c r="A146" s="59"/>
      <c r="B146" s="70">
        <f t="shared" si="33"/>
        <v>142</v>
      </c>
      <c r="C146" s="67">
        <f ca="1">IF(E146-'Invoer gegevens'!$C$17&lt;0,0,1)</f>
        <v>1</v>
      </c>
      <c r="D146" s="68">
        <f t="shared" si="34"/>
        <v>141.5</v>
      </c>
      <c r="E146" s="69">
        <f ca="1">IF('Invoer gegevens'!$C$16="","",E145+1)</f>
        <v>2160</v>
      </c>
      <c r="F146" s="84">
        <f ca="1">IF('Invoer gegevens'!$C$17=E146,'Invoer gegevens'!$C$10,IF(C146=1,K145,0))</f>
        <v>0</v>
      </c>
      <c r="G146" s="96">
        <f ca="1">IF(C146&gt;=1,F146*VLOOKUP(E146,Reeksen!$A$5:$B$76,2),0)</f>
        <v>0</v>
      </c>
      <c r="H146" s="84">
        <f ca="1">(1-('Invoer gegevens'!$F$20/12))*F146*MIN(Reeksen!B146,Reeksen!D146)</f>
        <v>0</v>
      </c>
      <c r="I146" s="84">
        <f>IF(Reeksen!D146&lt;Reeksen!B146,(Reeksen!B146-Reeksen!D146)*F146,0)</f>
        <v>0</v>
      </c>
      <c r="J146" s="84">
        <f ca="1">('Invoer gegevens'!$F$20/12)*F145*MIN(Reeksen!B145,Reeksen!D145)</f>
        <v>0</v>
      </c>
      <c r="K146" s="97">
        <f t="shared" ca="1" si="24"/>
        <v>0</v>
      </c>
      <c r="L146" s="84">
        <f ca="1">IF('Invoer gegevens'!$C$17=E146,0,IF(C146=1,Q145,0))</f>
        <v>0</v>
      </c>
      <c r="M146" s="96">
        <f ca="1">IF(C146&gt;=1,L146*VLOOKUP(E146,Reeksen!$A$5:$B$76,2),0)</f>
        <v>0</v>
      </c>
      <c r="N146" s="84">
        <f ca="1">(1-('Invoer gegevens'!$F$20/12))*L146*MIN(Reeksen!B146,Reeksen!D146)</f>
        <v>0</v>
      </c>
      <c r="O146" s="84">
        <f>IF(Reeksen!D146&lt;Reeksen!B146,(Reeksen!B146-Reeksen!D146)*L146,0)</f>
        <v>0</v>
      </c>
      <c r="P146" s="84">
        <f ca="1">('Invoer gegevens'!$F$20/12)*L145*MIN(Reeksen!B145,Reeksen!D145)</f>
        <v>0</v>
      </c>
      <c r="Q146" s="84">
        <f t="shared" ca="1" si="25"/>
        <v>0</v>
      </c>
      <c r="R146" s="82">
        <f ca="1">IF('Invoer gegevens'!$C$17=E146,'Invoer gegevens'!$C$11,IF(C146=1,W145,0))</f>
        <v>0</v>
      </c>
      <c r="S146" s="86">
        <f ca="1">IF(C146&gt;=1,R146*VLOOKUP(E146,Reeksen!$A$5:$B$76,2),0)</f>
        <v>0</v>
      </c>
      <c r="T146" s="84">
        <f ca="1">(1-('Invoer gegevens'!$F$20/12))*R146*MIN(Reeksen!B146,Reeksen!D146)</f>
        <v>0</v>
      </c>
      <c r="U146" s="84">
        <f>IF(Reeksen!D146&gt;=Reeksen!B146,0,IF(Reeksen!AD146&lt;=Reeksen!AE146,(Reeksen!B146-Reeksen!D146)*R146,0))</f>
        <v>0</v>
      </c>
      <c r="V146" s="86">
        <f>IF(Reeksen!D146&gt;=Reeksen!B146,0,IF(Reeksen!AD146&gt;Reeksen!AE146,(Reeksen!B146-Reeksen!D146)*R146,0))</f>
        <v>0</v>
      </c>
      <c r="W146" s="97">
        <f t="shared" ca="1" si="26"/>
        <v>0</v>
      </c>
      <c r="X146" s="98">
        <f ca="1">IF('Invoer gegevens'!$C$17=E146,'Invoer gegevens'!$C$10-'Invoer gegevens'!$C$11,IF(C146=1,AC145,0))</f>
        <v>0</v>
      </c>
      <c r="Y146" s="98">
        <f ca="1">IF(C146&gt;=1,X146*VLOOKUP(E146,Reeksen!$A$5:$B$76,2),0)</f>
        <v>0</v>
      </c>
      <c r="Z146" s="98">
        <f ca="1">(1-('Invoer gegevens'!$F$20/12))*X146*MIN(Reeksen!B146,Reeksen!D146)</f>
        <v>0</v>
      </c>
      <c r="AA146" s="98">
        <f>IF(Reeksen!D146&gt;=Reeksen!B146,0,IF(Reeksen!AD146&lt;=Reeksen!AE146,(Reeksen!B146-Reeksen!D146)*X146,0))</f>
        <v>0</v>
      </c>
      <c r="AB146" s="98">
        <f>IF(Reeksen!D146&gt;=Reeksen!B146,0,IF(Reeksen!AD146&gt;Reeksen!AE146,(Reeksen!B146-Reeksen!D146)*X146,0))</f>
        <v>0</v>
      </c>
      <c r="AC146" s="99">
        <f t="shared" ca="1" si="27"/>
        <v>0</v>
      </c>
      <c r="AD146" s="98">
        <f ca="1">IF('Invoer gegevens'!$C$17=E146,R146,IF(C146=0,0,AE145))</f>
        <v>0</v>
      </c>
      <c r="AE146" s="98">
        <f t="shared" ca="1" si="28"/>
        <v>0</v>
      </c>
      <c r="AF146" s="98">
        <f ca="1">IF('Invoer gegevens'!$C$17=E146,X146,IF(C146=0,0,AG145))</f>
        <v>0</v>
      </c>
      <c r="AG146" s="98">
        <f t="shared" ca="1" si="29"/>
        <v>0</v>
      </c>
      <c r="AH146" s="66"/>
      <c r="AI146" s="71">
        <f ca="1">IF(C146=1,Reeksen!AI146*((F146-G146+F146)/2)*12+Reeksen!AD146*((L146-M146+L146)/2)*12,0)</f>
        <v>0</v>
      </c>
      <c r="AJ146" s="71">
        <f ca="1">-AI146*'Invoer gegevens'!$F$28</f>
        <v>0</v>
      </c>
      <c r="AK146" s="71">
        <f t="shared" ca="1" si="30"/>
        <v>0</v>
      </c>
      <c r="AL146" s="71">
        <f ca="1">IF(C146=1,Reeksen!AL146*((F146-G146+F146)/2)*12+Reeksen!AM146*((L146-M146+L146)/2)*12,0)</f>
        <v>0</v>
      </c>
      <c r="AM146" s="71">
        <f ca="1">-AL146*'Invoer gegevens'!$F$31</f>
        <v>0</v>
      </c>
      <c r="AN146" s="71">
        <f t="shared" ca="1" si="31"/>
        <v>0</v>
      </c>
      <c r="AO146" s="71">
        <f ca="1">IF(C146=1,(H146+J146+N146+P146)*Reeksen!AN146,0)</f>
        <v>0</v>
      </c>
      <c r="AP146" s="71">
        <f ca="1">-IF(C146=1,(H146+J146+N146+P146)*'Hulp - basis'!$G$550*Reeksen!H146,0)</f>
        <v>0</v>
      </c>
      <c r="AQ146" s="71">
        <f ca="1">-IF(C146=1,(F146+K146+L146+Q146)/2*'Invoer gegevens'!$F$35*Reeksen!J146,0)*2</f>
        <v>0</v>
      </c>
      <c r="AR146" s="71"/>
      <c r="AS146" s="71">
        <f ca="1">-IF(C146=1,(F146+K146+L146+Q146)/2*'Invoer gegevens'!$F$37*Reeksen!L146,0)</f>
        <v>0</v>
      </c>
      <c r="AT146" s="71">
        <f ca="1">-IF(C146=1,IF(E146='Invoer gegevens'!$C$17,'Invoer gegevens'!$C$11,AD146)*Reeksen!S146*'Invoer gegevens'!$C$18*Reeksen!P146,0)</f>
        <v>0</v>
      </c>
      <c r="AU146" s="71">
        <f ca="1">-IF(C146=1,(F146+K146+L146+Q146)/2*'Invoer gegevens'!$F$38*Reeksen!H146,0)</f>
        <v>0</v>
      </c>
      <c r="AV146" s="71">
        <f t="shared" si="23"/>
        <v>0</v>
      </c>
      <c r="AW146" s="71">
        <f t="shared" ca="1" si="32"/>
        <v>0</v>
      </c>
      <c r="AX146" s="71">
        <f ca="1">IF(E146&lt;'Invoer gegevens'!$C$17+15,0,IF(E146&gt;'Invoer gegevens'!$C$17+215,0,AW146))</f>
        <v>0</v>
      </c>
      <c r="AY146" s="71">
        <f ca="1">AX146/(1+'Invoer gegevens'!$F$18)^($AZ146-('Invoer gegevens'!$C$17-'Invoer gegevens'!$C$16))/(1+'Invoer gegevens'!$C$39)^('Invoer gegevens'!$C$17-'Invoer gegevens'!$C$16)</f>
        <v>0</v>
      </c>
      <c r="AZ146" s="68">
        <f ca="1">IF(E146-'Invoer gegevens'!$C$17-14.5&lt;0,0,E146-'Invoer gegevens'!$C$17-14.5)</f>
        <v>126.5</v>
      </c>
    </row>
    <row r="147" spans="1:52" x14ac:dyDescent="0.25">
      <c r="A147" s="59"/>
      <c r="B147" s="70">
        <f t="shared" si="33"/>
        <v>143</v>
      </c>
      <c r="C147" s="67">
        <f ca="1">IF(E147-'Invoer gegevens'!$C$17&lt;0,0,1)</f>
        <v>1</v>
      </c>
      <c r="D147" s="68">
        <f t="shared" si="34"/>
        <v>142.5</v>
      </c>
      <c r="E147" s="69">
        <f ca="1">IF('Invoer gegevens'!$C$16="","",E146+1)</f>
        <v>2161</v>
      </c>
      <c r="F147" s="84">
        <f ca="1">IF('Invoer gegevens'!$C$17=E147,'Invoer gegevens'!$C$10,IF(C147=1,K146,0))</f>
        <v>0</v>
      </c>
      <c r="G147" s="96">
        <f ca="1">IF(C147&gt;=1,F147*VLOOKUP(E147,Reeksen!$A$5:$B$76,2),0)</f>
        <v>0</v>
      </c>
      <c r="H147" s="84">
        <f ca="1">(1-('Invoer gegevens'!$F$20/12))*F147*MIN(Reeksen!B147,Reeksen!D147)</f>
        <v>0</v>
      </c>
      <c r="I147" s="84">
        <f>IF(Reeksen!D147&lt;Reeksen!B147,(Reeksen!B147-Reeksen!D147)*F147,0)</f>
        <v>0</v>
      </c>
      <c r="J147" s="84">
        <f ca="1">('Invoer gegevens'!$F$20/12)*F146*MIN(Reeksen!B146,Reeksen!D146)</f>
        <v>0</v>
      </c>
      <c r="K147" s="97">
        <f t="shared" ca="1" si="24"/>
        <v>0</v>
      </c>
      <c r="L147" s="84">
        <f ca="1">IF('Invoer gegevens'!$C$17=E147,0,IF(C147=1,Q146,0))</f>
        <v>0</v>
      </c>
      <c r="M147" s="96">
        <f ca="1">IF(C147&gt;=1,L147*VLOOKUP(E147,Reeksen!$A$5:$B$76,2),0)</f>
        <v>0</v>
      </c>
      <c r="N147" s="84">
        <f ca="1">(1-('Invoer gegevens'!$F$20/12))*L147*MIN(Reeksen!B147,Reeksen!D147)</f>
        <v>0</v>
      </c>
      <c r="O147" s="84">
        <f>IF(Reeksen!D147&lt;Reeksen!B147,(Reeksen!B147-Reeksen!D147)*L147,0)</f>
        <v>0</v>
      </c>
      <c r="P147" s="84">
        <f ca="1">('Invoer gegevens'!$F$20/12)*L146*MIN(Reeksen!B146,Reeksen!D146)</f>
        <v>0</v>
      </c>
      <c r="Q147" s="84">
        <f t="shared" ca="1" si="25"/>
        <v>0</v>
      </c>
      <c r="R147" s="82">
        <f ca="1">IF('Invoer gegevens'!$C$17=E147,'Invoer gegevens'!$C$11,IF(C147=1,W146,0))</f>
        <v>0</v>
      </c>
      <c r="S147" s="86">
        <f ca="1">IF(C147&gt;=1,R147*VLOOKUP(E147,Reeksen!$A$5:$B$76,2),0)</f>
        <v>0</v>
      </c>
      <c r="T147" s="84">
        <f ca="1">(1-('Invoer gegevens'!$F$20/12))*R147*MIN(Reeksen!B147,Reeksen!D147)</f>
        <v>0</v>
      </c>
      <c r="U147" s="84">
        <f>IF(Reeksen!D147&gt;=Reeksen!B147,0,IF(Reeksen!AD147&lt;=Reeksen!AE147,(Reeksen!B147-Reeksen!D147)*R147,0))</f>
        <v>0</v>
      </c>
      <c r="V147" s="86">
        <f>IF(Reeksen!D147&gt;=Reeksen!B147,0,IF(Reeksen!AD147&gt;Reeksen!AE147,(Reeksen!B147-Reeksen!D147)*R147,0))</f>
        <v>0</v>
      </c>
      <c r="W147" s="97">
        <f t="shared" ca="1" si="26"/>
        <v>0</v>
      </c>
      <c r="X147" s="98">
        <f ca="1">IF('Invoer gegevens'!$C$17=E147,'Invoer gegevens'!$C$10-'Invoer gegevens'!$C$11,IF(C147=1,AC146,0))</f>
        <v>0</v>
      </c>
      <c r="Y147" s="98">
        <f ca="1">IF(C147&gt;=1,X147*VLOOKUP(E147,Reeksen!$A$5:$B$76,2),0)</f>
        <v>0</v>
      </c>
      <c r="Z147" s="98">
        <f ca="1">(1-('Invoer gegevens'!$F$20/12))*X147*MIN(Reeksen!B147,Reeksen!D147)</f>
        <v>0</v>
      </c>
      <c r="AA147" s="98">
        <f>IF(Reeksen!D147&gt;=Reeksen!B147,0,IF(Reeksen!AD147&lt;=Reeksen!AE147,(Reeksen!B147-Reeksen!D147)*X147,0))</f>
        <v>0</v>
      </c>
      <c r="AB147" s="98">
        <f>IF(Reeksen!D147&gt;=Reeksen!B147,0,IF(Reeksen!AD147&gt;Reeksen!AE147,(Reeksen!B147-Reeksen!D147)*X147,0))</f>
        <v>0</v>
      </c>
      <c r="AC147" s="99">
        <f t="shared" ca="1" si="27"/>
        <v>0</v>
      </c>
      <c r="AD147" s="98">
        <f ca="1">IF('Invoer gegevens'!$C$17=E147,R147,IF(C147=0,0,AE146))</f>
        <v>0</v>
      </c>
      <c r="AE147" s="98">
        <f t="shared" ca="1" si="28"/>
        <v>0</v>
      </c>
      <c r="AF147" s="98">
        <f ca="1">IF('Invoer gegevens'!$C$17=E147,X147,IF(C147=0,0,AG146))</f>
        <v>0</v>
      </c>
      <c r="AG147" s="98">
        <f t="shared" ca="1" si="29"/>
        <v>0</v>
      </c>
      <c r="AH147" s="66"/>
      <c r="AI147" s="71">
        <f ca="1">IF(C147=1,Reeksen!AI147*((F147-G147+F147)/2)*12+Reeksen!AD147*((L147-M147+L147)/2)*12,0)</f>
        <v>0</v>
      </c>
      <c r="AJ147" s="71">
        <f ca="1">-AI147*'Invoer gegevens'!$F$28</f>
        <v>0</v>
      </c>
      <c r="AK147" s="71">
        <f t="shared" ca="1" si="30"/>
        <v>0</v>
      </c>
      <c r="AL147" s="71">
        <f ca="1">IF(C147=1,Reeksen!AL147*((F147-G147+F147)/2)*12+Reeksen!AM147*((L147-M147+L147)/2)*12,0)</f>
        <v>0</v>
      </c>
      <c r="AM147" s="71">
        <f ca="1">-AL147*'Invoer gegevens'!$F$31</f>
        <v>0</v>
      </c>
      <c r="AN147" s="71">
        <f t="shared" ca="1" si="31"/>
        <v>0</v>
      </c>
      <c r="AO147" s="71">
        <f ca="1">IF(C147=1,(H147+J147+N147+P147)*Reeksen!AN147,0)</f>
        <v>0</v>
      </c>
      <c r="AP147" s="71">
        <f ca="1">-IF(C147=1,(H147+J147+N147+P147)*'Hulp - basis'!$G$550*Reeksen!H147,0)</f>
        <v>0</v>
      </c>
      <c r="AQ147" s="71">
        <f ca="1">-IF(C147=1,(F147+K147+L147+Q147)/2*'Invoer gegevens'!$F$35*Reeksen!J147,0)*2</f>
        <v>0</v>
      </c>
      <c r="AR147" s="71"/>
      <c r="AS147" s="71">
        <f ca="1">-IF(C147=1,(F147+K147+L147+Q147)/2*'Invoer gegevens'!$F$37*Reeksen!L147,0)</f>
        <v>0</v>
      </c>
      <c r="AT147" s="71">
        <f ca="1">-IF(C147=1,IF(E147='Invoer gegevens'!$C$17,'Invoer gegevens'!$C$11,AD147)*Reeksen!S147*'Invoer gegevens'!$C$18*Reeksen!P147,0)</f>
        <v>0</v>
      </c>
      <c r="AU147" s="71">
        <f ca="1">-IF(C147=1,(F147+K147+L147+Q147)/2*'Invoer gegevens'!$F$38*Reeksen!H147,0)</f>
        <v>0</v>
      </c>
      <c r="AV147" s="71">
        <f t="shared" si="23"/>
        <v>0</v>
      </c>
      <c r="AW147" s="71">
        <f t="shared" ca="1" si="32"/>
        <v>0</v>
      </c>
      <c r="AX147" s="71">
        <f ca="1">IF(E147&lt;'Invoer gegevens'!$C$17+15,0,IF(E147&gt;'Invoer gegevens'!$C$17+215,0,AW147))</f>
        <v>0</v>
      </c>
      <c r="AY147" s="71">
        <f ca="1">AX147/(1+'Invoer gegevens'!$F$18)^($AZ147-('Invoer gegevens'!$C$17-'Invoer gegevens'!$C$16))/(1+'Invoer gegevens'!$C$39)^('Invoer gegevens'!$C$17-'Invoer gegevens'!$C$16)</f>
        <v>0</v>
      </c>
      <c r="AZ147" s="68">
        <f ca="1">IF(E147-'Invoer gegevens'!$C$17-14.5&lt;0,0,E147-'Invoer gegevens'!$C$17-14.5)</f>
        <v>127.5</v>
      </c>
    </row>
    <row r="148" spans="1:52" x14ac:dyDescent="0.25">
      <c r="A148" s="59"/>
      <c r="B148" s="70">
        <f t="shared" si="33"/>
        <v>144</v>
      </c>
      <c r="C148" s="67">
        <f ca="1">IF(E148-'Invoer gegevens'!$C$17&lt;0,0,1)</f>
        <v>1</v>
      </c>
      <c r="D148" s="68">
        <f t="shared" si="34"/>
        <v>143.5</v>
      </c>
      <c r="E148" s="69">
        <f ca="1">IF('Invoer gegevens'!$C$16="","",E147+1)</f>
        <v>2162</v>
      </c>
      <c r="F148" s="84">
        <f ca="1">IF('Invoer gegevens'!$C$17=E148,'Invoer gegevens'!$C$10,IF(C148=1,K147,0))</f>
        <v>0</v>
      </c>
      <c r="G148" s="96">
        <f ca="1">IF(C148&gt;=1,F148*VLOOKUP(E148,Reeksen!$A$5:$B$76,2),0)</f>
        <v>0</v>
      </c>
      <c r="H148" s="84">
        <f ca="1">(1-('Invoer gegevens'!$F$20/12))*F148*MIN(Reeksen!B148,Reeksen!D148)</f>
        <v>0</v>
      </c>
      <c r="I148" s="84">
        <f>IF(Reeksen!D148&lt;Reeksen!B148,(Reeksen!B148-Reeksen!D148)*F148,0)</f>
        <v>0</v>
      </c>
      <c r="J148" s="84">
        <f ca="1">('Invoer gegevens'!$F$20/12)*F147*MIN(Reeksen!B147,Reeksen!D147)</f>
        <v>0</v>
      </c>
      <c r="K148" s="97">
        <f t="shared" ca="1" si="24"/>
        <v>0</v>
      </c>
      <c r="L148" s="84">
        <f ca="1">IF('Invoer gegevens'!$C$17=E148,0,IF(C148=1,Q147,0))</f>
        <v>0</v>
      </c>
      <c r="M148" s="96">
        <f ca="1">IF(C148&gt;=1,L148*VLOOKUP(E148,Reeksen!$A$5:$B$76,2),0)</f>
        <v>0</v>
      </c>
      <c r="N148" s="84">
        <f ca="1">(1-('Invoer gegevens'!$F$20/12))*L148*MIN(Reeksen!B148,Reeksen!D148)</f>
        <v>0</v>
      </c>
      <c r="O148" s="84">
        <f>IF(Reeksen!D148&lt;Reeksen!B148,(Reeksen!B148-Reeksen!D148)*L148,0)</f>
        <v>0</v>
      </c>
      <c r="P148" s="84">
        <f ca="1">('Invoer gegevens'!$F$20/12)*L147*MIN(Reeksen!B147,Reeksen!D147)</f>
        <v>0</v>
      </c>
      <c r="Q148" s="84">
        <f t="shared" ca="1" si="25"/>
        <v>0</v>
      </c>
      <c r="R148" s="82">
        <f ca="1">IF('Invoer gegevens'!$C$17=E148,'Invoer gegevens'!$C$11,IF(C148=1,W147,0))</f>
        <v>0</v>
      </c>
      <c r="S148" s="86">
        <f ca="1">IF(C148&gt;=1,R148*VLOOKUP(E148,Reeksen!$A$5:$B$76,2),0)</f>
        <v>0</v>
      </c>
      <c r="T148" s="84">
        <f ca="1">(1-('Invoer gegevens'!$F$20/12))*R148*MIN(Reeksen!B148,Reeksen!D148)</f>
        <v>0</v>
      </c>
      <c r="U148" s="84">
        <f>IF(Reeksen!D148&gt;=Reeksen!B148,0,IF(Reeksen!AD148&lt;=Reeksen!AE148,(Reeksen!B148-Reeksen!D148)*R148,0))</f>
        <v>0</v>
      </c>
      <c r="V148" s="86">
        <f>IF(Reeksen!D148&gt;=Reeksen!B148,0,IF(Reeksen!AD148&gt;Reeksen!AE148,(Reeksen!B148-Reeksen!D148)*R148,0))</f>
        <v>0</v>
      </c>
      <c r="W148" s="97">
        <f t="shared" ca="1" si="26"/>
        <v>0</v>
      </c>
      <c r="X148" s="98">
        <f ca="1">IF('Invoer gegevens'!$C$17=E148,'Invoer gegevens'!$C$10-'Invoer gegevens'!$C$11,IF(C148=1,AC147,0))</f>
        <v>0</v>
      </c>
      <c r="Y148" s="98">
        <f ca="1">IF(C148&gt;=1,X148*VLOOKUP(E148,Reeksen!$A$5:$B$76,2),0)</f>
        <v>0</v>
      </c>
      <c r="Z148" s="98">
        <f ca="1">(1-('Invoer gegevens'!$F$20/12))*X148*MIN(Reeksen!B148,Reeksen!D148)</f>
        <v>0</v>
      </c>
      <c r="AA148" s="98">
        <f>IF(Reeksen!D148&gt;=Reeksen!B148,0,IF(Reeksen!AD148&lt;=Reeksen!AE148,(Reeksen!B148-Reeksen!D148)*X148,0))</f>
        <v>0</v>
      </c>
      <c r="AB148" s="98">
        <f>IF(Reeksen!D148&gt;=Reeksen!B148,0,IF(Reeksen!AD148&gt;Reeksen!AE148,(Reeksen!B148-Reeksen!D148)*X148,0))</f>
        <v>0</v>
      </c>
      <c r="AC148" s="99">
        <f t="shared" ca="1" si="27"/>
        <v>0</v>
      </c>
      <c r="AD148" s="98">
        <f ca="1">IF('Invoer gegevens'!$C$17=E148,R148,IF(C148=0,0,AE147))</f>
        <v>0</v>
      </c>
      <c r="AE148" s="98">
        <f t="shared" ca="1" si="28"/>
        <v>0</v>
      </c>
      <c r="AF148" s="98">
        <f ca="1">IF('Invoer gegevens'!$C$17=E148,X148,IF(C148=0,0,AG147))</f>
        <v>0</v>
      </c>
      <c r="AG148" s="98">
        <f t="shared" ca="1" si="29"/>
        <v>0</v>
      </c>
      <c r="AH148" s="66"/>
      <c r="AI148" s="71">
        <f ca="1">IF(C148=1,Reeksen!AI148*((F148-G148+F148)/2)*12+Reeksen!AD148*((L148-M148+L148)/2)*12,0)</f>
        <v>0</v>
      </c>
      <c r="AJ148" s="71">
        <f ca="1">-AI148*'Invoer gegevens'!$F$28</f>
        <v>0</v>
      </c>
      <c r="AK148" s="71">
        <f t="shared" ca="1" si="30"/>
        <v>0</v>
      </c>
      <c r="AL148" s="71">
        <f ca="1">IF(C148=1,Reeksen!AL148*((F148-G148+F148)/2)*12+Reeksen!AM148*((L148-M148+L148)/2)*12,0)</f>
        <v>0</v>
      </c>
      <c r="AM148" s="71">
        <f ca="1">-AL148*'Invoer gegevens'!$F$31</f>
        <v>0</v>
      </c>
      <c r="AN148" s="71">
        <f t="shared" ca="1" si="31"/>
        <v>0</v>
      </c>
      <c r="AO148" s="71">
        <f ca="1">IF(C148=1,(H148+J148+N148+P148)*Reeksen!AN148,0)</f>
        <v>0</v>
      </c>
      <c r="AP148" s="71">
        <f ca="1">-IF(C148=1,(H148+J148+N148+P148)*'Hulp - basis'!$G$550*Reeksen!H148,0)</f>
        <v>0</v>
      </c>
      <c r="AQ148" s="71">
        <f ca="1">-IF(C148=1,(F148+K148+L148+Q148)/2*'Invoer gegevens'!$F$35*Reeksen!J148,0)*2</f>
        <v>0</v>
      </c>
      <c r="AR148" s="71"/>
      <c r="AS148" s="71">
        <f ca="1">-IF(C148=1,(F148+K148+L148+Q148)/2*'Invoer gegevens'!$F$37*Reeksen!L148,0)</f>
        <v>0</v>
      </c>
      <c r="AT148" s="71">
        <f ca="1">-IF(C148=1,IF(E148='Invoer gegevens'!$C$17,'Invoer gegevens'!$C$11,AD148)*Reeksen!S148*'Invoer gegevens'!$C$18*Reeksen!P148,0)</f>
        <v>0</v>
      </c>
      <c r="AU148" s="71">
        <f ca="1">-IF(C148=1,(F148+K148+L148+Q148)/2*'Invoer gegevens'!$F$38*Reeksen!H148,0)</f>
        <v>0</v>
      </c>
      <c r="AV148" s="71">
        <f t="shared" si="23"/>
        <v>0</v>
      </c>
      <c r="AW148" s="71">
        <f t="shared" ca="1" si="32"/>
        <v>0</v>
      </c>
      <c r="AX148" s="71">
        <f ca="1">IF(E148&lt;'Invoer gegevens'!$C$17+15,0,IF(E148&gt;'Invoer gegevens'!$C$17+215,0,AW148))</f>
        <v>0</v>
      </c>
      <c r="AY148" s="71">
        <f ca="1">AX148/(1+'Invoer gegevens'!$F$18)^($AZ148-('Invoer gegevens'!$C$17-'Invoer gegevens'!$C$16))/(1+'Invoer gegevens'!$C$39)^('Invoer gegevens'!$C$17-'Invoer gegevens'!$C$16)</f>
        <v>0</v>
      </c>
      <c r="AZ148" s="68">
        <f ca="1">IF(E148-'Invoer gegevens'!$C$17-14.5&lt;0,0,E148-'Invoer gegevens'!$C$17-14.5)</f>
        <v>128.5</v>
      </c>
    </row>
    <row r="149" spans="1:52" x14ac:dyDescent="0.25">
      <c r="A149" s="59"/>
      <c r="B149" s="70">
        <f t="shared" si="33"/>
        <v>145</v>
      </c>
      <c r="C149" s="67">
        <f ca="1">IF(E149-'Invoer gegevens'!$C$17&lt;0,0,1)</f>
        <v>1</v>
      </c>
      <c r="D149" s="68">
        <f t="shared" si="34"/>
        <v>144.5</v>
      </c>
      <c r="E149" s="69">
        <f ca="1">IF('Invoer gegevens'!$C$16="","",E148+1)</f>
        <v>2163</v>
      </c>
      <c r="F149" s="84">
        <f ca="1">IF('Invoer gegevens'!$C$17=E149,'Invoer gegevens'!$C$10,IF(C149=1,K148,0))</f>
        <v>0</v>
      </c>
      <c r="G149" s="96">
        <f ca="1">IF(C149&gt;=1,F149*VLOOKUP(E149,Reeksen!$A$5:$B$76,2),0)</f>
        <v>0</v>
      </c>
      <c r="H149" s="84">
        <f ca="1">(1-('Invoer gegevens'!$F$20/12))*F149*MIN(Reeksen!B149,Reeksen!D149)</f>
        <v>0</v>
      </c>
      <c r="I149" s="84">
        <f>IF(Reeksen!D149&lt;Reeksen!B149,(Reeksen!B149-Reeksen!D149)*F149,0)</f>
        <v>0</v>
      </c>
      <c r="J149" s="84">
        <f ca="1">('Invoer gegevens'!$F$20/12)*F148*MIN(Reeksen!B148,Reeksen!D148)</f>
        <v>0</v>
      </c>
      <c r="K149" s="97">
        <f t="shared" ca="1" si="24"/>
        <v>0</v>
      </c>
      <c r="L149" s="84">
        <f ca="1">IF('Invoer gegevens'!$C$17=E149,0,IF(C149=1,Q148,0))</f>
        <v>0</v>
      </c>
      <c r="M149" s="96">
        <f ca="1">IF(C149&gt;=1,L149*VLOOKUP(E149,Reeksen!$A$5:$B$76,2),0)</f>
        <v>0</v>
      </c>
      <c r="N149" s="84">
        <f ca="1">(1-('Invoer gegevens'!$F$20/12))*L149*MIN(Reeksen!B149,Reeksen!D149)</f>
        <v>0</v>
      </c>
      <c r="O149" s="84">
        <f>IF(Reeksen!D149&lt;Reeksen!B149,(Reeksen!B149-Reeksen!D149)*L149,0)</f>
        <v>0</v>
      </c>
      <c r="P149" s="84">
        <f ca="1">('Invoer gegevens'!$F$20/12)*L148*MIN(Reeksen!B148,Reeksen!D148)</f>
        <v>0</v>
      </c>
      <c r="Q149" s="84">
        <f t="shared" ca="1" si="25"/>
        <v>0</v>
      </c>
      <c r="R149" s="82">
        <f ca="1">IF('Invoer gegevens'!$C$17=E149,'Invoer gegevens'!$C$11,IF(C149=1,W148,0))</f>
        <v>0</v>
      </c>
      <c r="S149" s="86">
        <f ca="1">IF(C149&gt;=1,R149*VLOOKUP(E149,Reeksen!$A$5:$B$76,2),0)</f>
        <v>0</v>
      </c>
      <c r="T149" s="84">
        <f ca="1">(1-('Invoer gegevens'!$F$20/12))*R149*MIN(Reeksen!B149,Reeksen!D149)</f>
        <v>0</v>
      </c>
      <c r="U149" s="84">
        <f>IF(Reeksen!D149&gt;=Reeksen!B149,0,IF(Reeksen!AD149&lt;=Reeksen!AE149,(Reeksen!B149-Reeksen!D149)*R149,0))</f>
        <v>0</v>
      </c>
      <c r="V149" s="86">
        <f>IF(Reeksen!D149&gt;=Reeksen!B149,0,IF(Reeksen!AD149&gt;Reeksen!AE149,(Reeksen!B149-Reeksen!D149)*R149,0))</f>
        <v>0</v>
      </c>
      <c r="W149" s="97">
        <f t="shared" ca="1" si="26"/>
        <v>0</v>
      </c>
      <c r="X149" s="98">
        <f ca="1">IF('Invoer gegevens'!$C$17=E149,'Invoer gegevens'!$C$10-'Invoer gegevens'!$C$11,IF(C149=1,AC148,0))</f>
        <v>0</v>
      </c>
      <c r="Y149" s="98">
        <f ca="1">IF(C149&gt;=1,X149*VLOOKUP(E149,Reeksen!$A$5:$B$76,2),0)</f>
        <v>0</v>
      </c>
      <c r="Z149" s="98">
        <f ca="1">(1-('Invoer gegevens'!$F$20/12))*X149*MIN(Reeksen!B149,Reeksen!D149)</f>
        <v>0</v>
      </c>
      <c r="AA149" s="98">
        <f>IF(Reeksen!D149&gt;=Reeksen!B149,0,IF(Reeksen!AD149&lt;=Reeksen!AE149,(Reeksen!B149-Reeksen!D149)*X149,0))</f>
        <v>0</v>
      </c>
      <c r="AB149" s="98">
        <f>IF(Reeksen!D149&gt;=Reeksen!B149,0,IF(Reeksen!AD149&gt;Reeksen!AE149,(Reeksen!B149-Reeksen!D149)*X149,0))</f>
        <v>0</v>
      </c>
      <c r="AC149" s="99">
        <f t="shared" ca="1" si="27"/>
        <v>0</v>
      </c>
      <c r="AD149" s="98">
        <f ca="1">IF('Invoer gegevens'!$C$17=E149,R149,IF(C149=0,0,AE148))</f>
        <v>0</v>
      </c>
      <c r="AE149" s="98">
        <f t="shared" ca="1" si="28"/>
        <v>0</v>
      </c>
      <c r="AF149" s="98">
        <f ca="1">IF('Invoer gegevens'!$C$17=E149,X149,IF(C149=0,0,AG148))</f>
        <v>0</v>
      </c>
      <c r="AG149" s="98">
        <f t="shared" ca="1" si="29"/>
        <v>0</v>
      </c>
      <c r="AH149" s="66"/>
      <c r="AI149" s="71">
        <f ca="1">IF(C149=1,Reeksen!AI149*((F149-G149+F149)/2)*12+Reeksen!AD149*((L149-M149+L149)/2)*12,0)</f>
        <v>0</v>
      </c>
      <c r="AJ149" s="71">
        <f ca="1">-AI149*'Invoer gegevens'!$F$28</f>
        <v>0</v>
      </c>
      <c r="AK149" s="71">
        <f t="shared" ca="1" si="30"/>
        <v>0</v>
      </c>
      <c r="AL149" s="71">
        <f ca="1">IF(C149=1,Reeksen!AL149*((F149-G149+F149)/2)*12+Reeksen!AM149*((L149-M149+L149)/2)*12,0)</f>
        <v>0</v>
      </c>
      <c r="AM149" s="71">
        <f ca="1">-AL149*'Invoer gegevens'!$F$31</f>
        <v>0</v>
      </c>
      <c r="AN149" s="71">
        <f t="shared" ca="1" si="31"/>
        <v>0</v>
      </c>
      <c r="AO149" s="71">
        <f ca="1">IF(C149=1,(H149+J149+N149+P149)*Reeksen!AN149,0)</f>
        <v>0</v>
      </c>
      <c r="AP149" s="71">
        <f ca="1">-IF(C149=1,(H149+J149+N149+P149)*'Hulp - basis'!$G$550*Reeksen!H149,0)</f>
        <v>0</v>
      </c>
      <c r="AQ149" s="71">
        <f ca="1">-IF(C149=1,(F149+K149+L149+Q149)/2*'Invoer gegevens'!$F$35*Reeksen!J149,0)*2</f>
        <v>0</v>
      </c>
      <c r="AR149" s="71"/>
      <c r="AS149" s="71">
        <f ca="1">-IF(C149=1,(F149+K149+L149+Q149)/2*'Invoer gegevens'!$F$37*Reeksen!L149,0)</f>
        <v>0</v>
      </c>
      <c r="AT149" s="71">
        <f ca="1">-IF(C149=1,IF(E149='Invoer gegevens'!$C$17,'Invoer gegevens'!$C$11,AD149)*Reeksen!S149*'Invoer gegevens'!$C$18*Reeksen!P149,0)</f>
        <v>0</v>
      </c>
      <c r="AU149" s="71">
        <f ca="1">-IF(C149=1,(F149+K149+L149+Q149)/2*'Invoer gegevens'!$F$38*Reeksen!H149,0)</f>
        <v>0</v>
      </c>
      <c r="AV149" s="71">
        <f t="shared" ref="AV149:AV212" si="35">AV148</f>
        <v>0</v>
      </c>
      <c r="AW149" s="71">
        <f t="shared" ca="1" si="32"/>
        <v>0</v>
      </c>
      <c r="AX149" s="71">
        <f ca="1">IF(E149&lt;'Invoer gegevens'!$C$17+15,0,IF(E149&gt;'Invoer gegevens'!$C$17+215,0,AW149))</f>
        <v>0</v>
      </c>
      <c r="AY149" s="71">
        <f ca="1">AX149/(1+'Invoer gegevens'!$F$18)^($AZ149-('Invoer gegevens'!$C$17-'Invoer gegevens'!$C$16))/(1+'Invoer gegevens'!$C$39)^('Invoer gegevens'!$C$17-'Invoer gegevens'!$C$16)</f>
        <v>0</v>
      </c>
      <c r="AZ149" s="68">
        <f ca="1">IF(E149-'Invoer gegevens'!$C$17-14.5&lt;0,0,E149-'Invoer gegevens'!$C$17-14.5)</f>
        <v>129.5</v>
      </c>
    </row>
    <row r="150" spans="1:52" x14ac:dyDescent="0.25">
      <c r="A150" s="59"/>
      <c r="B150" s="70">
        <f t="shared" si="33"/>
        <v>146</v>
      </c>
      <c r="C150" s="67">
        <f ca="1">IF(E150-'Invoer gegevens'!$C$17&lt;0,0,1)</f>
        <v>1</v>
      </c>
      <c r="D150" s="68">
        <f t="shared" si="34"/>
        <v>145.5</v>
      </c>
      <c r="E150" s="69">
        <f ca="1">IF('Invoer gegevens'!$C$16="","",E149+1)</f>
        <v>2164</v>
      </c>
      <c r="F150" s="84">
        <f ca="1">IF('Invoer gegevens'!$C$17=E150,'Invoer gegevens'!$C$10,IF(C150=1,K149,0))</f>
        <v>0</v>
      </c>
      <c r="G150" s="96">
        <f ca="1">IF(C150&gt;=1,F150*VLOOKUP(E150,Reeksen!$A$5:$B$76,2),0)</f>
        <v>0</v>
      </c>
      <c r="H150" s="84">
        <f ca="1">(1-('Invoer gegevens'!$F$20/12))*F150*MIN(Reeksen!B150,Reeksen!D150)</f>
        <v>0</v>
      </c>
      <c r="I150" s="84">
        <f>IF(Reeksen!D150&lt;Reeksen!B150,(Reeksen!B150-Reeksen!D150)*F150,0)</f>
        <v>0</v>
      </c>
      <c r="J150" s="84">
        <f ca="1">('Invoer gegevens'!$F$20/12)*F149*MIN(Reeksen!B149,Reeksen!D149)</f>
        <v>0</v>
      </c>
      <c r="K150" s="97">
        <f t="shared" ca="1" si="24"/>
        <v>0</v>
      </c>
      <c r="L150" s="84">
        <f ca="1">IF('Invoer gegevens'!$C$17=E150,0,IF(C150=1,Q149,0))</f>
        <v>0</v>
      </c>
      <c r="M150" s="96">
        <f ca="1">IF(C150&gt;=1,L150*VLOOKUP(E150,Reeksen!$A$5:$B$76,2),0)</f>
        <v>0</v>
      </c>
      <c r="N150" s="84">
        <f ca="1">(1-('Invoer gegevens'!$F$20/12))*L150*MIN(Reeksen!B150,Reeksen!D150)</f>
        <v>0</v>
      </c>
      <c r="O150" s="84">
        <f>IF(Reeksen!D150&lt;Reeksen!B150,(Reeksen!B150-Reeksen!D150)*L150,0)</f>
        <v>0</v>
      </c>
      <c r="P150" s="84">
        <f ca="1">('Invoer gegevens'!$F$20/12)*L149*MIN(Reeksen!B149,Reeksen!D149)</f>
        <v>0</v>
      </c>
      <c r="Q150" s="84">
        <f t="shared" ca="1" si="25"/>
        <v>0</v>
      </c>
      <c r="R150" s="82">
        <f ca="1">IF('Invoer gegevens'!$C$17=E150,'Invoer gegevens'!$C$11,IF(C150=1,W149,0))</f>
        <v>0</v>
      </c>
      <c r="S150" s="86">
        <f ca="1">IF(C150&gt;=1,R150*VLOOKUP(E150,Reeksen!$A$5:$B$76,2),0)</f>
        <v>0</v>
      </c>
      <c r="T150" s="84">
        <f ca="1">(1-('Invoer gegevens'!$F$20/12))*R150*MIN(Reeksen!B150,Reeksen!D150)</f>
        <v>0</v>
      </c>
      <c r="U150" s="84">
        <f>IF(Reeksen!D150&gt;=Reeksen!B150,0,IF(Reeksen!AD150&lt;=Reeksen!AE150,(Reeksen!B150-Reeksen!D150)*R150,0))</f>
        <v>0</v>
      </c>
      <c r="V150" s="86">
        <f>IF(Reeksen!D150&gt;=Reeksen!B150,0,IF(Reeksen!AD150&gt;Reeksen!AE150,(Reeksen!B150-Reeksen!D150)*R150,0))</f>
        <v>0</v>
      </c>
      <c r="W150" s="97">
        <f t="shared" ca="1" si="26"/>
        <v>0</v>
      </c>
      <c r="X150" s="98">
        <f ca="1">IF('Invoer gegevens'!$C$17=E150,'Invoer gegevens'!$C$10-'Invoer gegevens'!$C$11,IF(C150=1,AC149,0))</f>
        <v>0</v>
      </c>
      <c r="Y150" s="98">
        <f ca="1">IF(C150&gt;=1,X150*VLOOKUP(E150,Reeksen!$A$5:$B$76,2),0)</f>
        <v>0</v>
      </c>
      <c r="Z150" s="98">
        <f ca="1">(1-('Invoer gegevens'!$F$20/12))*X150*MIN(Reeksen!B150,Reeksen!D150)</f>
        <v>0</v>
      </c>
      <c r="AA150" s="98">
        <f>IF(Reeksen!D150&gt;=Reeksen!B150,0,IF(Reeksen!AD150&lt;=Reeksen!AE150,(Reeksen!B150-Reeksen!D150)*X150,0))</f>
        <v>0</v>
      </c>
      <c r="AB150" s="98">
        <f>IF(Reeksen!D150&gt;=Reeksen!B150,0,IF(Reeksen!AD150&gt;Reeksen!AE150,(Reeksen!B150-Reeksen!D150)*X150,0))</f>
        <v>0</v>
      </c>
      <c r="AC150" s="99">
        <f t="shared" ca="1" si="27"/>
        <v>0</v>
      </c>
      <c r="AD150" s="98">
        <f ca="1">IF('Invoer gegevens'!$C$17=E150,R150,IF(C150=0,0,AE149))</f>
        <v>0</v>
      </c>
      <c r="AE150" s="98">
        <f t="shared" ca="1" si="28"/>
        <v>0</v>
      </c>
      <c r="AF150" s="98">
        <f ca="1">IF('Invoer gegevens'!$C$17=E150,X150,IF(C150=0,0,AG149))</f>
        <v>0</v>
      </c>
      <c r="AG150" s="98">
        <f t="shared" ca="1" si="29"/>
        <v>0</v>
      </c>
      <c r="AH150" s="66"/>
      <c r="AI150" s="71">
        <f ca="1">IF(C150=1,Reeksen!AI150*((F150-G150+F150)/2)*12+Reeksen!AD150*((L150-M150+L150)/2)*12,0)</f>
        <v>0</v>
      </c>
      <c r="AJ150" s="71">
        <f ca="1">-AI150*'Invoer gegevens'!$F$28</f>
        <v>0</v>
      </c>
      <c r="AK150" s="71">
        <f t="shared" ca="1" si="30"/>
        <v>0</v>
      </c>
      <c r="AL150" s="71">
        <f ca="1">IF(C150=1,Reeksen!AL150*((F150-G150+F150)/2)*12+Reeksen!AM150*((L150-M150+L150)/2)*12,0)</f>
        <v>0</v>
      </c>
      <c r="AM150" s="71">
        <f ca="1">-AL150*'Invoer gegevens'!$F$31</f>
        <v>0</v>
      </c>
      <c r="AN150" s="71">
        <f t="shared" ca="1" si="31"/>
        <v>0</v>
      </c>
      <c r="AO150" s="71">
        <f ca="1">IF(C150=1,(H150+J150+N150+P150)*Reeksen!AN150,0)</f>
        <v>0</v>
      </c>
      <c r="AP150" s="71">
        <f ca="1">-IF(C150=1,(H150+J150+N150+P150)*'Hulp - basis'!$G$550*Reeksen!H150,0)</f>
        <v>0</v>
      </c>
      <c r="AQ150" s="71">
        <f ca="1">-IF(C150=1,(F150+K150+L150+Q150)/2*'Invoer gegevens'!$F$35*Reeksen!J150,0)*2</f>
        <v>0</v>
      </c>
      <c r="AR150" s="71"/>
      <c r="AS150" s="71">
        <f ca="1">-IF(C150=1,(F150+K150+L150+Q150)/2*'Invoer gegevens'!$F$37*Reeksen!L150,0)</f>
        <v>0</v>
      </c>
      <c r="AT150" s="71">
        <f ca="1">-IF(C150=1,IF(E150='Invoer gegevens'!$C$17,'Invoer gegevens'!$C$11,AD150)*Reeksen!S150*'Invoer gegevens'!$C$18*Reeksen!P150,0)</f>
        <v>0</v>
      </c>
      <c r="AU150" s="71">
        <f ca="1">-IF(C150=1,(F150+K150+L150+Q150)/2*'Invoer gegevens'!$F$38*Reeksen!H150,0)</f>
        <v>0</v>
      </c>
      <c r="AV150" s="71">
        <f t="shared" si="35"/>
        <v>0</v>
      </c>
      <c r="AW150" s="71">
        <f t="shared" ca="1" si="32"/>
        <v>0</v>
      </c>
      <c r="AX150" s="71">
        <f ca="1">IF(E150&lt;'Invoer gegevens'!$C$17+15,0,IF(E150&gt;'Invoer gegevens'!$C$17+215,0,AW150))</f>
        <v>0</v>
      </c>
      <c r="AY150" s="71">
        <f ca="1">AX150/(1+'Invoer gegevens'!$F$18)^($AZ150-('Invoer gegevens'!$C$17-'Invoer gegevens'!$C$16))/(1+'Invoer gegevens'!$C$39)^('Invoer gegevens'!$C$17-'Invoer gegevens'!$C$16)</f>
        <v>0</v>
      </c>
      <c r="AZ150" s="68">
        <f ca="1">IF(E150-'Invoer gegevens'!$C$17-14.5&lt;0,0,E150-'Invoer gegevens'!$C$17-14.5)</f>
        <v>130.5</v>
      </c>
    </row>
    <row r="151" spans="1:52" x14ac:dyDescent="0.25">
      <c r="A151" s="59"/>
      <c r="B151" s="70">
        <f t="shared" si="33"/>
        <v>147</v>
      </c>
      <c r="C151" s="67">
        <f ca="1">IF(E151-'Invoer gegevens'!$C$17&lt;0,0,1)</f>
        <v>1</v>
      </c>
      <c r="D151" s="68">
        <f t="shared" si="34"/>
        <v>146.5</v>
      </c>
      <c r="E151" s="69">
        <f ca="1">IF('Invoer gegevens'!$C$16="","",E150+1)</f>
        <v>2165</v>
      </c>
      <c r="F151" s="84">
        <f ca="1">IF('Invoer gegevens'!$C$17=E151,'Invoer gegevens'!$C$10,IF(C151=1,K150,0))</f>
        <v>0</v>
      </c>
      <c r="G151" s="96">
        <f ca="1">IF(C151&gt;=1,F151*VLOOKUP(E151,Reeksen!$A$5:$B$76,2),0)</f>
        <v>0</v>
      </c>
      <c r="H151" s="84">
        <f ca="1">(1-('Invoer gegevens'!$F$20/12))*F151*MIN(Reeksen!B151,Reeksen!D151)</f>
        <v>0</v>
      </c>
      <c r="I151" s="84">
        <f>IF(Reeksen!D151&lt;Reeksen!B151,(Reeksen!B151-Reeksen!D151)*F151,0)</f>
        <v>0</v>
      </c>
      <c r="J151" s="84">
        <f ca="1">('Invoer gegevens'!$F$20/12)*F150*MIN(Reeksen!B150,Reeksen!D150)</f>
        <v>0</v>
      </c>
      <c r="K151" s="97">
        <f t="shared" ca="1" si="24"/>
        <v>0</v>
      </c>
      <c r="L151" s="84">
        <f ca="1">IF('Invoer gegevens'!$C$17=E151,0,IF(C151=1,Q150,0))</f>
        <v>0</v>
      </c>
      <c r="M151" s="96">
        <f ca="1">IF(C151&gt;=1,L151*VLOOKUP(E151,Reeksen!$A$5:$B$76,2),0)</f>
        <v>0</v>
      </c>
      <c r="N151" s="84">
        <f ca="1">(1-('Invoer gegevens'!$F$20/12))*L151*MIN(Reeksen!B151,Reeksen!D151)</f>
        <v>0</v>
      </c>
      <c r="O151" s="84">
        <f>IF(Reeksen!D151&lt;Reeksen!B151,(Reeksen!B151-Reeksen!D151)*L151,0)</f>
        <v>0</v>
      </c>
      <c r="P151" s="84">
        <f ca="1">('Invoer gegevens'!$F$20/12)*L150*MIN(Reeksen!B150,Reeksen!D150)</f>
        <v>0</v>
      </c>
      <c r="Q151" s="84">
        <f t="shared" ca="1" si="25"/>
        <v>0</v>
      </c>
      <c r="R151" s="82">
        <f ca="1">IF('Invoer gegevens'!$C$17=E151,'Invoer gegevens'!$C$11,IF(C151=1,W150,0))</f>
        <v>0</v>
      </c>
      <c r="S151" s="86">
        <f ca="1">IF(C151&gt;=1,R151*VLOOKUP(E151,Reeksen!$A$5:$B$76,2),0)</f>
        <v>0</v>
      </c>
      <c r="T151" s="84">
        <f ca="1">(1-('Invoer gegevens'!$F$20/12))*R151*MIN(Reeksen!B151,Reeksen!D151)</f>
        <v>0</v>
      </c>
      <c r="U151" s="84">
        <f>IF(Reeksen!D151&gt;=Reeksen!B151,0,IF(Reeksen!AD151&lt;=Reeksen!AE151,(Reeksen!B151-Reeksen!D151)*R151,0))</f>
        <v>0</v>
      </c>
      <c r="V151" s="86">
        <f>IF(Reeksen!D151&gt;=Reeksen!B151,0,IF(Reeksen!AD151&gt;Reeksen!AE151,(Reeksen!B151-Reeksen!D151)*R151,0))</f>
        <v>0</v>
      </c>
      <c r="W151" s="97">
        <f t="shared" ca="1" si="26"/>
        <v>0</v>
      </c>
      <c r="X151" s="98">
        <f ca="1">IF('Invoer gegevens'!$C$17=E151,'Invoer gegevens'!$C$10-'Invoer gegevens'!$C$11,IF(C151=1,AC150,0))</f>
        <v>0</v>
      </c>
      <c r="Y151" s="98">
        <f ca="1">IF(C151&gt;=1,X151*VLOOKUP(E151,Reeksen!$A$5:$B$76,2),0)</f>
        <v>0</v>
      </c>
      <c r="Z151" s="98">
        <f ca="1">(1-('Invoer gegevens'!$F$20/12))*X151*MIN(Reeksen!B151,Reeksen!D151)</f>
        <v>0</v>
      </c>
      <c r="AA151" s="98">
        <f>IF(Reeksen!D151&gt;=Reeksen!B151,0,IF(Reeksen!AD151&lt;=Reeksen!AE151,(Reeksen!B151-Reeksen!D151)*X151,0))</f>
        <v>0</v>
      </c>
      <c r="AB151" s="98">
        <f>IF(Reeksen!D151&gt;=Reeksen!B151,0,IF(Reeksen!AD151&gt;Reeksen!AE151,(Reeksen!B151-Reeksen!D151)*X151,0))</f>
        <v>0</v>
      </c>
      <c r="AC151" s="99">
        <f t="shared" ca="1" si="27"/>
        <v>0</v>
      </c>
      <c r="AD151" s="98">
        <f ca="1">IF('Invoer gegevens'!$C$17=E151,R151,IF(C151=0,0,AE150))</f>
        <v>0</v>
      </c>
      <c r="AE151" s="98">
        <f t="shared" ca="1" si="28"/>
        <v>0</v>
      </c>
      <c r="AF151" s="98">
        <f ca="1">IF('Invoer gegevens'!$C$17=E151,X151,IF(C151=0,0,AG150))</f>
        <v>0</v>
      </c>
      <c r="AG151" s="98">
        <f t="shared" ca="1" si="29"/>
        <v>0</v>
      </c>
      <c r="AH151" s="66"/>
      <c r="AI151" s="71">
        <f ca="1">IF(C151=1,Reeksen!AI151*((F151-G151+F151)/2)*12+Reeksen!AD151*((L151-M151+L151)/2)*12,0)</f>
        <v>0</v>
      </c>
      <c r="AJ151" s="71">
        <f ca="1">-AI151*'Invoer gegevens'!$F$28</f>
        <v>0</v>
      </c>
      <c r="AK151" s="71">
        <f t="shared" ca="1" si="30"/>
        <v>0</v>
      </c>
      <c r="AL151" s="71">
        <f ca="1">IF(C151=1,Reeksen!AL151*((F151-G151+F151)/2)*12+Reeksen!AM151*((L151-M151+L151)/2)*12,0)</f>
        <v>0</v>
      </c>
      <c r="AM151" s="71">
        <f ca="1">-AL151*'Invoer gegevens'!$F$31</f>
        <v>0</v>
      </c>
      <c r="AN151" s="71">
        <f t="shared" ca="1" si="31"/>
        <v>0</v>
      </c>
      <c r="AO151" s="71">
        <f ca="1">IF(C151=1,(H151+J151+N151+P151)*Reeksen!AN151,0)</f>
        <v>0</v>
      </c>
      <c r="AP151" s="71">
        <f ca="1">-IF(C151=1,(H151+J151+N151+P151)*'Hulp - basis'!$G$550*Reeksen!H151,0)</f>
        <v>0</v>
      </c>
      <c r="AQ151" s="71">
        <f ca="1">-IF(C151=1,(F151+K151+L151+Q151)/2*'Invoer gegevens'!$F$35*Reeksen!J151,0)*2</f>
        <v>0</v>
      </c>
      <c r="AR151" s="71"/>
      <c r="AS151" s="71">
        <f ca="1">-IF(C151=1,(F151+K151+L151+Q151)/2*'Invoer gegevens'!$F$37*Reeksen!L151,0)</f>
        <v>0</v>
      </c>
      <c r="AT151" s="71">
        <f ca="1">-IF(C151=1,IF(E151='Invoer gegevens'!$C$17,'Invoer gegevens'!$C$11,AD151)*Reeksen!S151*'Invoer gegevens'!$C$18*Reeksen!P151,0)</f>
        <v>0</v>
      </c>
      <c r="AU151" s="71">
        <f ca="1">-IF(C151=1,(F151+K151+L151+Q151)/2*'Invoer gegevens'!$F$38*Reeksen!H151,0)</f>
        <v>0</v>
      </c>
      <c r="AV151" s="71">
        <f t="shared" si="35"/>
        <v>0</v>
      </c>
      <c r="AW151" s="71">
        <f t="shared" ca="1" si="32"/>
        <v>0</v>
      </c>
      <c r="AX151" s="71">
        <f ca="1">IF(E151&lt;'Invoer gegevens'!$C$17+15,0,IF(E151&gt;'Invoer gegevens'!$C$17+215,0,AW151))</f>
        <v>0</v>
      </c>
      <c r="AY151" s="71">
        <f ca="1">AX151/(1+'Invoer gegevens'!$F$18)^($AZ151-('Invoer gegevens'!$C$17-'Invoer gegevens'!$C$16))/(1+'Invoer gegevens'!$C$39)^('Invoer gegevens'!$C$17-'Invoer gegevens'!$C$16)</f>
        <v>0</v>
      </c>
      <c r="AZ151" s="68">
        <f ca="1">IF(E151-'Invoer gegevens'!$C$17-14.5&lt;0,0,E151-'Invoer gegevens'!$C$17-14.5)</f>
        <v>131.5</v>
      </c>
    </row>
    <row r="152" spans="1:52" x14ac:dyDescent="0.25">
      <c r="A152" s="59"/>
      <c r="B152" s="70">
        <f t="shared" si="33"/>
        <v>148</v>
      </c>
      <c r="C152" s="67">
        <f ca="1">IF(E152-'Invoer gegevens'!$C$17&lt;0,0,1)</f>
        <v>1</v>
      </c>
      <c r="D152" s="68">
        <f t="shared" si="34"/>
        <v>147.5</v>
      </c>
      <c r="E152" s="69">
        <f ca="1">IF('Invoer gegevens'!$C$16="","",E151+1)</f>
        <v>2166</v>
      </c>
      <c r="F152" s="84">
        <f ca="1">IF('Invoer gegevens'!$C$17=E152,'Invoer gegevens'!$C$10,IF(C152=1,K151,0))</f>
        <v>0</v>
      </c>
      <c r="G152" s="96">
        <f ca="1">IF(C152&gt;=1,F152*VLOOKUP(E152,Reeksen!$A$5:$B$76,2),0)</f>
        <v>0</v>
      </c>
      <c r="H152" s="84">
        <f ca="1">(1-('Invoer gegevens'!$F$20/12))*F152*MIN(Reeksen!B152,Reeksen!D152)</f>
        <v>0</v>
      </c>
      <c r="I152" s="84">
        <f>IF(Reeksen!D152&lt;Reeksen!B152,(Reeksen!B152-Reeksen!D152)*F152,0)</f>
        <v>0</v>
      </c>
      <c r="J152" s="84">
        <f ca="1">('Invoer gegevens'!$F$20/12)*F151*MIN(Reeksen!B151,Reeksen!D151)</f>
        <v>0</v>
      </c>
      <c r="K152" s="97">
        <f t="shared" ca="1" si="24"/>
        <v>0</v>
      </c>
      <c r="L152" s="84">
        <f ca="1">IF('Invoer gegevens'!$C$17=E152,0,IF(C152=1,Q151,0))</f>
        <v>0</v>
      </c>
      <c r="M152" s="96">
        <f ca="1">IF(C152&gt;=1,L152*VLOOKUP(E152,Reeksen!$A$5:$B$76,2),0)</f>
        <v>0</v>
      </c>
      <c r="N152" s="84">
        <f ca="1">(1-('Invoer gegevens'!$F$20/12))*L152*MIN(Reeksen!B152,Reeksen!D152)</f>
        <v>0</v>
      </c>
      <c r="O152" s="84">
        <f>IF(Reeksen!D152&lt;Reeksen!B152,(Reeksen!B152-Reeksen!D152)*L152,0)</f>
        <v>0</v>
      </c>
      <c r="P152" s="84">
        <f ca="1">('Invoer gegevens'!$F$20/12)*L151*MIN(Reeksen!B151,Reeksen!D151)</f>
        <v>0</v>
      </c>
      <c r="Q152" s="84">
        <f t="shared" ca="1" si="25"/>
        <v>0</v>
      </c>
      <c r="R152" s="82">
        <f ca="1">IF('Invoer gegevens'!$C$17=E152,'Invoer gegevens'!$C$11,IF(C152=1,W151,0))</f>
        <v>0</v>
      </c>
      <c r="S152" s="86">
        <f ca="1">IF(C152&gt;=1,R152*VLOOKUP(E152,Reeksen!$A$5:$B$76,2),0)</f>
        <v>0</v>
      </c>
      <c r="T152" s="84">
        <f ca="1">(1-('Invoer gegevens'!$F$20/12))*R152*MIN(Reeksen!B152,Reeksen!D152)</f>
        <v>0</v>
      </c>
      <c r="U152" s="84">
        <f>IF(Reeksen!D152&gt;=Reeksen!B152,0,IF(Reeksen!AD152&lt;=Reeksen!AE152,(Reeksen!B152-Reeksen!D152)*R152,0))</f>
        <v>0</v>
      </c>
      <c r="V152" s="86">
        <f>IF(Reeksen!D152&gt;=Reeksen!B152,0,IF(Reeksen!AD152&gt;Reeksen!AE152,(Reeksen!B152-Reeksen!D152)*R152,0))</f>
        <v>0</v>
      </c>
      <c r="W152" s="97">
        <f t="shared" ca="1" si="26"/>
        <v>0</v>
      </c>
      <c r="X152" s="98">
        <f ca="1">IF('Invoer gegevens'!$C$17=E152,'Invoer gegevens'!$C$10-'Invoer gegevens'!$C$11,IF(C152=1,AC151,0))</f>
        <v>0</v>
      </c>
      <c r="Y152" s="98">
        <f ca="1">IF(C152&gt;=1,X152*VLOOKUP(E152,Reeksen!$A$5:$B$76,2),0)</f>
        <v>0</v>
      </c>
      <c r="Z152" s="98">
        <f ca="1">(1-('Invoer gegevens'!$F$20/12))*X152*MIN(Reeksen!B152,Reeksen!D152)</f>
        <v>0</v>
      </c>
      <c r="AA152" s="98">
        <f>IF(Reeksen!D152&gt;=Reeksen!B152,0,IF(Reeksen!AD152&lt;=Reeksen!AE152,(Reeksen!B152-Reeksen!D152)*X152,0))</f>
        <v>0</v>
      </c>
      <c r="AB152" s="98">
        <f>IF(Reeksen!D152&gt;=Reeksen!B152,0,IF(Reeksen!AD152&gt;Reeksen!AE152,(Reeksen!B152-Reeksen!D152)*X152,0))</f>
        <v>0</v>
      </c>
      <c r="AC152" s="99">
        <f t="shared" ca="1" si="27"/>
        <v>0</v>
      </c>
      <c r="AD152" s="98">
        <f ca="1">IF('Invoer gegevens'!$C$17=E152,R152,IF(C152=0,0,AE151))</f>
        <v>0</v>
      </c>
      <c r="AE152" s="98">
        <f t="shared" ca="1" si="28"/>
        <v>0</v>
      </c>
      <c r="AF152" s="98">
        <f ca="1">IF('Invoer gegevens'!$C$17=E152,X152,IF(C152=0,0,AG151))</f>
        <v>0</v>
      </c>
      <c r="AG152" s="98">
        <f t="shared" ca="1" si="29"/>
        <v>0</v>
      </c>
      <c r="AH152" s="66"/>
      <c r="AI152" s="71">
        <f ca="1">IF(C152=1,Reeksen!AI152*((F152-G152+F152)/2)*12+Reeksen!AD152*((L152-M152+L152)/2)*12,0)</f>
        <v>0</v>
      </c>
      <c r="AJ152" s="71">
        <f ca="1">-AI152*'Invoer gegevens'!$F$28</f>
        <v>0</v>
      </c>
      <c r="AK152" s="71">
        <f t="shared" ca="1" si="30"/>
        <v>0</v>
      </c>
      <c r="AL152" s="71">
        <f ca="1">IF(C152=1,Reeksen!AL152*((F152-G152+F152)/2)*12+Reeksen!AM152*((L152-M152+L152)/2)*12,0)</f>
        <v>0</v>
      </c>
      <c r="AM152" s="71">
        <f ca="1">-AL152*'Invoer gegevens'!$F$31</f>
        <v>0</v>
      </c>
      <c r="AN152" s="71">
        <f t="shared" ca="1" si="31"/>
        <v>0</v>
      </c>
      <c r="AO152" s="71">
        <f ca="1">IF(C152=1,(H152+J152+N152+P152)*Reeksen!AN152,0)</f>
        <v>0</v>
      </c>
      <c r="AP152" s="71">
        <f ca="1">-IF(C152=1,(H152+J152+N152+P152)*'Hulp - basis'!$G$550*Reeksen!H152,0)</f>
        <v>0</v>
      </c>
      <c r="AQ152" s="71">
        <f ca="1">-IF(C152=1,(F152+K152+L152+Q152)/2*'Invoer gegevens'!$F$35*Reeksen!J152,0)*2</f>
        <v>0</v>
      </c>
      <c r="AR152" s="71"/>
      <c r="AS152" s="71">
        <f ca="1">-IF(C152=1,(F152+K152+L152+Q152)/2*'Invoer gegevens'!$F$37*Reeksen!L152,0)</f>
        <v>0</v>
      </c>
      <c r="AT152" s="71">
        <f ca="1">-IF(C152=1,IF(E152='Invoer gegevens'!$C$17,'Invoer gegevens'!$C$11,AD152)*Reeksen!S152*'Invoer gegevens'!$C$18*Reeksen!P152,0)</f>
        <v>0</v>
      </c>
      <c r="AU152" s="71">
        <f ca="1">-IF(C152=1,(F152+K152+L152+Q152)/2*'Invoer gegevens'!$F$38*Reeksen!H152,0)</f>
        <v>0</v>
      </c>
      <c r="AV152" s="71">
        <f t="shared" si="35"/>
        <v>0</v>
      </c>
      <c r="AW152" s="71">
        <f t="shared" ca="1" si="32"/>
        <v>0</v>
      </c>
      <c r="AX152" s="71">
        <f ca="1">IF(E152&lt;'Invoer gegevens'!$C$17+15,0,IF(E152&gt;'Invoer gegevens'!$C$17+215,0,AW152))</f>
        <v>0</v>
      </c>
      <c r="AY152" s="71">
        <f ca="1">AX152/(1+'Invoer gegevens'!$F$18)^($AZ152-('Invoer gegevens'!$C$17-'Invoer gegevens'!$C$16))/(1+'Invoer gegevens'!$C$39)^('Invoer gegevens'!$C$17-'Invoer gegevens'!$C$16)</f>
        <v>0</v>
      </c>
      <c r="AZ152" s="68">
        <f ca="1">IF(E152-'Invoer gegevens'!$C$17-14.5&lt;0,0,E152-'Invoer gegevens'!$C$17-14.5)</f>
        <v>132.5</v>
      </c>
    </row>
    <row r="153" spans="1:52" x14ac:dyDescent="0.25">
      <c r="A153" s="59"/>
      <c r="B153" s="70">
        <f t="shared" si="33"/>
        <v>149</v>
      </c>
      <c r="C153" s="67">
        <f ca="1">IF(E153-'Invoer gegevens'!$C$17&lt;0,0,1)</f>
        <v>1</v>
      </c>
      <c r="D153" s="68">
        <f t="shared" si="34"/>
        <v>148.5</v>
      </c>
      <c r="E153" s="69">
        <f ca="1">IF('Invoer gegevens'!$C$16="","",E152+1)</f>
        <v>2167</v>
      </c>
      <c r="F153" s="84">
        <f ca="1">IF('Invoer gegevens'!$C$17=E153,'Invoer gegevens'!$C$10,IF(C153=1,K152,0))</f>
        <v>0</v>
      </c>
      <c r="G153" s="96">
        <f ca="1">IF(C153&gt;=1,F153*VLOOKUP(E153,Reeksen!$A$5:$B$76,2),0)</f>
        <v>0</v>
      </c>
      <c r="H153" s="84">
        <f ca="1">(1-('Invoer gegevens'!$F$20/12))*F153*MIN(Reeksen!B153,Reeksen!D153)</f>
        <v>0</v>
      </c>
      <c r="I153" s="84">
        <f>IF(Reeksen!D153&lt;Reeksen!B153,(Reeksen!B153-Reeksen!D153)*F153,0)</f>
        <v>0</v>
      </c>
      <c r="J153" s="84">
        <f ca="1">('Invoer gegevens'!$F$20/12)*F152*MIN(Reeksen!B152,Reeksen!D152)</f>
        <v>0</v>
      </c>
      <c r="K153" s="97">
        <f t="shared" ca="1" si="24"/>
        <v>0</v>
      </c>
      <c r="L153" s="84">
        <f ca="1">IF('Invoer gegevens'!$C$17=E153,0,IF(C153=1,Q152,0))</f>
        <v>0</v>
      </c>
      <c r="M153" s="96">
        <f ca="1">IF(C153&gt;=1,L153*VLOOKUP(E153,Reeksen!$A$5:$B$76,2),0)</f>
        <v>0</v>
      </c>
      <c r="N153" s="84">
        <f ca="1">(1-('Invoer gegevens'!$F$20/12))*L153*MIN(Reeksen!B153,Reeksen!D153)</f>
        <v>0</v>
      </c>
      <c r="O153" s="84">
        <f>IF(Reeksen!D153&lt;Reeksen!B153,(Reeksen!B153-Reeksen!D153)*L153,0)</f>
        <v>0</v>
      </c>
      <c r="P153" s="84">
        <f ca="1">('Invoer gegevens'!$F$20/12)*L152*MIN(Reeksen!B152,Reeksen!D152)</f>
        <v>0</v>
      </c>
      <c r="Q153" s="84">
        <f t="shared" ca="1" si="25"/>
        <v>0</v>
      </c>
      <c r="R153" s="82">
        <f ca="1">IF('Invoer gegevens'!$C$17=E153,'Invoer gegevens'!$C$11,IF(C153=1,W152,0))</f>
        <v>0</v>
      </c>
      <c r="S153" s="86">
        <f ca="1">IF(C153&gt;=1,R153*VLOOKUP(E153,Reeksen!$A$5:$B$76,2),0)</f>
        <v>0</v>
      </c>
      <c r="T153" s="84">
        <f ca="1">(1-('Invoer gegevens'!$F$20/12))*R153*MIN(Reeksen!B153,Reeksen!D153)</f>
        <v>0</v>
      </c>
      <c r="U153" s="84">
        <f>IF(Reeksen!D153&gt;=Reeksen!B153,0,IF(Reeksen!AD153&lt;=Reeksen!AE153,(Reeksen!B153-Reeksen!D153)*R153,0))</f>
        <v>0</v>
      </c>
      <c r="V153" s="86">
        <f>IF(Reeksen!D153&gt;=Reeksen!B153,0,IF(Reeksen!AD153&gt;Reeksen!AE153,(Reeksen!B153-Reeksen!D153)*R153,0))</f>
        <v>0</v>
      </c>
      <c r="W153" s="97">
        <f t="shared" ca="1" si="26"/>
        <v>0</v>
      </c>
      <c r="X153" s="98">
        <f ca="1">IF('Invoer gegevens'!$C$17=E153,'Invoer gegevens'!$C$10-'Invoer gegevens'!$C$11,IF(C153=1,AC152,0))</f>
        <v>0</v>
      </c>
      <c r="Y153" s="98">
        <f ca="1">IF(C153&gt;=1,X153*VLOOKUP(E153,Reeksen!$A$5:$B$76,2),0)</f>
        <v>0</v>
      </c>
      <c r="Z153" s="98">
        <f ca="1">(1-('Invoer gegevens'!$F$20/12))*X153*MIN(Reeksen!B153,Reeksen!D153)</f>
        <v>0</v>
      </c>
      <c r="AA153" s="98">
        <f>IF(Reeksen!D153&gt;=Reeksen!B153,0,IF(Reeksen!AD153&lt;=Reeksen!AE153,(Reeksen!B153-Reeksen!D153)*X153,0))</f>
        <v>0</v>
      </c>
      <c r="AB153" s="98">
        <f>IF(Reeksen!D153&gt;=Reeksen!B153,0,IF(Reeksen!AD153&gt;Reeksen!AE153,(Reeksen!B153-Reeksen!D153)*X153,0))</f>
        <v>0</v>
      </c>
      <c r="AC153" s="99">
        <f t="shared" ca="1" si="27"/>
        <v>0</v>
      </c>
      <c r="AD153" s="98">
        <f ca="1">IF('Invoer gegevens'!$C$17=E153,R153,IF(C153=0,0,AE152))</f>
        <v>0</v>
      </c>
      <c r="AE153" s="98">
        <f t="shared" ca="1" si="28"/>
        <v>0</v>
      </c>
      <c r="AF153" s="98">
        <f ca="1">IF('Invoer gegevens'!$C$17=E153,X153,IF(C153=0,0,AG152))</f>
        <v>0</v>
      </c>
      <c r="AG153" s="98">
        <f t="shared" ca="1" si="29"/>
        <v>0</v>
      </c>
      <c r="AH153" s="66"/>
      <c r="AI153" s="71">
        <f ca="1">IF(C153=1,Reeksen!AI153*((F153-G153+F153)/2)*12+Reeksen!AD153*((L153-M153+L153)/2)*12,0)</f>
        <v>0</v>
      </c>
      <c r="AJ153" s="71">
        <f ca="1">-AI153*'Invoer gegevens'!$F$28</f>
        <v>0</v>
      </c>
      <c r="AK153" s="71">
        <f t="shared" ca="1" si="30"/>
        <v>0</v>
      </c>
      <c r="AL153" s="71">
        <f ca="1">IF(C153=1,Reeksen!AL153*((F153-G153+F153)/2)*12+Reeksen!AM153*((L153-M153+L153)/2)*12,0)</f>
        <v>0</v>
      </c>
      <c r="AM153" s="71">
        <f ca="1">-AL153*'Invoer gegevens'!$F$31</f>
        <v>0</v>
      </c>
      <c r="AN153" s="71">
        <f t="shared" ca="1" si="31"/>
        <v>0</v>
      </c>
      <c r="AO153" s="71">
        <f ca="1">IF(C153=1,(H153+J153+N153+P153)*Reeksen!AN153,0)</f>
        <v>0</v>
      </c>
      <c r="AP153" s="71">
        <f ca="1">-IF(C153=1,(H153+J153+N153+P153)*'Hulp - basis'!$G$550*Reeksen!H153,0)</f>
        <v>0</v>
      </c>
      <c r="AQ153" s="71">
        <f ca="1">-IF(C153=1,(F153+K153+L153+Q153)/2*'Invoer gegevens'!$F$35*Reeksen!J153,0)*2</f>
        <v>0</v>
      </c>
      <c r="AR153" s="71"/>
      <c r="AS153" s="71">
        <f ca="1">-IF(C153=1,(F153+K153+L153+Q153)/2*'Invoer gegevens'!$F$37*Reeksen!L153,0)</f>
        <v>0</v>
      </c>
      <c r="AT153" s="71">
        <f ca="1">-IF(C153=1,IF(E153='Invoer gegevens'!$C$17,'Invoer gegevens'!$C$11,AD153)*Reeksen!S153*'Invoer gegevens'!$C$18*Reeksen!P153,0)</f>
        <v>0</v>
      </c>
      <c r="AU153" s="71">
        <f ca="1">-IF(C153=1,(F153+K153+L153+Q153)/2*'Invoer gegevens'!$F$38*Reeksen!H153,0)</f>
        <v>0</v>
      </c>
      <c r="AV153" s="71">
        <f t="shared" si="35"/>
        <v>0</v>
      </c>
      <c r="AW153" s="71">
        <f t="shared" ca="1" si="32"/>
        <v>0</v>
      </c>
      <c r="AX153" s="71">
        <f ca="1">IF(E153&lt;'Invoer gegevens'!$C$17+15,0,IF(E153&gt;'Invoer gegevens'!$C$17+215,0,AW153))</f>
        <v>0</v>
      </c>
      <c r="AY153" s="71">
        <f ca="1">AX153/(1+'Invoer gegevens'!$F$18)^($AZ153-('Invoer gegevens'!$C$17-'Invoer gegevens'!$C$16))/(1+'Invoer gegevens'!$C$39)^('Invoer gegevens'!$C$17-'Invoer gegevens'!$C$16)</f>
        <v>0</v>
      </c>
      <c r="AZ153" s="68">
        <f ca="1">IF(E153-'Invoer gegevens'!$C$17-14.5&lt;0,0,E153-'Invoer gegevens'!$C$17-14.5)</f>
        <v>133.5</v>
      </c>
    </row>
    <row r="154" spans="1:52" x14ac:dyDescent="0.25">
      <c r="A154" s="59"/>
      <c r="B154" s="70">
        <f t="shared" si="33"/>
        <v>150</v>
      </c>
      <c r="C154" s="67">
        <f ca="1">IF(E154-'Invoer gegevens'!$C$17&lt;0,0,1)</f>
        <v>1</v>
      </c>
      <c r="D154" s="68">
        <f t="shared" si="34"/>
        <v>149.5</v>
      </c>
      <c r="E154" s="69">
        <f ca="1">IF('Invoer gegevens'!$C$16="","",E153+1)</f>
        <v>2168</v>
      </c>
      <c r="F154" s="84">
        <f ca="1">IF('Invoer gegevens'!$C$17=E154,'Invoer gegevens'!$C$10,IF(C154=1,K153,0))</f>
        <v>0</v>
      </c>
      <c r="G154" s="96">
        <f ca="1">IF(C154&gt;=1,F154*VLOOKUP(E154,Reeksen!$A$5:$B$76,2),0)</f>
        <v>0</v>
      </c>
      <c r="H154" s="84">
        <f ca="1">(1-('Invoer gegevens'!$F$20/12))*F154*MIN(Reeksen!B154,Reeksen!D154)</f>
        <v>0</v>
      </c>
      <c r="I154" s="84">
        <f>IF(Reeksen!D154&lt;Reeksen!B154,(Reeksen!B154-Reeksen!D154)*F154,0)</f>
        <v>0</v>
      </c>
      <c r="J154" s="84">
        <f ca="1">('Invoer gegevens'!$F$20/12)*F153*MIN(Reeksen!B153,Reeksen!D153)</f>
        <v>0</v>
      </c>
      <c r="K154" s="97">
        <f t="shared" ca="1" si="24"/>
        <v>0</v>
      </c>
      <c r="L154" s="84">
        <f ca="1">IF('Invoer gegevens'!$C$17=E154,0,IF(C154=1,Q153,0))</f>
        <v>0</v>
      </c>
      <c r="M154" s="96">
        <f ca="1">IF(C154&gt;=1,L154*VLOOKUP(E154,Reeksen!$A$5:$B$76,2),0)</f>
        <v>0</v>
      </c>
      <c r="N154" s="84">
        <f ca="1">(1-('Invoer gegevens'!$F$20/12))*L154*MIN(Reeksen!B154,Reeksen!D154)</f>
        <v>0</v>
      </c>
      <c r="O154" s="84">
        <f>IF(Reeksen!D154&lt;Reeksen!B154,(Reeksen!B154-Reeksen!D154)*L154,0)</f>
        <v>0</v>
      </c>
      <c r="P154" s="84">
        <f ca="1">('Invoer gegevens'!$F$20/12)*L153*MIN(Reeksen!B153,Reeksen!D153)</f>
        <v>0</v>
      </c>
      <c r="Q154" s="84">
        <f t="shared" ca="1" si="25"/>
        <v>0</v>
      </c>
      <c r="R154" s="82">
        <f ca="1">IF('Invoer gegevens'!$C$17=E154,'Invoer gegevens'!$C$11,IF(C154=1,W153,0))</f>
        <v>0</v>
      </c>
      <c r="S154" s="86">
        <f ca="1">IF(C154&gt;=1,R154*VLOOKUP(E154,Reeksen!$A$5:$B$76,2),0)</f>
        <v>0</v>
      </c>
      <c r="T154" s="84">
        <f ca="1">(1-('Invoer gegevens'!$F$20/12))*R154*MIN(Reeksen!B154,Reeksen!D154)</f>
        <v>0</v>
      </c>
      <c r="U154" s="84">
        <f>IF(Reeksen!D154&gt;=Reeksen!B154,0,IF(Reeksen!AD154&lt;=Reeksen!AE154,(Reeksen!B154-Reeksen!D154)*R154,0))</f>
        <v>0</v>
      </c>
      <c r="V154" s="86">
        <f>IF(Reeksen!D154&gt;=Reeksen!B154,0,IF(Reeksen!AD154&gt;Reeksen!AE154,(Reeksen!B154-Reeksen!D154)*R154,0))</f>
        <v>0</v>
      </c>
      <c r="W154" s="97">
        <f t="shared" ca="1" si="26"/>
        <v>0</v>
      </c>
      <c r="X154" s="98">
        <f ca="1">IF('Invoer gegevens'!$C$17=E154,'Invoer gegevens'!$C$10-'Invoer gegevens'!$C$11,IF(C154=1,AC153,0))</f>
        <v>0</v>
      </c>
      <c r="Y154" s="98">
        <f ca="1">IF(C154&gt;=1,X154*VLOOKUP(E154,Reeksen!$A$5:$B$76,2),0)</f>
        <v>0</v>
      </c>
      <c r="Z154" s="98">
        <f ca="1">(1-('Invoer gegevens'!$F$20/12))*X154*MIN(Reeksen!B154,Reeksen!D154)</f>
        <v>0</v>
      </c>
      <c r="AA154" s="98">
        <f>IF(Reeksen!D154&gt;=Reeksen!B154,0,IF(Reeksen!AD154&lt;=Reeksen!AE154,(Reeksen!B154-Reeksen!D154)*X154,0))</f>
        <v>0</v>
      </c>
      <c r="AB154" s="98">
        <f>IF(Reeksen!D154&gt;=Reeksen!B154,0,IF(Reeksen!AD154&gt;Reeksen!AE154,(Reeksen!B154-Reeksen!D154)*X154,0))</f>
        <v>0</v>
      </c>
      <c r="AC154" s="99">
        <f t="shared" ca="1" si="27"/>
        <v>0</v>
      </c>
      <c r="AD154" s="98">
        <f ca="1">IF('Invoer gegevens'!$C$17=E154,R154,IF(C154=0,0,AE153))</f>
        <v>0</v>
      </c>
      <c r="AE154" s="98">
        <f t="shared" ca="1" si="28"/>
        <v>0</v>
      </c>
      <c r="AF154" s="98">
        <f ca="1">IF('Invoer gegevens'!$C$17=E154,X154,IF(C154=0,0,AG153))</f>
        <v>0</v>
      </c>
      <c r="AG154" s="98">
        <f t="shared" ca="1" si="29"/>
        <v>0</v>
      </c>
      <c r="AH154" s="66"/>
      <c r="AI154" s="71">
        <f ca="1">IF(C154=1,Reeksen!AI154*((F154-G154+F154)/2)*12+Reeksen!AD154*((L154-M154+L154)/2)*12,0)</f>
        <v>0</v>
      </c>
      <c r="AJ154" s="71">
        <f ca="1">-AI154*'Invoer gegevens'!$F$28</f>
        <v>0</v>
      </c>
      <c r="AK154" s="71">
        <f t="shared" ca="1" si="30"/>
        <v>0</v>
      </c>
      <c r="AL154" s="71">
        <f ca="1">IF(C154=1,Reeksen!AL154*((F154-G154+F154)/2)*12+Reeksen!AM154*((L154-M154+L154)/2)*12,0)</f>
        <v>0</v>
      </c>
      <c r="AM154" s="71">
        <f ca="1">-AL154*'Invoer gegevens'!$F$31</f>
        <v>0</v>
      </c>
      <c r="AN154" s="71">
        <f t="shared" ca="1" si="31"/>
        <v>0</v>
      </c>
      <c r="AO154" s="71">
        <f ca="1">IF(C154=1,(H154+J154+N154+P154)*Reeksen!AN154,0)</f>
        <v>0</v>
      </c>
      <c r="AP154" s="71">
        <f ca="1">-IF(C154=1,(H154+J154+N154+P154)*'Hulp - basis'!$G$550*Reeksen!H154,0)</f>
        <v>0</v>
      </c>
      <c r="AQ154" s="71">
        <f ca="1">-IF(C154=1,(F154+K154+L154+Q154)/2*'Invoer gegevens'!$F$35*Reeksen!J154,0)*2</f>
        <v>0</v>
      </c>
      <c r="AR154" s="71"/>
      <c r="AS154" s="71">
        <f ca="1">-IF(C154=1,(F154+K154+L154+Q154)/2*'Invoer gegevens'!$F$37*Reeksen!L154,0)</f>
        <v>0</v>
      </c>
      <c r="AT154" s="71">
        <f ca="1">-IF(C154=1,IF(E154='Invoer gegevens'!$C$17,'Invoer gegevens'!$C$11,AD154)*Reeksen!S154*'Invoer gegevens'!$C$18*Reeksen!P154,0)</f>
        <v>0</v>
      </c>
      <c r="AU154" s="71">
        <f ca="1">-IF(C154=1,(F154+K154+L154+Q154)/2*'Invoer gegevens'!$F$38*Reeksen!H154,0)</f>
        <v>0</v>
      </c>
      <c r="AV154" s="71">
        <f t="shared" si="35"/>
        <v>0</v>
      </c>
      <c r="AW154" s="71">
        <f t="shared" ca="1" si="32"/>
        <v>0</v>
      </c>
      <c r="AX154" s="71">
        <f ca="1">IF(E154&lt;'Invoer gegevens'!$C$17+15,0,IF(E154&gt;'Invoer gegevens'!$C$17+215,0,AW154))</f>
        <v>0</v>
      </c>
      <c r="AY154" s="71">
        <f ca="1">AX154/(1+'Invoer gegevens'!$F$18)^($AZ154-('Invoer gegevens'!$C$17-'Invoer gegevens'!$C$16))/(1+'Invoer gegevens'!$C$39)^('Invoer gegevens'!$C$17-'Invoer gegevens'!$C$16)</f>
        <v>0</v>
      </c>
      <c r="AZ154" s="68">
        <f ca="1">IF(E154-'Invoer gegevens'!$C$17-14.5&lt;0,0,E154-'Invoer gegevens'!$C$17-14.5)</f>
        <v>134.5</v>
      </c>
    </row>
    <row r="155" spans="1:52" x14ac:dyDescent="0.25">
      <c r="A155" s="59"/>
      <c r="B155" s="70">
        <f t="shared" si="33"/>
        <v>151</v>
      </c>
      <c r="C155" s="67">
        <f ca="1">IF(E155-'Invoer gegevens'!$C$17&lt;0,0,1)</f>
        <v>1</v>
      </c>
      <c r="D155" s="68">
        <f t="shared" si="34"/>
        <v>150.5</v>
      </c>
      <c r="E155" s="69">
        <f ca="1">IF('Invoer gegevens'!$C$16="","",E154+1)</f>
        <v>2169</v>
      </c>
      <c r="F155" s="84">
        <f ca="1">IF('Invoer gegevens'!$C$17=E155,'Invoer gegevens'!$C$10,IF(C155=1,K154,0))</f>
        <v>0</v>
      </c>
      <c r="G155" s="96">
        <f ca="1">IF(C155&gt;=1,F155*VLOOKUP(E155,Reeksen!$A$5:$B$76,2),0)</f>
        <v>0</v>
      </c>
      <c r="H155" s="84">
        <f ca="1">(1-('Invoer gegevens'!$F$20/12))*F155*MIN(Reeksen!B155,Reeksen!D155)</f>
        <v>0</v>
      </c>
      <c r="I155" s="84">
        <f>IF(Reeksen!D155&lt;Reeksen!B155,(Reeksen!B155-Reeksen!D155)*F155,0)</f>
        <v>0</v>
      </c>
      <c r="J155" s="84">
        <f ca="1">('Invoer gegevens'!$F$20/12)*F154*MIN(Reeksen!B154,Reeksen!D154)</f>
        <v>0</v>
      </c>
      <c r="K155" s="97">
        <f t="shared" ca="1" si="24"/>
        <v>0</v>
      </c>
      <c r="L155" s="84">
        <f ca="1">IF('Invoer gegevens'!$C$17=E155,0,IF(C155=1,Q154,0))</f>
        <v>0</v>
      </c>
      <c r="M155" s="96">
        <f ca="1">IF(C155&gt;=1,L155*VLOOKUP(E155,Reeksen!$A$5:$B$76,2),0)</f>
        <v>0</v>
      </c>
      <c r="N155" s="84">
        <f ca="1">(1-('Invoer gegevens'!$F$20/12))*L155*MIN(Reeksen!B155,Reeksen!D155)</f>
        <v>0</v>
      </c>
      <c r="O155" s="84">
        <f>IF(Reeksen!D155&lt;Reeksen!B155,(Reeksen!B155-Reeksen!D155)*L155,0)</f>
        <v>0</v>
      </c>
      <c r="P155" s="84">
        <f ca="1">('Invoer gegevens'!$F$20/12)*L154*MIN(Reeksen!B154,Reeksen!D154)</f>
        <v>0</v>
      </c>
      <c r="Q155" s="84">
        <f t="shared" ca="1" si="25"/>
        <v>0</v>
      </c>
      <c r="R155" s="82">
        <f ca="1">IF('Invoer gegevens'!$C$17=E155,'Invoer gegevens'!$C$11,IF(C155=1,W154,0))</f>
        <v>0</v>
      </c>
      <c r="S155" s="86">
        <f ca="1">IF(C155&gt;=1,R155*VLOOKUP(E155,Reeksen!$A$5:$B$76,2),0)</f>
        <v>0</v>
      </c>
      <c r="T155" s="84">
        <f ca="1">(1-('Invoer gegevens'!$F$20/12))*R155*MIN(Reeksen!B155,Reeksen!D155)</f>
        <v>0</v>
      </c>
      <c r="U155" s="84">
        <f>IF(Reeksen!D155&gt;=Reeksen!B155,0,IF(Reeksen!AD155&lt;=Reeksen!AE155,(Reeksen!B155-Reeksen!D155)*R155,0))</f>
        <v>0</v>
      </c>
      <c r="V155" s="86">
        <f>IF(Reeksen!D155&gt;=Reeksen!B155,0,IF(Reeksen!AD155&gt;Reeksen!AE155,(Reeksen!B155-Reeksen!D155)*R155,0))</f>
        <v>0</v>
      </c>
      <c r="W155" s="97">
        <f t="shared" ca="1" si="26"/>
        <v>0</v>
      </c>
      <c r="X155" s="98">
        <f ca="1">IF('Invoer gegevens'!$C$17=E155,'Invoer gegevens'!$C$10-'Invoer gegevens'!$C$11,IF(C155=1,AC154,0))</f>
        <v>0</v>
      </c>
      <c r="Y155" s="98">
        <f ca="1">IF(C155&gt;=1,X155*VLOOKUP(E155,Reeksen!$A$5:$B$76,2),0)</f>
        <v>0</v>
      </c>
      <c r="Z155" s="98">
        <f ca="1">(1-('Invoer gegevens'!$F$20/12))*X155*MIN(Reeksen!B155,Reeksen!D155)</f>
        <v>0</v>
      </c>
      <c r="AA155" s="98">
        <f>IF(Reeksen!D155&gt;=Reeksen!B155,0,IF(Reeksen!AD155&lt;=Reeksen!AE155,(Reeksen!B155-Reeksen!D155)*X155,0))</f>
        <v>0</v>
      </c>
      <c r="AB155" s="98">
        <f>IF(Reeksen!D155&gt;=Reeksen!B155,0,IF(Reeksen!AD155&gt;Reeksen!AE155,(Reeksen!B155-Reeksen!D155)*X155,0))</f>
        <v>0</v>
      </c>
      <c r="AC155" s="99">
        <f t="shared" ca="1" si="27"/>
        <v>0</v>
      </c>
      <c r="AD155" s="98">
        <f ca="1">IF('Invoer gegevens'!$C$17=E155,R155,IF(C155=0,0,AE154))</f>
        <v>0</v>
      </c>
      <c r="AE155" s="98">
        <f t="shared" ca="1" si="28"/>
        <v>0</v>
      </c>
      <c r="AF155" s="98">
        <f ca="1">IF('Invoer gegevens'!$C$17=E155,X155,IF(C155=0,0,AG154))</f>
        <v>0</v>
      </c>
      <c r="AG155" s="98">
        <f t="shared" ca="1" si="29"/>
        <v>0</v>
      </c>
      <c r="AH155" s="66"/>
      <c r="AI155" s="71">
        <f ca="1">IF(C155=1,Reeksen!AI155*((F155-G155+F155)/2)*12+Reeksen!AD155*((L155-M155+L155)/2)*12,0)</f>
        <v>0</v>
      </c>
      <c r="AJ155" s="71">
        <f ca="1">-AI155*'Invoer gegevens'!$F$28</f>
        <v>0</v>
      </c>
      <c r="AK155" s="71">
        <f t="shared" ca="1" si="30"/>
        <v>0</v>
      </c>
      <c r="AL155" s="71">
        <f ca="1">IF(C155=1,Reeksen!AL155*((F155-G155+F155)/2)*12+Reeksen!AM155*((L155-M155+L155)/2)*12,0)</f>
        <v>0</v>
      </c>
      <c r="AM155" s="71">
        <f ca="1">-AL155*'Invoer gegevens'!$F$31</f>
        <v>0</v>
      </c>
      <c r="AN155" s="71">
        <f t="shared" ca="1" si="31"/>
        <v>0</v>
      </c>
      <c r="AO155" s="71">
        <f ca="1">IF(C155=1,(H155+J155+N155+P155)*Reeksen!AN155,0)</f>
        <v>0</v>
      </c>
      <c r="AP155" s="71">
        <f ca="1">-IF(C155=1,(H155+J155+N155+P155)*'Hulp - basis'!$G$550*Reeksen!H155,0)</f>
        <v>0</v>
      </c>
      <c r="AQ155" s="71">
        <f ca="1">-IF(C155=1,(F155+K155+L155+Q155)/2*'Invoer gegevens'!$F$35*Reeksen!J155,0)*2</f>
        <v>0</v>
      </c>
      <c r="AR155" s="71"/>
      <c r="AS155" s="71">
        <f ca="1">-IF(C155=1,(F155+K155+L155+Q155)/2*'Invoer gegevens'!$F$37*Reeksen!L155,0)</f>
        <v>0</v>
      </c>
      <c r="AT155" s="71">
        <f ca="1">-IF(C155=1,IF(E155='Invoer gegevens'!$C$17,'Invoer gegevens'!$C$11,AD155)*Reeksen!S155*'Invoer gegevens'!$C$18*Reeksen!P155,0)</f>
        <v>0</v>
      </c>
      <c r="AU155" s="71">
        <f ca="1">-IF(C155=1,(F155+K155+L155+Q155)/2*'Invoer gegevens'!$F$38*Reeksen!H155,0)</f>
        <v>0</v>
      </c>
      <c r="AV155" s="71">
        <f t="shared" si="35"/>
        <v>0</v>
      </c>
      <c r="AW155" s="71">
        <f t="shared" ca="1" si="32"/>
        <v>0</v>
      </c>
      <c r="AX155" s="71">
        <f ca="1">IF(E155&lt;'Invoer gegevens'!$C$17+15,0,IF(E155&gt;'Invoer gegevens'!$C$17+215,0,AW155))</f>
        <v>0</v>
      </c>
      <c r="AY155" s="71">
        <f ca="1">AX155/(1+'Invoer gegevens'!$F$18)^($AZ155-('Invoer gegevens'!$C$17-'Invoer gegevens'!$C$16))/(1+'Invoer gegevens'!$C$39)^('Invoer gegevens'!$C$17-'Invoer gegevens'!$C$16)</f>
        <v>0</v>
      </c>
      <c r="AZ155" s="68">
        <f ca="1">IF(E155-'Invoer gegevens'!$C$17-14.5&lt;0,0,E155-'Invoer gegevens'!$C$17-14.5)</f>
        <v>135.5</v>
      </c>
    </row>
    <row r="156" spans="1:52" x14ac:dyDescent="0.25">
      <c r="A156" s="59"/>
      <c r="B156" s="70">
        <f t="shared" si="33"/>
        <v>152</v>
      </c>
      <c r="C156" s="67">
        <f ca="1">IF(E156-'Invoer gegevens'!$C$17&lt;0,0,1)</f>
        <v>1</v>
      </c>
      <c r="D156" s="68">
        <f t="shared" si="34"/>
        <v>151.5</v>
      </c>
      <c r="E156" s="69">
        <f ca="1">IF('Invoer gegevens'!$C$16="","",E155+1)</f>
        <v>2170</v>
      </c>
      <c r="F156" s="84">
        <f ca="1">IF('Invoer gegevens'!$C$17=E156,'Invoer gegevens'!$C$10,IF(C156=1,K155,0))</f>
        <v>0</v>
      </c>
      <c r="G156" s="96">
        <f ca="1">IF(C156&gt;=1,F156*VLOOKUP(E156,Reeksen!$A$5:$B$76,2),0)</f>
        <v>0</v>
      </c>
      <c r="H156" s="84">
        <f ca="1">(1-('Invoer gegevens'!$F$20/12))*F156*MIN(Reeksen!B156,Reeksen!D156)</f>
        <v>0</v>
      </c>
      <c r="I156" s="84">
        <f>IF(Reeksen!D156&lt;Reeksen!B156,(Reeksen!B156-Reeksen!D156)*F156,0)</f>
        <v>0</v>
      </c>
      <c r="J156" s="84">
        <f ca="1">('Invoer gegevens'!$F$20/12)*F155*MIN(Reeksen!B155,Reeksen!D155)</f>
        <v>0</v>
      </c>
      <c r="K156" s="97">
        <f t="shared" ca="1" si="24"/>
        <v>0</v>
      </c>
      <c r="L156" s="84">
        <f ca="1">IF('Invoer gegevens'!$C$17=E156,0,IF(C156=1,Q155,0))</f>
        <v>0</v>
      </c>
      <c r="M156" s="96">
        <f ca="1">IF(C156&gt;=1,L156*VLOOKUP(E156,Reeksen!$A$5:$B$76,2),0)</f>
        <v>0</v>
      </c>
      <c r="N156" s="84">
        <f ca="1">(1-('Invoer gegevens'!$F$20/12))*L156*MIN(Reeksen!B156,Reeksen!D156)</f>
        <v>0</v>
      </c>
      <c r="O156" s="84">
        <f>IF(Reeksen!D156&lt;Reeksen!B156,(Reeksen!B156-Reeksen!D156)*L156,0)</f>
        <v>0</v>
      </c>
      <c r="P156" s="84">
        <f ca="1">('Invoer gegevens'!$F$20/12)*L155*MIN(Reeksen!B155,Reeksen!D155)</f>
        <v>0</v>
      </c>
      <c r="Q156" s="84">
        <f t="shared" ca="1" si="25"/>
        <v>0</v>
      </c>
      <c r="R156" s="82">
        <f ca="1">IF('Invoer gegevens'!$C$17=E156,'Invoer gegevens'!$C$11,IF(C156=1,W155,0))</f>
        <v>0</v>
      </c>
      <c r="S156" s="86">
        <f ca="1">IF(C156&gt;=1,R156*VLOOKUP(E156,Reeksen!$A$5:$B$76,2),0)</f>
        <v>0</v>
      </c>
      <c r="T156" s="84">
        <f ca="1">(1-('Invoer gegevens'!$F$20/12))*R156*MIN(Reeksen!B156,Reeksen!D156)</f>
        <v>0</v>
      </c>
      <c r="U156" s="84">
        <f>IF(Reeksen!D156&gt;=Reeksen!B156,0,IF(Reeksen!AD156&lt;=Reeksen!AE156,(Reeksen!B156-Reeksen!D156)*R156,0))</f>
        <v>0</v>
      </c>
      <c r="V156" s="86">
        <f>IF(Reeksen!D156&gt;=Reeksen!B156,0,IF(Reeksen!AD156&gt;Reeksen!AE156,(Reeksen!B156-Reeksen!D156)*R156,0))</f>
        <v>0</v>
      </c>
      <c r="W156" s="97">
        <f t="shared" ca="1" si="26"/>
        <v>0</v>
      </c>
      <c r="X156" s="98">
        <f ca="1">IF('Invoer gegevens'!$C$17=E156,'Invoer gegevens'!$C$10-'Invoer gegevens'!$C$11,IF(C156=1,AC155,0))</f>
        <v>0</v>
      </c>
      <c r="Y156" s="98">
        <f ca="1">IF(C156&gt;=1,X156*VLOOKUP(E156,Reeksen!$A$5:$B$76,2),0)</f>
        <v>0</v>
      </c>
      <c r="Z156" s="98">
        <f ca="1">(1-('Invoer gegevens'!$F$20/12))*X156*MIN(Reeksen!B156,Reeksen!D156)</f>
        <v>0</v>
      </c>
      <c r="AA156" s="98">
        <f>IF(Reeksen!D156&gt;=Reeksen!B156,0,IF(Reeksen!AD156&lt;=Reeksen!AE156,(Reeksen!B156-Reeksen!D156)*X156,0))</f>
        <v>0</v>
      </c>
      <c r="AB156" s="98">
        <f>IF(Reeksen!D156&gt;=Reeksen!B156,0,IF(Reeksen!AD156&gt;Reeksen!AE156,(Reeksen!B156-Reeksen!D156)*X156,0))</f>
        <v>0</v>
      </c>
      <c r="AC156" s="99">
        <f t="shared" ca="1" si="27"/>
        <v>0</v>
      </c>
      <c r="AD156" s="98">
        <f ca="1">IF('Invoer gegevens'!$C$17=E156,R156,IF(C156=0,0,AE155))</f>
        <v>0</v>
      </c>
      <c r="AE156" s="98">
        <f t="shared" ca="1" si="28"/>
        <v>0</v>
      </c>
      <c r="AF156" s="98">
        <f ca="1">IF('Invoer gegevens'!$C$17=E156,X156,IF(C156=0,0,AG155))</f>
        <v>0</v>
      </c>
      <c r="AG156" s="98">
        <f t="shared" ca="1" si="29"/>
        <v>0</v>
      </c>
      <c r="AH156" s="66"/>
      <c r="AI156" s="71">
        <f ca="1">IF(C156=1,Reeksen!AI156*((F156-G156+F156)/2)*12+Reeksen!AD156*((L156-M156+L156)/2)*12,0)</f>
        <v>0</v>
      </c>
      <c r="AJ156" s="71">
        <f ca="1">-AI156*'Invoer gegevens'!$F$28</f>
        <v>0</v>
      </c>
      <c r="AK156" s="71">
        <f t="shared" ca="1" si="30"/>
        <v>0</v>
      </c>
      <c r="AL156" s="71">
        <f ca="1">IF(C156=1,Reeksen!AL156*((F156-G156+F156)/2)*12+Reeksen!AM156*((L156-M156+L156)/2)*12,0)</f>
        <v>0</v>
      </c>
      <c r="AM156" s="71">
        <f ca="1">-AL156*'Invoer gegevens'!$F$31</f>
        <v>0</v>
      </c>
      <c r="AN156" s="71">
        <f t="shared" ca="1" si="31"/>
        <v>0</v>
      </c>
      <c r="AO156" s="71">
        <f ca="1">IF(C156=1,(H156+J156+N156+P156)*Reeksen!AN156,0)</f>
        <v>0</v>
      </c>
      <c r="AP156" s="71">
        <f ca="1">-IF(C156=1,(H156+J156+N156+P156)*'Hulp - basis'!$G$550*Reeksen!H156,0)</f>
        <v>0</v>
      </c>
      <c r="AQ156" s="71">
        <f ca="1">-IF(C156=1,(F156+K156+L156+Q156)/2*'Invoer gegevens'!$F$35*Reeksen!J156,0)*2</f>
        <v>0</v>
      </c>
      <c r="AR156" s="71"/>
      <c r="AS156" s="71">
        <f ca="1">-IF(C156=1,(F156+K156+L156+Q156)/2*'Invoer gegevens'!$F$37*Reeksen!L156,0)</f>
        <v>0</v>
      </c>
      <c r="AT156" s="71">
        <f ca="1">-IF(C156=1,IF(E156='Invoer gegevens'!$C$17,'Invoer gegevens'!$C$11,AD156)*Reeksen!S156*'Invoer gegevens'!$C$18*Reeksen!P156,0)</f>
        <v>0</v>
      </c>
      <c r="AU156" s="71">
        <f ca="1">-IF(C156=1,(F156+K156+L156+Q156)/2*'Invoer gegevens'!$F$38*Reeksen!H156,0)</f>
        <v>0</v>
      </c>
      <c r="AV156" s="71">
        <f t="shared" si="35"/>
        <v>0</v>
      </c>
      <c r="AW156" s="71">
        <f t="shared" ca="1" si="32"/>
        <v>0</v>
      </c>
      <c r="AX156" s="71">
        <f ca="1">IF(E156&lt;'Invoer gegevens'!$C$17+15,0,IF(E156&gt;'Invoer gegevens'!$C$17+215,0,AW156))</f>
        <v>0</v>
      </c>
      <c r="AY156" s="71">
        <f ca="1">AX156/(1+'Invoer gegevens'!$F$18)^($AZ156-('Invoer gegevens'!$C$17-'Invoer gegevens'!$C$16))/(1+'Invoer gegevens'!$C$39)^('Invoer gegevens'!$C$17-'Invoer gegevens'!$C$16)</f>
        <v>0</v>
      </c>
      <c r="AZ156" s="68">
        <f ca="1">IF(E156-'Invoer gegevens'!$C$17-14.5&lt;0,0,E156-'Invoer gegevens'!$C$17-14.5)</f>
        <v>136.5</v>
      </c>
    </row>
    <row r="157" spans="1:52" x14ac:dyDescent="0.25">
      <c r="A157" s="59"/>
      <c r="B157" s="70">
        <f t="shared" si="33"/>
        <v>153</v>
      </c>
      <c r="C157" s="67">
        <f ca="1">IF(E157-'Invoer gegevens'!$C$17&lt;0,0,1)</f>
        <v>1</v>
      </c>
      <c r="D157" s="68">
        <f t="shared" si="34"/>
        <v>152.5</v>
      </c>
      <c r="E157" s="69">
        <f ca="1">IF('Invoer gegevens'!$C$16="","",E156+1)</f>
        <v>2171</v>
      </c>
      <c r="F157" s="84">
        <f ca="1">IF('Invoer gegevens'!$C$17=E157,'Invoer gegevens'!$C$10,IF(C157=1,K156,0))</f>
        <v>0</v>
      </c>
      <c r="G157" s="96">
        <f ca="1">IF(C157&gt;=1,F157*VLOOKUP(E157,Reeksen!$A$5:$B$76,2),0)</f>
        <v>0</v>
      </c>
      <c r="H157" s="84">
        <f ca="1">(1-('Invoer gegevens'!$F$20/12))*F157*MIN(Reeksen!B157,Reeksen!D157)</f>
        <v>0</v>
      </c>
      <c r="I157" s="84">
        <f>IF(Reeksen!D157&lt;Reeksen!B157,(Reeksen!B157-Reeksen!D157)*F157,0)</f>
        <v>0</v>
      </c>
      <c r="J157" s="84">
        <f ca="1">('Invoer gegevens'!$F$20/12)*F156*MIN(Reeksen!B156,Reeksen!D156)</f>
        <v>0</v>
      </c>
      <c r="K157" s="97">
        <f t="shared" ca="1" si="24"/>
        <v>0</v>
      </c>
      <c r="L157" s="84">
        <f ca="1">IF('Invoer gegevens'!$C$17=E157,0,IF(C157=1,Q156,0))</f>
        <v>0</v>
      </c>
      <c r="M157" s="96">
        <f ca="1">IF(C157&gt;=1,L157*VLOOKUP(E157,Reeksen!$A$5:$B$76,2),0)</f>
        <v>0</v>
      </c>
      <c r="N157" s="84">
        <f ca="1">(1-('Invoer gegevens'!$F$20/12))*L157*MIN(Reeksen!B157,Reeksen!D157)</f>
        <v>0</v>
      </c>
      <c r="O157" s="84">
        <f>IF(Reeksen!D157&lt;Reeksen!B157,(Reeksen!B157-Reeksen!D157)*L157,0)</f>
        <v>0</v>
      </c>
      <c r="P157" s="84">
        <f ca="1">('Invoer gegevens'!$F$20/12)*L156*MIN(Reeksen!B156,Reeksen!D156)</f>
        <v>0</v>
      </c>
      <c r="Q157" s="84">
        <f t="shared" ca="1" si="25"/>
        <v>0</v>
      </c>
      <c r="R157" s="82">
        <f ca="1">IF('Invoer gegevens'!$C$17=E157,'Invoer gegevens'!$C$11,IF(C157=1,W156,0))</f>
        <v>0</v>
      </c>
      <c r="S157" s="86">
        <f ca="1">IF(C157&gt;=1,R157*VLOOKUP(E157,Reeksen!$A$5:$B$76,2),0)</f>
        <v>0</v>
      </c>
      <c r="T157" s="84">
        <f ca="1">(1-('Invoer gegevens'!$F$20/12))*R157*MIN(Reeksen!B157,Reeksen!D157)</f>
        <v>0</v>
      </c>
      <c r="U157" s="84">
        <f>IF(Reeksen!D157&gt;=Reeksen!B157,0,IF(Reeksen!AD157&lt;=Reeksen!AE157,(Reeksen!B157-Reeksen!D157)*R157,0))</f>
        <v>0</v>
      </c>
      <c r="V157" s="86">
        <f>IF(Reeksen!D157&gt;=Reeksen!B157,0,IF(Reeksen!AD157&gt;Reeksen!AE157,(Reeksen!B157-Reeksen!D157)*R157,0))</f>
        <v>0</v>
      </c>
      <c r="W157" s="97">
        <f t="shared" ca="1" si="26"/>
        <v>0</v>
      </c>
      <c r="X157" s="98">
        <f ca="1">IF('Invoer gegevens'!$C$17=E157,'Invoer gegevens'!$C$10-'Invoer gegevens'!$C$11,IF(C157=1,AC156,0))</f>
        <v>0</v>
      </c>
      <c r="Y157" s="98">
        <f ca="1">IF(C157&gt;=1,X157*VLOOKUP(E157,Reeksen!$A$5:$B$76,2),0)</f>
        <v>0</v>
      </c>
      <c r="Z157" s="98">
        <f ca="1">(1-('Invoer gegevens'!$F$20/12))*X157*MIN(Reeksen!B157,Reeksen!D157)</f>
        <v>0</v>
      </c>
      <c r="AA157" s="98">
        <f>IF(Reeksen!D157&gt;=Reeksen!B157,0,IF(Reeksen!AD157&lt;=Reeksen!AE157,(Reeksen!B157-Reeksen!D157)*X157,0))</f>
        <v>0</v>
      </c>
      <c r="AB157" s="98">
        <f>IF(Reeksen!D157&gt;=Reeksen!B157,0,IF(Reeksen!AD157&gt;Reeksen!AE157,(Reeksen!B157-Reeksen!D157)*X157,0))</f>
        <v>0</v>
      </c>
      <c r="AC157" s="99">
        <f t="shared" ca="1" si="27"/>
        <v>0</v>
      </c>
      <c r="AD157" s="98">
        <f ca="1">IF('Invoer gegevens'!$C$17=E157,R157,IF(C157=0,0,AE156))</f>
        <v>0</v>
      </c>
      <c r="AE157" s="98">
        <f t="shared" ca="1" si="28"/>
        <v>0</v>
      </c>
      <c r="AF157" s="98">
        <f ca="1">IF('Invoer gegevens'!$C$17=E157,X157,IF(C157=0,0,AG156))</f>
        <v>0</v>
      </c>
      <c r="AG157" s="98">
        <f t="shared" ca="1" si="29"/>
        <v>0</v>
      </c>
      <c r="AH157" s="66"/>
      <c r="AI157" s="71">
        <f ca="1">IF(C157=1,Reeksen!AI157*((F157-G157+F157)/2)*12+Reeksen!AD157*((L157-M157+L157)/2)*12,0)</f>
        <v>0</v>
      </c>
      <c r="AJ157" s="71">
        <f ca="1">-AI157*'Invoer gegevens'!$F$28</f>
        <v>0</v>
      </c>
      <c r="AK157" s="71">
        <f t="shared" ca="1" si="30"/>
        <v>0</v>
      </c>
      <c r="AL157" s="71">
        <f ca="1">IF(C157=1,Reeksen!AL157*((F157-G157+F157)/2)*12+Reeksen!AM157*((L157-M157+L157)/2)*12,0)</f>
        <v>0</v>
      </c>
      <c r="AM157" s="71">
        <f ca="1">-AL157*'Invoer gegevens'!$F$31</f>
        <v>0</v>
      </c>
      <c r="AN157" s="71">
        <f t="shared" ca="1" si="31"/>
        <v>0</v>
      </c>
      <c r="AO157" s="71">
        <f ca="1">IF(C157=1,(H157+J157+N157+P157)*Reeksen!AN157,0)</f>
        <v>0</v>
      </c>
      <c r="AP157" s="71">
        <f ca="1">-IF(C157=1,(H157+J157+N157+P157)*'Hulp - basis'!$G$550*Reeksen!H157,0)</f>
        <v>0</v>
      </c>
      <c r="AQ157" s="71">
        <f ca="1">-IF(C157=1,(F157+K157+L157+Q157)/2*'Invoer gegevens'!$F$35*Reeksen!J157,0)*2</f>
        <v>0</v>
      </c>
      <c r="AR157" s="71"/>
      <c r="AS157" s="71">
        <f ca="1">-IF(C157=1,(F157+K157+L157+Q157)/2*'Invoer gegevens'!$F$37*Reeksen!L157,0)</f>
        <v>0</v>
      </c>
      <c r="AT157" s="71">
        <f ca="1">-IF(C157=1,IF(E157='Invoer gegevens'!$C$17,'Invoer gegevens'!$C$11,AD157)*Reeksen!S157*'Invoer gegevens'!$C$18*Reeksen!P157,0)</f>
        <v>0</v>
      </c>
      <c r="AU157" s="71">
        <f ca="1">-IF(C157=1,(F157+K157+L157+Q157)/2*'Invoer gegevens'!$F$38*Reeksen!H157,0)</f>
        <v>0</v>
      </c>
      <c r="AV157" s="71">
        <f t="shared" si="35"/>
        <v>0</v>
      </c>
      <c r="AW157" s="71">
        <f t="shared" ca="1" si="32"/>
        <v>0</v>
      </c>
      <c r="AX157" s="71">
        <f ca="1">IF(E157&lt;'Invoer gegevens'!$C$17+15,0,IF(E157&gt;'Invoer gegevens'!$C$17+215,0,AW157))</f>
        <v>0</v>
      </c>
      <c r="AY157" s="71">
        <f ca="1">AX157/(1+'Invoer gegevens'!$F$18)^($AZ157-('Invoer gegevens'!$C$17-'Invoer gegevens'!$C$16))/(1+'Invoer gegevens'!$C$39)^('Invoer gegevens'!$C$17-'Invoer gegevens'!$C$16)</f>
        <v>0</v>
      </c>
      <c r="AZ157" s="68">
        <f ca="1">IF(E157-'Invoer gegevens'!$C$17-14.5&lt;0,0,E157-'Invoer gegevens'!$C$17-14.5)</f>
        <v>137.5</v>
      </c>
    </row>
    <row r="158" spans="1:52" x14ac:dyDescent="0.25">
      <c r="A158" s="59"/>
      <c r="B158" s="70">
        <f t="shared" si="33"/>
        <v>154</v>
      </c>
      <c r="C158" s="67">
        <f ca="1">IF(E158-'Invoer gegevens'!$C$17&lt;0,0,1)</f>
        <v>1</v>
      </c>
      <c r="D158" s="68">
        <f t="shared" si="34"/>
        <v>153.5</v>
      </c>
      <c r="E158" s="69">
        <f ca="1">IF('Invoer gegevens'!$C$16="","",E157+1)</f>
        <v>2172</v>
      </c>
      <c r="F158" s="84">
        <f ca="1">IF('Invoer gegevens'!$C$17=E158,'Invoer gegevens'!$C$10,IF(C158=1,K157,0))</f>
        <v>0</v>
      </c>
      <c r="G158" s="96">
        <f ca="1">IF(C158&gt;=1,F158*VLOOKUP(E158,Reeksen!$A$5:$B$76,2),0)</f>
        <v>0</v>
      </c>
      <c r="H158" s="84">
        <f ca="1">(1-('Invoer gegevens'!$F$20/12))*F158*MIN(Reeksen!B158,Reeksen!D158)</f>
        <v>0</v>
      </c>
      <c r="I158" s="84">
        <f>IF(Reeksen!D158&lt;Reeksen!B158,(Reeksen!B158-Reeksen!D158)*F158,0)</f>
        <v>0</v>
      </c>
      <c r="J158" s="84">
        <f ca="1">('Invoer gegevens'!$F$20/12)*F157*MIN(Reeksen!B157,Reeksen!D157)</f>
        <v>0</v>
      </c>
      <c r="K158" s="97">
        <f t="shared" ca="1" si="24"/>
        <v>0</v>
      </c>
      <c r="L158" s="84">
        <f ca="1">IF('Invoer gegevens'!$C$17=E158,0,IF(C158=1,Q157,0))</f>
        <v>0</v>
      </c>
      <c r="M158" s="96">
        <f ca="1">IF(C158&gt;=1,L158*VLOOKUP(E158,Reeksen!$A$5:$B$76,2),0)</f>
        <v>0</v>
      </c>
      <c r="N158" s="84">
        <f ca="1">(1-('Invoer gegevens'!$F$20/12))*L158*MIN(Reeksen!B158,Reeksen!D158)</f>
        <v>0</v>
      </c>
      <c r="O158" s="84">
        <f>IF(Reeksen!D158&lt;Reeksen!B158,(Reeksen!B158-Reeksen!D158)*L158,0)</f>
        <v>0</v>
      </c>
      <c r="P158" s="84">
        <f ca="1">('Invoer gegevens'!$F$20/12)*L157*MIN(Reeksen!B157,Reeksen!D157)</f>
        <v>0</v>
      </c>
      <c r="Q158" s="84">
        <f t="shared" ca="1" si="25"/>
        <v>0</v>
      </c>
      <c r="R158" s="82">
        <f ca="1">IF('Invoer gegevens'!$C$17=E158,'Invoer gegevens'!$C$11,IF(C158=1,W157,0))</f>
        <v>0</v>
      </c>
      <c r="S158" s="86">
        <f ca="1">IF(C158&gt;=1,R158*VLOOKUP(E158,Reeksen!$A$5:$B$76,2),0)</f>
        <v>0</v>
      </c>
      <c r="T158" s="84">
        <f ca="1">(1-('Invoer gegevens'!$F$20/12))*R158*MIN(Reeksen!B158,Reeksen!D158)</f>
        <v>0</v>
      </c>
      <c r="U158" s="84">
        <f>IF(Reeksen!D158&gt;=Reeksen!B158,0,IF(Reeksen!AD158&lt;=Reeksen!AE158,(Reeksen!B158-Reeksen!D158)*R158,0))</f>
        <v>0</v>
      </c>
      <c r="V158" s="86">
        <f>IF(Reeksen!D158&gt;=Reeksen!B158,0,IF(Reeksen!AD158&gt;Reeksen!AE158,(Reeksen!B158-Reeksen!D158)*R158,0))</f>
        <v>0</v>
      </c>
      <c r="W158" s="97">
        <f t="shared" ca="1" si="26"/>
        <v>0</v>
      </c>
      <c r="X158" s="98">
        <f ca="1">IF('Invoer gegevens'!$C$17=E158,'Invoer gegevens'!$C$10-'Invoer gegevens'!$C$11,IF(C158=1,AC157,0))</f>
        <v>0</v>
      </c>
      <c r="Y158" s="98">
        <f ca="1">IF(C158&gt;=1,X158*VLOOKUP(E158,Reeksen!$A$5:$B$76,2),0)</f>
        <v>0</v>
      </c>
      <c r="Z158" s="98">
        <f ca="1">(1-('Invoer gegevens'!$F$20/12))*X158*MIN(Reeksen!B158,Reeksen!D158)</f>
        <v>0</v>
      </c>
      <c r="AA158" s="98">
        <f>IF(Reeksen!D158&gt;=Reeksen!B158,0,IF(Reeksen!AD158&lt;=Reeksen!AE158,(Reeksen!B158-Reeksen!D158)*X158,0))</f>
        <v>0</v>
      </c>
      <c r="AB158" s="98">
        <f>IF(Reeksen!D158&gt;=Reeksen!B158,0,IF(Reeksen!AD158&gt;Reeksen!AE158,(Reeksen!B158-Reeksen!D158)*X158,0))</f>
        <v>0</v>
      </c>
      <c r="AC158" s="99">
        <f t="shared" ca="1" si="27"/>
        <v>0</v>
      </c>
      <c r="AD158" s="98">
        <f ca="1">IF('Invoer gegevens'!$C$17=E158,R158,IF(C158=0,0,AE157))</f>
        <v>0</v>
      </c>
      <c r="AE158" s="98">
        <f t="shared" ca="1" si="28"/>
        <v>0</v>
      </c>
      <c r="AF158" s="98">
        <f ca="1">IF('Invoer gegevens'!$C$17=E158,X158,IF(C158=0,0,AG157))</f>
        <v>0</v>
      </c>
      <c r="AG158" s="98">
        <f t="shared" ca="1" si="29"/>
        <v>0</v>
      </c>
      <c r="AH158" s="66"/>
      <c r="AI158" s="71">
        <f ca="1">IF(C158=1,Reeksen!AI158*((F158-G158+F158)/2)*12+Reeksen!AD158*((L158-M158+L158)/2)*12,0)</f>
        <v>0</v>
      </c>
      <c r="AJ158" s="71">
        <f ca="1">-AI158*'Invoer gegevens'!$F$28</f>
        <v>0</v>
      </c>
      <c r="AK158" s="71">
        <f t="shared" ca="1" si="30"/>
        <v>0</v>
      </c>
      <c r="AL158" s="71">
        <f ca="1">IF(C158=1,Reeksen!AL158*((F158-G158+F158)/2)*12+Reeksen!AM158*((L158-M158+L158)/2)*12,0)</f>
        <v>0</v>
      </c>
      <c r="AM158" s="71">
        <f ca="1">-AL158*'Invoer gegevens'!$F$31</f>
        <v>0</v>
      </c>
      <c r="AN158" s="71">
        <f t="shared" ca="1" si="31"/>
        <v>0</v>
      </c>
      <c r="AO158" s="71">
        <f ca="1">IF(C158=1,(H158+J158+N158+P158)*Reeksen!AN158,0)</f>
        <v>0</v>
      </c>
      <c r="AP158" s="71">
        <f ca="1">-IF(C158=1,(H158+J158+N158+P158)*'Hulp - basis'!$G$550*Reeksen!H158,0)</f>
        <v>0</v>
      </c>
      <c r="AQ158" s="71">
        <f ca="1">-IF(C158=1,(F158+K158+L158+Q158)/2*'Invoer gegevens'!$F$35*Reeksen!J158,0)*2</f>
        <v>0</v>
      </c>
      <c r="AR158" s="71"/>
      <c r="AS158" s="71">
        <f ca="1">-IF(C158=1,(F158+K158+L158+Q158)/2*'Invoer gegevens'!$F$37*Reeksen!L158,0)</f>
        <v>0</v>
      </c>
      <c r="AT158" s="71">
        <f ca="1">-IF(C158=1,IF(E158='Invoer gegevens'!$C$17,'Invoer gegevens'!$C$11,AD158)*Reeksen!S158*'Invoer gegevens'!$C$18*Reeksen!P158,0)</f>
        <v>0</v>
      </c>
      <c r="AU158" s="71">
        <f ca="1">-IF(C158=1,(F158+K158+L158+Q158)/2*'Invoer gegevens'!$F$38*Reeksen!H158,0)</f>
        <v>0</v>
      </c>
      <c r="AV158" s="71">
        <f t="shared" si="35"/>
        <v>0</v>
      </c>
      <c r="AW158" s="71">
        <f t="shared" ca="1" si="32"/>
        <v>0</v>
      </c>
      <c r="AX158" s="71">
        <f ca="1">IF(E158&lt;'Invoer gegevens'!$C$17+15,0,IF(E158&gt;'Invoer gegevens'!$C$17+215,0,AW158))</f>
        <v>0</v>
      </c>
      <c r="AY158" s="71">
        <f ca="1">AX158/(1+'Invoer gegevens'!$F$18)^($AZ158-('Invoer gegevens'!$C$17-'Invoer gegevens'!$C$16))/(1+'Invoer gegevens'!$C$39)^('Invoer gegevens'!$C$17-'Invoer gegevens'!$C$16)</f>
        <v>0</v>
      </c>
      <c r="AZ158" s="68">
        <f ca="1">IF(E158-'Invoer gegevens'!$C$17-14.5&lt;0,0,E158-'Invoer gegevens'!$C$17-14.5)</f>
        <v>138.5</v>
      </c>
    </row>
    <row r="159" spans="1:52" x14ac:dyDescent="0.25">
      <c r="A159" s="59"/>
      <c r="B159" s="70">
        <f t="shared" si="33"/>
        <v>155</v>
      </c>
      <c r="C159" s="67">
        <f ca="1">IF(E159-'Invoer gegevens'!$C$17&lt;0,0,1)</f>
        <v>1</v>
      </c>
      <c r="D159" s="68">
        <f t="shared" si="34"/>
        <v>154.5</v>
      </c>
      <c r="E159" s="69">
        <f ca="1">IF('Invoer gegevens'!$C$16="","",E158+1)</f>
        <v>2173</v>
      </c>
      <c r="F159" s="84">
        <f ca="1">IF('Invoer gegevens'!$C$17=E159,'Invoer gegevens'!$C$10,IF(C159=1,K158,0))</f>
        <v>0</v>
      </c>
      <c r="G159" s="96">
        <f ca="1">IF(C159&gt;=1,F159*VLOOKUP(E159,Reeksen!$A$5:$B$76,2),0)</f>
        <v>0</v>
      </c>
      <c r="H159" s="84">
        <f ca="1">(1-('Invoer gegevens'!$F$20/12))*F159*MIN(Reeksen!B159,Reeksen!D159)</f>
        <v>0</v>
      </c>
      <c r="I159" s="84">
        <f>IF(Reeksen!D159&lt;Reeksen!B159,(Reeksen!B159-Reeksen!D159)*F159,0)</f>
        <v>0</v>
      </c>
      <c r="J159" s="84">
        <f ca="1">('Invoer gegevens'!$F$20/12)*F158*MIN(Reeksen!B158,Reeksen!D158)</f>
        <v>0</v>
      </c>
      <c r="K159" s="97">
        <f t="shared" ca="1" si="24"/>
        <v>0</v>
      </c>
      <c r="L159" s="84">
        <f ca="1">IF('Invoer gegevens'!$C$17=E159,0,IF(C159=1,Q158,0))</f>
        <v>0</v>
      </c>
      <c r="M159" s="96">
        <f ca="1">IF(C159&gt;=1,L159*VLOOKUP(E159,Reeksen!$A$5:$B$76,2),0)</f>
        <v>0</v>
      </c>
      <c r="N159" s="84">
        <f ca="1">(1-('Invoer gegevens'!$F$20/12))*L159*MIN(Reeksen!B159,Reeksen!D159)</f>
        <v>0</v>
      </c>
      <c r="O159" s="84">
        <f>IF(Reeksen!D159&lt;Reeksen!B159,(Reeksen!B159-Reeksen!D159)*L159,0)</f>
        <v>0</v>
      </c>
      <c r="P159" s="84">
        <f ca="1">('Invoer gegevens'!$F$20/12)*L158*MIN(Reeksen!B158,Reeksen!D158)</f>
        <v>0</v>
      </c>
      <c r="Q159" s="84">
        <f t="shared" ca="1" si="25"/>
        <v>0</v>
      </c>
      <c r="R159" s="82">
        <f ca="1">IF('Invoer gegevens'!$C$17=E159,'Invoer gegevens'!$C$11,IF(C159=1,W158,0))</f>
        <v>0</v>
      </c>
      <c r="S159" s="86">
        <f ca="1">IF(C159&gt;=1,R159*VLOOKUP(E159,Reeksen!$A$5:$B$76,2),0)</f>
        <v>0</v>
      </c>
      <c r="T159" s="84">
        <f ca="1">(1-('Invoer gegevens'!$F$20/12))*R159*MIN(Reeksen!B159,Reeksen!D159)</f>
        <v>0</v>
      </c>
      <c r="U159" s="84">
        <f>IF(Reeksen!D159&gt;=Reeksen!B159,0,IF(Reeksen!AD159&lt;=Reeksen!AE159,(Reeksen!B159-Reeksen!D159)*R159,0))</f>
        <v>0</v>
      </c>
      <c r="V159" s="86">
        <f>IF(Reeksen!D159&gt;=Reeksen!B159,0,IF(Reeksen!AD159&gt;Reeksen!AE159,(Reeksen!B159-Reeksen!D159)*R159,0))</f>
        <v>0</v>
      </c>
      <c r="W159" s="97">
        <f t="shared" ca="1" si="26"/>
        <v>0</v>
      </c>
      <c r="X159" s="98">
        <f ca="1">IF('Invoer gegevens'!$C$17=E159,'Invoer gegevens'!$C$10-'Invoer gegevens'!$C$11,IF(C159=1,AC158,0))</f>
        <v>0</v>
      </c>
      <c r="Y159" s="98">
        <f ca="1">IF(C159&gt;=1,X159*VLOOKUP(E159,Reeksen!$A$5:$B$76,2),0)</f>
        <v>0</v>
      </c>
      <c r="Z159" s="98">
        <f ca="1">(1-('Invoer gegevens'!$F$20/12))*X159*MIN(Reeksen!B159,Reeksen!D159)</f>
        <v>0</v>
      </c>
      <c r="AA159" s="98">
        <f>IF(Reeksen!D159&gt;=Reeksen!B159,0,IF(Reeksen!AD159&lt;=Reeksen!AE159,(Reeksen!B159-Reeksen!D159)*X159,0))</f>
        <v>0</v>
      </c>
      <c r="AB159" s="98">
        <f>IF(Reeksen!D159&gt;=Reeksen!B159,0,IF(Reeksen!AD159&gt;Reeksen!AE159,(Reeksen!B159-Reeksen!D159)*X159,0))</f>
        <v>0</v>
      </c>
      <c r="AC159" s="99">
        <f t="shared" ca="1" si="27"/>
        <v>0</v>
      </c>
      <c r="AD159" s="98">
        <f ca="1">IF('Invoer gegevens'!$C$17=E159,R159,IF(C159=0,0,AE158))</f>
        <v>0</v>
      </c>
      <c r="AE159" s="98">
        <f t="shared" ca="1" si="28"/>
        <v>0</v>
      </c>
      <c r="AF159" s="98">
        <f ca="1">IF('Invoer gegevens'!$C$17=E159,X159,IF(C159=0,0,AG158))</f>
        <v>0</v>
      </c>
      <c r="AG159" s="98">
        <f t="shared" ca="1" si="29"/>
        <v>0</v>
      </c>
      <c r="AH159" s="66"/>
      <c r="AI159" s="71">
        <f ca="1">IF(C159=1,Reeksen!AI159*((F159-G159+F159)/2)*12+Reeksen!AD159*((L159-M159+L159)/2)*12,0)</f>
        <v>0</v>
      </c>
      <c r="AJ159" s="71">
        <f ca="1">-AI159*'Invoer gegevens'!$F$28</f>
        <v>0</v>
      </c>
      <c r="AK159" s="71">
        <f t="shared" ca="1" si="30"/>
        <v>0</v>
      </c>
      <c r="AL159" s="71">
        <f ca="1">IF(C159=1,Reeksen!AL159*((F159-G159+F159)/2)*12+Reeksen!AM159*((L159-M159+L159)/2)*12,0)</f>
        <v>0</v>
      </c>
      <c r="AM159" s="71">
        <f ca="1">-AL159*'Invoer gegevens'!$F$31</f>
        <v>0</v>
      </c>
      <c r="AN159" s="71">
        <f t="shared" ca="1" si="31"/>
        <v>0</v>
      </c>
      <c r="AO159" s="71">
        <f ca="1">IF(C159=1,(H159+J159+N159+P159)*Reeksen!AN159,0)</f>
        <v>0</v>
      </c>
      <c r="AP159" s="71">
        <f ca="1">-IF(C159=1,(H159+J159+N159+P159)*'Hulp - basis'!$G$550*Reeksen!H159,0)</f>
        <v>0</v>
      </c>
      <c r="AQ159" s="71">
        <f ca="1">-IF(C159=1,(F159+K159+L159+Q159)/2*'Invoer gegevens'!$F$35*Reeksen!J159,0)*2</f>
        <v>0</v>
      </c>
      <c r="AR159" s="71"/>
      <c r="AS159" s="71">
        <f ca="1">-IF(C159=1,(F159+K159+L159+Q159)/2*'Invoer gegevens'!$F$37*Reeksen!L159,0)</f>
        <v>0</v>
      </c>
      <c r="AT159" s="71">
        <f ca="1">-IF(C159=1,IF(E159='Invoer gegevens'!$C$17,'Invoer gegevens'!$C$11,AD159)*Reeksen!S159*'Invoer gegevens'!$C$18*Reeksen!P159,0)</f>
        <v>0</v>
      </c>
      <c r="AU159" s="71">
        <f ca="1">-IF(C159=1,(F159+K159+L159+Q159)/2*'Invoer gegevens'!$F$38*Reeksen!H159,0)</f>
        <v>0</v>
      </c>
      <c r="AV159" s="71">
        <f t="shared" si="35"/>
        <v>0</v>
      </c>
      <c r="AW159" s="71">
        <f t="shared" ca="1" si="32"/>
        <v>0</v>
      </c>
      <c r="AX159" s="71">
        <f ca="1">IF(E159&lt;'Invoer gegevens'!$C$17+15,0,IF(E159&gt;'Invoer gegevens'!$C$17+215,0,AW159))</f>
        <v>0</v>
      </c>
      <c r="AY159" s="71">
        <f ca="1">AX159/(1+'Invoer gegevens'!$F$18)^($AZ159-('Invoer gegevens'!$C$17-'Invoer gegevens'!$C$16))/(1+'Invoer gegevens'!$C$39)^('Invoer gegevens'!$C$17-'Invoer gegevens'!$C$16)</f>
        <v>0</v>
      </c>
      <c r="AZ159" s="68">
        <f ca="1">IF(E159-'Invoer gegevens'!$C$17-14.5&lt;0,0,E159-'Invoer gegevens'!$C$17-14.5)</f>
        <v>139.5</v>
      </c>
    </row>
    <row r="160" spans="1:52" x14ac:dyDescent="0.25">
      <c r="A160" s="59"/>
      <c r="B160" s="70">
        <f t="shared" si="33"/>
        <v>156</v>
      </c>
      <c r="C160" s="67">
        <f ca="1">IF(E160-'Invoer gegevens'!$C$17&lt;0,0,1)</f>
        <v>1</v>
      </c>
      <c r="D160" s="68">
        <f t="shared" si="34"/>
        <v>155.5</v>
      </c>
      <c r="E160" s="69">
        <f ca="1">IF('Invoer gegevens'!$C$16="","",E159+1)</f>
        <v>2174</v>
      </c>
      <c r="F160" s="84">
        <f ca="1">IF('Invoer gegevens'!$C$17=E160,'Invoer gegevens'!$C$10,IF(C160=1,K159,0))</f>
        <v>0</v>
      </c>
      <c r="G160" s="96">
        <f ca="1">IF(C160&gt;=1,F160*VLOOKUP(E160,Reeksen!$A$5:$B$76,2),0)</f>
        <v>0</v>
      </c>
      <c r="H160" s="84">
        <f ca="1">(1-('Invoer gegevens'!$F$20/12))*F160*MIN(Reeksen!B160,Reeksen!D160)</f>
        <v>0</v>
      </c>
      <c r="I160" s="84">
        <f>IF(Reeksen!D160&lt;Reeksen!B160,(Reeksen!B160-Reeksen!D160)*F160,0)</f>
        <v>0</v>
      </c>
      <c r="J160" s="84">
        <f ca="1">('Invoer gegevens'!$F$20/12)*F159*MIN(Reeksen!B159,Reeksen!D159)</f>
        <v>0</v>
      </c>
      <c r="K160" s="97">
        <f t="shared" ca="1" si="24"/>
        <v>0</v>
      </c>
      <c r="L160" s="84">
        <f ca="1">IF('Invoer gegevens'!$C$17=E160,0,IF(C160=1,Q159,0))</f>
        <v>0</v>
      </c>
      <c r="M160" s="96">
        <f ca="1">IF(C160&gt;=1,L160*VLOOKUP(E160,Reeksen!$A$5:$B$76,2),0)</f>
        <v>0</v>
      </c>
      <c r="N160" s="84">
        <f ca="1">(1-('Invoer gegevens'!$F$20/12))*L160*MIN(Reeksen!B160,Reeksen!D160)</f>
        <v>0</v>
      </c>
      <c r="O160" s="84">
        <f>IF(Reeksen!D160&lt;Reeksen!B160,(Reeksen!B160-Reeksen!D160)*L160,0)</f>
        <v>0</v>
      </c>
      <c r="P160" s="84">
        <f ca="1">('Invoer gegevens'!$F$20/12)*L159*MIN(Reeksen!B159,Reeksen!D159)</f>
        <v>0</v>
      </c>
      <c r="Q160" s="84">
        <f t="shared" ca="1" si="25"/>
        <v>0</v>
      </c>
      <c r="R160" s="82">
        <f ca="1">IF('Invoer gegevens'!$C$17=E160,'Invoer gegevens'!$C$11,IF(C160=1,W159,0))</f>
        <v>0</v>
      </c>
      <c r="S160" s="86">
        <f ca="1">IF(C160&gt;=1,R160*VLOOKUP(E160,Reeksen!$A$5:$B$76,2),0)</f>
        <v>0</v>
      </c>
      <c r="T160" s="84">
        <f ca="1">(1-('Invoer gegevens'!$F$20/12))*R160*MIN(Reeksen!B160,Reeksen!D160)</f>
        <v>0</v>
      </c>
      <c r="U160" s="84">
        <f>IF(Reeksen!D160&gt;=Reeksen!B160,0,IF(Reeksen!AD160&lt;=Reeksen!AE160,(Reeksen!B160-Reeksen!D160)*R160,0))</f>
        <v>0</v>
      </c>
      <c r="V160" s="86">
        <f>IF(Reeksen!D160&gt;=Reeksen!B160,0,IF(Reeksen!AD160&gt;Reeksen!AE160,(Reeksen!B160-Reeksen!D160)*R160,0))</f>
        <v>0</v>
      </c>
      <c r="W160" s="97">
        <f t="shared" ca="1" si="26"/>
        <v>0</v>
      </c>
      <c r="X160" s="98">
        <f ca="1">IF('Invoer gegevens'!$C$17=E160,'Invoer gegevens'!$C$10-'Invoer gegevens'!$C$11,IF(C160=1,AC159,0))</f>
        <v>0</v>
      </c>
      <c r="Y160" s="98">
        <f ca="1">IF(C160&gt;=1,X160*VLOOKUP(E160,Reeksen!$A$5:$B$76,2),0)</f>
        <v>0</v>
      </c>
      <c r="Z160" s="98">
        <f ca="1">(1-('Invoer gegevens'!$F$20/12))*X160*MIN(Reeksen!B160,Reeksen!D160)</f>
        <v>0</v>
      </c>
      <c r="AA160" s="98">
        <f>IF(Reeksen!D160&gt;=Reeksen!B160,0,IF(Reeksen!AD160&lt;=Reeksen!AE160,(Reeksen!B160-Reeksen!D160)*X160,0))</f>
        <v>0</v>
      </c>
      <c r="AB160" s="98">
        <f>IF(Reeksen!D160&gt;=Reeksen!B160,0,IF(Reeksen!AD160&gt;Reeksen!AE160,(Reeksen!B160-Reeksen!D160)*X160,0))</f>
        <v>0</v>
      </c>
      <c r="AC160" s="99">
        <f t="shared" ca="1" si="27"/>
        <v>0</v>
      </c>
      <c r="AD160" s="98">
        <f ca="1">IF('Invoer gegevens'!$C$17=E160,R160,IF(C160=0,0,AE159))</f>
        <v>0</v>
      </c>
      <c r="AE160" s="98">
        <f t="shared" ca="1" si="28"/>
        <v>0</v>
      </c>
      <c r="AF160" s="98">
        <f ca="1">IF('Invoer gegevens'!$C$17=E160,X160,IF(C160=0,0,AG159))</f>
        <v>0</v>
      </c>
      <c r="AG160" s="98">
        <f t="shared" ca="1" si="29"/>
        <v>0</v>
      </c>
      <c r="AH160" s="66"/>
      <c r="AI160" s="71">
        <f ca="1">IF(C160=1,Reeksen!AI160*((F160-G160+F160)/2)*12+Reeksen!AD160*((L160-M160+L160)/2)*12,0)</f>
        <v>0</v>
      </c>
      <c r="AJ160" s="71">
        <f ca="1">-AI160*'Invoer gegevens'!$F$28</f>
        <v>0</v>
      </c>
      <c r="AK160" s="71">
        <f t="shared" ca="1" si="30"/>
        <v>0</v>
      </c>
      <c r="AL160" s="71">
        <f ca="1">IF(C160=1,Reeksen!AL160*((F160-G160+F160)/2)*12+Reeksen!AM160*((L160-M160+L160)/2)*12,0)</f>
        <v>0</v>
      </c>
      <c r="AM160" s="71">
        <f ca="1">-AL160*'Invoer gegevens'!$F$31</f>
        <v>0</v>
      </c>
      <c r="AN160" s="71">
        <f t="shared" ca="1" si="31"/>
        <v>0</v>
      </c>
      <c r="AO160" s="71">
        <f ca="1">IF(C160=1,(H160+J160+N160+P160)*Reeksen!AN160,0)</f>
        <v>0</v>
      </c>
      <c r="AP160" s="71">
        <f ca="1">-IF(C160=1,(H160+J160+N160+P160)*'Hulp - basis'!$G$550*Reeksen!H160,0)</f>
        <v>0</v>
      </c>
      <c r="AQ160" s="71">
        <f ca="1">-IF(C160=1,(F160+K160+L160+Q160)/2*'Invoer gegevens'!$F$35*Reeksen!J160,0)*2</f>
        <v>0</v>
      </c>
      <c r="AR160" s="71"/>
      <c r="AS160" s="71">
        <f ca="1">-IF(C160=1,(F160+K160+L160+Q160)/2*'Invoer gegevens'!$F$37*Reeksen!L160,0)</f>
        <v>0</v>
      </c>
      <c r="AT160" s="71">
        <f ca="1">-IF(C160=1,IF(E160='Invoer gegevens'!$C$17,'Invoer gegevens'!$C$11,AD160)*Reeksen!S160*'Invoer gegevens'!$C$18*Reeksen!P160,0)</f>
        <v>0</v>
      </c>
      <c r="AU160" s="71">
        <f ca="1">-IF(C160=1,(F160+K160+L160+Q160)/2*'Invoer gegevens'!$F$38*Reeksen!H160,0)</f>
        <v>0</v>
      </c>
      <c r="AV160" s="71">
        <f t="shared" si="35"/>
        <v>0</v>
      </c>
      <c r="AW160" s="71">
        <f t="shared" ca="1" si="32"/>
        <v>0</v>
      </c>
      <c r="AX160" s="71">
        <f ca="1">IF(E160&lt;'Invoer gegevens'!$C$17+15,0,IF(E160&gt;'Invoer gegevens'!$C$17+215,0,AW160))</f>
        <v>0</v>
      </c>
      <c r="AY160" s="71">
        <f ca="1">AX160/(1+'Invoer gegevens'!$F$18)^($AZ160-('Invoer gegevens'!$C$17-'Invoer gegevens'!$C$16))/(1+'Invoer gegevens'!$C$39)^('Invoer gegevens'!$C$17-'Invoer gegevens'!$C$16)</f>
        <v>0</v>
      </c>
      <c r="AZ160" s="68">
        <f ca="1">IF(E160-'Invoer gegevens'!$C$17-14.5&lt;0,0,E160-'Invoer gegevens'!$C$17-14.5)</f>
        <v>140.5</v>
      </c>
    </row>
    <row r="161" spans="1:52" x14ac:dyDescent="0.25">
      <c r="A161" s="59"/>
      <c r="B161" s="70">
        <f t="shared" si="33"/>
        <v>157</v>
      </c>
      <c r="C161" s="67">
        <f ca="1">IF(E161-'Invoer gegevens'!$C$17&lt;0,0,1)</f>
        <v>1</v>
      </c>
      <c r="D161" s="68">
        <f t="shared" si="34"/>
        <v>156.5</v>
      </c>
      <c r="E161" s="69">
        <f ca="1">IF('Invoer gegevens'!$C$16="","",E160+1)</f>
        <v>2175</v>
      </c>
      <c r="F161" s="84">
        <f ca="1">IF('Invoer gegevens'!$C$17=E161,'Invoer gegevens'!$C$10,IF(C161=1,K160,0))</f>
        <v>0</v>
      </c>
      <c r="G161" s="96">
        <f ca="1">IF(C161&gt;=1,F161*VLOOKUP(E161,Reeksen!$A$5:$B$76,2),0)</f>
        <v>0</v>
      </c>
      <c r="H161" s="84">
        <f ca="1">(1-('Invoer gegevens'!$F$20/12))*F161*MIN(Reeksen!B161,Reeksen!D161)</f>
        <v>0</v>
      </c>
      <c r="I161" s="84">
        <f>IF(Reeksen!D161&lt;Reeksen!B161,(Reeksen!B161-Reeksen!D161)*F161,0)</f>
        <v>0</v>
      </c>
      <c r="J161" s="84">
        <f ca="1">('Invoer gegevens'!$F$20/12)*F160*MIN(Reeksen!B160,Reeksen!D160)</f>
        <v>0</v>
      </c>
      <c r="K161" s="97">
        <f t="shared" ca="1" si="24"/>
        <v>0</v>
      </c>
      <c r="L161" s="84">
        <f ca="1">IF('Invoer gegevens'!$C$17=E161,0,IF(C161=1,Q160,0))</f>
        <v>0</v>
      </c>
      <c r="M161" s="96">
        <f ca="1">IF(C161&gt;=1,L161*VLOOKUP(E161,Reeksen!$A$5:$B$76,2),0)</f>
        <v>0</v>
      </c>
      <c r="N161" s="84">
        <f ca="1">(1-('Invoer gegevens'!$F$20/12))*L161*MIN(Reeksen!B161,Reeksen!D161)</f>
        <v>0</v>
      </c>
      <c r="O161" s="84">
        <f>IF(Reeksen!D161&lt;Reeksen!B161,(Reeksen!B161-Reeksen!D161)*L161,0)</f>
        <v>0</v>
      </c>
      <c r="P161" s="84">
        <f ca="1">('Invoer gegevens'!$F$20/12)*L160*MIN(Reeksen!B160,Reeksen!D160)</f>
        <v>0</v>
      </c>
      <c r="Q161" s="84">
        <f t="shared" ca="1" si="25"/>
        <v>0</v>
      </c>
      <c r="R161" s="82">
        <f ca="1">IF('Invoer gegevens'!$C$17=E161,'Invoer gegevens'!$C$11,IF(C161=1,W160,0))</f>
        <v>0</v>
      </c>
      <c r="S161" s="86">
        <f ca="1">IF(C161&gt;=1,R161*VLOOKUP(E161,Reeksen!$A$5:$B$76,2),0)</f>
        <v>0</v>
      </c>
      <c r="T161" s="84">
        <f ca="1">(1-('Invoer gegevens'!$F$20/12))*R161*MIN(Reeksen!B161,Reeksen!D161)</f>
        <v>0</v>
      </c>
      <c r="U161" s="84">
        <f>IF(Reeksen!D161&gt;=Reeksen!B161,0,IF(Reeksen!AD161&lt;=Reeksen!AE161,(Reeksen!B161-Reeksen!D161)*R161,0))</f>
        <v>0</v>
      </c>
      <c r="V161" s="86">
        <f>IF(Reeksen!D161&gt;=Reeksen!B161,0,IF(Reeksen!AD161&gt;Reeksen!AE161,(Reeksen!B161-Reeksen!D161)*R161,0))</f>
        <v>0</v>
      </c>
      <c r="W161" s="97">
        <f t="shared" ca="1" si="26"/>
        <v>0</v>
      </c>
      <c r="X161" s="98">
        <f ca="1">IF('Invoer gegevens'!$C$17=E161,'Invoer gegevens'!$C$10-'Invoer gegevens'!$C$11,IF(C161=1,AC160,0))</f>
        <v>0</v>
      </c>
      <c r="Y161" s="98">
        <f ca="1">IF(C161&gt;=1,X161*VLOOKUP(E161,Reeksen!$A$5:$B$76,2),0)</f>
        <v>0</v>
      </c>
      <c r="Z161" s="98">
        <f ca="1">(1-('Invoer gegevens'!$F$20/12))*X161*MIN(Reeksen!B161,Reeksen!D161)</f>
        <v>0</v>
      </c>
      <c r="AA161" s="98">
        <f>IF(Reeksen!D161&gt;=Reeksen!B161,0,IF(Reeksen!AD161&lt;=Reeksen!AE161,(Reeksen!B161-Reeksen!D161)*X161,0))</f>
        <v>0</v>
      </c>
      <c r="AB161" s="98">
        <f>IF(Reeksen!D161&gt;=Reeksen!B161,0,IF(Reeksen!AD161&gt;Reeksen!AE161,(Reeksen!B161-Reeksen!D161)*X161,0))</f>
        <v>0</v>
      </c>
      <c r="AC161" s="99">
        <f t="shared" ca="1" si="27"/>
        <v>0</v>
      </c>
      <c r="AD161" s="98">
        <f ca="1">IF('Invoer gegevens'!$C$17=E161,R161,IF(C161=0,0,AE160))</f>
        <v>0</v>
      </c>
      <c r="AE161" s="98">
        <f t="shared" ca="1" si="28"/>
        <v>0</v>
      </c>
      <c r="AF161" s="98">
        <f ca="1">IF('Invoer gegevens'!$C$17=E161,X161,IF(C161=0,0,AG160))</f>
        <v>0</v>
      </c>
      <c r="AG161" s="98">
        <f t="shared" ca="1" si="29"/>
        <v>0</v>
      </c>
      <c r="AH161" s="66"/>
      <c r="AI161" s="71">
        <f ca="1">IF(C161=1,Reeksen!AI161*((F161-G161+F161)/2)*12+Reeksen!AD161*((L161-M161+L161)/2)*12,0)</f>
        <v>0</v>
      </c>
      <c r="AJ161" s="71">
        <f ca="1">-AI161*'Invoer gegevens'!$F$28</f>
        <v>0</v>
      </c>
      <c r="AK161" s="71">
        <f t="shared" ca="1" si="30"/>
        <v>0</v>
      </c>
      <c r="AL161" s="71">
        <f ca="1">IF(C161=1,Reeksen!AL161*((F161-G161+F161)/2)*12+Reeksen!AM161*((L161-M161+L161)/2)*12,0)</f>
        <v>0</v>
      </c>
      <c r="AM161" s="71">
        <f ca="1">-AL161*'Invoer gegevens'!$F$31</f>
        <v>0</v>
      </c>
      <c r="AN161" s="71">
        <f t="shared" ca="1" si="31"/>
        <v>0</v>
      </c>
      <c r="AO161" s="71">
        <f ca="1">IF(C161=1,(H161+J161+N161+P161)*Reeksen!AN161,0)</f>
        <v>0</v>
      </c>
      <c r="AP161" s="71">
        <f ca="1">-IF(C161=1,(H161+J161+N161+P161)*'Hulp - basis'!$G$550*Reeksen!H161,0)</f>
        <v>0</v>
      </c>
      <c r="AQ161" s="71">
        <f ca="1">-IF(C161=1,(F161+K161+L161+Q161)/2*'Invoer gegevens'!$F$35*Reeksen!J161,0)*2</f>
        <v>0</v>
      </c>
      <c r="AR161" s="71"/>
      <c r="AS161" s="71">
        <f ca="1">-IF(C161=1,(F161+K161+L161+Q161)/2*'Invoer gegevens'!$F$37*Reeksen!L161,0)</f>
        <v>0</v>
      </c>
      <c r="AT161" s="71">
        <f ca="1">-IF(C161=1,IF(E161='Invoer gegevens'!$C$17,'Invoer gegevens'!$C$11,AD161)*Reeksen!S161*'Invoer gegevens'!$C$18*Reeksen!P161,0)</f>
        <v>0</v>
      </c>
      <c r="AU161" s="71">
        <f ca="1">-IF(C161=1,(F161+K161+L161+Q161)/2*'Invoer gegevens'!$F$38*Reeksen!H161,0)</f>
        <v>0</v>
      </c>
      <c r="AV161" s="71">
        <f t="shared" si="35"/>
        <v>0</v>
      </c>
      <c r="AW161" s="71">
        <f t="shared" ca="1" si="32"/>
        <v>0</v>
      </c>
      <c r="AX161" s="71">
        <f ca="1">IF(E161&lt;'Invoer gegevens'!$C$17+15,0,IF(E161&gt;'Invoer gegevens'!$C$17+215,0,AW161))</f>
        <v>0</v>
      </c>
      <c r="AY161" s="71">
        <f ca="1">AX161/(1+'Invoer gegevens'!$F$18)^($AZ161-('Invoer gegevens'!$C$17-'Invoer gegevens'!$C$16))/(1+'Invoer gegevens'!$C$39)^('Invoer gegevens'!$C$17-'Invoer gegevens'!$C$16)</f>
        <v>0</v>
      </c>
      <c r="AZ161" s="68">
        <f ca="1">IF(E161-'Invoer gegevens'!$C$17-14.5&lt;0,0,E161-'Invoer gegevens'!$C$17-14.5)</f>
        <v>141.5</v>
      </c>
    </row>
    <row r="162" spans="1:52" x14ac:dyDescent="0.25">
      <c r="A162" s="59"/>
      <c r="B162" s="70">
        <f t="shared" si="33"/>
        <v>158</v>
      </c>
      <c r="C162" s="67">
        <f ca="1">IF(E162-'Invoer gegevens'!$C$17&lt;0,0,1)</f>
        <v>1</v>
      </c>
      <c r="D162" s="68">
        <f t="shared" si="34"/>
        <v>157.5</v>
      </c>
      <c r="E162" s="69">
        <f ca="1">IF('Invoer gegevens'!$C$16="","",E161+1)</f>
        <v>2176</v>
      </c>
      <c r="F162" s="84">
        <f ca="1">IF('Invoer gegevens'!$C$17=E162,'Invoer gegevens'!$C$10,IF(C162=1,K161,0))</f>
        <v>0</v>
      </c>
      <c r="G162" s="96">
        <f ca="1">IF(C162&gt;=1,F162*VLOOKUP(E162,Reeksen!$A$5:$B$76,2),0)</f>
        <v>0</v>
      </c>
      <c r="H162" s="84">
        <f ca="1">(1-('Invoer gegevens'!$F$20/12))*F162*MIN(Reeksen!B162,Reeksen!D162)</f>
        <v>0</v>
      </c>
      <c r="I162" s="84">
        <f>IF(Reeksen!D162&lt;Reeksen!B162,(Reeksen!B162-Reeksen!D162)*F162,0)</f>
        <v>0</v>
      </c>
      <c r="J162" s="84">
        <f ca="1">('Invoer gegevens'!$F$20/12)*F161*MIN(Reeksen!B161,Reeksen!D161)</f>
        <v>0</v>
      </c>
      <c r="K162" s="97">
        <f t="shared" ca="1" si="24"/>
        <v>0</v>
      </c>
      <c r="L162" s="84">
        <f ca="1">IF('Invoer gegevens'!$C$17=E162,0,IF(C162=1,Q161,0))</f>
        <v>0</v>
      </c>
      <c r="M162" s="96">
        <f ca="1">IF(C162&gt;=1,L162*VLOOKUP(E162,Reeksen!$A$5:$B$76,2),0)</f>
        <v>0</v>
      </c>
      <c r="N162" s="84">
        <f ca="1">(1-('Invoer gegevens'!$F$20/12))*L162*MIN(Reeksen!B162,Reeksen!D162)</f>
        <v>0</v>
      </c>
      <c r="O162" s="84">
        <f>IF(Reeksen!D162&lt;Reeksen!B162,(Reeksen!B162-Reeksen!D162)*L162,0)</f>
        <v>0</v>
      </c>
      <c r="P162" s="84">
        <f ca="1">('Invoer gegevens'!$F$20/12)*L161*MIN(Reeksen!B161,Reeksen!D161)</f>
        <v>0</v>
      </c>
      <c r="Q162" s="84">
        <f t="shared" ca="1" si="25"/>
        <v>0</v>
      </c>
      <c r="R162" s="82">
        <f ca="1">IF('Invoer gegevens'!$C$17=E162,'Invoer gegevens'!$C$11,IF(C162=1,W161,0))</f>
        <v>0</v>
      </c>
      <c r="S162" s="86">
        <f ca="1">IF(C162&gt;=1,R162*VLOOKUP(E162,Reeksen!$A$5:$B$76,2),0)</f>
        <v>0</v>
      </c>
      <c r="T162" s="84">
        <f ca="1">(1-('Invoer gegevens'!$F$20/12))*R162*MIN(Reeksen!B162,Reeksen!D162)</f>
        <v>0</v>
      </c>
      <c r="U162" s="84">
        <f>IF(Reeksen!D162&gt;=Reeksen!B162,0,IF(Reeksen!AD162&lt;=Reeksen!AE162,(Reeksen!B162-Reeksen!D162)*R162,0))</f>
        <v>0</v>
      </c>
      <c r="V162" s="86">
        <f>IF(Reeksen!D162&gt;=Reeksen!B162,0,IF(Reeksen!AD162&gt;Reeksen!AE162,(Reeksen!B162-Reeksen!D162)*R162,0))</f>
        <v>0</v>
      </c>
      <c r="W162" s="97">
        <f t="shared" ca="1" si="26"/>
        <v>0</v>
      </c>
      <c r="X162" s="98">
        <f ca="1">IF('Invoer gegevens'!$C$17=E162,'Invoer gegevens'!$C$10-'Invoer gegevens'!$C$11,IF(C162=1,AC161,0))</f>
        <v>0</v>
      </c>
      <c r="Y162" s="98">
        <f ca="1">IF(C162&gt;=1,X162*VLOOKUP(E162,Reeksen!$A$5:$B$76,2),0)</f>
        <v>0</v>
      </c>
      <c r="Z162" s="98">
        <f ca="1">(1-('Invoer gegevens'!$F$20/12))*X162*MIN(Reeksen!B162,Reeksen!D162)</f>
        <v>0</v>
      </c>
      <c r="AA162" s="98">
        <f>IF(Reeksen!D162&gt;=Reeksen!B162,0,IF(Reeksen!AD162&lt;=Reeksen!AE162,(Reeksen!B162-Reeksen!D162)*X162,0))</f>
        <v>0</v>
      </c>
      <c r="AB162" s="98">
        <f>IF(Reeksen!D162&gt;=Reeksen!B162,0,IF(Reeksen!AD162&gt;Reeksen!AE162,(Reeksen!B162-Reeksen!D162)*X162,0))</f>
        <v>0</v>
      </c>
      <c r="AC162" s="99">
        <f t="shared" ca="1" si="27"/>
        <v>0</v>
      </c>
      <c r="AD162" s="98">
        <f ca="1">IF('Invoer gegevens'!$C$17=E162,R162,IF(C162=0,0,AE161))</f>
        <v>0</v>
      </c>
      <c r="AE162" s="98">
        <f t="shared" ca="1" si="28"/>
        <v>0</v>
      </c>
      <c r="AF162" s="98">
        <f ca="1">IF('Invoer gegevens'!$C$17=E162,X162,IF(C162=0,0,AG161))</f>
        <v>0</v>
      </c>
      <c r="AG162" s="98">
        <f t="shared" ca="1" si="29"/>
        <v>0</v>
      </c>
      <c r="AH162" s="66"/>
      <c r="AI162" s="71">
        <f ca="1">IF(C162=1,Reeksen!AI162*((F162-G162+F162)/2)*12+Reeksen!AD162*((L162-M162+L162)/2)*12,0)</f>
        <v>0</v>
      </c>
      <c r="AJ162" s="71">
        <f ca="1">-AI162*'Invoer gegevens'!$F$28</f>
        <v>0</v>
      </c>
      <c r="AK162" s="71">
        <f t="shared" ca="1" si="30"/>
        <v>0</v>
      </c>
      <c r="AL162" s="71">
        <f ca="1">IF(C162=1,Reeksen!AL162*((F162-G162+F162)/2)*12+Reeksen!AM162*((L162-M162+L162)/2)*12,0)</f>
        <v>0</v>
      </c>
      <c r="AM162" s="71">
        <f ca="1">-AL162*'Invoer gegevens'!$F$31</f>
        <v>0</v>
      </c>
      <c r="AN162" s="71">
        <f t="shared" ca="1" si="31"/>
        <v>0</v>
      </c>
      <c r="AO162" s="71">
        <f ca="1">IF(C162=1,(H162+J162+N162+P162)*Reeksen!AN162,0)</f>
        <v>0</v>
      </c>
      <c r="AP162" s="71">
        <f ca="1">-IF(C162=1,(H162+J162+N162+P162)*'Hulp - basis'!$G$550*Reeksen!H162,0)</f>
        <v>0</v>
      </c>
      <c r="AQ162" s="71">
        <f ca="1">-IF(C162=1,(F162+K162+L162+Q162)/2*'Invoer gegevens'!$F$35*Reeksen!J162,0)*2</f>
        <v>0</v>
      </c>
      <c r="AR162" s="71"/>
      <c r="AS162" s="71">
        <f ca="1">-IF(C162=1,(F162+K162+L162+Q162)/2*'Invoer gegevens'!$F$37*Reeksen!L162,0)</f>
        <v>0</v>
      </c>
      <c r="AT162" s="71">
        <f ca="1">-IF(C162=1,IF(E162='Invoer gegevens'!$C$17,'Invoer gegevens'!$C$11,AD162)*Reeksen!S162*'Invoer gegevens'!$C$18*Reeksen!P162,0)</f>
        <v>0</v>
      </c>
      <c r="AU162" s="71">
        <f ca="1">-IF(C162=1,(F162+K162+L162+Q162)/2*'Invoer gegevens'!$F$38*Reeksen!H162,0)</f>
        <v>0</v>
      </c>
      <c r="AV162" s="71">
        <f t="shared" si="35"/>
        <v>0</v>
      </c>
      <c r="AW162" s="71">
        <f t="shared" ca="1" si="32"/>
        <v>0</v>
      </c>
      <c r="AX162" s="71">
        <f ca="1">IF(E162&lt;'Invoer gegevens'!$C$17+15,0,IF(E162&gt;'Invoer gegevens'!$C$17+215,0,AW162))</f>
        <v>0</v>
      </c>
      <c r="AY162" s="71">
        <f ca="1">AX162/(1+'Invoer gegevens'!$F$18)^($AZ162-('Invoer gegevens'!$C$17-'Invoer gegevens'!$C$16))/(1+'Invoer gegevens'!$C$39)^('Invoer gegevens'!$C$17-'Invoer gegevens'!$C$16)</f>
        <v>0</v>
      </c>
      <c r="AZ162" s="68">
        <f ca="1">IF(E162-'Invoer gegevens'!$C$17-14.5&lt;0,0,E162-'Invoer gegevens'!$C$17-14.5)</f>
        <v>142.5</v>
      </c>
    </row>
    <row r="163" spans="1:52" x14ac:dyDescent="0.25">
      <c r="A163" s="59"/>
      <c r="B163" s="70">
        <f t="shared" si="33"/>
        <v>159</v>
      </c>
      <c r="C163" s="67">
        <f ca="1">IF(E163-'Invoer gegevens'!$C$17&lt;0,0,1)</f>
        <v>1</v>
      </c>
      <c r="D163" s="68">
        <f t="shared" si="34"/>
        <v>158.5</v>
      </c>
      <c r="E163" s="69">
        <f ca="1">IF('Invoer gegevens'!$C$16="","",E162+1)</f>
        <v>2177</v>
      </c>
      <c r="F163" s="84">
        <f ca="1">IF('Invoer gegevens'!$C$17=E163,'Invoer gegevens'!$C$10,IF(C163=1,K162,0))</f>
        <v>0</v>
      </c>
      <c r="G163" s="96">
        <f ca="1">IF(C163&gt;=1,F163*VLOOKUP(E163,Reeksen!$A$5:$B$76,2),0)</f>
        <v>0</v>
      </c>
      <c r="H163" s="84">
        <f ca="1">(1-('Invoer gegevens'!$F$20/12))*F163*MIN(Reeksen!B163,Reeksen!D163)</f>
        <v>0</v>
      </c>
      <c r="I163" s="84">
        <f>IF(Reeksen!D163&lt;Reeksen!B163,(Reeksen!B163-Reeksen!D163)*F163,0)</f>
        <v>0</v>
      </c>
      <c r="J163" s="84">
        <f ca="1">('Invoer gegevens'!$F$20/12)*F162*MIN(Reeksen!B162,Reeksen!D162)</f>
        <v>0</v>
      </c>
      <c r="K163" s="97">
        <f t="shared" ca="1" si="24"/>
        <v>0</v>
      </c>
      <c r="L163" s="84">
        <f ca="1">IF('Invoer gegevens'!$C$17=E163,0,IF(C163=1,Q162,0))</f>
        <v>0</v>
      </c>
      <c r="M163" s="96">
        <f ca="1">IF(C163&gt;=1,L163*VLOOKUP(E163,Reeksen!$A$5:$B$76,2),0)</f>
        <v>0</v>
      </c>
      <c r="N163" s="84">
        <f ca="1">(1-('Invoer gegevens'!$F$20/12))*L163*MIN(Reeksen!B163,Reeksen!D163)</f>
        <v>0</v>
      </c>
      <c r="O163" s="84">
        <f>IF(Reeksen!D163&lt;Reeksen!B163,(Reeksen!B163-Reeksen!D163)*L163,0)</f>
        <v>0</v>
      </c>
      <c r="P163" s="84">
        <f ca="1">('Invoer gegevens'!$F$20/12)*L162*MIN(Reeksen!B162,Reeksen!D162)</f>
        <v>0</v>
      </c>
      <c r="Q163" s="84">
        <f t="shared" ca="1" si="25"/>
        <v>0</v>
      </c>
      <c r="R163" s="82">
        <f ca="1">IF('Invoer gegevens'!$C$17=E163,'Invoer gegevens'!$C$11,IF(C163=1,W162,0))</f>
        <v>0</v>
      </c>
      <c r="S163" s="86">
        <f ca="1">IF(C163&gt;=1,R163*VLOOKUP(E163,Reeksen!$A$5:$B$76,2),0)</f>
        <v>0</v>
      </c>
      <c r="T163" s="84">
        <f ca="1">(1-('Invoer gegevens'!$F$20/12))*R163*MIN(Reeksen!B163,Reeksen!D163)</f>
        <v>0</v>
      </c>
      <c r="U163" s="84">
        <f>IF(Reeksen!D163&gt;=Reeksen!B163,0,IF(Reeksen!AD163&lt;=Reeksen!AE163,(Reeksen!B163-Reeksen!D163)*R163,0))</f>
        <v>0</v>
      </c>
      <c r="V163" s="86">
        <f>IF(Reeksen!D163&gt;=Reeksen!B163,0,IF(Reeksen!AD163&gt;Reeksen!AE163,(Reeksen!B163-Reeksen!D163)*R163,0))</f>
        <v>0</v>
      </c>
      <c r="W163" s="97">
        <f t="shared" ca="1" si="26"/>
        <v>0</v>
      </c>
      <c r="X163" s="98">
        <f ca="1">IF('Invoer gegevens'!$C$17=E163,'Invoer gegevens'!$C$10-'Invoer gegevens'!$C$11,IF(C163=1,AC162,0))</f>
        <v>0</v>
      </c>
      <c r="Y163" s="98">
        <f ca="1">IF(C163&gt;=1,X163*VLOOKUP(E163,Reeksen!$A$5:$B$76,2),0)</f>
        <v>0</v>
      </c>
      <c r="Z163" s="98">
        <f ca="1">(1-('Invoer gegevens'!$F$20/12))*X163*MIN(Reeksen!B163,Reeksen!D163)</f>
        <v>0</v>
      </c>
      <c r="AA163" s="98">
        <f>IF(Reeksen!D163&gt;=Reeksen!B163,0,IF(Reeksen!AD163&lt;=Reeksen!AE163,(Reeksen!B163-Reeksen!D163)*X163,0))</f>
        <v>0</v>
      </c>
      <c r="AB163" s="98">
        <f>IF(Reeksen!D163&gt;=Reeksen!B163,0,IF(Reeksen!AD163&gt;Reeksen!AE163,(Reeksen!B163-Reeksen!D163)*X163,0))</f>
        <v>0</v>
      </c>
      <c r="AC163" s="99">
        <f t="shared" ca="1" si="27"/>
        <v>0</v>
      </c>
      <c r="AD163" s="98">
        <f ca="1">IF('Invoer gegevens'!$C$17=E163,R163,IF(C163=0,0,AE162))</f>
        <v>0</v>
      </c>
      <c r="AE163" s="98">
        <f t="shared" ca="1" si="28"/>
        <v>0</v>
      </c>
      <c r="AF163" s="98">
        <f ca="1">IF('Invoer gegevens'!$C$17=E163,X163,IF(C163=0,0,AG162))</f>
        <v>0</v>
      </c>
      <c r="AG163" s="98">
        <f t="shared" ca="1" si="29"/>
        <v>0</v>
      </c>
      <c r="AH163" s="66"/>
      <c r="AI163" s="71">
        <f ca="1">IF(C163=1,Reeksen!AI163*((F163-G163+F163)/2)*12+Reeksen!AD163*((L163-M163+L163)/2)*12,0)</f>
        <v>0</v>
      </c>
      <c r="AJ163" s="71">
        <f ca="1">-AI163*'Invoer gegevens'!$F$28</f>
        <v>0</v>
      </c>
      <c r="AK163" s="71">
        <f t="shared" ca="1" si="30"/>
        <v>0</v>
      </c>
      <c r="AL163" s="71">
        <f ca="1">IF(C163=1,Reeksen!AL163*((F163-G163+F163)/2)*12+Reeksen!AM163*((L163-M163+L163)/2)*12,0)</f>
        <v>0</v>
      </c>
      <c r="AM163" s="71">
        <f ca="1">-AL163*'Invoer gegevens'!$F$31</f>
        <v>0</v>
      </c>
      <c r="AN163" s="71">
        <f t="shared" ca="1" si="31"/>
        <v>0</v>
      </c>
      <c r="AO163" s="71">
        <f ca="1">IF(C163=1,(H163+J163+N163+P163)*Reeksen!AN163,0)</f>
        <v>0</v>
      </c>
      <c r="AP163" s="71">
        <f ca="1">-IF(C163=1,(H163+J163+N163+P163)*'Hulp - basis'!$G$550*Reeksen!H163,0)</f>
        <v>0</v>
      </c>
      <c r="AQ163" s="71">
        <f ca="1">-IF(C163=1,(F163+K163+L163+Q163)/2*'Invoer gegevens'!$F$35*Reeksen!J163,0)*2</f>
        <v>0</v>
      </c>
      <c r="AR163" s="71"/>
      <c r="AS163" s="71">
        <f ca="1">-IF(C163=1,(F163+K163+L163+Q163)/2*'Invoer gegevens'!$F$37*Reeksen!L163,0)</f>
        <v>0</v>
      </c>
      <c r="AT163" s="71">
        <f ca="1">-IF(C163=1,IF(E163='Invoer gegevens'!$C$17,'Invoer gegevens'!$C$11,AD163)*Reeksen!S163*'Invoer gegevens'!$C$18*Reeksen!P163,0)</f>
        <v>0</v>
      </c>
      <c r="AU163" s="71">
        <f ca="1">-IF(C163=1,(F163+K163+L163+Q163)/2*'Invoer gegevens'!$F$38*Reeksen!H163,0)</f>
        <v>0</v>
      </c>
      <c r="AV163" s="71">
        <f t="shared" si="35"/>
        <v>0</v>
      </c>
      <c r="AW163" s="71">
        <f t="shared" ca="1" si="32"/>
        <v>0</v>
      </c>
      <c r="AX163" s="71">
        <f ca="1">IF(E163&lt;'Invoer gegevens'!$C$17+15,0,IF(E163&gt;'Invoer gegevens'!$C$17+215,0,AW163))</f>
        <v>0</v>
      </c>
      <c r="AY163" s="71">
        <f ca="1">AX163/(1+'Invoer gegevens'!$F$18)^($AZ163-('Invoer gegevens'!$C$17-'Invoer gegevens'!$C$16))/(1+'Invoer gegevens'!$C$39)^('Invoer gegevens'!$C$17-'Invoer gegevens'!$C$16)</f>
        <v>0</v>
      </c>
      <c r="AZ163" s="68">
        <f ca="1">IF(E163-'Invoer gegevens'!$C$17-14.5&lt;0,0,E163-'Invoer gegevens'!$C$17-14.5)</f>
        <v>143.5</v>
      </c>
    </row>
    <row r="164" spans="1:52" x14ac:dyDescent="0.25">
      <c r="A164" s="59"/>
      <c r="B164" s="70">
        <f t="shared" si="33"/>
        <v>160</v>
      </c>
      <c r="C164" s="67">
        <f ca="1">IF(E164-'Invoer gegevens'!$C$17&lt;0,0,1)</f>
        <v>1</v>
      </c>
      <c r="D164" s="68">
        <f t="shared" si="34"/>
        <v>159.5</v>
      </c>
      <c r="E164" s="69">
        <f ca="1">IF('Invoer gegevens'!$C$16="","",E163+1)</f>
        <v>2178</v>
      </c>
      <c r="F164" s="84">
        <f ca="1">IF('Invoer gegevens'!$C$17=E164,'Invoer gegevens'!$C$10,IF(C164=1,K163,0))</f>
        <v>0</v>
      </c>
      <c r="G164" s="96">
        <f ca="1">IF(C164&gt;=1,F164*VLOOKUP(E164,Reeksen!$A$5:$B$76,2),0)</f>
        <v>0</v>
      </c>
      <c r="H164" s="84">
        <f ca="1">(1-('Invoer gegevens'!$F$20/12))*F164*MIN(Reeksen!B164,Reeksen!D164)</f>
        <v>0</v>
      </c>
      <c r="I164" s="84">
        <f>IF(Reeksen!D164&lt;Reeksen!B164,(Reeksen!B164-Reeksen!D164)*F164,0)</f>
        <v>0</v>
      </c>
      <c r="J164" s="84">
        <f ca="1">('Invoer gegevens'!$F$20/12)*F163*MIN(Reeksen!B163,Reeksen!D163)</f>
        <v>0</v>
      </c>
      <c r="K164" s="97">
        <f t="shared" ca="1" si="24"/>
        <v>0</v>
      </c>
      <c r="L164" s="84">
        <f ca="1">IF('Invoer gegevens'!$C$17=E164,0,IF(C164=1,Q163,0))</f>
        <v>0</v>
      </c>
      <c r="M164" s="96">
        <f ca="1">IF(C164&gt;=1,L164*VLOOKUP(E164,Reeksen!$A$5:$B$76,2),0)</f>
        <v>0</v>
      </c>
      <c r="N164" s="84">
        <f ca="1">(1-('Invoer gegevens'!$F$20/12))*L164*MIN(Reeksen!B164,Reeksen!D164)</f>
        <v>0</v>
      </c>
      <c r="O164" s="84">
        <f>IF(Reeksen!D164&lt;Reeksen!B164,(Reeksen!B164-Reeksen!D164)*L164,0)</f>
        <v>0</v>
      </c>
      <c r="P164" s="84">
        <f ca="1">('Invoer gegevens'!$F$20/12)*L163*MIN(Reeksen!B163,Reeksen!D163)</f>
        <v>0</v>
      </c>
      <c r="Q164" s="84">
        <f t="shared" ca="1" si="25"/>
        <v>0</v>
      </c>
      <c r="R164" s="82">
        <f ca="1">IF('Invoer gegevens'!$C$17=E164,'Invoer gegevens'!$C$11,IF(C164=1,W163,0))</f>
        <v>0</v>
      </c>
      <c r="S164" s="86">
        <f ca="1">IF(C164&gt;=1,R164*VLOOKUP(E164,Reeksen!$A$5:$B$76,2),0)</f>
        <v>0</v>
      </c>
      <c r="T164" s="84">
        <f ca="1">(1-('Invoer gegevens'!$F$20/12))*R164*MIN(Reeksen!B164,Reeksen!D164)</f>
        <v>0</v>
      </c>
      <c r="U164" s="84">
        <f>IF(Reeksen!D164&gt;=Reeksen!B164,0,IF(Reeksen!AD164&lt;=Reeksen!AE164,(Reeksen!B164-Reeksen!D164)*R164,0))</f>
        <v>0</v>
      </c>
      <c r="V164" s="86">
        <f>IF(Reeksen!D164&gt;=Reeksen!B164,0,IF(Reeksen!AD164&gt;Reeksen!AE164,(Reeksen!B164-Reeksen!D164)*R164,0))</f>
        <v>0</v>
      </c>
      <c r="W164" s="97">
        <f t="shared" ca="1" si="26"/>
        <v>0</v>
      </c>
      <c r="X164" s="98">
        <f ca="1">IF('Invoer gegevens'!$C$17=E164,'Invoer gegevens'!$C$10-'Invoer gegevens'!$C$11,IF(C164=1,AC163,0))</f>
        <v>0</v>
      </c>
      <c r="Y164" s="98">
        <f ca="1">IF(C164&gt;=1,X164*VLOOKUP(E164,Reeksen!$A$5:$B$76,2),0)</f>
        <v>0</v>
      </c>
      <c r="Z164" s="98">
        <f ca="1">(1-('Invoer gegevens'!$F$20/12))*X164*MIN(Reeksen!B164,Reeksen!D164)</f>
        <v>0</v>
      </c>
      <c r="AA164" s="98">
        <f>IF(Reeksen!D164&gt;=Reeksen!B164,0,IF(Reeksen!AD164&lt;=Reeksen!AE164,(Reeksen!B164-Reeksen!D164)*X164,0))</f>
        <v>0</v>
      </c>
      <c r="AB164" s="98">
        <f>IF(Reeksen!D164&gt;=Reeksen!B164,0,IF(Reeksen!AD164&gt;Reeksen!AE164,(Reeksen!B164-Reeksen!D164)*X164,0))</f>
        <v>0</v>
      </c>
      <c r="AC164" s="99">
        <f t="shared" ca="1" si="27"/>
        <v>0</v>
      </c>
      <c r="AD164" s="98">
        <f ca="1">IF('Invoer gegevens'!$C$17=E164,R164,IF(C164=0,0,AE163))</f>
        <v>0</v>
      </c>
      <c r="AE164" s="98">
        <f t="shared" ca="1" si="28"/>
        <v>0</v>
      </c>
      <c r="AF164" s="98">
        <f ca="1">IF('Invoer gegevens'!$C$17=E164,X164,IF(C164=0,0,AG163))</f>
        <v>0</v>
      </c>
      <c r="AG164" s="98">
        <f t="shared" ca="1" si="29"/>
        <v>0</v>
      </c>
      <c r="AH164" s="66"/>
      <c r="AI164" s="71">
        <f ca="1">IF(C164=1,Reeksen!AI164*((F164-G164+F164)/2)*12+Reeksen!AD164*((L164-M164+L164)/2)*12,0)</f>
        <v>0</v>
      </c>
      <c r="AJ164" s="71">
        <f ca="1">-AI164*'Invoer gegevens'!$F$28</f>
        <v>0</v>
      </c>
      <c r="AK164" s="71">
        <f t="shared" ca="1" si="30"/>
        <v>0</v>
      </c>
      <c r="AL164" s="71">
        <f ca="1">IF(C164=1,Reeksen!AL164*((F164-G164+F164)/2)*12+Reeksen!AM164*((L164-M164+L164)/2)*12,0)</f>
        <v>0</v>
      </c>
      <c r="AM164" s="71">
        <f ca="1">-AL164*'Invoer gegevens'!$F$31</f>
        <v>0</v>
      </c>
      <c r="AN164" s="71">
        <f t="shared" ca="1" si="31"/>
        <v>0</v>
      </c>
      <c r="AO164" s="71">
        <f ca="1">IF(C164=1,(H164+J164+N164+P164)*Reeksen!AN164,0)</f>
        <v>0</v>
      </c>
      <c r="AP164" s="71">
        <f ca="1">-IF(C164=1,(H164+J164+N164+P164)*'Hulp - basis'!$G$550*Reeksen!H164,0)</f>
        <v>0</v>
      </c>
      <c r="AQ164" s="71">
        <f ca="1">-IF(C164=1,(F164+K164+L164+Q164)/2*'Invoer gegevens'!$F$35*Reeksen!J164,0)*2</f>
        <v>0</v>
      </c>
      <c r="AR164" s="71"/>
      <c r="AS164" s="71">
        <f ca="1">-IF(C164=1,(F164+K164+L164+Q164)/2*'Invoer gegevens'!$F$37*Reeksen!L164,0)</f>
        <v>0</v>
      </c>
      <c r="AT164" s="71">
        <f ca="1">-IF(C164=1,IF(E164='Invoer gegevens'!$C$17,'Invoer gegevens'!$C$11,AD164)*Reeksen!S164*'Invoer gegevens'!$C$18*Reeksen!P164,0)</f>
        <v>0</v>
      </c>
      <c r="AU164" s="71">
        <f ca="1">-IF(C164=1,(F164+K164+L164+Q164)/2*'Invoer gegevens'!$F$38*Reeksen!H164,0)</f>
        <v>0</v>
      </c>
      <c r="AV164" s="71">
        <f t="shared" si="35"/>
        <v>0</v>
      </c>
      <c r="AW164" s="71">
        <f t="shared" ca="1" si="32"/>
        <v>0</v>
      </c>
      <c r="AX164" s="71">
        <f ca="1">IF(E164&lt;'Invoer gegevens'!$C$17+15,0,IF(E164&gt;'Invoer gegevens'!$C$17+215,0,AW164))</f>
        <v>0</v>
      </c>
      <c r="AY164" s="71">
        <f ca="1">AX164/(1+'Invoer gegevens'!$F$18)^($AZ164-('Invoer gegevens'!$C$17-'Invoer gegevens'!$C$16))/(1+'Invoer gegevens'!$C$39)^('Invoer gegevens'!$C$17-'Invoer gegevens'!$C$16)</f>
        <v>0</v>
      </c>
      <c r="AZ164" s="68">
        <f ca="1">IF(E164-'Invoer gegevens'!$C$17-14.5&lt;0,0,E164-'Invoer gegevens'!$C$17-14.5)</f>
        <v>144.5</v>
      </c>
    </row>
    <row r="165" spans="1:52" x14ac:dyDescent="0.25">
      <c r="A165" s="59"/>
      <c r="B165" s="70">
        <f t="shared" si="33"/>
        <v>161</v>
      </c>
      <c r="C165" s="67">
        <f ca="1">IF(E165-'Invoer gegevens'!$C$17&lt;0,0,1)</f>
        <v>1</v>
      </c>
      <c r="D165" s="68">
        <f t="shared" si="34"/>
        <v>160.5</v>
      </c>
      <c r="E165" s="69">
        <f ca="1">IF('Invoer gegevens'!$C$16="","",E164+1)</f>
        <v>2179</v>
      </c>
      <c r="F165" s="84">
        <f ca="1">IF('Invoer gegevens'!$C$17=E165,'Invoer gegevens'!$C$10,IF(C165=1,K164,0))</f>
        <v>0</v>
      </c>
      <c r="G165" s="96">
        <f ca="1">IF(C165&gt;=1,F165*VLOOKUP(E165,Reeksen!$A$5:$B$76,2),0)</f>
        <v>0</v>
      </c>
      <c r="H165" s="84">
        <f ca="1">(1-('Invoer gegevens'!$F$20/12))*F165*MIN(Reeksen!B165,Reeksen!D165)</f>
        <v>0</v>
      </c>
      <c r="I165" s="84">
        <f>IF(Reeksen!D165&lt;Reeksen!B165,(Reeksen!B165-Reeksen!D165)*F165,0)</f>
        <v>0</v>
      </c>
      <c r="J165" s="84">
        <f ca="1">('Invoer gegevens'!$F$20/12)*F164*MIN(Reeksen!B164,Reeksen!D164)</f>
        <v>0</v>
      </c>
      <c r="K165" s="97">
        <f t="shared" ca="1" si="24"/>
        <v>0</v>
      </c>
      <c r="L165" s="84">
        <f ca="1">IF('Invoer gegevens'!$C$17=E165,0,IF(C165=1,Q164,0))</f>
        <v>0</v>
      </c>
      <c r="M165" s="96">
        <f ca="1">IF(C165&gt;=1,L165*VLOOKUP(E165,Reeksen!$A$5:$B$76,2),0)</f>
        <v>0</v>
      </c>
      <c r="N165" s="84">
        <f ca="1">(1-('Invoer gegevens'!$F$20/12))*L165*MIN(Reeksen!B165,Reeksen!D165)</f>
        <v>0</v>
      </c>
      <c r="O165" s="84">
        <f>IF(Reeksen!D165&lt;Reeksen!B165,(Reeksen!B165-Reeksen!D165)*L165,0)</f>
        <v>0</v>
      </c>
      <c r="P165" s="84">
        <f ca="1">('Invoer gegevens'!$F$20/12)*L164*MIN(Reeksen!B164,Reeksen!D164)</f>
        <v>0</v>
      </c>
      <c r="Q165" s="84">
        <f t="shared" ca="1" si="25"/>
        <v>0</v>
      </c>
      <c r="R165" s="82">
        <f ca="1">IF('Invoer gegevens'!$C$17=E165,'Invoer gegevens'!$C$11,IF(C165=1,W164,0))</f>
        <v>0</v>
      </c>
      <c r="S165" s="86">
        <f ca="1">IF(C165&gt;=1,R165*VLOOKUP(E165,Reeksen!$A$5:$B$76,2),0)</f>
        <v>0</v>
      </c>
      <c r="T165" s="84">
        <f ca="1">(1-('Invoer gegevens'!$F$20/12))*R165*MIN(Reeksen!B165,Reeksen!D165)</f>
        <v>0</v>
      </c>
      <c r="U165" s="84">
        <f>IF(Reeksen!D165&gt;=Reeksen!B165,0,IF(Reeksen!AD165&lt;=Reeksen!AE165,(Reeksen!B165-Reeksen!D165)*R165,0))</f>
        <v>0</v>
      </c>
      <c r="V165" s="86">
        <f>IF(Reeksen!D165&gt;=Reeksen!B165,0,IF(Reeksen!AD165&gt;Reeksen!AE165,(Reeksen!B165-Reeksen!D165)*R165,0))</f>
        <v>0</v>
      </c>
      <c r="W165" s="97">
        <f t="shared" ca="1" si="26"/>
        <v>0</v>
      </c>
      <c r="X165" s="98">
        <f ca="1">IF('Invoer gegevens'!$C$17=E165,'Invoer gegevens'!$C$10-'Invoer gegevens'!$C$11,IF(C165=1,AC164,0))</f>
        <v>0</v>
      </c>
      <c r="Y165" s="98">
        <f ca="1">IF(C165&gt;=1,X165*VLOOKUP(E165,Reeksen!$A$5:$B$76,2),0)</f>
        <v>0</v>
      </c>
      <c r="Z165" s="98">
        <f ca="1">(1-('Invoer gegevens'!$F$20/12))*X165*MIN(Reeksen!B165,Reeksen!D165)</f>
        <v>0</v>
      </c>
      <c r="AA165" s="98">
        <f>IF(Reeksen!D165&gt;=Reeksen!B165,0,IF(Reeksen!AD165&lt;=Reeksen!AE165,(Reeksen!B165-Reeksen!D165)*X165,0))</f>
        <v>0</v>
      </c>
      <c r="AB165" s="98">
        <f>IF(Reeksen!D165&gt;=Reeksen!B165,0,IF(Reeksen!AD165&gt;Reeksen!AE165,(Reeksen!B165-Reeksen!D165)*X165,0))</f>
        <v>0</v>
      </c>
      <c r="AC165" s="99">
        <f t="shared" ca="1" si="27"/>
        <v>0</v>
      </c>
      <c r="AD165" s="98">
        <f ca="1">IF('Invoer gegevens'!$C$17=E165,R165,IF(C165=0,0,AE164))</f>
        <v>0</v>
      </c>
      <c r="AE165" s="98">
        <f t="shared" ca="1" si="28"/>
        <v>0</v>
      </c>
      <c r="AF165" s="98">
        <f ca="1">IF('Invoer gegevens'!$C$17=E165,X165,IF(C165=0,0,AG164))</f>
        <v>0</v>
      </c>
      <c r="AG165" s="98">
        <f t="shared" ca="1" si="29"/>
        <v>0</v>
      </c>
      <c r="AH165" s="66"/>
      <c r="AI165" s="71">
        <f ca="1">IF(C165=1,Reeksen!AI165*((F165-G165+F165)/2)*12+Reeksen!AD165*((L165-M165+L165)/2)*12,0)</f>
        <v>0</v>
      </c>
      <c r="AJ165" s="71">
        <f ca="1">-AI165*'Invoer gegevens'!$F$28</f>
        <v>0</v>
      </c>
      <c r="AK165" s="71">
        <f t="shared" ca="1" si="30"/>
        <v>0</v>
      </c>
      <c r="AL165" s="71">
        <f ca="1">IF(C165=1,Reeksen!AL165*((F165-G165+F165)/2)*12+Reeksen!AM165*((L165-M165+L165)/2)*12,0)</f>
        <v>0</v>
      </c>
      <c r="AM165" s="71">
        <f ca="1">-AL165*'Invoer gegevens'!$F$31</f>
        <v>0</v>
      </c>
      <c r="AN165" s="71">
        <f t="shared" ca="1" si="31"/>
        <v>0</v>
      </c>
      <c r="AO165" s="71">
        <f ca="1">IF(C165=1,(H165+J165+N165+P165)*Reeksen!AN165,0)</f>
        <v>0</v>
      </c>
      <c r="AP165" s="71">
        <f ca="1">-IF(C165=1,(H165+J165+N165+P165)*'Hulp - basis'!$G$550*Reeksen!H165,0)</f>
        <v>0</v>
      </c>
      <c r="AQ165" s="71">
        <f ca="1">-IF(C165=1,(F165+K165+L165+Q165)/2*'Invoer gegevens'!$F$35*Reeksen!J165,0)*2</f>
        <v>0</v>
      </c>
      <c r="AR165" s="71"/>
      <c r="AS165" s="71">
        <f ca="1">-IF(C165=1,(F165+K165+L165+Q165)/2*'Invoer gegevens'!$F$37*Reeksen!L165,0)</f>
        <v>0</v>
      </c>
      <c r="AT165" s="71">
        <f ca="1">-IF(C165=1,IF(E165='Invoer gegevens'!$C$17,'Invoer gegevens'!$C$11,AD165)*Reeksen!S165*'Invoer gegevens'!$C$18*Reeksen!P165,0)</f>
        <v>0</v>
      </c>
      <c r="AU165" s="71">
        <f ca="1">-IF(C165=1,(F165+K165+L165+Q165)/2*'Invoer gegevens'!$F$38*Reeksen!H165,0)</f>
        <v>0</v>
      </c>
      <c r="AV165" s="71">
        <f t="shared" si="35"/>
        <v>0</v>
      </c>
      <c r="AW165" s="71">
        <f t="shared" ca="1" si="32"/>
        <v>0</v>
      </c>
      <c r="AX165" s="71">
        <f ca="1">IF(E165&lt;'Invoer gegevens'!$C$17+15,0,IF(E165&gt;'Invoer gegevens'!$C$17+215,0,AW165))</f>
        <v>0</v>
      </c>
      <c r="AY165" s="71">
        <f ca="1">AX165/(1+'Invoer gegevens'!$F$18)^($AZ165-('Invoer gegevens'!$C$17-'Invoer gegevens'!$C$16))/(1+'Invoer gegevens'!$C$39)^('Invoer gegevens'!$C$17-'Invoer gegevens'!$C$16)</f>
        <v>0</v>
      </c>
      <c r="AZ165" s="68">
        <f ca="1">IF(E165-'Invoer gegevens'!$C$17-14.5&lt;0,0,E165-'Invoer gegevens'!$C$17-14.5)</f>
        <v>145.5</v>
      </c>
    </row>
    <row r="166" spans="1:52" x14ac:dyDescent="0.25">
      <c r="A166" s="59"/>
      <c r="B166" s="70">
        <f t="shared" si="33"/>
        <v>162</v>
      </c>
      <c r="C166" s="67">
        <f ca="1">IF(E166-'Invoer gegevens'!$C$17&lt;0,0,1)</f>
        <v>1</v>
      </c>
      <c r="D166" s="68">
        <f t="shared" si="34"/>
        <v>161.5</v>
      </c>
      <c r="E166" s="69">
        <f ca="1">IF('Invoer gegevens'!$C$16="","",E165+1)</f>
        <v>2180</v>
      </c>
      <c r="F166" s="84">
        <f ca="1">IF('Invoer gegevens'!$C$17=E166,'Invoer gegevens'!$C$10,IF(C166=1,K165,0))</f>
        <v>0</v>
      </c>
      <c r="G166" s="96">
        <f ca="1">IF(C166&gt;=1,F166*VLOOKUP(E166,Reeksen!$A$5:$B$76,2),0)</f>
        <v>0</v>
      </c>
      <c r="H166" s="84">
        <f ca="1">(1-('Invoer gegevens'!$F$20/12))*F166*MIN(Reeksen!B166,Reeksen!D166)</f>
        <v>0</v>
      </c>
      <c r="I166" s="84">
        <f>IF(Reeksen!D166&lt;Reeksen!B166,(Reeksen!B166-Reeksen!D166)*F166,0)</f>
        <v>0</v>
      </c>
      <c r="J166" s="84">
        <f ca="1">('Invoer gegevens'!$F$20/12)*F165*MIN(Reeksen!B165,Reeksen!D165)</f>
        <v>0</v>
      </c>
      <c r="K166" s="97">
        <f t="shared" ca="1" si="24"/>
        <v>0</v>
      </c>
      <c r="L166" s="84">
        <f ca="1">IF('Invoer gegevens'!$C$17=E166,0,IF(C166=1,Q165,0))</f>
        <v>0</v>
      </c>
      <c r="M166" s="96">
        <f ca="1">IF(C166&gt;=1,L166*VLOOKUP(E166,Reeksen!$A$5:$B$76,2),0)</f>
        <v>0</v>
      </c>
      <c r="N166" s="84">
        <f ca="1">(1-('Invoer gegevens'!$F$20/12))*L166*MIN(Reeksen!B166,Reeksen!D166)</f>
        <v>0</v>
      </c>
      <c r="O166" s="84">
        <f>IF(Reeksen!D166&lt;Reeksen!B166,(Reeksen!B166-Reeksen!D166)*L166,0)</f>
        <v>0</v>
      </c>
      <c r="P166" s="84">
        <f ca="1">('Invoer gegevens'!$F$20/12)*L165*MIN(Reeksen!B165,Reeksen!D165)</f>
        <v>0</v>
      </c>
      <c r="Q166" s="84">
        <f t="shared" ca="1" si="25"/>
        <v>0</v>
      </c>
      <c r="R166" s="82">
        <f ca="1">IF('Invoer gegevens'!$C$17=E166,'Invoer gegevens'!$C$11,IF(C166=1,W165,0))</f>
        <v>0</v>
      </c>
      <c r="S166" s="86">
        <f ca="1">IF(C166&gt;=1,R166*VLOOKUP(E166,Reeksen!$A$5:$B$76,2),0)</f>
        <v>0</v>
      </c>
      <c r="T166" s="84">
        <f ca="1">(1-('Invoer gegevens'!$F$20/12))*R166*MIN(Reeksen!B166,Reeksen!D166)</f>
        <v>0</v>
      </c>
      <c r="U166" s="84">
        <f>IF(Reeksen!D166&gt;=Reeksen!B166,0,IF(Reeksen!AD166&lt;=Reeksen!AE166,(Reeksen!B166-Reeksen!D166)*R166,0))</f>
        <v>0</v>
      </c>
      <c r="V166" s="86">
        <f>IF(Reeksen!D166&gt;=Reeksen!B166,0,IF(Reeksen!AD166&gt;Reeksen!AE166,(Reeksen!B166-Reeksen!D166)*R166,0))</f>
        <v>0</v>
      </c>
      <c r="W166" s="97">
        <f t="shared" ca="1" si="26"/>
        <v>0</v>
      </c>
      <c r="X166" s="98">
        <f ca="1">IF('Invoer gegevens'!$C$17=E166,'Invoer gegevens'!$C$10-'Invoer gegevens'!$C$11,IF(C166=1,AC165,0))</f>
        <v>0</v>
      </c>
      <c r="Y166" s="98">
        <f ca="1">IF(C166&gt;=1,X166*VLOOKUP(E166,Reeksen!$A$5:$B$76,2),0)</f>
        <v>0</v>
      </c>
      <c r="Z166" s="98">
        <f ca="1">(1-('Invoer gegevens'!$F$20/12))*X166*MIN(Reeksen!B166,Reeksen!D166)</f>
        <v>0</v>
      </c>
      <c r="AA166" s="98">
        <f>IF(Reeksen!D166&gt;=Reeksen!B166,0,IF(Reeksen!AD166&lt;=Reeksen!AE166,(Reeksen!B166-Reeksen!D166)*X166,0))</f>
        <v>0</v>
      </c>
      <c r="AB166" s="98">
        <f>IF(Reeksen!D166&gt;=Reeksen!B166,0,IF(Reeksen!AD166&gt;Reeksen!AE166,(Reeksen!B166-Reeksen!D166)*X166,0))</f>
        <v>0</v>
      </c>
      <c r="AC166" s="99">
        <f t="shared" ca="1" si="27"/>
        <v>0</v>
      </c>
      <c r="AD166" s="98">
        <f ca="1">IF('Invoer gegevens'!$C$17=E166,R166,IF(C166=0,0,AE165))</f>
        <v>0</v>
      </c>
      <c r="AE166" s="98">
        <f t="shared" ca="1" si="28"/>
        <v>0</v>
      </c>
      <c r="AF166" s="98">
        <f ca="1">IF('Invoer gegevens'!$C$17=E166,X166,IF(C166=0,0,AG165))</f>
        <v>0</v>
      </c>
      <c r="AG166" s="98">
        <f t="shared" ca="1" si="29"/>
        <v>0</v>
      </c>
      <c r="AH166" s="66"/>
      <c r="AI166" s="71">
        <f ca="1">IF(C166=1,Reeksen!AI166*((F166-G166+F166)/2)*12+Reeksen!AD166*((L166-M166+L166)/2)*12,0)</f>
        <v>0</v>
      </c>
      <c r="AJ166" s="71">
        <f ca="1">-AI166*'Invoer gegevens'!$F$28</f>
        <v>0</v>
      </c>
      <c r="AK166" s="71">
        <f t="shared" ca="1" si="30"/>
        <v>0</v>
      </c>
      <c r="AL166" s="71">
        <f ca="1">IF(C166=1,Reeksen!AL166*((F166-G166+F166)/2)*12+Reeksen!AM166*((L166-M166+L166)/2)*12,0)</f>
        <v>0</v>
      </c>
      <c r="AM166" s="71">
        <f ca="1">-AL166*'Invoer gegevens'!$F$31</f>
        <v>0</v>
      </c>
      <c r="AN166" s="71">
        <f t="shared" ca="1" si="31"/>
        <v>0</v>
      </c>
      <c r="AO166" s="71">
        <f ca="1">IF(C166=1,(H166+J166+N166+P166)*Reeksen!AN166,0)</f>
        <v>0</v>
      </c>
      <c r="AP166" s="71">
        <f ca="1">-IF(C166=1,(H166+J166+N166+P166)*'Hulp - basis'!$G$550*Reeksen!H166,0)</f>
        <v>0</v>
      </c>
      <c r="AQ166" s="71">
        <f ca="1">-IF(C166=1,(F166+K166+L166+Q166)/2*'Invoer gegevens'!$F$35*Reeksen!J166,0)*2</f>
        <v>0</v>
      </c>
      <c r="AR166" s="71"/>
      <c r="AS166" s="71">
        <f ca="1">-IF(C166=1,(F166+K166+L166+Q166)/2*'Invoer gegevens'!$F$37*Reeksen!L166,0)</f>
        <v>0</v>
      </c>
      <c r="AT166" s="71">
        <f ca="1">-IF(C166=1,IF(E166='Invoer gegevens'!$C$17,'Invoer gegevens'!$C$11,AD166)*Reeksen!S166*'Invoer gegevens'!$C$18*Reeksen!P166,0)</f>
        <v>0</v>
      </c>
      <c r="AU166" s="71">
        <f ca="1">-IF(C166=1,(F166+K166+L166+Q166)/2*'Invoer gegevens'!$F$38*Reeksen!H166,0)</f>
        <v>0</v>
      </c>
      <c r="AV166" s="71">
        <f t="shared" si="35"/>
        <v>0</v>
      </c>
      <c r="AW166" s="71">
        <f t="shared" ca="1" si="32"/>
        <v>0</v>
      </c>
      <c r="AX166" s="71">
        <f ca="1">IF(E166&lt;'Invoer gegevens'!$C$17+15,0,IF(E166&gt;'Invoer gegevens'!$C$17+215,0,AW166))</f>
        <v>0</v>
      </c>
      <c r="AY166" s="71">
        <f ca="1">AX166/(1+'Invoer gegevens'!$F$18)^($AZ166-('Invoer gegevens'!$C$17-'Invoer gegevens'!$C$16))/(1+'Invoer gegevens'!$C$39)^('Invoer gegevens'!$C$17-'Invoer gegevens'!$C$16)</f>
        <v>0</v>
      </c>
      <c r="AZ166" s="68">
        <f ca="1">IF(E166-'Invoer gegevens'!$C$17-14.5&lt;0,0,E166-'Invoer gegevens'!$C$17-14.5)</f>
        <v>146.5</v>
      </c>
    </row>
    <row r="167" spans="1:52" x14ac:dyDescent="0.25">
      <c r="A167" s="59"/>
      <c r="B167" s="70">
        <f t="shared" si="33"/>
        <v>163</v>
      </c>
      <c r="C167" s="67">
        <f ca="1">IF(E167-'Invoer gegevens'!$C$17&lt;0,0,1)</f>
        <v>1</v>
      </c>
      <c r="D167" s="68">
        <f t="shared" si="34"/>
        <v>162.5</v>
      </c>
      <c r="E167" s="69">
        <f ca="1">IF('Invoer gegevens'!$C$16="","",E166+1)</f>
        <v>2181</v>
      </c>
      <c r="F167" s="84">
        <f ca="1">IF('Invoer gegevens'!$C$17=E167,'Invoer gegevens'!$C$10,IF(C167=1,K166,0))</f>
        <v>0</v>
      </c>
      <c r="G167" s="96">
        <f ca="1">IF(C167&gt;=1,F167*VLOOKUP(E167,Reeksen!$A$5:$B$76,2),0)</f>
        <v>0</v>
      </c>
      <c r="H167" s="84">
        <f ca="1">(1-('Invoer gegevens'!$F$20/12))*F167*MIN(Reeksen!B167,Reeksen!D167)</f>
        <v>0</v>
      </c>
      <c r="I167" s="84">
        <f>IF(Reeksen!D167&lt;Reeksen!B167,(Reeksen!B167-Reeksen!D167)*F167,0)</f>
        <v>0</v>
      </c>
      <c r="J167" s="84">
        <f ca="1">('Invoer gegevens'!$F$20/12)*F166*MIN(Reeksen!B166,Reeksen!D166)</f>
        <v>0</v>
      </c>
      <c r="K167" s="97">
        <f t="shared" ca="1" si="24"/>
        <v>0</v>
      </c>
      <c r="L167" s="84">
        <f ca="1">IF('Invoer gegevens'!$C$17=E167,0,IF(C167=1,Q166,0))</f>
        <v>0</v>
      </c>
      <c r="M167" s="96">
        <f ca="1">IF(C167&gt;=1,L167*VLOOKUP(E167,Reeksen!$A$5:$B$76,2),0)</f>
        <v>0</v>
      </c>
      <c r="N167" s="84">
        <f ca="1">(1-('Invoer gegevens'!$F$20/12))*L167*MIN(Reeksen!B167,Reeksen!D167)</f>
        <v>0</v>
      </c>
      <c r="O167" s="84">
        <f>IF(Reeksen!D167&lt;Reeksen!B167,(Reeksen!B167-Reeksen!D167)*L167,0)</f>
        <v>0</v>
      </c>
      <c r="P167" s="84">
        <f ca="1">('Invoer gegevens'!$F$20/12)*L166*MIN(Reeksen!B166,Reeksen!D166)</f>
        <v>0</v>
      </c>
      <c r="Q167" s="84">
        <f t="shared" ca="1" si="25"/>
        <v>0</v>
      </c>
      <c r="R167" s="82">
        <f ca="1">IF('Invoer gegevens'!$C$17=E167,'Invoer gegevens'!$C$11,IF(C167=1,W166,0))</f>
        <v>0</v>
      </c>
      <c r="S167" s="86">
        <f ca="1">IF(C167&gt;=1,R167*VLOOKUP(E167,Reeksen!$A$5:$B$76,2),0)</f>
        <v>0</v>
      </c>
      <c r="T167" s="84">
        <f ca="1">(1-('Invoer gegevens'!$F$20/12))*R167*MIN(Reeksen!B167,Reeksen!D167)</f>
        <v>0</v>
      </c>
      <c r="U167" s="84">
        <f>IF(Reeksen!D167&gt;=Reeksen!B167,0,IF(Reeksen!AD167&lt;=Reeksen!AE167,(Reeksen!B167-Reeksen!D167)*R167,0))</f>
        <v>0</v>
      </c>
      <c r="V167" s="86">
        <f>IF(Reeksen!D167&gt;=Reeksen!B167,0,IF(Reeksen!AD167&gt;Reeksen!AE167,(Reeksen!B167-Reeksen!D167)*R167,0))</f>
        <v>0</v>
      </c>
      <c r="W167" s="97">
        <f t="shared" ca="1" si="26"/>
        <v>0</v>
      </c>
      <c r="X167" s="98">
        <f ca="1">IF('Invoer gegevens'!$C$17=E167,'Invoer gegevens'!$C$10-'Invoer gegevens'!$C$11,IF(C167=1,AC166,0))</f>
        <v>0</v>
      </c>
      <c r="Y167" s="98">
        <f ca="1">IF(C167&gt;=1,X167*VLOOKUP(E167,Reeksen!$A$5:$B$76,2),0)</f>
        <v>0</v>
      </c>
      <c r="Z167" s="98">
        <f ca="1">(1-('Invoer gegevens'!$F$20/12))*X167*MIN(Reeksen!B167,Reeksen!D167)</f>
        <v>0</v>
      </c>
      <c r="AA167" s="98">
        <f>IF(Reeksen!D167&gt;=Reeksen!B167,0,IF(Reeksen!AD167&lt;=Reeksen!AE167,(Reeksen!B167-Reeksen!D167)*X167,0))</f>
        <v>0</v>
      </c>
      <c r="AB167" s="98">
        <f>IF(Reeksen!D167&gt;=Reeksen!B167,0,IF(Reeksen!AD167&gt;Reeksen!AE167,(Reeksen!B167-Reeksen!D167)*X167,0))</f>
        <v>0</v>
      </c>
      <c r="AC167" s="99">
        <f t="shared" ca="1" si="27"/>
        <v>0</v>
      </c>
      <c r="AD167" s="98">
        <f ca="1">IF('Invoer gegevens'!$C$17=E167,R167,IF(C167=0,0,AE166))</f>
        <v>0</v>
      </c>
      <c r="AE167" s="98">
        <f t="shared" ca="1" si="28"/>
        <v>0</v>
      </c>
      <c r="AF167" s="98">
        <f ca="1">IF('Invoer gegevens'!$C$17=E167,X167,IF(C167=0,0,AG166))</f>
        <v>0</v>
      </c>
      <c r="AG167" s="98">
        <f t="shared" ca="1" si="29"/>
        <v>0</v>
      </c>
      <c r="AH167" s="66"/>
      <c r="AI167" s="71">
        <f ca="1">IF(C167=1,Reeksen!AI167*((F167-G167+F167)/2)*12+Reeksen!AD167*((L167-M167+L167)/2)*12,0)</f>
        <v>0</v>
      </c>
      <c r="AJ167" s="71">
        <f ca="1">-AI167*'Invoer gegevens'!$F$28</f>
        <v>0</v>
      </c>
      <c r="AK167" s="71">
        <f t="shared" ca="1" si="30"/>
        <v>0</v>
      </c>
      <c r="AL167" s="71">
        <f ca="1">IF(C167=1,Reeksen!AL167*((F167-G167+F167)/2)*12+Reeksen!AM167*((L167-M167+L167)/2)*12,0)</f>
        <v>0</v>
      </c>
      <c r="AM167" s="71">
        <f ca="1">-AL167*'Invoer gegevens'!$F$31</f>
        <v>0</v>
      </c>
      <c r="AN167" s="71">
        <f t="shared" ca="1" si="31"/>
        <v>0</v>
      </c>
      <c r="AO167" s="71">
        <f ca="1">IF(C167=1,(H167+J167+N167+P167)*Reeksen!AN167,0)</f>
        <v>0</v>
      </c>
      <c r="AP167" s="71">
        <f ca="1">-IF(C167=1,(H167+J167+N167+P167)*'Hulp - basis'!$G$550*Reeksen!H167,0)</f>
        <v>0</v>
      </c>
      <c r="AQ167" s="71">
        <f ca="1">-IF(C167=1,(F167+K167+L167+Q167)/2*'Invoer gegevens'!$F$35*Reeksen!J167,0)*2</f>
        <v>0</v>
      </c>
      <c r="AR167" s="71"/>
      <c r="AS167" s="71">
        <f ca="1">-IF(C167=1,(F167+K167+L167+Q167)/2*'Invoer gegevens'!$F$37*Reeksen!L167,0)</f>
        <v>0</v>
      </c>
      <c r="AT167" s="71">
        <f ca="1">-IF(C167=1,IF(E167='Invoer gegevens'!$C$17,'Invoer gegevens'!$C$11,AD167)*Reeksen!S167*'Invoer gegevens'!$C$18*Reeksen!P167,0)</f>
        <v>0</v>
      </c>
      <c r="AU167" s="71">
        <f ca="1">-IF(C167=1,(F167+K167+L167+Q167)/2*'Invoer gegevens'!$F$38*Reeksen!H167,0)</f>
        <v>0</v>
      </c>
      <c r="AV167" s="71">
        <f t="shared" si="35"/>
        <v>0</v>
      </c>
      <c r="AW167" s="71">
        <f t="shared" ca="1" si="32"/>
        <v>0</v>
      </c>
      <c r="AX167" s="71">
        <f ca="1">IF(E167&lt;'Invoer gegevens'!$C$17+15,0,IF(E167&gt;'Invoer gegevens'!$C$17+215,0,AW167))</f>
        <v>0</v>
      </c>
      <c r="AY167" s="71">
        <f ca="1">AX167/(1+'Invoer gegevens'!$F$18)^($AZ167-('Invoer gegevens'!$C$17-'Invoer gegevens'!$C$16))/(1+'Invoer gegevens'!$C$39)^('Invoer gegevens'!$C$17-'Invoer gegevens'!$C$16)</f>
        <v>0</v>
      </c>
      <c r="AZ167" s="68">
        <f ca="1">IF(E167-'Invoer gegevens'!$C$17-14.5&lt;0,0,E167-'Invoer gegevens'!$C$17-14.5)</f>
        <v>147.5</v>
      </c>
    </row>
    <row r="168" spans="1:52" x14ac:dyDescent="0.25">
      <c r="A168" s="59"/>
      <c r="B168" s="70">
        <f t="shared" si="33"/>
        <v>164</v>
      </c>
      <c r="C168" s="67">
        <f ca="1">IF(E168-'Invoer gegevens'!$C$17&lt;0,0,1)</f>
        <v>1</v>
      </c>
      <c r="D168" s="68">
        <f t="shared" si="34"/>
        <v>163.5</v>
      </c>
      <c r="E168" s="69">
        <f ca="1">IF('Invoer gegevens'!$C$16="","",E167+1)</f>
        <v>2182</v>
      </c>
      <c r="F168" s="84">
        <f ca="1">IF('Invoer gegevens'!$C$17=E168,'Invoer gegevens'!$C$10,IF(C168=1,K167,0))</f>
        <v>0</v>
      </c>
      <c r="G168" s="96">
        <f ca="1">IF(C168&gt;=1,F168*VLOOKUP(E168,Reeksen!$A$5:$B$76,2),0)</f>
        <v>0</v>
      </c>
      <c r="H168" s="84">
        <f ca="1">(1-('Invoer gegevens'!$F$20/12))*F168*MIN(Reeksen!B168,Reeksen!D168)</f>
        <v>0</v>
      </c>
      <c r="I168" s="84">
        <f>IF(Reeksen!D168&lt;Reeksen!B168,(Reeksen!B168-Reeksen!D168)*F168,0)</f>
        <v>0</v>
      </c>
      <c r="J168" s="84">
        <f ca="1">('Invoer gegevens'!$F$20/12)*F167*MIN(Reeksen!B167,Reeksen!D167)</f>
        <v>0</v>
      </c>
      <c r="K168" s="97">
        <f t="shared" ca="1" si="24"/>
        <v>0</v>
      </c>
      <c r="L168" s="84">
        <f ca="1">IF('Invoer gegevens'!$C$17=E168,0,IF(C168=1,Q167,0))</f>
        <v>0</v>
      </c>
      <c r="M168" s="96">
        <f ca="1">IF(C168&gt;=1,L168*VLOOKUP(E168,Reeksen!$A$5:$B$76,2),0)</f>
        <v>0</v>
      </c>
      <c r="N168" s="84">
        <f ca="1">(1-('Invoer gegevens'!$F$20/12))*L168*MIN(Reeksen!B168,Reeksen!D168)</f>
        <v>0</v>
      </c>
      <c r="O168" s="84">
        <f>IF(Reeksen!D168&lt;Reeksen!B168,(Reeksen!B168-Reeksen!D168)*L168,0)</f>
        <v>0</v>
      </c>
      <c r="P168" s="84">
        <f ca="1">('Invoer gegevens'!$F$20/12)*L167*MIN(Reeksen!B167,Reeksen!D167)</f>
        <v>0</v>
      </c>
      <c r="Q168" s="84">
        <f t="shared" ca="1" si="25"/>
        <v>0</v>
      </c>
      <c r="R168" s="82">
        <f ca="1">IF('Invoer gegevens'!$C$17=E168,'Invoer gegevens'!$C$11,IF(C168=1,W167,0))</f>
        <v>0</v>
      </c>
      <c r="S168" s="86">
        <f ca="1">IF(C168&gt;=1,R168*VLOOKUP(E168,Reeksen!$A$5:$B$76,2),0)</f>
        <v>0</v>
      </c>
      <c r="T168" s="84">
        <f ca="1">(1-('Invoer gegevens'!$F$20/12))*R168*MIN(Reeksen!B168,Reeksen!D168)</f>
        <v>0</v>
      </c>
      <c r="U168" s="84">
        <f>IF(Reeksen!D168&gt;=Reeksen!B168,0,IF(Reeksen!AD168&lt;=Reeksen!AE168,(Reeksen!B168-Reeksen!D168)*R168,0))</f>
        <v>0</v>
      </c>
      <c r="V168" s="86">
        <f>IF(Reeksen!D168&gt;=Reeksen!B168,0,IF(Reeksen!AD168&gt;Reeksen!AE168,(Reeksen!B168-Reeksen!D168)*R168,0))</f>
        <v>0</v>
      </c>
      <c r="W168" s="97">
        <f t="shared" ca="1" si="26"/>
        <v>0</v>
      </c>
      <c r="X168" s="98">
        <f ca="1">IF('Invoer gegevens'!$C$17=E168,'Invoer gegevens'!$C$10-'Invoer gegevens'!$C$11,IF(C168=1,AC167,0))</f>
        <v>0</v>
      </c>
      <c r="Y168" s="98">
        <f ca="1">IF(C168&gt;=1,X168*VLOOKUP(E168,Reeksen!$A$5:$B$76,2),0)</f>
        <v>0</v>
      </c>
      <c r="Z168" s="98">
        <f ca="1">(1-('Invoer gegevens'!$F$20/12))*X168*MIN(Reeksen!B168,Reeksen!D168)</f>
        <v>0</v>
      </c>
      <c r="AA168" s="98">
        <f>IF(Reeksen!D168&gt;=Reeksen!B168,0,IF(Reeksen!AD168&lt;=Reeksen!AE168,(Reeksen!B168-Reeksen!D168)*X168,0))</f>
        <v>0</v>
      </c>
      <c r="AB168" s="98">
        <f>IF(Reeksen!D168&gt;=Reeksen!B168,0,IF(Reeksen!AD168&gt;Reeksen!AE168,(Reeksen!B168-Reeksen!D168)*X168,0))</f>
        <v>0</v>
      </c>
      <c r="AC168" s="99">
        <f t="shared" ca="1" si="27"/>
        <v>0</v>
      </c>
      <c r="AD168" s="98">
        <f ca="1">IF('Invoer gegevens'!$C$17=E168,R168,IF(C168=0,0,AE167))</f>
        <v>0</v>
      </c>
      <c r="AE168" s="98">
        <f t="shared" ca="1" si="28"/>
        <v>0</v>
      </c>
      <c r="AF168" s="98">
        <f ca="1">IF('Invoer gegevens'!$C$17=E168,X168,IF(C168=0,0,AG167))</f>
        <v>0</v>
      </c>
      <c r="AG168" s="98">
        <f t="shared" ca="1" si="29"/>
        <v>0</v>
      </c>
      <c r="AH168" s="66"/>
      <c r="AI168" s="71">
        <f ca="1">IF(C168=1,Reeksen!AI168*((F168-G168+F168)/2)*12+Reeksen!AD168*((L168-M168+L168)/2)*12,0)</f>
        <v>0</v>
      </c>
      <c r="AJ168" s="71">
        <f ca="1">-AI168*'Invoer gegevens'!$F$28</f>
        <v>0</v>
      </c>
      <c r="AK168" s="71">
        <f t="shared" ca="1" si="30"/>
        <v>0</v>
      </c>
      <c r="AL168" s="71">
        <f ca="1">IF(C168=1,Reeksen!AL168*((F168-G168+F168)/2)*12+Reeksen!AM168*((L168-M168+L168)/2)*12,0)</f>
        <v>0</v>
      </c>
      <c r="AM168" s="71">
        <f ca="1">-AL168*'Invoer gegevens'!$F$31</f>
        <v>0</v>
      </c>
      <c r="AN168" s="71">
        <f t="shared" ca="1" si="31"/>
        <v>0</v>
      </c>
      <c r="AO168" s="71">
        <f ca="1">IF(C168=1,(H168+J168+N168+P168)*Reeksen!AN168,0)</f>
        <v>0</v>
      </c>
      <c r="AP168" s="71">
        <f ca="1">-IF(C168=1,(H168+J168+N168+P168)*'Hulp - basis'!$G$550*Reeksen!H168,0)</f>
        <v>0</v>
      </c>
      <c r="AQ168" s="71">
        <f ca="1">-IF(C168=1,(F168+K168+L168+Q168)/2*'Invoer gegevens'!$F$35*Reeksen!J168,0)*2</f>
        <v>0</v>
      </c>
      <c r="AR168" s="71"/>
      <c r="AS168" s="71">
        <f ca="1">-IF(C168=1,(F168+K168+L168+Q168)/2*'Invoer gegevens'!$F$37*Reeksen!L168,0)</f>
        <v>0</v>
      </c>
      <c r="AT168" s="71">
        <f ca="1">-IF(C168=1,IF(E168='Invoer gegevens'!$C$17,'Invoer gegevens'!$C$11,AD168)*Reeksen!S168*'Invoer gegevens'!$C$18*Reeksen!P168,0)</f>
        <v>0</v>
      </c>
      <c r="AU168" s="71">
        <f ca="1">-IF(C168=1,(F168+K168+L168+Q168)/2*'Invoer gegevens'!$F$38*Reeksen!H168,0)</f>
        <v>0</v>
      </c>
      <c r="AV168" s="71">
        <f t="shared" si="35"/>
        <v>0</v>
      </c>
      <c r="AW168" s="71">
        <f t="shared" ca="1" si="32"/>
        <v>0</v>
      </c>
      <c r="AX168" s="71">
        <f ca="1">IF(E168&lt;'Invoer gegevens'!$C$17+15,0,IF(E168&gt;'Invoer gegevens'!$C$17+215,0,AW168))</f>
        <v>0</v>
      </c>
      <c r="AY168" s="71">
        <f ca="1">AX168/(1+'Invoer gegevens'!$F$18)^($AZ168-('Invoer gegevens'!$C$17-'Invoer gegevens'!$C$16))/(1+'Invoer gegevens'!$C$39)^('Invoer gegevens'!$C$17-'Invoer gegevens'!$C$16)</f>
        <v>0</v>
      </c>
      <c r="AZ168" s="68">
        <f ca="1">IF(E168-'Invoer gegevens'!$C$17-14.5&lt;0,0,E168-'Invoer gegevens'!$C$17-14.5)</f>
        <v>148.5</v>
      </c>
    </row>
    <row r="169" spans="1:52" x14ac:dyDescent="0.25">
      <c r="A169" s="59"/>
      <c r="B169" s="70">
        <f t="shared" si="33"/>
        <v>165</v>
      </c>
      <c r="C169" s="67">
        <f ca="1">IF(E169-'Invoer gegevens'!$C$17&lt;0,0,1)</f>
        <v>1</v>
      </c>
      <c r="D169" s="68">
        <f t="shared" si="34"/>
        <v>164.5</v>
      </c>
      <c r="E169" s="69">
        <f ca="1">IF('Invoer gegevens'!$C$16="","",E168+1)</f>
        <v>2183</v>
      </c>
      <c r="F169" s="84">
        <f ca="1">IF('Invoer gegevens'!$C$17=E169,'Invoer gegevens'!$C$10,IF(C169=1,K168,0))</f>
        <v>0</v>
      </c>
      <c r="G169" s="96">
        <f ca="1">IF(C169&gt;=1,F169*VLOOKUP(E169,Reeksen!$A$5:$B$76,2),0)</f>
        <v>0</v>
      </c>
      <c r="H169" s="84">
        <f ca="1">(1-('Invoer gegevens'!$F$20/12))*F169*MIN(Reeksen!B169,Reeksen!D169)</f>
        <v>0</v>
      </c>
      <c r="I169" s="84">
        <f>IF(Reeksen!D169&lt;Reeksen!B169,(Reeksen!B169-Reeksen!D169)*F169,0)</f>
        <v>0</v>
      </c>
      <c r="J169" s="84">
        <f ca="1">('Invoer gegevens'!$F$20/12)*F168*MIN(Reeksen!B168,Reeksen!D168)</f>
        <v>0</v>
      </c>
      <c r="K169" s="97">
        <f t="shared" ca="1" si="24"/>
        <v>0</v>
      </c>
      <c r="L169" s="84">
        <f ca="1">IF('Invoer gegevens'!$C$17=E169,0,IF(C169=1,Q168,0))</f>
        <v>0</v>
      </c>
      <c r="M169" s="96">
        <f ca="1">IF(C169&gt;=1,L169*VLOOKUP(E169,Reeksen!$A$5:$B$76,2),0)</f>
        <v>0</v>
      </c>
      <c r="N169" s="84">
        <f ca="1">(1-('Invoer gegevens'!$F$20/12))*L169*MIN(Reeksen!B169,Reeksen!D169)</f>
        <v>0</v>
      </c>
      <c r="O169" s="84">
        <f>IF(Reeksen!D169&lt;Reeksen!B169,(Reeksen!B169-Reeksen!D169)*L169,0)</f>
        <v>0</v>
      </c>
      <c r="P169" s="84">
        <f ca="1">('Invoer gegevens'!$F$20/12)*L168*MIN(Reeksen!B168,Reeksen!D168)</f>
        <v>0</v>
      </c>
      <c r="Q169" s="84">
        <f t="shared" ca="1" si="25"/>
        <v>0</v>
      </c>
      <c r="R169" s="82">
        <f ca="1">IF('Invoer gegevens'!$C$17=E169,'Invoer gegevens'!$C$11,IF(C169=1,W168,0))</f>
        <v>0</v>
      </c>
      <c r="S169" s="86">
        <f ca="1">IF(C169&gt;=1,R169*VLOOKUP(E169,Reeksen!$A$5:$B$76,2),0)</f>
        <v>0</v>
      </c>
      <c r="T169" s="84">
        <f ca="1">(1-('Invoer gegevens'!$F$20/12))*R169*MIN(Reeksen!B169,Reeksen!D169)</f>
        <v>0</v>
      </c>
      <c r="U169" s="84">
        <f>IF(Reeksen!D169&gt;=Reeksen!B169,0,IF(Reeksen!AD169&lt;=Reeksen!AE169,(Reeksen!B169-Reeksen!D169)*R169,0))</f>
        <v>0</v>
      </c>
      <c r="V169" s="86">
        <f>IF(Reeksen!D169&gt;=Reeksen!B169,0,IF(Reeksen!AD169&gt;Reeksen!AE169,(Reeksen!B169-Reeksen!D169)*R169,0))</f>
        <v>0</v>
      </c>
      <c r="W169" s="97">
        <f t="shared" ca="1" si="26"/>
        <v>0</v>
      </c>
      <c r="X169" s="98">
        <f ca="1">IF('Invoer gegevens'!$C$17=E169,'Invoer gegevens'!$C$10-'Invoer gegevens'!$C$11,IF(C169=1,AC168,0))</f>
        <v>0</v>
      </c>
      <c r="Y169" s="98">
        <f ca="1">IF(C169&gt;=1,X169*VLOOKUP(E169,Reeksen!$A$5:$B$76,2),0)</f>
        <v>0</v>
      </c>
      <c r="Z169" s="98">
        <f ca="1">(1-('Invoer gegevens'!$F$20/12))*X169*MIN(Reeksen!B169,Reeksen!D169)</f>
        <v>0</v>
      </c>
      <c r="AA169" s="98">
        <f>IF(Reeksen!D169&gt;=Reeksen!B169,0,IF(Reeksen!AD169&lt;=Reeksen!AE169,(Reeksen!B169-Reeksen!D169)*X169,0))</f>
        <v>0</v>
      </c>
      <c r="AB169" s="98">
        <f>IF(Reeksen!D169&gt;=Reeksen!B169,0,IF(Reeksen!AD169&gt;Reeksen!AE169,(Reeksen!B169-Reeksen!D169)*X169,0))</f>
        <v>0</v>
      </c>
      <c r="AC169" s="99">
        <f t="shared" ca="1" si="27"/>
        <v>0</v>
      </c>
      <c r="AD169" s="98">
        <f ca="1">IF('Invoer gegevens'!$C$17=E169,R169,IF(C169=0,0,AE168))</f>
        <v>0</v>
      </c>
      <c r="AE169" s="98">
        <f t="shared" ca="1" si="28"/>
        <v>0</v>
      </c>
      <c r="AF169" s="98">
        <f ca="1">IF('Invoer gegevens'!$C$17=E169,X169,IF(C169=0,0,AG168))</f>
        <v>0</v>
      </c>
      <c r="AG169" s="98">
        <f t="shared" ca="1" si="29"/>
        <v>0</v>
      </c>
      <c r="AH169" s="66"/>
      <c r="AI169" s="71">
        <f ca="1">IF(C169=1,Reeksen!AI169*((F169-G169+F169)/2)*12+Reeksen!AD169*((L169-M169+L169)/2)*12,0)</f>
        <v>0</v>
      </c>
      <c r="AJ169" s="71">
        <f ca="1">-AI169*'Invoer gegevens'!$F$28</f>
        <v>0</v>
      </c>
      <c r="AK169" s="71">
        <f t="shared" ca="1" si="30"/>
        <v>0</v>
      </c>
      <c r="AL169" s="71">
        <f ca="1">IF(C169=1,Reeksen!AL169*((F169-G169+F169)/2)*12+Reeksen!AM169*((L169-M169+L169)/2)*12,0)</f>
        <v>0</v>
      </c>
      <c r="AM169" s="71">
        <f ca="1">-AL169*'Invoer gegevens'!$F$31</f>
        <v>0</v>
      </c>
      <c r="AN169" s="71">
        <f t="shared" ca="1" si="31"/>
        <v>0</v>
      </c>
      <c r="AO169" s="71">
        <f ca="1">IF(C169=1,(H169+J169+N169+P169)*Reeksen!AN169,0)</f>
        <v>0</v>
      </c>
      <c r="AP169" s="71">
        <f ca="1">-IF(C169=1,(H169+J169+N169+P169)*'Hulp - basis'!$G$550*Reeksen!H169,0)</f>
        <v>0</v>
      </c>
      <c r="AQ169" s="71">
        <f ca="1">-IF(C169=1,(F169+K169+L169+Q169)/2*'Invoer gegevens'!$F$35*Reeksen!J169,0)*2</f>
        <v>0</v>
      </c>
      <c r="AR169" s="71"/>
      <c r="AS169" s="71">
        <f ca="1">-IF(C169=1,(F169+K169+L169+Q169)/2*'Invoer gegevens'!$F$37*Reeksen!L169,0)</f>
        <v>0</v>
      </c>
      <c r="AT169" s="71">
        <f ca="1">-IF(C169=1,IF(E169='Invoer gegevens'!$C$17,'Invoer gegevens'!$C$11,AD169)*Reeksen!S169*'Invoer gegevens'!$C$18*Reeksen!P169,0)</f>
        <v>0</v>
      </c>
      <c r="AU169" s="71">
        <f ca="1">-IF(C169=1,(F169+K169+L169+Q169)/2*'Invoer gegevens'!$F$38*Reeksen!H169,0)</f>
        <v>0</v>
      </c>
      <c r="AV169" s="71">
        <f t="shared" si="35"/>
        <v>0</v>
      </c>
      <c r="AW169" s="71">
        <f t="shared" ca="1" si="32"/>
        <v>0</v>
      </c>
      <c r="AX169" s="71">
        <f ca="1">IF(E169&lt;'Invoer gegevens'!$C$17+15,0,IF(E169&gt;'Invoer gegevens'!$C$17+215,0,AW169))</f>
        <v>0</v>
      </c>
      <c r="AY169" s="71">
        <f ca="1">AX169/(1+'Invoer gegevens'!$F$18)^($AZ169-('Invoer gegevens'!$C$17-'Invoer gegevens'!$C$16))/(1+'Invoer gegevens'!$C$39)^('Invoer gegevens'!$C$17-'Invoer gegevens'!$C$16)</f>
        <v>0</v>
      </c>
      <c r="AZ169" s="68">
        <f ca="1">IF(E169-'Invoer gegevens'!$C$17-14.5&lt;0,0,E169-'Invoer gegevens'!$C$17-14.5)</f>
        <v>149.5</v>
      </c>
    </row>
    <row r="170" spans="1:52" x14ac:dyDescent="0.25">
      <c r="A170" s="59"/>
      <c r="B170" s="70">
        <f t="shared" si="33"/>
        <v>166</v>
      </c>
      <c r="C170" s="67">
        <f ca="1">IF(E170-'Invoer gegevens'!$C$17&lt;0,0,1)</f>
        <v>1</v>
      </c>
      <c r="D170" s="68">
        <f t="shared" si="34"/>
        <v>165.5</v>
      </c>
      <c r="E170" s="69">
        <f ca="1">IF('Invoer gegevens'!$C$16="","",E169+1)</f>
        <v>2184</v>
      </c>
      <c r="F170" s="84">
        <f ca="1">IF('Invoer gegevens'!$C$17=E170,'Invoer gegevens'!$C$10,IF(C170=1,K169,0))</f>
        <v>0</v>
      </c>
      <c r="G170" s="96">
        <f ca="1">IF(C170&gt;=1,F170*VLOOKUP(E170,Reeksen!$A$5:$B$76,2),0)</f>
        <v>0</v>
      </c>
      <c r="H170" s="84">
        <f ca="1">(1-('Invoer gegevens'!$F$20/12))*F170*MIN(Reeksen!B170,Reeksen!D170)</f>
        <v>0</v>
      </c>
      <c r="I170" s="84">
        <f>IF(Reeksen!D170&lt;Reeksen!B170,(Reeksen!B170-Reeksen!D170)*F170,0)</f>
        <v>0</v>
      </c>
      <c r="J170" s="84">
        <f ca="1">('Invoer gegevens'!$F$20/12)*F169*MIN(Reeksen!B169,Reeksen!D169)</f>
        <v>0</v>
      </c>
      <c r="K170" s="97">
        <f t="shared" ca="1" si="24"/>
        <v>0</v>
      </c>
      <c r="L170" s="84">
        <f ca="1">IF('Invoer gegevens'!$C$17=E170,0,IF(C170=1,Q169,0))</f>
        <v>0</v>
      </c>
      <c r="M170" s="96">
        <f ca="1">IF(C170&gt;=1,L170*VLOOKUP(E170,Reeksen!$A$5:$B$76,2),0)</f>
        <v>0</v>
      </c>
      <c r="N170" s="84">
        <f ca="1">(1-('Invoer gegevens'!$F$20/12))*L170*MIN(Reeksen!B170,Reeksen!D170)</f>
        <v>0</v>
      </c>
      <c r="O170" s="84">
        <f>IF(Reeksen!D170&lt;Reeksen!B170,(Reeksen!B170-Reeksen!D170)*L170,0)</f>
        <v>0</v>
      </c>
      <c r="P170" s="84">
        <f ca="1">('Invoer gegevens'!$F$20/12)*L169*MIN(Reeksen!B169,Reeksen!D169)</f>
        <v>0</v>
      </c>
      <c r="Q170" s="84">
        <f t="shared" ca="1" si="25"/>
        <v>0</v>
      </c>
      <c r="R170" s="82">
        <f ca="1">IF('Invoer gegevens'!$C$17=E170,'Invoer gegevens'!$C$11,IF(C170=1,W169,0))</f>
        <v>0</v>
      </c>
      <c r="S170" s="86">
        <f ca="1">IF(C170&gt;=1,R170*VLOOKUP(E170,Reeksen!$A$5:$B$76,2),0)</f>
        <v>0</v>
      </c>
      <c r="T170" s="84">
        <f ca="1">(1-('Invoer gegevens'!$F$20/12))*R170*MIN(Reeksen!B170,Reeksen!D170)</f>
        <v>0</v>
      </c>
      <c r="U170" s="84">
        <f>IF(Reeksen!D170&gt;=Reeksen!B170,0,IF(Reeksen!AD170&lt;=Reeksen!AE170,(Reeksen!B170-Reeksen!D170)*R170,0))</f>
        <v>0</v>
      </c>
      <c r="V170" s="86">
        <f>IF(Reeksen!D170&gt;=Reeksen!B170,0,IF(Reeksen!AD170&gt;Reeksen!AE170,(Reeksen!B170-Reeksen!D170)*R170,0))</f>
        <v>0</v>
      </c>
      <c r="W170" s="97">
        <f t="shared" ca="1" si="26"/>
        <v>0</v>
      </c>
      <c r="X170" s="98">
        <f ca="1">IF('Invoer gegevens'!$C$17=E170,'Invoer gegevens'!$C$10-'Invoer gegevens'!$C$11,IF(C170=1,AC169,0))</f>
        <v>0</v>
      </c>
      <c r="Y170" s="98">
        <f ca="1">IF(C170&gt;=1,X170*VLOOKUP(E170,Reeksen!$A$5:$B$76,2),0)</f>
        <v>0</v>
      </c>
      <c r="Z170" s="98">
        <f ca="1">(1-('Invoer gegevens'!$F$20/12))*X170*MIN(Reeksen!B170,Reeksen!D170)</f>
        <v>0</v>
      </c>
      <c r="AA170" s="98">
        <f>IF(Reeksen!D170&gt;=Reeksen!B170,0,IF(Reeksen!AD170&lt;=Reeksen!AE170,(Reeksen!B170-Reeksen!D170)*X170,0))</f>
        <v>0</v>
      </c>
      <c r="AB170" s="98">
        <f>IF(Reeksen!D170&gt;=Reeksen!B170,0,IF(Reeksen!AD170&gt;Reeksen!AE170,(Reeksen!B170-Reeksen!D170)*X170,0))</f>
        <v>0</v>
      </c>
      <c r="AC170" s="99">
        <f t="shared" ca="1" si="27"/>
        <v>0</v>
      </c>
      <c r="AD170" s="98">
        <f ca="1">IF('Invoer gegevens'!$C$17=E170,R170,IF(C170=0,0,AE169))</f>
        <v>0</v>
      </c>
      <c r="AE170" s="98">
        <f t="shared" ca="1" si="28"/>
        <v>0</v>
      </c>
      <c r="AF170" s="98">
        <f ca="1">IF('Invoer gegevens'!$C$17=E170,X170,IF(C170=0,0,AG169))</f>
        <v>0</v>
      </c>
      <c r="AG170" s="98">
        <f t="shared" ca="1" si="29"/>
        <v>0</v>
      </c>
      <c r="AH170" s="66"/>
      <c r="AI170" s="71">
        <f ca="1">IF(C170=1,Reeksen!AI170*((F170-G170+F170)/2)*12+Reeksen!AD170*((L170-M170+L170)/2)*12,0)</f>
        <v>0</v>
      </c>
      <c r="AJ170" s="71">
        <f ca="1">-AI170*'Invoer gegevens'!$F$28</f>
        <v>0</v>
      </c>
      <c r="AK170" s="71">
        <f t="shared" ca="1" si="30"/>
        <v>0</v>
      </c>
      <c r="AL170" s="71">
        <f ca="1">IF(C170=1,Reeksen!AL170*((F170-G170+F170)/2)*12+Reeksen!AM170*((L170-M170+L170)/2)*12,0)</f>
        <v>0</v>
      </c>
      <c r="AM170" s="71">
        <f ca="1">-AL170*'Invoer gegevens'!$F$31</f>
        <v>0</v>
      </c>
      <c r="AN170" s="71">
        <f t="shared" ca="1" si="31"/>
        <v>0</v>
      </c>
      <c r="AO170" s="71">
        <f ca="1">IF(C170=1,(H170+J170+N170+P170)*Reeksen!AN170,0)</f>
        <v>0</v>
      </c>
      <c r="AP170" s="71">
        <f ca="1">-IF(C170=1,(H170+J170+N170+P170)*'Hulp - basis'!$G$550*Reeksen!H170,0)</f>
        <v>0</v>
      </c>
      <c r="AQ170" s="71">
        <f ca="1">-IF(C170=1,(F170+K170+L170+Q170)/2*'Invoer gegevens'!$F$35*Reeksen!J170,0)*2</f>
        <v>0</v>
      </c>
      <c r="AR170" s="71"/>
      <c r="AS170" s="71">
        <f ca="1">-IF(C170=1,(F170+K170+L170+Q170)/2*'Invoer gegevens'!$F$37*Reeksen!L170,0)</f>
        <v>0</v>
      </c>
      <c r="AT170" s="71">
        <f ca="1">-IF(C170=1,IF(E170='Invoer gegevens'!$C$17,'Invoer gegevens'!$C$11,AD170)*Reeksen!S170*'Invoer gegevens'!$C$18*Reeksen!P170,0)</f>
        <v>0</v>
      </c>
      <c r="AU170" s="71">
        <f ca="1">-IF(C170=1,(F170+K170+L170+Q170)/2*'Invoer gegevens'!$F$38*Reeksen!H170,0)</f>
        <v>0</v>
      </c>
      <c r="AV170" s="71">
        <f t="shared" si="35"/>
        <v>0</v>
      </c>
      <c r="AW170" s="71">
        <f t="shared" ca="1" si="32"/>
        <v>0</v>
      </c>
      <c r="AX170" s="71">
        <f ca="1">IF(E170&lt;'Invoer gegevens'!$C$17+15,0,IF(E170&gt;'Invoer gegevens'!$C$17+215,0,AW170))</f>
        <v>0</v>
      </c>
      <c r="AY170" s="71">
        <f ca="1">AX170/(1+'Invoer gegevens'!$F$18)^($AZ170-('Invoer gegevens'!$C$17-'Invoer gegevens'!$C$16))/(1+'Invoer gegevens'!$C$39)^('Invoer gegevens'!$C$17-'Invoer gegevens'!$C$16)</f>
        <v>0</v>
      </c>
      <c r="AZ170" s="68">
        <f ca="1">IF(E170-'Invoer gegevens'!$C$17-14.5&lt;0,0,E170-'Invoer gegevens'!$C$17-14.5)</f>
        <v>150.5</v>
      </c>
    </row>
    <row r="171" spans="1:52" x14ac:dyDescent="0.25">
      <c r="A171" s="59"/>
      <c r="B171" s="70">
        <f t="shared" si="33"/>
        <v>167</v>
      </c>
      <c r="C171" s="67">
        <f ca="1">IF(E171-'Invoer gegevens'!$C$17&lt;0,0,1)</f>
        <v>1</v>
      </c>
      <c r="D171" s="68">
        <f t="shared" si="34"/>
        <v>166.5</v>
      </c>
      <c r="E171" s="69">
        <f ca="1">IF('Invoer gegevens'!$C$16="","",E170+1)</f>
        <v>2185</v>
      </c>
      <c r="F171" s="84">
        <f ca="1">IF('Invoer gegevens'!$C$17=E171,'Invoer gegevens'!$C$10,IF(C171=1,K170,0))</f>
        <v>0</v>
      </c>
      <c r="G171" s="96">
        <f ca="1">IF(C171&gt;=1,F171*VLOOKUP(E171,Reeksen!$A$5:$B$76,2),0)</f>
        <v>0</v>
      </c>
      <c r="H171" s="84">
        <f ca="1">(1-('Invoer gegevens'!$F$20/12))*F171*MIN(Reeksen!B171,Reeksen!D171)</f>
        <v>0</v>
      </c>
      <c r="I171" s="84">
        <f>IF(Reeksen!D171&lt;Reeksen!B171,(Reeksen!B171-Reeksen!D171)*F171,0)</f>
        <v>0</v>
      </c>
      <c r="J171" s="84">
        <f ca="1">('Invoer gegevens'!$F$20/12)*F170*MIN(Reeksen!B170,Reeksen!D170)</f>
        <v>0</v>
      </c>
      <c r="K171" s="97">
        <f t="shared" ca="1" si="24"/>
        <v>0</v>
      </c>
      <c r="L171" s="84">
        <f ca="1">IF('Invoer gegevens'!$C$17=E171,0,IF(C171=1,Q170,0))</f>
        <v>0</v>
      </c>
      <c r="M171" s="96">
        <f ca="1">IF(C171&gt;=1,L171*VLOOKUP(E171,Reeksen!$A$5:$B$76,2),0)</f>
        <v>0</v>
      </c>
      <c r="N171" s="84">
        <f ca="1">(1-('Invoer gegevens'!$F$20/12))*L171*MIN(Reeksen!B171,Reeksen!D171)</f>
        <v>0</v>
      </c>
      <c r="O171" s="84">
        <f>IF(Reeksen!D171&lt;Reeksen!B171,(Reeksen!B171-Reeksen!D171)*L171,0)</f>
        <v>0</v>
      </c>
      <c r="P171" s="84">
        <f ca="1">('Invoer gegevens'!$F$20/12)*L170*MIN(Reeksen!B170,Reeksen!D170)</f>
        <v>0</v>
      </c>
      <c r="Q171" s="84">
        <f t="shared" ca="1" si="25"/>
        <v>0</v>
      </c>
      <c r="R171" s="82">
        <f ca="1">IF('Invoer gegevens'!$C$17=E171,'Invoer gegevens'!$C$11,IF(C171=1,W170,0))</f>
        <v>0</v>
      </c>
      <c r="S171" s="86">
        <f ca="1">IF(C171&gt;=1,R171*VLOOKUP(E171,Reeksen!$A$5:$B$76,2),0)</f>
        <v>0</v>
      </c>
      <c r="T171" s="84">
        <f ca="1">(1-('Invoer gegevens'!$F$20/12))*R171*MIN(Reeksen!B171,Reeksen!D171)</f>
        <v>0</v>
      </c>
      <c r="U171" s="84">
        <f>IF(Reeksen!D171&gt;=Reeksen!B171,0,IF(Reeksen!AD171&lt;=Reeksen!AE171,(Reeksen!B171-Reeksen!D171)*R171,0))</f>
        <v>0</v>
      </c>
      <c r="V171" s="86">
        <f>IF(Reeksen!D171&gt;=Reeksen!B171,0,IF(Reeksen!AD171&gt;Reeksen!AE171,(Reeksen!B171-Reeksen!D171)*R171,0))</f>
        <v>0</v>
      </c>
      <c r="W171" s="97">
        <f t="shared" ca="1" si="26"/>
        <v>0</v>
      </c>
      <c r="X171" s="98">
        <f ca="1">IF('Invoer gegevens'!$C$17=E171,'Invoer gegevens'!$C$10-'Invoer gegevens'!$C$11,IF(C171=1,AC170,0))</f>
        <v>0</v>
      </c>
      <c r="Y171" s="98">
        <f ca="1">IF(C171&gt;=1,X171*VLOOKUP(E171,Reeksen!$A$5:$B$76,2),0)</f>
        <v>0</v>
      </c>
      <c r="Z171" s="98">
        <f ca="1">(1-('Invoer gegevens'!$F$20/12))*X171*MIN(Reeksen!B171,Reeksen!D171)</f>
        <v>0</v>
      </c>
      <c r="AA171" s="98">
        <f>IF(Reeksen!D171&gt;=Reeksen!B171,0,IF(Reeksen!AD171&lt;=Reeksen!AE171,(Reeksen!B171-Reeksen!D171)*X171,0))</f>
        <v>0</v>
      </c>
      <c r="AB171" s="98">
        <f>IF(Reeksen!D171&gt;=Reeksen!B171,0,IF(Reeksen!AD171&gt;Reeksen!AE171,(Reeksen!B171-Reeksen!D171)*X171,0))</f>
        <v>0</v>
      </c>
      <c r="AC171" s="99">
        <f t="shared" ca="1" si="27"/>
        <v>0</v>
      </c>
      <c r="AD171" s="98">
        <f ca="1">IF('Invoer gegevens'!$C$17=E171,R171,IF(C171=0,0,AE170))</f>
        <v>0</v>
      </c>
      <c r="AE171" s="98">
        <f t="shared" ca="1" si="28"/>
        <v>0</v>
      </c>
      <c r="AF171" s="98">
        <f ca="1">IF('Invoer gegevens'!$C$17=E171,X171,IF(C171=0,0,AG170))</f>
        <v>0</v>
      </c>
      <c r="AG171" s="98">
        <f t="shared" ca="1" si="29"/>
        <v>0</v>
      </c>
      <c r="AH171" s="66"/>
      <c r="AI171" s="71">
        <f ca="1">IF(C171=1,Reeksen!AI171*((F171-G171+F171)/2)*12+Reeksen!AD171*((L171-M171+L171)/2)*12,0)</f>
        <v>0</v>
      </c>
      <c r="AJ171" s="71">
        <f ca="1">-AI171*'Invoer gegevens'!$F$28</f>
        <v>0</v>
      </c>
      <c r="AK171" s="71">
        <f t="shared" ca="1" si="30"/>
        <v>0</v>
      </c>
      <c r="AL171" s="71">
        <f ca="1">IF(C171=1,Reeksen!AL171*((F171-G171+F171)/2)*12+Reeksen!AM171*((L171-M171+L171)/2)*12,0)</f>
        <v>0</v>
      </c>
      <c r="AM171" s="71">
        <f ca="1">-AL171*'Invoer gegevens'!$F$31</f>
        <v>0</v>
      </c>
      <c r="AN171" s="71">
        <f t="shared" ca="1" si="31"/>
        <v>0</v>
      </c>
      <c r="AO171" s="71">
        <f ca="1">IF(C171=1,(H171+J171+N171+P171)*Reeksen!AN171,0)</f>
        <v>0</v>
      </c>
      <c r="AP171" s="71">
        <f ca="1">-IF(C171=1,(H171+J171+N171+P171)*'Hulp - basis'!$G$550*Reeksen!H171,0)</f>
        <v>0</v>
      </c>
      <c r="AQ171" s="71">
        <f ca="1">-IF(C171=1,(F171+K171+L171+Q171)/2*'Invoer gegevens'!$F$35*Reeksen!J171,0)*2</f>
        <v>0</v>
      </c>
      <c r="AR171" s="71"/>
      <c r="AS171" s="71">
        <f ca="1">-IF(C171=1,(F171+K171+L171+Q171)/2*'Invoer gegevens'!$F$37*Reeksen!L171,0)</f>
        <v>0</v>
      </c>
      <c r="AT171" s="71">
        <f ca="1">-IF(C171=1,IF(E171='Invoer gegevens'!$C$17,'Invoer gegevens'!$C$11,AD171)*Reeksen!S171*'Invoer gegevens'!$C$18*Reeksen!P171,0)</f>
        <v>0</v>
      </c>
      <c r="AU171" s="71">
        <f ca="1">-IF(C171=1,(F171+K171+L171+Q171)/2*'Invoer gegevens'!$F$38*Reeksen!H171,0)</f>
        <v>0</v>
      </c>
      <c r="AV171" s="71">
        <f t="shared" si="35"/>
        <v>0</v>
      </c>
      <c r="AW171" s="71">
        <f t="shared" ca="1" si="32"/>
        <v>0</v>
      </c>
      <c r="AX171" s="71">
        <f ca="1">IF(E171&lt;'Invoer gegevens'!$C$17+15,0,IF(E171&gt;'Invoer gegevens'!$C$17+215,0,AW171))</f>
        <v>0</v>
      </c>
      <c r="AY171" s="71">
        <f ca="1">AX171/(1+'Invoer gegevens'!$F$18)^($AZ171-('Invoer gegevens'!$C$17-'Invoer gegevens'!$C$16))/(1+'Invoer gegevens'!$C$39)^('Invoer gegevens'!$C$17-'Invoer gegevens'!$C$16)</f>
        <v>0</v>
      </c>
      <c r="AZ171" s="68">
        <f ca="1">IF(E171-'Invoer gegevens'!$C$17-14.5&lt;0,0,E171-'Invoer gegevens'!$C$17-14.5)</f>
        <v>151.5</v>
      </c>
    </row>
    <row r="172" spans="1:52" x14ac:dyDescent="0.25">
      <c r="A172" s="59"/>
      <c r="B172" s="70">
        <f t="shared" si="33"/>
        <v>168</v>
      </c>
      <c r="C172" s="67">
        <f ca="1">IF(E172-'Invoer gegevens'!$C$17&lt;0,0,1)</f>
        <v>1</v>
      </c>
      <c r="D172" s="68">
        <f t="shared" si="34"/>
        <v>167.5</v>
      </c>
      <c r="E172" s="69">
        <f ca="1">IF('Invoer gegevens'!$C$16="","",E171+1)</f>
        <v>2186</v>
      </c>
      <c r="F172" s="84">
        <f ca="1">IF('Invoer gegevens'!$C$17=E172,'Invoer gegevens'!$C$10,IF(C172=1,K171,0))</f>
        <v>0</v>
      </c>
      <c r="G172" s="96">
        <f ca="1">IF(C172&gt;=1,F172*VLOOKUP(E172,Reeksen!$A$5:$B$76,2),0)</f>
        <v>0</v>
      </c>
      <c r="H172" s="84">
        <f ca="1">(1-('Invoer gegevens'!$F$20/12))*F172*MIN(Reeksen!B172,Reeksen!D172)</f>
        <v>0</v>
      </c>
      <c r="I172" s="84">
        <f>IF(Reeksen!D172&lt;Reeksen!B172,(Reeksen!B172-Reeksen!D172)*F172,0)</f>
        <v>0</v>
      </c>
      <c r="J172" s="84">
        <f ca="1">('Invoer gegevens'!$F$20/12)*F171*MIN(Reeksen!B171,Reeksen!D171)</f>
        <v>0</v>
      </c>
      <c r="K172" s="97">
        <f t="shared" ca="1" si="24"/>
        <v>0</v>
      </c>
      <c r="L172" s="84">
        <f ca="1">IF('Invoer gegevens'!$C$17=E172,0,IF(C172=1,Q171,0))</f>
        <v>0</v>
      </c>
      <c r="M172" s="96">
        <f ca="1">IF(C172&gt;=1,L172*VLOOKUP(E172,Reeksen!$A$5:$B$76,2),0)</f>
        <v>0</v>
      </c>
      <c r="N172" s="84">
        <f ca="1">(1-('Invoer gegevens'!$F$20/12))*L172*MIN(Reeksen!B172,Reeksen!D172)</f>
        <v>0</v>
      </c>
      <c r="O172" s="84">
        <f>IF(Reeksen!D172&lt;Reeksen!B172,(Reeksen!B172-Reeksen!D172)*L172,0)</f>
        <v>0</v>
      </c>
      <c r="P172" s="84">
        <f ca="1">('Invoer gegevens'!$F$20/12)*L171*MIN(Reeksen!B171,Reeksen!D171)</f>
        <v>0</v>
      </c>
      <c r="Q172" s="84">
        <f t="shared" ca="1" si="25"/>
        <v>0</v>
      </c>
      <c r="R172" s="82">
        <f ca="1">IF('Invoer gegevens'!$C$17=E172,'Invoer gegevens'!$C$11,IF(C172=1,W171,0))</f>
        <v>0</v>
      </c>
      <c r="S172" s="86">
        <f ca="1">IF(C172&gt;=1,R172*VLOOKUP(E172,Reeksen!$A$5:$B$76,2),0)</f>
        <v>0</v>
      </c>
      <c r="T172" s="84">
        <f ca="1">(1-('Invoer gegevens'!$F$20/12))*R172*MIN(Reeksen!B172,Reeksen!D172)</f>
        <v>0</v>
      </c>
      <c r="U172" s="84">
        <f>IF(Reeksen!D172&gt;=Reeksen!B172,0,IF(Reeksen!AD172&lt;=Reeksen!AE172,(Reeksen!B172-Reeksen!D172)*R172,0))</f>
        <v>0</v>
      </c>
      <c r="V172" s="86">
        <f>IF(Reeksen!D172&gt;=Reeksen!B172,0,IF(Reeksen!AD172&gt;Reeksen!AE172,(Reeksen!B172-Reeksen!D172)*R172,0))</f>
        <v>0</v>
      </c>
      <c r="W172" s="97">
        <f t="shared" ca="1" si="26"/>
        <v>0</v>
      </c>
      <c r="X172" s="98">
        <f ca="1">IF('Invoer gegevens'!$C$17=E172,'Invoer gegevens'!$C$10-'Invoer gegevens'!$C$11,IF(C172=1,AC171,0))</f>
        <v>0</v>
      </c>
      <c r="Y172" s="98">
        <f ca="1">IF(C172&gt;=1,X172*VLOOKUP(E172,Reeksen!$A$5:$B$76,2),0)</f>
        <v>0</v>
      </c>
      <c r="Z172" s="98">
        <f ca="1">(1-('Invoer gegevens'!$F$20/12))*X172*MIN(Reeksen!B172,Reeksen!D172)</f>
        <v>0</v>
      </c>
      <c r="AA172" s="98">
        <f>IF(Reeksen!D172&gt;=Reeksen!B172,0,IF(Reeksen!AD172&lt;=Reeksen!AE172,(Reeksen!B172-Reeksen!D172)*X172,0))</f>
        <v>0</v>
      </c>
      <c r="AB172" s="98">
        <f>IF(Reeksen!D172&gt;=Reeksen!B172,0,IF(Reeksen!AD172&gt;Reeksen!AE172,(Reeksen!B172-Reeksen!D172)*X172,0))</f>
        <v>0</v>
      </c>
      <c r="AC172" s="99">
        <f t="shared" ca="1" si="27"/>
        <v>0</v>
      </c>
      <c r="AD172" s="98">
        <f ca="1">IF('Invoer gegevens'!$C$17=E172,R172,IF(C172=0,0,AE171))</f>
        <v>0</v>
      </c>
      <c r="AE172" s="98">
        <f t="shared" ca="1" si="28"/>
        <v>0</v>
      </c>
      <c r="AF172" s="98">
        <f ca="1">IF('Invoer gegevens'!$C$17=E172,X172,IF(C172=0,0,AG171))</f>
        <v>0</v>
      </c>
      <c r="AG172" s="98">
        <f t="shared" ca="1" si="29"/>
        <v>0</v>
      </c>
      <c r="AH172" s="66"/>
      <c r="AI172" s="71">
        <f ca="1">IF(C172=1,Reeksen!AI172*((F172-G172+F172)/2)*12+Reeksen!AD172*((L172-M172+L172)/2)*12,0)</f>
        <v>0</v>
      </c>
      <c r="AJ172" s="71">
        <f ca="1">-AI172*'Invoer gegevens'!$F$28</f>
        <v>0</v>
      </c>
      <c r="AK172" s="71">
        <f t="shared" ca="1" si="30"/>
        <v>0</v>
      </c>
      <c r="AL172" s="71">
        <f ca="1">IF(C172=1,Reeksen!AL172*((F172-G172+F172)/2)*12+Reeksen!AM172*((L172-M172+L172)/2)*12,0)</f>
        <v>0</v>
      </c>
      <c r="AM172" s="71">
        <f ca="1">-AL172*'Invoer gegevens'!$F$31</f>
        <v>0</v>
      </c>
      <c r="AN172" s="71">
        <f t="shared" ca="1" si="31"/>
        <v>0</v>
      </c>
      <c r="AO172" s="71">
        <f ca="1">IF(C172=1,(H172+J172+N172+P172)*Reeksen!AN172,0)</f>
        <v>0</v>
      </c>
      <c r="AP172" s="71">
        <f ca="1">-IF(C172=1,(H172+J172+N172+P172)*'Hulp - basis'!$G$550*Reeksen!H172,0)</f>
        <v>0</v>
      </c>
      <c r="AQ172" s="71">
        <f ca="1">-IF(C172=1,(F172+K172+L172+Q172)/2*'Invoer gegevens'!$F$35*Reeksen!J172,0)*2</f>
        <v>0</v>
      </c>
      <c r="AR172" s="71"/>
      <c r="AS172" s="71">
        <f ca="1">-IF(C172=1,(F172+K172+L172+Q172)/2*'Invoer gegevens'!$F$37*Reeksen!L172,0)</f>
        <v>0</v>
      </c>
      <c r="AT172" s="71">
        <f ca="1">-IF(C172=1,IF(E172='Invoer gegevens'!$C$17,'Invoer gegevens'!$C$11,AD172)*Reeksen!S172*'Invoer gegevens'!$C$18*Reeksen!P172,0)</f>
        <v>0</v>
      </c>
      <c r="AU172" s="71">
        <f ca="1">-IF(C172=1,(F172+K172+L172+Q172)/2*'Invoer gegevens'!$F$38*Reeksen!H172,0)</f>
        <v>0</v>
      </c>
      <c r="AV172" s="71">
        <f t="shared" si="35"/>
        <v>0</v>
      </c>
      <c r="AW172" s="71">
        <f t="shared" ca="1" si="32"/>
        <v>0</v>
      </c>
      <c r="AX172" s="71">
        <f ca="1">IF(E172&lt;'Invoer gegevens'!$C$17+15,0,IF(E172&gt;'Invoer gegevens'!$C$17+215,0,AW172))</f>
        <v>0</v>
      </c>
      <c r="AY172" s="71">
        <f ca="1">AX172/(1+'Invoer gegevens'!$F$18)^($AZ172-('Invoer gegevens'!$C$17-'Invoer gegevens'!$C$16))/(1+'Invoer gegevens'!$C$39)^('Invoer gegevens'!$C$17-'Invoer gegevens'!$C$16)</f>
        <v>0</v>
      </c>
      <c r="AZ172" s="68">
        <f ca="1">IF(E172-'Invoer gegevens'!$C$17-14.5&lt;0,0,E172-'Invoer gegevens'!$C$17-14.5)</f>
        <v>152.5</v>
      </c>
    </row>
    <row r="173" spans="1:52" x14ac:dyDescent="0.25">
      <c r="A173" s="59"/>
      <c r="B173" s="70">
        <f t="shared" si="33"/>
        <v>169</v>
      </c>
      <c r="C173" s="67">
        <f ca="1">IF(E173-'Invoer gegevens'!$C$17&lt;0,0,1)</f>
        <v>1</v>
      </c>
      <c r="D173" s="68">
        <f t="shared" si="34"/>
        <v>168.5</v>
      </c>
      <c r="E173" s="69">
        <f ca="1">IF('Invoer gegevens'!$C$16="","",E172+1)</f>
        <v>2187</v>
      </c>
      <c r="F173" s="84">
        <f ca="1">IF('Invoer gegevens'!$C$17=E173,'Invoer gegevens'!$C$10,IF(C173=1,K172,0))</f>
        <v>0</v>
      </c>
      <c r="G173" s="96">
        <f ca="1">IF(C173&gt;=1,F173*VLOOKUP(E173,Reeksen!$A$5:$B$76,2),0)</f>
        <v>0</v>
      </c>
      <c r="H173" s="84">
        <f ca="1">(1-('Invoer gegevens'!$F$20/12))*F173*MIN(Reeksen!B173,Reeksen!D173)</f>
        <v>0</v>
      </c>
      <c r="I173" s="84">
        <f>IF(Reeksen!D173&lt;Reeksen!B173,(Reeksen!B173-Reeksen!D173)*F173,0)</f>
        <v>0</v>
      </c>
      <c r="J173" s="84">
        <f ca="1">('Invoer gegevens'!$F$20/12)*F172*MIN(Reeksen!B172,Reeksen!D172)</f>
        <v>0</v>
      </c>
      <c r="K173" s="97">
        <f t="shared" ca="1" si="24"/>
        <v>0</v>
      </c>
      <c r="L173" s="84">
        <f ca="1">IF('Invoer gegevens'!$C$17=E173,0,IF(C173=1,Q172,0))</f>
        <v>0</v>
      </c>
      <c r="M173" s="96">
        <f ca="1">IF(C173&gt;=1,L173*VLOOKUP(E173,Reeksen!$A$5:$B$76,2),0)</f>
        <v>0</v>
      </c>
      <c r="N173" s="84">
        <f ca="1">(1-('Invoer gegevens'!$F$20/12))*L173*MIN(Reeksen!B173,Reeksen!D173)</f>
        <v>0</v>
      </c>
      <c r="O173" s="84">
        <f>IF(Reeksen!D173&lt;Reeksen!B173,(Reeksen!B173-Reeksen!D173)*L173,0)</f>
        <v>0</v>
      </c>
      <c r="P173" s="84">
        <f ca="1">('Invoer gegevens'!$F$20/12)*L172*MIN(Reeksen!B172,Reeksen!D172)</f>
        <v>0</v>
      </c>
      <c r="Q173" s="84">
        <f t="shared" ca="1" si="25"/>
        <v>0</v>
      </c>
      <c r="R173" s="82">
        <f ca="1">IF('Invoer gegevens'!$C$17=E173,'Invoer gegevens'!$C$11,IF(C173=1,W172,0))</f>
        <v>0</v>
      </c>
      <c r="S173" s="86">
        <f ca="1">IF(C173&gt;=1,R173*VLOOKUP(E173,Reeksen!$A$5:$B$76,2),0)</f>
        <v>0</v>
      </c>
      <c r="T173" s="84">
        <f ca="1">(1-('Invoer gegevens'!$F$20/12))*R173*MIN(Reeksen!B173,Reeksen!D173)</f>
        <v>0</v>
      </c>
      <c r="U173" s="84">
        <f>IF(Reeksen!D173&gt;=Reeksen!B173,0,IF(Reeksen!AD173&lt;=Reeksen!AE173,(Reeksen!B173-Reeksen!D173)*R173,0))</f>
        <v>0</v>
      </c>
      <c r="V173" s="86">
        <f>IF(Reeksen!D173&gt;=Reeksen!B173,0,IF(Reeksen!AD173&gt;Reeksen!AE173,(Reeksen!B173-Reeksen!D173)*R173,0))</f>
        <v>0</v>
      </c>
      <c r="W173" s="97">
        <f t="shared" ca="1" si="26"/>
        <v>0</v>
      </c>
      <c r="X173" s="98">
        <f ca="1">IF('Invoer gegevens'!$C$17=E173,'Invoer gegevens'!$C$10-'Invoer gegevens'!$C$11,IF(C173=1,AC172,0))</f>
        <v>0</v>
      </c>
      <c r="Y173" s="98">
        <f ca="1">IF(C173&gt;=1,X173*VLOOKUP(E173,Reeksen!$A$5:$B$76,2),0)</f>
        <v>0</v>
      </c>
      <c r="Z173" s="98">
        <f ca="1">(1-('Invoer gegevens'!$F$20/12))*X173*MIN(Reeksen!B173,Reeksen!D173)</f>
        <v>0</v>
      </c>
      <c r="AA173" s="98">
        <f>IF(Reeksen!D173&gt;=Reeksen!B173,0,IF(Reeksen!AD173&lt;=Reeksen!AE173,(Reeksen!B173-Reeksen!D173)*X173,0))</f>
        <v>0</v>
      </c>
      <c r="AB173" s="98">
        <f>IF(Reeksen!D173&gt;=Reeksen!B173,0,IF(Reeksen!AD173&gt;Reeksen!AE173,(Reeksen!B173-Reeksen!D173)*X173,0))</f>
        <v>0</v>
      </c>
      <c r="AC173" s="99">
        <f t="shared" ca="1" si="27"/>
        <v>0</v>
      </c>
      <c r="AD173" s="98">
        <f ca="1">IF('Invoer gegevens'!$C$17=E173,R173,IF(C173=0,0,AE172))</f>
        <v>0</v>
      </c>
      <c r="AE173" s="98">
        <f t="shared" ca="1" si="28"/>
        <v>0</v>
      </c>
      <c r="AF173" s="98">
        <f ca="1">IF('Invoer gegevens'!$C$17=E173,X173,IF(C173=0,0,AG172))</f>
        <v>0</v>
      </c>
      <c r="AG173" s="98">
        <f t="shared" ca="1" si="29"/>
        <v>0</v>
      </c>
      <c r="AH173" s="66"/>
      <c r="AI173" s="71">
        <f ca="1">IF(C173=1,Reeksen!AI173*((F173-G173+F173)/2)*12+Reeksen!AD173*((L173-M173+L173)/2)*12,0)</f>
        <v>0</v>
      </c>
      <c r="AJ173" s="71">
        <f ca="1">-AI173*'Invoer gegevens'!$F$28</f>
        <v>0</v>
      </c>
      <c r="AK173" s="71">
        <f t="shared" ca="1" si="30"/>
        <v>0</v>
      </c>
      <c r="AL173" s="71">
        <f ca="1">IF(C173=1,Reeksen!AL173*((F173-G173+F173)/2)*12+Reeksen!AM173*((L173-M173+L173)/2)*12,0)</f>
        <v>0</v>
      </c>
      <c r="AM173" s="71">
        <f ca="1">-AL173*'Invoer gegevens'!$F$31</f>
        <v>0</v>
      </c>
      <c r="AN173" s="71">
        <f t="shared" ca="1" si="31"/>
        <v>0</v>
      </c>
      <c r="AO173" s="71">
        <f ca="1">IF(C173=1,(H173+J173+N173+P173)*Reeksen!AN173,0)</f>
        <v>0</v>
      </c>
      <c r="AP173" s="71">
        <f ca="1">-IF(C173=1,(H173+J173+N173+P173)*'Hulp - basis'!$G$550*Reeksen!H173,0)</f>
        <v>0</v>
      </c>
      <c r="AQ173" s="71">
        <f ca="1">-IF(C173=1,(F173+K173+L173+Q173)/2*'Invoer gegevens'!$F$35*Reeksen!J173,0)*2</f>
        <v>0</v>
      </c>
      <c r="AR173" s="71"/>
      <c r="AS173" s="71">
        <f ca="1">-IF(C173=1,(F173+K173+L173+Q173)/2*'Invoer gegevens'!$F$37*Reeksen!L173,0)</f>
        <v>0</v>
      </c>
      <c r="AT173" s="71">
        <f ca="1">-IF(C173=1,IF(E173='Invoer gegevens'!$C$17,'Invoer gegevens'!$C$11,AD173)*Reeksen!S173*'Invoer gegevens'!$C$18*Reeksen!P173,0)</f>
        <v>0</v>
      </c>
      <c r="AU173" s="71">
        <f ca="1">-IF(C173=1,(F173+K173+L173+Q173)/2*'Invoer gegevens'!$F$38*Reeksen!H173,0)</f>
        <v>0</v>
      </c>
      <c r="AV173" s="71">
        <f t="shared" si="35"/>
        <v>0</v>
      </c>
      <c r="AW173" s="71">
        <f t="shared" ca="1" si="32"/>
        <v>0</v>
      </c>
      <c r="AX173" s="71">
        <f ca="1">IF(E173&lt;'Invoer gegevens'!$C$17+15,0,IF(E173&gt;'Invoer gegevens'!$C$17+215,0,AW173))</f>
        <v>0</v>
      </c>
      <c r="AY173" s="71">
        <f ca="1">AX173/(1+'Invoer gegevens'!$F$18)^($AZ173-('Invoer gegevens'!$C$17-'Invoer gegevens'!$C$16))/(1+'Invoer gegevens'!$C$39)^('Invoer gegevens'!$C$17-'Invoer gegevens'!$C$16)</f>
        <v>0</v>
      </c>
      <c r="AZ173" s="68">
        <f ca="1">IF(E173-'Invoer gegevens'!$C$17-14.5&lt;0,0,E173-'Invoer gegevens'!$C$17-14.5)</f>
        <v>153.5</v>
      </c>
    </row>
    <row r="174" spans="1:52" x14ac:dyDescent="0.25">
      <c r="A174" s="59"/>
      <c r="B174" s="70">
        <f t="shared" si="33"/>
        <v>170</v>
      </c>
      <c r="C174" s="67">
        <f ca="1">IF(E174-'Invoer gegevens'!$C$17&lt;0,0,1)</f>
        <v>1</v>
      </c>
      <c r="D174" s="68">
        <f t="shared" si="34"/>
        <v>169.5</v>
      </c>
      <c r="E174" s="69">
        <f ca="1">IF('Invoer gegevens'!$C$16="","",E173+1)</f>
        <v>2188</v>
      </c>
      <c r="F174" s="84">
        <f ca="1">IF('Invoer gegevens'!$C$17=E174,'Invoer gegevens'!$C$10,IF(C174=1,K173,0))</f>
        <v>0</v>
      </c>
      <c r="G174" s="96">
        <f ca="1">IF(C174&gt;=1,F174*VLOOKUP(E174,Reeksen!$A$5:$B$76,2),0)</f>
        <v>0</v>
      </c>
      <c r="H174" s="84">
        <f ca="1">(1-('Invoer gegevens'!$F$20/12))*F174*MIN(Reeksen!B174,Reeksen!D174)</f>
        <v>0</v>
      </c>
      <c r="I174" s="84">
        <f>IF(Reeksen!D174&lt;Reeksen!B174,(Reeksen!B174-Reeksen!D174)*F174,0)</f>
        <v>0</v>
      </c>
      <c r="J174" s="84">
        <f ca="1">('Invoer gegevens'!$F$20/12)*F173*MIN(Reeksen!B173,Reeksen!D173)</f>
        <v>0</v>
      </c>
      <c r="K174" s="97">
        <f t="shared" ca="1" si="24"/>
        <v>0</v>
      </c>
      <c r="L174" s="84">
        <f ca="1">IF('Invoer gegevens'!$C$17=E174,0,IF(C174=1,Q173,0))</f>
        <v>0</v>
      </c>
      <c r="M174" s="96">
        <f ca="1">IF(C174&gt;=1,L174*VLOOKUP(E174,Reeksen!$A$5:$B$76,2),0)</f>
        <v>0</v>
      </c>
      <c r="N174" s="84">
        <f ca="1">(1-('Invoer gegevens'!$F$20/12))*L174*MIN(Reeksen!B174,Reeksen!D174)</f>
        <v>0</v>
      </c>
      <c r="O174" s="84">
        <f>IF(Reeksen!D174&lt;Reeksen!B174,(Reeksen!B174-Reeksen!D174)*L174,0)</f>
        <v>0</v>
      </c>
      <c r="P174" s="84">
        <f ca="1">('Invoer gegevens'!$F$20/12)*L173*MIN(Reeksen!B173,Reeksen!D173)</f>
        <v>0</v>
      </c>
      <c r="Q174" s="84">
        <f t="shared" ca="1" si="25"/>
        <v>0</v>
      </c>
      <c r="R174" s="82">
        <f ca="1">IF('Invoer gegevens'!$C$17=E174,'Invoer gegevens'!$C$11,IF(C174=1,W173,0))</f>
        <v>0</v>
      </c>
      <c r="S174" s="86">
        <f ca="1">IF(C174&gt;=1,R174*VLOOKUP(E174,Reeksen!$A$5:$B$76,2),0)</f>
        <v>0</v>
      </c>
      <c r="T174" s="84">
        <f ca="1">(1-('Invoer gegevens'!$F$20/12))*R174*MIN(Reeksen!B174,Reeksen!D174)</f>
        <v>0</v>
      </c>
      <c r="U174" s="84">
        <f>IF(Reeksen!D174&gt;=Reeksen!B174,0,IF(Reeksen!AD174&lt;=Reeksen!AE174,(Reeksen!B174-Reeksen!D174)*R174,0))</f>
        <v>0</v>
      </c>
      <c r="V174" s="86">
        <f>IF(Reeksen!D174&gt;=Reeksen!B174,0,IF(Reeksen!AD174&gt;Reeksen!AE174,(Reeksen!B174-Reeksen!D174)*R174,0))</f>
        <v>0</v>
      </c>
      <c r="W174" s="97">
        <f t="shared" ca="1" si="26"/>
        <v>0</v>
      </c>
      <c r="X174" s="98">
        <f ca="1">IF('Invoer gegevens'!$C$17=E174,'Invoer gegevens'!$C$10-'Invoer gegevens'!$C$11,IF(C174=1,AC173,0))</f>
        <v>0</v>
      </c>
      <c r="Y174" s="98">
        <f ca="1">IF(C174&gt;=1,X174*VLOOKUP(E174,Reeksen!$A$5:$B$76,2),0)</f>
        <v>0</v>
      </c>
      <c r="Z174" s="98">
        <f ca="1">(1-('Invoer gegevens'!$F$20/12))*X174*MIN(Reeksen!B174,Reeksen!D174)</f>
        <v>0</v>
      </c>
      <c r="AA174" s="98">
        <f>IF(Reeksen!D174&gt;=Reeksen!B174,0,IF(Reeksen!AD174&lt;=Reeksen!AE174,(Reeksen!B174-Reeksen!D174)*X174,0))</f>
        <v>0</v>
      </c>
      <c r="AB174" s="98">
        <f>IF(Reeksen!D174&gt;=Reeksen!B174,0,IF(Reeksen!AD174&gt;Reeksen!AE174,(Reeksen!B174-Reeksen!D174)*X174,0))</f>
        <v>0</v>
      </c>
      <c r="AC174" s="99">
        <f t="shared" ca="1" si="27"/>
        <v>0</v>
      </c>
      <c r="AD174" s="98">
        <f ca="1">IF('Invoer gegevens'!$C$17=E174,R174,IF(C174=0,0,AE173))</f>
        <v>0</v>
      </c>
      <c r="AE174" s="98">
        <f t="shared" ca="1" si="28"/>
        <v>0</v>
      </c>
      <c r="AF174" s="98">
        <f ca="1">IF('Invoer gegevens'!$C$17=E174,X174,IF(C174=0,0,AG173))</f>
        <v>0</v>
      </c>
      <c r="AG174" s="98">
        <f t="shared" ca="1" si="29"/>
        <v>0</v>
      </c>
      <c r="AH174" s="66"/>
      <c r="AI174" s="71">
        <f ca="1">IF(C174=1,Reeksen!AI174*((F174-G174+F174)/2)*12+Reeksen!AD174*((L174-M174+L174)/2)*12,0)</f>
        <v>0</v>
      </c>
      <c r="AJ174" s="71">
        <f ca="1">-AI174*'Invoer gegevens'!$F$28</f>
        <v>0</v>
      </c>
      <c r="AK174" s="71">
        <f t="shared" ca="1" si="30"/>
        <v>0</v>
      </c>
      <c r="AL174" s="71">
        <f ca="1">IF(C174=1,Reeksen!AL174*((F174-G174+F174)/2)*12+Reeksen!AM174*((L174-M174+L174)/2)*12,0)</f>
        <v>0</v>
      </c>
      <c r="AM174" s="71">
        <f ca="1">-AL174*'Invoer gegevens'!$F$31</f>
        <v>0</v>
      </c>
      <c r="AN174" s="71">
        <f t="shared" ca="1" si="31"/>
        <v>0</v>
      </c>
      <c r="AO174" s="71">
        <f ca="1">IF(C174=1,(H174+J174+N174+P174)*Reeksen!AN174,0)</f>
        <v>0</v>
      </c>
      <c r="AP174" s="71">
        <f ca="1">-IF(C174=1,(H174+J174+N174+P174)*'Hulp - basis'!$G$550*Reeksen!H174,0)</f>
        <v>0</v>
      </c>
      <c r="AQ174" s="71">
        <f ca="1">-IF(C174=1,(F174+K174+L174+Q174)/2*'Invoer gegevens'!$F$35*Reeksen!J174,0)*2</f>
        <v>0</v>
      </c>
      <c r="AR174" s="71"/>
      <c r="AS174" s="71">
        <f ca="1">-IF(C174=1,(F174+K174+L174+Q174)/2*'Invoer gegevens'!$F$37*Reeksen!L174,0)</f>
        <v>0</v>
      </c>
      <c r="AT174" s="71">
        <f ca="1">-IF(C174=1,IF(E174='Invoer gegevens'!$C$17,'Invoer gegevens'!$C$11,AD174)*Reeksen!S174*'Invoer gegevens'!$C$18*Reeksen!P174,0)</f>
        <v>0</v>
      </c>
      <c r="AU174" s="71">
        <f ca="1">-IF(C174=1,(F174+K174+L174+Q174)/2*'Invoer gegevens'!$F$38*Reeksen!H174,0)</f>
        <v>0</v>
      </c>
      <c r="AV174" s="71">
        <f t="shared" si="35"/>
        <v>0</v>
      </c>
      <c r="AW174" s="71">
        <f t="shared" ca="1" si="32"/>
        <v>0</v>
      </c>
      <c r="AX174" s="71">
        <f ca="1">IF(E174&lt;'Invoer gegevens'!$C$17+15,0,IF(E174&gt;'Invoer gegevens'!$C$17+215,0,AW174))</f>
        <v>0</v>
      </c>
      <c r="AY174" s="71">
        <f ca="1">AX174/(1+'Invoer gegevens'!$F$18)^($AZ174-('Invoer gegevens'!$C$17-'Invoer gegevens'!$C$16))/(1+'Invoer gegevens'!$C$39)^('Invoer gegevens'!$C$17-'Invoer gegevens'!$C$16)</f>
        <v>0</v>
      </c>
      <c r="AZ174" s="68">
        <f ca="1">IF(E174-'Invoer gegevens'!$C$17-14.5&lt;0,0,E174-'Invoer gegevens'!$C$17-14.5)</f>
        <v>154.5</v>
      </c>
    </row>
    <row r="175" spans="1:52" x14ac:dyDescent="0.25">
      <c r="A175" s="59"/>
      <c r="B175" s="70">
        <f t="shared" si="33"/>
        <v>171</v>
      </c>
      <c r="C175" s="67">
        <f ca="1">IF(E175-'Invoer gegevens'!$C$17&lt;0,0,1)</f>
        <v>1</v>
      </c>
      <c r="D175" s="68">
        <f t="shared" si="34"/>
        <v>170.5</v>
      </c>
      <c r="E175" s="69">
        <f ca="1">IF('Invoer gegevens'!$C$16="","",E174+1)</f>
        <v>2189</v>
      </c>
      <c r="F175" s="84">
        <f ca="1">IF('Invoer gegevens'!$C$17=E175,'Invoer gegevens'!$C$10,IF(C175=1,K174,0))</f>
        <v>0</v>
      </c>
      <c r="G175" s="96">
        <f ca="1">IF(C175&gt;=1,F175*VLOOKUP(E175,Reeksen!$A$5:$B$76,2),0)</f>
        <v>0</v>
      </c>
      <c r="H175" s="84">
        <f ca="1">(1-('Invoer gegevens'!$F$20/12))*F175*MIN(Reeksen!B175,Reeksen!D175)</f>
        <v>0</v>
      </c>
      <c r="I175" s="84">
        <f>IF(Reeksen!D175&lt;Reeksen!B175,(Reeksen!B175-Reeksen!D175)*F175,0)</f>
        <v>0</v>
      </c>
      <c r="J175" s="84">
        <f ca="1">('Invoer gegevens'!$F$20/12)*F174*MIN(Reeksen!B174,Reeksen!D174)</f>
        <v>0</v>
      </c>
      <c r="K175" s="97">
        <f t="shared" ca="1" si="24"/>
        <v>0</v>
      </c>
      <c r="L175" s="84">
        <f ca="1">IF('Invoer gegevens'!$C$17=E175,0,IF(C175=1,Q174,0))</f>
        <v>0</v>
      </c>
      <c r="M175" s="96">
        <f ca="1">IF(C175&gt;=1,L175*VLOOKUP(E175,Reeksen!$A$5:$B$76,2),0)</f>
        <v>0</v>
      </c>
      <c r="N175" s="84">
        <f ca="1">(1-('Invoer gegevens'!$F$20/12))*L175*MIN(Reeksen!B175,Reeksen!D175)</f>
        <v>0</v>
      </c>
      <c r="O175" s="84">
        <f>IF(Reeksen!D175&lt;Reeksen!B175,(Reeksen!B175-Reeksen!D175)*L175,0)</f>
        <v>0</v>
      </c>
      <c r="P175" s="84">
        <f ca="1">('Invoer gegevens'!$F$20/12)*L174*MIN(Reeksen!B174,Reeksen!D174)</f>
        <v>0</v>
      </c>
      <c r="Q175" s="84">
        <f t="shared" ca="1" si="25"/>
        <v>0</v>
      </c>
      <c r="R175" s="82">
        <f ca="1">IF('Invoer gegevens'!$C$17=E175,'Invoer gegevens'!$C$11,IF(C175=1,W174,0))</f>
        <v>0</v>
      </c>
      <c r="S175" s="86">
        <f ca="1">IF(C175&gt;=1,R175*VLOOKUP(E175,Reeksen!$A$5:$B$76,2),0)</f>
        <v>0</v>
      </c>
      <c r="T175" s="84">
        <f ca="1">(1-('Invoer gegevens'!$F$20/12))*R175*MIN(Reeksen!B175,Reeksen!D175)</f>
        <v>0</v>
      </c>
      <c r="U175" s="84">
        <f>IF(Reeksen!D175&gt;=Reeksen!B175,0,IF(Reeksen!AD175&lt;=Reeksen!AE175,(Reeksen!B175-Reeksen!D175)*R175,0))</f>
        <v>0</v>
      </c>
      <c r="V175" s="86">
        <f>IF(Reeksen!D175&gt;=Reeksen!B175,0,IF(Reeksen!AD175&gt;Reeksen!AE175,(Reeksen!B175-Reeksen!D175)*R175,0))</f>
        <v>0</v>
      </c>
      <c r="W175" s="97">
        <f t="shared" ca="1" si="26"/>
        <v>0</v>
      </c>
      <c r="X175" s="98">
        <f ca="1">IF('Invoer gegevens'!$C$17=E175,'Invoer gegevens'!$C$10-'Invoer gegevens'!$C$11,IF(C175=1,AC174,0))</f>
        <v>0</v>
      </c>
      <c r="Y175" s="98">
        <f ca="1">IF(C175&gt;=1,X175*VLOOKUP(E175,Reeksen!$A$5:$B$76,2),0)</f>
        <v>0</v>
      </c>
      <c r="Z175" s="98">
        <f ca="1">(1-('Invoer gegevens'!$F$20/12))*X175*MIN(Reeksen!B175,Reeksen!D175)</f>
        <v>0</v>
      </c>
      <c r="AA175" s="98">
        <f>IF(Reeksen!D175&gt;=Reeksen!B175,0,IF(Reeksen!AD175&lt;=Reeksen!AE175,(Reeksen!B175-Reeksen!D175)*X175,0))</f>
        <v>0</v>
      </c>
      <c r="AB175" s="98">
        <f>IF(Reeksen!D175&gt;=Reeksen!B175,0,IF(Reeksen!AD175&gt;Reeksen!AE175,(Reeksen!B175-Reeksen!D175)*X175,0))</f>
        <v>0</v>
      </c>
      <c r="AC175" s="99">
        <f t="shared" ca="1" si="27"/>
        <v>0</v>
      </c>
      <c r="AD175" s="98">
        <f ca="1">IF('Invoer gegevens'!$C$17=E175,R175,IF(C175=0,0,AE174))</f>
        <v>0</v>
      </c>
      <c r="AE175" s="98">
        <f t="shared" ca="1" si="28"/>
        <v>0</v>
      </c>
      <c r="AF175" s="98">
        <f ca="1">IF('Invoer gegevens'!$C$17=E175,X175,IF(C175=0,0,AG174))</f>
        <v>0</v>
      </c>
      <c r="AG175" s="98">
        <f t="shared" ca="1" si="29"/>
        <v>0</v>
      </c>
      <c r="AH175" s="66"/>
      <c r="AI175" s="71">
        <f ca="1">IF(C175=1,Reeksen!AI175*((F175-G175+F175)/2)*12+Reeksen!AD175*((L175-M175+L175)/2)*12,0)</f>
        <v>0</v>
      </c>
      <c r="AJ175" s="71">
        <f ca="1">-AI175*'Invoer gegevens'!$F$28</f>
        <v>0</v>
      </c>
      <c r="AK175" s="71">
        <f t="shared" ca="1" si="30"/>
        <v>0</v>
      </c>
      <c r="AL175" s="71">
        <f ca="1">IF(C175=1,Reeksen!AL175*((F175-G175+F175)/2)*12+Reeksen!AM175*((L175-M175+L175)/2)*12,0)</f>
        <v>0</v>
      </c>
      <c r="AM175" s="71">
        <f ca="1">-AL175*'Invoer gegevens'!$F$31</f>
        <v>0</v>
      </c>
      <c r="AN175" s="71">
        <f t="shared" ca="1" si="31"/>
        <v>0</v>
      </c>
      <c r="AO175" s="71">
        <f ca="1">IF(C175=1,(H175+J175+N175+P175)*Reeksen!AN175,0)</f>
        <v>0</v>
      </c>
      <c r="AP175" s="71">
        <f ca="1">-IF(C175=1,(H175+J175+N175+P175)*'Hulp - basis'!$G$550*Reeksen!H175,0)</f>
        <v>0</v>
      </c>
      <c r="AQ175" s="71">
        <f ca="1">-IF(C175=1,(F175+K175+L175+Q175)/2*'Invoer gegevens'!$F$35*Reeksen!J175,0)*2</f>
        <v>0</v>
      </c>
      <c r="AR175" s="71"/>
      <c r="AS175" s="71">
        <f ca="1">-IF(C175=1,(F175+K175+L175+Q175)/2*'Invoer gegevens'!$F$37*Reeksen!L175,0)</f>
        <v>0</v>
      </c>
      <c r="AT175" s="71">
        <f ca="1">-IF(C175=1,IF(E175='Invoer gegevens'!$C$17,'Invoer gegevens'!$C$11,AD175)*Reeksen!S175*'Invoer gegevens'!$C$18*Reeksen!P175,0)</f>
        <v>0</v>
      </c>
      <c r="AU175" s="71">
        <f ca="1">-IF(C175=1,(F175+K175+L175+Q175)/2*'Invoer gegevens'!$F$38*Reeksen!H175,0)</f>
        <v>0</v>
      </c>
      <c r="AV175" s="71">
        <f t="shared" si="35"/>
        <v>0</v>
      </c>
      <c r="AW175" s="71">
        <f t="shared" ca="1" si="32"/>
        <v>0</v>
      </c>
      <c r="AX175" s="71">
        <f ca="1">IF(E175&lt;'Invoer gegevens'!$C$17+15,0,IF(E175&gt;'Invoer gegevens'!$C$17+215,0,AW175))</f>
        <v>0</v>
      </c>
      <c r="AY175" s="71">
        <f ca="1">AX175/(1+'Invoer gegevens'!$F$18)^($AZ175-('Invoer gegevens'!$C$17-'Invoer gegevens'!$C$16))/(1+'Invoer gegevens'!$C$39)^('Invoer gegevens'!$C$17-'Invoer gegevens'!$C$16)</f>
        <v>0</v>
      </c>
      <c r="AZ175" s="68">
        <f ca="1">IF(E175-'Invoer gegevens'!$C$17-14.5&lt;0,0,E175-'Invoer gegevens'!$C$17-14.5)</f>
        <v>155.5</v>
      </c>
    </row>
    <row r="176" spans="1:52" x14ac:dyDescent="0.25">
      <c r="A176" s="59"/>
      <c r="B176" s="70">
        <f t="shared" si="33"/>
        <v>172</v>
      </c>
      <c r="C176" s="67">
        <f ca="1">IF(E176-'Invoer gegevens'!$C$17&lt;0,0,1)</f>
        <v>1</v>
      </c>
      <c r="D176" s="68">
        <f t="shared" si="34"/>
        <v>171.5</v>
      </c>
      <c r="E176" s="69">
        <f ca="1">IF('Invoer gegevens'!$C$16="","",E175+1)</f>
        <v>2190</v>
      </c>
      <c r="F176" s="84">
        <f ca="1">IF('Invoer gegevens'!$C$17=E176,'Invoer gegevens'!$C$10,IF(C176=1,K175,0))</f>
        <v>0</v>
      </c>
      <c r="G176" s="96">
        <f ca="1">IF(C176&gt;=1,F176*VLOOKUP(E176,Reeksen!$A$5:$B$76,2),0)</f>
        <v>0</v>
      </c>
      <c r="H176" s="84">
        <f ca="1">(1-('Invoer gegevens'!$F$20/12))*F176*MIN(Reeksen!B176,Reeksen!D176)</f>
        <v>0</v>
      </c>
      <c r="I176" s="84">
        <f>IF(Reeksen!D176&lt;Reeksen!B176,(Reeksen!B176-Reeksen!D176)*F176,0)</f>
        <v>0</v>
      </c>
      <c r="J176" s="84">
        <f ca="1">('Invoer gegevens'!$F$20/12)*F175*MIN(Reeksen!B175,Reeksen!D175)</f>
        <v>0</v>
      </c>
      <c r="K176" s="97">
        <f t="shared" ca="1" si="24"/>
        <v>0</v>
      </c>
      <c r="L176" s="84">
        <f ca="1">IF('Invoer gegevens'!$C$17=E176,0,IF(C176=1,Q175,0))</f>
        <v>0</v>
      </c>
      <c r="M176" s="96">
        <f ca="1">IF(C176&gt;=1,L176*VLOOKUP(E176,Reeksen!$A$5:$B$76,2),0)</f>
        <v>0</v>
      </c>
      <c r="N176" s="84">
        <f ca="1">(1-('Invoer gegevens'!$F$20/12))*L176*MIN(Reeksen!B176,Reeksen!D176)</f>
        <v>0</v>
      </c>
      <c r="O176" s="84">
        <f>IF(Reeksen!D176&lt;Reeksen!B176,(Reeksen!B176-Reeksen!D176)*L176,0)</f>
        <v>0</v>
      </c>
      <c r="P176" s="84">
        <f ca="1">('Invoer gegevens'!$F$20/12)*L175*MIN(Reeksen!B175,Reeksen!D175)</f>
        <v>0</v>
      </c>
      <c r="Q176" s="84">
        <f t="shared" ca="1" si="25"/>
        <v>0</v>
      </c>
      <c r="R176" s="82">
        <f ca="1">IF('Invoer gegevens'!$C$17=E176,'Invoer gegevens'!$C$11,IF(C176=1,W175,0))</f>
        <v>0</v>
      </c>
      <c r="S176" s="86">
        <f ca="1">IF(C176&gt;=1,R176*VLOOKUP(E176,Reeksen!$A$5:$B$76,2),0)</f>
        <v>0</v>
      </c>
      <c r="T176" s="84">
        <f ca="1">(1-('Invoer gegevens'!$F$20/12))*R176*MIN(Reeksen!B176,Reeksen!D176)</f>
        <v>0</v>
      </c>
      <c r="U176" s="84">
        <f>IF(Reeksen!D176&gt;=Reeksen!B176,0,IF(Reeksen!AD176&lt;=Reeksen!AE176,(Reeksen!B176-Reeksen!D176)*R176,0))</f>
        <v>0</v>
      </c>
      <c r="V176" s="86">
        <f>IF(Reeksen!D176&gt;=Reeksen!B176,0,IF(Reeksen!AD176&gt;Reeksen!AE176,(Reeksen!B176-Reeksen!D176)*R176,0))</f>
        <v>0</v>
      </c>
      <c r="W176" s="97">
        <f t="shared" ca="1" si="26"/>
        <v>0</v>
      </c>
      <c r="X176" s="98">
        <f ca="1">IF('Invoer gegevens'!$C$17=E176,'Invoer gegevens'!$C$10-'Invoer gegevens'!$C$11,IF(C176=1,AC175,0))</f>
        <v>0</v>
      </c>
      <c r="Y176" s="98">
        <f ca="1">IF(C176&gt;=1,X176*VLOOKUP(E176,Reeksen!$A$5:$B$76,2),0)</f>
        <v>0</v>
      </c>
      <c r="Z176" s="98">
        <f ca="1">(1-('Invoer gegevens'!$F$20/12))*X176*MIN(Reeksen!B176,Reeksen!D176)</f>
        <v>0</v>
      </c>
      <c r="AA176" s="98">
        <f>IF(Reeksen!D176&gt;=Reeksen!B176,0,IF(Reeksen!AD176&lt;=Reeksen!AE176,(Reeksen!B176-Reeksen!D176)*X176,0))</f>
        <v>0</v>
      </c>
      <c r="AB176" s="98">
        <f>IF(Reeksen!D176&gt;=Reeksen!B176,0,IF(Reeksen!AD176&gt;Reeksen!AE176,(Reeksen!B176-Reeksen!D176)*X176,0))</f>
        <v>0</v>
      </c>
      <c r="AC176" s="99">
        <f t="shared" ca="1" si="27"/>
        <v>0</v>
      </c>
      <c r="AD176" s="98">
        <f ca="1">IF('Invoer gegevens'!$C$17=E176,R176,IF(C176=0,0,AE175))</f>
        <v>0</v>
      </c>
      <c r="AE176" s="98">
        <f t="shared" ca="1" si="28"/>
        <v>0</v>
      </c>
      <c r="AF176" s="98">
        <f ca="1">IF('Invoer gegevens'!$C$17=E176,X176,IF(C176=0,0,AG175))</f>
        <v>0</v>
      </c>
      <c r="AG176" s="98">
        <f t="shared" ca="1" si="29"/>
        <v>0</v>
      </c>
      <c r="AH176" s="66"/>
      <c r="AI176" s="71">
        <f ca="1">IF(C176=1,Reeksen!AI176*((F176-G176+F176)/2)*12+Reeksen!AD176*((L176-M176+L176)/2)*12,0)</f>
        <v>0</v>
      </c>
      <c r="AJ176" s="71">
        <f ca="1">-AI176*'Invoer gegevens'!$F$28</f>
        <v>0</v>
      </c>
      <c r="AK176" s="71">
        <f t="shared" ca="1" si="30"/>
        <v>0</v>
      </c>
      <c r="AL176" s="71">
        <f ca="1">IF(C176=1,Reeksen!AL176*((F176-G176+F176)/2)*12+Reeksen!AM176*((L176-M176+L176)/2)*12,0)</f>
        <v>0</v>
      </c>
      <c r="AM176" s="71">
        <f ca="1">-AL176*'Invoer gegevens'!$F$31</f>
        <v>0</v>
      </c>
      <c r="AN176" s="71">
        <f t="shared" ca="1" si="31"/>
        <v>0</v>
      </c>
      <c r="AO176" s="71">
        <f ca="1">IF(C176=1,(H176+J176+N176+P176)*Reeksen!AN176,0)</f>
        <v>0</v>
      </c>
      <c r="AP176" s="71">
        <f ca="1">-IF(C176=1,(H176+J176+N176+P176)*'Hulp - basis'!$G$550*Reeksen!H176,0)</f>
        <v>0</v>
      </c>
      <c r="AQ176" s="71">
        <f ca="1">-IF(C176=1,(F176+K176+L176+Q176)/2*'Invoer gegevens'!$F$35*Reeksen!J176,0)*2</f>
        <v>0</v>
      </c>
      <c r="AR176" s="71"/>
      <c r="AS176" s="71">
        <f ca="1">-IF(C176=1,(F176+K176+L176+Q176)/2*'Invoer gegevens'!$F$37*Reeksen!L176,0)</f>
        <v>0</v>
      </c>
      <c r="AT176" s="71">
        <f ca="1">-IF(C176=1,IF(E176='Invoer gegevens'!$C$17,'Invoer gegevens'!$C$11,AD176)*Reeksen!S176*'Invoer gegevens'!$C$18*Reeksen!P176,0)</f>
        <v>0</v>
      </c>
      <c r="AU176" s="71">
        <f ca="1">-IF(C176=1,(F176+K176+L176+Q176)/2*'Invoer gegevens'!$F$38*Reeksen!H176,0)</f>
        <v>0</v>
      </c>
      <c r="AV176" s="71">
        <f t="shared" si="35"/>
        <v>0</v>
      </c>
      <c r="AW176" s="71">
        <f t="shared" ca="1" si="32"/>
        <v>0</v>
      </c>
      <c r="AX176" s="71">
        <f ca="1">IF(E176&lt;'Invoer gegevens'!$C$17+15,0,IF(E176&gt;'Invoer gegevens'!$C$17+215,0,AW176))</f>
        <v>0</v>
      </c>
      <c r="AY176" s="71">
        <f ca="1">AX176/(1+'Invoer gegevens'!$F$18)^($AZ176-('Invoer gegevens'!$C$17-'Invoer gegevens'!$C$16))/(1+'Invoer gegevens'!$C$39)^('Invoer gegevens'!$C$17-'Invoer gegevens'!$C$16)</f>
        <v>0</v>
      </c>
      <c r="AZ176" s="68">
        <f ca="1">IF(E176-'Invoer gegevens'!$C$17-14.5&lt;0,0,E176-'Invoer gegevens'!$C$17-14.5)</f>
        <v>156.5</v>
      </c>
    </row>
    <row r="177" spans="1:52" x14ac:dyDescent="0.25">
      <c r="A177" s="59"/>
      <c r="B177" s="70">
        <f t="shared" si="33"/>
        <v>173</v>
      </c>
      <c r="C177" s="67">
        <f ca="1">IF(E177-'Invoer gegevens'!$C$17&lt;0,0,1)</f>
        <v>1</v>
      </c>
      <c r="D177" s="68">
        <f t="shared" si="34"/>
        <v>172.5</v>
      </c>
      <c r="E177" s="69">
        <f ca="1">IF('Invoer gegevens'!$C$16="","",E176+1)</f>
        <v>2191</v>
      </c>
      <c r="F177" s="84">
        <f ca="1">IF('Invoer gegevens'!$C$17=E177,'Invoer gegevens'!$C$10,IF(C177=1,K176,0))</f>
        <v>0</v>
      </c>
      <c r="G177" s="96">
        <f ca="1">IF(C177&gt;=1,F177*VLOOKUP(E177,Reeksen!$A$5:$B$76,2),0)</f>
        <v>0</v>
      </c>
      <c r="H177" s="84">
        <f ca="1">(1-('Invoer gegevens'!$F$20/12))*F177*MIN(Reeksen!B177,Reeksen!D177)</f>
        <v>0</v>
      </c>
      <c r="I177" s="84">
        <f>IF(Reeksen!D177&lt;Reeksen!B177,(Reeksen!B177-Reeksen!D177)*F177,0)</f>
        <v>0</v>
      </c>
      <c r="J177" s="84">
        <f ca="1">('Invoer gegevens'!$F$20/12)*F176*MIN(Reeksen!B176,Reeksen!D176)</f>
        <v>0</v>
      </c>
      <c r="K177" s="97">
        <f t="shared" ca="1" si="24"/>
        <v>0</v>
      </c>
      <c r="L177" s="84">
        <f ca="1">IF('Invoer gegevens'!$C$17=E177,0,IF(C177=1,Q176,0))</f>
        <v>0</v>
      </c>
      <c r="M177" s="96">
        <f ca="1">IF(C177&gt;=1,L177*VLOOKUP(E177,Reeksen!$A$5:$B$76,2),0)</f>
        <v>0</v>
      </c>
      <c r="N177" s="84">
        <f ca="1">(1-('Invoer gegevens'!$F$20/12))*L177*MIN(Reeksen!B177,Reeksen!D177)</f>
        <v>0</v>
      </c>
      <c r="O177" s="84">
        <f>IF(Reeksen!D177&lt;Reeksen!B177,(Reeksen!B177-Reeksen!D177)*L177,0)</f>
        <v>0</v>
      </c>
      <c r="P177" s="84">
        <f ca="1">('Invoer gegevens'!$F$20/12)*L176*MIN(Reeksen!B176,Reeksen!D176)</f>
        <v>0</v>
      </c>
      <c r="Q177" s="84">
        <f t="shared" ca="1" si="25"/>
        <v>0</v>
      </c>
      <c r="R177" s="82">
        <f ca="1">IF('Invoer gegevens'!$C$17=E177,'Invoer gegevens'!$C$11,IF(C177=1,W176,0))</f>
        <v>0</v>
      </c>
      <c r="S177" s="86">
        <f ca="1">IF(C177&gt;=1,R177*VLOOKUP(E177,Reeksen!$A$5:$B$76,2),0)</f>
        <v>0</v>
      </c>
      <c r="T177" s="84">
        <f ca="1">(1-('Invoer gegevens'!$F$20/12))*R177*MIN(Reeksen!B177,Reeksen!D177)</f>
        <v>0</v>
      </c>
      <c r="U177" s="84">
        <f>IF(Reeksen!D177&gt;=Reeksen!B177,0,IF(Reeksen!AD177&lt;=Reeksen!AE177,(Reeksen!B177-Reeksen!D177)*R177,0))</f>
        <v>0</v>
      </c>
      <c r="V177" s="86">
        <f>IF(Reeksen!D177&gt;=Reeksen!B177,0,IF(Reeksen!AD177&gt;Reeksen!AE177,(Reeksen!B177-Reeksen!D177)*R177,0))</f>
        <v>0</v>
      </c>
      <c r="W177" s="97">
        <f t="shared" ca="1" si="26"/>
        <v>0</v>
      </c>
      <c r="X177" s="98">
        <f ca="1">IF('Invoer gegevens'!$C$17=E177,'Invoer gegevens'!$C$10-'Invoer gegevens'!$C$11,IF(C177=1,AC176,0))</f>
        <v>0</v>
      </c>
      <c r="Y177" s="98">
        <f ca="1">IF(C177&gt;=1,X177*VLOOKUP(E177,Reeksen!$A$5:$B$76,2),0)</f>
        <v>0</v>
      </c>
      <c r="Z177" s="98">
        <f ca="1">(1-('Invoer gegevens'!$F$20/12))*X177*MIN(Reeksen!B177,Reeksen!D177)</f>
        <v>0</v>
      </c>
      <c r="AA177" s="98">
        <f>IF(Reeksen!D177&gt;=Reeksen!B177,0,IF(Reeksen!AD177&lt;=Reeksen!AE177,(Reeksen!B177-Reeksen!D177)*X177,0))</f>
        <v>0</v>
      </c>
      <c r="AB177" s="98">
        <f>IF(Reeksen!D177&gt;=Reeksen!B177,0,IF(Reeksen!AD177&gt;Reeksen!AE177,(Reeksen!B177-Reeksen!D177)*X177,0))</f>
        <v>0</v>
      </c>
      <c r="AC177" s="99">
        <f t="shared" ca="1" si="27"/>
        <v>0</v>
      </c>
      <c r="AD177" s="98">
        <f ca="1">IF('Invoer gegevens'!$C$17=E177,R177,IF(C177=0,0,AE176))</f>
        <v>0</v>
      </c>
      <c r="AE177" s="98">
        <f t="shared" ca="1" si="28"/>
        <v>0</v>
      </c>
      <c r="AF177" s="98">
        <f ca="1">IF('Invoer gegevens'!$C$17=E177,X177,IF(C177=0,0,AG176))</f>
        <v>0</v>
      </c>
      <c r="AG177" s="98">
        <f t="shared" ca="1" si="29"/>
        <v>0</v>
      </c>
      <c r="AH177" s="66"/>
      <c r="AI177" s="71">
        <f ca="1">IF(C177=1,Reeksen!AI177*((F177-G177+F177)/2)*12+Reeksen!AD177*((L177-M177+L177)/2)*12,0)</f>
        <v>0</v>
      </c>
      <c r="AJ177" s="71">
        <f ca="1">-AI177*'Invoer gegevens'!$F$28</f>
        <v>0</v>
      </c>
      <c r="AK177" s="71">
        <f t="shared" ca="1" si="30"/>
        <v>0</v>
      </c>
      <c r="AL177" s="71">
        <f ca="1">IF(C177=1,Reeksen!AL177*((F177-G177+F177)/2)*12+Reeksen!AM177*((L177-M177+L177)/2)*12,0)</f>
        <v>0</v>
      </c>
      <c r="AM177" s="71">
        <f ca="1">-AL177*'Invoer gegevens'!$F$31</f>
        <v>0</v>
      </c>
      <c r="AN177" s="71">
        <f t="shared" ca="1" si="31"/>
        <v>0</v>
      </c>
      <c r="AO177" s="71">
        <f ca="1">IF(C177=1,(H177+J177+N177+P177)*Reeksen!AN177,0)</f>
        <v>0</v>
      </c>
      <c r="AP177" s="71">
        <f ca="1">-IF(C177=1,(H177+J177+N177+P177)*'Hulp - basis'!$G$550*Reeksen!H177,0)</f>
        <v>0</v>
      </c>
      <c r="AQ177" s="71">
        <f ca="1">-IF(C177=1,(F177+K177+L177+Q177)/2*'Invoer gegevens'!$F$35*Reeksen!J177,0)*2</f>
        <v>0</v>
      </c>
      <c r="AR177" s="71"/>
      <c r="AS177" s="71">
        <f ca="1">-IF(C177=1,(F177+K177+L177+Q177)/2*'Invoer gegevens'!$F$37*Reeksen!L177,0)</f>
        <v>0</v>
      </c>
      <c r="AT177" s="71">
        <f ca="1">-IF(C177=1,IF(E177='Invoer gegevens'!$C$17,'Invoer gegevens'!$C$11,AD177)*Reeksen!S177*'Invoer gegevens'!$C$18*Reeksen!P177,0)</f>
        <v>0</v>
      </c>
      <c r="AU177" s="71">
        <f ca="1">-IF(C177=1,(F177+K177+L177+Q177)/2*'Invoer gegevens'!$F$38*Reeksen!H177,0)</f>
        <v>0</v>
      </c>
      <c r="AV177" s="71">
        <f t="shared" si="35"/>
        <v>0</v>
      </c>
      <c r="AW177" s="71">
        <f t="shared" ca="1" si="32"/>
        <v>0</v>
      </c>
      <c r="AX177" s="71">
        <f ca="1">IF(E177&lt;'Invoer gegevens'!$C$17+15,0,IF(E177&gt;'Invoer gegevens'!$C$17+215,0,AW177))</f>
        <v>0</v>
      </c>
      <c r="AY177" s="71">
        <f ca="1">AX177/(1+'Invoer gegevens'!$F$18)^($AZ177-('Invoer gegevens'!$C$17-'Invoer gegevens'!$C$16))/(1+'Invoer gegevens'!$C$39)^('Invoer gegevens'!$C$17-'Invoer gegevens'!$C$16)</f>
        <v>0</v>
      </c>
      <c r="AZ177" s="68">
        <f ca="1">IF(E177-'Invoer gegevens'!$C$17-14.5&lt;0,0,E177-'Invoer gegevens'!$C$17-14.5)</f>
        <v>157.5</v>
      </c>
    </row>
    <row r="178" spans="1:52" x14ac:dyDescent="0.25">
      <c r="A178" s="59"/>
      <c r="B178" s="70">
        <f t="shared" si="33"/>
        <v>174</v>
      </c>
      <c r="C178" s="67">
        <f ca="1">IF(E178-'Invoer gegevens'!$C$17&lt;0,0,1)</f>
        <v>1</v>
      </c>
      <c r="D178" s="68">
        <f t="shared" si="34"/>
        <v>173.5</v>
      </c>
      <c r="E178" s="69">
        <f ca="1">IF('Invoer gegevens'!$C$16="","",E177+1)</f>
        <v>2192</v>
      </c>
      <c r="F178" s="84">
        <f ca="1">IF('Invoer gegevens'!$C$17=E178,'Invoer gegevens'!$C$10,IF(C178=1,K177,0))</f>
        <v>0</v>
      </c>
      <c r="G178" s="96">
        <f ca="1">IF(C178&gt;=1,F178*VLOOKUP(E178,Reeksen!$A$5:$B$76,2),0)</f>
        <v>0</v>
      </c>
      <c r="H178" s="84">
        <f ca="1">(1-('Invoer gegevens'!$F$20/12))*F178*MIN(Reeksen!B178,Reeksen!D178)</f>
        <v>0</v>
      </c>
      <c r="I178" s="84">
        <f>IF(Reeksen!D178&lt;Reeksen!B178,(Reeksen!B178-Reeksen!D178)*F178,0)</f>
        <v>0</v>
      </c>
      <c r="J178" s="84">
        <f ca="1">('Invoer gegevens'!$F$20/12)*F177*MIN(Reeksen!B177,Reeksen!D177)</f>
        <v>0</v>
      </c>
      <c r="K178" s="97">
        <f t="shared" ca="1" si="24"/>
        <v>0</v>
      </c>
      <c r="L178" s="84">
        <f ca="1">IF('Invoer gegevens'!$C$17=E178,0,IF(C178=1,Q177,0))</f>
        <v>0</v>
      </c>
      <c r="M178" s="96">
        <f ca="1">IF(C178&gt;=1,L178*VLOOKUP(E178,Reeksen!$A$5:$B$76,2),0)</f>
        <v>0</v>
      </c>
      <c r="N178" s="84">
        <f ca="1">(1-('Invoer gegevens'!$F$20/12))*L178*MIN(Reeksen!B178,Reeksen!D178)</f>
        <v>0</v>
      </c>
      <c r="O178" s="84">
        <f>IF(Reeksen!D178&lt;Reeksen!B178,(Reeksen!B178-Reeksen!D178)*L178,0)</f>
        <v>0</v>
      </c>
      <c r="P178" s="84">
        <f ca="1">('Invoer gegevens'!$F$20/12)*L177*MIN(Reeksen!B177,Reeksen!D177)</f>
        <v>0</v>
      </c>
      <c r="Q178" s="84">
        <f t="shared" ca="1" si="25"/>
        <v>0</v>
      </c>
      <c r="R178" s="82">
        <f ca="1">IF('Invoer gegevens'!$C$17=E178,'Invoer gegevens'!$C$11,IF(C178=1,W177,0))</f>
        <v>0</v>
      </c>
      <c r="S178" s="86">
        <f ca="1">IF(C178&gt;=1,R178*VLOOKUP(E178,Reeksen!$A$5:$B$76,2),0)</f>
        <v>0</v>
      </c>
      <c r="T178" s="84">
        <f ca="1">(1-('Invoer gegevens'!$F$20/12))*R178*MIN(Reeksen!B178,Reeksen!D178)</f>
        <v>0</v>
      </c>
      <c r="U178" s="84">
        <f>IF(Reeksen!D178&gt;=Reeksen!B178,0,IF(Reeksen!AD178&lt;=Reeksen!AE178,(Reeksen!B178-Reeksen!D178)*R178,0))</f>
        <v>0</v>
      </c>
      <c r="V178" s="86">
        <f>IF(Reeksen!D178&gt;=Reeksen!B178,0,IF(Reeksen!AD178&gt;Reeksen!AE178,(Reeksen!B178-Reeksen!D178)*R178,0))</f>
        <v>0</v>
      </c>
      <c r="W178" s="97">
        <f t="shared" ca="1" si="26"/>
        <v>0</v>
      </c>
      <c r="X178" s="98">
        <f ca="1">IF('Invoer gegevens'!$C$17=E178,'Invoer gegevens'!$C$10-'Invoer gegevens'!$C$11,IF(C178=1,AC177,0))</f>
        <v>0</v>
      </c>
      <c r="Y178" s="98">
        <f ca="1">IF(C178&gt;=1,X178*VLOOKUP(E178,Reeksen!$A$5:$B$76,2),0)</f>
        <v>0</v>
      </c>
      <c r="Z178" s="98">
        <f ca="1">(1-('Invoer gegevens'!$F$20/12))*X178*MIN(Reeksen!B178,Reeksen!D178)</f>
        <v>0</v>
      </c>
      <c r="AA178" s="98">
        <f>IF(Reeksen!D178&gt;=Reeksen!B178,0,IF(Reeksen!AD178&lt;=Reeksen!AE178,(Reeksen!B178-Reeksen!D178)*X178,0))</f>
        <v>0</v>
      </c>
      <c r="AB178" s="98">
        <f>IF(Reeksen!D178&gt;=Reeksen!B178,0,IF(Reeksen!AD178&gt;Reeksen!AE178,(Reeksen!B178-Reeksen!D178)*X178,0))</f>
        <v>0</v>
      </c>
      <c r="AC178" s="99">
        <f t="shared" ca="1" si="27"/>
        <v>0</v>
      </c>
      <c r="AD178" s="98">
        <f ca="1">IF('Invoer gegevens'!$C$17=E178,R178,IF(C178=0,0,AE177))</f>
        <v>0</v>
      </c>
      <c r="AE178" s="98">
        <f t="shared" ca="1" si="28"/>
        <v>0</v>
      </c>
      <c r="AF178" s="98">
        <f ca="1">IF('Invoer gegevens'!$C$17=E178,X178,IF(C178=0,0,AG177))</f>
        <v>0</v>
      </c>
      <c r="AG178" s="98">
        <f t="shared" ca="1" si="29"/>
        <v>0</v>
      </c>
      <c r="AH178" s="66"/>
      <c r="AI178" s="71">
        <f ca="1">IF(C178=1,Reeksen!AI178*((F178-G178+F178)/2)*12+Reeksen!AD178*((L178-M178+L178)/2)*12,0)</f>
        <v>0</v>
      </c>
      <c r="AJ178" s="71">
        <f ca="1">-AI178*'Invoer gegevens'!$F$28</f>
        <v>0</v>
      </c>
      <c r="AK178" s="71">
        <f t="shared" ca="1" si="30"/>
        <v>0</v>
      </c>
      <c r="AL178" s="71">
        <f ca="1">IF(C178=1,Reeksen!AL178*((F178-G178+F178)/2)*12+Reeksen!AM178*((L178-M178+L178)/2)*12,0)</f>
        <v>0</v>
      </c>
      <c r="AM178" s="71">
        <f ca="1">-AL178*'Invoer gegevens'!$F$31</f>
        <v>0</v>
      </c>
      <c r="AN178" s="71">
        <f t="shared" ca="1" si="31"/>
        <v>0</v>
      </c>
      <c r="AO178" s="71">
        <f ca="1">IF(C178=1,(H178+J178+N178+P178)*Reeksen!AN178,0)</f>
        <v>0</v>
      </c>
      <c r="AP178" s="71">
        <f ca="1">-IF(C178=1,(H178+J178+N178+P178)*'Hulp - basis'!$G$550*Reeksen!H178,0)</f>
        <v>0</v>
      </c>
      <c r="AQ178" s="71">
        <f ca="1">-IF(C178=1,(F178+K178+L178+Q178)/2*'Invoer gegevens'!$F$35*Reeksen!J178,0)*2</f>
        <v>0</v>
      </c>
      <c r="AR178" s="71"/>
      <c r="AS178" s="71">
        <f ca="1">-IF(C178=1,(F178+K178+L178+Q178)/2*'Invoer gegevens'!$F$37*Reeksen!L178,0)</f>
        <v>0</v>
      </c>
      <c r="AT178" s="71">
        <f ca="1">-IF(C178=1,IF(E178='Invoer gegevens'!$C$17,'Invoer gegevens'!$C$11,AD178)*Reeksen!S178*'Invoer gegevens'!$C$18*Reeksen!P178,0)</f>
        <v>0</v>
      </c>
      <c r="AU178" s="71">
        <f ca="1">-IF(C178=1,(F178+K178+L178+Q178)/2*'Invoer gegevens'!$F$38*Reeksen!H178,0)</f>
        <v>0</v>
      </c>
      <c r="AV178" s="71">
        <f t="shared" si="35"/>
        <v>0</v>
      </c>
      <c r="AW178" s="71">
        <f t="shared" ca="1" si="32"/>
        <v>0</v>
      </c>
      <c r="AX178" s="71">
        <f ca="1">IF(E178&lt;'Invoer gegevens'!$C$17+15,0,IF(E178&gt;'Invoer gegevens'!$C$17+215,0,AW178))</f>
        <v>0</v>
      </c>
      <c r="AY178" s="71">
        <f ca="1">AX178/(1+'Invoer gegevens'!$F$18)^($AZ178-('Invoer gegevens'!$C$17-'Invoer gegevens'!$C$16))/(1+'Invoer gegevens'!$C$39)^('Invoer gegevens'!$C$17-'Invoer gegevens'!$C$16)</f>
        <v>0</v>
      </c>
      <c r="AZ178" s="68">
        <f ca="1">IF(E178-'Invoer gegevens'!$C$17-14.5&lt;0,0,E178-'Invoer gegevens'!$C$17-14.5)</f>
        <v>158.5</v>
      </c>
    </row>
    <row r="179" spans="1:52" x14ac:dyDescent="0.25">
      <c r="A179" s="59"/>
      <c r="B179" s="70">
        <f t="shared" si="33"/>
        <v>175</v>
      </c>
      <c r="C179" s="67">
        <f ca="1">IF(E179-'Invoer gegevens'!$C$17&lt;0,0,1)</f>
        <v>1</v>
      </c>
      <c r="D179" s="68">
        <f t="shared" si="34"/>
        <v>174.5</v>
      </c>
      <c r="E179" s="69">
        <f ca="1">IF('Invoer gegevens'!$C$16="","",E178+1)</f>
        <v>2193</v>
      </c>
      <c r="F179" s="84">
        <f ca="1">IF('Invoer gegevens'!$C$17=E179,'Invoer gegevens'!$C$10,IF(C179=1,K178,0))</f>
        <v>0</v>
      </c>
      <c r="G179" s="96">
        <f ca="1">IF(C179&gt;=1,F179*VLOOKUP(E179,Reeksen!$A$5:$B$76,2),0)</f>
        <v>0</v>
      </c>
      <c r="H179" s="84">
        <f ca="1">(1-('Invoer gegevens'!$F$20/12))*F179*MIN(Reeksen!B179,Reeksen!D179)</f>
        <v>0</v>
      </c>
      <c r="I179" s="84">
        <f>IF(Reeksen!D179&lt;Reeksen!B179,(Reeksen!B179-Reeksen!D179)*F179,0)</f>
        <v>0</v>
      </c>
      <c r="J179" s="84">
        <f ca="1">('Invoer gegevens'!$F$20/12)*F178*MIN(Reeksen!B178,Reeksen!D178)</f>
        <v>0</v>
      </c>
      <c r="K179" s="97">
        <f t="shared" ca="1" si="24"/>
        <v>0</v>
      </c>
      <c r="L179" s="84">
        <f ca="1">IF('Invoer gegevens'!$C$17=E179,0,IF(C179=1,Q178,0))</f>
        <v>0</v>
      </c>
      <c r="M179" s="96">
        <f ca="1">IF(C179&gt;=1,L179*VLOOKUP(E179,Reeksen!$A$5:$B$76,2),0)</f>
        <v>0</v>
      </c>
      <c r="N179" s="84">
        <f ca="1">(1-('Invoer gegevens'!$F$20/12))*L179*MIN(Reeksen!B179,Reeksen!D179)</f>
        <v>0</v>
      </c>
      <c r="O179" s="84">
        <f>IF(Reeksen!D179&lt;Reeksen!B179,(Reeksen!B179-Reeksen!D179)*L179,0)</f>
        <v>0</v>
      </c>
      <c r="P179" s="84">
        <f ca="1">('Invoer gegevens'!$F$20/12)*L178*MIN(Reeksen!B178,Reeksen!D178)</f>
        <v>0</v>
      </c>
      <c r="Q179" s="84">
        <f t="shared" ca="1" si="25"/>
        <v>0</v>
      </c>
      <c r="R179" s="82">
        <f ca="1">IF('Invoer gegevens'!$C$17=E179,'Invoer gegevens'!$C$11,IF(C179=1,W178,0))</f>
        <v>0</v>
      </c>
      <c r="S179" s="86">
        <f ca="1">IF(C179&gt;=1,R179*VLOOKUP(E179,Reeksen!$A$5:$B$76,2),0)</f>
        <v>0</v>
      </c>
      <c r="T179" s="84">
        <f ca="1">(1-('Invoer gegevens'!$F$20/12))*R179*MIN(Reeksen!B179,Reeksen!D179)</f>
        <v>0</v>
      </c>
      <c r="U179" s="84">
        <f>IF(Reeksen!D179&gt;=Reeksen!B179,0,IF(Reeksen!AD179&lt;=Reeksen!AE179,(Reeksen!B179-Reeksen!D179)*R179,0))</f>
        <v>0</v>
      </c>
      <c r="V179" s="86">
        <f>IF(Reeksen!D179&gt;=Reeksen!B179,0,IF(Reeksen!AD179&gt;Reeksen!AE179,(Reeksen!B179-Reeksen!D179)*R179,0))</f>
        <v>0</v>
      </c>
      <c r="W179" s="97">
        <f t="shared" ca="1" si="26"/>
        <v>0</v>
      </c>
      <c r="X179" s="98">
        <f ca="1">IF('Invoer gegevens'!$C$17=E179,'Invoer gegevens'!$C$10-'Invoer gegevens'!$C$11,IF(C179=1,AC178,0))</f>
        <v>0</v>
      </c>
      <c r="Y179" s="98">
        <f ca="1">IF(C179&gt;=1,X179*VLOOKUP(E179,Reeksen!$A$5:$B$76,2),0)</f>
        <v>0</v>
      </c>
      <c r="Z179" s="98">
        <f ca="1">(1-('Invoer gegevens'!$F$20/12))*X179*MIN(Reeksen!B179,Reeksen!D179)</f>
        <v>0</v>
      </c>
      <c r="AA179" s="98">
        <f>IF(Reeksen!D179&gt;=Reeksen!B179,0,IF(Reeksen!AD179&lt;=Reeksen!AE179,(Reeksen!B179-Reeksen!D179)*X179,0))</f>
        <v>0</v>
      </c>
      <c r="AB179" s="98">
        <f>IF(Reeksen!D179&gt;=Reeksen!B179,0,IF(Reeksen!AD179&gt;Reeksen!AE179,(Reeksen!B179-Reeksen!D179)*X179,0))</f>
        <v>0</v>
      </c>
      <c r="AC179" s="99">
        <f t="shared" ca="1" si="27"/>
        <v>0</v>
      </c>
      <c r="AD179" s="98">
        <f ca="1">IF('Invoer gegevens'!$C$17=E179,R179,IF(C179=0,0,AE178))</f>
        <v>0</v>
      </c>
      <c r="AE179" s="98">
        <f t="shared" ca="1" si="28"/>
        <v>0</v>
      </c>
      <c r="AF179" s="98">
        <f ca="1">IF('Invoer gegevens'!$C$17=E179,X179,IF(C179=0,0,AG178))</f>
        <v>0</v>
      </c>
      <c r="AG179" s="98">
        <f t="shared" ca="1" si="29"/>
        <v>0</v>
      </c>
      <c r="AH179" s="66"/>
      <c r="AI179" s="71">
        <f ca="1">IF(C179=1,Reeksen!AI179*((F179-G179+F179)/2)*12+Reeksen!AD179*((L179-M179+L179)/2)*12,0)</f>
        <v>0</v>
      </c>
      <c r="AJ179" s="71">
        <f ca="1">-AI179*'Invoer gegevens'!$F$28</f>
        <v>0</v>
      </c>
      <c r="AK179" s="71">
        <f t="shared" ca="1" si="30"/>
        <v>0</v>
      </c>
      <c r="AL179" s="71">
        <f ca="1">IF(C179=1,Reeksen!AL179*((F179-G179+F179)/2)*12+Reeksen!AM179*((L179-M179+L179)/2)*12,0)</f>
        <v>0</v>
      </c>
      <c r="AM179" s="71">
        <f ca="1">-AL179*'Invoer gegevens'!$F$31</f>
        <v>0</v>
      </c>
      <c r="AN179" s="71">
        <f t="shared" ca="1" si="31"/>
        <v>0</v>
      </c>
      <c r="AO179" s="71">
        <f ca="1">IF(C179=1,(H179+J179+N179+P179)*Reeksen!AN179,0)</f>
        <v>0</v>
      </c>
      <c r="AP179" s="71">
        <f ca="1">-IF(C179=1,(H179+J179+N179+P179)*'Hulp - basis'!$G$550*Reeksen!H179,0)</f>
        <v>0</v>
      </c>
      <c r="AQ179" s="71">
        <f ca="1">-IF(C179=1,(F179+K179+L179+Q179)/2*'Invoer gegevens'!$F$35*Reeksen!J179,0)*2</f>
        <v>0</v>
      </c>
      <c r="AR179" s="71"/>
      <c r="AS179" s="71">
        <f ca="1">-IF(C179=1,(F179+K179+L179+Q179)/2*'Invoer gegevens'!$F$37*Reeksen!L179,0)</f>
        <v>0</v>
      </c>
      <c r="AT179" s="71">
        <f ca="1">-IF(C179=1,IF(E179='Invoer gegevens'!$C$17,'Invoer gegevens'!$C$11,AD179)*Reeksen!S179*'Invoer gegevens'!$C$18*Reeksen!P179,0)</f>
        <v>0</v>
      </c>
      <c r="AU179" s="71">
        <f ca="1">-IF(C179=1,(F179+K179+L179+Q179)/2*'Invoer gegevens'!$F$38*Reeksen!H179,0)</f>
        <v>0</v>
      </c>
      <c r="AV179" s="71">
        <f t="shared" si="35"/>
        <v>0</v>
      </c>
      <c r="AW179" s="71">
        <f t="shared" ca="1" si="32"/>
        <v>0</v>
      </c>
      <c r="AX179" s="71">
        <f ca="1">IF(E179&lt;'Invoer gegevens'!$C$17+15,0,IF(E179&gt;'Invoer gegevens'!$C$17+215,0,AW179))</f>
        <v>0</v>
      </c>
      <c r="AY179" s="71">
        <f ca="1">AX179/(1+'Invoer gegevens'!$F$18)^($AZ179-('Invoer gegevens'!$C$17-'Invoer gegevens'!$C$16))/(1+'Invoer gegevens'!$C$39)^('Invoer gegevens'!$C$17-'Invoer gegevens'!$C$16)</f>
        <v>0</v>
      </c>
      <c r="AZ179" s="68">
        <f ca="1">IF(E179-'Invoer gegevens'!$C$17-14.5&lt;0,0,E179-'Invoer gegevens'!$C$17-14.5)</f>
        <v>159.5</v>
      </c>
    </row>
    <row r="180" spans="1:52" x14ac:dyDescent="0.25">
      <c r="A180" s="59"/>
      <c r="B180" s="70">
        <f t="shared" si="33"/>
        <v>176</v>
      </c>
      <c r="C180" s="67">
        <f ca="1">IF(E180-'Invoer gegevens'!$C$17&lt;0,0,1)</f>
        <v>1</v>
      </c>
      <c r="D180" s="68">
        <f t="shared" si="34"/>
        <v>175.5</v>
      </c>
      <c r="E180" s="69">
        <f ca="1">IF('Invoer gegevens'!$C$16="","",E179+1)</f>
        <v>2194</v>
      </c>
      <c r="F180" s="84">
        <f ca="1">IF('Invoer gegevens'!$C$17=E180,'Invoer gegevens'!$C$10,IF(C180=1,K179,0))</f>
        <v>0</v>
      </c>
      <c r="G180" s="96">
        <f ca="1">IF(C180&gt;=1,F180*VLOOKUP(E180,Reeksen!$A$5:$B$76,2),0)</f>
        <v>0</v>
      </c>
      <c r="H180" s="84">
        <f ca="1">(1-('Invoer gegevens'!$F$20/12))*F180*MIN(Reeksen!B180,Reeksen!D180)</f>
        <v>0</v>
      </c>
      <c r="I180" s="84">
        <f>IF(Reeksen!D180&lt;Reeksen!B180,(Reeksen!B180-Reeksen!D180)*F180,0)</f>
        <v>0</v>
      </c>
      <c r="J180" s="84">
        <f ca="1">('Invoer gegevens'!$F$20/12)*F179*MIN(Reeksen!B179,Reeksen!D179)</f>
        <v>0</v>
      </c>
      <c r="K180" s="97">
        <f t="shared" ca="1" si="24"/>
        <v>0</v>
      </c>
      <c r="L180" s="84">
        <f ca="1">IF('Invoer gegevens'!$C$17=E180,0,IF(C180=1,Q179,0))</f>
        <v>0</v>
      </c>
      <c r="M180" s="96">
        <f ca="1">IF(C180&gt;=1,L180*VLOOKUP(E180,Reeksen!$A$5:$B$76,2),0)</f>
        <v>0</v>
      </c>
      <c r="N180" s="84">
        <f ca="1">(1-('Invoer gegevens'!$F$20/12))*L180*MIN(Reeksen!B180,Reeksen!D180)</f>
        <v>0</v>
      </c>
      <c r="O180" s="84">
        <f>IF(Reeksen!D180&lt;Reeksen!B180,(Reeksen!B180-Reeksen!D180)*L180,0)</f>
        <v>0</v>
      </c>
      <c r="P180" s="84">
        <f ca="1">('Invoer gegevens'!$F$20/12)*L179*MIN(Reeksen!B179,Reeksen!D179)</f>
        <v>0</v>
      </c>
      <c r="Q180" s="84">
        <f t="shared" ca="1" si="25"/>
        <v>0</v>
      </c>
      <c r="R180" s="82">
        <f ca="1">IF('Invoer gegevens'!$C$17=E180,'Invoer gegevens'!$C$11,IF(C180=1,W179,0))</f>
        <v>0</v>
      </c>
      <c r="S180" s="86">
        <f ca="1">IF(C180&gt;=1,R180*VLOOKUP(E180,Reeksen!$A$5:$B$76,2),0)</f>
        <v>0</v>
      </c>
      <c r="T180" s="84">
        <f ca="1">(1-('Invoer gegevens'!$F$20/12))*R180*MIN(Reeksen!B180,Reeksen!D180)</f>
        <v>0</v>
      </c>
      <c r="U180" s="84">
        <f>IF(Reeksen!D180&gt;=Reeksen!B180,0,IF(Reeksen!AD180&lt;=Reeksen!AE180,(Reeksen!B180-Reeksen!D180)*R180,0))</f>
        <v>0</v>
      </c>
      <c r="V180" s="86">
        <f>IF(Reeksen!D180&gt;=Reeksen!B180,0,IF(Reeksen!AD180&gt;Reeksen!AE180,(Reeksen!B180-Reeksen!D180)*R180,0))</f>
        <v>0</v>
      </c>
      <c r="W180" s="97">
        <f t="shared" ca="1" si="26"/>
        <v>0</v>
      </c>
      <c r="X180" s="98">
        <f ca="1">IF('Invoer gegevens'!$C$17=E180,'Invoer gegevens'!$C$10-'Invoer gegevens'!$C$11,IF(C180=1,AC179,0))</f>
        <v>0</v>
      </c>
      <c r="Y180" s="98">
        <f ca="1">IF(C180&gt;=1,X180*VLOOKUP(E180,Reeksen!$A$5:$B$76,2),0)</f>
        <v>0</v>
      </c>
      <c r="Z180" s="98">
        <f ca="1">(1-('Invoer gegevens'!$F$20/12))*X180*MIN(Reeksen!B180,Reeksen!D180)</f>
        <v>0</v>
      </c>
      <c r="AA180" s="98">
        <f>IF(Reeksen!D180&gt;=Reeksen!B180,0,IF(Reeksen!AD180&lt;=Reeksen!AE180,(Reeksen!B180-Reeksen!D180)*X180,0))</f>
        <v>0</v>
      </c>
      <c r="AB180" s="98">
        <f>IF(Reeksen!D180&gt;=Reeksen!B180,0,IF(Reeksen!AD180&gt;Reeksen!AE180,(Reeksen!B180-Reeksen!D180)*X180,0))</f>
        <v>0</v>
      </c>
      <c r="AC180" s="99">
        <f t="shared" ca="1" si="27"/>
        <v>0</v>
      </c>
      <c r="AD180" s="98">
        <f ca="1">IF('Invoer gegevens'!$C$17=E180,R180,IF(C180=0,0,AE179))</f>
        <v>0</v>
      </c>
      <c r="AE180" s="98">
        <f t="shared" ca="1" si="28"/>
        <v>0</v>
      </c>
      <c r="AF180" s="98">
        <f ca="1">IF('Invoer gegevens'!$C$17=E180,X180,IF(C180=0,0,AG179))</f>
        <v>0</v>
      </c>
      <c r="AG180" s="98">
        <f t="shared" ca="1" si="29"/>
        <v>0</v>
      </c>
      <c r="AH180" s="66"/>
      <c r="AI180" s="71">
        <f ca="1">IF(C180=1,Reeksen!AI180*((F180-G180+F180)/2)*12+Reeksen!AD180*((L180-M180+L180)/2)*12,0)</f>
        <v>0</v>
      </c>
      <c r="AJ180" s="71">
        <f ca="1">-AI180*'Invoer gegevens'!$F$28</f>
        <v>0</v>
      </c>
      <c r="AK180" s="71">
        <f t="shared" ca="1" si="30"/>
        <v>0</v>
      </c>
      <c r="AL180" s="71">
        <f ca="1">IF(C180=1,Reeksen!AL180*((F180-G180+F180)/2)*12+Reeksen!AM180*((L180-M180+L180)/2)*12,0)</f>
        <v>0</v>
      </c>
      <c r="AM180" s="71">
        <f ca="1">-AL180*'Invoer gegevens'!$F$31</f>
        <v>0</v>
      </c>
      <c r="AN180" s="71">
        <f t="shared" ca="1" si="31"/>
        <v>0</v>
      </c>
      <c r="AO180" s="71">
        <f ca="1">IF(C180=1,(H180+J180+N180+P180)*Reeksen!AN180,0)</f>
        <v>0</v>
      </c>
      <c r="AP180" s="71">
        <f ca="1">-IF(C180=1,(H180+J180+N180+P180)*'Hulp - basis'!$G$550*Reeksen!H180,0)</f>
        <v>0</v>
      </c>
      <c r="AQ180" s="71">
        <f ca="1">-IF(C180=1,(F180+K180+L180+Q180)/2*'Invoer gegevens'!$F$35*Reeksen!J180,0)*2</f>
        <v>0</v>
      </c>
      <c r="AR180" s="71"/>
      <c r="AS180" s="71">
        <f ca="1">-IF(C180=1,(F180+K180+L180+Q180)/2*'Invoer gegevens'!$F$37*Reeksen!L180,0)</f>
        <v>0</v>
      </c>
      <c r="AT180" s="71">
        <f ca="1">-IF(C180=1,IF(E180='Invoer gegevens'!$C$17,'Invoer gegevens'!$C$11,AD180)*Reeksen!S180*'Invoer gegevens'!$C$18*Reeksen!P180,0)</f>
        <v>0</v>
      </c>
      <c r="AU180" s="71">
        <f ca="1">-IF(C180=1,(F180+K180+L180+Q180)/2*'Invoer gegevens'!$F$38*Reeksen!H180,0)</f>
        <v>0</v>
      </c>
      <c r="AV180" s="71">
        <f t="shared" si="35"/>
        <v>0</v>
      </c>
      <c r="AW180" s="71">
        <f t="shared" ca="1" si="32"/>
        <v>0</v>
      </c>
      <c r="AX180" s="71">
        <f ca="1">IF(E180&lt;'Invoer gegevens'!$C$17+15,0,IF(E180&gt;'Invoer gegevens'!$C$17+215,0,AW180))</f>
        <v>0</v>
      </c>
      <c r="AY180" s="71">
        <f ca="1">AX180/(1+'Invoer gegevens'!$F$18)^($AZ180-('Invoer gegevens'!$C$17-'Invoer gegevens'!$C$16))/(1+'Invoer gegevens'!$C$39)^('Invoer gegevens'!$C$17-'Invoer gegevens'!$C$16)</f>
        <v>0</v>
      </c>
      <c r="AZ180" s="68">
        <f ca="1">IF(E180-'Invoer gegevens'!$C$17-14.5&lt;0,0,E180-'Invoer gegevens'!$C$17-14.5)</f>
        <v>160.5</v>
      </c>
    </row>
    <row r="181" spans="1:52" x14ac:dyDescent="0.25">
      <c r="A181" s="59"/>
      <c r="B181" s="70">
        <f t="shared" si="33"/>
        <v>177</v>
      </c>
      <c r="C181" s="67">
        <f ca="1">IF(E181-'Invoer gegevens'!$C$17&lt;0,0,1)</f>
        <v>1</v>
      </c>
      <c r="D181" s="68">
        <f t="shared" si="34"/>
        <v>176.5</v>
      </c>
      <c r="E181" s="69">
        <f ca="1">IF('Invoer gegevens'!$C$16="","",E180+1)</f>
        <v>2195</v>
      </c>
      <c r="F181" s="84">
        <f ca="1">IF('Invoer gegevens'!$C$17=E181,'Invoer gegevens'!$C$10,IF(C181=1,K180,0))</f>
        <v>0</v>
      </c>
      <c r="G181" s="96">
        <f ca="1">IF(C181&gt;=1,F181*VLOOKUP(E181,Reeksen!$A$5:$B$76,2),0)</f>
        <v>0</v>
      </c>
      <c r="H181" s="84">
        <f ca="1">(1-('Invoer gegevens'!$F$20/12))*F181*MIN(Reeksen!B181,Reeksen!D181)</f>
        <v>0</v>
      </c>
      <c r="I181" s="84">
        <f>IF(Reeksen!D181&lt;Reeksen!B181,(Reeksen!B181-Reeksen!D181)*F181,0)</f>
        <v>0</v>
      </c>
      <c r="J181" s="84">
        <f ca="1">('Invoer gegevens'!$F$20/12)*F180*MIN(Reeksen!B180,Reeksen!D180)</f>
        <v>0</v>
      </c>
      <c r="K181" s="97">
        <f t="shared" ca="1" si="24"/>
        <v>0</v>
      </c>
      <c r="L181" s="84">
        <f ca="1">IF('Invoer gegevens'!$C$17=E181,0,IF(C181=1,Q180,0))</f>
        <v>0</v>
      </c>
      <c r="M181" s="96">
        <f ca="1">IF(C181&gt;=1,L181*VLOOKUP(E181,Reeksen!$A$5:$B$76,2),0)</f>
        <v>0</v>
      </c>
      <c r="N181" s="84">
        <f ca="1">(1-('Invoer gegevens'!$F$20/12))*L181*MIN(Reeksen!B181,Reeksen!D181)</f>
        <v>0</v>
      </c>
      <c r="O181" s="84">
        <f>IF(Reeksen!D181&lt;Reeksen!B181,(Reeksen!B181-Reeksen!D181)*L181,0)</f>
        <v>0</v>
      </c>
      <c r="P181" s="84">
        <f ca="1">('Invoer gegevens'!$F$20/12)*L180*MIN(Reeksen!B180,Reeksen!D180)</f>
        <v>0</v>
      </c>
      <c r="Q181" s="84">
        <f t="shared" ca="1" si="25"/>
        <v>0</v>
      </c>
      <c r="R181" s="82">
        <f ca="1">IF('Invoer gegevens'!$C$17=E181,'Invoer gegevens'!$C$11,IF(C181=1,W180,0))</f>
        <v>0</v>
      </c>
      <c r="S181" s="86">
        <f ca="1">IF(C181&gt;=1,R181*VLOOKUP(E181,Reeksen!$A$5:$B$76,2),0)</f>
        <v>0</v>
      </c>
      <c r="T181" s="84">
        <f ca="1">(1-('Invoer gegevens'!$F$20/12))*R181*MIN(Reeksen!B181,Reeksen!D181)</f>
        <v>0</v>
      </c>
      <c r="U181" s="84">
        <f>IF(Reeksen!D181&gt;=Reeksen!B181,0,IF(Reeksen!AD181&lt;=Reeksen!AE181,(Reeksen!B181-Reeksen!D181)*R181,0))</f>
        <v>0</v>
      </c>
      <c r="V181" s="86">
        <f>IF(Reeksen!D181&gt;=Reeksen!B181,0,IF(Reeksen!AD181&gt;Reeksen!AE181,(Reeksen!B181-Reeksen!D181)*R181,0))</f>
        <v>0</v>
      </c>
      <c r="W181" s="97">
        <f t="shared" ca="1" si="26"/>
        <v>0</v>
      </c>
      <c r="X181" s="98">
        <f ca="1">IF('Invoer gegevens'!$C$17=E181,'Invoer gegevens'!$C$10-'Invoer gegevens'!$C$11,IF(C181=1,AC180,0))</f>
        <v>0</v>
      </c>
      <c r="Y181" s="98">
        <f ca="1">IF(C181&gt;=1,X181*VLOOKUP(E181,Reeksen!$A$5:$B$76,2),0)</f>
        <v>0</v>
      </c>
      <c r="Z181" s="98">
        <f ca="1">(1-('Invoer gegevens'!$F$20/12))*X181*MIN(Reeksen!B181,Reeksen!D181)</f>
        <v>0</v>
      </c>
      <c r="AA181" s="98">
        <f>IF(Reeksen!D181&gt;=Reeksen!B181,0,IF(Reeksen!AD181&lt;=Reeksen!AE181,(Reeksen!B181-Reeksen!D181)*X181,0))</f>
        <v>0</v>
      </c>
      <c r="AB181" s="98">
        <f>IF(Reeksen!D181&gt;=Reeksen!B181,0,IF(Reeksen!AD181&gt;Reeksen!AE181,(Reeksen!B181-Reeksen!D181)*X181,0))</f>
        <v>0</v>
      </c>
      <c r="AC181" s="99">
        <f t="shared" ca="1" si="27"/>
        <v>0</v>
      </c>
      <c r="AD181" s="98">
        <f ca="1">IF('Invoer gegevens'!$C$17=E181,R181,IF(C181=0,0,AE180))</f>
        <v>0</v>
      </c>
      <c r="AE181" s="98">
        <f t="shared" ca="1" si="28"/>
        <v>0</v>
      </c>
      <c r="AF181" s="98">
        <f ca="1">IF('Invoer gegevens'!$C$17=E181,X181,IF(C181=0,0,AG180))</f>
        <v>0</v>
      </c>
      <c r="AG181" s="98">
        <f t="shared" ca="1" si="29"/>
        <v>0</v>
      </c>
      <c r="AH181" s="66"/>
      <c r="AI181" s="71">
        <f ca="1">IF(C181=1,Reeksen!AI181*((F181-G181+F181)/2)*12+Reeksen!AD181*((L181-M181+L181)/2)*12,0)</f>
        <v>0</v>
      </c>
      <c r="AJ181" s="71">
        <f ca="1">-AI181*'Invoer gegevens'!$F$28</f>
        <v>0</v>
      </c>
      <c r="AK181" s="71">
        <f t="shared" ca="1" si="30"/>
        <v>0</v>
      </c>
      <c r="AL181" s="71">
        <f ca="1">IF(C181=1,Reeksen!AL181*((F181-G181+F181)/2)*12+Reeksen!AM181*((L181-M181+L181)/2)*12,0)</f>
        <v>0</v>
      </c>
      <c r="AM181" s="71">
        <f ca="1">-AL181*'Invoer gegevens'!$F$31</f>
        <v>0</v>
      </c>
      <c r="AN181" s="71">
        <f t="shared" ca="1" si="31"/>
        <v>0</v>
      </c>
      <c r="AO181" s="71">
        <f ca="1">IF(C181=1,(H181+J181+N181+P181)*Reeksen!AN181,0)</f>
        <v>0</v>
      </c>
      <c r="AP181" s="71">
        <f ca="1">-IF(C181=1,(H181+J181+N181+P181)*'Hulp - basis'!$G$550*Reeksen!H181,0)</f>
        <v>0</v>
      </c>
      <c r="AQ181" s="71">
        <f ca="1">-IF(C181=1,(F181+K181+L181+Q181)/2*'Invoer gegevens'!$F$35*Reeksen!J181,0)*2</f>
        <v>0</v>
      </c>
      <c r="AR181" s="71"/>
      <c r="AS181" s="71">
        <f ca="1">-IF(C181=1,(F181+K181+L181+Q181)/2*'Invoer gegevens'!$F$37*Reeksen!L181,0)</f>
        <v>0</v>
      </c>
      <c r="AT181" s="71">
        <f ca="1">-IF(C181=1,IF(E181='Invoer gegevens'!$C$17,'Invoer gegevens'!$C$11,AD181)*Reeksen!S181*'Invoer gegevens'!$C$18*Reeksen!P181,0)</f>
        <v>0</v>
      </c>
      <c r="AU181" s="71">
        <f ca="1">-IF(C181=1,(F181+K181+L181+Q181)/2*'Invoer gegevens'!$F$38*Reeksen!H181,0)</f>
        <v>0</v>
      </c>
      <c r="AV181" s="71">
        <f t="shared" si="35"/>
        <v>0</v>
      </c>
      <c r="AW181" s="71">
        <f t="shared" ca="1" si="32"/>
        <v>0</v>
      </c>
      <c r="AX181" s="71">
        <f ca="1">IF(E181&lt;'Invoer gegevens'!$C$17+15,0,IF(E181&gt;'Invoer gegevens'!$C$17+215,0,AW181))</f>
        <v>0</v>
      </c>
      <c r="AY181" s="71">
        <f ca="1">AX181/(1+'Invoer gegevens'!$F$18)^($AZ181-('Invoer gegevens'!$C$17-'Invoer gegevens'!$C$16))/(1+'Invoer gegevens'!$C$39)^('Invoer gegevens'!$C$17-'Invoer gegevens'!$C$16)</f>
        <v>0</v>
      </c>
      <c r="AZ181" s="68">
        <f ca="1">IF(E181-'Invoer gegevens'!$C$17-14.5&lt;0,0,E181-'Invoer gegevens'!$C$17-14.5)</f>
        <v>161.5</v>
      </c>
    </row>
    <row r="182" spans="1:52" x14ac:dyDescent="0.25">
      <c r="A182" s="59"/>
      <c r="B182" s="70">
        <f t="shared" si="33"/>
        <v>178</v>
      </c>
      <c r="C182" s="67">
        <f ca="1">IF(E182-'Invoer gegevens'!$C$17&lt;0,0,1)</f>
        <v>1</v>
      </c>
      <c r="D182" s="68">
        <f t="shared" si="34"/>
        <v>177.5</v>
      </c>
      <c r="E182" s="69">
        <f ca="1">IF('Invoer gegevens'!$C$16="","",E181+1)</f>
        <v>2196</v>
      </c>
      <c r="F182" s="84">
        <f ca="1">IF('Invoer gegevens'!$C$17=E182,'Invoer gegevens'!$C$10,IF(C182=1,K181,0))</f>
        <v>0</v>
      </c>
      <c r="G182" s="96">
        <f ca="1">IF(C182&gt;=1,F182*VLOOKUP(E182,Reeksen!$A$5:$B$76,2),0)</f>
        <v>0</v>
      </c>
      <c r="H182" s="84">
        <f ca="1">(1-('Invoer gegevens'!$F$20/12))*F182*MIN(Reeksen!B182,Reeksen!D182)</f>
        <v>0</v>
      </c>
      <c r="I182" s="84">
        <f>IF(Reeksen!D182&lt;Reeksen!B182,(Reeksen!B182-Reeksen!D182)*F182,0)</f>
        <v>0</v>
      </c>
      <c r="J182" s="84">
        <f ca="1">('Invoer gegevens'!$F$20/12)*F181*MIN(Reeksen!B181,Reeksen!D181)</f>
        <v>0</v>
      </c>
      <c r="K182" s="97">
        <f t="shared" ca="1" si="24"/>
        <v>0</v>
      </c>
      <c r="L182" s="84">
        <f ca="1">IF('Invoer gegevens'!$C$17=E182,0,IF(C182=1,Q181,0))</f>
        <v>0</v>
      </c>
      <c r="M182" s="96">
        <f ca="1">IF(C182&gt;=1,L182*VLOOKUP(E182,Reeksen!$A$5:$B$76,2),0)</f>
        <v>0</v>
      </c>
      <c r="N182" s="84">
        <f ca="1">(1-('Invoer gegevens'!$F$20/12))*L182*MIN(Reeksen!B182,Reeksen!D182)</f>
        <v>0</v>
      </c>
      <c r="O182" s="84">
        <f>IF(Reeksen!D182&lt;Reeksen!B182,(Reeksen!B182-Reeksen!D182)*L182,0)</f>
        <v>0</v>
      </c>
      <c r="P182" s="84">
        <f ca="1">('Invoer gegevens'!$F$20/12)*L181*MIN(Reeksen!B181,Reeksen!D181)</f>
        <v>0</v>
      </c>
      <c r="Q182" s="84">
        <f t="shared" ca="1" si="25"/>
        <v>0</v>
      </c>
      <c r="R182" s="82">
        <f ca="1">IF('Invoer gegevens'!$C$17=E182,'Invoer gegevens'!$C$11,IF(C182=1,W181,0))</f>
        <v>0</v>
      </c>
      <c r="S182" s="86">
        <f ca="1">IF(C182&gt;=1,R182*VLOOKUP(E182,Reeksen!$A$5:$B$76,2),0)</f>
        <v>0</v>
      </c>
      <c r="T182" s="84">
        <f ca="1">(1-('Invoer gegevens'!$F$20/12))*R182*MIN(Reeksen!B182,Reeksen!D182)</f>
        <v>0</v>
      </c>
      <c r="U182" s="84">
        <f>IF(Reeksen!D182&gt;=Reeksen!B182,0,IF(Reeksen!AD182&lt;=Reeksen!AE182,(Reeksen!B182-Reeksen!D182)*R182,0))</f>
        <v>0</v>
      </c>
      <c r="V182" s="86">
        <f>IF(Reeksen!D182&gt;=Reeksen!B182,0,IF(Reeksen!AD182&gt;Reeksen!AE182,(Reeksen!B182-Reeksen!D182)*R182,0))</f>
        <v>0</v>
      </c>
      <c r="W182" s="97">
        <f t="shared" ca="1" si="26"/>
        <v>0</v>
      </c>
      <c r="X182" s="98">
        <f ca="1">IF('Invoer gegevens'!$C$17=E182,'Invoer gegevens'!$C$10-'Invoer gegevens'!$C$11,IF(C182=1,AC181,0))</f>
        <v>0</v>
      </c>
      <c r="Y182" s="98">
        <f ca="1">IF(C182&gt;=1,X182*VLOOKUP(E182,Reeksen!$A$5:$B$76,2),0)</f>
        <v>0</v>
      </c>
      <c r="Z182" s="98">
        <f ca="1">(1-('Invoer gegevens'!$F$20/12))*X182*MIN(Reeksen!B182,Reeksen!D182)</f>
        <v>0</v>
      </c>
      <c r="AA182" s="98">
        <f>IF(Reeksen!D182&gt;=Reeksen!B182,0,IF(Reeksen!AD182&lt;=Reeksen!AE182,(Reeksen!B182-Reeksen!D182)*X182,0))</f>
        <v>0</v>
      </c>
      <c r="AB182" s="98">
        <f>IF(Reeksen!D182&gt;=Reeksen!B182,0,IF(Reeksen!AD182&gt;Reeksen!AE182,(Reeksen!B182-Reeksen!D182)*X182,0))</f>
        <v>0</v>
      </c>
      <c r="AC182" s="99">
        <f t="shared" ca="1" si="27"/>
        <v>0</v>
      </c>
      <c r="AD182" s="98">
        <f ca="1">IF('Invoer gegevens'!$C$17=E182,R182,IF(C182=0,0,AE181))</f>
        <v>0</v>
      </c>
      <c r="AE182" s="98">
        <f t="shared" ca="1" si="28"/>
        <v>0</v>
      </c>
      <c r="AF182" s="98">
        <f ca="1">IF('Invoer gegevens'!$C$17=E182,X182,IF(C182=0,0,AG181))</f>
        <v>0</v>
      </c>
      <c r="AG182" s="98">
        <f t="shared" ca="1" si="29"/>
        <v>0</v>
      </c>
      <c r="AH182" s="66"/>
      <c r="AI182" s="71">
        <f ca="1">IF(C182=1,Reeksen!AI182*((F182-G182+F182)/2)*12+Reeksen!AD182*((L182-M182+L182)/2)*12,0)</f>
        <v>0</v>
      </c>
      <c r="AJ182" s="71">
        <f ca="1">-AI182*'Invoer gegevens'!$F$28</f>
        <v>0</v>
      </c>
      <c r="AK182" s="71">
        <f t="shared" ca="1" si="30"/>
        <v>0</v>
      </c>
      <c r="AL182" s="71">
        <f ca="1">IF(C182=1,Reeksen!AL182*((F182-G182+F182)/2)*12+Reeksen!AM182*((L182-M182+L182)/2)*12,0)</f>
        <v>0</v>
      </c>
      <c r="AM182" s="71">
        <f ca="1">-AL182*'Invoer gegevens'!$F$31</f>
        <v>0</v>
      </c>
      <c r="AN182" s="71">
        <f t="shared" ca="1" si="31"/>
        <v>0</v>
      </c>
      <c r="AO182" s="71">
        <f ca="1">IF(C182=1,(H182+J182+N182+P182)*Reeksen!AN182,0)</f>
        <v>0</v>
      </c>
      <c r="AP182" s="71">
        <f ca="1">-IF(C182=1,(H182+J182+N182+P182)*'Hulp - basis'!$G$550*Reeksen!H182,0)</f>
        <v>0</v>
      </c>
      <c r="AQ182" s="71">
        <f ca="1">-IF(C182=1,(F182+K182+L182+Q182)/2*'Invoer gegevens'!$F$35*Reeksen!J182,0)*2</f>
        <v>0</v>
      </c>
      <c r="AR182" s="71"/>
      <c r="AS182" s="71">
        <f ca="1">-IF(C182=1,(F182+K182+L182+Q182)/2*'Invoer gegevens'!$F$37*Reeksen!L182,0)</f>
        <v>0</v>
      </c>
      <c r="AT182" s="71">
        <f ca="1">-IF(C182=1,IF(E182='Invoer gegevens'!$C$17,'Invoer gegevens'!$C$11,AD182)*Reeksen!S182*'Invoer gegevens'!$C$18*Reeksen!P182,0)</f>
        <v>0</v>
      </c>
      <c r="AU182" s="71">
        <f ca="1">-IF(C182=1,(F182+K182+L182+Q182)/2*'Invoer gegevens'!$F$38*Reeksen!H182,0)</f>
        <v>0</v>
      </c>
      <c r="AV182" s="71">
        <f t="shared" si="35"/>
        <v>0</v>
      </c>
      <c r="AW182" s="71">
        <f t="shared" ca="1" si="32"/>
        <v>0</v>
      </c>
      <c r="AX182" s="71">
        <f ca="1">IF(E182&lt;'Invoer gegevens'!$C$17+15,0,IF(E182&gt;'Invoer gegevens'!$C$17+215,0,AW182))</f>
        <v>0</v>
      </c>
      <c r="AY182" s="71">
        <f ca="1">AX182/(1+'Invoer gegevens'!$F$18)^($AZ182-('Invoer gegevens'!$C$17-'Invoer gegevens'!$C$16))/(1+'Invoer gegevens'!$C$39)^('Invoer gegevens'!$C$17-'Invoer gegevens'!$C$16)</f>
        <v>0</v>
      </c>
      <c r="AZ182" s="68">
        <f ca="1">IF(E182-'Invoer gegevens'!$C$17-14.5&lt;0,0,E182-'Invoer gegevens'!$C$17-14.5)</f>
        <v>162.5</v>
      </c>
    </row>
    <row r="183" spans="1:52" x14ac:dyDescent="0.25">
      <c r="A183" s="59"/>
      <c r="B183" s="70">
        <f t="shared" si="33"/>
        <v>179</v>
      </c>
      <c r="C183" s="67">
        <f ca="1">IF(E183-'Invoer gegevens'!$C$17&lt;0,0,1)</f>
        <v>1</v>
      </c>
      <c r="D183" s="68">
        <f t="shared" si="34"/>
        <v>178.5</v>
      </c>
      <c r="E183" s="69">
        <f ca="1">IF('Invoer gegevens'!$C$16="","",E182+1)</f>
        <v>2197</v>
      </c>
      <c r="F183" s="84">
        <f ca="1">IF('Invoer gegevens'!$C$17=E183,'Invoer gegevens'!$C$10,IF(C183=1,K182,0))</f>
        <v>0</v>
      </c>
      <c r="G183" s="96">
        <f ca="1">IF(C183&gt;=1,F183*VLOOKUP(E183,Reeksen!$A$5:$B$76,2),0)</f>
        <v>0</v>
      </c>
      <c r="H183" s="84">
        <f ca="1">(1-('Invoer gegevens'!$F$20/12))*F183*MIN(Reeksen!B183,Reeksen!D183)</f>
        <v>0</v>
      </c>
      <c r="I183" s="84">
        <f>IF(Reeksen!D183&lt;Reeksen!B183,(Reeksen!B183-Reeksen!D183)*F183,0)</f>
        <v>0</v>
      </c>
      <c r="J183" s="84">
        <f ca="1">('Invoer gegevens'!$F$20/12)*F182*MIN(Reeksen!B182,Reeksen!D182)</f>
        <v>0</v>
      </c>
      <c r="K183" s="97">
        <f t="shared" ca="1" si="24"/>
        <v>0</v>
      </c>
      <c r="L183" s="84">
        <f ca="1">IF('Invoer gegevens'!$C$17=E183,0,IF(C183=1,Q182,0))</f>
        <v>0</v>
      </c>
      <c r="M183" s="96">
        <f ca="1">IF(C183&gt;=1,L183*VLOOKUP(E183,Reeksen!$A$5:$B$76,2),0)</f>
        <v>0</v>
      </c>
      <c r="N183" s="84">
        <f ca="1">(1-('Invoer gegevens'!$F$20/12))*L183*MIN(Reeksen!B183,Reeksen!D183)</f>
        <v>0</v>
      </c>
      <c r="O183" s="84">
        <f>IF(Reeksen!D183&lt;Reeksen!B183,(Reeksen!B183-Reeksen!D183)*L183,0)</f>
        <v>0</v>
      </c>
      <c r="P183" s="84">
        <f ca="1">('Invoer gegevens'!$F$20/12)*L182*MIN(Reeksen!B182,Reeksen!D182)</f>
        <v>0</v>
      </c>
      <c r="Q183" s="84">
        <f t="shared" ca="1" si="25"/>
        <v>0</v>
      </c>
      <c r="R183" s="82">
        <f ca="1">IF('Invoer gegevens'!$C$17=E183,'Invoer gegevens'!$C$11,IF(C183=1,W182,0))</f>
        <v>0</v>
      </c>
      <c r="S183" s="86">
        <f ca="1">IF(C183&gt;=1,R183*VLOOKUP(E183,Reeksen!$A$5:$B$76,2),0)</f>
        <v>0</v>
      </c>
      <c r="T183" s="84">
        <f ca="1">(1-('Invoer gegevens'!$F$20/12))*R183*MIN(Reeksen!B183,Reeksen!D183)</f>
        <v>0</v>
      </c>
      <c r="U183" s="84">
        <f>IF(Reeksen!D183&gt;=Reeksen!B183,0,IF(Reeksen!AD183&lt;=Reeksen!AE183,(Reeksen!B183-Reeksen!D183)*R183,0))</f>
        <v>0</v>
      </c>
      <c r="V183" s="86">
        <f>IF(Reeksen!D183&gt;=Reeksen!B183,0,IF(Reeksen!AD183&gt;Reeksen!AE183,(Reeksen!B183-Reeksen!D183)*R183,0))</f>
        <v>0</v>
      </c>
      <c r="W183" s="97">
        <f t="shared" ca="1" si="26"/>
        <v>0</v>
      </c>
      <c r="X183" s="98">
        <f ca="1">IF('Invoer gegevens'!$C$17=E183,'Invoer gegevens'!$C$10-'Invoer gegevens'!$C$11,IF(C183=1,AC182,0))</f>
        <v>0</v>
      </c>
      <c r="Y183" s="98">
        <f ca="1">IF(C183&gt;=1,X183*VLOOKUP(E183,Reeksen!$A$5:$B$76,2),0)</f>
        <v>0</v>
      </c>
      <c r="Z183" s="98">
        <f ca="1">(1-('Invoer gegevens'!$F$20/12))*X183*MIN(Reeksen!B183,Reeksen!D183)</f>
        <v>0</v>
      </c>
      <c r="AA183" s="98">
        <f>IF(Reeksen!D183&gt;=Reeksen!B183,0,IF(Reeksen!AD183&lt;=Reeksen!AE183,(Reeksen!B183-Reeksen!D183)*X183,0))</f>
        <v>0</v>
      </c>
      <c r="AB183" s="98">
        <f>IF(Reeksen!D183&gt;=Reeksen!B183,0,IF(Reeksen!AD183&gt;Reeksen!AE183,(Reeksen!B183-Reeksen!D183)*X183,0))</f>
        <v>0</v>
      </c>
      <c r="AC183" s="99">
        <f t="shared" ca="1" si="27"/>
        <v>0</v>
      </c>
      <c r="AD183" s="98">
        <f ca="1">IF('Invoer gegevens'!$C$17=E183,R183,IF(C183=0,0,AE182))</f>
        <v>0</v>
      </c>
      <c r="AE183" s="98">
        <f t="shared" ca="1" si="28"/>
        <v>0</v>
      </c>
      <c r="AF183" s="98">
        <f ca="1">IF('Invoer gegevens'!$C$17=E183,X183,IF(C183=0,0,AG182))</f>
        <v>0</v>
      </c>
      <c r="AG183" s="98">
        <f t="shared" ca="1" si="29"/>
        <v>0</v>
      </c>
      <c r="AH183" s="66"/>
      <c r="AI183" s="71">
        <f ca="1">IF(C183=1,Reeksen!AI183*((F183-G183+F183)/2)*12+Reeksen!AD183*((L183-M183+L183)/2)*12,0)</f>
        <v>0</v>
      </c>
      <c r="AJ183" s="71">
        <f ca="1">-AI183*'Invoer gegevens'!$F$28</f>
        <v>0</v>
      </c>
      <c r="AK183" s="71">
        <f t="shared" ca="1" si="30"/>
        <v>0</v>
      </c>
      <c r="AL183" s="71">
        <f ca="1">IF(C183=1,Reeksen!AL183*((F183-G183+F183)/2)*12+Reeksen!AM183*((L183-M183+L183)/2)*12,0)</f>
        <v>0</v>
      </c>
      <c r="AM183" s="71">
        <f ca="1">-AL183*'Invoer gegevens'!$F$31</f>
        <v>0</v>
      </c>
      <c r="AN183" s="71">
        <f t="shared" ca="1" si="31"/>
        <v>0</v>
      </c>
      <c r="AO183" s="71">
        <f ca="1">IF(C183=1,(H183+J183+N183+P183)*Reeksen!AN183,0)</f>
        <v>0</v>
      </c>
      <c r="AP183" s="71">
        <f ca="1">-IF(C183=1,(H183+J183+N183+P183)*'Hulp - basis'!$G$550*Reeksen!H183,0)</f>
        <v>0</v>
      </c>
      <c r="AQ183" s="71">
        <f ca="1">-IF(C183=1,(F183+K183+L183+Q183)/2*'Invoer gegevens'!$F$35*Reeksen!J183,0)*2</f>
        <v>0</v>
      </c>
      <c r="AR183" s="71"/>
      <c r="AS183" s="71">
        <f ca="1">-IF(C183=1,(F183+K183+L183+Q183)/2*'Invoer gegevens'!$F$37*Reeksen!L183,0)</f>
        <v>0</v>
      </c>
      <c r="AT183" s="71">
        <f ca="1">-IF(C183=1,IF(E183='Invoer gegevens'!$C$17,'Invoer gegevens'!$C$11,AD183)*Reeksen!S183*'Invoer gegevens'!$C$18*Reeksen!P183,0)</f>
        <v>0</v>
      </c>
      <c r="AU183" s="71">
        <f ca="1">-IF(C183=1,(F183+K183+L183+Q183)/2*'Invoer gegevens'!$F$38*Reeksen!H183,0)</f>
        <v>0</v>
      </c>
      <c r="AV183" s="71">
        <f t="shared" si="35"/>
        <v>0</v>
      </c>
      <c r="AW183" s="71">
        <f t="shared" ca="1" si="32"/>
        <v>0</v>
      </c>
      <c r="AX183" s="71">
        <f ca="1">IF(E183&lt;'Invoer gegevens'!$C$17+15,0,IF(E183&gt;'Invoer gegevens'!$C$17+215,0,AW183))</f>
        <v>0</v>
      </c>
      <c r="AY183" s="71">
        <f ca="1">AX183/(1+'Invoer gegevens'!$F$18)^($AZ183-('Invoer gegevens'!$C$17-'Invoer gegevens'!$C$16))/(1+'Invoer gegevens'!$C$39)^('Invoer gegevens'!$C$17-'Invoer gegevens'!$C$16)</f>
        <v>0</v>
      </c>
      <c r="AZ183" s="68">
        <f ca="1">IF(E183-'Invoer gegevens'!$C$17-14.5&lt;0,0,E183-'Invoer gegevens'!$C$17-14.5)</f>
        <v>163.5</v>
      </c>
    </row>
    <row r="184" spans="1:52" x14ac:dyDescent="0.25">
      <c r="A184" s="59"/>
      <c r="B184" s="70">
        <f t="shared" si="33"/>
        <v>180</v>
      </c>
      <c r="C184" s="67">
        <f ca="1">IF(E184-'Invoer gegevens'!$C$17&lt;0,0,1)</f>
        <v>1</v>
      </c>
      <c r="D184" s="68">
        <f t="shared" si="34"/>
        <v>179.5</v>
      </c>
      <c r="E184" s="69">
        <f ca="1">IF('Invoer gegevens'!$C$16="","",E183+1)</f>
        <v>2198</v>
      </c>
      <c r="F184" s="84">
        <f ca="1">IF('Invoer gegevens'!$C$17=E184,'Invoer gegevens'!$C$10,IF(C184=1,K183,0))</f>
        <v>0</v>
      </c>
      <c r="G184" s="96">
        <f ca="1">IF(C184&gt;=1,F184*VLOOKUP(E184,Reeksen!$A$5:$B$76,2),0)</f>
        <v>0</v>
      </c>
      <c r="H184" s="84">
        <f ca="1">(1-('Invoer gegevens'!$F$20/12))*F184*MIN(Reeksen!B184,Reeksen!D184)</f>
        <v>0</v>
      </c>
      <c r="I184" s="84">
        <f>IF(Reeksen!D184&lt;Reeksen!B184,(Reeksen!B184-Reeksen!D184)*F184,0)</f>
        <v>0</v>
      </c>
      <c r="J184" s="84">
        <f ca="1">('Invoer gegevens'!$F$20/12)*F183*MIN(Reeksen!B183,Reeksen!D183)</f>
        <v>0</v>
      </c>
      <c r="K184" s="97">
        <f t="shared" ca="1" si="24"/>
        <v>0</v>
      </c>
      <c r="L184" s="84">
        <f ca="1">IF('Invoer gegevens'!$C$17=E184,0,IF(C184=1,Q183,0))</f>
        <v>0</v>
      </c>
      <c r="M184" s="96">
        <f ca="1">IF(C184&gt;=1,L184*VLOOKUP(E184,Reeksen!$A$5:$B$76,2),0)</f>
        <v>0</v>
      </c>
      <c r="N184" s="84">
        <f ca="1">(1-('Invoer gegevens'!$F$20/12))*L184*MIN(Reeksen!B184,Reeksen!D184)</f>
        <v>0</v>
      </c>
      <c r="O184" s="84">
        <f>IF(Reeksen!D184&lt;Reeksen!B184,(Reeksen!B184-Reeksen!D184)*L184,0)</f>
        <v>0</v>
      </c>
      <c r="P184" s="84">
        <f ca="1">('Invoer gegevens'!$F$20/12)*L183*MIN(Reeksen!B183,Reeksen!D183)</f>
        <v>0</v>
      </c>
      <c r="Q184" s="84">
        <f t="shared" ca="1" si="25"/>
        <v>0</v>
      </c>
      <c r="R184" s="82">
        <f ca="1">IF('Invoer gegevens'!$C$17=E184,'Invoer gegevens'!$C$11,IF(C184=1,W183,0))</f>
        <v>0</v>
      </c>
      <c r="S184" s="86">
        <f ca="1">IF(C184&gt;=1,R184*VLOOKUP(E184,Reeksen!$A$5:$B$76,2),0)</f>
        <v>0</v>
      </c>
      <c r="T184" s="84">
        <f ca="1">(1-('Invoer gegevens'!$F$20/12))*R184*MIN(Reeksen!B184,Reeksen!D184)</f>
        <v>0</v>
      </c>
      <c r="U184" s="84">
        <f>IF(Reeksen!D184&gt;=Reeksen!B184,0,IF(Reeksen!AD184&lt;=Reeksen!AE184,(Reeksen!B184-Reeksen!D184)*R184,0))</f>
        <v>0</v>
      </c>
      <c r="V184" s="86">
        <f>IF(Reeksen!D184&gt;=Reeksen!B184,0,IF(Reeksen!AD184&gt;Reeksen!AE184,(Reeksen!B184-Reeksen!D184)*R184,0))</f>
        <v>0</v>
      </c>
      <c r="W184" s="97">
        <f t="shared" ca="1" si="26"/>
        <v>0</v>
      </c>
      <c r="X184" s="98">
        <f ca="1">IF('Invoer gegevens'!$C$17=E184,'Invoer gegevens'!$C$10-'Invoer gegevens'!$C$11,IF(C184=1,AC183,0))</f>
        <v>0</v>
      </c>
      <c r="Y184" s="98">
        <f ca="1">IF(C184&gt;=1,X184*VLOOKUP(E184,Reeksen!$A$5:$B$76,2),0)</f>
        <v>0</v>
      </c>
      <c r="Z184" s="98">
        <f ca="1">(1-('Invoer gegevens'!$F$20/12))*X184*MIN(Reeksen!B184,Reeksen!D184)</f>
        <v>0</v>
      </c>
      <c r="AA184" s="98">
        <f>IF(Reeksen!D184&gt;=Reeksen!B184,0,IF(Reeksen!AD184&lt;=Reeksen!AE184,(Reeksen!B184-Reeksen!D184)*X184,0))</f>
        <v>0</v>
      </c>
      <c r="AB184" s="98">
        <f>IF(Reeksen!D184&gt;=Reeksen!B184,0,IF(Reeksen!AD184&gt;Reeksen!AE184,(Reeksen!B184-Reeksen!D184)*X184,0))</f>
        <v>0</v>
      </c>
      <c r="AC184" s="99">
        <f t="shared" ca="1" si="27"/>
        <v>0</v>
      </c>
      <c r="AD184" s="98">
        <f ca="1">IF('Invoer gegevens'!$C$17=E184,R184,IF(C184=0,0,AE183))</f>
        <v>0</v>
      </c>
      <c r="AE184" s="98">
        <f t="shared" ca="1" si="28"/>
        <v>0</v>
      </c>
      <c r="AF184" s="98">
        <f ca="1">IF('Invoer gegevens'!$C$17=E184,X184,IF(C184=0,0,AG183))</f>
        <v>0</v>
      </c>
      <c r="AG184" s="98">
        <f t="shared" ca="1" si="29"/>
        <v>0</v>
      </c>
      <c r="AH184" s="66"/>
      <c r="AI184" s="71">
        <f ca="1">IF(C184=1,Reeksen!AI184*((F184-G184+F184)/2)*12+Reeksen!AD184*((L184-M184+L184)/2)*12,0)</f>
        <v>0</v>
      </c>
      <c r="AJ184" s="71">
        <f ca="1">-AI184*'Invoer gegevens'!$F$28</f>
        <v>0</v>
      </c>
      <c r="AK184" s="71">
        <f t="shared" ca="1" si="30"/>
        <v>0</v>
      </c>
      <c r="AL184" s="71">
        <f ca="1">IF(C184=1,Reeksen!AL184*((F184-G184+F184)/2)*12+Reeksen!AM184*((L184-M184+L184)/2)*12,0)</f>
        <v>0</v>
      </c>
      <c r="AM184" s="71">
        <f ca="1">-AL184*'Invoer gegevens'!$F$31</f>
        <v>0</v>
      </c>
      <c r="AN184" s="71">
        <f t="shared" ca="1" si="31"/>
        <v>0</v>
      </c>
      <c r="AO184" s="71">
        <f ca="1">IF(C184=1,(H184+J184+N184+P184)*Reeksen!AN184,0)</f>
        <v>0</v>
      </c>
      <c r="AP184" s="71">
        <f ca="1">-IF(C184=1,(H184+J184+N184+P184)*'Hulp - basis'!$G$550*Reeksen!H184,0)</f>
        <v>0</v>
      </c>
      <c r="AQ184" s="71">
        <f ca="1">-IF(C184=1,(F184+K184+L184+Q184)/2*'Invoer gegevens'!$F$35*Reeksen!J184,0)*2</f>
        <v>0</v>
      </c>
      <c r="AR184" s="71"/>
      <c r="AS184" s="71">
        <f ca="1">-IF(C184=1,(F184+K184+L184+Q184)/2*'Invoer gegevens'!$F$37*Reeksen!L184,0)</f>
        <v>0</v>
      </c>
      <c r="AT184" s="71">
        <f ca="1">-IF(C184=1,IF(E184='Invoer gegevens'!$C$17,'Invoer gegevens'!$C$11,AD184)*Reeksen!S184*'Invoer gegevens'!$C$18*Reeksen!P184,0)</f>
        <v>0</v>
      </c>
      <c r="AU184" s="71">
        <f ca="1">-IF(C184=1,(F184+K184+L184+Q184)/2*'Invoer gegevens'!$F$38*Reeksen!H184,0)</f>
        <v>0</v>
      </c>
      <c r="AV184" s="71">
        <f t="shared" si="35"/>
        <v>0</v>
      </c>
      <c r="AW184" s="71">
        <f t="shared" ca="1" si="32"/>
        <v>0</v>
      </c>
      <c r="AX184" s="71">
        <f ca="1">IF(E184&lt;'Invoer gegevens'!$C$17+15,0,IF(E184&gt;'Invoer gegevens'!$C$17+215,0,AW184))</f>
        <v>0</v>
      </c>
      <c r="AY184" s="71">
        <f ca="1">AX184/(1+'Invoer gegevens'!$F$18)^($AZ184-('Invoer gegevens'!$C$17-'Invoer gegevens'!$C$16))/(1+'Invoer gegevens'!$C$39)^('Invoer gegevens'!$C$17-'Invoer gegevens'!$C$16)</f>
        <v>0</v>
      </c>
      <c r="AZ184" s="68">
        <f ca="1">IF(E184-'Invoer gegevens'!$C$17-14.5&lt;0,0,E184-'Invoer gegevens'!$C$17-14.5)</f>
        <v>164.5</v>
      </c>
    </row>
    <row r="185" spans="1:52" x14ac:dyDescent="0.25">
      <c r="A185" s="59"/>
      <c r="B185" s="70">
        <f t="shared" si="33"/>
        <v>181</v>
      </c>
      <c r="C185" s="67">
        <f ca="1">IF(E185-'Invoer gegevens'!$C$17&lt;0,0,1)</f>
        <v>1</v>
      </c>
      <c r="D185" s="68">
        <f t="shared" si="34"/>
        <v>180.5</v>
      </c>
      <c r="E185" s="69">
        <f ca="1">IF('Invoer gegevens'!$C$16="","",E184+1)</f>
        <v>2199</v>
      </c>
      <c r="F185" s="84">
        <f ca="1">IF('Invoer gegevens'!$C$17=E185,'Invoer gegevens'!$C$10,IF(C185=1,K184,0))</f>
        <v>0</v>
      </c>
      <c r="G185" s="96">
        <f ca="1">IF(C185&gt;=1,F185*VLOOKUP(E185,Reeksen!$A$5:$B$76,2),0)</f>
        <v>0</v>
      </c>
      <c r="H185" s="84">
        <f ca="1">(1-('Invoer gegevens'!$F$20/12))*F185*MIN(Reeksen!B185,Reeksen!D185)</f>
        <v>0</v>
      </c>
      <c r="I185" s="84">
        <f>IF(Reeksen!D185&lt;Reeksen!B185,(Reeksen!B185-Reeksen!D185)*F185,0)</f>
        <v>0</v>
      </c>
      <c r="J185" s="84">
        <f ca="1">('Invoer gegevens'!$F$20/12)*F184*MIN(Reeksen!B184,Reeksen!D184)</f>
        <v>0</v>
      </c>
      <c r="K185" s="97">
        <f t="shared" ca="1" si="24"/>
        <v>0</v>
      </c>
      <c r="L185" s="84">
        <f ca="1">IF('Invoer gegevens'!$C$17=E185,0,IF(C185=1,Q184,0))</f>
        <v>0</v>
      </c>
      <c r="M185" s="96">
        <f ca="1">IF(C185&gt;=1,L185*VLOOKUP(E185,Reeksen!$A$5:$B$76,2),0)</f>
        <v>0</v>
      </c>
      <c r="N185" s="84">
        <f ca="1">(1-('Invoer gegevens'!$F$20/12))*L185*MIN(Reeksen!B185,Reeksen!D185)</f>
        <v>0</v>
      </c>
      <c r="O185" s="84">
        <f>IF(Reeksen!D185&lt;Reeksen!B185,(Reeksen!B185-Reeksen!D185)*L185,0)</f>
        <v>0</v>
      </c>
      <c r="P185" s="84">
        <f ca="1">('Invoer gegevens'!$F$20/12)*L184*MIN(Reeksen!B184,Reeksen!D184)</f>
        <v>0</v>
      </c>
      <c r="Q185" s="84">
        <f t="shared" ca="1" si="25"/>
        <v>0</v>
      </c>
      <c r="R185" s="82">
        <f ca="1">IF('Invoer gegevens'!$C$17=E185,'Invoer gegevens'!$C$11,IF(C185=1,W184,0))</f>
        <v>0</v>
      </c>
      <c r="S185" s="86">
        <f ca="1">IF(C185&gt;=1,R185*VLOOKUP(E185,Reeksen!$A$5:$B$76,2),0)</f>
        <v>0</v>
      </c>
      <c r="T185" s="84">
        <f ca="1">(1-('Invoer gegevens'!$F$20/12))*R185*MIN(Reeksen!B185,Reeksen!D185)</f>
        <v>0</v>
      </c>
      <c r="U185" s="84">
        <f>IF(Reeksen!D185&gt;=Reeksen!B185,0,IF(Reeksen!AD185&lt;=Reeksen!AE185,(Reeksen!B185-Reeksen!D185)*R185,0))</f>
        <v>0</v>
      </c>
      <c r="V185" s="86">
        <f>IF(Reeksen!D185&gt;=Reeksen!B185,0,IF(Reeksen!AD185&gt;Reeksen!AE185,(Reeksen!B185-Reeksen!D185)*R185,0))</f>
        <v>0</v>
      </c>
      <c r="W185" s="97">
        <f t="shared" ca="1" si="26"/>
        <v>0</v>
      </c>
      <c r="X185" s="98">
        <f ca="1">IF('Invoer gegevens'!$C$17=E185,'Invoer gegevens'!$C$10-'Invoer gegevens'!$C$11,IF(C185=1,AC184,0))</f>
        <v>0</v>
      </c>
      <c r="Y185" s="98">
        <f ca="1">IF(C185&gt;=1,X185*VLOOKUP(E185,Reeksen!$A$5:$B$76,2),0)</f>
        <v>0</v>
      </c>
      <c r="Z185" s="98">
        <f ca="1">(1-('Invoer gegevens'!$F$20/12))*X185*MIN(Reeksen!B185,Reeksen!D185)</f>
        <v>0</v>
      </c>
      <c r="AA185" s="98">
        <f>IF(Reeksen!D185&gt;=Reeksen!B185,0,IF(Reeksen!AD185&lt;=Reeksen!AE185,(Reeksen!B185-Reeksen!D185)*X185,0))</f>
        <v>0</v>
      </c>
      <c r="AB185" s="98">
        <f>IF(Reeksen!D185&gt;=Reeksen!B185,0,IF(Reeksen!AD185&gt;Reeksen!AE185,(Reeksen!B185-Reeksen!D185)*X185,0))</f>
        <v>0</v>
      </c>
      <c r="AC185" s="99">
        <f t="shared" ca="1" si="27"/>
        <v>0</v>
      </c>
      <c r="AD185" s="98">
        <f ca="1">IF('Invoer gegevens'!$C$17=E185,R185,IF(C185=0,0,AE184))</f>
        <v>0</v>
      </c>
      <c r="AE185" s="98">
        <f t="shared" ca="1" si="28"/>
        <v>0</v>
      </c>
      <c r="AF185" s="98">
        <f ca="1">IF('Invoer gegevens'!$C$17=E185,X185,IF(C185=0,0,AG184))</f>
        <v>0</v>
      </c>
      <c r="AG185" s="98">
        <f t="shared" ca="1" si="29"/>
        <v>0</v>
      </c>
      <c r="AH185" s="66"/>
      <c r="AI185" s="71">
        <f ca="1">IF(C185=1,Reeksen!AI185*((F185-G185+F185)/2)*12+Reeksen!AD185*((L185-M185+L185)/2)*12,0)</f>
        <v>0</v>
      </c>
      <c r="AJ185" s="71">
        <f ca="1">-AI185*'Invoer gegevens'!$F$28</f>
        <v>0</v>
      </c>
      <c r="AK185" s="71">
        <f t="shared" ca="1" si="30"/>
        <v>0</v>
      </c>
      <c r="AL185" s="71">
        <f ca="1">IF(C185=1,Reeksen!AL185*((F185-G185+F185)/2)*12+Reeksen!AM185*((L185-M185+L185)/2)*12,0)</f>
        <v>0</v>
      </c>
      <c r="AM185" s="71">
        <f ca="1">-AL185*'Invoer gegevens'!$F$31</f>
        <v>0</v>
      </c>
      <c r="AN185" s="71">
        <f t="shared" ca="1" si="31"/>
        <v>0</v>
      </c>
      <c r="AO185" s="71">
        <f ca="1">IF(C185=1,(H185+J185+N185+P185)*Reeksen!AN185,0)</f>
        <v>0</v>
      </c>
      <c r="AP185" s="71">
        <f ca="1">-IF(C185=1,(H185+J185+N185+P185)*'Hulp - basis'!$G$550*Reeksen!H185,0)</f>
        <v>0</v>
      </c>
      <c r="AQ185" s="71">
        <f ca="1">-IF(C185=1,(F185+K185+L185+Q185)/2*'Invoer gegevens'!$F$35*Reeksen!J185,0)*2</f>
        <v>0</v>
      </c>
      <c r="AR185" s="71"/>
      <c r="AS185" s="71">
        <f ca="1">-IF(C185=1,(F185+K185+L185+Q185)/2*'Invoer gegevens'!$F$37*Reeksen!L185,0)</f>
        <v>0</v>
      </c>
      <c r="AT185" s="71">
        <f ca="1">-IF(C185=1,IF(E185='Invoer gegevens'!$C$17,'Invoer gegevens'!$C$11,AD185)*Reeksen!S185*'Invoer gegevens'!$C$18*Reeksen!P185,0)</f>
        <v>0</v>
      </c>
      <c r="AU185" s="71">
        <f ca="1">-IF(C185=1,(F185+K185+L185+Q185)/2*'Invoer gegevens'!$F$38*Reeksen!H185,0)</f>
        <v>0</v>
      </c>
      <c r="AV185" s="71">
        <f t="shared" si="35"/>
        <v>0</v>
      </c>
      <c r="AW185" s="71">
        <f t="shared" ca="1" si="32"/>
        <v>0</v>
      </c>
      <c r="AX185" s="71">
        <f ca="1">IF(E185&lt;'Invoer gegevens'!$C$17+15,0,IF(E185&gt;'Invoer gegevens'!$C$17+215,0,AW185))</f>
        <v>0</v>
      </c>
      <c r="AY185" s="71">
        <f ca="1">AX185/(1+'Invoer gegevens'!$F$18)^($AZ185-('Invoer gegevens'!$C$17-'Invoer gegevens'!$C$16))/(1+'Invoer gegevens'!$C$39)^('Invoer gegevens'!$C$17-'Invoer gegevens'!$C$16)</f>
        <v>0</v>
      </c>
      <c r="AZ185" s="68">
        <f ca="1">IF(E185-'Invoer gegevens'!$C$17-14.5&lt;0,0,E185-'Invoer gegevens'!$C$17-14.5)</f>
        <v>165.5</v>
      </c>
    </row>
    <row r="186" spans="1:52" x14ac:dyDescent="0.25">
      <c r="A186" s="59"/>
      <c r="B186" s="70">
        <f t="shared" si="33"/>
        <v>182</v>
      </c>
      <c r="C186" s="67">
        <f ca="1">IF(E186-'Invoer gegevens'!$C$17&lt;0,0,1)</f>
        <v>1</v>
      </c>
      <c r="D186" s="68">
        <f t="shared" si="34"/>
        <v>181.5</v>
      </c>
      <c r="E186" s="69">
        <f ca="1">IF('Invoer gegevens'!$C$16="","",E185+1)</f>
        <v>2200</v>
      </c>
      <c r="F186" s="84">
        <f ca="1">IF('Invoer gegevens'!$C$17=E186,'Invoer gegevens'!$C$10,IF(C186=1,K185,0))</f>
        <v>0</v>
      </c>
      <c r="G186" s="96">
        <f ca="1">IF(C186&gt;=1,F186*VLOOKUP(E186,Reeksen!$A$5:$B$76,2),0)</f>
        <v>0</v>
      </c>
      <c r="H186" s="84">
        <f ca="1">(1-('Invoer gegevens'!$F$20/12))*F186*MIN(Reeksen!B186,Reeksen!D186)</f>
        <v>0</v>
      </c>
      <c r="I186" s="84">
        <f>IF(Reeksen!D186&lt;Reeksen!B186,(Reeksen!B186-Reeksen!D186)*F186,0)</f>
        <v>0</v>
      </c>
      <c r="J186" s="84">
        <f ca="1">('Invoer gegevens'!$F$20/12)*F185*MIN(Reeksen!B185,Reeksen!D185)</f>
        <v>0</v>
      </c>
      <c r="K186" s="97">
        <f t="shared" ca="1" si="24"/>
        <v>0</v>
      </c>
      <c r="L186" s="84">
        <f ca="1">IF('Invoer gegevens'!$C$17=E186,0,IF(C186=1,Q185,0))</f>
        <v>0</v>
      </c>
      <c r="M186" s="96">
        <f ca="1">IF(C186&gt;=1,L186*VLOOKUP(E186,Reeksen!$A$5:$B$76,2),0)</f>
        <v>0</v>
      </c>
      <c r="N186" s="84">
        <f ca="1">(1-('Invoer gegevens'!$F$20/12))*L186*MIN(Reeksen!B186,Reeksen!D186)</f>
        <v>0</v>
      </c>
      <c r="O186" s="84">
        <f>IF(Reeksen!D186&lt;Reeksen!B186,(Reeksen!B186-Reeksen!D186)*L186,0)</f>
        <v>0</v>
      </c>
      <c r="P186" s="84">
        <f ca="1">('Invoer gegevens'!$F$20/12)*L185*MIN(Reeksen!B185,Reeksen!D185)</f>
        <v>0</v>
      </c>
      <c r="Q186" s="84">
        <f t="shared" ca="1" si="25"/>
        <v>0</v>
      </c>
      <c r="R186" s="82">
        <f ca="1">IF('Invoer gegevens'!$C$17=E186,'Invoer gegevens'!$C$11,IF(C186=1,W185,0))</f>
        <v>0</v>
      </c>
      <c r="S186" s="86">
        <f ca="1">IF(C186&gt;=1,R186*VLOOKUP(E186,Reeksen!$A$5:$B$76,2),0)</f>
        <v>0</v>
      </c>
      <c r="T186" s="84">
        <f ca="1">(1-('Invoer gegevens'!$F$20/12))*R186*MIN(Reeksen!B186,Reeksen!D186)</f>
        <v>0</v>
      </c>
      <c r="U186" s="84">
        <f>IF(Reeksen!D186&gt;=Reeksen!B186,0,IF(Reeksen!AD186&lt;=Reeksen!AE186,(Reeksen!B186-Reeksen!D186)*R186,0))</f>
        <v>0</v>
      </c>
      <c r="V186" s="86">
        <f>IF(Reeksen!D186&gt;=Reeksen!B186,0,IF(Reeksen!AD186&gt;Reeksen!AE186,(Reeksen!B186-Reeksen!D186)*R186,0))</f>
        <v>0</v>
      </c>
      <c r="W186" s="97">
        <f t="shared" ca="1" si="26"/>
        <v>0</v>
      </c>
      <c r="X186" s="98">
        <f ca="1">IF('Invoer gegevens'!$C$17=E186,'Invoer gegevens'!$C$10-'Invoer gegevens'!$C$11,IF(C186=1,AC185,0))</f>
        <v>0</v>
      </c>
      <c r="Y186" s="98">
        <f ca="1">IF(C186&gt;=1,X186*VLOOKUP(E186,Reeksen!$A$5:$B$76,2),0)</f>
        <v>0</v>
      </c>
      <c r="Z186" s="98">
        <f ca="1">(1-('Invoer gegevens'!$F$20/12))*X186*MIN(Reeksen!B186,Reeksen!D186)</f>
        <v>0</v>
      </c>
      <c r="AA186" s="98">
        <f>IF(Reeksen!D186&gt;=Reeksen!B186,0,IF(Reeksen!AD186&lt;=Reeksen!AE186,(Reeksen!B186-Reeksen!D186)*X186,0))</f>
        <v>0</v>
      </c>
      <c r="AB186" s="98">
        <f>IF(Reeksen!D186&gt;=Reeksen!B186,0,IF(Reeksen!AD186&gt;Reeksen!AE186,(Reeksen!B186-Reeksen!D186)*X186,0))</f>
        <v>0</v>
      </c>
      <c r="AC186" s="99">
        <f t="shared" ca="1" si="27"/>
        <v>0</v>
      </c>
      <c r="AD186" s="98">
        <f ca="1">IF('Invoer gegevens'!$C$17=E186,R186,IF(C186=0,0,AE185))</f>
        <v>0</v>
      </c>
      <c r="AE186" s="98">
        <f t="shared" ca="1" si="28"/>
        <v>0</v>
      </c>
      <c r="AF186" s="98">
        <f ca="1">IF('Invoer gegevens'!$C$17=E186,X186,IF(C186=0,0,AG185))</f>
        <v>0</v>
      </c>
      <c r="AG186" s="98">
        <f t="shared" ca="1" si="29"/>
        <v>0</v>
      </c>
      <c r="AH186" s="66"/>
      <c r="AI186" s="71">
        <f ca="1">IF(C186=1,Reeksen!AI186*((F186-G186+F186)/2)*12+Reeksen!AD186*((L186-M186+L186)/2)*12,0)</f>
        <v>0</v>
      </c>
      <c r="AJ186" s="71">
        <f ca="1">-AI186*'Invoer gegevens'!$F$28</f>
        <v>0</v>
      </c>
      <c r="AK186" s="71">
        <f t="shared" ca="1" si="30"/>
        <v>0</v>
      </c>
      <c r="AL186" s="71">
        <f ca="1">IF(C186=1,Reeksen!AL186*((F186-G186+F186)/2)*12+Reeksen!AM186*((L186-M186+L186)/2)*12,0)</f>
        <v>0</v>
      </c>
      <c r="AM186" s="71">
        <f ca="1">-AL186*'Invoer gegevens'!$F$31</f>
        <v>0</v>
      </c>
      <c r="AN186" s="71">
        <f t="shared" ca="1" si="31"/>
        <v>0</v>
      </c>
      <c r="AO186" s="71">
        <f ca="1">IF(C186=1,(H186+J186+N186+P186)*Reeksen!AN186,0)</f>
        <v>0</v>
      </c>
      <c r="AP186" s="71">
        <f ca="1">-IF(C186=1,(H186+J186+N186+P186)*'Hulp - basis'!$G$550*Reeksen!H186,0)</f>
        <v>0</v>
      </c>
      <c r="AQ186" s="71">
        <f ca="1">-IF(C186=1,(F186+K186+L186+Q186)/2*'Invoer gegevens'!$F$35*Reeksen!J186,0)*2</f>
        <v>0</v>
      </c>
      <c r="AR186" s="71"/>
      <c r="AS186" s="71">
        <f ca="1">-IF(C186=1,(F186+K186+L186+Q186)/2*'Invoer gegevens'!$F$37*Reeksen!L186,0)</f>
        <v>0</v>
      </c>
      <c r="AT186" s="71">
        <f ca="1">-IF(C186=1,IF(E186='Invoer gegevens'!$C$17,'Invoer gegevens'!$C$11,AD186)*Reeksen!S186*'Invoer gegevens'!$C$18*Reeksen!P186,0)</f>
        <v>0</v>
      </c>
      <c r="AU186" s="71">
        <f ca="1">-IF(C186=1,(F186+K186+L186+Q186)/2*'Invoer gegevens'!$F$38*Reeksen!H186,0)</f>
        <v>0</v>
      </c>
      <c r="AV186" s="71">
        <f t="shared" si="35"/>
        <v>0</v>
      </c>
      <c r="AW186" s="71">
        <f t="shared" ca="1" si="32"/>
        <v>0</v>
      </c>
      <c r="AX186" s="71">
        <f ca="1">IF(E186&lt;'Invoer gegevens'!$C$17+15,0,IF(E186&gt;'Invoer gegevens'!$C$17+215,0,AW186))</f>
        <v>0</v>
      </c>
      <c r="AY186" s="71">
        <f ca="1">AX186/(1+'Invoer gegevens'!$F$18)^($AZ186-('Invoer gegevens'!$C$17-'Invoer gegevens'!$C$16))/(1+'Invoer gegevens'!$C$39)^('Invoer gegevens'!$C$17-'Invoer gegevens'!$C$16)</f>
        <v>0</v>
      </c>
      <c r="AZ186" s="68">
        <f ca="1">IF(E186-'Invoer gegevens'!$C$17-14.5&lt;0,0,E186-'Invoer gegevens'!$C$17-14.5)</f>
        <v>166.5</v>
      </c>
    </row>
    <row r="187" spans="1:52" x14ac:dyDescent="0.25">
      <c r="A187" s="59"/>
      <c r="B187" s="70">
        <f t="shared" si="33"/>
        <v>183</v>
      </c>
      <c r="C187" s="67">
        <f ca="1">IF(E187-'Invoer gegevens'!$C$17&lt;0,0,1)</f>
        <v>1</v>
      </c>
      <c r="D187" s="68">
        <f t="shared" si="34"/>
        <v>182.5</v>
      </c>
      <c r="E187" s="69">
        <f ca="1">IF('Invoer gegevens'!$C$16="","",E186+1)</f>
        <v>2201</v>
      </c>
      <c r="F187" s="84">
        <f ca="1">IF('Invoer gegevens'!$C$17=E187,'Invoer gegevens'!$C$10,IF(C187=1,K186,0))</f>
        <v>0</v>
      </c>
      <c r="G187" s="96">
        <f ca="1">IF(C187&gt;=1,F187*VLOOKUP(E187,Reeksen!$A$5:$B$76,2),0)</f>
        <v>0</v>
      </c>
      <c r="H187" s="84">
        <f ca="1">(1-('Invoer gegevens'!$F$20/12))*F187*MIN(Reeksen!B187,Reeksen!D187)</f>
        <v>0</v>
      </c>
      <c r="I187" s="84">
        <f>IF(Reeksen!D187&lt;Reeksen!B187,(Reeksen!B187-Reeksen!D187)*F187,0)</f>
        <v>0</v>
      </c>
      <c r="J187" s="84">
        <f ca="1">('Invoer gegevens'!$F$20/12)*F186*MIN(Reeksen!B186,Reeksen!D186)</f>
        <v>0</v>
      </c>
      <c r="K187" s="97">
        <f t="shared" ca="1" si="24"/>
        <v>0</v>
      </c>
      <c r="L187" s="84">
        <f ca="1">IF('Invoer gegevens'!$C$17=E187,0,IF(C187=1,Q186,0))</f>
        <v>0</v>
      </c>
      <c r="M187" s="96">
        <f ca="1">IF(C187&gt;=1,L187*VLOOKUP(E187,Reeksen!$A$5:$B$76,2),0)</f>
        <v>0</v>
      </c>
      <c r="N187" s="84">
        <f ca="1">(1-('Invoer gegevens'!$F$20/12))*L187*MIN(Reeksen!B187,Reeksen!D187)</f>
        <v>0</v>
      </c>
      <c r="O187" s="84">
        <f>IF(Reeksen!D187&lt;Reeksen!B187,(Reeksen!B187-Reeksen!D187)*L187,0)</f>
        <v>0</v>
      </c>
      <c r="P187" s="84">
        <f ca="1">('Invoer gegevens'!$F$20/12)*L186*MIN(Reeksen!B186,Reeksen!D186)</f>
        <v>0</v>
      </c>
      <c r="Q187" s="84">
        <f t="shared" ca="1" si="25"/>
        <v>0</v>
      </c>
      <c r="R187" s="82">
        <f ca="1">IF('Invoer gegevens'!$C$17=E187,'Invoer gegevens'!$C$11,IF(C187=1,W186,0))</f>
        <v>0</v>
      </c>
      <c r="S187" s="86">
        <f ca="1">IF(C187&gt;=1,R187*VLOOKUP(E187,Reeksen!$A$5:$B$76,2),0)</f>
        <v>0</v>
      </c>
      <c r="T187" s="84">
        <f ca="1">(1-('Invoer gegevens'!$F$20/12))*R187*MIN(Reeksen!B187,Reeksen!D187)</f>
        <v>0</v>
      </c>
      <c r="U187" s="84">
        <f>IF(Reeksen!D187&gt;=Reeksen!B187,0,IF(Reeksen!AD187&lt;=Reeksen!AE187,(Reeksen!B187-Reeksen!D187)*R187,0))</f>
        <v>0</v>
      </c>
      <c r="V187" s="86">
        <f>IF(Reeksen!D187&gt;=Reeksen!B187,0,IF(Reeksen!AD187&gt;Reeksen!AE187,(Reeksen!B187-Reeksen!D187)*R187,0))</f>
        <v>0</v>
      </c>
      <c r="W187" s="97">
        <f t="shared" ca="1" si="26"/>
        <v>0</v>
      </c>
      <c r="X187" s="98">
        <f ca="1">IF('Invoer gegevens'!$C$17=E187,'Invoer gegevens'!$C$10-'Invoer gegevens'!$C$11,IF(C187=1,AC186,0))</f>
        <v>0</v>
      </c>
      <c r="Y187" s="98">
        <f ca="1">IF(C187&gt;=1,X187*VLOOKUP(E187,Reeksen!$A$5:$B$76,2),0)</f>
        <v>0</v>
      </c>
      <c r="Z187" s="98">
        <f ca="1">(1-('Invoer gegevens'!$F$20/12))*X187*MIN(Reeksen!B187,Reeksen!D187)</f>
        <v>0</v>
      </c>
      <c r="AA187" s="98">
        <f>IF(Reeksen!D187&gt;=Reeksen!B187,0,IF(Reeksen!AD187&lt;=Reeksen!AE187,(Reeksen!B187-Reeksen!D187)*X187,0))</f>
        <v>0</v>
      </c>
      <c r="AB187" s="98">
        <f>IF(Reeksen!D187&gt;=Reeksen!B187,0,IF(Reeksen!AD187&gt;Reeksen!AE187,(Reeksen!B187-Reeksen!D187)*X187,0))</f>
        <v>0</v>
      </c>
      <c r="AC187" s="99">
        <f t="shared" ca="1" si="27"/>
        <v>0</v>
      </c>
      <c r="AD187" s="98">
        <f ca="1">IF('Invoer gegevens'!$C$17=E187,R187,IF(C187=0,0,AE186))</f>
        <v>0</v>
      </c>
      <c r="AE187" s="98">
        <f t="shared" ca="1" si="28"/>
        <v>0</v>
      </c>
      <c r="AF187" s="98">
        <f ca="1">IF('Invoer gegevens'!$C$17=E187,X187,IF(C187=0,0,AG186))</f>
        <v>0</v>
      </c>
      <c r="AG187" s="98">
        <f t="shared" ca="1" si="29"/>
        <v>0</v>
      </c>
      <c r="AH187" s="66"/>
      <c r="AI187" s="71">
        <f ca="1">IF(C187=1,Reeksen!AI187*((F187-G187+F187)/2)*12+Reeksen!AD187*((L187-M187+L187)/2)*12,0)</f>
        <v>0</v>
      </c>
      <c r="AJ187" s="71">
        <f ca="1">-AI187*'Invoer gegevens'!$F$28</f>
        <v>0</v>
      </c>
      <c r="AK187" s="71">
        <f t="shared" ca="1" si="30"/>
        <v>0</v>
      </c>
      <c r="AL187" s="71">
        <f ca="1">IF(C187=1,Reeksen!AL187*((F187-G187+F187)/2)*12+Reeksen!AM187*((L187-M187+L187)/2)*12,0)</f>
        <v>0</v>
      </c>
      <c r="AM187" s="71">
        <f ca="1">-AL187*'Invoer gegevens'!$F$31</f>
        <v>0</v>
      </c>
      <c r="AN187" s="71">
        <f t="shared" ca="1" si="31"/>
        <v>0</v>
      </c>
      <c r="AO187" s="71">
        <f ca="1">IF(C187=1,(H187+J187+N187+P187)*Reeksen!AN187,0)</f>
        <v>0</v>
      </c>
      <c r="AP187" s="71">
        <f ca="1">-IF(C187=1,(H187+J187+N187+P187)*'Hulp - basis'!$G$550*Reeksen!H187,0)</f>
        <v>0</v>
      </c>
      <c r="AQ187" s="71">
        <f ca="1">-IF(C187=1,(F187+K187+L187+Q187)/2*'Invoer gegevens'!$F$35*Reeksen!J187,0)*2</f>
        <v>0</v>
      </c>
      <c r="AR187" s="71"/>
      <c r="AS187" s="71">
        <f ca="1">-IF(C187=1,(F187+K187+L187+Q187)/2*'Invoer gegevens'!$F$37*Reeksen!L187,0)</f>
        <v>0</v>
      </c>
      <c r="AT187" s="71">
        <f ca="1">-IF(C187=1,IF(E187='Invoer gegevens'!$C$17,'Invoer gegevens'!$C$11,AD187)*Reeksen!S187*'Invoer gegevens'!$C$18*Reeksen!P187,0)</f>
        <v>0</v>
      </c>
      <c r="AU187" s="71">
        <f ca="1">-IF(C187=1,(F187+K187+L187+Q187)/2*'Invoer gegevens'!$F$38*Reeksen!H187,0)</f>
        <v>0</v>
      </c>
      <c r="AV187" s="71">
        <f t="shared" si="35"/>
        <v>0</v>
      </c>
      <c r="AW187" s="71">
        <f t="shared" ca="1" si="32"/>
        <v>0</v>
      </c>
      <c r="AX187" s="71">
        <f ca="1">IF(E187&lt;'Invoer gegevens'!$C$17+15,0,IF(E187&gt;'Invoer gegevens'!$C$17+215,0,AW187))</f>
        <v>0</v>
      </c>
      <c r="AY187" s="71">
        <f ca="1">AX187/(1+'Invoer gegevens'!$F$18)^($AZ187-('Invoer gegevens'!$C$17-'Invoer gegevens'!$C$16))/(1+'Invoer gegevens'!$C$39)^('Invoer gegevens'!$C$17-'Invoer gegevens'!$C$16)</f>
        <v>0</v>
      </c>
      <c r="AZ187" s="68">
        <f ca="1">IF(E187-'Invoer gegevens'!$C$17-14.5&lt;0,0,E187-'Invoer gegevens'!$C$17-14.5)</f>
        <v>167.5</v>
      </c>
    </row>
    <row r="188" spans="1:52" x14ac:dyDescent="0.25">
      <c r="A188" s="59"/>
      <c r="B188" s="70">
        <f t="shared" si="33"/>
        <v>184</v>
      </c>
      <c r="C188" s="67">
        <f ca="1">IF(E188-'Invoer gegevens'!$C$17&lt;0,0,1)</f>
        <v>1</v>
      </c>
      <c r="D188" s="68">
        <f t="shared" si="34"/>
        <v>183.5</v>
      </c>
      <c r="E188" s="69">
        <f ca="1">IF('Invoer gegevens'!$C$16="","",E187+1)</f>
        <v>2202</v>
      </c>
      <c r="F188" s="84">
        <f ca="1">IF('Invoer gegevens'!$C$17=E188,'Invoer gegevens'!$C$10,IF(C188=1,K187,0))</f>
        <v>0</v>
      </c>
      <c r="G188" s="96">
        <f ca="1">IF(C188&gt;=1,F188*VLOOKUP(E188,Reeksen!$A$5:$B$76,2),0)</f>
        <v>0</v>
      </c>
      <c r="H188" s="84">
        <f ca="1">(1-('Invoer gegevens'!$F$20/12))*F188*MIN(Reeksen!B188,Reeksen!D188)</f>
        <v>0</v>
      </c>
      <c r="I188" s="84">
        <f>IF(Reeksen!D188&lt;Reeksen!B188,(Reeksen!B188-Reeksen!D188)*F188,0)</f>
        <v>0</v>
      </c>
      <c r="J188" s="84">
        <f ca="1">('Invoer gegevens'!$F$20/12)*F187*MIN(Reeksen!B187,Reeksen!D187)</f>
        <v>0</v>
      </c>
      <c r="K188" s="97">
        <f t="shared" ca="1" si="24"/>
        <v>0</v>
      </c>
      <c r="L188" s="84">
        <f ca="1">IF('Invoer gegevens'!$C$17=E188,0,IF(C188=1,Q187,0))</f>
        <v>0</v>
      </c>
      <c r="M188" s="96">
        <f ca="1">IF(C188&gt;=1,L188*VLOOKUP(E188,Reeksen!$A$5:$B$76,2),0)</f>
        <v>0</v>
      </c>
      <c r="N188" s="84">
        <f ca="1">(1-('Invoer gegevens'!$F$20/12))*L188*MIN(Reeksen!B188,Reeksen!D188)</f>
        <v>0</v>
      </c>
      <c r="O188" s="84">
        <f>IF(Reeksen!D188&lt;Reeksen!B188,(Reeksen!B188-Reeksen!D188)*L188,0)</f>
        <v>0</v>
      </c>
      <c r="P188" s="84">
        <f ca="1">('Invoer gegevens'!$F$20/12)*L187*MIN(Reeksen!B187,Reeksen!D187)</f>
        <v>0</v>
      </c>
      <c r="Q188" s="84">
        <f t="shared" ca="1" si="25"/>
        <v>0</v>
      </c>
      <c r="R188" s="82">
        <f ca="1">IF('Invoer gegevens'!$C$17=E188,'Invoer gegevens'!$C$11,IF(C188=1,W187,0))</f>
        <v>0</v>
      </c>
      <c r="S188" s="86">
        <f ca="1">IF(C188&gt;=1,R188*VLOOKUP(E188,Reeksen!$A$5:$B$76,2),0)</f>
        <v>0</v>
      </c>
      <c r="T188" s="84">
        <f ca="1">(1-('Invoer gegevens'!$F$20/12))*R188*MIN(Reeksen!B188,Reeksen!D188)</f>
        <v>0</v>
      </c>
      <c r="U188" s="84">
        <f>IF(Reeksen!D188&gt;=Reeksen!B188,0,IF(Reeksen!AD188&lt;=Reeksen!AE188,(Reeksen!B188-Reeksen!D188)*R188,0))</f>
        <v>0</v>
      </c>
      <c r="V188" s="86">
        <f>IF(Reeksen!D188&gt;=Reeksen!B188,0,IF(Reeksen!AD188&gt;Reeksen!AE188,(Reeksen!B188-Reeksen!D188)*R188,0))</f>
        <v>0</v>
      </c>
      <c r="W188" s="97">
        <f t="shared" ca="1" si="26"/>
        <v>0</v>
      </c>
      <c r="X188" s="98">
        <f ca="1">IF('Invoer gegevens'!$C$17=E188,'Invoer gegevens'!$C$10-'Invoer gegevens'!$C$11,IF(C188=1,AC187,0))</f>
        <v>0</v>
      </c>
      <c r="Y188" s="98">
        <f ca="1">IF(C188&gt;=1,X188*VLOOKUP(E188,Reeksen!$A$5:$B$76,2),0)</f>
        <v>0</v>
      </c>
      <c r="Z188" s="98">
        <f ca="1">(1-('Invoer gegevens'!$F$20/12))*X188*MIN(Reeksen!B188,Reeksen!D188)</f>
        <v>0</v>
      </c>
      <c r="AA188" s="98">
        <f>IF(Reeksen!D188&gt;=Reeksen!B188,0,IF(Reeksen!AD188&lt;=Reeksen!AE188,(Reeksen!B188-Reeksen!D188)*X188,0))</f>
        <v>0</v>
      </c>
      <c r="AB188" s="98">
        <f>IF(Reeksen!D188&gt;=Reeksen!B188,0,IF(Reeksen!AD188&gt;Reeksen!AE188,(Reeksen!B188-Reeksen!D188)*X188,0))</f>
        <v>0</v>
      </c>
      <c r="AC188" s="99">
        <f t="shared" ca="1" si="27"/>
        <v>0</v>
      </c>
      <c r="AD188" s="98">
        <f ca="1">IF('Invoer gegevens'!$C$17=E188,R188,IF(C188=0,0,AE187))</f>
        <v>0</v>
      </c>
      <c r="AE188" s="98">
        <f t="shared" ca="1" si="28"/>
        <v>0</v>
      </c>
      <c r="AF188" s="98">
        <f ca="1">IF('Invoer gegevens'!$C$17=E188,X188,IF(C188=0,0,AG187))</f>
        <v>0</v>
      </c>
      <c r="AG188" s="98">
        <f t="shared" ca="1" si="29"/>
        <v>0</v>
      </c>
      <c r="AH188" s="66"/>
      <c r="AI188" s="71">
        <f ca="1">IF(C188=1,Reeksen!AI188*((F188-G188+F188)/2)*12+Reeksen!AD188*((L188-M188+L188)/2)*12,0)</f>
        <v>0</v>
      </c>
      <c r="AJ188" s="71">
        <f ca="1">-AI188*'Invoer gegevens'!$F$28</f>
        <v>0</v>
      </c>
      <c r="AK188" s="71">
        <f t="shared" ca="1" si="30"/>
        <v>0</v>
      </c>
      <c r="AL188" s="71">
        <f ca="1">IF(C188=1,Reeksen!AL188*((F188-G188+F188)/2)*12+Reeksen!AM188*((L188-M188+L188)/2)*12,0)</f>
        <v>0</v>
      </c>
      <c r="AM188" s="71">
        <f ca="1">-AL188*'Invoer gegevens'!$F$31</f>
        <v>0</v>
      </c>
      <c r="AN188" s="71">
        <f t="shared" ca="1" si="31"/>
        <v>0</v>
      </c>
      <c r="AO188" s="71">
        <f ca="1">IF(C188=1,(H188+J188+N188+P188)*Reeksen!AN188,0)</f>
        <v>0</v>
      </c>
      <c r="AP188" s="71">
        <f ca="1">-IF(C188=1,(H188+J188+N188+P188)*'Hulp - basis'!$G$550*Reeksen!H188,0)</f>
        <v>0</v>
      </c>
      <c r="AQ188" s="71">
        <f ca="1">-IF(C188=1,(F188+K188+L188+Q188)/2*'Invoer gegevens'!$F$35*Reeksen!J188,0)*2</f>
        <v>0</v>
      </c>
      <c r="AR188" s="71"/>
      <c r="AS188" s="71">
        <f ca="1">-IF(C188=1,(F188+K188+L188+Q188)/2*'Invoer gegevens'!$F$37*Reeksen!L188,0)</f>
        <v>0</v>
      </c>
      <c r="AT188" s="71">
        <f ca="1">-IF(C188=1,IF(E188='Invoer gegevens'!$C$17,'Invoer gegevens'!$C$11,AD188)*Reeksen!S188*'Invoer gegevens'!$C$18*Reeksen!P188,0)</f>
        <v>0</v>
      </c>
      <c r="AU188" s="71">
        <f ca="1">-IF(C188=1,(F188+K188+L188+Q188)/2*'Invoer gegevens'!$F$38*Reeksen!H188,0)</f>
        <v>0</v>
      </c>
      <c r="AV188" s="71">
        <f t="shared" si="35"/>
        <v>0</v>
      </c>
      <c r="AW188" s="71">
        <f t="shared" ca="1" si="32"/>
        <v>0</v>
      </c>
      <c r="AX188" s="71">
        <f ca="1">IF(E188&lt;'Invoer gegevens'!$C$17+15,0,IF(E188&gt;'Invoer gegevens'!$C$17+215,0,AW188))</f>
        <v>0</v>
      </c>
      <c r="AY188" s="71">
        <f ca="1">AX188/(1+'Invoer gegevens'!$F$18)^($AZ188-('Invoer gegevens'!$C$17-'Invoer gegevens'!$C$16))/(1+'Invoer gegevens'!$C$39)^('Invoer gegevens'!$C$17-'Invoer gegevens'!$C$16)</f>
        <v>0</v>
      </c>
      <c r="AZ188" s="68">
        <f ca="1">IF(E188-'Invoer gegevens'!$C$17-14.5&lt;0,0,E188-'Invoer gegevens'!$C$17-14.5)</f>
        <v>168.5</v>
      </c>
    </row>
    <row r="189" spans="1:52" x14ac:dyDescent="0.25">
      <c r="A189" s="59"/>
      <c r="B189" s="70">
        <f t="shared" si="33"/>
        <v>185</v>
      </c>
      <c r="C189" s="67">
        <f ca="1">IF(E189-'Invoer gegevens'!$C$17&lt;0,0,1)</f>
        <v>1</v>
      </c>
      <c r="D189" s="68">
        <f t="shared" si="34"/>
        <v>184.5</v>
      </c>
      <c r="E189" s="69">
        <f ca="1">IF('Invoer gegevens'!$C$16="","",E188+1)</f>
        <v>2203</v>
      </c>
      <c r="F189" s="84">
        <f ca="1">IF('Invoer gegevens'!$C$17=E189,'Invoer gegevens'!$C$10,IF(C189=1,K188,0))</f>
        <v>0</v>
      </c>
      <c r="G189" s="96">
        <f ca="1">IF(C189&gt;=1,F189*VLOOKUP(E189,Reeksen!$A$5:$B$76,2),0)</f>
        <v>0</v>
      </c>
      <c r="H189" s="84">
        <f ca="1">(1-('Invoer gegevens'!$F$20/12))*F189*MIN(Reeksen!B189,Reeksen!D189)</f>
        <v>0</v>
      </c>
      <c r="I189" s="84">
        <f>IF(Reeksen!D189&lt;Reeksen!B189,(Reeksen!B189-Reeksen!D189)*F189,0)</f>
        <v>0</v>
      </c>
      <c r="J189" s="84">
        <f ca="1">('Invoer gegevens'!$F$20/12)*F188*MIN(Reeksen!B188,Reeksen!D188)</f>
        <v>0</v>
      </c>
      <c r="K189" s="97">
        <f t="shared" ca="1" si="24"/>
        <v>0</v>
      </c>
      <c r="L189" s="84">
        <f ca="1">IF('Invoer gegevens'!$C$17=E189,0,IF(C189=1,Q188,0))</f>
        <v>0</v>
      </c>
      <c r="M189" s="96">
        <f ca="1">IF(C189&gt;=1,L189*VLOOKUP(E189,Reeksen!$A$5:$B$76,2),0)</f>
        <v>0</v>
      </c>
      <c r="N189" s="84">
        <f ca="1">(1-('Invoer gegevens'!$F$20/12))*L189*MIN(Reeksen!B189,Reeksen!D189)</f>
        <v>0</v>
      </c>
      <c r="O189" s="84">
        <f>IF(Reeksen!D189&lt;Reeksen!B189,(Reeksen!B189-Reeksen!D189)*L189,0)</f>
        <v>0</v>
      </c>
      <c r="P189" s="84">
        <f ca="1">('Invoer gegevens'!$F$20/12)*L188*MIN(Reeksen!B188,Reeksen!D188)</f>
        <v>0</v>
      </c>
      <c r="Q189" s="84">
        <f t="shared" ca="1" si="25"/>
        <v>0</v>
      </c>
      <c r="R189" s="82">
        <f ca="1">IF('Invoer gegevens'!$C$17=E189,'Invoer gegevens'!$C$11,IF(C189=1,W188,0))</f>
        <v>0</v>
      </c>
      <c r="S189" s="86">
        <f ca="1">IF(C189&gt;=1,R189*VLOOKUP(E189,Reeksen!$A$5:$B$76,2),0)</f>
        <v>0</v>
      </c>
      <c r="T189" s="84">
        <f ca="1">(1-('Invoer gegevens'!$F$20/12))*R189*MIN(Reeksen!B189,Reeksen!D189)</f>
        <v>0</v>
      </c>
      <c r="U189" s="84">
        <f>IF(Reeksen!D189&gt;=Reeksen!B189,0,IF(Reeksen!AD189&lt;=Reeksen!AE189,(Reeksen!B189-Reeksen!D189)*R189,0))</f>
        <v>0</v>
      </c>
      <c r="V189" s="86">
        <f>IF(Reeksen!D189&gt;=Reeksen!B189,0,IF(Reeksen!AD189&gt;Reeksen!AE189,(Reeksen!B189-Reeksen!D189)*R189,0))</f>
        <v>0</v>
      </c>
      <c r="W189" s="97">
        <f t="shared" ca="1" si="26"/>
        <v>0</v>
      </c>
      <c r="X189" s="98">
        <f ca="1">IF('Invoer gegevens'!$C$17=E189,'Invoer gegevens'!$C$10-'Invoer gegevens'!$C$11,IF(C189=1,AC188,0))</f>
        <v>0</v>
      </c>
      <c r="Y189" s="98">
        <f ca="1">IF(C189&gt;=1,X189*VLOOKUP(E189,Reeksen!$A$5:$B$76,2),0)</f>
        <v>0</v>
      </c>
      <c r="Z189" s="98">
        <f ca="1">(1-('Invoer gegevens'!$F$20/12))*X189*MIN(Reeksen!B189,Reeksen!D189)</f>
        <v>0</v>
      </c>
      <c r="AA189" s="98">
        <f>IF(Reeksen!D189&gt;=Reeksen!B189,0,IF(Reeksen!AD189&lt;=Reeksen!AE189,(Reeksen!B189-Reeksen!D189)*X189,0))</f>
        <v>0</v>
      </c>
      <c r="AB189" s="98">
        <f>IF(Reeksen!D189&gt;=Reeksen!B189,0,IF(Reeksen!AD189&gt;Reeksen!AE189,(Reeksen!B189-Reeksen!D189)*X189,0))</f>
        <v>0</v>
      </c>
      <c r="AC189" s="99">
        <f t="shared" ca="1" si="27"/>
        <v>0</v>
      </c>
      <c r="AD189" s="98">
        <f ca="1">IF('Invoer gegevens'!$C$17=E189,R189,IF(C189=0,0,AE188))</f>
        <v>0</v>
      </c>
      <c r="AE189" s="98">
        <f t="shared" ca="1" si="28"/>
        <v>0</v>
      </c>
      <c r="AF189" s="98">
        <f ca="1">IF('Invoer gegevens'!$C$17=E189,X189,IF(C189=0,0,AG188))</f>
        <v>0</v>
      </c>
      <c r="AG189" s="98">
        <f t="shared" ca="1" si="29"/>
        <v>0</v>
      </c>
      <c r="AH189" s="66"/>
      <c r="AI189" s="71">
        <f ca="1">IF(C189=1,Reeksen!AI189*((F189-G189+F189)/2)*12+Reeksen!AD189*((L189-M189+L189)/2)*12,0)</f>
        <v>0</v>
      </c>
      <c r="AJ189" s="71">
        <f ca="1">-AI189*'Invoer gegevens'!$F$28</f>
        <v>0</v>
      </c>
      <c r="AK189" s="71">
        <f t="shared" ca="1" si="30"/>
        <v>0</v>
      </c>
      <c r="AL189" s="71">
        <f ca="1">IF(C189=1,Reeksen!AL189*((F189-G189+F189)/2)*12+Reeksen!AM189*((L189-M189+L189)/2)*12,0)</f>
        <v>0</v>
      </c>
      <c r="AM189" s="71">
        <f ca="1">-AL189*'Invoer gegevens'!$F$31</f>
        <v>0</v>
      </c>
      <c r="AN189" s="71">
        <f t="shared" ca="1" si="31"/>
        <v>0</v>
      </c>
      <c r="AO189" s="71">
        <f ca="1">IF(C189=1,(H189+J189+N189+P189)*Reeksen!AN189,0)</f>
        <v>0</v>
      </c>
      <c r="AP189" s="71">
        <f ca="1">-IF(C189=1,(H189+J189+N189+P189)*'Hulp - basis'!$G$550*Reeksen!H189,0)</f>
        <v>0</v>
      </c>
      <c r="AQ189" s="71">
        <f ca="1">-IF(C189=1,(F189+K189+L189+Q189)/2*'Invoer gegevens'!$F$35*Reeksen!J189,0)*2</f>
        <v>0</v>
      </c>
      <c r="AR189" s="71"/>
      <c r="AS189" s="71">
        <f ca="1">-IF(C189=1,(F189+K189+L189+Q189)/2*'Invoer gegevens'!$F$37*Reeksen!L189,0)</f>
        <v>0</v>
      </c>
      <c r="AT189" s="71">
        <f ca="1">-IF(C189=1,IF(E189='Invoer gegevens'!$C$17,'Invoer gegevens'!$C$11,AD189)*Reeksen!S189*'Invoer gegevens'!$C$18*Reeksen!P189,0)</f>
        <v>0</v>
      </c>
      <c r="AU189" s="71">
        <f ca="1">-IF(C189=1,(F189+K189+L189+Q189)/2*'Invoer gegevens'!$F$38*Reeksen!H189,0)</f>
        <v>0</v>
      </c>
      <c r="AV189" s="71">
        <f t="shared" si="35"/>
        <v>0</v>
      </c>
      <c r="AW189" s="71">
        <f t="shared" ca="1" si="32"/>
        <v>0</v>
      </c>
      <c r="AX189" s="71">
        <f ca="1">IF(E189&lt;'Invoer gegevens'!$C$17+15,0,IF(E189&gt;'Invoer gegevens'!$C$17+215,0,AW189))</f>
        <v>0</v>
      </c>
      <c r="AY189" s="71">
        <f ca="1">AX189/(1+'Invoer gegevens'!$F$18)^($AZ189-('Invoer gegevens'!$C$17-'Invoer gegevens'!$C$16))/(1+'Invoer gegevens'!$C$39)^('Invoer gegevens'!$C$17-'Invoer gegevens'!$C$16)</f>
        <v>0</v>
      </c>
      <c r="AZ189" s="68">
        <f ca="1">IF(E189-'Invoer gegevens'!$C$17-14.5&lt;0,0,E189-'Invoer gegevens'!$C$17-14.5)</f>
        <v>169.5</v>
      </c>
    </row>
    <row r="190" spans="1:52" x14ac:dyDescent="0.25">
      <c r="A190" s="59"/>
      <c r="B190" s="70">
        <f t="shared" si="33"/>
        <v>186</v>
      </c>
      <c r="C190" s="67">
        <f ca="1">IF(E190-'Invoer gegevens'!$C$17&lt;0,0,1)</f>
        <v>1</v>
      </c>
      <c r="D190" s="68">
        <f t="shared" si="34"/>
        <v>185.5</v>
      </c>
      <c r="E190" s="69">
        <f ca="1">IF('Invoer gegevens'!$C$16="","",E189+1)</f>
        <v>2204</v>
      </c>
      <c r="F190" s="84">
        <f ca="1">IF('Invoer gegevens'!$C$17=E190,'Invoer gegevens'!$C$10,IF(C190=1,K189,0))</f>
        <v>0</v>
      </c>
      <c r="G190" s="96">
        <f ca="1">IF(C190&gt;=1,F190*VLOOKUP(E190,Reeksen!$A$5:$B$76,2),0)</f>
        <v>0</v>
      </c>
      <c r="H190" s="84">
        <f ca="1">(1-('Invoer gegevens'!$F$20/12))*F190*MIN(Reeksen!B190,Reeksen!D190)</f>
        <v>0</v>
      </c>
      <c r="I190" s="84">
        <f>IF(Reeksen!D190&lt;Reeksen!B190,(Reeksen!B190-Reeksen!D190)*F190,0)</f>
        <v>0</v>
      </c>
      <c r="J190" s="84">
        <f ca="1">('Invoer gegevens'!$F$20/12)*F189*MIN(Reeksen!B189,Reeksen!D189)</f>
        <v>0</v>
      </c>
      <c r="K190" s="97">
        <f t="shared" ca="1" si="24"/>
        <v>0</v>
      </c>
      <c r="L190" s="84">
        <f ca="1">IF('Invoer gegevens'!$C$17=E190,0,IF(C190=1,Q189,0))</f>
        <v>0</v>
      </c>
      <c r="M190" s="96">
        <f ca="1">IF(C190&gt;=1,L190*VLOOKUP(E190,Reeksen!$A$5:$B$76,2),0)</f>
        <v>0</v>
      </c>
      <c r="N190" s="84">
        <f ca="1">(1-('Invoer gegevens'!$F$20/12))*L190*MIN(Reeksen!B190,Reeksen!D190)</f>
        <v>0</v>
      </c>
      <c r="O190" s="84">
        <f>IF(Reeksen!D190&lt;Reeksen!B190,(Reeksen!B190-Reeksen!D190)*L190,0)</f>
        <v>0</v>
      </c>
      <c r="P190" s="84">
        <f ca="1">('Invoer gegevens'!$F$20/12)*L189*MIN(Reeksen!B189,Reeksen!D189)</f>
        <v>0</v>
      </c>
      <c r="Q190" s="84">
        <f t="shared" ca="1" si="25"/>
        <v>0</v>
      </c>
      <c r="R190" s="82">
        <f ca="1">IF('Invoer gegevens'!$C$17=E190,'Invoer gegevens'!$C$11,IF(C190=1,W189,0))</f>
        <v>0</v>
      </c>
      <c r="S190" s="86">
        <f ca="1">IF(C190&gt;=1,R190*VLOOKUP(E190,Reeksen!$A$5:$B$76,2),0)</f>
        <v>0</v>
      </c>
      <c r="T190" s="84">
        <f ca="1">(1-('Invoer gegevens'!$F$20/12))*R190*MIN(Reeksen!B190,Reeksen!D190)</f>
        <v>0</v>
      </c>
      <c r="U190" s="84">
        <f>IF(Reeksen!D190&gt;=Reeksen!B190,0,IF(Reeksen!AD190&lt;=Reeksen!AE190,(Reeksen!B190-Reeksen!D190)*R190,0))</f>
        <v>0</v>
      </c>
      <c r="V190" s="86">
        <f>IF(Reeksen!D190&gt;=Reeksen!B190,0,IF(Reeksen!AD190&gt;Reeksen!AE190,(Reeksen!B190-Reeksen!D190)*R190,0))</f>
        <v>0</v>
      </c>
      <c r="W190" s="97">
        <f t="shared" ca="1" si="26"/>
        <v>0</v>
      </c>
      <c r="X190" s="98">
        <f ca="1">IF('Invoer gegevens'!$C$17=E190,'Invoer gegevens'!$C$10-'Invoer gegevens'!$C$11,IF(C190=1,AC189,0))</f>
        <v>0</v>
      </c>
      <c r="Y190" s="98">
        <f ca="1">IF(C190&gt;=1,X190*VLOOKUP(E190,Reeksen!$A$5:$B$76,2),0)</f>
        <v>0</v>
      </c>
      <c r="Z190" s="98">
        <f ca="1">(1-('Invoer gegevens'!$F$20/12))*X190*MIN(Reeksen!B190,Reeksen!D190)</f>
        <v>0</v>
      </c>
      <c r="AA190" s="98">
        <f>IF(Reeksen!D190&gt;=Reeksen!B190,0,IF(Reeksen!AD190&lt;=Reeksen!AE190,(Reeksen!B190-Reeksen!D190)*X190,0))</f>
        <v>0</v>
      </c>
      <c r="AB190" s="98">
        <f>IF(Reeksen!D190&gt;=Reeksen!B190,0,IF(Reeksen!AD190&gt;Reeksen!AE190,(Reeksen!B190-Reeksen!D190)*X190,0))</f>
        <v>0</v>
      </c>
      <c r="AC190" s="99">
        <f t="shared" ca="1" si="27"/>
        <v>0</v>
      </c>
      <c r="AD190" s="98">
        <f ca="1">IF('Invoer gegevens'!$C$17=E190,R190,IF(C190=0,0,AE189))</f>
        <v>0</v>
      </c>
      <c r="AE190" s="98">
        <f t="shared" ca="1" si="28"/>
        <v>0</v>
      </c>
      <c r="AF190" s="98">
        <f ca="1">IF('Invoer gegevens'!$C$17=E190,X190,IF(C190=0,0,AG189))</f>
        <v>0</v>
      </c>
      <c r="AG190" s="98">
        <f t="shared" ca="1" si="29"/>
        <v>0</v>
      </c>
      <c r="AH190" s="66"/>
      <c r="AI190" s="71">
        <f ca="1">IF(C190=1,Reeksen!AI190*((F190-G190+F190)/2)*12+Reeksen!AD190*((L190-M190+L190)/2)*12,0)</f>
        <v>0</v>
      </c>
      <c r="AJ190" s="71">
        <f ca="1">-AI190*'Invoer gegevens'!$F$28</f>
        <v>0</v>
      </c>
      <c r="AK190" s="71">
        <f t="shared" ca="1" si="30"/>
        <v>0</v>
      </c>
      <c r="AL190" s="71">
        <f ca="1">IF(C190=1,Reeksen!AL190*((F190-G190+F190)/2)*12+Reeksen!AM190*((L190-M190+L190)/2)*12,0)</f>
        <v>0</v>
      </c>
      <c r="AM190" s="71">
        <f ca="1">-AL190*'Invoer gegevens'!$F$31</f>
        <v>0</v>
      </c>
      <c r="AN190" s="71">
        <f t="shared" ca="1" si="31"/>
        <v>0</v>
      </c>
      <c r="AO190" s="71">
        <f ca="1">IF(C190=1,(H190+J190+N190+P190)*Reeksen!AN190,0)</f>
        <v>0</v>
      </c>
      <c r="AP190" s="71">
        <f ca="1">-IF(C190=1,(H190+J190+N190+P190)*'Hulp - basis'!$G$550*Reeksen!H190,0)</f>
        <v>0</v>
      </c>
      <c r="AQ190" s="71">
        <f ca="1">-IF(C190=1,(F190+K190+L190+Q190)/2*'Invoer gegevens'!$F$35*Reeksen!J190,0)*2</f>
        <v>0</v>
      </c>
      <c r="AR190" s="71"/>
      <c r="AS190" s="71">
        <f ca="1">-IF(C190=1,(F190+K190+L190+Q190)/2*'Invoer gegevens'!$F$37*Reeksen!L190,0)</f>
        <v>0</v>
      </c>
      <c r="AT190" s="71">
        <f ca="1">-IF(C190=1,IF(E190='Invoer gegevens'!$C$17,'Invoer gegevens'!$C$11,AD190)*Reeksen!S190*'Invoer gegevens'!$C$18*Reeksen!P190,0)</f>
        <v>0</v>
      </c>
      <c r="AU190" s="71">
        <f ca="1">-IF(C190=1,(F190+K190+L190+Q190)/2*'Invoer gegevens'!$F$38*Reeksen!H190,0)</f>
        <v>0</v>
      </c>
      <c r="AV190" s="71">
        <f t="shared" si="35"/>
        <v>0</v>
      </c>
      <c r="AW190" s="71">
        <f t="shared" ca="1" si="32"/>
        <v>0</v>
      </c>
      <c r="AX190" s="71">
        <f ca="1">IF(E190&lt;'Invoer gegevens'!$C$17+15,0,IF(E190&gt;'Invoer gegevens'!$C$17+215,0,AW190))</f>
        <v>0</v>
      </c>
      <c r="AY190" s="71">
        <f ca="1">AX190/(1+'Invoer gegevens'!$F$18)^($AZ190-('Invoer gegevens'!$C$17-'Invoer gegevens'!$C$16))/(1+'Invoer gegevens'!$C$39)^('Invoer gegevens'!$C$17-'Invoer gegevens'!$C$16)</f>
        <v>0</v>
      </c>
      <c r="AZ190" s="68">
        <f ca="1">IF(E190-'Invoer gegevens'!$C$17-14.5&lt;0,0,E190-'Invoer gegevens'!$C$17-14.5)</f>
        <v>170.5</v>
      </c>
    </row>
    <row r="191" spans="1:52" x14ac:dyDescent="0.25">
      <c r="A191" s="59"/>
      <c r="B191" s="70">
        <f t="shared" si="33"/>
        <v>187</v>
      </c>
      <c r="C191" s="67">
        <f ca="1">IF(E191-'Invoer gegevens'!$C$17&lt;0,0,1)</f>
        <v>1</v>
      </c>
      <c r="D191" s="68">
        <f t="shared" si="34"/>
        <v>186.5</v>
      </c>
      <c r="E191" s="69">
        <f ca="1">IF('Invoer gegevens'!$C$16="","",E190+1)</f>
        <v>2205</v>
      </c>
      <c r="F191" s="84">
        <f ca="1">IF('Invoer gegevens'!$C$17=E191,'Invoer gegevens'!$C$10,IF(C191=1,K190,0))</f>
        <v>0</v>
      </c>
      <c r="G191" s="96">
        <f ca="1">IF(C191&gt;=1,F191*VLOOKUP(E191,Reeksen!$A$5:$B$76,2),0)</f>
        <v>0</v>
      </c>
      <c r="H191" s="84">
        <f ca="1">(1-('Invoer gegevens'!$F$20/12))*F191*MIN(Reeksen!B191,Reeksen!D191)</f>
        <v>0</v>
      </c>
      <c r="I191" s="84">
        <f>IF(Reeksen!D191&lt;Reeksen!B191,(Reeksen!B191-Reeksen!D191)*F191,0)</f>
        <v>0</v>
      </c>
      <c r="J191" s="84">
        <f ca="1">('Invoer gegevens'!$F$20/12)*F190*MIN(Reeksen!B190,Reeksen!D190)</f>
        <v>0</v>
      </c>
      <c r="K191" s="97">
        <f t="shared" ca="1" si="24"/>
        <v>0</v>
      </c>
      <c r="L191" s="84">
        <f ca="1">IF('Invoer gegevens'!$C$17=E191,0,IF(C191=1,Q190,0))</f>
        <v>0</v>
      </c>
      <c r="M191" s="96">
        <f ca="1">IF(C191&gt;=1,L191*VLOOKUP(E191,Reeksen!$A$5:$B$76,2),0)</f>
        <v>0</v>
      </c>
      <c r="N191" s="84">
        <f ca="1">(1-('Invoer gegevens'!$F$20/12))*L191*MIN(Reeksen!B191,Reeksen!D191)</f>
        <v>0</v>
      </c>
      <c r="O191" s="84">
        <f>IF(Reeksen!D191&lt;Reeksen!B191,(Reeksen!B191-Reeksen!D191)*L191,0)</f>
        <v>0</v>
      </c>
      <c r="P191" s="84">
        <f ca="1">('Invoer gegevens'!$F$20/12)*L190*MIN(Reeksen!B190,Reeksen!D190)</f>
        <v>0</v>
      </c>
      <c r="Q191" s="84">
        <f t="shared" ca="1" si="25"/>
        <v>0</v>
      </c>
      <c r="R191" s="82">
        <f ca="1">IF('Invoer gegevens'!$C$17=E191,'Invoer gegevens'!$C$11,IF(C191=1,W190,0))</f>
        <v>0</v>
      </c>
      <c r="S191" s="86">
        <f ca="1">IF(C191&gt;=1,R191*VLOOKUP(E191,Reeksen!$A$5:$B$76,2),0)</f>
        <v>0</v>
      </c>
      <c r="T191" s="84">
        <f ca="1">(1-('Invoer gegevens'!$F$20/12))*R191*MIN(Reeksen!B191,Reeksen!D191)</f>
        <v>0</v>
      </c>
      <c r="U191" s="84">
        <f>IF(Reeksen!D191&gt;=Reeksen!B191,0,IF(Reeksen!AD191&lt;=Reeksen!AE191,(Reeksen!B191-Reeksen!D191)*R191,0))</f>
        <v>0</v>
      </c>
      <c r="V191" s="86">
        <f>IF(Reeksen!D191&gt;=Reeksen!B191,0,IF(Reeksen!AD191&gt;Reeksen!AE191,(Reeksen!B191-Reeksen!D191)*R191,0))</f>
        <v>0</v>
      </c>
      <c r="W191" s="97">
        <f t="shared" ca="1" si="26"/>
        <v>0</v>
      </c>
      <c r="X191" s="98">
        <f ca="1">IF('Invoer gegevens'!$C$17=E191,'Invoer gegevens'!$C$10-'Invoer gegevens'!$C$11,IF(C191=1,AC190,0))</f>
        <v>0</v>
      </c>
      <c r="Y191" s="98">
        <f ca="1">IF(C191&gt;=1,X191*VLOOKUP(E191,Reeksen!$A$5:$B$76,2),0)</f>
        <v>0</v>
      </c>
      <c r="Z191" s="98">
        <f ca="1">(1-('Invoer gegevens'!$F$20/12))*X191*MIN(Reeksen!B191,Reeksen!D191)</f>
        <v>0</v>
      </c>
      <c r="AA191" s="98">
        <f>IF(Reeksen!D191&gt;=Reeksen!B191,0,IF(Reeksen!AD191&lt;=Reeksen!AE191,(Reeksen!B191-Reeksen!D191)*X191,0))</f>
        <v>0</v>
      </c>
      <c r="AB191" s="98">
        <f>IF(Reeksen!D191&gt;=Reeksen!B191,0,IF(Reeksen!AD191&gt;Reeksen!AE191,(Reeksen!B191-Reeksen!D191)*X191,0))</f>
        <v>0</v>
      </c>
      <c r="AC191" s="99">
        <f t="shared" ca="1" si="27"/>
        <v>0</v>
      </c>
      <c r="AD191" s="98">
        <f ca="1">IF('Invoer gegevens'!$C$17=E191,R191,IF(C191=0,0,AE190))</f>
        <v>0</v>
      </c>
      <c r="AE191" s="98">
        <f t="shared" ca="1" si="28"/>
        <v>0</v>
      </c>
      <c r="AF191" s="98">
        <f ca="1">IF('Invoer gegevens'!$C$17=E191,X191,IF(C191=0,0,AG190))</f>
        <v>0</v>
      </c>
      <c r="AG191" s="98">
        <f t="shared" ca="1" si="29"/>
        <v>0</v>
      </c>
      <c r="AH191" s="66"/>
      <c r="AI191" s="71">
        <f ca="1">IF(C191=1,Reeksen!AI191*((F191-G191+F191)/2)*12+Reeksen!AD191*((L191-M191+L191)/2)*12,0)</f>
        <v>0</v>
      </c>
      <c r="AJ191" s="71">
        <f ca="1">-AI191*'Invoer gegevens'!$F$28</f>
        <v>0</v>
      </c>
      <c r="AK191" s="71">
        <f t="shared" ca="1" si="30"/>
        <v>0</v>
      </c>
      <c r="AL191" s="71">
        <f ca="1">IF(C191=1,Reeksen!AL191*((F191-G191+F191)/2)*12+Reeksen!AM191*((L191-M191+L191)/2)*12,0)</f>
        <v>0</v>
      </c>
      <c r="AM191" s="71">
        <f ca="1">-AL191*'Invoer gegevens'!$F$31</f>
        <v>0</v>
      </c>
      <c r="AN191" s="71">
        <f t="shared" ca="1" si="31"/>
        <v>0</v>
      </c>
      <c r="AO191" s="71">
        <f ca="1">IF(C191=1,(H191+J191+N191+P191)*Reeksen!AN191,0)</f>
        <v>0</v>
      </c>
      <c r="AP191" s="71">
        <f ca="1">-IF(C191=1,(H191+J191+N191+P191)*'Hulp - basis'!$G$550*Reeksen!H191,0)</f>
        <v>0</v>
      </c>
      <c r="AQ191" s="71">
        <f ca="1">-IF(C191=1,(F191+K191+L191+Q191)/2*'Invoer gegevens'!$F$35*Reeksen!J191,0)*2</f>
        <v>0</v>
      </c>
      <c r="AR191" s="71"/>
      <c r="AS191" s="71">
        <f ca="1">-IF(C191=1,(F191+K191+L191+Q191)/2*'Invoer gegevens'!$F$37*Reeksen!L191,0)</f>
        <v>0</v>
      </c>
      <c r="AT191" s="71">
        <f ca="1">-IF(C191=1,IF(E191='Invoer gegevens'!$C$17,'Invoer gegevens'!$C$11,AD191)*Reeksen!S191*'Invoer gegevens'!$C$18*Reeksen!P191,0)</f>
        <v>0</v>
      </c>
      <c r="AU191" s="71">
        <f ca="1">-IF(C191=1,(F191+K191+L191+Q191)/2*'Invoer gegevens'!$F$38*Reeksen!H191,0)</f>
        <v>0</v>
      </c>
      <c r="AV191" s="71">
        <f t="shared" si="35"/>
        <v>0</v>
      </c>
      <c r="AW191" s="71">
        <f t="shared" ca="1" si="32"/>
        <v>0</v>
      </c>
      <c r="AX191" s="71">
        <f ca="1">IF(E191&lt;'Invoer gegevens'!$C$17+15,0,IF(E191&gt;'Invoer gegevens'!$C$17+215,0,AW191))</f>
        <v>0</v>
      </c>
      <c r="AY191" s="71">
        <f ca="1">AX191/(1+'Invoer gegevens'!$F$18)^($AZ191-('Invoer gegevens'!$C$17-'Invoer gegevens'!$C$16))/(1+'Invoer gegevens'!$C$39)^('Invoer gegevens'!$C$17-'Invoer gegevens'!$C$16)</f>
        <v>0</v>
      </c>
      <c r="AZ191" s="68">
        <f ca="1">IF(E191-'Invoer gegevens'!$C$17-14.5&lt;0,0,E191-'Invoer gegevens'!$C$17-14.5)</f>
        <v>171.5</v>
      </c>
    </row>
    <row r="192" spans="1:52" x14ac:dyDescent="0.25">
      <c r="A192" s="59"/>
      <c r="B192" s="70">
        <f t="shared" si="33"/>
        <v>188</v>
      </c>
      <c r="C192" s="67">
        <f ca="1">IF(E192-'Invoer gegevens'!$C$17&lt;0,0,1)</f>
        <v>1</v>
      </c>
      <c r="D192" s="68">
        <f t="shared" si="34"/>
        <v>187.5</v>
      </c>
      <c r="E192" s="69">
        <f ca="1">IF('Invoer gegevens'!$C$16="","",E191+1)</f>
        <v>2206</v>
      </c>
      <c r="F192" s="84">
        <f ca="1">IF('Invoer gegevens'!$C$17=E192,'Invoer gegevens'!$C$10,IF(C192=1,K191,0))</f>
        <v>0</v>
      </c>
      <c r="G192" s="96">
        <f ca="1">IF(C192&gt;=1,F192*VLOOKUP(E192,Reeksen!$A$5:$B$76,2),0)</f>
        <v>0</v>
      </c>
      <c r="H192" s="84">
        <f ca="1">(1-('Invoer gegevens'!$F$20/12))*F192*MIN(Reeksen!B192,Reeksen!D192)</f>
        <v>0</v>
      </c>
      <c r="I192" s="84">
        <f>IF(Reeksen!D192&lt;Reeksen!B192,(Reeksen!B192-Reeksen!D192)*F192,0)</f>
        <v>0</v>
      </c>
      <c r="J192" s="84">
        <f ca="1">('Invoer gegevens'!$F$20/12)*F191*MIN(Reeksen!B191,Reeksen!D191)</f>
        <v>0</v>
      </c>
      <c r="K192" s="97">
        <f t="shared" ca="1" si="24"/>
        <v>0</v>
      </c>
      <c r="L192" s="84">
        <f ca="1">IF('Invoer gegevens'!$C$17=E192,0,IF(C192=1,Q191,0))</f>
        <v>0</v>
      </c>
      <c r="M192" s="96">
        <f ca="1">IF(C192&gt;=1,L192*VLOOKUP(E192,Reeksen!$A$5:$B$76,2),0)</f>
        <v>0</v>
      </c>
      <c r="N192" s="84">
        <f ca="1">(1-('Invoer gegevens'!$F$20/12))*L192*MIN(Reeksen!B192,Reeksen!D192)</f>
        <v>0</v>
      </c>
      <c r="O192" s="84">
        <f>IF(Reeksen!D192&lt;Reeksen!B192,(Reeksen!B192-Reeksen!D192)*L192,0)</f>
        <v>0</v>
      </c>
      <c r="P192" s="84">
        <f ca="1">('Invoer gegevens'!$F$20/12)*L191*MIN(Reeksen!B191,Reeksen!D191)</f>
        <v>0</v>
      </c>
      <c r="Q192" s="84">
        <f t="shared" ca="1" si="25"/>
        <v>0</v>
      </c>
      <c r="R192" s="82">
        <f ca="1">IF('Invoer gegevens'!$C$17=E192,'Invoer gegevens'!$C$11,IF(C192=1,W191,0))</f>
        <v>0</v>
      </c>
      <c r="S192" s="86">
        <f ca="1">IF(C192&gt;=1,R192*VLOOKUP(E192,Reeksen!$A$5:$B$76,2),0)</f>
        <v>0</v>
      </c>
      <c r="T192" s="84">
        <f ca="1">(1-('Invoer gegevens'!$F$20/12))*R192*MIN(Reeksen!B192,Reeksen!D192)</f>
        <v>0</v>
      </c>
      <c r="U192" s="84">
        <f>IF(Reeksen!D192&gt;=Reeksen!B192,0,IF(Reeksen!AD192&lt;=Reeksen!AE192,(Reeksen!B192-Reeksen!D192)*R192,0))</f>
        <v>0</v>
      </c>
      <c r="V192" s="86">
        <f>IF(Reeksen!D192&gt;=Reeksen!B192,0,IF(Reeksen!AD192&gt;Reeksen!AE192,(Reeksen!B192-Reeksen!D192)*R192,0))</f>
        <v>0</v>
      </c>
      <c r="W192" s="97">
        <f t="shared" ca="1" si="26"/>
        <v>0</v>
      </c>
      <c r="X192" s="98">
        <f ca="1">IF('Invoer gegevens'!$C$17=E192,'Invoer gegevens'!$C$10-'Invoer gegevens'!$C$11,IF(C192=1,AC191,0))</f>
        <v>0</v>
      </c>
      <c r="Y192" s="98">
        <f ca="1">IF(C192&gt;=1,X192*VLOOKUP(E192,Reeksen!$A$5:$B$76,2),0)</f>
        <v>0</v>
      </c>
      <c r="Z192" s="98">
        <f ca="1">(1-('Invoer gegevens'!$F$20/12))*X192*MIN(Reeksen!B192,Reeksen!D192)</f>
        <v>0</v>
      </c>
      <c r="AA192" s="98">
        <f>IF(Reeksen!D192&gt;=Reeksen!B192,0,IF(Reeksen!AD192&lt;=Reeksen!AE192,(Reeksen!B192-Reeksen!D192)*X192,0))</f>
        <v>0</v>
      </c>
      <c r="AB192" s="98">
        <f>IF(Reeksen!D192&gt;=Reeksen!B192,0,IF(Reeksen!AD192&gt;Reeksen!AE192,(Reeksen!B192-Reeksen!D192)*X192,0))</f>
        <v>0</v>
      </c>
      <c r="AC192" s="99">
        <f t="shared" ca="1" si="27"/>
        <v>0</v>
      </c>
      <c r="AD192" s="98">
        <f ca="1">IF('Invoer gegevens'!$C$17=E192,R192,IF(C192=0,0,AE191))</f>
        <v>0</v>
      </c>
      <c r="AE192" s="98">
        <f t="shared" ca="1" si="28"/>
        <v>0</v>
      </c>
      <c r="AF192" s="98">
        <f ca="1">IF('Invoer gegevens'!$C$17=E192,X192,IF(C192=0,0,AG191))</f>
        <v>0</v>
      </c>
      <c r="AG192" s="98">
        <f t="shared" ca="1" si="29"/>
        <v>0</v>
      </c>
      <c r="AH192" s="66"/>
      <c r="AI192" s="71">
        <f ca="1">IF(C192=1,Reeksen!AI192*((F192-G192+F192)/2)*12+Reeksen!AD192*((L192-M192+L192)/2)*12,0)</f>
        <v>0</v>
      </c>
      <c r="AJ192" s="71">
        <f ca="1">-AI192*'Invoer gegevens'!$F$28</f>
        <v>0</v>
      </c>
      <c r="AK192" s="71">
        <f t="shared" ca="1" si="30"/>
        <v>0</v>
      </c>
      <c r="AL192" s="71">
        <f ca="1">IF(C192=1,Reeksen!AL192*((F192-G192+F192)/2)*12+Reeksen!AM192*((L192-M192+L192)/2)*12,0)</f>
        <v>0</v>
      </c>
      <c r="AM192" s="71">
        <f ca="1">-AL192*'Invoer gegevens'!$F$31</f>
        <v>0</v>
      </c>
      <c r="AN192" s="71">
        <f t="shared" ca="1" si="31"/>
        <v>0</v>
      </c>
      <c r="AO192" s="71">
        <f ca="1">IF(C192=1,(H192+J192+N192+P192)*Reeksen!AN192,0)</f>
        <v>0</v>
      </c>
      <c r="AP192" s="71">
        <f ca="1">-IF(C192=1,(H192+J192+N192+P192)*'Hulp - basis'!$G$550*Reeksen!H192,0)</f>
        <v>0</v>
      </c>
      <c r="AQ192" s="71">
        <f ca="1">-IF(C192=1,(F192+K192+L192+Q192)/2*'Invoer gegevens'!$F$35*Reeksen!J192,0)*2</f>
        <v>0</v>
      </c>
      <c r="AR192" s="71"/>
      <c r="AS192" s="71">
        <f ca="1">-IF(C192=1,(F192+K192+L192+Q192)/2*'Invoer gegevens'!$F$37*Reeksen!L192,0)</f>
        <v>0</v>
      </c>
      <c r="AT192" s="71">
        <f ca="1">-IF(C192=1,IF(E192='Invoer gegevens'!$C$17,'Invoer gegevens'!$C$11,AD192)*Reeksen!S192*'Invoer gegevens'!$C$18*Reeksen!P192,0)</f>
        <v>0</v>
      </c>
      <c r="AU192" s="71">
        <f ca="1">-IF(C192=1,(F192+K192+L192+Q192)/2*'Invoer gegevens'!$F$38*Reeksen!H192,0)</f>
        <v>0</v>
      </c>
      <c r="AV192" s="71">
        <f t="shared" si="35"/>
        <v>0</v>
      </c>
      <c r="AW192" s="71">
        <f t="shared" ca="1" si="32"/>
        <v>0</v>
      </c>
      <c r="AX192" s="71">
        <f ca="1">IF(E192&lt;'Invoer gegevens'!$C$17+15,0,IF(E192&gt;'Invoer gegevens'!$C$17+215,0,AW192))</f>
        <v>0</v>
      </c>
      <c r="AY192" s="71">
        <f ca="1">AX192/(1+'Invoer gegevens'!$F$18)^($AZ192-('Invoer gegevens'!$C$17-'Invoer gegevens'!$C$16))/(1+'Invoer gegevens'!$C$39)^('Invoer gegevens'!$C$17-'Invoer gegevens'!$C$16)</f>
        <v>0</v>
      </c>
      <c r="AZ192" s="68">
        <f ca="1">IF(E192-'Invoer gegevens'!$C$17-14.5&lt;0,0,E192-'Invoer gegevens'!$C$17-14.5)</f>
        <v>172.5</v>
      </c>
    </row>
    <row r="193" spans="1:52" x14ac:dyDescent="0.25">
      <c r="A193" s="59"/>
      <c r="B193" s="70">
        <f t="shared" si="33"/>
        <v>189</v>
      </c>
      <c r="C193" s="67">
        <f ca="1">IF(E193-'Invoer gegevens'!$C$17&lt;0,0,1)</f>
        <v>1</v>
      </c>
      <c r="D193" s="68">
        <f t="shared" si="34"/>
        <v>188.5</v>
      </c>
      <c r="E193" s="69">
        <f ca="1">IF('Invoer gegevens'!$C$16="","",E192+1)</f>
        <v>2207</v>
      </c>
      <c r="F193" s="84">
        <f ca="1">IF('Invoer gegevens'!$C$17=E193,'Invoer gegevens'!$C$10,IF(C193=1,K192,0))</f>
        <v>0</v>
      </c>
      <c r="G193" s="96">
        <f ca="1">IF(C193&gt;=1,F193*VLOOKUP(E193,Reeksen!$A$5:$B$76,2),0)</f>
        <v>0</v>
      </c>
      <c r="H193" s="84">
        <f ca="1">(1-('Invoer gegevens'!$F$20/12))*F193*MIN(Reeksen!B193,Reeksen!D193)</f>
        <v>0</v>
      </c>
      <c r="I193" s="84">
        <f>IF(Reeksen!D193&lt;Reeksen!B193,(Reeksen!B193-Reeksen!D193)*F193,0)</f>
        <v>0</v>
      </c>
      <c r="J193" s="84">
        <f ca="1">('Invoer gegevens'!$F$20/12)*F192*MIN(Reeksen!B192,Reeksen!D192)</f>
        <v>0</v>
      </c>
      <c r="K193" s="97">
        <f t="shared" ca="1" si="24"/>
        <v>0</v>
      </c>
      <c r="L193" s="84">
        <f ca="1">IF('Invoer gegevens'!$C$17=E193,0,IF(C193=1,Q192,0))</f>
        <v>0</v>
      </c>
      <c r="M193" s="96">
        <f ca="1">IF(C193&gt;=1,L193*VLOOKUP(E193,Reeksen!$A$5:$B$76,2),0)</f>
        <v>0</v>
      </c>
      <c r="N193" s="84">
        <f ca="1">(1-('Invoer gegevens'!$F$20/12))*L193*MIN(Reeksen!B193,Reeksen!D193)</f>
        <v>0</v>
      </c>
      <c r="O193" s="84">
        <f>IF(Reeksen!D193&lt;Reeksen!B193,(Reeksen!B193-Reeksen!D193)*L193,0)</f>
        <v>0</v>
      </c>
      <c r="P193" s="84">
        <f ca="1">('Invoer gegevens'!$F$20/12)*L192*MIN(Reeksen!B192,Reeksen!D192)</f>
        <v>0</v>
      </c>
      <c r="Q193" s="84">
        <f t="shared" ca="1" si="25"/>
        <v>0</v>
      </c>
      <c r="R193" s="82">
        <f ca="1">IF('Invoer gegevens'!$C$17=E193,'Invoer gegevens'!$C$11,IF(C193=1,W192,0))</f>
        <v>0</v>
      </c>
      <c r="S193" s="86">
        <f ca="1">IF(C193&gt;=1,R193*VLOOKUP(E193,Reeksen!$A$5:$B$76,2),0)</f>
        <v>0</v>
      </c>
      <c r="T193" s="84">
        <f ca="1">(1-('Invoer gegevens'!$F$20/12))*R193*MIN(Reeksen!B193,Reeksen!D193)</f>
        <v>0</v>
      </c>
      <c r="U193" s="84">
        <f>IF(Reeksen!D193&gt;=Reeksen!B193,0,IF(Reeksen!AD193&lt;=Reeksen!AE193,(Reeksen!B193-Reeksen!D193)*R193,0))</f>
        <v>0</v>
      </c>
      <c r="V193" s="86">
        <f>IF(Reeksen!D193&gt;=Reeksen!B193,0,IF(Reeksen!AD193&gt;Reeksen!AE193,(Reeksen!B193-Reeksen!D193)*R193,0))</f>
        <v>0</v>
      </c>
      <c r="W193" s="97">
        <f t="shared" ca="1" si="26"/>
        <v>0</v>
      </c>
      <c r="X193" s="98">
        <f ca="1">IF('Invoer gegevens'!$C$17=E193,'Invoer gegevens'!$C$10-'Invoer gegevens'!$C$11,IF(C193=1,AC192,0))</f>
        <v>0</v>
      </c>
      <c r="Y193" s="98">
        <f ca="1">IF(C193&gt;=1,X193*VLOOKUP(E193,Reeksen!$A$5:$B$76,2),0)</f>
        <v>0</v>
      </c>
      <c r="Z193" s="98">
        <f ca="1">(1-('Invoer gegevens'!$F$20/12))*X193*MIN(Reeksen!B193,Reeksen!D193)</f>
        <v>0</v>
      </c>
      <c r="AA193" s="98">
        <f>IF(Reeksen!D193&gt;=Reeksen!B193,0,IF(Reeksen!AD193&lt;=Reeksen!AE193,(Reeksen!B193-Reeksen!D193)*X193,0))</f>
        <v>0</v>
      </c>
      <c r="AB193" s="98">
        <f>IF(Reeksen!D193&gt;=Reeksen!B193,0,IF(Reeksen!AD193&gt;Reeksen!AE193,(Reeksen!B193-Reeksen!D193)*X193,0))</f>
        <v>0</v>
      </c>
      <c r="AC193" s="99">
        <f t="shared" ca="1" si="27"/>
        <v>0</v>
      </c>
      <c r="AD193" s="98">
        <f ca="1">IF('Invoer gegevens'!$C$17=E193,R193,IF(C193=0,0,AE192))</f>
        <v>0</v>
      </c>
      <c r="AE193" s="98">
        <f t="shared" ca="1" si="28"/>
        <v>0</v>
      </c>
      <c r="AF193" s="98">
        <f ca="1">IF('Invoer gegevens'!$C$17=E193,X193,IF(C193=0,0,AG192))</f>
        <v>0</v>
      </c>
      <c r="AG193" s="98">
        <f t="shared" ca="1" si="29"/>
        <v>0</v>
      </c>
      <c r="AH193" s="66"/>
      <c r="AI193" s="71">
        <f ca="1">IF(C193=1,Reeksen!AI193*((F193-G193+F193)/2)*12+Reeksen!AD193*((L193-M193+L193)/2)*12,0)</f>
        <v>0</v>
      </c>
      <c r="AJ193" s="71">
        <f ca="1">-AI193*'Invoer gegevens'!$F$28</f>
        <v>0</v>
      </c>
      <c r="AK193" s="71">
        <f t="shared" ca="1" si="30"/>
        <v>0</v>
      </c>
      <c r="AL193" s="71">
        <f ca="1">IF(C193=1,Reeksen!AL193*((F193-G193+F193)/2)*12+Reeksen!AM193*((L193-M193+L193)/2)*12,0)</f>
        <v>0</v>
      </c>
      <c r="AM193" s="71">
        <f ca="1">-AL193*'Invoer gegevens'!$F$31</f>
        <v>0</v>
      </c>
      <c r="AN193" s="71">
        <f t="shared" ca="1" si="31"/>
        <v>0</v>
      </c>
      <c r="AO193" s="71">
        <f ca="1">IF(C193=1,(H193+J193+N193+P193)*Reeksen!AN193,0)</f>
        <v>0</v>
      </c>
      <c r="AP193" s="71">
        <f ca="1">-IF(C193=1,(H193+J193+N193+P193)*'Hulp - basis'!$G$550*Reeksen!H193,0)</f>
        <v>0</v>
      </c>
      <c r="AQ193" s="71">
        <f ca="1">-IF(C193=1,(F193+K193+L193+Q193)/2*'Invoer gegevens'!$F$35*Reeksen!J193,0)*2</f>
        <v>0</v>
      </c>
      <c r="AR193" s="71"/>
      <c r="AS193" s="71">
        <f ca="1">-IF(C193=1,(F193+K193+L193+Q193)/2*'Invoer gegevens'!$F$37*Reeksen!L193,0)</f>
        <v>0</v>
      </c>
      <c r="AT193" s="71">
        <f ca="1">-IF(C193=1,IF(E193='Invoer gegevens'!$C$17,'Invoer gegevens'!$C$11,AD193)*Reeksen!S193*'Invoer gegevens'!$C$18*Reeksen!P193,0)</f>
        <v>0</v>
      </c>
      <c r="AU193" s="71">
        <f ca="1">-IF(C193=1,(F193+K193+L193+Q193)/2*'Invoer gegevens'!$F$38*Reeksen!H193,0)</f>
        <v>0</v>
      </c>
      <c r="AV193" s="71">
        <f t="shared" si="35"/>
        <v>0</v>
      </c>
      <c r="AW193" s="71">
        <f t="shared" ca="1" si="32"/>
        <v>0</v>
      </c>
      <c r="AX193" s="71">
        <f ca="1">IF(E193&lt;'Invoer gegevens'!$C$17+15,0,IF(E193&gt;'Invoer gegevens'!$C$17+215,0,AW193))</f>
        <v>0</v>
      </c>
      <c r="AY193" s="71">
        <f ca="1">AX193/(1+'Invoer gegevens'!$F$18)^($AZ193-('Invoer gegevens'!$C$17-'Invoer gegevens'!$C$16))/(1+'Invoer gegevens'!$C$39)^('Invoer gegevens'!$C$17-'Invoer gegevens'!$C$16)</f>
        <v>0</v>
      </c>
      <c r="AZ193" s="68">
        <f ca="1">IF(E193-'Invoer gegevens'!$C$17-14.5&lt;0,0,E193-'Invoer gegevens'!$C$17-14.5)</f>
        <v>173.5</v>
      </c>
    </row>
    <row r="194" spans="1:52" x14ac:dyDescent="0.25">
      <c r="A194" s="59"/>
      <c r="B194" s="70">
        <f t="shared" si="33"/>
        <v>190</v>
      </c>
      <c r="C194" s="67">
        <f ca="1">IF(E194-'Invoer gegevens'!$C$17&lt;0,0,1)</f>
        <v>1</v>
      </c>
      <c r="D194" s="68">
        <f t="shared" si="34"/>
        <v>189.5</v>
      </c>
      <c r="E194" s="69">
        <f ca="1">IF('Invoer gegevens'!$C$16="","",E193+1)</f>
        <v>2208</v>
      </c>
      <c r="F194" s="84">
        <f ca="1">IF('Invoer gegevens'!$C$17=E194,'Invoer gegevens'!$C$10,IF(C194=1,K193,0))</f>
        <v>0</v>
      </c>
      <c r="G194" s="96">
        <f ca="1">IF(C194&gt;=1,F194*VLOOKUP(E194,Reeksen!$A$5:$B$76,2),0)</f>
        <v>0</v>
      </c>
      <c r="H194" s="84">
        <f ca="1">(1-('Invoer gegevens'!$F$20/12))*F194*MIN(Reeksen!B194,Reeksen!D194)</f>
        <v>0</v>
      </c>
      <c r="I194" s="84">
        <f>IF(Reeksen!D194&lt;Reeksen!B194,(Reeksen!B194-Reeksen!D194)*F194,0)</f>
        <v>0</v>
      </c>
      <c r="J194" s="84">
        <f ca="1">('Invoer gegevens'!$F$20/12)*F193*MIN(Reeksen!B193,Reeksen!D193)</f>
        <v>0</v>
      </c>
      <c r="K194" s="97">
        <f t="shared" ca="1" si="24"/>
        <v>0</v>
      </c>
      <c r="L194" s="84">
        <f ca="1">IF('Invoer gegevens'!$C$17=E194,0,IF(C194=1,Q193,0))</f>
        <v>0</v>
      </c>
      <c r="M194" s="96">
        <f ca="1">IF(C194&gt;=1,L194*VLOOKUP(E194,Reeksen!$A$5:$B$76,2),0)</f>
        <v>0</v>
      </c>
      <c r="N194" s="84">
        <f ca="1">(1-('Invoer gegevens'!$F$20/12))*L194*MIN(Reeksen!B194,Reeksen!D194)</f>
        <v>0</v>
      </c>
      <c r="O194" s="84">
        <f>IF(Reeksen!D194&lt;Reeksen!B194,(Reeksen!B194-Reeksen!D194)*L194,0)</f>
        <v>0</v>
      </c>
      <c r="P194" s="84">
        <f ca="1">('Invoer gegevens'!$F$20/12)*L193*MIN(Reeksen!B193,Reeksen!D193)</f>
        <v>0</v>
      </c>
      <c r="Q194" s="84">
        <f t="shared" ca="1" si="25"/>
        <v>0</v>
      </c>
      <c r="R194" s="82">
        <f ca="1">IF('Invoer gegevens'!$C$17=E194,'Invoer gegevens'!$C$11,IF(C194=1,W193,0))</f>
        <v>0</v>
      </c>
      <c r="S194" s="86">
        <f ca="1">IF(C194&gt;=1,R194*VLOOKUP(E194,Reeksen!$A$5:$B$76,2),0)</f>
        <v>0</v>
      </c>
      <c r="T194" s="84">
        <f ca="1">(1-('Invoer gegevens'!$F$20/12))*R194*MIN(Reeksen!B194,Reeksen!D194)</f>
        <v>0</v>
      </c>
      <c r="U194" s="84">
        <f>IF(Reeksen!D194&gt;=Reeksen!B194,0,IF(Reeksen!AD194&lt;=Reeksen!AE194,(Reeksen!B194-Reeksen!D194)*R194,0))</f>
        <v>0</v>
      </c>
      <c r="V194" s="86">
        <f>IF(Reeksen!D194&gt;=Reeksen!B194,0,IF(Reeksen!AD194&gt;Reeksen!AE194,(Reeksen!B194-Reeksen!D194)*R194,0))</f>
        <v>0</v>
      </c>
      <c r="W194" s="97">
        <f t="shared" ca="1" si="26"/>
        <v>0</v>
      </c>
      <c r="X194" s="98">
        <f ca="1">IF('Invoer gegevens'!$C$17=E194,'Invoer gegevens'!$C$10-'Invoer gegevens'!$C$11,IF(C194=1,AC193,0))</f>
        <v>0</v>
      </c>
      <c r="Y194" s="98">
        <f ca="1">IF(C194&gt;=1,X194*VLOOKUP(E194,Reeksen!$A$5:$B$76,2),0)</f>
        <v>0</v>
      </c>
      <c r="Z194" s="98">
        <f ca="1">(1-('Invoer gegevens'!$F$20/12))*X194*MIN(Reeksen!B194,Reeksen!D194)</f>
        <v>0</v>
      </c>
      <c r="AA194" s="98">
        <f>IF(Reeksen!D194&gt;=Reeksen!B194,0,IF(Reeksen!AD194&lt;=Reeksen!AE194,(Reeksen!B194-Reeksen!D194)*X194,0))</f>
        <v>0</v>
      </c>
      <c r="AB194" s="98">
        <f>IF(Reeksen!D194&gt;=Reeksen!B194,0,IF(Reeksen!AD194&gt;Reeksen!AE194,(Reeksen!B194-Reeksen!D194)*X194,0))</f>
        <v>0</v>
      </c>
      <c r="AC194" s="99">
        <f t="shared" ca="1" si="27"/>
        <v>0</v>
      </c>
      <c r="AD194" s="98">
        <f ca="1">IF('Invoer gegevens'!$C$17=E194,R194,IF(C194=0,0,AE193))</f>
        <v>0</v>
      </c>
      <c r="AE194" s="98">
        <f t="shared" ca="1" si="28"/>
        <v>0</v>
      </c>
      <c r="AF194" s="98">
        <f ca="1">IF('Invoer gegevens'!$C$17=E194,X194,IF(C194=0,0,AG193))</f>
        <v>0</v>
      </c>
      <c r="AG194" s="98">
        <f t="shared" ca="1" si="29"/>
        <v>0</v>
      </c>
      <c r="AH194" s="66"/>
      <c r="AI194" s="71">
        <f ca="1">IF(C194=1,Reeksen!AI194*((F194-G194+F194)/2)*12+Reeksen!AD194*((L194-M194+L194)/2)*12,0)</f>
        <v>0</v>
      </c>
      <c r="AJ194" s="71">
        <f ca="1">-AI194*'Invoer gegevens'!$F$28</f>
        <v>0</v>
      </c>
      <c r="AK194" s="71">
        <f t="shared" ca="1" si="30"/>
        <v>0</v>
      </c>
      <c r="AL194" s="71">
        <f ca="1">IF(C194=1,Reeksen!AL194*((F194-G194+F194)/2)*12+Reeksen!AM194*((L194-M194+L194)/2)*12,0)</f>
        <v>0</v>
      </c>
      <c r="AM194" s="71">
        <f ca="1">-AL194*'Invoer gegevens'!$F$31</f>
        <v>0</v>
      </c>
      <c r="AN194" s="71">
        <f t="shared" ca="1" si="31"/>
        <v>0</v>
      </c>
      <c r="AO194" s="71">
        <f ca="1">IF(C194=1,(H194+J194+N194+P194)*Reeksen!AN194,0)</f>
        <v>0</v>
      </c>
      <c r="AP194" s="71">
        <f ca="1">-IF(C194=1,(H194+J194+N194+P194)*'Hulp - basis'!$G$550*Reeksen!H194,0)</f>
        <v>0</v>
      </c>
      <c r="AQ194" s="71">
        <f ca="1">-IF(C194=1,(F194+K194+L194+Q194)/2*'Invoer gegevens'!$F$35*Reeksen!J194,0)*2</f>
        <v>0</v>
      </c>
      <c r="AR194" s="71"/>
      <c r="AS194" s="71">
        <f ca="1">-IF(C194=1,(F194+K194+L194+Q194)/2*'Invoer gegevens'!$F$37*Reeksen!L194,0)</f>
        <v>0</v>
      </c>
      <c r="AT194" s="71">
        <f ca="1">-IF(C194=1,IF(E194='Invoer gegevens'!$C$17,'Invoer gegevens'!$C$11,AD194)*Reeksen!S194*'Invoer gegevens'!$C$18*Reeksen!P194,0)</f>
        <v>0</v>
      </c>
      <c r="AU194" s="71">
        <f ca="1">-IF(C194=1,(F194+K194+L194+Q194)/2*'Invoer gegevens'!$F$38*Reeksen!H194,0)</f>
        <v>0</v>
      </c>
      <c r="AV194" s="71">
        <f t="shared" si="35"/>
        <v>0</v>
      </c>
      <c r="AW194" s="71">
        <f t="shared" ca="1" si="32"/>
        <v>0</v>
      </c>
      <c r="AX194" s="71">
        <f ca="1">IF(E194&lt;'Invoer gegevens'!$C$17+15,0,IF(E194&gt;'Invoer gegevens'!$C$17+215,0,AW194))</f>
        <v>0</v>
      </c>
      <c r="AY194" s="71">
        <f ca="1">AX194/(1+'Invoer gegevens'!$F$18)^($AZ194-('Invoer gegevens'!$C$17-'Invoer gegevens'!$C$16))/(1+'Invoer gegevens'!$C$39)^('Invoer gegevens'!$C$17-'Invoer gegevens'!$C$16)</f>
        <v>0</v>
      </c>
      <c r="AZ194" s="68">
        <f ca="1">IF(E194-'Invoer gegevens'!$C$17-14.5&lt;0,0,E194-'Invoer gegevens'!$C$17-14.5)</f>
        <v>174.5</v>
      </c>
    </row>
    <row r="195" spans="1:52" x14ac:dyDescent="0.25">
      <c r="A195" s="59"/>
      <c r="B195" s="70">
        <f t="shared" si="33"/>
        <v>191</v>
      </c>
      <c r="C195" s="67">
        <f ca="1">IF(E195-'Invoer gegevens'!$C$17&lt;0,0,1)</f>
        <v>1</v>
      </c>
      <c r="D195" s="68">
        <f t="shared" si="34"/>
        <v>190.5</v>
      </c>
      <c r="E195" s="69">
        <f ca="1">IF('Invoer gegevens'!$C$16="","",E194+1)</f>
        <v>2209</v>
      </c>
      <c r="F195" s="84">
        <f ca="1">IF('Invoer gegevens'!$C$17=E195,'Invoer gegevens'!$C$10,IF(C195=1,K194,0))</f>
        <v>0</v>
      </c>
      <c r="G195" s="96">
        <f ca="1">IF(C195&gt;=1,F195*VLOOKUP(E195,Reeksen!$A$5:$B$76,2),0)</f>
        <v>0</v>
      </c>
      <c r="H195" s="84">
        <f ca="1">(1-('Invoer gegevens'!$F$20/12))*F195*MIN(Reeksen!B195,Reeksen!D195)</f>
        <v>0</v>
      </c>
      <c r="I195" s="84">
        <f>IF(Reeksen!D195&lt;Reeksen!B195,(Reeksen!B195-Reeksen!D195)*F195,0)</f>
        <v>0</v>
      </c>
      <c r="J195" s="84">
        <f ca="1">('Invoer gegevens'!$F$20/12)*F194*MIN(Reeksen!B194,Reeksen!D194)</f>
        <v>0</v>
      </c>
      <c r="K195" s="97">
        <f t="shared" ca="1" si="24"/>
        <v>0</v>
      </c>
      <c r="L195" s="84">
        <f ca="1">IF('Invoer gegevens'!$C$17=E195,0,IF(C195=1,Q194,0))</f>
        <v>0</v>
      </c>
      <c r="M195" s="96">
        <f ca="1">IF(C195&gt;=1,L195*VLOOKUP(E195,Reeksen!$A$5:$B$76,2),0)</f>
        <v>0</v>
      </c>
      <c r="N195" s="84">
        <f ca="1">(1-('Invoer gegevens'!$F$20/12))*L195*MIN(Reeksen!B195,Reeksen!D195)</f>
        <v>0</v>
      </c>
      <c r="O195" s="84">
        <f>IF(Reeksen!D195&lt;Reeksen!B195,(Reeksen!B195-Reeksen!D195)*L195,0)</f>
        <v>0</v>
      </c>
      <c r="P195" s="84">
        <f ca="1">('Invoer gegevens'!$F$20/12)*L194*MIN(Reeksen!B194,Reeksen!D194)</f>
        <v>0</v>
      </c>
      <c r="Q195" s="84">
        <f t="shared" ca="1" si="25"/>
        <v>0</v>
      </c>
      <c r="R195" s="82">
        <f ca="1">IF('Invoer gegevens'!$C$17=E195,'Invoer gegevens'!$C$11,IF(C195=1,W194,0))</f>
        <v>0</v>
      </c>
      <c r="S195" s="86">
        <f ca="1">IF(C195&gt;=1,R195*VLOOKUP(E195,Reeksen!$A$5:$B$76,2),0)</f>
        <v>0</v>
      </c>
      <c r="T195" s="84">
        <f ca="1">(1-('Invoer gegevens'!$F$20/12))*R195*MIN(Reeksen!B195,Reeksen!D195)</f>
        <v>0</v>
      </c>
      <c r="U195" s="84">
        <f>IF(Reeksen!D195&gt;=Reeksen!B195,0,IF(Reeksen!AD195&lt;=Reeksen!AE195,(Reeksen!B195-Reeksen!D195)*R195,0))</f>
        <v>0</v>
      </c>
      <c r="V195" s="86">
        <f>IF(Reeksen!D195&gt;=Reeksen!B195,0,IF(Reeksen!AD195&gt;Reeksen!AE195,(Reeksen!B195-Reeksen!D195)*R195,0))</f>
        <v>0</v>
      </c>
      <c r="W195" s="97">
        <f t="shared" ca="1" si="26"/>
        <v>0</v>
      </c>
      <c r="X195" s="98">
        <f ca="1">IF('Invoer gegevens'!$C$17=E195,'Invoer gegevens'!$C$10-'Invoer gegevens'!$C$11,IF(C195=1,AC194,0))</f>
        <v>0</v>
      </c>
      <c r="Y195" s="98">
        <f ca="1">IF(C195&gt;=1,X195*VLOOKUP(E195,Reeksen!$A$5:$B$76,2),0)</f>
        <v>0</v>
      </c>
      <c r="Z195" s="98">
        <f ca="1">(1-('Invoer gegevens'!$F$20/12))*X195*MIN(Reeksen!B195,Reeksen!D195)</f>
        <v>0</v>
      </c>
      <c r="AA195" s="98">
        <f>IF(Reeksen!D195&gt;=Reeksen!B195,0,IF(Reeksen!AD195&lt;=Reeksen!AE195,(Reeksen!B195-Reeksen!D195)*X195,0))</f>
        <v>0</v>
      </c>
      <c r="AB195" s="98">
        <f>IF(Reeksen!D195&gt;=Reeksen!B195,0,IF(Reeksen!AD195&gt;Reeksen!AE195,(Reeksen!B195-Reeksen!D195)*X195,0))</f>
        <v>0</v>
      </c>
      <c r="AC195" s="99">
        <f t="shared" ca="1" si="27"/>
        <v>0</v>
      </c>
      <c r="AD195" s="98">
        <f ca="1">IF('Invoer gegevens'!$C$17=E195,R195,IF(C195=0,0,AE194))</f>
        <v>0</v>
      </c>
      <c r="AE195" s="98">
        <f t="shared" ca="1" si="28"/>
        <v>0</v>
      </c>
      <c r="AF195" s="98">
        <f ca="1">IF('Invoer gegevens'!$C$17=E195,X195,IF(C195=0,0,AG194))</f>
        <v>0</v>
      </c>
      <c r="AG195" s="98">
        <f t="shared" ca="1" si="29"/>
        <v>0</v>
      </c>
      <c r="AH195" s="66"/>
      <c r="AI195" s="71">
        <f ca="1">IF(C195=1,Reeksen!AI195*((F195-G195+F195)/2)*12+Reeksen!AD195*((L195-M195+L195)/2)*12,0)</f>
        <v>0</v>
      </c>
      <c r="AJ195" s="71">
        <f ca="1">-AI195*'Invoer gegevens'!$F$28</f>
        <v>0</v>
      </c>
      <c r="AK195" s="71">
        <f t="shared" ca="1" si="30"/>
        <v>0</v>
      </c>
      <c r="AL195" s="71">
        <f ca="1">IF(C195=1,Reeksen!AL195*((F195-G195+F195)/2)*12+Reeksen!AM195*((L195-M195+L195)/2)*12,0)</f>
        <v>0</v>
      </c>
      <c r="AM195" s="71">
        <f ca="1">-AL195*'Invoer gegevens'!$F$31</f>
        <v>0</v>
      </c>
      <c r="AN195" s="71">
        <f t="shared" ca="1" si="31"/>
        <v>0</v>
      </c>
      <c r="AO195" s="71">
        <f ca="1">IF(C195=1,(H195+J195+N195+P195)*Reeksen!AN195,0)</f>
        <v>0</v>
      </c>
      <c r="AP195" s="71">
        <f ca="1">-IF(C195=1,(H195+J195+N195+P195)*'Hulp - basis'!$G$550*Reeksen!H195,0)</f>
        <v>0</v>
      </c>
      <c r="AQ195" s="71">
        <f ca="1">-IF(C195=1,(F195+K195+L195+Q195)/2*'Invoer gegevens'!$F$35*Reeksen!J195,0)*2</f>
        <v>0</v>
      </c>
      <c r="AR195" s="71"/>
      <c r="AS195" s="71">
        <f ca="1">-IF(C195=1,(F195+K195+L195+Q195)/2*'Invoer gegevens'!$F$37*Reeksen!L195,0)</f>
        <v>0</v>
      </c>
      <c r="AT195" s="71">
        <f ca="1">-IF(C195=1,IF(E195='Invoer gegevens'!$C$17,'Invoer gegevens'!$C$11,AD195)*Reeksen!S195*'Invoer gegevens'!$C$18*Reeksen!P195,0)</f>
        <v>0</v>
      </c>
      <c r="AU195" s="71">
        <f ca="1">-IF(C195=1,(F195+K195+L195+Q195)/2*'Invoer gegevens'!$F$38*Reeksen!H195,0)</f>
        <v>0</v>
      </c>
      <c r="AV195" s="71">
        <f t="shared" si="35"/>
        <v>0</v>
      </c>
      <c r="AW195" s="71">
        <f t="shared" ca="1" si="32"/>
        <v>0</v>
      </c>
      <c r="AX195" s="71">
        <f ca="1">IF(E195&lt;'Invoer gegevens'!$C$17+15,0,IF(E195&gt;'Invoer gegevens'!$C$17+215,0,AW195))</f>
        <v>0</v>
      </c>
      <c r="AY195" s="71">
        <f ca="1">AX195/(1+'Invoer gegevens'!$F$18)^($AZ195-('Invoer gegevens'!$C$17-'Invoer gegevens'!$C$16))/(1+'Invoer gegevens'!$C$39)^('Invoer gegevens'!$C$17-'Invoer gegevens'!$C$16)</f>
        <v>0</v>
      </c>
      <c r="AZ195" s="68">
        <f ca="1">IF(E195-'Invoer gegevens'!$C$17-14.5&lt;0,0,E195-'Invoer gegevens'!$C$17-14.5)</f>
        <v>175.5</v>
      </c>
    </row>
    <row r="196" spans="1:52" x14ac:dyDescent="0.25">
      <c r="A196" s="59"/>
      <c r="B196" s="70">
        <f t="shared" si="33"/>
        <v>192</v>
      </c>
      <c r="C196" s="67">
        <f ca="1">IF(E196-'Invoer gegevens'!$C$17&lt;0,0,1)</f>
        <v>1</v>
      </c>
      <c r="D196" s="68">
        <f t="shared" si="34"/>
        <v>191.5</v>
      </c>
      <c r="E196" s="69">
        <f ca="1">IF('Invoer gegevens'!$C$16="","",E195+1)</f>
        <v>2210</v>
      </c>
      <c r="F196" s="84">
        <f ca="1">IF('Invoer gegevens'!$C$17=E196,'Invoer gegevens'!$C$10,IF(C196=1,K195,0))</f>
        <v>0</v>
      </c>
      <c r="G196" s="96">
        <f ca="1">IF(C196&gt;=1,F196*VLOOKUP(E196,Reeksen!$A$5:$B$76,2),0)</f>
        <v>0</v>
      </c>
      <c r="H196" s="84">
        <f ca="1">(1-('Invoer gegevens'!$F$20/12))*F196*MIN(Reeksen!B196,Reeksen!D196)</f>
        <v>0</v>
      </c>
      <c r="I196" s="84">
        <f>IF(Reeksen!D196&lt;Reeksen!B196,(Reeksen!B196-Reeksen!D196)*F196,0)</f>
        <v>0</v>
      </c>
      <c r="J196" s="84">
        <f ca="1">('Invoer gegevens'!$F$20/12)*F195*MIN(Reeksen!B195,Reeksen!D195)</f>
        <v>0</v>
      </c>
      <c r="K196" s="97">
        <f t="shared" ca="1" si="24"/>
        <v>0</v>
      </c>
      <c r="L196" s="84">
        <f ca="1">IF('Invoer gegevens'!$C$17=E196,0,IF(C196=1,Q195,0))</f>
        <v>0</v>
      </c>
      <c r="M196" s="96">
        <f ca="1">IF(C196&gt;=1,L196*VLOOKUP(E196,Reeksen!$A$5:$B$76,2),0)</f>
        <v>0</v>
      </c>
      <c r="N196" s="84">
        <f ca="1">(1-('Invoer gegevens'!$F$20/12))*L196*MIN(Reeksen!B196,Reeksen!D196)</f>
        <v>0</v>
      </c>
      <c r="O196" s="84">
        <f>IF(Reeksen!D196&lt;Reeksen!B196,(Reeksen!B196-Reeksen!D196)*L196,0)</f>
        <v>0</v>
      </c>
      <c r="P196" s="84">
        <f ca="1">('Invoer gegevens'!$F$20/12)*L195*MIN(Reeksen!B195,Reeksen!D195)</f>
        <v>0</v>
      </c>
      <c r="Q196" s="84">
        <f t="shared" ca="1" si="25"/>
        <v>0</v>
      </c>
      <c r="R196" s="82">
        <f ca="1">IF('Invoer gegevens'!$C$17=E196,'Invoer gegevens'!$C$11,IF(C196=1,W195,0))</f>
        <v>0</v>
      </c>
      <c r="S196" s="86">
        <f ca="1">IF(C196&gt;=1,R196*VLOOKUP(E196,Reeksen!$A$5:$B$76,2),0)</f>
        <v>0</v>
      </c>
      <c r="T196" s="84">
        <f ca="1">(1-('Invoer gegevens'!$F$20/12))*R196*MIN(Reeksen!B196,Reeksen!D196)</f>
        <v>0</v>
      </c>
      <c r="U196" s="84">
        <f>IF(Reeksen!D196&gt;=Reeksen!B196,0,IF(Reeksen!AD196&lt;=Reeksen!AE196,(Reeksen!B196-Reeksen!D196)*R196,0))</f>
        <v>0</v>
      </c>
      <c r="V196" s="86">
        <f>IF(Reeksen!D196&gt;=Reeksen!B196,0,IF(Reeksen!AD196&gt;Reeksen!AE196,(Reeksen!B196-Reeksen!D196)*R196,0))</f>
        <v>0</v>
      </c>
      <c r="W196" s="97">
        <f t="shared" ca="1" si="26"/>
        <v>0</v>
      </c>
      <c r="X196" s="98">
        <f ca="1">IF('Invoer gegevens'!$C$17=E196,'Invoer gegevens'!$C$10-'Invoer gegevens'!$C$11,IF(C196=1,AC195,0))</f>
        <v>0</v>
      </c>
      <c r="Y196" s="98">
        <f ca="1">IF(C196&gt;=1,X196*VLOOKUP(E196,Reeksen!$A$5:$B$76,2),0)</f>
        <v>0</v>
      </c>
      <c r="Z196" s="98">
        <f ca="1">(1-('Invoer gegevens'!$F$20/12))*X196*MIN(Reeksen!B196,Reeksen!D196)</f>
        <v>0</v>
      </c>
      <c r="AA196" s="98">
        <f>IF(Reeksen!D196&gt;=Reeksen!B196,0,IF(Reeksen!AD196&lt;=Reeksen!AE196,(Reeksen!B196-Reeksen!D196)*X196,0))</f>
        <v>0</v>
      </c>
      <c r="AB196" s="98">
        <f>IF(Reeksen!D196&gt;=Reeksen!B196,0,IF(Reeksen!AD196&gt;Reeksen!AE196,(Reeksen!B196-Reeksen!D196)*X196,0))</f>
        <v>0</v>
      </c>
      <c r="AC196" s="99">
        <f t="shared" ca="1" si="27"/>
        <v>0</v>
      </c>
      <c r="AD196" s="98">
        <f ca="1">IF('Invoer gegevens'!$C$17=E196,R196,IF(C196=0,0,AE195))</f>
        <v>0</v>
      </c>
      <c r="AE196" s="98">
        <f t="shared" ca="1" si="28"/>
        <v>0</v>
      </c>
      <c r="AF196" s="98">
        <f ca="1">IF('Invoer gegevens'!$C$17=E196,X196,IF(C196=0,0,AG195))</f>
        <v>0</v>
      </c>
      <c r="AG196" s="98">
        <f t="shared" ca="1" si="29"/>
        <v>0</v>
      </c>
      <c r="AH196" s="66"/>
      <c r="AI196" s="71">
        <f ca="1">IF(C196=1,Reeksen!AI196*((F196-G196+F196)/2)*12+Reeksen!AD196*((L196-M196+L196)/2)*12,0)</f>
        <v>0</v>
      </c>
      <c r="AJ196" s="71">
        <f ca="1">-AI196*'Invoer gegevens'!$F$28</f>
        <v>0</v>
      </c>
      <c r="AK196" s="71">
        <f t="shared" ca="1" si="30"/>
        <v>0</v>
      </c>
      <c r="AL196" s="71">
        <f ca="1">IF(C196=1,Reeksen!AL196*((F196-G196+F196)/2)*12+Reeksen!AM196*((L196-M196+L196)/2)*12,0)</f>
        <v>0</v>
      </c>
      <c r="AM196" s="71">
        <f ca="1">-AL196*'Invoer gegevens'!$F$31</f>
        <v>0</v>
      </c>
      <c r="AN196" s="71">
        <f t="shared" ca="1" si="31"/>
        <v>0</v>
      </c>
      <c r="AO196" s="71">
        <f ca="1">IF(C196=1,(H196+J196+N196+P196)*Reeksen!AN196,0)</f>
        <v>0</v>
      </c>
      <c r="AP196" s="71">
        <f ca="1">-IF(C196=1,(H196+J196+N196+P196)*'Hulp - basis'!$G$550*Reeksen!H196,0)</f>
        <v>0</v>
      </c>
      <c r="AQ196" s="71">
        <f ca="1">-IF(C196=1,(F196+K196+L196+Q196)/2*'Invoer gegevens'!$F$35*Reeksen!J196,0)*2</f>
        <v>0</v>
      </c>
      <c r="AR196" s="71"/>
      <c r="AS196" s="71">
        <f ca="1">-IF(C196=1,(F196+K196+L196+Q196)/2*'Invoer gegevens'!$F$37*Reeksen!L196,0)</f>
        <v>0</v>
      </c>
      <c r="AT196" s="71">
        <f ca="1">-IF(C196=1,IF(E196='Invoer gegevens'!$C$17,'Invoer gegevens'!$C$11,AD196)*Reeksen!S196*'Invoer gegevens'!$C$18*Reeksen!P196,0)</f>
        <v>0</v>
      </c>
      <c r="AU196" s="71">
        <f ca="1">-IF(C196=1,(F196+K196+L196+Q196)/2*'Invoer gegevens'!$F$38*Reeksen!H196,0)</f>
        <v>0</v>
      </c>
      <c r="AV196" s="71">
        <f t="shared" si="35"/>
        <v>0</v>
      </c>
      <c r="AW196" s="71">
        <f t="shared" ca="1" si="32"/>
        <v>0</v>
      </c>
      <c r="AX196" s="71">
        <f ca="1">IF(E196&lt;'Invoer gegevens'!$C$17+15,0,IF(E196&gt;'Invoer gegevens'!$C$17+215,0,AW196))</f>
        <v>0</v>
      </c>
      <c r="AY196" s="71">
        <f ca="1">AX196/(1+'Invoer gegevens'!$F$18)^($AZ196-('Invoer gegevens'!$C$17-'Invoer gegevens'!$C$16))/(1+'Invoer gegevens'!$C$39)^('Invoer gegevens'!$C$17-'Invoer gegevens'!$C$16)</f>
        <v>0</v>
      </c>
      <c r="AZ196" s="68">
        <f ca="1">IF(E196-'Invoer gegevens'!$C$17-14.5&lt;0,0,E196-'Invoer gegevens'!$C$17-14.5)</f>
        <v>176.5</v>
      </c>
    </row>
    <row r="197" spans="1:52" x14ac:dyDescent="0.25">
      <c r="A197" s="59"/>
      <c r="B197" s="70">
        <f t="shared" si="33"/>
        <v>193</v>
      </c>
      <c r="C197" s="67">
        <f ca="1">IF(E197-'Invoer gegevens'!$C$17&lt;0,0,1)</f>
        <v>1</v>
      </c>
      <c r="D197" s="68">
        <f t="shared" si="34"/>
        <v>192.5</v>
      </c>
      <c r="E197" s="69">
        <f ca="1">IF('Invoer gegevens'!$C$16="","",E196+1)</f>
        <v>2211</v>
      </c>
      <c r="F197" s="84">
        <f ca="1">IF('Invoer gegevens'!$C$17=E197,'Invoer gegevens'!$C$10,IF(C197=1,K196,0))</f>
        <v>0</v>
      </c>
      <c r="G197" s="96">
        <f ca="1">IF(C197&gt;=1,F197*VLOOKUP(E197,Reeksen!$A$5:$B$76,2),0)</f>
        <v>0</v>
      </c>
      <c r="H197" s="84">
        <f ca="1">(1-('Invoer gegevens'!$F$20/12))*F197*MIN(Reeksen!B197,Reeksen!D197)</f>
        <v>0</v>
      </c>
      <c r="I197" s="84">
        <f>IF(Reeksen!D197&lt;Reeksen!B197,(Reeksen!B197-Reeksen!D197)*F197,0)</f>
        <v>0</v>
      </c>
      <c r="J197" s="84">
        <f ca="1">('Invoer gegevens'!$F$20/12)*F196*MIN(Reeksen!B196,Reeksen!D196)</f>
        <v>0</v>
      </c>
      <c r="K197" s="97">
        <f t="shared" ca="1" si="24"/>
        <v>0</v>
      </c>
      <c r="L197" s="84">
        <f ca="1">IF('Invoer gegevens'!$C$17=E197,0,IF(C197=1,Q196,0))</f>
        <v>0</v>
      </c>
      <c r="M197" s="96">
        <f ca="1">IF(C197&gt;=1,L197*VLOOKUP(E197,Reeksen!$A$5:$B$76,2),0)</f>
        <v>0</v>
      </c>
      <c r="N197" s="84">
        <f ca="1">(1-('Invoer gegevens'!$F$20/12))*L197*MIN(Reeksen!B197,Reeksen!D197)</f>
        <v>0</v>
      </c>
      <c r="O197" s="84">
        <f>IF(Reeksen!D197&lt;Reeksen!B197,(Reeksen!B197-Reeksen!D197)*L197,0)</f>
        <v>0</v>
      </c>
      <c r="P197" s="84">
        <f ca="1">('Invoer gegevens'!$F$20/12)*L196*MIN(Reeksen!B196,Reeksen!D196)</f>
        <v>0</v>
      </c>
      <c r="Q197" s="84">
        <f t="shared" ca="1" si="25"/>
        <v>0</v>
      </c>
      <c r="R197" s="82">
        <f ca="1">IF('Invoer gegevens'!$C$17=E197,'Invoer gegevens'!$C$11,IF(C197=1,W196,0))</f>
        <v>0</v>
      </c>
      <c r="S197" s="86">
        <f ca="1">IF(C197&gt;=1,R197*VLOOKUP(E197,Reeksen!$A$5:$B$76,2),0)</f>
        <v>0</v>
      </c>
      <c r="T197" s="84">
        <f ca="1">(1-('Invoer gegevens'!$F$20/12))*R197*MIN(Reeksen!B197,Reeksen!D197)</f>
        <v>0</v>
      </c>
      <c r="U197" s="84">
        <f>IF(Reeksen!D197&gt;=Reeksen!B197,0,IF(Reeksen!AD197&lt;=Reeksen!AE197,(Reeksen!B197-Reeksen!D197)*R197,0))</f>
        <v>0</v>
      </c>
      <c r="V197" s="86">
        <f>IF(Reeksen!D197&gt;=Reeksen!B197,0,IF(Reeksen!AD197&gt;Reeksen!AE197,(Reeksen!B197-Reeksen!D197)*R197,0))</f>
        <v>0</v>
      </c>
      <c r="W197" s="97">
        <f t="shared" ca="1" si="26"/>
        <v>0</v>
      </c>
      <c r="X197" s="98">
        <f ca="1">IF('Invoer gegevens'!$C$17=E197,'Invoer gegevens'!$C$10-'Invoer gegevens'!$C$11,IF(C197=1,AC196,0))</f>
        <v>0</v>
      </c>
      <c r="Y197" s="98">
        <f ca="1">IF(C197&gt;=1,X197*VLOOKUP(E197,Reeksen!$A$5:$B$76,2),0)</f>
        <v>0</v>
      </c>
      <c r="Z197" s="98">
        <f ca="1">(1-('Invoer gegevens'!$F$20/12))*X197*MIN(Reeksen!B197,Reeksen!D197)</f>
        <v>0</v>
      </c>
      <c r="AA197" s="98">
        <f>IF(Reeksen!D197&gt;=Reeksen!B197,0,IF(Reeksen!AD197&lt;=Reeksen!AE197,(Reeksen!B197-Reeksen!D197)*X197,0))</f>
        <v>0</v>
      </c>
      <c r="AB197" s="98">
        <f>IF(Reeksen!D197&gt;=Reeksen!B197,0,IF(Reeksen!AD197&gt;Reeksen!AE197,(Reeksen!B197-Reeksen!D197)*X197,0))</f>
        <v>0</v>
      </c>
      <c r="AC197" s="99">
        <f t="shared" ca="1" si="27"/>
        <v>0</v>
      </c>
      <c r="AD197" s="98">
        <f ca="1">IF('Invoer gegevens'!$C$17=E197,R197,IF(C197=0,0,AE196))</f>
        <v>0</v>
      </c>
      <c r="AE197" s="98">
        <f t="shared" ca="1" si="28"/>
        <v>0</v>
      </c>
      <c r="AF197" s="98">
        <f ca="1">IF('Invoer gegevens'!$C$17=E197,X197,IF(C197=0,0,AG196))</f>
        <v>0</v>
      </c>
      <c r="AG197" s="98">
        <f t="shared" ca="1" si="29"/>
        <v>0</v>
      </c>
      <c r="AH197" s="66"/>
      <c r="AI197" s="71">
        <f ca="1">IF(C197=1,Reeksen!AI197*((F197-G197+F197)/2)*12+Reeksen!AD197*((L197-M197+L197)/2)*12,0)</f>
        <v>0</v>
      </c>
      <c r="AJ197" s="71">
        <f ca="1">-AI197*'Invoer gegevens'!$F$28</f>
        <v>0</v>
      </c>
      <c r="AK197" s="71">
        <f t="shared" ca="1" si="30"/>
        <v>0</v>
      </c>
      <c r="AL197" s="71">
        <f ca="1">IF(C197=1,Reeksen!AL197*((F197-G197+F197)/2)*12+Reeksen!AM197*((L197-M197+L197)/2)*12,0)</f>
        <v>0</v>
      </c>
      <c r="AM197" s="71">
        <f ca="1">-AL197*'Invoer gegevens'!$F$31</f>
        <v>0</v>
      </c>
      <c r="AN197" s="71">
        <f t="shared" ca="1" si="31"/>
        <v>0</v>
      </c>
      <c r="AO197" s="71">
        <f ca="1">IF(C197=1,(H197+J197+N197+P197)*Reeksen!AN197,0)</f>
        <v>0</v>
      </c>
      <c r="AP197" s="71">
        <f ca="1">-IF(C197=1,(H197+J197+N197+P197)*'Hulp - basis'!$G$550*Reeksen!H197,0)</f>
        <v>0</v>
      </c>
      <c r="AQ197" s="71">
        <f ca="1">-IF(C197=1,(F197+K197+L197+Q197)/2*'Invoer gegevens'!$F$35*Reeksen!J197,0)*2</f>
        <v>0</v>
      </c>
      <c r="AR197" s="71"/>
      <c r="AS197" s="71">
        <f ca="1">-IF(C197=1,(F197+K197+L197+Q197)/2*'Invoer gegevens'!$F$37*Reeksen!L197,0)</f>
        <v>0</v>
      </c>
      <c r="AT197" s="71">
        <f ca="1">-IF(C197=1,IF(E197='Invoer gegevens'!$C$17,'Invoer gegevens'!$C$11,AD197)*Reeksen!S197*'Invoer gegevens'!$C$18*Reeksen!P197,0)</f>
        <v>0</v>
      </c>
      <c r="AU197" s="71">
        <f ca="1">-IF(C197=1,(F197+K197+L197+Q197)/2*'Invoer gegevens'!$F$38*Reeksen!H197,0)</f>
        <v>0</v>
      </c>
      <c r="AV197" s="71">
        <f t="shared" si="35"/>
        <v>0</v>
      </c>
      <c r="AW197" s="71">
        <f t="shared" ca="1" si="32"/>
        <v>0</v>
      </c>
      <c r="AX197" s="71">
        <f ca="1">IF(E197&lt;'Invoer gegevens'!$C$17+15,0,IF(E197&gt;'Invoer gegevens'!$C$17+215,0,AW197))</f>
        <v>0</v>
      </c>
      <c r="AY197" s="71">
        <f ca="1">AX197/(1+'Invoer gegevens'!$F$18)^($AZ197-('Invoer gegevens'!$C$17-'Invoer gegevens'!$C$16))/(1+'Invoer gegevens'!$C$39)^('Invoer gegevens'!$C$17-'Invoer gegevens'!$C$16)</f>
        <v>0</v>
      </c>
      <c r="AZ197" s="68">
        <f ca="1">IF(E197-'Invoer gegevens'!$C$17-14.5&lt;0,0,E197-'Invoer gegevens'!$C$17-14.5)</f>
        <v>177.5</v>
      </c>
    </row>
    <row r="198" spans="1:52" x14ac:dyDescent="0.25">
      <c r="A198" s="59"/>
      <c r="B198" s="70">
        <f t="shared" si="33"/>
        <v>194</v>
      </c>
      <c r="C198" s="67">
        <f ca="1">IF(E198-'Invoer gegevens'!$C$17&lt;0,0,1)</f>
        <v>1</v>
      </c>
      <c r="D198" s="68">
        <f t="shared" si="34"/>
        <v>193.5</v>
      </c>
      <c r="E198" s="69">
        <f ca="1">IF('Invoer gegevens'!$C$16="","",E197+1)</f>
        <v>2212</v>
      </c>
      <c r="F198" s="84">
        <f ca="1">IF('Invoer gegevens'!$C$17=E198,'Invoer gegevens'!$C$10,IF(C198=1,K197,0))</f>
        <v>0</v>
      </c>
      <c r="G198" s="96">
        <f ca="1">IF(C198&gt;=1,F198*VLOOKUP(E198,Reeksen!$A$5:$B$76,2),0)</f>
        <v>0</v>
      </c>
      <c r="H198" s="84">
        <f ca="1">(1-('Invoer gegevens'!$F$20/12))*F198*MIN(Reeksen!B198,Reeksen!D198)</f>
        <v>0</v>
      </c>
      <c r="I198" s="84">
        <f>IF(Reeksen!D198&lt;Reeksen!B198,(Reeksen!B198-Reeksen!D198)*F198,0)</f>
        <v>0</v>
      </c>
      <c r="J198" s="84">
        <f ca="1">('Invoer gegevens'!$F$20/12)*F197*MIN(Reeksen!B197,Reeksen!D197)</f>
        <v>0</v>
      </c>
      <c r="K198" s="97">
        <f t="shared" ref="K198:K234" ca="1" si="36">F198-G198</f>
        <v>0</v>
      </c>
      <c r="L198" s="84">
        <f ca="1">IF('Invoer gegevens'!$C$17=E198,0,IF(C198=1,Q197,0))</f>
        <v>0</v>
      </c>
      <c r="M198" s="96">
        <f ca="1">IF(C198&gt;=1,L198*VLOOKUP(E198,Reeksen!$A$5:$B$76,2),0)</f>
        <v>0</v>
      </c>
      <c r="N198" s="84">
        <f ca="1">(1-('Invoer gegevens'!$F$20/12))*L198*MIN(Reeksen!B198,Reeksen!D198)</f>
        <v>0</v>
      </c>
      <c r="O198" s="84">
        <f>IF(Reeksen!D198&lt;Reeksen!B198,(Reeksen!B198-Reeksen!D198)*L198,0)</f>
        <v>0</v>
      </c>
      <c r="P198" s="84">
        <f ca="1">('Invoer gegevens'!$F$20/12)*L197*MIN(Reeksen!B197,Reeksen!D197)</f>
        <v>0</v>
      </c>
      <c r="Q198" s="84">
        <f t="shared" ref="Q198:Q234" ca="1" si="37">L198-M198+I198+O198</f>
        <v>0</v>
      </c>
      <c r="R198" s="82">
        <f ca="1">IF('Invoer gegevens'!$C$17=E198,'Invoer gegevens'!$C$11,IF(C198=1,W197,0))</f>
        <v>0</v>
      </c>
      <c r="S198" s="86">
        <f ca="1">IF(C198&gt;=1,R198*VLOOKUP(E198,Reeksen!$A$5:$B$76,2),0)</f>
        <v>0</v>
      </c>
      <c r="T198" s="84">
        <f ca="1">(1-('Invoer gegevens'!$F$20/12))*R198*MIN(Reeksen!B198,Reeksen!D198)</f>
        <v>0</v>
      </c>
      <c r="U198" s="84">
        <f>IF(Reeksen!D198&gt;=Reeksen!B198,0,IF(Reeksen!AD198&lt;=Reeksen!AE198,(Reeksen!B198-Reeksen!D198)*R198,0))</f>
        <v>0</v>
      </c>
      <c r="V198" s="86">
        <f>IF(Reeksen!D198&gt;=Reeksen!B198,0,IF(Reeksen!AD198&gt;Reeksen!AE198,(Reeksen!B198-Reeksen!D198)*R198,0))</f>
        <v>0</v>
      </c>
      <c r="W198" s="97">
        <f t="shared" ref="W198:W234" ca="1" si="38">R198-S198</f>
        <v>0</v>
      </c>
      <c r="X198" s="98">
        <f ca="1">IF('Invoer gegevens'!$C$17=E198,'Invoer gegevens'!$C$10-'Invoer gegevens'!$C$11,IF(C198=1,AC197,0))</f>
        <v>0</v>
      </c>
      <c r="Y198" s="98">
        <f ca="1">IF(C198&gt;=1,X198*VLOOKUP(E198,Reeksen!$A$5:$B$76,2),0)</f>
        <v>0</v>
      </c>
      <c r="Z198" s="98">
        <f ca="1">(1-('Invoer gegevens'!$F$20/12))*X198*MIN(Reeksen!B198,Reeksen!D198)</f>
        <v>0</v>
      </c>
      <c r="AA198" s="98">
        <f>IF(Reeksen!D198&gt;=Reeksen!B198,0,IF(Reeksen!AD198&lt;=Reeksen!AE198,(Reeksen!B198-Reeksen!D198)*X198,0))</f>
        <v>0</v>
      </c>
      <c r="AB198" s="98">
        <f>IF(Reeksen!D198&gt;=Reeksen!B198,0,IF(Reeksen!AD198&gt;Reeksen!AE198,(Reeksen!B198-Reeksen!D198)*X198,0))</f>
        <v>0</v>
      </c>
      <c r="AC198" s="99">
        <f t="shared" ref="AC198:AC234" ca="1" si="39">X198-Y198</f>
        <v>0</v>
      </c>
      <c r="AD198" s="98">
        <f ca="1">IF('Invoer gegevens'!$C$17=E198,R198,IF(C198=0,0,AE197))</f>
        <v>0</v>
      </c>
      <c r="AE198" s="98">
        <f t="shared" ref="AE198:AE234" ca="1" si="40">IF(C198=0,0,AD198-S198-V198+AA198)</f>
        <v>0</v>
      </c>
      <c r="AF198" s="98">
        <f ca="1">IF('Invoer gegevens'!$C$17=E198,X198,IF(C198=0,0,AG197))</f>
        <v>0</v>
      </c>
      <c r="AG198" s="98">
        <f t="shared" ref="AG198:AG234" ca="1" si="41">IF(C198=0,0,AF198-Y198-AA198+V198)</f>
        <v>0</v>
      </c>
      <c r="AH198" s="66"/>
      <c r="AI198" s="71">
        <f ca="1">IF(C198=1,Reeksen!AI198*((F198-G198+F198)/2)*12+Reeksen!AD198*((L198-M198+L198)/2)*12,0)</f>
        <v>0</v>
      </c>
      <c r="AJ198" s="71">
        <f ca="1">-AI198*'Invoer gegevens'!$F$28</f>
        <v>0</v>
      </c>
      <c r="AK198" s="71">
        <f t="shared" ref="AK198:AK234" ca="1" si="42">AI198+AJ198</f>
        <v>0</v>
      </c>
      <c r="AL198" s="71">
        <f ca="1">IF(C198=1,Reeksen!AL198*((F198-G198+F198)/2)*12+Reeksen!AM198*((L198-M198+L198)/2)*12,0)</f>
        <v>0</v>
      </c>
      <c r="AM198" s="71">
        <f ca="1">-AL198*'Invoer gegevens'!$F$31</f>
        <v>0</v>
      </c>
      <c r="AN198" s="71">
        <f t="shared" ref="AN198:AN234" ca="1" si="43">AL198+AM198</f>
        <v>0</v>
      </c>
      <c r="AO198" s="71">
        <f ca="1">IF(C198=1,(H198+J198+N198+P198)*Reeksen!AN198,0)</f>
        <v>0</v>
      </c>
      <c r="AP198" s="71">
        <f ca="1">-IF(C198=1,(H198+J198+N198+P198)*'Hulp - basis'!$G$550*Reeksen!H198,0)</f>
        <v>0</v>
      </c>
      <c r="AQ198" s="71">
        <f ca="1">-IF(C198=1,(F198+K198+L198+Q198)/2*'Invoer gegevens'!$F$35*Reeksen!J198,0)*2</f>
        <v>0</v>
      </c>
      <c r="AR198" s="71"/>
      <c r="AS198" s="71">
        <f ca="1">-IF(C198=1,(F198+K198+L198+Q198)/2*'Invoer gegevens'!$F$37*Reeksen!L198,0)</f>
        <v>0</v>
      </c>
      <c r="AT198" s="71">
        <f ca="1">-IF(C198=1,IF(E198='Invoer gegevens'!$C$17,'Invoer gegevens'!$C$11,AD198)*Reeksen!S198*'Invoer gegevens'!$C$18*Reeksen!P198,0)</f>
        <v>0</v>
      </c>
      <c r="AU198" s="71">
        <f ca="1">-IF(C198=1,(F198+K198+L198+Q198)/2*'Invoer gegevens'!$F$38*Reeksen!H198,0)</f>
        <v>0</v>
      </c>
      <c r="AV198" s="71">
        <f t="shared" si="35"/>
        <v>0</v>
      </c>
      <c r="AW198" s="71">
        <f t="shared" ref="AW198:AW234" ca="1" si="44">SUM(AK198,AN198:AV198)</f>
        <v>0</v>
      </c>
      <c r="AX198" s="71">
        <f ca="1">IF(E198&lt;'Invoer gegevens'!$C$17+15,0,IF(E198&gt;'Invoer gegevens'!$C$17+215,0,AW198))</f>
        <v>0</v>
      </c>
      <c r="AY198" s="71">
        <f ca="1">AX198/(1+'Invoer gegevens'!$F$18)^($AZ198-('Invoer gegevens'!$C$17-'Invoer gegevens'!$C$16))/(1+'Invoer gegevens'!$C$39)^('Invoer gegevens'!$C$17-'Invoer gegevens'!$C$16)</f>
        <v>0</v>
      </c>
      <c r="AZ198" s="68">
        <f ca="1">IF(E198-'Invoer gegevens'!$C$17-14.5&lt;0,0,E198-'Invoer gegevens'!$C$17-14.5)</f>
        <v>178.5</v>
      </c>
    </row>
    <row r="199" spans="1:52" x14ac:dyDescent="0.25">
      <c r="A199" s="59"/>
      <c r="B199" s="70">
        <f t="shared" si="33"/>
        <v>195</v>
      </c>
      <c r="C199" s="67">
        <f ca="1">IF(E199-'Invoer gegevens'!$C$17&lt;0,0,1)</f>
        <v>1</v>
      </c>
      <c r="D199" s="68">
        <f t="shared" si="34"/>
        <v>194.5</v>
      </c>
      <c r="E199" s="69">
        <f ca="1">IF('Invoer gegevens'!$C$16="","",E198+1)</f>
        <v>2213</v>
      </c>
      <c r="F199" s="84">
        <f ca="1">IF('Invoer gegevens'!$C$17=E199,'Invoer gegevens'!$C$10,IF(C199=1,K198,0))</f>
        <v>0</v>
      </c>
      <c r="G199" s="96">
        <f ca="1">IF(C199&gt;=1,F199*VLOOKUP(E199,Reeksen!$A$5:$B$76,2),0)</f>
        <v>0</v>
      </c>
      <c r="H199" s="84">
        <f ca="1">(1-('Invoer gegevens'!$F$20/12))*F199*MIN(Reeksen!B199,Reeksen!D199)</f>
        <v>0</v>
      </c>
      <c r="I199" s="84">
        <f>IF(Reeksen!D199&lt;Reeksen!B199,(Reeksen!B199-Reeksen!D199)*F199,0)</f>
        <v>0</v>
      </c>
      <c r="J199" s="84">
        <f ca="1">('Invoer gegevens'!$F$20/12)*F198*MIN(Reeksen!B198,Reeksen!D198)</f>
        <v>0</v>
      </c>
      <c r="K199" s="97">
        <f t="shared" ca="1" si="36"/>
        <v>0</v>
      </c>
      <c r="L199" s="84">
        <f ca="1">IF('Invoer gegevens'!$C$17=E199,0,IF(C199=1,Q198,0))</f>
        <v>0</v>
      </c>
      <c r="M199" s="96">
        <f ca="1">IF(C199&gt;=1,L199*VLOOKUP(E199,Reeksen!$A$5:$B$76,2),0)</f>
        <v>0</v>
      </c>
      <c r="N199" s="84">
        <f ca="1">(1-('Invoer gegevens'!$F$20/12))*L199*MIN(Reeksen!B199,Reeksen!D199)</f>
        <v>0</v>
      </c>
      <c r="O199" s="84">
        <f>IF(Reeksen!D199&lt;Reeksen!B199,(Reeksen!B199-Reeksen!D199)*L199,0)</f>
        <v>0</v>
      </c>
      <c r="P199" s="84">
        <f ca="1">('Invoer gegevens'!$F$20/12)*L198*MIN(Reeksen!B198,Reeksen!D198)</f>
        <v>0</v>
      </c>
      <c r="Q199" s="84">
        <f t="shared" ca="1" si="37"/>
        <v>0</v>
      </c>
      <c r="R199" s="82">
        <f ca="1">IF('Invoer gegevens'!$C$17=E199,'Invoer gegevens'!$C$11,IF(C199=1,W198,0))</f>
        <v>0</v>
      </c>
      <c r="S199" s="86">
        <f ca="1">IF(C199&gt;=1,R199*VLOOKUP(E199,Reeksen!$A$5:$B$76,2),0)</f>
        <v>0</v>
      </c>
      <c r="T199" s="84">
        <f ca="1">(1-('Invoer gegevens'!$F$20/12))*R199*MIN(Reeksen!B199,Reeksen!D199)</f>
        <v>0</v>
      </c>
      <c r="U199" s="84">
        <f>IF(Reeksen!D199&gt;=Reeksen!B199,0,IF(Reeksen!AD199&lt;=Reeksen!AE199,(Reeksen!B199-Reeksen!D199)*R199,0))</f>
        <v>0</v>
      </c>
      <c r="V199" s="86">
        <f>IF(Reeksen!D199&gt;=Reeksen!B199,0,IF(Reeksen!AD199&gt;Reeksen!AE199,(Reeksen!B199-Reeksen!D199)*R199,0))</f>
        <v>0</v>
      </c>
      <c r="W199" s="97">
        <f t="shared" ca="1" si="38"/>
        <v>0</v>
      </c>
      <c r="X199" s="98">
        <f ca="1">IF('Invoer gegevens'!$C$17=E199,'Invoer gegevens'!$C$10-'Invoer gegevens'!$C$11,IF(C199=1,AC198,0))</f>
        <v>0</v>
      </c>
      <c r="Y199" s="98">
        <f ca="1">IF(C199&gt;=1,X199*VLOOKUP(E199,Reeksen!$A$5:$B$76,2),0)</f>
        <v>0</v>
      </c>
      <c r="Z199" s="98">
        <f ca="1">(1-('Invoer gegevens'!$F$20/12))*X199*MIN(Reeksen!B199,Reeksen!D199)</f>
        <v>0</v>
      </c>
      <c r="AA199" s="98">
        <f>IF(Reeksen!D199&gt;=Reeksen!B199,0,IF(Reeksen!AD199&lt;=Reeksen!AE199,(Reeksen!B199-Reeksen!D199)*X199,0))</f>
        <v>0</v>
      </c>
      <c r="AB199" s="98">
        <f>IF(Reeksen!D199&gt;=Reeksen!B199,0,IF(Reeksen!AD199&gt;Reeksen!AE199,(Reeksen!B199-Reeksen!D199)*X199,0))</f>
        <v>0</v>
      </c>
      <c r="AC199" s="99">
        <f t="shared" ca="1" si="39"/>
        <v>0</v>
      </c>
      <c r="AD199" s="98">
        <f ca="1">IF('Invoer gegevens'!$C$17=E199,R199,IF(C199=0,0,AE198))</f>
        <v>0</v>
      </c>
      <c r="AE199" s="98">
        <f t="shared" ca="1" si="40"/>
        <v>0</v>
      </c>
      <c r="AF199" s="98">
        <f ca="1">IF('Invoer gegevens'!$C$17=E199,X199,IF(C199=0,0,AG198))</f>
        <v>0</v>
      </c>
      <c r="AG199" s="98">
        <f t="shared" ca="1" si="41"/>
        <v>0</v>
      </c>
      <c r="AH199" s="66"/>
      <c r="AI199" s="71">
        <f ca="1">IF(C199=1,Reeksen!AI199*((F199-G199+F199)/2)*12+Reeksen!AD199*((L199-M199+L199)/2)*12,0)</f>
        <v>0</v>
      </c>
      <c r="AJ199" s="71">
        <f ca="1">-AI199*'Invoer gegevens'!$F$28</f>
        <v>0</v>
      </c>
      <c r="AK199" s="71">
        <f t="shared" ca="1" si="42"/>
        <v>0</v>
      </c>
      <c r="AL199" s="71">
        <f ca="1">IF(C199=1,Reeksen!AL199*((F199-G199+F199)/2)*12+Reeksen!AM199*((L199-M199+L199)/2)*12,0)</f>
        <v>0</v>
      </c>
      <c r="AM199" s="71">
        <f ca="1">-AL199*'Invoer gegevens'!$F$31</f>
        <v>0</v>
      </c>
      <c r="AN199" s="71">
        <f t="shared" ca="1" si="43"/>
        <v>0</v>
      </c>
      <c r="AO199" s="71">
        <f ca="1">IF(C199=1,(H199+J199+N199+P199)*Reeksen!AN199,0)</f>
        <v>0</v>
      </c>
      <c r="AP199" s="71">
        <f ca="1">-IF(C199=1,(H199+J199+N199+P199)*'Hulp - basis'!$G$550*Reeksen!H199,0)</f>
        <v>0</v>
      </c>
      <c r="AQ199" s="71">
        <f ca="1">-IF(C199=1,(F199+K199+L199+Q199)/2*'Invoer gegevens'!$F$35*Reeksen!J199,0)*2</f>
        <v>0</v>
      </c>
      <c r="AR199" s="71"/>
      <c r="AS199" s="71">
        <f ca="1">-IF(C199=1,(F199+K199+L199+Q199)/2*'Invoer gegevens'!$F$37*Reeksen!L199,0)</f>
        <v>0</v>
      </c>
      <c r="AT199" s="71">
        <f ca="1">-IF(C199=1,IF(E199='Invoer gegevens'!$C$17,'Invoer gegevens'!$C$11,AD199)*Reeksen!S199*'Invoer gegevens'!$C$18*Reeksen!P199,0)</f>
        <v>0</v>
      </c>
      <c r="AU199" s="71">
        <f ca="1">-IF(C199=1,(F199+K199+L199+Q199)/2*'Invoer gegevens'!$F$38*Reeksen!H199,0)</f>
        <v>0</v>
      </c>
      <c r="AV199" s="71">
        <f t="shared" si="35"/>
        <v>0</v>
      </c>
      <c r="AW199" s="71">
        <f t="shared" ca="1" si="44"/>
        <v>0</v>
      </c>
      <c r="AX199" s="71">
        <f ca="1">IF(E199&lt;'Invoer gegevens'!$C$17+15,0,IF(E199&gt;'Invoer gegevens'!$C$17+215,0,AW199))</f>
        <v>0</v>
      </c>
      <c r="AY199" s="71">
        <f ca="1">AX199/(1+'Invoer gegevens'!$F$18)^($AZ199-('Invoer gegevens'!$C$17-'Invoer gegevens'!$C$16))/(1+'Invoer gegevens'!$C$39)^('Invoer gegevens'!$C$17-'Invoer gegevens'!$C$16)</f>
        <v>0</v>
      </c>
      <c r="AZ199" s="68">
        <f ca="1">IF(E199-'Invoer gegevens'!$C$17-14.5&lt;0,0,E199-'Invoer gegevens'!$C$17-14.5)</f>
        <v>179.5</v>
      </c>
    </row>
    <row r="200" spans="1:52" x14ac:dyDescent="0.25">
      <c r="A200" s="59"/>
      <c r="B200" s="70">
        <f t="shared" ref="B200:B234" si="45">B199+1</f>
        <v>196</v>
      </c>
      <c r="C200" s="67">
        <f ca="1">IF(E200-'Invoer gegevens'!$C$17&lt;0,0,1)</f>
        <v>1</v>
      </c>
      <c r="D200" s="68">
        <f t="shared" ref="D200:D234" si="46">D199+1</f>
        <v>195.5</v>
      </c>
      <c r="E200" s="69">
        <f ca="1">IF('Invoer gegevens'!$C$16="","",E199+1)</f>
        <v>2214</v>
      </c>
      <c r="F200" s="84">
        <f ca="1">IF('Invoer gegevens'!$C$17=E200,'Invoer gegevens'!$C$10,IF(C200=1,K199,0))</f>
        <v>0</v>
      </c>
      <c r="G200" s="96">
        <f ca="1">IF(C200&gt;=1,F200*VLOOKUP(E200,Reeksen!$A$5:$B$76,2),0)</f>
        <v>0</v>
      </c>
      <c r="H200" s="84">
        <f ca="1">(1-('Invoer gegevens'!$F$20/12))*F200*MIN(Reeksen!B200,Reeksen!D200)</f>
        <v>0</v>
      </c>
      <c r="I200" s="84">
        <f>IF(Reeksen!D200&lt;Reeksen!B200,(Reeksen!B200-Reeksen!D200)*F200,0)</f>
        <v>0</v>
      </c>
      <c r="J200" s="84">
        <f ca="1">('Invoer gegevens'!$F$20/12)*F199*MIN(Reeksen!B199,Reeksen!D199)</f>
        <v>0</v>
      </c>
      <c r="K200" s="97">
        <f t="shared" ca="1" si="36"/>
        <v>0</v>
      </c>
      <c r="L200" s="84">
        <f ca="1">IF('Invoer gegevens'!$C$17=E200,0,IF(C200=1,Q199,0))</f>
        <v>0</v>
      </c>
      <c r="M200" s="96">
        <f ca="1">IF(C200&gt;=1,L200*VLOOKUP(E200,Reeksen!$A$5:$B$76,2),0)</f>
        <v>0</v>
      </c>
      <c r="N200" s="84">
        <f ca="1">(1-('Invoer gegevens'!$F$20/12))*L200*MIN(Reeksen!B200,Reeksen!D200)</f>
        <v>0</v>
      </c>
      <c r="O200" s="84">
        <f>IF(Reeksen!D200&lt;Reeksen!B200,(Reeksen!B200-Reeksen!D200)*L200,0)</f>
        <v>0</v>
      </c>
      <c r="P200" s="84">
        <f ca="1">('Invoer gegevens'!$F$20/12)*L199*MIN(Reeksen!B199,Reeksen!D199)</f>
        <v>0</v>
      </c>
      <c r="Q200" s="84">
        <f t="shared" ca="1" si="37"/>
        <v>0</v>
      </c>
      <c r="R200" s="82">
        <f ca="1">IF('Invoer gegevens'!$C$17=E200,'Invoer gegevens'!$C$11,IF(C200=1,W199,0))</f>
        <v>0</v>
      </c>
      <c r="S200" s="86">
        <f ca="1">IF(C200&gt;=1,R200*VLOOKUP(E200,Reeksen!$A$5:$B$76,2),0)</f>
        <v>0</v>
      </c>
      <c r="T200" s="84">
        <f ca="1">(1-('Invoer gegevens'!$F$20/12))*R200*MIN(Reeksen!B200,Reeksen!D200)</f>
        <v>0</v>
      </c>
      <c r="U200" s="84">
        <f>IF(Reeksen!D200&gt;=Reeksen!B200,0,IF(Reeksen!AD200&lt;=Reeksen!AE200,(Reeksen!B200-Reeksen!D200)*R200,0))</f>
        <v>0</v>
      </c>
      <c r="V200" s="86">
        <f>IF(Reeksen!D200&gt;=Reeksen!B200,0,IF(Reeksen!AD200&gt;Reeksen!AE200,(Reeksen!B200-Reeksen!D200)*R200,0))</f>
        <v>0</v>
      </c>
      <c r="W200" s="97">
        <f t="shared" ca="1" si="38"/>
        <v>0</v>
      </c>
      <c r="X200" s="98">
        <f ca="1">IF('Invoer gegevens'!$C$17=E200,'Invoer gegevens'!$C$10-'Invoer gegevens'!$C$11,IF(C200=1,AC199,0))</f>
        <v>0</v>
      </c>
      <c r="Y200" s="98">
        <f ca="1">IF(C200&gt;=1,X200*VLOOKUP(E200,Reeksen!$A$5:$B$76,2),0)</f>
        <v>0</v>
      </c>
      <c r="Z200" s="98">
        <f ca="1">(1-('Invoer gegevens'!$F$20/12))*X200*MIN(Reeksen!B200,Reeksen!D200)</f>
        <v>0</v>
      </c>
      <c r="AA200" s="98">
        <f>IF(Reeksen!D200&gt;=Reeksen!B200,0,IF(Reeksen!AD200&lt;=Reeksen!AE200,(Reeksen!B200-Reeksen!D200)*X200,0))</f>
        <v>0</v>
      </c>
      <c r="AB200" s="98">
        <f>IF(Reeksen!D200&gt;=Reeksen!B200,0,IF(Reeksen!AD200&gt;Reeksen!AE200,(Reeksen!B200-Reeksen!D200)*X200,0))</f>
        <v>0</v>
      </c>
      <c r="AC200" s="99">
        <f t="shared" ca="1" si="39"/>
        <v>0</v>
      </c>
      <c r="AD200" s="98">
        <f ca="1">IF('Invoer gegevens'!$C$17=E200,R200,IF(C200=0,0,AE199))</f>
        <v>0</v>
      </c>
      <c r="AE200" s="98">
        <f t="shared" ca="1" si="40"/>
        <v>0</v>
      </c>
      <c r="AF200" s="98">
        <f ca="1">IF('Invoer gegevens'!$C$17=E200,X200,IF(C200=0,0,AG199))</f>
        <v>0</v>
      </c>
      <c r="AG200" s="98">
        <f t="shared" ca="1" si="41"/>
        <v>0</v>
      </c>
      <c r="AH200" s="66"/>
      <c r="AI200" s="71">
        <f ca="1">IF(C200=1,Reeksen!AI200*((F200-G200+F200)/2)*12+Reeksen!AD200*((L200-M200+L200)/2)*12,0)</f>
        <v>0</v>
      </c>
      <c r="AJ200" s="71">
        <f ca="1">-AI200*'Invoer gegevens'!$F$28</f>
        <v>0</v>
      </c>
      <c r="AK200" s="71">
        <f t="shared" ca="1" si="42"/>
        <v>0</v>
      </c>
      <c r="AL200" s="71">
        <f ca="1">IF(C200=1,Reeksen!AL200*((F200-G200+F200)/2)*12+Reeksen!AM200*((L200-M200+L200)/2)*12,0)</f>
        <v>0</v>
      </c>
      <c r="AM200" s="71">
        <f ca="1">-AL200*'Invoer gegevens'!$F$31</f>
        <v>0</v>
      </c>
      <c r="AN200" s="71">
        <f t="shared" ca="1" si="43"/>
        <v>0</v>
      </c>
      <c r="AO200" s="71">
        <f ca="1">IF(C200=1,(H200+J200+N200+P200)*Reeksen!AN200,0)</f>
        <v>0</v>
      </c>
      <c r="AP200" s="71">
        <f ca="1">-IF(C200=1,(H200+J200+N200+P200)*'Hulp - basis'!$G$550*Reeksen!H200,0)</f>
        <v>0</v>
      </c>
      <c r="AQ200" s="71">
        <f ca="1">-IF(C200=1,(F200+K200+L200+Q200)/2*'Invoer gegevens'!$F$35*Reeksen!J200,0)*2</f>
        <v>0</v>
      </c>
      <c r="AR200" s="71"/>
      <c r="AS200" s="71">
        <f ca="1">-IF(C200=1,(F200+K200+L200+Q200)/2*'Invoer gegevens'!$F$37*Reeksen!L200,0)</f>
        <v>0</v>
      </c>
      <c r="AT200" s="71">
        <f ca="1">-IF(C200=1,IF(E200='Invoer gegevens'!$C$17,'Invoer gegevens'!$C$11,AD200)*Reeksen!S200*'Invoer gegevens'!$C$18*Reeksen!P200,0)</f>
        <v>0</v>
      </c>
      <c r="AU200" s="71">
        <f ca="1">-IF(C200=1,(F200+K200+L200+Q200)/2*'Invoer gegevens'!$F$38*Reeksen!H200,0)</f>
        <v>0</v>
      </c>
      <c r="AV200" s="71">
        <f t="shared" si="35"/>
        <v>0</v>
      </c>
      <c r="AW200" s="71">
        <f t="shared" ca="1" si="44"/>
        <v>0</v>
      </c>
      <c r="AX200" s="71">
        <f ca="1">IF(E200&lt;'Invoer gegevens'!$C$17+15,0,IF(E200&gt;'Invoer gegevens'!$C$17+215,0,AW200))</f>
        <v>0</v>
      </c>
      <c r="AY200" s="71">
        <f ca="1">AX200/(1+'Invoer gegevens'!$F$18)^($AZ200-('Invoer gegevens'!$C$17-'Invoer gegevens'!$C$16))/(1+'Invoer gegevens'!$C$39)^('Invoer gegevens'!$C$17-'Invoer gegevens'!$C$16)</f>
        <v>0</v>
      </c>
      <c r="AZ200" s="68">
        <f ca="1">IF(E200-'Invoer gegevens'!$C$17-14.5&lt;0,0,E200-'Invoer gegevens'!$C$17-14.5)</f>
        <v>180.5</v>
      </c>
    </row>
    <row r="201" spans="1:52" x14ac:dyDescent="0.25">
      <c r="A201" s="59"/>
      <c r="B201" s="70">
        <f t="shared" si="45"/>
        <v>197</v>
      </c>
      <c r="C201" s="67">
        <f ca="1">IF(E201-'Invoer gegevens'!$C$17&lt;0,0,1)</f>
        <v>1</v>
      </c>
      <c r="D201" s="68">
        <f t="shared" si="46"/>
        <v>196.5</v>
      </c>
      <c r="E201" s="69">
        <f ca="1">IF('Invoer gegevens'!$C$16="","",E200+1)</f>
        <v>2215</v>
      </c>
      <c r="F201" s="84">
        <f ca="1">IF('Invoer gegevens'!$C$17=E201,'Invoer gegevens'!$C$10,IF(C201=1,K200,0))</f>
        <v>0</v>
      </c>
      <c r="G201" s="96">
        <f ca="1">IF(C201&gt;=1,F201*VLOOKUP(E201,Reeksen!$A$5:$B$76,2),0)</f>
        <v>0</v>
      </c>
      <c r="H201" s="84">
        <f ca="1">(1-('Invoer gegevens'!$F$20/12))*F201*MIN(Reeksen!B201,Reeksen!D201)</f>
        <v>0</v>
      </c>
      <c r="I201" s="84">
        <f>IF(Reeksen!D201&lt;Reeksen!B201,(Reeksen!B201-Reeksen!D201)*F201,0)</f>
        <v>0</v>
      </c>
      <c r="J201" s="84">
        <f ca="1">('Invoer gegevens'!$F$20/12)*F200*MIN(Reeksen!B200,Reeksen!D200)</f>
        <v>0</v>
      </c>
      <c r="K201" s="97">
        <f t="shared" ca="1" si="36"/>
        <v>0</v>
      </c>
      <c r="L201" s="84">
        <f ca="1">IF('Invoer gegevens'!$C$17=E201,0,IF(C201=1,Q200,0))</f>
        <v>0</v>
      </c>
      <c r="M201" s="96">
        <f ca="1">IF(C201&gt;=1,L201*VLOOKUP(E201,Reeksen!$A$5:$B$76,2),0)</f>
        <v>0</v>
      </c>
      <c r="N201" s="84">
        <f ca="1">(1-('Invoer gegevens'!$F$20/12))*L201*MIN(Reeksen!B201,Reeksen!D201)</f>
        <v>0</v>
      </c>
      <c r="O201" s="84">
        <f>IF(Reeksen!D201&lt;Reeksen!B201,(Reeksen!B201-Reeksen!D201)*L201,0)</f>
        <v>0</v>
      </c>
      <c r="P201" s="84">
        <f ca="1">('Invoer gegevens'!$F$20/12)*L200*MIN(Reeksen!B200,Reeksen!D200)</f>
        <v>0</v>
      </c>
      <c r="Q201" s="84">
        <f t="shared" ca="1" si="37"/>
        <v>0</v>
      </c>
      <c r="R201" s="82">
        <f ca="1">IF('Invoer gegevens'!$C$17=E201,'Invoer gegevens'!$C$11,IF(C201=1,W200,0))</f>
        <v>0</v>
      </c>
      <c r="S201" s="86">
        <f ca="1">IF(C201&gt;=1,R201*VLOOKUP(E201,Reeksen!$A$5:$B$76,2),0)</f>
        <v>0</v>
      </c>
      <c r="T201" s="84">
        <f ca="1">(1-('Invoer gegevens'!$F$20/12))*R201*MIN(Reeksen!B201,Reeksen!D201)</f>
        <v>0</v>
      </c>
      <c r="U201" s="84">
        <f>IF(Reeksen!D201&gt;=Reeksen!B201,0,IF(Reeksen!AD201&lt;=Reeksen!AE201,(Reeksen!B201-Reeksen!D201)*R201,0))</f>
        <v>0</v>
      </c>
      <c r="V201" s="86">
        <f>IF(Reeksen!D201&gt;=Reeksen!B201,0,IF(Reeksen!AD201&gt;Reeksen!AE201,(Reeksen!B201-Reeksen!D201)*R201,0))</f>
        <v>0</v>
      </c>
      <c r="W201" s="97">
        <f t="shared" ca="1" si="38"/>
        <v>0</v>
      </c>
      <c r="X201" s="98">
        <f ca="1">IF('Invoer gegevens'!$C$17=E201,'Invoer gegevens'!$C$10-'Invoer gegevens'!$C$11,IF(C201=1,AC200,0))</f>
        <v>0</v>
      </c>
      <c r="Y201" s="98">
        <f ca="1">IF(C201&gt;=1,X201*VLOOKUP(E201,Reeksen!$A$5:$B$76,2),0)</f>
        <v>0</v>
      </c>
      <c r="Z201" s="98">
        <f ca="1">(1-('Invoer gegevens'!$F$20/12))*X201*MIN(Reeksen!B201,Reeksen!D201)</f>
        <v>0</v>
      </c>
      <c r="AA201" s="98">
        <f>IF(Reeksen!D201&gt;=Reeksen!B201,0,IF(Reeksen!AD201&lt;=Reeksen!AE201,(Reeksen!B201-Reeksen!D201)*X201,0))</f>
        <v>0</v>
      </c>
      <c r="AB201" s="98">
        <f>IF(Reeksen!D201&gt;=Reeksen!B201,0,IF(Reeksen!AD201&gt;Reeksen!AE201,(Reeksen!B201-Reeksen!D201)*X201,0))</f>
        <v>0</v>
      </c>
      <c r="AC201" s="99">
        <f t="shared" ca="1" si="39"/>
        <v>0</v>
      </c>
      <c r="AD201" s="98">
        <f ca="1">IF('Invoer gegevens'!$C$17=E201,R201,IF(C201=0,0,AE200))</f>
        <v>0</v>
      </c>
      <c r="AE201" s="98">
        <f t="shared" ca="1" si="40"/>
        <v>0</v>
      </c>
      <c r="AF201" s="98">
        <f ca="1">IF('Invoer gegevens'!$C$17=E201,X201,IF(C201=0,0,AG200))</f>
        <v>0</v>
      </c>
      <c r="AG201" s="98">
        <f t="shared" ca="1" si="41"/>
        <v>0</v>
      </c>
      <c r="AH201" s="66"/>
      <c r="AI201" s="71">
        <f ca="1">IF(C201=1,Reeksen!AI201*((F201-G201+F201)/2)*12+Reeksen!AD201*((L201-M201+L201)/2)*12,0)</f>
        <v>0</v>
      </c>
      <c r="AJ201" s="71">
        <f ca="1">-AI201*'Invoer gegevens'!$F$28</f>
        <v>0</v>
      </c>
      <c r="AK201" s="71">
        <f t="shared" ca="1" si="42"/>
        <v>0</v>
      </c>
      <c r="AL201" s="71">
        <f ca="1">IF(C201=1,Reeksen!AL201*((F201-G201+F201)/2)*12+Reeksen!AM201*((L201-M201+L201)/2)*12,0)</f>
        <v>0</v>
      </c>
      <c r="AM201" s="71">
        <f ca="1">-AL201*'Invoer gegevens'!$F$31</f>
        <v>0</v>
      </c>
      <c r="AN201" s="71">
        <f t="shared" ca="1" si="43"/>
        <v>0</v>
      </c>
      <c r="AO201" s="71">
        <f ca="1">IF(C201=1,(H201+J201+N201+P201)*Reeksen!AN201,0)</f>
        <v>0</v>
      </c>
      <c r="AP201" s="71">
        <f ca="1">-IF(C201=1,(H201+J201+N201+P201)*'Hulp - basis'!$G$550*Reeksen!H201,0)</f>
        <v>0</v>
      </c>
      <c r="AQ201" s="71">
        <f ca="1">-IF(C201=1,(F201+K201+L201+Q201)/2*'Invoer gegevens'!$F$35*Reeksen!J201,0)*2</f>
        <v>0</v>
      </c>
      <c r="AR201" s="71"/>
      <c r="AS201" s="71">
        <f ca="1">-IF(C201=1,(F201+K201+L201+Q201)/2*'Invoer gegevens'!$F$37*Reeksen!L201,0)</f>
        <v>0</v>
      </c>
      <c r="AT201" s="71">
        <f ca="1">-IF(C201=1,IF(E201='Invoer gegevens'!$C$17,'Invoer gegevens'!$C$11,AD201)*Reeksen!S201*'Invoer gegevens'!$C$18*Reeksen!P201,0)</f>
        <v>0</v>
      </c>
      <c r="AU201" s="71">
        <f ca="1">-IF(C201=1,(F201+K201+L201+Q201)/2*'Invoer gegevens'!$F$38*Reeksen!H201,0)</f>
        <v>0</v>
      </c>
      <c r="AV201" s="71">
        <f t="shared" si="35"/>
        <v>0</v>
      </c>
      <c r="AW201" s="71">
        <f t="shared" ca="1" si="44"/>
        <v>0</v>
      </c>
      <c r="AX201" s="71">
        <f ca="1">IF(E201&lt;'Invoer gegevens'!$C$17+15,0,IF(E201&gt;'Invoer gegevens'!$C$17+215,0,AW201))</f>
        <v>0</v>
      </c>
      <c r="AY201" s="71">
        <f ca="1">AX201/(1+'Invoer gegevens'!$F$18)^($AZ201-('Invoer gegevens'!$C$17-'Invoer gegevens'!$C$16))/(1+'Invoer gegevens'!$C$39)^('Invoer gegevens'!$C$17-'Invoer gegevens'!$C$16)</f>
        <v>0</v>
      </c>
      <c r="AZ201" s="68">
        <f ca="1">IF(E201-'Invoer gegevens'!$C$17-14.5&lt;0,0,E201-'Invoer gegevens'!$C$17-14.5)</f>
        <v>181.5</v>
      </c>
    </row>
    <row r="202" spans="1:52" x14ac:dyDescent="0.25">
      <c r="A202" s="59"/>
      <c r="B202" s="70">
        <f t="shared" si="45"/>
        <v>198</v>
      </c>
      <c r="C202" s="67">
        <f ca="1">IF(E202-'Invoer gegevens'!$C$17&lt;0,0,1)</f>
        <v>1</v>
      </c>
      <c r="D202" s="68">
        <f t="shared" si="46"/>
        <v>197.5</v>
      </c>
      <c r="E202" s="69">
        <f ca="1">IF('Invoer gegevens'!$C$16="","",E201+1)</f>
        <v>2216</v>
      </c>
      <c r="F202" s="84">
        <f ca="1">IF('Invoer gegevens'!$C$17=E202,'Invoer gegevens'!$C$10,IF(C202=1,K201,0))</f>
        <v>0</v>
      </c>
      <c r="G202" s="96">
        <f ca="1">IF(C202&gt;=1,F202*VLOOKUP(E202,Reeksen!$A$5:$B$76,2),0)</f>
        <v>0</v>
      </c>
      <c r="H202" s="84">
        <f ca="1">(1-('Invoer gegevens'!$F$20/12))*F202*MIN(Reeksen!B202,Reeksen!D202)</f>
        <v>0</v>
      </c>
      <c r="I202" s="84">
        <f>IF(Reeksen!D202&lt;Reeksen!B202,(Reeksen!B202-Reeksen!D202)*F202,0)</f>
        <v>0</v>
      </c>
      <c r="J202" s="84">
        <f ca="1">('Invoer gegevens'!$F$20/12)*F201*MIN(Reeksen!B201,Reeksen!D201)</f>
        <v>0</v>
      </c>
      <c r="K202" s="97">
        <f t="shared" ca="1" si="36"/>
        <v>0</v>
      </c>
      <c r="L202" s="84">
        <f ca="1">IF('Invoer gegevens'!$C$17=E202,0,IF(C202=1,Q201,0))</f>
        <v>0</v>
      </c>
      <c r="M202" s="96">
        <f ca="1">IF(C202&gt;=1,L202*VLOOKUP(E202,Reeksen!$A$5:$B$76,2),0)</f>
        <v>0</v>
      </c>
      <c r="N202" s="84">
        <f ca="1">(1-('Invoer gegevens'!$F$20/12))*L202*MIN(Reeksen!B202,Reeksen!D202)</f>
        <v>0</v>
      </c>
      <c r="O202" s="84">
        <f>IF(Reeksen!D202&lt;Reeksen!B202,(Reeksen!B202-Reeksen!D202)*L202,0)</f>
        <v>0</v>
      </c>
      <c r="P202" s="84">
        <f ca="1">('Invoer gegevens'!$F$20/12)*L201*MIN(Reeksen!B201,Reeksen!D201)</f>
        <v>0</v>
      </c>
      <c r="Q202" s="84">
        <f t="shared" ca="1" si="37"/>
        <v>0</v>
      </c>
      <c r="R202" s="82">
        <f ca="1">IF('Invoer gegevens'!$C$17=E202,'Invoer gegevens'!$C$11,IF(C202=1,W201,0))</f>
        <v>0</v>
      </c>
      <c r="S202" s="86">
        <f ca="1">IF(C202&gt;=1,R202*VLOOKUP(E202,Reeksen!$A$5:$B$76,2),0)</f>
        <v>0</v>
      </c>
      <c r="T202" s="84">
        <f ca="1">(1-('Invoer gegevens'!$F$20/12))*R202*MIN(Reeksen!B202,Reeksen!D202)</f>
        <v>0</v>
      </c>
      <c r="U202" s="84">
        <f>IF(Reeksen!D202&gt;=Reeksen!B202,0,IF(Reeksen!AD202&lt;=Reeksen!AE202,(Reeksen!B202-Reeksen!D202)*R202,0))</f>
        <v>0</v>
      </c>
      <c r="V202" s="86">
        <f>IF(Reeksen!D202&gt;=Reeksen!B202,0,IF(Reeksen!AD202&gt;Reeksen!AE202,(Reeksen!B202-Reeksen!D202)*R202,0))</f>
        <v>0</v>
      </c>
      <c r="W202" s="97">
        <f t="shared" ca="1" si="38"/>
        <v>0</v>
      </c>
      <c r="X202" s="98">
        <f ca="1">IF('Invoer gegevens'!$C$17=E202,'Invoer gegevens'!$C$10-'Invoer gegevens'!$C$11,IF(C202=1,AC201,0))</f>
        <v>0</v>
      </c>
      <c r="Y202" s="98">
        <f ca="1">IF(C202&gt;=1,X202*VLOOKUP(E202,Reeksen!$A$5:$B$76,2),0)</f>
        <v>0</v>
      </c>
      <c r="Z202" s="98">
        <f ca="1">(1-('Invoer gegevens'!$F$20/12))*X202*MIN(Reeksen!B202,Reeksen!D202)</f>
        <v>0</v>
      </c>
      <c r="AA202" s="98">
        <f>IF(Reeksen!D202&gt;=Reeksen!B202,0,IF(Reeksen!AD202&lt;=Reeksen!AE202,(Reeksen!B202-Reeksen!D202)*X202,0))</f>
        <v>0</v>
      </c>
      <c r="AB202" s="98">
        <f>IF(Reeksen!D202&gt;=Reeksen!B202,0,IF(Reeksen!AD202&gt;Reeksen!AE202,(Reeksen!B202-Reeksen!D202)*X202,0))</f>
        <v>0</v>
      </c>
      <c r="AC202" s="99">
        <f t="shared" ca="1" si="39"/>
        <v>0</v>
      </c>
      <c r="AD202" s="98">
        <f ca="1">IF('Invoer gegevens'!$C$17=E202,R202,IF(C202=0,0,AE201))</f>
        <v>0</v>
      </c>
      <c r="AE202" s="98">
        <f t="shared" ca="1" si="40"/>
        <v>0</v>
      </c>
      <c r="AF202" s="98">
        <f ca="1">IF('Invoer gegevens'!$C$17=E202,X202,IF(C202=0,0,AG201))</f>
        <v>0</v>
      </c>
      <c r="AG202" s="98">
        <f t="shared" ca="1" si="41"/>
        <v>0</v>
      </c>
      <c r="AH202" s="66"/>
      <c r="AI202" s="71">
        <f ca="1">IF(C202=1,Reeksen!AI202*((F202-G202+F202)/2)*12+Reeksen!AD202*((L202-M202+L202)/2)*12,0)</f>
        <v>0</v>
      </c>
      <c r="AJ202" s="71">
        <f ca="1">-AI202*'Invoer gegevens'!$F$28</f>
        <v>0</v>
      </c>
      <c r="AK202" s="71">
        <f t="shared" ca="1" si="42"/>
        <v>0</v>
      </c>
      <c r="AL202" s="71">
        <f ca="1">IF(C202=1,Reeksen!AL202*((F202-G202+F202)/2)*12+Reeksen!AM202*((L202-M202+L202)/2)*12,0)</f>
        <v>0</v>
      </c>
      <c r="AM202" s="71">
        <f ca="1">-AL202*'Invoer gegevens'!$F$31</f>
        <v>0</v>
      </c>
      <c r="AN202" s="71">
        <f t="shared" ca="1" si="43"/>
        <v>0</v>
      </c>
      <c r="AO202" s="71">
        <f ca="1">IF(C202=1,(H202+J202+N202+P202)*Reeksen!AN202,0)</f>
        <v>0</v>
      </c>
      <c r="AP202" s="71">
        <f ca="1">-IF(C202=1,(H202+J202+N202+P202)*'Hulp - basis'!$G$550*Reeksen!H202,0)</f>
        <v>0</v>
      </c>
      <c r="AQ202" s="71">
        <f ca="1">-IF(C202=1,(F202+K202+L202+Q202)/2*'Invoer gegevens'!$F$35*Reeksen!J202,0)*2</f>
        <v>0</v>
      </c>
      <c r="AR202" s="71"/>
      <c r="AS202" s="71">
        <f ca="1">-IF(C202=1,(F202+K202+L202+Q202)/2*'Invoer gegevens'!$F$37*Reeksen!L202,0)</f>
        <v>0</v>
      </c>
      <c r="AT202" s="71">
        <f ca="1">-IF(C202=1,IF(E202='Invoer gegevens'!$C$17,'Invoer gegevens'!$C$11,AD202)*Reeksen!S202*'Invoer gegevens'!$C$18*Reeksen!P202,0)</f>
        <v>0</v>
      </c>
      <c r="AU202" s="71">
        <f ca="1">-IF(C202=1,(F202+K202+L202+Q202)/2*'Invoer gegevens'!$F$38*Reeksen!H202,0)</f>
        <v>0</v>
      </c>
      <c r="AV202" s="71">
        <f t="shared" si="35"/>
        <v>0</v>
      </c>
      <c r="AW202" s="71">
        <f t="shared" ca="1" si="44"/>
        <v>0</v>
      </c>
      <c r="AX202" s="71">
        <f ca="1">IF(E202&lt;'Invoer gegevens'!$C$17+15,0,IF(E202&gt;'Invoer gegevens'!$C$17+215,0,AW202))</f>
        <v>0</v>
      </c>
      <c r="AY202" s="71">
        <f ca="1">AX202/(1+'Invoer gegevens'!$F$18)^($AZ202-('Invoer gegevens'!$C$17-'Invoer gegevens'!$C$16))/(1+'Invoer gegevens'!$C$39)^('Invoer gegevens'!$C$17-'Invoer gegevens'!$C$16)</f>
        <v>0</v>
      </c>
      <c r="AZ202" s="68">
        <f ca="1">IF(E202-'Invoer gegevens'!$C$17-14.5&lt;0,0,E202-'Invoer gegevens'!$C$17-14.5)</f>
        <v>182.5</v>
      </c>
    </row>
    <row r="203" spans="1:52" x14ac:dyDescent="0.25">
      <c r="A203" s="59"/>
      <c r="B203" s="70">
        <f t="shared" si="45"/>
        <v>199</v>
      </c>
      <c r="C203" s="67">
        <f ca="1">IF(E203-'Invoer gegevens'!$C$17&lt;0,0,1)</f>
        <v>1</v>
      </c>
      <c r="D203" s="68">
        <f t="shared" si="46"/>
        <v>198.5</v>
      </c>
      <c r="E203" s="69">
        <f ca="1">IF('Invoer gegevens'!$C$16="","",E202+1)</f>
        <v>2217</v>
      </c>
      <c r="F203" s="84">
        <f ca="1">IF('Invoer gegevens'!$C$17=E203,'Invoer gegevens'!$C$10,IF(C203=1,K202,0))</f>
        <v>0</v>
      </c>
      <c r="G203" s="96">
        <f ca="1">IF(C203&gt;=1,F203*VLOOKUP(E203,Reeksen!$A$5:$B$76,2),0)</f>
        <v>0</v>
      </c>
      <c r="H203" s="84">
        <f ca="1">(1-('Invoer gegevens'!$F$20/12))*F203*MIN(Reeksen!B203,Reeksen!D203)</f>
        <v>0</v>
      </c>
      <c r="I203" s="84">
        <f>IF(Reeksen!D203&lt;Reeksen!B203,(Reeksen!B203-Reeksen!D203)*F203,0)</f>
        <v>0</v>
      </c>
      <c r="J203" s="84">
        <f ca="1">('Invoer gegevens'!$F$20/12)*F202*MIN(Reeksen!B202,Reeksen!D202)</f>
        <v>0</v>
      </c>
      <c r="K203" s="97">
        <f t="shared" ca="1" si="36"/>
        <v>0</v>
      </c>
      <c r="L203" s="84">
        <f ca="1">IF('Invoer gegevens'!$C$17=E203,0,IF(C203=1,Q202,0))</f>
        <v>0</v>
      </c>
      <c r="M203" s="96">
        <f ca="1">IF(C203&gt;=1,L203*VLOOKUP(E203,Reeksen!$A$5:$B$76,2),0)</f>
        <v>0</v>
      </c>
      <c r="N203" s="84">
        <f ca="1">(1-('Invoer gegevens'!$F$20/12))*L203*MIN(Reeksen!B203,Reeksen!D203)</f>
        <v>0</v>
      </c>
      <c r="O203" s="84">
        <f>IF(Reeksen!D203&lt;Reeksen!B203,(Reeksen!B203-Reeksen!D203)*L203,0)</f>
        <v>0</v>
      </c>
      <c r="P203" s="84">
        <f ca="1">('Invoer gegevens'!$F$20/12)*L202*MIN(Reeksen!B202,Reeksen!D202)</f>
        <v>0</v>
      </c>
      <c r="Q203" s="84">
        <f t="shared" ca="1" si="37"/>
        <v>0</v>
      </c>
      <c r="R203" s="82">
        <f ca="1">IF('Invoer gegevens'!$C$17=E203,'Invoer gegevens'!$C$11,IF(C203=1,W202,0))</f>
        <v>0</v>
      </c>
      <c r="S203" s="86">
        <f ca="1">IF(C203&gt;=1,R203*VLOOKUP(E203,Reeksen!$A$5:$B$76,2),0)</f>
        <v>0</v>
      </c>
      <c r="T203" s="84">
        <f ca="1">(1-('Invoer gegevens'!$F$20/12))*R203*MIN(Reeksen!B203,Reeksen!D203)</f>
        <v>0</v>
      </c>
      <c r="U203" s="84">
        <f>IF(Reeksen!D203&gt;=Reeksen!B203,0,IF(Reeksen!AD203&lt;=Reeksen!AE203,(Reeksen!B203-Reeksen!D203)*R203,0))</f>
        <v>0</v>
      </c>
      <c r="V203" s="86">
        <f>IF(Reeksen!D203&gt;=Reeksen!B203,0,IF(Reeksen!AD203&gt;Reeksen!AE203,(Reeksen!B203-Reeksen!D203)*R203,0))</f>
        <v>0</v>
      </c>
      <c r="W203" s="97">
        <f t="shared" ca="1" si="38"/>
        <v>0</v>
      </c>
      <c r="X203" s="98">
        <f ca="1">IF('Invoer gegevens'!$C$17=E203,'Invoer gegevens'!$C$10-'Invoer gegevens'!$C$11,IF(C203=1,AC202,0))</f>
        <v>0</v>
      </c>
      <c r="Y203" s="98">
        <f ca="1">IF(C203&gt;=1,X203*VLOOKUP(E203,Reeksen!$A$5:$B$76,2),0)</f>
        <v>0</v>
      </c>
      <c r="Z203" s="98">
        <f ca="1">(1-('Invoer gegevens'!$F$20/12))*X203*MIN(Reeksen!B203,Reeksen!D203)</f>
        <v>0</v>
      </c>
      <c r="AA203" s="98">
        <f>IF(Reeksen!D203&gt;=Reeksen!B203,0,IF(Reeksen!AD203&lt;=Reeksen!AE203,(Reeksen!B203-Reeksen!D203)*X203,0))</f>
        <v>0</v>
      </c>
      <c r="AB203" s="98">
        <f>IF(Reeksen!D203&gt;=Reeksen!B203,0,IF(Reeksen!AD203&gt;Reeksen!AE203,(Reeksen!B203-Reeksen!D203)*X203,0))</f>
        <v>0</v>
      </c>
      <c r="AC203" s="99">
        <f t="shared" ca="1" si="39"/>
        <v>0</v>
      </c>
      <c r="AD203" s="98">
        <f ca="1">IF('Invoer gegevens'!$C$17=E203,R203,IF(C203=0,0,AE202))</f>
        <v>0</v>
      </c>
      <c r="AE203" s="98">
        <f t="shared" ca="1" si="40"/>
        <v>0</v>
      </c>
      <c r="AF203" s="98">
        <f ca="1">IF('Invoer gegevens'!$C$17=E203,X203,IF(C203=0,0,AG202))</f>
        <v>0</v>
      </c>
      <c r="AG203" s="98">
        <f t="shared" ca="1" si="41"/>
        <v>0</v>
      </c>
      <c r="AH203" s="66"/>
      <c r="AI203" s="71">
        <f ca="1">IF(C203=1,Reeksen!AI203*((F203-G203+F203)/2)*12+Reeksen!AD203*((L203-M203+L203)/2)*12,0)</f>
        <v>0</v>
      </c>
      <c r="AJ203" s="71">
        <f ca="1">-AI203*'Invoer gegevens'!$F$28</f>
        <v>0</v>
      </c>
      <c r="AK203" s="71">
        <f t="shared" ca="1" si="42"/>
        <v>0</v>
      </c>
      <c r="AL203" s="71">
        <f ca="1">IF(C203=1,Reeksen!AL203*((F203-G203+F203)/2)*12+Reeksen!AM203*((L203-M203+L203)/2)*12,0)</f>
        <v>0</v>
      </c>
      <c r="AM203" s="71">
        <f ca="1">-AL203*'Invoer gegevens'!$F$31</f>
        <v>0</v>
      </c>
      <c r="AN203" s="71">
        <f t="shared" ca="1" si="43"/>
        <v>0</v>
      </c>
      <c r="AO203" s="71">
        <f ca="1">IF(C203=1,(H203+J203+N203+P203)*Reeksen!AN203,0)</f>
        <v>0</v>
      </c>
      <c r="AP203" s="71">
        <f ca="1">-IF(C203=1,(H203+J203+N203+P203)*'Hulp - basis'!$G$550*Reeksen!H203,0)</f>
        <v>0</v>
      </c>
      <c r="AQ203" s="71">
        <f ca="1">-IF(C203=1,(F203+K203+L203+Q203)/2*'Invoer gegevens'!$F$35*Reeksen!J203,0)*2</f>
        <v>0</v>
      </c>
      <c r="AR203" s="71"/>
      <c r="AS203" s="71">
        <f ca="1">-IF(C203=1,(F203+K203+L203+Q203)/2*'Invoer gegevens'!$F$37*Reeksen!L203,0)</f>
        <v>0</v>
      </c>
      <c r="AT203" s="71">
        <f ca="1">-IF(C203=1,IF(E203='Invoer gegevens'!$C$17,'Invoer gegevens'!$C$11,AD203)*Reeksen!S203*'Invoer gegevens'!$C$18*Reeksen!P203,0)</f>
        <v>0</v>
      </c>
      <c r="AU203" s="71">
        <f ca="1">-IF(C203=1,(F203+K203+L203+Q203)/2*'Invoer gegevens'!$F$38*Reeksen!H203,0)</f>
        <v>0</v>
      </c>
      <c r="AV203" s="71">
        <f t="shared" si="35"/>
        <v>0</v>
      </c>
      <c r="AW203" s="71">
        <f t="shared" ca="1" si="44"/>
        <v>0</v>
      </c>
      <c r="AX203" s="71">
        <f ca="1">IF(E203&lt;'Invoer gegevens'!$C$17+15,0,IF(E203&gt;'Invoer gegevens'!$C$17+215,0,AW203))</f>
        <v>0</v>
      </c>
      <c r="AY203" s="71">
        <f ca="1">AX203/(1+'Invoer gegevens'!$F$18)^($AZ203-('Invoer gegevens'!$C$17-'Invoer gegevens'!$C$16))/(1+'Invoer gegevens'!$C$39)^('Invoer gegevens'!$C$17-'Invoer gegevens'!$C$16)</f>
        <v>0</v>
      </c>
      <c r="AZ203" s="68">
        <f ca="1">IF(E203-'Invoer gegevens'!$C$17-14.5&lt;0,0,E203-'Invoer gegevens'!$C$17-14.5)</f>
        <v>183.5</v>
      </c>
    </row>
    <row r="204" spans="1:52" x14ac:dyDescent="0.25">
      <c r="A204" s="59"/>
      <c r="B204" s="70">
        <f t="shared" si="45"/>
        <v>200</v>
      </c>
      <c r="C204" s="67">
        <f ca="1">IF(E204-'Invoer gegevens'!$C$17&lt;0,0,1)</f>
        <v>1</v>
      </c>
      <c r="D204" s="68">
        <f t="shared" si="46"/>
        <v>199.5</v>
      </c>
      <c r="E204" s="69">
        <f ca="1">IF('Invoer gegevens'!$C$16="","",E203+1)</f>
        <v>2218</v>
      </c>
      <c r="F204" s="84">
        <f ca="1">IF('Invoer gegevens'!$C$17=E204,'Invoer gegevens'!$C$10,IF(C204=1,K203,0))</f>
        <v>0</v>
      </c>
      <c r="G204" s="96">
        <f ca="1">IF(C204&gt;=1,F204*VLOOKUP(E204,Reeksen!$A$5:$B$76,2),0)</f>
        <v>0</v>
      </c>
      <c r="H204" s="84">
        <f ca="1">(1-('Invoer gegevens'!$F$20/12))*F204*MIN(Reeksen!B204,Reeksen!D204)</f>
        <v>0</v>
      </c>
      <c r="I204" s="84">
        <f>IF(Reeksen!D204&lt;Reeksen!B204,(Reeksen!B204-Reeksen!D204)*F204,0)</f>
        <v>0</v>
      </c>
      <c r="J204" s="84">
        <f ca="1">('Invoer gegevens'!$F$20/12)*F203*MIN(Reeksen!B203,Reeksen!D203)</f>
        <v>0</v>
      </c>
      <c r="K204" s="97">
        <f t="shared" ca="1" si="36"/>
        <v>0</v>
      </c>
      <c r="L204" s="84">
        <f ca="1">IF('Invoer gegevens'!$C$17=E204,0,IF(C204=1,Q203,0))</f>
        <v>0</v>
      </c>
      <c r="M204" s="96">
        <f ca="1">IF(C204&gt;=1,L204*VLOOKUP(E204,Reeksen!$A$5:$B$76,2),0)</f>
        <v>0</v>
      </c>
      <c r="N204" s="84">
        <f ca="1">(1-('Invoer gegevens'!$F$20/12))*L204*MIN(Reeksen!B204,Reeksen!D204)</f>
        <v>0</v>
      </c>
      <c r="O204" s="84">
        <f>IF(Reeksen!D204&lt;Reeksen!B204,(Reeksen!B204-Reeksen!D204)*L204,0)</f>
        <v>0</v>
      </c>
      <c r="P204" s="84">
        <f ca="1">('Invoer gegevens'!$F$20/12)*L203*MIN(Reeksen!B203,Reeksen!D203)</f>
        <v>0</v>
      </c>
      <c r="Q204" s="84">
        <f t="shared" ca="1" si="37"/>
        <v>0</v>
      </c>
      <c r="R204" s="82">
        <f ca="1">IF('Invoer gegevens'!$C$17=E204,'Invoer gegevens'!$C$11,IF(C204=1,W203,0))</f>
        <v>0</v>
      </c>
      <c r="S204" s="86">
        <f ca="1">IF(C204&gt;=1,R204*VLOOKUP(E204,Reeksen!$A$5:$B$76,2),0)</f>
        <v>0</v>
      </c>
      <c r="T204" s="84">
        <f ca="1">(1-('Invoer gegevens'!$F$20/12))*R204*MIN(Reeksen!B204,Reeksen!D204)</f>
        <v>0</v>
      </c>
      <c r="U204" s="84">
        <f>IF(Reeksen!D204&gt;=Reeksen!B204,0,IF(Reeksen!AD204&lt;=Reeksen!AE204,(Reeksen!B204-Reeksen!D204)*R204,0))</f>
        <v>0</v>
      </c>
      <c r="V204" s="86">
        <f>IF(Reeksen!D204&gt;=Reeksen!B204,0,IF(Reeksen!AD204&gt;Reeksen!AE204,(Reeksen!B204-Reeksen!D204)*R204,0))</f>
        <v>0</v>
      </c>
      <c r="W204" s="97">
        <f t="shared" ca="1" si="38"/>
        <v>0</v>
      </c>
      <c r="X204" s="98">
        <f ca="1">IF('Invoer gegevens'!$C$17=E204,'Invoer gegevens'!$C$10-'Invoer gegevens'!$C$11,IF(C204=1,AC203,0))</f>
        <v>0</v>
      </c>
      <c r="Y204" s="98">
        <f ca="1">IF(C204&gt;=1,X204*VLOOKUP(E204,Reeksen!$A$5:$B$76,2),0)</f>
        <v>0</v>
      </c>
      <c r="Z204" s="98">
        <f ca="1">(1-('Invoer gegevens'!$F$20/12))*X204*MIN(Reeksen!B204,Reeksen!D204)</f>
        <v>0</v>
      </c>
      <c r="AA204" s="98">
        <f>IF(Reeksen!D204&gt;=Reeksen!B204,0,IF(Reeksen!AD204&lt;=Reeksen!AE204,(Reeksen!B204-Reeksen!D204)*X204,0))</f>
        <v>0</v>
      </c>
      <c r="AB204" s="98">
        <f>IF(Reeksen!D204&gt;=Reeksen!B204,0,IF(Reeksen!AD204&gt;Reeksen!AE204,(Reeksen!B204-Reeksen!D204)*X204,0))</f>
        <v>0</v>
      </c>
      <c r="AC204" s="99">
        <f t="shared" ca="1" si="39"/>
        <v>0</v>
      </c>
      <c r="AD204" s="98">
        <f ca="1">IF('Invoer gegevens'!$C$17=E204,R204,IF(C204=0,0,AE203))</f>
        <v>0</v>
      </c>
      <c r="AE204" s="98">
        <f t="shared" ca="1" si="40"/>
        <v>0</v>
      </c>
      <c r="AF204" s="98">
        <f ca="1">IF('Invoer gegevens'!$C$17=E204,X204,IF(C204=0,0,AG203))</f>
        <v>0</v>
      </c>
      <c r="AG204" s="98">
        <f t="shared" ca="1" si="41"/>
        <v>0</v>
      </c>
      <c r="AH204" s="66"/>
      <c r="AI204" s="71">
        <f ca="1">IF(C204=1,Reeksen!AI204*((F204-G204+F204)/2)*12+Reeksen!AD204*((L204-M204+L204)/2)*12,0)</f>
        <v>0</v>
      </c>
      <c r="AJ204" s="71">
        <f ca="1">-AI204*'Invoer gegevens'!$F$28</f>
        <v>0</v>
      </c>
      <c r="AK204" s="71">
        <f t="shared" ca="1" si="42"/>
        <v>0</v>
      </c>
      <c r="AL204" s="71">
        <f ca="1">IF(C204=1,Reeksen!AL204*((F204-G204+F204)/2)*12+Reeksen!AM204*((L204-M204+L204)/2)*12,0)</f>
        <v>0</v>
      </c>
      <c r="AM204" s="71">
        <f ca="1">-AL204*'Invoer gegevens'!$F$31</f>
        <v>0</v>
      </c>
      <c r="AN204" s="71">
        <f t="shared" ca="1" si="43"/>
        <v>0</v>
      </c>
      <c r="AO204" s="71">
        <f ca="1">IF(C204=1,(H204+J204+N204+P204)*Reeksen!AN204,0)</f>
        <v>0</v>
      </c>
      <c r="AP204" s="71">
        <f ca="1">-IF(C204=1,(H204+J204+N204+P204)*'Hulp - basis'!$G$550*Reeksen!H204,0)</f>
        <v>0</v>
      </c>
      <c r="AQ204" s="71">
        <f ca="1">-IF(C204=1,(F204+K204+L204+Q204)/2*'Invoer gegevens'!$F$35*Reeksen!J204,0)*2</f>
        <v>0</v>
      </c>
      <c r="AR204" s="71"/>
      <c r="AS204" s="71">
        <f ca="1">-IF(C204=1,(F204+K204+L204+Q204)/2*'Invoer gegevens'!$F$37*Reeksen!L204,0)</f>
        <v>0</v>
      </c>
      <c r="AT204" s="71">
        <f ca="1">-IF(C204=1,IF(E204='Invoer gegevens'!$C$17,'Invoer gegevens'!$C$11,AD204)*Reeksen!S204*'Invoer gegevens'!$C$18*Reeksen!P204,0)</f>
        <v>0</v>
      </c>
      <c r="AU204" s="71">
        <f ca="1">-IF(C204=1,(F204+K204+L204+Q204)/2*'Invoer gegevens'!$F$38*Reeksen!H204,0)</f>
        <v>0</v>
      </c>
      <c r="AV204" s="71">
        <f t="shared" si="35"/>
        <v>0</v>
      </c>
      <c r="AW204" s="71">
        <f t="shared" ca="1" si="44"/>
        <v>0</v>
      </c>
      <c r="AX204" s="71">
        <f ca="1">IF(E204&lt;'Invoer gegevens'!$C$17+15,0,IF(E204&gt;'Invoer gegevens'!$C$17+215,0,AW204))</f>
        <v>0</v>
      </c>
      <c r="AY204" s="71">
        <f ca="1">AX204/(1+'Invoer gegevens'!$F$18)^($AZ204-('Invoer gegevens'!$C$17-'Invoer gegevens'!$C$16))/(1+'Invoer gegevens'!$C$39)^('Invoer gegevens'!$C$17-'Invoer gegevens'!$C$16)</f>
        <v>0</v>
      </c>
      <c r="AZ204" s="68">
        <f ca="1">IF(E204-'Invoer gegevens'!$C$17-14.5&lt;0,0,E204-'Invoer gegevens'!$C$17-14.5)</f>
        <v>184.5</v>
      </c>
    </row>
    <row r="205" spans="1:52" x14ac:dyDescent="0.25">
      <c r="A205" s="59"/>
      <c r="B205" s="70">
        <f t="shared" si="45"/>
        <v>201</v>
      </c>
      <c r="C205" s="67">
        <f ca="1">IF(E205-'Invoer gegevens'!$C$17&lt;0,0,1)</f>
        <v>1</v>
      </c>
      <c r="D205" s="68">
        <f t="shared" si="46"/>
        <v>200.5</v>
      </c>
      <c r="E205" s="69">
        <f ca="1">IF('Invoer gegevens'!$C$16="","",E204+1)</f>
        <v>2219</v>
      </c>
      <c r="F205" s="84">
        <f ca="1">IF('Invoer gegevens'!$C$17=E205,'Invoer gegevens'!$C$10,IF(C205=1,K204,0))</f>
        <v>0</v>
      </c>
      <c r="G205" s="96">
        <f ca="1">IF(C205&gt;=1,F205*VLOOKUP(E205,Reeksen!$A$5:$B$76,2),0)</f>
        <v>0</v>
      </c>
      <c r="H205" s="84">
        <f ca="1">(1-('Invoer gegevens'!$F$20/12))*F205*MIN(Reeksen!B205,Reeksen!D205)</f>
        <v>0</v>
      </c>
      <c r="I205" s="84">
        <f>IF(Reeksen!D205&lt;Reeksen!B205,(Reeksen!B205-Reeksen!D205)*F205,0)</f>
        <v>0</v>
      </c>
      <c r="J205" s="84">
        <f ca="1">('Invoer gegevens'!$F$20/12)*F204*MIN(Reeksen!B204,Reeksen!D204)</f>
        <v>0</v>
      </c>
      <c r="K205" s="97">
        <f t="shared" ca="1" si="36"/>
        <v>0</v>
      </c>
      <c r="L205" s="84">
        <f ca="1">IF('Invoer gegevens'!$C$17=E205,0,IF(C205=1,Q204,0))</f>
        <v>0</v>
      </c>
      <c r="M205" s="96">
        <f ca="1">IF(C205&gt;=1,L205*VLOOKUP(E205,Reeksen!$A$5:$B$76,2),0)</f>
        <v>0</v>
      </c>
      <c r="N205" s="84">
        <f ca="1">(1-('Invoer gegevens'!$F$20/12))*L205*MIN(Reeksen!B205,Reeksen!D205)</f>
        <v>0</v>
      </c>
      <c r="O205" s="84">
        <f>IF(Reeksen!D205&lt;Reeksen!B205,(Reeksen!B205-Reeksen!D205)*L205,0)</f>
        <v>0</v>
      </c>
      <c r="P205" s="84">
        <f ca="1">('Invoer gegevens'!$F$20/12)*L204*MIN(Reeksen!B204,Reeksen!D204)</f>
        <v>0</v>
      </c>
      <c r="Q205" s="84">
        <f t="shared" ca="1" si="37"/>
        <v>0</v>
      </c>
      <c r="R205" s="82">
        <f ca="1">IF('Invoer gegevens'!$C$17=E205,'Invoer gegevens'!$C$11,IF(C205=1,W204,0))</f>
        <v>0</v>
      </c>
      <c r="S205" s="86">
        <f ca="1">IF(C205&gt;=1,R205*VLOOKUP(E205,Reeksen!$A$5:$B$76,2),0)</f>
        <v>0</v>
      </c>
      <c r="T205" s="84">
        <f ca="1">(1-('Invoer gegevens'!$F$20/12))*R205*MIN(Reeksen!B205,Reeksen!D205)</f>
        <v>0</v>
      </c>
      <c r="U205" s="84">
        <f>IF(Reeksen!D205&gt;=Reeksen!B205,0,IF(Reeksen!AD205&lt;=Reeksen!AE205,(Reeksen!B205-Reeksen!D205)*R205,0))</f>
        <v>0</v>
      </c>
      <c r="V205" s="86">
        <f>IF(Reeksen!D205&gt;=Reeksen!B205,0,IF(Reeksen!AD205&gt;Reeksen!AE205,(Reeksen!B205-Reeksen!D205)*R205,0))</f>
        <v>0</v>
      </c>
      <c r="W205" s="97">
        <f t="shared" ca="1" si="38"/>
        <v>0</v>
      </c>
      <c r="X205" s="98">
        <f ca="1">IF('Invoer gegevens'!$C$17=E205,'Invoer gegevens'!$C$10-'Invoer gegevens'!$C$11,IF(C205=1,AC204,0))</f>
        <v>0</v>
      </c>
      <c r="Y205" s="98">
        <f ca="1">IF(C205&gt;=1,X205*VLOOKUP(E205,Reeksen!$A$5:$B$76,2),0)</f>
        <v>0</v>
      </c>
      <c r="Z205" s="98">
        <f ca="1">(1-('Invoer gegevens'!$F$20/12))*X205*MIN(Reeksen!B205,Reeksen!D205)</f>
        <v>0</v>
      </c>
      <c r="AA205" s="98">
        <f>IF(Reeksen!D205&gt;=Reeksen!B205,0,IF(Reeksen!AD205&lt;=Reeksen!AE205,(Reeksen!B205-Reeksen!D205)*X205,0))</f>
        <v>0</v>
      </c>
      <c r="AB205" s="98">
        <f>IF(Reeksen!D205&gt;=Reeksen!B205,0,IF(Reeksen!AD205&gt;Reeksen!AE205,(Reeksen!B205-Reeksen!D205)*X205,0))</f>
        <v>0</v>
      </c>
      <c r="AC205" s="99">
        <f t="shared" ca="1" si="39"/>
        <v>0</v>
      </c>
      <c r="AD205" s="98">
        <f ca="1">IF('Invoer gegevens'!$C$17=E205,R205,IF(C205=0,0,AE204))</f>
        <v>0</v>
      </c>
      <c r="AE205" s="98">
        <f t="shared" ca="1" si="40"/>
        <v>0</v>
      </c>
      <c r="AF205" s="98">
        <f ca="1">IF('Invoer gegevens'!$C$17=E205,X205,IF(C205=0,0,AG204))</f>
        <v>0</v>
      </c>
      <c r="AG205" s="98">
        <f t="shared" ca="1" si="41"/>
        <v>0</v>
      </c>
      <c r="AH205" s="66"/>
      <c r="AI205" s="71">
        <f ca="1">IF(C205=1,Reeksen!AI205*((F205-G205+F205)/2)*12+Reeksen!AD205*((L205-M205+L205)/2)*12,0)</f>
        <v>0</v>
      </c>
      <c r="AJ205" s="71">
        <f ca="1">-AI205*'Invoer gegevens'!$F$28</f>
        <v>0</v>
      </c>
      <c r="AK205" s="71">
        <f t="shared" ca="1" si="42"/>
        <v>0</v>
      </c>
      <c r="AL205" s="71">
        <f ca="1">IF(C205=1,Reeksen!AL205*((F205-G205+F205)/2)*12+Reeksen!AM205*((L205-M205+L205)/2)*12,0)</f>
        <v>0</v>
      </c>
      <c r="AM205" s="71">
        <f ca="1">-AL205*'Invoer gegevens'!$F$31</f>
        <v>0</v>
      </c>
      <c r="AN205" s="71">
        <f t="shared" ca="1" si="43"/>
        <v>0</v>
      </c>
      <c r="AO205" s="71">
        <f ca="1">IF(C205=1,(H205+J205+N205+P205)*Reeksen!AN205,0)</f>
        <v>0</v>
      </c>
      <c r="AP205" s="71">
        <f ca="1">-IF(C205=1,(H205+J205+N205+P205)*'Hulp - basis'!$G$550*Reeksen!H205,0)</f>
        <v>0</v>
      </c>
      <c r="AQ205" s="71">
        <f ca="1">-IF(C205=1,(F205+K205+L205+Q205)/2*'Invoer gegevens'!$F$35*Reeksen!J205,0)*2</f>
        <v>0</v>
      </c>
      <c r="AR205" s="71"/>
      <c r="AS205" s="71">
        <f ca="1">-IF(C205=1,(F205+K205+L205+Q205)/2*'Invoer gegevens'!$F$37*Reeksen!L205,0)</f>
        <v>0</v>
      </c>
      <c r="AT205" s="71">
        <f ca="1">-IF(C205=1,IF(E205='Invoer gegevens'!$C$17,'Invoer gegevens'!$C$11,AD205)*Reeksen!S205*'Invoer gegevens'!$C$18*Reeksen!P205,0)</f>
        <v>0</v>
      </c>
      <c r="AU205" s="71">
        <f ca="1">-IF(C205=1,(F205+K205+L205+Q205)/2*'Invoer gegevens'!$F$38*Reeksen!H205,0)</f>
        <v>0</v>
      </c>
      <c r="AV205" s="71">
        <f t="shared" si="35"/>
        <v>0</v>
      </c>
      <c r="AW205" s="71">
        <f t="shared" ca="1" si="44"/>
        <v>0</v>
      </c>
      <c r="AX205" s="71">
        <f ca="1">IF(E205&lt;'Invoer gegevens'!$C$17+15,0,IF(E205&gt;'Invoer gegevens'!$C$17+215,0,AW205))</f>
        <v>0</v>
      </c>
      <c r="AY205" s="71">
        <f ca="1">AX205/(1+'Invoer gegevens'!$F$18)^($AZ205-('Invoer gegevens'!$C$17-'Invoer gegevens'!$C$16))/(1+'Invoer gegevens'!$C$39)^('Invoer gegevens'!$C$17-'Invoer gegevens'!$C$16)</f>
        <v>0</v>
      </c>
      <c r="AZ205" s="68">
        <f ca="1">IF(E205-'Invoer gegevens'!$C$17-14.5&lt;0,0,E205-'Invoer gegevens'!$C$17-14.5)</f>
        <v>185.5</v>
      </c>
    </row>
    <row r="206" spans="1:52" x14ac:dyDescent="0.25">
      <c r="A206" s="59"/>
      <c r="B206" s="70">
        <f t="shared" si="45"/>
        <v>202</v>
      </c>
      <c r="C206" s="67">
        <f ca="1">IF(E206-'Invoer gegevens'!$C$17&lt;0,0,1)</f>
        <v>1</v>
      </c>
      <c r="D206" s="68">
        <f t="shared" si="46"/>
        <v>201.5</v>
      </c>
      <c r="E206" s="69">
        <f ca="1">IF('Invoer gegevens'!$C$16="","",E205+1)</f>
        <v>2220</v>
      </c>
      <c r="F206" s="84">
        <f ca="1">IF('Invoer gegevens'!$C$17=E206,'Invoer gegevens'!$C$10,IF(C206=1,K205,0))</f>
        <v>0</v>
      </c>
      <c r="G206" s="96">
        <f ca="1">IF(C206&gt;=1,F206*VLOOKUP(E206,Reeksen!$A$5:$B$76,2),0)</f>
        <v>0</v>
      </c>
      <c r="H206" s="84">
        <f ca="1">(1-('Invoer gegevens'!$F$20/12))*F206*MIN(Reeksen!B206,Reeksen!D206)</f>
        <v>0</v>
      </c>
      <c r="I206" s="84">
        <f>IF(Reeksen!D206&lt;Reeksen!B206,(Reeksen!B206-Reeksen!D206)*F206,0)</f>
        <v>0</v>
      </c>
      <c r="J206" s="84">
        <f ca="1">('Invoer gegevens'!$F$20/12)*F205*MIN(Reeksen!B205,Reeksen!D205)</f>
        <v>0</v>
      </c>
      <c r="K206" s="97">
        <f t="shared" ca="1" si="36"/>
        <v>0</v>
      </c>
      <c r="L206" s="84">
        <f ca="1">IF('Invoer gegevens'!$C$17=E206,0,IF(C206=1,Q205,0))</f>
        <v>0</v>
      </c>
      <c r="M206" s="96">
        <f ca="1">IF(C206&gt;=1,L206*VLOOKUP(E206,Reeksen!$A$5:$B$76,2),0)</f>
        <v>0</v>
      </c>
      <c r="N206" s="84">
        <f ca="1">(1-('Invoer gegevens'!$F$20/12))*L206*MIN(Reeksen!B206,Reeksen!D206)</f>
        <v>0</v>
      </c>
      <c r="O206" s="84">
        <f>IF(Reeksen!D206&lt;Reeksen!B206,(Reeksen!B206-Reeksen!D206)*L206,0)</f>
        <v>0</v>
      </c>
      <c r="P206" s="84">
        <f ca="1">('Invoer gegevens'!$F$20/12)*L205*MIN(Reeksen!B205,Reeksen!D205)</f>
        <v>0</v>
      </c>
      <c r="Q206" s="84">
        <f t="shared" ca="1" si="37"/>
        <v>0</v>
      </c>
      <c r="R206" s="82">
        <f ca="1">IF('Invoer gegevens'!$C$17=E206,'Invoer gegevens'!$C$11,IF(C206=1,W205,0))</f>
        <v>0</v>
      </c>
      <c r="S206" s="86">
        <f ca="1">IF(C206&gt;=1,R206*VLOOKUP(E206,Reeksen!$A$5:$B$76,2),0)</f>
        <v>0</v>
      </c>
      <c r="T206" s="84">
        <f ca="1">(1-('Invoer gegevens'!$F$20/12))*R206*MIN(Reeksen!B206,Reeksen!D206)</f>
        <v>0</v>
      </c>
      <c r="U206" s="84">
        <f>IF(Reeksen!D206&gt;=Reeksen!B206,0,IF(Reeksen!AD206&lt;=Reeksen!AE206,(Reeksen!B206-Reeksen!D206)*R206,0))</f>
        <v>0</v>
      </c>
      <c r="V206" s="86">
        <f>IF(Reeksen!D206&gt;=Reeksen!B206,0,IF(Reeksen!AD206&gt;Reeksen!AE206,(Reeksen!B206-Reeksen!D206)*R206,0))</f>
        <v>0</v>
      </c>
      <c r="W206" s="97">
        <f t="shared" ca="1" si="38"/>
        <v>0</v>
      </c>
      <c r="X206" s="98">
        <f ca="1">IF('Invoer gegevens'!$C$17=E206,'Invoer gegevens'!$C$10-'Invoer gegevens'!$C$11,IF(C206=1,AC205,0))</f>
        <v>0</v>
      </c>
      <c r="Y206" s="98">
        <f ca="1">IF(C206&gt;=1,X206*VLOOKUP(E206,Reeksen!$A$5:$B$76,2),0)</f>
        <v>0</v>
      </c>
      <c r="Z206" s="98">
        <f ca="1">(1-('Invoer gegevens'!$F$20/12))*X206*MIN(Reeksen!B206,Reeksen!D206)</f>
        <v>0</v>
      </c>
      <c r="AA206" s="98">
        <f>IF(Reeksen!D206&gt;=Reeksen!B206,0,IF(Reeksen!AD206&lt;=Reeksen!AE206,(Reeksen!B206-Reeksen!D206)*X206,0))</f>
        <v>0</v>
      </c>
      <c r="AB206" s="98">
        <f>IF(Reeksen!D206&gt;=Reeksen!B206,0,IF(Reeksen!AD206&gt;Reeksen!AE206,(Reeksen!B206-Reeksen!D206)*X206,0))</f>
        <v>0</v>
      </c>
      <c r="AC206" s="99">
        <f t="shared" ca="1" si="39"/>
        <v>0</v>
      </c>
      <c r="AD206" s="98">
        <f ca="1">IF('Invoer gegevens'!$C$17=E206,R206,IF(C206=0,0,AE205))</f>
        <v>0</v>
      </c>
      <c r="AE206" s="98">
        <f t="shared" ca="1" si="40"/>
        <v>0</v>
      </c>
      <c r="AF206" s="98">
        <f ca="1">IF('Invoer gegevens'!$C$17=E206,X206,IF(C206=0,0,AG205))</f>
        <v>0</v>
      </c>
      <c r="AG206" s="98">
        <f t="shared" ca="1" si="41"/>
        <v>0</v>
      </c>
      <c r="AH206" s="66"/>
      <c r="AI206" s="71">
        <f ca="1">IF(C206=1,Reeksen!AI206*((F206-G206+F206)/2)*12+Reeksen!AD206*((L206-M206+L206)/2)*12,0)</f>
        <v>0</v>
      </c>
      <c r="AJ206" s="71">
        <f ca="1">-AI206*'Invoer gegevens'!$F$28</f>
        <v>0</v>
      </c>
      <c r="AK206" s="71">
        <f t="shared" ca="1" si="42"/>
        <v>0</v>
      </c>
      <c r="AL206" s="71">
        <f ca="1">IF(C206=1,Reeksen!AL206*((F206-G206+F206)/2)*12+Reeksen!AM206*((L206-M206+L206)/2)*12,0)</f>
        <v>0</v>
      </c>
      <c r="AM206" s="71">
        <f ca="1">-AL206*'Invoer gegevens'!$F$31</f>
        <v>0</v>
      </c>
      <c r="AN206" s="71">
        <f t="shared" ca="1" si="43"/>
        <v>0</v>
      </c>
      <c r="AO206" s="71">
        <f ca="1">IF(C206=1,(H206+J206+N206+P206)*Reeksen!AN206,0)</f>
        <v>0</v>
      </c>
      <c r="AP206" s="71">
        <f ca="1">-IF(C206=1,(H206+J206+N206+P206)*'Hulp - basis'!$G$550*Reeksen!H206,0)</f>
        <v>0</v>
      </c>
      <c r="AQ206" s="71">
        <f ca="1">-IF(C206=1,(F206+K206+L206+Q206)/2*'Invoer gegevens'!$F$35*Reeksen!J206,0)*2</f>
        <v>0</v>
      </c>
      <c r="AR206" s="71"/>
      <c r="AS206" s="71">
        <f ca="1">-IF(C206=1,(F206+K206+L206+Q206)/2*'Invoer gegevens'!$F$37*Reeksen!L206,0)</f>
        <v>0</v>
      </c>
      <c r="AT206" s="71">
        <f ca="1">-IF(C206=1,IF(E206='Invoer gegevens'!$C$17,'Invoer gegevens'!$C$11,AD206)*Reeksen!S206*'Invoer gegevens'!$C$18*Reeksen!P206,0)</f>
        <v>0</v>
      </c>
      <c r="AU206" s="71">
        <f ca="1">-IF(C206=1,(F206+K206+L206+Q206)/2*'Invoer gegevens'!$F$38*Reeksen!H206,0)</f>
        <v>0</v>
      </c>
      <c r="AV206" s="71">
        <f t="shared" si="35"/>
        <v>0</v>
      </c>
      <c r="AW206" s="71">
        <f t="shared" ca="1" si="44"/>
        <v>0</v>
      </c>
      <c r="AX206" s="71">
        <f ca="1">IF(E206&lt;'Invoer gegevens'!$C$17+15,0,IF(E206&gt;'Invoer gegevens'!$C$17+215,0,AW206))</f>
        <v>0</v>
      </c>
      <c r="AY206" s="71">
        <f ca="1">AX206/(1+'Invoer gegevens'!$F$18)^($AZ206-('Invoer gegevens'!$C$17-'Invoer gegevens'!$C$16))/(1+'Invoer gegevens'!$C$39)^('Invoer gegevens'!$C$17-'Invoer gegevens'!$C$16)</f>
        <v>0</v>
      </c>
      <c r="AZ206" s="68">
        <f ca="1">IF(E206-'Invoer gegevens'!$C$17-14.5&lt;0,0,E206-'Invoer gegevens'!$C$17-14.5)</f>
        <v>186.5</v>
      </c>
    </row>
    <row r="207" spans="1:52" x14ac:dyDescent="0.25">
      <c r="A207" s="59"/>
      <c r="B207" s="70">
        <f t="shared" si="45"/>
        <v>203</v>
      </c>
      <c r="C207" s="67">
        <f ca="1">IF(E207-'Invoer gegevens'!$C$17&lt;0,0,1)</f>
        <v>1</v>
      </c>
      <c r="D207" s="68">
        <f t="shared" si="46"/>
        <v>202.5</v>
      </c>
      <c r="E207" s="69">
        <f ca="1">IF('Invoer gegevens'!$C$16="","",E206+1)</f>
        <v>2221</v>
      </c>
      <c r="F207" s="84">
        <f ca="1">IF('Invoer gegevens'!$C$17=E207,'Invoer gegevens'!$C$10,IF(C207=1,K206,0))</f>
        <v>0</v>
      </c>
      <c r="G207" s="96">
        <f ca="1">IF(C207&gt;=1,F207*VLOOKUP(E207,Reeksen!$A$5:$B$76,2),0)</f>
        <v>0</v>
      </c>
      <c r="H207" s="84">
        <f ca="1">(1-('Invoer gegevens'!$F$20/12))*F207*MIN(Reeksen!B207,Reeksen!D207)</f>
        <v>0</v>
      </c>
      <c r="I207" s="84">
        <f>IF(Reeksen!D207&lt;Reeksen!B207,(Reeksen!B207-Reeksen!D207)*F207,0)</f>
        <v>0</v>
      </c>
      <c r="J207" s="84">
        <f ca="1">('Invoer gegevens'!$F$20/12)*F206*MIN(Reeksen!B206,Reeksen!D206)</f>
        <v>0</v>
      </c>
      <c r="K207" s="97">
        <f t="shared" ca="1" si="36"/>
        <v>0</v>
      </c>
      <c r="L207" s="84">
        <f ca="1">IF('Invoer gegevens'!$C$17=E207,0,IF(C207=1,Q206,0))</f>
        <v>0</v>
      </c>
      <c r="M207" s="96">
        <f ca="1">IF(C207&gt;=1,L207*VLOOKUP(E207,Reeksen!$A$5:$B$76,2),0)</f>
        <v>0</v>
      </c>
      <c r="N207" s="84">
        <f ca="1">(1-('Invoer gegevens'!$F$20/12))*L207*MIN(Reeksen!B207,Reeksen!D207)</f>
        <v>0</v>
      </c>
      <c r="O207" s="84">
        <f>IF(Reeksen!D207&lt;Reeksen!B207,(Reeksen!B207-Reeksen!D207)*L207,0)</f>
        <v>0</v>
      </c>
      <c r="P207" s="84">
        <f ca="1">('Invoer gegevens'!$F$20/12)*L206*MIN(Reeksen!B206,Reeksen!D206)</f>
        <v>0</v>
      </c>
      <c r="Q207" s="84">
        <f t="shared" ca="1" si="37"/>
        <v>0</v>
      </c>
      <c r="R207" s="82">
        <f ca="1">IF('Invoer gegevens'!$C$17=E207,'Invoer gegevens'!$C$11,IF(C207=1,W206,0))</f>
        <v>0</v>
      </c>
      <c r="S207" s="86">
        <f ca="1">IF(C207&gt;=1,R207*VLOOKUP(E207,Reeksen!$A$5:$B$76,2),0)</f>
        <v>0</v>
      </c>
      <c r="T207" s="84">
        <f ca="1">(1-('Invoer gegevens'!$F$20/12))*R207*MIN(Reeksen!B207,Reeksen!D207)</f>
        <v>0</v>
      </c>
      <c r="U207" s="84">
        <f>IF(Reeksen!D207&gt;=Reeksen!B207,0,IF(Reeksen!AD207&lt;=Reeksen!AE207,(Reeksen!B207-Reeksen!D207)*R207,0))</f>
        <v>0</v>
      </c>
      <c r="V207" s="86">
        <f>IF(Reeksen!D207&gt;=Reeksen!B207,0,IF(Reeksen!AD207&gt;Reeksen!AE207,(Reeksen!B207-Reeksen!D207)*R207,0))</f>
        <v>0</v>
      </c>
      <c r="W207" s="97">
        <f t="shared" ca="1" si="38"/>
        <v>0</v>
      </c>
      <c r="X207" s="98">
        <f ca="1">IF('Invoer gegevens'!$C$17=E207,'Invoer gegevens'!$C$10-'Invoer gegevens'!$C$11,IF(C207=1,AC206,0))</f>
        <v>0</v>
      </c>
      <c r="Y207" s="98">
        <f ca="1">IF(C207&gt;=1,X207*VLOOKUP(E207,Reeksen!$A$5:$B$76,2),0)</f>
        <v>0</v>
      </c>
      <c r="Z207" s="98">
        <f ca="1">(1-('Invoer gegevens'!$F$20/12))*X207*MIN(Reeksen!B207,Reeksen!D207)</f>
        <v>0</v>
      </c>
      <c r="AA207" s="98">
        <f>IF(Reeksen!D207&gt;=Reeksen!B207,0,IF(Reeksen!AD207&lt;=Reeksen!AE207,(Reeksen!B207-Reeksen!D207)*X207,0))</f>
        <v>0</v>
      </c>
      <c r="AB207" s="98">
        <f>IF(Reeksen!D207&gt;=Reeksen!B207,0,IF(Reeksen!AD207&gt;Reeksen!AE207,(Reeksen!B207-Reeksen!D207)*X207,0))</f>
        <v>0</v>
      </c>
      <c r="AC207" s="99">
        <f t="shared" ca="1" si="39"/>
        <v>0</v>
      </c>
      <c r="AD207" s="98">
        <f ca="1">IF('Invoer gegevens'!$C$17=E207,R207,IF(C207=0,0,AE206))</f>
        <v>0</v>
      </c>
      <c r="AE207" s="98">
        <f t="shared" ca="1" si="40"/>
        <v>0</v>
      </c>
      <c r="AF207" s="98">
        <f ca="1">IF('Invoer gegevens'!$C$17=E207,X207,IF(C207=0,0,AG206))</f>
        <v>0</v>
      </c>
      <c r="AG207" s="98">
        <f t="shared" ca="1" si="41"/>
        <v>0</v>
      </c>
      <c r="AH207" s="66"/>
      <c r="AI207" s="71">
        <f ca="1">IF(C207=1,Reeksen!AI207*((F207-G207+F207)/2)*12+Reeksen!AD207*((L207-M207+L207)/2)*12,0)</f>
        <v>0</v>
      </c>
      <c r="AJ207" s="71">
        <f ca="1">-AI207*'Invoer gegevens'!$F$28</f>
        <v>0</v>
      </c>
      <c r="AK207" s="71">
        <f t="shared" ca="1" si="42"/>
        <v>0</v>
      </c>
      <c r="AL207" s="71">
        <f ca="1">IF(C207=1,Reeksen!AL207*((F207-G207+F207)/2)*12+Reeksen!AM207*((L207-M207+L207)/2)*12,0)</f>
        <v>0</v>
      </c>
      <c r="AM207" s="71">
        <f ca="1">-AL207*'Invoer gegevens'!$F$31</f>
        <v>0</v>
      </c>
      <c r="AN207" s="71">
        <f t="shared" ca="1" si="43"/>
        <v>0</v>
      </c>
      <c r="AO207" s="71">
        <f ca="1">IF(C207=1,(H207+J207+N207+P207)*Reeksen!AN207,0)</f>
        <v>0</v>
      </c>
      <c r="AP207" s="71">
        <f ca="1">-IF(C207=1,(H207+J207+N207+P207)*'Hulp - basis'!$G$550*Reeksen!H207,0)</f>
        <v>0</v>
      </c>
      <c r="AQ207" s="71">
        <f ca="1">-IF(C207=1,(F207+K207+L207+Q207)/2*'Invoer gegevens'!$F$35*Reeksen!J207,0)*2</f>
        <v>0</v>
      </c>
      <c r="AR207" s="71"/>
      <c r="AS207" s="71">
        <f ca="1">-IF(C207=1,(F207+K207+L207+Q207)/2*'Invoer gegevens'!$F$37*Reeksen!L207,0)</f>
        <v>0</v>
      </c>
      <c r="AT207" s="71">
        <f ca="1">-IF(C207=1,IF(E207='Invoer gegevens'!$C$17,'Invoer gegevens'!$C$11,AD207)*Reeksen!S207*'Invoer gegevens'!$C$18*Reeksen!P207,0)</f>
        <v>0</v>
      </c>
      <c r="AU207" s="71">
        <f ca="1">-IF(C207=1,(F207+K207+L207+Q207)/2*'Invoer gegevens'!$F$38*Reeksen!H207,0)</f>
        <v>0</v>
      </c>
      <c r="AV207" s="71">
        <f t="shared" si="35"/>
        <v>0</v>
      </c>
      <c r="AW207" s="71">
        <f t="shared" ca="1" si="44"/>
        <v>0</v>
      </c>
      <c r="AX207" s="71">
        <f ca="1">IF(E207&lt;'Invoer gegevens'!$C$17+15,0,IF(E207&gt;'Invoer gegevens'!$C$17+215,0,AW207))</f>
        <v>0</v>
      </c>
      <c r="AY207" s="71">
        <f ca="1">AX207/(1+'Invoer gegevens'!$F$18)^($AZ207-('Invoer gegevens'!$C$17-'Invoer gegevens'!$C$16))/(1+'Invoer gegevens'!$C$39)^('Invoer gegevens'!$C$17-'Invoer gegevens'!$C$16)</f>
        <v>0</v>
      </c>
      <c r="AZ207" s="68">
        <f ca="1">IF(E207-'Invoer gegevens'!$C$17-14.5&lt;0,0,E207-'Invoer gegevens'!$C$17-14.5)</f>
        <v>187.5</v>
      </c>
    </row>
    <row r="208" spans="1:52" x14ac:dyDescent="0.25">
      <c r="A208" s="59"/>
      <c r="B208" s="70">
        <f t="shared" si="45"/>
        <v>204</v>
      </c>
      <c r="C208" s="67">
        <f ca="1">IF(E208-'Invoer gegevens'!$C$17&lt;0,0,1)</f>
        <v>1</v>
      </c>
      <c r="D208" s="68">
        <f t="shared" si="46"/>
        <v>203.5</v>
      </c>
      <c r="E208" s="69">
        <f ca="1">IF('Invoer gegevens'!$C$16="","",E207+1)</f>
        <v>2222</v>
      </c>
      <c r="F208" s="84">
        <f ca="1">IF('Invoer gegevens'!$C$17=E208,'Invoer gegevens'!$C$10,IF(C208=1,K207,0))</f>
        <v>0</v>
      </c>
      <c r="G208" s="96">
        <f ca="1">IF(C208&gt;=1,F208*VLOOKUP(E208,Reeksen!$A$5:$B$76,2),0)</f>
        <v>0</v>
      </c>
      <c r="H208" s="84">
        <f ca="1">(1-('Invoer gegevens'!$F$20/12))*F208*MIN(Reeksen!B208,Reeksen!D208)</f>
        <v>0</v>
      </c>
      <c r="I208" s="84">
        <f>IF(Reeksen!D208&lt;Reeksen!B208,(Reeksen!B208-Reeksen!D208)*F208,0)</f>
        <v>0</v>
      </c>
      <c r="J208" s="84">
        <f ca="1">('Invoer gegevens'!$F$20/12)*F207*MIN(Reeksen!B207,Reeksen!D207)</f>
        <v>0</v>
      </c>
      <c r="K208" s="97">
        <f t="shared" ca="1" si="36"/>
        <v>0</v>
      </c>
      <c r="L208" s="84">
        <f ca="1">IF('Invoer gegevens'!$C$17=E208,0,IF(C208=1,Q207,0))</f>
        <v>0</v>
      </c>
      <c r="M208" s="96">
        <f ca="1">IF(C208&gt;=1,L208*VLOOKUP(E208,Reeksen!$A$5:$B$76,2),0)</f>
        <v>0</v>
      </c>
      <c r="N208" s="84">
        <f ca="1">(1-('Invoer gegevens'!$F$20/12))*L208*MIN(Reeksen!B208,Reeksen!D208)</f>
        <v>0</v>
      </c>
      <c r="O208" s="84">
        <f>IF(Reeksen!D208&lt;Reeksen!B208,(Reeksen!B208-Reeksen!D208)*L208,0)</f>
        <v>0</v>
      </c>
      <c r="P208" s="84">
        <f ca="1">('Invoer gegevens'!$F$20/12)*L207*MIN(Reeksen!B207,Reeksen!D207)</f>
        <v>0</v>
      </c>
      <c r="Q208" s="84">
        <f t="shared" ca="1" si="37"/>
        <v>0</v>
      </c>
      <c r="R208" s="82">
        <f ca="1">IF('Invoer gegevens'!$C$17=E208,'Invoer gegevens'!$C$11,IF(C208=1,W207,0))</f>
        <v>0</v>
      </c>
      <c r="S208" s="86">
        <f ca="1">IF(C208&gt;=1,R208*VLOOKUP(E208,Reeksen!$A$5:$B$76,2),0)</f>
        <v>0</v>
      </c>
      <c r="T208" s="84">
        <f ca="1">(1-('Invoer gegevens'!$F$20/12))*R208*MIN(Reeksen!B208,Reeksen!D208)</f>
        <v>0</v>
      </c>
      <c r="U208" s="84">
        <f>IF(Reeksen!D208&gt;=Reeksen!B208,0,IF(Reeksen!AD208&lt;=Reeksen!AE208,(Reeksen!B208-Reeksen!D208)*R208,0))</f>
        <v>0</v>
      </c>
      <c r="V208" s="86">
        <f>IF(Reeksen!D208&gt;=Reeksen!B208,0,IF(Reeksen!AD208&gt;Reeksen!AE208,(Reeksen!B208-Reeksen!D208)*R208,0))</f>
        <v>0</v>
      </c>
      <c r="W208" s="97">
        <f t="shared" ca="1" si="38"/>
        <v>0</v>
      </c>
      <c r="X208" s="98">
        <f ca="1">IF('Invoer gegevens'!$C$17=E208,'Invoer gegevens'!$C$10-'Invoer gegevens'!$C$11,IF(C208=1,AC207,0))</f>
        <v>0</v>
      </c>
      <c r="Y208" s="98">
        <f ca="1">IF(C208&gt;=1,X208*VLOOKUP(E208,Reeksen!$A$5:$B$76,2),0)</f>
        <v>0</v>
      </c>
      <c r="Z208" s="98">
        <f ca="1">(1-('Invoer gegevens'!$F$20/12))*X208*MIN(Reeksen!B208,Reeksen!D208)</f>
        <v>0</v>
      </c>
      <c r="AA208" s="98">
        <f>IF(Reeksen!D208&gt;=Reeksen!B208,0,IF(Reeksen!AD208&lt;=Reeksen!AE208,(Reeksen!B208-Reeksen!D208)*X208,0))</f>
        <v>0</v>
      </c>
      <c r="AB208" s="98">
        <f>IF(Reeksen!D208&gt;=Reeksen!B208,0,IF(Reeksen!AD208&gt;Reeksen!AE208,(Reeksen!B208-Reeksen!D208)*X208,0))</f>
        <v>0</v>
      </c>
      <c r="AC208" s="99">
        <f t="shared" ca="1" si="39"/>
        <v>0</v>
      </c>
      <c r="AD208" s="98">
        <f ca="1">IF('Invoer gegevens'!$C$17=E208,R208,IF(C208=0,0,AE207))</f>
        <v>0</v>
      </c>
      <c r="AE208" s="98">
        <f t="shared" ca="1" si="40"/>
        <v>0</v>
      </c>
      <c r="AF208" s="98">
        <f ca="1">IF('Invoer gegevens'!$C$17=E208,X208,IF(C208=0,0,AG207))</f>
        <v>0</v>
      </c>
      <c r="AG208" s="98">
        <f t="shared" ca="1" si="41"/>
        <v>0</v>
      </c>
      <c r="AH208" s="66"/>
      <c r="AI208" s="71">
        <f ca="1">IF(C208=1,Reeksen!AI208*((F208-G208+F208)/2)*12+Reeksen!AD208*((L208-M208+L208)/2)*12,0)</f>
        <v>0</v>
      </c>
      <c r="AJ208" s="71">
        <f ca="1">-AI208*'Invoer gegevens'!$F$28</f>
        <v>0</v>
      </c>
      <c r="AK208" s="71">
        <f t="shared" ca="1" si="42"/>
        <v>0</v>
      </c>
      <c r="AL208" s="71">
        <f ca="1">IF(C208=1,Reeksen!AL208*((F208-G208+F208)/2)*12+Reeksen!AM208*((L208-M208+L208)/2)*12,0)</f>
        <v>0</v>
      </c>
      <c r="AM208" s="71">
        <f ca="1">-AL208*'Invoer gegevens'!$F$31</f>
        <v>0</v>
      </c>
      <c r="AN208" s="71">
        <f t="shared" ca="1" si="43"/>
        <v>0</v>
      </c>
      <c r="AO208" s="71">
        <f ca="1">IF(C208=1,(H208+J208+N208+P208)*Reeksen!AN208,0)</f>
        <v>0</v>
      </c>
      <c r="AP208" s="71">
        <f ca="1">-IF(C208=1,(H208+J208+N208+P208)*'Hulp - basis'!$G$550*Reeksen!H208,0)</f>
        <v>0</v>
      </c>
      <c r="AQ208" s="71">
        <f ca="1">-IF(C208=1,(F208+K208+L208+Q208)/2*'Invoer gegevens'!$F$35*Reeksen!J208,0)*2</f>
        <v>0</v>
      </c>
      <c r="AR208" s="71"/>
      <c r="AS208" s="71">
        <f ca="1">-IF(C208=1,(F208+K208+L208+Q208)/2*'Invoer gegevens'!$F$37*Reeksen!L208,0)</f>
        <v>0</v>
      </c>
      <c r="AT208" s="71">
        <f ca="1">-IF(C208=1,IF(E208='Invoer gegevens'!$C$17,'Invoer gegevens'!$C$11,AD208)*Reeksen!S208*'Invoer gegevens'!$C$18*Reeksen!P208,0)</f>
        <v>0</v>
      </c>
      <c r="AU208" s="71">
        <f ca="1">-IF(C208=1,(F208+K208+L208+Q208)/2*'Invoer gegevens'!$F$38*Reeksen!H208,0)</f>
        <v>0</v>
      </c>
      <c r="AV208" s="71">
        <f t="shared" si="35"/>
        <v>0</v>
      </c>
      <c r="AW208" s="71">
        <f t="shared" ca="1" si="44"/>
        <v>0</v>
      </c>
      <c r="AX208" s="71">
        <f ca="1">IF(E208&lt;'Invoer gegevens'!$C$17+15,0,IF(E208&gt;'Invoer gegevens'!$C$17+215,0,AW208))</f>
        <v>0</v>
      </c>
      <c r="AY208" s="71">
        <f ca="1">AX208/(1+'Invoer gegevens'!$F$18)^($AZ208-('Invoer gegevens'!$C$17-'Invoer gegevens'!$C$16))/(1+'Invoer gegevens'!$C$39)^('Invoer gegevens'!$C$17-'Invoer gegevens'!$C$16)</f>
        <v>0</v>
      </c>
      <c r="AZ208" s="68">
        <f ca="1">IF(E208-'Invoer gegevens'!$C$17-14.5&lt;0,0,E208-'Invoer gegevens'!$C$17-14.5)</f>
        <v>188.5</v>
      </c>
    </row>
    <row r="209" spans="1:52" x14ac:dyDescent="0.25">
      <c r="A209" s="59"/>
      <c r="B209" s="70">
        <f t="shared" si="45"/>
        <v>205</v>
      </c>
      <c r="C209" s="67">
        <f ca="1">IF(E209-'Invoer gegevens'!$C$17&lt;0,0,1)</f>
        <v>1</v>
      </c>
      <c r="D209" s="68">
        <f t="shared" si="46"/>
        <v>204.5</v>
      </c>
      <c r="E209" s="69">
        <f ca="1">IF('Invoer gegevens'!$C$16="","",E208+1)</f>
        <v>2223</v>
      </c>
      <c r="F209" s="84">
        <f ca="1">IF('Invoer gegevens'!$C$17=E209,'Invoer gegevens'!$C$10,IF(C209=1,K208,0))</f>
        <v>0</v>
      </c>
      <c r="G209" s="96">
        <f ca="1">IF(C209&gt;=1,F209*VLOOKUP(E209,Reeksen!$A$5:$B$76,2),0)</f>
        <v>0</v>
      </c>
      <c r="H209" s="84">
        <f ca="1">(1-('Invoer gegevens'!$F$20/12))*F209*MIN(Reeksen!B209,Reeksen!D209)</f>
        <v>0</v>
      </c>
      <c r="I209" s="84">
        <f>IF(Reeksen!D209&lt;Reeksen!B209,(Reeksen!B209-Reeksen!D209)*F209,0)</f>
        <v>0</v>
      </c>
      <c r="J209" s="84">
        <f ca="1">('Invoer gegevens'!$F$20/12)*F208*MIN(Reeksen!B208,Reeksen!D208)</f>
        <v>0</v>
      </c>
      <c r="K209" s="97">
        <f t="shared" ca="1" si="36"/>
        <v>0</v>
      </c>
      <c r="L209" s="84">
        <f ca="1">IF('Invoer gegevens'!$C$17=E209,0,IF(C209=1,Q208,0))</f>
        <v>0</v>
      </c>
      <c r="M209" s="96">
        <f ca="1">IF(C209&gt;=1,L209*VLOOKUP(E209,Reeksen!$A$5:$B$76,2),0)</f>
        <v>0</v>
      </c>
      <c r="N209" s="84">
        <f ca="1">(1-('Invoer gegevens'!$F$20/12))*L209*MIN(Reeksen!B209,Reeksen!D209)</f>
        <v>0</v>
      </c>
      <c r="O209" s="84">
        <f>IF(Reeksen!D209&lt;Reeksen!B209,(Reeksen!B209-Reeksen!D209)*L209,0)</f>
        <v>0</v>
      </c>
      <c r="P209" s="84">
        <f ca="1">('Invoer gegevens'!$F$20/12)*L208*MIN(Reeksen!B208,Reeksen!D208)</f>
        <v>0</v>
      </c>
      <c r="Q209" s="84">
        <f t="shared" ca="1" si="37"/>
        <v>0</v>
      </c>
      <c r="R209" s="82">
        <f ca="1">IF('Invoer gegevens'!$C$17=E209,'Invoer gegevens'!$C$11,IF(C209=1,W208,0))</f>
        <v>0</v>
      </c>
      <c r="S209" s="86">
        <f ca="1">IF(C209&gt;=1,R209*VLOOKUP(E209,Reeksen!$A$5:$B$76,2),0)</f>
        <v>0</v>
      </c>
      <c r="T209" s="84">
        <f ca="1">(1-('Invoer gegevens'!$F$20/12))*R209*MIN(Reeksen!B209,Reeksen!D209)</f>
        <v>0</v>
      </c>
      <c r="U209" s="84">
        <f>IF(Reeksen!D209&gt;=Reeksen!B209,0,IF(Reeksen!AD209&lt;=Reeksen!AE209,(Reeksen!B209-Reeksen!D209)*R209,0))</f>
        <v>0</v>
      </c>
      <c r="V209" s="86">
        <f>IF(Reeksen!D209&gt;=Reeksen!B209,0,IF(Reeksen!AD209&gt;Reeksen!AE209,(Reeksen!B209-Reeksen!D209)*R209,0))</f>
        <v>0</v>
      </c>
      <c r="W209" s="97">
        <f t="shared" ca="1" si="38"/>
        <v>0</v>
      </c>
      <c r="X209" s="98">
        <f ca="1">IF('Invoer gegevens'!$C$17=E209,'Invoer gegevens'!$C$10-'Invoer gegevens'!$C$11,IF(C209=1,AC208,0))</f>
        <v>0</v>
      </c>
      <c r="Y209" s="98">
        <f ca="1">IF(C209&gt;=1,X209*VLOOKUP(E209,Reeksen!$A$5:$B$76,2),0)</f>
        <v>0</v>
      </c>
      <c r="Z209" s="98">
        <f ca="1">(1-('Invoer gegevens'!$F$20/12))*X209*MIN(Reeksen!B209,Reeksen!D209)</f>
        <v>0</v>
      </c>
      <c r="AA209" s="98">
        <f>IF(Reeksen!D209&gt;=Reeksen!B209,0,IF(Reeksen!AD209&lt;=Reeksen!AE209,(Reeksen!B209-Reeksen!D209)*X209,0))</f>
        <v>0</v>
      </c>
      <c r="AB209" s="98">
        <f>IF(Reeksen!D209&gt;=Reeksen!B209,0,IF(Reeksen!AD209&gt;Reeksen!AE209,(Reeksen!B209-Reeksen!D209)*X209,0))</f>
        <v>0</v>
      </c>
      <c r="AC209" s="99">
        <f t="shared" ca="1" si="39"/>
        <v>0</v>
      </c>
      <c r="AD209" s="98">
        <f ca="1">IF('Invoer gegevens'!$C$17=E209,R209,IF(C209=0,0,AE208))</f>
        <v>0</v>
      </c>
      <c r="AE209" s="98">
        <f t="shared" ca="1" si="40"/>
        <v>0</v>
      </c>
      <c r="AF209" s="98">
        <f ca="1">IF('Invoer gegevens'!$C$17=E209,X209,IF(C209=0,0,AG208))</f>
        <v>0</v>
      </c>
      <c r="AG209" s="98">
        <f t="shared" ca="1" si="41"/>
        <v>0</v>
      </c>
      <c r="AH209" s="66"/>
      <c r="AI209" s="71">
        <f ca="1">IF(C209=1,Reeksen!AI209*((F209-G209+F209)/2)*12+Reeksen!AD209*((L209-M209+L209)/2)*12,0)</f>
        <v>0</v>
      </c>
      <c r="AJ209" s="71">
        <f ca="1">-AI209*'Invoer gegevens'!$F$28</f>
        <v>0</v>
      </c>
      <c r="AK209" s="71">
        <f t="shared" ca="1" si="42"/>
        <v>0</v>
      </c>
      <c r="AL209" s="71">
        <f ca="1">IF(C209=1,Reeksen!AL209*((F209-G209+F209)/2)*12+Reeksen!AM209*((L209-M209+L209)/2)*12,0)</f>
        <v>0</v>
      </c>
      <c r="AM209" s="71">
        <f ca="1">-AL209*'Invoer gegevens'!$F$31</f>
        <v>0</v>
      </c>
      <c r="AN209" s="71">
        <f t="shared" ca="1" si="43"/>
        <v>0</v>
      </c>
      <c r="AO209" s="71">
        <f ca="1">IF(C209=1,(H209+J209+N209+P209)*Reeksen!AN209,0)</f>
        <v>0</v>
      </c>
      <c r="AP209" s="71">
        <f ca="1">-IF(C209=1,(H209+J209+N209+P209)*'Hulp - basis'!$G$550*Reeksen!H209,0)</f>
        <v>0</v>
      </c>
      <c r="AQ209" s="71">
        <f ca="1">-IF(C209=1,(F209+K209+L209+Q209)/2*'Invoer gegevens'!$F$35*Reeksen!J209,0)*2</f>
        <v>0</v>
      </c>
      <c r="AR209" s="71"/>
      <c r="AS209" s="71">
        <f ca="1">-IF(C209=1,(F209+K209+L209+Q209)/2*'Invoer gegevens'!$F$37*Reeksen!L209,0)</f>
        <v>0</v>
      </c>
      <c r="AT209" s="71">
        <f ca="1">-IF(C209=1,IF(E209='Invoer gegevens'!$C$17,'Invoer gegevens'!$C$11,AD209)*Reeksen!S209*'Invoer gegevens'!$C$18*Reeksen!P209,0)</f>
        <v>0</v>
      </c>
      <c r="AU209" s="71">
        <f ca="1">-IF(C209=1,(F209+K209+L209+Q209)/2*'Invoer gegevens'!$F$38*Reeksen!H209,0)</f>
        <v>0</v>
      </c>
      <c r="AV209" s="71">
        <f t="shared" si="35"/>
        <v>0</v>
      </c>
      <c r="AW209" s="71">
        <f t="shared" ca="1" si="44"/>
        <v>0</v>
      </c>
      <c r="AX209" s="71">
        <f ca="1">IF(E209&lt;'Invoer gegevens'!$C$17+15,0,IF(E209&gt;'Invoer gegevens'!$C$17+215,0,AW209))</f>
        <v>0</v>
      </c>
      <c r="AY209" s="71">
        <f ca="1">AX209/(1+'Invoer gegevens'!$F$18)^($AZ209-('Invoer gegevens'!$C$17-'Invoer gegevens'!$C$16))/(1+'Invoer gegevens'!$C$39)^('Invoer gegevens'!$C$17-'Invoer gegevens'!$C$16)</f>
        <v>0</v>
      </c>
      <c r="AZ209" s="68">
        <f ca="1">IF(E209-'Invoer gegevens'!$C$17-14.5&lt;0,0,E209-'Invoer gegevens'!$C$17-14.5)</f>
        <v>189.5</v>
      </c>
    </row>
    <row r="210" spans="1:52" x14ac:dyDescent="0.25">
      <c r="A210" s="59"/>
      <c r="B210" s="70">
        <f t="shared" si="45"/>
        <v>206</v>
      </c>
      <c r="C210" s="67">
        <f ca="1">IF(E210-'Invoer gegevens'!$C$17&lt;0,0,1)</f>
        <v>1</v>
      </c>
      <c r="D210" s="68">
        <f t="shared" si="46"/>
        <v>205.5</v>
      </c>
      <c r="E210" s="69">
        <f ca="1">IF('Invoer gegevens'!$C$16="","",E209+1)</f>
        <v>2224</v>
      </c>
      <c r="F210" s="84">
        <f ca="1">IF('Invoer gegevens'!$C$17=E210,'Invoer gegevens'!$C$10,IF(C210=1,K209,0))</f>
        <v>0</v>
      </c>
      <c r="G210" s="96">
        <f ca="1">IF(C210&gt;=1,F210*VLOOKUP(E210,Reeksen!$A$5:$B$76,2),0)</f>
        <v>0</v>
      </c>
      <c r="H210" s="84">
        <f ca="1">(1-('Invoer gegevens'!$F$20/12))*F210*MIN(Reeksen!B210,Reeksen!D210)</f>
        <v>0</v>
      </c>
      <c r="I210" s="84">
        <f>IF(Reeksen!D210&lt;Reeksen!B210,(Reeksen!B210-Reeksen!D210)*F210,0)</f>
        <v>0</v>
      </c>
      <c r="J210" s="84">
        <f ca="1">('Invoer gegevens'!$F$20/12)*F209*MIN(Reeksen!B209,Reeksen!D209)</f>
        <v>0</v>
      </c>
      <c r="K210" s="97">
        <f t="shared" ca="1" si="36"/>
        <v>0</v>
      </c>
      <c r="L210" s="84">
        <f ca="1">IF('Invoer gegevens'!$C$17=E210,0,IF(C210=1,Q209,0))</f>
        <v>0</v>
      </c>
      <c r="M210" s="96">
        <f ca="1">IF(C210&gt;=1,L210*VLOOKUP(E210,Reeksen!$A$5:$B$76,2),0)</f>
        <v>0</v>
      </c>
      <c r="N210" s="84">
        <f ca="1">(1-('Invoer gegevens'!$F$20/12))*L210*MIN(Reeksen!B210,Reeksen!D210)</f>
        <v>0</v>
      </c>
      <c r="O210" s="84">
        <f>IF(Reeksen!D210&lt;Reeksen!B210,(Reeksen!B210-Reeksen!D210)*L210,0)</f>
        <v>0</v>
      </c>
      <c r="P210" s="84">
        <f ca="1">('Invoer gegevens'!$F$20/12)*L209*MIN(Reeksen!B209,Reeksen!D209)</f>
        <v>0</v>
      </c>
      <c r="Q210" s="84">
        <f t="shared" ca="1" si="37"/>
        <v>0</v>
      </c>
      <c r="R210" s="82">
        <f ca="1">IF('Invoer gegevens'!$C$17=E210,'Invoer gegevens'!$C$11,IF(C210=1,W209,0))</f>
        <v>0</v>
      </c>
      <c r="S210" s="86">
        <f ca="1">IF(C210&gt;=1,R210*VLOOKUP(E210,Reeksen!$A$5:$B$76,2),0)</f>
        <v>0</v>
      </c>
      <c r="T210" s="84">
        <f ca="1">(1-('Invoer gegevens'!$F$20/12))*R210*MIN(Reeksen!B210,Reeksen!D210)</f>
        <v>0</v>
      </c>
      <c r="U210" s="84">
        <f>IF(Reeksen!D210&gt;=Reeksen!B210,0,IF(Reeksen!AD210&lt;=Reeksen!AE210,(Reeksen!B210-Reeksen!D210)*R210,0))</f>
        <v>0</v>
      </c>
      <c r="V210" s="86">
        <f>IF(Reeksen!D210&gt;=Reeksen!B210,0,IF(Reeksen!AD210&gt;Reeksen!AE210,(Reeksen!B210-Reeksen!D210)*R210,0))</f>
        <v>0</v>
      </c>
      <c r="W210" s="97">
        <f t="shared" ca="1" si="38"/>
        <v>0</v>
      </c>
      <c r="X210" s="98">
        <f ca="1">IF('Invoer gegevens'!$C$17=E210,'Invoer gegevens'!$C$10-'Invoer gegevens'!$C$11,IF(C210=1,AC209,0))</f>
        <v>0</v>
      </c>
      <c r="Y210" s="98">
        <f ca="1">IF(C210&gt;=1,X210*VLOOKUP(E210,Reeksen!$A$5:$B$76,2),0)</f>
        <v>0</v>
      </c>
      <c r="Z210" s="98">
        <f ca="1">(1-('Invoer gegevens'!$F$20/12))*X210*MIN(Reeksen!B210,Reeksen!D210)</f>
        <v>0</v>
      </c>
      <c r="AA210" s="98">
        <f>IF(Reeksen!D210&gt;=Reeksen!B210,0,IF(Reeksen!AD210&lt;=Reeksen!AE210,(Reeksen!B210-Reeksen!D210)*X210,0))</f>
        <v>0</v>
      </c>
      <c r="AB210" s="98">
        <f>IF(Reeksen!D210&gt;=Reeksen!B210,0,IF(Reeksen!AD210&gt;Reeksen!AE210,(Reeksen!B210-Reeksen!D210)*X210,0))</f>
        <v>0</v>
      </c>
      <c r="AC210" s="99">
        <f t="shared" ca="1" si="39"/>
        <v>0</v>
      </c>
      <c r="AD210" s="98">
        <f ca="1">IF('Invoer gegevens'!$C$17=E210,R210,IF(C210=0,0,AE209))</f>
        <v>0</v>
      </c>
      <c r="AE210" s="98">
        <f t="shared" ca="1" si="40"/>
        <v>0</v>
      </c>
      <c r="AF210" s="98">
        <f ca="1">IF('Invoer gegevens'!$C$17=E210,X210,IF(C210=0,0,AG209))</f>
        <v>0</v>
      </c>
      <c r="AG210" s="98">
        <f t="shared" ca="1" si="41"/>
        <v>0</v>
      </c>
      <c r="AH210" s="66"/>
      <c r="AI210" s="71">
        <f ca="1">IF(C210=1,Reeksen!AI210*((F210-G210+F210)/2)*12+Reeksen!AD210*((L210-M210+L210)/2)*12,0)</f>
        <v>0</v>
      </c>
      <c r="AJ210" s="71">
        <f ca="1">-AI210*'Invoer gegevens'!$F$28</f>
        <v>0</v>
      </c>
      <c r="AK210" s="71">
        <f t="shared" ca="1" si="42"/>
        <v>0</v>
      </c>
      <c r="AL210" s="71">
        <f ca="1">IF(C210=1,Reeksen!AL210*((F210-G210+F210)/2)*12+Reeksen!AM210*((L210-M210+L210)/2)*12,0)</f>
        <v>0</v>
      </c>
      <c r="AM210" s="71">
        <f ca="1">-AL210*'Invoer gegevens'!$F$31</f>
        <v>0</v>
      </c>
      <c r="AN210" s="71">
        <f t="shared" ca="1" si="43"/>
        <v>0</v>
      </c>
      <c r="AO210" s="71">
        <f ca="1">IF(C210=1,(H210+J210+N210+P210)*Reeksen!AN210,0)</f>
        <v>0</v>
      </c>
      <c r="AP210" s="71">
        <f ca="1">-IF(C210=1,(H210+J210+N210+P210)*'Hulp - basis'!$G$550*Reeksen!H210,0)</f>
        <v>0</v>
      </c>
      <c r="AQ210" s="71">
        <f ca="1">-IF(C210=1,(F210+K210+L210+Q210)/2*'Invoer gegevens'!$F$35*Reeksen!J210,0)*2</f>
        <v>0</v>
      </c>
      <c r="AR210" s="71"/>
      <c r="AS210" s="71">
        <f ca="1">-IF(C210=1,(F210+K210+L210+Q210)/2*'Invoer gegevens'!$F$37*Reeksen!L210,0)</f>
        <v>0</v>
      </c>
      <c r="AT210" s="71">
        <f ca="1">-IF(C210=1,IF(E210='Invoer gegevens'!$C$17,'Invoer gegevens'!$C$11,AD210)*Reeksen!S210*'Invoer gegevens'!$C$18*Reeksen!P210,0)</f>
        <v>0</v>
      </c>
      <c r="AU210" s="71">
        <f ca="1">-IF(C210=1,(F210+K210+L210+Q210)/2*'Invoer gegevens'!$F$38*Reeksen!H210,0)</f>
        <v>0</v>
      </c>
      <c r="AV210" s="71">
        <f t="shared" si="35"/>
        <v>0</v>
      </c>
      <c r="AW210" s="71">
        <f t="shared" ca="1" si="44"/>
        <v>0</v>
      </c>
      <c r="AX210" s="71">
        <f ca="1">IF(E210&lt;'Invoer gegevens'!$C$17+15,0,IF(E210&gt;'Invoer gegevens'!$C$17+215,0,AW210))</f>
        <v>0</v>
      </c>
      <c r="AY210" s="71">
        <f ca="1">AX210/(1+'Invoer gegevens'!$F$18)^($AZ210-('Invoer gegevens'!$C$17-'Invoer gegevens'!$C$16))/(1+'Invoer gegevens'!$C$39)^('Invoer gegevens'!$C$17-'Invoer gegevens'!$C$16)</f>
        <v>0</v>
      </c>
      <c r="AZ210" s="68">
        <f ca="1">IF(E210-'Invoer gegevens'!$C$17-14.5&lt;0,0,E210-'Invoer gegevens'!$C$17-14.5)</f>
        <v>190.5</v>
      </c>
    </row>
    <row r="211" spans="1:52" x14ac:dyDescent="0.25">
      <c r="A211" s="59"/>
      <c r="B211" s="70">
        <f t="shared" si="45"/>
        <v>207</v>
      </c>
      <c r="C211" s="67">
        <f ca="1">IF(E211-'Invoer gegevens'!$C$17&lt;0,0,1)</f>
        <v>1</v>
      </c>
      <c r="D211" s="68">
        <f t="shared" si="46"/>
        <v>206.5</v>
      </c>
      <c r="E211" s="69">
        <f ca="1">IF('Invoer gegevens'!$C$16="","",E210+1)</f>
        <v>2225</v>
      </c>
      <c r="F211" s="84">
        <f ca="1">IF('Invoer gegevens'!$C$17=E211,'Invoer gegevens'!$C$10,IF(C211=1,K210,0))</f>
        <v>0</v>
      </c>
      <c r="G211" s="96">
        <f ca="1">IF(C211&gt;=1,F211*VLOOKUP(E211,Reeksen!$A$5:$B$76,2),0)</f>
        <v>0</v>
      </c>
      <c r="H211" s="84">
        <f ca="1">(1-('Invoer gegevens'!$F$20/12))*F211*MIN(Reeksen!B211,Reeksen!D211)</f>
        <v>0</v>
      </c>
      <c r="I211" s="84">
        <f>IF(Reeksen!D211&lt;Reeksen!B211,(Reeksen!B211-Reeksen!D211)*F211,0)</f>
        <v>0</v>
      </c>
      <c r="J211" s="84">
        <f ca="1">('Invoer gegevens'!$F$20/12)*F210*MIN(Reeksen!B210,Reeksen!D210)</f>
        <v>0</v>
      </c>
      <c r="K211" s="97">
        <f t="shared" ca="1" si="36"/>
        <v>0</v>
      </c>
      <c r="L211" s="84">
        <f ca="1">IF('Invoer gegevens'!$C$17=E211,0,IF(C211=1,Q210,0))</f>
        <v>0</v>
      </c>
      <c r="M211" s="96">
        <f ca="1">IF(C211&gt;=1,L211*VLOOKUP(E211,Reeksen!$A$5:$B$76,2),0)</f>
        <v>0</v>
      </c>
      <c r="N211" s="84">
        <f ca="1">(1-('Invoer gegevens'!$F$20/12))*L211*MIN(Reeksen!B211,Reeksen!D211)</f>
        <v>0</v>
      </c>
      <c r="O211" s="84">
        <f>IF(Reeksen!D211&lt;Reeksen!B211,(Reeksen!B211-Reeksen!D211)*L211,0)</f>
        <v>0</v>
      </c>
      <c r="P211" s="84">
        <f ca="1">('Invoer gegevens'!$F$20/12)*L210*MIN(Reeksen!B210,Reeksen!D210)</f>
        <v>0</v>
      </c>
      <c r="Q211" s="84">
        <f t="shared" ca="1" si="37"/>
        <v>0</v>
      </c>
      <c r="R211" s="82">
        <f ca="1">IF('Invoer gegevens'!$C$17=E211,'Invoer gegevens'!$C$11,IF(C211=1,W210,0))</f>
        <v>0</v>
      </c>
      <c r="S211" s="86">
        <f ca="1">IF(C211&gt;=1,R211*VLOOKUP(E211,Reeksen!$A$5:$B$76,2),0)</f>
        <v>0</v>
      </c>
      <c r="T211" s="84">
        <f ca="1">(1-('Invoer gegevens'!$F$20/12))*R211*MIN(Reeksen!B211,Reeksen!D211)</f>
        <v>0</v>
      </c>
      <c r="U211" s="84">
        <f>IF(Reeksen!D211&gt;=Reeksen!B211,0,IF(Reeksen!AD211&lt;=Reeksen!AE211,(Reeksen!B211-Reeksen!D211)*R211,0))</f>
        <v>0</v>
      </c>
      <c r="V211" s="86">
        <f>IF(Reeksen!D211&gt;=Reeksen!B211,0,IF(Reeksen!AD211&gt;Reeksen!AE211,(Reeksen!B211-Reeksen!D211)*R211,0))</f>
        <v>0</v>
      </c>
      <c r="W211" s="97">
        <f t="shared" ca="1" si="38"/>
        <v>0</v>
      </c>
      <c r="X211" s="98">
        <f ca="1">IF('Invoer gegevens'!$C$17=E211,'Invoer gegevens'!$C$10-'Invoer gegevens'!$C$11,IF(C211=1,AC210,0))</f>
        <v>0</v>
      </c>
      <c r="Y211" s="98">
        <f ca="1">IF(C211&gt;=1,X211*VLOOKUP(E211,Reeksen!$A$5:$B$76,2),0)</f>
        <v>0</v>
      </c>
      <c r="Z211" s="98">
        <f ca="1">(1-('Invoer gegevens'!$F$20/12))*X211*MIN(Reeksen!B211,Reeksen!D211)</f>
        <v>0</v>
      </c>
      <c r="AA211" s="98">
        <f>IF(Reeksen!D211&gt;=Reeksen!B211,0,IF(Reeksen!AD211&lt;=Reeksen!AE211,(Reeksen!B211-Reeksen!D211)*X211,0))</f>
        <v>0</v>
      </c>
      <c r="AB211" s="98">
        <f>IF(Reeksen!D211&gt;=Reeksen!B211,0,IF(Reeksen!AD211&gt;Reeksen!AE211,(Reeksen!B211-Reeksen!D211)*X211,0))</f>
        <v>0</v>
      </c>
      <c r="AC211" s="99">
        <f t="shared" ca="1" si="39"/>
        <v>0</v>
      </c>
      <c r="AD211" s="98">
        <f ca="1">IF('Invoer gegevens'!$C$17=E211,R211,IF(C211=0,0,AE210))</f>
        <v>0</v>
      </c>
      <c r="AE211" s="98">
        <f t="shared" ca="1" si="40"/>
        <v>0</v>
      </c>
      <c r="AF211" s="98">
        <f ca="1">IF('Invoer gegevens'!$C$17=E211,X211,IF(C211=0,0,AG210))</f>
        <v>0</v>
      </c>
      <c r="AG211" s="98">
        <f t="shared" ca="1" si="41"/>
        <v>0</v>
      </c>
      <c r="AH211" s="66"/>
      <c r="AI211" s="71">
        <f ca="1">IF(C211=1,Reeksen!AI211*((F211-G211+F211)/2)*12+Reeksen!AD211*((L211-M211+L211)/2)*12,0)</f>
        <v>0</v>
      </c>
      <c r="AJ211" s="71">
        <f ca="1">-AI211*'Invoer gegevens'!$F$28</f>
        <v>0</v>
      </c>
      <c r="AK211" s="71">
        <f t="shared" ca="1" si="42"/>
        <v>0</v>
      </c>
      <c r="AL211" s="71">
        <f ca="1">IF(C211=1,Reeksen!AL211*((F211-G211+F211)/2)*12+Reeksen!AM211*((L211-M211+L211)/2)*12,0)</f>
        <v>0</v>
      </c>
      <c r="AM211" s="71">
        <f ca="1">-AL211*'Invoer gegevens'!$F$31</f>
        <v>0</v>
      </c>
      <c r="AN211" s="71">
        <f t="shared" ca="1" si="43"/>
        <v>0</v>
      </c>
      <c r="AO211" s="71">
        <f ca="1">IF(C211=1,(H211+J211+N211+P211)*Reeksen!AN211,0)</f>
        <v>0</v>
      </c>
      <c r="AP211" s="71">
        <f ca="1">-IF(C211=1,(H211+J211+N211+P211)*'Hulp - basis'!$G$550*Reeksen!H211,0)</f>
        <v>0</v>
      </c>
      <c r="AQ211" s="71">
        <f ca="1">-IF(C211=1,(F211+K211+L211+Q211)/2*'Invoer gegevens'!$F$35*Reeksen!J211,0)*2</f>
        <v>0</v>
      </c>
      <c r="AR211" s="71"/>
      <c r="AS211" s="71">
        <f ca="1">-IF(C211=1,(F211+K211+L211+Q211)/2*'Invoer gegevens'!$F$37*Reeksen!L211,0)</f>
        <v>0</v>
      </c>
      <c r="AT211" s="71">
        <f ca="1">-IF(C211=1,IF(E211='Invoer gegevens'!$C$17,'Invoer gegevens'!$C$11,AD211)*Reeksen!S211*'Invoer gegevens'!$C$18*Reeksen!P211,0)</f>
        <v>0</v>
      </c>
      <c r="AU211" s="71">
        <f ca="1">-IF(C211=1,(F211+K211+L211+Q211)/2*'Invoer gegevens'!$F$38*Reeksen!H211,0)</f>
        <v>0</v>
      </c>
      <c r="AV211" s="71">
        <f t="shared" si="35"/>
        <v>0</v>
      </c>
      <c r="AW211" s="71">
        <f t="shared" ca="1" si="44"/>
        <v>0</v>
      </c>
      <c r="AX211" s="71">
        <f ca="1">IF(E211&lt;'Invoer gegevens'!$C$17+15,0,IF(E211&gt;'Invoer gegevens'!$C$17+215,0,AW211))</f>
        <v>0</v>
      </c>
      <c r="AY211" s="71">
        <f ca="1">AX211/(1+'Invoer gegevens'!$F$18)^($AZ211-('Invoer gegevens'!$C$17-'Invoer gegevens'!$C$16))/(1+'Invoer gegevens'!$C$39)^('Invoer gegevens'!$C$17-'Invoer gegevens'!$C$16)</f>
        <v>0</v>
      </c>
      <c r="AZ211" s="68">
        <f ca="1">IF(E211-'Invoer gegevens'!$C$17-14.5&lt;0,0,E211-'Invoer gegevens'!$C$17-14.5)</f>
        <v>191.5</v>
      </c>
    </row>
    <row r="212" spans="1:52" x14ac:dyDescent="0.25">
      <c r="A212" s="59"/>
      <c r="B212" s="70">
        <f t="shared" si="45"/>
        <v>208</v>
      </c>
      <c r="C212" s="67">
        <f ca="1">IF(E212-'Invoer gegevens'!$C$17&lt;0,0,1)</f>
        <v>1</v>
      </c>
      <c r="D212" s="68">
        <f t="shared" si="46"/>
        <v>207.5</v>
      </c>
      <c r="E212" s="69">
        <f ca="1">IF('Invoer gegevens'!$C$16="","",E211+1)</f>
        <v>2226</v>
      </c>
      <c r="F212" s="84">
        <f ca="1">IF('Invoer gegevens'!$C$17=E212,'Invoer gegevens'!$C$10,IF(C212=1,K211,0))</f>
        <v>0</v>
      </c>
      <c r="G212" s="96">
        <f ca="1">IF(C212&gt;=1,F212*VLOOKUP(E212,Reeksen!$A$5:$B$76,2),0)</f>
        <v>0</v>
      </c>
      <c r="H212" s="84">
        <f ca="1">(1-('Invoer gegevens'!$F$20/12))*F212*MIN(Reeksen!B212,Reeksen!D212)</f>
        <v>0</v>
      </c>
      <c r="I212" s="84">
        <f>IF(Reeksen!D212&lt;Reeksen!B212,(Reeksen!B212-Reeksen!D212)*F212,0)</f>
        <v>0</v>
      </c>
      <c r="J212" s="84">
        <f ca="1">('Invoer gegevens'!$F$20/12)*F211*MIN(Reeksen!B211,Reeksen!D211)</f>
        <v>0</v>
      </c>
      <c r="K212" s="97">
        <f t="shared" ca="1" si="36"/>
        <v>0</v>
      </c>
      <c r="L212" s="84">
        <f ca="1">IF('Invoer gegevens'!$C$17=E212,0,IF(C212=1,Q211,0))</f>
        <v>0</v>
      </c>
      <c r="M212" s="96">
        <f ca="1">IF(C212&gt;=1,L212*VLOOKUP(E212,Reeksen!$A$5:$B$76,2),0)</f>
        <v>0</v>
      </c>
      <c r="N212" s="84">
        <f ca="1">(1-('Invoer gegevens'!$F$20/12))*L212*MIN(Reeksen!B212,Reeksen!D212)</f>
        <v>0</v>
      </c>
      <c r="O212" s="84">
        <f>IF(Reeksen!D212&lt;Reeksen!B212,(Reeksen!B212-Reeksen!D212)*L212,0)</f>
        <v>0</v>
      </c>
      <c r="P212" s="84">
        <f ca="1">('Invoer gegevens'!$F$20/12)*L211*MIN(Reeksen!B211,Reeksen!D211)</f>
        <v>0</v>
      </c>
      <c r="Q212" s="84">
        <f t="shared" ca="1" si="37"/>
        <v>0</v>
      </c>
      <c r="R212" s="82">
        <f ca="1">IF('Invoer gegevens'!$C$17=E212,'Invoer gegevens'!$C$11,IF(C212=1,W211,0))</f>
        <v>0</v>
      </c>
      <c r="S212" s="86">
        <f ca="1">IF(C212&gt;=1,R212*VLOOKUP(E212,Reeksen!$A$5:$B$76,2),0)</f>
        <v>0</v>
      </c>
      <c r="T212" s="84">
        <f ca="1">(1-('Invoer gegevens'!$F$20/12))*R212*MIN(Reeksen!B212,Reeksen!D212)</f>
        <v>0</v>
      </c>
      <c r="U212" s="84">
        <f>IF(Reeksen!D212&gt;=Reeksen!B212,0,IF(Reeksen!AD212&lt;=Reeksen!AE212,(Reeksen!B212-Reeksen!D212)*R212,0))</f>
        <v>0</v>
      </c>
      <c r="V212" s="86">
        <f>IF(Reeksen!D212&gt;=Reeksen!B212,0,IF(Reeksen!AD212&gt;Reeksen!AE212,(Reeksen!B212-Reeksen!D212)*R212,0))</f>
        <v>0</v>
      </c>
      <c r="W212" s="97">
        <f t="shared" ca="1" si="38"/>
        <v>0</v>
      </c>
      <c r="X212" s="98">
        <f ca="1">IF('Invoer gegevens'!$C$17=E212,'Invoer gegevens'!$C$10-'Invoer gegevens'!$C$11,IF(C212=1,AC211,0))</f>
        <v>0</v>
      </c>
      <c r="Y212" s="98">
        <f ca="1">IF(C212&gt;=1,X212*VLOOKUP(E212,Reeksen!$A$5:$B$76,2),0)</f>
        <v>0</v>
      </c>
      <c r="Z212" s="98">
        <f ca="1">(1-('Invoer gegevens'!$F$20/12))*X212*MIN(Reeksen!B212,Reeksen!D212)</f>
        <v>0</v>
      </c>
      <c r="AA212" s="98">
        <f>IF(Reeksen!D212&gt;=Reeksen!B212,0,IF(Reeksen!AD212&lt;=Reeksen!AE212,(Reeksen!B212-Reeksen!D212)*X212,0))</f>
        <v>0</v>
      </c>
      <c r="AB212" s="98">
        <f>IF(Reeksen!D212&gt;=Reeksen!B212,0,IF(Reeksen!AD212&gt;Reeksen!AE212,(Reeksen!B212-Reeksen!D212)*X212,0))</f>
        <v>0</v>
      </c>
      <c r="AC212" s="99">
        <f t="shared" ca="1" si="39"/>
        <v>0</v>
      </c>
      <c r="AD212" s="98">
        <f ca="1">IF('Invoer gegevens'!$C$17=E212,R212,IF(C212=0,0,AE211))</f>
        <v>0</v>
      </c>
      <c r="AE212" s="98">
        <f t="shared" ca="1" si="40"/>
        <v>0</v>
      </c>
      <c r="AF212" s="98">
        <f ca="1">IF('Invoer gegevens'!$C$17=E212,X212,IF(C212=0,0,AG211))</f>
        <v>0</v>
      </c>
      <c r="AG212" s="98">
        <f t="shared" ca="1" si="41"/>
        <v>0</v>
      </c>
      <c r="AH212" s="66"/>
      <c r="AI212" s="71">
        <f ca="1">IF(C212=1,Reeksen!AI212*((F212-G212+F212)/2)*12+Reeksen!AD212*((L212-M212+L212)/2)*12,0)</f>
        <v>0</v>
      </c>
      <c r="AJ212" s="71">
        <f ca="1">-AI212*'Invoer gegevens'!$F$28</f>
        <v>0</v>
      </c>
      <c r="AK212" s="71">
        <f t="shared" ca="1" si="42"/>
        <v>0</v>
      </c>
      <c r="AL212" s="71">
        <f ca="1">IF(C212=1,Reeksen!AL212*((F212-G212+F212)/2)*12+Reeksen!AM212*((L212-M212+L212)/2)*12,0)</f>
        <v>0</v>
      </c>
      <c r="AM212" s="71">
        <f ca="1">-AL212*'Invoer gegevens'!$F$31</f>
        <v>0</v>
      </c>
      <c r="AN212" s="71">
        <f t="shared" ca="1" si="43"/>
        <v>0</v>
      </c>
      <c r="AO212" s="71">
        <f ca="1">IF(C212=1,(H212+J212+N212+P212)*Reeksen!AN212,0)</f>
        <v>0</v>
      </c>
      <c r="AP212" s="71">
        <f ca="1">-IF(C212=1,(H212+J212+N212+P212)*'Hulp - basis'!$G$550*Reeksen!H212,0)</f>
        <v>0</v>
      </c>
      <c r="AQ212" s="71">
        <f ca="1">-IF(C212=1,(F212+K212+L212+Q212)/2*'Invoer gegevens'!$F$35*Reeksen!J212,0)*2</f>
        <v>0</v>
      </c>
      <c r="AR212" s="71"/>
      <c r="AS212" s="71">
        <f ca="1">-IF(C212=1,(F212+K212+L212+Q212)/2*'Invoer gegevens'!$F$37*Reeksen!L212,0)</f>
        <v>0</v>
      </c>
      <c r="AT212" s="71">
        <f ca="1">-IF(C212=1,IF(E212='Invoer gegevens'!$C$17,'Invoer gegevens'!$C$11,AD212)*Reeksen!S212*'Invoer gegevens'!$C$18*Reeksen!P212,0)</f>
        <v>0</v>
      </c>
      <c r="AU212" s="71">
        <f ca="1">-IF(C212=1,(F212+K212+L212+Q212)/2*'Invoer gegevens'!$F$38*Reeksen!H212,0)</f>
        <v>0</v>
      </c>
      <c r="AV212" s="71">
        <f t="shared" si="35"/>
        <v>0</v>
      </c>
      <c r="AW212" s="71">
        <f t="shared" ca="1" si="44"/>
        <v>0</v>
      </c>
      <c r="AX212" s="71">
        <f ca="1">IF(E212&lt;'Invoer gegevens'!$C$17+15,0,IF(E212&gt;'Invoer gegevens'!$C$17+215,0,AW212))</f>
        <v>0</v>
      </c>
      <c r="AY212" s="71">
        <f ca="1">AX212/(1+'Invoer gegevens'!$F$18)^($AZ212-('Invoer gegevens'!$C$17-'Invoer gegevens'!$C$16))/(1+'Invoer gegevens'!$C$39)^('Invoer gegevens'!$C$17-'Invoer gegevens'!$C$16)</f>
        <v>0</v>
      </c>
      <c r="AZ212" s="68">
        <f ca="1">IF(E212-'Invoer gegevens'!$C$17-14.5&lt;0,0,E212-'Invoer gegevens'!$C$17-14.5)</f>
        <v>192.5</v>
      </c>
    </row>
    <row r="213" spans="1:52" x14ac:dyDescent="0.25">
      <c r="A213" s="59"/>
      <c r="B213" s="70">
        <f t="shared" si="45"/>
        <v>209</v>
      </c>
      <c r="C213" s="67">
        <f ca="1">IF(E213-'Invoer gegevens'!$C$17&lt;0,0,1)</f>
        <v>1</v>
      </c>
      <c r="D213" s="68">
        <f t="shared" si="46"/>
        <v>208.5</v>
      </c>
      <c r="E213" s="69">
        <f ca="1">IF('Invoer gegevens'!$C$16="","",E212+1)</f>
        <v>2227</v>
      </c>
      <c r="F213" s="84">
        <f ca="1">IF('Invoer gegevens'!$C$17=E213,'Invoer gegevens'!$C$10,IF(C213=1,K212,0))</f>
        <v>0</v>
      </c>
      <c r="G213" s="96">
        <f ca="1">IF(C213&gt;=1,F213*VLOOKUP(E213,Reeksen!$A$5:$B$76,2),0)</f>
        <v>0</v>
      </c>
      <c r="H213" s="84">
        <f ca="1">(1-('Invoer gegevens'!$F$20/12))*F213*MIN(Reeksen!B213,Reeksen!D213)</f>
        <v>0</v>
      </c>
      <c r="I213" s="84">
        <f>IF(Reeksen!D213&lt;Reeksen!B213,(Reeksen!B213-Reeksen!D213)*F213,0)</f>
        <v>0</v>
      </c>
      <c r="J213" s="84">
        <f ca="1">('Invoer gegevens'!$F$20/12)*F212*MIN(Reeksen!B212,Reeksen!D212)</f>
        <v>0</v>
      </c>
      <c r="K213" s="97">
        <f t="shared" ca="1" si="36"/>
        <v>0</v>
      </c>
      <c r="L213" s="84">
        <f ca="1">IF('Invoer gegevens'!$C$17=E213,0,IF(C213=1,Q212,0))</f>
        <v>0</v>
      </c>
      <c r="M213" s="96">
        <f ca="1">IF(C213&gt;=1,L213*VLOOKUP(E213,Reeksen!$A$5:$B$76,2),0)</f>
        <v>0</v>
      </c>
      <c r="N213" s="84">
        <f ca="1">(1-('Invoer gegevens'!$F$20/12))*L213*MIN(Reeksen!B213,Reeksen!D213)</f>
        <v>0</v>
      </c>
      <c r="O213" s="84">
        <f>IF(Reeksen!D213&lt;Reeksen!B213,(Reeksen!B213-Reeksen!D213)*L213,0)</f>
        <v>0</v>
      </c>
      <c r="P213" s="84">
        <f ca="1">('Invoer gegevens'!$F$20/12)*L212*MIN(Reeksen!B212,Reeksen!D212)</f>
        <v>0</v>
      </c>
      <c r="Q213" s="84">
        <f t="shared" ca="1" si="37"/>
        <v>0</v>
      </c>
      <c r="R213" s="82">
        <f ca="1">IF('Invoer gegevens'!$C$17=E213,'Invoer gegevens'!$C$11,IF(C213=1,W212,0))</f>
        <v>0</v>
      </c>
      <c r="S213" s="86">
        <f ca="1">IF(C213&gt;=1,R213*VLOOKUP(E213,Reeksen!$A$5:$B$76,2),0)</f>
        <v>0</v>
      </c>
      <c r="T213" s="84">
        <f ca="1">(1-('Invoer gegevens'!$F$20/12))*R213*MIN(Reeksen!B213,Reeksen!D213)</f>
        <v>0</v>
      </c>
      <c r="U213" s="84">
        <f>IF(Reeksen!D213&gt;=Reeksen!B213,0,IF(Reeksen!AD213&lt;=Reeksen!AE213,(Reeksen!B213-Reeksen!D213)*R213,0))</f>
        <v>0</v>
      </c>
      <c r="V213" s="86">
        <f>IF(Reeksen!D213&gt;=Reeksen!B213,0,IF(Reeksen!AD213&gt;Reeksen!AE213,(Reeksen!B213-Reeksen!D213)*R213,0))</f>
        <v>0</v>
      </c>
      <c r="W213" s="97">
        <f t="shared" ca="1" si="38"/>
        <v>0</v>
      </c>
      <c r="X213" s="98">
        <f ca="1">IF('Invoer gegevens'!$C$17=E213,'Invoer gegevens'!$C$10-'Invoer gegevens'!$C$11,IF(C213=1,AC212,0))</f>
        <v>0</v>
      </c>
      <c r="Y213" s="98">
        <f ca="1">IF(C213&gt;=1,X213*VLOOKUP(E213,Reeksen!$A$5:$B$76,2),0)</f>
        <v>0</v>
      </c>
      <c r="Z213" s="98">
        <f ca="1">(1-('Invoer gegevens'!$F$20/12))*X213*MIN(Reeksen!B213,Reeksen!D213)</f>
        <v>0</v>
      </c>
      <c r="AA213" s="98">
        <f>IF(Reeksen!D213&gt;=Reeksen!B213,0,IF(Reeksen!AD213&lt;=Reeksen!AE213,(Reeksen!B213-Reeksen!D213)*X213,0))</f>
        <v>0</v>
      </c>
      <c r="AB213" s="98">
        <f>IF(Reeksen!D213&gt;=Reeksen!B213,0,IF(Reeksen!AD213&gt;Reeksen!AE213,(Reeksen!B213-Reeksen!D213)*X213,0))</f>
        <v>0</v>
      </c>
      <c r="AC213" s="99">
        <f t="shared" ca="1" si="39"/>
        <v>0</v>
      </c>
      <c r="AD213" s="98">
        <f ca="1">IF('Invoer gegevens'!$C$17=E213,R213,IF(C213=0,0,AE212))</f>
        <v>0</v>
      </c>
      <c r="AE213" s="98">
        <f t="shared" ca="1" si="40"/>
        <v>0</v>
      </c>
      <c r="AF213" s="98">
        <f ca="1">IF('Invoer gegevens'!$C$17=E213,X213,IF(C213=0,0,AG212))</f>
        <v>0</v>
      </c>
      <c r="AG213" s="98">
        <f t="shared" ca="1" si="41"/>
        <v>0</v>
      </c>
      <c r="AH213" s="66"/>
      <c r="AI213" s="71">
        <f ca="1">IF(C213=1,Reeksen!AI213*((F213-G213+F213)/2)*12+Reeksen!AD213*((L213-M213+L213)/2)*12,0)</f>
        <v>0</v>
      </c>
      <c r="AJ213" s="71">
        <f ca="1">-AI213*'Invoer gegevens'!$F$28</f>
        <v>0</v>
      </c>
      <c r="AK213" s="71">
        <f t="shared" ca="1" si="42"/>
        <v>0</v>
      </c>
      <c r="AL213" s="71">
        <f ca="1">IF(C213=1,Reeksen!AL213*((F213-G213+F213)/2)*12+Reeksen!AM213*((L213-M213+L213)/2)*12,0)</f>
        <v>0</v>
      </c>
      <c r="AM213" s="71">
        <f ca="1">-AL213*'Invoer gegevens'!$F$31</f>
        <v>0</v>
      </c>
      <c r="AN213" s="71">
        <f t="shared" ca="1" si="43"/>
        <v>0</v>
      </c>
      <c r="AO213" s="71">
        <f ca="1">IF(C213=1,(H213+J213+N213+P213)*Reeksen!AN213,0)</f>
        <v>0</v>
      </c>
      <c r="AP213" s="71">
        <f ca="1">-IF(C213=1,(H213+J213+N213+P213)*'Hulp - basis'!$G$550*Reeksen!H213,0)</f>
        <v>0</v>
      </c>
      <c r="AQ213" s="71">
        <f ca="1">-IF(C213=1,(F213+K213+L213+Q213)/2*'Invoer gegevens'!$F$35*Reeksen!J213,0)*2</f>
        <v>0</v>
      </c>
      <c r="AR213" s="71"/>
      <c r="AS213" s="71">
        <f ca="1">-IF(C213=1,(F213+K213+L213+Q213)/2*'Invoer gegevens'!$F$37*Reeksen!L213,0)</f>
        <v>0</v>
      </c>
      <c r="AT213" s="71">
        <f ca="1">-IF(C213=1,IF(E213='Invoer gegevens'!$C$17,'Invoer gegevens'!$C$11,AD213)*Reeksen!S213*'Invoer gegevens'!$C$18*Reeksen!P213,0)</f>
        <v>0</v>
      </c>
      <c r="AU213" s="71">
        <f ca="1">-IF(C213=1,(F213+K213+L213+Q213)/2*'Invoer gegevens'!$F$38*Reeksen!H213,0)</f>
        <v>0</v>
      </c>
      <c r="AV213" s="71">
        <f t="shared" ref="AV213:AV234" si="47">AV212</f>
        <v>0</v>
      </c>
      <c r="AW213" s="71">
        <f t="shared" ca="1" si="44"/>
        <v>0</v>
      </c>
      <c r="AX213" s="71">
        <f ca="1">IF(E213&lt;'Invoer gegevens'!$C$17+15,0,IF(E213&gt;'Invoer gegevens'!$C$17+215,0,AW213))</f>
        <v>0</v>
      </c>
      <c r="AY213" s="71">
        <f ca="1">AX213/(1+'Invoer gegevens'!$F$18)^($AZ213-('Invoer gegevens'!$C$17-'Invoer gegevens'!$C$16))/(1+'Invoer gegevens'!$C$39)^('Invoer gegevens'!$C$17-'Invoer gegevens'!$C$16)</f>
        <v>0</v>
      </c>
      <c r="AZ213" s="68">
        <f ca="1">IF(E213-'Invoer gegevens'!$C$17-14.5&lt;0,0,E213-'Invoer gegevens'!$C$17-14.5)</f>
        <v>193.5</v>
      </c>
    </row>
    <row r="214" spans="1:52" x14ac:dyDescent="0.25">
      <c r="A214" s="59"/>
      <c r="B214" s="70">
        <f t="shared" si="45"/>
        <v>210</v>
      </c>
      <c r="C214" s="67">
        <f ca="1">IF(E214-'Invoer gegevens'!$C$17&lt;0,0,1)</f>
        <v>1</v>
      </c>
      <c r="D214" s="68">
        <f t="shared" si="46"/>
        <v>209.5</v>
      </c>
      <c r="E214" s="69">
        <f ca="1">IF('Invoer gegevens'!$C$16="","",E213+1)</f>
        <v>2228</v>
      </c>
      <c r="F214" s="84">
        <f ca="1">IF('Invoer gegevens'!$C$17=E214,'Invoer gegevens'!$C$10,IF(C214=1,K213,0))</f>
        <v>0</v>
      </c>
      <c r="G214" s="96">
        <f ca="1">IF(C214&gt;=1,F214*VLOOKUP(E214,Reeksen!$A$5:$B$76,2),0)</f>
        <v>0</v>
      </c>
      <c r="H214" s="84">
        <f ca="1">(1-('Invoer gegevens'!$F$20/12))*F214*MIN(Reeksen!B214,Reeksen!D214)</f>
        <v>0</v>
      </c>
      <c r="I214" s="84">
        <f>IF(Reeksen!D214&lt;Reeksen!B214,(Reeksen!B214-Reeksen!D214)*F214,0)</f>
        <v>0</v>
      </c>
      <c r="J214" s="84">
        <f ca="1">('Invoer gegevens'!$F$20/12)*F213*MIN(Reeksen!B213,Reeksen!D213)</f>
        <v>0</v>
      </c>
      <c r="K214" s="97">
        <f t="shared" ca="1" si="36"/>
        <v>0</v>
      </c>
      <c r="L214" s="84">
        <f ca="1">IF('Invoer gegevens'!$C$17=E214,0,IF(C214=1,Q213,0))</f>
        <v>0</v>
      </c>
      <c r="M214" s="96">
        <f ca="1">IF(C214&gt;=1,L214*VLOOKUP(E214,Reeksen!$A$5:$B$76,2),0)</f>
        <v>0</v>
      </c>
      <c r="N214" s="84">
        <f ca="1">(1-('Invoer gegevens'!$F$20/12))*L214*MIN(Reeksen!B214,Reeksen!D214)</f>
        <v>0</v>
      </c>
      <c r="O214" s="84">
        <f>IF(Reeksen!D214&lt;Reeksen!B214,(Reeksen!B214-Reeksen!D214)*L214,0)</f>
        <v>0</v>
      </c>
      <c r="P214" s="84">
        <f ca="1">('Invoer gegevens'!$F$20/12)*L213*MIN(Reeksen!B213,Reeksen!D213)</f>
        <v>0</v>
      </c>
      <c r="Q214" s="84">
        <f t="shared" ca="1" si="37"/>
        <v>0</v>
      </c>
      <c r="R214" s="82">
        <f ca="1">IF('Invoer gegevens'!$C$17=E214,'Invoer gegevens'!$C$11,IF(C214=1,W213,0))</f>
        <v>0</v>
      </c>
      <c r="S214" s="86">
        <f ca="1">IF(C214&gt;=1,R214*VLOOKUP(E214,Reeksen!$A$5:$B$76,2),0)</f>
        <v>0</v>
      </c>
      <c r="T214" s="84">
        <f ca="1">(1-('Invoer gegevens'!$F$20/12))*R214*MIN(Reeksen!B214,Reeksen!D214)</f>
        <v>0</v>
      </c>
      <c r="U214" s="84">
        <f>IF(Reeksen!D214&gt;=Reeksen!B214,0,IF(Reeksen!AD214&lt;=Reeksen!AE214,(Reeksen!B214-Reeksen!D214)*R214,0))</f>
        <v>0</v>
      </c>
      <c r="V214" s="86">
        <f>IF(Reeksen!D214&gt;=Reeksen!B214,0,IF(Reeksen!AD214&gt;Reeksen!AE214,(Reeksen!B214-Reeksen!D214)*R214,0))</f>
        <v>0</v>
      </c>
      <c r="W214" s="97">
        <f t="shared" ca="1" si="38"/>
        <v>0</v>
      </c>
      <c r="X214" s="98">
        <f ca="1">IF('Invoer gegevens'!$C$17=E214,'Invoer gegevens'!$C$10-'Invoer gegevens'!$C$11,IF(C214=1,AC213,0))</f>
        <v>0</v>
      </c>
      <c r="Y214" s="98">
        <f ca="1">IF(C214&gt;=1,X214*VLOOKUP(E214,Reeksen!$A$5:$B$76,2),0)</f>
        <v>0</v>
      </c>
      <c r="Z214" s="98">
        <f ca="1">(1-('Invoer gegevens'!$F$20/12))*X214*MIN(Reeksen!B214,Reeksen!D214)</f>
        <v>0</v>
      </c>
      <c r="AA214" s="98">
        <f>IF(Reeksen!D214&gt;=Reeksen!B214,0,IF(Reeksen!AD214&lt;=Reeksen!AE214,(Reeksen!B214-Reeksen!D214)*X214,0))</f>
        <v>0</v>
      </c>
      <c r="AB214" s="98">
        <f>IF(Reeksen!D214&gt;=Reeksen!B214,0,IF(Reeksen!AD214&gt;Reeksen!AE214,(Reeksen!B214-Reeksen!D214)*X214,0))</f>
        <v>0</v>
      </c>
      <c r="AC214" s="99">
        <f t="shared" ca="1" si="39"/>
        <v>0</v>
      </c>
      <c r="AD214" s="98">
        <f ca="1">IF('Invoer gegevens'!$C$17=E214,R214,IF(C214=0,0,AE213))</f>
        <v>0</v>
      </c>
      <c r="AE214" s="98">
        <f t="shared" ca="1" si="40"/>
        <v>0</v>
      </c>
      <c r="AF214" s="98">
        <f ca="1">IF('Invoer gegevens'!$C$17=E214,X214,IF(C214=0,0,AG213))</f>
        <v>0</v>
      </c>
      <c r="AG214" s="98">
        <f t="shared" ca="1" si="41"/>
        <v>0</v>
      </c>
      <c r="AH214" s="66"/>
      <c r="AI214" s="71">
        <f ca="1">IF(C214=1,Reeksen!AI214*((F214-G214+F214)/2)*12+Reeksen!AD214*((L214-M214+L214)/2)*12,0)</f>
        <v>0</v>
      </c>
      <c r="AJ214" s="71">
        <f ca="1">-AI214*'Invoer gegevens'!$F$28</f>
        <v>0</v>
      </c>
      <c r="AK214" s="71">
        <f t="shared" ca="1" si="42"/>
        <v>0</v>
      </c>
      <c r="AL214" s="71">
        <f ca="1">IF(C214=1,Reeksen!AL214*((F214-G214+F214)/2)*12+Reeksen!AM214*((L214-M214+L214)/2)*12,0)</f>
        <v>0</v>
      </c>
      <c r="AM214" s="71">
        <f ca="1">-AL214*'Invoer gegevens'!$F$31</f>
        <v>0</v>
      </c>
      <c r="AN214" s="71">
        <f t="shared" ca="1" si="43"/>
        <v>0</v>
      </c>
      <c r="AO214" s="71">
        <f ca="1">IF(C214=1,(H214+J214+N214+P214)*Reeksen!AN214,0)</f>
        <v>0</v>
      </c>
      <c r="AP214" s="71">
        <f ca="1">-IF(C214=1,(H214+J214+N214+P214)*'Hulp - basis'!$G$550*Reeksen!H214,0)</f>
        <v>0</v>
      </c>
      <c r="AQ214" s="71">
        <f ca="1">-IF(C214=1,(F214+K214+L214+Q214)/2*'Invoer gegevens'!$F$35*Reeksen!J214,0)*2</f>
        <v>0</v>
      </c>
      <c r="AR214" s="71"/>
      <c r="AS214" s="71">
        <f ca="1">-IF(C214=1,(F214+K214+L214+Q214)/2*'Invoer gegevens'!$F$37*Reeksen!L214,0)</f>
        <v>0</v>
      </c>
      <c r="AT214" s="71">
        <f ca="1">-IF(C214=1,IF(E214='Invoer gegevens'!$C$17,'Invoer gegevens'!$C$11,AD214)*Reeksen!S214*'Invoer gegevens'!$C$18*Reeksen!P214,0)</f>
        <v>0</v>
      </c>
      <c r="AU214" s="71">
        <f ca="1">-IF(C214=1,(F214+K214+L214+Q214)/2*'Invoer gegevens'!$F$38*Reeksen!H214,0)</f>
        <v>0</v>
      </c>
      <c r="AV214" s="71">
        <f t="shared" si="47"/>
        <v>0</v>
      </c>
      <c r="AW214" s="71">
        <f t="shared" ca="1" si="44"/>
        <v>0</v>
      </c>
      <c r="AX214" s="71">
        <f ca="1">IF(E214&lt;'Invoer gegevens'!$C$17+15,0,IF(E214&gt;'Invoer gegevens'!$C$17+215,0,AW214))</f>
        <v>0</v>
      </c>
      <c r="AY214" s="71">
        <f ca="1">AX214/(1+'Invoer gegevens'!$F$18)^($AZ214-('Invoer gegevens'!$C$17-'Invoer gegevens'!$C$16))/(1+'Invoer gegevens'!$C$39)^('Invoer gegevens'!$C$17-'Invoer gegevens'!$C$16)</f>
        <v>0</v>
      </c>
      <c r="AZ214" s="68">
        <f ca="1">IF(E214-'Invoer gegevens'!$C$17-14.5&lt;0,0,E214-'Invoer gegevens'!$C$17-14.5)</f>
        <v>194.5</v>
      </c>
    </row>
    <row r="215" spans="1:52" x14ac:dyDescent="0.25">
      <c r="A215" s="59"/>
      <c r="B215" s="70">
        <f t="shared" si="45"/>
        <v>211</v>
      </c>
      <c r="C215" s="67">
        <f ca="1">IF(E215-'Invoer gegevens'!$C$17&lt;0,0,1)</f>
        <v>1</v>
      </c>
      <c r="D215" s="68">
        <f t="shared" si="46"/>
        <v>210.5</v>
      </c>
      <c r="E215" s="69">
        <f ca="1">IF('Invoer gegevens'!$C$16="","",E214+1)</f>
        <v>2229</v>
      </c>
      <c r="F215" s="84">
        <f ca="1">IF('Invoer gegevens'!$C$17=E215,'Invoer gegevens'!$C$10,IF(C215=1,K214,0))</f>
        <v>0</v>
      </c>
      <c r="G215" s="96">
        <f ca="1">IF(C215&gt;=1,F215*VLOOKUP(E215,Reeksen!$A$5:$B$76,2),0)</f>
        <v>0</v>
      </c>
      <c r="H215" s="84">
        <f ca="1">(1-('Invoer gegevens'!$F$20/12))*F215*MIN(Reeksen!B215,Reeksen!D215)</f>
        <v>0</v>
      </c>
      <c r="I215" s="84">
        <f>IF(Reeksen!D215&lt;Reeksen!B215,(Reeksen!B215-Reeksen!D215)*F215,0)</f>
        <v>0</v>
      </c>
      <c r="J215" s="84">
        <f ca="1">('Invoer gegevens'!$F$20/12)*F214*MIN(Reeksen!B214,Reeksen!D214)</f>
        <v>0</v>
      </c>
      <c r="K215" s="97">
        <f t="shared" ca="1" si="36"/>
        <v>0</v>
      </c>
      <c r="L215" s="84">
        <f ca="1">IF('Invoer gegevens'!$C$17=E215,0,IF(C215=1,Q214,0))</f>
        <v>0</v>
      </c>
      <c r="M215" s="96">
        <f ca="1">IF(C215&gt;=1,L215*VLOOKUP(E215,Reeksen!$A$5:$B$76,2),0)</f>
        <v>0</v>
      </c>
      <c r="N215" s="84">
        <f ca="1">(1-('Invoer gegevens'!$F$20/12))*L215*MIN(Reeksen!B215,Reeksen!D215)</f>
        <v>0</v>
      </c>
      <c r="O215" s="84">
        <f>IF(Reeksen!D215&lt;Reeksen!B215,(Reeksen!B215-Reeksen!D215)*L215,0)</f>
        <v>0</v>
      </c>
      <c r="P215" s="84">
        <f ca="1">('Invoer gegevens'!$F$20/12)*L214*MIN(Reeksen!B214,Reeksen!D214)</f>
        <v>0</v>
      </c>
      <c r="Q215" s="84">
        <f t="shared" ca="1" si="37"/>
        <v>0</v>
      </c>
      <c r="R215" s="82">
        <f ca="1">IF('Invoer gegevens'!$C$17=E215,'Invoer gegevens'!$C$11,IF(C215=1,W214,0))</f>
        <v>0</v>
      </c>
      <c r="S215" s="86">
        <f ca="1">IF(C215&gt;=1,R215*VLOOKUP(E215,Reeksen!$A$5:$B$76,2),0)</f>
        <v>0</v>
      </c>
      <c r="T215" s="84">
        <f ca="1">(1-('Invoer gegevens'!$F$20/12))*R215*MIN(Reeksen!B215,Reeksen!D215)</f>
        <v>0</v>
      </c>
      <c r="U215" s="84">
        <f>IF(Reeksen!D215&gt;=Reeksen!B215,0,IF(Reeksen!AD215&lt;=Reeksen!AE215,(Reeksen!B215-Reeksen!D215)*R215,0))</f>
        <v>0</v>
      </c>
      <c r="V215" s="86">
        <f>IF(Reeksen!D215&gt;=Reeksen!B215,0,IF(Reeksen!AD215&gt;Reeksen!AE215,(Reeksen!B215-Reeksen!D215)*R215,0))</f>
        <v>0</v>
      </c>
      <c r="W215" s="97">
        <f t="shared" ca="1" si="38"/>
        <v>0</v>
      </c>
      <c r="X215" s="98">
        <f ca="1">IF('Invoer gegevens'!$C$17=E215,'Invoer gegevens'!$C$10-'Invoer gegevens'!$C$11,IF(C215=1,AC214,0))</f>
        <v>0</v>
      </c>
      <c r="Y215" s="98">
        <f ca="1">IF(C215&gt;=1,X215*VLOOKUP(E215,Reeksen!$A$5:$B$76,2),0)</f>
        <v>0</v>
      </c>
      <c r="Z215" s="98">
        <f ca="1">(1-('Invoer gegevens'!$F$20/12))*X215*MIN(Reeksen!B215,Reeksen!D215)</f>
        <v>0</v>
      </c>
      <c r="AA215" s="98">
        <f>IF(Reeksen!D215&gt;=Reeksen!B215,0,IF(Reeksen!AD215&lt;=Reeksen!AE215,(Reeksen!B215-Reeksen!D215)*X215,0))</f>
        <v>0</v>
      </c>
      <c r="AB215" s="98">
        <f>IF(Reeksen!D215&gt;=Reeksen!B215,0,IF(Reeksen!AD215&gt;Reeksen!AE215,(Reeksen!B215-Reeksen!D215)*X215,0))</f>
        <v>0</v>
      </c>
      <c r="AC215" s="99">
        <f t="shared" ca="1" si="39"/>
        <v>0</v>
      </c>
      <c r="AD215" s="98">
        <f ca="1">IF('Invoer gegevens'!$C$17=E215,R215,IF(C215=0,0,AE214))</f>
        <v>0</v>
      </c>
      <c r="AE215" s="98">
        <f t="shared" ca="1" si="40"/>
        <v>0</v>
      </c>
      <c r="AF215" s="98">
        <f ca="1">IF('Invoer gegevens'!$C$17=E215,X215,IF(C215=0,0,AG214))</f>
        <v>0</v>
      </c>
      <c r="AG215" s="98">
        <f t="shared" ca="1" si="41"/>
        <v>0</v>
      </c>
      <c r="AH215" s="66"/>
      <c r="AI215" s="71">
        <f ca="1">IF(C215=1,Reeksen!AI215*((F215-G215+F215)/2)*12+Reeksen!AD215*((L215-M215+L215)/2)*12,0)</f>
        <v>0</v>
      </c>
      <c r="AJ215" s="71">
        <f ca="1">-AI215*'Invoer gegevens'!$F$28</f>
        <v>0</v>
      </c>
      <c r="AK215" s="71">
        <f t="shared" ca="1" si="42"/>
        <v>0</v>
      </c>
      <c r="AL215" s="71">
        <f ca="1">IF(C215=1,Reeksen!AL215*((F215-G215+F215)/2)*12+Reeksen!AM215*((L215-M215+L215)/2)*12,0)</f>
        <v>0</v>
      </c>
      <c r="AM215" s="71">
        <f ca="1">-AL215*'Invoer gegevens'!$F$31</f>
        <v>0</v>
      </c>
      <c r="AN215" s="71">
        <f t="shared" ca="1" si="43"/>
        <v>0</v>
      </c>
      <c r="AO215" s="71">
        <f ca="1">IF(C215=1,(H215+J215+N215+P215)*Reeksen!AN215,0)</f>
        <v>0</v>
      </c>
      <c r="AP215" s="71">
        <f ca="1">-IF(C215=1,(H215+J215+N215+P215)*'Hulp - basis'!$G$550*Reeksen!H215,0)</f>
        <v>0</v>
      </c>
      <c r="AQ215" s="71">
        <f ca="1">-IF(C215=1,(F215+K215+L215+Q215)/2*'Invoer gegevens'!$F$35*Reeksen!J215,0)*2</f>
        <v>0</v>
      </c>
      <c r="AR215" s="71"/>
      <c r="AS215" s="71">
        <f ca="1">-IF(C215=1,(F215+K215+L215+Q215)/2*'Invoer gegevens'!$F$37*Reeksen!L215,0)</f>
        <v>0</v>
      </c>
      <c r="AT215" s="71">
        <f ca="1">-IF(C215=1,IF(E215='Invoer gegevens'!$C$17,'Invoer gegevens'!$C$11,AD215)*Reeksen!S215*'Invoer gegevens'!$C$18*Reeksen!P215,0)</f>
        <v>0</v>
      </c>
      <c r="AU215" s="71">
        <f ca="1">-IF(C215=1,(F215+K215+L215+Q215)/2*'Invoer gegevens'!$F$38*Reeksen!H215,0)</f>
        <v>0</v>
      </c>
      <c r="AV215" s="71">
        <f t="shared" si="47"/>
        <v>0</v>
      </c>
      <c r="AW215" s="71">
        <f t="shared" ca="1" si="44"/>
        <v>0</v>
      </c>
      <c r="AX215" s="71">
        <f ca="1">IF(E215&lt;'Invoer gegevens'!$C$17+15,0,IF(E215&gt;'Invoer gegevens'!$C$17+215,0,AW215))</f>
        <v>0</v>
      </c>
      <c r="AY215" s="71">
        <f ca="1">AX215/(1+'Invoer gegevens'!$F$18)^($AZ215-('Invoer gegevens'!$C$17-'Invoer gegevens'!$C$16))/(1+'Invoer gegevens'!$C$39)^('Invoer gegevens'!$C$17-'Invoer gegevens'!$C$16)</f>
        <v>0</v>
      </c>
      <c r="AZ215" s="68">
        <f ca="1">IF(E215-'Invoer gegevens'!$C$17-14.5&lt;0,0,E215-'Invoer gegevens'!$C$17-14.5)</f>
        <v>195.5</v>
      </c>
    </row>
    <row r="216" spans="1:52" x14ac:dyDescent="0.25">
      <c r="A216" s="59"/>
      <c r="B216" s="70">
        <f t="shared" si="45"/>
        <v>212</v>
      </c>
      <c r="C216" s="67">
        <f ca="1">IF(E216-'Invoer gegevens'!$C$17&lt;0,0,1)</f>
        <v>1</v>
      </c>
      <c r="D216" s="68">
        <f t="shared" si="46"/>
        <v>211.5</v>
      </c>
      <c r="E216" s="69">
        <f ca="1">IF('Invoer gegevens'!$C$16="","",E215+1)</f>
        <v>2230</v>
      </c>
      <c r="F216" s="84">
        <f ca="1">IF('Invoer gegevens'!$C$17=E216,'Invoer gegevens'!$C$10,IF(C216=1,K215,0))</f>
        <v>0</v>
      </c>
      <c r="G216" s="96">
        <f ca="1">IF(C216&gt;=1,F216*VLOOKUP(E216,Reeksen!$A$5:$B$76,2),0)</f>
        <v>0</v>
      </c>
      <c r="H216" s="84">
        <f ca="1">(1-('Invoer gegevens'!$F$20/12))*F216*MIN(Reeksen!B216,Reeksen!D216)</f>
        <v>0</v>
      </c>
      <c r="I216" s="84">
        <f>IF(Reeksen!D216&lt;Reeksen!B216,(Reeksen!B216-Reeksen!D216)*F216,0)</f>
        <v>0</v>
      </c>
      <c r="J216" s="84">
        <f ca="1">('Invoer gegevens'!$F$20/12)*F215*MIN(Reeksen!B215,Reeksen!D215)</f>
        <v>0</v>
      </c>
      <c r="K216" s="97">
        <f t="shared" ca="1" si="36"/>
        <v>0</v>
      </c>
      <c r="L216" s="84">
        <f ca="1">IF('Invoer gegevens'!$C$17=E216,0,IF(C216=1,Q215,0))</f>
        <v>0</v>
      </c>
      <c r="M216" s="96">
        <f ca="1">IF(C216&gt;=1,L216*VLOOKUP(E216,Reeksen!$A$5:$B$76,2),0)</f>
        <v>0</v>
      </c>
      <c r="N216" s="84">
        <f ca="1">(1-('Invoer gegevens'!$F$20/12))*L216*MIN(Reeksen!B216,Reeksen!D216)</f>
        <v>0</v>
      </c>
      <c r="O216" s="84">
        <f>IF(Reeksen!D216&lt;Reeksen!B216,(Reeksen!B216-Reeksen!D216)*L216,0)</f>
        <v>0</v>
      </c>
      <c r="P216" s="84">
        <f ca="1">('Invoer gegevens'!$F$20/12)*L215*MIN(Reeksen!B215,Reeksen!D215)</f>
        <v>0</v>
      </c>
      <c r="Q216" s="84">
        <f t="shared" ca="1" si="37"/>
        <v>0</v>
      </c>
      <c r="R216" s="82">
        <f ca="1">IF('Invoer gegevens'!$C$17=E216,'Invoer gegevens'!$C$11,IF(C216=1,W215,0))</f>
        <v>0</v>
      </c>
      <c r="S216" s="86">
        <f ca="1">IF(C216&gt;=1,R216*VLOOKUP(E216,Reeksen!$A$5:$B$76,2),0)</f>
        <v>0</v>
      </c>
      <c r="T216" s="84">
        <f ca="1">(1-('Invoer gegevens'!$F$20/12))*R216*MIN(Reeksen!B216,Reeksen!D216)</f>
        <v>0</v>
      </c>
      <c r="U216" s="84">
        <f>IF(Reeksen!D216&gt;=Reeksen!B216,0,IF(Reeksen!AD216&lt;=Reeksen!AE216,(Reeksen!B216-Reeksen!D216)*R216,0))</f>
        <v>0</v>
      </c>
      <c r="V216" s="86">
        <f>IF(Reeksen!D216&gt;=Reeksen!B216,0,IF(Reeksen!AD216&gt;Reeksen!AE216,(Reeksen!B216-Reeksen!D216)*R216,0))</f>
        <v>0</v>
      </c>
      <c r="W216" s="97">
        <f t="shared" ca="1" si="38"/>
        <v>0</v>
      </c>
      <c r="X216" s="98">
        <f ca="1">IF('Invoer gegevens'!$C$17=E216,'Invoer gegevens'!$C$10-'Invoer gegevens'!$C$11,IF(C216=1,AC215,0))</f>
        <v>0</v>
      </c>
      <c r="Y216" s="98">
        <f ca="1">IF(C216&gt;=1,X216*VLOOKUP(E216,Reeksen!$A$5:$B$76,2),0)</f>
        <v>0</v>
      </c>
      <c r="Z216" s="98">
        <f ca="1">(1-('Invoer gegevens'!$F$20/12))*X216*MIN(Reeksen!B216,Reeksen!D216)</f>
        <v>0</v>
      </c>
      <c r="AA216" s="98">
        <f>IF(Reeksen!D216&gt;=Reeksen!B216,0,IF(Reeksen!AD216&lt;=Reeksen!AE216,(Reeksen!B216-Reeksen!D216)*X216,0))</f>
        <v>0</v>
      </c>
      <c r="AB216" s="98">
        <f>IF(Reeksen!D216&gt;=Reeksen!B216,0,IF(Reeksen!AD216&gt;Reeksen!AE216,(Reeksen!B216-Reeksen!D216)*X216,0))</f>
        <v>0</v>
      </c>
      <c r="AC216" s="99">
        <f t="shared" ca="1" si="39"/>
        <v>0</v>
      </c>
      <c r="AD216" s="98">
        <f ca="1">IF('Invoer gegevens'!$C$17=E216,R216,IF(C216=0,0,AE215))</f>
        <v>0</v>
      </c>
      <c r="AE216" s="98">
        <f t="shared" ca="1" si="40"/>
        <v>0</v>
      </c>
      <c r="AF216" s="98">
        <f ca="1">IF('Invoer gegevens'!$C$17=E216,X216,IF(C216=0,0,AG215))</f>
        <v>0</v>
      </c>
      <c r="AG216" s="98">
        <f t="shared" ca="1" si="41"/>
        <v>0</v>
      </c>
      <c r="AH216" s="66"/>
      <c r="AI216" s="71">
        <f ca="1">IF(C216=1,Reeksen!AI216*((F216-G216+F216)/2)*12+Reeksen!AD216*((L216-M216+L216)/2)*12,0)</f>
        <v>0</v>
      </c>
      <c r="AJ216" s="71">
        <f ca="1">-AI216*'Invoer gegevens'!$F$28</f>
        <v>0</v>
      </c>
      <c r="AK216" s="71">
        <f t="shared" ca="1" si="42"/>
        <v>0</v>
      </c>
      <c r="AL216" s="71">
        <f ca="1">IF(C216=1,Reeksen!AL216*((F216-G216+F216)/2)*12+Reeksen!AM216*((L216-M216+L216)/2)*12,0)</f>
        <v>0</v>
      </c>
      <c r="AM216" s="71">
        <f ca="1">-AL216*'Invoer gegevens'!$F$31</f>
        <v>0</v>
      </c>
      <c r="AN216" s="71">
        <f t="shared" ca="1" si="43"/>
        <v>0</v>
      </c>
      <c r="AO216" s="71">
        <f ca="1">IF(C216=1,(H216+J216+N216+P216)*Reeksen!AN216,0)</f>
        <v>0</v>
      </c>
      <c r="AP216" s="71">
        <f ca="1">-IF(C216=1,(H216+J216+N216+P216)*'Hulp - basis'!$G$550*Reeksen!H216,0)</f>
        <v>0</v>
      </c>
      <c r="AQ216" s="71">
        <f ca="1">-IF(C216=1,(F216+K216+L216+Q216)/2*'Invoer gegevens'!$F$35*Reeksen!J216,0)*2</f>
        <v>0</v>
      </c>
      <c r="AR216" s="71"/>
      <c r="AS216" s="71">
        <f ca="1">-IF(C216=1,(F216+K216+L216+Q216)/2*'Invoer gegevens'!$F$37*Reeksen!L216,0)</f>
        <v>0</v>
      </c>
      <c r="AT216" s="71">
        <f ca="1">-IF(C216=1,IF(E216='Invoer gegevens'!$C$17,'Invoer gegevens'!$C$11,AD216)*Reeksen!S216*'Invoer gegevens'!$C$18*Reeksen!P216,0)</f>
        <v>0</v>
      </c>
      <c r="AU216" s="71">
        <f ca="1">-IF(C216=1,(F216+K216+L216+Q216)/2*'Invoer gegevens'!$F$38*Reeksen!H216,0)</f>
        <v>0</v>
      </c>
      <c r="AV216" s="71">
        <f t="shared" si="47"/>
        <v>0</v>
      </c>
      <c r="AW216" s="71">
        <f t="shared" ca="1" si="44"/>
        <v>0</v>
      </c>
      <c r="AX216" s="71">
        <f ca="1">IF(E216&lt;'Invoer gegevens'!$C$17+15,0,IF(E216&gt;'Invoer gegevens'!$C$17+215,0,AW216))</f>
        <v>0</v>
      </c>
      <c r="AY216" s="71">
        <f ca="1">AX216/(1+'Invoer gegevens'!$F$18)^($AZ216-('Invoer gegevens'!$C$17-'Invoer gegevens'!$C$16))/(1+'Invoer gegevens'!$C$39)^('Invoer gegevens'!$C$17-'Invoer gegevens'!$C$16)</f>
        <v>0</v>
      </c>
      <c r="AZ216" s="68">
        <f ca="1">IF(E216-'Invoer gegevens'!$C$17-14.5&lt;0,0,E216-'Invoer gegevens'!$C$17-14.5)</f>
        <v>196.5</v>
      </c>
    </row>
    <row r="217" spans="1:52" x14ac:dyDescent="0.25">
      <c r="A217" s="59"/>
      <c r="B217" s="70">
        <f t="shared" si="45"/>
        <v>213</v>
      </c>
      <c r="C217" s="67">
        <f ca="1">IF(E217-'Invoer gegevens'!$C$17&lt;0,0,1)</f>
        <v>1</v>
      </c>
      <c r="D217" s="68">
        <f t="shared" si="46"/>
        <v>212.5</v>
      </c>
      <c r="E217" s="69">
        <f ca="1">IF('Invoer gegevens'!$C$16="","",E216+1)</f>
        <v>2231</v>
      </c>
      <c r="F217" s="84">
        <f ca="1">IF('Invoer gegevens'!$C$17=E217,'Invoer gegevens'!$C$10,IF(C217=1,K216,0))</f>
        <v>0</v>
      </c>
      <c r="G217" s="96">
        <f ca="1">IF(C217&gt;=1,F217*VLOOKUP(E217,Reeksen!$A$5:$B$76,2),0)</f>
        <v>0</v>
      </c>
      <c r="H217" s="84">
        <f ca="1">(1-('Invoer gegevens'!$F$20/12))*F217*MIN(Reeksen!B217,Reeksen!D217)</f>
        <v>0</v>
      </c>
      <c r="I217" s="84">
        <f>IF(Reeksen!D217&lt;Reeksen!B217,(Reeksen!B217-Reeksen!D217)*F217,0)</f>
        <v>0</v>
      </c>
      <c r="J217" s="84">
        <f ca="1">('Invoer gegevens'!$F$20/12)*F216*MIN(Reeksen!B216,Reeksen!D216)</f>
        <v>0</v>
      </c>
      <c r="K217" s="97">
        <f t="shared" ca="1" si="36"/>
        <v>0</v>
      </c>
      <c r="L217" s="84">
        <f ca="1">IF('Invoer gegevens'!$C$17=E217,0,IF(C217=1,Q216,0))</f>
        <v>0</v>
      </c>
      <c r="M217" s="96">
        <f ca="1">IF(C217&gt;=1,L217*VLOOKUP(E217,Reeksen!$A$5:$B$76,2),0)</f>
        <v>0</v>
      </c>
      <c r="N217" s="84">
        <f ca="1">(1-('Invoer gegevens'!$F$20/12))*L217*MIN(Reeksen!B217,Reeksen!D217)</f>
        <v>0</v>
      </c>
      <c r="O217" s="84">
        <f>IF(Reeksen!D217&lt;Reeksen!B217,(Reeksen!B217-Reeksen!D217)*L217,0)</f>
        <v>0</v>
      </c>
      <c r="P217" s="84">
        <f ca="1">('Invoer gegevens'!$F$20/12)*L216*MIN(Reeksen!B216,Reeksen!D216)</f>
        <v>0</v>
      </c>
      <c r="Q217" s="84">
        <f t="shared" ca="1" si="37"/>
        <v>0</v>
      </c>
      <c r="R217" s="82">
        <f ca="1">IF('Invoer gegevens'!$C$17=E217,'Invoer gegevens'!$C$11,IF(C217=1,W216,0))</f>
        <v>0</v>
      </c>
      <c r="S217" s="86">
        <f ca="1">IF(C217&gt;=1,R217*VLOOKUP(E217,Reeksen!$A$5:$B$76,2),0)</f>
        <v>0</v>
      </c>
      <c r="T217" s="84">
        <f ca="1">(1-('Invoer gegevens'!$F$20/12))*R217*MIN(Reeksen!B217,Reeksen!D217)</f>
        <v>0</v>
      </c>
      <c r="U217" s="84">
        <f>IF(Reeksen!D217&gt;=Reeksen!B217,0,IF(Reeksen!AD217&lt;=Reeksen!AE217,(Reeksen!B217-Reeksen!D217)*R217,0))</f>
        <v>0</v>
      </c>
      <c r="V217" s="86">
        <f>IF(Reeksen!D217&gt;=Reeksen!B217,0,IF(Reeksen!AD217&gt;Reeksen!AE217,(Reeksen!B217-Reeksen!D217)*R217,0))</f>
        <v>0</v>
      </c>
      <c r="W217" s="97">
        <f t="shared" ca="1" si="38"/>
        <v>0</v>
      </c>
      <c r="X217" s="98">
        <f ca="1">IF('Invoer gegevens'!$C$17=E217,'Invoer gegevens'!$C$10-'Invoer gegevens'!$C$11,IF(C217=1,AC216,0))</f>
        <v>0</v>
      </c>
      <c r="Y217" s="98">
        <f ca="1">IF(C217&gt;=1,X217*VLOOKUP(E217,Reeksen!$A$5:$B$76,2),0)</f>
        <v>0</v>
      </c>
      <c r="Z217" s="98">
        <f ca="1">(1-('Invoer gegevens'!$F$20/12))*X217*MIN(Reeksen!B217,Reeksen!D217)</f>
        <v>0</v>
      </c>
      <c r="AA217" s="98">
        <f>IF(Reeksen!D217&gt;=Reeksen!B217,0,IF(Reeksen!AD217&lt;=Reeksen!AE217,(Reeksen!B217-Reeksen!D217)*X217,0))</f>
        <v>0</v>
      </c>
      <c r="AB217" s="98">
        <f>IF(Reeksen!D217&gt;=Reeksen!B217,0,IF(Reeksen!AD217&gt;Reeksen!AE217,(Reeksen!B217-Reeksen!D217)*X217,0))</f>
        <v>0</v>
      </c>
      <c r="AC217" s="99">
        <f t="shared" ca="1" si="39"/>
        <v>0</v>
      </c>
      <c r="AD217" s="98">
        <f ca="1">IF('Invoer gegevens'!$C$17=E217,R217,IF(C217=0,0,AE216))</f>
        <v>0</v>
      </c>
      <c r="AE217" s="98">
        <f t="shared" ca="1" si="40"/>
        <v>0</v>
      </c>
      <c r="AF217" s="98">
        <f ca="1">IF('Invoer gegevens'!$C$17=E217,X217,IF(C217=0,0,AG216))</f>
        <v>0</v>
      </c>
      <c r="AG217" s="98">
        <f t="shared" ca="1" si="41"/>
        <v>0</v>
      </c>
      <c r="AH217" s="66"/>
      <c r="AI217" s="71">
        <f ca="1">IF(C217=1,Reeksen!AI217*((F217-G217+F217)/2)*12+Reeksen!AD217*((L217-M217+L217)/2)*12,0)</f>
        <v>0</v>
      </c>
      <c r="AJ217" s="71">
        <f ca="1">-AI217*'Invoer gegevens'!$F$28</f>
        <v>0</v>
      </c>
      <c r="AK217" s="71">
        <f t="shared" ca="1" si="42"/>
        <v>0</v>
      </c>
      <c r="AL217" s="71">
        <f ca="1">IF(C217=1,Reeksen!AL217*((F217-G217+F217)/2)*12+Reeksen!AM217*((L217-M217+L217)/2)*12,0)</f>
        <v>0</v>
      </c>
      <c r="AM217" s="71">
        <f ca="1">-AL217*'Invoer gegevens'!$F$31</f>
        <v>0</v>
      </c>
      <c r="AN217" s="71">
        <f t="shared" ca="1" si="43"/>
        <v>0</v>
      </c>
      <c r="AO217" s="71">
        <f ca="1">IF(C217=1,(H217+J217+N217+P217)*Reeksen!AN217,0)</f>
        <v>0</v>
      </c>
      <c r="AP217" s="71">
        <f ca="1">-IF(C217=1,(H217+J217+N217+P217)*'Hulp - basis'!$G$550*Reeksen!H217,0)</f>
        <v>0</v>
      </c>
      <c r="AQ217" s="71">
        <f ca="1">-IF(C217=1,(F217+K217+L217+Q217)/2*'Invoer gegevens'!$F$35*Reeksen!J217,0)*2</f>
        <v>0</v>
      </c>
      <c r="AR217" s="71"/>
      <c r="AS217" s="71">
        <f ca="1">-IF(C217=1,(F217+K217+L217+Q217)/2*'Invoer gegevens'!$F$37*Reeksen!L217,0)</f>
        <v>0</v>
      </c>
      <c r="AT217" s="71">
        <f ca="1">-IF(C217=1,IF(E217='Invoer gegevens'!$C$17,'Invoer gegevens'!$C$11,AD217)*Reeksen!S217*'Invoer gegevens'!$C$18*Reeksen!P217,0)</f>
        <v>0</v>
      </c>
      <c r="AU217" s="71">
        <f ca="1">-IF(C217=1,(F217+K217+L217+Q217)/2*'Invoer gegevens'!$F$38*Reeksen!H217,0)</f>
        <v>0</v>
      </c>
      <c r="AV217" s="71">
        <f t="shared" si="47"/>
        <v>0</v>
      </c>
      <c r="AW217" s="71">
        <f t="shared" ca="1" si="44"/>
        <v>0</v>
      </c>
      <c r="AX217" s="71">
        <f ca="1">IF(E217&lt;'Invoer gegevens'!$C$17+15,0,IF(E217&gt;'Invoer gegevens'!$C$17+215,0,AW217))</f>
        <v>0</v>
      </c>
      <c r="AY217" s="71">
        <f ca="1">AX217/(1+'Invoer gegevens'!$F$18)^($AZ217-('Invoer gegevens'!$C$17-'Invoer gegevens'!$C$16))/(1+'Invoer gegevens'!$C$39)^('Invoer gegevens'!$C$17-'Invoer gegevens'!$C$16)</f>
        <v>0</v>
      </c>
      <c r="AZ217" s="68">
        <f ca="1">IF(E217-'Invoer gegevens'!$C$17-14.5&lt;0,0,E217-'Invoer gegevens'!$C$17-14.5)</f>
        <v>197.5</v>
      </c>
    </row>
    <row r="218" spans="1:52" x14ac:dyDescent="0.25">
      <c r="A218" s="59"/>
      <c r="B218" s="70">
        <f t="shared" si="45"/>
        <v>214</v>
      </c>
      <c r="C218" s="67">
        <f ca="1">IF(E218-'Invoer gegevens'!$C$17&lt;0,0,1)</f>
        <v>1</v>
      </c>
      <c r="D218" s="68">
        <f t="shared" si="46"/>
        <v>213.5</v>
      </c>
      <c r="E218" s="69">
        <f ca="1">IF('Invoer gegevens'!$C$16="","",E217+1)</f>
        <v>2232</v>
      </c>
      <c r="F218" s="84">
        <f ca="1">IF('Invoer gegevens'!$C$17=E218,'Invoer gegevens'!$C$10,IF(C218=1,K217,0))</f>
        <v>0</v>
      </c>
      <c r="G218" s="96">
        <f ca="1">IF(C218&gt;=1,F218*VLOOKUP(E218,Reeksen!$A$5:$B$76,2),0)</f>
        <v>0</v>
      </c>
      <c r="H218" s="84">
        <f ca="1">(1-('Invoer gegevens'!$F$20/12))*F218*MIN(Reeksen!B218,Reeksen!D218)</f>
        <v>0</v>
      </c>
      <c r="I218" s="84">
        <f>IF(Reeksen!D218&lt;Reeksen!B218,(Reeksen!B218-Reeksen!D218)*F218,0)</f>
        <v>0</v>
      </c>
      <c r="J218" s="84">
        <f ca="1">('Invoer gegevens'!$F$20/12)*F217*MIN(Reeksen!B217,Reeksen!D217)</f>
        <v>0</v>
      </c>
      <c r="K218" s="97">
        <f t="shared" ca="1" si="36"/>
        <v>0</v>
      </c>
      <c r="L218" s="84">
        <f ca="1">IF('Invoer gegevens'!$C$17=E218,0,IF(C218=1,Q217,0))</f>
        <v>0</v>
      </c>
      <c r="M218" s="96">
        <f ca="1">IF(C218&gt;=1,L218*VLOOKUP(E218,Reeksen!$A$5:$B$76,2),0)</f>
        <v>0</v>
      </c>
      <c r="N218" s="84">
        <f ca="1">(1-('Invoer gegevens'!$F$20/12))*L218*MIN(Reeksen!B218,Reeksen!D218)</f>
        <v>0</v>
      </c>
      <c r="O218" s="84">
        <f>IF(Reeksen!D218&lt;Reeksen!B218,(Reeksen!B218-Reeksen!D218)*L218,0)</f>
        <v>0</v>
      </c>
      <c r="P218" s="84">
        <f ca="1">('Invoer gegevens'!$F$20/12)*L217*MIN(Reeksen!B217,Reeksen!D217)</f>
        <v>0</v>
      </c>
      <c r="Q218" s="84">
        <f t="shared" ca="1" si="37"/>
        <v>0</v>
      </c>
      <c r="R218" s="82">
        <f ca="1">IF('Invoer gegevens'!$C$17=E218,'Invoer gegevens'!$C$11,IF(C218=1,W217,0))</f>
        <v>0</v>
      </c>
      <c r="S218" s="86">
        <f ca="1">IF(C218&gt;=1,R218*VLOOKUP(E218,Reeksen!$A$5:$B$76,2),0)</f>
        <v>0</v>
      </c>
      <c r="T218" s="84">
        <f ca="1">(1-('Invoer gegevens'!$F$20/12))*R218*MIN(Reeksen!B218,Reeksen!D218)</f>
        <v>0</v>
      </c>
      <c r="U218" s="84">
        <f>IF(Reeksen!D218&gt;=Reeksen!B218,0,IF(Reeksen!AD218&lt;=Reeksen!AE218,(Reeksen!B218-Reeksen!D218)*R218,0))</f>
        <v>0</v>
      </c>
      <c r="V218" s="86">
        <f>IF(Reeksen!D218&gt;=Reeksen!B218,0,IF(Reeksen!AD218&gt;Reeksen!AE218,(Reeksen!B218-Reeksen!D218)*R218,0))</f>
        <v>0</v>
      </c>
      <c r="W218" s="97">
        <f t="shared" ca="1" si="38"/>
        <v>0</v>
      </c>
      <c r="X218" s="98">
        <f ca="1">IF('Invoer gegevens'!$C$17=E218,'Invoer gegevens'!$C$10-'Invoer gegevens'!$C$11,IF(C218=1,AC217,0))</f>
        <v>0</v>
      </c>
      <c r="Y218" s="98">
        <f ca="1">IF(C218&gt;=1,X218*VLOOKUP(E218,Reeksen!$A$5:$B$76,2),0)</f>
        <v>0</v>
      </c>
      <c r="Z218" s="98">
        <f ca="1">(1-('Invoer gegevens'!$F$20/12))*X218*MIN(Reeksen!B218,Reeksen!D218)</f>
        <v>0</v>
      </c>
      <c r="AA218" s="98">
        <f>IF(Reeksen!D218&gt;=Reeksen!B218,0,IF(Reeksen!AD218&lt;=Reeksen!AE218,(Reeksen!B218-Reeksen!D218)*X218,0))</f>
        <v>0</v>
      </c>
      <c r="AB218" s="98">
        <f>IF(Reeksen!D218&gt;=Reeksen!B218,0,IF(Reeksen!AD218&gt;Reeksen!AE218,(Reeksen!B218-Reeksen!D218)*X218,0))</f>
        <v>0</v>
      </c>
      <c r="AC218" s="99">
        <f t="shared" ca="1" si="39"/>
        <v>0</v>
      </c>
      <c r="AD218" s="98">
        <f ca="1">IF('Invoer gegevens'!$C$17=E218,R218,IF(C218=0,0,AE217))</f>
        <v>0</v>
      </c>
      <c r="AE218" s="98">
        <f t="shared" ca="1" si="40"/>
        <v>0</v>
      </c>
      <c r="AF218" s="98">
        <f ca="1">IF('Invoer gegevens'!$C$17=E218,X218,IF(C218=0,0,AG217))</f>
        <v>0</v>
      </c>
      <c r="AG218" s="98">
        <f t="shared" ca="1" si="41"/>
        <v>0</v>
      </c>
      <c r="AH218" s="66"/>
      <c r="AI218" s="71">
        <f ca="1">IF(C218=1,Reeksen!AI218*((F218-G218+F218)/2)*12+Reeksen!AD218*((L218-M218+L218)/2)*12,0)</f>
        <v>0</v>
      </c>
      <c r="AJ218" s="71">
        <f ca="1">-AI218*'Invoer gegevens'!$F$28</f>
        <v>0</v>
      </c>
      <c r="AK218" s="71">
        <f t="shared" ca="1" si="42"/>
        <v>0</v>
      </c>
      <c r="AL218" s="71">
        <f ca="1">IF(C218=1,Reeksen!AL218*((F218-G218+F218)/2)*12+Reeksen!AM218*((L218-M218+L218)/2)*12,0)</f>
        <v>0</v>
      </c>
      <c r="AM218" s="71">
        <f ca="1">-AL218*'Invoer gegevens'!$F$31</f>
        <v>0</v>
      </c>
      <c r="AN218" s="71">
        <f t="shared" ca="1" si="43"/>
        <v>0</v>
      </c>
      <c r="AO218" s="71">
        <f ca="1">IF(C218=1,(H218+J218+N218+P218)*Reeksen!AN218,0)</f>
        <v>0</v>
      </c>
      <c r="AP218" s="71">
        <f ca="1">-IF(C218=1,(H218+J218+N218+P218)*'Hulp - basis'!$G$550*Reeksen!H218,0)</f>
        <v>0</v>
      </c>
      <c r="AQ218" s="71">
        <f ca="1">-IF(C218=1,(F218+K218+L218+Q218)/2*'Invoer gegevens'!$F$35*Reeksen!J218,0)*2</f>
        <v>0</v>
      </c>
      <c r="AR218" s="71"/>
      <c r="AS218" s="71">
        <f ca="1">-IF(C218=1,(F218+K218+L218+Q218)/2*'Invoer gegevens'!$F$37*Reeksen!L218,0)</f>
        <v>0</v>
      </c>
      <c r="AT218" s="71">
        <f ca="1">-IF(C218=1,IF(E218='Invoer gegevens'!$C$17,'Invoer gegevens'!$C$11,AD218)*Reeksen!S218*'Invoer gegevens'!$C$18*Reeksen!P218,0)</f>
        <v>0</v>
      </c>
      <c r="AU218" s="71">
        <f ca="1">-IF(C218=1,(F218+K218+L218+Q218)/2*'Invoer gegevens'!$F$38*Reeksen!H218,0)</f>
        <v>0</v>
      </c>
      <c r="AV218" s="71">
        <f t="shared" si="47"/>
        <v>0</v>
      </c>
      <c r="AW218" s="71">
        <f t="shared" ca="1" si="44"/>
        <v>0</v>
      </c>
      <c r="AX218" s="71">
        <f ca="1">IF(E218&lt;'Invoer gegevens'!$C$17+15,0,IF(E218&gt;'Invoer gegevens'!$C$17+215,0,AW218))</f>
        <v>0</v>
      </c>
      <c r="AY218" s="71">
        <f ca="1">AX218/(1+'Invoer gegevens'!$F$18)^($AZ218-('Invoer gegevens'!$C$17-'Invoer gegevens'!$C$16))/(1+'Invoer gegevens'!$C$39)^('Invoer gegevens'!$C$17-'Invoer gegevens'!$C$16)</f>
        <v>0</v>
      </c>
      <c r="AZ218" s="68">
        <f ca="1">IF(E218-'Invoer gegevens'!$C$17-14.5&lt;0,0,E218-'Invoer gegevens'!$C$17-14.5)</f>
        <v>198.5</v>
      </c>
    </row>
    <row r="219" spans="1:52" x14ac:dyDescent="0.25">
      <c r="A219" s="59"/>
      <c r="B219" s="70">
        <f t="shared" si="45"/>
        <v>215</v>
      </c>
      <c r="C219" s="67">
        <f ca="1">IF(E219-'Invoer gegevens'!$C$17&lt;0,0,1)</f>
        <v>1</v>
      </c>
      <c r="D219" s="68">
        <f t="shared" si="46"/>
        <v>214.5</v>
      </c>
      <c r="E219" s="69">
        <f ca="1">IF('Invoer gegevens'!$C$16="","",E218+1)</f>
        <v>2233</v>
      </c>
      <c r="F219" s="84">
        <f ca="1">IF('Invoer gegevens'!$C$17=E219,'Invoer gegevens'!$C$10,IF(C219=1,K218,0))</f>
        <v>0</v>
      </c>
      <c r="G219" s="96">
        <f ca="1">IF(C219&gt;=1,F219*VLOOKUP(E219,Reeksen!$A$5:$B$76,2),0)</f>
        <v>0</v>
      </c>
      <c r="H219" s="84">
        <f ca="1">(1-('Invoer gegevens'!$F$20/12))*F219*MIN(Reeksen!B219,Reeksen!D219)</f>
        <v>0</v>
      </c>
      <c r="I219" s="84">
        <f>IF(Reeksen!D219&lt;Reeksen!B219,(Reeksen!B219-Reeksen!D219)*F219,0)</f>
        <v>0</v>
      </c>
      <c r="J219" s="84">
        <f ca="1">('Invoer gegevens'!$F$20/12)*F218*MIN(Reeksen!B218,Reeksen!D218)</f>
        <v>0</v>
      </c>
      <c r="K219" s="97">
        <f t="shared" ca="1" si="36"/>
        <v>0</v>
      </c>
      <c r="L219" s="84">
        <f ca="1">IF('Invoer gegevens'!$C$17=E219,0,IF(C219=1,Q218,0))</f>
        <v>0</v>
      </c>
      <c r="M219" s="96">
        <f ca="1">IF(C219&gt;=1,L219*VLOOKUP(E219,Reeksen!$A$5:$B$76,2),0)</f>
        <v>0</v>
      </c>
      <c r="N219" s="84">
        <f ca="1">(1-('Invoer gegevens'!$F$20/12))*L219*MIN(Reeksen!B219,Reeksen!D219)</f>
        <v>0</v>
      </c>
      <c r="O219" s="84">
        <f>IF(Reeksen!D219&lt;Reeksen!B219,(Reeksen!B219-Reeksen!D219)*L219,0)</f>
        <v>0</v>
      </c>
      <c r="P219" s="84">
        <f ca="1">('Invoer gegevens'!$F$20/12)*L218*MIN(Reeksen!B218,Reeksen!D218)</f>
        <v>0</v>
      </c>
      <c r="Q219" s="84">
        <f t="shared" ca="1" si="37"/>
        <v>0</v>
      </c>
      <c r="R219" s="82">
        <f ca="1">IF('Invoer gegevens'!$C$17=E219,'Invoer gegevens'!$C$11,IF(C219=1,W218,0))</f>
        <v>0</v>
      </c>
      <c r="S219" s="86">
        <f ca="1">IF(C219&gt;=1,R219*VLOOKUP(E219,Reeksen!$A$5:$B$76,2),0)</f>
        <v>0</v>
      </c>
      <c r="T219" s="84">
        <f ca="1">(1-('Invoer gegevens'!$F$20/12))*R219*MIN(Reeksen!B219,Reeksen!D219)</f>
        <v>0</v>
      </c>
      <c r="U219" s="84">
        <f>IF(Reeksen!D219&gt;=Reeksen!B219,0,IF(Reeksen!AD219&lt;=Reeksen!AE219,(Reeksen!B219-Reeksen!D219)*R219,0))</f>
        <v>0</v>
      </c>
      <c r="V219" s="86">
        <f>IF(Reeksen!D219&gt;=Reeksen!B219,0,IF(Reeksen!AD219&gt;Reeksen!AE219,(Reeksen!B219-Reeksen!D219)*R219,0))</f>
        <v>0</v>
      </c>
      <c r="W219" s="97">
        <f t="shared" ca="1" si="38"/>
        <v>0</v>
      </c>
      <c r="X219" s="98">
        <f ca="1">IF('Invoer gegevens'!$C$17=E219,'Invoer gegevens'!$C$10-'Invoer gegevens'!$C$11,IF(C219=1,AC218,0))</f>
        <v>0</v>
      </c>
      <c r="Y219" s="98">
        <f ca="1">IF(C219&gt;=1,X219*VLOOKUP(E219,Reeksen!$A$5:$B$76,2),0)</f>
        <v>0</v>
      </c>
      <c r="Z219" s="98">
        <f ca="1">(1-('Invoer gegevens'!$F$20/12))*X219*MIN(Reeksen!B219,Reeksen!D219)</f>
        <v>0</v>
      </c>
      <c r="AA219" s="98">
        <f>IF(Reeksen!D219&gt;=Reeksen!B219,0,IF(Reeksen!AD219&lt;=Reeksen!AE219,(Reeksen!B219-Reeksen!D219)*X219,0))</f>
        <v>0</v>
      </c>
      <c r="AB219" s="98">
        <f>IF(Reeksen!D219&gt;=Reeksen!B219,0,IF(Reeksen!AD219&gt;Reeksen!AE219,(Reeksen!B219-Reeksen!D219)*X219,0))</f>
        <v>0</v>
      </c>
      <c r="AC219" s="99">
        <f t="shared" ca="1" si="39"/>
        <v>0</v>
      </c>
      <c r="AD219" s="98">
        <f ca="1">IF('Invoer gegevens'!$C$17=E219,R219,IF(C219=0,0,AE218))</f>
        <v>0</v>
      </c>
      <c r="AE219" s="98">
        <f t="shared" ca="1" si="40"/>
        <v>0</v>
      </c>
      <c r="AF219" s="98">
        <f ca="1">IF('Invoer gegevens'!$C$17=E219,X219,IF(C219=0,0,AG218))</f>
        <v>0</v>
      </c>
      <c r="AG219" s="98">
        <f t="shared" ca="1" si="41"/>
        <v>0</v>
      </c>
      <c r="AH219" s="66"/>
      <c r="AI219" s="71">
        <f ca="1">IF(C219=1,Reeksen!AI219*((F219-G219+F219)/2)*12+Reeksen!AD219*((L219-M219+L219)/2)*12,0)</f>
        <v>0</v>
      </c>
      <c r="AJ219" s="71">
        <f ca="1">-AI219*'Invoer gegevens'!$F$28</f>
        <v>0</v>
      </c>
      <c r="AK219" s="71">
        <f t="shared" ca="1" si="42"/>
        <v>0</v>
      </c>
      <c r="AL219" s="71">
        <f ca="1">IF(C219=1,Reeksen!AL219*((F219-G219+F219)/2)*12+Reeksen!AM219*((L219-M219+L219)/2)*12,0)</f>
        <v>0</v>
      </c>
      <c r="AM219" s="71">
        <f ca="1">-AL219*'Invoer gegevens'!$F$31</f>
        <v>0</v>
      </c>
      <c r="AN219" s="71">
        <f t="shared" ca="1" si="43"/>
        <v>0</v>
      </c>
      <c r="AO219" s="71">
        <f ca="1">IF(C219=1,(H219+J219+N219+P219)*Reeksen!AN219,0)</f>
        <v>0</v>
      </c>
      <c r="AP219" s="71">
        <f ca="1">-IF(C219=1,(H219+J219+N219+P219)*'Hulp - basis'!$G$550*Reeksen!H219,0)</f>
        <v>0</v>
      </c>
      <c r="AQ219" s="71">
        <f ca="1">-IF(C219=1,(F219+K219+L219+Q219)/2*'Invoer gegevens'!$F$35*Reeksen!J219,0)*2</f>
        <v>0</v>
      </c>
      <c r="AR219" s="71"/>
      <c r="AS219" s="71">
        <f ca="1">-IF(C219=1,(F219+K219+L219+Q219)/2*'Invoer gegevens'!$F$37*Reeksen!L219,0)</f>
        <v>0</v>
      </c>
      <c r="AT219" s="71">
        <f ca="1">-IF(C219=1,IF(E219='Invoer gegevens'!$C$17,'Invoer gegevens'!$C$11,AD219)*Reeksen!S219*'Invoer gegevens'!$C$18*Reeksen!P219,0)</f>
        <v>0</v>
      </c>
      <c r="AU219" s="71">
        <f ca="1">-IF(C219=1,(F219+K219+L219+Q219)/2*'Invoer gegevens'!$F$38*Reeksen!H219,0)</f>
        <v>0</v>
      </c>
      <c r="AV219" s="71">
        <f t="shared" si="47"/>
        <v>0</v>
      </c>
      <c r="AW219" s="71">
        <f t="shared" ca="1" si="44"/>
        <v>0</v>
      </c>
      <c r="AX219" s="71">
        <f ca="1">IF(E219&lt;'Invoer gegevens'!$C$17+15,0,IF(E219&gt;'Invoer gegevens'!$C$17+215,0,AW219))</f>
        <v>0</v>
      </c>
      <c r="AY219" s="71">
        <f ca="1">AX219/(1+'Invoer gegevens'!$F$18)^($AZ219-('Invoer gegevens'!$C$17-'Invoer gegevens'!$C$16))/(1+'Invoer gegevens'!$C$39)^('Invoer gegevens'!$C$17-'Invoer gegevens'!$C$16)</f>
        <v>0</v>
      </c>
      <c r="AZ219" s="68">
        <f ca="1">IF(E219-'Invoer gegevens'!$C$17-14.5&lt;0,0,E219-'Invoer gegevens'!$C$17-14.5)</f>
        <v>199.5</v>
      </c>
    </row>
    <row r="220" spans="1:52" x14ac:dyDescent="0.25">
      <c r="A220" s="59"/>
      <c r="B220" s="70">
        <f t="shared" si="45"/>
        <v>216</v>
      </c>
      <c r="C220" s="67">
        <f ca="1">IF(E220-'Invoer gegevens'!$C$17&lt;0,0,1)</f>
        <v>1</v>
      </c>
      <c r="D220" s="68">
        <f t="shared" si="46"/>
        <v>215.5</v>
      </c>
      <c r="E220" s="69">
        <f ca="1">IF('Invoer gegevens'!$C$16="","",E219+1)</f>
        <v>2234</v>
      </c>
      <c r="F220" s="84">
        <f ca="1">IF('Invoer gegevens'!$C$17=E220,'Invoer gegevens'!$C$10,IF(C220=1,K219,0))</f>
        <v>0</v>
      </c>
      <c r="G220" s="96">
        <f ca="1">IF(C220&gt;=1,F220*VLOOKUP(E220,Reeksen!$A$5:$B$76,2),0)</f>
        <v>0</v>
      </c>
      <c r="H220" s="84">
        <f ca="1">(1-('Invoer gegevens'!$F$20/12))*F220*MIN(Reeksen!B220,Reeksen!D220)</f>
        <v>0</v>
      </c>
      <c r="I220" s="84">
        <f>IF(Reeksen!D220&lt;Reeksen!B220,(Reeksen!B220-Reeksen!D220)*F220,0)</f>
        <v>0</v>
      </c>
      <c r="J220" s="84">
        <f ca="1">('Invoer gegevens'!$F$20/12)*F219*MIN(Reeksen!B219,Reeksen!D219)</f>
        <v>0</v>
      </c>
      <c r="K220" s="97">
        <f t="shared" ca="1" si="36"/>
        <v>0</v>
      </c>
      <c r="L220" s="84">
        <f ca="1">IF('Invoer gegevens'!$C$17=E220,0,IF(C220=1,Q219,0))</f>
        <v>0</v>
      </c>
      <c r="M220" s="96">
        <f ca="1">IF(C220&gt;=1,L220*VLOOKUP(E220,Reeksen!$A$5:$B$76,2),0)</f>
        <v>0</v>
      </c>
      <c r="N220" s="84">
        <f ca="1">(1-('Invoer gegevens'!$F$20/12))*L220*MIN(Reeksen!B220,Reeksen!D220)</f>
        <v>0</v>
      </c>
      <c r="O220" s="84">
        <f>IF(Reeksen!D220&lt;Reeksen!B220,(Reeksen!B220-Reeksen!D220)*L220,0)</f>
        <v>0</v>
      </c>
      <c r="P220" s="84">
        <f ca="1">('Invoer gegevens'!$F$20/12)*L219*MIN(Reeksen!B219,Reeksen!D219)</f>
        <v>0</v>
      </c>
      <c r="Q220" s="84">
        <f t="shared" ca="1" si="37"/>
        <v>0</v>
      </c>
      <c r="R220" s="82">
        <f ca="1">IF('Invoer gegevens'!$C$17=E220,'Invoer gegevens'!$C$11,IF(C220=1,W219,0))</f>
        <v>0</v>
      </c>
      <c r="S220" s="86">
        <f ca="1">IF(C220&gt;=1,R220*VLOOKUP(E220,Reeksen!$A$5:$B$76,2),0)</f>
        <v>0</v>
      </c>
      <c r="T220" s="84">
        <f ca="1">(1-('Invoer gegevens'!$F$20/12))*R220*MIN(Reeksen!B220,Reeksen!D220)</f>
        <v>0</v>
      </c>
      <c r="U220" s="84">
        <f>IF(Reeksen!D220&gt;=Reeksen!B220,0,IF(Reeksen!AD220&lt;=Reeksen!AE220,(Reeksen!B220-Reeksen!D220)*R220,0))</f>
        <v>0</v>
      </c>
      <c r="V220" s="86">
        <f>IF(Reeksen!D220&gt;=Reeksen!B220,0,IF(Reeksen!AD220&gt;Reeksen!AE220,(Reeksen!B220-Reeksen!D220)*R220,0))</f>
        <v>0</v>
      </c>
      <c r="W220" s="97">
        <f t="shared" ca="1" si="38"/>
        <v>0</v>
      </c>
      <c r="X220" s="98">
        <f ca="1">IF('Invoer gegevens'!$C$17=E220,'Invoer gegevens'!$C$10-'Invoer gegevens'!$C$11,IF(C220=1,AC219,0))</f>
        <v>0</v>
      </c>
      <c r="Y220" s="98">
        <f ca="1">IF(C220&gt;=1,X220*VLOOKUP(E220,Reeksen!$A$5:$B$76,2),0)</f>
        <v>0</v>
      </c>
      <c r="Z220" s="98">
        <f ca="1">(1-('Invoer gegevens'!$F$20/12))*X220*MIN(Reeksen!B220,Reeksen!D220)</f>
        <v>0</v>
      </c>
      <c r="AA220" s="98">
        <f>IF(Reeksen!D220&gt;=Reeksen!B220,0,IF(Reeksen!AD220&lt;=Reeksen!AE220,(Reeksen!B220-Reeksen!D220)*X220,0))</f>
        <v>0</v>
      </c>
      <c r="AB220" s="98">
        <f>IF(Reeksen!D220&gt;=Reeksen!B220,0,IF(Reeksen!AD220&gt;Reeksen!AE220,(Reeksen!B220-Reeksen!D220)*X220,0))</f>
        <v>0</v>
      </c>
      <c r="AC220" s="99">
        <f t="shared" ca="1" si="39"/>
        <v>0</v>
      </c>
      <c r="AD220" s="98">
        <f ca="1">IF('Invoer gegevens'!$C$17=E220,R220,IF(C220=0,0,AE219))</f>
        <v>0</v>
      </c>
      <c r="AE220" s="98">
        <f t="shared" ca="1" si="40"/>
        <v>0</v>
      </c>
      <c r="AF220" s="98">
        <f ca="1">IF('Invoer gegevens'!$C$17=E220,X220,IF(C220=0,0,AG219))</f>
        <v>0</v>
      </c>
      <c r="AG220" s="98">
        <f t="shared" ca="1" si="41"/>
        <v>0</v>
      </c>
      <c r="AH220" s="66"/>
      <c r="AI220" s="71">
        <f ca="1">IF(C220=1,Reeksen!AI220*((F220-G220+F220)/2)*12+Reeksen!AD220*((L220-M220+L220)/2)*12,0)</f>
        <v>0</v>
      </c>
      <c r="AJ220" s="71">
        <f ca="1">-AI220*'Invoer gegevens'!$F$28</f>
        <v>0</v>
      </c>
      <c r="AK220" s="71">
        <f t="shared" ca="1" si="42"/>
        <v>0</v>
      </c>
      <c r="AL220" s="71">
        <f ca="1">IF(C220=1,Reeksen!AL220*((F220-G220+F220)/2)*12+Reeksen!AM220*((L220-M220+L220)/2)*12,0)</f>
        <v>0</v>
      </c>
      <c r="AM220" s="71">
        <f ca="1">-AL220*'Invoer gegevens'!$F$31</f>
        <v>0</v>
      </c>
      <c r="AN220" s="71">
        <f t="shared" ca="1" si="43"/>
        <v>0</v>
      </c>
      <c r="AO220" s="71">
        <f ca="1">IF(C220=1,(H220+J220+N220+P220)*Reeksen!AN220,0)</f>
        <v>0</v>
      </c>
      <c r="AP220" s="71">
        <f ca="1">-IF(C220=1,(H220+J220+N220+P220)*'Hulp - basis'!$G$550*Reeksen!H220,0)</f>
        <v>0</v>
      </c>
      <c r="AQ220" s="71">
        <f ca="1">-IF(C220=1,(F220+K220+L220+Q220)/2*'Invoer gegevens'!$F$35*Reeksen!J220,0)*2</f>
        <v>0</v>
      </c>
      <c r="AR220" s="71"/>
      <c r="AS220" s="71">
        <f ca="1">-IF(C220=1,(F220+K220+L220+Q220)/2*'Invoer gegevens'!$F$37*Reeksen!L220,0)</f>
        <v>0</v>
      </c>
      <c r="AT220" s="71">
        <f ca="1">-IF(C220=1,IF(E220='Invoer gegevens'!$C$17,'Invoer gegevens'!$C$11,AD220)*Reeksen!S220*'Invoer gegevens'!$C$18*Reeksen!P220,0)</f>
        <v>0</v>
      </c>
      <c r="AU220" s="71">
        <f ca="1">-IF(C220=1,(F220+K220+L220+Q220)/2*'Invoer gegevens'!$F$38*Reeksen!H220,0)</f>
        <v>0</v>
      </c>
      <c r="AV220" s="71">
        <f t="shared" si="47"/>
        <v>0</v>
      </c>
      <c r="AW220" s="71">
        <f t="shared" ca="1" si="44"/>
        <v>0</v>
      </c>
      <c r="AX220" s="71">
        <f ca="1">IF(E220&lt;'Invoer gegevens'!$C$17+15,0,IF(E220&gt;'Invoer gegevens'!$C$17+215,0,AW220))</f>
        <v>0</v>
      </c>
      <c r="AY220" s="71">
        <f ca="1">AX220/(1+'Invoer gegevens'!$F$18)^($AZ220-('Invoer gegevens'!$C$17-'Invoer gegevens'!$C$16))/(1+'Invoer gegevens'!$C$39)^('Invoer gegevens'!$C$17-'Invoer gegevens'!$C$16)</f>
        <v>0</v>
      </c>
      <c r="AZ220" s="68">
        <f ca="1">IF(E220-'Invoer gegevens'!$C$17-14.5&lt;0,0,E220-'Invoer gegevens'!$C$17-14.5)</f>
        <v>200.5</v>
      </c>
    </row>
    <row r="221" spans="1:52" x14ac:dyDescent="0.25">
      <c r="A221" s="59"/>
      <c r="B221" s="70">
        <f t="shared" si="45"/>
        <v>217</v>
      </c>
      <c r="C221" s="67">
        <f ca="1">IF(E221-'Invoer gegevens'!$C$17&lt;0,0,1)</f>
        <v>1</v>
      </c>
      <c r="D221" s="68">
        <f t="shared" si="46"/>
        <v>216.5</v>
      </c>
      <c r="E221" s="69">
        <f ca="1">IF('Invoer gegevens'!$C$16="","",E220+1)</f>
        <v>2235</v>
      </c>
      <c r="F221" s="84">
        <f ca="1">IF('Invoer gegevens'!$C$17=E221,'Invoer gegevens'!$C$10,IF(C221=1,K220,0))</f>
        <v>0</v>
      </c>
      <c r="G221" s="96">
        <f ca="1">IF(C221&gt;=1,F221*VLOOKUP(E221,Reeksen!$A$5:$B$76,2),0)</f>
        <v>0</v>
      </c>
      <c r="H221" s="84">
        <f ca="1">(1-('Invoer gegevens'!$F$20/12))*F221*MIN(Reeksen!B221,Reeksen!D221)</f>
        <v>0</v>
      </c>
      <c r="I221" s="84">
        <f>IF(Reeksen!D221&lt;Reeksen!B221,(Reeksen!B221-Reeksen!D221)*F221,0)</f>
        <v>0</v>
      </c>
      <c r="J221" s="84">
        <f ca="1">('Invoer gegevens'!$F$20/12)*F220*MIN(Reeksen!B220,Reeksen!D220)</f>
        <v>0</v>
      </c>
      <c r="K221" s="97">
        <f t="shared" ca="1" si="36"/>
        <v>0</v>
      </c>
      <c r="L221" s="84">
        <f ca="1">IF('Invoer gegevens'!$C$17=E221,0,IF(C221=1,Q220,0))</f>
        <v>0</v>
      </c>
      <c r="M221" s="96">
        <f ca="1">IF(C221&gt;=1,L221*VLOOKUP(E221,Reeksen!$A$5:$B$76,2),0)</f>
        <v>0</v>
      </c>
      <c r="N221" s="84">
        <f ca="1">(1-('Invoer gegevens'!$F$20/12))*L221*MIN(Reeksen!B221,Reeksen!D221)</f>
        <v>0</v>
      </c>
      <c r="O221" s="84">
        <f>IF(Reeksen!D221&lt;Reeksen!B221,(Reeksen!B221-Reeksen!D221)*L221,0)</f>
        <v>0</v>
      </c>
      <c r="P221" s="84">
        <f ca="1">('Invoer gegevens'!$F$20/12)*L220*MIN(Reeksen!B220,Reeksen!D220)</f>
        <v>0</v>
      </c>
      <c r="Q221" s="84">
        <f t="shared" ca="1" si="37"/>
        <v>0</v>
      </c>
      <c r="R221" s="82">
        <f ca="1">IF('Invoer gegevens'!$C$17=E221,'Invoer gegevens'!$C$11,IF(C221=1,W220,0))</f>
        <v>0</v>
      </c>
      <c r="S221" s="86">
        <f ca="1">IF(C221&gt;=1,R221*VLOOKUP(E221,Reeksen!$A$5:$B$76,2),0)</f>
        <v>0</v>
      </c>
      <c r="T221" s="84">
        <f ca="1">(1-('Invoer gegevens'!$F$20/12))*R221*MIN(Reeksen!B221,Reeksen!D221)</f>
        <v>0</v>
      </c>
      <c r="U221" s="84">
        <f>IF(Reeksen!D221&gt;=Reeksen!B221,0,IF(Reeksen!AD221&lt;=Reeksen!AE221,(Reeksen!B221-Reeksen!D221)*R221,0))</f>
        <v>0</v>
      </c>
      <c r="V221" s="86">
        <f>IF(Reeksen!D221&gt;=Reeksen!B221,0,IF(Reeksen!AD221&gt;Reeksen!AE221,(Reeksen!B221-Reeksen!D221)*R221,0))</f>
        <v>0</v>
      </c>
      <c r="W221" s="97">
        <f t="shared" ca="1" si="38"/>
        <v>0</v>
      </c>
      <c r="X221" s="98">
        <f ca="1">IF('Invoer gegevens'!$C$17=E221,'Invoer gegevens'!$C$10-'Invoer gegevens'!$C$11,IF(C221=1,AC220,0))</f>
        <v>0</v>
      </c>
      <c r="Y221" s="98">
        <f ca="1">IF(C221&gt;=1,X221*VLOOKUP(E221,Reeksen!$A$5:$B$76,2),0)</f>
        <v>0</v>
      </c>
      <c r="Z221" s="98">
        <f ca="1">(1-('Invoer gegevens'!$F$20/12))*X221*MIN(Reeksen!B221,Reeksen!D221)</f>
        <v>0</v>
      </c>
      <c r="AA221" s="98">
        <f>IF(Reeksen!D221&gt;=Reeksen!B221,0,IF(Reeksen!AD221&lt;=Reeksen!AE221,(Reeksen!B221-Reeksen!D221)*X221,0))</f>
        <v>0</v>
      </c>
      <c r="AB221" s="98">
        <f>IF(Reeksen!D221&gt;=Reeksen!B221,0,IF(Reeksen!AD221&gt;Reeksen!AE221,(Reeksen!B221-Reeksen!D221)*X221,0))</f>
        <v>0</v>
      </c>
      <c r="AC221" s="99">
        <f t="shared" ca="1" si="39"/>
        <v>0</v>
      </c>
      <c r="AD221" s="98">
        <f ca="1">IF('Invoer gegevens'!$C$17=E221,R221,IF(C221=0,0,AE220))</f>
        <v>0</v>
      </c>
      <c r="AE221" s="98">
        <f t="shared" ca="1" si="40"/>
        <v>0</v>
      </c>
      <c r="AF221" s="98">
        <f ca="1">IF('Invoer gegevens'!$C$17=E221,X221,IF(C221=0,0,AG220))</f>
        <v>0</v>
      </c>
      <c r="AG221" s="98">
        <f t="shared" ca="1" si="41"/>
        <v>0</v>
      </c>
      <c r="AH221" s="66"/>
      <c r="AI221" s="71">
        <f ca="1">IF(C221=1,Reeksen!AI221*((F221-G221+F221)/2)*12+Reeksen!AD221*((L221-M221+L221)/2)*12,0)</f>
        <v>0</v>
      </c>
      <c r="AJ221" s="71">
        <f ca="1">-AI221*'Invoer gegevens'!$F$28</f>
        <v>0</v>
      </c>
      <c r="AK221" s="71">
        <f t="shared" ca="1" si="42"/>
        <v>0</v>
      </c>
      <c r="AL221" s="71">
        <f ca="1">IF(C221=1,Reeksen!AL221*((F221-G221+F221)/2)*12+Reeksen!AM221*((L221-M221+L221)/2)*12,0)</f>
        <v>0</v>
      </c>
      <c r="AM221" s="71">
        <f ca="1">-AL221*'Invoer gegevens'!$F$31</f>
        <v>0</v>
      </c>
      <c r="AN221" s="71">
        <f t="shared" ca="1" si="43"/>
        <v>0</v>
      </c>
      <c r="AO221" s="71">
        <f ca="1">IF(C221=1,(H221+J221+N221+P221)*Reeksen!AN221,0)</f>
        <v>0</v>
      </c>
      <c r="AP221" s="71">
        <f ca="1">-IF(C221=1,(H221+J221+N221+P221)*'Hulp - basis'!$G$550*Reeksen!H221,0)</f>
        <v>0</v>
      </c>
      <c r="AQ221" s="71">
        <f ca="1">-IF(C221=1,(F221+K221+L221+Q221)/2*'Invoer gegevens'!$F$35*Reeksen!J221,0)*2</f>
        <v>0</v>
      </c>
      <c r="AR221" s="71"/>
      <c r="AS221" s="71">
        <f ca="1">-IF(C221=1,(F221+K221+L221+Q221)/2*'Invoer gegevens'!$F$37*Reeksen!L221,0)</f>
        <v>0</v>
      </c>
      <c r="AT221" s="71">
        <f ca="1">-IF(C221=1,IF(E221='Invoer gegevens'!$C$17,'Invoer gegevens'!$C$11,AD221)*Reeksen!S221*'Invoer gegevens'!$C$18*Reeksen!P221,0)</f>
        <v>0</v>
      </c>
      <c r="AU221" s="71">
        <f ca="1">-IF(C221=1,(F221+K221+L221+Q221)/2*'Invoer gegevens'!$F$38*Reeksen!H221,0)</f>
        <v>0</v>
      </c>
      <c r="AV221" s="71">
        <f t="shared" si="47"/>
        <v>0</v>
      </c>
      <c r="AW221" s="71">
        <f t="shared" ca="1" si="44"/>
        <v>0</v>
      </c>
      <c r="AX221" s="71">
        <f ca="1">IF(E221&lt;'Invoer gegevens'!$C$17+15,0,IF(E221&gt;'Invoer gegevens'!$C$17+215,0,AW221))</f>
        <v>0</v>
      </c>
      <c r="AY221" s="71">
        <f ca="1">AX221/(1+'Invoer gegevens'!$F$18)^($AZ221-('Invoer gegevens'!$C$17-'Invoer gegevens'!$C$16))/(1+'Invoer gegevens'!$C$39)^('Invoer gegevens'!$C$17-'Invoer gegevens'!$C$16)</f>
        <v>0</v>
      </c>
      <c r="AZ221" s="68">
        <f ca="1">IF(E221-'Invoer gegevens'!$C$17-14.5&lt;0,0,E221-'Invoer gegevens'!$C$17-14.5)</f>
        <v>201.5</v>
      </c>
    </row>
    <row r="222" spans="1:52" x14ac:dyDescent="0.25">
      <c r="A222" s="59"/>
      <c r="B222" s="70">
        <f t="shared" si="45"/>
        <v>218</v>
      </c>
      <c r="C222" s="67">
        <f ca="1">IF(E222-'Invoer gegevens'!$C$17&lt;0,0,1)</f>
        <v>1</v>
      </c>
      <c r="D222" s="68">
        <f t="shared" si="46"/>
        <v>217.5</v>
      </c>
      <c r="E222" s="69">
        <f ca="1">IF('Invoer gegevens'!$C$16="","",E221+1)</f>
        <v>2236</v>
      </c>
      <c r="F222" s="84">
        <f ca="1">IF('Invoer gegevens'!$C$17=E222,'Invoer gegevens'!$C$10,IF(C222=1,K221,0))</f>
        <v>0</v>
      </c>
      <c r="G222" s="96">
        <f ca="1">IF(C222&gt;=1,F222*VLOOKUP(E222,Reeksen!$A$5:$B$76,2),0)</f>
        <v>0</v>
      </c>
      <c r="H222" s="84">
        <f ca="1">(1-('Invoer gegevens'!$F$20/12))*F222*MIN(Reeksen!B222,Reeksen!D222)</f>
        <v>0</v>
      </c>
      <c r="I222" s="84">
        <f>IF(Reeksen!D222&lt;Reeksen!B222,(Reeksen!B222-Reeksen!D222)*F222,0)</f>
        <v>0</v>
      </c>
      <c r="J222" s="84">
        <f ca="1">('Invoer gegevens'!$F$20/12)*F221*MIN(Reeksen!B221,Reeksen!D221)</f>
        <v>0</v>
      </c>
      <c r="K222" s="97">
        <f t="shared" ca="1" si="36"/>
        <v>0</v>
      </c>
      <c r="L222" s="84">
        <f ca="1">IF('Invoer gegevens'!$C$17=E222,0,IF(C222=1,Q221,0))</f>
        <v>0</v>
      </c>
      <c r="M222" s="96">
        <f ca="1">IF(C222&gt;=1,L222*VLOOKUP(E222,Reeksen!$A$5:$B$76,2),0)</f>
        <v>0</v>
      </c>
      <c r="N222" s="84">
        <f ca="1">(1-('Invoer gegevens'!$F$20/12))*L222*MIN(Reeksen!B222,Reeksen!D222)</f>
        <v>0</v>
      </c>
      <c r="O222" s="84">
        <f>IF(Reeksen!D222&lt;Reeksen!B222,(Reeksen!B222-Reeksen!D222)*L222,0)</f>
        <v>0</v>
      </c>
      <c r="P222" s="84">
        <f ca="1">('Invoer gegevens'!$F$20/12)*L221*MIN(Reeksen!B221,Reeksen!D221)</f>
        <v>0</v>
      </c>
      <c r="Q222" s="84">
        <f t="shared" ca="1" si="37"/>
        <v>0</v>
      </c>
      <c r="R222" s="82">
        <f ca="1">IF('Invoer gegevens'!$C$17=E222,'Invoer gegevens'!$C$11,IF(C222=1,W221,0))</f>
        <v>0</v>
      </c>
      <c r="S222" s="86">
        <f ca="1">IF(C222&gt;=1,R222*VLOOKUP(E222,Reeksen!$A$5:$B$76,2),0)</f>
        <v>0</v>
      </c>
      <c r="T222" s="84">
        <f ca="1">(1-('Invoer gegevens'!$F$20/12))*R222*MIN(Reeksen!B222,Reeksen!D222)</f>
        <v>0</v>
      </c>
      <c r="U222" s="84">
        <f>IF(Reeksen!D222&gt;=Reeksen!B222,0,IF(Reeksen!AD222&lt;=Reeksen!AE222,(Reeksen!B222-Reeksen!D222)*R222,0))</f>
        <v>0</v>
      </c>
      <c r="V222" s="86">
        <f>IF(Reeksen!D222&gt;=Reeksen!B222,0,IF(Reeksen!AD222&gt;Reeksen!AE222,(Reeksen!B222-Reeksen!D222)*R222,0))</f>
        <v>0</v>
      </c>
      <c r="W222" s="97">
        <f t="shared" ca="1" si="38"/>
        <v>0</v>
      </c>
      <c r="X222" s="98">
        <f ca="1">IF('Invoer gegevens'!$C$17=E222,'Invoer gegevens'!$C$10-'Invoer gegevens'!$C$11,IF(C222=1,AC221,0))</f>
        <v>0</v>
      </c>
      <c r="Y222" s="98">
        <f ca="1">IF(C222&gt;=1,X222*VLOOKUP(E222,Reeksen!$A$5:$B$76,2),0)</f>
        <v>0</v>
      </c>
      <c r="Z222" s="98">
        <f ca="1">(1-('Invoer gegevens'!$F$20/12))*X222*MIN(Reeksen!B222,Reeksen!D222)</f>
        <v>0</v>
      </c>
      <c r="AA222" s="98">
        <f>IF(Reeksen!D222&gt;=Reeksen!B222,0,IF(Reeksen!AD222&lt;=Reeksen!AE222,(Reeksen!B222-Reeksen!D222)*X222,0))</f>
        <v>0</v>
      </c>
      <c r="AB222" s="98">
        <f>IF(Reeksen!D222&gt;=Reeksen!B222,0,IF(Reeksen!AD222&gt;Reeksen!AE222,(Reeksen!B222-Reeksen!D222)*X222,0))</f>
        <v>0</v>
      </c>
      <c r="AC222" s="99">
        <f t="shared" ca="1" si="39"/>
        <v>0</v>
      </c>
      <c r="AD222" s="98">
        <f ca="1">IF('Invoer gegevens'!$C$17=E222,R222,IF(C222=0,0,AE221))</f>
        <v>0</v>
      </c>
      <c r="AE222" s="98">
        <f t="shared" ca="1" si="40"/>
        <v>0</v>
      </c>
      <c r="AF222" s="98">
        <f ca="1">IF('Invoer gegevens'!$C$17=E222,X222,IF(C222=0,0,AG221))</f>
        <v>0</v>
      </c>
      <c r="AG222" s="98">
        <f t="shared" ca="1" si="41"/>
        <v>0</v>
      </c>
      <c r="AH222" s="66"/>
      <c r="AI222" s="71">
        <f ca="1">IF(C222=1,Reeksen!AI222*((F222-G222+F222)/2)*12+Reeksen!AD222*((L222-M222+L222)/2)*12,0)</f>
        <v>0</v>
      </c>
      <c r="AJ222" s="71">
        <f ca="1">-AI222*'Invoer gegevens'!$F$28</f>
        <v>0</v>
      </c>
      <c r="AK222" s="71">
        <f t="shared" ca="1" si="42"/>
        <v>0</v>
      </c>
      <c r="AL222" s="71">
        <f ca="1">IF(C222=1,Reeksen!AL222*((F222-G222+F222)/2)*12+Reeksen!AM222*((L222-M222+L222)/2)*12,0)</f>
        <v>0</v>
      </c>
      <c r="AM222" s="71">
        <f ca="1">-AL222*'Invoer gegevens'!$F$31</f>
        <v>0</v>
      </c>
      <c r="AN222" s="71">
        <f t="shared" ca="1" si="43"/>
        <v>0</v>
      </c>
      <c r="AO222" s="71">
        <f ca="1">IF(C222=1,(H222+J222+N222+P222)*Reeksen!AN222,0)</f>
        <v>0</v>
      </c>
      <c r="AP222" s="71">
        <f ca="1">-IF(C222=1,(H222+J222+N222+P222)*'Hulp - basis'!$G$550*Reeksen!H222,0)</f>
        <v>0</v>
      </c>
      <c r="AQ222" s="71">
        <f ca="1">-IF(C222=1,(F222+K222+L222+Q222)/2*'Invoer gegevens'!$F$35*Reeksen!J222,0)*2</f>
        <v>0</v>
      </c>
      <c r="AR222" s="71"/>
      <c r="AS222" s="71">
        <f ca="1">-IF(C222=1,(F222+K222+L222+Q222)/2*'Invoer gegevens'!$F$37*Reeksen!L222,0)</f>
        <v>0</v>
      </c>
      <c r="AT222" s="71">
        <f ca="1">-IF(C222=1,IF(E222='Invoer gegevens'!$C$17,'Invoer gegevens'!$C$11,AD222)*Reeksen!S222*'Invoer gegevens'!$C$18*Reeksen!P222,0)</f>
        <v>0</v>
      </c>
      <c r="AU222" s="71">
        <f ca="1">-IF(C222=1,(F222+K222+L222+Q222)/2*'Invoer gegevens'!$F$38*Reeksen!H222,0)</f>
        <v>0</v>
      </c>
      <c r="AV222" s="71">
        <f t="shared" si="47"/>
        <v>0</v>
      </c>
      <c r="AW222" s="71">
        <f t="shared" ca="1" si="44"/>
        <v>0</v>
      </c>
      <c r="AX222" s="71">
        <f ca="1">IF(E222&lt;'Invoer gegevens'!$C$17+15,0,IF(E222&gt;'Invoer gegevens'!$C$17+215,0,AW222))</f>
        <v>0</v>
      </c>
      <c r="AY222" s="71">
        <f ca="1">AX222/(1+'Invoer gegevens'!$F$18)^($AZ222-('Invoer gegevens'!$C$17-'Invoer gegevens'!$C$16))/(1+'Invoer gegevens'!$C$39)^('Invoer gegevens'!$C$17-'Invoer gegevens'!$C$16)</f>
        <v>0</v>
      </c>
      <c r="AZ222" s="68">
        <f ca="1">IF(E222-'Invoer gegevens'!$C$17-14.5&lt;0,0,E222-'Invoer gegevens'!$C$17-14.5)</f>
        <v>202.5</v>
      </c>
    </row>
    <row r="223" spans="1:52" x14ac:dyDescent="0.25">
      <c r="A223" s="59"/>
      <c r="B223" s="70">
        <f t="shared" si="45"/>
        <v>219</v>
      </c>
      <c r="C223" s="67">
        <f ca="1">IF(E223-'Invoer gegevens'!$C$17&lt;0,0,1)</f>
        <v>1</v>
      </c>
      <c r="D223" s="68">
        <f t="shared" si="46"/>
        <v>218.5</v>
      </c>
      <c r="E223" s="69">
        <f ca="1">IF('Invoer gegevens'!$C$16="","",E222+1)</f>
        <v>2237</v>
      </c>
      <c r="F223" s="84">
        <f ca="1">IF('Invoer gegevens'!$C$17=E223,'Invoer gegevens'!$C$10,IF(C223=1,K222,0))</f>
        <v>0</v>
      </c>
      <c r="G223" s="96">
        <f ca="1">IF(C223&gt;=1,F223*VLOOKUP(E223,Reeksen!$A$5:$B$76,2),0)</f>
        <v>0</v>
      </c>
      <c r="H223" s="84">
        <f ca="1">(1-('Invoer gegevens'!$F$20/12))*F223*MIN(Reeksen!B223,Reeksen!D223)</f>
        <v>0</v>
      </c>
      <c r="I223" s="84">
        <f>IF(Reeksen!D223&lt;Reeksen!B223,(Reeksen!B223-Reeksen!D223)*F223,0)</f>
        <v>0</v>
      </c>
      <c r="J223" s="84">
        <f ca="1">('Invoer gegevens'!$F$20/12)*F222*MIN(Reeksen!B222,Reeksen!D222)</f>
        <v>0</v>
      </c>
      <c r="K223" s="97">
        <f t="shared" ca="1" si="36"/>
        <v>0</v>
      </c>
      <c r="L223" s="84">
        <f ca="1">IF('Invoer gegevens'!$C$17=E223,0,IF(C223=1,Q222,0))</f>
        <v>0</v>
      </c>
      <c r="M223" s="96">
        <f ca="1">IF(C223&gt;=1,L223*VLOOKUP(E223,Reeksen!$A$5:$B$76,2),0)</f>
        <v>0</v>
      </c>
      <c r="N223" s="84">
        <f ca="1">(1-('Invoer gegevens'!$F$20/12))*L223*MIN(Reeksen!B223,Reeksen!D223)</f>
        <v>0</v>
      </c>
      <c r="O223" s="84">
        <f>IF(Reeksen!D223&lt;Reeksen!B223,(Reeksen!B223-Reeksen!D223)*L223,0)</f>
        <v>0</v>
      </c>
      <c r="P223" s="84">
        <f ca="1">('Invoer gegevens'!$F$20/12)*L222*MIN(Reeksen!B222,Reeksen!D222)</f>
        <v>0</v>
      </c>
      <c r="Q223" s="84">
        <f t="shared" ca="1" si="37"/>
        <v>0</v>
      </c>
      <c r="R223" s="82">
        <f ca="1">IF('Invoer gegevens'!$C$17=E223,'Invoer gegevens'!$C$11,IF(C223=1,W222,0))</f>
        <v>0</v>
      </c>
      <c r="S223" s="86">
        <f ca="1">IF(C223&gt;=1,R223*VLOOKUP(E223,Reeksen!$A$5:$B$76,2),0)</f>
        <v>0</v>
      </c>
      <c r="T223" s="84">
        <f ca="1">(1-('Invoer gegevens'!$F$20/12))*R223*MIN(Reeksen!B223,Reeksen!D223)</f>
        <v>0</v>
      </c>
      <c r="U223" s="84">
        <f>IF(Reeksen!D223&gt;=Reeksen!B223,0,IF(Reeksen!AD223&lt;=Reeksen!AE223,(Reeksen!B223-Reeksen!D223)*R223,0))</f>
        <v>0</v>
      </c>
      <c r="V223" s="86">
        <f>IF(Reeksen!D223&gt;=Reeksen!B223,0,IF(Reeksen!AD223&gt;Reeksen!AE223,(Reeksen!B223-Reeksen!D223)*R223,0))</f>
        <v>0</v>
      </c>
      <c r="W223" s="97">
        <f t="shared" ca="1" si="38"/>
        <v>0</v>
      </c>
      <c r="X223" s="98">
        <f ca="1">IF('Invoer gegevens'!$C$17=E223,'Invoer gegevens'!$C$10-'Invoer gegevens'!$C$11,IF(C223=1,AC222,0))</f>
        <v>0</v>
      </c>
      <c r="Y223" s="98">
        <f ca="1">IF(C223&gt;=1,X223*VLOOKUP(E223,Reeksen!$A$5:$B$76,2),0)</f>
        <v>0</v>
      </c>
      <c r="Z223" s="98">
        <f ca="1">(1-('Invoer gegevens'!$F$20/12))*X223*MIN(Reeksen!B223,Reeksen!D223)</f>
        <v>0</v>
      </c>
      <c r="AA223" s="98">
        <f>IF(Reeksen!D223&gt;=Reeksen!B223,0,IF(Reeksen!AD223&lt;=Reeksen!AE223,(Reeksen!B223-Reeksen!D223)*X223,0))</f>
        <v>0</v>
      </c>
      <c r="AB223" s="98">
        <f>IF(Reeksen!D223&gt;=Reeksen!B223,0,IF(Reeksen!AD223&gt;Reeksen!AE223,(Reeksen!B223-Reeksen!D223)*X223,0))</f>
        <v>0</v>
      </c>
      <c r="AC223" s="99">
        <f t="shared" ca="1" si="39"/>
        <v>0</v>
      </c>
      <c r="AD223" s="98">
        <f ca="1">IF('Invoer gegevens'!$C$17=E223,R223,IF(C223=0,0,AE222))</f>
        <v>0</v>
      </c>
      <c r="AE223" s="98">
        <f t="shared" ca="1" si="40"/>
        <v>0</v>
      </c>
      <c r="AF223" s="98">
        <f ca="1">IF('Invoer gegevens'!$C$17=E223,X223,IF(C223=0,0,AG222))</f>
        <v>0</v>
      </c>
      <c r="AG223" s="98">
        <f t="shared" ca="1" si="41"/>
        <v>0</v>
      </c>
      <c r="AH223" s="66"/>
      <c r="AI223" s="71">
        <f ca="1">IF(C223=1,Reeksen!AI223*((F223-G223+F223)/2)*12+Reeksen!AD223*((L223-M223+L223)/2)*12,0)</f>
        <v>0</v>
      </c>
      <c r="AJ223" s="71">
        <f ca="1">-AI223*'Invoer gegevens'!$F$28</f>
        <v>0</v>
      </c>
      <c r="AK223" s="71">
        <f t="shared" ca="1" si="42"/>
        <v>0</v>
      </c>
      <c r="AL223" s="71">
        <f ca="1">IF(C223=1,Reeksen!AL223*((F223-G223+F223)/2)*12+Reeksen!AM223*((L223-M223+L223)/2)*12,0)</f>
        <v>0</v>
      </c>
      <c r="AM223" s="71">
        <f ca="1">-AL223*'Invoer gegevens'!$F$31</f>
        <v>0</v>
      </c>
      <c r="AN223" s="71">
        <f t="shared" ca="1" si="43"/>
        <v>0</v>
      </c>
      <c r="AO223" s="71">
        <f ca="1">IF(C223=1,(H223+J223+N223+P223)*Reeksen!AN223,0)</f>
        <v>0</v>
      </c>
      <c r="AP223" s="71">
        <f ca="1">-IF(C223=1,(H223+J223+N223+P223)*'Hulp - basis'!$G$550*Reeksen!H223,0)</f>
        <v>0</v>
      </c>
      <c r="AQ223" s="71">
        <f ca="1">-IF(C223=1,(F223+K223+L223+Q223)/2*'Invoer gegevens'!$F$35*Reeksen!J223,0)*2</f>
        <v>0</v>
      </c>
      <c r="AR223" s="71"/>
      <c r="AS223" s="71">
        <f ca="1">-IF(C223=1,(F223+K223+L223+Q223)/2*'Invoer gegevens'!$F$37*Reeksen!L223,0)</f>
        <v>0</v>
      </c>
      <c r="AT223" s="71">
        <f ca="1">-IF(C223=1,IF(E223='Invoer gegevens'!$C$17,'Invoer gegevens'!$C$11,AD223)*Reeksen!S223*'Invoer gegevens'!$C$18*Reeksen!P223,0)</f>
        <v>0</v>
      </c>
      <c r="AU223" s="71">
        <f ca="1">-IF(C223=1,(F223+K223+L223+Q223)/2*'Invoer gegevens'!$F$38*Reeksen!H223,0)</f>
        <v>0</v>
      </c>
      <c r="AV223" s="71">
        <f t="shared" si="47"/>
        <v>0</v>
      </c>
      <c r="AW223" s="71">
        <f t="shared" ca="1" si="44"/>
        <v>0</v>
      </c>
      <c r="AX223" s="71">
        <f ca="1">IF(E223&lt;'Invoer gegevens'!$C$17+15,0,IF(E223&gt;'Invoer gegevens'!$C$17+215,0,AW223))</f>
        <v>0</v>
      </c>
      <c r="AY223" s="71">
        <f ca="1">AX223/(1+'Invoer gegevens'!$F$18)^($AZ223-('Invoer gegevens'!$C$17-'Invoer gegevens'!$C$16))/(1+'Invoer gegevens'!$C$39)^('Invoer gegevens'!$C$17-'Invoer gegevens'!$C$16)</f>
        <v>0</v>
      </c>
      <c r="AZ223" s="68">
        <f ca="1">IF(E223-'Invoer gegevens'!$C$17-14.5&lt;0,0,E223-'Invoer gegevens'!$C$17-14.5)</f>
        <v>203.5</v>
      </c>
    </row>
    <row r="224" spans="1:52" x14ac:dyDescent="0.25">
      <c r="A224" s="59"/>
      <c r="B224" s="70">
        <f t="shared" si="45"/>
        <v>220</v>
      </c>
      <c r="C224" s="67">
        <f ca="1">IF(E224-'Invoer gegevens'!$C$17&lt;0,0,1)</f>
        <v>1</v>
      </c>
      <c r="D224" s="68">
        <f t="shared" si="46"/>
        <v>219.5</v>
      </c>
      <c r="E224" s="69">
        <f ca="1">IF('Invoer gegevens'!$C$16="","",E223+1)</f>
        <v>2238</v>
      </c>
      <c r="F224" s="84">
        <f ca="1">IF('Invoer gegevens'!$C$17=E224,'Invoer gegevens'!$C$10,IF(C224=1,K223,0))</f>
        <v>0</v>
      </c>
      <c r="G224" s="96">
        <f ca="1">IF(C224&gt;=1,F224*VLOOKUP(E224,Reeksen!$A$5:$B$76,2),0)</f>
        <v>0</v>
      </c>
      <c r="H224" s="84">
        <f ca="1">(1-('Invoer gegevens'!$F$20/12))*F224*MIN(Reeksen!B224,Reeksen!D224)</f>
        <v>0</v>
      </c>
      <c r="I224" s="84">
        <f>IF(Reeksen!D224&lt;Reeksen!B224,(Reeksen!B224-Reeksen!D224)*F224,0)</f>
        <v>0</v>
      </c>
      <c r="J224" s="84">
        <f ca="1">('Invoer gegevens'!$F$20/12)*F223*MIN(Reeksen!B223,Reeksen!D223)</f>
        <v>0</v>
      </c>
      <c r="K224" s="97">
        <f t="shared" ca="1" si="36"/>
        <v>0</v>
      </c>
      <c r="L224" s="84">
        <f ca="1">IF('Invoer gegevens'!$C$17=E224,0,IF(C224=1,Q223,0))</f>
        <v>0</v>
      </c>
      <c r="M224" s="96">
        <f ca="1">IF(C224&gt;=1,L224*VLOOKUP(E224,Reeksen!$A$5:$B$76,2),0)</f>
        <v>0</v>
      </c>
      <c r="N224" s="84">
        <f ca="1">(1-('Invoer gegevens'!$F$20/12))*L224*MIN(Reeksen!B224,Reeksen!D224)</f>
        <v>0</v>
      </c>
      <c r="O224" s="84">
        <f>IF(Reeksen!D224&lt;Reeksen!B224,(Reeksen!B224-Reeksen!D224)*L224,0)</f>
        <v>0</v>
      </c>
      <c r="P224" s="84">
        <f ca="1">('Invoer gegevens'!$F$20/12)*L223*MIN(Reeksen!B223,Reeksen!D223)</f>
        <v>0</v>
      </c>
      <c r="Q224" s="84">
        <f t="shared" ca="1" si="37"/>
        <v>0</v>
      </c>
      <c r="R224" s="82">
        <f ca="1">IF('Invoer gegevens'!$C$17=E224,'Invoer gegevens'!$C$11,IF(C224=1,W223,0))</f>
        <v>0</v>
      </c>
      <c r="S224" s="86">
        <f ca="1">IF(C224&gt;=1,R224*VLOOKUP(E224,Reeksen!$A$5:$B$76,2),0)</f>
        <v>0</v>
      </c>
      <c r="T224" s="84">
        <f ca="1">(1-('Invoer gegevens'!$F$20/12))*R224*MIN(Reeksen!B224,Reeksen!D224)</f>
        <v>0</v>
      </c>
      <c r="U224" s="84">
        <f>IF(Reeksen!D224&gt;=Reeksen!B224,0,IF(Reeksen!AD224&lt;=Reeksen!AE224,(Reeksen!B224-Reeksen!D224)*R224,0))</f>
        <v>0</v>
      </c>
      <c r="V224" s="86">
        <f>IF(Reeksen!D224&gt;=Reeksen!B224,0,IF(Reeksen!AD224&gt;Reeksen!AE224,(Reeksen!B224-Reeksen!D224)*R224,0))</f>
        <v>0</v>
      </c>
      <c r="W224" s="97">
        <f t="shared" ca="1" si="38"/>
        <v>0</v>
      </c>
      <c r="X224" s="98">
        <f ca="1">IF('Invoer gegevens'!$C$17=E224,'Invoer gegevens'!$C$10-'Invoer gegevens'!$C$11,IF(C224=1,AC223,0))</f>
        <v>0</v>
      </c>
      <c r="Y224" s="98">
        <f ca="1">IF(C224&gt;=1,X224*VLOOKUP(E224,Reeksen!$A$5:$B$76,2),0)</f>
        <v>0</v>
      </c>
      <c r="Z224" s="98">
        <f ca="1">(1-('Invoer gegevens'!$F$20/12))*X224*MIN(Reeksen!B224,Reeksen!D224)</f>
        <v>0</v>
      </c>
      <c r="AA224" s="98">
        <f>IF(Reeksen!D224&gt;=Reeksen!B224,0,IF(Reeksen!AD224&lt;=Reeksen!AE224,(Reeksen!B224-Reeksen!D224)*X224,0))</f>
        <v>0</v>
      </c>
      <c r="AB224" s="98">
        <f>IF(Reeksen!D224&gt;=Reeksen!B224,0,IF(Reeksen!AD224&gt;Reeksen!AE224,(Reeksen!B224-Reeksen!D224)*X224,0))</f>
        <v>0</v>
      </c>
      <c r="AC224" s="99">
        <f t="shared" ca="1" si="39"/>
        <v>0</v>
      </c>
      <c r="AD224" s="98">
        <f ca="1">IF('Invoer gegevens'!$C$17=E224,R224,IF(C224=0,0,AE223))</f>
        <v>0</v>
      </c>
      <c r="AE224" s="98">
        <f t="shared" ca="1" si="40"/>
        <v>0</v>
      </c>
      <c r="AF224" s="98">
        <f ca="1">IF('Invoer gegevens'!$C$17=E224,X224,IF(C224=0,0,AG223))</f>
        <v>0</v>
      </c>
      <c r="AG224" s="98">
        <f t="shared" ca="1" si="41"/>
        <v>0</v>
      </c>
      <c r="AH224" s="66"/>
      <c r="AI224" s="71">
        <f ca="1">IF(C224=1,Reeksen!AI224*((F224-G224+F224)/2)*12+Reeksen!AD224*((L224-M224+L224)/2)*12,0)</f>
        <v>0</v>
      </c>
      <c r="AJ224" s="71">
        <f ca="1">-AI224*'Invoer gegevens'!$F$28</f>
        <v>0</v>
      </c>
      <c r="AK224" s="71">
        <f t="shared" ca="1" si="42"/>
        <v>0</v>
      </c>
      <c r="AL224" s="71">
        <f ca="1">IF(C224=1,Reeksen!AL224*((F224-G224+F224)/2)*12+Reeksen!AM224*((L224-M224+L224)/2)*12,0)</f>
        <v>0</v>
      </c>
      <c r="AM224" s="71">
        <f ca="1">-AL224*'Invoer gegevens'!$F$31</f>
        <v>0</v>
      </c>
      <c r="AN224" s="71">
        <f t="shared" ca="1" si="43"/>
        <v>0</v>
      </c>
      <c r="AO224" s="71">
        <f ca="1">IF(C224=1,(H224+J224+N224+P224)*Reeksen!AN224,0)</f>
        <v>0</v>
      </c>
      <c r="AP224" s="71">
        <f ca="1">-IF(C224=1,(H224+J224+N224+P224)*'Hulp - basis'!$G$550*Reeksen!H224,0)</f>
        <v>0</v>
      </c>
      <c r="AQ224" s="71">
        <f ca="1">-IF(C224=1,(F224+K224+L224+Q224)/2*'Invoer gegevens'!$F$35*Reeksen!J224,0)*2</f>
        <v>0</v>
      </c>
      <c r="AR224" s="71"/>
      <c r="AS224" s="71">
        <f ca="1">-IF(C224=1,(F224+K224+L224+Q224)/2*'Invoer gegevens'!$F$37*Reeksen!L224,0)</f>
        <v>0</v>
      </c>
      <c r="AT224" s="71">
        <f ca="1">-IF(C224=1,IF(E224='Invoer gegevens'!$C$17,'Invoer gegevens'!$C$11,AD224)*Reeksen!S224*'Invoer gegevens'!$C$18*Reeksen!P224,0)</f>
        <v>0</v>
      </c>
      <c r="AU224" s="71">
        <f ca="1">-IF(C224=1,(F224+K224+L224+Q224)/2*'Invoer gegevens'!$F$38*Reeksen!H224,0)</f>
        <v>0</v>
      </c>
      <c r="AV224" s="71">
        <f t="shared" si="47"/>
        <v>0</v>
      </c>
      <c r="AW224" s="71">
        <f t="shared" ca="1" si="44"/>
        <v>0</v>
      </c>
      <c r="AX224" s="71">
        <f ca="1">IF(E224&lt;'Invoer gegevens'!$C$17+15,0,IF(E224&gt;'Invoer gegevens'!$C$17+215,0,AW224))</f>
        <v>0</v>
      </c>
      <c r="AY224" s="71">
        <f ca="1">AX224/(1+'Invoer gegevens'!$F$18)^($AZ224-('Invoer gegevens'!$C$17-'Invoer gegevens'!$C$16))/(1+'Invoer gegevens'!$C$39)^('Invoer gegevens'!$C$17-'Invoer gegevens'!$C$16)</f>
        <v>0</v>
      </c>
      <c r="AZ224" s="68">
        <f ca="1">IF(E224-'Invoer gegevens'!$C$17-14.5&lt;0,0,E224-'Invoer gegevens'!$C$17-14.5)</f>
        <v>204.5</v>
      </c>
    </row>
    <row r="225" spans="1:52" x14ac:dyDescent="0.25">
      <c r="A225" s="59"/>
      <c r="B225" s="70">
        <f t="shared" si="45"/>
        <v>221</v>
      </c>
      <c r="C225" s="67">
        <f ca="1">IF(E225-'Invoer gegevens'!$C$17&lt;0,0,1)</f>
        <v>1</v>
      </c>
      <c r="D225" s="68">
        <f t="shared" si="46"/>
        <v>220.5</v>
      </c>
      <c r="E225" s="69">
        <f ca="1">IF('Invoer gegevens'!$C$16="","",E224+1)</f>
        <v>2239</v>
      </c>
      <c r="F225" s="84">
        <f ca="1">IF('Invoer gegevens'!$C$17=E225,'Invoer gegevens'!$C$10,IF(C225=1,K224,0))</f>
        <v>0</v>
      </c>
      <c r="G225" s="96">
        <f ca="1">IF(C225&gt;=1,F225*VLOOKUP(E225,Reeksen!$A$5:$B$76,2),0)</f>
        <v>0</v>
      </c>
      <c r="H225" s="84">
        <f ca="1">(1-('Invoer gegevens'!$F$20/12))*F225*MIN(Reeksen!B225,Reeksen!D225)</f>
        <v>0</v>
      </c>
      <c r="I225" s="84">
        <f>IF(Reeksen!D225&lt;Reeksen!B225,(Reeksen!B225-Reeksen!D225)*F225,0)</f>
        <v>0</v>
      </c>
      <c r="J225" s="84">
        <f ca="1">('Invoer gegevens'!$F$20/12)*F224*MIN(Reeksen!B224,Reeksen!D224)</f>
        <v>0</v>
      </c>
      <c r="K225" s="97">
        <f t="shared" ca="1" si="36"/>
        <v>0</v>
      </c>
      <c r="L225" s="84">
        <f ca="1">IF('Invoer gegevens'!$C$17=E225,0,IF(C225=1,Q224,0))</f>
        <v>0</v>
      </c>
      <c r="M225" s="96">
        <f ca="1">IF(C225&gt;=1,L225*VLOOKUP(E225,Reeksen!$A$5:$B$76,2),0)</f>
        <v>0</v>
      </c>
      <c r="N225" s="84">
        <f ca="1">(1-('Invoer gegevens'!$F$20/12))*L225*MIN(Reeksen!B225,Reeksen!D225)</f>
        <v>0</v>
      </c>
      <c r="O225" s="84">
        <f>IF(Reeksen!D225&lt;Reeksen!B225,(Reeksen!B225-Reeksen!D225)*L225,0)</f>
        <v>0</v>
      </c>
      <c r="P225" s="84">
        <f ca="1">('Invoer gegevens'!$F$20/12)*L224*MIN(Reeksen!B224,Reeksen!D224)</f>
        <v>0</v>
      </c>
      <c r="Q225" s="84">
        <f t="shared" ca="1" si="37"/>
        <v>0</v>
      </c>
      <c r="R225" s="82">
        <f ca="1">IF('Invoer gegevens'!$C$17=E225,'Invoer gegevens'!$C$11,IF(C225=1,W224,0))</f>
        <v>0</v>
      </c>
      <c r="S225" s="86">
        <f ca="1">IF(C225&gt;=1,R225*VLOOKUP(E225,Reeksen!$A$5:$B$76,2),0)</f>
        <v>0</v>
      </c>
      <c r="T225" s="84">
        <f ca="1">(1-('Invoer gegevens'!$F$20/12))*R225*MIN(Reeksen!B225,Reeksen!D225)</f>
        <v>0</v>
      </c>
      <c r="U225" s="84">
        <f>IF(Reeksen!D225&gt;=Reeksen!B225,0,IF(Reeksen!AD225&lt;=Reeksen!AE225,(Reeksen!B225-Reeksen!D225)*R225,0))</f>
        <v>0</v>
      </c>
      <c r="V225" s="86">
        <f>IF(Reeksen!D225&gt;=Reeksen!B225,0,IF(Reeksen!AD225&gt;Reeksen!AE225,(Reeksen!B225-Reeksen!D225)*R225,0))</f>
        <v>0</v>
      </c>
      <c r="W225" s="97">
        <f t="shared" ca="1" si="38"/>
        <v>0</v>
      </c>
      <c r="X225" s="98">
        <f ca="1">IF('Invoer gegevens'!$C$17=E225,'Invoer gegevens'!$C$10-'Invoer gegevens'!$C$11,IF(C225=1,AC224,0))</f>
        <v>0</v>
      </c>
      <c r="Y225" s="98">
        <f ca="1">IF(C225&gt;=1,X225*VLOOKUP(E225,Reeksen!$A$5:$B$76,2),0)</f>
        <v>0</v>
      </c>
      <c r="Z225" s="98">
        <f ca="1">(1-('Invoer gegevens'!$F$20/12))*X225*MIN(Reeksen!B225,Reeksen!D225)</f>
        <v>0</v>
      </c>
      <c r="AA225" s="98">
        <f>IF(Reeksen!D225&gt;=Reeksen!B225,0,IF(Reeksen!AD225&lt;=Reeksen!AE225,(Reeksen!B225-Reeksen!D225)*X225,0))</f>
        <v>0</v>
      </c>
      <c r="AB225" s="98">
        <f>IF(Reeksen!D225&gt;=Reeksen!B225,0,IF(Reeksen!AD225&gt;Reeksen!AE225,(Reeksen!B225-Reeksen!D225)*X225,0))</f>
        <v>0</v>
      </c>
      <c r="AC225" s="99">
        <f t="shared" ca="1" si="39"/>
        <v>0</v>
      </c>
      <c r="AD225" s="98">
        <f ca="1">IF('Invoer gegevens'!$C$17=E225,R225,IF(C225=0,0,AE224))</f>
        <v>0</v>
      </c>
      <c r="AE225" s="98">
        <f t="shared" ca="1" si="40"/>
        <v>0</v>
      </c>
      <c r="AF225" s="98">
        <f ca="1">IF('Invoer gegevens'!$C$17=E225,X225,IF(C225=0,0,AG224))</f>
        <v>0</v>
      </c>
      <c r="AG225" s="98">
        <f t="shared" ca="1" si="41"/>
        <v>0</v>
      </c>
      <c r="AH225" s="66"/>
      <c r="AI225" s="71">
        <f ca="1">IF(C225=1,Reeksen!AI225*((F225-G225+F225)/2)*12+Reeksen!AD225*((L225-M225+L225)/2)*12,0)</f>
        <v>0</v>
      </c>
      <c r="AJ225" s="71">
        <f ca="1">-AI225*'Invoer gegevens'!$F$28</f>
        <v>0</v>
      </c>
      <c r="AK225" s="71">
        <f t="shared" ca="1" si="42"/>
        <v>0</v>
      </c>
      <c r="AL225" s="71">
        <f ca="1">IF(C225=1,Reeksen!AL225*((F225-G225+F225)/2)*12+Reeksen!AM225*((L225-M225+L225)/2)*12,0)</f>
        <v>0</v>
      </c>
      <c r="AM225" s="71">
        <f ca="1">-AL225*'Invoer gegevens'!$F$31</f>
        <v>0</v>
      </c>
      <c r="AN225" s="71">
        <f t="shared" ca="1" si="43"/>
        <v>0</v>
      </c>
      <c r="AO225" s="71">
        <f ca="1">IF(C225=1,(H225+J225+N225+P225)*Reeksen!AN225,0)</f>
        <v>0</v>
      </c>
      <c r="AP225" s="71">
        <f ca="1">-IF(C225=1,(H225+J225+N225+P225)*'Hulp - basis'!$G$550*Reeksen!H225,0)</f>
        <v>0</v>
      </c>
      <c r="AQ225" s="71">
        <f ca="1">-IF(C225=1,(F225+K225+L225+Q225)/2*'Invoer gegevens'!$F$35*Reeksen!J225,0)*2</f>
        <v>0</v>
      </c>
      <c r="AR225" s="71"/>
      <c r="AS225" s="71">
        <f ca="1">-IF(C225=1,(F225+K225+L225+Q225)/2*'Invoer gegevens'!$F$37*Reeksen!L225,0)</f>
        <v>0</v>
      </c>
      <c r="AT225" s="71">
        <f ca="1">-IF(C225=1,IF(E225='Invoer gegevens'!$C$17,'Invoer gegevens'!$C$11,AD225)*Reeksen!S225*'Invoer gegevens'!$C$18*Reeksen!P225,0)</f>
        <v>0</v>
      </c>
      <c r="AU225" s="71">
        <f ca="1">-IF(C225=1,(F225+K225+L225+Q225)/2*'Invoer gegevens'!$F$38*Reeksen!H225,0)</f>
        <v>0</v>
      </c>
      <c r="AV225" s="71">
        <f t="shared" si="47"/>
        <v>0</v>
      </c>
      <c r="AW225" s="71">
        <f t="shared" ca="1" si="44"/>
        <v>0</v>
      </c>
      <c r="AX225" s="71">
        <f ca="1">IF(E225&lt;'Invoer gegevens'!$C$17+15,0,IF(E225&gt;'Invoer gegevens'!$C$17+215,0,AW225))</f>
        <v>0</v>
      </c>
      <c r="AY225" s="71">
        <f ca="1">AX225/(1+'Invoer gegevens'!$F$18)^($AZ225-('Invoer gegevens'!$C$17-'Invoer gegevens'!$C$16))/(1+'Invoer gegevens'!$C$39)^('Invoer gegevens'!$C$17-'Invoer gegevens'!$C$16)</f>
        <v>0</v>
      </c>
      <c r="AZ225" s="68">
        <f ca="1">IF(E225-'Invoer gegevens'!$C$17-14.5&lt;0,0,E225-'Invoer gegevens'!$C$17-14.5)</f>
        <v>205.5</v>
      </c>
    </row>
    <row r="226" spans="1:52" x14ac:dyDescent="0.25">
      <c r="A226" s="59"/>
      <c r="B226" s="70">
        <f t="shared" si="45"/>
        <v>222</v>
      </c>
      <c r="C226" s="67">
        <f ca="1">IF(E226-'Invoer gegevens'!$C$17&lt;0,0,1)</f>
        <v>1</v>
      </c>
      <c r="D226" s="68">
        <f t="shared" si="46"/>
        <v>221.5</v>
      </c>
      <c r="E226" s="69">
        <f ca="1">IF('Invoer gegevens'!$C$16="","",E225+1)</f>
        <v>2240</v>
      </c>
      <c r="F226" s="84">
        <f ca="1">IF('Invoer gegevens'!$C$17=E226,'Invoer gegevens'!$C$10,IF(C226=1,K225,0))</f>
        <v>0</v>
      </c>
      <c r="G226" s="96">
        <f ca="1">IF(C226&gt;=1,F226*VLOOKUP(E226,Reeksen!$A$5:$B$76,2),0)</f>
        <v>0</v>
      </c>
      <c r="H226" s="84">
        <f ca="1">(1-('Invoer gegevens'!$F$20/12))*F226*MIN(Reeksen!B226,Reeksen!D226)</f>
        <v>0</v>
      </c>
      <c r="I226" s="84">
        <f>IF(Reeksen!D226&lt;Reeksen!B226,(Reeksen!B226-Reeksen!D226)*F226,0)</f>
        <v>0</v>
      </c>
      <c r="J226" s="84">
        <f ca="1">('Invoer gegevens'!$F$20/12)*F225*MIN(Reeksen!B225,Reeksen!D225)</f>
        <v>0</v>
      </c>
      <c r="K226" s="97">
        <f t="shared" ca="1" si="36"/>
        <v>0</v>
      </c>
      <c r="L226" s="84">
        <f ca="1">IF('Invoer gegevens'!$C$17=E226,0,IF(C226=1,Q225,0))</f>
        <v>0</v>
      </c>
      <c r="M226" s="96">
        <f ca="1">IF(C226&gt;=1,L226*VLOOKUP(E226,Reeksen!$A$5:$B$76,2),0)</f>
        <v>0</v>
      </c>
      <c r="N226" s="84">
        <f ca="1">(1-('Invoer gegevens'!$F$20/12))*L226*MIN(Reeksen!B226,Reeksen!D226)</f>
        <v>0</v>
      </c>
      <c r="O226" s="84">
        <f>IF(Reeksen!D226&lt;Reeksen!B226,(Reeksen!B226-Reeksen!D226)*L226,0)</f>
        <v>0</v>
      </c>
      <c r="P226" s="84">
        <f ca="1">('Invoer gegevens'!$F$20/12)*L225*MIN(Reeksen!B225,Reeksen!D225)</f>
        <v>0</v>
      </c>
      <c r="Q226" s="84">
        <f t="shared" ca="1" si="37"/>
        <v>0</v>
      </c>
      <c r="R226" s="82">
        <f ca="1">IF('Invoer gegevens'!$C$17=E226,'Invoer gegevens'!$C$11,IF(C226=1,W225,0))</f>
        <v>0</v>
      </c>
      <c r="S226" s="86">
        <f ca="1">IF(C226&gt;=1,R226*VLOOKUP(E226,Reeksen!$A$5:$B$76,2),0)</f>
        <v>0</v>
      </c>
      <c r="T226" s="84">
        <f ca="1">(1-('Invoer gegevens'!$F$20/12))*R226*MIN(Reeksen!B226,Reeksen!D226)</f>
        <v>0</v>
      </c>
      <c r="U226" s="84">
        <f>IF(Reeksen!D226&gt;=Reeksen!B226,0,IF(Reeksen!AD226&lt;=Reeksen!AE226,(Reeksen!B226-Reeksen!D226)*R226,0))</f>
        <v>0</v>
      </c>
      <c r="V226" s="86">
        <f>IF(Reeksen!D226&gt;=Reeksen!B226,0,IF(Reeksen!AD226&gt;Reeksen!AE226,(Reeksen!B226-Reeksen!D226)*R226,0))</f>
        <v>0</v>
      </c>
      <c r="W226" s="97">
        <f t="shared" ca="1" si="38"/>
        <v>0</v>
      </c>
      <c r="X226" s="98">
        <f ca="1">IF('Invoer gegevens'!$C$17=E226,'Invoer gegevens'!$C$10-'Invoer gegevens'!$C$11,IF(C226=1,AC225,0))</f>
        <v>0</v>
      </c>
      <c r="Y226" s="98">
        <f ca="1">IF(C226&gt;=1,X226*VLOOKUP(E226,Reeksen!$A$5:$B$76,2),0)</f>
        <v>0</v>
      </c>
      <c r="Z226" s="98">
        <f ca="1">(1-('Invoer gegevens'!$F$20/12))*X226*MIN(Reeksen!B226,Reeksen!D226)</f>
        <v>0</v>
      </c>
      <c r="AA226" s="98">
        <f>IF(Reeksen!D226&gt;=Reeksen!B226,0,IF(Reeksen!AD226&lt;=Reeksen!AE226,(Reeksen!B226-Reeksen!D226)*X226,0))</f>
        <v>0</v>
      </c>
      <c r="AB226" s="98">
        <f>IF(Reeksen!D226&gt;=Reeksen!B226,0,IF(Reeksen!AD226&gt;Reeksen!AE226,(Reeksen!B226-Reeksen!D226)*X226,0))</f>
        <v>0</v>
      </c>
      <c r="AC226" s="99">
        <f t="shared" ca="1" si="39"/>
        <v>0</v>
      </c>
      <c r="AD226" s="98">
        <f ca="1">IF('Invoer gegevens'!$C$17=E226,R226,IF(C226=0,0,AE225))</f>
        <v>0</v>
      </c>
      <c r="AE226" s="98">
        <f t="shared" ca="1" si="40"/>
        <v>0</v>
      </c>
      <c r="AF226" s="98">
        <f ca="1">IF('Invoer gegevens'!$C$17=E226,X226,IF(C226=0,0,AG225))</f>
        <v>0</v>
      </c>
      <c r="AG226" s="98">
        <f t="shared" ca="1" si="41"/>
        <v>0</v>
      </c>
      <c r="AH226" s="66"/>
      <c r="AI226" s="71">
        <f ca="1">IF(C226=1,Reeksen!AI226*((F226-G226+F226)/2)*12+Reeksen!AD226*((L226-M226+L226)/2)*12,0)</f>
        <v>0</v>
      </c>
      <c r="AJ226" s="71">
        <f ca="1">-AI226*'Invoer gegevens'!$F$28</f>
        <v>0</v>
      </c>
      <c r="AK226" s="71">
        <f t="shared" ca="1" si="42"/>
        <v>0</v>
      </c>
      <c r="AL226" s="71">
        <f ca="1">IF(C226=1,Reeksen!AL226*((F226-G226+F226)/2)*12+Reeksen!AM226*((L226-M226+L226)/2)*12,0)</f>
        <v>0</v>
      </c>
      <c r="AM226" s="71">
        <f ca="1">-AL226*'Invoer gegevens'!$F$31</f>
        <v>0</v>
      </c>
      <c r="AN226" s="71">
        <f t="shared" ca="1" si="43"/>
        <v>0</v>
      </c>
      <c r="AO226" s="71">
        <f ca="1">IF(C226=1,(H226+J226+N226+P226)*Reeksen!AN226,0)</f>
        <v>0</v>
      </c>
      <c r="AP226" s="71">
        <f ca="1">-IF(C226=1,(H226+J226+N226+P226)*'Hulp - basis'!$G$550*Reeksen!H226,0)</f>
        <v>0</v>
      </c>
      <c r="AQ226" s="71">
        <f ca="1">-IF(C226=1,(F226+K226+L226+Q226)/2*'Invoer gegevens'!$F$35*Reeksen!J226,0)*2</f>
        <v>0</v>
      </c>
      <c r="AR226" s="71"/>
      <c r="AS226" s="71">
        <f ca="1">-IF(C226=1,(F226+K226+L226+Q226)/2*'Invoer gegevens'!$F$37*Reeksen!L226,0)</f>
        <v>0</v>
      </c>
      <c r="AT226" s="71">
        <f ca="1">-IF(C226=1,IF(E226='Invoer gegevens'!$C$17,'Invoer gegevens'!$C$11,AD226)*Reeksen!S226*'Invoer gegevens'!$C$18*Reeksen!P226,0)</f>
        <v>0</v>
      </c>
      <c r="AU226" s="71">
        <f ca="1">-IF(C226=1,(F226+K226+L226+Q226)/2*'Invoer gegevens'!$F$38*Reeksen!H226,0)</f>
        <v>0</v>
      </c>
      <c r="AV226" s="71">
        <f t="shared" si="47"/>
        <v>0</v>
      </c>
      <c r="AW226" s="71">
        <f t="shared" ca="1" si="44"/>
        <v>0</v>
      </c>
      <c r="AX226" s="71">
        <f ca="1">IF(E226&lt;'Invoer gegevens'!$C$17+15,0,IF(E226&gt;'Invoer gegevens'!$C$17+215,0,AW226))</f>
        <v>0</v>
      </c>
      <c r="AY226" s="71">
        <f ca="1">AX226/(1+'Invoer gegevens'!$F$18)^($AZ226-('Invoer gegevens'!$C$17-'Invoer gegevens'!$C$16))/(1+'Invoer gegevens'!$C$39)^('Invoer gegevens'!$C$17-'Invoer gegevens'!$C$16)</f>
        <v>0</v>
      </c>
      <c r="AZ226" s="68">
        <f ca="1">IF(E226-'Invoer gegevens'!$C$17-14.5&lt;0,0,E226-'Invoer gegevens'!$C$17-14.5)</f>
        <v>206.5</v>
      </c>
    </row>
    <row r="227" spans="1:52" x14ac:dyDescent="0.25">
      <c r="A227" s="59"/>
      <c r="B227" s="70">
        <f t="shared" si="45"/>
        <v>223</v>
      </c>
      <c r="C227" s="67">
        <f ca="1">IF(E227-'Invoer gegevens'!$C$17&lt;0,0,1)</f>
        <v>1</v>
      </c>
      <c r="D227" s="68">
        <f t="shared" si="46"/>
        <v>222.5</v>
      </c>
      <c r="E227" s="69">
        <f ca="1">IF('Invoer gegevens'!$C$16="","",E226+1)</f>
        <v>2241</v>
      </c>
      <c r="F227" s="84">
        <f ca="1">IF('Invoer gegevens'!$C$17=E227,'Invoer gegevens'!$C$10,IF(C227=1,K226,0))</f>
        <v>0</v>
      </c>
      <c r="G227" s="96">
        <f ca="1">IF(C227&gt;=1,F227*VLOOKUP(E227,Reeksen!$A$5:$B$76,2),0)</f>
        <v>0</v>
      </c>
      <c r="H227" s="84">
        <f ca="1">(1-('Invoer gegevens'!$F$20/12))*F227*MIN(Reeksen!B227,Reeksen!D227)</f>
        <v>0</v>
      </c>
      <c r="I227" s="84">
        <f>IF(Reeksen!D227&lt;Reeksen!B227,(Reeksen!B227-Reeksen!D227)*F227,0)</f>
        <v>0</v>
      </c>
      <c r="J227" s="84">
        <f ca="1">('Invoer gegevens'!$F$20/12)*F226*MIN(Reeksen!B226,Reeksen!D226)</f>
        <v>0</v>
      </c>
      <c r="K227" s="97">
        <f t="shared" ca="1" si="36"/>
        <v>0</v>
      </c>
      <c r="L227" s="84">
        <f ca="1">IF('Invoer gegevens'!$C$17=E227,0,IF(C227=1,Q226,0))</f>
        <v>0</v>
      </c>
      <c r="M227" s="96">
        <f ca="1">IF(C227&gt;=1,L227*VLOOKUP(E227,Reeksen!$A$5:$B$76,2),0)</f>
        <v>0</v>
      </c>
      <c r="N227" s="84">
        <f ca="1">(1-('Invoer gegevens'!$F$20/12))*L227*MIN(Reeksen!B227,Reeksen!D227)</f>
        <v>0</v>
      </c>
      <c r="O227" s="84">
        <f>IF(Reeksen!D227&lt;Reeksen!B227,(Reeksen!B227-Reeksen!D227)*L227,0)</f>
        <v>0</v>
      </c>
      <c r="P227" s="84">
        <f ca="1">('Invoer gegevens'!$F$20/12)*L226*MIN(Reeksen!B226,Reeksen!D226)</f>
        <v>0</v>
      </c>
      <c r="Q227" s="84">
        <f t="shared" ca="1" si="37"/>
        <v>0</v>
      </c>
      <c r="R227" s="82">
        <f ca="1">IF('Invoer gegevens'!$C$17=E227,'Invoer gegevens'!$C$11,IF(C227=1,W226,0))</f>
        <v>0</v>
      </c>
      <c r="S227" s="86">
        <f ca="1">IF(C227&gt;=1,R227*VLOOKUP(E227,Reeksen!$A$5:$B$76,2),0)</f>
        <v>0</v>
      </c>
      <c r="T227" s="84">
        <f ca="1">(1-('Invoer gegevens'!$F$20/12))*R227*MIN(Reeksen!B227,Reeksen!D227)</f>
        <v>0</v>
      </c>
      <c r="U227" s="84">
        <f>IF(Reeksen!D227&gt;=Reeksen!B227,0,IF(Reeksen!AD227&lt;=Reeksen!AE227,(Reeksen!B227-Reeksen!D227)*R227,0))</f>
        <v>0</v>
      </c>
      <c r="V227" s="86">
        <f>IF(Reeksen!D227&gt;=Reeksen!B227,0,IF(Reeksen!AD227&gt;Reeksen!AE227,(Reeksen!B227-Reeksen!D227)*R227,0))</f>
        <v>0</v>
      </c>
      <c r="W227" s="97">
        <f t="shared" ca="1" si="38"/>
        <v>0</v>
      </c>
      <c r="X227" s="98">
        <f ca="1">IF('Invoer gegevens'!$C$17=E227,'Invoer gegevens'!$C$10-'Invoer gegevens'!$C$11,IF(C227=1,AC226,0))</f>
        <v>0</v>
      </c>
      <c r="Y227" s="98">
        <f ca="1">IF(C227&gt;=1,X227*VLOOKUP(E227,Reeksen!$A$5:$B$76,2),0)</f>
        <v>0</v>
      </c>
      <c r="Z227" s="98">
        <f ca="1">(1-('Invoer gegevens'!$F$20/12))*X227*MIN(Reeksen!B227,Reeksen!D227)</f>
        <v>0</v>
      </c>
      <c r="AA227" s="98">
        <f>IF(Reeksen!D227&gt;=Reeksen!B227,0,IF(Reeksen!AD227&lt;=Reeksen!AE227,(Reeksen!B227-Reeksen!D227)*X227,0))</f>
        <v>0</v>
      </c>
      <c r="AB227" s="98">
        <f>IF(Reeksen!D227&gt;=Reeksen!B227,0,IF(Reeksen!AD227&gt;Reeksen!AE227,(Reeksen!B227-Reeksen!D227)*X227,0))</f>
        <v>0</v>
      </c>
      <c r="AC227" s="99">
        <f t="shared" ca="1" si="39"/>
        <v>0</v>
      </c>
      <c r="AD227" s="98">
        <f ca="1">IF('Invoer gegevens'!$C$17=E227,R227,IF(C227=0,0,AE226))</f>
        <v>0</v>
      </c>
      <c r="AE227" s="98">
        <f t="shared" ca="1" si="40"/>
        <v>0</v>
      </c>
      <c r="AF227" s="98">
        <f ca="1">IF('Invoer gegevens'!$C$17=E227,X227,IF(C227=0,0,AG226))</f>
        <v>0</v>
      </c>
      <c r="AG227" s="98">
        <f t="shared" ca="1" si="41"/>
        <v>0</v>
      </c>
      <c r="AH227" s="66"/>
      <c r="AI227" s="71">
        <f ca="1">IF(C227=1,Reeksen!AI227*((F227-G227+F227)/2)*12+Reeksen!AD227*((L227-M227+L227)/2)*12,0)</f>
        <v>0</v>
      </c>
      <c r="AJ227" s="71">
        <f ca="1">-AI227*'Invoer gegevens'!$F$28</f>
        <v>0</v>
      </c>
      <c r="AK227" s="71">
        <f t="shared" ca="1" si="42"/>
        <v>0</v>
      </c>
      <c r="AL227" s="71">
        <f ca="1">IF(C227=1,Reeksen!AL227*((F227-G227+F227)/2)*12+Reeksen!AM227*((L227-M227+L227)/2)*12,0)</f>
        <v>0</v>
      </c>
      <c r="AM227" s="71">
        <f ca="1">-AL227*'Invoer gegevens'!$F$31</f>
        <v>0</v>
      </c>
      <c r="AN227" s="71">
        <f t="shared" ca="1" si="43"/>
        <v>0</v>
      </c>
      <c r="AO227" s="71">
        <f ca="1">IF(C227=1,(H227+J227+N227+P227)*Reeksen!AN227,0)</f>
        <v>0</v>
      </c>
      <c r="AP227" s="71">
        <f ca="1">-IF(C227=1,(H227+J227+N227+P227)*'Hulp - basis'!$G$550*Reeksen!H227,0)</f>
        <v>0</v>
      </c>
      <c r="AQ227" s="71">
        <f ca="1">-IF(C227=1,(F227+K227+L227+Q227)/2*'Invoer gegevens'!$F$35*Reeksen!J227,0)*2</f>
        <v>0</v>
      </c>
      <c r="AR227" s="71"/>
      <c r="AS227" s="71">
        <f ca="1">-IF(C227=1,(F227+K227+L227+Q227)/2*'Invoer gegevens'!$F$37*Reeksen!L227,0)</f>
        <v>0</v>
      </c>
      <c r="AT227" s="71">
        <f ca="1">-IF(C227=1,IF(E227='Invoer gegevens'!$C$17,'Invoer gegevens'!$C$11,AD227)*Reeksen!S227*'Invoer gegevens'!$C$18*Reeksen!P227,0)</f>
        <v>0</v>
      </c>
      <c r="AU227" s="71">
        <f ca="1">-IF(C227=1,(F227+K227+L227+Q227)/2*'Invoer gegevens'!$F$38*Reeksen!H227,0)</f>
        <v>0</v>
      </c>
      <c r="AV227" s="71">
        <f t="shared" si="47"/>
        <v>0</v>
      </c>
      <c r="AW227" s="71">
        <f t="shared" ca="1" si="44"/>
        <v>0</v>
      </c>
      <c r="AX227" s="71">
        <f ca="1">IF(E227&lt;'Invoer gegevens'!$C$17+15,0,IF(E227&gt;'Invoer gegevens'!$C$17+215,0,AW227))</f>
        <v>0</v>
      </c>
      <c r="AY227" s="71">
        <f ca="1">AX227/(1+'Invoer gegevens'!$F$18)^($AZ227-('Invoer gegevens'!$C$17-'Invoer gegevens'!$C$16))/(1+'Invoer gegevens'!$C$39)^('Invoer gegevens'!$C$17-'Invoer gegevens'!$C$16)</f>
        <v>0</v>
      </c>
      <c r="AZ227" s="68">
        <f ca="1">IF(E227-'Invoer gegevens'!$C$17-14.5&lt;0,0,E227-'Invoer gegevens'!$C$17-14.5)</f>
        <v>207.5</v>
      </c>
    </row>
    <row r="228" spans="1:52" x14ac:dyDescent="0.25">
      <c r="A228" s="59"/>
      <c r="B228" s="70">
        <f t="shared" si="45"/>
        <v>224</v>
      </c>
      <c r="C228" s="67">
        <f ca="1">IF(E228-'Invoer gegevens'!$C$17&lt;0,0,1)</f>
        <v>1</v>
      </c>
      <c r="D228" s="68">
        <f t="shared" si="46"/>
        <v>223.5</v>
      </c>
      <c r="E228" s="69">
        <f ca="1">IF('Invoer gegevens'!$C$16="","",E227+1)</f>
        <v>2242</v>
      </c>
      <c r="F228" s="84">
        <f ca="1">IF('Invoer gegevens'!$C$17=E228,'Invoer gegevens'!$C$10,IF(C228=1,K227,0))</f>
        <v>0</v>
      </c>
      <c r="G228" s="96">
        <f ca="1">IF(C228&gt;=1,F228*VLOOKUP(E228,Reeksen!$A$5:$B$76,2),0)</f>
        <v>0</v>
      </c>
      <c r="H228" s="84">
        <f ca="1">(1-('Invoer gegevens'!$F$20/12))*F228*MIN(Reeksen!B228,Reeksen!D228)</f>
        <v>0</v>
      </c>
      <c r="I228" s="84">
        <f>IF(Reeksen!D228&lt;Reeksen!B228,(Reeksen!B228-Reeksen!D228)*F228,0)</f>
        <v>0</v>
      </c>
      <c r="J228" s="84">
        <f ca="1">('Invoer gegevens'!$F$20/12)*F227*MIN(Reeksen!B227,Reeksen!D227)</f>
        <v>0</v>
      </c>
      <c r="K228" s="97">
        <f t="shared" ca="1" si="36"/>
        <v>0</v>
      </c>
      <c r="L228" s="84">
        <f ca="1">IF('Invoer gegevens'!$C$17=E228,0,IF(C228=1,Q227,0))</f>
        <v>0</v>
      </c>
      <c r="M228" s="96">
        <f ca="1">IF(C228&gt;=1,L228*VLOOKUP(E228,Reeksen!$A$5:$B$76,2),0)</f>
        <v>0</v>
      </c>
      <c r="N228" s="84">
        <f ca="1">(1-('Invoer gegevens'!$F$20/12))*L228*MIN(Reeksen!B228,Reeksen!D228)</f>
        <v>0</v>
      </c>
      <c r="O228" s="84">
        <f>IF(Reeksen!D228&lt;Reeksen!B228,(Reeksen!B228-Reeksen!D228)*L228,0)</f>
        <v>0</v>
      </c>
      <c r="P228" s="84">
        <f ca="1">('Invoer gegevens'!$F$20/12)*L227*MIN(Reeksen!B227,Reeksen!D227)</f>
        <v>0</v>
      </c>
      <c r="Q228" s="84">
        <f t="shared" ca="1" si="37"/>
        <v>0</v>
      </c>
      <c r="R228" s="82">
        <f ca="1">IF('Invoer gegevens'!$C$17=E228,'Invoer gegevens'!$C$11,IF(C228=1,W227,0))</f>
        <v>0</v>
      </c>
      <c r="S228" s="86">
        <f ca="1">IF(C228&gt;=1,R228*VLOOKUP(E228,Reeksen!$A$5:$B$76,2),0)</f>
        <v>0</v>
      </c>
      <c r="T228" s="84">
        <f ca="1">(1-('Invoer gegevens'!$F$20/12))*R228*MIN(Reeksen!B228,Reeksen!D228)</f>
        <v>0</v>
      </c>
      <c r="U228" s="84">
        <f>IF(Reeksen!D228&gt;=Reeksen!B228,0,IF(Reeksen!AD228&lt;=Reeksen!AE228,(Reeksen!B228-Reeksen!D228)*R228,0))</f>
        <v>0</v>
      </c>
      <c r="V228" s="86">
        <f>IF(Reeksen!D228&gt;=Reeksen!B228,0,IF(Reeksen!AD228&gt;Reeksen!AE228,(Reeksen!B228-Reeksen!D228)*R228,0))</f>
        <v>0</v>
      </c>
      <c r="W228" s="97">
        <f t="shared" ca="1" si="38"/>
        <v>0</v>
      </c>
      <c r="X228" s="98">
        <f ca="1">IF('Invoer gegevens'!$C$17=E228,'Invoer gegevens'!$C$10-'Invoer gegevens'!$C$11,IF(C228=1,AC227,0))</f>
        <v>0</v>
      </c>
      <c r="Y228" s="98">
        <f ca="1">IF(C228&gt;=1,X228*VLOOKUP(E228,Reeksen!$A$5:$B$76,2),0)</f>
        <v>0</v>
      </c>
      <c r="Z228" s="98">
        <f ca="1">(1-('Invoer gegevens'!$F$20/12))*X228*MIN(Reeksen!B228,Reeksen!D228)</f>
        <v>0</v>
      </c>
      <c r="AA228" s="98">
        <f>IF(Reeksen!D228&gt;=Reeksen!B228,0,IF(Reeksen!AD228&lt;=Reeksen!AE228,(Reeksen!B228-Reeksen!D228)*X228,0))</f>
        <v>0</v>
      </c>
      <c r="AB228" s="98">
        <f>IF(Reeksen!D228&gt;=Reeksen!B228,0,IF(Reeksen!AD228&gt;Reeksen!AE228,(Reeksen!B228-Reeksen!D228)*X228,0))</f>
        <v>0</v>
      </c>
      <c r="AC228" s="99">
        <f t="shared" ca="1" si="39"/>
        <v>0</v>
      </c>
      <c r="AD228" s="98">
        <f ca="1">IF('Invoer gegevens'!$C$17=E228,R228,IF(C228=0,0,AE227))</f>
        <v>0</v>
      </c>
      <c r="AE228" s="98">
        <f t="shared" ca="1" si="40"/>
        <v>0</v>
      </c>
      <c r="AF228" s="98">
        <f ca="1">IF('Invoer gegevens'!$C$17=E228,X228,IF(C228=0,0,AG227))</f>
        <v>0</v>
      </c>
      <c r="AG228" s="98">
        <f t="shared" ca="1" si="41"/>
        <v>0</v>
      </c>
      <c r="AH228" s="66"/>
      <c r="AI228" s="71">
        <f ca="1">IF(C228=1,Reeksen!AI228*((F228-G228+F228)/2)*12+Reeksen!AD228*((L228-M228+L228)/2)*12,0)</f>
        <v>0</v>
      </c>
      <c r="AJ228" s="71">
        <f ca="1">-AI228*'Invoer gegevens'!$F$28</f>
        <v>0</v>
      </c>
      <c r="AK228" s="71">
        <f t="shared" ca="1" si="42"/>
        <v>0</v>
      </c>
      <c r="AL228" s="71">
        <f ca="1">IF(C228=1,Reeksen!AL228*((F228-G228+F228)/2)*12+Reeksen!AM228*((L228-M228+L228)/2)*12,0)</f>
        <v>0</v>
      </c>
      <c r="AM228" s="71">
        <f ca="1">-AL228*'Invoer gegevens'!$F$31</f>
        <v>0</v>
      </c>
      <c r="AN228" s="71">
        <f t="shared" ca="1" si="43"/>
        <v>0</v>
      </c>
      <c r="AO228" s="71">
        <f ca="1">IF(C228=1,(H228+J228+N228+P228)*Reeksen!AN228,0)</f>
        <v>0</v>
      </c>
      <c r="AP228" s="71">
        <f ca="1">-IF(C228=1,(H228+J228+N228+P228)*'Hulp - basis'!$G$550*Reeksen!H228,0)</f>
        <v>0</v>
      </c>
      <c r="AQ228" s="71">
        <f ca="1">-IF(C228=1,(F228+K228+L228+Q228)/2*'Invoer gegevens'!$F$35*Reeksen!J228,0)*2</f>
        <v>0</v>
      </c>
      <c r="AR228" s="71"/>
      <c r="AS228" s="71">
        <f ca="1">-IF(C228=1,(F228+K228+L228+Q228)/2*'Invoer gegevens'!$F$37*Reeksen!L228,0)</f>
        <v>0</v>
      </c>
      <c r="AT228" s="71">
        <f ca="1">-IF(C228=1,IF(E228='Invoer gegevens'!$C$17,'Invoer gegevens'!$C$11,AD228)*Reeksen!S228*'Invoer gegevens'!$C$18*Reeksen!P228,0)</f>
        <v>0</v>
      </c>
      <c r="AU228" s="71">
        <f ca="1">-IF(C228=1,(F228+K228+L228+Q228)/2*'Invoer gegevens'!$F$38*Reeksen!H228,0)</f>
        <v>0</v>
      </c>
      <c r="AV228" s="71">
        <f t="shared" si="47"/>
        <v>0</v>
      </c>
      <c r="AW228" s="71">
        <f t="shared" ca="1" si="44"/>
        <v>0</v>
      </c>
      <c r="AX228" s="71">
        <f ca="1">IF(E228&lt;'Invoer gegevens'!$C$17+15,0,IF(E228&gt;'Invoer gegevens'!$C$17+215,0,AW228))</f>
        <v>0</v>
      </c>
      <c r="AY228" s="71">
        <f ca="1">AX228/(1+'Invoer gegevens'!$F$18)^($AZ228-('Invoer gegevens'!$C$17-'Invoer gegevens'!$C$16))/(1+'Invoer gegevens'!$C$39)^('Invoer gegevens'!$C$17-'Invoer gegevens'!$C$16)</f>
        <v>0</v>
      </c>
      <c r="AZ228" s="68">
        <f ca="1">IF(E228-'Invoer gegevens'!$C$17-14.5&lt;0,0,E228-'Invoer gegevens'!$C$17-14.5)</f>
        <v>208.5</v>
      </c>
    </row>
    <row r="229" spans="1:52" x14ac:dyDescent="0.25">
      <c r="A229" s="59"/>
      <c r="B229" s="70">
        <f t="shared" si="45"/>
        <v>225</v>
      </c>
      <c r="C229" s="67">
        <f ca="1">IF(E229-'Invoer gegevens'!$C$17&lt;0,0,1)</f>
        <v>1</v>
      </c>
      <c r="D229" s="68">
        <f t="shared" si="46"/>
        <v>224.5</v>
      </c>
      <c r="E229" s="69">
        <f ca="1">IF('Invoer gegevens'!$C$16="","",E228+1)</f>
        <v>2243</v>
      </c>
      <c r="F229" s="84">
        <f ca="1">IF('Invoer gegevens'!$C$17=E229,'Invoer gegevens'!$C$10,IF(C229=1,K228,0))</f>
        <v>0</v>
      </c>
      <c r="G229" s="96">
        <f ca="1">IF(C229&gt;=1,F229*VLOOKUP(E229,Reeksen!$A$5:$B$76,2),0)</f>
        <v>0</v>
      </c>
      <c r="H229" s="84">
        <f ca="1">(1-('Invoer gegevens'!$F$20/12))*F229*MIN(Reeksen!B229,Reeksen!D229)</f>
        <v>0</v>
      </c>
      <c r="I229" s="84">
        <f>IF(Reeksen!D229&lt;Reeksen!B229,(Reeksen!B229-Reeksen!D229)*F229,0)</f>
        <v>0</v>
      </c>
      <c r="J229" s="84">
        <f ca="1">('Invoer gegevens'!$F$20/12)*F228*MIN(Reeksen!B228,Reeksen!D228)</f>
        <v>0</v>
      </c>
      <c r="K229" s="97">
        <f t="shared" ca="1" si="36"/>
        <v>0</v>
      </c>
      <c r="L229" s="84">
        <f ca="1">IF('Invoer gegevens'!$C$17=E229,0,IF(C229=1,Q228,0))</f>
        <v>0</v>
      </c>
      <c r="M229" s="96">
        <f ca="1">IF(C229&gt;=1,L229*VLOOKUP(E229,Reeksen!$A$5:$B$76,2),0)</f>
        <v>0</v>
      </c>
      <c r="N229" s="84">
        <f ca="1">(1-('Invoer gegevens'!$F$20/12))*L229*MIN(Reeksen!B229,Reeksen!D229)</f>
        <v>0</v>
      </c>
      <c r="O229" s="84">
        <f>IF(Reeksen!D229&lt;Reeksen!B229,(Reeksen!B229-Reeksen!D229)*L229,0)</f>
        <v>0</v>
      </c>
      <c r="P229" s="84">
        <f ca="1">('Invoer gegevens'!$F$20/12)*L228*MIN(Reeksen!B228,Reeksen!D228)</f>
        <v>0</v>
      </c>
      <c r="Q229" s="84">
        <f t="shared" ca="1" si="37"/>
        <v>0</v>
      </c>
      <c r="R229" s="82">
        <f ca="1">IF('Invoer gegevens'!$C$17=E229,'Invoer gegevens'!$C$11,IF(C229=1,W228,0))</f>
        <v>0</v>
      </c>
      <c r="S229" s="86">
        <f ca="1">IF(C229&gt;=1,R229*VLOOKUP(E229,Reeksen!$A$5:$B$76,2),0)</f>
        <v>0</v>
      </c>
      <c r="T229" s="84">
        <f ca="1">(1-('Invoer gegevens'!$F$20/12))*R229*MIN(Reeksen!B229,Reeksen!D229)</f>
        <v>0</v>
      </c>
      <c r="U229" s="84">
        <f>IF(Reeksen!D229&gt;=Reeksen!B229,0,IF(Reeksen!AD229&lt;=Reeksen!AE229,(Reeksen!B229-Reeksen!D229)*R229,0))</f>
        <v>0</v>
      </c>
      <c r="V229" s="86">
        <f>IF(Reeksen!D229&gt;=Reeksen!B229,0,IF(Reeksen!AD229&gt;Reeksen!AE229,(Reeksen!B229-Reeksen!D229)*R229,0))</f>
        <v>0</v>
      </c>
      <c r="W229" s="97">
        <f t="shared" ca="1" si="38"/>
        <v>0</v>
      </c>
      <c r="X229" s="98">
        <f ca="1">IF('Invoer gegevens'!$C$17=E229,'Invoer gegevens'!$C$10-'Invoer gegevens'!$C$11,IF(C229=1,AC228,0))</f>
        <v>0</v>
      </c>
      <c r="Y229" s="98">
        <f ca="1">IF(C229&gt;=1,X229*VLOOKUP(E229,Reeksen!$A$5:$B$76,2),0)</f>
        <v>0</v>
      </c>
      <c r="Z229" s="98">
        <f ca="1">(1-('Invoer gegevens'!$F$20/12))*X229*MIN(Reeksen!B229,Reeksen!D229)</f>
        <v>0</v>
      </c>
      <c r="AA229" s="98">
        <f>IF(Reeksen!D229&gt;=Reeksen!B229,0,IF(Reeksen!AD229&lt;=Reeksen!AE229,(Reeksen!B229-Reeksen!D229)*X229,0))</f>
        <v>0</v>
      </c>
      <c r="AB229" s="98">
        <f>IF(Reeksen!D229&gt;=Reeksen!B229,0,IF(Reeksen!AD229&gt;Reeksen!AE229,(Reeksen!B229-Reeksen!D229)*X229,0))</f>
        <v>0</v>
      </c>
      <c r="AC229" s="99">
        <f t="shared" ca="1" si="39"/>
        <v>0</v>
      </c>
      <c r="AD229" s="98">
        <f ca="1">IF('Invoer gegevens'!$C$17=E229,R229,IF(C229=0,0,AE228))</f>
        <v>0</v>
      </c>
      <c r="AE229" s="98">
        <f t="shared" ca="1" si="40"/>
        <v>0</v>
      </c>
      <c r="AF229" s="98">
        <f ca="1">IF('Invoer gegevens'!$C$17=E229,X229,IF(C229=0,0,AG228))</f>
        <v>0</v>
      </c>
      <c r="AG229" s="98">
        <f t="shared" ca="1" si="41"/>
        <v>0</v>
      </c>
      <c r="AH229" s="66"/>
      <c r="AI229" s="71">
        <f ca="1">IF(C229=1,Reeksen!AI229*((F229-G229+F229)/2)*12+Reeksen!AD229*((L229-M229+L229)/2)*12,0)</f>
        <v>0</v>
      </c>
      <c r="AJ229" s="71">
        <f ca="1">-AI229*'Invoer gegevens'!$F$28</f>
        <v>0</v>
      </c>
      <c r="AK229" s="71">
        <f t="shared" ca="1" si="42"/>
        <v>0</v>
      </c>
      <c r="AL229" s="71">
        <f ca="1">IF(C229=1,Reeksen!AL229*((F229-G229+F229)/2)*12+Reeksen!AM229*((L229-M229+L229)/2)*12,0)</f>
        <v>0</v>
      </c>
      <c r="AM229" s="71">
        <f ca="1">-AL229*'Invoer gegevens'!$F$31</f>
        <v>0</v>
      </c>
      <c r="AN229" s="71">
        <f t="shared" ca="1" si="43"/>
        <v>0</v>
      </c>
      <c r="AO229" s="71">
        <f ca="1">IF(C229=1,(H229+J229+N229+P229)*Reeksen!AN229,0)</f>
        <v>0</v>
      </c>
      <c r="AP229" s="71">
        <f ca="1">-IF(C229=1,(H229+J229+N229+P229)*'Hulp - basis'!$G$550*Reeksen!H229,0)</f>
        <v>0</v>
      </c>
      <c r="AQ229" s="71">
        <f ca="1">-IF(C229=1,(F229+K229+L229+Q229)/2*'Invoer gegevens'!$F$35*Reeksen!J229,0)*2</f>
        <v>0</v>
      </c>
      <c r="AR229" s="71"/>
      <c r="AS229" s="71">
        <f ca="1">-IF(C229=1,(F229+K229+L229+Q229)/2*'Invoer gegevens'!$F$37*Reeksen!L229,0)</f>
        <v>0</v>
      </c>
      <c r="AT229" s="71">
        <f ca="1">-IF(C229=1,IF(E229='Invoer gegevens'!$C$17,'Invoer gegevens'!$C$11,AD229)*Reeksen!S229*'Invoer gegevens'!$C$18*Reeksen!P229,0)</f>
        <v>0</v>
      </c>
      <c r="AU229" s="71">
        <f ca="1">-IF(C229=1,(F229+K229+L229+Q229)/2*'Invoer gegevens'!$F$38*Reeksen!H229,0)</f>
        <v>0</v>
      </c>
      <c r="AV229" s="71">
        <f t="shared" si="47"/>
        <v>0</v>
      </c>
      <c r="AW229" s="71">
        <f t="shared" ca="1" si="44"/>
        <v>0</v>
      </c>
      <c r="AX229" s="71">
        <f ca="1">IF(E229&lt;'Invoer gegevens'!$C$17+15,0,IF(E229&gt;'Invoer gegevens'!$C$17+215,0,AW229))</f>
        <v>0</v>
      </c>
      <c r="AY229" s="71">
        <f ca="1">AX229/(1+'Invoer gegevens'!$F$18)^($AZ229-('Invoer gegevens'!$C$17-'Invoer gegevens'!$C$16))/(1+'Invoer gegevens'!$C$39)^('Invoer gegevens'!$C$17-'Invoer gegevens'!$C$16)</f>
        <v>0</v>
      </c>
      <c r="AZ229" s="68">
        <f ca="1">IF(E229-'Invoer gegevens'!$C$17-14.5&lt;0,0,E229-'Invoer gegevens'!$C$17-14.5)</f>
        <v>209.5</v>
      </c>
    </row>
    <row r="230" spans="1:52" x14ac:dyDescent="0.25">
      <c r="A230" s="59"/>
      <c r="B230" s="70">
        <f t="shared" si="45"/>
        <v>226</v>
      </c>
      <c r="C230" s="67">
        <f ca="1">IF(E230-'Invoer gegevens'!$C$17&lt;0,0,1)</f>
        <v>1</v>
      </c>
      <c r="D230" s="68">
        <f t="shared" si="46"/>
        <v>225.5</v>
      </c>
      <c r="E230" s="69">
        <f ca="1">IF('Invoer gegevens'!$C$16="","",E229+1)</f>
        <v>2244</v>
      </c>
      <c r="F230" s="84">
        <f ca="1">IF('Invoer gegevens'!$C$17=E230,'Invoer gegevens'!$C$10,IF(C230=1,K229,0))</f>
        <v>0</v>
      </c>
      <c r="G230" s="96">
        <f ca="1">IF(C230&gt;=1,F230*VLOOKUP(E230,Reeksen!$A$5:$B$76,2),0)</f>
        <v>0</v>
      </c>
      <c r="H230" s="84">
        <f ca="1">(1-('Invoer gegevens'!$F$20/12))*F230*MIN(Reeksen!B230,Reeksen!D230)</f>
        <v>0</v>
      </c>
      <c r="I230" s="84">
        <f>IF(Reeksen!D230&lt;Reeksen!B230,(Reeksen!B230-Reeksen!D230)*F230,0)</f>
        <v>0</v>
      </c>
      <c r="J230" s="84">
        <f ca="1">('Invoer gegevens'!$F$20/12)*F229*MIN(Reeksen!B229,Reeksen!D229)</f>
        <v>0</v>
      </c>
      <c r="K230" s="97">
        <f t="shared" ca="1" si="36"/>
        <v>0</v>
      </c>
      <c r="L230" s="84">
        <f ca="1">IF('Invoer gegevens'!$C$17=E230,0,IF(C230=1,Q229,0))</f>
        <v>0</v>
      </c>
      <c r="M230" s="96">
        <f ca="1">IF(C230&gt;=1,L230*VLOOKUP(E230,Reeksen!$A$5:$B$76,2),0)</f>
        <v>0</v>
      </c>
      <c r="N230" s="84">
        <f ca="1">(1-('Invoer gegevens'!$F$20/12))*L230*MIN(Reeksen!B230,Reeksen!D230)</f>
        <v>0</v>
      </c>
      <c r="O230" s="84">
        <f>IF(Reeksen!D230&lt;Reeksen!B230,(Reeksen!B230-Reeksen!D230)*L230,0)</f>
        <v>0</v>
      </c>
      <c r="P230" s="84">
        <f ca="1">('Invoer gegevens'!$F$20/12)*L229*MIN(Reeksen!B229,Reeksen!D229)</f>
        <v>0</v>
      </c>
      <c r="Q230" s="84">
        <f t="shared" ca="1" si="37"/>
        <v>0</v>
      </c>
      <c r="R230" s="82">
        <f ca="1">IF('Invoer gegevens'!$C$17=E230,'Invoer gegevens'!$C$11,IF(C230=1,W229,0))</f>
        <v>0</v>
      </c>
      <c r="S230" s="86">
        <f ca="1">IF(C230&gt;=1,R230*VLOOKUP(E230,Reeksen!$A$5:$B$76,2),0)</f>
        <v>0</v>
      </c>
      <c r="T230" s="84">
        <f ca="1">(1-('Invoer gegevens'!$F$20/12))*R230*MIN(Reeksen!B230,Reeksen!D230)</f>
        <v>0</v>
      </c>
      <c r="U230" s="84">
        <f>IF(Reeksen!D230&gt;=Reeksen!B230,0,IF(Reeksen!AD230&lt;=Reeksen!AE230,(Reeksen!B230-Reeksen!D230)*R230,0))</f>
        <v>0</v>
      </c>
      <c r="V230" s="86">
        <f>IF(Reeksen!D230&gt;=Reeksen!B230,0,IF(Reeksen!AD230&gt;Reeksen!AE230,(Reeksen!B230-Reeksen!D230)*R230,0))</f>
        <v>0</v>
      </c>
      <c r="W230" s="97">
        <f t="shared" ca="1" si="38"/>
        <v>0</v>
      </c>
      <c r="X230" s="98">
        <f ca="1">IF('Invoer gegevens'!$C$17=E230,'Invoer gegevens'!$C$10-'Invoer gegevens'!$C$11,IF(C230=1,AC229,0))</f>
        <v>0</v>
      </c>
      <c r="Y230" s="98">
        <f ca="1">IF(C230&gt;=1,X230*VLOOKUP(E230,Reeksen!$A$5:$B$76,2),0)</f>
        <v>0</v>
      </c>
      <c r="Z230" s="98">
        <f ca="1">(1-('Invoer gegevens'!$F$20/12))*X230*MIN(Reeksen!B230,Reeksen!D230)</f>
        <v>0</v>
      </c>
      <c r="AA230" s="98">
        <f>IF(Reeksen!D230&gt;=Reeksen!B230,0,IF(Reeksen!AD230&lt;=Reeksen!AE230,(Reeksen!B230-Reeksen!D230)*X230,0))</f>
        <v>0</v>
      </c>
      <c r="AB230" s="98">
        <f>IF(Reeksen!D230&gt;=Reeksen!B230,0,IF(Reeksen!AD230&gt;Reeksen!AE230,(Reeksen!B230-Reeksen!D230)*X230,0))</f>
        <v>0</v>
      </c>
      <c r="AC230" s="99">
        <f t="shared" ca="1" si="39"/>
        <v>0</v>
      </c>
      <c r="AD230" s="98">
        <f ca="1">IF('Invoer gegevens'!$C$17=E230,R230,IF(C230=0,0,AE229))</f>
        <v>0</v>
      </c>
      <c r="AE230" s="98">
        <f t="shared" ca="1" si="40"/>
        <v>0</v>
      </c>
      <c r="AF230" s="98">
        <f ca="1">IF('Invoer gegevens'!$C$17=E230,X230,IF(C230=0,0,AG229))</f>
        <v>0</v>
      </c>
      <c r="AG230" s="98">
        <f t="shared" ca="1" si="41"/>
        <v>0</v>
      </c>
      <c r="AH230" s="66"/>
      <c r="AI230" s="71">
        <f ca="1">IF(C230=1,Reeksen!AI230*((F230-G230+F230)/2)*12+Reeksen!AD230*((L230-M230+L230)/2)*12,0)</f>
        <v>0</v>
      </c>
      <c r="AJ230" s="71">
        <f ca="1">-AI230*'Invoer gegevens'!$F$28</f>
        <v>0</v>
      </c>
      <c r="AK230" s="71">
        <f t="shared" ca="1" si="42"/>
        <v>0</v>
      </c>
      <c r="AL230" s="71">
        <f ca="1">IF(C230=1,Reeksen!AL230*((F230-G230+F230)/2)*12+Reeksen!AM230*((L230-M230+L230)/2)*12,0)</f>
        <v>0</v>
      </c>
      <c r="AM230" s="71">
        <f ca="1">-AL230*'Invoer gegevens'!$F$31</f>
        <v>0</v>
      </c>
      <c r="AN230" s="71">
        <f t="shared" ca="1" si="43"/>
        <v>0</v>
      </c>
      <c r="AO230" s="71">
        <f ca="1">IF(C230=1,(H230+J230+N230+P230)*Reeksen!AN230,0)</f>
        <v>0</v>
      </c>
      <c r="AP230" s="71">
        <f ca="1">-IF(C230=1,(H230+J230+N230+P230)*'Hulp - basis'!$G$550*Reeksen!H230,0)</f>
        <v>0</v>
      </c>
      <c r="AQ230" s="71">
        <f ca="1">-IF(C230=1,(F230+K230+L230+Q230)/2*'Invoer gegevens'!$F$35*Reeksen!J230,0)*2</f>
        <v>0</v>
      </c>
      <c r="AR230" s="71"/>
      <c r="AS230" s="71">
        <f ca="1">-IF(C230=1,(F230+K230+L230+Q230)/2*'Invoer gegevens'!$F$37*Reeksen!L230,0)</f>
        <v>0</v>
      </c>
      <c r="AT230" s="71">
        <f ca="1">-IF(C230=1,IF(E230='Invoer gegevens'!$C$17,'Invoer gegevens'!$C$11,AD230)*Reeksen!S230*'Invoer gegevens'!$C$18*Reeksen!P230,0)</f>
        <v>0</v>
      </c>
      <c r="AU230" s="71">
        <f ca="1">-IF(C230=1,(F230+K230+L230+Q230)/2*'Invoer gegevens'!$F$38*Reeksen!H230,0)</f>
        <v>0</v>
      </c>
      <c r="AV230" s="71">
        <f t="shared" si="47"/>
        <v>0</v>
      </c>
      <c r="AW230" s="71">
        <f t="shared" ca="1" si="44"/>
        <v>0</v>
      </c>
      <c r="AX230" s="71">
        <f ca="1">IF(E230&lt;'Invoer gegevens'!$C$17+15,0,IF(E230&gt;'Invoer gegevens'!$C$17+215,0,AW230))</f>
        <v>0</v>
      </c>
      <c r="AY230" s="71">
        <f ca="1">AX230/(1+'Invoer gegevens'!$F$18)^($AZ230-('Invoer gegevens'!$C$17-'Invoer gegevens'!$C$16))/(1+'Invoer gegevens'!$C$39)^('Invoer gegevens'!$C$17-'Invoer gegevens'!$C$16)</f>
        <v>0</v>
      </c>
      <c r="AZ230" s="68">
        <f ca="1">IF(E230-'Invoer gegevens'!$C$17-14.5&lt;0,0,E230-'Invoer gegevens'!$C$17-14.5)</f>
        <v>210.5</v>
      </c>
    </row>
    <row r="231" spans="1:52" x14ac:dyDescent="0.25">
      <c r="A231" s="59"/>
      <c r="B231" s="70">
        <f t="shared" si="45"/>
        <v>227</v>
      </c>
      <c r="C231" s="67">
        <f ca="1">IF(E231-'Invoer gegevens'!$C$17&lt;0,0,1)</f>
        <v>1</v>
      </c>
      <c r="D231" s="68">
        <f t="shared" si="46"/>
        <v>226.5</v>
      </c>
      <c r="E231" s="69">
        <f ca="1">IF('Invoer gegevens'!$C$16="","",E230+1)</f>
        <v>2245</v>
      </c>
      <c r="F231" s="84">
        <f ca="1">IF('Invoer gegevens'!$C$17=E231,'Invoer gegevens'!$C$10,IF(C231=1,K230,0))</f>
        <v>0</v>
      </c>
      <c r="G231" s="96">
        <f ca="1">IF(C231&gt;=1,F231*VLOOKUP(E231,Reeksen!$A$5:$B$76,2),0)</f>
        <v>0</v>
      </c>
      <c r="H231" s="84">
        <f ca="1">(1-('Invoer gegevens'!$F$20/12))*F231*MIN(Reeksen!B231,Reeksen!D231)</f>
        <v>0</v>
      </c>
      <c r="I231" s="84">
        <f>IF(Reeksen!D231&lt;Reeksen!B231,(Reeksen!B231-Reeksen!D231)*F231,0)</f>
        <v>0</v>
      </c>
      <c r="J231" s="84">
        <f ca="1">('Invoer gegevens'!$F$20/12)*F230*MIN(Reeksen!B230,Reeksen!D230)</f>
        <v>0</v>
      </c>
      <c r="K231" s="97">
        <f t="shared" ca="1" si="36"/>
        <v>0</v>
      </c>
      <c r="L231" s="84">
        <f ca="1">IF('Invoer gegevens'!$C$17=E231,0,IF(C231=1,Q230,0))</f>
        <v>0</v>
      </c>
      <c r="M231" s="96">
        <f ca="1">IF(C231&gt;=1,L231*VLOOKUP(E231,Reeksen!$A$5:$B$76,2),0)</f>
        <v>0</v>
      </c>
      <c r="N231" s="84">
        <f ca="1">(1-('Invoer gegevens'!$F$20/12))*L231*MIN(Reeksen!B231,Reeksen!D231)</f>
        <v>0</v>
      </c>
      <c r="O231" s="84">
        <f>IF(Reeksen!D231&lt;Reeksen!B231,(Reeksen!B231-Reeksen!D231)*L231,0)</f>
        <v>0</v>
      </c>
      <c r="P231" s="84">
        <f ca="1">('Invoer gegevens'!$F$20/12)*L230*MIN(Reeksen!B230,Reeksen!D230)</f>
        <v>0</v>
      </c>
      <c r="Q231" s="84">
        <f t="shared" ca="1" si="37"/>
        <v>0</v>
      </c>
      <c r="R231" s="82">
        <f ca="1">IF('Invoer gegevens'!$C$17=E231,'Invoer gegevens'!$C$11,IF(C231=1,W230,0))</f>
        <v>0</v>
      </c>
      <c r="S231" s="86">
        <f ca="1">IF(C231&gt;=1,R231*VLOOKUP(E231,Reeksen!$A$5:$B$76,2),0)</f>
        <v>0</v>
      </c>
      <c r="T231" s="84">
        <f ca="1">(1-('Invoer gegevens'!$F$20/12))*R231*MIN(Reeksen!B231,Reeksen!D231)</f>
        <v>0</v>
      </c>
      <c r="U231" s="84">
        <f>IF(Reeksen!D231&gt;=Reeksen!B231,0,IF(Reeksen!AD231&lt;=Reeksen!AE231,(Reeksen!B231-Reeksen!D231)*R231,0))</f>
        <v>0</v>
      </c>
      <c r="V231" s="86">
        <f>IF(Reeksen!D231&gt;=Reeksen!B231,0,IF(Reeksen!AD231&gt;Reeksen!AE231,(Reeksen!B231-Reeksen!D231)*R231,0))</f>
        <v>0</v>
      </c>
      <c r="W231" s="97">
        <f t="shared" ca="1" si="38"/>
        <v>0</v>
      </c>
      <c r="X231" s="98">
        <f ca="1">IF('Invoer gegevens'!$C$17=E231,'Invoer gegevens'!$C$10-'Invoer gegevens'!$C$11,IF(C231=1,AC230,0))</f>
        <v>0</v>
      </c>
      <c r="Y231" s="98">
        <f ca="1">IF(C231&gt;=1,X231*VLOOKUP(E231,Reeksen!$A$5:$B$76,2),0)</f>
        <v>0</v>
      </c>
      <c r="Z231" s="98">
        <f ca="1">(1-('Invoer gegevens'!$F$20/12))*X231*MIN(Reeksen!B231,Reeksen!D231)</f>
        <v>0</v>
      </c>
      <c r="AA231" s="98">
        <f>IF(Reeksen!D231&gt;=Reeksen!B231,0,IF(Reeksen!AD231&lt;=Reeksen!AE231,(Reeksen!B231-Reeksen!D231)*X231,0))</f>
        <v>0</v>
      </c>
      <c r="AB231" s="98">
        <f>IF(Reeksen!D231&gt;=Reeksen!B231,0,IF(Reeksen!AD231&gt;Reeksen!AE231,(Reeksen!B231-Reeksen!D231)*X231,0))</f>
        <v>0</v>
      </c>
      <c r="AC231" s="99">
        <f t="shared" ca="1" si="39"/>
        <v>0</v>
      </c>
      <c r="AD231" s="98">
        <f ca="1">IF('Invoer gegevens'!$C$17=E231,R231,IF(C231=0,0,AE230))</f>
        <v>0</v>
      </c>
      <c r="AE231" s="98">
        <f t="shared" ca="1" si="40"/>
        <v>0</v>
      </c>
      <c r="AF231" s="98">
        <f ca="1">IF('Invoer gegevens'!$C$17=E231,X231,IF(C231=0,0,AG230))</f>
        <v>0</v>
      </c>
      <c r="AG231" s="98">
        <f t="shared" ca="1" si="41"/>
        <v>0</v>
      </c>
      <c r="AH231" s="66"/>
      <c r="AI231" s="71">
        <f ca="1">IF(C231=1,Reeksen!AI231*((F231-G231+F231)/2)*12+Reeksen!AD231*((L231-M231+L231)/2)*12,0)</f>
        <v>0</v>
      </c>
      <c r="AJ231" s="71">
        <f ca="1">-AI231*'Invoer gegevens'!$F$28</f>
        <v>0</v>
      </c>
      <c r="AK231" s="71">
        <f t="shared" ca="1" si="42"/>
        <v>0</v>
      </c>
      <c r="AL231" s="71">
        <f ca="1">IF(C231=1,Reeksen!AL231*((F231-G231+F231)/2)*12+Reeksen!AM231*((L231-M231+L231)/2)*12,0)</f>
        <v>0</v>
      </c>
      <c r="AM231" s="71">
        <f ca="1">-AL231*'Invoer gegevens'!$F$31</f>
        <v>0</v>
      </c>
      <c r="AN231" s="71">
        <f t="shared" ca="1" si="43"/>
        <v>0</v>
      </c>
      <c r="AO231" s="71">
        <f ca="1">IF(C231=1,(H231+J231+N231+P231)*Reeksen!AN231,0)</f>
        <v>0</v>
      </c>
      <c r="AP231" s="71">
        <f ca="1">-IF(C231=1,(H231+J231+N231+P231)*'Hulp - basis'!$G$550*Reeksen!H231,0)</f>
        <v>0</v>
      </c>
      <c r="AQ231" s="71">
        <f ca="1">-IF(C231=1,(F231+K231+L231+Q231)/2*'Invoer gegevens'!$F$35*Reeksen!J231,0)*2</f>
        <v>0</v>
      </c>
      <c r="AR231" s="71"/>
      <c r="AS231" s="71">
        <f ca="1">-IF(C231=1,(F231+K231+L231+Q231)/2*'Invoer gegevens'!$F$37*Reeksen!L231,0)</f>
        <v>0</v>
      </c>
      <c r="AT231" s="71">
        <f ca="1">-IF(C231=1,IF(E231='Invoer gegevens'!$C$17,'Invoer gegevens'!$C$11,AD231)*Reeksen!S231*'Invoer gegevens'!$C$18*Reeksen!P231,0)</f>
        <v>0</v>
      </c>
      <c r="AU231" s="71">
        <f ca="1">-IF(C231=1,(F231+K231+L231+Q231)/2*'Invoer gegevens'!$F$38*Reeksen!H231,0)</f>
        <v>0</v>
      </c>
      <c r="AV231" s="71">
        <f t="shared" si="47"/>
        <v>0</v>
      </c>
      <c r="AW231" s="71">
        <f t="shared" ca="1" si="44"/>
        <v>0</v>
      </c>
      <c r="AX231" s="71">
        <f ca="1">IF(E231&lt;'Invoer gegevens'!$C$17+15,0,IF(E231&gt;'Invoer gegevens'!$C$17+215,0,AW231))</f>
        <v>0</v>
      </c>
      <c r="AY231" s="71">
        <f ca="1">AX231/(1+'Invoer gegevens'!$F$18)^($AZ231-('Invoer gegevens'!$C$17-'Invoer gegevens'!$C$16))/(1+'Invoer gegevens'!$C$39)^('Invoer gegevens'!$C$17-'Invoer gegevens'!$C$16)</f>
        <v>0</v>
      </c>
      <c r="AZ231" s="68">
        <f ca="1">IF(E231-'Invoer gegevens'!$C$17-14.5&lt;0,0,E231-'Invoer gegevens'!$C$17-14.5)</f>
        <v>211.5</v>
      </c>
    </row>
    <row r="232" spans="1:52" x14ac:dyDescent="0.25">
      <c r="A232" s="59"/>
      <c r="B232" s="70">
        <f t="shared" si="45"/>
        <v>228</v>
      </c>
      <c r="C232" s="67">
        <f ca="1">IF(E232-'Invoer gegevens'!$C$17&lt;0,0,1)</f>
        <v>1</v>
      </c>
      <c r="D232" s="68">
        <f t="shared" si="46"/>
        <v>227.5</v>
      </c>
      <c r="E232" s="69">
        <f ca="1">IF('Invoer gegevens'!$C$16="","",E231+1)</f>
        <v>2246</v>
      </c>
      <c r="F232" s="84">
        <f ca="1">IF('Invoer gegevens'!$C$17=E232,'Invoer gegevens'!$C$10,IF(C232=1,K231,0))</f>
        <v>0</v>
      </c>
      <c r="G232" s="96">
        <f ca="1">IF(C232&gt;=1,F232*VLOOKUP(E232,Reeksen!$A$5:$B$76,2),0)</f>
        <v>0</v>
      </c>
      <c r="H232" s="84">
        <f ca="1">(1-('Invoer gegevens'!$F$20/12))*F232*MIN(Reeksen!B232,Reeksen!D232)</f>
        <v>0</v>
      </c>
      <c r="I232" s="84">
        <f>IF(Reeksen!D232&lt;Reeksen!B232,(Reeksen!B232-Reeksen!D232)*F232,0)</f>
        <v>0</v>
      </c>
      <c r="J232" s="84">
        <f ca="1">('Invoer gegevens'!$F$20/12)*F231*MIN(Reeksen!B231,Reeksen!D231)</f>
        <v>0</v>
      </c>
      <c r="K232" s="97">
        <f t="shared" ca="1" si="36"/>
        <v>0</v>
      </c>
      <c r="L232" s="84">
        <f ca="1">IF('Invoer gegevens'!$C$17=E232,0,IF(C232=1,Q231,0))</f>
        <v>0</v>
      </c>
      <c r="M232" s="96">
        <f ca="1">IF(C232&gt;=1,L232*VLOOKUP(E232,Reeksen!$A$5:$B$76,2),0)</f>
        <v>0</v>
      </c>
      <c r="N232" s="84">
        <f ca="1">(1-('Invoer gegevens'!$F$20/12))*L232*MIN(Reeksen!B232,Reeksen!D232)</f>
        <v>0</v>
      </c>
      <c r="O232" s="84">
        <f>IF(Reeksen!D232&lt;Reeksen!B232,(Reeksen!B232-Reeksen!D232)*L232,0)</f>
        <v>0</v>
      </c>
      <c r="P232" s="84">
        <f ca="1">('Invoer gegevens'!$F$20/12)*L231*MIN(Reeksen!B231,Reeksen!D231)</f>
        <v>0</v>
      </c>
      <c r="Q232" s="84">
        <f t="shared" ca="1" si="37"/>
        <v>0</v>
      </c>
      <c r="R232" s="82">
        <f ca="1">IF('Invoer gegevens'!$C$17=E232,'Invoer gegevens'!$C$11,IF(C232=1,W231,0))</f>
        <v>0</v>
      </c>
      <c r="S232" s="86">
        <f ca="1">IF(C232&gt;=1,R232*VLOOKUP(E232,Reeksen!$A$5:$B$76,2),0)</f>
        <v>0</v>
      </c>
      <c r="T232" s="84">
        <f ca="1">(1-('Invoer gegevens'!$F$20/12))*R232*MIN(Reeksen!B232,Reeksen!D232)</f>
        <v>0</v>
      </c>
      <c r="U232" s="84">
        <f>IF(Reeksen!D232&gt;=Reeksen!B232,0,IF(Reeksen!AD232&lt;=Reeksen!AE232,(Reeksen!B232-Reeksen!D232)*R232,0))</f>
        <v>0</v>
      </c>
      <c r="V232" s="86">
        <f>IF(Reeksen!D232&gt;=Reeksen!B232,0,IF(Reeksen!AD232&gt;Reeksen!AE232,(Reeksen!B232-Reeksen!D232)*R232,0))</f>
        <v>0</v>
      </c>
      <c r="W232" s="97">
        <f t="shared" ca="1" si="38"/>
        <v>0</v>
      </c>
      <c r="X232" s="98">
        <f ca="1">IF('Invoer gegevens'!$C$17=E232,'Invoer gegevens'!$C$10-'Invoer gegevens'!$C$11,IF(C232=1,AC231,0))</f>
        <v>0</v>
      </c>
      <c r="Y232" s="98">
        <f ca="1">IF(C232&gt;=1,X232*VLOOKUP(E232,Reeksen!$A$5:$B$76,2),0)</f>
        <v>0</v>
      </c>
      <c r="Z232" s="98">
        <f ca="1">(1-('Invoer gegevens'!$F$20/12))*X232*MIN(Reeksen!B232,Reeksen!D232)</f>
        <v>0</v>
      </c>
      <c r="AA232" s="98">
        <f>IF(Reeksen!D232&gt;=Reeksen!B232,0,IF(Reeksen!AD232&lt;=Reeksen!AE232,(Reeksen!B232-Reeksen!D232)*X232,0))</f>
        <v>0</v>
      </c>
      <c r="AB232" s="98">
        <f>IF(Reeksen!D232&gt;=Reeksen!B232,0,IF(Reeksen!AD232&gt;Reeksen!AE232,(Reeksen!B232-Reeksen!D232)*X232,0))</f>
        <v>0</v>
      </c>
      <c r="AC232" s="99">
        <f t="shared" ca="1" si="39"/>
        <v>0</v>
      </c>
      <c r="AD232" s="98">
        <f ca="1">IF('Invoer gegevens'!$C$17=E232,R232,IF(C232=0,0,AE231))</f>
        <v>0</v>
      </c>
      <c r="AE232" s="98">
        <f t="shared" ca="1" si="40"/>
        <v>0</v>
      </c>
      <c r="AF232" s="98">
        <f ca="1">IF('Invoer gegevens'!$C$17=E232,X232,IF(C232=0,0,AG231))</f>
        <v>0</v>
      </c>
      <c r="AG232" s="98">
        <f t="shared" ca="1" si="41"/>
        <v>0</v>
      </c>
      <c r="AH232" s="66"/>
      <c r="AI232" s="71">
        <f ca="1">IF(C232=1,Reeksen!AI232*((F232-G232+F232)/2)*12+Reeksen!AD232*((L232-M232+L232)/2)*12,0)</f>
        <v>0</v>
      </c>
      <c r="AJ232" s="71">
        <f ca="1">-AI232*'Invoer gegevens'!$F$28</f>
        <v>0</v>
      </c>
      <c r="AK232" s="71">
        <f t="shared" ca="1" si="42"/>
        <v>0</v>
      </c>
      <c r="AL232" s="71">
        <f ca="1">IF(C232=1,Reeksen!AL232*((F232-G232+F232)/2)*12+Reeksen!AM232*((L232-M232+L232)/2)*12,0)</f>
        <v>0</v>
      </c>
      <c r="AM232" s="71">
        <f ca="1">-AL232*'Invoer gegevens'!$F$31</f>
        <v>0</v>
      </c>
      <c r="AN232" s="71">
        <f t="shared" ca="1" si="43"/>
        <v>0</v>
      </c>
      <c r="AO232" s="71">
        <f ca="1">IF(C232=1,(H232+J232+N232+P232)*Reeksen!AN232,0)</f>
        <v>0</v>
      </c>
      <c r="AP232" s="71">
        <f ca="1">-IF(C232=1,(H232+J232+N232+P232)*'Hulp - basis'!$G$550*Reeksen!H232,0)</f>
        <v>0</v>
      </c>
      <c r="AQ232" s="71">
        <f ca="1">-IF(C232=1,(F232+K232+L232+Q232)/2*'Invoer gegevens'!$F$35*Reeksen!J232,0)*2</f>
        <v>0</v>
      </c>
      <c r="AR232" s="71"/>
      <c r="AS232" s="71">
        <f ca="1">-IF(C232=1,(F232+K232+L232+Q232)/2*'Invoer gegevens'!$F$37*Reeksen!L232,0)</f>
        <v>0</v>
      </c>
      <c r="AT232" s="71">
        <f ca="1">-IF(C232=1,IF(E232='Invoer gegevens'!$C$17,'Invoer gegevens'!$C$11,AD232)*Reeksen!S232*'Invoer gegevens'!$C$18*Reeksen!P232,0)</f>
        <v>0</v>
      </c>
      <c r="AU232" s="71">
        <f ca="1">-IF(C232=1,(F232+K232+L232+Q232)/2*'Invoer gegevens'!$F$38*Reeksen!H232,0)</f>
        <v>0</v>
      </c>
      <c r="AV232" s="71">
        <f t="shared" si="47"/>
        <v>0</v>
      </c>
      <c r="AW232" s="71">
        <f t="shared" ca="1" si="44"/>
        <v>0</v>
      </c>
      <c r="AX232" s="71">
        <f ca="1">IF(E232&lt;'Invoer gegevens'!$C$17+15,0,IF(E232&gt;'Invoer gegevens'!$C$17+215,0,AW232))</f>
        <v>0</v>
      </c>
      <c r="AY232" s="71">
        <f ca="1">AX232/(1+'Invoer gegevens'!$F$18)^($AZ232-('Invoer gegevens'!$C$17-'Invoer gegevens'!$C$16))/(1+'Invoer gegevens'!$C$39)^('Invoer gegevens'!$C$17-'Invoer gegevens'!$C$16)</f>
        <v>0</v>
      </c>
      <c r="AZ232" s="68">
        <f ca="1">IF(E232-'Invoer gegevens'!$C$17-14.5&lt;0,0,E232-'Invoer gegevens'!$C$17-14.5)</f>
        <v>212.5</v>
      </c>
    </row>
    <row r="233" spans="1:52" x14ac:dyDescent="0.25">
      <c r="A233" s="59"/>
      <c r="B233" s="70">
        <f t="shared" si="45"/>
        <v>229</v>
      </c>
      <c r="C233" s="67">
        <f ca="1">IF(E233-'Invoer gegevens'!$C$17&lt;0,0,1)</f>
        <v>1</v>
      </c>
      <c r="D233" s="68">
        <f t="shared" si="46"/>
        <v>228.5</v>
      </c>
      <c r="E233" s="69">
        <f ca="1">IF('Invoer gegevens'!$C$16="","",E232+1)</f>
        <v>2247</v>
      </c>
      <c r="F233" s="84">
        <f ca="1">IF('Invoer gegevens'!$C$17=E233,'Invoer gegevens'!$C$10,IF(C233=1,K232,0))</f>
        <v>0</v>
      </c>
      <c r="G233" s="96">
        <f ca="1">IF(C233&gt;=1,F233*VLOOKUP(E233,Reeksen!$A$5:$B$76,2),0)</f>
        <v>0</v>
      </c>
      <c r="H233" s="84">
        <f ca="1">(1-('Invoer gegevens'!$F$20/12))*F233*MIN(Reeksen!B233,Reeksen!D233)</f>
        <v>0</v>
      </c>
      <c r="I233" s="84">
        <f>IF(Reeksen!D233&lt;Reeksen!B233,(Reeksen!B233-Reeksen!D233)*F233,0)</f>
        <v>0</v>
      </c>
      <c r="J233" s="84">
        <f ca="1">('Invoer gegevens'!$F$20/12)*F232*MIN(Reeksen!B232,Reeksen!D232)</f>
        <v>0</v>
      </c>
      <c r="K233" s="97">
        <f t="shared" ca="1" si="36"/>
        <v>0</v>
      </c>
      <c r="L233" s="84">
        <f ca="1">IF('Invoer gegevens'!$C$17=E233,0,IF(C233=1,Q232,0))</f>
        <v>0</v>
      </c>
      <c r="M233" s="96">
        <f ca="1">IF(C233&gt;=1,L233*VLOOKUP(E233,Reeksen!$A$5:$B$76,2),0)</f>
        <v>0</v>
      </c>
      <c r="N233" s="84">
        <f ca="1">(1-('Invoer gegevens'!$F$20/12))*L233*MIN(Reeksen!B233,Reeksen!D233)</f>
        <v>0</v>
      </c>
      <c r="O233" s="84">
        <f>IF(Reeksen!D233&lt;Reeksen!B233,(Reeksen!B233-Reeksen!D233)*L233,0)</f>
        <v>0</v>
      </c>
      <c r="P233" s="84">
        <f ca="1">('Invoer gegevens'!$F$20/12)*L232*MIN(Reeksen!B232,Reeksen!D232)</f>
        <v>0</v>
      </c>
      <c r="Q233" s="84">
        <f t="shared" ca="1" si="37"/>
        <v>0</v>
      </c>
      <c r="R233" s="82">
        <f ca="1">IF('Invoer gegevens'!$C$17=E233,'Invoer gegevens'!$C$11,IF(C233=1,W232,0))</f>
        <v>0</v>
      </c>
      <c r="S233" s="86">
        <f ca="1">IF(C233&gt;=1,R233*VLOOKUP(E233,Reeksen!$A$5:$B$76,2),0)</f>
        <v>0</v>
      </c>
      <c r="T233" s="84">
        <f ca="1">(1-('Invoer gegevens'!$F$20/12))*R233*MIN(Reeksen!B233,Reeksen!D233)</f>
        <v>0</v>
      </c>
      <c r="U233" s="84">
        <f>IF(Reeksen!D233&gt;=Reeksen!B233,0,IF(Reeksen!AD233&lt;=Reeksen!AE233,(Reeksen!B233-Reeksen!D233)*R233,0))</f>
        <v>0</v>
      </c>
      <c r="V233" s="86">
        <f>IF(Reeksen!D233&gt;=Reeksen!B233,0,IF(Reeksen!AD233&gt;Reeksen!AE233,(Reeksen!B233-Reeksen!D233)*R233,0))</f>
        <v>0</v>
      </c>
      <c r="W233" s="97">
        <f t="shared" ca="1" si="38"/>
        <v>0</v>
      </c>
      <c r="X233" s="98">
        <f ca="1">IF('Invoer gegevens'!$C$17=E233,'Invoer gegevens'!$C$10-'Invoer gegevens'!$C$11,IF(C233=1,AC232,0))</f>
        <v>0</v>
      </c>
      <c r="Y233" s="98">
        <f ca="1">IF(C233&gt;=1,X233*VLOOKUP(E233,Reeksen!$A$5:$B$76,2),0)</f>
        <v>0</v>
      </c>
      <c r="Z233" s="98">
        <f ca="1">(1-('Invoer gegevens'!$F$20/12))*X233*MIN(Reeksen!B233,Reeksen!D233)</f>
        <v>0</v>
      </c>
      <c r="AA233" s="98">
        <f>IF(Reeksen!D233&gt;=Reeksen!B233,0,IF(Reeksen!AD233&lt;=Reeksen!AE233,(Reeksen!B233-Reeksen!D233)*X233,0))</f>
        <v>0</v>
      </c>
      <c r="AB233" s="98">
        <f>IF(Reeksen!D233&gt;=Reeksen!B233,0,IF(Reeksen!AD233&gt;Reeksen!AE233,(Reeksen!B233-Reeksen!D233)*X233,0))</f>
        <v>0</v>
      </c>
      <c r="AC233" s="99">
        <f t="shared" ca="1" si="39"/>
        <v>0</v>
      </c>
      <c r="AD233" s="98">
        <f ca="1">IF('Invoer gegevens'!$C$17=E233,R233,IF(C233=0,0,AE232))</f>
        <v>0</v>
      </c>
      <c r="AE233" s="98">
        <f t="shared" ca="1" si="40"/>
        <v>0</v>
      </c>
      <c r="AF233" s="98">
        <f ca="1">IF('Invoer gegevens'!$C$17=E233,X233,IF(C233=0,0,AG232))</f>
        <v>0</v>
      </c>
      <c r="AG233" s="98">
        <f t="shared" ca="1" si="41"/>
        <v>0</v>
      </c>
      <c r="AH233" s="66"/>
      <c r="AI233" s="71">
        <f ca="1">IF(C233=1,Reeksen!AI233*((F233-G233+F233)/2)*12+Reeksen!AD233*((L233-M233+L233)/2)*12,0)</f>
        <v>0</v>
      </c>
      <c r="AJ233" s="71">
        <f ca="1">-AI233*'Invoer gegevens'!$F$28</f>
        <v>0</v>
      </c>
      <c r="AK233" s="71">
        <f t="shared" ca="1" si="42"/>
        <v>0</v>
      </c>
      <c r="AL233" s="71">
        <f ca="1">IF(C233=1,Reeksen!AL233*((F233-G233+F233)/2)*12+Reeksen!AM233*((L233-M233+L233)/2)*12,0)</f>
        <v>0</v>
      </c>
      <c r="AM233" s="71">
        <f ca="1">-AL233*'Invoer gegevens'!$F$31</f>
        <v>0</v>
      </c>
      <c r="AN233" s="71">
        <f t="shared" ca="1" si="43"/>
        <v>0</v>
      </c>
      <c r="AO233" s="71">
        <f ca="1">IF(C233=1,(H233+J233+N233+P233)*Reeksen!AN233,0)</f>
        <v>0</v>
      </c>
      <c r="AP233" s="71">
        <f ca="1">-IF(C233=1,(H233+J233+N233+P233)*'Hulp - basis'!$G$550*Reeksen!H233,0)</f>
        <v>0</v>
      </c>
      <c r="AQ233" s="71">
        <f ca="1">-IF(C233=1,(F233+K233+L233+Q233)/2*'Invoer gegevens'!$F$35*Reeksen!J233,0)*2</f>
        <v>0</v>
      </c>
      <c r="AR233" s="71"/>
      <c r="AS233" s="71">
        <f ca="1">-IF(C233=1,(F233+K233+L233+Q233)/2*'Invoer gegevens'!$F$37*Reeksen!L233,0)</f>
        <v>0</v>
      </c>
      <c r="AT233" s="71">
        <f ca="1">-IF(C233=1,IF(E233='Invoer gegevens'!$C$17,'Invoer gegevens'!$C$11,AD233)*Reeksen!S233*'Invoer gegevens'!$C$18*Reeksen!P233,0)</f>
        <v>0</v>
      </c>
      <c r="AU233" s="71">
        <f ca="1">-IF(C233=1,(F233+K233+L233+Q233)/2*'Invoer gegevens'!$F$38*Reeksen!H233,0)</f>
        <v>0</v>
      </c>
      <c r="AV233" s="71">
        <f t="shared" si="47"/>
        <v>0</v>
      </c>
      <c r="AW233" s="71">
        <f t="shared" ca="1" si="44"/>
        <v>0</v>
      </c>
      <c r="AX233" s="71">
        <f ca="1">IF(E233&lt;'Invoer gegevens'!$C$17+15,0,IF(E233&gt;'Invoer gegevens'!$C$17+215,0,AW233))</f>
        <v>0</v>
      </c>
      <c r="AY233" s="71">
        <f ca="1">AX233/(1+'Invoer gegevens'!$F$18)^($AZ233-('Invoer gegevens'!$C$17-'Invoer gegevens'!$C$16))/(1+'Invoer gegevens'!$C$39)^('Invoer gegevens'!$C$17-'Invoer gegevens'!$C$16)</f>
        <v>0</v>
      </c>
      <c r="AZ233" s="68">
        <f ca="1">IF(E233-'Invoer gegevens'!$C$17-14.5&lt;0,0,E233-'Invoer gegevens'!$C$17-14.5)</f>
        <v>213.5</v>
      </c>
    </row>
    <row r="234" spans="1:52" x14ac:dyDescent="0.25">
      <c r="A234" s="59"/>
      <c r="B234" s="70">
        <f t="shared" si="45"/>
        <v>230</v>
      </c>
      <c r="C234" s="67">
        <f ca="1">IF(E234-'Invoer gegevens'!$C$17&lt;0,0,1)</f>
        <v>1</v>
      </c>
      <c r="D234" s="68">
        <f t="shared" si="46"/>
        <v>229.5</v>
      </c>
      <c r="E234" s="69">
        <f ca="1">IF('Invoer gegevens'!$C$16="","",E233+1)</f>
        <v>2248</v>
      </c>
      <c r="F234" s="84">
        <f ca="1">IF('Invoer gegevens'!$C$17=E234,'Invoer gegevens'!$C$10,IF(C234=1,K233,0))</f>
        <v>0</v>
      </c>
      <c r="G234" s="96">
        <f ca="1">IF(C234&gt;=1,F234*VLOOKUP(E234,Reeksen!$A$5:$B$76,2),0)</f>
        <v>0</v>
      </c>
      <c r="H234" s="84">
        <f ca="1">(1-('Invoer gegevens'!$F$20/12))*F234*MIN(Reeksen!B234,Reeksen!D234)</f>
        <v>0</v>
      </c>
      <c r="I234" s="84">
        <f>IF(Reeksen!D234&lt;Reeksen!B234,(Reeksen!B234-Reeksen!D234)*F234,0)</f>
        <v>0</v>
      </c>
      <c r="J234" s="84">
        <f ca="1">('Invoer gegevens'!$F$20/12)*F233*MIN(Reeksen!B233,Reeksen!D233)</f>
        <v>0</v>
      </c>
      <c r="K234" s="97">
        <f t="shared" ca="1" si="36"/>
        <v>0</v>
      </c>
      <c r="L234" s="84">
        <f ca="1">IF('Invoer gegevens'!$C$17=E234,0,IF(C234=1,Q233,0))</f>
        <v>0</v>
      </c>
      <c r="M234" s="96">
        <f ca="1">IF(C234&gt;=1,L234*VLOOKUP(E234,Reeksen!$A$5:$B$76,2),0)</f>
        <v>0</v>
      </c>
      <c r="N234" s="84">
        <f ca="1">(1-('Invoer gegevens'!$F$20/12))*L234*MIN(Reeksen!B234,Reeksen!D234)</f>
        <v>0</v>
      </c>
      <c r="O234" s="84">
        <f>IF(Reeksen!D234&lt;Reeksen!B234,(Reeksen!B234-Reeksen!D234)*L234,0)</f>
        <v>0</v>
      </c>
      <c r="P234" s="84">
        <f ca="1">('Invoer gegevens'!$F$20/12)*L233*MIN(Reeksen!B233,Reeksen!D233)</f>
        <v>0</v>
      </c>
      <c r="Q234" s="84">
        <f t="shared" ca="1" si="37"/>
        <v>0</v>
      </c>
      <c r="R234" s="82">
        <f ca="1">IF('Invoer gegevens'!$C$17=E234,'Invoer gegevens'!$C$11,IF(C234=1,W233,0))</f>
        <v>0</v>
      </c>
      <c r="S234" s="86">
        <f ca="1">IF(C234&gt;=1,R234*VLOOKUP(E234,Reeksen!$A$5:$B$76,2),0)</f>
        <v>0</v>
      </c>
      <c r="T234" s="84">
        <f ca="1">(1-('Invoer gegevens'!$F$20/12))*R234*MIN(Reeksen!B234,Reeksen!D234)</f>
        <v>0</v>
      </c>
      <c r="U234" s="84">
        <f>IF(Reeksen!D234&gt;=Reeksen!B234,0,IF(Reeksen!AD234&lt;=Reeksen!AE234,(Reeksen!B234-Reeksen!D234)*R234,0))</f>
        <v>0</v>
      </c>
      <c r="V234" s="86">
        <f>IF(Reeksen!D234&gt;=Reeksen!B234,0,IF(Reeksen!AD234&gt;Reeksen!AE234,(Reeksen!B234-Reeksen!D234)*R234,0))</f>
        <v>0</v>
      </c>
      <c r="W234" s="97">
        <f t="shared" ca="1" si="38"/>
        <v>0</v>
      </c>
      <c r="X234" s="98">
        <f ca="1">IF('Invoer gegevens'!$C$17=E234,'Invoer gegevens'!$C$10-'Invoer gegevens'!$C$11,IF(C234=1,AC233,0))</f>
        <v>0</v>
      </c>
      <c r="Y234" s="98">
        <f ca="1">IF(C234&gt;=1,X234*VLOOKUP(E234,Reeksen!$A$5:$B$76,2),0)</f>
        <v>0</v>
      </c>
      <c r="Z234" s="98">
        <f ca="1">(1-('Invoer gegevens'!$F$20/12))*X234*MIN(Reeksen!B234,Reeksen!D234)</f>
        <v>0</v>
      </c>
      <c r="AA234" s="98">
        <f>IF(Reeksen!D234&gt;=Reeksen!B234,0,IF(Reeksen!AD234&lt;=Reeksen!AE234,(Reeksen!B234-Reeksen!D234)*X234,0))</f>
        <v>0</v>
      </c>
      <c r="AB234" s="98">
        <f>IF(Reeksen!D234&gt;=Reeksen!B234,0,IF(Reeksen!AD234&gt;Reeksen!AE234,(Reeksen!B234-Reeksen!D234)*X234,0))</f>
        <v>0</v>
      </c>
      <c r="AC234" s="99">
        <f t="shared" ca="1" si="39"/>
        <v>0</v>
      </c>
      <c r="AD234" s="98">
        <f ca="1">IF('Invoer gegevens'!$C$17=E234,R234,IF(C234=0,0,AE233))</f>
        <v>0</v>
      </c>
      <c r="AE234" s="98">
        <f t="shared" ca="1" si="40"/>
        <v>0</v>
      </c>
      <c r="AF234" s="98">
        <f ca="1">IF('Invoer gegevens'!$C$17=E234,X234,IF(C234=0,0,AG233))</f>
        <v>0</v>
      </c>
      <c r="AG234" s="98">
        <f t="shared" ca="1" si="41"/>
        <v>0</v>
      </c>
      <c r="AH234" s="66"/>
      <c r="AI234" s="71">
        <f ca="1">IF(C234=1,Reeksen!AI234*((F234-G234+F234)/2)*12+Reeksen!AD234*((L234-M234+L234)/2)*12,0)</f>
        <v>0</v>
      </c>
      <c r="AJ234" s="71">
        <f ca="1">-AI234*'Invoer gegevens'!$F$28</f>
        <v>0</v>
      </c>
      <c r="AK234" s="71">
        <f t="shared" ca="1" si="42"/>
        <v>0</v>
      </c>
      <c r="AL234" s="71">
        <f ca="1">IF(C234=1,Reeksen!AL234*((F234-G234+F234)/2)*12+Reeksen!AM234*((L234-M234+L234)/2)*12,0)</f>
        <v>0</v>
      </c>
      <c r="AM234" s="71">
        <f ca="1">-AL234*'Invoer gegevens'!$F$31</f>
        <v>0</v>
      </c>
      <c r="AN234" s="71">
        <f t="shared" ca="1" si="43"/>
        <v>0</v>
      </c>
      <c r="AO234" s="71">
        <f ca="1">IF(C234=1,(H234+J234+N234+P234)*Reeksen!AN234,0)</f>
        <v>0</v>
      </c>
      <c r="AP234" s="71">
        <f ca="1">-IF(C234=1,(H234+J234+N234+P234)*'Hulp - basis'!$G$550*Reeksen!H234,0)</f>
        <v>0</v>
      </c>
      <c r="AQ234" s="71">
        <f ca="1">-IF(C234=1,(F234+K234+L234+Q234)/2*'Invoer gegevens'!$F$35*Reeksen!J234,0)*2</f>
        <v>0</v>
      </c>
      <c r="AR234" s="71"/>
      <c r="AS234" s="71">
        <f ca="1">-IF(C234=1,(F234+K234+L234+Q234)/2*'Invoer gegevens'!$F$37*Reeksen!L234,0)</f>
        <v>0</v>
      </c>
      <c r="AT234" s="71">
        <f ca="1">-IF(C234=1,IF(E234='Invoer gegevens'!$C$17,'Invoer gegevens'!$C$11,AD234)*Reeksen!S234*'Invoer gegevens'!$C$18*Reeksen!P234,0)</f>
        <v>0</v>
      </c>
      <c r="AU234" s="71">
        <f ca="1">-IF(C234=1,(F234+K234+L234+Q234)/2*'Invoer gegevens'!$F$38*Reeksen!H234,0)</f>
        <v>0</v>
      </c>
      <c r="AV234" s="71">
        <f t="shared" si="47"/>
        <v>0</v>
      </c>
      <c r="AW234" s="71">
        <f t="shared" ca="1" si="44"/>
        <v>0</v>
      </c>
      <c r="AX234" s="71">
        <f ca="1">IF(E234&lt;'Invoer gegevens'!$C$17+15,0,IF(E234&gt;'Invoer gegevens'!$C$17+215,0,AW234))</f>
        <v>0</v>
      </c>
      <c r="AY234" s="71">
        <f ca="1">AX234/(1+'Invoer gegevens'!$F$18)^($AZ234-('Invoer gegevens'!$C$17-'Invoer gegevens'!$C$16))/(1+'Invoer gegevens'!$C$39)^('Invoer gegevens'!$C$17-'Invoer gegevens'!$C$16)</f>
        <v>0</v>
      </c>
      <c r="AZ234" s="68">
        <f ca="1">IF(E234-'Invoer gegevens'!$C$17-14.5&lt;0,0,E234-'Invoer gegevens'!$C$17-14.5)</f>
        <v>214.5</v>
      </c>
    </row>
    <row r="235" spans="1:52" x14ac:dyDescent="0.25">
      <c r="A235" s="59"/>
      <c r="B235" s="70"/>
      <c r="C235" s="67"/>
      <c r="D235" s="68"/>
      <c r="E235" s="69"/>
      <c r="F235" s="84"/>
      <c r="G235" s="83"/>
      <c r="H235" s="84"/>
      <c r="I235" s="84"/>
      <c r="J235" s="84"/>
      <c r="K235" s="84"/>
      <c r="L235" s="84"/>
      <c r="M235" s="83"/>
      <c r="N235" s="84"/>
      <c r="O235" s="84"/>
      <c r="P235" s="84"/>
      <c r="Q235" s="84"/>
      <c r="R235" s="84"/>
      <c r="S235" s="86"/>
      <c r="T235" s="84"/>
      <c r="U235" s="84"/>
      <c r="V235" s="86"/>
      <c r="W235" s="84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66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</row>
    <row r="236" spans="1:52" x14ac:dyDescent="0.25">
      <c r="A236" s="59"/>
      <c r="B236" s="70"/>
      <c r="C236" s="67"/>
      <c r="D236" s="68"/>
      <c r="E236" s="69"/>
      <c r="F236" s="84"/>
      <c r="G236" s="83"/>
      <c r="H236" s="84"/>
      <c r="I236" s="84"/>
      <c r="J236" s="84"/>
      <c r="K236" s="84"/>
      <c r="L236" s="84"/>
      <c r="M236" s="83"/>
      <c r="N236" s="84"/>
      <c r="O236" s="84"/>
      <c r="P236" s="84"/>
      <c r="Q236" s="84"/>
      <c r="R236" s="84"/>
      <c r="S236" s="86"/>
      <c r="T236" s="84"/>
      <c r="U236" s="84"/>
      <c r="V236" s="86"/>
      <c r="W236" s="84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66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</row>
    <row r="237" spans="1:52" x14ac:dyDescent="0.25">
      <c r="A237" s="59"/>
      <c r="B237" s="70"/>
      <c r="C237" s="67"/>
      <c r="D237" s="68"/>
      <c r="E237" s="69"/>
      <c r="F237" s="84"/>
      <c r="G237" s="83"/>
      <c r="H237" s="84"/>
      <c r="I237" s="84"/>
      <c r="J237" s="84"/>
      <c r="K237" s="84"/>
      <c r="L237" s="84"/>
      <c r="M237" s="83"/>
      <c r="N237" s="84"/>
      <c r="O237" s="84"/>
      <c r="P237" s="84"/>
      <c r="Q237" s="84"/>
      <c r="R237" s="84"/>
      <c r="S237" s="86"/>
      <c r="T237" s="84"/>
      <c r="U237" s="84"/>
      <c r="V237" s="86"/>
      <c r="W237" s="84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66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</row>
    <row r="238" spans="1:52" x14ac:dyDescent="0.25">
      <c r="A238" s="59"/>
      <c r="B238" s="70"/>
      <c r="C238" s="67"/>
      <c r="D238" s="68"/>
      <c r="E238" s="69"/>
      <c r="F238" s="84"/>
      <c r="G238" s="83"/>
      <c r="H238" s="84"/>
      <c r="I238" s="84"/>
      <c r="J238" s="84"/>
      <c r="K238" s="84"/>
      <c r="L238" s="84"/>
      <c r="M238" s="83"/>
      <c r="N238" s="84"/>
      <c r="O238" s="84"/>
      <c r="P238" s="84"/>
      <c r="Q238" s="84"/>
      <c r="R238" s="84"/>
      <c r="S238" s="86"/>
      <c r="T238" s="84"/>
      <c r="U238" s="84"/>
      <c r="V238" s="86"/>
      <c r="W238" s="84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66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68"/>
    </row>
    <row r="239" spans="1:52" x14ac:dyDescent="0.25">
      <c r="A239" s="59"/>
      <c r="B239" s="70"/>
      <c r="C239" s="67"/>
      <c r="D239" s="68"/>
      <c r="E239" s="69"/>
      <c r="F239" s="84"/>
      <c r="G239" s="83"/>
      <c r="H239" s="84"/>
      <c r="I239" s="84"/>
      <c r="J239" s="84"/>
      <c r="K239" s="84"/>
      <c r="L239" s="84"/>
      <c r="M239" s="83"/>
      <c r="N239" s="84"/>
      <c r="O239" s="84"/>
      <c r="P239" s="84"/>
      <c r="Q239" s="84"/>
      <c r="R239" s="84"/>
      <c r="S239" s="86"/>
      <c r="T239" s="84"/>
      <c r="U239" s="84"/>
      <c r="V239" s="86"/>
      <c r="W239" s="84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66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68"/>
    </row>
    <row r="240" spans="1:52" x14ac:dyDescent="0.25">
      <c r="A240" s="59"/>
      <c r="B240" s="70"/>
      <c r="C240" s="67"/>
      <c r="D240" s="68"/>
      <c r="E240" s="69"/>
      <c r="F240" s="84"/>
      <c r="G240" s="83"/>
      <c r="H240" s="84"/>
      <c r="I240" s="84"/>
      <c r="J240" s="84"/>
      <c r="K240" s="84"/>
      <c r="L240" s="84"/>
      <c r="M240" s="83"/>
      <c r="N240" s="84"/>
      <c r="O240" s="84"/>
      <c r="P240" s="84"/>
      <c r="Q240" s="84"/>
      <c r="R240" s="84"/>
      <c r="S240" s="86"/>
      <c r="T240" s="84"/>
      <c r="U240" s="84"/>
      <c r="V240" s="86"/>
      <c r="W240" s="84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66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68"/>
    </row>
    <row r="241" spans="1:52" x14ac:dyDescent="0.25">
      <c r="A241" s="59"/>
      <c r="B241" s="70"/>
      <c r="C241" s="67"/>
      <c r="D241" s="68"/>
      <c r="E241" s="69"/>
      <c r="F241" s="84"/>
      <c r="G241" s="83"/>
      <c r="H241" s="84"/>
      <c r="I241" s="84"/>
      <c r="J241" s="84"/>
      <c r="K241" s="84"/>
      <c r="L241" s="84"/>
      <c r="M241" s="83"/>
      <c r="N241" s="84"/>
      <c r="O241" s="84"/>
      <c r="P241" s="84"/>
      <c r="Q241" s="84"/>
      <c r="R241" s="84"/>
      <c r="S241" s="86"/>
      <c r="T241" s="84"/>
      <c r="U241" s="84"/>
      <c r="V241" s="86"/>
      <c r="W241" s="84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66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68"/>
    </row>
    <row r="242" spans="1:52" x14ac:dyDescent="0.25">
      <c r="A242" s="59"/>
      <c r="B242" s="70"/>
      <c r="C242" s="67"/>
      <c r="D242" s="68"/>
      <c r="E242" s="69"/>
      <c r="F242" s="84"/>
      <c r="G242" s="83"/>
      <c r="H242" s="84"/>
      <c r="I242" s="84"/>
      <c r="J242" s="84"/>
      <c r="K242" s="84"/>
      <c r="L242" s="84"/>
      <c r="M242" s="83"/>
      <c r="N242" s="84"/>
      <c r="O242" s="84"/>
      <c r="P242" s="84"/>
      <c r="Q242" s="84"/>
      <c r="R242" s="84"/>
      <c r="S242" s="86"/>
      <c r="T242" s="84"/>
      <c r="U242" s="84"/>
      <c r="V242" s="86"/>
      <c r="W242" s="84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66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68"/>
    </row>
    <row r="243" spans="1:52" x14ac:dyDescent="0.25">
      <c r="A243" s="59"/>
      <c r="B243" s="70"/>
      <c r="C243" s="67"/>
      <c r="D243" s="68"/>
      <c r="E243" s="69"/>
      <c r="F243" s="84"/>
      <c r="G243" s="83"/>
      <c r="H243" s="84"/>
      <c r="I243" s="84"/>
      <c r="J243" s="84"/>
      <c r="K243" s="84"/>
      <c r="L243" s="84"/>
      <c r="M243" s="83"/>
      <c r="N243" s="84"/>
      <c r="O243" s="84"/>
      <c r="P243" s="84"/>
      <c r="Q243" s="84"/>
      <c r="R243" s="84"/>
      <c r="S243" s="86"/>
      <c r="T243" s="84"/>
      <c r="U243" s="84"/>
      <c r="V243" s="86"/>
      <c r="W243" s="84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66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68"/>
    </row>
    <row r="244" spans="1:52" x14ac:dyDescent="0.25">
      <c r="A244" s="59"/>
      <c r="B244" s="70"/>
      <c r="C244" s="67"/>
      <c r="D244" s="68"/>
      <c r="E244" s="69"/>
      <c r="F244" s="84"/>
      <c r="G244" s="83"/>
      <c r="H244" s="84"/>
      <c r="I244" s="84"/>
      <c r="J244" s="84"/>
      <c r="K244" s="84"/>
      <c r="L244" s="84"/>
      <c r="M244" s="83"/>
      <c r="N244" s="84"/>
      <c r="O244" s="84"/>
      <c r="P244" s="84"/>
      <c r="Q244" s="84"/>
      <c r="R244" s="84"/>
      <c r="S244" s="86"/>
      <c r="T244" s="84"/>
      <c r="U244" s="84"/>
      <c r="V244" s="86"/>
      <c r="W244" s="84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66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68"/>
    </row>
    <row r="245" spans="1:52" x14ac:dyDescent="0.25">
      <c r="A245" s="59"/>
      <c r="B245" s="70"/>
      <c r="C245" s="67"/>
      <c r="D245" s="68"/>
      <c r="E245" s="69"/>
      <c r="F245" s="84"/>
      <c r="G245" s="83"/>
      <c r="H245" s="84"/>
      <c r="I245" s="84"/>
      <c r="J245" s="84"/>
      <c r="K245" s="84"/>
      <c r="L245" s="84"/>
      <c r="M245" s="83"/>
      <c r="N245" s="84"/>
      <c r="O245" s="84"/>
      <c r="P245" s="84"/>
      <c r="Q245" s="84"/>
      <c r="R245" s="84"/>
      <c r="S245" s="86"/>
      <c r="T245" s="84"/>
      <c r="U245" s="84"/>
      <c r="V245" s="86"/>
      <c r="W245" s="84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66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68"/>
    </row>
    <row r="246" spans="1:52" x14ac:dyDescent="0.25">
      <c r="A246" s="59"/>
      <c r="B246" s="70"/>
      <c r="C246" s="67"/>
      <c r="D246" s="68"/>
      <c r="E246" s="69"/>
      <c r="F246" s="84"/>
      <c r="G246" s="83"/>
      <c r="H246" s="84"/>
      <c r="I246" s="84"/>
      <c r="J246" s="84"/>
      <c r="K246" s="84"/>
      <c r="L246" s="84"/>
      <c r="M246" s="83"/>
      <c r="N246" s="84"/>
      <c r="O246" s="84"/>
      <c r="P246" s="84"/>
      <c r="Q246" s="84"/>
      <c r="R246" s="84"/>
      <c r="S246" s="86"/>
      <c r="T246" s="84"/>
      <c r="U246" s="84"/>
      <c r="V246" s="86"/>
      <c r="W246" s="84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66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68"/>
    </row>
    <row r="247" spans="1:52" x14ac:dyDescent="0.25">
      <c r="A247" s="59"/>
      <c r="B247" s="70"/>
      <c r="C247" s="67"/>
      <c r="D247" s="68"/>
      <c r="E247" s="69"/>
      <c r="F247" s="84"/>
      <c r="G247" s="83"/>
      <c r="H247" s="84"/>
      <c r="I247" s="84"/>
      <c r="J247" s="84"/>
      <c r="K247" s="84"/>
      <c r="L247" s="84"/>
      <c r="M247" s="83"/>
      <c r="N247" s="84"/>
      <c r="O247" s="84"/>
      <c r="P247" s="84"/>
      <c r="Q247" s="84"/>
      <c r="R247" s="84"/>
      <c r="S247" s="86"/>
      <c r="T247" s="84"/>
      <c r="U247" s="84"/>
      <c r="V247" s="86"/>
      <c r="W247" s="84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66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68"/>
    </row>
    <row r="248" spans="1:52" x14ac:dyDescent="0.25">
      <c r="A248" s="59"/>
      <c r="B248" s="70"/>
      <c r="C248" s="67"/>
      <c r="D248" s="68"/>
      <c r="E248" s="69"/>
      <c r="F248" s="84"/>
      <c r="G248" s="83"/>
      <c r="H248" s="84"/>
      <c r="I248" s="84"/>
      <c r="J248" s="84"/>
      <c r="K248" s="84"/>
      <c r="L248" s="84"/>
      <c r="M248" s="83"/>
      <c r="N248" s="84"/>
      <c r="O248" s="84"/>
      <c r="P248" s="84"/>
      <c r="Q248" s="84"/>
      <c r="R248" s="84"/>
      <c r="S248" s="86"/>
      <c r="T248" s="84"/>
      <c r="U248" s="84"/>
      <c r="V248" s="86"/>
      <c r="W248" s="84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66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68"/>
    </row>
    <row r="249" spans="1:52" x14ac:dyDescent="0.25">
      <c r="A249" s="59"/>
      <c r="B249" s="70"/>
      <c r="C249" s="67"/>
      <c r="D249" s="68"/>
      <c r="E249" s="69"/>
      <c r="F249" s="84"/>
      <c r="G249" s="83"/>
      <c r="H249" s="84"/>
      <c r="I249" s="84"/>
      <c r="J249" s="84"/>
      <c r="K249" s="84"/>
      <c r="L249" s="84"/>
      <c r="M249" s="83"/>
      <c r="N249" s="84"/>
      <c r="O249" s="84"/>
      <c r="P249" s="84"/>
      <c r="Q249" s="84"/>
      <c r="R249" s="84"/>
      <c r="S249" s="86"/>
      <c r="T249" s="84"/>
      <c r="U249" s="84"/>
      <c r="V249" s="86"/>
      <c r="W249" s="84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66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68"/>
    </row>
    <row r="250" spans="1:52" x14ac:dyDescent="0.25">
      <c r="A250" s="59"/>
      <c r="B250" s="70"/>
      <c r="C250" s="67"/>
      <c r="D250" s="68"/>
      <c r="E250" s="69"/>
      <c r="F250" s="84"/>
      <c r="G250" s="83"/>
      <c r="H250" s="84"/>
      <c r="I250" s="84"/>
      <c r="J250" s="84"/>
      <c r="K250" s="84"/>
      <c r="L250" s="84"/>
      <c r="M250" s="83"/>
      <c r="N250" s="84"/>
      <c r="O250" s="84"/>
      <c r="P250" s="84"/>
      <c r="Q250" s="84"/>
      <c r="R250" s="84"/>
      <c r="S250" s="86"/>
      <c r="T250" s="84"/>
      <c r="U250" s="84"/>
      <c r="V250" s="86"/>
      <c r="W250" s="84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66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68"/>
    </row>
    <row r="251" spans="1:52" x14ac:dyDescent="0.25">
      <c r="A251" s="59"/>
      <c r="B251" s="70"/>
      <c r="C251" s="67"/>
      <c r="D251" s="68"/>
      <c r="E251" s="69"/>
      <c r="F251" s="84"/>
      <c r="G251" s="83"/>
      <c r="H251" s="84"/>
      <c r="I251" s="84"/>
      <c r="J251" s="84"/>
      <c r="K251" s="84"/>
      <c r="L251" s="84"/>
      <c r="M251" s="83"/>
      <c r="N251" s="84"/>
      <c r="O251" s="84"/>
      <c r="P251" s="84"/>
      <c r="Q251" s="84"/>
      <c r="R251" s="84"/>
      <c r="S251" s="86"/>
      <c r="T251" s="84"/>
      <c r="U251" s="84"/>
      <c r="V251" s="86"/>
      <c r="W251" s="84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66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68"/>
    </row>
    <row r="252" spans="1:52" x14ac:dyDescent="0.25">
      <c r="A252" s="59"/>
      <c r="B252" s="70"/>
      <c r="C252" s="67"/>
      <c r="D252" s="68"/>
      <c r="E252" s="69"/>
      <c r="F252" s="84"/>
      <c r="G252" s="83"/>
      <c r="H252" s="84"/>
      <c r="I252" s="84"/>
      <c r="J252" s="84"/>
      <c r="K252" s="84"/>
      <c r="L252" s="84"/>
      <c r="M252" s="83"/>
      <c r="N252" s="84"/>
      <c r="O252" s="84"/>
      <c r="P252" s="84"/>
      <c r="Q252" s="84"/>
      <c r="R252" s="84"/>
      <c r="S252" s="86"/>
      <c r="T252" s="84"/>
      <c r="U252" s="84"/>
      <c r="V252" s="86"/>
      <c r="W252" s="84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66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68"/>
    </row>
  </sheetData>
  <mergeCells count="31"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W3:W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2:K2"/>
    <mergeCell ref="L2:Q2"/>
    <mergeCell ref="R2:W2"/>
    <mergeCell ref="X2:AC2"/>
    <mergeCell ref="AD2:AG2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0" orientation="portrait" horizontalDpi="0" verticalDpi="0" copies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/>
  <dimension ref="A1:AZ252"/>
  <sheetViews>
    <sheetView showGridLines="0" topLeftCell="S3" workbookViewId="0">
      <selection activeCell="AJ5" sqref="AJ5"/>
    </sheetView>
  </sheetViews>
  <sheetFormatPr defaultRowHeight="15" x14ac:dyDescent="0.25"/>
  <cols>
    <col min="1" max="1" width="1.5703125" style="230" customWidth="1"/>
    <col min="2" max="2" width="4.85546875" style="230" customWidth="1"/>
    <col min="3" max="4" width="6" style="230" customWidth="1"/>
    <col min="5" max="6" width="6.5703125" style="230" customWidth="1"/>
    <col min="7" max="7" width="8.7109375" style="230" customWidth="1"/>
    <col min="8" max="8" width="11.5703125" style="230" customWidth="1"/>
    <col min="9" max="9" width="9.28515625" style="230" customWidth="1"/>
    <col min="10" max="10" width="9.7109375" style="230" customWidth="1"/>
    <col min="11" max="11" width="10.42578125" style="230" customWidth="1"/>
    <col min="12" max="14" width="8.7109375" style="230" customWidth="1"/>
    <col min="15" max="15" width="10.5703125" style="230" customWidth="1"/>
    <col min="16" max="16" width="9.85546875" style="230" customWidth="1"/>
    <col min="17" max="17" width="8.7109375" style="230" customWidth="1"/>
    <col min="18" max="18" width="10.28515625" style="230" customWidth="1"/>
    <col min="19" max="19" width="17" style="230" bestFit="1" customWidth="1"/>
    <col min="20" max="21" width="10.42578125" style="230" customWidth="1"/>
    <col min="22" max="22" width="14.140625" style="230" customWidth="1"/>
    <col min="23" max="28" width="8.85546875" style="230" customWidth="1"/>
    <col min="29" max="29" width="9.7109375" style="230" customWidth="1"/>
    <col min="30" max="31" width="9.5703125" style="230" customWidth="1"/>
    <col min="32" max="32" width="10.7109375" style="230" customWidth="1"/>
    <col min="33" max="33" width="9.5703125" style="230" customWidth="1"/>
    <col min="34" max="34" width="3.140625" style="230" customWidth="1"/>
    <col min="35" max="35" width="12.85546875" style="230" customWidth="1"/>
    <col min="36" max="36" width="10" style="230" customWidth="1"/>
    <col min="37" max="40" width="12.7109375" style="230" customWidth="1"/>
    <col min="41" max="41" width="11.85546875" style="230" bestFit="1" customWidth="1"/>
    <col min="42" max="42" width="9.85546875" style="230" bestFit="1" customWidth="1"/>
    <col min="43" max="43" width="12.5703125" style="230" customWidth="1"/>
    <col min="44" max="44" width="10.7109375" style="230" customWidth="1"/>
    <col min="45" max="45" width="10.85546875" style="230" customWidth="1"/>
    <col min="46" max="46" width="12.42578125" style="230" customWidth="1"/>
    <col min="47" max="47" width="16.42578125" style="230" bestFit="1" customWidth="1"/>
    <col min="48" max="48" width="16.42578125" style="230" customWidth="1"/>
    <col min="49" max="49" width="12.28515625" style="230" customWidth="1"/>
    <col min="50" max="52" width="14.42578125" style="230" bestFit="1" customWidth="1"/>
    <col min="53" max="16384" width="9.140625" style="230"/>
  </cols>
  <sheetData>
    <row r="1" spans="1:52" ht="15.75" x14ac:dyDescent="0.25">
      <c r="A1" s="89" t="s">
        <v>720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</row>
    <row r="2" spans="1:52" x14ac:dyDescent="0.25">
      <c r="A2" s="59"/>
      <c r="B2" s="70"/>
      <c r="C2" s="70"/>
      <c r="D2" s="70"/>
      <c r="E2" s="70"/>
      <c r="F2" s="397" t="s">
        <v>721</v>
      </c>
      <c r="G2" s="398"/>
      <c r="H2" s="398"/>
      <c r="I2" s="398"/>
      <c r="J2" s="398"/>
      <c r="K2" s="399"/>
      <c r="L2" s="400" t="s">
        <v>722</v>
      </c>
      <c r="M2" s="401"/>
      <c r="N2" s="401"/>
      <c r="O2" s="401"/>
      <c r="P2" s="401"/>
      <c r="Q2" s="402"/>
      <c r="R2" s="397" t="s">
        <v>666</v>
      </c>
      <c r="S2" s="398"/>
      <c r="T2" s="398"/>
      <c r="U2" s="398"/>
      <c r="V2" s="398"/>
      <c r="W2" s="399"/>
      <c r="X2" s="397" t="s">
        <v>667</v>
      </c>
      <c r="Y2" s="398"/>
      <c r="Z2" s="398"/>
      <c r="AA2" s="398"/>
      <c r="AB2" s="398"/>
      <c r="AC2" s="399"/>
      <c r="AD2" s="397" t="s">
        <v>700</v>
      </c>
      <c r="AE2" s="398"/>
      <c r="AF2" s="398"/>
      <c r="AG2" s="398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2" x14ac:dyDescent="0.25">
      <c r="A3" s="59"/>
      <c r="B3" s="91" t="s">
        <v>668</v>
      </c>
      <c r="C3" s="91" t="s">
        <v>669</v>
      </c>
      <c r="D3" s="91" t="s">
        <v>669</v>
      </c>
      <c r="E3" s="91" t="s">
        <v>670</v>
      </c>
      <c r="F3" s="404" t="s">
        <v>723</v>
      </c>
      <c r="G3" s="403" t="s">
        <v>724</v>
      </c>
      <c r="H3" s="403" t="s">
        <v>725</v>
      </c>
      <c r="I3" s="403" t="s">
        <v>726</v>
      </c>
      <c r="J3" s="403" t="s">
        <v>727</v>
      </c>
      <c r="K3" s="93" t="s">
        <v>671</v>
      </c>
      <c r="L3" s="405" t="s">
        <v>723</v>
      </c>
      <c r="M3" s="406" t="s">
        <v>724</v>
      </c>
      <c r="N3" s="406" t="s">
        <v>725</v>
      </c>
      <c r="O3" s="406" t="s">
        <v>726</v>
      </c>
      <c r="P3" s="406" t="s">
        <v>728</v>
      </c>
      <c r="Q3" s="407" t="s">
        <v>729</v>
      </c>
      <c r="R3" s="405" t="s">
        <v>730</v>
      </c>
      <c r="S3" s="403" t="s">
        <v>724</v>
      </c>
      <c r="T3" s="403" t="s">
        <v>731</v>
      </c>
      <c r="U3" s="403" t="s">
        <v>732</v>
      </c>
      <c r="V3" s="403" t="s">
        <v>733</v>
      </c>
      <c r="W3" s="407" t="s">
        <v>730</v>
      </c>
      <c r="X3" s="406" t="s">
        <v>734</v>
      </c>
      <c r="Y3" s="406" t="s">
        <v>724</v>
      </c>
      <c r="Z3" s="406" t="s">
        <v>731</v>
      </c>
      <c r="AA3" s="406" t="s">
        <v>732</v>
      </c>
      <c r="AB3" s="406" t="s">
        <v>733</v>
      </c>
      <c r="AC3" s="407" t="s">
        <v>734</v>
      </c>
      <c r="AD3" s="408" t="s">
        <v>703</v>
      </c>
      <c r="AE3" s="403" t="s">
        <v>735</v>
      </c>
      <c r="AF3" s="403" t="s">
        <v>736</v>
      </c>
      <c r="AG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62" t="s">
        <v>677</v>
      </c>
      <c r="AX3" s="62" t="s">
        <v>677</v>
      </c>
      <c r="AY3" s="62" t="s">
        <v>679</v>
      </c>
      <c r="AZ3" s="62" t="s">
        <v>738</v>
      </c>
    </row>
    <row r="4" spans="1:52" x14ac:dyDescent="0.25">
      <c r="A4" s="59"/>
      <c r="B4" s="91"/>
      <c r="C4" s="91" t="s">
        <v>682</v>
      </c>
      <c r="D4" s="91" t="s">
        <v>682</v>
      </c>
      <c r="E4" s="91"/>
      <c r="F4" s="404"/>
      <c r="G4" s="403"/>
      <c r="H4" s="403"/>
      <c r="I4" s="403"/>
      <c r="J4" s="403"/>
      <c r="K4" s="93" t="s">
        <v>737</v>
      </c>
      <c r="L4" s="405"/>
      <c r="M4" s="406"/>
      <c r="N4" s="406"/>
      <c r="O4" s="406"/>
      <c r="P4" s="406"/>
      <c r="Q4" s="407"/>
      <c r="R4" s="405"/>
      <c r="S4" s="403"/>
      <c r="T4" s="403"/>
      <c r="U4" s="403"/>
      <c r="V4" s="403"/>
      <c r="W4" s="407"/>
      <c r="X4" s="406"/>
      <c r="Y4" s="406"/>
      <c r="Z4" s="406"/>
      <c r="AA4" s="406"/>
      <c r="AB4" s="406"/>
      <c r="AC4" s="407"/>
      <c r="AD4" s="408"/>
      <c r="AE4" s="403"/>
      <c r="AF4" s="403"/>
      <c r="AG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62" t="s">
        <v>688</v>
      </c>
      <c r="AX4" s="62" t="s">
        <v>689</v>
      </c>
      <c r="AY4" s="62" t="s">
        <v>689</v>
      </c>
      <c r="AZ4" s="62" t="s">
        <v>689</v>
      </c>
    </row>
    <row r="5" spans="1:52" x14ac:dyDescent="0.25">
      <c r="A5" s="59"/>
      <c r="B5" s="66">
        <v>1</v>
      </c>
      <c r="C5" s="67">
        <f ca="1">IF(E5-'Invoer gegevens (N)'!$C$17&lt;0,0,1)</f>
        <v>1</v>
      </c>
      <c r="D5" s="68">
        <v>0.5</v>
      </c>
      <c r="E5" s="69">
        <f ca="1">IF('Invoer gegevens (N)'!$C$16="","",'Invoer gegevens (N)'!$C$16)</f>
        <v>2019</v>
      </c>
      <c r="F5" s="84">
        <f ca="1">IF('Invoer gegevens (N)'!$C$17=E5,'Invoer gegevens (N)'!$C$10,IF(C5=1,K4,0))</f>
        <v>0</v>
      </c>
      <c r="G5" s="96">
        <f ca="1">IF(C5&gt;=1,F5*VLOOKUP(E5,'Reeksen (N)'!$A$5:$B$76,2),0)</f>
        <v>0</v>
      </c>
      <c r="H5" s="84">
        <f ca="1">(1-('Invoer gegevens (N)'!$F$20/12))*F5*MIN('Reeksen (N)'!B5,'Reeksen (N)'!D5)</f>
        <v>0</v>
      </c>
      <c r="I5" s="84">
        <f>IF('Reeksen (N)'!D5&lt;'Reeksen (N)'!B5,('Reeksen (N)'!B5-'Reeksen (N)'!D5)*F5,0)</f>
        <v>0</v>
      </c>
      <c r="J5" s="84">
        <f>('Invoer gegevens (N)'!$F$20/12)*F4*MIN('Reeksen (N)'!B4,'Reeksen (N)'!D4)</f>
        <v>0</v>
      </c>
      <c r="K5" s="97">
        <f ca="1">F5-G5</f>
        <v>0</v>
      </c>
      <c r="L5" s="84">
        <f ca="1">IF('Invoer gegevens (N)'!$C$17=E5,0,IF(C5=1,Q4,0))</f>
        <v>0</v>
      </c>
      <c r="M5" s="96">
        <f ca="1">IF(C5&gt;=1,L5*VLOOKUP(E5,'Reeksen (N)'!$A$5:$B$76,2),0)</f>
        <v>0</v>
      </c>
      <c r="N5" s="84">
        <f ca="1">(1-('Invoer gegevens (N)'!$F$20/12))*L5*MIN('Reeksen (N)'!B5,'Reeksen (N)'!D5)</f>
        <v>0</v>
      </c>
      <c r="O5" s="84">
        <f>IF('Reeksen (N)'!D5&lt;'Reeksen (N)'!B5,('Reeksen (N)'!B5-'Reeksen (N)'!D5)*L5,0)</f>
        <v>0</v>
      </c>
      <c r="P5" s="84">
        <f>('Invoer gegevens (N)'!$F$20/12)*L4*MIN('Reeksen (N)'!B4,'Reeksen (N)'!D4)</f>
        <v>0</v>
      </c>
      <c r="Q5" s="84">
        <f ca="1">L5-M5+I5+O5</f>
        <v>0</v>
      </c>
      <c r="R5" s="82">
        <f ca="1">IF('Invoer gegevens (N)'!$C$17=E5,'Invoer gegevens (N)'!$C$11,IF(C5=1,W4,0))</f>
        <v>0</v>
      </c>
      <c r="S5" s="86">
        <f ca="1">IF(C5&gt;=1,R5*VLOOKUP(E5,'Reeksen (N)'!$A$5:$B$76,2),0)</f>
        <v>0</v>
      </c>
      <c r="T5" s="84">
        <f ca="1">(1-('Invoer gegevens (N)'!$F$20/12))*R5*MIN('Reeksen (N)'!B5,'Reeksen (N)'!D5)</f>
        <v>0</v>
      </c>
      <c r="U5" s="84">
        <f>IF('Reeksen (N)'!D5&gt;='Reeksen (N)'!B5,0,IF('Reeksen (N)'!AD5&lt;='Reeksen (N)'!AE5,('Reeksen (N)'!B5-'Reeksen (N)'!D5)*R5,0))</f>
        <v>0</v>
      </c>
      <c r="V5" s="86">
        <f>IF('Reeksen (N)'!D5&gt;='Reeksen (N)'!B5,0,IF('Reeksen (N)'!AD5&gt;'Reeksen (N)'!AE5,('Reeksen (N)'!B5-'Reeksen (N)'!D5)*R5,0))</f>
        <v>0</v>
      </c>
      <c r="W5" s="97">
        <f ca="1">R5-S5</f>
        <v>0</v>
      </c>
      <c r="X5" s="98">
        <f ca="1">IF('Invoer gegevens (N)'!$C$17=E5,'Invoer gegevens (N)'!$C$10-'Invoer gegevens (N)'!$C$11,IF(C5=1,AC4,0))</f>
        <v>0</v>
      </c>
      <c r="Y5" s="98">
        <f ca="1">IF(C5&gt;=1,X5*VLOOKUP(E5,'Reeksen (N)'!$A$5:$B$76,2),0)</f>
        <v>0</v>
      </c>
      <c r="Z5" s="98">
        <f ca="1">(1-('Invoer gegevens (N)'!$F$20/12))*X5*MIN('Reeksen (N)'!B5,'Reeksen (N)'!D5)</f>
        <v>0</v>
      </c>
      <c r="AA5" s="98">
        <f>IF('Reeksen (N)'!D5&gt;='Reeksen (N)'!B5,0,IF('Reeksen (N)'!AD5&lt;='Reeksen (N)'!AE5,('Reeksen (N)'!B5-'Reeksen (N)'!D5)*X5,0))</f>
        <v>0</v>
      </c>
      <c r="AB5" s="98">
        <f>IF('Reeksen (N)'!D5&gt;='Reeksen (N)'!B5,0,IF('Reeksen (N)'!AD5&gt;'Reeksen (N)'!AE5,('Reeksen (N)'!B5-'Reeksen (N)'!D5)*X5,0))</f>
        <v>0</v>
      </c>
      <c r="AC5" s="99">
        <f ca="1">X5-Y5</f>
        <v>0</v>
      </c>
      <c r="AD5" s="98">
        <f ca="1">IF('Invoer gegevens (N)'!$C$17=E5,R5,IF(C5=0,0,AE4))</f>
        <v>0</v>
      </c>
      <c r="AE5" s="98">
        <f ca="1">IF(C5=0,0,AD5-S5-V5+AA5)</f>
        <v>0</v>
      </c>
      <c r="AF5" s="98">
        <f ca="1">IF('Invoer gegevens (N)'!$C$17=E5,X5,IF(C5=0,0,AG4))</f>
        <v>0</v>
      </c>
      <c r="AG5" s="98">
        <f ca="1">IF(C5=0,0,AF5-Y5-AA5+V5)</f>
        <v>0</v>
      </c>
      <c r="AH5" s="66"/>
      <c r="AI5" s="71">
        <f ca="1">IF(C5=1,'Reeksen (N)'!AI5*((F5-G5+F5)/2)*12+'Reeksen (N)'!AD5*((L5-M5+L5)/2)*12,0)</f>
        <v>0</v>
      </c>
      <c r="AJ5" s="71">
        <f ca="1">-AI5*'Invoer gegevens (N)'!$F$26</f>
        <v>0</v>
      </c>
      <c r="AK5" s="71">
        <f ca="1">AI5+AJ5</f>
        <v>0</v>
      </c>
      <c r="AL5" s="71">
        <f ca="1">IF(C5=1,'Reeksen (N)'!AL5*((F5-G5+F5)/2)*12+'Reeksen (N)'!AM5*((L5-M5+L5)/2)*12,0)</f>
        <v>0</v>
      </c>
      <c r="AM5" s="71">
        <f ca="1">-AL5*'Invoer gegevens (N)'!$F$31</f>
        <v>0</v>
      </c>
      <c r="AN5" s="71">
        <f ca="1">AL5+AM5</f>
        <v>0</v>
      </c>
      <c r="AO5" s="71">
        <f ca="1">IF(C5=1,(H5+J5+N5+P5)*'Reeksen (N)'!AN5,0)</f>
        <v>0</v>
      </c>
      <c r="AP5" s="71">
        <f ca="1">-IF(C5=1,(H5+J5+N5+P5)*'Hulp - basis'!$O$550*'Reeksen (N)'!H5,0)</f>
        <v>0</v>
      </c>
      <c r="AQ5" s="71">
        <f ca="1">-IF(C5=1,(F5+K5+L5+Q5)/2*'Invoer gegevens (N)'!$F$35*'Reeksen (N)'!J5,0)*2</f>
        <v>0</v>
      </c>
      <c r="AR5" s="71"/>
      <c r="AS5" s="71">
        <f ca="1">-IF(C5=1,(F5+K5+L5+Q5)/2*'Invoer gegevens (N)'!$F$37*'Reeksen (N)'!L5,0)</f>
        <v>0</v>
      </c>
      <c r="AT5" s="71">
        <f ca="1">-IF(C5=1,IF(E5='Invoer gegevens (N)'!$C$17,'Invoer gegevens (N)'!$C$11,AD5)*'Reeksen (N)'!S5*'Invoer gegevens (N)'!$C$18*'Reeksen (N)'!P5,0)</f>
        <v>0</v>
      </c>
      <c r="AU5" s="71">
        <f ca="1">-IF(C5=1,(F5+K5+L5+Q5)/2*'Invoer gegevens (N)'!$F$38*'Reeksen (N)'!H5,0)</f>
        <v>0</v>
      </c>
      <c r="AV5" s="71">
        <v>0</v>
      </c>
      <c r="AW5" s="71">
        <f ca="1">SUM(AK5,AN5:AV5)</f>
        <v>0</v>
      </c>
      <c r="AX5" s="71">
        <f ca="1">IF(E5&lt;'Invoer gegevens (N)'!$C$17+15,0,IF(E5&gt;'Invoer gegevens (N)'!$C$17+215,0,AW5))</f>
        <v>0</v>
      </c>
      <c r="AY5" s="71">
        <f ca="1">AX5/(1+'Invoer gegevens (N)'!$F$18)^($AZ5-('Invoer gegevens (N)'!$C$17-'Invoer gegevens (N)'!$C$16))/(1+'Invoer gegevens (N)'!$C$39)^('Invoer gegevens (N)'!$C$17-'Invoer gegevens (N)'!$C$16)</f>
        <v>0</v>
      </c>
      <c r="AZ5" s="68">
        <f ca="1">IF(E5-'Invoer gegevens (N)'!$C$17-14.5&lt;0,0,E5-'Invoer gegevens (N)'!$C$17-14.5)</f>
        <v>0</v>
      </c>
    </row>
    <row r="6" spans="1:52" x14ac:dyDescent="0.25">
      <c r="A6" s="59"/>
      <c r="B6" s="70">
        <f>B5+1</f>
        <v>2</v>
      </c>
      <c r="C6" s="67">
        <f ca="1">IF(E6-'Invoer gegevens (N)'!$C$17&lt;0,0,1)</f>
        <v>1</v>
      </c>
      <c r="D6" s="68">
        <f>D5+1</f>
        <v>1.5</v>
      </c>
      <c r="E6" s="69">
        <f ca="1">IF('Invoer gegevens (N)'!$C$16="","",E5+1)</f>
        <v>2020</v>
      </c>
      <c r="F6" s="84">
        <f ca="1">IF('Invoer gegevens (N)'!$C$17=E6,'Invoer gegevens (N)'!$C$10,IF(C6=1,K5,0))</f>
        <v>0</v>
      </c>
      <c r="G6" s="96">
        <f ca="1">IF(C6&gt;=1,F6*VLOOKUP(E6,'Reeksen (N)'!$A$5:$B$76,2),0)</f>
        <v>0</v>
      </c>
      <c r="H6" s="84">
        <f ca="1">(1-('Invoer gegevens (N)'!$F$20/12))*F6*MIN('Reeksen (N)'!B6,'Reeksen (N)'!D6)</f>
        <v>0</v>
      </c>
      <c r="I6" s="84">
        <f>IF('Reeksen (N)'!D6&lt;'Reeksen (N)'!B6,('Reeksen (N)'!B6-'Reeksen (N)'!D6)*F6,0)</f>
        <v>0</v>
      </c>
      <c r="J6" s="84">
        <f ca="1">('Invoer gegevens (N)'!$F$20/12)*F5*MIN('Reeksen (N)'!B5,'Reeksen (N)'!D5)</f>
        <v>0</v>
      </c>
      <c r="K6" s="97">
        <f t="shared" ref="K6:K69" ca="1" si="0">F6-G6</f>
        <v>0</v>
      </c>
      <c r="L6" s="84">
        <f ca="1">IF('Invoer gegevens (N)'!$C$17=E6,0,IF(C6=1,Q5,0))</f>
        <v>0</v>
      </c>
      <c r="M6" s="96">
        <f ca="1">IF(C6&gt;=1,L6*VLOOKUP(E6,'Reeksen (N)'!$A$5:$B$76,2),0)</f>
        <v>0</v>
      </c>
      <c r="N6" s="84">
        <f ca="1">(1-('Invoer gegevens (N)'!$F$20/12))*L6*MIN('Reeksen (N)'!B6,'Reeksen (N)'!D6)</f>
        <v>0</v>
      </c>
      <c r="O6" s="84">
        <f>IF('Reeksen (N)'!D6&lt;'Reeksen (N)'!B6,('Reeksen (N)'!B6-'Reeksen (N)'!D6)*L6,0)</f>
        <v>0</v>
      </c>
      <c r="P6" s="84">
        <f ca="1">('Invoer gegevens (N)'!$F$20/12)*L5*MIN('Reeksen (N)'!B5,'Reeksen (N)'!D5)</f>
        <v>0</v>
      </c>
      <c r="Q6" s="84">
        <f t="shared" ref="Q6:Q69" ca="1" si="1">L6-M6+I6+O6</f>
        <v>0</v>
      </c>
      <c r="R6" s="82">
        <f ca="1">IF('Invoer gegevens (N)'!$C$17=E6,'Invoer gegevens (N)'!$C$11,IF(C6=1,W5,0))</f>
        <v>0</v>
      </c>
      <c r="S6" s="86">
        <f ca="1">IF(C6&gt;=1,R6*VLOOKUP(E6,'Reeksen (N)'!$A$5:$B$76,2),0)</f>
        <v>0</v>
      </c>
      <c r="T6" s="84">
        <f ca="1">(1-('Invoer gegevens (N)'!$F$20/12))*R6*MIN('Reeksen (N)'!B6,'Reeksen (N)'!D6)</f>
        <v>0</v>
      </c>
      <c r="U6" s="84">
        <f>IF('Reeksen (N)'!D6&gt;='Reeksen (N)'!B6,0,IF('Reeksen (N)'!AD6&lt;='Reeksen (N)'!AE6,('Reeksen (N)'!B6-'Reeksen (N)'!D6)*R6,0))</f>
        <v>0</v>
      </c>
      <c r="V6" s="86">
        <f>IF('Reeksen (N)'!D6&gt;='Reeksen (N)'!B6,0,IF('Reeksen (N)'!AD6&gt;'Reeksen (N)'!AE6,('Reeksen (N)'!B6-'Reeksen (N)'!D6)*R6,0))</f>
        <v>0</v>
      </c>
      <c r="W6" s="97">
        <f t="shared" ref="W6:W69" ca="1" si="2">R6-S6</f>
        <v>0</v>
      </c>
      <c r="X6" s="98">
        <f ca="1">IF('Invoer gegevens (N)'!$C$17=E6,'Invoer gegevens (N)'!$C$10-'Invoer gegevens (N)'!$C$11,IF(C6=1,AC5,0))</f>
        <v>0</v>
      </c>
      <c r="Y6" s="98">
        <f ca="1">IF(C6&gt;=1,X6*VLOOKUP(E6,'Reeksen (N)'!$A$5:$B$76,2),0)</f>
        <v>0</v>
      </c>
      <c r="Z6" s="98">
        <f ca="1">(1-('Invoer gegevens (N)'!$F$20/12))*X6*MIN('Reeksen (N)'!B6,'Reeksen (N)'!D6)</f>
        <v>0</v>
      </c>
      <c r="AA6" s="98">
        <f>IF('Reeksen (N)'!D6&gt;='Reeksen (N)'!B6,0,IF('Reeksen (N)'!AD6&lt;='Reeksen (N)'!AE6,('Reeksen (N)'!B6-'Reeksen (N)'!D6)*X6,0))</f>
        <v>0</v>
      </c>
      <c r="AB6" s="98">
        <f>IF('Reeksen (N)'!D6&gt;='Reeksen (N)'!B6,0,IF('Reeksen (N)'!AD6&gt;'Reeksen (N)'!AE6,('Reeksen (N)'!B6-'Reeksen (N)'!D6)*X6,0))</f>
        <v>0</v>
      </c>
      <c r="AC6" s="99">
        <f t="shared" ref="AC6:AC69" ca="1" si="3">X6-Y6</f>
        <v>0</v>
      </c>
      <c r="AD6" s="98">
        <f ca="1">IF('Invoer gegevens (N)'!$C$17=E6,R6,IF(C6=0,0,AE5))</f>
        <v>0</v>
      </c>
      <c r="AE6" s="98">
        <f t="shared" ref="AE6:AE69" ca="1" si="4">IF(C6=0,0,AD6-S6-V6+AA6)</f>
        <v>0</v>
      </c>
      <c r="AF6" s="98">
        <f ca="1">IF('Invoer gegevens (N)'!$C$17=E6,X6,IF(C6=0,0,AG5))</f>
        <v>0</v>
      </c>
      <c r="AG6" s="98">
        <f t="shared" ref="AG6:AG69" ca="1" si="5">IF(C6=0,0,AF6-Y6-AA6+V6)</f>
        <v>0</v>
      </c>
      <c r="AH6" s="66"/>
      <c r="AI6" s="71">
        <f ca="1">IF(C6=1,'Reeksen (N)'!AI6*((F6-G6+F6)/2)*12+'Reeksen (N)'!AD6*((L6-M6+L6)/2)*12,0)</f>
        <v>0</v>
      </c>
      <c r="AJ6" s="71">
        <f ca="1">-AI6*'Invoer gegevens (N)'!$F$27</f>
        <v>0</v>
      </c>
      <c r="AK6" s="71">
        <f t="shared" ref="AK6:AK69" ca="1" si="6">AI6+AJ6</f>
        <v>0</v>
      </c>
      <c r="AL6" s="71">
        <f ca="1">IF(C6=1,'Reeksen (N)'!AL6*((F6-G6+F6)/2)*12+'Reeksen (N)'!AM6*((L6-M6+L6)/2)*12,0)</f>
        <v>0</v>
      </c>
      <c r="AM6" s="71">
        <f ca="1">-AL6*'Invoer gegevens (N)'!$F$31</f>
        <v>0</v>
      </c>
      <c r="AN6" s="71">
        <f t="shared" ref="AN6:AN69" ca="1" si="7">AL6+AM6</f>
        <v>0</v>
      </c>
      <c r="AO6" s="71">
        <f ca="1">IF(C6=1,(H6+J6+N6+P6)*'Reeksen (N)'!AN6,0)</f>
        <v>0</v>
      </c>
      <c r="AP6" s="71">
        <f ca="1">-IF(C6=1,(H6+J6+N6+P6)*'Hulp - basis'!$O$550*'Reeksen (N)'!H6,0)</f>
        <v>0</v>
      </c>
      <c r="AQ6" s="71">
        <f ca="1">-IF(C6=1,(F6+K6+L6+Q6)/2*'Invoer gegevens (N)'!$F$35*'Reeksen (N)'!J6,0)*2</f>
        <v>0</v>
      </c>
      <c r="AR6" s="71"/>
      <c r="AS6" s="71">
        <f ca="1">-IF(C6=1,(F6+K6+L6+Q6)/2*'Invoer gegevens (N)'!$F$37*'Reeksen (N)'!L6,0)</f>
        <v>0</v>
      </c>
      <c r="AT6" s="71">
        <f ca="1">-IF(C6=1,IF(E6='Invoer gegevens (N)'!$C$17,'Invoer gegevens (N)'!$C$11,AD6)*'Reeksen (N)'!S6*'Invoer gegevens (N)'!$C$18*'Reeksen (N)'!P6,0)</f>
        <v>0</v>
      </c>
      <c r="AU6" s="71">
        <f ca="1">-IF(C6=1,(F6+K6+L6+Q6)/2*'Invoer gegevens (N)'!$F$38*'Reeksen (N)'!H6,0)</f>
        <v>0</v>
      </c>
      <c r="AV6" s="71">
        <v>0</v>
      </c>
      <c r="AW6" s="71">
        <f t="shared" ref="AW6:AW69" ca="1" si="8">SUM(AK6,AN6:AV6)</f>
        <v>0</v>
      </c>
      <c r="AX6" s="71">
        <f ca="1">IF(E6&lt;'Invoer gegevens (N)'!$C$17+15,0,IF(E6&gt;'Invoer gegevens (N)'!$C$17+215,0,AW6))</f>
        <v>0</v>
      </c>
      <c r="AY6" s="71">
        <f ca="1">AX6/(1+'Invoer gegevens (N)'!$F$18)^($AZ6-('Invoer gegevens (N)'!$C$17-'Invoer gegevens (N)'!$C$16))/(1+'Invoer gegevens (N)'!$C$39)^('Invoer gegevens (N)'!$C$17-'Invoer gegevens (N)'!$C$16)</f>
        <v>0</v>
      </c>
      <c r="AZ6" s="68">
        <f ca="1">IF(E6-'Invoer gegevens (N)'!$C$17-14.5&lt;0,0,E6-'Invoer gegevens (N)'!$C$17-14.5)</f>
        <v>0</v>
      </c>
    </row>
    <row r="7" spans="1:52" x14ac:dyDescent="0.25">
      <c r="A7" s="59"/>
      <c r="B7" s="70">
        <f>B6+1</f>
        <v>3</v>
      </c>
      <c r="C7" s="67">
        <f ca="1">IF(E7-'Invoer gegevens (N)'!$C$17&lt;0,0,1)</f>
        <v>1</v>
      </c>
      <c r="D7" s="68">
        <f>D6+1</f>
        <v>2.5</v>
      </c>
      <c r="E7" s="69">
        <f ca="1">IF('Invoer gegevens (N)'!$C$16="","",E6+1)</f>
        <v>2021</v>
      </c>
      <c r="F7" s="84">
        <f ca="1">IF('Invoer gegevens (N)'!$C$17=E7,'Invoer gegevens (N)'!$C$10,IF(C7=1,K6,0))</f>
        <v>0</v>
      </c>
      <c r="G7" s="96">
        <f ca="1">IF(C7&gt;=1,F7*VLOOKUP(E7,'Reeksen (N)'!$A$5:$B$76,2),0)</f>
        <v>0</v>
      </c>
      <c r="H7" s="84">
        <f ca="1">(1-('Invoer gegevens (N)'!$F$20/12))*F7*MIN('Reeksen (N)'!B7,'Reeksen (N)'!D7)</f>
        <v>0</v>
      </c>
      <c r="I7" s="84">
        <f>IF('Reeksen (N)'!D7&lt;'Reeksen (N)'!B7,('Reeksen (N)'!B7-'Reeksen (N)'!D7)*F7,0)</f>
        <v>0</v>
      </c>
      <c r="J7" s="84">
        <f ca="1">('Invoer gegevens (N)'!$F$20/12)*F6*MIN('Reeksen (N)'!B6,'Reeksen (N)'!D6)</f>
        <v>0</v>
      </c>
      <c r="K7" s="97">
        <f t="shared" ca="1" si="0"/>
        <v>0</v>
      </c>
      <c r="L7" s="84">
        <f ca="1">IF('Invoer gegevens (N)'!$C$17=E7,0,IF(C7=1,Q6,0))</f>
        <v>0</v>
      </c>
      <c r="M7" s="96">
        <f ca="1">IF(C7&gt;=1,L7*VLOOKUP(E7,'Reeksen (N)'!$A$5:$B$76,2),0)</f>
        <v>0</v>
      </c>
      <c r="N7" s="84">
        <f ca="1">(1-('Invoer gegevens (N)'!$F$20/12))*L7*MIN('Reeksen (N)'!B7,'Reeksen (N)'!D7)</f>
        <v>0</v>
      </c>
      <c r="O7" s="84">
        <f>IF('Reeksen (N)'!D7&lt;'Reeksen (N)'!B7,('Reeksen (N)'!B7-'Reeksen (N)'!D7)*L7,0)</f>
        <v>0</v>
      </c>
      <c r="P7" s="84">
        <f ca="1">('Invoer gegevens (N)'!$F$20/12)*L6*MIN('Reeksen (N)'!B6,'Reeksen (N)'!D6)</f>
        <v>0</v>
      </c>
      <c r="Q7" s="84">
        <f t="shared" ca="1" si="1"/>
        <v>0</v>
      </c>
      <c r="R7" s="82">
        <f ca="1">IF('Invoer gegevens (N)'!$C$17=E7,'Invoer gegevens (N)'!$C$11,IF(C7=1,W6,0))</f>
        <v>0</v>
      </c>
      <c r="S7" s="86">
        <f ca="1">IF(C7&gt;=1,R7*VLOOKUP(E7,'Reeksen (N)'!$A$5:$B$76,2),0)</f>
        <v>0</v>
      </c>
      <c r="T7" s="84">
        <f ca="1">(1-('Invoer gegevens (N)'!$F$20/12))*R7*MIN('Reeksen (N)'!B7,'Reeksen (N)'!D7)</f>
        <v>0</v>
      </c>
      <c r="U7" s="84">
        <f>IF('Reeksen (N)'!D7&gt;='Reeksen (N)'!B7,0,IF('Reeksen (N)'!AD7&lt;='Reeksen (N)'!AE7,('Reeksen (N)'!B7-'Reeksen (N)'!D7)*R7,0))</f>
        <v>0</v>
      </c>
      <c r="V7" s="86">
        <f>IF('Reeksen (N)'!D7&gt;='Reeksen (N)'!B7,0,IF('Reeksen (N)'!AD7&gt;'Reeksen (N)'!AE7,('Reeksen (N)'!B7-'Reeksen (N)'!D7)*R7,0))</f>
        <v>0</v>
      </c>
      <c r="W7" s="97">
        <f t="shared" ca="1" si="2"/>
        <v>0</v>
      </c>
      <c r="X7" s="98">
        <f ca="1">IF('Invoer gegevens (N)'!$C$17=E7,'Invoer gegevens (N)'!$C$10-'Invoer gegevens (N)'!$C$11,IF(C7=1,AC6,0))</f>
        <v>0</v>
      </c>
      <c r="Y7" s="98">
        <f ca="1">IF(C7&gt;=1,X7*VLOOKUP(E7,'Reeksen (N)'!$A$5:$B$76,2),0)</f>
        <v>0</v>
      </c>
      <c r="Z7" s="98">
        <f ca="1">(1-('Invoer gegevens (N)'!$F$20/12))*X7*MIN('Reeksen (N)'!B7,'Reeksen (N)'!D7)</f>
        <v>0</v>
      </c>
      <c r="AA7" s="98">
        <f>IF('Reeksen (N)'!D7&gt;='Reeksen (N)'!B7,0,IF('Reeksen (N)'!AD7&lt;='Reeksen (N)'!AE7,('Reeksen (N)'!B7-'Reeksen (N)'!D7)*X7,0))</f>
        <v>0</v>
      </c>
      <c r="AB7" s="98">
        <f>IF('Reeksen (N)'!D7&gt;='Reeksen (N)'!B7,0,IF('Reeksen (N)'!AD7&gt;'Reeksen (N)'!AE7,('Reeksen (N)'!B7-'Reeksen (N)'!D7)*X7,0))</f>
        <v>0</v>
      </c>
      <c r="AC7" s="99">
        <f t="shared" ca="1" si="3"/>
        <v>0</v>
      </c>
      <c r="AD7" s="98">
        <f ca="1">IF('Invoer gegevens (N)'!$C$17=E7,R7,IF(C7=0,0,AE6))</f>
        <v>0</v>
      </c>
      <c r="AE7" s="98">
        <f t="shared" ca="1" si="4"/>
        <v>0</v>
      </c>
      <c r="AF7" s="98">
        <f ca="1">IF('Invoer gegevens (N)'!$C$17=E7,X7,IF(C7=0,0,AG6))</f>
        <v>0</v>
      </c>
      <c r="AG7" s="98">
        <f t="shared" ca="1" si="5"/>
        <v>0</v>
      </c>
      <c r="AH7" s="66"/>
      <c r="AI7" s="71">
        <f ca="1">IF(C7=1,'Reeksen (N)'!AI7*((F7-G7+F7)/2)*12+'Reeksen (N)'!AD7*((L7-M7+L7)/2)*12,0)</f>
        <v>0</v>
      </c>
      <c r="AJ7" s="71">
        <f ca="1">-AI7*'Invoer gegevens (N)'!$F$28</f>
        <v>0</v>
      </c>
      <c r="AK7" s="71">
        <f t="shared" ca="1" si="6"/>
        <v>0</v>
      </c>
      <c r="AL7" s="71">
        <f ca="1">IF(C7=1,'Reeksen (N)'!AL7*((F7-G7+F7)/2)*12+'Reeksen (N)'!AM7*((L7-M7+L7)/2)*12,0)</f>
        <v>0</v>
      </c>
      <c r="AM7" s="71">
        <f ca="1">-AL7*'Invoer gegevens (N)'!$F$31</f>
        <v>0</v>
      </c>
      <c r="AN7" s="71">
        <f t="shared" ca="1" si="7"/>
        <v>0</v>
      </c>
      <c r="AO7" s="71">
        <f ca="1">IF(C7=1,(H7+J7+N7+P7)*'Reeksen (N)'!AN7,0)</f>
        <v>0</v>
      </c>
      <c r="AP7" s="71">
        <f ca="1">-IF(C7=1,(H7+J7+N7+P7)*'Hulp - basis'!$O$550*'Reeksen (N)'!H7,0)</f>
        <v>0</v>
      </c>
      <c r="AQ7" s="71">
        <f ca="1">-IF(C7=1,(F7+K7+L7+Q7)/2*'Invoer gegevens (N)'!$F$35*'Reeksen (N)'!J7,0)*2</f>
        <v>0</v>
      </c>
      <c r="AR7" s="71"/>
      <c r="AS7" s="71">
        <f ca="1">-IF(C7=1,(F7+K7+L7+Q7)/2*'Invoer gegevens (N)'!$F$37*'Reeksen (N)'!L7,0)</f>
        <v>0</v>
      </c>
      <c r="AT7" s="71">
        <f ca="1">-IF(C7=1,IF(E7='Invoer gegevens (N)'!$C$17,'Invoer gegevens (N)'!$C$11,AD7)*'Reeksen (N)'!S7*'Invoer gegevens (N)'!$C$18*'Reeksen (N)'!P7,0)</f>
        <v>0</v>
      </c>
      <c r="AU7" s="71">
        <f ca="1">-IF(C7=1,(F7+K7+L7+Q7)/2*'Invoer gegevens (N)'!$F$38*'Reeksen (N)'!H7,0)</f>
        <v>0</v>
      </c>
      <c r="AV7" s="71">
        <v>0</v>
      </c>
      <c r="AW7" s="71">
        <f t="shared" ca="1" si="8"/>
        <v>0</v>
      </c>
      <c r="AX7" s="71">
        <f ca="1">IF(E7&lt;'Invoer gegevens (N)'!$C$17+15,0,IF(E7&gt;'Invoer gegevens (N)'!$C$17+215,0,AW7))</f>
        <v>0</v>
      </c>
      <c r="AY7" s="71">
        <f ca="1">AX7/(1+'Invoer gegevens (N)'!$F$18)^($AZ7-('Invoer gegevens (N)'!$C$17-'Invoer gegevens (N)'!$C$16))/(1+'Invoer gegevens (N)'!$C$39)^('Invoer gegevens (N)'!$C$17-'Invoer gegevens (N)'!$C$16)</f>
        <v>0</v>
      </c>
      <c r="AZ7" s="68">
        <f ca="1">IF(E7-'Invoer gegevens (N)'!$C$17-14.5&lt;0,0,E7-'Invoer gegevens (N)'!$C$17-14.5)</f>
        <v>0</v>
      </c>
    </row>
    <row r="8" spans="1:52" x14ac:dyDescent="0.25">
      <c r="A8" s="59"/>
      <c r="B8" s="70">
        <f t="shared" ref="B8:B71" si="9">B7+1</f>
        <v>4</v>
      </c>
      <c r="C8" s="67">
        <f ca="1">IF(E8-'Invoer gegevens (N)'!$C$17&lt;0,0,1)</f>
        <v>1</v>
      </c>
      <c r="D8" s="68">
        <f t="shared" ref="D8:D71" si="10">D7+1</f>
        <v>3.5</v>
      </c>
      <c r="E8" s="69">
        <f ca="1">IF('Invoer gegevens (N)'!$C$16="","",E7+1)</f>
        <v>2022</v>
      </c>
      <c r="F8" s="84">
        <f ca="1">IF('Invoer gegevens (N)'!$C$17=E8,'Invoer gegevens (N)'!$C$10,IF(C8=1,K7,0))</f>
        <v>0</v>
      </c>
      <c r="G8" s="96">
        <f ca="1">IF(C8&gt;=1,F8*VLOOKUP(E8,'Reeksen (N)'!$A$5:$B$76,2),0)</f>
        <v>0</v>
      </c>
      <c r="H8" s="84">
        <f ca="1">(1-('Invoer gegevens (N)'!$F$20/12))*F8*MIN('Reeksen (N)'!B8,'Reeksen (N)'!D8)</f>
        <v>0</v>
      </c>
      <c r="I8" s="84">
        <f>IF('Reeksen (N)'!D8&lt;'Reeksen (N)'!B8,('Reeksen (N)'!B8-'Reeksen (N)'!D8)*F8,0)</f>
        <v>0</v>
      </c>
      <c r="J8" s="84">
        <f ca="1">('Invoer gegevens (N)'!$F$20/12)*F7*MIN('Reeksen (N)'!B7,'Reeksen (N)'!D7)</f>
        <v>0</v>
      </c>
      <c r="K8" s="97">
        <f t="shared" ca="1" si="0"/>
        <v>0</v>
      </c>
      <c r="L8" s="84">
        <f ca="1">IF('Invoer gegevens (N)'!$C$17=E8,0,IF(C8=1,Q7,0))</f>
        <v>0</v>
      </c>
      <c r="M8" s="96">
        <f ca="1">IF(C8&gt;=1,L8*VLOOKUP(E8,'Reeksen (N)'!$A$5:$B$76,2),0)</f>
        <v>0</v>
      </c>
      <c r="N8" s="84">
        <f ca="1">(1-('Invoer gegevens (N)'!$F$20/12))*L8*MIN('Reeksen (N)'!B8,'Reeksen (N)'!D8)</f>
        <v>0</v>
      </c>
      <c r="O8" s="84">
        <f>IF('Reeksen (N)'!D8&lt;'Reeksen (N)'!B8,('Reeksen (N)'!B8-'Reeksen (N)'!D8)*L8,0)</f>
        <v>0</v>
      </c>
      <c r="P8" s="84">
        <f ca="1">('Invoer gegevens (N)'!$F$20/12)*L7*MIN('Reeksen (N)'!B7,'Reeksen (N)'!D7)</f>
        <v>0</v>
      </c>
      <c r="Q8" s="84">
        <f t="shared" ca="1" si="1"/>
        <v>0</v>
      </c>
      <c r="R8" s="82">
        <f ca="1">IF('Invoer gegevens (N)'!$C$17=E8,'Invoer gegevens (N)'!$C$11,IF(C8=1,W7,0))</f>
        <v>0</v>
      </c>
      <c r="S8" s="86">
        <f ca="1">IF(C8&gt;=1,R8*VLOOKUP(E8,'Reeksen (N)'!$A$5:$B$76,2),0)</f>
        <v>0</v>
      </c>
      <c r="T8" s="84">
        <f ca="1">(1-('Invoer gegevens (N)'!$F$20/12))*R8*MIN('Reeksen (N)'!B8,'Reeksen (N)'!D8)</f>
        <v>0</v>
      </c>
      <c r="U8" s="84">
        <f>IF('Reeksen (N)'!D8&gt;='Reeksen (N)'!B8,0,IF('Reeksen (N)'!AD8&lt;='Reeksen (N)'!AE8,('Reeksen (N)'!B8-'Reeksen (N)'!D8)*R8,0))</f>
        <v>0</v>
      </c>
      <c r="V8" s="86">
        <f>IF('Reeksen (N)'!D8&gt;='Reeksen (N)'!B8,0,IF('Reeksen (N)'!AD8&gt;'Reeksen (N)'!AE8,('Reeksen (N)'!B8-'Reeksen (N)'!D8)*R8,0))</f>
        <v>0</v>
      </c>
      <c r="W8" s="97">
        <f t="shared" ca="1" si="2"/>
        <v>0</v>
      </c>
      <c r="X8" s="98">
        <f ca="1">IF('Invoer gegevens (N)'!$C$17=E8,'Invoer gegevens (N)'!$C$10-'Invoer gegevens (N)'!$C$11,IF(C8=1,AC7,0))</f>
        <v>0</v>
      </c>
      <c r="Y8" s="98">
        <f ca="1">IF(C8&gt;=1,X8*VLOOKUP(E8,'Reeksen (N)'!$A$5:$B$76,2),0)</f>
        <v>0</v>
      </c>
      <c r="Z8" s="98">
        <f ca="1">(1-('Invoer gegevens (N)'!$F$20/12))*X8*MIN('Reeksen (N)'!B8,'Reeksen (N)'!D8)</f>
        <v>0</v>
      </c>
      <c r="AA8" s="98">
        <f>IF('Reeksen (N)'!D8&gt;='Reeksen (N)'!B8,0,IF('Reeksen (N)'!AD8&lt;='Reeksen (N)'!AE8,('Reeksen (N)'!B8-'Reeksen (N)'!D8)*X8,0))</f>
        <v>0</v>
      </c>
      <c r="AB8" s="98">
        <f>IF('Reeksen (N)'!D8&gt;='Reeksen (N)'!B8,0,IF('Reeksen (N)'!AD8&gt;'Reeksen (N)'!AE8,('Reeksen (N)'!B8-'Reeksen (N)'!D8)*X8,0))</f>
        <v>0</v>
      </c>
      <c r="AC8" s="99">
        <f t="shared" ca="1" si="3"/>
        <v>0</v>
      </c>
      <c r="AD8" s="98">
        <f ca="1">IF('Invoer gegevens (N)'!$C$17=E8,R8,IF(C8=0,0,AE7))</f>
        <v>0</v>
      </c>
      <c r="AE8" s="98">
        <f t="shared" ca="1" si="4"/>
        <v>0</v>
      </c>
      <c r="AF8" s="98">
        <f ca="1">IF('Invoer gegevens (N)'!$C$17=E8,X8,IF(C8=0,0,AG7))</f>
        <v>0</v>
      </c>
      <c r="AG8" s="98">
        <f t="shared" ca="1" si="5"/>
        <v>0</v>
      </c>
      <c r="AH8" s="66"/>
      <c r="AI8" s="71">
        <f ca="1">IF(C8=1,'Reeksen (N)'!AI8*((F8-G8+F8)/2)*12+'Reeksen (N)'!AD8*((L8-M8+L8)/2)*12,0)</f>
        <v>0</v>
      </c>
      <c r="AJ8" s="71">
        <f ca="1">-AI8*'Invoer gegevens (N)'!$F$28</f>
        <v>0</v>
      </c>
      <c r="AK8" s="71">
        <f t="shared" ca="1" si="6"/>
        <v>0</v>
      </c>
      <c r="AL8" s="71">
        <f ca="1">IF(C8=1,'Reeksen (N)'!AL8*((F8-G8+F8)/2)*12+'Reeksen (N)'!AM8*((L8-M8+L8)/2)*12,0)</f>
        <v>0</v>
      </c>
      <c r="AM8" s="71">
        <f ca="1">-AL8*'Invoer gegevens (N)'!$F$31</f>
        <v>0</v>
      </c>
      <c r="AN8" s="71">
        <f t="shared" ca="1" si="7"/>
        <v>0</v>
      </c>
      <c r="AO8" s="71">
        <f ca="1">IF(C8=1,(H8+J8+N8+P8)*'Reeksen (N)'!AN8,0)</f>
        <v>0</v>
      </c>
      <c r="AP8" s="71">
        <f ca="1">-IF(C8=1,(H8+J8+N8+P8)*'Hulp - basis'!$O$550*'Reeksen (N)'!H8,0)</f>
        <v>0</v>
      </c>
      <c r="AQ8" s="71">
        <f ca="1">-IF(C8=1,(F8+K8+L8+Q8)/2*'Invoer gegevens (N)'!$F$35*'Reeksen (N)'!J8,0)*2</f>
        <v>0</v>
      </c>
      <c r="AR8" s="71"/>
      <c r="AS8" s="71">
        <f ca="1">-IF(C8=1,(F8+K8+L8+Q8)/2*'Invoer gegevens (N)'!$F$37*'Reeksen (N)'!L8,0)</f>
        <v>0</v>
      </c>
      <c r="AT8" s="71">
        <f ca="1">-IF(C8=1,IF(E8='Invoer gegevens (N)'!$C$17,'Invoer gegevens (N)'!$C$11,AD8)*'Reeksen (N)'!S8*'Invoer gegevens (N)'!$C$18*'Reeksen (N)'!P8,0)</f>
        <v>0</v>
      </c>
      <c r="AU8" s="71">
        <f ca="1">-IF(C8=1,(F8+K8+L8+Q8)/2*'Invoer gegevens (N)'!$F$38*'Reeksen (N)'!H8,0)</f>
        <v>0</v>
      </c>
      <c r="AV8" s="71">
        <v>0</v>
      </c>
      <c r="AW8" s="71">
        <f t="shared" ca="1" si="8"/>
        <v>0</v>
      </c>
      <c r="AX8" s="71">
        <f ca="1">IF(E8&lt;'Invoer gegevens (N)'!$C$17+15,0,IF(E8&gt;'Invoer gegevens (N)'!$C$17+215,0,AW8))</f>
        <v>0</v>
      </c>
      <c r="AY8" s="71">
        <f ca="1">AX8/(1+'Invoer gegevens (N)'!$F$18)^($AZ8-('Invoer gegevens (N)'!$C$17-'Invoer gegevens (N)'!$C$16))/(1+'Invoer gegevens (N)'!$C$39)^('Invoer gegevens (N)'!$C$17-'Invoer gegevens (N)'!$C$16)</f>
        <v>0</v>
      </c>
      <c r="AZ8" s="68">
        <f ca="1">IF(E8-'Invoer gegevens (N)'!$C$17-14.5&lt;0,0,E8-'Invoer gegevens (N)'!$C$17-14.5)</f>
        <v>0</v>
      </c>
    </row>
    <row r="9" spans="1:52" x14ac:dyDescent="0.25">
      <c r="A9" s="59"/>
      <c r="B9" s="70">
        <f t="shared" si="9"/>
        <v>5</v>
      </c>
      <c r="C9" s="67">
        <f ca="1">IF(E9-'Invoer gegevens (N)'!$C$17&lt;0,0,1)</f>
        <v>1</v>
      </c>
      <c r="D9" s="68">
        <f t="shared" si="10"/>
        <v>4.5</v>
      </c>
      <c r="E9" s="69">
        <f ca="1">IF('Invoer gegevens (N)'!$C$16="","",E8+1)</f>
        <v>2023</v>
      </c>
      <c r="F9" s="84">
        <f ca="1">IF('Invoer gegevens (N)'!$C$17=E9,'Invoer gegevens (N)'!$C$10,IF(C9=1,K8,0))</f>
        <v>0</v>
      </c>
      <c r="G9" s="96">
        <f ca="1">IF(C9&gt;=1,F9*VLOOKUP(E9,'Reeksen (N)'!$A$5:$B$76,2),0)</f>
        <v>0</v>
      </c>
      <c r="H9" s="84">
        <f ca="1">(1-('Invoer gegevens (N)'!$F$20/12))*F9*MIN('Reeksen (N)'!B9,'Reeksen (N)'!D9)</f>
        <v>0</v>
      </c>
      <c r="I9" s="84">
        <f>IF('Reeksen (N)'!D9&lt;'Reeksen (N)'!B9,('Reeksen (N)'!B9-'Reeksen (N)'!D9)*F9,0)</f>
        <v>0</v>
      </c>
      <c r="J9" s="84">
        <f ca="1">('Invoer gegevens (N)'!$F$20/12)*F8*MIN('Reeksen (N)'!B8,'Reeksen (N)'!D8)</f>
        <v>0</v>
      </c>
      <c r="K9" s="97">
        <f t="shared" ca="1" si="0"/>
        <v>0</v>
      </c>
      <c r="L9" s="84">
        <f ca="1">IF('Invoer gegevens (N)'!$C$17=E9,0,IF(C9=1,Q8,0))</f>
        <v>0</v>
      </c>
      <c r="M9" s="96">
        <f ca="1">IF(C9&gt;=1,L9*VLOOKUP(E9,'Reeksen (N)'!$A$5:$B$76,2),0)</f>
        <v>0</v>
      </c>
      <c r="N9" s="84">
        <f ca="1">(1-('Invoer gegevens (N)'!$F$20/12))*L9*MIN('Reeksen (N)'!B9,'Reeksen (N)'!D9)</f>
        <v>0</v>
      </c>
      <c r="O9" s="84">
        <f>IF('Reeksen (N)'!D9&lt;'Reeksen (N)'!B9,('Reeksen (N)'!B9-'Reeksen (N)'!D9)*L9,0)</f>
        <v>0</v>
      </c>
      <c r="P9" s="84">
        <f ca="1">('Invoer gegevens (N)'!$F$20/12)*L8*MIN('Reeksen (N)'!B8,'Reeksen (N)'!D8)</f>
        <v>0</v>
      </c>
      <c r="Q9" s="84">
        <f t="shared" ca="1" si="1"/>
        <v>0</v>
      </c>
      <c r="R9" s="82">
        <f ca="1">IF('Invoer gegevens (N)'!$C$17=E9,'Invoer gegevens (N)'!$C$11,IF(C9=1,W8,0))</f>
        <v>0</v>
      </c>
      <c r="S9" s="86">
        <f ca="1">IF(C9&gt;=1,R9*VLOOKUP(E9,'Reeksen (N)'!$A$5:$B$76,2),0)</f>
        <v>0</v>
      </c>
      <c r="T9" s="84">
        <f ca="1">(1-('Invoer gegevens (N)'!$F$20/12))*R9*MIN('Reeksen (N)'!B9,'Reeksen (N)'!D9)</f>
        <v>0</v>
      </c>
      <c r="U9" s="84">
        <f>IF('Reeksen (N)'!D9&gt;='Reeksen (N)'!B9,0,IF('Reeksen (N)'!AD9&lt;='Reeksen (N)'!AE9,('Reeksen (N)'!B9-'Reeksen (N)'!D9)*R9,0))</f>
        <v>0</v>
      </c>
      <c r="V9" s="86">
        <f>IF('Reeksen (N)'!D9&gt;='Reeksen (N)'!B9,0,IF('Reeksen (N)'!AD9&gt;'Reeksen (N)'!AE9,('Reeksen (N)'!B9-'Reeksen (N)'!D9)*R9,0))</f>
        <v>0</v>
      </c>
      <c r="W9" s="97">
        <f t="shared" ca="1" si="2"/>
        <v>0</v>
      </c>
      <c r="X9" s="98">
        <f ca="1">IF('Invoer gegevens (N)'!$C$17=E9,'Invoer gegevens (N)'!$C$10-'Invoer gegevens (N)'!$C$11,IF(C9=1,AC8,0))</f>
        <v>0</v>
      </c>
      <c r="Y9" s="98">
        <f ca="1">IF(C9&gt;=1,X9*VLOOKUP(E9,'Reeksen (N)'!$A$5:$B$76,2),0)</f>
        <v>0</v>
      </c>
      <c r="Z9" s="98">
        <f ca="1">(1-('Invoer gegevens (N)'!$F$20/12))*X9*MIN('Reeksen (N)'!B9,'Reeksen (N)'!D9)</f>
        <v>0</v>
      </c>
      <c r="AA9" s="98">
        <f>IF('Reeksen (N)'!D9&gt;='Reeksen (N)'!B9,0,IF('Reeksen (N)'!AD9&lt;='Reeksen (N)'!AE9,('Reeksen (N)'!B9-'Reeksen (N)'!D9)*X9,0))</f>
        <v>0</v>
      </c>
      <c r="AB9" s="98">
        <f>IF('Reeksen (N)'!D9&gt;='Reeksen (N)'!B9,0,IF('Reeksen (N)'!AD9&gt;'Reeksen (N)'!AE9,('Reeksen (N)'!B9-'Reeksen (N)'!D9)*X9,0))</f>
        <v>0</v>
      </c>
      <c r="AC9" s="99">
        <f t="shared" ca="1" si="3"/>
        <v>0</v>
      </c>
      <c r="AD9" s="98">
        <f ca="1">IF('Invoer gegevens (N)'!$C$17=E9,R9,IF(C9=0,0,AE8))</f>
        <v>0</v>
      </c>
      <c r="AE9" s="98">
        <f t="shared" ca="1" si="4"/>
        <v>0</v>
      </c>
      <c r="AF9" s="98">
        <f ca="1">IF('Invoer gegevens (N)'!$C$17=E9,X9,IF(C9=0,0,AG8))</f>
        <v>0</v>
      </c>
      <c r="AG9" s="98">
        <f t="shared" ca="1" si="5"/>
        <v>0</v>
      </c>
      <c r="AH9" s="66"/>
      <c r="AI9" s="71">
        <f ca="1">IF(C9=1,'Reeksen (N)'!AI9*((F9-G9+F9)/2)*12+'Reeksen (N)'!AD9*((L9-M9+L9)/2)*12,0)</f>
        <v>0</v>
      </c>
      <c r="AJ9" s="71">
        <f ca="1">-AI9*'Invoer gegevens (N)'!$F$28</f>
        <v>0</v>
      </c>
      <c r="AK9" s="71">
        <f t="shared" ca="1" si="6"/>
        <v>0</v>
      </c>
      <c r="AL9" s="71">
        <f ca="1">IF(C9=1,'Reeksen (N)'!AL9*((F9-G9+F9)/2)*12+'Reeksen (N)'!AM9*((L9-M9+L9)/2)*12,0)</f>
        <v>0</v>
      </c>
      <c r="AM9" s="71">
        <f ca="1">-AL9*'Invoer gegevens (N)'!$F$31</f>
        <v>0</v>
      </c>
      <c r="AN9" s="71">
        <f t="shared" ca="1" si="7"/>
        <v>0</v>
      </c>
      <c r="AO9" s="71">
        <f ca="1">IF(C9=1,(H9+J9+N9+P9)*'Reeksen (N)'!AN9,0)</f>
        <v>0</v>
      </c>
      <c r="AP9" s="71">
        <f ca="1">-IF(C9=1,(H9+J9+N9+P9)*'Hulp - basis'!$O$550*'Reeksen (N)'!H9,0)</f>
        <v>0</v>
      </c>
      <c r="AQ9" s="71">
        <f ca="1">-IF(C9=1,(F9+K9+L9+Q9)/2*'Invoer gegevens (N)'!$F$35*'Reeksen (N)'!J9,0)*2</f>
        <v>0</v>
      </c>
      <c r="AR9" s="71"/>
      <c r="AS9" s="71">
        <f ca="1">-IF(C9=1,(F9+K9+L9+Q9)/2*'Invoer gegevens (N)'!$F$37*'Reeksen (N)'!L9,0)</f>
        <v>0</v>
      </c>
      <c r="AT9" s="71">
        <f ca="1">-IF(C9=1,IF(E9='Invoer gegevens (N)'!$C$17,'Invoer gegevens (N)'!$C$11,AD9)*'Reeksen (N)'!S9*'Invoer gegevens (N)'!$C$18*'Reeksen (N)'!P9,0)</f>
        <v>0</v>
      </c>
      <c r="AU9" s="71">
        <f ca="1">-IF(C9=1,(F9+K9+L9+Q9)/2*'Invoer gegevens (N)'!$F$38*'Reeksen (N)'!H9,0)</f>
        <v>0</v>
      </c>
      <c r="AV9" s="71">
        <v>0</v>
      </c>
      <c r="AW9" s="71">
        <f t="shared" ca="1" si="8"/>
        <v>0</v>
      </c>
      <c r="AX9" s="71">
        <f ca="1">IF(E9&lt;'Invoer gegevens (N)'!$C$17+15,0,IF(E9&gt;'Invoer gegevens (N)'!$C$17+215,0,AW9))</f>
        <v>0</v>
      </c>
      <c r="AY9" s="71">
        <f ca="1">AX9/(1+'Invoer gegevens (N)'!$F$18)^($AZ9-('Invoer gegevens (N)'!$C$17-'Invoer gegevens (N)'!$C$16))/(1+'Invoer gegevens (N)'!$C$39)^('Invoer gegevens (N)'!$C$17-'Invoer gegevens (N)'!$C$16)</f>
        <v>0</v>
      </c>
      <c r="AZ9" s="68">
        <f ca="1">IF(E9-'Invoer gegevens (N)'!$C$17-14.5&lt;0,0,E9-'Invoer gegevens (N)'!$C$17-14.5)</f>
        <v>0</v>
      </c>
    </row>
    <row r="10" spans="1:52" x14ac:dyDescent="0.25">
      <c r="A10" s="59"/>
      <c r="B10" s="70">
        <f t="shared" si="9"/>
        <v>6</v>
      </c>
      <c r="C10" s="67">
        <f ca="1">IF(E10-'Invoer gegevens (N)'!$C$17&lt;0,0,1)</f>
        <v>1</v>
      </c>
      <c r="D10" s="68">
        <f t="shared" si="10"/>
        <v>5.5</v>
      </c>
      <c r="E10" s="69">
        <f ca="1">IF('Invoer gegevens (N)'!$C$16="","",E9+1)</f>
        <v>2024</v>
      </c>
      <c r="F10" s="84">
        <f ca="1">IF('Invoer gegevens (N)'!$C$17=E10,'Invoer gegevens (N)'!$C$10,IF(C10=1,K9,0))</f>
        <v>0</v>
      </c>
      <c r="G10" s="96">
        <f ca="1">IF(C10&gt;=1,F10*VLOOKUP(E10,'Reeksen (N)'!$A$5:$B$76,2),0)</f>
        <v>0</v>
      </c>
      <c r="H10" s="84">
        <f ca="1">(1-('Invoer gegevens (N)'!$F$20/12))*F10*MIN('Reeksen (N)'!B10,'Reeksen (N)'!D10)</f>
        <v>0</v>
      </c>
      <c r="I10" s="84">
        <f>IF('Reeksen (N)'!D10&lt;'Reeksen (N)'!B10,('Reeksen (N)'!B10-'Reeksen (N)'!D10)*F10,0)</f>
        <v>0</v>
      </c>
      <c r="J10" s="84">
        <f ca="1">('Invoer gegevens (N)'!$F$20/12)*F9*MIN('Reeksen (N)'!B9,'Reeksen (N)'!D9)</f>
        <v>0</v>
      </c>
      <c r="K10" s="97">
        <f t="shared" ca="1" si="0"/>
        <v>0</v>
      </c>
      <c r="L10" s="84">
        <f ca="1">IF('Invoer gegevens (N)'!$C$17=E10,0,IF(C10=1,Q9,0))</f>
        <v>0</v>
      </c>
      <c r="M10" s="96">
        <f ca="1">IF(C10&gt;=1,L10*VLOOKUP(E10,'Reeksen (N)'!$A$5:$B$76,2),0)</f>
        <v>0</v>
      </c>
      <c r="N10" s="84">
        <f ca="1">(1-('Invoer gegevens (N)'!$F$20/12))*L10*MIN('Reeksen (N)'!B10,'Reeksen (N)'!D10)</f>
        <v>0</v>
      </c>
      <c r="O10" s="84">
        <f>IF('Reeksen (N)'!D10&lt;'Reeksen (N)'!B10,('Reeksen (N)'!B10-'Reeksen (N)'!D10)*L10,0)</f>
        <v>0</v>
      </c>
      <c r="P10" s="84">
        <f ca="1">('Invoer gegevens (N)'!$F$20/12)*L9*MIN('Reeksen (N)'!B9,'Reeksen (N)'!D9)</f>
        <v>0</v>
      </c>
      <c r="Q10" s="84">
        <f t="shared" ca="1" si="1"/>
        <v>0</v>
      </c>
      <c r="R10" s="82">
        <f ca="1">IF('Invoer gegevens (N)'!$C$17=E10,'Invoer gegevens (N)'!$C$11,IF(C10=1,W9,0))</f>
        <v>0</v>
      </c>
      <c r="S10" s="86">
        <f ca="1">IF(C10&gt;=1,R10*VLOOKUP(E10,'Reeksen (N)'!$A$5:$B$76,2),0)</f>
        <v>0</v>
      </c>
      <c r="T10" s="84">
        <f ca="1">(1-('Invoer gegevens (N)'!$F$20/12))*R10*MIN('Reeksen (N)'!B10,'Reeksen (N)'!D10)</f>
        <v>0</v>
      </c>
      <c r="U10" s="84">
        <f>IF('Reeksen (N)'!D10&gt;='Reeksen (N)'!B10,0,IF('Reeksen (N)'!AD10&lt;='Reeksen (N)'!AE10,('Reeksen (N)'!B10-'Reeksen (N)'!D10)*R10,0))</f>
        <v>0</v>
      </c>
      <c r="V10" s="86">
        <f>IF('Reeksen (N)'!D10&gt;='Reeksen (N)'!B10,0,IF('Reeksen (N)'!AD10&gt;'Reeksen (N)'!AE10,('Reeksen (N)'!B10-'Reeksen (N)'!D10)*R10,0))</f>
        <v>0</v>
      </c>
      <c r="W10" s="97">
        <f t="shared" ca="1" si="2"/>
        <v>0</v>
      </c>
      <c r="X10" s="98">
        <f ca="1">IF('Invoer gegevens (N)'!$C$17=E10,'Invoer gegevens (N)'!$C$10-'Invoer gegevens (N)'!$C$11,IF(C10=1,AC9,0))</f>
        <v>0</v>
      </c>
      <c r="Y10" s="98">
        <f ca="1">IF(C10&gt;=1,X10*VLOOKUP(E10,'Reeksen (N)'!$A$5:$B$76,2),0)</f>
        <v>0</v>
      </c>
      <c r="Z10" s="98">
        <f ca="1">(1-('Invoer gegevens (N)'!$F$20/12))*X10*MIN('Reeksen (N)'!B10,'Reeksen (N)'!D10)</f>
        <v>0</v>
      </c>
      <c r="AA10" s="98">
        <f>IF('Reeksen (N)'!D10&gt;='Reeksen (N)'!B10,0,IF('Reeksen (N)'!AD10&lt;='Reeksen (N)'!AE10,('Reeksen (N)'!B10-'Reeksen (N)'!D10)*X10,0))</f>
        <v>0</v>
      </c>
      <c r="AB10" s="98">
        <f>IF('Reeksen (N)'!D10&gt;='Reeksen (N)'!B10,0,IF('Reeksen (N)'!AD10&gt;'Reeksen (N)'!AE10,('Reeksen (N)'!B10-'Reeksen (N)'!D10)*X10,0))</f>
        <v>0</v>
      </c>
      <c r="AC10" s="99">
        <f t="shared" ca="1" si="3"/>
        <v>0</v>
      </c>
      <c r="AD10" s="98">
        <f ca="1">IF('Invoer gegevens (N)'!$C$17=E10,R10,IF(C10=0,0,AE9))</f>
        <v>0</v>
      </c>
      <c r="AE10" s="98">
        <f t="shared" ca="1" si="4"/>
        <v>0</v>
      </c>
      <c r="AF10" s="98">
        <f ca="1">IF('Invoer gegevens (N)'!$C$17=E10,X10,IF(C10=0,0,AG9))</f>
        <v>0</v>
      </c>
      <c r="AG10" s="98">
        <f t="shared" ca="1" si="5"/>
        <v>0</v>
      </c>
      <c r="AH10" s="66"/>
      <c r="AI10" s="71">
        <f ca="1">IF(C10=1,'Reeksen (N)'!AI10*((F10-G10+F10)/2)*12+'Reeksen (N)'!AD10*((L10-M10+L10)/2)*12,0)</f>
        <v>0</v>
      </c>
      <c r="AJ10" s="71">
        <f ca="1">-AI10*'Invoer gegevens (N)'!$F$28</f>
        <v>0</v>
      </c>
      <c r="AK10" s="71">
        <f t="shared" ca="1" si="6"/>
        <v>0</v>
      </c>
      <c r="AL10" s="71">
        <f ca="1">IF(C10=1,'Reeksen (N)'!AL10*((F10-G10+F10)/2)*12+'Reeksen (N)'!AM10*((L10-M10+L10)/2)*12,0)</f>
        <v>0</v>
      </c>
      <c r="AM10" s="71">
        <f ca="1">-AL10*'Invoer gegevens (N)'!$F$31</f>
        <v>0</v>
      </c>
      <c r="AN10" s="71">
        <f t="shared" ca="1" si="7"/>
        <v>0</v>
      </c>
      <c r="AO10" s="71">
        <f ca="1">IF(C10=1,(H10+J10+N10+P10)*'Reeksen (N)'!AN10,0)</f>
        <v>0</v>
      </c>
      <c r="AP10" s="71">
        <f ca="1">-IF(C10=1,(H10+J10+N10+P10)*'Hulp - basis'!$O$550*'Reeksen (N)'!H10,0)</f>
        <v>0</v>
      </c>
      <c r="AQ10" s="71">
        <f ca="1">-IF(C10=1,(F10+K10+L10+Q10)/2*'Invoer gegevens (N)'!$F$35*'Reeksen (N)'!J10,0)*2</f>
        <v>0</v>
      </c>
      <c r="AR10" s="71"/>
      <c r="AS10" s="71">
        <f ca="1">-IF(C10=1,(F10+K10+L10+Q10)/2*'Invoer gegevens (N)'!$F$37*'Reeksen (N)'!L10,0)</f>
        <v>0</v>
      </c>
      <c r="AT10" s="71">
        <f ca="1">-IF(C10=1,IF(E10='Invoer gegevens (N)'!$C$17,'Invoer gegevens (N)'!$C$11,AD10)*'Reeksen (N)'!S10*'Invoer gegevens (N)'!$C$18*'Reeksen (N)'!P10,0)</f>
        <v>0</v>
      </c>
      <c r="AU10" s="71">
        <f ca="1">-IF(C10=1,(F10+K10+L10+Q10)/2*'Invoer gegevens (N)'!$F$38*'Reeksen (N)'!H10,0)</f>
        <v>0</v>
      </c>
      <c r="AV10" s="71">
        <v>0</v>
      </c>
      <c r="AW10" s="71">
        <f t="shared" ca="1" si="8"/>
        <v>0</v>
      </c>
      <c r="AX10" s="71">
        <f ca="1">IF(E10&lt;'Invoer gegevens (N)'!$C$17+15,0,IF(E10&gt;'Invoer gegevens (N)'!$C$17+215,0,AW10))</f>
        <v>0</v>
      </c>
      <c r="AY10" s="71">
        <f ca="1">AX10/(1+'Invoer gegevens (N)'!$F$18)^($AZ10-('Invoer gegevens (N)'!$C$17-'Invoer gegevens (N)'!$C$16))/(1+'Invoer gegevens (N)'!$C$39)^('Invoer gegevens (N)'!$C$17-'Invoer gegevens (N)'!$C$16)</f>
        <v>0</v>
      </c>
      <c r="AZ10" s="68">
        <f ca="1">IF(E10-'Invoer gegevens (N)'!$C$17-14.5&lt;0,0,E10-'Invoer gegevens (N)'!$C$17-14.5)</f>
        <v>0</v>
      </c>
    </row>
    <row r="11" spans="1:52" x14ac:dyDescent="0.25">
      <c r="A11" s="59"/>
      <c r="B11" s="70">
        <f t="shared" si="9"/>
        <v>7</v>
      </c>
      <c r="C11" s="67">
        <f ca="1">IF(E11-'Invoer gegevens (N)'!$C$17&lt;0,0,1)</f>
        <v>1</v>
      </c>
      <c r="D11" s="68">
        <f t="shared" si="10"/>
        <v>6.5</v>
      </c>
      <c r="E11" s="69">
        <f ca="1">IF('Invoer gegevens (N)'!$C$16="","",E10+1)</f>
        <v>2025</v>
      </c>
      <c r="F11" s="84">
        <f ca="1">IF('Invoer gegevens (N)'!$C$17=E11,'Invoer gegevens (N)'!$C$10,IF(C11=1,K10,0))</f>
        <v>0</v>
      </c>
      <c r="G11" s="96">
        <f ca="1">IF(C11&gt;=1,F11*VLOOKUP(E11,'Reeksen (N)'!$A$5:$B$76,2),0)</f>
        <v>0</v>
      </c>
      <c r="H11" s="84">
        <f ca="1">(1-('Invoer gegevens (N)'!$F$20/12))*F11*MIN('Reeksen (N)'!B11,'Reeksen (N)'!D11)</f>
        <v>0</v>
      </c>
      <c r="I11" s="84">
        <f>IF('Reeksen (N)'!D11&lt;'Reeksen (N)'!B11,('Reeksen (N)'!B11-'Reeksen (N)'!D11)*F11,0)</f>
        <v>0</v>
      </c>
      <c r="J11" s="84">
        <f ca="1">('Invoer gegevens (N)'!$F$20/12)*F10*MIN('Reeksen (N)'!B10,'Reeksen (N)'!D10)</f>
        <v>0</v>
      </c>
      <c r="K11" s="97">
        <f t="shared" ca="1" si="0"/>
        <v>0</v>
      </c>
      <c r="L11" s="84">
        <f ca="1">IF('Invoer gegevens (N)'!$C$17=E11,0,IF(C11=1,Q10,0))</f>
        <v>0</v>
      </c>
      <c r="M11" s="96">
        <f ca="1">IF(C11&gt;=1,L11*VLOOKUP(E11,'Reeksen (N)'!$A$5:$B$76,2),0)</f>
        <v>0</v>
      </c>
      <c r="N11" s="84">
        <f ca="1">(1-('Invoer gegevens (N)'!$F$20/12))*L11*MIN('Reeksen (N)'!B11,'Reeksen (N)'!D11)</f>
        <v>0</v>
      </c>
      <c r="O11" s="84">
        <f>IF('Reeksen (N)'!D11&lt;'Reeksen (N)'!B11,('Reeksen (N)'!B11-'Reeksen (N)'!D11)*L11,0)</f>
        <v>0</v>
      </c>
      <c r="P11" s="84">
        <f ca="1">('Invoer gegevens (N)'!$F$20/12)*L10*MIN('Reeksen (N)'!B10,'Reeksen (N)'!D10)</f>
        <v>0</v>
      </c>
      <c r="Q11" s="84">
        <f t="shared" ca="1" si="1"/>
        <v>0</v>
      </c>
      <c r="R11" s="82">
        <f ca="1">IF('Invoer gegevens (N)'!$C$17=E11,'Invoer gegevens (N)'!$C$11,IF(C11=1,W10,0))</f>
        <v>0</v>
      </c>
      <c r="S11" s="86">
        <f ca="1">IF(C11&gt;=1,R11*VLOOKUP(E11,'Reeksen (N)'!$A$5:$B$76,2),0)</f>
        <v>0</v>
      </c>
      <c r="T11" s="84">
        <f ca="1">(1-('Invoer gegevens (N)'!$F$20/12))*R11*MIN('Reeksen (N)'!B11,'Reeksen (N)'!D11)</f>
        <v>0</v>
      </c>
      <c r="U11" s="84">
        <f>IF('Reeksen (N)'!D11&gt;='Reeksen (N)'!B11,0,IF('Reeksen (N)'!AD11&lt;='Reeksen (N)'!AE11,('Reeksen (N)'!B11-'Reeksen (N)'!D11)*R11,0))</f>
        <v>0</v>
      </c>
      <c r="V11" s="86">
        <f>IF('Reeksen (N)'!D11&gt;='Reeksen (N)'!B11,0,IF('Reeksen (N)'!AD11&gt;'Reeksen (N)'!AE11,('Reeksen (N)'!B11-'Reeksen (N)'!D11)*R11,0))</f>
        <v>0</v>
      </c>
      <c r="W11" s="97">
        <f t="shared" ca="1" si="2"/>
        <v>0</v>
      </c>
      <c r="X11" s="98">
        <f ca="1">IF('Invoer gegevens (N)'!$C$17=E11,'Invoer gegevens (N)'!$C$10-'Invoer gegevens (N)'!$C$11,IF(C11=1,AC10,0))</f>
        <v>0</v>
      </c>
      <c r="Y11" s="98">
        <f ca="1">IF(C11&gt;=1,X11*VLOOKUP(E11,'Reeksen (N)'!$A$5:$B$76,2),0)</f>
        <v>0</v>
      </c>
      <c r="Z11" s="98">
        <f ca="1">(1-('Invoer gegevens (N)'!$F$20/12))*X11*MIN('Reeksen (N)'!B11,'Reeksen (N)'!D11)</f>
        <v>0</v>
      </c>
      <c r="AA11" s="98">
        <f>IF('Reeksen (N)'!D11&gt;='Reeksen (N)'!B11,0,IF('Reeksen (N)'!AD11&lt;='Reeksen (N)'!AE11,('Reeksen (N)'!B11-'Reeksen (N)'!D11)*X11,0))</f>
        <v>0</v>
      </c>
      <c r="AB11" s="98">
        <f>IF('Reeksen (N)'!D11&gt;='Reeksen (N)'!B11,0,IF('Reeksen (N)'!AD11&gt;'Reeksen (N)'!AE11,('Reeksen (N)'!B11-'Reeksen (N)'!D11)*X11,0))</f>
        <v>0</v>
      </c>
      <c r="AC11" s="99">
        <f t="shared" ca="1" si="3"/>
        <v>0</v>
      </c>
      <c r="AD11" s="98">
        <f ca="1">IF('Invoer gegevens (N)'!$C$17=E11,R11,IF(C11=0,0,AE10))</f>
        <v>0</v>
      </c>
      <c r="AE11" s="98">
        <f t="shared" ca="1" si="4"/>
        <v>0</v>
      </c>
      <c r="AF11" s="98">
        <f ca="1">IF('Invoer gegevens (N)'!$C$17=E11,X11,IF(C11=0,0,AG10))</f>
        <v>0</v>
      </c>
      <c r="AG11" s="98">
        <f t="shared" ca="1" si="5"/>
        <v>0</v>
      </c>
      <c r="AH11" s="66"/>
      <c r="AI11" s="71">
        <f ca="1">IF(C11=1,'Reeksen (N)'!AI11*((F11-G11+F11)/2)*12+'Reeksen (N)'!AD11*((L11-M11+L11)/2)*12,0)</f>
        <v>0</v>
      </c>
      <c r="AJ11" s="71">
        <f ca="1">-AI11*'Invoer gegevens (N)'!$F$28</f>
        <v>0</v>
      </c>
      <c r="AK11" s="71">
        <f t="shared" ca="1" si="6"/>
        <v>0</v>
      </c>
      <c r="AL11" s="71">
        <f ca="1">IF(C11=1,'Reeksen (N)'!AL11*((F11-G11+F11)/2)*12+'Reeksen (N)'!AM11*((L11-M11+L11)/2)*12,0)</f>
        <v>0</v>
      </c>
      <c r="AM11" s="71">
        <f ca="1">-AL11*'Invoer gegevens (N)'!$F$31</f>
        <v>0</v>
      </c>
      <c r="AN11" s="71">
        <f t="shared" ca="1" si="7"/>
        <v>0</v>
      </c>
      <c r="AO11" s="71">
        <f ca="1">IF(C11=1,(H11+J11+N11+P11)*'Reeksen (N)'!AN11,0)</f>
        <v>0</v>
      </c>
      <c r="AP11" s="71">
        <f ca="1">-IF(C11=1,(H11+J11+N11+P11)*'Hulp - basis'!$O$550*'Reeksen (N)'!H11,0)</f>
        <v>0</v>
      </c>
      <c r="AQ11" s="71">
        <f ca="1">-IF(C11=1,(F11+K11+L11+Q11)/2*'Invoer gegevens (N)'!$F$35*'Reeksen (N)'!J11,0)*2</f>
        <v>0</v>
      </c>
      <c r="AR11" s="71"/>
      <c r="AS11" s="71">
        <f ca="1">-IF(C11=1,(F11+K11+L11+Q11)/2*'Invoer gegevens (N)'!$F$37*'Reeksen (N)'!L11,0)</f>
        <v>0</v>
      </c>
      <c r="AT11" s="71">
        <f ca="1">-IF(C11=1,IF(E11='Invoer gegevens (N)'!$C$17,'Invoer gegevens (N)'!$C$11,AD11)*'Reeksen (N)'!S11*'Invoer gegevens (N)'!$C$18*'Reeksen (N)'!P11,0)</f>
        <v>0</v>
      </c>
      <c r="AU11" s="71">
        <f ca="1">-IF(C11=1,(F11+K11+L11+Q11)/2*'Invoer gegevens (N)'!$F$38*'Reeksen (N)'!H11,0)</f>
        <v>0</v>
      </c>
      <c r="AV11" s="71">
        <v>0</v>
      </c>
      <c r="AW11" s="71">
        <f t="shared" ca="1" si="8"/>
        <v>0</v>
      </c>
      <c r="AX11" s="71">
        <f ca="1">IF(E11&lt;'Invoer gegevens (N)'!$C$17+15,0,IF(E11&gt;'Invoer gegevens (N)'!$C$17+215,0,AW11))</f>
        <v>0</v>
      </c>
      <c r="AY11" s="71">
        <f ca="1">AX11/(1+'Invoer gegevens (N)'!$F$18)^($AZ11-('Invoer gegevens (N)'!$C$17-'Invoer gegevens (N)'!$C$16))/(1+'Invoer gegevens (N)'!$C$39)^('Invoer gegevens (N)'!$C$17-'Invoer gegevens (N)'!$C$16)</f>
        <v>0</v>
      </c>
      <c r="AZ11" s="68">
        <f ca="1">IF(E11-'Invoer gegevens (N)'!$C$17-14.5&lt;0,0,E11-'Invoer gegevens (N)'!$C$17-14.5)</f>
        <v>0</v>
      </c>
    </row>
    <row r="12" spans="1:52" x14ac:dyDescent="0.25">
      <c r="A12" s="59"/>
      <c r="B12" s="70">
        <f t="shared" si="9"/>
        <v>8</v>
      </c>
      <c r="C12" s="67">
        <f ca="1">IF(E12-'Invoer gegevens (N)'!$C$17&lt;0,0,1)</f>
        <v>1</v>
      </c>
      <c r="D12" s="68">
        <f t="shared" si="10"/>
        <v>7.5</v>
      </c>
      <c r="E12" s="69">
        <f ca="1">IF('Invoer gegevens (N)'!$C$16="","",E11+1)</f>
        <v>2026</v>
      </c>
      <c r="F12" s="84">
        <f ca="1">IF('Invoer gegevens (N)'!$C$17=E12,'Invoer gegevens (N)'!$C$10,IF(C12=1,K11,0))</f>
        <v>0</v>
      </c>
      <c r="G12" s="96">
        <f ca="1">IF(C12&gt;=1,F12*VLOOKUP(E12,'Reeksen (N)'!$A$5:$B$76,2),0)</f>
        <v>0</v>
      </c>
      <c r="H12" s="84">
        <f ca="1">(1-('Invoer gegevens (N)'!$F$20/12))*F12*MIN('Reeksen (N)'!B12,'Reeksen (N)'!D12)</f>
        <v>0</v>
      </c>
      <c r="I12" s="84">
        <f>IF('Reeksen (N)'!D12&lt;'Reeksen (N)'!B12,('Reeksen (N)'!B12-'Reeksen (N)'!D12)*F12,0)</f>
        <v>0</v>
      </c>
      <c r="J12" s="84">
        <f ca="1">('Invoer gegevens (N)'!$F$20/12)*F11*MIN('Reeksen (N)'!B11,'Reeksen (N)'!D11)</f>
        <v>0</v>
      </c>
      <c r="K12" s="97">
        <f t="shared" ca="1" si="0"/>
        <v>0</v>
      </c>
      <c r="L12" s="84">
        <f ca="1">IF('Invoer gegevens (N)'!$C$17=E12,0,IF(C12=1,Q11,0))</f>
        <v>0</v>
      </c>
      <c r="M12" s="96">
        <f ca="1">IF(C12&gt;=1,L12*VLOOKUP(E12,'Reeksen (N)'!$A$5:$B$76,2),0)</f>
        <v>0</v>
      </c>
      <c r="N12" s="84">
        <f ca="1">(1-('Invoer gegevens (N)'!$F$20/12))*L12*MIN('Reeksen (N)'!B12,'Reeksen (N)'!D12)</f>
        <v>0</v>
      </c>
      <c r="O12" s="84">
        <f>IF('Reeksen (N)'!D12&lt;'Reeksen (N)'!B12,('Reeksen (N)'!B12-'Reeksen (N)'!D12)*L12,0)</f>
        <v>0</v>
      </c>
      <c r="P12" s="84">
        <f ca="1">('Invoer gegevens (N)'!$F$20/12)*L11*MIN('Reeksen (N)'!B11,'Reeksen (N)'!D11)</f>
        <v>0</v>
      </c>
      <c r="Q12" s="84">
        <f t="shared" ca="1" si="1"/>
        <v>0</v>
      </c>
      <c r="R12" s="82">
        <f ca="1">IF('Invoer gegevens (N)'!$C$17=E12,'Invoer gegevens (N)'!$C$11,IF(C12=1,W11,0))</f>
        <v>0</v>
      </c>
      <c r="S12" s="86">
        <f ca="1">IF(C12&gt;=1,R12*VLOOKUP(E12,'Reeksen (N)'!$A$5:$B$76,2),0)</f>
        <v>0</v>
      </c>
      <c r="T12" s="84">
        <f ca="1">(1-('Invoer gegevens (N)'!$F$20/12))*R12*MIN('Reeksen (N)'!B12,'Reeksen (N)'!D12)</f>
        <v>0</v>
      </c>
      <c r="U12" s="84">
        <f>IF('Reeksen (N)'!D12&gt;='Reeksen (N)'!B12,0,IF('Reeksen (N)'!AD12&lt;='Reeksen (N)'!AE12,('Reeksen (N)'!B12-'Reeksen (N)'!D12)*R12,0))</f>
        <v>0</v>
      </c>
      <c r="V12" s="86">
        <f>IF('Reeksen (N)'!D12&gt;='Reeksen (N)'!B12,0,IF('Reeksen (N)'!AD12&gt;'Reeksen (N)'!AE12,('Reeksen (N)'!B12-'Reeksen (N)'!D12)*R12,0))</f>
        <v>0</v>
      </c>
      <c r="W12" s="97">
        <f t="shared" ca="1" si="2"/>
        <v>0</v>
      </c>
      <c r="X12" s="98">
        <f ca="1">IF('Invoer gegevens (N)'!$C$17=E12,'Invoer gegevens (N)'!$C$10-'Invoer gegevens (N)'!$C$11,IF(C12=1,AC11,0))</f>
        <v>0</v>
      </c>
      <c r="Y12" s="98">
        <f ca="1">IF(C12&gt;=1,X12*VLOOKUP(E12,'Reeksen (N)'!$A$5:$B$76,2),0)</f>
        <v>0</v>
      </c>
      <c r="Z12" s="98">
        <f ca="1">(1-('Invoer gegevens (N)'!$F$20/12))*X12*MIN('Reeksen (N)'!B12,'Reeksen (N)'!D12)</f>
        <v>0</v>
      </c>
      <c r="AA12" s="98">
        <f>IF('Reeksen (N)'!D12&gt;='Reeksen (N)'!B12,0,IF('Reeksen (N)'!AD12&lt;='Reeksen (N)'!AE12,('Reeksen (N)'!B12-'Reeksen (N)'!D12)*X12,0))</f>
        <v>0</v>
      </c>
      <c r="AB12" s="98">
        <f>IF('Reeksen (N)'!D12&gt;='Reeksen (N)'!B12,0,IF('Reeksen (N)'!AD12&gt;'Reeksen (N)'!AE12,('Reeksen (N)'!B12-'Reeksen (N)'!D12)*X12,0))</f>
        <v>0</v>
      </c>
      <c r="AC12" s="99">
        <f t="shared" ca="1" si="3"/>
        <v>0</v>
      </c>
      <c r="AD12" s="98">
        <f ca="1">IF('Invoer gegevens (N)'!$C$17=E12,R12,IF(C12=0,0,AE11))</f>
        <v>0</v>
      </c>
      <c r="AE12" s="98">
        <f t="shared" ca="1" si="4"/>
        <v>0</v>
      </c>
      <c r="AF12" s="98">
        <f ca="1">IF('Invoer gegevens (N)'!$C$17=E12,X12,IF(C12=0,0,AG11))</f>
        <v>0</v>
      </c>
      <c r="AG12" s="98">
        <f t="shared" ca="1" si="5"/>
        <v>0</v>
      </c>
      <c r="AH12" s="66"/>
      <c r="AI12" s="71">
        <f ca="1">IF(C12=1,'Reeksen (N)'!AI12*((F12-G12+F12)/2)*12+'Reeksen (N)'!AD12*((L12-M12+L12)/2)*12,0)</f>
        <v>0</v>
      </c>
      <c r="AJ12" s="71">
        <f ca="1">-AI12*'Invoer gegevens (N)'!$F$28</f>
        <v>0</v>
      </c>
      <c r="AK12" s="71">
        <f t="shared" ca="1" si="6"/>
        <v>0</v>
      </c>
      <c r="AL12" s="71">
        <f ca="1">IF(C12=1,'Reeksen (N)'!AL12*((F12-G12+F12)/2)*12+'Reeksen (N)'!AM12*((L12-M12+L12)/2)*12,0)</f>
        <v>0</v>
      </c>
      <c r="AM12" s="71">
        <f ca="1">-AL12*'Invoer gegevens (N)'!$F$31</f>
        <v>0</v>
      </c>
      <c r="AN12" s="71">
        <f t="shared" ca="1" si="7"/>
        <v>0</v>
      </c>
      <c r="AO12" s="71">
        <f ca="1">IF(C12=1,(H12+J12+N12+P12)*'Reeksen (N)'!AN12,0)</f>
        <v>0</v>
      </c>
      <c r="AP12" s="71">
        <f ca="1">-IF(C12=1,(H12+J12+N12+P12)*'Hulp - basis'!$O$550*'Reeksen (N)'!H12,0)</f>
        <v>0</v>
      </c>
      <c r="AQ12" s="71">
        <f ca="1">-IF(C12=1,(F12+K12+L12+Q12)/2*'Invoer gegevens (N)'!$F$35*'Reeksen (N)'!J12,0)*2</f>
        <v>0</v>
      </c>
      <c r="AR12" s="71"/>
      <c r="AS12" s="71">
        <f ca="1">-IF(C12=1,(F12+K12+L12+Q12)/2*'Invoer gegevens (N)'!$F$37*'Reeksen (N)'!L12,0)</f>
        <v>0</v>
      </c>
      <c r="AT12" s="71">
        <f ca="1">-IF(C12=1,IF(E12='Invoer gegevens (N)'!$C$17,'Invoer gegevens (N)'!$C$11,AD12)*'Reeksen (N)'!S12*'Invoer gegevens (N)'!$C$18*'Reeksen (N)'!P12,0)</f>
        <v>0</v>
      </c>
      <c r="AU12" s="71">
        <f ca="1">-IF(C12=1,(F12+K12+L12+Q12)/2*'Invoer gegevens (N)'!$F$38*'Reeksen (N)'!H12,0)</f>
        <v>0</v>
      </c>
      <c r="AV12" s="71">
        <v>0</v>
      </c>
      <c r="AW12" s="71">
        <f t="shared" ca="1" si="8"/>
        <v>0</v>
      </c>
      <c r="AX12" s="71">
        <f ca="1">IF(E12&lt;'Invoer gegevens (N)'!$C$17+15,0,IF(E12&gt;'Invoer gegevens (N)'!$C$17+215,0,AW12))</f>
        <v>0</v>
      </c>
      <c r="AY12" s="71">
        <f ca="1">AX12/(1+'Invoer gegevens (N)'!$F$18)^($AZ12-('Invoer gegevens (N)'!$C$17-'Invoer gegevens (N)'!$C$16))/(1+'Invoer gegevens (N)'!$C$39)^('Invoer gegevens (N)'!$C$17-'Invoer gegevens (N)'!$C$16)</f>
        <v>0</v>
      </c>
      <c r="AZ12" s="68">
        <f ca="1">IF(E12-'Invoer gegevens (N)'!$C$17-14.5&lt;0,0,E12-'Invoer gegevens (N)'!$C$17-14.5)</f>
        <v>0</v>
      </c>
    </row>
    <row r="13" spans="1:52" x14ac:dyDescent="0.25">
      <c r="A13" s="59"/>
      <c r="B13" s="70">
        <f t="shared" si="9"/>
        <v>9</v>
      </c>
      <c r="C13" s="67">
        <f ca="1">IF(E13-'Invoer gegevens (N)'!$C$17&lt;0,0,1)</f>
        <v>1</v>
      </c>
      <c r="D13" s="68">
        <f t="shared" si="10"/>
        <v>8.5</v>
      </c>
      <c r="E13" s="69">
        <f ca="1">IF('Invoer gegevens (N)'!$C$16="","",E12+1)</f>
        <v>2027</v>
      </c>
      <c r="F13" s="84">
        <f ca="1">IF('Invoer gegevens (N)'!$C$17=E13,'Invoer gegevens (N)'!$C$10,IF(C13=1,K12,0))</f>
        <v>0</v>
      </c>
      <c r="G13" s="96">
        <f ca="1">IF(C13&gt;=1,F13*VLOOKUP(E13,'Reeksen (N)'!$A$5:$B$76,2),0)</f>
        <v>0</v>
      </c>
      <c r="H13" s="84">
        <f ca="1">(1-('Invoer gegevens (N)'!$F$20/12))*F13*MIN('Reeksen (N)'!B13,'Reeksen (N)'!D13)</f>
        <v>0</v>
      </c>
      <c r="I13" s="84">
        <f>IF('Reeksen (N)'!D13&lt;'Reeksen (N)'!B13,('Reeksen (N)'!B13-'Reeksen (N)'!D13)*F13,0)</f>
        <v>0</v>
      </c>
      <c r="J13" s="84">
        <f ca="1">('Invoer gegevens (N)'!$F$20/12)*F12*MIN('Reeksen (N)'!B12,'Reeksen (N)'!D12)</f>
        <v>0</v>
      </c>
      <c r="K13" s="97">
        <f t="shared" ca="1" si="0"/>
        <v>0</v>
      </c>
      <c r="L13" s="84">
        <f ca="1">IF('Invoer gegevens (N)'!$C$17=E13,0,IF(C13=1,Q12,0))</f>
        <v>0</v>
      </c>
      <c r="M13" s="96">
        <f ca="1">IF(C13&gt;=1,L13*VLOOKUP(E13,'Reeksen (N)'!$A$5:$B$76,2),0)</f>
        <v>0</v>
      </c>
      <c r="N13" s="84">
        <f ca="1">(1-('Invoer gegevens (N)'!$F$20/12))*L13*MIN('Reeksen (N)'!B13,'Reeksen (N)'!D13)</f>
        <v>0</v>
      </c>
      <c r="O13" s="84">
        <f>IF('Reeksen (N)'!D13&lt;'Reeksen (N)'!B13,('Reeksen (N)'!B13-'Reeksen (N)'!D13)*L13,0)</f>
        <v>0</v>
      </c>
      <c r="P13" s="84">
        <f ca="1">('Invoer gegevens (N)'!$F$20/12)*L12*MIN('Reeksen (N)'!B12,'Reeksen (N)'!D12)</f>
        <v>0</v>
      </c>
      <c r="Q13" s="84">
        <f t="shared" ca="1" si="1"/>
        <v>0</v>
      </c>
      <c r="R13" s="82">
        <f ca="1">IF('Invoer gegevens (N)'!$C$17=E13,'Invoer gegevens (N)'!$C$11,IF(C13=1,W12,0))</f>
        <v>0</v>
      </c>
      <c r="S13" s="86">
        <f ca="1">IF(C13&gt;=1,R13*VLOOKUP(E13,'Reeksen (N)'!$A$5:$B$76,2),0)</f>
        <v>0</v>
      </c>
      <c r="T13" s="84">
        <f ca="1">(1-('Invoer gegevens (N)'!$F$20/12))*R13*MIN('Reeksen (N)'!B13,'Reeksen (N)'!D13)</f>
        <v>0</v>
      </c>
      <c r="U13" s="84">
        <f>IF('Reeksen (N)'!D13&gt;='Reeksen (N)'!B13,0,IF('Reeksen (N)'!AD13&lt;='Reeksen (N)'!AE13,('Reeksen (N)'!B13-'Reeksen (N)'!D13)*R13,0))</f>
        <v>0</v>
      </c>
      <c r="V13" s="86">
        <f>IF('Reeksen (N)'!D13&gt;='Reeksen (N)'!B13,0,IF('Reeksen (N)'!AD13&gt;'Reeksen (N)'!AE13,('Reeksen (N)'!B13-'Reeksen (N)'!D13)*R13,0))</f>
        <v>0</v>
      </c>
      <c r="W13" s="97">
        <f t="shared" ca="1" si="2"/>
        <v>0</v>
      </c>
      <c r="X13" s="98">
        <f ca="1">IF('Invoer gegevens (N)'!$C$17=E13,'Invoer gegevens (N)'!$C$10-'Invoer gegevens (N)'!$C$11,IF(C13=1,AC12,0))</f>
        <v>0</v>
      </c>
      <c r="Y13" s="98">
        <f ca="1">IF(C13&gt;=1,X13*VLOOKUP(E13,'Reeksen (N)'!$A$5:$B$76,2),0)</f>
        <v>0</v>
      </c>
      <c r="Z13" s="98">
        <f ca="1">(1-('Invoer gegevens (N)'!$F$20/12))*X13*MIN('Reeksen (N)'!B13,'Reeksen (N)'!D13)</f>
        <v>0</v>
      </c>
      <c r="AA13" s="98">
        <f>IF('Reeksen (N)'!D13&gt;='Reeksen (N)'!B13,0,IF('Reeksen (N)'!AD13&lt;='Reeksen (N)'!AE13,('Reeksen (N)'!B13-'Reeksen (N)'!D13)*X13,0))</f>
        <v>0</v>
      </c>
      <c r="AB13" s="98">
        <f>IF('Reeksen (N)'!D13&gt;='Reeksen (N)'!B13,0,IF('Reeksen (N)'!AD13&gt;'Reeksen (N)'!AE13,('Reeksen (N)'!B13-'Reeksen (N)'!D13)*X13,0))</f>
        <v>0</v>
      </c>
      <c r="AC13" s="99">
        <f t="shared" ca="1" si="3"/>
        <v>0</v>
      </c>
      <c r="AD13" s="98">
        <f ca="1">IF('Invoer gegevens (N)'!$C$17=E13,R13,IF(C13=0,0,AE12))</f>
        <v>0</v>
      </c>
      <c r="AE13" s="98">
        <f t="shared" ca="1" si="4"/>
        <v>0</v>
      </c>
      <c r="AF13" s="98">
        <f ca="1">IF('Invoer gegevens (N)'!$C$17=E13,X13,IF(C13=0,0,AG12))</f>
        <v>0</v>
      </c>
      <c r="AG13" s="98">
        <f t="shared" ca="1" si="5"/>
        <v>0</v>
      </c>
      <c r="AH13" s="66"/>
      <c r="AI13" s="71">
        <f ca="1">IF(C13=1,'Reeksen (N)'!AI13*((F13-G13+F13)/2)*12+'Reeksen (N)'!AD13*((L13-M13+L13)/2)*12,0)</f>
        <v>0</v>
      </c>
      <c r="AJ13" s="71">
        <f ca="1">-AI13*'Invoer gegevens (N)'!$F$28</f>
        <v>0</v>
      </c>
      <c r="AK13" s="71">
        <f t="shared" ca="1" si="6"/>
        <v>0</v>
      </c>
      <c r="AL13" s="71">
        <f ca="1">IF(C13=1,'Reeksen (N)'!AL13*((F13-G13+F13)/2)*12+'Reeksen (N)'!AM13*((L13-M13+L13)/2)*12,0)</f>
        <v>0</v>
      </c>
      <c r="AM13" s="71">
        <f ca="1">-AL13*'Invoer gegevens (N)'!$F$31</f>
        <v>0</v>
      </c>
      <c r="AN13" s="71">
        <f t="shared" ca="1" si="7"/>
        <v>0</v>
      </c>
      <c r="AO13" s="71">
        <f ca="1">IF(C13=1,(H13+J13+N13+P13)*'Reeksen (N)'!AN13,0)</f>
        <v>0</v>
      </c>
      <c r="AP13" s="71">
        <f ca="1">-IF(C13=1,(H13+J13+N13+P13)*'Hulp - basis'!$O$550*'Reeksen (N)'!H13,0)</f>
        <v>0</v>
      </c>
      <c r="AQ13" s="71">
        <f ca="1">-IF(C13=1,(F13+K13+L13+Q13)/2*'Invoer gegevens (N)'!$F$35*'Reeksen (N)'!J13,0)*2</f>
        <v>0</v>
      </c>
      <c r="AR13" s="71"/>
      <c r="AS13" s="71">
        <f ca="1">-IF(C13=1,(F13+K13+L13+Q13)/2*'Invoer gegevens (N)'!$F$37*'Reeksen (N)'!L13,0)</f>
        <v>0</v>
      </c>
      <c r="AT13" s="71">
        <f ca="1">-IF(C13=1,IF(E13='Invoer gegevens (N)'!$C$17,'Invoer gegevens (N)'!$C$11,AD13)*'Reeksen (N)'!S13*'Invoer gegevens (N)'!$C$18*'Reeksen (N)'!P13,0)</f>
        <v>0</v>
      </c>
      <c r="AU13" s="71">
        <f ca="1">-IF(C13=1,(F13+K13+L13+Q13)/2*'Invoer gegevens (N)'!$F$38*'Reeksen (N)'!H13,0)</f>
        <v>0</v>
      </c>
      <c r="AV13" s="71">
        <v>0</v>
      </c>
      <c r="AW13" s="71">
        <f t="shared" ca="1" si="8"/>
        <v>0</v>
      </c>
      <c r="AX13" s="71">
        <f ca="1">IF(E13&lt;'Invoer gegevens (N)'!$C$17+15,0,IF(E13&gt;'Invoer gegevens (N)'!$C$17+215,0,AW13))</f>
        <v>0</v>
      </c>
      <c r="AY13" s="71">
        <f ca="1">AX13/(1+'Invoer gegevens (N)'!$F$18)^($AZ13-('Invoer gegevens (N)'!$C$17-'Invoer gegevens (N)'!$C$16))/(1+'Invoer gegevens (N)'!$C$39)^('Invoer gegevens (N)'!$C$17-'Invoer gegevens (N)'!$C$16)</f>
        <v>0</v>
      </c>
      <c r="AZ13" s="68">
        <f ca="1">IF(E13-'Invoer gegevens (N)'!$C$17-14.5&lt;0,0,E13-'Invoer gegevens (N)'!$C$17-14.5)</f>
        <v>0</v>
      </c>
    </row>
    <row r="14" spans="1:52" x14ac:dyDescent="0.25">
      <c r="A14" s="59"/>
      <c r="B14" s="70">
        <f t="shared" si="9"/>
        <v>10</v>
      </c>
      <c r="C14" s="67">
        <f ca="1">IF(E14-'Invoer gegevens (N)'!$C$17&lt;0,0,1)</f>
        <v>1</v>
      </c>
      <c r="D14" s="68">
        <f t="shared" si="10"/>
        <v>9.5</v>
      </c>
      <c r="E14" s="69">
        <f ca="1">IF('Invoer gegevens (N)'!$C$16="","",E13+1)</f>
        <v>2028</v>
      </c>
      <c r="F14" s="84">
        <f ca="1">IF('Invoer gegevens (N)'!$C$17=E14,'Invoer gegevens (N)'!$C$10,IF(C14=1,K13,0))</f>
        <v>0</v>
      </c>
      <c r="G14" s="96">
        <f ca="1">IF(C14&gt;=1,F14*VLOOKUP(E14,'Reeksen (N)'!$A$5:$B$76,2),0)</f>
        <v>0</v>
      </c>
      <c r="H14" s="84">
        <f ca="1">(1-('Invoer gegevens (N)'!$F$20/12))*F14*MIN('Reeksen (N)'!B14,'Reeksen (N)'!D14)</f>
        <v>0</v>
      </c>
      <c r="I14" s="84">
        <f>IF('Reeksen (N)'!D14&lt;'Reeksen (N)'!B14,('Reeksen (N)'!B14-'Reeksen (N)'!D14)*F14,0)</f>
        <v>0</v>
      </c>
      <c r="J14" s="84">
        <f ca="1">('Invoer gegevens (N)'!$F$20/12)*F13*MIN('Reeksen (N)'!B13,'Reeksen (N)'!D13)</f>
        <v>0</v>
      </c>
      <c r="K14" s="97">
        <f t="shared" ca="1" si="0"/>
        <v>0</v>
      </c>
      <c r="L14" s="84">
        <f ca="1">IF('Invoer gegevens (N)'!$C$17=E14,0,IF(C14=1,Q13,0))</f>
        <v>0</v>
      </c>
      <c r="M14" s="96">
        <f ca="1">IF(C14&gt;=1,L14*VLOOKUP(E14,'Reeksen (N)'!$A$5:$B$76,2),0)</f>
        <v>0</v>
      </c>
      <c r="N14" s="84">
        <f ca="1">(1-('Invoer gegevens (N)'!$F$20/12))*L14*MIN('Reeksen (N)'!B14,'Reeksen (N)'!D14)</f>
        <v>0</v>
      </c>
      <c r="O14" s="84">
        <f>IF('Reeksen (N)'!D14&lt;'Reeksen (N)'!B14,('Reeksen (N)'!B14-'Reeksen (N)'!D14)*L14,0)</f>
        <v>0</v>
      </c>
      <c r="P14" s="84">
        <f ca="1">('Invoer gegevens (N)'!$F$20/12)*L13*MIN('Reeksen (N)'!B13,'Reeksen (N)'!D13)</f>
        <v>0</v>
      </c>
      <c r="Q14" s="84">
        <f t="shared" ca="1" si="1"/>
        <v>0</v>
      </c>
      <c r="R14" s="82">
        <f ca="1">IF('Invoer gegevens (N)'!$C$17=E14,'Invoer gegevens (N)'!$C$11,IF(C14=1,W13,0))</f>
        <v>0</v>
      </c>
      <c r="S14" s="86">
        <f ca="1">IF(C14&gt;=1,R14*VLOOKUP(E14,'Reeksen (N)'!$A$5:$B$76,2),0)</f>
        <v>0</v>
      </c>
      <c r="T14" s="84">
        <f ca="1">(1-('Invoer gegevens (N)'!$F$20/12))*R14*MIN('Reeksen (N)'!B14,'Reeksen (N)'!D14)</f>
        <v>0</v>
      </c>
      <c r="U14" s="84">
        <f>IF('Reeksen (N)'!D14&gt;='Reeksen (N)'!B14,0,IF('Reeksen (N)'!AD14&lt;='Reeksen (N)'!AE14,('Reeksen (N)'!B14-'Reeksen (N)'!D14)*R14,0))</f>
        <v>0</v>
      </c>
      <c r="V14" s="86">
        <f>IF('Reeksen (N)'!D14&gt;='Reeksen (N)'!B14,0,IF('Reeksen (N)'!AD14&gt;'Reeksen (N)'!AE14,('Reeksen (N)'!B14-'Reeksen (N)'!D14)*R14,0))</f>
        <v>0</v>
      </c>
      <c r="W14" s="97">
        <f t="shared" ca="1" si="2"/>
        <v>0</v>
      </c>
      <c r="X14" s="98">
        <f ca="1">IF('Invoer gegevens (N)'!$C$17=E14,'Invoer gegevens (N)'!$C$10-'Invoer gegevens (N)'!$C$11,IF(C14=1,AC13,0))</f>
        <v>0</v>
      </c>
      <c r="Y14" s="98">
        <f ca="1">IF(C14&gt;=1,X14*VLOOKUP(E14,'Reeksen (N)'!$A$5:$B$76,2),0)</f>
        <v>0</v>
      </c>
      <c r="Z14" s="98">
        <f ca="1">(1-('Invoer gegevens (N)'!$F$20/12))*X14*MIN('Reeksen (N)'!B14,'Reeksen (N)'!D14)</f>
        <v>0</v>
      </c>
      <c r="AA14" s="98">
        <f>IF('Reeksen (N)'!D14&gt;='Reeksen (N)'!B14,0,IF('Reeksen (N)'!AD14&lt;='Reeksen (N)'!AE14,('Reeksen (N)'!B14-'Reeksen (N)'!D14)*X14,0))</f>
        <v>0</v>
      </c>
      <c r="AB14" s="98">
        <f>IF('Reeksen (N)'!D14&gt;='Reeksen (N)'!B14,0,IF('Reeksen (N)'!AD14&gt;'Reeksen (N)'!AE14,('Reeksen (N)'!B14-'Reeksen (N)'!D14)*X14,0))</f>
        <v>0</v>
      </c>
      <c r="AC14" s="99">
        <f t="shared" ca="1" si="3"/>
        <v>0</v>
      </c>
      <c r="AD14" s="98">
        <f ca="1">IF('Invoer gegevens (N)'!$C$17=E14,R14,IF(C14=0,0,AE13))</f>
        <v>0</v>
      </c>
      <c r="AE14" s="98">
        <f t="shared" ca="1" si="4"/>
        <v>0</v>
      </c>
      <c r="AF14" s="98">
        <f ca="1">IF('Invoer gegevens (N)'!$C$17=E14,X14,IF(C14=0,0,AG13))</f>
        <v>0</v>
      </c>
      <c r="AG14" s="98">
        <f t="shared" ca="1" si="5"/>
        <v>0</v>
      </c>
      <c r="AH14" s="66"/>
      <c r="AI14" s="71">
        <f ca="1">IF(C14=1,'Reeksen (N)'!AI14*((F14-G14+F14)/2)*12+'Reeksen (N)'!AD14*((L14-M14+L14)/2)*12,0)</f>
        <v>0</v>
      </c>
      <c r="AJ14" s="71">
        <f ca="1">-AI14*'Invoer gegevens (N)'!$F$28</f>
        <v>0</v>
      </c>
      <c r="AK14" s="71">
        <f t="shared" ca="1" si="6"/>
        <v>0</v>
      </c>
      <c r="AL14" s="71">
        <f ca="1">IF(C14=1,'Reeksen (N)'!AL14*((F14-G14+F14)/2)*12+'Reeksen (N)'!AM14*((L14-M14+L14)/2)*12,0)</f>
        <v>0</v>
      </c>
      <c r="AM14" s="71">
        <f ca="1">-AL14*'Invoer gegevens (N)'!$F$31</f>
        <v>0</v>
      </c>
      <c r="AN14" s="71">
        <f t="shared" ca="1" si="7"/>
        <v>0</v>
      </c>
      <c r="AO14" s="71">
        <f ca="1">IF(C14=1,(H14+J14+N14+P14)*'Reeksen (N)'!AN14,0)</f>
        <v>0</v>
      </c>
      <c r="AP14" s="71">
        <f ca="1">-IF(C14=1,(H14+J14+N14+P14)*'Hulp - basis'!$O$550*'Reeksen (N)'!H14,0)</f>
        <v>0</v>
      </c>
      <c r="AQ14" s="71">
        <f ca="1">-IF(C14=1,(F14+K14+L14+Q14)/2*'Invoer gegevens (N)'!$F$35*'Reeksen (N)'!J14,0)*2</f>
        <v>0</v>
      </c>
      <c r="AR14" s="71"/>
      <c r="AS14" s="71">
        <f ca="1">-IF(C14=1,(F14+K14+L14+Q14)/2*'Invoer gegevens (N)'!$F$37*'Reeksen (N)'!L14,0)</f>
        <v>0</v>
      </c>
      <c r="AT14" s="71">
        <f ca="1">-IF(C14=1,IF(E14='Invoer gegevens (N)'!$C$17,'Invoer gegevens (N)'!$C$11,AD14)*'Reeksen (N)'!S14*'Invoer gegevens (N)'!$C$18*'Reeksen (N)'!P14,0)</f>
        <v>0</v>
      </c>
      <c r="AU14" s="71">
        <f ca="1">-IF(C14=1,(F14+K14+L14+Q14)/2*'Invoer gegevens (N)'!$F$38*'Reeksen (N)'!H14,0)</f>
        <v>0</v>
      </c>
      <c r="AV14" s="71">
        <v>0</v>
      </c>
      <c r="AW14" s="71">
        <f t="shared" ca="1" si="8"/>
        <v>0</v>
      </c>
      <c r="AX14" s="71">
        <f ca="1">IF(E14&lt;'Invoer gegevens (N)'!$C$17+15,0,IF(E14&gt;'Invoer gegevens (N)'!$C$17+215,0,AW14))</f>
        <v>0</v>
      </c>
      <c r="AY14" s="71">
        <f ca="1">AX14/(1+'Invoer gegevens (N)'!$F$18)^($AZ14-('Invoer gegevens (N)'!$C$17-'Invoer gegevens (N)'!$C$16))/(1+'Invoer gegevens (N)'!$C$39)^('Invoer gegevens (N)'!$C$17-'Invoer gegevens (N)'!$C$16)</f>
        <v>0</v>
      </c>
      <c r="AZ14" s="68">
        <f ca="1">IF(E14-'Invoer gegevens (N)'!$C$17-14.5&lt;0,0,E14-'Invoer gegevens (N)'!$C$17-14.5)</f>
        <v>0</v>
      </c>
    </row>
    <row r="15" spans="1:52" x14ac:dyDescent="0.25">
      <c r="A15" s="59"/>
      <c r="B15" s="70">
        <f t="shared" si="9"/>
        <v>11</v>
      </c>
      <c r="C15" s="67">
        <f ca="1">IF(E15-'Invoer gegevens (N)'!$C$17&lt;0,0,1)</f>
        <v>1</v>
      </c>
      <c r="D15" s="68">
        <f t="shared" si="10"/>
        <v>10.5</v>
      </c>
      <c r="E15" s="69">
        <f ca="1">IF('Invoer gegevens (N)'!$C$16="","",E14+1)</f>
        <v>2029</v>
      </c>
      <c r="F15" s="84">
        <f ca="1">IF('Invoer gegevens (N)'!$C$17=E15,'Invoer gegevens (N)'!$C$10,IF(C15=1,K14,0))</f>
        <v>0</v>
      </c>
      <c r="G15" s="96">
        <f ca="1">IF(C15&gt;=1,F15*VLOOKUP(E15,'Reeksen (N)'!$A$5:$B$76,2),0)</f>
        <v>0</v>
      </c>
      <c r="H15" s="84">
        <f ca="1">(1-('Invoer gegevens (N)'!$F$20/12))*F15*MIN('Reeksen (N)'!B15,'Reeksen (N)'!D15)</f>
        <v>0</v>
      </c>
      <c r="I15" s="84">
        <f>IF('Reeksen (N)'!D15&lt;'Reeksen (N)'!B15,('Reeksen (N)'!B15-'Reeksen (N)'!D15)*F15,0)</f>
        <v>0</v>
      </c>
      <c r="J15" s="84">
        <f ca="1">('Invoer gegevens (N)'!$F$20/12)*F14*MIN('Reeksen (N)'!B14,'Reeksen (N)'!D14)</f>
        <v>0</v>
      </c>
      <c r="K15" s="97">
        <f t="shared" ca="1" si="0"/>
        <v>0</v>
      </c>
      <c r="L15" s="84">
        <f ca="1">IF('Invoer gegevens (N)'!$C$17=E15,0,IF(C15=1,Q14,0))</f>
        <v>0</v>
      </c>
      <c r="M15" s="96">
        <f ca="1">IF(C15&gt;=1,L15*VLOOKUP(E15,'Reeksen (N)'!$A$5:$B$76,2),0)</f>
        <v>0</v>
      </c>
      <c r="N15" s="84">
        <f ca="1">(1-('Invoer gegevens (N)'!$F$20/12))*L15*MIN('Reeksen (N)'!B15,'Reeksen (N)'!D15)</f>
        <v>0</v>
      </c>
      <c r="O15" s="84">
        <f>IF('Reeksen (N)'!D15&lt;'Reeksen (N)'!B15,('Reeksen (N)'!B15-'Reeksen (N)'!D15)*L15,0)</f>
        <v>0</v>
      </c>
      <c r="P15" s="84">
        <f ca="1">('Invoer gegevens (N)'!$F$20/12)*L14*MIN('Reeksen (N)'!B14,'Reeksen (N)'!D14)</f>
        <v>0</v>
      </c>
      <c r="Q15" s="84">
        <f t="shared" ca="1" si="1"/>
        <v>0</v>
      </c>
      <c r="R15" s="82">
        <f ca="1">IF('Invoer gegevens (N)'!$C$17=E15,'Invoer gegevens (N)'!$C$11,IF(C15=1,W14,0))</f>
        <v>0</v>
      </c>
      <c r="S15" s="86">
        <f ca="1">IF(C15&gt;=1,R15*VLOOKUP(E15,'Reeksen (N)'!$A$5:$B$76,2),0)</f>
        <v>0</v>
      </c>
      <c r="T15" s="84">
        <f ca="1">(1-('Invoer gegevens (N)'!$F$20/12))*R15*MIN('Reeksen (N)'!B15,'Reeksen (N)'!D15)</f>
        <v>0</v>
      </c>
      <c r="U15" s="84">
        <f>IF('Reeksen (N)'!D15&gt;='Reeksen (N)'!B15,0,IF('Reeksen (N)'!AD15&lt;='Reeksen (N)'!AE15,('Reeksen (N)'!B15-'Reeksen (N)'!D15)*R15,0))</f>
        <v>0</v>
      </c>
      <c r="V15" s="86">
        <f>IF('Reeksen (N)'!D15&gt;='Reeksen (N)'!B15,0,IF('Reeksen (N)'!AD15&gt;'Reeksen (N)'!AE15,('Reeksen (N)'!B15-'Reeksen (N)'!D15)*R15,0))</f>
        <v>0</v>
      </c>
      <c r="W15" s="97">
        <f t="shared" ca="1" si="2"/>
        <v>0</v>
      </c>
      <c r="X15" s="98">
        <f ca="1">IF('Invoer gegevens (N)'!$C$17=E15,'Invoer gegevens (N)'!$C$10-'Invoer gegevens (N)'!$C$11,IF(C15=1,AC14,0))</f>
        <v>0</v>
      </c>
      <c r="Y15" s="98">
        <f ca="1">IF(C15&gt;=1,X15*VLOOKUP(E15,'Reeksen (N)'!$A$5:$B$76,2),0)</f>
        <v>0</v>
      </c>
      <c r="Z15" s="98">
        <f ca="1">(1-('Invoer gegevens (N)'!$F$20/12))*X15*MIN('Reeksen (N)'!B15,'Reeksen (N)'!D15)</f>
        <v>0</v>
      </c>
      <c r="AA15" s="98">
        <f>IF('Reeksen (N)'!D15&gt;='Reeksen (N)'!B15,0,IF('Reeksen (N)'!AD15&lt;='Reeksen (N)'!AE15,('Reeksen (N)'!B15-'Reeksen (N)'!D15)*X15,0))</f>
        <v>0</v>
      </c>
      <c r="AB15" s="98">
        <f>IF('Reeksen (N)'!D15&gt;='Reeksen (N)'!B15,0,IF('Reeksen (N)'!AD15&gt;'Reeksen (N)'!AE15,('Reeksen (N)'!B15-'Reeksen (N)'!D15)*X15,0))</f>
        <v>0</v>
      </c>
      <c r="AC15" s="99">
        <f t="shared" ca="1" si="3"/>
        <v>0</v>
      </c>
      <c r="AD15" s="98">
        <f ca="1">IF('Invoer gegevens (N)'!$C$17=E15,R15,IF(C15=0,0,AE14))</f>
        <v>0</v>
      </c>
      <c r="AE15" s="98">
        <f t="shared" ca="1" si="4"/>
        <v>0</v>
      </c>
      <c r="AF15" s="98">
        <f ca="1">IF('Invoer gegevens (N)'!$C$17=E15,X15,IF(C15=0,0,AG14))</f>
        <v>0</v>
      </c>
      <c r="AG15" s="98">
        <f t="shared" ca="1" si="5"/>
        <v>0</v>
      </c>
      <c r="AH15" s="66"/>
      <c r="AI15" s="71">
        <f ca="1">IF(C15=1,'Reeksen (N)'!AI15*((F15-G15+F15)/2)*12+'Reeksen (N)'!AD15*((L15-M15+L15)/2)*12,0)</f>
        <v>0</v>
      </c>
      <c r="AJ15" s="71">
        <f ca="1">-AI15*'Invoer gegevens (N)'!$F$28</f>
        <v>0</v>
      </c>
      <c r="AK15" s="71">
        <f t="shared" ca="1" si="6"/>
        <v>0</v>
      </c>
      <c r="AL15" s="71">
        <f ca="1">IF(C15=1,'Reeksen (N)'!AL15*((F15-G15+F15)/2)*12+'Reeksen (N)'!AM15*((L15-M15+L15)/2)*12,0)</f>
        <v>0</v>
      </c>
      <c r="AM15" s="71">
        <f ca="1">-AL15*'Invoer gegevens (N)'!$F$31</f>
        <v>0</v>
      </c>
      <c r="AN15" s="71">
        <f t="shared" ca="1" si="7"/>
        <v>0</v>
      </c>
      <c r="AO15" s="71">
        <f ca="1">IF(C15=1,(H15+J15+N15+P15)*'Reeksen (N)'!AN15,0)</f>
        <v>0</v>
      </c>
      <c r="AP15" s="71">
        <f ca="1">-IF(C15=1,(H15+J15+N15+P15)*'Hulp - basis'!$O$550*'Reeksen (N)'!H15,0)</f>
        <v>0</v>
      </c>
      <c r="AQ15" s="71">
        <f ca="1">-IF(C15=1,(F15+K15+L15+Q15)/2*'Invoer gegevens (N)'!$F$35*'Reeksen (N)'!J15,0)*2</f>
        <v>0</v>
      </c>
      <c r="AR15" s="71"/>
      <c r="AS15" s="71">
        <f ca="1">-IF(C15=1,(F15+K15+L15+Q15)/2*'Invoer gegevens (N)'!$F$37*'Reeksen (N)'!L15,0)</f>
        <v>0</v>
      </c>
      <c r="AT15" s="71">
        <f ca="1">-IF(C15=1,IF(E15='Invoer gegevens (N)'!$C$17,'Invoer gegevens (N)'!$C$11,AD15)*'Reeksen (N)'!S15*'Invoer gegevens (N)'!$C$18*'Reeksen (N)'!P15,0)</f>
        <v>0</v>
      </c>
      <c r="AU15" s="71">
        <f ca="1">-IF(C15=1,(F15+K15+L15+Q15)/2*'Invoer gegevens (N)'!$F$38*'Reeksen (N)'!H15,0)</f>
        <v>0</v>
      </c>
      <c r="AV15" s="71">
        <v>0</v>
      </c>
      <c r="AW15" s="71">
        <f t="shared" ca="1" si="8"/>
        <v>0</v>
      </c>
      <c r="AX15" s="71">
        <f ca="1">IF(E15&lt;'Invoer gegevens (N)'!$C$17+15,0,IF(E15&gt;'Invoer gegevens (N)'!$C$17+215,0,AW15))</f>
        <v>0</v>
      </c>
      <c r="AY15" s="71">
        <f ca="1">AX15/(1+'Invoer gegevens (N)'!$F$18)^($AZ15-('Invoer gegevens (N)'!$C$17-'Invoer gegevens (N)'!$C$16))/(1+'Invoer gegevens (N)'!$C$39)^('Invoer gegevens (N)'!$C$17-'Invoer gegevens (N)'!$C$16)</f>
        <v>0</v>
      </c>
      <c r="AZ15" s="68">
        <f ca="1">IF(E15-'Invoer gegevens (N)'!$C$17-14.5&lt;0,0,E15-'Invoer gegevens (N)'!$C$17-14.5)</f>
        <v>0</v>
      </c>
    </row>
    <row r="16" spans="1:52" x14ac:dyDescent="0.25">
      <c r="A16" s="59"/>
      <c r="B16" s="70">
        <f t="shared" si="9"/>
        <v>12</v>
      </c>
      <c r="C16" s="67">
        <f ca="1">IF(E16-'Invoer gegevens (N)'!$C$17&lt;0,0,1)</f>
        <v>1</v>
      </c>
      <c r="D16" s="68">
        <f t="shared" si="10"/>
        <v>11.5</v>
      </c>
      <c r="E16" s="69">
        <f ca="1">IF('Invoer gegevens (N)'!$C$16="","",E15+1)</f>
        <v>2030</v>
      </c>
      <c r="F16" s="84">
        <f ca="1">IF('Invoer gegevens (N)'!$C$17=E16,'Invoer gegevens (N)'!$C$10,IF(C16=1,K15,0))</f>
        <v>0</v>
      </c>
      <c r="G16" s="96">
        <f ca="1">IF(C16&gt;=1,F16*VLOOKUP(E16,'Reeksen (N)'!$A$5:$B$76,2),0)</f>
        <v>0</v>
      </c>
      <c r="H16" s="84">
        <f ca="1">(1-('Invoer gegevens (N)'!$F$20/12))*F16*MIN('Reeksen (N)'!B16,'Reeksen (N)'!D16)</f>
        <v>0</v>
      </c>
      <c r="I16" s="84">
        <f>IF('Reeksen (N)'!D16&lt;'Reeksen (N)'!B16,('Reeksen (N)'!B16-'Reeksen (N)'!D16)*F16,0)</f>
        <v>0</v>
      </c>
      <c r="J16" s="84">
        <f ca="1">('Invoer gegevens (N)'!$F$20/12)*F15*MIN('Reeksen (N)'!B15,'Reeksen (N)'!D15)</f>
        <v>0</v>
      </c>
      <c r="K16" s="97">
        <f t="shared" ca="1" si="0"/>
        <v>0</v>
      </c>
      <c r="L16" s="84">
        <f ca="1">IF('Invoer gegevens (N)'!$C$17=E16,0,IF(C16=1,Q15,0))</f>
        <v>0</v>
      </c>
      <c r="M16" s="96">
        <f ca="1">IF(C16&gt;=1,L16*VLOOKUP(E16,'Reeksen (N)'!$A$5:$B$76,2),0)</f>
        <v>0</v>
      </c>
      <c r="N16" s="84">
        <f ca="1">(1-('Invoer gegevens (N)'!$F$20/12))*L16*MIN('Reeksen (N)'!B16,'Reeksen (N)'!D16)</f>
        <v>0</v>
      </c>
      <c r="O16" s="84">
        <f>IF('Reeksen (N)'!D16&lt;'Reeksen (N)'!B16,('Reeksen (N)'!B16-'Reeksen (N)'!D16)*L16,0)</f>
        <v>0</v>
      </c>
      <c r="P16" s="84">
        <f ca="1">('Invoer gegevens (N)'!$F$20/12)*L15*MIN('Reeksen (N)'!B15,'Reeksen (N)'!D15)</f>
        <v>0</v>
      </c>
      <c r="Q16" s="84">
        <f t="shared" ca="1" si="1"/>
        <v>0</v>
      </c>
      <c r="R16" s="82">
        <f ca="1">IF('Invoer gegevens (N)'!$C$17=E16,'Invoer gegevens (N)'!$C$11,IF(C16=1,W15,0))</f>
        <v>0</v>
      </c>
      <c r="S16" s="86">
        <f ca="1">IF(C16&gt;=1,R16*VLOOKUP(E16,'Reeksen (N)'!$A$5:$B$76,2),0)</f>
        <v>0</v>
      </c>
      <c r="T16" s="84">
        <f ca="1">(1-('Invoer gegevens (N)'!$F$20/12))*R16*MIN('Reeksen (N)'!B16,'Reeksen (N)'!D16)</f>
        <v>0</v>
      </c>
      <c r="U16" s="84">
        <f>IF('Reeksen (N)'!D16&gt;='Reeksen (N)'!B16,0,IF('Reeksen (N)'!AD16&lt;='Reeksen (N)'!AE16,('Reeksen (N)'!B16-'Reeksen (N)'!D16)*R16,0))</f>
        <v>0</v>
      </c>
      <c r="V16" s="86">
        <f>IF('Reeksen (N)'!D16&gt;='Reeksen (N)'!B16,0,IF('Reeksen (N)'!AD16&gt;'Reeksen (N)'!AE16,('Reeksen (N)'!B16-'Reeksen (N)'!D16)*R16,0))</f>
        <v>0</v>
      </c>
      <c r="W16" s="97">
        <f t="shared" ca="1" si="2"/>
        <v>0</v>
      </c>
      <c r="X16" s="98">
        <f ca="1">IF('Invoer gegevens (N)'!$C$17=E16,'Invoer gegevens (N)'!$C$10-'Invoer gegevens (N)'!$C$11,IF(C16=1,AC15,0))</f>
        <v>0</v>
      </c>
      <c r="Y16" s="98">
        <f ca="1">IF(C16&gt;=1,X16*VLOOKUP(E16,'Reeksen (N)'!$A$5:$B$76,2),0)</f>
        <v>0</v>
      </c>
      <c r="Z16" s="98">
        <f ca="1">(1-('Invoer gegevens (N)'!$F$20/12))*X16*MIN('Reeksen (N)'!B16,'Reeksen (N)'!D16)</f>
        <v>0</v>
      </c>
      <c r="AA16" s="98">
        <f>IF('Reeksen (N)'!D16&gt;='Reeksen (N)'!B16,0,IF('Reeksen (N)'!AD16&lt;='Reeksen (N)'!AE16,('Reeksen (N)'!B16-'Reeksen (N)'!D16)*X16,0))</f>
        <v>0</v>
      </c>
      <c r="AB16" s="98">
        <f>IF('Reeksen (N)'!D16&gt;='Reeksen (N)'!B16,0,IF('Reeksen (N)'!AD16&gt;'Reeksen (N)'!AE16,('Reeksen (N)'!B16-'Reeksen (N)'!D16)*X16,0))</f>
        <v>0</v>
      </c>
      <c r="AC16" s="99">
        <f t="shared" ca="1" si="3"/>
        <v>0</v>
      </c>
      <c r="AD16" s="98">
        <f ca="1">IF('Invoer gegevens (N)'!$C$17=E16,R16,IF(C16=0,0,AE15))</f>
        <v>0</v>
      </c>
      <c r="AE16" s="98">
        <f t="shared" ca="1" si="4"/>
        <v>0</v>
      </c>
      <c r="AF16" s="98">
        <f ca="1">IF('Invoer gegevens (N)'!$C$17=E16,X16,IF(C16=0,0,AG15))</f>
        <v>0</v>
      </c>
      <c r="AG16" s="98">
        <f t="shared" ca="1" si="5"/>
        <v>0</v>
      </c>
      <c r="AH16" s="66"/>
      <c r="AI16" s="71">
        <f ca="1">IF(C16=1,'Reeksen (N)'!AI16*((F16-G16+F16)/2)*12+'Reeksen (N)'!AD16*((L16-M16+L16)/2)*12,0)</f>
        <v>0</v>
      </c>
      <c r="AJ16" s="71">
        <f ca="1">-AI16*'Invoer gegevens (N)'!$F$28</f>
        <v>0</v>
      </c>
      <c r="AK16" s="71">
        <f t="shared" ca="1" si="6"/>
        <v>0</v>
      </c>
      <c r="AL16" s="71">
        <f ca="1">IF(C16=1,'Reeksen (N)'!AL16*((F16-G16+F16)/2)*12+'Reeksen (N)'!AM16*((L16-M16+L16)/2)*12,0)</f>
        <v>0</v>
      </c>
      <c r="AM16" s="71">
        <f ca="1">-AL16*'Invoer gegevens (N)'!$F$31</f>
        <v>0</v>
      </c>
      <c r="AN16" s="71">
        <f t="shared" ca="1" si="7"/>
        <v>0</v>
      </c>
      <c r="AO16" s="71">
        <f ca="1">IF(C16=1,(H16+J16+N16+P16)*'Reeksen (N)'!AN16,0)</f>
        <v>0</v>
      </c>
      <c r="AP16" s="71">
        <f ca="1">-IF(C16=1,(H16+J16+N16+P16)*'Hulp - basis'!$O$550*'Reeksen (N)'!H16,0)</f>
        <v>0</v>
      </c>
      <c r="AQ16" s="71">
        <f ca="1">-IF(C16=1,(F16+K16+L16+Q16)/2*'Invoer gegevens (N)'!$F$35*'Reeksen (N)'!J16,0)*2</f>
        <v>0</v>
      </c>
      <c r="AR16" s="71"/>
      <c r="AS16" s="71">
        <f ca="1">-IF(C16=1,(F16+K16+L16+Q16)/2*'Invoer gegevens (N)'!$F$37*'Reeksen (N)'!L16,0)</f>
        <v>0</v>
      </c>
      <c r="AT16" s="71">
        <f ca="1">-IF(C16=1,IF(E16='Invoer gegevens (N)'!$C$17,'Invoer gegevens (N)'!$C$11,AD16)*'Reeksen (N)'!S16*'Invoer gegevens (N)'!$C$18*'Reeksen (N)'!P16,0)</f>
        <v>0</v>
      </c>
      <c r="AU16" s="71">
        <f ca="1">-IF(C16=1,(F16+K16+L16+Q16)/2*'Invoer gegevens (N)'!$F$38*'Reeksen (N)'!H16,0)</f>
        <v>0</v>
      </c>
      <c r="AV16" s="71">
        <v>0</v>
      </c>
      <c r="AW16" s="71">
        <f t="shared" ca="1" si="8"/>
        <v>0</v>
      </c>
      <c r="AX16" s="71">
        <f ca="1">IF(E16&lt;'Invoer gegevens (N)'!$C$17+15,0,IF(E16&gt;'Invoer gegevens (N)'!$C$17+215,0,AW16))</f>
        <v>0</v>
      </c>
      <c r="AY16" s="71">
        <f ca="1">AX16/(1+'Invoer gegevens (N)'!$F$18)^($AZ16-('Invoer gegevens (N)'!$C$17-'Invoer gegevens (N)'!$C$16))/(1+'Invoer gegevens (N)'!$C$39)^('Invoer gegevens (N)'!$C$17-'Invoer gegevens (N)'!$C$16)</f>
        <v>0</v>
      </c>
      <c r="AZ16" s="68">
        <f ca="1">IF(E16-'Invoer gegevens (N)'!$C$17-14.5&lt;0,0,E16-'Invoer gegevens (N)'!$C$17-14.5)</f>
        <v>0</v>
      </c>
    </row>
    <row r="17" spans="1:52" x14ac:dyDescent="0.25">
      <c r="A17" s="59"/>
      <c r="B17" s="70">
        <f t="shared" si="9"/>
        <v>13</v>
      </c>
      <c r="C17" s="67">
        <f ca="1">IF(E17-'Invoer gegevens (N)'!$C$17&lt;0,0,1)</f>
        <v>1</v>
      </c>
      <c r="D17" s="68">
        <f t="shared" si="10"/>
        <v>12.5</v>
      </c>
      <c r="E17" s="69">
        <f ca="1">IF('Invoer gegevens (N)'!$C$16="","",E16+1)</f>
        <v>2031</v>
      </c>
      <c r="F17" s="84">
        <f ca="1">IF('Invoer gegevens (N)'!$C$17=E17,'Invoer gegevens (N)'!$C$10,IF(C17=1,K16,0))</f>
        <v>0</v>
      </c>
      <c r="G17" s="96">
        <f ca="1">IF(C17&gt;=1,F17*VLOOKUP(E17,'Reeksen (N)'!$A$5:$B$76,2),0)</f>
        <v>0</v>
      </c>
      <c r="H17" s="84">
        <f ca="1">(1-('Invoer gegevens (N)'!$F$20/12))*F17*MIN('Reeksen (N)'!B17,'Reeksen (N)'!D17)</f>
        <v>0</v>
      </c>
      <c r="I17" s="84">
        <f>IF('Reeksen (N)'!D17&lt;'Reeksen (N)'!B17,('Reeksen (N)'!B17-'Reeksen (N)'!D17)*F17,0)</f>
        <v>0</v>
      </c>
      <c r="J17" s="84">
        <f ca="1">('Invoer gegevens (N)'!$F$20/12)*F16*MIN('Reeksen (N)'!B16,'Reeksen (N)'!D16)</f>
        <v>0</v>
      </c>
      <c r="K17" s="97">
        <f t="shared" ca="1" si="0"/>
        <v>0</v>
      </c>
      <c r="L17" s="84">
        <f ca="1">IF('Invoer gegevens (N)'!$C$17=E17,0,IF(C17=1,Q16,0))</f>
        <v>0</v>
      </c>
      <c r="M17" s="96">
        <f ca="1">IF(C17&gt;=1,L17*VLOOKUP(E17,'Reeksen (N)'!$A$5:$B$76,2),0)</f>
        <v>0</v>
      </c>
      <c r="N17" s="84">
        <f ca="1">(1-('Invoer gegevens (N)'!$F$20/12))*L17*MIN('Reeksen (N)'!B17,'Reeksen (N)'!D17)</f>
        <v>0</v>
      </c>
      <c r="O17" s="84">
        <f>IF('Reeksen (N)'!D17&lt;'Reeksen (N)'!B17,('Reeksen (N)'!B17-'Reeksen (N)'!D17)*L17,0)</f>
        <v>0</v>
      </c>
      <c r="P17" s="84">
        <f ca="1">('Invoer gegevens (N)'!$F$20/12)*L16*MIN('Reeksen (N)'!B16,'Reeksen (N)'!D16)</f>
        <v>0</v>
      </c>
      <c r="Q17" s="84">
        <f t="shared" ca="1" si="1"/>
        <v>0</v>
      </c>
      <c r="R17" s="82">
        <f ca="1">IF('Invoer gegevens (N)'!$C$17=E17,'Invoer gegevens (N)'!$C$11,IF(C17=1,W16,0))</f>
        <v>0</v>
      </c>
      <c r="S17" s="86">
        <f ca="1">IF(C17&gt;=1,R17*VLOOKUP(E17,'Reeksen (N)'!$A$5:$B$76,2),0)</f>
        <v>0</v>
      </c>
      <c r="T17" s="84">
        <f ca="1">(1-('Invoer gegevens (N)'!$F$20/12))*R17*MIN('Reeksen (N)'!B17,'Reeksen (N)'!D17)</f>
        <v>0</v>
      </c>
      <c r="U17" s="84">
        <f>IF('Reeksen (N)'!D17&gt;='Reeksen (N)'!B17,0,IF('Reeksen (N)'!AD17&lt;='Reeksen (N)'!AE17,('Reeksen (N)'!B17-'Reeksen (N)'!D17)*R17,0))</f>
        <v>0</v>
      </c>
      <c r="V17" s="86">
        <f>IF('Reeksen (N)'!D17&gt;='Reeksen (N)'!B17,0,IF('Reeksen (N)'!AD17&gt;'Reeksen (N)'!AE17,('Reeksen (N)'!B17-'Reeksen (N)'!D17)*R17,0))</f>
        <v>0</v>
      </c>
      <c r="W17" s="97">
        <f t="shared" ca="1" si="2"/>
        <v>0</v>
      </c>
      <c r="X17" s="98">
        <f ca="1">IF('Invoer gegevens (N)'!$C$17=E17,'Invoer gegevens (N)'!$C$10-'Invoer gegevens (N)'!$C$11,IF(C17=1,AC16,0))</f>
        <v>0</v>
      </c>
      <c r="Y17" s="98">
        <f ca="1">IF(C17&gt;=1,X17*VLOOKUP(E17,'Reeksen (N)'!$A$5:$B$76,2),0)</f>
        <v>0</v>
      </c>
      <c r="Z17" s="98">
        <f ca="1">(1-('Invoer gegevens (N)'!$F$20/12))*X17*MIN('Reeksen (N)'!B17,'Reeksen (N)'!D17)</f>
        <v>0</v>
      </c>
      <c r="AA17" s="98">
        <f>IF('Reeksen (N)'!D17&gt;='Reeksen (N)'!B17,0,IF('Reeksen (N)'!AD17&lt;='Reeksen (N)'!AE17,('Reeksen (N)'!B17-'Reeksen (N)'!D17)*X17,0))</f>
        <v>0</v>
      </c>
      <c r="AB17" s="98">
        <f>IF('Reeksen (N)'!D17&gt;='Reeksen (N)'!B17,0,IF('Reeksen (N)'!AD17&gt;'Reeksen (N)'!AE17,('Reeksen (N)'!B17-'Reeksen (N)'!D17)*X17,0))</f>
        <v>0</v>
      </c>
      <c r="AC17" s="99">
        <f t="shared" ca="1" si="3"/>
        <v>0</v>
      </c>
      <c r="AD17" s="98">
        <f ca="1">IF('Invoer gegevens (N)'!$C$17=E17,R17,IF(C17=0,0,AE16))</f>
        <v>0</v>
      </c>
      <c r="AE17" s="98">
        <f t="shared" ca="1" si="4"/>
        <v>0</v>
      </c>
      <c r="AF17" s="98">
        <f ca="1">IF('Invoer gegevens (N)'!$C$17=E17,X17,IF(C17=0,0,AG16))</f>
        <v>0</v>
      </c>
      <c r="AG17" s="98">
        <f t="shared" ca="1" si="5"/>
        <v>0</v>
      </c>
      <c r="AH17" s="66"/>
      <c r="AI17" s="71">
        <f ca="1">IF(C17=1,'Reeksen (N)'!AI17*((F17-G17+F17)/2)*12+'Reeksen (N)'!AD17*((L17-M17+L17)/2)*12,0)</f>
        <v>0</v>
      </c>
      <c r="AJ17" s="71">
        <f ca="1">-AI17*'Invoer gegevens (N)'!$F$28</f>
        <v>0</v>
      </c>
      <c r="AK17" s="71">
        <f t="shared" ca="1" si="6"/>
        <v>0</v>
      </c>
      <c r="AL17" s="71">
        <f ca="1">IF(C17=1,'Reeksen (N)'!AL17*((F17-G17+F17)/2)*12+'Reeksen (N)'!AM17*((L17-M17+L17)/2)*12,0)</f>
        <v>0</v>
      </c>
      <c r="AM17" s="71">
        <f ca="1">-AL17*'Invoer gegevens (N)'!$F$31</f>
        <v>0</v>
      </c>
      <c r="AN17" s="71">
        <f t="shared" ca="1" si="7"/>
        <v>0</v>
      </c>
      <c r="AO17" s="71">
        <f ca="1">IF(C17=1,(H17+J17+N17+P17)*'Reeksen (N)'!AN17,0)</f>
        <v>0</v>
      </c>
      <c r="AP17" s="71">
        <f ca="1">-IF(C17=1,(H17+J17+N17+P17)*'Hulp - basis'!$O$550*'Reeksen (N)'!H17,0)</f>
        <v>0</v>
      </c>
      <c r="AQ17" s="71">
        <f ca="1">-IF(C17=1,(F17+K17+L17+Q17)/2*'Invoer gegevens (N)'!$F$35*'Reeksen (N)'!J17,0)*2</f>
        <v>0</v>
      </c>
      <c r="AR17" s="71"/>
      <c r="AS17" s="71">
        <f ca="1">-IF(C17=1,(F17+K17+L17+Q17)/2*'Invoer gegevens (N)'!$F$37*'Reeksen (N)'!L17,0)</f>
        <v>0</v>
      </c>
      <c r="AT17" s="71">
        <f ca="1">-IF(C17=1,IF(E17='Invoer gegevens (N)'!$C$17,'Invoer gegevens (N)'!$C$11,AD17)*'Reeksen (N)'!S17*'Invoer gegevens (N)'!$C$18*'Reeksen (N)'!P17,0)</f>
        <v>0</v>
      </c>
      <c r="AU17" s="71">
        <f ca="1">-IF(C17=1,(F17+K17+L17+Q17)/2*'Invoer gegevens (N)'!$F$38*'Reeksen (N)'!H17,0)</f>
        <v>0</v>
      </c>
      <c r="AV17" s="71">
        <v>0</v>
      </c>
      <c r="AW17" s="71">
        <f t="shared" ca="1" si="8"/>
        <v>0</v>
      </c>
      <c r="AX17" s="71">
        <f ca="1">IF(E17&lt;'Invoer gegevens (N)'!$C$17+15,0,IF(E17&gt;'Invoer gegevens (N)'!$C$17+215,0,AW17))</f>
        <v>0</v>
      </c>
      <c r="AY17" s="71">
        <f ca="1">AX17/(1+'Invoer gegevens (N)'!$F$18)^($AZ17-('Invoer gegevens (N)'!$C$17-'Invoer gegevens (N)'!$C$16))/(1+'Invoer gegevens (N)'!$C$39)^('Invoer gegevens (N)'!$C$17-'Invoer gegevens (N)'!$C$16)</f>
        <v>0</v>
      </c>
      <c r="AZ17" s="68">
        <f ca="1">IF(E17-'Invoer gegevens (N)'!$C$17-14.5&lt;0,0,E17-'Invoer gegevens (N)'!$C$17-14.5)</f>
        <v>0</v>
      </c>
    </row>
    <row r="18" spans="1:52" x14ac:dyDescent="0.25">
      <c r="A18" s="59"/>
      <c r="B18" s="70">
        <f t="shared" si="9"/>
        <v>14</v>
      </c>
      <c r="C18" s="67">
        <f ca="1">IF(E18-'Invoer gegevens (N)'!$C$17&lt;0,0,1)</f>
        <v>1</v>
      </c>
      <c r="D18" s="68">
        <f t="shared" si="10"/>
        <v>13.5</v>
      </c>
      <c r="E18" s="69">
        <f ca="1">IF('Invoer gegevens (N)'!$C$16="","",E17+1)</f>
        <v>2032</v>
      </c>
      <c r="F18" s="84">
        <f ca="1">IF('Invoer gegevens (N)'!$C$17=E18,'Invoer gegevens (N)'!$C$10,IF(C18=1,K17,0))</f>
        <v>0</v>
      </c>
      <c r="G18" s="96">
        <f ca="1">IF(C18&gt;=1,F18*VLOOKUP(E18,'Reeksen (N)'!$A$5:$B$76,2),0)</f>
        <v>0</v>
      </c>
      <c r="H18" s="84">
        <f ca="1">(1-('Invoer gegevens (N)'!$F$20/12))*F18*MIN('Reeksen (N)'!B18,'Reeksen (N)'!D18)</f>
        <v>0</v>
      </c>
      <c r="I18" s="84">
        <f>IF('Reeksen (N)'!D18&lt;'Reeksen (N)'!B18,('Reeksen (N)'!B18-'Reeksen (N)'!D18)*F18,0)</f>
        <v>0</v>
      </c>
      <c r="J18" s="84">
        <f ca="1">('Invoer gegevens (N)'!$F$20/12)*F17*MIN('Reeksen (N)'!B17,'Reeksen (N)'!D17)</f>
        <v>0</v>
      </c>
      <c r="K18" s="97">
        <f t="shared" ca="1" si="0"/>
        <v>0</v>
      </c>
      <c r="L18" s="84">
        <f ca="1">IF('Invoer gegevens (N)'!$C$17=E18,0,IF(C18=1,Q17,0))</f>
        <v>0</v>
      </c>
      <c r="M18" s="96">
        <f ca="1">IF(C18&gt;=1,L18*VLOOKUP(E18,'Reeksen (N)'!$A$5:$B$76,2),0)</f>
        <v>0</v>
      </c>
      <c r="N18" s="84">
        <f ca="1">(1-('Invoer gegevens (N)'!$F$20/12))*L18*MIN('Reeksen (N)'!B18,'Reeksen (N)'!D18)</f>
        <v>0</v>
      </c>
      <c r="O18" s="84">
        <f>IF('Reeksen (N)'!D18&lt;'Reeksen (N)'!B18,('Reeksen (N)'!B18-'Reeksen (N)'!D18)*L18,0)</f>
        <v>0</v>
      </c>
      <c r="P18" s="84">
        <f ca="1">('Invoer gegevens (N)'!$F$20/12)*L17*MIN('Reeksen (N)'!B17,'Reeksen (N)'!D17)</f>
        <v>0</v>
      </c>
      <c r="Q18" s="84">
        <f t="shared" ca="1" si="1"/>
        <v>0</v>
      </c>
      <c r="R18" s="82">
        <f ca="1">IF('Invoer gegevens (N)'!$C$17=E18,'Invoer gegevens (N)'!$C$11,IF(C18=1,W17,0))</f>
        <v>0</v>
      </c>
      <c r="S18" s="86">
        <f ca="1">IF(C18&gt;=1,R18*VLOOKUP(E18,'Reeksen (N)'!$A$5:$B$76,2),0)</f>
        <v>0</v>
      </c>
      <c r="T18" s="84">
        <f ca="1">(1-('Invoer gegevens (N)'!$F$20/12))*R18*MIN('Reeksen (N)'!B18,'Reeksen (N)'!D18)</f>
        <v>0</v>
      </c>
      <c r="U18" s="84">
        <f>IF('Reeksen (N)'!D18&gt;='Reeksen (N)'!B18,0,IF('Reeksen (N)'!AD18&lt;='Reeksen (N)'!AE18,('Reeksen (N)'!B18-'Reeksen (N)'!D18)*R18,0))</f>
        <v>0</v>
      </c>
      <c r="V18" s="86">
        <f>IF('Reeksen (N)'!D18&gt;='Reeksen (N)'!B18,0,IF('Reeksen (N)'!AD18&gt;'Reeksen (N)'!AE18,('Reeksen (N)'!B18-'Reeksen (N)'!D18)*R18,0))</f>
        <v>0</v>
      </c>
      <c r="W18" s="97">
        <f t="shared" ca="1" si="2"/>
        <v>0</v>
      </c>
      <c r="X18" s="98">
        <f ca="1">IF('Invoer gegevens (N)'!$C$17=E18,'Invoer gegevens (N)'!$C$10-'Invoer gegevens (N)'!$C$11,IF(C18=1,AC17,0))</f>
        <v>0</v>
      </c>
      <c r="Y18" s="98">
        <f ca="1">IF(C18&gt;=1,X18*VLOOKUP(E18,'Reeksen (N)'!$A$5:$B$76,2),0)</f>
        <v>0</v>
      </c>
      <c r="Z18" s="98">
        <f ca="1">(1-('Invoer gegevens (N)'!$F$20/12))*X18*MIN('Reeksen (N)'!B18,'Reeksen (N)'!D18)</f>
        <v>0</v>
      </c>
      <c r="AA18" s="98">
        <f>IF('Reeksen (N)'!D18&gt;='Reeksen (N)'!B18,0,IF('Reeksen (N)'!AD18&lt;='Reeksen (N)'!AE18,('Reeksen (N)'!B18-'Reeksen (N)'!D18)*X18,0))</f>
        <v>0</v>
      </c>
      <c r="AB18" s="98">
        <f>IF('Reeksen (N)'!D18&gt;='Reeksen (N)'!B18,0,IF('Reeksen (N)'!AD18&gt;'Reeksen (N)'!AE18,('Reeksen (N)'!B18-'Reeksen (N)'!D18)*X18,0))</f>
        <v>0</v>
      </c>
      <c r="AC18" s="99">
        <f t="shared" ca="1" si="3"/>
        <v>0</v>
      </c>
      <c r="AD18" s="98">
        <f ca="1">IF('Invoer gegevens (N)'!$C$17=E18,R18,IF(C18=0,0,AE17))</f>
        <v>0</v>
      </c>
      <c r="AE18" s="98">
        <f t="shared" ca="1" si="4"/>
        <v>0</v>
      </c>
      <c r="AF18" s="98">
        <f ca="1">IF('Invoer gegevens (N)'!$C$17=E18,X18,IF(C18=0,0,AG17))</f>
        <v>0</v>
      </c>
      <c r="AG18" s="98">
        <f t="shared" ca="1" si="5"/>
        <v>0</v>
      </c>
      <c r="AH18" s="66"/>
      <c r="AI18" s="71">
        <f ca="1">IF(C18=1,'Reeksen (N)'!AI18*((F18-G18+F18)/2)*12+'Reeksen (N)'!AD18*((L18-M18+L18)/2)*12,0)</f>
        <v>0</v>
      </c>
      <c r="AJ18" s="71">
        <f ca="1">-AI18*'Invoer gegevens (N)'!$F$28</f>
        <v>0</v>
      </c>
      <c r="AK18" s="71">
        <f t="shared" ca="1" si="6"/>
        <v>0</v>
      </c>
      <c r="AL18" s="71">
        <f ca="1">IF(C18=1,'Reeksen (N)'!AL18*((F18-G18+F18)/2)*12+'Reeksen (N)'!AM18*((L18-M18+L18)/2)*12,0)</f>
        <v>0</v>
      </c>
      <c r="AM18" s="71">
        <f ca="1">-AL18*'Invoer gegevens (N)'!$F$31</f>
        <v>0</v>
      </c>
      <c r="AN18" s="71">
        <f t="shared" ca="1" si="7"/>
        <v>0</v>
      </c>
      <c r="AO18" s="71">
        <f ca="1">IF(C18=1,(H18+J18+N18+P18)*'Reeksen (N)'!AN18,0)</f>
        <v>0</v>
      </c>
      <c r="AP18" s="71">
        <f ca="1">-IF(C18=1,(H18+J18+N18+P18)*'Hulp - basis'!$O$550*'Reeksen (N)'!H18,0)</f>
        <v>0</v>
      </c>
      <c r="AQ18" s="71">
        <f ca="1">-IF(C18=1,(F18+K18+L18+Q18)/2*'Invoer gegevens (N)'!$F$35*'Reeksen (N)'!J18,0)*2</f>
        <v>0</v>
      </c>
      <c r="AR18" s="71"/>
      <c r="AS18" s="71">
        <f ca="1">-IF(C18=1,(F18+K18+L18+Q18)/2*'Invoer gegevens (N)'!$F$37*'Reeksen (N)'!L18,0)</f>
        <v>0</v>
      </c>
      <c r="AT18" s="71">
        <f ca="1">-IF(C18=1,IF(E18='Invoer gegevens (N)'!$C$17,'Invoer gegevens (N)'!$C$11,AD18)*'Reeksen (N)'!S18*'Invoer gegevens (N)'!$C$18*'Reeksen (N)'!P18,0)</f>
        <v>0</v>
      </c>
      <c r="AU18" s="71">
        <f ca="1">-IF(C18=1,(F18+K18+L18+Q18)/2*'Invoer gegevens (N)'!$F$38*'Reeksen (N)'!H18,0)</f>
        <v>0</v>
      </c>
      <c r="AV18" s="71">
        <v>0</v>
      </c>
      <c r="AW18" s="71">
        <f t="shared" ca="1" si="8"/>
        <v>0</v>
      </c>
      <c r="AX18" s="71">
        <f ca="1">IF(E18&lt;'Invoer gegevens (N)'!$C$17+15,0,IF(E18&gt;'Invoer gegevens (N)'!$C$17+215,0,AW18))</f>
        <v>0</v>
      </c>
      <c r="AY18" s="71">
        <f ca="1">AX18/(1+'Invoer gegevens (N)'!$F$18)^($AZ18-('Invoer gegevens (N)'!$C$17-'Invoer gegevens (N)'!$C$16))/(1+'Invoer gegevens (N)'!$C$39)^('Invoer gegevens (N)'!$C$17-'Invoer gegevens (N)'!$C$16)</f>
        <v>0</v>
      </c>
      <c r="AZ18" s="68">
        <f ca="1">IF(E18-'Invoer gegevens (N)'!$C$17-14.5&lt;0,0,E18-'Invoer gegevens (N)'!$C$17-14.5)</f>
        <v>0</v>
      </c>
    </row>
    <row r="19" spans="1:52" x14ac:dyDescent="0.25">
      <c r="A19" s="59"/>
      <c r="B19" s="70">
        <f t="shared" si="9"/>
        <v>15</v>
      </c>
      <c r="C19" s="67">
        <f ca="1">IF(E19-'Invoer gegevens (N)'!$C$17&lt;0,0,1)</f>
        <v>1</v>
      </c>
      <c r="D19" s="68">
        <f t="shared" si="10"/>
        <v>14.5</v>
      </c>
      <c r="E19" s="69">
        <f ca="1">IF('Invoer gegevens (N)'!$C$16="","",E18+1)</f>
        <v>2033</v>
      </c>
      <c r="F19" s="84">
        <f ca="1">IF('Invoer gegevens (N)'!$C$17=E19,'Invoer gegevens (N)'!$C$10,IF(C19=1,K18,0))</f>
        <v>0</v>
      </c>
      <c r="G19" s="96">
        <f ca="1">IF(C19&gt;=1,F19*VLOOKUP(E19,'Reeksen (N)'!$A$5:$B$76,2),0)</f>
        <v>0</v>
      </c>
      <c r="H19" s="84">
        <f ca="1">(1-('Invoer gegevens (N)'!$F$20/12))*F19*MIN('Reeksen (N)'!B19,'Reeksen (N)'!D19)</f>
        <v>0</v>
      </c>
      <c r="I19" s="84">
        <f>IF('Reeksen (N)'!D19&lt;'Reeksen (N)'!B19,('Reeksen (N)'!B19-'Reeksen (N)'!D19)*F19,0)</f>
        <v>0</v>
      </c>
      <c r="J19" s="84">
        <f ca="1">('Invoer gegevens (N)'!$F$20/12)*F18*MIN('Reeksen (N)'!B18,'Reeksen (N)'!D18)</f>
        <v>0</v>
      </c>
      <c r="K19" s="97">
        <f t="shared" ca="1" si="0"/>
        <v>0</v>
      </c>
      <c r="L19" s="84">
        <f ca="1">IF('Invoer gegevens (N)'!$C$17=E19,0,IF(C19=1,Q18,0))</f>
        <v>0</v>
      </c>
      <c r="M19" s="96">
        <f ca="1">IF(C19&gt;=1,L19*VLOOKUP(E19,'Reeksen (N)'!$A$5:$B$76,2),0)</f>
        <v>0</v>
      </c>
      <c r="N19" s="84">
        <f ca="1">(1-('Invoer gegevens (N)'!$F$20/12))*L19*MIN('Reeksen (N)'!B19,'Reeksen (N)'!D19)</f>
        <v>0</v>
      </c>
      <c r="O19" s="84">
        <f>IF('Reeksen (N)'!D19&lt;'Reeksen (N)'!B19,('Reeksen (N)'!B19-'Reeksen (N)'!D19)*L19,0)</f>
        <v>0</v>
      </c>
      <c r="P19" s="84">
        <f ca="1">('Invoer gegevens (N)'!$F$20/12)*L18*MIN('Reeksen (N)'!B18,'Reeksen (N)'!D18)</f>
        <v>0</v>
      </c>
      <c r="Q19" s="84">
        <f t="shared" ca="1" si="1"/>
        <v>0</v>
      </c>
      <c r="R19" s="82">
        <f ca="1">IF('Invoer gegevens (N)'!$C$17=E19,'Invoer gegevens (N)'!$C$11,IF(C19=1,W18,0))</f>
        <v>0</v>
      </c>
      <c r="S19" s="86">
        <f ca="1">IF(C19&gt;=1,R19*VLOOKUP(E19,'Reeksen (N)'!$A$5:$B$76,2),0)</f>
        <v>0</v>
      </c>
      <c r="T19" s="84">
        <f ca="1">(1-('Invoer gegevens (N)'!$F$20/12))*R19*MIN('Reeksen (N)'!B19,'Reeksen (N)'!D19)</f>
        <v>0</v>
      </c>
      <c r="U19" s="84">
        <f>IF('Reeksen (N)'!D19&gt;='Reeksen (N)'!B19,0,IF('Reeksen (N)'!AD19&lt;='Reeksen (N)'!AE19,('Reeksen (N)'!B19-'Reeksen (N)'!D19)*R19,0))</f>
        <v>0</v>
      </c>
      <c r="V19" s="86">
        <f>IF('Reeksen (N)'!D19&gt;='Reeksen (N)'!B19,0,IF('Reeksen (N)'!AD19&gt;'Reeksen (N)'!AE19,('Reeksen (N)'!B19-'Reeksen (N)'!D19)*R19,0))</f>
        <v>0</v>
      </c>
      <c r="W19" s="97">
        <f t="shared" ca="1" si="2"/>
        <v>0</v>
      </c>
      <c r="X19" s="98">
        <f ca="1">IF('Invoer gegevens (N)'!$C$17=E19,'Invoer gegevens (N)'!$C$10-'Invoer gegevens (N)'!$C$11,IF(C19=1,AC18,0))</f>
        <v>0</v>
      </c>
      <c r="Y19" s="98">
        <f ca="1">IF(C19&gt;=1,X19*VLOOKUP(E19,'Reeksen (N)'!$A$5:$B$76,2),0)</f>
        <v>0</v>
      </c>
      <c r="Z19" s="98">
        <f ca="1">(1-('Invoer gegevens (N)'!$F$20/12))*X19*MIN('Reeksen (N)'!B19,'Reeksen (N)'!D19)</f>
        <v>0</v>
      </c>
      <c r="AA19" s="98">
        <f>IF('Reeksen (N)'!D19&gt;='Reeksen (N)'!B19,0,IF('Reeksen (N)'!AD19&lt;='Reeksen (N)'!AE19,('Reeksen (N)'!B19-'Reeksen (N)'!D19)*X19,0))</f>
        <v>0</v>
      </c>
      <c r="AB19" s="98">
        <f>IF('Reeksen (N)'!D19&gt;='Reeksen (N)'!B19,0,IF('Reeksen (N)'!AD19&gt;'Reeksen (N)'!AE19,('Reeksen (N)'!B19-'Reeksen (N)'!D19)*X19,0))</f>
        <v>0</v>
      </c>
      <c r="AC19" s="99">
        <f t="shared" ca="1" si="3"/>
        <v>0</v>
      </c>
      <c r="AD19" s="98">
        <f ca="1">IF('Invoer gegevens (N)'!$C$17=E19,R19,IF(C19=0,0,AE18))</f>
        <v>0</v>
      </c>
      <c r="AE19" s="98">
        <f t="shared" ca="1" si="4"/>
        <v>0</v>
      </c>
      <c r="AF19" s="98">
        <f ca="1">IF('Invoer gegevens (N)'!$C$17=E19,X19,IF(C19=0,0,AG18))</f>
        <v>0</v>
      </c>
      <c r="AG19" s="98">
        <f t="shared" ca="1" si="5"/>
        <v>0</v>
      </c>
      <c r="AH19" s="66"/>
      <c r="AI19" s="71">
        <f ca="1">IF(C19=1,'Reeksen (N)'!AI19*((F19-G19+F19)/2)*12+'Reeksen (N)'!AD19*((L19-M19+L19)/2)*12,0)</f>
        <v>0</v>
      </c>
      <c r="AJ19" s="71">
        <f ca="1">-AI19*'Invoer gegevens (N)'!$F$28</f>
        <v>0</v>
      </c>
      <c r="AK19" s="71">
        <f t="shared" ca="1" si="6"/>
        <v>0</v>
      </c>
      <c r="AL19" s="71">
        <f ca="1">IF(C19=1,'Reeksen (N)'!AL19*((F19-G19+F19)/2)*12+'Reeksen (N)'!AM19*((L19-M19+L19)/2)*12,0)</f>
        <v>0</v>
      </c>
      <c r="AM19" s="71">
        <f ca="1">-AL19*'Invoer gegevens (N)'!$F$31</f>
        <v>0</v>
      </c>
      <c r="AN19" s="71">
        <f t="shared" ca="1" si="7"/>
        <v>0</v>
      </c>
      <c r="AO19" s="71">
        <f ca="1">IF(C19=1,(H19+J19+N19+P19)*'Reeksen (N)'!AN19,0)</f>
        <v>0</v>
      </c>
      <c r="AP19" s="71">
        <f ca="1">-IF(C19=1,(H19+J19+N19+P19)*'Hulp - basis'!$O$550*'Reeksen (N)'!H19,0)</f>
        <v>0</v>
      </c>
      <c r="AQ19" s="71">
        <f ca="1">-IF(C19=1,(F19+K19+L19+Q19)/2*'Invoer gegevens (N)'!$F$35*'Reeksen (N)'!J19,0)*2</f>
        <v>0</v>
      </c>
      <c r="AR19" s="71"/>
      <c r="AS19" s="71">
        <f ca="1">-IF(C19=1,(F19+K19+L19+Q19)/2*'Invoer gegevens (N)'!$F$37*'Reeksen (N)'!L19,0)</f>
        <v>0</v>
      </c>
      <c r="AT19" s="71">
        <f ca="1">-IF(C19=1,IF(E19='Invoer gegevens (N)'!$C$17,'Invoer gegevens (N)'!$C$11,AD19)*'Reeksen (N)'!S19*'Invoer gegevens (N)'!$C$18*'Reeksen (N)'!P19,0)</f>
        <v>0</v>
      </c>
      <c r="AU19" s="71">
        <f ca="1">-IF(C19=1,(F19+K19+L19+Q19)/2*'Invoer gegevens (N)'!$F$38*'Reeksen (N)'!H19,0)</f>
        <v>0</v>
      </c>
      <c r="AV19" s="71">
        <v>0</v>
      </c>
      <c r="AW19" s="71">
        <f t="shared" ca="1" si="8"/>
        <v>0</v>
      </c>
      <c r="AX19" s="71">
        <f ca="1">IF(E19&lt;'Invoer gegevens (N)'!$C$17+15,0,IF(E19&gt;'Invoer gegevens (N)'!$C$17+215,0,AW19))</f>
        <v>0</v>
      </c>
      <c r="AY19" s="71">
        <f ca="1">AX19/(1+'Invoer gegevens (N)'!$F$18)^($AZ19-('Invoer gegevens (N)'!$C$17-'Invoer gegevens (N)'!$C$16))/(1+'Invoer gegevens (N)'!$C$39)^('Invoer gegevens (N)'!$C$17-'Invoer gegevens (N)'!$C$16)</f>
        <v>0</v>
      </c>
      <c r="AZ19" s="68">
        <f ca="1">IF(E19-'Invoer gegevens (N)'!$C$17-14.5&lt;0,0,E19-'Invoer gegevens (N)'!$C$17-14.5)</f>
        <v>0</v>
      </c>
    </row>
    <row r="20" spans="1:52" x14ac:dyDescent="0.25">
      <c r="A20" s="59"/>
      <c r="B20" s="70">
        <f t="shared" si="9"/>
        <v>16</v>
      </c>
      <c r="C20" s="67">
        <f ca="1">IF(E20-'Invoer gegevens (N)'!$C$17&lt;0,0,1)</f>
        <v>1</v>
      </c>
      <c r="D20" s="68">
        <f t="shared" si="10"/>
        <v>15.5</v>
      </c>
      <c r="E20" s="69">
        <f ca="1">IF('Invoer gegevens (N)'!$C$16="","",E19+1)</f>
        <v>2034</v>
      </c>
      <c r="F20" s="84">
        <f ca="1">IF('Invoer gegevens (N)'!$C$17=E20,'Invoer gegevens (N)'!$C$10,IF(C20=1,K19,0))</f>
        <v>0</v>
      </c>
      <c r="G20" s="96">
        <f ca="1">IF(C20&gt;=1,F20*VLOOKUP(E20,'Reeksen (N)'!$A$5:$B$76,2),0)</f>
        <v>0</v>
      </c>
      <c r="H20" s="84">
        <f ca="1">(1-('Invoer gegevens (N)'!$F$20/12))*F20*MIN('Reeksen (N)'!B20,'Reeksen (N)'!D20)</f>
        <v>0</v>
      </c>
      <c r="I20" s="84">
        <f>IF('Reeksen (N)'!D20&lt;'Reeksen (N)'!B20,('Reeksen (N)'!B20-'Reeksen (N)'!D20)*F20,0)</f>
        <v>0</v>
      </c>
      <c r="J20" s="84">
        <f ca="1">('Invoer gegevens (N)'!$F$20/12)*F19*MIN('Reeksen (N)'!B19,'Reeksen (N)'!D19)</f>
        <v>0</v>
      </c>
      <c r="K20" s="97">
        <f t="shared" ca="1" si="0"/>
        <v>0</v>
      </c>
      <c r="L20" s="84">
        <f ca="1">IF('Invoer gegevens (N)'!$C$17=E20,0,IF(C20=1,Q19,0))</f>
        <v>0</v>
      </c>
      <c r="M20" s="96">
        <f ca="1">IF(C20&gt;=1,L20*VLOOKUP(E20,'Reeksen (N)'!$A$5:$B$76,2),0)</f>
        <v>0</v>
      </c>
      <c r="N20" s="84">
        <f ca="1">(1-('Invoer gegevens (N)'!$F$20/12))*L20*MIN('Reeksen (N)'!B20,'Reeksen (N)'!D20)</f>
        <v>0</v>
      </c>
      <c r="O20" s="84">
        <f>IF('Reeksen (N)'!D20&lt;'Reeksen (N)'!B20,('Reeksen (N)'!B20-'Reeksen (N)'!D20)*L20,0)</f>
        <v>0</v>
      </c>
      <c r="P20" s="84">
        <f ca="1">('Invoer gegevens (N)'!$F$20/12)*L19*MIN('Reeksen (N)'!B19,'Reeksen (N)'!D19)</f>
        <v>0</v>
      </c>
      <c r="Q20" s="84">
        <f t="shared" ca="1" si="1"/>
        <v>0</v>
      </c>
      <c r="R20" s="82">
        <f ca="1">IF('Invoer gegevens (N)'!$C$17=E20,'Invoer gegevens (N)'!$C$11,IF(C20=1,W19,0))</f>
        <v>0</v>
      </c>
      <c r="S20" s="86">
        <f ca="1">IF(C20&gt;=1,R20*VLOOKUP(E20,'Reeksen (N)'!$A$5:$B$76,2),0)</f>
        <v>0</v>
      </c>
      <c r="T20" s="84">
        <f ca="1">(1-('Invoer gegevens (N)'!$F$20/12))*R20*MIN('Reeksen (N)'!B20,'Reeksen (N)'!D20)</f>
        <v>0</v>
      </c>
      <c r="U20" s="84">
        <f>IF('Reeksen (N)'!D20&gt;='Reeksen (N)'!B20,0,IF('Reeksen (N)'!AD20&lt;='Reeksen (N)'!AE20,('Reeksen (N)'!B20-'Reeksen (N)'!D20)*R20,0))</f>
        <v>0</v>
      </c>
      <c r="V20" s="86">
        <f>IF('Reeksen (N)'!D20&gt;='Reeksen (N)'!B20,0,IF('Reeksen (N)'!AD20&gt;'Reeksen (N)'!AE20,('Reeksen (N)'!B20-'Reeksen (N)'!D20)*R20,0))</f>
        <v>0</v>
      </c>
      <c r="W20" s="97">
        <f t="shared" ca="1" si="2"/>
        <v>0</v>
      </c>
      <c r="X20" s="98">
        <f ca="1">IF('Invoer gegevens (N)'!$C$17=E20,'Invoer gegevens (N)'!$C$10-'Invoer gegevens (N)'!$C$11,IF(C20=1,AC19,0))</f>
        <v>0</v>
      </c>
      <c r="Y20" s="98">
        <f ca="1">IF(C20&gt;=1,X20*VLOOKUP(E20,'Reeksen (N)'!$A$5:$B$76,2),0)</f>
        <v>0</v>
      </c>
      <c r="Z20" s="98">
        <f ca="1">(1-('Invoer gegevens (N)'!$F$20/12))*X20*MIN('Reeksen (N)'!B20,'Reeksen (N)'!D20)</f>
        <v>0</v>
      </c>
      <c r="AA20" s="98">
        <f>IF('Reeksen (N)'!D20&gt;='Reeksen (N)'!B20,0,IF('Reeksen (N)'!AD20&lt;='Reeksen (N)'!AE20,('Reeksen (N)'!B20-'Reeksen (N)'!D20)*X20,0))</f>
        <v>0</v>
      </c>
      <c r="AB20" s="98">
        <f>IF('Reeksen (N)'!D20&gt;='Reeksen (N)'!B20,0,IF('Reeksen (N)'!AD20&gt;'Reeksen (N)'!AE20,('Reeksen (N)'!B20-'Reeksen (N)'!D20)*X20,0))</f>
        <v>0</v>
      </c>
      <c r="AC20" s="99">
        <f t="shared" ca="1" si="3"/>
        <v>0</v>
      </c>
      <c r="AD20" s="98">
        <f ca="1">IF('Invoer gegevens (N)'!$C$17=E20,R20,IF(C20=0,0,AE19))</f>
        <v>0</v>
      </c>
      <c r="AE20" s="98">
        <f t="shared" ca="1" si="4"/>
        <v>0</v>
      </c>
      <c r="AF20" s="98">
        <f ca="1">IF('Invoer gegevens (N)'!$C$17=E20,X20,IF(C20=0,0,AG19))</f>
        <v>0</v>
      </c>
      <c r="AG20" s="98">
        <f t="shared" ca="1" si="5"/>
        <v>0</v>
      </c>
      <c r="AH20" s="66"/>
      <c r="AI20" s="71">
        <f ca="1">IF(C20=1,'Reeksen (N)'!AI20*((F20-G20+F20)/2)*12+'Reeksen (N)'!AD20*((L20-M20+L20)/2)*12,0)</f>
        <v>0</v>
      </c>
      <c r="AJ20" s="71">
        <f ca="1">-AI20*'Invoer gegevens (N)'!$F$28</f>
        <v>0</v>
      </c>
      <c r="AK20" s="71">
        <f t="shared" ca="1" si="6"/>
        <v>0</v>
      </c>
      <c r="AL20" s="71">
        <f ca="1">IF(C20=1,'Reeksen (N)'!AL20*((F20-G20+F20)/2)*12+'Reeksen (N)'!AM20*((L20-M20+L20)/2)*12,0)</f>
        <v>0</v>
      </c>
      <c r="AM20" s="71">
        <f ca="1">-AL20*'Invoer gegevens (N)'!$F$31</f>
        <v>0</v>
      </c>
      <c r="AN20" s="71">
        <f t="shared" ca="1" si="7"/>
        <v>0</v>
      </c>
      <c r="AO20" s="71">
        <f ca="1">IF(C20=1,(H20+J20+N20+P20)*'Reeksen (N)'!AN20,0)</f>
        <v>0</v>
      </c>
      <c r="AP20" s="71">
        <f ca="1">-IF(C20=1,(H20+J20+N20+P20)*'Hulp - basis'!$O$550*'Reeksen (N)'!H20,0)</f>
        <v>0</v>
      </c>
      <c r="AQ20" s="71">
        <f ca="1">-IF(C20=1,(F20+K20+L20+Q20)/2*'Invoer gegevens (N)'!$F$35*'Reeksen (N)'!J20,0)*2</f>
        <v>0</v>
      </c>
      <c r="AR20" s="71"/>
      <c r="AS20" s="71">
        <f ca="1">-IF(C20=1,(F20+K20+L20+Q20)/2*'Invoer gegevens (N)'!$F$37*'Reeksen (N)'!L20,0)</f>
        <v>0</v>
      </c>
      <c r="AT20" s="71">
        <f ca="1">-IF(C20=1,IF(E20='Invoer gegevens (N)'!$C$17,'Invoer gegevens (N)'!$C$11,AD20)*'Reeksen (N)'!S20*'Invoer gegevens (N)'!$C$18*'Reeksen (N)'!P20,0)</f>
        <v>0</v>
      </c>
      <c r="AU20" s="71">
        <f ca="1">-IF(C20=1,(F20+K20+L20+Q20)/2*'Invoer gegevens (N)'!$F$38*'Reeksen (N)'!H20,0)</f>
        <v>0</v>
      </c>
      <c r="AV20" s="71">
        <v>0</v>
      </c>
      <c r="AW20" s="71">
        <f t="shared" ca="1" si="8"/>
        <v>0</v>
      </c>
      <c r="AX20" s="71">
        <f ca="1">IF(E20&lt;'Invoer gegevens (N)'!$C$17+15,0,IF(E20&gt;'Invoer gegevens (N)'!$C$17+215,0,AW20))</f>
        <v>0</v>
      </c>
      <c r="AY20" s="71">
        <f ca="1">AX20/(1+'Invoer gegevens (N)'!$F$18)^($AZ20-('Invoer gegevens (N)'!$C$17-'Invoer gegevens (N)'!$C$16))/(1+'Invoer gegevens (N)'!$C$39)^('Invoer gegevens (N)'!$C$17-'Invoer gegevens (N)'!$C$16)</f>
        <v>0</v>
      </c>
      <c r="AZ20" s="68">
        <f ca="1">IF(E20-'Invoer gegevens (N)'!$C$17-14.5&lt;0,0,E20-'Invoer gegevens (N)'!$C$17-14.5)</f>
        <v>0.5</v>
      </c>
    </row>
    <row r="21" spans="1:52" x14ac:dyDescent="0.25">
      <c r="A21" s="59"/>
      <c r="B21" s="70">
        <f t="shared" si="9"/>
        <v>17</v>
      </c>
      <c r="C21" s="67">
        <f ca="1">IF(E21-'Invoer gegevens (N)'!$C$17&lt;0,0,1)</f>
        <v>1</v>
      </c>
      <c r="D21" s="68">
        <f t="shared" si="10"/>
        <v>16.5</v>
      </c>
      <c r="E21" s="69">
        <f ca="1">IF('Invoer gegevens (N)'!$C$16="","",E20+1)</f>
        <v>2035</v>
      </c>
      <c r="F21" s="84">
        <f ca="1">IF('Invoer gegevens (N)'!$C$17=E21,'Invoer gegevens (N)'!$C$10,IF(C21=1,K20,0))</f>
        <v>0</v>
      </c>
      <c r="G21" s="96">
        <f ca="1">IF(C21&gt;=1,F21*VLOOKUP(E21,'Reeksen (N)'!$A$5:$B$76,2),0)</f>
        <v>0</v>
      </c>
      <c r="H21" s="84">
        <f ca="1">(1-('Invoer gegevens (N)'!$F$20/12))*F21*MIN('Reeksen (N)'!B21,'Reeksen (N)'!D21)</f>
        <v>0</v>
      </c>
      <c r="I21" s="84">
        <f>IF('Reeksen (N)'!D21&lt;'Reeksen (N)'!B21,('Reeksen (N)'!B21-'Reeksen (N)'!D21)*F21,0)</f>
        <v>0</v>
      </c>
      <c r="J21" s="84">
        <f ca="1">('Invoer gegevens (N)'!$F$20/12)*F20*MIN('Reeksen (N)'!B20,'Reeksen (N)'!D20)</f>
        <v>0</v>
      </c>
      <c r="K21" s="97">
        <f t="shared" ca="1" si="0"/>
        <v>0</v>
      </c>
      <c r="L21" s="84">
        <f ca="1">IF('Invoer gegevens (N)'!$C$17=E21,0,IF(C21=1,Q20,0))</f>
        <v>0</v>
      </c>
      <c r="M21" s="96">
        <f ca="1">IF(C21&gt;=1,L21*VLOOKUP(E21,'Reeksen (N)'!$A$5:$B$76,2),0)</f>
        <v>0</v>
      </c>
      <c r="N21" s="84">
        <f ca="1">(1-('Invoer gegevens (N)'!$F$20/12))*L21*MIN('Reeksen (N)'!B21,'Reeksen (N)'!D21)</f>
        <v>0</v>
      </c>
      <c r="O21" s="84">
        <f>IF('Reeksen (N)'!D21&lt;'Reeksen (N)'!B21,('Reeksen (N)'!B21-'Reeksen (N)'!D21)*L21,0)</f>
        <v>0</v>
      </c>
      <c r="P21" s="84">
        <f ca="1">('Invoer gegevens (N)'!$F$20/12)*L20*MIN('Reeksen (N)'!B20,'Reeksen (N)'!D20)</f>
        <v>0</v>
      </c>
      <c r="Q21" s="84">
        <f t="shared" ca="1" si="1"/>
        <v>0</v>
      </c>
      <c r="R21" s="82">
        <f ca="1">IF('Invoer gegevens (N)'!$C$17=E21,'Invoer gegevens (N)'!$C$11,IF(C21=1,W20,0))</f>
        <v>0</v>
      </c>
      <c r="S21" s="86">
        <f ca="1">IF(C21&gt;=1,R21*VLOOKUP(E21,'Reeksen (N)'!$A$5:$B$76,2),0)</f>
        <v>0</v>
      </c>
      <c r="T21" s="84">
        <f ca="1">(1-('Invoer gegevens (N)'!$F$20/12))*R21*MIN('Reeksen (N)'!B21,'Reeksen (N)'!D21)</f>
        <v>0</v>
      </c>
      <c r="U21" s="84">
        <f>IF('Reeksen (N)'!D21&gt;='Reeksen (N)'!B21,0,IF('Reeksen (N)'!AD21&lt;='Reeksen (N)'!AE21,('Reeksen (N)'!B21-'Reeksen (N)'!D21)*R21,0))</f>
        <v>0</v>
      </c>
      <c r="V21" s="86">
        <f>IF('Reeksen (N)'!D21&gt;='Reeksen (N)'!B21,0,IF('Reeksen (N)'!AD21&gt;'Reeksen (N)'!AE21,('Reeksen (N)'!B21-'Reeksen (N)'!D21)*R21,0))</f>
        <v>0</v>
      </c>
      <c r="W21" s="97">
        <f t="shared" ca="1" si="2"/>
        <v>0</v>
      </c>
      <c r="X21" s="98">
        <f ca="1">IF('Invoer gegevens (N)'!$C$17=E21,'Invoer gegevens (N)'!$C$10-'Invoer gegevens (N)'!$C$11,IF(C21=1,AC20,0))</f>
        <v>0</v>
      </c>
      <c r="Y21" s="98">
        <f ca="1">IF(C21&gt;=1,X21*VLOOKUP(E21,'Reeksen (N)'!$A$5:$B$76,2),0)</f>
        <v>0</v>
      </c>
      <c r="Z21" s="98">
        <f ca="1">(1-('Invoer gegevens (N)'!$F$20/12))*X21*MIN('Reeksen (N)'!B21,'Reeksen (N)'!D21)</f>
        <v>0</v>
      </c>
      <c r="AA21" s="98">
        <f>IF('Reeksen (N)'!D21&gt;='Reeksen (N)'!B21,0,IF('Reeksen (N)'!AD21&lt;='Reeksen (N)'!AE21,('Reeksen (N)'!B21-'Reeksen (N)'!D21)*X21,0))</f>
        <v>0</v>
      </c>
      <c r="AB21" s="98">
        <f>IF('Reeksen (N)'!D21&gt;='Reeksen (N)'!B21,0,IF('Reeksen (N)'!AD21&gt;'Reeksen (N)'!AE21,('Reeksen (N)'!B21-'Reeksen (N)'!D21)*X21,0))</f>
        <v>0</v>
      </c>
      <c r="AC21" s="99">
        <f t="shared" ca="1" si="3"/>
        <v>0</v>
      </c>
      <c r="AD21" s="98">
        <f ca="1">IF('Invoer gegevens (N)'!$C$17=E21,R21,IF(C21=0,0,AE20))</f>
        <v>0</v>
      </c>
      <c r="AE21" s="98">
        <f t="shared" ca="1" si="4"/>
        <v>0</v>
      </c>
      <c r="AF21" s="98">
        <f ca="1">IF('Invoer gegevens (N)'!$C$17=E21,X21,IF(C21=0,0,AG20))</f>
        <v>0</v>
      </c>
      <c r="AG21" s="98">
        <f t="shared" ca="1" si="5"/>
        <v>0</v>
      </c>
      <c r="AH21" s="66"/>
      <c r="AI21" s="71">
        <f ca="1">IF(C21=1,'Reeksen (N)'!AI21*((F21-G21+F21)/2)*12+'Reeksen (N)'!AD21*((L21-M21+L21)/2)*12,0)</f>
        <v>0</v>
      </c>
      <c r="AJ21" s="71">
        <f ca="1">-AI21*'Invoer gegevens (N)'!$F$28</f>
        <v>0</v>
      </c>
      <c r="AK21" s="71">
        <f t="shared" ca="1" si="6"/>
        <v>0</v>
      </c>
      <c r="AL21" s="71">
        <f ca="1">IF(C21=1,'Reeksen (N)'!AL21*((F21-G21+F21)/2)*12+'Reeksen (N)'!AM21*((L21-M21+L21)/2)*12,0)</f>
        <v>0</v>
      </c>
      <c r="AM21" s="71">
        <f ca="1">-AL21*'Invoer gegevens (N)'!$F$31</f>
        <v>0</v>
      </c>
      <c r="AN21" s="71">
        <f t="shared" ca="1" si="7"/>
        <v>0</v>
      </c>
      <c r="AO21" s="71">
        <f ca="1">IF(C21=1,(H21+J21+N21+P21)*'Reeksen (N)'!AN21,0)</f>
        <v>0</v>
      </c>
      <c r="AP21" s="71">
        <f ca="1">-IF(C21=1,(H21+J21+N21+P21)*'Hulp - basis'!$O$550*'Reeksen (N)'!H21,0)</f>
        <v>0</v>
      </c>
      <c r="AQ21" s="71">
        <f ca="1">-IF(C21=1,(F21+K21+L21+Q21)/2*'Invoer gegevens (N)'!$F$35*'Reeksen (N)'!J21,0)*2</f>
        <v>0</v>
      </c>
      <c r="AR21" s="71"/>
      <c r="AS21" s="71">
        <f ca="1">-IF(C21=1,(F21+K21+L21+Q21)/2*'Invoer gegevens (N)'!$F$37*'Reeksen (N)'!L21,0)</f>
        <v>0</v>
      </c>
      <c r="AT21" s="71">
        <f ca="1">-IF(C21=1,IF(E21='Invoer gegevens (N)'!$C$17,'Invoer gegevens (N)'!$C$11,AD21)*'Reeksen (N)'!S21*'Invoer gegevens (N)'!$C$18*'Reeksen (N)'!P21,0)</f>
        <v>0</v>
      </c>
      <c r="AU21" s="71">
        <f ca="1">-IF(C21=1,(F21+K21+L21+Q21)/2*'Invoer gegevens (N)'!$F$38*'Reeksen (N)'!H21,0)</f>
        <v>0</v>
      </c>
      <c r="AV21" s="71">
        <v>0</v>
      </c>
      <c r="AW21" s="71">
        <f t="shared" ca="1" si="8"/>
        <v>0</v>
      </c>
      <c r="AX21" s="71">
        <f ca="1">IF(E21&lt;'Invoer gegevens (N)'!$C$17+15,0,IF(E21&gt;'Invoer gegevens (N)'!$C$17+215,0,AW21))</f>
        <v>0</v>
      </c>
      <c r="AY21" s="71">
        <f ca="1">AX21/(1+'Invoer gegevens (N)'!$F$18)^($AZ21-('Invoer gegevens (N)'!$C$17-'Invoer gegevens (N)'!$C$16))/(1+'Invoer gegevens (N)'!$C$39)^('Invoer gegevens (N)'!$C$17-'Invoer gegevens (N)'!$C$16)</f>
        <v>0</v>
      </c>
      <c r="AZ21" s="68">
        <f ca="1">IF(E21-'Invoer gegevens (N)'!$C$17-14.5&lt;0,0,E21-'Invoer gegevens (N)'!$C$17-14.5)</f>
        <v>1.5</v>
      </c>
    </row>
    <row r="22" spans="1:52" x14ac:dyDescent="0.25">
      <c r="A22" s="59"/>
      <c r="B22" s="70">
        <f t="shared" si="9"/>
        <v>18</v>
      </c>
      <c r="C22" s="67">
        <f ca="1">IF(E22-'Invoer gegevens (N)'!$C$17&lt;0,0,1)</f>
        <v>1</v>
      </c>
      <c r="D22" s="68">
        <f t="shared" si="10"/>
        <v>17.5</v>
      </c>
      <c r="E22" s="69">
        <f ca="1">IF('Invoer gegevens (N)'!$C$16="","",E21+1)</f>
        <v>2036</v>
      </c>
      <c r="F22" s="84">
        <f ca="1">IF('Invoer gegevens (N)'!$C$17=E22,'Invoer gegevens (N)'!$C$10,IF(C22=1,K21,0))</f>
        <v>0</v>
      </c>
      <c r="G22" s="96">
        <f ca="1">IF(C22&gt;=1,F22*VLOOKUP(E22,'Reeksen (N)'!$A$5:$B$76,2),0)</f>
        <v>0</v>
      </c>
      <c r="H22" s="84">
        <f ca="1">(1-('Invoer gegevens (N)'!$F$20/12))*F22*MIN('Reeksen (N)'!B22,'Reeksen (N)'!D22)</f>
        <v>0</v>
      </c>
      <c r="I22" s="84">
        <f>IF('Reeksen (N)'!D22&lt;'Reeksen (N)'!B22,('Reeksen (N)'!B22-'Reeksen (N)'!D22)*F22,0)</f>
        <v>0</v>
      </c>
      <c r="J22" s="84">
        <f ca="1">('Invoer gegevens (N)'!$F$20/12)*F21*MIN('Reeksen (N)'!B21,'Reeksen (N)'!D21)</f>
        <v>0</v>
      </c>
      <c r="K22" s="97">
        <f t="shared" ca="1" si="0"/>
        <v>0</v>
      </c>
      <c r="L22" s="84">
        <f ca="1">IF('Invoer gegevens (N)'!$C$17=E22,0,IF(C22=1,Q21,0))</f>
        <v>0</v>
      </c>
      <c r="M22" s="96">
        <f ca="1">IF(C22&gt;=1,L22*VLOOKUP(E22,'Reeksen (N)'!$A$5:$B$76,2),0)</f>
        <v>0</v>
      </c>
      <c r="N22" s="84">
        <f ca="1">(1-('Invoer gegevens (N)'!$F$20/12))*L22*MIN('Reeksen (N)'!B22,'Reeksen (N)'!D22)</f>
        <v>0</v>
      </c>
      <c r="O22" s="84">
        <f>IF('Reeksen (N)'!D22&lt;'Reeksen (N)'!B22,('Reeksen (N)'!B22-'Reeksen (N)'!D22)*L22,0)</f>
        <v>0</v>
      </c>
      <c r="P22" s="84">
        <f ca="1">('Invoer gegevens (N)'!$F$20/12)*L21*MIN('Reeksen (N)'!B21,'Reeksen (N)'!D21)</f>
        <v>0</v>
      </c>
      <c r="Q22" s="84">
        <f t="shared" ca="1" si="1"/>
        <v>0</v>
      </c>
      <c r="R22" s="82">
        <f ca="1">IF('Invoer gegevens (N)'!$C$17=E22,'Invoer gegevens (N)'!$C$11,IF(C22=1,W21,0))</f>
        <v>0</v>
      </c>
      <c r="S22" s="86">
        <f ca="1">IF(C22&gt;=1,R22*VLOOKUP(E22,'Reeksen (N)'!$A$5:$B$76,2),0)</f>
        <v>0</v>
      </c>
      <c r="T22" s="84">
        <f ca="1">(1-('Invoer gegevens (N)'!$F$20/12))*R22*MIN('Reeksen (N)'!B22,'Reeksen (N)'!D22)</f>
        <v>0</v>
      </c>
      <c r="U22" s="84">
        <f>IF('Reeksen (N)'!D22&gt;='Reeksen (N)'!B22,0,IF('Reeksen (N)'!AD22&lt;='Reeksen (N)'!AE22,('Reeksen (N)'!B22-'Reeksen (N)'!D22)*R22,0))</f>
        <v>0</v>
      </c>
      <c r="V22" s="86">
        <f>IF('Reeksen (N)'!D22&gt;='Reeksen (N)'!B22,0,IF('Reeksen (N)'!AD22&gt;'Reeksen (N)'!AE22,('Reeksen (N)'!B22-'Reeksen (N)'!D22)*R22,0))</f>
        <v>0</v>
      </c>
      <c r="W22" s="97">
        <f t="shared" ca="1" si="2"/>
        <v>0</v>
      </c>
      <c r="X22" s="98">
        <f ca="1">IF('Invoer gegevens (N)'!$C$17=E22,'Invoer gegevens (N)'!$C$10-'Invoer gegevens (N)'!$C$11,IF(C22=1,AC21,0))</f>
        <v>0</v>
      </c>
      <c r="Y22" s="98">
        <f ca="1">IF(C22&gt;=1,X22*VLOOKUP(E22,'Reeksen (N)'!$A$5:$B$76,2),0)</f>
        <v>0</v>
      </c>
      <c r="Z22" s="98">
        <f ca="1">(1-('Invoer gegevens (N)'!$F$20/12))*X22*MIN('Reeksen (N)'!B22,'Reeksen (N)'!D22)</f>
        <v>0</v>
      </c>
      <c r="AA22" s="98">
        <f>IF('Reeksen (N)'!D22&gt;='Reeksen (N)'!B22,0,IF('Reeksen (N)'!AD22&lt;='Reeksen (N)'!AE22,('Reeksen (N)'!B22-'Reeksen (N)'!D22)*X22,0))</f>
        <v>0</v>
      </c>
      <c r="AB22" s="98">
        <f>IF('Reeksen (N)'!D22&gt;='Reeksen (N)'!B22,0,IF('Reeksen (N)'!AD22&gt;'Reeksen (N)'!AE22,('Reeksen (N)'!B22-'Reeksen (N)'!D22)*X22,0))</f>
        <v>0</v>
      </c>
      <c r="AC22" s="99">
        <f t="shared" ca="1" si="3"/>
        <v>0</v>
      </c>
      <c r="AD22" s="98">
        <f ca="1">IF('Invoer gegevens (N)'!$C$17=E22,R22,IF(C22=0,0,AE21))</f>
        <v>0</v>
      </c>
      <c r="AE22" s="98">
        <f t="shared" ca="1" si="4"/>
        <v>0</v>
      </c>
      <c r="AF22" s="98">
        <f ca="1">IF('Invoer gegevens (N)'!$C$17=E22,X22,IF(C22=0,0,AG21))</f>
        <v>0</v>
      </c>
      <c r="AG22" s="98">
        <f t="shared" ca="1" si="5"/>
        <v>0</v>
      </c>
      <c r="AH22" s="66"/>
      <c r="AI22" s="71">
        <f ca="1">IF(C22=1,'Reeksen (N)'!AI22*((F22-G22+F22)/2)*12+'Reeksen (N)'!AD22*((L22-M22+L22)/2)*12,0)</f>
        <v>0</v>
      </c>
      <c r="AJ22" s="71">
        <f ca="1">-AI22*'Invoer gegevens (N)'!$F$28</f>
        <v>0</v>
      </c>
      <c r="AK22" s="71">
        <f t="shared" ca="1" si="6"/>
        <v>0</v>
      </c>
      <c r="AL22" s="71">
        <f ca="1">IF(C22=1,'Reeksen (N)'!AL22*((F22-G22+F22)/2)*12+'Reeksen (N)'!AM22*((L22-M22+L22)/2)*12,0)</f>
        <v>0</v>
      </c>
      <c r="AM22" s="71">
        <f ca="1">-AL22*'Invoer gegevens (N)'!$F$31</f>
        <v>0</v>
      </c>
      <c r="AN22" s="71">
        <f t="shared" ca="1" si="7"/>
        <v>0</v>
      </c>
      <c r="AO22" s="71">
        <f ca="1">IF(C22=1,(H22+J22+N22+P22)*'Reeksen (N)'!AN22,0)</f>
        <v>0</v>
      </c>
      <c r="AP22" s="71">
        <f ca="1">-IF(C22=1,(H22+J22+N22+P22)*'Hulp - basis'!$O$550*'Reeksen (N)'!H22,0)</f>
        <v>0</v>
      </c>
      <c r="AQ22" s="71">
        <f ca="1">-IF(C22=1,(F22+K22+L22+Q22)/2*'Invoer gegevens (N)'!$F$35*'Reeksen (N)'!J22,0)*2</f>
        <v>0</v>
      </c>
      <c r="AR22" s="71"/>
      <c r="AS22" s="71">
        <f ca="1">-IF(C22=1,(F22+K22+L22+Q22)/2*'Invoer gegevens (N)'!$F$37*'Reeksen (N)'!L22,0)</f>
        <v>0</v>
      </c>
      <c r="AT22" s="71">
        <f ca="1">-IF(C22=1,IF(E22='Invoer gegevens (N)'!$C$17,'Invoer gegevens (N)'!$C$11,AD22)*'Reeksen (N)'!S22*'Invoer gegevens (N)'!$C$18*'Reeksen (N)'!P22,0)</f>
        <v>0</v>
      </c>
      <c r="AU22" s="71">
        <f ca="1">-IF(C22=1,(F22+K22+L22+Q22)/2*'Invoer gegevens (N)'!$F$38*'Reeksen (N)'!H22,0)</f>
        <v>0</v>
      </c>
      <c r="AV22" s="71">
        <v>0</v>
      </c>
      <c r="AW22" s="71">
        <f t="shared" ca="1" si="8"/>
        <v>0</v>
      </c>
      <c r="AX22" s="71">
        <f ca="1">IF(E22&lt;'Invoer gegevens (N)'!$C$17+15,0,IF(E22&gt;'Invoer gegevens (N)'!$C$17+215,0,AW22))</f>
        <v>0</v>
      </c>
      <c r="AY22" s="71">
        <f ca="1">AX22/(1+'Invoer gegevens (N)'!$F$18)^($AZ22-('Invoer gegevens (N)'!$C$17-'Invoer gegevens (N)'!$C$16))/(1+'Invoer gegevens (N)'!$C$39)^('Invoer gegevens (N)'!$C$17-'Invoer gegevens (N)'!$C$16)</f>
        <v>0</v>
      </c>
      <c r="AZ22" s="68">
        <f ca="1">IF(E22-'Invoer gegevens (N)'!$C$17-14.5&lt;0,0,E22-'Invoer gegevens (N)'!$C$17-14.5)</f>
        <v>2.5</v>
      </c>
    </row>
    <row r="23" spans="1:52" x14ac:dyDescent="0.25">
      <c r="A23" s="59"/>
      <c r="B23" s="70">
        <f t="shared" si="9"/>
        <v>19</v>
      </c>
      <c r="C23" s="67">
        <f ca="1">IF(E23-'Invoer gegevens (N)'!$C$17&lt;0,0,1)</f>
        <v>1</v>
      </c>
      <c r="D23" s="68">
        <f t="shared" si="10"/>
        <v>18.5</v>
      </c>
      <c r="E23" s="69">
        <f ca="1">IF('Invoer gegevens (N)'!$C$16="","",E22+1)</f>
        <v>2037</v>
      </c>
      <c r="F23" s="84">
        <f ca="1">IF('Invoer gegevens (N)'!$C$17=E23,'Invoer gegevens (N)'!$C$10,IF(C23=1,K22,0))</f>
        <v>0</v>
      </c>
      <c r="G23" s="96">
        <f ca="1">IF(C23&gt;=1,F23*VLOOKUP(E23,'Reeksen (N)'!$A$5:$B$76,2),0)</f>
        <v>0</v>
      </c>
      <c r="H23" s="84">
        <f ca="1">(1-('Invoer gegevens (N)'!$F$20/12))*F23*MIN('Reeksen (N)'!B23,'Reeksen (N)'!D23)</f>
        <v>0</v>
      </c>
      <c r="I23" s="84">
        <f>IF('Reeksen (N)'!D23&lt;'Reeksen (N)'!B23,('Reeksen (N)'!B23-'Reeksen (N)'!D23)*F23,0)</f>
        <v>0</v>
      </c>
      <c r="J23" s="84">
        <f ca="1">('Invoer gegevens (N)'!$F$20/12)*F22*MIN('Reeksen (N)'!B22,'Reeksen (N)'!D22)</f>
        <v>0</v>
      </c>
      <c r="K23" s="97">
        <f t="shared" ca="1" si="0"/>
        <v>0</v>
      </c>
      <c r="L23" s="84">
        <f ca="1">IF('Invoer gegevens (N)'!$C$17=E23,0,IF(C23=1,Q22,0))</f>
        <v>0</v>
      </c>
      <c r="M23" s="96">
        <f ca="1">IF(C23&gt;=1,L23*VLOOKUP(E23,'Reeksen (N)'!$A$5:$B$76,2),0)</f>
        <v>0</v>
      </c>
      <c r="N23" s="84">
        <f ca="1">(1-('Invoer gegevens (N)'!$F$20/12))*L23*MIN('Reeksen (N)'!B23,'Reeksen (N)'!D23)</f>
        <v>0</v>
      </c>
      <c r="O23" s="84">
        <f>IF('Reeksen (N)'!D23&lt;'Reeksen (N)'!B23,('Reeksen (N)'!B23-'Reeksen (N)'!D23)*L23,0)</f>
        <v>0</v>
      </c>
      <c r="P23" s="84">
        <f ca="1">('Invoer gegevens (N)'!$F$20/12)*L22*MIN('Reeksen (N)'!B22,'Reeksen (N)'!D22)</f>
        <v>0</v>
      </c>
      <c r="Q23" s="84">
        <f t="shared" ca="1" si="1"/>
        <v>0</v>
      </c>
      <c r="R23" s="82">
        <f ca="1">IF('Invoer gegevens (N)'!$C$17=E23,'Invoer gegevens (N)'!$C$11,IF(C23=1,W22,0))</f>
        <v>0</v>
      </c>
      <c r="S23" s="86">
        <f ca="1">IF(C23&gt;=1,R23*VLOOKUP(E23,'Reeksen (N)'!$A$5:$B$76,2),0)</f>
        <v>0</v>
      </c>
      <c r="T23" s="84">
        <f ca="1">(1-('Invoer gegevens (N)'!$F$20/12))*R23*MIN('Reeksen (N)'!B23,'Reeksen (N)'!D23)</f>
        <v>0</v>
      </c>
      <c r="U23" s="84">
        <f>IF('Reeksen (N)'!D23&gt;='Reeksen (N)'!B23,0,IF('Reeksen (N)'!AD23&lt;='Reeksen (N)'!AE23,('Reeksen (N)'!B23-'Reeksen (N)'!D23)*R23,0))</f>
        <v>0</v>
      </c>
      <c r="V23" s="86">
        <f>IF('Reeksen (N)'!D23&gt;='Reeksen (N)'!B23,0,IF('Reeksen (N)'!AD23&gt;'Reeksen (N)'!AE23,('Reeksen (N)'!B23-'Reeksen (N)'!D23)*R23,0))</f>
        <v>0</v>
      </c>
      <c r="W23" s="97">
        <f t="shared" ca="1" si="2"/>
        <v>0</v>
      </c>
      <c r="X23" s="98">
        <f ca="1">IF('Invoer gegevens (N)'!$C$17=E23,'Invoer gegevens (N)'!$C$10-'Invoer gegevens (N)'!$C$11,IF(C23=1,AC22,0))</f>
        <v>0</v>
      </c>
      <c r="Y23" s="98">
        <f ca="1">IF(C23&gt;=1,X23*VLOOKUP(E23,'Reeksen (N)'!$A$5:$B$76,2),0)</f>
        <v>0</v>
      </c>
      <c r="Z23" s="98">
        <f ca="1">(1-('Invoer gegevens (N)'!$F$20/12))*X23*MIN('Reeksen (N)'!B23,'Reeksen (N)'!D23)</f>
        <v>0</v>
      </c>
      <c r="AA23" s="98">
        <f>IF('Reeksen (N)'!D23&gt;='Reeksen (N)'!B23,0,IF('Reeksen (N)'!AD23&lt;='Reeksen (N)'!AE23,('Reeksen (N)'!B23-'Reeksen (N)'!D23)*X23,0))</f>
        <v>0</v>
      </c>
      <c r="AB23" s="98">
        <f>IF('Reeksen (N)'!D23&gt;='Reeksen (N)'!B23,0,IF('Reeksen (N)'!AD23&gt;'Reeksen (N)'!AE23,('Reeksen (N)'!B23-'Reeksen (N)'!D23)*X23,0))</f>
        <v>0</v>
      </c>
      <c r="AC23" s="99">
        <f t="shared" ca="1" si="3"/>
        <v>0</v>
      </c>
      <c r="AD23" s="98">
        <f ca="1">IF('Invoer gegevens (N)'!$C$17=E23,R23,IF(C23=0,0,AE22))</f>
        <v>0</v>
      </c>
      <c r="AE23" s="98">
        <f t="shared" ca="1" si="4"/>
        <v>0</v>
      </c>
      <c r="AF23" s="98">
        <f ca="1">IF('Invoer gegevens (N)'!$C$17=E23,X23,IF(C23=0,0,AG22))</f>
        <v>0</v>
      </c>
      <c r="AG23" s="98">
        <f t="shared" ca="1" si="5"/>
        <v>0</v>
      </c>
      <c r="AH23" s="66"/>
      <c r="AI23" s="71">
        <f ca="1">IF(C23=1,'Reeksen (N)'!AI23*((F23-G23+F23)/2)*12+'Reeksen (N)'!AD23*((L23-M23+L23)/2)*12,0)</f>
        <v>0</v>
      </c>
      <c r="AJ23" s="71">
        <f ca="1">-AI23*'Invoer gegevens (N)'!$F$28</f>
        <v>0</v>
      </c>
      <c r="AK23" s="71">
        <f t="shared" ca="1" si="6"/>
        <v>0</v>
      </c>
      <c r="AL23" s="71">
        <f ca="1">IF(C23=1,'Reeksen (N)'!AL23*((F23-G23+F23)/2)*12+'Reeksen (N)'!AM23*((L23-M23+L23)/2)*12,0)</f>
        <v>0</v>
      </c>
      <c r="AM23" s="71">
        <f ca="1">-AL23*'Invoer gegevens (N)'!$F$31</f>
        <v>0</v>
      </c>
      <c r="AN23" s="71">
        <f t="shared" ca="1" si="7"/>
        <v>0</v>
      </c>
      <c r="AO23" s="71">
        <f ca="1">IF(C23=1,(H23+J23+N23+P23)*'Reeksen (N)'!AN23,0)</f>
        <v>0</v>
      </c>
      <c r="AP23" s="71">
        <f ca="1">-IF(C23=1,(H23+J23+N23+P23)*'Hulp - basis'!$O$550*'Reeksen (N)'!H23,0)</f>
        <v>0</v>
      </c>
      <c r="AQ23" s="71">
        <f ca="1">-IF(C23=1,(F23+K23+L23+Q23)/2*'Invoer gegevens (N)'!$F$35*'Reeksen (N)'!J23,0)*2</f>
        <v>0</v>
      </c>
      <c r="AR23" s="71"/>
      <c r="AS23" s="71">
        <f ca="1">-IF(C23=1,(F23+K23+L23+Q23)/2*'Invoer gegevens (N)'!$F$37*'Reeksen (N)'!L23,0)</f>
        <v>0</v>
      </c>
      <c r="AT23" s="71">
        <f ca="1">-IF(C23=1,IF(E23='Invoer gegevens (N)'!$C$17,'Invoer gegevens (N)'!$C$11,AD23)*'Reeksen (N)'!S23*'Invoer gegevens (N)'!$C$18*'Reeksen (N)'!P23,0)</f>
        <v>0</v>
      </c>
      <c r="AU23" s="71">
        <f ca="1">-IF(C23=1,(F23+K23+L23+Q23)/2*'Invoer gegevens (N)'!$F$38*'Reeksen (N)'!H23,0)</f>
        <v>0</v>
      </c>
      <c r="AV23" s="71">
        <v>0</v>
      </c>
      <c r="AW23" s="71">
        <f t="shared" ca="1" si="8"/>
        <v>0</v>
      </c>
      <c r="AX23" s="71">
        <f ca="1">IF(E23&lt;'Invoer gegevens (N)'!$C$17+15,0,IF(E23&gt;'Invoer gegevens (N)'!$C$17+215,0,AW23))</f>
        <v>0</v>
      </c>
      <c r="AY23" s="71">
        <f ca="1">AX23/(1+'Invoer gegevens (N)'!$F$18)^($AZ23-('Invoer gegevens (N)'!$C$17-'Invoer gegevens (N)'!$C$16))/(1+'Invoer gegevens (N)'!$C$39)^('Invoer gegevens (N)'!$C$17-'Invoer gegevens (N)'!$C$16)</f>
        <v>0</v>
      </c>
      <c r="AZ23" s="68">
        <f ca="1">IF(E23-'Invoer gegevens (N)'!$C$17-14.5&lt;0,0,E23-'Invoer gegevens (N)'!$C$17-14.5)</f>
        <v>3.5</v>
      </c>
    </row>
    <row r="24" spans="1:52" x14ac:dyDescent="0.25">
      <c r="A24" s="59"/>
      <c r="B24" s="70">
        <f t="shared" si="9"/>
        <v>20</v>
      </c>
      <c r="C24" s="67">
        <f ca="1">IF(E24-'Invoer gegevens (N)'!$C$17&lt;0,0,1)</f>
        <v>1</v>
      </c>
      <c r="D24" s="68">
        <f t="shared" si="10"/>
        <v>19.5</v>
      </c>
      <c r="E24" s="69">
        <f ca="1">IF('Invoer gegevens (N)'!$C$16="","",E23+1)</f>
        <v>2038</v>
      </c>
      <c r="F24" s="84">
        <f ca="1">IF('Invoer gegevens (N)'!$C$17=E24,'Invoer gegevens (N)'!$C$10,IF(C24=1,K23,0))</f>
        <v>0</v>
      </c>
      <c r="G24" s="96">
        <f ca="1">IF(C24&gt;=1,F24*VLOOKUP(E24,'Reeksen (N)'!$A$5:$B$76,2),0)</f>
        <v>0</v>
      </c>
      <c r="H24" s="84">
        <f ca="1">(1-('Invoer gegevens (N)'!$F$20/12))*F24*MIN('Reeksen (N)'!B24,'Reeksen (N)'!D24)</f>
        <v>0</v>
      </c>
      <c r="I24" s="84">
        <f>IF('Reeksen (N)'!D24&lt;'Reeksen (N)'!B24,('Reeksen (N)'!B24-'Reeksen (N)'!D24)*F24,0)</f>
        <v>0</v>
      </c>
      <c r="J24" s="84">
        <f ca="1">('Invoer gegevens (N)'!$F$20/12)*F23*MIN('Reeksen (N)'!B23,'Reeksen (N)'!D23)</f>
        <v>0</v>
      </c>
      <c r="K24" s="97">
        <f t="shared" ca="1" si="0"/>
        <v>0</v>
      </c>
      <c r="L24" s="84">
        <f ca="1">IF('Invoer gegevens (N)'!$C$17=E24,0,IF(C24=1,Q23,0))</f>
        <v>0</v>
      </c>
      <c r="M24" s="96">
        <f ca="1">IF(C24&gt;=1,L24*VLOOKUP(E24,'Reeksen (N)'!$A$5:$B$76,2),0)</f>
        <v>0</v>
      </c>
      <c r="N24" s="84">
        <f ca="1">(1-('Invoer gegevens (N)'!$F$20/12))*L24*MIN('Reeksen (N)'!B24,'Reeksen (N)'!D24)</f>
        <v>0</v>
      </c>
      <c r="O24" s="84">
        <f>IF('Reeksen (N)'!D24&lt;'Reeksen (N)'!B24,('Reeksen (N)'!B24-'Reeksen (N)'!D24)*L24,0)</f>
        <v>0</v>
      </c>
      <c r="P24" s="84">
        <f ca="1">('Invoer gegevens (N)'!$F$20/12)*L23*MIN('Reeksen (N)'!B23,'Reeksen (N)'!D23)</f>
        <v>0</v>
      </c>
      <c r="Q24" s="84">
        <f t="shared" ca="1" si="1"/>
        <v>0</v>
      </c>
      <c r="R24" s="82">
        <f ca="1">IF('Invoer gegevens (N)'!$C$17=E24,'Invoer gegevens (N)'!$C$11,IF(C24=1,W23,0))</f>
        <v>0</v>
      </c>
      <c r="S24" s="86">
        <f ca="1">IF(C24&gt;=1,R24*VLOOKUP(E24,'Reeksen (N)'!$A$5:$B$76,2),0)</f>
        <v>0</v>
      </c>
      <c r="T24" s="84">
        <f ca="1">(1-('Invoer gegevens (N)'!$F$20/12))*R24*MIN('Reeksen (N)'!B24,'Reeksen (N)'!D24)</f>
        <v>0</v>
      </c>
      <c r="U24" s="84">
        <f>IF('Reeksen (N)'!D24&gt;='Reeksen (N)'!B24,0,IF('Reeksen (N)'!AD24&lt;='Reeksen (N)'!AE24,('Reeksen (N)'!B24-'Reeksen (N)'!D24)*R24,0))</f>
        <v>0</v>
      </c>
      <c r="V24" s="86">
        <f>IF('Reeksen (N)'!D24&gt;='Reeksen (N)'!B24,0,IF('Reeksen (N)'!AD24&gt;'Reeksen (N)'!AE24,('Reeksen (N)'!B24-'Reeksen (N)'!D24)*R24,0))</f>
        <v>0</v>
      </c>
      <c r="W24" s="97">
        <f t="shared" ca="1" si="2"/>
        <v>0</v>
      </c>
      <c r="X24" s="98">
        <f ca="1">IF('Invoer gegevens (N)'!$C$17=E24,'Invoer gegevens (N)'!$C$10-'Invoer gegevens (N)'!$C$11,IF(C24=1,AC23,0))</f>
        <v>0</v>
      </c>
      <c r="Y24" s="98">
        <f ca="1">IF(C24&gt;=1,X24*VLOOKUP(E24,'Reeksen (N)'!$A$5:$B$76,2),0)</f>
        <v>0</v>
      </c>
      <c r="Z24" s="98">
        <f ca="1">(1-('Invoer gegevens (N)'!$F$20/12))*X24*MIN('Reeksen (N)'!B24,'Reeksen (N)'!D24)</f>
        <v>0</v>
      </c>
      <c r="AA24" s="98">
        <f>IF('Reeksen (N)'!D24&gt;='Reeksen (N)'!B24,0,IF('Reeksen (N)'!AD24&lt;='Reeksen (N)'!AE24,('Reeksen (N)'!B24-'Reeksen (N)'!D24)*X24,0))</f>
        <v>0</v>
      </c>
      <c r="AB24" s="98">
        <f>IF('Reeksen (N)'!D24&gt;='Reeksen (N)'!B24,0,IF('Reeksen (N)'!AD24&gt;'Reeksen (N)'!AE24,('Reeksen (N)'!B24-'Reeksen (N)'!D24)*X24,0))</f>
        <v>0</v>
      </c>
      <c r="AC24" s="99">
        <f t="shared" ca="1" si="3"/>
        <v>0</v>
      </c>
      <c r="AD24" s="98">
        <f ca="1">IF('Invoer gegevens (N)'!$C$17=E24,R24,IF(C24=0,0,AE23))</f>
        <v>0</v>
      </c>
      <c r="AE24" s="98">
        <f t="shared" ca="1" si="4"/>
        <v>0</v>
      </c>
      <c r="AF24" s="98">
        <f ca="1">IF('Invoer gegevens (N)'!$C$17=E24,X24,IF(C24=0,0,AG23))</f>
        <v>0</v>
      </c>
      <c r="AG24" s="98">
        <f t="shared" ca="1" si="5"/>
        <v>0</v>
      </c>
      <c r="AH24" s="66"/>
      <c r="AI24" s="71">
        <f ca="1">IF(C24=1,'Reeksen (N)'!AI24*((F24-G24+F24)/2)*12+'Reeksen (N)'!AD24*((L24-M24+L24)/2)*12,0)</f>
        <v>0</v>
      </c>
      <c r="AJ24" s="71">
        <f ca="1">-AI24*'Invoer gegevens (N)'!$F$28</f>
        <v>0</v>
      </c>
      <c r="AK24" s="71">
        <f t="shared" ca="1" si="6"/>
        <v>0</v>
      </c>
      <c r="AL24" s="71">
        <f ca="1">IF(C24=1,'Reeksen (N)'!AL24*((F24-G24+F24)/2)*12+'Reeksen (N)'!AM24*((L24-M24+L24)/2)*12,0)</f>
        <v>0</v>
      </c>
      <c r="AM24" s="71">
        <f ca="1">-AL24*'Invoer gegevens (N)'!$F$31</f>
        <v>0</v>
      </c>
      <c r="AN24" s="71">
        <f t="shared" ca="1" si="7"/>
        <v>0</v>
      </c>
      <c r="AO24" s="71">
        <f ca="1">IF(C24=1,(H24+J24+N24+P24)*'Reeksen (N)'!AN24,0)</f>
        <v>0</v>
      </c>
      <c r="AP24" s="71">
        <f ca="1">-IF(C24=1,(H24+J24+N24+P24)*'Hulp - basis'!$O$550*'Reeksen (N)'!H24,0)</f>
        <v>0</v>
      </c>
      <c r="AQ24" s="71">
        <f ca="1">-IF(C24=1,(F24+K24+L24+Q24)/2*'Invoer gegevens (N)'!$F$35*'Reeksen (N)'!J24,0)*2</f>
        <v>0</v>
      </c>
      <c r="AR24" s="71"/>
      <c r="AS24" s="71">
        <f ca="1">-IF(C24=1,(F24+K24+L24+Q24)/2*'Invoer gegevens (N)'!$F$37*'Reeksen (N)'!L24,0)</f>
        <v>0</v>
      </c>
      <c r="AT24" s="71">
        <f ca="1">-IF(C24=1,IF(E24='Invoer gegevens (N)'!$C$17,'Invoer gegevens (N)'!$C$11,AD24)*'Reeksen (N)'!S24*'Invoer gegevens (N)'!$C$18*'Reeksen (N)'!P24,0)</f>
        <v>0</v>
      </c>
      <c r="AU24" s="71">
        <f ca="1">-IF(C24=1,(F24+K24+L24+Q24)/2*'Invoer gegevens (N)'!$F$38*'Reeksen (N)'!H24,0)</f>
        <v>0</v>
      </c>
      <c r="AV24" s="71">
        <v>0</v>
      </c>
      <c r="AW24" s="71">
        <f t="shared" ca="1" si="8"/>
        <v>0</v>
      </c>
      <c r="AX24" s="71">
        <f ca="1">IF(E24&lt;'Invoer gegevens (N)'!$C$17+15,0,IF(E24&gt;'Invoer gegevens (N)'!$C$17+215,0,AW24))</f>
        <v>0</v>
      </c>
      <c r="AY24" s="71">
        <f ca="1">AX24/(1+'Invoer gegevens (N)'!$F$18)^($AZ24-('Invoer gegevens (N)'!$C$17-'Invoer gegevens (N)'!$C$16))/(1+'Invoer gegevens (N)'!$C$39)^('Invoer gegevens (N)'!$C$17-'Invoer gegevens (N)'!$C$16)</f>
        <v>0</v>
      </c>
      <c r="AZ24" s="68">
        <f ca="1">IF(E24-'Invoer gegevens (N)'!$C$17-14.5&lt;0,0,E24-'Invoer gegevens (N)'!$C$17-14.5)</f>
        <v>4.5</v>
      </c>
    </row>
    <row r="25" spans="1:52" x14ac:dyDescent="0.25">
      <c r="A25" s="59"/>
      <c r="B25" s="70">
        <f t="shared" si="9"/>
        <v>21</v>
      </c>
      <c r="C25" s="67">
        <f ca="1">IF(E25-'Invoer gegevens (N)'!$C$17&lt;0,0,1)</f>
        <v>1</v>
      </c>
      <c r="D25" s="68">
        <f t="shared" si="10"/>
        <v>20.5</v>
      </c>
      <c r="E25" s="69">
        <f ca="1">IF('Invoer gegevens (N)'!$C$16="","",E24+1)</f>
        <v>2039</v>
      </c>
      <c r="F25" s="84">
        <f ca="1">IF('Invoer gegevens (N)'!$C$17=E25,'Invoer gegevens (N)'!$C$10,IF(C25=1,K24,0))</f>
        <v>0</v>
      </c>
      <c r="G25" s="96">
        <f ca="1">IF(C25&gt;=1,F25*VLOOKUP(E25,'Reeksen (N)'!$A$5:$B$76,2),0)</f>
        <v>0</v>
      </c>
      <c r="H25" s="84">
        <f ca="1">(1-('Invoer gegevens (N)'!$F$20/12))*F25*MIN('Reeksen (N)'!B25,'Reeksen (N)'!D25)</f>
        <v>0</v>
      </c>
      <c r="I25" s="84">
        <f>IF('Reeksen (N)'!D25&lt;'Reeksen (N)'!B25,('Reeksen (N)'!B25-'Reeksen (N)'!D25)*F25,0)</f>
        <v>0</v>
      </c>
      <c r="J25" s="84">
        <f ca="1">('Invoer gegevens (N)'!$F$20/12)*F24*MIN('Reeksen (N)'!B24,'Reeksen (N)'!D24)</f>
        <v>0</v>
      </c>
      <c r="K25" s="97">
        <f t="shared" ca="1" si="0"/>
        <v>0</v>
      </c>
      <c r="L25" s="84">
        <f ca="1">IF('Invoer gegevens (N)'!$C$17=E25,0,IF(C25=1,Q24,0))</f>
        <v>0</v>
      </c>
      <c r="M25" s="96">
        <f ca="1">IF(C25&gt;=1,L25*VLOOKUP(E25,'Reeksen (N)'!$A$5:$B$76,2),0)</f>
        <v>0</v>
      </c>
      <c r="N25" s="84">
        <f ca="1">(1-('Invoer gegevens (N)'!$F$20/12))*L25*MIN('Reeksen (N)'!B25,'Reeksen (N)'!D25)</f>
        <v>0</v>
      </c>
      <c r="O25" s="84">
        <f>IF('Reeksen (N)'!D25&lt;'Reeksen (N)'!B25,('Reeksen (N)'!B25-'Reeksen (N)'!D25)*L25,0)</f>
        <v>0</v>
      </c>
      <c r="P25" s="84">
        <f ca="1">('Invoer gegevens (N)'!$F$20/12)*L24*MIN('Reeksen (N)'!B24,'Reeksen (N)'!D24)</f>
        <v>0</v>
      </c>
      <c r="Q25" s="84">
        <f t="shared" ca="1" si="1"/>
        <v>0</v>
      </c>
      <c r="R25" s="82">
        <f ca="1">IF('Invoer gegevens (N)'!$C$17=E25,'Invoer gegevens (N)'!$C$11,IF(C25=1,W24,0))</f>
        <v>0</v>
      </c>
      <c r="S25" s="86">
        <f ca="1">IF(C25&gt;=1,R25*VLOOKUP(E25,'Reeksen (N)'!$A$5:$B$76,2),0)</f>
        <v>0</v>
      </c>
      <c r="T25" s="84">
        <f ca="1">(1-('Invoer gegevens (N)'!$F$20/12))*R25*MIN('Reeksen (N)'!B25,'Reeksen (N)'!D25)</f>
        <v>0</v>
      </c>
      <c r="U25" s="84">
        <f>IF('Reeksen (N)'!D25&gt;='Reeksen (N)'!B25,0,IF('Reeksen (N)'!AD25&lt;='Reeksen (N)'!AE25,('Reeksen (N)'!B25-'Reeksen (N)'!D25)*R25,0))</f>
        <v>0</v>
      </c>
      <c r="V25" s="86">
        <f>IF('Reeksen (N)'!D25&gt;='Reeksen (N)'!B25,0,IF('Reeksen (N)'!AD25&gt;'Reeksen (N)'!AE25,('Reeksen (N)'!B25-'Reeksen (N)'!D25)*R25,0))</f>
        <v>0</v>
      </c>
      <c r="W25" s="97">
        <f t="shared" ca="1" si="2"/>
        <v>0</v>
      </c>
      <c r="X25" s="98">
        <f ca="1">IF('Invoer gegevens (N)'!$C$17=E25,'Invoer gegevens (N)'!$C$10-'Invoer gegevens (N)'!$C$11,IF(C25=1,AC24,0))</f>
        <v>0</v>
      </c>
      <c r="Y25" s="98">
        <f ca="1">IF(C25&gt;=1,X25*VLOOKUP(E25,'Reeksen (N)'!$A$5:$B$76,2),0)</f>
        <v>0</v>
      </c>
      <c r="Z25" s="98">
        <f ca="1">(1-('Invoer gegevens (N)'!$F$20/12))*X25*MIN('Reeksen (N)'!B25,'Reeksen (N)'!D25)</f>
        <v>0</v>
      </c>
      <c r="AA25" s="98">
        <f>IF('Reeksen (N)'!D25&gt;='Reeksen (N)'!B25,0,IF('Reeksen (N)'!AD25&lt;='Reeksen (N)'!AE25,('Reeksen (N)'!B25-'Reeksen (N)'!D25)*X25,0))</f>
        <v>0</v>
      </c>
      <c r="AB25" s="98">
        <f>IF('Reeksen (N)'!D25&gt;='Reeksen (N)'!B25,0,IF('Reeksen (N)'!AD25&gt;'Reeksen (N)'!AE25,('Reeksen (N)'!B25-'Reeksen (N)'!D25)*X25,0))</f>
        <v>0</v>
      </c>
      <c r="AC25" s="99">
        <f t="shared" ca="1" si="3"/>
        <v>0</v>
      </c>
      <c r="AD25" s="98">
        <f ca="1">IF('Invoer gegevens (N)'!$C$17=E25,R25,IF(C25=0,0,AE24))</f>
        <v>0</v>
      </c>
      <c r="AE25" s="98">
        <f t="shared" ca="1" si="4"/>
        <v>0</v>
      </c>
      <c r="AF25" s="98">
        <f ca="1">IF('Invoer gegevens (N)'!$C$17=E25,X25,IF(C25=0,0,AG24))</f>
        <v>0</v>
      </c>
      <c r="AG25" s="98">
        <f t="shared" ca="1" si="5"/>
        <v>0</v>
      </c>
      <c r="AH25" s="66"/>
      <c r="AI25" s="71">
        <f ca="1">IF(C25=1,'Reeksen (N)'!AI25*((F25-G25+F25)/2)*12+'Reeksen (N)'!AD25*((L25-M25+L25)/2)*12,0)</f>
        <v>0</v>
      </c>
      <c r="AJ25" s="71">
        <f ca="1">-AI25*'Invoer gegevens (N)'!$F$28</f>
        <v>0</v>
      </c>
      <c r="AK25" s="71">
        <f t="shared" ca="1" si="6"/>
        <v>0</v>
      </c>
      <c r="AL25" s="71">
        <f ca="1">IF(C25=1,'Reeksen (N)'!AL25*((F25-G25+F25)/2)*12+'Reeksen (N)'!AM25*((L25-M25+L25)/2)*12,0)</f>
        <v>0</v>
      </c>
      <c r="AM25" s="71">
        <f ca="1">-AL25*'Invoer gegevens (N)'!$F$31</f>
        <v>0</v>
      </c>
      <c r="AN25" s="71">
        <f t="shared" ca="1" si="7"/>
        <v>0</v>
      </c>
      <c r="AO25" s="71">
        <f ca="1">IF(C25=1,(H25+J25+N25+P25)*'Reeksen (N)'!AN25,0)</f>
        <v>0</v>
      </c>
      <c r="AP25" s="71">
        <f ca="1">-IF(C25=1,(H25+J25+N25+P25)*'Hulp - basis'!$O$550*'Reeksen (N)'!H25,0)</f>
        <v>0</v>
      </c>
      <c r="AQ25" s="71">
        <f ca="1">-IF(C25=1,(F25+K25+L25+Q25)/2*'Invoer gegevens (N)'!$F$35*'Reeksen (N)'!J25,0)*2</f>
        <v>0</v>
      </c>
      <c r="AR25" s="71"/>
      <c r="AS25" s="71">
        <f ca="1">-IF(C25=1,(F25+K25+L25+Q25)/2*'Invoer gegevens (N)'!$F$37*'Reeksen (N)'!L25,0)</f>
        <v>0</v>
      </c>
      <c r="AT25" s="71">
        <f ca="1">-IF(C25=1,IF(E25='Invoer gegevens (N)'!$C$17,'Invoer gegevens (N)'!$C$11,AD25)*'Reeksen (N)'!S25*'Invoer gegevens (N)'!$C$18*'Reeksen (N)'!P25,0)</f>
        <v>0</v>
      </c>
      <c r="AU25" s="71">
        <f ca="1">-IF(C25=1,(F25+K25+L25+Q25)/2*'Invoer gegevens (N)'!$F$38*'Reeksen (N)'!H25,0)</f>
        <v>0</v>
      </c>
      <c r="AV25" s="71">
        <v>0</v>
      </c>
      <c r="AW25" s="71">
        <f t="shared" ca="1" si="8"/>
        <v>0</v>
      </c>
      <c r="AX25" s="71">
        <f ca="1">IF(E25&lt;'Invoer gegevens (N)'!$C$17+15,0,IF(E25&gt;'Invoer gegevens (N)'!$C$17+215,0,AW25))</f>
        <v>0</v>
      </c>
      <c r="AY25" s="71">
        <f ca="1">AX25/(1+'Invoer gegevens (N)'!$F$18)^($AZ25-('Invoer gegevens (N)'!$C$17-'Invoer gegevens (N)'!$C$16))/(1+'Invoer gegevens (N)'!$C$39)^('Invoer gegevens (N)'!$C$17-'Invoer gegevens (N)'!$C$16)</f>
        <v>0</v>
      </c>
      <c r="AZ25" s="68">
        <f ca="1">IF(E25-'Invoer gegevens (N)'!$C$17-14.5&lt;0,0,E25-'Invoer gegevens (N)'!$C$17-14.5)</f>
        <v>5.5</v>
      </c>
    </row>
    <row r="26" spans="1:52" x14ac:dyDescent="0.25">
      <c r="A26" s="59"/>
      <c r="B26" s="70">
        <f>B25+1</f>
        <v>22</v>
      </c>
      <c r="C26" s="67">
        <f ca="1">IF(E26-'Invoer gegevens (N)'!$C$17&lt;0,0,1)</f>
        <v>1</v>
      </c>
      <c r="D26" s="68">
        <f t="shared" si="10"/>
        <v>21.5</v>
      </c>
      <c r="E26" s="69">
        <f ca="1">IF('Invoer gegevens (N)'!$C$16="","",E25+1)</f>
        <v>2040</v>
      </c>
      <c r="F26" s="84">
        <f ca="1">IF('Invoer gegevens (N)'!$C$17=E26,'Invoer gegevens (N)'!$C$10,IF(C26=1,K25,0))</f>
        <v>0</v>
      </c>
      <c r="G26" s="96">
        <f ca="1">IF(C26&gt;=1,F26*VLOOKUP(E26,'Reeksen (N)'!$A$5:$B$76,2),0)</f>
        <v>0</v>
      </c>
      <c r="H26" s="84">
        <f ca="1">(1-('Invoer gegevens (N)'!$F$20/12))*F26*MIN('Reeksen (N)'!B26,'Reeksen (N)'!D26)</f>
        <v>0</v>
      </c>
      <c r="I26" s="84">
        <f>IF('Reeksen (N)'!D26&lt;'Reeksen (N)'!B26,('Reeksen (N)'!B26-'Reeksen (N)'!D26)*F26,0)</f>
        <v>0</v>
      </c>
      <c r="J26" s="84">
        <f ca="1">('Invoer gegevens (N)'!$F$20/12)*F25*MIN('Reeksen (N)'!B25,'Reeksen (N)'!D25)</f>
        <v>0</v>
      </c>
      <c r="K26" s="97">
        <f t="shared" ca="1" si="0"/>
        <v>0</v>
      </c>
      <c r="L26" s="84">
        <f ca="1">IF('Invoer gegevens (N)'!$C$17=E26,0,IF(C26=1,Q25,0))</f>
        <v>0</v>
      </c>
      <c r="M26" s="96">
        <f ca="1">IF(C26&gt;=1,L26*VLOOKUP(E26,'Reeksen (N)'!$A$5:$B$76,2),0)</f>
        <v>0</v>
      </c>
      <c r="N26" s="84">
        <f ca="1">(1-('Invoer gegevens (N)'!$F$20/12))*L26*MIN('Reeksen (N)'!B26,'Reeksen (N)'!D26)</f>
        <v>0</v>
      </c>
      <c r="O26" s="84">
        <f>IF('Reeksen (N)'!D26&lt;'Reeksen (N)'!B26,('Reeksen (N)'!B26-'Reeksen (N)'!D26)*L26,0)</f>
        <v>0</v>
      </c>
      <c r="P26" s="84">
        <f ca="1">('Invoer gegevens (N)'!$F$20/12)*L25*MIN('Reeksen (N)'!B25,'Reeksen (N)'!D25)</f>
        <v>0</v>
      </c>
      <c r="Q26" s="84">
        <f t="shared" ca="1" si="1"/>
        <v>0</v>
      </c>
      <c r="R26" s="82">
        <f ca="1">IF('Invoer gegevens (N)'!$C$17=E26,'Invoer gegevens (N)'!$C$11,IF(C26=1,W25,0))</f>
        <v>0</v>
      </c>
      <c r="S26" s="86">
        <f ca="1">IF(C26&gt;=1,R26*VLOOKUP(E26,'Reeksen (N)'!$A$5:$B$76,2),0)</f>
        <v>0</v>
      </c>
      <c r="T26" s="84">
        <f ca="1">(1-('Invoer gegevens (N)'!$F$20/12))*R26*MIN('Reeksen (N)'!B26,'Reeksen (N)'!D26)</f>
        <v>0</v>
      </c>
      <c r="U26" s="84">
        <f>IF('Reeksen (N)'!D26&gt;='Reeksen (N)'!B26,0,IF('Reeksen (N)'!AD26&lt;='Reeksen (N)'!AE26,('Reeksen (N)'!B26-'Reeksen (N)'!D26)*R26,0))</f>
        <v>0</v>
      </c>
      <c r="V26" s="86">
        <f>IF('Reeksen (N)'!D26&gt;='Reeksen (N)'!B26,0,IF('Reeksen (N)'!AD26&gt;'Reeksen (N)'!AE26,('Reeksen (N)'!B26-'Reeksen (N)'!D26)*R26,0))</f>
        <v>0</v>
      </c>
      <c r="W26" s="97">
        <f t="shared" ca="1" si="2"/>
        <v>0</v>
      </c>
      <c r="X26" s="98">
        <f ca="1">IF('Invoer gegevens (N)'!$C$17=E26,'Invoer gegevens (N)'!$C$10-'Invoer gegevens (N)'!$C$11,IF(C26=1,AC25,0))</f>
        <v>0</v>
      </c>
      <c r="Y26" s="98">
        <f ca="1">IF(C26&gt;=1,X26*VLOOKUP(E26,'Reeksen (N)'!$A$5:$B$76,2),0)</f>
        <v>0</v>
      </c>
      <c r="Z26" s="98">
        <f ca="1">(1-('Invoer gegevens (N)'!$F$20/12))*X26*MIN('Reeksen (N)'!B26,'Reeksen (N)'!D26)</f>
        <v>0</v>
      </c>
      <c r="AA26" s="98">
        <f>IF('Reeksen (N)'!D26&gt;='Reeksen (N)'!B26,0,IF('Reeksen (N)'!AD26&lt;='Reeksen (N)'!AE26,('Reeksen (N)'!B26-'Reeksen (N)'!D26)*X26,0))</f>
        <v>0</v>
      </c>
      <c r="AB26" s="98">
        <f>IF('Reeksen (N)'!D26&gt;='Reeksen (N)'!B26,0,IF('Reeksen (N)'!AD26&gt;'Reeksen (N)'!AE26,('Reeksen (N)'!B26-'Reeksen (N)'!D26)*X26,0))</f>
        <v>0</v>
      </c>
      <c r="AC26" s="99">
        <f t="shared" ca="1" si="3"/>
        <v>0</v>
      </c>
      <c r="AD26" s="98">
        <f ca="1">IF('Invoer gegevens (N)'!$C$17=E26,R26,IF(C26=0,0,AE25))</f>
        <v>0</v>
      </c>
      <c r="AE26" s="98">
        <f t="shared" ca="1" si="4"/>
        <v>0</v>
      </c>
      <c r="AF26" s="98">
        <f ca="1">IF('Invoer gegevens (N)'!$C$17=E26,X26,IF(C26=0,0,AG25))</f>
        <v>0</v>
      </c>
      <c r="AG26" s="98">
        <f t="shared" ca="1" si="5"/>
        <v>0</v>
      </c>
      <c r="AH26" s="66"/>
      <c r="AI26" s="71">
        <f ca="1">IF(C26=1,'Reeksen (N)'!AI26*((F26-G26+F26)/2)*12+'Reeksen (N)'!AD26*((L26-M26+L26)/2)*12,0)</f>
        <v>0</v>
      </c>
      <c r="AJ26" s="71">
        <f ca="1">-AI26*'Invoer gegevens (N)'!$F$28</f>
        <v>0</v>
      </c>
      <c r="AK26" s="71">
        <f t="shared" ca="1" si="6"/>
        <v>0</v>
      </c>
      <c r="AL26" s="71">
        <f ca="1">IF(C26=1,'Reeksen (N)'!AL26*((F26-G26+F26)/2)*12+'Reeksen (N)'!AM26*((L26-M26+L26)/2)*12,0)</f>
        <v>0</v>
      </c>
      <c r="AM26" s="71">
        <f ca="1">-AL26*'Invoer gegevens (N)'!$F$31</f>
        <v>0</v>
      </c>
      <c r="AN26" s="71">
        <f t="shared" ca="1" si="7"/>
        <v>0</v>
      </c>
      <c r="AO26" s="71">
        <f ca="1">IF(C26=1,(H26+J26+N26+P26)*'Reeksen (N)'!AN26,0)</f>
        <v>0</v>
      </c>
      <c r="AP26" s="71">
        <f ca="1">-IF(C26=1,(H26+J26+N26+P26)*'Hulp - basis'!$O$550*'Reeksen (N)'!H26,0)</f>
        <v>0</v>
      </c>
      <c r="AQ26" s="71">
        <f ca="1">-IF(C26=1,(F26+K26+L26+Q26)/2*'Invoer gegevens (N)'!$F$35*'Reeksen (N)'!J26,0)*2</f>
        <v>0</v>
      </c>
      <c r="AR26" s="71"/>
      <c r="AS26" s="71">
        <f ca="1">-IF(C26=1,(F26+K26+L26+Q26)/2*'Invoer gegevens (N)'!$F$37*'Reeksen (N)'!L26,0)</f>
        <v>0</v>
      </c>
      <c r="AT26" s="71">
        <f ca="1">-IF(C26=1,IF(E26='Invoer gegevens (N)'!$C$17,'Invoer gegevens (N)'!$C$11,AD26)*'Reeksen (N)'!S26*'Invoer gegevens (N)'!$C$18*'Reeksen (N)'!P26,0)</f>
        <v>0</v>
      </c>
      <c r="AU26" s="71">
        <f ca="1">-IF(C26=1,(F26+K26+L26+Q26)/2*'Invoer gegevens (N)'!$F$38*'Reeksen (N)'!H26,0)</f>
        <v>0</v>
      </c>
      <c r="AV26" s="71">
        <v>0</v>
      </c>
      <c r="AW26" s="71">
        <f t="shared" ca="1" si="8"/>
        <v>0</v>
      </c>
      <c r="AX26" s="71">
        <f ca="1">IF(E26&lt;'Invoer gegevens (N)'!$C$17+15,0,IF(E26&gt;'Invoer gegevens (N)'!$C$17+215,0,AW26))</f>
        <v>0</v>
      </c>
      <c r="AY26" s="71">
        <f ca="1">AX26/(1+'Invoer gegevens (N)'!$F$18)^($AZ26-('Invoer gegevens (N)'!$C$17-'Invoer gegevens (N)'!$C$16))/(1+'Invoer gegevens (N)'!$C$39)^('Invoer gegevens (N)'!$C$17-'Invoer gegevens (N)'!$C$16)</f>
        <v>0</v>
      </c>
      <c r="AZ26" s="68">
        <f ca="1">IF(E26-'Invoer gegevens (N)'!$C$17-14.5&lt;0,0,E26-'Invoer gegevens (N)'!$C$17-14.5)</f>
        <v>6.5</v>
      </c>
    </row>
    <row r="27" spans="1:52" x14ac:dyDescent="0.25">
      <c r="A27" s="59"/>
      <c r="B27" s="70">
        <f t="shared" si="9"/>
        <v>23</v>
      </c>
      <c r="C27" s="67">
        <f ca="1">IF(E27-'Invoer gegevens (N)'!$C$17&lt;0,0,1)</f>
        <v>1</v>
      </c>
      <c r="D27" s="68">
        <f t="shared" si="10"/>
        <v>22.5</v>
      </c>
      <c r="E27" s="69">
        <f ca="1">IF('Invoer gegevens (N)'!$C$16="","",E26+1)</f>
        <v>2041</v>
      </c>
      <c r="F27" s="84">
        <f ca="1">IF('Invoer gegevens (N)'!$C$17=E27,'Invoer gegevens (N)'!$C$10,IF(C27=1,K26,0))</f>
        <v>0</v>
      </c>
      <c r="G27" s="96">
        <f ca="1">IF(C27&gt;=1,F27*VLOOKUP(E27,'Reeksen (N)'!$A$5:$B$76,2),0)</f>
        <v>0</v>
      </c>
      <c r="H27" s="84">
        <f ca="1">(1-('Invoer gegevens (N)'!$F$20/12))*F27*MIN('Reeksen (N)'!B27,'Reeksen (N)'!D27)</f>
        <v>0</v>
      </c>
      <c r="I27" s="84">
        <f>IF('Reeksen (N)'!D27&lt;'Reeksen (N)'!B27,('Reeksen (N)'!B27-'Reeksen (N)'!D27)*F27,0)</f>
        <v>0</v>
      </c>
      <c r="J27" s="84">
        <f ca="1">('Invoer gegevens (N)'!$F$20/12)*F26*MIN('Reeksen (N)'!B26,'Reeksen (N)'!D26)</f>
        <v>0</v>
      </c>
      <c r="K27" s="97">
        <f t="shared" ca="1" si="0"/>
        <v>0</v>
      </c>
      <c r="L27" s="84">
        <f ca="1">IF('Invoer gegevens (N)'!$C$17=E27,0,IF(C27=1,Q26,0))</f>
        <v>0</v>
      </c>
      <c r="M27" s="96">
        <f ca="1">IF(C27&gt;=1,L27*VLOOKUP(E27,'Reeksen (N)'!$A$5:$B$76,2),0)</f>
        <v>0</v>
      </c>
      <c r="N27" s="84">
        <f ca="1">(1-('Invoer gegevens (N)'!$F$20/12))*L27*MIN('Reeksen (N)'!B27,'Reeksen (N)'!D27)</f>
        <v>0</v>
      </c>
      <c r="O27" s="84">
        <f>IF('Reeksen (N)'!D27&lt;'Reeksen (N)'!B27,('Reeksen (N)'!B27-'Reeksen (N)'!D27)*L27,0)</f>
        <v>0</v>
      </c>
      <c r="P27" s="84">
        <f ca="1">('Invoer gegevens (N)'!$F$20/12)*L26*MIN('Reeksen (N)'!B26,'Reeksen (N)'!D26)</f>
        <v>0</v>
      </c>
      <c r="Q27" s="84">
        <f t="shared" ca="1" si="1"/>
        <v>0</v>
      </c>
      <c r="R27" s="82">
        <f ca="1">IF('Invoer gegevens (N)'!$C$17=E27,'Invoer gegevens (N)'!$C$11,IF(C27=1,W26,0))</f>
        <v>0</v>
      </c>
      <c r="S27" s="86">
        <f ca="1">IF(C27&gt;=1,R27*VLOOKUP(E27,'Reeksen (N)'!$A$5:$B$76,2),0)</f>
        <v>0</v>
      </c>
      <c r="T27" s="84">
        <f ca="1">(1-('Invoer gegevens (N)'!$F$20/12))*R27*MIN('Reeksen (N)'!B27,'Reeksen (N)'!D27)</f>
        <v>0</v>
      </c>
      <c r="U27" s="84">
        <f>IF('Reeksen (N)'!D27&gt;='Reeksen (N)'!B27,0,IF('Reeksen (N)'!AD27&lt;='Reeksen (N)'!AE27,('Reeksen (N)'!B27-'Reeksen (N)'!D27)*R27,0))</f>
        <v>0</v>
      </c>
      <c r="V27" s="86">
        <f>IF('Reeksen (N)'!D27&gt;='Reeksen (N)'!B27,0,IF('Reeksen (N)'!AD27&gt;'Reeksen (N)'!AE27,('Reeksen (N)'!B27-'Reeksen (N)'!D27)*R27,0))</f>
        <v>0</v>
      </c>
      <c r="W27" s="97">
        <f t="shared" ca="1" si="2"/>
        <v>0</v>
      </c>
      <c r="X27" s="98">
        <f ca="1">IF('Invoer gegevens (N)'!$C$17=E27,'Invoer gegevens (N)'!$C$10-'Invoer gegevens (N)'!$C$11,IF(C27=1,AC26,0))</f>
        <v>0</v>
      </c>
      <c r="Y27" s="98">
        <f ca="1">IF(C27&gt;=1,X27*VLOOKUP(E27,'Reeksen (N)'!$A$5:$B$76,2),0)</f>
        <v>0</v>
      </c>
      <c r="Z27" s="98">
        <f ca="1">(1-('Invoer gegevens (N)'!$F$20/12))*X27*MIN('Reeksen (N)'!B27,'Reeksen (N)'!D27)</f>
        <v>0</v>
      </c>
      <c r="AA27" s="98">
        <f>IF('Reeksen (N)'!D27&gt;='Reeksen (N)'!B27,0,IF('Reeksen (N)'!AD27&lt;='Reeksen (N)'!AE27,('Reeksen (N)'!B27-'Reeksen (N)'!D27)*X27,0))</f>
        <v>0</v>
      </c>
      <c r="AB27" s="98">
        <f>IF('Reeksen (N)'!D27&gt;='Reeksen (N)'!B27,0,IF('Reeksen (N)'!AD27&gt;'Reeksen (N)'!AE27,('Reeksen (N)'!B27-'Reeksen (N)'!D27)*X27,0))</f>
        <v>0</v>
      </c>
      <c r="AC27" s="99">
        <f t="shared" ca="1" si="3"/>
        <v>0</v>
      </c>
      <c r="AD27" s="98">
        <f ca="1">IF('Invoer gegevens (N)'!$C$17=E27,R27,IF(C27=0,0,AE26))</f>
        <v>0</v>
      </c>
      <c r="AE27" s="98">
        <f t="shared" ca="1" si="4"/>
        <v>0</v>
      </c>
      <c r="AF27" s="98">
        <f ca="1">IF('Invoer gegevens (N)'!$C$17=E27,X27,IF(C27=0,0,AG26))</f>
        <v>0</v>
      </c>
      <c r="AG27" s="98">
        <f t="shared" ca="1" si="5"/>
        <v>0</v>
      </c>
      <c r="AH27" s="66"/>
      <c r="AI27" s="71">
        <f ca="1">IF(C27=1,'Reeksen (N)'!AI27*((F27-G27+F27)/2)*12+'Reeksen (N)'!AD27*((L27-M27+L27)/2)*12,0)</f>
        <v>0</v>
      </c>
      <c r="AJ27" s="71">
        <f ca="1">-AI27*'Invoer gegevens (N)'!$F$28</f>
        <v>0</v>
      </c>
      <c r="AK27" s="71">
        <f t="shared" ca="1" si="6"/>
        <v>0</v>
      </c>
      <c r="AL27" s="71">
        <f ca="1">IF(C27=1,'Reeksen (N)'!AL27*((F27-G27+F27)/2)*12+'Reeksen (N)'!AM27*((L27-M27+L27)/2)*12,0)</f>
        <v>0</v>
      </c>
      <c r="AM27" s="71">
        <f ca="1">-AL27*'Invoer gegevens (N)'!$F$31</f>
        <v>0</v>
      </c>
      <c r="AN27" s="71">
        <f t="shared" ca="1" si="7"/>
        <v>0</v>
      </c>
      <c r="AO27" s="71">
        <f ca="1">IF(C27=1,(H27+J27+N27+P27)*'Reeksen (N)'!AN27,0)</f>
        <v>0</v>
      </c>
      <c r="AP27" s="71">
        <f ca="1">-IF(C27=1,(H27+J27+N27+P27)*'Hulp - basis'!$O$550*'Reeksen (N)'!H27,0)</f>
        <v>0</v>
      </c>
      <c r="AQ27" s="71">
        <f ca="1">-IF(C27=1,(F27+K27+L27+Q27)/2*'Invoer gegevens (N)'!$F$35*'Reeksen (N)'!J27,0)*2</f>
        <v>0</v>
      </c>
      <c r="AR27" s="71"/>
      <c r="AS27" s="71">
        <f ca="1">-IF(C27=1,(F27+K27+L27+Q27)/2*'Invoer gegevens (N)'!$F$37*'Reeksen (N)'!L27,0)</f>
        <v>0</v>
      </c>
      <c r="AT27" s="71">
        <f ca="1">-IF(C27=1,IF(E27='Invoer gegevens (N)'!$C$17,'Invoer gegevens (N)'!$C$11,AD27)*'Reeksen (N)'!S27*'Invoer gegevens (N)'!$C$18*'Reeksen (N)'!P27,0)</f>
        <v>0</v>
      </c>
      <c r="AU27" s="71">
        <f ca="1">-IF(C27=1,(F27+K27+L27+Q27)/2*'Invoer gegevens (N)'!$F$38*'Reeksen (N)'!H27,0)</f>
        <v>0</v>
      </c>
      <c r="AV27" s="71">
        <v>0</v>
      </c>
      <c r="AW27" s="71">
        <f t="shared" ca="1" si="8"/>
        <v>0</v>
      </c>
      <c r="AX27" s="71">
        <f ca="1">IF(E27&lt;'Invoer gegevens (N)'!$C$17+15,0,IF(E27&gt;'Invoer gegevens (N)'!$C$17+215,0,AW27))</f>
        <v>0</v>
      </c>
      <c r="AY27" s="71">
        <f ca="1">AX27/(1+'Invoer gegevens (N)'!$F$18)^($AZ27-('Invoer gegevens (N)'!$C$17-'Invoer gegevens (N)'!$C$16))/(1+'Invoer gegevens (N)'!$C$39)^('Invoer gegevens (N)'!$C$17-'Invoer gegevens (N)'!$C$16)</f>
        <v>0</v>
      </c>
      <c r="AZ27" s="68">
        <f ca="1">IF(E27-'Invoer gegevens (N)'!$C$17-14.5&lt;0,0,E27-'Invoer gegevens (N)'!$C$17-14.5)</f>
        <v>7.5</v>
      </c>
    </row>
    <row r="28" spans="1:52" x14ac:dyDescent="0.25">
      <c r="A28" s="59"/>
      <c r="B28" s="70">
        <f t="shared" si="9"/>
        <v>24</v>
      </c>
      <c r="C28" s="67">
        <f ca="1">IF(E28-'Invoer gegevens (N)'!$C$17&lt;0,0,1)</f>
        <v>1</v>
      </c>
      <c r="D28" s="68">
        <f t="shared" si="10"/>
        <v>23.5</v>
      </c>
      <c r="E28" s="69">
        <f ca="1">IF('Invoer gegevens (N)'!$C$16="","",E27+1)</f>
        <v>2042</v>
      </c>
      <c r="F28" s="84">
        <f ca="1">IF('Invoer gegevens (N)'!$C$17=E28,'Invoer gegevens (N)'!$C$10,IF(C28=1,K27,0))</f>
        <v>0</v>
      </c>
      <c r="G28" s="96">
        <f ca="1">IF(C28&gt;=1,F28*VLOOKUP(E28,'Reeksen (N)'!$A$5:$B$76,2),0)</f>
        <v>0</v>
      </c>
      <c r="H28" s="84">
        <f ca="1">(1-('Invoer gegevens (N)'!$F$20/12))*F28*MIN('Reeksen (N)'!B28,'Reeksen (N)'!D28)</f>
        <v>0</v>
      </c>
      <c r="I28" s="84">
        <f>IF('Reeksen (N)'!D28&lt;'Reeksen (N)'!B28,('Reeksen (N)'!B28-'Reeksen (N)'!D28)*F28,0)</f>
        <v>0</v>
      </c>
      <c r="J28" s="84">
        <f ca="1">('Invoer gegevens (N)'!$F$20/12)*F27*MIN('Reeksen (N)'!B27,'Reeksen (N)'!D27)</f>
        <v>0</v>
      </c>
      <c r="K28" s="97">
        <f t="shared" ca="1" si="0"/>
        <v>0</v>
      </c>
      <c r="L28" s="84">
        <f ca="1">IF('Invoer gegevens (N)'!$C$17=E28,0,IF(C28=1,Q27,0))</f>
        <v>0</v>
      </c>
      <c r="M28" s="96">
        <f ca="1">IF(C28&gt;=1,L28*VLOOKUP(E28,'Reeksen (N)'!$A$5:$B$76,2),0)</f>
        <v>0</v>
      </c>
      <c r="N28" s="84">
        <f ca="1">(1-('Invoer gegevens (N)'!$F$20/12))*L28*MIN('Reeksen (N)'!B28,'Reeksen (N)'!D28)</f>
        <v>0</v>
      </c>
      <c r="O28" s="84">
        <f>IF('Reeksen (N)'!D28&lt;'Reeksen (N)'!B28,('Reeksen (N)'!B28-'Reeksen (N)'!D28)*L28,0)</f>
        <v>0</v>
      </c>
      <c r="P28" s="84">
        <f ca="1">('Invoer gegevens (N)'!$F$20/12)*L27*MIN('Reeksen (N)'!B27,'Reeksen (N)'!D27)</f>
        <v>0</v>
      </c>
      <c r="Q28" s="84">
        <f t="shared" ca="1" si="1"/>
        <v>0</v>
      </c>
      <c r="R28" s="82">
        <f ca="1">IF('Invoer gegevens (N)'!$C$17=E28,'Invoer gegevens (N)'!$C$11,IF(C28=1,W27,0))</f>
        <v>0</v>
      </c>
      <c r="S28" s="86">
        <f ca="1">IF(C28&gt;=1,R28*VLOOKUP(E28,'Reeksen (N)'!$A$5:$B$76,2),0)</f>
        <v>0</v>
      </c>
      <c r="T28" s="84">
        <f ca="1">(1-('Invoer gegevens (N)'!$F$20/12))*R28*MIN('Reeksen (N)'!B28,'Reeksen (N)'!D28)</f>
        <v>0</v>
      </c>
      <c r="U28" s="84">
        <f>IF('Reeksen (N)'!D28&gt;='Reeksen (N)'!B28,0,IF('Reeksen (N)'!AD28&lt;='Reeksen (N)'!AE28,('Reeksen (N)'!B28-'Reeksen (N)'!D28)*R28,0))</f>
        <v>0</v>
      </c>
      <c r="V28" s="86">
        <f>IF('Reeksen (N)'!D28&gt;='Reeksen (N)'!B28,0,IF('Reeksen (N)'!AD28&gt;'Reeksen (N)'!AE28,('Reeksen (N)'!B28-'Reeksen (N)'!D28)*R28,0))</f>
        <v>0</v>
      </c>
      <c r="W28" s="97">
        <f t="shared" ca="1" si="2"/>
        <v>0</v>
      </c>
      <c r="X28" s="98">
        <f ca="1">IF('Invoer gegevens (N)'!$C$17=E28,'Invoer gegevens (N)'!$C$10-'Invoer gegevens (N)'!$C$11,IF(C28=1,AC27,0))</f>
        <v>0</v>
      </c>
      <c r="Y28" s="98">
        <f ca="1">IF(C28&gt;=1,X28*VLOOKUP(E28,'Reeksen (N)'!$A$5:$B$76,2),0)</f>
        <v>0</v>
      </c>
      <c r="Z28" s="98">
        <f ca="1">(1-('Invoer gegevens (N)'!$F$20/12))*X28*MIN('Reeksen (N)'!B28,'Reeksen (N)'!D28)</f>
        <v>0</v>
      </c>
      <c r="AA28" s="98">
        <f>IF('Reeksen (N)'!D28&gt;='Reeksen (N)'!B28,0,IF('Reeksen (N)'!AD28&lt;='Reeksen (N)'!AE28,('Reeksen (N)'!B28-'Reeksen (N)'!D28)*X28,0))</f>
        <v>0</v>
      </c>
      <c r="AB28" s="98">
        <f>IF('Reeksen (N)'!D28&gt;='Reeksen (N)'!B28,0,IF('Reeksen (N)'!AD28&gt;'Reeksen (N)'!AE28,('Reeksen (N)'!B28-'Reeksen (N)'!D28)*X28,0))</f>
        <v>0</v>
      </c>
      <c r="AC28" s="99">
        <f t="shared" ca="1" si="3"/>
        <v>0</v>
      </c>
      <c r="AD28" s="98">
        <f ca="1">IF('Invoer gegevens (N)'!$C$17=E28,R28,IF(C28=0,0,AE27))</f>
        <v>0</v>
      </c>
      <c r="AE28" s="98">
        <f t="shared" ca="1" si="4"/>
        <v>0</v>
      </c>
      <c r="AF28" s="98">
        <f ca="1">IF('Invoer gegevens (N)'!$C$17=E28,X28,IF(C28=0,0,AG27))</f>
        <v>0</v>
      </c>
      <c r="AG28" s="98">
        <f t="shared" ca="1" si="5"/>
        <v>0</v>
      </c>
      <c r="AH28" s="66"/>
      <c r="AI28" s="71">
        <f ca="1">IF(C28=1,'Reeksen (N)'!AI28*((F28-G28+F28)/2)*12+'Reeksen (N)'!AD28*((L28-M28+L28)/2)*12,0)</f>
        <v>0</v>
      </c>
      <c r="AJ28" s="71">
        <f ca="1">-AI28*'Invoer gegevens (N)'!$F$28</f>
        <v>0</v>
      </c>
      <c r="AK28" s="71">
        <f t="shared" ca="1" si="6"/>
        <v>0</v>
      </c>
      <c r="AL28" s="71">
        <f ca="1">IF(C28=1,'Reeksen (N)'!AL28*((F28-G28+F28)/2)*12+'Reeksen (N)'!AM28*((L28-M28+L28)/2)*12,0)</f>
        <v>0</v>
      </c>
      <c r="AM28" s="71">
        <f ca="1">-AL28*'Invoer gegevens (N)'!$F$31</f>
        <v>0</v>
      </c>
      <c r="AN28" s="71">
        <f t="shared" ca="1" si="7"/>
        <v>0</v>
      </c>
      <c r="AO28" s="71">
        <f ca="1">IF(C28=1,(H28+J28+N28+P28)*'Reeksen (N)'!AN28,0)</f>
        <v>0</v>
      </c>
      <c r="AP28" s="71">
        <f ca="1">-IF(C28=1,(H28+J28+N28+P28)*'Hulp - basis'!$O$550*'Reeksen (N)'!H28,0)</f>
        <v>0</v>
      </c>
      <c r="AQ28" s="71">
        <f ca="1">-IF(C28=1,(F28+K28+L28+Q28)/2*'Invoer gegevens (N)'!$F$35*'Reeksen (N)'!J28,0)*2</f>
        <v>0</v>
      </c>
      <c r="AR28" s="71"/>
      <c r="AS28" s="71">
        <f ca="1">-IF(C28=1,(F28+K28+L28+Q28)/2*'Invoer gegevens (N)'!$F$37*'Reeksen (N)'!L28,0)</f>
        <v>0</v>
      </c>
      <c r="AT28" s="71">
        <f ca="1">-IF(C28=1,IF(E28='Invoer gegevens (N)'!$C$17,'Invoer gegevens (N)'!$C$11,AD28)*'Reeksen (N)'!S28*'Invoer gegevens (N)'!$C$18*'Reeksen (N)'!P28,0)</f>
        <v>0</v>
      </c>
      <c r="AU28" s="71">
        <f ca="1">-IF(C28=1,(F28+K28+L28+Q28)/2*'Invoer gegevens (N)'!$F$38*'Reeksen (N)'!H28,0)</f>
        <v>0</v>
      </c>
      <c r="AV28" s="71">
        <v>0</v>
      </c>
      <c r="AW28" s="71">
        <f t="shared" ca="1" si="8"/>
        <v>0</v>
      </c>
      <c r="AX28" s="71">
        <f ca="1">IF(E28&lt;'Invoer gegevens (N)'!$C$17+15,0,IF(E28&gt;'Invoer gegevens (N)'!$C$17+215,0,AW28))</f>
        <v>0</v>
      </c>
      <c r="AY28" s="71">
        <f ca="1">AX28/(1+'Invoer gegevens (N)'!$F$18)^($AZ28-('Invoer gegevens (N)'!$C$17-'Invoer gegevens (N)'!$C$16))/(1+'Invoer gegevens (N)'!$C$39)^('Invoer gegevens (N)'!$C$17-'Invoer gegevens (N)'!$C$16)</f>
        <v>0</v>
      </c>
      <c r="AZ28" s="68">
        <f ca="1">IF(E28-'Invoer gegevens (N)'!$C$17-14.5&lt;0,0,E28-'Invoer gegevens (N)'!$C$17-14.5)</f>
        <v>8.5</v>
      </c>
    </row>
    <row r="29" spans="1:52" x14ac:dyDescent="0.25">
      <c r="A29" s="59"/>
      <c r="B29" s="70">
        <f t="shared" si="9"/>
        <v>25</v>
      </c>
      <c r="C29" s="67">
        <f ca="1">IF(E29-'Invoer gegevens (N)'!$C$17&lt;0,0,1)</f>
        <v>1</v>
      </c>
      <c r="D29" s="68">
        <f t="shared" si="10"/>
        <v>24.5</v>
      </c>
      <c r="E29" s="69">
        <f ca="1">IF('Invoer gegevens (N)'!$C$16="","",E28+1)</f>
        <v>2043</v>
      </c>
      <c r="F29" s="84">
        <f ca="1">IF('Invoer gegevens (N)'!$C$17=E29,'Invoer gegevens (N)'!$C$10,IF(C29=1,K28,0))</f>
        <v>0</v>
      </c>
      <c r="G29" s="96">
        <f ca="1">IF(C29&gt;=1,F29*VLOOKUP(E29,'Reeksen (N)'!$A$5:$B$76,2),0)</f>
        <v>0</v>
      </c>
      <c r="H29" s="84">
        <f ca="1">(1-('Invoer gegevens (N)'!$F$20/12))*F29*MIN('Reeksen (N)'!B29,'Reeksen (N)'!D29)</f>
        <v>0</v>
      </c>
      <c r="I29" s="84">
        <f>IF('Reeksen (N)'!D29&lt;'Reeksen (N)'!B29,('Reeksen (N)'!B29-'Reeksen (N)'!D29)*F29,0)</f>
        <v>0</v>
      </c>
      <c r="J29" s="84">
        <f ca="1">('Invoer gegevens (N)'!$F$20/12)*F28*MIN('Reeksen (N)'!B28,'Reeksen (N)'!D28)</f>
        <v>0</v>
      </c>
      <c r="K29" s="97">
        <f t="shared" ca="1" si="0"/>
        <v>0</v>
      </c>
      <c r="L29" s="84">
        <f ca="1">IF('Invoer gegevens (N)'!$C$17=E29,0,IF(C29=1,Q28,0))</f>
        <v>0</v>
      </c>
      <c r="M29" s="96">
        <f ca="1">IF(C29&gt;=1,L29*VLOOKUP(E29,'Reeksen (N)'!$A$5:$B$76,2),0)</f>
        <v>0</v>
      </c>
      <c r="N29" s="84">
        <f ca="1">(1-('Invoer gegevens (N)'!$F$20/12))*L29*MIN('Reeksen (N)'!B29,'Reeksen (N)'!D29)</f>
        <v>0</v>
      </c>
      <c r="O29" s="84">
        <f>IF('Reeksen (N)'!D29&lt;'Reeksen (N)'!B29,('Reeksen (N)'!B29-'Reeksen (N)'!D29)*L29,0)</f>
        <v>0</v>
      </c>
      <c r="P29" s="84">
        <f ca="1">('Invoer gegevens (N)'!$F$20/12)*L28*MIN('Reeksen (N)'!B28,'Reeksen (N)'!D28)</f>
        <v>0</v>
      </c>
      <c r="Q29" s="84">
        <f t="shared" ca="1" si="1"/>
        <v>0</v>
      </c>
      <c r="R29" s="82">
        <f ca="1">IF('Invoer gegevens (N)'!$C$17=E29,'Invoer gegevens (N)'!$C$11,IF(C29=1,W28,0))</f>
        <v>0</v>
      </c>
      <c r="S29" s="86">
        <f ca="1">IF(C29&gt;=1,R29*VLOOKUP(E29,'Reeksen (N)'!$A$5:$B$76,2),0)</f>
        <v>0</v>
      </c>
      <c r="T29" s="84">
        <f ca="1">(1-('Invoer gegevens (N)'!$F$20/12))*R29*MIN('Reeksen (N)'!B29,'Reeksen (N)'!D29)</f>
        <v>0</v>
      </c>
      <c r="U29" s="84">
        <f>IF('Reeksen (N)'!D29&gt;='Reeksen (N)'!B29,0,IF('Reeksen (N)'!AD29&lt;='Reeksen (N)'!AE29,('Reeksen (N)'!B29-'Reeksen (N)'!D29)*R29,0))</f>
        <v>0</v>
      </c>
      <c r="V29" s="86">
        <f>IF('Reeksen (N)'!D29&gt;='Reeksen (N)'!B29,0,IF('Reeksen (N)'!AD29&gt;'Reeksen (N)'!AE29,('Reeksen (N)'!B29-'Reeksen (N)'!D29)*R29,0))</f>
        <v>0</v>
      </c>
      <c r="W29" s="97">
        <f t="shared" ca="1" si="2"/>
        <v>0</v>
      </c>
      <c r="X29" s="98">
        <f ca="1">IF('Invoer gegevens (N)'!$C$17=E29,'Invoer gegevens (N)'!$C$10-'Invoer gegevens (N)'!$C$11,IF(C29=1,AC28,0))</f>
        <v>0</v>
      </c>
      <c r="Y29" s="98">
        <f ca="1">IF(C29&gt;=1,X29*VLOOKUP(E29,'Reeksen (N)'!$A$5:$B$76,2),0)</f>
        <v>0</v>
      </c>
      <c r="Z29" s="98">
        <f ca="1">(1-('Invoer gegevens (N)'!$F$20/12))*X29*MIN('Reeksen (N)'!B29,'Reeksen (N)'!D29)</f>
        <v>0</v>
      </c>
      <c r="AA29" s="98">
        <f>IF('Reeksen (N)'!D29&gt;='Reeksen (N)'!B29,0,IF('Reeksen (N)'!AD29&lt;='Reeksen (N)'!AE29,('Reeksen (N)'!B29-'Reeksen (N)'!D29)*X29,0))</f>
        <v>0</v>
      </c>
      <c r="AB29" s="98">
        <f>IF('Reeksen (N)'!D29&gt;='Reeksen (N)'!B29,0,IF('Reeksen (N)'!AD29&gt;'Reeksen (N)'!AE29,('Reeksen (N)'!B29-'Reeksen (N)'!D29)*X29,0))</f>
        <v>0</v>
      </c>
      <c r="AC29" s="99">
        <f t="shared" ca="1" si="3"/>
        <v>0</v>
      </c>
      <c r="AD29" s="98">
        <f ca="1">IF('Invoer gegevens (N)'!$C$17=E29,R29,IF(C29=0,0,AE28))</f>
        <v>0</v>
      </c>
      <c r="AE29" s="98">
        <f t="shared" ca="1" si="4"/>
        <v>0</v>
      </c>
      <c r="AF29" s="98">
        <f ca="1">IF('Invoer gegevens (N)'!$C$17=E29,X29,IF(C29=0,0,AG28))</f>
        <v>0</v>
      </c>
      <c r="AG29" s="98">
        <f t="shared" ca="1" si="5"/>
        <v>0</v>
      </c>
      <c r="AH29" s="66"/>
      <c r="AI29" s="71">
        <f ca="1">IF(C29=1,'Reeksen (N)'!AI29*((F29-G29+F29)/2)*12+'Reeksen (N)'!AD29*((L29-M29+L29)/2)*12,0)</f>
        <v>0</v>
      </c>
      <c r="AJ29" s="71">
        <f ca="1">-AI29*'Invoer gegevens (N)'!$F$28</f>
        <v>0</v>
      </c>
      <c r="AK29" s="71">
        <f t="shared" ca="1" si="6"/>
        <v>0</v>
      </c>
      <c r="AL29" s="71">
        <f ca="1">IF(C29=1,'Reeksen (N)'!AL29*((F29-G29+F29)/2)*12+'Reeksen (N)'!AM29*((L29-M29+L29)/2)*12,0)</f>
        <v>0</v>
      </c>
      <c r="AM29" s="71">
        <f ca="1">-AL29*'Invoer gegevens (N)'!$F$31</f>
        <v>0</v>
      </c>
      <c r="AN29" s="71">
        <f t="shared" ca="1" si="7"/>
        <v>0</v>
      </c>
      <c r="AO29" s="71">
        <f ca="1">IF(C29=1,(H29+J29+N29+P29)*'Reeksen (N)'!AN29,0)</f>
        <v>0</v>
      </c>
      <c r="AP29" s="71">
        <f ca="1">-IF(C29=1,(H29+J29+N29+P29)*'Hulp - basis'!$O$550*'Reeksen (N)'!H29,0)</f>
        <v>0</v>
      </c>
      <c r="AQ29" s="71">
        <f ca="1">-IF(C29=1,(F29+K29+L29+Q29)/2*'Invoer gegevens (N)'!$F$35*'Reeksen (N)'!J29,0)*2</f>
        <v>0</v>
      </c>
      <c r="AR29" s="71"/>
      <c r="AS29" s="71">
        <f ca="1">-IF(C29=1,(F29+K29+L29+Q29)/2*'Invoer gegevens (N)'!$F$37*'Reeksen (N)'!L29,0)</f>
        <v>0</v>
      </c>
      <c r="AT29" s="71">
        <f ca="1">-IF(C29=1,IF(E29='Invoer gegevens (N)'!$C$17,'Invoer gegevens (N)'!$C$11,AD29)*'Reeksen (N)'!S29*'Invoer gegevens (N)'!$C$18*'Reeksen (N)'!P29,0)</f>
        <v>0</v>
      </c>
      <c r="AU29" s="71">
        <f ca="1">-IF(C29=1,(F29+K29+L29+Q29)/2*'Invoer gegevens (N)'!$F$38*'Reeksen (N)'!H29,0)</f>
        <v>0</v>
      </c>
      <c r="AV29" s="71">
        <v>0</v>
      </c>
      <c r="AW29" s="71">
        <f t="shared" ca="1" si="8"/>
        <v>0</v>
      </c>
      <c r="AX29" s="71">
        <f ca="1">IF(E29&lt;'Invoer gegevens (N)'!$C$17+15,0,IF(E29&gt;'Invoer gegevens (N)'!$C$17+215,0,AW29))</f>
        <v>0</v>
      </c>
      <c r="AY29" s="71">
        <f ca="1">AX29/(1+'Invoer gegevens (N)'!$F$18)^($AZ29-('Invoer gegevens (N)'!$C$17-'Invoer gegevens (N)'!$C$16))/(1+'Invoer gegevens (N)'!$C$39)^('Invoer gegevens (N)'!$C$17-'Invoer gegevens (N)'!$C$16)</f>
        <v>0</v>
      </c>
      <c r="AZ29" s="68">
        <f ca="1">IF(E29-'Invoer gegevens (N)'!$C$17-14.5&lt;0,0,E29-'Invoer gegevens (N)'!$C$17-14.5)</f>
        <v>9.5</v>
      </c>
    </row>
    <row r="30" spans="1:52" x14ac:dyDescent="0.25">
      <c r="A30" s="59"/>
      <c r="B30" s="70">
        <f t="shared" si="9"/>
        <v>26</v>
      </c>
      <c r="C30" s="67">
        <f ca="1">IF(E30-'Invoer gegevens (N)'!$C$17&lt;0,0,1)</f>
        <v>1</v>
      </c>
      <c r="D30" s="68">
        <f t="shared" si="10"/>
        <v>25.5</v>
      </c>
      <c r="E30" s="69">
        <f ca="1">IF('Invoer gegevens (N)'!$C$16="","",E29+1)</f>
        <v>2044</v>
      </c>
      <c r="F30" s="84">
        <f ca="1">IF('Invoer gegevens (N)'!$C$17=E30,'Invoer gegevens (N)'!$C$10,IF(C30=1,K29,0))</f>
        <v>0</v>
      </c>
      <c r="G30" s="96">
        <f ca="1">IF(C30&gt;=1,F30*VLOOKUP(E30,'Reeksen (N)'!$A$5:$B$76,2),0)</f>
        <v>0</v>
      </c>
      <c r="H30" s="84">
        <f ca="1">(1-('Invoer gegevens (N)'!$F$20/12))*F30*MIN('Reeksen (N)'!B30,'Reeksen (N)'!D30)</f>
        <v>0</v>
      </c>
      <c r="I30" s="84">
        <f>IF('Reeksen (N)'!D30&lt;'Reeksen (N)'!B30,('Reeksen (N)'!B30-'Reeksen (N)'!D30)*F30,0)</f>
        <v>0</v>
      </c>
      <c r="J30" s="84">
        <f ca="1">('Invoer gegevens (N)'!$F$20/12)*F29*MIN('Reeksen (N)'!B29,'Reeksen (N)'!D29)</f>
        <v>0</v>
      </c>
      <c r="K30" s="97">
        <f t="shared" ca="1" si="0"/>
        <v>0</v>
      </c>
      <c r="L30" s="84">
        <f ca="1">IF('Invoer gegevens (N)'!$C$17=E30,0,IF(C30=1,Q29,0))</f>
        <v>0</v>
      </c>
      <c r="M30" s="96">
        <f ca="1">IF(C30&gt;=1,L30*VLOOKUP(E30,'Reeksen (N)'!$A$5:$B$76,2),0)</f>
        <v>0</v>
      </c>
      <c r="N30" s="84">
        <f ca="1">(1-('Invoer gegevens (N)'!$F$20/12))*L30*MIN('Reeksen (N)'!B30,'Reeksen (N)'!D30)</f>
        <v>0</v>
      </c>
      <c r="O30" s="84">
        <f>IF('Reeksen (N)'!D30&lt;'Reeksen (N)'!B30,('Reeksen (N)'!B30-'Reeksen (N)'!D30)*L30,0)</f>
        <v>0</v>
      </c>
      <c r="P30" s="84">
        <f ca="1">('Invoer gegevens (N)'!$F$20/12)*L29*MIN('Reeksen (N)'!B29,'Reeksen (N)'!D29)</f>
        <v>0</v>
      </c>
      <c r="Q30" s="84">
        <f t="shared" ca="1" si="1"/>
        <v>0</v>
      </c>
      <c r="R30" s="82">
        <f ca="1">IF('Invoer gegevens (N)'!$C$17=E30,'Invoer gegevens (N)'!$C$11,IF(C30=1,W29,0))</f>
        <v>0</v>
      </c>
      <c r="S30" s="86">
        <f ca="1">IF(C30&gt;=1,R30*VLOOKUP(E30,'Reeksen (N)'!$A$5:$B$76,2),0)</f>
        <v>0</v>
      </c>
      <c r="T30" s="84">
        <f ca="1">(1-('Invoer gegevens (N)'!$F$20/12))*R30*MIN('Reeksen (N)'!B30,'Reeksen (N)'!D30)</f>
        <v>0</v>
      </c>
      <c r="U30" s="84">
        <f>IF('Reeksen (N)'!D30&gt;='Reeksen (N)'!B30,0,IF('Reeksen (N)'!AD30&lt;='Reeksen (N)'!AE30,('Reeksen (N)'!B30-'Reeksen (N)'!D30)*R30,0))</f>
        <v>0</v>
      </c>
      <c r="V30" s="86">
        <f>IF('Reeksen (N)'!D30&gt;='Reeksen (N)'!B30,0,IF('Reeksen (N)'!AD30&gt;'Reeksen (N)'!AE30,('Reeksen (N)'!B30-'Reeksen (N)'!D30)*R30,0))</f>
        <v>0</v>
      </c>
      <c r="W30" s="97">
        <f t="shared" ca="1" si="2"/>
        <v>0</v>
      </c>
      <c r="X30" s="98">
        <f ca="1">IF('Invoer gegevens (N)'!$C$17=E30,'Invoer gegevens (N)'!$C$10-'Invoer gegevens (N)'!$C$11,IF(C30=1,AC29,0))</f>
        <v>0</v>
      </c>
      <c r="Y30" s="98">
        <f ca="1">IF(C30&gt;=1,X30*VLOOKUP(E30,'Reeksen (N)'!$A$5:$B$76,2),0)</f>
        <v>0</v>
      </c>
      <c r="Z30" s="98">
        <f ca="1">(1-('Invoer gegevens (N)'!$F$20/12))*X30*MIN('Reeksen (N)'!B30,'Reeksen (N)'!D30)</f>
        <v>0</v>
      </c>
      <c r="AA30" s="98">
        <f>IF('Reeksen (N)'!D30&gt;='Reeksen (N)'!B30,0,IF('Reeksen (N)'!AD30&lt;='Reeksen (N)'!AE30,('Reeksen (N)'!B30-'Reeksen (N)'!D30)*X30,0))</f>
        <v>0</v>
      </c>
      <c r="AB30" s="98">
        <f>IF('Reeksen (N)'!D30&gt;='Reeksen (N)'!B30,0,IF('Reeksen (N)'!AD30&gt;'Reeksen (N)'!AE30,('Reeksen (N)'!B30-'Reeksen (N)'!D30)*X30,0))</f>
        <v>0</v>
      </c>
      <c r="AC30" s="99">
        <f t="shared" ca="1" si="3"/>
        <v>0</v>
      </c>
      <c r="AD30" s="98">
        <f ca="1">IF('Invoer gegevens (N)'!$C$17=E30,R30,IF(C30=0,0,AE29))</f>
        <v>0</v>
      </c>
      <c r="AE30" s="98">
        <f t="shared" ca="1" si="4"/>
        <v>0</v>
      </c>
      <c r="AF30" s="98">
        <f ca="1">IF('Invoer gegevens (N)'!$C$17=E30,X30,IF(C30=0,0,AG29))</f>
        <v>0</v>
      </c>
      <c r="AG30" s="98">
        <f t="shared" ca="1" si="5"/>
        <v>0</v>
      </c>
      <c r="AH30" s="66"/>
      <c r="AI30" s="71">
        <f ca="1">IF(C30=1,'Reeksen (N)'!AI30*((F30-G30+F30)/2)*12+'Reeksen (N)'!AD30*((L30-M30+L30)/2)*12,0)</f>
        <v>0</v>
      </c>
      <c r="AJ30" s="71">
        <f ca="1">-AI30*'Invoer gegevens (N)'!$F$28</f>
        <v>0</v>
      </c>
      <c r="AK30" s="71">
        <f t="shared" ca="1" si="6"/>
        <v>0</v>
      </c>
      <c r="AL30" s="71">
        <f ca="1">IF(C30=1,'Reeksen (N)'!AL30*((F30-G30+F30)/2)*12+'Reeksen (N)'!AM30*((L30-M30+L30)/2)*12,0)</f>
        <v>0</v>
      </c>
      <c r="AM30" s="71">
        <f ca="1">-AL30*'Invoer gegevens (N)'!$F$31</f>
        <v>0</v>
      </c>
      <c r="AN30" s="71">
        <f t="shared" ca="1" si="7"/>
        <v>0</v>
      </c>
      <c r="AO30" s="71">
        <f ca="1">IF(C30=1,(H30+J30+N30+P30)*'Reeksen (N)'!AN30,0)</f>
        <v>0</v>
      </c>
      <c r="AP30" s="71">
        <f ca="1">-IF(C30=1,(H30+J30+N30+P30)*'Hulp - basis'!$O$550*'Reeksen (N)'!H30,0)</f>
        <v>0</v>
      </c>
      <c r="AQ30" s="71">
        <f ca="1">-IF(C30=1,(F30+K30+L30+Q30)/2*'Invoer gegevens (N)'!$F$35*'Reeksen (N)'!J30,0)*2</f>
        <v>0</v>
      </c>
      <c r="AR30" s="71"/>
      <c r="AS30" s="71">
        <f ca="1">-IF(C30=1,(F30+K30+L30+Q30)/2*'Invoer gegevens (N)'!$F$37*'Reeksen (N)'!L30,0)</f>
        <v>0</v>
      </c>
      <c r="AT30" s="71">
        <f ca="1">-IF(C30=1,IF(E30='Invoer gegevens (N)'!$C$17,'Invoer gegevens (N)'!$C$11,AD30)*'Reeksen (N)'!S30*'Invoer gegevens (N)'!$C$18*'Reeksen (N)'!P30,0)</f>
        <v>0</v>
      </c>
      <c r="AU30" s="71">
        <f ca="1">-IF(C30=1,(F30+K30+L30+Q30)/2*'Invoer gegevens (N)'!$F$38*'Reeksen (N)'!H30,0)</f>
        <v>0</v>
      </c>
      <c r="AV30" s="71">
        <v>0</v>
      </c>
      <c r="AW30" s="71">
        <f t="shared" ca="1" si="8"/>
        <v>0</v>
      </c>
      <c r="AX30" s="71">
        <f ca="1">IF(E30&lt;'Invoer gegevens (N)'!$C$17+15,0,IF(E30&gt;'Invoer gegevens (N)'!$C$17+215,0,AW30))</f>
        <v>0</v>
      </c>
      <c r="AY30" s="71">
        <f ca="1">AX30/(1+'Invoer gegevens (N)'!$F$18)^($AZ30-('Invoer gegevens (N)'!$C$17-'Invoer gegevens (N)'!$C$16))/(1+'Invoer gegevens (N)'!$C$39)^('Invoer gegevens (N)'!$C$17-'Invoer gegevens (N)'!$C$16)</f>
        <v>0</v>
      </c>
      <c r="AZ30" s="68">
        <f ca="1">IF(E30-'Invoer gegevens (N)'!$C$17-14.5&lt;0,0,E30-'Invoer gegevens (N)'!$C$17-14.5)</f>
        <v>10.5</v>
      </c>
    </row>
    <row r="31" spans="1:52" x14ac:dyDescent="0.25">
      <c r="A31" s="59"/>
      <c r="B31" s="70">
        <f t="shared" si="9"/>
        <v>27</v>
      </c>
      <c r="C31" s="67">
        <f ca="1">IF(E31-'Invoer gegevens (N)'!$C$17&lt;0,0,1)</f>
        <v>1</v>
      </c>
      <c r="D31" s="68">
        <f t="shared" si="10"/>
        <v>26.5</v>
      </c>
      <c r="E31" s="69">
        <f ca="1">IF('Invoer gegevens (N)'!$C$16="","",E30+1)</f>
        <v>2045</v>
      </c>
      <c r="F31" s="84">
        <f ca="1">IF('Invoer gegevens (N)'!$C$17=E31,'Invoer gegevens (N)'!$C$10,IF(C31=1,K30,0))</f>
        <v>0</v>
      </c>
      <c r="G31" s="96">
        <f ca="1">IF(C31&gt;=1,F31*VLOOKUP(E31,'Reeksen (N)'!$A$5:$B$76,2),0)</f>
        <v>0</v>
      </c>
      <c r="H31" s="84">
        <f ca="1">(1-('Invoer gegevens (N)'!$F$20/12))*F31*MIN('Reeksen (N)'!B31,'Reeksen (N)'!D31)</f>
        <v>0</v>
      </c>
      <c r="I31" s="84">
        <f>IF('Reeksen (N)'!D31&lt;'Reeksen (N)'!B31,('Reeksen (N)'!B31-'Reeksen (N)'!D31)*F31,0)</f>
        <v>0</v>
      </c>
      <c r="J31" s="84">
        <f ca="1">('Invoer gegevens (N)'!$F$20/12)*F30*MIN('Reeksen (N)'!B30,'Reeksen (N)'!D30)</f>
        <v>0</v>
      </c>
      <c r="K31" s="97">
        <f t="shared" ca="1" si="0"/>
        <v>0</v>
      </c>
      <c r="L31" s="84">
        <f ca="1">IF('Invoer gegevens (N)'!$C$17=E31,0,IF(C31=1,Q30,0))</f>
        <v>0</v>
      </c>
      <c r="M31" s="96">
        <f ca="1">IF(C31&gt;=1,L31*VLOOKUP(E31,'Reeksen (N)'!$A$5:$B$76,2),0)</f>
        <v>0</v>
      </c>
      <c r="N31" s="84">
        <f ca="1">(1-('Invoer gegevens (N)'!$F$20/12))*L31*MIN('Reeksen (N)'!B31,'Reeksen (N)'!D31)</f>
        <v>0</v>
      </c>
      <c r="O31" s="84">
        <f>IF('Reeksen (N)'!D31&lt;'Reeksen (N)'!B31,('Reeksen (N)'!B31-'Reeksen (N)'!D31)*L31,0)</f>
        <v>0</v>
      </c>
      <c r="P31" s="84">
        <f ca="1">('Invoer gegevens (N)'!$F$20/12)*L30*MIN('Reeksen (N)'!B30,'Reeksen (N)'!D30)</f>
        <v>0</v>
      </c>
      <c r="Q31" s="84">
        <f t="shared" ca="1" si="1"/>
        <v>0</v>
      </c>
      <c r="R31" s="82">
        <f ca="1">IF('Invoer gegevens (N)'!$C$17=E31,'Invoer gegevens (N)'!$C$11,IF(C31=1,W30,0))</f>
        <v>0</v>
      </c>
      <c r="S31" s="86">
        <f ca="1">IF(C31&gt;=1,R31*VLOOKUP(E31,'Reeksen (N)'!$A$5:$B$76,2),0)</f>
        <v>0</v>
      </c>
      <c r="T31" s="84">
        <f ca="1">(1-('Invoer gegevens (N)'!$F$20/12))*R31*MIN('Reeksen (N)'!B31,'Reeksen (N)'!D31)</f>
        <v>0</v>
      </c>
      <c r="U31" s="84">
        <f>IF('Reeksen (N)'!D31&gt;='Reeksen (N)'!B31,0,IF('Reeksen (N)'!AD31&lt;='Reeksen (N)'!AE31,('Reeksen (N)'!B31-'Reeksen (N)'!D31)*R31,0))</f>
        <v>0</v>
      </c>
      <c r="V31" s="86">
        <f>IF('Reeksen (N)'!D31&gt;='Reeksen (N)'!B31,0,IF('Reeksen (N)'!AD31&gt;'Reeksen (N)'!AE31,('Reeksen (N)'!B31-'Reeksen (N)'!D31)*R31,0))</f>
        <v>0</v>
      </c>
      <c r="W31" s="97">
        <f t="shared" ca="1" si="2"/>
        <v>0</v>
      </c>
      <c r="X31" s="98">
        <f ca="1">IF('Invoer gegevens (N)'!$C$17=E31,'Invoer gegevens (N)'!$C$10-'Invoer gegevens (N)'!$C$11,IF(C31=1,AC30,0))</f>
        <v>0</v>
      </c>
      <c r="Y31" s="98">
        <f ca="1">IF(C31&gt;=1,X31*VLOOKUP(E31,'Reeksen (N)'!$A$5:$B$76,2),0)</f>
        <v>0</v>
      </c>
      <c r="Z31" s="98">
        <f ca="1">(1-('Invoer gegevens (N)'!$F$20/12))*X31*MIN('Reeksen (N)'!B31,'Reeksen (N)'!D31)</f>
        <v>0</v>
      </c>
      <c r="AA31" s="98">
        <f>IF('Reeksen (N)'!D31&gt;='Reeksen (N)'!B31,0,IF('Reeksen (N)'!AD31&lt;='Reeksen (N)'!AE31,('Reeksen (N)'!B31-'Reeksen (N)'!D31)*X31,0))</f>
        <v>0</v>
      </c>
      <c r="AB31" s="98">
        <f>IF('Reeksen (N)'!D31&gt;='Reeksen (N)'!B31,0,IF('Reeksen (N)'!AD31&gt;'Reeksen (N)'!AE31,('Reeksen (N)'!B31-'Reeksen (N)'!D31)*X31,0))</f>
        <v>0</v>
      </c>
      <c r="AC31" s="99">
        <f t="shared" ca="1" si="3"/>
        <v>0</v>
      </c>
      <c r="AD31" s="98">
        <f ca="1">IF('Invoer gegevens (N)'!$C$17=E31,R31,IF(C31=0,0,AE30))</f>
        <v>0</v>
      </c>
      <c r="AE31" s="98">
        <f t="shared" ca="1" si="4"/>
        <v>0</v>
      </c>
      <c r="AF31" s="98">
        <f ca="1">IF('Invoer gegevens (N)'!$C$17=E31,X31,IF(C31=0,0,AG30))</f>
        <v>0</v>
      </c>
      <c r="AG31" s="98">
        <f t="shared" ca="1" si="5"/>
        <v>0</v>
      </c>
      <c r="AH31" s="66"/>
      <c r="AI31" s="71">
        <f ca="1">IF(C31=1,'Reeksen (N)'!AI31*((F31-G31+F31)/2)*12+'Reeksen (N)'!AD31*((L31-M31+L31)/2)*12,0)</f>
        <v>0</v>
      </c>
      <c r="AJ31" s="71">
        <f ca="1">-AI31*'Invoer gegevens (N)'!$F$28</f>
        <v>0</v>
      </c>
      <c r="AK31" s="71">
        <f t="shared" ca="1" si="6"/>
        <v>0</v>
      </c>
      <c r="AL31" s="71">
        <f ca="1">IF(C31=1,'Reeksen (N)'!AL31*((F31-G31+F31)/2)*12+'Reeksen (N)'!AM31*((L31-M31+L31)/2)*12,0)</f>
        <v>0</v>
      </c>
      <c r="AM31" s="71">
        <f ca="1">-AL31*'Invoer gegevens (N)'!$F$31</f>
        <v>0</v>
      </c>
      <c r="AN31" s="71">
        <f t="shared" ca="1" si="7"/>
        <v>0</v>
      </c>
      <c r="AO31" s="71">
        <f ca="1">IF(C31=1,(H31+J31+N31+P31)*'Reeksen (N)'!AN31,0)</f>
        <v>0</v>
      </c>
      <c r="AP31" s="71">
        <f ca="1">-IF(C31=1,(H31+J31+N31+P31)*'Hulp - basis'!$O$550*'Reeksen (N)'!H31,0)</f>
        <v>0</v>
      </c>
      <c r="AQ31" s="71">
        <f ca="1">-IF(C31=1,(F31+K31+L31+Q31)/2*'Invoer gegevens (N)'!$F$35*'Reeksen (N)'!J31,0)*2</f>
        <v>0</v>
      </c>
      <c r="AR31" s="71"/>
      <c r="AS31" s="71">
        <f ca="1">-IF(C31=1,(F31+K31+L31+Q31)/2*'Invoer gegevens (N)'!$F$37*'Reeksen (N)'!L31,0)</f>
        <v>0</v>
      </c>
      <c r="AT31" s="71">
        <f ca="1">-IF(C31=1,IF(E31='Invoer gegevens (N)'!$C$17,'Invoer gegevens (N)'!$C$11,AD31)*'Reeksen (N)'!S31*'Invoer gegevens (N)'!$C$18*'Reeksen (N)'!P31,0)</f>
        <v>0</v>
      </c>
      <c r="AU31" s="71">
        <f ca="1">-IF(C31=1,(F31+K31+L31+Q31)/2*'Invoer gegevens (N)'!$F$38*'Reeksen (N)'!H31,0)</f>
        <v>0</v>
      </c>
      <c r="AV31" s="71">
        <v>0</v>
      </c>
      <c r="AW31" s="71">
        <f t="shared" ca="1" si="8"/>
        <v>0</v>
      </c>
      <c r="AX31" s="71">
        <f ca="1">IF(E31&lt;'Invoer gegevens (N)'!$C$17+15,0,IF(E31&gt;'Invoer gegevens (N)'!$C$17+215,0,AW31))</f>
        <v>0</v>
      </c>
      <c r="AY31" s="71">
        <f ca="1">AX31/(1+'Invoer gegevens (N)'!$F$18)^($AZ31-('Invoer gegevens (N)'!$C$17-'Invoer gegevens (N)'!$C$16))/(1+'Invoer gegevens (N)'!$C$39)^('Invoer gegevens (N)'!$C$17-'Invoer gegevens (N)'!$C$16)</f>
        <v>0</v>
      </c>
      <c r="AZ31" s="68">
        <f ca="1">IF(E31-'Invoer gegevens (N)'!$C$17-14.5&lt;0,0,E31-'Invoer gegevens (N)'!$C$17-14.5)</f>
        <v>11.5</v>
      </c>
    </row>
    <row r="32" spans="1:52" x14ac:dyDescent="0.25">
      <c r="A32" s="59"/>
      <c r="B32" s="70">
        <f t="shared" si="9"/>
        <v>28</v>
      </c>
      <c r="C32" s="67">
        <f ca="1">IF(E32-'Invoer gegevens (N)'!$C$17&lt;0,0,1)</f>
        <v>1</v>
      </c>
      <c r="D32" s="68">
        <f t="shared" si="10"/>
        <v>27.5</v>
      </c>
      <c r="E32" s="69">
        <f ca="1">IF('Invoer gegevens (N)'!$C$16="","",E31+1)</f>
        <v>2046</v>
      </c>
      <c r="F32" s="84">
        <f ca="1">IF('Invoer gegevens (N)'!$C$17=E32,'Invoer gegevens (N)'!$C$10,IF(C32=1,K31,0))</f>
        <v>0</v>
      </c>
      <c r="G32" s="96">
        <f ca="1">IF(C32&gt;=1,F32*VLOOKUP(E32,'Reeksen (N)'!$A$5:$B$76,2),0)</f>
        <v>0</v>
      </c>
      <c r="H32" s="84">
        <f ca="1">(1-('Invoer gegevens (N)'!$F$20/12))*F32*MIN('Reeksen (N)'!B32,'Reeksen (N)'!D32)</f>
        <v>0</v>
      </c>
      <c r="I32" s="84">
        <f>IF('Reeksen (N)'!D32&lt;'Reeksen (N)'!B32,('Reeksen (N)'!B32-'Reeksen (N)'!D32)*F32,0)</f>
        <v>0</v>
      </c>
      <c r="J32" s="84">
        <f ca="1">('Invoer gegevens (N)'!$F$20/12)*F31*MIN('Reeksen (N)'!B31,'Reeksen (N)'!D31)</f>
        <v>0</v>
      </c>
      <c r="K32" s="97">
        <f t="shared" ca="1" si="0"/>
        <v>0</v>
      </c>
      <c r="L32" s="84">
        <f ca="1">IF('Invoer gegevens (N)'!$C$17=E32,0,IF(C32=1,Q31,0))</f>
        <v>0</v>
      </c>
      <c r="M32" s="96">
        <f ca="1">IF(C32&gt;=1,L32*VLOOKUP(E32,'Reeksen (N)'!$A$5:$B$76,2),0)</f>
        <v>0</v>
      </c>
      <c r="N32" s="84">
        <f ca="1">(1-('Invoer gegevens (N)'!$F$20/12))*L32*MIN('Reeksen (N)'!B32,'Reeksen (N)'!D32)</f>
        <v>0</v>
      </c>
      <c r="O32" s="84">
        <f>IF('Reeksen (N)'!D32&lt;'Reeksen (N)'!B32,('Reeksen (N)'!B32-'Reeksen (N)'!D32)*L32,0)</f>
        <v>0</v>
      </c>
      <c r="P32" s="84">
        <f ca="1">('Invoer gegevens (N)'!$F$20/12)*L31*MIN('Reeksen (N)'!B31,'Reeksen (N)'!D31)</f>
        <v>0</v>
      </c>
      <c r="Q32" s="84">
        <f t="shared" ca="1" si="1"/>
        <v>0</v>
      </c>
      <c r="R32" s="82">
        <f ca="1">IF('Invoer gegevens (N)'!$C$17=E32,'Invoer gegevens (N)'!$C$11,IF(C32=1,W31,0))</f>
        <v>0</v>
      </c>
      <c r="S32" s="86">
        <f ca="1">IF(C32&gt;=1,R32*VLOOKUP(E32,'Reeksen (N)'!$A$5:$B$76,2),0)</f>
        <v>0</v>
      </c>
      <c r="T32" s="84">
        <f ca="1">(1-('Invoer gegevens (N)'!$F$20/12))*R32*MIN('Reeksen (N)'!B32,'Reeksen (N)'!D32)</f>
        <v>0</v>
      </c>
      <c r="U32" s="84">
        <f>IF('Reeksen (N)'!D32&gt;='Reeksen (N)'!B32,0,IF('Reeksen (N)'!AD32&lt;='Reeksen (N)'!AE32,('Reeksen (N)'!B32-'Reeksen (N)'!D32)*R32,0))</f>
        <v>0</v>
      </c>
      <c r="V32" s="86">
        <f>IF('Reeksen (N)'!D32&gt;='Reeksen (N)'!B32,0,IF('Reeksen (N)'!AD32&gt;'Reeksen (N)'!AE32,('Reeksen (N)'!B32-'Reeksen (N)'!D32)*R32,0))</f>
        <v>0</v>
      </c>
      <c r="W32" s="97">
        <f t="shared" ca="1" si="2"/>
        <v>0</v>
      </c>
      <c r="X32" s="98">
        <f ca="1">IF('Invoer gegevens (N)'!$C$17=E32,'Invoer gegevens (N)'!$C$10-'Invoer gegevens (N)'!$C$11,IF(C32=1,AC31,0))</f>
        <v>0</v>
      </c>
      <c r="Y32" s="98">
        <f ca="1">IF(C32&gt;=1,X32*VLOOKUP(E32,'Reeksen (N)'!$A$5:$B$76,2),0)</f>
        <v>0</v>
      </c>
      <c r="Z32" s="98">
        <f ca="1">(1-('Invoer gegevens (N)'!$F$20/12))*X32*MIN('Reeksen (N)'!B32,'Reeksen (N)'!D32)</f>
        <v>0</v>
      </c>
      <c r="AA32" s="98">
        <f>IF('Reeksen (N)'!D32&gt;='Reeksen (N)'!B32,0,IF('Reeksen (N)'!AD32&lt;='Reeksen (N)'!AE32,('Reeksen (N)'!B32-'Reeksen (N)'!D32)*X32,0))</f>
        <v>0</v>
      </c>
      <c r="AB32" s="98">
        <f>IF('Reeksen (N)'!D32&gt;='Reeksen (N)'!B32,0,IF('Reeksen (N)'!AD32&gt;'Reeksen (N)'!AE32,('Reeksen (N)'!B32-'Reeksen (N)'!D32)*X32,0))</f>
        <v>0</v>
      </c>
      <c r="AC32" s="99">
        <f t="shared" ca="1" si="3"/>
        <v>0</v>
      </c>
      <c r="AD32" s="98">
        <f ca="1">IF('Invoer gegevens (N)'!$C$17=E32,R32,IF(C32=0,0,AE31))</f>
        <v>0</v>
      </c>
      <c r="AE32" s="98">
        <f t="shared" ca="1" si="4"/>
        <v>0</v>
      </c>
      <c r="AF32" s="98">
        <f ca="1">IF('Invoer gegevens (N)'!$C$17=E32,X32,IF(C32=0,0,AG31))</f>
        <v>0</v>
      </c>
      <c r="AG32" s="98">
        <f t="shared" ca="1" si="5"/>
        <v>0</v>
      </c>
      <c r="AH32" s="66"/>
      <c r="AI32" s="71">
        <f ca="1">IF(C32=1,'Reeksen (N)'!AI32*((F32-G32+F32)/2)*12+'Reeksen (N)'!AD32*((L32-M32+L32)/2)*12,0)</f>
        <v>0</v>
      </c>
      <c r="AJ32" s="71">
        <f ca="1">-AI32*'Invoer gegevens (N)'!$F$28</f>
        <v>0</v>
      </c>
      <c r="AK32" s="71">
        <f t="shared" ca="1" si="6"/>
        <v>0</v>
      </c>
      <c r="AL32" s="71">
        <f ca="1">IF(C32=1,'Reeksen (N)'!AL32*((F32-G32+F32)/2)*12+'Reeksen (N)'!AM32*((L32-M32+L32)/2)*12,0)</f>
        <v>0</v>
      </c>
      <c r="AM32" s="71">
        <f ca="1">-AL32*'Invoer gegevens (N)'!$F$31</f>
        <v>0</v>
      </c>
      <c r="AN32" s="71">
        <f t="shared" ca="1" si="7"/>
        <v>0</v>
      </c>
      <c r="AO32" s="71">
        <f ca="1">IF(C32=1,(H32+J32+N32+P32)*'Reeksen (N)'!AN32,0)</f>
        <v>0</v>
      </c>
      <c r="AP32" s="71">
        <f ca="1">-IF(C32=1,(H32+J32+N32+P32)*'Hulp - basis'!$O$550*'Reeksen (N)'!H32,0)</f>
        <v>0</v>
      </c>
      <c r="AQ32" s="71">
        <f ca="1">-IF(C32=1,(F32+K32+L32+Q32)/2*'Invoer gegevens (N)'!$F$35*'Reeksen (N)'!J32,0)*2</f>
        <v>0</v>
      </c>
      <c r="AR32" s="71"/>
      <c r="AS32" s="71">
        <f ca="1">-IF(C32=1,(F32+K32+L32+Q32)/2*'Invoer gegevens (N)'!$F$37*'Reeksen (N)'!L32,0)</f>
        <v>0</v>
      </c>
      <c r="AT32" s="71">
        <f ca="1">-IF(C32=1,IF(E32='Invoer gegevens (N)'!$C$17,'Invoer gegevens (N)'!$C$11,AD32)*'Reeksen (N)'!S32*'Invoer gegevens (N)'!$C$18*'Reeksen (N)'!P32,0)</f>
        <v>0</v>
      </c>
      <c r="AU32" s="71">
        <f ca="1">-IF(C32=1,(F32+K32+L32+Q32)/2*'Invoer gegevens (N)'!$F$38*'Reeksen (N)'!H32,0)</f>
        <v>0</v>
      </c>
      <c r="AV32" s="71">
        <v>0</v>
      </c>
      <c r="AW32" s="71">
        <f t="shared" ca="1" si="8"/>
        <v>0</v>
      </c>
      <c r="AX32" s="71">
        <f ca="1">IF(E32&lt;'Invoer gegevens (N)'!$C$17+15,0,IF(E32&gt;'Invoer gegevens (N)'!$C$17+215,0,AW32))</f>
        <v>0</v>
      </c>
      <c r="AY32" s="71">
        <f ca="1">AX32/(1+'Invoer gegevens (N)'!$F$18)^($AZ32-('Invoer gegevens (N)'!$C$17-'Invoer gegevens (N)'!$C$16))/(1+'Invoer gegevens (N)'!$C$39)^('Invoer gegevens (N)'!$C$17-'Invoer gegevens (N)'!$C$16)</f>
        <v>0</v>
      </c>
      <c r="AZ32" s="68">
        <f ca="1">IF(E32-'Invoer gegevens (N)'!$C$17-14.5&lt;0,0,E32-'Invoer gegevens (N)'!$C$17-14.5)</f>
        <v>12.5</v>
      </c>
    </row>
    <row r="33" spans="1:52" x14ac:dyDescent="0.25">
      <c r="A33" s="59"/>
      <c r="B33" s="70">
        <f t="shared" si="9"/>
        <v>29</v>
      </c>
      <c r="C33" s="67">
        <f ca="1">IF(E33-'Invoer gegevens (N)'!$C$17&lt;0,0,1)</f>
        <v>1</v>
      </c>
      <c r="D33" s="68">
        <f t="shared" si="10"/>
        <v>28.5</v>
      </c>
      <c r="E33" s="69">
        <f ca="1">IF('Invoer gegevens (N)'!$C$16="","",E32+1)</f>
        <v>2047</v>
      </c>
      <c r="F33" s="84">
        <f ca="1">IF('Invoer gegevens (N)'!$C$17=E33,'Invoer gegevens (N)'!$C$10,IF(C33=1,K32,0))</f>
        <v>0</v>
      </c>
      <c r="G33" s="96">
        <f ca="1">IF(C33&gt;=1,F33*VLOOKUP(E33,'Reeksen (N)'!$A$5:$B$76,2),0)</f>
        <v>0</v>
      </c>
      <c r="H33" s="84">
        <f ca="1">(1-('Invoer gegevens (N)'!$F$20/12))*F33*MIN('Reeksen (N)'!B33,'Reeksen (N)'!D33)</f>
        <v>0</v>
      </c>
      <c r="I33" s="84">
        <f>IF('Reeksen (N)'!D33&lt;'Reeksen (N)'!B33,('Reeksen (N)'!B33-'Reeksen (N)'!D33)*F33,0)</f>
        <v>0</v>
      </c>
      <c r="J33" s="84">
        <f ca="1">('Invoer gegevens (N)'!$F$20/12)*F32*MIN('Reeksen (N)'!B32,'Reeksen (N)'!D32)</f>
        <v>0</v>
      </c>
      <c r="K33" s="97">
        <f t="shared" ca="1" si="0"/>
        <v>0</v>
      </c>
      <c r="L33" s="84">
        <f ca="1">IF('Invoer gegevens (N)'!$C$17=E33,0,IF(C33=1,Q32,0))</f>
        <v>0</v>
      </c>
      <c r="M33" s="96">
        <f ca="1">IF(C33&gt;=1,L33*VLOOKUP(E33,'Reeksen (N)'!$A$5:$B$76,2),0)</f>
        <v>0</v>
      </c>
      <c r="N33" s="84">
        <f ca="1">(1-('Invoer gegevens (N)'!$F$20/12))*L33*MIN('Reeksen (N)'!B33,'Reeksen (N)'!D33)</f>
        <v>0</v>
      </c>
      <c r="O33" s="84">
        <f>IF('Reeksen (N)'!D33&lt;'Reeksen (N)'!B33,('Reeksen (N)'!B33-'Reeksen (N)'!D33)*L33,0)</f>
        <v>0</v>
      </c>
      <c r="P33" s="84">
        <f ca="1">('Invoer gegevens (N)'!$F$20/12)*L32*MIN('Reeksen (N)'!B32,'Reeksen (N)'!D32)</f>
        <v>0</v>
      </c>
      <c r="Q33" s="84">
        <f t="shared" ca="1" si="1"/>
        <v>0</v>
      </c>
      <c r="R33" s="82">
        <f ca="1">IF('Invoer gegevens (N)'!$C$17=E33,'Invoer gegevens (N)'!$C$11,IF(C33=1,W32,0))</f>
        <v>0</v>
      </c>
      <c r="S33" s="86">
        <f ca="1">IF(C33&gt;=1,R33*VLOOKUP(E33,'Reeksen (N)'!$A$5:$B$76,2),0)</f>
        <v>0</v>
      </c>
      <c r="T33" s="84">
        <f ca="1">(1-('Invoer gegevens (N)'!$F$20/12))*R33*MIN('Reeksen (N)'!B33,'Reeksen (N)'!D33)</f>
        <v>0</v>
      </c>
      <c r="U33" s="84">
        <f>IF('Reeksen (N)'!D33&gt;='Reeksen (N)'!B33,0,IF('Reeksen (N)'!AD33&lt;='Reeksen (N)'!AE33,('Reeksen (N)'!B33-'Reeksen (N)'!D33)*R33,0))</f>
        <v>0</v>
      </c>
      <c r="V33" s="86">
        <f>IF('Reeksen (N)'!D33&gt;='Reeksen (N)'!B33,0,IF('Reeksen (N)'!AD33&gt;'Reeksen (N)'!AE33,('Reeksen (N)'!B33-'Reeksen (N)'!D33)*R33,0))</f>
        <v>0</v>
      </c>
      <c r="W33" s="97">
        <f t="shared" ca="1" si="2"/>
        <v>0</v>
      </c>
      <c r="X33" s="98">
        <f ca="1">IF('Invoer gegevens (N)'!$C$17=E33,'Invoer gegevens (N)'!$C$10-'Invoer gegevens (N)'!$C$11,IF(C33=1,AC32,0))</f>
        <v>0</v>
      </c>
      <c r="Y33" s="98">
        <f ca="1">IF(C33&gt;=1,X33*VLOOKUP(E33,'Reeksen (N)'!$A$5:$B$76,2),0)</f>
        <v>0</v>
      </c>
      <c r="Z33" s="98">
        <f ca="1">(1-('Invoer gegevens (N)'!$F$20/12))*X33*MIN('Reeksen (N)'!B33,'Reeksen (N)'!D33)</f>
        <v>0</v>
      </c>
      <c r="AA33" s="98">
        <f>IF('Reeksen (N)'!D33&gt;='Reeksen (N)'!B33,0,IF('Reeksen (N)'!AD33&lt;='Reeksen (N)'!AE33,('Reeksen (N)'!B33-'Reeksen (N)'!D33)*X33,0))</f>
        <v>0</v>
      </c>
      <c r="AB33" s="98">
        <f>IF('Reeksen (N)'!D33&gt;='Reeksen (N)'!B33,0,IF('Reeksen (N)'!AD33&gt;'Reeksen (N)'!AE33,('Reeksen (N)'!B33-'Reeksen (N)'!D33)*X33,0))</f>
        <v>0</v>
      </c>
      <c r="AC33" s="99">
        <f t="shared" ca="1" si="3"/>
        <v>0</v>
      </c>
      <c r="AD33" s="98">
        <f ca="1">IF('Invoer gegevens (N)'!$C$17=E33,R33,IF(C33=0,0,AE32))</f>
        <v>0</v>
      </c>
      <c r="AE33" s="98">
        <f t="shared" ca="1" si="4"/>
        <v>0</v>
      </c>
      <c r="AF33" s="98">
        <f ca="1">IF('Invoer gegevens (N)'!$C$17=E33,X33,IF(C33=0,0,AG32))</f>
        <v>0</v>
      </c>
      <c r="AG33" s="98">
        <f t="shared" ca="1" si="5"/>
        <v>0</v>
      </c>
      <c r="AH33" s="66"/>
      <c r="AI33" s="71">
        <f ca="1">IF(C33=1,'Reeksen (N)'!AI33*((F33-G33+F33)/2)*12+'Reeksen (N)'!AD33*((L33-M33+L33)/2)*12,0)</f>
        <v>0</v>
      </c>
      <c r="AJ33" s="71">
        <f ca="1">-AI33*'Invoer gegevens (N)'!$F$28</f>
        <v>0</v>
      </c>
      <c r="AK33" s="71">
        <f t="shared" ca="1" si="6"/>
        <v>0</v>
      </c>
      <c r="AL33" s="71">
        <f ca="1">IF(C33=1,'Reeksen (N)'!AL33*((F33-G33+F33)/2)*12+'Reeksen (N)'!AM33*((L33-M33+L33)/2)*12,0)</f>
        <v>0</v>
      </c>
      <c r="AM33" s="71">
        <f ca="1">-AL33*'Invoer gegevens (N)'!$F$31</f>
        <v>0</v>
      </c>
      <c r="AN33" s="71">
        <f t="shared" ca="1" si="7"/>
        <v>0</v>
      </c>
      <c r="AO33" s="71">
        <f ca="1">IF(C33=1,(H33+J33+N33+P33)*'Reeksen (N)'!AN33,0)</f>
        <v>0</v>
      </c>
      <c r="AP33" s="71">
        <f ca="1">-IF(C33=1,(H33+J33+N33+P33)*'Hulp - basis'!$O$550*'Reeksen (N)'!H33,0)</f>
        <v>0</v>
      </c>
      <c r="AQ33" s="71">
        <f ca="1">-IF(C33=1,(F33+K33+L33+Q33)/2*'Invoer gegevens (N)'!$F$35*'Reeksen (N)'!J33,0)*2</f>
        <v>0</v>
      </c>
      <c r="AR33" s="71"/>
      <c r="AS33" s="71">
        <f ca="1">-IF(C33=1,(F33+K33+L33+Q33)/2*'Invoer gegevens (N)'!$F$37*'Reeksen (N)'!L33,0)</f>
        <v>0</v>
      </c>
      <c r="AT33" s="71">
        <f ca="1">-IF(C33=1,IF(E33='Invoer gegevens (N)'!$C$17,'Invoer gegevens (N)'!$C$11,AD33)*'Reeksen (N)'!S33*'Invoer gegevens (N)'!$C$18*'Reeksen (N)'!P33,0)</f>
        <v>0</v>
      </c>
      <c r="AU33" s="71">
        <f ca="1">-IF(C33=1,(F33+K33+L33+Q33)/2*'Invoer gegevens (N)'!$F$38*'Reeksen (N)'!H33,0)</f>
        <v>0</v>
      </c>
      <c r="AV33" s="71">
        <v>0</v>
      </c>
      <c r="AW33" s="71">
        <f t="shared" ca="1" si="8"/>
        <v>0</v>
      </c>
      <c r="AX33" s="71">
        <f ca="1">IF(E33&lt;'Invoer gegevens (N)'!$C$17+15,0,IF(E33&gt;'Invoer gegevens (N)'!$C$17+215,0,AW33))</f>
        <v>0</v>
      </c>
      <c r="AY33" s="71">
        <f ca="1">AX33/(1+'Invoer gegevens (N)'!$F$18)^($AZ33-('Invoer gegevens (N)'!$C$17-'Invoer gegevens (N)'!$C$16))/(1+'Invoer gegevens (N)'!$C$39)^('Invoer gegevens (N)'!$C$17-'Invoer gegevens (N)'!$C$16)</f>
        <v>0</v>
      </c>
      <c r="AZ33" s="68">
        <f ca="1">IF(E33-'Invoer gegevens (N)'!$C$17-14.5&lt;0,0,E33-'Invoer gegevens (N)'!$C$17-14.5)</f>
        <v>13.5</v>
      </c>
    </row>
    <row r="34" spans="1:52" x14ac:dyDescent="0.25">
      <c r="A34" s="59"/>
      <c r="B34" s="70">
        <f t="shared" si="9"/>
        <v>30</v>
      </c>
      <c r="C34" s="67">
        <f ca="1">IF(E34-'Invoer gegevens (N)'!$C$17&lt;0,0,1)</f>
        <v>1</v>
      </c>
      <c r="D34" s="68">
        <f t="shared" si="10"/>
        <v>29.5</v>
      </c>
      <c r="E34" s="69">
        <f ca="1">IF('Invoer gegevens (N)'!$C$16="","",E33+1)</f>
        <v>2048</v>
      </c>
      <c r="F34" s="84">
        <f ca="1">IF('Invoer gegevens (N)'!$C$17=E34,'Invoer gegevens (N)'!$C$10,IF(C34=1,K33,0))</f>
        <v>0</v>
      </c>
      <c r="G34" s="96">
        <f ca="1">IF(C34&gt;=1,F34*VLOOKUP(E34,'Reeksen (N)'!$A$5:$B$76,2),0)</f>
        <v>0</v>
      </c>
      <c r="H34" s="84">
        <f ca="1">(1-('Invoer gegevens (N)'!$F$20/12))*F34*MIN('Reeksen (N)'!B34,'Reeksen (N)'!D34)</f>
        <v>0</v>
      </c>
      <c r="I34" s="84">
        <f>IF('Reeksen (N)'!D34&lt;'Reeksen (N)'!B34,('Reeksen (N)'!B34-'Reeksen (N)'!D34)*F34,0)</f>
        <v>0</v>
      </c>
      <c r="J34" s="84">
        <f ca="1">('Invoer gegevens (N)'!$F$20/12)*F33*MIN('Reeksen (N)'!B33,'Reeksen (N)'!D33)</f>
        <v>0</v>
      </c>
      <c r="K34" s="97">
        <f t="shared" ca="1" si="0"/>
        <v>0</v>
      </c>
      <c r="L34" s="84">
        <f ca="1">IF('Invoer gegevens (N)'!$C$17=E34,0,IF(C34=1,Q33,0))</f>
        <v>0</v>
      </c>
      <c r="M34" s="96">
        <f ca="1">IF(C34&gt;=1,L34*VLOOKUP(E34,'Reeksen (N)'!$A$5:$B$76,2),0)</f>
        <v>0</v>
      </c>
      <c r="N34" s="84">
        <f ca="1">(1-('Invoer gegevens (N)'!$F$20/12))*L34*MIN('Reeksen (N)'!B34,'Reeksen (N)'!D34)</f>
        <v>0</v>
      </c>
      <c r="O34" s="84">
        <f>IF('Reeksen (N)'!D34&lt;'Reeksen (N)'!B34,('Reeksen (N)'!B34-'Reeksen (N)'!D34)*L34,0)</f>
        <v>0</v>
      </c>
      <c r="P34" s="84">
        <f ca="1">('Invoer gegevens (N)'!$F$20/12)*L33*MIN('Reeksen (N)'!B33,'Reeksen (N)'!D33)</f>
        <v>0</v>
      </c>
      <c r="Q34" s="84">
        <f t="shared" ca="1" si="1"/>
        <v>0</v>
      </c>
      <c r="R34" s="82">
        <f ca="1">IF('Invoer gegevens (N)'!$C$17=E34,'Invoer gegevens (N)'!$C$11,IF(C34=1,W33,0))</f>
        <v>0</v>
      </c>
      <c r="S34" s="86">
        <f ca="1">IF(C34&gt;=1,R34*VLOOKUP(E34,'Reeksen (N)'!$A$5:$B$76,2),0)</f>
        <v>0</v>
      </c>
      <c r="T34" s="84">
        <f ca="1">(1-('Invoer gegevens (N)'!$F$20/12))*R34*MIN('Reeksen (N)'!B34,'Reeksen (N)'!D34)</f>
        <v>0</v>
      </c>
      <c r="U34" s="84">
        <f>IF('Reeksen (N)'!D34&gt;='Reeksen (N)'!B34,0,IF('Reeksen (N)'!AD34&lt;='Reeksen (N)'!AE34,('Reeksen (N)'!B34-'Reeksen (N)'!D34)*R34,0))</f>
        <v>0</v>
      </c>
      <c r="V34" s="86">
        <f>IF('Reeksen (N)'!D34&gt;='Reeksen (N)'!B34,0,IF('Reeksen (N)'!AD34&gt;'Reeksen (N)'!AE34,('Reeksen (N)'!B34-'Reeksen (N)'!D34)*R34,0))</f>
        <v>0</v>
      </c>
      <c r="W34" s="97">
        <f t="shared" ca="1" si="2"/>
        <v>0</v>
      </c>
      <c r="X34" s="98">
        <f ca="1">IF('Invoer gegevens (N)'!$C$17=E34,'Invoer gegevens (N)'!$C$10-'Invoer gegevens (N)'!$C$11,IF(C34=1,AC33,0))</f>
        <v>0</v>
      </c>
      <c r="Y34" s="98">
        <f ca="1">IF(C34&gt;=1,X34*VLOOKUP(E34,'Reeksen (N)'!$A$5:$B$76,2),0)</f>
        <v>0</v>
      </c>
      <c r="Z34" s="98">
        <f ca="1">(1-('Invoer gegevens (N)'!$F$20/12))*X34*MIN('Reeksen (N)'!B34,'Reeksen (N)'!D34)</f>
        <v>0</v>
      </c>
      <c r="AA34" s="98">
        <f>IF('Reeksen (N)'!D34&gt;='Reeksen (N)'!B34,0,IF('Reeksen (N)'!AD34&lt;='Reeksen (N)'!AE34,('Reeksen (N)'!B34-'Reeksen (N)'!D34)*X34,0))</f>
        <v>0</v>
      </c>
      <c r="AB34" s="98">
        <f>IF('Reeksen (N)'!D34&gt;='Reeksen (N)'!B34,0,IF('Reeksen (N)'!AD34&gt;'Reeksen (N)'!AE34,('Reeksen (N)'!B34-'Reeksen (N)'!D34)*X34,0))</f>
        <v>0</v>
      </c>
      <c r="AC34" s="99">
        <f t="shared" ca="1" si="3"/>
        <v>0</v>
      </c>
      <c r="AD34" s="98">
        <f ca="1">IF('Invoer gegevens (N)'!$C$17=E34,R34,IF(C34=0,0,AE33))</f>
        <v>0</v>
      </c>
      <c r="AE34" s="98">
        <f t="shared" ca="1" si="4"/>
        <v>0</v>
      </c>
      <c r="AF34" s="98">
        <f ca="1">IF('Invoer gegevens (N)'!$C$17=E34,X34,IF(C34=0,0,AG33))</f>
        <v>0</v>
      </c>
      <c r="AG34" s="98">
        <f t="shared" ca="1" si="5"/>
        <v>0</v>
      </c>
      <c r="AH34" s="66"/>
      <c r="AI34" s="71">
        <f ca="1">IF(C34=1,'Reeksen (N)'!AI34*((F34-G34+F34)/2)*12+'Reeksen (N)'!AD34*((L34-M34+L34)/2)*12,0)</f>
        <v>0</v>
      </c>
      <c r="AJ34" s="71">
        <f ca="1">-AI34*'Invoer gegevens (N)'!$F$28</f>
        <v>0</v>
      </c>
      <c r="AK34" s="71">
        <f t="shared" ca="1" si="6"/>
        <v>0</v>
      </c>
      <c r="AL34" s="71">
        <f ca="1">IF(C34=1,'Reeksen (N)'!AL34*((F34-G34+F34)/2)*12+'Reeksen (N)'!AM34*((L34-M34+L34)/2)*12,0)</f>
        <v>0</v>
      </c>
      <c r="AM34" s="71">
        <f ca="1">-AL34*'Invoer gegevens (N)'!$F$31</f>
        <v>0</v>
      </c>
      <c r="AN34" s="71">
        <f t="shared" ca="1" si="7"/>
        <v>0</v>
      </c>
      <c r="AO34" s="71">
        <f ca="1">IF(C34=1,(H34+J34+N34+P34)*'Reeksen (N)'!AN34,0)</f>
        <v>0</v>
      </c>
      <c r="AP34" s="71">
        <f ca="1">-IF(C34=1,(H34+J34+N34+P34)*'Hulp - basis'!$O$550*'Reeksen (N)'!H34,0)</f>
        <v>0</v>
      </c>
      <c r="AQ34" s="71">
        <f ca="1">-IF(C34=1,(F34+K34+L34+Q34)/2*'Invoer gegevens (N)'!$F$35*'Reeksen (N)'!J34,0)*2</f>
        <v>0</v>
      </c>
      <c r="AR34" s="71"/>
      <c r="AS34" s="71">
        <f ca="1">-IF(C34=1,(F34+K34+L34+Q34)/2*'Invoer gegevens (N)'!$F$37*'Reeksen (N)'!L34,0)</f>
        <v>0</v>
      </c>
      <c r="AT34" s="71">
        <f ca="1">-IF(C34=1,IF(E34='Invoer gegevens (N)'!$C$17,'Invoer gegevens (N)'!$C$11,AD34)*'Reeksen (N)'!S34*'Invoer gegevens (N)'!$C$18*'Reeksen (N)'!P34,0)</f>
        <v>0</v>
      </c>
      <c r="AU34" s="71">
        <f ca="1">-IF(C34=1,(F34+K34+L34+Q34)/2*'Invoer gegevens (N)'!$F$38*'Reeksen (N)'!H34,0)</f>
        <v>0</v>
      </c>
      <c r="AV34" s="71">
        <v>0</v>
      </c>
      <c r="AW34" s="71">
        <f t="shared" ca="1" si="8"/>
        <v>0</v>
      </c>
      <c r="AX34" s="71">
        <f ca="1">IF(E34&lt;'Invoer gegevens (N)'!$C$17+15,0,IF(E34&gt;'Invoer gegevens (N)'!$C$17+215,0,AW34))</f>
        <v>0</v>
      </c>
      <c r="AY34" s="71">
        <f ca="1">AX34/(1+'Invoer gegevens (N)'!$F$18)^($AZ34-('Invoer gegevens (N)'!$C$17-'Invoer gegevens (N)'!$C$16))/(1+'Invoer gegevens (N)'!$C$39)^('Invoer gegevens (N)'!$C$17-'Invoer gegevens (N)'!$C$16)</f>
        <v>0</v>
      </c>
      <c r="AZ34" s="68">
        <f ca="1">IF(E34-'Invoer gegevens (N)'!$C$17-14.5&lt;0,0,E34-'Invoer gegevens (N)'!$C$17-14.5)</f>
        <v>14.5</v>
      </c>
    </row>
    <row r="35" spans="1:52" x14ac:dyDescent="0.25">
      <c r="A35" s="59"/>
      <c r="B35" s="70">
        <f t="shared" si="9"/>
        <v>31</v>
      </c>
      <c r="C35" s="67">
        <f ca="1">IF(E35-'Invoer gegevens (N)'!$C$17&lt;0,0,1)</f>
        <v>1</v>
      </c>
      <c r="D35" s="68">
        <f t="shared" si="10"/>
        <v>30.5</v>
      </c>
      <c r="E35" s="69">
        <f ca="1">IF('Invoer gegevens (N)'!$C$16="","",E34+1)</f>
        <v>2049</v>
      </c>
      <c r="F35" s="84">
        <f ca="1">IF('Invoer gegevens (N)'!$C$17=E35,'Invoer gegevens (N)'!$C$10,IF(C35=1,K34,0))</f>
        <v>0</v>
      </c>
      <c r="G35" s="96">
        <f ca="1">IF(C35&gt;=1,F35*VLOOKUP(E35,'Reeksen (N)'!$A$5:$B$76,2),0)</f>
        <v>0</v>
      </c>
      <c r="H35" s="84">
        <f ca="1">(1-('Invoer gegevens (N)'!$F$20/12))*F35*MIN('Reeksen (N)'!B35,'Reeksen (N)'!D35)</f>
        <v>0</v>
      </c>
      <c r="I35" s="84">
        <f>IF('Reeksen (N)'!D35&lt;'Reeksen (N)'!B35,('Reeksen (N)'!B35-'Reeksen (N)'!D35)*F35,0)</f>
        <v>0</v>
      </c>
      <c r="J35" s="84">
        <f ca="1">('Invoer gegevens (N)'!$F$20/12)*F34*MIN('Reeksen (N)'!B34,'Reeksen (N)'!D34)</f>
        <v>0</v>
      </c>
      <c r="K35" s="97">
        <f t="shared" ca="1" si="0"/>
        <v>0</v>
      </c>
      <c r="L35" s="84">
        <f ca="1">IF('Invoer gegevens (N)'!$C$17=E35,0,IF(C35=1,Q34,0))</f>
        <v>0</v>
      </c>
      <c r="M35" s="96">
        <f ca="1">IF(C35&gt;=1,L35*VLOOKUP(E35,'Reeksen (N)'!$A$5:$B$76,2),0)</f>
        <v>0</v>
      </c>
      <c r="N35" s="84">
        <f ca="1">(1-('Invoer gegevens (N)'!$F$20/12))*L35*MIN('Reeksen (N)'!B35,'Reeksen (N)'!D35)</f>
        <v>0</v>
      </c>
      <c r="O35" s="84">
        <f>IF('Reeksen (N)'!D35&lt;'Reeksen (N)'!B35,('Reeksen (N)'!B35-'Reeksen (N)'!D35)*L35,0)</f>
        <v>0</v>
      </c>
      <c r="P35" s="84">
        <f ca="1">('Invoer gegevens (N)'!$F$20/12)*L34*MIN('Reeksen (N)'!B34,'Reeksen (N)'!D34)</f>
        <v>0</v>
      </c>
      <c r="Q35" s="84">
        <f t="shared" ca="1" si="1"/>
        <v>0</v>
      </c>
      <c r="R35" s="82">
        <f ca="1">IF('Invoer gegevens (N)'!$C$17=E35,'Invoer gegevens (N)'!$C$11,IF(C35=1,W34,0))</f>
        <v>0</v>
      </c>
      <c r="S35" s="86">
        <f ca="1">IF(C35&gt;=1,R35*VLOOKUP(E35,'Reeksen (N)'!$A$5:$B$76,2),0)</f>
        <v>0</v>
      </c>
      <c r="T35" s="84">
        <f ca="1">(1-('Invoer gegevens (N)'!$F$20/12))*R35*MIN('Reeksen (N)'!B35,'Reeksen (N)'!D35)</f>
        <v>0</v>
      </c>
      <c r="U35" s="84">
        <f>IF('Reeksen (N)'!D35&gt;='Reeksen (N)'!B35,0,IF('Reeksen (N)'!AD35&lt;='Reeksen (N)'!AE35,('Reeksen (N)'!B35-'Reeksen (N)'!D35)*R35,0))</f>
        <v>0</v>
      </c>
      <c r="V35" s="86">
        <f>IF('Reeksen (N)'!D35&gt;='Reeksen (N)'!B35,0,IF('Reeksen (N)'!AD35&gt;'Reeksen (N)'!AE35,('Reeksen (N)'!B35-'Reeksen (N)'!D35)*R35,0))</f>
        <v>0</v>
      </c>
      <c r="W35" s="97">
        <f t="shared" ca="1" si="2"/>
        <v>0</v>
      </c>
      <c r="X35" s="98">
        <f ca="1">IF('Invoer gegevens (N)'!$C$17=E35,'Invoer gegevens (N)'!$C$10-'Invoer gegevens (N)'!$C$11,IF(C35=1,AC34,0))</f>
        <v>0</v>
      </c>
      <c r="Y35" s="98">
        <f ca="1">IF(C35&gt;=1,X35*VLOOKUP(E35,'Reeksen (N)'!$A$5:$B$76,2),0)</f>
        <v>0</v>
      </c>
      <c r="Z35" s="98">
        <f ca="1">(1-('Invoer gegevens (N)'!$F$20/12))*X35*MIN('Reeksen (N)'!B35,'Reeksen (N)'!D35)</f>
        <v>0</v>
      </c>
      <c r="AA35" s="98">
        <f>IF('Reeksen (N)'!D35&gt;='Reeksen (N)'!B35,0,IF('Reeksen (N)'!AD35&lt;='Reeksen (N)'!AE35,('Reeksen (N)'!B35-'Reeksen (N)'!D35)*X35,0))</f>
        <v>0</v>
      </c>
      <c r="AB35" s="98">
        <f>IF('Reeksen (N)'!D35&gt;='Reeksen (N)'!B35,0,IF('Reeksen (N)'!AD35&gt;'Reeksen (N)'!AE35,('Reeksen (N)'!B35-'Reeksen (N)'!D35)*X35,0))</f>
        <v>0</v>
      </c>
      <c r="AC35" s="99">
        <f t="shared" ca="1" si="3"/>
        <v>0</v>
      </c>
      <c r="AD35" s="98">
        <f ca="1">IF('Invoer gegevens (N)'!$C$17=E35,R35,IF(C35=0,0,AE34))</f>
        <v>0</v>
      </c>
      <c r="AE35" s="98">
        <f t="shared" ca="1" si="4"/>
        <v>0</v>
      </c>
      <c r="AF35" s="98">
        <f ca="1">IF('Invoer gegevens (N)'!$C$17=E35,X35,IF(C35=0,0,AG34))</f>
        <v>0</v>
      </c>
      <c r="AG35" s="98">
        <f t="shared" ca="1" si="5"/>
        <v>0</v>
      </c>
      <c r="AH35" s="66"/>
      <c r="AI35" s="71">
        <f ca="1">IF(C35=1,'Reeksen (N)'!AI35*((F35-G35+F35)/2)*12+'Reeksen (N)'!AD35*((L35-M35+L35)/2)*12,0)</f>
        <v>0</v>
      </c>
      <c r="AJ35" s="71">
        <f ca="1">-AI35*'Invoer gegevens (N)'!$F$28</f>
        <v>0</v>
      </c>
      <c r="AK35" s="71">
        <f t="shared" ca="1" si="6"/>
        <v>0</v>
      </c>
      <c r="AL35" s="71">
        <f ca="1">IF(C35=1,'Reeksen (N)'!AL35*((F35-G35+F35)/2)*12+'Reeksen (N)'!AM35*((L35-M35+L35)/2)*12,0)</f>
        <v>0</v>
      </c>
      <c r="AM35" s="71">
        <f ca="1">-AL35*'Invoer gegevens (N)'!$F$31</f>
        <v>0</v>
      </c>
      <c r="AN35" s="71">
        <f t="shared" ca="1" si="7"/>
        <v>0</v>
      </c>
      <c r="AO35" s="71">
        <f ca="1">IF(C35=1,(H35+J35+N35+P35)*'Reeksen (N)'!AN35,0)</f>
        <v>0</v>
      </c>
      <c r="AP35" s="71">
        <f ca="1">-IF(C35=1,(H35+J35+N35+P35)*'Hulp - basis'!$O$550*'Reeksen (N)'!H35,0)</f>
        <v>0</v>
      </c>
      <c r="AQ35" s="71">
        <f ca="1">-IF(C35=1,(F35+K35+L35+Q35)/2*'Invoer gegevens (N)'!$F$35*'Reeksen (N)'!J35,0)*2</f>
        <v>0</v>
      </c>
      <c r="AR35" s="71"/>
      <c r="AS35" s="71">
        <f ca="1">-IF(C35=1,(F35+K35+L35+Q35)/2*'Invoer gegevens (N)'!$F$37*'Reeksen (N)'!L35,0)</f>
        <v>0</v>
      </c>
      <c r="AT35" s="71">
        <f ca="1">-IF(C35=1,IF(E35='Invoer gegevens (N)'!$C$17,'Invoer gegevens (N)'!$C$11,AD35)*'Reeksen (N)'!S35*'Invoer gegevens (N)'!$C$18*'Reeksen (N)'!P35,0)</f>
        <v>0</v>
      </c>
      <c r="AU35" s="71">
        <f ca="1">-IF(C35=1,(F35+K35+L35+Q35)/2*'Invoer gegevens (N)'!$F$38*'Reeksen (N)'!H35,0)</f>
        <v>0</v>
      </c>
      <c r="AV35" s="71">
        <v>0</v>
      </c>
      <c r="AW35" s="71">
        <f t="shared" ca="1" si="8"/>
        <v>0</v>
      </c>
      <c r="AX35" s="71">
        <f ca="1">IF(E35&lt;'Invoer gegevens (N)'!$C$17+15,0,IF(E35&gt;'Invoer gegevens (N)'!$C$17+215,0,AW35))</f>
        <v>0</v>
      </c>
      <c r="AY35" s="71">
        <f ca="1">AX35/(1+'Invoer gegevens (N)'!$F$18)^($AZ35-('Invoer gegevens (N)'!$C$17-'Invoer gegevens (N)'!$C$16))/(1+'Invoer gegevens (N)'!$C$39)^('Invoer gegevens (N)'!$C$17-'Invoer gegevens (N)'!$C$16)</f>
        <v>0</v>
      </c>
      <c r="AZ35" s="68">
        <f ca="1">IF(E35-'Invoer gegevens (N)'!$C$17-14.5&lt;0,0,E35-'Invoer gegevens (N)'!$C$17-14.5)</f>
        <v>15.5</v>
      </c>
    </row>
    <row r="36" spans="1:52" x14ac:dyDescent="0.25">
      <c r="A36" s="59"/>
      <c r="B36" s="70">
        <f t="shared" si="9"/>
        <v>32</v>
      </c>
      <c r="C36" s="67">
        <f ca="1">IF(E36-'Invoer gegevens (N)'!$C$17&lt;0,0,1)</f>
        <v>1</v>
      </c>
      <c r="D36" s="68">
        <f t="shared" si="10"/>
        <v>31.5</v>
      </c>
      <c r="E36" s="69">
        <f ca="1">IF('Invoer gegevens (N)'!$C$16="","",E35+1)</f>
        <v>2050</v>
      </c>
      <c r="F36" s="84">
        <f ca="1">IF('Invoer gegevens (N)'!$C$17=E36,'Invoer gegevens (N)'!$C$10,IF(C36=1,K35,0))</f>
        <v>0</v>
      </c>
      <c r="G36" s="96">
        <f ca="1">IF(C36&gt;=1,F36*VLOOKUP(E36,'Reeksen (N)'!$A$5:$B$76,2),0)</f>
        <v>0</v>
      </c>
      <c r="H36" s="84">
        <f ca="1">(1-('Invoer gegevens (N)'!$F$20/12))*F36*MIN('Reeksen (N)'!B36,'Reeksen (N)'!D36)</f>
        <v>0</v>
      </c>
      <c r="I36" s="84">
        <f>IF('Reeksen (N)'!D36&lt;'Reeksen (N)'!B36,('Reeksen (N)'!B36-'Reeksen (N)'!D36)*F36,0)</f>
        <v>0</v>
      </c>
      <c r="J36" s="84">
        <f ca="1">('Invoer gegevens (N)'!$F$20/12)*F35*MIN('Reeksen (N)'!B35,'Reeksen (N)'!D35)</f>
        <v>0</v>
      </c>
      <c r="K36" s="97">
        <f t="shared" ca="1" si="0"/>
        <v>0</v>
      </c>
      <c r="L36" s="84">
        <f ca="1">IF('Invoer gegevens (N)'!$C$17=E36,0,IF(C36=1,Q35,0))</f>
        <v>0</v>
      </c>
      <c r="M36" s="96">
        <f ca="1">IF(C36&gt;=1,L36*VLOOKUP(E36,'Reeksen (N)'!$A$5:$B$76,2),0)</f>
        <v>0</v>
      </c>
      <c r="N36" s="84">
        <f ca="1">(1-('Invoer gegevens (N)'!$F$20/12))*L36*MIN('Reeksen (N)'!B36,'Reeksen (N)'!D36)</f>
        <v>0</v>
      </c>
      <c r="O36" s="84">
        <f>IF('Reeksen (N)'!D36&lt;'Reeksen (N)'!B36,('Reeksen (N)'!B36-'Reeksen (N)'!D36)*L36,0)</f>
        <v>0</v>
      </c>
      <c r="P36" s="84">
        <f ca="1">('Invoer gegevens (N)'!$F$20/12)*L35*MIN('Reeksen (N)'!B35,'Reeksen (N)'!D35)</f>
        <v>0</v>
      </c>
      <c r="Q36" s="84">
        <f t="shared" ca="1" si="1"/>
        <v>0</v>
      </c>
      <c r="R36" s="82">
        <f ca="1">IF('Invoer gegevens (N)'!$C$17=E36,'Invoer gegevens (N)'!$C$11,IF(C36=1,W35,0))</f>
        <v>0</v>
      </c>
      <c r="S36" s="86">
        <f ca="1">IF(C36&gt;=1,R36*VLOOKUP(E36,'Reeksen (N)'!$A$5:$B$76,2),0)</f>
        <v>0</v>
      </c>
      <c r="T36" s="84">
        <f ca="1">(1-('Invoer gegevens (N)'!$F$20/12))*R36*MIN('Reeksen (N)'!B36,'Reeksen (N)'!D36)</f>
        <v>0</v>
      </c>
      <c r="U36" s="84">
        <f>IF('Reeksen (N)'!D36&gt;='Reeksen (N)'!B36,0,IF('Reeksen (N)'!AD36&lt;='Reeksen (N)'!AE36,('Reeksen (N)'!B36-'Reeksen (N)'!D36)*R36,0))</f>
        <v>0</v>
      </c>
      <c r="V36" s="86">
        <f>IF('Reeksen (N)'!D36&gt;='Reeksen (N)'!B36,0,IF('Reeksen (N)'!AD36&gt;'Reeksen (N)'!AE36,('Reeksen (N)'!B36-'Reeksen (N)'!D36)*R36,0))</f>
        <v>0</v>
      </c>
      <c r="W36" s="97">
        <f t="shared" ca="1" si="2"/>
        <v>0</v>
      </c>
      <c r="X36" s="98">
        <f ca="1">IF('Invoer gegevens (N)'!$C$17=E36,'Invoer gegevens (N)'!$C$10-'Invoer gegevens (N)'!$C$11,IF(C36=1,AC35,0))</f>
        <v>0</v>
      </c>
      <c r="Y36" s="98">
        <f ca="1">IF(C36&gt;=1,X36*VLOOKUP(E36,'Reeksen (N)'!$A$5:$B$76,2),0)</f>
        <v>0</v>
      </c>
      <c r="Z36" s="98">
        <f ca="1">(1-('Invoer gegevens (N)'!$F$20/12))*X36*MIN('Reeksen (N)'!B36,'Reeksen (N)'!D36)</f>
        <v>0</v>
      </c>
      <c r="AA36" s="98">
        <f>IF('Reeksen (N)'!D36&gt;='Reeksen (N)'!B36,0,IF('Reeksen (N)'!AD36&lt;='Reeksen (N)'!AE36,('Reeksen (N)'!B36-'Reeksen (N)'!D36)*X36,0))</f>
        <v>0</v>
      </c>
      <c r="AB36" s="98">
        <f>IF('Reeksen (N)'!D36&gt;='Reeksen (N)'!B36,0,IF('Reeksen (N)'!AD36&gt;'Reeksen (N)'!AE36,('Reeksen (N)'!B36-'Reeksen (N)'!D36)*X36,0))</f>
        <v>0</v>
      </c>
      <c r="AC36" s="99">
        <f t="shared" ca="1" si="3"/>
        <v>0</v>
      </c>
      <c r="AD36" s="98">
        <f ca="1">IF('Invoer gegevens (N)'!$C$17=E36,R36,IF(C36=0,0,AE35))</f>
        <v>0</v>
      </c>
      <c r="AE36" s="98">
        <f t="shared" ca="1" si="4"/>
        <v>0</v>
      </c>
      <c r="AF36" s="98">
        <f ca="1">IF('Invoer gegevens (N)'!$C$17=E36,X36,IF(C36=0,0,AG35))</f>
        <v>0</v>
      </c>
      <c r="AG36" s="98">
        <f t="shared" ca="1" si="5"/>
        <v>0</v>
      </c>
      <c r="AH36" s="66"/>
      <c r="AI36" s="71">
        <f ca="1">IF(C36=1,'Reeksen (N)'!AI36*((F36-G36+F36)/2)*12+'Reeksen (N)'!AD36*((L36-M36+L36)/2)*12,0)</f>
        <v>0</v>
      </c>
      <c r="AJ36" s="71">
        <f ca="1">-AI36*'Invoer gegevens (N)'!$F$28</f>
        <v>0</v>
      </c>
      <c r="AK36" s="71">
        <f t="shared" ca="1" si="6"/>
        <v>0</v>
      </c>
      <c r="AL36" s="71">
        <f ca="1">IF(C36=1,'Reeksen (N)'!AL36*((F36-G36+F36)/2)*12+'Reeksen (N)'!AM36*((L36-M36+L36)/2)*12,0)</f>
        <v>0</v>
      </c>
      <c r="AM36" s="71">
        <f ca="1">-AL36*'Invoer gegevens (N)'!$F$31</f>
        <v>0</v>
      </c>
      <c r="AN36" s="71">
        <f t="shared" ca="1" si="7"/>
        <v>0</v>
      </c>
      <c r="AO36" s="71">
        <f ca="1">IF(C36=1,(H36+J36+N36+P36)*'Reeksen (N)'!AN36,0)</f>
        <v>0</v>
      </c>
      <c r="AP36" s="71">
        <f ca="1">-IF(C36=1,(H36+J36+N36+P36)*'Hulp - basis'!$O$550*'Reeksen (N)'!H36,0)</f>
        <v>0</v>
      </c>
      <c r="AQ36" s="71">
        <f ca="1">-IF(C36=1,(F36+K36+L36+Q36)/2*'Invoer gegevens (N)'!$F$35*'Reeksen (N)'!J36,0)*2</f>
        <v>0</v>
      </c>
      <c r="AR36" s="71"/>
      <c r="AS36" s="71">
        <f ca="1">-IF(C36=1,(F36+K36+L36+Q36)/2*'Invoer gegevens (N)'!$F$37*'Reeksen (N)'!L36,0)</f>
        <v>0</v>
      </c>
      <c r="AT36" s="71">
        <f ca="1">-IF(C36=1,IF(E36='Invoer gegevens (N)'!$C$17,'Invoer gegevens (N)'!$C$11,AD36)*'Reeksen (N)'!S36*'Invoer gegevens (N)'!$C$18*'Reeksen (N)'!P36,0)</f>
        <v>0</v>
      </c>
      <c r="AU36" s="71">
        <f ca="1">-IF(C36=1,(F36+K36+L36+Q36)/2*'Invoer gegevens (N)'!$F$38*'Reeksen (N)'!H36,0)</f>
        <v>0</v>
      </c>
      <c r="AV36" s="71">
        <v>0</v>
      </c>
      <c r="AW36" s="71">
        <f t="shared" ca="1" si="8"/>
        <v>0</v>
      </c>
      <c r="AX36" s="71">
        <f ca="1">IF(E36&lt;'Invoer gegevens (N)'!$C$17+15,0,IF(E36&gt;'Invoer gegevens (N)'!$C$17+215,0,AW36))</f>
        <v>0</v>
      </c>
      <c r="AY36" s="71">
        <f ca="1">AX36/(1+'Invoer gegevens (N)'!$F$18)^($AZ36-('Invoer gegevens (N)'!$C$17-'Invoer gegevens (N)'!$C$16))/(1+'Invoer gegevens (N)'!$C$39)^('Invoer gegevens (N)'!$C$17-'Invoer gegevens (N)'!$C$16)</f>
        <v>0</v>
      </c>
      <c r="AZ36" s="68">
        <f ca="1">IF(E36-'Invoer gegevens (N)'!$C$17-14.5&lt;0,0,E36-'Invoer gegevens (N)'!$C$17-14.5)</f>
        <v>16.5</v>
      </c>
    </row>
    <row r="37" spans="1:52" x14ac:dyDescent="0.25">
      <c r="A37" s="59"/>
      <c r="B37" s="70">
        <f t="shared" si="9"/>
        <v>33</v>
      </c>
      <c r="C37" s="67">
        <f ca="1">IF(E37-'Invoer gegevens (N)'!$C$17&lt;0,0,1)</f>
        <v>1</v>
      </c>
      <c r="D37" s="68">
        <f t="shared" si="10"/>
        <v>32.5</v>
      </c>
      <c r="E37" s="69">
        <f ca="1">IF('Invoer gegevens (N)'!$C$16="","",E36+1)</f>
        <v>2051</v>
      </c>
      <c r="F37" s="84">
        <f ca="1">IF('Invoer gegevens (N)'!$C$17=E37,'Invoer gegevens (N)'!$C$10,IF(C37=1,K36,0))</f>
        <v>0</v>
      </c>
      <c r="G37" s="96">
        <f ca="1">IF(C37&gt;=1,F37*VLOOKUP(E37,'Reeksen (N)'!$A$5:$B$76,2),0)</f>
        <v>0</v>
      </c>
      <c r="H37" s="84">
        <f ca="1">(1-('Invoer gegevens (N)'!$F$20/12))*F37*MIN('Reeksen (N)'!B37,'Reeksen (N)'!D37)</f>
        <v>0</v>
      </c>
      <c r="I37" s="84">
        <f>IF('Reeksen (N)'!D37&lt;'Reeksen (N)'!B37,('Reeksen (N)'!B37-'Reeksen (N)'!D37)*F37,0)</f>
        <v>0</v>
      </c>
      <c r="J37" s="84">
        <f ca="1">('Invoer gegevens (N)'!$F$20/12)*F36*MIN('Reeksen (N)'!B36,'Reeksen (N)'!D36)</f>
        <v>0</v>
      </c>
      <c r="K37" s="97">
        <f t="shared" ca="1" si="0"/>
        <v>0</v>
      </c>
      <c r="L37" s="84">
        <f ca="1">IF('Invoer gegevens (N)'!$C$17=E37,0,IF(C37=1,Q36,0))</f>
        <v>0</v>
      </c>
      <c r="M37" s="96">
        <f ca="1">IF(C37&gt;=1,L37*VLOOKUP(E37,'Reeksen (N)'!$A$5:$B$76,2),0)</f>
        <v>0</v>
      </c>
      <c r="N37" s="84">
        <f ca="1">(1-('Invoer gegevens (N)'!$F$20/12))*L37*MIN('Reeksen (N)'!B37,'Reeksen (N)'!D37)</f>
        <v>0</v>
      </c>
      <c r="O37" s="84">
        <f>IF('Reeksen (N)'!D37&lt;'Reeksen (N)'!B37,('Reeksen (N)'!B37-'Reeksen (N)'!D37)*L37,0)</f>
        <v>0</v>
      </c>
      <c r="P37" s="84">
        <f ca="1">('Invoer gegevens (N)'!$F$20/12)*L36*MIN('Reeksen (N)'!B36,'Reeksen (N)'!D36)</f>
        <v>0</v>
      </c>
      <c r="Q37" s="84">
        <f t="shared" ca="1" si="1"/>
        <v>0</v>
      </c>
      <c r="R37" s="82">
        <f ca="1">IF('Invoer gegevens (N)'!$C$17=E37,'Invoer gegevens (N)'!$C$11,IF(C37=1,W36,0))</f>
        <v>0</v>
      </c>
      <c r="S37" s="86">
        <f ca="1">IF(C37&gt;=1,R37*VLOOKUP(E37,'Reeksen (N)'!$A$5:$B$76,2),0)</f>
        <v>0</v>
      </c>
      <c r="T37" s="84">
        <f ca="1">(1-('Invoer gegevens (N)'!$F$20/12))*R37*MIN('Reeksen (N)'!B37,'Reeksen (N)'!D37)</f>
        <v>0</v>
      </c>
      <c r="U37" s="84">
        <f>IF('Reeksen (N)'!D37&gt;='Reeksen (N)'!B37,0,IF('Reeksen (N)'!AD37&lt;='Reeksen (N)'!AE37,('Reeksen (N)'!B37-'Reeksen (N)'!D37)*R37,0))</f>
        <v>0</v>
      </c>
      <c r="V37" s="86">
        <f>IF('Reeksen (N)'!D37&gt;='Reeksen (N)'!B37,0,IF('Reeksen (N)'!AD37&gt;'Reeksen (N)'!AE37,('Reeksen (N)'!B37-'Reeksen (N)'!D37)*R37,0))</f>
        <v>0</v>
      </c>
      <c r="W37" s="97">
        <f t="shared" ca="1" si="2"/>
        <v>0</v>
      </c>
      <c r="X37" s="98">
        <f ca="1">IF('Invoer gegevens (N)'!$C$17=E37,'Invoer gegevens (N)'!$C$10-'Invoer gegevens (N)'!$C$11,IF(C37=1,AC36,0))</f>
        <v>0</v>
      </c>
      <c r="Y37" s="98">
        <f ca="1">IF(C37&gt;=1,X37*VLOOKUP(E37,'Reeksen (N)'!$A$5:$B$76,2),0)</f>
        <v>0</v>
      </c>
      <c r="Z37" s="98">
        <f ca="1">(1-('Invoer gegevens (N)'!$F$20/12))*X37*MIN('Reeksen (N)'!B37,'Reeksen (N)'!D37)</f>
        <v>0</v>
      </c>
      <c r="AA37" s="98">
        <f>IF('Reeksen (N)'!D37&gt;='Reeksen (N)'!B37,0,IF('Reeksen (N)'!AD37&lt;='Reeksen (N)'!AE37,('Reeksen (N)'!B37-'Reeksen (N)'!D37)*X37,0))</f>
        <v>0</v>
      </c>
      <c r="AB37" s="98">
        <f>IF('Reeksen (N)'!D37&gt;='Reeksen (N)'!B37,0,IF('Reeksen (N)'!AD37&gt;'Reeksen (N)'!AE37,('Reeksen (N)'!B37-'Reeksen (N)'!D37)*X37,0))</f>
        <v>0</v>
      </c>
      <c r="AC37" s="99">
        <f t="shared" ca="1" si="3"/>
        <v>0</v>
      </c>
      <c r="AD37" s="98">
        <f ca="1">IF('Invoer gegevens (N)'!$C$17=E37,R37,IF(C37=0,0,AE36))</f>
        <v>0</v>
      </c>
      <c r="AE37" s="98">
        <f t="shared" ca="1" si="4"/>
        <v>0</v>
      </c>
      <c r="AF37" s="98">
        <f ca="1">IF('Invoer gegevens (N)'!$C$17=E37,X37,IF(C37=0,0,AG36))</f>
        <v>0</v>
      </c>
      <c r="AG37" s="98">
        <f t="shared" ca="1" si="5"/>
        <v>0</v>
      </c>
      <c r="AH37" s="66"/>
      <c r="AI37" s="71">
        <f ca="1">IF(C37=1,'Reeksen (N)'!AI37*((F37-G37+F37)/2)*12+'Reeksen (N)'!AD37*((L37-M37+L37)/2)*12,0)</f>
        <v>0</v>
      </c>
      <c r="AJ37" s="71">
        <f ca="1">-AI37*'Invoer gegevens (N)'!$F$28</f>
        <v>0</v>
      </c>
      <c r="AK37" s="71">
        <f t="shared" ca="1" si="6"/>
        <v>0</v>
      </c>
      <c r="AL37" s="71">
        <f ca="1">IF(C37=1,'Reeksen (N)'!AL37*((F37-G37+F37)/2)*12+'Reeksen (N)'!AM37*((L37-M37+L37)/2)*12,0)</f>
        <v>0</v>
      </c>
      <c r="AM37" s="71">
        <f ca="1">-AL37*'Invoer gegevens (N)'!$F$31</f>
        <v>0</v>
      </c>
      <c r="AN37" s="71">
        <f t="shared" ca="1" si="7"/>
        <v>0</v>
      </c>
      <c r="AO37" s="71">
        <f ca="1">IF(C37=1,(H37+J37+N37+P37)*'Reeksen (N)'!AN37,0)</f>
        <v>0</v>
      </c>
      <c r="AP37" s="71">
        <f ca="1">-IF(C37=1,(H37+J37+N37+P37)*'Hulp - basis'!$O$550*'Reeksen (N)'!H37,0)</f>
        <v>0</v>
      </c>
      <c r="AQ37" s="71">
        <f ca="1">-IF(C37=1,(F37+K37+L37+Q37)/2*'Invoer gegevens (N)'!$F$35*'Reeksen (N)'!J37,0)*2</f>
        <v>0</v>
      </c>
      <c r="AR37" s="71"/>
      <c r="AS37" s="71">
        <f ca="1">-IF(C37=1,(F37+K37+L37+Q37)/2*'Invoer gegevens (N)'!$F$37*'Reeksen (N)'!L37,0)</f>
        <v>0</v>
      </c>
      <c r="AT37" s="71">
        <f ca="1">-IF(C37=1,IF(E37='Invoer gegevens (N)'!$C$17,'Invoer gegevens (N)'!$C$11,AD37)*'Reeksen (N)'!S37*'Invoer gegevens (N)'!$C$18*'Reeksen (N)'!P37,0)</f>
        <v>0</v>
      </c>
      <c r="AU37" s="71">
        <f ca="1">-IF(C37=1,(F37+K37+L37+Q37)/2*'Invoer gegevens (N)'!$F$38*'Reeksen (N)'!H37,0)</f>
        <v>0</v>
      </c>
      <c r="AV37" s="71">
        <v>0</v>
      </c>
      <c r="AW37" s="71">
        <f t="shared" ca="1" si="8"/>
        <v>0</v>
      </c>
      <c r="AX37" s="71">
        <f ca="1">IF(E37&lt;'Invoer gegevens (N)'!$C$17+15,0,IF(E37&gt;'Invoer gegevens (N)'!$C$17+215,0,AW37))</f>
        <v>0</v>
      </c>
      <c r="AY37" s="71">
        <f ca="1">AX37/(1+'Invoer gegevens (N)'!$F$18)^($AZ37-('Invoer gegevens (N)'!$C$17-'Invoer gegevens (N)'!$C$16))/(1+'Invoer gegevens (N)'!$C$39)^('Invoer gegevens (N)'!$C$17-'Invoer gegevens (N)'!$C$16)</f>
        <v>0</v>
      </c>
      <c r="AZ37" s="68">
        <f ca="1">IF(E37-'Invoer gegevens (N)'!$C$17-14.5&lt;0,0,E37-'Invoer gegevens (N)'!$C$17-14.5)</f>
        <v>17.5</v>
      </c>
    </row>
    <row r="38" spans="1:52" x14ac:dyDescent="0.25">
      <c r="A38" s="59"/>
      <c r="B38" s="70">
        <f t="shared" si="9"/>
        <v>34</v>
      </c>
      <c r="C38" s="67">
        <f ca="1">IF(E38-'Invoer gegevens (N)'!$C$17&lt;0,0,1)</f>
        <v>1</v>
      </c>
      <c r="D38" s="68">
        <f t="shared" si="10"/>
        <v>33.5</v>
      </c>
      <c r="E38" s="69">
        <f ca="1">IF('Invoer gegevens (N)'!$C$16="","",E37+1)</f>
        <v>2052</v>
      </c>
      <c r="F38" s="84">
        <f ca="1">IF('Invoer gegevens (N)'!$C$17=E38,'Invoer gegevens (N)'!$C$10,IF(C38=1,K37,0))</f>
        <v>0</v>
      </c>
      <c r="G38" s="96">
        <f ca="1">IF(C38&gt;=1,F38*VLOOKUP(E38,'Reeksen (N)'!$A$5:$B$76,2),0)</f>
        <v>0</v>
      </c>
      <c r="H38" s="84">
        <f ca="1">(1-('Invoer gegevens (N)'!$F$20/12))*F38*MIN('Reeksen (N)'!B38,'Reeksen (N)'!D38)</f>
        <v>0</v>
      </c>
      <c r="I38" s="84">
        <f>IF('Reeksen (N)'!D38&lt;'Reeksen (N)'!B38,('Reeksen (N)'!B38-'Reeksen (N)'!D38)*F38,0)</f>
        <v>0</v>
      </c>
      <c r="J38" s="84">
        <f ca="1">('Invoer gegevens (N)'!$F$20/12)*F37*MIN('Reeksen (N)'!B37,'Reeksen (N)'!D37)</f>
        <v>0</v>
      </c>
      <c r="K38" s="97">
        <f t="shared" ca="1" si="0"/>
        <v>0</v>
      </c>
      <c r="L38" s="84">
        <f ca="1">IF('Invoer gegevens (N)'!$C$17=E38,0,IF(C38=1,Q37,0))</f>
        <v>0</v>
      </c>
      <c r="M38" s="96">
        <f ca="1">IF(C38&gt;=1,L38*VLOOKUP(E38,'Reeksen (N)'!$A$5:$B$76,2),0)</f>
        <v>0</v>
      </c>
      <c r="N38" s="84">
        <f ca="1">(1-('Invoer gegevens (N)'!$F$20/12))*L38*MIN('Reeksen (N)'!B38,'Reeksen (N)'!D38)</f>
        <v>0</v>
      </c>
      <c r="O38" s="84">
        <f>IF('Reeksen (N)'!D38&lt;'Reeksen (N)'!B38,('Reeksen (N)'!B38-'Reeksen (N)'!D38)*L38,0)</f>
        <v>0</v>
      </c>
      <c r="P38" s="84">
        <f ca="1">('Invoer gegevens (N)'!$F$20/12)*L37*MIN('Reeksen (N)'!B37,'Reeksen (N)'!D37)</f>
        <v>0</v>
      </c>
      <c r="Q38" s="84">
        <f t="shared" ca="1" si="1"/>
        <v>0</v>
      </c>
      <c r="R38" s="82">
        <f ca="1">IF('Invoer gegevens (N)'!$C$17=E38,'Invoer gegevens (N)'!$C$11,IF(C38=1,W37,0))</f>
        <v>0</v>
      </c>
      <c r="S38" s="86">
        <f ca="1">IF(C38&gt;=1,R38*VLOOKUP(E38,'Reeksen (N)'!$A$5:$B$76,2),0)</f>
        <v>0</v>
      </c>
      <c r="T38" s="84">
        <f ca="1">(1-('Invoer gegevens (N)'!$F$20/12))*R38*MIN('Reeksen (N)'!B38,'Reeksen (N)'!D38)</f>
        <v>0</v>
      </c>
      <c r="U38" s="84">
        <f>IF('Reeksen (N)'!D38&gt;='Reeksen (N)'!B38,0,IF('Reeksen (N)'!AD38&lt;='Reeksen (N)'!AE38,('Reeksen (N)'!B38-'Reeksen (N)'!D38)*R38,0))</f>
        <v>0</v>
      </c>
      <c r="V38" s="86">
        <f>IF('Reeksen (N)'!D38&gt;='Reeksen (N)'!B38,0,IF('Reeksen (N)'!AD38&gt;'Reeksen (N)'!AE38,('Reeksen (N)'!B38-'Reeksen (N)'!D38)*R38,0))</f>
        <v>0</v>
      </c>
      <c r="W38" s="97">
        <f t="shared" ca="1" si="2"/>
        <v>0</v>
      </c>
      <c r="X38" s="98">
        <f ca="1">IF('Invoer gegevens (N)'!$C$17=E38,'Invoer gegevens (N)'!$C$10-'Invoer gegevens (N)'!$C$11,IF(C38=1,AC37,0))</f>
        <v>0</v>
      </c>
      <c r="Y38" s="98">
        <f ca="1">IF(C38&gt;=1,X38*VLOOKUP(E38,'Reeksen (N)'!$A$5:$B$76,2),0)</f>
        <v>0</v>
      </c>
      <c r="Z38" s="98">
        <f ca="1">(1-('Invoer gegevens (N)'!$F$20/12))*X38*MIN('Reeksen (N)'!B38,'Reeksen (N)'!D38)</f>
        <v>0</v>
      </c>
      <c r="AA38" s="98">
        <f>IF('Reeksen (N)'!D38&gt;='Reeksen (N)'!B38,0,IF('Reeksen (N)'!AD38&lt;='Reeksen (N)'!AE38,('Reeksen (N)'!B38-'Reeksen (N)'!D38)*X38,0))</f>
        <v>0</v>
      </c>
      <c r="AB38" s="98">
        <f>IF('Reeksen (N)'!D38&gt;='Reeksen (N)'!B38,0,IF('Reeksen (N)'!AD38&gt;'Reeksen (N)'!AE38,('Reeksen (N)'!B38-'Reeksen (N)'!D38)*X38,0))</f>
        <v>0</v>
      </c>
      <c r="AC38" s="99">
        <f t="shared" ca="1" si="3"/>
        <v>0</v>
      </c>
      <c r="AD38" s="98">
        <f ca="1">IF('Invoer gegevens (N)'!$C$17=E38,R38,IF(C38=0,0,AE37))</f>
        <v>0</v>
      </c>
      <c r="AE38" s="98">
        <f t="shared" ca="1" si="4"/>
        <v>0</v>
      </c>
      <c r="AF38" s="98">
        <f ca="1">IF('Invoer gegevens (N)'!$C$17=E38,X38,IF(C38=0,0,AG37))</f>
        <v>0</v>
      </c>
      <c r="AG38" s="98">
        <f t="shared" ca="1" si="5"/>
        <v>0</v>
      </c>
      <c r="AH38" s="66"/>
      <c r="AI38" s="71">
        <f ca="1">IF(C38=1,'Reeksen (N)'!AI38*((F38-G38+F38)/2)*12+'Reeksen (N)'!AD38*((L38-M38+L38)/2)*12,0)</f>
        <v>0</v>
      </c>
      <c r="AJ38" s="71">
        <f ca="1">-AI38*'Invoer gegevens (N)'!$F$28</f>
        <v>0</v>
      </c>
      <c r="AK38" s="71">
        <f t="shared" ca="1" si="6"/>
        <v>0</v>
      </c>
      <c r="AL38" s="71">
        <f ca="1">IF(C38=1,'Reeksen (N)'!AL38*((F38-G38+F38)/2)*12+'Reeksen (N)'!AM38*((L38-M38+L38)/2)*12,0)</f>
        <v>0</v>
      </c>
      <c r="AM38" s="71">
        <f ca="1">-AL38*'Invoer gegevens (N)'!$F$31</f>
        <v>0</v>
      </c>
      <c r="AN38" s="71">
        <f t="shared" ca="1" si="7"/>
        <v>0</v>
      </c>
      <c r="AO38" s="71">
        <f ca="1">IF(C38=1,(H38+J38+N38+P38)*'Reeksen (N)'!AN38,0)</f>
        <v>0</v>
      </c>
      <c r="AP38" s="71">
        <f ca="1">-IF(C38=1,(H38+J38+N38+P38)*'Hulp - basis'!$O$550*'Reeksen (N)'!H38,0)</f>
        <v>0</v>
      </c>
      <c r="AQ38" s="71">
        <f ca="1">-IF(C38=1,(F38+K38+L38+Q38)/2*'Invoer gegevens (N)'!$F$35*'Reeksen (N)'!J38,0)*2</f>
        <v>0</v>
      </c>
      <c r="AR38" s="71"/>
      <c r="AS38" s="71">
        <f ca="1">-IF(C38=1,(F38+K38+L38+Q38)/2*'Invoer gegevens (N)'!$F$37*'Reeksen (N)'!L38,0)</f>
        <v>0</v>
      </c>
      <c r="AT38" s="71">
        <f ca="1">-IF(C38=1,IF(E38='Invoer gegevens (N)'!$C$17,'Invoer gegevens (N)'!$C$11,AD38)*'Reeksen (N)'!S38*'Invoer gegevens (N)'!$C$18*'Reeksen (N)'!P38,0)</f>
        <v>0</v>
      </c>
      <c r="AU38" s="71">
        <f ca="1">-IF(C38=1,(F38+K38+L38+Q38)/2*'Invoer gegevens (N)'!$F$38*'Reeksen (N)'!H38,0)</f>
        <v>0</v>
      </c>
      <c r="AV38" s="71">
        <v>0</v>
      </c>
      <c r="AW38" s="71">
        <f t="shared" ca="1" si="8"/>
        <v>0</v>
      </c>
      <c r="AX38" s="71">
        <f ca="1">IF(E38&lt;'Invoer gegevens (N)'!$C$17+15,0,IF(E38&gt;'Invoer gegevens (N)'!$C$17+215,0,AW38))</f>
        <v>0</v>
      </c>
      <c r="AY38" s="71">
        <f ca="1">AX38/(1+'Invoer gegevens (N)'!$F$18)^($AZ38-('Invoer gegevens (N)'!$C$17-'Invoer gegevens (N)'!$C$16))/(1+'Invoer gegevens (N)'!$C$39)^('Invoer gegevens (N)'!$C$17-'Invoer gegevens (N)'!$C$16)</f>
        <v>0</v>
      </c>
      <c r="AZ38" s="68">
        <f ca="1">IF(E38-'Invoer gegevens (N)'!$C$17-14.5&lt;0,0,E38-'Invoer gegevens (N)'!$C$17-14.5)</f>
        <v>18.5</v>
      </c>
    </row>
    <row r="39" spans="1:52" x14ac:dyDescent="0.25">
      <c r="A39" s="59"/>
      <c r="B39" s="70">
        <f t="shared" si="9"/>
        <v>35</v>
      </c>
      <c r="C39" s="67">
        <f ca="1">IF(E39-'Invoer gegevens (N)'!$C$17&lt;0,0,1)</f>
        <v>1</v>
      </c>
      <c r="D39" s="68">
        <f t="shared" si="10"/>
        <v>34.5</v>
      </c>
      <c r="E39" s="69">
        <f ca="1">IF('Invoer gegevens (N)'!$C$16="","",E38+1)</f>
        <v>2053</v>
      </c>
      <c r="F39" s="84">
        <f ca="1">IF('Invoer gegevens (N)'!$C$17=E39,'Invoer gegevens (N)'!$C$10,IF(C39=1,K38,0))</f>
        <v>0</v>
      </c>
      <c r="G39" s="96">
        <f ca="1">IF(C39&gt;=1,F39*VLOOKUP(E39,'Reeksen (N)'!$A$5:$B$76,2),0)</f>
        <v>0</v>
      </c>
      <c r="H39" s="84">
        <f ca="1">(1-('Invoer gegevens (N)'!$F$20/12))*F39*MIN('Reeksen (N)'!B39,'Reeksen (N)'!D39)</f>
        <v>0</v>
      </c>
      <c r="I39" s="84">
        <f>IF('Reeksen (N)'!D39&lt;'Reeksen (N)'!B39,('Reeksen (N)'!B39-'Reeksen (N)'!D39)*F39,0)</f>
        <v>0</v>
      </c>
      <c r="J39" s="84">
        <f ca="1">('Invoer gegevens (N)'!$F$20/12)*F38*MIN('Reeksen (N)'!B38,'Reeksen (N)'!D38)</f>
        <v>0</v>
      </c>
      <c r="K39" s="97">
        <f t="shared" ca="1" si="0"/>
        <v>0</v>
      </c>
      <c r="L39" s="84">
        <f ca="1">IF('Invoer gegevens (N)'!$C$17=E39,0,IF(C39=1,Q38,0))</f>
        <v>0</v>
      </c>
      <c r="M39" s="96">
        <f ca="1">IF(C39&gt;=1,L39*VLOOKUP(E39,'Reeksen (N)'!$A$5:$B$76,2),0)</f>
        <v>0</v>
      </c>
      <c r="N39" s="84">
        <f ca="1">(1-('Invoer gegevens (N)'!$F$20/12))*L39*MIN('Reeksen (N)'!B39,'Reeksen (N)'!D39)</f>
        <v>0</v>
      </c>
      <c r="O39" s="84">
        <f>IF('Reeksen (N)'!D39&lt;'Reeksen (N)'!B39,('Reeksen (N)'!B39-'Reeksen (N)'!D39)*L39,0)</f>
        <v>0</v>
      </c>
      <c r="P39" s="84">
        <f ca="1">('Invoer gegevens (N)'!$F$20/12)*L38*MIN('Reeksen (N)'!B38,'Reeksen (N)'!D38)</f>
        <v>0</v>
      </c>
      <c r="Q39" s="84">
        <f t="shared" ca="1" si="1"/>
        <v>0</v>
      </c>
      <c r="R39" s="82">
        <f ca="1">IF('Invoer gegevens (N)'!$C$17=E39,'Invoer gegevens (N)'!$C$11,IF(C39=1,W38,0))</f>
        <v>0</v>
      </c>
      <c r="S39" s="86">
        <f ca="1">IF(C39&gt;=1,R39*VLOOKUP(E39,'Reeksen (N)'!$A$5:$B$76,2),0)</f>
        <v>0</v>
      </c>
      <c r="T39" s="84">
        <f ca="1">(1-('Invoer gegevens (N)'!$F$20/12))*R39*MIN('Reeksen (N)'!B39,'Reeksen (N)'!D39)</f>
        <v>0</v>
      </c>
      <c r="U39" s="84">
        <f>IF('Reeksen (N)'!D39&gt;='Reeksen (N)'!B39,0,IF('Reeksen (N)'!AD39&lt;='Reeksen (N)'!AE39,('Reeksen (N)'!B39-'Reeksen (N)'!D39)*R39,0))</f>
        <v>0</v>
      </c>
      <c r="V39" s="86">
        <f>IF('Reeksen (N)'!D39&gt;='Reeksen (N)'!B39,0,IF('Reeksen (N)'!AD39&gt;'Reeksen (N)'!AE39,('Reeksen (N)'!B39-'Reeksen (N)'!D39)*R39,0))</f>
        <v>0</v>
      </c>
      <c r="W39" s="97">
        <f t="shared" ca="1" si="2"/>
        <v>0</v>
      </c>
      <c r="X39" s="98">
        <f ca="1">IF('Invoer gegevens (N)'!$C$17=E39,'Invoer gegevens (N)'!$C$10-'Invoer gegevens (N)'!$C$11,IF(C39=1,AC38,0))</f>
        <v>0</v>
      </c>
      <c r="Y39" s="98">
        <f ca="1">IF(C39&gt;=1,X39*VLOOKUP(E39,'Reeksen (N)'!$A$5:$B$76,2),0)</f>
        <v>0</v>
      </c>
      <c r="Z39" s="98">
        <f ca="1">(1-('Invoer gegevens (N)'!$F$20/12))*X39*MIN('Reeksen (N)'!B39,'Reeksen (N)'!D39)</f>
        <v>0</v>
      </c>
      <c r="AA39" s="98">
        <f>IF('Reeksen (N)'!D39&gt;='Reeksen (N)'!B39,0,IF('Reeksen (N)'!AD39&lt;='Reeksen (N)'!AE39,('Reeksen (N)'!B39-'Reeksen (N)'!D39)*X39,0))</f>
        <v>0</v>
      </c>
      <c r="AB39" s="98">
        <f>IF('Reeksen (N)'!D39&gt;='Reeksen (N)'!B39,0,IF('Reeksen (N)'!AD39&gt;'Reeksen (N)'!AE39,('Reeksen (N)'!B39-'Reeksen (N)'!D39)*X39,0))</f>
        <v>0</v>
      </c>
      <c r="AC39" s="99">
        <f t="shared" ca="1" si="3"/>
        <v>0</v>
      </c>
      <c r="AD39" s="98">
        <f ca="1">IF('Invoer gegevens (N)'!$C$17=E39,R39,IF(C39=0,0,AE38))</f>
        <v>0</v>
      </c>
      <c r="AE39" s="98">
        <f t="shared" ca="1" si="4"/>
        <v>0</v>
      </c>
      <c r="AF39" s="98">
        <f ca="1">IF('Invoer gegevens (N)'!$C$17=E39,X39,IF(C39=0,0,AG38))</f>
        <v>0</v>
      </c>
      <c r="AG39" s="98">
        <f t="shared" ca="1" si="5"/>
        <v>0</v>
      </c>
      <c r="AH39" s="66"/>
      <c r="AI39" s="71">
        <f ca="1">IF(C39=1,'Reeksen (N)'!AI39*((F39-G39+F39)/2)*12+'Reeksen (N)'!AD39*((L39-M39+L39)/2)*12,0)</f>
        <v>0</v>
      </c>
      <c r="AJ39" s="71">
        <f ca="1">-AI39*'Invoer gegevens (N)'!$F$28</f>
        <v>0</v>
      </c>
      <c r="AK39" s="71">
        <f t="shared" ca="1" si="6"/>
        <v>0</v>
      </c>
      <c r="AL39" s="71">
        <f ca="1">IF(C39=1,'Reeksen (N)'!AL39*((F39-G39+F39)/2)*12+'Reeksen (N)'!AM39*((L39-M39+L39)/2)*12,0)</f>
        <v>0</v>
      </c>
      <c r="AM39" s="71">
        <f ca="1">-AL39*'Invoer gegevens (N)'!$F$31</f>
        <v>0</v>
      </c>
      <c r="AN39" s="71">
        <f t="shared" ca="1" si="7"/>
        <v>0</v>
      </c>
      <c r="AO39" s="71">
        <f ca="1">IF(C39=1,(H39+J39+N39+P39)*'Reeksen (N)'!AN39,0)</f>
        <v>0</v>
      </c>
      <c r="AP39" s="71">
        <f ca="1">-IF(C39=1,(H39+J39+N39+P39)*'Hulp - basis'!$O$550*'Reeksen (N)'!H39,0)</f>
        <v>0</v>
      </c>
      <c r="AQ39" s="71">
        <f ca="1">-IF(C39=1,(F39+K39+L39+Q39)/2*'Invoer gegevens (N)'!$F$35*'Reeksen (N)'!J39,0)*2</f>
        <v>0</v>
      </c>
      <c r="AR39" s="71"/>
      <c r="AS39" s="71">
        <f ca="1">-IF(C39=1,(F39+K39+L39+Q39)/2*'Invoer gegevens (N)'!$F$37*'Reeksen (N)'!L39,0)</f>
        <v>0</v>
      </c>
      <c r="AT39" s="71">
        <f ca="1">-IF(C39=1,IF(E39='Invoer gegevens (N)'!$C$17,'Invoer gegevens (N)'!$C$11,AD39)*'Reeksen (N)'!S39*'Invoer gegevens (N)'!$C$18*'Reeksen (N)'!P39,0)</f>
        <v>0</v>
      </c>
      <c r="AU39" s="71">
        <f ca="1">-IF(C39=1,(F39+K39+L39+Q39)/2*'Invoer gegevens (N)'!$F$38*'Reeksen (N)'!H39,0)</f>
        <v>0</v>
      </c>
      <c r="AV39" s="71">
        <v>0</v>
      </c>
      <c r="AW39" s="71">
        <f t="shared" ca="1" si="8"/>
        <v>0</v>
      </c>
      <c r="AX39" s="71">
        <f ca="1">IF(E39&lt;'Invoer gegevens (N)'!$C$17+15,0,IF(E39&gt;'Invoer gegevens (N)'!$C$17+215,0,AW39))</f>
        <v>0</v>
      </c>
      <c r="AY39" s="71">
        <f ca="1">AX39/(1+'Invoer gegevens (N)'!$F$18)^($AZ39-('Invoer gegevens (N)'!$C$17-'Invoer gegevens (N)'!$C$16))/(1+'Invoer gegevens (N)'!$C$39)^('Invoer gegevens (N)'!$C$17-'Invoer gegevens (N)'!$C$16)</f>
        <v>0</v>
      </c>
      <c r="AZ39" s="68">
        <f ca="1">IF(E39-'Invoer gegevens (N)'!$C$17-14.5&lt;0,0,E39-'Invoer gegevens (N)'!$C$17-14.5)</f>
        <v>19.5</v>
      </c>
    </row>
    <row r="40" spans="1:52" x14ac:dyDescent="0.25">
      <c r="A40" s="59"/>
      <c r="B40" s="70">
        <f t="shared" si="9"/>
        <v>36</v>
      </c>
      <c r="C40" s="67">
        <f ca="1">IF(E40-'Invoer gegevens (N)'!$C$17&lt;0,0,1)</f>
        <v>1</v>
      </c>
      <c r="D40" s="68">
        <f t="shared" si="10"/>
        <v>35.5</v>
      </c>
      <c r="E40" s="69">
        <f ca="1">IF('Invoer gegevens (N)'!$C$16="","",E39+1)</f>
        <v>2054</v>
      </c>
      <c r="F40" s="84">
        <f ca="1">IF('Invoer gegevens (N)'!$C$17=E40,'Invoer gegevens (N)'!$C$10,IF(C40=1,K39,0))</f>
        <v>0</v>
      </c>
      <c r="G40" s="96">
        <f ca="1">IF(C40&gt;=1,F40*VLOOKUP(E40,'Reeksen (N)'!$A$5:$B$76,2),0)</f>
        <v>0</v>
      </c>
      <c r="H40" s="84">
        <f ca="1">(1-('Invoer gegevens (N)'!$F$20/12))*F40*MIN('Reeksen (N)'!B40,'Reeksen (N)'!D40)</f>
        <v>0</v>
      </c>
      <c r="I40" s="84">
        <f>IF('Reeksen (N)'!D40&lt;'Reeksen (N)'!B40,('Reeksen (N)'!B40-'Reeksen (N)'!D40)*F40,0)</f>
        <v>0</v>
      </c>
      <c r="J40" s="84">
        <f ca="1">('Invoer gegevens (N)'!$F$20/12)*F39*MIN('Reeksen (N)'!B39,'Reeksen (N)'!D39)</f>
        <v>0</v>
      </c>
      <c r="K40" s="97">
        <f t="shared" ca="1" si="0"/>
        <v>0</v>
      </c>
      <c r="L40" s="84">
        <f ca="1">IF('Invoer gegevens (N)'!$C$17=E40,0,IF(C40=1,Q39,0))</f>
        <v>0</v>
      </c>
      <c r="M40" s="96">
        <f ca="1">IF(C40&gt;=1,L40*VLOOKUP(E40,'Reeksen (N)'!$A$5:$B$76,2),0)</f>
        <v>0</v>
      </c>
      <c r="N40" s="84">
        <f ca="1">(1-('Invoer gegevens (N)'!$F$20/12))*L40*MIN('Reeksen (N)'!B40,'Reeksen (N)'!D40)</f>
        <v>0</v>
      </c>
      <c r="O40" s="84">
        <f>IF('Reeksen (N)'!D40&lt;'Reeksen (N)'!B40,('Reeksen (N)'!B40-'Reeksen (N)'!D40)*L40,0)</f>
        <v>0</v>
      </c>
      <c r="P40" s="84">
        <f ca="1">('Invoer gegevens (N)'!$F$20/12)*L39*MIN('Reeksen (N)'!B39,'Reeksen (N)'!D39)</f>
        <v>0</v>
      </c>
      <c r="Q40" s="84">
        <f t="shared" ca="1" si="1"/>
        <v>0</v>
      </c>
      <c r="R40" s="82">
        <f ca="1">IF('Invoer gegevens (N)'!$C$17=E40,'Invoer gegevens (N)'!$C$11,IF(C40=1,W39,0))</f>
        <v>0</v>
      </c>
      <c r="S40" s="86">
        <f ca="1">IF(C40&gt;=1,R40*VLOOKUP(E40,'Reeksen (N)'!$A$5:$B$76,2),0)</f>
        <v>0</v>
      </c>
      <c r="T40" s="84">
        <f ca="1">(1-('Invoer gegevens (N)'!$F$20/12))*R40*MIN('Reeksen (N)'!B40,'Reeksen (N)'!D40)</f>
        <v>0</v>
      </c>
      <c r="U40" s="84">
        <f>IF('Reeksen (N)'!D40&gt;='Reeksen (N)'!B40,0,IF('Reeksen (N)'!AD40&lt;='Reeksen (N)'!AE40,('Reeksen (N)'!B40-'Reeksen (N)'!D40)*R40,0))</f>
        <v>0</v>
      </c>
      <c r="V40" s="86">
        <f>IF('Reeksen (N)'!D40&gt;='Reeksen (N)'!B40,0,IF('Reeksen (N)'!AD40&gt;'Reeksen (N)'!AE40,('Reeksen (N)'!B40-'Reeksen (N)'!D40)*R40,0))</f>
        <v>0</v>
      </c>
      <c r="W40" s="97">
        <f t="shared" ca="1" si="2"/>
        <v>0</v>
      </c>
      <c r="X40" s="98">
        <f ca="1">IF('Invoer gegevens (N)'!$C$17=E40,'Invoer gegevens (N)'!$C$10-'Invoer gegevens (N)'!$C$11,IF(C40=1,AC39,0))</f>
        <v>0</v>
      </c>
      <c r="Y40" s="98">
        <f ca="1">IF(C40&gt;=1,X40*VLOOKUP(E40,'Reeksen (N)'!$A$5:$B$76,2),0)</f>
        <v>0</v>
      </c>
      <c r="Z40" s="98">
        <f ca="1">(1-('Invoer gegevens (N)'!$F$20/12))*X40*MIN('Reeksen (N)'!B40,'Reeksen (N)'!D40)</f>
        <v>0</v>
      </c>
      <c r="AA40" s="98">
        <f>IF('Reeksen (N)'!D40&gt;='Reeksen (N)'!B40,0,IF('Reeksen (N)'!AD40&lt;='Reeksen (N)'!AE40,('Reeksen (N)'!B40-'Reeksen (N)'!D40)*X40,0))</f>
        <v>0</v>
      </c>
      <c r="AB40" s="98">
        <f>IF('Reeksen (N)'!D40&gt;='Reeksen (N)'!B40,0,IF('Reeksen (N)'!AD40&gt;'Reeksen (N)'!AE40,('Reeksen (N)'!B40-'Reeksen (N)'!D40)*X40,0))</f>
        <v>0</v>
      </c>
      <c r="AC40" s="99">
        <f t="shared" ca="1" si="3"/>
        <v>0</v>
      </c>
      <c r="AD40" s="98">
        <f ca="1">IF('Invoer gegevens (N)'!$C$17=E40,R40,IF(C40=0,0,AE39))</f>
        <v>0</v>
      </c>
      <c r="AE40" s="98">
        <f t="shared" ca="1" si="4"/>
        <v>0</v>
      </c>
      <c r="AF40" s="98">
        <f ca="1">IF('Invoer gegevens (N)'!$C$17=E40,X40,IF(C40=0,0,AG39))</f>
        <v>0</v>
      </c>
      <c r="AG40" s="98">
        <f t="shared" ca="1" si="5"/>
        <v>0</v>
      </c>
      <c r="AH40" s="66"/>
      <c r="AI40" s="71">
        <f ca="1">IF(C40=1,'Reeksen (N)'!AI40*((F40-G40+F40)/2)*12+'Reeksen (N)'!AD40*((L40-M40+L40)/2)*12,0)</f>
        <v>0</v>
      </c>
      <c r="AJ40" s="71">
        <f ca="1">-AI40*'Invoer gegevens (N)'!$F$28</f>
        <v>0</v>
      </c>
      <c r="AK40" s="71">
        <f t="shared" ca="1" si="6"/>
        <v>0</v>
      </c>
      <c r="AL40" s="71">
        <f ca="1">IF(C40=1,'Reeksen (N)'!AL40*((F40-G40+F40)/2)*12+'Reeksen (N)'!AM40*((L40-M40+L40)/2)*12,0)</f>
        <v>0</v>
      </c>
      <c r="AM40" s="71">
        <f ca="1">-AL40*'Invoer gegevens (N)'!$F$31</f>
        <v>0</v>
      </c>
      <c r="AN40" s="71">
        <f t="shared" ca="1" si="7"/>
        <v>0</v>
      </c>
      <c r="AO40" s="71">
        <f ca="1">IF(C40=1,(H40+J40+N40+P40)*'Reeksen (N)'!AN40,0)</f>
        <v>0</v>
      </c>
      <c r="AP40" s="71">
        <f ca="1">-IF(C40=1,(H40+J40+N40+P40)*'Hulp - basis'!$O$550*'Reeksen (N)'!H40,0)</f>
        <v>0</v>
      </c>
      <c r="AQ40" s="71">
        <f ca="1">-IF(C40=1,(F40+K40+L40+Q40)/2*'Invoer gegevens (N)'!$F$35*'Reeksen (N)'!J40,0)*2</f>
        <v>0</v>
      </c>
      <c r="AR40" s="71"/>
      <c r="AS40" s="71">
        <f ca="1">-IF(C40=1,(F40+K40+L40+Q40)/2*'Invoer gegevens (N)'!$F$37*'Reeksen (N)'!L40,0)</f>
        <v>0</v>
      </c>
      <c r="AT40" s="71">
        <f ca="1">-IF(C40=1,IF(E40='Invoer gegevens (N)'!$C$17,'Invoer gegevens (N)'!$C$11,AD40)*'Reeksen (N)'!S40*'Invoer gegevens (N)'!$C$18*'Reeksen (N)'!P40,0)</f>
        <v>0</v>
      </c>
      <c r="AU40" s="71">
        <f ca="1">-IF(C40=1,(F40+K40+L40+Q40)/2*'Invoer gegevens (N)'!$F$38*'Reeksen (N)'!H40,0)</f>
        <v>0</v>
      </c>
      <c r="AV40" s="71">
        <v>0</v>
      </c>
      <c r="AW40" s="71">
        <f t="shared" ca="1" si="8"/>
        <v>0</v>
      </c>
      <c r="AX40" s="71">
        <f ca="1">IF(E40&lt;'Invoer gegevens (N)'!$C$17+15,0,IF(E40&gt;'Invoer gegevens (N)'!$C$17+215,0,AW40))</f>
        <v>0</v>
      </c>
      <c r="AY40" s="71">
        <f ca="1">AX40/(1+'Invoer gegevens (N)'!$F$18)^($AZ40-('Invoer gegevens (N)'!$C$17-'Invoer gegevens (N)'!$C$16))/(1+'Invoer gegevens (N)'!$C$39)^('Invoer gegevens (N)'!$C$17-'Invoer gegevens (N)'!$C$16)</f>
        <v>0</v>
      </c>
      <c r="AZ40" s="68">
        <f ca="1">IF(E40-'Invoer gegevens (N)'!$C$17-14.5&lt;0,0,E40-'Invoer gegevens (N)'!$C$17-14.5)</f>
        <v>20.5</v>
      </c>
    </row>
    <row r="41" spans="1:52" x14ac:dyDescent="0.25">
      <c r="A41" s="59"/>
      <c r="B41" s="70">
        <f t="shared" si="9"/>
        <v>37</v>
      </c>
      <c r="C41" s="67">
        <f ca="1">IF(E41-'Invoer gegevens (N)'!$C$17&lt;0,0,1)</f>
        <v>1</v>
      </c>
      <c r="D41" s="68">
        <f t="shared" si="10"/>
        <v>36.5</v>
      </c>
      <c r="E41" s="69">
        <f ca="1">IF('Invoer gegevens (N)'!$C$16="","",E40+1)</f>
        <v>2055</v>
      </c>
      <c r="F41" s="84">
        <f ca="1">IF('Invoer gegevens (N)'!$C$17=E41,'Invoer gegevens (N)'!$C$10,IF(C41=1,K40,0))</f>
        <v>0</v>
      </c>
      <c r="G41" s="96">
        <f ca="1">IF(C41&gt;=1,F41*VLOOKUP(E41,'Reeksen (N)'!$A$5:$B$76,2),0)</f>
        <v>0</v>
      </c>
      <c r="H41" s="84">
        <f ca="1">(1-('Invoer gegevens (N)'!$F$20/12))*F41*MIN('Reeksen (N)'!B41,'Reeksen (N)'!D41)</f>
        <v>0</v>
      </c>
      <c r="I41" s="84">
        <f>IF('Reeksen (N)'!D41&lt;'Reeksen (N)'!B41,('Reeksen (N)'!B41-'Reeksen (N)'!D41)*F41,0)</f>
        <v>0</v>
      </c>
      <c r="J41" s="84">
        <f ca="1">('Invoer gegevens (N)'!$F$20/12)*F40*MIN('Reeksen (N)'!B40,'Reeksen (N)'!D40)</f>
        <v>0</v>
      </c>
      <c r="K41" s="97">
        <f t="shared" ca="1" si="0"/>
        <v>0</v>
      </c>
      <c r="L41" s="84">
        <f ca="1">IF('Invoer gegevens (N)'!$C$17=E41,0,IF(C41=1,Q40,0))</f>
        <v>0</v>
      </c>
      <c r="M41" s="96">
        <f ca="1">IF(C41&gt;=1,L41*VLOOKUP(E41,'Reeksen (N)'!$A$5:$B$76,2),0)</f>
        <v>0</v>
      </c>
      <c r="N41" s="84">
        <f ca="1">(1-('Invoer gegevens (N)'!$F$20/12))*L41*MIN('Reeksen (N)'!B41,'Reeksen (N)'!D41)</f>
        <v>0</v>
      </c>
      <c r="O41" s="84">
        <f>IF('Reeksen (N)'!D41&lt;'Reeksen (N)'!B41,('Reeksen (N)'!B41-'Reeksen (N)'!D41)*L41,0)</f>
        <v>0</v>
      </c>
      <c r="P41" s="84">
        <f ca="1">('Invoer gegevens (N)'!$F$20/12)*L40*MIN('Reeksen (N)'!B40,'Reeksen (N)'!D40)</f>
        <v>0</v>
      </c>
      <c r="Q41" s="84">
        <f t="shared" ca="1" si="1"/>
        <v>0</v>
      </c>
      <c r="R41" s="82">
        <f ca="1">IF('Invoer gegevens (N)'!$C$17=E41,'Invoer gegevens (N)'!$C$11,IF(C41=1,W40,0))</f>
        <v>0</v>
      </c>
      <c r="S41" s="86">
        <f ca="1">IF(C41&gt;=1,R41*VLOOKUP(E41,'Reeksen (N)'!$A$5:$B$76,2),0)</f>
        <v>0</v>
      </c>
      <c r="T41" s="84">
        <f ca="1">(1-('Invoer gegevens (N)'!$F$20/12))*R41*MIN('Reeksen (N)'!B41,'Reeksen (N)'!D41)</f>
        <v>0</v>
      </c>
      <c r="U41" s="84">
        <f>IF('Reeksen (N)'!D41&gt;='Reeksen (N)'!B41,0,IF('Reeksen (N)'!AD41&lt;='Reeksen (N)'!AE41,('Reeksen (N)'!B41-'Reeksen (N)'!D41)*R41,0))</f>
        <v>0</v>
      </c>
      <c r="V41" s="86">
        <f>IF('Reeksen (N)'!D41&gt;='Reeksen (N)'!B41,0,IF('Reeksen (N)'!AD41&gt;'Reeksen (N)'!AE41,('Reeksen (N)'!B41-'Reeksen (N)'!D41)*R41,0))</f>
        <v>0</v>
      </c>
      <c r="W41" s="97">
        <f t="shared" ca="1" si="2"/>
        <v>0</v>
      </c>
      <c r="X41" s="98">
        <f ca="1">IF('Invoer gegevens (N)'!$C$17=E41,'Invoer gegevens (N)'!$C$10-'Invoer gegevens (N)'!$C$11,IF(C41=1,AC40,0))</f>
        <v>0</v>
      </c>
      <c r="Y41" s="98">
        <f ca="1">IF(C41&gt;=1,X41*VLOOKUP(E41,'Reeksen (N)'!$A$5:$B$76,2),0)</f>
        <v>0</v>
      </c>
      <c r="Z41" s="98">
        <f ca="1">(1-('Invoer gegevens (N)'!$F$20/12))*X41*MIN('Reeksen (N)'!B41,'Reeksen (N)'!D41)</f>
        <v>0</v>
      </c>
      <c r="AA41" s="98">
        <f>IF('Reeksen (N)'!D41&gt;='Reeksen (N)'!B41,0,IF('Reeksen (N)'!AD41&lt;='Reeksen (N)'!AE41,('Reeksen (N)'!B41-'Reeksen (N)'!D41)*X41,0))</f>
        <v>0</v>
      </c>
      <c r="AB41" s="98">
        <f>IF('Reeksen (N)'!D41&gt;='Reeksen (N)'!B41,0,IF('Reeksen (N)'!AD41&gt;'Reeksen (N)'!AE41,('Reeksen (N)'!B41-'Reeksen (N)'!D41)*X41,0))</f>
        <v>0</v>
      </c>
      <c r="AC41" s="99">
        <f t="shared" ca="1" si="3"/>
        <v>0</v>
      </c>
      <c r="AD41" s="98">
        <f ca="1">IF('Invoer gegevens (N)'!$C$17=E41,R41,IF(C41=0,0,AE40))</f>
        <v>0</v>
      </c>
      <c r="AE41" s="98">
        <f t="shared" ca="1" si="4"/>
        <v>0</v>
      </c>
      <c r="AF41" s="98">
        <f ca="1">IF('Invoer gegevens (N)'!$C$17=E41,X41,IF(C41=0,0,AG40))</f>
        <v>0</v>
      </c>
      <c r="AG41" s="98">
        <f t="shared" ca="1" si="5"/>
        <v>0</v>
      </c>
      <c r="AH41" s="66"/>
      <c r="AI41" s="71">
        <f ca="1">IF(C41=1,'Reeksen (N)'!AI41*((F41-G41+F41)/2)*12+'Reeksen (N)'!AD41*((L41-M41+L41)/2)*12,0)</f>
        <v>0</v>
      </c>
      <c r="AJ41" s="71">
        <f ca="1">-AI41*'Invoer gegevens (N)'!$F$28</f>
        <v>0</v>
      </c>
      <c r="AK41" s="71">
        <f t="shared" ca="1" si="6"/>
        <v>0</v>
      </c>
      <c r="AL41" s="71">
        <f ca="1">IF(C41=1,'Reeksen (N)'!AL41*((F41-G41+F41)/2)*12+'Reeksen (N)'!AM41*((L41-M41+L41)/2)*12,0)</f>
        <v>0</v>
      </c>
      <c r="AM41" s="71">
        <f ca="1">-AL41*'Invoer gegevens (N)'!$F$31</f>
        <v>0</v>
      </c>
      <c r="AN41" s="71">
        <f t="shared" ca="1" si="7"/>
        <v>0</v>
      </c>
      <c r="AO41" s="71">
        <f ca="1">IF(C41=1,(H41+J41+N41+P41)*'Reeksen (N)'!AN41,0)</f>
        <v>0</v>
      </c>
      <c r="AP41" s="71">
        <f ca="1">-IF(C41=1,(H41+J41+N41+P41)*'Hulp - basis'!$O$550*'Reeksen (N)'!H41,0)</f>
        <v>0</v>
      </c>
      <c r="AQ41" s="71">
        <f ca="1">-IF(C41=1,(F41+K41+L41+Q41)/2*'Invoer gegevens (N)'!$F$35*'Reeksen (N)'!J41,0)*2</f>
        <v>0</v>
      </c>
      <c r="AR41" s="71"/>
      <c r="AS41" s="71">
        <f ca="1">-IF(C41=1,(F41+K41+L41+Q41)/2*'Invoer gegevens (N)'!$F$37*'Reeksen (N)'!L41,0)</f>
        <v>0</v>
      </c>
      <c r="AT41" s="71">
        <f ca="1">-IF(C41=1,IF(E41='Invoer gegevens (N)'!$C$17,'Invoer gegevens (N)'!$C$11,AD41)*'Reeksen (N)'!S41*'Invoer gegevens (N)'!$C$18*'Reeksen (N)'!P41,0)</f>
        <v>0</v>
      </c>
      <c r="AU41" s="71">
        <f ca="1">-IF(C41=1,(F41+K41+L41+Q41)/2*'Invoer gegevens (N)'!$F$38*'Reeksen (N)'!H41,0)</f>
        <v>0</v>
      </c>
      <c r="AV41" s="71">
        <v>0</v>
      </c>
      <c r="AW41" s="71">
        <f t="shared" ca="1" si="8"/>
        <v>0</v>
      </c>
      <c r="AX41" s="71">
        <f ca="1">IF(E41&lt;'Invoer gegevens (N)'!$C$17+15,0,IF(E41&gt;'Invoer gegevens (N)'!$C$17+215,0,AW41))</f>
        <v>0</v>
      </c>
      <c r="AY41" s="71">
        <f ca="1">AX41/(1+'Invoer gegevens (N)'!$F$18)^($AZ41-('Invoer gegevens (N)'!$C$17-'Invoer gegevens (N)'!$C$16))/(1+'Invoer gegevens (N)'!$C$39)^('Invoer gegevens (N)'!$C$17-'Invoer gegevens (N)'!$C$16)</f>
        <v>0</v>
      </c>
      <c r="AZ41" s="68">
        <f ca="1">IF(E41-'Invoer gegevens (N)'!$C$17-14.5&lt;0,0,E41-'Invoer gegevens (N)'!$C$17-14.5)</f>
        <v>21.5</v>
      </c>
    </row>
    <row r="42" spans="1:52" x14ac:dyDescent="0.25">
      <c r="A42" s="59"/>
      <c r="B42" s="70">
        <f t="shared" si="9"/>
        <v>38</v>
      </c>
      <c r="C42" s="67">
        <f ca="1">IF(E42-'Invoer gegevens (N)'!$C$17&lt;0,0,1)</f>
        <v>1</v>
      </c>
      <c r="D42" s="68">
        <f t="shared" si="10"/>
        <v>37.5</v>
      </c>
      <c r="E42" s="69">
        <f ca="1">IF('Invoer gegevens (N)'!$C$16="","",E41+1)</f>
        <v>2056</v>
      </c>
      <c r="F42" s="84">
        <f ca="1">IF('Invoer gegevens (N)'!$C$17=E42,'Invoer gegevens (N)'!$C$10,IF(C42=1,K41,0))</f>
        <v>0</v>
      </c>
      <c r="G42" s="96">
        <f ca="1">IF(C42&gt;=1,F42*VLOOKUP(E42,'Reeksen (N)'!$A$5:$B$76,2),0)</f>
        <v>0</v>
      </c>
      <c r="H42" s="84">
        <f ca="1">(1-('Invoer gegevens (N)'!$F$20/12))*F42*MIN('Reeksen (N)'!B42,'Reeksen (N)'!D42)</f>
        <v>0</v>
      </c>
      <c r="I42" s="84">
        <f>IF('Reeksen (N)'!D42&lt;'Reeksen (N)'!B42,('Reeksen (N)'!B42-'Reeksen (N)'!D42)*F42,0)</f>
        <v>0</v>
      </c>
      <c r="J42" s="84">
        <f ca="1">('Invoer gegevens (N)'!$F$20/12)*F41*MIN('Reeksen (N)'!B41,'Reeksen (N)'!D41)</f>
        <v>0</v>
      </c>
      <c r="K42" s="97">
        <f t="shared" ca="1" si="0"/>
        <v>0</v>
      </c>
      <c r="L42" s="84">
        <f ca="1">IF('Invoer gegevens (N)'!$C$17=E42,0,IF(C42=1,Q41,0))</f>
        <v>0</v>
      </c>
      <c r="M42" s="96">
        <f ca="1">IF(C42&gt;=1,L42*VLOOKUP(E42,'Reeksen (N)'!$A$5:$B$76,2),0)</f>
        <v>0</v>
      </c>
      <c r="N42" s="84">
        <f ca="1">(1-('Invoer gegevens (N)'!$F$20/12))*L42*MIN('Reeksen (N)'!B42,'Reeksen (N)'!D42)</f>
        <v>0</v>
      </c>
      <c r="O42" s="84">
        <f>IF('Reeksen (N)'!D42&lt;'Reeksen (N)'!B42,('Reeksen (N)'!B42-'Reeksen (N)'!D42)*L42,0)</f>
        <v>0</v>
      </c>
      <c r="P42" s="84">
        <f ca="1">('Invoer gegevens (N)'!$F$20/12)*L41*MIN('Reeksen (N)'!B41,'Reeksen (N)'!D41)</f>
        <v>0</v>
      </c>
      <c r="Q42" s="84">
        <f t="shared" ca="1" si="1"/>
        <v>0</v>
      </c>
      <c r="R42" s="82">
        <f ca="1">IF('Invoer gegevens (N)'!$C$17=E42,'Invoer gegevens (N)'!$C$11,IF(C42=1,W41,0))</f>
        <v>0</v>
      </c>
      <c r="S42" s="86">
        <f ca="1">IF(C42&gt;=1,R42*VLOOKUP(E42,'Reeksen (N)'!$A$5:$B$76,2),0)</f>
        <v>0</v>
      </c>
      <c r="T42" s="84">
        <f ca="1">(1-('Invoer gegevens (N)'!$F$20/12))*R42*MIN('Reeksen (N)'!B42,'Reeksen (N)'!D42)</f>
        <v>0</v>
      </c>
      <c r="U42" s="84">
        <f>IF('Reeksen (N)'!D42&gt;='Reeksen (N)'!B42,0,IF('Reeksen (N)'!AD42&lt;='Reeksen (N)'!AE42,('Reeksen (N)'!B42-'Reeksen (N)'!D42)*R42,0))</f>
        <v>0</v>
      </c>
      <c r="V42" s="86">
        <f>IF('Reeksen (N)'!D42&gt;='Reeksen (N)'!B42,0,IF('Reeksen (N)'!AD42&gt;'Reeksen (N)'!AE42,('Reeksen (N)'!B42-'Reeksen (N)'!D42)*R42,0))</f>
        <v>0</v>
      </c>
      <c r="W42" s="97">
        <f t="shared" ca="1" si="2"/>
        <v>0</v>
      </c>
      <c r="X42" s="98">
        <f ca="1">IF('Invoer gegevens (N)'!$C$17=E42,'Invoer gegevens (N)'!$C$10-'Invoer gegevens (N)'!$C$11,IF(C42=1,AC41,0))</f>
        <v>0</v>
      </c>
      <c r="Y42" s="98">
        <f ca="1">IF(C42&gt;=1,X42*VLOOKUP(E42,'Reeksen (N)'!$A$5:$B$76,2),0)</f>
        <v>0</v>
      </c>
      <c r="Z42" s="98">
        <f ca="1">(1-('Invoer gegevens (N)'!$F$20/12))*X42*MIN('Reeksen (N)'!B42,'Reeksen (N)'!D42)</f>
        <v>0</v>
      </c>
      <c r="AA42" s="98">
        <f>IF('Reeksen (N)'!D42&gt;='Reeksen (N)'!B42,0,IF('Reeksen (N)'!AD42&lt;='Reeksen (N)'!AE42,('Reeksen (N)'!B42-'Reeksen (N)'!D42)*X42,0))</f>
        <v>0</v>
      </c>
      <c r="AB42" s="98">
        <f>IF('Reeksen (N)'!D42&gt;='Reeksen (N)'!B42,0,IF('Reeksen (N)'!AD42&gt;'Reeksen (N)'!AE42,('Reeksen (N)'!B42-'Reeksen (N)'!D42)*X42,0))</f>
        <v>0</v>
      </c>
      <c r="AC42" s="99">
        <f t="shared" ca="1" si="3"/>
        <v>0</v>
      </c>
      <c r="AD42" s="98">
        <f ca="1">IF('Invoer gegevens (N)'!$C$17=E42,R42,IF(C42=0,0,AE41))</f>
        <v>0</v>
      </c>
      <c r="AE42" s="98">
        <f t="shared" ca="1" si="4"/>
        <v>0</v>
      </c>
      <c r="AF42" s="98">
        <f ca="1">IF('Invoer gegevens (N)'!$C$17=E42,X42,IF(C42=0,0,AG41))</f>
        <v>0</v>
      </c>
      <c r="AG42" s="98">
        <f t="shared" ca="1" si="5"/>
        <v>0</v>
      </c>
      <c r="AH42" s="66"/>
      <c r="AI42" s="71">
        <f ca="1">IF(C42=1,'Reeksen (N)'!AI42*((F42-G42+F42)/2)*12+'Reeksen (N)'!AD42*((L42-M42+L42)/2)*12,0)</f>
        <v>0</v>
      </c>
      <c r="AJ42" s="71">
        <f ca="1">-AI42*'Invoer gegevens (N)'!$F$28</f>
        <v>0</v>
      </c>
      <c r="AK42" s="71">
        <f t="shared" ca="1" si="6"/>
        <v>0</v>
      </c>
      <c r="AL42" s="71">
        <f ca="1">IF(C42=1,'Reeksen (N)'!AL42*((F42-G42+F42)/2)*12+'Reeksen (N)'!AM42*((L42-M42+L42)/2)*12,0)</f>
        <v>0</v>
      </c>
      <c r="AM42" s="71">
        <f ca="1">-AL42*'Invoer gegevens (N)'!$F$31</f>
        <v>0</v>
      </c>
      <c r="AN42" s="71">
        <f t="shared" ca="1" si="7"/>
        <v>0</v>
      </c>
      <c r="AO42" s="71">
        <f ca="1">IF(C42=1,(H42+J42+N42+P42)*'Reeksen (N)'!AN42,0)</f>
        <v>0</v>
      </c>
      <c r="AP42" s="71">
        <f ca="1">-IF(C42=1,(H42+J42+N42+P42)*'Hulp - basis'!$O$550*'Reeksen (N)'!H42,0)</f>
        <v>0</v>
      </c>
      <c r="AQ42" s="71">
        <f ca="1">-IF(C42=1,(F42+K42+L42+Q42)/2*'Invoer gegevens (N)'!$F$35*'Reeksen (N)'!J42,0)*2</f>
        <v>0</v>
      </c>
      <c r="AR42" s="71"/>
      <c r="AS42" s="71">
        <f ca="1">-IF(C42=1,(F42+K42+L42+Q42)/2*'Invoer gegevens (N)'!$F$37*'Reeksen (N)'!L42,0)</f>
        <v>0</v>
      </c>
      <c r="AT42" s="71">
        <f ca="1">-IF(C42=1,IF(E42='Invoer gegevens (N)'!$C$17,'Invoer gegevens (N)'!$C$11,AD42)*'Reeksen (N)'!S42*'Invoer gegevens (N)'!$C$18*'Reeksen (N)'!P42,0)</f>
        <v>0</v>
      </c>
      <c r="AU42" s="71">
        <f ca="1">-IF(C42=1,(F42+K42+L42+Q42)/2*'Invoer gegevens (N)'!$F$38*'Reeksen (N)'!H42,0)</f>
        <v>0</v>
      </c>
      <c r="AV42" s="71">
        <v>0</v>
      </c>
      <c r="AW42" s="71">
        <f t="shared" ca="1" si="8"/>
        <v>0</v>
      </c>
      <c r="AX42" s="71">
        <f ca="1">IF(E42&lt;'Invoer gegevens (N)'!$C$17+15,0,IF(E42&gt;'Invoer gegevens (N)'!$C$17+215,0,AW42))</f>
        <v>0</v>
      </c>
      <c r="AY42" s="71">
        <f ca="1">AX42/(1+'Invoer gegevens (N)'!$F$18)^($AZ42-('Invoer gegevens (N)'!$C$17-'Invoer gegevens (N)'!$C$16))/(1+'Invoer gegevens (N)'!$C$39)^('Invoer gegevens (N)'!$C$17-'Invoer gegevens (N)'!$C$16)</f>
        <v>0</v>
      </c>
      <c r="AZ42" s="68">
        <f ca="1">IF(E42-'Invoer gegevens (N)'!$C$17-14.5&lt;0,0,E42-'Invoer gegevens (N)'!$C$17-14.5)</f>
        <v>22.5</v>
      </c>
    </row>
    <row r="43" spans="1:52" x14ac:dyDescent="0.25">
      <c r="A43" s="59"/>
      <c r="B43" s="70">
        <f t="shared" si="9"/>
        <v>39</v>
      </c>
      <c r="C43" s="67">
        <f ca="1">IF(E43-'Invoer gegevens (N)'!$C$17&lt;0,0,1)</f>
        <v>1</v>
      </c>
      <c r="D43" s="68">
        <f t="shared" si="10"/>
        <v>38.5</v>
      </c>
      <c r="E43" s="69">
        <f ca="1">IF('Invoer gegevens (N)'!$C$16="","",E42+1)</f>
        <v>2057</v>
      </c>
      <c r="F43" s="84">
        <f ca="1">IF('Invoer gegevens (N)'!$C$17=E43,'Invoer gegevens (N)'!$C$10,IF(C43=1,K42,0))</f>
        <v>0</v>
      </c>
      <c r="G43" s="96">
        <f ca="1">IF(C43&gt;=1,F43*VLOOKUP(E43,'Reeksen (N)'!$A$5:$B$76,2),0)</f>
        <v>0</v>
      </c>
      <c r="H43" s="84">
        <f ca="1">(1-('Invoer gegevens (N)'!$F$20/12))*F43*MIN('Reeksen (N)'!B43,'Reeksen (N)'!D43)</f>
        <v>0</v>
      </c>
      <c r="I43" s="84">
        <f>IF('Reeksen (N)'!D43&lt;'Reeksen (N)'!B43,('Reeksen (N)'!B43-'Reeksen (N)'!D43)*F43,0)</f>
        <v>0</v>
      </c>
      <c r="J43" s="84">
        <f ca="1">('Invoer gegevens (N)'!$F$20/12)*F42*MIN('Reeksen (N)'!B42,'Reeksen (N)'!D42)</f>
        <v>0</v>
      </c>
      <c r="K43" s="97">
        <f t="shared" ca="1" si="0"/>
        <v>0</v>
      </c>
      <c r="L43" s="84">
        <f ca="1">IF('Invoer gegevens (N)'!$C$17=E43,0,IF(C43=1,Q42,0))</f>
        <v>0</v>
      </c>
      <c r="M43" s="96">
        <f ca="1">IF(C43&gt;=1,L43*VLOOKUP(E43,'Reeksen (N)'!$A$5:$B$76,2),0)</f>
        <v>0</v>
      </c>
      <c r="N43" s="84">
        <f ca="1">(1-('Invoer gegevens (N)'!$F$20/12))*L43*MIN('Reeksen (N)'!B43,'Reeksen (N)'!D43)</f>
        <v>0</v>
      </c>
      <c r="O43" s="84">
        <f>IF('Reeksen (N)'!D43&lt;'Reeksen (N)'!B43,('Reeksen (N)'!B43-'Reeksen (N)'!D43)*L43,0)</f>
        <v>0</v>
      </c>
      <c r="P43" s="84">
        <f ca="1">('Invoer gegevens (N)'!$F$20/12)*L42*MIN('Reeksen (N)'!B42,'Reeksen (N)'!D42)</f>
        <v>0</v>
      </c>
      <c r="Q43" s="84">
        <f t="shared" ca="1" si="1"/>
        <v>0</v>
      </c>
      <c r="R43" s="82">
        <f ca="1">IF('Invoer gegevens (N)'!$C$17=E43,'Invoer gegevens (N)'!$C$11,IF(C43=1,W42,0))</f>
        <v>0</v>
      </c>
      <c r="S43" s="86">
        <f ca="1">IF(C43&gt;=1,R43*VLOOKUP(E43,'Reeksen (N)'!$A$5:$B$76,2),0)</f>
        <v>0</v>
      </c>
      <c r="T43" s="84">
        <f ca="1">(1-('Invoer gegevens (N)'!$F$20/12))*R43*MIN('Reeksen (N)'!B43,'Reeksen (N)'!D43)</f>
        <v>0</v>
      </c>
      <c r="U43" s="84">
        <f>IF('Reeksen (N)'!D43&gt;='Reeksen (N)'!B43,0,IF('Reeksen (N)'!AD43&lt;='Reeksen (N)'!AE43,('Reeksen (N)'!B43-'Reeksen (N)'!D43)*R43,0))</f>
        <v>0</v>
      </c>
      <c r="V43" s="86">
        <f>IF('Reeksen (N)'!D43&gt;='Reeksen (N)'!B43,0,IF('Reeksen (N)'!AD43&gt;'Reeksen (N)'!AE43,('Reeksen (N)'!B43-'Reeksen (N)'!D43)*R43,0))</f>
        <v>0</v>
      </c>
      <c r="W43" s="97">
        <f t="shared" ca="1" si="2"/>
        <v>0</v>
      </c>
      <c r="X43" s="98">
        <f ca="1">IF('Invoer gegevens (N)'!$C$17=E43,'Invoer gegevens (N)'!$C$10-'Invoer gegevens (N)'!$C$11,IF(C43=1,AC42,0))</f>
        <v>0</v>
      </c>
      <c r="Y43" s="98">
        <f ca="1">IF(C43&gt;=1,X43*VLOOKUP(E43,'Reeksen (N)'!$A$5:$B$76,2),0)</f>
        <v>0</v>
      </c>
      <c r="Z43" s="98">
        <f ca="1">(1-('Invoer gegevens (N)'!$F$20/12))*X43*MIN('Reeksen (N)'!B43,'Reeksen (N)'!D43)</f>
        <v>0</v>
      </c>
      <c r="AA43" s="98">
        <f>IF('Reeksen (N)'!D43&gt;='Reeksen (N)'!B43,0,IF('Reeksen (N)'!AD43&lt;='Reeksen (N)'!AE43,('Reeksen (N)'!B43-'Reeksen (N)'!D43)*X43,0))</f>
        <v>0</v>
      </c>
      <c r="AB43" s="98">
        <f>IF('Reeksen (N)'!D43&gt;='Reeksen (N)'!B43,0,IF('Reeksen (N)'!AD43&gt;'Reeksen (N)'!AE43,('Reeksen (N)'!B43-'Reeksen (N)'!D43)*X43,0))</f>
        <v>0</v>
      </c>
      <c r="AC43" s="99">
        <f t="shared" ca="1" si="3"/>
        <v>0</v>
      </c>
      <c r="AD43" s="98">
        <f ca="1">IF('Invoer gegevens (N)'!$C$17=E43,R43,IF(C43=0,0,AE42))</f>
        <v>0</v>
      </c>
      <c r="AE43" s="98">
        <f t="shared" ca="1" si="4"/>
        <v>0</v>
      </c>
      <c r="AF43" s="98">
        <f ca="1">IF('Invoer gegevens (N)'!$C$17=E43,X43,IF(C43=0,0,AG42))</f>
        <v>0</v>
      </c>
      <c r="AG43" s="98">
        <f t="shared" ca="1" si="5"/>
        <v>0</v>
      </c>
      <c r="AH43" s="66"/>
      <c r="AI43" s="71">
        <f ca="1">IF(C43=1,'Reeksen (N)'!AI43*((F43-G43+F43)/2)*12+'Reeksen (N)'!AD43*((L43-M43+L43)/2)*12,0)</f>
        <v>0</v>
      </c>
      <c r="AJ43" s="71">
        <f ca="1">-AI43*'Invoer gegevens (N)'!$F$28</f>
        <v>0</v>
      </c>
      <c r="AK43" s="71">
        <f t="shared" ca="1" si="6"/>
        <v>0</v>
      </c>
      <c r="AL43" s="71">
        <f ca="1">IF(C43=1,'Reeksen (N)'!AL43*((F43-G43+F43)/2)*12+'Reeksen (N)'!AM43*((L43-M43+L43)/2)*12,0)</f>
        <v>0</v>
      </c>
      <c r="AM43" s="71">
        <f ca="1">-AL43*'Invoer gegevens (N)'!$F$31</f>
        <v>0</v>
      </c>
      <c r="AN43" s="71">
        <f t="shared" ca="1" si="7"/>
        <v>0</v>
      </c>
      <c r="AO43" s="71">
        <f ca="1">IF(C43=1,(H43+J43+N43+P43)*'Reeksen (N)'!AN43,0)</f>
        <v>0</v>
      </c>
      <c r="AP43" s="71">
        <f ca="1">-IF(C43=1,(H43+J43+N43+P43)*'Hulp - basis'!$O$550*'Reeksen (N)'!H43,0)</f>
        <v>0</v>
      </c>
      <c r="AQ43" s="71">
        <f ca="1">-IF(C43=1,(F43+K43+L43+Q43)/2*'Invoer gegevens (N)'!$F$35*'Reeksen (N)'!J43,0)*2</f>
        <v>0</v>
      </c>
      <c r="AR43" s="71"/>
      <c r="AS43" s="71">
        <f ca="1">-IF(C43=1,(F43+K43+L43+Q43)/2*'Invoer gegevens (N)'!$F$37*'Reeksen (N)'!L43,0)</f>
        <v>0</v>
      </c>
      <c r="AT43" s="71">
        <f ca="1">-IF(C43=1,IF(E43='Invoer gegevens (N)'!$C$17,'Invoer gegevens (N)'!$C$11,AD43)*'Reeksen (N)'!S43*'Invoer gegevens (N)'!$C$18*'Reeksen (N)'!P43,0)</f>
        <v>0</v>
      </c>
      <c r="AU43" s="71">
        <f ca="1">-IF(C43=1,(F43+K43+L43+Q43)/2*'Invoer gegevens (N)'!$F$38*'Reeksen (N)'!H43,0)</f>
        <v>0</v>
      </c>
      <c r="AV43" s="71">
        <v>0</v>
      </c>
      <c r="AW43" s="71">
        <f t="shared" ca="1" si="8"/>
        <v>0</v>
      </c>
      <c r="AX43" s="71">
        <f ca="1">IF(E43&lt;'Invoer gegevens (N)'!$C$17+15,0,IF(E43&gt;'Invoer gegevens (N)'!$C$17+215,0,AW43))</f>
        <v>0</v>
      </c>
      <c r="AY43" s="71">
        <f ca="1">AX43/(1+'Invoer gegevens (N)'!$F$18)^($AZ43-('Invoer gegevens (N)'!$C$17-'Invoer gegevens (N)'!$C$16))/(1+'Invoer gegevens (N)'!$C$39)^('Invoer gegevens (N)'!$C$17-'Invoer gegevens (N)'!$C$16)</f>
        <v>0</v>
      </c>
      <c r="AZ43" s="68">
        <f ca="1">IF(E43-'Invoer gegevens (N)'!$C$17-14.5&lt;0,0,E43-'Invoer gegevens (N)'!$C$17-14.5)</f>
        <v>23.5</v>
      </c>
    </row>
    <row r="44" spans="1:52" x14ac:dyDescent="0.25">
      <c r="A44" s="59"/>
      <c r="B44" s="70">
        <f t="shared" si="9"/>
        <v>40</v>
      </c>
      <c r="C44" s="67">
        <f ca="1">IF(E44-'Invoer gegevens (N)'!$C$17&lt;0,0,1)</f>
        <v>1</v>
      </c>
      <c r="D44" s="68">
        <f t="shared" si="10"/>
        <v>39.5</v>
      </c>
      <c r="E44" s="69">
        <f ca="1">IF('Invoer gegevens (N)'!$C$16="","",E43+1)</f>
        <v>2058</v>
      </c>
      <c r="F44" s="84">
        <f ca="1">IF('Invoer gegevens (N)'!$C$17=E44,'Invoer gegevens (N)'!$C$10,IF(C44=1,K43,0))</f>
        <v>0</v>
      </c>
      <c r="G44" s="96">
        <f ca="1">IF(C44&gt;=1,F44*VLOOKUP(E44,'Reeksen (N)'!$A$5:$B$76,2),0)</f>
        <v>0</v>
      </c>
      <c r="H44" s="84">
        <f ca="1">(1-('Invoer gegevens (N)'!$F$20/12))*F44*MIN('Reeksen (N)'!B44,'Reeksen (N)'!D44)</f>
        <v>0</v>
      </c>
      <c r="I44" s="84">
        <f>IF('Reeksen (N)'!D44&lt;'Reeksen (N)'!B44,('Reeksen (N)'!B44-'Reeksen (N)'!D44)*F44,0)</f>
        <v>0</v>
      </c>
      <c r="J44" s="84">
        <f ca="1">('Invoer gegevens (N)'!$F$20/12)*F43*MIN('Reeksen (N)'!B43,'Reeksen (N)'!D43)</f>
        <v>0</v>
      </c>
      <c r="K44" s="97">
        <f t="shared" ca="1" si="0"/>
        <v>0</v>
      </c>
      <c r="L44" s="84">
        <f ca="1">IF('Invoer gegevens (N)'!$C$17=E44,0,IF(C44=1,Q43,0))</f>
        <v>0</v>
      </c>
      <c r="M44" s="96">
        <f ca="1">IF(C44&gt;=1,L44*VLOOKUP(E44,'Reeksen (N)'!$A$5:$B$76,2),0)</f>
        <v>0</v>
      </c>
      <c r="N44" s="84">
        <f ca="1">(1-('Invoer gegevens (N)'!$F$20/12))*L44*MIN('Reeksen (N)'!B44,'Reeksen (N)'!D44)</f>
        <v>0</v>
      </c>
      <c r="O44" s="84">
        <f>IF('Reeksen (N)'!D44&lt;'Reeksen (N)'!B44,('Reeksen (N)'!B44-'Reeksen (N)'!D44)*L44,0)</f>
        <v>0</v>
      </c>
      <c r="P44" s="84">
        <f ca="1">('Invoer gegevens (N)'!$F$20/12)*L43*MIN('Reeksen (N)'!B43,'Reeksen (N)'!D43)</f>
        <v>0</v>
      </c>
      <c r="Q44" s="84">
        <f t="shared" ca="1" si="1"/>
        <v>0</v>
      </c>
      <c r="R44" s="82">
        <f ca="1">IF('Invoer gegevens (N)'!$C$17=E44,'Invoer gegevens (N)'!$C$11,IF(C44=1,W43,0))</f>
        <v>0</v>
      </c>
      <c r="S44" s="86">
        <f ca="1">IF(C44&gt;=1,R44*VLOOKUP(E44,'Reeksen (N)'!$A$5:$B$76,2),0)</f>
        <v>0</v>
      </c>
      <c r="T44" s="84">
        <f ca="1">(1-('Invoer gegevens (N)'!$F$20/12))*R44*MIN('Reeksen (N)'!B44,'Reeksen (N)'!D44)</f>
        <v>0</v>
      </c>
      <c r="U44" s="84">
        <f>IF('Reeksen (N)'!D44&gt;='Reeksen (N)'!B44,0,IF('Reeksen (N)'!AD44&lt;='Reeksen (N)'!AE44,('Reeksen (N)'!B44-'Reeksen (N)'!D44)*R44,0))</f>
        <v>0</v>
      </c>
      <c r="V44" s="86">
        <f>IF('Reeksen (N)'!D44&gt;='Reeksen (N)'!B44,0,IF('Reeksen (N)'!AD44&gt;'Reeksen (N)'!AE44,('Reeksen (N)'!B44-'Reeksen (N)'!D44)*R44,0))</f>
        <v>0</v>
      </c>
      <c r="W44" s="97">
        <f t="shared" ca="1" si="2"/>
        <v>0</v>
      </c>
      <c r="X44" s="98">
        <f ca="1">IF('Invoer gegevens (N)'!$C$17=E44,'Invoer gegevens (N)'!$C$10-'Invoer gegevens (N)'!$C$11,IF(C44=1,AC43,0))</f>
        <v>0</v>
      </c>
      <c r="Y44" s="98">
        <f ca="1">IF(C44&gt;=1,X44*VLOOKUP(E44,'Reeksen (N)'!$A$5:$B$76,2),0)</f>
        <v>0</v>
      </c>
      <c r="Z44" s="98">
        <f ca="1">(1-('Invoer gegevens (N)'!$F$20/12))*X44*MIN('Reeksen (N)'!B44,'Reeksen (N)'!D44)</f>
        <v>0</v>
      </c>
      <c r="AA44" s="98">
        <f>IF('Reeksen (N)'!D44&gt;='Reeksen (N)'!B44,0,IF('Reeksen (N)'!AD44&lt;='Reeksen (N)'!AE44,('Reeksen (N)'!B44-'Reeksen (N)'!D44)*X44,0))</f>
        <v>0</v>
      </c>
      <c r="AB44" s="98">
        <f>IF('Reeksen (N)'!D44&gt;='Reeksen (N)'!B44,0,IF('Reeksen (N)'!AD44&gt;'Reeksen (N)'!AE44,('Reeksen (N)'!B44-'Reeksen (N)'!D44)*X44,0))</f>
        <v>0</v>
      </c>
      <c r="AC44" s="99">
        <f t="shared" ca="1" si="3"/>
        <v>0</v>
      </c>
      <c r="AD44" s="98">
        <f ca="1">IF('Invoer gegevens (N)'!$C$17=E44,R44,IF(C44=0,0,AE43))</f>
        <v>0</v>
      </c>
      <c r="AE44" s="98">
        <f t="shared" ca="1" si="4"/>
        <v>0</v>
      </c>
      <c r="AF44" s="98">
        <f ca="1">IF('Invoer gegevens (N)'!$C$17=E44,X44,IF(C44=0,0,AG43))</f>
        <v>0</v>
      </c>
      <c r="AG44" s="98">
        <f t="shared" ca="1" si="5"/>
        <v>0</v>
      </c>
      <c r="AH44" s="66"/>
      <c r="AI44" s="71">
        <f ca="1">IF(C44=1,'Reeksen (N)'!AI44*((F44-G44+F44)/2)*12+'Reeksen (N)'!AD44*((L44-M44+L44)/2)*12,0)</f>
        <v>0</v>
      </c>
      <c r="AJ44" s="71">
        <f ca="1">-AI44*'Invoer gegevens (N)'!$F$28</f>
        <v>0</v>
      </c>
      <c r="AK44" s="71">
        <f t="shared" ca="1" si="6"/>
        <v>0</v>
      </c>
      <c r="AL44" s="71">
        <f ca="1">IF(C44=1,'Reeksen (N)'!AL44*((F44-G44+F44)/2)*12+'Reeksen (N)'!AM44*((L44-M44+L44)/2)*12,0)</f>
        <v>0</v>
      </c>
      <c r="AM44" s="71">
        <f ca="1">-AL44*'Invoer gegevens (N)'!$F$31</f>
        <v>0</v>
      </c>
      <c r="AN44" s="71">
        <f t="shared" ca="1" si="7"/>
        <v>0</v>
      </c>
      <c r="AO44" s="71">
        <f ca="1">IF(C44=1,(H44+J44+N44+P44)*'Reeksen (N)'!AN44,0)</f>
        <v>0</v>
      </c>
      <c r="AP44" s="71">
        <f ca="1">-IF(C44=1,(H44+J44+N44+P44)*'Hulp - basis'!$O$550*'Reeksen (N)'!H44,0)</f>
        <v>0</v>
      </c>
      <c r="AQ44" s="71">
        <f ca="1">-IF(C44=1,(F44+K44+L44+Q44)/2*'Invoer gegevens (N)'!$F$35*'Reeksen (N)'!J44,0)*2</f>
        <v>0</v>
      </c>
      <c r="AR44" s="71"/>
      <c r="AS44" s="71">
        <f ca="1">-IF(C44=1,(F44+K44+L44+Q44)/2*'Invoer gegevens (N)'!$F$37*'Reeksen (N)'!L44,0)</f>
        <v>0</v>
      </c>
      <c r="AT44" s="71">
        <f ca="1">-IF(C44=1,IF(E44='Invoer gegevens (N)'!$C$17,'Invoer gegevens (N)'!$C$11,AD44)*'Reeksen (N)'!S44*'Invoer gegevens (N)'!$C$18*'Reeksen (N)'!P44,0)</f>
        <v>0</v>
      </c>
      <c r="AU44" s="71">
        <f ca="1">-IF(C44=1,(F44+K44+L44+Q44)/2*'Invoer gegevens (N)'!$F$38*'Reeksen (N)'!H44,0)</f>
        <v>0</v>
      </c>
      <c r="AV44" s="71">
        <v>0</v>
      </c>
      <c r="AW44" s="71">
        <f t="shared" ca="1" si="8"/>
        <v>0</v>
      </c>
      <c r="AX44" s="71">
        <f ca="1">IF(E44&lt;'Invoer gegevens (N)'!$C$17+15,0,IF(E44&gt;'Invoer gegevens (N)'!$C$17+215,0,AW44))</f>
        <v>0</v>
      </c>
      <c r="AY44" s="71">
        <f ca="1">AX44/(1+'Invoer gegevens (N)'!$F$18)^($AZ44-('Invoer gegevens (N)'!$C$17-'Invoer gegevens (N)'!$C$16))/(1+'Invoer gegevens (N)'!$C$39)^('Invoer gegevens (N)'!$C$17-'Invoer gegevens (N)'!$C$16)</f>
        <v>0</v>
      </c>
      <c r="AZ44" s="68">
        <f ca="1">IF(E44-'Invoer gegevens (N)'!$C$17-14.5&lt;0,0,E44-'Invoer gegevens (N)'!$C$17-14.5)</f>
        <v>24.5</v>
      </c>
    </row>
    <row r="45" spans="1:52" x14ac:dyDescent="0.25">
      <c r="A45" s="59"/>
      <c r="B45" s="70">
        <f t="shared" si="9"/>
        <v>41</v>
      </c>
      <c r="C45" s="67">
        <f ca="1">IF(E45-'Invoer gegevens (N)'!$C$17&lt;0,0,1)</f>
        <v>1</v>
      </c>
      <c r="D45" s="68">
        <f t="shared" si="10"/>
        <v>40.5</v>
      </c>
      <c r="E45" s="69">
        <f ca="1">IF('Invoer gegevens (N)'!$C$16="","",E44+1)</f>
        <v>2059</v>
      </c>
      <c r="F45" s="84">
        <f ca="1">IF('Invoer gegevens (N)'!$C$17=E45,'Invoer gegevens (N)'!$C$10,IF(C45=1,K44,0))</f>
        <v>0</v>
      </c>
      <c r="G45" s="96">
        <f ca="1">IF(C45&gt;=1,F45*VLOOKUP(E45,'Reeksen (N)'!$A$5:$B$76,2),0)</f>
        <v>0</v>
      </c>
      <c r="H45" s="84">
        <f ca="1">(1-('Invoer gegevens (N)'!$F$20/12))*F45*MIN('Reeksen (N)'!B45,'Reeksen (N)'!D45)</f>
        <v>0</v>
      </c>
      <c r="I45" s="84">
        <f>IF('Reeksen (N)'!D45&lt;'Reeksen (N)'!B45,('Reeksen (N)'!B45-'Reeksen (N)'!D45)*F45,0)</f>
        <v>0</v>
      </c>
      <c r="J45" s="84">
        <f ca="1">('Invoer gegevens (N)'!$F$20/12)*F44*MIN('Reeksen (N)'!B44,'Reeksen (N)'!D44)</f>
        <v>0</v>
      </c>
      <c r="K45" s="97">
        <f t="shared" ca="1" si="0"/>
        <v>0</v>
      </c>
      <c r="L45" s="84">
        <f ca="1">IF('Invoer gegevens (N)'!$C$17=E45,0,IF(C45=1,Q44,0))</f>
        <v>0</v>
      </c>
      <c r="M45" s="96">
        <f ca="1">IF(C45&gt;=1,L45*VLOOKUP(E45,'Reeksen (N)'!$A$5:$B$76,2),0)</f>
        <v>0</v>
      </c>
      <c r="N45" s="84">
        <f ca="1">(1-('Invoer gegevens (N)'!$F$20/12))*L45*MIN('Reeksen (N)'!B45,'Reeksen (N)'!D45)</f>
        <v>0</v>
      </c>
      <c r="O45" s="84">
        <f>IF('Reeksen (N)'!D45&lt;'Reeksen (N)'!B45,('Reeksen (N)'!B45-'Reeksen (N)'!D45)*L45,0)</f>
        <v>0</v>
      </c>
      <c r="P45" s="84">
        <f ca="1">('Invoer gegevens (N)'!$F$20/12)*L44*MIN('Reeksen (N)'!B44,'Reeksen (N)'!D44)</f>
        <v>0</v>
      </c>
      <c r="Q45" s="84">
        <f t="shared" ca="1" si="1"/>
        <v>0</v>
      </c>
      <c r="R45" s="82">
        <f ca="1">IF('Invoer gegevens (N)'!$C$17=E45,'Invoer gegevens (N)'!$C$11,IF(C45=1,W44,0))</f>
        <v>0</v>
      </c>
      <c r="S45" s="86">
        <f ca="1">IF(C45&gt;=1,R45*VLOOKUP(E45,'Reeksen (N)'!$A$5:$B$76,2),0)</f>
        <v>0</v>
      </c>
      <c r="T45" s="84">
        <f ca="1">(1-('Invoer gegevens (N)'!$F$20/12))*R45*MIN('Reeksen (N)'!B45,'Reeksen (N)'!D45)</f>
        <v>0</v>
      </c>
      <c r="U45" s="84">
        <f>IF('Reeksen (N)'!D45&gt;='Reeksen (N)'!B45,0,IF('Reeksen (N)'!AD45&lt;='Reeksen (N)'!AE45,('Reeksen (N)'!B45-'Reeksen (N)'!D45)*R45,0))</f>
        <v>0</v>
      </c>
      <c r="V45" s="86">
        <f>IF('Reeksen (N)'!D45&gt;='Reeksen (N)'!B45,0,IF('Reeksen (N)'!AD45&gt;'Reeksen (N)'!AE45,('Reeksen (N)'!B45-'Reeksen (N)'!D45)*R45,0))</f>
        <v>0</v>
      </c>
      <c r="W45" s="97">
        <f t="shared" ca="1" si="2"/>
        <v>0</v>
      </c>
      <c r="X45" s="98">
        <f ca="1">IF('Invoer gegevens (N)'!$C$17=E45,'Invoer gegevens (N)'!$C$10-'Invoer gegevens (N)'!$C$11,IF(C45=1,AC44,0))</f>
        <v>0</v>
      </c>
      <c r="Y45" s="98">
        <f ca="1">IF(C45&gt;=1,X45*VLOOKUP(E45,'Reeksen (N)'!$A$5:$B$76,2),0)</f>
        <v>0</v>
      </c>
      <c r="Z45" s="98">
        <f ca="1">(1-('Invoer gegevens (N)'!$F$20/12))*X45*MIN('Reeksen (N)'!B45,'Reeksen (N)'!D45)</f>
        <v>0</v>
      </c>
      <c r="AA45" s="98">
        <f>IF('Reeksen (N)'!D45&gt;='Reeksen (N)'!B45,0,IF('Reeksen (N)'!AD45&lt;='Reeksen (N)'!AE45,('Reeksen (N)'!B45-'Reeksen (N)'!D45)*X45,0))</f>
        <v>0</v>
      </c>
      <c r="AB45" s="98">
        <f>IF('Reeksen (N)'!D45&gt;='Reeksen (N)'!B45,0,IF('Reeksen (N)'!AD45&gt;'Reeksen (N)'!AE45,('Reeksen (N)'!B45-'Reeksen (N)'!D45)*X45,0))</f>
        <v>0</v>
      </c>
      <c r="AC45" s="99">
        <f t="shared" ca="1" si="3"/>
        <v>0</v>
      </c>
      <c r="AD45" s="98">
        <f ca="1">IF('Invoer gegevens (N)'!$C$17=E45,R45,IF(C45=0,0,AE44))</f>
        <v>0</v>
      </c>
      <c r="AE45" s="98">
        <f t="shared" ca="1" si="4"/>
        <v>0</v>
      </c>
      <c r="AF45" s="98">
        <f ca="1">IF('Invoer gegevens (N)'!$C$17=E45,X45,IF(C45=0,0,AG44))</f>
        <v>0</v>
      </c>
      <c r="AG45" s="98">
        <f t="shared" ca="1" si="5"/>
        <v>0</v>
      </c>
      <c r="AH45" s="66"/>
      <c r="AI45" s="71">
        <f ca="1">IF(C45=1,'Reeksen (N)'!AI45*((F45-G45+F45)/2)*12+'Reeksen (N)'!AD45*((L45-M45+L45)/2)*12,0)</f>
        <v>0</v>
      </c>
      <c r="AJ45" s="71">
        <f ca="1">-AI45*'Invoer gegevens (N)'!$F$28</f>
        <v>0</v>
      </c>
      <c r="AK45" s="71">
        <f t="shared" ca="1" si="6"/>
        <v>0</v>
      </c>
      <c r="AL45" s="71">
        <f ca="1">IF(C45=1,'Reeksen (N)'!AL45*((F45-G45+F45)/2)*12+'Reeksen (N)'!AM45*((L45-M45+L45)/2)*12,0)</f>
        <v>0</v>
      </c>
      <c r="AM45" s="71">
        <f ca="1">-AL45*'Invoer gegevens (N)'!$F$31</f>
        <v>0</v>
      </c>
      <c r="AN45" s="71">
        <f t="shared" ca="1" si="7"/>
        <v>0</v>
      </c>
      <c r="AO45" s="71">
        <f ca="1">IF(C45=1,(H45+J45+N45+P45)*'Reeksen (N)'!AN45,0)</f>
        <v>0</v>
      </c>
      <c r="AP45" s="71">
        <f ca="1">-IF(C45=1,(H45+J45+N45+P45)*'Hulp - basis'!$O$550*'Reeksen (N)'!H45,0)</f>
        <v>0</v>
      </c>
      <c r="AQ45" s="71">
        <f ca="1">-IF(C45=1,(F45+K45+L45+Q45)/2*'Invoer gegevens (N)'!$F$35*'Reeksen (N)'!J45,0)*2</f>
        <v>0</v>
      </c>
      <c r="AR45" s="71"/>
      <c r="AS45" s="71">
        <f ca="1">-IF(C45=1,(F45+K45+L45+Q45)/2*'Invoer gegevens (N)'!$F$37*'Reeksen (N)'!L45,0)</f>
        <v>0</v>
      </c>
      <c r="AT45" s="71">
        <f ca="1">-IF(C45=1,IF(E45='Invoer gegevens (N)'!$C$17,'Invoer gegevens (N)'!$C$11,AD45)*'Reeksen (N)'!S45*'Invoer gegevens (N)'!$C$18*'Reeksen (N)'!P45,0)</f>
        <v>0</v>
      </c>
      <c r="AU45" s="71">
        <f ca="1">-IF(C45=1,(F45+K45+L45+Q45)/2*'Invoer gegevens (N)'!$F$38*'Reeksen (N)'!H45,0)</f>
        <v>0</v>
      </c>
      <c r="AV45" s="71">
        <v>0</v>
      </c>
      <c r="AW45" s="71">
        <f t="shared" ca="1" si="8"/>
        <v>0</v>
      </c>
      <c r="AX45" s="71">
        <f ca="1">IF(E45&lt;'Invoer gegevens (N)'!$C$17+15,0,IF(E45&gt;'Invoer gegevens (N)'!$C$17+215,0,AW45))</f>
        <v>0</v>
      </c>
      <c r="AY45" s="71">
        <f ca="1">AX45/(1+'Invoer gegevens (N)'!$F$18)^($AZ45-('Invoer gegevens (N)'!$C$17-'Invoer gegevens (N)'!$C$16))/(1+'Invoer gegevens (N)'!$C$39)^('Invoer gegevens (N)'!$C$17-'Invoer gegevens (N)'!$C$16)</f>
        <v>0</v>
      </c>
      <c r="AZ45" s="68">
        <f ca="1">IF(E45-'Invoer gegevens (N)'!$C$17-14.5&lt;0,0,E45-'Invoer gegevens (N)'!$C$17-14.5)</f>
        <v>25.5</v>
      </c>
    </row>
    <row r="46" spans="1:52" x14ac:dyDescent="0.25">
      <c r="A46" s="59"/>
      <c r="B46" s="70">
        <f t="shared" si="9"/>
        <v>42</v>
      </c>
      <c r="C46" s="67">
        <f ca="1">IF(E46-'Invoer gegevens (N)'!$C$17&lt;0,0,1)</f>
        <v>1</v>
      </c>
      <c r="D46" s="68">
        <f t="shared" si="10"/>
        <v>41.5</v>
      </c>
      <c r="E46" s="69">
        <f ca="1">IF('Invoer gegevens (N)'!$C$16="","",E45+1)</f>
        <v>2060</v>
      </c>
      <c r="F46" s="84">
        <f ca="1">IF('Invoer gegevens (N)'!$C$17=E46,'Invoer gegevens (N)'!$C$10,IF(C46=1,K45,0))</f>
        <v>0</v>
      </c>
      <c r="G46" s="96">
        <f ca="1">IF(C46&gt;=1,F46*VLOOKUP(E46,'Reeksen (N)'!$A$5:$B$76,2),0)</f>
        <v>0</v>
      </c>
      <c r="H46" s="84">
        <f ca="1">(1-('Invoer gegevens (N)'!$F$20/12))*F46*MIN('Reeksen (N)'!B46,'Reeksen (N)'!D46)</f>
        <v>0</v>
      </c>
      <c r="I46" s="84">
        <f>IF('Reeksen (N)'!D46&lt;'Reeksen (N)'!B46,('Reeksen (N)'!B46-'Reeksen (N)'!D46)*F46,0)</f>
        <v>0</v>
      </c>
      <c r="J46" s="84">
        <f ca="1">('Invoer gegevens (N)'!$F$20/12)*F45*MIN('Reeksen (N)'!B45,'Reeksen (N)'!D45)</f>
        <v>0</v>
      </c>
      <c r="K46" s="97">
        <f t="shared" ca="1" si="0"/>
        <v>0</v>
      </c>
      <c r="L46" s="84">
        <f ca="1">IF('Invoer gegevens (N)'!$C$17=E46,0,IF(C46=1,Q45,0))</f>
        <v>0</v>
      </c>
      <c r="M46" s="96">
        <f ca="1">IF(C46&gt;=1,L46*VLOOKUP(E46,'Reeksen (N)'!$A$5:$B$76,2),0)</f>
        <v>0</v>
      </c>
      <c r="N46" s="84">
        <f ca="1">(1-('Invoer gegevens (N)'!$F$20/12))*L46*MIN('Reeksen (N)'!B46,'Reeksen (N)'!D46)</f>
        <v>0</v>
      </c>
      <c r="O46" s="84">
        <f>IF('Reeksen (N)'!D46&lt;'Reeksen (N)'!B46,('Reeksen (N)'!B46-'Reeksen (N)'!D46)*L46,0)</f>
        <v>0</v>
      </c>
      <c r="P46" s="84">
        <f ca="1">('Invoer gegevens (N)'!$F$20/12)*L45*MIN('Reeksen (N)'!B45,'Reeksen (N)'!D45)</f>
        <v>0</v>
      </c>
      <c r="Q46" s="84">
        <f t="shared" ca="1" si="1"/>
        <v>0</v>
      </c>
      <c r="R46" s="82">
        <f ca="1">IF('Invoer gegevens (N)'!$C$17=E46,'Invoer gegevens (N)'!$C$11,IF(C46=1,W45,0))</f>
        <v>0</v>
      </c>
      <c r="S46" s="86">
        <f ca="1">IF(C46&gt;=1,R46*VLOOKUP(E46,'Reeksen (N)'!$A$5:$B$76,2),0)</f>
        <v>0</v>
      </c>
      <c r="T46" s="84">
        <f ca="1">(1-('Invoer gegevens (N)'!$F$20/12))*R46*MIN('Reeksen (N)'!B46,'Reeksen (N)'!D46)</f>
        <v>0</v>
      </c>
      <c r="U46" s="84">
        <f>IF('Reeksen (N)'!D46&gt;='Reeksen (N)'!B46,0,IF('Reeksen (N)'!AD46&lt;='Reeksen (N)'!AE46,('Reeksen (N)'!B46-'Reeksen (N)'!D46)*R46,0))</f>
        <v>0</v>
      </c>
      <c r="V46" s="86">
        <f>IF('Reeksen (N)'!D46&gt;='Reeksen (N)'!B46,0,IF('Reeksen (N)'!AD46&gt;'Reeksen (N)'!AE46,('Reeksen (N)'!B46-'Reeksen (N)'!D46)*R46,0))</f>
        <v>0</v>
      </c>
      <c r="W46" s="97">
        <f t="shared" ca="1" si="2"/>
        <v>0</v>
      </c>
      <c r="X46" s="98">
        <f ca="1">IF('Invoer gegevens (N)'!$C$17=E46,'Invoer gegevens (N)'!$C$10-'Invoer gegevens (N)'!$C$11,IF(C46=1,AC45,0))</f>
        <v>0</v>
      </c>
      <c r="Y46" s="98">
        <f ca="1">IF(C46&gt;=1,X46*VLOOKUP(E46,'Reeksen (N)'!$A$5:$B$76,2),0)</f>
        <v>0</v>
      </c>
      <c r="Z46" s="98">
        <f ca="1">(1-('Invoer gegevens (N)'!$F$20/12))*X46*MIN('Reeksen (N)'!B46,'Reeksen (N)'!D46)</f>
        <v>0</v>
      </c>
      <c r="AA46" s="98">
        <f>IF('Reeksen (N)'!D46&gt;='Reeksen (N)'!B46,0,IF('Reeksen (N)'!AD46&lt;='Reeksen (N)'!AE46,('Reeksen (N)'!B46-'Reeksen (N)'!D46)*X46,0))</f>
        <v>0</v>
      </c>
      <c r="AB46" s="98">
        <f>IF('Reeksen (N)'!D46&gt;='Reeksen (N)'!B46,0,IF('Reeksen (N)'!AD46&gt;'Reeksen (N)'!AE46,('Reeksen (N)'!B46-'Reeksen (N)'!D46)*X46,0))</f>
        <v>0</v>
      </c>
      <c r="AC46" s="99">
        <f t="shared" ca="1" si="3"/>
        <v>0</v>
      </c>
      <c r="AD46" s="98">
        <f ca="1">IF('Invoer gegevens (N)'!$C$17=E46,R46,IF(C46=0,0,AE45))</f>
        <v>0</v>
      </c>
      <c r="AE46" s="98">
        <f t="shared" ca="1" si="4"/>
        <v>0</v>
      </c>
      <c r="AF46" s="98">
        <f ca="1">IF('Invoer gegevens (N)'!$C$17=E46,X46,IF(C46=0,0,AG45))</f>
        <v>0</v>
      </c>
      <c r="AG46" s="98">
        <f t="shared" ca="1" si="5"/>
        <v>0</v>
      </c>
      <c r="AH46" s="66"/>
      <c r="AI46" s="71">
        <f ca="1">IF(C46=1,'Reeksen (N)'!AI46*((F46-G46+F46)/2)*12+'Reeksen (N)'!AD46*((L46-M46+L46)/2)*12,0)</f>
        <v>0</v>
      </c>
      <c r="AJ46" s="71">
        <f ca="1">-AI46*'Invoer gegevens (N)'!$F$28</f>
        <v>0</v>
      </c>
      <c r="AK46" s="71">
        <f t="shared" ca="1" si="6"/>
        <v>0</v>
      </c>
      <c r="AL46" s="71">
        <f ca="1">IF(C46=1,'Reeksen (N)'!AL46*((F46-G46+F46)/2)*12+'Reeksen (N)'!AM46*((L46-M46+L46)/2)*12,0)</f>
        <v>0</v>
      </c>
      <c r="AM46" s="71">
        <f ca="1">-AL46*'Invoer gegevens (N)'!$F$31</f>
        <v>0</v>
      </c>
      <c r="AN46" s="71">
        <f t="shared" ca="1" si="7"/>
        <v>0</v>
      </c>
      <c r="AO46" s="71">
        <f ca="1">IF(C46=1,(H46+J46+N46+P46)*'Reeksen (N)'!AN46,0)</f>
        <v>0</v>
      </c>
      <c r="AP46" s="71">
        <f ca="1">-IF(C46=1,(H46+J46+N46+P46)*'Hulp - basis'!$O$550*'Reeksen (N)'!H46,0)</f>
        <v>0</v>
      </c>
      <c r="AQ46" s="71">
        <f ca="1">-IF(C46=1,(F46+K46+L46+Q46)/2*'Invoer gegevens (N)'!$F$35*'Reeksen (N)'!J46,0)*2</f>
        <v>0</v>
      </c>
      <c r="AR46" s="71"/>
      <c r="AS46" s="71">
        <f ca="1">-IF(C46=1,(F46+K46+L46+Q46)/2*'Invoer gegevens (N)'!$F$37*'Reeksen (N)'!L46,0)</f>
        <v>0</v>
      </c>
      <c r="AT46" s="71">
        <f ca="1">-IF(C46=1,IF(E46='Invoer gegevens (N)'!$C$17,'Invoer gegevens (N)'!$C$11,AD46)*'Reeksen (N)'!S46*'Invoer gegevens (N)'!$C$18*'Reeksen (N)'!P46,0)</f>
        <v>0</v>
      </c>
      <c r="AU46" s="71">
        <f ca="1">-IF(C46=1,(F46+K46+L46+Q46)/2*'Invoer gegevens (N)'!$F$38*'Reeksen (N)'!H46,0)</f>
        <v>0</v>
      </c>
      <c r="AV46" s="71">
        <v>0</v>
      </c>
      <c r="AW46" s="71">
        <f t="shared" ca="1" si="8"/>
        <v>0</v>
      </c>
      <c r="AX46" s="71">
        <f ca="1">IF(E46&lt;'Invoer gegevens (N)'!$C$17+15,0,IF(E46&gt;'Invoer gegevens (N)'!$C$17+215,0,AW46))</f>
        <v>0</v>
      </c>
      <c r="AY46" s="71">
        <f ca="1">AX46/(1+'Invoer gegevens (N)'!$F$18)^($AZ46-('Invoer gegevens (N)'!$C$17-'Invoer gegevens (N)'!$C$16))/(1+'Invoer gegevens (N)'!$C$39)^('Invoer gegevens (N)'!$C$17-'Invoer gegevens (N)'!$C$16)</f>
        <v>0</v>
      </c>
      <c r="AZ46" s="68">
        <f ca="1">IF(E46-'Invoer gegevens (N)'!$C$17-14.5&lt;0,0,E46-'Invoer gegevens (N)'!$C$17-14.5)</f>
        <v>26.5</v>
      </c>
    </row>
    <row r="47" spans="1:52" x14ac:dyDescent="0.25">
      <c r="A47" s="59"/>
      <c r="B47" s="70">
        <f t="shared" si="9"/>
        <v>43</v>
      </c>
      <c r="C47" s="67">
        <f ca="1">IF(E47-'Invoer gegevens (N)'!$C$17&lt;0,0,1)</f>
        <v>1</v>
      </c>
      <c r="D47" s="68">
        <f t="shared" si="10"/>
        <v>42.5</v>
      </c>
      <c r="E47" s="69">
        <f ca="1">IF('Invoer gegevens (N)'!$C$16="","",E46+1)</f>
        <v>2061</v>
      </c>
      <c r="F47" s="84">
        <f ca="1">IF('Invoer gegevens (N)'!$C$17=E47,'Invoer gegevens (N)'!$C$10,IF(C47=1,K46,0))</f>
        <v>0</v>
      </c>
      <c r="G47" s="96">
        <f ca="1">IF(C47&gt;=1,F47*VLOOKUP(E47,'Reeksen (N)'!$A$5:$B$76,2),0)</f>
        <v>0</v>
      </c>
      <c r="H47" s="84">
        <f ca="1">(1-('Invoer gegevens (N)'!$F$20/12))*F47*MIN('Reeksen (N)'!B47,'Reeksen (N)'!D47)</f>
        <v>0</v>
      </c>
      <c r="I47" s="84">
        <f>IF('Reeksen (N)'!D47&lt;'Reeksen (N)'!B47,('Reeksen (N)'!B47-'Reeksen (N)'!D47)*F47,0)</f>
        <v>0</v>
      </c>
      <c r="J47" s="84">
        <f ca="1">('Invoer gegevens (N)'!$F$20/12)*F46*MIN('Reeksen (N)'!B46,'Reeksen (N)'!D46)</f>
        <v>0</v>
      </c>
      <c r="K47" s="97">
        <f t="shared" ca="1" si="0"/>
        <v>0</v>
      </c>
      <c r="L47" s="84">
        <f ca="1">IF('Invoer gegevens (N)'!$C$17=E47,0,IF(C47=1,Q46,0))</f>
        <v>0</v>
      </c>
      <c r="M47" s="96">
        <f ca="1">IF(C47&gt;=1,L47*VLOOKUP(E47,'Reeksen (N)'!$A$5:$B$76,2),0)</f>
        <v>0</v>
      </c>
      <c r="N47" s="84">
        <f ca="1">(1-('Invoer gegevens (N)'!$F$20/12))*L47*MIN('Reeksen (N)'!B47,'Reeksen (N)'!D47)</f>
        <v>0</v>
      </c>
      <c r="O47" s="84">
        <f>IF('Reeksen (N)'!D47&lt;'Reeksen (N)'!B47,('Reeksen (N)'!B47-'Reeksen (N)'!D47)*L47,0)</f>
        <v>0</v>
      </c>
      <c r="P47" s="84">
        <f ca="1">('Invoer gegevens (N)'!$F$20/12)*L46*MIN('Reeksen (N)'!B46,'Reeksen (N)'!D46)</f>
        <v>0</v>
      </c>
      <c r="Q47" s="84">
        <f t="shared" ca="1" si="1"/>
        <v>0</v>
      </c>
      <c r="R47" s="82">
        <f ca="1">IF('Invoer gegevens (N)'!$C$17=E47,'Invoer gegevens (N)'!$C$11,IF(C47=1,W46,0))</f>
        <v>0</v>
      </c>
      <c r="S47" s="86">
        <f ca="1">IF(C47&gt;=1,R47*VLOOKUP(E47,'Reeksen (N)'!$A$5:$B$76,2),0)</f>
        <v>0</v>
      </c>
      <c r="T47" s="84">
        <f ca="1">(1-('Invoer gegevens (N)'!$F$20/12))*R47*MIN('Reeksen (N)'!B47,'Reeksen (N)'!D47)</f>
        <v>0</v>
      </c>
      <c r="U47" s="84">
        <f>IF('Reeksen (N)'!D47&gt;='Reeksen (N)'!B47,0,IF('Reeksen (N)'!AD47&lt;='Reeksen (N)'!AE47,('Reeksen (N)'!B47-'Reeksen (N)'!D47)*R47,0))</f>
        <v>0</v>
      </c>
      <c r="V47" s="86">
        <f>IF('Reeksen (N)'!D47&gt;='Reeksen (N)'!B47,0,IF('Reeksen (N)'!AD47&gt;'Reeksen (N)'!AE47,('Reeksen (N)'!B47-'Reeksen (N)'!D47)*R47,0))</f>
        <v>0</v>
      </c>
      <c r="W47" s="97">
        <f t="shared" ca="1" si="2"/>
        <v>0</v>
      </c>
      <c r="X47" s="98">
        <f ca="1">IF('Invoer gegevens (N)'!$C$17=E47,'Invoer gegevens (N)'!$C$10-'Invoer gegevens (N)'!$C$11,IF(C47=1,AC46,0))</f>
        <v>0</v>
      </c>
      <c r="Y47" s="98">
        <f ca="1">IF(C47&gt;=1,X47*VLOOKUP(E47,'Reeksen (N)'!$A$5:$B$76,2),0)</f>
        <v>0</v>
      </c>
      <c r="Z47" s="98">
        <f ca="1">(1-('Invoer gegevens (N)'!$F$20/12))*X47*MIN('Reeksen (N)'!B47,'Reeksen (N)'!D47)</f>
        <v>0</v>
      </c>
      <c r="AA47" s="98">
        <f>IF('Reeksen (N)'!D47&gt;='Reeksen (N)'!B47,0,IF('Reeksen (N)'!AD47&lt;='Reeksen (N)'!AE47,('Reeksen (N)'!B47-'Reeksen (N)'!D47)*X47,0))</f>
        <v>0</v>
      </c>
      <c r="AB47" s="98">
        <f>IF('Reeksen (N)'!D47&gt;='Reeksen (N)'!B47,0,IF('Reeksen (N)'!AD47&gt;'Reeksen (N)'!AE47,('Reeksen (N)'!B47-'Reeksen (N)'!D47)*X47,0))</f>
        <v>0</v>
      </c>
      <c r="AC47" s="99">
        <f t="shared" ca="1" si="3"/>
        <v>0</v>
      </c>
      <c r="AD47" s="98">
        <f ca="1">IF('Invoer gegevens (N)'!$C$17=E47,R47,IF(C47=0,0,AE46))</f>
        <v>0</v>
      </c>
      <c r="AE47" s="98">
        <f t="shared" ca="1" si="4"/>
        <v>0</v>
      </c>
      <c r="AF47" s="98">
        <f ca="1">IF('Invoer gegevens (N)'!$C$17=E47,X47,IF(C47=0,0,AG46))</f>
        <v>0</v>
      </c>
      <c r="AG47" s="98">
        <f t="shared" ca="1" si="5"/>
        <v>0</v>
      </c>
      <c r="AH47" s="66"/>
      <c r="AI47" s="71">
        <f ca="1">IF(C47=1,'Reeksen (N)'!AI47*((F47-G47+F47)/2)*12+'Reeksen (N)'!AD47*((L47-M47+L47)/2)*12,0)</f>
        <v>0</v>
      </c>
      <c r="AJ47" s="71">
        <f ca="1">-AI47*'Invoer gegevens (N)'!$F$28</f>
        <v>0</v>
      </c>
      <c r="AK47" s="71">
        <f t="shared" ca="1" si="6"/>
        <v>0</v>
      </c>
      <c r="AL47" s="71">
        <f ca="1">IF(C47=1,'Reeksen (N)'!AL47*((F47-G47+F47)/2)*12+'Reeksen (N)'!AM47*((L47-M47+L47)/2)*12,0)</f>
        <v>0</v>
      </c>
      <c r="AM47" s="71">
        <f ca="1">-AL47*'Invoer gegevens (N)'!$F$31</f>
        <v>0</v>
      </c>
      <c r="AN47" s="71">
        <f t="shared" ca="1" si="7"/>
        <v>0</v>
      </c>
      <c r="AO47" s="71">
        <f ca="1">IF(C47=1,(H47+J47+N47+P47)*'Reeksen (N)'!AN47,0)</f>
        <v>0</v>
      </c>
      <c r="AP47" s="71">
        <f ca="1">-IF(C47=1,(H47+J47+N47+P47)*'Hulp - basis'!$O$550*'Reeksen (N)'!H47,0)</f>
        <v>0</v>
      </c>
      <c r="AQ47" s="71">
        <f ca="1">-IF(C47=1,(F47+K47+L47+Q47)/2*'Invoer gegevens (N)'!$F$35*'Reeksen (N)'!J47,0)*2</f>
        <v>0</v>
      </c>
      <c r="AR47" s="71"/>
      <c r="AS47" s="71">
        <f ca="1">-IF(C47=1,(F47+K47+L47+Q47)/2*'Invoer gegevens (N)'!$F$37*'Reeksen (N)'!L47,0)</f>
        <v>0</v>
      </c>
      <c r="AT47" s="71">
        <f ca="1">-IF(C47=1,IF(E47='Invoer gegevens (N)'!$C$17,'Invoer gegevens (N)'!$C$11,AD47)*'Reeksen (N)'!S47*'Invoer gegevens (N)'!$C$18*'Reeksen (N)'!P47,0)</f>
        <v>0</v>
      </c>
      <c r="AU47" s="71">
        <f ca="1">-IF(C47=1,(F47+K47+L47+Q47)/2*'Invoer gegevens (N)'!$F$38*'Reeksen (N)'!H47,0)</f>
        <v>0</v>
      </c>
      <c r="AV47" s="71">
        <v>0</v>
      </c>
      <c r="AW47" s="71">
        <f t="shared" ca="1" si="8"/>
        <v>0</v>
      </c>
      <c r="AX47" s="71">
        <f ca="1">IF(E47&lt;'Invoer gegevens (N)'!$C$17+15,0,IF(E47&gt;'Invoer gegevens (N)'!$C$17+215,0,AW47))</f>
        <v>0</v>
      </c>
      <c r="AY47" s="71">
        <f ca="1">AX47/(1+'Invoer gegevens (N)'!$F$18)^($AZ47-('Invoer gegevens (N)'!$C$17-'Invoer gegevens (N)'!$C$16))/(1+'Invoer gegevens (N)'!$C$39)^('Invoer gegevens (N)'!$C$17-'Invoer gegevens (N)'!$C$16)</f>
        <v>0</v>
      </c>
      <c r="AZ47" s="68">
        <f ca="1">IF(E47-'Invoer gegevens (N)'!$C$17-14.5&lt;0,0,E47-'Invoer gegevens (N)'!$C$17-14.5)</f>
        <v>27.5</v>
      </c>
    </row>
    <row r="48" spans="1:52" x14ac:dyDescent="0.25">
      <c r="A48" s="59"/>
      <c r="B48" s="70">
        <f t="shared" si="9"/>
        <v>44</v>
      </c>
      <c r="C48" s="67">
        <f ca="1">IF(E48-'Invoer gegevens (N)'!$C$17&lt;0,0,1)</f>
        <v>1</v>
      </c>
      <c r="D48" s="68">
        <f t="shared" si="10"/>
        <v>43.5</v>
      </c>
      <c r="E48" s="69">
        <f ca="1">IF('Invoer gegevens (N)'!$C$16="","",E47+1)</f>
        <v>2062</v>
      </c>
      <c r="F48" s="84">
        <f ca="1">IF('Invoer gegevens (N)'!$C$17=E48,'Invoer gegevens (N)'!$C$10,IF(C48=1,K47,0))</f>
        <v>0</v>
      </c>
      <c r="G48" s="96">
        <f ca="1">IF(C48&gt;=1,F48*VLOOKUP(E48,'Reeksen (N)'!$A$5:$B$76,2),0)</f>
        <v>0</v>
      </c>
      <c r="H48" s="84">
        <f ca="1">(1-('Invoer gegevens (N)'!$F$20/12))*F48*MIN('Reeksen (N)'!B48,'Reeksen (N)'!D48)</f>
        <v>0</v>
      </c>
      <c r="I48" s="84">
        <f>IF('Reeksen (N)'!D48&lt;'Reeksen (N)'!B48,('Reeksen (N)'!B48-'Reeksen (N)'!D48)*F48,0)</f>
        <v>0</v>
      </c>
      <c r="J48" s="84">
        <f ca="1">('Invoer gegevens (N)'!$F$20/12)*F47*MIN('Reeksen (N)'!B47,'Reeksen (N)'!D47)</f>
        <v>0</v>
      </c>
      <c r="K48" s="97">
        <f t="shared" ca="1" si="0"/>
        <v>0</v>
      </c>
      <c r="L48" s="84">
        <f ca="1">IF('Invoer gegevens (N)'!$C$17=E48,0,IF(C48=1,Q47,0))</f>
        <v>0</v>
      </c>
      <c r="M48" s="96">
        <f ca="1">IF(C48&gt;=1,L48*VLOOKUP(E48,'Reeksen (N)'!$A$5:$B$76,2),0)</f>
        <v>0</v>
      </c>
      <c r="N48" s="84">
        <f ca="1">(1-('Invoer gegevens (N)'!$F$20/12))*L48*MIN('Reeksen (N)'!B48,'Reeksen (N)'!D48)</f>
        <v>0</v>
      </c>
      <c r="O48" s="84">
        <f>IF('Reeksen (N)'!D48&lt;'Reeksen (N)'!B48,('Reeksen (N)'!B48-'Reeksen (N)'!D48)*L48,0)</f>
        <v>0</v>
      </c>
      <c r="P48" s="84">
        <f ca="1">('Invoer gegevens (N)'!$F$20/12)*L47*MIN('Reeksen (N)'!B47,'Reeksen (N)'!D47)</f>
        <v>0</v>
      </c>
      <c r="Q48" s="84">
        <f t="shared" ca="1" si="1"/>
        <v>0</v>
      </c>
      <c r="R48" s="82">
        <f ca="1">IF('Invoer gegevens (N)'!$C$17=E48,'Invoer gegevens (N)'!$C$11,IF(C48=1,W47,0))</f>
        <v>0</v>
      </c>
      <c r="S48" s="86">
        <f ca="1">IF(C48&gt;=1,R48*VLOOKUP(E48,'Reeksen (N)'!$A$5:$B$76,2),0)</f>
        <v>0</v>
      </c>
      <c r="T48" s="84">
        <f ca="1">(1-('Invoer gegevens (N)'!$F$20/12))*R48*MIN('Reeksen (N)'!B48,'Reeksen (N)'!D48)</f>
        <v>0</v>
      </c>
      <c r="U48" s="84">
        <f>IF('Reeksen (N)'!D48&gt;='Reeksen (N)'!B48,0,IF('Reeksen (N)'!AD48&lt;='Reeksen (N)'!AE48,('Reeksen (N)'!B48-'Reeksen (N)'!D48)*R48,0))</f>
        <v>0</v>
      </c>
      <c r="V48" s="86">
        <f>IF('Reeksen (N)'!D48&gt;='Reeksen (N)'!B48,0,IF('Reeksen (N)'!AD48&gt;'Reeksen (N)'!AE48,('Reeksen (N)'!B48-'Reeksen (N)'!D48)*R48,0))</f>
        <v>0</v>
      </c>
      <c r="W48" s="97">
        <f t="shared" ca="1" si="2"/>
        <v>0</v>
      </c>
      <c r="X48" s="98">
        <f ca="1">IF('Invoer gegevens (N)'!$C$17=E48,'Invoer gegevens (N)'!$C$10-'Invoer gegevens (N)'!$C$11,IF(C48=1,AC47,0))</f>
        <v>0</v>
      </c>
      <c r="Y48" s="98">
        <f ca="1">IF(C48&gt;=1,X48*VLOOKUP(E48,'Reeksen (N)'!$A$5:$B$76,2),0)</f>
        <v>0</v>
      </c>
      <c r="Z48" s="98">
        <f ca="1">(1-('Invoer gegevens (N)'!$F$20/12))*X48*MIN('Reeksen (N)'!B48,'Reeksen (N)'!D48)</f>
        <v>0</v>
      </c>
      <c r="AA48" s="98">
        <f>IF('Reeksen (N)'!D48&gt;='Reeksen (N)'!B48,0,IF('Reeksen (N)'!AD48&lt;='Reeksen (N)'!AE48,('Reeksen (N)'!B48-'Reeksen (N)'!D48)*X48,0))</f>
        <v>0</v>
      </c>
      <c r="AB48" s="98">
        <f>IF('Reeksen (N)'!D48&gt;='Reeksen (N)'!B48,0,IF('Reeksen (N)'!AD48&gt;'Reeksen (N)'!AE48,('Reeksen (N)'!B48-'Reeksen (N)'!D48)*X48,0))</f>
        <v>0</v>
      </c>
      <c r="AC48" s="99">
        <f t="shared" ca="1" si="3"/>
        <v>0</v>
      </c>
      <c r="AD48" s="98">
        <f ca="1">IF('Invoer gegevens (N)'!$C$17=E48,R48,IF(C48=0,0,AE47))</f>
        <v>0</v>
      </c>
      <c r="AE48" s="98">
        <f t="shared" ca="1" si="4"/>
        <v>0</v>
      </c>
      <c r="AF48" s="98">
        <f ca="1">IF('Invoer gegevens (N)'!$C$17=E48,X48,IF(C48=0,0,AG47))</f>
        <v>0</v>
      </c>
      <c r="AG48" s="98">
        <f t="shared" ca="1" si="5"/>
        <v>0</v>
      </c>
      <c r="AH48" s="66"/>
      <c r="AI48" s="71">
        <f ca="1">IF(C48=1,'Reeksen (N)'!AI48*((F48-G48+F48)/2)*12+'Reeksen (N)'!AD48*((L48-M48+L48)/2)*12,0)</f>
        <v>0</v>
      </c>
      <c r="AJ48" s="71">
        <f ca="1">-AI48*'Invoer gegevens (N)'!$F$28</f>
        <v>0</v>
      </c>
      <c r="AK48" s="71">
        <f t="shared" ca="1" si="6"/>
        <v>0</v>
      </c>
      <c r="AL48" s="71">
        <f ca="1">IF(C48=1,'Reeksen (N)'!AL48*((F48-G48+F48)/2)*12+'Reeksen (N)'!AM48*((L48-M48+L48)/2)*12,0)</f>
        <v>0</v>
      </c>
      <c r="AM48" s="71">
        <f ca="1">-AL48*'Invoer gegevens (N)'!$F$31</f>
        <v>0</v>
      </c>
      <c r="AN48" s="71">
        <f t="shared" ca="1" si="7"/>
        <v>0</v>
      </c>
      <c r="AO48" s="71">
        <f ca="1">IF(C48=1,(H48+J48+N48+P48)*'Reeksen (N)'!AN48,0)</f>
        <v>0</v>
      </c>
      <c r="AP48" s="71">
        <f ca="1">-IF(C48=1,(H48+J48+N48+P48)*'Hulp - basis'!$O$550*'Reeksen (N)'!H48,0)</f>
        <v>0</v>
      </c>
      <c r="AQ48" s="71">
        <f ca="1">-IF(C48=1,(F48+K48+L48+Q48)/2*'Invoer gegevens (N)'!$F$35*'Reeksen (N)'!J48,0)*2</f>
        <v>0</v>
      </c>
      <c r="AR48" s="71"/>
      <c r="AS48" s="71">
        <f ca="1">-IF(C48=1,(F48+K48+L48+Q48)/2*'Invoer gegevens (N)'!$F$37*'Reeksen (N)'!L48,0)</f>
        <v>0</v>
      </c>
      <c r="AT48" s="71">
        <f ca="1">-IF(C48=1,IF(E48='Invoer gegevens (N)'!$C$17,'Invoer gegevens (N)'!$C$11,AD48)*'Reeksen (N)'!S48*'Invoer gegevens (N)'!$C$18*'Reeksen (N)'!P48,0)</f>
        <v>0</v>
      </c>
      <c r="AU48" s="71">
        <f ca="1">-IF(C48=1,(F48+K48+L48+Q48)/2*'Invoer gegevens (N)'!$F$38*'Reeksen (N)'!H48,0)</f>
        <v>0</v>
      </c>
      <c r="AV48" s="71">
        <v>0</v>
      </c>
      <c r="AW48" s="71">
        <f t="shared" ca="1" si="8"/>
        <v>0</v>
      </c>
      <c r="AX48" s="71">
        <f ca="1">IF(E48&lt;'Invoer gegevens (N)'!$C$17+15,0,IF(E48&gt;'Invoer gegevens (N)'!$C$17+215,0,AW48))</f>
        <v>0</v>
      </c>
      <c r="AY48" s="71">
        <f ca="1">AX48/(1+'Invoer gegevens (N)'!$F$18)^($AZ48-('Invoer gegevens (N)'!$C$17-'Invoer gegevens (N)'!$C$16))/(1+'Invoer gegevens (N)'!$C$39)^('Invoer gegevens (N)'!$C$17-'Invoer gegevens (N)'!$C$16)</f>
        <v>0</v>
      </c>
      <c r="AZ48" s="68">
        <f ca="1">IF(E48-'Invoer gegevens (N)'!$C$17-14.5&lt;0,0,E48-'Invoer gegevens (N)'!$C$17-14.5)</f>
        <v>28.5</v>
      </c>
    </row>
    <row r="49" spans="1:52" x14ac:dyDescent="0.25">
      <c r="A49" s="59"/>
      <c r="B49" s="70">
        <f t="shared" si="9"/>
        <v>45</v>
      </c>
      <c r="C49" s="67">
        <f ca="1">IF(E49-'Invoer gegevens (N)'!$C$17&lt;0,0,1)</f>
        <v>1</v>
      </c>
      <c r="D49" s="68">
        <f t="shared" si="10"/>
        <v>44.5</v>
      </c>
      <c r="E49" s="69">
        <f ca="1">IF('Invoer gegevens (N)'!$C$16="","",E48+1)</f>
        <v>2063</v>
      </c>
      <c r="F49" s="84">
        <f ca="1">IF('Invoer gegevens (N)'!$C$17=E49,'Invoer gegevens (N)'!$C$10,IF(C49=1,K48,0))</f>
        <v>0</v>
      </c>
      <c r="G49" s="96">
        <f ca="1">IF(C49&gt;=1,F49*VLOOKUP(E49,'Reeksen (N)'!$A$5:$B$76,2),0)</f>
        <v>0</v>
      </c>
      <c r="H49" s="84">
        <f ca="1">(1-('Invoer gegevens (N)'!$F$20/12))*F49*MIN('Reeksen (N)'!B49,'Reeksen (N)'!D49)</f>
        <v>0</v>
      </c>
      <c r="I49" s="84">
        <f>IF('Reeksen (N)'!D49&lt;'Reeksen (N)'!B49,('Reeksen (N)'!B49-'Reeksen (N)'!D49)*F49,0)</f>
        <v>0</v>
      </c>
      <c r="J49" s="84">
        <f ca="1">('Invoer gegevens (N)'!$F$20/12)*F48*MIN('Reeksen (N)'!B48,'Reeksen (N)'!D48)</f>
        <v>0</v>
      </c>
      <c r="K49" s="97">
        <f t="shared" ca="1" si="0"/>
        <v>0</v>
      </c>
      <c r="L49" s="84">
        <f ca="1">IF('Invoer gegevens (N)'!$C$17=E49,0,IF(C49=1,Q48,0))</f>
        <v>0</v>
      </c>
      <c r="M49" s="96">
        <f ca="1">IF(C49&gt;=1,L49*VLOOKUP(E49,'Reeksen (N)'!$A$5:$B$76,2),0)</f>
        <v>0</v>
      </c>
      <c r="N49" s="84">
        <f ca="1">(1-('Invoer gegevens (N)'!$F$20/12))*L49*MIN('Reeksen (N)'!B49,'Reeksen (N)'!D49)</f>
        <v>0</v>
      </c>
      <c r="O49" s="84">
        <f>IF('Reeksen (N)'!D49&lt;'Reeksen (N)'!B49,('Reeksen (N)'!B49-'Reeksen (N)'!D49)*L49,0)</f>
        <v>0</v>
      </c>
      <c r="P49" s="84">
        <f ca="1">('Invoer gegevens (N)'!$F$20/12)*L48*MIN('Reeksen (N)'!B48,'Reeksen (N)'!D48)</f>
        <v>0</v>
      </c>
      <c r="Q49" s="84">
        <f t="shared" ca="1" si="1"/>
        <v>0</v>
      </c>
      <c r="R49" s="82">
        <f ca="1">IF('Invoer gegevens (N)'!$C$17=E49,'Invoer gegevens (N)'!$C$11,IF(C49=1,W48,0))</f>
        <v>0</v>
      </c>
      <c r="S49" s="86">
        <f ca="1">IF(C49&gt;=1,R49*VLOOKUP(E49,'Reeksen (N)'!$A$5:$B$76,2),0)</f>
        <v>0</v>
      </c>
      <c r="T49" s="84">
        <f ca="1">(1-('Invoer gegevens (N)'!$F$20/12))*R49*MIN('Reeksen (N)'!B49,'Reeksen (N)'!D49)</f>
        <v>0</v>
      </c>
      <c r="U49" s="84">
        <f>IF('Reeksen (N)'!D49&gt;='Reeksen (N)'!B49,0,IF('Reeksen (N)'!AD49&lt;='Reeksen (N)'!AE49,('Reeksen (N)'!B49-'Reeksen (N)'!D49)*R49,0))</f>
        <v>0</v>
      </c>
      <c r="V49" s="86">
        <f>IF('Reeksen (N)'!D49&gt;='Reeksen (N)'!B49,0,IF('Reeksen (N)'!AD49&gt;'Reeksen (N)'!AE49,('Reeksen (N)'!B49-'Reeksen (N)'!D49)*R49,0))</f>
        <v>0</v>
      </c>
      <c r="W49" s="97">
        <f t="shared" ca="1" si="2"/>
        <v>0</v>
      </c>
      <c r="X49" s="98">
        <f ca="1">IF('Invoer gegevens (N)'!$C$17=E49,'Invoer gegevens (N)'!$C$10-'Invoer gegevens (N)'!$C$11,IF(C49=1,AC48,0))</f>
        <v>0</v>
      </c>
      <c r="Y49" s="98">
        <f ca="1">IF(C49&gt;=1,X49*VLOOKUP(E49,'Reeksen (N)'!$A$5:$B$76,2),0)</f>
        <v>0</v>
      </c>
      <c r="Z49" s="98">
        <f ca="1">(1-('Invoer gegevens (N)'!$F$20/12))*X49*MIN('Reeksen (N)'!B49,'Reeksen (N)'!D49)</f>
        <v>0</v>
      </c>
      <c r="AA49" s="98">
        <f>IF('Reeksen (N)'!D49&gt;='Reeksen (N)'!B49,0,IF('Reeksen (N)'!AD49&lt;='Reeksen (N)'!AE49,('Reeksen (N)'!B49-'Reeksen (N)'!D49)*X49,0))</f>
        <v>0</v>
      </c>
      <c r="AB49" s="98">
        <f>IF('Reeksen (N)'!D49&gt;='Reeksen (N)'!B49,0,IF('Reeksen (N)'!AD49&gt;'Reeksen (N)'!AE49,('Reeksen (N)'!B49-'Reeksen (N)'!D49)*X49,0))</f>
        <v>0</v>
      </c>
      <c r="AC49" s="99">
        <f t="shared" ca="1" si="3"/>
        <v>0</v>
      </c>
      <c r="AD49" s="98">
        <f ca="1">IF('Invoer gegevens (N)'!$C$17=E49,R49,IF(C49=0,0,AE48))</f>
        <v>0</v>
      </c>
      <c r="AE49" s="98">
        <f t="shared" ca="1" si="4"/>
        <v>0</v>
      </c>
      <c r="AF49" s="98">
        <f ca="1">IF('Invoer gegevens (N)'!$C$17=E49,X49,IF(C49=0,0,AG48))</f>
        <v>0</v>
      </c>
      <c r="AG49" s="98">
        <f t="shared" ca="1" si="5"/>
        <v>0</v>
      </c>
      <c r="AH49" s="66"/>
      <c r="AI49" s="71">
        <f ca="1">IF(C49=1,'Reeksen (N)'!AI49*((F49-G49+F49)/2)*12+'Reeksen (N)'!AD49*((L49-M49+L49)/2)*12,0)</f>
        <v>0</v>
      </c>
      <c r="AJ49" s="71">
        <f ca="1">-AI49*'Invoer gegevens (N)'!$F$28</f>
        <v>0</v>
      </c>
      <c r="AK49" s="71">
        <f t="shared" ca="1" si="6"/>
        <v>0</v>
      </c>
      <c r="AL49" s="71">
        <f ca="1">IF(C49=1,'Reeksen (N)'!AL49*((F49-G49+F49)/2)*12+'Reeksen (N)'!AM49*((L49-M49+L49)/2)*12,0)</f>
        <v>0</v>
      </c>
      <c r="AM49" s="71">
        <f ca="1">-AL49*'Invoer gegevens (N)'!$F$31</f>
        <v>0</v>
      </c>
      <c r="AN49" s="71">
        <f t="shared" ca="1" si="7"/>
        <v>0</v>
      </c>
      <c r="AO49" s="71">
        <f ca="1">IF(C49=1,(H49+J49+N49+P49)*'Reeksen (N)'!AN49,0)</f>
        <v>0</v>
      </c>
      <c r="AP49" s="71">
        <f ca="1">-IF(C49=1,(H49+J49+N49+P49)*'Hulp - basis'!$O$550*'Reeksen (N)'!H49,0)</f>
        <v>0</v>
      </c>
      <c r="AQ49" s="71">
        <f ca="1">-IF(C49=1,(F49+K49+L49+Q49)/2*'Invoer gegevens (N)'!$F$35*'Reeksen (N)'!J49,0)*2</f>
        <v>0</v>
      </c>
      <c r="AR49" s="71"/>
      <c r="AS49" s="71">
        <f ca="1">-IF(C49=1,(F49+K49+L49+Q49)/2*'Invoer gegevens (N)'!$F$37*'Reeksen (N)'!L49,0)</f>
        <v>0</v>
      </c>
      <c r="AT49" s="71">
        <f ca="1">-IF(C49=1,IF(E49='Invoer gegevens (N)'!$C$17,'Invoer gegevens (N)'!$C$11,AD49)*'Reeksen (N)'!S49*'Invoer gegevens (N)'!$C$18*'Reeksen (N)'!P49,0)</f>
        <v>0</v>
      </c>
      <c r="AU49" s="71">
        <f ca="1">-IF(C49=1,(F49+K49+L49+Q49)/2*'Invoer gegevens (N)'!$F$38*'Reeksen (N)'!H49,0)</f>
        <v>0</v>
      </c>
      <c r="AV49" s="71">
        <v>0</v>
      </c>
      <c r="AW49" s="71">
        <f t="shared" ca="1" si="8"/>
        <v>0</v>
      </c>
      <c r="AX49" s="71">
        <f ca="1">IF(E49&lt;'Invoer gegevens (N)'!$C$17+15,0,IF(E49&gt;'Invoer gegevens (N)'!$C$17+215,0,AW49))</f>
        <v>0</v>
      </c>
      <c r="AY49" s="71">
        <f ca="1">AX49/(1+'Invoer gegevens (N)'!$F$18)^($AZ49-('Invoer gegevens (N)'!$C$17-'Invoer gegevens (N)'!$C$16))/(1+'Invoer gegevens (N)'!$C$39)^('Invoer gegevens (N)'!$C$17-'Invoer gegevens (N)'!$C$16)</f>
        <v>0</v>
      </c>
      <c r="AZ49" s="68">
        <f ca="1">IF(E49-'Invoer gegevens (N)'!$C$17-14.5&lt;0,0,E49-'Invoer gegevens (N)'!$C$17-14.5)</f>
        <v>29.5</v>
      </c>
    </row>
    <row r="50" spans="1:52" x14ac:dyDescent="0.25">
      <c r="A50" s="59"/>
      <c r="B50" s="70">
        <f t="shared" si="9"/>
        <v>46</v>
      </c>
      <c r="C50" s="67">
        <f ca="1">IF(E50-'Invoer gegevens (N)'!$C$17&lt;0,0,1)</f>
        <v>1</v>
      </c>
      <c r="D50" s="68">
        <f t="shared" si="10"/>
        <v>45.5</v>
      </c>
      <c r="E50" s="69">
        <f ca="1">IF('Invoer gegevens (N)'!$C$16="","",E49+1)</f>
        <v>2064</v>
      </c>
      <c r="F50" s="84">
        <f ca="1">IF('Invoer gegevens (N)'!$C$17=E50,'Invoer gegevens (N)'!$C$10,IF(C50=1,K49,0))</f>
        <v>0</v>
      </c>
      <c r="G50" s="96">
        <f ca="1">IF(C50&gt;=1,F50*VLOOKUP(E50,'Reeksen (N)'!$A$5:$B$76,2),0)</f>
        <v>0</v>
      </c>
      <c r="H50" s="84">
        <f ca="1">(1-('Invoer gegevens (N)'!$F$20/12))*F50*MIN('Reeksen (N)'!B50,'Reeksen (N)'!D50)</f>
        <v>0</v>
      </c>
      <c r="I50" s="84">
        <f>IF('Reeksen (N)'!D50&lt;'Reeksen (N)'!B50,('Reeksen (N)'!B50-'Reeksen (N)'!D50)*F50,0)</f>
        <v>0</v>
      </c>
      <c r="J50" s="84">
        <f ca="1">('Invoer gegevens (N)'!$F$20/12)*F49*MIN('Reeksen (N)'!B49,'Reeksen (N)'!D49)</f>
        <v>0</v>
      </c>
      <c r="K50" s="97">
        <f t="shared" ca="1" si="0"/>
        <v>0</v>
      </c>
      <c r="L50" s="84">
        <f ca="1">IF('Invoer gegevens (N)'!$C$17=E50,0,IF(C50=1,Q49,0))</f>
        <v>0</v>
      </c>
      <c r="M50" s="96">
        <f ca="1">IF(C50&gt;=1,L50*VLOOKUP(E50,'Reeksen (N)'!$A$5:$B$76,2),0)</f>
        <v>0</v>
      </c>
      <c r="N50" s="84">
        <f ca="1">(1-('Invoer gegevens (N)'!$F$20/12))*L50*MIN('Reeksen (N)'!B50,'Reeksen (N)'!D50)</f>
        <v>0</v>
      </c>
      <c r="O50" s="84">
        <f>IF('Reeksen (N)'!D50&lt;'Reeksen (N)'!B50,('Reeksen (N)'!B50-'Reeksen (N)'!D50)*L50,0)</f>
        <v>0</v>
      </c>
      <c r="P50" s="84">
        <f ca="1">('Invoer gegevens (N)'!$F$20/12)*L49*MIN('Reeksen (N)'!B49,'Reeksen (N)'!D49)</f>
        <v>0</v>
      </c>
      <c r="Q50" s="84">
        <f t="shared" ca="1" si="1"/>
        <v>0</v>
      </c>
      <c r="R50" s="82">
        <f ca="1">IF('Invoer gegevens (N)'!$C$17=E50,'Invoer gegevens (N)'!$C$11,IF(C50=1,W49,0))</f>
        <v>0</v>
      </c>
      <c r="S50" s="86">
        <f ca="1">IF(C50&gt;=1,R50*VLOOKUP(E50,'Reeksen (N)'!$A$5:$B$76,2),0)</f>
        <v>0</v>
      </c>
      <c r="T50" s="84">
        <f ca="1">(1-('Invoer gegevens (N)'!$F$20/12))*R50*MIN('Reeksen (N)'!B50,'Reeksen (N)'!D50)</f>
        <v>0</v>
      </c>
      <c r="U50" s="84">
        <f>IF('Reeksen (N)'!D50&gt;='Reeksen (N)'!B50,0,IF('Reeksen (N)'!AD50&lt;='Reeksen (N)'!AE50,('Reeksen (N)'!B50-'Reeksen (N)'!D50)*R50,0))</f>
        <v>0</v>
      </c>
      <c r="V50" s="86">
        <f>IF('Reeksen (N)'!D50&gt;='Reeksen (N)'!B50,0,IF('Reeksen (N)'!AD50&gt;'Reeksen (N)'!AE50,('Reeksen (N)'!B50-'Reeksen (N)'!D50)*R50,0))</f>
        <v>0</v>
      </c>
      <c r="W50" s="97">
        <f t="shared" ca="1" si="2"/>
        <v>0</v>
      </c>
      <c r="X50" s="98">
        <f ca="1">IF('Invoer gegevens (N)'!$C$17=E50,'Invoer gegevens (N)'!$C$10-'Invoer gegevens (N)'!$C$11,IF(C50=1,AC49,0))</f>
        <v>0</v>
      </c>
      <c r="Y50" s="98">
        <f ca="1">IF(C50&gt;=1,X50*VLOOKUP(E50,'Reeksen (N)'!$A$5:$B$76,2),0)</f>
        <v>0</v>
      </c>
      <c r="Z50" s="98">
        <f ca="1">(1-('Invoer gegevens (N)'!$F$20/12))*X50*MIN('Reeksen (N)'!B50,'Reeksen (N)'!D50)</f>
        <v>0</v>
      </c>
      <c r="AA50" s="98">
        <f>IF('Reeksen (N)'!D50&gt;='Reeksen (N)'!B50,0,IF('Reeksen (N)'!AD50&lt;='Reeksen (N)'!AE50,('Reeksen (N)'!B50-'Reeksen (N)'!D50)*X50,0))</f>
        <v>0</v>
      </c>
      <c r="AB50" s="98">
        <f>IF('Reeksen (N)'!D50&gt;='Reeksen (N)'!B50,0,IF('Reeksen (N)'!AD50&gt;'Reeksen (N)'!AE50,('Reeksen (N)'!B50-'Reeksen (N)'!D50)*X50,0))</f>
        <v>0</v>
      </c>
      <c r="AC50" s="99">
        <f t="shared" ca="1" si="3"/>
        <v>0</v>
      </c>
      <c r="AD50" s="98">
        <f ca="1">IF('Invoer gegevens (N)'!$C$17=E50,R50,IF(C50=0,0,AE49))</f>
        <v>0</v>
      </c>
      <c r="AE50" s="98">
        <f t="shared" ca="1" si="4"/>
        <v>0</v>
      </c>
      <c r="AF50" s="98">
        <f ca="1">IF('Invoer gegevens (N)'!$C$17=E50,X50,IF(C50=0,0,AG49))</f>
        <v>0</v>
      </c>
      <c r="AG50" s="98">
        <f t="shared" ca="1" si="5"/>
        <v>0</v>
      </c>
      <c r="AH50" s="66"/>
      <c r="AI50" s="71">
        <f ca="1">IF(C50=1,'Reeksen (N)'!AI50*((F50-G50+F50)/2)*12+'Reeksen (N)'!AD50*((L50-M50+L50)/2)*12,0)</f>
        <v>0</v>
      </c>
      <c r="AJ50" s="71">
        <f ca="1">-AI50*'Invoer gegevens (N)'!$F$28</f>
        <v>0</v>
      </c>
      <c r="AK50" s="71">
        <f t="shared" ca="1" si="6"/>
        <v>0</v>
      </c>
      <c r="AL50" s="71">
        <f ca="1">IF(C50=1,'Reeksen (N)'!AL50*((F50-G50+F50)/2)*12+'Reeksen (N)'!AM50*((L50-M50+L50)/2)*12,0)</f>
        <v>0</v>
      </c>
      <c r="AM50" s="71">
        <f ca="1">-AL50*'Invoer gegevens (N)'!$F$31</f>
        <v>0</v>
      </c>
      <c r="AN50" s="71">
        <f t="shared" ca="1" si="7"/>
        <v>0</v>
      </c>
      <c r="AO50" s="71">
        <f ca="1">IF(C50=1,(H50+J50+N50+P50)*'Reeksen (N)'!AN50,0)</f>
        <v>0</v>
      </c>
      <c r="AP50" s="71">
        <f ca="1">-IF(C50=1,(H50+J50+N50+P50)*'Hulp - basis'!$O$550*'Reeksen (N)'!H50,0)</f>
        <v>0</v>
      </c>
      <c r="AQ50" s="71">
        <f ca="1">-IF(C50=1,(F50+K50+L50+Q50)/2*'Invoer gegevens (N)'!$F$35*'Reeksen (N)'!J50,0)*2</f>
        <v>0</v>
      </c>
      <c r="AR50" s="71"/>
      <c r="AS50" s="71">
        <f ca="1">-IF(C50=1,(F50+K50+L50+Q50)/2*'Invoer gegevens (N)'!$F$37*'Reeksen (N)'!L50,0)</f>
        <v>0</v>
      </c>
      <c r="AT50" s="71">
        <f ca="1">-IF(C50=1,IF(E50='Invoer gegevens (N)'!$C$17,'Invoer gegevens (N)'!$C$11,AD50)*'Reeksen (N)'!S50*'Invoer gegevens (N)'!$C$18*'Reeksen (N)'!P50,0)</f>
        <v>0</v>
      </c>
      <c r="AU50" s="71">
        <f ca="1">-IF(C50=1,(F50+K50+L50+Q50)/2*'Invoer gegevens (N)'!$F$38*'Reeksen (N)'!H50,0)</f>
        <v>0</v>
      </c>
      <c r="AV50" s="71">
        <v>0</v>
      </c>
      <c r="AW50" s="71">
        <f t="shared" ca="1" si="8"/>
        <v>0</v>
      </c>
      <c r="AX50" s="71">
        <f ca="1">IF(E50&lt;'Invoer gegevens (N)'!$C$17+15,0,IF(E50&gt;'Invoer gegevens (N)'!$C$17+215,0,AW50))</f>
        <v>0</v>
      </c>
      <c r="AY50" s="71">
        <f ca="1">AX50/(1+'Invoer gegevens (N)'!$F$18)^($AZ50-('Invoer gegevens (N)'!$C$17-'Invoer gegevens (N)'!$C$16))/(1+'Invoer gegevens (N)'!$C$39)^('Invoer gegevens (N)'!$C$17-'Invoer gegevens (N)'!$C$16)</f>
        <v>0</v>
      </c>
      <c r="AZ50" s="68">
        <f ca="1">IF(E50-'Invoer gegevens (N)'!$C$17-14.5&lt;0,0,E50-'Invoer gegevens (N)'!$C$17-14.5)</f>
        <v>30.5</v>
      </c>
    </row>
    <row r="51" spans="1:52" x14ac:dyDescent="0.25">
      <c r="A51" s="59"/>
      <c r="B51" s="70">
        <f t="shared" si="9"/>
        <v>47</v>
      </c>
      <c r="C51" s="67">
        <f ca="1">IF(E51-'Invoer gegevens (N)'!$C$17&lt;0,0,1)</f>
        <v>1</v>
      </c>
      <c r="D51" s="68">
        <f t="shared" si="10"/>
        <v>46.5</v>
      </c>
      <c r="E51" s="69">
        <f ca="1">IF('Invoer gegevens (N)'!$C$16="","",E50+1)</f>
        <v>2065</v>
      </c>
      <c r="F51" s="84">
        <f ca="1">IF('Invoer gegevens (N)'!$C$17=E51,'Invoer gegevens (N)'!$C$10,IF(C51=1,K50,0))</f>
        <v>0</v>
      </c>
      <c r="G51" s="96">
        <f ca="1">IF(C51&gt;=1,F51*VLOOKUP(E51,'Reeksen (N)'!$A$5:$B$76,2),0)</f>
        <v>0</v>
      </c>
      <c r="H51" s="84">
        <f ca="1">(1-('Invoer gegevens (N)'!$F$20/12))*F51*MIN('Reeksen (N)'!B51,'Reeksen (N)'!D51)</f>
        <v>0</v>
      </c>
      <c r="I51" s="84">
        <f>IF('Reeksen (N)'!D51&lt;'Reeksen (N)'!B51,('Reeksen (N)'!B51-'Reeksen (N)'!D51)*F51,0)</f>
        <v>0</v>
      </c>
      <c r="J51" s="84">
        <f ca="1">('Invoer gegevens (N)'!$F$20/12)*F50*MIN('Reeksen (N)'!B50,'Reeksen (N)'!D50)</f>
        <v>0</v>
      </c>
      <c r="K51" s="97">
        <f t="shared" ca="1" si="0"/>
        <v>0</v>
      </c>
      <c r="L51" s="84">
        <f ca="1">IF('Invoer gegevens (N)'!$C$17=E51,0,IF(C51=1,Q50,0))</f>
        <v>0</v>
      </c>
      <c r="M51" s="96">
        <f ca="1">IF(C51&gt;=1,L51*VLOOKUP(E51,'Reeksen (N)'!$A$5:$B$76,2),0)</f>
        <v>0</v>
      </c>
      <c r="N51" s="84">
        <f ca="1">(1-('Invoer gegevens (N)'!$F$20/12))*L51*MIN('Reeksen (N)'!B51,'Reeksen (N)'!D51)</f>
        <v>0</v>
      </c>
      <c r="O51" s="84">
        <f>IF('Reeksen (N)'!D51&lt;'Reeksen (N)'!B51,('Reeksen (N)'!B51-'Reeksen (N)'!D51)*L51,0)</f>
        <v>0</v>
      </c>
      <c r="P51" s="84">
        <f ca="1">('Invoer gegevens (N)'!$F$20/12)*L50*MIN('Reeksen (N)'!B50,'Reeksen (N)'!D50)</f>
        <v>0</v>
      </c>
      <c r="Q51" s="84">
        <f t="shared" ca="1" si="1"/>
        <v>0</v>
      </c>
      <c r="R51" s="82">
        <f ca="1">IF('Invoer gegevens (N)'!$C$17=E51,'Invoer gegevens (N)'!$C$11,IF(C51=1,W50,0))</f>
        <v>0</v>
      </c>
      <c r="S51" s="86">
        <f ca="1">IF(C51&gt;=1,R51*VLOOKUP(E51,'Reeksen (N)'!$A$5:$B$76,2),0)</f>
        <v>0</v>
      </c>
      <c r="T51" s="84">
        <f ca="1">(1-('Invoer gegevens (N)'!$F$20/12))*R51*MIN('Reeksen (N)'!B51,'Reeksen (N)'!D51)</f>
        <v>0</v>
      </c>
      <c r="U51" s="84">
        <f>IF('Reeksen (N)'!D51&gt;='Reeksen (N)'!B51,0,IF('Reeksen (N)'!AD51&lt;='Reeksen (N)'!AE51,('Reeksen (N)'!B51-'Reeksen (N)'!D51)*R51,0))</f>
        <v>0</v>
      </c>
      <c r="V51" s="86">
        <f>IF('Reeksen (N)'!D51&gt;='Reeksen (N)'!B51,0,IF('Reeksen (N)'!AD51&gt;'Reeksen (N)'!AE51,('Reeksen (N)'!B51-'Reeksen (N)'!D51)*R51,0))</f>
        <v>0</v>
      </c>
      <c r="W51" s="97">
        <f t="shared" ca="1" si="2"/>
        <v>0</v>
      </c>
      <c r="X51" s="98">
        <f ca="1">IF('Invoer gegevens (N)'!$C$17=E51,'Invoer gegevens (N)'!$C$10-'Invoer gegevens (N)'!$C$11,IF(C51=1,AC50,0))</f>
        <v>0</v>
      </c>
      <c r="Y51" s="98">
        <f ca="1">IF(C51&gt;=1,X51*VLOOKUP(E51,'Reeksen (N)'!$A$5:$B$76,2),0)</f>
        <v>0</v>
      </c>
      <c r="Z51" s="98">
        <f ca="1">(1-('Invoer gegevens (N)'!$F$20/12))*X51*MIN('Reeksen (N)'!B51,'Reeksen (N)'!D51)</f>
        <v>0</v>
      </c>
      <c r="AA51" s="98">
        <f>IF('Reeksen (N)'!D51&gt;='Reeksen (N)'!B51,0,IF('Reeksen (N)'!AD51&lt;='Reeksen (N)'!AE51,('Reeksen (N)'!B51-'Reeksen (N)'!D51)*X51,0))</f>
        <v>0</v>
      </c>
      <c r="AB51" s="98">
        <f>IF('Reeksen (N)'!D51&gt;='Reeksen (N)'!B51,0,IF('Reeksen (N)'!AD51&gt;'Reeksen (N)'!AE51,('Reeksen (N)'!B51-'Reeksen (N)'!D51)*X51,0))</f>
        <v>0</v>
      </c>
      <c r="AC51" s="99">
        <f t="shared" ca="1" si="3"/>
        <v>0</v>
      </c>
      <c r="AD51" s="98">
        <f ca="1">IF('Invoer gegevens (N)'!$C$17=E51,R51,IF(C51=0,0,AE50))</f>
        <v>0</v>
      </c>
      <c r="AE51" s="98">
        <f t="shared" ca="1" si="4"/>
        <v>0</v>
      </c>
      <c r="AF51" s="98">
        <f ca="1">IF('Invoer gegevens (N)'!$C$17=E51,X51,IF(C51=0,0,AG50))</f>
        <v>0</v>
      </c>
      <c r="AG51" s="98">
        <f t="shared" ca="1" si="5"/>
        <v>0</v>
      </c>
      <c r="AH51" s="66"/>
      <c r="AI51" s="71">
        <f ca="1">IF(C51=1,'Reeksen (N)'!AI51*((F51-G51+F51)/2)*12+'Reeksen (N)'!AD51*((L51-M51+L51)/2)*12,0)</f>
        <v>0</v>
      </c>
      <c r="AJ51" s="71">
        <f ca="1">-AI51*'Invoer gegevens (N)'!$F$28</f>
        <v>0</v>
      </c>
      <c r="AK51" s="71">
        <f t="shared" ca="1" si="6"/>
        <v>0</v>
      </c>
      <c r="AL51" s="71">
        <f ca="1">IF(C51=1,'Reeksen (N)'!AL51*((F51-G51+F51)/2)*12+'Reeksen (N)'!AM51*((L51-M51+L51)/2)*12,0)</f>
        <v>0</v>
      </c>
      <c r="AM51" s="71">
        <f ca="1">-AL51*'Invoer gegevens (N)'!$F$31</f>
        <v>0</v>
      </c>
      <c r="AN51" s="71">
        <f t="shared" ca="1" si="7"/>
        <v>0</v>
      </c>
      <c r="AO51" s="71">
        <f ca="1">IF(C51=1,(H51+J51+N51+P51)*'Reeksen (N)'!AN51,0)</f>
        <v>0</v>
      </c>
      <c r="AP51" s="71">
        <f ca="1">-IF(C51=1,(H51+J51+N51+P51)*'Hulp - basis'!$O$550*'Reeksen (N)'!H51,0)</f>
        <v>0</v>
      </c>
      <c r="AQ51" s="71">
        <f ca="1">-IF(C51=1,(F51+K51+L51+Q51)/2*'Invoer gegevens (N)'!$F$35*'Reeksen (N)'!J51,0)*2</f>
        <v>0</v>
      </c>
      <c r="AR51" s="71"/>
      <c r="AS51" s="71">
        <f ca="1">-IF(C51=1,(F51+K51+L51+Q51)/2*'Invoer gegevens (N)'!$F$37*'Reeksen (N)'!L51,0)</f>
        <v>0</v>
      </c>
      <c r="AT51" s="71">
        <f ca="1">-IF(C51=1,IF(E51='Invoer gegevens (N)'!$C$17,'Invoer gegevens (N)'!$C$11,AD51)*'Reeksen (N)'!S51*'Invoer gegevens (N)'!$C$18*'Reeksen (N)'!P51,0)</f>
        <v>0</v>
      </c>
      <c r="AU51" s="71">
        <f ca="1">-IF(C51=1,(F51+K51+L51+Q51)/2*'Invoer gegevens (N)'!$F$38*'Reeksen (N)'!H51,0)</f>
        <v>0</v>
      </c>
      <c r="AV51" s="71">
        <v>0</v>
      </c>
      <c r="AW51" s="71">
        <f t="shared" ca="1" si="8"/>
        <v>0</v>
      </c>
      <c r="AX51" s="71">
        <f ca="1">IF(E51&lt;'Invoer gegevens (N)'!$C$17+15,0,IF(E51&gt;'Invoer gegevens (N)'!$C$17+215,0,AW51))</f>
        <v>0</v>
      </c>
      <c r="AY51" s="71">
        <f ca="1">AX51/(1+'Invoer gegevens (N)'!$F$18)^($AZ51-('Invoer gegevens (N)'!$C$17-'Invoer gegevens (N)'!$C$16))/(1+'Invoer gegevens (N)'!$C$39)^('Invoer gegevens (N)'!$C$17-'Invoer gegevens (N)'!$C$16)</f>
        <v>0</v>
      </c>
      <c r="AZ51" s="68">
        <f ca="1">IF(E51-'Invoer gegevens (N)'!$C$17-14.5&lt;0,0,E51-'Invoer gegevens (N)'!$C$17-14.5)</f>
        <v>31.5</v>
      </c>
    </row>
    <row r="52" spans="1:52" x14ac:dyDescent="0.25">
      <c r="A52" s="59"/>
      <c r="B52" s="70">
        <f t="shared" si="9"/>
        <v>48</v>
      </c>
      <c r="C52" s="67">
        <f ca="1">IF(E52-'Invoer gegevens (N)'!$C$17&lt;0,0,1)</f>
        <v>1</v>
      </c>
      <c r="D52" s="68">
        <f t="shared" si="10"/>
        <v>47.5</v>
      </c>
      <c r="E52" s="69">
        <f ca="1">IF('Invoer gegevens (N)'!$C$16="","",E51+1)</f>
        <v>2066</v>
      </c>
      <c r="F52" s="84">
        <f ca="1">IF('Invoer gegevens (N)'!$C$17=E52,'Invoer gegevens (N)'!$C$10,IF(C52=1,K51,0))</f>
        <v>0</v>
      </c>
      <c r="G52" s="96">
        <f ca="1">IF(C52&gt;=1,F52*VLOOKUP(E52,'Reeksen (N)'!$A$5:$B$76,2),0)</f>
        <v>0</v>
      </c>
      <c r="H52" s="84">
        <f ca="1">(1-('Invoer gegevens (N)'!$F$20/12))*F52*MIN('Reeksen (N)'!B52,'Reeksen (N)'!D52)</f>
        <v>0</v>
      </c>
      <c r="I52" s="84">
        <f>IF('Reeksen (N)'!D52&lt;'Reeksen (N)'!B52,('Reeksen (N)'!B52-'Reeksen (N)'!D52)*F52,0)</f>
        <v>0</v>
      </c>
      <c r="J52" s="84">
        <f ca="1">('Invoer gegevens (N)'!$F$20/12)*F51*MIN('Reeksen (N)'!B51,'Reeksen (N)'!D51)</f>
        <v>0</v>
      </c>
      <c r="K52" s="97">
        <f t="shared" ca="1" si="0"/>
        <v>0</v>
      </c>
      <c r="L52" s="84">
        <f ca="1">IF('Invoer gegevens (N)'!$C$17=E52,0,IF(C52=1,Q51,0))</f>
        <v>0</v>
      </c>
      <c r="M52" s="96">
        <f ca="1">IF(C52&gt;=1,L52*VLOOKUP(E52,'Reeksen (N)'!$A$5:$B$76,2),0)</f>
        <v>0</v>
      </c>
      <c r="N52" s="84">
        <f ca="1">(1-('Invoer gegevens (N)'!$F$20/12))*L52*MIN('Reeksen (N)'!B52,'Reeksen (N)'!D52)</f>
        <v>0</v>
      </c>
      <c r="O52" s="84">
        <f>IF('Reeksen (N)'!D52&lt;'Reeksen (N)'!B52,('Reeksen (N)'!B52-'Reeksen (N)'!D52)*L52,0)</f>
        <v>0</v>
      </c>
      <c r="P52" s="84">
        <f ca="1">('Invoer gegevens (N)'!$F$20/12)*L51*MIN('Reeksen (N)'!B51,'Reeksen (N)'!D51)</f>
        <v>0</v>
      </c>
      <c r="Q52" s="84">
        <f t="shared" ca="1" si="1"/>
        <v>0</v>
      </c>
      <c r="R52" s="82">
        <f ca="1">IF('Invoer gegevens (N)'!$C$17=E52,'Invoer gegevens (N)'!$C$11,IF(C52=1,W51,0))</f>
        <v>0</v>
      </c>
      <c r="S52" s="86">
        <f ca="1">IF(C52&gt;=1,R52*VLOOKUP(E52,'Reeksen (N)'!$A$5:$B$76,2),0)</f>
        <v>0</v>
      </c>
      <c r="T52" s="84">
        <f ca="1">(1-('Invoer gegevens (N)'!$F$20/12))*R52*MIN('Reeksen (N)'!B52,'Reeksen (N)'!D52)</f>
        <v>0</v>
      </c>
      <c r="U52" s="84">
        <f>IF('Reeksen (N)'!D52&gt;='Reeksen (N)'!B52,0,IF('Reeksen (N)'!AD52&lt;='Reeksen (N)'!AE52,('Reeksen (N)'!B52-'Reeksen (N)'!D52)*R52,0))</f>
        <v>0</v>
      </c>
      <c r="V52" s="86">
        <f>IF('Reeksen (N)'!D52&gt;='Reeksen (N)'!B52,0,IF('Reeksen (N)'!AD52&gt;'Reeksen (N)'!AE52,('Reeksen (N)'!B52-'Reeksen (N)'!D52)*R52,0))</f>
        <v>0</v>
      </c>
      <c r="W52" s="97">
        <f t="shared" ca="1" si="2"/>
        <v>0</v>
      </c>
      <c r="X52" s="98">
        <f ca="1">IF('Invoer gegevens (N)'!$C$17=E52,'Invoer gegevens (N)'!$C$10-'Invoer gegevens (N)'!$C$11,IF(C52=1,AC51,0))</f>
        <v>0</v>
      </c>
      <c r="Y52" s="98">
        <f ca="1">IF(C52&gt;=1,X52*VLOOKUP(E52,'Reeksen (N)'!$A$5:$B$76,2),0)</f>
        <v>0</v>
      </c>
      <c r="Z52" s="98">
        <f ca="1">(1-('Invoer gegevens (N)'!$F$20/12))*X52*MIN('Reeksen (N)'!B52,'Reeksen (N)'!D52)</f>
        <v>0</v>
      </c>
      <c r="AA52" s="98">
        <f>IF('Reeksen (N)'!D52&gt;='Reeksen (N)'!B52,0,IF('Reeksen (N)'!AD52&lt;='Reeksen (N)'!AE52,('Reeksen (N)'!B52-'Reeksen (N)'!D52)*X52,0))</f>
        <v>0</v>
      </c>
      <c r="AB52" s="98">
        <f>IF('Reeksen (N)'!D52&gt;='Reeksen (N)'!B52,0,IF('Reeksen (N)'!AD52&gt;'Reeksen (N)'!AE52,('Reeksen (N)'!B52-'Reeksen (N)'!D52)*X52,0))</f>
        <v>0</v>
      </c>
      <c r="AC52" s="99">
        <f t="shared" ca="1" si="3"/>
        <v>0</v>
      </c>
      <c r="AD52" s="98">
        <f ca="1">IF('Invoer gegevens (N)'!$C$17=E52,R52,IF(C52=0,0,AE51))</f>
        <v>0</v>
      </c>
      <c r="AE52" s="98">
        <f t="shared" ca="1" si="4"/>
        <v>0</v>
      </c>
      <c r="AF52" s="98">
        <f ca="1">IF('Invoer gegevens (N)'!$C$17=E52,X52,IF(C52=0,0,AG51))</f>
        <v>0</v>
      </c>
      <c r="AG52" s="98">
        <f t="shared" ca="1" si="5"/>
        <v>0</v>
      </c>
      <c r="AH52" s="66"/>
      <c r="AI52" s="71">
        <f ca="1">IF(C52=1,'Reeksen (N)'!AI52*((F52-G52+F52)/2)*12+'Reeksen (N)'!AD52*((L52-M52+L52)/2)*12,0)</f>
        <v>0</v>
      </c>
      <c r="AJ52" s="71">
        <f ca="1">-AI52*'Invoer gegevens (N)'!$F$28</f>
        <v>0</v>
      </c>
      <c r="AK52" s="71">
        <f t="shared" ca="1" si="6"/>
        <v>0</v>
      </c>
      <c r="AL52" s="71">
        <f ca="1">IF(C52=1,'Reeksen (N)'!AL52*((F52-G52+F52)/2)*12+'Reeksen (N)'!AM52*((L52-M52+L52)/2)*12,0)</f>
        <v>0</v>
      </c>
      <c r="AM52" s="71">
        <f ca="1">-AL52*'Invoer gegevens (N)'!$F$31</f>
        <v>0</v>
      </c>
      <c r="AN52" s="71">
        <f t="shared" ca="1" si="7"/>
        <v>0</v>
      </c>
      <c r="AO52" s="71">
        <f ca="1">IF(C52=1,(H52+J52+N52+P52)*'Reeksen (N)'!AN52,0)</f>
        <v>0</v>
      </c>
      <c r="AP52" s="71">
        <f ca="1">-IF(C52=1,(H52+J52+N52+P52)*'Hulp - basis'!$O$550*'Reeksen (N)'!H52,0)</f>
        <v>0</v>
      </c>
      <c r="AQ52" s="71">
        <f ca="1">-IF(C52=1,(F52+K52+L52+Q52)/2*'Invoer gegevens (N)'!$F$35*'Reeksen (N)'!J52,0)*2</f>
        <v>0</v>
      </c>
      <c r="AR52" s="71"/>
      <c r="AS52" s="71">
        <f ca="1">-IF(C52=1,(F52+K52+L52+Q52)/2*'Invoer gegevens (N)'!$F$37*'Reeksen (N)'!L52,0)</f>
        <v>0</v>
      </c>
      <c r="AT52" s="71">
        <f ca="1">-IF(C52=1,IF(E52='Invoer gegevens (N)'!$C$17,'Invoer gegevens (N)'!$C$11,AD52)*'Reeksen (N)'!S52*'Invoer gegevens (N)'!$C$18*'Reeksen (N)'!P52,0)</f>
        <v>0</v>
      </c>
      <c r="AU52" s="71">
        <f ca="1">-IF(C52=1,(F52+K52+L52+Q52)/2*'Invoer gegevens (N)'!$F$38*'Reeksen (N)'!H52,0)</f>
        <v>0</v>
      </c>
      <c r="AV52" s="71">
        <v>0</v>
      </c>
      <c r="AW52" s="71">
        <f t="shared" ca="1" si="8"/>
        <v>0</v>
      </c>
      <c r="AX52" s="71">
        <f ca="1">IF(E52&lt;'Invoer gegevens (N)'!$C$17+15,0,IF(E52&gt;'Invoer gegevens (N)'!$C$17+215,0,AW52))</f>
        <v>0</v>
      </c>
      <c r="AY52" s="71">
        <f ca="1">AX52/(1+'Invoer gegevens (N)'!$F$18)^($AZ52-('Invoer gegevens (N)'!$C$17-'Invoer gegevens (N)'!$C$16))/(1+'Invoer gegevens (N)'!$C$39)^('Invoer gegevens (N)'!$C$17-'Invoer gegevens (N)'!$C$16)</f>
        <v>0</v>
      </c>
      <c r="AZ52" s="68">
        <f ca="1">IF(E52-'Invoer gegevens (N)'!$C$17-14.5&lt;0,0,E52-'Invoer gegevens (N)'!$C$17-14.5)</f>
        <v>32.5</v>
      </c>
    </row>
    <row r="53" spans="1:52" x14ac:dyDescent="0.25">
      <c r="A53" s="59"/>
      <c r="B53" s="70">
        <f t="shared" si="9"/>
        <v>49</v>
      </c>
      <c r="C53" s="67">
        <f ca="1">IF(E53-'Invoer gegevens (N)'!$C$17&lt;0,0,1)</f>
        <v>1</v>
      </c>
      <c r="D53" s="68">
        <f t="shared" si="10"/>
        <v>48.5</v>
      </c>
      <c r="E53" s="69">
        <f ca="1">IF('Invoer gegevens (N)'!$C$16="","",E52+1)</f>
        <v>2067</v>
      </c>
      <c r="F53" s="84">
        <f ca="1">IF('Invoer gegevens (N)'!$C$17=E53,'Invoer gegevens (N)'!$C$10,IF(C53=1,K52,0))</f>
        <v>0</v>
      </c>
      <c r="G53" s="96">
        <f ca="1">IF(C53&gt;=1,F53*VLOOKUP(E53,'Reeksen (N)'!$A$5:$B$76,2),0)</f>
        <v>0</v>
      </c>
      <c r="H53" s="84">
        <f ca="1">(1-('Invoer gegevens (N)'!$F$20/12))*F53*MIN('Reeksen (N)'!B53,'Reeksen (N)'!D53)</f>
        <v>0</v>
      </c>
      <c r="I53" s="84">
        <f>IF('Reeksen (N)'!D53&lt;'Reeksen (N)'!B53,('Reeksen (N)'!B53-'Reeksen (N)'!D53)*F53,0)</f>
        <v>0</v>
      </c>
      <c r="J53" s="84">
        <f ca="1">('Invoer gegevens (N)'!$F$20/12)*F52*MIN('Reeksen (N)'!B52,'Reeksen (N)'!D52)</f>
        <v>0</v>
      </c>
      <c r="K53" s="97">
        <f t="shared" ca="1" si="0"/>
        <v>0</v>
      </c>
      <c r="L53" s="84">
        <f ca="1">IF('Invoer gegevens (N)'!$C$17=E53,0,IF(C53=1,Q52,0))</f>
        <v>0</v>
      </c>
      <c r="M53" s="96">
        <f ca="1">IF(C53&gt;=1,L53*VLOOKUP(E53,'Reeksen (N)'!$A$5:$B$76,2),0)</f>
        <v>0</v>
      </c>
      <c r="N53" s="84">
        <f ca="1">(1-('Invoer gegevens (N)'!$F$20/12))*L53*MIN('Reeksen (N)'!B53,'Reeksen (N)'!D53)</f>
        <v>0</v>
      </c>
      <c r="O53" s="84">
        <f>IF('Reeksen (N)'!D53&lt;'Reeksen (N)'!B53,('Reeksen (N)'!B53-'Reeksen (N)'!D53)*L53,0)</f>
        <v>0</v>
      </c>
      <c r="P53" s="84">
        <f ca="1">('Invoer gegevens (N)'!$F$20/12)*L52*MIN('Reeksen (N)'!B52,'Reeksen (N)'!D52)</f>
        <v>0</v>
      </c>
      <c r="Q53" s="84">
        <f t="shared" ca="1" si="1"/>
        <v>0</v>
      </c>
      <c r="R53" s="82">
        <f ca="1">IF('Invoer gegevens (N)'!$C$17=E53,'Invoer gegevens (N)'!$C$11,IF(C53=1,W52,0))</f>
        <v>0</v>
      </c>
      <c r="S53" s="86">
        <f ca="1">IF(C53&gt;=1,R53*VLOOKUP(E53,'Reeksen (N)'!$A$5:$B$76,2),0)</f>
        <v>0</v>
      </c>
      <c r="T53" s="84">
        <f ca="1">(1-('Invoer gegevens (N)'!$F$20/12))*R53*MIN('Reeksen (N)'!B53,'Reeksen (N)'!D53)</f>
        <v>0</v>
      </c>
      <c r="U53" s="84">
        <f>IF('Reeksen (N)'!D53&gt;='Reeksen (N)'!B53,0,IF('Reeksen (N)'!AD53&lt;='Reeksen (N)'!AE53,('Reeksen (N)'!B53-'Reeksen (N)'!D53)*R53,0))</f>
        <v>0</v>
      </c>
      <c r="V53" s="86">
        <f>IF('Reeksen (N)'!D53&gt;='Reeksen (N)'!B53,0,IF('Reeksen (N)'!AD53&gt;'Reeksen (N)'!AE53,('Reeksen (N)'!B53-'Reeksen (N)'!D53)*R53,0))</f>
        <v>0</v>
      </c>
      <c r="W53" s="97">
        <f t="shared" ca="1" si="2"/>
        <v>0</v>
      </c>
      <c r="X53" s="98">
        <f ca="1">IF('Invoer gegevens (N)'!$C$17=E53,'Invoer gegevens (N)'!$C$10-'Invoer gegevens (N)'!$C$11,IF(C53=1,AC52,0))</f>
        <v>0</v>
      </c>
      <c r="Y53" s="98">
        <f ca="1">IF(C53&gt;=1,X53*VLOOKUP(E53,'Reeksen (N)'!$A$5:$B$76,2),0)</f>
        <v>0</v>
      </c>
      <c r="Z53" s="98">
        <f ca="1">(1-('Invoer gegevens (N)'!$F$20/12))*X53*MIN('Reeksen (N)'!B53,'Reeksen (N)'!D53)</f>
        <v>0</v>
      </c>
      <c r="AA53" s="98">
        <f>IF('Reeksen (N)'!D53&gt;='Reeksen (N)'!B53,0,IF('Reeksen (N)'!AD53&lt;='Reeksen (N)'!AE53,('Reeksen (N)'!B53-'Reeksen (N)'!D53)*X53,0))</f>
        <v>0</v>
      </c>
      <c r="AB53" s="98">
        <f>IF('Reeksen (N)'!D53&gt;='Reeksen (N)'!B53,0,IF('Reeksen (N)'!AD53&gt;'Reeksen (N)'!AE53,('Reeksen (N)'!B53-'Reeksen (N)'!D53)*X53,0))</f>
        <v>0</v>
      </c>
      <c r="AC53" s="99">
        <f t="shared" ca="1" si="3"/>
        <v>0</v>
      </c>
      <c r="AD53" s="98">
        <f ca="1">IF('Invoer gegevens (N)'!$C$17=E53,R53,IF(C53=0,0,AE52))</f>
        <v>0</v>
      </c>
      <c r="AE53" s="98">
        <f t="shared" ca="1" si="4"/>
        <v>0</v>
      </c>
      <c r="AF53" s="98">
        <f ca="1">IF('Invoer gegevens (N)'!$C$17=E53,X53,IF(C53=0,0,AG52))</f>
        <v>0</v>
      </c>
      <c r="AG53" s="98">
        <f t="shared" ca="1" si="5"/>
        <v>0</v>
      </c>
      <c r="AH53" s="66"/>
      <c r="AI53" s="71">
        <f ca="1">IF(C53=1,'Reeksen (N)'!AI53*((F53-G53+F53)/2)*12+'Reeksen (N)'!AD53*((L53-M53+L53)/2)*12,0)</f>
        <v>0</v>
      </c>
      <c r="AJ53" s="71">
        <f ca="1">-AI53*'Invoer gegevens (N)'!$F$28</f>
        <v>0</v>
      </c>
      <c r="AK53" s="71">
        <f t="shared" ca="1" si="6"/>
        <v>0</v>
      </c>
      <c r="AL53" s="71">
        <f ca="1">IF(C53=1,'Reeksen (N)'!AL53*((F53-G53+F53)/2)*12+'Reeksen (N)'!AM53*((L53-M53+L53)/2)*12,0)</f>
        <v>0</v>
      </c>
      <c r="AM53" s="71">
        <f ca="1">-AL53*'Invoer gegevens (N)'!$F$31</f>
        <v>0</v>
      </c>
      <c r="AN53" s="71">
        <f t="shared" ca="1" si="7"/>
        <v>0</v>
      </c>
      <c r="AO53" s="71">
        <f ca="1">IF(C53=1,(H53+J53+N53+P53)*'Reeksen (N)'!AN53,0)</f>
        <v>0</v>
      </c>
      <c r="AP53" s="71">
        <f ca="1">-IF(C53=1,(H53+J53+N53+P53)*'Hulp - basis'!$O$550*'Reeksen (N)'!H53,0)</f>
        <v>0</v>
      </c>
      <c r="AQ53" s="71">
        <f ca="1">-IF(C53=1,(F53+K53+L53+Q53)/2*'Invoer gegevens (N)'!$F$35*'Reeksen (N)'!J53,0)*2</f>
        <v>0</v>
      </c>
      <c r="AR53" s="71"/>
      <c r="AS53" s="71">
        <f ca="1">-IF(C53=1,(F53+K53+L53+Q53)/2*'Invoer gegevens (N)'!$F$37*'Reeksen (N)'!L53,0)</f>
        <v>0</v>
      </c>
      <c r="AT53" s="71">
        <f ca="1">-IF(C53=1,IF(E53='Invoer gegevens (N)'!$C$17,'Invoer gegevens (N)'!$C$11,AD53)*'Reeksen (N)'!S53*'Invoer gegevens (N)'!$C$18*'Reeksen (N)'!P53,0)</f>
        <v>0</v>
      </c>
      <c r="AU53" s="71">
        <f ca="1">-IF(C53=1,(F53+K53+L53+Q53)/2*'Invoer gegevens (N)'!$F$38*'Reeksen (N)'!H53,0)</f>
        <v>0</v>
      </c>
      <c r="AV53" s="71">
        <v>0</v>
      </c>
      <c r="AW53" s="71">
        <f t="shared" ca="1" si="8"/>
        <v>0</v>
      </c>
      <c r="AX53" s="71">
        <f ca="1">IF(E53&lt;'Invoer gegevens (N)'!$C$17+15,0,IF(E53&gt;'Invoer gegevens (N)'!$C$17+215,0,AW53))</f>
        <v>0</v>
      </c>
      <c r="AY53" s="71">
        <f ca="1">AX53/(1+'Invoer gegevens (N)'!$F$18)^($AZ53-('Invoer gegevens (N)'!$C$17-'Invoer gegevens (N)'!$C$16))/(1+'Invoer gegevens (N)'!$C$39)^('Invoer gegevens (N)'!$C$17-'Invoer gegevens (N)'!$C$16)</f>
        <v>0</v>
      </c>
      <c r="AZ53" s="68">
        <f ca="1">IF(E53-'Invoer gegevens (N)'!$C$17-14.5&lt;0,0,E53-'Invoer gegevens (N)'!$C$17-14.5)</f>
        <v>33.5</v>
      </c>
    </row>
    <row r="54" spans="1:52" x14ac:dyDescent="0.25">
      <c r="A54" s="59"/>
      <c r="B54" s="70">
        <f t="shared" si="9"/>
        <v>50</v>
      </c>
      <c r="C54" s="67">
        <f ca="1">IF(E54-'Invoer gegevens (N)'!$C$17&lt;0,0,1)</f>
        <v>1</v>
      </c>
      <c r="D54" s="68">
        <f t="shared" si="10"/>
        <v>49.5</v>
      </c>
      <c r="E54" s="69">
        <f ca="1">IF('Invoer gegevens (N)'!$C$16="","",E53+1)</f>
        <v>2068</v>
      </c>
      <c r="F54" s="84">
        <f ca="1">IF('Invoer gegevens (N)'!$C$17=E54,'Invoer gegevens (N)'!$C$10,IF(C54=1,K53,0))</f>
        <v>0</v>
      </c>
      <c r="G54" s="96">
        <f ca="1">IF(C54&gt;=1,F54*VLOOKUP(E54,'Reeksen (N)'!$A$5:$B$76,2),0)</f>
        <v>0</v>
      </c>
      <c r="H54" s="84">
        <f ca="1">(1-('Invoer gegevens (N)'!$F$20/12))*F54*MIN('Reeksen (N)'!B54,'Reeksen (N)'!D54)</f>
        <v>0</v>
      </c>
      <c r="I54" s="84">
        <f>IF('Reeksen (N)'!D54&lt;'Reeksen (N)'!B54,('Reeksen (N)'!B54-'Reeksen (N)'!D54)*F54,0)</f>
        <v>0</v>
      </c>
      <c r="J54" s="84">
        <f ca="1">('Invoer gegevens (N)'!$F$20/12)*F53*MIN('Reeksen (N)'!B53,'Reeksen (N)'!D53)</f>
        <v>0</v>
      </c>
      <c r="K54" s="97">
        <f t="shared" ca="1" si="0"/>
        <v>0</v>
      </c>
      <c r="L54" s="84">
        <f ca="1">IF('Invoer gegevens (N)'!$C$17=E54,0,IF(C54=1,Q53,0))</f>
        <v>0</v>
      </c>
      <c r="M54" s="96">
        <f ca="1">IF(C54&gt;=1,L54*VLOOKUP(E54,'Reeksen (N)'!$A$5:$B$76,2),0)</f>
        <v>0</v>
      </c>
      <c r="N54" s="84">
        <f ca="1">(1-('Invoer gegevens (N)'!$F$20/12))*L54*MIN('Reeksen (N)'!B54,'Reeksen (N)'!D54)</f>
        <v>0</v>
      </c>
      <c r="O54" s="84">
        <f>IF('Reeksen (N)'!D54&lt;'Reeksen (N)'!B54,('Reeksen (N)'!B54-'Reeksen (N)'!D54)*L54,0)</f>
        <v>0</v>
      </c>
      <c r="P54" s="84">
        <f ca="1">('Invoer gegevens (N)'!$F$20/12)*L53*MIN('Reeksen (N)'!B53,'Reeksen (N)'!D53)</f>
        <v>0</v>
      </c>
      <c r="Q54" s="84">
        <f t="shared" ca="1" si="1"/>
        <v>0</v>
      </c>
      <c r="R54" s="82">
        <f ca="1">IF('Invoer gegevens (N)'!$C$17=E54,'Invoer gegevens (N)'!$C$11,IF(C54=1,W53,0))</f>
        <v>0</v>
      </c>
      <c r="S54" s="86">
        <f ca="1">IF(C54&gt;=1,R54*VLOOKUP(E54,'Reeksen (N)'!$A$5:$B$76,2),0)</f>
        <v>0</v>
      </c>
      <c r="T54" s="84">
        <f ca="1">(1-('Invoer gegevens (N)'!$F$20/12))*R54*MIN('Reeksen (N)'!B54,'Reeksen (N)'!D54)</f>
        <v>0</v>
      </c>
      <c r="U54" s="84">
        <f>IF('Reeksen (N)'!D54&gt;='Reeksen (N)'!B54,0,IF('Reeksen (N)'!AD54&lt;='Reeksen (N)'!AE54,('Reeksen (N)'!B54-'Reeksen (N)'!D54)*R54,0))</f>
        <v>0</v>
      </c>
      <c r="V54" s="86">
        <f>IF('Reeksen (N)'!D54&gt;='Reeksen (N)'!B54,0,IF('Reeksen (N)'!AD54&gt;'Reeksen (N)'!AE54,('Reeksen (N)'!B54-'Reeksen (N)'!D54)*R54,0))</f>
        <v>0</v>
      </c>
      <c r="W54" s="97">
        <f t="shared" ca="1" si="2"/>
        <v>0</v>
      </c>
      <c r="X54" s="98">
        <f ca="1">IF('Invoer gegevens (N)'!$C$17=E54,'Invoer gegevens (N)'!$C$10-'Invoer gegevens (N)'!$C$11,IF(C54=1,AC53,0))</f>
        <v>0</v>
      </c>
      <c r="Y54" s="98">
        <f ca="1">IF(C54&gt;=1,X54*VLOOKUP(E54,'Reeksen (N)'!$A$5:$B$76,2),0)</f>
        <v>0</v>
      </c>
      <c r="Z54" s="98">
        <f ca="1">(1-('Invoer gegevens (N)'!$F$20/12))*X54*MIN('Reeksen (N)'!B54,'Reeksen (N)'!D54)</f>
        <v>0</v>
      </c>
      <c r="AA54" s="98">
        <f>IF('Reeksen (N)'!D54&gt;='Reeksen (N)'!B54,0,IF('Reeksen (N)'!AD54&lt;='Reeksen (N)'!AE54,('Reeksen (N)'!B54-'Reeksen (N)'!D54)*X54,0))</f>
        <v>0</v>
      </c>
      <c r="AB54" s="98">
        <f>IF('Reeksen (N)'!D54&gt;='Reeksen (N)'!B54,0,IF('Reeksen (N)'!AD54&gt;'Reeksen (N)'!AE54,('Reeksen (N)'!B54-'Reeksen (N)'!D54)*X54,0))</f>
        <v>0</v>
      </c>
      <c r="AC54" s="99">
        <f t="shared" ca="1" si="3"/>
        <v>0</v>
      </c>
      <c r="AD54" s="98">
        <f ca="1">IF('Invoer gegevens (N)'!$C$17=E54,R54,IF(C54=0,0,AE53))</f>
        <v>0</v>
      </c>
      <c r="AE54" s="98">
        <f t="shared" ca="1" si="4"/>
        <v>0</v>
      </c>
      <c r="AF54" s="98">
        <f ca="1">IF('Invoer gegevens (N)'!$C$17=E54,X54,IF(C54=0,0,AG53))</f>
        <v>0</v>
      </c>
      <c r="AG54" s="98">
        <f t="shared" ca="1" si="5"/>
        <v>0</v>
      </c>
      <c r="AH54" s="66"/>
      <c r="AI54" s="71">
        <f ca="1">IF(C54=1,'Reeksen (N)'!AI54*((F54-G54+F54)/2)*12+'Reeksen (N)'!AD54*((L54-M54+L54)/2)*12,0)</f>
        <v>0</v>
      </c>
      <c r="AJ54" s="71">
        <f ca="1">-AI54*'Invoer gegevens (N)'!$F$28</f>
        <v>0</v>
      </c>
      <c r="AK54" s="71">
        <f t="shared" ca="1" si="6"/>
        <v>0</v>
      </c>
      <c r="AL54" s="71">
        <f ca="1">IF(C54=1,'Reeksen (N)'!AL54*((F54-G54+F54)/2)*12+'Reeksen (N)'!AM54*((L54-M54+L54)/2)*12,0)</f>
        <v>0</v>
      </c>
      <c r="AM54" s="71">
        <f ca="1">-AL54*'Invoer gegevens (N)'!$F$31</f>
        <v>0</v>
      </c>
      <c r="AN54" s="71">
        <f t="shared" ca="1" si="7"/>
        <v>0</v>
      </c>
      <c r="AO54" s="71">
        <f ca="1">IF(C54=1,(H54+J54+N54+P54)*'Reeksen (N)'!AN54,0)</f>
        <v>0</v>
      </c>
      <c r="AP54" s="71">
        <f ca="1">-IF(C54=1,(H54+J54+N54+P54)*'Hulp - basis'!$O$550*'Reeksen (N)'!H54,0)</f>
        <v>0</v>
      </c>
      <c r="AQ54" s="71">
        <f ca="1">-IF(C54=1,(F54+K54+L54+Q54)/2*'Invoer gegevens (N)'!$F$35*'Reeksen (N)'!J54,0)*2</f>
        <v>0</v>
      </c>
      <c r="AR54" s="71"/>
      <c r="AS54" s="71">
        <f ca="1">-IF(C54=1,(F54+K54+L54+Q54)/2*'Invoer gegevens (N)'!$F$37*'Reeksen (N)'!L54,0)</f>
        <v>0</v>
      </c>
      <c r="AT54" s="71">
        <f ca="1">-IF(C54=1,IF(E54='Invoer gegevens (N)'!$C$17,'Invoer gegevens (N)'!$C$11,AD54)*'Reeksen (N)'!S54*'Invoer gegevens (N)'!$C$18*'Reeksen (N)'!P54,0)</f>
        <v>0</v>
      </c>
      <c r="AU54" s="71">
        <f ca="1">-IF(C54=1,(F54+K54+L54+Q54)/2*'Invoer gegevens (N)'!$F$38*'Reeksen (N)'!H54,0)</f>
        <v>0</v>
      </c>
      <c r="AV54" s="71">
        <v>0</v>
      </c>
      <c r="AW54" s="71">
        <f t="shared" ca="1" si="8"/>
        <v>0</v>
      </c>
      <c r="AX54" s="71">
        <f ca="1">IF(E54&lt;'Invoer gegevens (N)'!$C$17+15,0,IF(E54&gt;'Invoer gegevens (N)'!$C$17+215,0,AW54))</f>
        <v>0</v>
      </c>
      <c r="AY54" s="71">
        <f ca="1">AX54/(1+'Invoer gegevens (N)'!$F$18)^($AZ54-('Invoer gegevens (N)'!$C$17-'Invoer gegevens (N)'!$C$16))/(1+'Invoer gegevens (N)'!$C$39)^('Invoer gegevens (N)'!$C$17-'Invoer gegevens (N)'!$C$16)</f>
        <v>0</v>
      </c>
      <c r="AZ54" s="68">
        <f ca="1">IF(E54-'Invoer gegevens (N)'!$C$17-14.5&lt;0,0,E54-'Invoer gegevens (N)'!$C$17-14.5)</f>
        <v>34.5</v>
      </c>
    </row>
    <row r="55" spans="1:52" x14ac:dyDescent="0.25">
      <c r="A55" s="59"/>
      <c r="B55" s="70">
        <f t="shared" si="9"/>
        <v>51</v>
      </c>
      <c r="C55" s="67">
        <f ca="1">IF(E55-'Invoer gegevens (N)'!$C$17&lt;0,0,1)</f>
        <v>1</v>
      </c>
      <c r="D55" s="68">
        <f t="shared" si="10"/>
        <v>50.5</v>
      </c>
      <c r="E55" s="69">
        <f ca="1">IF('Invoer gegevens (N)'!$C$16="","",E54+1)</f>
        <v>2069</v>
      </c>
      <c r="F55" s="84">
        <f ca="1">IF('Invoer gegevens (N)'!$C$17=E55,'Invoer gegevens (N)'!$C$10,IF(C55=1,K54,0))</f>
        <v>0</v>
      </c>
      <c r="G55" s="96">
        <f ca="1">IF(C55&gt;=1,F55*VLOOKUP(E55,'Reeksen (N)'!$A$5:$B$76,2),0)</f>
        <v>0</v>
      </c>
      <c r="H55" s="84">
        <f ca="1">(1-('Invoer gegevens (N)'!$F$20/12))*F55*MIN('Reeksen (N)'!B55,'Reeksen (N)'!D55)</f>
        <v>0</v>
      </c>
      <c r="I55" s="84">
        <f>IF('Reeksen (N)'!D55&lt;'Reeksen (N)'!B55,('Reeksen (N)'!B55-'Reeksen (N)'!D55)*F55,0)</f>
        <v>0</v>
      </c>
      <c r="J55" s="84">
        <f ca="1">('Invoer gegevens (N)'!$F$20/12)*F54*MIN('Reeksen (N)'!B54,'Reeksen (N)'!D54)</f>
        <v>0</v>
      </c>
      <c r="K55" s="97">
        <f t="shared" ca="1" si="0"/>
        <v>0</v>
      </c>
      <c r="L55" s="84">
        <f ca="1">IF('Invoer gegevens (N)'!$C$17=E55,0,IF(C55=1,Q54,0))</f>
        <v>0</v>
      </c>
      <c r="M55" s="96">
        <f ca="1">IF(C55&gt;=1,L55*VLOOKUP(E55,'Reeksen (N)'!$A$5:$B$76,2),0)</f>
        <v>0</v>
      </c>
      <c r="N55" s="84">
        <f ca="1">(1-('Invoer gegevens (N)'!$F$20/12))*L55*MIN('Reeksen (N)'!B55,'Reeksen (N)'!D55)</f>
        <v>0</v>
      </c>
      <c r="O55" s="84">
        <f>IF('Reeksen (N)'!D55&lt;'Reeksen (N)'!B55,('Reeksen (N)'!B55-'Reeksen (N)'!D55)*L55,0)</f>
        <v>0</v>
      </c>
      <c r="P55" s="84">
        <f ca="1">('Invoer gegevens (N)'!$F$20/12)*L54*MIN('Reeksen (N)'!B54,'Reeksen (N)'!D54)</f>
        <v>0</v>
      </c>
      <c r="Q55" s="84">
        <f t="shared" ca="1" si="1"/>
        <v>0</v>
      </c>
      <c r="R55" s="82">
        <f ca="1">IF('Invoer gegevens (N)'!$C$17=E55,'Invoer gegevens (N)'!$C$11,IF(C55=1,W54,0))</f>
        <v>0</v>
      </c>
      <c r="S55" s="86">
        <f ca="1">IF(C55&gt;=1,R55*VLOOKUP(E55,'Reeksen (N)'!$A$5:$B$76,2),0)</f>
        <v>0</v>
      </c>
      <c r="T55" s="84">
        <f ca="1">(1-('Invoer gegevens (N)'!$F$20/12))*R55*MIN('Reeksen (N)'!B55,'Reeksen (N)'!D55)</f>
        <v>0</v>
      </c>
      <c r="U55" s="84">
        <f>IF('Reeksen (N)'!D55&gt;='Reeksen (N)'!B55,0,IF('Reeksen (N)'!AD55&lt;='Reeksen (N)'!AE55,('Reeksen (N)'!B55-'Reeksen (N)'!D55)*R55,0))</f>
        <v>0</v>
      </c>
      <c r="V55" s="86">
        <f>IF('Reeksen (N)'!D55&gt;='Reeksen (N)'!B55,0,IF('Reeksen (N)'!AD55&gt;'Reeksen (N)'!AE55,('Reeksen (N)'!B55-'Reeksen (N)'!D55)*R55,0))</f>
        <v>0</v>
      </c>
      <c r="W55" s="97">
        <f t="shared" ca="1" si="2"/>
        <v>0</v>
      </c>
      <c r="X55" s="98">
        <f ca="1">IF('Invoer gegevens (N)'!$C$17=E55,'Invoer gegevens (N)'!$C$10-'Invoer gegevens (N)'!$C$11,IF(C55=1,AC54,0))</f>
        <v>0</v>
      </c>
      <c r="Y55" s="98">
        <f ca="1">IF(C55&gt;=1,X55*VLOOKUP(E55,'Reeksen (N)'!$A$5:$B$76,2),0)</f>
        <v>0</v>
      </c>
      <c r="Z55" s="98">
        <f ca="1">(1-('Invoer gegevens (N)'!$F$20/12))*X55*MIN('Reeksen (N)'!B55,'Reeksen (N)'!D55)</f>
        <v>0</v>
      </c>
      <c r="AA55" s="98">
        <f>IF('Reeksen (N)'!D55&gt;='Reeksen (N)'!B55,0,IF('Reeksen (N)'!AD55&lt;='Reeksen (N)'!AE55,('Reeksen (N)'!B55-'Reeksen (N)'!D55)*X55,0))</f>
        <v>0</v>
      </c>
      <c r="AB55" s="98">
        <f>IF('Reeksen (N)'!D55&gt;='Reeksen (N)'!B55,0,IF('Reeksen (N)'!AD55&gt;'Reeksen (N)'!AE55,('Reeksen (N)'!B55-'Reeksen (N)'!D55)*X55,0))</f>
        <v>0</v>
      </c>
      <c r="AC55" s="99">
        <f t="shared" ca="1" si="3"/>
        <v>0</v>
      </c>
      <c r="AD55" s="98">
        <f ca="1">IF('Invoer gegevens (N)'!$C$17=E55,R55,IF(C55=0,0,AE54))</f>
        <v>0</v>
      </c>
      <c r="AE55" s="98">
        <f t="shared" ca="1" si="4"/>
        <v>0</v>
      </c>
      <c r="AF55" s="98">
        <f ca="1">IF('Invoer gegevens (N)'!$C$17=E55,X55,IF(C55=0,0,AG54))</f>
        <v>0</v>
      </c>
      <c r="AG55" s="98">
        <f t="shared" ca="1" si="5"/>
        <v>0</v>
      </c>
      <c r="AH55" s="66"/>
      <c r="AI55" s="71">
        <f ca="1">IF(C55=1,'Reeksen (N)'!AI55*((F55-G55+F55)/2)*12+'Reeksen (N)'!AD55*((L55-M55+L55)/2)*12,0)</f>
        <v>0</v>
      </c>
      <c r="AJ55" s="71">
        <f ca="1">-AI55*'Invoer gegevens (N)'!$F$28</f>
        <v>0</v>
      </c>
      <c r="AK55" s="71">
        <f t="shared" ca="1" si="6"/>
        <v>0</v>
      </c>
      <c r="AL55" s="71">
        <f ca="1">IF(C55=1,'Reeksen (N)'!AL55*((F55-G55+F55)/2)*12+'Reeksen (N)'!AM55*((L55-M55+L55)/2)*12,0)</f>
        <v>0</v>
      </c>
      <c r="AM55" s="71">
        <f ca="1">-AL55*'Invoer gegevens (N)'!$F$31</f>
        <v>0</v>
      </c>
      <c r="AN55" s="71">
        <f t="shared" ca="1" si="7"/>
        <v>0</v>
      </c>
      <c r="AO55" s="71">
        <f ca="1">IF(C55=1,(H55+J55+N55+P55)*'Reeksen (N)'!AN55,0)</f>
        <v>0</v>
      </c>
      <c r="AP55" s="71">
        <f ca="1">-IF(C55=1,(H55+J55+N55+P55)*'Hulp - basis'!$O$550*'Reeksen (N)'!H55,0)</f>
        <v>0</v>
      </c>
      <c r="AQ55" s="71">
        <f ca="1">-IF(C55=1,(F55+K55+L55+Q55)/2*'Invoer gegevens (N)'!$F$35*'Reeksen (N)'!J55,0)*2</f>
        <v>0</v>
      </c>
      <c r="AR55" s="71"/>
      <c r="AS55" s="71">
        <f ca="1">-IF(C55=1,(F55+K55+L55+Q55)/2*'Invoer gegevens (N)'!$F$37*'Reeksen (N)'!L55,0)</f>
        <v>0</v>
      </c>
      <c r="AT55" s="71">
        <f ca="1">-IF(C55=1,IF(E55='Invoer gegevens (N)'!$C$17,'Invoer gegevens (N)'!$C$11,AD55)*'Reeksen (N)'!S55*'Invoer gegevens (N)'!$C$18*'Reeksen (N)'!P55,0)</f>
        <v>0</v>
      </c>
      <c r="AU55" s="71">
        <f ca="1">-IF(C55=1,(F55+K55+L55+Q55)/2*'Invoer gegevens (N)'!$F$38*'Reeksen (N)'!H55,0)</f>
        <v>0</v>
      </c>
      <c r="AV55" s="71">
        <v>0</v>
      </c>
      <c r="AW55" s="71">
        <f t="shared" ca="1" si="8"/>
        <v>0</v>
      </c>
      <c r="AX55" s="71">
        <f ca="1">IF(E55&lt;'Invoer gegevens (N)'!$C$17+15,0,IF(E55&gt;'Invoer gegevens (N)'!$C$17+215,0,AW55))</f>
        <v>0</v>
      </c>
      <c r="AY55" s="71">
        <f ca="1">AX55/(1+'Invoer gegevens (N)'!$F$18)^($AZ55-('Invoer gegevens (N)'!$C$17-'Invoer gegevens (N)'!$C$16))/(1+'Invoer gegevens (N)'!$C$39)^('Invoer gegevens (N)'!$C$17-'Invoer gegevens (N)'!$C$16)</f>
        <v>0</v>
      </c>
      <c r="AZ55" s="68">
        <f ca="1">IF(E55-'Invoer gegevens (N)'!$C$17-14.5&lt;0,0,E55-'Invoer gegevens (N)'!$C$17-14.5)</f>
        <v>35.5</v>
      </c>
    </row>
    <row r="56" spans="1:52" x14ac:dyDescent="0.25">
      <c r="A56" s="59"/>
      <c r="B56" s="70">
        <f t="shared" si="9"/>
        <v>52</v>
      </c>
      <c r="C56" s="67">
        <f ca="1">IF(E56-'Invoer gegevens (N)'!$C$17&lt;0,0,1)</f>
        <v>1</v>
      </c>
      <c r="D56" s="68">
        <f t="shared" si="10"/>
        <v>51.5</v>
      </c>
      <c r="E56" s="69">
        <f ca="1">IF('Invoer gegevens (N)'!$C$16="","",E55+1)</f>
        <v>2070</v>
      </c>
      <c r="F56" s="84">
        <f ca="1">IF('Invoer gegevens (N)'!$C$17=E56,'Invoer gegevens (N)'!$C$10,IF(C56=1,K55,0))</f>
        <v>0</v>
      </c>
      <c r="G56" s="96">
        <f ca="1">IF(C56&gt;=1,F56*VLOOKUP(E56,'Reeksen (N)'!$A$5:$B$76,2),0)</f>
        <v>0</v>
      </c>
      <c r="H56" s="84">
        <f ca="1">(1-('Invoer gegevens (N)'!$F$20/12))*F56*MIN('Reeksen (N)'!B56,'Reeksen (N)'!D56)</f>
        <v>0</v>
      </c>
      <c r="I56" s="84">
        <f>IF('Reeksen (N)'!D56&lt;'Reeksen (N)'!B56,('Reeksen (N)'!B56-'Reeksen (N)'!D56)*F56,0)</f>
        <v>0</v>
      </c>
      <c r="J56" s="84">
        <f ca="1">('Invoer gegevens (N)'!$F$20/12)*F55*MIN('Reeksen (N)'!B55,'Reeksen (N)'!D55)</f>
        <v>0</v>
      </c>
      <c r="K56" s="97">
        <f t="shared" ca="1" si="0"/>
        <v>0</v>
      </c>
      <c r="L56" s="84">
        <f ca="1">IF('Invoer gegevens (N)'!$C$17=E56,0,IF(C56=1,Q55,0))</f>
        <v>0</v>
      </c>
      <c r="M56" s="96">
        <f ca="1">IF(C56&gt;=1,L56*VLOOKUP(E56,'Reeksen (N)'!$A$5:$B$76,2),0)</f>
        <v>0</v>
      </c>
      <c r="N56" s="84">
        <f ca="1">(1-('Invoer gegevens (N)'!$F$20/12))*L56*MIN('Reeksen (N)'!B56,'Reeksen (N)'!D56)</f>
        <v>0</v>
      </c>
      <c r="O56" s="84">
        <f>IF('Reeksen (N)'!D56&lt;'Reeksen (N)'!B56,('Reeksen (N)'!B56-'Reeksen (N)'!D56)*L56,0)</f>
        <v>0</v>
      </c>
      <c r="P56" s="84">
        <f ca="1">('Invoer gegevens (N)'!$F$20/12)*L55*MIN('Reeksen (N)'!B55,'Reeksen (N)'!D55)</f>
        <v>0</v>
      </c>
      <c r="Q56" s="84">
        <f t="shared" ca="1" si="1"/>
        <v>0</v>
      </c>
      <c r="R56" s="82">
        <f ca="1">IF('Invoer gegevens (N)'!$C$17=E56,'Invoer gegevens (N)'!$C$11,IF(C56=1,W55,0))</f>
        <v>0</v>
      </c>
      <c r="S56" s="86">
        <f ca="1">IF(C56&gt;=1,R56*VLOOKUP(E56,'Reeksen (N)'!$A$5:$B$76,2),0)</f>
        <v>0</v>
      </c>
      <c r="T56" s="84">
        <f ca="1">(1-('Invoer gegevens (N)'!$F$20/12))*R56*MIN('Reeksen (N)'!B56,'Reeksen (N)'!D56)</f>
        <v>0</v>
      </c>
      <c r="U56" s="84">
        <f>IF('Reeksen (N)'!D56&gt;='Reeksen (N)'!B56,0,IF('Reeksen (N)'!AD56&lt;='Reeksen (N)'!AE56,('Reeksen (N)'!B56-'Reeksen (N)'!D56)*R56,0))</f>
        <v>0</v>
      </c>
      <c r="V56" s="86">
        <f>IF('Reeksen (N)'!D56&gt;='Reeksen (N)'!B56,0,IF('Reeksen (N)'!AD56&gt;'Reeksen (N)'!AE56,('Reeksen (N)'!B56-'Reeksen (N)'!D56)*R56,0))</f>
        <v>0</v>
      </c>
      <c r="W56" s="97">
        <f t="shared" ca="1" si="2"/>
        <v>0</v>
      </c>
      <c r="X56" s="98">
        <f ca="1">IF('Invoer gegevens (N)'!$C$17=E56,'Invoer gegevens (N)'!$C$10-'Invoer gegevens (N)'!$C$11,IF(C56=1,AC55,0))</f>
        <v>0</v>
      </c>
      <c r="Y56" s="98">
        <f ca="1">IF(C56&gt;=1,X56*VLOOKUP(E56,'Reeksen (N)'!$A$5:$B$76,2),0)</f>
        <v>0</v>
      </c>
      <c r="Z56" s="98">
        <f ca="1">(1-('Invoer gegevens (N)'!$F$20/12))*X56*MIN('Reeksen (N)'!B56,'Reeksen (N)'!D56)</f>
        <v>0</v>
      </c>
      <c r="AA56" s="98">
        <f>IF('Reeksen (N)'!D56&gt;='Reeksen (N)'!B56,0,IF('Reeksen (N)'!AD56&lt;='Reeksen (N)'!AE56,('Reeksen (N)'!B56-'Reeksen (N)'!D56)*X56,0))</f>
        <v>0</v>
      </c>
      <c r="AB56" s="98">
        <f>IF('Reeksen (N)'!D56&gt;='Reeksen (N)'!B56,0,IF('Reeksen (N)'!AD56&gt;'Reeksen (N)'!AE56,('Reeksen (N)'!B56-'Reeksen (N)'!D56)*X56,0))</f>
        <v>0</v>
      </c>
      <c r="AC56" s="99">
        <f t="shared" ca="1" si="3"/>
        <v>0</v>
      </c>
      <c r="AD56" s="98">
        <f ca="1">IF('Invoer gegevens (N)'!$C$17=E56,R56,IF(C56=0,0,AE55))</f>
        <v>0</v>
      </c>
      <c r="AE56" s="98">
        <f t="shared" ca="1" si="4"/>
        <v>0</v>
      </c>
      <c r="AF56" s="98">
        <f ca="1">IF('Invoer gegevens (N)'!$C$17=E56,X56,IF(C56=0,0,AG55))</f>
        <v>0</v>
      </c>
      <c r="AG56" s="98">
        <f t="shared" ca="1" si="5"/>
        <v>0</v>
      </c>
      <c r="AH56" s="66"/>
      <c r="AI56" s="71">
        <f ca="1">IF(C56=1,'Reeksen (N)'!AI56*((F56-G56+F56)/2)*12+'Reeksen (N)'!AD56*((L56-M56+L56)/2)*12,0)</f>
        <v>0</v>
      </c>
      <c r="AJ56" s="71">
        <f ca="1">-AI56*'Invoer gegevens (N)'!$F$28</f>
        <v>0</v>
      </c>
      <c r="AK56" s="71">
        <f t="shared" ca="1" si="6"/>
        <v>0</v>
      </c>
      <c r="AL56" s="71">
        <f ca="1">IF(C56=1,'Reeksen (N)'!AL56*((F56-G56+F56)/2)*12+'Reeksen (N)'!AM56*((L56-M56+L56)/2)*12,0)</f>
        <v>0</v>
      </c>
      <c r="AM56" s="71">
        <f ca="1">-AL56*'Invoer gegevens (N)'!$F$31</f>
        <v>0</v>
      </c>
      <c r="AN56" s="71">
        <f t="shared" ca="1" si="7"/>
        <v>0</v>
      </c>
      <c r="AO56" s="71">
        <f ca="1">IF(C56=1,(H56+J56+N56+P56)*'Reeksen (N)'!AN56,0)</f>
        <v>0</v>
      </c>
      <c r="AP56" s="71">
        <f ca="1">-IF(C56=1,(H56+J56+N56+P56)*'Hulp - basis'!$O$550*'Reeksen (N)'!H56,0)</f>
        <v>0</v>
      </c>
      <c r="AQ56" s="71">
        <f ca="1">-IF(C56=1,(F56+K56+L56+Q56)/2*'Invoer gegevens (N)'!$F$35*'Reeksen (N)'!J56,0)*2</f>
        <v>0</v>
      </c>
      <c r="AR56" s="71"/>
      <c r="AS56" s="71">
        <f ca="1">-IF(C56=1,(F56+K56+L56+Q56)/2*'Invoer gegevens (N)'!$F$37*'Reeksen (N)'!L56,0)</f>
        <v>0</v>
      </c>
      <c r="AT56" s="71">
        <f ca="1">-IF(C56=1,IF(E56='Invoer gegevens (N)'!$C$17,'Invoer gegevens (N)'!$C$11,AD56)*'Reeksen (N)'!S56*'Invoer gegevens (N)'!$C$18*'Reeksen (N)'!P56,0)</f>
        <v>0</v>
      </c>
      <c r="AU56" s="71">
        <f ca="1">-IF(C56=1,(F56+K56+L56+Q56)/2*'Invoer gegevens (N)'!$F$38*'Reeksen (N)'!H56,0)</f>
        <v>0</v>
      </c>
      <c r="AV56" s="71">
        <v>0</v>
      </c>
      <c r="AW56" s="71">
        <f t="shared" ca="1" si="8"/>
        <v>0</v>
      </c>
      <c r="AX56" s="71">
        <f ca="1">IF(E56&lt;'Invoer gegevens (N)'!$C$17+15,0,IF(E56&gt;'Invoer gegevens (N)'!$C$17+215,0,AW56))</f>
        <v>0</v>
      </c>
      <c r="AY56" s="71">
        <f ca="1">AX56/(1+'Invoer gegevens (N)'!$F$18)^($AZ56-('Invoer gegevens (N)'!$C$17-'Invoer gegevens (N)'!$C$16))/(1+'Invoer gegevens (N)'!$C$39)^('Invoer gegevens (N)'!$C$17-'Invoer gegevens (N)'!$C$16)</f>
        <v>0</v>
      </c>
      <c r="AZ56" s="68">
        <f ca="1">IF(E56-'Invoer gegevens (N)'!$C$17-14.5&lt;0,0,E56-'Invoer gegevens (N)'!$C$17-14.5)</f>
        <v>36.5</v>
      </c>
    </row>
    <row r="57" spans="1:52" x14ac:dyDescent="0.25">
      <c r="A57" s="59"/>
      <c r="B57" s="70">
        <f t="shared" si="9"/>
        <v>53</v>
      </c>
      <c r="C57" s="67">
        <f ca="1">IF(E57-'Invoer gegevens (N)'!$C$17&lt;0,0,1)</f>
        <v>1</v>
      </c>
      <c r="D57" s="68">
        <f t="shared" si="10"/>
        <v>52.5</v>
      </c>
      <c r="E57" s="69">
        <f ca="1">IF('Invoer gegevens (N)'!$C$16="","",E56+1)</f>
        <v>2071</v>
      </c>
      <c r="F57" s="84">
        <f ca="1">IF('Invoer gegevens (N)'!$C$17=E57,'Invoer gegevens (N)'!$C$10,IF(C57=1,K56,0))</f>
        <v>0</v>
      </c>
      <c r="G57" s="96">
        <f ca="1">IF(C57&gt;=1,F57*VLOOKUP(E57,'Reeksen (N)'!$A$5:$B$76,2),0)</f>
        <v>0</v>
      </c>
      <c r="H57" s="84">
        <f ca="1">(1-('Invoer gegevens (N)'!$F$20/12))*F57*MIN('Reeksen (N)'!B57,'Reeksen (N)'!D57)</f>
        <v>0</v>
      </c>
      <c r="I57" s="84">
        <f>IF('Reeksen (N)'!D57&lt;'Reeksen (N)'!B57,('Reeksen (N)'!B57-'Reeksen (N)'!D57)*F57,0)</f>
        <v>0</v>
      </c>
      <c r="J57" s="84">
        <f ca="1">('Invoer gegevens (N)'!$F$20/12)*F56*MIN('Reeksen (N)'!B56,'Reeksen (N)'!D56)</f>
        <v>0</v>
      </c>
      <c r="K57" s="97">
        <f t="shared" ca="1" si="0"/>
        <v>0</v>
      </c>
      <c r="L57" s="84">
        <f ca="1">IF('Invoer gegevens (N)'!$C$17=E57,0,IF(C57=1,Q56,0))</f>
        <v>0</v>
      </c>
      <c r="M57" s="96">
        <f ca="1">IF(C57&gt;=1,L57*VLOOKUP(E57,'Reeksen (N)'!$A$5:$B$76,2),0)</f>
        <v>0</v>
      </c>
      <c r="N57" s="84">
        <f ca="1">(1-('Invoer gegevens (N)'!$F$20/12))*L57*MIN('Reeksen (N)'!B57,'Reeksen (N)'!D57)</f>
        <v>0</v>
      </c>
      <c r="O57" s="84">
        <f>IF('Reeksen (N)'!D57&lt;'Reeksen (N)'!B57,('Reeksen (N)'!B57-'Reeksen (N)'!D57)*L57,0)</f>
        <v>0</v>
      </c>
      <c r="P57" s="84">
        <f ca="1">('Invoer gegevens (N)'!$F$20/12)*L56*MIN('Reeksen (N)'!B56,'Reeksen (N)'!D56)</f>
        <v>0</v>
      </c>
      <c r="Q57" s="84">
        <f t="shared" ca="1" si="1"/>
        <v>0</v>
      </c>
      <c r="R57" s="82">
        <f ca="1">IF('Invoer gegevens (N)'!$C$17=E57,'Invoer gegevens (N)'!$C$11,IF(C57=1,W56,0))</f>
        <v>0</v>
      </c>
      <c r="S57" s="86">
        <f ca="1">IF(C57&gt;=1,R57*VLOOKUP(E57,'Reeksen (N)'!$A$5:$B$76,2),0)</f>
        <v>0</v>
      </c>
      <c r="T57" s="84">
        <f ca="1">(1-('Invoer gegevens (N)'!$F$20/12))*R57*MIN('Reeksen (N)'!B57,'Reeksen (N)'!D57)</f>
        <v>0</v>
      </c>
      <c r="U57" s="84">
        <f>IF('Reeksen (N)'!D57&gt;='Reeksen (N)'!B57,0,IF('Reeksen (N)'!AD57&lt;='Reeksen (N)'!AE57,('Reeksen (N)'!B57-'Reeksen (N)'!D57)*R57,0))</f>
        <v>0</v>
      </c>
      <c r="V57" s="86">
        <f>IF('Reeksen (N)'!D57&gt;='Reeksen (N)'!B57,0,IF('Reeksen (N)'!AD57&gt;'Reeksen (N)'!AE57,('Reeksen (N)'!B57-'Reeksen (N)'!D57)*R57,0))</f>
        <v>0</v>
      </c>
      <c r="W57" s="97">
        <f t="shared" ca="1" si="2"/>
        <v>0</v>
      </c>
      <c r="X57" s="98">
        <f ca="1">IF('Invoer gegevens (N)'!$C$17=E57,'Invoer gegevens (N)'!$C$10-'Invoer gegevens (N)'!$C$11,IF(C57=1,AC56,0))</f>
        <v>0</v>
      </c>
      <c r="Y57" s="98">
        <f ca="1">IF(C57&gt;=1,X57*VLOOKUP(E57,'Reeksen (N)'!$A$5:$B$76,2),0)</f>
        <v>0</v>
      </c>
      <c r="Z57" s="98">
        <f ca="1">(1-('Invoer gegevens (N)'!$F$20/12))*X57*MIN('Reeksen (N)'!B57,'Reeksen (N)'!D57)</f>
        <v>0</v>
      </c>
      <c r="AA57" s="98">
        <f>IF('Reeksen (N)'!D57&gt;='Reeksen (N)'!B57,0,IF('Reeksen (N)'!AD57&lt;='Reeksen (N)'!AE57,('Reeksen (N)'!B57-'Reeksen (N)'!D57)*X57,0))</f>
        <v>0</v>
      </c>
      <c r="AB57" s="98">
        <f>IF('Reeksen (N)'!D57&gt;='Reeksen (N)'!B57,0,IF('Reeksen (N)'!AD57&gt;'Reeksen (N)'!AE57,('Reeksen (N)'!B57-'Reeksen (N)'!D57)*X57,0))</f>
        <v>0</v>
      </c>
      <c r="AC57" s="99">
        <f t="shared" ca="1" si="3"/>
        <v>0</v>
      </c>
      <c r="AD57" s="98">
        <f ca="1">IF('Invoer gegevens (N)'!$C$17=E57,R57,IF(C57=0,0,AE56))</f>
        <v>0</v>
      </c>
      <c r="AE57" s="98">
        <f t="shared" ca="1" si="4"/>
        <v>0</v>
      </c>
      <c r="AF57" s="98">
        <f ca="1">IF('Invoer gegevens (N)'!$C$17=E57,X57,IF(C57=0,0,AG56))</f>
        <v>0</v>
      </c>
      <c r="AG57" s="98">
        <f t="shared" ca="1" si="5"/>
        <v>0</v>
      </c>
      <c r="AH57" s="66"/>
      <c r="AI57" s="71">
        <f ca="1">IF(C57=1,'Reeksen (N)'!AI57*((F57-G57+F57)/2)*12+'Reeksen (N)'!AD57*((L57-M57+L57)/2)*12,0)</f>
        <v>0</v>
      </c>
      <c r="AJ57" s="71">
        <f ca="1">-AI57*'Invoer gegevens (N)'!$F$28</f>
        <v>0</v>
      </c>
      <c r="AK57" s="71">
        <f t="shared" ca="1" si="6"/>
        <v>0</v>
      </c>
      <c r="AL57" s="71">
        <f ca="1">IF(C57=1,'Reeksen (N)'!AL57*((F57-G57+F57)/2)*12+'Reeksen (N)'!AM57*((L57-M57+L57)/2)*12,0)</f>
        <v>0</v>
      </c>
      <c r="AM57" s="71">
        <f ca="1">-AL57*'Invoer gegevens (N)'!$F$31</f>
        <v>0</v>
      </c>
      <c r="AN57" s="71">
        <f t="shared" ca="1" si="7"/>
        <v>0</v>
      </c>
      <c r="AO57" s="71">
        <f ca="1">IF(C57=1,(H57+J57+N57+P57)*'Reeksen (N)'!AN57,0)</f>
        <v>0</v>
      </c>
      <c r="AP57" s="71">
        <f ca="1">-IF(C57=1,(H57+J57+N57+P57)*'Hulp - basis'!$O$550*'Reeksen (N)'!H57,0)</f>
        <v>0</v>
      </c>
      <c r="AQ57" s="71">
        <f ca="1">-IF(C57=1,(F57+K57+L57+Q57)/2*'Invoer gegevens (N)'!$F$35*'Reeksen (N)'!J57,0)*2</f>
        <v>0</v>
      </c>
      <c r="AR57" s="71"/>
      <c r="AS57" s="71">
        <f ca="1">-IF(C57=1,(F57+K57+L57+Q57)/2*'Invoer gegevens (N)'!$F$37*'Reeksen (N)'!L57,0)</f>
        <v>0</v>
      </c>
      <c r="AT57" s="71">
        <f ca="1">-IF(C57=1,IF(E57='Invoer gegevens (N)'!$C$17,'Invoer gegevens (N)'!$C$11,AD57)*'Reeksen (N)'!S57*'Invoer gegevens (N)'!$C$18*'Reeksen (N)'!P57,0)</f>
        <v>0</v>
      </c>
      <c r="AU57" s="71">
        <f ca="1">-IF(C57=1,(F57+K57+L57+Q57)/2*'Invoer gegevens (N)'!$F$38*'Reeksen (N)'!H57,0)</f>
        <v>0</v>
      </c>
      <c r="AV57" s="71">
        <v>0</v>
      </c>
      <c r="AW57" s="71">
        <f t="shared" ca="1" si="8"/>
        <v>0</v>
      </c>
      <c r="AX57" s="71">
        <f ca="1">IF(E57&lt;'Invoer gegevens (N)'!$C$17+15,0,IF(E57&gt;'Invoer gegevens (N)'!$C$17+215,0,AW57))</f>
        <v>0</v>
      </c>
      <c r="AY57" s="71">
        <f ca="1">AX57/(1+'Invoer gegevens (N)'!$F$18)^($AZ57-('Invoer gegevens (N)'!$C$17-'Invoer gegevens (N)'!$C$16))/(1+'Invoer gegevens (N)'!$C$39)^('Invoer gegevens (N)'!$C$17-'Invoer gegevens (N)'!$C$16)</f>
        <v>0</v>
      </c>
      <c r="AZ57" s="68">
        <f ca="1">IF(E57-'Invoer gegevens (N)'!$C$17-14.5&lt;0,0,E57-'Invoer gegevens (N)'!$C$17-14.5)</f>
        <v>37.5</v>
      </c>
    </row>
    <row r="58" spans="1:52" x14ac:dyDescent="0.25">
      <c r="A58" s="59"/>
      <c r="B58" s="70">
        <f t="shared" si="9"/>
        <v>54</v>
      </c>
      <c r="C58" s="67">
        <f ca="1">IF(E58-'Invoer gegevens (N)'!$C$17&lt;0,0,1)</f>
        <v>1</v>
      </c>
      <c r="D58" s="68">
        <f t="shared" si="10"/>
        <v>53.5</v>
      </c>
      <c r="E58" s="69">
        <f ca="1">IF('Invoer gegevens (N)'!$C$16="","",E57+1)</f>
        <v>2072</v>
      </c>
      <c r="F58" s="84">
        <f ca="1">IF('Invoer gegevens (N)'!$C$17=E58,'Invoer gegevens (N)'!$C$10,IF(C58=1,K57,0))</f>
        <v>0</v>
      </c>
      <c r="G58" s="96">
        <f ca="1">IF(C58&gt;=1,F58*VLOOKUP(E58,'Reeksen (N)'!$A$5:$B$76,2),0)</f>
        <v>0</v>
      </c>
      <c r="H58" s="84">
        <f ca="1">(1-('Invoer gegevens (N)'!$F$20/12))*F58*MIN('Reeksen (N)'!B58,'Reeksen (N)'!D58)</f>
        <v>0</v>
      </c>
      <c r="I58" s="84">
        <f>IF('Reeksen (N)'!D58&lt;'Reeksen (N)'!B58,('Reeksen (N)'!B58-'Reeksen (N)'!D58)*F58,0)</f>
        <v>0</v>
      </c>
      <c r="J58" s="84">
        <f ca="1">('Invoer gegevens (N)'!$F$20/12)*F57*MIN('Reeksen (N)'!B57,'Reeksen (N)'!D57)</f>
        <v>0</v>
      </c>
      <c r="K58" s="97">
        <f t="shared" ca="1" si="0"/>
        <v>0</v>
      </c>
      <c r="L58" s="84">
        <f ca="1">IF('Invoer gegevens (N)'!$C$17=E58,0,IF(C58=1,Q57,0))</f>
        <v>0</v>
      </c>
      <c r="M58" s="96">
        <f ca="1">IF(C58&gt;=1,L58*VLOOKUP(E58,'Reeksen (N)'!$A$5:$B$76,2),0)</f>
        <v>0</v>
      </c>
      <c r="N58" s="84">
        <f ca="1">(1-('Invoer gegevens (N)'!$F$20/12))*L58*MIN('Reeksen (N)'!B58,'Reeksen (N)'!D58)</f>
        <v>0</v>
      </c>
      <c r="O58" s="84">
        <f>IF('Reeksen (N)'!D58&lt;'Reeksen (N)'!B58,('Reeksen (N)'!B58-'Reeksen (N)'!D58)*L58,0)</f>
        <v>0</v>
      </c>
      <c r="P58" s="84">
        <f ca="1">('Invoer gegevens (N)'!$F$20/12)*L57*MIN('Reeksen (N)'!B57,'Reeksen (N)'!D57)</f>
        <v>0</v>
      </c>
      <c r="Q58" s="84">
        <f t="shared" ca="1" si="1"/>
        <v>0</v>
      </c>
      <c r="R58" s="82">
        <f ca="1">IF('Invoer gegevens (N)'!$C$17=E58,'Invoer gegevens (N)'!$C$11,IF(C58=1,W57,0))</f>
        <v>0</v>
      </c>
      <c r="S58" s="86">
        <f ca="1">IF(C58&gt;=1,R58*VLOOKUP(E58,'Reeksen (N)'!$A$5:$B$76,2),0)</f>
        <v>0</v>
      </c>
      <c r="T58" s="84">
        <f ca="1">(1-('Invoer gegevens (N)'!$F$20/12))*R58*MIN('Reeksen (N)'!B58,'Reeksen (N)'!D58)</f>
        <v>0</v>
      </c>
      <c r="U58" s="84">
        <f>IF('Reeksen (N)'!D58&gt;='Reeksen (N)'!B58,0,IF('Reeksen (N)'!AD58&lt;='Reeksen (N)'!AE58,('Reeksen (N)'!B58-'Reeksen (N)'!D58)*R58,0))</f>
        <v>0</v>
      </c>
      <c r="V58" s="86">
        <f>IF('Reeksen (N)'!D58&gt;='Reeksen (N)'!B58,0,IF('Reeksen (N)'!AD58&gt;'Reeksen (N)'!AE58,('Reeksen (N)'!B58-'Reeksen (N)'!D58)*R58,0))</f>
        <v>0</v>
      </c>
      <c r="W58" s="97">
        <f t="shared" ca="1" si="2"/>
        <v>0</v>
      </c>
      <c r="X58" s="98">
        <f ca="1">IF('Invoer gegevens (N)'!$C$17=E58,'Invoer gegevens (N)'!$C$10-'Invoer gegevens (N)'!$C$11,IF(C58=1,AC57,0))</f>
        <v>0</v>
      </c>
      <c r="Y58" s="98">
        <f ca="1">IF(C58&gt;=1,X58*VLOOKUP(E58,'Reeksen (N)'!$A$5:$B$76,2),0)</f>
        <v>0</v>
      </c>
      <c r="Z58" s="98">
        <f ca="1">(1-('Invoer gegevens (N)'!$F$20/12))*X58*MIN('Reeksen (N)'!B58,'Reeksen (N)'!D58)</f>
        <v>0</v>
      </c>
      <c r="AA58" s="98">
        <f>IF('Reeksen (N)'!D58&gt;='Reeksen (N)'!B58,0,IF('Reeksen (N)'!AD58&lt;='Reeksen (N)'!AE58,('Reeksen (N)'!B58-'Reeksen (N)'!D58)*X58,0))</f>
        <v>0</v>
      </c>
      <c r="AB58" s="98">
        <f>IF('Reeksen (N)'!D58&gt;='Reeksen (N)'!B58,0,IF('Reeksen (N)'!AD58&gt;'Reeksen (N)'!AE58,('Reeksen (N)'!B58-'Reeksen (N)'!D58)*X58,0))</f>
        <v>0</v>
      </c>
      <c r="AC58" s="99">
        <f t="shared" ca="1" si="3"/>
        <v>0</v>
      </c>
      <c r="AD58" s="98">
        <f ca="1">IF('Invoer gegevens (N)'!$C$17=E58,R58,IF(C58=0,0,AE57))</f>
        <v>0</v>
      </c>
      <c r="AE58" s="98">
        <f t="shared" ca="1" si="4"/>
        <v>0</v>
      </c>
      <c r="AF58" s="98">
        <f ca="1">IF('Invoer gegevens (N)'!$C$17=E58,X58,IF(C58=0,0,AG57))</f>
        <v>0</v>
      </c>
      <c r="AG58" s="98">
        <f t="shared" ca="1" si="5"/>
        <v>0</v>
      </c>
      <c r="AH58" s="66"/>
      <c r="AI58" s="71">
        <f ca="1">IF(C58=1,'Reeksen (N)'!AI58*((F58-G58+F58)/2)*12+'Reeksen (N)'!AD58*((L58-M58+L58)/2)*12,0)</f>
        <v>0</v>
      </c>
      <c r="AJ58" s="71">
        <f ca="1">-AI58*'Invoer gegevens (N)'!$F$28</f>
        <v>0</v>
      </c>
      <c r="AK58" s="71">
        <f t="shared" ca="1" si="6"/>
        <v>0</v>
      </c>
      <c r="AL58" s="71">
        <f ca="1">IF(C58=1,'Reeksen (N)'!AL58*((F58-G58+F58)/2)*12+'Reeksen (N)'!AM58*((L58-M58+L58)/2)*12,0)</f>
        <v>0</v>
      </c>
      <c r="AM58" s="71">
        <f ca="1">-AL58*'Invoer gegevens (N)'!$F$31</f>
        <v>0</v>
      </c>
      <c r="AN58" s="71">
        <f t="shared" ca="1" si="7"/>
        <v>0</v>
      </c>
      <c r="AO58" s="71">
        <f ca="1">IF(C58=1,(H58+J58+N58+P58)*'Reeksen (N)'!AN58,0)</f>
        <v>0</v>
      </c>
      <c r="AP58" s="71">
        <f ca="1">-IF(C58=1,(H58+J58+N58+P58)*'Hulp - basis'!$O$550*'Reeksen (N)'!H58,0)</f>
        <v>0</v>
      </c>
      <c r="AQ58" s="71">
        <f ca="1">-IF(C58=1,(F58+K58+L58+Q58)/2*'Invoer gegevens (N)'!$F$35*'Reeksen (N)'!J58,0)*2</f>
        <v>0</v>
      </c>
      <c r="AR58" s="71"/>
      <c r="AS58" s="71">
        <f ca="1">-IF(C58=1,(F58+K58+L58+Q58)/2*'Invoer gegevens (N)'!$F$37*'Reeksen (N)'!L58,0)</f>
        <v>0</v>
      </c>
      <c r="AT58" s="71">
        <f ca="1">-IF(C58=1,IF(E58='Invoer gegevens (N)'!$C$17,'Invoer gegevens (N)'!$C$11,AD58)*'Reeksen (N)'!S58*'Invoer gegevens (N)'!$C$18*'Reeksen (N)'!P58,0)</f>
        <v>0</v>
      </c>
      <c r="AU58" s="71">
        <f ca="1">-IF(C58=1,(F58+K58+L58+Q58)/2*'Invoer gegevens (N)'!$F$38*'Reeksen (N)'!H58,0)</f>
        <v>0</v>
      </c>
      <c r="AV58" s="71">
        <v>0</v>
      </c>
      <c r="AW58" s="71">
        <f t="shared" ca="1" si="8"/>
        <v>0</v>
      </c>
      <c r="AX58" s="71">
        <f ca="1">IF(E58&lt;'Invoer gegevens (N)'!$C$17+15,0,IF(E58&gt;'Invoer gegevens (N)'!$C$17+215,0,AW58))</f>
        <v>0</v>
      </c>
      <c r="AY58" s="71">
        <f ca="1">AX58/(1+'Invoer gegevens (N)'!$F$18)^($AZ58-('Invoer gegevens (N)'!$C$17-'Invoer gegevens (N)'!$C$16))/(1+'Invoer gegevens (N)'!$C$39)^('Invoer gegevens (N)'!$C$17-'Invoer gegevens (N)'!$C$16)</f>
        <v>0</v>
      </c>
      <c r="AZ58" s="68">
        <f ca="1">IF(E58-'Invoer gegevens (N)'!$C$17-14.5&lt;0,0,E58-'Invoer gegevens (N)'!$C$17-14.5)</f>
        <v>38.5</v>
      </c>
    </row>
    <row r="59" spans="1:52" x14ac:dyDescent="0.25">
      <c r="A59" s="59"/>
      <c r="B59" s="70">
        <f t="shared" si="9"/>
        <v>55</v>
      </c>
      <c r="C59" s="67">
        <f ca="1">IF(E59-'Invoer gegevens (N)'!$C$17&lt;0,0,1)</f>
        <v>1</v>
      </c>
      <c r="D59" s="68">
        <f t="shared" si="10"/>
        <v>54.5</v>
      </c>
      <c r="E59" s="69">
        <f ca="1">IF('Invoer gegevens (N)'!$C$16="","",E58+1)</f>
        <v>2073</v>
      </c>
      <c r="F59" s="84">
        <f ca="1">IF('Invoer gegevens (N)'!$C$17=E59,'Invoer gegevens (N)'!$C$10,IF(C59=1,K58,0))</f>
        <v>0</v>
      </c>
      <c r="G59" s="96">
        <f ca="1">IF(C59&gt;=1,F59*VLOOKUP(E59,'Reeksen (N)'!$A$5:$B$76,2),0)</f>
        <v>0</v>
      </c>
      <c r="H59" s="84">
        <f ca="1">(1-('Invoer gegevens (N)'!$F$20/12))*F59*MIN('Reeksen (N)'!B59,'Reeksen (N)'!D59)</f>
        <v>0</v>
      </c>
      <c r="I59" s="84">
        <f>IF('Reeksen (N)'!D59&lt;'Reeksen (N)'!B59,('Reeksen (N)'!B59-'Reeksen (N)'!D59)*F59,0)</f>
        <v>0</v>
      </c>
      <c r="J59" s="84">
        <f ca="1">('Invoer gegevens (N)'!$F$20/12)*F58*MIN('Reeksen (N)'!B58,'Reeksen (N)'!D58)</f>
        <v>0</v>
      </c>
      <c r="K59" s="97">
        <f t="shared" ca="1" si="0"/>
        <v>0</v>
      </c>
      <c r="L59" s="84">
        <f ca="1">IF('Invoer gegevens (N)'!$C$17=E59,0,IF(C59=1,Q58,0))</f>
        <v>0</v>
      </c>
      <c r="M59" s="96">
        <f ca="1">IF(C59&gt;=1,L59*VLOOKUP(E59,'Reeksen (N)'!$A$5:$B$76,2),0)</f>
        <v>0</v>
      </c>
      <c r="N59" s="84">
        <f ca="1">(1-('Invoer gegevens (N)'!$F$20/12))*L59*MIN('Reeksen (N)'!B59,'Reeksen (N)'!D59)</f>
        <v>0</v>
      </c>
      <c r="O59" s="84">
        <f>IF('Reeksen (N)'!D59&lt;'Reeksen (N)'!B59,('Reeksen (N)'!B59-'Reeksen (N)'!D59)*L59,0)</f>
        <v>0</v>
      </c>
      <c r="P59" s="84">
        <f ca="1">('Invoer gegevens (N)'!$F$20/12)*L58*MIN('Reeksen (N)'!B58,'Reeksen (N)'!D58)</f>
        <v>0</v>
      </c>
      <c r="Q59" s="84">
        <f t="shared" ca="1" si="1"/>
        <v>0</v>
      </c>
      <c r="R59" s="82">
        <f ca="1">IF('Invoer gegevens (N)'!$C$17=E59,'Invoer gegevens (N)'!$C$11,IF(C59=1,W58,0))</f>
        <v>0</v>
      </c>
      <c r="S59" s="86">
        <f ca="1">IF(C59&gt;=1,R59*VLOOKUP(E59,'Reeksen (N)'!$A$5:$B$76,2),0)</f>
        <v>0</v>
      </c>
      <c r="T59" s="84">
        <f ca="1">(1-('Invoer gegevens (N)'!$F$20/12))*R59*MIN('Reeksen (N)'!B59,'Reeksen (N)'!D59)</f>
        <v>0</v>
      </c>
      <c r="U59" s="84">
        <f>IF('Reeksen (N)'!D59&gt;='Reeksen (N)'!B59,0,IF('Reeksen (N)'!AD59&lt;='Reeksen (N)'!AE59,('Reeksen (N)'!B59-'Reeksen (N)'!D59)*R59,0))</f>
        <v>0</v>
      </c>
      <c r="V59" s="86">
        <f>IF('Reeksen (N)'!D59&gt;='Reeksen (N)'!B59,0,IF('Reeksen (N)'!AD59&gt;'Reeksen (N)'!AE59,('Reeksen (N)'!B59-'Reeksen (N)'!D59)*R59,0))</f>
        <v>0</v>
      </c>
      <c r="W59" s="97">
        <f t="shared" ca="1" si="2"/>
        <v>0</v>
      </c>
      <c r="X59" s="98">
        <f ca="1">IF('Invoer gegevens (N)'!$C$17=E59,'Invoer gegevens (N)'!$C$10-'Invoer gegevens (N)'!$C$11,IF(C59=1,AC58,0))</f>
        <v>0</v>
      </c>
      <c r="Y59" s="98">
        <f ca="1">IF(C59&gt;=1,X59*VLOOKUP(E59,'Reeksen (N)'!$A$5:$B$76,2),0)</f>
        <v>0</v>
      </c>
      <c r="Z59" s="98">
        <f ca="1">(1-('Invoer gegevens (N)'!$F$20/12))*X59*MIN('Reeksen (N)'!B59,'Reeksen (N)'!D59)</f>
        <v>0</v>
      </c>
      <c r="AA59" s="98">
        <f>IF('Reeksen (N)'!D59&gt;='Reeksen (N)'!B59,0,IF('Reeksen (N)'!AD59&lt;='Reeksen (N)'!AE59,('Reeksen (N)'!B59-'Reeksen (N)'!D59)*X59,0))</f>
        <v>0</v>
      </c>
      <c r="AB59" s="98">
        <f>IF('Reeksen (N)'!D59&gt;='Reeksen (N)'!B59,0,IF('Reeksen (N)'!AD59&gt;'Reeksen (N)'!AE59,('Reeksen (N)'!B59-'Reeksen (N)'!D59)*X59,0))</f>
        <v>0</v>
      </c>
      <c r="AC59" s="99">
        <f t="shared" ca="1" si="3"/>
        <v>0</v>
      </c>
      <c r="AD59" s="98">
        <f ca="1">IF('Invoer gegevens (N)'!$C$17=E59,R59,IF(C59=0,0,AE58))</f>
        <v>0</v>
      </c>
      <c r="AE59" s="98">
        <f t="shared" ca="1" si="4"/>
        <v>0</v>
      </c>
      <c r="AF59" s="98">
        <f ca="1">IF('Invoer gegevens (N)'!$C$17=E59,X59,IF(C59=0,0,AG58))</f>
        <v>0</v>
      </c>
      <c r="AG59" s="98">
        <f t="shared" ca="1" si="5"/>
        <v>0</v>
      </c>
      <c r="AH59" s="66"/>
      <c r="AI59" s="71">
        <f ca="1">IF(C59=1,'Reeksen (N)'!AI59*((F59-G59+F59)/2)*12+'Reeksen (N)'!AD59*((L59-M59+L59)/2)*12,0)</f>
        <v>0</v>
      </c>
      <c r="AJ59" s="71">
        <f ca="1">-AI59*'Invoer gegevens (N)'!$F$28</f>
        <v>0</v>
      </c>
      <c r="AK59" s="71">
        <f t="shared" ca="1" si="6"/>
        <v>0</v>
      </c>
      <c r="AL59" s="71">
        <f ca="1">IF(C59=1,'Reeksen (N)'!AL59*((F59-G59+F59)/2)*12+'Reeksen (N)'!AM59*((L59-M59+L59)/2)*12,0)</f>
        <v>0</v>
      </c>
      <c r="AM59" s="71">
        <f ca="1">-AL59*'Invoer gegevens (N)'!$F$31</f>
        <v>0</v>
      </c>
      <c r="AN59" s="71">
        <f t="shared" ca="1" si="7"/>
        <v>0</v>
      </c>
      <c r="AO59" s="71">
        <f ca="1">IF(C59=1,(H59+J59+N59+P59)*'Reeksen (N)'!AN59,0)</f>
        <v>0</v>
      </c>
      <c r="AP59" s="71">
        <f ca="1">-IF(C59=1,(H59+J59+N59+P59)*'Hulp - basis'!$O$550*'Reeksen (N)'!H59,0)</f>
        <v>0</v>
      </c>
      <c r="AQ59" s="71">
        <f ca="1">-IF(C59=1,(F59+K59+L59+Q59)/2*'Invoer gegevens (N)'!$F$35*'Reeksen (N)'!J59,0)*2</f>
        <v>0</v>
      </c>
      <c r="AR59" s="71"/>
      <c r="AS59" s="71">
        <f ca="1">-IF(C59=1,(F59+K59+L59+Q59)/2*'Invoer gegevens (N)'!$F$37*'Reeksen (N)'!L59,0)</f>
        <v>0</v>
      </c>
      <c r="AT59" s="71">
        <f ca="1">-IF(C59=1,IF(E59='Invoer gegevens (N)'!$C$17,'Invoer gegevens (N)'!$C$11,AD59)*'Reeksen (N)'!S59*'Invoer gegevens (N)'!$C$18*'Reeksen (N)'!P59,0)</f>
        <v>0</v>
      </c>
      <c r="AU59" s="71">
        <f ca="1">-IF(C59=1,(F59+K59+L59+Q59)/2*'Invoer gegevens (N)'!$F$38*'Reeksen (N)'!H59,0)</f>
        <v>0</v>
      </c>
      <c r="AV59" s="71">
        <v>0</v>
      </c>
      <c r="AW59" s="71">
        <f t="shared" ca="1" si="8"/>
        <v>0</v>
      </c>
      <c r="AX59" s="71">
        <f ca="1">IF(E59&lt;'Invoer gegevens (N)'!$C$17+15,0,IF(E59&gt;'Invoer gegevens (N)'!$C$17+215,0,AW59))</f>
        <v>0</v>
      </c>
      <c r="AY59" s="71">
        <f ca="1">AX59/(1+'Invoer gegevens (N)'!$F$18)^($AZ59-('Invoer gegevens (N)'!$C$17-'Invoer gegevens (N)'!$C$16))/(1+'Invoer gegevens (N)'!$C$39)^('Invoer gegevens (N)'!$C$17-'Invoer gegevens (N)'!$C$16)</f>
        <v>0</v>
      </c>
      <c r="AZ59" s="68">
        <f ca="1">IF(E59-'Invoer gegevens (N)'!$C$17-14.5&lt;0,0,E59-'Invoer gegevens (N)'!$C$17-14.5)</f>
        <v>39.5</v>
      </c>
    </row>
    <row r="60" spans="1:52" x14ac:dyDescent="0.25">
      <c r="A60" s="59"/>
      <c r="B60" s="70">
        <f t="shared" si="9"/>
        <v>56</v>
      </c>
      <c r="C60" s="67">
        <f ca="1">IF(E60-'Invoer gegevens (N)'!$C$17&lt;0,0,1)</f>
        <v>1</v>
      </c>
      <c r="D60" s="68">
        <f t="shared" si="10"/>
        <v>55.5</v>
      </c>
      <c r="E60" s="69">
        <f ca="1">IF('Invoer gegevens (N)'!$C$16="","",E59+1)</f>
        <v>2074</v>
      </c>
      <c r="F60" s="84">
        <f ca="1">IF('Invoer gegevens (N)'!$C$17=E60,'Invoer gegevens (N)'!$C$10,IF(C60=1,K59,0))</f>
        <v>0</v>
      </c>
      <c r="G60" s="96">
        <f ca="1">IF(C60&gt;=1,F60*VLOOKUP(E60,'Reeksen (N)'!$A$5:$B$76,2),0)</f>
        <v>0</v>
      </c>
      <c r="H60" s="84">
        <f ca="1">(1-('Invoer gegevens (N)'!$F$20/12))*F60*MIN('Reeksen (N)'!B60,'Reeksen (N)'!D60)</f>
        <v>0</v>
      </c>
      <c r="I60" s="84">
        <f>IF('Reeksen (N)'!D60&lt;'Reeksen (N)'!B60,('Reeksen (N)'!B60-'Reeksen (N)'!D60)*F60,0)</f>
        <v>0</v>
      </c>
      <c r="J60" s="84">
        <f ca="1">('Invoer gegevens (N)'!$F$20/12)*F59*MIN('Reeksen (N)'!B59,'Reeksen (N)'!D59)</f>
        <v>0</v>
      </c>
      <c r="K60" s="97">
        <f t="shared" ca="1" si="0"/>
        <v>0</v>
      </c>
      <c r="L60" s="84">
        <f ca="1">IF('Invoer gegevens (N)'!$C$17=E60,0,IF(C60=1,Q59,0))</f>
        <v>0</v>
      </c>
      <c r="M60" s="96">
        <f ca="1">IF(C60&gt;=1,L60*VLOOKUP(E60,'Reeksen (N)'!$A$5:$B$76,2),0)</f>
        <v>0</v>
      </c>
      <c r="N60" s="84">
        <f ca="1">(1-('Invoer gegevens (N)'!$F$20/12))*L60*MIN('Reeksen (N)'!B60,'Reeksen (N)'!D60)</f>
        <v>0</v>
      </c>
      <c r="O60" s="84">
        <f>IF('Reeksen (N)'!D60&lt;'Reeksen (N)'!B60,('Reeksen (N)'!B60-'Reeksen (N)'!D60)*L60,0)</f>
        <v>0</v>
      </c>
      <c r="P60" s="84">
        <f ca="1">('Invoer gegevens (N)'!$F$20/12)*L59*MIN('Reeksen (N)'!B59,'Reeksen (N)'!D59)</f>
        <v>0</v>
      </c>
      <c r="Q60" s="84">
        <f t="shared" ca="1" si="1"/>
        <v>0</v>
      </c>
      <c r="R60" s="82">
        <f ca="1">IF('Invoer gegevens (N)'!$C$17=E60,'Invoer gegevens (N)'!$C$11,IF(C60=1,W59,0))</f>
        <v>0</v>
      </c>
      <c r="S60" s="86">
        <f ca="1">IF(C60&gt;=1,R60*VLOOKUP(E60,'Reeksen (N)'!$A$5:$B$76,2),0)</f>
        <v>0</v>
      </c>
      <c r="T60" s="84">
        <f ca="1">(1-('Invoer gegevens (N)'!$F$20/12))*R60*MIN('Reeksen (N)'!B60,'Reeksen (N)'!D60)</f>
        <v>0</v>
      </c>
      <c r="U60" s="84">
        <f>IF('Reeksen (N)'!D60&gt;='Reeksen (N)'!B60,0,IF('Reeksen (N)'!AD60&lt;='Reeksen (N)'!AE60,('Reeksen (N)'!B60-'Reeksen (N)'!D60)*R60,0))</f>
        <v>0</v>
      </c>
      <c r="V60" s="86">
        <f>IF('Reeksen (N)'!D60&gt;='Reeksen (N)'!B60,0,IF('Reeksen (N)'!AD60&gt;'Reeksen (N)'!AE60,('Reeksen (N)'!B60-'Reeksen (N)'!D60)*R60,0))</f>
        <v>0</v>
      </c>
      <c r="W60" s="97">
        <f t="shared" ca="1" si="2"/>
        <v>0</v>
      </c>
      <c r="X60" s="98">
        <f ca="1">IF('Invoer gegevens (N)'!$C$17=E60,'Invoer gegevens (N)'!$C$10-'Invoer gegevens (N)'!$C$11,IF(C60=1,AC59,0))</f>
        <v>0</v>
      </c>
      <c r="Y60" s="98">
        <f ca="1">IF(C60&gt;=1,X60*VLOOKUP(E60,'Reeksen (N)'!$A$5:$B$76,2),0)</f>
        <v>0</v>
      </c>
      <c r="Z60" s="98">
        <f ca="1">(1-('Invoer gegevens (N)'!$F$20/12))*X60*MIN('Reeksen (N)'!B60,'Reeksen (N)'!D60)</f>
        <v>0</v>
      </c>
      <c r="AA60" s="98">
        <f>IF('Reeksen (N)'!D60&gt;='Reeksen (N)'!B60,0,IF('Reeksen (N)'!AD60&lt;='Reeksen (N)'!AE60,('Reeksen (N)'!B60-'Reeksen (N)'!D60)*X60,0))</f>
        <v>0</v>
      </c>
      <c r="AB60" s="98">
        <f>IF('Reeksen (N)'!D60&gt;='Reeksen (N)'!B60,0,IF('Reeksen (N)'!AD60&gt;'Reeksen (N)'!AE60,('Reeksen (N)'!B60-'Reeksen (N)'!D60)*X60,0))</f>
        <v>0</v>
      </c>
      <c r="AC60" s="99">
        <f t="shared" ca="1" si="3"/>
        <v>0</v>
      </c>
      <c r="AD60" s="98">
        <f ca="1">IF('Invoer gegevens (N)'!$C$17=E60,R60,IF(C60=0,0,AE59))</f>
        <v>0</v>
      </c>
      <c r="AE60" s="98">
        <f t="shared" ca="1" si="4"/>
        <v>0</v>
      </c>
      <c r="AF60" s="98">
        <f ca="1">IF('Invoer gegevens (N)'!$C$17=E60,X60,IF(C60=0,0,AG59))</f>
        <v>0</v>
      </c>
      <c r="AG60" s="98">
        <f t="shared" ca="1" si="5"/>
        <v>0</v>
      </c>
      <c r="AH60" s="66"/>
      <c r="AI60" s="71">
        <f ca="1">IF(C60=1,'Reeksen (N)'!AI60*((F60-G60+F60)/2)*12+'Reeksen (N)'!AD60*((L60-M60+L60)/2)*12,0)</f>
        <v>0</v>
      </c>
      <c r="AJ60" s="71">
        <f ca="1">-AI60*'Invoer gegevens (N)'!$F$28</f>
        <v>0</v>
      </c>
      <c r="AK60" s="71">
        <f t="shared" ca="1" si="6"/>
        <v>0</v>
      </c>
      <c r="AL60" s="71">
        <f ca="1">IF(C60=1,'Reeksen (N)'!AL60*((F60-G60+F60)/2)*12+'Reeksen (N)'!AM60*((L60-M60+L60)/2)*12,0)</f>
        <v>0</v>
      </c>
      <c r="AM60" s="71">
        <f ca="1">-AL60*'Invoer gegevens (N)'!$F$31</f>
        <v>0</v>
      </c>
      <c r="AN60" s="71">
        <f t="shared" ca="1" si="7"/>
        <v>0</v>
      </c>
      <c r="AO60" s="71">
        <f ca="1">IF(C60=1,(H60+J60+N60+P60)*'Reeksen (N)'!AN60,0)</f>
        <v>0</v>
      </c>
      <c r="AP60" s="71">
        <f ca="1">-IF(C60=1,(H60+J60+N60+P60)*'Hulp - basis'!$O$550*'Reeksen (N)'!H60,0)</f>
        <v>0</v>
      </c>
      <c r="AQ60" s="71">
        <f ca="1">-IF(C60=1,(F60+K60+L60+Q60)/2*'Invoer gegevens (N)'!$F$35*'Reeksen (N)'!J60,0)*2</f>
        <v>0</v>
      </c>
      <c r="AR60" s="71"/>
      <c r="AS60" s="71">
        <f ca="1">-IF(C60=1,(F60+K60+L60+Q60)/2*'Invoer gegevens (N)'!$F$37*'Reeksen (N)'!L60,0)</f>
        <v>0</v>
      </c>
      <c r="AT60" s="71">
        <f ca="1">-IF(C60=1,IF(E60='Invoer gegevens (N)'!$C$17,'Invoer gegevens (N)'!$C$11,AD60)*'Reeksen (N)'!S60*'Invoer gegevens (N)'!$C$18*'Reeksen (N)'!P60,0)</f>
        <v>0</v>
      </c>
      <c r="AU60" s="71">
        <f ca="1">-IF(C60=1,(F60+K60+L60+Q60)/2*'Invoer gegevens (N)'!$F$38*'Reeksen (N)'!H60,0)</f>
        <v>0</v>
      </c>
      <c r="AV60" s="71">
        <v>0</v>
      </c>
      <c r="AW60" s="71">
        <f t="shared" ca="1" si="8"/>
        <v>0</v>
      </c>
      <c r="AX60" s="71">
        <f ca="1">IF(E60&lt;'Invoer gegevens (N)'!$C$17+15,0,IF(E60&gt;'Invoer gegevens (N)'!$C$17+215,0,AW60))</f>
        <v>0</v>
      </c>
      <c r="AY60" s="71">
        <f ca="1">AX60/(1+'Invoer gegevens (N)'!$F$18)^($AZ60-('Invoer gegevens (N)'!$C$17-'Invoer gegevens (N)'!$C$16))/(1+'Invoer gegevens (N)'!$C$39)^('Invoer gegevens (N)'!$C$17-'Invoer gegevens (N)'!$C$16)</f>
        <v>0</v>
      </c>
      <c r="AZ60" s="68">
        <f ca="1">IF(E60-'Invoer gegevens (N)'!$C$17-14.5&lt;0,0,E60-'Invoer gegevens (N)'!$C$17-14.5)</f>
        <v>40.5</v>
      </c>
    </row>
    <row r="61" spans="1:52" x14ac:dyDescent="0.25">
      <c r="A61" s="59"/>
      <c r="B61" s="70">
        <f t="shared" si="9"/>
        <v>57</v>
      </c>
      <c r="C61" s="67">
        <f ca="1">IF(E61-'Invoer gegevens (N)'!$C$17&lt;0,0,1)</f>
        <v>1</v>
      </c>
      <c r="D61" s="68">
        <f t="shared" si="10"/>
        <v>56.5</v>
      </c>
      <c r="E61" s="69">
        <f ca="1">IF('Invoer gegevens (N)'!$C$16="","",E60+1)</f>
        <v>2075</v>
      </c>
      <c r="F61" s="84">
        <f ca="1">IF('Invoer gegevens (N)'!$C$17=E61,'Invoer gegevens (N)'!$C$10,IF(C61=1,K60,0))</f>
        <v>0</v>
      </c>
      <c r="G61" s="96">
        <f ca="1">IF(C61&gt;=1,F61*VLOOKUP(E61,'Reeksen (N)'!$A$5:$B$76,2),0)</f>
        <v>0</v>
      </c>
      <c r="H61" s="84">
        <f ca="1">(1-('Invoer gegevens (N)'!$F$20/12))*F61*MIN('Reeksen (N)'!B61,'Reeksen (N)'!D61)</f>
        <v>0</v>
      </c>
      <c r="I61" s="84">
        <f>IF('Reeksen (N)'!D61&lt;'Reeksen (N)'!B61,('Reeksen (N)'!B61-'Reeksen (N)'!D61)*F61,0)</f>
        <v>0</v>
      </c>
      <c r="J61" s="84">
        <f ca="1">('Invoer gegevens (N)'!$F$20/12)*F60*MIN('Reeksen (N)'!B60,'Reeksen (N)'!D60)</f>
        <v>0</v>
      </c>
      <c r="K61" s="97">
        <f t="shared" ca="1" si="0"/>
        <v>0</v>
      </c>
      <c r="L61" s="84">
        <f ca="1">IF('Invoer gegevens (N)'!$C$17=E61,0,IF(C61=1,Q60,0))</f>
        <v>0</v>
      </c>
      <c r="M61" s="96">
        <f ca="1">IF(C61&gt;=1,L61*VLOOKUP(E61,'Reeksen (N)'!$A$5:$B$76,2),0)</f>
        <v>0</v>
      </c>
      <c r="N61" s="84">
        <f ca="1">(1-('Invoer gegevens (N)'!$F$20/12))*L61*MIN('Reeksen (N)'!B61,'Reeksen (N)'!D61)</f>
        <v>0</v>
      </c>
      <c r="O61" s="84">
        <f>IF('Reeksen (N)'!D61&lt;'Reeksen (N)'!B61,('Reeksen (N)'!B61-'Reeksen (N)'!D61)*L61,0)</f>
        <v>0</v>
      </c>
      <c r="P61" s="84">
        <f ca="1">('Invoer gegevens (N)'!$F$20/12)*L60*MIN('Reeksen (N)'!B60,'Reeksen (N)'!D60)</f>
        <v>0</v>
      </c>
      <c r="Q61" s="84">
        <f t="shared" ca="1" si="1"/>
        <v>0</v>
      </c>
      <c r="R61" s="82">
        <f ca="1">IF('Invoer gegevens (N)'!$C$17=E61,'Invoer gegevens (N)'!$C$11,IF(C61=1,W60,0))</f>
        <v>0</v>
      </c>
      <c r="S61" s="86">
        <f ca="1">IF(C61&gt;=1,R61*VLOOKUP(E61,'Reeksen (N)'!$A$5:$B$76,2),0)</f>
        <v>0</v>
      </c>
      <c r="T61" s="84">
        <f ca="1">(1-('Invoer gegevens (N)'!$F$20/12))*R61*MIN('Reeksen (N)'!B61,'Reeksen (N)'!D61)</f>
        <v>0</v>
      </c>
      <c r="U61" s="84">
        <f>IF('Reeksen (N)'!D61&gt;='Reeksen (N)'!B61,0,IF('Reeksen (N)'!AD61&lt;='Reeksen (N)'!AE61,('Reeksen (N)'!B61-'Reeksen (N)'!D61)*R61,0))</f>
        <v>0</v>
      </c>
      <c r="V61" s="86">
        <f>IF('Reeksen (N)'!D61&gt;='Reeksen (N)'!B61,0,IF('Reeksen (N)'!AD61&gt;'Reeksen (N)'!AE61,('Reeksen (N)'!B61-'Reeksen (N)'!D61)*R61,0))</f>
        <v>0</v>
      </c>
      <c r="W61" s="97">
        <f t="shared" ca="1" si="2"/>
        <v>0</v>
      </c>
      <c r="X61" s="98">
        <f ca="1">IF('Invoer gegevens (N)'!$C$17=E61,'Invoer gegevens (N)'!$C$10-'Invoer gegevens (N)'!$C$11,IF(C61=1,AC60,0))</f>
        <v>0</v>
      </c>
      <c r="Y61" s="98">
        <f ca="1">IF(C61&gt;=1,X61*VLOOKUP(E61,'Reeksen (N)'!$A$5:$B$76,2),0)</f>
        <v>0</v>
      </c>
      <c r="Z61" s="98">
        <f ca="1">(1-('Invoer gegevens (N)'!$F$20/12))*X61*MIN('Reeksen (N)'!B61,'Reeksen (N)'!D61)</f>
        <v>0</v>
      </c>
      <c r="AA61" s="98">
        <f>IF('Reeksen (N)'!D61&gt;='Reeksen (N)'!B61,0,IF('Reeksen (N)'!AD61&lt;='Reeksen (N)'!AE61,('Reeksen (N)'!B61-'Reeksen (N)'!D61)*X61,0))</f>
        <v>0</v>
      </c>
      <c r="AB61" s="98">
        <f>IF('Reeksen (N)'!D61&gt;='Reeksen (N)'!B61,0,IF('Reeksen (N)'!AD61&gt;'Reeksen (N)'!AE61,('Reeksen (N)'!B61-'Reeksen (N)'!D61)*X61,0))</f>
        <v>0</v>
      </c>
      <c r="AC61" s="99">
        <f t="shared" ca="1" si="3"/>
        <v>0</v>
      </c>
      <c r="AD61" s="98">
        <f ca="1">IF('Invoer gegevens (N)'!$C$17=E61,R61,IF(C61=0,0,AE60))</f>
        <v>0</v>
      </c>
      <c r="AE61" s="98">
        <f t="shared" ca="1" si="4"/>
        <v>0</v>
      </c>
      <c r="AF61" s="98">
        <f ca="1">IF('Invoer gegevens (N)'!$C$17=E61,X61,IF(C61=0,0,AG60))</f>
        <v>0</v>
      </c>
      <c r="AG61" s="98">
        <f t="shared" ca="1" si="5"/>
        <v>0</v>
      </c>
      <c r="AH61" s="66"/>
      <c r="AI61" s="71">
        <f ca="1">IF(C61=1,'Reeksen (N)'!AI61*((F61-G61+F61)/2)*12+'Reeksen (N)'!AD61*((L61-M61+L61)/2)*12,0)</f>
        <v>0</v>
      </c>
      <c r="AJ61" s="71">
        <f ca="1">-AI61*'Invoer gegevens (N)'!$F$28</f>
        <v>0</v>
      </c>
      <c r="AK61" s="71">
        <f t="shared" ca="1" si="6"/>
        <v>0</v>
      </c>
      <c r="AL61" s="71">
        <f ca="1">IF(C61=1,'Reeksen (N)'!AL61*((F61-G61+F61)/2)*12+'Reeksen (N)'!AM61*((L61-M61+L61)/2)*12,0)</f>
        <v>0</v>
      </c>
      <c r="AM61" s="71">
        <f ca="1">-AL61*'Invoer gegevens (N)'!$F$31</f>
        <v>0</v>
      </c>
      <c r="AN61" s="71">
        <f t="shared" ca="1" si="7"/>
        <v>0</v>
      </c>
      <c r="AO61" s="71">
        <f ca="1">IF(C61=1,(H61+J61+N61+P61)*'Reeksen (N)'!AN61,0)</f>
        <v>0</v>
      </c>
      <c r="AP61" s="71">
        <f ca="1">-IF(C61=1,(H61+J61+N61+P61)*'Hulp - basis'!$O$550*'Reeksen (N)'!H61,0)</f>
        <v>0</v>
      </c>
      <c r="AQ61" s="71">
        <f ca="1">-IF(C61=1,(F61+K61+L61+Q61)/2*'Invoer gegevens (N)'!$F$35*'Reeksen (N)'!J61,0)*2</f>
        <v>0</v>
      </c>
      <c r="AR61" s="71"/>
      <c r="AS61" s="71">
        <f ca="1">-IF(C61=1,(F61+K61+L61+Q61)/2*'Invoer gegevens (N)'!$F$37*'Reeksen (N)'!L61,0)</f>
        <v>0</v>
      </c>
      <c r="AT61" s="71">
        <f ca="1">-IF(C61=1,IF(E61='Invoer gegevens (N)'!$C$17,'Invoer gegevens (N)'!$C$11,AD61)*'Reeksen (N)'!S61*'Invoer gegevens (N)'!$C$18*'Reeksen (N)'!P61,0)</f>
        <v>0</v>
      </c>
      <c r="AU61" s="71">
        <f ca="1">-IF(C61=1,(F61+K61+L61+Q61)/2*'Invoer gegevens (N)'!$F$38*'Reeksen (N)'!H61,0)</f>
        <v>0</v>
      </c>
      <c r="AV61" s="71">
        <v>0</v>
      </c>
      <c r="AW61" s="71">
        <f t="shared" ca="1" si="8"/>
        <v>0</v>
      </c>
      <c r="AX61" s="71">
        <f ca="1">IF(E61&lt;'Invoer gegevens (N)'!$C$17+15,0,IF(E61&gt;'Invoer gegevens (N)'!$C$17+215,0,AW61))</f>
        <v>0</v>
      </c>
      <c r="AY61" s="71">
        <f ca="1">AX61/(1+'Invoer gegevens (N)'!$F$18)^($AZ61-('Invoer gegevens (N)'!$C$17-'Invoer gegevens (N)'!$C$16))/(1+'Invoer gegevens (N)'!$C$39)^('Invoer gegevens (N)'!$C$17-'Invoer gegevens (N)'!$C$16)</f>
        <v>0</v>
      </c>
      <c r="AZ61" s="68">
        <f ca="1">IF(E61-'Invoer gegevens (N)'!$C$17-14.5&lt;0,0,E61-'Invoer gegevens (N)'!$C$17-14.5)</f>
        <v>41.5</v>
      </c>
    </row>
    <row r="62" spans="1:52" x14ac:dyDescent="0.25">
      <c r="A62" s="59"/>
      <c r="B62" s="70">
        <f t="shared" si="9"/>
        <v>58</v>
      </c>
      <c r="C62" s="67">
        <f ca="1">IF(E62-'Invoer gegevens (N)'!$C$17&lt;0,0,1)</f>
        <v>1</v>
      </c>
      <c r="D62" s="68">
        <f t="shared" si="10"/>
        <v>57.5</v>
      </c>
      <c r="E62" s="69">
        <f ca="1">IF('Invoer gegevens (N)'!$C$16="","",E61+1)</f>
        <v>2076</v>
      </c>
      <c r="F62" s="84">
        <f ca="1">IF('Invoer gegevens (N)'!$C$17=E62,'Invoer gegevens (N)'!$C$10,IF(C62=1,K61,0))</f>
        <v>0</v>
      </c>
      <c r="G62" s="96">
        <f ca="1">IF(C62&gt;=1,F62*VLOOKUP(E62,'Reeksen (N)'!$A$5:$B$76,2),0)</f>
        <v>0</v>
      </c>
      <c r="H62" s="84">
        <f ca="1">(1-('Invoer gegevens (N)'!$F$20/12))*F62*MIN('Reeksen (N)'!B62,'Reeksen (N)'!D62)</f>
        <v>0</v>
      </c>
      <c r="I62" s="84">
        <f>IF('Reeksen (N)'!D62&lt;'Reeksen (N)'!B62,('Reeksen (N)'!B62-'Reeksen (N)'!D62)*F62,0)</f>
        <v>0</v>
      </c>
      <c r="J62" s="84">
        <f ca="1">('Invoer gegevens (N)'!$F$20/12)*F61*MIN('Reeksen (N)'!B61,'Reeksen (N)'!D61)</f>
        <v>0</v>
      </c>
      <c r="K62" s="97">
        <f t="shared" ca="1" si="0"/>
        <v>0</v>
      </c>
      <c r="L62" s="84">
        <f ca="1">IF('Invoer gegevens (N)'!$C$17=E62,0,IF(C62=1,Q61,0))</f>
        <v>0</v>
      </c>
      <c r="M62" s="96">
        <f ca="1">IF(C62&gt;=1,L62*VLOOKUP(E62,'Reeksen (N)'!$A$5:$B$76,2),0)</f>
        <v>0</v>
      </c>
      <c r="N62" s="84">
        <f ca="1">(1-('Invoer gegevens (N)'!$F$20/12))*L62*MIN('Reeksen (N)'!B62,'Reeksen (N)'!D62)</f>
        <v>0</v>
      </c>
      <c r="O62" s="84">
        <f>IF('Reeksen (N)'!D62&lt;'Reeksen (N)'!B62,('Reeksen (N)'!B62-'Reeksen (N)'!D62)*L62,0)</f>
        <v>0</v>
      </c>
      <c r="P62" s="84">
        <f ca="1">('Invoer gegevens (N)'!$F$20/12)*L61*MIN('Reeksen (N)'!B61,'Reeksen (N)'!D61)</f>
        <v>0</v>
      </c>
      <c r="Q62" s="84">
        <f t="shared" ca="1" si="1"/>
        <v>0</v>
      </c>
      <c r="R62" s="82">
        <f ca="1">IF('Invoer gegevens (N)'!$C$17=E62,'Invoer gegevens (N)'!$C$11,IF(C62=1,W61,0))</f>
        <v>0</v>
      </c>
      <c r="S62" s="86">
        <f ca="1">IF(C62&gt;=1,R62*VLOOKUP(E62,'Reeksen (N)'!$A$5:$B$76,2),0)</f>
        <v>0</v>
      </c>
      <c r="T62" s="84">
        <f ca="1">(1-('Invoer gegevens (N)'!$F$20/12))*R62*MIN('Reeksen (N)'!B62,'Reeksen (N)'!D62)</f>
        <v>0</v>
      </c>
      <c r="U62" s="84">
        <f>IF('Reeksen (N)'!D62&gt;='Reeksen (N)'!B62,0,IF('Reeksen (N)'!AD62&lt;='Reeksen (N)'!AE62,('Reeksen (N)'!B62-'Reeksen (N)'!D62)*R62,0))</f>
        <v>0</v>
      </c>
      <c r="V62" s="86">
        <f>IF('Reeksen (N)'!D62&gt;='Reeksen (N)'!B62,0,IF('Reeksen (N)'!AD62&gt;'Reeksen (N)'!AE62,('Reeksen (N)'!B62-'Reeksen (N)'!D62)*R62,0))</f>
        <v>0</v>
      </c>
      <c r="W62" s="97">
        <f t="shared" ca="1" si="2"/>
        <v>0</v>
      </c>
      <c r="X62" s="98">
        <f ca="1">IF('Invoer gegevens (N)'!$C$17=E62,'Invoer gegevens (N)'!$C$10-'Invoer gegevens (N)'!$C$11,IF(C62=1,AC61,0))</f>
        <v>0</v>
      </c>
      <c r="Y62" s="98">
        <f ca="1">IF(C62&gt;=1,X62*VLOOKUP(E62,'Reeksen (N)'!$A$5:$B$76,2),0)</f>
        <v>0</v>
      </c>
      <c r="Z62" s="98">
        <f ca="1">(1-('Invoer gegevens (N)'!$F$20/12))*X62*MIN('Reeksen (N)'!B62,'Reeksen (N)'!D62)</f>
        <v>0</v>
      </c>
      <c r="AA62" s="98">
        <f>IF('Reeksen (N)'!D62&gt;='Reeksen (N)'!B62,0,IF('Reeksen (N)'!AD62&lt;='Reeksen (N)'!AE62,('Reeksen (N)'!B62-'Reeksen (N)'!D62)*X62,0))</f>
        <v>0</v>
      </c>
      <c r="AB62" s="98">
        <f>IF('Reeksen (N)'!D62&gt;='Reeksen (N)'!B62,0,IF('Reeksen (N)'!AD62&gt;'Reeksen (N)'!AE62,('Reeksen (N)'!B62-'Reeksen (N)'!D62)*X62,0))</f>
        <v>0</v>
      </c>
      <c r="AC62" s="99">
        <f t="shared" ca="1" si="3"/>
        <v>0</v>
      </c>
      <c r="AD62" s="98">
        <f ca="1">IF('Invoer gegevens (N)'!$C$17=E62,R62,IF(C62=0,0,AE61))</f>
        <v>0</v>
      </c>
      <c r="AE62" s="98">
        <f t="shared" ca="1" si="4"/>
        <v>0</v>
      </c>
      <c r="AF62" s="98">
        <f ca="1">IF('Invoer gegevens (N)'!$C$17=E62,X62,IF(C62=0,0,AG61))</f>
        <v>0</v>
      </c>
      <c r="AG62" s="98">
        <f t="shared" ca="1" si="5"/>
        <v>0</v>
      </c>
      <c r="AH62" s="66"/>
      <c r="AI62" s="71">
        <f ca="1">IF(C62=1,'Reeksen (N)'!AI62*((F62-G62+F62)/2)*12+'Reeksen (N)'!AD62*((L62-M62+L62)/2)*12,0)</f>
        <v>0</v>
      </c>
      <c r="AJ62" s="71">
        <f ca="1">-AI62*'Invoer gegevens (N)'!$F$28</f>
        <v>0</v>
      </c>
      <c r="AK62" s="71">
        <f t="shared" ca="1" si="6"/>
        <v>0</v>
      </c>
      <c r="AL62" s="71">
        <f ca="1">IF(C62=1,'Reeksen (N)'!AL62*((F62-G62+F62)/2)*12+'Reeksen (N)'!AM62*((L62-M62+L62)/2)*12,0)</f>
        <v>0</v>
      </c>
      <c r="AM62" s="71">
        <f ca="1">-AL62*'Invoer gegevens (N)'!$F$31</f>
        <v>0</v>
      </c>
      <c r="AN62" s="71">
        <f t="shared" ca="1" si="7"/>
        <v>0</v>
      </c>
      <c r="AO62" s="71">
        <f ca="1">IF(C62=1,(H62+J62+N62+P62)*'Reeksen (N)'!AN62,0)</f>
        <v>0</v>
      </c>
      <c r="AP62" s="71">
        <f ca="1">-IF(C62=1,(H62+J62+N62+P62)*'Hulp - basis'!$O$550*'Reeksen (N)'!H62,0)</f>
        <v>0</v>
      </c>
      <c r="AQ62" s="71">
        <f ca="1">-IF(C62=1,(F62+K62+L62+Q62)/2*'Invoer gegevens (N)'!$F$35*'Reeksen (N)'!J62,0)*2</f>
        <v>0</v>
      </c>
      <c r="AR62" s="71"/>
      <c r="AS62" s="71">
        <f ca="1">-IF(C62=1,(F62+K62+L62+Q62)/2*'Invoer gegevens (N)'!$F$37*'Reeksen (N)'!L62,0)</f>
        <v>0</v>
      </c>
      <c r="AT62" s="71">
        <f ca="1">-IF(C62=1,IF(E62='Invoer gegevens (N)'!$C$17,'Invoer gegevens (N)'!$C$11,AD62)*'Reeksen (N)'!S62*'Invoer gegevens (N)'!$C$18*'Reeksen (N)'!P62,0)</f>
        <v>0</v>
      </c>
      <c r="AU62" s="71">
        <f ca="1">-IF(C62=1,(F62+K62+L62+Q62)/2*'Invoer gegevens (N)'!$F$38*'Reeksen (N)'!H62,0)</f>
        <v>0</v>
      </c>
      <c r="AV62" s="71">
        <v>0</v>
      </c>
      <c r="AW62" s="71">
        <f t="shared" ca="1" si="8"/>
        <v>0</v>
      </c>
      <c r="AX62" s="71">
        <f ca="1">IF(E62&lt;'Invoer gegevens (N)'!$C$17+15,0,IF(E62&gt;'Invoer gegevens (N)'!$C$17+215,0,AW62))</f>
        <v>0</v>
      </c>
      <c r="AY62" s="71">
        <f ca="1">AX62/(1+'Invoer gegevens (N)'!$F$18)^($AZ62-('Invoer gegevens (N)'!$C$17-'Invoer gegevens (N)'!$C$16))/(1+'Invoer gegevens (N)'!$C$39)^('Invoer gegevens (N)'!$C$17-'Invoer gegevens (N)'!$C$16)</f>
        <v>0</v>
      </c>
      <c r="AZ62" s="68">
        <f ca="1">IF(E62-'Invoer gegevens (N)'!$C$17-14.5&lt;0,0,E62-'Invoer gegevens (N)'!$C$17-14.5)</f>
        <v>42.5</v>
      </c>
    </row>
    <row r="63" spans="1:52" x14ac:dyDescent="0.25">
      <c r="A63" s="59"/>
      <c r="B63" s="70">
        <f t="shared" si="9"/>
        <v>59</v>
      </c>
      <c r="C63" s="67">
        <f ca="1">IF(E63-'Invoer gegevens (N)'!$C$17&lt;0,0,1)</f>
        <v>1</v>
      </c>
      <c r="D63" s="68">
        <f t="shared" si="10"/>
        <v>58.5</v>
      </c>
      <c r="E63" s="69">
        <f ca="1">IF('Invoer gegevens (N)'!$C$16="","",E62+1)</f>
        <v>2077</v>
      </c>
      <c r="F63" s="84">
        <f ca="1">IF('Invoer gegevens (N)'!$C$17=E63,'Invoer gegevens (N)'!$C$10,IF(C63=1,K62,0))</f>
        <v>0</v>
      </c>
      <c r="G63" s="96">
        <f ca="1">IF(C63&gt;=1,F63*VLOOKUP(E63,'Reeksen (N)'!$A$5:$B$76,2),0)</f>
        <v>0</v>
      </c>
      <c r="H63" s="84">
        <f ca="1">(1-('Invoer gegevens (N)'!$F$20/12))*F63*MIN('Reeksen (N)'!B63,'Reeksen (N)'!D63)</f>
        <v>0</v>
      </c>
      <c r="I63" s="84">
        <f>IF('Reeksen (N)'!D63&lt;'Reeksen (N)'!B63,('Reeksen (N)'!B63-'Reeksen (N)'!D63)*F63,0)</f>
        <v>0</v>
      </c>
      <c r="J63" s="84">
        <f ca="1">('Invoer gegevens (N)'!$F$20/12)*F62*MIN('Reeksen (N)'!B62,'Reeksen (N)'!D62)</f>
        <v>0</v>
      </c>
      <c r="K63" s="97">
        <f t="shared" ca="1" si="0"/>
        <v>0</v>
      </c>
      <c r="L63" s="84">
        <f ca="1">IF('Invoer gegevens (N)'!$C$17=E63,0,IF(C63=1,Q62,0))</f>
        <v>0</v>
      </c>
      <c r="M63" s="96">
        <f ca="1">IF(C63&gt;=1,L63*VLOOKUP(E63,'Reeksen (N)'!$A$5:$B$76,2),0)</f>
        <v>0</v>
      </c>
      <c r="N63" s="84">
        <f ca="1">(1-('Invoer gegevens (N)'!$F$20/12))*L63*MIN('Reeksen (N)'!B63,'Reeksen (N)'!D63)</f>
        <v>0</v>
      </c>
      <c r="O63" s="84">
        <f>IF('Reeksen (N)'!D63&lt;'Reeksen (N)'!B63,('Reeksen (N)'!B63-'Reeksen (N)'!D63)*L63,0)</f>
        <v>0</v>
      </c>
      <c r="P63" s="84">
        <f ca="1">('Invoer gegevens (N)'!$F$20/12)*L62*MIN('Reeksen (N)'!B62,'Reeksen (N)'!D62)</f>
        <v>0</v>
      </c>
      <c r="Q63" s="84">
        <f t="shared" ca="1" si="1"/>
        <v>0</v>
      </c>
      <c r="R63" s="82">
        <f ca="1">IF('Invoer gegevens (N)'!$C$17=E63,'Invoer gegevens (N)'!$C$11,IF(C63=1,W62,0))</f>
        <v>0</v>
      </c>
      <c r="S63" s="86">
        <f ca="1">IF(C63&gt;=1,R63*VLOOKUP(E63,'Reeksen (N)'!$A$5:$B$76,2),0)</f>
        <v>0</v>
      </c>
      <c r="T63" s="84">
        <f ca="1">(1-('Invoer gegevens (N)'!$F$20/12))*R63*MIN('Reeksen (N)'!B63,'Reeksen (N)'!D63)</f>
        <v>0</v>
      </c>
      <c r="U63" s="84">
        <f>IF('Reeksen (N)'!D63&gt;='Reeksen (N)'!B63,0,IF('Reeksen (N)'!AD63&lt;='Reeksen (N)'!AE63,('Reeksen (N)'!B63-'Reeksen (N)'!D63)*R63,0))</f>
        <v>0</v>
      </c>
      <c r="V63" s="86">
        <f>IF('Reeksen (N)'!D63&gt;='Reeksen (N)'!B63,0,IF('Reeksen (N)'!AD63&gt;'Reeksen (N)'!AE63,('Reeksen (N)'!B63-'Reeksen (N)'!D63)*R63,0))</f>
        <v>0</v>
      </c>
      <c r="W63" s="97">
        <f t="shared" ca="1" si="2"/>
        <v>0</v>
      </c>
      <c r="X63" s="98">
        <f ca="1">IF('Invoer gegevens (N)'!$C$17=E63,'Invoer gegevens (N)'!$C$10-'Invoer gegevens (N)'!$C$11,IF(C63=1,AC62,0))</f>
        <v>0</v>
      </c>
      <c r="Y63" s="98">
        <f ca="1">IF(C63&gt;=1,X63*VLOOKUP(E63,'Reeksen (N)'!$A$5:$B$76,2),0)</f>
        <v>0</v>
      </c>
      <c r="Z63" s="98">
        <f ca="1">(1-('Invoer gegevens (N)'!$F$20/12))*X63*MIN('Reeksen (N)'!B63,'Reeksen (N)'!D63)</f>
        <v>0</v>
      </c>
      <c r="AA63" s="98">
        <f>IF('Reeksen (N)'!D63&gt;='Reeksen (N)'!B63,0,IF('Reeksen (N)'!AD63&lt;='Reeksen (N)'!AE63,('Reeksen (N)'!B63-'Reeksen (N)'!D63)*X63,0))</f>
        <v>0</v>
      </c>
      <c r="AB63" s="98">
        <f>IF('Reeksen (N)'!D63&gt;='Reeksen (N)'!B63,0,IF('Reeksen (N)'!AD63&gt;'Reeksen (N)'!AE63,('Reeksen (N)'!B63-'Reeksen (N)'!D63)*X63,0))</f>
        <v>0</v>
      </c>
      <c r="AC63" s="99">
        <f t="shared" ca="1" si="3"/>
        <v>0</v>
      </c>
      <c r="AD63" s="98">
        <f ca="1">IF('Invoer gegevens (N)'!$C$17=E63,R63,IF(C63=0,0,AE62))</f>
        <v>0</v>
      </c>
      <c r="AE63" s="98">
        <f t="shared" ca="1" si="4"/>
        <v>0</v>
      </c>
      <c r="AF63" s="98">
        <f ca="1">IF('Invoer gegevens (N)'!$C$17=E63,X63,IF(C63=0,0,AG62))</f>
        <v>0</v>
      </c>
      <c r="AG63" s="98">
        <f t="shared" ca="1" si="5"/>
        <v>0</v>
      </c>
      <c r="AH63" s="66"/>
      <c r="AI63" s="71">
        <f ca="1">IF(C63=1,'Reeksen (N)'!AI63*((F63-G63+F63)/2)*12+'Reeksen (N)'!AD63*((L63-M63+L63)/2)*12,0)</f>
        <v>0</v>
      </c>
      <c r="AJ63" s="71">
        <f ca="1">-AI63*'Invoer gegevens (N)'!$F$28</f>
        <v>0</v>
      </c>
      <c r="AK63" s="71">
        <f t="shared" ca="1" si="6"/>
        <v>0</v>
      </c>
      <c r="AL63" s="71">
        <f ca="1">IF(C63=1,'Reeksen (N)'!AL63*((F63-G63+F63)/2)*12+'Reeksen (N)'!AM63*((L63-M63+L63)/2)*12,0)</f>
        <v>0</v>
      </c>
      <c r="AM63" s="71">
        <f ca="1">-AL63*'Invoer gegevens (N)'!$F$31</f>
        <v>0</v>
      </c>
      <c r="AN63" s="71">
        <f t="shared" ca="1" si="7"/>
        <v>0</v>
      </c>
      <c r="AO63" s="71">
        <f ca="1">IF(C63=1,(H63+J63+N63+P63)*'Reeksen (N)'!AN63,0)</f>
        <v>0</v>
      </c>
      <c r="AP63" s="71">
        <f ca="1">-IF(C63=1,(H63+J63+N63+P63)*'Hulp - basis'!$O$550*'Reeksen (N)'!H63,0)</f>
        <v>0</v>
      </c>
      <c r="AQ63" s="71">
        <f ca="1">-IF(C63=1,(F63+K63+L63+Q63)/2*'Invoer gegevens (N)'!$F$35*'Reeksen (N)'!J63,0)*2</f>
        <v>0</v>
      </c>
      <c r="AR63" s="71"/>
      <c r="AS63" s="71">
        <f ca="1">-IF(C63=1,(F63+K63+L63+Q63)/2*'Invoer gegevens (N)'!$F$37*'Reeksen (N)'!L63,0)</f>
        <v>0</v>
      </c>
      <c r="AT63" s="71">
        <f ca="1">-IF(C63=1,IF(E63='Invoer gegevens (N)'!$C$17,'Invoer gegevens (N)'!$C$11,AD63)*'Reeksen (N)'!S63*'Invoer gegevens (N)'!$C$18*'Reeksen (N)'!P63,0)</f>
        <v>0</v>
      </c>
      <c r="AU63" s="71">
        <f ca="1">-IF(C63=1,(F63+K63+L63+Q63)/2*'Invoer gegevens (N)'!$F$38*'Reeksen (N)'!H63,0)</f>
        <v>0</v>
      </c>
      <c r="AV63" s="71">
        <v>0</v>
      </c>
      <c r="AW63" s="71">
        <f t="shared" ca="1" si="8"/>
        <v>0</v>
      </c>
      <c r="AX63" s="71">
        <f ca="1">IF(E63&lt;'Invoer gegevens (N)'!$C$17+15,0,IF(E63&gt;'Invoer gegevens (N)'!$C$17+215,0,AW63))</f>
        <v>0</v>
      </c>
      <c r="AY63" s="71">
        <f ca="1">AX63/(1+'Invoer gegevens (N)'!$F$18)^($AZ63-('Invoer gegevens (N)'!$C$17-'Invoer gegevens (N)'!$C$16))/(1+'Invoer gegevens (N)'!$C$39)^('Invoer gegevens (N)'!$C$17-'Invoer gegevens (N)'!$C$16)</f>
        <v>0</v>
      </c>
      <c r="AZ63" s="68">
        <f ca="1">IF(E63-'Invoer gegevens (N)'!$C$17-14.5&lt;0,0,E63-'Invoer gegevens (N)'!$C$17-14.5)</f>
        <v>43.5</v>
      </c>
    </row>
    <row r="64" spans="1:52" x14ac:dyDescent="0.25">
      <c r="A64" s="59"/>
      <c r="B64" s="70">
        <f t="shared" si="9"/>
        <v>60</v>
      </c>
      <c r="C64" s="67">
        <f ca="1">IF(E64-'Invoer gegevens (N)'!$C$17&lt;0,0,1)</f>
        <v>1</v>
      </c>
      <c r="D64" s="68">
        <f t="shared" si="10"/>
        <v>59.5</v>
      </c>
      <c r="E64" s="69">
        <f ca="1">IF('Invoer gegevens (N)'!$C$16="","",E63+1)</f>
        <v>2078</v>
      </c>
      <c r="F64" s="84">
        <f ca="1">IF('Invoer gegevens (N)'!$C$17=E64,'Invoer gegevens (N)'!$C$10,IF(C64=1,K63,0))</f>
        <v>0</v>
      </c>
      <c r="G64" s="96">
        <f ca="1">IF(C64&gt;=1,F64*VLOOKUP(E64,'Reeksen (N)'!$A$5:$B$76,2),0)</f>
        <v>0</v>
      </c>
      <c r="H64" s="84">
        <f ca="1">(1-('Invoer gegevens (N)'!$F$20/12))*F64*MIN('Reeksen (N)'!B64,'Reeksen (N)'!D64)</f>
        <v>0</v>
      </c>
      <c r="I64" s="84">
        <f>IF('Reeksen (N)'!D64&lt;'Reeksen (N)'!B64,('Reeksen (N)'!B64-'Reeksen (N)'!D64)*F64,0)</f>
        <v>0</v>
      </c>
      <c r="J64" s="84">
        <f ca="1">('Invoer gegevens (N)'!$F$20/12)*F63*MIN('Reeksen (N)'!B63,'Reeksen (N)'!D63)</f>
        <v>0</v>
      </c>
      <c r="K64" s="97">
        <f t="shared" ca="1" si="0"/>
        <v>0</v>
      </c>
      <c r="L64" s="84">
        <f ca="1">IF('Invoer gegevens (N)'!$C$17=E64,0,IF(C64=1,Q63,0))</f>
        <v>0</v>
      </c>
      <c r="M64" s="96">
        <f ca="1">IF(C64&gt;=1,L64*VLOOKUP(E64,'Reeksen (N)'!$A$5:$B$76,2),0)</f>
        <v>0</v>
      </c>
      <c r="N64" s="84">
        <f ca="1">(1-('Invoer gegevens (N)'!$F$20/12))*L64*MIN('Reeksen (N)'!B64,'Reeksen (N)'!D64)</f>
        <v>0</v>
      </c>
      <c r="O64" s="84">
        <f>IF('Reeksen (N)'!D64&lt;'Reeksen (N)'!B64,('Reeksen (N)'!B64-'Reeksen (N)'!D64)*L64,0)</f>
        <v>0</v>
      </c>
      <c r="P64" s="84">
        <f ca="1">('Invoer gegevens (N)'!$F$20/12)*L63*MIN('Reeksen (N)'!B63,'Reeksen (N)'!D63)</f>
        <v>0</v>
      </c>
      <c r="Q64" s="84">
        <f t="shared" ca="1" si="1"/>
        <v>0</v>
      </c>
      <c r="R64" s="82">
        <f ca="1">IF('Invoer gegevens (N)'!$C$17=E64,'Invoer gegevens (N)'!$C$11,IF(C64=1,W63,0))</f>
        <v>0</v>
      </c>
      <c r="S64" s="86">
        <f ca="1">IF(C64&gt;=1,R64*VLOOKUP(E64,'Reeksen (N)'!$A$5:$B$76,2),0)</f>
        <v>0</v>
      </c>
      <c r="T64" s="84">
        <f ca="1">(1-('Invoer gegevens (N)'!$F$20/12))*R64*MIN('Reeksen (N)'!B64,'Reeksen (N)'!D64)</f>
        <v>0</v>
      </c>
      <c r="U64" s="84">
        <f>IF('Reeksen (N)'!D64&gt;='Reeksen (N)'!B64,0,IF('Reeksen (N)'!AD64&lt;='Reeksen (N)'!AE64,('Reeksen (N)'!B64-'Reeksen (N)'!D64)*R64,0))</f>
        <v>0</v>
      </c>
      <c r="V64" s="86">
        <f>IF('Reeksen (N)'!D64&gt;='Reeksen (N)'!B64,0,IF('Reeksen (N)'!AD64&gt;'Reeksen (N)'!AE64,('Reeksen (N)'!B64-'Reeksen (N)'!D64)*R64,0))</f>
        <v>0</v>
      </c>
      <c r="W64" s="97">
        <f t="shared" ca="1" si="2"/>
        <v>0</v>
      </c>
      <c r="X64" s="98">
        <f ca="1">IF('Invoer gegevens (N)'!$C$17=E64,'Invoer gegevens (N)'!$C$10-'Invoer gegevens (N)'!$C$11,IF(C64=1,AC63,0))</f>
        <v>0</v>
      </c>
      <c r="Y64" s="98">
        <f ca="1">IF(C64&gt;=1,X64*VLOOKUP(E64,'Reeksen (N)'!$A$5:$B$76,2),0)</f>
        <v>0</v>
      </c>
      <c r="Z64" s="98">
        <f ca="1">(1-('Invoer gegevens (N)'!$F$20/12))*X64*MIN('Reeksen (N)'!B64,'Reeksen (N)'!D64)</f>
        <v>0</v>
      </c>
      <c r="AA64" s="98">
        <f>IF('Reeksen (N)'!D64&gt;='Reeksen (N)'!B64,0,IF('Reeksen (N)'!AD64&lt;='Reeksen (N)'!AE64,('Reeksen (N)'!B64-'Reeksen (N)'!D64)*X64,0))</f>
        <v>0</v>
      </c>
      <c r="AB64" s="98">
        <f>IF('Reeksen (N)'!D64&gt;='Reeksen (N)'!B64,0,IF('Reeksen (N)'!AD64&gt;'Reeksen (N)'!AE64,('Reeksen (N)'!B64-'Reeksen (N)'!D64)*X64,0))</f>
        <v>0</v>
      </c>
      <c r="AC64" s="99">
        <f t="shared" ca="1" si="3"/>
        <v>0</v>
      </c>
      <c r="AD64" s="98">
        <f ca="1">IF('Invoer gegevens (N)'!$C$17=E64,R64,IF(C64=0,0,AE63))</f>
        <v>0</v>
      </c>
      <c r="AE64" s="98">
        <f t="shared" ca="1" si="4"/>
        <v>0</v>
      </c>
      <c r="AF64" s="98">
        <f ca="1">IF('Invoer gegevens (N)'!$C$17=E64,X64,IF(C64=0,0,AG63))</f>
        <v>0</v>
      </c>
      <c r="AG64" s="98">
        <f t="shared" ca="1" si="5"/>
        <v>0</v>
      </c>
      <c r="AH64" s="66"/>
      <c r="AI64" s="71">
        <f ca="1">IF(C64=1,'Reeksen (N)'!AI64*((F64-G64+F64)/2)*12+'Reeksen (N)'!AD64*((L64-M64+L64)/2)*12,0)</f>
        <v>0</v>
      </c>
      <c r="AJ64" s="71">
        <f ca="1">-AI64*'Invoer gegevens (N)'!$F$28</f>
        <v>0</v>
      </c>
      <c r="AK64" s="71">
        <f t="shared" ca="1" si="6"/>
        <v>0</v>
      </c>
      <c r="AL64" s="71">
        <f ca="1">IF(C64=1,'Reeksen (N)'!AL64*((F64-G64+F64)/2)*12+'Reeksen (N)'!AM64*((L64-M64+L64)/2)*12,0)</f>
        <v>0</v>
      </c>
      <c r="AM64" s="71">
        <f ca="1">-AL64*'Invoer gegevens (N)'!$F$31</f>
        <v>0</v>
      </c>
      <c r="AN64" s="71">
        <f t="shared" ca="1" si="7"/>
        <v>0</v>
      </c>
      <c r="AO64" s="71">
        <f ca="1">IF(C64=1,(H64+J64+N64+P64)*'Reeksen (N)'!AN64,0)</f>
        <v>0</v>
      </c>
      <c r="AP64" s="71">
        <f ca="1">-IF(C64=1,(H64+J64+N64+P64)*'Hulp - basis'!$O$550*'Reeksen (N)'!H64,0)</f>
        <v>0</v>
      </c>
      <c r="AQ64" s="71">
        <f ca="1">-IF(C64=1,(F64+K64+L64+Q64)/2*'Invoer gegevens (N)'!$F$35*'Reeksen (N)'!J64,0)*2</f>
        <v>0</v>
      </c>
      <c r="AR64" s="71"/>
      <c r="AS64" s="71">
        <f ca="1">-IF(C64=1,(F64+K64+L64+Q64)/2*'Invoer gegevens (N)'!$F$37*'Reeksen (N)'!L64,0)</f>
        <v>0</v>
      </c>
      <c r="AT64" s="71">
        <f ca="1">-IF(C64=1,IF(E64='Invoer gegevens (N)'!$C$17,'Invoer gegevens (N)'!$C$11,AD64)*'Reeksen (N)'!S64*'Invoer gegevens (N)'!$C$18*'Reeksen (N)'!P64,0)</f>
        <v>0</v>
      </c>
      <c r="AU64" s="71">
        <f ca="1">-IF(C64=1,(F64+K64+L64+Q64)/2*'Invoer gegevens (N)'!$F$38*'Reeksen (N)'!H64,0)</f>
        <v>0</v>
      </c>
      <c r="AV64" s="71">
        <v>0</v>
      </c>
      <c r="AW64" s="71">
        <f t="shared" ca="1" si="8"/>
        <v>0</v>
      </c>
      <c r="AX64" s="71">
        <f ca="1">IF(E64&lt;'Invoer gegevens (N)'!$C$17+15,0,IF(E64&gt;'Invoer gegevens (N)'!$C$17+215,0,AW64))</f>
        <v>0</v>
      </c>
      <c r="AY64" s="71">
        <f ca="1">AX64/(1+'Invoer gegevens (N)'!$F$18)^($AZ64-('Invoer gegevens (N)'!$C$17-'Invoer gegevens (N)'!$C$16))/(1+'Invoer gegevens (N)'!$C$39)^('Invoer gegevens (N)'!$C$17-'Invoer gegevens (N)'!$C$16)</f>
        <v>0</v>
      </c>
      <c r="AZ64" s="68">
        <f ca="1">IF(E64-'Invoer gegevens (N)'!$C$17-14.5&lt;0,0,E64-'Invoer gegevens (N)'!$C$17-14.5)</f>
        <v>44.5</v>
      </c>
    </row>
    <row r="65" spans="1:52" x14ac:dyDescent="0.25">
      <c r="A65" s="59"/>
      <c r="B65" s="70">
        <f t="shared" si="9"/>
        <v>61</v>
      </c>
      <c r="C65" s="67">
        <f ca="1">IF(E65-'Invoer gegevens (N)'!$C$17&lt;0,0,1)</f>
        <v>1</v>
      </c>
      <c r="D65" s="68">
        <f t="shared" si="10"/>
        <v>60.5</v>
      </c>
      <c r="E65" s="69">
        <f ca="1">IF('Invoer gegevens (N)'!$C$16="","",E64+1)</f>
        <v>2079</v>
      </c>
      <c r="F65" s="84">
        <f ca="1">IF('Invoer gegevens (N)'!$C$17=E65,'Invoer gegevens (N)'!$C$10,IF(C65=1,K64,0))</f>
        <v>0</v>
      </c>
      <c r="G65" s="96">
        <f ca="1">IF(C65&gt;=1,F65*VLOOKUP(E65,'Reeksen (N)'!$A$5:$B$76,2),0)</f>
        <v>0</v>
      </c>
      <c r="H65" s="84">
        <f ca="1">(1-('Invoer gegevens (N)'!$F$20/12))*F65*MIN('Reeksen (N)'!B65,'Reeksen (N)'!D65)</f>
        <v>0</v>
      </c>
      <c r="I65" s="84">
        <f>IF('Reeksen (N)'!D65&lt;'Reeksen (N)'!B65,('Reeksen (N)'!B65-'Reeksen (N)'!D65)*F65,0)</f>
        <v>0</v>
      </c>
      <c r="J65" s="84">
        <f ca="1">('Invoer gegevens (N)'!$F$20/12)*F64*MIN('Reeksen (N)'!B64,'Reeksen (N)'!D64)</f>
        <v>0</v>
      </c>
      <c r="K65" s="97">
        <f t="shared" ca="1" si="0"/>
        <v>0</v>
      </c>
      <c r="L65" s="84">
        <f ca="1">IF('Invoer gegevens (N)'!$C$17=E65,0,IF(C65=1,Q64,0))</f>
        <v>0</v>
      </c>
      <c r="M65" s="96">
        <f ca="1">IF(C65&gt;=1,L65*VLOOKUP(E65,'Reeksen (N)'!$A$5:$B$76,2),0)</f>
        <v>0</v>
      </c>
      <c r="N65" s="84">
        <f ca="1">(1-('Invoer gegevens (N)'!$F$20/12))*L65*MIN('Reeksen (N)'!B65,'Reeksen (N)'!D65)</f>
        <v>0</v>
      </c>
      <c r="O65" s="84">
        <f>IF('Reeksen (N)'!D65&lt;'Reeksen (N)'!B65,('Reeksen (N)'!B65-'Reeksen (N)'!D65)*L65,0)</f>
        <v>0</v>
      </c>
      <c r="P65" s="84">
        <f ca="1">('Invoer gegevens (N)'!$F$20/12)*L64*MIN('Reeksen (N)'!B64,'Reeksen (N)'!D64)</f>
        <v>0</v>
      </c>
      <c r="Q65" s="84">
        <f t="shared" ca="1" si="1"/>
        <v>0</v>
      </c>
      <c r="R65" s="82">
        <f ca="1">IF('Invoer gegevens (N)'!$C$17=E65,'Invoer gegevens (N)'!$C$11,IF(C65=1,W64,0))</f>
        <v>0</v>
      </c>
      <c r="S65" s="86">
        <f ca="1">IF(C65&gt;=1,R65*VLOOKUP(E65,'Reeksen (N)'!$A$5:$B$76,2),0)</f>
        <v>0</v>
      </c>
      <c r="T65" s="84">
        <f ca="1">(1-('Invoer gegevens (N)'!$F$20/12))*R65*MIN('Reeksen (N)'!B65,'Reeksen (N)'!D65)</f>
        <v>0</v>
      </c>
      <c r="U65" s="84">
        <f>IF('Reeksen (N)'!D65&gt;='Reeksen (N)'!B65,0,IF('Reeksen (N)'!AD65&lt;='Reeksen (N)'!AE65,('Reeksen (N)'!B65-'Reeksen (N)'!D65)*R65,0))</f>
        <v>0</v>
      </c>
      <c r="V65" s="86">
        <f>IF('Reeksen (N)'!D65&gt;='Reeksen (N)'!B65,0,IF('Reeksen (N)'!AD65&gt;'Reeksen (N)'!AE65,('Reeksen (N)'!B65-'Reeksen (N)'!D65)*R65,0))</f>
        <v>0</v>
      </c>
      <c r="W65" s="97">
        <f t="shared" ca="1" si="2"/>
        <v>0</v>
      </c>
      <c r="X65" s="98">
        <f ca="1">IF('Invoer gegevens (N)'!$C$17=E65,'Invoer gegevens (N)'!$C$10-'Invoer gegevens (N)'!$C$11,IF(C65=1,AC64,0))</f>
        <v>0</v>
      </c>
      <c r="Y65" s="98">
        <f ca="1">IF(C65&gt;=1,X65*VLOOKUP(E65,'Reeksen (N)'!$A$5:$B$76,2),0)</f>
        <v>0</v>
      </c>
      <c r="Z65" s="98">
        <f ca="1">(1-('Invoer gegevens (N)'!$F$20/12))*X65*MIN('Reeksen (N)'!B65,'Reeksen (N)'!D65)</f>
        <v>0</v>
      </c>
      <c r="AA65" s="98">
        <f>IF('Reeksen (N)'!D65&gt;='Reeksen (N)'!B65,0,IF('Reeksen (N)'!AD65&lt;='Reeksen (N)'!AE65,('Reeksen (N)'!B65-'Reeksen (N)'!D65)*X65,0))</f>
        <v>0</v>
      </c>
      <c r="AB65" s="98">
        <f>IF('Reeksen (N)'!D65&gt;='Reeksen (N)'!B65,0,IF('Reeksen (N)'!AD65&gt;'Reeksen (N)'!AE65,('Reeksen (N)'!B65-'Reeksen (N)'!D65)*X65,0))</f>
        <v>0</v>
      </c>
      <c r="AC65" s="99">
        <f t="shared" ca="1" si="3"/>
        <v>0</v>
      </c>
      <c r="AD65" s="98">
        <f ca="1">IF('Invoer gegevens (N)'!$C$17=E65,R65,IF(C65=0,0,AE64))</f>
        <v>0</v>
      </c>
      <c r="AE65" s="98">
        <f t="shared" ca="1" si="4"/>
        <v>0</v>
      </c>
      <c r="AF65" s="98">
        <f ca="1">IF('Invoer gegevens (N)'!$C$17=E65,X65,IF(C65=0,0,AG64))</f>
        <v>0</v>
      </c>
      <c r="AG65" s="98">
        <f t="shared" ca="1" si="5"/>
        <v>0</v>
      </c>
      <c r="AH65" s="66"/>
      <c r="AI65" s="71">
        <f ca="1">IF(C65=1,'Reeksen (N)'!AI65*((F65-G65+F65)/2)*12+'Reeksen (N)'!AD65*((L65-M65+L65)/2)*12,0)</f>
        <v>0</v>
      </c>
      <c r="AJ65" s="71">
        <f ca="1">-AI65*'Invoer gegevens (N)'!$F$28</f>
        <v>0</v>
      </c>
      <c r="AK65" s="71">
        <f t="shared" ca="1" si="6"/>
        <v>0</v>
      </c>
      <c r="AL65" s="71">
        <f ca="1">IF(C65=1,'Reeksen (N)'!AL65*((F65-G65+F65)/2)*12+'Reeksen (N)'!AM65*((L65-M65+L65)/2)*12,0)</f>
        <v>0</v>
      </c>
      <c r="AM65" s="71">
        <f ca="1">-AL65*'Invoer gegevens (N)'!$F$31</f>
        <v>0</v>
      </c>
      <c r="AN65" s="71">
        <f t="shared" ca="1" si="7"/>
        <v>0</v>
      </c>
      <c r="AO65" s="71">
        <f ca="1">IF(C65=1,(H65+J65+N65+P65)*'Reeksen (N)'!AN65,0)</f>
        <v>0</v>
      </c>
      <c r="AP65" s="71">
        <f ca="1">-IF(C65=1,(H65+J65+N65+P65)*'Hulp - basis'!$O$550*'Reeksen (N)'!H65,0)</f>
        <v>0</v>
      </c>
      <c r="AQ65" s="71">
        <f ca="1">-IF(C65=1,(F65+K65+L65+Q65)/2*'Invoer gegevens (N)'!$F$35*'Reeksen (N)'!J65,0)*2</f>
        <v>0</v>
      </c>
      <c r="AR65" s="71"/>
      <c r="AS65" s="71">
        <f ca="1">-IF(C65=1,(F65+K65+L65+Q65)/2*'Invoer gegevens (N)'!$F$37*'Reeksen (N)'!L65,0)</f>
        <v>0</v>
      </c>
      <c r="AT65" s="71">
        <f ca="1">-IF(C65=1,IF(E65='Invoer gegevens (N)'!$C$17,'Invoer gegevens (N)'!$C$11,AD65)*'Reeksen (N)'!S65*'Invoer gegevens (N)'!$C$18*'Reeksen (N)'!P65,0)</f>
        <v>0</v>
      </c>
      <c r="AU65" s="71">
        <f ca="1">-IF(C65=1,(F65+K65+L65+Q65)/2*'Invoer gegevens (N)'!$F$38*'Reeksen (N)'!H65,0)</f>
        <v>0</v>
      </c>
      <c r="AV65" s="71">
        <v>0</v>
      </c>
      <c r="AW65" s="71">
        <f t="shared" ca="1" si="8"/>
        <v>0</v>
      </c>
      <c r="AX65" s="71">
        <f ca="1">IF(E65&lt;'Invoer gegevens (N)'!$C$17+15,0,IF(E65&gt;'Invoer gegevens (N)'!$C$17+215,0,AW65))</f>
        <v>0</v>
      </c>
      <c r="AY65" s="71">
        <f ca="1">AX65/(1+'Invoer gegevens (N)'!$F$18)^($AZ65-('Invoer gegevens (N)'!$C$17-'Invoer gegevens (N)'!$C$16))/(1+'Invoer gegevens (N)'!$C$39)^('Invoer gegevens (N)'!$C$17-'Invoer gegevens (N)'!$C$16)</f>
        <v>0</v>
      </c>
      <c r="AZ65" s="68">
        <f ca="1">IF(E65-'Invoer gegevens (N)'!$C$17-14.5&lt;0,0,E65-'Invoer gegevens (N)'!$C$17-14.5)</f>
        <v>45.5</v>
      </c>
    </row>
    <row r="66" spans="1:52" x14ac:dyDescent="0.25">
      <c r="A66" s="59"/>
      <c r="B66" s="70">
        <f t="shared" si="9"/>
        <v>62</v>
      </c>
      <c r="C66" s="67">
        <f ca="1">IF(E66-'Invoer gegevens (N)'!$C$17&lt;0,0,1)</f>
        <v>1</v>
      </c>
      <c r="D66" s="68">
        <f t="shared" si="10"/>
        <v>61.5</v>
      </c>
      <c r="E66" s="69">
        <f ca="1">IF('Invoer gegevens (N)'!$C$16="","",E65+1)</f>
        <v>2080</v>
      </c>
      <c r="F66" s="84">
        <f ca="1">IF('Invoer gegevens (N)'!$C$17=E66,'Invoer gegevens (N)'!$C$10,IF(C66=1,K65,0))</f>
        <v>0</v>
      </c>
      <c r="G66" s="96">
        <f ca="1">IF(C66&gt;=1,F66*VLOOKUP(E66,'Reeksen (N)'!$A$5:$B$76,2),0)</f>
        <v>0</v>
      </c>
      <c r="H66" s="84">
        <f ca="1">(1-('Invoer gegevens (N)'!$F$20/12))*F66*MIN('Reeksen (N)'!B66,'Reeksen (N)'!D66)</f>
        <v>0</v>
      </c>
      <c r="I66" s="84">
        <f>IF('Reeksen (N)'!D66&lt;'Reeksen (N)'!B66,('Reeksen (N)'!B66-'Reeksen (N)'!D66)*F66,0)</f>
        <v>0</v>
      </c>
      <c r="J66" s="84">
        <f ca="1">('Invoer gegevens (N)'!$F$20/12)*F65*MIN('Reeksen (N)'!B65,'Reeksen (N)'!D65)</f>
        <v>0</v>
      </c>
      <c r="K66" s="97">
        <f t="shared" ca="1" si="0"/>
        <v>0</v>
      </c>
      <c r="L66" s="84">
        <f ca="1">IF('Invoer gegevens (N)'!$C$17=E66,0,IF(C66=1,Q65,0))</f>
        <v>0</v>
      </c>
      <c r="M66" s="96">
        <f ca="1">IF(C66&gt;=1,L66*VLOOKUP(E66,'Reeksen (N)'!$A$5:$B$76,2),0)</f>
        <v>0</v>
      </c>
      <c r="N66" s="84">
        <f ca="1">(1-('Invoer gegevens (N)'!$F$20/12))*L66*MIN('Reeksen (N)'!B66,'Reeksen (N)'!D66)</f>
        <v>0</v>
      </c>
      <c r="O66" s="84">
        <f>IF('Reeksen (N)'!D66&lt;'Reeksen (N)'!B66,('Reeksen (N)'!B66-'Reeksen (N)'!D66)*L66,0)</f>
        <v>0</v>
      </c>
      <c r="P66" s="84">
        <f ca="1">('Invoer gegevens (N)'!$F$20/12)*L65*MIN('Reeksen (N)'!B65,'Reeksen (N)'!D65)</f>
        <v>0</v>
      </c>
      <c r="Q66" s="84">
        <f t="shared" ca="1" si="1"/>
        <v>0</v>
      </c>
      <c r="R66" s="82">
        <f ca="1">IF('Invoer gegevens (N)'!$C$17=E66,'Invoer gegevens (N)'!$C$11,IF(C66=1,W65,0))</f>
        <v>0</v>
      </c>
      <c r="S66" s="86">
        <f ca="1">IF(C66&gt;=1,R66*VLOOKUP(E66,'Reeksen (N)'!$A$5:$B$76,2),0)</f>
        <v>0</v>
      </c>
      <c r="T66" s="84">
        <f ca="1">(1-('Invoer gegevens (N)'!$F$20/12))*R66*MIN('Reeksen (N)'!B66,'Reeksen (N)'!D66)</f>
        <v>0</v>
      </c>
      <c r="U66" s="84">
        <f>IF('Reeksen (N)'!D66&gt;='Reeksen (N)'!B66,0,IF('Reeksen (N)'!AD66&lt;='Reeksen (N)'!AE66,('Reeksen (N)'!B66-'Reeksen (N)'!D66)*R66,0))</f>
        <v>0</v>
      </c>
      <c r="V66" s="86">
        <f>IF('Reeksen (N)'!D66&gt;='Reeksen (N)'!B66,0,IF('Reeksen (N)'!AD66&gt;'Reeksen (N)'!AE66,('Reeksen (N)'!B66-'Reeksen (N)'!D66)*R66,0))</f>
        <v>0</v>
      </c>
      <c r="W66" s="97">
        <f t="shared" ca="1" si="2"/>
        <v>0</v>
      </c>
      <c r="X66" s="98">
        <f ca="1">IF('Invoer gegevens (N)'!$C$17=E66,'Invoer gegevens (N)'!$C$10-'Invoer gegevens (N)'!$C$11,IF(C66=1,AC65,0))</f>
        <v>0</v>
      </c>
      <c r="Y66" s="98">
        <f ca="1">IF(C66&gt;=1,X66*VLOOKUP(E66,'Reeksen (N)'!$A$5:$B$76,2),0)</f>
        <v>0</v>
      </c>
      <c r="Z66" s="98">
        <f ca="1">(1-('Invoer gegevens (N)'!$F$20/12))*X66*MIN('Reeksen (N)'!B66,'Reeksen (N)'!D66)</f>
        <v>0</v>
      </c>
      <c r="AA66" s="98">
        <f>IF('Reeksen (N)'!D66&gt;='Reeksen (N)'!B66,0,IF('Reeksen (N)'!AD66&lt;='Reeksen (N)'!AE66,('Reeksen (N)'!B66-'Reeksen (N)'!D66)*X66,0))</f>
        <v>0</v>
      </c>
      <c r="AB66" s="98">
        <f>IF('Reeksen (N)'!D66&gt;='Reeksen (N)'!B66,0,IF('Reeksen (N)'!AD66&gt;'Reeksen (N)'!AE66,('Reeksen (N)'!B66-'Reeksen (N)'!D66)*X66,0))</f>
        <v>0</v>
      </c>
      <c r="AC66" s="99">
        <f t="shared" ca="1" si="3"/>
        <v>0</v>
      </c>
      <c r="AD66" s="98">
        <f ca="1">IF('Invoer gegevens (N)'!$C$17=E66,R66,IF(C66=0,0,AE65))</f>
        <v>0</v>
      </c>
      <c r="AE66" s="98">
        <f t="shared" ca="1" si="4"/>
        <v>0</v>
      </c>
      <c r="AF66" s="98">
        <f ca="1">IF('Invoer gegevens (N)'!$C$17=E66,X66,IF(C66=0,0,AG65))</f>
        <v>0</v>
      </c>
      <c r="AG66" s="98">
        <f t="shared" ca="1" si="5"/>
        <v>0</v>
      </c>
      <c r="AH66" s="66"/>
      <c r="AI66" s="71">
        <f ca="1">IF(C66=1,'Reeksen (N)'!AI66*((F66-G66+F66)/2)*12+'Reeksen (N)'!AD66*((L66-M66+L66)/2)*12,0)</f>
        <v>0</v>
      </c>
      <c r="AJ66" s="71">
        <f ca="1">-AI66*'Invoer gegevens (N)'!$F$28</f>
        <v>0</v>
      </c>
      <c r="AK66" s="71">
        <f t="shared" ca="1" si="6"/>
        <v>0</v>
      </c>
      <c r="AL66" s="71">
        <f ca="1">IF(C66=1,'Reeksen (N)'!AL66*((F66-G66+F66)/2)*12+'Reeksen (N)'!AM66*((L66-M66+L66)/2)*12,0)</f>
        <v>0</v>
      </c>
      <c r="AM66" s="71">
        <f ca="1">-AL66*'Invoer gegevens (N)'!$F$31</f>
        <v>0</v>
      </c>
      <c r="AN66" s="71">
        <f t="shared" ca="1" si="7"/>
        <v>0</v>
      </c>
      <c r="AO66" s="71">
        <f ca="1">IF(C66=1,(H66+J66+N66+P66)*'Reeksen (N)'!AN66,0)</f>
        <v>0</v>
      </c>
      <c r="AP66" s="71">
        <f ca="1">-IF(C66=1,(H66+J66+N66+P66)*'Hulp - basis'!$O$550*'Reeksen (N)'!H66,0)</f>
        <v>0</v>
      </c>
      <c r="AQ66" s="71">
        <f ca="1">-IF(C66=1,(F66+K66+L66+Q66)/2*'Invoer gegevens (N)'!$F$35*'Reeksen (N)'!J66,0)*2</f>
        <v>0</v>
      </c>
      <c r="AR66" s="71"/>
      <c r="AS66" s="71">
        <f ca="1">-IF(C66=1,(F66+K66+L66+Q66)/2*'Invoer gegevens (N)'!$F$37*'Reeksen (N)'!L66,0)</f>
        <v>0</v>
      </c>
      <c r="AT66" s="71">
        <f ca="1">-IF(C66=1,IF(E66='Invoer gegevens (N)'!$C$17,'Invoer gegevens (N)'!$C$11,AD66)*'Reeksen (N)'!S66*'Invoer gegevens (N)'!$C$18*'Reeksen (N)'!P66,0)</f>
        <v>0</v>
      </c>
      <c r="AU66" s="71">
        <f ca="1">-IF(C66=1,(F66+K66+L66+Q66)/2*'Invoer gegevens (N)'!$F$38*'Reeksen (N)'!H66,0)</f>
        <v>0</v>
      </c>
      <c r="AV66" s="71">
        <v>0</v>
      </c>
      <c r="AW66" s="71">
        <f t="shared" ca="1" si="8"/>
        <v>0</v>
      </c>
      <c r="AX66" s="71">
        <f ca="1">IF(E66&lt;'Invoer gegevens (N)'!$C$17+15,0,IF(E66&gt;'Invoer gegevens (N)'!$C$17+215,0,AW66))</f>
        <v>0</v>
      </c>
      <c r="AY66" s="71">
        <f ca="1">AX66/(1+'Invoer gegevens (N)'!$F$18)^($AZ66-('Invoer gegevens (N)'!$C$17-'Invoer gegevens (N)'!$C$16))/(1+'Invoer gegevens (N)'!$C$39)^('Invoer gegevens (N)'!$C$17-'Invoer gegevens (N)'!$C$16)</f>
        <v>0</v>
      </c>
      <c r="AZ66" s="68">
        <f ca="1">IF(E66-'Invoer gegevens (N)'!$C$17-14.5&lt;0,0,E66-'Invoer gegevens (N)'!$C$17-14.5)</f>
        <v>46.5</v>
      </c>
    </row>
    <row r="67" spans="1:52" x14ac:dyDescent="0.25">
      <c r="A67" s="59"/>
      <c r="B67" s="70">
        <f t="shared" si="9"/>
        <v>63</v>
      </c>
      <c r="C67" s="67">
        <f ca="1">IF(E67-'Invoer gegevens (N)'!$C$17&lt;0,0,1)</f>
        <v>1</v>
      </c>
      <c r="D67" s="68">
        <f t="shared" si="10"/>
        <v>62.5</v>
      </c>
      <c r="E67" s="69">
        <f ca="1">IF('Invoer gegevens (N)'!$C$16="","",E66+1)</f>
        <v>2081</v>
      </c>
      <c r="F67" s="84">
        <f ca="1">IF('Invoer gegevens (N)'!$C$17=E67,'Invoer gegevens (N)'!$C$10,IF(C67=1,K66,0))</f>
        <v>0</v>
      </c>
      <c r="G67" s="96">
        <f ca="1">IF(C67&gt;=1,F67*VLOOKUP(E67,'Reeksen (N)'!$A$5:$B$76,2),0)</f>
        <v>0</v>
      </c>
      <c r="H67" s="84">
        <f ca="1">(1-('Invoer gegevens (N)'!$F$20/12))*F67*MIN('Reeksen (N)'!B67,'Reeksen (N)'!D67)</f>
        <v>0</v>
      </c>
      <c r="I67" s="84">
        <f>IF('Reeksen (N)'!D67&lt;'Reeksen (N)'!B67,('Reeksen (N)'!B67-'Reeksen (N)'!D67)*F67,0)</f>
        <v>0</v>
      </c>
      <c r="J67" s="84">
        <f ca="1">('Invoer gegevens (N)'!$F$20/12)*F66*MIN('Reeksen (N)'!B66,'Reeksen (N)'!D66)</f>
        <v>0</v>
      </c>
      <c r="K67" s="97">
        <f t="shared" ca="1" si="0"/>
        <v>0</v>
      </c>
      <c r="L67" s="84">
        <f ca="1">IF('Invoer gegevens (N)'!$C$17=E67,0,IF(C67=1,Q66,0))</f>
        <v>0</v>
      </c>
      <c r="M67" s="96">
        <f ca="1">IF(C67&gt;=1,L67*VLOOKUP(E67,'Reeksen (N)'!$A$5:$B$76,2),0)</f>
        <v>0</v>
      </c>
      <c r="N67" s="84">
        <f ca="1">(1-('Invoer gegevens (N)'!$F$20/12))*L67*MIN('Reeksen (N)'!B67,'Reeksen (N)'!D67)</f>
        <v>0</v>
      </c>
      <c r="O67" s="84">
        <f>IF('Reeksen (N)'!D67&lt;'Reeksen (N)'!B67,('Reeksen (N)'!B67-'Reeksen (N)'!D67)*L67,0)</f>
        <v>0</v>
      </c>
      <c r="P67" s="84">
        <f ca="1">('Invoer gegevens (N)'!$F$20/12)*L66*MIN('Reeksen (N)'!B66,'Reeksen (N)'!D66)</f>
        <v>0</v>
      </c>
      <c r="Q67" s="84">
        <f t="shared" ca="1" si="1"/>
        <v>0</v>
      </c>
      <c r="R67" s="82">
        <f ca="1">IF('Invoer gegevens (N)'!$C$17=E67,'Invoer gegevens (N)'!$C$11,IF(C67=1,W66,0))</f>
        <v>0</v>
      </c>
      <c r="S67" s="86">
        <f ca="1">IF(C67&gt;=1,R67*VLOOKUP(E67,'Reeksen (N)'!$A$5:$B$76,2),0)</f>
        <v>0</v>
      </c>
      <c r="T67" s="84">
        <f ca="1">(1-('Invoer gegevens (N)'!$F$20/12))*R67*MIN('Reeksen (N)'!B67,'Reeksen (N)'!D67)</f>
        <v>0</v>
      </c>
      <c r="U67" s="84">
        <f>IF('Reeksen (N)'!D67&gt;='Reeksen (N)'!B67,0,IF('Reeksen (N)'!AD67&lt;='Reeksen (N)'!AE67,('Reeksen (N)'!B67-'Reeksen (N)'!D67)*R67,0))</f>
        <v>0</v>
      </c>
      <c r="V67" s="86">
        <f>IF('Reeksen (N)'!D67&gt;='Reeksen (N)'!B67,0,IF('Reeksen (N)'!AD67&gt;'Reeksen (N)'!AE67,('Reeksen (N)'!B67-'Reeksen (N)'!D67)*R67,0))</f>
        <v>0</v>
      </c>
      <c r="W67" s="97">
        <f t="shared" ca="1" si="2"/>
        <v>0</v>
      </c>
      <c r="X67" s="98">
        <f ca="1">IF('Invoer gegevens (N)'!$C$17=E67,'Invoer gegevens (N)'!$C$10-'Invoer gegevens (N)'!$C$11,IF(C67=1,AC66,0))</f>
        <v>0</v>
      </c>
      <c r="Y67" s="98">
        <f ca="1">IF(C67&gt;=1,X67*VLOOKUP(E67,'Reeksen (N)'!$A$5:$B$76,2),0)</f>
        <v>0</v>
      </c>
      <c r="Z67" s="98">
        <f ca="1">(1-('Invoer gegevens (N)'!$F$20/12))*X67*MIN('Reeksen (N)'!B67,'Reeksen (N)'!D67)</f>
        <v>0</v>
      </c>
      <c r="AA67" s="98">
        <f>IF('Reeksen (N)'!D67&gt;='Reeksen (N)'!B67,0,IF('Reeksen (N)'!AD67&lt;='Reeksen (N)'!AE67,('Reeksen (N)'!B67-'Reeksen (N)'!D67)*X67,0))</f>
        <v>0</v>
      </c>
      <c r="AB67" s="98">
        <f>IF('Reeksen (N)'!D67&gt;='Reeksen (N)'!B67,0,IF('Reeksen (N)'!AD67&gt;'Reeksen (N)'!AE67,('Reeksen (N)'!B67-'Reeksen (N)'!D67)*X67,0))</f>
        <v>0</v>
      </c>
      <c r="AC67" s="99">
        <f t="shared" ca="1" si="3"/>
        <v>0</v>
      </c>
      <c r="AD67" s="98">
        <f ca="1">IF('Invoer gegevens (N)'!$C$17=E67,R67,IF(C67=0,0,AE66))</f>
        <v>0</v>
      </c>
      <c r="AE67" s="98">
        <f t="shared" ca="1" si="4"/>
        <v>0</v>
      </c>
      <c r="AF67" s="98">
        <f ca="1">IF('Invoer gegevens (N)'!$C$17=E67,X67,IF(C67=0,0,AG66))</f>
        <v>0</v>
      </c>
      <c r="AG67" s="98">
        <f t="shared" ca="1" si="5"/>
        <v>0</v>
      </c>
      <c r="AH67" s="66"/>
      <c r="AI67" s="71">
        <f ca="1">IF(C67=1,'Reeksen (N)'!AI67*((F67-G67+F67)/2)*12+'Reeksen (N)'!AD67*((L67-M67+L67)/2)*12,0)</f>
        <v>0</v>
      </c>
      <c r="AJ67" s="71">
        <f ca="1">-AI67*'Invoer gegevens (N)'!$F$28</f>
        <v>0</v>
      </c>
      <c r="AK67" s="71">
        <f t="shared" ca="1" si="6"/>
        <v>0</v>
      </c>
      <c r="AL67" s="71">
        <f ca="1">IF(C67=1,'Reeksen (N)'!AL67*((F67-G67+F67)/2)*12+'Reeksen (N)'!AM67*((L67-M67+L67)/2)*12,0)</f>
        <v>0</v>
      </c>
      <c r="AM67" s="71">
        <f ca="1">-AL67*'Invoer gegevens (N)'!$F$31</f>
        <v>0</v>
      </c>
      <c r="AN67" s="71">
        <f t="shared" ca="1" si="7"/>
        <v>0</v>
      </c>
      <c r="AO67" s="71">
        <f ca="1">IF(C67=1,(H67+J67+N67+P67)*'Reeksen (N)'!AN67,0)</f>
        <v>0</v>
      </c>
      <c r="AP67" s="71">
        <f ca="1">-IF(C67=1,(H67+J67+N67+P67)*'Hulp - basis'!$O$550*'Reeksen (N)'!H67,0)</f>
        <v>0</v>
      </c>
      <c r="AQ67" s="71">
        <f ca="1">-IF(C67=1,(F67+K67+L67+Q67)/2*'Invoer gegevens (N)'!$F$35*'Reeksen (N)'!J67,0)*2</f>
        <v>0</v>
      </c>
      <c r="AR67" s="71"/>
      <c r="AS67" s="71">
        <f ca="1">-IF(C67=1,(F67+K67+L67+Q67)/2*'Invoer gegevens (N)'!$F$37*'Reeksen (N)'!L67,0)</f>
        <v>0</v>
      </c>
      <c r="AT67" s="71">
        <f ca="1">-IF(C67=1,IF(E67='Invoer gegevens (N)'!$C$17,'Invoer gegevens (N)'!$C$11,AD67)*'Reeksen (N)'!S67*'Invoer gegevens (N)'!$C$18*'Reeksen (N)'!P67,0)</f>
        <v>0</v>
      </c>
      <c r="AU67" s="71">
        <f ca="1">-IF(C67=1,(F67+K67+L67+Q67)/2*'Invoer gegevens (N)'!$F$38*'Reeksen (N)'!H67,0)</f>
        <v>0</v>
      </c>
      <c r="AV67" s="71">
        <v>0</v>
      </c>
      <c r="AW67" s="71">
        <f t="shared" ca="1" si="8"/>
        <v>0</v>
      </c>
      <c r="AX67" s="71">
        <f ca="1">IF(E67&lt;'Invoer gegevens (N)'!$C$17+15,0,IF(E67&gt;'Invoer gegevens (N)'!$C$17+215,0,AW67))</f>
        <v>0</v>
      </c>
      <c r="AY67" s="71">
        <f ca="1">AX67/(1+'Invoer gegevens (N)'!$F$18)^($AZ67-('Invoer gegevens (N)'!$C$17-'Invoer gegevens (N)'!$C$16))/(1+'Invoer gegevens (N)'!$C$39)^('Invoer gegevens (N)'!$C$17-'Invoer gegevens (N)'!$C$16)</f>
        <v>0</v>
      </c>
      <c r="AZ67" s="68">
        <f ca="1">IF(E67-'Invoer gegevens (N)'!$C$17-14.5&lt;0,0,E67-'Invoer gegevens (N)'!$C$17-14.5)</f>
        <v>47.5</v>
      </c>
    </row>
    <row r="68" spans="1:52" x14ac:dyDescent="0.25">
      <c r="A68" s="59"/>
      <c r="B68" s="70">
        <f t="shared" si="9"/>
        <v>64</v>
      </c>
      <c r="C68" s="67">
        <f ca="1">IF(E68-'Invoer gegevens (N)'!$C$17&lt;0,0,1)</f>
        <v>1</v>
      </c>
      <c r="D68" s="68">
        <f t="shared" si="10"/>
        <v>63.5</v>
      </c>
      <c r="E68" s="69">
        <f ca="1">IF('Invoer gegevens (N)'!$C$16="","",E67+1)</f>
        <v>2082</v>
      </c>
      <c r="F68" s="84">
        <f ca="1">IF('Invoer gegevens (N)'!$C$17=E68,'Invoer gegevens (N)'!$C$10,IF(C68=1,K67,0))</f>
        <v>0</v>
      </c>
      <c r="G68" s="96">
        <f ca="1">IF(C68&gt;=1,F68*VLOOKUP(E68,'Reeksen (N)'!$A$5:$B$76,2),0)</f>
        <v>0</v>
      </c>
      <c r="H68" s="84">
        <f ca="1">(1-('Invoer gegevens (N)'!$F$20/12))*F68*MIN('Reeksen (N)'!B68,'Reeksen (N)'!D68)</f>
        <v>0</v>
      </c>
      <c r="I68" s="84">
        <f>IF('Reeksen (N)'!D68&lt;'Reeksen (N)'!B68,('Reeksen (N)'!B68-'Reeksen (N)'!D68)*F68,0)</f>
        <v>0</v>
      </c>
      <c r="J68" s="84">
        <f ca="1">('Invoer gegevens (N)'!$F$20/12)*F67*MIN('Reeksen (N)'!B67,'Reeksen (N)'!D67)</f>
        <v>0</v>
      </c>
      <c r="K68" s="97">
        <f t="shared" ca="1" si="0"/>
        <v>0</v>
      </c>
      <c r="L68" s="84">
        <f ca="1">IF('Invoer gegevens (N)'!$C$17=E68,0,IF(C68=1,Q67,0))</f>
        <v>0</v>
      </c>
      <c r="M68" s="96">
        <f ca="1">IF(C68&gt;=1,L68*VLOOKUP(E68,'Reeksen (N)'!$A$5:$B$76,2),0)</f>
        <v>0</v>
      </c>
      <c r="N68" s="84">
        <f ca="1">(1-('Invoer gegevens (N)'!$F$20/12))*L68*MIN('Reeksen (N)'!B68,'Reeksen (N)'!D68)</f>
        <v>0</v>
      </c>
      <c r="O68" s="84">
        <f>IF('Reeksen (N)'!D68&lt;'Reeksen (N)'!B68,('Reeksen (N)'!B68-'Reeksen (N)'!D68)*L68,0)</f>
        <v>0</v>
      </c>
      <c r="P68" s="84">
        <f ca="1">('Invoer gegevens (N)'!$F$20/12)*L67*MIN('Reeksen (N)'!B67,'Reeksen (N)'!D67)</f>
        <v>0</v>
      </c>
      <c r="Q68" s="84">
        <f t="shared" ca="1" si="1"/>
        <v>0</v>
      </c>
      <c r="R68" s="82">
        <f ca="1">IF('Invoer gegevens (N)'!$C$17=E68,'Invoer gegevens (N)'!$C$11,IF(C68=1,W67,0))</f>
        <v>0</v>
      </c>
      <c r="S68" s="86">
        <f ca="1">IF(C68&gt;=1,R68*VLOOKUP(E68,'Reeksen (N)'!$A$5:$B$76,2),0)</f>
        <v>0</v>
      </c>
      <c r="T68" s="84">
        <f ca="1">(1-('Invoer gegevens (N)'!$F$20/12))*R68*MIN('Reeksen (N)'!B68,'Reeksen (N)'!D68)</f>
        <v>0</v>
      </c>
      <c r="U68" s="84">
        <f>IF('Reeksen (N)'!D68&gt;='Reeksen (N)'!B68,0,IF('Reeksen (N)'!AD68&lt;='Reeksen (N)'!AE68,('Reeksen (N)'!B68-'Reeksen (N)'!D68)*R68,0))</f>
        <v>0</v>
      </c>
      <c r="V68" s="86">
        <f>IF('Reeksen (N)'!D68&gt;='Reeksen (N)'!B68,0,IF('Reeksen (N)'!AD68&gt;'Reeksen (N)'!AE68,('Reeksen (N)'!B68-'Reeksen (N)'!D68)*R68,0))</f>
        <v>0</v>
      </c>
      <c r="W68" s="97">
        <f t="shared" ca="1" si="2"/>
        <v>0</v>
      </c>
      <c r="X68" s="98">
        <f ca="1">IF('Invoer gegevens (N)'!$C$17=E68,'Invoer gegevens (N)'!$C$10-'Invoer gegevens (N)'!$C$11,IF(C68=1,AC67,0))</f>
        <v>0</v>
      </c>
      <c r="Y68" s="98">
        <f ca="1">IF(C68&gt;=1,X68*VLOOKUP(E68,'Reeksen (N)'!$A$5:$B$76,2),0)</f>
        <v>0</v>
      </c>
      <c r="Z68" s="98">
        <f ca="1">(1-('Invoer gegevens (N)'!$F$20/12))*X68*MIN('Reeksen (N)'!B68,'Reeksen (N)'!D68)</f>
        <v>0</v>
      </c>
      <c r="AA68" s="98">
        <f>IF('Reeksen (N)'!D68&gt;='Reeksen (N)'!B68,0,IF('Reeksen (N)'!AD68&lt;='Reeksen (N)'!AE68,('Reeksen (N)'!B68-'Reeksen (N)'!D68)*X68,0))</f>
        <v>0</v>
      </c>
      <c r="AB68" s="98">
        <f>IF('Reeksen (N)'!D68&gt;='Reeksen (N)'!B68,0,IF('Reeksen (N)'!AD68&gt;'Reeksen (N)'!AE68,('Reeksen (N)'!B68-'Reeksen (N)'!D68)*X68,0))</f>
        <v>0</v>
      </c>
      <c r="AC68" s="99">
        <f t="shared" ca="1" si="3"/>
        <v>0</v>
      </c>
      <c r="AD68" s="98">
        <f ca="1">IF('Invoer gegevens (N)'!$C$17=E68,R68,IF(C68=0,0,AE67))</f>
        <v>0</v>
      </c>
      <c r="AE68" s="98">
        <f t="shared" ca="1" si="4"/>
        <v>0</v>
      </c>
      <c r="AF68" s="98">
        <f ca="1">IF('Invoer gegevens (N)'!$C$17=E68,X68,IF(C68=0,0,AG67))</f>
        <v>0</v>
      </c>
      <c r="AG68" s="98">
        <f t="shared" ca="1" si="5"/>
        <v>0</v>
      </c>
      <c r="AH68" s="66"/>
      <c r="AI68" s="71">
        <f ca="1">IF(C68=1,'Reeksen (N)'!AI68*((F68-G68+F68)/2)*12+'Reeksen (N)'!AD68*((L68-M68+L68)/2)*12,0)</f>
        <v>0</v>
      </c>
      <c r="AJ68" s="71">
        <f ca="1">-AI68*'Invoer gegevens (N)'!$F$28</f>
        <v>0</v>
      </c>
      <c r="AK68" s="71">
        <f t="shared" ca="1" si="6"/>
        <v>0</v>
      </c>
      <c r="AL68" s="71">
        <f ca="1">IF(C68=1,'Reeksen (N)'!AL68*((F68-G68+F68)/2)*12+'Reeksen (N)'!AM68*((L68-M68+L68)/2)*12,0)</f>
        <v>0</v>
      </c>
      <c r="AM68" s="71">
        <f ca="1">-AL68*'Invoer gegevens (N)'!$F$31</f>
        <v>0</v>
      </c>
      <c r="AN68" s="71">
        <f t="shared" ca="1" si="7"/>
        <v>0</v>
      </c>
      <c r="AO68" s="71">
        <f ca="1">IF(C68=1,(H68+J68+N68+P68)*'Reeksen (N)'!AN68,0)</f>
        <v>0</v>
      </c>
      <c r="AP68" s="71">
        <f ca="1">-IF(C68=1,(H68+J68+N68+P68)*'Hulp - basis'!$O$550*'Reeksen (N)'!H68,0)</f>
        <v>0</v>
      </c>
      <c r="AQ68" s="71">
        <f ca="1">-IF(C68=1,(F68+K68+L68+Q68)/2*'Invoer gegevens (N)'!$F$35*'Reeksen (N)'!J68,0)*2</f>
        <v>0</v>
      </c>
      <c r="AR68" s="71"/>
      <c r="AS68" s="71">
        <f ca="1">-IF(C68=1,(F68+K68+L68+Q68)/2*'Invoer gegevens (N)'!$F$37*'Reeksen (N)'!L68,0)</f>
        <v>0</v>
      </c>
      <c r="AT68" s="71">
        <f ca="1">-IF(C68=1,IF(E68='Invoer gegevens (N)'!$C$17,'Invoer gegevens (N)'!$C$11,AD68)*'Reeksen (N)'!S68*'Invoer gegevens (N)'!$C$18*'Reeksen (N)'!P68,0)</f>
        <v>0</v>
      </c>
      <c r="AU68" s="71">
        <f ca="1">-IF(C68=1,(F68+K68+L68+Q68)/2*'Invoer gegevens (N)'!$F$38*'Reeksen (N)'!H68,0)</f>
        <v>0</v>
      </c>
      <c r="AV68" s="71">
        <v>0</v>
      </c>
      <c r="AW68" s="71">
        <f t="shared" ca="1" si="8"/>
        <v>0</v>
      </c>
      <c r="AX68" s="71">
        <f ca="1">IF(E68&lt;'Invoer gegevens (N)'!$C$17+15,0,IF(E68&gt;'Invoer gegevens (N)'!$C$17+215,0,AW68))</f>
        <v>0</v>
      </c>
      <c r="AY68" s="71">
        <f ca="1">AX68/(1+'Invoer gegevens (N)'!$F$18)^($AZ68-('Invoer gegevens (N)'!$C$17-'Invoer gegevens (N)'!$C$16))/(1+'Invoer gegevens (N)'!$C$39)^('Invoer gegevens (N)'!$C$17-'Invoer gegevens (N)'!$C$16)</f>
        <v>0</v>
      </c>
      <c r="AZ68" s="68">
        <f ca="1">IF(E68-'Invoer gegevens (N)'!$C$17-14.5&lt;0,0,E68-'Invoer gegevens (N)'!$C$17-14.5)</f>
        <v>48.5</v>
      </c>
    </row>
    <row r="69" spans="1:52" x14ac:dyDescent="0.25">
      <c r="A69" s="59"/>
      <c r="B69" s="70">
        <f t="shared" si="9"/>
        <v>65</v>
      </c>
      <c r="C69" s="67">
        <f ca="1">IF(E69-'Invoer gegevens (N)'!$C$17&lt;0,0,1)</f>
        <v>1</v>
      </c>
      <c r="D69" s="68">
        <f t="shared" si="10"/>
        <v>64.5</v>
      </c>
      <c r="E69" s="69">
        <f ca="1">IF('Invoer gegevens (N)'!$C$16="","",E68+1)</f>
        <v>2083</v>
      </c>
      <c r="F69" s="84">
        <f ca="1">IF('Invoer gegevens (N)'!$C$17=E69,'Invoer gegevens (N)'!$C$10,IF(C69=1,K68,0))</f>
        <v>0</v>
      </c>
      <c r="G69" s="96">
        <f ca="1">IF(C69&gt;=1,F69*VLOOKUP(E69,'Reeksen (N)'!$A$5:$B$76,2),0)</f>
        <v>0</v>
      </c>
      <c r="H69" s="84">
        <f ca="1">(1-('Invoer gegevens (N)'!$F$20/12))*F69*MIN('Reeksen (N)'!B69,'Reeksen (N)'!D69)</f>
        <v>0</v>
      </c>
      <c r="I69" s="84">
        <f>IF('Reeksen (N)'!D69&lt;'Reeksen (N)'!B69,('Reeksen (N)'!B69-'Reeksen (N)'!D69)*F69,0)</f>
        <v>0</v>
      </c>
      <c r="J69" s="84">
        <f ca="1">('Invoer gegevens (N)'!$F$20/12)*F68*MIN('Reeksen (N)'!B68,'Reeksen (N)'!D68)</f>
        <v>0</v>
      </c>
      <c r="K69" s="97">
        <f t="shared" ca="1" si="0"/>
        <v>0</v>
      </c>
      <c r="L69" s="84">
        <f ca="1">IF('Invoer gegevens (N)'!$C$17=E69,0,IF(C69=1,Q68,0))</f>
        <v>0</v>
      </c>
      <c r="M69" s="96">
        <f ca="1">IF(C69&gt;=1,L69*VLOOKUP(E69,'Reeksen (N)'!$A$5:$B$76,2),0)</f>
        <v>0</v>
      </c>
      <c r="N69" s="84">
        <f ca="1">(1-('Invoer gegevens (N)'!$F$20/12))*L69*MIN('Reeksen (N)'!B69,'Reeksen (N)'!D69)</f>
        <v>0</v>
      </c>
      <c r="O69" s="84">
        <f>IF('Reeksen (N)'!D69&lt;'Reeksen (N)'!B69,('Reeksen (N)'!B69-'Reeksen (N)'!D69)*L69,0)</f>
        <v>0</v>
      </c>
      <c r="P69" s="84">
        <f ca="1">('Invoer gegevens (N)'!$F$20/12)*L68*MIN('Reeksen (N)'!B68,'Reeksen (N)'!D68)</f>
        <v>0</v>
      </c>
      <c r="Q69" s="84">
        <f t="shared" ca="1" si="1"/>
        <v>0</v>
      </c>
      <c r="R69" s="82">
        <f ca="1">IF('Invoer gegevens (N)'!$C$17=E69,'Invoer gegevens (N)'!$C$11,IF(C69=1,W68,0))</f>
        <v>0</v>
      </c>
      <c r="S69" s="86">
        <f ca="1">IF(C69&gt;=1,R69*VLOOKUP(E69,'Reeksen (N)'!$A$5:$B$76,2),0)</f>
        <v>0</v>
      </c>
      <c r="T69" s="84">
        <f ca="1">(1-('Invoer gegevens (N)'!$F$20/12))*R69*MIN('Reeksen (N)'!B69,'Reeksen (N)'!D69)</f>
        <v>0</v>
      </c>
      <c r="U69" s="84">
        <f>IF('Reeksen (N)'!D69&gt;='Reeksen (N)'!B69,0,IF('Reeksen (N)'!AD69&lt;='Reeksen (N)'!AE69,('Reeksen (N)'!B69-'Reeksen (N)'!D69)*R69,0))</f>
        <v>0</v>
      </c>
      <c r="V69" s="86">
        <f>IF('Reeksen (N)'!D69&gt;='Reeksen (N)'!B69,0,IF('Reeksen (N)'!AD69&gt;'Reeksen (N)'!AE69,('Reeksen (N)'!B69-'Reeksen (N)'!D69)*R69,0))</f>
        <v>0</v>
      </c>
      <c r="W69" s="97">
        <f t="shared" ca="1" si="2"/>
        <v>0</v>
      </c>
      <c r="X69" s="98">
        <f ca="1">IF('Invoer gegevens (N)'!$C$17=E69,'Invoer gegevens (N)'!$C$10-'Invoer gegevens (N)'!$C$11,IF(C69=1,AC68,0))</f>
        <v>0</v>
      </c>
      <c r="Y69" s="98">
        <f ca="1">IF(C69&gt;=1,X69*VLOOKUP(E69,'Reeksen (N)'!$A$5:$B$76,2),0)</f>
        <v>0</v>
      </c>
      <c r="Z69" s="98">
        <f ca="1">(1-('Invoer gegevens (N)'!$F$20/12))*X69*MIN('Reeksen (N)'!B69,'Reeksen (N)'!D69)</f>
        <v>0</v>
      </c>
      <c r="AA69" s="98">
        <f>IF('Reeksen (N)'!D69&gt;='Reeksen (N)'!B69,0,IF('Reeksen (N)'!AD69&lt;='Reeksen (N)'!AE69,('Reeksen (N)'!B69-'Reeksen (N)'!D69)*X69,0))</f>
        <v>0</v>
      </c>
      <c r="AB69" s="98">
        <f>IF('Reeksen (N)'!D69&gt;='Reeksen (N)'!B69,0,IF('Reeksen (N)'!AD69&gt;'Reeksen (N)'!AE69,('Reeksen (N)'!B69-'Reeksen (N)'!D69)*X69,0))</f>
        <v>0</v>
      </c>
      <c r="AC69" s="99">
        <f t="shared" ca="1" si="3"/>
        <v>0</v>
      </c>
      <c r="AD69" s="98">
        <f ca="1">IF('Invoer gegevens (N)'!$C$17=E69,R69,IF(C69=0,0,AE68))</f>
        <v>0</v>
      </c>
      <c r="AE69" s="98">
        <f t="shared" ca="1" si="4"/>
        <v>0</v>
      </c>
      <c r="AF69" s="98">
        <f ca="1">IF('Invoer gegevens (N)'!$C$17=E69,X69,IF(C69=0,0,AG68))</f>
        <v>0</v>
      </c>
      <c r="AG69" s="98">
        <f t="shared" ca="1" si="5"/>
        <v>0</v>
      </c>
      <c r="AH69" s="66"/>
      <c r="AI69" s="71">
        <f ca="1">IF(C69=1,'Reeksen (N)'!AI69*((F69-G69+F69)/2)*12+'Reeksen (N)'!AD69*((L69-M69+L69)/2)*12,0)</f>
        <v>0</v>
      </c>
      <c r="AJ69" s="71">
        <f ca="1">-AI69*'Invoer gegevens (N)'!$F$28</f>
        <v>0</v>
      </c>
      <c r="AK69" s="71">
        <f t="shared" ca="1" si="6"/>
        <v>0</v>
      </c>
      <c r="AL69" s="71">
        <f ca="1">IF(C69=1,'Reeksen (N)'!AL69*((F69-G69+F69)/2)*12+'Reeksen (N)'!AM69*((L69-M69+L69)/2)*12,0)</f>
        <v>0</v>
      </c>
      <c r="AM69" s="71">
        <f ca="1">-AL69*'Invoer gegevens (N)'!$F$31</f>
        <v>0</v>
      </c>
      <c r="AN69" s="71">
        <f t="shared" ca="1" si="7"/>
        <v>0</v>
      </c>
      <c r="AO69" s="71">
        <f ca="1">IF(C69=1,(H69+J69+N69+P69)*'Reeksen (N)'!AN69,0)</f>
        <v>0</v>
      </c>
      <c r="AP69" s="71">
        <f ca="1">-IF(C69=1,(H69+J69+N69+P69)*'Hulp - basis'!$O$550*'Reeksen (N)'!H69,0)</f>
        <v>0</v>
      </c>
      <c r="AQ69" s="71">
        <f ca="1">-IF(C69=1,(F69+K69+L69+Q69)/2*'Invoer gegevens (N)'!$F$35*'Reeksen (N)'!J69,0)*2</f>
        <v>0</v>
      </c>
      <c r="AR69" s="71"/>
      <c r="AS69" s="71">
        <f ca="1">-IF(C69=1,(F69+K69+L69+Q69)/2*'Invoer gegevens (N)'!$F$37*'Reeksen (N)'!L69,0)</f>
        <v>0</v>
      </c>
      <c r="AT69" s="71">
        <f ca="1">-IF(C69=1,IF(E69='Invoer gegevens (N)'!$C$17,'Invoer gegevens (N)'!$C$11,AD69)*'Reeksen (N)'!S69*'Invoer gegevens (N)'!$C$18*'Reeksen (N)'!P69,0)</f>
        <v>0</v>
      </c>
      <c r="AU69" s="71">
        <f ca="1">-IF(C69=1,(F69+K69+L69+Q69)/2*'Invoer gegevens (N)'!$F$38*'Reeksen (N)'!H69,0)</f>
        <v>0</v>
      </c>
      <c r="AV69" s="71">
        <v>0</v>
      </c>
      <c r="AW69" s="71">
        <f t="shared" ca="1" si="8"/>
        <v>0</v>
      </c>
      <c r="AX69" s="71">
        <f ca="1">IF(E69&lt;'Invoer gegevens (N)'!$C$17+15,0,IF(E69&gt;'Invoer gegevens (N)'!$C$17+215,0,AW69))</f>
        <v>0</v>
      </c>
      <c r="AY69" s="71">
        <f ca="1">AX69/(1+'Invoer gegevens (N)'!$F$18)^($AZ69-('Invoer gegevens (N)'!$C$17-'Invoer gegevens (N)'!$C$16))/(1+'Invoer gegevens (N)'!$C$39)^('Invoer gegevens (N)'!$C$17-'Invoer gegevens (N)'!$C$16)</f>
        <v>0</v>
      </c>
      <c r="AZ69" s="68">
        <f ca="1">IF(E69-'Invoer gegevens (N)'!$C$17-14.5&lt;0,0,E69-'Invoer gegevens (N)'!$C$17-14.5)</f>
        <v>49.5</v>
      </c>
    </row>
    <row r="70" spans="1:52" x14ac:dyDescent="0.25">
      <c r="A70" s="59"/>
      <c r="B70" s="70">
        <f t="shared" si="9"/>
        <v>66</v>
      </c>
      <c r="C70" s="67">
        <f ca="1">IF(E70-'Invoer gegevens (N)'!$C$17&lt;0,0,1)</f>
        <v>1</v>
      </c>
      <c r="D70" s="68">
        <f t="shared" si="10"/>
        <v>65.5</v>
      </c>
      <c r="E70" s="69">
        <f ca="1">IF('Invoer gegevens (N)'!$C$16="","",E69+1)</f>
        <v>2084</v>
      </c>
      <c r="F70" s="84">
        <f ca="1">IF('Invoer gegevens (N)'!$C$17=E70,'Invoer gegevens (N)'!$C$10,IF(C70=1,K69,0))</f>
        <v>0</v>
      </c>
      <c r="G70" s="96">
        <f ca="1">IF(C70&gt;=1,F70*VLOOKUP(E70,'Reeksen (N)'!$A$5:$B$76,2),0)</f>
        <v>0</v>
      </c>
      <c r="H70" s="84">
        <f ca="1">(1-('Invoer gegevens (N)'!$F$20/12))*F70*MIN('Reeksen (N)'!B70,'Reeksen (N)'!D70)</f>
        <v>0</v>
      </c>
      <c r="I70" s="84">
        <f>IF('Reeksen (N)'!D70&lt;'Reeksen (N)'!B70,('Reeksen (N)'!B70-'Reeksen (N)'!D70)*F70,0)</f>
        <v>0</v>
      </c>
      <c r="J70" s="84">
        <f ca="1">('Invoer gegevens (N)'!$F$20/12)*F69*MIN('Reeksen (N)'!B69,'Reeksen (N)'!D69)</f>
        <v>0</v>
      </c>
      <c r="K70" s="97">
        <f t="shared" ref="K70:K133" ca="1" si="11">F70-G70</f>
        <v>0</v>
      </c>
      <c r="L70" s="84">
        <f ca="1">IF('Invoer gegevens (N)'!$C$17=E70,0,IF(C70=1,Q69,0))</f>
        <v>0</v>
      </c>
      <c r="M70" s="96">
        <f ca="1">IF(C70&gt;=1,L70*VLOOKUP(E70,'Reeksen (N)'!$A$5:$B$76,2),0)</f>
        <v>0</v>
      </c>
      <c r="N70" s="84">
        <f ca="1">(1-('Invoer gegevens (N)'!$F$20/12))*L70*MIN('Reeksen (N)'!B70,'Reeksen (N)'!D70)</f>
        <v>0</v>
      </c>
      <c r="O70" s="84">
        <f>IF('Reeksen (N)'!D70&lt;'Reeksen (N)'!B70,('Reeksen (N)'!B70-'Reeksen (N)'!D70)*L70,0)</f>
        <v>0</v>
      </c>
      <c r="P70" s="84">
        <f ca="1">('Invoer gegevens (N)'!$F$20/12)*L69*MIN('Reeksen (N)'!B69,'Reeksen (N)'!D69)</f>
        <v>0</v>
      </c>
      <c r="Q70" s="84">
        <f t="shared" ref="Q70:Q133" ca="1" si="12">L70-M70+I70+O70</f>
        <v>0</v>
      </c>
      <c r="R70" s="82">
        <f ca="1">IF('Invoer gegevens (N)'!$C$17=E70,'Invoer gegevens (N)'!$C$11,IF(C70=1,W69,0))</f>
        <v>0</v>
      </c>
      <c r="S70" s="86">
        <f ca="1">IF(C70&gt;=1,R70*VLOOKUP(E70,'Reeksen (N)'!$A$5:$B$76,2),0)</f>
        <v>0</v>
      </c>
      <c r="T70" s="84">
        <f ca="1">(1-('Invoer gegevens (N)'!$F$20/12))*R70*MIN('Reeksen (N)'!B70,'Reeksen (N)'!D70)</f>
        <v>0</v>
      </c>
      <c r="U70" s="84">
        <f>IF('Reeksen (N)'!D70&gt;='Reeksen (N)'!B70,0,IF('Reeksen (N)'!AD70&lt;='Reeksen (N)'!AE70,('Reeksen (N)'!B70-'Reeksen (N)'!D70)*R70,0))</f>
        <v>0</v>
      </c>
      <c r="V70" s="86">
        <f>IF('Reeksen (N)'!D70&gt;='Reeksen (N)'!B70,0,IF('Reeksen (N)'!AD70&gt;'Reeksen (N)'!AE70,('Reeksen (N)'!B70-'Reeksen (N)'!D70)*R70,0))</f>
        <v>0</v>
      </c>
      <c r="W70" s="97">
        <f t="shared" ref="W70:W133" ca="1" si="13">R70-S70</f>
        <v>0</v>
      </c>
      <c r="X70" s="98">
        <f ca="1">IF('Invoer gegevens (N)'!$C$17=E70,'Invoer gegevens (N)'!$C$10-'Invoer gegevens (N)'!$C$11,IF(C70=1,AC69,0))</f>
        <v>0</v>
      </c>
      <c r="Y70" s="98">
        <f ca="1">IF(C70&gt;=1,X70*VLOOKUP(E70,'Reeksen (N)'!$A$5:$B$76,2),0)</f>
        <v>0</v>
      </c>
      <c r="Z70" s="98">
        <f ca="1">(1-('Invoer gegevens (N)'!$F$20/12))*X70*MIN('Reeksen (N)'!B70,'Reeksen (N)'!D70)</f>
        <v>0</v>
      </c>
      <c r="AA70" s="98">
        <f>IF('Reeksen (N)'!D70&gt;='Reeksen (N)'!B70,0,IF('Reeksen (N)'!AD70&lt;='Reeksen (N)'!AE70,('Reeksen (N)'!B70-'Reeksen (N)'!D70)*X70,0))</f>
        <v>0</v>
      </c>
      <c r="AB70" s="98">
        <f>IF('Reeksen (N)'!D70&gt;='Reeksen (N)'!B70,0,IF('Reeksen (N)'!AD70&gt;'Reeksen (N)'!AE70,('Reeksen (N)'!B70-'Reeksen (N)'!D70)*X70,0))</f>
        <v>0</v>
      </c>
      <c r="AC70" s="99">
        <f t="shared" ref="AC70:AC133" ca="1" si="14">X70-Y70</f>
        <v>0</v>
      </c>
      <c r="AD70" s="98">
        <f ca="1">IF('Invoer gegevens (N)'!$C$17=E70,R70,IF(C70=0,0,AE69))</f>
        <v>0</v>
      </c>
      <c r="AE70" s="98">
        <f t="shared" ref="AE70:AE133" ca="1" si="15">IF(C70=0,0,AD70-S70-V70+AA70)</f>
        <v>0</v>
      </c>
      <c r="AF70" s="98">
        <f ca="1">IF('Invoer gegevens (N)'!$C$17=E70,X70,IF(C70=0,0,AG69))</f>
        <v>0</v>
      </c>
      <c r="AG70" s="98">
        <f t="shared" ref="AG70:AG133" ca="1" si="16">IF(C70=0,0,AF70-Y70-AA70+V70)</f>
        <v>0</v>
      </c>
      <c r="AH70" s="66"/>
      <c r="AI70" s="71">
        <f ca="1">IF(C70=1,'Reeksen (N)'!AI70*((F70-G70+F70)/2)*12+'Reeksen (N)'!AD70*((L70-M70+L70)/2)*12,0)</f>
        <v>0</v>
      </c>
      <c r="AJ70" s="71">
        <f ca="1">-AI70*'Invoer gegevens (N)'!$F$28</f>
        <v>0</v>
      </c>
      <c r="AK70" s="71">
        <f t="shared" ref="AK70:AK133" ca="1" si="17">AI70+AJ70</f>
        <v>0</v>
      </c>
      <c r="AL70" s="71">
        <f ca="1">IF(C70=1,'Reeksen (N)'!AL70*((F70-G70+F70)/2)*12+'Reeksen (N)'!AM70*((L70-M70+L70)/2)*12,0)</f>
        <v>0</v>
      </c>
      <c r="AM70" s="71">
        <f ca="1">-AL70*'Invoer gegevens (N)'!$F$31</f>
        <v>0</v>
      </c>
      <c r="AN70" s="71">
        <f t="shared" ref="AN70:AN133" ca="1" si="18">AL70+AM70</f>
        <v>0</v>
      </c>
      <c r="AO70" s="71">
        <f ca="1">IF(C70=1,(H70+J70+N70+P70)*'Reeksen (N)'!AN70,0)</f>
        <v>0</v>
      </c>
      <c r="AP70" s="71">
        <f ca="1">-IF(C70=1,(H70+J70+N70+P70)*'Hulp - basis'!$O$550*'Reeksen (N)'!H70,0)</f>
        <v>0</v>
      </c>
      <c r="AQ70" s="71">
        <f ca="1">-IF(C70=1,(F70+K70+L70+Q70)/2*'Invoer gegevens (N)'!$F$35*'Reeksen (N)'!J70,0)*2</f>
        <v>0</v>
      </c>
      <c r="AR70" s="71"/>
      <c r="AS70" s="71">
        <f ca="1">-IF(C70=1,(F70+K70+L70+Q70)/2*'Invoer gegevens (N)'!$F$37*'Reeksen (N)'!L70,0)</f>
        <v>0</v>
      </c>
      <c r="AT70" s="71">
        <f ca="1">-IF(C70=1,IF(E70='Invoer gegevens (N)'!$C$17,'Invoer gegevens (N)'!$C$11,AD70)*'Reeksen (N)'!S70*'Invoer gegevens (N)'!$C$18*'Reeksen (N)'!P70,0)</f>
        <v>0</v>
      </c>
      <c r="AU70" s="71">
        <f ca="1">-IF(C70=1,(F70+K70+L70+Q70)/2*'Invoer gegevens (N)'!$F$38*'Reeksen (N)'!H70,0)</f>
        <v>0</v>
      </c>
      <c r="AV70" s="71">
        <v>0</v>
      </c>
      <c r="AW70" s="71">
        <f t="shared" ref="AW70:AW133" ca="1" si="19">SUM(AK70,AN70:AV70)</f>
        <v>0</v>
      </c>
      <c r="AX70" s="71">
        <f ca="1">IF(E70&lt;'Invoer gegevens (N)'!$C$17+15,0,IF(E70&gt;'Invoer gegevens (N)'!$C$17+215,0,AW70))</f>
        <v>0</v>
      </c>
      <c r="AY70" s="71">
        <f ca="1">AX70/(1+'Invoer gegevens (N)'!$F$18)^($AZ70-('Invoer gegevens (N)'!$C$17-'Invoer gegevens (N)'!$C$16))/(1+'Invoer gegevens (N)'!$C$39)^('Invoer gegevens (N)'!$C$17-'Invoer gegevens (N)'!$C$16)</f>
        <v>0</v>
      </c>
      <c r="AZ70" s="68">
        <f ca="1">IF(E70-'Invoer gegevens (N)'!$C$17-14.5&lt;0,0,E70-'Invoer gegevens (N)'!$C$17-14.5)</f>
        <v>50.5</v>
      </c>
    </row>
    <row r="71" spans="1:52" x14ac:dyDescent="0.25">
      <c r="A71" s="59"/>
      <c r="B71" s="70">
        <f t="shared" si="9"/>
        <v>67</v>
      </c>
      <c r="C71" s="67">
        <f ca="1">IF(E71-'Invoer gegevens (N)'!$C$17&lt;0,0,1)</f>
        <v>1</v>
      </c>
      <c r="D71" s="68">
        <f t="shared" si="10"/>
        <v>66.5</v>
      </c>
      <c r="E71" s="69">
        <f ca="1">IF('Invoer gegevens (N)'!$C$16="","",E70+1)</f>
        <v>2085</v>
      </c>
      <c r="F71" s="84">
        <f ca="1">IF('Invoer gegevens (N)'!$C$17=E71,'Invoer gegevens (N)'!$C$10,IF(C71=1,K70,0))</f>
        <v>0</v>
      </c>
      <c r="G71" s="96">
        <f ca="1">IF(C71&gt;=1,F71*VLOOKUP(E71,'Reeksen (N)'!$A$5:$B$76,2),0)</f>
        <v>0</v>
      </c>
      <c r="H71" s="84">
        <f ca="1">(1-('Invoer gegevens (N)'!$F$20/12))*F71*MIN('Reeksen (N)'!B71,'Reeksen (N)'!D71)</f>
        <v>0</v>
      </c>
      <c r="I71" s="84">
        <f>IF('Reeksen (N)'!D71&lt;'Reeksen (N)'!B71,('Reeksen (N)'!B71-'Reeksen (N)'!D71)*F71,0)</f>
        <v>0</v>
      </c>
      <c r="J71" s="84">
        <f ca="1">('Invoer gegevens (N)'!$F$20/12)*F70*MIN('Reeksen (N)'!B70,'Reeksen (N)'!D70)</f>
        <v>0</v>
      </c>
      <c r="K71" s="97">
        <f t="shared" ca="1" si="11"/>
        <v>0</v>
      </c>
      <c r="L71" s="84">
        <f ca="1">IF('Invoer gegevens (N)'!$C$17=E71,0,IF(C71=1,Q70,0))</f>
        <v>0</v>
      </c>
      <c r="M71" s="96">
        <f ca="1">IF(C71&gt;=1,L71*VLOOKUP(E71,'Reeksen (N)'!$A$5:$B$76,2),0)</f>
        <v>0</v>
      </c>
      <c r="N71" s="84">
        <f ca="1">(1-('Invoer gegevens (N)'!$F$20/12))*L71*MIN('Reeksen (N)'!B71,'Reeksen (N)'!D71)</f>
        <v>0</v>
      </c>
      <c r="O71" s="84">
        <f>IF('Reeksen (N)'!D71&lt;'Reeksen (N)'!B71,('Reeksen (N)'!B71-'Reeksen (N)'!D71)*L71,0)</f>
        <v>0</v>
      </c>
      <c r="P71" s="84">
        <f ca="1">('Invoer gegevens (N)'!$F$20/12)*L70*MIN('Reeksen (N)'!B70,'Reeksen (N)'!D70)</f>
        <v>0</v>
      </c>
      <c r="Q71" s="84">
        <f t="shared" ca="1" si="12"/>
        <v>0</v>
      </c>
      <c r="R71" s="82">
        <f ca="1">IF('Invoer gegevens (N)'!$C$17=E71,'Invoer gegevens (N)'!$C$11,IF(C71=1,W70,0))</f>
        <v>0</v>
      </c>
      <c r="S71" s="86">
        <f ca="1">IF(C71&gt;=1,R71*VLOOKUP(E71,'Reeksen (N)'!$A$5:$B$76,2),0)</f>
        <v>0</v>
      </c>
      <c r="T71" s="84">
        <f ca="1">(1-('Invoer gegevens (N)'!$F$20/12))*R71*MIN('Reeksen (N)'!B71,'Reeksen (N)'!D71)</f>
        <v>0</v>
      </c>
      <c r="U71" s="84">
        <f>IF('Reeksen (N)'!D71&gt;='Reeksen (N)'!B71,0,IF('Reeksen (N)'!AD71&lt;='Reeksen (N)'!AE71,('Reeksen (N)'!B71-'Reeksen (N)'!D71)*R71,0))</f>
        <v>0</v>
      </c>
      <c r="V71" s="86">
        <f>IF('Reeksen (N)'!D71&gt;='Reeksen (N)'!B71,0,IF('Reeksen (N)'!AD71&gt;'Reeksen (N)'!AE71,('Reeksen (N)'!B71-'Reeksen (N)'!D71)*R71,0))</f>
        <v>0</v>
      </c>
      <c r="W71" s="97">
        <f t="shared" ca="1" si="13"/>
        <v>0</v>
      </c>
      <c r="X71" s="98">
        <f ca="1">IF('Invoer gegevens (N)'!$C$17=E71,'Invoer gegevens (N)'!$C$10-'Invoer gegevens (N)'!$C$11,IF(C71=1,AC70,0))</f>
        <v>0</v>
      </c>
      <c r="Y71" s="98">
        <f ca="1">IF(C71&gt;=1,X71*VLOOKUP(E71,'Reeksen (N)'!$A$5:$B$76,2),0)</f>
        <v>0</v>
      </c>
      <c r="Z71" s="98">
        <f ca="1">(1-('Invoer gegevens (N)'!$F$20/12))*X71*MIN('Reeksen (N)'!B71,'Reeksen (N)'!D71)</f>
        <v>0</v>
      </c>
      <c r="AA71" s="98">
        <f>IF('Reeksen (N)'!D71&gt;='Reeksen (N)'!B71,0,IF('Reeksen (N)'!AD71&lt;='Reeksen (N)'!AE71,('Reeksen (N)'!B71-'Reeksen (N)'!D71)*X71,0))</f>
        <v>0</v>
      </c>
      <c r="AB71" s="98">
        <f>IF('Reeksen (N)'!D71&gt;='Reeksen (N)'!B71,0,IF('Reeksen (N)'!AD71&gt;'Reeksen (N)'!AE71,('Reeksen (N)'!B71-'Reeksen (N)'!D71)*X71,0))</f>
        <v>0</v>
      </c>
      <c r="AC71" s="99">
        <f t="shared" ca="1" si="14"/>
        <v>0</v>
      </c>
      <c r="AD71" s="98">
        <f ca="1">IF('Invoer gegevens (N)'!$C$17=E71,R71,IF(C71=0,0,AE70))</f>
        <v>0</v>
      </c>
      <c r="AE71" s="98">
        <f t="shared" ca="1" si="15"/>
        <v>0</v>
      </c>
      <c r="AF71" s="98">
        <f ca="1">IF('Invoer gegevens (N)'!$C$17=E71,X71,IF(C71=0,0,AG70))</f>
        <v>0</v>
      </c>
      <c r="AG71" s="98">
        <f t="shared" ca="1" si="16"/>
        <v>0</v>
      </c>
      <c r="AH71" s="66"/>
      <c r="AI71" s="71">
        <f ca="1">IF(C71=1,'Reeksen (N)'!AI71*((F71-G71+F71)/2)*12+'Reeksen (N)'!AD71*((L71-M71+L71)/2)*12,0)</f>
        <v>0</v>
      </c>
      <c r="AJ71" s="71">
        <f ca="1">-AI71*'Invoer gegevens (N)'!$F$28</f>
        <v>0</v>
      </c>
      <c r="AK71" s="71">
        <f t="shared" ca="1" si="17"/>
        <v>0</v>
      </c>
      <c r="AL71" s="71">
        <f ca="1">IF(C71=1,'Reeksen (N)'!AL71*((F71-G71+F71)/2)*12+'Reeksen (N)'!AM71*((L71-M71+L71)/2)*12,0)</f>
        <v>0</v>
      </c>
      <c r="AM71" s="71">
        <f ca="1">-AL71*'Invoer gegevens (N)'!$F$31</f>
        <v>0</v>
      </c>
      <c r="AN71" s="71">
        <f t="shared" ca="1" si="18"/>
        <v>0</v>
      </c>
      <c r="AO71" s="71">
        <f ca="1">IF(C71=1,(H71+J71+N71+P71)*'Reeksen (N)'!AN71,0)</f>
        <v>0</v>
      </c>
      <c r="AP71" s="71">
        <f ca="1">-IF(C71=1,(H71+J71+N71+P71)*'Hulp - basis'!$O$550*'Reeksen (N)'!H71,0)</f>
        <v>0</v>
      </c>
      <c r="AQ71" s="71">
        <f ca="1">-IF(C71=1,(F71+K71+L71+Q71)/2*'Invoer gegevens (N)'!$F$35*'Reeksen (N)'!J71,0)*2</f>
        <v>0</v>
      </c>
      <c r="AR71" s="71"/>
      <c r="AS71" s="71">
        <f ca="1">-IF(C71=1,(F71+K71+L71+Q71)/2*'Invoer gegevens (N)'!$F$37*'Reeksen (N)'!L71,0)</f>
        <v>0</v>
      </c>
      <c r="AT71" s="71">
        <f ca="1">-IF(C71=1,IF(E71='Invoer gegevens (N)'!$C$17,'Invoer gegevens (N)'!$C$11,AD71)*'Reeksen (N)'!S71*'Invoer gegevens (N)'!$C$18*'Reeksen (N)'!P71,0)</f>
        <v>0</v>
      </c>
      <c r="AU71" s="71">
        <f ca="1">-IF(C71=1,(F71+K71+L71+Q71)/2*'Invoer gegevens (N)'!$F$38*'Reeksen (N)'!H71,0)</f>
        <v>0</v>
      </c>
      <c r="AV71" s="71">
        <v>0</v>
      </c>
      <c r="AW71" s="71">
        <f t="shared" ca="1" si="19"/>
        <v>0</v>
      </c>
      <c r="AX71" s="71">
        <f ca="1">IF(E71&lt;'Invoer gegevens (N)'!$C$17+15,0,IF(E71&gt;'Invoer gegevens (N)'!$C$17+215,0,AW71))</f>
        <v>0</v>
      </c>
      <c r="AY71" s="71">
        <f ca="1">AX71/(1+'Invoer gegevens (N)'!$F$18)^($AZ71-('Invoer gegevens (N)'!$C$17-'Invoer gegevens (N)'!$C$16))/(1+'Invoer gegevens (N)'!$C$39)^('Invoer gegevens (N)'!$C$17-'Invoer gegevens (N)'!$C$16)</f>
        <v>0</v>
      </c>
      <c r="AZ71" s="68">
        <f ca="1">IF(E71-'Invoer gegevens (N)'!$C$17-14.5&lt;0,0,E71-'Invoer gegevens (N)'!$C$17-14.5)</f>
        <v>51.5</v>
      </c>
    </row>
    <row r="72" spans="1:52" x14ac:dyDescent="0.25">
      <c r="A72" s="59"/>
      <c r="B72" s="70">
        <f t="shared" ref="B72:B135" si="20">B71+1</f>
        <v>68</v>
      </c>
      <c r="C72" s="67">
        <f ca="1">IF(E72-'Invoer gegevens (N)'!$C$17&lt;0,0,1)</f>
        <v>1</v>
      </c>
      <c r="D72" s="68">
        <f t="shared" ref="D72:D135" si="21">D71+1</f>
        <v>67.5</v>
      </c>
      <c r="E72" s="69">
        <f ca="1">IF('Invoer gegevens (N)'!$C$16="","",E71+1)</f>
        <v>2086</v>
      </c>
      <c r="F72" s="84">
        <f ca="1">IF('Invoer gegevens (N)'!$C$17=E72,'Invoer gegevens (N)'!$C$10,IF(C72=1,K71,0))</f>
        <v>0</v>
      </c>
      <c r="G72" s="96">
        <f ca="1">IF(C72&gt;=1,F72*VLOOKUP(E72,'Reeksen (N)'!$A$5:$B$76,2),0)</f>
        <v>0</v>
      </c>
      <c r="H72" s="84">
        <f ca="1">(1-('Invoer gegevens (N)'!$F$20/12))*F72*MIN('Reeksen (N)'!B72,'Reeksen (N)'!D72)</f>
        <v>0</v>
      </c>
      <c r="I72" s="84">
        <f>IF('Reeksen (N)'!D72&lt;'Reeksen (N)'!B72,('Reeksen (N)'!B72-'Reeksen (N)'!D72)*F72,0)</f>
        <v>0</v>
      </c>
      <c r="J72" s="84">
        <f ca="1">('Invoer gegevens (N)'!$F$20/12)*F71*MIN('Reeksen (N)'!B71,'Reeksen (N)'!D71)</f>
        <v>0</v>
      </c>
      <c r="K72" s="97">
        <f t="shared" ca="1" si="11"/>
        <v>0</v>
      </c>
      <c r="L72" s="84">
        <f ca="1">IF('Invoer gegevens (N)'!$C$17=E72,0,IF(C72=1,Q71,0))</f>
        <v>0</v>
      </c>
      <c r="M72" s="96">
        <f ca="1">IF(C72&gt;=1,L72*VLOOKUP(E72,'Reeksen (N)'!$A$5:$B$76,2),0)</f>
        <v>0</v>
      </c>
      <c r="N72" s="84">
        <f ca="1">(1-('Invoer gegevens (N)'!$F$20/12))*L72*MIN('Reeksen (N)'!B72,'Reeksen (N)'!D72)</f>
        <v>0</v>
      </c>
      <c r="O72" s="84">
        <f>IF('Reeksen (N)'!D72&lt;'Reeksen (N)'!B72,('Reeksen (N)'!B72-'Reeksen (N)'!D72)*L72,0)</f>
        <v>0</v>
      </c>
      <c r="P72" s="84">
        <f ca="1">('Invoer gegevens (N)'!$F$20/12)*L71*MIN('Reeksen (N)'!B71,'Reeksen (N)'!D71)</f>
        <v>0</v>
      </c>
      <c r="Q72" s="84">
        <f t="shared" ca="1" si="12"/>
        <v>0</v>
      </c>
      <c r="R72" s="82">
        <f ca="1">IF('Invoer gegevens (N)'!$C$17=E72,'Invoer gegevens (N)'!$C$11,IF(C72=1,W71,0))</f>
        <v>0</v>
      </c>
      <c r="S72" s="86">
        <f ca="1">IF(C72&gt;=1,R72*VLOOKUP(E72,'Reeksen (N)'!$A$5:$B$76,2),0)</f>
        <v>0</v>
      </c>
      <c r="T72" s="84">
        <f ca="1">(1-('Invoer gegevens (N)'!$F$20/12))*R72*MIN('Reeksen (N)'!B72,'Reeksen (N)'!D72)</f>
        <v>0</v>
      </c>
      <c r="U72" s="84">
        <f>IF('Reeksen (N)'!D72&gt;='Reeksen (N)'!B72,0,IF('Reeksen (N)'!AD72&lt;='Reeksen (N)'!AE72,('Reeksen (N)'!B72-'Reeksen (N)'!D72)*R72,0))</f>
        <v>0</v>
      </c>
      <c r="V72" s="86">
        <f>IF('Reeksen (N)'!D72&gt;='Reeksen (N)'!B72,0,IF('Reeksen (N)'!AD72&gt;'Reeksen (N)'!AE72,('Reeksen (N)'!B72-'Reeksen (N)'!D72)*R72,0))</f>
        <v>0</v>
      </c>
      <c r="W72" s="97">
        <f t="shared" ca="1" si="13"/>
        <v>0</v>
      </c>
      <c r="X72" s="98">
        <f ca="1">IF('Invoer gegevens (N)'!$C$17=E72,'Invoer gegevens (N)'!$C$10-'Invoer gegevens (N)'!$C$11,IF(C72=1,AC71,0))</f>
        <v>0</v>
      </c>
      <c r="Y72" s="98">
        <f ca="1">IF(C72&gt;=1,X72*VLOOKUP(E72,'Reeksen (N)'!$A$5:$B$76,2),0)</f>
        <v>0</v>
      </c>
      <c r="Z72" s="98">
        <f ca="1">(1-('Invoer gegevens (N)'!$F$20/12))*X72*MIN('Reeksen (N)'!B72,'Reeksen (N)'!D72)</f>
        <v>0</v>
      </c>
      <c r="AA72" s="98">
        <f>IF('Reeksen (N)'!D72&gt;='Reeksen (N)'!B72,0,IF('Reeksen (N)'!AD72&lt;='Reeksen (N)'!AE72,('Reeksen (N)'!B72-'Reeksen (N)'!D72)*X72,0))</f>
        <v>0</v>
      </c>
      <c r="AB72" s="98">
        <f>IF('Reeksen (N)'!D72&gt;='Reeksen (N)'!B72,0,IF('Reeksen (N)'!AD72&gt;'Reeksen (N)'!AE72,('Reeksen (N)'!B72-'Reeksen (N)'!D72)*X72,0))</f>
        <v>0</v>
      </c>
      <c r="AC72" s="99">
        <f t="shared" ca="1" si="14"/>
        <v>0</v>
      </c>
      <c r="AD72" s="98">
        <f ca="1">IF('Invoer gegevens (N)'!$C$17=E72,R72,IF(C72=0,0,AE71))</f>
        <v>0</v>
      </c>
      <c r="AE72" s="98">
        <f t="shared" ca="1" si="15"/>
        <v>0</v>
      </c>
      <c r="AF72" s="98">
        <f ca="1">IF('Invoer gegevens (N)'!$C$17=E72,X72,IF(C72=0,0,AG71))</f>
        <v>0</v>
      </c>
      <c r="AG72" s="98">
        <f t="shared" ca="1" si="16"/>
        <v>0</v>
      </c>
      <c r="AH72" s="66"/>
      <c r="AI72" s="71">
        <f ca="1">IF(C72=1,'Reeksen (N)'!AI72*((F72-G72+F72)/2)*12+'Reeksen (N)'!AD72*((L72-M72+L72)/2)*12,0)</f>
        <v>0</v>
      </c>
      <c r="AJ72" s="71">
        <f ca="1">-AI72*'Invoer gegevens (N)'!$F$28</f>
        <v>0</v>
      </c>
      <c r="AK72" s="71">
        <f t="shared" ca="1" si="17"/>
        <v>0</v>
      </c>
      <c r="AL72" s="71">
        <f ca="1">IF(C72=1,'Reeksen (N)'!AL72*((F72-G72+F72)/2)*12+'Reeksen (N)'!AM72*((L72-M72+L72)/2)*12,0)</f>
        <v>0</v>
      </c>
      <c r="AM72" s="71">
        <f ca="1">-AL72*'Invoer gegevens (N)'!$F$31</f>
        <v>0</v>
      </c>
      <c r="AN72" s="71">
        <f t="shared" ca="1" si="18"/>
        <v>0</v>
      </c>
      <c r="AO72" s="71">
        <f ca="1">IF(C72=1,(H72+J72+N72+P72)*'Reeksen (N)'!AN72,0)</f>
        <v>0</v>
      </c>
      <c r="AP72" s="71">
        <f ca="1">-IF(C72=1,(H72+J72+N72+P72)*'Hulp - basis'!$O$550*'Reeksen (N)'!H72,0)</f>
        <v>0</v>
      </c>
      <c r="AQ72" s="71">
        <f ca="1">-IF(C72=1,(F72+K72+L72+Q72)/2*'Invoer gegevens (N)'!$F$35*'Reeksen (N)'!J72,0)*2</f>
        <v>0</v>
      </c>
      <c r="AR72" s="71"/>
      <c r="AS72" s="71">
        <f ca="1">-IF(C72=1,(F72+K72+L72+Q72)/2*'Invoer gegevens (N)'!$F$37*'Reeksen (N)'!L72,0)</f>
        <v>0</v>
      </c>
      <c r="AT72" s="71">
        <f ca="1">-IF(C72=1,IF(E72='Invoer gegevens (N)'!$C$17,'Invoer gegevens (N)'!$C$11,AD72)*'Reeksen (N)'!S72*'Invoer gegevens (N)'!$C$18*'Reeksen (N)'!P72,0)</f>
        <v>0</v>
      </c>
      <c r="AU72" s="71">
        <f ca="1">-IF(C72=1,(F72+K72+L72+Q72)/2*'Invoer gegevens (N)'!$F$38*'Reeksen (N)'!H72,0)</f>
        <v>0</v>
      </c>
      <c r="AV72" s="71">
        <v>0</v>
      </c>
      <c r="AW72" s="71">
        <f t="shared" ca="1" si="19"/>
        <v>0</v>
      </c>
      <c r="AX72" s="71">
        <f ca="1">IF(E72&lt;'Invoer gegevens (N)'!$C$17+15,0,IF(E72&gt;'Invoer gegevens (N)'!$C$17+215,0,AW72))</f>
        <v>0</v>
      </c>
      <c r="AY72" s="71">
        <f ca="1">AX72/(1+'Invoer gegevens (N)'!$F$18)^($AZ72-('Invoer gegevens (N)'!$C$17-'Invoer gegevens (N)'!$C$16))/(1+'Invoer gegevens (N)'!$C$39)^('Invoer gegevens (N)'!$C$17-'Invoer gegevens (N)'!$C$16)</f>
        <v>0</v>
      </c>
      <c r="AZ72" s="68">
        <f ca="1">IF(E72-'Invoer gegevens (N)'!$C$17-14.5&lt;0,0,E72-'Invoer gegevens (N)'!$C$17-14.5)</f>
        <v>52.5</v>
      </c>
    </row>
    <row r="73" spans="1:52" x14ac:dyDescent="0.25">
      <c r="A73" s="59"/>
      <c r="B73" s="70">
        <f t="shared" si="20"/>
        <v>69</v>
      </c>
      <c r="C73" s="67">
        <f ca="1">IF(E73-'Invoer gegevens (N)'!$C$17&lt;0,0,1)</f>
        <v>1</v>
      </c>
      <c r="D73" s="68">
        <f t="shared" si="21"/>
        <v>68.5</v>
      </c>
      <c r="E73" s="69">
        <f ca="1">IF('Invoer gegevens (N)'!$C$16="","",E72+1)</f>
        <v>2087</v>
      </c>
      <c r="F73" s="84">
        <f ca="1">IF('Invoer gegevens (N)'!$C$17=E73,'Invoer gegevens (N)'!$C$10,IF(C73=1,K72,0))</f>
        <v>0</v>
      </c>
      <c r="G73" s="96">
        <f ca="1">IF(C73&gt;=1,F73*VLOOKUP(E73,'Reeksen (N)'!$A$5:$B$76,2),0)</f>
        <v>0</v>
      </c>
      <c r="H73" s="84">
        <f ca="1">(1-('Invoer gegevens (N)'!$F$20/12))*F73*MIN('Reeksen (N)'!B73,'Reeksen (N)'!D73)</f>
        <v>0</v>
      </c>
      <c r="I73" s="84">
        <f>IF('Reeksen (N)'!D73&lt;'Reeksen (N)'!B73,('Reeksen (N)'!B73-'Reeksen (N)'!D73)*F73,0)</f>
        <v>0</v>
      </c>
      <c r="J73" s="84">
        <f ca="1">('Invoer gegevens (N)'!$F$20/12)*F72*MIN('Reeksen (N)'!B72,'Reeksen (N)'!D72)</f>
        <v>0</v>
      </c>
      <c r="K73" s="97">
        <f t="shared" ca="1" si="11"/>
        <v>0</v>
      </c>
      <c r="L73" s="84">
        <f ca="1">IF('Invoer gegevens (N)'!$C$17=E73,0,IF(C73=1,Q72,0))</f>
        <v>0</v>
      </c>
      <c r="M73" s="96">
        <f ca="1">IF(C73&gt;=1,L73*VLOOKUP(E73,'Reeksen (N)'!$A$5:$B$76,2),0)</f>
        <v>0</v>
      </c>
      <c r="N73" s="84">
        <f ca="1">(1-('Invoer gegevens (N)'!$F$20/12))*L73*MIN('Reeksen (N)'!B73,'Reeksen (N)'!D73)</f>
        <v>0</v>
      </c>
      <c r="O73" s="84">
        <f>IF('Reeksen (N)'!D73&lt;'Reeksen (N)'!B73,('Reeksen (N)'!B73-'Reeksen (N)'!D73)*L73,0)</f>
        <v>0</v>
      </c>
      <c r="P73" s="84">
        <f ca="1">('Invoer gegevens (N)'!$F$20/12)*L72*MIN('Reeksen (N)'!B72,'Reeksen (N)'!D72)</f>
        <v>0</v>
      </c>
      <c r="Q73" s="84">
        <f t="shared" ca="1" si="12"/>
        <v>0</v>
      </c>
      <c r="R73" s="82">
        <f ca="1">IF('Invoer gegevens (N)'!$C$17=E73,'Invoer gegevens (N)'!$C$11,IF(C73=1,W72,0))</f>
        <v>0</v>
      </c>
      <c r="S73" s="86">
        <f ca="1">IF(C73&gt;=1,R73*VLOOKUP(E73,'Reeksen (N)'!$A$5:$B$76,2),0)</f>
        <v>0</v>
      </c>
      <c r="T73" s="84">
        <f ca="1">(1-('Invoer gegevens (N)'!$F$20/12))*R73*MIN('Reeksen (N)'!B73,'Reeksen (N)'!D73)</f>
        <v>0</v>
      </c>
      <c r="U73" s="84">
        <f>IF('Reeksen (N)'!D73&gt;='Reeksen (N)'!B73,0,IF('Reeksen (N)'!AD73&lt;='Reeksen (N)'!AE73,('Reeksen (N)'!B73-'Reeksen (N)'!D73)*R73,0))</f>
        <v>0</v>
      </c>
      <c r="V73" s="86">
        <f>IF('Reeksen (N)'!D73&gt;='Reeksen (N)'!B73,0,IF('Reeksen (N)'!AD73&gt;'Reeksen (N)'!AE73,('Reeksen (N)'!B73-'Reeksen (N)'!D73)*R73,0))</f>
        <v>0</v>
      </c>
      <c r="W73" s="97">
        <f t="shared" ca="1" si="13"/>
        <v>0</v>
      </c>
      <c r="X73" s="98">
        <f ca="1">IF('Invoer gegevens (N)'!$C$17=E73,'Invoer gegevens (N)'!$C$10-'Invoer gegevens (N)'!$C$11,IF(C73=1,AC72,0))</f>
        <v>0</v>
      </c>
      <c r="Y73" s="98">
        <f ca="1">IF(C73&gt;=1,X73*VLOOKUP(E73,'Reeksen (N)'!$A$5:$B$76,2),0)</f>
        <v>0</v>
      </c>
      <c r="Z73" s="98">
        <f ca="1">(1-('Invoer gegevens (N)'!$F$20/12))*X73*MIN('Reeksen (N)'!B73,'Reeksen (N)'!D73)</f>
        <v>0</v>
      </c>
      <c r="AA73" s="98">
        <f>IF('Reeksen (N)'!D73&gt;='Reeksen (N)'!B73,0,IF('Reeksen (N)'!AD73&lt;='Reeksen (N)'!AE73,('Reeksen (N)'!B73-'Reeksen (N)'!D73)*X73,0))</f>
        <v>0</v>
      </c>
      <c r="AB73" s="98">
        <f>IF('Reeksen (N)'!D73&gt;='Reeksen (N)'!B73,0,IF('Reeksen (N)'!AD73&gt;'Reeksen (N)'!AE73,('Reeksen (N)'!B73-'Reeksen (N)'!D73)*X73,0))</f>
        <v>0</v>
      </c>
      <c r="AC73" s="99">
        <f t="shared" ca="1" si="14"/>
        <v>0</v>
      </c>
      <c r="AD73" s="98">
        <f ca="1">IF('Invoer gegevens (N)'!$C$17=E73,R73,IF(C73=0,0,AE72))</f>
        <v>0</v>
      </c>
      <c r="AE73" s="98">
        <f t="shared" ca="1" si="15"/>
        <v>0</v>
      </c>
      <c r="AF73" s="98">
        <f ca="1">IF('Invoer gegevens (N)'!$C$17=E73,X73,IF(C73=0,0,AG72))</f>
        <v>0</v>
      </c>
      <c r="AG73" s="98">
        <f t="shared" ca="1" si="16"/>
        <v>0</v>
      </c>
      <c r="AH73" s="66"/>
      <c r="AI73" s="71">
        <f ca="1">IF(C73=1,'Reeksen (N)'!AI73*((F73-G73+F73)/2)*12+'Reeksen (N)'!AD73*((L73-M73+L73)/2)*12,0)</f>
        <v>0</v>
      </c>
      <c r="AJ73" s="71">
        <f ca="1">-AI73*'Invoer gegevens (N)'!$F$28</f>
        <v>0</v>
      </c>
      <c r="AK73" s="71">
        <f t="shared" ca="1" si="17"/>
        <v>0</v>
      </c>
      <c r="AL73" s="71">
        <f ca="1">IF(C73=1,'Reeksen (N)'!AL73*((F73-G73+F73)/2)*12+'Reeksen (N)'!AM73*((L73-M73+L73)/2)*12,0)</f>
        <v>0</v>
      </c>
      <c r="AM73" s="71">
        <f ca="1">-AL73*'Invoer gegevens (N)'!$F$31</f>
        <v>0</v>
      </c>
      <c r="AN73" s="71">
        <f t="shared" ca="1" si="18"/>
        <v>0</v>
      </c>
      <c r="AO73" s="71">
        <f ca="1">IF(C73=1,(H73+J73+N73+P73)*'Reeksen (N)'!AN73,0)</f>
        <v>0</v>
      </c>
      <c r="AP73" s="71">
        <f ca="1">-IF(C73=1,(H73+J73+N73+P73)*'Hulp - basis'!$O$550*'Reeksen (N)'!H73,0)</f>
        <v>0</v>
      </c>
      <c r="AQ73" s="71">
        <f ca="1">-IF(C73=1,(F73+K73+L73+Q73)/2*'Invoer gegevens (N)'!$F$35*'Reeksen (N)'!J73,0)*2</f>
        <v>0</v>
      </c>
      <c r="AR73" s="71"/>
      <c r="AS73" s="71">
        <f ca="1">-IF(C73=1,(F73+K73+L73+Q73)/2*'Invoer gegevens (N)'!$F$37*'Reeksen (N)'!L73,0)</f>
        <v>0</v>
      </c>
      <c r="AT73" s="71">
        <f ca="1">-IF(C73=1,IF(E73='Invoer gegevens (N)'!$C$17,'Invoer gegevens (N)'!$C$11,AD73)*'Reeksen (N)'!S73*'Invoer gegevens (N)'!$C$18*'Reeksen (N)'!P73,0)</f>
        <v>0</v>
      </c>
      <c r="AU73" s="71">
        <f ca="1">-IF(C73=1,(F73+K73+L73+Q73)/2*'Invoer gegevens (N)'!$F$38*'Reeksen (N)'!H73,0)</f>
        <v>0</v>
      </c>
      <c r="AV73" s="71">
        <v>0</v>
      </c>
      <c r="AW73" s="71">
        <f t="shared" ca="1" si="19"/>
        <v>0</v>
      </c>
      <c r="AX73" s="71">
        <f ca="1">IF(E73&lt;'Invoer gegevens (N)'!$C$17+15,0,IF(E73&gt;'Invoer gegevens (N)'!$C$17+215,0,AW73))</f>
        <v>0</v>
      </c>
      <c r="AY73" s="71">
        <f ca="1">AX73/(1+'Invoer gegevens (N)'!$F$18)^($AZ73-('Invoer gegevens (N)'!$C$17-'Invoer gegevens (N)'!$C$16))/(1+'Invoer gegevens (N)'!$C$39)^('Invoer gegevens (N)'!$C$17-'Invoer gegevens (N)'!$C$16)</f>
        <v>0</v>
      </c>
      <c r="AZ73" s="68">
        <f ca="1">IF(E73-'Invoer gegevens (N)'!$C$17-14.5&lt;0,0,E73-'Invoer gegevens (N)'!$C$17-14.5)</f>
        <v>53.5</v>
      </c>
    </row>
    <row r="74" spans="1:52" x14ac:dyDescent="0.25">
      <c r="A74" s="59"/>
      <c r="B74" s="70">
        <f t="shared" si="20"/>
        <v>70</v>
      </c>
      <c r="C74" s="67">
        <f ca="1">IF(E74-'Invoer gegevens (N)'!$C$17&lt;0,0,1)</f>
        <v>1</v>
      </c>
      <c r="D74" s="68">
        <f t="shared" si="21"/>
        <v>69.5</v>
      </c>
      <c r="E74" s="69">
        <f ca="1">IF('Invoer gegevens (N)'!$C$16="","",E73+1)</f>
        <v>2088</v>
      </c>
      <c r="F74" s="84">
        <f ca="1">IF('Invoer gegevens (N)'!$C$17=E74,'Invoer gegevens (N)'!$C$10,IF(C74=1,K73,0))</f>
        <v>0</v>
      </c>
      <c r="G74" s="96">
        <f ca="1">IF(C74&gt;=1,F74*VLOOKUP(E74,'Reeksen (N)'!$A$5:$B$76,2),0)</f>
        <v>0</v>
      </c>
      <c r="H74" s="84">
        <f ca="1">(1-('Invoer gegevens (N)'!$F$20/12))*F74*MIN('Reeksen (N)'!B74,'Reeksen (N)'!D74)</f>
        <v>0</v>
      </c>
      <c r="I74" s="84">
        <f>IF('Reeksen (N)'!D74&lt;'Reeksen (N)'!B74,('Reeksen (N)'!B74-'Reeksen (N)'!D74)*F74,0)</f>
        <v>0</v>
      </c>
      <c r="J74" s="84">
        <f ca="1">('Invoer gegevens (N)'!$F$20/12)*F73*MIN('Reeksen (N)'!B73,'Reeksen (N)'!D73)</f>
        <v>0</v>
      </c>
      <c r="K74" s="97">
        <f t="shared" ca="1" si="11"/>
        <v>0</v>
      </c>
      <c r="L74" s="84">
        <f ca="1">IF('Invoer gegevens (N)'!$C$17=E74,0,IF(C74=1,Q73,0))</f>
        <v>0</v>
      </c>
      <c r="M74" s="96">
        <f ca="1">IF(C74&gt;=1,L74*VLOOKUP(E74,'Reeksen (N)'!$A$5:$B$76,2),0)</f>
        <v>0</v>
      </c>
      <c r="N74" s="84">
        <f ca="1">(1-('Invoer gegevens (N)'!$F$20/12))*L74*MIN('Reeksen (N)'!B74,'Reeksen (N)'!D74)</f>
        <v>0</v>
      </c>
      <c r="O74" s="84">
        <f>IF('Reeksen (N)'!D74&lt;'Reeksen (N)'!B74,('Reeksen (N)'!B74-'Reeksen (N)'!D74)*L74,0)</f>
        <v>0</v>
      </c>
      <c r="P74" s="84">
        <f ca="1">('Invoer gegevens (N)'!$F$20/12)*L73*MIN('Reeksen (N)'!B73,'Reeksen (N)'!D73)</f>
        <v>0</v>
      </c>
      <c r="Q74" s="84">
        <f t="shared" ca="1" si="12"/>
        <v>0</v>
      </c>
      <c r="R74" s="82">
        <f ca="1">IF('Invoer gegevens (N)'!$C$17=E74,'Invoer gegevens (N)'!$C$11,IF(C74=1,W73,0))</f>
        <v>0</v>
      </c>
      <c r="S74" s="86">
        <f ca="1">IF(C74&gt;=1,R74*VLOOKUP(E74,'Reeksen (N)'!$A$5:$B$76,2),0)</f>
        <v>0</v>
      </c>
      <c r="T74" s="84">
        <f ca="1">(1-('Invoer gegevens (N)'!$F$20/12))*R74*MIN('Reeksen (N)'!B74,'Reeksen (N)'!D74)</f>
        <v>0</v>
      </c>
      <c r="U74" s="84">
        <f>IF('Reeksen (N)'!D74&gt;='Reeksen (N)'!B74,0,IF('Reeksen (N)'!AD74&lt;='Reeksen (N)'!AE74,('Reeksen (N)'!B74-'Reeksen (N)'!D74)*R74,0))</f>
        <v>0</v>
      </c>
      <c r="V74" s="86">
        <f>IF('Reeksen (N)'!D74&gt;='Reeksen (N)'!B74,0,IF('Reeksen (N)'!AD74&gt;'Reeksen (N)'!AE74,('Reeksen (N)'!B74-'Reeksen (N)'!D74)*R74,0))</f>
        <v>0</v>
      </c>
      <c r="W74" s="97">
        <f t="shared" ca="1" si="13"/>
        <v>0</v>
      </c>
      <c r="X74" s="98">
        <f ca="1">IF('Invoer gegevens (N)'!$C$17=E74,'Invoer gegevens (N)'!$C$10-'Invoer gegevens (N)'!$C$11,IF(C74=1,AC73,0))</f>
        <v>0</v>
      </c>
      <c r="Y74" s="98">
        <f ca="1">IF(C74&gt;=1,X74*VLOOKUP(E74,'Reeksen (N)'!$A$5:$B$76,2),0)</f>
        <v>0</v>
      </c>
      <c r="Z74" s="98">
        <f ca="1">(1-('Invoer gegevens (N)'!$F$20/12))*X74*MIN('Reeksen (N)'!B74,'Reeksen (N)'!D74)</f>
        <v>0</v>
      </c>
      <c r="AA74" s="98">
        <f>IF('Reeksen (N)'!D74&gt;='Reeksen (N)'!B74,0,IF('Reeksen (N)'!AD74&lt;='Reeksen (N)'!AE74,('Reeksen (N)'!B74-'Reeksen (N)'!D74)*X74,0))</f>
        <v>0</v>
      </c>
      <c r="AB74" s="98">
        <f>IF('Reeksen (N)'!D74&gt;='Reeksen (N)'!B74,0,IF('Reeksen (N)'!AD74&gt;'Reeksen (N)'!AE74,('Reeksen (N)'!B74-'Reeksen (N)'!D74)*X74,0))</f>
        <v>0</v>
      </c>
      <c r="AC74" s="99">
        <f t="shared" ca="1" si="14"/>
        <v>0</v>
      </c>
      <c r="AD74" s="98">
        <f ca="1">IF('Invoer gegevens (N)'!$C$17=E74,R74,IF(C74=0,0,AE73))</f>
        <v>0</v>
      </c>
      <c r="AE74" s="98">
        <f t="shared" ca="1" si="15"/>
        <v>0</v>
      </c>
      <c r="AF74" s="98">
        <f ca="1">IF('Invoer gegevens (N)'!$C$17=E74,X74,IF(C74=0,0,AG73))</f>
        <v>0</v>
      </c>
      <c r="AG74" s="98">
        <f t="shared" ca="1" si="16"/>
        <v>0</v>
      </c>
      <c r="AH74" s="66"/>
      <c r="AI74" s="71">
        <f ca="1">IF(C74=1,'Reeksen (N)'!AI74*((F74-G74+F74)/2)*12+'Reeksen (N)'!AD74*((L74-M74+L74)/2)*12,0)</f>
        <v>0</v>
      </c>
      <c r="AJ74" s="71">
        <f ca="1">-AI74*'Invoer gegevens (N)'!$F$28</f>
        <v>0</v>
      </c>
      <c r="AK74" s="71">
        <f t="shared" ca="1" si="17"/>
        <v>0</v>
      </c>
      <c r="AL74" s="71">
        <f ca="1">IF(C74=1,'Reeksen (N)'!AL74*((F74-G74+F74)/2)*12+'Reeksen (N)'!AM74*((L74-M74+L74)/2)*12,0)</f>
        <v>0</v>
      </c>
      <c r="AM74" s="71">
        <f ca="1">-AL74*'Invoer gegevens (N)'!$F$31</f>
        <v>0</v>
      </c>
      <c r="AN74" s="71">
        <f t="shared" ca="1" si="18"/>
        <v>0</v>
      </c>
      <c r="AO74" s="71">
        <f ca="1">IF(C74=1,(H74+J74+N74+P74)*'Reeksen (N)'!AN74,0)</f>
        <v>0</v>
      </c>
      <c r="AP74" s="71">
        <f ca="1">-IF(C74=1,(H74+J74+N74+P74)*'Hulp - basis'!$O$550*'Reeksen (N)'!H74,0)</f>
        <v>0</v>
      </c>
      <c r="AQ74" s="71">
        <f ca="1">-IF(C74=1,(F74+K74+L74+Q74)/2*'Invoer gegevens (N)'!$F$35*'Reeksen (N)'!J74,0)*2</f>
        <v>0</v>
      </c>
      <c r="AR74" s="71"/>
      <c r="AS74" s="71">
        <f ca="1">-IF(C74=1,(F74+K74+L74+Q74)/2*'Invoer gegevens (N)'!$F$37*'Reeksen (N)'!L74,0)</f>
        <v>0</v>
      </c>
      <c r="AT74" s="71">
        <f ca="1">-IF(C74=1,IF(E74='Invoer gegevens (N)'!$C$17,'Invoer gegevens (N)'!$C$11,AD74)*'Reeksen (N)'!S74*'Invoer gegevens (N)'!$C$18*'Reeksen (N)'!P74,0)</f>
        <v>0</v>
      </c>
      <c r="AU74" s="71">
        <f ca="1">-IF(C74=1,(F74+K74+L74+Q74)/2*'Invoer gegevens (N)'!$F$38*'Reeksen (N)'!H74,0)</f>
        <v>0</v>
      </c>
      <c r="AV74" s="71">
        <v>0</v>
      </c>
      <c r="AW74" s="71">
        <f t="shared" ca="1" si="19"/>
        <v>0</v>
      </c>
      <c r="AX74" s="71">
        <f ca="1">IF(E74&lt;'Invoer gegevens (N)'!$C$17+15,0,IF(E74&gt;'Invoer gegevens (N)'!$C$17+215,0,AW74))</f>
        <v>0</v>
      </c>
      <c r="AY74" s="71">
        <f ca="1">AX74/(1+'Invoer gegevens (N)'!$F$18)^($AZ74-('Invoer gegevens (N)'!$C$17-'Invoer gegevens (N)'!$C$16))/(1+'Invoer gegevens (N)'!$C$39)^('Invoer gegevens (N)'!$C$17-'Invoer gegevens (N)'!$C$16)</f>
        <v>0</v>
      </c>
      <c r="AZ74" s="68">
        <f ca="1">IF(E74-'Invoer gegevens (N)'!$C$17-14.5&lt;0,0,E74-'Invoer gegevens (N)'!$C$17-14.5)</f>
        <v>54.5</v>
      </c>
    </row>
    <row r="75" spans="1:52" x14ac:dyDescent="0.25">
      <c r="A75" s="59"/>
      <c r="B75" s="70">
        <f t="shared" si="20"/>
        <v>71</v>
      </c>
      <c r="C75" s="67">
        <f ca="1">IF(E75-'Invoer gegevens (N)'!$C$17&lt;0,0,1)</f>
        <v>1</v>
      </c>
      <c r="D75" s="68">
        <f t="shared" si="21"/>
        <v>70.5</v>
      </c>
      <c r="E75" s="69">
        <f ca="1">IF('Invoer gegevens (N)'!$C$16="","",E74+1)</f>
        <v>2089</v>
      </c>
      <c r="F75" s="84">
        <f ca="1">IF('Invoer gegevens (N)'!$C$17=E75,'Invoer gegevens (N)'!$C$10,IF(C75=1,K74,0))</f>
        <v>0</v>
      </c>
      <c r="G75" s="96">
        <f ca="1">IF(C75&gt;=1,F75*VLOOKUP(E75,'Reeksen (N)'!$A$5:$B$76,2),0)</f>
        <v>0</v>
      </c>
      <c r="H75" s="84">
        <f ca="1">(1-('Invoer gegevens (N)'!$F$20/12))*F75*MIN('Reeksen (N)'!B75,'Reeksen (N)'!D75)</f>
        <v>0</v>
      </c>
      <c r="I75" s="84">
        <f>IF('Reeksen (N)'!D75&lt;'Reeksen (N)'!B75,('Reeksen (N)'!B75-'Reeksen (N)'!D75)*F75,0)</f>
        <v>0</v>
      </c>
      <c r="J75" s="84">
        <f ca="1">('Invoer gegevens (N)'!$F$20/12)*F74*MIN('Reeksen (N)'!B74,'Reeksen (N)'!D74)</f>
        <v>0</v>
      </c>
      <c r="K75" s="97">
        <f t="shared" ca="1" si="11"/>
        <v>0</v>
      </c>
      <c r="L75" s="84">
        <f ca="1">IF('Invoer gegevens (N)'!$C$17=E75,0,IF(C75=1,Q74,0))</f>
        <v>0</v>
      </c>
      <c r="M75" s="96">
        <f ca="1">IF(C75&gt;=1,L75*VLOOKUP(E75,'Reeksen (N)'!$A$5:$B$76,2),0)</f>
        <v>0</v>
      </c>
      <c r="N75" s="84">
        <f ca="1">(1-('Invoer gegevens (N)'!$F$20/12))*L75*MIN('Reeksen (N)'!B75,'Reeksen (N)'!D75)</f>
        <v>0</v>
      </c>
      <c r="O75" s="84">
        <f>IF('Reeksen (N)'!D75&lt;'Reeksen (N)'!B75,('Reeksen (N)'!B75-'Reeksen (N)'!D75)*L75,0)</f>
        <v>0</v>
      </c>
      <c r="P75" s="84">
        <f ca="1">('Invoer gegevens (N)'!$F$20/12)*L74*MIN('Reeksen (N)'!B74,'Reeksen (N)'!D74)</f>
        <v>0</v>
      </c>
      <c r="Q75" s="84">
        <f t="shared" ca="1" si="12"/>
        <v>0</v>
      </c>
      <c r="R75" s="82">
        <f ca="1">IF('Invoer gegevens (N)'!$C$17=E75,'Invoer gegevens (N)'!$C$11,IF(C75=1,W74,0))</f>
        <v>0</v>
      </c>
      <c r="S75" s="86">
        <f ca="1">IF(C75&gt;=1,R75*VLOOKUP(E75,'Reeksen (N)'!$A$5:$B$76,2),0)</f>
        <v>0</v>
      </c>
      <c r="T75" s="84">
        <f ca="1">(1-('Invoer gegevens (N)'!$F$20/12))*R75*MIN('Reeksen (N)'!B75,'Reeksen (N)'!D75)</f>
        <v>0</v>
      </c>
      <c r="U75" s="84">
        <f>IF('Reeksen (N)'!D75&gt;='Reeksen (N)'!B75,0,IF('Reeksen (N)'!AD75&lt;='Reeksen (N)'!AE75,('Reeksen (N)'!B75-'Reeksen (N)'!D75)*R75,0))</f>
        <v>0</v>
      </c>
      <c r="V75" s="86">
        <f>IF('Reeksen (N)'!D75&gt;='Reeksen (N)'!B75,0,IF('Reeksen (N)'!AD75&gt;'Reeksen (N)'!AE75,('Reeksen (N)'!B75-'Reeksen (N)'!D75)*R75,0))</f>
        <v>0</v>
      </c>
      <c r="W75" s="97">
        <f t="shared" ca="1" si="13"/>
        <v>0</v>
      </c>
      <c r="X75" s="98">
        <f ca="1">IF('Invoer gegevens (N)'!$C$17=E75,'Invoer gegevens (N)'!$C$10-'Invoer gegevens (N)'!$C$11,IF(C75=1,AC74,0))</f>
        <v>0</v>
      </c>
      <c r="Y75" s="98">
        <f ca="1">IF(C75&gt;=1,X75*VLOOKUP(E75,'Reeksen (N)'!$A$5:$B$76,2),0)</f>
        <v>0</v>
      </c>
      <c r="Z75" s="98">
        <f ca="1">(1-('Invoer gegevens (N)'!$F$20/12))*X75*MIN('Reeksen (N)'!B75,'Reeksen (N)'!D75)</f>
        <v>0</v>
      </c>
      <c r="AA75" s="98">
        <f>IF('Reeksen (N)'!D75&gt;='Reeksen (N)'!B75,0,IF('Reeksen (N)'!AD75&lt;='Reeksen (N)'!AE75,('Reeksen (N)'!B75-'Reeksen (N)'!D75)*X75,0))</f>
        <v>0</v>
      </c>
      <c r="AB75" s="98">
        <f>IF('Reeksen (N)'!D75&gt;='Reeksen (N)'!B75,0,IF('Reeksen (N)'!AD75&gt;'Reeksen (N)'!AE75,('Reeksen (N)'!B75-'Reeksen (N)'!D75)*X75,0))</f>
        <v>0</v>
      </c>
      <c r="AC75" s="99">
        <f t="shared" ca="1" si="14"/>
        <v>0</v>
      </c>
      <c r="AD75" s="98">
        <f ca="1">IF('Invoer gegevens (N)'!$C$17=E75,R75,IF(C75=0,0,AE74))</f>
        <v>0</v>
      </c>
      <c r="AE75" s="98">
        <f t="shared" ca="1" si="15"/>
        <v>0</v>
      </c>
      <c r="AF75" s="98">
        <f ca="1">IF('Invoer gegevens (N)'!$C$17=E75,X75,IF(C75=0,0,AG74))</f>
        <v>0</v>
      </c>
      <c r="AG75" s="98">
        <f t="shared" ca="1" si="16"/>
        <v>0</v>
      </c>
      <c r="AH75" s="66"/>
      <c r="AI75" s="71">
        <f ca="1">IF(C75=1,'Reeksen (N)'!AI75*((F75-G75+F75)/2)*12+'Reeksen (N)'!AD75*((L75-M75+L75)/2)*12,0)</f>
        <v>0</v>
      </c>
      <c r="AJ75" s="71">
        <f ca="1">-AI75*'Invoer gegevens (N)'!$F$28</f>
        <v>0</v>
      </c>
      <c r="AK75" s="71">
        <f t="shared" ca="1" si="17"/>
        <v>0</v>
      </c>
      <c r="AL75" s="71">
        <f ca="1">IF(C75=1,'Reeksen (N)'!AL75*((F75-G75+F75)/2)*12+'Reeksen (N)'!AM75*((L75-M75+L75)/2)*12,0)</f>
        <v>0</v>
      </c>
      <c r="AM75" s="71">
        <f ca="1">-AL75*'Invoer gegevens (N)'!$F$31</f>
        <v>0</v>
      </c>
      <c r="AN75" s="71">
        <f t="shared" ca="1" si="18"/>
        <v>0</v>
      </c>
      <c r="AO75" s="71">
        <f ca="1">IF(C75=1,(H75+J75+N75+P75)*'Reeksen (N)'!AN75,0)</f>
        <v>0</v>
      </c>
      <c r="AP75" s="71">
        <f ca="1">-IF(C75=1,(H75+J75+N75+P75)*'Hulp - basis'!$O$550*'Reeksen (N)'!H75,0)</f>
        <v>0</v>
      </c>
      <c r="AQ75" s="71">
        <f ca="1">-IF(C75=1,(F75+K75+L75+Q75)/2*'Invoer gegevens (N)'!$F$35*'Reeksen (N)'!J75,0)*2</f>
        <v>0</v>
      </c>
      <c r="AR75" s="71"/>
      <c r="AS75" s="71">
        <f ca="1">-IF(C75=1,(F75+K75+L75+Q75)/2*'Invoer gegevens (N)'!$F$37*'Reeksen (N)'!L75,0)</f>
        <v>0</v>
      </c>
      <c r="AT75" s="71">
        <f ca="1">-IF(C75=1,IF(E75='Invoer gegevens (N)'!$C$17,'Invoer gegevens (N)'!$C$11,AD75)*'Reeksen (N)'!S75*'Invoer gegevens (N)'!$C$18*'Reeksen (N)'!P75,0)</f>
        <v>0</v>
      </c>
      <c r="AU75" s="71">
        <f ca="1">-IF(C75=1,(F75+K75+L75+Q75)/2*'Invoer gegevens (N)'!$F$38*'Reeksen (N)'!H75,0)</f>
        <v>0</v>
      </c>
      <c r="AV75" s="71">
        <v>0</v>
      </c>
      <c r="AW75" s="71">
        <f t="shared" ca="1" si="19"/>
        <v>0</v>
      </c>
      <c r="AX75" s="71">
        <f ca="1">IF(E75&lt;'Invoer gegevens (N)'!$C$17+15,0,IF(E75&gt;'Invoer gegevens (N)'!$C$17+215,0,AW75))</f>
        <v>0</v>
      </c>
      <c r="AY75" s="71">
        <f ca="1">AX75/(1+'Invoer gegevens (N)'!$F$18)^($AZ75-('Invoer gegevens (N)'!$C$17-'Invoer gegevens (N)'!$C$16))/(1+'Invoer gegevens (N)'!$C$39)^('Invoer gegevens (N)'!$C$17-'Invoer gegevens (N)'!$C$16)</f>
        <v>0</v>
      </c>
      <c r="AZ75" s="68">
        <f ca="1">IF(E75-'Invoer gegevens (N)'!$C$17-14.5&lt;0,0,E75-'Invoer gegevens (N)'!$C$17-14.5)</f>
        <v>55.5</v>
      </c>
    </row>
    <row r="76" spans="1:52" x14ac:dyDescent="0.25">
      <c r="A76" s="59"/>
      <c r="B76" s="70">
        <f t="shared" si="20"/>
        <v>72</v>
      </c>
      <c r="C76" s="67">
        <f ca="1">IF(E76-'Invoer gegevens (N)'!$C$17&lt;0,0,1)</f>
        <v>1</v>
      </c>
      <c r="D76" s="68">
        <f t="shared" si="21"/>
        <v>71.5</v>
      </c>
      <c r="E76" s="69">
        <f ca="1">IF('Invoer gegevens (N)'!$C$16="","",E75+1)</f>
        <v>2090</v>
      </c>
      <c r="F76" s="84">
        <f ca="1">IF('Invoer gegevens (N)'!$C$17=E76,'Invoer gegevens (N)'!$C$10,IF(C76=1,K75,0))</f>
        <v>0</v>
      </c>
      <c r="G76" s="96">
        <f ca="1">IF(C76&gt;=1,F76*VLOOKUP(E76,'Reeksen (N)'!$A$5:$B$76,2),0)</f>
        <v>0</v>
      </c>
      <c r="H76" s="84">
        <f ca="1">(1-('Invoer gegevens (N)'!$F$20/12))*F76*MIN('Reeksen (N)'!B76,'Reeksen (N)'!D76)</f>
        <v>0</v>
      </c>
      <c r="I76" s="84">
        <f>IF('Reeksen (N)'!D76&lt;'Reeksen (N)'!B76,('Reeksen (N)'!B76-'Reeksen (N)'!D76)*F76,0)</f>
        <v>0</v>
      </c>
      <c r="J76" s="84">
        <f ca="1">('Invoer gegevens (N)'!$F$20/12)*F75*MIN('Reeksen (N)'!B75,'Reeksen (N)'!D75)</f>
        <v>0</v>
      </c>
      <c r="K76" s="97">
        <f t="shared" ca="1" si="11"/>
        <v>0</v>
      </c>
      <c r="L76" s="84">
        <f ca="1">IF('Invoer gegevens (N)'!$C$17=E76,0,IF(C76=1,Q75,0))</f>
        <v>0</v>
      </c>
      <c r="M76" s="96">
        <f ca="1">IF(C76&gt;=1,L76*VLOOKUP(E76,'Reeksen (N)'!$A$5:$B$76,2),0)</f>
        <v>0</v>
      </c>
      <c r="N76" s="84">
        <f ca="1">(1-('Invoer gegevens (N)'!$F$20/12))*L76*MIN('Reeksen (N)'!B76,'Reeksen (N)'!D76)</f>
        <v>0</v>
      </c>
      <c r="O76" s="84">
        <f>IF('Reeksen (N)'!D76&lt;'Reeksen (N)'!B76,('Reeksen (N)'!B76-'Reeksen (N)'!D76)*L76,0)</f>
        <v>0</v>
      </c>
      <c r="P76" s="84">
        <f ca="1">('Invoer gegevens (N)'!$F$20/12)*L75*MIN('Reeksen (N)'!B75,'Reeksen (N)'!D75)</f>
        <v>0</v>
      </c>
      <c r="Q76" s="84">
        <f t="shared" ca="1" si="12"/>
        <v>0</v>
      </c>
      <c r="R76" s="82">
        <f ca="1">IF('Invoer gegevens (N)'!$C$17=E76,'Invoer gegevens (N)'!$C$11,IF(C76=1,W75,0))</f>
        <v>0</v>
      </c>
      <c r="S76" s="86">
        <f ca="1">IF(C76&gt;=1,R76*VLOOKUP(E76,'Reeksen (N)'!$A$5:$B$76,2),0)</f>
        <v>0</v>
      </c>
      <c r="T76" s="84">
        <f ca="1">(1-('Invoer gegevens (N)'!$F$20/12))*R76*MIN('Reeksen (N)'!B76,'Reeksen (N)'!D76)</f>
        <v>0</v>
      </c>
      <c r="U76" s="84">
        <f>IF('Reeksen (N)'!D76&gt;='Reeksen (N)'!B76,0,IF('Reeksen (N)'!AD76&lt;='Reeksen (N)'!AE76,('Reeksen (N)'!B76-'Reeksen (N)'!D76)*R76,0))</f>
        <v>0</v>
      </c>
      <c r="V76" s="86">
        <f>IF('Reeksen (N)'!D76&gt;='Reeksen (N)'!B76,0,IF('Reeksen (N)'!AD76&gt;'Reeksen (N)'!AE76,('Reeksen (N)'!B76-'Reeksen (N)'!D76)*R76,0))</f>
        <v>0</v>
      </c>
      <c r="W76" s="97">
        <f t="shared" ca="1" si="13"/>
        <v>0</v>
      </c>
      <c r="X76" s="98">
        <f ca="1">IF('Invoer gegevens (N)'!$C$17=E76,'Invoer gegevens (N)'!$C$10-'Invoer gegevens (N)'!$C$11,IF(C76=1,AC75,0))</f>
        <v>0</v>
      </c>
      <c r="Y76" s="98">
        <f ca="1">IF(C76&gt;=1,X76*VLOOKUP(E76,'Reeksen (N)'!$A$5:$B$76,2),0)</f>
        <v>0</v>
      </c>
      <c r="Z76" s="98">
        <f ca="1">(1-('Invoer gegevens (N)'!$F$20/12))*X76*MIN('Reeksen (N)'!B76,'Reeksen (N)'!D76)</f>
        <v>0</v>
      </c>
      <c r="AA76" s="98">
        <f>IF('Reeksen (N)'!D76&gt;='Reeksen (N)'!B76,0,IF('Reeksen (N)'!AD76&lt;='Reeksen (N)'!AE76,('Reeksen (N)'!B76-'Reeksen (N)'!D76)*X76,0))</f>
        <v>0</v>
      </c>
      <c r="AB76" s="98">
        <f>IF('Reeksen (N)'!D76&gt;='Reeksen (N)'!B76,0,IF('Reeksen (N)'!AD76&gt;'Reeksen (N)'!AE76,('Reeksen (N)'!B76-'Reeksen (N)'!D76)*X76,0))</f>
        <v>0</v>
      </c>
      <c r="AC76" s="99">
        <f t="shared" ca="1" si="14"/>
        <v>0</v>
      </c>
      <c r="AD76" s="98">
        <f ca="1">IF('Invoer gegevens (N)'!$C$17=E76,R76,IF(C76=0,0,AE75))</f>
        <v>0</v>
      </c>
      <c r="AE76" s="98">
        <f t="shared" ca="1" si="15"/>
        <v>0</v>
      </c>
      <c r="AF76" s="98">
        <f ca="1">IF('Invoer gegevens (N)'!$C$17=E76,X76,IF(C76=0,0,AG75))</f>
        <v>0</v>
      </c>
      <c r="AG76" s="98">
        <f t="shared" ca="1" si="16"/>
        <v>0</v>
      </c>
      <c r="AH76" s="66"/>
      <c r="AI76" s="71">
        <f ca="1">IF(C76=1,'Reeksen (N)'!AI76*((F76-G76+F76)/2)*12+'Reeksen (N)'!AD76*((L76-M76+L76)/2)*12,0)</f>
        <v>0</v>
      </c>
      <c r="AJ76" s="71">
        <f ca="1">-AI76*'Invoer gegevens (N)'!$F$28</f>
        <v>0</v>
      </c>
      <c r="AK76" s="71">
        <f t="shared" ca="1" si="17"/>
        <v>0</v>
      </c>
      <c r="AL76" s="71">
        <f ca="1">IF(C76=1,'Reeksen (N)'!AL76*((F76-G76+F76)/2)*12+'Reeksen (N)'!AM76*((L76-M76+L76)/2)*12,0)</f>
        <v>0</v>
      </c>
      <c r="AM76" s="71">
        <f ca="1">-AL76*'Invoer gegevens (N)'!$F$31</f>
        <v>0</v>
      </c>
      <c r="AN76" s="71">
        <f t="shared" ca="1" si="18"/>
        <v>0</v>
      </c>
      <c r="AO76" s="71">
        <f ca="1">IF(C76=1,(H76+J76+N76+P76)*'Reeksen (N)'!AN76,0)</f>
        <v>0</v>
      </c>
      <c r="AP76" s="71">
        <f ca="1">-IF(C76=1,(H76+J76+N76+P76)*'Hulp - basis'!$O$550*'Reeksen (N)'!H76,0)</f>
        <v>0</v>
      </c>
      <c r="AQ76" s="71">
        <f ca="1">-IF(C76=1,(F76+K76+L76+Q76)/2*'Invoer gegevens (N)'!$F$35*'Reeksen (N)'!J76,0)*2</f>
        <v>0</v>
      </c>
      <c r="AR76" s="71"/>
      <c r="AS76" s="71">
        <f ca="1">-IF(C76=1,(F76+K76+L76+Q76)/2*'Invoer gegevens (N)'!$F$37*'Reeksen (N)'!L76,0)</f>
        <v>0</v>
      </c>
      <c r="AT76" s="71">
        <f ca="1">-IF(C76=1,IF(E76='Invoer gegevens (N)'!$C$17,'Invoer gegevens (N)'!$C$11,AD76)*'Reeksen (N)'!S76*'Invoer gegevens (N)'!$C$18*'Reeksen (N)'!P76,0)</f>
        <v>0</v>
      </c>
      <c r="AU76" s="71">
        <f ca="1">-IF(C76=1,(F76+K76+L76+Q76)/2*'Invoer gegevens (N)'!$F$38*'Reeksen (N)'!H76,0)</f>
        <v>0</v>
      </c>
      <c r="AV76" s="71">
        <v>0</v>
      </c>
      <c r="AW76" s="71">
        <f t="shared" ca="1" si="19"/>
        <v>0</v>
      </c>
      <c r="AX76" s="71">
        <f ca="1">IF(E76&lt;'Invoer gegevens (N)'!$C$17+15,0,IF(E76&gt;'Invoer gegevens (N)'!$C$17+215,0,AW76))</f>
        <v>0</v>
      </c>
      <c r="AY76" s="71">
        <f ca="1">AX76/(1+'Invoer gegevens (N)'!$F$18)^($AZ76-('Invoer gegevens (N)'!$C$17-'Invoer gegevens (N)'!$C$16))/(1+'Invoer gegevens (N)'!$C$39)^('Invoer gegevens (N)'!$C$17-'Invoer gegevens (N)'!$C$16)</f>
        <v>0</v>
      </c>
      <c r="AZ76" s="68">
        <f ca="1">IF(E76-'Invoer gegevens (N)'!$C$17-14.5&lt;0,0,E76-'Invoer gegevens (N)'!$C$17-14.5)</f>
        <v>56.5</v>
      </c>
    </row>
    <row r="77" spans="1:52" x14ac:dyDescent="0.25">
      <c r="A77" s="59"/>
      <c r="B77" s="70">
        <f t="shared" si="20"/>
        <v>73</v>
      </c>
      <c r="C77" s="67">
        <f ca="1">IF(E77-'Invoer gegevens (N)'!$C$17&lt;0,0,1)</f>
        <v>1</v>
      </c>
      <c r="D77" s="68">
        <f t="shared" si="21"/>
        <v>72.5</v>
      </c>
      <c r="E77" s="69">
        <f ca="1">IF('Invoer gegevens (N)'!$C$16="","",E76+1)</f>
        <v>2091</v>
      </c>
      <c r="F77" s="84">
        <f ca="1">IF('Invoer gegevens (N)'!$C$17=E77,'Invoer gegevens (N)'!$C$10,IF(C77=1,K76,0))</f>
        <v>0</v>
      </c>
      <c r="G77" s="96">
        <f ca="1">IF(C77&gt;=1,F77*VLOOKUP(E77,'Reeksen (N)'!$A$5:$B$76,2),0)</f>
        <v>0</v>
      </c>
      <c r="H77" s="84">
        <f ca="1">(1-('Invoer gegevens (N)'!$F$20/12))*F77*MIN('Reeksen (N)'!B77,'Reeksen (N)'!D77)</f>
        <v>0</v>
      </c>
      <c r="I77" s="84">
        <f>IF('Reeksen (N)'!D77&lt;'Reeksen (N)'!B77,('Reeksen (N)'!B77-'Reeksen (N)'!D77)*F77,0)</f>
        <v>0</v>
      </c>
      <c r="J77" s="84">
        <f ca="1">('Invoer gegevens (N)'!$F$20/12)*F76*MIN('Reeksen (N)'!B76,'Reeksen (N)'!D76)</f>
        <v>0</v>
      </c>
      <c r="K77" s="97">
        <f t="shared" ca="1" si="11"/>
        <v>0</v>
      </c>
      <c r="L77" s="84">
        <f ca="1">IF('Invoer gegevens (N)'!$C$17=E77,0,IF(C77=1,Q76,0))</f>
        <v>0</v>
      </c>
      <c r="M77" s="96">
        <f ca="1">IF(C77&gt;=1,L77*VLOOKUP(E77,'Reeksen (N)'!$A$5:$B$76,2),0)</f>
        <v>0</v>
      </c>
      <c r="N77" s="84">
        <f ca="1">(1-('Invoer gegevens (N)'!$F$20/12))*L77*MIN('Reeksen (N)'!B77,'Reeksen (N)'!D77)</f>
        <v>0</v>
      </c>
      <c r="O77" s="84">
        <f>IF('Reeksen (N)'!D77&lt;'Reeksen (N)'!B77,('Reeksen (N)'!B77-'Reeksen (N)'!D77)*L77,0)</f>
        <v>0</v>
      </c>
      <c r="P77" s="84">
        <f ca="1">('Invoer gegevens (N)'!$F$20/12)*L76*MIN('Reeksen (N)'!B76,'Reeksen (N)'!D76)</f>
        <v>0</v>
      </c>
      <c r="Q77" s="84">
        <f t="shared" ca="1" si="12"/>
        <v>0</v>
      </c>
      <c r="R77" s="82">
        <f ca="1">IF('Invoer gegevens (N)'!$C$17=E77,'Invoer gegevens (N)'!$C$11,IF(C77=1,W76,0))</f>
        <v>0</v>
      </c>
      <c r="S77" s="86">
        <f ca="1">IF(C77&gt;=1,R77*VLOOKUP(E77,'Reeksen (N)'!$A$5:$B$76,2),0)</f>
        <v>0</v>
      </c>
      <c r="T77" s="84">
        <f ca="1">(1-('Invoer gegevens (N)'!$F$20/12))*R77*MIN('Reeksen (N)'!B77,'Reeksen (N)'!D77)</f>
        <v>0</v>
      </c>
      <c r="U77" s="84">
        <f>IF('Reeksen (N)'!D77&gt;='Reeksen (N)'!B77,0,IF('Reeksen (N)'!AD77&lt;='Reeksen (N)'!AE77,('Reeksen (N)'!B77-'Reeksen (N)'!D77)*R77,0))</f>
        <v>0</v>
      </c>
      <c r="V77" s="86">
        <f>IF('Reeksen (N)'!D77&gt;='Reeksen (N)'!B77,0,IF('Reeksen (N)'!AD77&gt;'Reeksen (N)'!AE77,('Reeksen (N)'!B77-'Reeksen (N)'!D77)*R77,0))</f>
        <v>0</v>
      </c>
      <c r="W77" s="97">
        <f t="shared" ca="1" si="13"/>
        <v>0</v>
      </c>
      <c r="X77" s="98">
        <f ca="1">IF('Invoer gegevens (N)'!$C$17=E77,'Invoer gegevens (N)'!$C$10-'Invoer gegevens (N)'!$C$11,IF(C77=1,AC76,0))</f>
        <v>0</v>
      </c>
      <c r="Y77" s="98">
        <f ca="1">IF(C77&gt;=1,X77*VLOOKUP(E77,'Reeksen (N)'!$A$5:$B$76,2),0)</f>
        <v>0</v>
      </c>
      <c r="Z77" s="98">
        <f ca="1">(1-('Invoer gegevens (N)'!$F$20/12))*X77*MIN('Reeksen (N)'!B77,'Reeksen (N)'!D77)</f>
        <v>0</v>
      </c>
      <c r="AA77" s="98">
        <f>IF('Reeksen (N)'!D77&gt;='Reeksen (N)'!B77,0,IF('Reeksen (N)'!AD77&lt;='Reeksen (N)'!AE77,('Reeksen (N)'!B77-'Reeksen (N)'!D77)*X77,0))</f>
        <v>0</v>
      </c>
      <c r="AB77" s="98">
        <f>IF('Reeksen (N)'!D77&gt;='Reeksen (N)'!B77,0,IF('Reeksen (N)'!AD77&gt;'Reeksen (N)'!AE77,('Reeksen (N)'!B77-'Reeksen (N)'!D77)*X77,0))</f>
        <v>0</v>
      </c>
      <c r="AC77" s="99">
        <f t="shared" ca="1" si="14"/>
        <v>0</v>
      </c>
      <c r="AD77" s="98">
        <f ca="1">IF('Invoer gegevens (N)'!$C$17=E77,R77,IF(C77=0,0,AE76))</f>
        <v>0</v>
      </c>
      <c r="AE77" s="98">
        <f t="shared" ca="1" si="15"/>
        <v>0</v>
      </c>
      <c r="AF77" s="98">
        <f ca="1">IF('Invoer gegevens (N)'!$C$17=E77,X77,IF(C77=0,0,AG76))</f>
        <v>0</v>
      </c>
      <c r="AG77" s="98">
        <f t="shared" ca="1" si="16"/>
        <v>0</v>
      </c>
      <c r="AH77" s="66"/>
      <c r="AI77" s="71">
        <f ca="1">IF(C77=1,'Reeksen (N)'!AI77*((F77-G77+F77)/2)*12+'Reeksen (N)'!AD77*((L77-M77+L77)/2)*12,0)</f>
        <v>0</v>
      </c>
      <c r="AJ77" s="71">
        <f ca="1">-AI77*'Invoer gegevens (N)'!$F$28</f>
        <v>0</v>
      </c>
      <c r="AK77" s="71">
        <f t="shared" ca="1" si="17"/>
        <v>0</v>
      </c>
      <c r="AL77" s="71">
        <f ca="1">IF(C77=1,'Reeksen (N)'!AL77*((F77-G77+F77)/2)*12+'Reeksen (N)'!AM77*((L77-M77+L77)/2)*12,0)</f>
        <v>0</v>
      </c>
      <c r="AM77" s="71">
        <f ca="1">-AL77*'Invoer gegevens (N)'!$F$31</f>
        <v>0</v>
      </c>
      <c r="AN77" s="71">
        <f t="shared" ca="1" si="18"/>
        <v>0</v>
      </c>
      <c r="AO77" s="71">
        <f ca="1">IF(C77=1,(H77+J77+N77+P77)*'Reeksen (N)'!AN77,0)</f>
        <v>0</v>
      </c>
      <c r="AP77" s="71">
        <f ca="1">-IF(C77=1,(H77+J77+N77+P77)*'Hulp - basis'!$O$550*'Reeksen (N)'!H77,0)</f>
        <v>0</v>
      </c>
      <c r="AQ77" s="71">
        <f ca="1">-IF(C77=1,(F77+K77+L77+Q77)/2*'Invoer gegevens (N)'!$F$35*'Reeksen (N)'!J77,0)*2</f>
        <v>0</v>
      </c>
      <c r="AR77" s="71"/>
      <c r="AS77" s="71">
        <f ca="1">-IF(C77=1,(F77+K77+L77+Q77)/2*'Invoer gegevens (N)'!$F$37*'Reeksen (N)'!L77,0)</f>
        <v>0</v>
      </c>
      <c r="AT77" s="71">
        <f ca="1">-IF(C77=1,IF(E77='Invoer gegevens (N)'!$C$17,'Invoer gegevens (N)'!$C$11,AD77)*'Reeksen (N)'!S77*'Invoer gegevens (N)'!$C$18*'Reeksen (N)'!P77,0)</f>
        <v>0</v>
      </c>
      <c r="AU77" s="71">
        <f ca="1">-IF(C77=1,(F77+K77+L77+Q77)/2*'Invoer gegevens (N)'!$F$38*'Reeksen (N)'!H77,0)</f>
        <v>0</v>
      </c>
      <c r="AV77" s="71">
        <v>0</v>
      </c>
      <c r="AW77" s="71">
        <f t="shared" ca="1" si="19"/>
        <v>0</v>
      </c>
      <c r="AX77" s="71">
        <f ca="1">IF(E77&lt;'Invoer gegevens (N)'!$C$17+15,0,IF(E77&gt;'Invoer gegevens (N)'!$C$17+215,0,AW77))</f>
        <v>0</v>
      </c>
      <c r="AY77" s="71">
        <f ca="1">AX77/(1+'Invoer gegevens (N)'!$F$18)^($AZ77-('Invoer gegevens (N)'!$C$17-'Invoer gegevens (N)'!$C$16))/(1+'Invoer gegevens (N)'!$C$39)^('Invoer gegevens (N)'!$C$17-'Invoer gegevens (N)'!$C$16)</f>
        <v>0</v>
      </c>
      <c r="AZ77" s="68">
        <f ca="1">IF(E77-'Invoer gegevens (N)'!$C$17-14.5&lt;0,0,E77-'Invoer gegevens (N)'!$C$17-14.5)</f>
        <v>57.5</v>
      </c>
    </row>
    <row r="78" spans="1:52" x14ac:dyDescent="0.25">
      <c r="A78" s="59"/>
      <c r="B78" s="70">
        <f t="shared" si="20"/>
        <v>74</v>
      </c>
      <c r="C78" s="67">
        <f ca="1">IF(E78-'Invoer gegevens (N)'!$C$17&lt;0,0,1)</f>
        <v>1</v>
      </c>
      <c r="D78" s="68">
        <f t="shared" si="21"/>
        <v>73.5</v>
      </c>
      <c r="E78" s="69">
        <f ca="1">IF('Invoer gegevens (N)'!$C$16="","",E77+1)</f>
        <v>2092</v>
      </c>
      <c r="F78" s="84">
        <f ca="1">IF('Invoer gegevens (N)'!$C$17=E78,'Invoer gegevens (N)'!$C$10,IF(C78=1,K77,0))</f>
        <v>0</v>
      </c>
      <c r="G78" s="96">
        <f ca="1">IF(C78&gt;=1,F78*VLOOKUP(E78,'Reeksen (N)'!$A$5:$B$76,2),0)</f>
        <v>0</v>
      </c>
      <c r="H78" s="84">
        <f ca="1">(1-('Invoer gegevens (N)'!$F$20/12))*F78*MIN('Reeksen (N)'!B78,'Reeksen (N)'!D78)</f>
        <v>0</v>
      </c>
      <c r="I78" s="84">
        <f>IF('Reeksen (N)'!D78&lt;'Reeksen (N)'!B78,('Reeksen (N)'!B78-'Reeksen (N)'!D78)*F78,0)</f>
        <v>0</v>
      </c>
      <c r="J78" s="84">
        <f ca="1">('Invoer gegevens (N)'!$F$20/12)*F77*MIN('Reeksen (N)'!B77,'Reeksen (N)'!D77)</f>
        <v>0</v>
      </c>
      <c r="K78" s="97">
        <f t="shared" ca="1" si="11"/>
        <v>0</v>
      </c>
      <c r="L78" s="84">
        <f ca="1">IF('Invoer gegevens (N)'!$C$17=E78,0,IF(C78=1,Q77,0))</f>
        <v>0</v>
      </c>
      <c r="M78" s="96">
        <f ca="1">IF(C78&gt;=1,L78*VLOOKUP(E78,'Reeksen (N)'!$A$5:$B$76,2),0)</f>
        <v>0</v>
      </c>
      <c r="N78" s="84">
        <f ca="1">(1-('Invoer gegevens (N)'!$F$20/12))*L78*MIN('Reeksen (N)'!B78,'Reeksen (N)'!D78)</f>
        <v>0</v>
      </c>
      <c r="O78" s="84">
        <f>IF('Reeksen (N)'!D78&lt;'Reeksen (N)'!B78,('Reeksen (N)'!B78-'Reeksen (N)'!D78)*L78,0)</f>
        <v>0</v>
      </c>
      <c r="P78" s="84">
        <f ca="1">('Invoer gegevens (N)'!$F$20/12)*L77*MIN('Reeksen (N)'!B77,'Reeksen (N)'!D77)</f>
        <v>0</v>
      </c>
      <c r="Q78" s="84">
        <f t="shared" ca="1" si="12"/>
        <v>0</v>
      </c>
      <c r="R78" s="82">
        <f ca="1">IF('Invoer gegevens (N)'!$C$17=E78,'Invoer gegevens (N)'!$C$11,IF(C78=1,W77,0))</f>
        <v>0</v>
      </c>
      <c r="S78" s="86">
        <f ca="1">IF(C78&gt;=1,R78*VLOOKUP(E78,'Reeksen (N)'!$A$5:$B$76,2),0)</f>
        <v>0</v>
      </c>
      <c r="T78" s="84">
        <f ca="1">(1-('Invoer gegevens (N)'!$F$20/12))*R78*MIN('Reeksen (N)'!B78,'Reeksen (N)'!D78)</f>
        <v>0</v>
      </c>
      <c r="U78" s="84">
        <f>IF('Reeksen (N)'!D78&gt;='Reeksen (N)'!B78,0,IF('Reeksen (N)'!AD78&lt;='Reeksen (N)'!AE78,('Reeksen (N)'!B78-'Reeksen (N)'!D78)*R78,0))</f>
        <v>0</v>
      </c>
      <c r="V78" s="86">
        <f>IF('Reeksen (N)'!D78&gt;='Reeksen (N)'!B78,0,IF('Reeksen (N)'!AD78&gt;'Reeksen (N)'!AE78,('Reeksen (N)'!B78-'Reeksen (N)'!D78)*R78,0))</f>
        <v>0</v>
      </c>
      <c r="W78" s="97">
        <f t="shared" ca="1" si="13"/>
        <v>0</v>
      </c>
      <c r="X78" s="98">
        <f ca="1">IF('Invoer gegevens (N)'!$C$17=E78,'Invoer gegevens (N)'!$C$10-'Invoer gegevens (N)'!$C$11,IF(C78=1,AC77,0))</f>
        <v>0</v>
      </c>
      <c r="Y78" s="98">
        <f ca="1">IF(C78&gt;=1,X78*VLOOKUP(E78,'Reeksen (N)'!$A$5:$B$76,2),0)</f>
        <v>0</v>
      </c>
      <c r="Z78" s="98">
        <f ca="1">(1-('Invoer gegevens (N)'!$F$20/12))*X78*MIN('Reeksen (N)'!B78,'Reeksen (N)'!D78)</f>
        <v>0</v>
      </c>
      <c r="AA78" s="98">
        <f>IF('Reeksen (N)'!D78&gt;='Reeksen (N)'!B78,0,IF('Reeksen (N)'!AD78&lt;='Reeksen (N)'!AE78,('Reeksen (N)'!B78-'Reeksen (N)'!D78)*X78,0))</f>
        <v>0</v>
      </c>
      <c r="AB78" s="98">
        <f>IF('Reeksen (N)'!D78&gt;='Reeksen (N)'!B78,0,IF('Reeksen (N)'!AD78&gt;'Reeksen (N)'!AE78,('Reeksen (N)'!B78-'Reeksen (N)'!D78)*X78,0))</f>
        <v>0</v>
      </c>
      <c r="AC78" s="99">
        <f t="shared" ca="1" si="14"/>
        <v>0</v>
      </c>
      <c r="AD78" s="98">
        <f ca="1">IF('Invoer gegevens (N)'!$C$17=E78,R78,IF(C78=0,0,AE77))</f>
        <v>0</v>
      </c>
      <c r="AE78" s="98">
        <f t="shared" ca="1" si="15"/>
        <v>0</v>
      </c>
      <c r="AF78" s="98">
        <f ca="1">IF('Invoer gegevens (N)'!$C$17=E78,X78,IF(C78=0,0,AG77))</f>
        <v>0</v>
      </c>
      <c r="AG78" s="98">
        <f t="shared" ca="1" si="16"/>
        <v>0</v>
      </c>
      <c r="AH78" s="66"/>
      <c r="AI78" s="71">
        <f ca="1">IF(C78=1,'Reeksen (N)'!AI78*((F78-G78+F78)/2)*12+'Reeksen (N)'!AD78*((L78-M78+L78)/2)*12,0)</f>
        <v>0</v>
      </c>
      <c r="AJ78" s="71">
        <f ca="1">-AI78*'Invoer gegevens (N)'!$F$28</f>
        <v>0</v>
      </c>
      <c r="AK78" s="71">
        <f t="shared" ca="1" si="17"/>
        <v>0</v>
      </c>
      <c r="AL78" s="71">
        <f ca="1">IF(C78=1,'Reeksen (N)'!AL78*((F78-G78+F78)/2)*12+'Reeksen (N)'!AM78*((L78-M78+L78)/2)*12,0)</f>
        <v>0</v>
      </c>
      <c r="AM78" s="71">
        <f ca="1">-AL78*'Invoer gegevens (N)'!$F$31</f>
        <v>0</v>
      </c>
      <c r="AN78" s="71">
        <f t="shared" ca="1" si="18"/>
        <v>0</v>
      </c>
      <c r="AO78" s="71">
        <f ca="1">IF(C78=1,(H78+J78+N78+P78)*'Reeksen (N)'!AN78,0)</f>
        <v>0</v>
      </c>
      <c r="AP78" s="71">
        <f ca="1">-IF(C78=1,(H78+J78+N78+P78)*'Hulp - basis'!$O$550*'Reeksen (N)'!H78,0)</f>
        <v>0</v>
      </c>
      <c r="AQ78" s="71">
        <f ca="1">-IF(C78=1,(F78+K78+L78+Q78)/2*'Invoer gegevens (N)'!$F$35*'Reeksen (N)'!J78,0)*2</f>
        <v>0</v>
      </c>
      <c r="AR78" s="71"/>
      <c r="AS78" s="71">
        <f ca="1">-IF(C78=1,(F78+K78+L78+Q78)/2*'Invoer gegevens (N)'!$F$37*'Reeksen (N)'!L78,0)</f>
        <v>0</v>
      </c>
      <c r="AT78" s="71">
        <f ca="1">-IF(C78=1,IF(E78='Invoer gegevens (N)'!$C$17,'Invoer gegevens (N)'!$C$11,AD78)*'Reeksen (N)'!S78*'Invoer gegevens (N)'!$C$18*'Reeksen (N)'!P78,0)</f>
        <v>0</v>
      </c>
      <c r="AU78" s="71">
        <f ca="1">-IF(C78=1,(F78+K78+L78+Q78)/2*'Invoer gegevens (N)'!$F$38*'Reeksen (N)'!H78,0)</f>
        <v>0</v>
      </c>
      <c r="AV78" s="71">
        <v>0</v>
      </c>
      <c r="AW78" s="71">
        <f t="shared" ca="1" si="19"/>
        <v>0</v>
      </c>
      <c r="AX78" s="71">
        <f ca="1">IF(E78&lt;'Invoer gegevens (N)'!$C$17+15,0,IF(E78&gt;'Invoer gegevens (N)'!$C$17+215,0,AW78))</f>
        <v>0</v>
      </c>
      <c r="AY78" s="71">
        <f ca="1">AX78/(1+'Invoer gegevens (N)'!$F$18)^($AZ78-('Invoer gegevens (N)'!$C$17-'Invoer gegevens (N)'!$C$16))/(1+'Invoer gegevens (N)'!$C$39)^('Invoer gegevens (N)'!$C$17-'Invoer gegevens (N)'!$C$16)</f>
        <v>0</v>
      </c>
      <c r="AZ78" s="68">
        <f ca="1">IF(E78-'Invoer gegevens (N)'!$C$17-14.5&lt;0,0,E78-'Invoer gegevens (N)'!$C$17-14.5)</f>
        <v>58.5</v>
      </c>
    </row>
    <row r="79" spans="1:52" x14ac:dyDescent="0.25">
      <c r="A79" s="59"/>
      <c r="B79" s="70">
        <f t="shared" si="20"/>
        <v>75</v>
      </c>
      <c r="C79" s="67">
        <f ca="1">IF(E79-'Invoer gegevens (N)'!$C$17&lt;0,0,1)</f>
        <v>1</v>
      </c>
      <c r="D79" s="68">
        <f t="shared" si="21"/>
        <v>74.5</v>
      </c>
      <c r="E79" s="69">
        <f ca="1">IF('Invoer gegevens (N)'!$C$16="","",E78+1)</f>
        <v>2093</v>
      </c>
      <c r="F79" s="84">
        <f ca="1">IF('Invoer gegevens (N)'!$C$17=E79,'Invoer gegevens (N)'!$C$10,IF(C79=1,K78,0))</f>
        <v>0</v>
      </c>
      <c r="G79" s="96">
        <f ca="1">IF(C79&gt;=1,F79*VLOOKUP(E79,'Reeksen (N)'!$A$5:$B$76,2),0)</f>
        <v>0</v>
      </c>
      <c r="H79" s="84">
        <f ca="1">(1-('Invoer gegevens (N)'!$F$20/12))*F79*MIN('Reeksen (N)'!B79,'Reeksen (N)'!D79)</f>
        <v>0</v>
      </c>
      <c r="I79" s="84">
        <f>IF('Reeksen (N)'!D79&lt;'Reeksen (N)'!B79,('Reeksen (N)'!B79-'Reeksen (N)'!D79)*F79,0)</f>
        <v>0</v>
      </c>
      <c r="J79" s="84">
        <f ca="1">('Invoer gegevens (N)'!$F$20/12)*F78*MIN('Reeksen (N)'!B78,'Reeksen (N)'!D78)</f>
        <v>0</v>
      </c>
      <c r="K79" s="97">
        <f t="shared" ca="1" si="11"/>
        <v>0</v>
      </c>
      <c r="L79" s="84">
        <f ca="1">IF('Invoer gegevens (N)'!$C$17=E79,0,IF(C79=1,Q78,0))</f>
        <v>0</v>
      </c>
      <c r="M79" s="96">
        <f ca="1">IF(C79&gt;=1,L79*VLOOKUP(E79,'Reeksen (N)'!$A$5:$B$76,2),0)</f>
        <v>0</v>
      </c>
      <c r="N79" s="84">
        <f ca="1">(1-('Invoer gegevens (N)'!$F$20/12))*L79*MIN('Reeksen (N)'!B79,'Reeksen (N)'!D79)</f>
        <v>0</v>
      </c>
      <c r="O79" s="84">
        <f>IF('Reeksen (N)'!D79&lt;'Reeksen (N)'!B79,('Reeksen (N)'!B79-'Reeksen (N)'!D79)*L79,0)</f>
        <v>0</v>
      </c>
      <c r="P79" s="84">
        <f ca="1">('Invoer gegevens (N)'!$F$20/12)*L78*MIN('Reeksen (N)'!B78,'Reeksen (N)'!D78)</f>
        <v>0</v>
      </c>
      <c r="Q79" s="84">
        <f t="shared" ca="1" si="12"/>
        <v>0</v>
      </c>
      <c r="R79" s="82">
        <f ca="1">IF('Invoer gegevens (N)'!$C$17=E79,'Invoer gegevens (N)'!$C$11,IF(C79=1,W78,0))</f>
        <v>0</v>
      </c>
      <c r="S79" s="86">
        <f ca="1">IF(C79&gt;=1,R79*VLOOKUP(E79,'Reeksen (N)'!$A$5:$B$76,2),0)</f>
        <v>0</v>
      </c>
      <c r="T79" s="84">
        <f ca="1">(1-('Invoer gegevens (N)'!$F$20/12))*R79*MIN('Reeksen (N)'!B79,'Reeksen (N)'!D79)</f>
        <v>0</v>
      </c>
      <c r="U79" s="84">
        <f>IF('Reeksen (N)'!D79&gt;='Reeksen (N)'!B79,0,IF('Reeksen (N)'!AD79&lt;='Reeksen (N)'!AE79,('Reeksen (N)'!B79-'Reeksen (N)'!D79)*R79,0))</f>
        <v>0</v>
      </c>
      <c r="V79" s="86">
        <f>IF('Reeksen (N)'!D79&gt;='Reeksen (N)'!B79,0,IF('Reeksen (N)'!AD79&gt;'Reeksen (N)'!AE79,('Reeksen (N)'!B79-'Reeksen (N)'!D79)*R79,0))</f>
        <v>0</v>
      </c>
      <c r="W79" s="97">
        <f t="shared" ca="1" si="13"/>
        <v>0</v>
      </c>
      <c r="X79" s="98">
        <f ca="1">IF('Invoer gegevens (N)'!$C$17=E79,'Invoer gegevens (N)'!$C$10-'Invoer gegevens (N)'!$C$11,IF(C79=1,AC78,0))</f>
        <v>0</v>
      </c>
      <c r="Y79" s="98">
        <f ca="1">IF(C79&gt;=1,X79*VLOOKUP(E79,'Reeksen (N)'!$A$5:$B$76,2),0)</f>
        <v>0</v>
      </c>
      <c r="Z79" s="98">
        <f ca="1">(1-('Invoer gegevens (N)'!$F$20/12))*X79*MIN('Reeksen (N)'!B79,'Reeksen (N)'!D79)</f>
        <v>0</v>
      </c>
      <c r="AA79" s="98">
        <f>IF('Reeksen (N)'!D79&gt;='Reeksen (N)'!B79,0,IF('Reeksen (N)'!AD79&lt;='Reeksen (N)'!AE79,('Reeksen (N)'!B79-'Reeksen (N)'!D79)*X79,0))</f>
        <v>0</v>
      </c>
      <c r="AB79" s="98">
        <f>IF('Reeksen (N)'!D79&gt;='Reeksen (N)'!B79,0,IF('Reeksen (N)'!AD79&gt;'Reeksen (N)'!AE79,('Reeksen (N)'!B79-'Reeksen (N)'!D79)*X79,0))</f>
        <v>0</v>
      </c>
      <c r="AC79" s="99">
        <f t="shared" ca="1" si="14"/>
        <v>0</v>
      </c>
      <c r="AD79" s="98">
        <f ca="1">IF('Invoer gegevens (N)'!$C$17=E79,R79,IF(C79=0,0,AE78))</f>
        <v>0</v>
      </c>
      <c r="AE79" s="98">
        <f t="shared" ca="1" si="15"/>
        <v>0</v>
      </c>
      <c r="AF79" s="98">
        <f ca="1">IF('Invoer gegevens (N)'!$C$17=E79,X79,IF(C79=0,0,AG78))</f>
        <v>0</v>
      </c>
      <c r="AG79" s="98">
        <f t="shared" ca="1" si="16"/>
        <v>0</v>
      </c>
      <c r="AH79" s="66"/>
      <c r="AI79" s="71">
        <f ca="1">IF(C79=1,'Reeksen (N)'!AI79*((F79-G79+F79)/2)*12+'Reeksen (N)'!AD79*((L79-M79+L79)/2)*12,0)</f>
        <v>0</v>
      </c>
      <c r="AJ79" s="71">
        <f ca="1">-AI79*'Invoer gegevens (N)'!$F$28</f>
        <v>0</v>
      </c>
      <c r="AK79" s="71">
        <f t="shared" ca="1" si="17"/>
        <v>0</v>
      </c>
      <c r="AL79" s="71">
        <f ca="1">IF(C79=1,'Reeksen (N)'!AL79*((F79-G79+F79)/2)*12+'Reeksen (N)'!AM79*((L79-M79+L79)/2)*12,0)</f>
        <v>0</v>
      </c>
      <c r="AM79" s="71">
        <f ca="1">-AL79*'Invoer gegevens (N)'!$F$31</f>
        <v>0</v>
      </c>
      <c r="AN79" s="71">
        <f t="shared" ca="1" si="18"/>
        <v>0</v>
      </c>
      <c r="AO79" s="71">
        <f ca="1">IF(C79=1,(H79+J79+N79+P79)*'Reeksen (N)'!AN79,0)</f>
        <v>0</v>
      </c>
      <c r="AP79" s="71">
        <f ca="1">-IF(C79=1,(H79+J79+N79+P79)*'Hulp - basis'!$O$550*'Reeksen (N)'!H79,0)</f>
        <v>0</v>
      </c>
      <c r="AQ79" s="71">
        <f ca="1">-IF(C79=1,(F79+K79+L79+Q79)/2*'Invoer gegevens (N)'!$F$35*'Reeksen (N)'!J79,0)*2</f>
        <v>0</v>
      </c>
      <c r="AR79" s="71"/>
      <c r="AS79" s="71">
        <f ca="1">-IF(C79=1,(F79+K79+L79+Q79)/2*'Invoer gegevens (N)'!$F$37*'Reeksen (N)'!L79,0)</f>
        <v>0</v>
      </c>
      <c r="AT79" s="71">
        <f ca="1">-IF(C79=1,IF(E79='Invoer gegevens (N)'!$C$17,'Invoer gegevens (N)'!$C$11,AD79)*'Reeksen (N)'!S79*'Invoer gegevens (N)'!$C$18*'Reeksen (N)'!P79,0)</f>
        <v>0</v>
      </c>
      <c r="AU79" s="71">
        <f ca="1">-IF(C79=1,(F79+K79+L79+Q79)/2*'Invoer gegevens (N)'!$F$38*'Reeksen (N)'!H79,0)</f>
        <v>0</v>
      </c>
      <c r="AV79" s="71">
        <v>0</v>
      </c>
      <c r="AW79" s="71">
        <f t="shared" ca="1" si="19"/>
        <v>0</v>
      </c>
      <c r="AX79" s="71">
        <f ca="1">IF(E79&lt;'Invoer gegevens (N)'!$C$17+15,0,IF(E79&gt;'Invoer gegevens (N)'!$C$17+215,0,AW79))</f>
        <v>0</v>
      </c>
      <c r="AY79" s="71">
        <f ca="1">AX79/(1+'Invoer gegevens (N)'!$F$18)^($AZ79-('Invoer gegevens (N)'!$C$17-'Invoer gegevens (N)'!$C$16))/(1+'Invoer gegevens (N)'!$C$39)^('Invoer gegevens (N)'!$C$17-'Invoer gegevens (N)'!$C$16)</f>
        <v>0</v>
      </c>
      <c r="AZ79" s="68">
        <f ca="1">IF(E79-'Invoer gegevens (N)'!$C$17-14.5&lt;0,0,E79-'Invoer gegevens (N)'!$C$17-14.5)</f>
        <v>59.5</v>
      </c>
    </row>
    <row r="80" spans="1:52" x14ac:dyDescent="0.25">
      <c r="A80" s="59"/>
      <c r="B80" s="70">
        <f t="shared" si="20"/>
        <v>76</v>
      </c>
      <c r="C80" s="67">
        <f ca="1">IF(E80-'Invoer gegevens (N)'!$C$17&lt;0,0,1)</f>
        <v>1</v>
      </c>
      <c r="D80" s="68">
        <f t="shared" si="21"/>
        <v>75.5</v>
      </c>
      <c r="E80" s="69">
        <f ca="1">IF('Invoer gegevens (N)'!$C$16="","",E79+1)</f>
        <v>2094</v>
      </c>
      <c r="F80" s="84">
        <f ca="1">IF('Invoer gegevens (N)'!$C$17=E80,'Invoer gegevens (N)'!$C$10,IF(C80=1,K79,0))</f>
        <v>0</v>
      </c>
      <c r="G80" s="96">
        <f ca="1">IF(C80&gt;=1,F80*VLOOKUP(E80,'Reeksen (N)'!$A$5:$B$76,2),0)</f>
        <v>0</v>
      </c>
      <c r="H80" s="84">
        <f ca="1">(1-('Invoer gegevens (N)'!$F$20/12))*F80*MIN('Reeksen (N)'!B80,'Reeksen (N)'!D80)</f>
        <v>0</v>
      </c>
      <c r="I80" s="84">
        <f>IF('Reeksen (N)'!D80&lt;'Reeksen (N)'!B80,('Reeksen (N)'!B80-'Reeksen (N)'!D80)*F80,0)</f>
        <v>0</v>
      </c>
      <c r="J80" s="84">
        <f ca="1">('Invoer gegevens (N)'!$F$20/12)*F79*MIN('Reeksen (N)'!B79,'Reeksen (N)'!D79)</f>
        <v>0</v>
      </c>
      <c r="K80" s="97">
        <f t="shared" ca="1" si="11"/>
        <v>0</v>
      </c>
      <c r="L80" s="84">
        <f ca="1">IF('Invoer gegevens (N)'!$C$17=E80,0,IF(C80=1,Q79,0))</f>
        <v>0</v>
      </c>
      <c r="M80" s="96">
        <f ca="1">IF(C80&gt;=1,L80*VLOOKUP(E80,'Reeksen (N)'!$A$5:$B$76,2),0)</f>
        <v>0</v>
      </c>
      <c r="N80" s="84">
        <f ca="1">(1-('Invoer gegevens (N)'!$F$20/12))*L80*MIN('Reeksen (N)'!B80,'Reeksen (N)'!D80)</f>
        <v>0</v>
      </c>
      <c r="O80" s="84">
        <f>IF('Reeksen (N)'!D80&lt;'Reeksen (N)'!B80,('Reeksen (N)'!B80-'Reeksen (N)'!D80)*L80,0)</f>
        <v>0</v>
      </c>
      <c r="P80" s="84">
        <f ca="1">('Invoer gegevens (N)'!$F$20/12)*L79*MIN('Reeksen (N)'!B79,'Reeksen (N)'!D79)</f>
        <v>0</v>
      </c>
      <c r="Q80" s="84">
        <f t="shared" ca="1" si="12"/>
        <v>0</v>
      </c>
      <c r="R80" s="82">
        <f ca="1">IF('Invoer gegevens (N)'!$C$17=E80,'Invoer gegevens (N)'!$C$11,IF(C80=1,W79,0))</f>
        <v>0</v>
      </c>
      <c r="S80" s="86">
        <f ca="1">IF(C80&gt;=1,R80*VLOOKUP(E80,'Reeksen (N)'!$A$5:$B$76,2),0)</f>
        <v>0</v>
      </c>
      <c r="T80" s="84">
        <f ca="1">(1-('Invoer gegevens (N)'!$F$20/12))*R80*MIN('Reeksen (N)'!B80,'Reeksen (N)'!D80)</f>
        <v>0</v>
      </c>
      <c r="U80" s="84">
        <f>IF('Reeksen (N)'!D80&gt;='Reeksen (N)'!B80,0,IF('Reeksen (N)'!AD80&lt;='Reeksen (N)'!AE80,('Reeksen (N)'!B80-'Reeksen (N)'!D80)*R80,0))</f>
        <v>0</v>
      </c>
      <c r="V80" s="86">
        <f>IF('Reeksen (N)'!D80&gt;='Reeksen (N)'!B80,0,IF('Reeksen (N)'!AD80&gt;'Reeksen (N)'!AE80,('Reeksen (N)'!B80-'Reeksen (N)'!D80)*R80,0))</f>
        <v>0</v>
      </c>
      <c r="W80" s="97">
        <f t="shared" ca="1" si="13"/>
        <v>0</v>
      </c>
      <c r="X80" s="98">
        <f ca="1">IF('Invoer gegevens (N)'!$C$17=E80,'Invoer gegevens (N)'!$C$10-'Invoer gegevens (N)'!$C$11,IF(C80=1,AC79,0))</f>
        <v>0</v>
      </c>
      <c r="Y80" s="98">
        <f ca="1">IF(C80&gt;=1,X80*VLOOKUP(E80,'Reeksen (N)'!$A$5:$B$76,2),0)</f>
        <v>0</v>
      </c>
      <c r="Z80" s="98">
        <f ca="1">(1-('Invoer gegevens (N)'!$F$20/12))*X80*MIN('Reeksen (N)'!B80,'Reeksen (N)'!D80)</f>
        <v>0</v>
      </c>
      <c r="AA80" s="98">
        <f>IF('Reeksen (N)'!D80&gt;='Reeksen (N)'!B80,0,IF('Reeksen (N)'!AD80&lt;='Reeksen (N)'!AE80,('Reeksen (N)'!B80-'Reeksen (N)'!D80)*X80,0))</f>
        <v>0</v>
      </c>
      <c r="AB80" s="98">
        <f>IF('Reeksen (N)'!D80&gt;='Reeksen (N)'!B80,0,IF('Reeksen (N)'!AD80&gt;'Reeksen (N)'!AE80,('Reeksen (N)'!B80-'Reeksen (N)'!D80)*X80,0))</f>
        <v>0</v>
      </c>
      <c r="AC80" s="99">
        <f t="shared" ca="1" si="14"/>
        <v>0</v>
      </c>
      <c r="AD80" s="98">
        <f ca="1">IF('Invoer gegevens (N)'!$C$17=E80,R80,IF(C80=0,0,AE79))</f>
        <v>0</v>
      </c>
      <c r="AE80" s="98">
        <f t="shared" ca="1" si="15"/>
        <v>0</v>
      </c>
      <c r="AF80" s="98">
        <f ca="1">IF('Invoer gegevens (N)'!$C$17=E80,X80,IF(C80=0,0,AG79))</f>
        <v>0</v>
      </c>
      <c r="AG80" s="98">
        <f t="shared" ca="1" si="16"/>
        <v>0</v>
      </c>
      <c r="AH80" s="66"/>
      <c r="AI80" s="71">
        <f ca="1">IF(C80=1,'Reeksen (N)'!AI80*((F80-G80+F80)/2)*12+'Reeksen (N)'!AD80*((L80-M80+L80)/2)*12,0)</f>
        <v>0</v>
      </c>
      <c r="AJ80" s="71">
        <f ca="1">-AI80*'Invoer gegevens (N)'!$F$28</f>
        <v>0</v>
      </c>
      <c r="AK80" s="71">
        <f t="shared" ca="1" si="17"/>
        <v>0</v>
      </c>
      <c r="AL80" s="71">
        <f ca="1">IF(C80=1,'Reeksen (N)'!AL80*((F80-G80+F80)/2)*12+'Reeksen (N)'!AM80*((L80-M80+L80)/2)*12,0)</f>
        <v>0</v>
      </c>
      <c r="AM80" s="71">
        <f ca="1">-AL80*'Invoer gegevens (N)'!$F$31</f>
        <v>0</v>
      </c>
      <c r="AN80" s="71">
        <f t="shared" ca="1" si="18"/>
        <v>0</v>
      </c>
      <c r="AO80" s="71">
        <f ca="1">IF(C80=1,(H80+J80+N80+P80)*'Reeksen (N)'!AN80,0)</f>
        <v>0</v>
      </c>
      <c r="AP80" s="71">
        <f ca="1">-IF(C80=1,(H80+J80+N80+P80)*'Hulp - basis'!$O$550*'Reeksen (N)'!H80,0)</f>
        <v>0</v>
      </c>
      <c r="AQ80" s="71">
        <f ca="1">-IF(C80=1,(F80+K80+L80+Q80)/2*'Invoer gegevens (N)'!$F$35*'Reeksen (N)'!J80,0)*2</f>
        <v>0</v>
      </c>
      <c r="AR80" s="71"/>
      <c r="AS80" s="71">
        <f ca="1">-IF(C80=1,(F80+K80+L80+Q80)/2*'Invoer gegevens (N)'!$F$37*'Reeksen (N)'!L80,0)</f>
        <v>0</v>
      </c>
      <c r="AT80" s="71">
        <f ca="1">-IF(C80=1,IF(E80='Invoer gegevens (N)'!$C$17,'Invoer gegevens (N)'!$C$11,AD80)*'Reeksen (N)'!S80*'Invoer gegevens (N)'!$C$18*'Reeksen (N)'!P80,0)</f>
        <v>0</v>
      </c>
      <c r="AU80" s="71">
        <f ca="1">-IF(C80=1,(F80+K80+L80+Q80)/2*'Invoer gegevens (N)'!$F$38*'Reeksen (N)'!H80,0)</f>
        <v>0</v>
      </c>
      <c r="AV80" s="71">
        <v>0</v>
      </c>
      <c r="AW80" s="71">
        <f t="shared" ca="1" si="19"/>
        <v>0</v>
      </c>
      <c r="AX80" s="71">
        <f ca="1">IF(E80&lt;'Invoer gegevens (N)'!$C$17+15,0,IF(E80&gt;'Invoer gegevens (N)'!$C$17+215,0,AW80))</f>
        <v>0</v>
      </c>
      <c r="AY80" s="71">
        <f ca="1">AX80/(1+'Invoer gegevens (N)'!$F$18)^($AZ80-('Invoer gegevens (N)'!$C$17-'Invoer gegevens (N)'!$C$16))/(1+'Invoer gegevens (N)'!$C$39)^('Invoer gegevens (N)'!$C$17-'Invoer gegevens (N)'!$C$16)</f>
        <v>0</v>
      </c>
      <c r="AZ80" s="68">
        <f ca="1">IF(E80-'Invoer gegevens (N)'!$C$17-14.5&lt;0,0,E80-'Invoer gegevens (N)'!$C$17-14.5)</f>
        <v>60.5</v>
      </c>
    </row>
    <row r="81" spans="1:52" x14ac:dyDescent="0.25">
      <c r="A81" s="59"/>
      <c r="B81" s="70">
        <f t="shared" si="20"/>
        <v>77</v>
      </c>
      <c r="C81" s="67">
        <f ca="1">IF(E81-'Invoer gegevens (N)'!$C$17&lt;0,0,1)</f>
        <v>1</v>
      </c>
      <c r="D81" s="68">
        <f t="shared" si="21"/>
        <v>76.5</v>
      </c>
      <c r="E81" s="69">
        <f ca="1">IF('Invoer gegevens (N)'!$C$16="","",E80+1)</f>
        <v>2095</v>
      </c>
      <c r="F81" s="84">
        <f ca="1">IF('Invoer gegevens (N)'!$C$17=E81,'Invoer gegevens (N)'!$C$10,IF(C81=1,K80,0))</f>
        <v>0</v>
      </c>
      <c r="G81" s="96">
        <f ca="1">IF(C81&gt;=1,F81*VLOOKUP(E81,'Reeksen (N)'!$A$5:$B$76,2),0)</f>
        <v>0</v>
      </c>
      <c r="H81" s="84">
        <f ca="1">(1-('Invoer gegevens (N)'!$F$20/12))*F81*MIN('Reeksen (N)'!B81,'Reeksen (N)'!D81)</f>
        <v>0</v>
      </c>
      <c r="I81" s="84">
        <f>IF('Reeksen (N)'!D81&lt;'Reeksen (N)'!B81,('Reeksen (N)'!B81-'Reeksen (N)'!D81)*F81,0)</f>
        <v>0</v>
      </c>
      <c r="J81" s="84">
        <f ca="1">('Invoer gegevens (N)'!$F$20/12)*F80*MIN('Reeksen (N)'!B80,'Reeksen (N)'!D80)</f>
        <v>0</v>
      </c>
      <c r="K81" s="97">
        <f t="shared" ca="1" si="11"/>
        <v>0</v>
      </c>
      <c r="L81" s="84">
        <f ca="1">IF('Invoer gegevens (N)'!$C$17=E81,0,IF(C81=1,Q80,0))</f>
        <v>0</v>
      </c>
      <c r="M81" s="96">
        <f ca="1">IF(C81&gt;=1,L81*VLOOKUP(E81,'Reeksen (N)'!$A$5:$B$76,2),0)</f>
        <v>0</v>
      </c>
      <c r="N81" s="84">
        <f ca="1">(1-('Invoer gegevens (N)'!$F$20/12))*L81*MIN('Reeksen (N)'!B81,'Reeksen (N)'!D81)</f>
        <v>0</v>
      </c>
      <c r="O81" s="84">
        <f>IF('Reeksen (N)'!D81&lt;'Reeksen (N)'!B81,('Reeksen (N)'!B81-'Reeksen (N)'!D81)*L81,0)</f>
        <v>0</v>
      </c>
      <c r="P81" s="84">
        <f ca="1">('Invoer gegevens (N)'!$F$20/12)*L80*MIN('Reeksen (N)'!B80,'Reeksen (N)'!D80)</f>
        <v>0</v>
      </c>
      <c r="Q81" s="84">
        <f t="shared" ca="1" si="12"/>
        <v>0</v>
      </c>
      <c r="R81" s="82">
        <f ca="1">IF('Invoer gegevens (N)'!$C$17=E81,'Invoer gegevens (N)'!$C$11,IF(C81=1,W80,0))</f>
        <v>0</v>
      </c>
      <c r="S81" s="86">
        <f ca="1">IF(C81&gt;=1,R81*VLOOKUP(E81,'Reeksen (N)'!$A$5:$B$76,2),0)</f>
        <v>0</v>
      </c>
      <c r="T81" s="84">
        <f ca="1">(1-('Invoer gegevens (N)'!$F$20/12))*R81*MIN('Reeksen (N)'!B81,'Reeksen (N)'!D81)</f>
        <v>0</v>
      </c>
      <c r="U81" s="84">
        <f>IF('Reeksen (N)'!D81&gt;='Reeksen (N)'!B81,0,IF('Reeksen (N)'!AD81&lt;='Reeksen (N)'!AE81,('Reeksen (N)'!B81-'Reeksen (N)'!D81)*R81,0))</f>
        <v>0</v>
      </c>
      <c r="V81" s="86">
        <f>IF('Reeksen (N)'!D81&gt;='Reeksen (N)'!B81,0,IF('Reeksen (N)'!AD81&gt;'Reeksen (N)'!AE81,('Reeksen (N)'!B81-'Reeksen (N)'!D81)*R81,0))</f>
        <v>0</v>
      </c>
      <c r="W81" s="97">
        <f t="shared" ca="1" si="13"/>
        <v>0</v>
      </c>
      <c r="X81" s="98">
        <f ca="1">IF('Invoer gegevens (N)'!$C$17=E81,'Invoer gegevens (N)'!$C$10-'Invoer gegevens (N)'!$C$11,IF(C81=1,AC80,0))</f>
        <v>0</v>
      </c>
      <c r="Y81" s="98">
        <f ca="1">IF(C81&gt;=1,X81*VLOOKUP(E81,'Reeksen (N)'!$A$5:$B$76,2),0)</f>
        <v>0</v>
      </c>
      <c r="Z81" s="98">
        <f ca="1">(1-('Invoer gegevens (N)'!$F$20/12))*X81*MIN('Reeksen (N)'!B81,'Reeksen (N)'!D81)</f>
        <v>0</v>
      </c>
      <c r="AA81" s="98">
        <f>IF('Reeksen (N)'!D81&gt;='Reeksen (N)'!B81,0,IF('Reeksen (N)'!AD81&lt;='Reeksen (N)'!AE81,('Reeksen (N)'!B81-'Reeksen (N)'!D81)*X81,0))</f>
        <v>0</v>
      </c>
      <c r="AB81" s="98">
        <f>IF('Reeksen (N)'!D81&gt;='Reeksen (N)'!B81,0,IF('Reeksen (N)'!AD81&gt;'Reeksen (N)'!AE81,('Reeksen (N)'!B81-'Reeksen (N)'!D81)*X81,0))</f>
        <v>0</v>
      </c>
      <c r="AC81" s="99">
        <f t="shared" ca="1" si="14"/>
        <v>0</v>
      </c>
      <c r="AD81" s="98">
        <f ca="1">IF('Invoer gegevens (N)'!$C$17=E81,R81,IF(C81=0,0,AE80))</f>
        <v>0</v>
      </c>
      <c r="AE81" s="98">
        <f t="shared" ca="1" si="15"/>
        <v>0</v>
      </c>
      <c r="AF81" s="98">
        <f ca="1">IF('Invoer gegevens (N)'!$C$17=E81,X81,IF(C81=0,0,AG80))</f>
        <v>0</v>
      </c>
      <c r="AG81" s="98">
        <f t="shared" ca="1" si="16"/>
        <v>0</v>
      </c>
      <c r="AH81" s="66"/>
      <c r="AI81" s="71">
        <f ca="1">IF(C81=1,'Reeksen (N)'!AI81*((F81-G81+F81)/2)*12+'Reeksen (N)'!AD81*((L81-M81+L81)/2)*12,0)</f>
        <v>0</v>
      </c>
      <c r="AJ81" s="71">
        <f ca="1">-AI81*'Invoer gegevens (N)'!$F$28</f>
        <v>0</v>
      </c>
      <c r="AK81" s="71">
        <f t="shared" ca="1" si="17"/>
        <v>0</v>
      </c>
      <c r="AL81" s="71">
        <f ca="1">IF(C81=1,'Reeksen (N)'!AL81*((F81-G81+F81)/2)*12+'Reeksen (N)'!AM81*((L81-M81+L81)/2)*12,0)</f>
        <v>0</v>
      </c>
      <c r="AM81" s="71">
        <f ca="1">-AL81*'Invoer gegevens (N)'!$F$31</f>
        <v>0</v>
      </c>
      <c r="AN81" s="71">
        <f t="shared" ca="1" si="18"/>
        <v>0</v>
      </c>
      <c r="AO81" s="71">
        <f ca="1">IF(C81=1,(H81+J81+N81+P81)*'Reeksen (N)'!AN81,0)</f>
        <v>0</v>
      </c>
      <c r="AP81" s="71">
        <f ca="1">-IF(C81=1,(H81+J81+N81+P81)*'Hulp - basis'!$O$550*'Reeksen (N)'!H81,0)</f>
        <v>0</v>
      </c>
      <c r="AQ81" s="71">
        <f ca="1">-IF(C81=1,(F81+K81+L81+Q81)/2*'Invoer gegevens (N)'!$F$35*'Reeksen (N)'!J81,0)*2</f>
        <v>0</v>
      </c>
      <c r="AR81" s="71"/>
      <c r="AS81" s="71">
        <f ca="1">-IF(C81=1,(F81+K81+L81+Q81)/2*'Invoer gegevens (N)'!$F$37*'Reeksen (N)'!L81,0)</f>
        <v>0</v>
      </c>
      <c r="AT81" s="71">
        <f ca="1">-IF(C81=1,IF(E81='Invoer gegevens (N)'!$C$17,'Invoer gegevens (N)'!$C$11,AD81)*'Reeksen (N)'!S81*'Invoer gegevens (N)'!$C$18*'Reeksen (N)'!P81,0)</f>
        <v>0</v>
      </c>
      <c r="AU81" s="71">
        <f ca="1">-IF(C81=1,(F81+K81+L81+Q81)/2*'Invoer gegevens (N)'!$F$38*'Reeksen (N)'!H81,0)</f>
        <v>0</v>
      </c>
      <c r="AV81" s="71">
        <v>0</v>
      </c>
      <c r="AW81" s="71">
        <f t="shared" ca="1" si="19"/>
        <v>0</v>
      </c>
      <c r="AX81" s="71">
        <f ca="1">IF(E81&lt;'Invoer gegevens (N)'!$C$17+15,0,IF(E81&gt;'Invoer gegevens (N)'!$C$17+215,0,AW81))</f>
        <v>0</v>
      </c>
      <c r="AY81" s="71">
        <f ca="1">AX81/(1+'Invoer gegevens (N)'!$F$18)^($AZ81-('Invoer gegevens (N)'!$C$17-'Invoer gegevens (N)'!$C$16))/(1+'Invoer gegevens (N)'!$C$39)^('Invoer gegevens (N)'!$C$17-'Invoer gegevens (N)'!$C$16)</f>
        <v>0</v>
      </c>
      <c r="AZ81" s="68">
        <f ca="1">IF(E81-'Invoer gegevens (N)'!$C$17-14.5&lt;0,0,E81-'Invoer gegevens (N)'!$C$17-14.5)</f>
        <v>61.5</v>
      </c>
    </row>
    <row r="82" spans="1:52" x14ac:dyDescent="0.25">
      <c r="A82" s="59"/>
      <c r="B82" s="70">
        <f t="shared" si="20"/>
        <v>78</v>
      </c>
      <c r="C82" s="67">
        <f ca="1">IF(E82-'Invoer gegevens (N)'!$C$17&lt;0,0,1)</f>
        <v>1</v>
      </c>
      <c r="D82" s="68">
        <f t="shared" si="21"/>
        <v>77.5</v>
      </c>
      <c r="E82" s="69">
        <f ca="1">IF('Invoer gegevens (N)'!$C$16="","",E81+1)</f>
        <v>2096</v>
      </c>
      <c r="F82" s="84">
        <f ca="1">IF('Invoer gegevens (N)'!$C$17=E82,'Invoer gegevens (N)'!$C$10,IF(C82=1,K81,0))</f>
        <v>0</v>
      </c>
      <c r="G82" s="96">
        <f ca="1">IF(C82&gt;=1,F82*VLOOKUP(E82,'Reeksen (N)'!$A$5:$B$76,2),0)</f>
        <v>0</v>
      </c>
      <c r="H82" s="84">
        <f ca="1">(1-('Invoer gegevens (N)'!$F$20/12))*F82*MIN('Reeksen (N)'!B82,'Reeksen (N)'!D82)</f>
        <v>0</v>
      </c>
      <c r="I82" s="84">
        <f>IF('Reeksen (N)'!D82&lt;'Reeksen (N)'!B82,('Reeksen (N)'!B82-'Reeksen (N)'!D82)*F82,0)</f>
        <v>0</v>
      </c>
      <c r="J82" s="84">
        <f ca="1">('Invoer gegevens (N)'!$F$20/12)*F81*MIN('Reeksen (N)'!B81,'Reeksen (N)'!D81)</f>
        <v>0</v>
      </c>
      <c r="K82" s="97">
        <f t="shared" ca="1" si="11"/>
        <v>0</v>
      </c>
      <c r="L82" s="84">
        <f ca="1">IF('Invoer gegevens (N)'!$C$17=E82,0,IF(C82=1,Q81,0))</f>
        <v>0</v>
      </c>
      <c r="M82" s="96">
        <f ca="1">IF(C82&gt;=1,L82*VLOOKUP(E82,'Reeksen (N)'!$A$5:$B$76,2),0)</f>
        <v>0</v>
      </c>
      <c r="N82" s="84">
        <f ca="1">(1-('Invoer gegevens (N)'!$F$20/12))*L82*MIN('Reeksen (N)'!B82,'Reeksen (N)'!D82)</f>
        <v>0</v>
      </c>
      <c r="O82" s="84">
        <f>IF('Reeksen (N)'!D82&lt;'Reeksen (N)'!B82,('Reeksen (N)'!B82-'Reeksen (N)'!D82)*L82,0)</f>
        <v>0</v>
      </c>
      <c r="P82" s="84">
        <f ca="1">('Invoer gegevens (N)'!$F$20/12)*L81*MIN('Reeksen (N)'!B81,'Reeksen (N)'!D81)</f>
        <v>0</v>
      </c>
      <c r="Q82" s="84">
        <f t="shared" ca="1" si="12"/>
        <v>0</v>
      </c>
      <c r="R82" s="82">
        <f ca="1">IF('Invoer gegevens (N)'!$C$17=E82,'Invoer gegevens (N)'!$C$11,IF(C82=1,W81,0))</f>
        <v>0</v>
      </c>
      <c r="S82" s="86">
        <f ca="1">IF(C82&gt;=1,R82*VLOOKUP(E82,'Reeksen (N)'!$A$5:$B$76,2),0)</f>
        <v>0</v>
      </c>
      <c r="T82" s="84">
        <f ca="1">(1-('Invoer gegevens (N)'!$F$20/12))*R82*MIN('Reeksen (N)'!B82,'Reeksen (N)'!D82)</f>
        <v>0</v>
      </c>
      <c r="U82" s="84">
        <f>IF('Reeksen (N)'!D82&gt;='Reeksen (N)'!B82,0,IF('Reeksen (N)'!AD82&lt;='Reeksen (N)'!AE82,('Reeksen (N)'!B82-'Reeksen (N)'!D82)*R82,0))</f>
        <v>0</v>
      </c>
      <c r="V82" s="86">
        <f>IF('Reeksen (N)'!D82&gt;='Reeksen (N)'!B82,0,IF('Reeksen (N)'!AD82&gt;'Reeksen (N)'!AE82,('Reeksen (N)'!B82-'Reeksen (N)'!D82)*R82,0))</f>
        <v>0</v>
      </c>
      <c r="W82" s="97">
        <f t="shared" ca="1" si="13"/>
        <v>0</v>
      </c>
      <c r="X82" s="98">
        <f ca="1">IF('Invoer gegevens (N)'!$C$17=E82,'Invoer gegevens (N)'!$C$10-'Invoer gegevens (N)'!$C$11,IF(C82=1,AC81,0))</f>
        <v>0</v>
      </c>
      <c r="Y82" s="98">
        <f ca="1">IF(C82&gt;=1,X82*VLOOKUP(E82,'Reeksen (N)'!$A$5:$B$76,2),0)</f>
        <v>0</v>
      </c>
      <c r="Z82" s="98">
        <f ca="1">(1-('Invoer gegevens (N)'!$F$20/12))*X82*MIN('Reeksen (N)'!B82,'Reeksen (N)'!D82)</f>
        <v>0</v>
      </c>
      <c r="AA82" s="98">
        <f>IF('Reeksen (N)'!D82&gt;='Reeksen (N)'!B82,0,IF('Reeksen (N)'!AD82&lt;='Reeksen (N)'!AE82,('Reeksen (N)'!B82-'Reeksen (N)'!D82)*X82,0))</f>
        <v>0</v>
      </c>
      <c r="AB82" s="98">
        <f>IF('Reeksen (N)'!D82&gt;='Reeksen (N)'!B82,0,IF('Reeksen (N)'!AD82&gt;'Reeksen (N)'!AE82,('Reeksen (N)'!B82-'Reeksen (N)'!D82)*X82,0))</f>
        <v>0</v>
      </c>
      <c r="AC82" s="99">
        <f t="shared" ca="1" si="14"/>
        <v>0</v>
      </c>
      <c r="AD82" s="98">
        <f ca="1">IF('Invoer gegevens (N)'!$C$17=E82,R82,IF(C82=0,0,AE81))</f>
        <v>0</v>
      </c>
      <c r="AE82" s="98">
        <f t="shared" ca="1" si="15"/>
        <v>0</v>
      </c>
      <c r="AF82" s="98">
        <f ca="1">IF('Invoer gegevens (N)'!$C$17=E82,X82,IF(C82=0,0,AG81))</f>
        <v>0</v>
      </c>
      <c r="AG82" s="98">
        <f t="shared" ca="1" si="16"/>
        <v>0</v>
      </c>
      <c r="AH82" s="66"/>
      <c r="AI82" s="71">
        <f ca="1">IF(C82=1,'Reeksen (N)'!AI82*((F82-G82+F82)/2)*12+'Reeksen (N)'!AD82*((L82-M82+L82)/2)*12,0)</f>
        <v>0</v>
      </c>
      <c r="AJ82" s="71">
        <f ca="1">-AI82*'Invoer gegevens (N)'!$F$28</f>
        <v>0</v>
      </c>
      <c r="AK82" s="71">
        <f t="shared" ca="1" si="17"/>
        <v>0</v>
      </c>
      <c r="AL82" s="71">
        <f ca="1">IF(C82=1,'Reeksen (N)'!AL82*((F82-G82+F82)/2)*12+'Reeksen (N)'!AM82*((L82-M82+L82)/2)*12,0)</f>
        <v>0</v>
      </c>
      <c r="AM82" s="71">
        <f ca="1">-AL82*'Invoer gegevens (N)'!$F$31</f>
        <v>0</v>
      </c>
      <c r="AN82" s="71">
        <f t="shared" ca="1" si="18"/>
        <v>0</v>
      </c>
      <c r="AO82" s="71">
        <f ca="1">IF(C82=1,(H82+J82+N82+P82)*'Reeksen (N)'!AN82,0)</f>
        <v>0</v>
      </c>
      <c r="AP82" s="71">
        <f ca="1">-IF(C82=1,(H82+J82+N82+P82)*'Hulp - basis'!$O$550*'Reeksen (N)'!H82,0)</f>
        <v>0</v>
      </c>
      <c r="AQ82" s="71">
        <f ca="1">-IF(C82=1,(F82+K82+L82+Q82)/2*'Invoer gegevens (N)'!$F$35*'Reeksen (N)'!J82,0)*2</f>
        <v>0</v>
      </c>
      <c r="AR82" s="71"/>
      <c r="AS82" s="71">
        <f ca="1">-IF(C82=1,(F82+K82+L82+Q82)/2*'Invoer gegevens (N)'!$F$37*'Reeksen (N)'!L82,0)</f>
        <v>0</v>
      </c>
      <c r="AT82" s="71">
        <f ca="1">-IF(C82=1,IF(E82='Invoer gegevens (N)'!$C$17,'Invoer gegevens (N)'!$C$11,AD82)*'Reeksen (N)'!S82*'Invoer gegevens (N)'!$C$18*'Reeksen (N)'!P82,0)</f>
        <v>0</v>
      </c>
      <c r="AU82" s="71">
        <f ca="1">-IF(C82=1,(F82+K82+L82+Q82)/2*'Invoer gegevens (N)'!$F$38*'Reeksen (N)'!H82,0)</f>
        <v>0</v>
      </c>
      <c r="AV82" s="71">
        <v>0</v>
      </c>
      <c r="AW82" s="71">
        <f t="shared" ca="1" si="19"/>
        <v>0</v>
      </c>
      <c r="AX82" s="71">
        <f ca="1">IF(E82&lt;'Invoer gegevens (N)'!$C$17+15,0,IF(E82&gt;'Invoer gegevens (N)'!$C$17+215,0,AW82))</f>
        <v>0</v>
      </c>
      <c r="AY82" s="71">
        <f ca="1">AX82/(1+'Invoer gegevens (N)'!$F$18)^($AZ82-('Invoer gegevens (N)'!$C$17-'Invoer gegevens (N)'!$C$16))/(1+'Invoer gegevens (N)'!$C$39)^('Invoer gegevens (N)'!$C$17-'Invoer gegevens (N)'!$C$16)</f>
        <v>0</v>
      </c>
      <c r="AZ82" s="68">
        <f ca="1">IF(E82-'Invoer gegevens (N)'!$C$17-14.5&lt;0,0,E82-'Invoer gegevens (N)'!$C$17-14.5)</f>
        <v>62.5</v>
      </c>
    </row>
    <row r="83" spans="1:52" x14ac:dyDescent="0.25">
      <c r="A83" s="59"/>
      <c r="B83" s="70">
        <f t="shared" si="20"/>
        <v>79</v>
      </c>
      <c r="C83" s="67">
        <f ca="1">IF(E83-'Invoer gegevens (N)'!$C$17&lt;0,0,1)</f>
        <v>1</v>
      </c>
      <c r="D83" s="68">
        <f t="shared" si="21"/>
        <v>78.5</v>
      </c>
      <c r="E83" s="69">
        <f ca="1">IF('Invoer gegevens (N)'!$C$16="","",E82+1)</f>
        <v>2097</v>
      </c>
      <c r="F83" s="84">
        <f ca="1">IF('Invoer gegevens (N)'!$C$17=E83,'Invoer gegevens (N)'!$C$10,IF(C83=1,K82,0))</f>
        <v>0</v>
      </c>
      <c r="G83" s="96">
        <f ca="1">IF(C83&gt;=1,F83*VLOOKUP(E83,'Reeksen (N)'!$A$5:$B$76,2),0)</f>
        <v>0</v>
      </c>
      <c r="H83" s="84">
        <f ca="1">(1-('Invoer gegevens (N)'!$F$20/12))*F83*MIN('Reeksen (N)'!B83,'Reeksen (N)'!D83)</f>
        <v>0</v>
      </c>
      <c r="I83" s="84">
        <f>IF('Reeksen (N)'!D83&lt;'Reeksen (N)'!B83,('Reeksen (N)'!B83-'Reeksen (N)'!D83)*F83,0)</f>
        <v>0</v>
      </c>
      <c r="J83" s="84">
        <f ca="1">('Invoer gegevens (N)'!$F$20/12)*F82*MIN('Reeksen (N)'!B82,'Reeksen (N)'!D82)</f>
        <v>0</v>
      </c>
      <c r="K83" s="97">
        <f t="shared" ca="1" si="11"/>
        <v>0</v>
      </c>
      <c r="L83" s="84">
        <f ca="1">IF('Invoer gegevens (N)'!$C$17=E83,0,IF(C83=1,Q82,0))</f>
        <v>0</v>
      </c>
      <c r="M83" s="96">
        <f ca="1">IF(C83&gt;=1,L83*VLOOKUP(E83,'Reeksen (N)'!$A$5:$B$76,2),0)</f>
        <v>0</v>
      </c>
      <c r="N83" s="84">
        <f ca="1">(1-('Invoer gegevens (N)'!$F$20/12))*L83*MIN('Reeksen (N)'!B83,'Reeksen (N)'!D83)</f>
        <v>0</v>
      </c>
      <c r="O83" s="84">
        <f>IF('Reeksen (N)'!D83&lt;'Reeksen (N)'!B83,('Reeksen (N)'!B83-'Reeksen (N)'!D83)*L83,0)</f>
        <v>0</v>
      </c>
      <c r="P83" s="84">
        <f ca="1">('Invoer gegevens (N)'!$F$20/12)*L82*MIN('Reeksen (N)'!B82,'Reeksen (N)'!D82)</f>
        <v>0</v>
      </c>
      <c r="Q83" s="84">
        <f t="shared" ca="1" si="12"/>
        <v>0</v>
      </c>
      <c r="R83" s="82">
        <f ca="1">IF('Invoer gegevens (N)'!$C$17=E83,'Invoer gegevens (N)'!$C$11,IF(C83=1,W82,0))</f>
        <v>0</v>
      </c>
      <c r="S83" s="86">
        <f ca="1">IF(C83&gt;=1,R83*VLOOKUP(E83,'Reeksen (N)'!$A$5:$B$76,2),0)</f>
        <v>0</v>
      </c>
      <c r="T83" s="84">
        <f ca="1">(1-('Invoer gegevens (N)'!$F$20/12))*R83*MIN('Reeksen (N)'!B83,'Reeksen (N)'!D83)</f>
        <v>0</v>
      </c>
      <c r="U83" s="84">
        <f>IF('Reeksen (N)'!D83&gt;='Reeksen (N)'!B83,0,IF('Reeksen (N)'!AD83&lt;='Reeksen (N)'!AE83,('Reeksen (N)'!B83-'Reeksen (N)'!D83)*R83,0))</f>
        <v>0</v>
      </c>
      <c r="V83" s="86">
        <f>IF('Reeksen (N)'!D83&gt;='Reeksen (N)'!B83,0,IF('Reeksen (N)'!AD83&gt;'Reeksen (N)'!AE83,('Reeksen (N)'!B83-'Reeksen (N)'!D83)*R83,0))</f>
        <v>0</v>
      </c>
      <c r="W83" s="97">
        <f t="shared" ca="1" si="13"/>
        <v>0</v>
      </c>
      <c r="X83" s="98">
        <f ca="1">IF('Invoer gegevens (N)'!$C$17=E83,'Invoer gegevens (N)'!$C$10-'Invoer gegevens (N)'!$C$11,IF(C83=1,AC82,0))</f>
        <v>0</v>
      </c>
      <c r="Y83" s="98">
        <f ca="1">IF(C83&gt;=1,X83*VLOOKUP(E83,'Reeksen (N)'!$A$5:$B$76,2),0)</f>
        <v>0</v>
      </c>
      <c r="Z83" s="98">
        <f ca="1">(1-('Invoer gegevens (N)'!$F$20/12))*X83*MIN('Reeksen (N)'!B83,'Reeksen (N)'!D83)</f>
        <v>0</v>
      </c>
      <c r="AA83" s="98">
        <f>IF('Reeksen (N)'!D83&gt;='Reeksen (N)'!B83,0,IF('Reeksen (N)'!AD83&lt;='Reeksen (N)'!AE83,('Reeksen (N)'!B83-'Reeksen (N)'!D83)*X83,0))</f>
        <v>0</v>
      </c>
      <c r="AB83" s="98">
        <f>IF('Reeksen (N)'!D83&gt;='Reeksen (N)'!B83,0,IF('Reeksen (N)'!AD83&gt;'Reeksen (N)'!AE83,('Reeksen (N)'!B83-'Reeksen (N)'!D83)*X83,0))</f>
        <v>0</v>
      </c>
      <c r="AC83" s="99">
        <f t="shared" ca="1" si="14"/>
        <v>0</v>
      </c>
      <c r="AD83" s="98">
        <f ca="1">IF('Invoer gegevens (N)'!$C$17=E83,R83,IF(C83=0,0,AE82))</f>
        <v>0</v>
      </c>
      <c r="AE83" s="98">
        <f t="shared" ca="1" si="15"/>
        <v>0</v>
      </c>
      <c r="AF83" s="98">
        <f ca="1">IF('Invoer gegevens (N)'!$C$17=E83,X83,IF(C83=0,0,AG82))</f>
        <v>0</v>
      </c>
      <c r="AG83" s="98">
        <f t="shared" ca="1" si="16"/>
        <v>0</v>
      </c>
      <c r="AH83" s="66"/>
      <c r="AI83" s="71">
        <f ca="1">IF(C83=1,'Reeksen (N)'!AI83*((F83-G83+F83)/2)*12+'Reeksen (N)'!AD83*((L83-M83+L83)/2)*12,0)</f>
        <v>0</v>
      </c>
      <c r="AJ83" s="71">
        <f ca="1">-AI83*'Invoer gegevens (N)'!$F$28</f>
        <v>0</v>
      </c>
      <c r="AK83" s="71">
        <f t="shared" ca="1" si="17"/>
        <v>0</v>
      </c>
      <c r="AL83" s="71">
        <f ca="1">IF(C83=1,'Reeksen (N)'!AL83*((F83-G83+F83)/2)*12+'Reeksen (N)'!AM83*((L83-M83+L83)/2)*12,0)</f>
        <v>0</v>
      </c>
      <c r="AM83" s="71">
        <f ca="1">-AL83*'Invoer gegevens (N)'!$F$31</f>
        <v>0</v>
      </c>
      <c r="AN83" s="71">
        <f t="shared" ca="1" si="18"/>
        <v>0</v>
      </c>
      <c r="AO83" s="71">
        <f ca="1">IF(C83=1,(H83+J83+N83+P83)*'Reeksen (N)'!AN83,0)</f>
        <v>0</v>
      </c>
      <c r="AP83" s="71">
        <f ca="1">-IF(C83=1,(H83+J83+N83+P83)*'Hulp - basis'!$O$550*'Reeksen (N)'!H83,0)</f>
        <v>0</v>
      </c>
      <c r="AQ83" s="71">
        <f ca="1">-IF(C83=1,(F83+K83+L83+Q83)/2*'Invoer gegevens (N)'!$F$35*'Reeksen (N)'!J83,0)*2</f>
        <v>0</v>
      </c>
      <c r="AR83" s="71"/>
      <c r="AS83" s="71">
        <f ca="1">-IF(C83=1,(F83+K83+L83+Q83)/2*'Invoer gegevens (N)'!$F$37*'Reeksen (N)'!L83,0)</f>
        <v>0</v>
      </c>
      <c r="AT83" s="71">
        <f ca="1">-IF(C83=1,IF(E83='Invoer gegevens (N)'!$C$17,'Invoer gegevens (N)'!$C$11,AD83)*'Reeksen (N)'!S83*'Invoer gegevens (N)'!$C$18*'Reeksen (N)'!P83,0)</f>
        <v>0</v>
      </c>
      <c r="AU83" s="71">
        <f ca="1">-IF(C83=1,(F83+K83+L83+Q83)/2*'Invoer gegevens (N)'!$F$38*'Reeksen (N)'!H83,0)</f>
        <v>0</v>
      </c>
      <c r="AV83" s="71">
        <v>0</v>
      </c>
      <c r="AW83" s="71">
        <f t="shared" ca="1" si="19"/>
        <v>0</v>
      </c>
      <c r="AX83" s="71">
        <f ca="1">IF(E83&lt;'Invoer gegevens (N)'!$C$17+15,0,IF(E83&gt;'Invoer gegevens (N)'!$C$17+215,0,AW83))</f>
        <v>0</v>
      </c>
      <c r="AY83" s="71">
        <f ca="1">AX83/(1+'Invoer gegevens (N)'!$F$18)^($AZ83-('Invoer gegevens (N)'!$C$17-'Invoer gegevens (N)'!$C$16))/(1+'Invoer gegevens (N)'!$C$39)^('Invoer gegevens (N)'!$C$17-'Invoer gegevens (N)'!$C$16)</f>
        <v>0</v>
      </c>
      <c r="AZ83" s="68">
        <f ca="1">IF(E83-'Invoer gegevens (N)'!$C$17-14.5&lt;0,0,E83-'Invoer gegevens (N)'!$C$17-14.5)</f>
        <v>63.5</v>
      </c>
    </row>
    <row r="84" spans="1:52" x14ac:dyDescent="0.25">
      <c r="A84" s="59"/>
      <c r="B84" s="70">
        <f t="shared" si="20"/>
        <v>80</v>
      </c>
      <c r="C84" s="67">
        <f ca="1">IF(E84-'Invoer gegevens (N)'!$C$17&lt;0,0,1)</f>
        <v>1</v>
      </c>
      <c r="D84" s="68">
        <f t="shared" si="21"/>
        <v>79.5</v>
      </c>
      <c r="E84" s="69">
        <f ca="1">IF('Invoer gegevens (N)'!$C$16="","",E83+1)</f>
        <v>2098</v>
      </c>
      <c r="F84" s="84">
        <f ca="1">IF('Invoer gegevens (N)'!$C$17=E84,'Invoer gegevens (N)'!$C$10,IF(C84=1,K83,0))</f>
        <v>0</v>
      </c>
      <c r="G84" s="96">
        <f ca="1">IF(C84&gt;=1,F84*VLOOKUP(E84,'Reeksen (N)'!$A$5:$B$76,2),0)</f>
        <v>0</v>
      </c>
      <c r="H84" s="84">
        <f ca="1">(1-('Invoer gegevens (N)'!$F$20/12))*F84*MIN('Reeksen (N)'!B84,'Reeksen (N)'!D84)</f>
        <v>0</v>
      </c>
      <c r="I84" s="84">
        <f>IF('Reeksen (N)'!D84&lt;'Reeksen (N)'!B84,('Reeksen (N)'!B84-'Reeksen (N)'!D84)*F84,0)</f>
        <v>0</v>
      </c>
      <c r="J84" s="84">
        <f ca="1">('Invoer gegevens (N)'!$F$20/12)*F83*MIN('Reeksen (N)'!B83,'Reeksen (N)'!D83)</f>
        <v>0</v>
      </c>
      <c r="K84" s="97">
        <f t="shared" ca="1" si="11"/>
        <v>0</v>
      </c>
      <c r="L84" s="84">
        <f ca="1">IF('Invoer gegevens (N)'!$C$17=E84,0,IF(C84=1,Q83,0))</f>
        <v>0</v>
      </c>
      <c r="M84" s="96">
        <f ca="1">IF(C84&gt;=1,L84*VLOOKUP(E84,'Reeksen (N)'!$A$5:$B$76,2),0)</f>
        <v>0</v>
      </c>
      <c r="N84" s="84">
        <f ca="1">(1-('Invoer gegevens (N)'!$F$20/12))*L84*MIN('Reeksen (N)'!B84,'Reeksen (N)'!D84)</f>
        <v>0</v>
      </c>
      <c r="O84" s="84">
        <f>IF('Reeksen (N)'!D84&lt;'Reeksen (N)'!B84,('Reeksen (N)'!B84-'Reeksen (N)'!D84)*L84,0)</f>
        <v>0</v>
      </c>
      <c r="P84" s="84">
        <f ca="1">('Invoer gegevens (N)'!$F$20/12)*L83*MIN('Reeksen (N)'!B83,'Reeksen (N)'!D83)</f>
        <v>0</v>
      </c>
      <c r="Q84" s="84">
        <f t="shared" ca="1" si="12"/>
        <v>0</v>
      </c>
      <c r="R84" s="82">
        <f ca="1">IF('Invoer gegevens (N)'!$C$17=E84,'Invoer gegevens (N)'!$C$11,IF(C84=1,W83,0))</f>
        <v>0</v>
      </c>
      <c r="S84" s="86">
        <f ca="1">IF(C84&gt;=1,R84*VLOOKUP(E84,'Reeksen (N)'!$A$5:$B$76,2),0)</f>
        <v>0</v>
      </c>
      <c r="T84" s="84">
        <f ca="1">(1-('Invoer gegevens (N)'!$F$20/12))*R84*MIN('Reeksen (N)'!B84,'Reeksen (N)'!D84)</f>
        <v>0</v>
      </c>
      <c r="U84" s="84">
        <f>IF('Reeksen (N)'!D84&gt;='Reeksen (N)'!B84,0,IF('Reeksen (N)'!AD84&lt;='Reeksen (N)'!AE84,('Reeksen (N)'!B84-'Reeksen (N)'!D84)*R84,0))</f>
        <v>0</v>
      </c>
      <c r="V84" s="86">
        <f>IF('Reeksen (N)'!D84&gt;='Reeksen (N)'!B84,0,IF('Reeksen (N)'!AD84&gt;'Reeksen (N)'!AE84,('Reeksen (N)'!B84-'Reeksen (N)'!D84)*R84,0))</f>
        <v>0</v>
      </c>
      <c r="W84" s="97">
        <f t="shared" ca="1" si="13"/>
        <v>0</v>
      </c>
      <c r="X84" s="98">
        <f ca="1">IF('Invoer gegevens (N)'!$C$17=E84,'Invoer gegevens (N)'!$C$10-'Invoer gegevens (N)'!$C$11,IF(C84=1,AC83,0))</f>
        <v>0</v>
      </c>
      <c r="Y84" s="98">
        <f ca="1">IF(C84&gt;=1,X84*VLOOKUP(E84,'Reeksen (N)'!$A$5:$B$76,2),0)</f>
        <v>0</v>
      </c>
      <c r="Z84" s="98">
        <f ca="1">(1-('Invoer gegevens (N)'!$F$20/12))*X84*MIN('Reeksen (N)'!B84,'Reeksen (N)'!D84)</f>
        <v>0</v>
      </c>
      <c r="AA84" s="98">
        <f>IF('Reeksen (N)'!D84&gt;='Reeksen (N)'!B84,0,IF('Reeksen (N)'!AD84&lt;='Reeksen (N)'!AE84,('Reeksen (N)'!B84-'Reeksen (N)'!D84)*X84,0))</f>
        <v>0</v>
      </c>
      <c r="AB84" s="98">
        <f>IF('Reeksen (N)'!D84&gt;='Reeksen (N)'!B84,0,IF('Reeksen (N)'!AD84&gt;'Reeksen (N)'!AE84,('Reeksen (N)'!B84-'Reeksen (N)'!D84)*X84,0))</f>
        <v>0</v>
      </c>
      <c r="AC84" s="99">
        <f t="shared" ca="1" si="14"/>
        <v>0</v>
      </c>
      <c r="AD84" s="98">
        <f ca="1">IF('Invoer gegevens (N)'!$C$17=E84,R84,IF(C84=0,0,AE83))</f>
        <v>0</v>
      </c>
      <c r="AE84" s="98">
        <f t="shared" ca="1" si="15"/>
        <v>0</v>
      </c>
      <c r="AF84" s="98">
        <f ca="1">IF('Invoer gegevens (N)'!$C$17=E84,X84,IF(C84=0,0,AG83))</f>
        <v>0</v>
      </c>
      <c r="AG84" s="98">
        <f t="shared" ca="1" si="16"/>
        <v>0</v>
      </c>
      <c r="AH84" s="66"/>
      <c r="AI84" s="71">
        <f ca="1">IF(C84=1,'Reeksen (N)'!AI84*((F84-G84+F84)/2)*12+'Reeksen (N)'!AD84*((L84-M84+L84)/2)*12,0)</f>
        <v>0</v>
      </c>
      <c r="AJ84" s="71">
        <f ca="1">-AI84*'Invoer gegevens (N)'!$F$28</f>
        <v>0</v>
      </c>
      <c r="AK84" s="71">
        <f t="shared" ca="1" si="17"/>
        <v>0</v>
      </c>
      <c r="AL84" s="71">
        <f ca="1">IF(C84=1,'Reeksen (N)'!AL84*((F84-G84+F84)/2)*12+'Reeksen (N)'!AM84*((L84-M84+L84)/2)*12,0)</f>
        <v>0</v>
      </c>
      <c r="AM84" s="71">
        <f ca="1">-AL84*'Invoer gegevens (N)'!$F$31</f>
        <v>0</v>
      </c>
      <c r="AN84" s="71">
        <f t="shared" ca="1" si="18"/>
        <v>0</v>
      </c>
      <c r="AO84" s="71">
        <f ca="1">IF(C84=1,(H84+J84+N84+P84)*'Reeksen (N)'!AN84,0)</f>
        <v>0</v>
      </c>
      <c r="AP84" s="71">
        <f ca="1">-IF(C84=1,(H84+J84+N84+P84)*'Hulp - basis'!$O$550*'Reeksen (N)'!H84,0)</f>
        <v>0</v>
      </c>
      <c r="AQ84" s="71">
        <f ca="1">-IF(C84=1,(F84+K84+L84+Q84)/2*'Invoer gegevens (N)'!$F$35*'Reeksen (N)'!J84,0)*2</f>
        <v>0</v>
      </c>
      <c r="AR84" s="71"/>
      <c r="AS84" s="71">
        <f ca="1">-IF(C84=1,(F84+K84+L84+Q84)/2*'Invoer gegevens (N)'!$F$37*'Reeksen (N)'!L84,0)</f>
        <v>0</v>
      </c>
      <c r="AT84" s="71">
        <f ca="1">-IF(C84=1,IF(E84='Invoer gegevens (N)'!$C$17,'Invoer gegevens (N)'!$C$11,AD84)*'Reeksen (N)'!S84*'Invoer gegevens (N)'!$C$18*'Reeksen (N)'!P84,0)</f>
        <v>0</v>
      </c>
      <c r="AU84" s="71">
        <f ca="1">-IF(C84=1,(F84+K84+L84+Q84)/2*'Invoer gegevens (N)'!$F$38*'Reeksen (N)'!H84,0)</f>
        <v>0</v>
      </c>
      <c r="AV84" s="71">
        <v>0</v>
      </c>
      <c r="AW84" s="71">
        <f t="shared" ca="1" si="19"/>
        <v>0</v>
      </c>
      <c r="AX84" s="71">
        <f ca="1">IF(E84&lt;'Invoer gegevens (N)'!$C$17+15,0,IF(E84&gt;'Invoer gegevens (N)'!$C$17+215,0,AW84))</f>
        <v>0</v>
      </c>
      <c r="AY84" s="71">
        <f ca="1">AX84/(1+'Invoer gegevens (N)'!$F$18)^($AZ84-('Invoer gegevens (N)'!$C$17-'Invoer gegevens (N)'!$C$16))/(1+'Invoer gegevens (N)'!$C$39)^('Invoer gegevens (N)'!$C$17-'Invoer gegevens (N)'!$C$16)</f>
        <v>0</v>
      </c>
      <c r="AZ84" s="68">
        <f ca="1">IF(E84-'Invoer gegevens (N)'!$C$17-14.5&lt;0,0,E84-'Invoer gegevens (N)'!$C$17-14.5)</f>
        <v>64.5</v>
      </c>
    </row>
    <row r="85" spans="1:52" x14ac:dyDescent="0.25">
      <c r="A85" s="59"/>
      <c r="B85" s="70">
        <f t="shared" si="20"/>
        <v>81</v>
      </c>
      <c r="C85" s="67">
        <f ca="1">IF(E85-'Invoer gegevens (N)'!$C$17&lt;0,0,1)</f>
        <v>1</v>
      </c>
      <c r="D85" s="68">
        <f t="shared" si="21"/>
        <v>80.5</v>
      </c>
      <c r="E85" s="69">
        <f ca="1">IF('Invoer gegevens (N)'!$C$16="","",E84+1)</f>
        <v>2099</v>
      </c>
      <c r="F85" s="84">
        <f ca="1">IF('Invoer gegevens (N)'!$C$17=E85,'Invoer gegevens (N)'!$C$10,IF(C85=1,K84,0))</f>
        <v>0</v>
      </c>
      <c r="G85" s="96">
        <f ca="1">IF(C85&gt;=1,F85*VLOOKUP(E85,'Reeksen (N)'!$A$5:$B$76,2),0)</f>
        <v>0</v>
      </c>
      <c r="H85" s="84">
        <f ca="1">(1-('Invoer gegevens (N)'!$F$20/12))*F85*MIN('Reeksen (N)'!B85,'Reeksen (N)'!D85)</f>
        <v>0</v>
      </c>
      <c r="I85" s="84">
        <f>IF('Reeksen (N)'!D85&lt;'Reeksen (N)'!B85,('Reeksen (N)'!B85-'Reeksen (N)'!D85)*F85,0)</f>
        <v>0</v>
      </c>
      <c r="J85" s="84">
        <f ca="1">('Invoer gegevens (N)'!$F$20/12)*F84*MIN('Reeksen (N)'!B84,'Reeksen (N)'!D84)</f>
        <v>0</v>
      </c>
      <c r="K85" s="97">
        <f t="shared" ca="1" si="11"/>
        <v>0</v>
      </c>
      <c r="L85" s="84">
        <f ca="1">IF('Invoer gegevens (N)'!$C$17=E85,0,IF(C85=1,Q84,0))</f>
        <v>0</v>
      </c>
      <c r="M85" s="96">
        <f ca="1">IF(C85&gt;=1,L85*VLOOKUP(E85,'Reeksen (N)'!$A$5:$B$76,2),0)</f>
        <v>0</v>
      </c>
      <c r="N85" s="84">
        <f ca="1">(1-('Invoer gegevens (N)'!$F$20/12))*L85*MIN('Reeksen (N)'!B85,'Reeksen (N)'!D85)</f>
        <v>0</v>
      </c>
      <c r="O85" s="84">
        <f>IF('Reeksen (N)'!D85&lt;'Reeksen (N)'!B85,('Reeksen (N)'!B85-'Reeksen (N)'!D85)*L85,0)</f>
        <v>0</v>
      </c>
      <c r="P85" s="84">
        <f ca="1">('Invoer gegevens (N)'!$F$20/12)*L84*MIN('Reeksen (N)'!B84,'Reeksen (N)'!D84)</f>
        <v>0</v>
      </c>
      <c r="Q85" s="84">
        <f t="shared" ca="1" si="12"/>
        <v>0</v>
      </c>
      <c r="R85" s="82">
        <f ca="1">IF('Invoer gegevens (N)'!$C$17=E85,'Invoer gegevens (N)'!$C$11,IF(C85=1,W84,0))</f>
        <v>0</v>
      </c>
      <c r="S85" s="86">
        <f ca="1">IF(C85&gt;=1,R85*VLOOKUP(E85,'Reeksen (N)'!$A$5:$B$76,2),0)</f>
        <v>0</v>
      </c>
      <c r="T85" s="84">
        <f ca="1">(1-('Invoer gegevens (N)'!$F$20/12))*R85*MIN('Reeksen (N)'!B85,'Reeksen (N)'!D85)</f>
        <v>0</v>
      </c>
      <c r="U85" s="84">
        <f>IF('Reeksen (N)'!D85&gt;='Reeksen (N)'!B85,0,IF('Reeksen (N)'!AD85&lt;='Reeksen (N)'!AE85,('Reeksen (N)'!B85-'Reeksen (N)'!D85)*R85,0))</f>
        <v>0</v>
      </c>
      <c r="V85" s="86">
        <f>IF('Reeksen (N)'!D85&gt;='Reeksen (N)'!B85,0,IF('Reeksen (N)'!AD85&gt;'Reeksen (N)'!AE85,('Reeksen (N)'!B85-'Reeksen (N)'!D85)*R85,0))</f>
        <v>0</v>
      </c>
      <c r="W85" s="97">
        <f t="shared" ca="1" si="13"/>
        <v>0</v>
      </c>
      <c r="X85" s="98">
        <f ca="1">IF('Invoer gegevens (N)'!$C$17=E85,'Invoer gegevens (N)'!$C$10-'Invoer gegevens (N)'!$C$11,IF(C85=1,AC84,0))</f>
        <v>0</v>
      </c>
      <c r="Y85" s="98">
        <f ca="1">IF(C85&gt;=1,X85*VLOOKUP(E85,'Reeksen (N)'!$A$5:$B$76,2),0)</f>
        <v>0</v>
      </c>
      <c r="Z85" s="98">
        <f ca="1">(1-('Invoer gegevens (N)'!$F$20/12))*X85*MIN('Reeksen (N)'!B85,'Reeksen (N)'!D85)</f>
        <v>0</v>
      </c>
      <c r="AA85" s="98">
        <f>IF('Reeksen (N)'!D85&gt;='Reeksen (N)'!B85,0,IF('Reeksen (N)'!AD85&lt;='Reeksen (N)'!AE85,('Reeksen (N)'!B85-'Reeksen (N)'!D85)*X85,0))</f>
        <v>0</v>
      </c>
      <c r="AB85" s="98">
        <f>IF('Reeksen (N)'!D85&gt;='Reeksen (N)'!B85,0,IF('Reeksen (N)'!AD85&gt;'Reeksen (N)'!AE85,('Reeksen (N)'!B85-'Reeksen (N)'!D85)*X85,0))</f>
        <v>0</v>
      </c>
      <c r="AC85" s="99">
        <f t="shared" ca="1" si="14"/>
        <v>0</v>
      </c>
      <c r="AD85" s="98">
        <f ca="1">IF('Invoer gegevens (N)'!$C$17=E85,R85,IF(C85=0,0,AE84))</f>
        <v>0</v>
      </c>
      <c r="AE85" s="98">
        <f t="shared" ca="1" si="15"/>
        <v>0</v>
      </c>
      <c r="AF85" s="98">
        <f ca="1">IF('Invoer gegevens (N)'!$C$17=E85,X85,IF(C85=0,0,AG84))</f>
        <v>0</v>
      </c>
      <c r="AG85" s="98">
        <f t="shared" ca="1" si="16"/>
        <v>0</v>
      </c>
      <c r="AH85" s="66"/>
      <c r="AI85" s="71">
        <f ca="1">IF(C85=1,'Reeksen (N)'!AI85*((F85-G85+F85)/2)*12+'Reeksen (N)'!AD85*((L85-M85+L85)/2)*12,0)</f>
        <v>0</v>
      </c>
      <c r="AJ85" s="71">
        <f ca="1">-AI85*'Invoer gegevens (N)'!$F$28</f>
        <v>0</v>
      </c>
      <c r="AK85" s="71">
        <f t="shared" ca="1" si="17"/>
        <v>0</v>
      </c>
      <c r="AL85" s="71">
        <f ca="1">IF(C85=1,'Reeksen (N)'!AL85*((F85-G85+F85)/2)*12+'Reeksen (N)'!AM85*((L85-M85+L85)/2)*12,0)</f>
        <v>0</v>
      </c>
      <c r="AM85" s="71">
        <f ca="1">-AL85*'Invoer gegevens (N)'!$F$31</f>
        <v>0</v>
      </c>
      <c r="AN85" s="71">
        <f t="shared" ca="1" si="18"/>
        <v>0</v>
      </c>
      <c r="AO85" s="71">
        <f ca="1">IF(C85=1,(H85+J85+N85+P85)*'Reeksen (N)'!AN85,0)</f>
        <v>0</v>
      </c>
      <c r="AP85" s="71">
        <f ca="1">-IF(C85=1,(H85+J85+N85+P85)*'Hulp - basis'!$O$550*'Reeksen (N)'!H85,0)</f>
        <v>0</v>
      </c>
      <c r="AQ85" s="71">
        <f ca="1">-IF(C85=1,(F85+K85+L85+Q85)/2*'Invoer gegevens (N)'!$F$35*'Reeksen (N)'!J85,0)*2</f>
        <v>0</v>
      </c>
      <c r="AR85" s="71"/>
      <c r="AS85" s="71">
        <f ca="1">-IF(C85=1,(F85+K85+L85+Q85)/2*'Invoer gegevens (N)'!$F$37*'Reeksen (N)'!L85,0)</f>
        <v>0</v>
      </c>
      <c r="AT85" s="71">
        <f ca="1">-IF(C85=1,IF(E85='Invoer gegevens (N)'!$C$17,'Invoer gegevens (N)'!$C$11,AD85)*'Reeksen (N)'!S85*'Invoer gegevens (N)'!$C$18*'Reeksen (N)'!P85,0)</f>
        <v>0</v>
      </c>
      <c r="AU85" s="71">
        <f ca="1">-IF(C85=1,(F85+K85+L85+Q85)/2*'Invoer gegevens (N)'!$F$38*'Reeksen (N)'!H85,0)</f>
        <v>0</v>
      </c>
      <c r="AV85" s="71">
        <v>0</v>
      </c>
      <c r="AW85" s="71">
        <f t="shared" ca="1" si="19"/>
        <v>0</v>
      </c>
      <c r="AX85" s="71">
        <f ca="1">IF(E85&lt;'Invoer gegevens (N)'!$C$17+15,0,IF(E85&gt;'Invoer gegevens (N)'!$C$17+215,0,AW85))</f>
        <v>0</v>
      </c>
      <c r="AY85" s="71">
        <f ca="1">AX85/(1+'Invoer gegevens (N)'!$F$18)^($AZ85-('Invoer gegevens (N)'!$C$17-'Invoer gegevens (N)'!$C$16))/(1+'Invoer gegevens (N)'!$C$39)^('Invoer gegevens (N)'!$C$17-'Invoer gegevens (N)'!$C$16)</f>
        <v>0</v>
      </c>
      <c r="AZ85" s="68">
        <f ca="1">IF(E85-'Invoer gegevens (N)'!$C$17-14.5&lt;0,0,E85-'Invoer gegevens (N)'!$C$17-14.5)</f>
        <v>65.5</v>
      </c>
    </row>
    <row r="86" spans="1:52" x14ac:dyDescent="0.25">
      <c r="A86" s="59"/>
      <c r="B86" s="70">
        <f t="shared" si="20"/>
        <v>82</v>
      </c>
      <c r="C86" s="67">
        <f ca="1">IF(E86-'Invoer gegevens (N)'!$C$17&lt;0,0,1)</f>
        <v>1</v>
      </c>
      <c r="D86" s="68">
        <f t="shared" si="21"/>
        <v>81.5</v>
      </c>
      <c r="E86" s="69">
        <f ca="1">IF('Invoer gegevens (N)'!$C$16="","",E85+1)</f>
        <v>2100</v>
      </c>
      <c r="F86" s="84">
        <f ca="1">IF('Invoer gegevens (N)'!$C$17=E86,'Invoer gegevens (N)'!$C$10,IF(C86=1,K85,0))</f>
        <v>0</v>
      </c>
      <c r="G86" s="96">
        <f ca="1">IF(C86&gt;=1,F86*VLOOKUP(E86,'Reeksen (N)'!$A$5:$B$76,2),0)</f>
        <v>0</v>
      </c>
      <c r="H86" s="84">
        <f ca="1">(1-('Invoer gegevens (N)'!$F$20/12))*F86*MIN('Reeksen (N)'!B86,'Reeksen (N)'!D86)</f>
        <v>0</v>
      </c>
      <c r="I86" s="84">
        <f>IF('Reeksen (N)'!D86&lt;'Reeksen (N)'!B86,('Reeksen (N)'!B86-'Reeksen (N)'!D86)*F86,0)</f>
        <v>0</v>
      </c>
      <c r="J86" s="84">
        <f ca="1">('Invoer gegevens (N)'!$F$20/12)*F85*MIN('Reeksen (N)'!B85,'Reeksen (N)'!D85)</f>
        <v>0</v>
      </c>
      <c r="K86" s="97">
        <f t="shared" ca="1" si="11"/>
        <v>0</v>
      </c>
      <c r="L86" s="84">
        <f ca="1">IF('Invoer gegevens (N)'!$C$17=E86,0,IF(C86=1,Q85,0))</f>
        <v>0</v>
      </c>
      <c r="M86" s="96">
        <f ca="1">IF(C86&gt;=1,L86*VLOOKUP(E86,'Reeksen (N)'!$A$5:$B$76,2),0)</f>
        <v>0</v>
      </c>
      <c r="N86" s="84">
        <f ca="1">(1-('Invoer gegevens (N)'!$F$20/12))*L86*MIN('Reeksen (N)'!B86,'Reeksen (N)'!D86)</f>
        <v>0</v>
      </c>
      <c r="O86" s="84">
        <f>IF('Reeksen (N)'!D86&lt;'Reeksen (N)'!B86,('Reeksen (N)'!B86-'Reeksen (N)'!D86)*L86,0)</f>
        <v>0</v>
      </c>
      <c r="P86" s="84">
        <f ca="1">('Invoer gegevens (N)'!$F$20/12)*L85*MIN('Reeksen (N)'!B85,'Reeksen (N)'!D85)</f>
        <v>0</v>
      </c>
      <c r="Q86" s="84">
        <f t="shared" ca="1" si="12"/>
        <v>0</v>
      </c>
      <c r="R86" s="82">
        <f ca="1">IF('Invoer gegevens (N)'!$C$17=E86,'Invoer gegevens (N)'!$C$11,IF(C86=1,W85,0))</f>
        <v>0</v>
      </c>
      <c r="S86" s="86">
        <f ca="1">IF(C86&gt;=1,R86*VLOOKUP(E86,'Reeksen (N)'!$A$5:$B$76,2),0)</f>
        <v>0</v>
      </c>
      <c r="T86" s="84">
        <f ca="1">(1-('Invoer gegevens (N)'!$F$20/12))*R86*MIN('Reeksen (N)'!B86,'Reeksen (N)'!D86)</f>
        <v>0</v>
      </c>
      <c r="U86" s="84">
        <f>IF('Reeksen (N)'!D86&gt;='Reeksen (N)'!B86,0,IF('Reeksen (N)'!AD86&lt;='Reeksen (N)'!AE86,('Reeksen (N)'!B86-'Reeksen (N)'!D86)*R86,0))</f>
        <v>0</v>
      </c>
      <c r="V86" s="86">
        <f>IF('Reeksen (N)'!D86&gt;='Reeksen (N)'!B86,0,IF('Reeksen (N)'!AD86&gt;'Reeksen (N)'!AE86,('Reeksen (N)'!B86-'Reeksen (N)'!D86)*R86,0))</f>
        <v>0</v>
      </c>
      <c r="W86" s="97">
        <f t="shared" ca="1" si="13"/>
        <v>0</v>
      </c>
      <c r="X86" s="98">
        <f ca="1">IF('Invoer gegevens (N)'!$C$17=E86,'Invoer gegevens (N)'!$C$10-'Invoer gegevens (N)'!$C$11,IF(C86=1,AC85,0))</f>
        <v>0</v>
      </c>
      <c r="Y86" s="98">
        <f ca="1">IF(C86&gt;=1,X86*VLOOKUP(E86,'Reeksen (N)'!$A$5:$B$76,2),0)</f>
        <v>0</v>
      </c>
      <c r="Z86" s="98">
        <f ca="1">(1-('Invoer gegevens (N)'!$F$20/12))*X86*MIN('Reeksen (N)'!B86,'Reeksen (N)'!D86)</f>
        <v>0</v>
      </c>
      <c r="AA86" s="98">
        <f>IF('Reeksen (N)'!D86&gt;='Reeksen (N)'!B86,0,IF('Reeksen (N)'!AD86&lt;='Reeksen (N)'!AE86,('Reeksen (N)'!B86-'Reeksen (N)'!D86)*X86,0))</f>
        <v>0</v>
      </c>
      <c r="AB86" s="98">
        <f>IF('Reeksen (N)'!D86&gt;='Reeksen (N)'!B86,0,IF('Reeksen (N)'!AD86&gt;'Reeksen (N)'!AE86,('Reeksen (N)'!B86-'Reeksen (N)'!D86)*X86,0))</f>
        <v>0</v>
      </c>
      <c r="AC86" s="99">
        <f t="shared" ca="1" si="14"/>
        <v>0</v>
      </c>
      <c r="AD86" s="98">
        <f ca="1">IF('Invoer gegevens (N)'!$C$17=E86,R86,IF(C86=0,0,AE85))</f>
        <v>0</v>
      </c>
      <c r="AE86" s="98">
        <f t="shared" ca="1" si="15"/>
        <v>0</v>
      </c>
      <c r="AF86" s="98">
        <f ca="1">IF('Invoer gegevens (N)'!$C$17=E86,X86,IF(C86=0,0,AG85))</f>
        <v>0</v>
      </c>
      <c r="AG86" s="98">
        <f t="shared" ca="1" si="16"/>
        <v>0</v>
      </c>
      <c r="AH86" s="66"/>
      <c r="AI86" s="71">
        <f ca="1">IF(C86=1,'Reeksen (N)'!AI86*((F86-G86+F86)/2)*12+'Reeksen (N)'!AD86*((L86-M86+L86)/2)*12,0)</f>
        <v>0</v>
      </c>
      <c r="AJ86" s="71">
        <f ca="1">-AI86*'Invoer gegevens (N)'!$F$28</f>
        <v>0</v>
      </c>
      <c r="AK86" s="71">
        <f t="shared" ca="1" si="17"/>
        <v>0</v>
      </c>
      <c r="AL86" s="71">
        <f ca="1">IF(C86=1,'Reeksen (N)'!AL86*((F86-G86+F86)/2)*12+'Reeksen (N)'!AM86*((L86-M86+L86)/2)*12,0)</f>
        <v>0</v>
      </c>
      <c r="AM86" s="71">
        <f ca="1">-AL86*'Invoer gegevens (N)'!$F$31</f>
        <v>0</v>
      </c>
      <c r="AN86" s="71">
        <f t="shared" ca="1" si="18"/>
        <v>0</v>
      </c>
      <c r="AO86" s="71">
        <f ca="1">IF(C86=1,(H86+J86+N86+P86)*'Reeksen (N)'!AN86,0)</f>
        <v>0</v>
      </c>
      <c r="AP86" s="71">
        <f ca="1">-IF(C86=1,(H86+J86+N86+P86)*'Hulp - basis'!$O$550*'Reeksen (N)'!H86,0)</f>
        <v>0</v>
      </c>
      <c r="AQ86" s="71">
        <f ca="1">-IF(C86=1,(F86+K86+L86+Q86)/2*'Invoer gegevens (N)'!$F$35*'Reeksen (N)'!J86,0)*2</f>
        <v>0</v>
      </c>
      <c r="AR86" s="71"/>
      <c r="AS86" s="71">
        <f ca="1">-IF(C86=1,(F86+K86+L86+Q86)/2*'Invoer gegevens (N)'!$F$37*'Reeksen (N)'!L86,0)</f>
        <v>0</v>
      </c>
      <c r="AT86" s="71">
        <f ca="1">-IF(C86=1,IF(E86='Invoer gegevens (N)'!$C$17,'Invoer gegevens (N)'!$C$11,AD86)*'Reeksen (N)'!S86*'Invoer gegevens (N)'!$C$18*'Reeksen (N)'!P86,0)</f>
        <v>0</v>
      </c>
      <c r="AU86" s="71">
        <f ca="1">-IF(C86=1,(F86+K86+L86+Q86)/2*'Invoer gegevens (N)'!$F$38*'Reeksen (N)'!H86,0)</f>
        <v>0</v>
      </c>
      <c r="AV86" s="71">
        <v>0</v>
      </c>
      <c r="AW86" s="71">
        <f t="shared" ca="1" si="19"/>
        <v>0</v>
      </c>
      <c r="AX86" s="71">
        <f ca="1">IF(E86&lt;'Invoer gegevens (N)'!$C$17+15,0,IF(E86&gt;'Invoer gegevens (N)'!$C$17+215,0,AW86))</f>
        <v>0</v>
      </c>
      <c r="AY86" s="71">
        <f ca="1">AX86/(1+'Invoer gegevens (N)'!$F$18)^($AZ86-('Invoer gegevens (N)'!$C$17-'Invoer gegevens (N)'!$C$16))/(1+'Invoer gegevens (N)'!$C$39)^('Invoer gegevens (N)'!$C$17-'Invoer gegevens (N)'!$C$16)</f>
        <v>0</v>
      </c>
      <c r="AZ86" s="68">
        <f ca="1">IF(E86-'Invoer gegevens (N)'!$C$17-14.5&lt;0,0,E86-'Invoer gegevens (N)'!$C$17-14.5)</f>
        <v>66.5</v>
      </c>
    </row>
    <row r="87" spans="1:52" x14ac:dyDescent="0.25">
      <c r="A87" s="59"/>
      <c r="B87" s="70">
        <f t="shared" si="20"/>
        <v>83</v>
      </c>
      <c r="C87" s="67">
        <f ca="1">IF(E87-'Invoer gegevens (N)'!$C$17&lt;0,0,1)</f>
        <v>1</v>
      </c>
      <c r="D87" s="68">
        <f t="shared" si="21"/>
        <v>82.5</v>
      </c>
      <c r="E87" s="69">
        <f ca="1">IF('Invoer gegevens (N)'!$C$16="","",E86+1)</f>
        <v>2101</v>
      </c>
      <c r="F87" s="84">
        <f ca="1">IF('Invoer gegevens (N)'!$C$17=E87,'Invoer gegevens (N)'!$C$10,IF(C87=1,K86,0))</f>
        <v>0</v>
      </c>
      <c r="G87" s="96">
        <f ca="1">IF(C87&gt;=1,F87*VLOOKUP(E87,'Reeksen (N)'!$A$5:$B$76,2),0)</f>
        <v>0</v>
      </c>
      <c r="H87" s="84">
        <f ca="1">(1-('Invoer gegevens (N)'!$F$20/12))*F87*MIN('Reeksen (N)'!B87,'Reeksen (N)'!D87)</f>
        <v>0</v>
      </c>
      <c r="I87" s="84">
        <f>IF('Reeksen (N)'!D87&lt;'Reeksen (N)'!B87,('Reeksen (N)'!B87-'Reeksen (N)'!D87)*F87,0)</f>
        <v>0</v>
      </c>
      <c r="J87" s="84">
        <f ca="1">('Invoer gegevens (N)'!$F$20/12)*F86*MIN('Reeksen (N)'!B86,'Reeksen (N)'!D86)</f>
        <v>0</v>
      </c>
      <c r="K87" s="97">
        <f t="shared" ca="1" si="11"/>
        <v>0</v>
      </c>
      <c r="L87" s="84">
        <f ca="1">IF('Invoer gegevens (N)'!$C$17=E87,0,IF(C87=1,Q86,0))</f>
        <v>0</v>
      </c>
      <c r="M87" s="96">
        <f ca="1">IF(C87&gt;=1,L87*VLOOKUP(E87,'Reeksen (N)'!$A$5:$B$76,2),0)</f>
        <v>0</v>
      </c>
      <c r="N87" s="84">
        <f ca="1">(1-('Invoer gegevens (N)'!$F$20/12))*L87*MIN('Reeksen (N)'!B87,'Reeksen (N)'!D87)</f>
        <v>0</v>
      </c>
      <c r="O87" s="84">
        <f>IF('Reeksen (N)'!D87&lt;'Reeksen (N)'!B87,('Reeksen (N)'!B87-'Reeksen (N)'!D87)*L87,0)</f>
        <v>0</v>
      </c>
      <c r="P87" s="84">
        <f ca="1">('Invoer gegevens (N)'!$F$20/12)*L86*MIN('Reeksen (N)'!B86,'Reeksen (N)'!D86)</f>
        <v>0</v>
      </c>
      <c r="Q87" s="84">
        <f t="shared" ca="1" si="12"/>
        <v>0</v>
      </c>
      <c r="R87" s="82">
        <f ca="1">IF('Invoer gegevens (N)'!$C$17=E87,'Invoer gegevens (N)'!$C$11,IF(C87=1,W86,0))</f>
        <v>0</v>
      </c>
      <c r="S87" s="86">
        <f ca="1">IF(C87&gt;=1,R87*VLOOKUP(E87,'Reeksen (N)'!$A$5:$B$76,2),0)</f>
        <v>0</v>
      </c>
      <c r="T87" s="84">
        <f ca="1">(1-('Invoer gegevens (N)'!$F$20/12))*R87*MIN('Reeksen (N)'!B87,'Reeksen (N)'!D87)</f>
        <v>0</v>
      </c>
      <c r="U87" s="84">
        <f>IF('Reeksen (N)'!D87&gt;='Reeksen (N)'!B87,0,IF('Reeksen (N)'!AD87&lt;='Reeksen (N)'!AE87,('Reeksen (N)'!B87-'Reeksen (N)'!D87)*R87,0))</f>
        <v>0</v>
      </c>
      <c r="V87" s="86">
        <f>IF('Reeksen (N)'!D87&gt;='Reeksen (N)'!B87,0,IF('Reeksen (N)'!AD87&gt;'Reeksen (N)'!AE87,('Reeksen (N)'!B87-'Reeksen (N)'!D87)*R87,0))</f>
        <v>0</v>
      </c>
      <c r="W87" s="97">
        <f t="shared" ca="1" si="13"/>
        <v>0</v>
      </c>
      <c r="X87" s="98">
        <f ca="1">IF('Invoer gegevens (N)'!$C$17=E87,'Invoer gegevens (N)'!$C$10-'Invoer gegevens (N)'!$C$11,IF(C87=1,AC86,0))</f>
        <v>0</v>
      </c>
      <c r="Y87" s="98">
        <f ca="1">IF(C87&gt;=1,X87*VLOOKUP(E87,'Reeksen (N)'!$A$5:$B$76,2),0)</f>
        <v>0</v>
      </c>
      <c r="Z87" s="98">
        <f ca="1">(1-('Invoer gegevens (N)'!$F$20/12))*X87*MIN('Reeksen (N)'!B87,'Reeksen (N)'!D87)</f>
        <v>0</v>
      </c>
      <c r="AA87" s="98">
        <f>IF('Reeksen (N)'!D87&gt;='Reeksen (N)'!B87,0,IF('Reeksen (N)'!AD87&lt;='Reeksen (N)'!AE87,('Reeksen (N)'!B87-'Reeksen (N)'!D87)*X87,0))</f>
        <v>0</v>
      </c>
      <c r="AB87" s="98">
        <f>IF('Reeksen (N)'!D87&gt;='Reeksen (N)'!B87,0,IF('Reeksen (N)'!AD87&gt;'Reeksen (N)'!AE87,('Reeksen (N)'!B87-'Reeksen (N)'!D87)*X87,0))</f>
        <v>0</v>
      </c>
      <c r="AC87" s="99">
        <f t="shared" ca="1" si="14"/>
        <v>0</v>
      </c>
      <c r="AD87" s="98">
        <f ca="1">IF('Invoer gegevens (N)'!$C$17=E87,R87,IF(C87=0,0,AE86))</f>
        <v>0</v>
      </c>
      <c r="AE87" s="98">
        <f t="shared" ca="1" si="15"/>
        <v>0</v>
      </c>
      <c r="AF87" s="98">
        <f ca="1">IF('Invoer gegevens (N)'!$C$17=E87,X87,IF(C87=0,0,AG86))</f>
        <v>0</v>
      </c>
      <c r="AG87" s="98">
        <f t="shared" ca="1" si="16"/>
        <v>0</v>
      </c>
      <c r="AH87" s="66"/>
      <c r="AI87" s="71">
        <f ca="1">IF(C87=1,'Reeksen (N)'!AI87*((F87-G87+F87)/2)*12+'Reeksen (N)'!AD87*((L87-M87+L87)/2)*12,0)</f>
        <v>0</v>
      </c>
      <c r="AJ87" s="71">
        <f ca="1">-AI87*'Invoer gegevens (N)'!$F$28</f>
        <v>0</v>
      </c>
      <c r="AK87" s="71">
        <f t="shared" ca="1" si="17"/>
        <v>0</v>
      </c>
      <c r="AL87" s="71">
        <f ca="1">IF(C87=1,'Reeksen (N)'!AL87*((F87-G87+F87)/2)*12+'Reeksen (N)'!AM87*((L87-M87+L87)/2)*12,0)</f>
        <v>0</v>
      </c>
      <c r="AM87" s="71">
        <f ca="1">-AL87*'Invoer gegevens (N)'!$F$31</f>
        <v>0</v>
      </c>
      <c r="AN87" s="71">
        <f t="shared" ca="1" si="18"/>
        <v>0</v>
      </c>
      <c r="AO87" s="71">
        <f ca="1">IF(C87=1,(H87+J87+N87+P87)*'Reeksen (N)'!AN87,0)</f>
        <v>0</v>
      </c>
      <c r="AP87" s="71">
        <f ca="1">-IF(C87=1,(H87+J87+N87+P87)*'Hulp - basis'!$O$550*'Reeksen (N)'!H87,0)</f>
        <v>0</v>
      </c>
      <c r="AQ87" s="71">
        <f ca="1">-IF(C87=1,(F87+K87+L87+Q87)/2*'Invoer gegevens (N)'!$F$35*'Reeksen (N)'!J87,0)*2</f>
        <v>0</v>
      </c>
      <c r="AR87" s="71"/>
      <c r="AS87" s="71">
        <f ca="1">-IF(C87=1,(F87+K87+L87+Q87)/2*'Invoer gegevens (N)'!$F$37*'Reeksen (N)'!L87,0)</f>
        <v>0</v>
      </c>
      <c r="AT87" s="71">
        <f ca="1">-IF(C87=1,IF(E87='Invoer gegevens (N)'!$C$17,'Invoer gegevens (N)'!$C$11,AD87)*'Reeksen (N)'!S87*'Invoer gegevens (N)'!$C$18*'Reeksen (N)'!P87,0)</f>
        <v>0</v>
      </c>
      <c r="AU87" s="71">
        <f ca="1">-IF(C87=1,(F87+K87+L87+Q87)/2*'Invoer gegevens (N)'!$F$38*'Reeksen (N)'!H87,0)</f>
        <v>0</v>
      </c>
      <c r="AV87" s="71">
        <v>0</v>
      </c>
      <c r="AW87" s="71">
        <f t="shared" ca="1" si="19"/>
        <v>0</v>
      </c>
      <c r="AX87" s="71">
        <f ca="1">IF(E87&lt;'Invoer gegevens (N)'!$C$17+15,0,IF(E87&gt;'Invoer gegevens (N)'!$C$17+215,0,AW87))</f>
        <v>0</v>
      </c>
      <c r="AY87" s="71">
        <f ca="1">AX87/(1+'Invoer gegevens (N)'!$F$18)^($AZ87-('Invoer gegevens (N)'!$C$17-'Invoer gegevens (N)'!$C$16))/(1+'Invoer gegevens (N)'!$C$39)^('Invoer gegevens (N)'!$C$17-'Invoer gegevens (N)'!$C$16)</f>
        <v>0</v>
      </c>
      <c r="AZ87" s="68">
        <f ca="1">IF(E87-'Invoer gegevens (N)'!$C$17-14.5&lt;0,0,E87-'Invoer gegevens (N)'!$C$17-14.5)</f>
        <v>67.5</v>
      </c>
    </row>
    <row r="88" spans="1:52" x14ac:dyDescent="0.25">
      <c r="A88" s="59"/>
      <c r="B88" s="70">
        <f t="shared" si="20"/>
        <v>84</v>
      </c>
      <c r="C88" s="67">
        <f ca="1">IF(E88-'Invoer gegevens (N)'!$C$17&lt;0,0,1)</f>
        <v>1</v>
      </c>
      <c r="D88" s="68">
        <f t="shared" si="21"/>
        <v>83.5</v>
      </c>
      <c r="E88" s="69">
        <f ca="1">IF('Invoer gegevens (N)'!$C$16="","",E87+1)</f>
        <v>2102</v>
      </c>
      <c r="F88" s="84">
        <f ca="1">IF('Invoer gegevens (N)'!$C$17=E88,'Invoer gegevens (N)'!$C$10,IF(C88=1,K87,0))</f>
        <v>0</v>
      </c>
      <c r="G88" s="96">
        <f ca="1">IF(C88&gt;=1,F88*VLOOKUP(E88,'Reeksen (N)'!$A$5:$B$76,2),0)</f>
        <v>0</v>
      </c>
      <c r="H88" s="84">
        <f ca="1">(1-('Invoer gegevens (N)'!$F$20/12))*F88*MIN('Reeksen (N)'!B88,'Reeksen (N)'!D88)</f>
        <v>0</v>
      </c>
      <c r="I88" s="84">
        <f>IF('Reeksen (N)'!D88&lt;'Reeksen (N)'!B88,('Reeksen (N)'!B88-'Reeksen (N)'!D88)*F88,0)</f>
        <v>0</v>
      </c>
      <c r="J88" s="84">
        <f ca="1">('Invoer gegevens (N)'!$F$20/12)*F87*MIN('Reeksen (N)'!B87,'Reeksen (N)'!D87)</f>
        <v>0</v>
      </c>
      <c r="K88" s="97">
        <f t="shared" ca="1" si="11"/>
        <v>0</v>
      </c>
      <c r="L88" s="84">
        <f ca="1">IF('Invoer gegevens (N)'!$C$17=E88,0,IF(C88=1,Q87,0))</f>
        <v>0</v>
      </c>
      <c r="M88" s="96">
        <f ca="1">IF(C88&gt;=1,L88*VLOOKUP(E88,'Reeksen (N)'!$A$5:$B$76,2),0)</f>
        <v>0</v>
      </c>
      <c r="N88" s="84">
        <f ca="1">(1-('Invoer gegevens (N)'!$F$20/12))*L88*MIN('Reeksen (N)'!B88,'Reeksen (N)'!D88)</f>
        <v>0</v>
      </c>
      <c r="O88" s="84">
        <f>IF('Reeksen (N)'!D88&lt;'Reeksen (N)'!B88,('Reeksen (N)'!B88-'Reeksen (N)'!D88)*L88,0)</f>
        <v>0</v>
      </c>
      <c r="P88" s="84">
        <f ca="1">('Invoer gegevens (N)'!$F$20/12)*L87*MIN('Reeksen (N)'!B87,'Reeksen (N)'!D87)</f>
        <v>0</v>
      </c>
      <c r="Q88" s="84">
        <f t="shared" ca="1" si="12"/>
        <v>0</v>
      </c>
      <c r="R88" s="82">
        <f ca="1">IF('Invoer gegevens (N)'!$C$17=E88,'Invoer gegevens (N)'!$C$11,IF(C88=1,W87,0))</f>
        <v>0</v>
      </c>
      <c r="S88" s="86">
        <f ca="1">IF(C88&gt;=1,R88*VLOOKUP(E88,'Reeksen (N)'!$A$5:$B$76,2),0)</f>
        <v>0</v>
      </c>
      <c r="T88" s="84">
        <f ca="1">(1-('Invoer gegevens (N)'!$F$20/12))*R88*MIN('Reeksen (N)'!B88,'Reeksen (N)'!D88)</f>
        <v>0</v>
      </c>
      <c r="U88" s="84">
        <f>IF('Reeksen (N)'!D88&gt;='Reeksen (N)'!B88,0,IF('Reeksen (N)'!AD88&lt;='Reeksen (N)'!AE88,('Reeksen (N)'!B88-'Reeksen (N)'!D88)*R88,0))</f>
        <v>0</v>
      </c>
      <c r="V88" s="86">
        <f>IF('Reeksen (N)'!D88&gt;='Reeksen (N)'!B88,0,IF('Reeksen (N)'!AD88&gt;'Reeksen (N)'!AE88,('Reeksen (N)'!B88-'Reeksen (N)'!D88)*R88,0))</f>
        <v>0</v>
      </c>
      <c r="W88" s="97">
        <f t="shared" ca="1" si="13"/>
        <v>0</v>
      </c>
      <c r="X88" s="98">
        <f ca="1">IF('Invoer gegevens (N)'!$C$17=E88,'Invoer gegevens (N)'!$C$10-'Invoer gegevens (N)'!$C$11,IF(C88=1,AC87,0))</f>
        <v>0</v>
      </c>
      <c r="Y88" s="98">
        <f ca="1">IF(C88&gt;=1,X88*VLOOKUP(E88,'Reeksen (N)'!$A$5:$B$76,2),0)</f>
        <v>0</v>
      </c>
      <c r="Z88" s="98">
        <f ca="1">(1-('Invoer gegevens (N)'!$F$20/12))*X88*MIN('Reeksen (N)'!B88,'Reeksen (N)'!D88)</f>
        <v>0</v>
      </c>
      <c r="AA88" s="98">
        <f>IF('Reeksen (N)'!D88&gt;='Reeksen (N)'!B88,0,IF('Reeksen (N)'!AD88&lt;='Reeksen (N)'!AE88,('Reeksen (N)'!B88-'Reeksen (N)'!D88)*X88,0))</f>
        <v>0</v>
      </c>
      <c r="AB88" s="98">
        <f>IF('Reeksen (N)'!D88&gt;='Reeksen (N)'!B88,0,IF('Reeksen (N)'!AD88&gt;'Reeksen (N)'!AE88,('Reeksen (N)'!B88-'Reeksen (N)'!D88)*X88,0))</f>
        <v>0</v>
      </c>
      <c r="AC88" s="99">
        <f t="shared" ca="1" si="14"/>
        <v>0</v>
      </c>
      <c r="AD88" s="98">
        <f ca="1">IF('Invoer gegevens (N)'!$C$17=E88,R88,IF(C88=0,0,AE87))</f>
        <v>0</v>
      </c>
      <c r="AE88" s="98">
        <f t="shared" ca="1" si="15"/>
        <v>0</v>
      </c>
      <c r="AF88" s="98">
        <f ca="1">IF('Invoer gegevens (N)'!$C$17=E88,X88,IF(C88=0,0,AG87))</f>
        <v>0</v>
      </c>
      <c r="AG88" s="98">
        <f t="shared" ca="1" si="16"/>
        <v>0</v>
      </c>
      <c r="AH88" s="66"/>
      <c r="AI88" s="71">
        <f ca="1">IF(C88=1,'Reeksen (N)'!AI88*((F88-G88+F88)/2)*12+'Reeksen (N)'!AD88*((L88-M88+L88)/2)*12,0)</f>
        <v>0</v>
      </c>
      <c r="AJ88" s="71">
        <f ca="1">-AI88*'Invoer gegevens (N)'!$F$28</f>
        <v>0</v>
      </c>
      <c r="AK88" s="71">
        <f t="shared" ca="1" si="17"/>
        <v>0</v>
      </c>
      <c r="AL88" s="71">
        <f ca="1">IF(C88=1,'Reeksen (N)'!AL88*((F88-G88+F88)/2)*12+'Reeksen (N)'!AM88*((L88-M88+L88)/2)*12,0)</f>
        <v>0</v>
      </c>
      <c r="AM88" s="71">
        <f ca="1">-AL88*'Invoer gegevens (N)'!$F$31</f>
        <v>0</v>
      </c>
      <c r="AN88" s="71">
        <f t="shared" ca="1" si="18"/>
        <v>0</v>
      </c>
      <c r="AO88" s="71">
        <f ca="1">IF(C88=1,(H88+J88+N88+P88)*'Reeksen (N)'!AN88,0)</f>
        <v>0</v>
      </c>
      <c r="AP88" s="71">
        <f ca="1">-IF(C88=1,(H88+J88+N88+P88)*'Hulp - basis'!$O$550*'Reeksen (N)'!H88,0)</f>
        <v>0</v>
      </c>
      <c r="AQ88" s="71">
        <f ca="1">-IF(C88=1,(F88+K88+L88+Q88)/2*'Invoer gegevens (N)'!$F$35*'Reeksen (N)'!J88,0)*2</f>
        <v>0</v>
      </c>
      <c r="AR88" s="71"/>
      <c r="AS88" s="71">
        <f ca="1">-IF(C88=1,(F88+K88+L88+Q88)/2*'Invoer gegevens (N)'!$F$37*'Reeksen (N)'!L88,0)</f>
        <v>0</v>
      </c>
      <c r="AT88" s="71">
        <f ca="1">-IF(C88=1,IF(E88='Invoer gegevens (N)'!$C$17,'Invoer gegevens (N)'!$C$11,AD88)*'Reeksen (N)'!S88*'Invoer gegevens (N)'!$C$18*'Reeksen (N)'!P88,0)</f>
        <v>0</v>
      </c>
      <c r="AU88" s="71">
        <f ca="1">-IF(C88=1,(F88+K88+L88+Q88)/2*'Invoer gegevens (N)'!$F$38*'Reeksen (N)'!H88,0)</f>
        <v>0</v>
      </c>
      <c r="AV88" s="71">
        <v>0</v>
      </c>
      <c r="AW88" s="71">
        <f t="shared" ca="1" si="19"/>
        <v>0</v>
      </c>
      <c r="AX88" s="71">
        <f ca="1">IF(E88&lt;'Invoer gegevens (N)'!$C$17+15,0,IF(E88&gt;'Invoer gegevens (N)'!$C$17+215,0,AW88))</f>
        <v>0</v>
      </c>
      <c r="AY88" s="71">
        <f ca="1">AX88/(1+'Invoer gegevens (N)'!$F$18)^($AZ88-('Invoer gegevens (N)'!$C$17-'Invoer gegevens (N)'!$C$16))/(1+'Invoer gegevens (N)'!$C$39)^('Invoer gegevens (N)'!$C$17-'Invoer gegevens (N)'!$C$16)</f>
        <v>0</v>
      </c>
      <c r="AZ88" s="68">
        <f ca="1">IF(E88-'Invoer gegevens (N)'!$C$17-14.5&lt;0,0,E88-'Invoer gegevens (N)'!$C$17-14.5)</f>
        <v>68.5</v>
      </c>
    </row>
    <row r="89" spans="1:52" x14ac:dyDescent="0.25">
      <c r="A89" s="59"/>
      <c r="B89" s="70">
        <f t="shared" si="20"/>
        <v>85</v>
      </c>
      <c r="C89" s="67">
        <f ca="1">IF(E89-'Invoer gegevens (N)'!$C$17&lt;0,0,1)</f>
        <v>1</v>
      </c>
      <c r="D89" s="68">
        <f t="shared" si="21"/>
        <v>84.5</v>
      </c>
      <c r="E89" s="69">
        <f ca="1">IF('Invoer gegevens (N)'!$C$16="","",E88+1)</f>
        <v>2103</v>
      </c>
      <c r="F89" s="84">
        <f ca="1">IF('Invoer gegevens (N)'!$C$17=E89,'Invoer gegevens (N)'!$C$10,IF(C89=1,K88,0))</f>
        <v>0</v>
      </c>
      <c r="G89" s="96">
        <f ca="1">IF(C89&gt;=1,F89*VLOOKUP(E89,'Reeksen (N)'!$A$5:$B$76,2),0)</f>
        <v>0</v>
      </c>
      <c r="H89" s="84">
        <f ca="1">(1-('Invoer gegevens (N)'!$F$20/12))*F89*MIN('Reeksen (N)'!B89,'Reeksen (N)'!D89)</f>
        <v>0</v>
      </c>
      <c r="I89" s="84">
        <f>IF('Reeksen (N)'!D89&lt;'Reeksen (N)'!B89,('Reeksen (N)'!B89-'Reeksen (N)'!D89)*F89,0)</f>
        <v>0</v>
      </c>
      <c r="J89" s="84">
        <f ca="1">('Invoer gegevens (N)'!$F$20/12)*F88*MIN('Reeksen (N)'!B88,'Reeksen (N)'!D88)</f>
        <v>0</v>
      </c>
      <c r="K89" s="97">
        <f t="shared" ca="1" si="11"/>
        <v>0</v>
      </c>
      <c r="L89" s="84">
        <f ca="1">IF('Invoer gegevens (N)'!$C$17=E89,0,IF(C89=1,Q88,0))</f>
        <v>0</v>
      </c>
      <c r="M89" s="96">
        <f ca="1">IF(C89&gt;=1,L89*VLOOKUP(E89,'Reeksen (N)'!$A$5:$B$76,2),0)</f>
        <v>0</v>
      </c>
      <c r="N89" s="84">
        <f ca="1">(1-('Invoer gegevens (N)'!$F$20/12))*L89*MIN('Reeksen (N)'!B89,'Reeksen (N)'!D89)</f>
        <v>0</v>
      </c>
      <c r="O89" s="84">
        <f>IF('Reeksen (N)'!D89&lt;'Reeksen (N)'!B89,('Reeksen (N)'!B89-'Reeksen (N)'!D89)*L89,0)</f>
        <v>0</v>
      </c>
      <c r="P89" s="84">
        <f ca="1">('Invoer gegevens (N)'!$F$20/12)*L88*MIN('Reeksen (N)'!B88,'Reeksen (N)'!D88)</f>
        <v>0</v>
      </c>
      <c r="Q89" s="84">
        <f t="shared" ca="1" si="12"/>
        <v>0</v>
      </c>
      <c r="R89" s="82">
        <f ca="1">IF('Invoer gegevens (N)'!$C$17=E89,'Invoer gegevens (N)'!$C$11,IF(C89=1,W88,0))</f>
        <v>0</v>
      </c>
      <c r="S89" s="86">
        <f ca="1">IF(C89&gt;=1,R89*VLOOKUP(E89,'Reeksen (N)'!$A$5:$B$76,2),0)</f>
        <v>0</v>
      </c>
      <c r="T89" s="84">
        <f ca="1">(1-('Invoer gegevens (N)'!$F$20/12))*R89*MIN('Reeksen (N)'!B89,'Reeksen (N)'!D89)</f>
        <v>0</v>
      </c>
      <c r="U89" s="84">
        <f>IF('Reeksen (N)'!D89&gt;='Reeksen (N)'!B89,0,IF('Reeksen (N)'!AD89&lt;='Reeksen (N)'!AE89,('Reeksen (N)'!B89-'Reeksen (N)'!D89)*R89,0))</f>
        <v>0</v>
      </c>
      <c r="V89" s="86">
        <f>IF('Reeksen (N)'!D89&gt;='Reeksen (N)'!B89,0,IF('Reeksen (N)'!AD89&gt;'Reeksen (N)'!AE89,('Reeksen (N)'!B89-'Reeksen (N)'!D89)*R89,0))</f>
        <v>0</v>
      </c>
      <c r="W89" s="97">
        <f t="shared" ca="1" si="13"/>
        <v>0</v>
      </c>
      <c r="X89" s="98">
        <f ca="1">IF('Invoer gegevens (N)'!$C$17=E89,'Invoer gegevens (N)'!$C$10-'Invoer gegevens (N)'!$C$11,IF(C89=1,AC88,0))</f>
        <v>0</v>
      </c>
      <c r="Y89" s="98">
        <f ca="1">IF(C89&gt;=1,X89*VLOOKUP(E89,'Reeksen (N)'!$A$5:$B$76,2),0)</f>
        <v>0</v>
      </c>
      <c r="Z89" s="98">
        <f ca="1">(1-('Invoer gegevens (N)'!$F$20/12))*X89*MIN('Reeksen (N)'!B89,'Reeksen (N)'!D89)</f>
        <v>0</v>
      </c>
      <c r="AA89" s="98">
        <f>IF('Reeksen (N)'!D89&gt;='Reeksen (N)'!B89,0,IF('Reeksen (N)'!AD89&lt;='Reeksen (N)'!AE89,('Reeksen (N)'!B89-'Reeksen (N)'!D89)*X89,0))</f>
        <v>0</v>
      </c>
      <c r="AB89" s="98">
        <f>IF('Reeksen (N)'!D89&gt;='Reeksen (N)'!B89,0,IF('Reeksen (N)'!AD89&gt;'Reeksen (N)'!AE89,('Reeksen (N)'!B89-'Reeksen (N)'!D89)*X89,0))</f>
        <v>0</v>
      </c>
      <c r="AC89" s="99">
        <f t="shared" ca="1" si="14"/>
        <v>0</v>
      </c>
      <c r="AD89" s="98">
        <f ca="1">IF('Invoer gegevens (N)'!$C$17=E89,R89,IF(C89=0,0,AE88))</f>
        <v>0</v>
      </c>
      <c r="AE89" s="98">
        <f t="shared" ca="1" si="15"/>
        <v>0</v>
      </c>
      <c r="AF89" s="98">
        <f ca="1">IF('Invoer gegevens (N)'!$C$17=E89,X89,IF(C89=0,0,AG88))</f>
        <v>0</v>
      </c>
      <c r="AG89" s="98">
        <f t="shared" ca="1" si="16"/>
        <v>0</v>
      </c>
      <c r="AH89" s="66"/>
      <c r="AI89" s="71">
        <f ca="1">IF(C89=1,'Reeksen (N)'!AI89*((F89-G89+F89)/2)*12+'Reeksen (N)'!AD89*((L89-M89+L89)/2)*12,0)</f>
        <v>0</v>
      </c>
      <c r="AJ89" s="71">
        <f ca="1">-AI89*'Invoer gegevens (N)'!$F$28</f>
        <v>0</v>
      </c>
      <c r="AK89" s="71">
        <f t="shared" ca="1" si="17"/>
        <v>0</v>
      </c>
      <c r="AL89" s="71">
        <f ca="1">IF(C89=1,'Reeksen (N)'!AL89*((F89-G89+F89)/2)*12+'Reeksen (N)'!AM89*((L89-M89+L89)/2)*12,0)</f>
        <v>0</v>
      </c>
      <c r="AM89" s="71">
        <f ca="1">-AL89*'Invoer gegevens (N)'!$F$31</f>
        <v>0</v>
      </c>
      <c r="AN89" s="71">
        <f t="shared" ca="1" si="18"/>
        <v>0</v>
      </c>
      <c r="AO89" s="71">
        <f ca="1">IF(C89=1,(H89+J89+N89+P89)*'Reeksen (N)'!AN89,0)</f>
        <v>0</v>
      </c>
      <c r="AP89" s="71">
        <f ca="1">-IF(C89=1,(H89+J89+N89+P89)*'Hulp - basis'!$O$550*'Reeksen (N)'!H89,0)</f>
        <v>0</v>
      </c>
      <c r="AQ89" s="71">
        <f ca="1">-IF(C89=1,(F89+K89+L89+Q89)/2*'Invoer gegevens (N)'!$F$35*'Reeksen (N)'!J89,0)*2</f>
        <v>0</v>
      </c>
      <c r="AR89" s="71"/>
      <c r="AS89" s="71">
        <f ca="1">-IF(C89=1,(F89+K89+L89+Q89)/2*'Invoer gegevens (N)'!$F$37*'Reeksen (N)'!L89,0)</f>
        <v>0</v>
      </c>
      <c r="AT89" s="71">
        <f ca="1">-IF(C89=1,IF(E89='Invoer gegevens (N)'!$C$17,'Invoer gegevens (N)'!$C$11,AD89)*'Reeksen (N)'!S89*'Invoer gegevens (N)'!$C$18*'Reeksen (N)'!P89,0)</f>
        <v>0</v>
      </c>
      <c r="AU89" s="71">
        <f ca="1">-IF(C89=1,(F89+K89+L89+Q89)/2*'Invoer gegevens (N)'!$F$38*'Reeksen (N)'!H89,0)</f>
        <v>0</v>
      </c>
      <c r="AV89" s="71">
        <v>0</v>
      </c>
      <c r="AW89" s="71">
        <f t="shared" ca="1" si="19"/>
        <v>0</v>
      </c>
      <c r="AX89" s="71">
        <f ca="1">IF(E89&lt;'Invoer gegevens (N)'!$C$17+15,0,IF(E89&gt;'Invoer gegevens (N)'!$C$17+215,0,AW89))</f>
        <v>0</v>
      </c>
      <c r="AY89" s="71">
        <f ca="1">AX89/(1+'Invoer gegevens (N)'!$F$18)^($AZ89-('Invoer gegevens (N)'!$C$17-'Invoer gegevens (N)'!$C$16))/(1+'Invoer gegevens (N)'!$C$39)^('Invoer gegevens (N)'!$C$17-'Invoer gegevens (N)'!$C$16)</f>
        <v>0</v>
      </c>
      <c r="AZ89" s="68">
        <f ca="1">IF(E89-'Invoer gegevens (N)'!$C$17-14.5&lt;0,0,E89-'Invoer gegevens (N)'!$C$17-14.5)</f>
        <v>69.5</v>
      </c>
    </row>
    <row r="90" spans="1:52" x14ac:dyDescent="0.25">
      <c r="A90" s="59"/>
      <c r="B90" s="70">
        <f t="shared" si="20"/>
        <v>86</v>
      </c>
      <c r="C90" s="67">
        <f ca="1">IF(E90-'Invoer gegevens (N)'!$C$17&lt;0,0,1)</f>
        <v>1</v>
      </c>
      <c r="D90" s="68">
        <f t="shared" si="21"/>
        <v>85.5</v>
      </c>
      <c r="E90" s="69">
        <f ca="1">IF('Invoer gegevens (N)'!$C$16="","",E89+1)</f>
        <v>2104</v>
      </c>
      <c r="F90" s="84">
        <f ca="1">IF('Invoer gegevens (N)'!$C$17=E90,'Invoer gegevens (N)'!$C$10,IF(C90=1,K89,0))</f>
        <v>0</v>
      </c>
      <c r="G90" s="96">
        <f ca="1">IF(C90&gt;=1,F90*VLOOKUP(E90,'Reeksen (N)'!$A$5:$B$76,2),0)</f>
        <v>0</v>
      </c>
      <c r="H90" s="84">
        <f ca="1">(1-('Invoer gegevens (N)'!$F$20/12))*F90*MIN('Reeksen (N)'!B90,'Reeksen (N)'!D90)</f>
        <v>0</v>
      </c>
      <c r="I90" s="84">
        <f>IF('Reeksen (N)'!D90&lt;'Reeksen (N)'!B90,('Reeksen (N)'!B90-'Reeksen (N)'!D90)*F90,0)</f>
        <v>0</v>
      </c>
      <c r="J90" s="84">
        <f ca="1">('Invoer gegevens (N)'!$F$20/12)*F89*MIN('Reeksen (N)'!B89,'Reeksen (N)'!D89)</f>
        <v>0</v>
      </c>
      <c r="K90" s="97">
        <f t="shared" ca="1" si="11"/>
        <v>0</v>
      </c>
      <c r="L90" s="84">
        <f ca="1">IF('Invoer gegevens (N)'!$C$17=E90,0,IF(C90=1,Q89,0))</f>
        <v>0</v>
      </c>
      <c r="M90" s="96">
        <f ca="1">IF(C90&gt;=1,L90*VLOOKUP(E90,'Reeksen (N)'!$A$5:$B$76,2),0)</f>
        <v>0</v>
      </c>
      <c r="N90" s="84">
        <f ca="1">(1-('Invoer gegevens (N)'!$F$20/12))*L90*MIN('Reeksen (N)'!B90,'Reeksen (N)'!D90)</f>
        <v>0</v>
      </c>
      <c r="O90" s="84">
        <f>IF('Reeksen (N)'!D90&lt;'Reeksen (N)'!B90,('Reeksen (N)'!B90-'Reeksen (N)'!D90)*L90,0)</f>
        <v>0</v>
      </c>
      <c r="P90" s="84">
        <f ca="1">('Invoer gegevens (N)'!$F$20/12)*L89*MIN('Reeksen (N)'!B89,'Reeksen (N)'!D89)</f>
        <v>0</v>
      </c>
      <c r="Q90" s="84">
        <f t="shared" ca="1" si="12"/>
        <v>0</v>
      </c>
      <c r="R90" s="82">
        <f ca="1">IF('Invoer gegevens (N)'!$C$17=E90,'Invoer gegevens (N)'!$C$11,IF(C90=1,W89,0))</f>
        <v>0</v>
      </c>
      <c r="S90" s="86">
        <f ca="1">IF(C90&gt;=1,R90*VLOOKUP(E90,'Reeksen (N)'!$A$5:$B$76,2),0)</f>
        <v>0</v>
      </c>
      <c r="T90" s="84">
        <f ca="1">(1-('Invoer gegevens (N)'!$F$20/12))*R90*MIN('Reeksen (N)'!B90,'Reeksen (N)'!D90)</f>
        <v>0</v>
      </c>
      <c r="U90" s="84">
        <f>IF('Reeksen (N)'!D90&gt;='Reeksen (N)'!B90,0,IF('Reeksen (N)'!AD90&lt;='Reeksen (N)'!AE90,('Reeksen (N)'!B90-'Reeksen (N)'!D90)*R90,0))</f>
        <v>0</v>
      </c>
      <c r="V90" s="86">
        <f>IF('Reeksen (N)'!D90&gt;='Reeksen (N)'!B90,0,IF('Reeksen (N)'!AD90&gt;'Reeksen (N)'!AE90,('Reeksen (N)'!B90-'Reeksen (N)'!D90)*R90,0))</f>
        <v>0</v>
      </c>
      <c r="W90" s="97">
        <f t="shared" ca="1" si="13"/>
        <v>0</v>
      </c>
      <c r="X90" s="98">
        <f ca="1">IF('Invoer gegevens (N)'!$C$17=E90,'Invoer gegevens (N)'!$C$10-'Invoer gegevens (N)'!$C$11,IF(C90=1,AC89,0))</f>
        <v>0</v>
      </c>
      <c r="Y90" s="98">
        <f ca="1">IF(C90&gt;=1,X90*VLOOKUP(E90,'Reeksen (N)'!$A$5:$B$76,2),0)</f>
        <v>0</v>
      </c>
      <c r="Z90" s="98">
        <f ca="1">(1-('Invoer gegevens (N)'!$F$20/12))*X90*MIN('Reeksen (N)'!B90,'Reeksen (N)'!D90)</f>
        <v>0</v>
      </c>
      <c r="AA90" s="98">
        <f>IF('Reeksen (N)'!D90&gt;='Reeksen (N)'!B90,0,IF('Reeksen (N)'!AD90&lt;='Reeksen (N)'!AE90,('Reeksen (N)'!B90-'Reeksen (N)'!D90)*X90,0))</f>
        <v>0</v>
      </c>
      <c r="AB90" s="98">
        <f>IF('Reeksen (N)'!D90&gt;='Reeksen (N)'!B90,0,IF('Reeksen (N)'!AD90&gt;'Reeksen (N)'!AE90,('Reeksen (N)'!B90-'Reeksen (N)'!D90)*X90,0))</f>
        <v>0</v>
      </c>
      <c r="AC90" s="99">
        <f t="shared" ca="1" si="14"/>
        <v>0</v>
      </c>
      <c r="AD90" s="98">
        <f ca="1">IF('Invoer gegevens (N)'!$C$17=E90,R90,IF(C90=0,0,AE89))</f>
        <v>0</v>
      </c>
      <c r="AE90" s="98">
        <f t="shared" ca="1" si="15"/>
        <v>0</v>
      </c>
      <c r="AF90" s="98">
        <f ca="1">IF('Invoer gegevens (N)'!$C$17=E90,X90,IF(C90=0,0,AG89))</f>
        <v>0</v>
      </c>
      <c r="AG90" s="98">
        <f t="shared" ca="1" si="16"/>
        <v>0</v>
      </c>
      <c r="AH90" s="66"/>
      <c r="AI90" s="71">
        <f ca="1">IF(C90=1,'Reeksen (N)'!AI90*((F90-G90+F90)/2)*12+'Reeksen (N)'!AD90*((L90-M90+L90)/2)*12,0)</f>
        <v>0</v>
      </c>
      <c r="AJ90" s="71">
        <f ca="1">-AI90*'Invoer gegevens (N)'!$F$28</f>
        <v>0</v>
      </c>
      <c r="AK90" s="71">
        <f t="shared" ca="1" si="17"/>
        <v>0</v>
      </c>
      <c r="AL90" s="71">
        <f ca="1">IF(C90=1,'Reeksen (N)'!AL90*((F90-G90+F90)/2)*12+'Reeksen (N)'!AM90*((L90-M90+L90)/2)*12,0)</f>
        <v>0</v>
      </c>
      <c r="AM90" s="71">
        <f ca="1">-AL90*'Invoer gegevens (N)'!$F$31</f>
        <v>0</v>
      </c>
      <c r="AN90" s="71">
        <f t="shared" ca="1" si="18"/>
        <v>0</v>
      </c>
      <c r="AO90" s="71">
        <f ca="1">IF(C90=1,(H90+J90+N90+P90)*'Reeksen (N)'!AN90,0)</f>
        <v>0</v>
      </c>
      <c r="AP90" s="71">
        <f ca="1">-IF(C90=1,(H90+J90+N90+P90)*'Hulp - basis'!$O$550*'Reeksen (N)'!H90,0)</f>
        <v>0</v>
      </c>
      <c r="AQ90" s="71">
        <f ca="1">-IF(C90=1,(F90+K90+L90+Q90)/2*'Invoer gegevens (N)'!$F$35*'Reeksen (N)'!J90,0)*2</f>
        <v>0</v>
      </c>
      <c r="AR90" s="71"/>
      <c r="AS90" s="71">
        <f ca="1">-IF(C90=1,(F90+K90+L90+Q90)/2*'Invoer gegevens (N)'!$F$37*'Reeksen (N)'!L90,0)</f>
        <v>0</v>
      </c>
      <c r="AT90" s="71">
        <f ca="1">-IF(C90=1,IF(E90='Invoer gegevens (N)'!$C$17,'Invoer gegevens (N)'!$C$11,AD90)*'Reeksen (N)'!S90*'Invoer gegevens (N)'!$C$18*'Reeksen (N)'!P90,0)</f>
        <v>0</v>
      </c>
      <c r="AU90" s="71">
        <f ca="1">-IF(C90=1,(F90+K90+L90+Q90)/2*'Invoer gegevens (N)'!$F$38*'Reeksen (N)'!H90,0)</f>
        <v>0</v>
      </c>
      <c r="AV90" s="71">
        <v>0</v>
      </c>
      <c r="AW90" s="71">
        <f t="shared" ca="1" si="19"/>
        <v>0</v>
      </c>
      <c r="AX90" s="71">
        <f ca="1">IF(E90&lt;'Invoer gegevens (N)'!$C$17+15,0,IF(E90&gt;'Invoer gegevens (N)'!$C$17+215,0,AW90))</f>
        <v>0</v>
      </c>
      <c r="AY90" s="71">
        <f ca="1">AX90/(1+'Invoer gegevens (N)'!$F$18)^($AZ90-('Invoer gegevens (N)'!$C$17-'Invoer gegevens (N)'!$C$16))/(1+'Invoer gegevens (N)'!$C$39)^('Invoer gegevens (N)'!$C$17-'Invoer gegevens (N)'!$C$16)</f>
        <v>0</v>
      </c>
      <c r="AZ90" s="68">
        <f ca="1">IF(E90-'Invoer gegevens (N)'!$C$17-14.5&lt;0,0,E90-'Invoer gegevens (N)'!$C$17-14.5)</f>
        <v>70.5</v>
      </c>
    </row>
    <row r="91" spans="1:52" x14ac:dyDescent="0.25">
      <c r="A91" s="59"/>
      <c r="B91" s="70">
        <f t="shared" si="20"/>
        <v>87</v>
      </c>
      <c r="C91" s="67">
        <f ca="1">IF(E91-'Invoer gegevens (N)'!$C$17&lt;0,0,1)</f>
        <v>1</v>
      </c>
      <c r="D91" s="68">
        <f t="shared" si="21"/>
        <v>86.5</v>
      </c>
      <c r="E91" s="69">
        <f ca="1">IF('Invoer gegevens (N)'!$C$16="","",E90+1)</f>
        <v>2105</v>
      </c>
      <c r="F91" s="84">
        <f ca="1">IF('Invoer gegevens (N)'!$C$17=E91,'Invoer gegevens (N)'!$C$10,IF(C91=1,K90,0))</f>
        <v>0</v>
      </c>
      <c r="G91" s="96">
        <f ca="1">IF(C91&gt;=1,F91*VLOOKUP(E91,'Reeksen (N)'!$A$5:$B$76,2),0)</f>
        <v>0</v>
      </c>
      <c r="H91" s="84">
        <f ca="1">(1-('Invoer gegevens (N)'!$F$20/12))*F91*MIN('Reeksen (N)'!B91,'Reeksen (N)'!D91)</f>
        <v>0</v>
      </c>
      <c r="I91" s="84">
        <f>IF('Reeksen (N)'!D91&lt;'Reeksen (N)'!B91,('Reeksen (N)'!B91-'Reeksen (N)'!D91)*F91,0)</f>
        <v>0</v>
      </c>
      <c r="J91" s="84">
        <f ca="1">('Invoer gegevens (N)'!$F$20/12)*F90*MIN('Reeksen (N)'!B90,'Reeksen (N)'!D90)</f>
        <v>0</v>
      </c>
      <c r="K91" s="97">
        <f t="shared" ca="1" si="11"/>
        <v>0</v>
      </c>
      <c r="L91" s="84">
        <f ca="1">IF('Invoer gegevens (N)'!$C$17=E91,0,IF(C91=1,Q90,0))</f>
        <v>0</v>
      </c>
      <c r="M91" s="96">
        <f ca="1">IF(C91&gt;=1,L91*VLOOKUP(E91,'Reeksen (N)'!$A$5:$B$76,2),0)</f>
        <v>0</v>
      </c>
      <c r="N91" s="84">
        <f ca="1">(1-('Invoer gegevens (N)'!$F$20/12))*L91*MIN('Reeksen (N)'!B91,'Reeksen (N)'!D91)</f>
        <v>0</v>
      </c>
      <c r="O91" s="84">
        <f>IF('Reeksen (N)'!D91&lt;'Reeksen (N)'!B91,('Reeksen (N)'!B91-'Reeksen (N)'!D91)*L91,0)</f>
        <v>0</v>
      </c>
      <c r="P91" s="84">
        <f ca="1">('Invoer gegevens (N)'!$F$20/12)*L90*MIN('Reeksen (N)'!B90,'Reeksen (N)'!D90)</f>
        <v>0</v>
      </c>
      <c r="Q91" s="84">
        <f t="shared" ca="1" si="12"/>
        <v>0</v>
      </c>
      <c r="R91" s="82">
        <f ca="1">IF('Invoer gegevens (N)'!$C$17=E91,'Invoer gegevens (N)'!$C$11,IF(C91=1,W90,0))</f>
        <v>0</v>
      </c>
      <c r="S91" s="86">
        <f ca="1">IF(C91&gt;=1,R91*VLOOKUP(E91,'Reeksen (N)'!$A$5:$B$76,2),0)</f>
        <v>0</v>
      </c>
      <c r="T91" s="84">
        <f ca="1">(1-('Invoer gegevens (N)'!$F$20/12))*R91*MIN('Reeksen (N)'!B91,'Reeksen (N)'!D91)</f>
        <v>0</v>
      </c>
      <c r="U91" s="84">
        <f>IF('Reeksen (N)'!D91&gt;='Reeksen (N)'!B91,0,IF('Reeksen (N)'!AD91&lt;='Reeksen (N)'!AE91,('Reeksen (N)'!B91-'Reeksen (N)'!D91)*R91,0))</f>
        <v>0</v>
      </c>
      <c r="V91" s="86">
        <f>IF('Reeksen (N)'!D91&gt;='Reeksen (N)'!B91,0,IF('Reeksen (N)'!AD91&gt;'Reeksen (N)'!AE91,('Reeksen (N)'!B91-'Reeksen (N)'!D91)*R91,0))</f>
        <v>0</v>
      </c>
      <c r="W91" s="97">
        <f t="shared" ca="1" si="13"/>
        <v>0</v>
      </c>
      <c r="X91" s="98">
        <f ca="1">IF('Invoer gegevens (N)'!$C$17=E91,'Invoer gegevens (N)'!$C$10-'Invoer gegevens (N)'!$C$11,IF(C91=1,AC90,0))</f>
        <v>0</v>
      </c>
      <c r="Y91" s="98">
        <f ca="1">IF(C91&gt;=1,X91*VLOOKUP(E91,'Reeksen (N)'!$A$5:$B$76,2),0)</f>
        <v>0</v>
      </c>
      <c r="Z91" s="98">
        <f ca="1">(1-('Invoer gegevens (N)'!$F$20/12))*X91*MIN('Reeksen (N)'!B91,'Reeksen (N)'!D91)</f>
        <v>0</v>
      </c>
      <c r="AA91" s="98">
        <f>IF('Reeksen (N)'!D91&gt;='Reeksen (N)'!B91,0,IF('Reeksen (N)'!AD91&lt;='Reeksen (N)'!AE91,('Reeksen (N)'!B91-'Reeksen (N)'!D91)*X91,0))</f>
        <v>0</v>
      </c>
      <c r="AB91" s="98">
        <f>IF('Reeksen (N)'!D91&gt;='Reeksen (N)'!B91,0,IF('Reeksen (N)'!AD91&gt;'Reeksen (N)'!AE91,('Reeksen (N)'!B91-'Reeksen (N)'!D91)*X91,0))</f>
        <v>0</v>
      </c>
      <c r="AC91" s="99">
        <f t="shared" ca="1" si="14"/>
        <v>0</v>
      </c>
      <c r="AD91" s="98">
        <f ca="1">IF('Invoer gegevens (N)'!$C$17=E91,R91,IF(C91=0,0,AE90))</f>
        <v>0</v>
      </c>
      <c r="AE91" s="98">
        <f t="shared" ca="1" si="15"/>
        <v>0</v>
      </c>
      <c r="AF91" s="98">
        <f ca="1">IF('Invoer gegevens (N)'!$C$17=E91,X91,IF(C91=0,0,AG90))</f>
        <v>0</v>
      </c>
      <c r="AG91" s="98">
        <f t="shared" ca="1" si="16"/>
        <v>0</v>
      </c>
      <c r="AH91" s="66"/>
      <c r="AI91" s="71">
        <f ca="1">IF(C91=1,'Reeksen (N)'!AI91*((F91-G91+F91)/2)*12+'Reeksen (N)'!AD91*((L91-M91+L91)/2)*12,0)</f>
        <v>0</v>
      </c>
      <c r="AJ91" s="71">
        <f ca="1">-AI91*'Invoer gegevens (N)'!$F$28</f>
        <v>0</v>
      </c>
      <c r="AK91" s="71">
        <f t="shared" ca="1" si="17"/>
        <v>0</v>
      </c>
      <c r="AL91" s="71">
        <f ca="1">IF(C91=1,'Reeksen (N)'!AL91*((F91-G91+F91)/2)*12+'Reeksen (N)'!AM91*((L91-M91+L91)/2)*12,0)</f>
        <v>0</v>
      </c>
      <c r="AM91" s="71">
        <f ca="1">-AL91*'Invoer gegevens (N)'!$F$31</f>
        <v>0</v>
      </c>
      <c r="AN91" s="71">
        <f t="shared" ca="1" si="18"/>
        <v>0</v>
      </c>
      <c r="AO91" s="71">
        <f ca="1">IF(C91=1,(H91+J91+N91+P91)*'Reeksen (N)'!AN91,0)</f>
        <v>0</v>
      </c>
      <c r="AP91" s="71">
        <f ca="1">-IF(C91=1,(H91+J91+N91+P91)*'Hulp - basis'!$O$550*'Reeksen (N)'!H91,0)</f>
        <v>0</v>
      </c>
      <c r="AQ91" s="71">
        <f ca="1">-IF(C91=1,(F91+K91+L91+Q91)/2*'Invoer gegevens (N)'!$F$35*'Reeksen (N)'!J91,0)*2</f>
        <v>0</v>
      </c>
      <c r="AR91" s="71"/>
      <c r="AS91" s="71">
        <f ca="1">-IF(C91=1,(F91+K91+L91+Q91)/2*'Invoer gegevens (N)'!$F$37*'Reeksen (N)'!L91,0)</f>
        <v>0</v>
      </c>
      <c r="AT91" s="71">
        <f ca="1">-IF(C91=1,IF(E91='Invoer gegevens (N)'!$C$17,'Invoer gegevens (N)'!$C$11,AD91)*'Reeksen (N)'!S91*'Invoer gegevens (N)'!$C$18*'Reeksen (N)'!P91,0)</f>
        <v>0</v>
      </c>
      <c r="AU91" s="71">
        <f ca="1">-IF(C91=1,(F91+K91+L91+Q91)/2*'Invoer gegevens (N)'!$F$38*'Reeksen (N)'!H91,0)</f>
        <v>0</v>
      </c>
      <c r="AV91" s="71">
        <v>0</v>
      </c>
      <c r="AW91" s="71">
        <f t="shared" ca="1" si="19"/>
        <v>0</v>
      </c>
      <c r="AX91" s="71">
        <f ca="1">IF(E91&lt;'Invoer gegevens (N)'!$C$17+15,0,IF(E91&gt;'Invoer gegevens (N)'!$C$17+215,0,AW91))</f>
        <v>0</v>
      </c>
      <c r="AY91" s="71">
        <f ca="1">AX91/(1+'Invoer gegevens (N)'!$F$18)^($AZ91-('Invoer gegevens (N)'!$C$17-'Invoer gegevens (N)'!$C$16))/(1+'Invoer gegevens (N)'!$C$39)^('Invoer gegevens (N)'!$C$17-'Invoer gegevens (N)'!$C$16)</f>
        <v>0</v>
      </c>
      <c r="AZ91" s="68">
        <f ca="1">IF(E91-'Invoer gegevens (N)'!$C$17-14.5&lt;0,0,E91-'Invoer gegevens (N)'!$C$17-14.5)</f>
        <v>71.5</v>
      </c>
    </row>
    <row r="92" spans="1:52" x14ac:dyDescent="0.25">
      <c r="A92" s="59"/>
      <c r="B92" s="70">
        <f t="shared" si="20"/>
        <v>88</v>
      </c>
      <c r="C92" s="67">
        <f ca="1">IF(E92-'Invoer gegevens (N)'!$C$17&lt;0,0,1)</f>
        <v>1</v>
      </c>
      <c r="D92" s="68">
        <f t="shared" si="21"/>
        <v>87.5</v>
      </c>
      <c r="E92" s="69">
        <f ca="1">IF('Invoer gegevens (N)'!$C$16="","",E91+1)</f>
        <v>2106</v>
      </c>
      <c r="F92" s="84">
        <f ca="1">IF('Invoer gegevens (N)'!$C$17=E92,'Invoer gegevens (N)'!$C$10,IF(C92=1,K91,0))</f>
        <v>0</v>
      </c>
      <c r="G92" s="96">
        <f ca="1">IF(C92&gt;=1,F92*VLOOKUP(E92,'Reeksen (N)'!$A$5:$B$76,2),0)</f>
        <v>0</v>
      </c>
      <c r="H92" s="84">
        <f ca="1">(1-('Invoer gegevens (N)'!$F$20/12))*F92*MIN('Reeksen (N)'!B92,'Reeksen (N)'!D92)</f>
        <v>0</v>
      </c>
      <c r="I92" s="84">
        <f>IF('Reeksen (N)'!D92&lt;'Reeksen (N)'!B92,('Reeksen (N)'!B92-'Reeksen (N)'!D92)*F92,0)</f>
        <v>0</v>
      </c>
      <c r="J92" s="84">
        <f ca="1">('Invoer gegevens (N)'!$F$20/12)*F91*MIN('Reeksen (N)'!B91,'Reeksen (N)'!D91)</f>
        <v>0</v>
      </c>
      <c r="K92" s="97">
        <f t="shared" ca="1" si="11"/>
        <v>0</v>
      </c>
      <c r="L92" s="84">
        <f ca="1">IF('Invoer gegevens (N)'!$C$17=E92,0,IF(C92=1,Q91,0))</f>
        <v>0</v>
      </c>
      <c r="M92" s="96">
        <f ca="1">IF(C92&gt;=1,L92*VLOOKUP(E92,'Reeksen (N)'!$A$5:$B$76,2),0)</f>
        <v>0</v>
      </c>
      <c r="N92" s="84">
        <f ca="1">(1-('Invoer gegevens (N)'!$F$20/12))*L92*MIN('Reeksen (N)'!B92,'Reeksen (N)'!D92)</f>
        <v>0</v>
      </c>
      <c r="O92" s="84">
        <f>IF('Reeksen (N)'!D92&lt;'Reeksen (N)'!B92,('Reeksen (N)'!B92-'Reeksen (N)'!D92)*L92,0)</f>
        <v>0</v>
      </c>
      <c r="P92" s="84">
        <f ca="1">('Invoer gegevens (N)'!$F$20/12)*L91*MIN('Reeksen (N)'!B91,'Reeksen (N)'!D91)</f>
        <v>0</v>
      </c>
      <c r="Q92" s="84">
        <f t="shared" ca="1" si="12"/>
        <v>0</v>
      </c>
      <c r="R92" s="82">
        <f ca="1">IF('Invoer gegevens (N)'!$C$17=E92,'Invoer gegevens (N)'!$C$11,IF(C92=1,W91,0))</f>
        <v>0</v>
      </c>
      <c r="S92" s="86">
        <f ca="1">IF(C92&gt;=1,R92*VLOOKUP(E92,'Reeksen (N)'!$A$5:$B$76,2),0)</f>
        <v>0</v>
      </c>
      <c r="T92" s="84">
        <f ca="1">(1-('Invoer gegevens (N)'!$F$20/12))*R92*MIN('Reeksen (N)'!B92,'Reeksen (N)'!D92)</f>
        <v>0</v>
      </c>
      <c r="U92" s="84">
        <f>IF('Reeksen (N)'!D92&gt;='Reeksen (N)'!B92,0,IF('Reeksen (N)'!AD92&lt;='Reeksen (N)'!AE92,('Reeksen (N)'!B92-'Reeksen (N)'!D92)*R92,0))</f>
        <v>0</v>
      </c>
      <c r="V92" s="86">
        <f>IF('Reeksen (N)'!D92&gt;='Reeksen (N)'!B92,0,IF('Reeksen (N)'!AD92&gt;'Reeksen (N)'!AE92,('Reeksen (N)'!B92-'Reeksen (N)'!D92)*R92,0))</f>
        <v>0</v>
      </c>
      <c r="W92" s="97">
        <f t="shared" ca="1" si="13"/>
        <v>0</v>
      </c>
      <c r="X92" s="98">
        <f ca="1">IF('Invoer gegevens (N)'!$C$17=E92,'Invoer gegevens (N)'!$C$10-'Invoer gegevens (N)'!$C$11,IF(C92=1,AC91,0))</f>
        <v>0</v>
      </c>
      <c r="Y92" s="98">
        <f ca="1">IF(C92&gt;=1,X92*VLOOKUP(E92,'Reeksen (N)'!$A$5:$B$76,2),0)</f>
        <v>0</v>
      </c>
      <c r="Z92" s="98">
        <f ca="1">(1-('Invoer gegevens (N)'!$F$20/12))*X92*MIN('Reeksen (N)'!B92,'Reeksen (N)'!D92)</f>
        <v>0</v>
      </c>
      <c r="AA92" s="98">
        <f>IF('Reeksen (N)'!D92&gt;='Reeksen (N)'!B92,0,IF('Reeksen (N)'!AD92&lt;='Reeksen (N)'!AE92,('Reeksen (N)'!B92-'Reeksen (N)'!D92)*X92,0))</f>
        <v>0</v>
      </c>
      <c r="AB92" s="98">
        <f>IF('Reeksen (N)'!D92&gt;='Reeksen (N)'!B92,0,IF('Reeksen (N)'!AD92&gt;'Reeksen (N)'!AE92,('Reeksen (N)'!B92-'Reeksen (N)'!D92)*X92,0))</f>
        <v>0</v>
      </c>
      <c r="AC92" s="99">
        <f t="shared" ca="1" si="14"/>
        <v>0</v>
      </c>
      <c r="AD92" s="98">
        <f ca="1">IF('Invoer gegevens (N)'!$C$17=E92,R92,IF(C92=0,0,AE91))</f>
        <v>0</v>
      </c>
      <c r="AE92" s="98">
        <f t="shared" ca="1" si="15"/>
        <v>0</v>
      </c>
      <c r="AF92" s="98">
        <f ca="1">IF('Invoer gegevens (N)'!$C$17=E92,X92,IF(C92=0,0,AG91))</f>
        <v>0</v>
      </c>
      <c r="AG92" s="98">
        <f t="shared" ca="1" si="16"/>
        <v>0</v>
      </c>
      <c r="AH92" s="66"/>
      <c r="AI92" s="71">
        <f ca="1">IF(C92=1,'Reeksen (N)'!AI92*((F92-G92+F92)/2)*12+'Reeksen (N)'!AD92*((L92-M92+L92)/2)*12,0)</f>
        <v>0</v>
      </c>
      <c r="AJ92" s="71">
        <f ca="1">-AI92*'Invoer gegevens (N)'!$F$28</f>
        <v>0</v>
      </c>
      <c r="AK92" s="71">
        <f t="shared" ca="1" si="17"/>
        <v>0</v>
      </c>
      <c r="AL92" s="71">
        <f ca="1">IF(C92=1,'Reeksen (N)'!AL92*((F92-G92+F92)/2)*12+'Reeksen (N)'!AM92*((L92-M92+L92)/2)*12,0)</f>
        <v>0</v>
      </c>
      <c r="AM92" s="71">
        <f ca="1">-AL92*'Invoer gegevens (N)'!$F$31</f>
        <v>0</v>
      </c>
      <c r="AN92" s="71">
        <f t="shared" ca="1" si="18"/>
        <v>0</v>
      </c>
      <c r="AO92" s="71">
        <f ca="1">IF(C92=1,(H92+J92+N92+P92)*'Reeksen (N)'!AN92,0)</f>
        <v>0</v>
      </c>
      <c r="AP92" s="71">
        <f ca="1">-IF(C92=1,(H92+J92+N92+P92)*'Hulp - basis'!$O$550*'Reeksen (N)'!H92,0)</f>
        <v>0</v>
      </c>
      <c r="AQ92" s="71">
        <f ca="1">-IF(C92=1,(F92+K92+L92+Q92)/2*'Invoer gegevens (N)'!$F$35*'Reeksen (N)'!J92,0)*2</f>
        <v>0</v>
      </c>
      <c r="AR92" s="71"/>
      <c r="AS92" s="71">
        <f ca="1">-IF(C92=1,(F92+K92+L92+Q92)/2*'Invoer gegevens (N)'!$F$37*'Reeksen (N)'!L92,0)</f>
        <v>0</v>
      </c>
      <c r="AT92" s="71">
        <f ca="1">-IF(C92=1,IF(E92='Invoer gegevens (N)'!$C$17,'Invoer gegevens (N)'!$C$11,AD92)*'Reeksen (N)'!S92*'Invoer gegevens (N)'!$C$18*'Reeksen (N)'!P92,0)</f>
        <v>0</v>
      </c>
      <c r="AU92" s="71">
        <f ca="1">-IF(C92=1,(F92+K92+L92+Q92)/2*'Invoer gegevens (N)'!$F$38*'Reeksen (N)'!H92,0)</f>
        <v>0</v>
      </c>
      <c r="AV92" s="71">
        <v>0</v>
      </c>
      <c r="AW92" s="71">
        <f t="shared" ca="1" si="19"/>
        <v>0</v>
      </c>
      <c r="AX92" s="71">
        <f ca="1">IF(E92&lt;'Invoer gegevens (N)'!$C$17+15,0,IF(E92&gt;'Invoer gegevens (N)'!$C$17+215,0,AW92))</f>
        <v>0</v>
      </c>
      <c r="AY92" s="71">
        <f ca="1">AX92/(1+'Invoer gegevens (N)'!$F$18)^($AZ92-('Invoer gegevens (N)'!$C$17-'Invoer gegevens (N)'!$C$16))/(1+'Invoer gegevens (N)'!$C$39)^('Invoer gegevens (N)'!$C$17-'Invoer gegevens (N)'!$C$16)</f>
        <v>0</v>
      </c>
      <c r="AZ92" s="68">
        <f ca="1">IF(E92-'Invoer gegevens (N)'!$C$17-14.5&lt;0,0,E92-'Invoer gegevens (N)'!$C$17-14.5)</f>
        <v>72.5</v>
      </c>
    </row>
    <row r="93" spans="1:52" x14ac:dyDescent="0.25">
      <c r="A93" s="59"/>
      <c r="B93" s="70">
        <f t="shared" si="20"/>
        <v>89</v>
      </c>
      <c r="C93" s="67">
        <f ca="1">IF(E93-'Invoer gegevens (N)'!$C$17&lt;0,0,1)</f>
        <v>1</v>
      </c>
      <c r="D93" s="68">
        <f t="shared" si="21"/>
        <v>88.5</v>
      </c>
      <c r="E93" s="69">
        <f ca="1">IF('Invoer gegevens (N)'!$C$16="","",E92+1)</f>
        <v>2107</v>
      </c>
      <c r="F93" s="84">
        <f ca="1">IF('Invoer gegevens (N)'!$C$17=E93,'Invoer gegevens (N)'!$C$10,IF(C93=1,K92,0))</f>
        <v>0</v>
      </c>
      <c r="G93" s="96">
        <f ca="1">IF(C93&gt;=1,F93*VLOOKUP(E93,'Reeksen (N)'!$A$5:$B$76,2),0)</f>
        <v>0</v>
      </c>
      <c r="H93" s="84">
        <f ca="1">(1-('Invoer gegevens (N)'!$F$20/12))*F93*MIN('Reeksen (N)'!B93,'Reeksen (N)'!D93)</f>
        <v>0</v>
      </c>
      <c r="I93" s="84">
        <f>IF('Reeksen (N)'!D93&lt;'Reeksen (N)'!B93,('Reeksen (N)'!B93-'Reeksen (N)'!D93)*F93,0)</f>
        <v>0</v>
      </c>
      <c r="J93" s="84">
        <f ca="1">('Invoer gegevens (N)'!$F$20/12)*F92*MIN('Reeksen (N)'!B92,'Reeksen (N)'!D92)</f>
        <v>0</v>
      </c>
      <c r="K93" s="97">
        <f t="shared" ca="1" si="11"/>
        <v>0</v>
      </c>
      <c r="L93" s="84">
        <f ca="1">IF('Invoer gegevens (N)'!$C$17=E93,0,IF(C93=1,Q92,0))</f>
        <v>0</v>
      </c>
      <c r="M93" s="96">
        <f ca="1">IF(C93&gt;=1,L93*VLOOKUP(E93,'Reeksen (N)'!$A$5:$B$76,2),0)</f>
        <v>0</v>
      </c>
      <c r="N93" s="84">
        <f ca="1">(1-('Invoer gegevens (N)'!$F$20/12))*L93*MIN('Reeksen (N)'!B93,'Reeksen (N)'!D93)</f>
        <v>0</v>
      </c>
      <c r="O93" s="84">
        <f>IF('Reeksen (N)'!D93&lt;'Reeksen (N)'!B93,('Reeksen (N)'!B93-'Reeksen (N)'!D93)*L93,0)</f>
        <v>0</v>
      </c>
      <c r="P93" s="84">
        <f ca="1">('Invoer gegevens (N)'!$F$20/12)*L92*MIN('Reeksen (N)'!B92,'Reeksen (N)'!D92)</f>
        <v>0</v>
      </c>
      <c r="Q93" s="84">
        <f t="shared" ca="1" si="12"/>
        <v>0</v>
      </c>
      <c r="R93" s="82">
        <f ca="1">IF('Invoer gegevens (N)'!$C$17=E93,'Invoer gegevens (N)'!$C$11,IF(C93=1,W92,0))</f>
        <v>0</v>
      </c>
      <c r="S93" s="86">
        <f ca="1">IF(C93&gt;=1,R93*VLOOKUP(E93,'Reeksen (N)'!$A$5:$B$76,2),0)</f>
        <v>0</v>
      </c>
      <c r="T93" s="84">
        <f ca="1">(1-('Invoer gegevens (N)'!$F$20/12))*R93*MIN('Reeksen (N)'!B93,'Reeksen (N)'!D93)</f>
        <v>0</v>
      </c>
      <c r="U93" s="84">
        <f>IF('Reeksen (N)'!D93&gt;='Reeksen (N)'!B93,0,IF('Reeksen (N)'!AD93&lt;='Reeksen (N)'!AE93,('Reeksen (N)'!B93-'Reeksen (N)'!D93)*R93,0))</f>
        <v>0</v>
      </c>
      <c r="V93" s="86">
        <f>IF('Reeksen (N)'!D93&gt;='Reeksen (N)'!B93,0,IF('Reeksen (N)'!AD93&gt;'Reeksen (N)'!AE93,('Reeksen (N)'!B93-'Reeksen (N)'!D93)*R93,0))</f>
        <v>0</v>
      </c>
      <c r="W93" s="97">
        <f t="shared" ca="1" si="13"/>
        <v>0</v>
      </c>
      <c r="X93" s="98">
        <f ca="1">IF('Invoer gegevens (N)'!$C$17=E93,'Invoer gegevens (N)'!$C$10-'Invoer gegevens (N)'!$C$11,IF(C93=1,AC92,0))</f>
        <v>0</v>
      </c>
      <c r="Y93" s="98">
        <f ca="1">IF(C93&gt;=1,X93*VLOOKUP(E93,'Reeksen (N)'!$A$5:$B$76,2),0)</f>
        <v>0</v>
      </c>
      <c r="Z93" s="98">
        <f ca="1">(1-('Invoer gegevens (N)'!$F$20/12))*X93*MIN('Reeksen (N)'!B93,'Reeksen (N)'!D93)</f>
        <v>0</v>
      </c>
      <c r="AA93" s="98">
        <f>IF('Reeksen (N)'!D93&gt;='Reeksen (N)'!B93,0,IF('Reeksen (N)'!AD93&lt;='Reeksen (N)'!AE93,('Reeksen (N)'!B93-'Reeksen (N)'!D93)*X93,0))</f>
        <v>0</v>
      </c>
      <c r="AB93" s="98">
        <f>IF('Reeksen (N)'!D93&gt;='Reeksen (N)'!B93,0,IF('Reeksen (N)'!AD93&gt;'Reeksen (N)'!AE93,('Reeksen (N)'!B93-'Reeksen (N)'!D93)*X93,0))</f>
        <v>0</v>
      </c>
      <c r="AC93" s="99">
        <f t="shared" ca="1" si="14"/>
        <v>0</v>
      </c>
      <c r="AD93" s="98">
        <f ca="1">IF('Invoer gegevens (N)'!$C$17=E93,R93,IF(C93=0,0,AE92))</f>
        <v>0</v>
      </c>
      <c r="AE93" s="98">
        <f t="shared" ca="1" si="15"/>
        <v>0</v>
      </c>
      <c r="AF93" s="98">
        <f ca="1">IF('Invoer gegevens (N)'!$C$17=E93,X93,IF(C93=0,0,AG92))</f>
        <v>0</v>
      </c>
      <c r="AG93" s="98">
        <f t="shared" ca="1" si="16"/>
        <v>0</v>
      </c>
      <c r="AH93" s="66"/>
      <c r="AI93" s="71">
        <f ca="1">IF(C93=1,'Reeksen (N)'!AI93*((F93-G93+F93)/2)*12+'Reeksen (N)'!AD93*((L93-M93+L93)/2)*12,0)</f>
        <v>0</v>
      </c>
      <c r="AJ93" s="71">
        <f ca="1">-AI93*'Invoer gegevens (N)'!$F$28</f>
        <v>0</v>
      </c>
      <c r="AK93" s="71">
        <f t="shared" ca="1" si="17"/>
        <v>0</v>
      </c>
      <c r="AL93" s="71">
        <f ca="1">IF(C93=1,'Reeksen (N)'!AL93*((F93-G93+F93)/2)*12+'Reeksen (N)'!AM93*((L93-M93+L93)/2)*12,0)</f>
        <v>0</v>
      </c>
      <c r="AM93" s="71">
        <f ca="1">-AL93*'Invoer gegevens (N)'!$F$31</f>
        <v>0</v>
      </c>
      <c r="AN93" s="71">
        <f t="shared" ca="1" si="18"/>
        <v>0</v>
      </c>
      <c r="AO93" s="71">
        <f ca="1">IF(C93=1,(H93+J93+N93+P93)*'Reeksen (N)'!AN93,0)</f>
        <v>0</v>
      </c>
      <c r="AP93" s="71">
        <f ca="1">-IF(C93=1,(H93+J93+N93+P93)*'Hulp - basis'!$O$550*'Reeksen (N)'!H93,0)</f>
        <v>0</v>
      </c>
      <c r="AQ93" s="71">
        <f ca="1">-IF(C93=1,(F93+K93+L93+Q93)/2*'Invoer gegevens (N)'!$F$35*'Reeksen (N)'!J93,0)*2</f>
        <v>0</v>
      </c>
      <c r="AR93" s="71"/>
      <c r="AS93" s="71">
        <f ca="1">-IF(C93=1,(F93+K93+L93+Q93)/2*'Invoer gegevens (N)'!$F$37*'Reeksen (N)'!L93,0)</f>
        <v>0</v>
      </c>
      <c r="AT93" s="71">
        <f ca="1">-IF(C93=1,IF(E93='Invoer gegevens (N)'!$C$17,'Invoer gegevens (N)'!$C$11,AD93)*'Reeksen (N)'!S93*'Invoer gegevens (N)'!$C$18*'Reeksen (N)'!P93,0)</f>
        <v>0</v>
      </c>
      <c r="AU93" s="71">
        <f ca="1">-IF(C93=1,(F93+K93+L93+Q93)/2*'Invoer gegevens (N)'!$F$38*'Reeksen (N)'!H93,0)</f>
        <v>0</v>
      </c>
      <c r="AV93" s="71">
        <v>0</v>
      </c>
      <c r="AW93" s="71">
        <f t="shared" ca="1" si="19"/>
        <v>0</v>
      </c>
      <c r="AX93" s="71">
        <f ca="1">IF(E93&lt;'Invoer gegevens (N)'!$C$17+15,0,IF(E93&gt;'Invoer gegevens (N)'!$C$17+215,0,AW93))</f>
        <v>0</v>
      </c>
      <c r="AY93" s="71">
        <f ca="1">AX93/(1+'Invoer gegevens (N)'!$F$18)^($AZ93-('Invoer gegevens (N)'!$C$17-'Invoer gegevens (N)'!$C$16))/(1+'Invoer gegevens (N)'!$C$39)^('Invoer gegevens (N)'!$C$17-'Invoer gegevens (N)'!$C$16)</f>
        <v>0</v>
      </c>
      <c r="AZ93" s="68">
        <f ca="1">IF(E93-'Invoer gegevens (N)'!$C$17-14.5&lt;0,0,E93-'Invoer gegevens (N)'!$C$17-14.5)</f>
        <v>73.5</v>
      </c>
    </row>
    <row r="94" spans="1:52" x14ac:dyDescent="0.25">
      <c r="A94" s="59"/>
      <c r="B94" s="70">
        <f t="shared" si="20"/>
        <v>90</v>
      </c>
      <c r="C94" s="67">
        <f ca="1">IF(E94-'Invoer gegevens (N)'!$C$17&lt;0,0,1)</f>
        <v>1</v>
      </c>
      <c r="D94" s="68">
        <f t="shared" si="21"/>
        <v>89.5</v>
      </c>
      <c r="E94" s="69">
        <f ca="1">IF('Invoer gegevens (N)'!$C$16="","",E93+1)</f>
        <v>2108</v>
      </c>
      <c r="F94" s="84">
        <f ca="1">IF('Invoer gegevens (N)'!$C$17=E94,'Invoer gegevens (N)'!$C$10,IF(C94=1,K93,0))</f>
        <v>0</v>
      </c>
      <c r="G94" s="96">
        <f ca="1">IF(C94&gt;=1,F94*VLOOKUP(E94,'Reeksen (N)'!$A$5:$B$76,2),0)</f>
        <v>0</v>
      </c>
      <c r="H94" s="84">
        <f ca="1">(1-('Invoer gegevens (N)'!$F$20/12))*F94*MIN('Reeksen (N)'!B94,'Reeksen (N)'!D94)</f>
        <v>0</v>
      </c>
      <c r="I94" s="84">
        <f>IF('Reeksen (N)'!D94&lt;'Reeksen (N)'!B94,('Reeksen (N)'!B94-'Reeksen (N)'!D94)*F94,0)</f>
        <v>0</v>
      </c>
      <c r="J94" s="84">
        <f ca="1">('Invoer gegevens (N)'!$F$20/12)*F93*MIN('Reeksen (N)'!B93,'Reeksen (N)'!D93)</f>
        <v>0</v>
      </c>
      <c r="K94" s="97">
        <f t="shared" ca="1" si="11"/>
        <v>0</v>
      </c>
      <c r="L94" s="84">
        <f ca="1">IF('Invoer gegevens (N)'!$C$17=E94,0,IF(C94=1,Q93,0))</f>
        <v>0</v>
      </c>
      <c r="M94" s="96">
        <f ca="1">IF(C94&gt;=1,L94*VLOOKUP(E94,'Reeksen (N)'!$A$5:$B$76,2),0)</f>
        <v>0</v>
      </c>
      <c r="N94" s="84">
        <f ca="1">(1-('Invoer gegevens (N)'!$F$20/12))*L94*MIN('Reeksen (N)'!B94,'Reeksen (N)'!D94)</f>
        <v>0</v>
      </c>
      <c r="O94" s="84">
        <f>IF('Reeksen (N)'!D94&lt;'Reeksen (N)'!B94,('Reeksen (N)'!B94-'Reeksen (N)'!D94)*L94,0)</f>
        <v>0</v>
      </c>
      <c r="P94" s="84">
        <f ca="1">('Invoer gegevens (N)'!$F$20/12)*L93*MIN('Reeksen (N)'!B93,'Reeksen (N)'!D93)</f>
        <v>0</v>
      </c>
      <c r="Q94" s="84">
        <f t="shared" ca="1" si="12"/>
        <v>0</v>
      </c>
      <c r="R94" s="82">
        <f ca="1">IF('Invoer gegevens (N)'!$C$17=E94,'Invoer gegevens (N)'!$C$11,IF(C94=1,W93,0))</f>
        <v>0</v>
      </c>
      <c r="S94" s="86">
        <f ca="1">IF(C94&gt;=1,R94*VLOOKUP(E94,'Reeksen (N)'!$A$5:$B$76,2),0)</f>
        <v>0</v>
      </c>
      <c r="T94" s="84">
        <f ca="1">(1-('Invoer gegevens (N)'!$F$20/12))*R94*MIN('Reeksen (N)'!B94,'Reeksen (N)'!D94)</f>
        <v>0</v>
      </c>
      <c r="U94" s="84">
        <f>IF('Reeksen (N)'!D94&gt;='Reeksen (N)'!B94,0,IF('Reeksen (N)'!AD94&lt;='Reeksen (N)'!AE94,('Reeksen (N)'!B94-'Reeksen (N)'!D94)*R94,0))</f>
        <v>0</v>
      </c>
      <c r="V94" s="86">
        <f>IF('Reeksen (N)'!D94&gt;='Reeksen (N)'!B94,0,IF('Reeksen (N)'!AD94&gt;'Reeksen (N)'!AE94,('Reeksen (N)'!B94-'Reeksen (N)'!D94)*R94,0))</f>
        <v>0</v>
      </c>
      <c r="W94" s="97">
        <f t="shared" ca="1" si="13"/>
        <v>0</v>
      </c>
      <c r="X94" s="98">
        <f ca="1">IF('Invoer gegevens (N)'!$C$17=E94,'Invoer gegevens (N)'!$C$10-'Invoer gegevens (N)'!$C$11,IF(C94=1,AC93,0))</f>
        <v>0</v>
      </c>
      <c r="Y94" s="98">
        <f ca="1">IF(C94&gt;=1,X94*VLOOKUP(E94,'Reeksen (N)'!$A$5:$B$76,2),0)</f>
        <v>0</v>
      </c>
      <c r="Z94" s="98">
        <f ca="1">(1-('Invoer gegevens (N)'!$F$20/12))*X94*MIN('Reeksen (N)'!B94,'Reeksen (N)'!D94)</f>
        <v>0</v>
      </c>
      <c r="AA94" s="98">
        <f>IF('Reeksen (N)'!D94&gt;='Reeksen (N)'!B94,0,IF('Reeksen (N)'!AD94&lt;='Reeksen (N)'!AE94,('Reeksen (N)'!B94-'Reeksen (N)'!D94)*X94,0))</f>
        <v>0</v>
      </c>
      <c r="AB94" s="98">
        <f>IF('Reeksen (N)'!D94&gt;='Reeksen (N)'!B94,0,IF('Reeksen (N)'!AD94&gt;'Reeksen (N)'!AE94,('Reeksen (N)'!B94-'Reeksen (N)'!D94)*X94,0))</f>
        <v>0</v>
      </c>
      <c r="AC94" s="99">
        <f t="shared" ca="1" si="14"/>
        <v>0</v>
      </c>
      <c r="AD94" s="98">
        <f ca="1">IF('Invoer gegevens (N)'!$C$17=E94,R94,IF(C94=0,0,AE93))</f>
        <v>0</v>
      </c>
      <c r="AE94" s="98">
        <f t="shared" ca="1" si="15"/>
        <v>0</v>
      </c>
      <c r="AF94" s="98">
        <f ca="1">IF('Invoer gegevens (N)'!$C$17=E94,X94,IF(C94=0,0,AG93))</f>
        <v>0</v>
      </c>
      <c r="AG94" s="98">
        <f t="shared" ca="1" si="16"/>
        <v>0</v>
      </c>
      <c r="AH94" s="66"/>
      <c r="AI94" s="71">
        <f ca="1">IF(C94=1,'Reeksen (N)'!AI94*((F94-G94+F94)/2)*12+'Reeksen (N)'!AD94*((L94-M94+L94)/2)*12,0)</f>
        <v>0</v>
      </c>
      <c r="AJ94" s="71">
        <f ca="1">-AI94*'Invoer gegevens (N)'!$F$28</f>
        <v>0</v>
      </c>
      <c r="AK94" s="71">
        <f t="shared" ca="1" si="17"/>
        <v>0</v>
      </c>
      <c r="AL94" s="71">
        <f ca="1">IF(C94=1,'Reeksen (N)'!AL94*((F94-G94+F94)/2)*12+'Reeksen (N)'!AM94*((L94-M94+L94)/2)*12,0)</f>
        <v>0</v>
      </c>
      <c r="AM94" s="71">
        <f ca="1">-AL94*'Invoer gegevens (N)'!$F$31</f>
        <v>0</v>
      </c>
      <c r="AN94" s="71">
        <f t="shared" ca="1" si="18"/>
        <v>0</v>
      </c>
      <c r="AO94" s="71">
        <f ca="1">IF(C94=1,(H94+J94+N94+P94)*'Reeksen (N)'!AN94,0)</f>
        <v>0</v>
      </c>
      <c r="AP94" s="71">
        <f ca="1">-IF(C94=1,(H94+J94+N94+P94)*'Hulp - basis'!$O$550*'Reeksen (N)'!H94,0)</f>
        <v>0</v>
      </c>
      <c r="AQ94" s="71">
        <f ca="1">-IF(C94=1,(F94+K94+L94+Q94)/2*'Invoer gegevens (N)'!$F$35*'Reeksen (N)'!J94,0)*2</f>
        <v>0</v>
      </c>
      <c r="AR94" s="71"/>
      <c r="AS94" s="71">
        <f ca="1">-IF(C94=1,(F94+K94+L94+Q94)/2*'Invoer gegevens (N)'!$F$37*'Reeksen (N)'!L94,0)</f>
        <v>0</v>
      </c>
      <c r="AT94" s="71">
        <f ca="1">-IF(C94=1,IF(E94='Invoer gegevens (N)'!$C$17,'Invoer gegevens (N)'!$C$11,AD94)*'Reeksen (N)'!S94*'Invoer gegevens (N)'!$C$18*'Reeksen (N)'!P94,0)</f>
        <v>0</v>
      </c>
      <c r="AU94" s="71">
        <f ca="1">-IF(C94=1,(F94+K94+L94+Q94)/2*'Invoer gegevens (N)'!$F$38*'Reeksen (N)'!H94,0)</f>
        <v>0</v>
      </c>
      <c r="AV94" s="71">
        <v>0</v>
      </c>
      <c r="AW94" s="71">
        <f t="shared" ca="1" si="19"/>
        <v>0</v>
      </c>
      <c r="AX94" s="71">
        <f ca="1">IF(E94&lt;'Invoer gegevens (N)'!$C$17+15,0,IF(E94&gt;'Invoer gegevens (N)'!$C$17+215,0,AW94))</f>
        <v>0</v>
      </c>
      <c r="AY94" s="71">
        <f ca="1">AX94/(1+'Invoer gegevens (N)'!$F$18)^($AZ94-('Invoer gegevens (N)'!$C$17-'Invoer gegevens (N)'!$C$16))/(1+'Invoer gegevens (N)'!$C$39)^('Invoer gegevens (N)'!$C$17-'Invoer gegevens (N)'!$C$16)</f>
        <v>0</v>
      </c>
      <c r="AZ94" s="68">
        <f ca="1">IF(E94-'Invoer gegevens (N)'!$C$17-14.5&lt;0,0,E94-'Invoer gegevens (N)'!$C$17-14.5)</f>
        <v>74.5</v>
      </c>
    </row>
    <row r="95" spans="1:52" x14ac:dyDescent="0.25">
      <c r="A95" s="59"/>
      <c r="B95" s="70">
        <f t="shared" si="20"/>
        <v>91</v>
      </c>
      <c r="C95" s="67">
        <f ca="1">IF(E95-'Invoer gegevens (N)'!$C$17&lt;0,0,1)</f>
        <v>1</v>
      </c>
      <c r="D95" s="68">
        <f t="shared" si="21"/>
        <v>90.5</v>
      </c>
      <c r="E95" s="69">
        <f ca="1">IF('Invoer gegevens (N)'!$C$16="","",E94+1)</f>
        <v>2109</v>
      </c>
      <c r="F95" s="84">
        <f ca="1">IF('Invoer gegevens (N)'!$C$17=E95,'Invoer gegevens (N)'!$C$10,IF(C95=1,K94,0))</f>
        <v>0</v>
      </c>
      <c r="G95" s="96">
        <f ca="1">IF(C95&gt;=1,F95*VLOOKUP(E95,'Reeksen (N)'!$A$5:$B$76,2),0)</f>
        <v>0</v>
      </c>
      <c r="H95" s="84">
        <f ca="1">(1-('Invoer gegevens (N)'!$F$20/12))*F95*MIN('Reeksen (N)'!B95,'Reeksen (N)'!D95)</f>
        <v>0</v>
      </c>
      <c r="I95" s="84">
        <f>IF('Reeksen (N)'!D95&lt;'Reeksen (N)'!B95,('Reeksen (N)'!B95-'Reeksen (N)'!D95)*F95,0)</f>
        <v>0</v>
      </c>
      <c r="J95" s="84">
        <f ca="1">('Invoer gegevens (N)'!$F$20/12)*F94*MIN('Reeksen (N)'!B94,'Reeksen (N)'!D94)</f>
        <v>0</v>
      </c>
      <c r="K95" s="97">
        <f t="shared" ca="1" si="11"/>
        <v>0</v>
      </c>
      <c r="L95" s="84">
        <f ca="1">IF('Invoer gegevens (N)'!$C$17=E95,0,IF(C95=1,Q94,0))</f>
        <v>0</v>
      </c>
      <c r="M95" s="96">
        <f ca="1">IF(C95&gt;=1,L95*VLOOKUP(E95,'Reeksen (N)'!$A$5:$B$76,2),0)</f>
        <v>0</v>
      </c>
      <c r="N95" s="84">
        <f ca="1">(1-('Invoer gegevens (N)'!$F$20/12))*L95*MIN('Reeksen (N)'!B95,'Reeksen (N)'!D95)</f>
        <v>0</v>
      </c>
      <c r="O95" s="84">
        <f>IF('Reeksen (N)'!D95&lt;'Reeksen (N)'!B95,('Reeksen (N)'!B95-'Reeksen (N)'!D95)*L95,0)</f>
        <v>0</v>
      </c>
      <c r="P95" s="84">
        <f ca="1">('Invoer gegevens (N)'!$F$20/12)*L94*MIN('Reeksen (N)'!B94,'Reeksen (N)'!D94)</f>
        <v>0</v>
      </c>
      <c r="Q95" s="84">
        <f t="shared" ca="1" si="12"/>
        <v>0</v>
      </c>
      <c r="R95" s="82">
        <f ca="1">IF('Invoer gegevens (N)'!$C$17=E95,'Invoer gegevens (N)'!$C$11,IF(C95=1,W94,0))</f>
        <v>0</v>
      </c>
      <c r="S95" s="86">
        <f ca="1">IF(C95&gt;=1,R95*VLOOKUP(E95,'Reeksen (N)'!$A$5:$B$76,2),0)</f>
        <v>0</v>
      </c>
      <c r="T95" s="84">
        <f ca="1">(1-('Invoer gegevens (N)'!$F$20/12))*R95*MIN('Reeksen (N)'!B95,'Reeksen (N)'!D95)</f>
        <v>0</v>
      </c>
      <c r="U95" s="84">
        <f>IF('Reeksen (N)'!D95&gt;='Reeksen (N)'!B95,0,IF('Reeksen (N)'!AD95&lt;='Reeksen (N)'!AE95,('Reeksen (N)'!B95-'Reeksen (N)'!D95)*R95,0))</f>
        <v>0</v>
      </c>
      <c r="V95" s="86">
        <f>IF('Reeksen (N)'!D95&gt;='Reeksen (N)'!B95,0,IF('Reeksen (N)'!AD95&gt;'Reeksen (N)'!AE95,('Reeksen (N)'!B95-'Reeksen (N)'!D95)*R95,0))</f>
        <v>0</v>
      </c>
      <c r="W95" s="97">
        <f t="shared" ca="1" si="13"/>
        <v>0</v>
      </c>
      <c r="X95" s="98">
        <f ca="1">IF('Invoer gegevens (N)'!$C$17=E95,'Invoer gegevens (N)'!$C$10-'Invoer gegevens (N)'!$C$11,IF(C95=1,AC94,0))</f>
        <v>0</v>
      </c>
      <c r="Y95" s="98">
        <f ca="1">IF(C95&gt;=1,X95*VLOOKUP(E95,'Reeksen (N)'!$A$5:$B$76,2),0)</f>
        <v>0</v>
      </c>
      <c r="Z95" s="98">
        <f ca="1">(1-('Invoer gegevens (N)'!$F$20/12))*X95*MIN('Reeksen (N)'!B95,'Reeksen (N)'!D95)</f>
        <v>0</v>
      </c>
      <c r="AA95" s="98">
        <f>IF('Reeksen (N)'!D95&gt;='Reeksen (N)'!B95,0,IF('Reeksen (N)'!AD95&lt;='Reeksen (N)'!AE95,('Reeksen (N)'!B95-'Reeksen (N)'!D95)*X95,0))</f>
        <v>0</v>
      </c>
      <c r="AB95" s="98">
        <f>IF('Reeksen (N)'!D95&gt;='Reeksen (N)'!B95,0,IF('Reeksen (N)'!AD95&gt;'Reeksen (N)'!AE95,('Reeksen (N)'!B95-'Reeksen (N)'!D95)*X95,0))</f>
        <v>0</v>
      </c>
      <c r="AC95" s="99">
        <f t="shared" ca="1" si="14"/>
        <v>0</v>
      </c>
      <c r="AD95" s="98">
        <f ca="1">IF('Invoer gegevens (N)'!$C$17=E95,R95,IF(C95=0,0,AE94))</f>
        <v>0</v>
      </c>
      <c r="AE95" s="98">
        <f t="shared" ca="1" si="15"/>
        <v>0</v>
      </c>
      <c r="AF95" s="98">
        <f ca="1">IF('Invoer gegevens (N)'!$C$17=E95,X95,IF(C95=0,0,AG94))</f>
        <v>0</v>
      </c>
      <c r="AG95" s="98">
        <f t="shared" ca="1" si="16"/>
        <v>0</v>
      </c>
      <c r="AH95" s="66"/>
      <c r="AI95" s="71">
        <f ca="1">IF(C95=1,'Reeksen (N)'!AI95*((F95-G95+F95)/2)*12+'Reeksen (N)'!AD95*((L95-M95+L95)/2)*12,0)</f>
        <v>0</v>
      </c>
      <c r="AJ95" s="71">
        <f ca="1">-AI95*'Invoer gegevens (N)'!$F$28</f>
        <v>0</v>
      </c>
      <c r="AK95" s="71">
        <f t="shared" ca="1" si="17"/>
        <v>0</v>
      </c>
      <c r="AL95" s="71">
        <f ca="1">IF(C95=1,'Reeksen (N)'!AL95*((F95-G95+F95)/2)*12+'Reeksen (N)'!AM95*((L95-M95+L95)/2)*12,0)</f>
        <v>0</v>
      </c>
      <c r="AM95" s="71">
        <f ca="1">-AL95*'Invoer gegevens (N)'!$F$31</f>
        <v>0</v>
      </c>
      <c r="AN95" s="71">
        <f t="shared" ca="1" si="18"/>
        <v>0</v>
      </c>
      <c r="AO95" s="71">
        <f ca="1">IF(C95=1,(H95+J95+N95+P95)*'Reeksen (N)'!AN95,0)</f>
        <v>0</v>
      </c>
      <c r="AP95" s="71">
        <f ca="1">-IF(C95=1,(H95+J95+N95+P95)*'Hulp - basis'!$O$550*'Reeksen (N)'!H95,0)</f>
        <v>0</v>
      </c>
      <c r="AQ95" s="71">
        <f ca="1">-IF(C95=1,(F95+K95+L95+Q95)/2*'Invoer gegevens (N)'!$F$35*'Reeksen (N)'!J95,0)*2</f>
        <v>0</v>
      </c>
      <c r="AR95" s="71"/>
      <c r="AS95" s="71">
        <f ca="1">-IF(C95=1,(F95+K95+L95+Q95)/2*'Invoer gegevens (N)'!$F$37*'Reeksen (N)'!L95,0)</f>
        <v>0</v>
      </c>
      <c r="AT95" s="71">
        <f ca="1">-IF(C95=1,IF(E95='Invoer gegevens (N)'!$C$17,'Invoer gegevens (N)'!$C$11,AD95)*'Reeksen (N)'!S95*'Invoer gegevens (N)'!$C$18*'Reeksen (N)'!P95,0)</f>
        <v>0</v>
      </c>
      <c r="AU95" s="71">
        <f ca="1">-IF(C95=1,(F95+K95+L95+Q95)/2*'Invoer gegevens (N)'!$F$38*'Reeksen (N)'!H95,0)</f>
        <v>0</v>
      </c>
      <c r="AV95" s="71">
        <v>0</v>
      </c>
      <c r="AW95" s="71">
        <f t="shared" ca="1" si="19"/>
        <v>0</v>
      </c>
      <c r="AX95" s="71">
        <f ca="1">IF(E95&lt;'Invoer gegevens (N)'!$C$17+15,0,IF(E95&gt;'Invoer gegevens (N)'!$C$17+215,0,AW95))</f>
        <v>0</v>
      </c>
      <c r="AY95" s="71">
        <f ca="1">AX95/(1+'Invoer gegevens (N)'!$F$18)^($AZ95-('Invoer gegevens (N)'!$C$17-'Invoer gegevens (N)'!$C$16))/(1+'Invoer gegevens (N)'!$C$39)^('Invoer gegevens (N)'!$C$17-'Invoer gegevens (N)'!$C$16)</f>
        <v>0</v>
      </c>
      <c r="AZ95" s="68">
        <f ca="1">IF(E95-'Invoer gegevens (N)'!$C$17-14.5&lt;0,0,E95-'Invoer gegevens (N)'!$C$17-14.5)</f>
        <v>75.5</v>
      </c>
    </row>
    <row r="96" spans="1:52" x14ac:dyDescent="0.25">
      <c r="A96" s="59"/>
      <c r="B96" s="70">
        <f t="shared" si="20"/>
        <v>92</v>
      </c>
      <c r="C96" s="67">
        <f ca="1">IF(E96-'Invoer gegevens (N)'!$C$17&lt;0,0,1)</f>
        <v>1</v>
      </c>
      <c r="D96" s="68">
        <f t="shared" si="21"/>
        <v>91.5</v>
      </c>
      <c r="E96" s="69">
        <f ca="1">IF('Invoer gegevens (N)'!$C$16="","",E95+1)</f>
        <v>2110</v>
      </c>
      <c r="F96" s="84">
        <f ca="1">IF('Invoer gegevens (N)'!$C$17=E96,'Invoer gegevens (N)'!$C$10,IF(C96=1,K95,0))</f>
        <v>0</v>
      </c>
      <c r="G96" s="96">
        <f ca="1">IF(C96&gt;=1,F96*VLOOKUP(E96,'Reeksen (N)'!$A$5:$B$76,2),0)</f>
        <v>0</v>
      </c>
      <c r="H96" s="84">
        <f ca="1">(1-('Invoer gegevens (N)'!$F$20/12))*F96*MIN('Reeksen (N)'!B96,'Reeksen (N)'!D96)</f>
        <v>0</v>
      </c>
      <c r="I96" s="84">
        <f>IF('Reeksen (N)'!D96&lt;'Reeksen (N)'!B96,('Reeksen (N)'!B96-'Reeksen (N)'!D96)*F96,0)</f>
        <v>0</v>
      </c>
      <c r="J96" s="84">
        <f ca="1">('Invoer gegevens (N)'!$F$20/12)*F95*MIN('Reeksen (N)'!B95,'Reeksen (N)'!D95)</f>
        <v>0</v>
      </c>
      <c r="K96" s="97">
        <f t="shared" ca="1" si="11"/>
        <v>0</v>
      </c>
      <c r="L96" s="84">
        <f ca="1">IF('Invoer gegevens (N)'!$C$17=E96,0,IF(C96=1,Q95,0))</f>
        <v>0</v>
      </c>
      <c r="M96" s="96">
        <f ca="1">IF(C96&gt;=1,L96*VLOOKUP(E96,'Reeksen (N)'!$A$5:$B$76,2),0)</f>
        <v>0</v>
      </c>
      <c r="N96" s="84">
        <f ca="1">(1-('Invoer gegevens (N)'!$F$20/12))*L96*MIN('Reeksen (N)'!B96,'Reeksen (N)'!D96)</f>
        <v>0</v>
      </c>
      <c r="O96" s="84">
        <f>IF('Reeksen (N)'!D96&lt;'Reeksen (N)'!B96,('Reeksen (N)'!B96-'Reeksen (N)'!D96)*L96,0)</f>
        <v>0</v>
      </c>
      <c r="P96" s="84">
        <f ca="1">('Invoer gegevens (N)'!$F$20/12)*L95*MIN('Reeksen (N)'!B95,'Reeksen (N)'!D95)</f>
        <v>0</v>
      </c>
      <c r="Q96" s="84">
        <f t="shared" ca="1" si="12"/>
        <v>0</v>
      </c>
      <c r="R96" s="82">
        <f ca="1">IF('Invoer gegevens (N)'!$C$17=E96,'Invoer gegevens (N)'!$C$11,IF(C96=1,W95,0))</f>
        <v>0</v>
      </c>
      <c r="S96" s="86">
        <f ca="1">IF(C96&gt;=1,R96*VLOOKUP(E96,'Reeksen (N)'!$A$5:$B$76,2),0)</f>
        <v>0</v>
      </c>
      <c r="T96" s="84">
        <f ca="1">(1-('Invoer gegevens (N)'!$F$20/12))*R96*MIN('Reeksen (N)'!B96,'Reeksen (N)'!D96)</f>
        <v>0</v>
      </c>
      <c r="U96" s="84">
        <f>IF('Reeksen (N)'!D96&gt;='Reeksen (N)'!B96,0,IF('Reeksen (N)'!AD96&lt;='Reeksen (N)'!AE96,('Reeksen (N)'!B96-'Reeksen (N)'!D96)*R96,0))</f>
        <v>0</v>
      </c>
      <c r="V96" s="86">
        <f>IF('Reeksen (N)'!D96&gt;='Reeksen (N)'!B96,0,IF('Reeksen (N)'!AD96&gt;'Reeksen (N)'!AE96,('Reeksen (N)'!B96-'Reeksen (N)'!D96)*R96,0))</f>
        <v>0</v>
      </c>
      <c r="W96" s="97">
        <f t="shared" ca="1" si="13"/>
        <v>0</v>
      </c>
      <c r="X96" s="98">
        <f ca="1">IF('Invoer gegevens (N)'!$C$17=E96,'Invoer gegevens (N)'!$C$10-'Invoer gegevens (N)'!$C$11,IF(C96=1,AC95,0))</f>
        <v>0</v>
      </c>
      <c r="Y96" s="98">
        <f ca="1">IF(C96&gt;=1,X96*VLOOKUP(E96,'Reeksen (N)'!$A$5:$B$76,2),0)</f>
        <v>0</v>
      </c>
      <c r="Z96" s="98">
        <f ca="1">(1-('Invoer gegevens (N)'!$F$20/12))*X96*MIN('Reeksen (N)'!B96,'Reeksen (N)'!D96)</f>
        <v>0</v>
      </c>
      <c r="AA96" s="98">
        <f>IF('Reeksen (N)'!D96&gt;='Reeksen (N)'!B96,0,IF('Reeksen (N)'!AD96&lt;='Reeksen (N)'!AE96,('Reeksen (N)'!B96-'Reeksen (N)'!D96)*X96,0))</f>
        <v>0</v>
      </c>
      <c r="AB96" s="98">
        <f>IF('Reeksen (N)'!D96&gt;='Reeksen (N)'!B96,0,IF('Reeksen (N)'!AD96&gt;'Reeksen (N)'!AE96,('Reeksen (N)'!B96-'Reeksen (N)'!D96)*X96,0))</f>
        <v>0</v>
      </c>
      <c r="AC96" s="99">
        <f t="shared" ca="1" si="14"/>
        <v>0</v>
      </c>
      <c r="AD96" s="98">
        <f ca="1">IF('Invoer gegevens (N)'!$C$17=E96,R96,IF(C96=0,0,AE95))</f>
        <v>0</v>
      </c>
      <c r="AE96" s="98">
        <f t="shared" ca="1" si="15"/>
        <v>0</v>
      </c>
      <c r="AF96" s="98">
        <f ca="1">IF('Invoer gegevens (N)'!$C$17=E96,X96,IF(C96=0,0,AG95))</f>
        <v>0</v>
      </c>
      <c r="AG96" s="98">
        <f t="shared" ca="1" si="16"/>
        <v>0</v>
      </c>
      <c r="AH96" s="66"/>
      <c r="AI96" s="71">
        <f ca="1">IF(C96=1,'Reeksen (N)'!AI96*((F96-G96+F96)/2)*12+'Reeksen (N)'!AD96*((L96-M96+L96)/2)*12,0)</f>
        <v>0</v>
      </c>
      <c r="AJ96" s="71">
        <f ca="1">-AI96*'Invoer gegevens (N)'!$F$28</f>
        <v>0</v>
      </c>
      <c r="AK96" s="71">
        <f t="shared" ca="1" si="17"/>
        <v>0</v>
      </c>
      <c r="AL96" s="71">
        <f ca="1">IF(C96=1,'Reeksen (N)'!AL96*((F96-G96+F96)/2)*12+'Reeksen (N)'!AM96*((L96-M96+L96)/2)*12,0)</f>
        <v>0</v>
      </c>
      <c r="AM96" s="71">
        <f ca="1">-AL96*'Invoer gegevens (N)'!$F$31</f>
        <v>0</v>
      </c>
      <c r="AN96" s="71">
        <f t="shared" ca="1" si="18"/>
        <v>0</v>
      </c>
      <c r="AO96" s="71">
        <f ca="1">IF(C96=1,(H96+J96+N96+P96)*'Reeksen (N)'!AN96,0)</f>
        <v>0</v>
      </c>
      <c r="AP96" s="71">
        <f ca="1">-IF(C96=1,(H96+J96+N96+P96)*'Hulp - basis'!$O$550*'Reeksen (N)'!H96,0)</f>
        <v>0</v>
      </c>
      <c r="AQ96" s="71">
        <f ca="1">-IF(C96=1,(F96+K96+L96+Q96)/2*'Invoer gegevens (N)'!$F$35*'Reeksen (N)'!J96,0)*2</f>
        <v>0</v>
      </c>
      <c r="AR96" s="71"/>
      <c r="AS96" s="71">
        <f ca="1">-IF(C96=1,(F96+K96+L96+Q96)/2*'Invoer gegevens (N)'!$F$37*'Reeksen (N)'!L96,0)</f>
        <v>0</v>
      </c>
      <c r="AT96" s="71">
        <f ca="1">-IF(C96=1,IF(E96='Invoer gegevens (N)'!$C$17,'Invoer gegevens (N)'!$C$11,AD96)*'Reeksen (N)'!S96*'Invoer gegevens (N)'!$C$18*'Reeksen (N)'!P96,0)</f>
        <v>0</v>
      </c>
      <c r="AU96" s="71">
        <f ca="1">-IF(C96=1,(F96+K96+L96+Q96)/2*'Invoer gegevens (N)'!$F$38*'Reeksen (N)'!H96,0)</f>
        <v>0</v>
      </c>
      <c r="AV96" s="71">
        <v>0</v>
      </c>
      <c r="AW96" s="71">
        <f t="shared" ca="1" si="19"/>
        <v>0</v>
      </c>
      <c r="AX96" s="71">
        <f ca="1">IF(E96&lt;'Invoer gegevens (N)'!$C$17+15,0,IF(E96&gt;'Invoer gegevens (N)'!$C$17+215,0,AW96))</f>
        <v>0</v>
      </c>
      <c r="AY96" s="71">
        <f ca="1">AX96/(1+'Invoer gegevens (N)'!$F$18)^($AZ96-('Invoer gegevens (N)'!$C$17-'Invoer gegevens (N)'!$C$16))/(1+'Invoer gegevens (N)'!$C$39)^('Invoer gegevens (N)'!$C$17-'Invoer gegevens (N)'!$C$16)</f>
        <v>0</v>
      </c>
      <c r="AZ96" s="68">
        <f ca="1">IF(E96-'Invoer gegevens (N)'!$C$17-14.5&lt;0,0,E96-'Invoer gegevens (N)'!$C$17-14.5)</f>
        <v>76.5</v>
      </c>
    </row>
    <row r="97" spans="1:52" x14ac:dyDescent="0.25">
      <c r="A97" s="59"/>
      <c r="B97" s="70">
        <f t="shared" si="20"/>
        <v>93</v>
      </c>
      <c r="C97" s="67">
        <f ca="1">IF(E97-'Invoer gegevens (N)'!$C$17&lt;0,0,1)</f>
        <v>1</v>
      </c>
      <c r="D97" s="68">
        <f t="shared" si="21"/>
        <v>92.5</v>
      </c>
      <c r="E97" s="69">
        <f ca="1">IF('Invoer gegevens (N)'!$C$16="","",E96+1)</f>
        <v>2111</v>
      </c>
      <c r="F97" s="84">
        <f ca="1">IF('Invoer gegevens (N)'!$C$17=E97,'Invoer gegevens (N)'!$C$10,IF(C97=1,K96,0))</f>
        <v>0</v>
      </c>
      <c r="G97" s="96">
        <f ca="1">IF(C97&gt;=1,F97*VLOOKUP(E97,'Reeksen (N)'!$A$5:$B$76,2),0)</f>
        <v>0</v>
      </c>
      <c r="H97" s="84">
        <f ca="1">(1-('Invoer gegevens (N)'!$F$20/12))*F97*MIN('Reeksen (N)'!B97,'Reeksen (N)'!D97)</f>
        <v>0</v>
      </c>
      <c r="I97" s="84">
        <f>IF('Reeksen (N)'!D97&lt;'Reeksen (N)'!B97,('Reeksen (N)'!B97-'Reeksen (N)'!D97)*F97,0)</f>
        <v>0</v>
      </c>
      <c r="J97" s="84">
        <f ca="1">('Invoer gegevens (N)'!$F$20/12)*F96*MIN('Reeksen (N)'!B96,'Reeksen (N)'!D96)</f>
        <v>0</v>
      </c>
      <c r="K97" s="97">
        <f t="shared" ca="1" si="11"/>
        <v>0</v>
      </c>
      <c r="L97" s="84">
        <f ca="1">IF('Invoer gegevens (N)'!$C$17=E97,0,IF(C97=1,Q96,0))</f>
        <v>0</v>
      </c>
      <c r="M97" s="96">
        <f ca="1">IF(C97&gt;=1,L97*VLOOKUP(E97,'Reeksen (N)'!$A$5:$B$76,2),0)</f>
        <v>0</v>
      </c>
      <c r="N97" s="84">
        <f ca="1">(1-('Invoer gegevens (N)'!$F$20/12))*L97*MIN('Reeksen (N)'!B97,'Reeksen (N)'!D97)</f>
        <v>0</v>
      </c>
      <c r="O97" s="84">
        <f>IF('Reeksen (N)'!D97&lt;'Reeksen (N)'!B97,('Reeksen (N)'!B97-'Reeksen (N)'!D97)*L97,0)</f>
        <v>0</v>
      </c>
      <c r="P97" s="84">
        <f ca="1">('Invoer gegevens (N)'!$F$20/12)*L96*MIN('Reeksen (N)'!B96,'Reeksen (N)'!D96)</f>
        <v>0</v>
      </c>
      <c r="Q97" s="84">
        <f t="shared" ca="1" si="12"/>
        <v>0</v>
      </c>
      <c r="R97" s="82">
        <f ca="1">IF('Invoer gegevens (N)'!$C$17=E97,'Invoer gegevens (N)'!$C$11,IF(C97=1,W96,0))</f>
        <v>0</v>
      </c>
      <c r="S97" s="86">
        <f ca="1">IF(C97&gt;=1,R97*VLOOKUP(E97,'Reeksen (N)'!$A$5:$B$76,2),0)</f>
        <v>0</v>
      </c>
      <c r="T97" s="84">
        <f ca="1">(1-('Invoer gegevens (N)'!$F$20/12))*R97*MIN('Reeksen (N)'!B97,'Reeksen (N)'!D97)</f>
        <v>0</v>
      </c>
      <c r="U97" s="84">
        <f>IF('Reeksen (N)'!D97&gt;='Reeksen (N)'!B97,0,IF('Reeksen (N)'!AD97&lt;='Reeksen (N)'!AE97,('Reeksen (N)'!B97-'Reeksen (N)'!D97)*R97,0))</f>
        <v>0</v>
      </c>
      <c r="V97" s="86">
        <f>IF('Reeksen (N)'!D97&gt;='Reeksen (N)'!B97,0,IF('Reeksen (N)'!AD97&gt;'Reeksen (N)'!AE97,('Reeksen (N)'!B97-'Reeksen (N)'!D97)*R97,0))</f>
        <v>0</v>
      </c>
      <c r="W97" s="97">
        <f t="shared" ca="1" si="13"/>
        <v>0</v>
      </c>
      <c r="X97" s="98">
        <f ca="1">IF('Invoer gegevens (N)'!$C$17=E97,'Invoer gegevens (N)'!$C$10-'Invoer gegevens (N)'!$C$11,IF(C97=1,AC96,0))</f>
        <v>0</v>
      </c>
      <c r="Y97" s="98">
        <f ca="1">IF(C97&gt;=1,X97*VLOOKUP(E97,'Reeksen (N)'!$A$5:$B$76,2),0)</f>
        <v>0</v>
      </c>
      <c r="Z97" s="98">
        <f ca="1">(1-('Invoer gegevens (N)'!$F$20/12))*X97*MIN('Reeksen (N)'!B97,'Reeksen (N)'!D97)</f>
        <v>0</v>
      </c>
      <c r="AA97" s="98">
        <f>IF('Reeksen (N)'!D97&gt;='Reeksen (N)'!B97,0,IF('Reeksen (N)'!AD97&lt;='Reeksen (N)'!AE97,('Reeksen (N)'!B97-'Reeksen (N)'!D97)*X97,0))</f>
        <v>0</v>
      </c>
      <c r="AB97" s="98">
        <f>IF('Reeksen (N)'!D97&gt;='Reeksen (N)'!B97,0,IF('Reeksen (N)'!AD97&gt;'Reeksen (N)'!AE97,('Reeksen (N)'!B97-'Reeksen (N)'!D97)*X97,0))</f>
        <v>0</v>
      </c>
      <c r="AC97" s="99">
        <f t="shared" ca="1" si="14"/>
        <v>0</v>
      </c>
      <c r="AD97" s="98">
        <f ca="1">IF('Invoer gegevens (N)'!$C$17=E97,R97,IF(C97=0,0,AE96))</f>
        <v>0</v>
      </c>
      <c r="AE97" s="98">
        <f t="shared" ca="1" si="15"/>
        <v>0</v>
      </c>
      <c r="AF97" s="98">
        <f ca="1">IF('Invoer gegevens (N)'!$C$17=E97,X97,IF(C97=0,0,AG96))</f>
        <v>0</v>
      </c>
      <c r="AG97" s="98">
        <f t="shared" ca="1" si="16"/>
        <v>0</v>
      </c>
      <c r="AH97" s="66"/>
      <c r="AI97" s="71">
        <f ca="1">IF(C97=1,'Reeksen (N)'!AI97*((F97-G97+F97)/2)*12+'Reeksen (N)'!AD97*((L97-M97+L97)/2)*12,0)</f>
        <v>0</v>
      </c>
      <c r="AJ97" s="71">
        <f ca="1">-AI97*'Invoer gegevens (N)'!$F$28</f>
        <v>0</v>
      </c>
      <c r="AK97" s="71">
        <f t="shared" ca="1" si="17"/>
        <v>0</v>
      </c>
      <c r="AL97" s="71">
        <f ca="1">IF(C97=1,'Reeksen (N)'!AL97*((F97-G97+F97)/2)*12+'Reeksen (N)'!AM97*((L97-M97+L97)/2)*12,0)</f>
        <v>0</v>
      </c>
      <c r="AM97" s="71">
        <f ca="1">-AL97*'Invoer gegevens (N)'!$F$31</f>
        <v>0</v>
      </c>
      <c r="AN97" s="71">
        <f t="shared" ca="1" si="18"/>
        <v>0</v>
      </c>
      <c r="AO97" s="71">
        <f ca="1">IF(C97=1,(H97+J97+N97+P97)*'Reeksen (N)'!AN97,0)</f>
        <v>0</v>
      </c>
      <c r="AP97" s="71">
        <f ca="1">-IF(C97=1,(H97+J97+N97+P97)*'Hulp - basis'!$O$550*'Reeksen (N)'!H97,0)</f>
        <v>0</v>
      </c>
      <c r="AQ97" s="71">
        <f ca="1">-IF(C97=1,(F97+K97+L97+Q97)/2*'Invoer gegevens (N)'!$F$35*'Reeksen (N)'!J97,0)*2</f>
        <v>0</v>
      </c>
      <c r="AR97" s="71"/>
      <c r="AS97" s="71">
        <f ca="1">-IF(C97=1,(F97+K97+L97+Q97)/2*'Invoer gegevens (N)'!$F$37*'Reeksen (N)'!L97,0)</f>
        <v>0</v>
      </c>
      <c r="AT97" s="71">
        <f ca="1">-IF(C97=1,IF(E97='Invoer gegevens (N)'!$C$17,'Invoer gegevens (N)'!$C$11,AD97)*'Reeksen (N)'!S97*'Invoer gegevens (N)'!$C$18*'Reeksen (N)'!P97,0)</f>
        <v>0</v>
      </c>
      <c r="AU97" s="71">
        <f ca="1">-IF(C97=1,(F97+K97+L97+Q97)/2*'Invoer gegevens (N)'!$F$38*'Reeksen (N)'!H97,0)</f>
        <v>0</v>
      </c>
      <c r="AV97" s="71">
        <v>0</v>
      </c>
      <c r="AW97" s="71">
        <f t="shared" ca="1" si="19"/>
        <v>0</v>
      </c>
      <c r="AX97" s="71">
        <f ca="1">IF(E97&lt;'Invoer gegevens (N)'!$C$17+15,0,IF(E97&gt;'Invoer gegevens (N)'!$C$17+215,0,AW97))</f>
        <v>0</v>
      </c>
      <c r="AY97" s="71">
        <f ca="1">AX97/(1+'Invoer gegevens (N)'!$F$18)^($AZ97-('Invoer gegevens (N)'!$C$17-'Invoer gegevens (N)'!$C$16))/(1+'Invoer gegevens (N)'!$C$39)^('Invoer gegevens (N)'!$C$17-'Invoer gegevens (N)'!$C$16)</f>
        <v>0</v>
      </c>
      <c r="AZ97" s="68">
        <f ca="1">IF(E97-'Invoer gegevens (N)'!$C$17-14.5&lt;0,0,E97-'Invoer gegevens (N)'!$C$17-14.5)</f>
        <v>77.5</v>
      </c>
    </row>
    <row r="98" spans="1:52" x14ac:dyDescent="0.25">
      <c r="A98" s="59"/>
      <c r="B98" s="70">
        <f t="shared" si="20"/>
        <v>94</v>
      </c>
      <c r="C98" s="67">
        <f ca="1">IF(E98-'Invoer gegevens (N)'!$C$17&lt;0,0,1)</f>
        <v>1</v>
      </c>
      <c r="D98" s="68">
        <f t="shared" si="21"/>
        <v>93.5</v>
      </c>
      <c r="E98" s="69">
        <f ca="1">IF('Invoer gegevens (N)'!$C$16="","",E97+1)</f>
        <v>2112</v>
      </c>
      <c r="F98" s="84">
        <f ca="1">IF('Invoer gegevens (N)'!$C$17=E98,'Invoer gegevens (N)'!$C$10,IF(C98=1,K97,0))</f>
        <v>0</v>
      </c>
      <c r="G98" s="96">
        <f ca="1">IF(C98&gt;=1,F98*VLOOKUP(E98,'Reeksen (N)'!$A$5:$B$76,2),0)</f>
        <v>0</v>
      </c>
      <c r="H98" s="84">
        <f ca="1">(1-('Invoer gegevens (N)'!$F$20/12))*F98*MIN('Reeksen (N)'!B98,'Reeksen (N)'!D98)</f>
        <v>0</v>
      </c>
      <c r="I98" s="84">
        <f>IF('Reeksen (N)'!D98&lt;'Reeksen (N)'!B98,('Reeksen (N)'!B98-'Reeksen (N)'!D98)*F98,0)</f>
        <v>0</v>
      </c>
      <c r="J98" s="84">
        <f ca="1">('Invoer gegevens (N)'!$F$20/12)*F97*MIN('Reeksen (N)'!B97,'Reeksen (N)'!D97)</f>
        <v>0</v>
      </c>
      <c r="K98" s="97">
        <f t="shared" ca="1" si="11"/>
        <v>0</v>
      </c>
      <c r="L98" s="84">
        <f ca="1">IF('Invoer gegevens (N)'!$C$17=E98,0,IF(C98=1,Q97,0))</f>
        <v>0</v>
      </c>
      <c r="M98" s="96">
        <f ca="1">IF(C98&gt;=1,L98*VLOOKUP(E98,'Reeksen (N)'!$A$5:$B$76,2),0)</f>
        <v>0</v>
      </c>
      <c r="N98" s="84">
        <f ca="1">(1-('Invoer gegevens (N)'!$F$20/12))*L98*MIN('Reeksen (N)'!B98,'Reeksen (N)'!D98)</f>
        <v>0</v>
      </c>
      <c r="O98" s="84">
        <f>IF('Reeksen (N)'!D98&lt;'Reeksen (N)'!B98,('Reeksen (N)'!B98-'Reeksen (N)'!D98)*L98,0)</f>
        <v>0</v>
      </c>
      <c r="P98" s="84">
        <f ca="1">('Invoer gegevens (N)'!$F$20/12)*L97*MIN('Reeksen (N)'!B97,'Reeksen (N)'!D97)</f>
        <v>0</v>
      </c>
      <c r="Q98" s="84">
        <f t="shared" ca="1" si="12"/>
        <v>0</v>
      </c>
      <c r="R98" s="82">
        <f ca="1">IF('Invoer gegevens (N)'!$C$17=E98,'Invoer gegevens (N)'!$C$11,IF(C98=1,W97,0))</f>
        <v>0</v>
      </c>
      <c r="S98" s="86">
        <f ca="1">IF(C98&gt;=1,R98*VLOOKUP(E98,'Reeksen (N)'!$A$5:$B$76,2),0)</f>
        <v>0</v>
      </c>
      <c r="T98" s="84">
        <f ca="1">(1-('Invoer gegevens (N)'!$F$20/12))*R98*MIN('Reeksen (N)'!B98,'Reeksen (N)'!D98)</f>
        <v>0</v>
      </c>
      <c r="U98" s="84">
        <f>IF('Reeksen (N)'!D98&gt;='Reeksen (N)'!B98,0,IF('Reeksen (N)'!AD98&lt;='Reeksen (N)'!AE98,('Reeksen (N)'!B98-'Reeksen (N)'!D98)*R98,0))</f>
        <v>0</v>
      </c>
      <c r="V98" s="86">
        <f>IF('Reeksen (N)'!D98&gt;='Reeksen (N)'!B98,0,IF('Reeksen (N)'!AD98&gt;'Reeksen (N)'!AE98,('Reeksen (N)'!B98-'Reeksen (N)'!D98)*R98,0))</f>
        <v>0</v>
      </c>
      <c r="W98" s="97">
        <f t="shared" ca="1" si="13"/>
        <v>0</v>
      </c>
      <c r="X98" s="98">
        <f ca="1">IF('Invoer gegevens (N)'!$C$17=E98,'Invoer gegevens (N)'!$C$10-'Invoer gegevens (N)'!$C$11,IF(C98=1,AC97,0))</f>
        <v>0</v>
      </c>
      <c r="Y98" s="98">
        <f ca="1">IF(C98&gt;=1,X98*VLOOKUP(E98,'Reeksen (N)'!$A$5:$B$76,2),0)</f>
        <v>0</v>
      </c>
      <c r="Z98" s="98">
        <f ca="1">(1-('Invoer gegevens (N)'!$F$20/12))*X98*MIN('Reeksen (N)'!B98,'Reeksen (N)'!D98)</f>
        <v>0</v>
      </c>
      <c r="AA98" s="98">
        <f>IF('Reeksen (N)'!D98&gt;='Reeksen (N)'!B98,0,IF('Reeksen (N)'!AD98&lt;='Reeksen (N)'!AE98,('Reeksen (N)'!B98-'Reeksen (N)'!D98)*X98,0))</f>
        <v>0</v>
      </c>
      <c r="AB98" s="98">
        <f>IF('Reeksen (N)'!D98&gt;='Reeksen (N)'!B98,0,IF('Reeksen (N)'!AD98&gt;'Reeksen (N)'!AE98,('Reeksen (N)'!B98-'Reeksen (N)'!D98)*X98,0))</f>
        <v>0</v>
      </c>
      <c r="AC98" s="99">
        <f t="shared" ca="1" si="14"/>
        <v>0</v>
      </c>
      <c r="AD98" s="98">
        <f ca="1">IF('Invoer gegevens (N)'!$C$17=E98,R98,IF(C98=0,0,AE97))</f>
        <v>0</v>
      </c>
      <c r="AE98" s="98">
        <f t="shared" ca="1" si="15"/>
        <v>0</v>
      </c>
      <c r="AF98" s="98">
        <f ca="1">IF('Invoer gegevens (N)'!$C$17=E98,X98,IF(C98=0,0,AG97))</f>
        <v>0</v>
      </c>
      <c r="AG98" s="98">
        <f t="shared" ca="1" si="16"/>
        <v>0</v>
      </c>
      <c r="AH98" s="66"/>
      <c r="AI98" s="71">
        <f ca="1">IF(C98=1,'Reeksen (N)'!AI98*((F98-G98+F98)/2)*12+'Reeksen (N)'!AD98*((L98-M98+L98)/2)*12,0)</f>
        <v>0</v>
      </c>
      <c r="AJ98" s="71">
        <f ca="1">-AI98*'Invoer gegevens (N)'!$F$28</f>
        <v>0</v>
      </c>
      <c r="AK98" s="71">
        <f t="shared" ca="1" si="17"/>
        <v>0</v>
      </c>
      <c r="AL98" s="71">
        <f ca="1">IF(C98=1,'Reeksen (N)'!AL98*((F98-G98+F98)/2)*12+'Reeksen (N)'!AM98*((L98-M98+L98)/2)*12,0)</f>
        <v>0</v>
      </c>
      <c r="AM98" s="71">
        <f ca="1">-AL98*'Invoer gegevens (N)'!$F$31</f>
        <v>0</v>
      </c>
      <c r="AN98" s="71">
        <f t="shared" ca="1" si="18"/>
        <v>0</v>
      </c>
      <c r="AO98" s="71">
        <f ca="1">IF(C98=1,(H98+J98+N98+P98)*'Reeksen (N)'!AN98,0)</f>
        <v>0</v>
      </c>
      <c r="AP98" s="71">
        <f ca="1">-IF(C98=1,(H98+J98+N98+P98)*'Hulp - basis'!$O$550*'Reeksen (N)'!H98,0)</f>
        <v>0</v>
      </c>
      <c r="AQ98" s="71">
        <f ca="1">-IF(C98=1,(F98+K98+L98+Q98)/2*'Invoer gegevens (N)'!$F$35*'Reeksen (N)'!J98,0)*2</f>
        <v>0</v>
      </c>
      <c r="AR98" s="71"/>
      <c r="AS98" s="71">
        <f ca="1">-IF(C98=1,(F98+K98+L98+Q98)/2*'Invoer gegevens (N)'!$F$37*'Reeksen (N)'!L98,0)</f>
        <v>0</v>
      </c>
      <c r="AT98" s="71">
        <f ca="1">-IF(C98=1,IF(E98='Invoer gegevens (N)'!$C$17,'Invoer gegevens (N)'!$C$11,AD98)*'Reeksen (N)'!S98*'Invoer gegevens (N)'!$C$18*'Reeksen (N)'!P98,0)</f>
        <v>0</v>
      </c>
      <c r="AU98" s="71">
        <f ca="1">-IF(C98=1,(F98+K98+L98+Q98)/2*'Invoer gegevens (N)'!$F$38*'Reeksen (N)'!H98,0)</f>
        <v>0</v>
      </c>
      <c r="AV98" s="71">
        <v>0</v>
      </c>
      <c r="AW98" s="71">
        <f t="shared" ca="1" si="19"/>
        <v>0</v>
      </c>
      <c r="AX98" s="71">
        <f ca="1">IF(E98&lt;'Invoer gegevens (N)'!$C$17+15,0,IF(E98&gt;'Invoer gegevens (N)'!$C$17+215,0,AW98))</f>
        <v>0</v>
      </c>
      <c r="AY98" s="71">
        <f ca="1">AX98/(1+'Invoer gegevens (N)'!$F$18)^($AZ98-('Invoer gegevens (N)'!$C$17-'Invoer gegevens (N)'!$C$16))/(1+'Invoer gegevens (N)'!$C$39)^('Invoer gegevens (N)'!$C$17-'Invoer gegevens (N)'!$C$16)</f>
        <v>0</v>
      </c>
      <c r="AZ98" s="68">
        <f ca="1">IF(E98-'Invoer gegevens (N)'!$C$17-14.5&lt;0,0,E98-'Invoer gegevens (N)'!$C$17-14.5)</f>
        <v>78.5</v>
      </c>
    </row>
    <row r="99" spans="1:52" x14ac:dyDescent="0.25">
      <c r="A99" s="59"/>
      <c r="B99" s="70">
        <f t="shared" si="20"/>
        <v>95</v>
      </c>
      <c r="C99" s="67">
        <f ca="1">IF(E99-'Invoer gegevens (N)'!$C$17&lt;0,0,1)</f>
        <v>1</v>
      </c>
      <c r="D99" s="68">
        <f t="shared" si="21"/>
        <v>94.5</v>
      </c>
      <c r="E99" s="69">
        <f ca="1">IF('Invoer gegevens (N)'!$C$16="","",E98+1)</f>
        <v>2113</v>
      </c>
      <c r="F99" s="84">
        <f ca="1">IF('Invoer gegevens (N)'!$C$17=E99,'Invoer gegevens (N)'!$C$10,IF(C99=1,K98,0))</f>
        <v>0</v>
      </c>
      <c r="G99" s="96">
        <f ca="1">IF(C99&gt;=1,F99*VLOOKUP(E99,'Reeksen (N)'!$A$5:$B$76,2),0)</f>
        <v>0</v>
      </c>
      <c r="H99" s="84">
        <f ca="1">(1-('Invoer gegevens (N)'!$F$20/12))*F99*MIN('Reeksen (N)'!B99,'Reeksen (N)'!D99)</f>
        <v>0</v>
      </c>
      <c r="I99" s="84">
        <f>IF('Reeksen (N)'!D99&lt;'Reeksen (N)'!B99,('Reeksen (N)'!B99-'Reeksen (N)'!D99)*F99,0)</f>
        <v>0</v>
      </c>
      <c r="J99" s="84">
        <f ca="1">('Invoer gegevens (N)'!$F$20/12)*F98*MIN('Reeksen (N)'!B98,'Reeksen (N)'!D98)</f>
        <v>0</v>
      </c>
      <c r="K99" s="97">
        <f t="shared" ca="1" si="11"/>
        <v>0</v>
      </c>
      <c r="L99" s="84">
        <f ca="1">IF('Invoer gegevens (N)'!$C$17=E99,0,IF(C99=1,Q98,0))</f>
        <v>0</v>
      </c>
      <c r="M99" s="96">
        <f ca="1">IF(C99&gt;=1,L99*VLOOKUP(E99,'Reeksen (N)'!$A$5:$B$76,2),0)</f>
        <v>0</v>
      </c>
      <c r="N99" s="84">
        <f ca="1">(1-('Invoer gegevens (N)'!$F$20/12))*L99*MIN('Reeksen (N)'!B99,'Reeksen (N)'!D99)</f>
        <v>0</v>
      </c>
      <c r="O99" s="84">
        <f>IF('Reeksen (N)'!D99&lt;'Reeksen (N)'!B99,('Reeksen (N)'!B99-'Reeksen (N)'!D99)*L99,0)</f>
        <v>0</v>
      </c>
      <c r="P99" s="84">
        <f ca="1">('Invoer gegevens (N)'!$F$20/12)*L98*MIN('Reeksen (N)'!B98,'Reeksen (N)'!D98)</f>
        <v>0</v>
      </c>
      <c r="Q99" s="84">
        <f t="shared" ca="1" si="12"/>
        <v>0</v>
      </c>
      <c r="R99" s="82">
        <f ca="1">IF('Invoer gegevens (N)'!$C$17=E99,'Invoer gegevens (N)'!$C$11,IF(C99=1,W98,0))</f>
        <v>0</v>
      </c>
      <c r="S99" s="86">
        <f ca="1">IF(C99&gt;=1,R99*VLOOKUP(E99,'Reeksen (N)'!$A$5:$B$76,2),0)</f>
        <v>0</v>
      </c>
      <c r="T99" s="84">
        <f ca="1">(1-('Invoer gegevens (N)'!$F$20/12))*R99*MIN('Reeksen (N)'!B99,'Reeksen (N)'!D99)</f>
        <v>0</v>
      </c>
      <c r="U99" s="84">
        <f>IF('Reeksen (N)'!D99&gt;='Reeksen (N)'!B99,0,IF('Reeksen (N)'!AD99&lt;='Reeksen (N)'!AE99,('Reeksen (N)'!B99-'Reeksen (N)'!D99)*R99,0))</f>
        <v>0</v>
      </c>
      <c r="V99" s="86">
        <f>IF('Reeksen (N)'!D99&gt;='Reeksen (N)'!B99,0,IF('Reeksen (N)'!AD99&gt;'Reeksen (N)'!AE99,('Reeksen (N)'!B99-'Reeksen (N)'!D99)*R99,0))</f>
        <v>0</v>
      </c>
      <c r="W99" s="97">
        <f t="shared" ca="1" si="13"/>
        <v>0</v>
      </c>
      <c r="X99" s="98">
        <f ca="1">IF('Invoer gegevens (N)'!$C$17=E99,'Invoer gegevens (N)'!$C$10-'Invoer gegevens (N)'!$C$11,IF(C99=1,AC98,0))</f>
        <v>0</v>
      </c>
      <c r="Y99" s="98">
        <f ca="1">IF(C99&gt;=1,X99*VLOOKUP(E99,'Reeksen (N)'!$A$5:$B$76,2),0)</f>
        <v>0</v>
      </c>
      <c r="Z99" s="98">
        <f ca="1">(1-('Invoer gegevens (N)'!$F$20/12))*X99*MIN('Reeksen (N)'!B99,'Reeksen (N)'!D99)</f>
        <v>0</v>
      </c>
      <c r="AA99" s="98">
        <f>IF('Reeksen (N)'!D99&gt;='Reeksen (N)'!B99,0,IF('Reeksen (N)'!AD99&lt;='Reeksen (N)'!AE99,('Reeksen (N)'!B99-'Reeksen (N)'!D99)*X99,0))</f>
        <v>0</v>
      </c>
      <c r="AB99" s="98">
        <f>IF('Reeksen (N)'!D99&gt;='Reeksen (N)'!B99,0,IF('Reeksen (N)'!AD99&gt;'Reeksen (N)'!AE99,('Reeksen (N)'!B99-'Reeksen (N)'!D99)*X99,0))</f>
        <v>0</v>
      </c>
      <c r="AC99" s="99">
        <f t="shared" ca="1" si="14"/>
        <v>0</v>
      </c>
      <c r="AD99" s="98">
        <f ca="1">IF('Invoer gegevens (N)'!$C$17=E99,R99,IF(C99=0,0,AE98))</f>
        <v>0</v>
      </c>
      <c r="AE99" s="98">
        <f t="shared" ca="1" si="15"/>
        <v>0</v>
      </c>
      <c r="AF99" s="98">
        <f ca="1">IF('Invoer gegevens (N)'!$C$17=E99,X99,IF(C99=0,0,AG98))</f>
        <v>0</v>
      </c>
      <c r="AG99" s="98">
        <f t="shared" ca="1" si="16"/>
        <v>0</v>
      </c>
      <c r="AH99" s="66"/>
      <c r="AI99" s="71">
        <f ca="1">IF(C99=1,'Reeksen (N)'!AI99*((F99-G99+F99)/2)*12+'Reeksen (N)'!AD99*((L99-M99+L99)/2)*12,0)</f>
        <v>0</v>
      </c>
      <c r="AJ99" s="71">
        <f ca="1">-AI99*'Invoer gegevens (N)'!$F$28</f>
        <v>0</v>
      </c>
      <c r="AK99" s="71">
        <f t="shared" ca="1" si="17"/>
        <v>0</v>
      </c>
      <c r="AL99" s="71">
        <f ca="1">IF(C99=1,'Reeksen (N)'!AL99*((F99-G99+F99)/2)*12+'Reeksen (N)'!AM99*((L99-M99+L99)/2)*12,0)</f>
        <v>0</v>
      </c>
      <c r="AM99" s="71">
        <f ca="1">-AL99*'Invoer gegevens (N)'!$F$31</f>
        <v>0</v>
      </c>
      <c r="AN99" s="71">
        <f t="shared" ca="1" si="18"/>
        <v>0</v>
      </c>
      <c r="AO99" s="71">
        <f ca="1">IF(C99=1,(H99+J99+N99+P99)*'Reeksen (N)'!AN99,0)</f>
        <v>0</v>
      </c>
      <c r="AP99" s="71">
        <f ca="1">-IF(C99=1,(H99+J99+N99+P99)*'Hulp - basis'!$O$550*'Reeksen (N)'!H99,0)</f>
        <v>0</v>
      </c>
      <c r="AQ99" s="71">
        <f ca="1">-IF(C99=1,(F99+K99+L99+Q99)/2*'Invoer gegevens (N)'!$F$35*'Reeksen (N)'!J99,0)*2</f>
        <v>0</v>
      </c>
      <c r="AR99" s="71"/>
      <c r="AS99" s="71">
        <f ca="1">-IF(C99=1,(F99+K99+L99+Q99)/2*'Invoer gegevens (N)'!$F$37*'Reeksen (N)'!L99,0)</f>
        <v>0</v>
      </c>
      <c r="AT99" s="71">
        <f ca="1">-IF(C99=1,IF(E99='Invoer gegevens (N)'!$C$17,'Invoer gegevens (N)'!$C$11,AD99)*'Reeksen (N)'!S99*'Invoer gegevens (N)'!$C$18*'Reeksen (N)'!P99,0)</f>
        <v>0</v>
      </c>
      <c r="AU99" s="71">
        <f ca="1">-IF(C99=1,(F99+K99+L99+Q99)/2*'Invoer gegevens (N)'!$F$38*'Reeksen (N)'!H99,0)</f>
        <v>0</v>
      </c>
      <c r="AV99" s="71">
        <v>0</v>
      </c>
      <c r="AW99" s="71">
        <f t="shared" ca="1" si="19"/>
        <v>0</v>
      </c>
      <c r="AX99" s="71">
        <f ca="1">IF(E99&lt;'Invoer gegevens (N)'!$C$17+15,0,IF(E99&gt;'Invoer gegevens (N)'!$C$17+215,0,AW99))</f>
        <v>0</v>
      </c>
      <c r="AY99" s="71">
        <f ca="1">AX99/(1+'Invoer gegevens (N)'!$F$18)^($AZ99-('Invoer gegevens (N)'!$C$17-'Invoer gegevens (N)'!$C$16))/(1+'Invoer gegevens (N)'!$C$39)^('Invoer gegevens (N)'!$C$17-'Invoer gegevens (N)'!$C$16)</f>
        <v>0</v>
      </c>
      <c r="AZ99" s="68">
        <f ca="1">IF(E99-'Invoer gegevens (N)'!$C$17-14.5&lt;0,0,E99-'Invoer gegevens (N)'!$C$17-14.5)</f>
        <v>79.5</v>
      </c>
    </row>
    <row r="100" spans="1:52" x14ac:dyDescent="0.25">
      <c r="A100" s="59"/>
      <c r="B100" s="70">
        <f t="shared" si="20"/>
        <v>96</v>
      </c>
      <c r="C100" s="67">
        <f ca="1">IF(E100-'Invoer gegevens (N)'!$C$17&lt;0,0,1)</f>
        <v>1</v>
      </c>
      <c r="D100" s="68">
        <f t="shared" si="21"/>
        <v>95.5</v>
      </c>
      <c r="E100" s="69">
        <f ca="1">IF('Invoer gegevens (N)'!$C$16="","",E99+1)</f>
        <v>2114</v>
      </c>
      <c r="F100" s="84">
        <f ca="1">IF('Invoer gegevens (N)'!$C$17=E100,'Invoer gegevens (N)'!$C$10,IF(C100=1,K99,0))</f>
        <v>0</v>
      </c>
      <c r="G100" s="96">
        <f ca="1">IF(C100&gt;=1,F100*VLOOKUP(E100,'Reeksen (N)'!$A$5:$B$76,2),0)</f>
        <v>0</v>
      </c>
      <c r="H100" s="84">
        <f ca="1">(1-('Invoer gegevens (N)'!$F$20/12))*F100*MIN('Reeksen (N)'!B100,'Reeksen (N)'!D100)</f>
        <v>0</v>
      </c>
      <c r="I100" s="84">
        <f>IF('Reeksen (N)'!D100&lt;'Reeksen (N)'!B100,('Reeksen (N)'!B100-'Reeksen (N)'!D100)*F100,0)</f>
        <v>0</v>
      </c>
      <c r="J100" s="84">
        <f ca="1">('Invoer gegevens (N)'!$F$20/12)*F99*MIN('Reeksen (N)'!B99,'Reeksen (N)'!D99)</f>
        <v>0</v>
      </c>
      <c r="K100" s="97">
        <f t="shared" ca="1" si="11"/>
        <v>0</v>
      </c>
      <c r="L100" s="84">
        <f ca="1">IF('Invoer gegevens (N)'!$C$17=E100,0,IF(C100=1,Q99,0))</f>
        <v>0</v>
      </c>
      <c r="M100" s="96">
        <f ca="1">IF(C100&gt;=1,L100*VLOOKUP(E100,'Reeksen (N)'!$A$5:$B$76,2),0)</f>
        <v>0</v>
      </c>
      <c r="N100" s="84">
        <f ca="1">(1-('Invoer gegevens (N)'!$F$20/12))*L100*MIN('Reeksen (N)'!B100,'Reeksen (N)'!D100)</f>
        <v>0</v>
      </c>
      <c r="O100" s="84">
        <f>IF('Reeksen (N)'!D100&lt;'Reeksen (N)'!B100,('Reeksen (N)'!B100-'Reeksen (N)'!D100)*L100,0)</f>
        <v>0</v>
      </c>
      <c r="P100" s="84">
        <f ca="1">('Invoer gegevens (N)'!$F$20/12)*L99*MIN('Reeksen (N)'!B99,'Reeksen (N)'!D99)</f>
        <v>0</v>
      </c>
      <c r="Q100" s="84">
        <f t="shared" ca="1" si="12"/>
        <v>0</v>
      </c>
      <c r="R100" s="82">
        <f ca="1">IF('Invoer gegevens (N)'!$C$17=E100,'Invoer gegevens (N)'!$C$11,IF(C100=1,W99,0))</f>
        <v>0</v>
      </c>
      <c r="S100" s="86">
        <f ca="1">IF(C100&gt;=1,R100*VLOOKUP(E100,'Reeksen (N)'!$A$5:$B$76,2),0)</f>
        <v>0</v>
      </c>
      <c r="T100" s="84">
        <f ca="1">(1-('Invoer gegevens (N)'!$F$20/12))*R100*MIN('Reeksen (N)'!B100,'Reeksen (N)'!D100)</f>
        <v>0</v>
      </c>
      <c r="U100" s="84">
        <f>IF('Reeksen (N)'!D100&gt;='Reeksen (N)'!B100,0,IF('Reeksen (N)'!AD100&lt;='Reeksen (N)'!AE100,('Reeksen (N)'!B100-'Reeksen (N)'!D100)*R100,0))</f>
        <v>0</v>
      </c>
      <c r="V100" s="86">
        <f>IF('Reeksen (N)'!D100&gt;='Reeksen (N)'!B100,0,IF('Reeksen (N)'!AD100&gt;'Reeksen (N)'!AE100,('Reeksen (N)'!B100-'Reeksen (N)'!D100)*R100,0))</f>
        <v>0</v>
      </c>
      <c r="W100" s="97">
        <f t="shared" ca="1" si="13"/>
        <v>0</v>
      </c>
      <c r="X100" s="98">
        <f ca="1">IF('Invoer gegevens (N)'!$C$17=E100,'Invoer gegevens (N)'!$C$10-'Invoer gegevens (N)'!$C$11,IF(C100=1,AC99,0))</f>
        <v>0</v>
      </c>
      <c r="Y100" s="98">
        <f ca="1">IF(C100&gt;=1,X100*VLOOKUP(E100,'Reeksen (N)'!$A$5:$B$76,2),0)</f>
        <v>0</v>
      </c>
      <c r="Z100" s="98">
        <f ca="1">(1-('Invoer gegevens (N)'!$F$20/12))*X100*MIN('Reeksen (N)'!B100,'Reeksen (N)'!D100)</f>
        <v>0</v>
      </c>
      <c r="AA100" s="98">
        <f>IF('Reeksen (N)'!D100&gt;='Reeksen (N)'!B100,0,IF('Reeksen (N)'!AD100&lt;='Reeksen (N)'!AE100,('Reeksen (N)'!B100-'Reeksen (N)'!D100)*X100,0))</f>
        <v>0</v>
      </c>
      <c r="AB100" s="98">
        <f>IF('Reeksen (N)'!D100&gt;='Reeksen (N)'!B100,0,IF('Reeksen (N)'!AD100&gt;'Reeksen (N)'!AE100,('Reeksen (N)'!B100-'Reeksen (N)'!D100)*X100,0))</f>
        <v>0</v>
      </c>
      <c r="AC100" s="99">
        <f t="shared" ca="1" si="14"/>
        <v>0</v>
      </c>
      <c r="AD100" s="98">
        <f ca="1">IF('Invoer gegevens (N)'!$C$17=E100,R100,IF(C100=0,0,AE99))</f>
        <v>0</v>
      </c>
      <c r="AE100" s="98">
        <f t="shared" ca="1" si="15"/>
        <v>0</v>
      </c>
      <c r="AF100" s="98">
        <f ca="1">IF('Invoer gegevens (N)'!$C$17=E100,X100,IF(C100=0,0,AG99))</f>
        <v>0</v>
      </c>
      <c r="AG100" s="98">
        <f t="shared" ca="1" si="16"/>
        <v>0</v>
      </c>
      <c r="AH100" s="66"/>
      <c r="AI100" s="71">
        <f ca="1">IF(C100=1,'Reeksen (N)'!AI100*((F100-G100+F100)/2)*12+'Reeksen (N)'!AD100*((L100-M100+L100)/2)*12,0)</f>
        <v>0</v>
      </c>
      <c r="AJ100" s="71">
        <f ca="1">-AI100*'Invoer gegevens (N)'!$F$28</f>
        <v>0</v>
      </c>
      <c r="AK100" s="71">
        <f t="shared" ca="1" si="17"/>
        <v>0</v>
      </c>
      <c r="AL100" s="71">
        <f ca="1">IF(C100=1,'Reeksen (N)'!AL100*((F100-G100+F100)/2)*12+'Reeksen (N)'!AM100*((L100-M100+L100)/2)*12,0)</f>
        <v>0</v>
      </c>
      <c r="AM100" s="71">
        <f ca="1">-AL100*'Invoer gegevens (N)'!$F$31</f>
        <v>0</v>
      </c>
      <c r="AN100" s="71">
        <f t="shared" ca="1" si="18"/>
        <v>0</v>
      </c>
      <c r="AO100" s="71">
        <f ca="1">IF(C100=1,(H100+J100+N100+P100)*'Reeksen (N)'!AN100,0)</f>
        <v>0</v>
      </c>
      <c r="AP100" s="71">
        <f ca="1">-IF(C100=1,(H100+J100+N100+P100)*'Hulp - basis'!$O$550*'Reeksen (N)'!H100,0)</f>
        <v>0</v>
      </c>
      <c r="AQ100" s="71">
        <f ca="1">-IF(C100=1,(F100+K100+L100+Q100)/2*'Invoer gegevens (N)'!$F$35*'Reeksen (N)'!J100,0)*2</f>
        <v>0</v>
      </c>
      <c r="AR100" s="71"/>
      <c r="AS100" s="71">
        <f ca="1">-IF(C100=1,(F100+K100+L100+Q100)/2*'Invoer gegevens (N)'!$F$37*'Reeksen (N)'!L100,0)</f>
        <v>0</v>
      </c>
      <c r="AT100" s="71">
        <f ca="1">-IF(C100=1,IF(E100='Invoer gegevens (N)'!$C$17,'Invoer gegevens (N)'!$C$11,AD100)*'Reeksen (N)'!S100*'Invoer gegevens (N)'!$C$18*'Reeksen (N)'!P100,0)</f>
        <v>0</v>
      </c>
      <c r="AU100" s="71">
        <f ca="1">-IF(C100=1,(F100+K100+L100+Q100)/2*'Invoer gegevens (N)'!$F$38*'Reeksen (N)'!H100,0)</f>
        <v>0</v>
      </c>
      <c r="AV100" s="71">
        <v>0</v>
      </c>
      <c r="AW100" s="71">
        <f t="shared" ca="1" si="19"/>
        <v>0</v>
      </c>
      <c r="AX100" s="71">
        <f ca="1">IF(E100&lt;'Invoer gegevens (N)'!$C$17+15,0,IF(E100&gt;'Invoer gegevens (N)'!$C$17+215,0,AW100))</f>
        <v>0</v>
      </c>
      <c r="AY100" s="71">
        <f ca="1">AX100/(1+'Invoer gegevens (N)'!$F$18)^($AZ100-('Invoer gegevens (N)'!$C$17-'Invoer gegevens (N)'!$C$16))/(1+'Invoer gegevens (N)'!$C$39)^('Invoer gegevens (N)'!$C$17-'Invoer gegevens (N)'!$C$16)</f>
        <v>0</v>
      </c>
      <c r="AZ100" s="68">
        <f ca="1">IF(E100-'Invoer gegevens (N)'!$C$17-14.5&lt;0,0,E100-'Invoer gegevens (N)'!$C$17-14.5)</f>
        <v>80.5</v>
      </c>
    </row>
    <row r="101" spans="1:52" x14ac:dyDescent="0.25">
      <c r="A101" s="59"/>
      <c r="B101" s="70">
        <f t="shared" si="20"/>
        <v>97</v>
      </c>
      <c r="C101" s="67">
        <f ca="1">IF(E101-'Invoer gegevens (N)'!$C$17&lt;0,0,1)</f>
        <v>1</v>
      </c>
      <c r="D101" s="68">
        <f t="shared" si="21"/>
        <v>96.5</v>
      </c>
      <c r="E101" s="69">
        <f ca="1">IF('Invoer gegevens (N)'!$C$16="","",E100+1)</f>
        <v>2115</v>
      </c>
      <c r="F101" s="84">
        <f ca="1">IF('Invoer gegevens (N)'!$C$17=E101,'Invoer gegevens (N)'!$C$10,IF(C101=1,K100,0))</f>
        <v>0</v>
      </c>
      <c r="G101" s="96">
        <f ca="1">IF(C101&gt;=1,F101*VLOOKUP(E101,'Reeksen (N)'!$A$5:$B$76,2),0)</f>
        <v>0</v>
      </c>
      <c r="H101" s="84">
        <f ca="1">(1-('Invoer gegevens (N)'!$F$20/12))*F101*MIN('Reeksen (N)'!B101,'Reeksen (N)'!D101)</f>
        <v>0</v>
      </c>
      <c r="I101" s="84">
        <f>IF('Reeksen (N)'!D101&lt;'Reeksen (N)'!B101,('Reeksen (N)'!B101-'Reeksen (N)'!D101)*F101,0)</f>
        <v>0</v>
      </c>
      <c r="J101" s="84">
        <f ca="1">('Invoer gegevens (N)'!$F$20/12)*F100*MIN('Reeksen (N)'!B100,'Reeksen (N)'!D100)</f>
        <v>0</v>
      </c>
      <c r="K101" s="97">
        <f t="shared" ca="1" si="11"/>
        <v>0</v>
      </c>
      <c r="L101" s="84">
        <f ca="1">IF('Invoer gegevens (N)'!$C$17=E101,0,IF(C101=1,Q100,0))</f>
        <v>0</v>
      </c>
      <c r="M101" s="96">
        <f ca="1">IF(C101&gt;=1,L101*VLOOKUP(E101,'Reeksen (N)'!$A$5:$B$76,2),0)</f>
        <v>0</v>
      </c>
      <c r="N101" s="84">
        <f ca="1">(1-('Invoer gegevens (N)'!$F$20/12))*L101*MIN('Reeksen (N)'!B101,'Reeksen (N)'!D101)</f>
        <v>0</v>
      </c>
      <c r="O101" s="84">
        <f>IF('Reeksen (N)'!D101&lt;'Reeksen (N)'!B101,('Reeksen (N)'!B101-'Reeksen (N)'!D101)*L101,0)</f>
        <v>0</v>
      </c>
      <c r="P101" s="84">
        <f ca="1">('Invoer gegevens (N)'!$F$20/12)*L100*MIN('Reeksen (N)'!B100,'Reeksen (N)'!D100)</f>
        <v>0</v>
      </c>
      <c r="Q101" s="84">
        <f t="shared" ca="1" si="12"/>
        <v>0</v>
      </c>
      <c r="R101" s="82">
        <f ca="1">IF('Invoer gegevens (N)'!$C$17=E101,'Invoer gegevens (N)'!$C$11,IF(C101=1,W100,0))</f>
        <v>0</v>
      </c>
      <c r="S101" s="86">
        <f ca="1">IF(C101&gt;=1,R101*VLOOKUP(E101,'Reeksen (N)'!$A$5:$B$76,2),0)</f>
        <v>0</v>
      </c>
      <c r="T101" s="84">
        <f ca="1">(1-('Invoer gegevens (N)'!$F$20/12))*R101*MIN('Reeksen (N)'!B101,'Reeksen (N)'!D101)</f>
        <v>0</v>
      </c>
      <c r="U101" s="84">
        <f>IF('Reeksen (N)'!D101&gt;='Reeksen (N)'!B101,0,IF('Reeksen (N)'!AD101&lt;='Reeksen (N)'!AE101,('Reeksen (N)'!B101-'Reeksen (N)'!D101)*R101,0))</f>
        <v>0</v>
      </c>
      <c r="V101" s="86">
        <f>IF('Reeksen (N)'!D101&gt;='Reeksen (N)'!B101,0,IF('Reeksen (N)'!AD101&gt;'Reeksen (N)'!AE101,('Reeksen (N)'!B101-'Reeksen (N)'!D101)*R101,0))</f>
        <v>0</v>
      </c>
      <c r="W101" s="97">
        <f t="shared" ca="1" si="13"/>
        <v>0</v>
      </c>
      <c r="X101" s="98">
        <f ca="1">IF('Invoer gegevens (N)'!$C$17=E101,'Invoer gegevens (N)'!$C$10-'Invoer gegevens (N)'!$C$11,IF(C101=1,AC100,0))</f>
        <v>0</v>
      </c>
      <c r="Y101" s="98">
        <f ca="1">IF(C101&gt;=1,X101*VLOOKUP(E101,'Reeksen (N)'!$A$5:$B$76,2),0)</f>
        <v>0</v>
      </c>
      <c r="Z101" s="98">
        <f ca="1">(1-('Invoer gegevens (N)'!$F$20/12))*X101*MIN('Reeksen (N)'!B101,'Reeksen (N)'!D101)</f>
        <v>0</v>
      </c>
      <c r="AA101" s="98">
        <f>IF('Reeksen (N)'!D101&gt;='Reeksen (N)'!B101,0,IF('Reeksen (N)'!AD101&lt;='Reeksen (N)'!AE101,('Reeksen (N)'!B101-'Reeksen (N)'!D101)*X101,0))</f>
        <v>0</v>
      </c>
      <c r="AB101" s="98">
        <f>IF('Reeksen (N)'!D101&gt;='Reeksen (N)'!B101,0,IF('Reeksen (N)'!AD101&gt;'Reeksen (N)'!AE101,('Reeksen (N)'!B101-'Reeksen (N)'!D101)*X101,0))</f>
        <v>0</v>
      </c>
      <c r="AC101" s="99">
        <f t="shared" ca="1" si="14"/>
        <v>0</v>
      </c>
      <c r="AD101" s="98">
        <f ca="1">IF('Invoer gegevens (N)'!$C$17=E101,R101,IF(C101=0,0,AE100))</f>
        <v>0</v>
      </c>
      <c r="AE101" s="98">
        <f t="shared" ca="1" si="15"/>
        <v>0</v>
      </c>
      <c r="AF101" s="98">
        <f ca="1">IF('Invoer gegevens (N)'!$C$17=E101,X101,IF(C101=0,0,AG100))</f>
        <v>0</v>
      </c>
      <c r="AG101" s="98">
        <f t="shared" ca="1" si="16"/>
        <v>0</v>
      </c>
      <c r="AH101" s="66"/>
      <c r="AI101" s="71">
        <f ca="1">IF(C101=1,'Reeksen (N)'!AI101*((F101-G101+F101)/2)*12+'Reeksen (N)'!AD101*((L101-M101+L101)/2)*12,0)</f>
        <v>0</v>
      </c>
      <c r="AJ101" s="71">
        <f ca="1">-AI101*'Invoer gegevens (N)'!$F$28</f>
        <v>0</v>
      </c>
      <c r="AK101" s="71">
        <f t="shared" ca="1" si="17"/>
        <v>0</v>
      </c>
      <c r="AL101" s="71">
        <f ca="1">IF(C101=1,'Reeksen (N)'!AL101*((F101-G101+F101)/2)*12+'Reeksen (N)'!AM101*((L101-M101+L101)/2)*12,0)</f>
        <v>0</v>
      </c>
      <c r="AM101" s="71">
        <f ca="1">-AL101*'Invoer gegevens (N)'!$F$31</f>
        <v>0</v>
      </c>
      <c r="AN101" s="71">
        <f t="shared" ca="1" si="18"/>
        <v>0</v>
      </c>
      <c r="AO101" s="71">
        <f ca="1">IF(C101=1,(H101+J101+N101+P101)*'Reeksen (N)'!AN101,0)</f>
        <v>0</v>
      </c>
      <c r="AP101" s="71">
        <f ca="1">-IF(C101=1,(H101+J101+N101+P101)*'Hulp - basis'!$O$550*'Reeksen (N)'!H101,0)</f>
        <v>0</v>
      </c>
      <c r="AQ101" s="71">
        <f ca="1">-IF(C101=1,(F101+K101+L101+Q101)/2*'Invoer gegevens (N)'!$F$35*'Reeksen (N)'!J101,0)*2</f>
        <v>0</v>
      </c>
      <c r="AR101" s="71"/>
      <c r="AS101" s="71">
        <f ca="1">-IF(C101=1,(F101+K101+L101+Q101)/2*'Invoer gegevens (N)'!$F$37*'Reeksen (N)'!L101,0)</f>
        <v>0</v>
      </c>
      <c r="AT101" s="71">
        <f ca="1">-IF(C101=1,IF(E101='Invoer gegevens (N)'!$C$17,'Invoer gegevens (N)'!$C$11,AD101)*'Reeksen (N)'!S101*'Invoer gegevens (N)'!$C$18*'Reeksen (N)'!P101,0)</f>
        <v>0</v>
      </c>
      <c r="AU101" s="71">
        <f ca="1">-IF(C101=1,(F101+K101+L101+Q101)/2*'Invoer gegevens (N)'!$F$38*'Reeksen (N)'!H101,0)</f>
        <v>0</v>
      </c>
      <c r="AV101" s="71">
        <v>0</v>
      </c>
      <c r="AW101" s="71">
        <f t="shared" ca="1" si="19"/>
        <v>0</v>
      </c>
      <c r="AX101" s="71">
        <f ca="1">IF(E101&lt;'Invoer gegevens (N)'!$C$17+15,0,IF(E101&gt;'Invoer gegevens (N)'!$C$17+215,0,AW101))</f>
        <v>0</v>
      </c>
      <c r="AY101" s="71">
        <f ca="1">AX101/(1+'Invoer gegevens (N)'!$F$18)^($AZ101-('Invoer gegevens (N)'!$C$17-'Invoer gegevens (N)'!$C$16))/(1+'Invoer gegevens (N)'!$C$39)^('Invoer gegevens (N)'!$C$17-'Invoer gegevens (N)'!$C$16)</f>
        <v>0</v>
      </c>
      <c r="AZ101" s="68">
        <f ca="1">IF(E101-'Invoer gegevens (N)'!$C$17-14.5&lt;0,0,E101-'Invoer gegevens (N)'!$C$17-14.5)</f>
        <v>81.5</v>
      </c>
    </row>
    <row r="102" spans="1:52" x14ac:dyDescent="0.25">
      <c r="A102" s="59"/>
      <c r="B102" s="70">
        <f t="shared" si="20"/>
        <v>98</v>
      </c>
      <c r="C102" s="67">
        <f ca="1">IF(E102-'Invoer gegevens (N)'!$C$17&lt;0,0,1)</f>
        <v>1</v>
      </c>
      <c r="D102" s="68">
        <f t="shared" si="21"/>
        <v>97.5</v>
      </c>
      <c r="E102" s="69">
        <f ca="1">IF('Invoer gegevens (N)'!$C$16="","",E101+1)</f>
        <v>2116</v>
      </c>
      <c r="F102" s="84">
        <f ca="1">IF('Invoer gegevens (N)'!$C$17=E102,'Invoer gegevens (N)'!$C$10,IF(C102=1,K101,0))</f>
        <v>0</v>
      </c>
      <c r="G102" s="96">
        <f ca="1">IF(C102&gt;=1,F102*VLOOKUP(E102,'Reeksen (N)'!$A$5:$B$76,2),0)</f>
        <v>0</v>
      </c>
      <c r="H102" s="84">
        <f ca="1">(1-('Invoer gegevens (N)'!$F$20/12))*F102*MIN('Reeksen (N)'!B102,'Reeksen (N)'!D102)</f>
        <v>0</v>
      </c>
      <c r="I102" s="84">
        <f>IF('Reeksen (N)'!D102&lt;'Reeksen (N)'!B102,('Reeksen (N)'!B102-'Reeksen (N)'!D102)*F102,0)</f>
        <v>0</v>
      </c>
      <c r="J102" s="84">
        <f ca="1">('Invoer gegevens (N)'!$F$20/12)*F101*MIN('Reeksen (N)'!B101,'Reeksen (N)'!D101)</f>
        <v>0</v>
      </c>
      <c r="K102" s="97">
        <f t="shared" ca="1" si="11"/>
        <v>0</v>
      </c>
      <c r="L102" s="84">
        <f ca="1">IF('Invoer gegevens (N)'!$C$17=E102,0,IF(C102=1,Q101,0))</f>
        <v>0</v>
      </c>
      <c r="M102" s="96">
        <f ca="1">IF(C102&gt;=1,L102*VLOOKUP(E102,'Reeksen (N)'!$A$5:$B$76,2),0)</f>
        <v>0</v>
      </c>
      <c r="N102" s="84">
        <f ca="1">(1-('Invoer gegevens (N)'!$F$20/12))*L102*MIN('Reeksen (N)'!B102,'Reeksen (N)'!D102)</f>
        <v>0</v>
      </c>
      <c r="O102" s="84">
        <f>IF('Reeksen (N)'!D102&lt;'Reeksen (N)'!B102,('Reeksen (N)'!B102-'Reeksen (N)'!D102)*L102,0)</f>
        <v>0</v>
      </c>
      <c r="P102" s="84">
        <f ca="1">('Invoer gegevens (N)'!$F$20/12)*L101*MIN('Reeksen (N)'!B101,'Reeksen (N)'!D101)</f>
        <v>0</v>
      </c>
      <c r="Q102" s="84">
        <f t="shared" ca="1" si="12"/>
        <v>0</v>
      </c>
      <c r="R102" s="82">
        <f ca="1">IF('Invoer gegevens (N)'!$C$17=E102,'Invoer gegevens (N)'!$C$11,IF(C102=1,W101,0))</f>
        <v>0</v>
      </c>
      <c r="S102" s="86">
        <f ca="1">IF(C102&gt;=1,R102*VLOOKUP(E102,'Reeksen (N)'!$A$5:$B$76,2),0)</f>
        <v>0</v>
      </c>
      <c r="T102" s="84">
        <f ca="1">(1-('Invoer gegevens (N)'!$F$20/12))*R102*MIN('Reeksen (N)'!B102,'Reeksen (N)'!D102)</f>
        <v>0</v>
      </c>
      <c r="U102" s="84">
        <f>IF('Reeksen (N)'!D102&gt;='Reeksen (N)'!B102,0,IF('Reeksen (N)'!AD102&lt;='Reeksen (N)'!AE102,('Reeksen (N)'!B102-'Reeksen (N)'!D102)*R102,0))</f>
        <v>0</v>
      </c>
      <c r="V102" s="86">
        <f>IF('Reeksen (N)'!D102&gt;='Reeksen (N)'!B102,0,IF('Reeksen (N)'!AD102&gt;'Reeksen (N)'!AE102,('Reeksen (N)'!B102-'Reeksen (N)'!D102)*R102,0))</f>
        <v>0</v>
      </c>
      <c r="W102" s="97">
        <f t="shared" ca="1" si="13"/>
        <v>0</v>
      </c>
      <c r="X102" s="98">
        <f ca="1">IF('Invoer gegevens (N)'!$C$17=E102,'Invoer gegevens (N)'!$C$10-'Invoer gegevens (N)'!$C$11,IF(C102=1,AC101,0))</f>
        <v>0</v>
      </c>
      <c r="Y102" s="98">
        <f ca="1">IF(C102&gt;=1,X102*VLOOKUP(E102,'Reeksen (N)'!$A$5:$B$76,2),0)</f>
        <v>0</v>
      </c>
      <c r="Z102" s="98">
        <f ca="1">(1-('Invoer gegevens (N)'!$F$20/12))*X102*MIN('Reeksen (N)'!B102,'Reeksen (N)'!D102)</f>
        <v>0</v>
      </c>
      <c r="AA102" s="98">
        <f>IF('Reeksen (N)'!D102&gt;='Reeksen (N)'!B102,0,IF('Reeksen (N)'!AD102&lt;='Reeksen (N)'!AE102,('Reeksen (N)'!B102-'Reeksen (N)'!D102)*X102,0))</f>
        <v>0</v>
      </c>
      <c r="AB102" s="98">
        <f>IF('Reeksen (N)'!D102&gt;='Reeksen (N)'!B102,0,IF('Reeksen (N)'!AD102&gt;'Reeksen (N)'!AE102,('Reeksen (N)'!B102-'Reeksen (N)'!D102)*X102,0))</f>
        <v>0</v>
      </c>
      <c r="AC102" s="99">
        <f t="shared" ca="1" si="14"/>
        <v>0</v>
      </c>
      <c r="AD102" s="98">
        <f ca="1">IF('Invoer gegevens (N)'!$C$17=E102,R102,IF(C102=0,0,AE101))</f>
        <v>0</v>
      </c>
      <c r="AE102" s="98">
        <f t="shared" ca="1" si="15"/>
        <v>0</v>
      </c>
      <c r="AF102" s="98">
        <f ca="1">IF('Invoer gegevens (N)'!$C$17=E102,X102,IF(C102=0,0,AG101))</f>
        <v>0</v>
      </c>
      <c r="AG102" s="98">
        <f t="shared" ca="1" si="16"/>
        <v>0</v>
      </c>
      <c r="AH102" s="66"/>
      <c r="AI102" s="71">
        <f ca="1">IF(C102=1,'Reeksen (N)'!AI102*((F102-G102+F102)/2)*12+'Reeksen (N)'!AD102*((L102-M102+L102)/2)*12,0)</f>
        <v>0</v>
      </c>
      <c r="AJ102" s="71">
        <f ca="1">-AI102*'Invoer gegevens (N)'!$F$28</f>
        <v>0</v>
      </c>
      <c r="AK102" s="71">
        <f t="shared" ca="1" si="17"/>
        <v>0</v>
      </c>
      <c r="AL102" s="71">
        <f ca="1">IF(C102=1,'Reeksen (N)'!AL102*((F102-G102+F102)/2)*12+'Reeksen (N)'!AM102*((L102-M102+L102)/2)*12,0)</f>
        <v>0</v>
      </c>
      <c r="AM102" s="71">
        <f ca="1">-AL102*'Invoer gegevens (N)'!$F$31</f>
        <v>0</v>
      </c>
      <c r="AN102" s="71">
        <f t="shared" ca="1" si="18"/>
        <v>0</v>
      </c>
      <c r="AO102" s="71">
        <f ca="1">IF(C102=1,(H102+J102+N102+P102)*'Reeksen (N)'!AN102,0)</f>
        <v>0</v>
      </c>
      <c r="AP102" s="71">
        <f ca="1">-IF(C102=1,(H102+J102+N102+P102)*'Hulp - basis'!$O$550*'Reeksen (N)'!H102,0)</f>
        <v>0</v>
      </c>
      <c r="AQ102" s="71">
        <f ca="1">-IF(C102=1,(F102+K102+L102+Q102)/2*'Invoer gegevens (N)'!$F$35*'Reeksen (N)'!J102,0)*2</f>
        <v>0</v>
      </c>
      <c r="AR102" s="71"/>
      <c r="AS102" s="71">
        <f ca="1">-IF(C102=1,(F102+K102+L102+Q102)/2*'Invoer gegevens (N)'!$F$37*'Reeksen (N)'!L102,0)</f>
        <v>0</v>
      </c>
      <c r="AT102" s="71">
        <f ca="1">-IF(C102=1,IF(E102='Invoer gegevens (N)'!$C$17,'Invoer gegevens (N)'!$C$11,AD102)*'Reeksen (N)'!S102*'Invoer gegevens (N)'!$C$18*'Reeksen (N)'!P102,0)</f>
        <v>0</v>
      </c>
      <c r="AU102" s="71">
        <f ca="1">-IF(C102=1,(F102+K102+L102+Q102)/2*'Invoer gegevens (N)'!$F$38*'Reeksen (N)'!H102,0)</f>
        <v>0</v>
      </c>
      <c r="AV102" s="71">
        <v>0</v>
      </c>
      <c r="AW102" s="71">
        <f t="shared" ca="1" si="19"/>
        <v>0</v>
      </c>
      <c r="AX102" s="71">
        <f ca="1">IF(E102&lt;'Invoer gegevens (N)'!$C$17+15,0,IF(E102&gt;'Invoer gegevens (N)'!$C$17+215,0,AW102))</f>
        <v>0</v>
      </c>
      <c r="AY102" s="71">
        <f ca="1">AX102/(1+'Invoer gegevens (N)'!$F$18)^($AZ102-('Invoer gegevens (N)'!$C$17-'Invoer gegevens (N)'!$C$16))/(1+'Invoer gegevens (N)'!$C$39)^('Invoer gegevens (N)'!$C$17-'Invoer gegevens (N)'!$C$16)</f>
        <v>0</v>
      </c>
      <c r="AZ102" s="68">
        <f ca="1">IF(E102-'Invoer gegevens (N)'!$C$17-14.5&lt;0,0,E102-'Invoer gegevens (N)'!$C$17-14.5)</f>
        <v>82.5</v>
      </c>
    </row>
    <row r="103" spans="1:52" x14ac:dyDescent="0.25">
      <c r="A103" s="59"/>
      <c r="B103" s="70">
        <f t="shared" si="20"/>
        <v>99</v>
      </c>
      <c r="C103" s="67">
        <f ca="1">IF(E103-'Invoer gegevens (N)'!$C$17&lt;0,0,1)</f>
        <v>1</v>
      </c>
      <c r="D103" s="68">
        <f t="shared" si="21"/>
        <v>98.5</v>
      </c>
      <c r="E103" s="69">
        <f ca="1">IF('Invoer gegevens (N)'!$C$16="","",E102+1)</f>
        <v>2117</v>
      </c>
      <c r="F103" s="84">
        <f ca="1">IF('Invoer gegevens (N)'!$C$17=E103,'Invoer gegevens (N)'!$C$10,IF(C103=1,K102,0))</f>
        <v>0</v>
      </c>
      <c r="G103" s="96">
        <f ca="1">IF(C103&gt;=1,F103*VLOOKUP(E103,'Reeksen (N)'!$A$5:$B$76,2),0)</f>
        <v>0</v>
      </c>
      <c r="H103" s="84">
        <f ca="1">(1-('Invoer gegevens (N)'!$F$20/12))*F103*MIN('Reeksen (N)'!B103,'Reeksen (N)'!D103)</f>
        <v>0</v>
      </c>
      <c r="I103" s="84">
        <f>IF('Reeksen (N)'!D103&lt;'Reeksen (N)'!B103,('Reeksen (N)'!B103-'Reeksen (N)'!D103)*F103,0)</f>
        <v>0</v>
      </c>
      <c r="J103" s="84">
        <f ca="1">('Invoer gegevens (N)'!$F$20/12)*F102*MIN('Reeksen (N)'!B102,'Reeksen (N)'!D102)</f>
        <v>0</v>
      </c>
      <c r="K103" s="97">
        <f t="shared" ca="1" si="11"/>
        <v>0</v>
      </c>
      <c r="L103" s="84">
        <f ca="1">IF('Invoer gegevens (N)'!$C$17=E103,0,IF(C103=1,Q102,0))</f>
        <v>0</v>
      </c>
      <c r="M103" s="96">
        <f ca="1">IF(C103&gt;=1,L103*VLOOKUP(E103,'Reeksen (N)'!$A$5:$B$76,2),0)</f>
        <v>0</v>
      </c>
      <c r="N103" s="84">
        <f ca="1">(1-('Invoer gegevens (N)'!$F$20/12))*L103*MIN('Reeksen (N)'!B103,'Reeksen (N)'!D103)</f>
        <v>0</v>
      </c>
      <c r="O103" s="84">
        <f>IF('Reeksen (N)'!D103&lt;'Reeksen (N)'!B103,('Reeksen (N)'!B103-'Reeksen (N)'!D103)*L103,0)</f>
        <v>0</v>
      </c>
      <c r="P103" s="84">
        <f ca="1">('Invoer gegevens (N)'!$F$20/12)*L102*MIN('Reeksen (N)'!B102,'Reeksen (N)'!D102)</f>
        <v>0</v>
      </c>
      <c r="Q103" s="84">
        <f t="shared" ca="1" si="12"/>
        <v>0</v>
      </c>
      <c r="R103" s="82">
        <f ca="1">IF('Invoer gegevens (N)'!$C$17=E103,'Invoer gegevens (N)'!$C$11,IF(C103=1,W102,0))</f>
        <v>0</v>
      </c>
      <c r="S103" s="86">
        <f ca="1">IF(C103&gt;=1,R103*VLOOKUP(E103,'Reeksen (N)'!$A$5:$B$76,2),0)</f>
        <v>0</v>
      </c>
      <c r="T103" s="84">
        <f ca="1">(1-('Invoer gegevens (N)'!$F$20/12))*R103*MIN('Reeksen (N)'!B103,'Reeksen (N)'!D103)</f>
        <v>0</v>
      </c>
      <c r="U103" s="84">
        <f>IF('Reeksen (N)'!D103&gt;='Reeksen (N)'!B103,0,IF('Reeksen (N)'!AD103&lt;='Reeksen (N)'!AE103,('Reeksen (N)'!B103-'Reeksen (N)'!D103)*R103,0))</f>
        <v>0</v>
      </c>
      <c r="V103" s="86">
        <f>IF('Reeksen (N)'!D103&gt;='Reeksen (N)'!B103,0,IF('Reeksen (N)'!AD103&gt;'Reeksen (N)'!AE103,('Reeksen (N)'!B103-'Reeksen (N)'!D103)*R103,0))</f>
        <v>0</v>
      </c>
      <c r="W103" s="97">
        <f t="shared" ca="1" si="13"/>
        <v>0</v>
      </c>
      <c r="X103" s="98">
        <f ca="1">IF('Invoer gegevens (N)'!$C$17=E103,'Invoer gegevens (N)'!$C$10-'Invoer gegevens (N)'!$C$11,IF(C103=1,AC102,0))</f>
        <v>0</v>
      </c>
      <c r="Y103" s="98">
        <f ca="1">IF(C103&gt;=1,X103*VLOOKUP(E103,'Reeksen (N)'!$A$5:$B$76,2),0)</f>
        <v>0</v>
      </c>
      <c r="Z103" s="98">
        <f ca="1">(1-('Invoer gegevens (N)'!$F$20/12))*X103*MIN('Reeksen (N)'!B103,'Reeksen (N)'!D103)</f>
        <v>0</v>
      </c>
      <c r="AA103" s="98">
        <f>IF('Reeksen (N)'!D103&gt;='Reeksen (N)'!B103,0,IF('Reeksen (N)'!AD103&lt;='Reeksen (N)'!AE103,('Reeksen (N)'!B103-'Reeksen (N)'!D103)*X103,0))</f>
        <v>0</v>
      </c>
      <c r="AB103" s="98">
        <f>IF('Reeksen (N)'!D103&gt;='Reeksen (N)'!B103,0,IF('Reeksen (N)'!AD103&gt;'Reeksen (N)'!AE103,('Reeksen (N)'!B103-'Reeksen (N)'!D103)*X103,0))</f>
        <v>0</v>
      </c>
      <c r="AC103" s="99">
        <f t="shared" ca="1" si="14"/>
        <v>0</v>
      </c>
      <c r="AD103" s="98">
        <f ca="1">IF('Invoer gegevens (N)'!$C$17=E103,R103,IF(C103=0,0,AE102))</f>
        <v>0</v>
      </c>
      <c r="AE103" s="98">
        <f t="shared" ca="1" si="15"/>
        <v>0</v>
      </c>
      <c r="AF103" s="98">
        <f ca="1">IF('Invoer gegevens (N)'!$C$17=E103,X103,IF(C103=0,0,AG102))</f>
        <v>0</v>
      </c>
      <c r="AG103" s="98">
        <f t="shared" ca="1" si="16"/>
        <v>0</v>
      </c>
      <c r="AH103" s="66"/>
      <c r="AI103" s="71">
        <f ca="1">IF(C103=1,'Reeksen (N)'!AI103*((F103-G103+F103)/2)*12+'Reeksen (N)'!AD103*((L103-M103+L103)/2)*12,0)</f>
        <v>0</v>
      </c>
      <c r="AJ103" s="71">
        <f ca="1">-AI103*'Invoer gegevens (N)'!$F$28</f>
        <v>0</v>
      </c>
      <c r="AK103" s="71">
        <f t="shared" ca="1" si="17"/>
        <v>0</v>
      </c>
      <c r="AL103" s="71">
        <f ca="1">IF(C103=1,'Reeksen (N)'!AL103*((F103-G103+F103)/2)*12+'Reeksen (N)'!AM103*((L103-M103+L103)/2)*12,0)</f>
        <v>0</v>
      </c>
      <c r="AM103" s="71">
        <f ca="1">-AL103*'Invoer gegevens (N)'!$F$31</f>
        <v>0</v>
      </c>
      <c r="AN103" s="71">
        <f t="shared" ca="1" si="18"/>
        <v>0</v>
      </c>
      <c r="AO103" s="71">
        <f ca="1">IF(C103=1,(H103+J103+N103+P103)*'Reeksen (N)'!AN103,0)</f>
        <v>0</v>
      </c>
      <c r="AP103" s="71">
        <f ca="1">-IF(C103=1,(H103+J103+N103+P103)*'Hulp - basis'!$O$550*'Reeksen (N)'!H103,0)</f>
        <v>0</v>
      </c>
      <c r="AQ103" s="71">
        <f ca="1">-IF(C103=1,(F103+K103+L103+Q103)/2*'Invoer gegevens (N)'!$F$35*'Reeksen (N)'!J103,0)*2</f>
        <v>0</v>
      </c>
      <c r="AR103" s="71"/>
      <c r="AS103" s="71">
        <f ca="1">-IF(C103=1,(F103+K103+L103+Q103)/2*'Invoer gegevens (N)'!$F$37*'Reeksen (N)'!L103,0)</f>
        <v>0</v>
      </c>
      <c r="AT103" s="71">
        <f ca="1">-IF(C103=1,IF(E103='Invoer gegevens (N)'!$C$17,'Invoer gegevens (N)'!$C$11,AD103)*'Reeksen (N)'!S103*'Invoer gegevens (N)'!$C$18*'Reeksen (N)'!P103,0)</f>
        <v>0</v>
      </c>
      <c r="AU103" s="71">
        <f ca="1">-IF(C103=1,(F103+K103+L103+Q103)/2*'Invoer gegevens (N)'!$F$38*'Reeksen (N)'!H103,0)</f>
        <v>0</v>
      </c>
      <c r="AV103" s="71">
        <v>0</v>
      </c>
      <c r="AW103" s="71">
        <f t="shared" ca="1" si="19"/>
        <v>0</v>
      </c>
      <c r="AX103" s="71">
        <f ca="1">IF(E103&lt;'Invoer gegevens (N)'!$C$17+15,0,IF(E103&gt;'Invoer gegevens (N)'!$C$17+215,0,AW103))</f>
        <v>0</v>
      </c>
      <c r="AY103" s="71">
        <f ca="1">AX103/(1+'Invoer gegevens (N)'!$F$18)^($AZ103-('Invoer gegevens (N)'!$C$17-'Invoer gegevens (N)'!$C$16))/(1+'Invoer gegevens (N)'!$C$39)^('Invoer gegevens (N)'!$C$17-'Invoer gegevens (N)'!$C$16)</f>
        <v>0</v>
      </c>
      <c r="AZ103" s="68">
        <f ca="1">IF(E103-'Invoer gegevens (N)'!$C$17-14.5&lt;0,0,E103-'Invoer gegevens (N)'!$C$17-14.5)</f>
        <v>83.5</v>
      </c>
    </row>
    <row r="104" spans="1:52" x14ac:dyDescent="0.25">
      <c r="A104" s="59"/>
      <c r="B104" s="70">
        <f t="shared" si="20"/>
        <v>100</v>
      </c>
      <c r="C104" s="67">
        <f ca="1">IF(E104-'Invoer gegevens (N)'!$C$17&lt;0,0,1)</f>
        <v>1</v>
      </c>
      <c r="D104" s="68">
        <f t="shared" si="21"/>
        <v>99.5</v>
      </c>
      <c r="E104" s="69">
        <f ca="1">IF('Invoer gegevens (N)'!$C$16="","",E103+1)</f>
        <v>2118</v>
      </c>
      <c r="F104" s="84">
        <f ca="1">IF('Invoer gegevens (N)'!$C$17=E104,'Invoer gegevens (N)'!$C$10,IF(C104=1,K103,0))</f>
        <v>0</v>
      </c>
      <c r="G104" s="96">
        <f ca="1">IF(C104&gt;=1,F104*VLOOKUP(E104,'Reeksen (N)'!$A$5:$B$76,2),0)</f>
        <v>0</v>
      </c>
      <c r="H104" s="84">
        <f ca="1">(1-('Invoer gegevens (N)'!$F$20/12))*F104*MIN('Reeksen (N)'!B104,'Reeksen (N)'!D104)</f>
        <v>0</v>
      </c>
      <c r="I104" s="84">
        <f>IF('Reeksen (N)'!D104&lt;'Reeksen (N)'!B104,('Reeksen (N)'!B104-'Reeksen (N)'!D104)*F104,0)</f>
        <v>0</v>
      </c>
      <c r="J104" s="84">
        <f ca="1">('Invoer gegevens (N)'!$F$20/12)*F103*MIN('Reeksen (N)'!B103,'Reeksen (N)'!D103)</f>
        <v>0</v>
      </c>
      <c r="K104" s="97">
        <f t="shared" ca="1" si="11"/>
        <v>0</v>
      </c>
      <c r="L104" s="84">
        <f ca="1">IF('Invoer gegevens (N)'!$C$17=E104,0,IF(C104=1,Q103,0))</f>
        <v>0</v>
      </c>
      <c r="M104" s="96">
        <f ca="1">IF(C104&gt;=1,L104*VLOOKUP(E104,'Reeksen (N)'!$A$5:$B$76,2),0)</f>
        <v>0</v>
      </c>
      <c r="N104" s="84">
        <f ca="1">(1-('Invoer gegevens (N)'!$F$20/12))*L104*MIN('Reeksen (N)'!B104,'Reeksen (N)'!D104)</f>
        <v>0</v>
      </c>
      <c r="O104" s="84">
        <f>IF('Reeksen (N)'!D104&lt;'Reeksen (N)'!B104,('Reeksen (N)'!B104-'Reeksen (N)'!D104)*L104,0)</f>
        <v>0</v>
      </c>
      <c r="P104" s="84">
        <f ca="1">('Invoer gegevens (N)'!$F$20/12)*L103*MIN('Reeksen (N)'!B103,'Reeksen (N)'!D103)</f>
        <v>0</v>
      </c>
      <c r="Q104" s="84">
        <f t="shared" ca="1" si="12"/>
        <v>0</v>
      </c>
      <c r="R104" s="82">
        <f ca="1">IF('Invoer gegevens (N)'!$C$17=E104,'Invoer gegevens (N)'!$C$11,IF(C104=1,W103,0))</f>
        <v>0</v>
      </c>
      <c r="S104" s="86">
        <f ca="1">IF(C104&gt;=1,R104*VLOOKUP(E104,'Reeksen (N)'!$A$5:$B$76,2),0)</f>
        <v>0</v>
      </c>
      <c r="T104" s="84">
        <f ca="1">(1-('Invoer gegevens (N)'!$F$20/12))*R104*MIN('Reeksen (N)'!B104,'Reeksen (N)'!D104)</f>
        <v>0</v>
      </c>
      <c r="U104" s="84">
        <f>IF('Reeksen (N)'!D104&gt;='Reeksen (N)'!B104,0,IF('Reeksen (N)'!AD104&lt;='Reeksen (N)'!AE104,('Reeksen (N)'!B104-'Reeksen (N)'!D104)*R104,0))</f>
        <v>0</v>
      </c>
      <c r="V104" s="86">
        <f>IF('Reeksen (N)'!D104&gt;='Reeksen (N)'!B104,0,IF('Reeksen (N)'!AD104&gt;'Reeksen (N)'!AE104,('Reeksen (N)'!B104-'Reeksen (N)'!D104)*R104,0))</f>
        <v>0</v>
      </c>
      <c r="W104" s="97">
        <f t="shared" ca="1" si="13"/>
        <v>0</v>
      </c>
      <c r="X104" s="98">
        <f ca="1">IF('Invoer gegevens (N)'!$C$17=E104,'Invoer gegevens (N)'!$C$10-'Invoer gegevens (N)'!$C$11,IF(C104=1,AC103,0))</f>
        <v>0</v>
      </c>
      <c r="Y104" s="98">
        <f ca="1">IF(C104&gt;=1,X104*VLOOKUP(E104,'Reeksen (N)'!$A$5:$B$76,2),0)</f>
        <v>0</v>
      </c>
      <c r="Z104" s="98">
        <f ca="1">(1-('Invoer gegevens (N)'!$F$20/12))*X104*MIN('Reeksen (N)'!B104,'Reeksen (N)'!D104)</f>
        <v>0</v>
      </c>
      <c r="AA104" s="98">
        <f>IF('Reeksen (N)'!D104&gt;='Reeksen (N)'!B104,0,IF('Reeksen (N)'!AD104&lt;='Reeksen (N)'!AE104,('Reeksen (N)'!B104-'Reeksen (N)'!D104)*X104,0))</f>
        <v>0</v>
      </c>
      <c r="AB104" s="98">
        <f>IF('Reeksen (N)'!D104&gt;='Reeksen (N)'!B104,0,IF('Reeksen (N)'!AD104&gt;'Reeksen (N)'!AE104,('Reeksen (N)'!B104-'Reeksen (N)'!D104)*X104,0))</f>
        <v>0</v>
      </c>
      <c r="AC104" s="99">
        <f t="shared" ca="1" si="14"/>
        <v>0</v>
      </c>
      <c r="AD104" s="98">
        <f ca="1">IF('Invoer gegevens (N)'!$C$17=E104,R104,IF(C104=0,0,AE103))</f>
        <v>0</v>
      </c>
      <c r="AE104" s="98">
        <f t="shared" ca="1" si="15"/>
        <v>0</v>
      </c>
      <c r="AF104" s="98">
        <f ca="1">IF('Invoer gegevens (N)'!$C$17=E104,X104,IF(C104=0,0,AG103))</f>
        <v>0</v>
      </c>
      <c r="AG104" s="98">
        <f t="shared" ca="1" si="16"/>
        <v>0</v>
      </c>
      <c r="AH104" s="66"/>
      <c r="AI104" s="71">
        <f ca="1">IF(C104=1,'Reeksen (N)'!AI104*((F104-G104+F104)/2)*12+'Reeksen (N)'!AD104*((L104-M104+L104)/2)*12,0)</f>
        <v>0</v>
      </c>
      <c r="AJ104" s="71">
        <f ca="1">-AI104*'Invoer gegevens (N)'!$F$28</f>
        <v>0</v>
      </c>
      <c r="AK104" s="71">
        <f t="shared" ca="1" si="17"/>
        <v>0</v>
      </c>
      <c r="AL104" s="71">
        <f ca="1">IF(C104=1,'Reeksen (N)'!AL104*((F104-G104+F104)/2)*12+'Reeksen (N)'!AM104*((L104-M104+L104)/2)*12,0)</f>
        <v>0</v>
      </c>
      <c r="AM104" s="71">
        <f ca="1">-AL104*'Invoer gegevens (N)'!$F$31</f>
        <v>0</v>
      </c>
      <c r="AN104" s="71">
        <f t="shared" ca="1" si="18"/>
        <v>0</v>
      </c>
      <c r="AO104" s="71">
        <f ca="1">IF(C104=1,(H104+J104+N104+P104)*'Reeksen (N)'!AN104,0)</f>
        <v>0</v>
      </c>
      <c r="AP104" s="71">
        <f ca="1">-IF(C104=1,(H104+J104+N104+P104)*'Hulp - basis'!$O$550*'Reeksen (N)'!H104,0)</f>
        <v>0</v>
      </c>
      <c r="AQ104" s="71">
        <f ca="1">-IF(C104=1,(F104+K104+L104+Q104)/2*'Invoer gegevens (N)'!$F$35*'Reeksen (N)'!J104,0)*2</f>
        <v>0</v>
      </c>
      <c r="AR104" s="71"/>
      <c r="AS104" s="71">
        <f ca="1">-IF(C104=1,(F104+K104+L104+Q104)/2*'Invoer gegevens (N)'!$F$37*'Reeksen (N)'!L104,0)</f>
        <v>0</v>
      </c>
      <c r="AT104" s="71">
        <f ca="1">-IF(C104=1,IF(E104='Invoer gegevens (N)'!$C$17,'Invoer gegevens (N)'!$C$11,AD104)*'Reeksen (N)'!S104*'Invoer gegevens (N)'!$C$18*'Reeksen (N)'!P104,0)</f>
        <v>0</v>
      </c>
      <c r="AU104" s="71">
        <f ca="1">-IF(C104=1,(F104+K104+L104+Q104)/2*'Invoer gegevens (N)'!$F$38*'Reeksen (N)'!H104,0)</f>
        <v>0</v>
      </c>
      <c r="AV104" s="71">
        <v>0</v>
      </c>
      <c r="AW104" s="71">
        <f t="shared" ca="1" si="19"/>
        <v>0</v>
      </c>
      <c r="AX104" s="71">
        <f ca="1">IF(E104&lt;'Invoer gegevens (N)'!$C$17+15,0,IF(E104&gt;'Invoer gegevens (N)'!$C$17+215,0,AW104))</f>
        <v>0</v>
      </c>
      <c r="AY104" s="71">
        <f ca="1">AX104/(1+'Invoer gegevens (N)'!$F$18)^($AZ104-('Invoer gegevens (N)'!$C$17-'Invoer gegevens (N)'!$C$16))/(1+'Invoer gegevens (N)'!$C$39)^('Invoer gegevens (N)'!$C$17-'Invoer gegevens (N)'!$C$16)</f>
        <v>0</v>
      </c>
      <c r="AZ104" s="68">
        <f ca="1">IF(E104-'Invoer gegevens (N)'!$C$17-14.5&lt;0,0,E104-'Invoer gegevens (N)'!$C$17-14.5)</f>
        <v>84.5</v>
      </c>
    </row>
    <row r="105" spans="1:52" x14ac:dyDescent="0.25">
      <c r="A105" s="59"/>
      <c r="B105" s="70">
        <f t="shared" si="20"/>
        <v>101</v>
      </c>
      <c r="C105" s="67">
        <f ca="1">IF(E105-'Invoer gegevens (N)'!$C$17&lt;0,0,1)</f>
        <v>1</v>
      </c>
      <c r="D105" s="68">
        <f t="shared" si="21"/>
        <v>100.5</v>
      </c>
      <c r="E105" s="69">
        <f ca="1">IF('Invoer gegevens (N)'!$C$16="","",E104+1)</f>
        <v>2119</v>
      </c>
      <c r="F105" s="84">
        <f ca="1">IF('Invoer gegevens (N)'!$C$17=E105,'Invoer gegevens (N)'!$C$10,IF(C105=1,K104,0))</f>
        <v>0</v>
      </c>
      <c r="G105" s="96">
        <f ca="1">IF(C105&gt;=1,F105*VLOOKUP(E105,'Reeksen (N)'!$A$5:$B$76,2),0)</f>
        <v>0</v>
      </c>
      <c r="H105" s="84">
        <f ca="1">(1-('Invoer gegevens (N)'!$F$20/12))*F105*MIN('Reeksen (N)'!B105,'Reeksen (N)'!D105)</f>
        <v>0</v>
      </c>
      <c r="I105" s="84">
        <f>IF('Reeksen (N)'!D105&lt;'Reeksen (N)'!B105,('Reeksen (N)'!B105-'Reeksen (N)'!D105)*F105,0)</f>
        <v>0</v>
      </c>
      <c r="J105" s="84">
        <f ca="1">('Invoer gegevens (N)'!$F$20/12)*F104*MIN('Reeksen (N)'!B104,'Reeksen (N)'!D104)</f>
        <v>0</v>
      </c>
      <c r="K105" s="97">
        <f t="shared" ca="1" si="11"/>
        <v>0</v>
      </c>
      <c r="L105" s="84">
        <f ca="1">IF('Invoer gegevens (N)'!$C$17=E105,0,IF(C105=1,Q104,0))</f>
        <v>0</v>
      </c>
      <c r="M105" s="96">
        <f ca="1">IF(C105&gt;=1,L105*VLOOKUP(E105,'Reeksen (N)'!$A$5:$B$76,2),0)</f>
        <v>0</v>
      </c>
      <c r="N105" s="84">
        <f ca="1">(1-('Invoer gegevens (N)'!$F$20/12))*L105*MIN('Reeksen (N)'!B105,'Reeksen (N)'!D105)</f>
        <v>0</v>
      </c>
      <c r="O105" s="84">
        <f>IF('Reeksen (N)'!D105&lt;'Reeksen (N)'!B105,('Reeksen (N)'!B105-'Reeksen (N)'!D105)*L105,0)</f>
        <v>0</v>
      </c>
      <c r="P105" s="84">
        <f ca="1">('Invoer gegevens (N)'!$F$20/12)*L104*MIN('Reeksen (N)'!B104,'Reeksen (N)'!D104)</f>
        <v>0</v>
      </c>
      <c r="Q105" s="84">
        <f t="shared" ca="1" si="12"/>
        <v>0</v>
      </c>
      <c r="R105" s="82">
        <f ca="1">IF('Invoer gegevens (N)'!$C$17=E105,'Invoer gegevens (N)'!$C$11,IF(C105=1,W104,0))</f>
        <v>0</v>
      </c>
      <c r="S105" s="86">
        <f ca="1">IF(C105&gt;=1,R105*VLOOKUP(E105,'Reeksen (N)'!$A$5:$B$76,2),0)</f>
        <v>0</v>
      </c>
      <c r="T105" s="84">
        <f ca="1">(1-('Invoer gegevens (N)'!$F$20/12))*R105*MIN('Reeksen (N)'!B105,'Reeksen (N)'!D105)</f>
        <v>0</v>
      </c>
      <c r="U105" s="84">
        <f>IF('Reeksen (N)'!D105&gt;='Reeksen (N)'!B105,0,IF('Reeksen (N)'!AD105&lt;='Reeksen (N)'!AE105,('Reeksen (N)'!B105-'Reeksen (N)'!D105)*R105,0))</f>
        <v>0</v>
      </c>
      <c r="V105" s="86">
        <f>IF('Reeksen (N)'!D105&gt;='Reeksen (N)'!B105,0,IF('Reeksen (N)'!AD105&gt;'Reeksen (N)'!AE105,('Reeksen (N)'!B105-'Reeksen (N)'!D105)*R105,0))</f>
        <v>0</v>
      </c>
      <c r="W105" s="97">
        <f t="shared" ca="1" si="13"/>
        <v>0</v>
      </c>
      <c r="X105" s="98">
        <f ca="1">IF('Invoer gegevens (N)'!$C$17=E105,'Invoer gegevens (N)'!$C$10-'Invoer gegevens (N)'!$C$11,IF(C105=1,AC104,0))</f>
        <v>0</v>
      </c>
      <c r="Y105" s="98">
        <f ca="1">IF(C105&gt;=1,X105*VLOOKUP(E105,'Reeksen (N)'!$A$5:$B$76,2),0)</f>
        <v>0</v>
      </c>
      <c r="Z105" s="98">
        <f ca="1">(1-('Invoer gegevens (N)'!$F$20/12))*X105*MIN('Reeksen (N)'!B105,'Reeksen (N)'!D105)</f>
        <v>0</v>
      </c>
      <c r="AA105" s="98">
        <f>IF('Reeksen (N)'!D105&gt;='Reeksen (N)'!B105,0,IF('Reeksen (N)'!AD105&lt;='Reeksen (N)'!AE105,('Reeksen (N)'!B105-'Reeksen (N)'!D105)*X105,0))</f>
        <v>0</v>
      </c>
      <c r="AB105" s="98">
        <f>IF('Reeksen (N)'!D105&gt;='Reeksen (N)'!B105,0,IF('Reeksen (N)'!AD105&gt;'Reeksen (N)'!AE105,('Reeksen (N)'!B105-'Reeksen (N)'!D105)*X105,0))</f>
        <v>0</v>
      </c>
      <c r="AC105" s="99">
        <f t="shared" ca="1" si="14"/>
        <v>0</v>
      </c>
      <c r="AD105" s="98">
        <f ca="1">IF('Invoer gegevens (N)'!$C$17=E105,R105,IF(C105=0,0,AE104))</f>
        <v>0</v>
      </c>
      <c r="AE105" s="98">
        <f t="shared" ca="1" si="15"/>
        <v>0</v>
      </c>
      <c r="AF105" s="98">
        <f ca="1">IF('Invoer gegevens (N)'!$C$17=E105,X105,IF(C105=0,0,AG104))</f>
        <v>0</v>
      </c>
      <c r="AG105" s="98">
        <f t="shared" ca="1" si="16"/>
        <v>0</v>
      </c>
      <c r="AH105" s="66"/>
      <c r="AI105" s="71">
        <f ca="1">IF(C105=1,'Reeksen (N)'!AI105*((F105-G105+F105)/2)*12+'Reeksen (N)'!AD105*((L105-M105+L105)/2)*12,0)</f>
        <v>0</v>
      </c>
      <c r="AJ105" s="71">
        <f ca="1">-AI105*'Invoer gegevens (N)'!$F$28</f>
        <v>0</v>
      </c>
      <c r="AK105" s="71">
        <f t="shared" ca="1" si="17"/>
        <v>0</v>
      </c>
      <c r="AL105" s="71">
        <f ca="1">IF(C105=1,'Reeksen (N)'!AL105*((F105-G105+F105)/2)*12+'Reeksen (N)'!AM105*((L105-M105+L105)/2)*12,0)</f>
        <v>0</v>
      </c>
      <c r="AM105" s="71">
        <f ca="1">-AL105*'Invoer gegevens (N)'!$F$31</f>
        <v>0</v>
      </c>
      <c r="AN105" s="71">
        <f t="shared" ca="1" si="18"/>
        <v>0</v>
      </c>
      <c r="AO105" s="71">
        <f ca="1">IF(C105=1,(H105+J105+N105+P105)*'Reeksen (N)'!AN105,0)</f>
        <v>0</v>
      </c>
      <c r="AP105" s="71">
        <f ca="1">-IF(C105=1,(H105+J105+N105+P105)*'Hulp - basis'!$O$550*'Reeksen (N)'!H105,0)</f>
        <v>0</v>
      </c>
      <c r="AQ105" s="71">
        <f ca="1">-IF(C105=1,(F105+K105+L105+Q105)/2*'Invoer gegevens (N)'!$F$35*'Reeksen (N)'!J105,0)*2</f>
        <v>0</v>
      </c>
      <c r="AR105" s="71"/>
      <c r="AS105" s="71">
        <f ca="1">-IF(C105=1,(F105+K105+L105+Q105)/2*'Invoer gegevens (N)'!$F$37*'Reeksen (N)'!L105,0)</f>
        <v>0</v>
      </c>
      <c r="AT105" s="71">
        <f ca="1">-IF(C105=1,IF(E105='Invoer gegevens (N)'!$C$17,'Invoer gegevens (N)'!$C$11,AD105)*'Reeksen (N)'!S105*'Invoer gegevens (N)'!$C$18*'Reeksen (N)'!P105,0)</f>
        <v>0</v>
      </c>
      <c r="AU105" s="71">
        <f ca="1">-IF(C105=1,(F105+K105+L105+Q105)/2*'Invoer gegevens (N)'!$F$38*'Reeksen (N)'!H105,0)</f>
        <v>0</v>
      </c>
      <c r="AV105" s="71">
        <v>0</v>
      </c>
      <c r="AW105" s="71">
        <f t="shared" ca="1" si="19"/>
        <v>0</v>
      </c>
      <c r="AX105" s="71">
        <f ca="1">IF(E105&lt;'Invoer gegevens (N)'!$C$17+15,0,IF(E105&gt;'Invoer gegevens (N)'!$C$17+215,0,AW105))</f>
        <v>0</v>
      </c>
      <c r="AY105" s="71">
        <f ca="1">AX105/(1+'Invoer gegevens (N)'!$F$18)^($AZ105-('Invoer gegevens (N)'!$C$17-'Invoer gegevens (N)'!$C$16))/(1+'Invoer gegevens (N)'!$C$39)^('Invoer gegevens (N)'!$C$17-'Invoer gegevens (N)'!$C$16)</f>
        <v>0</v>
      </c>
      <c r="AZ105" s="68">
        <f ca="1">IF(E105-'Invoer gegevens (N)'!$C$17-14.5&lt;0,0,E105-'Invoer gegevens (N)'!$C$17-14.5)</f>
        <v>85.5</v>
      </c>
    </row>
    <row r="106" spans="1:52" x14ac:dyDescent="0.25">
      <c r="A106" s="59"/>
      <c r="B106" s="70">
        <f t="shared" si="20"/>
        <v>102</v>
      </c>
      <c r="C106" s="67">
        <f ca="1">IF(E106-'Invoer gegevens (N)'!$C$17&lt;0,0,1)</f>
        <v>1</v>
      </c>
      <c r="D106" s="68">
        <f t="shared" si="21"/>
        <v>101.5</v>
      </c>
      <c r="E106" s="69">
        <f ca="1">IF('Invoer gegevens (N)'!$C$16="","",E105+1)</f>
        <v>2120</v>
      </c>
      <c r="F106" s="84">
        <f ca="1">IF('Invoer gegevens (N)'!$C$17=E106,'Invoer gegevens (N)'!$C$10,IF(C106=1,K105,0))</f>
        <v>0</v>
      </c>
      <c r="G106" s="96">
        <f ca="1">IF(C106&gt;=1,F106*VLOOKUP(E106,'Reeksen (N)'!$A$5:$B$76,2),0)</f>
        <v>0</v>
      </c>
      <c r="H106" s="84">
        <f ca="1">(1-('Invoer gegevens (N)'!$F$20/12))*F106*MIN('Reeksen (N)'!B106,'Reeksen (N)'!D106)</f>
        <v>0</v>
      </c>
      <c r="I106" s="84">
        <f>IF('Reeksen (N)'!D106&lt;'Reeksen (N)'!B106,('Reeksen (N)'!B106-'Reeksen (N)'!D106)*F106,0)</f>
        <v>0</v>
      </c>
      <c r="J106" s="84">
        <f ca="1">('Invoer gegevens (N)'!$F$20/12)*F105*MIN('Reeksen (N)'!B105,'Reeksen (N)'!D105)</f>
        <v>0</v>
      </c>
      <c r="K106" s="97">
        <f t="shared" ca="1" si="11"/>
        <v>0</v>
      </c>
      <c r="L106" s="84">
        <f ca="1">IF('Invoer gegevens (N)'!$C$17=E106,0,IF(C106=1,Q105,0))</f>
        <v>0</v>
      </c>
      <c r="M106" s="96">
        <f ca="1">IF(C106&gt;=1,L106*VLOOKUP(E106,'Reeksen (N)'!$A$5:$B$76,2),0)</f>
        <v>0</v>
      </c>
      <c r="N106" s="84">
        <f ca="1">(1-('Invoer gegevens (N)'!$F$20/12))*L106*MIN('Reeksen (N)'!B106,'Reeksen (N)'!D106)</f>
        <v>0</v>
      </c>
      <c r="O106" s="84">
        <f>IF('Reeksen (N)'!D106&lt;'Reeksen (N)'!B106,('Reeksen (N)'!B106-'Reeksen (N)'!D106)*L106,0)</f>
        <v>0</v>
      </c>
      <c r="P106" s="84">
        <f ca="1">('Invoer gegevens (N)'!$F$20/12)*L105*MIN('Reeksen (N)'!B105,'Reeksen (N)'!D105)</f>
        <v>0</v>
      </c>
      <c r="Q106" s="84">
        <f t="shared" ca="1" si="12"/>
        <v>0</v>
      </c>
      <c r="R106" s="82">
        <f ca="1">IF('Invoer gegevens (N)'!$C$17=E106,'Invoer gegevens (N)'!$C$11,IF(C106=1,W105,0))</f>
        <v>0</v>
      </c>
      <c r="S106" s="86">
        <f ca="1">IF(C106&gt;=1,R106*VLOOKUP(E106,'Reeksen (N)'!$A$5:$B$76,2),0)</f>
        <v>0</v>
      </c>
      <c r="T106" s="84">
        <f ca="1">(1-('Invoer gegevens (N)'!$F$20/12))*R106*MIN('Reeksen (N)'!B106,'Reeksen (N)'!D106)</f>
        <v>0</v>
      </c>
      <c r="U106" s="84">
        <f>IF('Reeksen (N)'!D106&gt;='Reeksen (N)'!B106,0,IF('Reeksen (N)'!AD106&lt;='Reeksen (N)'!AE106,('Reeksen (N)'!B106-'Reeksen (N)'!D106)*R106,0))</f>
        <v>0</v>
      </c>
      <c r="V106" s="86">
        <f>IF('Reeksen (N)'!D106&gt;='Reeksen (N)'!B106,0,IF('Reeksen (N)'!AD106&gt;'Reeksen (N)'!AE106,('Reeksen (N)'!B106-'Reeksen (N)'!D106)*R106,0))</f>
        <v>0</v>
      </c>
      <c r="W106" s="97">
        <f t="shared" ca="1" si="13"/>
        <v>0</v>
      </c>
      <c r="X106" s="98">
        <f ca="1">IF('Invoer gegevens (N)'!$C$17=E106,'Invoer gegevens (N)'!$C$10-'Invoer gegevens (N)'!$C$11,IF(C106=1,AC105,0))</f>
        <v>0</v>
      </c>
      <c r="Y106" s="98">
        <f ca="1">IF(C106&gt;=1,X106*VLOOKUP(E106,'Reeksen (N)'!$A$5:$B$76,2),0)</f>
        <v>0</v>
      </c>
      <c r="Z106" s="98">
        <f ca="1">(1-('Invoer gegevens (N)'!$F$20/12))*X106*MIN('Reeksen (N)'!B106,'Reeksen (N)'!D106)</f>
        <v>0</v>
      </c>
      <c r="AA106" s="98">
        <f>IF('Reeksen (N)'!D106&gt;='Reeksen (N)'!B106,0,IF('Reeksen (N)'!AD106&lt;='Reeksen (N)'!AE106,('Reeksen (N)'!B106-'Reeksen (N)'!D106)*X106,0))</f>
        <v>0</v>
      </c>
      <c r="AB106" s="98">
        <f>IF('Reeksen (N)'!D106&gt;='Reeksen (N)'!B106,0,IF('Reeksen (N)'!AD106&gt;'Reeksen (N)'!AE106,('Reeksen (N)'!B106-'Reeksen (N)'!D106)*X106,0))</f>
        <v>0</v>
      </c>
      <c r="AC106" s="99">
        <f t="shared" ca="1" si="14"/>
        <v>0</v>
      </c>
      <c r="AD106" s="98">
        <f ca="1">IF('Invoer gegevens (N)'!$C$17=E106,R106,IF(C106=0,0,AE105))</f>
        <v>0</v>
      </c>
      <c r="AE106" s="98">
        <f t="shared" ca="1" si="15"/>
        <v>0</v>
      </c>
      <c r="AF106" s="98">
        <f ca="1">IF('Invoer gegevens (N)'!$C$17=E106,X106,IF(C106=0,0,AG105))</f>
        <v>0</v>
      </c>
      <c r="AG106" s="98">
        <f t="shared" ca="1" si="16"/>
        <v>0</v>
      </c>
      <c r="AH106" s="66"/>
      <c r="AI106" s="71">
        <f ca="1">IF(C106=1,'Reeksen (N)'!AI106*((F106-G106+F106)/2)*12+'Reeksen (N)'!AD106*((L106-M106+L106)/2)*12,0)</f>
        <v>0</v>
      </c>
      <c r="AJ106" s="71">
        <f ca="1">-AI106*'Invoer gegevens (N)'!$F$28</f>
        <v>0</v>
      </c>
      <c r="AK106" s="71">
        <f t="shared" ca="1" si="17"/>
        <v>0</v>
      </c>
      <c r="AL106" s="71">
        <f ca="1">IF(C106=1,'Reeksen (N)'!AL106*((F106-G106+F106)/2)*12+'Reeksen (N)'!AM106*((L106-M106+L106)/2)*12,0)</f>
        <v>0</v>
      </c>
      <c r="AM106" s="71">
        <f ca="1">-AL106*'Invoer gegevens (N)'!$F$31</f>
        <v>0</v>
      </c>
      <c r="AN106" s="71">
        <f t="shared" ca="1" si="18"/>
        <v>0</v>
      </c>
      <c r="AO106" s="71">
        <f ca="1">IF(C106=1,(H106+J106+N106+P106)*'Reeksen (N)'!AN106,0)</f>
        <v>0</v>
      </c>
      <c r="AP106" s="71">
        <f ca="1">-IF(C106=1,(H106+J106+N106+P106)*'Hulp - basis'!$O$550*'Reeksen (N)'!H106,0)</f>
        <v>0</v>
      </c>
      <c r="AQ106" s="71">
        <f ca="1">-IF(C106=1,(F106+K106+L106+Q106)/2*'Invoer gegevens (N)'!$F$35*'Reeksen (N)'!J106,0)*2</f>
        <v>0</v>
      </c>
      <c r="AR106" s="71"/>
      <c r="AS106" s="71">
        <f ca="1">-IF(C106=1,(F106+K106+L106+Q106)/2*'Invoer gegevens (N)'!$F$37*'Reeksen (N)'!L106,0)</f>
        <v>0</v>
      </c>
      <c r="AT106" s="71">
        <f ca="1">-IF(C106=1,IF(E106='Invoer gegevens (N)'!$C$17,'Invoer gegevens (N)'!$C$11,AD106)*'Reeksen (N)'!S106*'Invoer gegevens (N)'!$C$18*'Reeksen (N)'!P106,0)</f>
        <v>0</v>
      </c>
      <c r="AU106" s="71">
        <f ca="1">-IF(C106=1,(F106+K106+L106+Q106)/2*'Invoer gegevens (N)'!$F$38*'Reeksen (N)'!H106,0)</f>
        <v>0</v>
      </c>
      <c r="AV106" s="71">
        <v>0</v>
      </c>
      <c r="AW106" s="71">
        <f t="shared" ca="1" si="19"/>
        <v>0</v>
      </c>
      <c r="AX106" s="71">
        <f ca="1">IF(E106&lt;'Invoer gegevens (N)'!$C$17+15,0,IF(E106&gt;'Invoer gegevens (N)'!$C$17+215,0,AW106))</f>
        <v>0</v>
      </c>
      <c r="AY106" s="71">
        <f ca="1">AX106/(1+'Invoer gegevens (N)'!$F$18)^($AZ106-('Invoer gegevens (N)'!$C$17-'Invoer gegevens (N)'!$C$16))/(1+'Invoer gegevens (N)'!$C$39)^('Invoer gegevens (N)'!$C$17-'Invoer gegevens (N)'!$C$16)</f>
        <v>0</v>
      </c>
      <c r="AZ106" s="68">
        <f ca="1">IF(E106-'Invoer gegevens (N)'!$C$17-14.5&lt;0,0,E106-'Invoer gegevens (N)'!$C$17-14.5)</f>
        <v>86.5</v>
      </c>
    </row>
    <row r="107" spans="1:52" x14ac:dyDescent="0.25">
      <c r="A107" s="59"/>
      <c r="B107" s="70">
        <f t="shared" si="20"/>
        <v>103</v>
      </c>
      <c r="C107" s="67">
        <f ca="1">IF(E107-'Invoer gegevens (N)'!$C$17&lt;0,0,1)</f>
        <v>1</v>
      </c>
      <c r="D107" s="68">
        <f t="shared" si="21"/>
        <v>102.5</v>
      </c>
      <c r="E107" s="69">
        <f ca="1">IF('Invoer gegevens (N)'!$C$16="","",E106+1)</f>
        <v>2121</v>
      </c>
      <c r="F107" s="84">
        <f ca="1">IF('Invoer gegevens (N)'!$C$17=E107,'Invoer gegevens (N)'!$C$10,IF(C107=1,K106,0))</f>
        <v>0</v>
      </c>
      <c r="G107" s="96">
        <f ca="1">IF(C107&gt;=1,F107*VLOOKUP(E107,'Reeksen (N)'!$A$5:$B$76,2),0)</f>
        <v>0</v>
      </c>
      <c r="H107" s="84">
        <f ca="1">(1-('Invoer gegevens (N)'!$F$20/12))*F107*MIN('Reeksen (N)'!B107,'Reeksen (N)'!D107)</f>
        <v>0</v>
      </c>
      <c r="I107" s="84">
        <f>IF('Reeksen (N)'!D107&lt;'Reeksen (N)'!B107,('Reeksen (N)'!B107-'Reeksen (N)'!D107)*F107,0)</f>
        <v>0</v>
      </c>
      <c r="J107" s="84">
        <f ca="1">('Invoer gegevens (N)'!$F$20/12)*F106*MIN('Reeksen (N)'!B106,'Reeksen (N)'!D106)</f>
        <v>0</v>
      </c>
      <c r="K107" s="97">
        <f t="shared" ca="1" si="11"/>
        <v>0</v>
      </c>
      <c r="L107" s="84">
        <f ca="1">IF('Invoer gegevens (N)'!$C$17=E107,0,IF(C107=1,Q106,0))</f>
        <v>0</v>
      </c>
      <c r="M107" s="96">
        <f ca="1">IF(C107&gt;=1,L107*VLOOKUP(E107,'Reeksen (N)'!$A$5:$B$76,2),0)</f>
        <v>0</v>
      </c>
      <c r="N107" s="84">
        <f ca="1">(1-('Invoer gegevens (N)'!$F$20/12))*L107*MIN('Reeksen (N)'!B107,'Reeksen (N)'!D107)</f>
        <v>0</v>
      </c>
      <c r="O107" s="84">
        <f>IF('Reeksen (N)'!D107&lt;'Reeksen (N)'!B107,('Reeksen (N)'!B107-'Reeksen (N)'!D107)*L107,0)</f>
        <v>0</v>
      </c>
      <c r="P107" s="84">
        <f ca="1">('Invoer gegevens (N)'!$F$20/12)*L106*MIN('Reeksen (N)'!B106,'Reeksen (N)'!D106)</f>
        <v>0</v>
      </c>
      <c r="Q107" s="84">
        <f t="shared" ca="1" si="12"/>
        <v>0</v>
      </c>
      <c r="R107" s="82">
        <f ca="1">IF('Invoer gegevens (N)'!$C$17=E107,'Invoer gegevens (N)'!$C$11,IF(C107=1,W106,0))</f>
        <v>0</v>
      </c>
      <c r="S107" s="86">
        <f ca="1">IF(C107&gt;=1,R107*VLOOKUP(E107,'Reeksen (N)'!$A$5:$B$76,2),0)</f>
        <v>0</v>
      </c>
      <c r="T107" s="84">
        <f ca="1">(1-('Invoer gegevens (N)'!$F$20/12))*R107*MIN('Reeksen (N)'!B107,'Reeksen (N)'!D107)</f>
        <v>0</v>
      </c>
      <c r="U107" s="84">
        <f>IF('Reeksen (N)'!D107&gt;='Reeksen (N)'!B107,0,IF('Reeksen (N)'!AD107&lt;='Reeksen (N)'!AE107,('Reeksen (N)'!B107-'Reeksen (N)'!D107)*R107,0))</f>
        <v>0</v>
      </c>
      <c r="V107" s="86">
        <f>IF('Reeksen (N)'!D107&gt;='Reeksen (N)'!B107,0,IF('Reeksen (N)'!AD107&gt;'Reeksen (N)'!AE107,('Reeksen (N)'!B107-'Reeksen (N)'!D107)*R107,0))</f>
        <v>0</v>
      </c>
      <c r="W107" s="97">
        <f t="shared" ca="1" si="13"/>
        <v>0</v>
      </c>
      <c r="X107" s="98">
        <f ca="1">IF('Invoer gegevens (N)'!$C$17=E107,'Invoer gegevens (N)'!$C$10-'Invoer gegevens (N)'!$C$11,IF(C107=1,AC106,0))</f>
        <v>0</v>
      </c>
      <c r="Y107" s="98">
        <f ca="1">IF(C107&gt;=1,X107*VLOOKUP(E107,'Reeksen (N)'!$A$5:$B$76,2),0)</f>
        <v>0</v>
      </c>
      <c r="Z107" s="98">
        <f ca="1">(1-('Invoer gegevens (N)'!$F$20/12))*X107*MIN('Reeksen (N)'!B107,'Reeksen (N)'!D107)</f>
        <v>0</v>
      </c>
      <c r="AA107" s="98">
        <f>IF('Reeksen (N)'!D107&gt;='Reeksen (N)'!B107,0,IF('Reeksen (N)'!AD107&lt;='Reeksen (N)'!AE107,('Reeksen (N)'!B107-'Reeksen (N)'!D107)*X107,0))</f>
        <v>0</v>
      </c>
      <c r="AB107" s="98">
        <f>IF('Reeksen (N)'!D107&gt;='Reeksen (N)'!B107,0,IF('Reeksen (N)'!AD107&gt;'Reeksen (N)'!AE107,('Reeksen (N)'!B107-'Reeksen (N)'!D107)*X107,0))</f>
        <v>0</v>
      </c>
      <c r="AC107" s="99">
        <f t="shared" ca="1" si="14"/>
        <v>0</v>
      </c>
      <c r="AD107" s="98">
        <f ca="1">IF('Invoer gegevens (N)'!$C$17=E107,R107,IF(C107=0,0,AE106))</f>
        <v>0</v>
      </c>
      <c r="AE107" s="98">
        <f t="shared" ca="1" si="15"/>
        <v>0</v>
      </c>
      <c r="AF107" s="98">
        <f ca="1">IF('Invoer gegevens (N)'!$C$17=E107,X107,IF(C107=0,0,AG106))</f>
        <v>0</v>
      </c>
      <c r="AG107" s="98">
        <f t="shared" ca="1" si="16"/>
        <v>0</v>
      </c>
      <c r="AH107" s="66"/>
      <c r="AI107" s="71">
        <f ca="1">IF(C107=1,'Reeksen (N)'!AI107*((F107-G107+F107)/2)*12+'Reeksen (N)'!AD107*((L107-M107+L107)/2)*12,0)</f>
        <v>0</v>
      </c>
      <c r="AJ107" s="71">
        <f ca="1">-AI107*'Invoer gegevens (N)'!$F$28</f>
        <v>0</v>
      </c>
      <c r="AK107" s="71">
        <f t="shared" ca="1" si="17"/>
        <v>0</v>
      </c>
      <c r="AL107" s="71">
        <f ca="1">IF(C107=1,'Reeksen (N)'!AL107*((F107-G107+F107)/2)*12+'Reeksen (N)'!AM107*((L107-M107+L107)/2)*12,0)</f>
        <v>0</v>
      </c>
      <c r="AM107" s="71">
        <f ca="1">-AL107*'Invoer gegevens (N)'!$F$31</f>
        <v>0</v>
      </c>
      <c r="AN107" s="71">
        <f t="shared" ca="1" si="18"/>
        <v>0</v>
      </c>
      <c r="AO107" s="71">
        <f ca="1">IF(C107=1,(H107+J107+N107+P107)*'Reeksen (N)'!AN107,0)</f>
        <v>0</v>
      </c>
      <c r="AP107" s="71">
        <f ca="1">-IF(C107=1,(H107+J107+N107+P107)*'Hulp - basis'!$O$550*'Reeksen (N)'!H107,0)</f>
        <v>0</v>
      </c>
      <c r="AQ107" s="71">
        <f ca="1">-IF(C107=1,(F107+K107+L107+Q107)/2*'Invoer gegevens (N)'!$F$35*'Reeksen (N)'!J107,0)*2</f>
        <v>0</v>
      </c>
      <c r="AR107" s="71"/>
      <c r="AS107" s="71">
        <f ca="1">-IF(C107=1,(F107+K107+L107+Q107)/2*'Invoer gegevens (N)'!$F$37*'Reeksen (N)'!L107,0)</f>
        <v>0</v>
      </c>
      <c r="AT107" s="71">
        <f ca="1">-IF(C107=1,IF(E107='Invoer gegevens (N)'!$C$17,'Invoer gegevens (N)'!$C$11,AD107)*'Reeksen (N)'!S107*'Invoer gegevens (N)'!$C$18*'Reeksen (N)'!P107,0)</f>
        <v>0</v>
      </c>
      <c r="AU107" s="71">
        <f ca="1">-IF(C107=1,(F107+K107+L107+Q107)/2*'Invoer gegevens (N)'!$F$38*'Reeksen (N)'!H107,0)</f>
        <v>0</v>
      </c>
      <c r="AV107" s="71">
        <v>0</v>
      </c>
      <c r="AW107" s="71">
        <f t="shared" ca="1" si="19"/>
        <v>0</v>
      </c>
      <c r="AX107" s="71">
        <f ca="1">IF(E107&lt;'Invoer gegevens (N)'!$C$17+15,0,IF(E107&gt;'Invoer gegevens (N)'!$C$17+215,0,AW107))</f>
        <v>0</v>
      </c>
      <c r="AY107" s="71">
        <f ca="1">AX107/(1+'Invoer gegevens (N)'!$F$18)^($AZ107-('Invoer gegevens (N)'!$C$17-'Invoer gegevens (N)'!$C$16))/(1+'Invoer gegevens (N)'!$C$39)^('Invoer gegevens (N)'!$C$17-'Invoer gegevens (N)'!$C$16)</f>
        <v>0</v>
      </c>
      <c r="AZ107" s="68">
        <f ca="1">IF(E107-'Invoer gegevens (N)'!$C$17-14.5&lt;0,0,E107-'Invoer gegevens (N)'!$C$17-14.5)</f>
        <v>87.5</v>
      </c>
    </row>
    <row r="108" spans="1:52" x14ac:dyDescent="0.25">
      <c r="A108" s="59"/>
      <c r="B108" s="70">
        <f t="shared" si="20"/>
        <v>104</v>
      </c>
      <c r="C108" s="67">
        <f ca="1">IF(E108-'Invoer gegevens (N)'!$C$17&lt;0,0,1)</f>
        <v>1</v>
      </c>
      <c r="D108" s="68">
        <f t="shared" si="21"/>
        <v>103.5</v>
      </c>
      <c r="E108" s="69">
        <f ca="1">IF('Invoer gegevens (N)'!$C$16="","",E107+1)</f>
        <v>2122</v>
      </c>
      <c r="F108" s="84">
        <f ca="1">IF('Invoer gegevens (N)'!$C$17=E108,'Invoer gegevens (N)'!$C$10,IF(C108=1,K107,0))</f>
        <v>0</v>
      </c>
      <c r="G108" s="96">
        <f ca="1">IF(C108&gt;=1,F108*VLOOKUP(E108,'Reeksen (N)'!$A$5:$B$76,2),0)</f>
        <v>0</v>
      </c>
      <c r="H108" s="84">
        <f ca="1">(1-('Invoer gegevens (N)'!$F$20/12))*F108*MIN('Reeksen (N)'!B108,'Reeksen (N)'!D108)</f>
        <v>0</v>
      </c>
      <c r="I108" s="84">
        <f>IF('Reeksen (N)'!D108&lt;'Reeksen (N)'!B108,('Reeksen (N)'!B108-'Reeksen (N)'!D108)*F108,0)</f>
        <v>0</v>
      </c>
      <c r="J108" s="84">
        <f ca="1">('Invoer gegevens (N)'!$F$20/12)*F107*MIN('Reeksen (N)'!B107,'Reeksen (N)'!D107)</f>
        <v>0</v>
      </c>
      <c r="K108" s="97">
        <f t="shared" ca="1" si="11"/>
        <v>0</v>
      </c>
      <c r="L108" s="84">
        <f ca="1">IF('Invoer gegevens (N)'!$C$17=E108,0,IF(C108=1,Q107,0))</f>
        <v>0</v>
      </c>
      <c r="M108" s="96">
        <f ca="1">IF(C108&gt;=1,L108*VLOOKUP(E108,'Reeksen (N)'!$A$5:$B$76,2),0)</f>
        <v>0</v>
      </c>
      <c r="N108" s="84">
        <f ca="1">(1-('Invoer gegevens (N)'!$F$20/12))*L108*MIN('Reeksen (N)'!B108,'Reeksen (N)'!D108)</f>
        <v>0</v>
      </c>
      <c r="O108" s="84">
        <f>IF('Reeksen (N)'!D108&lt;'Reeksen (N)'!B108,('Reeksen (N)'!B108-'Reeksen (N)'!D108)*L108,0)</f>
        <v>0</v>
      </c>
      <c r="P108" s="84">
        <f ca="1">('Invoer gegevens (N)'!$F$20/12)*L107*MIN('Reeksen (N)'!B107,'Reeksen (N)'!D107)</f>
        <v>0</v>
      </c>
      <c r="Q108" s="84">
        <f t="shared" ca="1" si="12"/>
        <v>0</v>
      </c>
      <c r="R108" s="82">
        <f ca="1">IF('Invoer gegevens (N)'!$C$17=E108,'Invoer gegevens (N)'!$C$11,IF(C108=1,W107,0))</f>
        <v>0</v>
      </c>
      <c r="S108" s="86">
        <f ca="1">IF(C108&gt;=1,R108*VLOOKUP(E108,'Reeksen (N)'!$A$5:$B$76,2),0)</f>
        <v>0</v>
      </c>
      <c r="T108" s="84">
        <f ca="1">(1-('Invoer gegevens (N)'!$F$20/12))*R108*MIN('Reeksen (N)'!B108,'Reeksen (N)'!D108)</f>
        <v>0</v>
      </c>
      <c r="U108" s="84">
        <f>IF('Reeksen (N)'!D108&gt;='Reeksen (N)'!B108,0,IF('Reeksen (N)'!AD108&lt;='Reeksen (N)'!AE108,('Reeksen (N)'!B108-'Reeksen (N)'!D108)*R108,0))</f>
        <v>0</v>
      </c>
      <c r="V108" s="86">
        <f>IF('Reeksen (N)'!D108&gt;='Reeksen (N)'!B108,0,IF('Reeksen (N)'!AD108&gt;'Reeksen (N)'!AE108,('Reeksen (N)'!B108-'Reeksen (N)'!D108)*R108,0))</f>
        <v>0</v>
      </c>
      <c r="W108" s="97">
        <f t="shared" ca="1" si="13"/>
        <v>0</v>
      </c>
      <c r="X108" s="98">
        <f ca="1">IF('Invoer gegevens (N)'!$C$17=E108,'Invoer gegevens (N)'!$C$10-'Invoer gegevens (N)'!$C$11,IF(C108=1,AC107,0))</f>
        <v>0</v>
      </c>
      <c r="Y108" s="98">
        <f ca="1">IF(C108&gt;=1,X108*VLOOKUP(E108,'Reeksen (N)'!$A$5:$B$76,2),0)</f>
        <v>0</v>
      </c>
      <c r="Z108" s="98">
        <f ca="1">(1-('Invoer gegevens (N)'!$F$20/12))*X108*MIN('Reeksen (N)'!B108,'Reeksen (N)'!D108)</f>
        <v>0</v>
      </c>
      <c r="AA108" s="98">
        <f>IF('Reeksen (N)'!D108&gt;='Reeksen (N)'!B108,0,IF('Reeksen (N)'!AD108&lt;='Reeksen (N)'!AE108,('Reeksen (N)'!B108-'Reeksen (N)'!D108)*X108,0))</f>
        <v>0</v>
      </c>
      <c r="AB108" s="98">
        <f>IF('Reeksen (N)'!D108&gt;='Reeksen (N)'!B108,0,IF('Reeksen (N)'!AD108&gt;'Reeksen (N)'!AE108,('Reeksen (N)'!B108-'Reeksen (N)'!D108)*X108,0))</f>
        <v>0</v>
      </c>
      <c r="AC108" s="99">
        <f t="shared" ca="1" si="14"/>
        <v>0</v>
      </c>
      <c r="AD108" s="98">
        <f ca="1">IF('Invoer gegevens (N)'!$C$17=E108,R108,IF(C108=0,0,AE107))</f>
        <v>0</v>
      </c>
      <c r="AE108" s="98">
        <f t="shared" ca="1" si="15"/>
        <v>0</v>
      </c>
      <c r="AF108" s="98">
        <f ca="1">IF('Invoer gegevens (N)'!$C$17=E108,X108,IF(C108=0,0,AG107))</f>
        <v>0</v>
      </c>
      <c r="AG108" s="98">
        <f t="shared" ca="1" si="16"/>
        <v>0</v>
      </c>
      <c r="AH108" s="66"/>
      <c r="AI108" s="71">
        <f ca="1">IF(C108=1,'Reeksen (N)'!AI108*((F108-G108+F108)/2)*12+'Reeksen (N)'!AD108*((L108-M108+L108)/2)*12,0)</f>
        <v>0</v>
      </c>
      <c r="AJ108" s="71">
        <f ca="1">-AI108*'Invoer gegevens (N)'!$F$28</f>
        <v>0</v>
      </c>
      <c r="AK108" s="71">
        <f t="shared" ca="1" si="17"/>
        <v>0</v>
      </c>
      <c r="AL108" s="71">
        <f ca="1">IF(C108=1,'Reeksen (N)'!AL108*((F108-G108+F108)/2)*12+'Reeksen (N)'!AM108*((L108-M108+L108)/2)*12,0)</f>
        <v>0</v>
      </c>
      <c r="AM108" s="71">
        <f ca="1">-AL108*'Invoer gegevens (N)'!$F$31</f>
        <v>0</v>
      </c>
      <c r="AN108" s="71">
        <f t="shared" ca="1" si="18"/>
        <v>0</v>
      </c>
      <c r="AO108" s="71">
        <f ca="1">IF(C108=1,(H108+J108+N108+P108)*'Reeksen (N)'!AN108,0)</f>
        <v>0</v>
      </c>
      <c r="AP108" s="71">
        <f ca="1">-IF(C108=1,(H108+J108+N108+P108)*'Hulp - basis'!$O$550*'Reeksen (N)'!H108,0)</f>
        <v>0</v>
      </c>
      <c r="AQ108" s="71">
        <f ca="1">-IF(C108=1,(F108+K108+L108+Q108)/2*'Invoer gegevens (N)'!$F$35*'Reeksen (N)'!J108,0)*2</f>
        <v>0</v>
      </c>
      <c r="AR108" s="71"/>
      <c r="AS108" s="71">
        <f ca="1">-IF(C108=1,(F108+K108+L108+Q108)/2*'Invoer gegevens (N)'!$F$37*'Reeksen (N)'!L108,0)</f>
        <v>0</v>
      </c>
      <c r="AT108" s="71">
        <f ca="1">-IF(C108=1,IF(E108='Invoer gegevens (N)'!$C$17,'Invoer gegevens (N)'!$C$11,AD108)*'Reeksen (N)'!S108*'Invoer gegevens (N)'!$C$18*'Reeksen (N)'!P108,0)</f>
        <v>0</v>
      </c>
      <c r="AU108" s="71">
        <f ca="1">-IF(C108=1,(F108+K108+L108+Q108)/2*'Invoer gegevens (N)'!$F$38*'Reeksen (N)'!H108,0)</f>
        <v>0</v>
      </c>
      <c r="AV108" s="71">
        <v>0</v>
      </c>
      <c r="AW108" s="71">
        <f t="shared" ca="1" si="19"/>
        <v>0</v>
      </c>
      <c r="AX108" s="71">
        <f ca="1">IF(E108&lt;'Invoer gegevens (N)'!$C$17+15,0,IF(E108&gt;'Invoer gegevens (N)'!$C$17+215,0,AW108))</f>
        <v>0</v>
      </c>
      <c r="AY108" s="71">
        <f ca="1">AX108/(1+'Invoer gegevens (N)'!$F$18)^($AZ108-('Invoer gegevens (N)'!$C$17-'Invoer gegevens (N)'!$C$16))/(1+'Invoer gegevens (N)'!$C$39)^('Invoer gegevens (N)'!$C$17-'Invoer gegevens (N)'!$C$16)</f>
        <v>0</v>
      </c>
      <c r="AZ108" s="68">
        <f ca="1">IF(E108-'Invoer gegevens (N)'!$C$17-14.5&lt;0,0,E108-'Invoer gegevens (N)'!$C$17-14.5)</f>
        <v>88.5</v>
      </c>
    </row>
    <row r="109" spans="1:52" x14ac:dyDescent="0.25">
      <c r="A109" s="59"/>
      <c r="B109" s="70">
        <f t="shared" si="20"/>
        <v>105</v>
      </c>
      <c r="C109" s="67">
        <f ca="1">IF(E109-'Invoer gegevens (N)'!$C$17&lt;0,0,1)</f>
        <v>1</v>
      </c>
      <c r="D109" s="68">
        <f t="shared" si="21"/>
        <v>104.5</v>
      </c>
      <c r="E109" s="69">
        <f ca="1">IF('Invoer gegevens (N)'!$C$16="","",E108+1)</f>
        <v>2123</v>
      </c>
      <c r="F109" s="84">
        <f ca="1">IF('Invoer gegevens (N)'!$C$17=E109,'Invoer gegevens (N)'!$C$10,IF(C109=1,K108,0))</f>
        <v>0</v>
      </c>
      <c r="G109" s="96">
        <f ca="1">IF(C109&gt;=1,F109*VLOOKUP(E109,'Reeksen (N)'!$A$5:$B$76,2),0)</f>
        <v>0</v>
      </c>
      <c r="H109" s="84">
        <f ca="1">(1-('Invoer gegevens (N)'!$F$20/12))*F109*MIN('Reeksen (N)'!B109,'Reeksen (N)'!D109)</f>
        <v>0</v>
      </c>
      <c r="I109" s="84">
        <f>IF('Reeksen (N)'!D109&lt;'Reeksen (N)'!B109,('Reeksen (N)'!B109-'Reeksen (N)'!D109)*F109,0)</f>
        <v>0</v>
      </c>
      <c r="J109" s="84">
        <f ca="1">('Invoer gegevens (N)'!$F$20/12)*F108*MIN('Reeksen (N)'!B108,'Reeksen (N)'!D108)</f>
        <v>0</v>
      </c>
      <c r="K109" s="97">
        <f t="shared" ca="1" si="11"/>
        <v>0</v>
      </c>
      <c r="L109" s="84">
        <f ca="1">IF('Invoer gegevens (N)'!$C$17=E109,0,IF(C109=1,Q108,0))</f>
        <v>0</v>
      </c>
      <c r="M109" s="96">
        <f ca="1">IF(C109&gt;=1,L109*VLOOKUP(E109,'Reeksen (N)'!$A$5:$B$76,2),0)</f>
        <v>0</v>
      </c>
      <c r="N109" s="84">
        <f ca="1">(1-('Invoer gegevens (N)'!$F$20/12))*L109*MIN('Reeksen (N)'!B109,'Reeksen (N)'!D109)</f>
        <v>0</v>
      </c>
      <c r="O109" s="84">
        <f>IF('Reeksen (N)'!D109&lt;'Reeksen (N)'!B109,('Reeksen (N)'!B109-'Reeksen (N)'!D109)*L109,0)</f>
        <v>0</v>
      </c>
      <c r="P109" s="84">
        <f ca="1">('Invoer gegevens (N)'!$F$20/12)*L108*MIN('Reeksen (N)'!B108,'Reeksen (N)'!D108)</f>
        <v>0</v>
      </c>
      <c r="Q109" s="84">
        <f t="shared" ca="1" si="12"/>
        <v>0</v>
      </c>
      <c r="R109" s="82">
        <f ca="1">IF('Invoer gegevens (N)'!$C$17=E109,'Invoer gegevens (N)'!$C$11,IF(C109=1,W108,0))</f>
        <v>0</v>
      </c>
      <c r="S109" s="86">
        <f ca="1">IF(C109&gt;=1,R109*VLOOKUP(E109,'Reeksen (N)'!$A$5:$B$76,2),0)</f>
        <v>0</v>
      </c>
      <c r="T109" s="84">
        <f ca="1">(1-('Invoer gegevens (N)'!$F$20/12))*R109*MIN('Reeksen (N)'!B109,'Reeksen (N)'!D109)</f>
        <v>0</v>
      </c>
      <c r="U109" s="84">
        <f>IF('Reeksen (N)'!D109&gt;='Reeksen (N)'!B109,0,IF('Reeksen (N)'!AD109&lt;='Reeksen (N)'!AE109,('Reeksen (N)'!B109-'Reeksen (N)'!D109)*R109,0))</f>
        <v>0</v>
      </c>
      <c r="V109" s="86">
        <f>IF('Reeksen (N)'!D109&gt;='Reeksen (N)'!B109,0,IF('Reeksen (N)'!AD109&gt;'Reeksen (N)'!AE109,('Reeksen (N)'!B109-'Reeksen (N)'!D109)*R109,0))</f>
        <v>0</v>
      </c>
      <c r="W109" s="97">
        <f t="shared" ca="1" si="13"/>
        <v>0</v>
      </c>
      <c r="X109" s="98">
        <f ca="1">IF('Invoer gegevens (N)'!$C$17=E109,'Invoer gegevens (N)'!$C$10-'Invoer gegevens (N)'!$C$11,IF(C109=1,AC108,0))</f>
        <v>0</v>
      </c>
      <c r="Y109" s="98">
        <f ca="1">IF(C109&gt;=1,X109*VLOOKUP(E109,'Reeksen (N)'!$A$5:$B$76,2),0)</f>
        <v>0</v>
      </c>
      <c r="Z109" s="98">
        <f ca="1">(1-('Invoer gegevens (N)'!$F$20/12))*X109*MIN('Reeksen (N)'!B109,'Reeksen (N)'!D109)</f>
        <v>0</v>
      </c>
      <c r="AA109" s="98">
        <f>IF('Reeksen (N)'!D109&gt;='Reeksen (N)'!B109,0,IF('Reeksen (N)'!AD109&lt;='Reeksen (N)'!AE109,('Reeksen (N)'!B109-'Reeksen (N)'!D109)*X109,0))</f>
        <v>0</v>
      </c>
      <c r="AB109" s="98">
        <f>IF('Reeksen (N)'!D109&gt;='Reeksen (N)'!B109,0,IF('Reeksen (N)'!AD109&gt;'Reeksen (N)'!AE109,('Reeksen (N)'!B109-'Reeksen (N)'!D109)*X109,0))</f>
        <v>0</v>
      </c>
      <c r="AC109" s="99">
        <f t="shared" ca="1" si="14"/>
        <v>0</v>
      </c>
      <c r="AD109" s="98">
        <f ca="1">IF('Invoer gegevens (N)'!$C$17=E109,R109,IF(C109=0,0,AE108))</f>
        <v>0</v>
      </c>
      <c r="AE109" s="98">
        <f t="shared" ca="1" si="15"/>
        <v>0</v>
      </c>
      <c r="AF109" s="98">
        <f ca="1">IF('Invoer gegevens (N)'!$C$17=E109,X109,IF(C109=0,0,AG108))</f>
        <v>0</v>
      </c>
      <c r="AG109" s="98">
        <f t="shared" ca="1" si="16"/>
        <v>0</v>
      </c>
      <c r="AH109" s="66"/>
      <c r="AI109" s="71">
        <f ca="1">IF(C109=1,'Reeksen (N)'!AI109*((F109-G109+F109)/2)*12+'Reeksen (N)'!AD109*((L109-M109+L109)/2)*12,0)</f>
        <v>0</v>
      </c>
      <c r="AJ109" s="71">
        <f ca="1">-AI109*'Invoer gegevens (N)'!$F$28</f>
        <v>0</v>
      </c>
      <c r="AK109" s="71">
        <f t="shared" ca="1" si="17"/>
        <v>0</v>
      </c>
      <c r="AL109" s="71">
        <f ca="1">IF(C109=1,'Reeksen (N)'!AL109*((F109-G109+F109)/2)*12+'Reeksen (N)'!AM109*((L109-M109+L109)/2)*12,0)</f>
        <v>0</v>
      </c>
      <c r="AM109" s="71">
        <f ca="1">-AL109*'Invoer gegevens (N)'!$F$31</f>
        <v>0</v>
      </c>
      <c r="AN109" s="71">
        <f t="shared" ca="1" si="18"/>
        <v>0</v>
      </c>
      <c r="AO109" s="71">
        <f ca="1">IF(C109=1,(H109+J109+N109+P109)*'Reeksen (N)'!AN109,0)</f>
        <v>0</v>
      </c>
      <c r="AP109" s="71">
        <f ca="1">-IF(C109=1,(H109+J109+N109+P109)*'Hulp - basis'!$O$550*'Reeksen (N)'!H109,0)</f>
        <v>0</v>
      </c>
      <c r="AQ109" s="71">
        <f ca="1">-IF(C109=1,(F109+K109+L109+Q109)/2*'Invoer gegevens (N)'!$F$35*'Reeksen (N)'!J109,0)*2</f>
        <v>0</v>
      </c>
      <c r="AR109" s="71"/>
      <c r="AS109" s="71">
        <f ca="1">-IF(C109=1,(F109+K109+L109+Q109)/2*'Invoer gegevens (N)'!$F$37*'Reeksen (N)'!L109,0)</f>
        <v>0</v>
      </c>
      <c r="AT109" s="71">
        <f ca="1">-IF(C109=1,IF(E109='Invoer gegevens (N)'!$C$17,'Invoer gegevens (N)'!$C$11,AD109)*'Reeksen (N)'!S109*'Invoer gegevens (N)'!$C$18*'Reeksen (N)'!P109,0)</f>
        <v>0</v>
      </c>
      <c r="AU109" s="71">
        <f ca="1">-IF(C109=1,(F109+K109+L109+Q109)/2*'Invoer gegevens (N)'!$F$38*'Reeksen (N)'!H109,0)</f>
        <v>0</v>
      </c>
      <c r="AV109" s="71">
        <v>0</v>
      </c>
      <c r="AW109" s="71">
        <f t="shared" ca="1" si="19"/>
        <v>0</v>
      </c>
      <c r="AX109" s="71">
        <f ca="1">IF(E109&lt;'Invoer gegevens (N)'!$C$17+15,0,IF(E109&gt;'Invoer gegevens (N)'!$C$17+215,0,AW109))</f>
        <v>0</v>
      </c>
      <c r="AY109" s="71">
        <f ca="1">AX109/(1+'Invoer gegevens (N)'!$F$18)^($AZ109-('Invoer gegevens (N)'!$C$17-'Invoer gegevens (N)'!$C$16))/(1+'Invoer gegevens (N)'!$C$39)^('Invoer gegevens (N)'!$C$17-'Invoer gegevens (N)'!$C$16)</f>
        <v>0</v>
      </c>
      <c r="AZ109" s="68">
        <f ca="1">IF(E109-'Invoer gegevens (N)'!$C$17-14.5&lt;0,0,E109-'Invoer gegevens (N)'!$C$17-14.5)</f>
        <v>89.5</v>
      </c>
    </row>
    <row r="110" spans="1:52" x14ac:dyDescent="0.25">
      <c r="A110" s="59"/>
      <c r="B110" s="70">
        <f t="shared" si="20"/>
        <v>106</v>
      </c>
      <c r="C110" s="67">
        <f ca="1">IF(E110-'Invoer gegevens (N)'!$C$17&lt;0,0,1)</f>
        <v>1</v>
      </c>
      <c r="D110" s="68">
        <f t="shared" si="21"/>
        <v>105.5</v>
      </c>
      <c r="E110" s="69">
        <f ca="1">IF('Invoer gegevens (N)'!$C$16="","",E109+1)</f>
        <v>2124</v>
      </c>
      <c r="F110" s="84">
        <f ca="1">IF('Invoer gegevens (N)'!$C$17=E110,'Invoer gegevens (N)'!$C$10,IF(C110=1,K109,0))</f>
        <v>0</v>
      </c>
      <c r="G110" s="96">
        <f ca="1">IF(C110&gt;=1,F110*VLOOKUP(E110,'Reeksen (N)'!$A$5:$B$76,2),0)</f>
        <v>0</v>
      </c>
      <c r="H110" s="84">
        <f ca="1">(1-('Invoer gegevens (N)'!$F$20/12))*F110*MIN('Reeksen (N)'!B110,'Reeksen (N)'!D110)</f>
        <v>0</v>
      </c>
      <c r="I110" s="84">
        <f>IF('Reeksen (N)'!D110&lt;'Reeksen (N)'!B110,('Reeksen (N)'!B110-'Reeksen (N)'!D110)*F110,0)</f>
        <v>0</v>
      </c>
      <c r="J110" s="84">
        <f ca="1">('Invoer gegevens (N)'!$F$20/12)*F109*MIN('Reeksen (N)'!B109,'Reeksen (N)'!D109)</f>
        <v>0</v>
      </c>
      <c r="K110" s="97">
        <f t="shared" ca="1" si="11"/>
        <v>0</v>
      </c>
      <c r="L110" s="84">
        <f ca="1">IF('Invoer gegevens (N)'!$C$17=E110,0,IF(C110=1,Q109,0))</f>
        <v>0</v>
      </c>
      <c r="M110" s="96">
        <f ca="1">IF(C110&gt;=1,L110*VLOOKUP(E110,'Reeksen (N)'!$A$5:$B$76,2),0)</f>
        <v>0</v>
      </c>
      <c r="N110" s="84">
        <f ca="1">(1-('Invoer gegevens (N)'!$F$20/12))*L110*MIN('Reeksen (N)'!B110,'Reeksen (N)'!D110)</f>
        <v>0</v>
      </c>
      <c r="O110" s="84">
        <f>IF('Reeksen (N)'!D110&lt;'Reeksen (N)'!B110,('Reeksen (N)'!B110-'Reeksen (N)'!D110)*L110,0)</f>
        <v>0</v>
      </c>
      <c r="P110" s="84">
        <f ca="1">('Invoer gegevens (N)'!$F$20/12)*L109*MIN('Reeksen (N)'!B109,'Reeksen (N)'!D109)</f>
        <v>0</v>
      </c>
      <c r="Q110" s="84">
        <f t="shared" ca="1" si="12"/>
        <v>0</v>
      </c>
      <c r="R110" s="82">
        <f ca="1">IF('Invoer gegevens (N)'!$C$17=E110,'Invoer gegevens (N)'!$C$11,IF(C110=1,W109,0))</f>
        <v>0</v>
      </c>
      <c r="S110" s="86">
        <f ca="1">IF(C110&gt;=1,R110*VLOOKUP(E110,'Reeksen (N)'!$A$5:$B$76,2),0)</f>
        <v>0</v>
      </c>
      <c r="T110" s="84">
        <f ca="1">(1-('Invoer gegevens (N)'!$F$20/12))*R110*MIN('Reeksen (N)'!B110,'Reeksen (N)'!D110)</f>
        <v>0</v>
      </c>
      <c r="U110" s="84">
        <f>IF('Reeksen (N)'!D110&gt;='Reeksen (N)'!B110,0,IF('Reeksen (N)'!AD110&lt;='Reeksen (N)'!AE110,('Reeksen (N)'!B110-'Reeksen (N)'!D110)*R110,0))</f>
        <v>0</v>
      </c>
      <c r="V110" s="86">
        <f>IF('Reeksen (N)'!D110&gt;='Reeksen (N)'!B110,0,IF('Reeksen (N)'!AD110&gt;'Reeksen (N)'!AE110,('Reeksen (N)'!B110-'Reeksen (N)'!D110)*R110,0))</f>
        <v>0</v>
      </c>
      <c r="W110" s="97">
        <f t="shared" ca="1" si="13"/>
        <v>0</v>
      </c>
      <c r="X110" s="98">
        <f ca="1">IF('Invoer gegevens (N)'!$C$17=E110,'Invoer gegevens (N)'!$C$10-'Invoer gegevens (N)'!$C$11,IF(C110=1,AC109,0))</f>
        <v>0</v>
      </c>
      <c r="Y110" s="98">
        <f ca="1">IF(C110&gt;=1,X110*VLOOKUP(E110,'Reeksen (N)'!$A$5:$B$76,2),0)</f>
        <v>0</v>
      </c>
      <c r="Z110" s="98">
        <f ca="1">(1-('Invoer gegevens (N)'!$F$20/12))*X110*MIN('Reeksen (N)'!B110,'Reeksen (N)'!D110)</f>
        <v>0</v>
      </c>
      <c r="AA110" s="98">
        <f>IF('Reeksen (N)'!D110&gt;='Reeksen (N)'!B110,0,IF('Reeksen (N)'!AD110&lt;='Reeksen (N)'!AE110,('Reeksen (N)'!B110-'Reeksen (N)'!D110)*X110,0))</f>
        <v>0</v>
      </c>
      <c r="AB110" s="98">
        <f>IF('Reeksen (N)'!D110&gt;='Reeksen (N)'!B110,0,IF('Reeksen (N)'!AD110&gt;'Reeksen (N)'!AE110,('Reeksen (N)'!B110-'Reeksen (N)'!D110)*X110,0))</f>
        <v>0</v>
      </c>
      <c r="AC110" s="99">
        <f t="shared" ca="1" si="14"/>
        <v>0</v>
      </c>
      <c r="AD110" s="98">
        <f ca="1">IF('Invoer gegevens (N)'!$C$17=E110,R110,IF(C110=0,0,AE109))</f>
        <v>0</v>
      </c>
      <c r="AE110" s="98">
        <f t="shared" ca="1" si="15"/>
        <v>0</v>
      </c>
      <c r="AF110" s="98">
        <f ca="1">IF('Invoer gegevens (N)'!$C$17=E110,X110,IF(C110=0,0,AG109))</f>
        <v>0</v>
      </c>
      <c r="AG110" s="98">
        <f t="shared" ca="1" si="16"/>
        <v>0</v>
      </c>
      <c r="AH110" s="66"/>
      <c r="AI110" s="71">
        <f ca="1">IF(C110=1,'Reeksen (N)'!AI110*((F110-G110+F110)/2)*12+'Reeksen (N)'!AD110*((L110-M110+L110)/2)*12,0)</f>
        <v>0</v>
      </c>
      <c r="AJ110" s="71">
        <f ca="1">-AI110*'Invoer gegevens (N)'!$F$28</f>
        <v>0</v>
      </c>
      <c r="AK110" s="71">
        <f t="shared" ca="1" si="17"/>
        <v>0</v>
      </c>
      <c r="AL110" s="71">
        <f ca="1">IF(C110=1,'Reeksen (N)'!AL110*((F110-G110+F110)/2)*12+'Reeksen (N)'!AM110*((L110-M110+L110)/2)*12,0)</f>
        <v>0</v>
      </c>
      <c r="AM110" s="71">
        <f ca="1">-AL110*'Invoer gegevens (N)'!$F$31</f>
        <v>0</v>
      </c>
      <c r="AN110" s="71">
        <f t="shared" ca="1" si="18"/>
        <v>0</v>
      </c>
      <c r="AO110" s="71">
        <f ca="1">IF(C110=1,(H110+J110+N110+P110)*'Reeksen (N)'!AN110,0)</f>
        <v>0</v>
      </c>
      <c r="AP110" s="71">
        <f ca="1">-IF(C110=1,(H110+J110+N110+P110)*'Hulp - basis'!$O$550*'Reeksen (N)'!H110,0)</f>
        <v>0</v>
      </c>
      <c r="AQ110" s="71">
        <f ca="1">-IF(C110=1,(F110+K110+L110+Q110)/2*'Invoer gegevens (N)'!$F$35*'Reeksen (N)'!J110,0)*2</f>
        <v>0</v>
      </c>
      <c r="AR110" s="71"/>
      <c r="AS110" s="71">
        <f ca="1">-IF(C110=1,(F110+K110+L110+Q110)/2*'Invoer gegevens (N)'!$F$37*'Reeksen (N)'!L110,0)</f>
        <v>0</v>
      </c>
      <c r="AT110" s="71">
        <f ca="1">-IF(C110=1,IF(E110='Invoer gegevens (N)'!$C$17,'Invoer gegevens (N)'!$C$11,AD110)*'Reeksen (N)'!S110*'Invoer gegevens (N)'!$C$18*'Reeksen (N)'!P110,0)</f>
        <v>0</v>
      </c>
      <c r="AU110" s="71">
        <f ca="1">-IF(C110=1,(F110+K110+L110+Q110)/2*'Invoer gegevens (N)'!$F$38*'Reeksen (N)'!H110,0)</f>
        <v>0</v>
      </c>
      <c r="AV110" s="71">
        <v>0</v>
      </c>
      <c r="AW110" s="71">
        <f t="shared" ca="1" si="19"/>
        <v>0</v>
      </c>
      <c r="AX110" s="71">
        <f ca="1">IF(E110&lt;'Invoer gegevens (N)'!$C$17+15,0,IF(E110&gt;'Invoer gegevens (N)'!$C$17+215,0,AW110))</f>
        <v>0</v>
      </c>
      <c r="AY110" s="71">
        <f ca="1">AX110/(1+'Invoer gegevens (N)'!$F$18)^($AZ110-('Invoer gegevens (N)'!$C$17-'Invoer gegevens (N)'!$C$16))/(1+'Invoer gegevens (N)'!$C$39)^('Invoer gegevens (N)'!$C$17-'Invoer gegevens (N)'!$C$16)</f>
        <v>0</v>
      </c>
      <c r="AZ110" s="68">
        <f ca="1">IF(E110-'Invoer gegevens (N)'!$C$17-14.5&lt;0,0,E110-'Invoer gegevens (N)'!$C$17-14.5)</f>
        <v>90.5</v>
      </c>
    </row>
    <row r="111" spans="1:52" x14ac:dyDescent="0.25">
      <c r="A111" s="59"/>
      <c r="B111" s="70">
        <f t="shared" si="20"/>
        <v>107</v>
      </c>
      <c r="C111" s="67">
        <f ca="1">IF(E111-'Invoer gegevens (N)'!$C$17&lt;0,0,1)</f>
        <v>1</v>
      </c>
      <c r="D111" s="68">
        <f t="shared" si="21"/>
        <v>106.5</v>
      </c>
      <c r="E111" s="69">
        <f ca="1">IF('Invoer gegevens (N)'!$C$16="","",E110+1)</f>
        <v>2125</v>
      </c>
      <c r="F111" s="84">
        <f ca="1">IF('Invoer gegevens (N)'!$C$17=E111,'Invoer gegevens (N)'!$C$10,IF(C111=1,K110,0))</f>
        <v>0</v>
      </c>
      <c r="G111" s="96">
        <f ca="1">IF(C111&gt;=1,F111*VLOOKUP(E111,'Reeksen (N)'!$A$5:$B$76,2),0)</f>
        <v>0</v>
      </c>
      <c r="H111" s="84">
        <f ca="1">(1-('Invoer gegevens (N)'!$F$20/12))*F111*MIN('Reeksen (N)'!B111,'Reeksen (N)'!D111)</f>
        <v>0</v>
      </c>
      <c r="I111" s="84">
        <f>IF('Reeksen (N)'!D111&lt;'Reeksen (N)'!B111,('Reeksen (N)'!B111-'Reeksen (N)'!D111)*F111,0)</f>
        <v>0</v>
      </c>
      <c r="J111" s="84">
        <f ca="1">('Invoer gegevens (N)'!$F$20/12)*F110*MIN('Reeksen (N)'!B110,'Reeksen (N)'!D110)</f>
        <v>0</v>
      </c>
      <c r="K111" s="97">
        <f t="shared" ca="1" si="11"/>
        <v>0</v>
      </c>
      <c r="L111" s="84">
        <f ca="1">IF('Invoer gegevens (N)'!$C$17=E111,0,IF(C111=1,Q110,0))</f>
        <v>0</v>
      </c>
      <c r="M111" s="96">
        <f ca="1">IF(C111&gt;=1,L111*VLOOKUP(E111,'Reeksen (N)'!$A$5:$B$76,2),0)</f>
        <v>0</v>
      </c>
      <c r="N111" s="84">
        <f ca="1">(1-('Invoer gegevens (N)'!$F$20/12))*L111*MIN('Reeksen (N)'!B111,'Reeksen (N)'!D111)</f>
        <v>0</v>
      </c>
      <c r="O111" s="84">
        <f>IF('Reeksen (N)'!D111&lt;'Reeksen (N)'!B111,('Reeksen (N)'!B111-'Reeksen (N)'!D111)*L111,0)</f>
        <v>0</v>
      </c>
      <c r="P111" s="84">
        <f ca="1">('Invoer gegevens (N)'!$F$20/12)*L110*MIN('Reeksen (N)'!B110,'Reeksen (N)'!D110)</f>
        <v>0</v>
      </c>
      <c r="Q111" s="84">
        <f t="shared" ca="1" si="12"/>
        <v>0</v>
      </c>
      <c r="R111" s="82">
        <f ca="1">IF('Invoer gegevens (N)'!$C$17=E111,'Invoer gegevens (N)'!$C$11,IF(C111=1,W110,0))</f>
        <v>0</v>
      </c>
      <c r="S111" s="86">
        <f ca="1">IF(C111&gt;=1,R111*VLOOKUP(E111,'Reeksen (N)'!$A$5:$B$76,2),0)</f>
        <v>0</v>
      </c>
      <c r="T111" s="84">
        <f ca="1">(1-('Invoer gegevens (N)'!$F$20/12))*R111*MIN('Reeksen (N)'!B111,'Reeksen (N)'!D111)</f>
        <v>0</v>
      </c>
      <c r="U111" s="84">
        <f>IF('Reeksen (N)'!D111&gt;='Reeksen (N)'!B111,0,IF('Reeksen (N)'!AD111&lt;='Reeksen (N)'!AE111,('Reeksen (N)'!B111-'Reeksen (N)'!D111)*R111,0))</f>
        <v>0</v>
      </c>
      <c r="V111" s="86">
        <f>IF('Reeksen (N)'!D111&gt;='Reeksen (N)'!B111,0,IF('Reeksen (N)'!AD111&gt;'Reeksen (N)'!AE111,('Reeksen (N)'!B111-'Reeksen (N)'!D111)*R111,0))</f>
        <v>0</v>
      </c>
      <c r="W111" s="97">
        <f t="shared" ca="1" si="13"/>
        <v>0</v>
      </c>
      <c r="X111" s="98">
        <f ca="1">IF('Invoer gegevens (N)'!$C$17=E111,'Invoer gegevens (N)'!$C$10-'Invoer gegevens (N)'!$C$11,IF(C111=1,AC110,0))</f>
        <v>0</v>
      </c>
      <c r="Y111" s="98">
        <f ca="1">IF(C111&gt;=1,X111*VLOOKUP(E111,'Reeksen (N)'!$A$5:$B$76,2),0)</f>
        <v>0</v>
      </c>
      <c r="Z111" s="98">
        <f ca="1">(1-('Invoer gegevens (N)'!$F$20/12))*X111*MIN('Reeksen (N)'!B111,'Reeksen (N)'!D111)</f>
        <v>0</v>
      </c>
      <c r="AA111" s="98">
        <f>IF('Reeksen (N)'!D111&gt;='Reeksen (N)'!B111,0,IF('Reeksen (N)'!AD111&lt;='Reeksen (N)'!AE111,('Reeksen (N)'!B111-'Reeksen (N)'!D111)*X111,0))</f>
        <v>0</v>
      </c>
      <c r="AB111" s="98">
        <f>IF('Reeksen (N)'!D111&gt;='Reeksen (N)'!B111,0,IF('Reeksen (N)'!AD111&gt;'Reeksen (N)'!AE111,('Reeksen (N)'!B111-'Reeksen (N)'!D111)*X111,0))</f>
        <v>0</v>
      </c>
      <c r="AC111" s="99">
        <f t="shared" ca="1" si="14"/>
        <v>0</v>
      </c>
      <c r="AD111" s="98">
        <f ca="1">IF('Invoer gegevens (N)'!$C$17=E111,R111,IF(C111=0,0,AE110))</f>
        <v>0</v>
      </c>
      <c r="AE111" s="98">
        <f t="shared" ca="1" si="15"/>
        <v>0</v>
      </c>
      <c r="AF111" s="98">
        <f ca="1">IF('Invoer gegevens (N)'!$C$17=E111,X111,IF(C111=0,0,AG110))</f>
        <v>0</v>
      </c>
      <c r="AG111" s="98">
        <f t="shared" ca="1" si="16"/>
        <v>0</v>
      </c>
      <c r="AH111" s="66"/>
      <c r="AI111" s="71">
        <f ca="1">IF(C111=1,'Reeksen (N)'!AI111*((F111-G111+F111)/2)*12+'Reeksen (N)'!AD111*((L111-M111+L111)/2)*12,0)</f>
        <v>0</v>
      </c>
      <c r="AJ111" s="71">
        <f ca="1">-AI111*'Invoer gegevens (N)'!$F$28</f>
        <v>0</v>
      </c>
      <c r="AK111" s="71">
        <f t="shared" ca="1" si="17"/>
        <v>0</v>
      </c>
      <c r="AL111" s="71">
        <f ca="1">IF(C111=1,'Reeksen (N)'!AL111*((F111-G111+F111)/2)*12+'Reeksen (N)'!AM111*((L111-M111+L111)/2)*12,0)</f>
        <v>0</v>
      </c>
      <c r="AM111" s="71">
        <f ca="1">-AL111*'Invoer gegevens (N)'!$F$31</f>
        <v>0</v>
      </c>
      <c r="AN111" s="71">
        <f t="shared" ca="1" si="18"/>
        <v>0</v>
      </c>
      <c r="AO111" s="71">
        <f ca="1">IF(C111=1,(H111+J111+N111+P111)*'Reeksen (N)'!AN111,0)</f>
        <v>0</v>
      </c>
      <c r="AP111" s="71">
        <f ca="1">-IF(C111=1,(H111+J111+N111+P111)*'Hulp - basis'!$O$550*'Reeksen (N)'!H111,0)</f>
        <v>0</v>
      </c>
      <c r="AQ111" s="71">
        <f ca="1">-IF(C111=1,(F111+K111+L111+Q111)/2*'Invoer gegevens (N)'!$F$35*'Reeksen (N)'!J111,0)*2</f>
        <v>0</v>
      </c>
      <c r="AR111" s="71"/>
      <c r="AS111" s="71">
        <f ca="1">-IF(C111=1,(F111+K111+L111+Q111)/2*'Invoer gegevens (N)'!$F$37*'Reeksen (N)'!L111,0)</f>
        <v>0</v>
      </c>
      <c r="AT111" s="71">
        <f ca="1">-IF(C111=1,IF(E111='Invoer gegevens (N)'!$C$17,'Invoer gegevens (N)'!$C$11,AD111)*'Reeksen (N)'!S111*'Invoer gegevens (N)'!$C$18*'Reeksen (N)'!P111,0)</f>
        <v>0</v>
      </c>
      <c r="AU111" s="71">
        <f ca="1">-IF(C111=1,(F111+K111+L111+Q111)/2*'Invoer gegevens (N)'!$F$38*'Reeksen (N)'!H111,0)</f>
        <v>0</v>
      </c>
      <c r="AV111" s="71">
        <v>0</v>
      </c>
      <c r="AW111" s="71">
        <f t="shared" ca="1" si="19"/>
        <v>0</v>
      </c>
      <c r="AX111" s="71">
        <f ca="1">IF(E111&lt;'Invoer gegevens (N)'!$C$17+15,0,IF(E111&gt;'Invoer gegevens (N)'!$C$17+215,0,AW111))</f>
        <v>0</v>
      </c>
      <c r="AY111" s="71">
        <f ca="1">AX111/(1+'Invoer gegevens (N)'!$F$18)^($AZ111-('Invoer gegevens (N)'!$C$17-'Invoer gegevens (N)'!$C$16))/(1+'Invoer gegevens (N)'!$C$39)^('Invoer gegevens (N)'!$C$17-'Invoer gegevens (N)'!$C$16)</f>
        <v>0</v>
      </c>
      <c r="AZ111" s="68">
        <f ca="1">IF(E111-'Invoer gegevens (N)'!$C$17-14.5&lt;0,0,E111-'Invoer gegevens (N)'!$C$17-14.5)</f>
        <v>91.5</v>
      </c>
    </row>
    <row r="112" spans="1:52" x14ac:dyDescent="0.25">
      <c r="A112" s="59"/>
      <c r="B112" s="70">
        <f t="shared" si="20"/>
        <v>108</v>
      </c>
      <c r="C112" s="67">
        <f ca="1">IF(E112-'Invoer gegevens (N)'!$C$17&lt;0,0,1)</f>
        <v>1</v>
      </c>
      <c r="D112" s="68">
        <f t="shared" si="21"/>
        <v>107.5</v>
      </c>
      <c r="E112" s="69">
        <f ca="1">IF('Invoer gegevens (N)'!$C$16="","",E111+1)</f>
        <v>2126</v>
      </c>
      <c r="F112" s="84">
        <f ca="1">IF('Invoer gegevens (N)'!$C$17=E112,'Invoer gegevens (N)'!$C$10,IF(C112=1,K111,0))</f>
        <v>0</v>
      </c>
      <c r="G112" s="96">
        <f ca="1">IF(C112&gt;=1,F112*VLOOKUP(E112,'Reeksen (N)'!$A$5:$B$76,2),0)</f>
        <v>0</v>
      </c>
      <c r="H112" s="84">
        <f ca="1">(1-('Invoer gegevens (N)'!$F$20/12))*F112*MIN('Reeksen (N)'!B112,'Reeksen (N)'!D112)</f>
        <v>0</v>
      </c>
      <c r="I112" s="84">
        <f>IF('Reeksen (N)'!D112&lt;'Reeksen (N)'!B112,('Reeksen (N)'!B112-'Reeksen (N)'!D112)*F112,0)</f>
        <v>0</v>
      </c>
      <c r="J112" s="84">
        <f ca="1">('Invoer gegevens (N)'!$F$20/12)*F111*MIN('Reeksen (N)'!B111,'Reeksen (N)'!D111)</f>
        <v>0</v>
      </c>
      <c r="K112" s="97">
        <f t="shared" ca="1" si="11"/>
        <v>0</v>
      </c>
      <c r="L112" s="84">
        <f ca="1">IF('Invoer gegevens (N)'!$C$17=E112,0,IF(C112=1,Q111,0))</f>
        <v>0</v>
      </c>
      <c r="M112" s="96">
        <f ca="1">IF(C112&gt;=1,L112*VLOOKUP(E112,'Reeksen (N)'!$A$5:$B$76,2),0)</f>
        <v>0</v>
      </c>
      <c r="N112" s="84">
        <f ca="1">(1-('Invoer gegevens (N)'!$F$20/12))*L112*MIN('Reeksen (N)'!B112,'Reeksen (N)'!D112)</f>
        <v>0</v>
      </c>
      <c r="O112" s="84">
        <f>IF('Reeksen (N)'!D112&lt;'Reeksen (N)'!B112,('Reeksen (N)'!B112-'Reeksen (N)'!D112)*L112,0)</f>
        <v>0</v>
      </c>
      <c r="P112" s="84">
        <f ca="1">('Invoer gegevens (N)'!$F$20/12)*L111*MIN('Reeksen (N)'!B111,'Reeksen (N)'!D111)</f>
        <v>0</v>
      </c>
      <c r="Q112" s="84">
        <f t="shared" ca="1" si="12"/>
        <v>0</v>
      </c>
      <c r="R112" s="82">
        <f ca="1">IF('Invoer gegevens (N)'!$C$17=E112,'Invoer gegevens (N)'!$C$11,IF(C112=1,W111,0))</f>
        <v>0</v>
      </c>
      <c r="S112" s="86">
        <f ca="1">IF(C112&gt;=1,R112*VLOOKUP(E112,'Reeksen (N)'!$A$5:$B$76,2),0)</f>
        <v>0</v>
      </c>
      <c r="T112" s="84">
        <f ca="1">(1-('Invoer gegevens (N)'!$F$20/12))*R112*MIN('Reeksen (N)'!B112,'Reeksen (N)'!D112)</f>
        <v>0</v>
      </c>
      <c r="U112" s="84">
        <f>IF('Reeksen (N)'!D112&gt;='Reeksen (N)'!B112,0,IF('Reeksen (N)'!AD112&lt;='Reeksen (N)'!AE112,('Reeksen (N)'!B112-'Reeksen (N)'!D112)*R112,0))</f>
        <v>0</v>
      </c>
      <c r="V112" s="86">
        <f>IF('Reeksen (N)'!D112&gt;='Reeksen (N)'!B112,0,IF('Reeksen (N)'!AD112&gt;'Reeksen (N)'!AE112,('Reeksen (N)'!B112-'Reeksen (N)'!D112)*R112,0))</f>
        <v>0</v>
      </c>
      <c r="W112" s="97">
        <f t="shared" ca="1" si="13"/>
        <v>0</v>
      </c>
      <c r="X112" s="98">
        <f ca="1">IF('Invoer gegevens (N)'!$C$17=E112,'Invoer gegevens (N)'!$C$10-'Invoer gegevens (N)'!$C$11,IF(C112=1,AC111,0))</f>
        <v>0</v>
      </c>
      <c r="Y112" s="98">
        <f ca="1">IF(C112&gt;=1,X112*VLOOKUP(E112,'Reeksen (N)'!$A$5:$B$76,2),0)</f>
        <v>0</v>
      </c>
      <c r="Z112" s="98">
        <f ca="1">(1-('Invoer gegevens (N)'!$F$20/12))*X112*MIN('Reeksen (N)'!B112,'Reeksen (N)'!D112)</f>
        <v>0</v>
      </c>
      <c r="AA112" s="98">
        <f>IF('Reeksen (N)'!D112&gt;='Reeksen (N)'!B112,0,IF('Reeksen (N)'!AD112&lt;='Reeksen (N)'!AE112,('Reeksen (N)'!B112-'Reeksen (N)'!D112)*X112,0))</f>
        <v>0</v>
      </c>
      <c r="AB112" s="98">
        <f>IF('Reeksen (N)'!D112&gt;='Reeksen (N)'!B112,0,IF('Reeksen (N)'!AD112&gt;'Reeksen (N)'!AE112,('Reeksen (N)'!B112-'Reeksen (N)'!D112)*X112,0))</f>
        <v>0</v>
      </c>
      <c r="AC112" s="99">
        <f t="shared" ca="1" si="14"/>
        <v>0</v>
      </c>
      <c r="AD112" s="98">
        <f ca="1">IF('Invoer gegevens (N)'!$C$17=E112,R112,IF(C112=0,0,AE111))</f>
        <v>0</v>
      </c>
      <c r="AE112" s="98">
        <f t="shared" ca="1" si="15"/>
        <v>0</v>
      </c>
      <c r="AF112" s="98">
        <f ca="1">IF('Invoer gegevens (N)'!$C$17=E112,X112,IF(C112=0,0,AG111))</f>
        <v>0</v>
      </c>
      <c r="AG112" s="98">
        <f t="shared" ca="1" si="16"/>
        <v>0</v>
      </c>
      <c r="AH112" s="66"/>
      <c r="AI112" s="71">
        <f ca="1">IF(C112=1,'Reeksen (N)'!AI112*((F112-G112+F112)/2)*12+'Reeksen (N)'!AD112*((L112-M112+L112)/2)*12,0)</f>
        <v>0</v>
      </c>
      <c r="AJ112" s="71">
        <f ca="1">-AI112*'Invoer gegevens (N)'!$F$28</f>
        <v>0</v>
      </c>
      <c r="AK112" s="71">
        <f t="shared" ca="1" si="17"/>
        <v>0</v>
      </c>
      <c r="AL112" s="71">
        <f ca="1">IF(C112=1,'Reeksen (N)'!AL112*((F112-G112+F112)/2)*12+'Reeksen (N)'!AM112*((L112-M112+L112)/2)*12,0)</f>
        <v>0</v>
      </c>
      <c r="AM112" s="71">
        <f ca="1">-AL112*'Invoer gegevens (N)'!$F$31</f>
        <v>0</v>
      </c>
      <c r="AN112" s="71">
        <f t="shared" ca="1" si="18"/>
        <v>0</v>
      </c>
      <c r="AO112" s="71">
        <f ca="1">IF(C112=1,(H112+J112+N112+P112)*'Reeksen (N)'!AN112,0)</f>
        <v>0</v>
      </c>
      <c r="AP112" s="71">
        <f ca="1">-IF(C112=1,(H112+J112+N112+P112)*'Hulp - basis'!$O$550*'Reeksen (N)'!H112,0)</f>
        <v>0</v>
      </c>
      <c r="AQ112" s="71">
        <f ca="1">-IF(C112=1,(F112+K112+L112+Q112)/2*'Invoer gegevens (N)'!$F$35*'Reeksen (N)'!J112,0)*2</f>
        <v>0</v>
      </c>
      <c r="AR112" s="71"/>
      <c r="AS112" s="71">
        <f ca="1">-IF(C112=1,(F112+K112+L112+Q112)/2*'Invoer gegevens (N)'!$F$37*'Reeksen (N)'!L112,0)</f>
        <v>0</v>
      </c>
      <c r="AT112" s="71">
        <f ca="1">-IF(C112=1,IF(E112='Invoer gegevens (N)'!$C$17,'Invoer gegevens (N)'!$C$11,AD112)*'Reeksen (N)'!S112*'Invoer gegevens (N)'!$C$18*'Reeksen (N)'!P112,0)</f>
        <v>0</v>
      </c>
      <c r="AU112" s="71">
        <f ca="1">-IF(C112=1,(F112+K112+L112+Q112)/2*'Invoer gegevens (N)'!$F$38*'Reeksen (N)'!H112,0)</f>
        <v>0</v>
      </c>
      <c r="AV112" s="71">
        <v>0</v>
      </c>
      <c r="AW112" s="71">
        <f t="shared" ca="1" si="19"/>
        <v>0</v>
      </c>
      <c r="AX112" s="71">
        <f ca="1">IF(E112&lt;'Invoer gegevens (N)'!$C$17+15,0,IF(E112&gt;'Invoer gegevens (N)'!$C$17+215,0,AW112))</f>
        <v>0</v>
      </c>
      <c r="AY112" s="71">
        <f ca="1">AX112/(1+'Invoer gegevens (N)'!$F$18)^($AZ112-('Invoer gegevens (N)'!$C$17-'Invoer gegevens (N)'!$C$16))/(1+'Invoer gegevens (N)'!$C$39)^('Invoer gegevens (N)'!$C$17-'Invoer gegevens (N)'!$C$16)</f>
        <v>0</v>
      </c>
      <c r="AZ112" s="68">
        <f ca="1">IF(E112-'Invoer gegevens (N)'!$C$17-14.5&lt;0,0,E112-'Invoer gegevens (N)'!$C$17-14.5)</f>
        <v>92.5</v>
      </c>
    </row>
    <row r="113" spans="1:52" x14ac:dyDescent="0.25">
      <c r="A113" s="59"/>
      <c r="B113" s="70">
        <f t="shared" si="20"/>
        <v>109</v>
      </c>
      <c r="C113" s="67">
        <f ca="1">IF(E113-'Invoer gegevens (N)'!$C$17&lt;0,0,1)</f>
        <v>1</v>
      </c>
      <c r="D113" s="68">
        <f t="shared" si="21"/>
        <v>108.5</v>
      </c>
      <c r="E113" s="69">
        <f ca="1">IF('Invoer gegevens (N)'!$C$16="","",E112+1)</f>
        <v>2127</v>
      </c>
      <c r="F113" s="84">
        <f ca="1">IF('Invoer gegevens (N)'!$C$17=E113,'Invoer gegevens (N)'!$C$10,IF(C113=1,K112,0))</f>
        <v>0</v>
      </c>
      <c r="G113" s="96">
        <f ca="1">IF(C113&gt;=1,F113*VLOOKUP(E113,'Reeksen (N)'!$A$5:$B$76,2),0)</f>
        <v>0</v>
      </c>
      <c r="H113" s="84">
        <f ca="1">(1-('Invoer gegevens (N)'!$F$20/12))*F113*MIN('Reeksen (N)'!B113,'Reeksen (N)'!D113)</f>
        <v>0</v>
      </c>
      <c r="I113" s="84">
        <f>IF('Reeksen (N)'!D113&lt;'Reeksen (N)'!B113,('Reeksen (N)'!B113-'Reeksen (N)'!D113)*F113,0)</f>
        <v>0</v>
      </c>
      <c r="J113" s="84">
        <f ca="1">('Invoer gegevens (N)'!$F$20/12)*F112*MIN('Reeksen (N)'!B112,'Reeksen (N)'!D112)</f>
        <v>0</v>
      </c>
      <c r="K113" s="97">
        <f t="shared" ca="1" si="11"/>
        <v>0</v>
      </c>
      <c r="L113" s="84">
        <f ca="1">IF('Invoer gegevens (N)'!$C$17=E113,0,IF(C113=1,Q112,0))</f>
        <v>0</v>
      </c>
      <c r="M113" s="96">
        <f ca="1">IF(C113&gt;=1,L113*VLOOKUP(E113,'Reeksen (N)'!$A$5:$B$76,2),0)</f>
        <v>0</v>
      </c>
      <c r="N113" s="84">
        <f ca="1">(1-('Invoer gegevens (N)'!$F$20/12))*L113*MIN('Reeksen (N)'!B113,'Reeksen (N)'!D113)</f>
        <v>0</v>
      </c>
      <c r="O113" s="84">
        <f>IF('Reeksen (N)'!D113&lt;'Reeksen (N)'!B113,('Reeksen (N)'!B113-'Reeksen (N)'!D113)*L113,0)</f>
        <v>0</v>
      </c>
      <c r="P113" s="84">
        <f ca="1">('Invoer gegevens (N)'!$F$20/12)*L112*MIN('Reeksen (N)'!B112,'Reeksen (N)'!D112)</f>
        <v>0</v>
      </c>
      <c r="Q113" s="84">
        <f t="shared" ca="1" si="12"/>
        <v>0</v>
      </c>
      <c r="R113" s="82">
        <f ca="1">IF('Invoer gegevens (N)'!$C$17=E113,'Invoer gegevens (N)'!$C$11,IF(C113=1,W112,0))</f>
        <v>0</v>
      </c>
      <c r="S113" s="86">
        <f ca="1">IF(C113&gt;=1,R113*VLOOKUP(E113,'Reeksen (N)'!$A$5:$B$76,2),0)</f>
        <v>0</v>
      </c>
      <c r="T113" s="84">
        <f ca="1">(1-('Invoer gegevens (N)'!$F$20/12))*R113*MIN('Reeksen (N)'!B113,'Reeksen (N)'!D113)</f>
        <v>0</v>
      </c>
      <c r="U113" s="84">
        <f>IF('Reeksen (N)'!D113&gt;='Reeksen (N)'!B113,0,IF('Reeksen (N)'!AD113&lt;='Reeksen (N)'!AE113,('Reeksen (N)'!B113-'Reeksen (N)'!D113)*R113,0))</f>
        <v>0</v>
      </c>
      <c r="V113" s="86">
        <f>IF('Reeksen (N)'!D113&gt;='Reeksen (N)'!B113,0,IF('Reeksen (N)'!AD113&gt;'Reeksen (N)'!AE113,('Reeksen (N)'!B113-'Reeksen (N)'!D113)*R113,0))</f>
        <v>0</v>
      </c>
      <c r="W113" s="97">
        <f t="shared" ca="1" si="13"/>
        <v>0</v>
      </c>
      <c r="X113" s="98">
        <f ca="1">IF('Invoer gegevens (N)'!$C$17=E113,'Invoer gegevens (N)'!$C$10-'Invoer gegevens (N)'!$C$11,IF(C113=1,AC112,0))</f>
        <v>0</v>
      </c>
      <c r="Y113" s="98">
        <f ca="1">IF(C113&gt;=1,X113*VLOOKUP(E113,'Reeksen (N)'!$A$5:$B$76,2),0)</f>
        <v>0</v>
      </c>
      <c r="Z113" s="98">
        <f ca="1">(1-('Invoer gegevens (N)'!$F$20/12))*X113*MIN('Reeksen (N)'!B113,'Reeksen (N)'!D113)</f>
        <v>0</v>
      </c>
      <c r="AA113" s="98">
        <f>IF('Reeksen (N)'!D113&gt;='Reeksen (N)'!B113,0,IF('Reeksen (N)'!AD113&lt;='Reeksen (N)'!AE113,('Reeksen (N)'!B113-'Reeksen (N)'!D113)*X113,0))</f>
        <v>0</v>
      </c>
      <c r="AB113" s="98">
        <f>IF('Reeksen (N)'!D113&gt;='Reeksen (N)'!B113,0,IF('Reeksen (N)'!AD113&gt;'Reeksen (N)'!AE113,('Reeksen (N)'!B113-'Reeksen (N)'!D113)*X113,0))</f>
        <v>0</v>
      </c>
      <c r="AC113" s="99">
        <f t="shared" ca="1" si="14"/>
        <v>0</v>
      </c>
      <c r="AD113" s="98">
        <f ca="1">IF('Invoer gegevens (N)'!$C$17=E113,R113,IF(C113=0,0,AE112))</f>
        <v>0</v>
      </c>
      <c r="AE113" s="98">
        <f t="shared" ca="1" si="15"/>
        <v>0</v>
      </c>
      <c r="AF113" s="98">
        <f ca="1">IF('Invoer gegevens (N)'!$C$17=E113,X113,IF(C113=0,0,AG112))</f>
        <v>0</v>
      </c>
      <c r="AG113" s="98">
        <f t="shared" ca="1" si="16"/>
        <v>0</v>
      </c>
      <c r="AH113" s="66"/>
      <c r="AI113" s="71">
        <f ca="1">IF(C113=1,'Reeksen (N)'!AI113*((F113-G113+F113)/2)*12+'Reeksen (N)'!AD113*((L113-M113+L113)/2)*12,0)</f>
        <v>0</v>
      </c>
      <c r="AJ113" s="71">
        <f ca="1">-AI113*'Invoer gegevens (N)'!$F$28</f>
        <v>0</v>
      </c>
      <c r="AK113" s="71">
        <f t="shared" ca="1" si="17"/>
        <v>0</v>
      </c>
      <c r="AL113" s="71">
        <f ca="1">IF(C113=1,'Reeksen (N)'!AL113*((F113-G113+F113)/2)*12+'Reeksen (N)'!AM113*((L113-M113+L113)/2)*12,0)</f>
        <v>0</v>
      </c>
      <c r="AM113" s="71">
        <f ca="1">-AL113*'Invoer gegevens (N)'!$F$31</f>
        <v>0</v>
      </c>
      <c r="AN113" s="71">
        <f t="shared" ca="1" si="18"/>
        <v>0</v>
      </c>
      <c r="AO113" s="71">
        <f ca="1">IF(C113=1,(H113+J113+N113+P113)*'Reeksen (N)'!AN113,0)</f>
        <v>0</v>
      </c>
      <c r="AP113" s="71">
        <f ca="1">-IF(C113=1,(H113+J113+N113+P113)*'Hulp - basis'!$O$550*'Reeksen (N)'!H113,0)</f>
        <v>0</v>
      </c>
      <c r="AQ113" s="71">
        <f ca="1">-IF(C113=1,(F113+K113+L113+Q113)/2*'Invoer gegevens (N)'!$F$35*'Reeksen (N)'!J113,0)*2</f>
        <v>0</v>
      </c>
      <c r="AR113" s="71"/>
      <c r="AS113" s="71">
        <f ca="1">-IF(C113=1,(F113+K113+L113+Q113)/2*'Invoer gegevens (N)'!$F$37*'Reeksen (N)'!L113,0)</f>
        <v>0</v>
      </c>
      <c r="AT113" s="71">
        <f ca="1">-IF(C113=1,IF(E113='Invoer gegevens (N)'!$C$17,'Invoer gegevens (N)'!$C$11,AD113)*'Reeksen (N)'!S113*'Invoer gegevens (N)'!$C$18*'Reeksen (N)'!P113,0)</f>
        <v>0</v>
      </c>
      <c r="AU113" s="71">
        <f ca="1">-IF(C113=1,(F113+K113+L113+Q113)/2*'Invoer gegevens (N)'!$F$38*'Reeksen (N)'!H113,0)</f>
        <v>0</v>
      </c>
      <c r="AV113" s="71">
        <v>0</v>
      </c>
      <c r="AW113" s="71">
        <f t="shared" ca="1" si="19"/>
        <v>0</v>
      </c>
      <c r="AX113" s="71">
        <f ca="1">IF(E113&lt;'Invoer gegevens (N)'!$C$17+15,0,IF(E113&gt;'Invoer gegevens (N)'!$C$17+215,0,AW113))</f>
        <v>0</v>
      </c>
      <c r="AY113" s="71">
        <f ca="1">AX113/(1+'Invoer gegevens (N)'!$F$18)^($AZ113-('Invoer gegevens (N)'!$C$17-'Invoer gegevens (N)'!$C$16))/(1+'Invoer gegevens (N)'!$C$39)^('Invoer gegevens (N)'!$C$17-'Invoer gegevens (N)'!$C$16)</f>
        <v>0</v>
      </c>
      <c r="AZ113" s="68">
        <f ca="1">IF(E113-'Invoer gegevens (N)'!$C$17-14.5&lt;0,0,E113-'Invoer gegevens (N)'!$C$17-14.5)</f>
        <v>93.5</v>
      </c>
    </row>
    <row r="114" spans="1:52" x14ac:dyDescent="0.25">
      <c r="A114" s="59"/>
      <c r="B114" s="70">
        <f t="shared" si="20"/>
        <v>110</v>
      </c>
      <c r="C114" s="67">
        <f ca="1">IF(E114-'Invoer gegevens (N)'!$C$17&lt;0,0,1)</f>
        <v>1</v>
      </c>
      <c r="D114" s="68">
        <f t="shared" si="21"/>
        <v>109.5</v>
      </c>
      <c r="E114" s="69">
        <f ca="1">IF('Invoer gegevens (N)'!$C$16="","",E113+1)</f>
        <v>2128</v>
      </c>
      <c r="F114" s="84">
        <f ca="1">IF('Invoer gegevens (N)'!$C$17=E114,'Invoer gegevens (N)'!$C$10,IF(C114=1,K113,0))</f>
        <v>0</v>
      </c>
      <c r="G114" s="96">
        <f ca="1">IF(C114&gt;=1,F114*VLOOKUP(E114,'Reeksen (N)'!$A$5:$B$76,2),0)</f>
        <v>0</v>
      </c>
      <c r="H114" s="84">
        <f ca="1">(1-('Invoer gegevens (N)'!$F$20/12))*F114*MIN('Reeksen (N)'!B114,'Reeksen (N)'!D114)</f>
        <v>0</v>
      </c>
      <c r="I114" s="84">
        <f>IF('Reeksen (N)'!D114&lt;'Reeksen (N)'!B114,('Reeksen (N)'!B114-'Reeksen (N)'!D114)*F114,0)</f>
        <v>0</v>
      </c>
      <c r="J114" s="84">
        <f ca="1">('Invoer gegevens (N)'!$F$20/12)*F113*MIN('Reeksen (N)'!B113,'Reeksen (N)'!D113)</f>
        <v>0</v>
      </c>
      <c r="K114" s="97">
        <f t="shared" ca="1" si="11"/>
        <v>0</v>
      </c>
      <c r="L114" s="84">
        <f ca="1">IF('Invoer gegevens (N)'!$C$17=E114,0,IF(C114=1,Q113,0))</f>
        <v>0</v>
      </c>
      <c r="M114" s="96">
        <f ca="1">IF(C114&gt;=1,L114*VLOOKUP(E114,'Reeksen (N)'!$A$5:$B$76,2),0)</f>
        <v>0</v>
      </c>
      <c r="N114" s="84">
        <f ca="1">(1-('Invoer gegevens (N)'!$F$20/12))*L114*MIN('Reeksen (N)'!B114,'Reeksen (N)'!D114)</f>
        <v>0</v>
      </c>
      <c r="O114" s="84">
        <f>IF('Reeksen (N)'!D114&lt;'Reeksen (N)'!B114,('Reeksen (N)'!B114-'Reeksen (N)'!D114)*L114,0)</f>
        <v>0</v>
      </c>
      <c r="P114" s="84">
        <f ca="1">('Invoer gegevens (N)'!$F$20/12)*L113*MIN('Reeksen (N)'!B113,'Reeksen (N)'!D113)</f>
        <v>0</v>
      </c>
      <c r="Q114" s="84">
        <f t="shared" ca="1" si="12"/>
        <v>0</v>
      </c>
      <c r="R114" s="82">
        <f ca="1">IF('Invoer gegevens (N)'!$C$17=E114,'Invoer gegevens (N)'!$C$11,IF(C114=1,W113,0))</f>
        <v>0</v>
      </c>
      <c r="S114" s="86">
        <f ca="1">IF(C114&gt;=1,R114*VLOOKUP(E114,'Reeksen (N)'!$A$5:$B$76,2),0)</f>
        <v>0</v>
      </c>
      <c r="T114" s="84">
        <f ca="1">(1-('Invoer gegevens (N)'!$F$20/12))*R114*MIN('Reeksen (N)'!B114,'Reeksen (N)'!D114)</f>
        <v>0</v>
      </c>
      <c r="U114" s="84">
        <f>IF('Reeksen (N)'!D114&gt;='Reeksen (N)'!B114,0,IF('Reeksen (N)'!AD114&lt;='Reeksen (N)'!AE114,('Reeksen (N)'!B114-'Reeksen (N)'!D114)*R114,0))</f>
        <v>0</v>
      </c>
      <c r="V114" s="86">
        <f>IF('Reeksen (N)'!D114&gt;='Reeksen (N)'!B114,0,IF('Reeksen (N)'!AD114&gt;'Reeksen (N)'!AE114,('Reeksen (N)'!B114-'Reeksen (N)'!D114)*R114,0))</f>
        <v>0</v>
      </c>
      <c r="W114" s="97">
        <f t="shared" ca="1" si="13"/>
        <v>0</v>
      </c>
      <c r="X114" s="98">
        <f ca="1">IF('Invoer gegevens (N)'!$C$17=E114,'Invoer gegevens (N)'!$C$10-'Invoer gegevens (N)'!$C$11,IF(C114=1,AC113,0))</f>
        <v>0</v>
      </c>
      <c r="Y114" s="98">
        <f ca="1">IF(C114&gt;=1,X114*VLOOKUP(E114,'Reeksen (N)'!$A$5:$B$76,2),0)</f>
        <v>0</v>
      </c>
      <c r="Z114" s="98">
        <f ca="1">(1-('Invoer gegevens (N)'!$F$20/12))*X114*MIN('Reeksen (N)'!B114,'Reeksen (N)'!D114)</f>
        <v>0</v>
      </c>
      <c r="AA114" s="98">
        <f>IF('Reeksen (N)'!D114&gt;='Reeksen (N)'!B114,0,IF('Reeksen (N)'!AD114&lt;='Reeksen (N)'!AE114,('Reeksen (N)'!B114-'Reeksen (N)'!D114)*X114,0))</f>
        <v>0</v>
      </c>
      <c r="AB114" s="98">
        <f>IF('Reeksen (N)'!D114&gt;='Reeksen (N)'!B114,0,IF('Reeksen (N)'!AD114&gt;'Reeksen (N)'!AE114,('Reeksen (N)'!B114-'Reeksen (N)'!D114)*X114,0))</f>
        <v>0</v>
      </c>
      <c r="AC114" s="99">
        <f t="shared" ca="1" si="14"/>
        <v>0</v>
      </c>
      <c r="AD114" s="98">
        <f ca="1">IF('Invoer gegevens (N)'!$C$17=E114,R114,IF(C114=0,0,AE113))</f>
        <v>0</v>
      </c>
      <c r="AE114" s="98">
        <f t="shared" ca="1" si="15"/>
        <v>0</v>
      </c>
      <c r="AF114" s="98">
        <f ca="1">IF('Invoer gegevens (N)'!$C$17=E114,X114,IF(C114=0,0,AG113))</f>
        <v>0</v>
      </c>
      <c r="AG114" s="98">
        <f t="shared" ca="1" si="16"/>
        <v>0</v>
      </c>
      <c r="AH114" s="66"/>
      <c r="AI114" s="71">
        <f ca="1">IF(C114=1,'Reeksen (N)'!AI114*((F114-G114+F114)/2)*12+'Reeksen (N)'!AD114*((L114-M114+L114)/2)*12,0)</f>
        <v>0</v>
      </c>
      <c r="AJ114" s="71">
        <f ca="1">-AI114*'Invoer gegevens (N)'!$F$28</f>
        <v>0</v>
      </c>
      <c r="AK114" s="71">
        <f t="shared" ca="1" si="17"/>
        <v>0</v>
      </c>
      <c r="AL114" s="71">
        <f ca="1">IF(C114=1,'Reeksen (N)'!AL114*((F114-G114+F114)/2)*12+'Reeksen (N)'!AM114*((L114-M114+L114)/2)*12,0)</f>
        <v>0</v>
      </c>
      <c r="AM114" s="71">
        <f ca="1">-AL114*'Invoer gegevens (N)'!$F$31</f>
        <v>0</v>
      </c>
      <c r="AN114" s="71">
        <f t="shared" ca="1" si="18"/>
        <v>0</v>
      </c>
      <c r="AO114" s="71">
        <f ca="1">IF(C114=1,(H114+J114+N114+P114)*'Reeksen (N)'!AN114,0)</f>
        <v>0</v>
      </c>
      <c r="AP114" s="71">
        <f ca="1">-IF(C114=1,(H114+J114+N114+P114)*'Hulp - basis'!$O$550*'Reeksen (N)'!H114,0)</f>
        <v>0</v>
      </c>
      <c r="AQ114" s="71">
        <f ca="1">-IF(C114=1,(F114+K114+L114+Q114)/2*'Invoer gegevens (N)'!$F$35*'Reeksen (N)'!J114,0)*2</f>
        <v>0</v>
      </c>
      <c r="AR114" s="71"/>
      <c r="AS114" s="71">
        <f ca="1">-IF(C114=1,(F114+K114+L114+Q114)/2*'Invoer gegevens (N)'!$F$37*'Reeksen (N)'!L114,0)</f>
        <v>0</v>
      </c>
      <c r="AT114" s="71">
        <f ca="1">-IF(C114=1,IF(E114='Invoer gegevens (N)'!$C$17,'Invoer gegevens (N)'!$C$11,AD114)*'Reeksen (N)'!S114*'Invoer gegevens (N)'!$C$18*'Reeksen (N)'!P114,0)</f>
        <v>0</v>
      </c>
      <c r="AU114" s="71">
        <f ca="1">-IF(C114=1,(F114+K114+L114+Q114)/2*'Invoer gegevens (N)'!$F$38*'Reeksen (N)'!H114,0)</f>
        <v>0</v>
      </c>
      <c r="AV114" s="71">
        <v>0</v>
      </c>
      <c r="AW114" s="71">
        <f t="shared" ca="1" si="19"/>
        <v>0</v>
      </c>
      <c r="AX114" s="71">
        <f ca="1">IF(E114&lt;'Invoer gegevens (N)'!$C$17+15,0,IF(E114&gt;'Invoer gegevens (N)'!$C$17+215,0,AW114))</f>
        <v>0</v>
      </c>
      <c r="AY114" s="71">
        <f ca="1">AX114/(1+'Invoer gegevens (N)'!$F$18)^($AZ114-('Invoer gegevens (N)'!$C$17-'Invoer gegevens (N)'!$C$16))/(1+'Invoer gegevens (N)'!$C$39)^('Invoer gegevens (N)'!$C$17-'Invoer gegevens (N)'!$C$16)</f>
        <v>0</v>
      </c>
      <c r="AZ114" s="68">
        <f ca="1">IF(E114-'Invoer gegevens (N)'!$C$17-14.5&lt;0,0,E114-'Invoer gegevens (N)'!$C$17-14.5)</f>
        <v>94.5</v>
      </c>
    </row>
    <row r="115" spans="1:52" x14ac:dyDescent="0.25">
      <c r="A115" s="59"/>
      <c r="B115" s="70">
        <f t="shared" si="20"/>
        <v>111</v>
      </c>
      <c r="C115" s="67">
        <f ca="1">IF(E115-'Invoer gegevens (N)'!$C$17&lt;0,0,1)</f>
        <v>1</v>
      </c>
      <c r="D115" s="68">
        <f t="shared" si="21"/>
        <v>110.5</v>
      </c>
      <c r="E115" s="69">
        <f ca="1">IF('Invoer gegevens (N)'!$C$16="","",E114+1)</f>
        <v>2129</v>
      </c>
      <c r="F115" s="84">
        <f ca="1">IF('Invoer gegevens (N)'!$C$17=E115,'Invoer gegevens (N)'!$C$10,IF(C115=1,K114,0))</f>
        <v>0</v>
      </c>
      <c r="G115" s="96">
        <f ca="1">IF(C115&gt;=1,F115*VLOOKUP(E115,'Reeksen (N)'!$A$5:$B$76,2),0)</f>
        <v>0</v>
      </c>
      <c r="H115" s="84">
        <f ca="1">(1-('Invoer gegevens (N)'!$F$20/12))*F115*MIN('Reeksen (N)'!B115,'Reeksen (N)'!D115)</f>
        <v>0</v>
      </c>
      <c r="I115" s="84">
        <f>IF('Reeksen (N)'!D115&lt;'Reeksen (N)'!B115,('Reeksen (N)'!B115-'Reeksen (N)'!D115)*F115,0)</f>
        <v>0</v>
      </c>
      <c r="J115" s="84">
        <f ca="1">('Invoer gegevens (N)'!$F$20/12)*F114*MIN('Reeksen (N)'!B114,'Reeksen (N)'!D114)</f>
        <v>0</v>
      </c>
      <c r="K115" s="97">
        <f t="shared" ca="1" si="11"/>
        <v>0</v>
      </c>
      <c r="L115" s="84">
        <f ca="1">IF('Invoer gegevens (N)'!$C$17=E115,0,IF(C115=1,Q114,0))</f>
        <v>0</v>
      </c>
      <c r="M115" s="96">
        <f ca="1">IF(C115&gt;=1,L115*VLOOKUP(E115,'Reeksen (N)'!$A$5:$B$76,2),0)</f>
        <v>0</v>
      </c>
      <c r="N115" s="84">
        <f ca="1">(1-('Invoer gegevens (N)'!$F$20/12))*L115*MIN('Reeksen (N)'!B115,'Reeksen (N)'!D115)</f>
        <v>0</v>
      </c>
      <c r="O115" s="84">
        <f>IF('Reeksen (N)'!D115&lt;'Reeksen (N)'!B115,('Reeksen (N)'!B115-'Reeksen (N)'!D115)*L115,0)</f>
        <v>0</v>
      </c>
      <c r="P115" s="84">
        <f ca="1">('Invoer gegevens (N)'!$F$20/12)*L114*MIN('Reeksen (N)'!B114,'Reeksen (N)'!D114)</f>
        <v>0</v>
      </c>
      <c r="Q115" s="84">
        <f t="shared" ca="1" si="12"/>
        <v>0</v>
      </c>
      <c r="R115" s="82">
        <f ca="1">IF('Invoer gegevens (N)'!$C$17=E115,'Invoer gegevens (N)'!$C$11,IF(C115=1,W114,0))</f>
        <v>0</v>
      </c>
      <c r="S115" s="86">
        <f ca="1">IF(C115&gt;=1,R115*VLOOKUP(E115,'Reeksen (N)'!$A$5:$B$76,2),0)</f>
        <v>0</v>
      </c>
      <c r="T115" s="84">
        <f ca="1">(1-('Invoer gegevens (N)'!$F$20/12))*R115*MIN('Reeksen (N)'!B115,'Reeksen (N)'!D115)</f>
        <v>0</v>
      </c>
      <c r="U115" s="84">
        <f>IF('Reeksen (N)'!D115&gt;='Reeksen (N)'!B115,0,IF('Reeksen (N)'!AD115&lt;='Reeksen (N)'!AE115,('Reeksen (N)'!B115-'Reeksen (N)'!D115)*R115,0))</f>
        <v>0</v>
      </c>
      <c r="V115" s="86">
        <f>IF('Reeksen (N)'!D115&gt;='Reeksen (N)'!B115,0,IF('Reeksen (N)'!AD115&gt;'Reeksen (N)'!AE115,('Reeksen (N)'!B115-'Reeksen (N)'!D115)*R115,0))</f>
        <v>0</v>
      </c>
      <c r="W115" s="97">
        <f t="shared" ca="1" si="13"/>
        <v>0</v>
      </c>
      <c r="X115" s="98">
        <f ca="1">IF('Invoer gegevens (N)'!$C$17=E115,'Invoer gegevens (N)'!$C$10-'Invoer gegevens (N)'!$C$11,IF(C115=1,AC114,0))</f>
        <v>0</v>
      </c>
      <c r="Y115" s="98">
        <f ca="1">IF(C115&gt;=1,X115*VLOOKUP(E115,'Reeksen (N)'!$A$5:$B$76,2),0)</f>
        <v>0</v>
      </c>
      <c r="Z115" s="98">
        <f ca="1">(1-('Invoer gegevens (N)'!$F$20/12))*X115*MIN('Reeksen (N)'!B115,'Reeksen (N)'!D115)</f>
        <v>0</v>
      </c>
      <c r="AA115" s="98">
        <f>IF('Reeksen (N)'!D115&gt;='Reeksen (N)'!B115,0,IF('Reeksen (N)'!AD115&lt;='Reeksen (N)'!AE115,('Reeksen (N)'!B115-'Reeksen (N)'!D115)*X115,0))</f>
        <v>0</v>
      </c>
      <c r="AB115" s="98">
        <f>IF('Reeksen (N)'!D115&gt;='Reeksen (N)'!B115,0,IF('Reeksen (N)'!AD115&gt;'Reeksen (N)'!AE115,('Reeksen (N)'!B115-'Reeksen (N)'!D115)*X115,0))</f>
        <v>0</v>
      </c>
      <c r="AC115" s="99">
        <f t="shared" ca="1" si="14"/>
        <v>0</v>
      </c>
      <c r="AD115" s="98">
        <f ca="1">IF('Invoer gegevens (N)'!$C$17=E115,R115,IF(C115=0,0,AE114))</f>
        <v>0</v>
      </c>
      <c r="AE115" s="98">
        <f t="shared" ca="1" si="15"/>
        <v>0</v>
      </c>
      <c r="AF115" s="98">
        <f ca="1">IF('Invoer gegevens (N)'!$C$17=E115,X115,IF(C115=0,0,AG114))</f>
        <v>0</v>
      </c>
      <c r="AG115" s="98">
        <f t="shared" ca="1" si="16"/>
        <v>0</v>
      </c>
      <c r="AH115" s="66"/>
      <c r="AI115" s="71">
        <f ca="1">IF(C115=1,'Reeksen (N)'!AI115*((F115-G115+F115)/2)*12+'Reeksen (N)'!AD115*((L115-M115+L115)/2)*12,0)</f>
        <v>0</v>
      </c>
      <c r="AJ115" s="71">
        <f ca="1">-AI115*'Invoer gegevens (N)'!$F$28</f>
        <v>0</v>
      </c>
      <c r="AK115" s="71">
        <f t="shared" ca="1" si="17"/>
        <v>0</v>
      </c>
      <c r="AL115" s="71">
        <f ca="1">IF(C115=1,'Reeksen (N)'!AL115*((F115-G115+F115)/2)*12+'Reeksen (N)'!AM115*((L115-M115+L115)/2)*12,0)</f>
        <v>0</v>
      </c>
      <c r="AM115" s="71">
        <f ca="1">-AL115*'Invoer gegevens (N)'!$F$31</f>
        <v>0</v>
      </c>
      <c r="AN115" s="71">
        <f t="shared" ca="1" si="18"/>
        <v>0</v>
      </c>
      <c r="AO115" s="71">
        <f ca="1">IF(C115=1,(H115+J115+N115+P115)*'Reeksen (N)'!AN115,0)</f>
        <v>0</v>
      </c>
      <c r="AP115" s="71">
        <f ca="1">-IF(C115=1,(H115+J115+N115+P115)*'Hulp - basis'!$O$550*'Reeksen (N)'!H115,0)</f>
        <v>0</v>
      </c>
      <c r="AQ115" s="71">
        <f ca="1">-IF(C115=1,(F115+K115+L115+Q115)/2*'Invoer gegevens (N)'!$F$35*'Reeksen (N)'!J115,0)*2</f>
        <v>0</v>
      </c>
      <c r="AR115" s="71"/>
      <c r="AS115" s="71">
        <f ca="1">-IF(C115=1,(F115+K115+L115+Q115)/2*'Invoer gegevens (N)'!$F$37*'Reeksen (N)'!L115,0)</f>
        <v>0</v>
      </c>
      <c r="AT115" s="71">
        <f ca="1">-IF(C115=1,IF(E115='Invoer gegevens (N)'!$C$17,'Invoer gegevens (N)'!$C$11,AD115)*'Reeksen (N)'!S115*'Invoer gegevens (N)'!$C$18*'Reeksen (N)'!P115,0)</f>
        <v>0</v>
      </c>
      <c r="AU115" s="71">
        <f ca="1">-IF(C115=1,(F115+K115+L115+Q115)/2*'Invoer gegevens (N)'!$F$38*'Reeksen (N)'!H115,0)</f>
        <v>0</v>
      </c>
      <c r="AV115" s="71">
        <v>0</v>
      </c>
      <c r="AW115" s="71">
        <f t="shared" ca="1" si="19"/>
        <v>0</v>
      </c>
      <c r="AX115" s="71">
        <f ca="1">IF(E115&lt;'Invoer gegevens (N)'!$C$17+15,0,IF(E115&gt;'Invoer gegevens (N)'!$C$17+215,0,AW115))</f>
        <v>0</v>
      </c>
      <c r="AY115" s="71">
        <f ca="1">AX115/(1+'Invoer gegevens (N)'!$F$18)^($AZ115-('Invoer gegevens (N)'!$C$17-'Invoer gegevens (N)'!$C$16))/(1+'Invoer gegevens (N)'!$C$39)^('Invoer gegevens (N)'!$C$17-'Invoer gegevens (N)'!$C$16)</f>
        <v>0</v>
      </c>
      <c r="AZ115" s="68">
        <f ca="1">IF(E115-'Invoer gegevens (N)'!$C$17-14.5&lt;0,0,E115-'Invoer gegevens (N)'!$C$17-14.5)</f>
        <v>95.5</v>
      </c>
    </row>
    <row r="116" spans="1:52" x14ac:dyDescent="0.25">
      <c r="A116" s="59"/>
      <c r="B116" s="70">
        <f t="shared" si="20"/>
        <v>112</v>
      </c>
      <c r="C116" s="67">
        <f ca="1">IF(E116-'Invoer gegevens (N)'!$C$17&lt;0,0,1)</f>
        <v>1</v>
      </c>
      <c r="D116" s="68">
        <f t="shared" si="21"/>
        <v>111.5</v>
      </c>
      <c r="E116" s="69">
        <f ca="1">IF('Invoer gegevens (N)'!$C$16="","",E115+1)</f>
        <v>2130</v>
      </c>
      <c r="F116" s="84">
        <f ca="1">IF('Invoer gegevens (N)'!$C$17=E116,'Invoer gegevens (N)'!$C$10,IF(C116=1,K115,0))</f>
        <v>0</v>
      </c>
      <c r="G116" s="96">
        <f ca="1">IF(C116&gt;=1,F116*VLOOKUP(E116,'Reeksen (N)'!$A$5:$B$76,2),0)</f>
        <v>0</v>
      </c>
      <c r="H116" s="84">
        <f ca="1">(1-('Invoer gegevens (N)'!$F$20/12))*F116*MIN('Reeksen (N)'!B116,'Reeksen (N)'!D116)</f>
        <v>0</v>
      </c>
      <c r="I116" s="84">
        <f>IF('Reeksen (N)'!D116&lt;'Reeksen (N)'!B116,('Reeksen (N)'!B116-'Reeksen (N)'!D116)*F116,0)</f>
        <v>0</v>
      </c>
      <c r="J116" s="84">
        <f ca="1">('Invoer gegevens (N)'!$F$20/12)*F115*MIN('Reeksen (N)'!B115,'Reeksen (N)'!D115)</f>
        <v>0</v>
      </c>
      <c r="K116" s="97">
        <f t="shared" ca="1" si="11"/>
        <v>0</v>
      </c>
      <c r="L116" s="84">
        <f ca="1">IF('Invoer gegevens (N)'!$C$17=E116,0,IF(C116=1,Q115,0))</f>
        <v>0</v>
      </c>
      <c r="M116" s="96">
        <f ca="1">IF(C116&gt;=1,L116*VLOOKUP(E116,'Reeksen (N)'!$A$5:$B$76,2),0)</f>
        <v>0</v>
      </c>
      <c r="N116" s="84">
        <f ca="1">(1-('Invoer gegevens (N)'!$F$20/12))*L116*MIN('Reeksen (N)'!B116,'Reeksen (N)'!D116)</f>
        <v>0</v>
      </c>
      <c r="O116" s="84">
        <f>IF('Reeksen (N)'!D116&lt;'Reeksen (N)'!B116,('Reeksen (N)'!B116-'Reeksen (N)'!D116)*L116,0)</f>
        <v>0</v>
      </c>
      <c r="P116" s="84">
        <f ca="1">('Invoer gegevens (N)'!$F$20/12)*L115*MIN('Reeksen (N)'!B115,'Reeksen (N)'!D115)</f>
        <v>0</v>
      </c>
      <c r="Q116" s="84">
        <f t="shared" ca="1" si="12"/>
        <v>0</v>
      </c>
      <c r="R116" s="82">
        <f ca="1">IF('Invoer gegevens (N)'!$C$17=E116,'Invoer gegevens (N)'!$C$11,IF(C116=1,W115,0))</f>
        <v>0</v>
      </c>
      <c r="S116" s="86">
        <f ca="1">IF(C116&gt;=1,R116*VLOOKUP(E116,'Reeksen (N)'!$A$5:$B$76,2),0)</f>
        <v>0</v>
      </c>
      <c r="T116" s="84">
        <f ca="1">(1-('Invoer gegevens (N)'!$F$20/12))*R116*MIN('Reeksen (N)'!B116,'Reeksen (N)'!D116)</f>
        <v>0</v>
      </c>
      <c r="U116" s="84">
        <f>IF('Reeksen (N)'!D116&gt;='Reeksen (N)'!B116,0,IF('Reeksen (N)'!AD116&lt;='Reeksen (N)'!AE116,('Reeksen (N)'!B116-'Reeksen (N)'!D116)*R116,0))</f>
        <v>0</v>
      </c>
      <c r="V116" s="86">
        <f>IF('Reeksen (N)'!D116&gt;='Reeksen (N)'!B116,0,IF('Reeksen (N)'!AD116&gt;'Reeksen (N)'!AE116,('Reeksen (N)'!B116-'Reeksen (N)'!D116)*R116,0))</f>
        <v>0</v>
      </c>
      <c r="W116" s="97">
        <f t="shared" ca="1" si="13"/>
        <v>0</v>
      </c>
      <c r="X116" s="98">
        <f ca="1">IF('Invoer gegevens (N)'!$C$17=E116,'Invoer gegevens (N)'!$C$10-'Invoer gegevens (N)'!$C$11,IF(C116=1,AC115,0))</f>
        <v>0</v>
      </c>
      <c r="Y116" s="98">
        <f ca="1">IF(C116&gt;=1,X116*VLOOKUP(E116,'Reeksen (N)'!$A$5:$B$76,2),0)</f>
        <v>0</v>
      </c>
      <c r="Z116" s="98">
        <f ca="1">(1-('Invoer gegevens (N)'!$F$20/12))*X116*MIN('Reeksen (N)'!B116,'Reeksen (N)'!D116)</f>
        <v>0</v>
      </c>
      <c r="AA116" s="98">
        <f>IF('Reeksen (N)'!D116&gt;='Reeksen (N)'!B116,0,IF('Reeksen (N)'!AD116&lt;='Reeksen (N)'!AE116,('Reeksen (N)'!B116-'Reeksen (N)'!D116)*X116,0))</f>
        <v>0</v>
      </c>
      <c r="AB116" s="98">
        <f>IF('Reeksen (N)'!D116&gt;='Reeksen (N)'!B116,0,IF('Reeksen (N)'!AD116&gt;'Reeksen (N)'!AE116,('Reeksen (N)'!B116-'Reeksen (N)'!D116)*X116,0))</f>
        <v>0</v>
      </c>
      <c r="AC116" s="99">
        <f t="shared" ca="1" si="14"/>
        <v>0</v>
      </c>
      <c r="AD116" s="98">
        <f ca="1">IF('Invoer gegevens (N)'!$C$17=E116,R116,IF(C116=0,0,AE115))</f>
        <v>0</v>
      </c>
      <c r="AE116" s="98">
        <f t="shared" ca="1" si="15"/>
        <v>0</v>
      </c>
      <c r="AF116" s="98">
        <f ca="1">IF('Invoer gegevens (N)'!$C$17=E116,X116,IF(C116=0,0,AG115))</f>
        <v>0</v>
      </c>
      <c r="AG116" s="98">
        <f t="shared" ca="1" si="16"/>
        <v>0</v>
      </c>
      <c r="AH116" s="66"/>
      <c r="AI116" s="71">
        <f ca="1">IF(C116=1,'Reeksen (N)'!AI116*((F116-G116+F116)/2)*12+'Reeksen (N)'!AD116*((L116-M116+L116)/2)*12,0)</f>
        <v>0</v>
      </c>
      <c r="AJ116" s="71">
        <f ca="1">-AI116*'Invoer gegevens (N)'!$F$28</f>
        <v>0</v>
      </c>
      <c r="AK116" s="71">
        <f t="shared" ca="1" si="17"/>
        <v>0</v>
      </c>
      <c r="AL116" s="71">
        <f ca="1">IF(C116=1,'Reeksen (N)'!AL116*((F116-G116+F116)/2)*12+'Reeksen (N)'!AM116*((L116-M116+L116)/2)*12,0)</f>
        <v>0</v>
      </c>
      <c r="AM116" s="71">
        <f ca="1">-AL116*'Invoer gegevens (N)'!$F$31</f>
        <v>0</v>
      </c>
      <c r="AN116" s="71">
        <f t="shared" ca="1" si="18"/>
        <v>0</v>
      </c>
      <c r="AO116" s="71">
        <f ca="1">IF(C116=1,(H116+J116+N116+P116)*'Reeksen (N)'!AN116,0)</f>
        <v>0</v>
      </c>
      <c r="AP116" s="71">
        <f ca="1">-IF(C116=1,(H116+J116+N116+P116)*'Hulp - basis'!$O$550*'Reeksen (N)'!H116,0)</f>
        <v>0</v>
      </c>
      <c r="AQ116" s="71">
        <f ca="1">-IF(C116=1,(F116+K116+L116+Q116)/2*'Invoer gegevens (N)'!$F$35*'Reeksen (N)'!J116,0)*2</f>
        <v>0</v>
      </c>
      <c r="AR116" s="71"/>
      <c r="AS116" s="71">
        <f ca="1">-IF(C116=1,(F116+K116+L116+Q116)/2*'Invoer gegevens (N)'!$F$37*'Reeksen (N)'!L116,0)</f>
        <v>0</v>
      </c>
      <c r="AT116" s="71">
        <f ca="1">-IF(C116=1,IF(E116='Invoer gegevens (N)'!$C$17,'Invoer gegevens (N)'!$C$11,AD116)*'Reeksen (N)'!S116*'Invoer gegevens (N)'!$C$18*'Reeksen (N)'!P116,0)</f>
        <v>0</v>
      </c>
      <c r="AU116" s="71">
        <f ca="1">-IF(C116=1,(F116+K116+L116+Q116)/2*'Invoer gegevens (N)'!$F$38*'Reeksen (N)'!H116,0)</f>
        <v>0</v>
      </c>
      <c r="AV116" s="71">
        <v>0</v>
      </c>
      <c r="AW116" s="71">
        <f t="shared" ca="1" si="19"/>
        <v>0</v>
      </c>
      <c r="AX116" s="71">
        <f ca="1">IF(E116&lt;'Invoer gegevens (N)'!$C$17+15,0,IF(E116&gt;'Invoer gegevens (N)'!$C$17+215,0,AW116))</f>
        <v>0</v>
      </c>
      <c r="AY116" s="71">
        <f ca="1">AX116/(1+'Invoer gegevens (N)'!$F$18)^($AZ116-('Invoer gegevens (N)'!$C$17-'Invoer gegevens (N)'!$C$16))/(1+'Invoer gegevens (N)'!$C$39)^('Invoer gegevens (N)'!$C$17-'Invoer gegevens (N)'!$C$16)</f>
        <v>0</v>
      </c>
      <c r="AZ116" s="68">
        <f ca="1">IF(E116-'Invoer gegevens (N)'!$C$17-14.5&lt;0,0,E116-'Invoer gegevens (N)'!$C$17-14.5)</f>
        <v>96.5</v>
      </c>
    </row>
    <row r="117" spans="1:52" x14ac:dyDescent="0.25">
      <c r="A117" s="59"/>
      <c r="B117" s="70">
        <f t="shared" si="20"/>
        <v>113</v>
      </c>
      <c r="C117" s="67">
        <f ca="1">IF(E117-'Invoer gegevens (N)'!$C$17&lt;0,0,1)</f>
        <v>1</v>
      </c>
      <c r="D117" s="68">
        <f t="shared" si="21"/>
        <v>112.5</v>
      </c>
      <c r="E117" s="69">
        <f ca="1">IF('Invoer gegevens (N)'!$C$16="","",E116+1)</f>
        <v>2131</v>
      </c>
      <c r="F117" s="84">
        <f ca="1">IF('Invoer gegevens (N)'!$C$17=E117,'Invoer gegevens (N)'!$C$10,IF(C117=1,K116,0))</f>
        <v>0</v>
      </c>
      <c r="G117" s="96">
        <f ca="1">IF(C117&gt;=1,F117*VLOOKUP(E117,'Reeksen (N)'!$A$5:$B$76,2),0)</f>
        <v>0</v>
      </c>
      <c r="H117" s="84">
        <f ca="1">(1-('Invoer gegevens (N)'!$F$20/12))*F117*MIN('Reeksen (N)'!B117,'Reeksen (N)'!D117)</f>
        <v>0</v>
      </c>
      <c r="I117" s="84">
        <f>IF('Reeksen (N)'!D117&lt;'Reeksen (N)'!B117,('Reeksen (N)'!B117-'Reeksen (N)'!D117)*F117,0)</f>
        <v>0</v>
      </c>
      <c r="J117" s="84">
        <f ca="1">('Invoer gegevens (N)'!$F$20/12)*F116*MIN('Reeksen (N)'!B116,'Reeksen (N)'!D116)</f>
        <v>0</v>
      </c>
      <c r="K117" s="97">
        <f t="shared" ca="1" si="11"/>
        <v>0</v>
      </c>
      <c r="L117" s="84">
        <f ca="1">IF('Invoer gegevens (N)'!$C$17=E117,0,IF(C117=1,Q116,0))</f>
        <v>0</v>
      </c>
      <c r="M117" s="96">
        <f ca="1">IF(C117&gt;=1,L117*VLOOKUP(E117,'Reeksen (N)'!$A$5:$B$76,2),0)</f>
        <v>0</v>
      </c>
      <c r="N117" s="84">
        <f ca="1">(1-('Invoer gegevens (N)'!$F$20/12))*L117*MIN('Reeksen (N)'!B117,'Reeksen (N)'!D117)</f>
        <v>0</v>
      </c>
      <c r="O117" s="84">
        <f>IF('Reeksen (N)'!D117&lt;'Reeksen (N)'!B117,('Reeksen (N)'!B117-'Reeksen (N)'!D117)*L117,0)</f>
        <v>0</v>
      </c>
      <c r="P117" s="84">
        <f ca="1">('Invoer gegevens (N)'!$F$20/12)*L116*MIN('Reeksen (N)'!B116,'Reeksen (N)'!D116)</f>
        <v>0</v>
      </c>
      <c r="Q117" s="84">
        <f t="shared" ca="1" si="12"/>
        <v>0</v>
      </c>
      <c r="R117" s="82">
        <f ca="1">IF('Invoer gegevens (N)'!$C$17=E117,'Invoer gegevens (N)'!$C$11,IF(C117=1,W116,0))</f>
        <v>0</v>
      </c>
      <c r="S117" s="86">
        <f ca="1">IF(C117&gt;=1,R117*VLOOKUP(E117,'Reeksen (N)'!$A$5:$B$76,2),0)</f>
        <v>0</v>
      </c>
      <c r="T117" s="84">
        <f ca="1">(1-('Invoer gegevens (N)'!$F$20/12))*R117*MIN('Reeksen (N)'!B117,'Reeksen (N)'!D117)</f>
        <v>0</v>
      </c>
      <c r="U117" s="84">
        <f>IF('Reeksen (N)'!D117&gt;='Reeksen (N)'!B117,0,IF('Reeksen (N)'!AD117&lt;='Reeksen (N)'!AE117,('Reeksen (N)'!B117-'Reeksen (N)'!D117)*R117,0))</f>
        <v>0</v>
      </c>
      <c r="V117" s="86">
        <f>IF('Reeksen (N)'!D117&gt;='Reeksen (N)'!B117,0,IF('Reeksen (N)'!AD117&gt;'Reeksen (N)'!AE117,('Reeksen (N)'!B117-'Reeksen (N)'!D117)*R117,0))</f>
        <v>0</v>
      </c>
      <c r="W117" s="97">
        <f t="shared" ca="1" si="13"/>
        <v>0</v>
      </c>
      <c r="X117" s="98">
        <f ca="1">IF('Invoer gegevens (N)'!$C$17=E117,'Invoer gegevens (N)'!$C$10-'Invoer gegevens (N)'!$C$11,IF(C117=1,AC116,0))</f>
        <v>0</v>
      </c>
      <c r="Y117" s="98">
        <f ca="1">IF(C117&gt;=1,X117*VLOOKUP(E117,'Reeksen (N)'!$A$5:$B$76,2),0)</f>
        <v>0</v>
      </c>
      <c r="Z117" s="98">
        <f ca="1">(1-('Invoer gegevens (N)'!$F$20/12))*X117*MIN('Reeksen (N)'!B117,'Reeksen (N)'!D117)</f>
        <v>0</v>
      </c>
      <c r="AA117" s="98">
        <f>IF('Reeksen (N)'!D117&gt;='Reeksen (N)'!B117,0,IF('Reeksen (N)'!AD117&lt;='Reeksen (N)'!AE117,('Reeksen (N)'!B117-'Reeksen (N)'!D117)*X117,0))</f>
        <v>0</v>
      </c>
      <c r="AB117" s="98">
        <f>IF('Reeksen (N)'!D117&gt;='Reeksen (N)'!B117,0,IF('Reeksen (N)'!AD117&gt;'Reeksen (N)'!AE117,('Reeksen (N)'!B117-'Reeksen (N)'!D117)*X117,0))</f>
        <v>0</v>
      </c>
      <c r="AC117" s="99">
        <f t="shared" ca="1" si="14"/>
        <v>0</v>
      </c>
      <c r="AD117" s="98">
        <f ca="1">IF('Invoer gegevens (N)'!$C$17=E117,R117,IF(C117=0,0,AE116))</f>
        <v>0</v>
      </c>
      <c r="AE117" s="98">
        <f t="shared" ca="1" si="15"/>
        <v>0</v>
      </c>
      <c r="AF117" s="98">
        <f ca="1">IF('Invoer gegevens (N)'!$C$17=E117,X117,IF(C117=0,0,AG116))</f>
        <v>0</v>
      </c>
      <c r="AG117" s="98">
        <f t="shared" ca="1" si="16"/>
        <v>0</v>
      </c>
      <c r="AH117" s="66"/>
      <c r="AI117" s="71">
        <f ca="1">IF(C117=1,'Reeksen (N)'!AI117*((F117-G117+F117)/2)*12+'Reeksen (N)'!AD117*((L117-M117+L117)/2)*12,0)</f>
        <v>0</v>
      </c>
      <c r="AJ117" s="71">
        <f ca="1">-AI117*'Invoer gegevens (N)'!$F$28</f>
        <v>0</v>
      </c>
      <c r="AK117" s="71">
        <f t="shared" ca="1" si="17"/>
        <v>0</v>
      </c>
      <c r="AL117" s="71">
        <f ca="1">IF(C117=1,'Reeksen (N)'!AL117*((F117-G117+F117)/2)*12+'Reeksen (N)'!AM117*((L117-M117+L117)/2)*12,0)</f>
        <v>0</v>
      </c>
      <c r="AM117" s="71">
        <f ca="1">-AL117*'Invoer gegevens (N)'!$F$31</f>
        <v>0</v>
      </c>
      <c r="AN117" s="71">
        <f t="shared" ca="1" si="18"/>
        <v>0</v>
      </c>
      <c r="AO117" s="71">
        <f ca="1">IF(C117=1,(H117+J117+N117+P117)*'Reeksen (N)'!AN117,0)</f>
        <v>0</v>
      </c>
      <c r="AP117" s="71">
        <f ca="1">-IF(C117=1,(H117+J117+N117+P117)*'Hulp - basis'!$O$550*'Reeksen (N)'!H117,0)</f>
        <v>0</v>
      </c>
      <c r="AQ117" s="71">
        <f ca="1">-IF(C117=1,(F117+K117+L117+Q117)/2*'Invoer gegevens (N)'!$F$35*'Reeksen (N)'!J117,0)*2</f>
        <v>0</v>
      </c>
      <c r="AR117" s="71"/>
      <c r="AS117" s="71">
        <f ca="1">-IF(C117=1,(F117+K117+L117+Q117)/2*'Invoer gegevens (N)'!$F$37*'Reeksen (N)'!L117,0)</f>
        <v>0</v>
      </c>
      <c r="AT117" s="71">
        <f ca="1">-IF(C117=1,IF(E117='Invoer gegevens (N)'!$C$17,'Invoer gegevens (N)'!$C$11,AD117)*'Reeksen (N)'!S117*'Invoer gegevens (N)'!$C$18*'Reeksen (N)'!P117,0)</f>
        <v>0</v>
      </c>
      <c r="AU117" s="71">
        <f ca="1">-IF(C117=1,(F117+K117+L117+Q117)/2*'Invoer gegevens (N)'!$F$38*'Reeksen (N)'!H117,0)</f>
        <v>0</v>
      </c>
      <c r="AV117" s="71">
        <v>0</v>
      </c>
      <c r="AW117" s="71">
        <f t="shared" ca="1" si="19"/>
        <v>0</v>
      </c>
      <c r="AX117" s="71">
        <f ca="1">IF(E117&lt;'Invoer gegevens (N)'!$C$17+15,0,IF(E117&gt;'Invoer gegevens (N)'!$C$17+215,0,AW117))</f>
        <v>0</v>
      </c>
      <c r="AY117" s="71">
        <f ca="1">AX117/(1+'Invoer gegevens (N)'!$F$18)^($AZ117-('Invoer gegevens (N)'!$C$17-'Invoer gegevens (N)'!$C$16))/(1+'Invoer gegevens (N)'!$C$39)^('Invoer gegevens (N)'!$C$17-'Invoer gegevens (N)'!$C$16)</f>
        <v>0</v>
      </c>
      <c r="AZ117" s="68">
        <f ca="1">IF(E117-'Invoer gegevens (N)'!$C$17-14.5&lt;0,0,E117-'Invoer gegevens (N)'!$C$17-14.5)</f>
        <v>97.5</v>
      </c>
    </row>
    <row r="118" spans="1:52" x14ac:dyDescent="0.25">
      <c r="A118" s="59"/>
      <c r="B118" s="70">
        <f t="shared" si="20"/>
        <v>114</v>
      </c>
      <c r="C118" s="67">
        <f ca="1">IF(E118-'Invoer gegevens (N)'!$C$17&lt;0,0,1)</f>
        <v>1</v>
      </c>
      <c r="D118" s="68">
        <f t="shared" si="21"/>
        <v>113.5</v>
      </c>
      <c r="E118" s="69">
        <f ca="1">IF('Invoer gegevens (N)'!$C$16="","",E117+1)</f>
        <v>2132</v>
      </c>
      <c r="F118" s="84">
        <f ca="1">IF('Invoer gegevens (N)'!$C$17=E118,'Invoer gegevens (N)'!$C$10,IF(C118=1,K117,0))</f>
        <v>0</v>
      </c>
      <c r="G118" s="96">
        <f ca="1">IF(C118&gt;=1,F118*VLOOKUP(E118,'Reeksen (N)'!$A$5:$B$76,2),0)</f>
        <v>0</v>
      </c>
      <c r="H118" s="84">
        <f ca="1">(1-('Invoer gegevens (N)'!$F$20/12))*F118*MIN('Reeksen (N)'!B118,'Reeksen (N)'!D118)</f>
        <v>0</v>
      </c>
      <c r="I118" s="84">
        <f>IF('Reeksen (N)'!D118&lt;'Reeksen (N)'!B118,('Reeksen (N)'!B118-'Reeksen (N)'!D118)*F118,0)</f>
        <v>0</v>
      </c>
      <c r="J118" s="84">
        <f ca="1">('Invoer gegevens (N)'!$F$20/12)*F117*MIN('Reeksen (N)'!B117,'Reeksen (N)'!D117)</f>
        <v>0</v>
      </c>
      <c r="K118" s="97">
        <f t="shared" ca="1" si="11"/>
        <v>0</v>
      </c>
      <c r="L118" s="84">
        <f ca="1">IF('Invoer gegevens (N)'!$C$17=E118,0,IF(C118=1,Q117,0))</f>
        <v>0</v>
      </c>
      <c r="M118" s="96">
        <f ca="1">IF(C118&gt;=1,L118*VLOOKUP(E118,'Reeksen (N)'!$A$5:$B$76,2),0)</f>
        <v>0</v>
      </c>
      <c r="N118" s="84">
        <f ca="1">(1-('Invoer gegevens (N)'!$F$20/12))*L118*MIN('Reeksen (N)'!B118,'Reeksen (N)'!D118)</f>
        <v>0</v>
      </c>
      <c r="O118" s="84">
        <f>IF('Reeksen (N)'!D118&lt;'Reeksen (N)'!B118,('Reeksen (N)'!B118-'Reeksen (N)'!D118)*L118,0)</f>
        <v>0</v>
      </c>
      <c r="P118" s="84">
        <f ca="1">('Invoer gegevens (N)'!$F$20/12)*L117*MIN('Reeksen (N)'!B117,'Reeksen (N)'!D117)</f>
        <v>0</v>
      </c>
      <c r="Q118" s="84">
        <f t="shared" ca="1" si="12"/>
        <v>0</v>
      </c>
      <c r="R118" s="82">
        <f ca="1">IF('Invoer gegevens (N)'!$C$17=E118,'Invoer gegevens (N)'!$C$11,IF(C118=1,W117,0))</f>
        <v>0</v>
      </c>
      <c r="S118" s="86">
        <f ca="1">IF(C118&gt;=1,R118*VLOOKUP(E118,'Reeksen (N)'!$A$5:$B$76,2),0)</f>
        <v>0</v>
      </c>
      <c r="T118" s="84">
        <f ca="1">(1-('Invoer gegevens (N)'!$F$20/12))*R118*MIN('Reeksen (N)'!B118,'Reeksen (N)'!D118)</f>
        <v>0</v>
      </c>
      <c r="U118" s="84">
        <f>IF('Reeksen (N)'!D118&gt;='Reeksen (N)'!B118,0,IF('Reeksen (N)'!AD118&lt;='Reeksen (N)'!AE118,('Reeksen (N)'!B118-'Reeksen (N)'!D118)*R118,0))</f>
        <v>0</v>
      </c>
      <c r="V118" s="86">
        <f>IF('Reeksen (N)'!D118&gt;='Reeksen (N)'!B118,0,IF('Reeksen (N)'!AD118&gt;'Reeksen (N)'!AE118,('Reeksen (N)'!B118-'Reeksen (N)'!D118)*R118,0))</f>
        <v>0</v>
      </c>
      <c r="W118" s="97">
        <f t="shared" ca="1" si="13"/>
        <v>0</v>
      </c>
      <c r="X118" s="98">
        <f ca="1">IF('Invoer gegevens (N)'!$C$17=E118,'Invoer gegevens (N)'!$C$10-'Invoer gegevens (N)'!$C$11,IF(C118=1,AC117,0))</f>
        <v>0</v>
      </c>
      <c r="Y118" s="98">
        <f ca="1">IF(C118&gt;=1,X118*VLOOKUP(E118,'Reeksen (N)'!$A$5:$B$76,2),0)</f>
        <v>0</v>
      </c>
      <c r="Z118" s="98">
        <f ca="1">(1-('Invoer gegevens (N)'!$F$20/12))*X118*MIN('Reeksen (N)'!B118,'Reeksen (N)'!D118)</f>
        <v>0</v>
      </c>
      <c r="AA118" s="98">
        <f>IF('Reeksen (N)'!D118&gt;='Reeksen (N)'!B118,0,IF('Reeksen (N)'!AD118&lt;='Reeksen (N)'!AE118,('Reeksen (N)'!B118-'Reeksen (N)'!D118)*X118,0))</f>
        <v>0</v>
      </c>
      <c r="AB118" s="98">
        <f>IF('Reeksen (N)'!D118&gt;='Reeksen (N)'!B118,0,IF('Reeksen (N)'!AD118&gt;'Reeksen (N)'!AE118,('Reeksen (N)'!B118-'Reeksen (N)'!D118)*X118,0))</f>
        <v>0</v>
      </c>
      <c r="AC118" s="99">
        <f t="shared" ca="1" si="14"/>
        <v>0</v>
      </c>
      <c r="AD118" s="98">
        <f ca="1">IF('Invoer gegevens (N)'!$C$17=E118,R118,IF(C118=0,0,AE117))</f>
        <v>0</v>
      </c>
      <c r="AE118" s="98">
        <f t="shared" ca="1" si="15"/>
        <v>0</v>
      </c>
      <c r="AF118" s="98">
        <f ca="1">IF('Invoer gegevens (N)'!$C$17=E118,X118,IF(C118=0,0,AG117))</f>
        <v>0</v>
      </c>
      <c r="AG118" s="98">
        <f t="shared" ca="1" si="16"/>
        <v>0</v>
      </c>
      <c r="AH118" s="66"/>
      <c r="AI118" s="71">
        <f ca="1">IF(C118=1,'Reeksen (N)'!AI118*((F118-G118+F118)/2)*12+'Reeksen (N)'!AD118*((L118-M118+L118)/2)*12,0)</f>
        <v>0</v>
      </c>
      <c r="AJ118" s="71">
        <f ca="1">-AI118*'Invoer gegevens (N)'!$F$28</f>
        <v>0</v>
      </c>
      <c r="AK118" s="71">
        <f t="shared" ca="1" si="17"/>
        <v>0</v>
      </c>
      <c r="AL118" s="71">
        <f ca="1">IF(C118=1,'Reeksen (N)'!AL118*((F118-G118+F118)/2)*12+'Reeksen (N)'!AM118*((L118-M118+L118)/2)*12,0)</f>
        <v>0</v>
      </c>
      <c r="AM118" s="71">
        <f ca="1">-AL118*'Invoer gegevens (N)'!$F$31</f>
        <v>0</v>
      </c>
      <c r="AN118" s="71">
        <f t="shared" ca="1" si="18"/>
        <v>0</v>
      </c>
      <c r="AO118" s="71">
        <f ca="1">IF(C118=1,(H118+J118+N118+P118)*'Reeksen (N)'!AN118,0)</f>
        <v>0</v>
      </c>
      <c r="AP118" s="71">
        <f ca="1">-IF(C118=1,(H118+J118+N118+P118)*'Hulp - basis'!$O$550*'Reeksen (N)'!H118,0)</f>
        <v>0</v>
      </c>
      <c r="AQ118" s="71">
        <f ca="1">-IF(C118=1,(F118+K118+L118+Q118)/2*'Invoer gegevens (N)'!$F$35*'Reeksen (N)'!J118,0)*2</f>
        <v>0</v>
      </c>
      <c r="AR118" s="71"/>
      <c r="AS118" s="71">
        <f ca="1">-IF(C118=1,(F118+K118+L118+Q118)/2*'Invoer gegevens (N)'!$F$37*'Reeksen (N)'!L118,0)</f>
        <v>0</v>
      </c>
      <c r="AT118" s="71">
        <f ca="1">-IF(C118=1,IF(E118='Invoer gegevens (N)'!$C$17,'Invoer gegevens (N)'!$C$11,AD118)*'Reeksen (N)'!S118*'Invoer gegevens (N)'!$C$18*'Reeksen (N)'!P118,0)</f>
        <v>0</v>
      </c>
      <c r="AU118" s="71">
        <f ca="1">-IF(C118=1,(F118+K118+L118+Q118)/2*'Invoer gegevens (N)'!$F$38*'Reeksen (N)'!H118,0)</f>
        <v>0</v>
      </c>
      <c r="AV118" s="71">
        <v>0</v>
      </c>
      <c r="AW118" s="71">
        <f t="shared" ca="1" si="19"/>
        <v>0</v>
      </c>
      <c r="AX118" s="71">
        <f ca="1">IF(E118&lt;'Invoer gegevens (N)'!$C$17+15,0,IF(E118&gt;'Invoer gegevens (N)'!$C$17+215,0,AW118))</f>
        <v>0</v>
      </c>
      <c r="AY118" s="71">
        <f ca="1">AX118/(1+'Invoer gegevens (N)'!$F$18)^($AZ118-('Invoer gegevens (N)'!$C$17-'Invoer gegevens (N)'!$C$16))/(1+'Invoer gegevens (N)'!$C$39)^('Invoer gegevens (N)'!$C$17-'Invoer gegevens (N)'!$C$16)</f>
        <v>0</v>
      </c>
      <c r="AZ118" s="68">
        <f ca="1">IF(E118-'Invoer gegevens (N)'!$C$17-14.5&lt;0,0,E118-'Invoer gegevens (N)'!$C$17-14.5)</f>
        <v>98.5</v>
      </c>
    </row>
    <row r="119" spans="1:52" x14ac:dyDescent="0.25">
      <c r="A119" s="59"/>
      <c r="B119" s="70">
        <f t="shared" si="20"/>
        <v>115</v>
      </c>
      <c r="C119" s="67">
        <f ca="1">IF(E119-'Invoer gegevens (N)'!$C$17&lt;0,0,1)</f>
        <v>1</v>
      </c>
      <c r="D119" s="68">
        <f t="shared" si="21"/>
        <v>114.5</v>
      </c>
      <c r="E119" s="69">
        <f ca="1">IF('Invoer gegevens (N)'!$C$16="","",E118+1)</f>
        <v>2133</v>
      </c>
      <c r="F119" s="84">
        <f ca="1">IF('Invoer gegevens (N)'!$C$17=E119,'Invoer gegevens (N)'!$C$10,IF(C119=1,K118,0))</f>
        <v>0</v>
      </c>
      <c r="G119" s="96">
        <f ca="1">IF(C119&gt;=1,F119*VLOOKUP(E119,'Reeksen (N)'!$A$5:$B$76,2),0)</f>
        <v>0</v>
      </c>
      <c r="H119" s="84">
        <f ca="1">(1-('Invoer gegevens (N)'!$F$20/12))*F119*MIN('Reeksen (N)'!B119,'Reeksen (N)'!D119)</f>
        <v>0</v>
      </c>
      <c r="I119" s="84">
        <f>IF('Reeksen (N)'!D119&lt;'Reeksen (N)'!B119,('Reeksen (N)'!B119-'Reeksen (N)'!D119)*F119,0)</f>
        <v>0</v>
      </c>
      <c r="J119" s="84">
        <f ca="1">('Invoer gegevens (N)'!$F$20/12)*F118*MIN('Reeksen (N)'!B118,'Reeksen (N)'!D118)</f>
        <v>0</v>
      </c>
      <c r="K119" s="97">
        <f t="shared" ca="1" si="11"/>
        <v>0</v>
      </c>
      <c r="L119" s="84">
        <f ca="1">IF('Invoer gegevens (N)'!$C$17=E119,0,IF(C119=1,Q118,0))</f>
        <v>0</v>
      </c>
      <c r="M119" s="96">
        <f ca="1">IF(C119&gt;=1,L119*VLOOKUP(E119,'Reeksen (N)'!$A$5:$B$76,2),0)</f>
        <v>0</v>
      </c>
      <c r="N119" s="84">
        <f ca="1">(1-('Invoer gegevens (N)'!$F$20/12))*L119*MIN('Reeksen (N)'!B119,'Reeksen (N)'!D119)</f>
        <v>0</v>
      </c>
      <c r="O119" s="84">
        <f>IF('Reeksen (N)'!D119&lt;'Reeksen (N)'!B119,('Reeksen (N)'!B119-'Reeksen (N)'!D119)*L119,0)</f>
        <v>0</v>
      </c>
      <c r="P119" s="84">
        <f ca="1">('Invoer gegevens (N)'!$F$20/12)*L118*MIN('Reeksen (N)'!B118,'Reeksen (N)'!D118)</f>
        <v>0</v>
      </c>
      <c r="Q119" s="84">
        <f t="shared" ca="1" si="12"/>
        <v>0</v>
      </c>
      <c r="R119" s="82">
        <f ca="1">IF('Invoer gegevens (N)'!$C$17=E119,'Invoer gegevens (N)'!$C$11,IF(C119=1,W118,0))</f>
        <v>0</v>
      </c>
      <c r="S119" s="86">
        <f ca="1">IF(C119&gt;=1,R119*VLOOKUP(E119,'Reeksen (N)'!$A$5:$B$76,2),0)</f>
        <v>0</v>
      </c>
      <c r="T119" s="84">
        <f ca="1">(1-('Invoer gegevens (N)'!$F$20/12))*R119*MIN('Reeksen (N)'!B119,'Reeksen (N)'!D119)</f>
        <v>0</v>
      </c>
      <c r="U119" s="84">
        <f>IF('Reeksen (N)'!D119&gt;='Reeksen (N)'!B119,0,IF('Reeksen (N)'!AD119&lt;='Reeksen (N)'!AE119,('Reeksen (N)'!B119-'Reeksen (N)'!D119)*R119,0))</f>
        <v>0</v>
      </c>
      <c r="V119" s="86">
        <f>IF('Reeksen (N)'!D119&gt;='Reeksen (N)'!B119,0,IF('Reeksen (N)'!AD119&gt;'Reeksen (N)'!AE119,('Reeksen (N)'!B119-'Reeksen (N)'!D119)*R119,0))</f>
        <v>0</v>
      </c>
      <c r="W119" s="97">
        <f t="shared" ca="1" si="13"/>
        <v>0</v>
      </c>
      <c r="X119" s="98">
        <f ca="1">IF('Invoer gegevens (N)'!$C$17=E119,'Invoer gegevens (N)'!$C$10-'Invoer gegevens (N)'!$C$11,IF(C119=1,AC118,0))</f>
        <v>0</v>
      </c>
      <c r="Y119" s="98">
        <f ca="1">IF(C119&gt;=1,X119*VLOOKUP(E119,'Reeksen (N)'!$A$5:$B$76,2),0)</f>
        <v>0</v>
      </c>
      <c r="Z119" s="98">
        <f ca="1">(1-('Invoer gegevens (N)'!$F$20/12))*X119*MIN('Reeksen (N)'!B119,'Reeksen (N)'!D119)</f>
        <v>0</v>
      </c>
      <c r="AA119" s="98">
        <f>IF('Reeksen (N)'!D119&gt;='Reeksen (N)'!B119,0,IF('Reeksen (N)'!AD119&lt;='Reeksen (N)'!AE119,('Reeksen (N)'!B119-'Reeksen (N)'!D119)*X119,0))</f>
        <v>0</v>
      </c>
      <c r="AB119" s="98">
        <f>IF('Reeksen (N)'!D119&gt;='Reeksen (N)'!B119,0,IF('Reeksen (N)'!AD119&gt;'Reeksen (N)'!AE119,('Reeksen (N)'!B119-'Reeksen (N)'!D119)*X119,0))</f>
        <v>0</v>
      </c>
      <c r="AC119" s="99">
        <f t="shared" ca="1" si="14"/>
        <v>0</v>
      </c>
      <c r="AD119" s="98">
        <f ca="1">IF('Invoer gegevens (N)'!$C$17=E119,R119,IF(C119=0,0,AE118))</f>
        <v>0</v>
      </c>
      <c r="AE119" s="98">
        <f t="shared" ca="1" si="15"/>
        <v>0</v>
      </c>
      <c r="AF119" s="98">
        <f ca="1">IF('Invoer gegevens (N)'!$C$17=E119,X119,IF(C119=0,0,AG118))</f>
        <v>0</v>
      </c>
      <c r="AG119" s="98">
        <f t="shared" ca="1" si="16"/>
        <v>0</v>
      </c>
      <c r="AH119" s="66"/>
      <c r="AI119" s="71">
        <f ca="1">IF(C119=1,'Reeksen (N)'!AI119*((F119-G119+F119)/2)*12+'Reeksen (N)'!AD119*((L119-M119+L119)/2)*12,0)</f>
        <v>0</v>
      </c>
      <c r="AJ119" s="71">
        <f ca="1">-AI119*'Invoer gegevens (N)'!$F$28</f>
        <v>0</v>
      </c>
      <c r="AK119" s="71">
        <f t="shared" ca="1" si="17"/>
        <v>0</v>
      </c>
      <c r="AL119" s="71">
        <f ca="1">IF(C119=1,'Reeksen (N)'!AL119*((F119-G119+F119)/2)*12+'Reeksen (N)'!AM119*((L119-M119+L119)/2)*12,0)</f>
        <v>0</v>
      </c>
      <c r="AM119" s="71">
        <f ca="1">-AL119*'Invoer gegevens (N)'!$F$31</f>
        <v>0</v>
      </c>
      <c r="AN119" s="71">
        <f t="shared" ca="1" si="18"/>
        <v>0</v>
      </c>
      <c r="AO119" s="71">
        <f ca="1">IF(C119=1,(H119+J119+N119+P119)*'Reeksen (N)'!AN119,0)</f>
        <v>0</v>
      </c>
      <c r="AP119" s="71">
        <f ca="1">-IF(C119=1,(H119+J119+N119+P119)*'Hulp - basis'!$O$550*'Reeksen (N)'!H119,0)</f>
        <v>0</v>
      </c>
      <c r="AQ119" s="71">
        <f ca="1">-IF(C119=1,(F119+K119+L119+Q119)/2*'Invoer gegevens (N)'!$F$35*'Reeksen (N)'!J119,0)*2</f>
        <v>0</v>
      </c>
      <c r="AR119" s="71"/>
      <c r="AS119" s="71">
        <f ca="1">-IF(C119=1,(F119+K119+L119+Q119)/2*'Invoer gegevens (N)'!$F$37*'Reeksen (N)'!L119,0)</f>
        <v>0</v>
      </c>
      <c r="AT119" s="71">
        <f ca="1">-IF(C119=1,IF(E119='Invoer gegevens (N)'!$C$17,'Invoer gegevens (N)'!$C$11,AD119)*'Reeksen (N)'!S119*'Invoer gegevens (N)'!$C$18*'Reeksen (N)'!P119,0)</f>
        <v>0</v>
      </c>
      <c r="AU119" s="71">
        <f ca="1">-IF(C119=1,(F119+K119+L119+Q119)/2*'Invoer gegevens (N)'!$F$38*'Reeksen (N)'!H119,0)</f>
        <v>0</v>
      </c>
      <c r="AV119" s="71">
        <v>0</v>
      </c>
      <c r="AW119" s="71">
        <f t="shared" ca="1" si="19"/>
        <v>0</v>
      </c>
      <c r="AX119" s="71">
        <f ca="1">IF(E119&lt;'Invoer gegevens (N)'!$C$17+15,0,IF(E119&gt;'Invoer gegevens (N)'!$C$17+215,0,AW119))</f>
        <v>0</v>
      </c>
      <c r="AY119" s="71">
        <f ca="1">AX119/(1+'Invoer gegevens (N)'!$F$18)^($AZ119-('Invoer gegevens (N)'!$C$17-'Invoer gegevens (N)'!$C$16))/(1+'Invoer gegevens (N)'!$C$39)^('Invoer gegevens (N)'!$C$17-'Invoer gegevens (N)'!$C$16)</f>
        <v>0</v>
      </c>
      <c r="AZ119" s="68">
        <f ca="1">IF(E119-'Invoer gegevens (N)'!$C$17-14.5&lt;0,0,E119-'Invoer gegevens (N)'!$C$17-14.5)</f>
        <v>99.5</v>
      </c>
    </row>
    <row r="120" spans="1:52" x14ac:dyDescent="0.25">
      <c r="A120" s="59"/>
      <c r="B120" s="70">
        <f t="shared" si="20"/>
        <v>116</v>
      </c>
      <c r="C120" s="67">
        <f ca="1">IF(E120-'Invoer gegevens (N)'!$C$17&lt;0,0,1)</f>
        <v>1</v>
      </c>
      <c r="D120" s="68">
        <f t="shared" si="21"/>
        <v>115.5</v>
      </c>
      <c r="E120" s="69">
        <f ca="1">IF('Invoer gegevens (N)'!$C$16="","",E119+1)</f>
        <v>2134</v>
      </c>
      <c r="F120" s="84">
        <f ca="1">IF('Invoer gegevens (N)'!$C$17=E120,'Invoer gegevens (N)'!$C$10,IF(C120=1,K119,0))</f>
        <v>0</v>
      </c>
      <c r="G120" s="96">
        <f ca="1">IF(C120&gt;=1,F120*VLOOKUP(E120,'Reeksen (N)'!$A$5:$B$76,2),0)</f>
        <v>0</v>
      </c>
      <c r="H120" s="84">
        <f ca="1">(1-('Invoer gegevens (N)'!$F$20/12))*F120*MIN('Reeksen (N)'!B120,'Reeksen (N)'!D120)</f>
        <v>0</v>
      </c>
      <c r="I120" s="84">
        <f>IF('Reeksen (N)'!D120&lt;'Reeksen (N)'!B120,('Reeksen (N)'!B120-'Reeksen (N)'!D120)*F120,0)</f>
        <v>0</v>
      </c>
      <c r="J120" s="84">
        <f ca="1">('Invoer gegevens (N)'!$F$20/12)*F119*MIN('Reeksen (N)'!B119,'Reeksen (N)'!D119)</f>
        <v>0</v>
      </c>
      <c r="K120" s="97">
        <f t="shared" ca="1" si="11"/>
        <v>0</v>
      </c>
      <c r="L120" s="84">
        <f ca="1">IF('Invoer gegevens (N)'!$C$17=E120,0,IF(C120=1,Q119,0))</f>
        <v>0</v>
      </c>
      <c r="M120" s="96">
        <f ca="1">IF(C120&gt;=1,L120*VLOOKUP(E120,'Reeksen (N)'!$A$5:$B$76,2),0)</f>
        <v>0</v>
      </c>
      <c r="N120" s="84">
        <f ca="1">(1-('Invoer gegevens (N)'!$F$20/12))*L120*MIN('Reeksen (N)'!B120,'Reeksen (N)'!D120)</f>
        <v>0</v>
      </c>
      <c r="O120" s="84">
        <f>IF('Reeksen (N)'!D120&lt;'Reeksen (N)'!B120,('Reeksen (N)'!B120-'Reeksen (N)'!D120)*L120,0)</f>
        <v>0</v>
      </c>
      <c r="P120" s="84">
        <f ca="1">('Invoer gegevens (N)'!$F$20/12)*L119*MIN('Reeksen (N)'!B119,'Reeksen (N)'!D119)</f>
        <v>0</v>
      </c>
      <c r="Q120" s="84">
        <f t="shared" ca="1" si="12"/>
        <v>0</v>
      </c>
      <c r="R120" s="82">
        <f ca="1">IF('Invoer gegevens (N)'!$C$17=E120,'Invoer gegevens (N)'!$C$11,IF(C120=1,W119,0))</f>
        <v>0</v>
      </c>
      <c r="S120" s="86">
        <f ca="1">IF(C120&gt;=1,R120*VLOOKUP(E120,'Reeksen (N)'!$A$5:$B$76,2),0)</f>
        <v>0</v>
      </c>
      <c r="T120" s="84">
        <f ca="1">(1-('Invoer gegevens (N)'!$F$20/12))*R120*MIN('Reeksen (N)'!B120,'Reeksen (N)'!D120)</f>
        <v>0</v>
      </c>
      <c r="U120" s="84">
        <f>IF('Reeksen (N)'!D120&gt;='Reeksen (N)'!B120,0,IF('Reeksen (N)'!AD120&lt;='Reeksen (N)'!AE120,('Reeksen (N)'!B120-'Reeksen (N)'!D120)*R120,0))</f>
        <v>0</v>
      </c>
      <c r="V120" s="86">
        <f>IF('Reeksen (N)'!D120&gt;='Reeksen (N)'!B120,0,IF('Reeksen (N)'!AD120&gt;'Reeksen (N)'!AE120,('Reeksen (N)'!B120-'Reeksen (N)'!D120)*R120,0))</f>
        <v>0</v>
      </c>
      <c r="W120" s="97">
        <f t="shared" ca="1" si="13"/>
        <v>0</v>
      </c>
      <c r="X120" s="98">
        <f ca="1">IF('Invoer gegevens (N)'!$C$17=E120,'Invoer gegevens (N)'!$C$10-'Invoer gegevens (N)'!$C$11,IF(C120=1,AC119,0))</f>
        <v>0</v>
      </c>
      <c r="Y120" s="98">
        <f ca="1">IF(C120&gt;=1,X120*VLOOKUP(E120,'Reeksen (N)'!$A$5:$B$76,2),0)</f>
        <v>0</v>
      </c>
      <c r="Z120" s="98">
        <f ca="1">(1-('Invoer gegevens (N)'!$F$20/12))*X120*MIN('Reeksen (N)'!B120,'Reeksen (N)'!D120)</f>
        <v>0</v>
      </c>
      <c r="AA120" s="98">
        <f>IF('Reeksen (N)'!D120&gt;='Reeksen (N)'!B120,0,IF('Reeksen (N)'!AD120&lt;='Reeksen (N)'!AE120,('Reeksen (N)'!B120-'Reeksen (N)'!D120)*X120,0))</f>
        <v>0</v>
      </c>
      <c r="AB120" s="98">
        <f>IF('Reeksen (N)'!D120&gt;='Reeksen (N)'!B120,0,IF('Reeksen (N)'!AD120&gt;'Reeksen (N)'!AE120,('Reeksen (N)'!B120-'Reeksen (N)'!D120)*X120,0))</f>
        <v>0</v>
      </c>
      <c r="AC120" s="99">
        <f t="shared" ca="1" si="14"/>
        <v>0</v>
      </c>
      <c r="AD120" s="98">
        <f ca="1">IF('Invoer gegevens (N)'!$C$17=E120,R120,IF(C120=0,0,AE119))</f>
        <v>0</v>
      </c>
      <c r="AE120" s="98">
        <f t="shared" ca="1" si="15"/>
        <v>0</v>
      </c>
      <c r="AF120" s="98">
        <f ca="1">IF('Invoer gegevens (N)'!$C$17=E120,X120,IF(C120=0,0,AG119))</f>
        <v>0</v>
      </c>
      <c r="AG120" s="98">
        <f t="shared" ca="1" si="16"/>
        <v>0</v>
      </c>
      <c r="AH120" s="66"/>
      <c r="AI120" s="71">
        <f ca="1">IF(C120=1,'Reeksen (N)'!AI120*((F120-G120+F120)/2)*12+'Reeksen (N)'!AD120*((L120-M120+L120)/2)*12,0)</f>
        <v>0</v>
      </c>
      <c r="AJ120" s="71">
        <f ca="1">-AI120*'Invoer gegevens (N)'!$F$28</f>
        <v>0</v>
      </c>
      <c r="AK120" s="71">
        <f t="shared" ca="1" si="17"/>
        <v>0</v>
      </c>
      <c r="AL120" s="71">
        <f ca="1">IF(C120=1,'Reeksen (N)'!AL120*((F120-G120+F120)/2)*12+'Reeksen (N)'!AM120*((L120-M120+L120)/2)*12,0)</f>
        <v>0</v>
      </c>
      <c r="AM120" s="71">
        <f ca="1">-AL120*'Invoer gegevens (N)'!$F$31</f>
        <v>0</v>
      </c>
      <c r="AN120" s="71">
        <f t="shared" ca="1" si="18"/>
        <v>0</v>
      </c>
      <c r="AO120" s="71">
        <f ca="1">IF(C120=1,(H120+J120+N120+P120)*'Reeksen (N)'!AN120,0)</f>
        <v>0</v>
      </c>
      <c r="AP120" s="71">
        <f ca="1">-IF(C120=1,(H120+J120+N120+P120)*'Hulp - basis'!$O$550*'Reeksen (N)'!H120,0)</f>
        <v>0</v>
      </c>
      <c r="AQ120" s="71">
        <f ca="1">-IF(C120=1,(F120+K120+L120+Q120)/2*'Invoer gegevens (N)'!$F$35*'Reeksen (N)'!J120,0)*2</f>
        <v>0</v>
      </c>
      <c r="AR120" s="71"/>
      <c r="AS120" s="71">
        <f ca="1">-IF(C120=1,(F120+K120+L120+Q120)/2*'Invoer gegevens (N)'!$F$37*'Reeksen (N)'!L120,0)</f>
        <v>0</v>
      </c>
      <c r="AT120" s="71">
        <f ca="1">-IF(C120=1,IF(E120='Invoer gegevens (N)'!$C$17,'Invoer gegevens (N)'!$C$11,AD120)*'Reeksen (N)'!S120*'Invoer gegevens (N)'!$C$18*'Reeksen (N)'!P120,0)</f>
        <v>0</v>
      </c>
      <c r="AU120" s="71">
        <f ca="1">-IF(C120=1,(F120+K120+L120+Q120)/2*'Invoer gegevens (N)'!$F$38*'Reeksen (N)'!H120,0)</f>
        <v>0</v>
      </c>
      <c r="AV120" s="71">
        <v>0</v>
      </c>
      <c r="AW120" s="71">
        <f t="shared" ca="1" si="19"/>
        <v>0</v>
      </c>
      <c r="AX120" s="71">
        <f ca="1">IF(E120&lt;'Invoer gegevens (N)'!$C$17+15,0,IF(E120&gt;'Invoer gegevens (N)'!$C$17+215,0,AW120))</f>
        <v>0</v>
      </c>
      <c r="AY120" s="71">
        <f ca="1">AX120/(1+'Invoer gegevens (N)'!$F$18)^($AZ120-('Invoer gegevens (N)'!$C$17-'Invoer gegevens (N)'!$C$16))/(1+'Invoer gegevens (N)'!$C$39)^('Invoer gegevens (N)'!$C$17-'Invoer gegevens (N)'!$C$16)</f>
        <v>0</v>
      </c>
      <c r="AZ120" s="68">
        <f ca="1">IF(E120-'Invoer gegevens (N)'!$C$17-14.5&lt;0,0,E120-'Invoer gegevens (N)'!$C$17-14.5)</f>
        <v>100.5</v>
      </c>
    </row>
    <row r="121" spans="1:52" x14ac:dyDescent="0.25">
      <c r="A121" s="59"/>
      <c r="B121" s="70">
        <f t="shared" si="20"/>
        <v>117</v>
      </c>
      <c r="C121" s="67">
        <f ca="1">IF(E121-'Invoer gegevens (N)'!$C$17&lt;0,0,1)</f>
        <v>1</v>
      </c>
      <c r="D121" s="68">
        <f t="shared" si="21"/>
        <v>116.5</v>
      </c>
      <c r="E121" s="69">
        <f ca="1">IF('Invoer gegevens (N)'!$C$16="","",E120+1)</f>
        <v>2135</v>
      </c>
      <c r="F121" s="84">
        <f ca="1">IF('Invoer gegevens (N)'!$C$17=E121,'Invoer gegevens (N)'!$C$10,IF(C121=1,K120,0))</f>
        <v>0</v>
      </c>
      <c r="G121" s="96">
        <f ca="1">IF(C121&gt;=1,F121*VLOOKUP(E121,'Reeksen (N)'!$A$5:$B$76,2),0)</f>
        <v>0</v>
      </c>
      <c r="H121" s="84">
        <f ca="1">(1-('Invoer gegevens (N)'!$F$20/12))*F121*MIN('Reeksen (N)'!B121,'Reeksen (N)'!D121)</f>
        <v>0</v>
      </c>
      <c r="I121" s="84">
        <f>IF('Reeksen (N)'!D121&lt;'Reeksen (N)'!B121,('Reeksen (N)'!B121-'Reeksen (N)'!D121)*F121,0)</f>
        <v>0</v>
      </c>
      <c r="J121" s="84">
        <f ca="1">('Invoer gegevens (N)'!$F$20/12)*F120*MIN('Reeksen (N)'!B120,'Reeksen (N)'!D120)</f>
        <v>0</v>
      </c>
      <c r="K121" s="97">
        <f t="shared" ca="1" si="11"/>
        <v>0</v>
      </c>
      <c r="L121" s="84">
        <f ca="1">IF('Invoer gegevens (N)'!$C$17=E121,0,IF(C121=1,Q120,0))</f>
        <v>0</v>
      </c>
      <c r="M121" s="96">
        <f ca="1">IF(C121&gt;=1,L121*VLOOKUP(E121,'Reeksen (N)'!$A$5:$B$76,2),0)</f>
        <v>0</v>
      </c>
      <c r="N121" s="84">
        <f ca="1">(1-('Invoer gegevens (N)'!$F$20/12))*L121*MIN('Reeksen (N)'!B121,'Reeksen (N)'!D121)</f>
        <v>0</v>
      </c>
      <c r="O121" s="84">
        <f>IF('Reeksen (N)'!D121&lt;'Reeksen (N)'!B121,('Reeksen (N)'!B121-'Reeksen (N)'!D121)*L121,0)</f>
        <v>0</v>
      </c>
      <c r="P121" s="84">
        <f ca="1">('Invoer gegevens (N)'!$F$20/12)*L120*MIN('Reeksen (N)'!B120,'Reeksen (N)'!D120)</f>
        <v>0</v>
      </c>
      <c r="Q121" s="84">
        <f t="shared" ca="1" si="12"/>
        <v>0</v>
      </c>
      <c r="R121" s="82">
        <f ca="1">IF('Invoer gegevens (N)'!$C$17=E121,'Invoer gegevens (N)'!$C$11,IF(C121=1,W120,0))</f>
        <v>0</v>
      </c>
      <c r="S121" s="86">
        <f ca="1">IF(C121&gt;=1,R121*VLOOKUP(E121,'Reeksen (N)'!$A$5:$B$76,2),0)</f>
        <v>0</v>
      </c>
      <c r="T121" s="84">
        <f ca="1">(1-('Invoer gegevens (N)'!$F$20/12))*R121*MIN('Reeksen (N)'!B121,'Reeksen (N)'!D121)</f>
        <v>0</v>
      </c>
      <c r="U121" s="84">
        <f>IF('Reeksen (N)'!D121&gt;='Reeksen (N)'!B121,0,IF('Reeksen (N)'!AD121&lt;='Reeksen (N)'!AE121,('Reeksen (N)'!B121-'Reeksen (N)'!D121)*R121,0))</f>
        <v>0</v>
      </c>
      <c r="V121" s="86">
        <f>IF('Reeksen (N)'!D121&gt;='Reeksen (N)'!B121,0,IF('Reeksen (N)'!AD121&gt;'Reeksen (N)'!AE121,('Reeksen (N)'!B121-'Reeksen (N)'!D121)*R121,0))</f>
        <v>0</v>
      </c>
      <c r="W121" s="97">
        <f t="shared" ca="1" si="13"/>
        <v>0</v>
      </c>
      <c r="X121" s="98">
        <f ca="1">IF('Invoer gegevens (N)'!$C$17=E121,'Invoer gegevens (N)'!$C$10-'Invoer gegevens (N)'!$C$11,IF(C121=1,AC120,0))</f>
        <v>0</v>
      </c>
      <c r="Y121" s="98">
        <f ca="1">IF(C121&gt;=1,X121*VLOOKUP(E121,'Reeksen (N)'!$A$5:$B$76,2),0)</f>
        <v>0</v>
      </c>
      <c r="Z121" s="98">
        <f ca="1">(1-('Invoer gegevens (N)'!$F$20/12))*X121*MIN('Reeksen (N)'!B121,'Reeksen (N)'!D121)</f>
        <v>0</v>
      </c>
      <c r="AA121" s="98">
        <f>IF('Reeksen (N)'!D121&gt;='Reeksen (N)'!B121,0,IF('Reeksen (N)'!AD121&lt;='Reeksen (N)'!AE121,('Reeksen (N)'!B121-'Reeksen (N)'!D121)*X121,0))</f>
        <v>0</v>
      </c>
      <c r="AB121" s="98">
        <f>IF('Reeksen (N)'!D121&gt;='Reeksen (N)'!B121,0,IF('Reeksen (N)'!AD121&gt;'Reeksen (N)'!AE121,('Reeksen (N)'!B121-'Reeksen (N)'!D121)*X121,0))</f>
        <v>0</v>
      </c>
      <c r="AC121" s="99">
        <f t="shared" ca="1" si="14"/>
        <v>0</v>
      </c>
      <c r="AD121" s="98">
        <f ca="1">IF('Invoer gegevens (N)'!$C$17=E121,R121,IF(C121=0,0,AE120))</f>
        <v>0</v>
      </c>
      <c r="AE121" s="98">
        <f t="shared" ca="1" si="15"/>
        <v>0</v>
      </c>
      <c r="AF121" s="98">
        <f ca="1">IF('Invoer gegevens (N)'!$C$17=E121,X121,IF(C121=0,0,AG120))</f>
        <v>0</v>
      </c>
      <c r="AG121" s="98">
        <f t="shared" ca="1" si="16"/>
        <v>0</v>
      </c>
      <c r="AH121" s="66"/>
      <c r="AI121" s="71">
        <f ca="1">IF(C121=1,'Reeksen (N)'!AI121*((F121-G121+F121)/2)*12+'Reeksen (N)'!AD121*((L121-M121+L121)/2)*12,0)</f>
        <v>0</v>
      </c>
      <c r="AJ121" s="71">
        <f ca="1">-AI121*'Invoer gegevens (N)'!$F$28</f>
        <v>0</v>
      </c>
      <c r="AK121" s="71">
        <f t="shared" ca="1" si="17"/>
        <v>0</v>
      </c>
      <c r="AL121" s="71">
        <f ca="1">IF(C121=1,'Reeksen (N)'!AL121*((F121-G121+F121)/2)*12+'Reeksen (N)'!AM121*((L121-M121+L121)/2)*12,0)</f>
        <v>0</v>
      </c>
      <c r="AM121" s="71">
        <f ca="1">-AL121*'Invoer gegevens (N)'!$F$31</f>
        <v>0</v>
      </c>
      <c r="AN121" s="71">
        <f t="shared" ca="1" si="18"/>
        <v>0</v>
      </c>
      <c r="AO121" s="71">
        <f ca="1">IF(C121=1,(H121+J121+N121+P121)*'Reeksen (N)'!AN121,0)</f>
        <v>0</v>
      </c>
      <c r="AP121" s="71">
        <f ca="1">-IF(C121=1,(H121+J121+N121+P121)*'Hulp - basis'!$O$550*'Reeksen (N)'!H121,0)</f>
        <v>0</v>
      </c>
      <c r="AQ121" s="71">
        <f ca="1">-IF(C121=1,(F121+K121+L121+Q121)/2*'Invoer gegevens (N)'!$F$35*'Reeksen (N)'!J121,0)*2</f>
        <v>0</v>
      </c>
      <c r="AR121" s="71"/>
      <c r="AS121" s="71">
        <f ca="1">-IF(C121=1,(F121+K121+L121+Q121)/2*'Invoer gegevens (N)'!$F$37*'Reeksen (N)'!L121,0)</f>
        <v>0</v>
      </c>
      <c r="AT121" s="71">
        <f ca="1">-IF(C121=1,IF(E121='Invoer gegevens (N)'!$C$17,'Invoer gegevens (N)'!$C$11,AD121)*'Reeksen (N)'!S121*'Invoer gegevens (N)'!$C$18*'Reeksen (N)'!P121,0)</f>
        <v>0</v>
      </c>
      <c r="AU121" s="71">
        <f ca="1">-IF(C121=1,(F121+K121+L121+Q121)/2*'Invoer gegevens (N)'!$F$38*'Reeksen (N)'!H121,0)</f>
        <v>0</v>
      </c>
      <c r="AV121" s="71">
        <v>0</v>
      </c>
      <c r="AW121" s="71">
        <f t="shared" ca="1" si="19"/>
        <v>0</v>
      </c>
      <c r="AX121" s="71">
        <f ca="1">IF(E121&lt;'Invoer gegevens (N)'!$C$17+15,0,IF(E121&gt;'Invoer gegevens (N)'!$C$17+215,0,AW121))</f>
        <v>0</v>
      </c>
      <c r="AY121" s="71">
        <f ca="1">AX121/(1+'Invoer gegevens (N)'!$F$18)^($AZ121-('Invoer gegevens (N)'!$C$17-'Invoer gegevens (N)'!$C$16))/(1+'Invoer gegevens (N)'!$C$39)^('Invoer gegevens (N)'!$C$17-'Invoer gegevens (N)'!$C$16)</f>
        <v>0</v>
      </c>
      <c r="AZ121" s="68">
        <f ca="1">IF(E121-'Invoer gegevens (N)'!$C$17-14.5&lt;0,0,E121-'Invoer gegevens (N)'!$C$17-14.5)</f>
        <v>101.5</v>
      </c>
    </row>
    <row r="122" spans="1:52" x14ac:dyDescent="0.25">
      <c r="A122" s="59"/>
      <c r="B122" s="70">
        <f t="shared" si="20"/>
        <v>118</v>
      </c>
      <c r="C122" s="67">
        <f ca="1">IF(E122-'Invoer gegevens (N)'!$C$17&lt;0,0,1)</f>
        <v>1</v>
      </c>
      <c r="D122" s="68">
        <f t="shared" si="21"/>
        <v>117.5</v>
      </c>
      <c r="E122" s="69">
        <f ca="1">IF('Invoer gegevens (N)'!$C$16="","",E121+1)</f>
        <v>2136</v>
      </c>
      <c r="F122" s="84">
        <f ca="1">IF('Invoer gegevens (N)'!$C$17=E122,'Invoer gegevens (N)'!$C$10,IF(C122=1,K121,0))</f>
        <v>0</v>
      </c>
      <c r="G122" s="96">
        <f ca="1">IF(C122&gt;=1,F122*VLOOKUP(E122,'Reeksen (N)'!$A$5:$B$76,2),0)</f>
        <v>0</v>
      </c>
      <c r="H122" s="84">
        <f ca="1">(1-('Invoer gegevens (N)'!$F$20/12))*F122*MIN('Reeksen (N)'!B122,'Reeksen (N)'!D122)</f>
        <v>0</v>
      </c>
      <c r="I122" s="84">
        <f>IF('Reeksen (N)'!D122&lt;'Reeksen (N)'!B122,('Reeksen (N)'!B122-'Reeksen (N)'!D122)*F122,0)</f>
        <v>0</v>
      </c>
      <c r="J122" s="84">
        <f ca="1">('Invoer gegevens (N)'!$F$20/12)*F121*MIN('Reeksen (N)'!B121,'Reeksen (N)'!D121)</f>
        <v>0</v>
      </c>
      <c r="K122" s="97">
        <f t="shared" ca="1" si="11"/>
        <v>0</v>
      </c>
      <c r="L122" s="84">
        <f ca="1">IF('Invoer gegevens (N)'!$C$17=E122,0,IF(C122=1,Q121,0))</f>
        <v>0</v>
      </c>
      <c r="M122" s="96">
        <f ca="1">IF(C122&gt;=1,L122*VLOOKUP(E122,'Reeksen (N)'!$A$5:$B$76,2),0)</f>
        <v>0</v>
      </c>
      <c r="N122" s="84">
        <f ca="1">(1-('Invoer gegevens (N)'!$F$20/12))*L122*MIN('Reeksen (N)'!B122,'Reeksen (N)'!D122)</f>
        <v>0</v>
      </c>
      <c r="O122" s="84">
        <f>IF('Reeksen (N)'!D122&lt;'Reeksen (N)'!B122,('Reeksen (N)'!B122-'Reeksen (N)'!D122)*L122,0)</f>
        <v>0</v>
      </c>
      <c r="P122" s="84">
        <f ca="1">('Invoer gegevens (N)'!$F$20/12)*L121*MIN('Reeksen (N)'!B121,'Reeksen (N)'!D121)</f>
        <v>0</v>
      </c>
      <c r="Q122" s="84">
        <f t="shared" ca="1" si="12"/>
        <v>0</v>
      </c>
      <c r="R122" s="82">
        <f ca="1">IF('Invoer gegevens (N)'!$C$17=E122,'Invoer gegevens (N)'!$C$11,IF(C122=1,W121,0))</f>
        <v>0</v>
      </c>
      <c r="S122" s="86">
        <f ca="1">IF(C122&gt;=1,R122*VLOOKUP(E122,'Reeksen (N)'!$A$5:$B$76,2),0)</f>
        <v>0</v>
      </c>
      <c r="T122" s="84">
        <f ca="1">(1-('Invoer gegevens (N)'!$F$20/12))*R122*MIN('Reeksen (N)'!B122,'Reeksen (N)'!D122)</f>
        <v>0</v>
      </c>
      <c r="U122" s="84">
        <f>IF('Reeksen (N)'!D122&gt;='Reeksen (N)'!B122,0,IF('Reeksen (N)'!AD122&lt;='Reeksen (N)'!AE122,('Reeksen (N)'!B122-'Reeksen (N)'!D122)*R122,0))</f>
        <v>0</v>
      </c>
      <c r="V122" s="86">
        <f>IF('Reeksen (N)'!D122&gt;='Reeksen (N)'!B122,0,IF('Reeksen (N)'!AD122&gt;'Reeksen (N)'!AE122,('Reeksen (N)'!B122-'Reeksen (N)'!D122)*R122,0))</f>
        <v>0</v>
      </c>
      <c r="W122" s="97">
        <f t="shared" ca="1" si="13"/>
        <v>0</v>
      </c>
      <c r="X122" s="98">
        <f ca="1">IF('Invoer gegevens (N)'!$C$17=E122,'Invoer gegevens (N)'!$C$10-'Invoer gegevens (N)'!$C$11,IF(C122=1,AC121,0))</f>
        <v>0</v>
      </c>
      <c r="Y122" s="98">
        <f ca="1">IF(C122&gt;=1,X122*VLOOKUP(E122,'Reeksen (N)'!$A$5:$B$76,2),0)</f>
        <v>0</v>
      </c>
      <c r="Z122" s="98">
        <f ca="1">(1-('Invoer gegevens (N)'!$F$20/12))*X122*MIN('Reeksen (N)'!B122,'Reeksen (N)'!D122)</f>
        <v>0</v>
      </c>
      <c r="AA122" s="98">
        <f>IF('Reeksen (N)'!D122&gt;='Reeksen (N)'!B122,0,IF('Reeksen (N)'!AD122&lt;='Reeksen (N)'!AE122,('Reeksen (N)'!B122-'Reeksen (N)'!D122)*X122,0))</f>
        <v>0</v>
      </c>
      <c r="AB122" s="98">
        <f>IF('Reeksen (N)'!D122&gt;='Reeksen (N)'!B122,0,IF('Reeksen (N)'!AD122&gt;'Reeksen (N)'!AE122,('Reeksen (N)'!B122-'Reeksen (N)'!D122)*X122,0))</f>
        <v>0</v>
      </c>
      <c r="AC122" s="99">
        <f t="shared" ca="1" si="14"/>
        <v>0</v>
      </c>
      <c r="AD122" s="98">
        <f ca="1">IF('Invoer gegevens (N)'!$C$17=E122,R122,IF(C122=0,0,AE121))</f>
        <v>0</v>
      </c>
      <c r="AE122" s="98">
        <f t="shared" ca="1" si="15"/>
        <v>0</v>
      </c>
      <c r="AF122" s="98">
        <f ca="1">IF('Invoer gegevens (N)'!$C$17=E122,X122,IF(C122=0,0,AG121))</f>
        <v>0</v>
      </c>
      <c r="AG122" s="98">
        <f t="shared" ca="1" si="16"/>
        <v>0</v>
      </c>
      <c r="AH122" s="66"/>
      <c r="AI122" s="71">
        <f ca="1">IF(C122=1,'Reeksen (N)'!AI122*((F122-G122+F122)/2)*12+'Reeksen (N)'!AD122*((L122-M122+L122)/2)*12,0)</f>
        <v>0</v>
      </c>
      <c r="AJ122" s="71">
        <f ca="1">-AI122*'Invoer gegevens (N)'!$F$28</f>
        <v>0</v>
      </c>
      <c r="AK122" s="71">
        <f t="shared" ca="1" si="17"/>
        <v>0</v>
      </c>
      <c r="AL122" s="71">
        <f ca="1">IF(C122=1,'Reeksen (N)'!AL122*((F122-G122+F122)/2)*12+'Reeksen (N)'!AM122*((L122-M122+L122)/2)*12,0)</f>
        <v>0</v>
      </c>
      <c r="AM122" s="71">
        <f ca="1">-AL122*'Invoer gegevens (N)'!$F$31</f>
        <v>0</v>
      </c>
      <c r="AN122" s="71">
        <f t="shared" ca="1" si="18"/>
        <v>0</v>
      </c>
      <c r="AO122" s="71">
        <f ca="1">IF(C122=1,(H122+J122+N122+P122)*'Reeksen (N)'!AN122,0)</f>
        <v>0</v>
      </c>
      <c r="AP122" s="71">
        <f ca="1">-IF(C122=1,(H122+J122+N122+P122)*'Hulp - basis'!$O$550*'Reeksen (N)'!H122,0)</f>
        <v>0</v>
      </c>
      <c r="AQ122" s="71">
        <f ca="1">-IF(C122=1,(F122+K122+L122+Q122)/2*'Invoer gegevens (N)'!$F$35*'Reeksen (N)'!J122,0)*2</f>
        <v>0</v>
      </c>
      <c r="AR122" s="71"/>
      <c r="AS122" s="71">
        <f ca="1">-IF(C122=1,(F122+K122+L122+Q122)/2*'Invoer gegevens (N)'!$F$37*'Reeksen (N)'!L122,0)</f>
        <v>0</v>
      </c>
      <c r="AT122" s="71">
        <f ca="1">-IF(C122=1,IF(E122='Invoer gegevens (N)'!$C$17,'Invoer gegevens (N)'!$C$11,AD122)*'Reeksen (N)'!S122*'Invoer gegevens (N)'!$C$18*'Reeksen (N)'!P122,0)</f>
        <v>0</v>
      </c>
      <c r="AU122" s="71">
        <f ca="1">-IF(C122=1,(F122+K122+L122+Q122)/2*'Invoer gegevens (N)'!$F$38*'Reeksen (N)'!H122,0)</f>
        <v>0</v>
      </c>
      <c r="AV122" s="71">
        <v>0</v>
      </c>
      <c r="AW122" s="71">
        <f t="shared" ca="1" si="19"/>
        <v>0</v>
      </c>
      <c r="AX122" s="71">
        <f ca="1">IF(E122&lt;'Invoer gegevens (N)'!$C$17+15,0,IF(E122&gt;'Invoer gegevens (N)'!$C$17+215,0,AW122))</f>
        <v>0</v>
      </c>
      <c r="AY122" s="71">
        <f ca="1">AX122/(1+'Invoer gegevens (N)'!$F$18)^($AZ122-('Invoer gegevens (N)'!$C$17-'Invoer gegevens (N)'!$C$16))/(1+'Invoer gegevens (N)'!$C$39)^('Invoer gegevens (N)'!$C$17-'Invoer gegevens (N)'!$C$16)</f>
        <v>0</v>
      </c>
      <c r="AZ122" s="68">
        <f ca="1">IF(E122-'Invoer gegevens (N)'!$C$17-14.5&lt;0,0,E122-'Invoer gegevens (N)'!$C$17-14.5)</f>
        <v>102.5</v>
      </c>
    </row>
    <row r="123" spans="1:52" x14ac:dyDescent="0.25">
      <c r="A123" s="59"/>
      <c r="B123" s="70">
        <f t="shared" si="20"/>
        <v>119</v>
      </c>
      <c r="C123" s="67">
        <f ca="1">IF(E123-'Invoer gegevens (N)'!$C$17&lt;0,0,1)</f>
        <v>1</v>
      </c>
      <c r="D123" s="68">
        <f t="shared" si="21"/>
        <v>118.5</v>
      </c>
      <c r="E123" s="69">
        <f ca="1">IF('Invoer gegevens (N)'!$C$16="","",E122+1)</f>
        <v>2137</v>
      </c>
      <c r="F123" s="84">
        <f ca="1">IF('Invoer gegevens (N)'!$C$17=E123,'Invoer gegevens (N)'!$C$10,IF(C123=1,K122,0))</f>
        <v>0</v>
      </c>
      <c r="G123" s="96">
        <f ca="1">IF(C123&gt;=1,F123*VLOOKUP(E123,'Reeksen (N)'!$A$5:$B$76,2),0)</f>
        <v>0</v>
      </c>
      <c r="H123" s="84">
        <f ca="1">(1-('Invoer gegevens (N)'!$F$20/12))*F123*MIN('Reeksen (N)'!B123,'Reeksen (N)'!D123)</f>
        <v>0</v>
      </c>
      <c r="I123" s="84">
        <f>IF('Reeksen (N)'!D123&lt;'Reeksen (N)'!B123,('Reeksen (N)'!B123-'Reeksen (N)'!D123)*F123,0)</f>
        <v>0</v>
      </c>
      <c r="J123" s="84">
        <f ca="1">('Invoer gegevens (N)'!$F$20/12)*F122*MIN('Reeksen (N)'!B122,'Reeksen (N)'!D122)</f>
        <v>0</v>
      </c>
      <c r="K123" s="97">
        <f t="shared" ca="1" si="11"/>
        <v>0</v>
      </c>
      <c r="L123" s="84">
        <f ca="1">IF('Invoer gegevens (N)'!$C$17=E123,0,IF(C123=1,Q122,0))</f>
        <v>0</v>
      </c>
      <c r="M123" s="96">
        <f ca="1">IF(C123&gt;=1,L123*VLOOKUP(E123,'Reeksen (N)'!$A$5:$B$76,2),0)</f>
        <v>0</v>
      </c>
      <c r="N123" s="84">
        <f ca="1">(1-('Invoer gegevens (N)'!$F$20/12))*L123*MIN('Reeksen (N)'!B123,'Reeksen (N)'!D123)</f>
        <v>0</v>
      </c>
      <c r="O123" s="84">
        <f>IF('Reeksen (N)'!D123&lt;'Reeksen (N)'!B123,('Reeksen (N)'!B123-'Reeksen (N)'!D123)*L123,0)</f>
        <v>0</v>
      </c>
      <c r="P123" s="84">
        <f ca="1">('Invoer gegevens (N)'!$F$20/12)*L122*MIN('Reeksen (N)'!B122,'Reeksen (N)'!D122)</f>
        <v>0</v>
      </c>
      <c r="Q123" s="84">
        <f t="shared" ca="1" si="12"/>
        <v>0</v>
      </c>
      <c r="R123" s="82">
        <f ca="1">IF('Invoer gegevens (N)'!$C$17=E123,'Invoer gegevens (N)'!$C$11,IF(C123=1,W122,0))</f>
        <v>0</v>
      </c>
      <c r="S123" s="86">
        <f ca="1">IF(C123&gt;=1,R123*VLOOKUP(E123,'Reeksen (N)'!$A$5:$B$76,2),0)</f>
        <v>0</v>
      </c>
      <c r="T123" s="84">
        <f ca="1">(1-('Invoer gegevens (N)'!$F$20/12))*R123*MIN('Reeksen (N)'!B123,'Reeksen (N)'!D123)</f>
        <v>0</v>
      </c>
      <c r="U123" s="84">
        <f>IF('Reeksen (N)'!D123&gt;='Reeksen (N)'!B123,0,IF('Reeksen (N)'!AD123&lt;='Reeksen (N)'!AE123,('Reeksen (N)'!B123-'Reeksen (N)'!D123)*R123,0))</f>
        <v>0</v>
      </c>
      <c r="V123" s="86">
        <f>IF('Reeksen (N)'!D123&gt;='Reeksen (N)'!B123,0,IF('Reeksen (N)'!AD123&gt;'Reeksen (N)'!AE123,('Reeksen (N)'!B123-'Reeksen (N)'!D123)*R123,0))</f>
        <v>0</v>
      </c>
      <c r="W123" s="97">
        <f t="shared" ca="1" si="13"/>
        <v>0</v>
      </c>
      <c r="X123" s="98">
        <f ca="1">IF('Invoer gegevens (N)'!$C$17=E123,'Invoer gegevens (N)'!$C$10-'Invoer gegevens (N)'!$C$11,IF(C123=1,AC122,0))</f>
        <v>0</v>
      </c>
      <c r="Y123" s="98">
        <f ca="1">IF(C123&gt;=1,X123*VLOOKUP(E123,'Reeksen (N)'!$A$5:$B$76,2),0)</f>
        <v>0</v>
      </c>
      <c r="Z123" s="98">
        <f ca="1">(1-('Invoer gegevens (N)'!$F$20/12))*X123*MIN('Reeksen (N)'!B123,'Reeksen (N)'!D123)</f>
        <v>0</v>
      </c>
      <c r="AA123" s="98">
        <f>IF('Reeksen (N)'!D123&gt;='Reeksen (N)'!B123,0,IF('Reeksen (N)'!AD123&lt;='Reeksen (N)'!AE123,('Reeksen (N)'!B123-'Reeksen (N)'!D123)*X123,0))</f>
        <v>0</v>
      </c>
      <c r="AB123" s="98">
        <f>IF('Reeksen (N)'!D123&gt;='Reeksen (N)'!B123,0,IF('Reeksen (N)'!AD123&gt;'Reeksen (N)'!AE123,('Reeksen (N)'!B123-'Reeksen (N)'!D123)*X123,0))</f>
        <v>0</v>
      </c>
      <c r="AC123" s="99">
        <f t="shared" ca="1" si="14"/>
        <v>0</v>
      </c>
      <c r="AD123" s="98">
        <f ca="1">IF('Invoer gegevens (N)'!$C$17=E123,R123,IF(C123=0,0,AE122))</f>
        <v>0</v>
      </c>
      <c r="AE123" s="98">
        <f t="shared" ca="1" si="15"/>
        <v>0</v>
      </c>
      <c r="AF123" s="98">
        <f ca="1">IF('Invoer gegevens (N)'!$C$17=E123,X123,IF(C123=0,0,AG122))</f>
        <v>0</v>
      </c>
      <c r="AG123" s="98">
        <f t="shared" ca="1" si="16"/>
        <v>0</v>
      </c>
      <c r="AH123" s="66"/>
      <c r="AI123" s="71">
        <f ca="1">IF(C123=1,'Reeksen (N)'!AI123*((F123-G123+F123)/2)*12+'Reeksen (N)'!AD123*((L123-M123+L123)/2)*12,0)</f>
        <v>0</v>
      </c>
      <c r="AJ123" s="71">
        <f ca="1">-AI123*'Invoer gegevens (N)'!$F$28</f>
        <v>0</v>
      </c>
      <c r="AK123" s="71">
        <f t="shared" ca="1" si="17"/>
        <v>0</v>
      </c>
      <c r="AL123" s="71">
        <f ca="1">IF(C123=1,'Reeksen (N)'!AL123*((F123-G123+F123)/2)*12+'Reeksen (N)'!AM123*((L123-M123+L123)/2)*12,0)</f>
        <v>0</v>
      </c>
      <c r="AM123" s="71">
        <f ca="1">-AL123*'Invoer gegevens (N)'!$F$31</f>
        <v>0</v>
      </c>
      <c r="AN123" s="71">
        <f t="shared" ca="1" si="18"/>
        <v>0</v>
      </c>
      <c r="AO123" s="71">
        <f ca="1">IF(C123=1,(H123+J123+N123+P123)*'Reeksen (N)'!AN123,0)</f>
        <v>0</v>
      </c>
      <c r="AP123" s="71">
        <f ca="1">-IF(C123=1,(H123+J123+N123+P123)*'Hulp - basis'!$O$550*'Reeksen (N)'!H123,0)</f>
        <v>0</v>
      </c>
      <c r="AQ123" s="71">
        <f ca="1">-IF(C123=1,(F123+K123+L123+Q123)/2*'Invoer gegevens (N)'!$F$35*'Reeksen (N)'!J123,0)*2</f>
        <v>0</v>
      </c>
      <c r="AR123" s="71"/>
      <c r="AS123" s="71">
        <f ca="1">-IF(C123=1,(F123+K123+L123+Q123)/2*'Invoer gegevens (N)'!$F$37*'Reeksen (N)'!L123,0)</f>
        <v>0</v>
      </c>
      <c r="AT123" s="71">
        <f ca="1">-IF(C123=1,IF(E123='Invoer gegevens (N)'!$C$17,'Invoer gegevens (N)'!$C$11,AD123)*'Reeksen (N)'!S123*'Invoer gegevens (N)'!$C$18*'Reeksen (N)'!P123,0)</f>
        <v>0</v>
      </c>
      <c r="AU123" s="71">
        <f ca="1">-IF(C123=1,(F123+K123+L123+Q123)/2*'Invoer gegevens (N)'!$F$38*'Reeksen (N)'!H123,0)</f>
        <v>0</v>
      </c>
      <c r="AV123" s="71">
        <v>0</v>
      </c>
      <c r="AW123" s="71">
        <f t="shared" ca="1" si="19"/>
        <v>0</v>
      </c>
      <c r="AX123" s="71">
        <f ca="1">IF(E123&lt;'Invoer gegevens (N)'!$C$17+15,0,IF(E123&gt;'Invoer gegevens (N)'!$C$17+215,0,AW123))</f>
        <v>0</v>
      </c>
      <c r="AY123" s="71">
        <f ca="1">AX123/(1+'Invoer gegevens (N)'!$F$18)^($AZ123-('Invoer gegevens (N)'!$C$17-'Invoer gegevens (N)'!$C$16))/(1+'Invoer gegevens (N)'!$C$39)^('Invoer gegevens (N)'!$C$17-'Invoer gegevens (N)'!$C$16)</f>
        <v>0</v>
      </c>
      <c r="AZ123" s="68">
        <f ca="1">IF(E123-'Invoer gegevens (N)'!$C$17-14.5&lt;0,0,E123-'Invoer gegevens (N)'!$C$17-14.5)</f>
        <v>103.5</v>
      </c>
    </row>
    <row r="124" spans="1:52" x14ac:dyDescent="0.25">
      <c r="A124" s="59"/>
      <c r="B124" s="70">
        <f t="shared" si="20"/>
        <v>120</v>
      </c>
      <c r="C124" s="67">
        <f ca="1">IF(E124-'Invoer gegevens (N)'!$C$17&lt;0,0,1)</f>
        <v>1</v>
      </c>
      <c r="D124" s="68">
        <f t="shared" si="21"/>
        <v>119.5</v>
      </c>
      <c r="E124" s="69">
        <f ca="1">IF('Invoer gegevens (N)'!$C$16="","",E123+1)</f>
        <v>2138</v>
      </c>
      <c r="F124" s="84">
        <f ca="1">IF('Invoer gegevens (N)'!$C$17=E124,'Invoer gegevens (N)'!$C$10,IF(C124=1,K123,0))</f>
        <v>0</v>
      </c>
      <c r="G124" s="96">
        <f ca="1">IF(C124&gt;=1,F124*VLOOKUP(E124,'Reeksen (N)'!$A$5:$B$76,2),0)</f>
        <v>0</v>
      </c>
      <c r="H124" s="84">
        <f ca="1">(1-('Invoer gegevens (N)'!$F$20/12))*F124*MIN('Reeksen (N)'!B124,'Reeksen (N)'!D124)</f>
        <v>0</v>
      </c>
      <c r="I124" s="84">
        <f>IF('Reeksen (N)'!D124&lt;'Reeksen (N)'!B124,('Reeksen (N)'!B124-'Reeksen (N)'!D124)*F124,0)</f>
        <v>0</v>
      </c>
      <c r="J124" s="84">
        <f ca="1">('Invoer gegevens (N)'!$F$20/12)*F123*MIN('Reeksen (N)'!B123,'Reeksen (N)'!D123)</f>
        <v>0</v>
      </c>
      <c r="K124" s="97">
        <f t="shared" ca="1" si="11"/>
        <v>0</v>
      </c>
      <c r="L124" s="84">
        <f ca="1">IF('Invoer gegevens (N)'!$C$17=E124,0,IF(C124=1,Q123,0))</f>
        <v>0</v>
      </c>
      <c r="M124" s="96">
        <f ca="1">IF(C124&gt;=1,L124*VLOOKUP(E124,'Reeksen (N)'!$A$5:$B$76,2),0)</f>
        <v>0</v>
      </c>
      <c r="N124" s="84">
        <f ca="1">(1-('Invoer gegevens (N)'!$F$20/12))*L124*MIN('Reeksen (N)'!B124,'Reeksen (N)'!D124)</f>
        <v>0</v>
      </c>
      <c r="O124" s="84">
        <f>IF('Reeksen (N)'!D124&lt;'Reeksen (N)'!B124,('Reeksen (N)'!B124-'Reeksen (N)'!D124)*L124,0)</f>
        <v>0</v>
      </c>
      <c r="P124" s="84">
        <f ca="1">('Invoer gegevens (N)'!$F$20/12)*L123*MIN('Reeksen (N)'!B123,'Reeksen (N)'!D123)</f>
        <v>0</v>
      </c>
      <c r="Q124" s="84">
        <f t="shared" ca="1" si="12"/>
        <v>0</v>
      </c>
      <c r="R124" s="82">
        <f ca="1">IF('Invoer gegevens (N)'!$C$17=E124,'Invoer gegevens (N)'!$C$11,IF(C124=1,W123,0))</f>
        <v>0</v>
      </c>
      <c r="S124" s="86">
        <f ca="1">IF(C124&gt;=1,R124*VLOOKUP(E124,'Reeksen (N)'!$A$5:$B$76,2),0)</f>
        <v>0</v>
      </c>
      <c r="T124" s="84">
        <f ca="1">(1-('Invoer gegevens (N)'!$F$20/12))*R124*MIN('Reeksen (N)'!B124,'Reeksen (N)'!D124)</f>
        <v>0</v>
      </c>
      <c r="U124" s="84">
        <f>IF('Reeksen (N)'!D124&gt;='Reeksen (N)'!B124,0,IF('Reeksen (N)'!AD124&lt;='Reeksen (N)'!AE124,('Reeksen (N)'!B124-'Reeksen (N)'!D124)*R124,0))</f>
        <v>0</v>
      </c>
      <c r="V124" s="86">
        <f>IF('Reeksen (N)'!D124&gt;='Reeksen (N)'!B124,0,IF('Reeksen (N)'!AD124&gt;'Reeksen (N)'!AE124,('Reeksen (N)'!B124-'Reeksen (N)'!D124)*R124,0))</f>
        <v>0</v>
      </c>
      <c r="W124" s="97">
        <f t="shared" ca="1" si="13"/>
        <v>0</v>
      </c>
      <c r="X124" s="98">
        <f ca="1">IF('Invoer gegevens (N)'!$C$17=E124,'Invoer gegevens (N)'!$C$10-'Invoer gegevens (N)'!$C$11,IF(C124=1,AC123,0))</f>
        <v>0</v>
      </c>
      <c r="Y124" s="98">
        <f ca="1">IF(C124&gt;=1,X124*VLOOKUP(E124,'Reeksen (N)'!$A$5:$B$76,2),0)</f>
        <v>0</v>
      </c>
      <c r="Z124" s="98">
        <f ca="1">(1-('Invoer gegevens (N)'!$F$20/12))*X124*MIN('Reeksen (N)'!B124,'Reeksen (N)'!D124)</f>
        <v>0</v>
      </c>
      <c r="AA124" s="98">
        <f>IF('Reeksen (N)'!D124&gt;='Reeksen (N)'!B124,0,IF('Reeksen (N)'!AD124&lt;='Reeksen (N)'!AE124,('Reeksen (N)'!B124-'Reeksen (N)'!D124)*X124,0))</f>
        <v>0</v>
      </c>
      <c r="AB124" s="98">
        <f>IF('Reeksen (N)'!D124&gt;='Reeksen (N)'!B124,0,IF('Reeksen (N)'!AD124&gt;'Reeksen (N)'!AE124,('Reeksen (N)'!B124-'Reeksen (N)'!D124)*X124,0))</f>
        <v>0</v>
      </c>
      <c r="AC124" s="99">
        <f t="shared" ca="1" si="14"/>
        <v>0</v>
      </c>
      <c r="AD124" s="98">
        <f ca="1">IF('Invoer gegevens (N)'!$C$17=E124,R124,IF(C124=0,0,AE123))</f>
        <v>0</v>
      </c>
      <c r="AE124" s="98">
        <f t="shared" ca="1" si="15"/>
        <v>0</v>
      </c>
      <c r="AF124" s="98">
        <f ca="1">IF('Invoer gegevens (N)'!$C$17=E124,X124,IF(C124=0,0,AG123))</f>
        <v>0</v>
      </c>
      <c r="AG124" s="98">
        <f t="shared" ca="1" si="16"/>
        <v>0</v>
      </c>
      <c r="AH124" s="66"/>
      <c r="AI124" s="71">
        <f ca="1">IF(C124=1,'Reeksen (N)'!AI124*((F124-G124+F124)/2)*12+'Reeksen (N)'!AD124*((L124-M124+L124)/2)*12,0)</f>
        <v>0</v>
      </c>
      <c r="AJ124" s="71">
        <f ca="1">-AI124*'Invoer gegevens (N)'!$F$28</f>
        <v>0</v>
      </c>
      <c r="AK124" s="71">
        <f t="shared" ca="1" si="17"/>
        <v>0</v>
      </c>
      <c r="AL124" s="71">
        <f ca="1">IF(C124=1,'Reeksen (N)'!AL124*((F124-G124+F124)/2)*12+'Reeksen (N)'!AM124*((L124-M124+L124)/2)*12,0)</f>
        <v>0</v>
      </c>
      <c r="AM124" s="71">
        <f ca="1">-AL124*'Invoer gegevens (N)'!$F$31</f>
        <v>0</v>
      </c>
      <c r="AN124" s="71">
        <f t="shared" ca="1" si="18"/>
        <v>0</v>
      </c>
      <c r="AO124" s="71">
        <f ca="1">IF(C124=1,(H124+J124+N124+P124)*'Reeksen (N)'!AN124,0)</f>
        <v>0</v>
      </c>
      <c r="AP124" s="71">
        <f ca="1">-IF(C124=1,(H124+J124+N124+P124)*'Hulp - basis'!$O$550*'Reeksen (N)'!H124,0)</f>
        <v>0</v>
      </c>
      <c r="AQ124" s="71">
        <f ca="1">-IF(C124=1,(F124+K124+L124+Q124)/2*'Invoer gegevens (N)'!$F$35*'Reeksen (N)'!J124,0)*2</f>
        <v>0</v>
      </c>
      <c r="AR124" s="71"/>
      <c r="AS124" s="71">
        <f ca="1">-IF(C124=1,(F124+K124+L124+Q124)/2*'Invoer gegevens (N)'!$F$37*'Reeksen (N)'!L124,0)</f>
        <v>0</v>
      </c>
      <c r="AT124" s="71">
        <f ca="1">-IF(C124=1,IF(E124='Invoer gegevens (N)'!$C$17,'Invoer gegevens (N)'!$C$11,AD124)*'Reeksen (N)'!S124*'Invoer gegevens (N)'!$C$18*'Reeksen (N)'!P124,0)</f>
        <v>0</v>
      </c>
      <c r="AU124" s="71">
        <f ca="1">-IF(C124=1,(F124+K124+L124+Q124)/2*'Invoer gegevens (N)'!$F$38*'Reeksen (N)'!H124,0)</f>
        <v>0</v>
      </c>
      <c r="AV124" s="71">
        <v>0</v>
      </c>
      <c r="AW124" s="71">
        <f t="shared" ca="1" si="19"/>
        <v>0</v>
      </c>
      <c r="AX124" s="71">
        <f ca="1">IF(E124&lt;'Invoer gegevens (N)'!$C$17+15,0,IF(E124&gt;'Invoer gegevens (N)'!$C$17+215,0,AW124))</f>
        <v>0</v>
      </c>
      <c r="AY124" s="71">
        <f ca="1">AX124/(1+'Invoer gegevens (N)'!$F$18)^($AZ124-('Invoer gegevens (N)'!$C$17-'Invoer gegevens (N)'!$C$16))/(1+'Invoer gegevens (N)'!$C$39)^('Invoer gegevens (N)'!$C$17-'Invoer gegevens (N)'!$C$16)</f>
        <v>0</v>
      </c>
      <c r="AZ124" s="68">
        <f ca="1">IF(E124-'Invoer gegevens (N)'!$C$17-14.5&lt;0,0,E124-'Invoer gegevens (N)'!$C$17-14.5)</f>
        <v>104.5</v>
      </c>
    </row>
    <row r="125" spans="1:52" x14ac:dyDescent="0.25">
      <c r="A125" s="59"/>
      <c r="B125" s="70">
        <f t="shared" si="20"/>
        <v>121</v>
      </c>
      <c r="C125" s="67">
        <f ca="1">IF(E125-'Invoer gegevens (N)'!$C$17&lt;0,0,1)</f>
        <v>1</v>
      </c>
      <c r="D125" s="68">
        <f t="shared" si="21"/>
        <v>120.5</v>
      </c>
      <c r="E125" s="69">
        <f ca="1">IF('Invoer gegevens (N)'!$C$16="","",E124+1)</f>
        <v>2139</v>
      </c>
      <c r="F125" s="84">
        <f ca="1">IF('Invoer gegevens (N)'!$C$17=E125,'Invoer gegevens (N)'!$C$10,IF(C125=1,K124,0))</f>
        <v>0</v>
      </c>
      <c r="G125" s="96">
        <f ca="1">IF(C125&gt;=1,F125*VLOOKUP(E125,'Reeksen (N)'!$A$5:$B$76,2),0)</f>
        <v>0</v>
      </c>
      <c r="H125" s="84">
        <f ca="1">(1-('Invoer gegevens (N)'!$F$20/12))*F125*MIN('Reeksen (N)'!B125,'Reeksen (N)'!D125)</f>
        <v>0</v>
      </c>
      <c r="I125" s="84">
        <f>IF('Reeksen (N)'!D125&lt;'Reeksen (N)'!B125,('Reeksen (N)'!B125-'Reeksen (N)'!D125)*F125,0)</f>
        <v>0</v>
      </c>
      <c r="J125" s="84">
        <f ca="1">('Invoer gegevens (N)'!$F$20/12)*F124*MIN('Reeksen (N)'!B124,'Reeksen (N)'!D124)</f>
        <v>0</v>
      </c>
      <c r="K125" s="97">
        <f t="shared" ca="1" si="11"/>
        <v>0</v>
      </c>
      <c r="L125" s="84">
        <f ca="1">IF('Invoer gegevens (N)'!$C$17=E125,0,IF(C125=1,Q124,0))</f>
        <v>0</v>
      </c>
      <c r="M125" s="96">
        <f ca="1">IF(C125&gt;=1,L125*VLOOKUP(E125,'Reeksen (N)'!$A$5:$B$76,2),0)</f>
        <v>0</v>
      </c>
      <c r="N125" s="84">
        <f ca="1">(1-('Invoer gegevens (N)'!$F$20/12))*L125*MIN('Reeksen (N)'!B125,'Reeksen (N)'!D125)</f>
        <v>0</v>
      </c>
      <c r="O125" s="84">
        <f>IF('Reeksen (N)'!D125&lt;'Reeksen (N)'!B125,('Reeksen (N)'!B125-'Reeksen (N)'!D125)*L125,0)</f>
        <v>0</v>
      </c>
      <c r="P125" s="84">
        <f ca="1">('Invoer gegevens (N)'!$F$20/12)*L124*MIN('Reeksen (N)'!B124,'Reeksen (N)'!D124)</f>
        <v>0</v>
      </c>
      <c r="Q125" s="84">
        <f t="shared" ca="1" si="12"/>
        <v>0</v>
      </c>
      <c r="R125" s="82">
        <f ca="1">IF('Invoer gegevens (N)'!$C$17=E125,'Invoer gegevens (N)'!$C$11,IF(C125=1,W124,0))</f>
        <v>0</v>
      </c>
      <c r="S125" s="86">
        <f ca="1">IF(C125&gt;=1,R125*VLOOKUP(E125,'Reeksen (N)'!$A$5:$B$76,2),0)</f>
        <v>0</v>
      </c>
      <c r="T125" s="84">
        <f ca="1">(1-('Invoer gegevens (N)'!$F$20/12))*R125*MIN('Reeksen (N)'!B125,'Reeksen (N)'!D125)</f>
        <v>0</v>
      </c>
      <c r="U125" s="84">
        <f>IF('Reeksen (N)'!D125&gt;='Reeksen (N)'!B125,0,IF('Reeksen (N)'!AD125&lt;='Reeksen (N)'!AE125,('Reeksen (N)'!B125-'Reeksen (N)'!D125)*R125,0))</f>
        <v>0</v>
      </c>
      <c r="V125" s="86">
        <f>IF('Reeksen (N)'!D125&gt;='Reeksen (N)'!B125,0,IF('Reeksen (N)'!AD125&gt;'Reeksen (N)'!AE125,('Reeksen (N)'!B125-'Reeksen (N)'!D125)*R125,0))</f>
        <v>0</v>
      </c>
      <c r="W125" s="97">
        <f t="shared" ca="1" si="13"/>
        <v>0</v>
      </c>
      <c r="X125" s="98">
        <f ca="1">IF('Invoer gegevens (N)'!$C$17=E125,'Invoer gegevens (N)'!$C$10-'Invoer gegevens (N)'!$C$11,IF(C125=1,AC124,0))</f>
        <v>0</v>
      </c>
      <c r="Y125" s="98">
        <f ca="1">IF(C125&gt;=1,X125*VLOOKUP(E125,'Reeksen (N)'!$A$5:$B$76,2),0)</f>
        <v>0</v>
      </c>
      <c r="Z125" s="98">
        <f ca="1">(1-('Invoer gegevens (N)'!$F$20/12))*X125*MIN('Reeksen (N)'!B125,'Reeksen (N)'!D125)</f>
        <v>0</v>
      </c>
      <c r="AA125" s="98">
        <f>IF('Reeksen (N)'!D125&gt;='Reeksen (N)'!B125,0,IF('Reeksen (N)'!AD125&lt;='Reeksen (N)'!AE125,('Reeksen (N)'!B125-'Reeksen (N)'!D125)*X125,0))</f>
        <v>0</v>
      </c>
      <c r="AB125" s="98">
        <f>IF('Reeksen (N)'!D125&gt;='Reeksen (N)'!B125,0,IF('Reeksen (N)'!AD125&gt;'Reeksen (N)'!AE125,('Reeksen (N)'!B125-'Reeksen (N)'!D125)*X125,0))</f>
        <v>0</v>
      </c>
      <c r="AC125" s="99">
        <f t="shared" ca="1" si="14"/>
        <v>0</v>
      </c>
      <c r="AD125" s="98">
        <f ca="1">IF('Invoer gegevens (N)'!$C$17=E125,R125,IF(C125=0,0,AE124))</f>
        <v>0</v>
      </c>
      <c r="AE125" s="98">
        <f t="shared" ca="1" si="15"/>
        <v>0</v>
      </c>
      <c r="AF125" s="98">
        <f ca="1">IF('Invoer gegevens (N)'!$C$17=E125,X125,IF(C125=0,0,AG124))</f>
        <v>0</v>
      </c>
      <c r="AG125" s="98">
        <f t="shared" ca="1" si="16"/>
        <v>0</v>
      </c>
      <c r="AH125" s="66"/>
      <c r="AI125" s="71">
        <f ca="1">IF(C125=1,'Reeksen (N)'!AI125*((F125-G125+F125)/2)*12+'Reeksen (N)'!AD125*((L125-M125+L125)/2)*12,0)</f>
        <v>0</v>
      </c>
      <c r="AJ125" s="71">
        <f ca="1">-AI125*'Invoer gegevens (N)'!$F$28</f>
        <v>0</v>
      </c>
      <c r="AK125" s="71">
        <f t="shared" ca="1" si="17"/>
        <v>0</v>
      </c>
      <c r="AL125" s="71">
        <f ca="1">IF(C125=1,'Reeksen (N)'!AL125*((F125-G125+F125)/2)*12+'Reeksen (N)'!AM125*((L125-M125+L125)/2)*12,0)</f>
        <v>0</v>
      </c>
      <c r="AM125" s="71">
        <f ca="1">-AL125*'Invoer gegevens (N)'!$F$31</f>
        <v>0</v>
      </c>
      <c r="AN125" s="71">
        <f t="shared" ca="1" si="18"/>
        <v>0</v>
      </c>
      <c r="AO125" s="71">
        <f ca="1">IF(C125=1,(H125+J125+N125+P125)*'Reeksen (N)'!AN125,0)</f>
        <v>0</v>
      </c>
      <c r="AP125" s="71">
        <f ca="1">-IF(C125=1,(H125+J125+N125+P125)*'Hulp - basis'!$O$550*'Reeksen (N)'!H125,0)</f>
        <v>0</v>
      </c>
      <c r="AQ125" s="71">
        <f ca="1">-IF(C125=1,(F125+K125+L125+Q125)/2*'Invoer gegevens (N)'!$F$35*'Reeksen (N)'!J125,0)*2</f>
        <v>0</v>
      </c>
      <c r="AR125" s="71"/>
      <c r="AS125" s="71">
        <f ca="1">-IF(C125=1,(F125+K125+L125+Q125)/2*'Invoer gegevens (N)'!$F$37*'Reeksen (N)'!L125,0)</f>
        <v>0</v>
      </c>
      <c r="AT125" s="71">
        <f ca="1">-IF(C125=1,IF(E125='Invoer gegevens (N)'!$C$17,'Invoer gegevens (N)'!$C$11,AD125)*'Reeksen (N)'!S125*'Invoer gegevens (N)'!$C$18*'Reeksen (N)'!P125,0)</f>
        <v>0</v>
      </c>
      <c r="AU125" s="71">
        <f ca="1">-IF(C125=1,(F125+K125+L125+Q125)/2*'Invoer gegevens (N)'!$F$38*'Reeksen (N)'!H125,0)</f>
        <v>0</v>
      </c>
      <c r="AV125" s="71">
        <v>0</v>
      </c>
      <c r="AW125" s="71">
        <f t="shared" ca="1" si="19"/>
        <v>0</v>
      </c>
      <c r="AX125" s="71">
        <f ca="1">IF(E125&lt;'Invoer gegevens (N)'!$C$17+15,0,IF(E125&gt;'Invoer gegevens (N)'!$C$17+215,0,AW125))</f>
        <v>0</v>
      </c>
      <c r="AY125" s="71">
        <f ca="1">AX125/(1+'Invoer gegevens (N)'!$F$18)^($AZ125-('Invoer gegevens (N)'!$C$17-'Invoer gegevens (N)'!$C$16))/(1+'Invoer gegevens (N)'!$C$39)^('Invoer gegevens (N)'!$C$17-'Invoer gegevens (N)'!$C$16)</f>
        <v>0</v>
      </c>
      <c r="AZ125" s="68">
        <f ca="1">IF(E125-'Invoer gegevens (N)'!$C$17-14.5&lt;0,0,E125-'Invoer gegevens (N)'!$C$17-14.5)</f>
        <v>105.5</v>
      </c>
    </row>
    <row r="126" spans="1:52" x14ac:dyDescent="0.25">
      <c r="A126" s="59"/>
      <c r="B126" s="70">
        <f t="shared" si="20"/>
        <v>122</v>
      </c>
      <c r="C126" s="67">
        <f ca="1">IF(E126-'Invoer gegevens (N)'!$C$17&lt;0,0,1)</f>
        <v>1</v>
      </c>
      <c r="D126" s="68">
        <f t="shared" si="21"/>
        <v>121.5</v>
      </c>
      <c r="E126" s="69">
        <f ca="1">IF('Invoer gegevens (N)'!$C$16="","",E125+1)</f>
        <v>2140</v>
      </c>
      <c r="F126" s="84">
        <f ca="1">IF('Invoer gegevens (N)'!$C$17=E126,'Invoer gegevens (N)'!$C$10,IF(C126=1,K125,0))</f>
        <v>0</v>
      </c>
      <c r="G126" s="96">
        <f ca="1">IF(C126&gt;=1,F126*VLOOKUP(E126,'Reeksen (N)'!$A$5:$B$76,2),0)</f>
        <v>0</v>
      </c>
      <c r="H126" s="84">
        <f ca="1">(1-('Invoer gegevens (N)'!$F$20/12))*F126*MIN('Reeksen (N)'!B126,'Reeksen (N)'!D126)</f>
        <v>0</v>
      </c>
      <c r="I126" s="84">
        <f>IF('Reeksen (N)'!D126&lt;'Reeksen (N)'!B126,('Reeksen (N)'!B126-'Reeksen (N)'!D126)*F126,0)</f>
        <v>0</v>
      </c>
      <c r="J126" s="84">
        <f ca="1">('Invoer gegevens (N)'!$F$20/12)*F125*MIN('Reeksen (N)'!B125,'Reeksen (N)'!D125)</f>
        <v>0</v>
      </c>
      <c r="K126" s="97">
        <f t="shared" ca="1" si="11"/>
        <v>0</v>
      </c>
      <c r="L126" s="84">
        <f ca="1">IF('Invoer gegevens (N)'!$C$17=E126,0,IF(C126=1,Q125,0))</f>
        <v>0</v>
      </c>
      <c r="M126" s="96">
        <f ca="1">IF(C126&gt;=1,L126*VLOOKUP(E126,'Reeksen (N)'!$A$5:$B$76,2),0)</f>
        <v>0</v>
      </c>
      <c r="N126" s="84">
        <f ca="1">(1-('Invoer gegevens (N)'!$F$20/12))*L126*MIN('Reeksen (N)'!B126,'Reeksen (N)'!D126)</f>
        <v>0</v>
      </c>
      <c r="O126" s="84">
        <f>IF('Reeksen (N)'!D126&lt;'Reeksen (N)'!B126,('Reeksen (N)'!B126-'Reeksen (N)'!D126)*L126,0)</f>
        <v>0</v>
      </c>
      <c r="P126" s="84">
        <f ca="1">('Invoer gegevens (N)'!$F$20/12)*L125*MIN('Reeksen (N)'!B125,'Reeksen (N)'!D125)</f>
        <v>0</v>
      </c>
      <c r="Q126" s="84">
        <f t="shared" ca="1" si="12"/>
        <v>0</v>
      </c>
      <c r="R126" s="82">
        <f ca="1">IF('Invoer gegevens (N)'!$C$17=E126,'Invoer gegevens (N)'!$C$11,IF(C126=1,W125,0))</f>
        <v>0</v>
      </c>
      <c r="S126" s="86">
        <f ca="1">IF(C126&gt;=1,R126*VLOOKUP(E126,'Reeksen (N)'!$A$5:$B$76,2),0)</f>
        <v>0</v>
      </c>
      <c r="T126" s="84">
        <f ca="1">(1-('Invoer gegevens (N)'!$F$20/12))*R126*MIN('Reeksen (N)'!B126,'Reeksen (N)'!D126)</f>
        <v>0</v>
      </c>
      <c r="U126" s="84">
        <f>IF('Reeksen (N)'!D126&gt;='Reeksen (N)'!B126,0,IF('Reeksen (N)'!AD126&lt;='Reeksen (N)'!AE126,('Reeksen (N)'!B126-'Reeksen (N)'!D126)*R126,0))</f>
        <v>0</v>
      </c>
      <c r="V126" s="86">
        <f>IF('Reeksen (N)'!D126&gt;='Reeksen (N)'!B126,0,IF('Reeksen (N)'!AD126&gt;'Reeksen (N)'!AE126,('Reeksen (N)'!B126-'Reeksen (N)'!D126)*R126,0))</f>
        <v>0</v>
      </c>
      <c r="W126" s="97">
        <f t="shared" ca="1" si="13"/>
        <v>0</v>
      </c>
      <c r="X126" s="98">
        <f ca="1">IF('Invoer gegevens (N)'!$C$17=E126,'Invoer gegevens (N)'!$C$10-'Invoer gegevens (N)'!$C$11,IF(C126=1,AC125,0))</f>
        <v>0</v>
      </c>
      <c r="Y126" s="98">
        <f ca="1">IF(C126&gt;=1,X126*VLOOKUP(E126,'Reeksen (N)'!$A$5:$B$76,2),0)</f>
        <v>0</v>
      </c>
      <c r="Z126" s="98">
        <f ca="1">(1-('Invoer gegevens (N)'!$F$20/12))*X126*MIN('Reeksen (N)'!B126,'Reeksen (N)'!D126)</f>
        <v>0</v>
      </c>
      <c r="AA126" s="98">
        <f>IF('Reeksen (N)'!D126&gt;='Reeksen (N)'!B126,0,IF('Reeksen (N)'!AD126&lt;='Reeksen (N)'!AE126,('Reeksen (N)'!B126-'Reeksen (N)'!D126)*X126,0))</f>
        <v>0</v>
      </c>
      <c r="AB126" s="98">
        <f>IF('Reeksen (N)'!D126&gt;='Reeksen (N)'!B126,0,IF('Reeksen (N)'!AD126&gt;'Reeksen (N)'!AE126,('Reeksen (N)'!B126-'Reeksen (N)'!D126)*X126,0))</f>
        <v>0</v>
      </c>
      <c r="AC126" s="99">
        <f t="shared" ca="1" si="14"/>
        <v>0</v>
      </c>
      <c r="AD126" s="98">
        <f ca="1">IF('Invoer gegevens (N)'!$C$17=E126,R126,IF(C126=0,0,AE125))</f>
        <v>0</v>
      </c>
      <c r="AE126" s="98">
        <f t="shared" ca="1" si="15"/>
        <v>0</v>
      </c>
      <c r="AF126" s="98">
        <f ca="1">IF('Invoer gegevens (N)'!$C$17=E126,X126,IF(C126=0,0,AG125))</f>
        <v>0</v>
      </c>
      <c r="AG126" s="98">
        <f t="shared" ca="1" si="16"/>
        <v>0</v>
      </c>
      <c r="AH126" s="66"/>
      <c r="AI126" s="71">
        <f ca="1">IF(C126=1,'Reeksen (N)'!AI126*((F126-G126+F126)/2)*12+'Reeksen (N)'!AD126*((L126-M126+L126)/2)*12,0)</f>
        <v>0</v>
      </c>
      <c r="AJ126" s="71">
        <f ca="1">-AI126*'Invoer gegevens (N)'!$F$28</f>
        <v>0</v>
      </c>
      <c r="AK126" s="71">
        <f t="shared" ca="1" si="17"/>
        <v>0</v>
      </c>
      <c r="AL126" s="71">
        <f ca="1">IF(C126=1,'Reeksen (N)'!AL126*((F126-G126+F126)/2)*12+'Reeksen (N)'!AM126*((L126-M126+L126)/2)*12,0)</f>
        <v>0</v>
      </c>
      <c r="AM126" s="71">
        <f ca="1">-AL126*'Invoer gegevens (N)'!$F$31</f>
        <v>0</v>
      </c>
      <c r="AN126" s="71">
        <f t="shared" ca="1" si="18"/>
        <v>0</v>
      </c>
      <c r="AO126" s="71">
        <f ca="1">IF(C126=1,(H126+J126+N126+P126)*'Reeksen (N)'!AN126,0)</f>
        <v>0</v>
      </c>
      <c r="AP126" s="71">
        <f ca="1">-IF(C126=1,(H126+J126+N126+P126)*'Hulp - basis'!$O$550*'Reeksen (N)'!H126,0)</f>
        <v>0</v>
      </c>
      <c r="AQ126" s="71">
        <f ca="1">-IF(C126=1,(F126+K126+L126+Q126)/2*'Invoer gegevens (N)'!$F$35*'Reeksen (N)'!J126,0)*2</f>
        <v>0</v>
      </c>
      <c r="AR126" s="71"/>
      <c r="AS126" s="71">
        <f ca="1">-IF(C126=1,(F126+K126+L126+Q126)/2*'Invoer gegevens (N)'!$F$37*'Reeksen (N)'!L126,0)</f>
        <v>0</v>
      </c>
      <c r="AT126" s="71">
        <f ca="1">-IF(C126=1,IF(E126='Invoer gegevens (N)'!$C$17,'Invoer gegevens (N)'!$C$11,AD126)*'Reeksen (N)'!S126*'Invoer gegevens (N)'!$C$18*'Reeksen (N)'!P126,0)</f>
        <v>0</v>
      </c>
      <c r="AU126" s="71">
        <f ca="1">-IF(C126=1,(F126+K126+L126+Q126)/2*'Invoer gegevens (N)'!$F$38*'Reeksen (N)'!H126,0)</f>
        <v>0</v>
      </c>
      <c r="AV126" s="71">
        <v>0</v>
      </c>
      <c r="AW126" s="71">
        <f t="shared" ca="1" si="19"/>
        <v>0</v>
      </c>
      <c r="AX126" s="71">
        <f ca="1">IF(E126&lt;'Invoer gegevens (N)'!$C$17+15,0,IF(E126&gt;'Invoer gegevens (N)'!$C$17+215,0,AW126))</f>
        <v>0</v>
      </c>
      <c r="AY126" s="71">
        <f ca="1">AX126/(1+'Invoer gegevens (N)'!$F$18)^($AZ126-('Invoer gegevens (N)'!$C$17-'Invoer gegevens (N)'!$C$16))/(1+'Invoer gegevens (N)'!$C$39)^('Invoer gegevens (N)'!$C$17-'Invoer gegevens (N)'!$C$16)</f>
        <v>0</v>
      </c>
      <c r="AZ126" s="68">
        <f ca="1">IF(E126-'Invoer gegevens (N)'!$C$17-14.5&lt;0,0,E126-'Invoer gegevens (N)'!$C$17-14.5)</f>
        <v>106.5</v>
      </c>
    </row>
    <row r="127" spans="1:52" x14ac:dyDescent="0.25">
      <c r="A127" s="59"/>
      <c r="B127" s="70">
        <f t="shared" si="20"/>
        <v>123</v>
      </c>
      <c r="C127" s="67">
        <f ca="1">IF(E127-'Invoer gegevens (N)'!$C$17&lt;0,0,1)</f>
        <v>1</v>
      </c>
      <c r="D127" s="68">
        <f t="shared" si="21"/>
        <v>122.5</v>
      </c>
      <c r="E127" s="69">
        <f ca="1">IF('Invoer gegevens (N)'!$C$16="","",E126+1)</f>
        <v>2141</v>
      </c>
      <c r="F127" s="84">
        <f ca="1">IF('Invoer gegevens (N)'!$C$17=E127,'Invoer gegevens (N)'!$C$10,IF(C127=1,K126,0))</f>
        <v>0</v>
      </c>
      <c r="G127" s="96">
        <f ca="1">IF(C127&gt;=1,F127*VLOOKUP(E127,'Reeksen (N)'!$A$5:$B$76,2),0)</f>
        <v>0</v>
      </c>
      <c r="H127" s="84">
        <f ca="1">(1-('Invoer gegevens (N)'!$F$20/12))*F127*MIN('Reeksen (N)'!B127,'Reeksen (N)'!D127)</f>
        <v>0</v>
      </c>
      <c r="I127" s="84">
        <f>IF('Reeksen (N)'!D127&lt;'Reeksen (N)'!B127,('Reeksen (N)'!B127-'Reeksen (N)'!D127)*F127,0)</f>
        <v>0</v>
      </c>
      <c r="J127" s="84">
        <f ca="1">('Invoer gegevens (N)'!$F$20/12)*F126*MIN('Reeksen (N)'!B126,'Reeksen (N)'!D126)</f>
        <v>0</v>
      </c>
      <c r="K127" s="97">
        <f t="shared" ca="1" si="11"/>
        <v>0</v>
      </c>
      <c r="L127" s="84">
        <f ca="1">IF('Invoer gegevens (N)'!$C$17=E127,0,IF(C127=1,Q126,0))</f>
        <v>0</v>
      </c>
      <c r="M127" s="96">
        <f ca="1">IF(C127&gt;=1,L127*VLOOKUP(E127,'Reeksen (N)'!$A$5:$B$76,2),0)</f>
        <v>0</v>
      </c>
      <c r="N127" s="84">
        <f ca="1">(1-('Invoer gegevens (N)'!$F$20/12))*L127*MIN('Reeksen (N)'!B127,'Reeksen (N)'!D127)</f>
        <v>0</v>
      </c>
      <c r="O127" s="84">
        <f>IF('Reeksen (N)'!D127&lt;'Reeksen (N)'!B127,('Reeksen (N)'!B127-'Reeksen (N)'!D127)*L127,0)</f>
        <v>0</v>
      </c>
      <c r="P127" s="84">
        <f ca="1">('Invoer gegevens (N)'!$F$20/12)*L126*MIN('Reeksen (N)'!B126,'Reeksen (N)'!D126)</f>
        <v>0</v>
      </c>
      <c r="Q127" s="84">
        <f t="shared" ca="1" si="12"/>
        <v>0</v>
      </c>
      <c r="R127" s="82">
        <f ca="1">IF('Invoer gegevens (N)'!$C$17=E127,'Invoer gegevens (N)'!$C$11,IF(C127=1,W126,0))</f>
        <v>0</v>
      </c>
      <c r="S127" s="86">
        <f ca="1">IF(C127&gt;=1,R127*VLOOKUP(E127,'Reeksen (N)'!$A$5:$B$76,2),0)</f>
        <v>0</v>
      </c>
      <c r="T127" s="84">
        <f ca="1">(1-('Invoer gegevens (N)'!$F$20/12))*R127*MIN('Reeksen (N)'!B127,'Reeksen (N)'!D127)</f>
        <v>0</v>
      </c>
      <c r="U127" s="84">
        <f>IF('Reeksen (N)'!D127&gt;='Reeksen (N)'!B127,0,IF('Reeksen (N)'!AD127&lt;='Reeksen (N)'!AE127,('Reeksen (N)'!B127-'Reeksen (N)'!D127)*R127,0))</f>
        <v>0</v>
      </c>
      <c r="V127" s="86">
        <f>IF('Reeksen (N)'!D127&gt;='Reeksen (N)'!B127,0,IF('Reeksen (N)'!AD127&gt;'Reeksen (N)'!AE127,('Reeksen (N)'!B127-'Reeksen (N)'!D127)*R127,0))</f>
        <v>0</v>
      </c>
      <c r="W127" s="97">
        <f t="shared" ca="1" si="13"/>
        <v>0</v>
      </c>
      <c r="X127" s="98">
        <f ca="1">IF('Invoer gegevens (N)'!$C$17=E127,'Invoer gegevens (N)'!$C$10-'Invoer gegevens (N)'!$C$11,IF(C127=1,AC126,0))</f>
        <v>0</v>
      </c>
      <c r="Y127" s="98">
        <f ca="1">IF(C127&gt;=1,X127*VLOOKUP(E127,'Reeksen (N)'!$A$5:$B$76,2),0)</f>
        <v>0</v>
      </c>
      <c r="Z127" s="98">
        <f ca="1">(1-('Invoer gegevens (N)'!$F$20/12))*X127*MIN('Reeksen (N)'!B127,'Reeksen (N)'!D127)</f>
        <v>0</v>
      </c>
      <c r="AA127" s="98">
        <f>IF('Reeksen (N)'!D127&gt;='Reeksen (N)'!B127,0,IF('Reeksen (N)'!AD127&lt;='Reeksen (N)'!AE127,('Reeksen (N)'!B127-'Reeksen (N)'!D127)*X127,0))</f>
        <v>0</v>
      </c>
      <c r="AB127" s="98">
        <f>IF('Reeksen (N)'!D127&gt;='Reeksen (N)'!B127,0,IF('Reeksen (N)'!AD127&gt;'Reeksen (N)'!AE127,('Reeksen (N)'!B127-'Reeksen (N)'!D127)*X127,0))</f>
        <v>0</v>
      </c>
      <c r="AC127" s="99">
        <f t="shared" ca="1" si="14"/>
        <v>0</v>
      </c>
      <c r="AD127" s="98">
        <f ca="1">IF('Invoer gegevens (N)'!$C$17=E127,R127,IF(C127=0,0,AE126))</f>
        <v>0</v>
      </c>
      <c r="AE127" s="98">
        <f t="shared" ca="1" si="15"/>
        <v>0</v>
      </c>
      <c r="AF127" s="98">
        <f ca="1">IF('Invoer gegevens (N)'!$C$17=E127,X127,IF(C127=0,0,AG126))</f>
        <v>0</v>
      </c>
      <c r="AG127" s="98">
        <f t="shared" ca="1" si="16"/>
        <v>0</v>
      </c>
      <c r="AH127" s="66"/>
      <c r="AI127" s="71">
        <f ca="1">IF(C127=1,'Reeksen (N)'!AI127*((F127-G127+F127)/2)*12+'Reeksen (N)'!AD127*((L127-M127+L127)/2)*12,0)</f>
        <v>0</v>
      </c>
      <c r="AJ127" s="71">
        <f ca="1">-AI127*'Invoer gegevens (N)'!$F$28</f>
        <v>0</v>
      </c>
      <c r="AK127" s="71">
        <f t="shared" ca="1" si="17"/>
        <v>0</v>
      </c>
      <c r="AL127" s="71">
        <f ca="1">IF(C127=1,'Reeksen (N)'!AL127*((F127-G127+F127)/2)*12+'Reeksen (N)'!AM127*((L127-M127+L127)/2)*12,0)</f>
        <v>0</v>
      </c>
      <c r="AM127" s="71">
        <f ca="1">-AL127*'Invoer gegevens (N)'!$F$31</f>
        <v>0</v>
      </c>
      <c r="AN127" s="71">
        <f t="shared" ca="1" si="18"/>
        <v>0</v>
      </c>
      <c r="AO127" s="71">
        <f ca="1">IF(C127=1,(H127+J127+N127+P127)*'Reeksen (N)'!AN127,0)</f>
        <v>0</v>
      </c>
      <c r="AP127" s="71">
        <f ca="1">-IF(C127=1,(H127+J127+N127+P127)*'Hulp - basis'!$O$550*'Reeksen (N)'!H127,0)</f>
        <v>0</v>
      </c>
      <c r="AQ127" s="71">
        <f ca="1">-IF(C127=1,(F127+K127+L127+Q127)/2*'Invoer gegevens (N)'!$F$35*'Reeksen (N)'!J127,0)*2</f>
        <v>0</v>
      </c>
      <c r="AR127" s="71"/>
      <c r="AS127" s="71">
        <f ca="1">-IF(C127=1,(F127+K127+L127+Q127)/2*'Invoer gegevens (N)'!$F$37*'Reeksen (N)'!L127,0)</f>
        <v>0</v>
      </c>
      <c r="AT127" s="71">
        <f ca="1">-IF(C127=1,IF(E127='Invoer gegevens (N)'!$C$17,'Invoer gegevens (N)'!$C$11,AD127)*'Reeksen (N)'!S127*'Invoer gegevens (N)'!$C$18*'Reeksen (N)'!P127,0)</f>
        <v>0</v>
      </c>
      <c r="AU127" s="71">
        <f ca="1">-IF(C127=1,(F127+K127+L127+Q127)/2*'Invoer gegevens (N)'!$F$38*'Reeksen (N)'!H127,0)</f>
        <v>0</v>
      </c>
      <c r="AV127" s="71">
        <v>0</v>
      </c>
      <c r="AW127" s="71">
        <f t="shared" ca="1" si="19"/>
        <v>0</v>
      </c>
      <c r="AX127" s="71">
        <f ca="1">IF(E127&lt;'Invoer gegevens (N)'!$C$17+15,0,IF(E127&gt;'Invoer gegevens (N)'!$C$17+215,0,AW127))</f>
        <v>0</v>
      </c>
      <c r="AY127" s="71">
        <f ca="1">AX127/(1+'Invoer gegevens (N)'!$F$18)^($AZ127-('Invoer gegevens (N)'!$C$17-'Invoer gegevens (N)'!$C$16))/(1+'Invoer gegevens (N)'!$C$39)^('Invoer gegevens (N)'!$C$17-'Invoer gegevens (N)'!$C$16)</f>
        <v>0</v>
      </c>
      <c r="AZ127" s="68">
        <f ca="1">IF(E127-'Invoer gegevens (N)'!$C$17-14.5&lt;0,0,E127-'Invoer gegevens (N)'!$C$17-14.5)</f>
        <v>107.5</v>
      </c>
    </row>
    <row r="128" spans="1:52" x14ac:dyDescent="0.25">
      <c r="A128" s="59"/>
      <c r="B128" s="70">
        <f t="shared" si="20"/>
        <v>124</v>
      </c>
      <c r="C128" s="67">
        <f ca="1">IF(E128-'Invoer gegevens (N)'!$C$17&lt;0,0,1)</f>
        <v>1</v>
      </c>
      <c r="D128" s="68">
        <f t="shared" si="21"/>
        <v>123.5</v>
      </c>
      <c r="E128" s="69">
        <f ca="1">IF('Invoer gegevens (N)'!$C$16="","",E127+1)</f>
        <v>2142</v>
      </c>
      <c r="F128" s="84">
        <f ca="1">IF('Invoer gegevens (N)'!$C$17=E128,'Invoer gegevens (N)'!$C$10,IF(C128=1,K127,0))</f>
        <v>0</v>
      </c>
      <c r="G128" s="96">
        <f ca="1">IF(C128&gt;=1,F128*VLOOKUP(E128,'Reeksen (N)'!$A$5:$B$76,2),0)</f>
        <v>0</v>
      </c>
      <c r="H128" s="84">
        <f ca="1">(1-('Invoer gegevens (N)'!$F$20/12))*F128*MIN('Reeksen (N)'!B128,'Reeksen (N)'!D128)</f>
        <v>0</v>
      </c>
      <c r="I128" s="84">
        <f>IF('Reeksen (N)'!D128&lt;'Reeksen (N)'!B128,('Reeksen (N)'!B128-'Reeksen (N)'!D128)*F128,0)</f>
        <v>0</v>
      </c>
      <c r="J128" s="84">
        <f ca="1">('Invoer gegevens (N)'!$F$20/12)*F127*MIN('Reeksen (N)'!B127,'Reeksen (N)'!D127)</f>
        <v>0</v>
      </c>
      <c r="K128" s="97">
        <f t="shared" ca="1" si="11"/>
        <v>0</v>
      </c>
      <c r="L128" s="84">
        <f ca="1">IF('Invoer gegevens (N)'!$C$17=E128,0,IF(C128=1,Q127,0))</f>
        <v>0</v>
      </c>
      <c r="M128" s="96">
        <f ca="1">IF(C128&gt;=1,L128*VLOOKUP(E128,'Reeksen (N)'!$A$5:$B$76,2),0)</f>
        <v>0</v>
      </c>
      <c r="N128" s="84">
        <f ca="1">(1-('Invoer gegevens (N)'!$F$20/12))*L128*MIN('Reeksen (N)'!B128,'Reeksen (N)'!D128)</f>
        <v>0</v>
      </c>
      <c r="O128" s="84">
        <f>IF('Reeksen (N)'!D128&lt;'Reeksen (N)'!B128,('Reeksen (N)'!B128-'Reeksen (N)'!D128)*L128,0)</f>
        <v>0</v>
      </c>
      <c r="P128" s="84">
        <f ca="1">('Invoer gegevens (N)'!$F$20/12)*L127*MIN('Reeksen (N)'!B127,'Reeksen (N)'!D127)</f>
        <v>0</v>
      </c>
      <c r="Q128" s="84">
        <f t="shared" ca="1" si="12"/>
        <v>0</v>
      </c>
      <c r="R128" s="82">
        <f ca="1">IF('Invoer gegevens (N)'!$C$17=E128,'Invoer gegevens (N)'!$C$11,IF(C128=1,W127,0))</f>
        <v>0</v>
      </c>
      <c r="S128" s="86">
        <f ca="1">IF(C128&gt;=1,R128*VLOOKUP(E128,'Reeksen (N)'!$A$5:$B$76,2),0)</f>
        <v>0</v>
      </c>
      <c r="T128" s="84">
        <f ca="1">(1-('Invoer gegevens (N)'!$F$20/12))*R128*MIN('Reeksen (N)'!B128,'Reeksen (N)'!D128)</f>
        <v>0</v>
      </c>
      <c r="U128" s="84">
        <f>IF('Reeksen (N)'!D128&gt;='Reeksen (N)'!B128,0,IF('Reeksen (N)'!AD128&lt;='Reeksen (N)'!AE128,('Reeksen (N)'!B128-'Reeksen (N)'!D128)*R128,0))</f>
        <v>0</v>
      </c>
      <c r="V128" s="86">
        <f>IF('Reeksen (N)'!D128&gt;='Reeksen (N)'!B128,0,IF('Reeksen (N)'!AD128&gt;'Reeksen (N)'!AE128,('Reeksen (N)'!B128-'Reeksen (N)'!D128)*R128,0))</f>
        <v>0</v>
      </c>
      <c r="W128" s="97">
        <f t="shared" ca="1" si="13"/>
        <v>0</v>
      </c>
      <c r="X128" s="98">
        <f ca="1">IF('Invoer gegevens (N)'!$C$17=E128,'Invoer gegevens (N)'!$C$10-'Invoer gegevens (N)'!$C$11,IF(C128=1,AC127,0))</f>
        <v>0</v>
      </c>
      <c r="Y128" s="98">
        <f ca="1">IF(C128&gt;=1,X128*VLOOKUP(E128,'Reeksen (N)'!$A$5:$B$76,2),0)</f>
        <v>0</v>
      </c>
      <c r="Z128" s="98">
        <f ca="1">(1-('Invoer gegevens (N)'!$F$20/12))*X128*MIN('Reeksen (N)'!B128,'Reeksen (N)'!D128)</f>
        <v>0</v>
      </c>
      <c r="AA128" s="98">
        <f>IF('Reeksen (N)'!D128&gt;='Reeksen (N)'!B128,0,IF('Reeksen (N)'!AD128&lt;='Reeksen (N)'!AE128,('Reeksen (N)'!B128-'Reeksen (N)'!D128)*X128,0))</f>
        <v>0</v>
      </c>
      <c r="AB128" s="98">
        <f>IF('Reeksen (N)'!D128&gt;='Reeksen (N)'!B128,0,IF('Reeksen (N)'!AD128&gt;'Reeksen (N)'!AE128,('Reeksen (N)'!B128-'Reeksen (N)'!D128)*X128,0))</f>
        <v>0</v>
      </c>
      <c r="AC128" s="99">
        <f t="shared" ca="1" si="14"/>
        <v>0</v>
      </c>
      <c r="AD128" s="98">
        <f ca="1">IF('Invoer gegevens (N)'!$C$17=E128,R128,IF(C128=0,0,AE127))</f>
        <v>0</v>
      </c>
      <c r="AE128" s="98">
        <f t="shared" ca="1" si="15"/>
        <v>0</v>
      </c>
      <c r="AF128" s="98">
        <f ca="1">IF('Invoer gegevens (N)'!$C$17=E128,X128,IF(C128=0,0,AG127))</f>
        <v>0</v>
      </c>
      <c r="AG128" s="98">
        <f t="shared" ca="1" si="16"/>
        <v>0</v>
      </c>
      <c r="AH128" s="66"/>
      <c r="AI128" s="71">
        <f ca="1">IF(C128=1,'Reeksen (N)'!AI128*((F128-G128+F128)/2)*12+'Reeksen (N)'!AD128*((L128-M128+L128)/2)*12,0)</f>
        <v>0</v>
      </c>
      <c r="AJ128" s="71">
        <f ca="1">-AI128*'Invoer gegevens (N)'!$F$28</f>
        <v>0</v>
      </c>
      <c r="AK128" s="71">
        <f t="shared" ca="1" si="17"/>
        <v>0</v>
      </c>
      <c r="AL128" s="71">
        <f ca="1">IF(C128=1,'Reeksen (N)'!AL128*((F128-G128+F128)/2)*12+'Reeksen (N)'!AM128*((L128-M128+L128)/2)*12,0)</f>
        <v>0</v>
      </c>
      <c r="AM128" s="71">
        <f ca="1">-AL128*'Invoer gegevens (N)'!$F$31</f>
        <v>0</v>
      </c>
      <c r="AN128" s="71">
        <f t="shared" ca="1" si="18"/>
        <v>0</v>
      </c>
      <c r="AO128" s="71">
        <f ca="1">IF(C128=1,(H128+J128+N128+P128)*'Reeksen (N)'!AN128,0)</f>
        <v>0</v>
      </c>
      <c r="AP128" s="71">
        <f ca="1">-IF(C128=1,(H128+J128+N128+P128)*'Hulp - basis'!$O$550*'Reeksen (N)'!H128,0)</f>
        <v>0</v>
      </c>
      <c r="AQ128" s="71">
        <f ca="1">-IF(C128=1,(F128+K128+L128+Q128)/2*'Invoer gegevens (N)'!$F$35*'Reeksen (N)'!J128,0)*2</f>
        <v>0</v>
      </c>
      <c r="AR128" s="71"/>
      <c r="AS128" s="71">
        <f ca="1">-IF(C128=1,(F128+K128+L128+Q128)/2*'Invoer gegevens (N)'!$F$37*'Reeksen (N)'!L128,0)</f>
        <v>0</v>
      </c>
      <c r="AT128" s="71">
        <f ca="1">-IF(C128=1,IF(E128='Invoer gegevens (N)'!$C$17,'Invoer gegevens (N)'!$C$11,AD128)*'Reeksen (N)'!S128*'Invoer gegevens (N)'!$C$18*'Reeksen (N)'!P128,0)</f>
        <v>0</v>
      </c>
      <c r="AU128" s="71">
        <f ca="1">-IF(C128=1,(F128+K128+L128+Q128)/2*'Invoer gegevens (N)'!$F$38*'Reeksen (N)'!H128,0)</f>
        <v>0</v>
      </c>
      <c r="AV128" s="71">
        <v>0</v>
      </c>
      <c r="AW128" s="71">
        <f t="shared" ca="1" si="19"/>
        <v>0</v>
      </c>
      <c r="AX128" s="71">
        <f ca="1">IF(E128&lt;'Invoer gegevens (N)'!$C$17+15,0,IF(E128&gt;'Invoer gegevens (N)'!$C$17+215,0,AW128))</f>
        <v>0</v>
      </c>
      <c r="AY128" s="71">
        <f ca="1">AX128/(1+'Invoer gegevens (N)'!$F$18)^($AZ128-('Invoer gegevens (N)'!$C$17-'Invoer gegevens (N)'!$C$16))/(1+'Invoer gegevens (N)'!$C$39)^('Invoer gegevens (N)'!$C$17-'Invoer gegevens (N)'!$C$16)</f>
        <v>0</v>
      </c>
      <c r="AZ128" s="68">
        <f ca="1">IF(E128-'Invoer gegevens (N)'!$C$17-14.5&lt;0,0,E128-'Invoer gegevens (N)'!$C$17-14.5)</f>
        <v>108.5</v>
      </c>
    </row>
    <row r="129" spans="1:52" x14ac:dyDescent="0.25">
      <c r="A129" s="59"/>
      <c r="B129" s="70">
        <f t="shared" si="20"/>
        <v>125</v>
      </c>
      <c r="C129" s="67">
        <f ca="1">IF(E129-'Invoer gegevens (N)'!$C$17&lt;0,0,1)</f>
        <v>1</v>
      </c>
      <c r="D129" s="68">
        <f t="shared" si="21"/>
        <v>124.5</v>
      </c>
      <c r="E129" s="69">
        <f ca="1">IF('Invoer gegevens (N)'!$C$16="","",E128+1)</f>
        <v>2143</v>
      </c>
      <c r="F129" s="84">
        <f ca="1">IF('Invoer gegevens (N)'!$C$17=E129,'Invoer gegevens (N)'!$C$10,IF(C129=1,K128,0))</f>
        <v>0</v>
      </c>
      <c r="G129" s="96">
        <f ca="1">IF(C129&gt;=1,F129*VLOOKUP(E129,'Reeksen (N)'!$A$5:$B$76,2),0)</f>
        <v>0</v>
      </c>
      <c r="H129" s="84">
        <f ca="1">(1-('Invoer gegevens (N)'!$F$20/12))*F129*MIN('Reeksen (N)'!B129,'Reeksen (N)'!D129)</f>
        <v>0</v>
      </c>
      <c r="I129" s="84">
        <f>IF('Reeksen (N)'!D129&lt;'Reeksen (N)'!B129,('Reeksen (N)'!B129-'Reeksen (N)'!D129)*F129,0)</f>
        <v>0</v>
      </c>
      <c r="J129" s="84">
        <f ca="1">('Invoer gegevens (N)'!$F$20/12)*F128*MIN('Reeksen (N)'!B128,'Reeksen (N)'!D128)</f>
        <v>0</v>
      </c>
      <c r="K129" s="97">
        <f t="shared" ca="1" si="11"/>
        <v>0</v>
      </c>
      <c r="L129" s="84">
        <f ca="1">IF('Invoer gegevens (N)'!$C$17=E129,0,IF(C129=1,Q128,0))</f>
        <v>0</v>
      </c>
      <c r="M129" s="96">
        <f ca="1">IF(C129&gt;=1,L129*VLOOKUP(E129,'Reeksen (N)'!$A$5:$B$76,2),0)</f>
        <v>0</v>
      </c>
      <c r="N129" s="84">
        <f ca="1">(1-('Invoer gegevens (N)'!$F$20/12))*L129*MIN('Reeksen (N)'!B129,'Reeksen (N)'!D129)</f>
        <v>0</v>
      </c>
      <c r="O129" s="84">
        <f>IF('Reeksen (N)'!D129&lt;'Reeksen (N)'!B129,('Reeksen (N)'!B129-'Reeksen (N)'!D129)*L129,0)</f>
        <v>0</v>
      </c>
      <c r="P129" s="84">
        <f ca="1">('Invoer gegevens (N)'!$F$20/12)*L128*MIN('Reeksen (N)'!B128,'Reeksen (N)'!D128)</f>
        <v>0</v>
      </c>
      <c r="Q129" s="84">
        <f t="shared" ca="1" si="12"/>
        <v>0</v>
      </c>
      <c r="R129" s="82">
        <f ca="1">IF('Invoer gegevens (N)'!$C$17=E129,'Invoer gegevens (N)'!$C$11,IF(C129=1,W128,0))</f>
        <v>0</v>
      </c>
      <c r="S129" s="86">
        <f ca="1">IF(C129&gt;=1,R129*VLOOKUP(E129,'Reeksen (N)'!$A$5:$B$76,2),0)</f>
        <v>0</v>
      </c>
      <c r="T129" s="84">
        <f ca="1">(1-('Invoer gegevens (N)'!$F$20/12))*R129*MIN('Reeksen (N)'!B129,'Reeksen (N)'!D129)</f>
        <v>0</v>
      </c>
      <c r="U129" s="84">
        <f>IF('Reeksen (N)'!D129&gt;='Reeksen (N)'!B129,0,IF('Reeksen (N)'!AD129&lt;='Reeksen (N)'!AE129,('Reeksen (N)'!B129-'Reeksen (N)'!D129)*R129,0))</f>
        <v>0</v>
      </c>
      <c r="V129" s="86">
        <f>IF('Reeksen (N)'!D129&gt;='Reeksen (N)'!B129,0,IF('Reeksen (N)'!AD129&gt;'Reeksen (N)'!AE129,('Reeksen (N)'!B129-'Reeksen (N)'!D129)*R129,0))</f>
        <v>0</v>
      </c>
      <c r="W129" s="97">
        <f t="shared" ca="1" si="13"/>
        <v>0</v>
      </c>
      <c r="X129" s="98">
        <f ca="1">IF('Invoer gegevens (N)'!$C$17=E129,'Invoer gegevens (N)'!$C$10-'Invoer gegevens (N)'!$C$11,IF(C129=1,AC128,0))</f>
        <v>0</v>
      </c>
      <c r="Y129" s="98">
        <f ca="1">IF(C129&gt;=1,X129*VLOOKUP(E129,'Reeksen (N)'!$A$5:$B$76,2),0)</f>
        <v>0</v>
      </c>
      <c r="Z129" s="98">
        <f ca="1">(1-('Invoer gegevens (N)'!$F$20/12))*X129*MIN('Reeksen (N)'!B129,'Reeksen (N)'!D129)</f>
        <v>0</v>
      </c>
      <c r="AA129" s="98">
        <f>IF('Reeksen (N)'!D129&gt;='Reeksen (N)'!B129,0,IF('Reeksen (N)'!AD129&lt;='Reeksen (N)'!AE129,('Reeksen (N)'!B129-'Reeksen (N)'!D129)*X129,0))</f>
        <v>0</v>
      </c>
      <c r="AB129" s="98">
        <f>IF('Reeksen (N)'!D129&gt;='Reeksen (N)'!B129,0,IF('Reeksen (N)'!AD129&gt;'Reeksen (N)'!AE129,('Reeksen (N)'!B129-'Reeksen (N)'!D129)*X129,0))</f>
        <v>0</v>
      </c>
      <c r="AC129" s="99">
        <f t="shared" ca="1" si="14"/>
        <v>0</v>
      </c>
      <c r="AD129" s="98">
        <f ca="1">IF('Invoer gegevens (N)'!$C$17=E129,R129,IF(C129=0,0,AE128))</f>
        <v>0</v>
      </c>
      <c r="AE129" s="98">
        <f t="shared" ca="1" si="15"/>
        <v>0</v>
      </c>
      <c r="AF129" s="98">
        <f ca="1">IF('Invoer gegevens (N)'!$C$17=E129,X129,IF(C129=0,0,AG128))</f>
        <v>0</v>
      </c>
      <c r="AG129" s="98">
        <f t="shared" ca="1" si="16"/>
        <v>0</v>
      </c>
      <c r="AH129" s="66"/>
      <c r="AI129" s="71">
        <f ca="1">IF(C129=1,'Reeksen (N)'!AI129*((F129-G129+F129)/2)*12+'Reeksen (N)'!AD129*((L129-M129+L129)/2)*12,0)</f>
        <v>0</v>
      </c>
      <c r="AJ129" s="71">
        <f ca="1">-AI129*'Invoer gegevens (N)'!$F$28</f>
        <v>0</v>
      </c>
      <c r="AK129" s="71">
        <f t="shared" ca="1" si="17"/>
        <v>0</v>
      </c>
      <c r="AL129" s="71">
        <f ca="1">IF(C129=1,'Reeksen (N)'!AL129*((F129-G129+F129)/2)*12+'Reeksen (N)'!AM129*((L129-M129+L129)/2)*12,0)</f>
        <v>0</v>
      </c>
      <c r="AM129" s="71">
        <f ca="1">-AL129*'Invoer gegevens (N)'!$F$31</f>
        <v>0</v>
      </c>
      <c r="AN129" s="71">
        <f t="shared" ca="1" si="18"/>
        <v>0</v>
      </c>
      <c r="AO129" s="71">
        <f ca="1">IF(C129=1,(H129+J129+N129+P129)*'Reeksen (N)'!AN129,0)</f>
        <v>0</v>
      </c>
      <c r="AP129" s="71">
        <f ca="1">-IF(C129=1,(H129+J129+N129+P129)*'Hulp - basis'!$O$550*'Reeksen (N)'!H129,0)</f>
        <v>0</v>
      </c>
      <c r="AQ129" s="71">
        <f ca="1">-IF(C129=1,(F129+K129+L129+Q129)/2*'Invoer gegevens (N)'!$F$35*'Reeksen (N)'!J129,0)*2</f>
        <v>0</v>
      </c>
      <c r="AR129" s="71"/>
      <c r="AS129" s="71">
        <f ca="1">-IF(C129=1,(F129+K129+L129+Q129)/2*'Invoer gegevens (N)'!$F$37*'Reeksen (N)'!L129,0)</f>
        <v>0</v>
      </c>
      <c r="AT129" s="71">
        <f ca="1">-IF(C129=1,IF(E129='Invoer gegevens (N)'!$C$17,'Invoer gegevens (N)'!$C$11,AD129)*'Reeksen (N)'!S129*'Invoer gegevens (N)'!$C$18*'Reeksen (N)'!P129,0)</f>
        <v>0</v>
      </c>
      <c r="AU129" s="71">
        <f ca="1">-IF(C129=1,(F129+K129+L129+Q129)/2*'Invoer gegevens (N)'!$F$38*'Reeksen (N)'!H129,0)</f>
        <v>0</v>
      </c>
      <c r="AV129" s="71">
        <v>0</v>
      </c>
      <c r="AW129" s="71">
        <f t="shared" ca="1" si="19"/>
        <v>0</v>
      </c>
      <c r="AX129" s="71">
        <f ca="1">IF(E129&lt;'Invoer gegevens (N)'!$C$17+15,0,IF(E129&gt;'Invoer gegevens (N)'!$C$17+215,0,AW129))</f>
        <v>0</v>
      </c>
      <c r="AY129" s="71">
        <f ca="1">AX129/(1+'Invoer gegevens (N)'!$F$18)^($AZ129-('Invoer gegevens (N)'!$C$17-'Invoer gegevens (N)'!$C$16))/(1+'Invoer gegevens (N)'!$C$39)^('Invoer gegevens (N)'!$C$17-'Invoer gegevens (N)'!$C$16)</f>
        <v>0</v>
      </c>
      <c r="AZ129" s="68">
        <f ca="1">IF(E129-'Invoer gegevens (N)'!$C$17-14.5&lt;0,0,E129-'Invoer gegevens (N)'!$C$17-14.5)</f>
        <v>109.5</v>
      </c>
    </row>
    <row r="130" spans="1:52" x14ac:dyDescent="0.25">
      <c r="A130" s="59"/>
      <c r="B130" s="70">
        <f t="shared" si="20"/>
        <v>126</v>
      </c>
      <c r="C130" s="67">
        <f ca="1">IF(E130-'Invoer gegevens (N)'!$C$17&lt;0,0,1)</f>
        <v>1</v>
      </c>
      <c r="D130" s="68">
        <f t="shared" si="21"/>
        <v>125.5</v>
      </c>
      <c r="E130" s="69">
        <f ca="1">IF('Invoer gegevens (N)'!$C$16="","",E129+1)</f>
        <v>2144</v>
      </c>
      <c r="F130" s="84">
        <f ca="1">IF('Invoer gegevens (N)'!$C$17=E130,'Invoer gegevens (N)'!$C$10,IF(C130=1,K129,0))</f>
        <v>0</v>
      </c>
      <c r="G130" s="96">
        <f ca="1">IF(C130&gt;=1,F130*VLOOKUP(E130,'Reeksen (N)'!$A$5:$B$76,2),0)</f>
        <v>0</v>
      </c>
      <c r="H130" s="84">
        <f ca="1">(1-('Invoer gegevens (N)'!$F$20/12))*F130*MIN('Reeksen (N)'!B130,'Reeksen (N)'!D130)</f>
        <v>0</v>
      </c>
      <c r="I130" s="84">
        <f>IF('Reeksen (N)'!D130&lt;'Reeksen (N)'!B130,('Reeksen (N)'!B130-'Reeksen (N)'!D130)*F130,0)</f>
        <v>0</v>
      </c>
      <c r="J130" s="84">
        <f ca="1">('Invoer gegevens (N)'!$F$20/12)*F129*MIN('Reeksen (N)'!B129,'Reeksen (N)'!D129)</f>
        <v>0</v>
      </c>
      <c r="K130" s="97">
        <f t="shared" ca="1" si="11"/>
        <v>0</v>
      </c>
      <c r="L130" s="84">
        <f ca="1">IF('Invoer gegevens (N)'!$C$17=E130,0,IF(C130=1,Q129,0))</f>
        <v>0</v>
      </c>
      <c r="M130" s="96">
        <f ca="1">IF(C130&gt;=1,L130*VLOOKUP(E130,'Reeksen (N)'!$A$5:$B$76,2),0)</f>
        <v>0</v>
      </c>
      <c r="N130" s="84">
        <f ca="1">(1-('Invoer gegevens (N)'!$F$20/12))*L130*MIN('Reeksen (N)'!B130,'Reeksen (N)'!D130)</f>
        <v>0</v>
      </c>
      <c r="O130" s="84">
        <f>IF('Reeksen (N)'!D130&lt;'Reeksen (N)'!B130,('Reeksen (N)'!B130-'Reeksen (N)'!D130)*L130,0)</f>
        <v>0</v>
      </c>
      <c r="P130" s="84">
        <f ca="1">('Invoer gegevens (N)'!$F$20/12)*L129*MIN('Reeksen (N)'!B129,'Reeksen (N)'!D129)</f>
        <v>0</v>
      </c>
      <c r="Q130" s="84">
        <f t="shared" ca="1" si="12"/>
        <v>0</v>
      </c>
      <c r="R130" s="82">
        <f ca="1">IF('Invoer gegevens (N)'!$C$17=E130,'Invoer gegevens (N)'!$C$11,IF(C130=1,W129,0))</f>
        <v>0</v>
      </c>
      <c r="S130" s="86">
        <f ca="1">IF(C130&gt;=1,R130*VLOOKUP(E130,'Reeksen (N)'!$A$5:$B$76,2),0)</f>
        <v>0</v>
      </c>
      <c r="T130" s="84">
        <f ca="1">(1-('Invoer gegevens (N)'!$F$20/12))*R130*MIN('Reeksen (N)'!B130,'Reeksen (N)'!D130)</f>
        <v>0</v>
      </c>
      <c r="U130" s="84">
        <f>IF('Reeksen (N)'!D130&gt;='Reeksen (N)'!B130,0,IF('Reeksen (N)'!AD130&lt;='Reeksen (N)'!AE130,('Reeksen (N)'!B130-'Reeksen (N)'!D130)*R130,0))</f>
        <v>0</v>
      </c>
      <c r="V130" s="86">
        <f>IF('Reeksen (N)'!D130&gt;='Reeksen (N)'!B130,0,IF('Reeksen (N)'!AD130&gt;'Reeksen (N)'!AE130,('Reeksen (N)'!B130-'Reeksen (N)'!D130)*R130,0))</f>
        <v>0</v>
      </c>
      <c r="W130" s="97">
        <f t="shared" ca="1" si="13"/>
        <v>0</v>
      </c>
      <c r="X130" s="98">
        <f ca="1">IF('Invoer gegevens (N)'!$C$17=E130,'Invoer gegevens (N)'!$C$10-'Invoer gegevens (N)'!$C$11,IF(C130=1,AC129,0))</f>
        <v>0</v>
      </c>
      <c r="Y130" s="98">
        <f ca="1">IF(C130&gt;=1,X130*VLOOKUP(E130,'Reeksen (N)'!$A$5:$B$76,2),0)</f>
        <v>0</v>
      </c>
      <c r="Z130" s="98">
        <f ca="1">(1-('Invoer gegevens (N)'!$F$20/12))*X130*MIN('Reeksen (N)'!B130,'Reeksen (N)'!D130)</f>
        <v>0</v>
      </c>
      <c r="AA130" s="98">
        <f>IF('Reeksen (N)'!D130&gt;='Reeksen (N)'!B130,0,IF('Reeksen (N)'!AD130&lt;='Reeksen (N)'!AE130,('Reeksen (N)'!B130-'Reeksen (N)'!D130)*X130,0))</f>
        <v>0</v>
      </c>
      <c r="AB130" s="98">
        <f>IF('Reeksen (N)'!D130&gt;='Reeksen (N)'!B130,0,IF('Reeksen (N)'!AD130&gt;'Reeksen (N)'!AE130,('Reeksen (N)'!B130-'Reeksen (N)'!D130)*X130,0))</f>
        <v>0</v>
      </c>
      <c r="AC130" s="99">
        <f t="shared" ca="1" si="14"/>
        <v>0</v>
      </c>
      <c r="AD130" s="98">
        <f ca="1">IF('Invoer gegevens (N)'!$C$17=E130,R130,IF(C130=0,0,AE129))</f>
        <v>0</v>
      </c>
      <c r="AE130" s="98">
        <f t="shared" ca="1" si="15"/>
        <v>0</v>
      </c>
      <c r="AF130" s="98">
        <f ca="1">IF('Invoer gegevens (N)'!$C$17=E130,X130,IF(C130=0,0,AG129))</f>
        <v>0</v>
      </c>
      <c r="AG130" s="98">
        <f t="shared" ca="1" si="16"/>
        <v>0</v>
      </c>
      <c r="AH130" s="66"/>
      <c r="AI130" s="71">
        <f ca="1">IF(C130=1,'Reeksen (N)'!AI130*((F130-G130+F130)/2)*12+'Reeksen (N)'!AD130*((L130-M130+L130)/2)*12,0)</f>
        <v>0</v>
      </c>
      <c r="AJ130" s="71">
        <f ca="1">-AI130*'Invoer gegevens (N)'!$F$28</f>
        <v>0</v>
      </c>
      <c r="AK130" s="71">
        <f t="shared" ca="1" si="17"/>
        <v>0</v>
      </c>
      <c r="AL130" s="71">
        <f ca="1">IF(C130=1,'Reeksen (N)'!AL130*((F130-G130+F130)/2)*12+'Reeksen (N)'!AM130*((L130-M130+L130)/2)*12,0)</f>
        <v>0</v>
      </c>
      <c r="AM130" s="71">
        <f ca="1">-AL130*'Invoer gegevens (N)'!$F$31</f>
        <v>0</v>
      </c>
      <c r="AN130" s="71">
        <f t="shared" ca="1" si="18"/>
        <v>0</v>
      </c>
      <c r="AO130" s="71">
        <f ca="1">IF(C130=1,(H130+J130+N130+P130)*'Reeksen (N)'!AN130,0)</f>
        <v>0</v>
      </c>
      <c r="AP130" s="71">
        <f ca="1">-IF(C130=1,(H130+J130+N130+P130)*'Hulp - basis'!$O$550*'Reeksen (N)'!H130,0)</f>
        <v>0</v>
      </c>
      <c r="AQ130" s="71">
        <f ca="1">-IF(C130=1,(F130+K130+L130+Q130)/2*'Invoer gegevens (N)'!$F$35*'Reeksen (N)'!J130,0)*2</f>
        <v>0</v>
      </c>
      <c r="AR130" s="71"/>
      <c r="AS130" s="71">
        <f ca="1">-IF(C130=1,(F130+K130+L130+Q130)/2*'Invoer gegevens (N)'!$F$37*'Reeksen (N)'!L130,0)</f>
        <v>0</v>
      </c>
      <c r="AT130" s="71">
        <f ca="1">-IF(C130=1,IF(E130='Invoer gegevens (N)'!$C$17,'Invoer gegevens (N)'!$C$11,AD130)*'Reeksen (N)'!S130*'Invoer gegevens (N)'!$C$18*'Reeksen (N)'!P130,0)</f>
        <v>0</v>
      </c>
      <c r="AU130" s="71">
        <f ca="1">-IF(C130=1,(F130+K130+L130+Q130)/2*'Invoer gegevens (N)'!$F$38*'Reeksen (N)'!H130,0)</f>
        <v>0</v>
      </c>
      <c r="AV130" s="71">
        <v>0</v>
      </c>
      <c r="AW130" s="71">
        <f t="shared" ca="1" si="19"/>
        <v>0</v>
      </c>
      <c r="AX130" s="71">
        <f ca="1">IF(E130&lt;'Invoer gegevens (N)'!$C$17+15,0,IF(E130&gt;'Invoer gegevens (N)'!$C$17+215,0,AW130))</f>
        <v>0</v>
      </c>
      <c r="AY130" s="71">
        <f ca="1">AX130/(1+'Invoer gegevens (N)'!$F$18)^($AZ130-('Invoer gegevens (N)'!$C$17-'Invoer gegevens (N)'!$C$16))/(1+'Invoer gegevens (N)'!$C$39)^('Invoer gegevens (N)'!$C$17-'Invoer gegevens (N)'!$C$16)</f>
        <v>0</v>
      </c>
      <c r="AZ130" s="68">
        <f ca="1">IF(E130-'Invoer gegevens (N)'!$C$17-14.5&lt;0,0,E130-'Invoer gegevens (N)'!$C$17-14.5)</f>
        <v>110.5</v>
      </c>
    </row>
    <row r="131" spans="1:52" x14ac:dyDescent="0.25">
      <c r="A131" s="59"/>
      <c r="B131" s="70">
        <f t="shared" si="20"/>
        <v>127</v>
      </c>
      <c r="C131" s="67">
        <f ca="1">IF(E131-'Invoer gegevens (N)'!$C$17&lt;0,0,1)</f>
        <v>1</v>
      </c>
      <c r="D131" s="68">
        <f t="shared" si="21"/>
        <v>126.5</v>
      </c>
      <c r="E131" s="69">
        <f ca="1">IF('Invoer gegevens (N)'!$C$16="","",E130+1)</f>
        <v>2145</v>
      </c>
      <c r="F131" s="84">
        <f ca="1">IF('Invoer gegevens (N)'!$C$17=E131,'Invoer gegevens (N)'!$C$10,IF(C131=1,K130,0))</f>
        <v>0</v>
      </c>
      <c r="G131" s="96">
        <f ca="1">IF(C131&gt;=1,F131*VLOOKUP(E131,'Reeksen (N)'!$A$5:$B$76,2),0)</f>
        <v>0</v>
      </c>
      <c r="H131" s="84">
        <f ca="1">(1-('Invoer gegevens (N)'!$F$20/12))*F131*MIN('Reeksen (N)'!B131,'Reeksen (N)'!D131)</f>
        <v>0</v>
      </c>
      <c r="I131" s="84">
        <f>IF('Reeksen (N)'!D131&lt;'Reeksen (N)'!B131,('Reeksen (N)'!B131-'Reeksen (N)'!D131)*F131,0)</f>
        <v>0</v>
      </c>
      <c r="J131" s="84">
        <f ca="1">('Invoer gegevens (N)'!$F$20/12)*F130*MIN('Reeksen (N)'!B130,'Reeksen (N)'!D130)</f>
        <v>0</v>
      </c>
      <c r="K131" s="97">
        <f t="shared" ca="1" si="11"/>
        <v>0</v>
      </c>
      <c r="L131" s="84">
        <f ca="1">IF('Invoer gegevens (N)'!$C$17=E131,0,IF(C131=1,Q130,0))</f>
        <v>0</v>
      </c>
      <c r="M131" s="96">
        <f ca="1">IF(C131&gt;=1,L131*VLOOKUP(E131,'Reeksen (N)'!$A$5:$B$76,2),0)</f>
        <v>0</v>
      </c>
      <c r="N131" s="84">
        <f ca="1">(1-('Invoer gegevens (N)'!$F$20/12))*L131*MIN('Reeksen (N)'!B131,'Reeksen (N)'!D131)</f>
        <v>0</v>
      </c>
      <c r="O131" s="84">
        <f>IF('Reeksen (N)'!D131&lt;'Reeksen (N)'!B131,('Reeksen (N)'!B131-'Reeksen (N)'!D131)*L131,0)</f>
        <v>0</v>
      </c>
      <c r="P131" s="84">
        <f ca="1">('Invoer gegevens (N)'!$F$20/12)*L130*MIN('Reeksen (N)'!B130,'Reeksen (N)'!D130)</f>
        <v>0</v>
      </c>
      <c r="Q131" s="84">
        <f t="shared" ca="1" si="12"/>
        <v>0</v>
      </c>
      <c r="R131" s="82">
        <f ca="1">IF('Invoer gegevens (N)'!$C$17=E131,'Invoer gegevens (N)'!$C$11,IF(C131=1,W130,0))</f>
        <v>0</v>
      </c>
      <c r="S131" s="86">
        <f ca="1">IF(C131&gt;=1,R131*VLOOKUP(E131,'Reeksen (N)'!$A$5:$B$76,2),0)</f>
        <v>0</v>
      </c>
      <c r="T131" s="84">
        <f ca="1">(1-('Invoer gegevens (N)'!$F$20/12))*R131*MIN('Reeksen (N)'!B131,'Reeksen (N)'!D131)</f>
        <v>0</v>
      </c>
      <c r="U131" s="84">
        <f>IF('Reeksen (N)'!D131&gt;='Reeksen (N)'!B131,0,IF('Reeksen (N)'!AD131&lt;='Reeksen (N)'!AE131,('Reeksen (N)'!B131-'Reeksen (N)'!D131)*R131,0))</f>
        <v>0</v>
      </c>
      <c r="V131" s="86">
        <f>IF('Reeksen (N)'!D131&gt;='Reeksen (N)'!B131,0,IF('Reeksen (N)'!AD131&gt;'Reeksen (N)'!AE131,('Reeksen (N)'!B131-'Reeksen (N)'!D131)*R131,0))</f>
        <v>0</v>
      </c>
      <c r="W131" s="97">
        <f t="shared" ca="1" si="13"/>
        <v>0</v>
      </c>
      <c r="X131" s="98">
        <f ca="1">IF('Invoer gegevens (N)'!$C$17=E131,'Invoer gegevens (N)'!$C$10-'Invoer gegevens (N)'!$C$11,IF(C131=1,AC130,0))</f>
        <v>0</v>
      </c>
      <c r="Y131" s="98">
        <f ca="1">IF(C131&gt;=1,X131*VLOOKUP(E131,'Reeksen (N)'!$A$5:$B$76,2),0)</f>
        <v>0</v>
      </c>
      <c r="Z131" s="98">
        <f ca="1">(1-('Invoer gegevens (N)'!$F$20/12))*X131*MIN('Reeksen (N)'!B131,'Reeksen (N)'!D131)</f>
        <v>0</v>
      </c>
      <c r="AA131" s="98">
        <f>IF('Reeksen (N)'!D131&gt;='Reeksen (N)'!B131,0,IF('Reeksen (N)'!AD131&lt;='Reeksen (N)'!AE131,('Reeksen (N)'!B131-'Reeksen (N)'!D131)*X131,0))</f>
        <v>0</v>
      </c>
      <c r="AB131" s="98">
        <f>IF('Reeksen (N)'!D131&gt;='Reeksen (N)'!B131,0,IF('Reeksen (N)'!AD131&gt;'Reeksen (N)'!AE131,('Reeksen (N)'!B131-'Reeksen (N)'!D131)*X131,0))</f>
        <v>0</v>
      </c>
      <c r="AC131" s="99">
        <f t="shared" ca="1" si="14"/>
        <v>0</v>
      </c>
      <c r="AD131" s="98">
        <f ca="1">IF('Invoer gegevens (N)'!$C$17=E131,R131,IF(C131=0,0,AE130))</f>
        <v>0</v>
      </c>
      <c r="AE131" s="98">
        <f t="shared" ca="1" si="15"/>
        <v>0</v>
      </c>
      <c r="AF131" s="98">
        <f ca="1">IF('Invoer gegevens (N)'!$C$17=E131,X131,IF(C131=0,0,AG130))</f>
        <v>0</v>
      </c>
      <c r="AG131" s="98">
        <f t="shared" ca="1" si="16"/>
        <v>0</v>
      </c>
      <c r="AH131" s="66"/>
      <c r="AI131" s="71">
        <f ca="1">IF(C131=1,'Reeksen (N)'!AI131*((F131-G131+F131)/2)*12+'Reeksen (N)'!AD131*((L131-M131+L131)/2)*12,0)</f>
        <v>0</v>
      </c>
      <c r="AJ131" s="71">
        <f ca="1">-AI131*'Invoer gegevens (N)'!$F$28</f>
        <v>0</v>
      </c>
      <c r="AK131" s="71">
        <f t="shared" ca="1" si="17"/>
        <v>0</v>
      </c>
      <c r="AL131" s="71">
        <f ca="1">IF(C131=1,'Reeksen (N)'!AL131*((F131-G131+F131)/2)*12+'Reeksen (N)'!AM131*((L131-M131+L131)/2)*12,0)</f>
        <v>0</v>
      </c>
      <c r="AM131" s="71">
        <f ca="1">-AL131*'Invoer gegevens (N)'!$F$31</f>
        <v>0</v>
      </c>
      <c r="AN131" s="71">
        <f t="shared" ca="1" si="18"/>
        <v>0</v>
      </c>
      <c r="AO131" s="71">
        <f ca="1">IF(C131=1,(H131+J131+N131+P131)*'Reeksen (N)'!AN131,0)</f>
        <v>0</v>
      </c>
      <c r="AP131" s="71">
        <f ca="1">-IF(C131=1,(H131+J131+N131+P131)*'Hulp - basis'!$O$550*'Reeksen (N)'!H131,0)</f>
        <v>0</v>
      </c>
      <c r="AQ131" s="71">
        <f ca="1">-IF(C131=1,(F131+K131+L131+Q131)/2*'Invoer gegevens (N)'!$F$35*'Reeksen (N)'!J131,0)*2</f>
        <v>0</v>
      </c>
      <c r="AR131" s="71"/>
      <c r="AS131" s="71">
        <f ca="1">-IF(C131=1,(F131+K131+L131+Q131)/2*'Invoer gegevens (N)'!$F$37*'Reeksen (N)'!L131,0)</f>
        <v>0</v>
      </c>
      <c r="AT131" s="71">
        <f ca="1">-IF(C131=1,IF(E131='Invoer gegevens (N)'!$C$17,'Invoer gegevens (N)'!$C$11,AD131)*'Reeksen (N)'!S131*'Invoer gegevens (N)'!$C$18*'Reeksen (N)'!P131,0)</f>
        <v>0</v>
      </c>
      <c r="AU131" s="71">
        <f ca="1">-IF(C131=1,(F131+K131+L131+Q131)/2*'Invoer gegevens (N)'!$F$38*'Reeksen (N)'!H131,0)</f>
        <v>0</v>
      </c>
      <c r="AV131" s="71">
        <v>0</v>
      </c>
      <c r="AW131" s="71">
        <f t="shared" ca="1" si="19"/>
        <v>0</v>
      </c>
      <c r="AX131" s="71">
        <f ca="1">IF(E131&lt;'Invoer gegevens (N)'!$C$17+15,0,IF(E131&gt;'Invoer gegevens (N)'!$C$17+215,0,AW131))</f>
        <v>0</v>
      </c>
      <c r="AY131" s="71">
        <f ca="1">AX131/(1+'Invoer gegevens (N)'!$F$18)^($AZ131-('Invoer gegevens (N)'!$C$17-'Invoer gegevens (N)'!$C$16))/(1+'Invoer gegevens (N)'!$C$39)^('Invoer gegevens (N)'!$C$17-'Invoer gegevens (N)'!$C$16)</f>
        <v>0</v>
      </c>
      <c r="AZ131" s="68">
        <f ca="1">IF(E131-'Invoer gegevens (N)'!$C$17-14.5&lt;0,0,E131-'Invoer gegevens (N)'!$C$17-14.5)</f>
        <v>111.5</v>
      </c>
    </row>
    <row r="132" spans="1:52" x14ac:dyDescent="0.25">
      <c r="A132" s="59"/>
      <c r="B132" s="70">
        <f t="shared" si="20"/>
        <v>128</v>
      </c>
      <c r="C132" s="67">
        <f ca="1">IF(E132-'Invoer gegevens (N)'!$C$17&lt;0,0,1)</f>
        <v>1</v>
      </c>
      <c r="D132" s="68">
        <f t="shared" si="21"/>
        <v>127.5</v>
      </c>
      <c r="E132" s="69">
        <f ca="1">IF('Invoer gegevens (N)'!$C$16="","",E131+1)</f>
        <v>2146</v>
      </c>
      <c r="F132" s="84">
        <f ca="1">IF('Invoer gegevens (N)'!$C$17=E132,'Invoer gegevens (N)'!$C$10,IF(C132=1,K131,0))</f>
        <v>0</v>
      </c>
      <c r="G132" s="96">
        <f ca="1">IF(C132&gt;=1,F132*VLOOKUP(E132,'Reeksen (N)'!$A$5:$B$76,2),0)</f>
        <v>0</v>
      </c>
      <c r="H132" s="84">
        <f ca="1">(1-('Invoer gegevens (N)'!$F$20/12))*F132*MIN('Reeksen (N)'!B132,'Reeksen (N)'!D132)</f>
        <v>0</v>
      </c>
      <c r="I132" s="84">
        <f>IF('Reeksen (N)'!D132&lt;'Reeksen (N)'!B132,('Reeksen (N)'!B132-'Reeksen (N)'!D132)*F132,0)</f>
        <v>0</v>
      </c>
      <c r="J132" s="84">
        <f ca="1">('Invoer gegevens (N)'!$F$20/12)*F131*MIN('Reeksen (N)'!B131,'Reeksen (N)'!D131)</f>
        <v>0</v>
      </c>
      <c r="K132" s="97">
        <f t="shared" ca="1" si="11"/>
        <v>0</v>
      </c>
      <c r="L132" s="84">
        <f ca="1">IF('Invoer gegevens (N)'!$C$17=E132,0,IF(C132=1,Q131,0))</f>
        <v>0</v>
      </c>
      <c r="M132" s="96">
        <f ca="1">IF(C132&gt;=1,L132*VLOOKUP(E132,'Reeksen (N)'!$A$5:$B$76,2),0)</f>
        <v>0</v>
      </c>
      <c r="N132" s="84">
        <f ca="1">(1-('Invoer gegevens (N)'!$F$20/12))*L132*MIN('Reeksen (N)'!B132,'Reeksen (N)'!D132)</f>
        <v>0</v>
      </c>
      <c r="O132" s="84">
        <f>IF('Reeksen (N)'!D132&lt;'Reeksen (N)'!B132,('Reeksen (N)'!B132-'Reeksen (N)'!D132)*L132,0)</f>
        <v>0</v>
      </c>
      <c r="P132" s="84">
        <f ca="1">('Invoer gegevens (N)'!$F$20/12)*L131*MIN('Reeksen (N)'!B131,'Reeksen (N)'!D131)</f>
        <v>0</v>
      </c>
      <c r="Q132" s="84">
        <f t="shared" ca="1" si="12"/>
        <v>0</v>
      </c>
      <c r="R132" s="82">
        <f ca="1">IF('Invoer gegevens (N)'!$C$17=E132,'Invoer gegevens (N)'!$C$11,IF(C132=1,W131,0))</f>
        <v>0</v>
      </c>
      <c r="S132" s="86">
        <f ca="1">IF(C132&gt;=1,R132*VLOOKUP(E132,'Reeksen (N)'!$A$5:$B$76,2),0)</f>
        <v>0</v>
      </c>
      <c r="T132" s="84">
        <f ca="1">(1-('Invoer gegevens (N)'!$F$20/12))*R132*MIN('Reeksen (N)'!B132,'Reeksen (N)'!D132)</f>
        <v>0</v>
      </c>
      <c r="U132" s="84">
        <f>IF('Reeksen (N)'!D132&gt;='Reeksen (N)'!B132,0,IF('Reeksen (N)'!AD132&lt;='Reeksen (N)'!AE132,('Reeksen (N)'!B132-'Reeksen (N)'!D132)*R132,0))</f>
        <v>0</v>
      </c>
      <c r="V132" s="86">
        <f>IF('Reeksen (N)'!D132&gt;='Reeksen (N)'!B132,0,IF('Reeksen (N)'!AD132&gt;'Reeksen (N)'!AE132,('Reeksen (N)'!B132-'Reeksen (N)'!D132)*R132,0))</f>
        <v>0</v>
      </c>
      <c r="W132" s="97">
        <f t="shared" ca="1" si="13"/>
        <v>0</v>
      </c>
      <c r="X132" s="98">
        <f ca="1">IF('Invoer gegevens (N)'!$C$17=E132,'Invoer gegevens (N)'!$C$10-'Invoer gegevens (N)'!$C$11,IF(C132=1,AC131,0))</f>
        <v>0</v>
      </c>
      <c r="Y132" s="98">
        <f ca="1">IF(C132&gt;=1,X132*VLOOKUP(E132,'Reeksen (N)'!$A$5:$B$76,2),0)</f>
        <v>0</v>
      </c>
      <c r="Z132" s="98">
        <f ca="1">(1-('Invoer gegevens (N)'!$F$20/12))*X132*MIN('Reeksen (N)'!B132,'Reeksen (N)'!D132)</f>
        <v>0</v>
      </c>
      <c r="AA132" s="98">
        <f>IF('Reeksen (N)'!D132&gt;='Reeksen (N)'!B132,0,IF('Reeksen (N)'!AD132&lt;='Reeksen (N)'!AE132,('Reeksen (N)'!B132-'Reeksen (N)'!D132)*X132,0))</f>
        <v>0</v>
      </c>
      <c r="AB132" s="98">
        <f>IF('Reeksen (N)'!D132&gt;='Reeksen (N)'!B132,0,IF('Reeksen (N)'!AD132&gt;'Reeksen (N)'!AE132,('Reeksen (N)'!B132-'Reeksen (N)'!D132)*X132,0))</f>
        <v>0</v>
      </c>
      <c r="AC132" s="99">
        <f t="shared" ca="1" si="14"/>
        <v>0</v>
      </c>
      <c r="AD132" s="98">
        <f ca="1">IF('Invoer gegevens (N)'!$C$17=E132,R132,IF(C132=0,0,AE131))</f>
        <v>0</v>
      </c>
      <c r="AE132" s="98">
        <f t="shared" ca="1" si="15"/>
        <v>0</v>
      </c>
      <c r="AF132" s="98">
        <f ca="1">IF('Invoer gegevens (N)'!$C$17=E132,X132,IF(C132=0,0,AG131))</f>
        <v>0</v>
      </c>
      <c r="AG132" s="98">
        <f t="shared" ca="1" si="16"/>
        <v>0</v>
      </c>
      <c r="AH132" s="66"/>
      <c r="AI132" s="71">
        <f ca="1">IF(C132=1,'Reeksen (N)'!AI132*((F132-G132+F132)/2)*12+'Reeksen (N)'!AD132*((L132-M132+L132)/2)*12,0)</f>
        <v>0</v>
      </c>
      <c r="AJ132" s="71">
        <f ca="1">-AI132*'Invoer gegevens (N)'!$F$28</f>
        <v>0</v>
      </c>
      <c r="AK132" s="71">
        <f t="shared" ca="1" si="17"/>
        <v>0</v>
      </c>
      <c r="AL132" s="71">
        <f ca="1">IF(C132=1,'Reeksen (N)'!AL132*((F132-G132+F132)/2)*12+'Reeksen (N)'!AM132*((L132-M132+L132)/2)*12,0)</f>
        <v>0</v>
      </c>
      <c r="AM132" s="71">
        <f ca="1">-AL132*'Invoer gegevens (N)'!$F$31</f>
        <v>0</v>
      </c>
      <c r="AN132" s="71">
        <f t="shared" ca="1" si="18"/>
        <v>0</v>
      </c>
      <c r="AO132" s="71">
        <f ca="1">IF(C132=1,(H132+J132+N132+P132)*'Reeksen (N)'!AN132,0)</f>
        <v>0</v>
      </c>
      <c r="AP132" s="71">
        <f ca="1">-IF(C132=1,(H132+J132+N132+P132)*'Hulp - basis'!$O$550*'Reeksen (N)'!H132,0)</f>
        <v>0</v>
      </c>
      <c r="AQ132" s="71">
        <f ca="1">-IF(C132=1,(F132+K132+L132+Q132)/2*'Invoer gegevens (N)'!$F$35*'Reeksen (N)'!J132,0)*2</f>
        <v>0</v>
      </c>
      <c r="AR132" s="71"/>
      <c r="AS132" s="71">
        <f ca="1">-IF(C132=1,(F132+K132+L132+Q132)/2*'Invoer gegevens (N)'!$F$37*'Reeksen (N)'!L132,0)</f>
        <v>0</v>
      </c>
      <c r="AT132" s="71">
        <f ca="1">-IF(C132=1,IF(E132='Invoer gegevens (N)'!$C$17,'Invoer gegevens (N)'!$C$11,AD132)*'Reeksen (N)'!S132*'Invoer gegevens (N)'!$C$18*'Reeksen (N)'!P132,0)</f>
        <v>0</v>
      </c>
      <c r="AU132" s="71">
        <f ca="1">-IF(C132=1,(F132+K132+L132+Q132)/2*'Invoer gegevens (N)'!$F$38*'Reeksen (N)'!H132,0)</f>
        <v>0</v>
      </c>
      <c r="AV132" s="71">
        <v>0</v>
      </c>
      <c r="AW132" s="71">
        <f t="shared" ca="1" si="19"/>
        <v>0</v>
      </c>
      <c r="AX132" s="71">
        <f ca="1">IF(E132&lt;'Invoer gegevens (N)'!$C$17+15,0,IF(E132&gt;'Invoer gegevens (N)'!$C$17+215,0,AW132))</f>
        <v>0</v>
      </c>
      <c r="AY132" s="71">
        <f ca="1">AX132/(1+'Invoer gegevens (N)'!$F$18)^($AZ132-('Invoer gegevens (N)'!$C$17-'Invoer gegevens (N)'!$C$16))/(1+'Invoer gegevens (N)'!$C$39)^('Invoer gegevens (N)'!$C$17-'Invoer gegevens (N)'!$C$16)</f>
        <v>0</v>
      </c>
      <c r="AZ132" s="68">
        <f ca="1">IF(E132-'Invoer gegevens (N)'!$C$17-14.5&lt;0,0,E132-'Invoer gegevens (N)'!$C$17-14.5)</f>
        <v>112.5</v>
      </c>
    </row>
    <row r="133" spans="1:52" x14ac:dyDescent="0.25">
      <c r="A133" s="59"/>
      <c r="B133" s="70">
        <f t="shared" si="20"/>
        <v>129</v>
      </c>
      <c r="C133" s="67">
        <f ca="1">IF(E133-'Invoer gegevens (N)'!$C$17&lt;0,0,1)</f>
        <v>1</v>
      </c>
      <c r="D133" s="68">
        <f t="shared" si="21"/>
        <v>128.5</v>
      </c>
      <c r="E133" s="69">
        <f ca="1">IF('Invoer gegevens (N)'!$C$16="","",E132+1)</f>
        <v>2147</v>
      </c>
      <c r="F133" s="84">
        <f ca="1">IF('Invoer gegevens (N)'!$C$17=E133,'Invoer gegevens (N)'!$C$10,IF(C133=1,K132,0))</f>
        <v>0</v>
      </c>
      <c r="G133" s="96">
        <f ca="1">IF(C133&gt;=1,F133*VLOOKUP(E133,'Reeksen (N)'!$A$5:$B$76,2),0)</f>
        <v>0</v>
      </c>
      <c r="H133" s="84">
        <f ca="1">(1-('Invoer gegevens (N)'!$F$20/12))*F133*MIN('Reeksen (N)'!B133,'Reeksen (N)'!D133)</f>
        <v>0</v>
      </c>
      <c r="I133" s="84">
        <f>IF('Reeksen (N)'!D133&lt;'Reeksen (N)'!B133,('Reeksen (N)'!B133-'Reeksen (N)'!D133)*F133,0)</f>
        <v>0</v>
      </c>
      <c r="J133" s="84">
        <f ca="1">('Invoer gegevens (N)'!$F$20/12)*F132*MIN('Reeksen (N)'!B132,'Reeksen (N)'!D132)</f>
        <v>0</v>
      </c>
      <c r="K133" s="97">
        <f t="shared" ca="1" si="11"/>
        <v>0</v>
      </c>
      <c r="L133" s="84">
        <f ca="1">IF('Invoer gegevens (N)'!$C$17=E133,0,IF(C133=1,Q132,0))</f>
        <v>0</v>
      </c>
      <c r="M133" s="96">
        <f ca="1">IF(C133&gt;=1,L133*VLOOKUP(E133,'Reeksen (N)'!$A$5:$B$76,2),0)</f>
        <v>0</v>
      </c>
      <c r="N133" s="84">
        <f ca="1">(1-('Invoer gegevens (N)'!$F$20/12))*L133*MIN('Reeksen (N)'!B133,'Reeksen (N)'!D133)</f>
        <v>0</v>
      </c>
      <c r="O133" s="84">
        <f>IF('Reeksen (N)'!D133&lt;'Reeksen (N)'!B133,('Reeksen (N)'!B133-'Reeksen (N)'!D133)*L133,0)</f>
        <v>0</v>
      </c>
      <c r="P133" s="84">
        <f ca="1">('Invoer gegevens (N)'!$F$20/12)*L132*MIN('Reeksen (N)'!B132,'Reeksen (N)'!D132)</f>
        <v>0</v>
      </c>
      <c r="Q133" s="84">
        <f t="shared" ca="1" si="12"/>
        <v>0</v>
      </c>
      <c r="R133" s="82">
        <f ca="1">IF('Invoer gegevens (N)'!$C$17=E133,'Invoer gegevens (N)'!$C$11,IF(C133=1,W132,0))</f>
        <v>0</v>
      </c>
      <c r="S133" s="86">
        <f ca="1">IF(C133&gt;=1,R133*VLOOKUP(E133,'Reeksen (N)'!$A$5:$B$76,2),0)</f>
        <v>0</v>
      </c>
      <c r="T133" s="84">
        <f ca="1">(1-('Invoer gegevens (N)'!$F$20/12))*R133*MIN('Reeksen (N)'!B133,'Reeksen (N)'!D133)</f>
        <v>0</v>
      </c>
      <c r="U133" s="84">
        <f>IF('Reeksen (N)'!D133&gt;='Reeksen (N)'!B133,0,IF('Reeksen (N)'!AD133&lt;='Reeksen (N)'!AE133,('Reeksen (N)'!B133-'Reeksen (N)'!D133)*R133,0))</f>
        <v>0</v>
      </c>
      <c r="V133" s="86">
        <f>IF('Reeksen (N)'!D133&gt;='Reeksen (N)'!B133,0,IF('Reeksen (N)'!AD133&gt;'Reeksen (N)'!AE133,('Reeksen (N)'!B133-'Reeksen (N)'!D133)*R133,0))</f>
        <v>0</v>
      </c>
      <c r="W133" s="97">
        <f t="shared" ca="1" si="13"/>
        <v>0</v>
      </c>
      <c r="X133" s="98">
        <f ca="1">IF('Invoer gegevens (N)'!$C$17=E133,'Invoer gegevens (N)'!$C$10-'Invoer gegevens (N)'!$C$11,IF(C133=1,AC132,0))</f>
        <v>0</v>
      </c>
      <c r="Y133" s="98">
        <f ca="1">IF(C133&gt;=1,X133*VLOOKUP(E133,'Reeksen (N)'!$A$5:$B$76,2),0)</f>
        <v>0</v>
      </c>
      <c r="Z133" s="98">
        <f ca="1">(1-('Invoer gegevens (N)'!$F$20/12))*X133*MIN('Reeksen (N)'!B133,'Reeksen (N)'!D133)</f>
        <v>0</v>
      </c>
      <c r="AA133" s="98">
        <f>IF('Reeksen (N)'!D133&gt;='Reeksen (N)'!B133,0,IF('Reeksen (N)'!AD133&lt;='Reeksen (N)'!AE133,('Reeksen (N)'!B133-'Reeksen (N)'!D133)*X133,0))</f>
        <v>0</v>
      </c>
      <c r="AB133" s="98">
        <f>IF('Reeksen (N)'!D133&gt;='Reeksen (N)'!B133,0,IF('Reeksen (N)'!AD133&gt;'Reeksen (N)'!AE133,('Reeksen (N)'!B133-'Reeksen (N)'!D133)*X133,0))</f>
        <v>0</v>
      </c>
      <c r="AC133" s="99">
        <f t="shared" ca="1" si="14"/>
        <v>0</v>
      </c>
      <c r="AD133" s="98">
        <f ca="1">IF('Invoer gegevens (N)'!$C$17=E133,R133,IF(C133=0,0,AE132))</f>
        <v>0</v>
      </c>
      <c r="AE133" s="98">
        <f t="shared" ca="1" si="15"/>
        <v>0</v>
      </c>
      <c r="AF133" s="98">
        <f ca="1">IF('Invoer gegevens (N)'!$C$17=E133,X133,IF(C133=0,0,AG132))</f>
        <v>0</v>
      </c>
      <c r="AG133" s="98">
        <f t="shared" ca="1" si="16"/>
        <v>0</v>
      </c>
      <c r="AH133" s="66"/>
      <c r="AI133" s="71">
        <f ca="1">IF(C133=1,'Reeksen (N)'!AI133*((F133-G133+F133)/2)*12+'Reeksen (N)'!AD133*((L133-M133+L133)/2)*12,0)</f>
        <v>0</v>
      </c>
      <c r="AJ133" s="71">
        <f ca="1">-AI133*'Invoer gegevens (N)'!$F$28</f>
        <v>0</v>
      </c>
      <c r="AK133" s="71">
        <f t="shared" ca="1" si="17"/>
        <v>0</v>
      </c>
      <c r="AL133" s="71">
        <f ca="1">IF(C133=1,'Reeksen (N)'!AL133*((F133-G133+F133)/2)*12+'Reeksen (N)'!AM133*((L133-M133+L133)/2)*12,0)</f>
        <v>0</v>
      </c>
      <c r="AM133" s="71">
        <f ca="1">-AL133*'Invoer gegevens (N)'!$F$31</f>
        <v>0</v>
      </c>
      <c r="AN133" s="71">
        <f t="shared" ca="1" si="18"/>
        <v>0</v>
      </c>
      <c r="AO133" s="71">
        <f ca="1">IF(C133=1,(H133+J133+N133+P133)*'Reeksen (N)'!AN133,0)</f>
        <v>0</v>
      </c>
      <c r="AP133" s="71">
        <f ca="1">-IF(C133=1,(H133+J133+N133+P133)*'Hulp - basis'!$O$550*'Reeksen (N)'!H133,0)</f>
        <v>0</v>
      </c>
      <c r="AQ133" s="71">
        <f ca="1">-IF(C133=1,(F133+K133+L133+Q133)/2*'Invoer gegevens (N)'!$F$35*'Reeksen (N)'!J133,0)*2</f>
        <v>0</v>
      </c>
      <c r="AR133" s="71"/>
      <c r="AS133" s="71">
        <f ca="1">-IF(C133=1,(F133+K133+L133+Q133)/2*'Invoer gegevens (N)'!$F$37*'Reeksen (N)'!L133,0)</f>
        <v>0</v>
      </c>
      <c r="AT133" s="71">
        <f ca="1">-IF(C133=1,IF(E133='Invoer gegevens (N)'!$C$17,'Invoer gegevens (N)'!$C$11,AD133)*'Reeksen (N)'!S133*'Invoer gegevens (N)'!$C$18*'Reeksen (N)'!P133,0)</f>
        <v>0</v>
      </c>
      <c r="AU133" s="71">
        <f ca="1">-IF(C133=1,(F133+K133+L133+Q133)/2*'Invoer gegevens (N)'!$F$38*'Reeksen (N)'!H133,0)</f>
        <v>0</v>
      </c>
      <c r="AV133" s="71">
        <v>0</v>
      </c>
      <c r="AW133" s="71">
        <f t="shared" ca="1" si="19"/>
        <v>0</v>
      </c>
      <c r="AX133" s="71">
        <f ca="1">IF(E133&lt;'Invoer gegevens (N)'!$C$17+15,0,IF(E133&gt;'Invoer gegevens (N)'!$C$17+215,0,AW133))</f>
        <v>0</v>
      </c>
      <c r="AY133" s="71">
        <f ca="1">AX133/(1+'Invoer gegevens (N)'!$F$18)^($AZ133-('Invoer gegevens (N)'!$C$17-'Invoer gegevens (N)'!$C$16))/(1+'Invoer gegevens (N)'!$C$39)^('Invoer gegevens (N)'!$C$17-'Invoer gegevens (N)'!$C$16)</f>
        <v>0</v>
      </c>
      <c r="AZ133" s="68">
        <f ca="1">IF(E133-'Invoer gegevens (N)'!$C$17-14.5&lt;0,0,E133-'Invoer gegevens (N)'!$C$17-14.5)</f>
        <v>113.5</v>
      </c>
    </row>
    <row r="134" spans="1:52" x14ac:dyDescent="0.25">
      <c r="A134" s="59"/>
      <c r="B134" s="70">
        <f t="shared" si="20"/>
        <v>130</v>
      </c>
      <c r="C134" s="67">
        <f ca="1">IF(E134-'Invoer gegevens (N)'!$C$17&lt;0,0,1)</f>
        <v>1</v>
      </c>
      <c r="D134" s="68">
        <f t="shared" si="21"/>
        <v>129.5</v>
      </c>
      <c r="E134" s="69">
        <f ca="1">IF('Invoer gegevens (N)'!$C$16="","",E133+1)</f>
        <v>2148</v>
      </c>
      <c r="F134" s="84">
        <f ca="1">IF('Invoer gegevens (N)'!$C$17=E134,'Invoer gegevens (N)'!$C$10,IF(C134=1,K133,0))</f>
        <v>0</v>
      </c>
      <c r="G134" s="96">
        <f ca="1">IF(C134&gt;=1,F134*VLOOKUP(E134,'Reeksen (N)'!$A$5:$B$76,2),0)</f>
        <v>0</v>
      </c>
      <c r="H134" s="84">
        <f ca="1">(1-('Invoer gegevens (N)'!$F$20/12))*F134*MIN('Reeksen (N)'!B134,'Reeksen (N)'!D134)</f>
        <v>0</v>
      </c>
      <c r="I134" s="84">
        <f>IF('Reeksen (N)'!D134&lt;'Reeksen (N)'!B134,('Reeksen (N)'!B134-'Reeksen (N)'!D134)*F134,0)</f>
        <v>0</v>
      </c>
      <c r="J134" s="84">
        <f ca="1">('Invoer gegevens (N)'!$F$20/12)*F133*MIN('Reeksen (N)'!B133,'Reeksen (N)'!D133)</f>
        <v>0</v>
      </c>
      <c r="K134" s="97">
        <f t="shared" ref="K134:K197" ca="1" si="22">F134-G134</f>
        <v>0</v>
      </c>
      <c r="L134" s="84">
        <f ca="1">IF('Invoer gegevens (N)'!$C$17=E134,0,IF(C134=1,Q133,0))</f>
        <v>0</v>
      </c>
      <c r="M134" s="96">
        <f ca="1">IF(C134&gt;=1,L134*VLOOKUP(E134,'Reeksen (N)'!$A$5:$B$76,2),0)</f>
        <v>0</v>
      </c>
      <c r="N134" s="84">
        <f ca="1">(1-('Invoer gegevens (N)'!$F$20/12))*L134*MIN('Reeksen (N)'!B134,'Reeksen (N)'!D134)</f>
        <v>0</v>
      </c>
      <c r="O134" s="84">
        <f>IF('Reeksen (N)'!D134&lt;'Reeksen (N)'!B134,('Reeksen (N)'!B134-'Reeksen (N)'!D134)*L134,0)</f>
        <v>0</v>
      </c>
      <c r="P134" s="84">
        <f ca="1">('Invoer gegevens (N)'!$F$20/12)*L133*MIN('Reeksen (N)'!B133,'Reeksen (N)'!D133)</f>
        <v>0</v>
      </c>
      <c r="Q134" s="84">
        <f t="shared" ref="Q134:Q197" ca="1" si="23">L134-M134+I134+O134</f>
        <v>0</v>
      </c>
      <c r="R134" s="82">
        <f ca="1">IF('Invoer gegevens (N)'!$C$17=E134,'Invoer gegevens (N)'!$C$11,IF(C134=1,W133,0))</f>
        <v>0</v>
      </c>
      <c r="S134" s="86">
        <f ca="1">IF(C134&gt;=1,R134*VLOOKUP(E134,'Reeksen (N)'!$A$5:$B$76,2),0)</f>
        <v>0</v>
      </c>
      <c r="T134" s="84">
        <f ca="1">(1-('Invoer gegevens (N)'!$F$20/12))*R134*MIN('Reeksen (N)'!B134,'Reeksen (N)'!D134)</f>
        <v>0</v>
      </c>
      <c r="U134" s="84">
        <f>IF('Reeksen (N)'!D134&gt;='Reeksen (N)'!B134,0,IF('Reeksen (N)'!AD134&lt;='Reeksen (N)'!AE134,('Reeksen (N)'!B134-'Reeksen (N)'!D134)*R134,0))</f>
        <v>0</v>
      </c>
      <c r="V134" s="86">
        <f>IF('Reeksen (N)'!D134&gt;='Reeksen (N)'!B134,0,IF('Reeksen (N)'!AD134&gt;'Reeksen (N)'!AE134,('Reeksen (N)'!B134-'Reeksen (N)'!D134)*R134,0))</f>
        <v>0</v>
      </c>
      <c r="W134" s="97">
        <f t="shared" ref="W134:W197" ca="1" si="24">R134-S134</f>
        <v>0</v>
      </c>
      <c r="X134" s="98">
        <f ca="1">IF('Invoer gegevens (N)'!$C$17=E134,'Invoer gegevens (N)'!$C$10-'Invoer gegevens (N)'!$C$11,IF(C134=1,AC133,0))</f>
        <v>0</v>
      </c>
      <c r="Y134" s="98">
        <f ca="1">IF(C134&gt;=1,X134*VLOOKUP(E134,'Reeksen (N)'!$A$5:$B$76,2),0)</f>
        <v>0</v>
      </c>
      <c r="Z134" s="98">
        <f ca="1">(1-('Invoer gegevens (N)'!$F$20/12))*X134*MIN('Reeksen (N)'!B134,'Reeksen (N)'!D134)</f>
        <v>0</v>
      </c>
      <c r="AA134" s="98">
        <f>IF('Reeksen (N)'!D134&gt;='Reeksen (N)'!B134,0,IF('Reeksen (N)'!AD134&lt;='Reeksen (N)'!AE134,('Reeksen (N)'!B134-'Reeksen (N)'!D134)*X134,0))</f>
        <v>0</v>
      </c>
      <c r="AB134" s="98">
        <f>IF('Reeksen (N)'!D134&gt;='Reeksen (N)'!B134,0,IF('Reeksen (N)'!AD134&gt;'Reeksen (N)'!AE134,('Reeksen (N)'!B134-'Reeksen (N)'!D134)*X134,0))</f>
        <v>0</v>
      </c>
      <c r="AC134" s="99">
        <f t="shared" ref="AC134:AC197" ca="1" si="25">X134-Y134</f>
        <v>0</v>
      </c>
      <c r="AD134" s="98">
        <f ca="1">IF('Invoer gegevens (N)'!$C$17=E134,R134,IF(C134=0,0,AE133))</f>
        <v>0</v>
      </c>
      <c r="AE134" s="98">
        <f t="shared" ref="AE134:AE197" ca="1" si="26">IF(C134=0,0,AD134-S134-V134+AA134)</f>
        <v>0</v>
      </c>
      <c r="AF134" s="98">
        <f ca="1">IF('Invoer gegevens (N)'!$C$17=E134,X134,IF(C134=0,0,AG133))</f>
        <v>0</v>
      </c>
      <c r="AG134" s="98">
        <f t="shared" ref="AG134:AG197" ca="1" si="27">IF(C134=0,0,AF134-Y134-AA134+V134)</f>
        <v>0</v>
      </c>
      <c r="AH134" s="66"/>
      <c r="AI134" s="71">
        <f ca="1">IF(C134=1,'Reeksen (N)'!AI134*((F134-G134+F134)/2)*12+'Reeksen (N)'!AD134*((L134-M134+L134)/2)*12,0)</f>
        <v>0</v>
      </c>
      <c r="AJ134" s="71">
        <f ca="1">-AI134*'Invoer gegevens (N)'!$F$28</f>
        <v>0</v>
      </c>
      <c r="AK134" s="71">
        <f t="shared" ref="AK134:AK197" ca="1" si="28">AI134+AJ134</f>
        <v>0</v>
      </c>
      <c r="AL134" s="71">
        <f ca="1">IF(C134=1,'Reeksen (N)'!AL134*((F134-G134+F134)/2)*12+'Reeksen (N)'!AM134*((L134-M134+L134)/2)*12,0)</f>
        <v>0</v>
      </c>
      <c r="AM134" s="71">
        <f ca="1">-AL134*'Invoer gegevens (N)'!$F$31</f>
        <v>0</v>
      </c>
      <c r="AN134" s="71">
        <f t="shared" ref="AN134:AN197" ca="1" si="29">AL134+AM134</f>
        <v>0</v>
      </c>
      <c r="AO134" s="71">
        <f ca="1">IF(C134=1,(H134+J134+N134+P134)*'Reeksen (N)'!AN134,0)</f>
        <v>0</v>
      </c>
      <c r="AP134" s="71">
        <f ca="1">-IF(C134=1,(H134+J134+N134+P134)*'Hulp - basis'!$O$550*'Reeksen (N)'!H134,0)</f>
        <v>0</v>
      </c>
      <c r="AQ134" s="71">
        <f ca="1">-IF(C134=1,(F134+K134+L134+Q134)/2*'Invoer gegevens (N)'!$F$35*'Reeksen (N)'!J134,0)*2</f>
        <v>0</v>
      </c>
      <c r="AR134" s="71"/>
      <c r="AS134" s="71">
        <f ca="1">-IF(C134=1,(F134+K134+L134+Q134)/2*'Invoer gegevens (N)'!$F$37*'Reeksen (N)'!L134,0)</f>
        <v>0</v>
      </c>
      <c r="AT134" s="71">
        <f ca="1">-IF(C134=1,IF(E134='Invoer gegevens (N)'!$C$17,'Invoer gegevens (N)'!$C$11,AD134)*'Reeksen (N)'!S134*'Invoer gegevens (N)'!$C$18*'Reeksen (N)'!P134,0)</f>
        <v>0</v>
      </c>
      <c r="AU134" s="71">
        <f ca="1">-IF(C134=1,(F134+K134+L134+Q134)/2*'Invoer gegevens (N)'!$F$38*'Reeksen (N)'!H134,0)</f>
        <v>0</v>
      </c>
      <c r="AV134" s="71">
        <v>0</v>
      </c>
      <c r="AW134" s="71">
        <f t="shared" ref="AW134:AW197" ca="1" si="30">SUM(AK134,AN134:AV134)</f>
        <v>0</v>
      </c>
      <c r="AX134" s="71">
        <f ca="1">IF(E134&lt;'Invoer gegevens (N)'!$C$17+15,0,IF(E134&gt;'Invoer gegevens (N)'!$C$17+215,0,AW134))</f>
        <v>0</v>
      </c>
      <c r="AY134" s="71">
        <f ca="1">AX134/(1+'Invoer gegevens (N)'!$F$18)^($AZ134-('Invoer gegevens (N)'!$C$17-'Invoer gegevens (N)'!$C$16))/(1+'Invoer gegevens (N)'!$C$39)^('Invoer gegevens (N)'!$C$17-'Invoer gegevens (N)'!$C$16)</f>
        <v>0</v>
      </c>
      <c r="AZ134" s="68">
        <f ca="1">IF(E134-'Invoer gegevens (N)'!$C$17-14.5&lt;0,0,E134-'Invoer gegevens (N)'!$C$17-14.5)</f>
        <v>114.5</v>
      </c>
    </row>
    <row r="135" spans="1:52" x14ac:dyDescent="0.25">
      <c r="A135" s="59"/>
      <c r="B135" s="70">
        <f t="shared" si="20"/>
        <v>131</v>
      </c>
      <c r="C135" s="67">
        <f ca="1">IF(E135-'Invoer gegevens (N)'!$C$17&lt;0,0,1)</f>
        <v>1</v>
      </c>
      <c r="D135" s="68">
        <f t="shared" si="21"/>
        <v>130.5</v>
      </c>
      <c r="E135" s="69">
        <f ca="1">IF('Invoer gegevens (N)'!$C$16="","",E134+1)</f>
        <v>2149</v>
      </c>
      <c r="F135" s="84">
        <f ca="1">IF('Invoer gegevens (N)'!$C$17=E135,'Invoer gegevens (N)'!$C$10,IF(C135=1,K134,0))</f>
        <v>0</v>
      </c>
      <c r="G135" s="96">
        <f ca="1">IF(C135&gt;=1,F135*VLOOKUP(E135,'Reeksen (N)'!$A$5:$B$76,2),0)</f>
        <v>0</v>
      </c>
      <c r="H135" s="84">
        <f ca="1">(1-('Invoer gegevens (N)'!$F$20/12))*F135*MIN('Reeksen (N)'!B135,'Reeksen (N)'!D135)</f>
        <v>0</v>
      </c>
      <c r="I135" s="84">
        <f>IF('Reeksen (N)'!D135&lt;'Reeksen (N)'!B135,('Reeksen (N)'!B135-'Reeksen (N)'!D135)*F135,0)</f>
        <v>0</v>
      </c>
      <c r="J135" s="84">
        <f ca="1">('Invoer gegevens (N)'!$F$20/12)*F134*MIN('Reeksen (N)'!B134,'Reeksen (N)'!D134)</f>
        <v>0</v>
      </c>
      <c r="K135" s="97">
        <f t="shared" ca="1" si="22"/>
        <v>0</v>
      </c>
      <c r="L135" s="84">
        <f ca="1">IF('Invoer gegevens (N)'!$C$17=E135,0,IF(C135=1,Q134,0))</f>
        <v>0</v>
      </c>
      <c r="M135" s="96">
        <f ca="1">IF(C135&gt;=1,L135*VLOOKUP(E135,'Reeksen (N)'!$A$5:$B$76,2),0)</f>
        <v>0</v>
      </c>
      <c r="N135" s="84">
        <f ca="1">(1-('Invoer gegevens (N)'!$F$20/12))*L135*MIN('Reeksen (N)'!B135,'Reeksen (N)'!D135)</f>
        <v>0</v>
      </c>
      <c r="O135" s="84">
        <f>IF('Reeksen (N)'!D135&lt;'Reeksen (N)'!B135,('Reeksen (N)'!B135-'Reeksen (N)'!D135)*L135,0)</f>
        <v>0</v>
      </c>
      <c r="P135" s="84">
        <f ca="1">('Invoer gegevens (N)'!$F$20/12)*L134*MIN('Reeksen (N)'!B134,'Reeksen (N)'!D134)</f>
        <v>0</v>
      </c>
      <c r="Q135" s="84">
        <f t="shared" ca="1" si="23"/>
        <v>0</v>
      </c>
      <c r="R135" s="82">
        <f ca="1">IF('Invoer gegevens (N)'!$C$17=E135,'Invoer gegevens (N)'!$C$11,IF(C135=1,W134,0))</f>
        <v>0</v>
      </c>
      <c r="S135" s="86">
        <f ca="1">IF(C135&gt;=1,R135*VLOOKUP(E135,'Reeksen (N)'!$A$5:$B$76,2),0)</f>
        <v>0</v>
      </c>
      <c r="T135" s="84">
        <f ca="1">(1-('Invoer gegevens (N)'!$F$20/12))*R135*MIN('Reeksen (N)'!B135,'Reeksen (N)'!D135)</f>
        <v>0</v>
      </c>
      <c r="U135" s="84">
        <f>IF('Reeksen (N)'!D135&gt;='Reeksen (N)'!B135,0,IF('Reeksen (N)'!AD135&lt;='Reeksen (N)'!AE135,('Reeksen (N)'!B135-'Reeksen (N)'!D135)*R135,0))</f>
        <v>0</v>
      </c>
      <c r="V135" s="86">
        <f>IF('Reeksen (N)'!D135&gt;='Reeksen (N)'!B135,0,IF('Reeksen (N)'!AD135&gt;'Reeksen (N)'!AE135,('Reeksen (N)'!B135-'Reeksen (N)'!D135)*R135,0))</f>
        <v>0</v>
      </c>
      <c r="W135" s="97">
        <f t="shared" ca="1" si="24"/>
        <v>0</v>
      </c>
      <c r="X135" s="98">
        <f ca="1">IF('Invoer gegevens (N)'!$C$17=E135,'Invoer gegevens (N)'!$C$10-'Invoer gegevens (N)'!$C$11,IF(C135=1,AC134,0))</f>
        <v>0</v>
      </c>
      <c r="Y135" s="98">
        <f ca="1">IF(C135&gt;=1,X135*VLOOKUP(E135,'Reeksen (N)'!$A$5:$B$76,2),0)</f>
        <v>0</v>
      </c>
      <c r="Z135" s="98">
        <f ca="1">(1-('Invoer gegevens (N)'!$F$20/12))*X135*MIN('Reeksen (N)'!B135,'Reeksen (N)'!D135)</f>
        <v>0</v>
      </c>
      <c r="AA135" s="98">
        <f>IF('Reeksen (N)'!D135&gt;='Reeksen (N)'!B135,0,IF('Reeksen (N)'!AD135&lt;='Reeksen (N)'!AE135,('Reeksen (N)'!B135-'Reeksen (N)'!D135)*X135,0))</f>
        <v>0</v>
      </c>
      <c r="AB135" s="98">
        <f>IF('Reeksen (N)'!D135&gt;='Reeksen (N)'!B135,0,IF('Reeksen (N)'!AD135&gt;'Reeksen (N)'!AE135,('Reeksen (N)'!B135-'Reeksen (N)'!D135)*X135,0))</f>
        <v>0</v>
      </c>
      <c r="AC135" s="99">
        <f t="shared" ca="1" si="25"/>
        <v>0</v>
      </c>
      <c r="AD135" s="98">
        <f ca="1">IF('Invoer gegevens (N)'!$C$17=E135,R135,IF(C135=0,0,AE134))</f>
        <v>0</v>
      </c>
      <c r="AE135" s="98">
        <f t="shared" ca="1" si="26"/>
        <v>0</v>
      </c>
      <c r="AF135" s="98">
        <f ca="1">IF('Invoer gegevens (N)'!$C$17=E135,X135,IF(C135=0,0,AG134))</f>
        <v>0</v>
      </c>
      <c r="AG135" s="98">
        <f t="shared" ca="1" si="27"/>
        <v>0</v>
      </c>
      <c r="AH135" s="66"/>
      <c r="AI135" s="71">
        <f ca="1">IF(C135=1,'Reeksen (N)'!AI135*((F135-G135+F135)/2)*12+'Reeksen (N)'!AD135*((L135-M135+L135)/2)*12,0)</f>
        <v>0</v>
      </c>
      <c r="AJ135" s="71">
        <f ca="1">-AI135*'Invoer gegevens (N)'!$F$28</f>
        <v>0</v>
      </c>
      <c r="AK135" s="71">
        <f t="shared" ca="1" si="28"/>
        <v>0</v>
      </c>
      <c r="AL135" s="71">
        <f ca="1">IF(C135=1,'Reeksen (N)'!AL135*((F135-G135+F135)/2)*12+'Reeksen (N)'!AM135*((L135-M135+L135)/2)*12,0)</f>
        <v>0</v>
      </c>
      <c r="AM135" s="71">
        <f ca="1">-AL135*'Invoer gegevens (N)'!$F$31</f>
        <v>0</v>
      </c>
      <c r="AN135" s="71">
        <f t="shared" ca="1" si="29"/>
        <v>0</v>
      </c>
      <c r="AO135" s="71">
        <f ca="1">IF(C135=1,(H135+J135+N135+P135)*'Reeksen (N)'!AN135,0)</f>
        <v>0</v>
      </c>
      <c r="AP135" s="71">
        <f ca="1">-IF(C135=1,(H135+J135+N135+P135)*'Hulp - basis'!$O$550*'Reeksen (N)'!H135,0)</f>
        <v>0</v>
      </c>
      <c r="AQ135" s="71">
        <f ca="1">-IF(C135=1,(F135+K135+L135+Q135)/2*'Invoer gegevens (N)'!$F$35*'Reeksen (N)'!J135,0)*2</f>
        <v>0</v>
      </c>
      <c r="AR135" s="71"/>
      <c r="AS135" s="71">
        <f ca="1">-IF(C135=1,(F135+K135+L135+Q135)/2*'Invoer gegevens (N)'!$F$37*'Reeksen (N)'!L135,0)</f>
        <v>0</v>
      </c>
      <c r="AT135" s="71">
        <f ca="1">-IF(C135=1,IF(E135='Invoer gegevens (N)'!$C$17,'Invoer gegevens (N)'!$C$11,AD135)*'Reeksen (N)'!S135*'Invoer gegevens (N)'!$C$18*'Reeksen (N)'!P135,0)</f>
        <v>0</v>
      </c>
      <c r="AU135" s="71">
        <f ca="1">-IF(C135=1,(F135+K135+L135+Q135)/2*'Invoer gegevens (N)'!$F$38*'Reeksen (N)'!H135,0)</f>
        <v>0</v>
      </c>
      <c r="AV135" s="71">
        <v>0</v>
      </c>
      <c r="AW135" s="71">
        <f t="shared" ca="1" si="30"/>
        <v>0</v>
      </c>
      <c r="AX135" s="71">
        <f ca="1">IF(E135&lt;'Invoer gegevens (N)'!$C$17+15,0,IF(E135&gt;'Invoer gegevens (N)'!$C$17+215,0,AW135))</f>
        <v>0</v>
      </c>
      <c r="AY135" s="71">
        <f ca="1">AX135/(1+'Invoer gegevens (N)'!$F$18)^($AZ135-('Invoer gegevens (N)'!$C$17-'Invoer gegevens (N)'!$C$16))/(1+'Invoer gegevens (N)'!$C$39)^('Invoer gegevens (N)'!$C$17-'Invoer gegevens (N)'!$C$16)</f>
        <v>0</v>
      </c>
      <c r="AZ135" s="68">
        <f ca="1">IF(E135-'Invoer gegevens (N)'!$C$17-14.5&lt;0,0,E135-'Invoer gegevens (N)'!$C$17-14.5)</f>
        <v>115.5</v>
      </c>
    </row>
    <row r="136" spans="1:52" x14ac:dyDescent="0.25">
      <c r="A136" s="59"/>
      <c r="B136" s="70">
        <f t="shared" ref="B136:B199" si="31">B135+1</f>
        <v>132</v>
      </c>
      <c r="C136" s="67">
        <f ca="1">IF(E136-'Invoer gegevens (N)'!$C$17&lt;0,0,1)</f>
        <v>1</v>
      </c>
      <c r="D136" s="68">
        <f t="shared" ref="D136:D199" si="32">D135+1</f>
        <v>131.5</v>
      </c>
      <c r="E136" s="69">
        <f ca="1">IF('Invoer gegevens (N)'!$C$16="","",E135+1)</f>
        <v>2150</v>
      </c>
      <c r="F136" s="84">
        <f ca="1">IF('Invoer gegevens (N)'!$C$17=E136,'Invoer gegevens (N)'!$C$10,IF(C136=1,K135,0))</f>
        <v>0</v>
      </c>
      <c r="G136" s="96">
        <f ca="1">IF(C136&gt;=1,F136*VLOOKUP(E136,'Reeksen (N)'!$A$5:$B$76,2),0)</f>
        <v>0</v>
      </c>
      <c r="H136" s="84">
        <f ca="1">(1-('Invoer gegevens (N)'!$F$20/12))*F136*MIN('Reeksen (N)'!B136,'Reeksen (N)'!D136)</f>
        <v>0</v>
      </c>
      <c r="I136" s="84">
        <f>IF('Reeksen (N)'!D136&lt;'Reeksen (N)'!B136,('Reeksen (N)'!B136-'Reeksen (N)'!D136)*F136,0)</f>
        <v>0</v>
      </c>
      <c r="J136" s="84">
        <f ca="1">('Invoer gegevens (N)'!$F$20/12)*F135*MIN('Reeksen (N)'!B135,'Reeksen (N)'!D135)</f>
        <v>0</v>
      </c>
      <c r="K136" s="97">
        <f t="shared" ca="1" si="22"/>
        <v>0</v>
      </c>
      <c r="L136" s="84">
        <f ca="1">IF('Invoer gegevens (N)'!$C$17=E136,0,IF(C136=1,Q135,0))</f>
        <v>0</v>
      </c>
      <c r="M136" s="96">
        <f ca="1">IF(C136&gt;=1,L136*VLOOKUP(E136,'Reeksen (N)'!$A$5:$B$76,2),0)</f>
        <v>0</v>
      </c>
      <c r="N136" s="84">
        <f ca="1">(1-('Invoer gegevens (N)'!$F$20/12))*L136*MIN('Reeksen (N)'!B136,'Reeksen (N)'!D136)</f>
        <v>0</v>
      </c>
      <c r="O136" s="84">
        <f>IF('Reeksen (N)'!D136&lt;'Reeksen (N)'!B136,('Reeksen (N)'!B136-'Reeksen (N)'!D136)*L136,0)</f>
        <v>0</v>
      </c>
      <c r="P136" s="84">
        <f ca="1">('Invoer gegevens (N)'!$F$20/12)*L135*MIN('Reeksen (N)'!B135,'Reeksen (N)'!D135)</f>
        <v>0</v>
      </c>
      <c r="Q136" s="84">
        <f t="shared" ca="1" si="23"/>
        <v>0</v>
      </c>
      <c r="R136" s="82">
        <f ca="1">IF('Invoer gegevens (N)'!$C$17=E136,'Invoer gegevens (N)'!$C$11,IF(C136=1,W135,0))</f>
        <v>0</v>
      </c>
      <c r="S136" s="86">
        <f ca="1">IF(C136&gt;=1,R136*VLOOKUP(E136,'Reeksen (N)'!$A$5:$B$76,2),0)</f>
        <v>0</v>
      </c>
      <c r="T136" s="84">
        <f ca="1">(1-('Invoer gegevens (N)'!$F$20/12))*R136*MIN('Reeksen (N)'!B136,'Reeksen (N)'!D136)</f>
        <v>0</v>
      </c>
      <c r="U136" s="84">
        <f>IF('Reeksen (N)'!D136&gt;='Reeksen (N)'!B136,0,IF('Reeksen (N)'!AD136&lt;='Reeksen (N)'!AE136,('Reeksen (N)'!B136-'Reeksen (N)'!D136)*R136,0))</f>
        <v>0</v>
      </c>
      <c r="V136" s="86">
        <f>IF('Reeksen (N)'!D136&gt;='Reeksen (N)'!B136,0,IF('Reeksen (N)'!AD136&gt;'Reeksen (N)'!AE136,('Reeksen (N)'!B136-'Reeksen (N)'!D136)*R136,0))</f>
        <v>0</v>
      </c>
      <c r="W136" s="97">
        <f t="shared" ca="1" si="24"/>
        <v>0</v>
      </c>
      <c r="X136" s="98">
        <f ca="1">IF('Invoer gegevens (N)'!$C$17=E136,'Invoer gegevens (N)'!$C$10-'Invoer gegevens (N)'!$C$11,IF(C136=1,AC135,0))</f>
        <v>0</v>
      </c>
      <c r="Y136" s="98">
        <f ca="1">IF(C136&gt;=1,X136*VLOOKUP(E136,'Reeksen (N)'!$A$5:$B$76,2),0)</f>
        <v>0</v>
      </c>
      <c r="Z136" s="98">
        <f ca="1">(1-('Invoer gegevens (N)'!$F$20/12))*X136*MIN('Reeksen (N)'!B136,'Reeksen (N)'!D136)</f>
        <v>0</v>
      </c>
      <c r="AA136" s="98">
        <f>IF('Reeksen (N)'!D136&gt;='Reeksen (N)'!B136,0,IF('Reeksen (N)'!AD136&lt;='Reeksen (N)'!AE136,('Reeksen (N)'!B136-'Reeksen (N)'!D136)*X136,0))</f>
        <v>0</v>
      </c>
      <c r="AB136" s="98">
        <f>IF('Reeksen (N)'!D136&gt;='Reeksen (N)'!B136,0,IF('Reeksen (N)'!AD136&gt;'Reeksen (N)'!AE136,('Reeksen (N)'!B136-'Reeksen (N)'!D136)*X136,0))</f>
        <v>0</v>
      </c>
      <c r="AC136" s="99">
        <f t="shared" ca="1" si="25"/>
        <v>0</v>
      </c>
      <c r="AD136" s="98">
        <f ca="1">IF('Invoer gegevens (N)'!$C$17=E136,R136,IF(C136=0,0,AE135))</f>
        <v>0</v>
      </c>
      <c r="AE136" s="98">
        <f t="shared" ca="1" si="26"/>
        <v>0</v>
      </c>
      <c r="AF136" s="98">
        <f ca="1">IF('Invoer gegevens (N)'!$C$17=E136,X136,IF(C136=0,0,AG135))</f>
        <v>0</v>
      </c>
      <c r="AG136" s="98">
        <f t="shared" ca="1" si="27"/>
        <v>0</v>
      </c>
      <c r="AH136" s="66"/>
      <c r="AI136" s="71">
        <f ca="1">IF(C136=1,'Reeksen (N)'!AI136*((F136-G136+F136)/2)*12+'Reeksen (N)'!AD136*((L136-M136+L136)/2)*12,0)</f>
        <v>0</v>
      </c>
      <c r="AJ136" s="71">
        <f ca="1">-AI136*'Invoer gegevens (N)'!$F$28</f>
        <v>0</v>
      </c>
      <c r="AK136" s="71">
        <f t="shared" ca="1" si="28"/>
        <v>0</v>
      </c>
      <c r="AL136" s="71">
        <f ca="1">IF(C136=1,'Reeksen (N)'!AL136*((F136-G136+F136)/2)*12+'Reeksen (N)'!AM136*((L136-M136+L136)/2)*12,0)</f>
        <v>0</v>
      </c>
      <c r="AM136" s="71">
        <f ca="1">-AL136*'Invoer gegevens (N)'!$F$31</f>
        <v>0</v>
      </c>
      <c r="AN136" s="71">
        <f t="shared" ca="1" si="29"/>
        <v>0</v>
      </c>
      <c r="AO136" s="71">
        <f ca="1">IF(C136=1,(H136+J136+N136+P136)*'Reeksen (N)'!AN136,0)</f>
        <v>0</v>
      </c>
      <c r="AP136" s="71">
        <f ca="1">-IF(C136=1,(H136+J136+N136+P136)*'Hulp - basis'!$O$550*'Reeksen (N)'!H136,0)</f>
        <v>0</v>
      </c>
      <c r="AQ136" s="71">
        <f ca="1">-IF(C136=1,(F136+K136+L136+Q136)/2*'Invoer gegevens (N)'!$F$35*'Reeksen (N)'!J136,0)*2</f>
        <v>0</v>
      </c>
      <c r="AR136" s="71"/>
      <c r="AS136" s="71">
        <f ca="1">-IF(C136=1,(F136+K136+L136+Q136)/2*'Invoer gegevens (N)'!$F$37*'Reeksen (N)'!L136,0)</f>
        <v>0</v>
      </c>
      <c r="AT136" s="71">
        <f ca="1">-IF(C136=1,IF(E136='Invoer gegevens (N)'!$C$17,'Invoer gegevens (N)'!$C$11,AD136)*'Reeksen (N)'!S136*'Invoer gegevens (N)'!$C$18*'Reeksen (N)'!P136,0)</f>
        <v>0</v>
      </c>
      <c r="AU136" s="71">
        <f ca="1">-IF(C136=1,(F136+K136+L136+Q136)/2*'Invoer gegevens (N)'!$F$38*'Reeksen (N)'!H136,0)</f>
        <v>0</v>
      </c>
      <c r="AV136" s="71">
        <v>0</v>
      </c>
      <c r="AW136" s="71">
        <f t="shared" ca="1" si="30"/>
        <v>0</v>
      </c>
      <c r="AX136" s="71">
        <f ca="1">IF(E136&lt;'Invoer gegevens (N)'!$C$17+15,0,IF(E136&gt;'Invoer gegevens (N)'!$C$17+215,0,AW136))</f>
        <v>0</v>
      </c>
      <c r="AY136" s="71">
        <f ca="1">AX136/(1+'Invoer gegevens (N)'!$F$18)^($AZ136-('Invoer gegevens (N)'!$C$17-'Invoer gegevens (N)'!$C$16))/(1+'Invoer gegevens (N)'!$C$39)^('Invoer gegevens (N)'!$C$17-'Invoer gegevens (N)'!$C$16)</f>
        <v>0</v>
      </c>
      <c r="AZ136" s="68">
        <f ca="1">IF(E136-'Invoer gegevens (N)'!$C$17-14.5&lt;0,0,E136-'Invoer gegevens (N)'!$C$17-14.5)</f>
        <v>116.5</v>
      </c>
    </row>
    <row r="137" spans="1:52" x14ac:dyDescent="0.25">
      <c r="A137" s="59"/>
      <c r="B137" s="70">
        <f t="shared" si="31"/>
        <v>133</v>
      </c>
      <c r="C137" s="67">
        <f ca="1">IF(E137-'Invoer gegevens (N)'!$C$17&lt;0,0,1)</f>
        <v>1</v>
      </c>
      <c r="D137" s="68">
        <f t="shared" si="32"/>
        <v>132.5</v>
      </c>
      <c r="E137" s="69">
        <f ca="1">IF('Invoer gegevens (N)'!$C$16="","",E136+1)</f>
        <v>2151</v>
      </c>
      <c r="F137" s="84">
        <f ca="1">IF('Invoer gegevens (N)'!$C$17=E137,'Invoer gegevens (N)'!$C$10,IF(C137=1,K136,0))</f>
        <v>0</v>
      </c>
      <c r="G137" s="96">
        <f ca="1">IF(C137&gt;=1,F137*VLOOKUP(E137,'Reeksen (N)'!$A$5:$B$76,2),0)</f>
        <v>0</v>
      </c>
      <c r="H137" s="84">
        <f ca="1">(1-('Invoer gegevens (N)'!$F$20/12))*F137*MIN('Reeksen (N)'!B137,'Reeksen (N)'!D137)</f>
        <v>0</v>
      </c>
      <c r="I137" s="84">
        <f>IF('Reeksen (N)'!D137&lt;'Reeksen (N)'!B137,('Reeksen (N)'!B137-'Reeksen (N)'!D137)*F137,0)</f>
        <v>0</v>
      </c>
      <c r="J137" s="84">
        <f ca="1">('Invoer gegevens (N)'!$F$20/12)*F136*MIN('Reeksen (N)'!B136,'Reeksen (N)'!D136)</f>
        <v>0</v>
      </c>
      <c r="K137" s="97">
        <f t="shared" ca="1" si="22"/>
        <v>0</v>
      </c>
      <c r="L137" s="84">
        <f ca="1">IF('Invoer gegevens (N)'!$C$17=E137,0,IF(C137=1,Q136,0))</f>
        <v>0</v>
      </c>
      <c r="M137" s="96">
        <f ca="1">IF(C137&gt;=1,L137*VLOOKUP(E137,'Reeksen (N)'!$A$5:$B$76,2),0)</f>
        <v>0</v>
      </c>
      <c r="N137" s="84">
        <f ca="1">(1-('Invoer gegevens (N)'!$F$20/12))*L137*MIN('Reeksen (N)'!B137,'Reeksen (N)'!D137)</f>
        <v>0</v>
      </c>
      <c r="O137" s="84">
        <f>IF('Reeksen (N)'!D137&lt;'Reeksen (N)'!B137,('Reeksen (N)'!B137-'Reeksen (N)'!D137)*L137,0)</f>
        <v>0</v>
      </c>
      <c r="P137" s="84">
        <f ca="1">('Invoer gegevens (N)'!$F$20/12)*L136*MIN('Reeksen (N)'!B136,'Reeksen (N)'!D136)</f>
        <v>0</v>
      </c>
      <c r="Q137" s="84">
        <f t="shared" ca="1" si="23"/>
        <v>0</v>
      </c>
      <c r="R137" s="82">
        <f ca="1">IF('Invoer gegevens (N)'!$C$17=E137,'Invoer gegevens (N)'!$C$11,IF(C137=1,W136,0))</f>
        <v>0</v>
      </c>
      <c r="S137" s="86">
        <f ca="1">IF(C137&gt;=1,R137*VLOOKUP(E137,'Reeksen (N)'!$A$5:$B$76,2),0)</f>
        <v>0</v>
      </c>
      <c r="T137" s="84">
        <f ca="1">(1-('Invoer gegevens (N)'!$F$20/12))*R137*MIN('Reeksen (N)'!B137,'Reeksen (N)'!D137)</f>
        <v>0</v>
      </c>
      <c r="U137" s="84">
        <f>IF('Reeksen (N)'!D137&gt;='Reeksen (N)'!B137,0,IF('Reeksen (N)'!AD137&lt;='Reeksen (N)'!AE137,('Reeksen (N)'!B137-'Reeksen (N)'!D137)*R137,0))</f>
        <v>0</v>
      </c>
      <c r="V137" s="86">
        <f>IF('Reeksen (N)'!D137&gt;='Reeksen (N)'!B137,0,IF('Reeksen (N)'!AD137&gt;'Reeksen (N)'!AE137,('Reeksen (N)'!B137-'Reeksen (N)'!D137)*R137,0))</f>
        <v>0</v>
      </c>
      <c r="W137" s="97">
        <f t="shared" ca="1" si="24"/>
        <v>0</v>
      </c>
      <c r="X137" s="98">
        <f ca="1">IF('Invoer gegevens (N)'!$C$17=E137,'Invoer gegevens (N)'!$C$10-'Invoer gegevens (N)'!$C$11,IF(C137=1,AC136,0))</f>
        <v>0</v>
      </c>
      <c r="Y137" s="98">
        <f ca="1">IF(C137&gt;=1,X137*VLOOKUP(E137,'Reeksen (N)'!$A$5:$B$76,2),0)</f>
        <v>0</v>
      </c>
      <c r="Z137" s="98">
        <f ca="1">(1-('Invoer gegevens (N)'!$F$20/12))*X137*MIN('Reeksen (N)'!B137,'Reeksen (N)'!D137)</f>
        <v>0</v>
      </c>
      <c r="AA137" s="98">
        <f>IF('Reeksen (N)'!D137&gt;='Reeksen (N)'!B137,0,IF('Reeksen (N)'!AD137&lt;='Reeksen (N)'!AE137,('Reeksen (N)'!B137-'Reeksen (N)'!D137)*X137,0))</f>
        <v>0</v>
      </c>
      <c r="AB137" s="98">
        <f>IF('Reeksen (N)'!D137&gt;='Reeksen (N)'!B137,0,IF('Reeksen (N)'!AD137&gt;'Reeksen (N)'!AE137,('Reeksen (N)'!B137-'Reeksen (N)'!D137)*X137,0))</f>
        <v>0</v>
      </c>
      <c r="AC137" s="99">
        <f t="shared" ca="1" si="25"/>
        <v>0</v>
      </c>
      <c r="AD137" s="98">
        <f ca="1">IF('Invoer gegevens (N)'!$C$17=E137,R137,IF(C137=0,0,AE136))</f>
        <v>0</v>
      </c>
      <c r="AE137" s="98">
        <f t="shared" ca="1" si="26"/>
        <v>0</v>
      </c>
      <c r="AF137" s="98">
        <f ca="1">IF('Invoer gegevens (N)'!$C$17=E137,X137,IF(C137=0,0,AG136))</f>
        <v>0</v>
      </c>
      <c r="AG137" s="98">
        <f t="shared" ca="1" si="27"/>
        <v>0</v>
      </c>
      <c r="AH137" s="66"/>
      <c r="AI137" s="71">
        <f ca="1">IF(C137=1,'Reeksen (N)'!AI137*((F137-G137+F137)/2)*12+'Reeksen (N)'!AD137*((L137-M137+L137)/2)*12,0)</f>
        <v>0</v>
      </c>
      <c r="AJ137" s="71">
        <f ca="1">-AI137*'Invoer gegevens (N)'!$F$28</f>
        <v>0</v>
      </c>
      <c r="AK137" s="71">
        <f t="shared" ca="1" si="28"/>
        <v>0</v>
      </c>
      <c r="AL137" s="71">
        <f ca="1">IF(C137=1,'Reeksen (N)'!AL137*((F137-G137+F137)/2)*12+'Reeksen (N)'!AM137*((L137-M137+L137)/2)*12,0)</f>
        <v>0</v>
      </c>
      <c r="AM137" s="71">
        <f ca="1">-AL137*'Invoer gegevens (N)'!$F$31</f>
        <v>0</v>
      </c>
      <c r="AN137" s="71">
        <f t="shared" ca="1" si="29"/>
        <v>0</v>
      </c>
      <c r="AO137" s="71">
        <f ca="1">IF(C137=1,(H137+J137+N137+P137)*'Reeksen (N)'!AN137,0)</f>
        <v>0</v>
      </c>
      <c r="AP137" s="71">
        <f ca="1">-IF(C137=1,(H137+J137+N137+P137)*'Hulp - basis'!$O$550*'Reeksen (N)'!H137,0)</f>
        <v>0</v>
      </c>
      <c r="AQ137" s="71">
        <f ca="1">-IF(C137=1,(F137+K137+L137+Q137)/2*'Invoer gegevens (N)'!$F$35*'Reeksen (N)'!J137,0)*2</f>
        <v>0</v>
      </c>
      <c r="AR137" s="71"/>
      <c r="AS137" s="71">
        <f ca="1">-IF(C137=1,(F137+K137+L137+Q137)/2*'Invoer gegevens (N)'!$F$37*'Reeksen (N)'!L137,0)</f>
        <v>0</v>
      </c>
      <c r="AT137" s="71">
        <f ca="1">-IF(C137=1,IF(E137='Invoer gegevens (N)'!$C$17,'Invoer gegevens (N)'!$C$11,AD137)*'Reeksen (N)'!S137*'Invoer gegevens (N)'!$C$18*'Reeksen (N)'!P137,0)</f>
        <v>0</v>
      </c>
      <c r="AU137" s="71">
        <f ca="1">-IF(C137=1,(F137+K137+L137+Q137)/2*'Invoer gegevens (N)'!$F$38*'Reeksen (N)'!H137,0)</f>
        <v>0</v>
      </c>
      <c r="AV137" s="71">
        <v>0</v>
      </c>
      <c r="AW137" s="71">
        <f t="shared" ca="1" si="30"/>
        <v>0</v>
      </c>
      <c r="AX137" s="71">
        <f ca="1">IF(E137&lt;'Invoer gegevens (N)'!$C$17+15,0,IF(E137&gt;'Invoer gegevens (N)'!$C$17+215,0,AW137))</f>
        <v>0</v>
      </c>
      <c r="AY137" s="71">
        <f ca="1">AX137/(1+'Invoer gegevens (N)'!$F$18)^($AZ137-('Invoer gegevens (N)'!$C$17-'Invoer gegevens (N)'!$C$16))/(1+'Invoer gegevens (N)'!$C$39)^('Invoer gegevens (N)'!$C$17-'Invoer gegevens (N)'!$C$16)</f>
        <v>0</v>
      </c>
      <c r="AZ137" s="68">
        <f ca="1">IF(E137-'Invoer gegevens (N)'!$C$17-14.5&lt;0,0,E137-'Invoer gegevens (N)'!$C$17-14.5)</f>
        <v>117.5</v>
      </c>
    </row>
    <row r="138" spans="1:52" x14ac:dyDescent="0.25">
      <c r="A138" s="59"/>
      <c r="B138" s="70">
        <f t="shared" si="31"/>
        <v>134</v>
      </c>
      <c r="C138" s="67">
        <f ca="1">IF(E138-'Invoer gegevens (N)'!$C$17&lt;0,0,1)</f>
        <v>1</v>
      </c>
      <c r="D138" s="68">
        <f t="shared" si="32"/>
        <v>133.5</v>
      </c>
      <c r="E138" s="69">
        <f ca="1">IF('Invoer gegevens (N)'!$C$16="","",E137+1)</f>
        <v>2152</v>
      </c>
      <c r="F138" s="84">
        <f ca="1">IF('Invoer gegevens (N)'!$C$17=E138,'Invoer gegevens (N)'!$C$10,IF(C138=1,K137,0))</f>
        <v>0</v>
      </c>
      <c r="G138" s="96">
        <f ca="1">IF(C138&gt;=1,F138*VLOOKUP(E138,'Reeksen (N)'!$A$5:$B$76,2),0)</f>
        <v>0</v>
      </c>
      <c r="H138" s="84">
        <f ca="1">(1-('Invoer gegevens (N)'!$F$20/12))*F138*MIN('Reeksen (N)'!B138,'Reeksen (N)'!D138)</f>
        <v>0</v>
      </c>
      <c r="I138" s="84">
        <f>IF('Reeksen (N)'!D138&lt;'Reeksen (N)'!B138,('Reeksen (N)'!B138-'Reeksen (N)'!D138)*F138,0)</f>
        <v>0</v>
      </c>
      <c r="J138" s="84">
        <f ca="1">('Invoer gegevens (N)'!$F$20/12)*F137*MIN('Reeksen (N)'!B137,'Reeksen (N)'!D137)</f>
        <v>0</v>
      </c>
      <c r="K138" s="97">
        <f t="shared" ca="1" si="22"/>
        <v>0</v>
      </c>
      <c r="L138" s="84">
        <f ca="1">IF('Invoer gegevens (N)'!$C$17=E138,0,IF(C138=1,Q137,0))</f>
        <v>0</v>
      </c>
      <c r="M138" s="96">
        <f ca="1">IF(C138&gt;=1,L138*VLOOKUP(E138,'Reeksen (N)'!$A$5:$B$76,2),0)</f>
        <v>0</v>
      </c>
      <c r="N138" s="84">
        <f ca="1">(1-('Invoer gegevens (N)'!$F$20/12))*L138*MIN('Reeksen (N)'!B138,'Reeksen (N)'!D138)</f>
        <v>0</v>
      </c>
      <c r="O138" s="84">
        <f>IF('Reeksen (N)'!D138&lt;'Reeksen (N)'!B138,('Reeksen (N)'!B138-'Reeksen (N)'!D138)*L138,0)</f>
        <v>0</v>
      </c>
      <c r="P138" s="84">
        <f ca="1">('Invoer gegevens (N)'!$F$20/12)*L137*MIN('Reeksen (N)'!B137,'Reeksen (N)'!D137)</f>
        <v>0</v>
      </c>
      <c r="Q138" s="84">
        <f t="shared" ca="1" si="23"/>
        <v>0</v>
      </c>
      <c r="R138" s="82">
        <f ca="1">IF('Invoer gegevens (N)'!$C$17=E138,'Invoer gegevens (N)'!$C$11,IF(C138=1,W137,0))</f>
        <v>0</v>
      </c>
      <c r="S138" s="86">
        <f ca="1">IF(C138&gt;=1,R138*VLOOKUP(E138,'Reeksen (N)'!$A$5:$B$76,2),0)</f>
        <v>0</v>
      </c>
      <c r="T138" s="84">
        <f ca="1">(1-('Invoer gegevens (N)'!$F$20/12))*R138*MIN('Reeksen (N)'!B138,'Reeksen (N)'!D138)</f>
        <v>0</v>
      </c>
      <c r="U138" s="84">
        <f>IF('Reeksen (N)'!D138&gt;='Reeksen (N)'!B138,0,IF('Reeksen (N)'!AD138&lt;='Reeksen (N)'!AE138,('Reeksen (N)'!B138-'Reeksen (N)'!D138)*R138,0))</f>
        <v>0</v>
      </c>
      <c r="V138" s="86">
        <f>IF('Reeksen (N)'!D138&gt;='Reeksen (N)'!B138,0,IF('Reeksen (N)'!AD138&gt;'Reeksen (N)'!AE138,('Reeksen (N)'!B138-'Reeksen (N)'!D138)*R138,0))</f>
        <v>0</v>
      </c>
      <c r="W138" s="97">
        <f t="shared" ca="1" si="24"/>
        <v>0</v>
      </c>
      <c r="X138" s="98">
        <f ca="1">IF('Invoer gegevens (N)'!$C$17=E138,'Invoer gegevens (N)'!$C$10-'Invoer gegevens (N)'!$C$11,IF(C138=1,AC137,0))</f>
        <v>0</v>
      </c>
      <c r="Y138" s="98">
        <f ca="1">IF(C138&gt;=1,X138*VLOOKUP(E138,'Reeksen (N)'!$A$5:$B$76,2),0)</f>
        <v>0</v>
      </c>
      <c r="Z138" s="98">
        <f ca="1">(1-('Invoer gegevens (N)'!$F$20/12))*X138*MIN('Reeksen (N)'!B138,'Reeksen (N)'!D138)</f>
        <v>0</v>
      </c>
      <c r="AA138" s="98">
        <f>IF('Reeksen (N)'!D138&gt;='Reeksen (N)'!B138,0,IF('Reeksen (N)'!AD138&lt;='Reeksen (N)'!AE138,('Reeksen (N)'!B138-'Reeksen (N)'!D138)*X138,0))</f>
        <v>0</v>
      </c>
      <c r="AB138" s="98">
        <f>IF('Reeksen (N)'!D138&gt;='Reeksen (N)'!B138,0,IF('Reeksen (N)'!AD138&gt;'Reeksen (N)'!AE138,('Reeksen (N)'!B138-'Reeksen (N)'!D138)*X138,0))</f>
        <v>0</v>
      </c>
      <c r="AC138" s="99">
        <f t="shared" ca="1" si="25"/>
        <v>0</v>
      </c>
      <c r="AD138" s="98">
        <f ca="1">IF('Invoer gegevens (N)'!$C$17=E138,R138,IF(C138=0,0,AE137))</f>
        <v>0</v>
      </c>
      <c r="AE138" s="98">
        <f t="shared" ca="1" si="26"/>
        <v>0</v>
      </c>
      <c r="AF138" s="98">
        <f ca="1">IF('Invoer gegevens (N)'!$C$17=E138,X138,IF(C138=0,0,AG137))</f>
        <v>0</v>
      </c>
      <c r="AG138" s="98">
        <f t="shared" ca="1" si="27"/>
        <v>0</v>
      </c>
      <c r="AH138" s="66"/>
      <c r="AI138" s="71">
        <f ca="1">IF(C138=1,'Reeksen (N)'!AI138*((F138-G138+F138)/2)*12+'Reeksen (N)'!AD138*((L138-M138+L138)/2)*12,0)</f>
        <v>0</v>
      </c>
      <c r="AJ138" s="71">
        <f ca="1">-AI138*'Invoer gegevens (N)'!$F$28</f>
        <v>0</v>
      </c>
      <c r="AK138" s="71">
        <f t="shared" ca="1" si="28"/>
        <v>0</v>
      </c>
      <c r="AL138" s="71">
        <f ca="1">IF(C138=1,'Reeksen (N)'!AL138*((F138-G138+F138)/2)*12+'Reeksen (N)'!AM138*((L138-M138+L138)/2)*12,0)</f>
        <v>0</v>
      </c>
      <c r="AM138" s="71">
        <f ca="1">-AL138*'Invoer gegevens (N)'!$F$31</f>
        <v>0</v>
      </c>
      <c r="AN138" s="71">
        <f t="shared" ca="1" si="29"/>
        <v>0</v>
      </c>
      <c r="AO138" s="71">
        <f ca="1">IF(C138=1,(H138+J138+N138+P138)*'Reeksen (N)'!AN138,0)</f>
        <v>0</v>
      </c>
      <c r="AP138" s="71">
        <f ca="1">-IF(C138=1,(H138+J138+N138+P138)*'Hulp - basis'!$O$550*'Reeksen (N)'!H138,0)</f>
        <v>0</v>
      </c>
      <c r="AQ138" s="71">
        <f ca="1">-IF(C138=1,(F138+K138+L138+Q138)/2*'Invoer gegevens (N)'!$F$35*'Reeksen (N)'!J138,0)*2</f>
        <v>0</v>
      </c>
      <c r="AR138" s="71"/>
      <c r="AS138" s="71">
        <f ca="1">-IF(C138=1,(F138+K138+L138+Q138)/2*'Invoer gegevens (N)'!$F$37*'Reeksen (N)'!L138,0)</f>
        <v>0</v>
      </c>
      <c r="AT138" s="71">
        <f ca="1">-IF(C138=1,IF(E138='Invoer gegevens (N)'!$C$17,'Invoer gegevens (N)'!$C$11,AD138)*'Reeksen (N)'!S138*'Invoer gegevens (N)'!$C$18*'Reeksen (N)'!P138,0)</f>
        <v>0</v>
      </c>
      <c r="AU138" s="71">
        <f ca="1">-IF(C138=1,(F138+K138+L138+Q138)/2*'Invoer gegevens (N)'!$F$38*'Reeksen (N)'!H138,0)</f>
        <v>0</v>
      </c>
      <c r="AV138" s="71">
        <v>0</v>
      </c>
      <c r="AW138" s="71">
        <f t="shared" ca="1" si="30"/>
        <v>0</v>
      </c>
      <c r="AX138" s="71">
        <f ca="1">IF(E138&lt;'Invoer gegevens (N)'!$C$17+15,0,IF(E138&gt;'Invoer gegevens (N)'!$C$17+215,0,AW138))</f>
        <v>0</v>
      </c>
      <c r="AY138" s="71">
        <f ca="1">AX138/(1+'Invoer gegevens (N)'!$F$18)^($AZ138-('Invoer gegevens (N)'!$C$17-'Invoer gegevens (N)'!$C$16))/(1+'Invoer gegevens (N)'!$C$39)^('Invoer gegevens (N)'!$C$17-'Invoer gegevens (N)'!$C$16)</f>
        <v>0</v>
      </c>
      <c r="AZ138" s="68">
        <f ca="1">IF(E138-'Invoer gegevens (N)'!$C$17-14.5&lt;0,0,E138-'Invoer gegevens (N)'!$C$17-14.5)</f>
        <v>118.5</v>
      </c>
    </row>
    <row r="139" spans="1:52" x14ac:dyDescent="0.25">
      <c r="A139" s="59"/>
      <c r="B139" s="70">
        <f t="shared" si="31"/>
        <v>135</v>
      </c>
      <c r="C139" s="67">
        <f ca="1">IF(E139-'Invoer gegevens (N)'!$C$17&lt;0,0,1)</f>
        <v>1</v>
      </c>
      <c r="D139" s="68">
        <f t="shared" si="32"/>
        <v>134.5</v>
      </c>
      <c r="E139" s="69">
        <f ca="1">IF('Invoer gegevens (N)'!$C$16="","",E138+1)</f>
        <v>2153</v>
      </c>
      <c r="F139" s="84">
        <f ca="1">IF('Invoer gegevens (N)'!$C$17=E139,'Invoer gegevens (N)'!$C$10,IF(C139=1,K138,0))</f>
        <v>0</v>
      </c>
      <c r="G139" s="96">
        <f ca="1">IF(C139&gt;=1,F139*VLOOKUP(E139,'Reeksen (N)'!$A$5:$B$76,2),0)</f>
        <v>0</v>
      </c>
      <c r="H139" s="84">
        <f ca="1">(1-('Invoer gegevens (N)'!$F$20/12))*F139*MIN('Reeksen (N)'!B139,'Reeksen (N)'!D139)</f>
        <v>0</v>
      </c>
      <c r="I139" s="84">
        <f>IF('Reeksen (N)'!D139&lt;'Reeksen (N)'!B139,('Reeksen (N)'!B139-'Reeksen (N)'!D139)*F139,0)</f>
        <v>0</v>
      </c>
      <c r="J139" s="84">
        <f ca="1">('Invoer gegevens (N)'!$F$20/12)*F138*MIN('Reeksen (N)'!B138,'Reeksen (N)'!D138)</f>
        <v>0</v>
      </c>
      <c r="K139" s="97">
        <f t="shared" ca="1" si="22"/>
        <v>0</v>
      </c>
      <c r="L139" s="84">
        <f ca="1">IF('Invoer gegevens (N)'!$C$17=E139,0,IF(C139=1,Q138,0))</f>
        <v>0</v>
      </c>
      <c r="M139" s="96">
        <f ca="1">IF(C139&gt;=1,L139*VLOOKUP(E139,'Reeksen (N)'!$A$5:$B$76,2),0)</f>
        <v>0</v>
      </c>
      <c r="N139" s="84">
        <f ca="1">(1-('Invoer gegevens (N)'!$F$20/12))*L139*MIN('Reeksen (N)'!B139,'Reeksen (N)'!D139)</f>
        <v>0</v>
      </c>
      <c r="O139" s="84">
        <f>IF('Reeksen (N)'!D139&lt;'Reeksen (N)'!B139,('Reeksen (N)'!B139-'Reeksen (N)'!D139)*L139,0)</f>
        <v>0</v>
      </c>
      <c r="P139" s="84">
        <f ca="1">('Invoer gegevens (N)'!$F$20/12)*L138*MIN('Reeksen (N)'!B138,'Reeksen (N)'!D138)</f>
        <v>0</v>
      </c>
      <c r="Q139" s="84">
        <f t="shared" ca="1" si="23"/>
        <v>0</v>
      </c>
      <c r="R139" s="82">
        <f ca="1">IF('Invoer gegevens (N)'!$C$17=E139,'Invoer gegevens (N)'!$C$11,IF(C139=1,W138,0))</f>
        <v>0</v>
      </c>
      <c r="S139" s="86">
        <f ca="1">IF(C139&gt;=1,R139*VLOOKUP(E139,'Reeksen (N)'!$A$5:$B$76,2),0)</f>
        <v>0</v>
      </c>
      <c r="T139" s="84">
        <f ca="1">(1-('Invoer gegevens (N)'!$F$20/12))*R139*MIN('Reeksen (N)'!B139,'Reeksen (N)'!D139)</f>
        <v>0</v>
      </c>
      <c r="U139" s="84">
        <f>IF('Reeksen (N)'!D139&gt;='Reeksen (N)'!B139,0,IF('Reeksen (N)'!AD139&lt;='Reeksen (N)'!AE139,('Reeksen (N)'!B139-'Reeksen (N)'!D139)*R139,0))</f>
        <v>0</v>
      </c>
      <c r="V139" s="86">
        <f>IF('Reeksen (N)'!D139&gt;='Reeksen (N)'!B139,0,IF('Reeksen (N)'!AD139&gt;'Reeksen (N)'!AE139,('Reeksen (N)'!B139-'Reeksen (N)'!D139)*R139,0))</f>
        <v>0</v>
      </c>
      <c r="W139" s="97">
        <f t="shared" ca="1" si="24"/>
        <v>0</v>
      </c>
      <c r="X139" s="98">
        <f ca="1">IF('Invoer gegevens (N)'!$C$17=E139,'Invoer gegevens (N)'!$C$10-'Invoer gegevens (N)'!$C$11,IF(C139=1,AC138,0))</f>
        <v>0</v>
      </c>
      <c r="Y139" s="98">
        <f ca="1">IF(C139&gt;=1,X139*VLOOKUP(E139,'Reeksen (N)'!$A$5:$B$76,2),0)</f>
        <v>0</v>
      </c>
      <c r="Z139" s="98">
        <f ca="1">(1-('Invoer gegevens (N)'!$F$20/12))*X139*MIN('Reeksen (N)'!B139,'Reeksen (N)'!D139)</f>
        <v>0</v>
      </c>
      <c r="AA139" s="98">
        <f>IF('Reeksen (N)'!D139&gt;='Reeksen (N)'!B139,0,IF('Reeksen (N)'!AD139&lt;='Reeksen (N)'!AE139,('Reeksen (N)'!B139-'Reeksen (N)'!D139)*X139,0))</f>
        <v>0</v>
      </c>
      <c r="AB139" s="98">
        <f>IF('Reeksen (N)'!D139&gt;='Reeksen (N)'!B139,0,IF('Reeksen (N)'!AD139&gt;'Reeksen (N)'!AE139,('Reeksen (N)'!B139-'Reeksen (N)'!D139)*X139,0))</f>
        <v>0</v>
      </c>
      <c r="AC139" s="99">
        <f t="shared" ca="1" si="25"/>
        <v>0</v>
      </c>
      <c r="AD139" s="98">
        <f ca="1">IF('Invoer gegevens (N)'!$C$17=E139,R139,IF(C139=0,0,AE138))</f>
        <v>0</v>
      </c>
      <c r="AE139" s="98">
        <f t="shared" ca="1" si="26"/>
        <v>0</v>
      </c>
      <c r="AF139" s="98">
        <f ca="1">IF('Invoer gegevens (N)'!$C$17=E139,X139,IF(C139=0,0,AG138))</f>
        <v>0</v>
      </c>
      <c r="AG139" s="98">
        <f t="shared" ca="1" si="27"/>
        <v>0</v>
      </c>
      <c r="AH139" s="66"/>
      <c r="AI139" s="71">
        <f ca="1">IF(C139=1,'Reeksen (N)'!AI139*((F139-G139+F139)/2)*12+'Reeksen (N)'!AD139*((L139-M139+L139)/2)*12,0)</f>
        <v>0</v>
      </c>
      <c r="AJ139" s="71">
        <f ca="1">-AI139*'Invoer gegevens (N)'!$F$28</f>
        <v>0</v>
      </c>
      <c r="AK139" s="71">
        <f t="shared" ca="1" si="28"/>
        <v>0</v>
      </c>
      <c r="AL139" s="71">
        <f ca="1">IF(C139=1,'Reeksen (N)'!AL139*((F139-G139+F139)/2)*12+'Reeksen (N)'!AM139*((L139-M139+L139)/2)*12,0)</f>
        <v>0</v>
      </c>
      <c r="AM139" s="71">
        <f ca="1">-AL139*'Invoer gegevens (N)'!$F$31</f>
        <v>0</v>
      </c>
      <c r="AN139" s="71">
        <f t="shared" ca="1" si="29"/>
        <v>0</v>
      </c>
      <c r="AO139" s="71">
        <f ca="1">IF(C139=1,(H139+J139+N139+P139)*'Reeksen (N)'!AN139,0)</f>
        <v>0</v>
      </c>
      <c r="AP139" s="71">
        <f ca="1">-IF(C139=1,(H139+J139+N139+P139)*'Hulp - basis'!$O$550*'Reeksen (N)'!H139,0)</f>
        <v>0</v>
      </c>
      <c r="AQ139" s="71">
        <f ca="1">-IF(C139=1,(F139+K139+L139+Q139)/2*'Invoer gegevens (N)'!$F$35*'Reeksen (N)'!J139,0)*2</f>
        <v>0</v>
      </c>
      <c r="AR139" s="71"/>
      <c r="AS139" s="71">
        <f ca="1">-IF(C139=1,(F139+K139+L139+Q139)/2*'Invoer gegevens (N)'!$F$37*'Reeksen (N)'!L139,0)</f>
        <v>0</v>
      </c>
      <c r="AT139" s="71">
        <f ca="1">-IF(C139=1,IF(E139='Invoer gegevens (N)'!$C$17,'Invoer gegevens (N)'!$C$11,AD139)*'Reeksen (N)'!S139*'Invoer gegevens (N)'!$C$18*'Reeksen (N)'!P139,0)</f>
        <v>0</v>
      </c>
      <c r="AU139" s="71">
        <f ca="1">-IF(C139=1,(F139+K139+L139+Q139)/2*'Invoer gegevens (N)'!$F$38*'Reeksen (N)'!H139,0)</f>
        <v>0</v>
      </c>
      <c r="AV139" s="71">
        <v>0</v>
      </c>
      <c r="AW139" s="71">
        <f t="shared" ca="1" si="30"/>
        <v>0</v>
      </c>
      <c r="AX139" s="71">
        <f ca="1">IF(E139&lt;'Invoer gegevens (N)'!$C$17+15,0,IF(E139&gt;'Invoer gegevens (N)'!$C$17+215,0,AW139))</f>
        <v>0</v>
      </c>
      <c r="AY139" s="71">
        <f ca="1">AX139/(1+'Invoer gegevens (N)'!$F$18)^($AZ139-('Invoer gegevens (N)'!$C$17-'Invoer gegevens (N)'!$C$16))/(1+'Invoer gegevens (N)'!$C$39)^('Invoer gegevens (N)'!$C$17-'Invoer gegevens (N)'!$C$16)</f>
        <v>0</v>
      </c>
      <c r="AZ139" s="68">
        <f ca="1">IF(E139-'Invoer gegevens (N)'!$C$17-14.5&lt;0,0,E139-'Invoer gegevens (N)'!$C$17-14.5)</f>
        <v>119.5</v>
      </c>
    </row>
    <row r="140" spans="1:52" x14ac:dyDescent="0.25">
      <c r="A140" s="59"/>
      <c r="B140" s="70">
        <f t="shared" si="31"/>
        <v>136</v>
      </c>
      <c r="C140" s="67">
        <f ca="1">IF(E140-'Invoer gegevens (N)'!$C$17&lt;0,0,1)</f>
        <v>1</v>
      </c>
      <c r="D140" s="68">
        <f t="shared" si="32"/>
        <v>135.5</v>
      </c>
      <c r="E140" s="69">
        <f ca="1">IF('Invoer gegevens (N)'!$C$16="","",E139+1)</f>
        <v>2154</v>
      </c>
      <c r="F140" s="84">
        <f ca="1">IF('Invoer gegevens (N)'!$C$17=E140,'Invoer gegevens (N)'!$C$10,IF(C140=1,K139,0))</f>
        <v>0</v>
      </c>
      <c r="G140" s="96">
        <f ca="1">IF(C140&gt;=1,F140*VLOOKUP(E140,'Reeksen (N)'!$A$5:$B$76,2),0)</f>
        <v>0</v>
      </c>
      <c r="H140" s="84">
        <f ca="1">(1-('Invoer gegevens (N)'!$F$20/12))*F140*MIN('Reeksen (N)'!B140,'Reeksen (N)'!D140)</f>
        <v>0</v>
      </c>
      <c r="I140" s="84">
        <f>IF('Reeksen (N)'!D140&lt;'Reeksen (N)'!B140,('Reeksen (N)'!B140-'Reeksen (N)'!D140)*F140,0)</f>
        <v>0</v>
      </c>
      <c r="J140" s="84">
        <f ca="1">('Invoer gegevens (N)'!$F$20/12)*F139*MIN('Reeksen (N)'!B139,'Reeksen (N)'!D139)</f>
        <v>0</v>
      </c>
      <c r="K140" s="97">
        <f t="shared" ca="1" si="22"/>
        <v>0</v>
      </c>
      <c r="L140" s="84">
        <f ca="1">IF('Invoer gegevens (N)'!$C$17=E140,0,IF(C140=1,Q139,0))</f>
        <v>0</v>
      </c>
      <c r="M140" s="96">
        <f ca="1">IF(C140&gt;=1,L140*VLOOKUP(E140,'Reeksen (N)'!$A$5:$B$76,2),0)</f>
        <v>0</v>
      </c>
      <c r="N140" s="84">
        <f ca="1">(1-('Invoer gegevens (N)'!$F$20/12))*L140*MIN('Reeksen (N)'!B140,'Reeksen (N)'!D140)</f>
        <v>0</v>
      </c>
      <c r="O140" s="84">
        <f>IF('Reeksen (N)'!D140&lt;'Reeksen (N)'!B140,('Reeksen (N)'!B140-'Reeksen (N)'!D140)*L140,0)</f>
        <v>0</v>
      </c>
      <c r="P140" s="84">
        <f ca="1">('Invoer gegevens (N)'!$F$20/12)*L139*MIN('Reeksen (N)'!B139,'Reeksen (N)'!D139)</f>
        <v>0</v>
      </c>
      <c r="Q140" s="84">
        <f t="shared" ca="1" si="23"/>
        <v>0</v>
      </c>
      <c r="R140" s="82">
        <f ca="1">IF('Invoer gegevens (N)'!$C$17=E140,'Invoer gegevens (N)'!$C$11,IF(C140=1,W139,0))</f>
        <v>0</v>
      </c>
      <c r="S140" s="86">
        <f ca="1">IF(C140&gt;=1,R140*VLOOKUP(E140,'Reeksen (N)'!$A$5:$B$76,2),0)</f>
        <v>0</v>
      </c>
      <c r="T140" s="84">
        <f ca="1">(1-('Invoer gegevens (N)'!$F$20/12))*R140*MIN('Reeksen (N)'!B140,'Reeksen (N)'!D140)</f>
        <v>0</v>
      </c>
      <c r="U140" s="84">
        <f>IF('Reeksen (N)'!D140&gt;='Reeksen (N)'!B140,0,IF('Reeksen (N)'!AD140&lt;='Reeksen (N)'!AE140,('Reeksen (N)'!B140-'Reeksen (N)'!D140)*R140,0))</f>
        <v>0</v>
      </c>
      <c r="V140" s="86">
        <f>IF('Reeksen (N)'!D140&gt;='Reeksen (N)'!B140,0,IF('Reeksen (N)'!AD140&gt;'Reeksen (N)'!AE140,('Reeksen (N)'!B140-'Reeksen (N)'!D140)*R140,0))</f>
        <v>0</v>
      </c>
      <c r="W140" s="97">
        <f t="shared" ca="1" si="24"/>
        <v>0</v>
      </c>
      <c r="X140" s="98">
        <f ca="1">IF('Invoer gegevens (N)'!$C$17=E140,'Invoer gegevens (N)'!$C$10-'Invoer gegevens (N)'!$C$11,IF(C140=1,AC139,0))</f>
        <v>0</v>
      </c>
      <c r="Y140" s="98">
        <f ca="1">IF(C140&gt;=1,X140*VLOOKUP(E140,'Reeksen (N)'!$A$5:$B$76,2),0)</f>
        <v>0</v>
      </c>
      <c r="Z140" s="98">
        <f ca="1">(1-('Invoer gegevens (N)'!$F$20/12))*X140*MIN('Reeksen (N)'!B140,'Reeksen (N)'!D140)</f>
        <v>0</v>
      </c>
      <c r="AA140" s="98">
        <f>IF('Reeksen (N)'!D140&gt;='Reeksen (N)'!B140,0,IF('Reeksen (N)'!AD140&lt;='Reeksen (N)'!AE140,('Reeksen (N)'!B140-'Reeksen (N)'!D140)*X140,0))</f>
        <v>0</v>
      </c>
      <c r="AB140" s="98">
        <f>IF('Reeksen (N)'!D140&gt;='Reeksen (N)'!B140,0,IF('Reeksen (N)'!AD140&gt;'Reeksen (N)'!AE140,('Reeksen (N)'!B140-'Reeksen (N)'!D140)*X140,0))</f>
        <v>0</v>
      </c>
      <c r="AC140" s="99">
        <f t="shared" ca="1" si="25"/>
        <v>0</v>
      </c>
      <c r="AD140" s="98">
        <f ca="1">IF('Invoer gegevens (N)'!$C$17=E140,R140,IF(C140=0,0,AE139))</f>
        <v>0</v>
      </c>
      <c r="AE140" s="98">
        <f t="shared" ca="1" si="26"/>
        <v>0</v>
      </c>
      <c r="AF140" s="98">
        <f ca="1">IF('Invoer gegevens (N)'!$C$17=E140,X140,IF(C140=0,0,AG139))</f>
        <v>0</v>
      </c>
      <c r="AG140" s="98">
        <f t="shared" ca="1" si="27"/>
        <v>0</v>
      </c>
      <c r="AH140" s="66"/>
      <c r="AI140" s="71">
        <f ca="1">IF(C140=1,'Reeksen (N)'!AI140*((F140-G140+F140)/2)*12+'Reeksen (N)'!AD140*((L140-M140+L140)/2)*12,0)</f>
        <v>0</v>
      </c>
      <c r="AJ140" s="71">
        <f ca="1">-AI140*'Invoer gegevens (N)'!$F$28</f>
        <v>0</v>
      </c>
      <c r="AK140" s="71">
        <f t="shared" ca="1" si="28"/>
        <v>0</v>
      </c>
      <c r="AL140" s="71">
        <f ca="1">IF(C140=1,'Reeksen (N)'!AL140*((F140-G140+F140)/2)*12+'Reeksen (N)'!AM140*((L140-M140+L140)/2)*12,0)</f>
        <v>0</v>
      </c>
      <c r="AM140" s="71">
        <f ca="1">-AL140*'Invoer gegevens (N)'!$F$31</f>
        <v>0</v>
      </c>
      <c r="AN140" s="71">
        <f t="shared" ca="1" si="29"/>
        <v>0</v>
      </c>
      <c r="AO140" s="71">
        <f ca="1">IF(C140=1,(H140+J140+N140+P140)*'Reeksen (N)'!AN140,0)</f>
        <v>0</v>
      </c>
      <c r="AP140" s="71">
        <f ca="1">-IF(C140=1,(H140+J140+N140+P140)*'Hulp - basis'!$O$550*'Reeksen (N)'!H140,0)</f>
        <v>0</v>
      </c>
      <c r="AQ140" s="71">
        <f ca="1">-IF(C140=1,(F140+K140+L140+Q140)/2*'Invoer gegevens (N)'!$F$35*'Reeksen (N)'!J140,0)*2</f>
        <v>0</v>
      </c>
      <c r="AR140" s="71"/>
      <c r="AS140" s="71">
        <f ca="1">-IF(C140=1,(F140+K140+L140+Q140)/2*'Invoer gegevens (N)'!$F$37*'Reeksen (N)'!L140,0)</f>
        <v>0</v>
      </c>
      <c r="AT140" s="71">
        <f ca="1">-IF(C140=1,IF(E140='Invoer gegevens (N)'!$C$17,'Invoer gegevens (N)'!$C$11,AD140)*'Reeksen (N)'!S140*'Invoer gegevens (N)'!$C$18*'Reeksen (N)'!P140,0)</f>
        <v>0</v>
      </c>
      <c r="AU140" s="71">
        <f ca="1">-IF(C140=1,(F140+K140+L140+Q140)/2*'Invoer gegevens (N)'!$F$38*'Reeksen (N)'!H140,0)</f>
        <v>0</v>
      </c>
      <c r="AV140" s="71">
        <v>0</v>
      </c>
      <c r="AW140" s="71">
        <f t="shared" ca="1" si="30"/>
        <v>0</v>
      </c>
      <c r="AX140" s="71">
        <f ca="1">IF(E140&lt;'Invoer gegevens (N)'!$C$17+15,0,IF(E140&gt;'Invoer gegevens (N)'!$C$17+215,0,AW140))</f>
        <v>0</v>
      </c>
      <c r="AY140" s="71">
        <f ca="1">AX140/(1+'Invoer gegevens (N)'!$F$18)^($AZ140-('Invoer gegevens (N)'!$C$17-'Invoer gegevens (N)'!$C$16))/(1+'Invoer gegevens (N)'!$C$39)^('Invoer gegevens (N)'!$C$17-'Invoer gegevens (N)'!$C$16)</f>
        <v>0</v>
      </c>
      <c r="AZ140" s="68">
        <f ca="1">IF(E140-'Invoer gegevens (N)'!$C$17-14.5&lt;0,0,E140-'Invoer gegevens (N)'!$C$17-14.5)</f>
        <v>120.5</v>
      </c>
    </row>
    <row r="141" spans="1:52" x14ac:dyDescent="0.25">
      <c r="A141" s="59"/>
      <c r="B141" s="70">
        <f t="shared" si="31"/>
        <v>137</v>
      </c>
      <c r="C141" s="67">
        <f ca="1">IF(E141-'Invoer gegevens (N)'!$C$17&lt;0,0,1)</f>
        <v>1</v>
      </c>
      <c r="D141" s="68">
        <f t="shared" si="32"/>
        <v>136.5</v>
      </c>
      <c r="E141" s="69">
        <f ca="1">IF('Invoer gegevens (N)'!$C$16="","",E140+1)</f>
        <v>2155</v>
      </c>
      <c r="F141" s="84">
        <f ca="1">IF('Invoer gegevens (N)'!$C$17=E141,'Invoer gegevens (N)'!$C$10,IF(C141=1,K140,0))</f>
        <v>0</v>
      </c>
      <c r="G141" s="96">
        <f ca="1">IF(C141&gt;=1,F141*VLOOKUP(E141,'Reeksen (N)'!$A$5:$B$76,2),0)</f>
        <v>0</v>
      </c>
      <c r="H141" s="84">
        <f ca="1">(1-('Invoer gegevens (N)'!$F$20/12))*F141*MIN('Reeksen (N)'!B141,'Reeksen (N)'!D141)</f>
        <v>0</v>
      </c>
      <c r="I141" s="84">
        <f>IF('Reeksen (N)'!D141&lt;'Reeksen (N)'!B141,('Reeksen (N)'!B141-'Reeksen (N)'!D141)*F141,0)</f>
        <v>0</v>
      </c>
      <c r="J141" s="84">
        <f ca="1">('Invoer gegevens (N)'!$F$20/12)*F140*MIN('Reeksen (N)'!B140,'Reeksen (N)'!D140)</f>
        <v>0</v>
      </c>
      <c r="K141" s="97">
        <f t="shared" ca="1" si="22"/>
        <v>0</v>
      </c>
      <c r="L141" s="84">
        <f ca="1">IF('Invoer gegevens (N)'!$C$17=E141,0,IF(C141=1,Q140,0))</f>
        <v>0</v>
      </c>
      <c r="M141" s="96">
        <f ca="1">IF(C141&gt;=1,L141*VLOOKUP(E141,'Reeksen (N)'!$A$5:$B$76,2),0)</f>
        <v>0</v>
      </c>
      <c r="N141" s="84">
        <f ca="1">(1-('Invoer gegevens (N)'!$F$20/12))*L141*MIN('Reeksen (N)'!B141,'Reeksen (N)'!D141)</f>
        <v>0</v>
      </c>
      <c r="O141" s="84">
        <f>IF('Reeksen (N)'!D141&lt;'Reeksen (N)'!B141,('Reeksen (N)'!B141-'Reeksen (N)'!D141)*L141,0)</f>
        <v>0</v>
      </c>
      <c r="P141" s="84">
        <f ca="1">('Invoer gegevens (N)'!$F$20/12)*L140*MIN('Reeksen (N)'!B140,'Reeksen (N)'!D140)</f>
        <v>0</v>
      </c>
      <c r="Q141" s="84">
        <f t="shared" ca="1" si="23"/>
        <v>0</v>
      </c>
      <c r="R141" s="82">
        <f ca="1">IF('Invoer gegevens (N)'!$C$17=E141,'Invoer gegevens (N)'!$C$11,IF(C141=1,W140,0))</f>
        <v>0</v>
      </c>
      <c r="S141" s="86">
        <f ca="1">IF(C141&gt;=1,R141*VLOOKUP(E141,'Reeksen (N)'!$A$5:$B$76,2),0)</f>
        <v>0</v>
      </c>
      <c r="T141" s="84">
        <f ca="1">(1-('Invoer gegevens (N)'!$F$20/12))*R141*MIN('Reeksen (N)'!B141,'Reeksen (N)'!D141)</f>
        <v>0</v>
      </c>
      <c r="U141" s="84">
        <f>IF('Reeksen (N)'!D141&gt;='Reeksen (N)'!B141,0,IF('Reeksen (N)'!AD141&lt;='Reeksen (N)'!AE141,('Reeksen (N)'!B141-'Reeksen (N)'!D141)*R141,0))</f>
        <v>0</v>
      </c>
      <c r="V141" s="86">
        <f>IF('Reeksen (N)'!D141&gt;='Reeksen (N)'!B141,0,IF('Reeksen (N)'!AD141&gt;'Reeksen (N)'!AE141,('Reeksen (N)'!B141-'Reeksen (N)'!D141)*R141,0))</f>
        <v>0</v>
      </c>
      <c r="W141" s="97">
        <f t="shared" ca="1" si="24"/>
        <v>0</v>
      </c>
      <c r="X141" s="98">
        <f ca="1">IF('Invoer gegevens (N)'!$C$17=E141,'Invoer gegevens (N)'!$C$10-'Invoer gegevens (N)'!$C$11,IF(C141=1,AC140,0))</f>
        <v>0</v>
      </c>
      <c r="Y141" s="98">
        <f ca="1">IF(C141&gt;=1,X141*VLOOKUP(E141,'Reeksen (N)'!$A$5:$B$76,2),0)</f>
        <v>0</v>
      </c>
      <c r="Z141" s="98">
        <f ca="1">(1-('Invoer gegevens (N)'!$F$20/12))*X141*MIN('Reeksen (N)'!B141,'Reeksen (N)'!D141)</f>
        <v>0</v>
      </c>
      <c r="AA141" s="98">
        <f>IF('Reeksen (N)'!D141&gt;='Reeksen (N)'!B141,0,IF('Reeksen (N)'!AD141&lt;='Reeksen (N)'!AE141,('Reeksen (N)'!B141-'Reeksen (N)'!D141)*X141,0))</f>
        <v>0</v>
      </c>
      <c r="AB141" s="98">
        <f>IF('Reeksen (N)'!D141&gt;='Reeksen (N)'!B141,0,IF('Reeksen (N)'!AD141&gt;'Reeksen (N)'!AE141,('Reeksen (N)'!B141-'Reeksen (N)'!D141)*X141,0))</f>
        <v>0</v>
      </c>
      <c r="AC141" s="99">
        <f t="shared" ca="1" si="25"/>
        <v>0</v>
      </c>
      <c r="AD141" s="98">
        <f ca="1">IF('Invoer gegevens (N)'!$C$17=E141,R141,IF(C141=0,0,AE140))</f>
        <v>0</v>
      </c>
      <c r="AE141" s="98">
        <f t="shared" ca="1" si="26"/>
        <v>0</v>
      </c>
      <c r="AF141" s="98">
        <f ca="1">IF('Invoer gegevens (N)'!$C$17=E141,X141,IF(C141=0,0,AG140))</f>
        <v>0</v>
      </c>
      <c r="AG141" s="98">
        <f t="shared" ca="1" si="27"/>
        <v>0</v>
      </c>
      <c r="AH141" s="66"/>
      <c r="AI141" s="71">
        <f ca="1">IF(C141=1,'Reeksen (N)'!AI141*((F141-G141+F141)/2)*12+'Reeksen (N)'!AD141*((L141-M141+L141)/2)*12,0)</f>
        <v>0</v>
      </c>
      <c r="AJ141" s="71">
        <f ca="1">-AI141*'Invoer gegevens (N)'!$F$28</f>
        <v>0</v>
      </c>
      <c r="AK141" s="71">
        <f t="shared" ca="1" si="28"/>
        <v>0</v>
      </c>
      <c r="AL141" s="71">
        <f ca="1">IF(C141=1,'Reeksen (N)'!AL141*((F141-G141+F141)/2)*12+'Reeksen (N)'!AM141*((L141-M141+L141)/2)*12,0)</f>
        <v>0</v>
      </c>
      <c r="AM141" s="71">
        <f ca="1">-AL141*'Invoer gegevens (N)'!$F$31</f>
        <v>0</v>
      </c>
      <c r="AN141" s="71">
        <f t="shared" ca="1" si="29"/>
        <v>0</v>
      </c>
      <c r="AO141" s="71">
        <f ca="1">IF(C141=1,(H141+J141+N141+P141)*'Reeksen (N)'!AN141,0)</f>
        <v>0</v>
      </c>
      <c r="AP141" s="71">
        <f ca="1">-IF(C141=1,(H141+J141+N141+P141)*'Hulp - basis'!$O$550*'Reeksen (N)'!H141,0)</f>
        <v>0</v>
      </c>
      <c r="AQ141" s="71">
        <f ca="1">-IF(C141=1,(F141+K141+L141+Q141)/2*'Invoer gegevens (N)'!$F$35*'Reeksen (N)'!J141,0)*2</f>
        <v>0</v>
      </c>
      <c r="AR141" s="71"/>
      <c r="AS141" s="71">
        <f ca="1">-IF(C141=1,(F141+K141+L141+Q141)/2*'Invoer gegevens (N)'!$F$37*'Reeksen (N)'!L141,0)</f>
        <v>0</v>
      </c>
      <c r="AT141" s="71">
        <f ca="1">-IF(C141=1,IF(E141='Invoer gegevens (N)'!$C$17,'Invoer gegevens (N)'!$C$11,AD141)*'Reeksen (N)'!S141*'Invoer gegevens (N)'!$C$18*'Reeksen (N)'!P141,0)</f>
        <v>0</v>
      </c>
      <c r="AU141" s="71">
        <f ca="1">-IF(C141=1,(F141+K141+L141+Q141)/2*'Invoer gegevens (N)'!$F$38*'Reeksen (N)'!H141,0)</f>
        <v>0</v>
      </c>
      <c r="AV141" s="71">
        <v>0</v>
      </c>
      <c r="AW141" s="71">
        <f t="shared" ca="1" si="30"/>
        <v>0</v>
      </c>
      <c r="AX141" s="71">
        <f ca="1">IF(E141&lt;'Invoer gegevens (N)'!$C$17+15,0,IF(E141&gt;'Invoer gegevens (N)'!$C$17+215,0,AW141))</f>
        <v>0</v>
      </c>
      <c r="AY141" s="71">
        <f ca="1">AX141/(1+'Invoer gegevens (N)'!$F$18)^($AZ141-('Invoer gegevens (N)'!$C$17-'Invoer gegevens (N)'!$C$16))/(1+'Invoer gegevens (N)'!$C$39)^('Invoer gegevens (N)'!$C$17-'Invoer gegevens (N)'!$C$16)</f>
        <v>0</v>
      </c>
      <c r="AZ141" s="68">
        <f ca="1">IF(E141-'Invoer gegevens (N)'!$C$17-14.5&lt;0,0,E141-'Invoer gegevens (N)'!$C$17-14.5)</f>
        <v>121.5</v>
      </c>
    </row>
    <row r="142" spans="1:52" x14ac:dyDescent="0.25">
      <c r="A142" s="59"/>
      <c r="B142" s="70">
        <f t="shared" si="31"/>
        <v>138</v>
      </c>
      <c r="C142" s="67">
        <f ca="1">IF(E142-'Invoer gegevens (N)'!$C$17&lt;0,0,1)</f>
        <v>1</v>
      </c>
      <c r="D142" s="68">
        <f t="shared" si="32"/>
        <v>137.5</v>
      </c>
      <c r="E142" s="69">
        <f ca="1">IF('Invoer gegevens (N)'!$C$16="","",E141+1)</f>
        <v>2156</v>
      </c>
      <c r="F142" s="84">
        <f ca="1">IF('Invoer gegevens (N)'!$C$17=E142,'Invoer gegevens (N)'!$C$10,IF(C142=1,K141,0))</f>
        <v>0</v>
      </c>
      <c r="G142" s="96">
        <f ca="1">IF(C142&gt;=1,F142*VLOOKUP(E142,'Reeksen (N)'!$A$5:$B$76,2),0)</f>
        <v>0</v>
      </c>
      <c r="H142" s="84">
        <f ca="1">(1-('Invoer gegevens (N)'!$F$20/12))*F142*MIN('Reeksen (N)'!B142,'Reeksen (N)'!D142)</f>
        <v>0</v>
      </c>
      <c r="I142" s="84">
        <f>IF('Reeksen (N)'!D142&lt;'Reeksen (N)'!B142,('Reeksen (N)'!B142-'Reeksen (N)'!D142)*F142,0)</f>
        <v>0</v>
      </c>
      <c r="J142" s="84">
        <f ca="1">('Invoer gegevens (N)'!$F$20/12)*F141*MIN('Reeksen (N)'!B141,'Reeksen (N)'!D141)</f>
        <v>0</v>
      </c>
      <c r="K142" s="97">
        <f t="shared" ca="1" si="22"/>
        <v>0</v>
      </c>
      <c r="L142" s="84">
        <f ca="1">IF('Invoer gegevens (N)'!$C$17=E142,0,IF(C142=1,Q141,0))</f>
        <v>0</v>
      </c>
      <c r="M142" s="96">
        <f ca="1">IF(C142&gt;=1,L142*VLOOKUP(E142,'Reeksen (N)'!$A$5:$B$76,2),0)</f>
        <v>0</v>
      </c>
      <c r="N142" s="84">
        <f ca="1">(1-('Invoer gegevens (N)'!$F$20/12))*L142*MIN('Reeksen (N)'!B142,'Reeksen (N)'!D142)</f>
        <v>0</v>
      </c>
      <c r="O142" s="84">
        <f>IF('Reeksen (N)'!D142&lt;'Reeksen (N)'!B142,('Reeksen (N)'!B142-'Reeksen (N)'!D142)*L142,0)</f>
        <v>0</v>
      </c>
      <c r="P142" s="84">
        <f ca="1">('Invoer gegevens (N)'!$F$20/12)*L141*MIN('Reeksen (N)'!B141,'Reeksen (N)'!D141)</f>
        <v>0</v>
      </c>
      <c r="Q142" s="84">
        <f t="shared" ca="1" si="23"/>
        <v>0</v>
      </c>
      <c r="R142" s="82">
        <f ca="1">IF('Invoer gegevens (N)'!$C$17=E142,'Invoer gegevens (N)'!$C$11,IF(C142=1,W141,0))</f>
        <v>0</v>
      </c>
      <c r="S142" s="86">
        <f ca="1">IF(C142&gt;=1,R142*VLOOKUP(E142,'Reeksen (N)'!$A$5:$B$76,2),0)</f>
        <v>0</v>
      </c>
      <c r="T142" s="84">
        <f ca="1">(1-('Invoer gegevens (N)'!$F$20/12))*R142*MIN('Reeksen (N)'!B142,'Reeksen (N)'!D142)</f>
        <v>0</v>
      </c>
      <c r="U142" s="84">
        <f>IF('Reeksen (N)'!D142&gt;='Reeksen (N)'!B142,0,IF('Reeksen (N)'!AD142&lt;='Reeksen (N)'!AE142,('Reeksen (N)'!B142-'Reeksen (N)'!D142)*R142,0))</f>
        <v>0</v>
      </c>
      <c r="V142" s="86">
        <f>IF('Reeksen (N)'!D142&gt;='Reeksen (N)'!B142,0,IF('Reeksen (N)'!AD142&gt;'Reeksen (N)'!AE142,('Reeksen (N)'!B142-'Reeksen (N)'!D142)*R142,0))</f>
        <v>0</v>
      </c>
      <c r="W142" s="97">
        <f t="shared" ca="1" si="24"/>
        <v>0</v>
      </c>
      <c r="X142" s="98">
        <f ca="1">IF('Invoer gegevens (N)'!$C$17=E142,'Invoer gegevens (N)'!$C$10-'Invoer gegevens (N)'!$C$11,IF(C142=1,AC141,0))</f>
        <v>0</v>
      </c>
      <c r="Y142" s="98">
        <f ca="1">IF(C142&gt;=1,X142*VLOOKUP(E142,'Reeksen (N)'!$A$5:$B$76,2),0)</f>
        <v>0</v>
      </c>
      <c r="Z142" s="98">
        <f ca="1">(1-('Invoer gegevens (N)'!$F$20/12))*X142*MIN('Reeksen (N)'!B142,'Reeksen (N)'!D142)</f>
        <v>0</v>
      </c>
      <c r="AA142" s="98">
        <f>IF('Reeksen (N)'!D142&gt;='Reeksen (N)'!B142,0,IF('Reeksen (N)'!AD142&lt;='Reeksen (N)'!AE142,('Reeksen (N)'!B142-'Reeksen (N)'!D142)*X142,0))</f>
        <v>0</v>
      </c>
      <c r="AB142" s="98">
        <f>IF('Reeksen (N)'!D142&gt;='Reeksen (N)'!B142,0,IF('Reeksen (N)'!AD142&gt;'Reeksen (N)'!AE142,('Reeksen (N)'!B142-'Reeksen (N)'!D142)*X142,0))</f>
        <v>0</v>
      </c>
      <c r="AC142" s="99">
        <f t="shared" ca="1" si="25"/>
        <v>0</v>
      </c>
      <c r="AD142" s="98">
        <f ca="1">IF('Invoer gegevens (N)'!$C$17=E142,R142,IF(C142=0,0,AE141))</f>
        <v>0</v>
      </c>
      <c r="AE142" s="98">
        <f t="shared" ca="1" si="26"/>
        <v>0</v>
      </c>
      <c r="AF142" s="98">
        <f ca="1">IF('Invoer gegevens (N)'!$C$17=E142,X142,IF(C142=0,0,AG141))</f>
        <v>0</v>
      </c>
      <c r="AG142" s="98">
        <f t="shared" ca="1" si="27"/>
        <v>0</v>
      </c>
      <c r="AH142" s="66"/>
      <c r="AI142" s="71">
        <f ca="1">IF(C142=1,'Reeksen (N)'!AI142*((F142-G142+F142)/2)*12+'Reeksen (N)'!AD142*((L142-M142+L142)/2)*12,0)</f>
        <v>0</v>
      </c>
      <c r="AJ142" s="71">
        <f ca="1">-AI142*'Invoer gegevens (N)'!$F$28</f>
        <v>0</v>
      </c>
      <c r="AK142" s="71">
        <f t="shared" ca="1" si="28"/>
        <v>0</v>
      </c>
      <c r="AL142" s="71">
        <f ca="1">IF(C142=1,'Reeksen (N)'!AL142*((F142-G142+F142)/2)*12+'Reeksen (N)'!AM142*((L142-M142+L142)/2)*12,0)</f>
        <v>0</v>
      </c>
      <c r="AM142" s="71">
        <f ca="1">-AL142*'Invoer gegevens (N)'!$F$31</f>
        <v>0</v>
      </c>
      <c r="AN142" s="71">
        <f t="shared" ca="1" si="29"/>
        <v>0</v>
      </c>
      <c r="AO142" s="71">
        <f ca="1">IF(C142=1,(H142+J142+N142+P142)*'Reeksen (N)'!AN142,0)</f>
        <v>0</v>
      </c>
      <c r="AP142" s="71">
        <f ca="1">-IF(C142=1,(H142+J142+N142+P142)*'Hulp - basis'!$O$550*'Reeksen (N)'!H142,0)</f>
        <v>0</v>
      </c>
      <c r="AQ142" s="71">
        <f ca="1">-IF(C142=1,(F142+K142+L142+Q142)/2*'Invoer gegevens (N)'!$F$35*'Reeksen (N)'!J142,0)*2</f>
        <v>0</v>
      </c>
      <c r="AR142" s="71"/>
      <c r="AS142" s="71">
        <f ca="1">-IF(C142=1,(F142+K142+L142+Q142)/2*'Invoer gegevens (N)'!$F$37*'Reeksen (N)'!L142,0)</f>
        <v>0</v>
      </c>
      <c r="AT142" s="71">
        <f ca="1">-IF(C142=1,IF(E142='Invoer gegevens (N)'!$C$17,'Invoer gegevens (N)'!$C$11,AD142)*'Reeksen (N)'!S142*'Invoer gegevens (N)'!$C$18*'Reeksen (N)'!P142,0)</f>
        <v>0</v>
      </c>
      <c r="AU142" s="71">
        <f ca="1">-IF(C142=1,(F142+K142+L142+Q142)/2*'Invoer gegevens (N)'!$F$38*'Reeksen (N)'!H142,0)</f>
        <v>0</v>
      </c>
      <c r="AV142" s="71">
        <v>0</v>
      </c>
      <c r="AW142" s="71">
        <f t="shared" ca="1" si="30"/>
        <v>0</v>
      </c>
      <c r="AX142" s="71">
        <f ca="1">IF(E142&lt;'Invoer gegevens (N)'!$C$17+15,0,IF(E142&gt;'Invoer gegevens (N)'!$C$17+215,0,AW142))</f>
        <v>0</v>
      </c>
      <c r="AY142" s="71">
        <f ca="1">AX142/(1+'Invoer gegevens (N)'!$F$18)^($AZ142-('Invoer gegevens (N)'!$C$17-'Invoer gegevens (N)'!$C$16))/(1+'Invoer gegevens (N)'!$C$39)^('Invoer gegevens (N)'!$C$17-'Invoer gegevens (N)'!$C$16)</f>
        <v>0</v>
      </c>
      <c r="AZ142" s="68">
        <f ca="1">IF(E142-'Invoer gegevens (N)'!$C$17-14.5&lt;0,0,E142-'Invoer gegevens (N)'!$C$17-14.5)</f>
        <v>122.5</v>
      </c>
    </row>
    <row r="143" spans="1:52" x14ac:dyDescent="0.25">
      <c r="A143" s="59"/>
      <c r="B143" s="70">
        <f t="shared" si="31"/>
        <v>139</v>
      </c>
      <c r="C143" s="67">
        <f ca="1">IF(E143-'Invoer gegevens (N)'!$C$17&lt;0,0,1)</f>
        <v>1</v>
      </c>
      <c r="D143" s="68">
        <f t="shared" si="32"/>
        <v>138.5</v>
      </c>
      <c r="E143" s="69">
        <f ca="1">IF('Invoer gegevens (N)'!$C$16="","",E142+1)</f>
        <v>2157</v>
      </c>
      <c r="F143" s="84">
        <f ca="1">IF('Invoer gegevens (N)'!$C$17=E143,'Invoer gegevens (N)'!$C$10,IF(C143=1,K142,0))</f>
        <v>0</v>
      </c>
      <c r="G143" s="96">
        <f ca="1">IF(C143&gt;=1,F143*VLOOKUP(E143,'Reeksen (N)'!$A$5:$B$76,2),0)</f>
        <v>0</v>
      </c>
      <c r="H143" s="84">
        <f ca="1">(1-('Invoer gegevens (N)'!$F$20/12))*F143*MIN('Reeksen (N)'!B143,'Reeksen (N)'!D143)</f>
        <v>0</v>
      </c>
      <c r="I143" s="84">
        <f>IF('Reeksen (N)'!D143&lt;'Reeksen (N)'!B143,('Reeksen (N)'!B143-'Reeksen (N)'!D143)*F143,0)</f>
        <v>0</v>
      </c>
      <c r="J143" s="84">
        <f ca="1">('Invoer gegevens (N)'!$F$20/12)*F142*MIN('Reeksen (N)'!B142,'Reeksen (N)'!D142)</f>
        <v>0</v>
      </c>
      <c r="K143" s="97">
        <f t="shared" ca="1" si="22"/>
        <v>0</v>
      </c>
      <c r="L143" s="84">
        <f ca="1">IF('Invoer gegevens (N)'!$C$17=E143,0,IF(C143=1,Q142,0))</f>
        <v>0</v>
      </c>
      <c r="M143" s="96">
        <f ca="1">IF(C143&gt;=1,L143*VLOOKUP(E143,'Reeksen (N)'!$A$5:$B$76,2),0)</f>
        <v>0</v>
      </c>
      <c r="N143" s="84">
        <f ca="1">(1-('Invoer gegevens (N)'!$F$20/12))*L143*MIN('Reeksen (N)'!B143,'Reeksen (N)'!D143)</f>
        <v>0</v>
      </c>
      <c r="O143" s="84">
        <f>IF('Reeksen (N)'!D143&lt;'Reeksen (N)'!B143,('Reeksen (N)'!B143-'Reeksen (N)'!D143)*L143,0)</f>
        <v>0</v>
      </c>
      <c r="P143" s="84">
        <f ca="1">('Invoer gegevens (N)'!$F$20/12)*L142*MIN('Reeksen (N)'!B142,'Reeksen (N)'!D142)</f>
        <v>0</v>
      </c>
      <c r="Q143" s="84">
        <f t="shared" ca="1" si="23"/>
        <v>0</v>
      </c>
      <c r="R143" s="82">
        <f ca="1">IF('Invoer gegevens (N)'!$C$17=E143,'Invoer gegevens (N)'!$C$11,IF(C143=1,W142,0))</f>
        <v>0</v>
      </c>
      <c r="S143" s="86">
        <f ca="1">IF(C143&gt;=1,R143*VLOOKUP(E143,'Reeksen (N)'!$A$5:$B$76,2),0)</f>
        <v>0</v>
      </c>
      <c r="T143" s="84">
        <f ca="1">(1-('Invoer gegevens (N)'!$F$20/12))*R143*MIN('Reeksen (N)'!B143,'Reeksen (N)'!D143)</f>
        <v>0</v>
      </c>
      <c r="U143" s="84">
        <f>IF('Reeksen (N)'!D143&gt;='Reeksen (N)'!B143,0,IF('Reeksen (N)'!AD143&lt;='Reeksen (N)'!AE143,('Reeksen (N)'!B143-'Reeksen (N)'!D143)*R143,0))</f>
        <v>0</v>
      </c>
      <c r="V143" s="86">
        <f>IF('Reeksen (N)'!D143&gt;='Reeksen (N)'!B143,0,IF('Reeksen (N)'!AD143&gt;'Reeksen (N)'!AE143,('Reeksen (N)'!B143-'Reeksen (N)'!D143)*R143,0))</f>
        <v>0</v>
      </c>
      <c r="W143" s="97">
        <f t="shared" ca="1" si="24"/>
        <v>0</v>
      </c>
      <c r="X143" s="98">
        <f ca="1">IF('Invoer gegevens (N)'!$C$17=E143,'Invoer gegevens (N)'!$C$10-'Invoer gegevens (N)'!$C$11,IF(C143=1,AC142,0))</f>
        <v>0</v>
      </c>
      <c r="Y143" s="98">
        <f ca="1">IF(C143&gt;=1,X143*VLOOKUP(E143,'Reeksen (N)'!$A$5:$B$76,2),0)</f>
        <v>0</v>
      </c>
      <c r="Z143" s="98">
        <f ca="1">(1-('Invoer gegevens (N)'!$F$20/12))*X143*MIN('Reeksen (N)'!B143,'Reeksen (N)'!D143)</f>
        <v>0</v>
      </c>
      <c r="AA143" s="98">
        <f>IF('Reeksen (N)'!D143&gt;='Reeksen (N)'!B143,0,IF('Reeksen (N)'!AD143&lt;='Reeksen (N)'!AE143,('Reeksen (N)'!B143-'Reeksen (N)'!D143)*X143,0))</f>
        <v>0</v>
      </c>
      <c r="AB143" s="98">
        <f>IF('Reeksen (N)'!D143&gt;='Reeksen (N)'!B143,0,IF('Reeksen (N)'!AD143&gt;'Reeksen (N)'!AE143,('Reeksen (N)'!B143-'Reeksen (N)'!D143)*X143,0))</f>
        <v>0</v>
      </c>
      <c r="AC143" s="99">
        <f t="shared" ca="1" si="25"/>
        <v>0</v>
      </c>
      <c r="AD143" s="98">
        <f ca="1">IF('Invoer gegevens (N)'!$C$17=E143,R143,IF(C143=0,0,AE142))</f>
        <v>0</v>
      </c>
      <c r="AE143" s="98">
        <f t="shared" ca="1" si="26"/>
        <v>0</v>
      </c>
      <c r="AF143" s="98">
        <f ca="1">IF('Invoer gegevens (N)'!$C$17=E143,X143,IF(C143=0,0,AG142))</f>
        <v>0</v>
      </c>
      <c r="AG143" s="98">
        <f t="shared" ca="1" si="27"/>
        <v>0</v>
      </c>
      <c r="AH143" s="66"/>
      <c r="AI143" s="71">
        <f ca="1">IF(C143=1,'Reeksen (N)'!AI143*((F143-G143+F143)/2)*12+'Reeksen (N)'!AD143*((L143-M143+L143)/2)*12,0)</f>
        <v>0</v>
      </c>
      <c r="AJ143" s="71">
        <f ca="1">-AI143*'Invoer gegevens (N)'!$F$28</f>
        <v>0</v>
      </c>
      <c r="AK143" s="71">
        <f t="shared" ca="1" si="28"/>
        <v>0</v>
      </c>
      <c r="AL143" s="71">
        <f ca="1">IF(C143=1,'Reeksen (N)'!AL143*((F143-G143+F143)/2)*12+'Reeksen (N)'!AM143*((L143-M143+L143)/2)*12,0)</f>
        <v>0</v>
      </c>
      <c r="AM143" s="71">
        <f ca="1">-AL143*'Invoer gegevens (N)'!$F$31</f>
        <v>0</v>
      </c>
      <c r="AN143" s="71">
        <f t="shared" ca="1" si="29"/>
        <v>0</v>
      </c>
      <c r="AO143" s="71">
        <f ca="1">IF(C143=1,(H143+J143+N143+P143)*'Reeksen (N)'!AN143,0)</f>
        <v>0</v>
      </c>
      <c r="AP143" s="71">
        <f ca="1">-IF(C143=1,(H143+J143+N143+P143)*'Hulp - basis'!$O$550*'Reeksen (N)'!H143,0)</f>
        <v>0</v>
      </c>
      <c r="AQ143" s="71">
        <f ca="1">-IF(C143=1,(F143+K143+L143+Q143)/2*'Invoer gegevens (N)'!$F$35*'Reeksen (N)'!J143,0)*2</f>
        <v>0</v>
      </c>
      <c r="AR143" s="71"/>
      <c r="AS143" s="71">
        <f ca="1">-IF(C143=1,(F143+K143+L143+Q143)/2*'Invoer gegevens (N)'!$F$37*'Reeksen (N)'!L143,0)</f>
        <v>0</v>
      </c>
      <c r="AT143" s="71">
        <f ca="1">-IF(C143=1,IF(E143='Invoer gegevens (N)'!$C$17,'Invoer gegevens (N)'!$C$11,AD143)*'Reeksen (N)'!S143*'Invoer gegevens (N)'!$C$18*'Reeksen (N)'!P143,0)</f>
        <v>0</v>
      </c>
      <c r="AU143" s="71">
        <f ca="1">-IF(C143=1,(F143+K143+L143+Q143)/2*'Invoer gegevens (N)'!$F$38*'Reeksen (N)'!H143,0)</f>
        <v>0</v>
      </c>
      <c r="AV143" s="71">
        <v>0</v>
      </c>
      <c r="AW143" s="71">
        <f t="shared" ca="1" si="30"/>
        <v>0</v>
      </c>
      <c r="AX143" s="71">
        <f ca="1">IF(E143&lt;'Invoer gegevens (N)'!$C$17+15,0,IF(E143&gt;'Invoer gegevens (N)'!$C$17+215,0,AW143))</f>
        <v>0</v>
      </c>
      <c r="AY143" s="71">
        <f ca="1">AX143/(1+'Invoer gegevens (N)'!$F$18)^($AZ143-('Invoer gegevens (N)'!$C$17-'Invoer gegevens (N)'!$C$16))/(1+'Invoer gegevens (N)'!$C$39)^('Invoer gegevens (N)'!$C$17-'Invoer gegevens (N)'!$C$16)</f>
        <v>0</v>
      </c>
      <c r="AZ143" s="68">
        <f ca="1">IF(E143-'Invoer gegevens (N)'!$C$17-14.5&lt;0,0,E143-'Invoer gegevens (N)'!$C$17-14.5)</f>
        <v>123.5</v>
      </c>
    </row>
    <row r="144" spans="1:52" x14ac:dyDescent="0.25">
      <c r="A144" s="59"/>
      <c r="B144" s="70">
        <f t="shared" si="31"/>
        <v>140</v>
      </c>
      <c r="C144" s="67">
        <f ca="1">IF(E144-'Invoer gegevens (N)'!$C$17&lt;0,0,1)</f>
        <v>1</v>
      </c>
      <c r="D144" s="68">
        <f t="shared" si="32"/>
        <v>139.5</v>
      </c>
      <c r="E144" s="69">
        <f ca="1">IF('Invoer gegevens (N)'!$C$16="","",E143+1)</f>
        <v>2158</v>
      </c>
      <c r="F144" s="84">
        <f ca="1">IF('Invoer gegevens (N)'!$C$17=E144,'Invoer gegevens (N)'!$C$10,IF(C144=1,K143,0))</f>
        <v>0</v>
      </c>
      <c r="G144" s="96">
        <f ca="1">IF(C144&gt;=1,F144*VLOOKUP(E144,'Reeksen (N)'!$A$5:$B$76,2),0)</f>
        <v>0</v>
      </c>
      <c r="H144" s="84">
        <f ca="1">(1-('Invoer gegevens (N)'!$F$20/12))*F144*MIN('Reeksen (N)'!B144,'Reeksen (N)'!D144)</f>
        <v>0</v>
      </c>
      <c r="I144" s="84">
        <f>IF('Reeksen (N)'!D144&lt;'Reeksen (N)'!B144,('Reeksen (N)'!B144-'Reeksen (N)'!D144)*F144,0)</f>
        <v>0</v>
      </c>
      <c r="J144" s="84">
        <f ca="1">('Invoer gegevens (N)'!$F$20/12)*F143*MIN('Reeksen (N)'!B143,'Reeksen (N)'!D143)</f>
        <v>0</v>
      </c>
      <c r="K144" s="97">
        <f t="shared" ca="1" si="22"/>
        <v>0</v>
      </c>
      <c r="L144" s="84">
        <f ca="1">IF('Invoer gegevens (N)'!$C$17=E144,0,IF(C144=1,Q143,0))</f>
        <v>0</v>
      </c>
      <c r="M144" s="96">
        <f ca="1">IF(C144&gt;=1,L144*VLOOKUP(E144,'Reeksen (N)'!$A$5:$B$76,2),0)</f>
        <v>0</v>
      </c>
      <c r="N144" s="84">
        <f ca="1">(1-('Invoer gegevens (N)'!$F$20/12))*L144*MIN('Reeksen (N)'!B144,'Reeksen (N)'!D144)</f>
        <v>0</v>
      </c>
      <c r="O144" s="84">
        <f>IF('Reeksen (N)'!D144&lt;'Reeksen (N)'!B144,('Reeksen (N)'!B144-'Reeksen (N)'!D144)*L144,0)</f>
        <v>0</v>
      </c>
      <c r="P144" s="84">
        <f ca="1">('Invoer gegevens (N)'!$F$20/12)*L143*MIN('Reeksen (N)'!B143,'Reeksen (N)'!D143)</f>
        <v>0</v>
      </c>
      <c r="Q144" s="84">
        <f t="shared" ca="1" si="23"/>
        <v>0</v>
      </c>
      <c r="R144" s="82">
        <f ca="1">IF('Invoer gegevens (N)'!$C$17=E144,'Invoer gegevens (N)'!$C$11,IF(C144=1,W143,0))</f>
        <v>0</v>
      </c>
      <c r="S144" s="86">
        <f ca="1">IF(C144&gt;=1,R144*VLOOKUP(E144,'Reeksen (N)'!$A$5:$B$76,2),0)</f>
        <v>0</v>
      </c>
      <c r="T144" s="84">
        <f ca="1">(1-('Invoer gegevens (N)'!$F$20/12))*R144*MIN('Reeksen (N)'!B144,'Reeksen (N)'!D144)</f>
        <v>0</v>
      </c>
      <c r="U144" s="84">
        <f>IF('Reeksen (N)'!D144&gt;='Reeksen (N)'!B144,0,IF('Reeksen (N)'!AD144&lt;='Reeksen (N)'!AE144,('Reeksen (N)'!B144-'Reeksen (N)'!D144)*R144,0))</f>
        <v>0</v>
      </c>
      <c r="V144" s="86">
        <f>IF('Reeksen (N)'!D144&gt;='Reeksen (N)'!B144,0,IF('Reeksen (N)'!AD144&gt;'Reeksen (N)'!AE144,('Reeksen (N)'!B144-'Reeksen (N)'!D144)*R144,0))</f>
        <v>0</v>
      </c>
      <c r="W144" s="97">
        <f t="shared" ca="1" si="24"/>
        <v>0</v>
      </c>
      <c r="X144" s="98">
        <f ca="1">IF('Invoer gegevens (N)'!$C$17=E144,'Invoer gegevens (N)'!$C$10-'Invoer gegevens (N)'!$C$11,IF(C144=1,AC143,0))</f>
        <v>0</v>
      </c>
      <c r="Y144" s="98">
        <f ca="1">IF(C144&gt;=1,X144*VLOOKUP(E144,'Reeksen (N)'!$A$5:$B$76,2),0)</f>
        <v>0</v>
      </c>
      <c r="Z144" s="98">
        <f ca="1">(1-('Invoer gegevens (N)'!$F$20/12))*X144*MIN('Reeksen (N)'!B144,'Reeksen (N)'!D144)</f>
        <v>0</v>
      </c>
      <c r="AA144" s="98">
        <f>IF('Reeksen (N)'!D144&gt;='Reeksen (N)'!B144,0,IF('Reeksen (N)'!AD144&lt;='Reeksen (N)'!AE144,('Reeksen (N)'!B144-'Reeksen (N)'!D144)*X144,0))</f>
        <v>0</v>
      </c>
      <c r="AB144" s="98">
        <f>IF('Reeksen (N)'!D144&gt;='Reeksen (N)'!B144,0,IF('Reeksen (N)'!AD144&gt;'Reeksen (N)'!AE144,('Reeksen (N)'!B144-'Reeksen (N)'!D144)*X144,0))</f>
        <v>0</v>
      </c>
      <c r="AC144" s="99">
        <f t="shared" ca="1" si="25"/>
        <v>0</v>
      </c>
      <c r="AD144" s="98">
        <f ca="1">IF('Invoer gegevens (N)'!$C$17=E144,R144,IF(C144=0,0,AE143))</f>
        <v>0</v>
      </c>
      <c r="AE144" s="98">
        <f t="shared" ca="1" si="26"/>
        <v>0</v>
      </c>
      <c r="AF144" s="98">
        <f ca="1">IF('Invoer gegevens (N)'!$C$17=E144,X144,IF(C144=0,0,AG143))</f>
        <v>0</v>
      </c>
      <c r="AG144" s="98">
        <f t="shared" ca="1" si="27"/>
        <v>0</v>
      </c>
      <c r="AH144" s="66"/>
      <c r="AI144" s="71">
        <f ca="1">IF(C144=1,'Reeksen (N)'!AI144*((F144-G144+F144)/2)*12+'Reeksen (N)'!AD144*((L144-M144+L144)/2)*12,0)</f>
        <v>0</v>
      </c>
      <c r="AJ144" s="71">
        <f ca="1">-AI144*'Invoer gegevens (N)'!$F$28</f>
        <v>0</v>
      </c>
      <c r="AK144" s="71">
        <f t="shared" ca="1" si="28"/>
        <v>0</v>
      </c>
      <c r="AL144" s="71">
        <f ca="1">IF(C144=1,'Reeksen (N)'!AL144*((F144-G144+F144)/2)*12+'Reeksen (N)'!AM144*((L144-M144+L144)/2)*12,0)</f>
        <v>0</v>
      </c>
      <c r="AM144" s="71">
        <f ca="1">-AL144*'Invoer gegevens (N)'!$F$31</f>
        <v>0</v>
      </c>
      <c r="AN144" s="71">
        <f t="shared" ca="1" si="29"/>
        <v>0</v>
      </c>
      <c r="AO144" s="71">
        <f ca="1">IF(C144=1,(H144+J144+N144+P144)*'Reeksen (N)'!AN144,0)</f>
        <v>0</v>
      </c>
      <c r="AP144" s="71">
        <f ca="1">-IF(C144=1,(H144+J144+N144+P144)*'Hulp - basis'!$O$550*'Reeksen (N)'!H144,0)</f>
        <v>0</v>
      </c>
      <c r="AQ144" s="71">
        <f ca="1">-IF(C144=1,(F144+K144+L144+Q144)/2*'Invoer gegevens (N)'!$F$35*'Reeksen (N)'!J144,0)*2</f>
        <v>0</v>
      </c>
      <c r="AR144" s="71"/>
      <c r="AS144" s="71">
        <f ca="1">-IF(C144=1,(F144+K144+L144+Q144)/2*'Invoer gegevens (N)'!$F$37*'Reeksen (N)'!L144,0)</f>
        <v>0</v>
      </c>
      <c r="AT144" s="71">
        <f ca="1">-IF(C144=1,IF(E144='Invoer gegevens (N)'!$C$17,'Invoer gegevens (N)'!$C$11,AD144)*'Reeksen (N)'!S144*'Invoer gegevens (N)'!$C$18*'Reeksen (N)'!P144,0)</f>
        <v>0</v>
      </c>
      <c r="AU144" s="71">
        <f ca="1">-IF(C144=1,(F144+K144+L144+Q144)/2*'Invoer gegevens (N)'!$F$38*'Reeksen (N)'!H144,0)</f>
        <v>0</v>
      </c>
      <c r="AV144" s="71">
        <v>0</v>
      </c>
      <c r="AW144" s="71">
        <f t="shared" ca="1" si="30"/>
        <v>0</v>
      </c>
      <c r="AX144" s="71">
        <f ca="1">IF(E144&lt;'Invoer gegevens (N)'!$C$17+15,0,IF(E144&gt;'Invoer gegevens (N)'!$C$17+215,0,AW144))</f>
        <v>0</v>
      </c>
      <c r="AY144" s="71">
        <f ca="1">AX144/(1+'Invoer gegevens (N)'!$F$18)^($AZ144-('Invoer gegevens (N)'!$C$17-'Invoer gegevens (N)'!$C$16))/(1+'Invoer gegevens (N)'!$C$39)^('Invoer gegevens (N)'!$C$17-'Invoer gegevens (N)'!$C$16)</f>
        <v>0</v>
      </c>
      <c r="AZ144" s="68">
        <f ca="1">IF(E144-'Invoer gegevens (N)'!$C$17-14.5&lt;0,0,E144-'Invoer gegevens (N)'!$C$17-14.5)</f>
        <v>124.5</v>
      </c>
    </row>
    <row r="145" spans="1:52" x14ac:dyDescent="0.25">
      <c r="A145" s="59"/>
      <c r="B145" s="70">
        <f t="shared" si="31"/>
        <v>141</v>
      </c>
      <c r="C145" s="67">
        <f ca="1">IF(E145-'Invoer gegevens (N)'!$C$17&lt;0,0,1)</f>
        <v>1</v>
      </c>
      <c r="D145" s="68">
        <f t="shared" si="32"/>
        <v>140.5</v>
      </c>
      <c r="E145" s="69">
        <f ca="1">IF('Invoer gegevens (N)'!$C$16="","",E144+1)</f>
        <v>2159</v>
      </c>
      <c r="F145" s="84">
        <f ca="1">IF('Invoer gegevens (N)'!$C$17=E145,'Invoer gegevens (N)'!$C$10,IF(C145=1,K144,0))</f>
        <v>0</v>
      </c>
      <c r="G145" s="96">
        <f ca="1">IF(C145&gt;=1,F145*VLOOKUP(E145,'Reeksen (N)'!$A$5:$B$76,2),0)</f>
        <v>0</v>
      </c>
      <c r="H145" s="84">
        <f ca="1">(1-('Invoer gegevens (N)'!$F$20/12))*F145*MIN('Reeksen (N)'!B145,'Reeksen (N)'!D145)</f>
        <v>0</v>
      </c>
      <c r="I145" s="84">
        <f>IF('Reeksen (N)'!D145&lt;'Reeksen (N)'!B145,('Reeksen (N)'!B145-'Reeksen (N)'!D145)*F145,0)</f>
        <v>0</v>
      </c>
      <c r="J145" s="84">
        <f ca="1">('Invoer gegevens (N)'!$F$20/12)*F144*MIN('Reeksen (N)'!B144,'Reeksen (N)'!D144)</f>
        <v>0</v>
      </c>
      <c r="K145" s="97">
        <f t="shared" ca="1" si="22"/>
        <v>0</v>
      </c>
      <c r="L145" s="84">
        <f ca="1">IF('Invoer gegevens (N)'!$C$17=E145,0,IF(C145=1,Q144,0))</f>
        <v>0</v>
      </c>
      <c r="M145" s="96">
        <f ca="1">IF(C145&gt;=1,L145*VLOOKUP(E145,'Reeksen (N)'!$A$5:$B$76,2),0)</f>
        <v>0</v>
      </c>
      <c r="N145" s="84">
        <f ca="1">(1-('Invoer gegevens (N)'!$F$20/12))*L145*MIN('Reeksen (N)'!B145,'Reeksen (N)'!D145)</f>
        <v>0</v>
      </c>
      <c r="O145" s="84">
        <f>IF('Reeksen (N)'!D145&lt;'Reeksen (N)'!B145,('Reeksen (N)'!B145-'Reeksen (N)'!D145)*L145,0)</f>
        <v>0</v>
      </c>
      <c r="P145" s="84">
        <f ca="1">('Invoer gegevens (N)'!$F$20/12)*L144*MIN('Reeksen (N)'!B144,'Reeksen (N)'!D144)</f>
        <v>0</v>
      </c>
      <c r="Q145" s="84">
        <f t="shared" ca="1" si="23"/>
        <v>0</v>
      </c>
      <c r="R145" s="82">
        <f ca="1">IF('Invoer gegevens (N)'!$C$17=E145,'Invoer gegevens (N)'!$C$11,IF(C145=1,W144,0))</f>
        <v>0</v>
      </c>
      <c r="S145" s="86">
        <f ca="1">IF(C145&gt;=1,R145*VLOOKUP(E145,'Reeksen (N)'!$A$5:$B$76,2),0)</f>
        <v>0</v>
      </c>
      <c r="T145" s="84">
        <f ca="1">(1-('Invoer gegevens (N)'!$F$20/12))*R145*MIN('Reeksen (N)'!B145,'Reeksen (N)'!D145)</f>
        <v>0</v>
      </c>
      <c r="U145" s="84">
        <f>IF('Reeksen (N)'!D145&gt;='Reeksen (N)'!B145,0,IF('Reeksen (N)'!AD145&lt;='Reeksen (N)'!AE145,('Reeksen (N)'!B145-'Reeksen (N)'!D145)*R145,0))</f>
        <v>0</v>
      </c>
      <c r="V145" s="86">
        <f>IF('Reeksen (N)'!D145&gt;='Reeksen (N)'!B145,0,IF('Reeksen (N)'!AD145&gt;'Reeksen (N)'!AE145,('Reeksen (N)'!B145-'Reeksen (N)'!D145)*R145,0))</f>
        <v>0</v>
      </c>
      <c r="W145" s="97">
        <f t="shared" ca="1" si="24"/>
        <v>0</v>
      </c>
      <c r="X145" s="98">
        <f ca="1">IF('Invoer gegevens (N)'!$C$17=E145,'Invoer gegevens (N)'!$C$10-'Invoer gegevens (N)'!$C$11,IF(C145=1,AC144,0))</f>
        <v>0</v>
      </c>
      <c r="Y145" s="98">
        <f ca="1">IF(C145&gt;=1,X145*VLOOKUP(E145,'Reeksen (N)'!$A$5:$B$76,2),0)</f>
        <v>0</v>
      </c>
      <c r="Z145" s="98">
        <f ca="1">(1-('Invoer gegevens (N)'!$F$20/12))*X145*MIN('Reeksen (N)'!B145,'Reeksen (N)'!D145)</f>
        <v>0</v>
      </c>
      <c r="AA145" s="98">
        <f>IF('Reeksen (N)'!D145&gt;='Reeksen (N)'!B145,0,IF('Reeksen (N)'!AD145&lt;='Reeksen (N)'!AE145,('Reeksen (N)'!B145-'Reeksen (N)'!D145)*X145,0))</f>
        <v>0</v>
      </c>
      <c r="AB145" s="98">
        <f>IF('Reeksen (N)'!D145&gt;='Reeksen (N)'!B145,0,IF('Reeksen (N)'!AD145&gt;'Reeksen (N)'!AE145,('Reeksen (N)'!B145-'Reeksen (N)'!D145)*X145,0))</f>
        <v>0</v>
      </c>
      <c r="AC145" s="99">
        <f t="shared" ca="1" si="25"/>
        <v>0</v>
      </c>
      <c r="AD145" s="98">
        <f ca="1">IF('Invoer gegevens (N)'!$C$17=E145,R145,IF(C145=0,0,AE144))</f>
        <v>0</v>
      </c>
      <c r="AE145" s="98">
        <f t="shared" ca="1" si="26"/>
        <v>0</v>
      </c>
      <c r="AF145" s="98">
        <f ca="1">IF('Invoer gegevens (N)'!$C$17=E145,X145,IF(C145=0,0,AG144))</f>
        <v>0</v>
      </c>
      <c r="AG145" s="98">
        <f t="shared" ca="1" si="27"/>
        <v>0</v>
      </c>
      <c r="AH145" s="66"/>
      <c r="AI145" s="71">
        <f ca="1">IF(C145=1,'Reeksen (N)'!AI145*((F145-G145+F145)/2)*12+'Reeksen (N)'!AD145*((L145-M145+L145)/2)*12,0)</f>
        <v>0</v>
      </c>
      <c r="AJ145" s="71">
        <f ca="1">-AI145*'Invoer gegevens (N)'!$F$28</f>
        <v>0</v>
      </c>
      <c r="AK145" s="71">
        <f t="shared" ca="1" si="28"/>
        <v>0</v>
      </c>
      <c r="AL145" s="71">
        <f ca="1">IF(C145=1,'Reeksen (N)'!AL145*((F145-G145+F145)/2)*12+'Reeksen (N)'!AM145*((L145-M145+L145)/2)*12,0)</f>
        <v>0</v>
      </c>
      <c r="AM145" s="71">
        <f ca="1">-AL145*'Invoer gegevens (N)'!$F$31</f>
        <v>0</v>
      </c>
      <c r="AN145" s="71">
        <f t="shared" ca="1" si="29"/>
        <v>0</v>
      </c>
      <c r="AO145" s="71">
        <f ca="1">IF(C145=1,(H145+J145+N145+P145)*'Reeksen (N)'!AN145,0)</f>
        <v>0</v>
      </c>
      <c r="AP145" s="71">
        <f ca="1">-IF(C145=1,(H145+J145+N145+P145)*'Hulp - basis'!$O$550*'Reeksen (N)'!H145,0)</f>
        <v>0</v>
      </c>
      <c r="AQ145" s="71">
        <f ca="1">-IF(C145=1,(F145+K145+L145+Q145)/2*'Invoer gegevens (N)'!$F$35*'Reeksen (N)'!J145,0)*2</f>
        <v>0</v>
      </c>
      <c r="AR145" s="71"/>
      <c r="AS145" s="71">
        <f ca="1">-IF(C145=1,(F145+K145+L145+Q145)/2*'Invoer gegevens (N)'!$F$37*'Reeksen (N)'!L145,0)</f>
        <v>0</v>
      </c>
      <c r="AT145" s="71">
        <f ca="1">-IF(C145=1,IF(E145='Invoer gegevens (N)'!$C$17,'Invoer gegevens (N)'!$C$11,AD145)*'Reeksen (N)'!S145*'Invoer gegevens (N)'!$C$18*'Reeksen (N)'!P145,0)</f>
        <v>0</v>
      </c>
      <c r="AU145" s="71">
        <f ca="1">-IF(C145=1,(F145+K145+L145+Q145)/2*'Invoer gegevens (N)'!$F$38*'Reeksen (N)'!H145,0)</f>
        <v>0</v>
      </c>
      <c r="AV145" s="71">
        <v>0</v>
      </c>
      <c r="AW145" s="71">
        <f t="shared" ca="1" si="30"/>
        <v>0</v>
      </c>
      <c r="AX145" s="71">
        <f ca="1">IF(E145&lt;'Invoer gegevens (N)'!$C$17+15,0,IF(E145&gt;'Invoer gegevens (N)'!$C$17+215,0,AW145))</f>
        <v>0</v>
      </c>
      <c r="AY145" s="71">
        <f ca="1">AX145/(1+'Invoer gegevens (N)'!$F$18)^($AZ145-('Invoer gegevens (N)'!$C$17-'Invoer gegevens (N)'!$C$16))/(1+'Invoer gegevens (N)'!$C$39)^('Invoer gegevens (N)'!$C$17-'Invoer gegevens (N)'!$C$16)</f>
        <v>0</v>
      </c>
      <c r="AZ145" s="68">
        <f ca="1">IF(E145-'Invoer gegevens (N)'!$C$17-14.5&lt;0,0,E145-'Invoer gegevens (N)'!$C$17-14.5)</f>
        <v>125.5</v>
      </c>
    </row>
    <row r="146" spans="1:52" x14ac:dyDescent="0.25">
      <c r="A146" s="59"/>
      <c r="B146" s="70">
        <f t="shared" si="31"/>
        <v>142</v>
      </c>
      <c r="C146" s="67">
        <f ca="1">IF(E146-'Invoer gegevens (N)'!$C$17&lt;0,0,1)</f>
        <v>1</v>
      </c>
      <c r="D146" s="68">
        <f t="shared" si="32"/>
        <v>141.5</v>
      </c>
      <c r="E146" s="69">
        <f ca="1">IF('Invoer gegevens (N)'!$C$16="","",E145+1)</f>
        <v>2160</v>
      </c>
      <c r="F146" s="84">
        <f ca="1">IF('Invoer gegevens (N)'!$C$17=E146,'Invoer gegevens (N)'!$C$10,IF(C146=1,K145,0))</f>
        <v>0</v>
      </c>
      <c r="G146" s="96">
        <f ca="1">IF(C146&gt;=1,F146*VLOOKUP(E146,'Reeksen (N)'!$A$5:$B$76,2),0)</f>
        <v>0</v>
      </c>
      <c r="H146" s="84">
        <f ca="1">(1-('Invoer gegevens (N)'!$F$20/12))*F146*MIN('Reeksen (N)'!B146,'Reeksen (N)'!D146)</f>
        <v>0</v>
      </c>
      <c r="I146" s="84">
        <f>IF('Reeksen (N)'!D146&lt;'Reeksen (N)'!B146,('Reeksen (N)'!B146-'Reeksen (N)'!D146)*F146,0)</f>
        <v>0</v>
      </c>
      <c r="J146" s="84">
        <f ca="1">('Invoer gegevens (N)'!$F$20/12)*F145*MIN('Reeksen (N)'!B145,'Reeksen (N)'!D145)</f>
        <v>0</v>
      </c>
      <c r="K146" s="97">
        <f t="shared" ca="1" si="22"/>
        <v>0</v>
      </c>
      <c r="L146" s="84">
        <f ca="1">IF('Invoer gegevens (N)'!$C$17=E146,0,IF(C146=1,Q145,0))</f>
        <v>0</v>
      </c>
      <c r="M146" s="96">
        <f ca="1">IF(C146&gt;=1,L146*VLOOKUP(E146,'Reeksen (N)'!$A$5:$B$76,2),0)</f>
        <v>0</v>
      </c>
      <c r="N146" s="84">
        <f ca="1">(1-('Invoer gegevens (N)'!$F$20/12))*L146*MIN('Reeksen (N)'!B146,'Reeksen (N)'!D146)</f>
        <v>0</v>
      </c>
      <c r="O146" s="84">
        <f>IF('Reeksen (N)'!D146&lt;'Reeksen (N)'!B146,('Reeksen (N)'!B146-'Reeksen (N)'!D146)*L146,0)</f>
        <v>0</v>
      </c>
      <c r="P146" s="84">
        <f ca="1">('Invoer gegevens (N)'!$F$20/12)*L145*MIN('Reeksen (N)'!B145,'Reeksen (N)'!D145)</f>
        <v>0</v>
      </c>
      <c r="Q146" s="84">
        <f t="shared" ca="1" si="23"/>
        <v>0</v>
      </c>
      <c r="R146" s="82">
        <f ca="1">IF('Invoer gegevens (N)'!$C$17=E146,'Invoer gegevens (N)'!$C$11,IF(C146=1,W145,0))</f>
        <v>0</v>
      </c>
      <c r="S146" s="86">
        <f ca="1">IF(C146&gt;=1,R146*VLOOKUP(E146,'Reeksen (N)'!$A$5:$B$76,2),0)</f>
        <v>0</v>
      </c>
      <c r="T146" s="84">
        <f ca="1">(1-('Invoer gegevens (N)'!$F$20/12))*R146*MIN('Reeksen (N)'!B146,'Reeksen (N)'!D146)</f>
        <v>0</v>
      </c>
      <c r="U146" s="84">
        <f>IF('Reeksen (N)'!D146&gt;='Reeksen (N)'!B146,0,IF('Reeksen (N)'!AD146&lt;='Reeksen (N)'!AE146,('Reeksen (N)'!B146-'Reeksen (N)'!D146)*R146,0))</f>
        <v>0</v>
      </c>
      <c r="V146" s="86">
        <f>IF('Reeksen (N)'!D146&gt;='Reeksen (N)'!B146,0,IF('Reeksen (N)'!AD146&gt;'Reeksen (N)'!AE146,('Reeksen (N)'!B146-'Reeksen (N)'!D146)*R146,0))</f>
        <v>0</v>
      </c>
      <c r="W146" s="97">
        <f t="shared" ca="1" si="24"/>
        <v>0</v>
      </c>
      <c r="X146" s="98">
        <f ca="1">IF('Invoer gegevens (N)'!$C$17=E146,'Invoer gegevens (N)'!$C$10-'Invoer gegevens (N)'!$C$11,IF(C146=1,AC145,0))</f>
        <v>0</v>
      </c>
      <c r="Y146" s="98">
        <f ca="1">IF(C146&gt;=1,X146*VLOOKUP(E146,'Reeksen (N)'!$A$5:$B$76,2),0)</f>
        <v>0</v>
      </c>
      <c r="Z146" s="98">
        <f ca="1">(1-('Invoer gegevens (N)'!$F$20/12))*X146*MIN('Reeksen (N)'!B146,'Reeksen (N)'!D146)</f>
        <v>0</v>
      </c>
      <c r="AA146" s="98">
        <f>IF('Reeksen (N)'!D146&gt;='Reeksen (N)'!B146,0,IF('Reeksen (N)'!AD146&lt;='Reeksen (N)'!AE146,('Reeksen (N)'!B146-'Reeksen (N)'!D146)*X146,0))</f>
        <v>0</v>
      </c>
      <c r="AB146" s="98">
        <f>IF('Reeksen (N)'!D146&gt;='Reeksen (N)'!B146,0,IF('Reeksen (N)'!AD146&gt;'Reeksen (N)'!AE146,('Reeksen (N)'!B146-'Reeksen (N)'!D146)*X146,0))</f>
        <v>0</v>
      </c>
      <c r="AC146" s="99">
        <f t="shared" ca="1" si="25"/>
        <v>0</v>
      </c>
      <c r="AD146" s="98">
        <f ca="1">IF('Invoer gegevens (N)'!$C$17=E146,R146,IF(C146=0,0,AE145))</f>
        <v>0</v>
      </c>
      <c r="AE146" s="98">
        <f t="shared" ca="1" si="26"/>
        <v>0</v>
      </c>
      <c r="AF146" s="98">
        <f ca="1">IF('Invoer gegevens (N)'!$C$17=E146,X146,IF(C146=0,0,AG145))</f>
        <v>0</v>
      </c>
      <c r="AG146" s="98">
        <f t="shared" ca="1" si="27"/>
        <v>0</v>
      </c>
      <c r="AH146" s="66"/>
      <c r="AI146" s="71">
        <f ca="1">IF(C146=1,'Reeksen (N)'!AI146*((F146-G146+F146)/2)*12+'Reeksen (N)'!AD146*((L146-M146+L146)/2)*12,0)</f>
        <v>0</v>
      </c>
      <c r="AJ146" s="71">
        <f ca="1">-AI146*'Invoer gegevens (N)'!$F$28</f>
        <v>0</v>
      </c>
      <c r="AK146" s="71">
        <f t="shared" ca="1" si="28"/>
        <v>0</v>
      </c>
      <c r="AL146" s="71">
        <f ca="1">IF(C146=1,'Reeksen (N)'!AL146*((F146-G146+F146)/2)*12+'Reeksen (N)'!AM146*((L146-M146+L146)/2)*12,0)</f>
        <v>0</v>
      </c>
      <c r="AM146" s="71">
        <f ca="1">-AL146*'Invoer gegevens (N)'!$F$31</f>
        <v>0</v>
      </c>
      <c r="AN146" s="71">
        <f t="shared" ca="1" si="29"/>
        <v>0</v>
      </c>
      <c r="AO146" s="71">
        <f ca="1">IF(C146=1,(H146+J146+N146+P146)*'Reeksen (N)'!AN146,0)</f>
        <v>0</v>
      </c>
      <c r="AP146" s="71">
        <f ca="1">-IF(C146=1,(H146+J146+N146+P146)*'Hulp - basis'!$O$550*'Reeksen (N)'!H146,0)</f>
        <v>0</v>
      </c>
      <c r="AQ146" s="71">
        <f ca="1">-IF(C146=1,(F146+K146+L146+Q146)/2*'Invoer gegevens (N)'!$F$35*'Reeksen (N)'!J146,0)*2</f>
        <v>0</v>
      </c>
      <c r="AR146" s="71"/>
      <c r="AS146" s="71">
        <f ca="1">-IF(C146=1,(F146+K146+L146+Q146)/2*'Invoer gegevens (N)'!$F$37*'Reeksen (N)'!L146,0)</f>
        <v>0</v>
      </c>
      <c r="AT146" s="71">
        <f ca="1">-IF(C146=1,IF(E146='Invoer gegevens (N)'!$C$17,'Invoer gegevens (N)'!$C$11,AD146)*'Reeksen (N)'!S146*'Invoer gegevens (N)'!$C$18*'Reeksen (N)'!P146,0)</f>
        <v>0</v>
      </c>
      <c r="AU146" s="71">
        <f ca="1">-IF(C146=1,(F146+K146+L146+Q146)/2*'Invoer gegevens (N)'!$F$38*'Reeksen (N)'!H146,0)</f>
        <v>0</v>
      </c>
      <c r="AV146" s="71">
        <v>0</v>
      </c>
      <c r="AW146" s="71">
        <f t="shared" ca="1" si="30"/>
        <v>0</v>
      </c>
      <c r="AX146" s="71">
        <f ca="1">IF(E146&lt;'Invoer gegevens (N)'!$C$17+15,0,IF(E146&gt;'Invoer gegevens (N)'!$C$17+215,0,AW146))</f>
        <v>0</v>
      </c>
      <c r="AY146" s="71">
        <f ca="1">AX146/(1+'Invoer gegevens (N)'!$F$18)^($AZ146-('Invoer gegevens (N)'!$C$17-'Invoer gegevens (N)'!$C$16))/(1+'Invoer gegevens (N)'!$C$39)^('Invoer gegevens (N)'!$C$17-'Invoer gegevens (N)'!$C$16)</f>
        <v>0</v>
      </c>
      <c r="AZ146" s="68">
        <f ca="1">IF(E146-'Invoer gegevens (N)'!$C$17-14.5&lt;0,0,E146-'Invoer gegevens (N)'!$C$17-14.5)</f>
        <v>126.5</v>
      </c>
    </row>
    <row r="147" spans="1:52" x14ac:dyDescent="0.25">
      <c r="A147" s="59"/>
      <c r="B147" s="70">
        <f t="shared" si="31"/>
        <v>143</v>
      </c>
      <c r="C147" s="67">
        <f ca="1">IF(E147-'Invoer gegevens (N)'!$C$17&lt;0,0,1)</f>
        <v>1</v>
      </c>
      <c r="D147" s="68">
        <f t="shared" si="32"/>
        <v>142.5</v>
      </c>
      <c r="E147" s="69">
        <f ca="1">IF('Invoer gegevens (N)'!$C$16="","",E146+1)</f>
        <v>2161</v>
      </c>
      <c r="F147" s="84">
        <f ca="1">IF('Invoer gegevens (N)'!$C$17=E147,'Invoer gegevens (N)'!$C$10,IF(C147=1,K146,0))</f>
        <v>0</v>
      </c>
      <c r="G147" s="96">
        <f ca="1">IF(C147&gt;=1,F147*VLOOKUP(E147,'Reeksen (N)'!$A$5:$B$76,2),0)</f>
        <v>0</v>
      </c>
      <c r="H147" s="84">
        <f ca="1">(1-('Invoer gegevens (N)'!$F$20/12))*F147*MIN('Reeksen (N)'!B147,'Reeksen (N)'!D147)</f>
        <v>0</v>
      </c>
      <c r="I147" s="84">
        <f>IF('Reeksen (N)'!D147&lt;'Reeksen (N)'!B147,('Reeksen (N)'!B147-'Reeksen (N)'!D147)*F147,0)</f>
        <v>0</v>
      </c>
      <c r="J147" s="84">
        <f ca="1">('Invoer gegevens (N)'!$F$20/12)*F146*MIN('Reeksen (N)'!B146,'Reeksen (N)'!D146)</f>
        <v>0</v>
      </c>
      <c r="K147" s="97">
        <f t="shared" ca="1" si="22"/>
        <v>0</v>
      </c>
      <c r="L147" s="84">
        <f ca="1">IF('Invoer gegevens (N)'!$C$17=E147,0,IF(C147=1,Q146,0))</f>
        <v>0</v>
      </c>
      <c r="M147" s="96">
        <f ca="1">IF(C147&gt;=1,L147*VLOOKUP(E147,'Reeksen (N)'!$A$5:$B$76,2),0)</f>
        <v>0</v>
      </c>
      <c r="N147" s="84">
        <f ca="1">(1-('Invoer gegevens (N)'!$F$20/12))*L147*MIN('Reeksen (N)'!B147,'Reeksen (N)'!D147)</f>
        <v>0</v>
      </c>
      <c r="O147" s="84">
        <f>IF('Reeksen (N)'!D147&lt;'Reeksen (N)'!B147,('Reeksen (N)'!B147-'Reeksen (N)'!D147)*L147,0)</f>
        <v>0</v>
      </c>
      <c r="P147" s="84">
        <f ca="1">('Invoer gegevens (N)'!$F$20/12)*L146*MIN('Reeksen (N)'!B146,'Reeksen (N)'!D146)</f>
        <v>0</v>
      </c>
      <c r="Q147" s="84">
        <f t="shared" ca="1" si="23"/>
        <v>0</v>
      </c>
      <c r="R147" s="82">
        <f ca="1">IF('Invoer gegevens (N)'!$C$17=E147,'Invoer gegevens (N)'!$C$11,IF(C147=1,W146,0))</f>
        <v>0</v>
      </c>
      <c r="S147" s="86">
        <f ca="1">IF(C147&gt;=1,R147*VLOOKUP(E147,'Reeksen (N)'!$A$5:$B$76,2),0)</f>
        <v>0</v>
      </c>
      <c r="T147" s="84">
        <f ca="1">(1-('Invoer gegevens (N)'!$F$20/12))*R147*MIN('Reeksen (N)'!B147,'Reeksen (N)'!D147)</f>
        <v>0</v>
      </c>
      <c r="U147" s="84">
        <f>IF('Reeksen (N)'!D147&gt;='Reeksen (N)'!B147,0,IF('Reeksen (N)'!AD147&lt;='Reeksen (N)'!AE147,('Reeksen (N)'!B147-'Reeksen (N)'!D147)*R147,0))</f>
        <v>0</v>
      </c>
      <c r="V147" s="86">
        <f>IF('Reeksen (N)'!D147&gt;='Reeksen (N)'!B147,0,IF('Reeksen (N)'!AD147&gt;'Reeksen (N)'!AE147,('Reeksen (N)'!B147-'Reeksen (N)'!D147)*R147,0))</f>
        <v>0</v>
      </c>
      <c r="W147" s="97">
        <f t="shared" ca="1" si="24"/>
        <v>0</v>
      </c>
      <c r="X147" s="98">
        <f ca="1">IF('Invoer gegevens (N)'!$C$17=E147,'Invoer gegevens (N)'!$C$10-'Invoer gegevens (N)'!$C$11,IF(C147=1,AC146,0))</f>
        <v>0</v>
      </c>
      <c r="Y147" s="98">
        <f ca="1">IF(C147&gt;=1,X147*VLOOKUP(E147,'Reeksen (N)'!$A$5:$B$76,2),0)</f>
        <v>0</v>
      </c>
      <c r="Z147" s="98">
        <f ca="1">(1-('Invoer gegevens (N)'!$F$20/12))*X147*MIN('Reeksen (N)'!B147,'Reeksen (N)'!D147)</f>
        <v>0</v>
      </c>
      <c r="AA147" s="98">
        <f>IF('Reeksen (N)'!D147&gt;='Reeksen (N)'!B147,0,IF('Reeksen (N)'!AD147&lt;='Reeksen (N)'!AE147,('Reeksen (N)'!B147-'Reeksen (N)'!D147)*X147,0))</f>
        <v>0</v>
      </c>
      <c r="AB147" s="98">
        <f>IF('Reeksen (N)'!D147&gt;='Reeksen (N)'!B147,0,IF('Reeksen (N)'!AD147&gt;'Reeksen (N)'!AE147,('Reeksen (N)'!B147-'Reeksen (N)'!D147)*X147,0))</f>
        <v>0</v>
      </c>
      <c r="AC147" s="99">
        <f t="shared" ca="1" si="25"/>
        <v>0</v>
      </c>
      <c r="AD147" s="98">
        <f ca="1">IF('Invoer gegevens (N)'!$C$17=E147,R147,IF(C147=0,0,AE146))</f>
        <v>0</v>
      </c>
      <c r="AE147" s="98">
        <f t="shared" ca="1" si="26"/>
        <v>0</v>
      </c>
      <c r="AF147" s="98">
        <f ca="1">IF('Invoer gegevens (N)'!$C$17=E147,X147,IF(C147=0,0,AG146))</f>
        <v>0</v>
      </c>
      <c r="AG147" s="98">
        <f t="shared" ca="1" si="27"/>
        <v>0</v>
      </c>
      <c r="AH147" s="66"/>
      <c r="AI147" s="71">
        <f ca="1">IF(C147=1,'Reeksen (N)'!AI147*((F147-G147+F147)/2)*12+'Reeksen (N)'!AD147*((L147-M147+L147)/2)*12,0)</f>
        <v>0</v>
      </c>
      <c r="AJ147" s="71">
        <f ca="1">-AI147*'Invoer gegevens (N)'!$F$28</f>
        <v>0</v>
      </c>
      <c r="AK147" s="71">
        <f t="shared" ca="1" si="28"/>
        <v>0</v>
      </c>
      <c r="AL147" s="71">
        <f ca="1">IF(C147=1,'Reeksen (N)'!AL147*((F147-G147+F147)/2)*12+'Reeksen (N)'!AM147*((L147-M147+L147)/2)*12,0)</f>
        <v>0</v>
      </c>
      <c r="AM147" s="71">
        <f ca="1">-AL147*'Invoer gegevens (N)'!$F$31</f>
        <v>0</v>
      </c>
      <c r="AN147" s="71">
        <f t="shared" ca="1" si="29"/>
        <v>0</v>
      </c>
      <c r="AO147" s="71">
        <f ca="1">IF(C147=1,(H147+J147+N147+P147)*'Reeksen (N)'!AN147,0)</f>
        <v>0</v>
      </c>
      <c r="AP147" s="71">
        <f ca="1">-IF(C147=1,(H147+J147+N147+P147)*'Hulp - basis'!$O$550*'Reeksen (N)'!H147,0)</f>
        <v>0</v>
      </c>
      <c r="AQ147" s="71">
        <f ca="1">-IF(C147=1,(F147+K147+L147+Q147)/2*'Invoer gegevens (N)'!$F$35*'Reeksen (N)'!J147,0)*2</f>
        <v>0</v>
      </c>
      <c r="AR147" s="71"/>
      <c r="AS147" s="71">
        <f ca="1">-IF(C147=1,(F147+K147+L147+Q147)/2*'Invoer gegevens (N)'!$F$37*'Reeksen (N)'!L147,0)</f>
        <v>0</v>
      </c>
      <c r="AT147" s="71">
        <f ca="1">-IF(C147=1,IF(E147='Invoer gegevens (N)'!$C$17,'Invoer gegevens (N)'!$C$11,AD147)*'Reeksen (N)'!S147*'Invoer gegevens (N)'!$C$18*'Reeksen (N)'!P147,0)</f>
        <v>0</v>
      </c>
      <c r="AU147" s="71">
        <f ca="1">-IF(C147=1,(F147+K147+L147+Q147)/2*'Invoer gegevens (N)'!$F$38*'Reeksen (N)'!H147,0)</f>
        <v>0</v>
      </c>
      <c r="AV147" s="71">
        <v>0</v>
      </c>
      <c r="AW147" s="71">
        <f t="shared" ca="1" si="30"/>
        <v>0</v>
      </c>
      <c r="AX147" s="71">
        <f ca="1">IF(E147&lt;'Invoer gegevens (N)'!$C$17+15,0,IF(E147&gt;'Invoer gegevens (N)'!$C$17+215,0,AW147))</f>
        <v>0</v>
      </c>
      <c r="AY147" s="71">
        <f ca="1">AX147/(1+'Invoer gegevens (N)'!$F$18)^($AZ147-('Invoer gegevens (N)'!$C$17-'Invoer gegevens (N)'!$C$16))/(1+'Invoer gegevens (N)'!$C$39)^('Invoer gegevens (N)'!$C$17-'Invoer gegevens (N)'!$C$16)</f>
        <v>0</v>
      </c>
      <c r="AZ147" s="68">
        <f ca="1">IF(E147-'Invoer gegevens (N)'!$C$17-14.5&lt;0,0,E147-'Invoer gegevens (N)'!$C$17-14.5)</f>
        <v>127.5</v>
      </c>
    </row>
    <row r="148" spans="1:52" x14ac:dyDescent="0.25">
      <c r="A148" s="59"/>
      <c r="B148" s="70">
        <f t="shared" si="31"/>
        <v>144</v>
      </c>
      <c r="C148" s="67">
        <f ca="1">IF(E148-'Invoer gegevens (N)'!$C$17&lt;0,0,1)</f>
        <v>1</v>
      </c>
      <c r="D148" s="68">
        <f t="shared" si="32"/>
        <v>143.5</v>
      </c>
      <c r="E148" s="69">
        <f ca="1">IF('Invoer gegevens (N)'!$C$16="","",E147+1)</f>
        <v>2162</v>
      </c>
      <c r="F148" s="84">
        <f ca="1">IF('Invoer gegevens (N)'!$C$17=E148,'Invoer gegevens (N)'!$C$10,IF(C148=1,K147,0))</f>
        <v>0</v>
      </c>
      <c r="G148" s="96">
        <f ca="1">IF(C148&gt;=1,F148*VLOOKUP(E148,'Reeksen (N)'!$A$5:$B$76,2),0)</f>
        <v>0</v>
      </c>
      <c r="H148" s="84">
        <f ca="1">(1-('Invoer gegevens (N)'!$F$20/12))*F148*MIN('Reeksen (N)'!B148,'Reeksen (N)'!D148)</f>
        <v>0</v>
      </c>
      <c r="I148" s="84">
        <f>IF('Reeksen (N)'!D148&lt;'Reeksen (N)'!B148,('Reeksen (N)'!B148-'Reeksen (N)'!D148)*F148,0)</f>
        <v>0</v>
      </c>
      <c r="J148" s="84">
        <f ca="1">('Invoer gegevens (N)'!$F$20/12)*F147*MIN('Reeksen (N)'!B147,'Reeksen (N)'!D147)</f>
        <v>0</v>
      </c>
      <c r="K148" s="97">
        <f t="shared" ca="1" si="22"/>
        <v>0</v>
      </c>
      <c r="L148" s="84">
        <f ca="1">IF('Invoer gegevens (N)'!$C$17=E148,0,IF(C148=1,Q147,0))</f>
        <v>0</v>
      </c>
      <c r="M148" s="96">
        <f ca="1">IF(C148&gt;=1,L148*VLOOKUP(E148,'Reeksen (N)'!$A$5:$B$76,2),0)</f>
        <v>0</v>
      </c>
      <c r="N148" s="84">
        <f ca="1">(1-('Invoer gegevens (N)'!$F$20/12))*L148*MIN('Reeksen (N)'!B148,'Reeksen (N)'!D148)</f>
        <v>0</v>
      </c>
      <c r="O148" s="84">
        <f>IF('Reeksen (N)'!D148&lt;'Reeksen (N)'!B148,('Reeksen (N)'!B148-'Reeksen (N)'!D148)*L148,0)</f>
        <v>0</v>
      </c>
      <c r="P148" s="84">
        <f ca="1">('Invoer gegevens (N)'!$F$20/12)*L147*MIN('Reeksen (N)'!B147,'Reeksen (N)'!D147)</f>
        <v>0</v>
      </c>
      <c r="Q148" s="84">
        <f t="shared" ca="1" si="23"/>
        <v>0</v>
      </c>
      <c r="R148" s="82">
        <f ca="1">IF('Invoer gegevens (N)'!$C$17=E148,'Invoer gegevens (N)'!$C$11,IF(C148=1,W147,0))</f>
        <v>0</v>
      </c>
      <c r="S148" s="86">
        <f ca="1">IF(C148&gt;=1,R148*VLOOKUP(E148,'Reeksen (N)'!$A$5:$B$76,2),0)</f>
        <v>0</v>
      </c>
      <c r="T148" s="84">
        <f ca="1">(1-('Invoer gegevens (N)'!$F$20/12))*R148*MIN('Reeksen (N)'!B148,'Reeksen (N)'!D148)</f>
        <v>0</v>
      </c>
      <c r="U148" s="84">
        <f>IF('Reeksen (N)'!D148&gt;='Reeksen (N)'!B148,0,IF('Reeksen (N)'!AD148&lt;='Reeksen (N)'!AE148,('Reeksen (N)'!B148-'Reeksen (N)'!D148)*R148,0))</f>
        <v>0</v>
      </c>
      <c r="V148" s="86">
        <f>IF('Reeksen (N)'!D148&gt;='Reeksen (N)'!B148,0,IF('Reeksen (N)'!AD148&gt;'Reeksen (N)'!AE148,('Reeksen (N)'!B148-'Reeksen (N)'!D148)*R148,0))</f>
        <v>0</v>
      </c>
      <c r="W148" s="97">
        <f t="shared" ca="1" si="24"/>
        <v>0</v>
      </c>
      <c r="X148" s="98">
        <f ca="1">IF('Invoer gegevens (N)'!$C$17=E148,'Invoer gegevens (N)'!$C$10-'Invoer gegevens (N)'!$C$11,IF(C148=1,AC147,0))</f>
        <v>0</v>
      </c>
      <c r="Y148" s="98">
        <f ca="1">IF(C148&gt;=1,X148*VLOOKUP(E148,'Reeksen (N)'!$A$5:$B$76,2),0)</f>
        <v>0</v>
      </c>
      <c r="Z148" s="98">
        <f ca="1">(1-('Invoer gegevens (N)'!$F$20/12))*X148*MIN('Reeksen (N)'!B148,'Reeksen (N)'!D148)</f>
        <v>0</v>
      </c>
      <c r="AA148" s="98">
        <f>IF('Reeksen (N)'!D148&gt;='Reeksen (N)'!B148,0,IF('Reeksen (N)'!AD148&lt;='Reeksen (N)'!AE148,('Reeksen (N)'!B148-'Reeksen (N)'!D148)*X148,0))</f>
        <v>0</v>
      </c>
      <c r="AB148" s="98">
        <f>IF('Reeksen (N)'!D148&gt;='Reeksen (N)'!B148,0,IF('Reeksen (N)'!AD148&gt;'Reeksen (N)'!AE148,('Reeksen (N)'!B148-'Reeksen (N)'!D148)*X148,0))</f>
        <v>0</v>
      </c>
      <c r="AC148" s="99">
        <f t="shared" ca="1" si="25"/>
        <v>0</v>
      </c>
      <c r="AD148" s="98">
        <f ca="1">IF('Invoer gegevens (N)'!$C$17=E148,R148,IF(C148=0,0,AE147))</f>
        <v>0</v>
      </c>
      <c r="AE148" s="98">
        <f t="shared" ca="1" si="26"/>
        <v>0</v>
      </c>
      <c r="AF148" s="98">
        <f ca="1">IF('Invoer gegevens (N)'!$C$17=E148,X148,IF(C148=0,0,AG147))</f>
        <v>0</v>
      </c>
      <c r="AG148" s="98">
        <f t="shared" ca="1" si="27"/>
        <v>0</v>
      </c>
      <c r="AH148" s="66"/>
      <c r="AI148" s="71">
        <f ca="1">IF(C148=1,'Reeksen (N)'!AI148*((F148-G148+F148)/2)*12+'Reeksen (N)'!AD148*((L148-M148+L148)/2)*12,0)</f>
        <v>0</v>
      </c>
      <c r="AJ148" s="71">
        <f ca="1">-AI148*'Invoer gegevens (N)'!$F$28</f>
        <v>0</v>
      </c>
      <c r="AK148" s="71">
        <f t="shared" ca="1" si="28"/>
        <v>0</v>
      </c>
      <c r="AL148" s="71">
        <f ca="1">IF(C148=1,'Reeksen (N)'!AL148*((F148-G148+F148)/2)*12+'Reeksen (N)'!AM148*((L148-M148+L148)/2)*12,0)</f>
        <v>0</v>
      </c>
      <c r="AM148" s="71">
        <f ca="1">-AL148*'Invoer gegevens (N)'!$F$31</f>
        <v>0</v>
      </c>
      <c r="AN148" s="71">
        <f t="shared" ca="1" si="29"/>
        <v>0</v>
      </c>
      <c r="AO148" s="71">
        <f ca="1">IF(C148=1,(H148+J148+N148+P148)*'Reeksen (N)'!AN148,0)</f>
        <v>0</v>
      </c>
      <c r="AP148" s="71">
        <f ca="1">-IF(C148=1,(H148+J148+N148+P148)*'Hulp - basis'!$O$550*'Reeksen (N)'!H148,0)</f>
        <v>0</v>
      </c>
      <c r="AQ148" s="71">
        <f ca="1">-IF(C148=1,(F148+K148+L148+Q148)/2*'Invoer gegevens (N)'!$F$35*'Reeksen (N)'!J148,0)*2</f>
        <v>0</v>
      </c>
      <c r="AR148" s="71"/>
      <c r="AS148" s="71">
        <f ca="1">-IF(C148=1,(F148+K148+L148+Q148)/2*'Invoer gegevens (N)'!$F$37*'Reeksen (N)'!L148,0)</f>
        <v>0</v>
      </c>
      <c r="AT148" s="71">
        <f ca="1">-IF(C148=1,IF(E148='Invoer gegevens (N)'!$C$17,'Invoer gegevens (N)'!$C$11,AD148)*'Reeksen (N)'!S148*'Invoer gegevens (N)'!$C$18*'Reeksen (N)'!P148,0)</f>
        <v>0</v>
      </c>
      <c r="AU148" s="71">
        <f ca="1">-IF(C148=1,(F148+K148+L148+Q148)/2*'Invoer gegevens (N)'!$F$38*'Reeksen (N)'!H148,0)</f>
        <v>0</v>
      </c>
      <c r="AV148" s="71">
        <v>0</v>
      </c>
      <c r="AW148" s="71">
        <f t="shared" ca="1" si="30"/>
        <v>0</v>
      </c>
      <c r="AX148" s="71">
        <f ca="1">IF(E148&lt;'Invoer gegevens (N)'!$C$17+15,0,IF(E148&gt;'Invoer gegevens (N)'!$C$17+215,0,AW148))</f>
        <v>0</v>
      </c>
      <c r="AY148" s="71">
        <f ca="1">AX148/(1+'Invoer gegevens (N)'!$F$18)^($AZ148-('Invoer gegevens (N)'!$C$17-'Invoer gegevens (N)'!$C$16))/(1+'Invoer gegevens (N)'!$C$39)^('Invoer gegevens (N)'!$C$17-'Invoer gegevens (N)'!$C$16)</f>
        <v>0</v>
      </c>
      <c r="AZ148" s="68">
        <f ca="1">IF(E148-'Invoer gegevens (N)'!$C$17-14.5&lt;0,0,E148-'Invoer gegevens (N)'!$C$17-14.5)</f>
        <v>128.5</v>
      </c>
    </row>
    <row r="149" spans="1:52" x14ac:dyDescent="0.25">
      <c r="A149" s="59"/>
      <c r="B149" s="70">
        <f t="shared" si="31"/>
        <v>145</v>
      </c>
      <c r="C149" s="67">
        <f ca="1">IF(E149-'Invoer gegevens (N)'!$C$17&lt;0,0,1)</f>
        <v>1</v>
      </c>
      <c r="D149" s="68">
        <f t="shared" si="32"/>
        <v>144.5</v>
      </c>
      <c r="E149" s="69">
        <f ca="1">IF('Invoer gegevens (N)'!$C$16="","",E148+1)</f>
        <v>2163</v>
      </c>
      <c r="F149" s="84">
        <f ca="1">IF('Invoer gegevens (N)'!$C$17=E149,'Invoer gegevens (N)'!$C$10,IF(C149=1,K148,0))</f>
        <v>0</v>
      </c>
      <c r="G149" s="96">
        <f ca="1">IF(C149&gt;=1,F149*VLOOKUP(E149,'Reeksen (N)'!$A$5:$B$76,2),0)</f>
        <v>0</v>
      </c>
      <c r="H149" s="84">
        <f ca="1">(1-('Invoer gegevens (N)'!$F$20/12))*F149*MIN('Reeksen (N)'!B149,'Reeksen (N)'!D149)</f>
        <v>0</v>
      </c>
      <c r="I149" s="84">
        <f>IF('Reeksen (N)'!D149&lt;'Reeksen (N)'!B149,('Reeksen (N)'!B149-'Reeksen (N)'!D149)*F149,0)</f>
        <v>0</v>
      </c>
      <c r="J149" s="84">
        <f ca="1">('Invoer gegevens (N)'!$F$20/12)*F148*MIN('Reeksen (N)'!B148,'Reeksen (N)'!D148)</f>
        <v>0</v>
      </c>
      <c r="K149" s="97">
        <f t="shared" ca="1" si="22"/>
        <v>0</v>
      </c>
      <c r="L149" s="84">
        <f ca="1">IF('Invoer gegevens (N)'!$C$17=E149,0,IF(C149=1,Q148,0))</f>
        <v>0</v>
      </c>
      <c r="M149" s="96">
        <f ca="1">IF(C149&gt;=1,L149*VLOOKUP(E149,'Reeksen (N)'!$A$5:$B$76,2),0)</f>
        <v>0</v>
      </c>
      <c r="N149" s="84">
        <f ca="1">(1-('Invoer gegevens (N)'!$F$20/12))*L149*MIN('Reeksen (N)'!B149,'Reeksen (N)'!D149)</f>
        <v>0</v>
      </c>
      <c r="O149" s="84">
        <f>IF('Reeksen (N)'!D149&lt;'Reeksen (N)'!B149,('Reeksen (N)'!B149-'Reeksen (N)'!D149)*L149,0)</f>
        <v>0</v>
      </c>
      <c r="P149" s="84">
        <f ca="1">('Invoer gegevens (N)'!$F$20/12)*L148*MIN('Reeksen (N)'!B148,'Reeksen (N)'!D148)</f>
        <v>0</v>
      </c>
      <c r="Q149" s="84">
        <f t="shared" ca="1" si="23"/>
        <v>0</v>
      </c>
      <c r="R149" s="82">
        <f ca="1">IF('Invoer gegevens (N)'!$C$17=E149,'Invoer gegevens (N)'!$C$11,IF(C149=1,W148,0))</f>
        <v>0</v>
      </c>
      <c r="S149" s="86">
        <f ca="1">IF(C149&gt;=1,R149*VLOOKUP(E149,'Reeksen (N)'!$A$5:$B$76,2),0)</f>
        <v>0</v>
      </c>
      <c r="T149" s="84">
        <f ca="1">(1-('Invoer gegevens (N)'!$F$20/12))*R149*MIN('Reeksen (N)'!B149,'Reeksen (N)'!D149)</f>
        <v>0</v>
      </c>
      <c r="U149" s="84">
        <f>IF('Reeksen (N)'!D149&gt;='Reeksen (N)'!B149,0,IF('Reeksen (N)'!AD149&lt;='Reeksen (N)'!AE149,('Reeksen (N)'!B149-'Reeksen (N)'!D149)*R149,0))</f>
        <v>0</v>
      </c>
      <c r="V149" s="86">
        <f>IF('Reeksen (N)'!D149&gt;='Reeksen (N)'!B149,0,IF('Reeksen (N)'!AD149&gt;'Reeksen (N)'!AE149,('Reeksen (N)'!B149-'Reeksen (N)'!D149)*R149,0))</f>
        <v>0</v>
      </c>
      <c r="W149" s="97">
        <f t="shared" ca="1" si="24"/>
        <v>0</v>
      </c>
      <c r="X149" s="98">
        <f ca="1">IF('Invoer gegevens (N)'!$C$17=E149,'Invoer gegevens (N)'!$C$10-'Invoer gegevens (N)'!$C$11,IF(C149=1,AC148,0))</f>
        <v>0</v>
      </c>
      <c r="Y149" s="98">
        <f ca="1">IF(C149&gt;=1,X149*VLOOKUP(E149,'Reeksen (N)'!$A$5:$B$76,2),0)</f>
        <v>0</v>
      </c>
      <c r="Z149" s="98">
        <f ca="1">(1-('Invoer gegevens (N)'!$F$20/12))*X149*MIN('Reeksen (N)'!B149,'Reeksen (N)'!D149)</f>
        <v>0</v>
      </c>
      <c r="AA149" s="98">
        <f>IF('Reeksen (N)'!D149&gt;='Reeksen (N)'!B149,0,IF('Reeksen (N)'!AD149&lt;='Reeksen (N)'!AE149,('Reeksen (N)'!B149-'Reeksen (N)'!D149)*X149,0))</f>
        <v>0</v>
      </c>
      <c r="AB149" s="98">
        <f>IF('Reeksen (N)'!D149&gt;='Reeksen (N)'!B149,0,IF('Reeksen (N)'!AD149&gt;'Reeksen (N)'!AE149,('Reeksen (N)'!B149-'Reeksen (N)'!D149)*X149,0))</f>
        <v>0</v>
      </c>
      <c r="AC149" s="99">
        <f t="shared" ca="1" si="25"/>
        <v>0</v>
      </c>
      <c r="AD149" s="98">
        <f ca="1">IF('Invoer gegevens (N)'!$C$17=E149,R149,IF(C149=0,0,AE148))</f>
        <v>0</v>
      </c>
      <c r="AE149" s="98">
        <f t="shared" ca="1" si="26"/>
        <v>0</v>
      </c>
      <c r="AF149" s="98">
        <f ca="1">IF('Invoer gegevens (N)'!$C$17=E149,X149,IF(C149=0,0,AG148))</f>
        <v>0</v>
      </c>
      <c r="AG149" s="98">
        <f t="shared" ca="1" si="27"/>
        <v>0</v>
      </c>
      <c r="AH149" s="66"/>
      <c r="AI149" s="71">
        <f ca="1">IF(C149=1,'Reeksen (N)'!AI149*((F149-G149+F149)/2)*12+'Reeksen (N)'!AD149*((L149-M149+L149)/2)*12,0)</f>
        <v>0</v>
      </c>
      <c r="AJ149" s="71">
        <f ca="1">-AI149*'Invoer gegevens (N)'!$F$28</f>
        <v>0</v>
      </c>
      <c r="AK149" s="71">
        <f t="shared" ca="1" si="28"/>
        <v>0</v>
      </c>
      <c r="AL149" s="71">
        <f ca="1">IF(C149=1,'Reeksen (N)'!AL149*((F149-G149+F149)/2)*12+'Reeksen (N)'!AM149*((L149-M149+L149)/2)*12,0)</f>
        <v>0</v>
      </c>
      <c r="AM149" s="71">
        <f ca="1">-AL149*'Invoer gegevens (N)'!$F$31</f>
        <v>0</v>
      </c>
      <c r="AN149" s="71">
        <f t="shared" ca="1" si="29"/>
        <v>0</v>
      </c>
      <c r="AO149" s="71">
        <f ca="1">IF(C149=1,(H149+J149+N149+P149)*'Reeksen (N)'!AN149,0)</f>
        <v>0</v>
      </c>
      <c r="AP149" s="71">
        <f ca="1">-IF(C149=1,(H149+J149+N149+P149)*'Hulp - basis'!$O$550*'Reeksen (N)'!H149,0)</f>
        <v>0</v>
      </c>
      <c r="AQ149" s="71">
        <f ca="1">-IF(C149=1,(F149+K149+L149+Q149)/2*'Invoer gegevens (N)'!$F$35*'Reeksen (N)'!J149,0)*2</f>
        <v>0</v>
      </c>
      <c r="AR149" s="71"/>
      <c r="AS149" s="71">
        <f ca="1">-IF(C149=1,(F149+K149+L149+Q149)/2*'Invoer gegevens (N)'!$F$37*'Reeksen (N)'!L149,0)</f>
        <v>0</v>
      </c>
      <c r="AT149" s="71">
        <f ca="1">-IF(C149=1,IF(E149='Invoer gegevens (N)'!$C$17,'Invoer gegevens (N)'!$C$11,AD149)*'Reeksen (N)'!S149*'Invoer gegevens (N)'!$C$18*'Reeksen (N)'!P149,0)</f>
        <v>0</v>
      </c>
      <c r="AU149" s="71">
        <f ca="1">-IF(C149=1,(F149+K149+L149+Q149)/2*'Invoer gegevens (N)'!$F$38*'Reeksen (N)'!H149,0)</f>
        <v>0</v>
      </c>
      <c r="AV149" s="71">
        <v>0</v>
      </c>
      <c r="AW149" s="71">
        <f t="shared" ca="1" si="30"/>
        <v>0</v>
      </c>
      <c r="AX149" s="71">
        <f ca="1">IF(E149&lt;'Invoer gegevens (N)'!$C$17+15,0,IF(E149&gt;'Invoer gegevens (N)'!$C$17+215,0,AW149))</f>
        <v>0</v>
      </c>
      <c r="AY149" s="71">
        <f ca="1">AX149/(1+'Invoer gegevens (N)'!$F$18)^($AZ149-('Invoer gegevens (N)'!$C$17-'Invoer gegevens (N)'!$C$16))/(1+'Invoer gegevens (N)'!$C$39)^('Invoer gegevens (N)'!$C$17-'Invoer gegevens (N)'!$C$16)</f>
        <v>0</v>
      </c>
      <c r="AZ149" s="68">
        <f ca="1">IF(E149-'Invoer gegevens (N)'!$C$17-14.5&lt;0,0,E149-'Invoer gegevens (N)'!$C$17-14.5)</f>
        <v>129.5</v>
      </c>
    </row>
    <row r="150" spans="1:52" x14ac:dyDescent="0.25">
      <c r="A150" s="59"/>
      <c r="B150" s="70">
        <f t="shared" si="31"/>
        <v>146</v>
      </c>
      <c r="C150" s="67">
        <f ca="1">IF(E150-'Invoer gegevens (N)'!$C$17&lt;0,0,1)</f>
        <v>1</v>
      </c>
      <c r="D150" s="68">
        <f t="shared" si="32"/>
        <v>145.5</v>
      </c>
      <c r="E150" s="69">
        <f ca="1">IF('Invoer gegevens (N)'!$C$16="","",E149+1)</f>
        <v>2164</v>
      </c>
      <c r="F150" s="84">
        <f ca="1">IF('Invoer gegevens (N)'!$C$17=E150,'Invoer gegevens (N)'!$C$10,IF(C150=1,K149,0))</f>
        <v>0</v>
      </c>
      <c r="G150" s="96">
        <f ca="1">IF(C150&gt;=1,F150*VLOOKUP(E150,'Reeksen (N)'!$A$5:$B$76,2),0)</f>
        <v>0</v>
      </c>
      <c r="H150" s="84">
        <f ca="1">(1-('Invoer gegevens (N)'!$F$20/12))*F150*MIN('Reeksen (N)'!B150,'Reeksen (N)'!D150)</f>
        <v>0</v>
      </c>
      <c r="I150" s="84">
        <f>IF('Reeksen (N)'!D150&lt;'Reeksen (N)'!B150,('Reeksen (N)'!B150-'Reeksen (N)'!D150)*F150,0)</f>
        <v>0</v>
      </c>
      <c r="J150" s="84">
        <f ca="1">('Invoer gegevens (N)'!$F$20/12)*F149*MIN('Reeksen (N)'!B149,'Reeksen (N)'!D149)</f>
        <v>0</v>
      </c>
      <c r="K150" s="97">
        <f t="shared" ca="1" si="22"/>
        <v>0</v>
      </c>
      <c r="L150" s="84">
        <f ca="1">IF('Invoer gegevens (N)'!$C$17=E150,0,IF(C150=1,Q149,0))</f>
        <v>0</v>
      </c>
      <c r="M150" s="96">
        <f ca="1">IF(C150&gt;=1,L150*VLOOKUP(E150,'Reeksen (N)'!$A$5:$B$76,2),0)</f>
        <v>0</v>
      </c>
      <c r="N150" s="84">
        <f ca="1">(1-('Invoer gegevens (N)'!$F$20/12))*L150*MIN('Reeksen (N)'!B150,'Reeksen (N)'!D150)</f>
        <v>0</v>
      </c>
      <c r="O150" s="84">
        <f>IF('Reeksen (N)'!D150&lt;'Reeksen (N)'!B150,('Reeksen (N)'!B150-'Reeksen (N)'!D150)*L150,0)</f>
        <v>0</v>
      </c>
      <c r="P150" s="84">
        <f ca="1">('Invoer gegevens (N)'!$F$20/12)*L149*MIN('Reeksen (N)'!B149,'Reeksen (N)'!D149)</f>
        <v>0</v>
      </c>
      <c r="Q150" s="84">
        <f t="shared" ca="1" si="23"/>
        <v>0</v>
      </c>
      <c r="R150" s="82">
        <f ca="1">IF('Invoer gegevens (N)'!$C$17=E150,'Invoer gegevens (N)'!$C$11,IF(C150=1,W149,0))</f>
        <v>0</v>
      </c>
      <c r="S150" s="86">
        <f ca="1">IF(C150&gt;=1,R150*VLOOKUP(E150,'Reeksen (N)'!$A$5:$B$76,2),0)</f>
        <v>0</v>
      </c>
      <c r="T150" s="84">
        <f ca="1">(1-('Invoer gegevens (N)'!$F$20/12))*R150*MIN('Reeksen (N)'!B150,'Reeksen (N)'!D150)</f>
        <v>0</v>
      </c>
      <c r="U150" s="84">
        <f>IF('Reeksen (N)'!D150&gt;='Reeksen (N)'!B150,0,IF('Reeksen (N)'!AD150&lt;='Reeksen (N)'!AE150,('Reeksen (N)'!B150-'Reeksen (N)'!D150)*R150,0))</f>
        <v>0</v>
      </c>
      <c r="V150" s="86">
        <f>IF('Reeksen (N)'!D150&gt;='Reeksen (N)'!B150,0,IF('Reeksen (N)'!AD150&gt;'Reeksen (N)'!AE150,('Reeksen (N)'!B150-'Reeksen (N)'!D150)*R150,0))</f>
        <v>0</v>
      </c>
      <c r="W150" s="97">
        <f t="shared" ca="1" si="24"/>
        <v>0</v>
      </c>
      <c r="X150" s="98">
        <f ca="1">IF('Invoer gegevens (N)'!$C$17=E150,'Invoer gegevens (N)'!$C$10-'Invoer gegevens (N)'!$C$11,IF(C150=1,AC149,0))</f>
        <v>0</v>
      </c>
      <c r="Y150" s="98">
        <f ca="1">IF(C150&gt;=1,X150*VLOOKUP(E150,'Reeksen (N)'!$A$5:$B$76,2),0)</f>
        <v>0</v>
      </c>
      <c r="Z150" s="98">
        <f ca="1">(1-('Invoer gegevens (N)'!$F$20/12))*X150*MIN('Reeksen (N)'!B150,'Reeksen (N)'!D150)</f>
        <v>0</v>
      </c>
      <c r="AA150" s="98">
        <f>IF('Reeksen (N)'!D150&gt;='Reeksen (N)'!B150,0,IF('Reeksen (N)'!AD150&lt;='Reeksen (N)'!AE150,('Reeksen (N)'!B150-'Reeksen (N)'!D150)*X150,0))</f>
        <v>0</v>
      </c>
      <c r="AB150" s="98">
        <f>IF('Reeksen (N)'!D150&gt;='Reeksen (N)'!B150,0,IF('Reeksen (N)'!AD150&gt;'Reeksen (N)'!AE150,('Reeksen (N)'!B150-'Reeksen (N)'!D150)*X150,0))</f>
        <v>0</v>
      </c>
      <c r="AC150" s="99">
        <f t="shared" ca="1" si="25"/>
        <v>0</v>
      </c>
      <c r="AD150" s="98">
        <f ca="1">IF('Invoer gegevens (N)'!$C$17=E150,R150,IF(C150=0,0,AE149))</f>
        <v>0</v>
      </c>
      <c r="AE150" s="98">
        <f t="shared" ca="1" si="26"/>
        <v>0</v>
      </c>
      <c r="AF150" s="98">
        <f ca="1">IF('Invoer gegevens (N)'!$C$17=E150,X150,IF(C150=0,0,AG149))</f>
        <v>0</v>
      </c>
      <c r="AG150" s="98">
        <f t="shared" ca="1" si="27"/>
        <v>0</v>
      </c>
      <c r="AH150" s="66"/>
      <c r="AI150" s="71">
        <f ca="1">IF(C150=1,'Reeksen (N)'!AI150*((F150-G150+F150)/2)*12+'Reeksen (N)'!AD150*((L150-M150+L150)/2)*12,0)</f>
        <v>0</v>
      </c>
      <c r="AJ150" s="71">
        <f ca="1">-AI150*'Invoer gegevens (N)'!$F$28</f>
        <v>0</v>
      </c>
      <c r="AK150" s="71">
        <f t="shared" ca="1" si="28"/>
        <v>0</v>
      </c>
      <c r="AL150" s="71">
        <f ca="1">IF(C150=1,'Reeksen (N)'!AL150*((F150-G150+F150)/2)*12+'Reeksen (N)'!AM150*((L150-M150+L150)/2)*12,0)</f>
        <v>0</v>
      </c>
      <c r="AM150" s="71">
        <f ca="1">-AL150*'Invoer gegevens (N)'!$F$31</f>
        <v>0</v>
      </c>
      <c r="AN150" s="71">
        <f t="shared" ca="1" si="29"/>
        <v>0</v>
      </c>
      <c r="AO150" s="71">
        <f ca="1">IF(C150=1,(H150+J150+N150+P150)*'Reeksen (N)'!AN150,0)</f>
        <v>0</v>
      </c>
      <c r="AP150" s="71">
        <f ca="1">-IF(C150=1,(H150+J150+N150+P150)*'Hulp - basis'!$O$550*'Reeksen (N)'!H150,0)</f>
        <v>0</v>
      </c>
      <c r="AQ150" s="71">
        <f ca="1">-IF(C150=1,(F150+K150+L150+Q150)/2*'Invoer gegevens (N)'!$F$35*'Reeksen (N)'!J150,0)*2</f>
        <v>0</v>
      </c>
      <c r="AR150" s="71"/>
      <c r="AS150" s="71">
        <f ca="1">-IF(C150=1,(F150+K150+L150+Q150)/2*'Invoer gegevens (N)'!$F$37*'Reeksen (N)'!L150,0)</f>
        <v>0</v>
      </c>
      <c r="AT150" s="71">
        <f ca="1">-IF(C150=1,IF(E150='Invoer gegevens (N)'!$C$17,'Invoer gegevens (N)'!$C$11,AD150)*'Reeksen (N)'!S150*'Invoer gegevens (N)'!$C$18*'Reeksen (N)'!P150,0)</f>
        <v>0</v>
      </c>
      <c r="AU150" s="71">
        <f ca="1">-IF(C150=1,(F150+K150+L150+Q150)/2*'Invoer gegevens (N)'!$F$38*'Reeksen (N)'!H150,0)</f>
        <v>0</v>
      </c>
      <c r="AV150" s="71">
        <v>0</v>
      </c>
      <c r="AW150" s="71">
        <f t="shared" ca="1" si="30"/>
        <v>0</v>
      </c>
      <c r="AX150" s="71">
        <f ca="1">IF(E150&lt;'Invoer gegevens (N)'!$C$17+15,0,IF(E150&gt;'Invoer gegevens (N)'!$C$17+215,0,AW150))</f>
        <v>0</v>
      </c>
      <c r="AY150" s="71">
        <f ca="1">AX150/(1+'Invoer gegevens (N)'!$F$18)^($AZ150-('Invoer gegevens (N)'!$C$17-'Invoer gegevens (N)'!$C$16))/(1+'Invoer gegevens (N)'!$C$39)^('Invoer gegevens (N)'!$C$17-'Invoer gegevens (N)'!$C$16)</f>
        <v>0</v>
      </c>
      <c r="AZ150" s="68">
        <f ca="1">IF(E150-'Invoer gegevens (N)'!$C$17-14.5&lt;0,0,E150-'Invoer gegevens (N)'!$C$17-14.5)</f>
        <v>130.5</v>
      </c>
    </row>
    <row r="151" spans="1:52" x14ac:dyDescent="0.25">
      <c r="A151" s="59"/>
      <c r="B151" s="70">
        <f t="shared" si="31"/>
        <v>147</v>
      </c>
      <c r="C151" s="67">
        <f ca="1">IF(E151-'Invoer gegevens (N)'!$C$17&lt;0,0,1)</f>
        <v>1</v>
      </c>
      <c r="D151" s="68">
        <f t="shared" si="32"/>
        <v>146.5</v>
      </c>
      <c r="E151" s="69">
        <f ca="1">IF('Invoer gegevens (N)'!$C$16="","",E150+1)</f>
        <v>2165</v>
      </c>
      <c r="F151" s="84">
        <f ca="1">IF('Invoer gegevens (N)'!$C$17=E151,'Invoer gegevens (N)'!$C$10,IF(C151=1,K150,0))</f>
        <v>0</v>
      </c>
      <c r="G151" s="96">
        <f ca="1">IF(C151&gt;=1,F151*VLOOKUP(E151,'Reeksen (N)'!$A$5:$B$76,2),0)</f>
        <v>0</v>
      </c>
      <c r="H151" s="84">
        <f ca="1">(1-('Invoer gegevens (N)'!$F$20/12))*F151*MIN('Reeksen (N)'!B151,'Reeksen (N)'!D151)</f>
        <v>0</v>
      </c>
      <c r="I151" s="84">
        <f>IF('Reeksen (N)'!D151&lt;'Reeksen (N)'!B151,('Reeksen (N)'!B151-'Reeksen (N)'!D151)*F151,0)</f>
        <v>0</v>
      </c>
      <c r="J151" s="84">
        <f ca="1">('Invoer gegevens (N)'!$F$20/12)*F150*MIN('Reeksen (N)'!B150,'Reeksen (N)'!D150)</f>
        <v>0</v>
      </c>
      <c r="K151" s="97">
        <f t="shared" ca="1" si="22"/>
        <v>0</v>
      </c>
      <c r="L151" s="84">
        <f ca="1">IF('Invoer gegevens (N)'!$C$17=E151,0,IF(C151=1,Q150,0))</f>
        <v>0</v>
      </c>
      <c r="M151" s="96">
        <f ca="1">IF(C151&gt;=1,L151*VLOOKUP(E151,'Reeksen (N)'!$A$5:$B$76,2),0)</f>
        <v>0</v>
      </c>
      <c r="N151" s="84">
        <f ca="1">(1-('Invoer gegevens (N)'!$F$20/12))*L151*MIN('Reeksen (N)'!B151,'Reeksen (N)'!D151)</f>
        <v>0</v>
      </c>
      <c r="O151" s="84">
        <f>IF('Reeksen (N)'!D151&lt;'Reeksen (N)'!B151,('Reeksen (N)'!B151-'Reeksen (N)'!D151)*L151,0)</f>
        <v>0</v>
      </c>
      <c r="P151" s="84">
        <f ca="1">('Invoer gegevens (N)'!$F$20/12)*L150*MIN('Reeksen (N)'!B150,'Reeksen (N)'!D150)</f>
        <v>0</v>
      </c>
      <c r="Q151" s="84">
        <f t="shared" ca="1" si="23"/>
        <v>0</v>
      </c>
      <c r="R151" s="82">
        <f ca="1">IF('Invoer gegevens (N)'!$C$17=E151,'Invoer gegevens (N)'!$C$11,IF(C151=1,W150,0))</f>
        <v>0</v>
      </c>
      <c r="S151" s="86">
        <f ca="1">IF(C151&gt;=1,R151*VLOOKUP(E151,'Reeksen (N)'!$A$5:$B$76,2),0)</f>
        <v>0</v>
      </c>
      <c r="T151" s="84">
        <f ca="1">(1-('Invoer gegevens (N)'!$F$20/12))*R151*MIN('Reeksen (N)'!B151,'Reeksen (N)'!D151)</f>
        <v>0</v>
      </c>
      <c r="U151" s="84">
        <f>IF('Reeksen (N)'!D151&gt;='Reeksen (N)'!B151,0,IF('Reeksen (N)'!AD151&lt;='Reeksen (N)'!AE151,('Reeksen (N)'!B151-'Reeksen (N)'!D151)*R151,0))</f>
        <v>0</v>
      </c>
      <c r="V151" s="86">
        <f>IF('Reeksen (N)'!D151&gt;='Reeksen (N)'!B151,0,IF('Reeksen (N)'!AD151&gt;'Reeksen (N)'!AE151,('Reeksen (N)'!B151-'Reeksen (N)'!D151)*R151,0))</f>
        <v>0</v>
      </c>
      <c r="W151" s="97">
        <f t="shared" ca="1" si="24"/>
        <v>0</v>
      </c>
      <c r="X151" s="98">
        <f ca="1">IF('Invoer gegevens (N)'!$C$17=E151,'Invoer gegevens (N)'!$C$10-'Invoer gegevens (N)'!$C$11,IF(C151=1,AC150,0))</f>
        <v>0</v>
      </c>
      <c r="Y151" s="98">
        <f ca="1">IF(C151&gt;=1,X151*VLOOKUP(E151,'Reeksen (N)'!$A$5:$B$76,2),0)</f>
        <v>0</v>
      </c>
      <c r="Z151" s="98">
        <f ca="1">(1-('Invoer gegevens (N)'!$F$20/12))*X151*MIN('Reeksen (N)'!B151,'Reeksen (N)'!D151)</f>
        <v>0</v>
      </c>
      <c r="AA151" s="98">
        <f>IF('Reeksen (N)'!D151&gt;='Reeksen (N)'!B151,0,IF('Reeksen (N)'!AD151&lt;='Reeksen (N)'!AE151,('Reeksen (N)'!B151-'Reeksen (N)'!D151)*X151,0))</f>
        <v>0</v>
      </c>
      <c r="AB151" s="98">
        <f>IF('Reeksen (N)'!D151&gt;='Reeksen (N)'!B151,0,IF('Reeksen (N)'!AD151&gt;'Reeksen (N)'!AE151,('Reeksen (N)'!B151-'Reeksen (N)'!D151)*X151,0))</f>
        <v>0</v>
      </c>
      <c r="AC151" s="99">
        <f t="shared" ca="1" si="25"/>
        <v>0</v>
      </c>
      <c r="AD151" s="98">
        <f ca="1">IF('Invoer gegevens (N)'!$C$17=E151,R151,IF(C151=0,0,AE150))</f>
        <v>0</v>
      </c>
      <c r="AE151" s="98">
        <f t="shared" ca="1" si="26"/>
        <v>0</v>
      </c>
      <c r="AF151" s="98">
        <f ca="1">IF('Invoer gegevens (N)'!$C$17=E151,X151,IF(C151=0,0,AG150))</f>
        <v>0</v>
      </c>
      <c r="AG151" s="98">
        <f t="shared" ca="1" si="27"/>
        <v>0</v>
      </c>
      <c r="AH151" s="66"/>
      <c r="AI151" s="71">
        <f ca="1">IF(C151=1,'Reeksen (N)'!AI151*((F151-G151+F151)/2)*12+'Reeksen (N)'!AD151*((L151-M151+L151)/2)*12,0)</f>
        <v>0</v>
      </c>
      <c r="AJ151" s="71">
        <f ca="1">-AI151*'Invoer gegevens (N)'!$F$28</f>
        <v>0</v>
      </c>
      <c r="AK151" s="71">
        <f t="shared" ca="1" si="28"/>
        <v>0</v>
      </c>
      <c r="AL151" s="71">
        <f ca="1">IF(C151=1,'Reeksen (N)'!AL151*((F151-G151+F151)/2)*12+'Reeksen (N)'!AM151*((L151-M151+L151)/2)*12,0)</f>
        <v>0</v>
      </c>
      <c r="AM151" s="71">
        <f ca="1">-AL151*'Invoer gegevens (N)'!$F$31</f>
        <v>0</v>
      </c>
      <c r="AN151" s="71">
        <f t="shared" ca="1" si="29"/>
        <v>0</v>
      </c>
      <c r="AO151" s="71">
        <f ca="1">IF(C151=1,(H151+J151+N151+P151)*'Reeksen (N)'!AN151,0)</f>
        <v>0</v>
      </c>
      <c r="AP151" s="71">
        <f ca="1">-IF(C151=1,(H151+J151+N151+P151)*'Hulp - basis'!$O$550*'Reeksen (N)'!H151,0)</f>
        <v>0</v>
      </c>
      <c r="AQ151" s="71">
        <f ca="1">-IF(C151=1,(F151+K151+L151+Q151)/2*'Invoer gegevens (N)'!$F$35*'Reeksen (N)'!J151,0)*2</f>
        <v>0</v>
      </c>
      <c r="AR151" s="71"/>
      <c r="AS151" s="71">
        <f ca="1">-IF(C151=1,(F151+K151+L151+Q151)/2*'Invoer gegevens (N)'!$F$37*'Reeksen (N)'!L151,0)</f>
        <v>0</v>
      </c>
      <c r="AT151" s="71">
        <f ca="1">-IF(C151=1,IF(E151='Invoer gegevens (N)'!$C$17,'Invoer gegevens (N)'!$C$11,AD151)*'Reeksen (N)'!S151*'Invoer gegevens (N)'!$C$18*'Reeksen (N)'!P151,0)</f>
        <v>0</v>
      </c>
      <c r="AU151" s="71">
        <f ca="1">-IF(C151=1,(F151+K151+L151+Q151)/2*'Invoer gegevens (N)'!$F$38*'Reeksen (N)'!H151,0)</f>
        <v>0</v>
      </c>
      <c r="AV151" s="71">
        <v>0</v>
      </c>
      <c r="AW151" s="71">
        <f t="shared" ca="1" si="30"/>
        <v>0</v>
      </c>
      <c r="AX151" s="71">
        <f ca="1">IF(E151&lt;'Invoer gegevens (N)'!$C$17+15,0,IF(E151&gt;'Invoer gegevens (N)'!$C$17+215,0,AW151))</f>
        <v>0</v>
      </c>
      <c r="AY151" s="71">
        <f ca="1">AX151/(1+'Invoer gegevens (N)'!$F$18)^($AZ151-('Invoer gegevens (N)'!$C$17-'Invoer gegevens (N)'!$C$16))/(1+'Invoer gegevens (N)'!$C$39)^('Invoer gegevens (N)'!$C$17-'Invoer gegevens (N)'!$C$16)</f>
        <v>0</v>
      </c>
      <c r="AZ151" s="68">
        <f ca="1">IF(E151-'Invoer gegevens (N)'!$C$17-14.5&lt;0,0,E151-'Invoer gegevens (N)'!$C$17-14.5)</f>
        <v>131.5</v>
      </c>
    </row>
    <row r="152" spans="1:52" x14ac:dyDescent="0.25">
      <c r="A152" s="59"/>
      <c r="B152" s="70">
        <f t="shared" si="31"/>
        <v>148</v>
      </c>
      <c r="C152" s="67">
        <f ca="1">IF(E152-'Invoer gegevens (N)'!$C$17&lt;0,0,1)</f>
        <v>1</v>
      </c>
      <c r="D152" s="68">
        <f t="shared" si="32"/>
        <v>147.5</v>
      </c>
      <c r="E152" s="69">
        <f ca="1">IF('Invoer gegevens (N)'!$C$16="","",E151+1)</f>
        <v>2166</v>
      </c>
      <c r="F152" s="84">
        <f ca="1">IF('Invoer gegevens (N)'!$C$17=E152,'Invoer gegevens (N)'!$C$10,IF(C152=1,K151,0))</f>
        <v>0</v>
      </c>
      <c r="G152" s="96">
        <f ca="1">IF(C152&gt;=1,F152*VLOOKUP(E152,'Reeksen (N)'!$A$5:$B$76,2),0)</f>
        <v>0</v>
      </c>
      <c r="H152" s="84">
        <f ca="1">(1-('Invoer gegevens (N)'!$F$20/12))*F152*MIN('Reeksen (N)'!B152,'Reeksen (N)'!D152)</f>
        <v>0</v>
      </c>
      <c r="I152" s="84">
        <f>IF('Reeksen (N)'!D152&lt;'Reeksen (N)'!B152,('Reeksen (N)'!B152-'Reeksen (N)'!D152)*F152,0)</f>
        <v>0</v>
      </c>
      <c r="J152" s="84">
        <f ca="1">('Invoer gegevens (N)'!$F$20/12)*F151*MIN('Reeksen (N)'!B151,'Reeksen (N)'!D151)</f>
        <v>0</v>
      </c>
      <c r="K152" s="97">
        <f t="shared" ca="1" si="22"/>
        <v>0</v>
      </c>
      <c r="L152" s="84">
        <f ca="1">IF('Invoer gegevens (N)'!$C$17=E152,0,IF(C152=1,Q151,0))</f>
        <v>0</v>
      </c>
      <c r="M152" s="96">
        <f ca="1">IF(C152&gt;=1,L152*VLOOKUP(E152,'Reeksen (N)'!$A$5:$B$76,2),0)</f>
        <v>0</v>
      </c>
      <c r="N152" s="84">
        <f ca="1">(1-('Invoer gegevens (N)'!$F$20/12))*L152*MIN('Reeksen (N)'!B152,'Reeksen (N)'!D152)</f>
        <v>0</v>
      </c>
      <c r="O152" s="84">
        <f>IF('Reeksen (N)'!D152&lt;'Reeksen (N)'!B152,('Reeksen (N)'!B152-'Reeksen (N)'!D152)*L152,0)</f>
        <v>0</v>
      </c>
      <c r="P152" s="84">
        <f ca="1">('Invoer gegevens (N)'!$F$20/12)*L151*MIN('Reeksen (N)'!B151,'Reeksen (N)'!D151)</f>
        <v>0</v>
      </c>
      <c r="Q152" s="84">
        <f t="shared" ca="1" si="23"/>
        <v>0</v>
      </c>
      <c r="R152" s="82">
        <f ca="1">IF('Invoer gegevens (N)'!$C$17=E152,'Invoer gegevens (N)'!$C$11,IF(C152=1,W151,0))</f>
        <v>0</v>
      </c>
      <c r="S152" s="86">
        <f ca="1">IF(C152&gt;=1,R152*VLOOKUP(E152,'Reeksen (N)'!$A$5:$B$76,2),0)</f>
        <v>0</v>
      </c>
      <c r="T152" s="84">
        <f ca="1">(1-('Invoer gegevens (N)'!$F$20/12))*R152*MIN('Reeksen (N)'!B152,'Reeksen (N)'!D152)</f>
        <v>0</v>
      </c>
      <c r="U152" s="84">
        <f>IF('Reeksen (N)'!D152&gt;='Reeksen (N)'!B152,0,IF('Reeksen (N)'!AD152&lt;='Reeksen (N)'!AE152,('Reeksen (N)'!B152-'Reeksen (N)'!D152)*R152,0))</f>
        <v>0</v>
      </c>
      <c r="V152" s="86">
        <f>IF('Reeksen (N)'!D152&gt;='Reeksen (N)'!B152,0,IF('Reeksen (N)'!AD152&gt;'Reeksen (N)'!AE152,('Reeksen (N)'!B152-'Reeksen (N)'!D152)*R152,0))</f>
        <v>0</v>
      </c>
      <c r="W152" s="97">
        <f t="shared" ca="1" si="24"/>
        <v>0</v>
      </c>
      <c r="X152" s="98">
        <f ca="1">IF('Invoer gegevens (N)'!$C$17=E152,'Invoer gegevens (N)'!$C$10-'Invoer gegevens (N)'!$C$11,IF(C152=1,AC151,0))</f>
        <v>0</v>
      </c>
      <c r="Y152" s="98">
        <f ca="1">IF(C152&gt;=1,X152*VLOOKUP(E152,'Reeksen (N)'!$A$5:$B$76,2),0)</f>
        <v>0</v>
      </c>
      <c r="Z152" s="98">
        <f ca="1">(1-('Invoer gegevens (N)'!$F$20/12))*X152*MIN('Reeksen (N)'!B152,'Reeksen (N)'!D152)</f>
        <v>0</v>
      </c>
      <c r="AA152" s="98">
        <f>IF('Reeksen (N)'!D152&gt;='Reeksen (N)'!B152,0,IF('Reeksen (N)'!AD152&lt;='Reeksen (N)'!AE152,('Reeksen (N)'!B152-'Reeksen (N)'!D152)*X152,0))</f>
        <v>0</v>
      </c>
      <c r="AB152" s="98">
        <f>IF('Reeksen (N)'!D152&gt;='Reeksen (N)'!B152,0,IF('Reeksen (N)'!AD152&gt;'Reeksen (N)'!AE152,('Reeksen (N)'!B152-'Reeksen (N)'!D152)*X152,0))</f>
        <v>0</v>
      </c>
      <c r="AC152" s="99">
        <f t="shared" ca="1" si="25"/>
        <v>0</v>
      </c>
      <c r="AD152" s="98">
        <f ca="1">IF('Invoer gegevens (N)'!$C$17=E152,R152,IF(C152=0,0,AE151))</f>
        <v>0</v>
      </c>
      <c r="AE152" s="98">
        <f t="shared" ca="1" si="26"/>
        <v>0</v>
      </c>
      <c r="AF152" s="98">
        <f ca="1">IF('Invoer gegevens (N)'!$C$17=E152,X152,IF(C152=0,0,AG151))</f>
        <v>0</v>
      </c>
      <c r="AG152" s="98">
        <f t="shared" ca="1" si="27"/>
        <v>0</v>
      </c>
      <c r="AH152" s="66"/>
      <c r="AI152" s="71">
        <f ca="1">IF(C152=1,'Reeksen (N)'!AI152*((F152-G152+F152)/2)*12+'Reeksen (N)'!AD152*((L152-M152+L152)/2)*12,0)</f>
        <v>0</v>
      </c>
      <c r="AJ152" s="71">
        <f ca="1">-AI152*'Invoer gegevens (N)'!$F$28</f>
        <v>0</v>
      </c>
      <c r="AK152" s="71">
        <f t="shared" ca="1" si="28"/>
        <v>0</v>
      </c>
      <c r="AL152" s="71">
        <f ca="1">IF(C152=1,'Reeksen (N)'!AL152*((F152-G152+F152)/2)*12+'Reeksen (N)'!AM152*((L152-M152+L152)/2)*12,0)</f>
        <v>0</v>
      </c>
      <c r="AM152" s="71">
        <f ca="1">-AL152*'Invoer gegevens (N)'!$F$31</f>
        <v>0</v>
      </c>
      <c r="AN152" s="71">
        <f t="shared" ca="1" si="29"/>
        <v>0</v>
      </c>
      <c r="AO152" s="71">
        <f ca="1">IF(C152=1,(H152+J152+N152+P152)*'Reeksen (N)'!AN152,0)</f>
        <v>0</v>
      </c>
      <c r="AP152" s="71">
        <f ca="1">-IF(C152=1,(H152+J152+N152+P152)*'Hulp - basis'!$O$550*'Reeksen (N)'!H152,0)</f>
        <v>0</v>
      </c>
      <c r="AQ152" s="71">
        <f ca="1">-IF(C152=1,(F152+K152+L152+Q152)/2*'Invoer gegevens (N)'!$F$35*'Reeksen (N)'!J152,0)*2</f>
        <v>0</v>
      </c>
      <c r="AR152" s="71"/>
      <c r="AS152" s="71">
        <f ca="1">-IF(C152=1,(F152+K152+L152+Q152)/2*'Invoer gegevens (N)'!$F$37*'Reeksen (N)'!L152,0)</f>
        <v>0</v>
      </c>
      <c r="AT152" s="71">
        <f ca="1">-IF(C152=1,IF(E152='Invoer gegevens (N)'!$C$17,'Invoer gegevens (N)'!$C$11,AD152)*'Reeksen (N)'!S152*'Invoer gegevens (N)'!$C$18*'Reeksen (N)'!P152,0)</f>
        <v>0</v>
      </c>
      <c r="AU152" s="71">
        <f ca="1">-IF(C152=1,(F152+K152+L152+Q152)/2*'Invoer gegevens (N)'!$F$38*'Reeksen (N)'!H152,0)</f>
        <v>0</v>
      </c>
      <c r="AV152" s="71">
        <v>0</v>
      </c>
      <c r="AW152" s="71">
        <f t="shared" ca="1" si="30"/>
        <v>0</v>
      </c>
      <c r="AX152" s="71">
        <f ca="1">IF(E152&lt;'Invoer gegevens (N)'!$C$17+15,0,IF(E152&gt;'Invoer gegevens (N)'!$C$17+215,0,AW152))</f>
        <v>0</v>
      </c>
      <c r="AY152" s="71">
        <f ca="1">AX152/(1+'Invoer gegevens (N)'!$F$18)^($AZ152-('Invoer gegevens (N)'!$C$17-'Invoer gegevens (N)'!$C$16))/(1+'Invoer gegevens (N)'!$C$39)^('Invoer gegevens (N)'!$C$17-'Invoer gegevens (N)'!$C$16)</f>
        <v>0</v>
      </c>
      <c r="AZ152" s="68">
        <f ca="1">IF(E152-'Invoer gegevens (N)'!$C$17-14.5&lt;0,0,E152-'Invoer gegevens (N)'!$C$17-14.5)</f>
        <v>132.5</v>
      </c>
    </row>
    <row r="153" spans="1:52" x14ac:dyDescent="0.25">
      <c r="A153" s="59"/>
      <c r="B153" s="70">
        <f t="shared" si="31"/>
        <v>149</v>
      </c>
      <c r="C153" s="67">
        <f ca="1">IF(E153-'Invoer gegevens (N)'!$C$17&lt;0,0,1)</f>
        <v>1</v>
      </c>
      <c r="D153" s="68">
        <f t="shared" si="32"/>
        <v>148.5</v>
      </c>
      <c r="E153" s="69">
        <f ca="1">IF('Invoer gegevens (N)'!$C$16="","",E152+1)</f>
        <v>2167</v>
      </c>
      <c r="F153" s="84">
        <f ca="1">IF('Invoer gegevens (N)'!$C$17=E153,'Invoer gegevens (N)'!$C$10,IF(C153=1,K152,0))</f>
        <v>0</v>
      </c>
      <c r="G153" s="96">
        <f ca="1">IF(C153&gt;=1,F153*VLOOKUP(E153,'Reeksen (N)'!$A$5:$B$76,2),0)</f>
        <v>0</v>
      </c>
      <c r="H153" s="84">
        <f ca="1">(1-('Invoer gegevens (N)'!$F$20/12))*F153*MIN('Reeksen (N)'!B153,'Reeksen (N)'!D153)</f>
        <v>0</v>
      </c>
      <c r="I153" s="84">
        <f>IF('Reeksen (N)'!D153&lt;'Reeksen (N)'!B153,('Reeksen (N)'!B153-'Reeksen (N)'!D153)*F153,0)</f>
        <v>0</v>
      </c>
      <c r="J153" s="84">
        <f ca="1">('Invoer gegevens (N)'!$F$20/12)*F152*MIN('Reeksen (N)'!B152,'Reeksen (N)'!D152)</f>
        <v>0</v>
      </c>
      <c r="K153" s="97">
        <f t="shared" ca="1" si="22"/>
        <v>0</v>
      </c>
      <c r="L153" s="84">
        <f ca="1">IF('Invoer gegevens (N)'!$C$17=E153,0,IF(C153=1,Q152,0))</f>
        <v>0</v>
      </c>
      <c r="M153" s="96">
        <f ca="1">IF(C153&gt;=1,L153*VLOOKUP(E153,'Reeksen (N)'!$A$5:$B$76,2),0)</f>
        <v>0</v>
      </c>
      <c r="N153" s="84">
        <f ca="1">(1-('Invoer gegevens (N)'!$F$20/12))*L153*MIN('Reeksen (N)'!B153,'Reeksen (N)'!D153)</f>
        <v>0</v>
      </c>
      <c r="O153" s="84">
        <f>IF('Reeksen (N)'!D153&lt;'Reeksen (N)'!B153,('Reeksen (N)'!B153-'Reeksen (N)'!D153)*L153,0)</f>
        <v>0</v>
      </c>
      <c r="P153" s="84">
        <f ca="1">('Invoer gegevens (N)'!$F$20/12)*L152*MIN('Reeksen (N)'!B152,'Reeksen (N)'!D152)</f>
        <v>0</v>
      </c>
      <c r="Q153" s="84">
        <f t="shared" ca="1" si="23"/>
        <v>0</v>
      </c>
      <c r="R153" s="82">
        <f ca="1">IF('Invoer gegevens (N)'!$C$17=E153,'Invoer gegevens (N)'!$C$11,IF(C153=1,W152,0))</f>
        <v>0</v>
      </c>
      <c r="S153" s="86">
        <f ca="1">IF(C153&gt;=1,R153*VLOOKUP(E153,'Reeksen (N)'!$A$5:$B$76,2),0)</f>
        <v>0</v>
      </c>
      <c r="T153" s="84">
        <f ca="1">(1-('Invoer gegevens (N)'!$F$20/12))*R153*MIN('Reeksen (N)'!B153,'Reeksen (N)'!D153)</f>
        <v>0</v>
      </c>
      <c r="U153" s="84">
        <f>IF('Reeksen (N)'!D153&gt;='Reeksen (N)'!B153,0,IF('Reeksen (N)'!AD153&lt;='Reeksen (N)'!AE153,('Reeksen (N)'!B153-'Reeksen (N)'!D153)*R153,0))</f>
        <v>0</v>
      </c>
      <c r="V153" s="86">
        <f>IF('Reeksen (N)'!D153&gt;='Reeksen (N)'!B153,0,IF('Reeksen (N)'!AD153&gt;'Reeksen (N)'!AE153,('Reeksen (N)'!B153-'Reeksen (N)'!D153)*R153,0))</f>
        <v>0</v>
      </c>
      <c r="W153" s="97">
        <f t="shared" ca="1" si="24"/>
        <v>0</v>
      </c>
      <c r="X153" s="98">
        <f ca="1">IF('Invoer gegevens (N)'!$C$17=E153,'Invoer gegevens (N)'!$C$10-'Invoer gegevens (N)'!$C$11,IF(C153=1,AC152,0))</f>
        <v>0</v>
      </c>
      <c r="Y153" s="98">
        <f ca="1">IF(C153&gt;=1,X153*VLOOKUP(E153,'Reeksen (N)'!$A$5:$B$76,2),0)</f>
        <v>0</v>
      </c>
      <c r="Z153" s="98">
        <f ca="1">(1-('Invoer gegevens (N)'!$F$20/12))*X153*MIN('Reeksen (N)'!B153,'Reeksen (N)'!D153)</f>
        <v>0</v>
      </c>
      <c r="AA153" s="98">
        <f>IF('Reeksen (N)'!D153&gt;='Reeksen (N)'!B153,0,IF('Reeksen (N)'!AD153&lt;='Reeksen (N)'!AE153,('Reeksen (N)'!B153-'Reeksen (N)'!D153)*X153,0))</f>
        <v>0</v>
      </c>
      <c r="AB153" s="98">
        <f>IF('Reeksen (N)'!D153&gt;='Reeksen (N)'!B153,0,IF('Reeksen (N)'!AD153&gt;'Reeksen (N)'!AE153,('Reeksen (N)'!B153-'Reeksen (N)'!D153)*X153,0))</f>
        <v>0</v>
      </c>
      <c r="AC153" s="99">
        <f t="shared" ca="1" si="25"/>
        <v>0</v>
      </c>
      <c r="AD153" s="98">
        <f ca="1">IF('Invoer gegevens (N)'!$C$17=E153,R153,IF(C153=0,0,AE152))</f>
        <v>0</v>
      </c>
      <c r="AE153" s="98">
        <f t="shared" ca="1" si="26"/>
        <v>0</v>
      </c>
      <c r="AF153" s="98">
        <f ca="1">IF('Invoer gegevens (N)'!$C$17=E153,X153,IF(C153=0,0,AG152))</f>
        <v>0</v>
      </c>
      <c r="AG153" s="98">
        <f t="shared" ca="1" si="27"/>
        <v>0</v>
      </c>
      <c r="AH153" s="66"/>
      <c r="AI153" s="71">
        <f ca="1">IF(C153=1,'Reeksen (N)'!AI153*((F153-G153+F153)/2)*12+'Reeksen (N)'!AD153*((L153-M153+L153)/2)*12,0)</f>
        <v>0</v>
      </c>
      <c r="AJ153" s="71">
        <f ca="1">-AI153*'Invoer gegevens (N)'!$F$28</f>
        <v>0</v>
      </c>
      <c r="AK153" s="71">
        <f t="shared" ca="1" si="28"/>
        <v>0</v>
      </c>
      <c r="AL153" s="71">
        <f ca="1">IF(C153=1,'Reeksen (N)'!AL153*((F153-G153+F153)/2)*12+'Reeksen (N)'!AM153*((L153-M153+L153)/2)*12,0)</f>
        <v>0</v>
      </c>
      <c r="AM153" s="71">
        <f ca="1">-AL153*'Invoer gegevens (N)'!$F$31</f>
        <v>0</v>
      </c>
      <c r="AN153" s="71">
        <f t="shared" ca="1" si="29"/>
        <v>0</v>
      </c>
      <c r="AO153" s="71">
        <f ca="1">IF(C153=1,(H153+J153+N153+P153)*'Reeksen (N)'!AN153,0)</f>
        <v>0</v>
      </c>
      <c r="AP153" s="71">
        <f ca="1">-IF(C153=1,(H153+J153+N153+P153)*'Hulp - basis'!$O$550*'Reeksen (N)'!H153,0)</f>
        <v>0</v>
      </c>
      <c r="AQ153" s="71">
        <f ca="1">-IF(C153=1,(F153+K153+L153+Q153)/2*'Invoer gegevens (N)'!$F$35*'Reeksen (N)'!J153,0)*2</f>
        <v>0</v>
      </c>
      <c r="AR153" s="71"/>
      <c r="AS153" s="71">
        <f ca="1">-IF(C153=1,(F153+K153+L153+Q153)/2*'Invoer gegevens (N)'!$F$37*'Reeksen (N)'!L153,0)</f>
        <v>0</v>
      </c>
      <c r="AT153" s="71">
        <f ca="1">-IF(C153=1,IF(E153='Invoer gegevens (N)'!$C$17,'Invoer gegevens (N)'!$C$11,AD153)*'Reeksen (N)'!S153*'Invoer gegevens (N)'!$C$18*'Reeksen (N)'!P153,0)</f>
        <v>0</v>
      </c>
      <c r="AU153" s="71">
        <f ca="1">-IF(C153=1,(F153+K153+L153+Q153)/2*'Invoer gegevens (N)'!$F$38*'Reeksen (N)'!H153,0)</f>
        <v>0</v>
      </c>
      <c r="AV153" s="71">
        <v>0</v>
      </c>
      <c r="AW153" s="71">
        <f t="shared" ca="1" si="30"/>
        <v>0</v>
      </c>
      <c r="AX153" s="71">
        <f ca="1">IF(E153&lt;'Invoer gegevens (N)'!$C$17+15,0,IF(E153&gt;'Invoer gegevens (N)'!$C$17+215,0,AW153))</f>
        <v>0</v>
      </c>
      <c r="AY153" s="71">
        <f ca="1">AX153/(1+'Invoer gegevens (N)'!$F$18)^($AZ153-('Invoer gegevens (N)'!$C$17-'Invoer gegevens (N)'!$C$16))/(1+'Invoer gegevens (N)'!$C$39)^('Invoer gegevens (N)'!$C$17-'Invoer gegevens (N)'!$C$16)</f>
        <v>0</v>
      </c>
      <c r="AZ153" s="68">
        <f ca="1">IF(E153-'Invoer gegevens (N)'!$C$17-14.5&lt;0,0,E153-'Invoer gegevens (N)'!$C$17-14.5)</f>
        <v>133.5</v>
      </c>
    </row>
    <row r="154" spans="1:52" x14ac:dyDescent="0.25">
      <c r="A154" s="59"/>
      <c r="B154" s="70">
        <f t="shared" si="31"/>
        <v>150</v>
      </c>
      <c r="C154" s="67">
        <f ca="1">IF(E154-'Invoer gegevens (N)'!$C$17&lt;0,0,1)</f>
        <v>1</v>
      </c>
      <c r="D154" s="68">
        <f t="shared" si="32"/>
        <v>149.5</v>
      </c>
      <c r="E154" s="69">
        <f ca="1">IF('Invoer gegevens (N)'!$C$16="","",E153+1)</f>
        <v>2168</v>
      </c>
      <c r="F154" s="84">
        <f ca="1">IF('Invoer gegevens (N)'!$C$17=E154,'Invoer gegevens (N)'!$C$10,IF(C154=1,K153,0))</f>
        <v>0</v>
      </c>
      <c r="G154" s="96">
        <f ca="1">IF(C154&gt;=1,F154*VLOOKUP(E154,'Reeksen (N)'!$A$5:$B$76,2),0)</f>
        <v>0</v>
      </c>
      <c r="H154" s="84">
        <f ca="1">(1-('Invoer gegevens (N)'!$F$20/12))*F154*MIN('Reeksen (N)'!B154,'Reeksen (N)'!D154)</f>
        <v>0</v>
      </c>
      <c r="I154" s="84">
        <f>IF('Reeksen (N)'!D154&lt;'Reeksen (N)'!B154,('Reeksen (N)'!B154-'Reeksen (N)'!D154)*F154,0)</f>
        <v>0</v>
      </c>
      <c r="J154" s="84">
        <f ca="1">('Invoer gegevens (N)'!$F$20/12)*F153*MIN('Reeksen (N)'!B153,'Reeksen (N)'!D153)</f>
        <v>0</v>
      </c>
      <c r="K154" s="97">
        <f t="shared" ca="1" si="22"/>
        <v>0</v>
      </c>
      <c r="L154" s="84">
        <f ca="1">IF('Invoer gegevens (N)'!$C$17=E154,0,IF(C154=1,Q153,0))</f>
        <v>0</v>
      </c>
      <c r="M154" s="96">
        <f ca="1">IF(C154&gt;=1,L154*VLOOKUP(E154,'Reeksen (N)'!$A$5:$B$76,2),0)</f>
        <v>0</v>
      </c>
      <c r="N154" s="84">
        <f ca="1">(1-('Invoer gegevens (N)'!$F$20/12))*L154*MIN('Reeksen (N)'!B154,'Reeksen (N)'!D154)</f>
        <v>0</v>
      </c>
      <c r="O154" s="84">
        <f>IF('Reeksen (N)'!D154&lt;'Reeksen (N)'!B154,('Reeksen (N)'!B154-'Reeksen (N)'!D154)*L154,0)</f>
        <v>0</v>
      </c>
      <c r="P154" s="84">
        <f ca="1">('Invoer gegevens (N)'!$F$20/12)*L153*MIN('Reeksen (N)'!B153,'Reeksen (N)'!D153)</f>
        <v>0</v>
      </c>
      <c r="Q154" s="84">
        <f t="shared" ca="1" si="23"/>
        <v>0</v>
      </c>
      <c r="R154" s="82">
        <f ca="1">IF('Invoer gegevens (N)'!$C$17=E154,'Invoer gegevens (N)'!$C$11,IF(C154=1,W153,0))</f>
        <v>0</v>
      </c>
      <c r="S154" s="86">
        <f ca="1">IF(C154&gt;=1,R154*VLOOKUP(E154,'Reeksen (N)'!$A$5:$B$76,2),0)</f>
        <v>0</v>
      </c>
      <c r="T154" s="84">
        <f ca="1">(1-('Invoer gegevens (N)'!$F$20/12))*R154*MIN('Reeksen (N)'!B154,'Reeksen (N)'!D154)</f>
        <v>0</v>
      </c>
      <c r="U154" s="84">
        <f>IF('Reeksen (N)'!D154&gt;='Reeksen (N)'!B154,0,IF('Reeksen (N)'!AD154&lt;='Reeksen (N)'!AE154,('Reeksen (N)'!B154-'Reeksen (N)'!D154)*R154,0))</f>
        <v>0</v>
      </c>
      <c r="V154" s="86">
        <f>IF('Reeksen (N)'!D154&gt;='Reeksen (N)'!B154,0,IF('Reeksen (N)'!AD154&gt;'Reeksen (N)'!AE154,('Reeksen (N)'!B154-'Reeksen (N)'!D154)*R154,0))</f>
        <v>0</v>
      </c>
      <c r="W154" s="97">
        <f t="shared" ca="1" si="24"/>
        <v>0</v>
      </c>
      <c r="X154" s="98">
        <f ca="1">IF('Invoer gegevens (N)'!$C$17=E154,'Invoer gegevens (N)'!$C$10-'Invoer gegevens (N)'!$C$11,IF(C154=1,AC153,0))</f>
        <v>0</v>
      </c>
      <c r="Y154" s="98">
        <f ca="1">IF(C154&gt;=1,X154*VLOOKUP(E154,'Reeksen (N)'!$A$5:$B$76,2),0)</f>
        <v>0</v>
      </c>
      <c r="Z154" s="98">
        <f ca="1">(1-('Invoer gegevens (N)'!$F$20/12))*X154*MIN('Reeksen (N)'!B154,'Reeksen (N)'!D154)</f>
        <v>0</v>
      </c>
      <c r="AA154" s="98">
        <f>IF('Reeksen (N)'!D154&gt;='Reeksen (N)'!B154,0,IF('Reeksen (N)'!AD154&lt;='Reeksen (N)'!AE154,('Reeksen (N)'!B154-'Reeksen (N)'!D154)*X154,0))</f>
        <v>0</v>
      </c>
      <c r="AB154" s="98">
        <f>IF('Reeksen (N)'!D154&gt;='Reeksen (N)'!B154,0,IF('Reeksen (N)'!AD154&gt;'Reeksen (N)'!AE154,('Reeksen (N)'!B154-'Reeksen (N)'!D154)*X154,0))</f>
        <v>0</v>
      </c>
      <c r="AC154" s="99">
        <f t="shared" ca="1" si="25"/>
        <v>0</v>
      </c>
      <c r="AD154" s="98">
        <f ca="1">IF('Invoer gegevens (N)'!$C$17=E154,R154,IF(C154=0,0,AE153))</f>
        <v>0</v>
      </c>
      <c r="AE154" s="98">
        <f t="shared" ca="1" si="26"/>
        <v>0</v>
      </c>
      <c r="AF154" s="98">
        <f ca="1">IF('Invoer gegevens (N)'!$C$17=E154,X154,IF(C154=0,0,AG153))</f>
        <v>0</v>
      </c>
      <c r="AG154" s="98">
        <f t="shared" ca="1" si="27"/>
        <v>0</v>
      </c>
      <c r="AH154" s="66"/>
      <c r="AI154" s="71">
        <f ca="1">IF(C154=1,'Reeksen (N)'!AI154*((F154-G154+F154)/2)*12+'Reeksen (N)'!AD154*((L154-M154+L154)/2)*12,0)</f>
        <v>0</v>
      </c>
      <c r="AJ154" s="71">
        <f ca="1">-AI154*'Invoer gegevens (N)'!$F$28</f>
        <v>0</v>
      </c>
      <c r="AK154" s="71">
        <f t="shared" ca="1" si="28"/>
        <v>0</v>
      </c>
      <c r="AL154" s="71">
        <f ca="1">IF(C154=1,'Reeksen (N)'!AL154*((F154-G154+F154)/2)*12+'Reeksen (N)'!AM154*((L154-M154+L154)/2)*12,0)</f>
        <v>0</v>
      </c>
      <c r="AM154" s="71">
        <f ca="1">-AL154*'Invoer gegevens (N)'!$F$31</f>
        <v>0</v>
      </c>
      <c r="AN154" s="71">
        <f t="shared" ca="1" si="29"/>
        <v>0</v>
      </c>
      <c r="AO154" s="71">
        <f ca="1">IF(C154=1,(H154+J154+N154+P154)*'Reeksen (N)'!AN154,0)</f>
        <v>0</v>
      </c>
      <c r="AP154" s="71">
        <f ca="1">-IF(C154=1,(H154+J154+N154+P154)*'Hulp - basis'!$O$550*'Reeksen (N)'!H154,0)</f>
        <v>0</v>
      </c>
      <c r="AQ154" s="71">
        <f ca="1">-IF(C154=1,(F154+K154+L154+Q154)/2*'Invoer gegevens (N)'!$F$35*'Reeksen (N)'!J154,0)*2</f>
        <v>0</v>
      </c>
      <c r="AR154" s="71"/>
      <c r="AS154" s="71">
        <f ca="1">-IF(C154=1,(F154+K154+L154+Q154)/2*'Invoer gegevens (N)'!$F$37*'Reeksen (N)'!L154,0)</f>
        <v>0</v>
      </c>
      <c r="AT154" s="71">
        <f ca="1">-IF(C154=1,IF(E154='Invoer gegevens (N)'!$C$17,'Invoer gegevens (N)'!$C$11,AD154)*'Reeksen (N)'!S154*'Invoer gegevens (N)'!$C$18*'Reeksen (N)'!P154,0)</f>
        <v>0</v>
      </c>
      <c r="AU154" s="71">
        <f ca="1">-IF(C154=1,(F154+K154+L154+Q154)/2*'Invoer gegevens (N)'!$F$38*'Reeksen (N)'!H154,0)</f>
        <v>0</v>
      </c>
      <c r="AV154" s="71">
        <v>0</v>
      </c>
      <c r="AW154" s="71">
        <f t="shared" ca="1" si="30"/>
        <v>0</v>
      </c>
      <c r="AX154" s="71">
        <f ca="1">IF(E154&lt;'Invoer gegevens (N)'!$C$17+15,0,IF(E154&gt;'Invoer gegevens (N)'!$C$17+215,0,AW154))</f>
        <v>0</v>
      </c>
      <c r="AY154" s="71">
        <f ca="1">AX154/(1+'Invoer gegevens (N)'!$F$18)^($AZ154-('Invoer gegevens (N)'!$C$17-'Invoer gegevens (N)'!$C$16))/(1+'Invoer gegevens (N)'!$C$39)^('Invoer gegevens (N)'!$C$17-'Invoer gegevens (N)'!$C$16)</f>
        <v>0</v>
      </c>
      <c r="AZ154" s="68">
        <f ca="1">IF(E154-'Invoer gegevens (N)'!$C$17-14.5&lt;0,0,E154-'Invoer gegevens (N)'!$C$17-14.5)</f>
        <v>134.5</v>
      </c>
    </row>
    <row r="155" spans="1:52" x14ac:dyDescent="0.25">
      <c r="A155" s="59"/>
      <c r="B155" s="70">
        <f t="shared" si="31"/>
        <v>151</v>
      </c>
      <c r="C155" s="67">
        <f ca="1">IF(E155-'Invoer gegevens (N)'!$C$17&lt;0,0,1)</f>
        <v>1</v>
      </c>
      <c r="D155" s="68">
        <f t="shared" si="32"/>
        <v>150.5</v>
      </c>
      <c r="E155" s="69">
        <f ca="1">IF('Invoer gegevens (N)'!$C$16="","",E154+1)</f>
        <v>2169</v>
      </c>
      <c r="F155" s="84">
        <f ca="1">IF('Invoer gegevens (N)'!$C$17=E155,'Invoer gegevens (N)'!$C$10,IF(C155=1,K154,0))</f>
        <v>0</v>
      </c>
      <c r="G155" s="96">
        <f ca="1">IF(C155&gt;=1,F155*VLOOKUP(E155,'Reeksen (N)'!$A$5:$B$76,2),0)</f>
        <v>0</v>
      </c>
      <c r="H155" s="84">
        <f ca="1">(1-('Invoer gegevens (N)'!$F$20/12))*F155*MIN('Reeksen (N)'!B155,'Reeksen (N)'!D155)</f>
        <v>0</v>
      </c>
      <c r="I155" s="84">
        <f>IF('Reeksen (N)'!D155&lt;'Reeksen (N)'!B155,('Reeksen (N)'!B155-'Reeksen (N)'!D155)*F155,0)</f>
        <v>0</v>
      </c>
      <c r="J155" s="84">
        <f ca="1">('Invoer gegevens (N)'!$F$20/12)*F154*MIN('Reeksen (N)'!B154,'Reeksen (N)'!D154)</f>
        <v>0</v>
      </c>
      <c r="K155" s="97">
        <f t="shared" ca="1" si="22"/>
        <v>0</v>
      </c>
      <c r="L155" s="84">
        <f ca="1">IF('Invoer gegevens (N)'!$C$17=E155,0,IF(C155=1,Q154,0))</f>
        <v>0</v>
      </c>
      <c r="M155" s="96">
        <f ca="1">IF(C155&gt;=1,L155*VLOOKUP(E155,'Reeksen (N)'!$A$5:$B$76,2),0)</f>
        <v>0</v>
      </c>
      <c r="N155" s="84">
        <f ca="1">(1-('Invoer gegevens (N)'!$F$20/12))*L155*MIN('Reeksen (N)'!B155,'Reeksen (N)'!D155)</f>
        <v>0</v>
      </c>
      <c r="O155" s="84">
        <f>IF('Reeksen (N)'!D155&lt;'Reeksen (N)'!B155,('Reeksen (N)'!B155-'Reeksen (N)'!D155)*L155,0)</f>
        <v>0</v>
      </c>
      <c r="P155" s="84">
        <f ca="1">('Invoer gegevens (N)'!$F$20/12)*L154*MIN('Reeksen (N)'!B154,'Reeksen (N)'!D154)</f>
        <v>0</v>
      </c>
      <c r="Q155" s="84">
        <f t="shared" ca="1" si="23"/>
        <v>0</v>
      </c>
      <c r="R155" s="82">
        <f ca="1">IF('Invoer gegevens (N)'!$C$17=E155,'Invoer gegevens (N)'!$C$11,IF(C155=1,W154,0))</f>
        <v>0</v>
      </c>
      <c r="S155" s="86">
        <f ca="1">IF(C155&gt;=1,R155*VLOOKUP(E155,'Reeksen (N)'!$A$5:$B$76,2),0)</f>
        <v>0</v>
      </c>
      <c r="T155" s="84">
        <f ca="1">(1-('Invoer gegevens (N)'!$F$20/12))*R155*MIN('Reeksen (N)'!B155,'Reeksen (N)'!D155)</f>
        <v>0</v>
      </c>
      <c r="U155" s="84">
        <f>IF('Reeksen (N)'!D155&gt;='Reeksen (N)'!B155,0,IF('Reeksen (N)'!AD155&lt;='Reeksen (N)'!AE155,('Reeksen (N)'!B155-'Reeksen (N)'!D155)*R155,0))</f>
        <v>0</v>
      </c>
      <c r="V155" s="86">
        <f>IF('Reeksen (N)'!D155&gt;='Reeksen (N)'!B155,0,IF('Reeksen (N)'!AD155&gt;'Reeksen (N)'!AE155,('Reeksen (N)'!B155-'Reeksen (N)'!D155)*R155,0))</f>
        <v>0</v>
      </c>
      <c r="W155" s="97">
        <f t="shared" ca="1" si="24"/>
        <v>0</v>
      </c>
      <c r="X155" s="98">
        <f ca="1">IF('Invoer gegevens (N)'!$C$17=E155,'Invoer gegevens (N)'!$C$10-'Invoer gegevens (N)'!$C$11,IF(C155=1,AC154,0))</f>
        <v>0</v>
      </c>
      <c r="Y155" s="98">
        <f ca="1">IF(C155&gt;=1,X155*VLOOKUP(E155,'Reeksen (N)'!$A$5:$B$76,2),0)</f>
        <v>0</v>
      </c>
      <c r="Z155" s="98">
        <f ca="1">(1-('Invoer gegevens (N)'!$F$20/12))*X155*MIN('Reeksen (N)'!B155,'Reeksen (N)'!D155)</f>
        <v>0</v>
      </c>
      <c r="AA155" s="98">
        <f>IF('Reeksen (N)'!D155&gt;='Reeksen (N)'!B155,0,IF('Reeksen (N)'!AD155&lt;='Reeksen (N)'!AE155,('Reeksen (N)'!B155-'Reeksen (N)'!D155)*X155,0))</f>
        <v>0</v>
      </c>
      <c r="AB155" s="98">
        <f>IF('Reeksen (N)'!D155&gt;='Reeksen (N)'!B155,0,IF('Reeksen (N)'!AD155&gt;'Reeksen (N)'!AE155,('Reeksen (N)'!B155-'Reeksen (N)'!D155)*X155,0))</f>
        <v>0</v>
      </c>
      <c r="AC155" s="99">
        <f t="shared" ca="1" si="25"/>
        <v>0</v>
      </c>
      <c r="AD155" s="98">
        <f ca="1">IF('Invoer gegevens (N)'!$C$17=E155,R155,IF(C155=0,0,AE154))</f>
        <v>0</v>
      </c>
      <c r="AE155" s="98">
        <f t="shared" ca="1" si="26"/>
        <v>0</v>
      </c>
      <c r="AF155" s="98">
        <f ca="1">IF('Invoer gegevens (N)'!$C$17=E155,X155,IF(C155=0,0,AG154))</f>
        <v>0</v>
      </c>
      <c r="AG155" s="98">
        <f t="shared" ca="1" si="27"/>
        <v>0</v>
      </c>
      <c r="AH155" s="66"/>
      <c r="AI155" s="71">
        <f ca="1">IF(C155=1,'Reeksen (N)'!AI155*((F155-G155+F155)/2)*12+'Reeksen (N)'!AD155*((L155-M155+L155)/2)*12,0)</f>
        <v>0</v>
      </c>
      <c r="AJ155" s="71">
        <f ca="1">-AI155*'Invoer gegevens (N)'!$F$28</f>
        <v>0</v>
      </c>
      <c r="AK155" s="71">
        <f t="shared" ca="1" si="28"/>
        <v>0</v>
      </c>
      <c r="AL155" s="71">
        <f ca="1">IF(C155=1,'Reeksen (N)'!AL155*((F155-G155+F155)/2)*12+'Reeksen (N)'!AM155*((L155-M155+L155)/2)*12,0)</f>
        <v>0</v>
      </c>
      <c r="AM155" s="71">
        <f ca="1">-AL155*'Invoer gegevens (N)'!$F$31</f>
        <v>0</v>
      </c>
      <c r="AN155" s="71">
        <f t="shared" ca="1" si="29"/>
        <v>0</v>
      </c>
      <c r="AO155" s="71">
        <f ca="1">IF(C155=1,(H155+J155+N155+P155)*'Reeksen (N)'!AN155,0)</f>
        <v>0</v>
      </c>
      <c r="AP155" s="71">
        <f ca="1">-IF(C155=1,(H155+J155+N155+P155)*'Hulp - basis'!$O$550*'Reeksen (N)'!H155,0)</f>
        <v>0</v>
      </c>
      <c r="AQ155" s="71">
        <f ca="1">-IF(C155=1,(F155+K155+L155+Q155)/2*'Invoer gegevens (N)'!$F$35*'Reeksen (N)'!J155,0)*2</f>
        <v>0</v>
      </c>
      <c r="AR155" s="71"/>
      <c r="AS155" s="71">
        <f ca="1">-IF(C155=1,(F155+K155+L155+Q155)/2*'Invoer gegevens (N)'!$F$37*'Reeksen (N)'!L155,0)</f>
        <v>0</v>
      </c>
      <c r="AT155" s="71">
        <f ca="1">-IF(C155=1,IF(E155='Invoer gegevens (N)'!$C$17,'Invoer gegevens (N)'!$C$11,AD155)*'Reeksen (N)'!S155*'Invoer gegevens (N)'!$C$18*'Reeksen (N)'!P155,0)</f>
        <v>0</v>
      </c>
      <c r="AU155" s="71">
        <f ca="1">-IF(C155=1,(F155+K155+L155+Q155)/2*'Invoer gegevens (N)'!$F$38*'Reeksen (N)'!H155,0)</f>
        <v>0</v>
      </c>
      <c r="AV155" s="71">
        <v>0</v>
      </c>
      <c r="AW155" s="71">
        <f t="shared" ca="1" si="30"/>
        <v>0</v>
      </c>
      <c r="AX155" s="71">
        <f ca="1">IF(E155&lt;'Invoer gegevens (N)'!$C$17+15,0,IF(E155&gt;'Invoer gegevens (N)'!$C$17+215,0,AW155))</f>
        <v>0</v>
      </c>
      <c r="AY155" s="71">
        <f ca="1">AX155/(1+'Invoer gegevens (N)'!$F$18)^($AZ155-('Invoer gegevens (N)'!$C$17-'Invoer gegevens (N)'!$C$16))/(1+'Invoer gegevens (N)'!$C$39)^('Invoer gegevens (N)'!$C$17-'Invoer gegevens (N)'!$C$16)</f>
        <v>0</v>
      </c>
      <c r="AZ155" s="68">
        <f ca="1">IF(E155-'Invoer gegevens (N)'!$C$17-14.5&lt;0,0,E155-'Invoer gegevens (N)'!$C$17-14.5)</f>
        <v>135.5</v>
      </c>
    </row>
    <row r="156" spans="1:52" x14ac:dyDescent="0.25">
      <c r="A156" s="59"/>
      <c r="B156" s="70">
        <f t="shared" si="31"/>
        <v>152</v>
      </c>
      <c r="C156" s="67">
        <f ca="1">IF(E156-'Invoer gegevens (N)'!$C$17&lt;0,0,1)</f>
        <v>1</v>
      </c>
      <c r="D156" s="68">
        <f t="shared" si="32"/>
        <v>151.5</v>
      </c>
      <c r="E156" s="69">
        <f ca="1">IF('Invoer gegevens (N)'!$C$16="","",E155+1)</f>
        <v>2170</v>
      </c>
      <c r="F156" s="84">
        <f ca="1">IF('Invoer gegevens (N)'!$C$17=E156,'Invoer gegevens (N)'!$C$10,IF(C156=1,K155,0))</f>
        <v>0</v>
      </c>
      <c r="G156" s="96">
        <f ca="1">IF(C156&gt;=1,F156*VLOOKUP(E156,'Reeksen (N)'!$A$5:$B$76,2),0)</f>
        <v>0</v>
      </c>
      <c r="H156" s="84">
        <f ca="1">(1-('Invoer gegevens (N)'!$F$20/12))*F156*MIN('Reeksen (N)'!B156,'Reeksen (N)'!D156)</f>
        <v>0</v>
      </c>
      <c r="I156" s="84">
        <f>IF('Reeksen (N)'!D156&lt;'Reeksen (N)'!B156,('Reeksen (N)'!B156-'Reeksen (N)'!D156)*F156,0)</f>
        <v>0</v>
      </c>
      <c r="J156" s="84">
        <f ca="1">('Invoer gegevens (N)'!$F$20/12)*F155*MIN('Reeksen (N)'!B155,'Reeksen (N)'!D155)</f>
        <v>0</v>
      </c>
      <c r="K156" s="97">
        <f t="shared" ca="1" si="22"/>
        <v>0</v>
      </c>
      <c r="L156" s="84">
        <f ca="1">IF('Invoer gegevens (N)'!$C$17=E156,0,IF(C156=1,Q155,0))</f>
        <v>0</v>
      </c>
      <c r="M156" s="96">
        <f ca="1">IF(C156&gt;=1,L156*VLOOKUP(E156,'Reeksen (N)'!$A$5:$B$76,2),0)</f>
        <v>0</v>
      </c>
      <c r="N156" s="84">
        <f ca="1">(1-('Invoer gegevens (N)'!$F$20/12))*L156*MIN('Reeksen (N)'!B156,'Reeksen (N)'!D156)</f>
        <v>0</v>
      </c>
      <c r="O156" s="84">
        <f>IF('Reeksen (N)'!D156&lt;'Reeksen (N)'!B156,('Reeksen (N)'!B156-'Reeksen (N)'!D156)*L156,0)</f>
        <v>0</v>
      </c>
      <c r="P156" s="84">
        <f ca="1">('Invoer gegevens (N)'!$F$20/12)*L155*MIN('Reeksen (N)'!B155,'Reeksen (N)'!D155)</f>
        <v>0</v>
      </c>
      <c r="Q156" s="84">
        <f t="shared" ca="1" si="23"/>
        <v>0</v>
      </c>
      <c r="R156" s="82">
        <f ca="1">IF('Invoer gegevens (N)'!$C$17=E156,'Invoer gegevens (N)'!$C$11,IF(C156=1,W155,0))</f>
        <v>0</v>
      </c>
      <c r="S156" s="86">
        <f ca="1">IF(C156&gt;=1,R156*VLOOKUP(E156,'Reeksen (N)'!$A$5:$B$76,2),0)</f>
        <v>0</v>
      </c>
      <c r="T156" s="84">
        <f ca="1">(1-('Invoer gegevens (N)'!$F$20/12))*R156*MIN('Reeksen (N)'!B156,'Reeksen (N)'!D156)</f>
        <v>0</v>
      </c>
      <c r="U156" s="84">
        <f>IF('Reeksen (N)'!D156&gt;='Reeksen (N)'!B156,0,IF('Reeksen (N)'!AD156&lt;='Reeksen (N)'!AE156,('Reeksen (N)'!B156-'Reeksen (N)'!D156)*R156,0))</f>
        <v>0</v>
      </c>
      <c r="V156" s="86">
        <f>IF('Reeksen (N)'!D156&gt;='Reeksen (N)'!B156,0,IF('Reeksen (N)'!AD156&gt;'Reeksen (N)'!AE156,('Reeksen (N)'!B156-'Reeksen (N)'!D156)*R156,0))</f>
        <v>0</v>
      </c>
      <c r="W156" s="97">
        <f t="shared" ca="1" si="24"/>
        <v>0</v>
      </c>
      <c r="X156" s="98">
        <f ca="1">IF('Invoer gegevens (N)'!$C$17=E156,'Invoer gegevens (N)'!$C$10-'Invoer gegevens (N)'!$C$11,IF(C156=1,AC155,0))</f>
        <v>0</v>
      </c>
      <c r="Y156" s="98">
        <f ca="1">IF(C156&gt;=1,X156*VLOOKUP(E156,'Reeksen (N)'!$A$5:$B$76,2),0)</f>
        <v>0</v>
      </c>
      <c r="Z156" s="98">
        <f ca="1">(1-('Invoer gegevens (N)'!$F$20/12))*X156*MIN('Reeksen (N)'!B156,'Reeksen (N)'!D156)</f>
        <v>0</v>
      </c>
      <c r="AA156" s="98">
        <f>IF('Reeksen (N)'!D156&gt;='Reeksen (N)'!B156,0,IF('Reeksen (N)'!AD156&lt;='Reeksen (N)'!AE156,('Reeksen (N)'!B156-'Reeksen (N)'!D156)*X156,0))</f>
        <v>0</v>
      </c>
      <c r="AB156" s="98">
        <f>IF('Reeksen (N)'!D156&gt;='Reeksen (N)'!B156,0,IF('Reeksen (N)'!AD156&gt;'Reeksen (N)'!AE156,('Reeksen (N)'!B156-'Reeksen (N)'!D156)*X156,0))</f>
        <v>0</v>
      </c>
      <c r="AC156" s="99">
        <f t="shared" ca="1" si="25"/>
        <v>0</v>
      </c>
      <c r="AD156" s="98">
        <f ca="1">IF('Invoer gegevens (N)'!$C$17=E156,R156,IF(C156=0,0,AE155))</f>
        <v>0</v>
      </c>
      <c r="AE156" s="98">
        <f t="shared" ca="1" si="26"/>
        <v>0</v>
      </c>
      <c r="AF156" s="98">
        <f ca="1">IF('Invoer gegevens (N)'!$C$17=E156,X156,IF(C156=0,0,AG155))</f>
        <v>0</v>
      </c>
      <c r="AG156" s="98">
        <f t="shared" ca="1" si="27"/>
        <v>0</v>
      </c>
      <c r="AH156" s="66"/>
      <c r="AI156" s="71">
        <f ca="1">IF(C156=1,'Reeksen (N)'!AI156*((F156-G156+F156)/2)*12+'Reeksen (N)'!AD156*((L156-M156+L156)/2)*12,0)</f>
        <v>0</v>
      </c>
      <c r="AJ156" s="71">
        <f ca="1">-AI156*'Invoer gegevens (N)'!$F$28</f>
        <v>0</v>
      </c>
      <c r="AK156" s="71">
        <f t="shared" ca="1" si="28"/>
        <v>0</v>
      </c>
      <c r="AL156" s="71">
        <f ca="1">IF(C156=1,'Reeksen (N)'!AL156*((F156-G156+F156)/2)*12+'Reeksen (N)'!AM156*((L156-M156+L156)/2)*12,0)</f>
        <v>0</v>
      </c>
      <c r="AM156" s="71">
        <f ca="1">-AL156*'Invoer gegevens (N)'!$F$31</f>
        <v>0</v>
      </c>
      <c r="AN156" s="71">
        <f t="shared" ca="1" si="29"/>
        <v>0</v>
      </c>
      <c r="AO156" s="71">
        <f ca="1">IF(C156=1,(H156+J156+N156+P156)*'Reeksen (N)'!AN156,0)</f>
        <v>0</v>
      </c>
      <c r="AP156" s="71">
        <f ca="1">-IF(C156=1,(H156+J156+N156+P156)*'Hulp - basis'!$O$550*'Reeksen (N)'!H156,0)</f>
        <v>0</v>
      </c>
      <c r="AQ156" s="71">
        <f ca="1">-IF(C156=1,(F156+K156+L156+Q156)/2*'Invoer gegevens (N)'!$F$35*'Reeksen (N)'!J156,0)*2</f>
        <v>0</v>
      </c>
      <c r="AR156" s="71"/>
      <c r="AS156" s="71">
        <f ca="1">-IF(C156=1,(F156+K156+L156+Q156)/2*'Invoer gegevens (N)'!$F$37*'Reeksen (N)'!L156,0)</f>
        <v>0</v>
      </c>
      <c r="AT156" s="71">
        <f ca="1">-IF(C156=1,IF(E156='Invoer gegevens (N)'!$C$17,'Invoer gegevens (N)'!$C$11,AD156)*'Reeksen (N)'!S156*'Invoer gegevens (N)'!$C$18*'Reeksen (N)'!P156,0)</f>
        <v>0</v>
      </c>
      <c r="AU156" s="71">
        <f ca="1">-IF(C156=1,(F156+K156+L156+Q156)/2*'Invoer gegevens (N)'!$F$38*'Reeksen (N)'!H156,0)</f>
        <v>0</v>
      </c>
      <c r="AV156" s="71">
        <v>0</v>
      </c>
      <c r="AW156" s="71">
        <f t="shared" ca="1" si="30"/>
        <v>0</v>
      </c>
      <c r="AX156" s="71">
        <f ca="1">IF(E156&lt;'Invoer gegevens (N)'!$C$17+15,0,IF(E156&gt;'Invoer gegevens (N)'!$C$17+215,0,AW156))</f>
        <v>0</v>
      </c>
      <c r="AY156" s="71">
        <f ca="1">AX156/(1+'Invoer gegevens (N)'!$F$18)^($AZ156-('Invoer gegevens (N)'!$C$17-'Invoer gegevens (N)'!$C$16))/(1+'Invoer gegevens (N)'!$C$39)^('Invoer gegevens (N)'!$C$17-'Invoer gegevens (N)'!$C$16)</f>
        <v>0</v>
      </c>
      <c r="AZ156" s="68">
        <f ca="1">IF(E156-'Invoer gegevens (N)'!$C$17-14.5&lt;0,0,E156-'Invoer gegevens (N)'!$C$17-14.5)</f>
        <v>136.5</v>
      </c>
    </row>
    <row r="157" spans="1:52" x14ac:dyDescent="0.25">
      <c r="A157" s="59"/>
      <c r="B157" s="70">
        <f t="shared" si="31"/>
        <v>153</v>
      </c>
      <c r="C157" s="67">
        <f ca="1">IF(E157-'Invoer gegevens (N)'!$C$17&lt;0,0,1)</f>
        <v>1</v>
      </c>
      <c r="D157" s="68">
        <f t="shared" si="32"/>
        <v>152.5</v>
      </c>
      <c r="E157" s="69">
        <f ca="1">IF('Invoer gegevens (N)'!$C$16="","",E156+1)</f>
        <v>2171</v>
      </c>
      <c r="F157" s="84">
        <f ca="1">IF('Invoer gegevens (N)'!$C$17=E157,'Invoer gegevens (N)'!$C$10,IF(C157=1,K156,0))</f>
        <v>0</v>
      </c>
      <c r="G157" s="96">
        <f ca="1">IF(C157&gt;=1,F157*VLOOKUP(E157,'Reeksen (N)'!$A$5:$B$76,2),0)</f>
        <v>0</v>
      </c>
      <c r="H157" s="84">
        <f ca="1">(1-('Invoer gegevens (N)'!$F$20/12))*F157*MIN('Reeksen (N)'!B157,'Reeksen (N)'!D157)</f>
        <v>0</v>
      </c>
      <c r="I157" s="84">
        <f>IF('Reeksen (N)'!D157&lt;'Reeksen (N)'!B157,('Reeksen (N)'!B157-'Reeksen (N)'!D157)*F157,0)</f>
        <v>0</v>
      </c>
      <c r="J157" s="84">
        <f ca="1">('Invoer gegevens (N)'!$F$20/12)*F156*MIN('Reeksen (N)'!B156,'Reeksen (N)'!D156)</f>
        <v>0</v>
      </c>
      <c r="K157" s="97">
        <f t="shared" ca="1" si="22"/>
        <v>0</v>
      </c>
      <c r="L157" s="84">
        <f ca="1">IF('Invoer gegevens (N)'!$C$17=E157,0,IF(C157=1,Q156,0))</f>
        <v>0</v>
      </c>
      <c r="M157" s="96">
        <f ca="1">IF(C157&gt;=1,L157*VLOOKUP(E157,'Reeksen (N)'!$A$5:$B$76,2),0)</f>
        <v>0</v>
      </c>
      <c r="N157" s="84">
        <f ca="1">(1-('Invoer gegevens (N)'!$F$20/12))*L157*MIN('Reeksen (N)'!B157,'Reeksen (N)'!D157)</f>
        <v>0</v>
      </c>
      <c r="O157" s="84">
        <f>IF('Reeksen (N)'!D157&lt;'Reeksen (N)'!B157,('Reeksen (N)'!B157-'Reeksen (N)'!D157)*L157,0)</f>
        <v>0</v>
      </c>
      <c r="P157" s="84">
        <f ca="1">('Invoer gegevens (N)'!$F$20/12)*L156*MIN('Reeksen (N)'!B156,'Reeksen (N)'!D156)</f>
        <v>0</v>
      </c>
      <c r="Q157" s="84">
        <f t="shared" ca="1" si="23"/>
        <v>0</v>
      </c>
      <c r="R157" s="82">
        <f ca="1">IF('Invoer gegevens (N)'!$C$17=E157,'Invoer gegevens (N)'!$C$11,IF(C157=1,W156,0))</f>
        <v>0</v>
      </c>
      <c r="S157" s="86">
        <f ca="1">IF(C157&gt;=1,R157*VLOOKUP(E157,'Reeksen (N)'!$A$5:$B$76,2),0)</f>
        <v>0</v>
      </c>
      <c r="T157" s="84">
        <f ca="1">(1-('Invoer gegevens (N)'!$F$20/12))*R157*MIN('Reeksen (N)'!B157,'Reeksen (N)'!D157)</f>
        <v>0</v>
      </c>
      <c r="U157" s="84">
        <f>IF('Reeksen (N)'!D157&gt;='Reeksen (N)'!B157,0,IF('Reeksen (N)'!AD157&lt;='Reeksen (N)'!AE157,('Reeksen (N)'!B157-'Reeksen (N)'!D157)*R157,0))</f>
        <v>0</v>
      </c>
      <c r="V157" s="86">
        <f>IF('Reeksen (N)'!D157&gt;='Reeksen (N)'!B157,0,IF('Reeksen (N)'!AD157&gt;'Reeksen (N)'!AE157,('Reeksen (N)'!B157-'Reeksen (N)'!D157)*R157,0))</f>
        <v>0</v>
      </c>
      <c r="W157" s="97">
        <f t="shared" ca="1" si="24"/>
        <v>0</v>
      </c>
      <c r="X157" s="98">
        <f ca="1">IF('Invoer gegevens (N)'!$C$17=E157,'Invoer gegevens (N)'!$C$10-'Invoer gegevens (N)'!$C$11,IF(C157=1,AC156,0))</f>
        <v>0</v>
      </c>
      <c r="Y157" s="98">
        <f ca="1">IF(C157&gt;=1,X157*VLOOKUP(E157,'Reeksen (N)'!$A$5:$B$76,2),0)</f>
        <v>0</v>
      </c>
      <c r="Z157" s="98">
        <f ca="1">(1-('Invoer gegevens (N)'!$F$20/12))*X157*MIN('Reeksen (N)'!B157,'Reeksen (N)'!D157)</f>
        <v>0</v>
      </c>
      <c r="AA157" s="98">
        <f>IF('Reeksen (N)'!D157&gt;='Reeksen (N)'!B157,0,IF('Reeksen (N)'!AD157&lt;='Reeksen (N)'!AE157,('Reeksen (N)'!B157-'Reeksen (N)'!D157)*X157,0))</f>
        <v>0</v>
      </c>
      <c r="AB157" s="98">
        <f>IF('Reeksen (N)'!D157&gt;='Reeksen (N)'!B157,0,IF('Reeksen (N)'!AD157&gt;'Reeksen (N)'!AE157,('Reeksen (N)'!B157-'Reeksen (N)'!D157)*X157,0))</f>
        <v>0</v>
      </c>
      <c r="AC157" s="99">
        <f t="shared" ca="1" si="25"/>
        <v>0</v>
      </c>
      <c r="AD157" s="98">
        <f ca="1">IF('Invoer gegevens (N)'!$C$17=E157,R157,IF(C157=0,0,AE156))</f>
        <v>0</v>
      </c>
      <c r="AE157" s="98">
        <f t="shared" ca="1" si="26"/>
        <v>0</v>
      </c>
      <c r="AF157" s="98">
        <f ca="1">IF('Invoer gegevens (N)'!$C$17=E157,X157,IF(C157=0,0,AG156))</f>
        <v>0</v>
      </c>
      <c r="AG157" s="98">
        <f t="shared" ca="1" si="27"/>
        <v>0</v>
      </c>
      <c r="AH157" s="66"/>
      <c r="AI157" s="71">
        <f ca="1">IF(C157=1,'Reeksen (N)'!AI157*((F157-G157+F157)/2)*12+'Reeksen (N)'!AD157*((L157-M157+L157)/2)*12,0)</f>
        <v>0</v>
      </c>
      <c r="AJ157" s="71">
        <f ca="1">-AI157*'Invoer gegevens (N)'!$F$28</f>
        <v>0</v>
      </c>
      <c r="AK157" s="71">
        <f t="shared" ca="1" si="28"/>
        <v>0</v>
      </c>
      <c r="AL157" s="71">
        <f ca="1">IF(C157=1,'Reeksen (N)'!AL157*((F157-G157+F157)/2)*12+'Reeksen (N)'!AM157*((L157-M157+L157)/2)*12,0)</f>
        <v>0</v>
      </c>
      <c r="AM157" s="71">
        <f ca="1">-AL157*'Invoer gegevens (N)'!$F$31</f>
        <v>0</v>
      </c>
      <c r="AN157" s="71">
        <f t="shared" ca="1" si="29"/>
        <v>0</v>
      </c>
      <c r="AO157" s="71">
        <f ca="1">IF(C157=1,(H157+J157+N157+P157)*'Reeksen (N)'!AN157,0)</f>
        <v>0</v>
      </c>
      <c r="AP157" s="71">
        <f ca="1">-IF(C157=1,(H157+J157+N157+P157)*'Hulp - basis'!$O$550*'Reeksen (N)'!H157,0)</f>
        <v>0</v>
      </c>
      <c r="AQ157" s="71">
        <f ca="1">-IF(C157=1,(F157+K157+L157+Q157)/2*'Invoer gegevens (N)'!$F$35*'Reeksen (N)'!J157,0)*2</f>
        <v>0</v>
      </c>
      <c r="AR157" s="71"/>
      <c r="AS157" s="71">
        <f ca="1">-IF(C157=1,(F157+K157+L157+Q157)/2*'Invoer gegevens (N)'!$F$37*'Reeksen (N)'!L157,0)</f>
        <v>0</v>
      </c>
      <c r="AT157" s="71">
        <f ca="1">-IF(C157=1,IF(E157='Invoer gegevens (N)'!$C$17,'Invoer gegevens (N)'!$C$11,AD157)*'Reeksen (N)'!S157*'Invoer gegevens (N)'!$C$18*'Reeksen (N)'!P157,0)</f>
        <v>0</v>
      </c>
      <c r="AU157" s="71">
        <f ca="1">-IF(C157=1,(F157+K157+L157+Q157)/2*'Invoer gegevens (N)'!$F$38*'Reeksen (N)'!H157,0)</f>
        <v>0</v>
      </c>
      <c r="AV157" s="71">
        <v>0</v>
      </c>
      <c r="AW157" s="71">
        <f t="shared" ca="1" si="30"/>
        <v>0</v>
      </c>
      <c r="AX157" s="71">
        <f ca="1">IF(E157&lt;'Invoer gegevens (N)'!$C$17+15,0,IF(E157&gt;'Invoer gegevens (N)'!$C$17+215,0,AW157))</f>
        <v>0</v>
      </c>
      <c r="AY157" s="71">
        <f ca="1">AX157/(1+'Invoer gegevens (N)'!$F$18)^($AZ157-('Invoer gegevens (N)'!$C$17-'Invoer gegevens (N)'!$C$16))/(1+'Invoer gegevens (N)'!$C$39)^('Invoer gegevens (N)'!$C$17-'Invoer gegevens (N)'!$C$16)</f>
        <v>0</v>
      </c>
      <c r="AZ157" s="68">
        <f ca="1">IF(E157-'Invoer gegevens (N)'!$C$17-14.5&lt;0,0,E157-'Invoer gegevens (N)'!$C$17-14.5)</f>
        <v>137.5</v>
      </c>
    </row>
    <row r="158" spans="1:52" x14ac:dyDescent="0.25">
      <c r="A158" s="59"/>
      <c r="B158" s="70">
        <f t="shared" si="31"/>
        <v>154</v>
      </c>
      <c r="C158" s="67">
        <f ca="1">IF(E158-'Invoer gegevens (N)'!$C$17&lt;0,0,1)</f>
        <v>1</v>
      </c>
      <c r="D158" s="68">
        <f t="shared" si="32"/>
        <v>153.5</v>
      </c>
      <c r="E158" s="69">
        <f ca="1">IF('Invoer gegevens (N)'!$C$16="","",E157+1)</f>
        <v>2172</v>
      </c>
      <c r="F158" s="84">
        <f ca="1">IF('Invoer gegevens (N)'!$C$17=E158,'Invoer gegevens (N)'!$C$10,IF(C158=1,K157,0))</f>
        <v>0</v>
      </c>
      <c r="G158" s="96">
        <f ca="1">IF(C158&gt;=1,F158*VLOOKUP(E158,'Reeksen (N)'!$A$5:$B$76,2),0)</f>
        <v>0</v>
      </c>
      <c r="H158" s="84">
        <f ca="1">(1-('Invoer gegevens (N)'!$F$20/12))*F158*MIN('Reeksen (N)'!B158,'Reeksen (N)'!D158)</f>
        <v>0</v>
      </c>
      <c r="I158" s="84">
        <f>IF('Reeksen (N)'!D158&lt;'Reeksen (N)'!B158,('Reeksen (N)'!B158-'Reeksen (N)'!D158)*F158,0)</f>
        <v>0</v>
      </c>
      <c r="J158" s="84">
        <f ca="1">('Invoer gegevens (N)'!$F$20/12)*F157*MIN('Reeksen (N)'!B157,'Reeksen (N)'!D157)</f>
        <v>0</v>
      </c>
      <c r="K158" s="97">
        <f t="shared" ca="1" si="22"/>
        <v>0</v>
      </c>
      <c r="L158" s="84">
        <f ca="1">IF('Invoer gegevens (N)'!$C$17=E158,0,IF(C158=1,Q157,0))</f>
        <v>0</v>
      </c>
      <c r="M158" s="96">
        <f ca="1">IF(C158&gt;=1,L158*VLOOKUP(E158,'Reeksen (N)'!$A$5:$B$76,2),0)</f>
        <v>0</v>
      </c>
      <c r="N158" s="84">
        <f ca="1">(1-('Invoer gegevens (N)'!$F$20/12))*L158*MIN('Reeksen (N)'!B158,'Reeksen (N)'!D158)</f>
        <v>0</v>
      </c>
      <c r="O158" s="84">
        <f>IF('Reeksen (N)'!D158&lt;'Reeksen (N)'!B158,('Reeksen (N)'!B158-'Reeksen (N)'!D158)*L158,0)</f>
        <v>0</v>
      </c>
      <c r="P158" s="84">
        <f ca="1">('Invoer gegevens (N)'!$F$20/12)*L157*MIN('Reeksen (N)'!B157,'Reeksen (N)'!D157)</f>
        <v>0</v>
      </c>
      <c r="Q158" s="84">
        <f t="shared" ca="1" si="23"/>
        <v>0</v>
      </c>
      <c r="R158" s="82">
        <f ca="1">IF('Invoer gegevens (N)'!$C$17=E158,'Invoer gegevens (N)'!$C$11,IF(C158=1,W157,0))</f>
        <v>0</v>
      </c>
      <c r="S158" s="86">
        <f ca="1">IF(C158&gt;=1,R158*VLOOKUP(E158,'Reeksen (N)'!$A$5:$B$76,2),0)</f>
        <v>0</v>
      </c>
      <c r="T158" s="84">
        <f ca="1">(1-('Invoer gegevens (N)'!$F$20/12))*R158*MIN('Reeksen (N)'!B158,'Reeksen (N)'!D158)</f>
        <v>0</v>
      </c>
      <c r="U158" s="84">
        <f>IF('Reeksen (N)'!D158&gt;='Reeksen (N)'!B158,0,IF('Reeksen (N)'!AD158&lt;='Reeksen (N)'!AE158,('Reeksen (N)'!B158-'Reeksen (N)'!D158)*R158,0))</f>
        <v>0</v>
      </c>
      <c r="V158" s="86">
        <f>IF('Reeksen (N)'!D158&gt;='Reeksen (N)'!B158,0,IF('Reeksen (N)'!AD158&gt;'Reeksen (N)'!AE158,('Reeksen (N)'!B158-'Reeksen (N)'!D158)*R158,0))</f>
        <v>0</v>
      </c>
      <c r="W158" s="97">
        <f t="shared" ca="1" si="24"/>
        <v>0</v>
      </c>
      <c r="X158" s="98">
        <f ca="1">IF('Invoer gegevens (N)'!$C$17=E158,'Invoer gegevens (N)'!$C$10-'Invoer gegevens (N)'!$C$11,IF(C158=1,AC157,0))</f>
        <v>0</v>
      </c>
      <c r="Y158" s="98">
        <f ca="1">IF(C158&gt;=1,X158*VLOOKUP(E158,'Reeksen (N)'!$A$5:$B$76,2),0)</f>
        <v>0</v>
      </c>
      <c r="Z158" s="98">
        <f ca="1">(1-('Invoer gegevens (N)'!$F$20/12))*X158*MIN('Reeksen (N)'!B158,'Reeksen (N)'!D158)</f>
        <v>0</v>
      </c>
      <c r="AA158" s="98">
        <f>IF('Reeksen (N)'!D158&gt;='Reeksen (N)'!B158,0,IF('Reeksen (N)'!AD158&lt;='Reeksen (N)'!AE158,('Reeksen (N)'!B158-'Reeksen (N)'!D158)*X158,0))</f>
        <v>0</v>
      </c>
      <c r="AB158" s="98">
        <f>IF('Reeksen (N)'!D158&gt;='Reeksen (N)'!B158,0,IF('Reeksen (N)'!AD158&gt;'Reeksen (N)'!AE158,('Reeksen (N)'!B158-'Reeksen (N)'!D158)*X158,0))</f>
        <v>0</v>
      </c>
      <c r="AC158" s="99">
        <f t="shared" ca="1" si="25"/>
        <v>0</v>
      </c>
      <c r="AD158" s="98">
        <f ca="1">IF('Invoer gegevens (N)'!$C$17=E158,R158,IF(C158=0,0,AE157))</f>
        <v>0</v>
      </c>
      <c r="AE158" s="98">
        <f t="shared" ca="1" si="26"/>
        <v>0</v>
      </c>
      <c r="AF158" s="98">
        <f ca="1">IF('Invoer gegevens (N)'!$C$17=E158,X158,IF(C158=0,0,AG157))</f>
        <v>0</v>
      </c>
      <c r="AG158" s="98">
        <f t="shared" ca="1" si="27"/>
        <v>0</v>
      </c>
      <c r="AH158" s="66"/>
      <c r="AI158" s="71">
        <f ca="1">IF(C158=1,'Reeksen (N)'!AI158*((F158-G158+F158)/2)*12+'Reeksen (N)'!AD158*((L158-M158+L158)/2)*12,0)</f>
        <v>0</v>
      </c>
      <c r="AJ158" s="71">
        <f ca="1">-AI158*'Invoer gegevens (N)'!$F$28</f>
        <v>0</v>
      </c>
      <c r="AK158" s="71">
        <f t="shared" ca="1" si="28"/>
        <v>0</v>
      </c>
      <c r="AL158" s="71">
        <f ca="1">IF(C158=1,'Reeksen (N)'!AL158*((F158-G158+F158)/2)*12+'Reeksen (N)'!AM158*((L158-M158+L158)/2)*12,0)</f>
        <v>0</v>
      </c>
      <c r="AM158" s="71">
        <f ca="1">-AL158*'Invoer gegevens (N)'!$F$31</f>
        <v>0</v>
      </c>
      <c r="AN158" s="71">
        <f t="shared" ca="1" si="29"/>
        <v>0</v>
      </c>
      <c r="AO158" s="71">
        <f ca="1">IF(C158=1,(H158+J158+N158+P158)*'Reeksen (N)'!AN158,0)</f>
        <v>0</v>
      </c>
      <c r="AP158" s="71">
        <f ca="1">-IF(C158=1,(H158+J158+N158+P158)*'Hulp - basis'!$O$550*'Reeksen (N)'!H158,0)</f>
        <v>0</v>
      </c>
      <c r="AQ158" s="71">
        <f ca="1">-IF(C158=1,(F158+K158+L158+Q158)/2*'Invoer gegevens (N)'!$F$35*'Reeksen (N)'!J158,0)*2</f>
        <v>0</v>
      </c>
      <c r="AR158" s="71"/>
      <c r="AS158" s="71">
        <f ca="1">-IF(C158=1,(F158+K158+L158+Q158)/2*'Invoer gegevens (N)'!$F$37*'Reeksen (N)'!L158,0)</f>
        <v>0</v>
      </c>
      <c r="AT158" s="71">
        <f ca="1">-IF(C158=1,IF(E158='Invoer gegevens (N)'!$C$17,'Invoer gegevens (N)'!$C$11,AD158)*'Reeksen (N)'!S158*'Invoer gegevens (N)'!$C$18*'Reeksen (N)'!P158,0)</f>
        <v>0</v>
      </c>
      <c r="AU158" s="71">
        <f ca="1">-IF(C158=1,(F158+K158+L158+Q158)/2*'Invoer gegevens (N)'!$F$38*'Reeksen (N)'!H158,0)</f>
        <v>0</v>
      </c>
      <c r="AV158" s="71">
        <v>0</v>
      </c>
      <c r="AW158" s="71">
        <f t="shared" ca="1" si="30"/>
        <v>0</v>
      </c>
      <c r="AX158" s="71">
        <f ca="1">IF(E158&lt;'Invoer gegevens (N)'!$C$17+15,0,IF(E158&gt;'Invoer gegevens (N)'!$C$17+215,0,AW158))</f>
        <v>0</v>
      </c>
      <c r="AY158" s="71">
        <f ca="1">AX158/(1+'Invoer gegevens (N)'!$F$18)^($AZ158-('Invoer gegevens (N)'!$C$17-'Invoer gegevens (N)'!$C$16))/(1+'Invoer gegevens (N)'!$C$39)^('Invoer gegevens (N)'!$C$17-'Invoer gegevens (N)'!$C$16)</f>
        <v>0</v>
      </c>
      <c r="AZ158" s="68">
        <f ca="1">IF(E158-'Invoer gegevens (N)'!$C$17-14.5&lt;0,0,E158-'Invoer gegevens (N)'!$C$17-14.5)</f>
        <v>138.5</v>
      </c>
    </row>
    <row r="159" spans="1:52" x14ac:dyDescent="0.25">
      <c r="A159" s="59"/>
      <c r="B159" s="70">
        <f t="shared" si="31"/>
        <v>155</v>
      </c>
      <c r="C159" s="67">
        <f ca="1">IF(E159-'Invoer gegevens (N)'!$C$17&lt;0,0,1)</f>
        <v>1</v>
      </c>
      <c r="D159" s="68">
        <f t="shared" si="32"/>
        <v>154.5</v>
      </c>
      <c r="E159" s="69">
        <f ca="1">IF('Invoer gegevens (N)'!$C$16="","",E158+1)</f>
        <v>2173</v>
      </c>
      <c r="F159" s="84">
        <f ca="1">IF('Invoer gegevens (N)'!$C$17=E159,'Invoer gegevens (N)'!$C$10,IF(C159=1,K158,0))</f>
        <v>0</v>
      </c>
      <c r="G159" s="96">
        <f ca="1">IF(C159&gt;=1,F159*VLOOKUP(E159,'Reeksen (N)'!$A$5:$B$76,2),0)</f>
        <v>0</v>
      </c>
      <c r="H159" s="84">
        <f ca="1">(1-('Invoer gegevens (N)'!$F$20/12))*F159*MIN('Reeksen (N)'!B159,'Reeksen (N)'!D159)</f>
        <v>0</v>
      </c>
      <c r="I159" s="84">
        <f>IF('Reeksen (N)'!D159&lt;'Reeksen (N)'!B159,('Reeksen (N)'!B159-'Reeksen (N)'!D159)*F159,0)</f>
        <v>0</v>
      </c>
      <c r="J159" s="84">
        <f ca="1">('Invoer gegevens (N)'!$F$20/12)*F158*MIN('Reeksen (N)'!B158,'Reeksen (N)'!D158)</f>
        <v>0</v>
      </c>
      <c r="K159" s="97">
        <f t="shared" ca="1" si="22"/>
        <v>0</v>
      </c>
      <c r="L159" s="84">
        <f ca="1">IF('Invoer gegevens (N)'!$C$17=E159,0,IF(C159=1,Q158,0))</f>
        <v>0</v>
      </c>
      <c r="M159" s="96">
        <f ca="1">IF(C159&gt;=1,L159*VLOOKUP(E159,'Reeksen (N)'!$A$5:$B$76,2),0)</f>
        <v>0</v>
      </c>
      <c r="N159" s="84">
        <f ca="1">(1-('Invoer gegevens (N)'!$F$20/12))*L159*MIN('Reeksen (N)'!B159,'Reeksen (N)'!D159)</f>
        <v>0</v>
      </c>
      <c r="O159" s="84">
        <f>IF('Reeksen (N)'!D159&lt;'Reeksen (N)'!B159,('Reeksen (N)'!B159-'Reeksen (N)'!D159)*L159,0)</f>
        <v>0</v>
      </c>
      <c r="P159" s="84">
        <f ca="1">('Invoer gegevens (N)'!$F$20/12)*L158*MIN('Reeksen (N)'!B158,'Reeksen (N)'!D158)</f>
        <v>0</v>
      </c>
      <c r="Q159" s="84">
        <f t="shared" ca="1" si="23"/>
        <v>0</v>
      </c>
      <c r="R159" s="82">
        <f ca="1">IF('Invoer gegevens (N)'!$C$17=E159,'Invoer gegevens (N)'!$C$11,IF(C159=1,W158,0))</f>
        <v>0</v>
      </c>
      <c r="S159" s="86">
        <f ca="1">IF(C159&gt;=1,R159*VLOOKUP(E159,'Reeksen (N)'!$A$5:$B$76,2),0)</f>
        <v>0</v>
      </c>
      <c r="T159" s="84">
        <f ca="1">(1-('Invoer gegevens (N)'!$F$20/12))*R159*MIN('Reeksen (N)'!B159,'Reeksen (N)'!D159)</f>
        <v>0</v>
      </c>
      <c r="U159" s="84">
        <f>IF('Reeksen (N)'!D159&gt;='Reeksen (N)'!B159,0,IF('Reeksen (N)'!AD159&lt;='Reeksen (N)'!AE159,('Reeksen (N)'!B159-'Reeksen (N)'!D159)*R159,0))</f>
        <v>0</v>
      </c>
      <c r="V159" s="86">
        <f>IF('Reeksen (N)'!D159&gt;='Reeksen (N)'!B159,0,IF('Reeksen (N)'!AD159&gt;'Reeksen (N)'!AE159,('Reeksen (N)'!B159-'Reeksen (N)'!D159)*R159,0))</f>
        <v>0</v>
      </c>
      <c r="W159" s="97">
        <f t="shared" ca="1" si="24"/>
        <v>0</v>
      </c>
      <c r="X159" s="98">
        <f ca="1">IF('Invoer gegevens (N)'!$C$17=E159,'Invoer gegevens (N)'!$C$10-'Invoer gegevens (N)'!$C$11,IF(C159=1,AC158,0))</f>
        <v>0</v>
      </c>
      <c r="Y159" s="98">
        <f ca="1">IF(C159&gt;=1,X159*VLOOKUP(E159,'Reeksen (N)'!$A$5:$B$76,2),0)</f>
        <v>0</v>
      </c>
      <c r="Z159" s="98">
        <f ca="1">(1-('Invoer gegevens (N)'!$F$20/12))*X159*MIN('Reeksen (N)'!B159,'Reeksen (N)'!D159)</f>
        <v>0</v>
      </c>
      <c r="AA159" s="98">
        <f>IF('Reeksen (N)'!D159&gt;='Reeksen (N)'!B159,0,IF('Reeksen (N)'!AD159&lt;='Reeksen (N)'!AE159,('Reeksen (N)'!B159-'Reeksen (N)'!D159)*X159,0))</f>
        <v>0</v>
      </c>
      <c r="AB159" s="98">
        <f>IF('Reeksen (N)'!D159&gt;='Reeksen (N)'!B159,0,IF('Reeksen (N)'!AD159&gt;'Reeksen (N)'!AE159,('Reeksen (N)'!B159-'Reeksen (N)'!D159)*X159,0))</f>
        <v>0</v>
      </c>
      <c r="AC159" s="99">
        <f t="shared" ca="1" si="25"/>
        <v>0</v>
      </c>
      <c r="AD159" s="98">
        <f ca="1">IF('Invoer gegevens (N)'!$C$17=E159,R159,IF(C159=0,0,AE158))</f>
        <v>0</v>
      </c>
      <c r="AE159" s="98">
        <f t="shared" ca="1" si="26"/>
        <v>0</v>
      </c>
      <c r="AF159" s="98">
        <f ca="1">IF('Invoer gegevens (N)'!$C$17=E159,X159,IF(C159=0,0,AG158))</f>
        <v>0</v>
      </c>
      <c r="AG159" s="98">
        <f t="shared" ca="1" si="27"/>
        <v>0</v>
      </c>
      <c r="AH159" s="66"/>
      <c r="AI159" s="71">
        <f ca="1">IF(C159=1,'Reeksen (N)'!AI159*((F159-G159+F159)/2)*12+'Reeksen (N)'!AD159*((L159-M159+L159)/2)*12,0)</f>
        <v>0</v>
      </c>
      <c r="AJ159" s="71">
        <f ca="1">-AI159*'Invoer gegevens (N)'!$F$28</f>
        <v>0</v>
      </c>
      <c r="AK159" s="71">
        <f t="shared" ca="1" si="28"/>
        <v>0</v>
      </c>
      <c r="AL159" s="71">
        <f ca="1">IF(C159=1,'Reeksen (N)'!AL159*((F159-G159+F159)/2)*12+'Reeksen (N)'!AM159*((L159-M159+L159)/2)*12,0)</f>
        <v>0</v>
      </c>
      <c r="AM159" s="71">
        <f ca="1">-AL159*'Invoer gegevens (N)'!$F$31</f>
        <v>0</v>
      </c>
      <c r="AN159" s="71">
        <f t="shared" ca="1" si="29"/>
        <v>0</v>
      </c>
      <c r="AO159" s="71">
        <f ca="1">IF(C159=1,(H159+J159+N159+P159)*'Reeksen (N)'!AN159,0)</f>
        <v>0</v>
      </c>
      <c r="AP159" s="71">
        <f ca="1">-IF(C159=1,(H159+J159+N159+P159)*'Hulp - basis'!$O$550*'Reeksen (N)'!H159,0)</f>
        <v>0</v>
      </c>
      <c r="AQ159" s="71">
        <f ca="1">-IF(C159=1,(F159+K159+L159+Q159)/2*'Invoer gegevens (N)'!$F$35*'Reeksen (N)'!J159,0)*2</f>
        <v>0</v>
      </c>
      <c r="AR159" s="71"/>
      <c r="AS159" s="71">
        <f ca="1">-IF(C159=1,(F159+K159+L159+Q159)/2*'Invoer gegevens (N)'!$F$37*'Reeksen (N)'!L159,0)</f>
        <v>0</v>
      </c>
      <c r="AT159" s="71">
        <f ca="1">-IF(C159=1,IF(E159='Invoer gegevens (N)'!$C$17,'Invoer gegevens (N)'!$C$11,AD159)*'Reeksen (N)'!S159*'Invoer gegevens (N)'!$C$18*'Reeksen (N)'!P159,0)</f>
        <v>0</v>
      </c>
      <c r="AU159" s="71">
        <f ca="1">-IF(C159=1,(F159+K159+L159+Q159)/2*'Invoer gegevens (N)'!$F$38*'Reeksen (N)'!H159,0)</f>
        <v>0</v>
      </c>
      <c r="AV159" s="71">
        <v>0</v>
      </c>
      <c r="AW159" s="71">
        <f t="shared" ca="1" si="30"/>
        <v>0</v>
      </c>
      <c r="AX159" s="71">
        <f ca="1">IF(E159&lt;'Invoer gegevens (N)'!$C$17+15,0,IF(E159&gt;'Invoer gegevens (N)'!$C$17+215,0,AW159))</f>
        <v>0</v>
      </c>
      <c r="AY159" s="71">
        <f ca="1">AX159/(1+'Invoer gegevens (N)'!$F$18)^($AZ159-('Invoer gegevens (N)'!$C$17-'Invoer gegevens (N)'!$C$16))/(1+'Invoer gegevens (N)'!$C$39)^('Invoer gegevens (N)'!$C$17-'Invoer gegevens (N)'!$C$16)</f>
        <v>0</v>
      </c>
      <c r="AZ159" s="68">
        <f ca="1">IF(E159-'Invoer gegevens (N)'!$C$17-14.5&lt;0,0,E159-'Invoer gegevens (N)'!$C$17-14.5)</f>
        <v>139.5</v>
      </c>
    </row>
    <row r="160" spans="1:52" x14ac:dyDescent="0.25">
      <c r="A160" s="59"/>
      <c r="B160" s="70">
        <f t="shared" si="31"/>
        <v>156</v>
      </c>
      <c r="C160" s="67">
        <f ca="1">IF(E160-'Invoer gegevens (N)'!$C$17&lt;0,0,1)</f>
        <v>1</v>
      </c>
      <c r="D160" s="68">
        <f t="shared" si="32"/>
        <v>155.5</v>
      </c>
      <c r="E160" s="69">
        <f ca="1">IF('Invoer gegevens (N)'!$C$16="","",E159+1)</f>
        <v>2174</v>
      </c>
      <c r="F160" s="84">
        <f ca="1">IF('Invoer gegevens (N)'!$C$17=E160,'Invoer gegevens (N)'!$C$10,IF(C160=1,K159,0))</f>
        <v>0</v>
      </c>
      <c r="G160" s="96">
        <f ca="1">IF(C160&gt;=1,F160*VLOOKUP(E160,'Reeksen (N)'!$A$5:$B$76,2),0)</f>
        <v>0</v>
      </c>
      <c r="H160" s="84">
        <f ca="1">(1-('Invoer gegevens (N)'!$F$20/12))*F160*MIN('Reeksen (N)'!B160,'Reeksen (N)'!D160)</f>
        <v>0</v>
      </c>
      <c r="I160" s="84">
        <f>IF('Reeksen (N)'!D160&lt;'Reeksen (N)'!B160,('Reeksen (N)'!B160-'Reeksen (N)'!D160)*F160,0)</f>
        <v>0</v>
      </c>
      <c r="J160" s="84">
        <f ca="1">('Invoer gegevens (N)'!$F$20/12)*F159*MIN('Reeksen (N)'!B159,'Reeksen (N)'!D159)</f>
        <v>0</v>
      </c>
      <c r="K160" s="97">
        <f t="shared" ca="1" si="22"/>
        <v>0</v>
      </c>
      <c r="L160" s="84">
        <f ca="1">IF('Invoer gegevens (N)'!$C$17=E160,0,IF(C160=1,Q159,0))</f>
        <v>0</v>
      </c>
      <c r="M160" s="96">
        <f ca="1">IF(C160&gt;=1,L160*VLOOKUP(E160,'Reeksen (N)'!$A$5:$B$76,2),0)</f>
        <v>0</v>
      </c>
      <c r="N160" s="84">
        <f ca="1">(1-('Invoer gegevens (N)'!$F$20/12))*L160*MIN('Reeksen (N)'!B160,'Reeksen (N)'!D160)</f>
        <v>0</v>
      </c>
      <c r="O160" s="84">
        <f>IF('Reeksen (N)'!D160&lt;'Reeksen (N)'!B160,('Reeksen (N)'!B160-'Reeksen (N)'!D160)*L160,0)</f>
        <v>0</v>
      </c>
      <c r="P160" s="84">
        <f ca="1">('Invoer gegevens (N)'!$F$20/12)*L159*MIN('Reeksen (N)'!B159,'Reeksen (N)'!D159)</f>
        <v>0</v>
      </c>
      <c r="Q160" s="84">
        <f t="shared" ca="1" si="23"/>
        <v>0</v>
      </c>
      <c r="R160" s="82">
        <f ca="1">IF('Invoer gegevens (N)'!$C$17=E160,'Invoer gegevens (N)'!$C$11,IF(C160=1,W159,0))</f>
        <v>0</v>
      </c>
      <c r="S160" s="86">
        <f ca="1">IF(C160&gt;=1,R160*VLOOKUP(E160,'Reeksen (N)'!$A$5:$B$76,2),0)</f>
        <v>0</v>
      </c>
      <c r="T160" s="84">
        <f ca="1">(1-('Invoer gegevens (N)'!$F$20/12))*R160*MIN('Reeksen (N)'!B160,'Reeksen (N)'!D160)</f>
        <v>0</v>
      </c>
      <c r="U160" s="84">
        <f>IF('Reeksen (N)'!D160&gt;='Reeksen (N)'!B160,0,IF('Reeksen (N)'!AD160&lt;='Reeksen (N)'!AE160,('Reeksen (N)'!B160-'Reeksen (N)'!D160)*R160,0))</f>
        <v>0</v>
      </c>
      <c r="V160" s="86">
        <f>IF('Reeksen (N)'!D160&gt;='Reeksen (N)'!B160,0,IF('Reeksen (N)'!AD160&gt;'Reeksen (N)'!AE160,('Reeksen (N)'!B160-'Reeksen (N)'!D160)*R160,0))</f>
        <v>0</v>
      </c>
      <c r="W160" s="97">
        <f t="shared" ca="1" si="24"/>
        <v>0</v>
      </c>
      <c r="X160" s="98">
        <f ca="1">IF('Invoer gegevens (N)'!$C$17=E160,'Invoer gegevens (N)'!$C$10-'Invoer gegevens (N)'!$C$11,IF(C160=1,AC159,0))</f>
        <v>0</v>
      </c>
      <c r="Y160" s="98">
        <f ca="1">IF(C160&gt;=1,X160*VLOOKUP(E160,'Reeksen (N)'!$A$5:$B$76,2),0)</f>
        <v>0</v>
      </c>
      <c r="Z160" s="98">
        <f ca="1">(1-('Invoer gegevens (N)'!$F$20/12))*X160*MIN('Reeksen (N)'!B160,'Reeksen (N)'!D160)</f>
        <v>0</v>
      </c>
      <c r="AA160" s="98">
        <f>IF('Reeksen (N)'!D160&gt;='Reeksen (N)'!B160,0,IF('Reeksen (N)'!AD160&lt;='Reeksen (N)'!AE160,('Reeksen (N)'!B160-'Reeksen (N)'!D160)*X160,0))</f>
        <v>0</v>
      </c>
      <c r="AB160" s="98">
        <f>IF('Reeksen (N)'!D160&gt;='Reeksen (N)'!B160,0,IF('Reeksen (N)'!AD160&gt;'Reeksen (N)'!AE160,('Reeksen (N)'!B160-'Reeksen (N)'!D160)*X160,0))</f>
        <v>0</v>
      </c>
      <c r="AC160" s="99">
        <f t="shared" ca="1" si="25"/>
        <v>0</v>
      </c>
      <c r="AD160" s="98">
        <f ca="1">IF('Invoer gegevens (N)'!$C$17=E160,R160,IF(C160=0,0,AE159))</f>
        <v>0</v>
      </c>
      <c r="AE160" s="98">
        <f t="shared" ca="1" si="26"/>
        <v>0</v>
      </c>
      <c r="AF160" s="98">
        <f ca="1">IF('Invoer gegevens (N)'!$C$17=E160,X160,IF(C160=0,0,AG159))</f>
        <v>0</v>
      </c>
      <c r="AG160" s="98">
        <f t="shared" ca="1" si="27"/>
        <v>0</v>
      </c>
      <c r="AH160" s="66"/>
      <c r="AI160" s="71">
        <f ca="1">IF(C160=1,'Reeksen (N)'!AI160*((F160-G160+F160)/2)*12+'Reeksen (N)'!AD160*((L160-M160+L160)/2)*12,0)</f>
        <v>0</v>
      </c>
      <c r="AJ160" s="71">
        <f ca="1">-AI160*'Invoer gegevens (N)'!$F$28</f>
        <v>0</v>
      </c>
      <c r="AK160" s="71">
        <f t="shared" ca="1" si="28"/>
        <v>0</v>
      </c>
      <c r="AL160" s="71">
        <f ca="1">IF(C160=1,'Reeksen (N)'!AL160*((F160-G160+F160)/2)*12+'Reeksen (N)'!AM160*((L160-M160+L160)/2)*12,0)</f>
        <v>0</v>
      </c>
      <c r="AM160" s="71">
        <f ca="1">-AL160*'Invoer gegevens (N)'!$F$31</f>
        <v>0</v>
      </c>
      <c r="AN160" s="71">
        <f t="shared" ca="1" si="29"/>
        <v>0</v>
      </c>
      <c r="AO160" s="71">
        <f ca="1">IF(C160=1,(H160+J160+N160+P160)*'Reeksen (N)'!AN160,0)</f>
        <v>0</v>
      </c>
      <c r="AP160" s="71">
        <f ca="1">-IF(C160=1,(H160+J160+N160+P160)*'Hulp - basis'!$O$550*'Reeksen (N)'!H160,0)</f>
        <v>0</v>
      </c>
      <c r="AQ160" s="71">
        <f ca="1">-IF(C160=1,(F160+K160+L160+Q160)/2*'Invoer gegevens (N)'!$F$35*'Reeksen (N)'!J160,0)*2</f>
        <v>0</v>
      </c>
      <c r="AR160" s="71"/>
      <c r="AS160" s="71">
        <f ca="1">-IF(C160=1,(F160+K160+L160+Q160)/2*'Invoer gegevens (N)'!$F$37*'Reeksen (N)'!L160,0)</f>
        <v>0</v>
      </c>
      <c r="AT160" s="71">
        <f ca="1">-IF(C160=1,IF(E160='Invoer gegevens (N)'!$C$17,'Invoer gegevens (N)'!$C$11,AD160)*'Reeksen (N)'!S160*'Invoer gegevens (N)'!$C$18*'Reeksen (N)'!P160,0)</f>
        <v>0</v>
      </c>
      <c r="AU160" s="71">
        <f ca="1">-IF(C160=1,(F160+K160+L160+Q160)/2*'Invoer gegevens (N)'!$F$38*'Reeksen (N)'!H160,0)</f>
        <v>0</v>
      </c>
      <c r="AV160" s="71">
        <v>0</v>
      </c>
      <c r="AW160" s="71">
        <f t="shared" ca="1" si="30"/>
        <v>0</v>
      </c>
      <c r="AX160" s="71">
        <f ca="1">IF(E160&lt;'Invoer gegevens (N)'!$C$17+15,0,IF(E160&gt;'Invoer gegevens (N)'!$C$17+215,0,AW160))</f>
        <v>0</v>
      </c>
      <c r="AY160" s="71">
        <f ca="1">AX160/(1+'Invoer gegevens (N)'!$F$18)^($AZ160-('Invoer gegevens (N)'!$C$17-'Invoer gegevens (N)'!$C$16))/(1+'Invoer gegevens (N)'!$C$39)^('Invoer gegevens (N)'!$C$17-'Invoer gegevens (N)'!$C$16)</f>
        <v>0</v>
      </c>
      <c r="AZ160" s="68">
        <f ca="1">IF(E160-'Invoer gegevens (N)'!$C$17-14.5&lt;0,0,E160-'Invoer gegevens (N)'!$C$17-14.5)</f>
        <v>140.5</v>
      </c>
    </row>
    <row r="161" spans="1:52" x14ac:dyDescent="0.25">
      <c r="A161" s="59"/>
      <c r="B161" s="70">
        <f t="shared" si="31"/>
        <v>157</v>
      </c>
      <c r="C161" s="67">
        <f ca="1">IF(E161-'Invoer gegevens (N)'!$C$17&lt;0,0,1)</f>
        <v>1</v>
      </c>
      <c r="D161" s="68">
        <f t="shared" si="32"/>
        <v>156.5</v>
      </c>
      <c r="E161" s="69">
        <f ca="1">IF('Invoer gegevens (N)'!$C$16="","",E160+1)</f>
        <v>2175</v>
      </c>
      <c r="F161" s="84">
        <f ca="1">IF('Invoer gegevens (N)'!$C$17=E161,'Invoer gegevens (N)'!$C$10,IF(C161=1,K160,0))</f>
        <v>0</v>
      </c>
      <c r="G161" s="96">
        <f ca="1">IF(C161&gt;=1,F161*VLOOKUP(E161,'Reeksen (N)'!$A$5:$B$76,2),0)</f>
        <v>0</v>
      </c>
      <c r="H161" s="84">
        <f ca="1">(1-('Invoer gegevens (N)'!$F$20/12))*F161*MIN('Reeksen (N)'!B161,'Reeksen (N)'!D161)</f>
        <v>0</v>
      </c>
      <c r="I161" s="84">
        <f>IF('Reeksen (N)'!D161&lt;'Reeksen (N)'!B161,('Reeksen (N)'!B161-'Reeksen (N)'!D161)*F161,0)</f>
        <v>0</v>
      </c>
      <c r="J161" s="84">
        <f ca="1">('Invoer gegevens (N)'!$F$20/12)*F160*MIN('Reeksen (N)'!B160,'Reeksen (N)'!D160)</f>
        <v>0</v>
      </c>
      <c r="K161" s="97">
        <f t="shared" ca="1" si="22"/>
        <v>0</v>
      </c>
      <c r="L161" s="84">
        <f ca="1">IF('Invoer gegevens (N)'!$C$17=E161,0,IF(C161=1,Q160,0))</f>
        <v>0</v>
      </c>
      <c r="M161" s="96">
        <f ca="1">IF(C161&gt;=1,L161*VLOOKUP(E161,'Reeksen (N)'!$A$5:$B$76,2),0)</f>
        <v>0</v>
      </c>
      <c r="N161" s="84">
        <f ca="1">(1-('Invoer gegevens (N)'!$F$20/12))*L161*MIN('Reeksen (N)'!B161,'Reeksen (N)'!D161)</f>
        <v>0</v>
      </c>
      <c r="O161" s="84">
        <f>IF('Reeksen (N)'!D161&lt;'Reeksen (N)'!B161,('Reeksen (N)'!B161-'Reeksen (N)'!D161)*L161,0)</f>
        <v>0</v>
      </c>
      <c r="P161" s="84">
        <f ca="1">('Invoer gegevens (N)'!$F$20/12)*L160*MIN('Reeksen (N)'!B160,'Reeksen (N)'!D160)</f>
        <v>0</v>
      </c>
      <c r="Q161" s="84">
        <f t="shared" ca="1" si="23"/>
        <v>0</v>
      </c>
      <c r="R161" s="82">
        <f ca="1">IF('Invoer gegevens (N)'!$C$17=E161,'Invoer gegevens (N)'!$C$11,IF(C161=1,W160,0))</f>
        <v>0</v>
      </c>
      <c r="S161" s="86">
        <f ca="1">IF(C161&gt;=1,R161*VLOOKUP(E161,'Reeksen (N)'!$A$5:$B$76,2),0)</f>
        <v>0</v>
      </c>
      <c r="T161" s="84">
        <f ca="1">(1-('Invoer gegevens (N)'!$F$20/12))*R161*MIN('Reeksen (N)'!B161,'Reeksen (N)'!D161)</f>
        <v>0</v>
      </c>
      <c r="U161" s="84">
        <f>IF('Reeksen (N)'!D161&gt;='Reeksen (N)'!B161,0,IF('Reeksen (N)'!AD161&lt;='Reeksen (N)'!AE161,('Reeksen (N)'!B161-'Reeksen (N)'!D161)*R161,0))</f>
        <v>0</v>
      </c>
      <c r="V161" s="86">
        <f>IF('Reeksen (N)'!D161&gt;='Reeksen (N)'!B161,0,IF('Reeksen (N)'!AD161&gt;'Reeksen (N)'!AE161,('Reeksen (N)'!B161-'Reeksen (N)'!D161)*R161,0))</f>
        <v>0</v>
      </c>
      <c r="W161" s="97">
        <f t="shared" ca="1" si="24"/>
        <v>0</v>
      </c>
      <c r="X161" s="98">
        <f ca="1">IF('Invoer gegevens (N)'!$C$17=E161,'Invoer gegevens (N)'!$C$10-'Invoer gegevens (N)'!$C$11,IF(C161=1,AC160,0))</f>
        <v>0</v>
      </c>
      <c r="Y161" s="98">
        <f ca="1">IF(C161&gt;=1,X161*VLOOKUP(E161,'Reeksen (N)'!$A$5:$B$76,2),0)</f>
        <v>0</v>
      </c>
      <c r="Z161" s="98">
        <f ca="1">(1-('Invoer gegevens (N)'!$F$20/12))*X161*MIN('Reeksen (N)'!B161,'Reeksen (N)'!D161)</f>
        <v>0</v>
      </c>
      <c r="AA161" s="98">
        <f>IF('Reeksen (N)'!D161&gt;='Reeksen (N)'!B161,0,IF('Reeksen (N)'!AD161&lt;='Reeksen (N)'!AE161,('Reeksen (N)'!B161-'Reeksen (N)'!D161)*X161,0))</f>
        <v>0</v>
      </c>
      <c r="AB161" s="98">
        <f>IF('Reeksen (N)'!D161&gt;='Reeksen (N)'!B161,0,IF('Reeksen (N)'!AD161&gt;'Reeksen (N)'!AE161,('Reeksen (N)'!B161-'Reeksen (N)'!D161)*X161,0))</f>
        <v>0</v>
      </c>
      <c r="AC161" s="99">
        <f t="shared" ca="1" si="25"/>
        <v>0</v>
      </c>
      <c r="AD161" s="98">
        <f ca="1">IF('Invoer gegevens (N)'!$C$17=E161,R161,IF(C161=0,0,AE160))</f>
        <v>0</v>
      </c>
      <c r="AE161" s="98">
        <f t="shared" ca="1" si="26"/>
        <v>0</v>
      </c>
      <c r="AF161" s="98">
        <f ca="1">IF('Invoer gegevens (N)'!$C$17=E161,X161,IF(C161=0,0,AG160))</f>
        <v>0</v>
      </c>
      <c r="AG161" s="98">
        <f t="shared" ca="1" si="27"/>
        <v>0</v>
      </c>
      <c r="AH161" s="66"/>
      <c r="AI161" s="71">
        <f ca="1">IF(C161=1,'Reeksen (N)'!AI161*((F161-G161+F161)/2)*12+'Reeksen (N)'!AD161*((L161-M161+L161)/2)*12,0)</f>
        <v>0</v>
      </c>
      <c r="AJ161" s="71">
        <f ca="1">-AI161*'Invoer gegevens (N)'!$F$28</f>
        <v>0</v>
      </c>
      <c r="AK161" s="71">
        <f t="shared" ca="1" si="28"/>
        <v>0</v>
      </c>
      <c r="AL161" s="71">
        <f ca="1">IF(C161=1,'Reeksen (N)'!AL161*((F161-G161+F161)/2)*12+'Reeksen (N)'!AM161*((L161-M161+L161)/2)*12,0)</f>
        <v>0</v>
      </c>
      <c r="AM161" s="71">
        <f ca="1">-AL161*'Invoer gegevens (N)'!$F$31</f>
        <v>0</v>
      </c>
      <c r="AN161" s="71">
        <f t="shared" ca="1" si="29"/>
        <v>0</v>
      </c>
      <c r="AO161" s="71">
        <f ca="1">IF(C161=1,(H161+J161+N161+P161)*'Reeksen (N)'!AN161,0)</f>
        <v>0</v>
      </c>
      <c r="AP161" s="71">
        <f ca="1">-IF(C161=1,(H161+J161+N161+P161)*'Hulp - basis'!$O$550*'Reeksen (N)'!H161,0)</f>
        <v>0</v>
      </c>
      <c r="AQ161" s="71">
        <f ca="1">-IF(C161=1,(F161+K161+L161+Q161)/2*'Invoer gegevens (N)'!$F$35*'Reeksen (N)'!J161,0)*2</f>
        <v>0</v>
      </c>
      <c r="AR161" s="71"/>
      <c r="AS161" s="71">
        <f ca="1">-IF(C161=1,(F161+K161+L161+Q161)/2*'Invoer gegevens (N)'!$F$37*'Reeksen (N)'!L161,0)</f>
        <v>0</v>
      </c>
      <c r="AT161" s="71">
        <f ca="1">-IF(C161=1,IF(E161='Invoer gegevens (N)'!$C$17,'Invoer gegevens (N)'!$C$11,AD161)*'Reeksen (N)'!S161*'Invoer gegevens (N)'!$C$18*'Reeksen (N)'!P161,0)</f>
        <v>0</v>
      </c>
      <c r="AU161" s="71">
        <f ca="1">-IF(C161=1,(F161+K161+L161+Q161)/2*'Invoer gegevens (N)'!$F$38*'Reeksen (N)'!H161,0)</f>
        <v>0</v>
      </c>
      <c r="AV161" s="71">
        <v>0</v>
      </c>
      <c r="AW161" s="71">
        <f t="shared" ca="1" si="30"/>
        <v>0</v>
      </c>
      <c r="AX161" s="71">
        <f ca="1">IF(E161&lt;'Invoer gegevens (N)'!$C$17+15,0,IF(E161&gt;'Invoer gegevens (N)'!$C$17+215,0,AW161))</f>
        <v>0</v>
      </c>
      <c r="AY161" s="71">
        <f ca="1">AX161/(1+'Invoer gegevens (N)'!$F$18)^($AZ161-('Invoer gegevens (N)'!$C$17-'Invoer gegevens (N)'!$C$16))/(1+'Invoer gegevens (N)'!$C$39)^('Invoer gegevens (N)'!$C$17-'Invoer gegevens (N)'!$C$16)</f>
        <v>0</v>
      </c>
      <c r="AZ161" s="68">
        <f ca="1">IF(E161-'Invoer gegevens (N)'!$C$17-14.5&lt;0,0,E161-'Invoer gegevens (N)'!$C$17-14.5)</f>
        <v>141.5</v>
      </c>
    </row>
    <row r="162" spans="1:52" x14ac:dyDescent="0.25">
      <c r="A162" s="59"/>
      <c r="B162" s="70">
        <f t="shared" si="31"/>
        <v>158</v>
      </c>
      <c r="C162" s="67">
        <f ca="1">IF(E162-'Invoer gegevens (N)'!$C$17&lt;0,0,1)</f>
        <v>1</v>
      </c>
      <c r="D162" s="68">
        <f t="shared" si="32"/>
        <v>157.5</v>
      </c>
      <c r="E162" s="69">
        <f ca="1">IF('Invoer gegevens (N)'!$C$16="","",E161+1)</f>
        <v>2176</v>
      </c>
      <c r="F162" s="84">
        <f ca="1">IF('Invoer gegevens (N)'!$C$17=E162,'Invoer gegevens (N)'!$C$10,IF(C162=1,K161,0))</f>
        <v>0</v>
      </c>
      <c r="G162" s="96">
        <f ca="1">IF(C162&gt;=1,F162*VLOOKUP(E162,'Reeksen (N)'!$A$5:$B$76,2),0)</f>
        <v>0</v>
      </c>
      <c r="H162" s="84">
        <f ca="1">(1-('Invoer gegevens (N)'!$F$20/12))*F162*MIN('Reeksen (N)'!B162,'Reeksen (N)'!D162)</f>
        <v>0</v>
      </c>
      <c r="I162" s="84">
        <f>IF('Reeksen (N)'!D162&lt;'Reeksen (N)'!B162,('Reeksen (N)'!B162-'Reeksen (N)'!D162)*F162,0)</f>
        <v>0</v>
      </c>
      <c r="J162" s="84">
        <f ca="1">('Invoer gegevens (N)'!$F$20/12)*F161*MIN('Reeksen (N)'!B161,'Reeksen (N)'!D161)</f>
        <v>0</v>
      </c>
      <c r="K162" s="97">
        <f t="shared" ca="1" si="22"/>
        <v>0</v>
      </c>
      <c r="L162" s="84">
        <f ca="1">IF('Invoer gegevens (N)'!$C$17=E162,0,IF(C162=1,Q161,0))</f>
        <v>0</v>
      </c>
      <c r="M162" s="96">
        <f ca="1">IF(C162&gt;=1,L162*VLOOKUP(E162,'Reeksen (N)'!$A$5:$B$76,2),0)</f>
        <v>0</v>
      </c>
      <c r="N162" s="84">
        <f ca="1">(1-('Invoer gegevens (N)'!$F$20/12))*L162*MIN('Reeksen (N)'!B162,'Reeksen (N)'!D162)</f>
        <v>0</v>
      </c>
      <c r="O162" s="84">
        <f>IF('Reeksen (N)'!D162&lt;'Reeksen (N)'!B162,('Reeksen (N)'!B162-'Reeksen (N)'!D162)*L162,0)</f>
        <v>0</v>
      </c>
      <c r="P162" s="84">
        <f ca="1">('Invoer gegevens (N)'!$F$20/12)*L161*MIN('Reeksen (N)'!B161,'Reeksen (N)'!D161)</f>
        <v>0</v>
      </c>
      <c r="Q162" s="84">
        <f t="shared" ca="1" si="23"/>
        <v>0</v>
      </c>
      <c r="R162" s="82">
        <f ca="1">IF('Invoer gegevens (N)'!$C$17=E162,'Invoer gegevens (N)'!$C$11,IF(C162=1,W161,0))</f>
        <v>0</v>
      </c>
      <c r="S162" s="86">
        <f ca="1">IF(C162&gt;=1,R162*VLOOKUP(E162,'Reeksen (N)'!$A$5:$B$76,2),0)</f>
        <v>0</v>
      </c>
      <c r="T162" s="84">
        <f ca="1">(1-('Invoer gegevens (N)'!$F$20/12))*R162*MIN('Reeksen (N)'!B162,'Reeksen (N)'!D162)</f>
        <v>0</v>
      </c>
      <c r="U162" s="84">
        <f>IF('Reeksen (N)'!D162&gt;='Reeksen (N)'!B162,0,IF('Reeksen (N)'!AD162&lt;='Reeksen (N)'!AE162,('Reeksen (N)'!B162-'Reeksen (N)'!D162)*R162,0))</f>
        <v>0</v>
      </c>
      <c r="V162" s="86">
        <f>IF('Reeksen (N)'!D162&gt;='Reeksen (N)'!B162,0,IF('Reeksen (N)'!AD162&gt;'Reeksen (N)'!AE162,('Reeksen (N)'!B162-'Reeksen (N)'!D162)*R162,0))</f>
        <v>0</v>
      </c>
      <c r="W162" s="97">
        <f t="shared" ca="1" si="24"/>
        <v>0</v>
      </c>
      <c r="X162" s="98">
        <f ca="1">IF('Invoer gegevens (N)'!$C$17=E162,'Invoer gegevens (N)'!$C$10-'Invoer gegevens (N)'!$C$11,IF(C162=1,AC161,0))</f>
        <v>0</v>
      </c>
      <c r="Y162" s="98">
        <f ca="1">IF(C162&gt;=1,X162*VLOOKUP(E162,'Reeksen (N)'!$A$5:$B$76,2),0)</f>
        <v>0</v>
      </c>
      <c r="Z162" s="98">
        <f ca="1">(1-('Invoer gegevens (N)'!$F$20/12))*X162*MIN('Reeksen (N)'!B162,'Reeksen (N)'!D162)</f>
        <v>0</v>
      </c>
      <c r="AA162" s="98">
        <f>IF('Reeksen (N)'!D162&gt;='Reeksen (N)'!B162,0,IF('Reeksen (N)'!AD162&lt;='Reeksen (N)'!AE162,('Reeksen (N)'!B162-'Reeksen (N)'!D162)*X162,0))</f>
        <v>0</v>
      </c>
      <c r="AB162" s="98">
        <f>IF('Reeksen (N)'!D162&gt;='Reeksen (N)'!B162,0,IF('Reeksen (N)'!AD162&gt;'Reeksen (N)'!AE162,('Reeksen (N)'!B162-'Reeksen (N)'!D162)*X162,0))</f>
        <v>0</v>
      </c>
      <c r="AC162" s="99">
        <f t="shared" ca="1" si="25"/>
        <v>0</v>
      </c>
      <c r="AD162" s="98">
        <f ca="1">IF('Invoer gegevens (N)'!$C$17=E162,R162,IF(C162=0,0,AE161))</f>
        <v>0</v>
      </c>
      <c r="AE162" s="98">
        <f t="shared" ca="1" si="26"/>
        <v>0</v>
      </c>
      <c r="AF162" s="98">
        <f ca="1">IF('Invoer gegevens (N)'!$C$17=E162,X162,IF(C162=0,0,AG161))</f>
        <v>0</v>
      </c>
      <c r="AG162" s="98">
        <f t="shared" ca="1" si="27"/>
        <v>0</v>
      </c>
      <c r="AH162" s="66"/>
      <c r="AI162" s="71">
        <f ca="1">IF(C162=1,'Reeksen (N)'!AI162*((F162-G162+F162)/2)*12+'Reeksen (N)'!AD162*((L162-M162+L162)/2)*12,0)</f>
        <v>0</v>
      </c>
      <c r="AJ162" s="71">
        <f ca="1">-AI162*'Invoer gegevens (N)'!$F$28</f>
        <v>0</v>
      </c>
      <c r="AK162" s="71">
        <f t="shared" ca="1" si="28"/>
        <v>0</v>
      </c>
      <c r="AL162" s="71">
        <f ca="1">IF(C162=1,'Reeksen (N)'!AL162*((F162-G162+F162)/2)*12+'Reeksen (N)'!AM162*((L162-M162+L162)/2)*12,0)</f>
        <v>0</v>
      </c>
      <c r="AM162" s="71">
        <f ca="1">-AL162*'Invoer gegevens (N)'!$F$31</f>
        <v>0</v>
      </c>
      <c r="AN162" s="71">
        <f t="shared" ca="1" si="29"/>
        <v>0</v>
      </c>
      <c r="AO162" s="71">
        <f ca="1">IF(C162=1,(H162+J162+N162+P162)*'Reeksen (N)'!AN162,0)</f>
        <v>0</v>
      </c>
      <c r="AP162" s="71">
        <f ca="1">-IF(C162=1,(H162+J162+N162+P162)*'Hulp - basis'!$O$550*'Reeksen (N)'!H162,0)</f>
        <v>0</v>
      </c>
      <c r="AQ162" s="71">
        <f ca="1">-IF(C162=1,(F162+K162+L162+Q162)/2*'Invoer gegevens (N)'!$F$35*'Reeksen (N)'!J162,0)*2</f>
        <v>0</v>
      </c>
      <c r="AR162" s="71"/>
      <c r="AS162" s="71">
        <f ca="1">-IF(C162=1,(F162+K162+L162+Q162)/2*'Invoer gegevens (N)'!$F$37*'Reeksen (N)'!L162,0)</f>
        <v>0</v>
      </c>
      <c r="AT162" s="71">
        <f ca="1">-IF(C162=1,IF(E162='Invoer gegevens (N)'!$C$17,'Invoer gegevens (N)'!$C$11,AD162)*'Reeksen (N)'!S162*'Invoer gegevens (N)'!$C$18*'Reeksen (N)'!P162,0)</f>
        <v>0</v>
      </c>
      <c r="AU162" s="71">
        <f ca="1">-IF(C162=1,(F162+K162+L162+Q162)/2*'Invoer gegevens (N)'!$F$38*'Reeksen (N)'!H162,0)</f>
        <v>0</v>
      </c>
      <c r="AV162" s="71">
        <v>0</v>
      </c>
      <c r="AW162" s="71">
        <f t="shared" ca="1" si="30"/>
        <v>0</v>
      </c>
      <c r="AX162" s="71">
        <f ca="1">IF(E162&lt;'Invoer gegevens (N)'!$C$17+15,0,IF(E162&gt;'Invoer gegevens (N)'!$C$17+215,0,AW162))</f>
        <v>0</v>
      </c>
      <c r="AY162" s="71">
        <f ca="1">AX162/(1+'Invoer gegevens (N)'!$F$18)^($AZ162-('Invoer gegevens (N)'!$C$17-'Invoer gegevens (N)'!$C$16))/(1+'Invoer gegevens (N)'!$C$39)^('Invoer gegevens (N)'!$C$17-'Invoer gegevens (N)'!$C$16)</f>
        <v>0</v>
      </c>
      <c r="AZ162" s="68">
        <f ca="1">IF(E162-'Invoer gegevens (N)'!$C$17-14.5&lt;0,0,E162-'Invoer gegevens (N)'!$C$17-14.5)</f>
        <v>142.5</v>
      </c>
    </row>
    <row r="163" spans="1:52" x14ac:dyDescent="0.25">
      <c r="A163" s="59"/>
      <c r="B163" s="70">
        <f t="shared" si="31"/>
        <v>159</v>
      </c>
      <c r="C163" s="67">
        <f ca="1">IF(E163-'Invoer gegevens (N)'!$C$17&lt;0,0,1)</f>
        <v>1</v>
      </c>
      <c r="D163" s="68">
        <f t="shared" si="32"/>
        <v>158.5</v>
      </c>
      <c r="E163" s="69">
        <f ca="1">IF('Invoer gegevens (N)'!$C$16="","",E162+1)</f>
        <v>2177</v>
      </c>
      <c r="F163" s="84">
        <f ca="1">IF('Invoer gegevens (N)'!$C$17=E163,'Invoer gegevens (N)'!$C$10,IF(C163=1,K162,0))</f>
        <v>0</v>
      </c>
      <c r="G163" s="96">
        <f ca="1">IF(C163&gt;=1,F163*VLOOKUP(E163,'Reeksen (N)'!$A$5:$B$76,2),0)</f>
        <v>0</v>
      </c>
      <c r="H163" s="84">
        <f ca="1">(1-('Invoer gegevens (N)'!$F$20/12))*F163*MIN('Reeksen (N)'!B163,'Reeksen (N)'!D163)</f>
        <v>0</v>
      </c>
      <c r="I163" s="84">
        <f>IF('Reeksen (N)'!D163&lt;'Reeksen (N)'!B163,('Reeksen (N)'!B163-'Reeksen (N)'!D163)*F163,0)</f>
        <v>0</v>
      </c>
      <c r="J163" s="84">
        <f ca="1">('Invoer gegevens (N)'!$F$20/12)*F162*MIN('Reeksen (N)'!B162,'Reeksen (N)'!D162)</f>
        <v>0</v>
      </c>
      <c r="K163" s="97">
        <f t="shared" ca="1" si="22"/>
        <v>0</v>
      </c>
      <c r="L163" s="84">
        <f ca="1">IF('Invoer gegevens (N)'!$C$17=E163,0,IF(C163=1,Q162,0))</f>
        <v>0</v>
      </c>
      <c r="M163" s="96">
        <f ca="1">IF(C163&gt;=1,L163*VLOOKUP(E163,'Reeksen (N)'!$A$5:$B$76,2),0)</f>
        <v>0</v>
      </c>
      <c r="N163" s="84">
        <f ca="1">(1-('Invoer gegevens (N)'!$F$20/12))*L163*MIN('Reeksen (N)'!B163,'Reeksen (N)'!D163)</f>
        <v>0</v>
      </c>
      <c r="O163" s="84">
        <f>IF('Reeksen (N)'!D163&lt;'Reeksen (N)'!B163,('Reeksen (N)'!B163-'Reeksen (N)'!D163)*L163,0)</f>
        <v>0</v>
      </c>
      <c r="P163" s="84">
        <f ca="1">('Invoer gegevens (N)'!$F$20/12)*L162*MIN('Reeksen (N)'!B162,'Reeksen (N)'!D162)</f>
        <v>0</v>
      </c>
      <c r="Q163" s="84">
        <f t="shared" ca="1" si="23"/>
        <v>0</v>
      </c>
      <c r="R163" s="82">
        <f ca="1">IF('Invoer gegevens (N)'!$C$17=E163,'Invoer gegevens (N)'!$C$11,IF(C163=1,W162,0))</f>
        <v>0</v>
      </c>
      <c r="S163" s="86">
        <f ca="1">IF(C163&gt;=1,R163*VLOOKUP(E163,'Reeksen (N)'!$A$5:$B$76,2),0)</f>
        <v>0</v>
      </c>
      <c r="T163" s="84">
        <f ca="1">(1-('Invoer gegevens (N)'!$F$20/12))*R163*MIN('Reeksen (N)'!B163,'Reeksen (N)'!D163)</f>
        <v>0</v>
      </c>
      <c r="U163" s="84">
        <f>IF('Reeksen (N)'!D163&gt;='Reeksen (N)'!B163,0,IF('Reeksen (N)'!AD163&lt;='Reeksen (N)'!AE163,('Reeksen (N)'!B163-'Reeksen (N)'!D163)*R163,0))</f>
        <v>0</v>
      </c>
      <c r="V163" s="86">
        <f>IF('Reeksen (N)'!D163&gt;='Reeksen (N)'!B163,0,IF('Reeksen (N)'!AD163&gt;'Reeksen (N)'!AE163,('Reeksen (N)'!B163-'Reeksen (N)'!D163)*R163,0))</f>
        <v>0</v>
      </c>
      <c r="W163" s="97">
        <f t="shared" ca="1" si="24"/>
        <v>0</v>
      </c>
      <c r="X163" s="98">
        <f ca="1">IF('Invoer gegevens (N)'!$C$17=E163,'Invoer gegevens (N)'!$C$10-'Invoer gegevens (N)'!$C$11,IF(C163=1,AC162,0))</f>
        <v>0</v>
      </c>
      <c r="Y163" s="98">
        <f ca="1">IF(C163&gt;=1,X163*VLOOKUP(E163,'Reeksen (N)'!$A$5:$B$76,2),0)</f>
        <v>0</v>
      </c>
      <c r="Z163" s="98">
        <f ca="1">(1-('Invoer gegevens (N)'!$F$20/12))*X163*MIN('Reeksen (N)'!B163,'Reeksen (N)'!D163)</f>
        <v>0</v>
      </c>
      <c r="AA163" s="98">
        <f>IF('Reeksen (N)'!D163&gt;='Reeksen (N)'!B163,0,IF('Reeksen (N)'!AD163&lt;='Reeksen (N)'!AE163,('Reeksen (N)'!B163-'Reeksen (N)'!D163)*X163,0))</f>
        <v>0</v>
      </c>
      <c r="AB163" s="98">
        <f>IF('Reeksen (N)'!D163&gt;='Reeksen (N)'!B163,0,IF('Reeksen (N)'!AD163&gt;'Reeksen (N)'!AE163,('Reeksen (N)'!B163-'Reeksen (N)'!D163)*X163,0))</f>
        <v>0</v>
      </c>
      <c r="AC163" s="99">
        <f t="shared" ca="1" si="25"/>
        <v>0</v>
      </c>
      <c r="AD163" s="98">
        <f ca="1">IF('Invoer gegevens (N)'!$C$17=E163,R163,IF(C163=0,0,AE162))</f>
        <v>0</v>
      </c>
      <c r="AE163" s="98">
        <f t="shared" ca="1" si="26"/>
        <v>0</v>
      </c>
      <c r="AF163" s="98">
        <f ca="1">IF('Invoer gegevens (N)'!$C$17=E163,X163,IF(C163=0,0,AG162))</f>
        <v>0</v>
      </c>
      <c r="AG163" s="98">
        <f t="shared" ca="1" si="27"/>
        <v>0</v>
      </c>
      <c r="AH163" s="66"/>
      <c r="AI163" s="71">
        <f ca="1">IF(C163=1,'Reeksen (N)'!AI163*((F163-G163+F163)/2)*12+'Reeksen (N)'!AD163*((L163-M163+L163)/2)*12,0)</f>
        <v>0</v>
      </c>
      <c r="AJ163" s="71">
        <f ca="1">-AI163*'Invoer gegevens (N)'!$F$28</f>
        <v>0</v>
      </c>
      <c r="AK163" s="71">
        <f t="shared" ca="1" si="28"/>
        <v>0</v>
      </c>
      <c r="AL163" s="71">
        <f ca="1">IF(C163=1,'Reeksen (N)'!AL163*((F163-G163+F163)/2)*12+'Reeksen (N)'!AM163*((L163-M163+L163)/2)*12,0)</f>
        <v>0</v>
      </c>
      <c r="AM163" s="71">
        <f ca="1">-AL163*'Invoer gegevens (N)'!$F$31</f>
        <v>0</v>
      </c>
      <c r="AN163" s="71">
        <f t="shared" ca="1" si="29"/>
        <v>0</v>
      </c>
      <c r="AO163" s="71">
        <f ca="1">IF(C163=1,(H163+J163+N163+P163)*'Reeksen (N)'!AN163,0)</f>
        <v>0</v>
      </c>
      <c r="AP163" s="71">
        <f ca="1">-IF(C163=1,(H163+J163+N163+P163)*'Hulp - basis'!$O$550*'Reeksen (N)'!H163,0)</f>
        <v>0</v>
      </c>
      <c r="AQ163" s="71">
        <f ca="1">-IF(C163=1,(F163+K163+L163+Q163)/2*'Invoer gegevens (N)'!$F$35*'Reeksen (N)'!J163,0)*2</f>
        <v>0</v>
      </c>
      <c r="AR163" s="71"/>
      <c r="AS163" s="71">
        <f ca="1">-IF(C163=1,(F163+K163+L163+Q163)/2*'Invoer gegevens (N)'!$F$37*'Reeksen (N)'!L163,0)</f>
        <v>0</v>
      </c>
      <c r="AT163" s="71">
        <f ca="1">-IF(C163=1,IF(E163='Invoer gegevens (N)'!$C$17,'Invoer gegevens (N)'!$C$11,AD163)*'Reeksen (N)'!S163*'Invoer gegevens (N)'!$C$18*'Reeksen (N)'!P163,0)</f>
        <v>0</v>
      </c>
      <c r="AU163" s="71">
        <f ca="1">-IF(C163=1,(F163+K163+L163+Q163)/2*'Invoer gegevens (N)'!$F$38*'Reeksen (N)'!H163,0)</f>
        <v>0</v>
      </c>
      <c r="AV163" s="71">
        <v>0</v>
      </c>
      <c r="AW163" s="71">
        <f t="shared" ca="1" si="30"/>
        <v>0</v>
      </c>
      <c r="AX163" s="71">
        <f ca="1">IF(E163&lt;'Invoer gegevens (N)'!$C$17+15,0,IF(E163&gt;'Invoer gegevens (N)'!$C$17+215,0,AW163))</f>
        <v>0</v>
      </c>
      <c r="AY163" s="71">
        <f ca="1">AX163/(1+'Invoer gegevens (N)'!$F$18)^($AZ163-('Invoer gegevens (N)'!$C$17-'Invoer gegevens (N)'!$C$16))/(1+'Invoer gegevens (N)'!$C$39)^('Invoer gegevens (N)'!$C$17-'Invoer gegevens (N)'!$C$16)</f>
        <v>0</v>
      </c>
      <c r="AZ163" s="68">
        <f ca="1">IF(E163-'Invoer gegevens (N)'!$C$17-14.5&lt;0,0,E163-'Invoer gegevens (N)'!$C$17-14.5)</f>
        <v>143.5</v>
      </c>
    </row>
    <row r="164" spans="1:52" x14ac:dyDescent="0.25">
      <c r="A164" s="59"/>
      <c r="B164" s="70">
        <f t="shared" si="31"/>
        <v>160</v>
      </c>
      <c r="C164" s="67">
        <f ca="1">IF(E164-'Invoer gegevens (N)'!$C$17&lt;0,0,1)</f>
        <v>1</v>
      </c>
      <c r="D164" s="68">
        <f t="shared" si="32"/>
        <v>159.5</v>
      </c>
      <c r="E164" s="69">
        <f ca="1">IF('Invoer gegevens (N)'!$C$16="","",E163+1)</f>
        <v>2178</v>
      </c>
      <c r="F164" s="84">
        <f ca="1">IF('Invoer gegevens (N)'!$C$17=E164,'Invoer gegevens (N)'!$C$10,IF(C164=1,K163,0))</f>
        <v>0</v>
      </c>
      <c r="G164" s="96">
        <f ca="1">IF(C164&gt;=1,F164*VLOOKUP(E164,'Reeksen (N)'!$A$5:$B$76,2),0)</f>
        <v>0</v>
      </c>
      <c r="H164" s="84">
        <f ca="1">(1-('Invoer gegevens (N)'!$F$20/12))*F164*MIN('Reeksen (N)'!B164,'Reeksen (N)'!D164)</f>
        <v>0</v>
      </c>
      <c r="I164" s="84">
        <f>IF('Reeksen (N)'!D164&lt;'Reeksen (N)'!B164,('Reeksen (N)'!B164-'Reeksen (N)'!D164)*F164,0)</f>
        <v>0</v>
      </c>
      <c r="J164" s="84">
        <f ca="1">('Invoer gegevens (N)'!$F$20/12)*F163*MIN('Reeksen (N)'!B163,'Reeksen (N)'!D163)</f>
        <v>0</v>
      </c>
      <c r="K164" s="97">
        <f t="shared" ca="1" si="22"/>
        <v>0</v>
      </c>
      <c r="L164" s="84">
        <f ca="1">IF('Invoer gegevens (N)'!$C$17=E164,0,IF(C164=1,Q163,0))</f>
        <v>0</v>
      </c>
      <c r="M164" s="96">
        <f ca="1">IF(C164&gt;=1,L164*VLOOKUP(E164,'Reeksen (N)'!$A$5:$B$76,2),0)</f>
        <v>0</v>
      </c>
      <c r="N164" s="84">
        <f ca="1">(1-('Invoer gegevens (N)'!$F$20/12))*L164*MIN('Reeksen (N)'!B164,'Reeksen (N)'!D164)</f>
        <v>0</v>
      </c>
      <c r="O164" s="84">
        <f>IF('Reeksen (N)'!D164&lt;'Reeksen (N)'!B164,('Reeksen (N)'!B164-'Reeksen (N)'!D164)*L164,0)</f>
        <v>0</v>
      </c>
      <c r="P164" s="84">
        <f ca="1">('Invoer gegevens (N)'!$F$20/12)*L163*MIN('Reeksen (N)'!B163,'Reeksen (N)'!D163)</f>
        <v>0</v>
      </c>
      <c r="Q164" s="84">
        <f t="shared" ca="1" si="23"/>
        <v>0</v>
      </c>
      <c r="R164" s="82">
        <f ca="1">IF('Invoer gegevens (N)'!$C$17=E164,'Invoer gegevens (N)'!$C$11,IF(C164=1,W163,0))</f>
        <v>0</v>
      </c>
      <c r="S164" s="86">
        <f ca="1">IF(C164&gt;=1,R164*VLOOKUP(E164,'Reeksen (N)'!$A$5:$B$76,2),0)</f>
        <v>0</v>
      </c>
      <c r="T164" s="84">
        <f ca="1">(1-('Invoer gegevens (N)'!$F$20/12))*R164*MIN('Reeksen (N)'!B164,'Reeksen (N)'!D164)</f>
        <v>0</v>
      </c>
      <c r="U164" s="84">
        <f>IF('Reeksen (N)'!D164&gt;='Reeksen (N)'!B164,0,IF('Reeksen (N)'!AD164&lt;='Reeksen (N)'!AE164,('Reeksen (N)'!B164-'Reeksen (N)'!D164)*R164,0))</f>
        <v>0</v>
      </c>
      <c r="V164" s="86">
        <f>IF('Reeksen (N)'!D164&gt;='Reeksen (N)'!B164,0,IF('Reeksen (N)'!AD164&gt;'Reeksen (N)'!AE164,('Reeksen (N)'!B164-'Reeksen (N)'!D164)*R164,0))</f>
        <v>0</v>
      </c>
      <c r="W164" s="97">
        <f t="shared" ca="1" si="24"/>
        <v>0</v>
      </c>
      <c r="X164" s="98">
        <f ca="1">IF('Invoer gegevens (N)'!$C$17=E164,'Invoer gegevens (N)'!$C$10-'Invoer gegevens (N)'!$C$11,IF(C164=1,AC163,0))</f>
        <v>0</v>
      </c>
      <c r="Y164" s="98">
        <f ca="1">IF(C164&gt;=1,X164*VLOOKUP(E164,'Reeksen (N)'!$A$5:$B$76,2),0)</f>
        <v>0</v>
      </c>
      <c r="Z164" s="98">
        <f ca="1">(1-('Invoer gegevens (N)'!$F$20/12))*X164*MIN('Reeksen (N)'!B164,'Reeksen (N)'!D164)</f>
        <v>0</v>
      </c>
      <c r="AA164" s="98">
        <f>IF('Reeksen (N)'!D164&gt;='Reeksen (N)'!B164,0,IF('Reeksen (N)'!AD164&lt;='Reeksen (N)'!AE164,('Reeksen (N)'!B164-'Reeksen (N)'!D164)*X164,0))</f>
        <v>0</v>
      </c>
      <c r="AB164" s="98">
        <f>IF('Reeksen (N)'!D164&gt;='Reeksen (N)'!B164,0,IF('Reeksen (N)'!AD164&gt;'Reeksen (N)'!AE164,('Reeksen (N)'!B164-'Reeksen (N)'!D164)*X164,0))</f>
        <v>0</v>
      </c>
      <c r="AC164" s="99">
        <f t="shared" ca="1" si="25"/>
        <v>0</v>
      </c>
      <c r="AD164" s="98">
        <f ca="1">IF('Invoer gegevens (N)'!$C$17=E164,R164,IF(C164=0,0,AE163))</f>
        <v>0</v>
      </c>
      <c r="AE164" s="98">
        <f t="shared" ca="1" si="26"/>
        <v>0</v>
      </c>
      <c r="AF164" s="98">
        <f ca="1">IF('Invoer gegevens (N)'!$C$17=E164,X164,IF(C164=0,0,AG163))</f>
        <v>0</v>
      </c>
      <c r="AG164" s="98">
        <f t="shared" ca="1" si="27"/>
        <v>0</v>
      </c>
      <c r="AH164" s="66"/>
      <c r="AI164" s="71">
        <f ca="1">IF(C164=1,'Reeksen (N)'!AI164*((F164-G164+F164)/2)*12+'Reeksen (N)'!AD164*((L164-M164+L164)/2)*12,0)</f>
        <v>0</v>
      </c>
      <c r="AJ164" s="71">
        <f ca="1">-AI164*'Invoer gegevens (N)'!$F$28</f>
        <v>0</v>
      </c>
      <c r="AK164" s="71">
        <f t="shared" ca="1" si="28"/>
        <v>0</v>
      </c>
      <c r="AL164" s="71">
        <f ca="1">IF(C164=1,'Reeksen (N)'!AL164*((F164-G164+F164)/2)*12+'Reeksen (N)'!AM164*((L164-M164+L164)/2)*12,0)</f>
        <v>0</v>
      </c>
      <c r="AM164" s="71">
        <f ca="1">-AL164*'Invoer gegevens (N)'!$F$31</f>
        <v>0</v>
      </c>
      <c r="AN164" s="71">
        <f t="shared" ca="1" si="29"/>
        <v>0</v>
      </c>
      <c r="AO164" s="71">
        <f ca="1">IF(C164=1,(H164+J164+N164+P164)*'Reeksen (N)'!AN164,0)</f>
        <v>0</v>
      </c>
      <c r="AP164" s="71">
        <f ca="1">-IF(C164=1,(H164+J164+N164+P164)*'Hulp - basis'!$O$550*'Reeksen (N)'!H164,0)</f>
        <v>0</v>
      </c>
      <c r="AQ164" s="71">
        <f ca="1">-IF(C164=1,(F164+K164+L164+Q164)/2*'Invoer gegevens (N)'!$F$35*'Reeksen (N)'!J164,0)*2</f>
        <v>0</v>
      </c>
      <c r="AR164" s="71"/>
      <c r="AS164" s="71">
        <f ca="1">-IF(C164=1,(F164+K164+L164+Q164)/2*'Invoer gegevens (N)'!$F$37*'Reeksen (N)'!L164,0)</f>
        <v>0</v>
      </c>
      <c r="AT164" s="71">
        <f ca="1">-IF(C164=1,IF(E164='Invoer gegevens (N)'!$C$17,'Invoer gegevens (N)'!$C$11,AD164)*'Reeksen (N)'!S164*'Invoer gegevens (N)'!$C$18*'Reeksen (N)'!P164,0)</f>
        <v>0</v>
      </c>
      <c r="AU164" s="71">
        <f ca="1">-IF(C164=1,(F164+K164+L164+Q164)/2*'Invoer gegevens (N)'!$F$38*'Reeksen (N)'!H164,0)</f>
        <v>0</v>
      </c>
      <c r="AV164" s="71">
        <v>0</v>
      </c>
      <c r="AW164" s="71">
        <f t="shared" ca="1" si="30"/>
        <v>0</v>
      </c>
      <c r="AX164" s="71">
        <f ca="1">IF(E164&lt;'Invoer gegevens (N)'!$C$17+15,0,IF(E164&gt;'Invoer gegevens (N)'!$C$17+215,0,AW164))</f>
        <v>0</v>
      </c>
      <c r="AY164" s="71">
        <f ca="1">AX164/(1+'Invoer gegevens (N)'!$F$18)^($AZ164-('Invoer gegevens (N)'!$C$17-'Invoer gegevens (N)'!$C$16))/(1+'Invoer gegevens (N)'!$C$39)^('Invoer gegevens (N)'!$C$17-'Invoer gegevens (N)'!$C$16)</f>
        <v>0</v>
      </c>
      <c r="AZ164" s="68">
        <f ca="1">IF(E164-'Invoer gegevens (N)'!$C$17-14.5&lt;0,0,E164-'Invoer gegevens (N)'!$C$17-14.5)</f>
        <v>144.5</v>
      </c>
    </row>
    <row r="165" spans="1:52" x14ac:dyDescent="0.25">
      <c r="A165" s="59"/>
      <c r="B165" s="70">
        <f t="shared" si="31"/>
        <v>161</v>
      </c>
      <c r="C165" s="67">
        <f ca="1">IF(E165-'Invoer gegevens (N)'!$C$17&lt;0,0,1)</f>
        <v>1</v>
      </c>
      <c r="D165" s="68">
        <f t="shared" si="32"/>
        <v>160.5</v>
      </c>
      <c r="E165" s="69">
        <f ca="1">IF('Invoer gegevens (N)'!$C$16="","",E164+1)</f>
        <v>2179</v>
      </c>
      <c r="F165" s="84">
        <f ca="1">IF('Invoer gegevens (N)'!$C$17=E165,'Invoer gegevens (N)'!$C$10,IF(C165=1,K164,0))</f>
        <v>0</v>
      </c>
      <c r="G165" s="96">
        <f ca="1">IF(C165&gt;=1,F165*VLOOKUP(E165,'Reeksen (N)'!$A$5:$B$76,2),0)</f>
        <v>0</v>
      </c>
      <c r="H165" s="84">
        <f ca="1">(1-('Invoer gegevens (N)'!$F$20/12))*F165*MIN('Reeksen (N)'!B165,'Reeksen (N)'!D165)</f>
        <v>0</v>
      </c>
      <c r="I165" s="84">
        <f>IF('Reeksen (N)'!D165&lt;'Reeksen (N)'!B165,('Reeksen (N)'!B165-'Reeksen (N)'!D165)*F165,0)</f>
        <v>0</v>
      </c>
      <c r="J165" s="84">
        <f ca="1">('Invoer gegevens (N)'!$F$20/12)*F164*MIN('Reeksen (N)'!B164,'Reeksen (N)'!D164)</f>
        <v>0</v>
      </c>
      <c r="K165" s="97">
        <f t="shared" ca="1" si="22"/>
        <v>0</v>
      </c>
      <c r="L165" s="84">
        <f ca="1">IF('Invoer gegevens (N)'!$C$17=E165,0,IF(C165=1,Q164,0))</f>
        <v>0</v>
      </c>
      <c r="M165" s="96">
        <f ca="1">IF(C165&gt;=1,L165*VLOOKUP(E165,'Reeksen (N)'!$A$5:$B$76,2),0)</f>
        <v>0</v>
      </c>
      <c r="N165" s="84">
        <f ca="1">(1-('Invoer gegevens (N)'!$F$20/12))*L165*MIN('Reeksen (N)'!B165,'Reeksen (N)'!D165)</f>
        <v>0</v>
      </c>
      <c r="O165" s="84">
        <f>IF('Reeksen (N)'!D165&lt;'Reeksen (N)'!B165,('Reeksen (N)'!B165-'Reeksen (N)'!D165)*L165,0)</f>
        <v>0</v>
      </c>
      <c r="P165" s="84">
        <f ca="1">('Invoer gegevens (N)'!$F$20/12)*L164*MIN('Reeksen (N)'!B164,'Reeksen (N)'!D164)</f>
        <v>0</v>
      </c>
      <c r="Q165" s="84">
        <f t="shared" ca="1" si="23"/>
        <v>0</v>
      </c>
      <c r="R165" s="82">
        <f ca="1">IF('Invoer gegevens (N)'!$C$17=E165,'Invoer gegevens (N)'!$C$11,IF(C165=1,W164,0))</f>
        <v>0</v>
      </c>
      <c r="S165" s="86">
        <f ca="1">IF(C165&gt;=1,R165*VLOOKUP(E165,'Reeksen (N)'!$A$5:$B$76,2),0)</f>
        <v>0</v>
      </c>
      <c r="T165" s="84">
        <f ca="1">(1-('Invoer gegevens (N)'!$F$20/12))*R165*MIN('Reeksen (N)'!B165,'Reeksen (N)'!D165)</f>
        <v>0</v>
      </c>
      <c r="U165" s="84">
        <f>IF('Reeksen (N)'!D165&gt;='Reeksen (N)'!B165,0,IF('Reeksen (N)'!AD165&lt;='Reeksen (N)'!AE165,('Reeksen (N)'!B165-'Reeksen (N)'!D165)*R165,0))</f>
        <v>0</v>
      </c>
      <c r="V165" s="86">
        <f>IF('Reeksen (N)'!D165&gt;='Reeksen (N)'!B165,0,IF('Reeksen (N)'!AD165&gt;'Reeksen (N)'!AE165,('Reeksen (N)'!B165-'Reeksen (N)'!D165)*R165,0))</f>
        <v>0</v>
      </c>
      <c r="W165" s="97">
        <f t="shared" ca="1" si="24"/>
        <v>0</v>
      </c>
      <c r="X165" s="98">
        <f ca="1">IF('Invoer gegevens (N)'!$C$17=E165,'Invoer gegevens (N)'!$C$10-'Invoer gegevens (N)'!$C$11,IF(C165=1,AC164,0))</f>
        <v>0</v>
      </c>
      <c r="Y165" s="98">
        <f ca="1">IF(C165&gt;=1,X165*VLOOKUP(E165,'Reeksen (N)'!$A$5:$B$76,2),0)</f>
        <v>0</v>
      </c>
      <c r="Z165" s="98">
        <f ca="1">(1-('Invoer gegevens (N)'!$F$20/12))*X165*MIN('Reeksen (N)'!B165,'Reeksen (N)'!D165)</f>
        <v>0</v>
      </c>
      <c r="AA165" s="98">
        <f>IF('Reeksen (N)'!D165&gt;='Reeksen (N)'!B165,0,IF('Reeksen (N)'!AD165&lt;='Reeksen (N)'!AE165,('Reeksen (N)'!B165-'Reeksen (N)'!D165)*X165,0))</f>
        <v>0</v>
      </c>
      <c r="AB165" s="98">
        <f>IF('Reeksen (N)'!D165&gt;='Reeksen (N)'!B165,0,IF('Reeksen (N)'!AD165&gt;'Reeksen (N)'!AE165,('Reeksen (N)'!B165-'Reeksen (N)'!D165)*X165,0))</f>
        <v>0</v>
      </c>
      <c r="AC165" s="99">
        <f t="shared" ca="1" si="25"/>
        <v>0</v>
      </c>
      <c r="AD165" s="98">
        <f ca="1">IF('Invoer gegevens (N)'!$C$17=E165,R165,IF(C165=0,0,AE164))</f>
        <v>0</v>
      </c>
      <c r="AE165" s="98">
        <f t="shared" ca="1" si="26"/>
        <v>0</v>
      </c>
      <c r="AF165" s="98">
        <f ca="1">IF('Invoer gegevens (N)'!$C$17=E165,X165,IF(C165=0,0,AG164))</f>
        <v>0</v>
      </c>
      <c r="AG165" s="98">
        <f t="shared" ca="1" si="27"/>
        <v>0</v>
      </c>
      <c r="AH165" s="66"/>
      <c r="AI165" s="71">
        <f ca="1">IF(C165=1,'Reeksen (N)'!AI165*((F165-G165+F165)/2)*12+'Reeksen (N)'!AD165*((L165-M165+L165)/2)*12,0)</f>
        <v>0</v>
      </c>
      <c r="AJ165" s="71">
        <f ca="1">-AI165*'Invoer gegevens (N)'!$F$28</f>
        <v>0</v>
      </c>
      <c r="AK165" s="71">
        <f t="shared" ca="1" si="28"/>
        <v>0</v>
      </c>
      <c r="AL165" s="71">
        <f ca="1">IF(C165=1,'Reeksen (N)'!AL165*((F165-G165+F165)/2)*12+'Reeksen (N)'!AM165*((L165-M165+L165)/2)*12,0)</f>
        <v>0</v>
      </c>
      <c r="AM165" s="71">
        <f ca="1">-AL165*'Invoer gegevens (N)'!$F$31</f>
        <v>0</v>
      </c>
      <c r="AN165" s="71">
        <f t="shared" ca="1" si="29"/>
        <v>0</v>
      </c>
      <c r="AO165" s="71">
        <f ca="1">IF(C165=1,(H165+J165+N165+P165)*'Reeksen (N)'!AN165,0)</f>
        <v>0</v>
      </c>
      <c r="AP165" s="71">
        <f ca="1">-IF(C165=1,(H165+J165+N165+P165)*'Hulp - basis'!$O$550*'Reeksen (N)'!H165,0)</f>
        <v>0</v>
      </c>
      <c r="AQ165" s="71">
        <f ca="1">-IF(C165=1,(F165+K165+L165+Q165)/2*'Invoer gegevens (N)'!$F$35*'Reeksen (N)'!J165,0)*2</f>
        <v>0</v>
      </c>
      <c r="AR165" s="71"/>
      <c r="AS165" s="71">
        <f ca="1">-IF(C165=1,(F165+K165+L165+Q165)/2*'Invoer gegevens (N)'!$F$37*'Reeksen (N)'!L165,0)</f>
        <v>0</v>
      </c>
      <c r="AT165" s="71">
        <f ca="1">-IF(C165=1,IF(E165='Invoer gegevens (N)'!$C$17,'Invoer gegevens (N)'!$C$11,AD165)*'Reeksen (N)'!S165*'Invoer gegevens (N)'!$C$18*'Reeksen (N)'!P165,0)</f>
        <v>0</v>
      </c>
      <c r="AU165" s="71">
        <f ca="1">-IF(C165=1,(F165+K165+L165+Q165)/2*'Invoer gegevens (N)'!$F$38*'Reeksen (N)'!H165,0)</f>
        <v>0</v>
      </c>
      <c r="AV165" s="71">
        <v>0</v>
      </c>
      <c r="AW165" s="71">
        <f t="shared" ca="1" si="30"/>
        <v>0</v>
      </c>
      <c r="AX165" s="71">
        <f ca="1">IF(E165&lt;'Invoer gegevens (N)'!$C$17+15,0,IF(E165&gt;'Invoer gegevens (N)'!$C$17+215,0,AW165))</f>
        <v>0</v>
      </c>
      <c r="AY165" s="71">
        <f ca="1">AX165/(1+'Invoer gegevens (N)'!$F$18)^($AZ165-('Invoer gegevens (N)'!$C$17-'Invoer gegevens (N)'!$C$16))/(1+'Invoer gegevens (N)'!$C$39)^('Invoer gegevens (N)'!$C$17-'Invoer gegevens (N)'!$C$16)</f>
        <v>0</v>
      </c>
      <c r="AZ165" s="68">
        <f ca="1">IF(E165-'Invoer gegevens (N)'!$C$17-14.5&lt;0,0,E165-'Invoer gegevens (N)'!$C$17-14.5)</f>
        <v>145.5</v>
      </c>
    </row>
    <row r="166" spans="1:52" x14ac:dyDescent="0.25">
      <c r="A166" s="59"/>
      <c r="B166" s="70">
        <f t="shared" si="31"/>
        <v>162</v>
      </c>
      <c r="C166" s="67">
        <f ca="1">IF(E166-'Invoer gegevens (N)'!$C$17&lt;0,0,1)</f>
        <v>1</v>
      </c>
      <c r="D166" s="68">
        <f t="shared" si="32"/>
        <v>161.5</v>
      </c>
      <c r="E166" s="69">
        <f ca="1">IF('Invoer gegevens (N)'!$C$16="","",E165+1)</f>
        <v>2180</v>
      </c>
      <c r="F166" s="84">
        <f ca="1">IF('Invoer gegevens (N)'!$C$17=E166,'Invoer gegevens (N)'!$C$10,IF(C166=1,K165,0))</f>
        <v>0</v>
      </c>
      <c r="G166" s="96">
        <f ca="1">IF(C166&gt;=1,F166*VLOOKUP(E166,'Reeksen (N)'!$A$5:$B$76,2),0)</f>
        <v>0</v>
      </c>
      <c r="H166" s="84">
        <f ca="1">(1-('Invoer gegevens (N)'!$F$20/12))*F166*MIN('Reeksen (N)'!B166,'Reeksen (N)'!D166)</f>
        <v>0</v>
      </c>
      <c r="I166" s="84">
        <f>IF('Reeksen (N)'!D166&lt;'Reeksen (N)'!B166,('Reeksen (N)'!B166-'Reeksen (N)'!D166)*F166,0)</f>
        <v>0</v>
      </c>
      <c r="J166" s="84">
        <f ca="1">('Invoer gegevens (N)'!$F$20/12)*F165*MIN('Reeksen (N)'!B165,'Reeksen (N)'!D165)</f>
        <v>0</v>
      </c>
      <c r="K166" s="97">
        <f t="shared" ca="1" si="22"/>
        <v>0</v>
      </c>
      <c r="L166" s="84">
        <f ca="1">IF('Invoer gegevens (N)'!$C$17=E166,0,IF(C166=1,Q165,0))</f>
        <v>0</v>
      </c>
      <c r="M166" s="96">
        <f ca="1">IF(C166&gt;=1,L166*VLOOKUP(E166,'Reeksen (N)'!$A$5:$B$76,2),0)</f>
        <v>0</v>
      </c>
      <c r="N166" s="84">
        <f ca="1">(1-('Invoer gegevens (N)'!$F$20/12))*L166*MIN('Reeksen (N)'!B166,'Reeksen (N)'!D166)</f>
        <v>0</v>
      </c>
      <c r="O166" s="84">
        <f>IF('Reeksen (N)'!D166&lt;'Reeksen (N)'!B166,('Reeksen (N)'!B166-'Reeksen (N)'!D166)*L166,0)</f>
        <v>0</v>
      </c>
      <c r="P166" s="84">
        <f ca="1">('Invoer gegevens (N)'!$F$20/12)*L165*MIN('Reeksen (N)'!B165,'Reeksen (N)'!D165)</f>
        <v>0</v>
      </c>
      <c r="Q166" s="84">
        <f t="shared" ca="1" si="23"/>
        <v>0</v>
      </c>
      <c r="R166" s="82">
        <f ca="1">IF('Invoer gegevens (N)'!$C$17=E166,'Invoer gegevens (N)'!$C$11,IF(C166=1,W165,0))</f>
        <v>0</v>
      </c>
      <c r="S166" s="86">
        <f ca="1">IF(C166&gt;=1,R166*VLOOKUP(E166,'Reeksen (N)'!$A$5:$B$76,2),0)</f>
        <v>0</v>
      </c>
      <c r="T166" s="84">
        <f ca="1">(1-('Invoer gegevens (N)'!$F$20/12))*R166*MIN('Reeksen (N)'!B166,'Reeksen (N)'!D166)</f>
        <v>0</v>
      </c>
      <c r="U166" s="84">
        <f>IF('Reeksen (N)'!D166&gt;='Reeksen (N)'!B166,0,IF('Reeksen (N)'!AD166&lt;='Reeksen (N)'!AE166,('Reeksen (N)'!B166-'Reeksen (N)'!D166)*R166,0))</f>
        <v>0</v>
      </c>
      <c r="V166" s="86">
        <f>IF('Reeksen (N)'!D166&gt;='Reeksen (N)'!B166,0,IF('Reeksen (N)'!AD166&gt;'Reeksen (N)'!AE166,('Reeksen (N)'!B166-'Reeksen (N)'!D166)*R166,0))</f>
        <v>0</v>
      </c>
      <c r="W166" s="97">
        <f t="shared" ca="1" si="24"/>
        <v>0</v>
      </c>
      <c r="X166" s="98">
        <f ca="1">IF('Invoer gegevens (N)'!$C$17=E166,'Invoer gegevens (N)'!$C$10-'Invoer gegevens (N)'!$C$11,IF(C166=1,AC165,0))</f>
        <v>0</v>
      </c>
      <c r="Y166" s="98">
        <f ca="1">IF(C166&gt;=1,X166*VLOOKUP(E166,'Reeksen (N)'!$A$5:$B$76,2),0)</f>
        <v>0</v>
      </c>
      <c r="Z166" s="98">
        <f ca="1">(1-('Invoer gegevens (N)'!$F$20/12))*X166*MIN('Reeksen (N)'!B166,'Reeksen (N)'!D166)</f>
        <v>0</v>
      </c>
      <c r="AA166" s="98">
        <f>IF('Reeksen (N)'!D166&gt;='Reeksen (N)'!B166,0,IF('Reeksen (N)'!AD166&lt;='Reeksen (N)'!AE166,('Reeksen (N)'!B166-'Reeksen (N)'!D166)*X166,0))</f>
        <v>0</v>
      </c>
      <c r="AB166" s="98">
        <f>IF('Reeksen (N)'!D166&gt;='Reeksen (N)'!B166,0,IF('Reeksen (N)'!AD166&gt;'Reeksen (N)'!AE166,('Reeksen (N)'!B166-'Reeksen (N)'!D166)*X166,0))</f>
        <v>0</v>
      </c>
      <c r="AC166" s="99">
        <f t="shared" ca="1" si="25"/>
        <v>0</v>
      </c>
      <c r="AD166" s="98">
        <f ca="1">IF('Invoer gegevens (N)'!$C$17=E166,R166,IF(C166=0,0,AE165))</f>
        <v>0</v>
      </c>
      <c r="AE166" s="98">
        <f t="shared" ca="1" si="26"/>
        <v>0</v>
      </c>
      <c r="AF166" s="98">
        <f ca="1">IF('Invoer gegevens (N)'!$C$17=E166,X166,IF(C166=0,0,AG165))</f>
        <v>0</v>
      </c>
      <c r="AG166" s="98">
        <f t="shared" ca="1" si="27"/>
        <v>0</v>
      </c>
      <c r="AH166" s="66"/>
      <c r="AI166" s="71">
        <f ca="1">IF(C166=1,'Reeksen (N)'!AI166*((F166-G166+F166)/2)*12+'Reeksen (N)'!AD166*((L166-M166+L166)/2)*12,0)</f>
        <v>0</v>
      </c>
      <c r="AJ166" s="71">
        <f ca="1">-AI166*'Invoer gegevens (N)'!$F$28</f>
        <v>0</v>
      </c>
      <c r="AK166" s="71">
        <f t="shared" ca="1" si="28"/>
        <v>0</v>
      </c>
      <c r="AL166" s="71">
        <f ca="1">IF(C166=1,'Reeksen (N)'!AL166*((F166-G166+F166)/2)*12+'Reeksen (N)'!AM166*((L166-M166+L166)/2)*12,0)</f>
        <v>0</v>
      </c>
      <c r="AM166" s="71">
        <f ca="1">-AL166*'Invoer gegevens (N)'!$F$31</f>
        <v>0</v>
      </c>
      <c r="AN166" s="71">
        <f t="shared" ca="1" si="29"/>
        <v>0</v>
      </c>
      <c r="AO166" s="71">
        <f ca="1">IF(C166=1,(H166+J166+N166+P166)*'Reeksen (N)'!AN166,0)</f>
        <v>0</v>
      </c>
      <c r="AP166" s="71">
        <f ca="1">-IF(C166=1,(H166+J166+N166+P166)*'Hulp - basis'!$O$550*'Reeksen (N)'!H166,0)</f>
        <v>0</v>
      </c>
      <c r="AQ166" s="71">
        <f ca="1">-IF(C166=1,(F166+K166+L166+Q166)/2*'Invoer gegevens (N)'!$F$35*'Reeksen (N)'!J166,0)*2</f>
        <v>0</v>
      </c>
      <c r="AR166" s="71"/>
      <c r="AS166" s="71">
        <f ca="1">-IF(C166=1,(F166+K166+L166+Q166)/2*'Invoer gegevens (N)'!$F$37*'Reeksen (N)'!L166,0)</f>
        <v>0</v>
      </c>
      <c r="AT166" s="71">
        <f ca="1">-IF(C166=1,IF(E166='Invoer gegevens (N)'!$C$17,'Invoer gegevens (N)'!$C$11,AD166)*'Reeksen (N)'!S166*'Invoer gegevens (N)'!$C$18*'Reeksen (N)'!P166,0)</f>
        <v>0</v>
      </c>
      <c r="AU166" s="71">
        <f ca="1">-IF(C166=1,(F166+K166+L166+Q166)/2*'Invoer gegevens (N)'!$F$38*'Reeksen (N)'!H166,0)</f>
        <v>0</v>
      </c>
      <c r="AV166" s="71">
        <v>0</v>
      </c>
      <c r="AW166" s="71">
        <f t="shared" ca="1" si="30"/>
        <v>0</v>
      </c>
      <c r="AX166" s="71">
        <f ca="1">IF(E166&lt;'Invoer gegevens (N)'!$C$17+15,0,IF(E166&gt;'Invoer gegevens (N)'!$C$17+215,0,AW166))</f>
        <v>0</v>
      </c>
      <c r="AY166" s="71">
        <f ca="1">AX166/(1+'Invoer gegevens (N)'!$F$18)^($AZ166-('Invoer gegevens (N)'!$C$17-'Invoer gegevens (N)'!$C$16))/(1+'Invoer gegevens (N)'!$C$39)^('Invoer gegevens (N)'!$C$17-'Invoer gegevens (N)'!$C$16)</f>
        <v>0</v>
      </c>
      <c r="AZ166" s="68">
        <f ca="1">IF(E166-'Invoer gegevens (N)'!$C$17-14.5&lt;0,0,E166-'Invoer gegevens (N)'!$C$17-14.5)</f>
        <v>146.5</v>
      </c>
    </row>
    <row r="167" spans="1:52" x14ac:dyDescent="0.25">
      <c r="A167" s="59"/>
      <c r="B167" s="70">
        <f t="shared" si="31"/>
        <v>163</v>
      </c>
      <c r="C167" s="67">
        <f ca="1">IF(E167-'Invoer gegevens (N)'!$C$17&lt;0,0,1)</f>
        <v>1</v>
      </c>
      <c r="D167" s="68">
        <f t="shared" si="32"/>
        <v>162.5</v>
      </c>
      <c r="E167" s="69">
        <f ca="1">IF('Invoer gegevens (N)'!$C$16="","",E166+1)</f>
        <v>2181</v>
      </c>
      <c r="F167" s="84">
        <f ca="1">IF('Invoer gegevens (N)'!$C$17=E167,'Invoer gegevens (N)'!$C$10,IF(C167=1,K166,0))</f>
        <v>0</v>
      </c>
      <c r="G167" s="96">
        <f ca="1">IF(C167&gt;=1,F167*VLOOKUP(E167,'Reeksen (N)'!$A$5:$B$76,2),0)</f>
        <v>0</v>
      </c>
      <c r="H167" s="84">
        <f ca="1">(1-('Invoer gegevens (N)'!$F$20/12))*F167*MIN('Reeksen (N)'!B167,'Reeksen (N)'!D167)</f>
        <v>0</v>
      </c>
      <c r="I167" s="84">
        <f>IF('Reeksen (N)'!D167&lt;'Reeksen (N)'!B167,('Reeksen (N)'!B167-'Reeksen (N)'!D167)*F167,0)</f>
        <v>0</v>
      </c>
      <c r="J167" s="84">
        <f ca="1">('Invoer gegevens (N)'!$F$20/12)*F166*MIN('Reeksen (N)'!B166,'Reeksen (N)'!D166)</f>
        <v>0</v>
      </c>
      <c r="K167" s="97">
        <f t="shared" ca="1" si="22"/>
        <v>0</v>
      </c>
      <c r="L167" s="84">
        <f ca="1">IF('Invoer gegevens (N)'!$C$17=E167,0,IF(C167=1,Q166,0))</f>
        <v>0</v>
      </c>
      <c r="M167" s="96">
        <f ca="1">IF(C167&gt;=1,L167*VLOOKUP(E167,'Reeksen (N)'!$A$5:$B$76,2),0)</f>
        <v>0</v>
      </c>
      <c r="N167" s="84">
        <f ca="1">(1-('Invoer gegevens (N)'!$F$20/12))*L167*MIN('Reeksen (N)'!B167,'Reeksen (N)'!D167)</f>
        <v>0</v>
      </c>
      <c r="O167" s="84">
        <f>IF('Reeksen (N)'!D167&lt;'Reeksen (N)'!B167,('Reeksen (N)'!B167-'Reeksen (N)'!D167)*L167,0)</f>
        <v>0</v>
      </c>
      <c r="P167" s="84">
        <f ca="1">('Invoer gegevens (N)'!$F$20/12)*L166*MIN('Reeksen (N)'!B166,'Reeksen (N)'!D166)</f>
        <v>0</v>
      </c>
      <c r="Q167" s="84">
        <f t="shared" ca="1" si="23"/>
        <v>0</v>
      </c>
      <c r="R167" s="82">
        <f ca="1">IF('Invoer gegevens (N)'!$C$17=E167,'Invoer gegevens (N)'!$C$11,IF(C167=1,W166,0))</f>
        <v>0</v>
      </c>
      <c r="S167" s="86">
        <f ca="1">IF(C167&gt;=1,R167*VLOOKUP(E167,'Reeksen (N)'!$A$5:$B$76,2),0)</f>
        <v>0</v>
      </c>
      <c r="T167" s="84">
        <f ca="1">(1-('Invoer gegevens (N)'!$F$20/12))*R167*MIN('Reeksen (N)'!B167,'Reeksen (N)'!D167)</f>
        <v>0</v>
      </c>
      <c r="U167" s="84">
        <f>IF('Reeksen (N)'!D167&gt;='Reeksen (N)'!B167,0,IF('Reeksen (N)'!AD167&lt;='Reeksen (N)'!AE167,('Reeksen (N)'!B167-'Reeksen (N)'!D167)*R167,0))</f>
        <v>0</v>
      </c>
      <c r="V167" s="86">
        <f>IF('Reeksen (N)'!D167&gt;='Reeksen (N)'!B167,0,IF('Reeksen (N)'!AD167&gt;'Reeksen (N)'!AE167,('Reeksen (N)'!B167-'Reeksen (N)'!D167)*R167,0))</f>
        <v>0</v>
      </c>
      <c r="W167" s="97">
        <f t="shared" ca="1" si="24"/>
        <v>0</v>
      </c>
      <c r="X167" s="98">
        <f ca="1">IF('Invoer gegevens (N)'!$C$17=E167,'Invoer gegevens (N)'!$C$10-'Invoer gegevens (N)'!$C$11,IF(C167=1,AC166,0))</f>
        <v>0</v>
      </c>
      <c r="Y167" s="98">
        <f ca="1">IF(C167&gt;=1,X167*VLOOKUP(E167,'Reeksen (N)'!$A$5:$B$76,2),0)</f>
        <v>0</v>
      </c>
      <c r="Z167" s="98">
        <f ca="1">(1-('Invoer gegevens (N)'!$F$20/12))*X167*MIN('Reeksen (N)'!B167,'Reeksen (N)'!D167)</f>
        <v>0</v>
      </c>
      <c r="AA167" s="98">
        <f>IF('Reeksen (N)'!D167&gt;='Reeksen (N)'!B167,0,IF('Reeksen (N)'!AD167&lt;='Reeksen (N)'!AE167,('Reeksen (N)'!B167-'Reeksen (N)'!D167)*X167,0))</f>
        <v>0</v>
      </c>
      <c r="AB167" s="98">
        <f>IF('Reeksen (N)'!D167&gt;='Reeksen (N)'!B167,0,IF('Reeksen (N)'!AD167&gt;'Reeksen (N)'!AE167,('Reeksen (N)'!B167-'Reeksen (N)'!D167)*X167,0))</f>
        <v>0</v>
      </c>
      <c r="AC167" s="99">
        <f t="shared" ca="1" si="25"/>
        <v>0</v>
      </c>
      <c r="AD167" s="98">
        <f ca="1">IF('Invoer gegevens (N)'!$C$17=E167,R167,IF(C167=0,0,AE166))</f>
        <v>0</v>
      </c>
      <c r="AE167" s="98">
        <f t="shared" ca="1" si="26"/>
        <v>0</v>
      </c>
      <c r="AF167" s="98">
        <f ca="1">IF('Invoer gegevens (N)'!$C$17=E167,X167,IF(C167=0,0,AG166))</f>
        <v>0</v>
      </c>
      <c r="AG167" s="98">
        <f t="shared" ca="1" si="27"/>
        <v>0</v>
      </c>
      <c r="AH167" s="66"/>
      <c r="AI167" s="71">
        <f ca="1">IF(C167=1,'Reeksen (N)'!AI167*((F167-G167+F167)/2)*12+'Reeksen (N)'!AD167*((L167-M167+L167)/2)*12,0)</f>
        <v>0</v>
      </c>
      <c r="AJ167" s="71">
        <f ca="1">-AI167*'Invoer gegevens (N)'!$F$28</f>
        <v>0</v>
      </c>
      <c r="AK167" s="71">
        <f t="shared" ca="1" si="28"/>
        <v>0</v>
      </c>
      <c r="AL167" s="71">
        <f ca="1">IF(C167=1,'Reeksen (N)'!AL167*((F167-G167+F167)/2)*12+'Reeksen (N)'!AM167*((L167-M167+L167)/2)*12,0)</f>
        <v>0</v>
      </c>
      <c r="AM167" s="71">
        <f ca="1">-AL167*'Invoer gegevens (N)'!$F$31</f>
        <v>0</v>
      </c>
      <c r="AN167" s="71">
        <f t="shared" ca="1" si="29"/>
        <v>0</v>
      </c>
      <c r="AO167" s="71">
        <f ca="1">IF(C167=1,(H167+J167+N167+P167)*'Reeksen (N)'!AN167,0)</f>
        <v>0</v>
      </c>
      <c r="AP167" s="71">
        <f ca="1">-IF(C167=1,(H167+J167+N167+P167)*'Hulp - basis'!$O$550*'Reeksen (N)'!H167,0)</f>
        <v>0</v>
      </c>
      <c r="AQ167" s="71">
        <f ca="1">-IF(C167=1,(F167+K167+L167+Q167)/2*'Invoer gegevens (N)'!$F$35*'Reeksen (N)'!J167,0)*2</f>
        <v>0</v>
      </c>
      <c r="AR167" s="71"/>
      <c r="AS167" s="71">
        <f ca="1">-IF(C167=1,(F167+K167+L167+Q167)/2*'Invoer gegevens (N)'!$F$37*'Reeksen (N)'!L167,0)</f>
        <v>0</v>
      </c>
      <c r="AT167" s="71">
        <f ca="1">-IF(C167=1,IF(E167='Invoer gegevens (N)'!$C$17,'Invoer gegevens (N)'!$C$11,AD167)*'Reeksen (N)'!S167*'Invoer gegevens (N)'!$C$18*'Reeksen (N)'!P167,0)</f>
        <v>0</v>
      </c>
      <c r="AU167" s="71">
        <f ca="1">-IF(C167=1,(F167+K167+L167+Q167)/2*'Invoer gegevens (N)'!$F$38*'Reeksen (N)'!H167,0)</f>
        <v>0</v>
      </c>
      <c r="AV167" s="71">
        <v>0</v>
      </c>
      <c r="AW167" s="71">
        <f t="shared" ca="1" si="30"/>
        <v>0</v>
      </c>
      <c r="AX167" s="71">
        <f ca="1">IF(E167&lt;'Invoer gegevens (N)'!$C$17+15,0,IF(E167&gt;'Invoer gegevens (N)'!$C$17+215,0,AW167))</f>
        <v>0</v>
      </c>
      <c r="AY167" s="71">
        <f ca="1">AX167/(1+'Invoer gegevens (N)'!$F$18)^($AZ167-('Invoer gegevens (N)'!$C$17-'Invoer gegevens (N)'!$C$16))/(1+'Invoer gegevens (N)'!$C$39)^('Invoer gegevens (N)'!$C$17-'Invoer gegevens (N)'!$C$16)</f>
        <v>0</v>
      </c>
      <c r="AZ167" s="68">
        <f ca="1">IF(E167-'Invoer gegevens (N)'!$C$17-14.5&lt;0,0,E167-'Invoer gegevens (N)'!$C$17-14.5)</f>
        <v>147.5</v>
      </c>
    </row>
    <row r="168" spans="1:52" x14ac:dyDescent="0.25">
      <c r="A168" s="59"/>
      <c r="B168" s="70">
        <f t="shared" si="31"/>
        <v>164</v>
      </c>
      <c r="C168" s="67">
        <f ca="1">IF(E168-'Invoer gegevens (N)'!$C$17&lt;0,0,1)</f>
        <v>1</v>
      </c>
      <c r="D168" s="68">
        <f t="shared" si="32"/>
        <v>163.5</v>
      </c>
      <c r="E168" s="69">
        <f ca="1">IF('Invoer gegevens (N)'!$C$16="","",E167+1)</f>
        <v>2182</v>
      </c>
      <c r="F168" s="84">
        <f ca="1">IF('Invoer gegevens (N)'!$C$17=E168,'Invoer gegevens (N)'!$C$10,IF(C168=1,K167,0))</f>
        <v>0</v>
      </c>
      <c r="G168" s="96">
        <f ca="1">IF(C168&gt;=1,F168*VLOOKUP(E168,'Reeksen (N)'!$A$5:$B$76,2),0)</f>
        <v>0</v>
      </c>
      <c r="H168" s="84">
        <f ca="1">(1-('Invoer gegevens (N)'!$F$20/12))*F168*MIN('Reeksen (N)'!B168,'Reeksen (N)'!D168)</f>
        <v>0</v>
      </c>
      <c r="I168" s="84">
        <f>IF('Reeksen (N)'!D168&lt;'Reeksen (N)'!B168,('Reeksen (N)'!B168-'Reeksen (N)'!D168)*F168,0)</f>
        <v>0</v>
      </c>
      <c r="J168" s="84">
        <f ca="1">('Invoer gegevens (N)'!$F$20/12)*F167*MIN('Reeksen (N)'!B167,'Reeksen (N)'!D167)</f>
        <v>0</v>
      </c>
      <c r="K168" s="97">
        <f t="shared" ca="1" si="22"/>
        <v>0</v>
      </c>
      <c r="L168" s="84">
        <f ca="1">IF('Invoer gegevens (N)'!$C$17=E168,0,IF(C168=1,Q167,0))</f>
        <v>0</v>
      </c>
      <c r="M168" s="96">
        <f ca="1">IF(C168&gt;=1,L168*VLOOKUP(E168,'Reeksen (N)'!$A$5:$B$76,2),0)</f>
        <v>0</v>
      </c>
      <c r="N168" s="84">
        <f ca="1">(1-('Invoer gegevens (N)'!$F$20/12))*L168*MIN('Reeksen (N)'!B168,'Reeksen (N)'!D168)</f>
        <v>0</v>
      </c>
      <c r="O168" s="84">
        <f>IF('Reeksen (N)'!D168&lt;'Reeksen (N)'!B168,('Reeksen (N)'!B168-'Reeksen (N)'!D168)*L168,0)</f>
        <v>0</v>
      </c>
      <c r="P168" s="84">
        <f ca="1">('Invoer gegevens (N)'!$F$20/12)*L167*MIN('Reeksen (N)'!B167,'Reeksen (N)'!D167)</f>
        <v>0</v>
      </c>
      <c r="Q168" s="84">
        <f t="shared" ca="1" si="23"/>
        <v>0</v>
      </c>
      <c r="R168" s="82">
        <f ca="1">IF('Invoer gegevens (N)'!$C$17=E168,'Invoer gegevens (N)'!$C$11,IF(C168=1,W167,0))</f>
        <v>0</v>
      </c>
      <c r="S168" s="86">
        <f ca="1">IF(C168&gt;=1,R168*VLOOKUP(E168,'Reeksen (N)'!$A$5:$B$76,2),0)</f>
        <v>0</v>
      </c>
      <c r="T168" s="84">
        <f ca="1">(1-('Invoer gegevens (N)'!$F$20/12))*R168*MIN('Reeksen (N)'!B168,'Reeksen (N)'!D168)</f>
        <v>0</v>
      </c>
      <c r="U168" s="84">
        <f>IF('Reeksen (N)'!D168&gt;='Reeksen (N)'!B168,0,IF('Reeksen (N)'!AD168&lt;='Reeksen (N)'!AE168,('Reeksen (N)'!B168-'Reeksen (N)'!D168)*R168,0))</f>
        <v>0</v>
      </c>
      <c r="V168" s="86">
        <f>IF('Reeksen (N)'!D168&gt;='Reeksen (N)'!B168,0,IF('Reeksen (N)'!AD168&gt;'Reeksen (N)'!AE168,('Reeksen (N)'!B168-'Reeksen (N)'!D168)*R168,0))</f>
        <v>0</v>
      </c>
      <c r="W168" s="97">
        <f t="shared" ca="1" si="24"/>
        <v>0</v>
      </c>
      <c r="X168" s="98">
        <f ca="1">IF('Invoer gegevens (N)'!$C$17=E168,'Invoer gegevens (N)'!$C$10-'Invoer gegevens (N)'!$C$11,IF(C168=1,AC167,0))</f>
        <v>0</v>
      </c>
      <c r="Y168" s="98">
        <f ca="1">IF(C168&gt;=1,X168*VLOOKUP(E168,'Reeksen (N)'!$A$5:$B$76,2),0)</f>
        <v>0</v>
      </c>
      <c r="Z168" s="98">
        <f ca="1">(1-('Invoer gegevens (N)'!$F$20/12))*X168*MIN('Reeksen (N)'!B168,'Reeksen (N)'!D168)</f>
        <v>0</v>
      </c>
      <c r="AA168" s="98">
        <f>IF('Reeksen (N)'!D168&gt;='Reeksen (N)'!B168,0,IF('Reeksen (N)'!AD168&lt;='Reeksen (N)'!AE168,('Reeksen (N)'!B168-'Reeksen (N)'!D168)*X168,0))</f>
        <v>0</v>
      </c>
      <c r="AB168" s="98">
        <f>IF('Reeksen (N)'!D168&gt;='Reeksen (N)'!B168,0,IF('Reeksen (N)'!AD168&gt;'Reeksen (N)'!AE168,('Reeksen (N)'!B168-'Reeksen (N)'!D168)*X168,0))</f>
        <v>0</v>
      </c>
      <c r="AC168" s="99">
        <f t="shared" ca="1" si="25"/>
        <v>0</v>
      </c>
      <c r="AD168" s="98">
        <f ca="1">IF('Invoer gegevens (N)'!$C$17=E168,R168,IF(C168=0,0,AE167))</f>
        <v>0</v>
      </c>
      <c r="AE168" s="98">
        <f t="shared" ca="1" si="26"/>
        <v>0</v>
      </c>
      <c r="AF168" s="98">
        <f ca="1">IF('Invoer gegevens (N)'!$C$17=E168,X168,IF(C168=0,0,AG167))</f>
        <v>0</v>
      </c>
      <c r="AG168" s="98">
        <f t="shared" ca="1" si="27"/>
        <v>0</v>
      </c>
      <c r="AH168" s="66"/>
      <c r="AI168" s="71">
        <f ca="1">IF(C168=1,'Reeksen (N)'!AI168*((F168-G168+F168)/2)*12+'Reeksen (N)'!AD168*((L168-M168+L168)/2)*12,0)</f>
        <v>0</v>
      </c>
      <c r="AJ168" s="71">
        <f ca="1">-AI168*'Invoer gegevens (N)'!$F$28</f>
        <v>0</v>
      </c>
      <c r="AK168" s="71">
        <f t="shared" ca="1" si="28"/>
        <v>0</v>
      </c>
      <c r="AL168" s="71">
        <f ca="1">IF(C168=1,'Reeksen (N)'!AL168*((F168-G168+F168)/2)*12+'Reeksen (N)'!AM168*((L168-M168+L168)/2)*12,0)</f>
        <v>0</v>
      </c>
      <c r="AM168" s="71">
        <f ca="1">-AL168*'Invoer gegevens (N)'!$F$31</f>
        <v>0</v>
      </c>
      <c r="AN168" s="71">
        <f t="shared" ca="1" si="29"/>
        <v>0</v>
      </c>
      <c r="AO168" s="71">
        <f ca="1">IF(C168=1,(H168+J168+N168+P168)*'Reeksen (N)'!AN168,0)</f>
        <v>0</v>
      </c>
      <c r="AP168" s="71">
        <f ca="1">-IF(C168=1,(H168+J168+N168+P168)*'Hulp - basis'!$O$550*'Reeksen (N)'!H168,0)</f>
        <v>0</v>
      </c>
      <c r="AQ168" s="71">
        <f ca="1">-IF(C168=1,(F168+K168+L168+Q168)/2*'Invoer gegevens (N)'!$F$35*'Reeksen (N)'!J168,0)*2</f>
        <v>0</v>
      </c>
      <c r="AR168" s="71"/>
      <c r="AS168" s="71">
        <f ca="1">-IF(C168=1,(F168+K168+L168+Q168)/2*'Invoer gegevens (N)'!$F$37*'Reeksen (N)'!L168,0)</f>
        <v>0</v>
      </c>
      <c r="AT168" s="71">
        <f ca="1">-IF(C168=1,IF(E168='Invoer gegevens (N)'!$C$17,'Invoer gegevens (N)'!$C$11,AD168)*'Reeksen (N)'!S168*'Invoer gegevens (N)'!$C$18*'Reeksen (N)'!P168,0)</f>
        <v>0</v>
      </c>
      <c r="AU168" s="71">
        <f ca="1">-IF(C168=1,(F168+K168+L168+Q168)/2*'Invoer gegevens (N)'!$F$38*'Reeksen (N)'!H168,0)</f>
        <v>0</v>
      </c>
      <c r="AV168" s="71">
        <v>0</v>
      </c>
      <c r="AW168" s="71">
        <f t="shared" ca="1" si="30"/>
        <v>0</v>
      </c>
      <c r="AX168" s="71">
        <f ca="1">IF(E168&lt;'Invoer gegevens (N)'!$C$17+15,0,IF(E168&gt;'Invoer gegevens (N)'!$C$17+215,0,AW168))</f>
        <v>0</v>
      </c>
      <c r="AY168" s="71">
        <f ca="1">AX168/(1+'Invoer gegevens (N)'!$F$18)^($AZ168-('Invoer gegevens (N)'!$C$17-'Invoer gegevens (N)'!$C$16))/(1+'Invoer gegevens (N)'!$C$39)^('Invoer gegevens (N)'!$C$17-'Invoer gegevens (N)'!$C$16)</f>
        <v>0</v>
      </c>
      <c r="AZ168" s="68">
        <f ca="1">IF(E168-'Invoer gegevens (N)'!$C$17-14.5&lt;0,0,E168-'Invoer gegevens (N)'!$C$17-14.5)</f>
        <v>148.5</v>
      </c>
    </row>
    <row r="169" spans="1:52" x14ac:dyDescent="0.25">
      <c r="A169" s="59"/>
      <c r="B169" s="70">
        <f t="shared" si="31"/>
        <v>165</v>
      </c>
      <c r="C169" s="67">
        <f ca="1">IF(E169-'Invoer gegevens (N)'!$C$17&lt;0,0,1)</f>
        <v>1</v>
      </c>
      <c r="D169" s="68">
        <f t="shared" si="32"/>
        <v>164.5</v>
      </c>
      <c r="E169" s="69">
        <f ca="1">IF('Invoer gegevens (N)'!$C$16="","",E168+1)</f>
        <v>2183</v>
      </c>
      <c r="F169" s="84">
        <f ca="1">IF('Invoer gegevens (N)'!$C$17=E169,'Invoer gegevens (N)'!$C$10,IF(C169=1,K168,0))</f>
        <v>0</v>
      </c>
      <c r="G169" s="96">
        <f ca="1">IF(C169&gt;=1,F169*VLOOKUP(E169,'Reeksen (N)'!$A$5:$B$76,2),0)</f>
        <v>0</v>
      </c>
      <c r="H169" s="84">
        <f ca="1">(1-('Invoer gegevens (N)'!$F$20/12))*F169*MIN('Reeksen (N)'!B169,'Reeksen (N)'!D169)</f>
        <v>0</v>
      </c>
      <c r="I169" s="84">
        <f>IF('Reeksen (N)'!D169&lt;'Reeksen (N)'!B169,('Reeksen (N)'!B169-'Reeksen (N)'!D169)*F169,0)</f>
        <v>0</v>
      </c>
      <c r="J169" s="84">
        <f ca="1">('Invoer gegevens (N)'!$F$20/12)*F168*MIN('Reeksen (N)'!B168,'Reeksen (N)'!D168)</f>
        <v>0</v>
      </c>
      <c r="K169" s="97">
        <f t="shared" ca="1" si="22"/>
        <v>0</v>
      </c>
      <c r="L169" s="84">
        <f ca="1">IF('Invoer gegevens (N)'!$C$17=E169,0,IF(C169=1,Q168,0))</f>
        <v>0</v>
      </c>
      <c r="M169" s="96">
        <f ca="1">IF(C169&gt;=1,L169*VLOOKUP(E169,'Reeksen (N)'!$A$5:$B$76,2),0)</f>
        <v>0</v>
      </c>
      <c r="N169" s="84">
        <f ca="1">(1-('Invoer gegevens (N)'!$F$20/12))*L169*MIN('Reeksen (N)'!B169,'Reeksen (N)'!D169)</f>
        <v>0</v>
      </c>
      <c r="O169" s="84">
        <f>IF('Reeksen (N)'!D169&lt;'Reeksen (N)'!B169,('Reeksen (N)'!B169-'Reeksen (N)'!D169)*L169,0)</f>
        <v>0</v>
      </c>
      <c r="P169" s="84">
        <f ca="1">('Invoer gegevens (N)'!$F$20/12)*L168*MIN('Reeksen (N)'!B168,'Reeksen (N)'!D168)</f>
        <v>0</v>
      </c>
      <c r="Q169" s="84">
        <f t="shared" ca="1" si="23"/>
        <v>0</v>
      </c>
      <c r="R169" s="82">
        <f ca="1">IF('Invoer gegevens (N)'!$C$17=E169,'Invoer gegevens (N)'!$C$11,IF(C169=1,W168,0))</f>
        <v>0</v>
      </c>
      <c r="S169" s="86">
        <f ca="1">IF(C169&gt;=1,R169*VLOOKUP(E169,'Reeksen (N)'!$A$5:$B$76,2),0)</f>
        <v>0</v>
      </c>
      <c r="T169" s="84">
        <f ca="1">(1-('Invoer gegevens (N)'!$F$20/12))*R169*MIN('Reeksen (N)'!B169,'Reeksen (N)'!D169)</f>
        <v>0</v>
      </c>
      <c r="U169" s="84">
        <f>IF('Reeksen (N)'!D169&gt;='Reeksen (N)'!B169,0,IF('Reeksen (N)'!AD169&lt;='Reeksen (N)'!AE169,('Reeksen (N)'!B169-'Reeksen (N)'!D169)*R169,0))</f>
        <v>0</v>
      </c>
      <c r="V169" s="86">
        <f>IF('Reeksen (N)'!D169&gt;='Reeksen (N)'!B169,0,IF('Reeksen (N)'!AD169&gt;'Reeksen (N)'!AE169,('Reeksen (N)'!B169-'Reeksen (N)'!D169)*R169,0))</f>
        <v>0</v>
      </c>
      <c r="W169" s="97">
        <f t="shared" ca="1" si="24"/>
        <v>0</v>
      </c>
      <c r="X169" s="98">
        <f ca="1">IF('Invoer gegevens (N)'!$C$17=E169,'Invoer gegevens (N)'!$C$10-'Invoer gegevens (N)'!$C$11,IF(C169=1,AC168,0))</f>
        <v>0</v>
      </c>
      <c r="Y169" s="98">
        <f ca="1">IF(C169&gt;=1,X169*VLOOKUP(E169,'Reeksen (N)'!$A$5:$B$76,2),0)</f>
        <v>0</v>
      </c>
      <c r="Z169" s="98">
        <f ca="1">(1-('Invoer gegevens (N)'!$F$20/12))*X169*MIN('Reeksen (N)'!B169,'Reeksen (N)'!D169)</f>
        <v>0</v>
      </c>
      <c r="AA169" s="98">
        <f>IF('Reeksen (N)'!D169&gt;='Reeksen (N)'!B169,0,IF('Reeksen (N)'!AD169&lt;='Reeksen (N)'!AE169,('Reeksen (N)'!B169-'Reeksen (N)'!D169)*X169,0))</f>
        <v>0</v>
      </c>
      <c r="AB169" s="98">
        <f>IF('Reeksen (N)'!D169&gt;='Reeksen (N)'!B169,0,IF('Reeksen (N)'!AD169&gt;'Reeksen (N)'!AE169,('Reeksen (N)'!B169-'Reeksen (N)'!D169)*X169,0))</f>
        <v>0</v>
      </c>
      <c r="AC169" s="99">
        <f t="shared" ca="1" si="25"/>
        <v>0</v>
      </c>
      <c r="AD169" s="98">
        <f ca="1">IF('Invoer gegevens (N)'!$C$17=E169,R169,IF(C169=0,0,AE168))</f>
        <v>0</v>
      </c>
      <c r="AE169" s="98">
        <f t="shared" ca="1" si="26"/>
        <v>0</v>
      </c>
      <c r="AF169" s="98">
        <f ca="1">IF('Invoer gegevens (N)'!$C$17=E169,X169,IF(C169=0,0,AG168))</f>
        <v>0</v>
      </c>
      <c r="AG169" s="98">
        <f t="shared" ca="1" si="27"/>
        <v>0</v>
      </c>
      <c r="AH169" s="66"/>
      <c r="AI169" s="71">
        <f ca="1">IF(C169=1,'Reeksen (N)'!AI169*((F169-G169+F169)/2)*12+'Reeksen (N)'!AD169*((L169-M169+L169)/2)*12,0)</f>
        <v>0</v>
      </c>
      <c r="AJ169" s="71">
        <f ca="1">-AI169*'Invoer gegevens (N)'!$F$28</f>
        <v>0</v>
      </c>
      <c r="AK169" s="71">
        <f t="shared" ca="1" si="28"/>
        <v>0</v>
      </c>
      <c r="AL169" s="71">
        <f ca="1">IF(C169=1,'Reeksen (N)'!AL169*((F169-G169+F169)/2)*12+'Reeksen (N)'!AM169*((L169-M169+L169)/2)*12,0)</f>
        <v>0</v>
      </c>
      <c r="AM169" s="71">
        <f ca="1">-AL169*'Invoer gegevens (N)'!$F$31</f>
        <v>0</v>
      </c>
      <c r="AN169" s="71">
        <f t="shared" ca="1" si="29"/>
        <v>0</v>
      </c>
      <c r="AO169" s="71">
        <f ca="1">IF(C169=1,(H169+J169+N169+P169)*'Reeksen (N)'!AN169,0)</f>
        <v>0</v>
      </c>
      <c r="AP169" s="71">
        <f ca="1">-IF(C169=1,(H169+J169+N169+P169)*'Hulp - basis'!$O$550*'Reeksen (N)'!H169,0)</f>
        <v>0</v>
      </c>
      <c r="AQ169" s="71">
        <f ca="1">-IF(C169=1,(F169+K169+L169+Q169)/2*'Invoer gegevens (N)'!$F$35*'Reeksen (N)'!J169,0)*2</f>
        <v>0</v>
      </c>
      <c r="AR169" s="71"/>
      <c r="AS169" s="71">
        <f ca="1">-IF(C169=1,(F169+K169+L169+Q169)/2*'Invoer gegevens (N)'!$F$37*'Reeksen (N)'!L169,0)</f>
        <v>0</v>
      </c>
      <c r="AT169" s="71">
        <f ca="1">-IF(C169=1,IF(E169='Invoer gegevens (N)'!$C$17,'Invoer gegevens (N)'!$C$11,AD169)*'Reeksen (N)'!S169*'Invoer gegevens (N)'!$C$18*'Reeksen (N)'!P169,0)</f>
        <v>0</v>
      </c>
      <c r="AU169" s="71">
        <f ca="1">-IF(C169=1,(F169+K169+L169+Q169)/2*'Invoer gegevens (N)'!$F$38*'Reeksen (N)'!H169,0)</f>
        <v>0</v>
      </c>
      <c r="AV169" s="71">
        <v>0</v>
      </c>
      <c r="AW169" s="71">
        <f t="shared" ca="1" si="30"/>
        <v>0</v>
      </c>
      <c r="AX169" s="71">
        <f ca="1">IF(E169&lt;'Invoer gegevens (N)'!$C$17+15,0,IF(E169&gt;'Invoer gegevens (N)'!$C$17+215,0,AW169))</f>
        <v>0</v>
      </c>
      <c r="AY169" s="71">
        <f ca="1">AX169/(1+'Invoer gegevens (N)'!$F$18)^($AZ169-('Invoer gegevens (N)'!$C$17-'Invoer gegevens (N)'!$C$16))/(1+'Invoer gegevens (N)'!$C$39)^('Invoer gegevens (N)'!$C$17-'Invoer gegevens (N)'!$C$16)</f>
        <v>0</v>
      </c>
      <c r="AZ169" s="68">
        <f ca="1">IF(E169-'Invoer gegevens (N)'!$C$17-14.5&lt;0,0,E169-'Invoer gegevens (N)'!$C$17-14.5)</f>
        <v>149.5</v>
      </c>
    </row>
    <row r="170" spans="1:52" x14ac:dyDescent="0.25">
      <c r="A170" s="59"/>
      <c r="B170" s="70">
        <f t="shared" si="31"/>
        <v>166</v>
      </c>
      <c r="C170" s="67">
        <f ca="1">IF(E170-'Invoer gegevens (N)'!$C$17&lt;0,0,1)</f>
        <v>1</v>
      </c>
      <c r="D170" s="68">
        <f t="shared" si="32"/>
        <v>165.5</v>
      </c>
      <c r="E170" s="69">
        <f ca="1">IF('Invoer gegevens (N)'!$C$16="","",E169+1)</f>
        <v>2184</v>
      </c>
      <c r="F170" s="84">
        <f ca="1">IF('Invoer gegevens (N)'!$C$17=E170,'Invoer gegevens (N)'!$C$10,IF(C170=1,K169,0))</f>
        <v>0</v>
      </c>
      <c r="G170" s="96">
        <f ca="1">IF(C170&gt;=1,F170*VLOOKUP(E170,'Reeksen (N)'!$A$5:$B$76,2),0)</f>
        <v>0</v>
      </c>
      <c r="H170" s="84">
        <f ca="1">(1-('Invoer gegevens (N)'!$F$20/12))*F170*MIN('Reeksen (N)'!B170,'Reeksen (N)'!D170)</f>
        <v>0</v>
      </c>
      <c r="I170" s="84">
        <f>IF('Reeksen (N)'!D170&lt;'Reeksen (N)'!B170,('Reeksen (N)'!B170-'Reeksen (N)'!D170)*F170,0)</f>
        <v>0</v>
      </c>
      <c r="J170" s="84">
        <f ca="1">('Invoer gegevens (N)'!$F$20/12)*F169*MIN('Reeksen (N)'!B169,'Reeksen (N)'!D169)</f>
        <v>0</v>
      </c>
      <c r="K170" s="97">
        <f t="shared" ca="1" si="22"/>
        <v>0</v>
      </c>
      <c r="L170" s="84">
        <f ca="1">IF('Invoer gegevens (N)'!$C$17=E170,0,IF(C170=1,Q169,0))</f>
        <v>0</v>
      </c>
      <c r="M170" s="96">
        <f ca="1">IF(C170&gt;=1,L170*VLOOKUP(E170,'Reeksen (N)'!$A$5:$B$76,2),0)</f>
        <v>0</v>
      </c>
      <c r="N170" s="84">
        <f ca="1">(1-('Invoer gegevens (N)'!$F$20/12))*L170*MIN('Reeksen (N)'!B170,'Reeksen (N)'!D170)</f>
        <v>0</v>
      </c>
      <c r="O170" s="84">
        <f>IF('Reeksen (N)'!D170&lt;'Reeksen (N)'!B170,('Reeksen (N)'!B170-'Reeksen (N)'!D170)*L170,0)</f>
        <v>0</v>
      </c>
      <c r="P170" s="84">
        <f ca="1">('Invoer gegevens (N)'!$F$20/12)*L169*MIN('Reeksen (N)'!B169,'Reeksen (N)'!D169)</f>
        <v>0</v>
      </c>
      <c r="Q170" s="84">
        <f t="shared" ca="1" si="23"/>
        <v>0</v>
      </c>
      <c r="R170" s="82">
        <f ca="1">IF('Invoer gegevens (N)'!$C$17=E170,'Invoer gegevens (N)'!$C$11,IF(C170=1,W169,0))</f>
        <v>0</v>
      </c>
      <c r="S170" s="86">
        <f ca="1">IF(C170&gt;=1,R170*VLOOKUP(E170,'Reeksen (N)'!$A$5:$B$76,2),0)</f>
        <v>0</v>
      </c>
      <c r="T170" s="84">
        <f ca="1">(1-('Invoer gegevens (N)'!$F$20/12))*R170*MIN('Reeksen (N)'!B170,'Reeksen (N)'!D170)</f>
        <v>0</v>
      </c>
      <c r="U170" s="84">
        <f>IF('Reeksen (N)'!D170&gt;='Reeksen (N)'!B170,0,IF('Reeksen (N)'!AD170&lt;='Reeksen (N)'!AE170,('Reeksen (N)'!B170-'Reeksen (N)'!D170)*R170,0))</f>
        <v>0</v>
      </c>
      <c r="V170" s="86">
        <f>IF('Reeksen (N)'!D170&gt;='Reeksen (N)'!B170,0,IF('Reeksen (N)'!AD170&gt;'Reeksen (N)'!AE170,('Reeksen (N)'!B170-'Reeksen (N)'!D170)*R170,0))</f>
        <v>0</v>
      </c>
      <c r="W170" s="97">
        <f t="shared" ca="1" si="24"/>
        <v>0</v>
      </c>
      <c r="X170" s="98">
        <f ca="1">IF('Invoer gegevens (N)'!$C$17=E170,'Invoer gegevens (N)'!$C$10-'Invoer gegevens (N)'!$C$11,IF(C170=1,AC169,0))</f>
        <v>0</v>
      </c>
      <c r="Y170" s="98">
        <f ca="1">IF(C170&gt;=1,X170*VLOOKUP(E170,'Reeksen (N)'!$A$5:$B$76,2),0)</f>
        <v>0</v>
      </c>
      <c r="Z170" s="98">
        <f ca="1">(1-('Invoer gegevens (N)'!$F$20/12))*X170*MIN('Reeksen (N)'!B170,'Reeksen (N)'!D170)</f>
        <v>0</v>
      </c>
      <c r="AA170" s="98">
        <f>IF('Reeksen (N)'!D170&gt;='Reeksen (N)'!B170,0,IF('Reeksen (N)'!AD170&lt;='Reeksen (N)'!AE170,('Reeksen (N)'!B170-'Reeksen (N)'!D170)*X170,0))</f>
        <v>0</v>
      </c>
      <c r="AB170" s="98">
        <f>IF('Reeksen (N)'!D170&gt;='Reeksen (N)'!B170,0,IF('Reeksen (N)'!AD170&gt;'Reeksen (N)'!AE170,('Reeksen (N)'!B170-'Reeksen (N)'!D170)*X170,0))</f>
        <v>0</v>
      </c>
      <c r="AC170" s="99">
        <f t="shared" ca="1" si="25"/>
        <v>0</v>
      </c>
      <c r="AD170" s="98">
        <f ca="1">IF('Invoer gegevens (N)'!$C$17=E170,R170,IF(C170=0,0,AE169))</f>
        <v>0</v>
      </c>
      <c r="AE170" s="98">
        <f t="shared" ca="1" si="26"/>
        <v>0</v>
      </c>
      <c r="AF170" s="98">
        <f ca="1">IF('Invoer gegevens (N)'!$C$17=E170,X170,IF(C170=0,0,AG169))</f>
        <v>0</v>
      </c>
      <c r="AG170" s="98">
        <f t="shared" ca="1" si="27"/>
        <v>0</v>
      </c>
      <c r="AH170" s="66"/>
      <c r="AI170" s="71">
        <f ca="1">IF(C170=1,'Reeksen (N)'!AI170*((F170-G170+F170)/2)*12+'Reeksen (N)'!AD170*((L170-M170+L170)/2)*12,0)</f>
        <v>0</v>
      </c>
      <c r="AJ170" s="71">
        <f ca="1">-AI170*'Invoer gegevens (N)'!$F$28</f>
        <v>0</v>
      </c>
      <c r="AK170" s="71">
        <f t="shared" ca="1" si="28"/>
        <v>0</v>
      </c>
      <c r="AL170" s="71">
        <f ca="1">IF(C170=1,'Reeksen (N)'!AL170*((F170-G170+F170)/2)*12+'Reeksen (N)'!AM170*((L170-M170+L170)/2)*12,0)</f>
        <v>0</v>
      </c>
      <c r="AM170" s="71">
        <f ca="1">-AL170*'Invoer gegevens (N)'!$F$31</f>
        <v>0</v>
      </c>
      <c r="AN170" s="71">
        <f t="shared" ca="1" si="29"/>
        <v>0</v>
      </c>
      <c r="AO170" s="71">
        <f ca="1">IF(C170=1,(H170+J170+N170+P170)*'Reeksen (N)'!AN170,0)</f>
        <v>0</v>
      </c>
      <c r="AP170" s="71">
        <f ca="1">-IF(C170=1,(H170+J170+N170+P170)*'Hulp - basis'!$O$550*'Reeksen (N)'!H170,0)</f>
        <v>0</v>
      </c>
      <c r="AQ170" s="71">
        <f ca="1">-IF(C170=1,(F170+K170+L170+Q170)/2*'Invoer gegevens (N)'!$F$35*'Reeksen (N)'!J170,0)*2</f>
        <v>0</v>
      </c>
      <c r="AR170" s="71"/>
      <c r="AS170" s="71">
        <f ca="1">-IF(C170=1,(F170+K170+L170+Q170)/2*'Invoer gegevens (N)'!$F$37*'Reeksen (N)'!L170,0)</f>
        <v>0</v>
      </c>
      <c r="AT170" s="71">
        <f ca="1">-IF(C170=1,IF(E170='Invoer gegevens (N)'!$C$17,'Invoer gegevens (N)'!$C$11,AD170)*'Reeksen (N)'!S170*'Invoer gegevens (N)'!$C$18*'Reeksen (N)'!P170,0)</f>
        <v>0</v>
      </c>
      <c r="AU170" s="71">
        <f ca="1">-IF(C170=1,(F170+K170+L170+Q170)/2*'Invoer gegevens (N)'!$F$38*'Reeksen (N)'!H170,0)</f>
        <v>0</v>
      </c>
      <c r="AV170" s="71">
        <v>0</v>
      </c>
      <c r="AW170" s="71">
        <f t="shared" ca="1" si="30"/>
        <v>0</v>
      </c>
      <c r="AX170" s="71">
        <f ca="1">IF(E170&lt;'Invoer gegevens (N)'!$C$17+15,0,IF(E170&gt;'Invoer gegevens (N)'!$C$17+215,0,AW170))</f>
        <v>0</v>
      </c>
      <c r="AY170" s="71">
        <f ca="1">AX170/(1+'Invoer gegevens (N)'!$F$18)^($AZ170-('Invoer gegevens (N)'!$C$17-'Invoer gegevens (N)'!$C$16))/(1+'Invoer gegevens (N)'!$C$39)^('Invoer gegevens (N)'!$C$17-'Invoer gegevens (N)'!$C$16)</f>
        <v>0</v>
      </c>
      <c r="AZ170" s="68">
        <f ca="1">IF(E170-'Invoer gegevens (N)'!$C$17-14.5&lt;0,0,E170-'Invoer gegevens (N)'!$C$17-14.5)</f>
        <v>150.5</v>
      </c>
    </row>
    <row r="171" spans="1:52" x14ac:dyDescent="0.25">
      <c r="A171" s="59"/>
      <c r="B171" s="70">
        <f t="shared" si="31"/>
        <v>167</v>
      </c>
      <c r="C171" s="67">
        <f ca="1">IF(E171-'Invoer gegevens (N)'!$C$17&lt;0,0,1)</f>
        <v>1</v>
      </c>
      <c r="D171" s="68">
        <f t="shared" si="32"/>
        <v>166.5</v>
      </c>
      <c r="E171" s="69">
        <f ca="1">IF('Invoer gegevens (N)'!$C$16="","",E170+1)</f>
        <v>2185</v>
      </c>
      <c r="F171" s="84">
        <f ca="1">IF('Invoer gegevens (N)'!$C$17=E171,'Invoer gegevens (N)'!$C$10,IF(C171=1,K170,0))</f>
        <v>0</v>
      </c>
      <c r="G171" s="96">
        <f ca="1">IF(C171&gt;=1,F171*VLOOKUP(E171,'Reeksen (N)'!$A$5:$B$76,2),0)</f>
        <v>0</v>
      </c>
      <c r="H171" s="84">
        <f ca="1">(1-('Invoer gegevens (N)'!$F$20/12))*F171*MIN('Reeksen (N)'!B171,'Reeksen (N)'!D171)</f>
        <v>0</v>
      </c>
      <c r="I171" s="84">
        <f>IF('Reeksen (N)'!D171&lt;'Reeksen (N)'!B171,('Reeksen (N)'!B171-'Reeksen (N)'!D171)*F171,0)</f>
        <v>0</v>
      </c>
      <c r="J171" s="84">
        <f ca="1">('Invoer gegevens (N)'!$F$20/12)*F170*MIN('Reeksen (N)'!B170,'Reeksen (N)'!D170)</f>
        <v>0</v>
      </c>
      <c r="K171" s="97">
        <f t="shared" ca="1" si="22"/>
        <v>0</v>
      </c>
      <c r="L171" s="84">
        <f ca="1">IF('Invoer gegevens (N)'!$C$17=E171,0,IF(C171=1,Q170,0))</f>
        <v>0</v>
      </c>
      <c r="M171" s="96">
        <f ca="1">IF(C171&gt;=1,L171*VLOOKUP(E171,'Reeksen (N)'!$A$5:$B$76,2),0)</f>
        <v>0</v>
      </c>
      <c r="N171" s="84">
        <f ca="1">(1-('Invoer gegevens (N)'!$F$20/12))*L171*MIN('Reeksen (N)'!B171,'Reeksen (N)'!D171)</f>
        <v>0</v>
      </c>
      <c r="O171" s="84">
        <f>IF('Reeksen (N)'!D171&lt;'Reeksen (N)'!B171,('Reeksen (N)'!B171-'Reeksen (N)'!D171)*L171,0)</f>
        <v>0</v>
      </c>
      <c r="P171" s="84">
        <f ca="1">('Invoer gegevens (N)'!$F$20/12)*L170*MIN('Reeksen (N)'!B170,'Reeksen (N)'!D170)</f>
        <v>0</v>
      </c>
      <c r="Q171" s="84">
        <f t="shared" ca="1" si="23"/>
        <v>0</v>
      </c>
      <c r="R171" s="82">
        <f ca="1">IF('Invoer gegevens (N)'!$C$17=E171,'Invoer gegevens (N)'!$C$11,IF(C171=1,W170,0))</f>
        <v>0</v>
      </c>
      <c r="S171" s="86">
        <f ca="1">IF(C171&gt;=1,R171*VLOOKUP(E171,'Reeksen (N)'!$A$5:$B$76,2),0)</f>
        <v>0</v>
      </c>
      <c r="T171" s="84">
        <f ca="1">(1-('Invoer gegevens (N)'!$F$20/12))*R171*MIN('Reeksen (N)'!B171,'Reeksen (N)'!D171)</f>
        <v>0</v>
      </c>
      <c r="U171" s="84">
        <f>IF('Reeksen (N)'!D171&gt;='Reeksen (N)'!B171,0,IF('Reeksen (N)'!AD171&lt;='Reeksen (N)'!AE171,('Reeksen (N)'!B171-'Reeksen (N)'!D171)*R171,0))</f>
        <v>0</v>
      </c>
      <c r="V171" s="86">
        <f>IF('Reeksen (N)'!D171&gt;='Reeksen (N)'!B171,0,IF('Reeksen (N)'!AD171&gt;'Reeksen (N)'!AE171,('Reeksen (N)'!B171-'Reeksen (N)'!D171)*R171,0))</f>
        <v>0</v>
      </c>
      <c r="W171" s="97">
        <f t="shared" ca="1" si="24"/>
        <v>0</v>
      </c>
      <c r="X171" s="98">
        <f ca="1">IF('Invoer gegevens (N)'!$C$17=E171,'Invoer gegevens (N)'!$C$10-'Invoer gegevens (N)'!$C$11,IF(C171=1,AC170,0))</f>
        <v>0</v>
      </c>
      <c r="Y171" s="98">
        <f ca="1">IF(C171&gt;=1,X171*VLOOKUP(E171,'Reeksen (N)'!$A$5:$B$76,2),0)</f>
        <v>0</v>
      </c>
      <c r="Z171" s="98">
        <f ca="1">(1-('Invoer gegevens (N)'!$F$20/12))*X171*MIN('Reeksen (N)'!B171,'Reeksen (N)'!D171)</f>
        <v>0</v>
      </c>
      <c r="AA171" s="98">
        <f>IF('Reeksen (N)'!D171&gt;='Reeksen (N)'!B171,0,IF('Reeksen (N)'!AD171&lt;='Reeksen (N)'!AE171,('Reeksen (N)'!B171-'Reeksen (N)'!D171)*X171,0))</f>
        <v>0</v>
      </c>
      <c r="AB171" s="98">
        <f>IF('Reeksen (N)'!D171&gt;='Reeksen (N)'!B171,0,IF('Reeksen (N)'!AD171&gt;'Reeksen (N)'!AE171,('Reeksen (N)'!B171-'Reeksen (N)'!D171)*X171,0))</f>
        <v>0</v>
      </c>
      <c r="AC171" s="99">
        <f t="shared" ca="1" si="25"/>
        <v>0</v>
      </c>
      <c r="AD171" s="98">
        <f ca="1">IF('Invoer gegevens (N)'!$C$17=E171,R171,IF(C171=0,0,AE170))</f>
        <v>0</v>
      </c>
      <c r="AE171" s="98">
        <f t="shared" ca="1" si="26"/>
        <v>0</v>
      </c>
      <c r="AF171" s="98">
        <f ca="1">IF('Invoer gegevens (N)'!$C$17=E171,X171,IF(C171=0,0,AG170))</f>
        <v>0</v>
      </c>
      <c r="AG171" s="98">
        <f t="shared" ca="1" si="27"/>
        <v>0</v>
      </c>
      <c r="AH171" s="66"/>
      <c r="AI171" s="71">
        <f ca="1">IF(C171=1,'Reeksen (N)'!AI171*((F171-G171+F171)/2)*12+'Reeksen (N)'!AD171*((L171-M171+L171)/2)*12,0)</f>
        <v>0</v>
      </c>
      <c r="AJ171" s="71">
        <f ca="1">-AI171*'Invoer gegevens (N)'!$F$28</f>
        <v>0</v>
      </c>
      <c r="AK171" s="71">
        <f t="shared" ca="1" si="28"/>
        <v>0</v>
      </c>
      <c r="AL171" s="71">
        <f ca="1">IF(C171=1,'Reeksen (N)'!AL171*((F171-G171+F171)/2)*12+'Reeksen (N)'!AM171*((L171-M171+L171)/2)*12,0)</f>
        <v>0</v>
      </c>
      <c r="AM171" s="71">
        <f ca="1">-AL171*'Invoer gegevens (N)'!$F$31</f>
        <v>0</v>
      </c>
      <c r="AN171" s="71">
        <f t="shared" ca="1" si="29"/>
        <v>0</v>
      </c>
      <c r="AO171" s="71">
        <f ca="1">IF(C171=1,(H171+J171+N171+P171)*'Reeksen (N)'!AN171,0)</f>
        <v>0</v>
      </c>
      <c r="AP171" s="71">
        <f ca="1">-IF(C171=1,(H171+J171+N171+P171)*'Hulp - basis'!$O$550*'Reeksen (N)'!H171,0)</f>
        <v>0</v>
      </c>
      <c r="AQ171" s="71">
        <f ca="1">-IF(C171=1,(F171+K171+L171+Q171)/2*'Invoer gegevens (N)'!$F$35*'Reeksen (N)'!J171,0)*2</f>
        <v>0</v>
      </c>
      <c r="AR171" s="71"/>
      <c r="AS171" s="71">
        <f ca="1">-IF(C171=1,(F171+K171+L171+Q171)/2*'Invoer gegevens (N)'!$F$37*'Reeksen (N)'!L171,0)</f>
        <v>0</v>
      </c>
      <c r="AT171" s="71">
        <f ca="1">-IF(C171=1,IF(E171='Invoer gegevens (N)'!$C$17,'Invoer gegevens (N)'!$C$11,AD171)*'Reeksen (N)'!S171*'Invoer gegevens (N)'!$C$18*'Reeksen (N)'!P171,0)</f>
        <v>0</v>
      </c>
      <c r="AU171" s="71">
        <f ca="1">-IF(C171=1,(F171+K171+L171+Q171)/2*'Invoer gegevens (N)'!$F$38*'Reeksen (N)'!H171,0)</f>
        <v>0</v>
      </c>
      <c r="AV171" s="71">
        <v>0</v>
      </c>
      <c r="AW171" s="71">
        <f t="shared" ca="1" si="30"/>
        <v>0</v>
      </c>
      <c r="AX171" s="71">
        <f ca="1">IF(E171&lt;'Invoer gegevens (N)'!$C$17+15,0,IF(E171&gt;'Invoer gegevens (N)'!$C$17+215,0,AW171))</f>
        <v>0</v>
      </c>
      <c r="AY171" s="71">
        <f ca="1">AX171/(1+'Invoer gegevens (N)'!$F$18)^($AZ171-('Invoer gegevens (N)'!$C$17-'Invoer gegevens (N)'!$C$16))/(1+'Invoer gegevens (N)'!$C$39)^('Invoer gegevens (N)'!$C$17-'Invoer gegevens (N)'!$C$16)</f>
        <v>0</v>
      </c>
      <c r="AZ171" s="68">
        <f ca="1">IF(E171-'Invoer gegevens (N)'!$C$17-14.5&lt;0,0,E171-'Invoer gegevens (N)'!$C$17-14.5)</f>
        <v>151.5</v>
      </c>
    </row>
    <row r="172" spans="1:52" x14ac:dyDescent="0.25">
      <c r="A172" s="59"/>
      <c r="B172" s="70">
        <f t="shared" si="31"/>
        <v>168</v>
      </c>
      <c r="C172" s="67">
        <f ca="1">IF(E172-'Invoer gegevens (N)'!$C$17&lt;0,0,1)</f>
        <v>1</v>
      </c>
      <c r="D172" s="68">
        <f t="shared" si="32"/>
        <v>167.5</v>
      </c>
      <c r="E172" s="69">
        <f ca="1">IF('Invoer gegevens (N)'!$C$16="","",E171+1)</f>
        <v>2186</v>
      </c>
      <c r="F172" s="84">
        <f ca="1">IF('Invoer gegevens (N)'!$C$17=E172,'Invoer gegevens (N)'!$C$10,IF(C172=1,K171,0))</f>
        <v>0</v>
      </c>
      <c r="G172" s="96">
        <f ca="1">IF(C172&gt;=1,F172*VLOOKUP(E172,'Reeksen (N)'!$A$5:$B$76,2),0)</f>
        <v>0</v>
      </c>
      <c r="H172" s="84">
        <f ca="1">(1-('Invoer gegevens (N)'!$F$20/12))*F172*MIN('Reeksen (N)'!B172,'Reeksen (N)'!D172)</f>
        <v>0</v>
      </c>
      <c r="I172" s="84">
        <f>IF('Reeksen (N)'!D172&lt;'Reeksen (N)'!B172,('Reeksen (N)'!B172-'Reeksen (N)'!D172)*F172,0)</f>
        <v>0</v>
      </c>
      <c r="J172" s="84">
        <f ca="1">('Invoer gegevens (N)'!$F$20/12)*F171*MIN('Reeksen (N)'!B171,'Reeksen (N)'!D171)</f>
        <v>0</v>
      </c>
      <c r="K172" s="97">
        <f t="shared" ca="1" si="22"/>
        <v>0</v>
      </c>
      <c r="L172" s="84">
        <f ca="1">IF('Invoer gegevens (N)'!$C$17=E172,0,IF(C172=1,Q171,0))</f>
        <v>0</v>
      </c>
      <c r="M172" s="96">
        <f ca="1">IF(C172&gt;=1,L172*VLOOKUP(E172,'Reeksen (N)'!$A$5:$B$76,2),0)</f>
        <v>0</v>
      </c>
      <c r="N172" s="84">
        <f ca="1">(1-('Invoer gegevens (N)'!$F$20/12))*L172*MIN('Reeksen (N)'!B172,'Reeksen (N)'!D172)</f>
        <v>0</v>
      </c>
      <c r="O172" s="84">
        <f>IF('Reeksen (N)'!D172&lt;'Reeksen (N)'!B172,('Reeksen (N)'!B172-'Reeksen (N)'!D172)*L172,0)</f>
        <v>0</v>
      </c>
      <c r="P172" s="84">
        <f ca="1">('Invoer gegevens (N)'!$F$20/12)*L171*MIN('Reeksen (N)'!B171,'Reeksen (N)'!D171)</f>
        <v>0</v>
      </c>
      <c r="Q172" s="84">
        <f t="shared" ca="1" si="23"/>
        <v>0</v>
      </c>
      <c r="R172" s="82">
        <f ca="1">IF('Invoer gegevens (N)'!$C$17=E172,'Invoer gegevens (N)'!$C$11,IF(C172=1,W171,0))</f>
        <v>0</v>
      </c>
      <c r="S172" s="86">
        <f ca="1">IF(C172&gt;=1,R172*VLOOKUP(E172,'Reeksen (N)'!$A$5:$B$76,2),0)</f>
        <v>0</v>
      </c>
      <c r="T172" s="84">
        <f ca="1">(1-('Invoer gegevens (N)'!$F$20/12))*R172*MIN('Reeksen (N)'!B172,'Reeksen (N)'!D172)</f>
        <v>0</v>
      </c>
      <c r="U172" s="84">
        <f>IF('Reeksen (N)'!D172&gt;='Reeksen (N)'!B172,0,IF('Reeksen (N)'!AD172&lt;='Reeksen (N)'!AE172,('Reeksen (N)'!B172-'Reeksen (N)'!D172)*R172,0))</f>
        <v>0</v>
      </c>
      <c r="V172" s="86">
        <f>IF('Reeksen (N)'!D172&gt;='Reeksen (N)'!B172,0,IF('Reeksen (N)'!AD172&gt;'Reeksen (N)'!AE172,('Reeksen (N)'!B172-'Reeksen (N)'!D172)*R172,0))</f>
        <v>0</v>
      </c>
      <c r="W172" s="97">
        <f t="shared" ca="1" si="24"/>
        <v>0</v>
      </c>
      <c r="X172" s="98">
        <f ca="1">IF('Invoer gegevens (N)'!$C$17=E172,'Invoer gegevens (N)'!$C$10-'Invoer gegevens (N)'!$C$11,IF(C172=1,AC171,0))</f>
        <v>0</v>
      </c>
      <c r="Y172" s="98">
        <f ca="1">IF(C172&gt;=1,X172*VLOOKUP(E172,'Reeksen (N)'!$A$5:$B$76,2),0)</f>
        <v>0</v>
      </c>
      <c r="Z172" s="98">
        <f ca="1">(1-('Invoer gegevens (N)'!$F$20/12))*X172*MIN('Reeksen (N)'!B172,'Reeksen (N)'!D172)</f>
        <v>0</v>
      </c>
      <c r="AA172" s="98">
        <f>IF('Reeksen (N)'!D172&gt;='Reeksen (N)'!B172,0,IF('Reeksen (N)'!AD172&lt;='Reeksen (N)'!AE172,('Reeksen (N)'!B172-'Reeksen (N)'!D172)*X172,0))</f>
        <v>0</v>
      </c>
      <c r="AB172" s="98">
        <f>IF('Reeksen (N)'!D172&gt;='Reeksen (N)'!B172,0,IF('Reeksen (N)'!AD172&gt;'Reeksen (N)'!AE172,('Reeksen (N)'!B172-'Reeksen (N)'!D172)*X172,0))</f>
        <v>0</v>
      </c>
      <c r="AC172" s="99">
        <f t="shared" ca="1" si="25"/>
        <v>0</v>
      </c>
      <c r="AD172" s="98">
        <f ca="1">IF('Invoer gegevens (N)'!$C$17=E172,R172,IF(C172=0,0,AE171))</f>
        <v>0</v>
      </c>
      <c r="AE172" s="98">
        <f t="shared" ca="1" si="26"/>
        <v>0</v>
      </c>
      <c r="AF172" s="98">
        <f ca="1">IF('Invoer gegevens (N)'!$C$17=E172,X172,IF(C172=0,0,AG171))</f>
        <v>0</v>
      </c>
      <c r="AG172" s="98">
        <f t="shared" ca="1" si="27"/>
        <v>0</v>
      </c>
      <c r="AH172" s="66"/>
      <c r="AI172" s="71">
        <f ca="1">IF(C172=1,'Reeksen (N)'!AI172*((F172-G172+F172)/2)*12+'Reeksen (N)'!AD172*((L172-M172+L172)/2)*12,0)</f>
        <v>0</v>
      </c>
      <c r="AJ172" s="71">
        <f ca="1">-AI172*'Invoer gegevens (N)'!$F$28</f>
        <v>0</v>
      </c>
      <c r="AK172" s="71">
        <f t="shared" ca="1" si="28"/>
        <v>0</v>
      </c>
      <c r="AL172" s="71">
        <f ca="1">IF(C172=1,'Reeksen (N)'!AL172*((F172-G172+F172)/2)*12+'Reeksen (N)'!AM172*((L172-M172+L172)/2)*12,0)</f>
        <v>0</v>
      </c>
      <c r="AM172" s="71">
        <f ca="1">-AL172*'Invoer gegevens (N)'!$F$31</f>
        <v>0</v>
      </c>
      <c r="AN172" s="71">
        <f t="shared" ca="1" si="29"/>
        <v>0</v>
      </c>
      <c r="AO172" s="71">
        <f ca="1">IF(C172=1,(H172+J172+N172+P172)*'Reeksen (N)'!AN172,0)</f>
        <v>0</v>
      </c>
      <c r="AP172" s="71">
        <f ca="1">-IF(C172=1,(H172+J172+N172+P172)*'Hulp - basis'!$O$550*'Reeksen (N)'!H172,0)</f>
        <v>0</v>
      </c>
      <c r="AQ172" s="71">
        <f ca="1">-IF(C172=1,(F172+K172+L172+Q172)/2*'Invoer gegevens (N)'!$F$35*'Reeksen (N)'!J172,0)*2</f>
        <v>0</v>
      </c>
      <c r="AR172" s="71"/>
      <c r="AS172" s="71">
        <f ca="1">-IF(C172=1,(F172+K172+L172+Q172)/2*'Invoer gegevens (N)'!$F$37*'Reeksen (N)'!L172,0)</f>
        <v>0</v>
      </c>
      <c r="AT172" s="71">
        <f ca="1">-IF(C172=1,IF(E172='Invoer gegevens (N)'!$C$17,'Invoer gegevens (N)'!$C$11,AD172)*'Reeksen (N)'!S172*'Invoer gegevens (N)'!$C$18*'Reeksen (N)'!P172,0)</f>
        <v>0</v>
      </c>
      <c r="AU172" s="71">
        <f ca="1">-IF(C172=1,(F172+K172+L172+Q172)/2*'Invoer gegevens (N)'!$F$38*'Reeksen (N)'!H172,0)</f>
        <v>0</v>
      </c>
      <c r="AV172" s="71">
        <v>0</v>
      </c>
      <c r="AW172" s="71">
        <f t="shared" ca="1" si="30"/>
        <v>0</v>
      </c>
      <c r="AX172" s="71">
        <f ca="1">IF(E172&lt;'Invoer gegevens (N)'!$C$17+15,0,IF(E172&gt;'Invoer gegevens (N)'!$C$17+215,0,AW172))</f>
        <v>0</v>
      </c>
      <c r="AY172" s="71">
        <f ca="1">AX172/(1+'Invoer gegevens (N)'!$F$18)^($AZ172-('Invoer gegevens (N)'!$C$17-'Invoer gegevens (N)'!$C$16))/(1+'Invoer gegevens (N)'!$C$39)^('Invoer gegevens (N)'!$C$17-'Invoer gegevens (N)'!$C$16)</f>
        <v>0</v>
      </c>
      <c r="AZ172" s="68">
        <f ca="1">IF(E172-'Invoer gegevens (N)'!$C$17-14.5&lt;0,0,E172-'Invoer gegevens (N)'!$C$17-14.5)</f>
        <v>152.5</v>
      </c>
    </row>
    <row r="173" spans="1:52" x14ac:dyDescent="0.25">
      <c r="A173" s="59"/>
      <c r="B173" s="70">
        <f t="shared" si="31"/>
        <v>169</v>
      </c>
      <c r="C173" s="67">
        <f ca="1">IF(E173-'Invoer gegevens (N)'!$C$17&lt;0,0,1)</f>
        <v>1</v>
      </c>
      <c r="D173" s="68">
        <f t="shared" si="32"/>
        <v>168.5</v>
      </c>
      <c r="E173" s="69">
        <f ca="1">IF('Invoer gegevens (N)'!$C$16="","",E172+1)</f>
        <v>2187</v>
      </c>
      <c r="F173" s="84">
        <f ca="1">IF('Invoer gegevens (N)'!$C$17=E173,'Invoer gegevens (N)'!$C$10,IF(C173=1,K172,0))</f>
        <v>0</v>
      </c>
      <c r="G173" s="96">
        <f ca="1">IF(C173&gt;=1,F173*VLOOKUP(E173,'Reeksen (N)'!$A$5:$B$76,2),0)</f>
        <v>0</v>
      </c>
      <c r="H173" s="84">
        <f ca="1">(1-('Invoer gegevens (N)'!$F$20/12))*F173*MIN('Reeksen (N)'!B173,'Reeksen (N)'!D173)</f>
        <v>0</v>
      </c>
      <c r="I173" s="84">
        <f>IF('Reeksen (N)'!D173&lt;'Reeksen (N)'!B173,('Reeksen (N)'!B173-'Reeksen (N)'!D173)*F173,0)</f>
        <v>0</v>
      </c>
      <c r="J173" s="84">
        <f ca="1">('Invoer gegevens (N)'!$F$20/12)*F172*MIN('Reeksen (N)'!B172,'Reeksen (N)'!D172)</f>
        <v>0</v>
      </c>
      <c r="K173" s="97">
        <f t="shared" ca="1" si="22"/>
        <v>0</v>
      </c>
      <c r="L173" s="84">
        <f ca="1">IF('Invoer gegevens (N)'!$C$17=E173,0,IF(C173=1,Q172,0))</f>
        <v>0</v>
      </c>
      <c r="M173" s="96">
        <f ca="1">IF(C173&gt;=1,L173*VLOOKUP(E173,'Reeksen (N)'!$A$5:$B$76,2),0)</f>
        <v>0</v>
      </c>
      <c r="N173" s="84">
        <f ca="1">(1-('Invoer gegevens (N)'!$F$20/12))*L173*MIN('Reeksen (N)'!B173,'Reeksen (N)'!D173)</f>
        <v>0</v>
      </c>
      <c r="O173" s="84">
        <f>IF('Reeksen (N)'!D173&lt;'Reeksen (N)'!B173,('Reeksen (N)'!B173-'Reeksen (N)'!D173)*L173,0)</f>
        <v>0</v>
      </c>
      <c r="P173" s="84">
        <f ca="1">('Invoer gegevens (N)'!$F$20/12)*L172*MIN('Reeksen (N)'!B172,'Reeksen (N)'!D172)</f>
        <v>0</v>
      </c>
      <c r="Q173" s="84">
        <f t="shared" ca="1" si="23"/>
        <v>0</v>
      </c>
      <c r="R173" s="82">
        <f ca="1">IF('Invoer gegevens (N)'!$C$17=E173,'Invoer gegevens (N)'!$C$11,IF(C173=1,W172,0))</f>
        <v>0</v>
      </c>
      <c r="S173" s="86">
        <f ca="1">IF(C173&gt;=1,R173*VLOOKUP(E173,'Reeksen (N)'!$A$5:$B$76,2),0)</f>
        <v>0</v>
      </c>
      <c r="T173" s="84">
        <f ca="1">(1-('Invoer gegevens (N)'!$F$20/12))*R173*MIN('Reeksen (N)'!B173,'Reeksen (N)'!D173)</f>
        <v>0</v>
      </c>
      <c r="U173" s="84">
        <f>IF('Reeksen (N)'!D173&gt;='Reeksen (N)'!B173,0,IF('Reeksen (N)'!AD173&lt;='Reeksen (N)'!AE173,('Reeksen (N)'!B173-'Reeksen (N)'!D173)*R173,0))</f>
        <v>0</v>
      </c>
      <c r="V173" s="86">
        <f>IF('Reeksen (N)'!D173&gt;='Reeksen (N)'!B173,0,IF('Reeksen (N)'!AD173&gt;'Reeksen (N)'!AE173,('Reeksen (N)'!B173-'Reeksen (N)'!D173)*R173,0))</f>
        <v>0</v>
      </c>
      <c r="W173" s="97">
        <f t="shared" ca="1" si="24"/>
        <v>0</v>
      </c>
      <c r="X173" s="98">
        <f ca="1">IF('Invoer gegevens (N)'!$C$17=E173,'Invoer gegevens (N)'!$C$10-'Invoer gegevens (N)'!$C$11,IF(C173=1,AC172,0))</f>
        <v>0</v>
      </c>
      <c r="Y173" s="98">
        <f ca="1">IF(C173&gt;=1,X173*VLOOKUP(E173,'Reeksen (N)'!$A$5:$B$76,2),0)</f>
        <v>0</v>
      </c>
      <c r="Z173" s="98">
        <f ca="1">(1-('Invoer gegevens (N)'!$F$20/12))*X173*MIN('Reeksen (N)'!B173,'Reeksen (N)'!D173)</f>
        <v>0</v>
      </c>
      <c r="AA173" s="98">
        <f>IF('Reeksen (N)'!D173&gt;='Reeksen (N)'!B173,0,IF('Reeksen (N)'!AD173&lt;='Reeksen (N)'!AE173,('Reeksen (N)'!B173-'Reeksen (N)'!D173)*X173,0))</f>
        <v>0</v>
      </c>
      <c r="AB173" s="98">
        <f>IF('Reeksen (N)'!D173&gt;='Reeksen (N)'!B173,0,IF('Reeksen (N)'!AD173&gt;'Reeksen (N)'!AE173,('Reeksen (N)'!B173-'Reeksen (N)'!D173)*X173,0))</f>
        <v>0</v>
      </c>
      <c r="AC173" s="99">
        <f t="shared" ca="1" si="25"/>
        <v>0</v>
      </c>
      <c r="AD173" s="98">
        <f ca="1">IF('Invoer gegevens (N)'!$C$17=E173,R173,IF(C173=0,0,AE172))</f>
        <v>0</v>
      </c>
      <c r="AE173" s="98">
        <f t="shared" ca="1" si="26"/>
        <v>0</v>
      </c>
      <c r="AF173" s="98">
        <f ca="1">IF('Invoer gegevens (N)'!$C$17=E173,X173,IF(C173=0,0,AG172))</f>
        <v>0</v>
      </c>
      <c r="AG173" s="98">
        <f t="shared" ca="1" si="27"/>
        <v>0</v>
      </c>
      <c r="AH173" s="66"/>
      <c r="AI173" s="71">
        <f ca="1">IF(C173=1,'Reeksen (N)'!AI173*((F173-G173+F173)/2)*12+'Reeksen (N)'!AD173*((L173-M173+L173)/2)*12,0)</f>
        <v>0</v>
      </c>
      <c r="AJ173" s="71">
        <f ca="1">-AI173*'Invoer gegevens (N)'!$F$28</f>
        <v>0</v>
      </c>
      <c r="AK173" s="71">
        <f t="shared" ca="1" si="28"/>
        <v>0</v>
      </c>
      <c r="AL173" s="71">
        <f ca="1">IF(C173=1,'Reeksen (N)'!AL173*((F173-G173+F173)/2)*12+'Reeksen (N)'!AM173*((L173-M173+L173)/2)*12,0)</f>
        <v>0</v>
      </c>
      <c r="AM173" s="71">
        <f ca="1">-AL173*'Invoer gegevens (N)'!$F$31</f>
        <v>0</v>
      </c>
      <c r="AN173" s="71">
        <f t="shared" ca="1" si="29"/>
        <v>0</v>
      </c>
      <c r="AO173" s="71">
        <f ca="1">IF(C173=1,(H173+J173+N173+P173)*'Reeksen (N)'!AN173,0)</f>
        <v>0</v>
      </c>
      <c r="AP173" s="71">
        <f ca="1">-IF(C173=1,(H173+J173+N173+P173)*'Hulp - basis'!$O$550*'Reeksen (N)'!H173,0)</f>
        <v>0</v>
      </c>
      <c r="AQ173" s="71">
        <f ca="1">-IF(C173=1,(F173+K173+L173+Q173)/2*'Invoer gegevens (N)'!$F$35*'Reeksen (N)'!J173,0)*2</f>
        <v>0</v>
      </c>
      <c r="AR173" s="71"/>
      <c r="AS173" s="71">
        <f ca="1">-IF(C173=1,(F173+K173+L173+Q173)/2*'Invoer gegevens (N)'!$F$37*'Reeksen (N)'!L173,0)</f>
        <v>0</v>
      </c>
      <c r="AT173" s="71">
        <f ca="1">-IF(C173=1,IF(E173='Invoer gegevens (N)'!$C$17,'Invoer gegevens (N)'!$C$11,AD173)*'Reeksen (N)'!S173*'Invoer gegevens (N)'!$C$18*'Reeksen (N)'!P173,0)</f>
        <v>0</v>
      </c>
      <c r="AU173" s="71">
        <f ca="1">-IF(C173=1,(F173+K173+L173+Q173)/2*'Invoer gegevens (N)'!$F$38*'Reeksen (N)'!H173,0)</f>
        <v>0</v>
      </c>
      <c r="AV173" s="71">
        <v>0</v>
      </c>
      <c r="AW173" s="71">
        <f t="shared" ca="1" si="30"/>
        <v>0</v>
      </c>
      <c r="AX173" s="71">
        <f ca="1">IF(E173&lt;'Invoer gegevens (N)'!$C$17+15,0,IF(E173&gt;'Invoer gegevens (N)'!$C$17+215,0,AW173))</f>
        <v>0</v>
      </c>
      <c r="AY173" s="71">
        <f ca="1">AX173/(1+'Invoer gegevens (N)'!$F$18)^($AZ173-('Invoer gegevens (N)'!$C$17-'Invoer gegevens (N)'!$C$16))/(1+'Invoer gegevens (N)'!$C$39)^('Invoer gegevens (N)'!$C$17-'Invoer gegevens (N)'!$C$16)</f>
        <v>0</v>
      </c>
      <c r="AZ173" s="68">
        <f ca="1">IF(E173-'Invoer gegevens (N)'!$C$17-14.5&lt;0,0,E173-'Invoer gegevens (N)'!$C$17-14.5)</f>
        <v>153.5</v>
      </c>
    </row>
    <row r="174" spans="1:52" x14ac:dyDescent="0.25">
      <c r="A174" s="59"/>
      <c r="B174" s="70">
        <f t="shared" si="31"/>
        <v>170</v>
      </c>
      <c r="C174" s="67">
        <f ca="1">IF(E174-'Invoer gegevens (N)'!$C$17&lt;0,0,1)</f>
        <v>1</v>
      </c>
      <c r="D174" s="68">
        <f t="shared" si="32"/>
        <v>169.5</v>
      </c>
      <c r="E174" s="69">
        <f ca="1">IF('Invoer gegevens (N)'!$C$16="","",E173+1)</f>
        <v>2188</v>
      </c>
      <c r="F174" s="84">
        <f ca="1">IF('Invoer gegevens (N)'!$C$17=E174,'Invoer gegevens (N)'!$C$10,IF(C174=1,K173,0))</f>
        <v>0</v>
      </c>
      <c r="G174" s="96">
        <f ca="1">IF(C174&gt;=1,F174*VLOOKUP(E174,'Reeksen (N)'!$A$5:$B$76,2),0)</f>
        <v>0</v>
      </c>
      <c r="H174" s="84">
        <f ca="1">(1-('Invoer gegevens (N)'!$F$20/12))*F174*MIN('Reeksen (N)'!B174,'Reeksen (N)'!D174)</f>
        <v>0</v>
      </c>
      <c r="I174" s="84">
        <f>IF('Reeksen (N)'!D174&lt;'Reeksen (N)'!B174,('Reeksen (N)'!B174-'Reeksen (N)'!D174)*F174,0)</f>
        <v>0</v>
      </c>
      <c r="J174" s="84">
        <f ca="1">('Invoer gegevens (N)'!$F$20/12)*F173*MIN('Reeksen (N)'!B173,'Reeksen (N)'!D173)</f>
        <v>0</v>
      </c>
      <c r="K174" s="97">
        <f t="shared" ca="1" si="22"/>
        <v>0</v>
      </c>
      <c r="L174" s="84">
        <f ca="1">IF('Invoer gegevens (N)'!$C$17=E174,0,IF(C174=1,Q173,0))</f>
        <v>0</v>
      </c>
      <c r="M174" s="96">
        <f ca="1">IF(C174&gt;=1,L174*VLOOKUP(E174,'Reeksen (N)'!$A$5:$B$76,2),0)</f>
        <v>0</v>
      </c>
      <c r="N174" s="84">
        <f ca="1">(1-('Invoer gegevens (N)'!$F$20/12))*L174*MIN('Reeksen (N)'!B174,'Reeksen (N)'!D174)</f>
        <v>0</v>
      </c>
      <c r="O174" s="84">
        <f>IF('Reeksen (N)'!D174&lt;'Reeksen (N)'!B174,('Reeksen (N)'!B174-'Reeksen (N)'!D174)*L174,0)</f>
        <v>0</v>
      </c>
      <c r="P174" s="84">
        <f ca="1">('Invoer gegevens (N)'!$F$20/12)*L173*MIN('Reeksen (N)'!B173,'Reeksen (N)'!D173)</f>
        <v>0</v>
      </c>
      <c r="Q174" s="84">
        <f t="shared" ca="1" si="23"/>
        <v>0</v>
      </c>
      <c r="R174" s="82">
        <f ca="1">IF('Invoer gegevens (N)'!$C$17=E174,'Invoer gegevens (N)'!$C$11,IF(C174=1,W173,0))</f>
        <v>0</v>
      </c>
      <c r="S174" s="86">
        <f ca="1">IF(C174&gt;=1,R174*VLOOKUP(E174,'Reeksen (N)'!$A$5:$B$76,2),0)</f>
        <v>0</v>
      </c>
      <c r="T174" s="84">
        <f ca="1">(1-('Invoer gegevens (N)'!$F$20/12))*R174*MIN('Reeksen (N)'!B174,'Reeksen (N)'!D174)</f>
        <v>0</v>
      </c>
      <c r="U174" s="84">
        <f>IF('Reeksen (N)'!D174&gt;='Reeksen (N)'!B174,0,IF('Reeksen (N)'!AD174&lt;='Reeksen (N)'!AE174,('Reeksen (N)'!B174-'Reeksen (N)'!D174)*R174,0))</f>
        <v>0</v>
      </c>
      <c r="V174" s="86">
        <f>IF('Reeksen (N)'!D174&gt;='Reeksen (N)'!B174,0,IF('Reeksen (N)'!AD174&gt;'Reeksen (N)'!AE174,('Reeksen (N)'!B174-'Reeksen (N)'!D174)*R174,0))</f>
        <v>0</v>
      </c>
      <c r="W174" s="97">
        <f t="shared" ca="1" si="24"/>
        <v>0</v>
      </c>
      <c r="X174" s="98">
        <f ca="1">IF('Invoer gegevens (N)'!$C$17=E174,'Invoer gegevens (N)'!$C$10-'Invoer gegevens (N)'!$C$11,IF(C174=1,AC173,0))</f>
        <v>0</v>
      </c>
      <c r="Y174" s="98">
        <f ca="1">IF(C174&gt;=1,X174*VLOOKUP(E174,'Reeksen (N)'!$A$5:$B$76,2),0)</f>
        <v>0</v>
      </c>
      <c r="Z174" s="98">
        <f ca="1">(1-('Invoer gegevens (N)'!$F$20/12))*X174*MIN('Reeksen (N)'!B174,'Reeksen (N)'!D174)</f>
        <v>0</v>
      </c>
      <c r="AA174" s="98">
        <f>IF('Reeksen (N)'!D174&gt;='Reeksen (N)'!B174,0,IF('Reeksen (N)'!AD174&lt;='Reeksen (N)'!AE174,('Reeksen (N)'!B174-'Reeksen (N)'!D174)*X174,0))</f>
        <v>0</v>
      </c>
      <c r="AB174" s="98">
        <f>IF('Reeksen (N)'!D174&gt;='Reeksen (N)'!B174,0,IF('Reeksen (N)'!AD174&gt;'Reeksen (N)'!AE174,('Reeksen (N)'!B174-'Reeksen (N)'!D174)*X174,0))</f>
        <v>0</v>
      </c>
      <c r="AC174" s="99">
        <f t="shared" ca="1" si="25"/>
        <v>0</v>
      </c>
      <c r="AD174" s="98">
        <f ca="1">IF('Invoer gegevens (N)'!$C$17=E174,R174,IF(C174=0,0,AE173))</f>
        <v>0</v>
      </c>
      <c r="AE174" s="98">
        <f t="shared" ca="1" si="26"/>
        <v>0</v>
      </c>
      <c r="AF174" s="98">
        <f ca="1">IF('Invoer gegevens (N)'!$C$17=E174,X174,IF(C174=0,0,AG173))</f>
        <v>0</v>
      </c>
      <c r="AG174" s="98">
        <f t="shared" ca="1" si="27"/>
        <v>0</v>
      </c>
      <c r="AH174" s="66"/>
      <c r="AI174" s="71">
        <f ca="1">IF(C174=1,'Reeksen (N)'!AI174*((F174-G174+F174)/2)*12+'Reeksen (N)'!AD174*((L174-M174+L174)/2)*12,0)</f>
        <v>0</v>
      </c>
      <c r="AJ174" s="71">
        <f ca="1">-AI174*'Invoer gegevens (N)'!$F$28</f>
        <v>0</v>
      </c>
      <c r="AK174" s="71">
        <f t="shared" ca="1" si="28"/>
        <v>0</v>
      </c>
      <c r="AL174" s="71">
        <f ca="1">IF(C174=1,'Reeksen (N)'!AL174*((F174-G174+F174)/2)*12+'Reeksen (N)'!AM174*((L174-M174+L174)/2)*12,0)</f>
        <v>0</v>
      </c>
      <c r="AM174" s="71">
        <f ca="1">-AL174*'Invoer gegevens (N)'!$F$31</f>
        <v>0</v>
      </c>
      <c r="AN174" s="71">
        <f t="shared" ca="1" si="29"/>
        <v>0</v>
      </c>
      <c r="AO174" s="71">
        <f ca="1">IF(C174=1,(H174+J174+N174+P174)*'Reeksen (N)'!AN174,0)</f>
        <v>0</v>
      </c>
      <c r="AP174" s="71">
        <f ca="1">-IF(C174=1,(H174+J174+N174+P174)*'Hulp - basis'!$O$550*'Reeksen (N)'!H174,0)</f>
        <v>0</v>
      </c>
      <c r="AQ174" s="71">
        <f ca="1">-IF(C174=1,(F174+K174+L174+Q174)/2*'Invoer gegevens (N)'!$F$35*'Reeksen (N)'!J174,0)*2</f>
        <v>0</v>
      </c>
      <c r="AR174" s="71"/>
      <c r="AS174" s="71">
        <f ca="1">-IF(C174=1,(F174+K174+L174+Q174)/2*'Invoer gegevens (N)'!$F$37*'Reeksen (N)'!L174,0)</f>
        <v>0</v>
      </c>
      <c r="AT174" s="71">
        <f ca="1">-IF(C174=1,IF(E174='Invoer gegevens (N)'!$C$17,'Invoer gegevens (N)'!$C$11,AD174)*'Reeksen (N)'!S174*'Invoer gegevens (N)'!$C$18*'Reeksen (N)'!P174,0)</f>
        <v>0</v>
      </c>
      <c r="AU174" s="71">
        <f ca="1">-IF(C174=1,(F174+K174+L174+Q174)/2*'Invoer gegevens (N)'!$F$38*'Reeksen (N)'!H174,0)</f>
        <v>0</v>
      </c>
      <c r="AV174" s="71">
        <v>0</v>
      </c>
      <c r="AW174" s="71">
        <f t="shared" ca="1" si="30"/>
        <v>0</v>
      </c>
      <c r="AX174" s="71">
        <f ca="1">IF(E174&lt;'Invoer gegevens (N)'!$C$17+15,0,IF(E174&gt;'Invoer gegevens (N)'!$C$17+215,0,AW174))</f>
        <v>0</v>
      </c>
      <c r="AY174" s="71">
        <f ca="1">AX174/(1+'Invoer gegevens (N)'!$F$18)^($AZ174-('Invoer gegevens (N)'!$C$17-'Invoer gegevens (N)'!$C$16))/(1+'Invoer gegevens (N)'!$C$39)^('Invoer gegevens (N)'!$C$17-'Invoer gegevens (N)'!$C$16)</f>
        <v>0</v>
      </c>
      <c r="AZ174" s="68">
        <f ca="1">IF(E174-'Invoer gegevens (N)'!$C$17-14.5&lt;0,0,E174-'Invoer gegevens (N)'!$C$17-14.5)</f>
        <v>154.5</v>
      </c>
    </row>
    <row r="175" spans="1:52" x14ac:dyDescent="0.25">
      <c r="A175" s="59"/>
      <c r="B175" s="70">
        <f t="shared" si="31"/>
        <v>171</v>
      </c>
      <c r="C175" s="67">
        <f ca="1">IF(E175-'Invoer gegevens (N)'!$C$17&lt;0,0,1)</f>
        <v>1</v>
      </c>
      <c r="D175" s="68">
        <f t="shared" si="32"/>
        <v>170.5</v>
      </c>
      <c r="E175" s="69">
        <f ca="1">IF('Invoer gegevens (N)'!$C$16="","",E174+1)</f>
        <v>2189</v>
      </c>
      <c r="F175" s="84">
        <f ca="1">IF('Invoer gegevens (N)'!$C$17=E175,'Invoer gegevens (N)'!$C$10,IF(C175=1,K174,0))</f>
        <v>0</v>
      </c>
      <c r="G175" s="96">
        <f ca="1">IF(C175&gt;=1,F175*VLOOKUP(E175,'Reeksen (N)'!$A$5:$B$76,2),0)</f>
        <v>0</v>
      </c>
      <c r="H175" s="84">
        <f ca="1">(1-('Invoer gegevens (N)'!$F$20/12))*F175*MIN('Reeksen (N)'!B175,'Reeksen (N)'!D175)</f>
        <v>0</v>
      </c>
      <c r="I175" s="84">
        <f>IF('Reeksen (N)'!D175&lt;'Reeksen (N)'!B175,('Reeksen (N)'!B175-'Reeksen (N)'!D175)*F175,0)</f>
        <v>0</v>
      </c>
      <c r="J175" s="84">
        <f ca="1">('Invoer gegevens (N)'!$F$20/12)*F174*MIN('Reeksen (N)'!B174,'Reeksen (N)'!D174)</f>
        <v>0</v>
      </c>
      <c r="K175" s="97">
        <f t="shared" ca="1" si="22"/>
        <v>0</v>
      </c>
      <c r="L175" s="84">
        <f ca="1">IF('Invoer gegevens (N)'!$C$17=E175,0,IF(C175=1,Q174,0))</f>
        <v>0</v>
      </c>
      <c r="M175" s="96">
        <f ca="1">IF(C175&gt;=1,L175*VLOOKUP(E175,'Reeksen (N)'!$A$5:$B$76,2),0)</f>
        <v>0</v>
      </c>
      <c r="N175" s="84">
        <f ca="1">(1-('Invoer gegevens (N)'!$F$20/12))*L175*MIN('Reeksen (N)'!B175,'Reeksen (N)'!D175)</f>
        <v>0</v>
      </c>
      <c r="O175" s="84">
        <f>IF('Reeksen (N)'!D175&lt;'Reeksen (N)'!B175,('Reeksen (N)'!B175-'Reeksen (N)'!D175)*L175,0)</f>
        <v>0</v>
      </c>
      <c r="P175" s="84">
        <f ca="1">('Invoer gegevens (N)'!$F$20/12)*L174*MIN('Reeksen (N)'!B174,'Reeksen (N)'!D174)</f>
        <v>0</v>
      </c>
      <c r="Q175" s="84">
        <f t="shared" ca="1" si="23"/>
        <v>0</v>
      </c>
      <c r="R175" s="82">
        <f ca="1">IF('Invoer gegevens (N)'!$C$17=E175,'Invoer gegevens (N)'!$C$11,IF(C175=1,W174,0))</f>
        <v>0</v>
      </c>
      <c r="S175" s="86">
        <f ca="1">IF(C175&gt;=1,R175*VLOOKUP(E175,'Reeksen (N)'!$A$5:$B$76,2),0)</f>
        <v>0</v>
      </c>
      <c r="T175" s="84">
        <f ca="1">(1-('Invoer gegevens (N)'!$F$20/12))*R175*MIN('Reeksen (N)'!B175,'Reeksen (N)'!D175)</f>
        <v>0</v>
      </c>
      <c r="U175" s="84">
        <f>IF('Reeksen (N)'!D175&gt;='Reeksen (N)'!B175,0,IF('Reeksen (N)'!AD175&lt;='Reeksen (N)'!AE175,('Reeksen (N)'!B175-'Reeksen (N)'!D175)*R175,0))</f>
        <v>0</v>
      </c>
      <c r="V175" s="86">
        <f>IF('Reeksen (N)'!D175&gt;='Reeksen (N)'!B175,0,IF('Reeksen (N)'!AD175&gt;'Reeksen (N)'!AE175,('Reeksen (N)'!B175-'Reeksen (N)'!D175)*R175,0))</f>
        <v>0</v>
      </c>
      <c r="W175" s="97">
        <f t="shared" ca="1" si="24"/>
        <v>0</v>
      </c>
      <c r="X175" s="98">
        <f ca="1">IF('Invoer gegevens (N)'!$C$17=E175,'Invoer gegevens (N)'!$C$10-'Invoer gegevens (N)'!$C$11,IF(C175=1,AC174,0))</f>
        <v>0</v>
      </c>
      <c r="Y175" s="98">
        <f ca="1">IF(C175&gt;=1,X175*VLOOKUP(E175,'Reeksen (N)'!$A$5:$B$76,2),0)</f>
        <v>0</v>
      </c>
      <c r="Z175" s="98">
        <f ca="1">(1-('Invoer gegevens (N)'!$F$20/12))*X175*MIN('Reeksen (N)'!B175,'Reeksen (N)'!D175)</f>
        <v>0</v>
      </c>
      <c r="AA175" s="98">
        <f>IF('Reeksen (N)'!D175&gt;='Reeksen (N)'!B175,0,IF('Reeksen (N)'!AD175&lt;='Reeksen (N)'!AE175,('Reeksen (N)'!B175-'Reeksen (N)'!D175)*X175,0))</f>
        <v>0</v>
      </c>
      <c r="AB175" s="98">
        <f>IF('Reeksen (N)'!D175&gt;='Reeksen (N)'!B175,0,IF('Reeksen (N)'!AD175&gt;'Reeksen (N)'!AE175,('Reeksen (N)'!B175-'Reeksen (N)'!D175)*X175,0))</f>
        <v>0</v>
      </c>
      <c r="AC175" s="99">
        <f t="shared" ca="1" si="25"/>
        <v>0</v>
      </c>
      <c r="AD175" s="98">
        <f ca="1">IF('Invoer gegevens (N)'!$C$17=E175,R175,IF(C175=0,0,AE174))</f>
        <v>0</v>
      </c>
      <c r="AE175" s="98">
        <f t="shared" ca="1" si="26"/>
        <v>0</v>
      </c>
      <c r="AF175" s="98">
        <f ca="1">IF('Invoer gegevens (N)'!$C$17=E175,X175,IF(C175=0,0,AG174))</f>
        <v>0</v>
      </c>
      <c r="AG175" s="98">
        <f t="shared" ca="1" si="27"/>
        <v>0</v>
      </c>
      <c r="AH175" s="66"/>
      <c r="AI175" s="71">
        <f ca="1">IF(C175=1,'Reeksen (N)'!AI175*((F175-G175+F175)/2)*12+'Reeksen (N)'!AD175*((L175-M175+L175)/2)*12,0)</f>
        <v>0</v>
      </c>
      <c r="AJ175" s="71">
        <f ca="1">-AI175*'Invoer gegevens (N)'!$F$28</f>
        <v>0</v>
      </c>
      <c r="AK175" s="71">
        <f t="shared" ca="1" si="28"/>
        <v>0</v>
      </c>
      <c r="AL175" s="71">
        <f ca="1">IF(C175=1,'Reeksen (N)'!AL175*((F175-G175+F175)/2)*12+'Reeksen (N)'!AM175*((L175-M175+L175)/2)*12,0)</f>
        <v>0</v>
      </c>
      <c r="AM175" s="71">
        <f ca="1">-AL175*'Invoer gegevens (N)'!$F$31</f>
        <v>0</v>
      </c>
      <c r="AN175" s="71">
        <f t="shared" ca="1" si="29"/>
        <v>0</v>
      </c>
      <c r="AO175" s="71">
        <f ca="1">IF(C175=1,(H175+J175+N175+P175)*'Reeksen (N)'!AN175,0)</f>
        <v>0</v>
      </c>
      <c r="AP175" s="71">
        <f ca="1">-IF(C175=1,(H175+J175+N175+P175)*'Hulp - basis'!$O$550*'Reeksen (N)'!H175,0)</f>
        <v>0</v>
      </c>
      <c r="AQ175" s="71">
        <f ca="1">-IF(C175=1,(F175+K175+L175+Q175)/2*'Invoer gegevens (N)'!$F$35*'Reeksen (N)'!J175,0)*2</f>
        <v>0</v>
      </c>
      <c r="AR175" s="71"/>
      <c r="AS175" s="71">
        <f ca="1">-IF(C175=1,(F175+K175+L175+Q175)/2*'Invoer gegevens (N)'!$F$37*'Reeksen (N)'!L175,0)</f>
        <v>0</v>
      </c>
      <c r="AT175" s="71">
        <f ca="1">-IF(C175=1,IF(E175='Invoer gegevens (N)'!$C$17,'Invoer gegevens (N)'!$C$11,AD175)*'Reeksen (N)'!S175*'Invoer gegevens (N)'!$C$18*'Reeksen (N)'!P175,0)</f>
        <v>0</v>
      </c>
      <c r="AU175" s="71">
        <f ca="1">-IF(C175=1,(F175+K175+L175+Q175)/2*'Invoer gegevens (N)'!$F$38*'Reeksen (N)'!H175,0)</f>
        <v>0</v>
      </c>
      <c r="AV175" s="71">
        <v>0</v>
      </c>
      <c r="AW175" s="71">
        <f t="shared" ca="1" si="30"/>
        <v>0</v>
      </c>
      <c r="AX175" s="71">
        <f ca="1">IF(E175&lt;'Invoer gegevens (N)'!$C$17+15,0,IF(E175&gt;'Invoer gegevens (N)'!$C$17+215,0,AW175))</f>
        <v>0</v>
      </c>
      <c r="AY175" s="71">
        <f ca="1">AX175/(1+'Invoer gegevens (N)'!$F$18)^($AZ175-('Invoer gegevens (N)'!$C$17-'Invoer gegevens (N)'!$C$16))/(1+'Invoer gegevens (N)'!$C$39)^('Invoer gegevens (N)'!$C$17-'Invoer gegevens (N)'!$C$16)</f>
        <v>0</v>
      </c>
      <c r="AZ175" s="68">
        <f ca="1">IF(E175-'Invoer gegevens (N)'!$C$17-14.5&lt;0,0,E175-'Invoer gegevens (N)'!$C$17-14.5)</f>
        <v>155.5</v>
      </c>
    </row>
    <row r="176" spans="1:52" x14ac:dyDescent="0.25">
      <c r="A176" s="59"/>
      <c r="B176" s="70">
        <f t="shared" si="31"/>
        <v>172</v>
      </c>
      <c r="C176" s="67">
        <f ca="1">IF(E176-'Invoer gegevens (N)'!$C$17&lt;0,0,1)</f>
        <v>1</v>
      </c>
      <c r="D176" s="68">
        <f t="shared" si="32"/>
        <v>171.5</v>
      </c>
      <c r="E176" s="69">
        <f ca="1">IF('Invoer gegevens (N)'!$C$16="","",E175+1)</f>
        <v>2190</v>
      </c>
      <c r="F176" s="84">
        <f ca="1">IF('Invoer gegevens (N)'!$C$17=E176,'Invoer gegevens (N)'!$C$10,IF(C176=1,K175,0))</f>
        <v>0</v>
      </c>
      <c r="G176" s="96">
        <f ca="1">IF(C176&gt;=1,F176*VLOOKUP(E176,'Reeksen (N)'!$A$5:$B$76,2),0)</f>
        <v>0</v>
      </c>
      <c r="H176" s="84">
        <f ca="1">(1-('Invoer gegevens (N)'!$F$20/12))*F176*MIN('Reeksen (N)'!B176,'Reeksen (N)'!D176)</f>
        <v>0</v>
      </c>
      <c r="I176" s="84">
        <f>IF('Reeksen (N)'!D176&lt;'Reeksen (N)'!B176,('Reeksen (N)'!B176-'Reeksen (N)'!D176)*F176,0)</f>
        <v>0</v>
      </c>
      <c r="J176" s="84">
        <f ca="1">('Invoer gegevens (N)'!$F$20/12)*F175*MIN('Reeksen (N)'!B175,'Reeksen (N)'!D175)</f>
        <v>0</v>
      </c>
      <c r="K176" s="97">
        <f t="shared" ca="1" si="22"/>
        <v>0</v>
      </c>
      <c r="L176" s="84">
        <f ca="1">IF('Invoer gegevens (N)'!$C$17=E176,0,IF(C176=1,Q175,0))</f>
        <v>0</v>
      </c>
      <c r="M176" s="96">
        <f ca="1">IF(C176&gt;=1,L176*VLOOKUP(E176,'Reeksen (N)'!$A$5:$B$76,2),0)</f>
        <v>0</v>
      </c>
      <c r="N176" s="84">
        <f ca="1">(1-('Invoer gegevens (N)'!$F$20/12))*L176*MIN('Reeksen (N)'!B176,'Reeksen (N)'!D176)</f>
        <v>0</v>
      </c>
      <c r="O176" s="84">
        <f>IF('Reeksen (N)'!D176&lt;'Reeksen (N)'!B176,('Reeksen (N)'!B176-'Reeksen (N)'!D176)*L176,0)</f>
        <v>0</v>
      </c>
      <c r="P176" s="84">
        <f ca="1">('Invoer gegevens (N)'!$F$20/12)*L175*MIN('Reeksen (N)'!B175,'Reeksen (N)'!D175)</f>
        <v>0</v>
      </c>
      <c r="Q176" s="84">
        <f t="shared" ca="1" si="23"/>
        <v>0</v>
      </c>
      <c r="R176" s="82">
        <f ca="1">IF('Invoer gegevens (N)'!$C$17=E176,'Invoer gegevens (N)'!$C$11,IF(C176=1,W175,0))</f>
        <v>0</v>
      </c>
      <c r="S176" s="86">
        <f ca="1">IF(C176&gt;=1,R176*VLOOKUP(E176,'Reeksen (N)'!$A$5:$B$76,2),0)</f>
        <v>0</v>
      </c>
      <c r="T176" s="84">
        <f ca="1">(1-('Invoer gegevens (N)'!$F$20/12))*R176*MIN('Reeksen (N)'!B176,'Reeksen (N)'!D176)</f>
        <v>0</v>
      </c>
      <c r="U176" s="84">
        <f>IF('Reeksen (N)'!D176&gt;='Reeksen (N)'!B176,0,IF('Reeksen (N)'!AD176&lt;='Reeksen (N)'!AE176,('Reeksen (N)'!B176-'Reeksen (N)'!D176)*R176,0))</f>
        <v>0</v>
      </c>
      <c r="V176" s="86">
        <f>IF('Reeksen (N)'!D176&gt;='Reeksen (N)'!B176,0,IF('Reeksen (N)'!AD176&gt;'Reeksen (N)'!AE176,('Reeksen (N)'!B176-'Reeksen (N)'!D176)*R176,0))</f>
        <v>0</v>
      </c>
      <c r="W176" s="97">
        <f t="shared" ca="1" si="24"/>
        <v>0</v>
      </c>
      <c r="X176" s="98">
        <f ca="1">IF('Invoer gegevens (N)'!$C$17=E176,'Invoer gegevens (N)'!$C$10-'Invoer gegevens (N)'!$C$11,IF(C176=1,AC175,0))</f>
        <v>0</v>
      </c>
      <c r="Y176" s="98">
        <f ca="1">IF(C176&gt;=1,X176*VLOOKUP(E176,'Reeksen (N)'!$A$5:$B$76,2),0)</f>
        <v>0</v>
      </c>
      <c r="Z176" s="98">
        <f ca="1">(1-('Invoer gegevens (N)'!$F$20/12))*X176*MIN('Reeksen (N)'!B176,'Reeksen (N)'!D176)</f>
        <v>0</v>
      </c>
      <c r="AA176" s="98">
        <f>IF('Reeksen (N)'!D176&gt;='Reeksen (N)'!B176,0,IF('Reeksen (N)'!AD176&lt;='Reeksen (N)'!AE176,('Reeksen (N)'!B176-'Reeksen (N)'!D176)*X176,0))</f>
        <v>0</v>
      </c>
      <c r="AB176" s="98">
        <f>IF('Reeksen (N)'!D176&gt;='Reeksen (N)'!B176,0,IF('Reeksen (N)'!AD176&gt;'Reeksen (N)'!AE176,('Reeksen (N)'!B176-'Reeksen (N)'!D176)*X176,0))</f>
        <v>0</v>
      </c>
      <c r="AC176" s="99">
        <f t="shared" ca="1" si="25"/>
        <v>0</v>
      </c>
      <c r="AD176" s="98">
        <f ca="1">IF('Invoer gegevens (N)'!$C$17=E176,R176,IF(C176=0,0,AE175))</f>
        <v>0</v>
      </c>
      <c r="AE176" s="98">
        <f t="shared" ca="1" si="26"/>
        <v>0</v>
      </c>
      <c r="AF176" s="98">
        <f ca="1">IF('Invoer gegevens (N)'!$C$17=E176,X176,IF(C176=0,0,AG175))</f>
        <v>0</v>
      </c>
      <c r="AG176" s="98">
        <f t="shared" ca="1" si="27"/>
        <v>0</v>
      </c>
      <c r="AH176" s="66"/>
      <c r="AI176" s="71">
        <f ca="1">IF(C176=1,'Reeksen (N)'!AI176*((F176-G176+F176)/2)*12+'Reeksen (N)'!AD176*((L176-M176+L176)/2)*12,0)</f>
        <v>0</v>
      </c>
      <c r="AJ176" s="71">
        <f ca="1">-AI176*'Invoer gegevens (N)'!$F$28</f>
        <v>0</v>
      </c>
      <c r="AK176" s="71">
        <f t="shared" ca="1" si="28"/>
        <v>0</v>
      </c>
      <c r="AL176" s="71">
        <f ca="1">IF(C176=1,'Reeksen (N)'!AL176*((F176-G176+F176)/2)*12+'Reeksen (N)'!AM176*((L176-M176+L176)/2)*12,0)</f>
        <v>0</v>
      </c>
      <c r="AM176" s="71">
        <f ca="1">-AL176*'Invoer gegevens (N)'!$F$31</f>
        <v>0</v>
      </c>
      <c r="AN176" s="71">
        <f t="shared" ca="1" si="29"/>
        <v>0</v>
      </c>
      <c r="AO176" s="71">
        <f ca="1">IF(C176=1,(H176+J176+N176+P176)*'Reeksen (N)'!AN176,0)</f>
        <v>0</v>
      </c>
      <c r="AP176" s="71">
        <f ca="1">-IF(C176=1,(H176+J176+N176+P176)*'Hulp - basis'!$O$550*'Reeksen (N)'!H176,0)</f>
        <v>0</v>
      </c>
      <c r="AQ176" s="71">
        <f ca="1">-IF(C176=1,(F176+K176+L176+Q176)/2*'Invoer gegevens (N)'!$F$35*'Reeksen (N)'!J176,0)*2</f>
        <v>0</v>
      </c>
      <c r="AR176" s="71"/>
      <c r="AS176" s="71">
        <f ca="1">-IF(C176=1,(F176+K176+L176+Q176)/2*'Invoer gegevens (N)'!$F$37*'Reeksen (N)'!L176,0)</f>
        <v>0</v>
      </c>
      <c r="AT176" s="71">
        <f ca="1">-IF(C176=1,IF(E176='Invoer gegevens (N)'!$C$17,'Invoer gegevens (N)'!$C$11,AD176)*'Reeksen (N)'!S176*'Invoer gegevens (N)'!$C$18*'Reeksen (N)'!P176,0)</f>
        <v>0</v>
      </c>
      <c r="AU176" s="71">
        <f ca="1">-IF(C176=1,(F176+K176+L176+Q176)/2*'Invoer gegevens (N)'!$F$38*'Reeksen (N)'!H176,0)</f>
        <v>0</v>
      </c>
      <c r="AV176" s="71">
        <v>0</v>
      </c>
      <c r="AW176" s="71">
        <f t="shared" ca="1" si="30"/>
        <v>0</v>
      </c>
      <c r="AX176" s="71">
        <f ca="1">IF(E176&lt;'Invoer gegevens (N)'!$C$17+15,0,IF(E176&gt;'Invoer gegevens (N)'!$C$17+215,0,AW176))</f>
        <v>0</v>
      </c>
      <c r="AY176" s="71">
        <f ca="1">AX176/(1+'Invoer gegevens (N)'!$F$18)^($AZ176-('Invoer gegevens (N)'!$C$17-'Invoer gegevens (N)'!$C$16))/(1+'Invoer gegevens (N)'!$C$39)^('Invoer gegevens (N)'!$C$17-'Invoer gegevens (N)'!$C$16)</f>
        <v>0</v>
      </c>
      <c r="AZ176" s="68">
        <f ca="1">IF(E176-'Invoer gegevens (N)'!$C$17-14.5&lt;0,0,E176-'Invoer gegevens (N)'!$C$17-14.5)</f>
        <v>156.5</v>
      </c>
    </row>
    <row r="177" spans="1:52" x14ac:dyDescent="0.25">
      <c r="A177" s="59"/>
      <c r="B177" s="70">
        <f t="shared" si="31"/>
        <v>173</v>
      </c>
      <c r="C177" s="67">
        <f ca="1">IF(E177-'Invoer gegevens (N)'!$C$17&lt;0,0,1)</f>
        <v>1</v>
      </c>
      <c r="D177" s="68">
        <f t="shared" si="32"/>
        <v>172.5</v>
      </c>
      <c r="E177" s="69">
        <f ca="1">IF('Invoer gegevens (N)'!$C$16="","",E176+1)</f>
        <v>2191</v>
      </c>
      <c r="F177" s="84">
        <f ca="1">IF('Invoer gegevens (N)'!$C$17=E177,'Invoer gegevens (N)'!$C$10,IF(C177=1,K176,0))</f>
        <v>0</v>
      </c>
      <c r="G177" s="96">
        <f ca="1">IF(C177&gt;=1,F177*VLOOKUP(E177,'Reeksen (N)'!$A$5:$B$76,2),0)</f>
        <v>0</v>
      </c>
      <c r="H177" s="84">
        <f ca="1">(1-('Invoer gegevens (N)'!$F$20/12))*F177*MIN('Reeksen (N)'!B177,'Reeksen (N)'!D177)</f>
        <v>0</v>
      </c>
      <c r="I177" s="84">
        <f>IF('Reeksen (N)'!D177&lt;'Reeksen (N)'!B177,('Reeksen (N)'!B177-'Reeksen (N)'!D177)*F177,0)</f>
        <v>0</v>
      </c>
      <c r="J177" s="84">
        <f ca="1">('Invoer gegevens (N)'!$F$20/12)*F176*MIN('Reeksen (N)'!B176,'Reeksen (N)'!D176)</f>
        <v>0</v>
      </c>
      <c r="K177" s="97">
        <f t="shared" ca="1" si="22"/>
        <v>0</v>
      </c>
      <c r="L177" s="84">
        <f ca="1">IF('Invoer gegevens (N)'!$C$17=E177,0,IF(C177=1,Q176,0))</f>
        <v>0</v>
      </c>
      <c r="M177" s="96">
        <f ca="1">IF(C177&gt;=1,L177*VLOOKUP(E177,'Reeksen (N)'!$A$5:$B$76,2),0)</f>
        <v>0</v>
      </c>
      <c r="N177" s="84">
        <f ca="1">(1-('Invoer gegevens (N)'!$F$20/12))*L177*MIN('Reeksen (N)'!B177,'Reeksen (N)'!D177)</f>
        <v>0</v>
      </c>
      <c r="O177" s="84">
        <f>IF('Reeksen (N)'!D177&lt;'Reeksen (N)'!B177,('Reeksen (N)'!B177-'Reeksen (N)'!D177)*L177,0)</f>
        <v>0</v>
      </c>
      <c r="P177" s="84">
        <f ca="1">('Invoer gegevens (N)'!$F$20/12)*L176*MIN('Reeksen (N)'!B176,'Reeksen (N)'!D176)</f>
        <v>0</v>
      </c>
      <c r="Q177" s="84">
        <f t="shared" ca="1" si="23"/>
        <v>0</v>
      </c>
      <c r="R177" s="82">
        <f ca="1">IF('Invoer gegevens (N)'!$C$17=E177,'Invoer gegevens (N)'!$C$11,IF(C177=1,W176,0))</f>
        <v>0</v>
      </c>
      <c r="S177" s="86">
        <f ca="1">IF(C177&gt;=1,R177*VLOOKUP(E177,'Reeksen (N)'!$A$5:$B$76,2),0)</f>
        <v>0</v>
      </c>
      <c r="T177" s="84">
        <f ca="1">(1-('Invoer gegevens (N)'!$F$20/12))*R177*MIN('Reeksen (N)'!B177,'Reeksen (N)'!D177)</f>
        <v>0</v>
      </c>
      <c r="U177" s="84">
        <f>IF('Reeksen (N)'!D177&gt;='Reeksen (N)'!B177,0,IF('Reeksen (N)'!AD177&lt;='Reeksen (N)'!AE177,('Reeksen (N)'!B177-'Reeksen (N)'!D177)*R177,0))</f>
        <v>0</v>
      </c>
      <c r="V177" s="86">
        <f>IF('Reeksen (N)'!D177&gt;='Reeksen (N)'!B177,0,IF('Reeksen (N)'!AD177&gt;'Reeksen (N)'!AE177,('Reeksen (N)'!B177-'Reeksen (N)'!D177)*R177,0))</f>
        <v>0</v>
      </c>
      <c r="W177" s="97">
        <f t="shared" ca="1" si="24"/>
        <v>0</v>
      </c>
      <c r="X177" s="98">
        <f ca="1">IF('Invoer gegevens (N)'!$C$17=E177,'Invoer gegevens (N)'!$C$10-'Invoer gegevens (N)'!$C$11,IF(C177=1,AC176,0))</f>
        <v>0</v>
      </c>
      <c r="Y177" s="98">
        <f ca="1">IF(C177&gt;=1,X177*VLOOKUP(E177,'Reeksen (N)'!$A$5:$B$76,2),0)</f>
        <v>0</v>
      </c>
      <c r="Z177" s="98">
        <f ca="1">(1-('Invoer gegevens (N)'!$F$20/12))*X177*MIN('Reeksen (N)'!B177,'Reeksen (N)'!D177)</f>
        <v>0</v>
      </c>
      <c r="AA177" s="98">
        <f>IF('Reeksen (N)'!D177&gt;='Reeksen (N)'!B177,0,IF('Reeksen (N)'!AD177&lt;='Reeksen (N)'!AE177,('Reeksen (N)'!B177-'Reeksen (N)'!D177)*X177,0))</f>
        <v>0</v>
      </c>
      <c r="AB177" s="98">
        <f>IF('Reeksen (N)'!D177&gt;='Reeksen (N)'!B177,0,IF('Reeksen (N)'!AD177&gt;'Reeksen (N)'!AE177,('Reeksen (N)'!B177-'Reeksen (N)'!D177)*X177,0))</f>
        <v>0</v>
      </c>
      <c r="AC177" s="99">
        <f t="shared" ca="1" si="25"/>
        <v>0</v>
      </c>
      <c r="AD177" s="98">
        <f ca="1">IF('Invoer gegevens (N)'!$C$17=E177,R177,IF(C177=0,0,AE176))</f>
        <v>0</v>
      </c>
      <c r="AE177" s="98">
        <f t="shared" ca="1" si="26"/>
        <v>0</v>
      </c>
      <c r="AF177" s="98">
        <f ca="1">IF('Invoer gegevens (N)'!$C$17=E177,X177,IF(C177=0,0,AG176))</f>
        <v>0</v>
      </c>
      <c r="AG177" s="98">
        <f t="shared" ca="1" si="27"/>
        <v>0</v>
      </c>
      <c r="AH177" s="66"/>
      <c r="AI177" s="71">
        <f ca="1">IF(C177=1,'Reeksen (N)'!AI177*((F177-G177+F177)/2)*12+'Reeksen (N)'!AD177*((L177-M177+L177)/2)*12,0)</f>
        <v>0</v>
      </c>
      <c r="AJ177" s="71">
        <f ca="1">-AI177*'Invoer gegevens (N)'!$F$28</f>
        <v>0</v>
      </c>
      <c r="AK177" s="71">
        <f t="shared" ca="1" si="28"/>
        <v>0</v>
      </c>
      <c r="AL177" s="71">
        <f ca="1">IF(C177=1,'Reeksen (N)'!AL177*((F177-G177+F177)/2)*12+'Reeksen (N)'!AM177*((L177-M177+L177)/2)*12,0)</f>
        <v>0</v>
      </c>
      <c r="AM177" s="71">
        <f ca="1">-AL177*'Invoer gegevens (N)'!$F$31</f>
        <v>0</v>
      </c>
      <c r="AN177" s="71">
        <f t="shared" ca="1" si="29"/>
        <v>0</v>
      </c>
      <c r="AO177" s="71">
        <f ca="1">IF(C177=1,(H177+J177+N177+P177)*'Reeksen (N)'!AN177,0)</f>
        <v>0</v>
      </c>
      <c r="AP177" s="71">
        <f ca="1">-IF(C177=1,(H177+J177+N177+P177)*'Hulp - basis'!$O$550*'Reeksen (N)'!H177,0)</f>
        <v>0</v>
      </c>
      <c r="AQ177" s="71">
        <f ca="1">-IF(C177=1,(F177+K177+L177+Q177)/2*'Invoer gegevens (N)'!$F$35*'Reeksen (N)'!J177,0)*2</f>
        <v>0</v>
      </c>
      <c r="AR177" s="71"/>
      <c r="AS177" s="71">
        <f ca="1">-IF(C177=1,(F177+K177+L177+Q177)/2*'Invoer gegevens (N)'!$F$37*'Reeksen (N)'!L177,0)</f>
        <v>0</v>
      </c>
      <c r="AT177" s="71">
        <f ca="1">-IF(C177=1,IF(E177='Invoer gegevens (N)'!$C$17,'Invoer gegevens (N)'!$C$11,AD177)*'Reeksen (N)'!S177*'Invoer gegevens (N)'!$C$18*'Reeksen (N)'!P177,0)</f>
        <v>0</v>
      </c>
      <c r="AU177" s="71">
        <f ca="1">-IF(C177=1,(F177+K177+L177+Q177)/2*'Invoer gegevens (N)'!$F$38*'Reeksen (N)'!H177,0)</f>
        <v>0</v>
      </c>
      <c r="AV177" s="71">
        <v>0</v>
      </c>
      <c r="AW177" s="71">
        <f t="shared" ca="1" si="30"/>
        <v>0</v>
      </c>
      <c r="AX177" s="71">
        <f ca="1">IF(E177&lt;'Invoer gegevens (N)'!$C$17+15,0,IF(E177&gt;'Invoer gegevens (N)'!$C$17+215,0,AW177))</f>
        <v>0</v>
      </c>
      <c r="AY177" s="71">
        <f ca="1">AX177/(1+'Invoer gegevens (N)'!$F$18)^($AZ177-('Invoer gegevens (N)'!$C$17-'Invoer gegevens (N)'!$C$16))/(1+'Invoer gegevens (N)'!$C$39)^('Invoer gegevens (N)'!$C$17-'Invoer gegevens (N)'!$C$16)</f>
        <v>0</v>
      </c>
      <c r="AZ177" s="68">
        <f ca="1">IF(E177-'Invoer gegevens (N)'!$C$17-14.5&lt;0,0,E177-'Invoer gegevens (N)'!$C$17-14.5)</f>
        <v>157.5</v>
      </c>
    </row>
    <row r="178" spans="1:52" x14ac:dyDescent="0.25">
      <c r="A178" s="59"/>
      <c r="B178" s="70">
        <f t="shared" si="31"/>
        <v>174</v>
      </c>
      <c r="C178" s="67">
        <f ca="1">IF(E178-'Invoer gegevens (N)'!$C$17&lt;0,0,1)</f>
        <v>1</v>
      </c>
      <c r="D178" s="68">
        <f t="shared" si="32"/>
        <v>173.5</v>
      </c>
      <c r="E178" s="69">
        <f ca="1">IF('Invoer gegevens (N)'!$C$16="","",E177+1)</f>
        <v>2192</v>
      </c>
      <c r="F178" s="84">
        <f ca="1">IF('Invoer gegevens (N)'!$C$17=E178,'Invoer gegevens (N)'!$C$10,IF(C178=1,K177,0))</f>
        <v>0</v>
      </c>
      <c r="G178" s="96">
        <f ca="1">IF(C178&gt;=1,F178*VLOOKUP(E178,'Reeksen (N)'!$A$5:$B$76,2),0)</f>
        <v>0</v>
      </c>
      <c r="H178" s="84">
        <f ca="1">(1-('Invoer gegevens (N)'!$F$20/12))*F178*MIN('Reeksen (N)'!B178,'Reeksen (N)'!D178)</f>
        <v>0</v>
      </c>
      <c r="I178" s="84">
        <f>IF('Reeksen (N)'!D178&lt;'Reeksen (N)'!B178,('Reeksen (N)'!B178-'Reeksen (N)'!D178)*F178,0)</f>
        <v>0</v>
      </c>
      <c r="J178" s="84">
        <f ca="1">('Invoer gegevens (N)'!$F$20/12)*F177*MIN('Reeksen (N)'!B177,'Reeksen (N)'!D177)</f>
        <v>0</v>
      </c>
      <c r="K178" s="97">
        <f t="shared" ca="1" si="22"/>
        <v>0</v>
      </c>
      <c r="L178" s="84">
        <f ca="1">IF('Invoer gegevens (N)'!$C$17=E178,0,IF(C178=1,Q177,0))</f>
        <v>0</v>
      </c>
      <c r="M178" s="96">
        <f ca="1">IF(C178&gt;=1,L178*VLOOKUP(E178,'Reeksen (N)'!$A$5:$B$76,2),0)</f>
        <v>0</v>
      </c>
      <c r="N178" s="84">
        <f ca="1">(1-('Invoer gegevens (N)'!$F$20/12))*L178*MIN('Reeksen (N)'!B178,'Reeksen (N)'!D178)</f>
        <v>0</v>
      </c>
      <c r="O178" s="84">
        <f>IF('Reeksen (N)'!D178&lt;'Reeksen (N)'!B178,('Reeksen (N)'!B178-'Reeksen (N)'!D178)*L178,0)</f>
        <v>0</v>
      </c>
      <c r="P178" s="84">
        <f ca="1">('Invoer gegevens (N)'!$F$20/12)*L177*MIN('Reeksen (N)'!B177,'Reeksen (N)'!D177)</f>
        <v>0</v>
      </c>
      <c r="Q178" s="84">
        <f t="shared" ca="1" si="23"/>
        <v>0</v>
      </c>
      <c r="R178" s="82">
        <f ca="1">IF('Invoer gegevens (N)'!$C$17=E178,'Invoer gegevens (N)'!$C$11,IF(C178=1,W177,0))</f>
        <v>0</v>
      </c>
      <c r="S178" s="86">
        <f ca="1">IF(C178&gt;=1,R178*VLOOKUP(E178,'Reeksen (N)'!$A$5:$B$76,2),0)</f>
        <v>0</v>
      </c>
      <c r="T178" s="84">
        <f ca="1">(1-('Invoer gegevens (N)'!$F$20/12))*R178*MIN('Reeksen (N)'!B178,'Reeksen (N)'!D178)</f>
        <v>0</v>
      </c>
      <c r="U178" s="84">
        <f>IF('Reeksen (N)'!D178&gt;='Reeksen (N)'!B178,0,IF('Reeksen (N)'!AD178&lt;='Reeksen (N)'!AE178,('Reeksen (N)'!B178-'Reeksen (N)'!D178)*R178,0))</f>
        <v>0</v>
      </c>
      <c r="V178" s="86">
        <f>IF('Reeksen (N)'!D178&gt;='Reeksen (N)'!B178,0,IF('Reeksen (N)'!AD178&gt;'Reeksen (N)'!AE178,('Reeksen (N)'!B178-'Reeksen (N)'!D178)*R178,0))</f>
        <v>0</v>
      </c>
      <c r="W178" s="97">
        <f t="shared" ca="1" si="24"/>
        <v>0</v>
      </c>
      <c r="X178" s="98">
        <f ca="1">IF('Invoer gegevens (N)'!$C$17=E178,'Invoer gegevens (N)'!$C$10-'Invoer gegevens (N)'!$C$11,IF(C178=1,AC177,0))</f>
        <v>0</v>
      </c>
      <c r="Y178" s="98">
        <f ca="1">IF(C178&gt;=1,X178*VLOOKUP(E178,'Reeksen (N)'!$A$5:$B$76,2),0)</f>
        <v>0</v>
      </c>
      <c r="Z178" s="98">
        <f ca="1">(1-('Invoer gegevens (N)'!$F$20/12))*X178*MIN('Reeksen (N)'!B178,'Reeksen (N)'!D178)</f>
        <v>0</v>
      </c>
      <c r="AA178" s="98">
        <f>IF('Reeksen (N)'!D178&gt;='Reeksen (N)'!B178,0,IF('Reeksen (N)'!AD178&lt;='Reeksen (N)'!AE178,('Reeksen (N)'!B178-'Reeksen (N)'!D178)*X178,0))</f>
        <v>0</v>
      </c>
      <c r="AB178" s="98">
        <f>IF('Reeksen (N)'!D178&gt;='Reeksen (N)'!B178,0,IF('Reeksen (N)'!AD178&gt;'Reeksen (N)'!AE178,('Reeksen (N)'!B178-'Reeksen (N)'!D178)*X178,0))</f>
        <v>0</v>
      </c>
      <c r="AC178" s="99">
        <f t="shared" ca="1" si="25"/>
        <v>0</v>
      </c>
      <c r="AD178" s="98">
        <f ca="1">IF('Invoer gegevens (N)'!$C$17=E178,R178,IF(C178=0,0,AE177))</f>
        <v>0</v>
      </c>
      <c r="AE178" s="98">
        <f t="shared" ca="1" si="26"/>
        <v>0</v>
      </c>
      <c r="AF178" s="98">
        <f ca="1">IF('Invoer gegevens (N)'!$C$17=E178,X178,IF(C178=0,0,AG177))</f>
        <v>0</v>
      </c>
      <c r="AG178" s="98">
        <f t="shared" ca="1" si="27"/>
        <v>0</v>
      </c>
      <c r="AH178" s="66"/>
      <c r="AI178" s="71">
        <f ca="1">IF(C178=1,'Reeksen (N)'!AI178*((F178-G178+F178)/2)*12+'Reeksen (N)'!AD178*((L178-M178+L178)/2)*12,0)</f>
        <v>0</v>
      </c>
      <c r="AJ178" s="71">
        <f ca="1">-AI178*'Invoer gegevens (N)'!$F$28</f>
        <v>0</v>
      </c>
      <c r="AK178" s="71">
        <f t="shared" ca="1" si="28"/>
        <v>0</v>
      </c>
      <c r="AL178" s="71">
        <f ca="1">IF(C178=1,'Reeksen (N)'!AL178*((F178-G178+F178)/2)*12+'Reeksen (N)'!AM178*((L178-M178+L178)/2)*12,0)</f>
        <v>0</v>
      </c>
      <c r="AM178" s="71">
        <f ca="1">-AL178*'Invoer gegevens (N)'!$F$31</f>
        <v>0</v>
      </c>
      <c r="AN178" s="71">
        <f t="shared" ca="1" si="29"/>
        <v>0</v>
      </c>
      <c r="AO178" s="71">
        <f ca="1">IF(C178=1,(H178+J178+N178+P178)*'Reeksen (N)'!AN178,0)</f>
        <v>0</v>
      </c>
      <c r="AP178" s="71">
        <f ca="1">-IF(C178=1,(H178+J178+N178+P178)*'Hulp - basis'!$O$550*'Reeksen (N)'!H178,0)</f>
        <v>0</v>
      </c>
      <c r="AQ178" s="71">
        <f ca="1">-IF(C178=1,(F178+K178+L178+Q178)/2*'Invoer gegevens (N)'!$F$35*'Reeksen (N)'!J178,0)*2</f>
        <v>0</v>
      </c>
      <c r="AR178" s="71"/>
      <c r="AS178" s="71">
        <f ca="1">-IF(C178=1,(F178+K178+L178+Q178)/2*'Invoer gegevens (N)'!$F$37*'Reeksen (N)'!L178,0)</f>
        <v>0</v>
      </c>
      <c r="AT178" s="71">
        <f ca="1">-IF(C178=1,IF(E178='Invoer gegevens (N)'!$C$17,'Invoer gegevens (N)'!$C$11,AD178)*'Reeksen (N)'!S178*'Invoer gegevens (N)'!$C$18*'Reeksen (N)'!P178,0)</f>
        <v>0</v>
      </c>
      <c r="AU178" s="71">
        <f ca="1">-IF(C178=1,(F178+K178+L178+Q178)/2*'Invoer gegevens (N)'!$F$38*'Reeksen (N)'!H178,0)</f>
        <v>0</v>
      </c>
      <c r="AV178" s="71">
        <v>0</v>
      </c>
      <c r="AW178" s="71">
        <f t="shared" ca="1" si="30"/>
        <v>0</v>
      </c>
      <c r="AX178" s="71">
        <f ca="1">IF(E178&lt;'Invoer gegevens (N)'!$C$17+15,0,IF(E178&gt;'Invoer gegevens (N)'!$C$17+215,0,AW178))</f>
        <v>0</v>
      </c>
      <c r="AY178" s="71">
        <f ca="1">AX178/(1+'Invoer gegevens (N)'!$F$18)^($AZ178-('Invoer gegevens (N)'!$C$17-'Invoer gegevens (N)'!$C$16))/(1+'Invoer gegevens (N)'!$C$39)^('Invoer gegevens (N)'!$C$17-'Invoer gegevens (N)'!$C$16)</f>
        <v>0</v>
      </c>
      <c r="AZ178" s="68">
        <f ca="1">IF(E178-'Invoer gegevens (N)'!$C$17-14.5&lt;0,0,E178-'Invoer gegevens (N)'!$C$17-14.5)</f>
        <v>158.5</v>
      </c>
    </row>
    <row r="179" spans="1:52" x14ac:dyDescent="0.25">
      <c r="A179" s="59"/>
      <c r="B179" s="70">
        <f t="shared" si="31"/>
        <v>175</v>
      </c>
      <c r="C179" s="67">
        <f ca="1">IF(E179-'Invoer gegevens (N)'!$C$17&lt;0,0,1)</f>
        <v>1</v>
      </c>
      <c r="D179" s="68">
        <f t="shared" si="32"/>
        <v>174.5</v>
      </c>
      <c r="E179" s="69">
        <f ca="1">IF('Invoer gegevens (N)'!$C$16="","",E178+1)</f>
        <v>2193</v>
      </c>
      <c r="F179" s="84">
        <f ca="1">IF('Invoer gegevens (N)'!$C$17=E179,'Invoer gegevens (N)'!$C$10,IF(C179=1,K178,0))</f>
        <v>0</v>
      </c>
      <c r="G179" s="96">
        <f ca="1">IF(C179&gt;=1,F179*VLOOKUP(E179,'Reeksen (N)'!$A$5:$B$76,2),0)</f>
        <v>0</v>
      </c>
      <c r="H179" s="84">
        <f ca="1">(1-('Invoer gegevens (N)'!$F$20/12))*F179*MIN('Reeksen (N)'!B179,'Reeksen (N)'!D179)</f>
        <v>0</v>
      </c>
      <c r="I179" s="84">
        <f>IF('Reeksen (N)'!D179&lt;'Reeksen (N)'!B179,('Reeksen (N)'!B179-'Reeksen (N)'!D179)*F179,0)</f>
        <v>0</v>
      </c>
      <c r="J179" s="84">
        <f ca="1">('Invoer gegevens (N)'!$F$20/12)*F178*MIN('Reeksen (N)'!B178,'Reeksen (N)'!D178)</f>
        <v>0</v>
      </c>
      <c r="K179" s="97">
        <f t="shared" ca="1" si="22"/>
        <v>0</v>
      </c>
      <c r="L179" s="84">
        <f ca="1">IF('Invoer gegevens (N)'!$C$17=E179,0,IF(C179=1,Q178,0))</f>
        <v>0</v>
      </c>
      <c r="M179" s="96">
        <f ca="1">IF(C179&gt;=1,L179*VLOOKUP(E179,'Reeksen (N)'!$A$5:$B$76,2),0)</f>
        <v>0</v>
      </c>
      <c r="N179" s="84">
        <f ca="1">(1-('Invoer gegevens (N)'!$F$20/12))*L179*MIN('Reeksen (N)'!B179,'Reeksen (N)'!D179)</f>
        <v>0</v>
      </c>
      <c r="O179" s="84">
        <f>IF('Reeksen (N)'!D179&lt;'Reeksen (N)'!B179,('Reeksen (N)'!B179-'Reeksen (N)'!D179)*L179,0)</f>
        <v>0</v>
      </c>
      <c r="P179" s="84">
        <f ca="1">('Invoer gegevens (N)'!$F$20/12)*L178*MIN('Reeksen (N)'!B178,'Reeksen (N)'!D178)</f>
        <v>0</v>
      </c>
      <c r="Q179" s="84">
        <f t="shared" ca="1" si="23"/>
        <v>0</v>
      </c>
      <c r="R179" s="82">
        <f ca="1">IF('Invoer gegevens (N)'!$C$17=E179,'Invoer gegevens (N)'!$C$11,IF(C179=1,W178,0))</f>
        <v>0</v>
      </c>
      <c r="S179" s="86">
        <f ca="1">IF(C179&gt;=1,R179*VLOOKUP(E179,'Reeksen (N)'!$A$5:$B$76,2),0)</f>
        <v>0</v>
      </c>
      <c r="T179" s="84">
        <f ca="1">(1-('Invoer gegevens (N)'!$F$20/12))*R179*MIN('Reeksen (N)'!B179,'Reeksen (N)'!D179)</f>
        <v>0</v>
      </c>
      <c r="U179" s="84">
        <f>IF('Reeksen (N)'!D179&gt;='Reeksen (N)'!B179,0,IF('Reeksen (N)'!AD179&lt;='Reeksen (N)'!AE179,('Reeksen (N)'!B179-'Reeksen (N)'!D179)*R179,0))</f>
        <v>0</v>
      </c>
      <c r="V179" s="86">
        <f>IF('Reeksen (N)'!D179&gt;='Reeksen (N)'!B179,0,IF('Reeksen (N)'!AD179&gt;'Reeksen (N)'!AE179,('Reeksen (N)'!B179-'Reeksen (N)'!D179)*R179,0))</f>
        <v>0</v>
      </c>
      <c r="W179" s="97">
        <f t="shared" ca="1" si="24"/>
        <v>0</v>
      </c>
      <c r="X179" s="98">
        <f ca="1">IF('Invoer gegevens (N)'!$C$17=E179,'Invoer gegevens (N)'!$C$10-'Invoer gegevens (N)'!$C$11,IF(C179=1,AC178,0))</f>
        <v>0</v>
      </c>
      <c r="Y179" s="98">
        <f ca="1">IF(C179&gt;=1,X179*VLOOKUP(E179,'Reeksen (N)'!$A$5:$B$76,2),0)</f>
        <v>0</v>
      </c>
      <c r="Z179" s="98">
        <f ca="1">(1-('Invoer gegevens (N)'!$F$20/12))*X179*MIN('Reeksen (N)'!B179,'Reeksen (N)'!D179)</f>
        <v>0</v>
      </c>
      <c r="AA179" s="98">
        <f>IF('Reeksen (N)'!D179&gt;='Reeksen (N)'!B179,0,IF('Reeksen (N)'!AD179&lt;='Reeksen (N)'!AE179,('Reeksen (N)'!B179-'Reeksen (N)'!D179)*X179,0))</f>
        <v>0</v>
      </c>
      <c r="AB179" s="98">
        <f>IF('Reeksen (N)'!D179&gt;='Reeksen (N)'!B179,0,IF('Reeksen (N)'!AD179&gt;'Reeksen (N)'!AE179,('Reeksen (N)'!B179-'Reeksen (N)'!D179)*X179,0))</f>
        <v>0</v>
      </c>
      <c r="AC179" s="99">
        <f t="shared" ca="1" si="25"/>
        <v>0</v>
      </c>
      <c r="AD179" s="98">
        <f ca="1">IF('Invoer gegevens (N)'!$C$17=E179,R179,IF(C179=0,0,AE178))</f>
        <v>0</v>
      </c>
      <c r="AE179" s="98">
        <f t="shared" ca="1" si="26"/>
        <v>0</v>
      </c>
      <c r="AF179" s="98">
        <f ca="1">IF('Invoer gegevens (N)'!$C$17=E179,X179,IF(C179=0,0,AG178))</f>
        <v>0</v>
      </c>
      <c r="AG179" s="98">
        <f t="shared" ca="1" si="27"/>
        <v>0</v>
      </c>
      <c r="AH179" s="66"/>
      <c r="AI179" s="71">
        <f ca="1">IF(C179=1,'Reeksen (N)'!AI179*((F179-G179+F179)/2)*12+'Reeksen (N)'!AD179*((L179-M179+L179)/2)*12,0)</f>
        <v>0</v>
      </c>
      <c r="AJ179" s="71">
        <f ca="1">-AI179*'Invoer gegevens (N)'!$F$28</f>
        <v>0</v>
      </c>
      <c r="AK179" s="71">
        <f t="shared" ca="1" si="28"/>
        <v>0</v>
      </c>
      <c r="AL179" s="71">
        <f ca="1">IF(C179=1,'Reeksen (N)'!AL179*((F179-G179+F179)/2)*12+'Reeksen (N)'!AM179*((L179-M179+L179)/2)*12,0)</f>
        <v>0</v>
      </c>
      <c r="AM179" s="71">
        <f ca="1">-AL179*'Invoer gegevens (N)'!$F$31</f>
        <v>0</v>
      </c>
      <c r="AN179" s="71">
        <f t="shared" ca="1" si="29"/>
        <v>0</v>
      </c>
      <c r="AO179" s="71">
        <f ca="1">IF(C179=1,(H179+J179+N179+P179)*'Reeksen (N)'!AN179,0)</f>
        <v>0</v>
      </c>
      <c r="AP179" s="71">
        <f ca="1">-IF(C179=1,(H179+J179+N179+P179)*'Hulp - basis'!$O$550*'Reeksen (N)'!H179,0)</f>
        <v>0</v>
      </c>
      <c r="AQ179" s="71">
        <f ca="1">-IF(C179=1,(F179+K179+L179+Q179)/2*'Invoer gegevens (N)'!$F$35*'Reeksen (N)'!J179,0)*2</f>
        <v>0</v>
      </c>
      <c r="AR179" s="71"/>
      <c r="AS179" s="71">
        <f ca="1">-IF(C179=1,(F179+K179+L179+Q179)/2*'Invoer gegevens (N)'!$F$37*'Reeksen (N)'!L179,0)</f>
        <v>0</v>
      </c>
      <c r="AT179" s="71">
        <f ca="1">-IF(C179=1,IF(E179='Invoer gegevens (N)'!$C$17,'Invoer gegevens (N)'!$C$11,AD179)*'Reeksen (N)'!S179*'Invoer gegevens (N)'!$C$18*'Reeksen (N)'!P179,0)</f>
        <v>0</v>
      </c>
      <c r="AU179" s="71">
        <f ca="1">-IF(C179=1,(F179+K179+L179+Q179)/2*'Invoer gegevens (N)'!$F$38*'Reeksen (N)'!H179,0)</f>
        <v>0</v>
      </c>
      <c r="AV179" s="71">
        <v>0</v>
      </c>
      <c r="AW179" s="71">
        <f t="shared" ca="1" si="30"/>
        <v>0</v>
      </c>
      <c r="AX179" s="71">
        <f ca="1">IF(E179&lt;'Invoer gegevens (N)'!$C$17+15,0,IF(E179&gt;'Invoer gegevens (N)'!$C$17+215,0,AW179))</f>
        <v>0</v>
      </c>
      <c r="AY179" s="71">
        <f ca="1">AX179/(1+'Invoer gegevens (N)'!$F$18)^($AZ179-('Invoer gegevens (N)'!$C$17-'Invoer gegevens (N)'!$C$16))/(1+'Invoer gegevens (N)'!$C$39)^('Invoer gegevens (N)'!$C$17-'Invoer gegevens (N)'!$C$16)</f>
        <v>0</v>
      </c>
      <c r="AZ179" s="68">
        <f ca="1">IF(E179-'Invoer gegevens (N)'!$C$17-14.5&lt;0,0,E179-'Invoer gegevens (N)'!$C$17-14.5)</f>
        <v>159.5</v>
      </c>
    </row>
    <row r="180" spans="1:52" x14ac:dyDescent="0.25">
      <c r="A180" s="59"/>
      <c r="B180" s="70">
        <f t="shared" si="31"/>
        <v>176</v>
      </c>
      <c r="C180" s="67">
        <f ca="1">IF(E180-'Invoer gegevens (N)'!$C$17&lt;0,0,1)</f>
        <v>1</v>
      </c>
      <c r="D180" s="68">
        <f t="shared" si="32"/>
        <v>175.5</v>
      </c>
      <c r="E180" s="69">
        <f ca="1">IF('Invoer gegevens (N)'!$C$16="","",E179+1)</f>
        <v>2194</v>
      </c>
      <c r="F180" s="84">
        <f ca="1">IF('Invoer gegevens (N)'!$C$17=E180,'Invoer gegevens (N)'!$C$10,IF(C180=1,K179,0))</f>
        <v>0</v>
      </c>
      <c r="G180" s="96">
        <f ca="1">IF(C180&gt;=1,F180*VLOOKUP(E180,'Reeksen (N)'!$A$5:$B$76,2),0)</f>
        <v>0</v>
      </c>
      <c r="H180" s="84">
        <f ca="1">(1-('Invoer gegevens (N)'!$F$20/12))*F180*MIN('Reeksen (N)'!B180,'Reeksen (N)'!D180)</f>
        <v>0</v>
      </c>
      <c r="I180" s="84">
        <f>IF('Reeksen (N)'!D180&lt;'Reeksen (N)'!B180,('Reeksen (N)'!B180-'Reeksen (N)'!D180)*F180,0)</f>
        <v>0</v>
      </c>
      <c r="J180" s="84">
        <f ca="1">('Invoer gegevens (N)'!$F$20/12)*F179*MIN('Reeksen (N)'!B179,'Reeksen (N)'!D179)</f>
        <v>0</v>
      </c>
      <c r="K180" s="97">
        <f t="shared" ca="1" si="22"/>
        <v>0</v>
      </c>
      <c r="L180" s="84">
        <f ca="1">IF('Invoer gegevens (N)'!$C$17=E180,0,IF(C180=1,Q179,0))</f>
        <v>0</v>
      </c>
      <c r="M180" s="96">
        <f ca="1">IF(C180&gt;=1,L180*VLOOKUP(E180,'Reeksen (N)'!$A$5:$B$76,2),0)</f>
        <v>0</v>
      </c>
      <c r="N180" s="84">
        <f ca="1">(1-('Invoer gegevens (N)'!$F$20/12))*L180*MIN('Reeksen (N)'!B180,'Reeksen (N)'!D180)</f>
        <v>0</v>
      </c>
      <c r="O180" s="84">
        <f>IF('Reeksen (N)'!D180&lt;'Reeksen (N)'!B180,('Reeksen (N)'!B180-'Reeksen (N)'!D180)*L180,0)</f>
        <v>0</v>
      </c>
      <c r="P180" s="84">
        <f ca="1">('Invoer gegevens (N)'!$F$20/12)*L179*MIN('Reeksen (N)'!B179,'Reeksen (N)'!D179)</f>
        <v>0</v>
      </c>
      <c r="Q180" s="84">
        <f t="shared" ca="1" si="23"/>
        <v>0</v>
      </c>
      <c r="R180" s="82">
        <f ca="1">IF('Invoer gegevens (N)'!$C$17=E180,'Invoer gegevens (N)'!$C$11,IF(C180=1,W179,0))</f>
        <v>0</v>
      </c>
      <c r="S180" s="86">
        <f ca="1">IF(C180&gt;=1,R180*VLOOKUP(E180,'Reeksen (N)'!$A$5:$B$76,2),0)</f>
        <v>0</v>
      </c>
      <c r="T180" s="84">
        <f ca="1">(1-('Invoer gegevens (N)'!$F$20/12))*R180*MIN('Reeksen (N)'!B180,'Reeksen (N)'!D180)</f>
        <v>0</v>
      </c>
      <c r="U180" s="84">
        <f>IF('Reeksen (N)'!D180&gt;='Reeksen (N)'!B180,0,IF('Reeksen (N)'!AD180&lt;='Reeksen (N)'!AE180,('Reeksen (N)'!B180-'Reeksen (N)'!D180)*R180,0))</f>
        <v>0</v>
      </c>
      <c r="V180" s="86">
        <f>IF('Reeksen (N)'!D180&gt;='Reeksen (N)'!B180,0,IF('Reeksen (N)'!AD180&gt;'Reeksen (N)'!AE180,('Reeksen (N)'!B180-'Reeksen (N)'!D180)*R180,0))</f>
        <v>0</v>
      </c>
      <c r="W180" s="97">
        <f t="shared" ca="1" si="24"/>
        <v>0</v>
      </c>
      <c r="X180" s="98">
        <f ca="1">IF('Invoer gegevens (N)'!$C$17=E180,'Invoer gegevens (N)'!$C$10-'Invoer gegevens (N)'!$C$11,IF(C180=1,AC179,0))</f>
        <v>0</v>
      </c>
      <c r="Y180" s="98">
        <f ca="1">IF(C180&gt;=1,X180*VLOOKUP(E180,'Reeksen (N)'!$A$5:$B$76,2),0)</f>
        <v>0</v>
      </c>
      <c r="Z180" s="98">
        <f ca="1">(1-('Invoer gegevens (N)'!$F$20/12))*X180*MIN('Reeksen (N)'!B180,'Reeksen (N)'!D180)</f>
        <v>0</v>
      </c>
      <c r="AA180" s="98">
        <f>IF('Reeksen (N)'!D180&gt;='Reeksen (N)'!B180,0,IF('Reeksen (N)'!AD180&lt;='Reeksen (N)'!AE180,('Reeksen (N)'!B180-'Reeksen (N)'!D180)*X180,0))</f>
        <v>0</v>
      </c>
      <c r="AB180" s="98">
        <f>IF('Reeksen (N)'!D180&gt;='Reeksen (N)'!B180,0,IF('Reeksen (N)'!AD180&gt;'Reeksen (N)'!AE180,('Reeksen (N)'!B180-'Reeksen (N)'!D180)*X180,0))</f>
        <v>0</v>
      </c>
      <c r="AC180" s="99">
        <f t="shared" ca="1" si="25"/>
        <v>0</v>
      </c>
      <c r="AD180" s="98">
        <f ca="1">IF('Invoer gegevens (N)'!$C$17=E180,R180,IF(C180=0,0,AE179))</f>
        <v>0</v>
      </c>
      <c r="AE180" s="98">
        <f t="shared" ca="1" si="26"/>
        <v>0</v>
      </c>
      <c r="AF180" s="98">
        <f ca="1">IF('Invoer gegevens (N)'!$C$17=E180,X180,IF(C180=0,0,AG179))</f>
        <v>0</v>
      </c>
      <c r="AG180" s="98">
        <f t="shared" ca="1" si="27"/>
        <v>0</v>
      </c>
      <c r="AH180" s="66"/>
      <c r="AI180" s="71">
        <f ca="1">IF(C180=1,'Reeksen (N)'!AI180*((F180-G180+F180)/2)*12+'Reeksen (N)'!AD180*((L180-M180+L180)/2)*12,0)</f>
        <v>0</v>
      </c>
      <c r="AJ180" s="71">
        <f ca="1">-AI180*'Invoer gegevens (N)'!$F$28</f>
        <v>0</v>
      </c>
      <c r="AK180" s="71">
        <f t="shared" ca="1" si="28"/>
        <v>0</v>
      </c>
      <c r="AL180" s="71">
        <f ca="1">IF(C180=1,'Reeksen (N)'!AL180*((F180-G180+F180)/2)*12+'Reeksen (N)'!AM180*((L180-M180+L180)/2)*12,0)</f>
        <v>0</v>
      </c>
      <c r="AM180" s="71">
        <f ca="1">-AL180*'Invoer gegevens (N)'!$F$31</f>
        <v>0</v>
      </c>
      <c r="AN180" s="71">
        <f t="shared" ca="1" si="29"/>
        <v>0</v>
      </c>
      <c r="AO180" s="71">
        <f ca="1">IF(C180=1,(H180+J180+N180+P180)*'Reeksen (N)'!AN180,0)</f>
        <v>0</v>
      </c>
      <c r="AP180" s="71">
        <f ca="1">-IF(C180=1,(H180+J180+N180+P180)*'Hulp - basis'!$O$550*'Reeksen (N)'!H180,0)</f>
        <v>0</v>
      </c>
      <c r="AQ180" s="71">
        <f ca="1">-IF(C180=1,(F180+K180+L180+Q180)/2*'Invoer gegevens (N)'!$F$35*'Reeksen (N)'!J180,0)*2</f>
        <v>0</v>
      </c>
      <c r="AR180" s="71"/>
      <c r="AS180" s="71">
        <f ca="1">-IF(C180=1,(F180+K180+L180+Q180)/2*'Invoer gegevens (N)'!$F$37*'Reeksen (N)'!L180,0)</f>
        <v>0</v>
      </c>
      <c r="AT180" s="71">
        <f ca="1">-IF(C180=1,IF(E180='Invoer gegevens (N)'!$C$17,'Invoer gegevens (N)'!$C$11,AD180)*'Reeksen (N)'!S180*'Invoer gegevens (N)'!$C$18*'Reeksen (N)'!P180,0)</f>
        <v>0</v>
      </c>
      <c r="AU180" s="71">
        <f ca="1">-IF(C180=1,(F180+K180+L180+Q180)/2*'Invoer gegevens (N)'!$F$38*'Reeksen (N)'!H180,0)</f>
        <v>0</v>
      </c>
      <c r="AV180" s="71">
        <v>0</v>
      </c>
      <c r="AW180" s="71">
        <f t="shared" ca="1" si="30"/>
        <v>0</v>
      </c>
      <c r="AX180" s="71">
        <f ca="1">IF(E180&lt;'Invoer gegevens (N)'!$C$17+15,0,IF(E180&gt;'Invoer gegevens (N)'!$C$17+215,0,AW180))</f>
        <v>0</v>
      </c>
      <c r="AY180" s="71">
        <f ca="1">AX180/(1+'Invoer gegevens (N)'!$F$18)^($AZ180-('Invoer gegevens (N)'!$C$17-'Invoer gegevens (N)'!$C$16))/(1+'Invoer gegevens (N)'!$C$39)^('Invoer gegevens (N)'!$C$17-'Invoer gegevens (N)'!$C$16)</f>
        <v>0</v>
      </c>
      <c r="AZ180" s="68">
        <f ca="1">IF(E180-'Invoer gegevens (N)'!$C$17-14.5&lt;0,0,E180-'Invoer gegevens (N)'!$C$17-14.5)</f>
        <v>160.5</v>
      </c>
    </row>
    <row r="181" spans="1:52" x14ac:dyDescent="0.25">
      <c r="A181" s="59"/>
      <c r="B181" s="70">
        <f t="shared" si="31"/>
        <v>177</v>
      </c>
      <c r="C181" s="67">
        <f ca="1">IF(E181-'Invoer gegevens (N)'!$C$17&lt;0,0,1)</f>
        <v>1</v>
      </c>
      <c r="D181" s="68">
        <f t="shared" si="32"/>
        <v>176.5</v>
      </c>
      <c r="E181" s="69">
        <f ca="1">IF('Invoer gegevens (N)'!$C$16="","",E180+1)</f>
        <v>2195</v>
      </c>
      <c r="F181" s="84">
        <f ca="1">IF('Invoer gegevens (N)'!$C$17=E181,'Invoer gegevens (N)'!$C$10,IF(C181=1,K180,0))</f>
        <v>0</v>
      </c>
      <c r="G181" s="96">
        <f ca="1">IF(C181&gt;=1,F181*VLOOKUP(E181,'Reeksen (N)'!$A$5:$B$76,2),0)</f>
        <v>0</v>
      </c>
      <c r="H181" s="84">
        <f ca="1">(1-('Invoer gegevens (N)'!$F$20/12))*F181*MIN('Reeksen (N)'!B181,'Reeksen (N)'!D181)</f>
        <v>0</v>
      </c>
      <c r="I181" s="84">
        <f>IF('Reeksen (N)'!D181&lt;'Reeksen (N)'!B181,('Reeksen (N)'!B181-'Reeksen (N)'!D181)*F181,0)</f>
        <v>0</v>
      </c>
      <c r="J181" s="84">
        <f ca="1">('Invoer gegevens (N)'!$F$20/12)*F180*MIN('Reeksen (N)'!B180,'Reeksen (N)'!D180)</f>
        <v>0</v>
      </c>
      <c r="K181" s="97">
        <f t="shared" ca="1" si="22"/>
        <v>0</v>
      </c>
      <c r="L181" s="84">
        <f ca="1">IF('Invoer gegevens (N)'!$C$17=E181,0,IF(C181=1,Q180,0))</f>
        <v>0</v>
      </c>
      <c r="M181" s="96">
        <f ca="1">IF(C181&gt;=1,L181*VLOOKUP(E181,'Reeksen (N)'!$A$5:$B$76,2),0)</f>
        <v>0</v>
      </c>
      <c r="N181" s="84">
        <f ca="1">(1-('Invoer gegevens (N)'!$F$20/12))*L181*MIN('Reeksen (N)'!B181,'Reeksen (N)'!D181)</f>
        <v>0</v>
      </c>
      <c r="O181" s="84">
        <f>IF('Reeksen (N)'!D181&lt;'Reeksen (N)'!B181,('Reeksen (N)'!B181-'Reeksen (N)'!D181)*L181,0)</f>
        <v>0</v>
      </c>
      <c r="P181" s="84">
        <f ca="1">('Invoer gegevens (N)'!$F$20/12)*L180*MIN('Reeksen (N)'!B180,'Reeksen (N)'!D180)</f>
        <v>0</v>
      </c>
      <c r="Q181" s="84">
        <f t="shared" ca="1" si="23"/>
        <v>0</v>
      </c>
      <c r="R181" s="82">
        <f ca="1">IF('Invoer gegevens (N)'!$C$17=E181,'Invoer gegevens (N)'!$C$11,IF(C181=1,W180,0))</f>
        <v>0</v>
      </c>
      <c r="S181" s="86">
        <f ca="1">IF(C181&gt;=1,R181*VLOOKUP(E181,'Reeksen (N)'!$A$5:$B$76,2),0)</f>
        <v>0</v>
      </c>
      <c r="T181" s="84">
        <f ca="1">(1-('Invoer gegevens (N)'!$F$20/12))*R181*MIN('Reeksen (N)'!B181,'Reeksen (N)'!D181)</f>
        <v>0</v>
      </c>
      <c r="U181" s="84">
        <f>IF('Reeksen (N)'!D181&gt;='Reeksen (N)'!B181,0,IF('Reeksen (N)'!AD181&lt;='Reeksen (N)'!AE181,('Reeksen (N)'!B181-'Reeksen (N)'!D181)*R181,0))</f>
        <v>0</v>
      </c>
      <c r="V181" s="86">
        <f>IF('Reeksen (N)'!D181&gt;='Reeksen (N)'!B181,0,IF('Reeksen (N)'!AD181&gt;'Reeksen (N)'!AE181,('Reeksen (N)'!B181-'Reeksen (N)'!D181)*R181,0))</f>
        <v>0</v>
      </c>
      <c r="W181" s="97">
        <f t="shared" ca="1" si="24"/>
        <v>0</v>
      </c>
      <c r="X181" s="98">
        <f ca="1">IF('Invoer gegevens (N)'!$C$17=E181,'Invoer gegevens (N)'!$C$10-'Invoer gegevens (N)'!$C$11,IF(C181=1,AC180,0))</f>
        <v>0</v>
      </c>
      <c r="Y181" s="98">
        <f ca="1">IF(C181&gt;=1,X181*VLOOKUP(E181,'Reeksen (N)'!$A$5:$B$76,2),0)</f>
        <v>0</v>
      </c>
      <c r="Z181" s="98">
        <f ca="1">(1-('Invoer gegevens (N)'!$F$20/12))*X181*MIN('Reeksen (N)'!B181,'Reeksen (N)'!D181)</f>
        <v>0</v>
      </c>
      <c r="AA181" s="98">
        <f>IF('Reeksen (N)'!D181&gt;='Reeksen (N)'!B181,0,IF('Reeksen (N)'!AD181&lt;='Reeksen (N)'!AE181,('Reeksen (N)'!B181-'Reeksen (N)'!D181)*X181,0))</f>
        <v>0</v>
      </c>
      <c r="AB181" s="98">
        <f>IF('Reeksen (N)'!D181&gt;='Reeksen (N)'!B181,0,IF('Reeksen (N)'!AD181&gt;'Reeksen (N)'!AE181,('Reeksen (N)'!B181-'Reeksen (N)'!D181)*X181,0))</f>
        <v>0</v>
      </c>
      <c r="AC181" s="99">
        <f t="shared" ca="1" si="25"/>
        <v>0</v>
      </c>
      <c r="AD181" s="98">
        <f ca="1">IF('Invoer gegevens (N)'!$C$17=E181,R181,IF(C181=0,0,AE180))</f>
        <v>0</v>
      </c>
      <c r="AE181" s="98">
        <f t="shared" ca="1" si="26"/>
        <v>0</v>
      </c>
      <c r="AF181" s="98">
        <f ca="1">IF('Invoer gegevens (N)'!$C$17=E181,X181,IF(C181=0,0,AG180))</f>
        <v>0</v>
      </c>
      <c r="AG181" s="98">
        <f t="shared" ca="1" si="27"/>
        <v>0</v>
      </c>
      <c r="AH181" s="66"/>
      <c r="AI181" s="71">
        <f ca="1">IF(C181=1,'Reeksen (N)'!AI181*((F181-G181+F181)/2)*12+'Reeksen (N)'!AD181*((L181-M181+L181)/2)*12,0)</f>
        <v>0</v>
      </c>
      <c r="AJ181" s="71">
        <f ca="1">-AI181*'Invoer gegevens (N)'!$F$28</f>
        <v>0</v>
      </c>
      <c r="AK181" s="71">
        <f t="shared" ca="1" si="28"/>
        <v>0</v>
      </c>
      <c r="AL181" s="71">
        <f ca="1">IF(C181=1,'Reeksen (N)'!AL181*((F181-G181+F181)/2)*12+'Reeksen (N)'!AM181*((L181-M181+L181)/2)*12,0)</f>
        <v>0</v>
      </c>
      <c r="AM181" s="71">
        <f ca="1">-AL181*'Invoer gegevens (N)'!$F$31</f>
        <v>0</v>
      </c>
      <c r="AN181" s="71">
        <f t="shared" ca="1" si="29"/>
        <v>0</v>
      </c>
      <c r="AO181" s="71">
        <f ca="1">IF(C181=1,(H181+J181+N181+P181)*'Reeksen (N)'!AN181,0)</f>
        <v>0</v>
      </c>
      <c r="AP181" s="71">
        <f ca="1">-IF(C181=1,(H181+J181+N181+P181)*'Hulp - basis'!$O$550*'Reeksen (N)'!H181,0)</f>
        <v>0</v>
      </c>
      <c r="AQ181" s="71">
        <f ca="1">-IF(C181=1,(F181+K181+L181+Q181)/2*'Invoer gegevens (N)'!$F$35*'Reeksen (N)'!J181,0)*2</f>
        <v>0</v>
      </c>
      <c r="AR181" s="71"/>
      <c r="AS181" s="71">
        <f ca="1">-IF(C181=1,(F181+K181+L181+Q181)/2*'Invoer gegevens (N)'!$F$37*'Reeksen (N)'!L181,0)</f>
        <v>0</v>
      </c>
      <c r="AT181" s="71">
        <f ca="1">-IF(C181=1,IF(E181='Invoer gegevens (N)'!$C$17,'Invoer gegevens (N)'!$C$11,AD181)*'Reeksen (N)'!S181*'Invoer gegevens (N)'!$C$18*'Reeksen (N)'!P181,0)</f>
        <v>0</v>
      </c>
      <c r="AU181" s="71">
        <f ca="1">-IF(C181=1,(F181+K181+L181+Q181)/2*'Invoer gegevens (N)'!$F$38*'Reeksen (N)'!H181,0)</f>
        <v>0</v>
      </c>
      <c r="AV181" s="71">
        <v>0</v>
      </c>
      <c r="AW181" s="71">
        <f t="shared" ca="1" si="30"/>
        <v>0</v>
      </c>
      <c r="AX181" s="71">
        <f ca="1">IF(E181&lt;'Invoer gegevens (N)'!$C$17+15,0,IF(E181&gt;'Invoer gegevens (N)'!$C$17+215,0,AW181))</f>
        <v>0</v>
      </c>
      <c r="AY181" s="71">
        <f ca="1">AX181/(1+'Invoer gegevens (N)'!$F$18)^($AZ181-('Invoer gegevens (N)'!$C$17-'Invoer gegevens (N)'!$C$16))/(1+'Invoer gegevens (N)'!$C$39)^('Invoer gegevens (N)'!$C$17-'Invoer gegevens (N)'!$C$16)</f>
        <v>0</v>
      </c>
      <c r="AZ181" s="68">
        <f ca="1">IF(E181-'Invoer gegevens (N)'!$C$17-14.5&lt;0,0,E181-'Invoer gegevens (N)'!$C$17-14.5)</f>
        <v>161.5</v>
      </c>
    </row>
    <row r="182" spans="1:52" x14ac:dyDescent="0.25">
      <c r="A182" s="59"/>
      <c r="B182" s="70">
        <f t="shared" si="31"/>
        <v>178</v>
      </c>
      <c r="C182" s="67">
        <f ca="1">IF(E182-'Invoer gegevens (N)'!$C$17&lt;0,0,1)</f>
        <v>1</v>
      </c>
      <c r="D182" s="68">
        <f t="shared" si="32"/>
        <v>177.5</v>
      </c>
      <c r="E182" s="69">
        <f ca="1">IF('Invoer gegevens (N)'!$C$16="","",E181+1)</f>
        <v>2196</v>
      </c>
      <c r="F182" s="84">
        <f ca="1">IF('Invoer gegevens (N)'!$C$17=E182,'Invoer gegevens (N)'!$C$10,IF(C182=1,K181,0))</f>
        <v>0</v>
      </c>
      <c r="G182" s="96">
        <f ca="1">IF(C182&gt;=1,F182*VLOOKUP(E182,'Reeksen (N)'!$A$5:$B$76,2),0)</f>
        <v>0</v>
      </c>
      <c r="H182" s="84">
        <f ca="1">(1-('Invoer gegevens (N)'!$F$20/12))*F182*MIN('Reeksen (N)'!B182,'Reeksen (N)'!D182)</f>
        <v>0</v>
      </c>
      <c r="I182" s="84">
        <f>IF('Reeksen (N)'!D182&lt;'Reeksen (N)'!B182,('Reeksen (N)'!B182-'Reeksen (N)'!D182)*F182,0)</f>
        <v>0</v>
      </c>
      <c r="J182" s="84">
        <f ca="1">('Invoer gegevens (N)'!$F$20/12)*F181*MIN('Reeksen (N)'!B181,'Reeksen (N)'!D181)</f>
        <v>0</v>
      </c>
      <c r="K182" s="97">
        <f t="shared" ca="1" si="22"/>
        <v>0</v>
      </c>
      <c r="L182" s="84">
        <f ca="1">IF('Invoer gegevens (N)'!$C$17=E182,0,IF(C182=1,Q181,0))</f>
        <v>0</v>
      </c>
      <c r="M182" s="96">
        <f ca="1">IF(C182&gt;=1,L182*VLOOKUP(E182,'Reeksen (N)'!$A$5:$B$76,2),0)</f>
        <v>0</v>
      </c>
      <c r="N182" s="84">
        <f ca="1">(1-('Invoer gegevens (N)'!$F$20/12))*L182*MIN('Reeksen (N)'!B182,'Reeksen (N)'!D182)</f>
        <v>0</v>
      </c>
      <c r="O182" s="84">
        <f>IF('Reeksen (N)'!D182&lt;'Reeksen (N)'!B182,('Reeksen (N)'!B182-'Reeksen (N)'!D182)*L182,0)</f>
        <v>0</v>
      </c>
      <c r="P182" s="84">
        <f ca="1">('Invoer gegevens (N)'!$F$20/12)*L181*MIN('Reeksen (N)'!B181,'Reeksen (N)'!D181)</f>
        <v>0</v>
      </c>
      <c r="Q182" s="84">
        <f t="shared" ca="1" si="23"/>
        <v>0</v>
      </c>
      <c r="R182" s="82">
        <f ca="1">IF('Invoer gegevens (N)'!$C$17=E182,'Invoer gegevens (N)'!$C$11,IF(C182=1,W181,0))</f>
        <v>0</v>
      </c>
      <c r="S182" s="86">
        <f ca="1">IF(C182&gt;=1,R182*VLOOKUP(E182,'Reeksen (N)'!$A$5:$B$76,2),0)</f>
        <v>0</v>
      </c>
      <c r="T182" s="84">
        <f ca="1">(1-('Invoer gegevens (N)'!$F$20/12))*R182*MIN('Reeksen (N)'!B182,'Reeksen (N)'!D182)</f>
        <v>0</v>
      </c>
      <c r="U182" s="84">
        <f>IF('Reeksen (N)'!D182&gt;='Reeksen (N)'!B182,0,IF('Reeksen (N)'!AD182&lt;='Reeksen (N)'!AE182,('Reeksen (N)'!B182-'Reeksen (N)'!D182)*R182,0))</f>
        <v>0</v>
      </c>
      <c r="V182" s="86">
        <f>IF('Reeksen (N)'!D182&gt;='Reeksen (N)'!B182,0,IF('Reeksen (N)'!AD182&gt;'Reeksen (N)'!AE182,('Reeksen (N)'!B182-'Reeksen (N)'!D182)*R182,0))</f>
        <v>0</v>
      </c>
      <c r="W182" s="97">
        <f t="shared" ca="1" si="24"/>
        <v>0</v>
      </c>
      <c r="X182" s="98">
        <f ca="1">IF('Invoer gegevens (N)'!$C$17=E182,'Invoer gegevens (N)'!$C$10-'Invoer gegevens (N)'!$C$11,IF(C182=1,AC181,0))</f>
        <v>0</v>
      </c>
      <c r="Y182" s="98">
        <f ca="1">IF(C182&gt;=1,X182*VLOOKUP(E182,'Reeksen (N)'!$A$5:$B$76,2),0)</f>
        <v>0</v>
      </c>
      <c r="Z182" s="98">
        <f ca="1">(1-('Invoer gegevens (N)'!$F$20/12))*X182*MIN('Reeksen (N)'!B182,'Reeksen (N)'!D182)</f>
        <v>0</v>
      </c>
      <c r="AA182" s="98">
        <f>IF('Reeksen (N)'!D182&gt;='Reeksen (N)'!B182,0,IF('Reeksen (N)'!AD182&lt;='Reeksen (N)'!AE182,('Reeksen (N)'!B182-'Reeksen (N)'!D182)*X182,0))</f>
        <v>0</v>
      </c>
      <c r="AB182" s="98">
        <f>IF('Reeksen (N)'!D182&gt;='Reeksen (N)'!B182,0,IF('Reeksen (N)'!AD182&gt;'Reeksen (N)'!AE182,('Reeksen (N)'!B182-'Reeksen (N)'!D182)*X182,0))</f>
        <v>0</v>
      </c>
      <c r="AC182" s="99">
        <f t="shared" ca="1" si="25"/>
        <v>0</v>
      </c>
      <c r="AD182" s="98">
        <f ca="1">IF('Invoer gegevens (N)'!$C$17=E182,R182,IF(C182=0,0,AE181))</f>
        <v>0</v>
      </c>
      <c r="AE182" s="98">
        <f t="shared" ca="1" si="26"/>
        <v>0</v>
      </c>
      <c r="AF182" s="98">
        <f ca="1">IF('Invoer gegevens (N)'!$C$17=E182,X182,IF(C182=0,0,AG181))</f>
        <v>0</v>
      </c>
      <c r="AG182" s="98">
        <f t="shared" ca="1" si="27"/>
        <v>0</v>
      </c>
      <c r="AH182" s="66"/>
      <c r="AI182" s="71">
        <f ca="1">IF(C182=1,'Reeksen (N)'!AI182*((F182-G182+F182)/2)*12+'Reeksen (N)'!AD182*((L182-M182+L182)/2)*12,0)</f>
        <v>0</v>
      </c>
      <c r="AJ182" s="71">
        <f ca="1">-AI182*'Invoer gegevens (N)'!$F$28</f>
        <v>0</v>
      </c>
      <c r="AK182" s="71">
        <f t="shared" ca="1" si="28"/>
        <v>0</v>
      </c>
      <c r="AL182" s="71">
        <f ca="1">IF(C182=1,'Reeksen (N)'!AL182*((F182-G182+F182)/2)*12+'Reeksen (N)'!AM182*((L182-M182+L182)/2)*12,0)</f>
        <v>0</v>
      </c>
      <c r="AM182" s="71">
        <f ca="1">-AL182*'Invoer gegevens (N)'!$F$31</f>
        <v>0</v>
      </c>
      <c r="AN182" s="71">
        <f t="shared" ca="1" si="29"/>
        <v>0</v>
      </c>
      <c r="AO182" s="71">
        <f ca="1">IF(C182=1,(H182+J182+N182+P182)*'Reeksen (N)'!AN182,0)</f>
        <v>0</v>
      </c>
      <c r="AP182" s="71">
        <f ca="1">-IF(C182=1,(H182+J182+N182+P182)*'Hulp - basis'!$O$550*'Reeksen (N)'!H182,0)</f>
        <v>0</v>
      </c>
      <c r="AQ182" s="71">
        <f ca="1">-IF(C182=1,(F182+K182+L182+Q182)/2*'Invoer gegevens (N)'!$F$35*'Reeksen (N)'!J182,0)*2</f>
        <v>0</v>
      </c>
      <c r="AR182" s="71"/>
      <c r="AS182" s="71">
        <f ca="1">-IF(C182=1,(F182+K182+L182+Q182)/2*'Invoer gegevens (N)'!$F$37*'Reeksen (N)'!L182,0)</f>
        <v>0</v>
      </c>
      <c r="AT182" s="71">
        <f ca="1">-IF(C182=1,IF(E182='Invoer gegevens (N)'!$C$17,'Invoer gegevens (N)'!$C$11,AD182)*'Reeksen (N)'!S182*'Invoer gegevens (N)'!$C$18*'Reeksen (N)'!P182,0)</f>
        <v>0</v>
      </c>
      <c r="AU182" s="71">
        <f ca="1">-IF(C182=1,(F182+K182+L182+Q182)/2*'Invoer gegevens (N)'!$F$38*'Reeksen (N)'!H182,0)</f>
        <v>0</v>
      </c>
      <c r="AV182" s="71">
        <v>0</v>
      </c>
      <c r="AW182" s="71">
        <f t="shared" ca="1" si="30"/>
        <v>0</v>
      </c>
      <c r="AX182" s="71">
        <f ca="1">IF(E182&lt;'Invoer gegevens (N)'!$C$17+15,0,IF(E182&gt;'Invoer gegevens (N)'!$C$17+215,0,AW182))</f>
        <v>0</v>
      </c>
      <c r="AY182" s="71">
        <f ca="1">AX182/(1+'Invoer gegevens (N)'!$F$18)^($AZ182-('Invoer gegevens (N)'!$C$17-'Invoer gegevens (N)'!$C$16))/(1+'Invoer gegevens (N)'!$C$39)^('Invoer gegevens (N)'!$C$17-'Invoer gegevens (N)'!$C$16)</f>
        <v>0</v>
      </c>
      <c r="AZ182" s="68">
        <f ca="1">IF(E182-'Invoer gegevens (N)'!$C$17-14.5&lt;0,0,E182-'Invoer gegevens (N)'!$C$17-14.5)</f>
        <v>162.5</v>
      </c>
    </row>
    <row r="183" spans="1:52" x14ac:dyDescent="0.25">
      <c r="A183" s="59"/>
      <c r="B183" s="70">
        <f t="shared" si="31"/>
        <v>179</v>
      </c>
      <c r="C183" s="67">
        <f ca="1">IF(E183-'Invoer gegevens (N)'!$C$17&lt;0,0,1)</f>
        <v>1</v>
      </c>
      <c r="D183" s="68">
        <f t="shared" si="32"/>
        <v>178.5</v>
      </c>
      <c r="E183" s="69">
        <f ca="1">IF('Invoer gegevens (N)'!$C$16="","",E182+1)</f>
        <v>2197</v>
      </c>
      <c r="F183" s="84">
        <f ca="1">IF('Invoer gegevens (N)'!$C$17=E183,'Invoer gegevens (N)'!$C$10,IF(C183=1,K182,0))</f>
        <v>0</v>
      </c>
      <c r="G183" s="96">
        <f ca="1">IF(C183&gt;=1,F183*VLOOKUP(E183,'Reeksen (N)'!$A$5:$B$76,2),0)</f>
        <v>0</v>
      </c>
      <c r="H183" s="84">
        <f ca="1">(1-('Invoer gegevens (N)'!$F$20/12))*F183*MIN('Reeksen (N)'!B183,'Reeksen (N)'!D183)</f>
        <v>0</v>
      </c>
      <c r="I183" s="84">
        <f>IF('Reeksen (N)'!D183&lt;'Reeksen (N)'!B183,('Reeksen (N)'!B183-'Reeksen (N)'!D183)*F183,0)</f>
        <v>0</v>
      </c>
      <c r="J183" s="84">
        <f ca="1">('Invoer gegevens (N)'!$F$20/12)*F182*MIN('Reeksen (N)'!B182,'Reeksen (N)'!D182)</f>
        <v>0</v>
      </c>
      <c r="K183" s="97">
        <f t="shared" ca="1" si="22"/>
        <v>0</v>
      </c>
      <c r="L183" s="84">
        <f ca="1">IF('Invoer gegevens (N)'!$C$17=E183,0,IF(C183=1,Q182,0))</f>
        <v>0</v>
      </c>
      <c r="M183" s="96">
        <f ca="1">IF(C183&gt;=1,L183*VLOOKUP(E183,'Reeksen (N)'!$A$5:$B$76,2),0)</f>
        <v>0</v>
      </c>
      <c r="N183" s="84">
        <f ca="1">(1-('Invoer gegevens (N)'!$F$20/12))*L183*MIN('Reeksen (N)'!B183,'Reeksen (N)'!D183)</f>
        <v>0</v>
      </c>
      <c r="O183" s="84">
        <f>IF('Reeksen (N)'!D183&lt;'Reeksen (N)'!B183,('Reeksen (N)'!B183-'Reeksen (N)'!D183)*L183,0)</f>
        <v>0</v>
      </c>
      <c r="P183" s="84">
        <f ca="1">('Invoer gegevens (N)'!$F$20/12)*L182*MIN('Reeksen (N)'!B182,'Reeksen (N)'!D182)</f>
        <v>0</v>
      </c>
      <c r="Q183" s="84">
        <f t="shared" ca="1" si="23"/>
        <v>0</v>
      </c>
      <c r="R183" s="82">
        <f ca="1">IF('Invoer gegevens (N)'!$C$17=E183,'Invoer gegevens (N)'!$C$11,IF(C183=1,W182,0))</f>
        <v>0</v>
      </c>
      <c r="S183" s="86">
        <f ca="1">IF(C183&gt;=1,R183*VLOOKUP(E183,'Reeksen (N)'!$A$5:$B$76,2),0)</f>
        <v>0</v>
      </c>
      <c r="T183" s="84">
        <f ca="1">(1-('Invoer gegevens (N)'!$F$20/12))*R183*MIN('Reeksen (N)'!B183,'Reeksen (N)'!D183)</f>
        <v>0</v>
      </c>
      <c r="U183" s="84">
        <f>IF('Reeksen (N)'!D183&gt;='Reeksen (N)'!B183,0,IF('Reeksen (N)'!AD183&lt;='Reeksen (N)'!AE183,('Reeksen (N)'!B183-'Reeksen (N)'!D183)*R183,0))</f>
        <v>0</v>
      </c>
      <c r="V183" s="86">
        <f>IF('Reeksen (N)'!D183&gt;='Reeksen (N)'!B183,0,IF('Reeksen (N)'!AD183&gt;'Reeksen (N)'!AE183,('Reeksen (N)'!B183-'Reeksen (N)'!D183)*R183,0))</f>
        <v>0</v>
      </c>
      <c r="W183" s="97">
        <f t="shared" ca="1" si="24"/>
        <v>0</v>
      </c>
      <c r="X183" s="98">
        <f ca="1">IF('Invoer gegevens (N)'!$C$17=E183,'Invoer gegevens (N)'!$C$10-'Invoer gegevens (N)'!$C$11,IF(C183=1,AC182,0))</f>
        <v>0</v>
      </c>
      <c r="Y183" s="98">
        <f ca="1">IF(C183&gt;=1,X183*VLOOKUP(E183,'Reeksen (N)'!$A$5:$B$76,2),0)</f>
        <v>0</v>
      </c>
      <c r="Z183" s="98">
        <f ca="1">(1-('Invoer gegevens (N)'!$F$20/12))*X183*MIN('Reeksen (N)'!B183,'Reeksen (N)'!D183)</f>
        <v>0</v>
      </c>
      <c r="AA183" s="98">
        <f>IF('Reeksen (N)'!D183&gt;='Reeksen (N)'!B183,0,IF('Reeksen (N)'!AD183&lt;='Reeksen (N)'!AE183,('Reeksen (N)'!B183-'Reeksen (N)'!D183)*X183,0))</f>
        <v>0</v>
      </c>
      <c r="AB183" s="98">
        <f>IF('Reeksen (N)'!D183&gt;='Reeksen (N)'!B183,0,IF('Reeksen (N)'!AD183&gt;'Reeksen (N)'!AE183,('Reeksen (N)'!B183-'Reeksen (N)'!D183)*X183,0))</f>
        <v>0</v>
      </c>
      <c r="AC183" s="99">
        <f t="shared" ca="1" si="25"/>
        <v>0</v>
      </c>
      <c r="AD183" s="98">
        <f ca="1">IF('Invoer gegevens (N)'!$C$17=E183,R183,IF(C183=0,0,AE182))</f>
        <v>0</v>
      </c>
      <c r="AE183" s="98">
        <f t="shared" ca="1" si="26"/>
        <v>0</v>
      </c>
      <c r="AF183" s="98">
        <f ca="1">IF('Invoer gegevens (N)'!$C$17=E183,X183,IF(C183=0,0,AG182))</f>
        <v>0</v>
      </c>
      <c r="AG183" s="98">
        <f t="shared" ca="1" si="27"/>
        <v>0</v>
      </c>
      <c r="AH183" s="66"/>
      <c r="AI183" s="71">
        <f ca="1">IF(C183=1,'Reeksen (N)'!AI183*((F183-G183+F183)/2)*12+'Reeksen (N)'!AD183*((L183-M183+L183)/2)*12,0)</f>
        <v>0</v>
      </c>
      <c r="AJ183" s="71">
        <f ca="1">-AI183*'Invoer gegevens (N)'!$F$28</f>
        <v>0</v>
      </c>
      <c r="AK183" s="71">
        <f t="shared" ca="1" si="28"/>
        <v>0</v>
      </c>
      <c r="AL183" s="71">
        <f ca="1">IF(C183=1,'Reeksen (N)'!AL183*((F183-G183+F183)/2)*12+'Reeksen (N)'!AM183*((L183-M183+L183)/2)*12,0)</f>
        <v>0</v>
      </c>
      <c r="AM183" s="71">
        <f ca="1">-AL183*'Invoer gegevens (N)'!$F$31</f>
        <v>0</v>
      </c>
      <c r="AN183" s="71">
        <f t="shared" ca="1" si="29"/>
        <v>0</v>
      </c>
      <c r="AO183" s="71">
        <f ca="1">IF(C183=1,(H183+J183+N183+P183)*'Reeksen (N)'!AN183,0)</f>
        <v>0</v>
      </c>
      <c r="AP183" s="71">
        <f ca="1">-IF(C183=1,(H183+J183+N183+P183)*'Hulp - basis'!$O$550*'Reeksen (N)'!H183,0)</f>
        <v>0</v>
      </c>
      <c r="AQ183" s="71">
        <f ca="1">-IF(C183=1,(F183+K183+L183+Q183)/2*'Invoer gegevens (N)'!$F$35*'Reeksen (N)'!J183,0)*2</f>
        <v>0</v>
      </c>
      <c r="AR183" s="71"/>
      <c r="AS183" s="71">
        <f ca="1">-IF(C183=1,(F183+K183+L183+Q183)/2*'Invoer gegevens (N)'!$F$37*'Reeksen (N)'!L183,0)</f>
        <v>0</v>
      </c>
      <c r="AT183" s="71">
        <f ca="1">-IF(C183=1,IF(E183='Invoer gegevens (N)'!$C$17,'Invoer gegevens (N)'!$C$11,AD183)*'Reeksen (N)'!S183*'Invoer gegevens (N)'!$C$18*'Reeksen (N)'!P183,0)</f>
        <v>0</v>
      </c>
      <c r="AU183" s="71">
        <f ca="1">-IF(C183=1,(F183+K183+L183+Q183)/2*'Invoer gegevens (N)'!$F$38*'Reeksen (N)'!H183,0)</f>
        <v>0</v>
      </c>
      <c r="AV183" s="71">
        <v>0</v>
      </c>
      <c r="AW183" s="71">
        <f t="shared" ca="1" si="30"/>
        <v>0</v>
      </c>
      <c r="AX183" s="71">
        <f ca="1">IF(E183&lt;'Invoer gegevens (N)'!$C$17+15,0,IF(E183&gt;'Invoer gegevens (N)'!$C$17+215,0,AW183))</f>
        <v>0</v>
      </c>
      <c r="AY183" s="71">
        <f ca="1">AX183/(1+'Invoer gegevens (N)'!$F$18)^($AZ183-('Invoer gegevens (N)'!$C$17-'Invoer gegevens (N)'!$C$16))/(1+'Invoer gegevens (N)'!$C$39)^('Invoer gegevens (N)'!$C$17-'Invoer gegevens (N)'!$C$16)</f>
        <v>0</v>
      </c>
      <c r="AZ183" s="68">
        <f ca="1">IF(E183-'Invoer gegevens (N)'!$C$17-14.5&lt;0,0,E183-'Invoer gegevens (N)'!$C$17-14.5)</f>
        <v>163.5</v>
      </c>
    </row>
    <row r="184" spans="1:52" x14ac:dyDescent="0.25">
      <c r="A184" s="59"/>
      <c r="B184" s="70">
        <f t="shared" si="31"/>
        <v>180</v>
      </c>
      <c r="C184" s="67">
        <f ca="1">IF(E184-'Invoer gegevens (N)'!$C$17&lt;0,0,1)</f>
        <v>1</v>
      </c>
      <c r="D184" s="68">
        <f t="shared" si="32"/>
        <v>179.5</v>
      </c>
      <c r="E184" s="69">
        <f ca="1">IF('Invoer gegevens (N)'!$C$16="","",E183+1)</f>
        <v>2198</v>
      </c>
      <c r="F184" s="84">
        <f ca="1">IF('Invoer gegevens (N)'!$C$17=E184,'Invoer gegevens (N)'!$C$10,IF(C184=1,K183,0))</f>
        <v>0</v>
      </c>
      <c r="G184" s="96">
        <f ca="1">IF(C184&gt;=1,F184*VLOOKUP(E184,'Reeksen (N)'!$A$5:$B$76,2),0)</f>
        <v>0</v>
      </c>
      <c r="H184" s="84">
        <f ca="1">(1-('Invoer gegevens (N)'!$F$20/12))*F184*MIN('Reeksen (N)'!B184,'Reeksen (N)'!D184)</f>
        <v>0</v>
      </c>
      <c r="I184" s="84">
        <f>IF('Reeksen (N)'!D184&lt;'Reeksen (N)'!B184,('Reeksen (N)'!B184-'Reeksen (N)'!D184)*F184,0)</f>
        <v>0</v>
      </c>
      <c r="J184" s="84">
        <f ca="1">('Invoer gegevens (N)'!$F$20/12)*F183*MIN('Reeksen (N)'!B183,'Reeksen (N)'!D183)</f>
        <v>0</v>
      </c>
      <c r="K184" s="97">
        <f t="shared" ca="1" si="22"/>
        <v>0</v>
      </c>
      <c r="L184" s="84">
        <f ca="1">IF('Invoer gegevens (N)'!$C$17=E184,0,IF(C184=1,Q183,0))</f>
        <v>0</v>
      </c>
      <c r="M184" s="96">
        <f ca="1">IF(C184&gt;=1,L184*VLOOKUP(E184,'Reeksen (N)'!$A$5:$B$76,2),0)</f>
        <v>0</v>
      </c>
      <c r="N184" s="84">
        <f ca="1">(1-('Invoer gegevens (N)'!$F$20/12))*L184*MIN('Reeksen (N)'!B184,'Reeksen (N)'!D184)</f>
        <v>0</v>
      </c>
      <c r="O184" s="84">
        <f>IF('Reeksen (N)'!D184&lt;'Reeksen (N)'!B184,('Reeksen (N)'!B184-'Reeksen (N)'!D184)*L184,0)</f>
        <v>0</v>
      </c>
      <c r="P184" s="84">
        <f ca="1">('Invoer gegevens (N)'!$F$20/12)*L183*MIN('Reeksen (N)'!B183,'Reeksen (N)'!D183)</f>
        <v>0</v>
      </c>
      <c r="Q184" s="84">
        <f t="shared" ca="1" si="23"/>
        <v>0</v>
      </c>
      <c r="R184" s="82">
        <f ca="1">IF('Invoer gegevens (N)'!$C$17=E184,'Invoer gegevens (N)'!$C$11,IF(C184=1,W183,0))</f>
        <v>0</v>
      </c>
      <c r="S184" s="86">
        <f ca="1">IF(C184&gt;=1,R184*VLOOKUP(E184,'Reeksen (N)'!$A$5:$B$76,2),0)</f>
        <v>0</v>
      </c>
      <c r="T184" s="84">
        <f ca="1">(1-('Invoer gegevens (N)'!$F$20/12))*R184*MIN('Reeksen (N)'!B184,'Reeksen (N)'!D184)</f>
        <v>0</v>
      </c>
      <c r="U184" s="84">
        <f>IF('Reeksen (N)'!D184&gt;='Reeksen (N)'!B184,0,IF('Reeksen (N)'!AD184&lt;='Reeksen (N)'!AE184,('Reeksen (N)'!B184-'Reeksen (N)'!D184)*R184,0))</f>
        <v>0</v>
      </c>
      <c r="V184" s="86">
        <f>IF('Reeksen (N)'!D184&gt;='Reeksen (N)'!B184,0,IF('Reeksen (N)'!AD184&gt;'Reeksen (N)'!AE184,('Reeksen (N)'!B184-'Reeksen (N)'!D184)*R184,0))</f>
        <v>0</v>
      </c>
      <c r="W184" s="97">
        <f t="shared" ca="1" si="24"/>
        <v>0</v>
      </c>
      <c r="X184" s="98">
        <f ca="1">IF('Invoer gegevens (N)'!$C$17=E184,'Invoer gegevens (N)'!$C$10-'Invoer gegevens (N)'!$C$11,IF(C184=1,AC183,0))</f>
        <v>0</v>
      </c>
      <c r="Y184" s="98">
        <f ca="1">IF(C184&gt;=1,X184*VLOOKUP(E184,'Reeksen (N)'!$A$5:$B$76,2),0)</f>
        <v>0</v>
      </c>
      <c r="Z184" s="98">
        <f ca="1">(1-('Invoer gegevens (N)'!$F$20/12))*X184*MIN('Reeksen (N)'!B184,'Reeksen (N)'!D184)</f>
        <v>0</v>
      </c>
      <c r="AA184" s="98">
        <f>IF('Reeksen (N)'!D184&gt;='Reeksen (N)'!B184,0,IF('Reeksen (N)'!AD184&lt;='Reeksen (N)'!AE184,('Reeksen (N)'!B184-'Reeksen (N)'!D184)*X184,0))</f>
        <v>0</v>
      </c>
      <c r="AB184" s="98">
        <f>IF('Reeksen (N)'!D184&gt;='Reeksen (N)'!B184,0,IF('Reeksen (N)'!AD184&gt;'Reeksen (N)'!AE184,('Reeksen (N)'!B184-'Reeksen (N)'!D184)*X184,0))</f>
        <v>0</v>
      </c>
      <c r="AC184" s="99">
        <f t="shared" ca="1" si="25"/>
        <v>0</v>
      </c>
      <c r="AD184" s="98">
        <f ca="1">IF('Invoer gegevens (N)'!$C$17=E184,R184,IF(C184=0,0,AE183))</f>
        <v>0</v>
      </c>
      <c r="AE184" s="98">
        <f t="shared" ca="1" si="26"/>
        <v>0</v>
      </c>
      <c r="AF184" s="98">
        <f ca="1">IF('Invoer gegevens (N)'!$C$17=E184,X184,IF(C184=0,0,AG183))</f>
        <v>0</v>
      </c>
      <c r="AG184" s="98">
        <f t="shared" ca="1" si="27"/>
        <v>0</v>
      </c>
      <c r="AH184" s="66"/>
      <c r="AI184" s="71">
        <f ca="1">IF(C184=1,'Reeksen (N)'!AI184*((F184-G184+F184)/2)*12+'Reeksen (N)'!AD184*((L184-M184+L184)/2)*12,0)</f>
        <v>0</v>
      </c>
      <c r="AJ184" s="71">
        <f ca="1">-AI184*'Invoer gegevens (N)'!$F$28</f>
        <v>0</v>
      </c>
      <c r="AK184" s="71">
        <f t="shared" ca="1" si="28"/>
        <v>0</v>
      </c>
      <c r="AL184" s="71">
        <f ca="1">IF(C184=1,'Reeksen (N)'!AL184*((F184-G184+F184)/2)*12+'Reeksen (N)'!AM184*((L184-M184+L184)/2)*12,0)</f>
        <v>0</v>
      </c>
      <c r="AM184" s="71">
        <f ca="1">-AL184*'Invoer gegevens (N)'!$F$31</f>
        <v>0</v>
      </c>
      <c r="AN184" s="71">
        <f t="shared" ca="1" si="29"/>
        <v>0</v>
      </c>
      <c r="AO184" s="71">
        <f ca="1">IF(C184=1,(H184+J184+N184+P184)*'Reeksen (N)'!AN184,0)</f>
        <v>0</v>
      </c>
      <c r="AP184" s="71">
        <f ca="1">-IF(C184=1,(H184+J184+N184+P184)*'Hulp - basis'!$O$550*'Reeksen (N)'!H184,0)</f>
        <v>0</v>
      </c>
      <c r="AQ184" s="71">
        <f ca="1">-IF(C184=1,(F184+K184+L184+Q184)/2*'Invoer gegevens (N)'!$F$35*'Reeksen (N)'!J184,0)*2</f>
        <v>0</v>
      </c>
      <c r="AR184" s="71"/>
      <c r="AS184" s="71">
        <f ca="1">-IF(C184=1,(F184+K184+L184+Q184)/2*'Invoer gegevens (N)'!$F$37*'Reeksen (N)'!L184,0)</f>
        <v>0</v>
      </c>
      <c r="AT184" s="71">
        <f ca="1">-IF(C184=1,IF(E184='Invoer gegevens (N)'!$C$17,'Invoer gegevens (N)'!$C$11,AD184)*'Reeksen (N)'!S184*'Invoer gegevens (N)'!$C$18*'Reeksen (N)'!P184,0)</f>
        <v>0</v>
      </c>
      <c r="AU184" s="71">
        <f ca="1">-IF(C184=1,(F184+K184+L184+Q184)/2*'Invoer gegevens (N)'!$F$38*'Reeksen (N)'!H184,0)</f>
        <v>0</v>
      </c>
      <c r="AV184" s="71">
        <v>0</v>
      </c>
      <c r="AW184" s="71">
        <f t="shared" ca="1" si="30"/>
        <v>0</v>
      </c>
      <c r="AX184" s="71">
        <f ca="1">IF(E184&lt;'Invoer gegevens (N)'!$C$17+15,0,IF(E184&gt;'Invoer gegevens (N)'!$C$17+215,0,AW184))</f>
        <v>0</v>
      </c>
      <c r="AY184" s="71">
        <f ca="1">AX184/(1+'Invoer gegevens (N)'!$F$18)^($AZ184-('Invoer gegevens (N)'!$C$17-'Invoer gegevens (N)'!$C$16))/(1+'Invoer gegevens (N)'!$C$39)^('Invoer gegevens (N)'!$C$17-'Invoer gegevens (N)'!$C$16)</f>
        <v>0</v>
      </c>
      <c r="AZ184" s="68">
        <f ca="1">IF(E184-'Invoer gegevens (N)'!$C$17-14.5&lt;0,0,E184-'Invoer gegevens (N)'!$C$17-14.5)</f>
        <v>164.5</v>
      </c>
    </row>
    <row r="185" spans="1:52" x14ac:dyDescent="0.25">
      <c r="A185" s="59"/>
      <c r="B185" s="70">
        <f t="shared" si="31"/>
        <v>181</v>
      </c>
      <c r="C185" s="67">
        <f ca="1">IF(E185-'Invoer gegevens (N)'!$C$17&lt;0,0,1)</f>
        <v>1</v>
      </c>
      <c r="D185" s="68">
        <f t="shared" si="32"/>
        <v>180.5</v>
      </c>
      <c r="E185" s="69">
        <f ca="1">IF('Invoer gegevens (N)'!$C$16="","",E184+1)</f>
        <v>2199</v>
      </c>
      <c r="F185" s="84">
        <f ca="1">IF('Invoer gegevens (N)'!$C$17=E185,'Invoer gegevens (N)'!$C$10,IF(C185=1,K184,0))</f>
        <v>0</v>
      </c>
      <c r="G185" s="96">
        <f ca="1">IF(C185&gt;=1,F185*VLOOKUP(E185,'Reeksen (N)'!$A$5:$B$76,2),0)</f>
        <v>0</v>
      </c>
      <c r="H185" s="84">
        <f ca="1">(1-('Invoer gegevens (N)'!$F$20/12))*F185*MIN('Reeksen (N)'!B185,'Reeksen (N)'!D185)</f>
        <v>0</v>
      </c>
      <c r="I185" s="84">
        <f>IF('Reeksen (N)'!D185&lt;'Reeksen (N)'!B185,('Reeksen (N)'!B185-'Reeksen (N)'!D185)*F185,0)</f>
        <v>0</v>
      </c>
      <c r="J185" s="84">
        <f ca="1">('Invoer gegevens (N)'!$F$20/12)*F184*MIN('Reeksen (N)'!B184,'Reeksen (N)'!D184)</f>
        <v>0</v>
      </c>
      <c r="K185" s="97">
        <f t="shared" ca="1" si="22"/>
        <v>0</v>
      </c>
      <c r="L185" s="84">
        <f ca="1">IF('Invoer gegevens (N)'!$C$17=E185,0,IF(C185=1,Q184,0))</f>
        <v>0</v>
      </c>
      <c r="M185" s="96">
        <f ca="1">IF(C185&gt;=1,L185*VLOOKUP(E185,'Reeksen (N)'!$A$5:$B$76,2),0)</f>
        <v>0</v>
      </c>
      <c r="N185" s="84">
        <f ca="1">(1-('Invoer gegevens (N)'!$F$20/12))*L185*MIN('Reeksen (N)'!B185,'Reeksen (N)'!D185)</f>
        <v>0</v>
      </c>
      <c r="O185" s="84">
        <f>IF('Reeksen (N)'!D185&lt;'Reeksen (N)'!B185,('Reeksen (N)'!B185-'Reeksen (N)'!D185)*L185,0)</f>
        <v>0</v>
      </c>
      <c r="P185" s="84">
        <f ca="1">('Invoer gegevens (N)'!$F$20/12)*L184*MIN('Reeksen (N)'!B184,'Reeksen (N)'!D184)</f>
        <v>0</v>
      </c>
      <c r="Q185" s="84">
        <f t="shared" ca="1" si="23"/>
        <v>0</v>
      </c>
      <c r="R185" s="82">
        <f ca="1">IF('Invoer gegevens (N)'!$C$17=E185,'Invoer gegevens (N)'!$C$11,IF(C185=1,W184,0))</f>
        <v>0</v>
      </c>
      <c r="S185" s="86">
        <f ca="1">IF(C185&gt;=1,R185*VLOOKUP(E185,'Reeksen (N)'!$A$5:$B$76,2),0)</f>
        <v>0</v>
      </c>
      <c r="T185" s="84">
        <f ca="1">(1-('Invoer gegevens (N)'!$F$20/12))*R185*MIN('Reeksen (N)'!B185,'Reeksen (N)'!D185)</f>
        <v>0</v>
      </c>
      <c r="U185" s="84">
        <f>IF('Reeksen (N)'!D185&gt;='Reeksen (N)'!B185,0,IF('Reeksen (N)'!AD185&lt;='Reeksen (N)'!AE185,('Reeksen (N)'!B185-'Reeksen (N)'!D185)*R185,0))</f>
        <v>0</v>
      </c>
      <c r="V185" s="86">
        <f>IF('Reeksen (N)'!D185&gt;='Reeksen (N)'!B185,0,IF('Reeksen (N)'!AD185&gt;'Reeksen (N)'!AE185,('Reeksen (N)'!B185-'Reeksen (N)'!D185)*R185,0))</f>
        <v>0</v>
      </c>
      <c r="W185" s="97">
        <f t="shared" ca="1" si="24"/>
        <v>0</v>
      </c>
      <c r="X185" s="98">
        <f ca="1">IF('Invoer gegevens (N)'!$C$17=E185,'Invoer gegevens (N)'!$C$10-'Invoer gegevens (N)'!$C$11,IF(C185=1,AC184,0))</f>
        <v>0</v>
      </c>
      <c r="Y185" s="98">
        <f ca="1">IF(C185&gt;=1,X185*VLOOKUP(E185,'Reeksen (N)'!$A$5:$B$76,2),0)</f>
        <v>0</v>
      </c>
      <c r="Z185" s="98">
        <f ca="1">(1-('Invoer gegevens (N)'!$F$20/12))*X185*MIN('Reeksen (N)'!B185,'Reeksen (N)'!D185)</f>
        <v>0</v>
      </c>
      <c r="AA185" s="98">
        <f>IF('Reeksen (N)'!D185&gt;='Reeksen (N)'!B185,0,IF('Reeksen (N)'!AD185&lt;='Reeksen (N)'!AE185,('Reeksen (N)'!B185-'Reeksen (N)'!D185)*X185,0))</f>
        <v>0</v>
      </c>
      <c r="AB185" s="98">
        <f>IF('Reeksen (N)'!D185&gt;='Reeksen (N)'!B185,0,IF('Reeksen (N)'!AD185&gt;'Reeksen (N)'!AE185,('Reeksen (N)'!B185-'Reeksen (N)'!D185)*X185,0))</f>
        <v>0</v>
      </c>
      <c r="AC185" s="99">
        <f t="shared" ca="1" si="25"/>
        <v>0</v>
      </c>
      <c r="AD185" s="98">
        <f ca="1">IF('Invoer gegevens (N)'!$C$17=E185,R185,IF(C185=0,0,AE184))</f>
        <v>0</v>
      </c>
      <c r="AE185" s="98">
        <f t="shared" ca="1" si="26"/>
        <v>0</v>
      </c>
      <c r="AF185" s="98">
        <f ca="1">IF('Invoer gegevens (N)'!$C$17=E185,X185,IF(C185=0,0,AG184))</f>
        <v>0</v>
      </c>
      <c r="AG185" s="98">
        <f t="shared" ca="1" si="27"/>
        <v>0</v>
      </c>
      <c r="AH185" s="66"/>
      <c r="AI185" s="71">
        <f ca="1">IF(C185=1,'Reeksen (N)'!AI185*((F185-G185+F185)/2)*12+'Reeksen (N)'!AD185*((L185-M185+L185)/2)*12,0)</f>
        <v>0</v>
      </c>
      <c r="AJ185" s="71">
        <f ca="1">-AI185*'Invoer gegevens (N)'!$F$28</f>
        <v>0</v>
      </c>
      <c r="AK185" s="71">
        <f t="shared" ca="1" si="28"/>
        <v>0</v>
      </c>
      <c r="AL185" s="71">
        <f ca="1">IF(C185=1,'Reeksen (N)'!AL185*((F185-G185+F185)/2)*12+'Reeksen (N)'!AM185*((L185-M185+L185)/2)*12,0)</f>
        <v>0</v>
      </c>
      <c r="AM185" s="71">
        <f ca="1">-AL185*'Invoer gegevens (N)'!$F$31</f>
        <v>0</v>
      </c>
      <c r="AN185" s="71">
        <f t="shared" ca="1" si="29"/>
        <v>0</v>
      </c>
      <c r="AO185" s="71">
        <f ca="1">IF(C185=1,(H185+J185+N185+P185)*'Reeksen (N)'!AN185,0)</f>
        <v>0</v>
      </c>
      <c r="AP185" s="71">
        <f ca="1">-IF(C185=1,(H185+J185+N185+P185)*'Hulp - basis'!$O$550*'Reeksen (N)'!H185,0)</f>
        <v>0</v>
      </c>
      <c r="AQ185" s="71">
        <f ca="1">-IF(C185=1,(F185+K185+L185+Q185)/2*'Invoer gegevens (N)'!$F$35*'Reeksen (N)'!J185,0)*2</f>
        <v>0</v>
      </c>
      <c r="AR185" s="71"/>
      <c r="AS185" s="71">
        <f ca="1">-IF(C185=1,(F185+K185+L185+Q185)/2*'Invoer gegevens (N)'!$F$37*'Reeksen (N)'!L185,0)</f>
        <v>0</v>
      </c>
      <c r="AT185" s="71">
        <f ca="1">-IF(C185=1,IF(E185='Invoer gegevens (N)'!$C$17,'Invoer gegevens (N)'!$C$11,AD185)*'Reeksen (N)'!S185*'Invoer gegevens (N)'!$C$18*'Reeksen (N)'!P185,0)</f>
        <v>0</v>
      </c>
      <c r="AU185" s="71">
        <f ca="1">-IF(C185=1,(F185+K185+L185+Q185)/2*'Invoer gegevens (N)'!$F$38*'Reeksen (N)'!H185,0)</f>
        <v>0</v>
      </c>
      <c r="AV185" s="71">
        <v>0</v>
      </c>
      <c r="AW185" s="71">
        <f t="shared" ca="1" si="30"/>
        <v>0</v>
      </c>
      <c r="AX185" s="71">
        <f ca="1">IF(E185&lt;'Invoer gegevens (N)'!$C$17+15,0,IF(E185&gt;'Invoer gegevens (N)'!$C$17+215,0,AW185))</f>
        <v>0</v>
      </c>
      <c r="AY185" s="71">
        <f ca="1">AX185/(1+'Invoer gegevens (N)'!$F$18)^($AZ185-('Invoer gegevens (N)'!$C$17-'Invoer gegevens (N)'!$C$16))/(1+'Invoer gegevens (N)'!$C$39)^('Invoer gegevens (N)'!$C$17-'Invoer gegevens (N)'!$C$16)</f>
        <v>0</v>
      </c>
      <c r="AZ185" s="68">
        <f ca="1">IF(E185-'Invoer gegevens (N)'!$C$17-14.5&lt;0,0,E185-'Invoer gegevens (N)'!$C$17-14.5)</f>
        <v>165.5</v>
      </c>
    </row>
    <row r="186" spans="1:52" x14ac:dyDescent="0.25">
      <c r="A186" s="59"/>
      <c r="B186" s="70">
        <f t="shared" si="31"/>
        <v>182</v>
      </c>
      <c r="C186" s="67">
        <f ca="1">IF(E186-'Invoer gegevens (N)'!$C$17&lt;0,0,1)</f>
        <v>1</v>
      </c>
      <c r="D186" s="68">
        <f t="shared" si="32"/>
        <v>181.5</v>
      </c>
      <c r="E186" s="69">
        <f ca="1">IF('Invoer gegevens (N)'!$C$16="","",E185+1)</f>
        <v>2200</v>
      </c>
      <c r="F186" s="84">
        <f ca="1">IF('Invoer gegevens (N)'!$C$17=E186,'Invoer gegevens (N)'!$C$10,IF(C186=1,K185,0))</f>
        <v>0</v>
      </c>
      <c r="G186" s="96">
        <f ca="1">IF(C186&gt;=1,F186*VLOOKUP(E186,'Reeksen (N)'!$A$5:$B$76,2),0)</f>
        <v>0</v>
      </c>
      <c r="H186" s="84">
        <f ca="1">(1-('Invoer gegevens (N)'!$F$20/12))*F186*MIN('Reeksen (N)'!B186,'Reeksen (N)'!D186)</f>
        <v>0</v>
      </c>
      <c r="I186" s="84">
        <f>IF('Reeksen (N)'!D186&lt;'Reeksen (N)'!B186,('Reeksen (N)'!B186-'Reeksen (N)'!D186)*F186,0)</f>
        <v>0</v>
      </c>
      <c r="J186" s="84">
        <f ca="1">('Invoer gegevens (N)'!$F$20/12)*F185*MIN('Reeksen (N)'!B185,'Reeksen (N)'!D185)</f>
        <v>0</v>
      </c>
      <c r="K186" s="97">
        <f t="shared" ca="1" si="22"/>
        <v>0</v>
      </c>
      <c r="L186" s="84">
        <f ca="1">IF('Invoer gegevens (N)'!$C$17=E186,0,IF(C186=1,Q185,0))</f>
        <v>0</v>
      </c>
      <c r="M186" s="96">
        <f ca="1">IF(C186&gt;=1,L186*VLOOKUP(E186,'Reeksen (N)'!$A$5:$B$76,2),0)</f>
        <v>0</v>
      </c>
      <c r="N186" s="84">
        <f ca="1">(1-('Invoer gegevens (N)'!$F$20/12))*L186*MIN('Reeksen (N)'!B186,'Reeksen (N)'!D186)</f>
        <v>0</v>
      </c>
      <c r="O186" s="84">
        <f>IF('Reeksen (N)'!D186&lt;'Reeksen (N)'!B186,('Reeksen (N)'!B186-'Reeksen (N)'!D186)*L186,0)</f>
        <v>0</v>
      </c>
      <c r="P186" s="84">
        <f ca="1">('Invoer gegevens (N)'!$F$20/12)*L185*MIN('Reeksen (N)'!B185,'Reeksen (N)'!D185)</f>
        <v>0</v>
      </c>
      <c r="Q186" s="84">
        <f t="shared" ca="1" si="23"/>
        <v>0</v>
      </c>
      <c r="R186" s="82">
        <f ca="1">IF('Invoer gegevens (N)'!$C$17=E186,'Invoer gegevens (N)'!$C$11,IF(C186=1,W185,0))</f>
        <v>0</v>
      </c>
      <c r="S186" s="86">
        <f ca="1">IF(C186&gt;=1,R186*VLOOKUP(E186,'Reeksen (N)'!$A$5:$B$76,2),0)</f>
        <v>0</v>
      </c>
      <c r="T186" s="84">
        <f ca="1">(1-('Invoer gegevens (N)'!$F$20/12))*R186*MIN('Reeksen (N)'!B186,'Reeksen (N)'!D186)</f>
        <v>0</v>
      </c>
      <c r="U186" s="84">
        <f>IF('Reeksen (N)'!D186&gt;='Reeksen (N)'!B186,0,IF('Reeksen (N)'!AD186&lt;='Reeksen (N)'!AE186,('Reeksen (N)'!B186-'Reeksen (N)'!D186)*R186,0))</f>
        <v>0</v>
      </c>
      <c r="V186" s="86">
        <f>IF('Reeksen (N)'!D186&gt;='Reeksen (N)'!B186,0,IF('Reeksen (N)'!AD186&gt;'Reeksen (N)'!AE186,('Reeksen (N)'!B186-'Reeksen (N)'!D186)*R186,0))</f>
        <v>0</v>
      </c>
      <c r="W186" s="97">
        <f t="shared" ca="1" si="24"/>
        <v>0</v>
      </c>
      <c r="X186" s="98">
        <f ca="1">IF('Invoer gegevens (N)'!$C$17=E186,'Invoer gegevens (N)'!$C$10-'Invoer gegevens (N)'!$C$11,IF(C186=1,AC185,0))</f>
        <v>0</v>
      </c>
      <c r="Y186" s="98">
        <f ca="1">IF(C186&gt;=1,X186*VLOOKUP(E186,'Reeksen (N)'!$A$5:$B$76,2),0)</f>
        <v>0</v>
      </c>
      <c r="Z186" s="98">
        <f ca="1">(1-('Invoer gegevens (N)'!$F$20/12))*X186*MIN('Reeksen (N)'!B186,'Reeksen (N)'!D186)</f>
        <v>0</v>
      </c>
      <c r="AA186" s="98">
        <f>IF('Reeksen (N)'!D186&gt;='Reeksen (N)'!B186,0,IF('Reeksen (N)'!AD186&lt;='Reeksen (N)'!AE186,('Reeksen (N)'!B186-'Reeksen (N)'!D186)*X186,0))</f>
        <v>0</v>
      </c>
      <c r="AB186" s="98">
        <f>IF('Reeksen (N)'!D186&gt;='Reeksen (N)'!B186,0,IF('Reeksen (N)'!AD186&gt;'Reeksen (N)'!AE186,('Reeksen (N)'!B186-'Reeksen (N)'!D186)*X186,0))</f>
        <v>0</v>
      </c>
      <c r="AC186" s="99">
        <f t="shared" ca="1" si="25"/>
        <v>0</v>
      </c>
      <c r="AD186" s="98">
        <f ca="1">IF('Invoer gegevens (N)'!$C$17=E186,R186,IF(C186=0,0,AE185))</f>
        <v>0</v>
      </c>
      <c r="AE186" s="98">
        <f t="shared" ca="1" si="26"/>
        <v>0</v>
      </c>
      <c r="AF186" s="98">
        <f ca="1">IF('Invoer gegevens (N)'!$C$17=E186,X186,IF(C186=0,0,AG185))</f>
        <v>0</v>
      </c>
      <c r="AG186" s="98">
        <f t="shared" ca="1" si="27"/>
        <v>0</v>
      </c>
      <c r="AH186" s="66"/>
      <c r="AI186" s="71">
        <f ca="1">IF(C186=1,'Reeksen (N)'!AI186*((F186-G186+F186)/2)*12+'Reeksen (N)'!AD186*((L186-M186+L186)/2)*12,0)</f>
        <v>0</v>
      </c>
      <c r="AJ186" s="71">
        <f ca="1">-AI186*'Invoer gegevens (N)'!$F$28</f>
        <v>0</v>
      </c>
      <c r="AK186" s="71">
        <f t="shared" ca="1" si="28"/>
        <v>0</v>
      </c>
      <c r="AL186" s="71">
        <f ca="1">IF(C186=1,'Reeksen (N)'!AL186*((F186-G186+F186)/2)*12+'Reeksen (N)'!AM186*((L186-M186+L186)/2)*12,0)</f>
        <v>0</v>
      </c>
      <c r="AM186" s="71">
        <f ca="1">-AL186*'Invoer gegevens (N)'!$F$31</f>
        <v>0</v>
      </c>
      <c r="AN186" s="71">
        <f t="shared" ca="1" si="29"/>
        <v>0</v>
      </c>
      <c r="AO186" s="71">
        <f ca="1">IF(C186=1,(H186+J186+N186+P186)*'Reeksen (N)'!AN186,0)</f>
        <v>0</v>
      </c>
      <c r="AP186" s="71">
        <f ca="1">-IF(C186=1,(H186+J186+N186+P186)*'Hulp - basis'!$O$550*'Reeksen (N)'!H186,0)</f>
        <v>0</v>
      </c>
      <c r="AQ186" s="71">
        <f ca="1">-IF(C186=1,(F186+K186+L186+Q186)/2*'Invoer gegevens (N)'!$F$35*'Reeksen (N)'!J186,0)*2</f>
        <v>0</v>
      </c>
      <c r="AR186" s="71"/>
      <c r="AS186" s="71">
        <f ca="1">-IF(C186=1,(F186+K186+L186+Q186)/2*'Invoer gegevens (N)'!$F$37*'Reeksen (N)'!L186,0)</f>
        <v>0</v>
      </c>
      <c r="AT186" s="71">
        <f ca="1">-IF(C186=1,IF(E186='Invoer gegevens (N)'!$C$17,'Invoer gegevens (N)'!$C$11,AD186)*'Reeksen (N)'!S186*'Invoer gegevens (N)'!$C$18*'Reeksen (N)'!P186,0)</f>
        <v>0</v>
      </c>
      <c r="AU186" s="71">
        <f ca="1">-IF(C186=1,(F186+K186+L186+Q186)/2*'Invoer gegevens (N)'!$F$38*'Reeksen (N)'!H186,0)</f>
        <v>0</v>
      </c>
      <c r="AV186" s="71">
        <v>0</v>
      </c>
      <c r="AW186" s="71">
        <f t="shared" ca="1" si="30"/>
        <v>0</v>
      </c>
      <c r="AX186" s="71">
        <f ca="1">IF(E186&lt;'Invoer gegevens (N)'!$C$17+15,0,IF(E186&gt;'Invoer gegevens (N)'!$C$17+215,0,AW186))</f>
        <v>0</v>
      </c>
      <c r="AY186" s="71">
        <f ca="1">AX186/(1+'Invoer gegevens (N)'!$F$18)^($AZ186-('Invoer gegevens (N)'!$C$17-'Invoer gegevens (N)'!$C$16))/(1+'Invoer gegevens (N)'!$C$39)^('Invoer gegevens (N)'!$C$17-'Invoer gegevens (N)'!$C$16)</f>
        <v>0</v>
      </c>
      <c r="AZ186" s="68">
        <f ca="1">IF(E186-'Invoer gegevens (N)'!$C$17-14.5&lt;0,0,E186-'Invoer gegevens (N)'!$C$17-14.5)</f>
        <v>166.5</v>
      </c>
    </row>
    <row r="187" spans="1:52" x14ac:dyDescent="0.25">
      <c r="A187" s="59"/>
      <c r="B187" s="70">
        <f t="shared" si="31"/>
        <v>183</v>
      </c>
      <c r="C187" s="67">
        <f ca="1">IF(E187-'Invoer gegevens (N)'!$C$17&lt;0,0,1)</f>
        <v>1</v>
      </c>
      <c r="D187" s="68">
        <f t="shared" si="32"/>
        <v>182.5</v>
      </c>
      <c r="E187" s="69">
        <f ca="1">IF('Invoer gegevens (N)'!$C$16="","",E186+1)</f>
        <v>2201</v>
      </c>
      <c r="F187" s="84">
        <f ca="1">IF('Invoer gegevens (N)'!$C$17=E187,'Invoer gegevens (N)'!$C$10,IF(C187=1,K186,0))</f>
        <v>0</v>
      </c>
      <c r="G187" s="96">
        <f ca="1">IF(C187&gt;=1,F187*VLOOKUP(E187,'Reeksen (N)'!$A$5:$B$76,2),0)</f>
        <v>0</v>
      </c>
      <c r="H187" s="84">
        <f ca="1">(1-('Invoer gegevens (N)'!$F$20/12))*F187*MIN('Reeksen (N)'!B187,'Reeksen (N)'!D187)</f>
        <v>0</v>
      </c>
      <c r="I187" s="84">
        <f>IF('Reeksen (N)'!D187&lt;'Reeksen (N)'!B187,('Reeksen (N)'!B187-'Reeksen (N)'!D187)*F187,0)</f>
        <v>0</v>
      </c>
      <c r="J187" s="84">
        <f ca="1">('Invoer gegevens (N)'!$F$20/12)*F186*MIN('Reeksen (N)'!B186,'Reeksen (N)'!D186)</f>
        <v>0</v>
      </c>
      <c r="K187" s="97">
        <f t="shared" ca="1" si="22"/>
        <v>0</v>
      </c>
      <c r="L187" s="84">
        <f ca="1">IF('Invoer gegevens (N)'!$C$17=E187,0,IF(C187=1,Q186,0))</f>
        <v>0</v>
      </c>
      <c r="M187" s="96">
        <f ca="1">IF(C187&gt;=1,L187*VLOOKUP(E187,'Reeksen (N)'!$A$5:$B$76,2),0)</f>
        <v>0</v>
      </c>
      <c r="N187" s="84">
        <f ca="1">(1-('Invoer gegevens (N)'!$F$20/12))*L187*MIN('Reeksen (N)'!B187,'Reeksen (N)'!D187)</f>
        <v>0</v>
      </c>
      <c r="O187" s="84">
        <f>IF('Reeksen (N)'!D187&lt;'Reeksen (N)'!B187,('Reeksen (N)'!B187-'Reeksen (N)'!D187)*L187,0)</f>
        <v>0</v>
      </c>
      <c r="P187" s="84">
        <f ca="1">('Invoer gegevens (N)'!$F$20/12)*L186*MIN('Reeksen (N)'!B186,'Reeksen (N)'!D186)</f>
        <v>0</v>
      </c>
      <c r="Q187" s="84">
        <f t="shared" ca="1" si="23"/>
        <v>0</v>
      </c>
      <c r="R187" s="82">
        <f ca="1">IF('Invoer gegevens (N)'!$C$17=E187,'Invoer gegevens (N)'!$C$11,IF(C187=1,W186,0))</f>
        <v>0</v>
      </c>
      <c r="S187" s="86">
        <f ca="1">IF(C187&gt;=1,R187*VLOOKUP(E187,'Reeksen (N)'!$A$5:$B$76,2),0)</f>
        <v>0</v>
      </c>
      <c r="T187" s="84">
        <f ca="1">(1-('Invoer gegevens (N)'!$F$20/12))*R187*MIN('Reeksen (N)'!B187,'Reeksen (N)'!D187)</f>
        <v>0</v>
      </c>
      <c r="U187" s="84">
        <f>IF('Reeksen (N)'!D187&gt;='Reeksen (N)'!B187,0,IF('Reeksen (N)'!AD187&lt;='Reeksen (N)'!AE187,('Reeksen (N)'!B187-'Reeksen (N)'!D187)*R187,0))</f>
        <v>0</v>
      </c>
      <c r="V187" s="86">
        <f>IF('Reeksen (N)'!D187&gt;='Reeksen (N)'!B187,0,IF('Reeksen (N)'!AD187&gt;'Reeksen (N)'!AE187,('Reeksen (N)'!B187-'Reeksen (N)'!D187)*R187,0))</f>
        <v>0</v>
      </c>
      <c r="W187" s="97">
        <f t="shared" ca="1" si="24"/>
        <v>0</v>
      </c>
      <c r="X187" s="98">
        <f ca="1">IF('Invoer gegevens (N)'!$C$17=E187,'Invoer gegevens (N)'!$C$10-'Invoer gegevens (N)'!$C$11,IF(C187=1,AC186,0))</f>
        <v>0</v>
      </c>
      <c r="Y187" s="98">
        <f ca="1">IF(C187&gt;=1,X187*VLOOKUP(E187,'Reeksen (N)'!$A$5:$B$76,2),0)</f>
        <v>0</v>
      </c>
      <c r="Z187" s="98">
        <f ca="1">(1-('Invoer gegevens (N)'!$F$20/12))*X187*MIN('Reeksen (N)'!B187,'Reeksen (N)'!D187)</f>
        <v>0</v>
      </c>
      <c r="AA187" s="98">
        <f>IF('Reeksen (N)'!D187&gt;='Reeksen (N)'!B187,0,IF('Reeksen (N)'!AD187&lt;='Reeksen (N)'!AE187,('Reeksen (N)'!B187-'Reeksen (N)'!D187)*X187,0))</f>
        <v>0</v>
      </c>
      <c r="AB187" s="98">
        <f>IF('Reeksen (N)'!D187&gt;='Reeksen (N)'!B187,0,IF('Reeksen (N)'!AD187&gt;'Reeksen (N)'!AE187,('Reeksen (N)'!B187-'Reeksen (N)'!D187)*X187,0))</f>
        <v>0</v>
      </c>
      <c r="AC187" s="99">
        <f t="shared" ca="1" si="25"/>
        <v>0</v>
      </c>
      <c r="AD187" s="98">
        <f ca="1">IF('Invoer gegevens (N)'!$C$17=E187,R187,IF(C187=0,0,AE186))</f>
        <v>0</v>
      </c>
      <c r="AE187" s="98">
        <f t="shared" ca="1" si="26"/>
        <v>0</v>
      </c>
      <c r="AF187" s="98">
        <f ca="1">IF('Invoer gegevens (N)'!$C$17=E187,X187,IF(C187=0,0,AG186))</f>
        <v>0</v>
      </c>
      <c r="AG187" s="98">
        <f t="shared" ca="1" si="27"/>
        <v>0</v>
      </c>
      <c r="AH187" s="66"/>
      <c r="AI187" s="71">
        <f ca="1">IF(C187=1,'Reeksen (N)'!AI187*((F187-G187+F187)/2)*12+'Reeksen (N)'!AD187*((L187-M187+L187)/2)*12,0)</f>
        <v>0</v>
      </c>
      <c r="AJ187" s="71">
        <f ca="1">-AI187*'Invoer gegevens (N)'!$F$28</f>
        <v>0</v>
      </c>
      <c r="AK187" s="71">
        <f t="shared" ca="1" si="28"/>
        <v>0</v>
      </c>
      <c r="AL187" s="71">
        <f ca="1">IF(C187=1,'Reeksen (N)'!AL187*((F187-G187+F187)/2)*12+'Reeksen (N)'!AM187*((L187-M187+L187)/2)*12,0)</f>
        <v>0</v>
      </c>
      <c r="AM187" s="71">
        <f ca="1">-AL187*'Invoer gegevens (N)'!$F$31</f>
        <v>0</v>
      </c>
      <c r="AN187" s="71">
        <f t="shared" ca="1" si="29"/>
        <v>0</v>
      </c>
      <c r="AO187" s="71">
        <f ca="1">IF(C187=1,(H187+J187+N187+P187)*'Reeksen (N)'!AN187,0)</f>
        <v>0</v>
      </c>
      <c r="AP187" s="71">
        <f ca="1">-IF(C187=1,(H187+J187+N187+P187)*'Hulp - basis'!$O$550*'Reeksen (N)'!H187,0)</f>
        <v>0</v>
      </c>
      <c r="AQ187" s="71">
        <f ca="1">-IF(C187=1,(F187+K187+L187+Q187)/2*'Invoer gegevens (N)'!$F$35*'Reeksen (N)'!J187,0)*2</f>
        <v>0</v>
      </c>
      <c r="AR187" s="71"/>
      <c r="AS187" s="71">
        <f ca="1">-IF(C187=1,(F187+K187+L187+Q187)/2*'Invoer gegevens (N)'!$F$37*'Reeksen (N)'!L187,0)</f>
        <v>0</v>
      </c>
      <c r="AT187" s="71">
        <f ca="1">-IF(C187=1,IF(E187='Invoer gegevens (N)'!$C$17,'Invoer gegevens (N)'!$C$11,AD187)*'Reeksen (N)'!S187*'Invoer gegevens (N)'!$C$18*'Reeksen (N)'!P187,0)</f>
        <v>0</v>
      </c>
      <c r="AU187" s="71">
        <f ca="1">-IF(C187=1,(F187+K187+L187+Q187)/2*'Invoer gegevens (N)'!$F$38*'Reeksen (N)'!H187,0)</f>
        <v>0</v>
      </c>
      <c r="AV187" s="71">
        <v>0</v>
      </c>
      <c r="AW187" s="71">
        <f t="shared" ca="1" si="30"/>
        <v>0</v>
      </c>
      <c r="AX187" s="71">
        <f ca="1">IF(E187&lt;'Invoer gegevens (N)'!$C$17+15,0,IF(E187&gt;'Invoer gegevens (N)'!$C$17+215,0,AW187))</f>
        <v>0</v>
      </c>
      <c r="AY187" s="71">
        <f ca="1">AX187/(1+'Invoer gegevens (N)'!$F$18)^($AZ187-('Invoer gegevens (N)'!$C$17-'Invoer gegevens (N)'!$C$16))/(1+'Invoer gegevens (N)'!$C$39)^('Invoer gegevens (N)'!$C$17-'Invoer gegevens (N)'!$C$16)</f>
        <v>0</v>
      </c>
      <c r="AZ187" s="68">
        <f ca="1">IF(E187-'Invoer gegevens (N)'!$C$17-14.5&lt;0,0,E187-'Invoer gegevens (N)'!$C$17-14.5)</f>
        <v>167.5</v>
      </c>
    </row>
    <row r="188" spans="1:52" x14ac:dyDescent="0.25">
      <c r="A188" s="59"/>
      <c r="B188" s="70">
        <f t="shared" si="31"/>
        <v>184</v>
      </c>
      <c r="C188" s="67">
        <f ca="1">IF(E188-'Invoer gegevens (N)'!$C$17&lt;0,0,1)</f>
        <v>1</v>
      </c>
      <c r="D188" s="68">
        <f t="shared" si="32"/>
        <v>183.5</v>
      </c>
      <c r="E188" s="69">
        <f ca="1">IF('Invoer gegevens (N)'!$C$16="","",E187+1)</f>
        <v>2202</v>
      </c>
      <c r="F188" s="84">
        <f ca="1">IF('Invoer gegevens (N)'!$C$17=E188,'Invoer gegevens (N)'!$C$10,IF(C188=1,K187,0))</f>
        <v>0</v>
      </c>
      <c r="G188" s="96">
        <f ca="1">IF(C188&gt;=1,F188*VLOOKUP(E188,'Reeksen (N)'!$A$5:$B$76,2),0)</f>
        <v>0</v>
      </c>
      <c r="H188" s="84">
        <f ca="1">(1-('Invoer gegevens (N)'!$F$20/12))*F188*MIN('Reeksen (N)'!B188,'Reeksen (N)'!D188)</f>
        <v>0</v>
      </c>
      <c r="I188" s="84">
        <f>IF('Reeksen (N)'!D188&lt;'Reeksen (N)'!B188,('Reeksen (N)'!B188-'Reeksen (N)'!D188)*F188,0)</f>
        <v>0</v>
      </c>
      <c r="J188" s="84">
        <f ca="1">('Invoer gegevens (N)'!$F$20/12)*F187*MIN('Reeksen (N)'!B187,'Reeksen (N)'!D187)</f>
        <v>0</v>
      </c>
      <c r="K188" s="97">
        <f t="shared" ca="1" si="22"/>
        <v>0</v>
      </c>
      <c r="L188" s="84">
        <f ca="1">IF('Invoer gegevens (N)'!$C$17=E188,0,IF(C188=1,Q187,0))</f>
        <v>0</v>
      </c>
      <c r="M188" s="96">
        <f ca="1">IF(C188&gt;=1,L188*VLOOKUP(E188,'Reeksen (N)'!$A$5:$B$76,2),0)</f>
        <v>0</v>
      </c>
      <c r="N188" s="84">
        <f ca="1">(1-('Invoer gegevens (N)'!$F$20/12))*L188*MIN('Reeksen (N)'!B188,'Reeksen (N)'!D188)</f>
        <v>0</v>
      </c>
      <c r="O188" s="84">
        <f>IF('Reeksen (N)'!D188&lt;'Reeksen (N)'!B188,('Reeksen (N)'!B188-'Reeksen (N)'!D188)*L188,0)</f>
        <v>0</v>
      </c>
      <c r="P188" s="84">
        <f ca="1">('Invoer gegevens (N)'!$F$20/12)*L187*MIN('Reeksen (N)'!B187,'Reeksen (N)'!D187)</f>
        <v>0</v>
      </c>
      <c r="Q188" s="84">
        <f t="shared" ca="1" si="23"/>
        <v>0</v>
      </c>
      <c r="R188" s="82">
        <f ca="1">IF('Invoer gegevens (N)'!$C$17=E188,'Invoer gegevens (N)'!$C$11,IF(C188=1,W187,0))</f>
        <v>0</v>
      </c>
      <c r="S188" s="86">
        <f ca="1">IF(C188&gt;=1,R188*VLOOKUP(E188,'Reeksen (N)'!$A$5:$B$76,2),0)</f>
        <v>0</v>
      </c>
      <c r="T188" s="84">
        <f ca="1">(1-('Invoer gegevens (N)'!$F$20/12))*R188*MIN('Reeksen (N)'!B188,'Reeksen (N)'!D188)</f>
        <v>0</v>
      </c>
      <c r="U188" s="84">
        <f>IF('Reeksen (N)'!D188&gt;='Reeksen (N)'!B188,0,IF('Reeksen (N)'!AD188&lt;='Reeksen (N)'!AE188,('Reeksen (N)'!B188-'Reeksen (N)'!D188)*R188,0))</f>
        <v>0</v>
      </c>
      <c r="V188" s="86">
        <f>IF('Reeksen (N)'!D188&gt;='Reeksen (N)'!B188,0,IF('Reeksen (N)'!AD188&gt;'Reeksen (N)'!AE188,('Reeksen (N)'!B188-'Reeksen (N)'!D188)*R188,0))</f>
        <v>0</v>
      </c>
      <c r="W188" s="97">
        <f t="shared" ca="1" si="24"/>
        <v>0</v>
      </c>
      <c r="X188" s="98">
        <f ca="1">IF('Invoer gegevens (N)'!$C$17=E188,'Invoer gegevens (N)'!$C$10-'Invoer gegevens (N)'!$C$11,IF(C188=1,AC187,0))</f>
        <v>0</v>
      </c>
      <c r="Y188" s="98">
        <f ca="1">IF(C188&gt;=1,X188*VLOOKUP(E188,'Reeksen (N)'!$A$5:$B$76,2),0)</f>
        <v>0</v>
      </c>
      <c r="Z188" s="98">
        <f ca="1">(1-('Invoer gegevens (N)'!$F$20/12))*X188*MIN('Reeksen (N)'!B188,'Reeksen (N)'!D188)</f>
        <v>0</v>
      </c>
      <c r="AA188" s="98">
        <f>IF('Reeksen (N)'!D188&gt;='Reeksen (N)'!B188,0,IF('Reeksen (N)'!AD188&lt;='Reeksen (N)'!AE188,('Reeksen (N)'!B188-'Reeksen (N)'!D188)*X188,0))</f>
        <v>0</v>
      </c>
      <c r="AB188" s="98">
        <f>IF('Reeksen (N)'!D188&gt;='Reeksen (N)'!B188,0,IF('Reeksen (N)'!AD188&gt;'Reeksen (N)'!AE188,('Reeksen (N)'!B188-'Reeksen (N)'!D188)*X188,0))</f>
        <v>0</v>
      </c>
      <c r="AC188" s="99">
        <f t="shared" ca="1" si="25"/>
        <v>0</v>
      </c>
      <c r="AD188" s="98">
        <f ca="1">IF('Invoer gegevens (N)'!$C$17=E188,R188,IF(C188=0,0,AE187))</f>
        <v>0</v>
      </c>
      <c r="AE188" s="98">
        <f t="shared" ca="1" si="26"/>
        <v>0</v>
      </c>
      <c r="AF188" s="98">
        <f ca="1">IF('Invoer gegevens (N)'!$C$17=E188,X188,IF(C188=0,0,AG187))</f>
        <v>0</v>
      </c>
      <c r="AG188" s="98">
        <f t="shared" ca="1" si="27"/>
        <v>0</v>
      </c>
      <c r="AH188" s="66"/>
      <c r="AI188" s="71">
        <f ca="1">IF(C188=1,'Reeksen (N)'!AI188*((F188-G188+F188)/2)*12+'Reeksen (N)'!AD188*((L188-M188+L188)/2)*12,0)</f>
        <v>0</v>
      </c>
      <c r="AJ188" s="71">
        <f ca="1">-AI188*'Invoer gegevens (N)'!$F$28</f>
        <v>0</v>
      </c>
      <c r="AK188" s="71">
        <f t="shared" ca="1" si="28"/>
        <v>0</v>
      </c>
      <c r="AL188" s="71">
        <f ca="1">IF(C188=1,'Reeksen (N)'!AL188*((F188-G188+F188)/2)*12+'Reeksen (N)'!AM188*((L188-M188+L188)/2)*12,0)</f>
        <v>0</v>
      </c>
      <c r="AM188" s="71">
        <f ca="1">-AL188*'Invoer gegevens (N)'!$F$31</f>
        <v>0</v>
      </c>
      <c r="AN188" s="71">
        <f t="shared" ca="1" si="29"/>
        <v>0</v>
      </c>
      <c r="AO188" s="71">
        <f ca="1">IF(C188=1,(H188+J188+N188+P188)*'Reeksen (N)'!AN188,0)</f>
        <v>0</v>
      </c>
      <c r="AP188" s="71">
        <f ca="1">-IF(C188=1,(H188+J188+N188+P188)*'Hulp - basis'!$O$550*'Reeksen (N)'!H188,0)</f>
        <v>0</v>
      </c>
      <c r="AQ188" s="71">
        <f ca="1">-IF(C188=1,(F188+K188+L188+Q188)/2*'Invoer gegevens (N)'!$F$35*'Reeksen (N)'!J188,0)*2</f>
        <v>0</v>
      </c>
      <c r="AR188" s="71"/>
      <c r="AS188" s="71">
        <f ca="1">-IF(C188=1,(F188+K188+L188+Q188)/2*'Invoer gegevens (N)'!$F$37*'Reeksen (N)'!L188,0)</f>
        <v>0</v>
      </c>
      <c r="AT188" s="71">
        <f ca="1">-IF(C188=1,IF(E188='Invoer gegevens (N)'!$C$17,'Invoer gegevens (N)'!$C$11,AD188)*'Reeksen (N)'!S188*'Invoer gegevens (N)'!$C$18*'Reeksen (N)'!P188,0)</f>
        <v>0</v>
      </c>
      <c r="AU188" s="71">
        <f ca="1">-IF(C188=1,(F188+K188+L188+Q188)/2*'Invoer gegevens (N)'!$F$38*'Reeksen (N)'!H188,0)</f>
        <v>0</v>
      </c>
      <c r="AV188" s="71">
        <v>0</v>
      </c>
      <c r="AW188" s="71">
        <f t="shared" ca="1" si="30"/>
        <v>0</v>
      </c>
      <c r="AX188" s="71">
        <f ca="1">IF(E188&lt;'Invoer gegevens (N)'!$C$17+15,0,IF(E188&gt;'Invoer gegevens (N)'!$C$17+215,0,AW188))</f>
        <v>0</v>
      </c>
      <c r="AY188" s="71">
        <f ca="1">AX188/(1+'Invoer gegevens (N)'!$F$18)^($AZ188-('Invoer gegevens (N)'!$C$17-'Invoer gegevens (N)'!$C$16))/(1+'Invoer gegevens (N)'!$C$39)^('Invoer gegevens (N)'!$C$17-'Invoer gegevens (N)'!$C$16)</f>
        <v>0</v>
      </c>
      <c r="AZ188" s="68">
        <f ca="1">IF(E188-'Invoer gegevens (N)'!$C$17-14.5&lt;0,0,E188-'Invoer gegevens (N)'!$C$17-14.5)</f>
        <v>168.5</v>
      </c>
    </row>
    <row r="189" spans="1:52" x14ac:dyDescent="0.25">
      <c r="A189" s="59"/>
      <c r="B189" s="70">
        <f t="shared" si="31"/>
        <v>185</v>
      </c>
      <c r="C189" s="67">
        <f ca="1">IF(E189-'Invoer gegevens (N)'!$C$17&lt;0,0,1)</f>
        <v>1</v>
      </c>
      <c r="D189" s="68">
        <f t="shared" si="32"/>
        <v>184.5</v>
      </c>
      <c r="E189" s="69">
        <f ca="1">IF('Invoer gegevens (N)'!$C$16="","",E188+1)</f>
        <v>2203</v>
      </c>
      <c r="F189" s="84">
        <f ca="1">IF('Invoer gegevens (N)'!$C$17=E189,'Invoer gegevens (N)'!$C$10,IF(C189=1,K188,0))</f>
        <v>0</v>
      </c>
      <c r="G189" s="96">
        <f ca="1">IF(C189&gt;=1,F189*VLOOKUP(E189,'Reeksen (N)'!$A$5:$B$76,2),0)</f>
        <v>0</v>
      </c>
      <c r="H189" s="84">
        <f ca="1">(1-('Invoer gegevens (N)'!$F$20/12))*F189*MIN('Reeksen (N)'!B189,'Reeksen (N)'!D189)</f>
        <v>0</v>
      </c>
      <c r="I189" s="84">
        <f>IF('Reeksen (N)'!D189&lt;'Reeksen (N)'!B189,('Reeksen (N)'!B189-'Reeksen (N)'!D189)*F189,0)</f>
        <v>0</v>
      </c>
      <c r="J189" s="84">
        <f ca="1">('Invoer gegevens (N)'!$F$20/12)*F188*MIN('Reeksen (N)'!B188,'Reeksen (N)'!D188)</f>
        <v>0</v>
      </c>
      <c r="K189" s="97">
        <f t="shared" ca="1" si="22"/>
        <v>0</v>
      </c>
      <c r="L189" s="84">
        <f ca="1">IF('Invoer gegevens (N)'!$C$17=E189,0,IF(C189=1,Q188,0))</f>
        <v>0</v>
      </c>
      <c r="M189" s="96">
        <f ca="1">IF(C189&gt;=1,L189*VLOOKUP(E189,'Reeksen (N)'!$A$5:$B$76,2),0)</f>
        <v>0</v>
      </c>
      <c r="N189" s="84">
        <f ca="1">(1-('Invoer gegevens (N)'!$F$20/12))*L189*MIN('Reeksen (N)'!B189,'Reeksen (N)'!D189)</f>
        <v>0</v>
      </c>
      <c r="O189" s="84">
        <f>IF('Reeksen (N)'!D189&lt;'Reeksen (N)'!B189,('Reeksen (N)'!B189-'Reeksen (N)'!D189)*L189,0)</f>
        <v>0</v>
      </c>
      <c r="P189" s="84">
        <f ca="1">('Invoer gegevens (N)'!$F$20/12)*L188*MIN('Reeksen (N)'!B188,'Reeksen (N)'!D188)</f>
        <v>0</v>
      </c>
      <c r="Q189" s="84">
        <f t="shared" ca="1" si="23"/>
        <v>0</v>
      </c>
      <c r="R189" s="82">
        <f ca="1">IF('Invoer gegevens (N)'!$C$17=E189,'Invoer gegevens (N)'!$C$11,IF(C189=1,W188,0))</f>
        <v>0</v>
      </c>
      <c r="S189" s="86">
        <f ca="1">IF(C189&gt;=1,R189*VLOOKUP(E189,'Reeksen (N)'!$A$5:$B$76,2),0)</f>
        <v>0</v>
      </c>
      <c r="T189" s="84">
        <f ca="1">(1-('Invoer gegevens (N)'!$F$20/12))*R189*MIN('Reeksen (N)'!B189,'Reeksen (N)'!D189)</f>
        <v>0</v>
      </c>
      <c r="U189" s="84">
        <f>IF('Reeksen (N)'!D189&gt;='Reeksen (N)'!B189,0,IF('Reeksen (N)'!AD189&lt;='Reeksen (N)'!AE189,('Reeksen (N)'!B189-'Reeksen (N)'!D189)*R189,0))</f>
        <v>0</v>
      </c>
      <c r="V189" s="86">
        <f>IF('Reeksen (N)'!D189&gt;='Reeksen (N)'!B189,0,IF('Reeksen (N)'!AD189&gt;'Reeksen (N)'!AE189,('Reeksen (N)'!B189-'Reeksen (N)'!D189)*R189,0))</f>
        <v>0</v>
      </c>
      <c r="W189" s="97">
        <f t="shared" ca="1" si="24"/>
        <v>0</v>
      </c>
      <c r="X189" s="98">
        <f ca="1">IF('Invoer gegevens (N)'!$C$17=E189,'Invoer gegevens (N)'!$C$10-'Invoer gegevens (N)'!$C$11,IF(C189=1,AC188,0))</f>
        <v>0</v>
      </c>
      <c r="Y189" s="98">
        <f ca="1">IF(C189&gt;=1,X189*VLOOKUP(E189,'Reeksen (N)'!$A$5:$B$76,2),0)</f>
        <v>0</v>
      </c>
      <c r="Z189" s="98">
        <f ca="1">(1-('Invoer gegevens (N)'!$F$20/12))*X189*MIN('Reeksen (N)'!B189,'Reeksen (N)'!D189)</f>
        <v>0</v>
      </c>
      <c r="AA189" s="98">
        <f>IF('Reeksen (N)'!D189&gt;='Reeksen (N)'!B189,0,IF('Reeksen (N)'!AD189&lt;='Reeksen (N)'!AE189,('Reeksen (N)'!B189-'Reeksen (N)'!D189)*X189,0))</f>
        <v>0</v>
      </c>
      <c r="AB189" s="98">
        <f>IF('Reeksen (N)'!D189&gt;='Reeksen (N)'!B189,0,IF('Reeksen (N)'!AD189&gt;'Reeksen (N)'!AE189,('Reeksen (N)'!B189-'Reeksen (N)'!D189)*X189,0))</f>
        <v>0</v>
      </c>
      <c r="AC189" s="99">
        <f t="shared" ca="1" si="25"/>
        <v>0</v>
      </c>
      <c r="AD189" s="98">
        <f ca="1">IF('Invoer gegevens (N)'!$C$17=E189,R189,IF(C189=0,0,AE188))</f>
        <v>0</v>
      </c>
      <c r="AE189" s="98">
        <f t="shared" ca="1" si="26"/>
        <v>0</v>
      </c>
      <c r="AF189" s="98">
        <f ca="1">IF('Invoer gegevens (N)'!$C$17=E189,X189,IF(C189=0,0,AG188))</f>
        <v>0</v>
      </c>
      <c r="AG189" s="98">
        <f t="shared" ca="1" si="27"/>
        <v>0</v>
      </c>
      <c r="AH189" s="66"/>
      <c r="AI189" s="71">
        <f ca="1">IF(C189=1,'Reeksen (N)'!AI189*((F189-G189+F189)/2)*12+'Reeksen (N)'!AD189*((L189-M189+L189)/2)*12,0)</f>
        <v>0</v>
      </c>
      <c r="AJ189" s="71">
        <f ca="1">-AI189*'Invoer gegevens (N)'!$F$28</f>
        <v>0</v>
      </c>
      <c r="AK189" s="71">
        <f t="shared" ca="1" si="28"/>
        <v>0</v>
      </c>
      <c r="AL189" s="71">
        <f ca="1">IF(C189=1,'Reeksen (N)'!AL189*((F189-G189+F189)/2)*12+'Reeksen (N)'!AM189*((L189-M189+L189)/2)*12,0)</f>
        <v>0</v>
      </c>
      <c r="AM189" s="71">
        <f ca="1">-AL189*'Invoer gegevens (N)'!$F$31</f>
        <v>0</v>
      </c>
      <c r="AN189" s="71">
        <f t="shared" ca="1" si="29"/>
        <v>0</v>
      </c>
      <c r="AO189" s="71">
        <f ca="1">IF(C189=1,(H189+J189+N189+P189)*'Reeksen (N)'!AN189,0)</f>
        <v>0</v>
      </c>
      <c r="AP189" s="71">
        <f ca="1">-IF(C189=1,(H189+J189+N189+P189)*'Hulp - basis'!$O$550*'Reeksen (N)'!H189,0)</f>
        <v>0</v>
      </c>
      <c r="AQ189" s="71">
        <f ca="1">-IF(C189=1,(F189+K189+L189+Q189)/2*'Invoer gegevens (N)'!$F$35*'Reeksen (N)'!J189,0)*2</f>
        <v>0</v>
      </c>
      <c r="AR189" s="71"/>
      <c r="AS189" s="71">
        <f ca="1">-IF(C189=1,(F189+K189+L189+Q189)/2*'Invoer gegevens (N)'!$F$37*'Reeksen (N)'!L189,0)</f>
        <v>0</v>
      </c>
      <c r="AT189" s="71">
        <f ca="1">-IF(C189=1,IF(E189='Invoer gegevens (N)'!$C$17,'Invoer gegevens (N)'!$C$11,AD189)*'Reeksen (N)'!S189*'Invoer gegevens (N)'!$C$18*'Reeksen (N)'!P189,0)</f>
        <v>0</v>
      </c>
      <c r="AU189" s="71">
        <f ca="1">-IF(C189=1,(F189+K189+L189+Q189)/2*'Invoer gegevens (N)'!$F$38*'Reeksen (N)'!H189,0)</f>
        <v>0</v>
      </c>
      <c r="AV189" s="71">
        <v>0</v>
      </c>
      <c r="AW189" s="71">
        <f t="shared" ca="1" si="30"/>
        <v>0</v>
      </c>
      <c r="AX189" s="71">
        <f ca="1">IF(E189&lt;'Invoer gegevens (N)'!$C$17+15,0,IF(E189&gt;'Invoer gegevens (N)'!$C$17+215,0,AW189))</f>
        <v>0</v>
      </c>
      <c r="AY189" s="71">
        <f ca="1">AX189/(1+'Invoer gegevens (N)'!$F$18)^($AZ189-('Invoer gegevens (N)'!$C$17-'Invoer gegevens (N)'!$C$16))/(1+'Invoer gegevens (N)'!$C$39)^('Invoer gegevens (N)'!$C$17-'Invoer gegevens (N)'!$C$16)</f>
        <v>0</v>
      </c>
      <c r="AZ189" s="68">
        <f ca="1">IF(E189-'Invoer gegevens (N)'!$C$17-14.5&lt;0,0,E189-'Invoer gegevens (N)'!$C$17-14.5)</f>
        <v>169.5</v>
      </c>
    </row>
    <row r="190" spans="1:52" x14ac:dyDescent="0.25">
      <c r="A190" s="59"/>
      <c r="B190" s="70">
        <f t="shared" si="31"/>
        <v>186</v>
      </c>
      <c r="C190" s="67">
        <f ca="1">IF(E190-'Invoer gegevens (N)'!$C$17&lt;0,0,1)</f>
        <v>1</v>
      </c>
      <c r="D190" s="68">
        <f t="shared" si="32"/>
        <v>185.5</v>
      </c>
      <c r="E190" s="69">
        <f ca="1">IF('Invoer gegevens (N)'!$C$16="","",E189+1)</f>
        <v>2204</v>
      </c>
      <c r="F190" s="84">
        <f ca="1">IF('Invoer gegevens (N)'!$C$17=E190,'Invoer gegevens (N)'!$C$10,IF(C190=1,K189,0))</f>
        <v>0</v>
      </c>
      <c r="G190" s="96">
        <f ca="1">IF(C190&gt;=1,F190*VLOOKUP(E190,'Reeksen (N)'!$A$5:$B$76,2),0)</f>
        <v>0</v>
      </c>
      <c r="H190" s="84">
        <f ca="1">(1-('Invoer gegevens (N)'!$F$20/12))*F190*MIN('Reeksen (N)'!B190,'Reeksen (N)'!D190)</f>
        <v>0</v>
      </c>
      <c r="I190" s="84">
        <f>IF('Reeksen (N)'!D190&lt;'Reeksen (N)'!B190,('Reeksen (N)'!B190-'Reeksen (N)'!D190)*F190,0)</f>
        <v>0</v>
      </c>
      <c r="J190" s="84">
        <f ca="1">('Invoer gegevens (N)'!$F$20/12)*F189*MIN('Reeksen (N)'!B189,'Reeksen (N)'!D189)</f>
        <v>0</v>
      </c>
      <c r="K190" s="97">
        <f t="shared" ca="1" si="22"/>
        <v>0</v>
      </c>
      <c r="L190" s="84">
        <f ca="1">IF('Invoer gegevens (N)'!$C$17=E190,0,IF(C190=1,Q189,0))</f>
        <v>0</v>
      </c>
      <c r="M190" s="96">
        <f ca="1">IF(C190&gt;=1,L190*VLOOKUP(E190,'Reeksen (N)'!$A$5:$B$76,2),0)</f>
        <v>0</v>
      </c>
      <c r="N190" s="84">
        <f ca="1">(1-('Invoer gegevens (N)'!$F$20/12))*L190*MIN('Reeksen (N)'!B190,'Reeksen (N)'!D190)</f>
        <v>0</v>
      </c>
      <c r="O190" s="84">
        <f>IF('Reeksen (N)'!D190&lt;'Reeksen (N)'!B190,('Reeksen (N)'!B190-'Reeksen (N)'!D190)*L190,0)</f>
        <v>0</v>
      </c>
      <c r="P190" s="84">
        <f ca="1">('Invoer gegevens (N)'!$F$20/12)*L189*MIN('Reeksen (N)'!B189,'Reeksen (N)'!D189)</f>
        <v>0</v>
      </c>
      <c r="Q190" s="84">
        <f t="shared" ca="1" si="23"/>
        <v>0</v>
      </c>
      <c r="R190" s="82">
        <f ca="1">IF('Invoer gegevens (N)'!$C$17=E190,'Invoer gegevens (N)'!$C$11,IF(C190=1,W189,0))</f>
        <v>0</v>
      </c>
      <c r="S190" s="86">
        <f ca="1">IF(C190&gt;=1,R190*VLOOKUP(E190,'Reeksen (N)'!$A$5:$B$76,2),0)</f>
        <v>0</v>
      </c>
      <c r="T190" s="84">
        <f ca="1">(1-('Invoer gegevens (N)'!$F$20/12))*R190*MIN('Reeksen (N)'!B190,'Reeksen (N)'!D190)</f>
        <v>0</v>
      </c>
      <c r="U190" s="84">
        <f>IF('Reeksen (N)'!D190&gt;='Reeksen (N)'!B190,0,IF('Reeksen (N)'!AD190&lt;='Reeksen (N)'!AE190,('Reeksen (N)'!B190-'Reeksen (N)'!D190)*R190,0))</f>
        <v>0</v>
      </c>
      <c r="V190" s="86">
        <f>IF('Reeksen (N)'!D190&gt;='Reeksen (N)'!B190,0,IF('Reeksen (N)'!AD190&gt;'Reeksen (N)'!AE190,('Reeksen (N)'!B190-'Reeksen (N)'!D190)*R190,0))</f>
        <v>0</v>
      </c>
      <c r="W190" s="97">
        <f t="shared" ca="1" si="24"/>
        <v>0</v>
      </c>
      <c r="X190" s="98">
        <f ca="1">IF('Invoer gegevens (N)'!$C$17=E190,'Invoer gegevens (N)'!$C$10-'Invoer gegevens (N)'!$C$11,IF(C190=1,AC189,0))</f>
        <v>0</v>
      </c>
      <c r="Y190" s="98">
        <f ca="1">IF(C190&gt;=1,X190*VLOOKUP(E190,'Reeksen (N)'!$A$5:$B$76,2),0)</f>
        <v>0</v>
      </c>
      <c r="Z190" s="98">
        <f ca="1">(1-('Invoer gegevens (N)'!$F$20/12))*X190*MIN('Reeksen (N)'!B190,'Reeksen (N)'!D190)</f>
        <v>0</v>
      </c>
      <c r="AA190" s="98">
        <f>IF('Reeksen (N)'!D190&gt;='Reeksen (N)'!B190,0,IF('Reeksen (N)'!AD190&lt;='Reeksen (N)'!AE190,('Reeksen (N)'!B190-'Reeksen (N)'!D190)*X190,0))</f>
        <v>0</v>
      </c>
      <c r="AB190" s="98">
        <f>IF('Reeksen (N)'!D190&gt;='Reeksen (N)'!B190,0,IF('Reeksen (N)'!AD190&gt;'Reeksen (N)'!AE190,('Reeksen (N)'!B190-'Reeksen (N)'!D190)*X190,0))</f>
        <v>0</v>
      </c>
      <c r="AC190" s="99">
        <f t="shared" ca="1" si="25"/>
        <v>0</v>
      </c>
      <c r="AD190" s="98">
        <f ca="1">IF('Invoer gegevens (N)'!$C$17=E190,R190,IF(C190=0,0,AE189))</f>
        <v>0</v>
      </c>
      <c r="AE190" s="98">
        <f t="shared" ca="1" si="26"/>
        <v>0</v>
      </c>
      <c r="AF190" s="98">
        <f ca="1">IF('Invoer gegevens (N)'!$C$17=E190,X190,IF(C190=0,0,AG189))</f>
        <v>0</v>
      </c>
      <c r="AG190" s="98">
        <f t="shared" ca="1" si="27"/>
        <v>0</v>
      </c>
      <c r="AH190" s="66"/>
      <c r="AI190" s="71">
        <f ca="1">IF(C190=1,'Reeksen (N)'!AI190*((F190-G190+F190)/2)*12+'Reeksen (N)'!AD190*((L190-M190+L190)/2)*12,0)</f>
        <v>0</v>
      </c>
      <c r="AJ190" s="71">
        <f ca="1">-AI190*'Invoer gegevens (N)'!$F$28</f>
        <v>0</v>
      </c>
      <c r="AK190" s="71">
        <f t="shared" ca="1" si="28"/>
        <v>0</v>
      </c>
      <c r="AL190" s="71">
        <f ca="1">IF(C190=1,'Reeksen (N)'!AL190*((F190-G190+F190)/2)*12+'Reeksen (N)'!AM190*((L190-M190+L190)/2)*12,0)</f>
        <v>0</v>
      </c>
      <c r="AM190" s="71">
        <f ca="1">-AL190*'Invoer gegevens (N)'!$F$31</f>
        <v>0</v>
      </c>
      <c r="AN190" s="71">
        <f t="shared" ca="1" si="29"/>
        <v>0</v>
      </c>
      <c r="AO190" s="71">
        <f ca="1">IF(C190=1,(H190+J190+N190+P190)*'Reeksen (N)'!AN190,0)</f>
        <v>0</v>
      </c>
      <c r="AP190" s="71">
        <f ca="1">-IF(C190=1,(H190+J190+N190+P190)*'Hulp - basis'!$O$550*'Reeksen (N)'!H190,0)</f>
        <v>0</v>
      </c>
      <c r="AQ190" s="71">
        <f ca="1">-IF(C190=1,(F190+K190+L190+Q190)/2*'Invoer gegevens (N)'!$F$35*'Reeksen (N)'!J190,0)*2</f>
        <v>0</v>
      </c>
      <c r="AR190" s="71"/>
      <c r="AS190" s="71">
        <f ca="1">-IF(C190=1,(F190+K190+L190+Q190)/2*'Invoer gegevens (N)'!$F$37*'Reeksen (N)'!L190,0)</f>
        <v>0</v>
      </c>
      <c r="AT190" s="71">
        <f ca="1">-IF(C190=1,IF(E190='Invoer gegevens (N)'!$C$17,'Invoer gegevens (N)'!$C$11,AD190)*'Reeksen (N)'!S190*'Invoer gegevens (N)'!$C$18*'Reeksen (N)'!P190,0)</f>
        <v>0</v>
      </c>
      <c r="AU190" s="71">
        <f ca="1">-IF(C190=1,(F190+K190+L190+Q190)/2*'Invoer gegevens (N)'!$F$38*'Reeksen (N)'!H190,0)</f>
        <v>0</v>
      </c>
      <c r="AV190" s="71">
        <v>0</v>
      </c>
      <c r="AW190" s="71">
        <f t="shared" ca="1" si="30"/>
        <v>0</v>
      </c>
      <c r="AX190" s="71">
        <f ca="1">IF(E190&lt;'Invoer gegevens (N)'!$C$17+15,0,IF(E190&gt;'Invoer gegevens (N)'!$C$17+215,0,AW190))</f>
        <v>0</v>
      </c>
      <c r="AY190" s="71">
        <f ca="1">AX190/(1+'Invoer gegevens (N)'!$F$18)^($AZ190-('Invoer gegevens (N)'!$C$17-'Invoer gegevens (N)'!$C$16))/(1+'Invoer gegevens (N)'!$C$39)^('Invoer gegevens (N)'!$C$17-'Invoer gegevens (N)'!$C$16)</f>
        <v>0</v>
      </c>
      <c r="AZ190" s="68">
        <f ca="1">IF(E190-'Invoer gegevens (N)'!$C$17-14.5&lt;0,0,E190-'Invoer gegevens (N)'!$C$17-14.5)</f>
        <v>170.5</v>
      </c>
    </row>
    <row r="191" spans="1:52" x14ac:dyDescent="0.25">
      <c r="A191" s="59"/>
      <c r="B191" s="70">
        <f t="shared" si="31"/>
        <v>187</v>
      </c>
      <c r="C191" s="67">
        <f ca="1">IF(E191-'Invoer gegevens (N)'!$C$17&lt;0,0,1)</f>
        <v>1</v>
      </c>
      <c r="D191" s="68">
        <f t="shared" si="32"/>
        <v>186.5</v>
      </c>
      <c r="E191" s="69">
        <f ca="1">IF('Invoer gegevens (N)'!$C$16="","",E190+1)</f>
        <v>2205</v>
      </c>
      <c r="F191" s="84">
        <f ca="1">IF('Invoer gegevens (N)'!$C$17=E191,'Invoer gegevens (N)'!$C$10,IF(C191=1,K190,0))</f>
        <v>0</v>
      </c>
      <c r="G191" s="96">
        <f ca="1">IF(C191&gt;=1,F191*VLOOKUP(E191,'Reeksen (N)'!$A$5:$B$76,2),0)</f>
        <v>0</v>
      </c>
      <c r="H191" s="84">
        <f ca="1">(1-('Invoer gegevens (N)'!$F$20/12))*F191*MIN('Reeksen (N)'!B191,'Reeksen (N)'!D191)</f>
        <v>0</v>
      </c>
      <c r="I191" s="84">
        <f>IF('Reeksen (N)'!D191&lt;'Reeksen (N)'!B191,('Reeksen (N)'!B191-'Reeksen (N)'!D191)*F191,0)</f>
        <v>0</v>
      </c>
      <c r="J191" s="84">
        <f ca="1">('Invoer gegevens (N)'!$F$20/12)*F190*MIN('Reeksen (N)'!B190,'Reeksen (N)'!D190)</f>
        <v>0</v>
      </c>
      <c r="K191" s="97">
        <f t="shared" ca="1" si="22"/>
        <v>0</v>
      </c>
      <c r="L191" s="84">
        <f ca="1">IF('Invoer gegevens (N)'!$C$17=E191,0,IF(C191=1,Q190,0))</f>
        <v>0</v>
      </c>
      <c r="M191" s="96">
        <f ca="1">IF(C191&gt;=1,L191*VLOOKUP(E191,'Reeksen (N)'!$A$5:$B$76,2),0)</f>
        <v>0</v>
      </c>
      <c r="N191" s="84">
        <f ca="1">(1-('Invoer gegevens (N)'!$F$20/12))*L191*MIN('Reeksen (N)'!B191,'Reeksen (N)'!D191)</f>
        <v>0</v>
      </c>
      <c r="O191" s="84">
        <f>IF('Reeksen (N)'!D191&lt;'Reeksen (N)'!B191,('Reeksen (N)'!B191-'Reeksen (N)'!D191)*L191,0)</f>
        <v>0</v>
      </c>
      <c r="P191" s="84">
        <f ca="1">('Invoer gegevens (N)'!$F$20/12)*L190*MIN('Reeksen (N)'!B190,'Reeksen (N)'!D190)</f>
        <v>0</v>
      </c>
      <c r="Q191" s="84">
        <f t="shared" ca="1" si="23"/>
        <v>0</v>
      </c>
      <c r="R191" s="82">
        <f ca="1">IF('Invoer gegevens (N)'!$C$17=E191,'Invoer gegevens (N)'!$C$11,IF(C191=1,W190,0))</f>
        <v>0</v>
      </c>
      <c r="S191" s="86">
        <f ca="1">IF(C191&gt;=1,R191*VLOOKUP(E191,'Reeksen (N)'!$A$5:$B$76,2),0)</f>
        <v>0</v>
      </c>
      <c r="T191" s="84">
        <f ca="1">(1-('Invoer gegevens (N)'!$F$20/12))*R191*MIN('Reeksen (N)'!B191,'Reeksen (N)'!D191)</f>
        <v>0</v>
      </c>
      <c r="U191" s="84">
        <f>IF('Reeksen (N)'!D191&gt;='Reeksen (N)'!B191,0,IF('Reeksen (N)'!AD191&lt;='Reeksen (N)'!AE191,('Reeksen (N)'!B191-'Reeksen (N)'!D191)*R191,0))</f>
        <v>0</v>
      </c>
      <c r="V191" s="86">
        <f>IF('Reeksen (N)'!D191&gt;='Reeksen (N)'!B191,0,IF('Reeksen (N)'!AD191&gt;'Reeksen (N)'!AE191,('Reeksen (N)'!B191-'Reeksen (N)'!D191)*R191,0))</f>
        <v>0</v>
      </c>
      <c r="W191" s="97">
        <f t="shared" ca="1" si="24"/>
        <v>0</v>
      </c>
      <c r="X191" s="98">
        <f ca="1">IF('Invoer gegevens (N)'!$C$17=E191,'Invoer gegevens (N)'!$C$10-'Invoer gegevens (N)'!$C$11,IF(C191=1,AC190,0))</f>
        <v>0</v>
      </c>
      <c r="Y191" s="98">
        <f ca="1">IF(C191&gt;=1,X191*VLOOKUP(E191,'Reeksen (N)'!$A$5:$B$76,2),0)</f>
        <v>0</v>
      </c>
      <c r="Z191" s="98">
        <f ca="1">(1-('Invoer gegevens (N)'!$F$20/12))*X191*MIN('Reeksen (N)'!B191,'Reeksen (N)'!D191)</f>
        <v>0</v>
      </c>
      <c r="AA191" s="98">
        <f>IF('Reeksen (N)'!D191&gt;='Reeksen (N)'!B191,0,IF('Reeksen (N)'!AD191&lt;='Reeksen (N)'!AE191,('Reeksen (N)'!B191-'Reeksen (N)'!D191)*X191,0))</f>
        <v>0</v>
      </c>
      <c r="AB191" s="98">
        <f>IF('Reeksen (N)'!D191&gt;='Reeksen (N)'!B191,0,IF('Reeksen (N)'!AD191&gt;'Reeksen (N)'!AE191,('Reeksen (N)'!B191-'Reeksen (N)'!D191)*X191,0))</f>
        <v>0</v>
      </c>
      <c r="AC191" s="99">
        <f t="shared" ca="1" si="25"/>
        <v>0</v>
      </c>
      <c r="AD191" s="98">
        <f ca="1">IF('Invoer gegevens (N)'!$C$17=E191,R191,IF(C191=0,0,AE190))</f>
        <v>0</v>
      </c>
      <c r="AE191" s="98">
        <f t="shared" ca="1" si="26"/>
        <v>0</v>
      </c>
      <c r="AF191" s="98">
        <f ca="1">IF('Invoer gegevens (N)'!$C$17=E191,X191,IF(C191=0,0,AG190))</f>
        <v>0</v>
      </c>
      <c r="AG191" s="98">
        <f t="shared" ca="1" si="27"/>
        <v>0</v>
      </c>
      <c r="AH191" s="66"/>
      <c r="AI191" s="71">
        <f ca="1">IF(C191=1,'Reeksen (N)'!AI191*((F191-G191+F191)/2)*12+'Reeksen (N)'!AD191*((L191-M191+L191)/2)*12,0)</f>
        <v>0</v>
      </c>
      <c r="AJ191" s="71">
        <f ca="1">-AI191*'Invoer gegevens (N)'!$F$28</f>
        <v>0</v>
      </c>
      <c r="AK191" s="71">
        <f t="shared" ca="1" si="28"/>
        <v>0</v>
      </c>
      <c r="AL191" s="71">
        <f ca="1">IF(C191=1,'Reeksen (N)'!AL191*((F191-G191+F191)/2)*12+'Reeksen (N)'!AM191*((L191-M191+L191)/2)*12,0)</f>
        <v>0</v>
      </c>
      <c r="AM191" s="71">
        <f ca="1">-AL191*'Invoer gegevens (N)'!$F$31</f>
        <v>0</v>
      </c>
      <c r="AN191" s="71">
        <f t="shared" ca="1" si="29"/>
        <v>0</v>
      </c>
      <c r="AO191" s="71">
        <f ca="1">IF(C191=1,(H191+J191+N191+P191)*'Reeksen (N)'!AN191,0)</f>
        <v>0</v>
      </c>
      <c r="AP191" s="71">
        <f ca="1">-IF(C191=1,(H191+J191+N191+P191)*'Hulp - basis'!$O$550*'Reeksen (N)'!H191,0)</f>
        <v>0</v>
      </c>
      <c r="AQ191" s="71">
        <f ca="1">-IF(C191=1,(F191+K191+L191+Q191)/2*'Invoer gegevens (N)'!$F$35*'Reeksen (N)'!J191,0)*2</f>
        <v>0</v>
      </c>
      <c r="AR191" s="71"/>
      <c r="AS191" s="71">
        <f ca="1">-IF(C191=1,(F191+K191+L191+Q191)/2*'Invoer gegevens (N)'!$F$37*'Reeksen (N)'!L191,0)</f>
        <v>0</v>
      </c>
      <c r="AT191" s="71">
        <f ca="1">-IF(C191=1,IF(E191='Invoer gegevens (N)'!$C$17,'Invoer gegevens (N)'!$C$11,AD191)*'Reeksen (N)'!S191*'Invoer gegevens (N)'!$C$18*'Reeksen (N)'!P191,0)</f>
        <v>0</v>
      </c>
      <c r="AU191" s="71">
        <f ca="1">-IF(C191=1,(F191+K191+L191+Q191)/2*'Invoer gegevens (N)'!$F$38*'Reeksen (N)'!H191,0)</f>
        <v>0</v>
      </c>
      <c r="AV191" s="71">
        <v>0</v>
      </c>
      <c r="AW191" s="71">
        <f t="shared" ca="1" si="30"/>
        <v>0</v>
      </c>
      <c r="AX191" s="71">
        <f ca="1">IF(E191&lt;'Invoer gegevens (N)'!$C$17+15,0,IF(E191&gt;'Invoer gegevens (N)'!$C$17+215,0,AW191))</f>
        <v>0</v>
      </c>
      <c r="AY191" s="71">
        <f ca="1">AX191/(1+'Invoer gegevens (N)'!$F$18)^($AZ191-('Invoer gegevens (N)'!$C$17-'Invoer gegevens (N)'!$C$16))/(1+'Invoer gegevens (N)'!$C$39)^('Invoer gegevens (N)'!$C$17-'Invoer gegevens (N)'!$C$16)</f>
        <v>0</v>
      </c>
      <c r="AZ191" s="68">
        <f ca="1">IF(E191-'Invoer gegevens (N)'!$C$17-14.5&lt;0,0,E191-'Invoer gegevens (N)'!$C$17-14.5)</f>
        <v>171.5</v>
      </c>
    </row>
    <row r="192" spans="1:52" x14ac:dyDescent="0.25">
      <c r="A192" s="59"/>
      <c r="B192" s="70">
        <f t="shared" si="31"/>
        <v>188</v>
      </c>
      <c r="C192" s="67">
        <f ca="1">IF(E192-'Invoer gegevens (N)'!$C$17&lt;0,0,1)</f>
        <v>1</v>
      </c>
      <c r="D192" s="68">
        <f t="shared" si="32"/>
        <v>187.5</v>
      </c>
      <c r="E192" s="69">
        <f ca="1">IF('Invoer gegevens (N)'!$C$16="","",E191+1)</f>
        <v>2206</v>
      </c>
      <c r="F192" s="84">
        <f ca="1">IF('Invoer gegevens (N)'!$C$17=E192,'Invoer gegevens (N)'!$C$10,IF(C192=1,K191,0))</f>
        <v>0</v>
      </c>
      <c r="G192" s="96">
        <f ca="1">IF(C192&gt;=1,F192*VLOOKUP(E192,'Reeksen (N)'!$A$5:$B$76,2),0)</f>
        <v>0</v>
      </c>
      <c r="H192" s="84">
        <f ca="1">(1-('Invoer gegevens (N)'!$F$20/12))*F192*MIN('Reeksen (N)'!B192,'Reeksen (N)'!D192)</f>
        <v>0</v>
      </c>
      <c r="I192" s="84">
        <f>IF('Reeksen (N)'!D192&lt;'Reeksen (N)'!B192,('Reeksen (N)'!B192-'Reeksen (N)'!D192)*F192,0)</f>
        <v>0</v>
      </c>
      <c r="J192" s="84">
        <f ca="1">('Invoer gegevens (N)'!$F$20/12)*F191*MIN('Reeksen (N)'!B191,'Reeksen (N)'!D191)</f>
        <v>0</v>
      </c>
      <c r="K192" s="97">
        <f t="shared" ca="1" si="22"/>
        <v>0</v>
      </c>
      <c r="L192" s="84">
        <f ca="1">IF('Invoer gegevens (N)'!$C$17=E192,0,IF(C192=1,Q191,0))</f>
        <v>0</v>
      </c>
      <c r="M192" s="96">
        <f ca="1">IF(C192&gt;=1,L192*VLOOKUP(E192,'Reeksen (N)'!$A$5:$B$76,2),0)</f>
        <v>0</v>
      </c>
      <c r="N192" s="84">
        <f ca="1">(1-('Invoer gegevens (N)'!$F$20/12))*L192*MIN('Reeksen (N)'!B192,'Reeksen (N)'!D192)</f>
        <v>0</v>
      </c>
      <c r="O192" s="84">
        <f>IF('Reeksen (N)'!D192&lt;'Reeksen (N)'!B192,('Reeksen (N)'!B192-'Reeksen (N)'!D192)*L192,0)</f>
        <v>0</v>
      </c>
      <c r="P192" s="84">
        <f ca="1">('Invoer gegevens (N)'!$F$20/12)*L191*MIN('Reeksen (N)'!B191,'Reeksen (N)'!D191)</f>
        <v>0</v>
      </c>
      <c r="Q192" s="84">
        <f t="shared" ca="1" si="23"/>
        <v>0</v>
      </c>
      <c r="R192" s="82">
        <f ca="1">IF('Invoer gegevens (N)'!$C$17=E192,'Invoer gegevens (N)'!$C$11,IF(C192=1,W191,0))</f>
        <v>0</v>
      </c>
      <c r="S192" s="86">
        <f ca="1">IF(C192&gt;=1,R192*VLOOKUP(E192,'Reeksen (N)'!$A$5:$B$76,2),0)</f>
        <v>0</v>
      </c>
      <c r="T192" s="84">
        <f ca="1">(1-('Invoer gegevens (N)'!$F$20/12))*R192*MIN('Reeksen (N)'!B192,'Reeksen (N)'!D192)</f>
        <v>0</v>
      </c>
      <c r="U192" s="84">
        <f>IF('Reeksen (N)'!D192&gt;='Reeksen (N)'!B192,0,IF('Reeksen (N)'!AD192&lt;='Reeksen (N)'!AE192,('Reeksen (N)'!B192-'Reeksen (N)'!D192)*R192,0))</f>
        <v>0</v>
      </c>
      <c r="V192" s="86">
        <f>IF('Reeksen (N)'!D192&gt;='Reeksen (N)'!B192,0,IF('Reeksen (N)'!AD192&gt;'Reeksen (N)'!AE192,('Reeksen (N)'!B192-'Reeksen (N)'!D192)*R192,0))</f>
        <v>0</v>
      </c>
      <c r="W192" s="97">
        <f t="shared" ca="1" si="24"/>
        <v>0</v>
      </c>
      <c r="X192" s="98">
        <f ca="1">IF('Invoer gegevens (N)'!$C$17=E192,'Invoer gegevens (N)'!$C$10-'Invoer gegevens (N)'!$C$11,IF(C192=1,AC191,0))</f>
        <v>0</v>
      </c>
      <c r="Y192" s="98">
        <f ca="1">IF(C192&gt;=1,X192*VLOOKUP(E192,'Reeksen (N)'!$A$5:$B$76,2),0)</f>
        <v>0</v>
      </c>
      <c r="Z192" s="98">
        <f ca="1">(1-('Invoer gegevens (N)'!$F$20/12))*X192*MIN('Reeksen (N)'!B192,'Reeksen (N)'!D192)</f>
        <v>0</v>
      </c>
      <c r="AA192" s="98">
        <f>IF('Reeksen (N)'!D192&gt;='Reeksen (N)'!B192,0,IF('Reeksen (N)'!AD192&lt;='Reeksen (N)'!AE192,('Reeksen (N)'!B192-'Reeksen (N)'!D192)*X192,0))</f>
        <v>0</v>
      </c>
      <c r="AB192" s="98">
        <f>IF('Reeksen (N)'!D192&gt;='Reeksen (N)'!B192,0,IF('Reeksen (N)'!AD192&gt;'Reeksen (N)'!AE192,('Reeksen (N)'!B192-'Reeksen (N)'!D192)*X192,0))</f>
        <v>0</v>
      </c>
      <c r="AC192" s="99">
        <f t="shared" ca="1" si="25"/>
        <v>0</v>
      </c>
      <c r="AD192" s="98">
        <f ca="1">IF('Invoer gegevens (N)'!$C$17=E192,R192,IF(C192=0,0,AE191))</f>
        <v>0</v>
      </c>
      <c r="AE192" s="98">
        <f t="shared" ca="1" si="26"/>
        <v>0</v>
      </c>
      <c r="AF192" s="98">
        <f ca="1">IF('Invoer gegevens (N)'!$C$17=E192,X192,IF(C192=0,0,AG191))</f>
        <v>0</v>
      </c>
      <c r="AG192" s="98">
        <f t="shared" ca="1" si="27"/>
        <v>0</v>
      </c>
      <c r="AH192" s="66"/>
      <c r="AI192" s="71">
        <f ca="1">IF(C192=1,'Reeksen (N)'!AI192*((F192-G192+F192)/2)*12+'Reeksen (N)'!AD192*((L192-M192+L192)/2)*12,0)</f>
        <v>0</v>
      </c>
      <c r="AJ192" s="71">
        <f ca="1">-AI192*'Invoer gegevens (N)'!$F$28</f>
        <v>0</v>
      </c>
      <c r="AK192" s="71">
        <f t="shared" ca="1" si="28"/>
        <v>0</v>
      </c>
      <c r="AL192" s="71">
        <f ca="1">IF(C192=1,'Reeksen (N)'!AL192*((F192-G192+F192)/2)*12+'Reeksen (N)'!AM192*((L192-M192+L192)/2)*12,0)</f>
        <v>0</v>
      </c>
      <c r="AM192" s="71">
        <f ca="1">-AL192*'Invoer gegevens (N)'!$F$31</f>
        <v>0</v>
      </c>
      <c r="AN192" s="71">
        <f t="shared" ca="1" si="29"/>
        <v>0</v>
      </c>
      <c r="AO192" s="71">
        <f ca="1">IF(C192=1,(H192+J192+N192+P192)*'Reeksen (N)'!AN192,0)</f>
        <v>0</v>
      </c>
      <c r="AP192" s="71">
        <f ca="1">-IF(C192=1,(H192+J192+N192+P192)*'Hulp - basis'!$O$550*'Reeksen (N)'!H192,0)</f>
        <v>0</v>
      </c>
      <c r="AQ192" s="71">
        <f ca="1">-IF(C192=1,(F192+K192+L192+Q192)/2*'Invoer gegevens (N)'!$F$35*'Reeksen (N)'!J192,0)*2</f>
        <v>0</v>
      </c>
      <c r="AR192" s="71"/>
      <c r="AS192" s="71">
        <f ca="1">-IF(C192=1,(F192+K192+L192+Q192)/2*'Invoer gegevens (N)'!$F$37*'Reeksen (N)'!L192,0)</f>
        <v>0</v>
      </c>
      <c r="AT192" s="71">
        <f ca="1">-IF(C192=1,IF(E192='Invoer gegevens (N)'!$C$17,'Invoer gegevens (N)'!$C$11,AD192)*'Reeksen (N)'!S192*'Invoer gegevens (N)'!$C$18*'Reeksen (N)'!P192,0)</f>
        <v>0</v>
      </c>
      <c r="AU192" s="71">
        <f ca="1">-IF(C192=1,(F192+K192+L192+Q192)/2*'Invoer gegevens (N)'!$F$38*'Reeksen (N)'!H192,0)</f>
        <v>0</v>
      </c>
      <c r="AV192" s="71">
        <v>0</v>
      </c>
      <c r="AW192" s="71">
        <f t="shared" ca="1" si="30"/>
        <v>0</v>
      </c>
      <c r="AX192" s="71">
        <f ca="1">IF(E192&lt;'Invoer gegevens (N)'!$C$17+15,0,IF(E192&gt;'Invoer gegevens (N)'!$C$17+215,0,AW192))</f>
        <v>0</v>
      </c>
      <c r="AY192" s="71">
        <f ca="1">AX192/(1+'Invoer gegevens (N)'!$F$18)^($AZ192-('Invoer gegevens (N)'!$C$17-'Invoer gegevens (N)'!$C$16))/(1+'Invoer gegevens (N)'!$C$39)^('Invoer gegevens (N)'!$C$17-'Invoer gegevens (N)'!$C$16)</f>
        <v>0</v>
      </c>
      <c r="AZ192" s="68">
        <f ca="1">IF(E192-'Invoer gegevens (N)'!$C$17-14.5&lt;0,0,E192-'Invoer gegevens (N)'!$C$17-14.5)</f>
        <v>172.5</v>
      </c>
    </row>
    <row r="193" spans="1:52" x14ac:dyDescent="0.25">
      <c r="A193" s="59"/>
      <c r="B193" s="70">
        <f t="shared" si="31"/>
        <v>189</v>
      </c>
      <c r="C193" s="67">
        <f ca="1">IF(E193-'Invoer gegevens (N)'!$C$17&lt;0,0,1)</f>
        <v>1</v>
      </c>
      <c r="D193" s="68">
        <f t="shared" si="32"/>
        <v>188.5</v>
      </c>
      <c r="E193" s="69">
        <f ca="1">IF('Invoer gegevens (N)'!$C$16="","",E192+1)</f>
        <v>2207</v>
      </c>
      <c r="F193" s="84">
        <f ca="1">IF('Invoer gegevens (N)'!$C$17=E193,'Invoer gegevens (N)'!$C$10,IF(C193=1,K192,0))</f>
        <v>0</v>
      </c>
      <c r="G193" s="96">
        <f ca="1">IF(C193&gt;=1,F193*VLOOKUP(E193,'Reeksen (N)'!$A$5:$B$76,2),0)</f>
        <v>0</v>
      </c>
      <c r="H193" s="84">
        <f ca="1">(1-('Invoer gegevens (N)'!$F$20/12))*F193*MIN('Reeksen (N)'!B193,'Reeksen (N)'!D193)</f>
        <v>0</v>
      </c>
      <c r="I193" s="84">
        <f>IF('Reeksen (N)'!D193&lt;'Reeksen (N)'!B193,('Reeksen (N)'!B193-'Reeksen (N)'!D193)*F193,0)</f>
        <v>0</v>
      </c>
      <c r="J193" s="84">
        <f ca="1">('Invoer gegevens (N)'!$F$20/12)*F192*MIN('Reeksen (N)'!B192,'Reeksen (N)'!D192)</f>
        <v>0</v>
      </c>
      <c r="K193" s="97">
        <f t="shared" ca="1" si="22"/>
        <v>0</v>
      </c>
      <c r="L193" s="84">
        <f ca="1">IF('Invoer gegevens (N)'!$C$17=E193,0,IF(C193=1,Q192,0))</f>
        <v>0</v>
      </c>
      <c r="M193" s="96">
        <f ca="1">IF(C193&gt;=1,L193*VLOOKUP(E193,'Reeksen (N)'!$A$5:$B$76,2),0)</f>
        <v>0</v>
      </c>
      <c r="N193" s="84">
        <f ca="1">(1-('Invoer gegevens (N)'!$F$20/12))*L193*MIN('Reeksen (N)'!B193,'Reeksen (N)'!D193)</f>
        <v>0</v>
      </c>
      <c r="O193" s="84">
        <f>IF('Reeksen (N)'!D193&lt;'Reeksen (N)'!B193,('Reeksen (N)'!B193-'Reeksen (N)'!D193)*L193,0)</f>
        <v>0</v>
      </c>
      <c r="P193" s="84">
        <f ca="1">('Invoer gegevens (N)'!$F$20/12)*L192*MIN('Reeksen (N)'!B192,'Reeksen (N)'!D192)</f>
        <v>0</v>
      </c>
      <c r="Q193" s="84">
        <f t="shared" ca="1" si="23"/>
        <v>0</v>
      </c>
      <c r="R193" s="82">
        <f ca="1">IF('Invoer gegevens (N)'!$C$17=E193,'Invoer gegevens (N)'!$C$11,IF(C193=1,W192,0))</f>
        <v>0</v>
      </c>
      <c r="S193" s="86">
        <f ca="1">IF(C193&gt;=1,R193*VLOOKUP(E193,'Reeksen (N)'!$A$5:$B$76,2),0)</f>
        <v>0</v>
      </c>
      <c r="T193" s="84">
        <f ca="1">(1-('Invoer gegevens (N)'!$F$20/12))*R193*MIN('Reeksen (N)'!B193,'Reeksen (N)'!D193)</f>
        <v>0</v>
      </c>
      <c r="U193" s="84">
        <f>IF('Reeksen (N)'!D193&gt;='Reeksen (N)'!B193,0,IF('Reeksen (N)'!AD193&lt;='Reeksen (N)'!AE193,('Reeksen (N)'!B193-'Reeksen (N)'!D193)*R193,0))</f>
        <v>0</v>
      </c>
      <c r="V193" s="86">
        <f>IF('Reeksen (N)'!D193&gt;='Reeksen (N)'!B193,0,IF('Reeksen (N)'!AD193&gt;'Reeksen (N)'!AE193,('Reeksen (N)'!B193-'Reeksen (N)'!D193)*R193,0))</f>
        <v>0</v>
      </c>
      <c r="W193" s="97">
        <f t="shared" ca="1" si="24"/>
        <v>0</v>
      </c>
      <c r="X193" s="98">
        <f ca="1">IF('Invoer gegevens (N)'!$C$17=E193,'Invoer gegevens (N)'!$C$10-'Invoer gegevens (N)'!$C$11,IF(C193=1,AC192,0))</f>
        <v>0</v>
      </c>
      <c r="Y193" s="98">
        <f ca="1">IF(C193&gt;=1,X193*VLOOKUP(E193,'Reeksen (N)'!$A$5:$B$76,2),0)</f>
        <v>0</v>
      </c>
      <c r="Z193" s="98">
        <f ca="1">(1-('Invoer gegevens (N)'!$F$20/12))*X193*MIN('Reeksen (N)'!B193,'Reeksen (N)'!D193)</f>
        <v>0</v>
      </c>
      <c r="AA193" s="98">
        <f>IF('Reeksen (N)'!D193&gt;='Reeksen (N)'!B193,0,IF('Reeksen (N)'!AD193&lt;='Reeksen (N)'!AE193,('Reeksen (N)'!B193-'Reeksen (N)'!D193)*X193,0))</f>
        <v>0</v>
      </c>
      <c r="AB193" s="98">
        <f>IF('Reeksen (N)'!D193&gt;='Reeksen (N)'!B193,0,IF('Reeksen (N)'!AD193&gt;'Reeksen (N)'!AE193,('Reeksen (N)'!B193-'Reeksen (N)'!D193)*X193,0))</f>
        <v>0</v>
      </c>
      <c r="AC193" s="99">
        <f t="shared" ca="1" si="25"/>
        <v>0</v>
      </c>
      <c r="AD193" s="98">
        <f ca="1">IF('Invoer gegevens (N)'!$C$17=E193,R193,IF(C193=0,0,AE192))</f>
        <v>0</v>
      </c>
      <c r="AE193" s="98">
        <f t="shared" ca="1" si="26"/>
        <v>0</v>
      </c>
      <c r="AF193" s="98">
        <f ca="1">IF('Invoer gegevens (N)'!$C$17=E193,X193,IF(C193=0,0,AG192))</f>
        <v>0</v>
      </c>
      <c r="AG193" s="98">
        <f t="shared" ca="1" si="27"/>
        <v>0</v>
      </c>
      <c r="AH193" s="66"/>
      <c r="AI193" s="71">
        <f ca="1">IF(C193=1,'Reeksen (N)'!AI193*((F193-G193+F193)/2)*12+'Reeksen (N)'!AD193*((L193-M193+L193)/2)*12,0)</f>
        <v>0</v>
      </c>
      <c r="AJ193" s="71">
        <f ca="1">-AI193*'Invoer gegevens (N)'!$F$28</f>
        <v>0</v>
      </c>
      <c r="AK193" s="71">
        <f t="shared" ca="1" si="28"/>
        <v>0</v>
      </c>
      <c r="AL193" s="71">
        <f ca="1">IF(C193=1,'Reeksen (N)'!AL193*((F193-G193+F193)/2)*12+'Reeksen (N)'!AM193*((L193-M193+L193)/2)*12,0)</f>
        <v>0</v>
      </c>
      <c r="AM193" s="71">
        <f ca="1">-AL193*'Invoer gegevens (N)'!$F$31</f>
        <v>0</v>
      </c>
      <c r="AN193" s="71">
        <f t="shared" ca="1" si="29"/>
        <v>0</v>
      </c>
      <c r="AO193" s="71">
        <f ca="1">IF(C193=1,(H193+J193+N193+P193)*'Reeksen (N)'!AN193,0)</f>
        <v>0</v>
      </c>
      <c r="AP193" s="71">
        <f ca="1">-IF(C193=1,(H193+J193+N193+P193)*'Hulp - basis'!$O$550*'Reeksen (N)'!H193,0)</f>
        <v>0</v>
      </c>
      <c r="AQ193" s="71">
        <f ca="1">-IF(C193=1,(F193+K193+L193+Q193)/2*'Invoer gegevens (N)'!$F$35*'Reeksen (N)'!J193,0)*2</f>
        <v>0</v>
      </c>
      <c r="AR193" s="71"/>
      <c r="AS193" s="71">
        <f ca="1">-IF(C193=1,(F193+K193+L193+Q193)/2*'Invoer gegevens (N)'!$F$37*'Reeksen (N)'!L193,0)</f>
        <v>0</v>
      </c>
      <c r="AT193" s="71">
        <f ca="1">-IF(C193=1,IF(E193='Invoer gegevens (N)'!$C$17,'Invoer gegevens (N)'!$C$11,AD193)*'Reeksen (N)'!S193*'Invoer gegevens (N)'!$C$18*'Reeksen (N)'!P193,0)</f>
        <v>0</v>
      </c>
      <c r="AU193" s="71">
        <f ca="1">-IF(C193=1,(F193+K193+L193+Q193)/2*'Invoer gegevens (N)'!$F$38*'Reeksen (N)'!H193,0)</f>
        <v>0</v>
      </c>
      <c r="AV193" s="71">
        <v>0</v>
      </c>
      <c r="AW193" s="71">
        <f t="shared" ca="1" si="30"/>
        <v>0</v>
      </c>
      <c r="AX193" s="71">
        <f ca="1">IF(E193&lt;'Invoer gegevens (N)'!$C$17+15,0,IF(E193&gt;'Invoer gegevens (N)'!$C$17+215,0,AW193))</f>
        <v>0</v>
      </c>
      <c r="AY193" s="71">
        <f ca="1">AX193/(1+'Invoer gegevens (N)'!$F$18)^($AZ193-('Invoer gegevens (N)'!$C$17-'Invoer gegevens (N)'!$C$16))/(1+'Invoer gegevens (N)'!$C$39)^('Invoer gegevens (N)'!$C$17-'Invoer gegevens (N)'!$C$16)</f>
        <v>0</v>
      </c>
      <c r="AZ193" s="68">
        <f ca="1">IF(E193-'Invoer gegevens (N)'!$C$17-14.5&lt;0,0,E193-'Invoer gegevens (N)'!$C$17-14.5)</f>
        <v>173.5</v>
      </c>
    </row>
    <row r="194" spans="1:52" x14ac:dyDescent="0.25">
      <c r="A194" s="59"/>
      <c r="B194" s="70">
        <f t="shared" si="31"/>
        <v>190</v>
      </c>
      <c r="C194" s="67">
        <f ca="1">IF(E194-'Invoer gegevens (N)'!$C$17&lt;0,0,1)</f>
        <v>1</v>
      </c>
      <c r="D194" s="68">
        <f t="shared" si="32"/>
        <v>189.5</v>
      </c>
      <c r="E194" s="69">
        <f ca="1">IF('Invoer gegevens (N)'!$C$16="","",E193+1)</f>
        <v>2208</v>
      </c>
      <c r="F194" s="84">
        <f ca="1">IF('Invoer gegevens (N)'!$C$17=E194,'Invoer gegevens (N)'!$C$10,IF(C194=1,K193,0))</f>
        <v>0</v>
      </c>
      <c r="G194" s="96">
        <f ca="1">IF(C194&gt;=1,F194*VLOOKUP(E194,'Reeksen (N)'!$A$5:$B$76,2),0)</f>
        <v>0</v>
      </c>
      <c r="H194" s="84">
        <f ca="1">(1-('Invoer gegevens (N)'!$F$20/12))*F194*MIN('Reeksen (N)'!B194,'Reeksen (N)'!D194)</f>
        <v>0</v>
      </c>
      <c r="I194" s="84">
        <f>IF('Reeksen (N)'!D194&lt;'Reeksen (N)'!B194,('Reeksen (N)'!B194-'Reeksen (N)'!D194)*F194,0)</f>
        <v>0</v>
      </c>
      <c r="J194" s="84">
        <f ca="1">('Invoer gegevens (N)'!$F$20/12)*F193*MIN('Reeksen (N)'!B193,'Reeksen (N)'!D193)</f>
        <v>0</v>
      </c>
      <c r="K194" s="97">
        <f t="shared" ca="1" si="22"/>
        <v>0</v>
      </c>
      <c r="L194" s="84">
        <f ca="1">IF('Invoer gegevens (N)'!$C$17=E194,0,IF(C194=1,Q193,0))</f>
        <v>0</v>
      </c>
      <c r="M194" s="96">
        <f ca="1">IF(C194&gt;=1,L194*VLOOKUP(E194,'Reeksen (N)'!$A$5:$B$76,2),0)</f>
        <v>0</v>
      </c>
      <c r="N194" s="84">
        <f ca="1">(1-('Invoer gegevens (N)'!$F$20/12))*L194*MIN('Reeksen (N)'!B194,'Reeksen (N)'!D194)</f>
        <v>0</v>
      </c>
      <c r="O194" s="84">
        <f>IF('Reeksen (N)'!D194&lt;'Reeksen (N)'!B194,('Reeksen (N)'!B194-'Reeksen (N)'!D194)*L194,0)</f>
        <v>0</v>
      </c>
      <c r="P194" s="84">
        <f ca="1">('Invoer gegevens (N)'!$F$20/12)*L193*MIN('Reeksen (N)'!B193,'Reeksen (N)'!D193)</f>
        <v>0</v>
      </c>
      <c r="Q194" s="84">
        <f t="shared" ca="1" si="23"/>
        <v>0</v>
      </c>
      <c r="R194" s="82">
        <f ca="1">IF('Invoer gegevens (N)'!$C$17=E194,'Invoer gegevens (N)'!$C$11,IF(C194=1,W193,0))</f>
        <v>0</v>
      </c>
      <c r="S194" s="86">
        <f ca="1">IF(C194&gt;=1,R194*VLOOKUP(E194,'Reeksen (N)'!$A$5:$B$76,2),0)</f>
        <v>0</v>
      </c>
      <c r="T194" s="84">
        <f ca="1">(1-('Invoer gegevens (N)'!$F$20/12))*R194*MIN('Reeksen (N)'!B194,'Reeksen (N)'!D194)</f>
        <v>0</v>
      </c>
      <c r="U194" s="84">
        <f>IF('Reeksen (N)'!D194&gt;='Reeksen (N)'!B194,0,IF('Reeksen (N)'!AD194&lt;='Reeksen (N)'!AE194,('Reeksen (N)'!B194-'Reeksen (N)'!D194)*R194,0))</f>
        <v>0</v>
      </c>
      <c r="V194" s="86">
        <f>IF('Reeksen (N)'!D194&gt;='Reeksen (N)'!B194,0,IF('Reeksen (N)'!AD194&gt;'Reeksen (N)'!AE194,('Reeksen (N)'!B194-'Reeksen (N)'!D194)*R194,0))</f>
        <v>0</v>
      </c>
      <c r="W194" s="97">
        <f t="shared" ca="1" si="24"/>
        <v>0</v>
      </c>
      <c r="X194" s="98">
        <f ca="1">IF('Invoer gegevens (N)'!$C$17=E194,'Invoer gegevens (N)'!$C$10-'Invoer gegevens (N)'!$C$11,IF(C194=1,AC193,0))</f>
        <v>0</v>
      </c>
      <c r="Y194" s="98">
        <f ca="1">IF(C194&gt;=1,X194*VLOOKUP(E194,'Reeksen (N)'!$A$5:$B$76,2),0)</f>
        <v>0</v>
      </c>
      <c r="Z194" s="98">
        <f ca="1">(1-('Invoer gegevens (N)'!$F$20/12))*X194*MIN('Reeksen (N)'!B194,'Reeksen (N)'!D194)</f>
        <v>0</v>
      </c>
      <c r="AA194" s="98">
        <f>IF('Reeksen (N)'!D194&gt;='Reeksen (N)'!B194,0,IF('Reeksen (N)'!AD194&lt;='Reeksen (N)'!AE194,('Reeksen (N)'!B194-'Reeksen (N)'!D194)*X194,0))</f>
        <v>0</v>
      </c>
      <c r="AB194" s="98">
        <f>IF('Reeksen (N)'!D194&gt;='Reeksen (N)'!B194,0,IF('Reeksen (N)'!AD194&gt;'Reeksen (N)'!AE194,('Reeksen (N)'!B194-'Reeksen (N)'!D194)*X194,0))</f>
        <v>0</v>
      </c>
      <c r="AC194" s="99">
        <f t="shared" ca="1" si="25"/>
        <v>0</v>
      </c>
      <c r="AD194" s="98">
        <f ca="1">IF('Invoer gegevens (N)'!$C$17=E194,R194,IF(C194=0,0,AE193))</f>
        <v>0</v>
      </c>
      <c r="AE194" s="98">
        <f t="shared" ca="1" si="26"/>
        <v>0</v>
      </c>
      <c r="AF194" s="98">
        <f ca="1">IF('Invoer gegevens (N)'!$C$17=E194,X194,IF(C194=0,0,AG193))</f>
        <v>0</v>
      </c>
      <c r="AG194" s="98">
        <f t="shared" ca="1" si="27"/>
        <v>0</v>
      </c>
      <c r="AH194" s="66"/>
      <c r="AI194" s="71">
        <f ca="1">IF(C194=1,'Reeksen (N)'!AI194*((F194-G194+F194)/2)*12+'Reeksen (N)'!AD194*((L194-M194+L194)/2)*12,0)</f>
        <v>0</v>
      </c>
      <c r="AJ194" s="71">
        <f ca="1">-AI194*'Invoer gegevens (N)'!$F$28</f>
        <v>0</v>
      </c>
      <c r="AK194" s="71">
        <f t="shared" ca="1" si="28"/>
        <v>0</v>
      </c>
      <c r="AL194" s="71">
        <f ca="1">IF(C194=1,'Reeksen (N)'!AL194*((F194-G194+F194)/2)*12+'Reeksen (N)'!AM194*((L194-M194+L194)/2)*12,0)</f>
        <v>0</v>
      </c>
      <c r="AM194" s="71">
        <f ca="1">-AL194*'Invoer gegevens (N)'!$F$31</f>
        <v>0</v>
      </c>
      <c r="AN194" s="71">
        <f t="shared" ca="1" si="29"/>
        <v>0</v>
      </c>
      <c r="AO194" s="71">
        <f ca="1">IF(C194=1,(H194+J194+N194+P194)*'Reeksen (N)'!AN194,0)</f>
        <v>0</v>
      </c>
      <c r="AP194" s="71">
        <f ca="1">-IF(C194=1,(H194+J194+N194+P194)*'Hulp - basis'!$O$550*'Reeksen (N)'!H194,0)</f>
        <v>0</v>
      </c>
      <c r="AQ194" s="71">
        <f ca="1">-IF(C194=1,(F194+K194+L194+Q194)/2*'Invoer gegevens (N)'!$F$35*'Reeksen (N)'!J194,0)*2</f>
        <v>0</v>
      </c>
      <c r="AR194" s="71"/>
      <c r="AS194" s="71">
        <f ca="1">-IF(C194=1,(F194+K194+L194+Q194)/2*'Invoer gegevens (N)'!$F$37*'Reeksen (N)'!L194,0)</f>
        <v>0</v>
      </c>
      <c r="AT194" s="71">
        <f ca="1">-IF(C194=1,IF(E194='Invoer gegevens (N)'!$C$17,'Invoer gegevens (N)'!$C$11,AD194)*'Reeksen (N)'!S194*'Invoer gegevens (N)'!$C$18*'Reeksen (N)'!P194,0)</f>
        <v>0</v>
      </c>
      <c r="AU194" s="71">
        <f ca="1">-IF(C194=1,(F194+K194+L194+Q194)/2*'Invoer gegevens (N)'!$F$38*'Reeksen (N)'!H194,0)</f>
        <v>0</v>
      </c>
      <c r="AV194" s="71">
        <v>0</v>
      </c>
      <c r="AW194" s="71">
        <f t="shared" ca="1" si="30"/>
        <v>0</v>
      </c>
      <c r="AX194" s="71">
        <f ca="1">IF(E194&lt;'Invoer gegevens (N)'!$C$17+15,0,IF(E194&gt;'Invoer gegevens (N)'!$C$17+215,0,AW194))</f>
        <v>0</v>
      </c>
      <c r="AY194" s="71">
        <f ca="1">AX194/(1+'Invoer gegevens (N)'!$F$18)^($AZ194-('Invoer gegevens (N)'!$C$17-'Invoer gegevens (N)'!$C$16))/(1+'Invoer gegevens (N)'!$C$39)^('Invoer gegevens (N)'!$C$17-'Invoer gegevens (N)'!$C$16)</f>
        <v>0</v>
      </c>
      <c r="AZ194" s="68">
        <f ca="1">IF(E194-'Invoer gegevens (N)'!$C$17-14.5&lt;0,0,E194-'Invoer gegevens (N)'!$C$17-14.5)</f>
        <v>174.5</v>
      </c>
    </row>
    <row r="195" spans="1:52" x14ac:dyDescent="0.25">
      <c r="A195" s="59"/>
      <c r="B195" s="70">
        <f t="shared" si="31"/>
        <v>191</v>
      </c>
      <c r="C195" s="67">
        <f ca="1">IF(E195-'Invoer gegevens (N)'!$C$17&lt;0,0,1)</f>
        <v>1</v>
      </c>
      <c r="D195" s="68">
        <f t="shared" si="32"/>
        <v>190.5</v>
      </c>
      <c r="E195" s="69">
        <f ca="1">IF('Invoer gegevens (N)'!$C$16="","",E194+1)</f>
        <v>2209</v>
      </c>
      <c r="F195" s="84">
        <f ca="1">IF('Invoer gegevens (N)'!$C$17=E195,'Invoer gegevens (N)'!$C$10,IF(C195=1,K194,0))</f>
        <v>0</v>
      </c>
      <c r="G195" s="96">
        <f ca="1">IF(C195&gt;=1,F195*VLOOKUP(E195,'Reeksen (N)'!$A$5:$B$76,2),0)</f>
        <v>0</v>
      </c>
      <c r="H195" s="84">
        <f ca="1">(1-('Invoer gegevens (N)'!$F$20/12))*F195*MIN('Reeksen (N)'!B195,'Reeksen (N)'!D195)</f>
        <v>0</v>
      </c>
      <c r="I195" s="84">
        <f>IF('Reeksen (N)'!D195&lt;'Reeksen (N)'!B195,('Reeksen (N)'!B195-'Reeksen (N)'!D195)*F195,0)</f>
        <v>0</v>
      </c>
      <c r="J195" s="84">
        <f ca="1">('Invoer gegevens (N)'!$F$20/12)*F194*MIN('Reeksen (N)'!B194,'Reeksen (N)'!D194)</f>
        <v>0</v>
      </c>
      <c r="K195" s="97">
        <f t="shared" ca="1" si="22"/>
        <v>0</v>
      </c>
      <c r="L195" s="84">
        <f ca="1">IF('Invoer gegevens (N)'!$C$17=E195,0,IF(C195=1,Q194,0))</f>
        <v>0</v>
      </c>
      <c r="M195" s="96">
        <f ca="1">IF(C195&gt;=1,L195*VLOOKUP(E195,'Reeksen (N)'!$A$5:$B$76,2),0)</f>
        <v>0</v>
      </c>
      <c r="N195" s="84">
        <f ca="1">(1-('Invoer gegevens (N)'!$F$20/12))*L195*MIN('Reeksen (N)'!B195,'Reeksen (N)'!D195)</f>
        <v>0</v>
      </c>
      <c r="O195" s="84">
        <f>IF('Reeksen (N)'!D195&lt;'Reeksen (N)'!B195,('Reeksen (N)'!B195-'Reeksen (N)'!D195)*L195,0)</f>
        <v>0</v>
      </c>
      <c r="P195" s="84">
        <f ca="1">('Invoer gegevens (N)'!$F$20/12)*L194*MIN('Reeksen (N)'!B194,'Reeksen (N)'!D194)</f>
        <v>0</v>
      </c>
      <c r="Q195" s="84">
        <f t="shared" ca="1" si="23"/>
        <v>0</v>
      </c>
      <c r="R195" s="82">
        <f ca="1">IF('Invoer gegevens (N)'!$C$17=E195,'Invoer gegevens (N)'!$C$11,IF(C195=1,W194,0))</f>
        <v>0</v>
      </c>
      <c r="S195" s="86">
        <f ca="1">IF(C195&gt;=1,R195*VLOOKUP(E195,'Reeksen (N)'!$A$5:$B$76,2),0)</f>
        <v>0</v>
      </c>
      <c r="T195" s="84">
        <f ca="1">(1-('Invoer gegevens (N)'!$F$20/12))*R195*MIN('Reeksen (N)'!B195,'Reeksen (N)'!D195)</f>
        <v>0</v>
      </c>
      <c r="U195" s="84">
        <f>IF('Reeksen (N)'!D195&gt;='Reeksen (N)'!B195,0,IF('Reeksen (N)'!AD195&lt;='Reeksen (N)'!AE195,('Reeksen (N)'!B195-'Reeksen (N)'!D195)*R195,0))</f>
        <v>0</v>
      </c>
      <c r="V195" s="86">
        <f>IF('Reeksen (N)'!D195&gt;='Reeksen (N)'!B195,0,IF('Reeksen (N)'!AD195&gt;'Reeksen (N)'!AE195,('Reeksen (N)'!B195-'Reeksen (N)'!D195)*R195,0))</f>
        <v>0</v>
      </c>
      <c r="W195" s="97">
        <f t="shared" ca="1" si="24"/>
        <v>0</v>
      </c>
      <c r="X195" s="98">
        <f ca="1">IF('Invoer gegevens (N)'!$C$17=E195,'Invoer gegevens (N)'!$C$10-'Invoer gegevens (N)'!$C$11,IF(C195=1,AC194,0))</f>
        <v>0</v>
      </c>
      <c r="Y195" s="98">
        <f ca="1">IF(C195&gt;=1,X195*VLOOKUP(E195,'Reeksen (N)'!$A$5:$B$76,2),0)</f>
        <v>0</v>
      </c>
      <c r="Z195" s="98">
        <f ca="1">(1-('Invoer gegevens (N)'!$F$20/12))*X195*MIN('Reeksen (N)'!B195,'Reeksen (N)'!D195)</f>
        <v>0</v>
      </c>
      <c r="AA195" s="98">
        <f>IF('Reeksen (N)'!D195&gt;='Reeksen (N)'!B195,0,IF('Reeksen (N)'!AD195&lt;='Reeksen (N)'!AE195,('Reeksen (N)'!B195-'Reeksen (N)'!D195)*X195,0))</f>
        <v>0</v>
      </c>
      <c r="AB195" s="98">
        <f>IF('Reeksen (N)'!D195&gt;='Reeksen (N)'!B195,0,IF('Reeksen (N)'!AD195&gt;'Reeksen (N)'!AE195,('Reeksen (N)'!B195-'Reeksen (N)'!D195)*X195,0))</f>
        <v>0</v>
      </c>
      <c r="AC195" s="99">
        <f t="shared" ca="1" si="25"/>
        <v>0</v>
      </c>
      <c r="AD195" s="98">
        <f ca="1">IF('Invoer gegevens (N)'!$C$17=E195,R195,IF(C195=0,0,AE194))</f>
        <v>0</v>
      </c>
      <c r="AE195" s="98">
        <f t="shared" ca="1" si="26"/>
        <v>0</v>
      </c>
      <c r="AF195" s="98">
        <f ca="1">IF('Invoer gegevens (N)'!$C$17=E195,X195,IF(C195=0,0,AG194))</f>
        <v>0</v>
      </c>
      <c r="AG195" s="98">
        <f t="shared" ca="1" si="27"/>
        <v>0</v>
      </c>
      <c r="AH195" s="66"/>
      <c r="AI195" s="71">
        <f ca="1">IF(C195=1,'Reeksen (N)'!AI195*((F195-G195+F195)/2)*12+'Reeksen (N)'!AD195*((L195-M195+L195)/2)*12,0)</f>
        <v>0</v>
      </c>
      <c r="AJ195" s="71">
        <f ca="1">-AI195*'Invoer gegevens (N)'!$F$28</f>
        <v>0</v>
      </c>
      <c r="AK195" s="71">
        <f t="shared" ca="1" si="28"/>
        <v>0</v>
      </c>
      <c r="AL195" s="71">
        <f ca="1">IF(C195=1,'Reeksen (N)'!AL195*((F195-G195+F195)/2)*12+'Reeksen (N)'!AM195*((L195-M195+L195)/2)*12,0)</f>
        <v>0</v>
      </c>
      <c r="AM195" s="71">
        <f ca="1">-AL195*'Invoer gegevens (N)'!$F$31</f>
        <v>0</v>
      </c>
      <c r="AN195" s="71">
        <f t="shared" ca="1" si="29"/>
        <v>0</v>
      </c>
      <c r="AO195" s="71">
        <f ca="1">IF(C195=1,(H195+J195+N195+P195)*'Reeksen (N)'!AN195,0)</f>
        <v>0</v>
      </c>
      <c r="AP195" s="71">
        <f ca="1">-IF(C195=1,(H195+J195+N195+P195)*'Hulp - basis'!$O$550*'Reeksen (N)'!H195,0)</f>
        <v>0</v>
      </c>
      <c r="AQ195" s="71">
        <f ca="1">-IF(C195=1,(F195+K195+L195+Q195)/2*'Invoer gegevens (N)'!$F$35*'Reeksen (N)'!J195,0)*2</f>
        <v>0</v>
      </c>
      <c r="AR195" s="71"/>
      <c r="AS195" s="71">
        <f ca="1">-IF(C195=1,(F195+K195+L195+Q195)/2*'Invoer gegevens (N)'!$F$37*'Reeksen (N)'!L195,0)</f>
        <v>0</v>
      </c>
      <c r="AT195" s="71">
        <f ca="1">-IF(C195=1,IF(E195='Invoer gegevens (N)'!$C$17,'Invoer gegevens (N)'!$C$11,AD195)*'Reeksen (N)'!S195*'Invoer gegevens (N)'!$C$18*'Reeksen (N)'!P195,0)</f>
        <v>0</v>
      </c>
      <c r="AU195" s="71">
        <f ca="1">-IF(C195=1,(F195+K195+L195+Q195)/2*'Invoer gegevens (N)'!$F$38*'Reeksen (N)'!H195,0)</f>
        <v>0</v>
      </c>
      <c r="AV195" s="71">
        <v>0</v>
      </c>
      <c r="AW195" s="71">
        <f t="shared" ca="1" si="30"/>
        <v>0</v>
      </c>
      <c r="AX195" s="71">
        <f ca="1">IF(E195&lt;'Invoer gegevens (N)'!$C$17+15,0,IF(E195&gt;'Invoer gegevens (N)'!$C$17+215,0,AW195))</f>
        <v>0</v>
      </c>
      <c r="AY195" s="71">
        <f ca="1">AX195/(1+'Invoer gegevens (N)'!$F$18)^($AZ195-('Invoer gegevens (N)'!$C$17-'Invoer gegevens (N)'!$C$16))/(1+'Invoer gegevens (N)'!$C$39)^('Invoer gegevens (N)'!$C$17-'Invoer gegevens (N)'!$C$16)</f>
        <v>0</v>
      </c>
      <c r="AZ195" s="68">
        <f ca="1">IF(E195-'Invoer gegevens (N)'!$C$17-14.5&lt;0,0,E195-'Invoer gegevens (N)'!$C$17-14.5)</f>
        <v>175.5</v>
      </c>
    </row>
    <row r="196" spans="1:52" x14ac:dyDescent="0.25">
      <c r="A196" s="59"/>
      <c r="B196" s="70">
        <f t="shared" si="31"/>
        <v>192</v>
      </c>
      <c r="C196" s="67">
        <f ca="1">IF(E196-'Invoer gegevens (N)'!$C$17&lt;0,0,1)</f>
        <v>1</v>
      </c>
      <c r="D196" s="68">
        <f t="shared" si="32"/>
        <v>191.5</v>
      </c>
      <c r="E196" s="69">
        <f ca="1">IF('Invoer gegevens (N)'!$C$16="","",E195+1)</f>
        <v>2210</v>
      </c>
      <c r="F196" s="84">
        <f ca="1">IF('Invoer gegevens (N)'!$C$17=E196,'Invoer gegevens (N)'!$C$10,IF(C196=1,K195,0))</f>
        <v>0</v>
      </c>
      <c r="G196" s="96">
        <f ca="1">IF(C196&gt;=1,F196*VLOOKUP(E196,'Reeksen (N)'!$A$5:$B$76,2),0)</f>
        <v>0</v>
      </c>
      <c r="H196" s="84">
        <f ca="1">(1-('Invoer gegevens (N)'!$F$20/12))*F196*MIN('Reeksen (N)'!B196,'Reeksen (N)'!D196)</f>
        <v>0</v>
      </c>
      <c r="I196" s="84">
        <f>IF('Reeksen (N)'!D196&lt;'Reeksen (N)'!B196,('Reeksen (N)'!B196-'Reeksen (N)'!D196)*F196,0)</f>
        <v>0</v>
      </c>
      <c r="J196" s="84">
        <f ca="1">('Invoer gegevens (N)'!$F$20/12)*F195*MIN('Reeksen (N)'!B195,'Reeksen (N)'!D195)</f>
        <v>0</v>
      </c>
      <c r="K196" s="97">
        <f t="shared" ca="1" si="22"/>
        <v>0</v>
      </c>
      <c r="L196" s="84">
        <f ca="1">IF('Invoer gegevens (N)'!$C$17=E196,0,IF(C196=1,Q195,0))</f>
        <v>0</v>
      </c>
      <c r="M196" s="96">
        <f ca="1">IF(C196&gt;=1,L196*VLOOKUP(E196,'Reeksen (N)'!$A$5:$B$76,2),0)</f>
        <v>0</v>
      </c>
      <c r="N196" s="84">
        <f ca="1">(1-('Invoer gegevens (N)'!$F$20/12))*L196*MIN('Reeksen (N)'!B196,'Reeksen (N)'!D196)</f>
        <v>0</v>
      </c>
      <c r="O196" s="84">
        <f>IF('Reeksen (N)'!D196&lt;'Reeksen (N)'!B196,('Reeksen (N)'!B196-'Reeksen (N)'!D196)*L196,0)</f>
        <v>0</v>
      </c>
      <c r="P196" s="84">
        <f ca="1">('Invoer gegevens (N)'!$F$20/12)*L195*MIN('Reeksen (N)'!B195,'Reeksen (N)'!D195)</f>
        <v>0</v>
      </c>
      <c r="Q196" s="84">
        <f t="shared" ca="1" si="23"/>
        <v>0</v>
      </c>
      <c r="R196" s="82">
        <f ca="1">IF('Invoer gegevens (N)'!$C$17=E196,'Invoer gegevens (N)'!$C$11,IF(C196=1,W195,0))</f>
        <v>0</v>
      </c>
      <c r="S196" s="86">
        <f ca="1">IF(C196&gt;=1,R196*VLOOKUP(E196,'Reeksen (N)'!$A$5:$B$76,2),0)</f>
        <v>0</v>
      </c>
      <c r="T196" s="84">
        <f ca="1">(1-('Invoer gegevens (N)'!$F$20/12))*R196*MIN('Reeksen (N)'!B196,'Reeksen (N)'!D196)</f>
        <v>0</v>
      </c>
      <c r="U196" s="84">
        <f>IF('Reeksen (N)'!D196&gt;='Reeksen (N)'!B196,0,IF('Reeksen (N)'!AD196&lt;='Reeksen (N)'!AE196,('Reeksen (N)'!B196-'Reeksen (N)'!D196)*R196,0))</f>
        <v>0</v>
      </c>
      <c r="V196" s="86">
        <f>IF('Reeksen (N)'!D196&gt;='Reeksen (N)'!B196,0,IF('Reeksen (N)'!AD196&gt;'Reeksen (N)'!AE196,('Reeksen (N)'!B196-'Reeksen (N)'!D196)*R196,0))</f>
        <v>0</v>
      </c>
      <c r="W196" s="97">
        <f t="shared" ca="1" si="24"/>
        <v>0</v>
      </c>
      <c r="X196" s="98">
        <f ca="1">IF('Invoer gegevens (N)'!$C$17=E196,'Invoer gegevens (N)'!$C$10-'Invoer gegevens (N)'!$C$11,IF(C196=1,AC195,0))</f>
        <v>0</v>
      </c>
      <c r="Y196" s="98">
        <f ca="1">IF(C196&gt;=1,X196*VLOOKUP(E196,'Reeksen (N)'!$A$5:$B$76,2),0)</f>
        <v>0</v>
      </c>
      <c r="Z196" s="98">
        <f ca="1">(1-('Invoer gegevens (N)'!$F$20/12))*X196*MIN('Reeksen (N)'!B196,'Reeksen (N)'!D196)</f>
        <v>0</v>
      </c>
      <c r="AA196" s="98">
        <f>IF('Reeksen (N)'!D196&gt;='Reeksen (N)'!B196,0,IF('Reeksen (N)'!AD196&lt;='Reeksen (N)'!AE196,('Reeksen (N)'!B196-'Reeksen (N)'!D196)*X196,0))</f>
        <v>0</v>
      </c>
      <c r="AB196" s="98">
        <f>IF('Reeksen (N)'!D196&gt;='Reeksen (N)'!B196,0,IF('Reeksen (N)'!AD196&gt;'Reeksen (N)'!AE196,('Reeksen (N)'!B196-'Reeksen (N)'!D196)*X196,0))</f>
        <v>0</v>
      </c>
      <c r="AC196" s="99">
        <f t="shared" ca="1" si="25"/>
        <v>0</v>
      </c>
      <c r="AD196" s="98">
        <f ca="1">IF('Invoer gegevens (N)'!$C$17=E196,R196,IF(C196=0,0,AE195))</f>
        <v>0</v>
      </c>
      <c r="AE196" s="98">
        <f t="shared" ca="1" si="26"/>
        <v>0</v>
      </c>
      <c r="AF196" s="98">
        <f ca="1">IF('Invoer gegevens (N)'!$C$17=E196,X196,IF(C196=0,0,AG195))</f>
        <v>0</v>
      </c>
      <c r="AG196" s="98">
        <f t="shared" ca="1" si="27"/>
        <v>0</v>
      </c>
      <c r="AH196" s="66"/>
      <c r="AI196" s="71">
        <f ca="1">IF(C196=1,'Reeksen (N)'!AI196*((F196-G196+F196)/2)*12+'Reeksen (N)'!AD196*((L196-M196+L196)/2)*12,0)</f>
        <v>0</v>
      </c>
      <c r="AJ196" s="71">
        <f ca="1">-AI196*'Invoer gegevens (N)'!$F$28</f>
        <v>0</v>
      </c>
      <c r="AK196" s="71">
        <f t="shared" ca="1" si="28"/>
        <v>0</v>
      </c>
      <c r="AL196" s="71">
        <f ca="1">IF(C196=1,'Reeksen (N)'!AL196*((F196-G196+F196)/2)*12+'Reeksen (N)'!AM196*((L196-M196+L196)/2)*12,0)</f>
        <v>0</v>
      </c>
      <c r="AM196" s="71">
        <f ca="1">-AL196*'Invoer gegevens (N)'!$F$31</f>
        <v>0</v>
      </c>
      <c r="AN196" s="71">
        <f t="shared" ca="1" si="29"/>
        <v>0</v>
      </c>
      <c r="AO196" s="71">
        <f ca="1">IF(C196=1,(H196+J196+N196+P196)*'Reeksen (N)'!AN196,0)</f>
        <v>0</v>
      </c>
      <c r="AP196" s="71">
        <f ca="1">-IF(C196=1,(H196+J196+N196+P196)*'Hulp - basis'!$O$550*'Reeksen (N)'!H196,0)</f>
        <v>0</v>
      </c>
      <c r="AQ196" s="71">
        <f ca="1">-IF(C196=1,(F196+K196+L196+Q196)/2*'Invoer gegevens (N)'!$F$35*'Reeksen (N)'!J196,0)*2</f>
        <v>0</v>
      </c>
      <c r="AR196" s="71"/>
      <c r="AS196" s="71">
        <f ca="1">-IF(C196=1,(F196+K196+L196+Q196)/2*'Invoer gegevens (N)'!$F$37*'Reeksen (N)'!L196,0)</f>
        <v>0</v>
      </c>
      <c r="AT196" s="71">
        <f ca="1">-IF(C196=1,IF(E196='Invoer gegevens (N)'!$C$17,'Invoer gegevens (N)'!$C$11,AD196)*'Reeksen (N)'!S196*'Invoer gegevens (N)'!$C$18*'Reeksen (N)'!P196,0)</f>
        <v>0</v>
      </c>
      <c r="AU196" s="71">
        <f ca="1">-IF(C196=1,(F196+K196+L196+Q196)/2*'Invoer gegevens (N)'!$F$38*'Reeksen (N)'!H196,0)</f>
        <v>0</v>
      </c>
      <c r="AV196" s="71">
        <v>0</v>
      </c>
      <c r="AW196" s="71">
        <f t="shared" ca="1" si="30"/>
        <v>0</v>
      </c>
      <c r="AX196" s="71">
        <f ca="1">IF(E196&lt;'Invoer gegevens (N)'!$C$17+15,0,IF(E196&gt;'Invoer gegevens (N)'!$C$17+215,0,AW196))</f>
        <v>0</v>
      </c>
      <c r="AY196" s="71">
        <f ca="1">AX196/(1+'Invoer gegevens (N)'!$F$18)^($AZ196-('Invoer gegevens (N)'!$C$17-'Invoer gegevens (N)'!$C$16))/(1+'Invoer gegevens (N)'!$C$39)^('Invoer gegevens (N)'!$C$17-'Invoer gegevens (N)'!$C$16)</f>
        <v>0</v>
      </c>
      <c r="AZ196" s="68">
        <f ca="1">IF(E196-'Invoer gegevens (N)'!$C$17-14.5&lt;0,0,E196-'Invoer gegevens (N)'!$C$17-14.5)</f>
        <v>176.5</v>
      </c>
    </row>
    <row r="197" spans="1:52" x14ac:dyDescent="0.25">
      <c r="A197" s="59"/>
      <c r="B197" s="70">
        <f t="shared" si="31"/>
        <v>193</v>
      </c>
      <c r="C197" s="67">
        <f ca="1">IF(E197-'Invoer gegevens (N)'!$C$17&lt;0,0,1)</f>
        <v>1</v>
      </c>
      <c r="D197" s="68">
        <f t="shared" si="32"/>
        <v>192.5</v>
      </c>
      <c r="E197" s="69">
        <f ca="1">IF('Invoer gegevens (N)'!$C$16="","",E196+1)</f>
        <v>2211</v>
      </c>
      <c r="F197" s="84">
        <f ca="1">IF('Invoer gegevens (N)'!$C$17=E197,'Invoer gegevens (N)'!$C$10,IF(C197=1,K196,0))</f>
        <v>0</v>
      </c>
      <c r="G197" s="96">
        <f ca="1">IF(C197&gt;=1,F197*VLOOKUP(E197,'Reeksen (N)'!$A$5:$B$76,2),0)</f>
        <v>0</v>
      </c>
      <c r="H197" s="84">
        <f ca="1">(1-('Invoer gegevens (N)'!$F$20/12))*F197*MIN('Reeksen (N)'!B197,'Reeksen (N)'!D197)</f>
        <v>0</v>
      </c>
      <c r="I197" s="84">
        <f>IF('Reeksen (N)'!D197&lt;'Reeksen (N)'!B197,('Reeksen (N)'!B197-'Reeksen (N)'!D197)*F197,0)</f>
        <v>0</v>
      </c>
      <c r="J197" s="84">
        <f ca="1">('Invoer gegevens (N)'!$F$20/12)*F196*MIN('Reeksen (N)'!B196,'Reeksen (N)'!D196)</f>
        <v>0</v>
      </c>
      <c r="K197" s="97">
        <f t="shared" ca="1" si="22"/>
        <v>0</v>
      </c>
      <c r="L197" s="84">
        <f ca="1">IF('Invoer gegevens (N)'!$C$17=E197,0,IF(C197=1,Q196,0))</f>
        <v>0</v>
      </c>
      <c r="M197" s="96">
        <f ca="1">IF(C197&gt;=1,L197*VLOOKUP(E197,'Reeksen (N)'!$A$5:$B$76,2),0)</f>
        <v>0</v>
      </c>
      <c r="N197" s="84">
        <f ca="1">(1-('Invoer gegevens (N)'!$F$20/12))*L197*MIN('Reeksen (N)'!B197,'Reeksen (N)'!D197)</f>
        <v>0</v>
      </c>
      <c r="O197" s="84">
        <f>IF('Reeksen (N)'!D197&lt;'Reeksen (N)'!B197,('Reeksen (N)'!B197-'Reeksen (N)'!D197)*L197,0)</f>
        <v>0</v>
      </c>
      <c r="P197" s="84">
        <f ca="1">('Invoer gegevens (N)'!$F$20/12)*L196*MIN('Reeksen (N)'!B196,'Reeksen (N)'!D196)</f>
        <v>0</v>
      </c>
      <c r="Q197" s="84">
        <f t="shared" ca="1" si="23"/>
        <v>0</v>
      </c>
      <c r="R197" s="82">
        <f ca="1">IF('Invoer gegevens (N)'!$C$17=E197,'Invoer gegevens (N)'!$C$11,IF(C197=1,W196,0))</f>
        <v>0</v>
      </c>
      <c r="S197" s="86">
        <f ca="1">IF(C197&gt;=1,R197*VLOOKUP(E197,'Reeksen (N)'!$A$5:$B$76,2),0)</f>
        <v>0</v>
      </c>
      <c r="T197" s="84">
        <f ca="1">(1-('Invoer gegevens (N)'!$F$20/12))*R197*MIN('Reeksen (N)'!B197,'Reeksen (N)'!D197)</f>
        <v>0</v>
      </c>
      <c r="U197" s="84">
        <f>IF('Reeksen (N)'!D197&gt;='Reeksen (N)'!B197,0,IF('Reeksen (N)'!AD197&lt;='Reeksen (N)'!AE197,('Reeksen (N)'!B197-'Reeksen (N)'!D197)*R197,0))</f>
        <v>0</v>
      </c>
      <c r="V197" s="86">
        <f>IF('Reeksen (N)'!D197&gt;='Reeksen (N)'!B197,0,IF('Reeksen (N)'!AD197&gt;'Reeksen (N)'!AE197,('Reeksen (N)'!B197-'Reeksen (N)'!D197)*R197,0))</f>
        <v>0</v>
      </c>
      <c r="W197" s="97">
        <f t="shared" ca="1" si="24"/>
        <v>0</v>
      </c>
      <c r="X197" s="98">
        <f ca="1">IF('Invoer gegevens (N)'!$C$17=E197,'Invoer gegevens (N)'!$C$10-'Invoer gegevens (N)'!$C$11,IF(C197=1,AC196,0))</f>
        <v>0</v>
      </c>
      <c r="Y197" s="98">
        <f ca="1">IF(C197&gt;=1,X197*VLOOKUP(E197,'Reeksen (N)'!$A$5:$B$76,2),0)</f>
        <v>0</v>
      </c>
      <c r="Z197" s="98">
        <f ca="1">(1-('Invoer gegevens (N)'!$F$20/12))*X197*MIN('Reeksen (N)'!B197,'Reeksen (N)'!D197)</f>
        <v>0</v>
      </c>
      <c r="AA197" s="98">
        <f>IF('Reeksen (N)'!D197&gt;='Reeksen (N)'!B197,0,IF('Reeksen (N)'!AD197&lt;='Reeksen (N)'!AE197,('Reeksen (N)'!B197-'Reeksen (N)'!D197)*X197,0))</f>
        <v>0</v>
      </c>
      <c r="AB197" s="98">
        <f>IF('Reeksen (N)'!D197&gt;='Reeksen (N)'!B197,0,IF('Reeksen (N)'!AD197&gt;'Reeksen (N)'!AE197,('Reeksen (N)'!B197-'Reeksen (N)'!D197)*X197,0))</f>
        <v>0</v>
      </c>
      <c r="AC197" s="99">
        <f t="shared" ca="1" si="25"/>
        <v>0</v>
      </c>
      <c r="AD197" s="98">
        <f ca="1">IF('Invoer gegevens (N)'!$C$17=E197,R197,IF(C197=0,0,AE196))</f>
        <v>0</v>
      </c>
      <c r="AE197" s="98">
        <f t="shared" ca="1" si="26"/>
        <v>0</v>
      </c>
      <c r="AF197" s="98">
        <f ca="1">IF('Invoer gegevens (N)'!$C$17=E197,X197,IF(C197=0,0,AG196))</f>
        <v>0</v>
      </c>
      <c r="AG197" s="98">
        <f t="shared" ca="1" si="27"/>
        <v>0</v>
      </c>
      <c r="AH197" s="66"/>
      <c r="AI197" s="71">
        <f ca="1">IF(C197=1,'Reeksen (N)'!AI197*((F197-G197+F197)/2)*12+'Reeksen (N)'!AD197*((L197-M197+L197)/2)*12,0)</f>
        <v>0</v>
      </c>
      <c r="AJ197" s="71">
        <f ca="1">-AI197*'Invoer gegevens (N)'!$F$28</f>
        <v>0</v>
      </c>
      <c r="AK197" s="71">
        <f t="shared" ca="1" si="28"/>
        <v>0</v>
      </c>
      <c r="AL197" s="71">
        <f ca="1">IF(C197=1,'Reeksen (N)'!AL197*((F197-G197+F197)/2)*12+'Reeksen (N)'!AM197*((L197-M197+L197)/2)*12,0)</f>
        <v>0</v>
      </c>
      <c r="AM197" s="71">
        <f ca="1">-AL197*'Invoer gegevens (N)'!$F$31</f>
        <v>0</v>
      </c>
      <c r="AN197" s="71">
        <f t="shared" ca="1" si="29"/>
        <v>0</v>
      </c>
      <c r="AO197" s="71">
        <f ca="1">IF(C197=1,(H197+J197+N197+P197)*'Reeksen (N)'!AN197,0)</f>
        <v>0</v>
      </c>
      <c r="AP197" s="71">
        <f ca="1">-IF(C197=1,(H197+J197+N197+P197)*'Hulp - basis'!$O$550*'Reeksen (N)'!H197,0)</f>
        <v>0</v>
      </c>
      <c r="AQ197" s="71">
        <f ca="1">-IF(C197=1,(F197+K197+L197+Q197)/2*'Invoer gegevens (N)'!$F$35*'Reeksen (N)'!J197,0)*2</f>
        <v>0</v>
      </c>
      <c r="AR197" s="71"/>
      <c r="AS197" s="71">
        <f ca="1">-IF(C197=1,(F197+K197+L197+Q197)/2*'Invoer gegevens (N)'!$F$37*'Reeksen (N)'!L197,0)</f>
        <v>0</v>
      </c>
      <c r="AT197" s="71">
        <f ca="1">-IF(C197=1,IF(E197='Invoer gegevens (N)'!$C$17,'Invoer gegevens (N)'!$C$11,AD197)*'Reeksen (N)'!S197*'Invoer gegevens (N)'!$C$18*'Reeksen (N)'!P197,0)</f>
        <v>0</v>
      </c>
      <c r="AU197" s="71">
        <f ca="1">-IF(C197=1,(F197+K197+L197+Q197)/2*'Invoer gegevens (N)'!$F$38*'Reeksen (N)'!H197,0)</f>
        <v>0</v>
      </c>
      <c r="AV197" s="71">
        <v>0</v>
      </c>
      <c r="AW197" s="71">
        <f t="shared" ca="1" si="30"/>
        <v>0</v>
      </c>
      <c r="AX197" s="71">
        <f ca="1">IF(E197&lt;'Invoer gegevens (N)'!$C$17+15,0,IF(E197&gt;'Invoer gegevens (N)'!$C$17+215,0,AW197))</f>
        <v>0</v>
      </c>
      <c r="AY197" s="71">
        <f ca="1">AX197/(1+'Invoer gegevens (N)'!$F$18)^($AZ197-('Invoer gegevens (N)'!$C$17-'Invoer gegevens (N)'!$C$16))/(1+'Invoer gegevens (N)'!$C$39)^('Invoer gegevens (N)'!$C$17-'Invoer gegevens (N)'!$C$16)</f>
        <v>0</v>
      </c>
      <c r="AZ197" s="68">
        <f ca="1">IF(E197-'Invoer gegevens (N)'!$C$17-14.5&lt;0,0,E197-'Invoer gegevens (N)'!$C$17-14.5)</f>
        <v>177.5</v>
      </c>
    </row>
    <row r="198" spans="1:52" x14ac:dyDescent="0.25">
      <c r="A198" s="59"/>
      <c r="B198" s="70">
        <f t="shared" si="31"/>
        <v>194</v>
      </c>
      <c r="C198" s="67">
        <f ca="1">IF(E198-'Invoer gegevens (N)'!$C$17&lt;0,0,1)</f>
        <v>1</v>
      </c>
      <c r="D198" s="68">
        <f t="shared" si="32"/>
        <v>193.5</v>
      </c>
      <c r="E198" s="69">
        <f ca="1">IF('Invoer gegevens (N)'!$C$16="","",E197+1)</f>
        <v>2212</v>
      </c>
      <c r="F198" s="84">
        <f ca="1">IF('Invoer gegevens (N)'!$C$17=E198,'Invoer gegevens (N)'!$C$10,IF(C198=1,K197,0))</f>
        <v>0</v>
      </c>
      <c r="G198" s="96">
        <f ca="1">IF(C198&gt;=1,F198*VLOOKUP(E198,'Reeksen (N)'!$A$5:$B$76,2),0)</f>
        <v>0</v>
      </c>
      <c r="H198" s="84">
        <f ca="1">(1-('Invoer gegevens (N)'!$F$20/12))*F198*MIN('Reeksen (N)'!B198,'Reeksen (N)'!D198)</f>
        <v>0</v>
      </c>
      <c r="I198" s="84">
        <f>IF('Reeksen (N)'!D198&lt;'Reeksen (N)'!B198,('Reeksen (N)'!B198-'Reeksen (N)'!D198)*F198,0)</f>
        <v>0</v>
      </c>
      <c r="J198" s="84">
        <f ca="1">('Invoer gegevens (N)'!$F$20/12)*F197*MIN('Reeksen (N)'!B197,'Reeksen (N)'!D197)</f>
        <v>0</v>
      </c>
      <c r="K198" s="97">
        <f t="shared" ref="K198:K234" ca="1" si="33">F198-G198</f>
        <v>0</v>
      </c>
      <c r="L198" s="84">
        <f ca="1">IF('Invoer gegevens (N)'!$C$17=E198,0,IF(C198=1,Q197,0))</f>
        <v>0</v>
      </c>
      <c r="M198" s="96">
        <f ca="1">IF(C198&gt;=1,L198*VLOOKUP(E198,'Reeksen (N)'!$A$5:$B$76,2),0)</f>
        <v>0</v>
      </c>
      <c r="N198" s="84">
        <f ca="1">(1-('Invoer gegevens (N)'!$F$20/12))*L198*MIN('Reeksen (N)'!B198,'Reeksen (N)'!D198)</f>
        <v>0</v>
      </c>
      <c r="O198" s="84">
        <f>IF('Reeksen (N)'!D198&lt;'Reeksen (N)'!B198,('Reeksen (N)'!B198-'Reeksen (N)'!D198)*L198,0)</f>
        <v>0</v>
      </c>
      <c r="P198" s="84">
        <f ca="1">('Invoer gegevens (N)'!$F$20/12)*L197*MIN('Reeksen (N)'!B197,'Reeksen (N)'!D197)</f>
        <v>0</v>
      </c>
      <c r="Q198" s="84">
        <f t="shared" ref="Q198:Q234" ca="1" si="34">L198-M198+I198+O198</f>
        <v>0</v>
      </c>
      <c r="R198" s="82">
        <f ca="1">IF('Invoer gegevens (N)'!$C$17=E198,'Invoer gegevens (N)'!$C$11,IF(C198=1,W197,0))</f>
        <v>0</v>
      </c>
      <c r="S198" s="86">
        <f ca="1">IF(C198&gt;=1,R198*VLOOKUP(E198,'Reeksen (N)'!$A$5:$B$76,2),0)</f>
        <v>0</v>
      </c>
      <c r="T198" s="84">
        <f ca="1">(1-('Invoer gegevens (N)'!$F$20/12))*R198*MIN('Reeksen (N)'!B198,'Reeksen (N)'!D198)</f>
        <v>0</v>
      </c>
      <c r="U198" s="84">
        <f>IF('Reeksen (N)'!D198&gt;='Reeksen (N)'!B198,0,IF('Reeksen (N)'!AD198&lt;='Reeksen (N)'!AE198,('Reeksen (N)'!B198-'Reeksen (N)'!D198)*R198,0))</f>
        <v>0</v>
      </c>
      <c r="V198" s="86">
        <f>IF('Reeksen (N)'!D198&gt;='Reeksen (N)'!B198,0,IF('Reeksen (N)'!AD198&gt;'Reeksen (N)'!AE198,('Reeksen (N)'!B198-'Reeksen (N)'!D198)*R198,0))</f>
        <v>0</v>
      </c>
      <c r="W198" s="97">
        <f t="shared" ref="W198:W234" ca="1" si="35">R198-S198</f>
        <v>0</v>
      </c>
      <c r="X198" s="98">
        <f ca="1">IF('Invoer gegevens (N)'!$C$17=E198,'Invoer gegevens (N)'!$C$10-'Invoer gegevens (N)'!$C$11,IF(C198=1,AC197,0))</f>
        <v>0</v>
      </c>
      <c r="Y198" s="98">
        <f ca="1">IF(C198&gt;=1,X198*VLOOKUP(E198,'Reeksen (N)'!$A$5:$B$76,2),0)</f>
        <v>0</v>
      </c>
      <c r="Z198" s="98">
        <f ca="1">(1-('Invoer gegevens (N)'!$F$20/12))*X198*MIN('Reeksen (N)'!B198,'Reeksen (N)'!D198)</f>
        <v>0</v>
      </c>
      <c r="AA198" s="98">
        <f>IF('Reeksen (N)'!D198&gt;='Reeksen (N)'!B198,0,IF('Reeksen (N)'!AD198&lt;='Reeksen (N)'!AE198,('Reeksen (N)'!B198-'Reeksen (N)'!D198)*X198,0))</f>
        <v>0</v>
      </c>
      <c r="AB198" s="98">
        <f>IF('Reeksen (N)'!D198&gt;='Reeksen (N)'!B198,0,IF('Reeksen (N)'!AD198&gt;'Reeksen (N)'!AE198,('Reeksen (N)'!B198-'Reeksen (N)'!D198)*X198,0))</f>
        <v>0</v>
      </c>
      <c r="AC198" s="99">
        <f t="shared" ref="AC198:AC234" ca="1" si="36">X198-Y198</f>
        <v>0</v>
      </c>
      <c r="AD198" s="98">
        <f ca="1">IF('Invoer gegevens (N)'!$C$17=E198,R198,IF(C198=0,0,AE197))</f>
        <v>0</v>
      </c>
      <c r="AE198" s="98">
        <f t="shared" ref="AE198:AE234" ca="1" si="37">IF(C198=0,0,AD198-S198-V198+AA198)</f>
        <v>0</v>
      </c>
      <c r="AF198" s="98">
        <f ca="1">IF('Invoer gegevens (N)'!$C$17=E198,X198,IF(C198=0,0,AG197))</f>
        <v>0</v>
      </c>
      <c r="AG198" s="98">
        <f t="shared" ref="AG198:AG234" ca="1" si="38">IF(C198=0,0,AF198-Y198-AA198+V198)</f>
        <v>0</v>
      </c>
      <c r="AH198" s="66"/>
      <c r="AI198" s="71">
        <f ca="1">IF(C198=1,'Reeksen (N)'!AI198*((F198-G198+F198)/2)*12+'Reeksen (N)'!AD198*((L198-M198+L198)/2)*12,0)</f>
        <v>0</v>
      </c>
      <c r="AJ198" s="71">
        <f ca="1">-AI198*'Invoer gegevens (N)'!$F$28</f>
        <v>0</v>
      </c>
      <c r="AK198" s="71">
        <f t="shared" ref="AK198:AK234" ca="1" si="39">AI198+AJ198</f>
        <v>0</v>
      </c>
      <c r="AL198" s="71">
        <f ca="1">IF(C198=1,'Reeksen (N)'!AL198*((F198-G198+F198)/2)*12+'Reeksen (N)'!AM198*((L198-M198+L198)/2)*12,0)</f>
        <v>0</v>
      </c>
      <c r="AM198" s="71">
        <f ca="1">-AL198*'Invoer gegevens (N)'!$F$31</f>
        <v>0</v>
      </c>
      <c r="AN198" s="71">
        <f t="shared" ref="AN198:AN234" ca="1" si="40">AL198+AM198</f>
        <v>0</v>
      </c>
      <c r="AO198" s="71">
        <f ca="1">IF(C198=1,(H198+J198+N198+P198)*'Reeksen (N)'!AN198,0)</f>
        <v>0</v>
      </c>
      <c r="AP198" s="71">
        <f ca="1">-IF(C198=1,(H198+J198+N198+P198)*'Hulp - basis'!$O$550*'Reeksen (N)'!H198,0)</f>
        <v>0</v>
      </c>
      <c r="AQ198" s="71">
        <f ca="1">-IF(C198=1,(F198+K198+L198+Q198)/2*'Invoer gegevens (N)'!$F$35*'Reeksen (N)'!J198,0)*2</f>
        <v>0</v>
      </c>
      <c r="AR198" s="71"/>
      <c r="AS198" s="71">
        <f ca="1">-IF(C198=1,(F198+K198+L198+Q198)/2*'Invoer gegevens (N)'!$F$37*'Reeksen (N)'!L198,0)</f>
        <v>0</v>
      </c>
      <c r="AT198" s="71">
        <f ca="1">-IF(C198=1,IF(E198='Invoer gegevens (N)'!$C$17,'Invoer gegevens (N)'!$C$11,AD198)*'Reeksen (N)'!S198*'Invoer gegevens (N)'!$C$18*'Reeksen (N)'!P198,0)</f>
        <v>0</v>
      </c>
      <c r="AU198" s="71">
        <f ca="1">-IF(C198=1,(F198+K198+L198+Q198)/2*'Invoer gegevens (N)'!$F$38*'Reeksen (N)'!H198,0)</f>
        <v>0</v>
      </c>
      <c r="AV198" s="71">
        <v>0</v>
      </c>
      <c r="AW198" s="71">
        <f t="shared" ref="AW198:AW234" ca="1" si="41">SUM(AK198,AN198:AV198)</f>
        <v>0</v>
      </c>
      <c r="AX198" s="71">
        <f ca="1">IF(E198&lt;'Invoer gegevens (N)'!$C$17+15,0,IF(E198&gt;'Invoer gegevens (N)'!$C$17+215,0,AW198))</f>
        <v>0</v>
      </c>
      <c r="AY198" s="71">
        <f ca="1">AX198/(1+'Invoer gegevens (N)'!$F$18)^($AZ198-('Invoer gegevens (N)'!$C$17-'Invoer gegevens (N)'!$C$16))/(1+'Invoer gegevens (N)'!$C$39)^('Invoer gegevens (N)'!$C$17-'Invoer gegevens (N)'!$C$16)</f>
        <v>0</v>
      </c>
      <c r="AZ198" s="68">
        <f ca="1">IF(E198-'Invoer gegevens (N)'!$C$17-14.5&lt;0,0,E198-'Invoer gegevens (N)'!$C$17-14.5)</f>
        <v>178.5</v>
      </c>
    </row>
    <row r="199" spans="1:52" x14ac:dyDescent="0.25">
      <c r="A199" s="59"/>
      <c r="B199" s="70">
        <f t="shared" si="31"/>
        <v>195</v>
      </c>
      <c r="C199" s="67">
        <f ca="1">IF(E199-'Invoer gegevens (N)'!$C$17&lt;0,0,1)</f>
        <v>1</v>
      </c>
      <c r="D199" s="68">
        <f t="shared" si="32"/>
        <v>194.5</v>
      </c>
      <c r="E199" s="69">
        <f ca="1">IF('Invoer gegevens (N)'!$C$16="","",E198+1)</f>
        <v>2213</v>
      </c>
      <c r="F199" s="84">
        <f ca="1">IF('Invoer gegevens (N)'!$C$17=E199,'Invoer gegevens (N)'!$C$10,IF(C199=1,K198,0))</f>
        <v>0</v>
      </c>
      <c r="G199" s="96">
        <f ca="1">IF(C199&gt;=1,F199*VLOOKUP(E199,'Reeksen (N)'!$A$5:$B$76,2),0)</f>
        <v>0</v>
      </c>
      <c r="H199" s="84">
        <f ca="1">(1-('Invoer gegevens (N)'!$F$20/12))*F199*MIN('Reeksen (N)'!B199,'Reeksen (N)'!D199)</f>
        <v>0</v>
      </c>
      <c r="I199" s="84">
        <f>IF('Reeksen (N)'!D199&lt;'Reeksen (N)'!B199,('Reeksen (N)'!B199-'Reeksen (N)'!D199)*F199,0)</f>
        <v>0</v>
      </c>
      <c r="J199" s="84">
        <f ca="1">('Invoer gegevens (N)'!$F$20/12)*F198*MIN('Reeksen (N)'!B198,'Reeksen (N)'!D198)</f>
        <v>0</v>
      </c>
      <c r="K199" s="97">
        <f t="shared" ca="1" si="33"/>
        <v>0</v>
      </c>
      <c r="L199" s="84">
        <f ca="1">IF('Invoer gegevens (N)'!$C$17=E199,0,IF(C199=1,Q198,0))</f>
        <v>0</v>
      </c>
      <c r="M199" s="96">
        <f ca="1">IF(C199&gt;=1,L199*VLOOKUP(E199,'Reeksen (N)'!$A$5:$B$76,2),0)</f>
        <v>0</v>
      </c>
      <c r="N199" s="84">
        <f ca="1">(1-('Invoer gegevens (N)'!$F$20/12))*L199*MIN('Reeksen (N)'!B199,'Reeksen (N)'!D199)</f>
        <v>0</v>
      </c>
      <c r="O199" s="84">
        <f>IF('Reeksen (N)'!D199&lt;'Reeksen (N)'!B199,('Reeksen (N)'!B199-'Reeksen (N)'!D199)*L199,0)</f>
        <v>0</v>
      </c>
      <c r="P199" s="84">
        <f ca="1">('Invoer gegevens (N)'!$F$20/12)*L198*MIN('Reeksen (N)'!B198,'Reeksen (N)'!D198)</f>
        <v>0</v>
      </c>
      <c r="Q199" s="84">
        <f t="shared" ca="1" si="34"/>
        <v>0</v>
      </c>
      <c r="R199" s="82">
        <f ca="1">IF('Invoer gegevens (N)'!$C$17=E199,'Invoer gegevens (N)'!$C$11,IF(C199=1,W198,0))</f>
        <v>0</v>
      </c>
      <c r="S199" s="86">
        <f ca="1">IF(C199&gt;=1,R199*VLOOKUP(E199,'Reeksen (N)'!$A$5:$B$76,2),0)</f>
        <v>0</v>
      </c>
      <c r="T199" s="84">
        <f ca="1">(1-('Invoer gegevens (N)'!$F$20/12))*R199*MIN('Reeksen (N)'!B199,'Reeksen (N)'!D199)</f>
        <v>0</v>
      </c>
      <c r="U199" s="84">
        <f>IF('Reeksen (N)'!D199&gt;='Reeksen (N)'!B199,0,IF('Reeksen (N)'!AD199&lt;='Reeksen (N)'!AE199,('Reeksen (N)'!B199-'Reeksen (N)'!D199)*R199,0))</f>
        <v>0</v>
      </c>
      <c r="V199" s="86">
        <f>IF('Reeksen (N)'!D199&gt;='Reeksen (N)'!B199,0,IF('Reeksen (N)'!AD199&gt;'Reeksen (N)'!AE199,('Reeksen (N)'!B199-'Reeksen (N)'!D199)*R199,0))</f>
        <v>0</v>
      </c>
      <c r="W199" s="97">
        <f t="shared" ca="1" si="35"/>
        <v>0</v>
      </c>
      <c r="X199" s="98">
        <f ca="1">IF('Invoer gegevens (N)'!$C$17=E199,'Invoer gegevens (N)'!$C$10-'Invoer gegevens (N)'!$C$11,IF(C199=1,AC198,0))</f>
        <v>0</v>
      </c>
      <c r="Y199" s="98">
        <f ca="1">IF(C199&gt;=1,X199*VLOOKUP(E199,'Reeksen (N)'!$A$5:$B$76,2),0)</f>
        <v>0</v>
      </c>
      <c r="Z199" s="98">
        <f ca="1">(1-('Invoer gegevens (N)'!$F$20/12))*X199*MIN('Reeksen (N)'!B199,'Reeksen (N)'!D199)</f>
        <v>0</v>
      </c>
      <c r="AA199" s="98">
        <f>IF('Reeksen (N)'!D199&gt;='Reeksen (N)'!B199,0,IF('Reeksen (N)'!AD199&lt;='Reeksen (N)'!AE199,('Reeksen (N)'!B199-'Reeksen (N)'!D199)*X199,0))</f>
        <v>0</v>
      </c>
      <c r="AB199" s="98">
        <f>IF('Reeksen (N)'!D199&gt;='Reeksen (N)'!B199,0,IF('Reeksen (N)'!AD199&gt;'Reeksen (N)'!AE199,('Reeksen (N)'!B199-'Reeksen (N)'!D199)*X199,0))</f>
        <v>0</v>
      </c>
      <c r="AC199" s="99">
        <f t="shared" ca="1" si="36"/>
        <v>0</v>
      </c>
      <c r="AD199" s="98">
        <f ca="1">IF('Invoer gegevens (N)'!$C$17=E199,R199,IF(C199=0,0,AE198))</f>
        <v>0</v>
      </c>
      <c r="AE199" s="98">
        <f t="shared" ca="1" si="37"/>
        <v>0</v>
      </c>
      <c r="AF199" s="98">
        <f ca="1">IF('Invoer gegevens (N)'!$C$17=E199,X199,IF(C199=0,0,AG198))</f>
        <v>0</v>
      </c>
      <c r="AG199" s="98">
        <f t="shared" ca="1" si="38"/>
        <v>0</v>
      </c>
      <c r="AH199" s="66"/>
      <c r="AI199" s="71">
        <f ca="1">IF(C199=1,'Reeksen (N)'!AI199*((F199-G199+F199)/2)*12+'Reeksen (N)'!AD199*((L199-M199+L199)/2)*12,0)</f>
        <v>0</v>
      </c>
      <c r="AJ199" s="71">
        <f ca="1">-AI199*'Invoer gegevens (N)'!$F$28</f>
        <v>0</v>
      </c>
      <c r="AK199" s="71">
        <f t="shared" ca="1" si="39"/>
        <v>0</v>
      </c>
      <c r="AL199" s="71">
        <f ca="1">IF(C199=1,'Reeksen (N)'!AL199*((F199-G199+F199)/2)*12+'Reeksen (N)'!AM199*((L199-M199+L199)/2)*12,0)</f>
        <v>0</v>
      </c>
      <c r="AM199" s="71">
        <f ca="1">-AL199*'Invoer gegevens (N)'!$F$31</f>
        <v>0</v>
      </c>
      <c r="AN199" s="71">
        <f t="shared" ca="1" si="40"/>
        <v>0</v>
      </c>
      <c r="AO199" s="71">
        <f ca="1">IF(C199=1,(H199+J199+N199+P199)*'Reeksen (N)'!AN199,0)</f>
        <v>0</v>
      </c>
      <c r="AP199" s="71">
        <f ca="1">-IF(C199=1,(H199+J199+N199+P199)*'Hulp - basis'!$O$550*'Reeksen (N)'!H199,0)</f>
        <v>0</v>
      </c>
      <c r="AQ199" s="71">
        <f ca="1">-IF(C199=1,(F199+K199+L199+Q199)/2*'Invoer gegevens (N)'!$F$35*'Reeksen (N)'!J199,0)*2</f>
        <v>0</v>
      </c>
      <c r="AR199" s="71"/>
      <c r="AS199" s="71">
        <f ca="1">-IF(C199=1,(F199+K199+L199+Q199)/2*'Invoer gegevens (N)'!$F$37*'Reeksen (N)'!L199,0)</f>
        <v>0</v>
      </c>
      <c r="AT199" s="71">
        <f ca="1">-IF(C199=1,IF(E199='Invoer gegevens (N)'!$C$17,'Invoer gegevens (N)'!$C$11,AD199)*'Reeksen (N)'!S199*'Invoer gegevens (N)'!$C$18*'Reeksen (N)'!P199,0)</f>
        <v>0</v>
      </c>
      <c r="AU199" s="71">
        <f ca="1">-IF(C199=1,(F199+K199+L199+Q199)/2*'Invoer gegevens (N)'!$F$38*'Reeksen (N)'!H199,0)</f>
        <v>0</v>
      </c>
      <c r="AV199" s="71">
        <v>0</v>
      </c>
      <c r="AW199" s="71">
        <f t="shared" ca="1" si="41"/>
        <v>0</v>
      </c>
      <c r="AX199" s="71">
        <f ca="1">IF(E199&lt;'Invoer gegevens (N)'!$C$17+15,0,IF(E199&gt;'Invoer gegevens (N)'!$C$17+215,0,AW199))</f>
        <v>0</v>
      </c>
      <c r="AY199" s="71">
        <f ca="1">AX199/(1+'Invoer gegevens (N)'!$F$18)^($AZ199-('Invoer gegevens (N)'!$C$17-'Invoer gegevens (N)'!$C$16))/(1+'Invoer gegevens (N)'!$C$39)^('Invoer gegevens (N)'!$C$17-'Invoer gegevens (N)'!$C$16)</f>
        <v>0</v>
      </c>
      <c r="AZ199" s="68">
        <f ca="1">IF(E199-'Invoer gegevens (N)'!$C$17-14.5&lt;0,0,E199-'Invoer gegevens (N)'!$C$17-14.5)</f>
        <v>179.5</v>
      </c>
    </row>
    <row r="200" spans="1:52" x14ac:dyDescent="0.25">
      <c r="A200" s="59"/>
      <c r="B200" s="70">
        <f t="shared" ref="B200:B234" si="42">B199+1</f>
        <v>196</v>
      </c>
      <c r="C200" s="67">
        <f ca="1">IF(E200-'Invoer gegevens (N)'!$C$17&lt;0,0,1)</f>
        <v>1</v>
      </c>
      <c r="D200" s="68">
        <f t="shared" ref="D200:D234" si="43">D199+1</f>
        <v>195.5</v>
      </c>
      <c r="E200" s="69">
        <f ca="1">IF('Invoer gegevens (N)'!$C$16="","",E199+1)</f>
        <v>2214</v>
      </c>
      <c r="F200" s="84">
        <f ca="1">IF('Invoer gegevens (N)'!$C$17=E200,'Invoer gegevens (N)'!$C$10,IF(C200=1,K199,0))</f>
        <v>0</v>
      </c>
      <c r="G200" s="96">
        <f ca="1">IF(C200&gt;=1,F200*VLOOKUP(E200,'Reeksen (N)'!$A$5:$B$76,2),0)</f>
        <v>0</v>
      </c>
      <c r="H200" s="84">
        <f ca="1">(1-('Invoer gegevens (N)'!$F$20/12))*F200*MIN('Reeksen (N)'!B200,'Reeksen (N)'!D200)</f>
        <v>0</v>
      </c>
      <c r="I200" s="84">
        <f>IF('Reeksen (N)'!D200&lt;'Reeksen (N)'!B200,('Reeksen (N)'!B200-'Reeksen (N)'!D200)*F200,0)</f>
        <v>0</v>
      </c>
      <c r="J200" s="84">
        <f ca="1">('Invoer gegevens (N)'!$F$20/12)*F199*MIN('Reeksen (N)'!B199,'Reeksen (N)'!D199)</f>
        <v>0</v>
      </c>
      <c r="K200" s="97">
        <f t="shared" ca="1" si="33"/>
        <v>0</v>
      </c>
      <c r="L200" s="84">
        <f ca="1">IF('Invoer gegevens (N)'!$C$17=E200,0,IF(C200=1,Q199,0))</f>
        <v>0</v>
      </c>
      <c r="M200" s="96">
        <f ca="1">IF(C200&gt;=1,L200*VLOOKUP(E200,'Reeksen (N)'!$A$5:$B$76,2),0)</f>
        <v>0</v>
      </c>
      <c r="N200" s="84">
        <f ca="1">(1-('Invoer gegevens (N)'!$F$20/12))*L200*MIN('Reeksen (N)'!B200,'Reeksen (N)'!D200)</f>
        <v>0</v>
      </c>
      <c r="O200" s="84">
        <f>IF('Reeksen (N)'!D200&lt;'Reeksen (N)'!B200,('Reeksen (N)'!B200-'Reeksen (N)'!D200)*L200,0)</f>
        <v>0</v>
      </c>
      <c r="P200" s="84">
        <f ca="1">('Invoer gegevens (N)'!$F$20/12)*L199*MIN('Reeksen (N)'!B199,'Reeksen (N)'!D199)</f>
        <v>0</v>
      </c>
      <c r="Q200" s="84">
        <f t="shared" ca="1" si="34"/>
        <v>0</v>
      </c>
      <c r="R200" s="82">
        <f ca="1">IF('Invoer gegevens (N)'!$C$17=E200,'Invoer gegevens (N)'!$C$11,IF(C200=1,W199,0))</f>
        <v>0</v>
      </c>
      <c r="S200" s="86">
        <f ca="1">IF(C200&gt;=1,R200*VLOOKUP(E200,'Reeksen (N)'!$A$5:$B$76,2),0)</f>
        <v>0</v>
      </c>
      <c r="T200" s="84">
        <f ca="1">(1-('Invoer gegevens (N)'!$F$20/12))*R200*MIN('Reeksen (N)'!B200,'Reeksen (N)'!D200)</f>
        <v>0</v>
      </c>
      <c r="U200" s="84">
        <f>IF('Reeksen (N)'!D200&gt;='Reeksen (N)'!B200,0,IF('Reeksen (N)'!AD200&lt;='Reeksen (N)'!AE200,('Reeksen (N)'!B200-'Reeksen (N)'!D200)*R200,0))</f>
        <v>0</v>
      </c>
      <c r="V200" s="86">
        <f>IF('Reeksen (N)'!D200&gt;='Reeksen (N)'!B200,0,IF('Reeksen (N)'!AD200&gt;'Reeksen (N)'!AE200,('Reeksen (N)'!B200-'Reeksen (N)'!D200)*R200,0))</f>
        <v>0</v>
      </c>
      <c r="W200" s="97">
        <f t="shared" ca="1" si="35"/>
        <v>0</v>
      </c>
      <c r="X200" s="98">
        <f ca="1">IF('Invoer gegevens (N)'!$C$17=E200,'Invoer gegevens (N)'!$C$10-'Invoer gegevens (N)'!$C$11,IF(C200=1,AC199,0))</f>
        <v>0</v>
      </c>
      <c r="Y200" s="98">
        <f ca="1">IF(C200&gt;=1,X200*VLOOKUP(E200,'Reeksen (N)'!$A$5:$B$76,2),0)</f>
        <v>0</v>
      </c>
      <c r="Z200" s="98">
        <f ca="1">(1-('Invoer gegevens (N)'!$F$20/12))*X200*MIN('Reeksen (N)'!B200,'Reeksen (N)'!D200)</f>
        <v>0</v>
      </c>
      <c r="AA200" s="98">
        <f>IF('Reeksen (N)'!D200&gt;='Reeksen (N)'!B200,0,IF('Reeksen (N)'!AD200&lt;='Reeksen (N)'!AE200,('Reeksen (N)'!B200-'Reeksen (N)'!D200)*X200,0))</f>
        <v>0</v>
      </c>
      <c r="AB200" s="98">
        <f>IF('Reeksen (N)'!D200&gt;='Reeksen (N)'!B200,0,IF('Reeksen (N)'!AD200&gt;'Reeksen (N)'!AE200,('Reeksen (N)'!B200-'Reeksen (N)'!D200)*X200,0))</f>
        <v>0</v>
      </c>
      <c r="AC200" s="99">
        <f t="shared" ca="1" si="36"/>
        <v>0</v>
      </c>
      <c r="AD200" s="98">
        <f ca="1">IF('Invoer gegevens (N)'!$C$17=E200,R200,IF(C200=0,0,AE199))</f>
        <v>0</v>
      </c>
      <c r="AE200" s="98">
        <f t="shared" ca="1" si="37"/>
        <v>0</v>
      </c>
      <c r="AF200" s="98">
        <f ca="1">IF('Invoer gegevens (N)'!$C$17=E200,X200,IF(C200=0,0,AG199))</f>
        <v>0</v>
      </c>
      <c r="AG200" s="98">
        <f t="shared" ca="1" si="38"/>
        <v>0</v>
      </c>
      <c r="AH200" s="66"/>
      <c r="AI200" s="71">
        <f ca="1">IF(C200=1,'Reeksen (N)'!AI200*((F200-G200+F200)/2)*12+'Reeksen (N)'!AD200*((L200-M200+L200)/2)*12,0)</f>
        <v>0</v>
      </c>
      <c r="AJ200" s="71">
        <f ca="1">-AI200*'Invoer gegevens (N)'!$F$28</f>
        <v>0</v>
      </c>
      <c r="AK200" s="71">
        <f t="shared" ca="1" si="39"/>
        <v>0</v>
      </c>
      <c r="AL200" s="71">
        <f ca="1">IF(C200=1,'Reeksen (N)'!AL200*((F200-G200+F200)/2)*12+'Reeksen (N)'!AM200*((L200-M200+L200)/2)*12,0)</f>
        <v>0</v>
      </c>
      <c r="AM200" s="71">
        <f ca="1">-AL200*'Invoer gegevens (N)'!$F$31</f>
        <v>0</v>
      </c>
      <c r="AN200" s="71">
        <f t="shared" ca="1" si="40"/>
        <v>0</v>
      </c>
      <c r="AO200" s="71">
        <f ca="1">IF(C200=1,(H200+J200+N200+P200)*'Reeksen (N)'!AN200,0)</f>
        <v>0</v>
      </c>
      <c r="AP200" s="71">
        <f ca="1">-IF(C200=1,(H200+J200+N200+P200)*'Hulp - basis'!$O$550*'Reeksen (N)'!H200,0)</f>
        <v>0</v>
      </c>
      <c r="AQ200" s="71">
        <f ca="1">-IF(C200=1,(F200+K200+L200+Q200)/2*'Invoer gegevens (N)'!$F$35*'Reeksen (N)'!J200,0)*2</f>
        <v>0</v>
      </c>
      <c r="AR200" s="71"/>
      <c r="AS200" s="71">
        <f ca="1">-IF(C200=1,(F200+K200+L200+Q200)/2*'Invoer gegevens (N)'!$F$37*'Reeksen (N)'!L200,0)</f>
        <v>0</v>
      </c>
      <c r="AT200" s="71">
        <f ca="1">-IF(C200=1,IF(E200='Invoer gegevens (N)'!$C$17,'Invoer gegevens (N)'!$C$11,AD200)*'Reeksen (N)'!S200*'Invoer gegevens (N)'!$C$18*'Reeksen (N)'!P200,0)</f>
        <v>0</v>
      </c>
      <c r="AU200" s="71">
        <f ca="1">-IF(C200=1,(F200+K200+L200+Q200)/2*'Invoer gegevens (N)'!$F$38*'Reeksen (N)'!H200,0)</f>
        <v>0</v>
      </c>
      <c r="AV200" s="71">
        <v>0</v>
      </c>
      <c r="AW200" s="71">
        <f t="shared" ca="1" si="41"/>
        <v>0</v>
      </c>
      <c r="AX200" s="71">
        <f ca="1">IF(E200&lt;'Invoer gegevens (N)'!$C$17+15,0,IF(E200&gt;'Invoer gegevens (N)'!$C$17+215,0,AW200))</f>
        <v>0</v>
      </c>
      <c r="AY200" s="71">
        <f ca="1">AX200/(1+'Invoer gegevens (N)'!$F$18)^($AZ200-('Invoer gegevens (N)'!$C$17-'Invoer gegevens (N)'!$C$16))/(1+'Invoer gegevens (N)'!$C$39)^('Invoer gegevens (N)'!$C$17-'Invoer gegevens (N)'!$C$16)</f>
        <v>0</v>
      </c>
      <c r="AZ200" s="68">
        <f ca="1">IF(E200-'Invoer gegevens (N)'!$C$17-14.5&lt;0,0,E200-'Invoer gegevens (N)'!$C$17-14.5)</f>
        <v>180.5</v>
      </c>
    </row>
    <row r="201" spans="1:52" x14ac:dyDescent="0.25">
      <c r="A201" s="59"/>
      <c r="B201" s="70">
        <f t="shared" si="42"/>
        <v>197</v>
      </c>
      <c r="C201" s="67">
        <f ca="1">IF(E201-'Invoer gegevens (N)'!$C$17&lt;0,0,1)</f>
        <v>1</v>
      </c>
      <c r="D201" s="68">
        <f t="shared" si="43"/>
        <v>196.5</v>
      </c>
      <c r="E201" s="69">
        <f ca="1">IF('Invoer gegevens (N)'!$C$16="","",E200+1)</f>
        <v>2215</v>
      </c>
      <c r="F201" s="84">
        <f ca="1">IF('Invoer gegevens (N)'!$C$17=E201,'Invoer gegevens (N)'!$C$10,IF(C201=1,K200,0))</f>
        <v>0</v>
      </c>
      <c r="G201" s="96">
        <f ca="1">IF(C201&gt;=1,F201*VLOOKUP(E201,'Reeksen (N)'!$A$5:$B$76,2),0)</f>
        <v>0</v>
      </c>
      <c r="H201" s="84">
        <f ca="1">(1-('Invoer gegevens (N)'!$F$20/12))*F201*MIN('Reeksen (N)'!B201,'Reeksen (N)'!D201)</f>
        <v>0</v>
      </c>
      <c r="I201" s="84">
        <f>IF('Reeksen (N)'!D201&lt;'Reeksen (N)'!B201,('Reeksen (N)'!B201-'Reeksen (N)'!D201)*F201,0)</f>
        <v>0</v>
      </c>
      <c r="J201" s="84">
        <f ca="1">('Invoer gegevens (N)'!$F$20/12)*F200*MIN('Reeksen (N)'!B200,'Reeksen (N)'!D200)</f>
        <v>0</v>
      </c>
      <c r="K201" s="97">
        <f t="shared" ca="1" si="33"/>
        <v>0</v>
      </c>
      <c r="L201" s="84">
        <f ca="1">IF('Invoer gegevens (N)'!$C$17=E201,0,IF(C201=1,Q200,0))</f>
        <v>0</v>
      </c>
      <c r="M201" s="96">
        <f ca="1">IF(C201&gt;=1,L201*VLOOKUP(E201,'Reeksen (N)'!$A$5:$B$76,2),0)</f>
        <v>0</v>
      </c>
      <c r="N201" s="84">
        <f ca="1">(1-('Invoer gegevens (N)'!$F$20/12))*L201*MIN('Reeksen (N)'!B201,'Reeksen (N)'!D201)</f>
        <v>0</v>
      </c>
      <c r="O201" s="84">
        <f>IF('Reeksen (N)'!D201&lt;'Reeksen (N)'!B201,('Reeksen (N)'!B201-'Reeksen (N)'!D201)*L201,0)</f>
        <v>0</v>
      </c>
      <c r="P201" s="84">
        <f ca="1">('Invoer gegevens (N)'!$F$20/12)*L200*MIN('Reeksen (N)'!B200,'Reeksen (N)'!D200)</f>
        <v>0</v>
      </c>
      <c r="Q201" s="84">
        <f t="shared" ca="1" si="34"/>
        <v>0</v>
      </c>
      <c r="R201" s="82">
        <f ca="1">IF('Invoer gegevens (N)'!$C$17=E201,'Invoer gegevens (N)'!$C$11,IF(C201=1,W200,0))</f>
        <v>0</v>
      </c>
      <c r="S201" s="86">
        <f ca="1">IF(C201&gt;=1,R201*VLOOKUP(E201,'Reeksen (N)'!$A$5:$B$76,2),0)</f>
        <v>0</v>
      </c>
      <c r="T201" s="84">
        <f ca="1">(1-('Invoer gegevens (N)'!$F$20/12))*R201*MIN('Reeksen (N)'!B201,'Reeksen (N)'!D201)</f>
        <v>0</v>
      </c>
      <c r="U201" s="84">
        <f>IF('Reeksen (N)'!D201&gt;='Reeksen (N)'!B201,0,IF('Reeksen (N)'!AD201&lt;='Reeksen (N)'!AE201,('Reeksen (N)'!B201-'Reeksen (N)'!D201)*R201,0))</f>
        <v>0</v>
      </c>
      <c r="V201" s="86">
        <f>IF('Reeksen (N)'!D201&gt;='Reeksen (N)'!B201,0,IF('Reeksen (N)'!AD201&gt;'Reeksen (N)'!AE201,('Reeksen (N)'!B201-'Reeksen (N)'!D201)*R201,0))</f>
        <v>0</v>
      </c>
      <c r="W201" s="97">
        <f t="shared" ca="1" si="35"/>
        <v>0</v>
      </c>
      <c r="X201" s="98">
        <f ca="1">IF('Invoer gegevens (N)'!$C$17=E201,'Invoer gegevens (N)'!$C$10-'Invoer gegevens (N)'!$C$11,IF(C201=1,AC200,0))</f>
        <v>0</v>
      </c>
      <c r="Y201" s="98">
        <f ca="1">IF(C201&gt;=1,X201*VLOOKUP(E201,'Reeksen (N)'!$A$5:$B$76,2),0)</f>
        <v>0</v>
      </c>
      <c r="Z201" s="98">
        <f ca="1">(1-('Invoer gegevens (N)'!$F$20/12))*X201*MIN('Reeksen (N)'!B201,'Reeksen (N)'!D201)</f>
        <v>0</v>
      </c>
      <c r="AA201" s="98">
        <f>IF('Reeksen (N)'!D201&gt;='Reeksen (N)'!B201,0,IF('Reeksen (N)'!AD201&lt;='Reeksen (N)'!AE201,('Reeksen (N)'!B201-'Reeksen (N)'!D201)*X201,0))</f>
        <v>0</v>
      </c>
      <c r="AB201" s="98">
        <f>IF('Reeksen (N)'!D201&gt;='Reeksen (N)'!B201,0,IF('Reeksen (N)'!AD201&gt;'Reeksen (N)'!AE201,('Reeksen (N)'!B201-'Reeksen (N)'!D201)*X201,0))</f>
        <v>0</v>
      </c>
      <c r="AC201" s="99">
        <f t="shared" ca="1" si="36"/>
        <v>0</v>
      </c>
      <c r="AD201" s="98">
        <f ca="1">IF('Invoer gegevens (N)'!$C$17=E201,R201,IF(C201=0,0,AE200))</f>
        <v>0</v>
      </c>
      <c r="AE201" s="98">
        <f t="shared" ca="1" si="37"/>
        <v>0</v>
      </c>
      <c r="AF201" s="98">
        <f ca="1">IF('Invoer gegevens (N)'!$C$17=E201,X201,IF(C201=0,0,AG200))</f>
        <v>0</v>
      </c>
      <c r="AG201" s="98">
        <f t="shared" ca="1" si="38"/>
        <v>0</v>
      </c>
      <c r="AH201" s="66"/>
      <c r="AI201" s="71">
        <f ca="1">IF(C201=1,'Reeksen (N)'!AI201*((F201-G201+F201)/2)*12+'Reeksen (N)'!AD201*((L201-M201+L201)/2)*12,0)</f>
        <v>0</v>
      </c>
      <c r="AJ201" s="71">
        <f ca="1">-AI201*'Invoer gegevens (N)'!$F$28</f>
        <v>0</v>
      </c>
      <c r="AK201" s="71">
        <f t="shared" ca="1" si="39"/>
        <v>0</v>
      </c>
      <c r="AL201" s="71">
        <f ca="1">IF(C201=1,'Reeksen (N)'!AL201*((F201-G201+F201)/2)*12+'Reeksen (N)'!AM201*((L201-M201+L201)/2)*12,0)</f>
        <v>0</v>
      </c>
      <c r="AM201" s="71">
        <f ca="1">-AL201*'Invoer gegevens (N)'!$F$31</f>
        <v>0</v>
      </c>
      <c r="AN201" s="71">
        <f t="shared" ca="1" si="40"/>
        <v>0</v>
      </c>
      <c r="AO201" s="71">
        <f ca="1">IF(C201=1,(H201+J201+N201+P201)*'Reeksen (N)'!AN201,0)</f>
        <v>0</v>
      </c>
      <c r="AP201" s="71">
        <f ca="1">-IF(C201=1,(H201+J201+N201+P201)*'Hulp - basis'!$O$550*'Reeksen (N)'!H201,0)</f>
        <v>0</v>
      </c>
      <c r="AQ201" s="71">
        <f ca="1">-IF(C201=1,(F201+K201+L201+Q201)/2*'Invoer gegevens (N)'!$F$35*'Reeksen (N)'!J201,0)*2</f>
        <v>0</v>
      </c>
      <c r="AR201" s="71"/>
      <c r="AS201" s="71">
        <f ca="1">-IF(C201=1,(F201+K201+L201+Q201)/2*'Invoer gegevens (N)'!$F$37*'Reeksen (N)'!L201,0)</f>
        <v>0</v>
      </c>
      <c r="AT201" s="71">
        <f ca="1">-IF(C201=1,IF(E201='Invoer gegevens (N)'!$C$17,'Invoer gegevens (N)'!$C$11,AD201)*'Reeksen (N)'!S201*'Invoer gegevens (N)'!$C$18*'Reeksen (N)'!P201,0)</f>
        <v>0</v>
      </c>
      <c r="AU201" s="71">
        <f ca="1">-IF(C201=1,(F201+K201+L201+Q201)/2*'Invoer gegevens (N)'!$F$38*'Reeksen (N)'!H201,0)</f>
        <v>0</v>
      </c>
      <c r="AV201" s="71">
        <v>0</v>
      </c>
      <c r="AW201" s="71">
        <f t="shared" ca="1" si="41"/>
        <v>0</v>
      </c>
      <c r="AX201" s="71">
        <f ca="1">IF(E201&lt;'Invoer gegevens (N)'!$C$17+15,0,IF(E201&gt;'Invoer gegevens (N)'!$C$17+215,0,AW201))</f>
        <v>0</v>
      </c>
      <c r="AY201" s="71">
        <f ca="1">AX201/(1+'Invoer gegevens (N)'!$F$18)^($AZ201-('Invoer gegevens (N)'!$C$17-'Invoer gegevens (N)'!$C$16))/(1+'Invoer gegevens (N)'!$C$39)^('Invoer gegevens (N)'!$C$17-'Invoer gegevens (N)'!$C$16)</f>
        <v>0</v>
      </c>
      <c r="AZ201" s="68">
        <f ca="1">IF(E201-'Invoer gegevens (N)'!$C$17-14.5&lt;0,0,E201-'Invoer gegevens (N)'!$C$17-14.5)</f>
        <v>181.5</v>
      </c>
    </row>
    <row r="202" spans="1:52" x14ac:dyDescent="0.25">
      <c r="A202" s="59"/>
      <c r="B202" s="70">
        <f t="shared" si="42"/>
        <v>198</v>
      </c>
      <c r="C202" s="67">
        <f ca="1">IF(E202-'Invoer gegevens (N)'!$C$17&lt;0,0,1)</f>
        <v>1</v>
      </c>
      <c r="D202" s="68">
        <f t="shared" si="43"/>
        <v>197.5</v>
      </c>
      <c r="E202" s="69">
        <f ca="1">IF('Invoer gegevens (N)'!$C$16="","",E201+1)</f>
        <v>2216</v>
      </c>
      <c r="F202" s="84">
        <f ca="1">IF('Invoer gegevens (N)'!$C$17=E202,'Invoer gegevens (N)'!$C$10,IF(C202=1,K201,0))</f>
        <v>0</v>
      </c>
      <c r="G202" s="96">
        <f ca="1">IF(C202&gt;=1,F202*VLOOKUP(E202,'Reeksen (N)'!$A$5:$B$76,2),0)</f>
        <v>0</v>
      </c>
      <c r="H202" s="84">
        <f ca="1">(1-('Invoer gegevens (N)'!$F$20/12))*F202*MIN('Reeksen (N)'!B202,'Reeksen (N)'!D202)</f>
        <v>0</v>
      </c>
      <c r="I202" s="84">
        <f>IF('Reeksen (N)'!D202&lt;'Reeksen (N)'!B202,('Reeksen (N)'!B202-'Reeksen (N)'!D202)*F202,0)</f>
        <v>0</v>
      </c>
      <c r="J202" s="84">
        <f ca="1">('Invoer gegevens (N)'!$F$20/12)*F201*MIN('Reeksen (N)'!B201,'Reeksen (N)'!D201)</f>
        <v>0</v>
      </c>
      <c r="K202" s="97">
        <f t="shared" ca="1" si="33"/>
        <v>0</v>
      </c>
      <c r="L202" s="84">
        <f ca="1">IF('Invoer gegevens (N)'!$C$17=E202,0,IF(C202=1,Q201,0))</f>
        <v>0</v>
      </c>
      <c r="M202" s="96">
        <f ca="1">IF(C202&gt;=1,L202*VLOOKUP(E202,'Reeksen (N)'!$A$5:$B$76,2),0)</f>
        <v>0</v>
      </c>
      <c r="N202" s="84">
        <f ca="1">(1-('Invoer gegevens (N)'!$F$20/12))*L202*MIN('Reeksen (N)'!B202,'Reeksen (N)'!D202)</f>
        <v>0</v>
      </c>
      <c r="O202" s="84">
        <f>IF('Reeksen (N)'!D202&lt;'Reeksen (N)'!B202,('Reeksen (N)'!B202-'Reeksen (N)'!D202)*L202,0)</f>
        <v>0</v>
      </c>
      <c r="P202" s="84">
        <f ca="1">('Invoer gegevens (N)'!$F$20/12)*L201*MIN('Reeksen (N)'!B201,'Reeksen (N)'!D201)</f>
        <v>0</v>
      </c>
      <c r="Q202" s="84">
        <f t="shared" ca="1" si="34"/>
        <v>0</v>
      </c>
      <c r="R202" s="82">
        <f ca="1">IF('Invoer gegevens (N)'!$C$17=E202,'Invoer gegevens (N)'!$C$11,IF(C202=1,W201,0))</f>
        <v>0</v>
      </c>
      <c r="S202" s="86">
        <f ca="1">IF(C202&gt;=1,R202*VLOOKUP(E202,'Reeksen (N)'!$A$5:$B$76,2),0)</f>
        <v>0</v>
      </c>
      <c r="T202" s="84">
        <f ca="1">(1-('Invoer gegevens (N)'!$F$20/12))*R202*MIN('Reeksen (N)'!B202,'Reeksen (N)'!D202)</f>
        <v>0</v>
      </c>
      <c r="U202" s="84">
        <f>IF('Reeksen (N)'!D202&gt;='Reeksen (N)'!B202,0,IF('Reeksen (N)'!AD202&lt;='Reeksen (N)'!AE202,('Reeksen (N)'!B202-'Reeksen (N)'!D202)*R202,0))</f>
        <v>0</v>
      </c>
      <c r="V202" s="86">
        <f>IF('Reeksen (N)'!D202&gt;='Reeksen (N)'!B202,0,IF('Reeksen (N)'!AD202&gt;'Reeksen (N)'!AE202,('Reeksen (N)'!B202-'Reeksen (N)'!D202)*R202,0))</f>
        <v>0</v>
      </c>
      <c r="W202" s="97">
        <f t="shared" ca="1" si="35"/>
        <v>0</v>
      </c>
      <c r="X202" s="98">
        <f ca="1">IF('Invoer gegevens (N)'!$C$17=E202,'Invoer gegevens (N)'!$C$10-'Invoer gegevens (N)'!$C$11,IF(C202=1,AC201,0))</f>
        <v>0</v>
      </c>
      <c r="Y202" s="98">
        <f ca="1">IF(C202&gt;=1,X202*VLOOKUP(E202,'Reeksen (N)'!$A$5:$B$76,2),0)</f>
        <v>0</v>
      </c>
      <c r="Z202" s="98">
        <f ca="1">(1-('Invoer gegevens (N)'!$F$20/12))*X202*MIN('Reeksen (N)'!B202,'Reeksen (N)'!D202)</f>
        <v>0</v>
      </c>
      <c r="AA202" s="98">
        <f>IF('Reeksen (N)'!D202&gt;='Reeksen (N)'!B202,0,IF('Reeksen (N)'!AD202&lt;='Reeksen (N)'!AE202,('Reeksen (N)'!B202-'Reeksen (N)'!D202)*X202,0))</f>
        <v>0</v>
      </c>
      <c r="AB202" s="98">
        <f>IF('Reeksen (N)'!D202&gt;='Reeksen (N)'!B202,0,IF('Reeksen (N)'!AD202&gt;'Reeksen (N)'!AE202,('Reeksen (N)'!B202-'Reeksen (N)'!D202)*X202,0))</f>
        <v>0</v>
      </c>
      <c r="AC202" s="99">
        <f t="shared" ca="1" si="36"/>
        <v>0</v>
      </c>
      <c r="AD202" s="98">
        <f ca="1">IF('Invoer gegevens (N)'!$C$17=E202,R202,IF(C202=0,0,AE201))</f>
        <v>0</v>
      </c>
      <c r="AE202" s="98">
        <f t="shared" ca="1" si="37"/>
        <v>0</v>
      </c>
      <c r="AF202" s="98">
        <f ca="1">IF('Invoer gegevens (N)'!$C$17=E202,X202,IF(C202=0,0,AG201))</f>
        <v>0</v>
      </c>
      <c r="AG202" s="98">
        <f t="shared" ca="1" si="38"/>
        <v>0</v>
      </c>
      <c r="AH202" s="66"/>
      <c r="AI202" s="71">
        <f ca="1">IF(C202=1,'Reeksen (N)'!AI202*((F202-G202+F202)/2)*12+'Reeksen (N)'!AD202*((L202-M202+L202)/2)*12,0)</f>
        <v>0</v>
      </c>
      <c r="AJ202" s="71">
        <f ca="1">-AI202*'Invoer gegevens (N)'!$F$28</f>
        <v>0</v>
      </c>
      <c r="AK202" s="71">
        <f t="shared" ca="1" si="39"/>
        <v>0</v>
      </c>
      <c r="AL202" s="71">
        <f ca="1">IF(C202=1,'Reeksen (N)'!AL202*((F202-G202+F202)/2)*12+'Reeksen (N)'!AM202*((L202-M202+L202)/2)*12,0)</f>
        <v>0</v>
      </c>
      <c r="AM202" s="71">
        <f ca="1">-AL202*'Invoer gegevens (N)'!$F$31</f>
        <v>0</v>
      </c>
      <c r="AN202" s="71">
        <f t="shared" ca="1" si="40"/>
        <v>0</v>
      </c>
      <c r="AO202" s="71">
        <f ca="1">IF(C202=1,(H202+J202+N202+P202)*'Reeksen (N)'!AN202,0)</f>
        <v>0</v>
      </c>
      <c r="AP202" s="71">
        <f ca="1">-IF(C202=1,(H202+J202+N202+P202)*'Hulp - basis'!$O$550*'Reeksen (N)'!H202,0)</f>
        <v>0</v>
      </c>
      <c r="AQ202" s="71">
        <f ca="1">-IF(C202=1,(F202+K202+L202+Q202)/2*'Invoer gegevens (N)'!$F$35*'Reeksen (N)'!J202,0)*2</f>
        <v>0</v>
      </c>
      <c r="AR202" s="71"/>
      <c r="AS202" s="71">
        <f ca="1">-IF(C202=1,(F202+K202+L202+Q202)/2*'Invoer gegevens (N)'!$F$37*'Reeksen (N)'!L202,0)</f>
        <v>0</v>
      </c>
      <c r="AT202" s="71">
        <f ca="1">-IF(C202=1,IF(E202='Invoer gegevens (N)'!$C$17,'Invoer gegevens (N)'!$C$11,AD202)*'Reeksen (N)'!S202*'Invoer gegevens (N)'!$C$18*'Reeksen (N)'!P202,0)</f>
        <v>0</v>
      </c>
      <c r="AU202" s="71">
        <f ca="1">-IF(C202=1,(F202+K202+L202+Q202)/2*'Invoer gegevens (N)'!$F$38*'Reeksen (N)'!H202,0)</f>
        <v>0</v>
      </c>
      <c r="AV202" s="71">
        <v>0</v>
      </c>
      <c r="AW202" s="71">
        <f t="shared" ca="1" si="41"/>
        <v>0</v>
      </c>
      <c r="AX202" s="71">
        <f ca="1">IF(E202&lt;'Invoer gegevens (N)'!$C$17+15,0,IF(E202&gt;'Invoer gegevens (N)'!$C$17+215,0,AW202))</f>
        <v>0</v>
      </c>
      <c r="AY202" s="71">
        <f ca="1">AX202/(1+'Invoer gegevens (N)'!$F$18)^($AZ202-('Invoer gegevens (N)'!$C$17-'Invoer gegevens (N)'!$C$16))/(1+'Invoer gegevens (N)'!$C$39)^('Invoer gegevens (N)'!$C$17-'Invoer gegevens (N)'!$C$16)</f>
        <v>0</v>
      </c>
      <c r="AZ202" s="68">
        <f ca="1">IF(E202-'Invoer gegevens (N)'!$C$17-14.5&lt;0,0,E202-'Invoer gegevens (N)'!$C$17-14.5)</f>
        <v>182.5</v>
      </c>
    </row>
    <row r="203" spans="1:52" x14ac:dyDescent="0.25">
      <c r="A203" s="59"/>
      <c r="B203" s="70">
        <f t="shared" si="42"/>
        <v>199</v>
      </c>
      <c r="C203" s="67">
        <f ca="1">IF(E203-'Invoer gegevens (N)'!$C$17&lt;0,0,1)</f>
        <v>1</v>
      </c>
      <c r="D203" s="68">
        <f t="shared" si="43"/>
        <v>198.5</v>
      </c>
      <c r="E203" s="69">
        <f ca="1">IF('Invoer gegevens (N)'!$C$16="","",E202+1)</f>
        <v>2217</v>
      </c>
      <c r="F203" s="84">
        <f ca="1">IF('Invoer gegevens (N)'!$C$17=E203,'Invoer gegevens (N)'!$C$10,IF(C203=1,K202,0))</f>
        <v>0</v>
      </c>
      <c r="G203" s="96">
        <f ca="1">IF(C203&gt;=1,F203*VLOOKUP(E203,'Reeksen (N)'!$A$5:$B$76,2),0)</f>
        <v>0</v>
      </c>
      <c r="H203" s="84">
        <f ca="1">(1-('Invoer gegevens (N)'!$F$20/12))*F203*MIN('Reeksen (N)'!B203,'Reeksen (N)'!D203)</f>
        <v>0</v>
      </c>
      <c r="I203" s="84">
        <f>IF('Reeksen (N)'!D203&lt;'Reeksen (N)'!B203,('Reeksen (N)'!B203-'Reeksen (N)'!D203)*F203,0)</f>
        <v>0</v>
      </c>
      <c r="J203" s="84">
        <f ca="1">('Invoer gegevens (N)'!$F$20/12)*F202*MIN('Reeksen (N)'!B202,'Reeksen (N)'!D202)</f>
        <v>0</v>
      </c>
      <c r="K203" s="97">
        <f t="shared" ca="1" si="33"/>
        <v>0</v>
      </c>
      <c r="L203" s="84">
        <f ca="1">IF('Invoer gegevens (N)'!$C$17=E203,0,IF(C203=1,Q202,0))</f>
        <v>0</v>
      </c>
      <c r="M203" s="96">
        <f ca="1">IF(C203&gt;=1,L203*VLOOKUP(E203,'Reeksen (N)'!$A$5:$B$76,2),0)</f>
        <v>0</v>
      </c>
      <c r="N203" s="84">
        <f ca="1">(1-('Invoer gegevens (N)'!$F$20/12))*L203*MIN('Reeksen (N)'!B203,'Reeksen (N)'!D203)</f>
        <v>0</v>
      </c>
      <c r="O203" s="84">
        <f>IF('Reeksen (N)'!D203&lt;'Reeksen (N)'!B203,('Reeksen (N)'!B203-'Reeksen (N)'!D203)*L203,0)</f>
        <v>0</v>
      </c>
      <c r="P203" s="84">
        <f ca="1">('Invoer gegevens (N)'!$F$20/12)*L202*MIN('Reeksen (N)'!B202,'Reeksen (N)'!D202)</f>
        <v>0</v>
      </c>
      <c r="Q203" s="84">
        <f t="shared" ca="1" si="34"/>
        <v>0</v>
      </c>
      <c r="R203" s="82">
        <f ca="1">IF('Invoer gegevens (N)'!$C$17=E203,'Invoer gegevens (N)'!$C$11,IF(C203=1,W202,0))</f>
        <v>0</v>
      </c>
      <c r="S203" s="86">
        <f ca="1">IF(C203&gt;=1,R203*VLOOKUP(E203,'Reeksen (N)'!$A$5:$B$76,2),0)</f>
        <v>0</v>
      </c>
      <c r="T203" s="84">
        <f ca="1">(1-('Invoer gegevens (N)'!$F$20/12))*R203*MIN('Reeksen (N)'!B203,'Reeksen (N)'!D203)</f>
        <v>0</v>
      </c>
      <c r="U203" s="84">
        <f>IF('Reeksen (N)'!D203&gt;='Reeksen (N)'!B203,0,IF('Reeksen (N)'!AD203&lt;='Reeksen (N)'!AE203,('Reeksen (N)'!B203-'Reeksen (N)'!D203)*R203,0))</f>
        <v>0</v>
      </c>
      <c r="V203" s="86">
        <f>IF('Reeksen (N)'!D203&gt;='Reeksen (N)'!B203,0,IF('Reeksen (N)'!AD203&gt;'Reeksen (N)'!AE203,('Reeksen (N)'!B203-'Reeksen (N)'!D203)*R203,0))</f>
        <v>0</v>
      </c>
      <c r="W203" s="97">
        <f t="shared" ca="1" si="35"/>
        <v>0</v>
      </c>
      <c r="X203" s="98">
        <f ca="1">IF('Invoer gegevens (N)'!$C$17=E203,'Invoer gegevens (N)'!$C$10-'Invoer gegevens (N)'!$C$11,IF(C203=1,AC202,0))</f>
        <v>0</v>
      </c>
      <c r="Y203" s="98">
        <f ca="1">IF(C203&gt;=1,X203*VLOOKUP(E203,'Reeksen (N)'!$A$5:$B$76,2),0)</f>
        <v>0</v>
      </c>
      <c r="Z203" s="98">
        <f ca="1">(1-('Invoer gegevens (N)'!$F$20/12))*X203*MIN('Reeksen (N)'!B203,'Reeksen (N)'!D203)</f>
        <v>0</v>
      </c>
      <c r="AA203" s="98">
        <f>IF('Reeksen (N)'!D203&gt;='Reeksen (N)'!B203,0,IF('Reeksen (N)'!AD203&lt;='Reeksen (N)'!AE203,('Reeksen (N)'!B203-'Reeksen (N)'!D203)*X203,0))</f>
        <v>0</v>
      </c>
      <c r="AB203" s="98">
        <f>IF('Reeksen (N)'!D203&gt;='Reeksen (N)'!B203,0,IF('Reeksen (N)'!AD203&gt;'Reeksen (N)'!AE203,('Reeksen (N)'!B203-'Reeksen (N)'!D203)*X203,0))</f>
        <v>0</v>
      </c>
      <c r="AC203" s="99">
        <f t="shared" ca="1" si="36"/>
        <v>0</v>
      </c>
      <c r="AD203" s="98">
        <f ca="1">IF('Invoer gegevens (N)'!$C$17=E203,R203,IF(C203=0,0,AE202))</f>
        <v>0</v>
      </c>
      <c r="AE203" s="98">
        <f t="shared" ca="1" si="37"/>
        <v>0</v>
      </c>
      <c r="AF203" s="98">
        <f ca="1">IF('Invoer gegevens (N)'!$C$17=E203,X203,IF(C203=0,0,AG202))</f>
        <v>0</v>
      </c>
      <c r="AG203" s="98">
        <f t="shared" ca="1" si="38"/>
        <v>0</v>
      </c>
      <c r="AH203" s="66"/>
      <c r="AI203" s="71">
        <f ca="1">IF(C203=1,'Reeksen (N)'!AI203*((F203-G203+F203)/2)*12+'Reeksen (N)'!AD203*((L203-M203+L203)/2)*12,0)</f>
        <v>0</v>
      </c>
      <c r="AJ203" s="71">
        <f ca="1">-AI203*'Invoer gegevens (N)'!$F$28</f>
        <v>0</v>
      </c>
      <c r="AK203" s="71">
        <f t="shared" ca="1" si="39"/>
        <v>0</v>
      </c>
      <c r="AL203" s="71">
        <f ca="1">IF(C203=1,'Reeksen (N)'!AL203*((F203-G203+F203)/2)*12+'Reeksen (N)'!AM203*((L203-M203+L203)/2)*12,0)</f>
        <v>0</v>
      </c>
      <c r="AM203" s="71">
        <f ca="1">-AL203*'Invoer gegevens (N)'!$F$31</f>
        <v>0</v>
      </c>
      <c r="AN203" s="71">
        <f t="shared" ca="1" si="40"/>
        <v>0</v>
      </c>
      <c r="AO203" s="71">
        <f ca="1">IF(C203=1,(H203+J203+N203+P203)*'Reeksen (N)'!AN203,0)</f>
        <v>0</v>
      </c>
      <c r="AP203" s="71">
        <f ca="1">-IF(C203=1,(H203+J203+N203+P203)*'Hulp - basis'!$O$550*'Reeksen (N)'!H203,0)</f>
        <v>0</v>
      </c>
      <c r="AQ203" s="71">
        <f ca="1">-IF(C203=1,(F203+K203+L203+Q203)/2*'Invoer gegevens (N)'!$F$35*'Reeksen (N)'!J203,0)*2</f>
        <v>0</v>
      </c>
      <c r="AR203" s="71"/>
      <c r="AS203" s="71">
        <f ca="1">-IF(C203=1,(F203+K203+L203+Q203)/2*'Invoer gegevens (N)'!$F$37*'Reeksen (N)'!L203,0)</f>
        <v>0</v>
      </c>
      <c r="AT203" s="71">
        <f ca="1">-IF(C203=1,IF(E203='Invoer gegevens (N)'!$C$17,'Invoer gegevens (N)'!$C$11,AD203)*'Reeksen (N)'!S203*'Invoer gegevens (N)'!$C$18*'Reeksen (N)'!P203,0)</f>
        <v>0</v>
      </c>
      <c r="AU203" s="71">
        <f ca="1">-IF(C203=1,(F203+K203+L203+Q203)/2*'Invoer gegevens (N)'!$F$38*'Reeksen (N)'!H203,0)</f>
        <v>0</v>
      </c>
      <c r="AV203" s="71">
        <v>0</v>
      </c>
      <c r="AW203" s="71">
        <f t="shared" ca="1" si="41"/>
        <v>0</v>
      </c>
      <c r="AX203" s="71">
        <f ca="1">IF(E203&lt;'Invoer gegevens (N)'!$C$17+15,0,IF(E203&gt;'Invoer gegevens (N)'!$C$17+215,0,AW203))</f>
        <v>0</v>
      </c>
      <c r="AY203" s="71">
        <f ca="1">AX203/(1+'Invoer gegevens (N)'!$F$18)^($AZ203-('Invoer gegevens (N)'!$C$17-'Invoer gegevens (N)'!$C$16))/(1+'Invoer gegevens (N)'!$C$39)^('Invoer gegevens (N)'!$C$17-'Invoer gegevens (N)'!$C$16)</f>
        <v>0</v>
      </c>
      <c r="AZ203" s="68">
        <f ca="1">IF(E203-'Invoer gegevens (N)'!$C$17-14.5&lt;0,0,E203-'Invoer gegevens (N)'!$C$17-14.5)</f>
        <v>183.5</v>
      </c>
    </row>
    <row r="204" spans="1:52" x14ac:dyDescent="0.25">
      <c r="A204" s="59"/>
      <c r="B204" s="70">
        <f t="shared" si="42"/>
        <v>200</v>
      </c>
      <c r="C204" s="67">
        <f ca="1">IF(E204-'Invoer gegevens (N)'!$C$17&lt;0,0,1)</f>
        <v>1</v>
      </c>
      <c r="D204" s="68">
        <f t="shared" si="43"/>
        <v>199.5</v>
      </c>
      <c r="E204" s="69">
        <f ca="1">IF('Invoer gegevens (N)'!$C$16="","",E203+1)</f>
        <v>2218</v>
      </c>
      <c r="F204" s="84">
        <f ca="1">IF('Invoer gegevens (N)'!$C$17=E204,'Invoer gegevens (N)'!$C$10,IF(C204=1,K203,0))</f>
        <v>0</v>
      </c>
      <c r="G204" s="96">
        <f ca="1">IF(C204&gt;=1,F204*VLOOKUP(E204,'Reeksen (N)'!$A$5:$B$76,2),0)</f>
        <v>0</v>
      </c>
      <c r="H204" s="84">
        <f ca="1">(1-('Invoer gegevens (N)'!$F$20/12))*F204*MIN('Reeksen (N)'!B204,'Reeksen (N)'!D204)</f>
        <v>0</v>
      </c>
      <c r="I204" s="84">
        <f>IF('Reeksen (N)'!D204&lt;'Reeksen (N)'!B204,('Reeksen (N)'!B204-'Reeksen (N)'!D204)*F204,0)</f>
        <v>0</v>
      </c>
      <c r="J204" s="84">
        <f ca="1">('Invoer gegevens (N)'!$F$20/12)*F203*MIN('Reeksen (N)'!B203,'Reeksen (N)'!D203)</f>
        <v>0</v>
      </c>
      <c r="K204" s="97">
        <f t="shared" ca="1" si="33"/>
        <v>0</v>
      </c>
      <c r="L204" s="84">
        <f ca="1">IF('Invoer gegevens (N)'!$C$17=E204,0,IF(C204=1,Q203,0))</f>
        <v>0</v>
      </c>
      <c r="M204" s="96">
        <f ca="1">IF(C204&gt;=1,L204*VLOOKUP(E204,'Reeksen (N)'!$A$5:$B$76,2),0)</f>
        <v>0</v>
      </c>
      <c r="N204" s="84">
        <f ca="1">(1-('Invoer gegevens (N)'!$F$20/12))*L204*MIN('Reeksen (N)'!B204,'Reeksen (N)'!D204)</f>
        <v>0</v>
      </c>
      <c r="O204" s="84">
        <f>IF('Reeksen (N)'!D204&lt;'Reeksen (N)'!B204,('Reeksen (N)'!B204-'Reeksen (N)'!D204)*L204,0)</f>
        <v>0</v>
      </c>
      <c r="P204" s="84">
        <f ca="1">('Invoer gegevens (N)'!$F$20/12)*L203*MIN('Reeksen (N)'!B203,'Reeksen (N)'!D203)</f>
        <v>0</v>
      </c>
      <c r="Q204" s="84">
        <f t="shared" ca="1" si="34"/>
        <v>0</v>
      </c>
      <c r="R204" s="82">
        <f ca="1">IF('Invoer gegevens (N)'!$C$17=E204,'Invoer gegevens (N)'!$C$11,IF(C204=1,W203,0))</f>
        <v>0</v>
      </c>
      <c r="S204" s="86">
        <f ca="1">IF(C204&gt;=1,R204*VLOOKUP(E204,'Reeksen (N)'!$A$5:$B$76,2),0)</f>
        <v>0</v>
      </c>
      <c r="T204" s="84">
        <f ca="1">(1-('Invoer gegevens (N)'!$F$20/12))*R204*MIN('Reeksen (N)'!B204,'Reeksen (N)'!D204)</f>
        <v>0</v>
      </c>
      <c r="U204" s="84">
        <f>IF('Reeksen (N)'!D204&gt;='Reeksen (N)'!B204,0,IF('Reeksen (N)'!AD204&lt;='Reeksen (N)'!AE204,('Reeksen (N)'!B204-'Reeksen (N)'!D204)*R204,0))</f>
        <v>0</v>
      </c>
      <c r="V204" s="86">
        <f>IF('Reeksen (N)'!D204&gt;='Reeksen (N)'!B204,0,IF('Reeksen (N)'!AD204&gt;'Reeksen (N)'!AE204,('Reeksen (N)'!B204-'Reeksen (N)'!D204)*R204,0))</f>
        <v>0</v>
      </c>
      <c r="W204" s="97">
        <f t="shared" ca="1" si="35"/>
        <v>0</v>
      </c>
      <c r="X204" s="98">
        <f ca="1">IF('Invoer gegevens (N)'!$C$17=E204,'Invoer gegevens (N)'!$C$10-'Invoer gegevens (N)'!$C$11,IF(C204=1,AC203,0))</f>
        <v>0</v>
      </c>
      <c r="Y204" s="98">
        <f ca="1">IF(C204&gt;=1,X204*VLOOKUP(E204,'Reeksen (N)'!$A$5:$B$76,2),0)</f>
        <v>0</v>
      </c>
      <c r="Z204" s="98">
        <f ca="1">(1-('Invoer gegevens (N)'!$F$20/12))*X204*MIN('Reeksen (N)'!B204,'Reeksen (N)'!D204)</f>
        <v>0</v>
      </c>
      <c r="AA204" s="98">
        <f>IF('Reeksen (N)'!D204&gt;='Reeksen (N)'!B204,0,IF('Reeksen (N)'!AD204&lt;='Reeksen (N)'!AE204,('Reeksen (N)'!B204-'Reeksen (N)'!D204)*X204,0))</f>
        <v>0</v>
      </c>
      <c r="AB204" s="98">
        <f>IF('Reeksen (N)'!D204&gt;='Reeksen (N)'!B204,0,IF('Reeksen (N)'!AD204&gt;'Reeksen (N)'!AE204,('Reeksen (N)'!B204-'Reeksen (N)'!D204)*X204,0))</f>
        <v>0</v>
      </c>
      <c r="AC204" s="99">
        <f t="shared" ca="1" si="36"/>
        <v>0</v>
      </c>
      <c r="AD204" s="98">
        <f ca="1">IF('Invoer gegevens (N)'!$C$17=E204,R204,IF(C204=0,0,AE203))</f>
        <v>0</v>
      </c>
      <c r="AE204" s="98">
        <f t="shared" ca="1" si="37"/>
        <v>0</v>
      </c>
      <c r="AF204" s="98">
        <f ca="1">IF('Invoer gegevens (N)'!$C$17=E204,X204,IF(C204=0,0,AG203))</f>
        <v>0</v>
      </c>
      <c r="AG204" s="98">
        <f t="shared" ca="1" si="38"/>
        <v>0</v>
      </c>
      <c r="AH204" s="66"/>
      <c r="AI204" s="71">
        <f ca="1">IF(C204=1,'Reeksen (N)'!AI204*((F204-G204+F204)/2)*12+'Reeksen (N)'!AD204*((L204-M204+L204)/2)*12,0)</f>
        <v>0</v>
      </c>
      <c r="AJ204" s="71">
        <f ca="1">-AI204*'Invoer gegevens (N)'!$F$28</f>
        <v>0</v>
      </c>
      <c r="AK204" s="71">
        <f t="shared" ca="1" si="39"/>
        <v>0</v>
      </c>
      <c r="AL204" s="71">
        <f ca="1">IF(C204=1,'Reeksen (N)'!AL204*((F204-G204+F204)/2)*12+'Reeksen (N)'!AM204*((L204-M204+L204)/2)*12,0)</f>
        <v>0</v>
      </c>
      <c r="AM204" s="71">
        <f ca="1">-AL204*'Invoer gegevens (N)'!$F$31</f>
        <v>0</v>
      </c>
      <c r="AN204" s="71">
        <f t="shared" ca="1" si="40"/>
        <v>0</v>
      </c>
      <c r="AO204" s="71">
        <f ca="1">IF(C204=1,(H204+J204+N204+P204)*'Reeksen (N)'!AN204,0)</f>
        <v>0</v>
      </c>
      <c r="AP204" s="71">
        <f ca="1">-IF(C204=1,(H204+J204+N204+P204)*'Hulp - basis'!$O$550*'Reeksen (N)'!H204,0)</f>
        <v>0</v>
      </c>
      <c r="AQ204" s="71">
        <f ca="1">-IF(C204=1,(F204+K204+L204+Q204)/2*'Invoer gegevens (N)'!$F$35*'Reeksen (N)'!J204,0)*2</f>
        <v>0</v>
      </c>
      <c r="AR204" s="71"/>
      <c r="AS204" s="71">
        <f ca="1">-IF(C204=1,(F204+K204+L204+Q204)/2*'Invoer gegevens (N)'!$F$37*'Reeksen (N)'!L204,0)</f>
        <v>0</v>
      </c>
      <c r="AT204" s="71">
        <f ca="1">-IF(C204=1,IF(E204='Invoer gegevens (N)'!$C$17,'Invoer gegevens (N)'!$C$11,AD204)*'Reeksen (N)'!S204*'Invoer gegevens (N)'!$C$18*'Reeksen (N)'!P204,0)</f>
        <v>0</v>
      </c>
      <c r="AU204" s="71">
        <f ca="1">-IF(C204=1,(F204+K204+L204+Q204)/2*'Invoer gegevens (N)'!$F$38*'Reeksen (N)'!H204,0)</f>
        <v>0</v>
      </c>
      <c r="AV204" s="71">
        <v>0</v>
      </c>
      <c r="AW204" s="71">
        <f t="shared" ca="1" si="41"/>
        <v>0</v>
      </c>
      <c r="AX204" s="71">
        <f ca="1">IF(E204&lt;'Invoer gegevens (N)'!$C$17+15,0,IF(E204&gt;'Invoer gegevens (N)'!$C$17+215,0,AW204))</f>
        <v>0</v>
      </c>
      <c r="AY204" s="71">
        <f ca="1">AX204/(1+'Invoer gegevens (N)'!$F$18)^($AZ204-('Invoer gegevens (N)'!$C$17-'Invoer gegevens (N)'!$C$16))/(1+'Invoer gegevens (N)'!$C$39)^('Invoer gegevens (N)'!$C$17-'Invoer gegevens (N)'!$C$16)</f>
        <v>0</v>
      </c>
      <c r="AZ204" s="68">
        <f ca="1">IF(E204-'Invoer gegevens (N)'!$C$17-14.5&lt;0,0,E204-'Invoer gegevens (N)'!$C$17-14.5)</f>
        <v>184.5</v>
      </c>
    </row>
    <row r="205" spans="1:52" x14ac:dyDescent="0.25">
      <c r="A205" s="59"/>
      <c r="B205" s="70">
        <f t="shared" si="42"/>
        <v>201</v>
      </c>
      <c r="C205" s="67">
        <f ca="1">IF(E205-'Invoer gegevens (N)'!$C$17&lt;0,0,1)</f>
        <v>1</v>
      </c>
      <c r="D205" s="68">
        <f t="shared" si="43"/>
        <v>200.5</v>
      </c>
      <c r="E205" s="69">
        <f ca="1">IF('Invoer gegevens (N)'!$C$16="","",E204+1)</f>
        <v>2219</v>
      </c>
      <c r="F205" s="84">
        <f ca="1">IF('Invoer gegevens (N)'!$C$17=E205,'Invoer gegevens (N)'!$C$10,IF(C205=1,K204,0))</f>
        <v>0</v>
      </c>
      <c r="G205" s="96">
        <f ca="1">IF(C205&gt;=1,F205*VLOOKUP(E205,'Reeksen (N)'!$A$5:$B$76,2),0)</f>
        <v>0</v>
      </c>
      <c r="H205" s="84">
        <f ca="1">(1-('Invoer gegevens (N)'!$F$20/12))*F205*MIN('Reeksen (N)'!B205,'Reeksen (N)'!D205)</f>
        <v>0</v>
      </c>
      <c r="I205" s="84">
        <f>IF('Reeksen (N)'!D205&lt;'Reeksen (N)'!B205,('Reeksen (N)'!B205-'Reeksen (N)'!D205)*F205,0)</f>
        <v>0</v>
      </c>
      <c r="J205" s="84">
        <f ca="1">('Invoer gegevens (N)'!$F$20/12)*F204*MIN('Reeksen (N)'!B204,'Reeksen (N)'!D204)</f>
        <v>0</v>
      </c>
      <c r="K205" s="97">
        <f t="shared" ca="1" si="33"/>
        <v>0</v>
      </c>
      <c r="L205" s="84">
        <f ca="1">IF('Invoer gegevens (N)'!$C$17=E205,0,IF(C205=1,Q204,0))</f>
        <v>0</v>
      </c>
      <c r="M205" s="96">
        <f ca="1">IF(C205&gt;=1,L205*VLOOKUP(E205,'Reeksen (N)'!$A$5:$B$76,2),0)</f>
        <v>0</v>
      </c>
      <c r="N205" s="84">
        <f ca="1">(1-('Invoer gegevens (N)'!$F$20/12))*L205*MIN('Reeksen (N)'!B205,'Reeksen (N)'!D205)</f>
        <v>0</v>
      </c>
      <c r="O205" s="84">
        <f>IF('Reeksen (N)'!D205&lt;'Reeksen (N)'!B205,('Reeksen (N)'!B205-'Reeksen (N)'!D205)*L205,0)</f>
        <v>0</v>
      </c>
      <c r="P205" s="84">
        <f ca="1">('Invoer gegevens (N)'!$F$20/12)*L204*MIN('Reeksen (N)'!B204,'Reeksen (N)'!D204)</f>
        <v>0</v>
      </c>
      <c r="Q205" s="84">
        <f t="shared" ca="1" si="34"/>
        <v>0</v>
      </c>
      <c r="R205" s="82">
        <f ca="1">IF('Invoer gegevens (N)'!$C$17=E205,'Invoer gegevens (N)'!$C$11,IF(C205=1,W204,0))</f>
        <v>0</v>
      </c>
      <c r="S205" s="86">
        <f ca="1">IF(C205&gt;=1,R205*VLOOKUP(E205,'Reeksen (N)'!$A$5:$B$76,2),0)</f>
        <v>0</v>
      </c>
      <c r="T205" s="84">
        <f ca="1">(1-('Invoer gegevens (N)'!$F$20/12))*R205*MIN('Reeksen (N)'!B205,'Reeksen (N)'!D205)</f>
        <v>0</v>
      </c>
      <c r="U205" s="84">
        <f>IF('Reeksen (N)'!D205&gt;='Reeksen (N)'!B205,0,IF('Reeksen (N)'!AD205&lt;='Reeksen (N)'!AE205,('Reeksen (N)'!B205-'Reeksen (N)'!D205)*R205,0))</f>
        <v>0</v>
      </c>
      <c r="V205" s="86">
        <f>IF('Reeksen (N)'!D205&gt;='Reeksen (N)'!B205,0,IF('Reeksen (N)'!AD205&gt;'Reeksen (N)'!AE205,('Reeksen (N)'!B205-'Reeksen (N)'!D205)*R205,0))</f>
        <v>0</v>
      </c>
      <c r="W205" s="97">
        <f t="shared" ca="1" si="35"/>
        <v>0</v>
      </c>
      <c r="X205" s="98">
        <f ca="1">IF('Invoer gegevens (N)'!$C$17=E205,'Invoer gegevens (N)'!$C$10-'Invoer gegevens (N)'!$C$11,IF(C205=1,AC204,0))</f>
        <v>0</v>
      </c>
      <c r="Y205" s="98">
        <f ca="1">IF(C205&gt;=1,X205*VLOOKUP(E205,'Reeksen (N)'!$A$5:$B$76,2),0)</f>
        <v>0</v>
      </c>
      <c r="Z205" s="98">
        <f ca="1">(1-('Invoer gegevens (N)'!$F$20/12))*X205*MIN('Reeksen (N)'!B205,'Reeksen (N)'!D205)</f>
        <v>0</v>
      </c>
      <c r="AA205" s="98">
        <f>IF('Reeksen (N)'!D205&gt;='Reeksen (N)'!B205,0,IF('Reeksen (N)'!AD205&lt;='Reeksen (N)'!AE205,('Reeksen (N)'!B205-'Reeksen (N)'!D205)*X205,0))</f>
        <v>0</v>
      </c>
      <c r="AB205" s="98">
        <f>IF('Reeksen (N)'!D205&gt;='Reeksen (N)'!B205,0,IF('Reeksen (N)'!AD205&gt;'Reeksen (N)'!AE205,('Reeksen (N)'!B205-'Reeksen (N)'!D205)*X205,0))</f>
        <v>0</v>
      </c>
      <c r="AC205" s="99">
        <f t="shared" ca="1" si="36"/>
        <v>0</v>
      </c>
      <c r="AD205" s="98">
        <f ca="1">IF('Invoer gegevens (N)'!$C$17=E205,R205,IF(C205=0,0,AE204))</f>
        <v>0</v>
      </c>
      <c r="AE205" s="98">
        <f t="shared" ca="1" si="37"/>
        <v>0</v>
      </c>
      <c r="AF205" s="98">
        <f ca="1">IF('Invoer gegevens (N)'!$C$17=E205,X205,IF(C205=0,0,AG204))</f>
        <v>0</v>
      </c>
      <c r="AG205" s="98">
        <f t="shared" ca="1" si="38"/>
        <v>0</v>
      </c>
      <c r="AH205" s="66"/>
      <c r="AI205" s="71">
        <f ca="1">IF(C205=1,'Reeksen (N)'!AI205*((F205-G205+F205)/2)*12+'Reeksen (N)'!AD205*((L205-M205+L205)/2)*12,0)</f>
        <v>0</v>
      </c>
      <c r="AJ205" s="71">
        <f ca="1">-AI205*'Invoer gegevens (N)'!$F$28</f>
        <v>0</v>
      </c>
      <c r="AK205" s="71">
        <f t="shared" ca="1" si="39"/>
        <v>0</v>
      </c>
      <c r="AL205" s="71">
        <f ca="1">IF(C205=1,'Reeksen (N)'!AL205*((F205-G205+F205)/2)*12+'Reeksen (N)'!AM205*((L205-M205+L205)/2)*12,0)</f>
        <v>0</v>
      </c>
      <c r="AM205" s="71">
        <f ca="1">-AL205*'Invoer gegevens (N)'!$F$31</f>
        <v>0</v>
      </c>
      <c r="AN205" s="71">
        <f t="shared" ca="1" si="40"/>
        <v>0</v>
      </c>
      <c r="AO205" s="71">
        <f ca="1">IF(C205=1,(H205+J205+N205+P205)*'Reeksen (N)'!AN205,0)</f>
        <v>0</v>
      </c>
      <c r="AP205" s="71">
        <f ca="1">-IF(C205=1,(H205+J205+N205+P205)*'Hulp - basis'!$O$550*'Reeksen (N)'!H205,0)</f>
        <v>0</v>
      </c>
      <c r="AQ205" s="71">
        <f ca="1">-IF(C205=1,(F205+K205+L205+Q205)/2*'Invoer gegevens (N)'!$F$35*'Reeksen (N)'!J205,0)*2</f>
        <v>0</v>
      </c>
      <c r="AR205" s="71"/>
      <c r="AS205" s="71">
        <f ca="1">-IF(C205=1,(F205+K205+L205+Q205)/2*'Invoer gegevens (N)'!$F$37*'Reeksen (N)'!L205,0)</f>
        <v>0</v>
      </c>
      <c r="AT205" s="71">
        <f ca="1">-IF(C205=1,IF(E205='Invoer gegevens (N)'!$C$17,'Invoer gegevens (N)'!$C$11,AD205)*'Reeksen (N)'!S205*'Invoer gegevens (N)'!$C$18*'Reeksen (N)'!P205,0)</f>
        <v>0</v>
      </c>
      <c r="AU205" s="71">
        <f ca="1">-IF(C205=1,(F205+K205+L205+Q205)/2*'Invoer gegevens (N)'!$F$38*'Reeksen (N)'!H205,0)</f>
        <v>0</v>
      </c>
      <c r="AV205" s="71">
        <v>0</v>
      </c>
      <c r="AW205" s="71">
        <f t="shared" ca="1" si="41"/>
        <v>0</v>
      </c>
      <c r="AX205" s="71">
        <f ca="1">IF(E205&lt;'Invoer gegevens (N)'!$C$17+15,0,IF(E205&gt;'Invoer gegevens (N)'!$C$17+215,0,AW205))</f>
        <v>0</v>
      </c>
      <c r="AY205" s="71">
        <f ca="1">AX205/(1+'Invoer gegevens (N)'!$F$18)^($AZ205-('Invoer gegevens (N)'!$C$17-'Invoer gegevens (N)'!$C$16))/(1+'Invoer gegevens (N)'!$C$39)^('Invoer gegevens (N)'!$C$17-'Invoer gegevens (N)'!$C$16)</f>
        <v>0</v>
      </c>
      <c r="AZ205" s="68">
        <f ca="1">IF(E205-'Invoer gegevens (N)'!$C$17-14.5&lt;0,0,E205-'Invoer gegevens (N)'!$C$17-14.5)</f>
        <v>185.5</v>
      </c>
    </row>
    <row r="206" spans="1:52" x14ac:dyDescent="0.25">
      <c r="A206" s="59"/>
      <c r="B206" s="70">
        <f t="shared" si="42"/>
        <v>202</v>
      </c>
      <c r="C206" s="67">
        <f ca="1">IF(E206-'Invoer gegevens (N)'!$C$17&lt;0,0,1)</f>
        <v>1</v>
      </c>
      <c r="D206" s="68">
        <f t="shared" si="43"/>
        <v>201.5</v>
      </c>
      <c r="E206" s="69">
        <f ca="1">IF('Invoer gegevens (N)'!$C$16="","",E205+1)</f>
        <v>2220</v>
      </c>
      <c r="F206" s="84">
        <f ca="1">IF('Invoer gegevens (N)'!$C$17=E206,'Invoer gegevens (N)'!$C$10,IF(C206=1,K205,0))</f>
        <v>0</v>
      </c>
      <c r="G206" s="96">
        <f ca="1">IF(C206&gt;=1,F206*VLOOKUP(E206,'Reeksen (N)'!$A$5:$B$76,2),0)</f>
        <v>0</v>
      </c>
      <c r="H206" s="84">
        <f ca="1">(1-('Invoer gegevens (N)'!$F$20/12))*F206*MIN('Reeksen (N)'!B206,'Reeksen (N)'!D206)</f>
        <v>0</v>
      </c>
      <c r="I206" s="84">
        <f>IF('Reeksen (N)'!D206&lt;'Reeksen (N)'!B206,('Reeksen (N)'!B206-'Reeksen (N)'!D206)*F206,0)</f>
        <v>0</v>
      </c>
      <c r="J206" s="84">
        <f ca="1">('Invoer gegevens (N)'!$F$20/12)*F205*MIN('Reeksen (N)'!B205,'Reeksen (N)'!D205)</f>
        <v>0</v>
      </c>
      <c r="K206" s="97">
        <f t="shared" ca="1" si="33"/>
        <v>0</v>
      </c>
      <c r="L206" s="84">
        <f ca="1">IF('Invoer gegevens (N)'!$C$17=E206,0,IF(C206=1,Q205,0))</f>
        <v>0</v>
      </c>
      <c r="M206" s="96">
        <f ca="1">IF(C206&gt;=1,L206*VLOOKUP(E206,'Reeksen (N)'!$A$5:$B$76,2),0)</f>
        <v>0</v>
      </c>
      <c r="N206" s="84">
        <f ca="1">(1-('Invoer gegevens (N)'!$F$20/12))*L206*MIN('Reeksen (N)'!B206,'Reeksen (N)'!D206)</f>
        <v>0</v>
      </c>
      <c r="O206" s="84">
        <f>IF('Reeksen (N)'!D206&lt;'Reeksen (N)'!B206,('Reeksen (N)'!B206-'Reeksen (N)'!D206)*L206,0)</f>
        <v>0</v>
      </c>
      <c r="P206" s="84">
        <f ca="1">('Invoer gegevens (N)'!$F$20/12)*L205*MIN('Reeksen (N)'!B205,'Reeksen (N)'!D205)</f>
        <v>0</v>
      </c>
      <c r="Q206" s="84">
        <f t="shared" ca="1" si="34"/>
        <v>0</v>
      </c>
      <c r="R206" s="82">
        <f ca="1">IF('Invoer gegevens (N)'!$C$17=E206,'Invoer gegevens (N)'!$C$11,IF(C206=1,W205,0))</f>
        <v>0</v>
      </c>
      <c r="S206" s="86">
        <f ca="1">IF(C206&gt;=1,R206*VLOOKUP(E206,'Reeksen (N)'!$A$5:$B$76,2),0)</f>
        <v>0</v>
      </c>
      <c r="T206" s="84">
        <f ca="1">(1-('Invoer gegevens (N)'!$F$20/12))*R206*MIN('Reeksen (N)'!B206,'Reeksen (N)'!D206)</f>
        <v>0</v>
      </c>
      <c r="U206" s="84">
        <f>IF('Reeksen (N)'!D206&gt;='Reeksen (N)'!B206,0,IF('Reeksen (N)'!AD206&lt;='Reeksen (N)'!AE206,('Reeksen (N)'!B206-'Reeksen (N)'!D206)*R206,0))</f>
        <v>0</v>
      </c>
      <c r="V206" s="86">
        <f>IF('Reeksen (N)'!D206&gt;='Reeksen (N)'!B206,0,IF('Reeksen (N)'!AD206&gt;'Reeksen (N)'!AE206,('Reeksen (N)'!B206-'Reeksen (N)'!D206)*R206,0))</f>
        <v>0</v>
      </c>
      <c r="W206" s="97">
        <f t="shared" ca="1" si="35"/>
        <v>0</v>
      </c>
      <c r="X206" s="98">
        <f ca="1">IF('Invoer gegevens (N)'!$C$17=E206,'Invoer gegevens (N)'!$C$10-'Invoer gegevens (N)'!$C$11,IF(C206=1,AC205,0))</f>
        <v>0</v>
      </c>
      <c r="Y206" s="98">
        <f ca="1">IF(C206&gt;=1,X206*VLOOKUP(E206,'Reeksen (N)'!$A$5:$B$76,2),0)</f>
        <v>0</v>
      </c>
      <c r="Z206" s="98">
        <f ca="1">(1-('Invoer gegevens (N)'!$F$20/12))*X206*MIN('Reeksen (N)'!B206,'Reeksen (N)'!D206)</f>
        <v>0</v>
      </c>
      <c r="AA206" s="98">
        <f>IF('Reeksen (N)'!D206&gt;='Reeksen (N)'!B206,0,IF('Reeksen (N)'!AD206&lt;='Reeksen (N)'!AE206,('Reeksen (N)'!B206-'Reeksen (N)'!D206)*X206,0))</f>
        <v>0</v>
      </c>
      <c r="AB206" s="98">
        <f>IF('Reeksen (N)'!D206&gt;='Reeksen (N)'!B206,0,IF('Reeksen (N)'!AD206&gt;'Reeksen (N)'!AE206,('Reeksen (N)'!B206-'Reeksen (N)'!D206)*X206,0))</f>
        <v>0</v>
      </c>
      <c r="AC206" s="99">
        <f t="shared" ca="1" si="36"/>
        <v>0</v>
      </c>
      <c r="AD206" s="98">
        <f ca="1">IF('Invoer gegevens (N)'!$C$17=E206,R206,IF(C206=0,0,AE205))</f>
        <v>0</v>
      </c>
      <c r="AE206" s="98">
        <f t="shared" ca="1" si="37"/>
        <v>0</v>
      </c>
      <c r="AF206" s="98">
        <f ca="1">IF('Invoer gegevens (N)'!$C$17=E206,X206,IF(C206=0,0,AG205))</f>
        <v>0</v>
      </c>
      <c r="AG206" s="98">
        <f t="shared" ca="1" si="38"/>
        <v>0</v>
      </c>
      <c r="AH206" s="66"/>
      <c r="AI206" s="71">
        <f ca="1">IF(C206=1,'Reeksen (N)'!AI206*((F206-G206+F206)/2)*12+'Reeksen (N)'!AD206*((L206-M206+L206)/2)*12,0)</f>
        <v>0</v>
      </c>
      <c r="AJ206" s="71">
        <f ca="1">-AI206*'Invoer gegevens (N)'!$F$28</f>
        <v>0</v>
      </c>
      <c r="AK206" s="71">
        <f t="shared" ca="1" si="39"/>
        <v>0</v>
      </c>
      <c r="AL206" s="71">
        <f ca="1">IF(C206=1,'Reeksen (N)'!AL206*((F206-G206+F206)/2)*12+'Reeksen (N)'!AM206*((L206-M206+L206)/2)*12,0)</f>
        <v>0</v>
      </c>
      <c r="AM206" s="71">
        <f ca="1">-AL206*'Invoer gegevens (N)'!$F$31</f>
        <v>0</v>
      </c>
      <c r="AN206" s="71">
        <f t="shared" ca="1" si="40"/>
        <v>0</v>
      </c>
      <c r="AO206" s="71">
        <f ca="1">IF(C206=1,(H206+J206+N206+P206)*'Reeksen (N)'!AN206,0)</f>
        <v>0</v>
      </c>
      <c r="AP206" s="71">
        <f ca="1">-IF(C206=1,(H206+J206+N206+P206)*'Hulp - basis'!$O$550*'Reeksen (N)'!H206,0)</f>
        <v>0</v>
      </c>
      <c r="AQ206" s="71">
        <f ca="1">-IF(C206=1,(F206+K206+L206+Q206)/2*'Invoer gegevens (N)'!$F$35*'Reeksen (N)'!J206,0)*2</f>
        <v>0</v>
      </c>
      <c r="AR206" s="71"/>
      <c r="AS206" s="71">
        <f ca="1">-IF(C206=1,(F206+K206+L206+Q206)/2*'Invoer gegevens (N)'!$F$37*'Reeksen (N)'!L206,0)</f>
        <v>0</v>
      </c>
      <c r="AT206" s="71">
        <f ca="1">-IF(C206=1,IF(E206='Invoer gegevens (N)'!$C$17,'Invoer gegevens (N)'!$C$11,AD206)*'Reeksen (N)'!S206*'Invoer gegevens (N)'!$C$18*'Reeksen (N)'!P206,0)</f>
        <v>0</v>
      </c>
      <c r="AU206" s="71">
        <f ca="1">-IF(C206=1,(F206+K206+L206+Q206)/2*'Invoer gegevens (N)'!$F$38*'Reeksen (N)'!H206,0)</f>
        <v>0</v>
      </c>
      <c r="AV206" s="71">
        <v>0</v>
      </c>
      <c r="AW206" s="71">
        <f t="shared" ca="1" si="41"/>
        <v>0</v>
      </c>
      <c r="AX206" s="71">
        <f ca="1">IF(E206&lt;'Invoer gegevens (N)'!$C$17+15,0,IF(E206&gt;'Invoer gegevens (N)'!$C$17+215,0,AW206))</f>
        <v>0</v>
      </c>
      <c r="AY206" s="71">
        <f ca="1">AX206/(1+'Invoer gegevens (N)'!$F$18)^($AZ206-('Invoer gegevens (N)'!$C$17-'Invoer gegevens (N)'!$C$16))/(1+'Invoer gegevens (N)'!$C$39)^('Invoer gegevens (N)'!$C$17-'Invoer gegevens (N)'!$C$16)</f>
        <v>0</v>
      </c>
      <c r="AZ206" s="68">
        <f ca="1">IF(E206-'Invoer gegevens (N)'!$C$17-14.5&lt;0,0,E206-'Invoer gegevens (N)'!$C$17-14.5)</f>
        <v>186.5</v>
      </c>
    </row>
    <row r="207" spans="1:52" x14ac:dyDescent="0.25">
      <c r="A207" s="59"/>
      <c r="B207" s="70">
        <f t="shared" si="42"/>
        <v>203</v>
      </c>
      <c r="C207" s="67">
        <f ca="1">IF(E207-'Invoer gegevens (N)'!$C$17&lt;0,0,1)</f>
        <v>1</v>
      </c>
      <c r="D207" s="68">
        <f t="shared" si="43"/>
        <v>202.5</v>
      </c>
      <c r="E207" s="69">
        <f ca="1">IF('Invoer gegevens (N)'!$C$16="","",E206+1)</f>
        <v>2221</v>
      </c>
      <c r="F207" s="84">
        <f ca="1">IF('Invoer gegevens (N)'!$C$17=E207,'Invoer gegevens (N)'!$C$10,IF(C207=1,K206,0))</f>
        <v>0</v>
      </c>
      <c r="G207" s="96">
        <f ca="1">IF(C207&gt;=1,F207*VLOOKUP(E207,'Reeksen (N)'!$A$5:$B$76,2),0)</f>
        <v>0</v>
      </c>
      <c r="H207" s="84">
        <f ca="1">(1-('Invoer gegevens (N)'!$F$20/12))*F207*MIN('Reeksen (N)'!B207,'Reeksen (N)'!D207)</f>
        <v>0</v>
      </c>
      <c r="I207" s="84">
        <f>IF('Reeksen (N)'!D207&lt;'Reeksen (N)'!B207,('Reeksen (N)'!B207-'Reeksen (N)'!D207)*F207,0)</f>
        <v>0</v>
      </c>
      <c r="J207" s="84">
        <f ca="1">('Invoer gegevens (N)'!$F$20/12)*F206*MIN('Reeksen (N)'!B206,'Reeksen (N)'!D206)</f>
        <v>0</v>
      </c>
      <c r="K207" s="97">
        <f t="shared" ca="1" si="33"/>
        <v>0</v>
      </c>
      <c r="L207" s="84">
        <f ca="1">IF('Invoer gegevens (N)'!$C$17=E207,0,IF(C207=1,Q206,0))</f>
        <v>0</v>
      </c>
      <c r="M207" s="96">
        <f ca="1">IF(C207&gt;=1,L207*VLOOKUP(E207,'Reeksen (N)'!$A$5:$B$76,2),0)</f>
        <v>0</v>
      </c>
      <c r="N207" s="84">
        <f ca="1">(1-('Invoer gegevens (N)'!$F$20/12))*L207*MIN('Reeksen (N)'!B207,'Reeksen (N)'!D207)</f>
        <v>0</v>
      </c>
      <c r="O207" s="84">
        <f>IF('Reeksen (N)'!D207&lt;'Reeksen (N)'!B207,('Reeksen (N)'!B207-'Reeksen (N)'!D207)*L207,0)</f>
        <v>0</v>
      </c>
      <c r="P207" s="84">
        <f ca="1">('Invoer gegevens (N)'!$F$20/12)*L206*MIN('Reeksen (N)'!B206,'Reeksen (N)'!D206)</f>
        <v>0</v>
      </c>
      <c r="Q207" s="84">
        <f t="shared" ca="1" si="34"/>
        <v>0</v>
      </c>
      <c r="R207" s="82">
        <f ca="1">IF('Invoer gegevens (N)'!$C$17=E207,'Invoer gegevens (N)'!$C$11,IF(C207=1,W206,0))</f>
        <v>0</v>
      </c>
      <c r="S207" s="86">
        <f ca="1">IF(C207&gt;=1,R207*VLOOKUP(E207,'Reeksen (N)'!$A$5:$B$76,2),0)</f>
        <v>0</v>
      </c>
      <c r="T207" s="84">
        <f ca="1">(1-('Invoer gegevens (N)'!$F$20/12))*R207*MIN('Reeksen (N)'!B207,'Reeksen (N)'!D207)</f>
        <v>0</v>
      </c>
      <c r="U207" s="84">
        <f>IF('Reeksen (N)'!D207&gt;='Reeksen (N)'!B207,0,IF('Reeksen (N)'!AD207&lt;='Reeksen (N)'!AE207,('Reeksen (N)'!B207-'Reeksen (N)'!D207)*R207,0))</f>
        <v>0</v>
      </c>
      <c r="V207" s="86">
        <f>IF('Reeksen (N)'!D207&gt;='Reeksen (N)'!B207,0,IF('Reeksen (N)'!AD207&gt;'Reeksen (N)'!AE207,('Reeksen (N)'!B207-'Reeksen (N)'!D207)*R207,0))</f>
        <v>0</v>
      </c>
      <c r="W207" s="97">
        <f t="shared" ca="1" si="35"/>
        <v>0</v>
      </c>
      <c r="X207" s="98">
        <f ca="1">IF('Invoer gegevens (N)'!$C$17=E207,'Invoer gegevens (N)'!$C$10-'Invoer gegevens (N)'!$C$11,IF(C207=1,AC206,0))</f>
        <v>0</v>
      </c>
      <c r="Y207" s="98">
        <f ca="1">IF(C207&gt;=1,X207*VLOOKUP(E207,'Reeksen (N)'!$A$5:$B$76,2),0)</f>
        <v>0</v>
      </c>
      <c r="Z207" s="98">
        <f ca="1">(1-('Invoer gegevens (N)'!$F$20/12))*X207*MIN('Reeksen (N)'!B207,'Reeksen (N)'!D207)</f>
        <v>0</v>
      </c>
      <c r="AA207" s="98">
        <f>IF('Reeksen (N)'!D207&gt;='Reeksen (N)'!B207,0,IF('Reeksen (N)'!AD207&lt;='Reeksen (N)'!AE207,('Reeksen (N)'!B207-'Reeksen (N)'!D207)*X207,0))</f>
        <v>0</v>
      </c>
      <c r="AB207" s="98">
        <f>IF('Reeksen (N)'!D207&gt;='Reeksen (N)'!B207,0,IF('Reeksen (N)'!AD207&gt;'Reeksen (N)'!AE207,('Reeksen (N)'!B207-'Reeksen (N)'!D207)*X207,0))</f>
        <v>0</v>
      </c>
      <c r="AC207" s="99">
        <f t="shared" ca="1" si="36"/>
        <v>0</v>
      </c>
      <c r="AD207" s="98">
        <f ca="1">IF('Invoer gegevens (N)'!$C$17=E207,R207,IF(C207=0,0,AE206))</f>
        <v>0</v>
      </c>
      <c r="AE207" s="98">
        <f t="shared" ca="1" si="37"/>
        <v>0</v>
      </c>
      <c r="AF207" s="98">
        <f ca="1">IF('Invoer gegevens (N)'!$C$17=E207,X207,IF(C207=0,0,AG206))</f>
        <v>0</v>
      </c>
      <c r="AG207" s="98">
        <f t="shared" ca="1" si="38"/>
        <v>0</v>
      </c>
      <c r="AH207" s="66"/>
      <c r="AI207" s="71">
        <f ca="1">IF(C207=1,'Reeksen (N)'!AI207*((F207-G207+F207)/2)*12+'Reeksen (N)'!AD207*((L207-M207+L207)/2)*12,0)</f>
        <v>0</v>
      </c>
      <c r="AJ207" s="71">
        <f ca="1">-AI207*'Invoer gegevens (N)'!$F$28</f>
        <v>0</v>
      </c>
      <c r="AK207" s="71">
        <f t="shared" ca="1" si="39"/>
        <v>0</v>
      </c>
      <c r="AL207" s="71">
        <f ca="1">IF(C207=1,'Reeksen (N)'!AL207*((F207-G207+F207)/2)*12+'Reeksen (N)'!AM207*((L207-M207+L207)/2)*12,0)</f>
        <v>0</v>
      </c>
      <c r="AM207" s="71">
        <f ca="1">-AL207*'Invoer gegevens (N)'!$F$31</f>
        <v>0</v>
      </c>
      <c r="AN207" s="71">
        <f t="shared" ca="1" si="40"/>
        <v>0</v>
      </c>
      <c r="AO207" s="71">
        <f ca="1">IF(C207=1,(H207+J207+N207+P207)*'Reeksen (N)'!AN207,0)</f>
        <v>0</v>
      </c>
      <c r="AP207" s="71">
        <f ca="1">-IF(C207=1,(H207+J207+N207+P207)*'Hulp - basis'!$O$550*'Reeksen (N)'!H207,0)</f>
        <v>0</v>
      </c>
      <c r="AQ207" s="71">
        <f ca="1">-IF(C207=1,(F207+K207+L207+Q207)/2*'Invoer gegevens (N)'!$F$35*'Reeksen (N)'!J207,0)*2</f>
        <v>0</v>
      </c>
      <c r="AR207" s="71"/>
      <c r="AS207" s="71">
        <f ca="1">-IF(C207=1,(F207+K207+L207+Q207)/2*'Invoer gegevens (N)'!$F$37*'Reeksen (N)'!L207,0)</f>
        <v>0</v>
      </c>
      <c r="AT207" s="71">
        <f ca="1">-IF(C207=1,IF(E207='Invoer gegevens (N)'!$C$17,'Invoer gegevens (N)'!$C$11,AD207)*'Reeksen (N)'!S207*'Invoer gegevens (N)'!$C$18*'Reeksen (N)'!P207,0)</f>
        <v>0</v>
      </c>
      <c r="AU207" s="71">
        <f ca="1">-IF(C207=1,(F207+K207+L207+Q207)/2*'Invoer gegevens (N)'!$F$38*'Reeksen (N)'!H207,0)</f>
        <v>0</v>
      </c>
      <c r="AV207" s="71">
        <v>0</v>
      </c>
      <c r="AW207" s="71">
        <f t="shared" ca="1" si="41"/>
        <v>0</v>
      </c>
      <c r="AX207" s="71">
        <f ca="1">IF(E207&lt;'Invoer gegevens (N)'!$C$17+15,0,IF(E207&gt;'Invoer gegevens (N)'!$C$17+215,0,AW207))</f>
        <v>0</v>
      </c>
      <c r="AY207" s="71">
        <f ca="1">AX207/(1+'Invoer gegevens (N)'!$F$18)^($AZ207-('Invoer gegevens (N)'!$C$17-'Invoer gegevens (N)'!$C$16))/(1+'Invoer gegevens (N)'!$C$39)^('Invoer gegevens (N)'!$C$17-'Invoer gegevens (N)'!$C$16)</f>
        <v>0</v>
      </c>
      <c r="AZ207" s="68">
        <f ca="1">IF(E207-'Invoer gegevens (N)'!$C$17-14.5&lt;0,0,E207-'Invoer gegevens (N)'!$C$17-14.5)</f>
        <v>187.5</v>
      </c>
    </row>
    <row r="208" spans="1:52" x14ac:dyDescent="0.25">
      <c r="A208" s="59"/>
      <c r="B208" s="70">
        <f t="shared" si="42"/>
        <v>204</v>
      </c>
      <c r="C208" s="67">
        <f ca="1">IF(E208-'Invoer gegevens (N)'!$C$17&lt;0,0,1)</f>
        <v>1</v>
      </c>
      <c r="D208" s="68">
        <f t="shared" si="43"/>
        <v>203.5</v>
      </c>
      <c r="E208" s="69">
        <f ca="1">IF('Invoer gegevens (N)'!$C$16="","",E207+1)</f>
        <v>2222</v>
      </c>
      <c r="F208" s="84">
        <f ca="1">IF('Invoer gegevens (N)'!$C$17=E208,'Invoer gegevens (N)'!$C$10,IF(C208=1,K207,0))</f>
        <v>0</v>
      </c>
      <c r="G208" s="96">
        <f ca="1">IF(C208&gt;=1,F208*VLOOKUP(E208,'Reeksen (N)'!$A$5:$B$76,2),0)</f>
        <v>0</v>
      </c>
      <c r="H208" s="84">
        <f ca="1">(1-('Invoer gegevens (N)'!$F$20/12))*F208*MIN('Reeksen (N)'!B208,'Reeksen (N)'!D208)</f>
        <v>0</v>
      </c>
      <c r="I208" s="84">
        <f>IF('Reeksen (N)'!D208&lt;'Reeksen (N)'!B208,('Reeksen (N)'!B208-'Reeksen (N)'!D208)*F208,0)</f>
        <v>0</v>
      </c>
      <c r="J208" s="84">
        <f ca="1">('Invoer gegevens (N)'!$F$20/12)*F207*MIN('Reeksen (N)'!B207,'Reeksen (N)'!D207)</f>
        <v>0</v>
      </c>
      <c r="K208" s="97">
        <f t="shared" ca="1" si="33"/>
        <v>0</v>
      </c>
      <c r="L208" s="84">
        <f ca="1">IF('Invoer gegevens (N)'!$C$17=E208,0,IF(C208=1,Q207,0))</f>
        <v>0</v>
      </c>
      <c r="M208" s="96">
        <f ca="1">IF(C208&gt;=1,L208*VLOOKUP(E208,'Reeksen (N)'!$A$5:$B$76,2),0)</f>
        <v>0</v>
      </c>
      <c r="N208" s="84">
        <f ca="1">(1-('Invoer gegevens (N)'!$F$20/12))*L208*MIN('Reeksen (N)'!B208,'Reeksen (N)'!D208)</f>
        <v>0</v>
      </c>
      <c r="O208" s="84">
        <f>IF('Reeksen (N)'!D208&lt;'Reeksen (N)'!B208,('Reeksen (N)'!B208-'Reeksen (N)'!D208)*L208,0)</f>
        <v>0</v>
      </c>
      <c r="P208" s="84">
        <f ca="1">('Invoer gegevens (N)'!$F$20/12)*L207*MIN('Reeksen (N)'!B207,'Reeksen (N)'!D207)</f>
        <v>0</v>
      </c>
      <c r="Q208" s="84">
        <f t="shared" ca="1" si="34"/>
        <v>0</v>
      </c>
      <c r="R208" s="82">
        <f ca="1">IF('Invoer gegevens (N)'!$C$17=E208,'Invoer gegevens (N)'!$C$11,IF(C208=1,W207,0))</f>
        <v>0</v>
      </c>
      <c r="S208" s="86">
        <f ca="1">IF(C208&gt;=1,R208*VLOOKUP(E208,'Reeksen (N)'!$A$5:$B$76,2),0)</f>
        <v>0</v>
      </c>
      <c r="T208" s="84">
        <f ca="1">(1-('Invoer gegevens (N)'!$F$20/12))*R208*MIN('Reeksen (N)'!B208,'Reeksen (N)'!D208)</f>
        <v>0</v>
      </c>
      <c r="U208" s="84">
        <f>IF('Reeksen (N)'!D208&gt;='Reeksen (N)'!B208,0,IF('Reeksen (N)'!AD208&lt;='Reeksen (N)'!AE208,('Reeksen (N)'!B208-'Reeksen (N)'!D208)*R208,0))</f>
        <v>0</v>
      </c>
      <c r="V208" s="86">
        <f>IF('Reeksen (N)'!D208&gt;='Reeksen (N)'!B208,0,IF('Reeksen (N)'!AD208&gt;'Reeksen (N)'!AE208,('Reeksen (N)'!B208-'Reeksen (N)'!D208)*R208,0))</f>
        <v>0</v>
      </c>
      <c r="W208" s="97">
        <f t="shared" ca="1" si="35"/>
        <v>0</v>
      </c>
      <c r="X208" s="98">
        <f ca="1">IF('Invoer gegevens (N)'!$C$17=E208,'Invoer gegevens (N)'!$C$10-'Invoer gegevens (N)'!$C$11,IF(C208=1,AC207,0))</f>
        <v>0</v>
      </c>
      <c r="Y208" s="98">
        <f ca="1">IF(C208&gt;=1,X208*VLOOKUP(E208,'Reeksen (N)'!$A$5:$B$76,2),0)</f>
        <v>0</v>
      </c>
      <c r="Z208" s="98">
        <f ca="1">(1-('Invoer gegevens (N)'!$F$20/12))*X208*MIN('Reeksen (N)'!B208,'Reeksen (N)'!D208)</f>
        <v>0</v>
      </c>
      <c r="AA208" s="98">
        <f>IF('Reeksen (N)'!D208&gt;='Reeksen (N)'!B208,0,IF('Reeksen (N)'!AD208&lt;='Reeksen (N)'!AE208,('Reeksen (N)'!B208-'Reeksen (N)'!D208)*X208,0))</f>
        <v>0</v>
      </c>
      <c r="AB208" s="98">
        <f>IF('Reeksen (N)'!D208&gt;='Reeksen (N)'!B208,0,IF('Reeksen (N)'!AD208&gt;'Reeksen (N)'!AE208,('Reeksen (N)'!B208-'Reeksen (N)'!D208)*X208,0))</f>
        <v>0</v>
      </c>
      <c r="AC208" s="99">
        <f t="shared" ca="1" si="36"/>
        <v>0</v>
      </c>
      <c r="AD208" s="98">
        <f ca="1">IF('Invoer gegevens (N)'!$C$17=E208,R208,IF(C208=0,0,AE207))</f>
        <v>0</v>
      </c>
      <c r="AE208" s="98">
        <f t="shared" ca="1" si="37"/>
        <v>0</v>
      </c>
      <c r="AF208" s="98">
        <f ca="1">IF('Invoer gegevens (N)'!$C$17=E208,X208,IF(C208=0,0,AG207))</f>
        <v>0</v>
      </c>
      <c r="AG208" s="98">
        <f t="shared" ca="1" si="38"/>
        <v>0</v>
      </c>
      <c r="AH208" s="66"/>
      <c r="AI208" s="71">
        <f ca="1">IF(C208=1,'Reeksen (N)'!AI208*((F208-G208+F208)/2)*12+'Reeksen (N)'!AD208*((L208-M208+L208)/2)*12,0)</f>
        <v>0</v>
      </c>
      <c r="AJ208" s="71">
        <f ca="1">-AI208*'Invoer gegevens (N)'!$F$28</f>
        <v>0</v>
      </c>
      <c r="AK208" s="71">
        <f t="shared" ca="1" si="39"/>
        <v>0</v>
      </c>
      <c r="AL208" s="71">
        <f ca="1">IF(C208=1,'Reeksen (N)'!AL208*((F208-G208+F208)/2)*12+'Reeksen (N)'!AM208*((L208-M208+L208)/2)*12,0)</f>
        <v>0</v>
      </c>
      <c r="AM208" s="71">
        <f ca="1">-AL208*'Invoer gegevens (N)'!$F$31</f>
        <v>0</v>
      </c>
      <c r="AN208" s="71">
        <f t="shared" ca="1" si="40"/>
        <v>0</v>
      </c>
      <c r="AO208" s="71">
        <f ca="1">IF(C208=1,(H208+J208+N208+P208)*'Reeksen (N)'!AN208,0)</f>
        <v>0</v>
      </c>
      <c r="AP208" s="71">
        <f ca="1">-IF(C208=1,(H208+J208+N208+P208)*'Hulp - basis'!$O$550*'Reeksen (N)'!H208,0)</f>
        <v>0</v>
      </c>
      <c r="AQ208" s="71">
        <f ca="1">-IF(C208=1,(F208+K208+L208+Q208)/2*'Invoer gegevens (N)'!$F$35*'Reeksen (N)'!J208,0)*2</f>
        <v>0</v>
      </c>
      <c r="AR208" s="71"/>
      <c r="AS208" s="71">
        <f ca="1">-IF(C208=1,(F208+K208+L208+Q208)/2*'Invoer gegevens (N)'!$F$37*'Reeksen (N)'!L208,0)</f>
        <v>0</v>
      </c>
      <c r="AT208" s="71">
        <f ca="1">-IF(C208=1,IF(E208='Invoer gegevens (N)'!$C$17,'Invoer gegevens (N)'!$C$11,AD208)*'Reeksen (N)'!S208*'Invoer gegevens (N)'!$C$18*'Reeksen (N)'!P208,0)</f>
        <v>0</v>
      </c>
      <c r="AU208" s="71">
        <f ca="1">-IF(C208=1,(F208+K208+L208+Q208)/2*'Invoer gegevens (N)'!$F$38*'Reeksen (N)'!H208,0)</f>
        <v>0</v>
      </c>
      <c r="AV208" s="71">
        <v>0</v>
      </c>
      <c r="AW208" s="71">
        <f t="shared" ca="1" si="41"/>
        <v>0</v>
      </c>
      <c r="AX208" s="71">
        <f ca="1">IF(E208&lt;'Invoer gegevens (N)'!$C$17+15,0,IF(E208&gt;'Invoer gegevens (N)'!$C$17+215,0,AW208))</f>
        <v>0</v>
      </c>
      <c r="AY208" s="71">
        <f ca="1">AX208/(1+'Invoer gegevens (N)'!$F$18)^($AZ208-('Invoer gegevens (N)'!$C$17-'Invoer gegevens (N)'!$C$16))/(1+'Invoer gegevens (N)'!$C$39)^('Invoer gegevens (N)'!$C$17-'Invoer gegevens (N)'!$C$16)</f>
        <v>0</v>
      </c>
      <c r="AZ208" s="68">
        <f ca="1">IF(E208-'Invoer gegevens (N)'!$C$17-14.5&lt;0,0,E208-'Invoer gegevens (N)'!$C$17-14.5)</f>
        <v>188.5</v>
      </c>
    </row>
    <row r="209" spans="1:52" x14ac:dyDescent="0.25">
      <c r="A209" s="59"/>
      <c r="B209" s="70">
        <f t="shared" si="42"/>
        <v>205</v>
      </c>
      <c r="C209" s="67">
        <f ca="1">IF(E209-'Invoer gegevens (N)'!$C$17&lt;0,0,1)</f>
        <v>1</v>
      </c>
      <c r="D209" s="68">
        <f t="shared" si="43"/>
        <v>204.5</v>
      </c>
      <c r="E209" s="69">
        <f ca="1">IF('Invoer gegevens (N)'!$C$16="","",E208+1)</f>
        <v>2223</v>
      </c>
      <c r="F209" s="84">
        <f ca="1">IF('Invoer gegevens (N)'!$C$17=E209,'Invoer gegevens (N)'!$C$10,IF(C209=1,K208,0))</f>
        <v>0</v>
      </c>
      <c r="G209" s="96">
        <f ca="1">IF(C209&gt;=1,F209*VLOOKUP(E209,'Reeksen (N)'!$A$5:$B$76,2),0)</f>
        <v>0</v>
      </c>
      <c r="H209" s="84">
        <f ca="1">(1-('Invoer gegevens (N)'!$F$20/12))*F209*MIN('Reeksen (N)'!B209,'Reeksen (N)'!D209)</f>
        <v>0</v>
      </c>
      <c r="I209" s="84">
        <f>IF('Reeksen (N)'!D209&lt;'Reeksen (N)'!B209,('Reeksen (N)'!B209-'Reeksen (N)'!D209)*F209,0)</f>
        <v>0</v>
      </c>
      <c r="J209" s="84">
        <f ca="1">('Invoer gegevens (N)'!$F$20/12)*F208*MIN('Reeksen (N)'!B208,'Reeksen (N)'!D208)</f>
        <v>0</v>
      </c>
      <c r="K209" s="97">
        <f t="shared" ca="1" si="33"/>
        <v>0</v>
      </c>
      <c r="L209" s="84">
        <f ca="1">IF('Invoer gegevens (N)'!$C$17=E209,0,IF(C209=1,Q208,0))</f>
        <v>0</v>
      </c>
      <c r="M209" s="96">
        <f ca="1">IF(C209&gt;=1,L209*VLOOKUP(E209,'Reeksen (N)'!$A$5:$B$76,2),0)</f>
        <v>0</v>
      </c>
      <c r="N209" s="84">
        <f ca="1">(1-('Invoer gegevens (N)'!$F$20/12))*L209*MIN('Reeksen (N)'!B209,'Reeksen (N)'!D209)</f>
        <v>0</v>
      </c>
      <c r="O209" s="84">
        <f>IF('Reeksen (N)'!D209&lt;'Reeksen (N)'!B209,('Reeksen (N)'!B209-'Reeksen (N)'!D209)*L209,0)</f>
        <v>0</v>
      </c>
      <c r="P209" s="84">
        <f ca="1">('Invoer gegevens (N)'!$F$20/12)*L208*MIN('Reeksen (N)'!B208,'Reeksen (N)'!D208)</f>
        <v>0</v>
      </c>
      <c r="Q209" s="84">
        <f t="shared" ca="1" si="34"/>
        <v>0</v>
      </c>
      <c r="R209" s="82">
        <f ca="1">IF('Invoer gegevens (N)'!$C$17=E209,'Invoer gegevens (N)'!$C$11,IF(C209=1,W208,0))</f>
        <v>0</v>
      </c>
      <c r="S209" s="86">
        <f ca="1">IF(C209&gt;=1,R209*VLOOKUP(E209,'Reeksen (N)'!$A$5:$B$76,2),0)</f>
        <v>0</v>
      </c>
      <c r="T209" s="84">
        <f ca="1">(1-('Invoer gegevens (N)'!$F$20/12))*R209*MIN('Reeksen (N)'!B209,'Reeksen (N)'!D209)</f>
        <v>0</v>
      </c>
      <c r="U209" s="84">
        <f>IF('Reeksen (N)'!D209&gt;='Reeksen (N)'!B209,0,IF('Reeksen (N)'!AD209&lt;='Reeksen (N)'!AE209,('Reeksen (N)'!B209-'Reeksen (N)'!D209)*R209,0))</f>
        <v>0</v>
      </c>
      <c r="V209" s="86">
        <f>IF('Reeksen (N)'!D209&gt;='Reeksen (N)'!B209,0,IF('Reeksen (N)'!AD209&gt;'Reeksen (N)'!AE209,('Reeksen (N)'!B209-'Reeksen (N)'!D209)*R209,0))</f>
        <v>0</v>
      </c>
      <c r="W209" s="97">
        <f t="shared" ca="1" si="35"/>
        <v>0</v>
      </c>
      <c r="X209" s="98">
        <f ca="1">IF('Invoer gegevens (N)'!$C$17=E209,'Invoer gegevens (N)'!$C$10-'Invoer gegevens (N)'!$C$11,IF(C209=1,AC208,0))</f>
        <v>0</v>
      </c>
      <c r="Y209" s="98">
        <f ca="1">IF(C209&gt;=1,X209*VLOOKUP(E209,'Reeksen (N)'!$A$5:$B$76,2),0)</f>
        <v>0</v>
      </c>
      <c r="Z209" s="98">
        <f ca="1">(1-('Invoer gegevens (N)'!$F$20/12))*X209*MIN('Reeksen (N)'!B209,'Reeksen (N)'!D209)</f>
        <v>0</v>
      </c>
      <c r="AA209" s="98">
        <f>IF('Reeksen (N)'!D209&gt;='Reeksen (N)'!B209,0,IF('Reeksen (N)'!AD209&lt;='Reeksen (N)'!AE209,('Reeksen (N)'!B209-'Reeksen (N)'!D209)*X209,0))</f>
        <v>0</v>
      </c>
      <c r="AB209" s="98">
        <f>IF('Reeksen (N)'!D209&gt;='Reeksen (N)'!B209,0,IF('Reeksen (N)'!AD209&gt;'Reeksen (N)'!AE209,('Reeksen (N)'!B209-'Reeksen (N)'!D209)*X209,0))</f>
        <v>0</v>
      </c>
      <c r="AC209" s="99">
        <f t="shared" ca="1" si="36"/>
        <v>0</v>
      </c>
      <c r="AD209" s="98">
        <f ca="1">IF('Invoer gegevens (N)'!$C$17=E209,R209,IF(C209=0,0,AE208))</f>
        <v>0</v>
      </c>
      <c r="AE209" s="98">
        <f t="shared" ca="1" si="37"/>
        <v>0</v>
      </c>
      <c r="AF209" s="98">
        <f ca="1">IF('Invoer gegevens (N)'!$C$17=E209,X209,IF(C209=0,0,AG208))</f>
        <v>0</v>
      </c>
      <c r="AG209" s="98">
        <f t="shared" ca="1" si="38"/>
        <v>0</v>
      </c>
      <c r="AH209" s="66"/>
      <c r="AI209" s="71">
        <f ca="1">IF(C209=1,'Reeksen (N)'!AI209*((F209-G209+F209)/2)*12+'Reeksen (N)'!AD209*((L209-M209+L209)/2)*12,0)</f>
        <v>0</v>
      </c>
      <c r="AJ209" s="71">
        <f ca="1">-AI209*'Invoer gegevens (N)'!$F$28</f>
        <v>0</v>
      </c>
      <c r="AK209" s="71">
        <f t="shared" ca="1" si="39"/>
        <v>0</v>
      </c>
      <c r="AL209" s="71">
        <f ca="1">IF(C209=1,'Reeksen (N)'!AL209*((F209-G209+F209)/2)*12+'Reeksen (N)'!AM209*((L209-M209+L209)/2)*12,0)</f>
        <v>0</v>
      </c>
      <c r="AM209" s="71">
        <f ca="1">-AL209*'Invoer gegevens (N)'!$F$31</f>
        <v>0</v>
      </c>
      <c r="AN209" s="71">
        <f t="shared" ca="1" si="40"/>
        <v>0</v>
      </c>
      <c r="AO209" s="71">
        <f ca="1">IF(C209=1,(H209+J209+N209+P209)*'Reeksen (N)'!AN209,0)</f>
        <v>0</v>
      </c>
      <c r="AP209" s="71">
        <f ca="1">-IF(C209=1,(H209+J209+N209+P209)*'Hulp - basis'!$O$550*'Reeksen (N)'!H209,0)</f>
        <v>0</v>
      </c>
      <c r="AQ209" s="71">
        <f ca="1">-IF(C209=1,(F209+K209+L209+Q209)/2*'Invoer gegevens (N)'!$F$35*'Reeksen (N)'!J209,0)*2</f>
        <v>0</v>
      </c>
      <c r="AR209" s="71"/>
      <c r="AS209" s="71">
        <f ca="1">-IF(C209=1,(F209+K209+L209+Q209)/2*'Invoer gegevens (N)'!$F$37*'Reeksen (N)'!L209,0)</f>
        <v>0</v>
      </c>
      <c r="AT209" s="71">
        <f ca="1">-IF(C209=1,IF(E209='Invoer gegevens (N)'!$C$17,'Invoer gegevens (N)'!$C$11,AD209)*'Reeksen (N)'!S209*'Invoer gegevens (N)'!$C$18*'Reeksen (N)'!P209,0)</f>
        <v>0</v>
      </c>
      <c r="AU209" s="71">
        <f ca="1">-IF(C209=1,(F209+K209+L209+Q209)/2*'Invoer gegevens (N)'!$F$38*'Reeksen (N)'!H209,0)</f>
        <v>0</v>
      </c>
      <c r="AV209" s="71">
        <v>0</v>
      </c>
      <c r="AW209" s="71">
        <f t="shared" ca="1" si="41"/>
        <v>0</v>
      </c>
      <c r="AX209" s="71">
        <f ca="1">IF(E209&lt;'Invoer gegevens (N)'!$C$17+15,0,IF(E209&gt;'Invoer gegevens (N)'!$C$17+215,0,AW209))</f>
        <v>0</v>
      </c>
      <c r="AY209" s="71">
        <f ca="1">AX209/(1+'Invoer gegevens (N)'!$F$18)^($AZ209-('Invoer gegevens (N)'!$C$17-'Invoer gegevens (N)'!$C$16))/(1+'Invoer gegevens (N)'!$C$39)^('Invoer gegevens (N)'!$C$17-'Invoer gegevens (N)'!$C$16)</f>
        <v>0</v>
      </c>
      <c r="AZ209" s="68">
        <f ca="1">IF(E209-'Invoer gegevens (N)'!$C$17-14.5&lt;0,0,E209-'Invoer gegevens (N)'!$C$17-14.5)</f>
        <v>189.5</v>
      </c>
    </row>
    <row r="210" spans="1:52" x14ac:dyDescent="0.25">
      <c r="A210" s="59"/>
      <c r="B210" s="70">
        <f t="shared" si="42"/>
        <v>206</v>
      </c>
      <c r="C210" s="67">
        <f ca="1">IF(E210-'Invoer gegevens (N)'!$C$17&lt;0,0,1)</f>
        <v>1</v>
      </c>
      <c r="D210" s="68">
        <f t="shared" si="43"/>
        <v>205.5</v>
      </c>
      <c r="E210" s="69">
        <f ca="1">IF('Invoer gegevens (N)'!$C$16="","",E209+1)</f>
        <v>2224</v>
      </c>
      <c r="F210" s="84">
        <f ca="1">IF('Invoer gegevens (N)'!$C$17=E210,'Invoer gegevens (N)'!$C$10,IF(C210=1,K209,0))</f>
        <v>0</v>
      </c>
      <c r="G210" s="96">
        <f ca="1">IF(C210&gt;=1,F210*VLOOKUP(E210,'Reeksen (N)'!$A$5:$B$76,2),0)</f>
        <v>0</v>
      </c>
      <c r="H210" s="84">
        <f ca="1">(1-('Invoer gegevens (N)'!$F$20/12))*F210*MIN('Reeksen (N)'!B210,'Reeksen (N)'!D210)</f>
        <v>0</v>
      </c>
      <c r="I210" s="84">
        <f>IF('Reeksen (N)'!D210&lt;'Reeksen (N)'!B210,('Reeksen (N)'!B210-'Reeksen (N)'!D210)*F210,0)</f>
        <v>0</v>
      </c>
      <c r="J210" s="84">
        <f ca="1">('Invoer gegevens (N)'!$F$20/12)*F209*MIN('Reeksen (N)'!B209,'Reeksen (N)'!D209)</f>
        <v>0</v>
      </c>
      <c r="K210" s="97">
        <f t="shared" ca="1" si="33"/>
        <v>0</v>
      </c>
      <c r="L210" s="84">
        <f ca="1">IF('Invoer gegevens (N)'!$C$17=E210,0,IF(C210=1,Q209,0))</f>
        <v>0</v>
      </c>
      <c r="M210" s="96">
        <f ca="1">IF(C210&gt;=1,L210*VLOOKUP(E210,'Reeksen (N)'!$A$5:$B$76,2),0)</f>
        <v>0</v>
      </c>
      <c r="N210" s="84">
        <f ca="1">(1-('Invoer gegevens (N)'!$F$20/12))*L210*MIN('Reeksen (N)'!B210,'Reeksen (N)'!D210)</f>
        <v>0</v>
      </c>
      <c r="O210" s="84">
        <f>IF('Reeksen (N)'!D210&lt;'Reeksen (N)'!B210,('Reeksen (N)'!B210-'Reeksen (N)'!D210)*L210,0)</f>
        <v>0</v>
      </c>
      <c r="P210" s="84">
        <f ca="1">('Invoer gegevens (N)'!$F$20/12)*L209*MIN('Reeksen (N)'!B209,'Reeksen (N)'!D209)</f>
        <v>0</v>
      </c>
      <c r="Q210" s="84">
        <f t="shared" ca="1" si="34"/>
        <v>0</v>
      </c>
      <c r="R210" s="82">
        <f ca="1">IF('Invoer gegevens (N)'!$C$17=E210,'Invoer gegevens (N)'!$C$11,IF(C210=1,W209,0))</f>
        <v>0</v>
      </c>
      <c r="S210" s="86">
        <f ca="1">IF(C210&gt;=1,R210*VLOOKUP(E210,'Reeksen (N)'!$A$5:$B$76,2),0)</f>
        <v>0</v>
      </c>
      <c r="T210" s="84">
        <f ca="1">(1-('Invoer gegevens (N)'!$F$20/12))*R210*MIN('Reeksen (N)'!B210,'Reeksen (N)'!D210)</f>
        <v>0</v>
      </c>
      <c r="U210" s="84">
        <f>IF('Reeksen (N)'!D210&gt;='Reeksen (N)'!B210,0,IF('Reeksen (N)'!AD210&lt;='Reeksen (N)'!AE210,('Reeksen (N)'!B210-'Reeksen (N)'!D210)*R210,0))</f>
        <v>0</v>
      </c>
      <c r="V210" s="86">
        <f>IF('Reeksen (N)'!D210&gt;='Reeksen (N)'!B210,0,IF('Reeksen (N)'!AD210&gt;'Reeksen (N)'!AE210,('Reeksen (N)'!B210-'Reeksen (N)'!D210)*R210,0))</f>
        <v>0</v>
      </c>
      <c r="W210" s="97">
        <f t="shared" ca="1" si="35"/>
        <v>0</v>
      </c>
      <c r="X210" s="98">
        <f ca="1">IF('Invoer gegevens (N)'!$C$17=E210,'Invoer gegevens (N)'!$C$10-'Invoer gegevens (N)'!$C$11,IF(C210=1,AC209,0))</f>
        <v>0</v>
      </c>
      <c r="Y210" s="98">
        <f ca="1">IF(C210&gt;=1,X210*VLOOKUP(E210,'Reeksen (N)'!$A$5:$B$76,2),0)</f>
        <v>0</v>
      </c>
      <c r="Z210" s="98">
        <f ca="1">(1-('Invoer gegevens (N)'!$F$20/12))*X210*MIN('Reeksen (N)'!B210,'Reeksen (N)'!D210)</f>
        <v>0</v>
      </c>
      <c r="AA210" s="98">
        <f>IF('Reeksen (N)'!D210&gt;='Reeksen (N)'!B210,0,IF('Reeksen (N)'!AD210&lt;='Reeksen (N)'!AE210,('Reeksen (N)'!B210-'Reeksen (N)'!D210)*X210,0))</f>
        <v>0</v>
      </c>
      <c r="AB210" s="98">
        <f>IF('Reeksen (N)'!D210&gt;='Reeksen (N)'!B210,0,IF('Reeksen (N)'!AD210&gt;'Reeksen (N)'!AE210,('Reeksen (N)'!B210-'Reeksen (N)'!D210)*X210,0))</f>
        <v>0</v>
      </c>
      <c r="AC210" s="99">
        <f t="shared" ca="1" si="36"/>
        <v>0</v>
      </c>
      <c r="AD210" s="98">
        <f ca="1">IF('Invoer gegevens (N)'!$C$17=E210,R210,IF(C210=0,0,AE209))</f>
        <v>0</v>
      </c>
      <c r="AE210" s="98">
        <f t="shared" ca="1" si="37"/>
        <v>0</v>
      </c>
      <c r="AF210" s="98">
        <f ca="1">IF('Invoer gegevens (N)'!$C$17=E210,X210,IF(C210=0,0,AG209))</f>
        <v>0</v>
      </c>
      <c r="AG210" s="98">
        <f t="shared" ca="1" si="38"/>
        <v>0</v>
      </c>
      <c r="AH210" s="66"/>
      <c r="AI210" s="71">
        <f ca="1">IF(C210=1,'Reeksen (N)'!AI210*((F210-G210+F210)/2)*12+'Reeksen (N)'!AD210*((L210-M210+L210)/2)*12,0)</f>
        <v>0</v>
      </c>
      <c r="AJ210" s="71">
        <f ca="1">-AI210*'Invoer gegevens (N)'!$F$28</f>
        <v>0</v>
      </c>
      <c r="AK210" s="71">
        <f t="shared" ca="1" si="39"/>
        <v>0</v>
      </c>
      <c r="AL210" s="71">
        <f ca="1">IF(C210=1,'Reeksen (N)'!AL210*((F210-G210+F210)/2)*12+'Reeksen (N)'!AM210*((L210-M210+L210)/2)*12,0)</f>
        <v>0</v>
      </c>
      <c r="AM210" s="71">
        <f ca="1">-AL210*'Invoer gegevens (N)'!$F$31</f>
        <v>0</v>
      </c>
      <c r="AN210" s="71">
        <f t="shared" ca="1" si="40"/>
        <v>0</v>
      </c>
      <c r="AO210" s="71">
        <f ca="1">IF(C210=1,(H210+J210+N210+P210)*'Reeksen (N)'!AN210,0)</f>
        <v>0</v>
      </c>
      <c r="AP210" s="71">
        <f ca="1">-IF(C210=1,(H210+J210+N210+P210)*'Hulp - basis'!$O$550*'Reeksen (N)'!H210,0)</f>
        <v>0</v>
      </c>
      <c r="AQ210" s="71">
        <f ca="1">-IF(C210=1,(F210+K210+L210+Q210)/2*'Invoer gegevens (N)'!$F$35*'Reeksen (N)'!J210,0)*2</f>
        <v>0</v>
      </c>
      <c r="AR210" s="71"/>
      <c r="AS210" s="71">
        <f ca="1">-IF(C210=1,(F210+K210+L210+Q210)/2*'Invoer gegevens (N)'!$F$37*'Reeksen (N)'!L210,0)</f>
        <v>0</v>
      </c>
      <c r="AT210" s="71">
        <f ca="1">-IF(C210=1,IF(E210='Invoer gegevens (N)'!$C$17,'Invoer gegevens (N)'!$C$11,AD210)*'Reeksen (N)'!S210*'Invoer gegevens (N)'!$C$18*'Reeksen (N)'!P210,0)</f>
        <v>0</v>
      </c>
      <c r="AU210" s="71">
        <f ca="1">-IF(C210=1,(F210+K210+L210+Q210)/2*'Invoer gegevens (N)'!$F$38*'Reeksen (N)'!H210,0)</f>
        <v>0</v>
      </c>
      <c r="AV210" s="71">
        <v>0</v>
      </c>
      <c r="AW210" s="71">
        <f t="shared" ca="1" si="41"/>
        <v>0</v>
      </c>
      <c r="AX210" s="71">
        <f ca="1">IF(E210&lt;'Invoer gegevens (N)'!$C$17+15,0,IF(E210&gt;'Invoer gegevens (N)'!$C$17+215,0,AW210))</f>
        <v>0</v>
      </c>
      <c r="AY210" s="71">
        <f ca="1">AX210/(1+'Invoer gegevens (N)'!$F$18)^($AZ210-('Invoer gegevens (N)'!$C$17-'Invoer gegevens (N)'!$C$16))/(1+'Invoer gegevens (N)'!$C$39)^('Invoer gegevens (N)'!$C$17-'Invoer gegevens (N)'!$C$16)</f>
        <v>0</v>
      </c>
      <c r="AZ210" s="68">
        <f ca="1">IF(E210-'Invoer gegevens (N)'!$C$17-14.5&lt;0,0,E210-'Invoer gegevens (N)'!$C$17-14.5)</f>
        <v>190.5</v>
      </c>
    </row>
    <row r="211" spans="1:52" x14ac:dyDescent="0.25">
      <c r="A211" s="59"/>
      <c r="B211" s="70">
        <f t="shared" si="42"/>
        <v>207</v>
      </c>
      <c r="C211" s="67">
        <f ca="1">IF(E211-'Invoer gegevens (N)'!$C$17&lt;0,0,1)</f>
        <v>1</v>
      </c>
      <c r="D211" s="68">
        <f t="shared" si="43"/>
        <v>206.5</v>
      </c>
      <c r="E211" s="69">
        <f ca="1">IF('Invoer gegevens (N)'!$C$16="","",E210+1)</f>
        <v>2225</v>
      </c>
      <c r="F211" s="84">
        <f ca="1">IF('Invoer gegevens (N)'!$C$17=E211,'Invoer gegevens (N)'!$C$10,IF(C211=1,K210,0))</f>
        <v>0</v>
      </c>
      <c r="G211" s="96">
        <f ca="1">IF(C211&gt;=1,F211*VLOOKUP(E211,'Reeksen (N)'!$A$5:$B$76,2),0)</f>
        <v>0</v>
      </c>
      <c r="H211" s="84">
        <f ca="1">(1-('Invoer gegevens (N)'!$F$20/12))*F211*MIN('Reeksen (N)'!B211,'Reeksen (N)'!D211)</f>
        <v>0</v>
      </c>
      <c r="I211" s="84">
        <f>IF('Reeksen (N)'!D211&lt;'Reeksen (N)'!B211,('Reeksen (N)'!B211-'Reeksen (N)'!D211)*F211,0)</f>
        <v>0</v>
      </c>
      <c r="J211" s="84">
        <f ca="1">('Invoer gegevens (N)'!$F$20/12)*F210*MIN('Reeksen (N)'!B210,'Reeksen (N)'!D210)</f>
        <v>0</v>
      </c>
      <c r="K211" s="97">
        <f t="shared" ca="1" si="33"/>
        <v>0</v>
      </c>
      <c r="L211" s="84">
        <f ca="1">IF('Invoer gegevens (N)'!$C$17=E211,0,IF(C211=1,Q210,0))</f>
        <v>0</v>
      </c>
      <c r="M211" s="96">
        <f ca="1">IF(C211&gt;=1,L211*VLOOKUP(E211,'Reeksen (N)'!$A$5:$B$76,2),0)</f>
        <v>0</v>
      </c>
      <c r="N211" s="84">
        <f ca="1">(1-('Invoer gegevens (N)'!$F$20/12))*L211*MIN('Reeksen (N)'!B211,'Reeksen (N)'!D211)</f>
        <v>0</v>
      </c>
      <c r="O211" s="84">
        <f>IF('Reeksen (N)'!D211&lt;'Reeksen (N)'!B211,('Reeksen (N)'!B211-'Reeksen (N)'!D211)*L211,0)</f>
        <v>0</v>
      </c>
      <c r="P211" s="84">
        <f ca="1">('Invoer gegevens (N)'!$F$20/12)*L210*MIN('Reeksen (N)'!B210,'Reeksen (N)'!D210)</f>
        <v>0</v>
      </c>
      <c r="Q211" s="84">
        <f t="shared" ca="1" si="34"/>
        <v>0</v>
      </c>
      <c r="R211" s="82">
        <f ca="1">IF('Invoer gegevens (N)'!$C$17=E211,'Invoer gegevens (N)'!$C$11,IF(C211=1,W210,0))</f>
        <v>0</v>
      </c>
      <c r="S211" s="86">
        <f ca="1">IF(C211&gt;=1,R211*VLOOKUP(E211,'Reeksen (N)'!$A$5:$B$76,2),0)</f>
        <v>0</v>
      </c>
      <c r="T211" s="84">
        <f ca="1">(1-('Invoer gegevens (N)'!$F$20/12))*R211*MIN('Reeksen (N)'!B211,'Reeksen (N)'!D211)</f>
        <v>0</v>
      </c>
      <c r="U211" s="84">
        <f>IF('Reeksen (N)'!D211&gt;='Reeksen (N)'!B211,0,IF('Reeksen (N)'!AD211&lt;='Reeksen (N)'!AE211,('Reeksen (N)'!B211-'Reeksen (N)'!D211)*R211,0))</f>
        <v>0</v>
      </c>
      <c r="V211" s="86">
        <f>IF('Reeksen (N)'!D211&gt;='Reeksen (N)'!B211,0,IF('Reeksen (N)'!AD211&gt;'Reeksen (N)'!AE211,('Reeksen (N)'!B211-'Reeksen (N)'!D211)*R211,0))</f>
        <v>0</v>
      </c>
      <c r="W211" s="97">
        <f t="shared" ca="1" si="35"/>
        <v>0</v>
      </c>
      <c r="X211" s="98">
        <f ca="1">IF('Invoer gegevens (N)'!$C$17=E211,'Invoer gegevens (N)'!$C$10-'Invoer gegevens (N)'!$C$11,IF(C211=1,AC210,0))</f>
        <v>0</v>
      </c>
      <c r="Y211" s="98">
        <f ca="1">IF(C211&gt;=1,X211*VLOOKUP(E211,'Reeksen (N)'!$A$5:$B$76,2),0)</f>
        <v>0</v>
      </c>
      <c r="Z211" s="98">
        <f ca="1">(1-('Invoer gegevens (N)'!$F$20/12))*X211*MIN('Reeksen (N)'!B211,'Reeksen (N)'!D211)</f>
        <v>0</v>
      </c>
      <c r="AA211" s="98">
        <f>IF('Reeksen (N)'!D211&gt;='Reeksen (N)'!B211,0,IF('Reeksen (N)'!AD211&lt;='Reeksen (N)'!AE211,('Reeksen (N)'!B211-'Reeksen (N)'!D211)*X211,0))</f>
        <v>0</v>
      </c>
      <c r="AB211" s="98">
        <f>IF('Reeksen (N)'!D211&gt;='Reeksen (N)'!B211,0,IF('Reeksen (N)'!AD211&gt;'Reeksen (N)'!AE211,('Reeksen (N)'!B211-'Reeksen (N)'!D211)*X211,0))</f>
        <v>0</v>
      </c>
      <c r="AC211" s="99">
        <f t="shared" ca="1" si="36"/>
        <v>0</v>
      </c>
      <c r="AD211" s="98">
        <f ca="1">IF('Invoer gegevens (N)'!$C$17=E211,R211,IF(C211=0,0,AE210))</f>
        <v>0</v>
      </c>
      <c r="AE211" s="98">
        <f t="shared" ca="1" si="37"/>
        <v>0</v>
      </c>
      <c r="AF211" s="98">
        <f ca="1">IF('Invoer gegevens (N)'!$C$17=E211,X211,IF(C211=0,0,AG210))</f>
        <v>0</v>
      </c>
      <c r="AG211" s="98">
        <f t="shared" ca="1" si="38"/>
        <v>0</v>
      </c>
      <c r="AH211" s="66"/>
      <c r="AI211" s="71">
        <f ca="1">IF(C211=1,'Reeksen (N)'!AI211*((F211-G211+F211)/2)*12+'Reeksen (N)'!AD211*((L211-M211+L211)/2)*12,0)</f>
        <v>0</v>
      </c>
      <c r="AJ211" s="71">
        <f ca="1">-AI211*'Invoer gegevens (N)'!$F$28</f>
        <v>0</v>
      </c>
      <c r="AK211" s="71">
        <f t="shared" ca="1" si="39"/>
        <v>0</v>
      </c>
      <c r="AL211" s="71">
        <f ca="1">IF(C211=1,'Reeksen (N)'!AL211*((F211-G211+F211)/2)*12+'Reeksen (N)'!AM211*((L211-M211+L211)/2)*12,0)</f>
        <v>0</v>
      </c>
      <c r="AM211" s="71">
        <f ca="1">-AL211*'Invoer gegevens (N)'!$F$31</f>
        <v>0</v>
      </c>
      <c r="AN211" s="71">
        <f t="shared" ca="1" si="40"/>
        <v>0</v>
      </c>
      <c r="AO211" s="71">
        <f ca="1">IF(C211=1,(H211+J211+N211+P211)*'Reeksen (N)'!AN211,0)</f>
        <v>0</v>
      </c>
      <c r="AP211" s="71">
        <f ca="1">-IF(C211=1,(H211+J211+N211+P211)*'Hulp - basis'!$O$550*'Reeksen (N)'!H211,0)</f>
        <v>0</v>
      </c>
      <c r="AQ211" s="71">
        <f ca="1">-IF(C211=1,(F211+K211+L211+Q211)/2*'Invoer gegevens (N)'!$F$35*'Reeksen (N)'!J211,0)*2</f>
        <v>0</v>
      </c>
      <c r="AR211" s="71"/>
      <c r="AS211" s="71">
        <f ca="1">-IF(C211=1,(F211+K211+L211+Q211)/2*'Invoer gegevens (N)'!$F$37*'Reeksen (N)'!L211,0)</f>
        <v>0</v>
      </c>
      <c r="AT211" s="71">
        <f ca="1">-IF(C211=1,IF(E211='Invoer gegevens (N)'!$C$17,'Invoer gegevens (N)'!$C$11,AD211)*'Reeksen (N)'!S211*'Invoer gegevens (N)'!$C$18*'Reeksen (N)'!P211,0)</f>
        <v>0</v>
      </c>
      <c r="AU211" s="71">
        <f ca="1">-IF(C211=1,(F211+K211+L211+Q211)/2*'Invoer gegevens (N)'!$F$38*'Reeksen (N)'!H211,0)</f>
        <v>0</v>
      </c>
      <c r="AV211" s="71">
        <v>0</v>
      </c>
      <c r="AW211" s="71">
        <f t="shared" ca="1" si="41"/>
        <v>0</v>
      </c>
      <c r="AX211" s="71">
        <f ca="1">IF(E211&lt;'Invoer gegevens (N)'!$C$17+15,0,IF(E211&gt;'Invoer gegevens (N)'!$C$17+215,0,AW211))</f>
        <v>0</v>
      </c>
      <c r="AY211" s="71">
        <f ca="1">AX211/(1+'Invoer gegevens (N)'!$F$18)^($AZ211-('Invoer gegevens (N)'!$C$17-'Invoer gegevens (N)'!$C$16))/(1+'Invoer gegevens (N)'!$C$39)^('Invoer gegevens (N)'!$C$17-'Invoer gegevens (N)'!$C$16)</f>
        <v>0</v>
      </c>
      <c r="AZ211" s="68">
        <f ca="1">IF(E211-'Invoer gegevens (N)'!$C$17-14.5&lt;0,0,E211-'Invoer gegevens (N)'!$C$17-14.5)</f>
        <v>191.5</v>
      </c>
    </row>
    <row r="212" spans="1:52" x14ac:dyDescent="0.25">
      <c r="A212" s="59"/>
      <c r="B212" s="70">
        <f t="shared" si="42"/>
        <v>208</v>
      </c>
      <c r="C212" s="67">
        <f ca="1">IF(E212-'Invoer gegevens (N)'!$C$17&lt;0,0,1)</f>
        <v>1</v>
      </c>
      <c r="D212" s="68">
        <f t="shared" si="43"/>
        <v>207.5</v>
      </c>
      <c r="E212" s="69">
        <f ca="1">IF('Invoer gegevens (N)'!$C$16="","",E211+1)</f>
        <v>2226</v>
      </c>
      <c r="F212" s="84">
        <f ca="1">IF('Invoer gegevens (N)'!$C$17=E212,'Invoer gegevens (N)'!$C$10,IF(C212=1,K211,0))</f>
        <v>0</v>
      </c>
      <c r="G212" s="96">
        <f ca="1">IF(C212&gt;=1,F212*VLOOKUP(E212,'Reeksen (N)'!$A$5:$B$76,2),0)</f>
        <v>0</v>
      </c>
      <c r="H212" s="84">
        <f ca="1">(1-('Invoer gegevens (N)'!$F$20/12))*F212*MIN('Reeksen (N)'!B212,'Reeksen (N)'!D212)</f>
        <v>0</v>
      </c>
      <c r="I212" s="84">
        <f>IF('Reeksen (N)'!D212&lt;'Reeksen (N)'!B212,('Reeksen (N)'!B212-'Reeksen (N)'!D212)*F212,0)</f>
        <v>0</v>
      </c>
      <c r="J212" s="84">
        <f ca="1">('Invoer gegevens (N)'!$F$20/12)*F211*MIN('Reeksen (N)'!B211,'Reeksen (N)'!D211)</f>
        <v>0</v>
      </c>
      <c r="K212" s="97">
        <f t="shared" ca="1" si="33"/>
        <v>0</v>
      </c>
      <c r="L212" s="84">
        <f ca="1">IF('Invoer gegevens (N)'!$C$17=E212,0,IF(C212=1,Q211,0))</f>
        <v>0</v>
      </c>
      <c r="M212" s="96">
        <f ca="1">IF(C212&gt;=1,L212*VLOOKUP(E212,'Reeksen (N)'!$A$5:$B$76,2),0)</f>
        <v>0</v>
      </c>
      <c r="N212" s="84">
        <f ca="1">(1-('Invoer gegevens (N)'!$F$20/12))*L212*MIN('Reeksen (N)'!B212,'Reeksen (N)'!D212)</f>
        <v>0</v>
      </c>
      <c r="O212" s="84">
        <f>IF('Reeksen (N)'!D212&lt;'Reeksen (N)'!B212,('Reeksen (N)'!B212-'Reeksen (N)'!D212)*L212,0)</f>
        <v>0</v>
      </c>
      <c r="P212" s="84">
        <f ca="1">('Invoer gegevens (N)'!$F$20/12)*L211*MIN('Reeksen (N)'!B211,'Reeksen (N)'!D211)</f>
        <v>0</v>
      </c>
      <c r="Q212" s="84">
        <f t="shared" ca="1" si="34"/>
        <v>0</v>
      </c>
      <c r="R212" s="82">
        <f ca="1">IF('Invoer gegevens (N)'!$C$17=E212,'Invoer gegevens (N)'!$C$11,IF(C212=1,W211,0))</f>
        <v>0</v>
      </c>
      <c r="S212" s="86">
        <f ca="1">IF(C212&gt;=1,R212*VLOOKUP(E212,'Reeksen (N)'!$A$5:$B$76,2),0)</f>
        <v>0</v>
      </c>
      <c r="T212" s="84">
        <f ca="1">(1-('Invoer gegevens (N)'!$F$20/12))*R212*MIN('Reeksen (N)'!B212,'Reeksen (N)'!D212)</f>
        <v>0</v>
      </c>
      <c r="U212" s="84">
        <f>IF('Reeksen (N)'!D212&gt;='Reeksen (N)'!B212,0,IF('Reeksen (N)'!AD212&lt;='Reeksen (N)'!AE212,('Reeksen (N)'!B212-'Reeksen (N)'!D212)*R212,0))</f>
        <v>0</v>
      </c>
      <c r="V212" s="86">
        <f>IF('Reeksen (N)'!D212&gt;='Reeksen (N)'!B212,0,IF('Reeksen (N)'!AD212&gt;'Reeksen (N)'!AE212,('Reeksen (N)'!B212-'Reeksen (N)'!D212)*R212,0))</f>
        <v>0</v>
      </c>
      <c r="W212" s="97">
        <f t="shared" ca="1" si="35"/>
        <v>0</v>
      </c>
      <c r="X212" s="98">
        <f ca="1">IF('Invoer gegevens (N)'!$C$17=E212,'Invoer gegevens (N)'!$C$10-'Invoer gegevens (N)'!$C$11,IF(C212=1,AC211,0))</f>
        <v>0</v>
      </c>
      <c r="Y212" s="98">
        <f ca="1">IF(C212&gt;=1,X212*VLOOKUP(E212,'Reeksen (N)'!$A$5:$B$76,2),0)</f>
        <v>0</v>
      </c>
      <c r="Z212" s="98">
        <f ca="1">(1-('Invoer gegevens (N)'!$F$20/12))*X212*MIN('Reeksen (N)'!B212,'Reeksen (N)'!D212)</f>
        <v>0</v>
      </c>
      <c r="AA212" s="98">
        <f>IF('Reeksen (N)'!D212&gt;='Reeksen (N)'!B212,0,IF('Reeksen (N)'!AD212&lt;='Reeksen (N)'!AE212,('Reeksen (N)'!B212-'Reeksen (N)'!D212)*X212,0))</f>
        <v>0</v>
      </c>
      <c r="AB212" s="98">
        <f>IF('Reeksen (N)'!D212&gt;='Reeksen (N)'!B212,0,IF('Reeksen (N)'!AD212&gt;'Reeksen (N)'!AE212,('Reeksen (N)'!B212-'Reeksen (N)'!D212)*X212,0))</f>
        <v>0</v>
      </c>
      <c r="AC212" s="99">
        <f t="shared" ca="1" si="36"/>
        <v>0</v>
      </c>
      <c r="AD212" s="98">
        <f ca="1">IF('Invoer gegevens (N)'!$C$17=E212,R212,IF(C212=0,0,AE211))</f>
        <v>0</v>
      </c>
      <c r="AE212" s="98">
        <f t="shared" ca="1" si="37"/>
        <v>0</v>
      </c>
      <c r="AF212" s="98">
        <f ca="1">IF('Invoer gegevens (N)'!$C$17=E212,X212,IF(C212=0,0,AG211))</f>
        <v>0</v>
      </c>
      <c r="AG212" s="98">
        <f t="shared" ca="1" si="38"/>
        <v>0</v>
      </c>
      <c r="AH212" s="66"/>
      <c r="AI212" s="71">
        <f ca="1">IF(C212=1,'Reeksen (N)'!AI212*((F212-G212+F212)/2)*12+'Reeksen (N)'!AD212*((L212-M212+L212)/2)*12,0)</f>
        <v>0</v>
      </c>
      <c r="AJ212" s="71">
        <f ca="1">-AI212*'Invoer gegevens (N)'!$F$28</f>
        <v>0</v>
      </c>
      <c r="AK212" s="71">
        <f t="shared" ca="1" si="39"/>
        <v>0</v>
      </c>
      <c r="AL212" s="71">
        <f ca="1">IF(C212=1,'Reeksen (N)'!AL212*((F212-G212+F212)/2)*12+'Reeksen (N)'!AM212*((L212-M212+L212)/2)*12,0)</f>
        <v>0</v>
      </c>
      <c r="AM212" s="71">
        <f ca="1">-AL212*'Invoer gegevens (N)'!$F$31</f>
        <v>0</v>
      </c>
      <c r="AN212" s="71">
        <f t="shared" ca="1" si="40"/>
        <v>0</v>
      </c>
      <c r="AO212" s="71">
        <f ca="1">IF(C212=1,(H212+J212+N212+P212)*'Reeksen (N)'!AN212,0)</f>
        <v>0</v>
      </c>
      <c r="AP212" s="71">
        <f ca="1">-IF(C212=1,(H212+J212+N212+P212)*'Hulp - basis'!$O$550*'Reeksen (N)'!H212,0)</f>
        <v>0</v>
      </c>
      <c r="AQ212" s="71">
        <f ca="1">-IF(C212=1,(F212+K212+L212+Q212)/2*'Invoer gegevens (N)'!$F$35*'Reeksen (N)'!J212,0)*2</f>
        <v>0</v>
      </c>
      <c r="AR212" s="71"/>
      <c r="AS212" s="71">
        <f ca="1">-IF(C212=1,(F212+K212+L212+Q212)/2*'Invoer gegevens (N)'!$F$37*'Reeksen (N)'!L212,0)</f>
        <v>0</v>
      </c>
      <c r="AT212" s="71">
        <f ca="1">-IF(C212=1,IF(E212='Invoer gegevens (N)'!$C$17,'Invoer gegevens (N)'!$C$11,AD212)*'Reeksen (N)'!S212*'Invoer gegevens (N)'!$C$18*'Reeksen (N)'!P212,0)</f>
        <v>0</v>
      </c>
      <c r="AU212" s="71">
        <f ca="1">-IF(C212=1,(F212+K212+L212+Q212)/2*'Invoer gegevens (N)'!$F$38*'Reeksen (N)'!H212,0)</f>
        <v>0</v>
      </c>
      <c r="AV212" s="71">
        <v>0</v>
      </c>
      <c r="AW212" s="71">
        <f t="shared" ca="1" si="41"/>
        <v>0</v>
      </c>
      <c r="AX212" s="71">
        <f ca="1">IF(E212&lt;'Invoer gegevens (N)'!$C$17+15,0,IF(E212&gt;'Invoer gegevens (N)'!$C$17+215,0,AW212))</f>
        <v>0</v>
      </c>
      <c r="AY212" s="71">
        <f ca="1">AX212/(1+'Invoer gegevens (N)'!$F$18)^($AZ212-('Invoer gegevens (N)'!$C$17-'Invoer gegevens (N)'!$C$16))/(1+'Invoer gegevens (N)'!$C$39)^('Invoer gegevens (N)'!$C$17-'Invoer gegevens (N)'!$C$16)</f>
        <v>0</v>
      </c>
      <c r="AZ212" s="68">
        <f ca="1">IF(E212-'Invoer gegevens (N)'!$C$17-14.5&lt;0,0,E212-'Invoer gegevens (N)'!$C$17-14.5)</f>
        <v>192.5</v>
      </c>
    </row>
    <row r="213" spans="1:52" x14ac:dyDescent="0.25">
      <c r="A213" s="59"/>
      <c r="B213" s="70">
        <f t="shared" si="42"/>
        <v>209</v>
      </c>
      <c r="C213" s="67">
        <f ca="1">IF(E213-'Invoer gegevens (N)'!$C$17&lt;0,0,1)</f>
        <v>1</v>
      </c>
      <c r="D213" s="68">
        <f t="shared" si="43"/>
        <v>208.5</v>
      </c>
      <c r="E213" s="69">
        <f ca="1">IF('Invoer gegevens (N)'!$C$16="","",E212+1)</f>
        <v>2227</v>
      </c>
      <c r="F213" s="84">
        <f ca="1">IF('Invoer gegevens (N)'!$C$17=E213,'Invoer gegevens (N)'!$C$10,IF(C213=1,K212,0))</f>
        <v>0</v>
      </c>
      <c r="G213" s="96">
        <f ca="1">IF(C213&gt;=1,F213*VLOOKUP(E213,'Reeksen (N)'!$A$5:$B$76,2),0)</f>
        <v>0</v>
      </c>
      <c r="H213" s="84">
        <f ca="1">(1-('Invoer gegevens (N)'!$F$20/12))*F213*MIN('Reeksen (N)'!B213,'Reeksen (N)'!D213)</f>
        <v>0</v>
      </c>
      <c r="I213" s="84">
        <f>IF('Reeksen (N)'!D213&lt;'Reeksen (N)'!B213,('Reeksen (N)'!B213-'Reeksen (N)'!D213)*F213,0)</f>
        <v>0</v>
      </c>
      <c r="J213" s="84">
        <f ca="1">('Invoer gegevens (N)'!$F$20/12)*F212*MIN('Reeksen (N)'!B212,'Reeksen (N)'!D212)</f>
        <v>0</v>
      </c>
      <c r="K213" s="97">
        <f t="shared" ca="1" si="33"/>
        <v>0</v>
      </c>
      <c r="L213" s="84">
        <f ca="1">IF('Invoer gegevens (N)'!$C$17=E213,0,IF(C213=1,Q212,0))</f>
        <v>0</v>
      </c>
      <c r="M213" s="96">
        <f ca="1">IF(C213&gt;=1,L213*VLOOKUP(E213,'Reeksen (N)'!$A$5:$B$76,2),0)</f>
        <v>0</v>
      </c>
      <c r="N213" s="84">
        <f ca="1">(1-('Invoer gegevens (N)'!$F$20/12))*L213*MIN('Reeksen (N)'!B213,'Reeksen (N)'!D213)</f>
        <v>0</v>
      </c>
      <c r="O213" s="84">
        <f>IF('Reeksen (N)'!D213&lt;'Reeksen (N)'!B213,('Reeksen (N)'!B213-'Reeksen (N)'!D213)*L213,0)</f>
        <v>0</v>
      </c>
      <c r="P213" s="84">
        <f ca="1">('Invoer gegevens (N)'!$F$20/12)*L212*MIN('Reeksen (N)'!B212,'Reeksen (N)'!D212)</f>
        <v>0</v>
      </c>
      <c r="Q213" s="84">
        <f t="shared" ca="1" si="34"/>
        <v>0</v>
      </c>
      <c r="R213" s="82">
        <f ca="1">IF('Invoer gegevens (N)'!$C$17=E213,'Invoer gegevens (N)'!$C$11,IF(C213=1,W212,0))</f>
        <v>0</v>
      </c>
      <c r="S213" s="86">
        <f ca="1">IF(C213&gt;=1,R213*VLOOKUP(E213,'Reeksen (N)'!$A$5:$B$76,2),0)</f>
        <v>0</v>
      </c>
      <c r="T213" s="84">
        <f ca="1">(1-('Invoer gegevens (N)'!$F$20/12))*R213*MIN('Reeksen (N)'!B213,'Reeksen (N)'!D213)</f>
        <v>0</v>
      </c>
      <c r="U213" s="84">
        <f>IF('Reeksen (N)'!D213&gt;='Reeksen (N)'!B213,0,IF('Reeksen (N)'!AD213&lt;='Reeksen (N)'!AE213,('Reeksen (N)'!B213-'Reeksen (N)'!D213)*R213,0))</f>
        <v>0</v>
      </c>
      <c r="V213" s="86">
        <f>IF('Reeksen (N)'!D213&gt;='Reeksen (N)'!B213,0,IF('Reeksen (N)'!AD213&gt;'Reeksen (N)'!AE213,('Reeksen (N)'!B213-'Reeksen (N)'!D213)*R213,0))</f>
        <v>0</v>
      </c>
      <c r="W213" s="97">
        <f t="shared" ca="1" si="35"/>
        <v>0</v>
      </c>
      <c r="X213" s="98">
        <f ca="1">IF('Invoer gegevens (N)'!$C$17=E213,'Invoer gegevens (N)'!$C$10-'Invoer gegevens (N)'!$C$11,IF(C213=1,AC212,0))</f>
        <v>0</v>
      </c>
      <c r="Y213" s="98">
        <f ca="1">IF(C213&gt;=1,X213*VLOOKUP(E213,'Reeksen (N)'!$A$5:$B$76,2),0)</f>
        <v>0</v>
      </c>
      <c r="Z213" s="98">
        <f ca="1">(1-('Invoer gegevens (N)'!$F$20/12))*X213*MIN('Reeksen (N)'!B213,'Reeksen (N)'!D213)</f>
        <v>0</v>
      </c>
      <c r="AA213" s="98">
        <f>IF('Reeksen (N)'!D213&gt;='Reeksen (N)'!B213,0,IF('Reeksen (N)'!AD213&lt;='Reeksen (N)'!AE213,('Reeksen (N)'!B213-'Reeksen (N)'!D213)*X213,0))</f>
        <v>0</v>
      </c>
      <c r="AB213" s="98">
        <f>IF('Reeksen (N)'!D213&gt;='Reeksen (N)'!B213,0,IF('Reeksen (N)'!AD213&gt;'Reeksen (N)'!AE213,('Reeksen (N)'!B213-'Reeksen (N)'!D213)*X213,0))</f>
        <v>0</v>
      </c>
      <c r="AC213" s="99">
        <f t="shared" ca="1" si="36"/>
        <v>0</v>
      </c>
      <c r="AD213" s="98">
        <f ca="1">IF('Invoer gegevens (N)'!$C$17=E213,R213,IF(C213=0,0,AE212))</f>
        <v>0</v>
      </c>
      <c r="AE213" s="98">
        <f t="shared" ca="1" si="37"/>
        <v>0</v>
      </c>
      <c r="AF213" s="98">
        <f ca="1">IF('Invoer gegevens (N)'!$C$17=E213,X213,IF(C213=0,0,AG212))</f>
        <v>0</v>
      </c>
      <c r="AG213" s="98">
        <f t="shared" ca="1" si="38"/>
        <v>0</v>
      </c>
      <c r="AH213" s="66"/>
      <c r="AI213" s="71">
        <f ca="1">IF(C213=1,'Reeksen (N)'!AI213*((F213-G213+F213)/2)*12+'Reeksen (N)'!AD213*((L213-M213+L213)/2)*12,0)</f>
        <v>0</v>
      </c>
      <c r="AJ213" s="71">
        <f ca="1">-AI213*'Invoer gegevens (N)'!$F$28</f>
        <v>0</v>
      </c>
      <c r="AK213" s="71">
        <f t="shared" ca="1" si="39"/>
        <v>0</v>
      </c>
      <c r="AL213" s="71">
        <f ca="1">IF(C213=1,'Reeksen (N)'!AL213*((F213-G213+F213)/2)*12+'Reeksen (N)'!AM213*((L213-M213+L213)/2)*12,0)</f>
        <v>0</v>
      </c>
      <c r="AM213" s="71">
        <f ca="1">-AL213*'Invoer gegevens (N)'!$F$31</f>
        <v>0</v>
      </c>
      <c r="AN213" s="71">
        <f t="shared" ca="1" si="40"/>
        <v>0</v>
      </c>
      <c r="AO213" s="71">
        <f ca="1">IF(C213=1,(H213+J213+N213+P213)*'Reeksen (N)'!AN213,0)</f>
        <v>0</v>
      </c>
      <c r="AP213" s="71">
        <f ca="1">-IF(C213=1,(H213+J213+N213+P213)*'Hulp - basis'!$O$550*'Reeksen (N)'!H213,0)</f>
        <v>0</v>
      </c>
      <c r="AQ213" s="71">
        <f ca="1">-IF(C213=1,(F213+K213+L213+Q213)/2*'Invoer gegevens (N)'!$F$35*'Reeksen (N)'!J213,0)*2</f>
        <v>0</v>
      </c>
      <c r="AR213" s="71"/>
      <c r="AS213" s="71">
        <f ca="1">-IF(C213=1,(F213+K213+L213+Q213)/2*'Invoer gegevens (N)'!$F$37*'Reeksen (N)'!L213,0)</f>
        <v>0</v>
      </c>
      <c r="AT213" s="71">
        <f ca="1">-IF(C213=1,IF(E213='Invoer gegevens (N)'!$C$17,'Invoer gegevens (N)'!$C$11,AD213)*'Reeksen (N)'!S213*'Invoer gegevens (N)'!$C$18*'Reeksen (N)'!P213,0)</f>
        <v>0</v>
      </c>
      <c r="AU213" s="71">
        <f ca="1">-IF(C213=1,(F213+K213+L213+Q213)/2*'Invoer gegevens (N)'!$F$38*'Reeksen (N)'!H213,0)</f>
        <v>0</v>
      </c>
      <c r="AV213" s="71">
        <v>0</v>
      </c>
      <c r="AW213" s="71">
        <f t="shared" ca="1" si="41"/>
        <v>0</v>
      </c>
      <c r="AX213" s="71">
        <f ca="1">IF(E213&lt;'Invoer gegevens (N)'!$C$17+15,0,IF(E213&gt;'Invoer gegevens (N)'!$C$17+215,0,AW213))</f>
        <v>0</v>
      </c>
      <c r="AY213" s="71">
        <f ca="1">AX213/(1+'Invoer gegevens (N)'!$F$18)^($AZ213-('Invoer gegevens (N)'!$C$17-'Invoer gegevens (N)'!$C$16))/(1+'Invoer gegevens (N)'!$C$39)^('Invoer gegevens (N)'!$C$17-'Invoer gegevens (N)'!$C$16)</f>
        <v>0</v>
      </c>
      <c r="AZ213" s="68">
        <f ca="1">IF(E213-'Invoer gegevens (N)'!$C$17-14.5&lt;0,0,E213-'Invoer gegevens (N)'!$C$17-14.5)</f>
        <v>193.5</v>
      </c>
    </row>
    <row r="214" spans="1:52" x14ac:dyDescent="0.25">
      <c r="A214" s="59"/>
      <c r="B214" s="70">
        <f t="shared" si="42"/>
        <v>210</v>
      </c>
      <c r="C214" s="67">
        <f ca="1">IF(E214-'Invoer gegevens (N)'!$C$17&lt;0,0,1)</f>
        <v>1</v>
      </c>
      <c r="D214" s="68">
        <f t="shared" si="43"/>
        <v>209.5</v>
      </c>
      <c r="E214" s="69">
        <f ca="1">IF('Invoer gegevens (N)'!$C$16="","",E213+1)</f>
        <v>2228</v>
      </c>
      <c r="F214" s="84">
        <f ca="1">IF('Invoer gegevens (N)'!$C$17=E214,'Invoer gegevens (N)'!$C$10,IF(C214=1,K213,0))</f>
        <v>0</v>
      </c>
      <c r="G214" s="96">
        <f ca="1">IF(C214&gt;=1,F214*VLOOKUP(E214,'Reeksen (N)'!$A$5:$B$76,2),0)</f>
        <v>0</v>
      </c>
      <c r="H214" s="84">
        <f ca="1">(1-('Invoer gegevens (N)'!$F$20/12))*F214*MIN('Reeksen (N)'!B214,'Reeksen (N)'!D214)</f>
        <v>0</v>
      </c>
      <c r="I214" s="84">
        <f>IF('Reeksen (N)'!D214&lt;'Reeksen (N)'!B214,('Reeksen (N)'!B214-'Reeksen (N)'!D214)*F214,0)</f>
        <v>0</v>
      </c>
      <c r="J214" s="84">
        <f ca="1">('Invoer gegevens (N)'!$F$20/12)*F213*MIN('Reeksen (N)'!B213,'Reeksen (N)'!D213)</f>
        <v>0</v>
      </c>
      <c r="K214" s="97">
        <f t="shared" ca="1" si="33"/>
        <v>0</v>
      </c>
      <c r="L214" s="84">
        <f ca="1">IF('Invoer gegevens (N)'!$C$17=E214,0,IF(C214=1,Q213,0))</f>
        <v>0</v>
      </c>
      <c r="M214" s="96">
        <f ca="1">IF(C214&gt;=1,L214*VLOOKUP(E214,'Reeksen (N)'!$A$5:$B$76,2),0)</f>
        <v>0</v>
      </c>
      <c r="N214" s="84">
        <f ca="1">(1-('Invoer gegevens (N)'!$F$20/12))*L214*MIN('Reeksen (N)'!B214,'Reeksen (N)'!D214)</f>
        <v>0</v>
      </c>
      <c r="O214" s="84">
        <f>IF('Reeksen (N)'!D214&lt;'Reeksen (N)'!B214,('Reeksen (N)'!B214-'Reeksen (N)'!D214)*L214,0)</f>
        <v>0</v>
      </c>
      <c r="P214" s="84">
        <f ca="1">('Invoer gegevens (N)'!$F$20/12)*L213*MIN('Reeksen (N)'!B213,'Reeksen (N)'!D213)</f>
        <v>0</v>
      </c>
      <c r="Q214" s="84">
        <f t="shared" ca="1" si="34"/>
        <v>0</v>
      </c>
      <c r="R214" s="82">
        <f ca="1">IF('Invoer gegevens (N)'!$C$17=E214,'Invoer gegevens (N)'!$C$11,IF(C214=1,W213,0))</f>
        <v>0</v>
      </c>
      <c r="S214" s="86">
        <f ca="1">IF(C214&gt;=1,R214*VLOOKUP(E214,'Reeksen (N)'!$A$5:$B$76,2),0)</f>
        <v>0</v>
      </c>
      <c r="T214" s="84">
        <f ca="1">(1-('Invoer gegevens (N)'!$F$20/12))*R214*MIN('Reeksen (N)'!B214,'Reeksen (N)'!D214)</f>
        <v>0</v>
      </c>
      <c r="U214" s="84">
        <f>IF('Reeksen (N)'!D214&gt;='Reeksen (N)'!B214,0,IF('Reeksen (N)'!AD214&lt;='Reeksen (N)'!AE214,('Reeksen (N)'!B214-'Reeksen (N)'!D214)*R214,0))</f>
        <v>0</v>
      </c>
      <c r="V214" s="86">
        <f>IF('Reeksen (N)'!D214&gt;='Reeksen (N)'!B214,0,IF('Reeksen (N)'!AD214&gt;'Reeksen (N)'!AE214,('Reeksen (N)'!B214-'Reeksen (N)'!D214)*R214,0))</f>
        <v>0</v>
      </c>
      <c r="W214" s="97">
        <f t="shared" ca="1" si="35"/>
        <v>0</v>
      </c>
      <c r="X214" s="98">
        <f ca="1">IF('Invoer gegevens (N)'!$C$17=E214,'Invoer gegevens (N)'!$C$10-'Invoer gegevens (N)'!$C$11,IF(C214=1,AC213,0))</f>
        <v>0</v>
      </c>
      <c r="Y214" s="98">
        <f ca="1">IF(C214&gt;=1,X214*VLOOKUP(E214,'Reeksen (N)'!$A$5:$B$76,2),0)</f>
        <v>0</v>
      </c>
      <c r="Z214" s="98">
        <f ca="1">(1-('Invoer gegevens (N)'!$F$20/12))*X214*MIN('Reeksen (N)'!B214,'Reeksen (N)'!D214)</f>
        <v>0</v>
      </c>
      <c r="AA214" s="98">
        <f>IF('Reeksen (N)'!D214&gt;='Reeksen (N)'!B214,0,IF('Reeksen (N)'!AD214&lt;='Reeksen (N)'!AE214,('Reeksen (N)'!B214-'Reeksen (N)'!D214)*X214,0))</f>
        <v>0</v>
      </c>
      <c r="AB214" s="98">
        <f>IF('Reeksen (N)'!D214&gt;='Reeksen (N)'!B214,0,IF('Reeksen (N)'!AD214&gt;'Reeksen (N)'!AE214,('Reeksen (N)'!B214-'Reeksen (N)'!D214)*X214,0))</f>
        <v>0</v>
      </c>
      <c r="AC214" s="99">
        <f t="shared" ca="1" si="36"/>
        <v>0</v>
      </c>
      <c r="AD214" s="98">
        <f ca="1">IF('Invoer gegevens (N)'!$C$17=E214,R214,IF(C214=0,0,AE213))</f>
        <v>0</v>
      </c>
      <c r="AE214" s="98">
        <f t="shared" ca="1" si="37"/>
        <v>0</v>
      </c>
      <c r="AF214" s="98">
        <f ca="1">IF('Invoer gegevens (N)'!$C$17=E214,X214,IF(C214=0,0,AG213))</f>
        <v>0</v>
      </c>
      <c r="AG214" s="98">
        <f t="shared" ca="1" si="38"/>
        <v>0</v>
      </c>
      <c r="AH214" s="66"/>
      <c r="AI214" s="71">
        <f ca="1">IF(C214=1,'Reeksen (N)'!AI214*((F214-G214+F214)/2)*12+'Reeksen (N)'!AD214*((L214-M214+L214)/2)*12,0)</f>
        <v>0</v>
      </c>
      <c r="AJ214" s="71">
        <f ca="1">-AI214*'Invoer gegevens (N)'!$F$28</f>
        <v>0</v>
      </c>
      <c r="AK214" s="71">
        <f t="shared" ca="1" si="39"/>
        <v>0</v>
      </c>
      <c r="AL214" s="71">
        <f ca="1">IF(C214=1,'Reeksen (N)'!AL214*((F214-G214+F214)/2)*12+'Reeksen (N)'!AM214*((L214-M214+L214)/2)*12,0)</f>
        <v>0</v>
      </c>
      <c r="AM214" s="71">
        <f ca="1">-AL214*'Invoer gegevens (N)'!$F$31</f>
        <v>0</v>
      </c>
      <c r="AN214" s="71">
        <f t="shared" ca="1" si="40"/>
        <v>0</v>
      </c>
      <c r="AO214" s="71">
        <f ca="1">IF(C214=1,(H214+J214+N214+P214)*'Reeksen (N)'!AN214,0)</f>
        <v>0</v>
      </c>
      <c r="AP214" s="71">
        <f ca="1">-IF(C214=1,(H214+J214+N214+P214)*'Hulp - basis'!$O$550*'Reeksen (N)'!H214,0)</f>
        <v>0</v>
      </c>
      <c r="AQ214" s="71">
        <f ca="1">-IF(C214=1,(F214+K214+L214+Q214)/2*'Invoer gegevens (N)'!$F$35*'Reeksen (N)'!J214,0)*2</f>
        <v>0</v>
      </c>
      <c r="AR214" s="71"/>
      <c r="AS214" s="71">
        <f ca="1">-IF(C214=1,(F214+K214+L214+Q214)/2*'Invoer gegevens (N)'!$F$37*'Reeksen (N)'!L214,0)</f>
        <v>0</v>
      </c>
      <c r="AT214" s="71">
        <f ca="1">-IF(C214=1,IF(E214='Invoer gegevens (N)'!$C$17,'Invoer gegevens (N)'!$C$11,AD214)*'Reeksen (N)'!S214*'Invoer gegevens (N)'!$C$18*'Reeksen (N)'!P214,0)</f>
        <v>0</v>
      </c>
      <c r="AU214" s="71">
        <f ca="1">-IF(C214=1,(F214+K214+L214+Q214)/2*'Invoer gegevens (N)'!$F$38*'Reeksen (N)'!H214,0)</f>
        <v>0</v>
      </c>
      <c r="AV214" s="71">
        <v>0</v>
      </c>
      <c r="AW214" s="71">
        <f t="shared" ca="1" si="41"/>
        <v>0</v>
      </c>
      <c r="AX214" s="71">
        <f ca="1">IF(E214&lt;'Invoer gegevens (N)'!$C$17+15,0,IF(E214&gt;'Invoer gegevens (N)'!$C$17+215,0,AW214))</f>
        <v>0</v>
      </c>
      <c r="AY214" s="71">
        <f ca="1">AX214/(1+'Invoer gegevens (N)'!$F$18)^($AZ214-('Invoer gegevens (N)'!$C$17-'Invoer gegevens (N)'!$C$16))/(1+'Invoer gegevens (N)'!$C$39)^('Invoer gegevens (N)'!$C$17-'Invoer gegevens (N)'!$C$16)</f>
        <v>0</v>
      </c>
      <c r="AZ214" s="68">
        <f ca="1">IF(E214-'Invoer gegevens (N)'!$C$17-14.5&lt;0,0,E214-'Invoer gegevens (N)'!$C$17-14.5)</f>
        <v>194.5</v>
      </c>
    </row>
    <row r="215" spans="1:52" x14ac:dyDescent="0.25">
      <c r="A215" s="59"/>
      <c r="B215" s="70">
        <f t="shared" si="42"/>
        <v>211</v>
      </c>
      <c r="C215" s="67">
        <f ca="1">IF(E215-'Invoer gegevens (N)'!$C$17&lt;0,0,1)</f>
        <v>1</v>
      </c>
      <c r="D215" s="68">
        <f t="shared" si="43"/>
        <v>210.5</v>
      </c>
      <c r="E215" s="69">
        <f ca="1">IF('Invoer gegevens (N)'!$C$16="","",E214+1)</f>
        <v>2229</v>
      </c>
      <c r="F215" s="84">
        <f ca="1">IF('Invoer gegevens (N)'!$C$17=E215,'Invoer gegevens (N)'!$C$10,IF(C215=1,K214,0))</f>
        <v>0</v>
      </c>
      <c r="G215" s="96">
        <f ca="1">IF(C215&gt;=1,F215*VLOOKUP(E215,'Reeksen (N)'!$A$5:$B$76,2),0)</f>
        <v>0</v>
      </c>
      <c r="H215" s="84">
        <f ca="1">(1-('Invoer gegevens (N)'!$F$20/12))*F215*MIN('Reeksen (N)'!B215,'Reeksen (N)'!D215)</f>
        <v>0</v>
      </c>
      <c r="I215" s="84">
        <f>IF('Reeksen (N)'!D215&lt;'Reeksen (N)'!B215,('Reeksen (N)'!B215-'Reeksen (N)'!D215)*F215,0)</f>
        <v>0</v>
      </c>
      <c r="J215" s="84">
        <f ca="1">('Invoer gegevens (N)'!$F$20/12)*F214*MIN('Reeksen (N)'!B214,'Reeksen (N)'!D214)</f>
        <v>0</v>
      </c>
      <c r="K215" s="97">
        <f t="shared" ca="1" si="33"/>
        <v>0</v>
      </c>
      <c r="L215" s="84">
        <f ca="1">IF('Invoer gegevens (N)'!$C$17=E215,0,IF(C215=1,Q214,0))</f>
        <v>0</v>
      </c>
      <c r="M215" s="96">
        <f ca="1">IF(C215&gt;=1,L215*VLOOKUP(E215,'Reeksen (N)'!$A$5:$B$76,2),0)</f>
        <v>0</v>
      </c>
      <c r="N215" s="84">
        <f ca="1">(1-('Invoer gegevens (N)'!$F$20/12))*L215*MIN('Reeksen (N)'!B215,'Reeksen (N)'!D215)</f>
        <v>0</v>
      </c>
      <c r="O215" s="84">
        <f>IF('Reeksen (N)'!D215&lt;'Reeksen (N)'!B215,('Reeksen (N)'!B215-'Reeksen (N)'!D215)*L215,0)</f>
        <v>0</v>
      </c>
      <c r="P215" s="84">
        <f ca="1">('Invoer gegevens (N)'!$F$20/12)*L214*MIN('Reeksen (N)'!B214,'Reeksen (N)'!D214)</f>
        <v>0</v>
      </c>
      <c r="Q215" s="84">
        <f t="shared" ca="1" si="34"/>
        <v>0</v>
      </c>
      <c r="R215" s="82">
        <f ca="1">IF('Invoer gegevens (N)'!$C$17=E215,'Invoer gegevens (N)'!$C$11,IF(C215=1,W214,0))</f>
        <v>0</v>
      </c>
      <c r="S215" s="86">
        <f ca="1">IF(C215&gt;=1,R215*VLOOKUP(E215,'Reeksen (N)'!$A$5:$B$76,2),0)</f>
        <v>0</v>
      </c>
      <c r="T215" s="84">
        <f ca="1">(1-('Invoer gegevens (N)'!$F$20/12))*R215*MIN('Reeksen (N)'!B215,'Reeksen (N)'!D215)</f>
        <v>0</v>
      </c>
      <c r="U215" s="84">
        <f>IF('Reeksen (N)'!D215&gt;='Reeksen (N)'!B215,0,IF('Reeksen (N)'!AD215&lt;='Reeksen (N)'!AE215,('Reeksen (N)'!B215-'Reeksen (N)'!D215)*R215,0))</f>
        <v>0</v>
      </c>
      <c r="V215" s="86">
        <f>IF('Reeksen (N)'!D215&gt;='Reeksen (N)'!B215,0,IF('Reeksen (N)'!AD215&gt;'Reeksen (N)'!AE215,('Reeksen (N)'!B215-'Reeksen (N)'!D215)*R215,0))</f>
        <v>0</v>
      </c>
      <c r="W215" s="97">
        <f t="shared" ca="1" si="35"/>
        <v>0</v>
      </c>
      <c r="X215" s="98">
        <f ca="1">IF('Invoer gegevens (N)'!$C$17=E215,'Invoer gegevens (N)'!$C$10-'Invoer gegevens (N)'!$C$11,IF(C215=1,AC214,0))</f>
        <v>0</v>
      </c>
      <c r="Y215" s="98">
        <f ca="1">IF(C215&gt;=1,X215*VLOOKUP(E215,'Reeksen (N)'!$A$5:$B$76,2),0)</f>
        <v>0</v>
      </c>
      <c r="Z215" s="98">
        <f ca="1">(1-('Invoer gegevens (N)'!$F$20/12))*X215*MIN('Reeksen (N)'!B215,'Reeksen (N)'!D215)</f>
        <v>0</v>
      </c>
      <c r="AA215" s="98">
        <f>IF('Reeksen (N)'!D215&gt;='Reeksen (N)'!B215,0,IF('Reeksen (N)'!AD215&lt;='Reeksen (N)'!AE215,('Reeksen (N)'!B215-'Reeksen (N)'!D215)*X215,0))</f>
        <v>0</v>
      </c>
      <c r="AB215" s="98">
        <f>IF('Reeksen (N)'!D215&gt;='Reeksen (N)'!B215,0,IF('Reeksen (N)'!AD215&gt;'Reeksen (N)'!AE215,('Reeksen (N)'!B215-'Reeksen (N)'!D215)*X215,0))</f>
        <v>0</v>
      </c>
      <c r="AC215" s="99">
        <f t="shared" ca="1" si="36"/>
        <v>0</v>
      </c>
      <c r="AD215" s="98">
        <f ca="1">IF('Invoer gegevens (N)'!$C$17=E215,R215,IF(C215=0,0,AE214))</f>
        <v>0</v>
      </c>
      <c r="AE215" s="98">
        <f t="shared" ca="1" si="37"/>
        <v>0</v>
      </c>
      <c r="AF215" s="98">
        <f ca="1">IF('Invoer gegevens (N)'!$C$17=E215,X215,IF(C215=0,0,AG214))</f>
        <v>0</v>
      </c>
      <c r="AG215" s="98">
        <f t="shared" ca="1" si="38"/>
        <v>0</v>
      </c>
      <c r="AH215" s="66"/>
      <c r="AI215" s="71">
        <f ca="1">IF(C215=1,'Reeksen (N)'!AI215*((F215-G215+F215)/2)*12+'Reeksen (N)'!AD215*((L215-M215+L215)/2)*12,0)</f>
        <v>0</v>
      </c>
      <c r="AJ215" s="71">
        <f ca="1">-AI215*'Invoer gegevens (N)'!$F$28</f>
        <v>0</v>
      </c>
      <c r="AK215" s="71">
        <f t="shared" ca="1" si="39"/>
        <v>0</v>
      </c>
      <c r="AL215" s="71">
        <f ca="1">IF(C215=1,'Reeksen (N)'!AL215*((F215-G215+F215)/2)*12+'Reeksen (N)'!AM215*((L215-M215+L215)/2)*12,0)</f>
        <v>0</v>
      </c>
      <c r="AM215" s="71">
        <f ca="1">-AL215*'Invoer gegevens (N)'!$F$31</f>
        <v>0</v>
      </c>
      <c r="AN215" s="71">
        <f t="shared" ca="1" si="40"/>
        <v>0</v>
      </c>
      <c r="AO215" s="71">
        <f ca="1">IF(C215=1,(H215+J215+N215+P215)*'Reeksen (N)'!AN215,0)</f>
        <v>0</v>
      </c>
      <c r="AP215" s="71">
        <f ca="1">-IF(C215=1,(H215+J215+N215+P215)*'Hulp - basis'!$O$550*'Reeksen (N)'!H215,0)</f>
        <v>0</v>
      </c>
      <c r="AQ215" s="71">
        <f ca="1">-IF(C215=1,(F215+K215+L215+Q215)/2*'Invoer gegevens (N)'!$F$35*'Reeksen (N)'!J215,0)*2</f>
        <v>0</v>
      </c>
      <c r="AR215" s="71"/>
      <c r="AS215" s="71">
        <f ca="1">-IF(C215=1,(F215+K215+L215+Q215)/2*'Invoer gegevens (N)'!$F$37*'Reeksen (N)'!L215,0)</f>
        <v>0</v>
      </c>
      <c r="AT215" s="71">
        <f ca="1">-IF(C215=1,IF(E215='Invoer gegevens (N)'!$C$17,'Invoer gegevens (N)'!$C$11,AD215)*'Reeksen (N)'!S215*'Invoer gegevens (N)'!$C$18*'Reeksen (N)'!P215,0)</f>
        <v>0</v>
      </c>
      <c r="AU215" s="71">
        <f ca="1">-IF(C215=1,(F215+K215+L215+Q215)/2*'Invoer gegevens (N)'!$F$38*'Reeksen (N)'!H215,0)</f>
        <v>0</v>
      </c>
      <c r="AV215" s="71">
        <v>0</v>
      </c>
      <c r="AW215" s="71">
        <f t="shared" ca="1" si="41"/>
        <v>0</v>
      </c>
      <c r="AX215" s="71">
        <f ca="1">IF(E215&lt;'Invoer gegevens (N)'!$C$17+15,0,IF(E215&gt;'Invoer gegevens (N)'!$C$17+215,0,AW215))</f>
        <v>0</v>
      </c>
      <c r="AY215" s="71">
        <f ca="1">AX215/(1+'Invoer gegevens (N)'!$F$18)^($AZ215-('Invoer gegevens (N)'!$C$17-'Invoer gegevens (N)'!$C$16))/(1+'Invoer gegevens (N)'!$C$39)^('Invoer gegevens (N)'!$C$17-'Invoer gegevens (N)'!$C$16)</f>
        <v>0</v>
      </c>
      <c r="AZ215" s="68">
        <f ca="1">IF(E215-'Invoer gegevens (N)'!$C$17-14.5&lt;0,0,E215-'Invoer gegevens (N)'!$C$17-14.5)</f>
        <v>195.5</v>
      </c>
    </row>
    <row r="216" spans="1:52" x14ac:dyDescent="0.25">
      <c r="A216" s="59"/>
      <c r="B216" s="70">
        <f t="shared" si="42"/>
        <v>212</v>
      </c>
      <c r="C216" s="67">
        <f ca="1">IF(E216-'Invoer gegevens (N)'!$C$17&lt;0,0,1)</f>
        <v>1</v>
      </c>
      <c r="D216" s="68">
        <f t="shared" si="43"/>
        <v>211.5</v>
      </c>
      <c r="E216" s="69">
        <f ca="1">IF('Invoer gegevens (N)'!$C$16="","",E215+1)</f>
        <v>2230</v>
      </c>
      <c r="F216" s="84">
        <f ca="1">IF('Invoer gegevens (N)'!$C$17=E216,'Invoer gegevens (N)'!$C$10,IF(C216=1,K215,0))</f>
        <v>0</v>
      </c>
      <c r="G216" s="96">
        <f ca="1">IF(C216&gt;=1,F216*VLOOKUP(E216,'Reeksen (N)'!$A$5:$B$76,2),0)</f>
        <v>0</v>
      </c>
      <c r="H216" s="84">
        <f ca="1">(1-('Invoer gegevens (N)'!$F$20/12))*F216*MIN('Reeksen (N)'!B216,'Reeksen (N)'!D216)</f>
        <v>0</v>
      </c>
      <c r="I216" s="84">
        <f>IF('Reeksen (N)'!D216&lt;'Reeksen (N)'!B216,('Reeksen (N)'!B216-'Reeksen (N)'!D216)*F216,0)</f>
        <v>0</v>
      </c>
      <c r="J216" s="84">
        <f ca="1">('Invoer gegevens (N)'!$F$20/12)*F215*MIN('Reeksen (N)'!B215,'Reeksen (N)'!D215)</f>
        <v>0</v>
      </c>
      <c r="K216" s="97">
        <f t="shared" ca="1" si="33"/>
        <v>0</v>
      </c>
      <c r="L216" s="84">
        <f ca="1">IF('Invoer gegevens (N)'!$C$17=E216,0,IF(C216=1,Q215,0))</f>
        <v>0</v>
      </c>
      <c r="M216" s="96">
        <f ca="1">IF(C216&gt;=1,L216*VLOOKUP(E216,'Reeksen (N)'!$A$5:$B$76,2),0)</f>
        <v>0</v>
      </c>
      <c r="N216" s="84">
        <f ca="1">(1-('Invoer gegevens (N)'!$F$20/12))*L216*MIN('Reeksen (N)'!B216,'Reeksen (N)'!D216)</f>
        <v>0</v>
      </c>
      <c r="O216" s="84">
        <f>IF('Reeksen (N)'!D216&lt;'Reeksen (N)'!B216,('Reeksen (N)'!B216-'Reeksen (N)'!D216)*L216,0)</f>
        <v>0</v>
      </c>
      <c r="P216" s="84">
        <f ca="1">('Invoer gegevens (N)'!$F$20/12)*L215*MIN('Reeksen (N)'!B215,'Reeksen (N)'!D215)</f>
        <v>0</v>
      </c>
      <c r="Q216" s="84">
        <f t="shared" ca="1" si="34"/>
        <v>0</v>
      </c>
      <c r="R216" s="82">
        <f ca="1">IF('Invoer gegevens (N)'!$C$17=E216,'Invoer gegevens (N)'!$C$11,IF(C216=1,W215,0))</f>
        <v>0</v>
      </c>
      <c r="S216" s="86">
        <f ca="1">IF(C216&gt;=1,R216*VLOOKUP(E216,'Reeksen (N)'!$A$5:$B$76,2),0)</f>
        <v>0</v>
      </c>
      <c r="T216" s="84">
        <f ca="1">(1-('Invoer gegevens (N)'!$F$20/12))*R216*MIN('Reeksen (N)'!B216,'Reeksen (N)'!D216)</f>
        <v>0</v>
      </c>
      <c r="U216" s="84">
        <f>IF('Reeksen (N)'!D216&gt;='Reeksen (N)'!B216,0,IF('Reeksen (N)'!AD216&lt;='Reeksen (N)'!AE216,('Reeksen (N)'!B216-'Reeksen (N)'!D216)*R216,0))</f>
        <v>0</v>
      </c>
      <c r="V216" s="86">
        <f>IF('Reeksen (N)'!D216&gt;='Reeksen (N)'!B216,0,IF('Reeksen (N)'!AD216&gt;'Reeksen (N)'!AE216,('Reeksen (N)'!B216-'Reeksen (N)'!D216)*R216,0))</f>
        <v>0</v>
      </c>
      <c r="W216" s="97">
        <f t="shared" ca="1" si="35"/>
        <v>0</v>
      </c>
      <c r="X216" s="98">
        <f ca="1">IF('Invoer gegevens (N)'!$C$17=E216,'Invoer gegevens (N)'!$C$10-'Invoer gegevens (N)'!$C$11,IF(C216=1,AC215,0))</f>
        <v>0</v>
      </c>
      <c r="Y216" s="98">
        <f ca="1">IF(C216&gt;=1,X216*VLOOKUP(E216,'Reeksen (N)'!$A$5:$B$76,2),0)</f>
        <v>0</v>
      </c>
      <c r="Z216" s="98">
        <f ca="1">(1-('Invoer gegevens (N)'!$F$20/12))*X216*MIN('Reeksen (N)'!B216,'Reeksen (N)'!D216)</f>
        <v>0</v>
      </c>
      <c r="AA216" s="98">
        <f>IF('Reeksen (N)'!D216&gt;='Reeksen (N)'!B216,0,IF('Reeksen (N)'!AD216&lt;='Reeksen (N)'!AE216,('Reeksen (N)'!B216-'Reeksen (N)'!D216)*X216,0))</f>
        <v>0</v>
      </c>
      <c r="AB216" s="98">
        <f>IF('Reeksen (N)'!D216&gt;='Reeksen (N)'!B216,0,IF('Reeksen (N)'!AD216&gt;'Reeksen (N)'!AE216,('Reeksen (N)'!B216-'Reeksen (N)'!D216)*X216,0))</f>
        <v>0</v>
      </c>
      <c r="AC216" s="99">
        <f t="shared" ca="1" si="36"/>
        <v>0</v>
      </c>
      <c r="AD216" s="98">
        <f ca="1">IF('Invoer gegevens (N)'!$C$17=E216,R216,IF(C216=0,0,AE215))</f>
        <v>0</v>
      </c>
      <c r="AE216" s="98">
        <f t="shared" ca="1" si="37"/>
        <v>0</v>
      </c>
      <c r="AF216" s="98">
        <f ca="1">IF('Invoer gegevens (N)'!$C$17=E216,X216,IF(C216=0,0,AG215))</f>
        <v>0</v>
      </c>
      <c r="AG216" s="98">
        <f t="shared" ca="1" si="38"/>
        <v>0</v>
      </c>
      <c r="AH216" s="66"/>
      <c r="AI216" s="71">
        <f ca="1">IF(C216=1,'Reeksen (N)'!AI216*((F216-G216+F216)/2)*12+'Reeksen (N)'!AD216*((L216-M216+L216)/2)*12,0)</f>
        <v>0</v>
      </c>
      <c r="AJ216" s="71">
        <f ca="1">-AI216*'Invoer gegevens (N)'!$F$28</f>
        <v>0</v>
      </c>
      <c r="AK216" s="71">
        <f t="shared" ca="1" si="39"/>
        <v>0</v>
      </c>
      <c r="AL216" s="71">
        <f ca="1">IF(C216=1,'Reeksen (N)'!AL216*((F216-G216+F216)/2)*12+'Reeksen (N)'!AM216*((L216-M216+L216)/2)*12,0)</f>
        <v>0</v>
      </c>
      <c r="AM216" s="71">
        <f ca="1">-AL216*'Invoer gegevens (N)'!$F$31</f>
        <v>0</v>
      </c>
      <c r="AN216" s="71">
        <f t="shared" ca="1" si="40"/>
        <v>0</v>
      </c>
      <c r="AO216" s="71">
        <f ca="1">IF(C216=1,(H216+J216+N216+P216)*'Reeksen (N)'!AN216,0)</f>
        <v>0</v>
      </c>
      <c r="AP216" s="71">
        <f ca="1">-IF(C216=1,(H216+J216+N216+P216)*'Hulp - basis'!$O$550*'Reeksen (N)'!H216,0)</f>
        <v>0</v>
      </c>
      <c r="AQ216" s="71">
        <f ca="1">-IF(C216=1,(F216+K216+L216+Q216)/2*'Invoer gegevens (N)'!$F$35*'Reeksen (N)'!J216,0)*2</f>
        <v>0</v>
      </c>
      <c r="AR216" s="71"/>
      <c r="AS216" s="71">
        <f ca="1">-IF(C216=1,(F216+K216+L216+Q216)/2*'Invoer gegevens (N)'!$F$37*'Reeksen (N)'!L216,0)</f>
        <v>0</v>
      </c>
      <c r="AT216" s="71">
        <f ca="1">-IF(C216=1,IF(E216='Invoer gegevens (N)'!$C$17,'Invoer gegevens (N)'!$C$11,AD216)*'Reeksen (N)'!S216*'Invoer gegevens (N)'!$C$18*'Reeksen (N)'!P216,0)</f>
        <v>0</v>
      </c>
      <c r="AU216" s="71">
        <f ca="1">-IF(C216=1,(F216+K216+L216+Q216)/2*'Invoer gegevens (N)'!$F$38*'Reeksen (N)'!H216,0)</f>
        <v>0</v>
      </c>
      <c r="AV216" s="71">
        <v>0</v>
      </c>
      <c r="AW216" s="71">
        <f t="shared" ca="1" si="41"/>
        <v>0</v>
      </c>
      <c r="AX216" s="71">
        <f ca="1">IF(E216&lt;'Invoer gegevens (N)'!$C$17+15,0,IF(E216&gt;'Invoer gegevens (N)'!$C$17+215,0,AW216))</f>
        <v>0</v>
      </c>
      <c r="AY216" s="71">
        <f ca="1">AX216/(1+'Invoer gegevens (N)'!$F$18)^($AZ216-('Invoer gegevens (N)'!$C$17-'Invoer gegevens (N)'!$C$16))/(1+'Invoer gegevens (N)'!$C$39)^('Invoer gegevens (N)'!$C$17-'Invoer gegevens (N)'!$C$16)</f>
        <v>0</v>
      </c>
      <c r="AZ216" s="68">
        <f ca="1">IF(E216-'Invoer gegevens (N)'!$C$17-14.5&lt;0,0,E216-'Invoer gegevens (N)'!$C$17-14.5)</f>
        <v>196.5</v>
      </c>
    </row>
    <row r="217" spans="1:52" x14ac:dyDescent="0.25">
      <c r="A217" s="59"/>
      <c r="B217" s="70">
        <f t="shared" si="42"/>
        <v>213</v>
      </c>
      <c r="C217" s="67">
        <f ca="1">IF(E217-'Invoer gegevens (N)'!$C$17&lt;0,0,1)</f>
        <v>1</v>
      </c>
      <c r="D217" s="68">
        <f t="shared" si="43"/>
        <v>212.5</v>
      </c>
      <c r="E217" s="69">
        <f ca="1">IF('Invoer gegevens (N)'!$C$16="","",E216+1)</f>
        <v>2231</v>
      </c>
      <c r="F217" s="84">
        <f ca="1">IF('Invoer gegevens (N)'!$C$17=E217,'Invoer gegevens (N)'!$C$10,IF(C217=1,K216,0))</f>
        <v>0</v>
      </c>
      <c r="G217" s="96">
        <f ca="1">IF(C217&gt;=1,F217*VLOOKUP(E217,'Reeksen (N)'!$A$5:$B$76,2),0)</f>
        <v>0</v>
      </c>
      <c r="H217" s="84">
        <f ca="1">(1-('Invoer gegevens (N)'!$F$20/12))*F217*MIN('Reeksen (N)'!B217,'Reeksen (N)'!D217)</f>
        <v>0</v>
      </c>
      <c r="I217" s="84">
        <f>IF('Reeksen (N)'!D217&lt;'Reeksen (N)'!B217,('Reeksen (N)'!B217-'Reeksen (N)'!D217)*F217,0)</f>
        <v>0</v>
      </c>
      <c r="J217" s="84">
        <f ca="1">('Invoer gegevens (N)'!$F$20/12)*F216*MIN('Reeksen (N)'!B216,'Reeksen (N)'!D216)</f>
        <v>0</v>
      </c>
      <c r="K217" s="97">
        <f t="shared" ca="1" si="33"/>
        <v>0</v>
      </c>
      <c r="L217" s="84">
        <f ca="1">IF('Invoer gegevens (N)'!$C$17=E217,0,IF(C217=1,Q216,0))</f>
        <v>0</v>
      </c>
      <c r="M217" s="96">
        <f ca="1">IF(C217&gt;=1,L217*VLOOKUP(E217,'Reeksen (N)'!$A$5:$B$76,2),0)</f>
        <v>0</v>
      </c>
      <c r="N217" s="84">
        <f ca="1">(1-('Invoer gegevens (N)'!$F$20/12))*L217*MIN('Reeksen (N)'!B217,'Reeksen (N)'!D217)</f>
        <v>0</v>
      </c>
      <c r="O217" s="84">
        <f>IF('Reeksen (N)'!D217&lt;'Reeksen (N)'!B217,('Reeksen (N)'!B217-'Reeksen (N)'!D217)*L217,0)</f>
        <v>0</v>
      </c>
      <c r="P217" s="84">
        <f ca="1">('Invoer gegevens (N)'!$F$20/12)*L216*MIN('Reeksen (N)'!B216,'Reeksen (N)'!D216)</f>
        <v>0</v>
      </c>
      <c r="Q217" s="84">
        <f t="shared" ca="1" si="34"/>
        <v>0</v>
      </c>
      <c r="R217" s="82">
        <f ca="1">IF('Invoer gegevens (N)'!$C$17=E217,'Invoer gegevens (N)'!$C$11,IF(C217=1,W216,0))</f>
        <v>0</v>
      </c>
      <c r="S217" s="86">
        <f ca="1">IF(C217&gt;=1,R217*VLOOKUP(E217,'Reeksen (N)'!$A$5:$B$76,2),0)</f>
        <v>0</v>
      </c>
      <c r="T217" s="84">
        <f ca="1">(1-('Invoer gegevens (N)'!$F$20/12))*R217*MIN('Reeksen (N)'!B217,'Reeksen (N)'!D217)</f>
        <v>0</v>
      </c>
      <c r="U217" s="84">
        <f>IF('Reeksen (N)'!D217&gt;='Reeksen (N)'!B217,0,IF('Reeksen (N)'!AD217&lt;='Reeksen (N)'!AE217,('Reeksen (N)'!B217-'Reeksen (N)'!D217)*R217,0))</f>
        <v>0</v>
      </c>
      <c r="V217" s="86">
        <f>IF('Reeksen (N)'!D217&gt;='Reeksen (N)'!B217,0,IF('Reeksen (N)'!AD217&gt;'Reeksen (N)'!AE217,('Reeksen (N)'!B217-'Reeksen (N)'!D217)*R217,0))</f>
        <v>0</v>
      </c>
      <c r="W217" s="97">
        <f t="shared" ca="1" si="35"/>
        <v>0</v>
      </c>
      <c r="X217" s="98">
        <f ca="1">IF('Invoer gegevens (N)'!$C$17=E217,'Invoer gegevens (N)'!$C$10-'Invoer gegevens (N)'!$C$11,IF(C217=1,AC216,0))</f>
        <v>0</v>
      </c>
      <c r="Y217" s="98">
        <f ca="1">IF(C217&gt;=1,X217*VLOOKUP(E217,'Reeksen (N)'!$A$5:$B$76,2),0)</f>
        <v>0</v>
      </c>
      <c r="Z217" s="98">
        <f ca="1">(1-('Invoer gegevens (N)'!$F$20/12))*X217*MIN('Reeksen (N)'!B217,'Reeksen (N)'!D217)</f>
        <v>0</v>
      </c>
      <c r="AA217" s="98">
        <f>IF('Reeksen (N)'!D217&gt;='Reeksen (N)'!B217,0,IF('Reeksen (N)'!AD217&lt;='Reeksen (N)'!AE217,('Reeksen (N)'!B217-'Reeksen (N)'!D217)*X217,0))</f>
        <v>0</v>
      </c>
      <c r="AB217" s="98">
        <f>IF('Reeksen (N)'!D217&gt;='Reeksen (N)'!B217,0,IF('Reeksen (N)'!AD217&gt;'Reeksen (N)'!AE217,('Reeksen (N)'!B217-'Reeksen (N)'!D217)*X217,0))</f>
        <v>0</v>
      </c>
      <c r="AC217" s="99">
        <f t="shared" ca="1" si="36"/>
        <v>0</v>
      </c>
      <c r="AD217" s="98">
        <f ca="1">IF('Invoer gegevens (N)'!$C$17=E217,R217,IF(C217=0,0,AE216))</f>
        <v>0</v>
      </c>
      <c r="AE217" s="98">
        <f t="shared" ca="1" si="37"/>
        <v>0</v>
      </c>
      <c r="AF217" s="98">
        <f ca="1">IF('Invoer gegevens (N)'!$C$17=E217,X217,IF(C217=0,0,AG216))</f>
        <v>0</v>
      </c>
      <c r="AG217" s="98">
        <f t="shared" ca="1" si="38"/>
        <v>0</v>
      </c>
      <c r="AH217" s="66"/>
      <c r="AI217" s="71">
        <f ca="1">IF(C217=1,'Reeksen (N)'!AI217*((F217-G217+F217)/2)*12+'Reeksen (N)'!AD217*((L217-M217+L217)/2)*12,0)</f>
        <v>0</v>
      </c>
      <c r="AJ217" s="71">
        <f ca="1">-AI217*'Invoer gegevens (N)'!$F$28</f>
        <v>0</v>
      </c>
      <c r="AK217" s="71">
        <f t="shared" ca="1" si="39"/>
        <v>0</v>
      </c>
      <c r="AL217" s="71">
        <f ca="1">IF(C217=1,'Reeksen (N)'!AL217*((F217-G217+F217)/2)*12+'Reeksen (N)'!AM217*((L217-M217+L217)/2)*12,0)</f>
        <v>0</v>
      </c>
      <c r="AM217" s="71">
        <f ca="1">-AL217*'Invoer gegevens (N)'!$F$31</f>
        <v>0</v>
      </c>
      <c r="AN217" s="71">
        <f t="shared" ca="1" si="40"/>
        <v>0</v>
      </c>
      <c r="AO217" s="71">
        <f ca="1">IF(C217=1,(H217+J217+N217+P217)*'Reeksen (N)'!AN217,0)</f>
        <v>0</v>
      </c>
      <c r="AP217" s="71">
        <f ca="1">-IF(C217=1,(H217+J217+N217+P217)*'Hulp - basis'!$O$550*'Reeksen (N)'!H217,0)</f>
        <v>0</v>
      </c>
      <c r="AQ217" s="71">
        <f ca="1">-IF(C217=1,(F217+K217+L217+Q217)/2*'Invoer gegevens (N)'!$F$35*'Reeksen (N)'!J217,0)*2</f>
        <v>0</v>
      </c>
      <c r="AR217" s="71"/>
      <c r="AS217" s="71">
        <f ca="1">-IF(C217=1,(F217+K217+L217+Q217)/2*'Invoer gegevens (N)'!$F$37*'Reeksen (N)'!L217,0)</f>
        <v>0</v>
      </c>
      <c r="AT217" s="71">
        <f ca="1">-IF(C217=1,IF(E217='Invoer gegevens (N)'!$C$17,'Invoer gegevens (N)'!$C$11,AD217)*'Reeksen (N)'!S217*'Invoer gegevens (N)'!$C$18*'Reeksen (N)'!P217,0)</f>
        <v>0</v>
      </c>
      <c r="AU217" s="71">
        <f ca="1">-IF(C217=1,(F217+K217+L217+Q217)/2*'Invoer gegevens (N)'!$F$38*'Reeksen (N)'!H217,0)</f>
        <v>0</v>
      </c>
      <c r="AV217" s="71">
        <v>0</v>
      </c>
      <c r="AW217" s="71">
        <f t="shared" ca="1" si="41"/>
        <v>0</v>
      </c>
      <c r="AX217" s="71">
        <f ca="1">IF(E217&lt;'Invoer gegevens (N)'!$C$17+15,0,IF(E217&gt;'Invoer gegevens (N)'!$C$17+215,0,AW217))</f>
        <v>0</v>
      </c>
      <c r="AY217" s="71">
        <f ca="1">AX217/(1+'Invoer gegevens (N)'!$F$18)^($AZ217-('Invoer gegevens (N)'!$C$17-'Invoer gegevens (N)'!$C$16))/(1+'Invoer gegevens (N)'!$C$39)^('Invoer gegevens (N)'!$C$17-'Invoer gegevens (N)'!$C$16)</f>
        <v>0</v>
      </c>
      <c r="AZ217" s="68">
        <f ca="1">IF(E217-'Invoer gegevens (N)'!$C$17-14.5&lt;0,0,E217-'Invoer gegevens (N)'!$C$17-14.5)</f>
        <v>197.5</v>
      </c>
    </row>
    <row r="218" spans="1:52" x14ac:dyDescent="0.25">
      <c r="A218" s="59"/>
      <c r="B218" s="70">
        <f t="shared" si="42"/>
        <v>214</v>
      </c>
      <c r="C218" s="67">
        <f ca="1">IF(E218-'Invoer gegevens (N)'!$C$17&lt;0,0,1)</f>
        <v>1</v>
      </c>
      <c r="D218" s="68">
        <f t="shared" si="43"/>
        <v>213.5</v>
      </c>
      <c r="E218" s="69">
        <f ca="1">IF('Invoer gegevens (N)'!$C$16="","",E217+1)</f>
        <v>2232</v>
      </c>
      <c r="F218" s="84">
        <f ca="1">IF('Invoer gegevens (N)'!$C$17=E218,'Invoer gegevens (N)'!$C$10,IF(C218=1,K217,0))</f>
        <v>0</v>
      </c>
      <c r="G218" s="96">
        <f ca="1">IF(C218&gt;=1,F218*VLOOKUP(E218,'Reeksen (N)'!$A$5:$B$76,2),0)</f>
        <v>0</v>
      </c>
      <c r="H218" s="84">
        <f ca="1">(1-('Invoer gegevens (N)'!$F$20/12))*F218*MIN('Reeksen (N)'!B218,'Reeksen (N)'!D218)</f>
        <v>0</v>
      </c>
      <c r="I218" s="84">
        <f>IF('Reeksen (N)'!D218&lt;'Reeksen (N)'!B218,('Reeksen (N)'!B218-'Reeksen (N)'!D218)*F218,0)</f>
        <v>0</v>
      </c>
      <c r="J218" s="84">
        <f ca="1">('Invoer gegevens (N)'!$F$20/12)*F217*MIN('Reeksen (N)'!B217,'Reeksen (N)'!D217)</f>
        <v>0</v>
      </c>
      <c r="K218" s="97">
        <f t="shared" ca="1" si="33"/>
        <v>0</v>
      </c>
      <c r="L218" s="84">
        <f ca="1">IF('Invoer gegevens (N)'!$C$17=E218,0,IF(C218=1,Q217,0))</f>
        <v>0</v>
      </c>
      <c r="M218" s="96">
        <f ca="1">IF(C218&gt;=1,L218*VLOOKUP(E218,'Reeksen (N)'!$A$5:$B$76,2),0)</f>
        <v>0</v>
      </c>
      <c r="N218" s="84">
        <f ca="1">(1-('Invoer gegevens (N)'!$F$20/12))*L218*MIN('Reeksen (N)'!B218,'Reeksen (N)'!D218)</f>
        <v>0</v>
      </c>
      <c r="O218" s="84">
        <f>IF('Reeksen (N)'!D218&lt;'Reeksen (N)'!B218,('Reeksen (N)'!B218-'Reeksen (N)'!D218)*L218,0)</f>
        <v>0</v>
      </c>
      <c r="P218" s="84">
        <f ca="1">('Invoer gegevens (N)'!$F$20/12)*L217*MIN('Reeksen (N)'!B217,'Reeksen (N)'!D217)</f>
        <v>0</v>
      </c>
      <c r="Q218" s="84">
        <f t="shared" ca="1" si="34"/>
        <v>0</v>
      </c>
      <c r="R218" s="82">
        <f ca="1">IF('Invoer gegevens (N)'!$C$17=E218,'Invoer gegevens (N)'!$C$11,IF(C218=1,W217,0))</f>
        <v>0</v>
      </c>
      <c r="S218" s="86">
        <f ca="1">IF(C218&gt;=1,R218*VLOOKUP(E218,'Reeksen (N)'!$A$5:$B$76,2),0)</f>
        <v>0</v>
      </c>
      <c r="T218" s="84">
        <f ca="1">(1-('Invoer gegevens (N)'!$F$20/12))*R218*MIN('Reeksen (N)'!B218,'Reeksen (N)'!D218)</f>
        <v>0</v>
      </c>
      <c r="U218" s="84">
        <f>IF('Reeksen (N)'!D218&gt;='Reeksen (N)'!B218,0,IF('Reeksen (N)'!AD218&lt;='Reeksen (N)'!AE218,('Reeksen (N)'!B218-'Reeksen (N)'!D218)*R218,0))</f>
        <v>0</v>
      </c>
      <c r="V218" s="86">
        <f>IF('Reeksen (N)'!D218&gt;='Reeksen (N)'!B218,0,IF('Reeksen (N)'!AD218&gt;'Reeksen (N)'!AE218,('Reeksen (N)'!B218-'Reeksen (N)'!D218)*R218,0))</f>
        <v>0</v>
      </c>
      <c r="W218" s="97">
        <f t="shared" ca="1" si="35"/>
        <v>0</v>
      </c>
      <c r="X218" s="98">
        <f ca="1">IF('Invoer gegevens (N)'!$C$17=E218,'Invoer gegevens (N)'!$C$10-'Invoer gegevens (N)'!$C$11,IF(C218=1,AC217,0))</f>
        <v>0</v>
      </c>
      <c r="Y218" s="98">
        <f ca="1">IF(C218&gt;=1,X218*VLOOKUP(E218,'Reeksen (N)'!$A$5:$B$76,2),0)</f>
        <v>0</v>
      </c>
      <c r="Z218" s="98">
        <f ca="1">(1-('Invoer gegevens (N)'!$F$20/12))*X218*MIN('Reeksen (N)'!B218,'Reeksen (N)'!D218)</f>
        <v>0</v>
      </c>
      <c r="AA218" s="98">
        <f>IF('Reeksen (N)'!D218&gt;='Reeksen (N)'!B218,0,IF('Reeksen (N)'!AD218&lt;='Reeksen (N)'!AE218,('Reeksen (N)'!B218-'Reeksen (N)'!D218)*X218,0))</f>
        <v>0</v>
      </c>
      <c r="AB218" s="98">
        <f>IF('Reeksen (N)'!D218&gt;='Reeksen (N)'!B218,0,IF('Reeksen (N)'!AD218&gt;'Reeksen (N)'!AE218,('Reeksen (N)'!B218-'Reeksen (N)'!D218)*X218,0))</f>
        <v>0</v>
      </c>
      <c r="AC218" s="99">
        <f t="shared" ca="1" si="36"/>
        <v>0</v>
      </c>
      <c r="AD218" s="98">
        <f ca="1">IF('Invoer gegevens (N)'!$C$17=E218,R218,IF(C218=0,0,AE217))</f>
        <v>0</v>
      </c>
      <c r="AE218" s="98">
        <f t="shared" ca="1" si="37"/>
        <v>0</v>
      </c>
      <c r="AF218" s="98">
        <f ca="1">IF('Invoer gegevens (N)'!$C$17=E218,X218,IF(C218=0,0,AG217))</f>
        <v>0</v>
      </c>
      <c r="AG218" s="98">
        <f t="shared" ca="1" si="38"/>
        <v>0</v>
      </c>
      <c r="AH218" s="66"/>
      <c r="AI218" s="71">
        <f ca="1">IF(C218=1,'Reeksen (N)'!AI218*((F218-G218+F218)/2)*12+'Reeksen (N)'!AD218*((L218-M218+L218)/2)*12,0)</f>
        <v>0</v>
      </c>
      <c r="AJ218" s="71">
        <f ca="1">-AI218*'Invoer gegevens (N)'!$F$28</f>
        <v>0</v>
      </c>
      <c r="AK218" s="71">
        <f t="shared" ca="1" si="39"/>
        <v>0</v>
      </c>
      <c r="AL218" s="71">
        <f ca="1">IF(C218=1,'Reeksen (N)'!AL218*((F218-G218+F218)/2)*12+'Reeksen (N)'!AM218*((L218-M218+L218)/2)*12,0)</f>
        <v>0</v>
      </c>
      <c r="AM218" s="71">
        <f ca="1">-AL218*'Invoer gegevens (N)'!$F$31</f>
        <v>0</v>
      </c>
      <c r="AN218" s="71">
        <f t="shared" ca="1" si="40"/>
        <v>0</v>
      </c>
      <c r="AO218" s="71">
        <f ca="1">IF(C218=1,(H218+J218+N218+P218)*'Reeksen (N)'!AN218,0)</f>
        <v>0</v>
      </c>
      <c r="AP218" s="71">
        <f ca="1">-IF(C218=1,(H218+J218+N218+P218)*'Hulp - basis'!$O$550*'Reeksen (N)'!H218,0)</f>
        <v>0</v>
      </c>
      <c r="AQ218" s="71">
        <f ca="1">-IF(C218=1,(F218+K218+L218+Q218)/2*'Invoer gegevens (N)'!$F$35*'Reeksen (N)'!J218,0)*2</f>
        <v>0</v>
      </c>
      <c r="AR218" s="71"/>
      <c r="AS218" s="71">
        <f ca="1">-IF(C218=1,(F218+K218+L218+Q218)/2*'Invoer gegevens (N)'!$F$37*'Reeksen (N)'!L218,0)</f>
        <v>0</v>
      </c>
      <c r="AT218" s="71">
        <f ca="1">-IF(C218=1,IF(E218='Invoer gegevens (N)'!$C$17,'Invoer gegevens (N)'!$C$11,AD218)*'Reeksen (N)'!S218*'Invoer gegevens (N)'!$C$18*'Reeksen (N)'!P218,0)</f>
        <v>0</v>
      </c>
      <c r="AU218" s="71">
        <f ca="1">-IF(C218=1,(F218+K218+L218+Q218)/2*'Invoer gegevens (N)'!$F$38*'Reeksen (N)'!H218,0)</f>
        <v>0</v>
      </c>
      <c r="AV218" s="71">
        <v>0</v>
      </c>
      <c r="AW218" s="71">
        <f t="shared" ca="1" si="41"/>
        <v>0</v>
      </c>
      <c r="AX218" s="71">
        <f ca="1">IF(E218&lt;'Invoer gegevens (N)'!$C$17+15,0,IF(E218&gt;'Invoer gegevens (N)'!$C$17+215,0,AW218))</f>
        <v>0</v>
      </c>
      <c r="AY218" s="71">
        <f ca="1">AX218/(1+'Invoer gegevens (N)'!$F$18)^($AZ218-('Invoer gegevens (N)'!$C$17-'Invoer gegevens (N)'!$C$16))/(1+'Invoer gegevens (N)'!$C$39)^('Invoer gegevens (N)'!$C$17-'Invoer gegevens (N)'!$C$16)</f>
        <v>0</v>
      </c>
      <c r="AZ218" s="68">
        <f ca="1">IF(E218-'Invoer gegevens (N)'!$C$17-14.5&lt;0,0,E218-'Invoer gegevens (N)'!$C$17-14.5)</f>
        <v>198.5</v>
      </c>
    </row>
    <row r="219" spans="1:52" x14ac:dyDescent="0.25">
      <c r="A219" s="59"/>
      <c r="B219" s="70">
        <f t="shared" si="42"/>
        <v>215</v>
      </c>
      <c r="C219" s="67">
        <f ca="1">IF(E219-'Invoer gegevens (N)'!$C$17&lt;0,0,1)</f>
        <v>1</v>
      </c>
      <c r="D219" s="68">
        <f t="shared" si="43"/>
        <v>214.5</v>
      </c>
      <c r="E219" s="69">
        <f ca="1">IF('Invoer gegevens (N)'!$C$16="","",E218+1)</f>
        <v>2233</v>
      </c>
      <c r="F219" s="84">
        <f ca="1">IF('Invoer gegevens (N)'!$C$17=E219,'Invoer gegevens (N)'!$C$10,IF(C219=1,K218,0))</f>
        <v>0</v>
      </c>
      <c r="G219" s="96">
        <f ca="1">IF(C219&gt;=1,F219*VLOOKUP(E219,'Reeksen (N)'!$A$5:$B$76,2),0)</f>
        <v>0</v>
      </c>
      <c r="H219" s="84">
        <f ca="1">(1-('Invoer gegevens (N)'!$F$20/12))*F219*MIN('Reeksen (N)'!B219,'Reeksen (N)'!D219)</f>
        <v>0</v>
      </c>
      <c r="I219" s="84">
        <f>IF('Reeksen (N)'!D219&lt;'Reeksen (N)'!B219,('Reeksen (N)'!B219-'Reeksen (N)'!D219)*F219,0)</f>
        <v>0</v>
      </c>
      <c r="J219" s="84">
        <f ca="1">('Invoer gegevens (N)'!$F$20/12)*F218*MIN('Reeksen (N)'!B218,'Reeksen (N)'!D218)</f>
        <v>0</v>
      </c>
      <c r="K219" s="97">
        <f t="shared" ca="1" si="33"/>
        <v>0</v>
      </c>
      <c r="L219" s="84">
        <f ca="1">IF('Invoer gegevens (N)'!$C$17=E219,0,IF(C219=1,Q218,0))</f>
        <v>0</v>
      </c>
      <c r="M219" s="96">
        <f ca="1">IF(C219&gt;=1,L219*VLOOKUP(E219,'Reeksen (N)'!$A$5:$B$76,2),0)</f>
        <v>0</v>
      </c>
      <c r="N219" s="84">
        <f ca="1">(1-('Invoer gegevens (N)'!$F$20/12))*L219*MIN('Reeksen (N)'!B219,'Reeksen (N)'!D219)</f>
        <v>0</v>
      </c>
      <c r="O219" s="84">
        <f>IF('Reeksen (N)'!D219&lt;'Reeksen (N)'!B219,('Reeksen (N)'!B219-'Reeksen (N)'!D219)*L219,0)</f>
        <v>0</v>
      </c>
      <c r="P219" s="84">
        <f ca="1">('Invoer gegevens (N)'!$F$20/12)*L218*MIN('Reeksen (N)'!B218,'Reeksen (N)'!D218)</f>
        <v>0</v>
      </c>
      <c r="Q219" s="84">
        <f t="shared" ca="1" si="34"/>
        <v>0</v>
      </c>
      <c r="R219" s="82">
        <f ca="1">IF('Invoer gegevens (N)'!$C$17=E219,'Invoer gegevens (N)'!$C$11,IF(C219=1,W218,0))</f>
        <v>0</v>
      </c>
      <c r="S219" s="86">
        <f ca="1">IF(C219&gt;=1,R219*VLOOKUP(E219,'Reeksen (N)'!$A$5:$B$76,2),0)</f>
        <v>0</v>
      </c>
      <c r="T219" s="84">
        <f ca="1">(1-('Invoer gegevens (N)'!$F$20/12))*R219*MIN('Reeksen (N)'!B219,'Reeksen (N)'!D219)</f>
        <v>0</v>
      </c>
      <c r="U219" s="84">
        <f>IF('Reeksen (N)'!D219&gt;='Reeksen (N)'!B219,0,IF('Reeksen (N)'!AD219&lt;='Reeksen (N)'!AE219,('Reeksen (N)'!B219-'Reeksen (N)'!D219)*R219,0))</f>
        <v>0</v>
      </c>
      <c r="V219" s="86">
        <f>IF('Reeksen (N)'!D219&gt;='Reeksen (N)'!B219,0,IF('Reeksen (N)'!AD219&gt;'Reeksen (N)'!AE219,('Reeksen (N)'!B219-'Reeksen (N)'!D219)*R219,0))</f>
        <v>0</v>
      </c>
      <c r="W219" s="97">
        <f t="shared" ca="1" si="35"/>
        <v>0</v>
      </c>
      <c r="X219" s="98">
        <f ca="1">IF('Invoer gegevens (N)'!$C$17=E219,'Invoer gegevens (N)'!$C$10-'Invoer gegevens (N)'!$C$11,IF(C219=1,AC218,0))</f>
        <v>0</v>
      </c>
      <c r="Y219" s="98">
        <f ca="1">IF(C219&gt;=1,X219*VLOOKUP(E219,'Reeksen (N)'!$A$5:$B$76,2),0)</f>
        <v>0</v>
      </c>
      <c r="Z219" s="98">
        <f ca="1">(1-('Invoer gegevens (N)'!$F$20/12))*X219*MIN('Reeksen (N)'!B219,'Reeksen (N)'!D219)</f>
        <v>0</v>
      </c>
      <c r="AA219" s="98">
        <f>IF('Reeksen (N)'!D219&gt;='Reeksen (N)'!B219,0,IF('Reeksen (N)'!AD219&lt;='Reeksen (N)'!AE219,('Reeksen (N)'!B219-'Reeksen (N)'!D219)*X219,0))</f>
        <v>0</v>
      </c>
      <c r="AB219" s="98">
        <f>IF('Reeksen (N)'!D219&gt;='Reeksen (N)'!B219,0,IF('Reeksen (N)'!AD219&gt;'Reeksen (N)'!AE219,('Reeksen (N)'!B219-'Reeksen (N)'!D219)*X219,0))</f>
        <v>0</v>
      </c>
      <c r="AC219" s="99">
        <f t="shared" ca="1" si="36"/>
        <v>0</v>
      </c>
      <c r="AD219" s="98">
        <f ca="1">IF('Invoer gegevens (N)'!$C$17=E219,R219,IF(C219=0,0,AE218))</f>
        <v>0</v>
      </c>
      <c r="AE219" s="98">
        <f t="shared" ca="1" si="37"/>
        <v>0</v>
      </c>
      <c r="AF219" s="98">
        <f ca="1">IF('Invoer gegevens (N)'!$C$17=E219,X219,IF(C219=0,0,AG218))</f>
        <v>0</v>
      </c>
      <c r="AG219" s="98">
        <f t="shared" ca="1" si="38"/>
        <v>0</v>
      </c>
      <c r="AH219" s="66"/>
      <c r="AI219" s="71">
        <f ca="1">IF(C219=1,'Reeksen (N)'!AI219*((F219-G219+F219)/2)*12+'Reeksen (N)'!AD219*((L219-M219+L219)/2)*12,0)</f>
        <v>0</v>
      </c>
      <c r="AJ219" s="71">
        <f ca="1">-AI219*'Invoer gegevens (N)'!$F$28</f>
        <v>0</v>
      </c>
      <c r="AK219" s="71">
        <f t="shared" ca="1" si="39"/>
        <v>0</v>
      </c>
      <c r="AL219" s="71">
        <f ca="1">IF(C219=1,'Reeksen (N)'!AL219*((F219-G219+F219)/2)*12+'Reeksen (N)'!AM219*((L219-M219+L219)/2)*12,0)</f>
        <v>0</v>
      </c>
      <c r="AM219" s="71">
        <f ca="1">-AL219*'Invoer gegevens (N)'!$F$31</f>
        <v>0</v>
      </c>
      <c r="AN219" s="71">
        <f t="shared" ca="1" si="40"/>
        <v>0</v>
      </c>
      <c r="AO219" s="71">
        <f ca="1">IF(C219=1,(H219+J219+N219+P219)*'Reeksen (N)'!AN219,0)</f>
        <v>0</v>
      </c>
      <c r="AP219" s="71">
        <f ca="1">-IF(C219=1,(H219+J219+N219+P219)*'Hulp - basis'!$O$550*'Reeksen (N)'!H219,0)</f>
        <v>0</v>
      </c>
      <c r="AQ219" s="71">
        <f ca="1">-IF(C219=1,(F219+K219+L219+Q219)/2*'Invoer gegevens (N)'!$F$35*'Reeksen (N)'!J219,0)*2</f>
        <v>0</v>
      </c>
      <c r="AR219" s="71"/>
      <c r="AS219" s="71">
        <f ca="1">-IF(C219=1,(F219+K219+L219+Q219)/2*'Invoer gegevens (N)'!$F$37*'Reeksen (N)'!L219,0)</f>
        <v>0</v>
      </c>
      <c r="AT219" s="71">
        <f ca="1">-IF(C219=1,IF(E219='Invoer gegevens (N)'!$C$17,'Invoer gegevens (N)'!$C$11,AD219)*'Reeksen (N)'!S219*'Invoer gegevens (N)'!$C$18*'Reeksen (N)'!P219,0)</f>
        <v>0</v>
      </c>
      <c r="AU219" s="71">
        <f ca="1">-IF(C219=1,(F219+K219+L219+Q219)/2*'Invoer gegevens (N)'!$F$38*'Reeksen (N)'!H219,0)</f>
        <v>0</v>
      </c>
      <c r="AV219" s="71">
        <v>0</v>
      </c>
      <c r="AW219" s="71">
        <f t="shared" ca="1" si="41"/>
        <v>0</v>
      </c>
      <c r="AX219" s="71">
        <f ca="1">IF(E219&lt;'Invoer gegevens (N)'!$C$17+15,0,IF(E219&gt;'Invoer gegevens (N)'!$C$17+215,0,AW219))</f>
        <v>0</v>
      </c>
      <c r="AY219" s="71">
        <f ca="1">AX219/(1+'Invoer gegevens (N)'!$F$18)^($AZ219-('Invoer gegevens (N)'!$C$17-'Invoer gegevens (N)'!$C$16))/(1+'Invoer gegevens (N)'!$C$39)^('Invoer gegevens (N)'!$C$17-'Invoer gegevens (N)'!$C$16)</f>
        <v>0</v>
      </c>
      <c r="AZ219" s="68">
        <f ca="1">IF(E219-'Invoer gegevens (N)'!$C$17-14.5&lt;0,0,E219-'Invoer gegevens (N)'!$C$17-14.5)</f>
        <v>199.5</v>
      </c>
    </row>
    <row r="220" spans="1:52" x14ac:dyDescent="0.25">
      <c r="A220" s="59"/>
      <c r="B220" s="70">
        <f t="shared" si="42"/>
        <v>216</v>
      </c>
      <c r="C220" s="67">
        <f ca="1">IF(E220-'Invoer gegevens (N)'!$C$17&lt;0,0,1)</f>
        <v>1</v>
      </c>
      <c r="D220" s="68">
        <f t="shared" si="43"/>
        <v>215.5</v>
      </c>
      <c r="E220" s="69">
        <f ca="1">IF('Invoer gegevens (N)'!$C$16="","",E219+1)</f>
        <v>2234</v>
      </c>
      <c r="F220" s="84">
        <f ca="1">IF('Invoer gegevens (N)'!$C$17=E220,'Invoer gegevens (N)'!$C$10,IF(C220=1,K219,0))</f>
        <v>0</v>
      </c>
      <c r="G220" s="96">
        <f ca="1">IF(C220&gt;=1,F220*VLOOKUP(E220,'Reeksen (N)'!$A$5:$B$76,2),0)</f>
        <v>0</v>
      </c>
      <c r="H220" s="84">
        <f ca="1">(1-('Invoer gegevens (N)'!$F$20/12))*F220*MIN('Reeksen (N)'!B220,'Reeksen (N)'!D220)</f>
        <v>0</v>
      </c>
      <c r="I220" s="84">
        <f>IF('Reeksen (N)'!D220&lt;'Reeksen (N)'!B220,('Reeksen (N)'!B220-'Reeksen (N)'!D220)*F220,0)</f>
        <v>0</v>
      </c>
      <c r="J220" s="84">
        <f ca="1">('Invoer gegevens (N)'!$F$20/12)*F219*MIN('Reeksen (N)'!B219,'Reeksen (N)'!D219)</f>
        <v>0</v>
      </c>
      <c r="K220" s="97">
        <f t="shared" ca="1" si="33"/>
        <v>0</v>
      </c>
      <c r="L220" s="84">
        <f ca="1">IF('Invoer gegevens (N)'!$C$17=E220,0,IF(C220=1,Q219,0))</f>
        <v>0</v>
      </c>
      <c r="M220" s="96">
        <f ca="1">IF(C220&gt;=1,L220*VLOOKUP(E220,'Reeksen (N)'!$A$5:$B$76,2),0)</f>
        <v>0</v>
      </c>
      <c r="N220" s="84">
        <f ca="1">(1-('Invoer gegevens (N)'!$F$20/12))*L220*MIN('Reeksen (N)'!B220,'Reeksen (N)'!D220)</f>
        <v>0</v>
      </c>
      <c r="O220" s="84">
        <f>IF('Reeksen (N)'!D220&lt;'Reeksen (N)'!B220,('Reeksen (N)'!B220-'Reeksen (N)'!D220)*L220,0)</f>
        <v>0</v>
      </c>
      <c r="P220" s="84">
        <f ca="1">('Invoer gegevens (N)'!$F$20/12)*L219*MIN('Reeksen (N)'!B219,'Reeksen (N)'!D219)</f>
        <v>0</v>
      </c>
      <c r="Q220" s="84">
        <f t="shared" ca="1" si="34"/>
        <v>0</v>
      </c>
      <c r="R220" s="82">
        <f ca="1">IF('Invoer gegevens (N)'!$C$17=E220,'Invoer gegevens (N)'!$C$11,IF(C220=1,W219,0))</f>
        <v>0</v>
      </c>
      <c r="S220" s="86">
        <f ca="1">IF(C220&gt;=1,R220*VLOOKUP(E220,'Reeksen (N)'!$A$5:$B$76,2),0)</f>
        <v>0</v>
      </c>
      <c r="T220" s="84">
        <f ca="1">(1-('Invoer gegevens (N)'!$F$20/12))*R220*MIN('Reeksen (N)'!B220,'Reeksen (N)'!D220)</f>
        <v>0</v>
      </c>
      <c r="U220" s="84">
        <f>IF('Reeksen (N)'!D220&gt;='Reeksen (N)'!B220,0,IF('Reeksen (N)'!AD220&lt;='Reeksen (N)'!AE220,('Reeksen (N)'!B220-'Reeksen (N)'!D220)*R220,0))</f>
        <v>0</v>
      </c>
      <c r="V220" s="86">
        <f>IF('Reeksen (N)'!D220&gt;='Reeksen (N)'!B220,0,IF('Reeksen (N)'!AD220&gt;'Reeksen (N)'!AE220,('Reeksen (N)'!B220-'Reeksen (N)'!D220)*R220,0))</f>
        <v>0</v>
      </c>
      <c r="W220" s="97">
        <f t="shared" ca="1" si="35"/>
        <v>0</v>
      </c>
      <c r="X220" s="98">
        <f ca="1">IF('Invoer gegevens (N)'!$C$17=E220,'Invoer gegevens (N)'!$C$10-'Invoer gegevens (N)'!$C$11,IF(C220=1,AC219,0))</f>
        <v>0</v>
      </c>
      <c r="Y220" s="98">
        <f ca="1">IF(C220&gt;=1,X220*VLOOKUP(E220,'Reeksen (N)'!$A$5:$B$76,2),0)</f>
        <v>0</v>
      </c>
      <c r="Z220" s="98">
        <f ca="1">(1-('Invoer gegevens (N)'!$F$20/12))*X220*MIN('Reeksen (N)'!B220,'Reeksen (N)'!D220)</f>
        <v>0</v>
      </c>
      <c r="AA220" s="98">
        <f>IF('Reeksen (N)'!D220&gt;='Reeksen (N)'!B220,0,IF('Reeksen (N)'!AD220&lt;='Reeksen (N)'!AE220,('Reeksen (N)'!B220-'Reeksen (N)'!D220)*X220,0))</f>
        <v>0</v>
      </c>
      <c r="AB220" s="98">
        <f>IF('Reeksen (N)'!D220&gt;='Reeksen (N)'!B220,0,IF('Reeksen (N)'!AD220&gt;'Reeksen (N)'!AE220,('Reeksen (N)'!B220-'Reeksen (N)'!D220)*X220,0))</f>
        <v>0</v>
      </c>
      <c r="AC220" s="99">
        <f t="shared" ca="1" si="36"/>
        <v>0</v>
      </c>
      <c r="AD220" s="98">
        <f ca="1">IF('Invoer gegevens (N)'!$C$17=E220,R220,IF(C220=0,0,AE219))</f>
        <v>0</v>
      </c>
      <c r="AE220" s="98">
        <f t="shared" ca="1" si="37"/>
        <v>0</v>
      </c>
      <c r="AF220" s="98">
        <f ca="1">IF('Invoer gegevens (N)'!$C$17=E220,X220,IF(C220=0,0,AG219))</f>
        <v>0</v>
      </c>
      <c r="AG220" s="98">
        <f t="shared" ca="1" si="38"/>
        <v>0</v>
      </c>
      <c r="AH220" s="66"/>
      <c r="AI220" s="71">
        <f ca="1">IF(C220=1,'Reeksen (N)'!AI220*((F220-G220+F220)/2)*12+'Reeksen (N)'!AD220*((L220-M220+L220)/2)*12,0)</f>
        <v>0</v>
      </c>
      <c r="AJ220" s="71">
        <f ca="1">-AI220*'Invoer gegevens (N)'!$F$28</f>
        <v>0</v>
      </c>
      <c r="AK220" s="71">
        <f t="shared" ca="1" si="39"/>
        <v>0</v>
      </c>
      <c r="AL220" s="71">
        <f ca="1">IF(C220=1,'Reeksen (N)'!AL220*((F220-G220+F220)/2)*12+'Reeksen (N)'!AM220*((L220-M220+L220)/2)*12,0)</f>
        <v>0</v>
      </c>
      <c r="AM220" s="71">
        <f ca="1">-AL220*'Invoer gegevens (N)'!$F$31</f>
        <v>0</v>
      </c>
      <c r="AN220" s="71">
        <f t="shared" ca="1" si="40"/>
        <v>0</v>
      </c>
      <c r="AO220" s="71">
        <f ca="1">IF(C220=1,(H220+J220+N220+P220)*'Reeksen (N)'!AN220,0)</f>
        <v>0</v>
      </c>
      <c r="AP220" s="71">
        <f ca="1">-IF(C220=1,(H220+J220+N220+P220)*'Hulp - basis'!$O$550*'Reeksen (N)'!H220,0)</f>
        <v>0</v>
      </c>
      <c r="AQ220" s="71">
        <f ca="1">-IF(C220=1,(F220+K220+L220+Q220)/2*'Invoer gegevens (N)'!$F$35*'Reeksen (N)'!J220,0)*2</f>
        <v>0</v>
      </c>
      <c r="AR220" s="71"/>
      <c r="AS220" s="71">
        <f ca="1">-IF(C220=1,(F220+K220+L220+Q220)/2*'Invoer gegevens (N)'!$F$37*'Reeksen (N)'!L220,0)</f>
        <v>0</v>
      </c>
      <c r="AT220" s="71">
        <f ca="1">-IF(C220=1,IF(E220='Invoer gegevens (N)'!$C$17,'Invoer gegevens (N)'!$C$11,AD220)*'Reeksen (N)'!S220*'Invoer gegevens (N)'!$C$18*'Reeksen (N)'!P220,0)</f>
        <v>0</v>
      </c>
      <c r="AU220" s="71">
        <f ca="1">-IF(C220=1,(F220+K220+L220+Q220)/2*'Invoer gegevens (N)'!$F$38*'Reeksen (N)'!H220,0)</f>
        <v>0</v>
      </c>
      <c r="AV220" s="71">
        <v>0</v>
      </c>
      <c r="AW220" s="71">
        <f t="shared" ca="1" si="41"/>
        <v>0</v>
      </c>
      <c r="AX220" s="71">
        <f ca="1">IF(E220&lt;'Invoer gegevens (N)'!$C$17+15,0,IF(E220&gt;'Invoer gegevens (N)'!$C$17+215,0,AW220))</f>
        <v>0</v>
      </c>
      <c r="AY220" s="71">
        <f ca="1">AX220/(1+'Invoer gegevens (N)'!$F$18)^($AZ220-('Invoer gegevens (N)'!$C$17-'Invoer gegevens (N)'!$C$16))/(1+'Invoer gegevens (N)'!$C$39)^('Invoer gegevens (N)'!$C$17-'Invoer gegevens (N)'!$C$16)</f>
        <v>0</v>
      </c>
      <c r="AZ220" s="68">
        <f ca="1">IF(E220-'Invoer gegevens (N)'!$C$17-14.5&lt;0,0,E220-'Invoer gegevens (N)'!$C$17-14.5)</f>
        <v>200.5</v>
      </c>
    </row>
    <row r="221" spans="1:52" x14ac:dyDescent="0.25">
      <c r="A221" s="59"/>
      <c r="B221" s="70">
        <f t="shared" si="42"/>
        <v>217</v>
      </c>
      <c r="C221" s="67">
        <f ca="1">IF(E221-'Invoer gegevens (N)'!$C$17&lt;0,0,1)</f>
        <v>1</v>
      </c>
      <c r="D221" s="68">
        <f t="shared" si="43"/>
        <v>216.5</v>
      </c>
      <c r="E221" s="69">
        <f ca="1">IF('Invoer gegevens (N)'!$C$16="","",E220+1)</f>
        <v>2235</v>
      </c>
      <c r="F221" s="84">
        <f ca="1">IF('Invoer gegevens (N)'!$C$17=E221,'Invoer gegevens (N)'!$C$10,IF(C221=1,K220,0))</f>
        <v>0</v>
      </c>
      <c r="G221" s="96">
        <f ca="1">IF(C221&gt;=1,F221*VLOOKUP(E221,'Reeksen (N)'!$A$5:$B$76,2),0)</f>
        <v>0</v>
      </c>
      <c r="H221" s="84">
        <f ca="1">(1-('Invoer gegevens (N)'!$F$20/12))*F221*MIN('Reeksen (N)'!B221,'Reeksen (N)'!D221)</f>
        <v>0</v>
      </c>
      <c r="I221" s="84">
        <f>IF('Reeksen (N)'!D221&lt;'Reeksen (N)'!B221,('Reeksen (N)'!B221-'Reeksen (N)'!D221)*F221,0)</f>
        <v>0</v>
      </c>
      <c r="J221" s="84">
        <f ca="1">('Invoer gegevens (N)'!$F$20/12)*F220*MIN('Reeksen (N)'!B220,'Reeksen (N)'!D220)</f>
        <v>0</v>
      </c>
      <c r="K221" s="97">
        <f t="shared" ca="1" si="33"/>
        <v>0</v>
      </c>
      <c r="L221" s="84">
        <f ca="1">IF('Invoer gegevens (N)'!$C$17=E221,0,IF(C221=1,Q220,0))</f>
        <v>0</v>
      </c>
      <c r="M221" s="96">
        <f ca="1">IF(C221&gt;=1,L221*VLOOKUP(E221,'Reeksen (N)'!$A$5:$B$76,2),0)</f>
        <v>0</v>
      </c>
      <c r="N221" s="84">
        <f ca="1">(1-('Invoer gegevens (N)'!$F$20/12))*L221*MIN('Reeksen (N)'!B221,'Reeksen (N)'!D221)</f>
        <v>0</v>
      </c>
      <c r="O221" s="84">
        <f>IF('Reeksen (N)'!D221&lt;'Reeksen (N)'!B221,('Reeksen (N)'!B221-'Reeksen (N)'!D221)*L221,0)</f>
        <v>0</v>
      </c>
      <c r="P221" s="84">
        <f ca="1">('Invoer gegevens (N)'!$F$20/12)*L220*MIN('Reeksen (N)'!B220,'Reeksen (N)'!D220)</f>
        <v>0</v>
      </c>
      <c r="Q221" s="84">
        <f t="shared" ca="1" si="34"/>
        <v>0</v>
      </c>
      <c r="R221" s="82">
        <f ca="1">IF('Invoer gegevens (N)'!$C$17=E221,'Invoer gegevens (N)'!$C$11,IF(C221=1,W220,0))</f>
        <v>0</v>
      </c>
      <c r="S221" s="86">
        <f ca="1">IF(C221&gt;=1,R221*VLOOKUP(E221,'Reeksen (N)'!$A$5:$B$76,2),0)</f>
        <v>0</v>
      </c>
      <c r="T221" s="84">
        <f ca="1">(1-('Invoer gegevens (N)'!$F$20/12))*R221*MIN('Reeksen (N)'!B221,'Reeksen (N)'!D221)</f>
        <v>0</v>
      </c>
      <c r="U221" s="84">
        <f>IF('Reeksen (N)'!D221&gt;='Reeksen (N)'!B221,0,IF('Reeksen (N)'!AD221&lt;='Reeksen (N)'!AE221,('Reeksen (N)'!B221-'Reeksen (N)'!D221)*R221,0))</f>
        <v>0</v>
      </c>
      <c r="V221" s="86">
        <f>IF('Reeksen (N)'!D221&gt;='Reeksen (N)'!B221,0,IF('Reeksen (N)'!AD221&gt;'Reeksen (N)'!AE221,('Reeksen (N)'!B221-'Reeksen (N)'!D221)*R221,0))</f>
        <v>0</v>
      </c>
      <c r="W221" s="97">
        <f t="shared" ca="1" si="35"/>
        <v>0</v>
      </c>
      <c r="X221" s="98">
        <f ca="1">IF('Invoer gegevens (N)'!$C$17=E221,'Invoer gegevens (N)'!$C$10-'Invoer gegevens (N)'!$C$11,IF(C221=1,AC220,0))</f>
        <v>0</v>
      </c>
      <c r="Y221" s="98">
        <f ca="1">IF(C221&gt;=1,X221*VLOOKUP(E221,'Reeksen (N)'!$A$5:$B$76,2),0)</f>
        <v>0</v>
      </c>
      <c r="Z221" s="98">
        <f ca="1">(1-('Invoer gegevens (N)'!$F$20/12))*X221*MIN('Reeksen (N)'!B221,'Reeksen (N)'!D221)</f>
        <v>0</v>
      </c>
      <c r="AA221" s="98">
        <f>IF('Reeksen (N)'!D221&gt;='Reeksen (N)'!B221,0,IF('Reeksen (N)'!AD221&lt;='Reeksen (N)'!AE221,('Reeksen (N)'!B221-'Reeksen (N)'!D221)*X221,0))</f>
        <v>0</v>
      </c>
      <c r="AB221" s="98">
        <f>IF('Reeksen (N)'!D221&gt;='Reeksen (N)'!B221,0,IF('Reeksen (N)'!AD221&gt;'Reeksen (N)'!AE221,('Reeksen (N)'!B221-'Reeksen (N)'!D221)*X221,0))</f>
        <v>0</v>
      </c>
      <c r="AC221" s="99">
        <f t="shared" ca="1" si="36"/>
        <v>0</v>
      </c>
      <c r="AD221" s="98">
        <f ca="1">IF('Invoer gegevens (N)'!$C$17=E221,R221,IF(C221=0,0,AE220))</f>
        <v>0</v>
      </c>
      <c r="AE221" s="98">
        <f t="shared" ca="1" si="37"/>
        <v>0</v>
      </c>
      <c r="AF221" s="98">
        <f ca="1">IF('Invoer gegevens (N)'!$C$17=E221,X221,IF(C221=0,0,AG220))</f>
        <v>0</v>
      </c>
      <c r="AG221" s="98">
        <f t="shared" ca="1" si="38"/>
        <v>0</v>
      </c>
      <c r="AH221" s="66"/>
      <c r="AI221" s="71">
        <f ca="1">IF(C221=1,'Reeksen (N)'!AI221*((F221-G221+F221)/2)*12+'Reeksen (N)'!AD221*((L221-M221+L221)/2)*12,0)</f>
        <v>0</v>
      </c>
      <c r="AJ221" s="71">
        <f ca="1">-AI221*'Invoer gegevens (N)'!$F$28</f>
        <v>0</v>
      </c>
      <c r="AK221" s="71">
        <f t="shared" ca="1" si="39"/>
        <v>0</v>
      </c>
      <c r="AL221" s="71">
        <f ca="1">IF(C221=1,'Reeksen (N)'!AL221*((F221-G221+F221)/2)*12+'Reeksen (N)'!AM221*((L221-M221+L221)/2)*12,0)</f>
        <v>0</v>
      </c>
      <c r="AM221" s="71">
        <f ca="1">-AL221*'Invoer gegevens (N)'!$F$31</f>
        <v>0</v>
      </c>
      <c r="AN221" s="71">
        <f t="shared" ca="1" si="40"/>
        <v>0</v>
      </c>
      <c r="AO221" s="71">
        <f ca="1">IF(C221=1,(H221+J221+N221+P221)*'Reeksen (N)'!AN221,0)</f>
        <v>0</v>
      </c>
      <c r="AP221" s="71">
        <f ca="1">-IF(C221=1,(H221+J221+N221+P221)*'Hulp - basis'!$O$550*'Reeksen (N)'!H221,0)</f>
        <v>0</v>
      </c>
      <c r="AQ221" s="71">
        <f ca="1">-IF(C221=1,(F221+K221+L221+Q221)/2*'Invoer gegevens (N)'!$F$35*'Reeksen (N)'!J221,0)*2</f>
        <v>0</v>
      </c>
      <c r="AR221" s="71"/>
      <c r="AS221" s="71">
        <f ca="1">-IF(C221=1,(F221+K221+L221+Q221)/2*'Invoer gegevens (N)'!$F$37*'Reeksen (N)'!L221,0)</f>
        <v>0</v>
      </c>
      <c r="AT221" s="71">
        <f ca="1">-IF(C221=1,IF(E221='Invoer gegevens (N)'!$C$17,'Invoer gegevens (N)'!$C$11,AD221)*'Reeksen (N)'!S221*'Invoer gegevens (N)'!$C$18*'Reeksen (N)'!P221,0)</f>
        <v>0</v>
      </c>
      <c r="AU221" s="71">
        <f ca="1">-IF(C221=1,(F221+K221+L221+Q221)/2*'Invoer gegevens (N)'!$F$38*'Reeksen (N)'!H221,0)</f>
        <v>0</v>
      </c>
      <c r="AV221" s="71">
        <v>0</v>
      </c>
      <c r="AW221" s="71">
        <f t="shared" ca="1" si="41"/>
        <v>0</v>
      </c>
      <c r="AX221" s="71">
        <f ca="1">IF(E221&lt;'Invoer gegevens (N)'!$C$17+15,0,IF(E221&gt;'Invoer gegevens (N)'!$C$17+215,0,AW221))</f>
        <v>0</v>
      </c>
      <c r="AY221" s="71">
        <f ca="1">AX221/(1+'Invoer gegevens (N)'!$F$18)^($AZ221-('Invoer gegevens (N)'!$C$17-'Invoer gegevens (N)'!$C$16))/(1+'Invoer gegevens (N)'!$C$39)^('Invoer gegevens (N)'!$C$17-'Invoer gegevens (N)'!$C$16)</f>
        <v>0</v>
      </c>
      <c r="AZ221" s="68">
        <f ca="1">IF(E221-'Invoer gegevens (N)'!$C$17-14.5&lt;0,0,E221-'Invoer gegevens (N)'!$C$17-14.5)</f>
        <v>201.5</v>
      </c>
    </row>
    <row r="222" spans="1:52" x14ac:dyDescent="0.25">
      <c r="A222" s="59"/>
      <c r="B222" s="70">
        <f t="shared" si="42"/>
        <v>218</v>
      </c>
      <c r="C222" s="67">
        <f ca="1">IF(E222-'Invoer gegevens (N)'!$C$17&lt;0,0,1)</f>
        <v>1</v>
      </c>
      <c r="D222" s="68">
        <f t="shared" si="43"/>
        <v>217.5</v>
      </c>
      <c r="E222" s="69">
        <f ca="1">IF('Invoer gegevens (N)'!$C$16="","",E221+1)</f>
        <v>2236</v>
      </c>
      <c r="F222" s="84">
        <f ca="1">IF('Invoer gegevens (N)'!$C$17=E222,'Invoer gegevens (N)'!$C$10,IF(C222=1,K221,0))</f>
        <v>0</v>
      </c>
      <c r="G222" s="96">
        <f ca="1">IF(C222&gt;=1,F222*VLOOKUP(E222,'Reeksen (N)'!$A$5:$B$76,2),0)</f>
        <v>0</v>
      </c>
      <c r="H222" s="84">
        <f ca="1">(1-('Invoer gegevens (N)'!$F$20/12))*F222*MIN('Reeksen (N)'!B222,'Reeksen (N)'!D222)</f>
        <v>0</v>
      </c>
      <c r="I222" s="84">
        <f>IF('Reeksen (N)'!D222&lt;'Reeksen (N)'!B222,('Reeksen (N)'!B222-'Reeksen (N)'!D222)*F222,0)</f>
        <v>0</v>
      </c>
      <c r="J222" s="84">
        <f ca="1">('Invoer gegevens (N)'!$F$20/12)*F221*MIN('Reeksen (N)'!B221,'Reeksen (N)'!D221)</f>
        <v>0</v>
      </c>
      <c r="K222" s="97">
        <f t="shared" ca="1" si="33"/>
        <v>0</v>
      </c>
      <c r="L222" s="84">
        <f ca="1">IF('Invoer gegevens (N)'!$C$17=E222,0,IF(C222=1,Q221,0))</f>
        <v>0</v>
      </c>
      <c r="M222" s="96">
        <f ca="1">IF(C222&gt;=1,L222*VLOOKUP(E222,'Reeksen (N)'!$A$5:$B$76,2),0)</f>
        <v>0</v>
      </c>
      <c r="N222" s="84">
        <f ca="1">(1-('Invoer gegevens (N)'!$F$20/12))*L222*MIN('Reeksen (N)'!B222,'Reeksen (N)'!D222)</f>
        <v>0</v>
      </c>
      <c r="O222" s="84">
        <f>IF('Reeksen (N)'!D222&lt;'Reeksen (N)'!B222,('Reeksen (N)'!B222-'Reeksen (N)'!D222)*L222,0)</f>
        <v>0</v>
      </c>
      <c r="P222" s="84">
        <f ca="1">('Invoer gegevens (N)'!$F$20/12)*L221*MIN('Reeksen (N)'!B221,'Reeksen (N)'!D221)</f>
        <v>0</v>
      </c>
      <c r="Q222" s="84">
        <f t="shared" ca="1" si="34"/>
        <v>0</v>
      </c>
      <c r="R222" s="82">
        <f ca="1">IF('Invoer gegevens (N)'!$C$17=E222,'Invoer gegevens (N)'!$C$11,IF(C222=1,W221,0))</f>
        <v>0</v>
      </c>
      <c r="S222" s="86">
        <f ca="1">IF(C222&gt;=1,R222*VLOOKUP(E222,'Reeksen (N)'!$A$5:$B$76,2),0)</f>
        <v>0</v>
      </c>
      <c r="T222" s="84">
        <f ca="1">(1-('Invoer gegevens (N)'!$F$20/12))*R222*MIN('Reeksen (N)'!B222,'Reeksen (N)'!D222)</f>
        <v>0</v>
      </c>
      <c r="U222" s="84">
        <f>IF('Reeksen (N)'!D222&gt;='Reeksen (N)'!B222,0,IF('Reeksen (N)'!AD222&lt;='Reeksen (N)'!AE222,('Reeksen (N)'!B222-'Reeksen (N)'!D222)*R222,0))</f>
        <v>0</v>
      </c>
      <c r="V222" s="86">
        <f>IF('Reeksen (N)'!D222&gt;='Reeksen (N)'!B222,0,IF('Reeksen (N)'!AD222&gt;'Reeksen (N)'!AE222,('Reeksen (N)'!B222-'Reeksen (N)'!D222)*R222,0))</f>
        <v>0</v>
      </c>
      <c r="W222" s="97">
        <f t="shared" ca="1" si="35"/>
        <v>0</v>
      </c>
      <c r="X222" s="98">
        <f ca="1">IF('Invoer gegevens (N)'!$C$17=E222,'Invoer gegevens (N)'!$C$10-'Invoer gegevens (N)'!$C$11,IF(C222=1,AC221,0))</f>
        <v>0</v>
      </c>
      <c r="Y222" s="98">
        <f ca="1">IF(C222&gt;=1,X222*VLOOKUP(E222,'Reeksen (N)'!$A$5:$B$76,2),0)</f>
        <v>0</v>
      </c>
      <c r="Z222" s="98">
        <f ca="1">(1-('Invoer gegevens (N)'!$F$20/12))*X222*MIN('Reeksen (N)'!B222,'Reeksen (N)'!D222)</f>
        <v>0</v>
      </c>
      <c r="AA222" s="98">
        <f>IF('Reeksen (N)'!D222&gt;='Reeksen (N)'!B222,0,IF('Reeksen (N)'!AD222&lt;='Reeksen (N)'!AE222,('Reeksen (N)'!B222-'Reeksen (N)'!D222)*X222,0))</f>
        <v>0</v>
      </c>
      <c r="AB222" s="98">
        <f>IF('Reeksen (N)'!D222&gt;='Reeksen (N)'!B222,0,IF('Reeksen (N)'!AD222&gt;'Reeksen (N)'!AE222,('Reeksen (N)'!B222-'Reeksen (N)'!D222)*X222,0))</f>
        <v>0</v>
      </c>
      <c r="AC222" s="99">
        <f t="shared" ca="1" si="36"/>
        <v>0</v>
      </c>
      <c r="AD222" s="98">
        <f ca="1">IF('Invoer gegevens (N)'!$C$17=E222,R222,IF(C222=0,0,AE221))</f>
        <v>0</v>
      </c>
      <c r="AE222" s="98">
        <f t="shared" ca="1" si="37"/>
        <v>0</v>
      </c>
      <c r="AF222" s="98">
        <f ca="1">IF('Invoer gegevens (N)'!$C$17=E222,X222,IF(C222=0,0,AG221))</f>
        <v>0</v>
      </c>
      <c r="AG222" s="98">
        <f t="shared" ca="1" si="38"/>
        <v>0</v>
      </c>
      <c r="AH222" s="66"/>
      <c r="AI222" s="71">
        <f ca="1">IF(C222=1,'Reeksen (N)'!AI222*((F222-G222+F222)/2)*12+'Reeksen (N)'!AD222*((L222-M222+L222)/2)*12,0)</f>
        <v>0</v>
      </c>
      <c r="AJ222" s="71">
        <f ca="1">-AI222*'Invoer gegevens (N)'!$F$28</f>
        <v>0</v>
      </c>
      <c r="AK222" s="71">
        <f t="shared" ca="1" si="39"/>
        <v>0</v>
      </c>
      <c r="AL222" s="71">
        <f ca="1">IF(C222=1,'Reeksen (N)'!AL222*((F222-G222+F222)/2)*12+'Reeksen (N)'!AM222*((L222-M222+L222)/2)*12,0)</f>
        <v>0</v>
      </c>
      <c r="AM222" s="71">
        <f ca="1">-AL222*'Invoer gegevens (N)'!$F$31</f>
        <v>0</v>
      </c>
      <c r="AN222" s="71">
        <f t="shared" ca="1" si="40"/>
        <v>0</v>
      </c>
      <c r="AO222" s="71">
        <f ca="1">IF(C222=1,(H222+J222+N222+P222)*'Reeksen (N)'!AN222,0)</f>
        <v>0</v>
      </c>
      <c r="AP222" s="71">
        <f ca="1">-IF(C222=1,(H222+J222+N222+P222)*'Hulp - basis'!$O$550*'Reeksen (N)'!H222,0)</f>
        <v>0</v>
      </c>
      <c r="AQ222" s="71">
        <f ca="1">-IF(C222=1,(F222+K222+L222+Q222)/2*'Invoer gegevens (N)'!$F$35*'Reeksen (N)'!J222,0)*2</f>
        <v>0</v>
      </c>
      <c r="AR222" s="71"/>
      <c r="AS222" s="71">
        <f ca="1">-IF(C222=1,(F222+K222+L222+Q222)/2*'Invoer gegevens (N)'!$F$37*'Reeksen (N)'!L222,0)</f>
        <v>0</v>
      </c>
      <c r="AT222" s="71">
        <f ca="1">-IF(C222=1,IF(E222='Invoer gegevens (N)'!$C$17,'Invoer gegevens (N)'!$C$11,AD222)*'Reeksen (N)'!S222*'Invoer gegevens (N)'!$C$18*'Reeksen (N)'!P222,0)</f>
        <v>0</v>
      </c>
      <c r="AU222" s="71">
        <f ca="1">-IF(C222=1,(F222+K222+L222+Q222)/2*'Invoer gegevens (N)'!$F$38*'Reeksen (N)'!H222,0)</f>
        <v>0</v>
      </c>
      <c r="AV222" s="71">
        <v>0</v>
      </c>
      <c r="AW222" s="71">
        <f t="shared" ca="1" si="41"/>
        <v>0</v>
      </c>
      <c r="AX222" s="71">
        <f ca="1">IF(E222&lt;'Invoer gegevens (N)'!$C$17+15,0,IF(E222&gt;'Invoer gegevens (N)'!$C$17+215,0,AW222))</f>
        <v>0</v>
      </c>
      <c r="AY222" s="71">
        <f ca="1">AX222/(1+'Invoer gegevens (N)'!$F$18)^($AZ222-('Invoer gegevens (N)'!$C$17-'Invoer gegevens (N)'!$C$16))/(1+'Invoer gegevens (N)'!$C$39)^('Invoer gegevens (N)'!$C$17-'Invoer gegevens (N)'!$C$16)</f>
        <v>0</v>
      </c>
      <c r="AZ222" s="68">
        <f ca="1">IF(E222-'Invoer gegevens (N)'!$C$17-14.5&lt;0,0,E222-'Invoer gegevens (N)'!$C$17-14.5)</f>
        <v>202.5</v>
      </c>
    </row>
    <row r="223" spans="1:52" x14ac:dyDescent="0.25">
      <c r="A223" s="59"/>
      <c r="B223" s="70">
        <f t="shared" si="42"/>
        <v>219</v>
      </c>
      <c r="C223" s="67">
        <f ca="1">IF(E223-'Invoer gegevens (N)'!$C$17&lt;0,0,1)</f>
        <v>1</v>
      </c>
      <c r="D223" s="68">
        <f t="shared" si="43"/>
        <v>218.5</v>
      </c>
      <c r="E223" s="69">
        <f ca="1">IF('Invoer gegevens (N)'!$C$16="","",E222+1)</f>
        <v>2237</v>
      </c>
      <c r="F223" s="84">
        <f ca="1">IF('Invoer gegevens (N)'!$C$17=E223,'Invoer gegevens (N)'!$C$10,IF(C223=1,K222,0))</f>
        <v>0</v>
      </c>
      <c r="G223" s="96">
        <f ca="1">IF(C223&gt;=1,F223*VLOOKUP(E223,'Reeksen (N)'!$A$5:$B$76,2),0)</f>
        <v>0</v>
      </c>
      <c r="H223" s="84">
        <f ca="1">(1-('Invoer gegevens (N)'!$F$20/12))*F223*MIN('Reeksen (N)'!B223,'Reeksen (N)'!D223)</f>
        <v>0</v>
      </c>
      <c r="I223" s="84">
        <f>IF('Reeksen (N)'!D223&lt;'Reeksen (N)'!B223,('Reeksen (N)'!B223-'Reeksen (N)'!D223)*F223,0)</f>
        <v>0</v>
      </c>
      <c r="J223" s="84">
        <f ca="1">('Invoer gegevens (N)'!$F$20/12)*F222*MIN('Reeksen (N)'!B222,'Reeksen (N)'!D222)</f>
        <v>0</v>
      </c>
      <c r="K223" s="97">
        <f t="shared" ca="1" si="33"/>
        <v>0</v>
      </c>
      <c r="L223" s="84">
        <f ca="1">IF('Invoer gegevens (N)'!$C$17=E223,0,IF(C223=1,Q222,0))</f>
        <v>0</v>
      </c>
      <c r="M223" s="96">
        <f ca="1">IF(C223&gt;=1,L223*VLOOKUP(E223,'Reeksen (N)'!$A$5:$B$76,2),0)</f>
        <v>0</v>
      </c>
      <c r="N223" s="84">
        <f ca="1">(1-('Invoer gegevens (N)'!$F$20/12))*L223*MIN('Reeksen (N)'!B223,'Reeksen (N)'!D223)</f>
        <v>0</v>
      </c>
      <c r="O223" s="84">
        <f>IF('Reeksen (N)'!D223&lt;'Reeksen (N)'!B223,('Reeksen (N)'!B223-'Reeksen (N)'!D223)*L223,0)</f>
        <v>0</v>
      </c>
      <c r="P223" s="84">
        <f ca="1">('Invoer gegevens (N)'!$F$20/12)*L222*MIN('Reeksen (N)'!B222,'Reeksen (N)'!D222)</f>
        <v>0</v>
      </c>
      <c r="Q223" s="84">
        <f t="shared" ca="1" si="34"/>
        <v>0</v>
      </c>
      <c r="R223" s="82">
        <f ca="1">IF('Invoer gegevens (N)'!$C$17=E223,'Invoer gegevens (N)'!$C$11,IF(C223=1,W222,0))</f>
        <v>0</v>
      </c>
      <c r="S223" s="86">
        <f ca="1">IF(C223&gt;=1,R223*VLOOKUP(E223,'Reeksen (N)'!$A$5:$B$76,2),0)</f>
        <v>0</v>
      </c>
      <c r="T223" s="84">
        <f ca="1">(1-('Invoer gegevens (N)'!$F$20/12))*R223*MIN('Reeksen (N)'!B223,'Reeksen (N)'!D223)</f>
        <v>0</v>
      </c>
      <c r="U223" s="84">
        <f>IF('Reeksen (N)'!D223&gt;='Reeksen (N)'!B223,0,IF('Reeksen (N)'!AD223&lt;='Reeksen (N)'!AE223,('Reeksen (N)'!B223-'Reeksen (N)'!D223)*R223,0))</f>
        <v>0</v>
      </c>
      <c r="V223" s="86">
        <f>IF('Reeksen (N)'!D223&gt;='Reeksen (N)'!B223,0,IF('Reeksen (N)'!AD223&gt;'Reeksen (N)'!AE223,('Reeksen (N)'!B223-'Reeksen (N)'!D223)*R223,0))</f>
        <v>0</v>
      </c>
      <c r="W223" s="97">
        <f t="shared" ca="1" si="35"/>
        <v>0</v>
      </c>
      <c r="X223" s="98">
        <f ca="1">IF('Invoer gegevens (N)'!$C$17=E223,'Invoer gegevens (N)'!$C$10-'Invoer gegevens (N)'!$C$11,IF(C223=1,AC222,0))</f>
        <v>0</v>
      </c>
      <c r="Y223" s="98">
        <f ca="1">IF(C223&gt;=1,X223*VLOOKUP(E223,'Reeksen (N)'!$A$5:$B$76,2),0)</f>
        <v>0</v>
      </c>
      <c r="Z223" s="98">
        <f ca="1">(1-('Invoer gegevens (N)'!$F$20/12))*X223*MIN('Reeksen (N)'!B223,'Reeksen (N)'!D223)</f>
        <v>0</v>
      </c>
      <c r="AA223" s="98">
        <f>IF('Reeksen (N)'!D223&gt;='Reeksen (N)'!B223,0,IF('Reeksen (N)'!AD223&lt;='Reeksen (N)'!AE223,('Reeksen (N)'!B223-'Reeksen (N)'!D223)*X223,0))</f>
        <v>0</v>
      </c>
      <c r="AB223" s="98">
        <f>IF('Reeksen (N)'!D223&gt;='Reeksen (N)'!B223,0,IF('Reeksen (N)'!AD223&gt;'Reeksen (N)'!AE223,('Reeksen (N)'!B223-'Reeksen (N)'!D223)*X223,0))</f>
        <v>0</v>
      </c>
      <c r="AC223" s="99">
        <f t="shared" ca="1" si="36"/>
        <v>0</v>
      </c>
      <c r="AD223" s="98">
        <f ca="1">IF('Invoer gegevens (N)'!$C$17=E223,R223,IF(C223=0,0,AE222))</f>
        <v>0</v>
      </c>
      <c r="AE223" s="98">
        <f t="shared" ca="1" si="37"/>
        <v>0</v>
      </c>
      <c r="AF223" s="98">
        <f ca="1">IF('Invoer gegevens (N)'!$C$17=E223,X223,IF(C223=0,0,AG222))</f>
        <v>0</v>
      </c>
      <c r="AG223" s="98">
        <f t="shared" ca="1" si="38"/>
        <v>0</v>
      </c>
      <c r="AH223" s="66"/>
      <c r="AI223" s="71">
        <f ca="1">IF(C223=1,'Reeksen (N)'!AI223*((F223-G223+F223)/2)*12+'Reeksen (N)'!AD223*((L223-M223+L223)/2)*12,0)</f>
        <v>0</v>
      </c>
      <c r="AJ223" s="71">
        <f ca="1">-AI223*'Invoer gegevens (N)'!$F$28</f>
        <v>0</v>
      </c>
      <c r="AK223" s="71">
        <f t="shared" ca="1" si="39"/>
        <v>0</v>
      </c>
      <c r="AL223" s="71">
        <f ca="1">IF(C223=1,'Reeksen (N)'!AL223*((F223-G223+F223)/2)*12+'Reeksen (N)'!AM223*((L223-M223+L223)/2)*12,0)</f>
        <v>0</v>
      </c>
      <c r="AM223" s="71">
        <f ca="1">-AL223*'Invoer gegevens (N)'!$F$31</f>
        <v>0</v>
      </c>
      <c r="AN223" s="71">
        <f t="shared" ca="1" si="40"/>
        <v>0</v>
      </c>
      <c r="AO223" s="71">
        <f ca="1">IF(C223=1,(H223+J223+N223+P223)*'Reeksen (N)'!AN223,0)</f>
        <v>0</v>
      </c>
      <c r="AP223" s="71">
        <f ca="1">-IF(C223=1,(H223+J223+N223+P223)*'Hulp - basis'!$O$550*'Reeksen (N)'!H223,0)</f>
        <v>0</v>
      </c>
      <c r="AQ223" s="71">
        <f ca="1">-IF(C223=1,(F223+K223+L223+Q223)/2*'Invoer gegevens (N)'!$F$35*'Reeksen (N)'!J223,0)*2</f>
        <v>0</v>
      </c>
      <c r="AR223" s="71"/>
      <c r="AS223" s="71">
        <f ca="1">-IF(C223=1,(F223+K223+L223+Q223)/2*'Invoer gegevens (N)'!$F$37*'Reeksen (N)'!L223,0)</f>
        <v>0</v>
      </c>
      <c r="AT223" s="71">
        <f ca="1">-IF(C223=1,IF(E223='Invoer gegevens (N)'!$C$17,'Invoer gegevens (N)'!$C$11,AD223)*'Reeksen (N)'!S223*'Invoer gegevens (N)'!$C$18*'Reeksen (N)'!P223,0)</f>
        <v>0</v>
      </c>
      <c r="AU223" s="71">
        <f ca="1">-IF(C223=1,(F223+K223+L223+Q223)/2*'Invoer gegevens (N)'!$F$38*'Reeksen (N)'!H223,0)</f>
        <v>0</v>
      </c>
      <c r="AV223" s="71">
        <v>0</v>
      </c>
      <c r="AW223" s="71">
        <f t="shared" ca="1" si="41"/>
        <v>0</v>
      </c>
      <c r="AX223" s="71">
        <f ca="1">IF(E223&lt;'Invoer gegevens (N)'!$C$17+15,0,IF(E223&gt;'Invoer gegevens (N)'!$C$17+215,0,AW223))</f>
        <v>0</v>
      </c>
      <c r="AY223" s="71">
        <f ca="1">AX223/(1+'Invoer gegevens (N)'!$F$18)^($AZ223-('Invoer gegevens (N)'!$C$17-'Invoer gegevens (N)'!$C$16))/(1+'Invoer gegevens (N)'!$C$39)^('Invoer gegevens (N)'!$C$17-'Invoer gegevens (N)'!$C$16)</f>
        <v>0</v>
      </c>
      <c r="AZ223" s="68">
        <f ca="1">IF(E223-'Invoer gegevens (N)'!$C$17-14.5&lt;0,0,E223-'Invoer gegevens (N)'!$C$17-14.5)</f>
        <v>203.5</v>
      </c>
    </row>
    <row r="224" spans="1:52" x14ac:dyDescent="0.25">
      <c r="A224" s="59"/>
      <c r="B224" s="70">
        <f t="shared" si="42"/>
        <v>220</v>
      </c>
      <c r="C224" s="67">
        <f ca="1">IF(E224-'Invoer gegevens (N)'!$C$17&lt;0,0,1)</f>
        <v>1</v>
      </c>
      <c r="D224" s="68">
        <f t="shared" si="43"/>
        <v>219.5</v>
      </c>
      <c r="E224" s="69">
        <f ca="1">IF('Invoer gegevens (N)'!$C$16="","",E223+1)</f>
        <v>2238</v>
      </c>
      <c r="F224" s="84">
        <f ca="1">IF('Invoer gegevens (N)'!$C$17=E224,'Invoer gegevens (N)'!$C$10,IF(C224=1,K223,0))</f>
        <v>0</v>
      </c>
      <c r="G224" s="96">
        <f ca="1">IF(C224&gt;=1,F224*VLOOKUP(E224,'Reeksen (N)'!$A$5:$B$76,2),0)</f>
        <v>0</v>
      </c>
      <c r="H224" s="84">
        <f ca="1">(1-('Invoer gegevens (N)'!$F$20/12))*F224*MIN('Reeksen (N)'!B224,'Reeksen (N)'!D224)</f>
        <v>0</v>
      </c>
      <c r="I224" s="84">
        <f>IF('Reeksen (N)'!D224&lt;'Reeksen (N)'!B224,('Reeksen (N)'!B224-'Reeksen (N)'!D224)*F224,0)</f>
        <v>0</v>
      </c>
      <c r="J224" s="84">
        <f ca="1">('Invoer gegevens (N)'!$F$20/12)*F223*MIN('Reeksen (N)'!B223,'Reeksen (N)'!D223)</f>
        <v>0</v>
      </c>
      <c r="K224" s="97">
        <f t="shared" ca="1" si="33"/>
        <v>0</v>
      </c>
      <c r="L224" s="84">
        <f ca="1">IF('Invoer gegevens (N)'!$C$17=E224,0,IF(C224=1,Q223,0))</f>
        <v>0</v>
      </c>
      <c r="M224" s="96">
        <f ca="1">IF(C224&gt;=1,L224*VLOOKUP(E224,'Reeksen (N)'!$A$5:$B$76,2),0)</f>
        <v>0</v>
      </c>
      <c r="N224" s="84">
        <f ca="1">(1-('Invoer gegevens (N)'!$F$20/12))*L224*MIN('Reeksen (N)'!B224,'Reeksen (N)'!D224)</f>
        <v>0</v>
      </c>
      <c r="O224" s="84">
        <f>IF('Reeksen (N)'!D224&lt;'Reeksen (N)'!B224,('Reeksen (N)'!B224-'Reeksen (N)'!D224)*L224,0)</f>
        <v>0</v>
      </c>
      <c r="P224" s="84">
        <f ca="1">('Invoer gegevens (N)'!$F$20/12)*L223*MIN('Reeksen (N)'!B223,'Reeksen (N)'!D223)</f>
        <v>0</v>
      </c>
      <c r="Q224" s="84">
        <f t="shared" ca="1" si="34"/>
        <v>0</v>
      </c>
      <c r="R224" s="82">
        <f ca="1">IF('Invoer gegevens (N)'!$C$17=E224,'Invoer gegevens (N)'!$C$11,IF(C224=1,W223,0))</f>
        <v>0</v>
      </c>
      <c r="S224" s="86">
        <f ca="1">IF(C224&gt;=1,R224*VLOOKUP(E224,'Reeksen (N)'!$A$5:$B$76,2),0)</f>
        <v>0</v>
      </c>
      <c r="T224" s="84">
        <f ca="1">(1-('Invoer gegevens (N)'!$F$20/12))*R224*MIN('Reeksen (N)'!B224,'Reeksen (N)'!D224)</f>
        <v>0</v>
      </c>
      <c r="U224" s="84">
        <f>IF('Reeksen (N)'!D224&gt;='Reeksen (N)'!B224,0,IF('Reeksen (N)'!AD224&lt;='Reeksen (N)'!AE224,('Reeksen (N)'!B224-'Reeksen (N)'!D224)*R224,0))</f>
        <v>0</v>
      </c>
      <c r="V224" s="86">
        <f>IF('Reeksen (N)'!D224&gt;='Reeksen (N)'!B224,0,IF('Reeksen (N)'!AD224&gt;'Reeksen (N)'!AE224,('Reeksen (N)'!B224-'Reeksen (N)'!D224)*R224,0))</f>
        <v>0</v>
      </c>
      <c r="W224" s="97">
        <f t="shared" ca="1" si="35"/>
        <v>0</v>
      </c>
      <c r="X224" s="98">
        <f ca="1">IF('Invoer gegevens (N)'!$C$17=E224,'Invoer gegevens (N)'!$C$10-'Invoer gegevens (N)'!$C$11,IF(C224=1,AC223,0))</f>
        <v>0</v>
      </c>
      <c r="Y224" s="98">
        <f ca="1">IF(C224&gt;=1,X224*VLOOKUP(E224,'Reeksen (N)'!$A$5:$B$76,2),0)</f>
        <v>0</v>
      </c>
      <c r="Z224" s="98">
        <f ca="1">(1-('Invoer gegevens (N)'!$F$20/12))*X224*MIN('Reeksen (N)'!B224,'Reeksen (N)'!D224)</f>
        <v>0</v>
      </c>
      <c r="AA224" s="98">
        <f>IF('Reeksen (N)'!D224&gt;='Reeksen (N)'!B224,0,IF('Reeksen (N)'!AD224&lt;='Reeksen (N)'!AE224,('Reeksen (N)'!B224-'Reeksen (N)'!D224)*X224,0))</f>
        <v>0</v>
      </c>
      <c r="AB224" s="98">
        <f>IF('Reeksen (N)'!D224&gt;='Reeksen (N)'!B224,0,IF('Reeksen (N)'!AD224&gt;'Reeksen (N)'!AE224,('Reeksen (N)'!B224-'Reeksen (N)'!D224)*X224,0))</f>
        <v>0</v>
      </c>
      <c r="AC224" s="99">
        <f t="shared" ca="1" si="36"/>
        <v>0</v>
      </c>
      <c r="AD224" s="98">
        <f ca="1">IF('Invoer gegevens (N)'!$C$17=E224,R224,IF(C224=0,0,AE223))</f>
        <v>0</v>
      </c>
      <c r="AE224" s="98">
        <f t="shared" ca="1" si="37"/>
        <v>0</v>
      </c>
      <c r="AF224" s="98">
        <f ca="1">IF('Invoer gegevens (N)'!$C$17=E224,X224,IF(C224=0,0,AG223))</f>
        <v>0</v>
      </c>
      <c r="AG224" s="98">
        <f t="shared" ca="1" si="38"/>
        <v>0</v>
      </c>
      <c r="AH224" s="66"/>
      <c r="AI224" s="71">
        <f ca="1">IF(C224=1,'Reeksen (N)'!AI224*((F224-G224+F224)/2)*12+'Reeksen (N)'!AD224*((L224-M224+L224)/2)*12,0)</f>
        <v>0</v>
      </c>
      <c r="AJ224" s="71">
        <f ca="1">-AI224*'Invoer gegevens (N)'!$F$28</f>
        <v>0</v>
      </c>
      <c r="AK224" s="71">
        <f t="shared" ca="1" si="39"/>
        <v>0</v>
      </c>
      <c r="AL224" s="71">
        <f ca="1">IF(C224=1,'Reeksen (N)'!AL224*((F224-G224+F224)/2)*12+'Reeksen (N)'!AM224*((L224-M224+L224)/2)*12,0)</f>
        <v>0</v>
      </c>
      <c r="AM224" s="71">
        <f ca="1">-AL224*'Invoer gegevens (N)'!$F$31</f>
        <v>0</v>
      </c>
      <c r="AN224" s="71">
        <f t="shared" ca="1" si="40"/>
        <v>0</v>
      </c>
      <c r="AO224" s="71">
        <f ca="1">IF(C224=1,(H224+J224+N224+P224)*'Reeksen (N)'!AN224,0)</f>
        <v>0</v>
      </c>
      <c r="AP224" s="71">
        <f ca="1">-IF(C224=1,(H224+J224+N224+P224)*'Hulp - basis'!$O$550*'Reeksen (N)'!H224,0)</f>
        <v>0</v>
      </c>
      <c r="AQ224" s="71">
        <f ca="1">-IF(C224=1,(F224+K224+L224+Q224)/2*'Invoer gegevens (N)'!$F$35*'Reeksen (N)'!J224,0)*2</f>
        <v>0</v>
      </c>
      <c r="AR224" s="71"/>
      <c r="AS224" s="71">
        <f ca="1">-IF(C224=1,(F224+K224+L224+Q224)/2*'Invoer gegevens (N)'!$F$37*'Reeksen (N)'!L224,0)</f>
        <v>0</v>
      </c>
      <c r="AT224" s="71">
        <f ca="1">-IF(C224=1,IF(E224='Invoer gegevens (N)'!$C$17,'Invoer gegevens (N)'!$C$11,AD224)*'Reeksen (N)'!S224*'Invoer gegevens (N)'!$C$18*'Reeksen (N)'!P224,0)</f>
        <v>0</v>
      </c>
      <c r="AU224" s="71">
        <f ca="1">-IF(C224=1,(F224+K224+L224+Q224)/2*'Invoer gegevens (N)'!$F$38*'Reeksen (N)'!H224,0)</f>
        <v>0</v>
      </c>
      <c r="AV224" s="71">
        <v>0</v>
      </c>
      <c r="AW224" s="71">
        <f t="shared" ca="1" si="41"/>
        <v>0</v>
      </c>
      <c r="AX224" s="71">
        <f ca="1">IF(E224&lt;'Invoer gegevens (N)'!$C$17+15,0,IF(E224&gt;'Invoer gegevens (N)'!$C$17+215,0,AW224))</f>
        <v>0</v>
      </c>
      <c r="AY224" s="71">
        <f ca="1">AX224/(1+'Invoer gegevens (N)'!$F$18)^($AZ224-('Invoer gegevens (N)'!$C$17-'Invoer gegevens (N)'!$C$16))/(1+'Invoer gegevens (N)'!$C$39)^('Invoer gegevens (N)'!$C$17-'Invoer gegevens (N)'!$C$16)</f>
        <v>0</v>
      </c>
      <c r="AZ224" s="68">
        <f ca="1">IF(E224-'Invoer gegevens (N)'!$C$17-14.5&lt;0,0,E224-'Invoer gegevens (N)'!$C$17-14.5)</f>
        <v>204.5</v>
      </c>
    </row>
    <row r="225" spans="1:52" x14ac:dyDescent="0.25">
      <c r="A225" s="59"/>
      <c r="B225" s="70">
        <f t="shared" si="42"/>
        <v>221</v>
      </c>
      <c r="C225" s="67">
        <f ca="1">IF(E225-'Invoer gegevens (N)'!$C$17&lt;0,0,1)</f>
        <v>1</v>
      </c>
      <c r="D225" s="68">
        <f t="shared" si="43"/>
        <v>220.5</v>
      </c>
      <c r="E225" s="69">
        <f ca="1">IF('Invoer gegevens (N)'!$C$16="","",E224+1)</f>
        <v>2239</v>
      </c>
      <c r="F225" s="84">
        <f ca="1">IF('Invoer gegevens (N)'!$C$17=E225,'Invoer gegevens (N)'!$C$10,IF(C225=1,K224,0))</f>
        <v>0</v>
      </c>
      <c r="G225" s="96">
        <f ca="1">IF(C225&gt;=1,F225*VLOOKUP(E225,'Reeksen (N)'!$A$5:$B$76,2),0)</f>
        <v>0</v>
      </c>
      <c r="H225" s="84">
        <f ca="1">(1-('Invoer gegevens (N)'!$F$20/12))*F225*MIN('Reeksen (N)'!B225,'Reeksen (N)'!D225)</f>
        <v>0</v>
      </c>
      <c r="I225" s="84">
        <f>IF('Reeksen (N)'!D225&lt;'Reeksen (N)'!B225,('Reeksen (N)'!B225-'Reeksen (N)'!D225)*F225,0)</f>
        <v>0</v>
      </c>
      <c r="J225" s="84">
        <f ca="1">('Invoer gegevens (N)'!$F$20/12)*F224*MIN('Reeksen (N)'!B224,'Reeksen (N)'!D224)</f>
        <v>0</v>
      </c>
      <c r="K225" s="97">
        <f t="shared" ca="1" si="33"/>
        <v>0</v>
      </c>
      <c r="L225" s="84">
        <f ca="1">IF('Invoer gegevens (N)'!$C$17=E225,0,IF(C225=1,Q224,0))</f>
        <v>0</v>
      </c>
      <c r="M225" s="96">
        <f ca="1">IF(C225&gt;=1,L225*VLOOKUP(E225,'Reeksen (N)'!$A$5:$B$76,2),0)</f>
        <v>0</v>
      </c>
      <c r="N225" s="84">
        <f ca="1">(1-('Invoer gegevens (N)'!$F$20/12))*L225*MIN('Reeksen (N)'!B225,'Reeksen (N)'!D225)</f>
        <v>0</v>
      </c>
      <c r="O225" s="84">
        <f>IF('Reeksen (N)'!D225&lt;'Reeksen (N)'!B225,('Reeksen (N)'!B225-'Reeksen (N)'!D225)*L225,0)</f>
        <v>0</v>
      </c>
      <c r="P225" s="84">
        <f ca="1">('Invoer gegevens (N)'!$F$20/12)*L224*MIN('Reeksen (N)'!B224,'Reeksen (N)'!D224)</f>
        <v>0</v>
      </c>
      <c r="Q225" s="84">
        <f t="shared" ca="1" si="34"/>
        <v>0</v>
      </c>
      <c r="R225" s="82">
        <f ca="1">IF('Invoer gegevens (N)'!$C$17=E225,'Invoer gegevens (N)'!$C$11,IF(C225=1,W224,0))</f>
        <v>0</v>
      </c>
      <c r="S225" s="86">
        <f ca="1">IF(C225&gt;=1,R225*VLOOKUP(E225,'Reeksen (N)'!$A$5:$B$76,2),0)</f>
        <v>0</v>
      </c>
      <c r="T225" s="84">
        <f ca="1">(1-('Invoer gegevens (N)'!$F$20/12))*R225*MIN('Reeksen (N)'!B225,'Reeksen (N)'!D225)</f>
        <v>0</v>
      </c>
      <c r="U225" s="84">
        <f>IF('Reeksen (N)'!D225&gt;='Reeksen (N)'!B225,0,IF('Reeksen (N)'!AD225&lt;='Reeksen (N)'!AE225,('Reeksen (N)'!B225-'Reeksen (N)'!D225)*R225,0))</f>
        <v>0</v>
      </c>
      <c r="V225" s="86">
        <f>IF('Reeksen (N)'!D225&gt;='Reeksen (N)'!B225,0,IF('Reeksen (N)'!AD225&gt;'Reeksen (N)'!AE225,('Reeksen (N)'!B225-'Reeksen (N)'!D225)*R225,0))</f>
        <v>0</v>
      </c>
      <c r="W225" s="97">
        <f t="shared" ca="1" si="35"/>
        <v>0</v>
      </c>
      <c r="X225" s="98">
        <f ca="1">IF('Invoer gegevens (N)'!$C$17=E225,'Invoer gegevens (N)'!$C$10-'Invoer gegevens (N)'!$C$11,IF(C225=1,AC224,0))</f>
        <v>0</v>
      </c>
      <c r="Y225" s="98">
        <f ca="1">IF(C225&gt;=1,X225*VLOOKUP(E225,'Reeksen (N)'!$A$5:$B$76,2),0)</f>
        <v>0</v>
      </c>
      <c r="Z225" s="98">
        <f ca="1">(1-('Invoer gegevens (N)'!$F$20/12))*X225*MIN('Reeksen (N)'!B225,'Reeksen (N)'!D225)</f>
        <v>0</v>
      </c>
      <c r="AA225" s="98">
        <f>IF('Reeksen (N)'!D225&gt;='Reeksen (N)'!B225,0,IF('Reeksen (N)'!AD225&lt;='Reeksen (N)'!AE225,('Reeksen (N)'!B225-'Reeksen (N)'!D225)*X225,0))</f>
        <v>0</v>
      </c>
      <c r="AB225" s="98">
        <f>IF('Reeksen (N)'!D225&gt;='Reeksen (N)'!B225,0,IF('Reeksen (N)'!AD225&gt;'Reeksen (N)'!AE225,('Reeksen (N)'!B225-'Reeksen (N)'!D225)*X225,0))</f>
        <v>0</v>
      </c>
      <c r="AC225" s="99">
        <f t="shared" ca="1" si="36"/>
        <v>0</v>
      </c>
      <c r="AD225" s="98">
        <f ca="1">IF('Invoer gegevens (N)'!$C$17=E225,R225,IF(C225=0,0,AE224))</f>
        <v>0</v>
      </c>
      <c r="AE225" s="98">
        <f t="shared" ca="1" si="37"/>
        <v>0</v>
      </c>
      <c r="AF225" s="98">
        <f ca="1">IF('Invoer gegevens (N)'!$C$17=E225,X225,IF(C225=0,0,AG224))</f>
        <v>0</v>
      </c>
      <c r="AG225" s="98">
        <f t="shared" ca="1" si="38"/>
        <v>0</v>
      </c>
      <c r="AH225" s="66"/>
      <c r="AI225" s="71">
        <f ca="1">IF(C225=1,'Reeksen (N)'!AI225*((F225-G225+F225)/2)*12+'Reeksen (N)'!AD225*((L225-M225+L225)/2)*12,0)</f>
        <v>0</v>
      </c>
      <c r="AJ225" s="71">
        <f ca="1">-AI225*'Invoer gegevens (N)'!$F$28</f>
        <v>0</v>
      </c>
      <c r="AK225" s="71">
        <f t="shared" ca="1" si="39"/>
        <v>0</v>
      </c>
      <c r="AL225" s="71">
        <f ca="1">IF(C225=1,'Reeksen (N)'!AL225*((F225-G225+F225)/2)*12+'Reeksen (N)'!AM225*((L225-M225+L225)/2)*12,0)</f>
        <v>0</v>
      </c>
      <c r="AM225" s="71">
        <f ca="1">-AL225*'Invoer gegevens (N)'!$F$31</f>
        <v>0</v>
      </c>
      <c r="AN225" s="71">
        <f t="shared" ca="1" si="40"/>
        <v>0</v>
      </c>
      <c r="AO225" s="71">
        <f ca="1">IF(C225=1,(H225+J225+N225+P225)*'Reeksen (N)'!AN225,0)</f>
        <v>0</v>
      </c>
      <c r="AP225" s="71">
        <f ca="1">-IF(C225=1,(H225+J225+N225+P225)*'Hulp - basis'!$O$550*'Reeksen (N)'!H225,0)</f>
        <v>0</v>
      </c>
      <c r="AQ225" s="71">
        <f ca="1">-IF(C225=1,(F225+K225+L225+Q225)/2*'Invoer gegevens (N)'!$F$35*'Reeksen (N)'!J225,0)*2</f>
        <v>0</v>
      </c>
      <c r="AR225" s="71"/>
      <c r="AS225" s="71">
        <f ca="1">-IF(C225=1,(F225+K225+L225+Q225)/2*'Invoer gegevens (N)'!$F$37*'Reeksen (N)'!L225,0)</f>
        <v>0</v>
      </c>
      <c r="AT225" s="71">
        <f ca="1">-IF(C225=1,IF(E225='Invoer gegevens (N)'!$C$17,'Invoer gegevens (N)'!$C$11,AD225)*'Reeksen (N)'!S225*'Invoer gegevens (N)'!$C$18*'Reeksen (N)'!P225,0)</f>
        <v>0</v>
      </c>
      <c r="AU225" s="71">
        <f ca="1">-IF(C225=1,(F225+K225+L225+Q225)/2*'Invoer gegevens (N)'!$F$38*'Reeksen (N)'!H225,0)</f>
        <v>0</v>
      </c>
      <c r="AV225" s="71">
        <v>0</v>
      </c>
      <c r="AW225" s="71">
        <f t="shared" ca="1" si="41"/>
        <v>0</v>
      </c>
      <c r="AX225" s="71">
        <f ca="1">IF(E225&lt;'Invoer gegevens (N)'!$C$17+15,0,IF(E225&gt;'Invoer gegevens (N)'!$C$17+215,0,AW225))</f>
        <v>0</v>
      </c>
      <c r="AY225" s="71">
        <f ca="1">AX225/(1+'Invoer gegevens (N)'!$F$18)^($AZ225-('Invoer gegevens (N)'!$C$17-'Invoer gegevens (N)'!$C$16))/(1+'Invoer gegevens (N)'!$C$39)^('Invoer gegevens (N)'!$C$17-'Invoer gegevens (N)'!$C$16)</f>
        <v>0</v>
      </c>
      <c r="AZ225" s="68">
        <f ca="1">IF(E225-'Invoer gegevens (N)'!$C$17-14.5&lt;0,0,E225-'Invoer gegevens (N)'!$C$17-14.5)</f>
        <v>205.5</v>
      </c>
    </row>
    <row r="226" spans="1:52" x14ac:dyDescent="0.25">
      <c r="A226" s="59"/>
      <c r="B226" s="70">
        <f t="shared" si="42"/>
        <v>222</v>
      </c>
      <c r="C226" s="67">
        <f ca="1">IF(E226-'Invoer gegevens (N)'!$C$17&lt;0,0,1)</f>
        <v>1</v>
      </c>
      <c r="D226" s="68">
        <f t="shared" si="43"/>
        <v>221.5</v>
      </c>
      <c r="E226" s="69">
        <f ca="1">IF('Invoer gegevens (N)'!$C$16="","",E225+1)</f>
        <v>2240</v>
      </c>
      <c r="F226" s="84">
        <f ca="1">IF('Invoer gegevens (N)'!$C$17=E226,'Invoer gegevens (N)'!$C$10,IF(C226=1,K225,0))</f>
        <v>0</v>
      </c>
      <c r="G226" s="96">
        <f ca="1">IF(C226&gt;=1,F226*VLOOKUP(E226,'Reeksen (N)'!$A$5:$B$76,2),0)</f>
        <v>0</v>
      </c>
      <c r="H226" s="84">
        <f ca="1">(1-('Invoer gegevens (N)'!$F$20/12))*F226*MIN('Reeksen (N)'!B226,'Reeksen (N)'!D226)</f>
        <v>0</v>
      </c>
      <c r="I226" s="84">
        <f>IF('Reeksen (N)'!D226&lt;'Reeksen (N)'!B226,('Reeksen (N)'!B226-'Reeksen (N)'!D226)*F226,0)</f>
        <v>0</v>
      </c>
      <c r="J226" s="84">
        <f ca="1">('Invoer gegevens (N)'!$F$20/12)*F225*MIN('Reeksen (N)'!B225,'Reeksen (N)'!D225)</f>
        <v>0</v>
      </c>
      <c r="K226" s="97">
        <f t="shared" ca="1" si="33"/>
        <v>0</v>
      </c>
      <c r="L226" s="84">
        <f ca="1">IF('Invoer gegevens (N)'!$C$17=E226,0,IF(C226=1,Q225,0))</f>
        <v>0</v>
      </c>
      <c r="M226" s="96">
        <f ca="1">IF(C226&gt;=1,L226*VLOOKUP(E226,'Reeksen (N)'!$A$5:$B$76,2),0)</f>
        <v>0</v>
      </c>
      <c r="N226" s="84">
        <f ca="1">(1-('Invoer gegevens (N)'!$F$20/12))*L226*MIN('Reeksen (N)'!B226,'Reeksen (N)'!D226)</f>
        <v>0</v>
      </c>
      <c r="O226" s="84">
        <f>IF('Reeksen (N)'!D226&lt;'Reeksen (N)'!B226,('Reeksen (N)'!B226-'Reeksen (N)'!D226)*L226,0)</f>
        <v>0</v>
      </c>
      <c r="P226" s="84">
        <f ca="1">('Invoer gegevens (N)'!$F$20/12)*L225*MIN('Reeksen (N)'!B225,'Reeksen (N)'!D225)</f>
        <v>0</v>
      </c>
      <c r="Q226" s="84">
        <f t="shared" ca="1" si="34"/>
        <v>0</v>
      </c>
      <c r="R226" s="82">
        <f ca="1">IF('Invoer gegevens (N)'!$C$17=E226,'Invoer gegevens (N)'!$C$11,IF(C226=1,W225,0))</f>
        <v>0</v>
      </c>
      <c r="S226" s="86">
        <f ca="1">IF(C226&gt;=1,R226*VLOOKUP(E226,'Reeksen (N)'!$A$5:$B$76,2),0)</f>
        <v>0</v>
      </c>
      <c r="T226" s="84">
        <f ca="1">(1-('Invoer gegevens (N)'!$F$20/12))*R226*MIN('Reeksen (N)'!B226,'Reeksen (N)'!D226)</f>
        <v>0</v>
      </c>
      <c r="U226" s="84">
        <f>IF('Reeksen (N)'!D226&gt;='Reeksen (N)'!B226,0,IF('Reeksen (N)'!AD226&lt;='Reeksen (N)'!AE226,('Reeksen (N)'!B226-'Reeksen (N)'!D226)*R226,0))</f>
        <v>0</v>
      </c>
      <c r="V226" s="86">
        <f>IF('Reeksen (N)'!D226&gt;='Reeksen (N)'!B226,0,IF('Reeksen (N)'!AD226&gt;'Reeksen (N)'!AE226,('Reeksen (N)'!B226-'Reeksen (N)'!D226)*R226,0))</f>
        <v>0</v>
      </c>
      <c r="W226" s="97">
        <f t="shared" ca="1" si="35"/>
        <v>0</v>
      </c>
      <c r="X226" s="98">
        <f ca="1">IF('Invoer gegevens (N)'!$C$17=E226,'Invoer gegevens (N)'!$C$10-'Invoer gegevens (N)'!$C$11,IF(C226=1,AC225,0))</f>
        <v>0</v>
      </c>
      <c r="Y226" s="98">
        <f ca="1">IF(C226&gt;=1,X226*VLOOKUP(E226,'Reeksen (N)'!$A$5:$B$76,2),0)</f>
        <v>0</v>
      </c>
      <c r="Z226" s="98">
        <f ca="1">(1-('Invoer gegevens (N)'!$F$20/12))*X226*MIN('Reeksen (N)'!B226,'Reeksen (N)'!D226)</f>
        <v>0</v>
      </c>
      <c r="AA226" s="98">
        <f>IF('Reeksen (N)'!D226&gt;='Reeksen (N)'!B226,0,IF('Reeksen (N)'!AD226&lt;='Reeksen (N)'!AE226,('Reeksen (N)'!B226-'Reeksen (N)'!D226)*X226,0))</f>
        <v>0</v>
      </c>
      <c r="AB226" s="98">
        <f>IF('Reeksen (N)'!D226&gt;='Reeksen (N)'!B226,0,IF('Reeksen (N)'!AD226&gt;'Reeksen (N)'!AE226,('Reeksen (N)'!B226-'Reeksen (N)'!D226)*X226,0))</f>
        <v>0</v>
      </c>
      <c r="AC226" s="99">
        <f t="shared" ca="1" si="36"/>
        <v>0</v>
      </c>
      <c r="AD226" s="98">
        <f ca="1">IF('Invoer gegevens (N)'!$C$17=E226,R226,IF(C226=0,0,AE225))</f>
        <v>0</v>
      </c>
      <c r="AE226" s="98">
        <f t="shared" ca="1" si="37"/>
        <v>0</v>
      </c>
      <c r="AF226" s="98">
        <f ca="1">IF('Invoer gegevens (N)'!$C$17=E226,X226,IF(C226=0,0,AG225))</f>
        <v>0</v>
      </c>
      <c r="AG226" s="98">
        <f t="shared" ca="1" si="38"/>
        <v>0</v>
      </c>
      <c r="AH226" s="66"/>
      <c r="AI226" s="71">
        <f ca="1">IF(C226=1,'Reeksen (N)'!AI226*((F226-G226+F226)/2)*12+'Reeksen (N)'!AD226*((L226-M226+L226)/2)*12,0)</f>
        <v>0</v>
      </c>
      <c r="AJ226" s="71">
        <f ca="1">-AI226*'Invoer gegevens (N)'!$F$28</f>
        <v>0</v>
      </c>
      <c r="AK226" s="71">
        <f t="shared" ca="1" si="39"/>
        <v>0</v>
      </c>
      <c r="AL226" s="71">
        <f ca="1">IF(C226=1,'Reeksen (N)'!AL226*((F226-G226+F226)/2)*12+'Reeksen (N)'!AM226*((L226-M226+L226)/2)*12,0)</f>
        <v>0</v>
      </c>
      <c r="AM226" s="71">
        <f ca="1">-AL226*'Invoer gegevens (N)'!$F$31</f>
        <v>0</v>
      </c>
      <c r="AN226" s="71">
        <f t="shared" ca="1" si="40"/>
        <v>0</v>
      </c>
      <c r="AO226" s="71">
        <f ca="1">IF(C226=1,(H226+J226+N226+P226)*'Reeksen (N)'!AN226,0)</f>
        <v>0</v>
      </c>
      <c r="AP226" s="71">
        <f ca="1">-IF(C226=1,(H226+J226+N226+P226)*'Hulp - basis'!$O$550*'Reeksen (N)'!H226,0)</f>
        <v>0</v>
      </c>
      <c r="AQ226" s="71">
        <f ca="1">-IF(C226=1,(F226+K226+L226+Q226)/2*'Invoer gegevens (N)'!$F$35*'Reeksen (N)'!J226,0)*2</f>
        <v>0</v>
      </c>
      <c r="AR226" s="71"/>
      <c r="AS226" s="71">
        <f ca="1">-IF(C226=1,(F226+K226+L226+Q226)/2*'Invoer gegevens (N)'!$F$37*'Reeksen (N)'!L226,0)</f>
        <v>0</v>
      </c>
      <c r="AT226" s="71">
        <f ca="1">-IF(C226=1,IF(E226='Invoer gegevens (N)'!$C$17,'Invoer gegevens (N)'!$C$11,AD226)*'Reeksen (N)'!S226*'Invoer gegevens (N)'!$C$18*'Reeksen (N)'!P226,0)</f>
        <v>0</v>
      </c>
      <c r="AU226" s="71">
        <f ca="1">-IF(C226=1,(F226+K226+L226+Q226)/2*'Invoer gegevens (N)'!$F$38*'Reeksen (N)'!H226,0)</f>
        <v>0</v>
      </c>
      <c r="AV226" s="71">
        <v>0</v>
      </c>
      <c r="AW226" s="71">
        <f t="shared" ca="1" si="41"/>
        <v>0</v>
      </c>
      <c r="AX226" s="71">
        <f ca="1">IF(E226&lt;'Invoer gegevens (N)'!$C$17+15,0,IF(E226&gt;'Invoer gegevens (N)'!$C$17+215,0,AW226))</f>
        <v>0</v>
      </c>
      <c r="AY226" s="71">
        <f ca="1">AX226/(1+'Invoer gegevens (N)'!$F$18)^($AZ226-('Invoer gegevens (N)'!$C$17-'Invoer gegevens (N)'!$C$16))/(1+'Invoer gegevens (N)'!$C$39)^('Invoer gegevens (N)'!$C$17-'Invoer gegevens (N)'!$C$16)</f>
        <v>0</v>
      </c>
      <c r="AZ226" s="68">
        <f ca="1">IF(E226-'Invoer gegevens (N)'!$C$17-14.5&lt;0,0,E226-'Invoer gegevens (N)'!$C$17-14.5)</f>
        <v>206.5</v>
      </c>
    </row>
    <row r="227" spans="1:52" x14ac:dyDescent="0.25">
      <c r="A227" s="59"/>
      <c r="B227" s="70">
        <f t="shared" si="42"/>
        <v>223</v>
      </c>
      <c r="C227" s="67">
        <f ca="1">IF(E227-'Invoer gegevens (N)'!$C$17&lt;0,0,1)</f>
        <v>1</v>
      </c>
      <c r="D227" s="68">
        <f t="shared" si="43"/>
        <v>222.5</v>
      </c>
      <c r="E227" s="69">
        <f ca="1">IF('Invoer gegevens (N)'!$C$16="","",E226+1)</f>
        <v>2241</v>
      </c>
      <c r="F227" s="84">
        <f ca="1">IF('Invoer gegevens (N)'!$C$17=E227,'Invoer gegevens (N)'!$C$10,IF(C227=1,K226,0))</f>
        <v>0</v>
      </c>
      <c r="G227" s="96">
        <f ca="1">IF(C227&gt;=1,F227*VLOOKUP(E227,'Reeksen (N)'!$A$5:$B$76,2),0)</f>
        <v>0</v>
      </c>
      <c r="H227" s="84">
        <f ca="1">(1-('Invoer gegevens (N)'!$F$20/12))*F227*MIN('Reeksen (N)'!B227,'Reeksen (N)'!D227)</f>
        <v>0</v>
      </c>
      <c r="I227" s="84">
        <f>IF('Reeksen (N)'!D227&lt;'Reeksen (N)'!B227,('Reeksen (N)'!B227-'Reeksen (N)'!D227)*F227,0)</f>
        <v>0</v>
      </c>
      <c r="J227" s="84">
        <f ca="1">('Invoer gegevens (N)'!$F$20/12)*F226*MIN('Reeksen (N)'!B226,'Reeksen (N)'!D226)</f>
        <v>0</v>
      </c>
      <c r="K227" s="97">
        <f t="shared" ca="1" si="33"/>
        <v>0</v>
      </c>
      <c r="L227" s="84">
        <f ca="1">IF('Invoer gegevens (N)'!$C$17=E227,0,IF(C227=1,Q226,0))</f>
        <v>0</v>
      </c>
      <c r="M227" s="96">
        <f ca="1">IF(C227&gt;=1,L227*VLOOKUP(E227,'Reeksen (N)'!$A$5:$B$76,2),0)</f>
        <v>0</v>
      </c>
      <c r="N227" s="84">
        <f ca="1">(1-('Invoer gegevens (N)'!$F$20/12))*L227*MIN('Reeksen (N)'!B227,'Reeksen (N)'!D227)</f>
        <v>0</v>
      </c>
      <c r="O227" s="84">
        <f>IF('Reeksen (N)'!D227&lt;'Reeksen (N)'!B227,('Reeksen (N)'!B227-'Reeksen (N)'!D227)*L227,0)</f>
        <v>0</v>
      </c>
      <c r="P227" s="84">
        <f ca="1">('Invoer gegevens (N)'!$F$20/12)*L226*MIN('Reeksen (N)'!B226,'Reeksen (N)'!D226)</f>
        <v>0</v>
      </c>
      <c r="Q227" s="84">
        <f t="shared" ca="1" si="34"/>
        <v>0</v>
      </c>
      <c r="R227" s="82">
        <f ca="1">IF('Invoer gegevens (N)'!$C$17=E227,'Invoer gegevens (N)'!$C$11,IF(C227=1,W226,0))</f>
        <v>0</v>
      </c>
      <c r="S227" s="86">
        <f ca="1">IF(C227&gt;=1,R227*VLOOKUP(E227,'Reeksen (N)'!$A$5:$B$76,2),0)</f>
        <v>0</v>
      </c>
      <c r="T227" s="84">
        <f ca="1">(1-('Invoer gegevens (N)'!$F$20/12))*R227*MIN('Reeksen (N)'!B227,'Reeksen (N)'!D227)</f>
        <v>0</v>
      </c>
      <c r="U227" s="84">
        <f>IF('Reeksen (N)'!D227&gt;='Reeksen (N)'!B227,0,IF('Reeksen (N)'!AD227&lt;='Reeksen (N)'!AE227,('Reeksen (N)'!B227-'Reeksen (N)'!D227)*R227,0))</f>
        <v>0</v>
      </c>
      <c r="V227" s="86">
        <f>IF('Reeksen (N)'!D227&gt;='Reeksen (N)'!B227,0,IF('Reeksen (N)'!AD227&gt;'Reeksen (N)'!AE227,('Reeksen (N)'!B227-'Reeksen (N)'!D227)*R227,0))</f>
        <v>0</v>
      </c>
      <c r="W227" s="97">
        <f t="shared" ca="1" si="35"/>
        <v>0</v>
      </c>
      <c r="X227" s="98">
        <f ca="1">IF('Invoer gegevens (N)'!$C$17=E227,'Invoer gegevens (N)'!$C$10-'Invoer gegevens (N)'!$C$11,IF(C227=1,AC226,0))</f>
        <v>0</v>
      </c>
      <c r="Y227" s="98">
        <f ca="1">IF(C227&gt;=1,X227*VLOOKUP(E227,'Reeksen (N)'!$A$5:$B$76,2),0)</f>
        <v>0</v>
      </c>
      <c r="Z227" s="98">
        <f ca="1">(1-('Invoer gegevens (N)'!$F$20/12))*X227*MIN('Reeksen (N)'!B227,'Reeksen (N)'!D227)</f>
        <v>0</v>
      </c>
      <c r="AA227" s="98">
        <f>IF('Reeksen (N)'!D227&gt;='Reeksen (N)'!B227,0,IF('Reeksen (N)'!AD227&lt;='Reeksen (N)'!AE227,('Reeksen (N)'!B227-'Reeksen (N)'!D227)*X227,0))</f>
        <v>0</v>
      </c>
      <c r="AB227" s="98">
        <f>IF('Reeksen (N)'!D227&gt;='Reeksen (N)'!B227,0,IF('Reeksen (N)'!AD227&gt;'Reeksen (N)'!AE227,('Reeksen (N)'!B227-'Reeksen (N)'!D227)*X227,0))</f>
        <v>0</v>
      </c>
      <c r="AC227" s="99">
        <f t="shared" ca="1" si="36"/>
        <v>0</v>
      </c>
      <c r="AD227" s="98">
        <f ca="1">IF('Invoer gegevens (N)'!$C$17=E227,R227,IF(C227=0,0,AE226))</f>
        <v>0</v>
      </c>
      <c r="AE227" s="98">
        <f t="shared" ca="1" si="37"/>
        <v>0</v>
      </c>
      <c r="AF227" s="98">
        <f ca="1">IF('Invoer gegevens (N)'!$C$17=E227,X227,IF(C227=0,0,AG226))</f>
        <v>0</v>
      </c>
      <c r="AG227" s="98">
        <f t="shared" ca="1" si="38"/>
        <v>0</v>
      </c>
      <c r="AH227" s="66"/>
      <c r="AI227" s="71">
        <f ca="1">IF(C227=1,'Reeksen (N)'!AI227*((F227-G227+F227)/2)*12+'Reeksen (N)'!AD227*((L227-M227+L227)/2)*12,0)</f>
        <v>0</v>
      </c>
      <c r="AJ227" s="71">
        <f ca="1">-AI227*'Invoer gegevens (N)'!$F$28</f>
        <v>0</v>
      </c>
      <c r="AK227" s="71">
        <f t="shared" ca="1" si="39"/>
        <v>0</v>
      </c>
      <c r="AL227" s="71">
        <f ca="1">IF(C227=1,'Reeksen (N)'!AL227*((F227-G227+F227)/2)*12+'Reeksen (N)'!AM227*((L227-M227+L227)/2)*12,0)</f>
        <v>0</v>
      </c>
      <c r="AM227" s="71">
        <f ca="1">-AL227*'Invoer gegevens (N)'!$F$31</f>
        <v>0</v>
      </c>
      <c r="AN227" s="71">
        <f t="shared" ca="1" si="40"/>
        <v>0</v>
      </c>
      <c r="AO227" s="71">
        <f ca="1">IF(C227=1,(H227+J227+N227+P227)*'Reeksen (N)'!AN227,0)</f>
        <v>0</v>
      </c>
      <c r="AP227" s="71">
        <f ca="1">-IF(C227=1,(H227+J227+N227+P227)*'Hulp - basis'!$O$550*'Reeksen (N)'!H227,0)</f>
        <v>0</v>
      </c>
      <c r="AQ227" s="71">
        <f ca="1">-IF(C227=1,(F227+K227+L227+Q227)/2*'Invoer gegevens (N)'!$F$35*'Reeksen (N)'!J227,0)*2</f>
        <v>0</v>
      </c>
      <c r="AR227" s="71"/>
      <c r="AS227" s="71">
        <f ca="1">-IF(C227=1,(F227+K227+L227+Q227)/2*'Invoer gegevens (N)'!$F$37*'Reeksen (N)'!L227,0)</f>
        <v>0</v>
      </c>
      <c r="AT227" s="71">
        <f ca="1">-IF(C227=1,IF(E227='Invoer gegevens (N)'!$C$17,'Invoer gegevens (N)'!$C$11,AD227)*'Reeksen (N)'!S227*'Invoer gegevens (N)'!$C$18*'Reeksen (N)'!P227,0)</f>
        <v>0</v>
      </c>
      <c r="AU227" s="71">
        <f ca="1">-IF(C227=1,(F227+K227+L227+Q227)/2*'Invoer gegevens (N)'!$F$38*'Reeksen (N)'!H227,0)</f>
        <v>0</v>
      </c>
      <c r="AV227" s="71">
        <v>0</v>
      </c>
      <c r="AW227" s="71">
        <f t="shared" ca="1" si="41"/>
        <v>0</v>
      </c>
      <c r="AX227" s="71">
        <f ca="1">IF(E227&lt;'Invoer gegevens (N)'!$C$17+15,0,IF(E227&gt;'Invoer gegevens (N)'!$C$17+215,0,AW227))</f>
        <v>0</v>
      </c>
      <c r="AY227" s="71">
        <f ca="1">AX227/(1+'Invoer gegevens (N)'!$F$18)^($AZ227-('Invoer gegevens (N)'!$C$17-'Invoer gegevens (N)'!$C$16))/(1+'Invoer gegevens (N)'!$C$39)^('Invoer gegevens (N)'!$C$17-'Invoer gegevens (N)'!$C$16)</f>
        <v>0</v>
      </c>
      <c r="AZ227" s="68">
        <f ca="1">IF(E227-'Invoer gegevens (N)'!$C$17-14.5&lt;0,0,E227-'Invoer gegevens (N)'!$C$17-14.5)</f>
        <v>207.5</v>
      </c>
    </row>
    <row r="228" spans="1:52" x14ac:dyDescent="0.25">
      <c r="A228" s="59"/>
      <c r="B228" s="70">
        <f t="shared" si="42"/>
        <v>224</v>
      </c>
      <c r="C228" s="67">
        <f ca="1">IF(E228-'Invoer gegevens (N)'!$C$17&lt;0,0,1)</f>
        <v>1</v>
      </c>
      <c r="D228" s="68">
        <f t="shared" si="43"/>
        <v>223.5</v>
      </c>
      <c r="E228" s="69">
        <f ca="1">IF('Invoer gegevens (N)'!$C$16="","",E227+1)</f>
        <v>2242</v>
      </c>
      <c r="F228" s="84">
        <f ca="1">IF('Invoer gegevens (N)'!$C$17=E228,'Invoer gegevens (N)'!$C$10,IF(C228=1,K227,0))</f>
        <v>0</v>
      </c>
      <c r="G228" s="96">
        <f ca="1">IF(C228&gt;=1,F228*VLOOKUP(E228,'Reeksen (N)'!$A$5:$B$76,2),0)</f>
        <v>0</v>
      </c>
      <c r="H228" s="84">
        <f ca="1">(1-('Invoer gegevens (N)'!$F$20/12))*F228*MIN('Reeksen (N)'!B228,'Reeksen (N)'!D228)</f>
        <v>0</v>
      </c>
      <c r="I228" s="84">
        <f>IF('Reeksen (N)'!D228&lt;'Reeksen (N)'!B228,('Reeksen (N)'!B228-'Reeksen (N)'!D228)*F228,0)</f>
        <v>0</v>
      </c>
      <c r="J228" s="84">
        <f ca="1">('Invoer gegevens (N)'!$F$20/12)*F227*MIN('Reeksen (N)'!B227,'Reeksen (N)'!D227)</f>
        <v>0</v>
      </c>
      <c r="K228" s="97">
        <f t="shared" ca="1" si="33"/>
        <v>0</v>
      </c>
      <c r="L228" s="84">
        <f ca="1">IF('Invoer gegevens (N)'!$C$17=E228,0,IF(C228=1,Q227,0))</f>
        <v>0</v>
      </c>
      <c r="M228" s="96">
        <f ca="1">IF(C228&gt;=1,L228*VLOOKUP(E228,'Reeksen (N)'!$A$5:$B$76,2),0)</f>
        <v>0</v>
      </c>
      <c r="N228" s="84">
        <f ca="1">(1-('Invoer gegevens (N)'!$F$20/12))*L228*MIN('Reeksen (N)'!B228,'Reeksen (N)'!D228)</f>
        <v>0</v>
      </c>
      <c r="O228" s="84">
        <f>IF('Reeksen (N)'!D228&lt;'Reeksen (N)'!B228,('Reeksen (N)'!B228-'Reeksen (N)'!D228)*L228,0)</f>
        <v>0</v>
      </c>
      <c r="P228" s="84">
        <f ca="1">('Invoer gegevens (N)'!$F$20/12)*L227*MIN('Reeksen (N)'!B227,'Reeksen (N)'!D227)</f>
        <v>0</v>
      </c>
      <c r="Q228" s="84">
        <f t="shared" ca="1" si="34"/>
        <v>0</v>
      </c>
      <c r="R228" s="82">
        <f ca="1">IF('Invoer gegevens (N)'!$C$17=E228,'Invoer gegevens (N)'!$C$11,IF(C228=1,W227,0))</f>
        <v>0</v>
      </c>
      <c r="S228" s="86">
        <f ca="1">IF(C228&gt;=1,R228*VLOOKUP(E228,'Reeksen (N)'!$A$5:$B$76,2),0)</f>
        <v>0</v>
      </c>
      <c r="T228" s="84">
        <f ca="1">(1-('Invoer gegevens (N)'!$F$20/12))*R228*MIN('Reeksen (N)'!B228,'Reeksen (N)'!D228)</f>
        <v>0</v>
      </c>
      <c r="U228" s="84">
        <f>IF('Reeksen (N)'!D228&gt;='Reeksen (N)'!B228,0,IF('Reeksen (N)'!AD228&lt;='Reeksen (N)'!AE228,('Reeksen (N)'!B228-'Reeksen (N)'!D228)*R228,0))</f>
        <v>0</v>
      </c>
      <c r="V228" s="86">
        <f>IF('Reeksen (N)'!D228&gt;='Reeksen (N)'!B228,0,IF('Reeksen (N)'!AD228&gt;'Reeksen (N)'!AE228,('Reeksen (N)'!B228-'Reeksen (N)'!D228)*R228,0))</f>
        <v>0</v>
      </c>
      <c r="W228" s="97">
        <f t="shared" ca="1" si="35"/>
        <v>0</v>
      </c>
      <c r="X228" s="98">
        <f ca="1">IF('Invoer gegevens (N)'!$C$17=E228,'Invoer gegevens (N)'!$C$10-'Invoer gegevens (N)'!$C$11,IF(C228=1,AC227,0))</f>
        <v>0</v>
      </c>
      <c r="Y228" s="98">
        <f ca="1">IF(C228&gt;=1,X228*VLOOKUP(E228,'Reeksen (N)'!$A$5:$B$76,2),0)</f>
        <v>0</v>
      </c>
      <c r="Z228" s="98">
        <f ca="1">(1-('Invoer gegevens (N)'!$F$20/12))*X228*MIN('Reeksen (N)'!B228,'Reeksen (N)'!D228)</f>
        <v>0</v>
      </c>
      <c r="AA228" s="98">
        <f>IF('Reeksen (N)'!D228&gt;='Reeksen (N)'!B228,0,IF('Reeksen (N)'!AD228&lt;='Reeksen (N)'!AE228,('Reeksen (N)'!B228-'Reeksen (N)'!D228)*X228,0))</f>
        <v>0</v>
      </c>
      <c r="AB228" s="98">
        <f>IF('Reeksen (N)'!D228&gt;='Reeksen (N)'!B228,0,IF('Reeksen (N)'!AD228&gt;'Reeksen (N)'!AE228,('Reeksen (N)'!B228-'Reeksen (N)'!D228)*X228,0))</f>
        <v>0</v>
      </c>
      <c r="AC228" s="99">
        <f t="shared" ca="1" si="36"/>
        <v>0</v>
      </c>
      <c r="AD228" s="98">
        <f ca="1">IF('Invoer gegevens (N)'!$C$17=E228,R228,IF(C228=0,0,AE227))</f>
        <v>0</v>
      </c>
      <c r="AE228" s="98">
        <f t="shared" ca="1" si="37"/>
        <v>0</v>
      </c>
      <c r="AF228" s="98">
        <f ca="1">IF('Invoer gegevens (N)'!$C$17=E228,X228,IF(C228=0,0,AG227))</f>
        <v>0</v>
      </c>
      <c r="AG228" s="98">
        <f t="shared" ca="1" si="38"/>
        <v>0</v>
      </c>
      <c r="AH228" s="66"/>
      <c r="AI228" s="71">
        <f ca="1">IF(C228=1,'Reeksen (N)'!AI228*((F228-G228+F228)/2)*12+'Reeksen (N)'!AD228*((L228-M228+L228)/2)*12,0)</f>
        <v>0</v>
      </c>
      <c r="AJ228" s="71">
        <f ca="1">-AI228*'Invoer gegevens (N)'!$F$28</f>
        <v>0</v>
      </c>
      <c r="AK228" s="71">
        <f t="shared" ca="1" si="39"/>
        <v>0</v>
      </c>
      <c r="AL228" s="71">
        <f ca="1">IF(C228=1,'Reeksen (N)'!AL228*((F228-G228+F228)/2)*12+'Reeksen (N)'!AM228*((L228-M228+L228)/2)*12,0)</f>
        <v>0</v>
      </c>
      <c r="AM228" s="71">
        <f ca="1">-AL228*'Invoer gegevens (N)'!$F$31</f>
        <v>0</v>
      </c>
      <c r="AN228" s="71">
        <f t="shared" ca="1" si="40"/>
        <v>0</v>
      </c>
      <c r="AO228" s="71">
        <f ca="1">IF(C228=1,(H228+J228+N228+P228)*'Reeksen (N)'!AN228,0)</f>
        <v>0</v>
      </c>
      <c r="AP228" s="71">
        <f ca="1">-IF(C228=1,(H228+J228+N228+P228)*'Hulp - basis'!$O$550*'Reeksen (N)'!H228,0)</f>
        <v>0</v>
      </c>
      <c r="AQ228" s="71">
        <f ca="1">-IF(C228=1,(F228+K228+L228+Q228)/2*'Invoer gegevens (N)'!$F$35*'Reeksen (N)'!J228,0)*2</f>
        <v>0</v>
      </c>
      <c r="AR228" s="71"/>
      <c r="AS228" s="71">
        <f ca="1">-IF(C228=1,(F228+K228+L228+Q228)/2*'Invoer gegevens (N)'!$F$37*'Reeksen (N)'!L228,0)</f>
        <v>0</v>
      </c>
      <c r="AT228" s="71">
        <f ca="1">-IF(C228=1,IF(E228='Invoer gegevens (N)'!$C$17,'Invoer gegevens (N)'!$C$11,AD228)*'Reeksen (N)'!S228*'Invoer gegevens (N)'!$C$18*'Reeksen (N)'!P228,0)</f>
        <v>0</v>
      </c>
      <c r="AU228" s="71">
        <f ca="1">-IF(C228=1,(F228+K228+L228+Q228)/2*'Invoer gegevens (N)'!$F$38*'Reeksen (N)'!H228,0)</f>
        <v>0</v>
      </c>
      <c r="AV228" s="71">
        <v>0</v>
      </c>
      <c r="AW228" s="71">
        <f t="shared" ca="1" si="41"/>
        <v>0</v>
      </c>
      <c r="AX228" s="71">
        <f ca="1">IF(E228&lt;'Invoer gegevens (N)'!$C$17+15,0,IF(E228&gt;'Invoer gegevens (N)'!$C$17+215,0,AW228))</f>
        <v>0</v>
      </c>
      <c r="AY228" s="71">
        <f ca="1">AX228/(1+'Invoer gegevens (N)'!$F$18)^($AZ228-('Invoer gegevens (N)'!$C$17-'Invoer gegevens (N)'!$C$16))/(1+'Invoer gegevens (N)'!$C$39)^('Invoer gegevens (N)'!$C$17-'Invoer gegevens (N)'!$C$16)</f>
        <v>0</v>
      </c>
      <c r="AZ228" s="68">
        <f ca="1">IF(E228-'Invoer gegevens (N)'!$C$17-14.5&lt;0,0,E228-'Invoer gegevens (N)'!$C$17-14.5)</f>
        <v>208.5</v>
      </c>
    </row>
    <row r="229" spans="1:52" x14ac:dyDescent="0.25">
      <c r="A229" s="59"/>
      <c r="B229" s="70">
        <f t="shared" si="42"/>
        <v>225</v>
      </c>
      <c r="C229" s="67">
        <f ca="1">IF(E229-'Invoer gegevens (N)'!$C$17&lt;0,0,1)</f>
        <v>1</v>
      </c>
      <c r="D229" s="68">
        <f t="shared" si="43"/>
        <v>224.5</v>
      </c>
      <c r="E229" s="69">
        <f ca="1">IF('Invoer gegevens (N)'!$C$16="","",E228+1)</f>
        <v>2243</v>
      </c>
      <c r="F229" s="84">
        <f ca="1">IF('Invoer gegevens (N)'!$C$17=E229,'Invoer gegevens (N)'!$C$10,IF(C229=1,K228,0))</f>
        <v>0</v>
      </c>
      <c r="G229" s="96">
        <f ca="1">IF(C229&gt;=1,F229*VLOOKUP(E229,'Reeksen (N)'!$A$5:$B$76,2),0)</f>
        <v>0</v>
      </c>
      <c r="H229" s="84">
        <f ca="1">(1-('Invoer gegevens (N)'!$F$20/12))*F229*MIN('Reeksen (N)'!B229,'Reeksen (N)'!D229)</f>
        <v>0</v>
      </c>
      <c r="I229" s="84">
        <f>IF('Reeksen (N)'!D229&lt;'Reeksen (N)'!B229,('Reeksen (N)'!B229-'Reeksen (N)'!D229)*F229,0)</f>
        <v>0</v>
      </c>
      <c r="J229" s="84">
        <f ca="1">('Invoer gegevens (N)'!$F$20/12)*F228*MIN('Reeksen (N)'!B228,'Reeksen (N)'!D228)</f>
        <v>0</v>
      </c>
      <c r="K229" s="97">
        <f t="shared" ca="1" si="33"/>
        <v>0</v>
      </c>
      <c r="L229" s="84">
        <f ca="1">IF('Invoer gegevens (N)'!$C$17=E229,0,IF(C229=1,Q228,0))</f>
        <v>0</v>
      </c>
      <c r="M229" s="96">
        <f ca="1">IF(C229&gt;=1,L229*VLOOKUP(E229,'Reeksen (N)'!$A$5:$B$76,2),0)</f>
        <v>0</v>
      </c>
      <c r="N229" s="84">
        <f ca="1">(1-('Invoer gegevens (N)'!$F$20/12))*L229*MIN('Reeksen (N)'!B229,'Reeksen (N)'!D229)</f>
        <v>0</v>
      </c>
      <c r="O229" s="84">
        <f>IF('Reeksen (N)'!D229&lt;'Reeksen (N)'!B229,('Reeksen (N)'!B229-'Reeksen (N)'!D229)*L229,0)</f>
        <v>0</v>
      </c>
      <c r="P229" s="84">
        <f ca="1">('Invoer gegevens (N)'!$F$20/12)*L228*MIN('Reeksen (N)'!B228,'Reeksen (N)'!D228)</f>
        <v>0</v>
      </c>
      <c r="Q229" s="84">
        <f t="shared" ca="1" si="34"/>
        <v>0</v>
      </c>
      <c r="R229" s="82">
        <f ca="1">IF('Invoer gegevens (N)'!$C$17=E229,'Invoer gegevens (N)'!$C$11,IF(C229=1,W228,0))</f>
        <v>0</v>
      </c>
      <c r="S229" s="86">
        <f ca="1">IF(C229&gt;=1,R229*VLOOKUP(E229,'Reeksen (N)'!$A$5:$B$76,2),0)</f>
        <v>0</v>
      </c>
      <c r="T229" s="84">
        <f ca="1">(1-('Invoer gegevens (N)'!$F$20/12))*R229*MIN('Reeksen (N)'!B229,'Reeksen (N)'!D229)</f>
        <v>0</v>
      </c>
      <c r="U229" s="84">
        <f>IF('Reeksen (N)'!D229&gt;='Reeksen (N)'!B229,0,IF('Reeksen (N)'!AD229&lt;='Reeksen (N)'!AE229,('Reeksen (N)'!B229-'Reeksen (N)'!D229)*R229,0))</f>
        <v>0</v>
      </c>
      <c r="V229" s="86">
        <f>IF('Reeksen (N)'!D229&gt;='Reeksen (N)'!B229,0,IF('Reeksen (N)'!AD229&gt;'Reeksen (N)'!AE229,('Reeksen (N)'!B229-'Reeksen (N)'!D229)*R229,0))</f>
        <v>0</v>
      </c>
      <c r="W229" s="97">
        <f t="shared" ca="1" si="35"/>
        <v>0</v>
      </c>
      <c r="X229" s="98">
        <f ca="1">IF('Invoer gegevens (N)'!$C$17=E229,'Invoer gegevens (N)'!$C$10-'Invoer gegevens (N)'!$C$11,IF(C229=1,AC228,0))</f>
        <v>0</v>
      </c>
      <c r="Y229" s="98">
        <f ca="1">IF(C229&gt;=1,X229*VLOOKUP(E229,'Reeksen (N)'!$A$5:$B$76,2),0)</f>
        <v>0</v>
      </c>
      <c r="Z229" s="98">
        <f ca="1">(1-('Invoer gegevens (N)'!$F$20/12))*X229*MIN('Reeksen (N)'!B229,'Reeksen (N)'!D229)</f>
        <v>0</v>
      </c>
      <c r="AA229" s="98">
        <f>IF('Reeksen (N)'!D229&gt;='Reeksen (N)'!B229,0,IF('Reeksen (N)'!AD229&lt;='Reeksen (N)'!AE229,('Reeksen (N)'!B229-'Reeksen (N)'!D229)*X229,0))</f>
        <v>0</v>
      </c>
      <c r="AB229" s="98">
        <f>IF('Reeksen (N)'!D229&gt;='Reeksen (N)'!B229,0,IF('Reeksen (N)'!AD229&gt;'Reeksen (N)'!AE229,('Reeksen (N)'!B229-'Reeksen (N)'!D229)*X229,0))</f>
        <v>0</v>
      </c>
      <c r="AC229" s="99">
        <f t="shared" ca="1" si="36"/>
        <v>0</v>
      </c>
      <c r="AD229" s="98">
        <f ca="1">IF('Invoer gegevens (N)'!$C$17=E229,R229,IF(C229=0,0,AE228))</f>
        <v>0</v>
      </c>
      <c r="AE229" s="98">
        <f t="shared" ca="1" si="37"/>
        <v>0</v>
      </c>
      <c r="AF229" s="98">
        <f ca="1">IF('Invoer gegevens (N)'!$C$17=E229,X229,IF(C229=0,0,AG228))</f>
        <v>0</v>
      </c>
      <c r="AG229" s="98">
        <f t="shared" ca="1" si="38"/>
        <v>0</v>
      </c>
      <c r="AH229" s="66"/>
      <c r="AI229" s="71">
        <f ca="1">IF(C229=1,'Reeksen (N)'!AI229*((F229-G229+F229)/2)*12+'Reeksen (N)'!AD229*((L229-M229+L229)/2)*12,0)</f>
        <v>0</v>
      </c>
      <c r="AJ229" s="71">
        <f ca="1">-AI229*'Invoer gegevens (N)'!$F$28</f>
        <v>0</v>
      </c>
      <c r="AK229" s="71">
        <f t="shared" ca="1" si="39"/>
        <v>0</v>
      </c>
      <c r="AL229" s="71">
        <f ca="1">IF(C229=1,'Reeksen (N)'!AL229*((F229-G229+F229)/2)*12+'Reeksen (N)'!AM229*((L229-M229+L229)/2)*12,0)</f>
        <v>0</v>
      </c>
      <c r="AM229" s="71">
        <f ca="1">-AL229*'Invoer gegevens (N)'!$F$31</f>
        <v>0</v>
      </c>
      <c r="AN229" s="71">
        <f t="shared" ca="1" si="40"/>
        <v>0</v>
      </c>
      <c r="AO229" s="71">
        <f ca="1">IF(C229=1,(H229+J229+N229+P229)*'Reeksen (N)'!AN229,0)</f>
        <v>0</v>
      </c>
      <c r="AP229" s="71">
        <f ca="1">-IF(C229=1,(H229+J229+N229+P229)*'Hulp - basis'!$O$550*'Reeksen (N)'!H229,0)</f>
        <v>0</v>
      </c>
      <c r="AQ229" s="71">
        <f ca="1">-IF(C229=1,(F229+K229+L229+Q229)/2*'Invoer gegevens (N)'!$F$35*'Reeksen (N)'!J229,0)*2</f>
        <v>0</v>
      </c>
      <c r="AR229" s="71"/>
      <c r="AS229" s="71">
        <f ca="1">-IF(C229=1,(F229+K229+L229+Q229)/2*'Invoer gegevens (N)'!$F$37*'Reeksen (N)'!L229,0)</f>
        <v>0</v>
      </c>
      <c r="AT229" s="71">
        <f ca="1">-IF(C229=1,IF(E229='Invoer gegevens (N)'!$C$17,'Invoer gegevens (N)'!$C$11,AD229)*'Reeksen (N)'!S229*'Invoer gegevens (N)'!$C$18*'Reeksen (N)'!P229,0)</f>
        <v>0</v>
      </c>
      <c r="AU229" s="71">
        <f ca="1">-IF(C229=1,(F229+K229+L229+Q229)/2*'Invoer gegevens (N)'!$F$38*'Reeksen (N)'!H229,0)</f>
        <v>0</v>
      </c>
      <c r="AV229" s="71">
        <v>0</v>
      </c>
      <c r="AW229" s="71">
        <f t="shared" ca="1" si="41"/>
        <v>0</v>
      </c>
      <c r="AX229" s="71">
        <f ca="1">IF(E229&lt;'Invoer gegevens (N)'!$C$17+15,0,IF(E229&gt;'Invoer gegevens (N)'!$C$17+215,0,AW229))</f>
        <v>0</v>
      </c>
      <c r="AY229" s="71">
        <f ca="1">AX229/(1+'Invoer gegevens (N)'!$F$18)^($AZ229-('Invoer gegevens (N)'!$C$17-'Invoer gegevens (N)'!$C$16))/(1+'Invoer gegevens (N)'!$C$39)^('Invoer gegevens (N)'!$C$17-'Invoer gegevens (N)'!$C$16)</f>
        <v>0</v>
      </c>
      <c r="AZ229" s="68">
        <f ca="1">IF(E229-'Invoer gegevens (N)'!$C$17-14.5&lt;0,0,E229-'Invoer gegevens (N)'!$C$17-14.5)</f>
        <v>209.5</v>
      </c>
    </row>
    <row r="230" spans="1:52" x14ac:dyDescent="0.25">
      <c r="A230" s="59"/>
      <c r="B230" s="70">
        <f t="shared" si="42"/>
        <v>226</v>
      </c>
      <c r="C230" s="67">
        <f ca="1">IF(E230-'Invoer gegevens (N)'!$C$17&lt;0,0,1)</f>
        <v>1</v>
      </c>
      <c r="D230" s="68">
        <f t="shared" si="43"/>
        <v>225.5</v>
      </c>
      <c r="E230" s="69">
        <f ca="1">IF('Invoer gegevens (N)'!$C$16="","",E229+1)</f>
        <v>2244</v>
      </c>
      <c r="F230" s="84">
        <f ca="1">IF('Invoer gegevens (N)'!$C$17=E230,'Invoer gegevens (N)'!$C$10,IF(C230=1,K229,0))</f>
        <v>0</v>
      </c>
      <c r="G230" s="96">
        <f ca="1">IF(C230&gt;=1,F230*VLOOKUP(E230,'Reeksen (N)'!$A$5:$B$76,2),0)</f>
        <v>0</v>
      </c>
      <c r="H230" s="84">
        <f ca="1">(1-('Invoer gegevens (N)'!$F$20/12))*F230*MIN('Reeksen (N)'!B230,'Reeksen (N)'!D230)</f>
        <v>0</v>
      </c>
      <c r="I230" s="84">
        <f>IF('Reeksen (N)'!D230&lt;'Reeksen (N)'!B230,('Reeksen (N)'!B230-'Reeksen (N)'!D230)*F230,0)</f>
        <v>0</v>
      </c>
      <c r="J230" s="84">
        <f ca="1">('Invoer gegevens (N)'!$F$20/12)*F229*MIN('Reeksen (N)'!B229,'Reeksen (N)'!D229)</f>
        <v>0</v>
      </c>
      <c r="K230" s="97">
        <f t="shared" ca="1" si="33"/>
        <v>0</v>
      </c>
      <c r="L230" s="84">
        <f ca="1">IF('Invoer gegevens (N)'!$C$17=E230,0,IF(C230=1,Q229,0))</f>
        <v>0</v>
      </c>
      <c r="M230" s="96">
        <f ca="1">IF(C230&gt;=1,L230*VLOOKUP(E230,'Reeksen (N)'!$A$5:$B$76,2),0)</f>
        <v>0</v>
      </c>
      <c r="N230" s="84">
        <f ca="1">(1-('Invoer gegevens (N)'!$F$20/12))*L230*MIN('Reeksen (N)'!B230,'Reeksen (N)'!D230)</f>
        <v>0</v>
      </c>
      <c r="O230" s="84">
        <f>IF('Reeksen (N)'!D230&lt;'Reeksen (N)'!B230,('Reeksen (N)'!B230-'Reeksen (N)'!D230)*L230,0)</f>
        <v>0</v>
      </c>
      <c r="P230" s="84">
        <f ca="1">('Invoer gegevens (N)'!$F$20/12)*L229*MIN('Reeksen (N)'!B229,'Reeksen (N)'!D229)</f>
        <v>0</v>
      </c>
      <c r="Q230" s="84">
        <f t="shared" ca="1" si="34"/>
        <v>0</v>
      </c>
      <c r="R230" s="82">
        <f ca="1">IF('Invoer gegevens (N)'!$C$17=E230,'Invoer gegevens (N)'!$C$11,IF(C230=1,W229,0))</f>
        <v>0</v>
      </c>
      <c r="S230" s="86">
        <f ca="1">IF(C230&gt;=1,R230*VLOOKUP(E230,'Reeksen (N)'!$A$5:$B$76,2),0)</f>
        <v>0</v>
      </c>
      <c r="T230" s="84">
        <f ca="1">(1-('Invoer gegevens (N)'!$F$20/12))*R230*MIN('Reeksen (N)'!B230,'Reeksen (N)'!D230)</f>
        <v>0</v>
      </c>
      <c r="U230" s="84">
        <f>IF('Reeksen (N)'!D230&gt;='Reeksen (N)'!B230,0,IF('Reeksen (N)'!AD230&lt;='Reeksen (N)'!AE230,('Reeksen (N)'!B230-'Reeksen (N)'!D230)*R230,0))</f>
        <v>0</v>
      </c>
      <c r="V230" s="86">
        <f>IF('Reeksen (N)'!D230&gt;='Reeksen (N)'!B230,0,IF('Reeksen (N)'!AD230&gt;'Reeksen (N)'!AE230,('Reeksen (N)'!B230-'Reeksen (N)'!D230)*R230,0))</f>
        <v>0</v>
      </c>
      <c r="W230" s="97">
        <f t="shared" ca="1" si="35"/>
        <v>0</v>
      </c>
      <c r="X230" s="98">
        <f ca="1">IF('Invoer gegevens (N)'!$C$17=E230,'Invoer gegevens (N)'!$C$10-'Invoer gegevens (N)'!$C$11,IF(C230=1,AC229,0))</f>
        <v>0</v>
      </c>
      <c r="Y230" s="98">
        <f ca="1">IF(C230&gt;=1,X230*VLOOKUP(E230,'Reeksen (N)'!$A$5:$B$76,2),0)</f>
        <v>0</v>
      </c>
      <c r="Z230" s="98">
        <f ca="1">(1-('Invoer gegevens (N)'!$F$20/12))*X230*MIN('Reeksen (N)'!B230,'Reeksen (N)'!D230)</f>
        <v>0</v>
      </c>
      <c r="AA230" s="98">
        <f>IF('Reeksen (N)'!D230&gt;='Reeksen (N)'!B230,0,IF('Reeksen (N)'!AD230&lt;='Reeksen (N)'!AE230,('Reeksen (N)'!B230-'Reeksen (N)'!D230)*X230,0))</f>
        <v>0</v>
      </c>
      <c r="AB230" s="98">
        <f>IF('Reeksen (N)'!D230&gt;='Reeksen (N)'!B230,0,IF('Reeksen (N)'!AD230&gt;'Reeksen (N)'!AE230,('Reeksen (N)'!B230-'Reeksen (N)'!D230)*X230,0))</f>
        <v>0</v>
      </c>
      <c r="AC230" s="99">
        <f t="shared" ca="1" si="36"/>
        <v>0</v>
      </c>
      <c r="AD230" s="98">
        <f ca="1">IF('Invoer gegevens (N)'!$C$17=E230,R230,IF(C230=0,0,AE229))</f>
        <v>0</v>
      </c>
      <c r="AE230" s="98">
        <f t="shared" ca="1" si="37"/>
        <v>0</v>
      </c>
      <c r="AF230" s="98">
        <f ca="1">IF('Invoer gegevens (N)'!$C$17=E230,X230,IF(C230=0,0,AG229))</f>
        <v>0</v>
      </c>
      <c r="AG230" s="98">
        <f t="shared" ca="1" si="38"/>
        <v>0</v>
      </c>
      <c r="AH230" s="66"/>
      <c r="AI230" s="71">
        <f ca="1">IF(C230=1,'Reeksen (N)'!AI230*((F230-G230+F230)/2)*12+'Reeksen (N)'!AD230*((L230-M230+L230)/2)*12,0)</f>
        <v>0</v>
      </c>
      <c r="AJ230" s="71">
        <f ca="1">-AI230*'Invoer gegevens (N)'!$F$28</f>
        <v>0</v>
      </c>
      <c r="AK230" s="71">
        <f t="shared" ca="1" si="39"/>
        <v>0</v>
      </c>
      <c r="AL230" s="71">
        <f ca="1">IF(C230=1,'Reeksen (N)'!AL230*((F230-G230+F230)/2)*12+'Reeksen (N)'!AM230*((L230-M230+L230)/2)*12,0)</f>
        <v>0</v>
      </c>
      <c r="AM230" s="71">
        <f ca="1">-AL230*'Invoer gegevens (N)'!$F$31</f>
        <v>0</v>
      </c>
      <c r="AN230" s="71">
        <f t="shared" ca="1" si="40"/>
        <v>0</v>
      </c>
      <c r="AO230" s="71">
        <f ca="1">IF(C230=1,(H230+J230+N230+P230)*'Reeksen (N)'!AN230,0)</f>
        <v>0</v>
      </c>
      <c r="AP230" s="71">
        <f ca="1">-IF(C230=1,(H230+J230+N230+P230)*'Hulp - basis'!$O$550*'Reeksen (N)'!H230,0)</f>
        <v>0</v>
      </c>
      <c r="AQ230" s="71">
        <f ca="1">-IF(C230=1,(F230+K230+L230+Q230)/2*'Invoer gegevens (N)'!$F$35*'Reeksen (N)'!J230,0)*2</f>
        <v>0</v>
      </c>
      <c r="AR230" s="71"/>
      <c r="AS230" s="71">
        <f ca="1">-IF(C230=1,(F230+K230+L230+Q230)/2*'Invoer gegevens (N)'!$F$37*'Reeksen (N)'!L230,0)</f>
        <v>0</v>
      </c>
      <c r="AT230" s="71">
        <f ca="1">-IF(C230=1,IF(E230='Invoer gegevens (N)'!$C$17,'Invoer gegevens (N)'!$C$11,AD230)*'Reeksen (N)'!S230*'Invoer gegevens (N)'!$C$18*'Reeksen (N)'!P230,0)</f>
        <v>0</v>
      </c>
      <c r="AU230" s="71">
        <f ca="1">-IF(C230=1,(F230+K230+L230+Q230)/2*'Invoer gegevens (N)'!$F$38*'Reeksen (N)'!H230,0)</f>
        <v>0</v>
      </c>
      <c r="AV230" s="71">
        <v>0</v>
      </c>
      <c r="AW230" s="71">
        <f t="shared" ca="1" si="41"/>
        <v>0</v>
      </c>
      <c r="AX230" s="71">
        <f ca="1">IF(E230&lt;'Invoer gegevens (N)'!$C$17+15,0,IF(E230&gt;'Invoer gegevens (N)'!$C$17+215,0,AW230))</f>
        <v>0</v>
      </c>
      <c r="AY230" s="71">
        <f ca="1">AX230/(1+'Invoer gegevens (N)'!$F$18)^($AZ230-('Invoer gegevens (N)'!$C$17-'Invoer gegevens (N)'!$C$16))/(1+'Invoer gegevens (N)'!$C$39)^('Invoer gegevens (N)'!$C$17-'Invoer gegevens (N)'!$C$16)</f>
        <v>0</v>
      </c>
      <c r="AZ230" s="68">
        <f ca="1">IF(E230-'Invoer gegevens (N)'!$C$17-14.5&lt;0,0,E230-'Invoer gegevens (N)'!$C$17-14.5)</f>
        <v>210.5</v>
      </c>
    </row>
    <row r="231" spans="1:52" x14ac:dyDescent="0.25">
      <c r="A231" s="59"/>
      <c r="B231" s="70">
        <f t="shared" si="42"/>
        <v>227</v>
      </c>
      <c r="C231" s="67">
        <f ca="1">IF(E231-'Invoer gegevens (N)'!$C$17&lt;0,0,1)</f>
        <v>1</v>
      </c>
      <c r="D231" s="68">
        <f t="shared" si="43"/>
        <v>226.5</v>
      </c>
      <c r="E231" s="69">
        <f ca="1">IF('Invoer gegevens (N)'!$C$16="","",E230+1)</f>
        <v>2245</v>
      </c>
      <c r="F231" s="84">
        <f ca="1">IF('Invoer gegevens (N)'!$C$17=E231,'Invoer gegevens (N)'!$C$10,IF(C231=1,K230,0))</f>
        <v>0</v>
      </c>
      <c r="G231" s="96">
        <f ca="1">IF(C231&gt;=1,F231*VLOOKUP(E231,'Reeksen (N)'!$A$5:$B$76,2),0)</f>
        <v>0</v>
      </c>
      <c r="H231" s="84">
        <f ca="1">(1-('Invoer gegevens (N)'!$F$20/12))*F231*MIN('Reeksen (N)'!B231,'Reeksen (N)'!D231)</f>
        <v>0</v>
      </c>
      <c r="I231" s="84">
        <f>IF('Reeksen (N)'!D231&lt;'Reeksen (N)'!B231,('Reeksen (N)'!B231-'Reeksen (N)'!D231)*F231,0)</f>
        <v>0</v>
      </c>
      <c r="J231" s="84">
        <f ca="1">('Invoer gegevens (N)'!$F$20/12)*F230*MIN('Reeksen (N)'!B230,'Reeksen (N)'!D230)</f>
        <v>0</v>
      </c>
      <c r="K231" s="97">
        <f t="shared" ca="1" si="33"/>
        <v>0</v>
      </c>
      <c r="L231" s="84">
        <f ca="1">IF('Invoer gegevens (N)'!$C$17=E231,0,IF(C231=1,Q230,0))</f>
        <v>0</v>
      </c>
      <c r="M231" s="96">
        <f ca="1">IF(C231&gt;=1,L231*VLOOKUP(E231,'Reeksen (N)'!$A$5:$B$76,2),0)</f>
        <v>0</v>
      </c>
      <c r="N231" s="84">
        <f ca="1">(1-('Invoer gegevens (N)'!$F$20/12))*L231*MIN('Reeksen (N)'!B231,'Reeksen (N)'!D231)</f>
        <v>0</v>
      </c>
      <c r="O231" s="84">
        <f>IF('Reeksen (N)'!D231&lt;'Reeksen (N)'!B231,('Reeksen (N)'!B231-'Reeksen (N)'!D231)*L231,0)</f>
        <v>0</v>
      </c>
      <c r="P231" s="84">
        <f ca="1">('Invoer gegevens (N)'!$F$20/12)*L230*MIN('Reeksen (N)'!B230,'Reeksen (N)'!D230)</f>
        <v>0</v>
      </c>
      <c r="Q231" s="84">
        <f t="shared" ca="1" si="34"/>
        <v>0</v>
      </c>
      <c r="R231" s="82">
        <f ca="1">IF('Invoer gegevens (N)'!$C$17=E231,'Invoer gegevens (N)'!$C$11,IF(C231=1,W230,0))</f>
        <v>0</v>
      </c>
      <c r="S231" s="86">
        <f ca="1">IF(C231&gt;=1,R231*VLOOKUP(E231,'Reeksen (N)'!$A$5:$B$76,2),0)</f>
        <v>0</v>
      </c>
      <c r="T231" s="84">
        <f ca="1">(1-('Invoer gegevens (N)'!$F$20/12))*R231*MIN('Reeksen (N)'!B231,'Reeksen (N)'!D231)</f>
        <v>0</v>
      </c>
      <c r="U231" s="84">
        <f>IF('Reeksen (N)'!D231&gt;='Reeksen (N)'!B231,0,IF('Reeksen (N)'!AD231&lt;='Reeksen (N)'!AE231,('Reeksen (N)'!B231-'Reeksen (N)'!D231)*R231,0))</f>
        <v>0</v>
      </c>
      <c r="V231" s="86">
        <f>IF('Reeksen (N)'!D231&gt;='Reeksen (N)'!B231,0,IF('Reeksen (N)'!AD231&gt;'Reeksen (N)'!AE231,('Reeksen (N)'!B231-'Reeksen (N)'!D231)*R231,0))</f>
        <v>0</v>
      </c>
      <c r="W231" s="97">
        <f t="shared" ca="1" si="35"/>
        <v>0</v>
      </c>
      <c r="X231" s="98">
        <f ca="1">IF('Invoer gegevens (N)'!$C$17=E231,'Invoer gegevens (N)'!$C$10-'Invoer gegevens (N)'!$C$11,IF(C231=1,AC230,0))</f>
        <v>0</v>
      </c>
      <c r="Y231" s="98">
        <f ca="1">IF(C231&gt;=1,X231*VLOOKUP(E231,'Reeksen (N)'!$A$5:$B$76,2),0)</f>
        <v>0</v>
      </c>
      <c r="Z231" s="98">
        <f ca="1">(1-('Invoer gegevens (N)'!$F$20/12))*X231*MIN('Reeksen (N)'!B231,'Reeksen (N)'!D231)</f>
        <v>0</v>
      </c>
      <c r="AA231" s="98">
        <f>IF('Reeksen (N)'!D231&gt;='Reeksen (N)'!B231,0,IF('Reeksen (N)'!AD231&lt;='Reeksen (N)'!AE231,('Reeksen (N)'!B231-'Reeksen (N)'!D231)*X231,0))</f>
        <v>0</v>
      </c>
      <c r="AB231" s="98">
        <f>IF('Reeksen (N)'!D231&gt;='Reeksen (N)'!B231,0,IF('Reeksen (N)'!AD231&gt;'Reeksen (N)'!AE231,('Reeksen (N)'!B231-'Reeksen (N)'!D231)*X231,0))</f>
        <v>0</v>
      </c>
      <c r="AC231" s="99">
        <f t="shared" ca="1" si="36"/>
        <v>0</v>
      </c>
      <c r="AD231" s="98">
        <f ca="1">IF('Invoer gegevens (N)'!$C$17=E231,R231,IF(C231=0,0,AE230))</f>
        <v>0</v>
      </c>
      <c r="AE231" s="98">
        <f t="shared" ca="1" si="37"/>
        <v>0</v>
      </c>
      <c r="AF231" s="98">
        <f ca="1">IF('Invoer gegevens (N)'!$C$17=E231,X231,IF(C231=0,0,AG230))</f>
        <v>0</v>
      </c>
      <c r="AG231" s="98">
        <f t="shared" ca="1" si="38"/>
        <v>0</v>
      </c>
      <c r="AH231" s="66"/>
      <c r="AI231" s="71">
        <f ca="1">IF(C231=1,'Reeksen (N)'!AI231*((F231-G231+F231)/2)*12+'Reeksen (N)'!AD231*((L231-M231+L231)/2)*12,0)</f>
        <v>0</v>
      </c>
      <c r="AJ231" s="71">
        <f ca="1">-AI231*'Invoer gegevens (N)'!$F$28</f>
        <v>0</v>
      </c>
      <c r="AK231" s="71">
        <f t="shared" ca="1" si="39"/>
        <v>0</v>
      </c>
      <c r="AL231" s="71">
        <f ca="1">IF(C231=1,'Reeksen (N)'!AL231*((F231-G231+F231)/2)*12+'Reeksen (N)'!AM231*((L231-M231+L231)/2)*12,0)</f>
        <v>0</v>
      </c>
      <c r="AM231" s="71">
        <f ca="1">-AL231*'Invoer gegevens (N)'!$F$31</f>
        <v>0</v>
      </c>
      <c r="AN231" s="71">
        <f t="shared" ca="1" si="40"/>
        <v>0</v>
      </c>
      <c r="AO231" s="71">
        <f ca="1">IF(C231=1,(H231+J231+N231+P231)*'Reeksen (N)'!AN231,0)</f>
        <v>0</v>
      </c>
      <c r="AP231" s="71">
        <f ca="1">-IF(C231=1,(H231+J231+N231+P231)*'Hulp - basis'!$O$550*'Reeksen (N)'!H231,0)</f>
        <v>0</v>
      </c>
      <c r="AQ231" s="71">
        <f ca="1">-IF(C231=1,(F231+K231+L231+Q231)/2*'Invoer gegevens (N)'!$F$35*'Reeksen (N)'!J231,0)*2</f>
        <v>0</v>
      </c>
      <c r="AR231" s="71"/>
      <c r="AS231" s="71">
        <f ca="1">-IF(C231=1,(F231+K231+L231+Q231)/2*'Invoer gegevens (N)'!$F$37*'Reeksen (N)'!L231,0)</f>
        <v>0</v>
      </c>
      <c r="AT231" s="71">
        <f ca="1">-IF(C231=1,IF(E231='Invoer gegevens (N)'!$C$17,'Invoer gegevens (N)'!$C$11,AD231)*'Reeksen (N)'!S231*'Invoer gegevens (N)'!$C$18*'Reeksen (N)'!P231,0)</f>
        <v>0</v>
      </c>
      <c r="AU231" s="71">
        <f ca="1">-IF(C231=1,(F231+K231+L231+Q231)/2*'Invoer gegevens (N)'!$F$38*'Reeksen (N)'!H231,0)</f>
        <v>0</v>
      </c>
      <c r="AV231" s="71">
        <v>0</v>
      </c>
      <c r="AW231" s="71">
        <f t="shared" ca="1" si="41"/>
        <v>0</v>
      </c>
      <c r="AX231" s="71">
        <f ca="1">IF(E231&lt;'Invoer gegevens (N)'!$C$17+15,0,IF(E231&gt;'Invoer gegevens (N)'!$C$17+215,0,AW231))</f>
        <v>0</v>
      </c>
      <c r="AY231" s="71">
        <f ca="1">AX231/(1+'Invoer gegevens (N)'!$F$18)^($AZ231-('Invoer gegevens (N)'!$C$17-'Invoer gegevens (N)'!$C$16))/(1+'Invoer gegevens (N)'!$C$39)^('Invoer gegevens (N)'!$C$17-'Invoer gegevens (N)'!$C$16)</f>
        <v>0</v>
      </c>
      <c r="AZ231" s="68">
        <f ca="1">IF(E231-'Invoer gegevens (N)'!$C$17-14.5&lt;0,0,E231-'Invoer gegevens (N)'!$C$17-14.5)</f>
        <v>211.5</v>
      </c>
    </row>
    <row r="232" spans="1:52" x14ac:dyDescent="0.25">
      <c r="A232" s="59"/>
      <c r="B232" s="70">
        <f t="shared" si="42"/>
        <v>228</v>
      </c>
      <c r="C232" s="67">
        <f ca="1">IF(E232-'Invoer gegevens (N)'!$C$17&lt;0,0,1)</f>
        <v>1</v>
      </c>
      <c r="D232" s="68">
        <f t="shared" si="43"/>
        <v>227.5</v>
      </c>
      <c r="E232" s="69">
        <f ca="1">IF('Invoer gegevens (N)'!$C$16="","",E231+1)</f>
        <v>2246</v>
      </c>
      <c r="F232" s="84">
        <f ca="1">IF('Invoer gegevens (N)'!$C$17=E232,'Invoer gegevens (N)'!$C$10,IF(C232=1,K231,0))</f>
        <v>0</v>
      </c>
      <c r="G232" s="96">
        <f ca="1">IF(C232&gt;=1,F232*VLOOKUP(E232,'Reeksen (N)'!$A$5:$B$76,2),0)</f>
        <v>0</v>
      </c>
      <c r="H232" s="84">
        <f ca="1">(1-('Invoer gegevens (N)'!$F$20/12))*F232*MIN('Reeksen (N)'!B232,'Reeksen (N)'!D232)</f>
        <v>0</v>
      </c>
      <c r="I232" s="84">
        <f>IF('Reeksen (N)'!D232&lt;'Reeksen (N)'!B232,('Reeksen (N)'!B232-'Reeksen (N)'!D232)*F232,0)</f>
        <v>0</v>
      </c>
      <c r="J232" s="84">
        <f ca="1">('Invoer gegevens (N)'!$F$20/12)*F231*MIN('Reeksen (N)'!B231,'Reeksen (N)'!D231)</f>
        <v>0</v>
      </c>
      <c r="K232" s="97">
        <f t="shared" ca="1" si="33"/>
        <v>0</v>
      </c>
      <c r="L232" s="84">
        <f ca="1">IF('Invoer gegevens (N)'!$C$17=E232,0,IF(C232=1,Q231,0))</f>
        <v>0</v>
      </c>
      <c r="M232" s="96">
        <f ca="1">IF(C232&gt;=1,L232*VLOOKUP(E232,'Reeksen (N)'!$A$5:$B$76,2),0)</f>
        <v>0</v>
      </c>
      <c r="N232" s="84">
        <f ca="1">(1-('Invoer gegevens (N)'!$F$20/12))*L232*MIN('Reeksen (N)'!B232,'Reeksen (N)'!D232)</f>
        <v>0</v>
      </c>
      <c r="O232" s="84">
        <f>IF('Reeksen (N)'!D232&lt;'Reeksen (N)'!B232,('Reeksen (N)'!B232-'Reeksen (N)'!D232)*L232,0)</f>
        <v>0</v>
      </c>
      <c r="P232" s="84">
        <f ca="1">('Invoer gegevens (N)'!$F$20/12)*L231*MIN('Reeksen (N)'!B231,'Reeksen (N)'!D231)</f>
        <v>0</v>
      </c>
      <c r="Q232" s="84">
        <f t="shared" ca="1" si="34"/>
        <v>0</v>
      </c>
      <c r="R232" s="82">
        <f ca="1">IF('Invoer gegevens (N)'!$C$17=E232,'Invoer gegevens (N)'!$C$11,IF(C232=1,W231,0))</f>
        <v>0</v>
      </c>
      <c r="S232" s="86">
        <f ca="1">IF(C232&gt;=1,R232*VLOOKUP(E232,'Reeksen (N)'!$A$5:$B$76,2),0)</f>
        <v>0</v>
      </c>
      <c r="T232" s="84">
        <f ca="1">(1-('Invoer gegevens (N)'!$F$20/12))*R232*MIN('Reeksen (N)'!B232,'Reeksen (N)'!D232)</f>
        <v>0</v>
      </c>
      <c r="U232" s="84">
        <f>IF('Reeksen (N)'!D232&gt;='Reeksen (N)'!B232,0,IF('Reeksen (N)'!AD232&lt;='Reeksen (N)'!AE232,('Reeksen (N)'!B232-'Reeksen (N)'!D232)*R232,0))</f>
        <v>0</v>
      </c>
      <c r="V232" s="86">
        <f>IF('Reeksen (N)'!D232&gt;='Reeksen (N)'!B232,0,IF('Reeksen (N)'!AD232&gt;'Reeksen (N)'!AE232,('Reeksen (N)'!B232-'Reeksen (N)'!D232)*R232,0))</f>
        <v>0</v>
      </c>
      <c r="W232" s="97">
        <f t="shared" ca="1" si="35"/>
        <v>0</v>
      </c>
      <c r="X232" s="98">
        <f ca="1">IF('Invoer gegevens (N)'!$C$17=E232,'Invoer gegevens (N)'!$C$10-'Invoer gegevens (N)'!$C$11,IF(C232=1,AC231,0))</f>
        <v>0</v>
      </c>
      <c r="Y232" s="98">
        <f ca="1">IF(C232&gt;=1,X232*VLOOKUP(E232,'Reeksen (N)'!$A$5:$B$76,2),0)</f>
        <v>0</v>
      </c>
      <c r="Z232" s="98">
        <f ca="1">(1-('Invoer gegevens (N)'!$F$20/12))*X232*MIN('Reeksen (N)'!B232,'Reeksen (N)'!D232)</f>
        <v>0</v>
      </c>
      <c r="AA232" s="98">
        <f>IF('Reeksen (N)'!D232&gt;='Reeksen (N)'!B232,0,IF('Reeksen (N)'!AD232&lt;='Reeksen (N)'!AE232,('Reeksen (N)'!B232-'Reeksen (N)'!D232)*X232,0))</f>
        <v>0</v>
      </c>
      <c r="AB232" s="98">
        <f>IF('Reeksen (N)'!D232&gt;='Reeksen (N)'!B232,0,IF('Reeksen (N)'!AD232&gt;'Reeksen (N)'!AE232,('Reeksen (N)'!B232-'Reeksen (N)'!D232)*X232,0))</f>
        <v>0</v>
      </c>
      <c r="AC232" s="99">
        <f t="shared" ca="1" si="36"/>
        <v>0</v>
      </c>
      <c r="AD232" s="98">
        <f ca="1">IF('Invoer gegevens (N)'!$C$17=E232,R232,IF(C232=0,0,AE231))</f>
        <v>0</v>
      </c>
      <c r="AE232" s="98">
        <f t="shared" ca="1" si="37"/>
        <v>0</v>
      </c>
      <c r="AF232" s="98">
        <f ca="1">IF('Invoer gegevens (N)'!$C$17=E232,X232,IF(C232=0,0,AG231))</f>
        <v>0</v>
      </c>
      <c r="AG232" s="98">
        <f t="shared" ca="1" si="38"/>
        <v>0</v>
      </c>
      <c r="AH232" s="66"/>
      <c r="AI232" s="71">
        <f ca="1">IF(C232=1,'Reeksen (N)'!AI232*((F232-G232+F232)/2)*12+'Reeksen (N)'!AD232*((L232-M232+L232)/2)*12,0)</f>
        <v>0</v>
      </c>
      <c r="AJ232" s="71">
        <f ca="1">-AI232*'Invoer gegevens (N)'!$F$28</f>
        <v>0</v>
      </c>
      <c r="AK232" s="71">
        <f t="shared" ca="1" si="39"/>
        <v>0</v>
      </c>
      <c r="AL232" s="71">
        <f ca="1">IF(C232=1,'Reeksen (N)'!AL232*((F232-G232+F232)/2)*12+'Reeksen (N)'!AM232*((L232-M232+L232)/2)*12,0)</f>
        <v>0</v>
      </c>
      <c r="AM232" s="71">
        <f ca="1">-AL232*'Invoer gegevens (N)'!$F$31</f>
        <v>0</v>
      </c>
      <c r="AN232" s="71">
        <f t="shared" ca="1" si="40"/>
        <v>0</v>
      </c>
      <c r="AO232" s="71">
        <f ca="1">IF(C232=1,(H232+J232+N232+P232)*'Reeksen (N)'!AN232,0)</f>
        <v>0</v>
      </c>
      <c r="AP232" s="71">
        <f ca="1">-IF(C232=1,(H232+J232+N232+P232)*'Hulp - basis'!$O$550*'Reeksen (N)'!H232,0)</f>
        <v>0</v>
      </c>
      <c r="AQ232" s="71">
        <f ca="1">-IF(C232=1,(F232+K232+L232+Q232)/2*'Invoer gegevens (N)'!$F$35*'Reeksen (N)'!J232,0)*2</f>
        <v>0</v>
      </c>
      <c r="AR232" s="71"/>
      <c r="AS232" s="71">
        <f ca="1">-IF(C232=1,(F232+K232+L232+Q232)/2*'Invoer gegevens (N)'!$F$37*'Reeksen (N)'!L232,0)</f>
        <v>0</v>
      </c>
      <c r="AT232" s="71">
        <f ca="1">-IF(C232=1,IF(E232='Invoer gegevens (N)'!$C$17,'Invoer gegevens (N)'!$C$11,AD232)*'Reeksen (N)'!S232*'Invoer gegevens (N)'!$C$18*'Reeksen (N)'!P232,0)</f>
        <v>0</v>
      </c>
      <c r="AU232" s="71">
        <f ca="1">-IF(C232=1,(F232+K232+L232+Q232)/2*'Invoer gegevens (N)'!$F$38*'Reeksen (N)'!H232,0)</f>
        <v>0</v>
      </c>
      <c r="AV232" s="71">
        <v>0</v>
      </c>
      <c r="AW232" s="71">
        <f t="shared" ca="1" si="41"/>
        <v>0</v>
      </c>
      <c r="AX232" s="71">
        <f ca="1">IF(E232&lt;'Invoer gegevens (N)'!$C$17+15,0,IF(E232&gt;'Invoer gegevens (N)'!$C$17+215,0,AW232))</f>
        <v>0</v>
      </c>
      <c r="AY232" s="71">
        <f ca="1">AX232/(1+'Invoer gegevens (N)'!$F$18)^($AZ232-('Invoer gegevens (N)'!$C$17-'Invoer gegevens (N)'!$C$16))/(1+'Invoer gegevens (N)'!$C$39)^('Invoer gegevens (N)'!$C$17-'Invoer gegevens (N)'!$C$16)</f>
        <v>0</v>
      </c>
      <c r="AZ232" s="68">
        <f ca="1">IF(E232-'Invoer gegevens (N)'!$C$17-14.5&lt;0,0,E232-'Invoer gegevens (N)'!$C$17-14.5)</f>
        <v>212.5</v>
      </c>
    </row>
    <row r="233" spans="1:52" x14ac:dyDescent="0.25">
      <c r="A233" s="59"/>
      <c r="B233" s="70">
        <f t="shared" si="42"/>
        <v>229</v>
      </c>
      <c r="C233" s="67">
        <f ca="1">IF(E233-'Invoer gegevens (N)'!$C$17&lt;0,0,1)</f>
        <v>1</v>
      </c>
      <c r="D233" s="68">
        <f t="shared" si="43"/>
        <v>228.5</v>
      </c>
      <c r="E233" s="69">
        <f ca="1">IF('Invoer gegevens (N)'!$C$16="","",E232+1)</f>
        <v>2247</v>
      </c>
      <c r="F233" s="84">
        <f ca="1">IF('Invoer gegevens (N)'!$C$17=E233,'Invoer gegevens (N)'!$C$10,IF(C233=1,K232,0))</f>
        <v>0</v>
      </c>
      <c r="G233" s="96">
        <f ca="1">IF(C233&gt;=1,F233*VLOOKUP(E233,'Reeksen (N)'!$A$5:$B$76,2),0)</f>
        <v>0</v>
      </c>
      <c r="H233" s="84">
        <f ca="1">(1-('Invoer gegevens (N)'!$F$20/12))*F233*MIN('Reeksen (N)'!B233,'Reeksen (N)'!D233)</f>
        <v>0</v>
      </c>
      <c r="I233" s="84">
        <f>IF('Reeksen (N)'!D233&lt;'Reeksen (N)'!B233,('Reeksen (N)'!B233-'Reeksen (N)'!D233)*F233,0)</f>
        <v>0</v>
      </c>
      <c r="J233" s="84">
        <f ca="1">('Invoer gegevens (N)'!$F$20/12)*F232*MIN('Reeksen (N)'!B232,'Reeksen (N)'!D232)</f>
        <v>0</v>
      </c>
      <c r="K233" s="97">
        <f t="shared" ca="1" si="33"/>
        <v>0</v>
      </c>
      <c r="L233" s="84">
        <f ca="1">IF('Invoer gegevens (N)'!$C$17=E233,0,IF(C233=1,Q232,0))</f>
        <v>0</v>
      </c>
      <c r="M233" s="96">
        <f ca="1">IF(C233&gt;=1,L233*VLOOKUP(E233,'Reeksen (N)'!$A$5:$B$76,2),0)</f>
        <v>0</v>
      </c>
      <c r="N233" s="84">
        <f ca="1">(1-('Invoer gegevens (N)'!$F$20/12))*L233*MIN('Reeksen (N)'!B233,'Reeksen (N)'!D233)</f>
        <v>0</v>
      </c>
      <c r="O233" s="84">
        <f>IF('Reeksen (N)'!D233&lt;'Reeksen (N)'!B233,('Reeksen (N)'!B233-'Reeksen (N)'!D233)*L233,0)</f>
        <v>0</v>
      </c>
      <c r="P233" s="84">
        <f ca="1">('Invoer gegevens (N)'!$F$20/12)*L232*MIN('Reeksen (N)'!B232,'Reeksen (N)'!D232)</f>
        <v>0</v>
      </c>
      <c r="Q233" s="84">
        <f t="shared" ca="1" si="34"/>
        <v>0</v>
      </c>
      <c r="R233" s="82">
        <f ca="1">IF('Invoer gegevens (N)'!$C$17=E233,'Invoer gegevens (N)'!$C$11,IF(C233=1,W232,0))</f>
        <v>0</v>
      </c>
      <c r="S233" s="86">
        <f ca="1">IF(C233&gt;=1,R233*VLOOKUP(E233,'Reeksen (N)'!$A$5:$B$76,2),0)</f>
        <v>0</v>
      </c>
      <c r="T233" s="84">
        <f ca="1">(1-('Invoer gegevens (N)'!$F$20/12))*R233*MIN('Reeksen (N)'!B233,'Reeksen (N)'!D233)</f>
        <v>0</v>
      </c>
      <c r="U233" s="84">
        <f>IF('Reeksen (N)'!D233&gt;='Reeksen (N)'!B233,0,IF('Reeksen (N)'!AD233&lt;='Reeksen (N)'!AE233,('Reeksen (N)'!B233-'Reeksen (N)'!D233)*R233,0))</f>
        <v>0</v>
      </c>
      <c r="V233" s="86">
        <f>IF('Reeksen (N)'!D233&gt;='Reeksen (N)'!B233,0,IF('Reeksen (N)'!AD233&gt;'Reeksen (N)'!AE233,('Reeksen (N)'!B233-'Reeksen (N)'!D233)*R233,0))</f>
        <v>0</v>
      </c>
      <c r="W233" s="97">
        <f t="shared" ca="1" si="35"/>
        <v>0</v>
      </c>
      <c r="X233" s="98">
        <f ca="1">IF('Invoer gegevens (N)'!$C$17=E233,'Invoer gegevens (N)'!$C$10-'Invoer gegevens (N)'!$C$11,IF(C233=1,AC232,0))</f>
        <v>0</v>
      </c>
      <c r="Y233" s="98">
        <f ca="1">IF(C233&gt;=1,X233*VLOOKUP(E233,'Reeksen (N)'!$A$5:$B$76,2),0)</f>
        <v>0</v>
      </c>
      <c r="Z233" s="98">
        <f ca="1">(1-('Invoer gegevens (N)'!$F$20/12))*X233*MIN('Reeksen (N)'!B233,'Reeksen (N)'!D233)</f>
        <v>0</v>
      </c>
      <c r="AA233" s="98">
        <f>IF('Reeksen (N)'!D233&gt;='Reeksen (N)'!B233,0,IF('Reeksen (N)'!AD233&lt;='Reeksen (N)'!AE233,('Reeksen (N)'!B233-'Reeksen (N)'!D233)*X233,0))</f>
        <v>0</v>
      </c>
      <c r="AB233" s="98">
        <f>IF('Reeksen (N)'!D233&gt;='Reeksen (N)'!B233,0,IF('Reeksen (N)'!AD233&gt;'Reeksen (N)'!AE233,('Reeksen (N)'!B233-'Reeksen (N)'!D233)*X233,0))</f>
        <v>0</v>
      </c>
      <c r="AC233" s="99">
        <f t="shared" ca="1" si="36"/>
        <v>0</v>
      </c>
      <c r="AD233" s="98">
        <f ca="1">IF('Invoer gegevens (N)'!$C$17=E233,R233,IF(C233=0,0,AE232))</f>
        <v>0</v>
      </c>
      <c r="AE233" s="98">
        <f t="shared" ca="1" si="37"/>
        <v>0</v>
      </c>
      <c r="AF233" s="98">
        <f ca="1">IF('Invoer gegevens (N)'!$C$17=E233,X233,IF(C233=0,0,AG232))</f>
        <v>0</v>
      </c>
      <c r="AG233" s="98">
        <f t="shared" ca="1" si="38"/>
        <v>0</v>
      </c>
      <c r="AH233" s="66"/>
      <c r="AI233" s="71">
        <f ca="1">IF(C233=1,'Reeksen (N)'!AI233*((F233-G233+F233)/2)*12+'Reeksen (N)'!AD233*((L233-M233+L233)/2)*12,0)</f>
        <v>0</v>
      </c>
      <c r="AJ233" s="71">
        <f ca="1">-AI233*'Invoer gegevens (N)'!$F$28</f>
        <v>0</v>
      </c>
      <c r="AK233" s="71">
        <f t="shared" ca="1" si="39"/>
        <v>0</v>
      </c>
      <c r="AL233" s="71">
        <f ca="1">IF(C233=1,'Reeksen (N)'!AL233*((F233-G233+F233)/2)*12+'Reeksen (N)'!AM233*((L233-M233+L233)/2)*12,0)</f>
        <v>0</v>
      </c>
      <c r="AM233" s="71">
        <f ca="1">-AL233*'Invoer gegevens (N)'!$F$31</f>
        <v>0</v>
      </c>
      <c r="AN233" s="71">
        <f t="shared" ca="1" si="40"/>
        <v>0</v>
      </c>
      <c r="AO233" s="71">
        <f ca="1">IF(C233=1,(H233+J233+N233+P233)*'Reeksen (N)'!AN233,0)</f>
        <v>0</v>
      </c>
      <c r="AP233" s="71">
        <f ca="1">-IF(C233=1,(H233+J233+N233+P233)*'Hulp - basis'!$O$550*'Reeksen (N)'!H233,0)</f>
        <v>0</v>
      </c>
      <c r="AQ233" s="71">
        <f ca="1">-IF(C233=1,(F233+K233+L233+Q233)/2*'Invoer gegevens (N)'!$F$35*'Reeksen (N)'!J233,0)*2</f>
        <v>0</v>
      </c>
      <c r="AR233" s="71"/>
      <c r="AS233" s="71">
        <f ca="1">-IF(C233=1,(F233+K233+L233+Q233)/2*'Invoer gegevens (N)'!$F$37*'Reeksen (N)'!L233,0)</f>
        <v>0</v>
      </c>
      <c r="AT233" s="71">
        <f ca="1">-IF(C233=1,IF(E233='Invoer gegevens (N)'!$C$17,'Invoer gegevens (N)'!$C$11,AD233)*'Reeksen (N)'!S233*'Invoer gegevens (N)'!$C$18*'Reeksen (N)'!P233,0)</f>
        <v>0</v>
      </c>
      <c r="AU233" s="71">
        <f ca="1">-IF(C233=1,(F233+K233+L233+Q233)/2*'Invoer gegevens (N)'!$F$38*'Reeksen (N)'!H233,0)</f>
        <v>0</v>
      </c>
      <c r="AV233" s="71">
        <v>0</v>
      </c>
      <c r="AW233" s="71">
        <f t="shared" ca="1" si="41"/>
        <v>0</v>
      </c>
      <c r="AX233" s="71">
        <f ca="1">IF(E233&lt;'Invoer gegevens (N)'!$C$17+15,0,IF(E233&gt;'Invoer gegevens (N)'!$C$17+215,0,AW233))</f>
        <v>0</v>
      </c>
      <c r="AY233" s="71">
        <f ca="1">AX233/(1+'Invoer gegevens (N)'!$F$18)^($AZ233-('Invoer gegevens (N)'!$C$17-'Invoer gegevens (N)'!$C$16))/(1+'Invoer gegevens (N)'!$C$39)^('Invoer gegevens (N)'!$C$17-'Invoer gegevens (N)'!$C$16)</f>
        <v>0</v>
      </c>
      <c r="AZ233" s="68">
        <f ca="1">IF(E233-'Invoer gegevens (N)'!$C$17-14.5&lt;0,0,E233-'Invoer gegevens (N)'!$C$17-14.5)</f>
        <v>213.5</v>
      </c>
    </row>
    <row r="234" spans="1:52" x14ac:dyDescent="0.25">
      <c r="A234" s="59"/>
      <c r="B234" s="70">
        <f t="shared" si="42"/>
        <v>230</v>
      </c>
      <c r="C234" s="67">
        <f ca="1">IF(E234-'Invoer gegevens (N)'!$C$17&lt;0,0,1)</f>
        <v>1</v>
      </c>
      <c r="D234" s="68">
        <f t="shared" si="43"/>
        <v>229.5</v>
      </c>
      <c r="E234" s="69">
        <f ca="1">IF('Invoer gegevens (N)'!$C$16="","",E233+1)</f>
        <v>2248</v>
      </c>
      <c r="F234" s="84">
        <f ca="1">IF('Invoer gegevens (N)'!$C$17=E234,'Invoer gegevens (N)'!$C$10,IF(C234=1,K233,0))</f>
        <v>0</v>
      </c>
      <c r="G234" s="96">
        <f ca="1">IF(C234&gt;=1,F234*VLOOKUP(E234,'Reeksen (N)'!$A$5:$B$76,2),0)</f>
        <v>0</v>
      </c>
      <c r="H234" s="84">
        <f ca="1">(1-('Invoer gegevens (N)'!$F$20/12))*F234*MIN('Reeksen (N)'!B234,'Reeksen (N)'!D234)</f>
        <v>0</v>
      </c>
      <c r="I234" s="84">
        <f>IF('Reeksen (N)'!D234&lt;'Reeksen (N)'!B234,('Reeksen (N)'!B234-'Reeksen (N)'!D234)*F234,0)</f>
        <v>0</v>
      </c>
      <c r="J234" s="84">
        <f ca="1">('Invoer gegevens (N)'!$F$20/12)*F233*MIN('Reeksen (N)'!B233,'Reeksen (N)'!D233)</f>
        <v>0</v>
      </c>
      <c r="K234" s="97">
        <f t="shared" ca="1" si="33"/>
        <v>0</v>
      </c>
      <c r="L234" s="84">
        <f ca="1">IF('Invoer gegevens (N)'!$C$17=E234,0,IF(C234=1,Q233,0))</f>
        <v>0</v>
      </c>
      <c r="M234" s="96">
        <f ca="1">IF(C234&gt;=1,L234*VLOOKUP(E234,'Reeksen (N)'!$A$5:$B$76,2),0)</f>
        <v>0</v>
      </c>
      <c r="N234" s="84">
        <f ca="1">(1-('Invoer gegevens (N)'!$F$20/12))*L234*MIN('Reeksen (N)'!B234,'Reeksen (N)'!D234)</f>
        <v>0</v>
      </c>
      <c r="O234" s="84">
        <f>IF('Reeksen (N)'!D234&lt;'Reeksen (N)'!B234,('Reeksen (N)'!B234-'Reeksen (N)'!D234)*L234,0)</f>
        <v>0</v>
      </c>
      <c r="P234" s="84">
        <f ca="1">('Invoer gegevens (N)'!$F$20/12)*L233*MIN('Reeksen (N)'!B233,'Reeksen (N)'!D233)</f>
        <v>0</v>
      </c>
      <c r="Q234" s="84">
        <f t="shared" ca="1" si="34"/>
        <v>0</v>
      </c>
      <c r="R234" s="82">
        <f ca="1">IF('Invoer gegevens (N)'!$C$17=E234,'Invoer gegevens (N)'!$C$11,IF(C234=1,W233,0))</f>
        <v>0</v>
      </c>
      <c r="S234" s="86">
        <f ca="1">IF(C234&gt;=1,R234*VLOOKUP(E234,'Reeksen (N)'!$A$5:$B$76,2),0)</f>
        <v>0</v>
      </c>
      <c r="T234" s="84">
        <f ca="1">(1-('Invoer gegevens (N)'!$F$20/12))*R234*MIN('Reeksen (N)'!B234,'Reeksen (N)'!D234)</f>
        <v>0</v>
      </c>
      <c r="U234" s="84">
        <f>IF('Reeksen (N)'!D234&gt;='Reeksen (N)'!B234,0,IF('Reeksen (N)'!AD234&lt;='Reeksen (N)'!AE234,('Reeksen (N)'!B234-'Reeksen (N)'!D234)*R234,0))</f>
        <v>0</v>
      </c>
      <c r="V234" s="86">
        <f>IF('Reeksen (N)'!D234&gt;='Reeksen (N)'!B234,0,IF('Reeksen (N)'!AD234&gt;'Reeksen (N)'!AE234,('Reeksen (N)'!B234-'Reeksen (N)'!D234)*R234,0))</f>
        <v>0</v>
      </c>
      <c r="W234" s="97">
        <f t="shared" ca="1" si="35"/>
        <v>0</v>
      </c>
      <c r="X234" s="98">
        <f ca="1">IF('Invoer gegevens (N)'!$C$17=E234,'Invoer gegevens (N)'!$C$10-'Invoer gegevens (N)'!$C$11,IF(C234=1,AC233,0))</f>
        <v>0</v>
      </c>
      <c r="Y234" s="98">
        <f ca="1">IF(C234&gt;=1,X234*VLOOKUP(E234,'Reeksen (N)'!$A$5:$B$76,2),0)</f>
        <v>0</v>
      </c>
      <c r="Z234" s="98">
        <f ca="1">(1-('Invoer gegevens (N)'!$F$20/12))*X234*MIN('Reeksen (N)'!B234,'Reeksen (N)'!D234)</f>
        <v>0</v>
      </c>
      <c r="AA234" s="98">
        <f>IF('Reeksen (N)'!D234&gt;='Reeksen (N)'!B234,0,IF('Reeksen (N)'!AD234&lt;='Reeksen (N)'!AE234,('Reeksen (N)'!B234-'Reeksen (N)'!D234)*X234,0))</f>
        <v>0</v>
      </c>
      <c r="AB234" s="98">
        <f>IF('Reeksen (N)'!D234&gt;='Reeksen (N)'!B234,0,IF('Reeksen (N)'!AD234&gt;'Reeksen (N)'!AE234,('Reeksen (N)'!B234-'Reeksen (N)'!D234)*X234,0))</f>
        <v>0</v>
      </c>
      <c r="AC234" s="99">
        <f t="shared" ca="1" si="36"/>
        <v>0</v>
      </c>
      <c r="AD234" s="98">
        <f ca="1">IF('Invoer gegevens (N)'!$C$17=E234,R234,IF(C234=0,0,AE233))</f>
        <v>0</v>
      </c>
      <c r="AE234" s="98">
        <f t="shared" ca="1" si="37"/>
        <v>0</v>
      </c>
      <c r="AF234" s="98">
        <f ca="1">IF('Invoer gegevens (N)'!$C$17=E234,X234,IF(C234=0,0,AG233))</f>
        <v>0</v>
      </c>
      <c r="AG234" s="98">
        <f t="shared" ca="1" si="38"/>
        <v>0</v>
      </c>
      <c r="AH234" s="66"/>
      <c r="AI234" s="71">
        <f ca="1">IF(C234=1,'Reeksen (N)'!AI234*((F234-G234+F234)/2)*12+'Reeksen (N)'!AD234*((L234-M234+L234)/2)*12,0)</f>
        <v>0</v>
      </c>
      <c r="AJ234" s="71">
        <f ca="1">-AI234*'Invoer gegevens (N)'!$F$28</f>
        <v>0</v>
      </c>
      <c r="AK234" s="71">
        <f t="shared" ca="1" si="39"/>
        <v>0</v>
      </c>
      <c r="AL234" s="71">
        <f ca="1">IF(C234=1,'Reeksen (N)'!AL234*((F234-G234+F234)/2)*12+'Reeksen (N)'!AM234*((L234-M234+L234)/2)*12,0)</f>
        <v>0</v>
      </c>
      <c r="AM234" s="71">
        <f ca="1">-AL234*'Invoer gegevens (N)'!$F$31</f>
        <v>0</v>
      </c>
      <c r="AN234" s="71">
        <f t="shared" ca="1" si="40"/>
        <v>0</v>
      </c>
      <c r="AO234" s="71">
        <f ca="1">IF(C234=1,(H234+J234+N234+P234)*'Reeksen (N)'!AN234,0)</f>
        <v>0</v>
      </c>
      <c r="AP234" s="71">
        <f ca="1">-IF(C234=1,(H234+J234+N234+P234)*'Hulp - basis'!$O$550*'Reeksen (N)'!H234,0)</f>
        <v>0</v>
      </c>
      <c r="AQ234" s="71">
        <f ca="1">-IF(C234=1,(F234+K234+L234+Q234)/2*'Invoer gegevens (N)'!$F$35*'Reeksen (N)'!J234,0)*2</f>
        <v>0</v>
      </c>
      <c r="AR234" s="71"/>
      <c r="AS234" s="71">
        <f ca="1">-IF(C234=1,(F234+K234+L234+Q234)/2*'Invoer gegevens (N)'!$F$37*'Reeksen (N)'!L234,0)</f>
        <v>0</v>
      </c>
      <c r="AT234" s="71">
        <f ca="1">-IF(C234=1,IF(E234='Invoer gegevens (N)'!$C$17,'Invoer gegevens (N)'!$C$11,AD234)*'Reeksen (N)'!S234*'Invoer gegevens (N)'!$C$18*'Reeksen (N)'!P234,0)</f>
        <v>0</v>
      </c>
      <c r="AU234" s="71">
        <f ca="1">-IF(C234=1,(F234+K234+L234+Q234)/2*'Invoer gegevens (N)'!$F$38*'Reeksen (N)'!H234,0)</f>
        <v>0</v>
      </c>
      <c r="AV234" s="71">
        <v>0</v>
      </c>
      <c r="AW234" s="71">
        <f t="shared" ca="1" si="41"/>
        <v>0</v>
      </c>
      <c r="AX234" s="71">
        <f ca="1">IF(E234&lt;'Invoer gegevens (N)'!$C$17+15,0,IF(E234&gt;'Invoer gegevens (N)'!$C$17+215,0,AW234))</f>
        <v>0</v>
      </c>
      <c r="AY234" s="71">
        <f ca="1">AX234/(1+'Invoer gegevens (N)'!$F$18)^($AZ234-('Invoer gegevens (N)'!$C$17-'Invoer gegevens (N)'!$C$16))/(1+'Invoer gegevens (N)'!$C$39)^('Invoer gegevens (N)'!$C$17-'Invoer gegevens (N)'!$C$16)</f>
        <v>0</v>
      </c>
      <c r="AZ234" s="68">
        <f ca="1">IF(E234-'Invoer gegevens (N)'!$C$17-14.5&lt;0,0,E234-'Invoer gegevens (N)'!$C$17-14.5)</f>
        <v>214.5</v>
      </c>
    </row>
    <row r="235" spans="1:52" x14ac:dyDescent="0.25">
      <c r="A235" s="59"/>
      <c r="B235" s="70"/>
      <c r="C235" s="67"/>
      <c r="D235" s="68"/>
      <c r="E235" s="69"/>
      <c r="F235" s="84"/>
      <c r="G235" s="83"/>
      <c r="H235" s="84"/>
      <c r="I235" s="84"/>
      <c r="J235" s="84"/>
      <c r="K235" s="84"/>
      <c r="L235" s="84"/>
      <c r="M235" s="83"/>
      <c r="N235" s="84"/>
      <c r="O235" s="84"/>
      <c r="P235" s="84"/>
      <c r="Q235" s="84"/>
      <c r="R235" s="84"/>
      <c r="S235" s="86"/>
      <c r="T235" s="84"/>
      <c r="U235" s="84"/>
      <c r="V235" s="86"/>
      <c r="W235" s="84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66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</row>
    <row r="236" spans="1:52" x14ac:dyDescent="0.25">
      <c r="A236" s="59"/>
      <c r="B236" s="70"/>
      <c r="C236" s="67"/>
      <c r="D236" s="68"/>
      <c r="E236" s="69"/>
      <c r="F236" s="84"/>
      <c r="G236" s="83"/>
      <c r="H236" s="84"/>
      <c r="I236" s="84"/>
      <c r="J236" s="84"/>
      <c r="K236" s="84"/>
      <c r="L236" s="84"/>
      <c r="M236" s="83"/>
      <c r="N236" s="84"/>
      <c r="O236" s="84"/>
      <c r="P236" s="84"/>
      <c r="Q236" s="84"/>
      <c r="R236" s="84"/>
      <c r="S236" s="86"/>
      <c r="T236" s="84"/>
      <c r="U236" s="84"/>
      <c r="V236" s="86"/>
      <c r="W236" s="84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66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</row>
    <row r="237" spans="1:52" x14ac:dyDescent="0.25">
      <c r="A237" s="59"/>
      <c r="B237" s="70"/>
      <c r="C237" s="67"/>
      <c r="D237" s="68"/>
      <c r="E237" s="69"/>
      <c r="F237" s="84"/>
      <c r="G237" s="83"/>
      <c r="H237" s="84"/>
      <c r="I237" s="84"/>
      <c r="J237" s="84"/>
      <c r="K237" s="84"/>
      <c r="L237" s="84"/>
      <c r="M237" s="83"/>
      <c r="N237" s="84"/>
      <c r="O237" s="84"/>
      <c r="P237" s="84"/>
      <c r="Q237" s="84"/>
      <c r="R237" s="84"/>
      <c r="S237" s="86"/>
      <c r="T237" s="84"/>
      <c r="U237" s="84"/>
      <c r="V237" s="86"/>
      <c r="W237" s="84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66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</row>
    <row r="238" spans="1:52" x14ac:dyDescent="0.25">
      <c r="A238" s="59"/>
      <c r="B238" s="70"/>
      <c r="C238" s="67"/>
      <c r="D238" s="68"/>
      <c r="E238" s="69"/>
      <c r="F238" s="84"/>
      <c r="G238" s="83"/>
      <c r="H238" s="84"/>
      <c r="I238" s="84"/>
      <c r="J238" s="84"/>
      <c r="K238" s="84"/>
      <c r="L238" s="84"/>
      <c r="M238" s="83"/>
      <c r="N238" s="84"/>
      <c r="O238" s="84"/>
      <c r="P238" s="84"/>
      <c r="Q238" s="84"/>
      <c r="R238" s="84"/>
      <c r="S238" s="86"/>
      <c r="T238" s="84"/>
      <c r="U238" s="84"/>
      <c r="V238" s="86"/>
      <c r="W238" s="84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66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68"/>
    </row>
    <row r="239" spans="1:52" x14ac:dyDescent="0.25">
      <c r="A239" s="59"/>
      <c r="B239" s="70"/>
      <c r="C239" s="67"/>
      <c r="D239" s="68"/>
      <c r="E239" s="69"/>
      <c r="F239" s="84"/>
      <c r="G239" s="83"/>
      <c r="H239" s="84"/>
      <c r="I239" s="84"/>
      <c r="J239" s="84"/>
      <c r="K239" s="84"/>
      <c r="L239" s="84"/>
      <c r="M239" s="83"/>
      <c r="N239" s="84"/>
      <c r="O239" s="84"/>
      <c r="P239" s="84"/>
      <c r="Q239" s="84"/>
      <c r="R239" s="84"/>
      <c r="S239" s="86"/>
      <c r="T239" s="84"/>
      <c r="U239" s="84"/>
      <c r="V239" s="86"/>
      <c r="W239" s="84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66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68"/>
    </row>
    <row r="240" spans="1:52" x14ac:dyDescent="0.25">
      <c r="A240" s="59"/>
      <c r="B240" s="70"/>
      <c r="C240" s="67"/>
      <c r="D240" s="68"/>
      <c r="E240" s="69"/>
      <c r="F240" s="84"/>
      <c r="G240" s="83"/>
      <c r="H240" s="84"/>
      <c r="I240" s="84"/>
      <c r="J240" s="84"/>
      <c r="K240" s="84"/>
      <c r="L240" s="84"/>
      <c r="M240" s="83"/>
      <c r="N240" s="84"/>
      <c r="O240" s="84"/>
      <c r="P240" s="84"/>
      <c r="Q240" s="84"/>
      <c r="R240" s="84"/>
      <c r="S240" s="86"/>
      <c r="T240" s="84"/>
      <c r="U240" s="84"/>
      <c r="V240" s="86"/>
      <c r="W240" s="84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66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68"/>
    </row>
    <row r="241" spans="1:52" x14ac:dyDescent="0.25">
      <c r="A241" s="59"/>
      <c r="B241" s="70"/>
      <c r="C241" s="67"/>
      <c r="D241" s="68"/>
      <c r="E241" s="69"/>
      <c r="F241" s="84"/>
      <c r="G241" s="83"/>
      <c r="H241" s="84"/>
      <c r="I241" s="84"/>
      <c r="J241" s="84"/>
      <c r="K241" s="84"/>
      <c r="L241" s="84"/>
      <c r="M241" s="83"/>
      <c r="N241" s="84"/>
      <c r="O241" s="84"/>
      <c r="P241" s="84"/>
      <c r="Q241" s="84"/>
      <c r="R241" s="84"/>
      <c r="S241" s="86"/>
      <c r="T241" s="84"/>
      <c r="U241" s="84"/>
      <c r="V241" s="86"/>
      <c r="W241" s="84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66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68"/>
    </row>
    <row r="242" spans="1:52" x14ac:dyDescent="0.25">
      <c r="A242" s="59"/>
      <c r="B242" s="70"/>
      <c r="C242" s="67"/>
      <c r="D242" s="68"/>
      <c r="E242" s="69"/>
      <c r="F242" s="84"/>
      <c r="G242" s="83"/>
      <c r="H242" s="84"/>
      <c r="I242" s="84"/>
      <c r="J242" s="84"/>
      <c r="K242" s="84"/>
      <c r="L242" s="84"/>
      <c r="M242" s="83"/>
      <c r="N242" s="84"/>
      <c r="O242" s="84"/>
      <c r="P242" s="84"/>
      <c r="Q242" s="84"/>
      <c r="R242" s="84"/>
      <c r="S242" s="86"/>
      <c r="T242" s="84"/>
      <c r="U242" s="84"/>
      <c r="V242" s="86"/>
      <c r="W242" s="84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66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68"/>
    </row>
    <row r="243" spans="1:52" x14ac:dyDescent="0.25">
      <c r="A243" s="59"/>
      <c r="B243" s="70"/>
      <c r="C243" s="67"/>
      <c r="D243" s="68"/>
      <c r="E243" s="69"/>
      <c r="F243" s="84"/>
      <c r="G243" s="83"/>
      <c r="H243" s="84"/>
      <c r="I243" s="84"/>
      <c r="J243" s="84"/>
      <c r="K243" s="84"/>
      <c r="L243" s="84"/>
      <c r="M243" s="83"/>
      <c r="N243" s="84"/>
      <c r="O243" s="84"/>
      <c r="P243" s="84"/>
      <c r="Q243" s="84"/>
      <c r="R243" s="84"/>
      <c r="S243" s="86"/>
      <c r="T243" s="84"/>
      <c r="U243" s="84"/>
      <c r="V243" s="86"/>
      <c r="W243" s="84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66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68"/>
    </row>
    <row r="244" spans="1:52" x14ac:dyDescent="0.25">
      <c r="A244" s="59"/>
      <c r="B244" s="70"/>
      <c r="C244" s="67"/>
      <c r="D244" s="68"/>
      <c r="E244" s="69"/>
      <c r="F244" s="84"/>
      <c r="G244" s="83"/>
      <c r="H244" s="84"/>
      <c r="I244" s="84"/>
      <c r="J244" s="84"/>
      <c r="K244" s="84"/>
      <c r="L244" s="84"/>
      <c r="M244" s="83"/>
      <c r="N244" s="84"/>
      <c r="O244" s="84"/>
      <c r="P244" s="84"/>
      <c r="Q244" s="84"/>
      <c r="R244" s="84"/>
      <c r="S244" s="86"/>
      <c r="T244" s="84"/>
      <c r="U244" s="84"/>
      <c r="V244" s="86"/>
      <c r="W244" s="84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66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68"/>
    </row>
    <row r="245" spans="1:52" x14ac:dyDescent="0.25">
      <c r="A245" s="59"/>
      <c r="B245" s="70"/>
      <c r="C245" s="67"/>
      <c r="D245" s="68"/>
      <c r="E245" s="69"/>
      <c r="F245" s="84"/>
      <c r="G245" s="83"/>
      <c r="H245" s="84"/>
      <c r="I245" s="84"/>
      <c r="J245" s="84"/>
      <c r="K245" s="84"/>
      <c r="L245" s="84"/>
      <c r="M245" s="83"/>
      <c r="N245" s="84"/>
      <c r="O245" s="84"/>
      <c r="P245" s="84"/>
      <c r="Q245" s="84"/>
      <c r="R245" s="84"/>
      <c r="S245" s="86"/>
      <c r="T245" s="84"/>
      <c r="U245" s="84"/>
      <c r="V245" s="86"/>
      <c r="W245" s="84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66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68"/>
    </row>
    <row r="246" spans="1:52" x14ac:dyDescent="0.25">
      <c r="A246" s="59"/>
      <c r="B246" s="70"/>
      <c r="C246" s="67"/>
      <c r="D246" s="68"/>
      <c r="E246" s="69"/>
      <c r="F246" s="84"/>
      <c r="G246" s="83"/>
      <c r="H246" s="84"/>
      <c r="I246" s="84"/>
      <c r="J246" s="84"/>
      <c r="K246" s="84"/>
      <c r="L246" s="84"/>
      <c r="M246" s="83"/>
      <c r="N246" s="84"/>
      <c r="O246" s="84"/>
      <c r="P246" s="84"/>
      <c r="Q246" s="84"/>
      <c r="R246" s="84"/>
      <c r="S246" s="86"/>
      <c r="T246" s="84"/>
      <c r="U246" s="84"/>
      <c r="V246" s="86"/>
      <c r="W246" s="84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66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68"/>
    </row>
    <row r="247" spans="1:52" x14ac:dyDescent="0.25">
      <c r="A247" s="59"/>
      <c r="B247" s="70"/>
      <c r="C247" s="67"/>
      <c r="D247" s="68"/>
      <c r="E247" s="69"/>
      <c r="F247" s="84"/>
      <c r="G247" s="83"/>
      <c r="H247" s="84"/>
      <c r="I247" s="84"/>
      <c r="J247" s="84"/>
      <c r="K247" s="84"/>
      <c r="L247" s="84"/>
      <c r="M247" s="83"/>
      <c r="N247" s="84"/>
      <c r="O247" s="84"/>
      <c r="P247" s="84"/>
      <c r="Q247" s="84"/>
      <c r="R247" s="84"/>
      <c r="S247" s="86"/>
      <c r="T247" s="84"/>
      <c r="U247" s="84"/>
      <c r="V247" s="86"/>
      <c r="W247" s="84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66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68"/>
    </row>
    <row r="248" spans="1:52" x14ac:dyDescent="0.25">
      <c r="A248" s="59"/>
      <c r="B248" s="70"/>
      <c r="C248" s="67"/>
      <c r="D248" s="68"/>
      <c r="E248" s="69"/>
      <c r="F248" s="84"/>
      <c r="G248" s="83"/>
      <c r="H248" s="84"/>
      <c r="I248" s="84"/>
      <c r="J248" s="84"/>
      <c r="K248" s="84"/>
      <c r="L248" s="84"/>
      <c r="M248" s="83"/>
      <c r="N248" s="84"/>
      <c r="O248" s="84"/>
      <c r="P248" s="84"/>
      <c r="Q248" s="84"/>
      <c r="R248" s="84"/>
      <c r="S248" s="86"/>
      <c r="T248" s="84"/>
      <c r="U248" s="84"/>
      <c r="V248" s="86"/>
      <c r="W248" s="84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66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68"/>
    </row>
    <row r="249" spans="1:52" x14ac:dyDescent="0.25">
      <c r="A249" s="59"/>
      <c r="B249" s="70"/>
      <c r="C249" s="67"/>
      <c r="D249" s="68"/>
      <c r="E249" s="69"/>
      <c r="F249" s="84"/>
      <c r="G249" s="83"/>
      <c r="H249" s="84"/>
      <c r="I249" s="84"/>
      <c r="J249" s="84"/>
      <c r="K249" s="84"/>
      <c r="L249" s="84"/>
      <c r="M249" s="83"/>
      <c r="N249" s="84"/>
      <c r="O249" s="84"/>
      <c r="P249" s="84"/>
      <c r="Q249" s="84"/>
      <c r="R249" s="84"/>
      <c r="S249" s="86"/>
      <c r="T249" s="84"/>
      <c r="U249" s="84"/>
      <c r="V249" s="86"/>
      <c r="W249" s="84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66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68"/>
    </row>
    <row r="250" spans="1:52" x14ac:dyDescent="0.25">
      <c r="A250" s="59"/>
      <c r="B250" s="70"/>
      <c r="C250" s="67"/>
      <c r="D250" s="68"/>
      <c r="E250" s="69"/>
      <c r="F250" s="84"/>
      <c r="G250" s="83"/>
      <c r="H250" s="84"/>
      <c r="I250" s="84"/>
      <c r="J250" s="84"/>
      <c r="K250" s="84"/>
      <c r="L250" s="84"/>
      <c r="M250" s="83"/>
      <c r="N250" s="84"/>
      <c r="O250" s="84"/>
      <c r="P250" s="84"/>
      <c r="Q250" s="84"/>
      <c r="R250" s="84"/>
      <c r="S250" s="86"/>
      <c r="T250" s="84"/>
      <c r="U250" s="84"/>
      <c r="V250" s="86"/>
      <c r="W250" s="84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66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68"/>
    </row>
    <row r="251" spans="1:52" x14ac:dyDescent="0.25">
      <c r="A251" s="59"/>
      <c r="B251" s="70"/>
      <c r="C251" s="67"/>
      <c r="D251" s="68"/>
      <c r="E251" s="69"/>
      <c r="F251" s="84"/>
      <c r="G251" s="83"/>
      <c r="H251" s="84"/>
      <c r="I251" s="84"/>
      <c r="J251" s="84"/>
      <c r="K251" s="84"/>
      <c r="L251" s="84"/>
      <c r="M251" s="83"/>
      <c r="N251" s="84"/>
      <c r="O251" s="84"/>
      <c r="P251" s="84"/>
      <c r="Q251" s="84"/>
      <c r="R251" s="84"/>
      <c r="S251" s="86"/>
      <c r="T251" s="84"/>
      <c r="U251" s="84"/>
      <c r="V251" s="86"/>
      <c r="W251" s="84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66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68"/>
    </row>
    <row r="252" spans="1:52" x14ac:dyDescent="0.25">
      <c r="A252" s="59"/>
      <c r="B252" s="70"/>
      <c r="C252" s="67"/>
      <c r="D252" s="68"/>
      <c r="E252" s="69"/>
      <c r="F252" s="84"/>
      <c r="G252" s="83"/>
      <c r="H252" s="84"/>
      <c r="I252" s="84"/>
      <c r="J252" s="84"/>
      <c r="K252" s="84"/>
      <c r="L252" s="84"/>
      <c r="M252" s="83"/>
      <c r="N252" s="84"/>
      <c r="O252" s="84"/>
      <c r="P252" s="84"/>
      <c r="Q252" s="84"/>
      <c r="R252" s="84"/>
      <c r="S252" s="86"/>
      <c r="T252" s="84"/>
      <c r="U252" s="84"/>
      <c r="V252" s="86"/>
      <c r="W252" s="84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66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68"/>
    </row>
  </sheetData>
  <mergeCells count="31"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W3:W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2:K2"/>
    <mergeCell ref="L2:Q2"/>
    <mergeCell ref="R2:W2"/>
    <mergeCell ref="X2:AC2"/>
    <mergeCell ref="AD2:AG2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0" orientation="portrait" horizontalDpi="0" verticalDpi="0" copies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/>
  <dimension ref="A1:BD249"/>
  <sheetViews>
    <sheetView showGridLines="0" workbookViewId="0">
      <selection activeCell="A6" sqref="A6"/>
    </sheetView>
  </sheetViews>
  <sheetFormatPr defaultRowHeight="15" x14ac:dyDescent="0.25"/>
  <cols>
    <col min="1" max="1" width="1.5703125" customWidth="1"/>
    <col min="2" max="2" width="4.85546875" customWidth="1"/>
    <col min="3" max="4" width="6" customWidth="1"/>
    <col min="5" max="6" width="6.5703125" customWidth="1"/>
    <col min="7" max="7" width="8.7109375" customWidth="1"/>
    <col min="8" max="8" width="11.5703125" customWidth="1"/>
    <col min="9" max="9" width="9.28515625" customWidth="1"/>
    <col min="10" max="10" width="9.7109375" customWidth="1"/>
    <col min="11" max="11" width="10.42578125" customWidth="1"/>
    <col min="12" max="12" width="8.7109375" customWidth="1"/>
    <col min="13" max="13" width="9.42578125" customWidth="1"/>
    <col min="14" max="14" width="8.7109375" customWidth="1"/>
    <col min="15" max="15" width="10.5703125" customWidth="1"/>
    <col min="16" max="16" width="9.85546875" customWidth="1"/>
    <col min="17" max="17" width="8.7109375" customWidth="1"/>
    <col min="18" max="18" width="10.28515625" customWidth="1"/>
    <col min="19" max="19" width="9.140625" customWidth="1"/>
    <col min="20" max="21" width="10.42578125" customWidth="1"/>
    <col min="22" max="22" width="14.140625" customWidth="1"/>
    <col min="23" max="28" width="8.85546875" customWidth="1"/>
    <col min="29" max="29" width="9.7109375" customWidth="1"/>
    <col min="30" max="31" width="9.5703125" customWidth="1"/>
    <col min="32" max="32" width="10.7109375" customWidth="1"/>
    <col min="33" max="33" width="9.5703125" customWidth="1"/>
    <col min="34" max="34" width="2.85546875" customWidth="1"/>
    <col min="35" max="35" width="13.42578125" bestFit="1" customWidth="1"/>
    <col min="36" max="36" width="11.42578125" bestFit="1" customWidth="1"/>
    <col min="37" max="37" width="13.42578125" bestFit="1" customWidth="1"/>
    <col min="38" max="40" width="12" customWidth="1"/>
    <col min="41" max="41" width="11.85546875" bestFit="1" customWidth="1"/>
    <col min="42" max="42" width="9.85546875" bestFit="1" customWidth="1"/>
    <col min="43" max="43" width="16" bestFit="1" customWidth="1"/>
    <col min="44" max="44" width="10.140625" bestFit="1" customWidth="1"/>
    <col min="45" max="45" width="14" bestFit="1" customWidth="1"/>
    <col min="46" max="46" width="16.7109375" bestFit="1" customWidth="1"/>
    <col min="47" max="47" width="16.42578125" bestFit="1" customWidth="1"/>
    <col min="48" max="48" width="16.42578125" customWidth="1"/>
    <col min="49" max="49" width="14" bestFit="1" customWidth="1"/>
    <col min="50" max="51" width="14.42578125" bestFit="1" customWidth="1"/>
  </cols>
  <sheetData>
    <row r="1" spans="1:52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</row>
    <row r="2" spans="1:52" x14ac:dyDescent="0.25">
      <c r="A2" s="61"/>
      <c r="B2" s="60"/>
      <c r="C2" s="60"/>
      <c r="D2" s="60"/>
      <c r="E2" s="80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2" ht="30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94" t="s">
        <v>666</v>
      </c>
      <c r="R3" s="81" t="s">
        <v>666</v>
      </c>
      <c r="S3" s="92" t="s">
        <v>667</v>
      </c>
      <c r="T3" s="81" t="s">
        <v>667</v>
      </c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91" t="s">
        <v>677</v>
      </c>
      <c r="AX3" s="62" t="s">
        <v>677</v>
      </c>
      <c r="AY3" s="62" t="s">
        <v>679</v>
      </c>
      <c r="AZ3" s="62" t="s">
        <v>738</v>
      </c>
    </row>
    <row r="4" spans="1:52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94" t="s">
        <v>710</v>
      </c>
      <c r="R4" s="81" t="s">
        <v>711</v>
      </c>
      <c r="S4" s="92" t="s">
        <v>710</v>
      </c>
      <c r="T4" s="81" t="s">
        <v>711</v>
      </c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91" t="s">
        <v>688</v>
      </c>
      <c r="AX4" s="62" t="s">
        <v>689</v>
      </c>
      <c r="AY4" s="62" t="s">
        <v>689</v>
      </c>
      <c r="AZ4" s="62" t="s">
        <v>689</v>
      </c>
    </row>
    <row r="5" spans="1:52" x14ac:dyDescent="0.25">
      <c r="A5" s="59"/>
      <c r="B5" s="66">
        <v>1</v>
      </c>
      <c r="C5" s="67">
        <f ca="1">IF(E5-'Invoer gegevens'!$C$17&lt;0,0,1)</f>
        <v>1</v>
      </c>
      <c r="D5" s="68">
        <v>0.5</v>
      </c>
      <c r="E5" s="69">
        <f ca="1">IF('Invoer gegevens'!$C$16="","",'Invoer gegevens'!$C$16)</f>
        <v>2019</v>
      </c>
      <c r="F5" s="82">
        <f ca="1">IF('Invoer gegevens'!$C$17=E5,'Invoer gegevens'!$C$10,IF(C5=1,H4,0))</f>
        <v>0</v>
      </c>
      <c r="G5" s="83">
        <f ca="1">IF(C5&gt;=1,F5*Reeksen!C5,0)</f>
        <v>0</v>
      </c>
      <c r="H5" s="84">
        <f ca="1">F5-G5</f>
        <v>0</v>
      </c>
      <c r="I5" s="85">
        <f ca="1">IF('Invoer gegevens'!$C$17=E5,'Invoer gegevens'!$C$11,IF(C5=1,L4,0))</f>
        <v>0</v>
      </c>
      <c r="J5" s="86">
        <f ca="1">IF(C5&lt;1,0,IF(Reeksen!AK5&lt;=Reeksen!AE5,I5*Reeksen!C5,0))</f>
        <v>0</v>
      </c>
      <c r="K5" s="86">
        <f ca="1">IF(C5&lt;1,0,IF(Reeksen!AK5&gt;Reeksen!AE5,I5*Reeksen!C5,0))</f>
        <v>0</v>
      </c>
      <c r="L5" s="86">
        <f ca="1">I5-J5-K5</f>
        <v>0</v>
      </c>
      <c r="M5" s="85">
        <f ca="1">IF('Invoer gegevens'!$C$17=E5,'Invoer gegevens'!$C$10-'Invoer gegevens'!$C$11,IF(C5=1,P4,0))</f>
        <v>0</v>
      </c>
      <c r="N5" s="86">
        <f ca="1">IF(C5&lt;1,0,IF(Reeksen!AK5&lt;=Reeksen!AE5,M5*Reeksen!C5,0))</f>
        <v>0</v>
      </c>
      <c r="O5" s="86">
        <f ca="1">IF(C5&lt;1,0,IF(Reeksen!AK5&gt;Reeksen!AE5,M5*Reeksen!C5,0))</f>
        <v>0</v>
      </c>
      <c r="P5" s="86">
        <f ca="1">M5-N5-O5</f>
        <v>0</v>
      </c>
      <c r="Q5" s="82">
        <f ca="1">IF('Invoer gegevens'!$C$17=E5,I5,IF(C5=0,0,R4))</f>
        <v>0</v>
      </c>
      <c r="R5" s="84">
        <f t="shared" ref="R5:R68" ca="1" si="0">IF(C5=0,0,Q5-K5+N5)</f>
        <v>0</v>
      </c>
      <c r="S5" s="84">
        <f ca="1">IF('Invoer gegevens'!$C$17=E5,M5,IF(C5=0,0,T4))</f>
        <v>0</v>
      </c>
      <c r="T5" s="84">
        <f t="shared" ref="T5:T68" ca="1" si="1">IF(C5=0,0,S5-N5+K5)</f>
        <v>0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8"/>
      <c r="AI5" s="71">
        <f ca="1">IF(C5=1,((F5+H5)/2*Reeksen!AJ5*12)+(('Invoer gegevens'!$C$10-(F5+H5)/2)*Reeksen!AK5*12),0)</f>
        <v>0</v>
      </c>
      <c r="AJ5" s="71">
        <f ca="1">-AI5*'Invoer gegevens'!$F$28</f>
        <v>0</v>
      </c>
      <c r="AK5" s="71">
        <f t="shared" ref="AK5:AK68" ca="1" si="2">AI5+AJ5</f>
        <v>0</v>
      </c>
      <c r="AL5" s="71">
        <f ca="1">IF(C5=1,(12*((F5+H5)/2)*Reeksen!AL5)+(12*('Invoer gegevens'!$C$10-(F5+H5)/2)*Reeksen!AM5),0)</f>
        <v>0</v>
      </c>
      <c r="AM5" s="71">
        <f ca="1">-AL5*'Invoer gegevens'!$F$31</f>
        <v>0</v>
      </c>
      <c r="AN5" s="71">
        <f ca="1">AL5+AM5</f>
        <v>0</v>
      </c>
      <c r="AO5" s="71"/>
      <c r="AP5" s="71"/>
      <c r="AQ5" s="71">
        <f ca="1">-IF(C5=1,('Invoer gegevens'!$C$10*'Invoer gegevens'!$I$33)*Reeksen!J5,0)*2</f>
        <v>0</v>
      </c>
      <c r="AR5" s="71">
        <f ca="1">-IF(C5=1,(G5*'Invoer gegevens'!$I$34)*Reeksen!J5,0)</f>
        <v>0</v>
      </c>
      <c r="AS5" s="71">
        <f ca="1">-IF(C5=1,'Invoer gegevens'!$C$10*'Invoer gegevens'!$I$35*Reeksen!L5,0)</f>
        <v>0</v>
      </c>
      <c r="AT5" s="71">
        <f ca="1">-IF(C5=1,IF(E5='Invoer gegevens'!$C$17,'Invoer gegevens'!$C$11,Q5)*Reeksen!S5*'Invoer gegevens'!$C$18*Reeksen!P5,0)</f>
        <v>0</v>
      </c>
      <c r="AU5" s="71">
        <f ca="1">-IF(C5=1,'Invoer gegevens'!$C$10*'Invoer gegevens'!$I$36*Reeksen!H5,0)</f>
        <v>0</v>
      </c>
      <c r="AV5" s="71">
        <f>IF('Invoer gegevens'!$C$3="Basis",0,#REF!)</f>
        <v>0</v>
      </c>
      <c r="AW5" s="71">
        <f ca="1">SUM(AK5,AN5:AV5)</f>
        <v>0</v>
      </c>
      <c r="AX5" s="71">
        <f ca="1">IF(E5&lt;'Invoer gegevens'!$C$17+15,0,IF(E5&gt;'Invoer gegevens'!$C$17+215,0,AW5))</f>
        <v>0</v>
      </c>
      <c r="AY5" s="71">
        <f ca="1">AX5/(1+'Invoer gegevens'!$F$13)^($AZ5-('Invoer gegevens'!$C$17-'Invoer gegevens'!$C$16))/(1+'Invoer gegevens'!$C$39)^('Invoer gegevens'!$C$17-'Invoer gegevens'!$C$16)</f>
        <v>0</v>
      </c>
      <c r="AZ5" s="68">
        <f ca="1">IF(E5-'Invoer gegevens'!$C$17-14.5&lt;0,0,E5-'Invoer gegevens'!$C$17-14.5)</f>
        <v>0</v>
      </c>
    </row>
    <row r="6" spans="1:52" x14ac:dyDescent="0.25">
      <c r="A6" s="59"/>
      <c r="B6" s="70">
        <f>B5+1</f>
        <v>2</v>
      </c>
      <c r="C6" s="67">
        <f ca="1">IF(E6-'Invoer gegevens'!$C$17&lt;0,0,1)</f>
        <v>1</v>
      </c>
      <c r="D6" s="68">
        <f>D5+1</f>
        <v>1.5</v>
      </c>
      <c r="E6" s="69">
        <f ca="1">IF('Invoer gegevens'!$C$16="","",E5+1)</f>
        <v>2020</v>
      </c>
      <c r="F6" s="82">
        <f ca="1">IF('Invoer gegevens'!$C$17=E6,'Invoer gegevens'!$C$10,IF(C6=1,H5,0))</f>
        <v>0</v>
      </c>
      <c r="G6" s="83">
        <f ca="1">IF(C6&gt;=1,F6*Reeksen!C6,0)</f>
        <v>0</v>
      </c>
      <c r="H6" s="84">
        <f t="shared" ref="H6:H69" ca="1" si="3">F6-G6</f>
        <v>0</v>
      </c>
      <c r="I6" s="85">
        <f ca="1">IF('Invoer gegevens'!$C$17=E6,'Invoer gegevens'!$C$11,IF(C6=1,L5,0))</f>
        <v>0</v>
      </c>
      <c r="J6" s="86">
        <f ca="1">IF(C6&lt;1,0,IF(Reeksen!AK6&lt;=Reeksen!AE6,I6*Reeksen!C6,0))</f>
        <v>0</v>
      </c>
      <c r="K6" s="86">
        <f ca="1">IF(C6&lt;1,0,IF(Reeksen!AK6&gt;Reeksen!AE6,I6*Reeksen!C6,0))</f>
        <v>0</v>
      </c>
      <c r="L6" s="86">
        <f t="shared" ref="L6:L69" ca="1" si="4">I6-J6-K6</f>
        <v>0</v>
      </c>
      <c r="M6" s="85">
        <f ca="1">IF('Invoer gegevens'!$C$17=E6,'Invoer gegevens'!$C$10-'Invoer gegevens'!$C$11,IF(C6=1,P5,0))</f>
        <v>0</v>
      </c>
      <c r="N6" s="86">
        <f ca="1">IF(C6&lt;1,0,IF(Reeksen!AK6&lt;=Reeksen!AE6,M6*Reeksen!C6,0))</f>
        <v>0</v>
      </c>
      <c r="O6" s="86">
        <f ca="1">IF(C6&lt;1,0,IF(Reeksen!AK6&gt;Reeksen!AE6,M6*Reeksen!C6,0))</f>
        <v>0</v>
      </c>
      <c r="P6" s="86">
        <f t="shared" ref="P6:P69" ca="1" si="5">M6-N6-O6</f>
        <v>0</v>
      </c>
      <c r="Q6" s="82">
        <f ca="1">IF('Invoer gegevens'!$C$17=E6,I6,IF(C6=0,0,R5))</f>
        <v>0</v>
      </c>
      <c r="R6" s="84">
        <f t="shared" ca="1" si="0"/>
        <v>0</v>
      </c>
      <c r="S6" s="84">
        <f ca="1">IF('Invoer gegevens'!$C$17=E6,M6,IF(C6=0,0,T5))</f>
        <v>0</v>
      </c>
      <c r="T6" s="84">
        <f t="shared" ca="1" si="1"/>
        <v>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8"/>
      <c r="AI6" s="71">
        <f ca="1">IF(C6=1,((F6+H6)/2*Reeksen!AJ6*12)+(('Invoer gegevens'!$C$10-(F6+H6)/2)*Reeksen!AK6*12),0)</f>
        <v>0</v>
      </c>
      <c r="AJ6" s="71">
        <f ca="1">-AI6*'Invoer gegevens'!$F$28</f>
        <v>0</v>
      </c>
      <c r="AK6" s="71">
        <f t="shared" ca="1" si="2"/>
        <v>0</v>
      </c>
      <c r="AL6" s="71">
        <f ca="1">IF(C6=1,(12*((F6+H6)/2)*Reeksen!AL6)+(12*('Invoer gegevens'!$C$10-(F6+H6)/2)*Reeksen!AM6),0)</f>
        <v>0</v>
      </c>
      <c r="AM6" s="71">
        <f ca="1">-AL6*'Invoer gegevens'!$F$31</f>
        <v>0</v>
      </c>
      <c r="AN6" s="71">
        <f t="shared" ref="AN6:AN69" ca="1" si="6">AL6+AM6</f>
        <v>0</v>
      </c>
      <c r="AO6" s="71"/>
      <c r="AP6" s="71"/>
      <c r="AQ6" s="71">
        <f ca="1">-IF(C6=1,('Invoer gegevens'!$C$10*'Invoer gegevens'!$I$33)*Reeksen!J6,0)*2</f>
        <v>0</v>
      </c>
      <c r="AR6" s="71">
        <f ca="1">-IF(C6=1,(G6*'Invoer gegevens'!$I$34)*Reeksen!J6,0)</f>
        <v>0</v>
      </c>
      <c r="AS6" s="71">
        <f ca="1">-IF(C6=1,'Invoer gegevens'!$C$10*'Invoer gegevens'!$I$35*Reeksen!L6,0)</f>
        <v>0</v>
      </c>
      <c r="AT6" s="71">
        <f ca="1">-IF(C6=1,IF(E6='Invoer gegevens'!$C$17,'Invoer gegevens'!$C$11,Q6)*Reeksen!S6*'Invoer gegevens'!$C$18*Reeksen!P6,0)</f>
        <v>0</v>
      </c>
      <c r="AU6" s="71">
        <f ca="1">-IF(C6=1,'Invoer gegevens'!$C$10*'Invoer gegevens'!$I$36*Reeksen!H6,0)</f>
        <v>0</v>
      </c>
      <c r="AV6" s="71">
        <f>IF('Invoer gegevens'!$C$3="Basis",0,#REF!)</f>
        <v>0</v>
      </c>
      <c r="AW6" s="71">
        <f t="shared" ref="AW6:AW69" ca="1" si="7">SUM(AK6,AN6:AV6)</f>
        <v>0</v>
      </c>
      <c r="AX6" s="71">
        <f ca="1">IF(E6&lt;'Invoer gegevens'!$C$17+15,0,IF(E6&gt;'Invoer gegevens'!$C$17+215,0,AW6))</f>
        <v>0</v>
      </c>
      <c r="AY6" s="71">
        <f ca="1">AX6/(1+'Invoer gegevens'!$F$13)^($AZ6-('Invoer gegevens'!$C$17-'Invoer gegevens'!$C$16))/(1+'Invoer gegevens'!$C$39)^('Invoer gegevens'!$C$17-'Invoer gegevens'!$C$16)</f>
        <v>0</v>
      </c>
      <c r="AZ6" s="68">
        <f ca="1">IF(E6-'Invoer gegevens'!$C$17-14.5&lt;0,0,E6-'Invoer gegevens'!$C$17-14.5)</f>
        <v>0</v>
      </c>
    </row>
    <row r="7" spans="1:52" x14ac:dyDescent="0.25">
      <c r="A7" s="59"/>
      <c r="B7" s="70">
        <f t="shared" ref="B7:B70" si="8">B6+1</f>
        <v>3</v>
      </c>
      <c r="C7" s="67">
        <f ca="1">IF(E7-'Invoer gegevens'!$C$17&lt;0,0,1)</f>
        <v>1</v>
      </c>
      <c r="D7" s="68">
        <f t="shared" ref="D7:D70" si="9">D6+1</f>
        <v>2.5</v>
      </c>
      <c r="E7" s="69">
        <f ca="1">IF('Invoer gegevens'!$C$16="","",E6+1)</f>
        <v>2021</v>
      </c>
      <c r="F7" s="82">
        <f ca="1">IF('Invoer gegevens'!$C$17=E7,'Invoer gegevens'!$C$10,IF(C7=1,H6,0))</f>
        <v>0</v>
      </c>
      <c r="G7" s="83">
        <f ca="1">IF(C7&gt;=1,F7*Reeksen!C7,0)</f>
        <v>0</v>
      </c>
      <c r="H7" s="84">
        <f t="shared" ca="1" si="3"/>
        <v>0</v>
      </c>
      <c r="I7" s="85">
        <f ca="1">IF('Invoer gegevens'!$C$17=E7,'Invoer gegevens'!$C$11,IF(C7=1,L6,0))</f>
        <v>0</v>
      </c>
      <c r="J7" s="86">
        <f ca="1">IF(C7&lt;1,0,IF(Reeksen!AK7&lt;=Reeksen!AE7,I7*Reeksen!C7,0))</f>
        <v>0</v>
      </c>
      <c r="K7" s="86">
        <f ca="1">IF(C7&lt;1,0,IF(Reeksen!AK7&gt;Reeksen!AE7,I7*Reeksen!C7,0))</f>
        <v>0</v>
      </c>
      <c r="L7" s="86">
        <f t="shared" ca="1" si="4"/>
        <v>0</v>
      </c>
      <c r="M7" s="85">
        <f ca="1">IF('Invoer gegevens'!$C$17=E7,'Invoer gegevens'!$C$10-'Invoer gegevens'!$C$11,IF(C7=1,P6,0))</f>
        <v>0</v>
      </c>
      <c r="N7" s="86">
        <f ca="1">IF(C7&lt;1,0,IF(Reeksen!AK7&lt;=Reeksen!AE7,M7*Reeksen!C7,0))</f>
        <v>0</v>
      </c>
      <c r="O7" s="86">
        <f ca="1">IF(C7&lt;1,0,IF(Reeksen!AK7&gt;Reeksen!AE7,M7*Reeksen!C7,0))</f>
        <v>0</v>
      </c>
      <c r="P7" s="86">
        <f t="shared" ca="1" si="5"/>
        <v>0</v>
      </c>
      <c r="Q7" s="82">
        <f ca="1">IF('Invoer gegevens'!$C$17=E7,I7,IF(C7=0,0,R6))</f>
        <v>0</v>
      </c>
      <c r="R7" s="84">
        <f t="shared" ca="1" si="0"/>
        <v>0</v>
      </c>
      <c r="S7" s="84">
        <f ca="1">IF('Invoer gegevens'!$C$17=E7,M7,IF(C7=0,0,T6))</f>
        <v>0</v>
      </c>
      <c r="T7" s="84">
        <f t="shared" ca="1" si="1"/>
        <v>0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8"/>
      <c r="AI7" s="71">
        <f ca="1">IF(C7=1,((F7+H7)/2*Reeksen!AJ7*12)+(('Invoer gegevens'!$C$10-(F7+H7)/2)*Reeksen!AK7*12),0)</f>
        <v>0</v>
      </c>
      <c r="AJ7" s="71">
        <f ca="1">-AI7*'Invoer gegevens'!$F$28</f>
        <v>0</v>
      </c>
      <c r="AK7" s="71">
        <f t="shared" ca="1" si="2"/>
        <v>0</v>
      </c>
      <c r="AL7" s="71">
        <f ca="1">IF(C7=1,(12*((F7+H7)/2)*Reeksen!AL7)+(12*('Invoer gegevens'!$C$10-(F7+H7)/2)*Reeksen!AM7),0)</f>
        <v>0</v>
      </c>
      <c r="AM7" s="71">
        <f ca="1">-AL7*'Invoer gegevens'!$F$31</f>
        <v>0</v>
      </c>
      <c r="AN7" s="71">
        <f t="shared" ca="1" si="6"/>
        <v>0</v>
      </c>
      <c r="AO7" s="71"/>
      <c r="AP7" s="71"/>
      <c r="AQ7" s="71">
        <f ca="1">-IF(C7=1,('Invoer gegevens'!$C$10*'Invoer gegevens'!$I$33)*Reeksen!J7,0)*2</f>
        <v>0</v>
      </c>
      <c r="AR7" s="71">
        <f ca="1">-IF(C7=1,(G7*'Invoer gegevens'!$I$34)*Reeksen!J7,0)</f>
        <v>0</v>
      </c>
      <c r="AS7" s="71">
        <f ca="1">-IF(C7=1,'Invoer gegevens'!$C$10*'Invoer gegevens'!$I$35*Reeksen!L7,0)</f>
        <v>0</v>
      </c>
      <c r="AT7" s="71">
        <f ca="1">-IF(C7=1,IF(E7='Invoer gegevens'!$C$17,'Invoer gegevens'!$C$11,Q7)*Reeksen!S7*'Invoer gegevens'!$C$18*Reeksen!P7,0)</f>
        <v>0</v>
      </c>
      <c r="AU7" s="71">
        <f ca="1">-IF(C7=1,'Invoer gegevens'!$C$10*'Invoer gegevens'!$I$36*Reeksen!H7,0)</f>
        <v>0</v>
      </c>
      <c r="AV7" s="71">
        <f>IF('Invoer gegevens'!$C$3="Basis",0,#REF!)</f>
        <v>0</v>
      </c>
      <c r="AW7" s="71">
        <f t="shared" ca="1" si="7"/>
        <v>0</v>
      </c>
      <c r="AX7" s="71">
        <f ca="1">IF(E7&lt;'Invoer gegevens'!$C$17+15,0,IF(E7&gt;'Invoer gegevens'!$C$17+215,0,AW7))</f>
        <v>0</v>
      </c>
      <c r="AY7" s="71">
        <f ca="1">AX7/(1+'Invoer gegevens'!$F$13)^($AZ7-('Invoer gegevens'!$C$17-'Invoer gegevens'!$C$16))/(1+'Invoer gegevens'!$C$39)^('Invoer gegevens'!$C$17-'Invoer gegevens'!$C$16)</f>
        <v>0</v>
      </c>
      <c r="AZ7" s="68">
        <f ca="1">IF(E7-'Invoer gegevens'!$C$17-14.5&lt;0,0,E7-'Invoer gegevens'!$C$17-14.5)</f>
        <v>0</v>
      </c>
    </row>
    <row r="8" spans="1:52" x14ac:dyDescent="0.25">
      <c r="A8" s="59"/>
      <c r="B8" s="70">
        <f t="shared" si="8"/>
        <v>4</v>
      </c>
      <c r="C8" s="67">
        <f ca="1">IF(E8-'Invoer gegevens'!$C$17&lt;0,0,1)</f>
        <v>1</v>
      </c>
      <c r="D8" s="68">
        <f t="shared" si="9"/>
        <v>3.5</v>
      </c>
      <c r="E8" s="69">
        <f ca="1">IF('Invoer gegevens'!$C$16="","",E7+1)</f>
        <v>2022</v>
      </c>
      <c r="F8" s="82">
        <f ca="1">IF('Invoer gegevens'!$C$17=E8,'Invoer gegevens'!$C$10,IF(C8=1,H7,0))</f>
        <v>0</v>
      </c>
      <c r="G8" s="83">
        <f ca="1">IF(C8&gt;=1,F8*Reeksen!C8,0)</f>
        <v>0</v>
      </c>
      <c r="H8" s="84">
        <f t="shared" ca="1" si="3"/>
        <v>0</v>
      </c>
      <c r="I8" s="85">
        <f ca="1">IF('Invoer gegevens'!$C$17=E8,'Invoer gegevens'!$C$11,IF(C8=1,L7,0))</f>
        <v>0</v>
      </c>
      <c r="J8" s="86">
        <f ca="1">IF(C8&lt;1,0,IF(Reeksen!AK8&lt;=Reeksen!AE8,I8*Reeksen!C8,0))</f>
        <v>0</v>
      </c>
      <c r="K8" s="86">
        <f ca="1">IF(C8&lt;1,0,IF(Reeksen!AK8&gt;Reeksen!AE8,I8*Reeksen!C8,0))</f>
        <v>0</v>
      </c>
      <c r="L8" s="86">
        <f t="shared" ca="1" si="4"/>
        <v>0</v>
      </c>
      <c r="M8" s="85">
        <f ca="1">IF('Invoer gegevens'!$C$17=E8,'Invoer gegevens'!$C$10-'Invoer gegevens'!$C$11,IF(C8=1,P7,0))</f>
        <v>0</v>
      </c>
      <c r="N8" s="86">
        <f ca="1">IF(C8&lt;1,0,IF(Reeksen!AK8&lt;=Reeksen!AE8,M8*Reeksen!C8,0))</f>
        <v>0</v>
      </c>
      <c r="O8" s="86">
        <f ca="1">IF(C8&lt;1,0,IF(Reeksen!AK8&gt;Reeksen!AE8,M8*Reeksen!C8,0))</f>
        <v>0</v>
      </c>
      <c r="P8" s="86">
        <f t="shared" ca="1" si="5"/>
        <v>0</v>
      </c>
      <c r="Q8" s="82">
        <f ca="1">IF('Invoer gegevens'!$C$17=E8,I8,IF(C8=0,0,R7))</f>
        <v>0</v>
      </c>
      <c r="R8" s="84">
        <f t="shared" ca="1" si="0"/>
        <v>0</v>
      </c>
      <c r="S8" s="84">
        <f ca="1">IF('Invoer gegevens'!$C$17=E8,M8,IF(C8=0,0,T7))</f>
        <v>0</v>
      </c>
      <c r="T8" s="84">
        <f t="shared" ca="1" si="1"/>
        <v>0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8"/>
      <c r="AI8" s="71">
        <f ca="1">IF(C8=1,((F8+H8)/2*Reeksen!AJ8*12)+(('Invoer gegevens'!$C$10-(F8+H8)/2)*Reeksen!AK8*12),0)</f>
        <v>0</v>
      </c>
      <c r="AJ8" s="71">
        <f ca="1">-AI8*'Invoer gegevens'!$F$28</f>
        <v>0</v>
      </c>
      <c r="AK8" s="71">
        <f t="shared" ca="1" si="2"/>
        <v>0</v>
      </c>
      <c r="AL8" s="71">
        <f ca="1">IF(C8=1,(12*((F8+H8)/2)*Reeksen!AL8)+(12*('Invoer gegevens'!$C$10-(F8+H8)/2)*Reeksen!AM8),0)</f>
        <v>0</v>
      </c>
      <c r="AM8" s="71">
        <f ca="1">-AL8*'Invoer gegevens'!$F$31</f>
        <v>0</v>
      </c>
      <c r="AN8" s="71">
        <f t="shared" ca="1" si="6"/>
        <v>0</v>
      </c>
      <c r="AO8" s="71"/>
      <c r="AP8" s="71"/>
      <c r="AQ8" s="71">
        <f ca="1">-IF(C8=1,('Invoer gegevens'!$C$10*'Invoer gegevens'!$I$33)*Reeksen!J8,0)*2</f>
        <v>0</v>
      </c>
      <c r="AR8" s="71">
        <f ca="1">-IF(C8=1,(G8*'Invoer gegevens'!$I$34)*Reeksen!J8,0)</f>
        <v>0</v>
      </c>
      <c r="AS8" s="71">
        <f ca="1">-IF(C8=1,'Invoer gegevens'!$C$10*'Invoer gegevens'!$I$35*Reeksen!L8,0)</f>
        <v>0</v>
      </c>
      <c r="AT8" s="71">
        <f ca="1">-IF(C8=1,IF(E8='Invoer gegevens'!$C$17,'Invoer gegevens'!$C$11,Q8)*Reeksen!S8*'Invoer gegevens'!$C$18*Reeksen!P8,0)</f>
        <v>0</v>
      </c>
      <c r="AU8" s="71">
        <f ca="1">-IF(C8=1,'Invoer gegevens'!$C$10*'Invoer gegevens'!$I$36*Reeksen!H8,0)</f>
        <v>0</v>
      </c>
      <c r="AV8" s="71">
        <f>IF('Invoer gegevens'!$C$3="Basis",0,#REF!)</f>
        <v>0</v>
      </c>
      <c r="AW8" s="71">
        <f t="shared" ca="1" si="7"/>
        <v>0</v>
      </c>
      <c r="AX8" s="71">
        <f ca="1">IF(E8&lt;'Invoer gegevens'!$C$17+15,0,IF(E8&gt;'Invoer gegevens'!$C$17+215,0,AW8))</f>
        <v>0</v>
      </c>
      <c r="AY8" s="71">
        <f ca="1">AX8/(1+'Invoer gegevens'!$F$13)^($AZ8-('Invoer gegevens'!$C$17-'Invoer gegevens'!$C$16))/(1+'Invoer gegevens'!$C$39)^('Invoer gegevens'!$C$17-'Invoer gegevens'!$C$16)</f>
        <v>0</v>
      </c>
      <c r="AZ8" s="68">
        <f ca="1">IF(E8-'Invoer gegevens'!$C$17-14.5&lt;0,0,E8-'Invoer gegevens'!$C$17-14.5)</f>
        <v>0</v>
      </c>
    </row>
    <row r="9" spans="1:52" x14ac:dyDescent="0.25">
      <c r="A9" s="59"/>
      <c r="B9" s="70">
        <f t="shared" si="8"/>
        <v>5</v>
      </c>
      <c r="C9" s="67">
        <f ca="1">IF(E9-'Invoer gegevens'!$C$17&lt;0,0,1)</f>
        <v>1</v>
      </c>
      <c r="D9" s="68">
        <f t="shared" si="9"/>
        <v>4.5</v>
      </c>
      <c r="E9" s="69">
        <f ca="1">IF('Invoer gegevens'!$C$16="","",E8+1)</f>
        <v>2023</v>
      </c>
      <c r="F9" s="82">
        <f ca="1">IF('Invoer gegevens'!$C$17=E9,'Invoer gegevens'!$C$10,IF(C9=1,H8,0))</f>
        <v>0</v>
      </c>
      <c r="G9" s="83">
        <f ca="1">IF(C9&gt;=1,F9*Reeksen!C9,0)</f>
        <v>0</v>
      </c>
      <c r="H9" s="84">
        <f t="shared" ca="1" si="3"/>
        <v>0</v>
      </c>
      <c r="I9" s="85">
        <f ca="1">IF('Invoer gegevens'!$C$17=E9,'Invoer gegevens'!$C$11,IF(C9=1,L8,0))</f>
        <v>0</v>
      </c>
      <c r="J9" s="86">
        <f ca="1">IF(C9&lt;1,0,IF(Reeksen!AK9&lt;=Reeksen!AE9,I9*Reeksen!C9,0))</f>
        <v>0</v>
      </c>
      <c r="K9" s="86">
        <f ca="1">IF(C9&lt;1,0,IF(Reeksen!AK9&gt;Reeksen!AE9,I9*Reeksen!C9,0))</f>
        <v>0</v>
      </c>
      <c r="L9" s="86">
        <f t="shared" ca="1" si="4"/>
        <v>0</v>
      </c>
      <c r="M9" s="85">
        <f ca="1">IF('Invoer gegevens'!$C$17=E9,'Invoer gegevens'!$C$10-'Invoer gegevens'!$C$11,IF(C9=1,P8,0))</f>
        <v>0</v>
      </c>
      <c r="N9" s="86">
        <f ca="1">IF(C9&lt;1,0,IF(Reeksen!AK9&lt;=Reeksen!AE9,M9*Reeksen!C9,0))</f>
        <v>0</v>
      </c>
      <c r="O9" s="86">
        <f ca="1">IF(C9&lt;1,0,IF(Reeksen!AK9&gt;Reeksen!AE9,M9*Reeksen!C9,0))</f>
        <v>0</v>
      </c>
      <c r="P9" s="86">
        <f t="shared" ca="1" si="5"/>
        <v>0</v>
      </c>
      <c r="Q9" s="82">
        <f ca="1">IF('Invoer gegevens'!$C$17=E9,I9,IF(C9=0,0,R8))</f>
        <v>0</v>
      </c>
      <c r="R9" s="84">
        <f t="shared" ca="1" si="0"/>
        <v>0</v>
      </c>
      <c r="S9" s="84">
        <f ca="1">IF('Invoer gegevens'!$C$17=E9,M9,IF(C9=0,0,T8))</f>
        <v>0</v>
      </c>
      <c r="T9" s="84">
        <f t="shared" ca="1" si="1"/>
        <v>0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8"/>
      <c r="AI9" s="71">
        <f ca="1">IF(C9=1,((F9+H9)/2*Reeksen!AJ9*12)+(('Invoer gegevens'!$C$10-(F9+H9)/2)*Reeksen!AK9*12),0)</f>
        <v>0</v>
      </c>
      <c r="AJ9" s="71">
        <f ca="1">-AI9*'Invoer gegevens'!$F$28</f>
        <v>0</v>
      </c>
      <c r="AK9" s="71">
        <f t="shared" ca="1" si="2"/>
        <v>0</v>
      </c>
      <c r="AL9" s="71">
        <f ca="1">IF(C9=1,(12*((F9+H9)/2)*Reeksen!AL9)+(12*('Invoer gegevens'!$C$10-(F9+H9)/2)*Reeksen!AM9),0)</f>
        <v>0</v>
      </c>
      <c r="AM9" s="71">
        <f ca="1">-AL9*'Invoer gegevens'!$F$31</f>
        <v>0</v>
      </c>
      <c r="AN9" s="71">
        <f t="shared" ca="1" si="6"/>
        <v>0</v>
      </c>
      <c r="AO9" s="71"/>
      <c r="AP9" s="71"/>
      <c r="AQ9" s="71">
        <f ca="1">-IF(C9=1,('Invoer gegevens'!$C$10*'Invoer gegevens'!$I$33)*Reeksen!J9,0)*2</f>
        <v>0</v>
      </c>
      <c r="AR9" s="71">
        <f ca="1">-IF(C9=1,(G9*'Invoer gegevens'!$I$34)*Reeksen!J9,0)</f>
        <v>0</v>
      </c>
      <c r="AS9" s="71">
        <f ca="1">-IF(C9=1,'Invoer gegevens'!$C$10*'Invoer gegevens'!$I$35*Reeksen!L9,0)</f>
        <v>0</v>
      </c>
      <c r="AT9" s="71">
        <f ca="1">-IF(C9=1,IF(E9='Invoer gegevens'!$C$17,'Invoer gegevens'!$C$11,Q9)*Reeksen!S9*'Invoer gegevens'!$C$18*Reeksen!P9,0)</f>
        <v>0</v>
      </c>
      <c r="AU9" s="71">
        <f ca="1">-IF(C9=1,'Invoer gegevens'!$C$10*'Invoer gegevens'!$I$36*Reeksen!H9,0)</f>
        <v>0</v>
      </c>
      <c r="AV9" s="71">
        <f>IF('Invoer gegevens'!$C$3="Basis",0,#REF!)</f>
        <v>0</v>
      </c>
      <c r="AW9" s="71">
        <f t="shared" ca="1" si="7"/>
        <v>0</v>
      </c>
      <c r="AX9" s="71">
        <f ca="1">IF(E9&lt;'Invoer gegevens'!$C$17+15,0,IF(E9&gt;'Invoer gegevens'!$C$17+215,0,AW9))</f>
        <v>0</v>
      </c>
      <c r="AY9" s="71">
        <f ca="1">AX9/(1+'Invoer gegevens'!$F$13)^($AZ9-('Invoer gegevens'!$C$17-'Invoer gegevens'!$C$16))/(1+'Invoer gegevens'!$C$39)^('Invoer gegevens'!$C$17-'Invoer gegevens'!$C$16)</f>
        <v>0</v>
      </c>
      <c r="AZ9" s="68">
        <f ca="1">IF(E9-'Invoer gegevens'!$C$17-14.5&lt;0,0,E9-'Invoer gegevens'!$C$17-14.5)</f>
        <v>0</v>
      </c>
    </row>
    <row r="10" spans="1:52" x14ac:dyDescent="0.25">
      <c r="A10" s="59"/>
      <c r="B10" s="70">
        <f t="shared" si="8"/>
        <v>6</v>
      </c>
      <c r="C10" s="67">
        <f ca="1">IF(E10-'Invoer gegevens'!$C$17&lt;0,0,1)</f>
        <v>1</v>
      </c>
      <c r="D10" s="68">
        <f t="shared" si="9"/>
        <v>5.5</v>
      </c>
      <c r="E10" s="69">
        <f ca="1">IF('Invoer gegevens'!$C$16="","",E9+1)</f>
        <v>2024</v>
      </c>
      <c r="F10" s="82">
        <f ca="1">IF('Invoer gegevens'!$C$17=E10,'Invoer gegevens'!$C$10,IF(C10=1,H9,0))</f>
        <v>0</v>
      </c>
      <c r="G10" s="83">
        <f ca="1">IF(C10&gt;=1,F10*Reeksen!C10,0)</f>
        <v>0</v>
      </c>
      <c r="H10" s="84">
        <f t="shared" ca="1" si="3"/>
        <v>0</v>
      </c>
      <c r="I10" s="85">
        <f ca="1">IF('Invoer gegevens'!$C$17=E10,'Invoer gegevens'!$C$11,IF(C10=1,L9,0))</f>
        <v>0</v>
      </c>
      <c r="J10" s="86">
        <f ca="1">IF(C10&lt;1,0,IF(Reeksen!AK10&lt;=Reeksen!AE10,I10*Reeksen!C10,0))</f>
        <v>0</v>
      </c>
      <c r="K10" s="86">
        <f ca="1">IF(C10&lt;1,0,IF(Reeksen!AK10&gt;Reeksen!AE10,I10*Reeksen!C10,0))</f>
        <v>0</v>
      </c>
      <c r="L10" s="86">
        <f t="shared" ca="1" si="4"/>
        <v>0</v>
      </c>
      <c r="M10" s="85">
        <f ca="1">IF('Invoer gegevens'!$C$17=E10,'Invoer gegevens'!$C$10-'Invoer gegevens'!$C$11,IF(C10=1,P9,0))</f>
        <v>0</v>
      </c>
      <c r="N10" s="86">
        <f ca="1">IF(C10&lt;1,0,IF(Reeksen!AK10&lt;=Reeksen!AE10,M10*Reeksen!C10,0))</f>
        <v>0</v>
      </c>
      <c r="O10" s="86">
        <f ca="1">IF(C10&lt;1,0,IF(Reeksen!AK10&gt;Reeksen!AE10,M10*Reeksen!C10,0))</f>
        <v>0</v>
      </c>
      <c r="P10" s="86">
        <f t="shared" ca="1" si="5"/>
        <v>0</v>
      </c>
      <c r="Q10" s="82">
        <f ca="1">IF('Invoer gegevens'!$C$17=E10,I10,IF(C10=0,0,R9))</f>
        <v>0</v>
      </c>
      <c r="R10" s="84">
        <f t="shared" ca="1" si="0"/>
        <v>0</v>
      </c>
      <c r="S10" s="84">
        <f ca="1">IF('Invoer gegevens'!$C$17=E10,M10,IF(C10=0,0,T9))</f>
        <v>0</v>
      </c>
      <c r="T10" s="84">
        <f t="shared" ca="1" si="1"/>
        <v>0</v>
      </c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8"/>
      <c r="AI10" s="71">
        <f ca="1">IF(C10=1,((F10+H10)/2*Reeksen!AJ10*12)+(('Invoer gegevens'!$C$10-(F10+H10)/2)*Reeksen!AK10*12),0)</f>
        <v>0</v>
      </c>
      <c r="AJ10" s="71">
        <f ca="1">-AI10*'Invoer gegevens'!$F$28</f>
        <v>0</v>
      </c>
      <c r="AK10" s="71">
        <f t="shared" ca="1" si="2"/>
        <v>0</v>
      </c>
      <c r="AL10" s="71">
        <f ca="1">IF(C10=1,(12*((F10+H10)/2)*Reeksen!AL10)+(12*('Invoer gegevens'!$C$10-(F10+H10)/2)*Reeksen!AM10),0)</f>
        <v>0</v>
      </c>
      <c r="AM10" s="71">
        <f ca="1">-AL10*'Invoer gegevens'!$F$31</f>
        <v>0</v>
      </c>
      <c r="AN10" s="71">
        <f t="shared" ca="1" si="6"/>
        <v>0</v>
      </c>
      <c r="AO10" s="71"/>
      <c r="AP10" s="71"/>
      <c r="AQ10" s="71">
        <f ca="1">-IF(C10=1,('Invoer gegevens'!$C$10*'Invoer gegevens'!$I$33)*Reeksen!J10,0)*2</f>
        <v>0</v>
      </c>
      <c r="AR10" s="71">
        <f ca="1">-IF(C10=1,(G10*'Invoer gegevens'!$I$34)*Reeksen!J10,0)</f>
        <v>0</v>
      </c>
      <c r="AS10" s="71">
        <f ca="1">-IF(C10=1,'Invoer gegevens'!$C$10*'Invoer gegevens'!$I$35*Reeksen!L10,0)</f>
        <v>0</v>
      </c>
      <c r="AT10" s="71">
        <f ca="1">-IF(C10=1,IF(E10='Invoer gegevens'!$C$17,'Invoer gegevens'!$C$11,Q10)*Reeksen!S10*'Invoer gegevens'!$C$18*Reeksen!P10,0)</f>
        <v>0</v>
      </c>
      <c r="AU10" s="71">
        <f ca="1">-IF(C10=1,'Invoer gegevens'!$C$10*'Invoer gegevens'!$I$36*Reeksen!H10,0)</f>
        <v>0</v>
      </c>
      <c r="AV10" s="71">
        <f>IF('Invoer gegevens'!$C$3="Basis",0,#REF!)</f>
        <v>0</v>
      </c>
      <c r="AW10" s="71">
        <f t="shared" ca="1" si="7"/>
        <v>0</v>
      </c>
      <c r="AX10" s="71">
        <f ca="1">IF(E10&lt;'Invoer gegevens'!$C$17+15,0,IF(E10&gt;'Invoer gegevens'!$C$17+215,0,AW10))</f>
        <v>0</v>
      </c>
      <c r="AY10" s="71">
        <f ca="1">AX10/(1+'Invoer gegevens'!$F$13)^($AZ10-('Invoer gegevens'!$C$17-'Invoer gegevens'!$C$16))/(1+'Invoer gegevens'!$C$39)^('Invoer gegevens'!$C$17-'Invoer gegevens'!$C$16)</f>
        <v>0</v>
      </c>
      <c r="AZ10" s="68">
        <f ca="1">IF(E10-'Invoer gegevens'!$C$17-14.5&lt;0,0,E10-'Invoer gegevens'!$C$17-14.5)</f>
        <v>0</v>
      </c>
    </row>
    <row r="11" spans="1:52" x14ac:dyDescent="0.25">
      <c r="A11" s="59"/>
      <c r="B11" s="70">
        <f t="shared" si="8"/>
        <v>7</v>
      </c>
      <c r="C11" s="67">
        <f ca="1">IF(E11-'Invoer gegevens'!$C$17&lt;0,0,1)</f>
        <v>1</v>
      </c>
      <c r="D11" s="68">
        <f t="shared" si="9"/>
        <v>6.5</v>
      </c>
      <c r="E11" s="69">
        <f ca="1">IF('Invoer gegevens'!$C$16="","",E10+1)</f>
        <v>2025</v>
      </c>
      <c r="F11" s="82">
        <f ca="1">IF('Invoer gegevens'!$C$17=E11,'Invoer gegevens'!$C$10,IF(C11=1,H10,0))</f>
        <v>0</v>
      </c>
      <c r="G11" s="83">
        <f ca="1">IF(C11&gt;=1,F11*Reeksen!C11,0)</f>
        <v>0</v>
      </c>
      <c r="H11" s="84">
        <f t="shared" ca="1" si="3"/>
        <v>0</v>
      </c>
      <c r="I11" s="85">
        <f ca="1">IF('Invoer gegevens'!$C$17=E11,'Invoer gegevens'!$C$11,IF(C11=1,L10,0))</f>
        <v>0</v>
      </c>
      <c r="J11" s="86">
        <f ca="1">IF(C11&lt;1,0,IF(Reeksen!AK11&lt;=Reeksen!AE11,I11*Reeksen!C11,0))</f>
        <v>0</v>
      </c>
      <c r="K11" s="86">
        <f ca="1">IF(C11&lt;1,0,IF(Reeksen!AK11&gt;Reeksen!AE11,I11*Reeksen!C11,0))</f>
        <v>0</v>
      </c>
      <c r="L11" s="86">
        <f t="shared" ca="1" si="4"/>
        <v>0</v>
      </c>
      <c r="M11" s="85">
        <f ca="1">IF('Invoer gegevens'!$C$17=E11,'Invoer gegevens'!$C$10-'Invoer gegevens'!$C$11,IF(C11=1,P10,0))</f>
        <v>0</v>
      </c>
      <c r="N11" s="86">
        <f ca="1">IF(C11&lt;1,0,IF(Reeksen!AK11&lt;=Reeksen!AE11,M11*Reeksen!C11,0))</f>
        <v>0</v>
      </c>
      <c r="O11" s="86">
        <f ca="1">IF(C11&lt;1,0,IF(Reeksen!AK11&gt;Reeksen!AE11,M11*Reeksen!C11,0))</f>
        <v>0</v>
      </c>
      <c r="P11" s="86">
        <f t="shared" ca="1" si="5"/>
        <v>0</v>
      </c>
      <c r="Q11" s="82">
        <f ca="1">IF('Invoer gegevens'!$C$17=E11,I11,IF(C11=0,0,R10))</f>
        <v>0</v>
      </c>
      <c r="R11" s="84">
        <f t="shared" ca="1" si="0"/>
        <v>0</v>
      </c>
      <c r="S11" s="84">
        <f ca="1">IF('Invoer gegevens'!$C$17=E11,M11,IF(C11=0,0,T10))</f>
        <v>0</v>
      </c>
      <c r="T11" s="84">
        <f t="shared" ca="1" si="1"/>
        <v>0</v>
      </c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8"/>
      <c r="AI11" s="71">
        <f ca="1">IF(C11=1,((F11+H11)/2*Reeksen!AJ11*12)+(('Invoer gegevens'!$C$10-(F11+H11)/2)*Reeksen!AK11*12),0)</f>
        <v>0</v>
      </c>
      <c r="AJ11" s="71">
        <f ca="1">-AI11*'Invoer gegevens'!$F$28</f>
        <v>0</v>
      </c>
      <c r="AK11" s="71">
        <f t="shared" ca="1" si="2"/>
        <v>0</v>
      </c>
      <c r="AL11" s="71">
        <f ca="1">IF(C11=1,(12*((F11+H11)/2)*Reeksen!AL11)+(12*('Invoer gegevens'!$C$10-(F11+H11)/2)*Reeksen!AM11),0)</f>
        <v>0</v>
      </c>
      <c r="AM11" s="71">
        <f ca="1">-AL11*'Invoer gegevens'!$F$31</f>
        <v>0</v>
      </c>
      <c r="AN11" s="71">
        <f t="shared" ca="1" si="6"/>
        <v>0</v>
      </c>
      <c r="AO11" s="71"/>
      <c r="AP11" s="71"/>
      <c r="AQ11" s="71">
        <f ca="1">-IF(C11=1,('Invoer gegevens'!$C$10*'Invoer gegevens'!$I$33)*Reeksen!J11,0)*2</f>
        <v>0</v>
      </c>
      <c r="AR11" s="71">
        <f ca="1">-IF(C11=1,(G11*'Invoer gegevens'!$I$34)*Reeksen!J11,0)</f>
        <v>0</v>
      </c>
      <c r="AS11" s="71">
        <f ca="1">-IF(C11=1,'Invoer gegevens'!$C$10*'Invoer gegevens'!$I$35*Reeksen!L11,0)</f>
        <v>0</v>
      </c>
      <c r="AT11" s="71">
        <f ca="1">-IF(C11=1,IF(E11='Invoer gegevens'!$C$17,'Invoer gegevens'!$C$11,Q11)*Reeksen!S11*'Invoer gegevens'!$C$18*Reeksen!P11,0)</f>
        <v>0</v>
      </c>
      <c r="AU11" s="71">
        <f ca="1">-IF(C11=1,'Invoer gegevens'!$C$10*'Invoer gegevens'!$I$36*Reeksen!H11,0)</f>
        <v>0</v>
      </c>
      <c r="AV11" s="71">
        <f>IF('Invoer gegevens'!$C$3="Basis",0,#REF!)</f>
        <v>0</v>
      </c>
      <c r="AW11" s="71">
        <f t="shared" ca="1" si="7"/>
        <v>0</v>
      </c>
      <c r="AX11" s="71">
        <f ca="1">IF(E11&lt;'Invoer gegevens'!$C$17+15,0,IF(E11&gt;'Invoer gegevens'!$C$17+215,0,AW11))</f>
        <v>0</v>
      </c>
      <c r="AY11" s="71">
        <f ca="1">AX11/(1+'Invoer gegevens'!$F$13)^($AZ11-('Invoer gegevens'!$C$17-'Invoer gegevens'!$C$16))/(1+'Invoer gegevens'!$C$39)^('Invoer gegevens'!$C$17-'Invoer gegevens'!$C$16)</f>
        <v>0</v>
      </c>
      <c r="AZ11" s="68">
        <f ca="1">IF(E11-'Invoer gegevens'!$C$17-14.5&lt;0,0,E11-'Invoer gegevens'!$C$17-14.5)</f>
        <v>0</v>
      </c>
    </row>
    <row r="12" spans="1:52" x14ac:dyDescent="0.25">
      <c r="A12" s="59"/>
      <c r="B12" s="70">
        <f t="shared" si="8"/>
        <v>8</v>
      </c>
      <c r="C12" s="67">
        <f ca="1">IF(E12-'Invoer gegevens'!$C$17&lt;0,0,1)</f>
        <v>1</v>
      </c>
      <c r="D12" s="68">
        <f t="shared" si="9"/>
        <v>7.5</v>
      </c>
      <c r="E12" s="69">
        <f ca="1">IF('Invoer gegevens'!$C$16="","",E11+1)</f>
        <v>2026</v>
      </c>
      <c r="F12" s="82">
        <f ca="1">IF('Invoer gegevens'!$C$17=E12,'Invoer gegevens'!$C$10,IF(C12=1,H11,0))</f>
        <v>0</v>
      </c>
      <c r="G12" s="83">
        <f ca="1">IF(C12&gt;=1,F12*Reeksen!C12,0)</f>
        <v>0</v>
      </c>
      <c r="H12" s="84">
        <f t="shared" ca="1" si="3"/>
        <v>0</v>
      </c>
      <c r="I12" s="85">
        <f ca="1">IF('Invoer gegevens'!$C$17=E12,'Invoer gegevens'!$C$11,IF(C12=1,L11,0))</f>
        <v>0</v>
      </c>
      <c r="J12" s="86">
        <f ca="1">IF(C12&lt;1,0,IF(Reeksen!AK12&lt;=Reeksen!AE12,I12*Reeksen!C12,0))</f>
        <v>0</v>
      </c>
      <c r="K12" s="86">
        <f ca="1">IF(C12&lt;1,0,IF(Reeksen!AK12&gt;Reeksen!AE12,I12*Reeksen!C12,0))</f>
        <v>0</v>
      </c>
      <c r="L12" s="86">
        <f t="shared" ca="1" si="4"/>
        <v>0</v>
      </c>
      <c r="M12" s="85">
        <f ca="1">IF('Invoer gegevens'!$C$17=E12,'Invoer gegevens'!$C$10-'Invoer gegevens'!$C$11,IF(C12=1,P11,0))</f>
        <v>0</v>
      </c>
      <c r="N12" s="86">
        <f ca="1">IF(C12&lt;1,0,IF(Reeksen!AK12&lt;=Reeksen!AE12,M12*Reeksen!C12,0))</f>
        <v>0</v>
      </c>
      <c r="O12" s="86">
        <f ca="1">IF(C12&lt;1,0,IF(Reeksen!AK12&gt;Reeksen!AE12,M12*Reeksen!C12,0))</f>
        <v>0</v>
      </c>
      <c r="P12" s="86">
        <f t="shared" ca="1" si="5"/>
        <v>0</v>
      </c>
      <c r="Q12" s="82">
        <f ca="1">IF('Invoer gegevens'!$C$17=E12,I12,IF(C12=0,0,R11))</f>
        <v>0</v>
      </c>
      <c r="R12" s="84">
        <f t="shared" ca="1" si="0"/>
        <v>0</v>
      </c>
      <c r="S12" s="84">
        <f ca="1">IF('Invoer gegevens'!$C$17=E12,M12,IF(C12=0,0,T11))</f>
        <v>0</v>
      </c>
      <c r="T12" s="84">
        <f t="shared" ca="1" si="1"/>
        <v>0</v>
      </c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8"/>
      <c r="AI12" s="71">
        <f ca="1">IF(C12=1,((F12+H12)/2*Reeksen!AJ12*12)+(('Invoer gegevens'!$C$10-(F12+H12)/2)*Reeksen!AK12*12),0)</f>
        <v>0</v>
      </c>
      <c r="AJ12" s="71">
        <f ca="1">-AI12*'Invoer gegevens'!$F$28</f>
        <v>0</v>
      </c>
      <c r="AK12" s="71">
        <f t="shared" ca="1" si="2"/>
        <v>0</v>
      </c>
      <c r="AL12" s="71">
        <f ca="1">IF(C12=1,(12*((F12+H12)/2)*Reeksen!AL12)+(12*('Invoer gegevens'!$C$10-(F12+H12)/2)*Reeksen!AM12),0)</f>
        <v>0</v>
      </c>
      <c r="AM12" s="71">
        <f ca="1">-AL12*'Invoer gegevens'!$F$31</f>
        <v>0</v>
      </c>
      <c r="AN12" s="71">
        <f t="shared" ca="1" si="6"/>
        <v>0</v>
      </c>
      <c r="AO12" s="71"/>
      <c r="AP12" s="71"/>
      <c r="AQ12" s="71">
        <f ca="1">-IF(C12=1,('Invoer gegevens'!$C$10*'Invoer gegevens'!$I$33)*Reeksen!J12,0)*2</f>
        <v>0</v>
      </c>
      <c r="AR12" s="71">
        <f ca="1">-IF(C12=1,(G12*'Invoer gegevens'!$I$34)*Reeksen!J12,0)</f>
        <v>0</v>
      </c>
      <c r="AS12" s="71">
        <f ca="1">-IF(C12=1,'Invoer gegevens'!$C$10*'Invoer gegevens'!$I$35*Reeksen!L12,0)</f>
        <v>0</v>
      </c>
      <c r="AT12" s="71">
        <f ca="1">-IF(C12=1,IF(E12='Invoer gegevens'!$C$17,'Invoer gegevens'!$C$11,Q12)*Reeksen!S12*'Invoer gegevens'!$C$18*Reeksen!P12,0)</f>
        <v>0</v>
      </c>
      <c r="AU12" s="71">
        <f ca="1">-IF(C12=1,'Invoer gegevens'!$C$10*'Invoer gegevens'!$I$36*Reeksen!H12,0)</f>
        <v>0</v>
      </c>
      <c r="AV12" s="71">
        <f>IF('Invoer gegevens'!$C$3="Basis",0,#REF!)</f>
        <v>0</v>
      </c>
      <c r="AW12" s="71">
        <f t="shared" ca="1" si="7"/>
        <v>0</v>
      </c>
      <c r="AX12" s="71">
        <f ca="1">IF(E12&lt;'Invoer gegevens'!$C$17+15,0,IF(E12&gt;'Invoer gegevens'!$C$17+215,0,AW12))</f>
        <v>0</v>
      </c>
      <c r="AY12" s="71">
        <f ca="1">AX12/(1+'Invoer gegevens'!$F$13)^($AZ12-('Invoer gegevens'!$C$17-'Invoer gegevens'!$C$16))/(1+'Invoer gegevens'!$C$39)^('Invoer gegevens'!$C$17-'Invoer gegevens'!$C$16)</f>
        <v>0</v>
      </c>
      <c r="AZ12" s="68">
        <f ca="1">IF(E12-'Invoer gegevens'!$C$17-14.5&lt;0,0,E12-'Invoer gegevens'!$C$17-14.5)</f>
        <v>0</v>
      </c>
    </row>
    <row r="13" spans="1:52" x14ac:dyDescent="0.25">
      <c r="A13" s="59"/>
      <c r="B13" s="70">
        <f t="shared" si="8"/>
        <v>9</v>
      </c>
      <c r="C13" s="67">
        <f ca="1">IF(E13-'Invoer gegevens'!$C$17&lt;0,0,1)</f>
        <v>1</v>
      </c>
      <c r="D13" s="68">
        <f t="shared" si="9"/>
        <v>8.5</v>
      </c>
      <c r="E13" s="69">
        <f ca="1">IF('Invoer gegevens'!$C$16="","",E12+1)</f>
        <v>2027</v>
      </c>
      <c r="F13" s="82">
        <f ca="1">IF('Invoer gegevens'!$C$17=E13,'Invoer gegevens'!$C$10,IF(C13=1,H12,0))</f>
        <v>0</v>
      </c>
      <c r="G13" s="83">
        <f ca="1">IF(C13&gt;=1,F13*Reeksen!C13,0)</f>
        <v>0</v>
      </c>
      <c r="H13" s="84">
        <f t="shared" ca="1" si="3"/>
        <v>0</v>
      </c>
      <c r="I13" s="85">
        <f ca="1">IF('Invoer gegevens'!$C$17=E13,'Invoer gegevens'!$C$11,IF(C13=1,L12,0))</f>
        <v>0</v>
      </c>
      <c r="J13" s="86">
        <f ca="1">IF(C13&lt;1,0,IF(Reeksen!AK13&lt;=Reeksen!AE13,I13*Reeksen!C13,0))</f>
        <v>0</v>
      </c>
      <c r="K13" s="86">
        <f ca="1">IF(C13&lt;1,0,IF(Reeksen!AK13&gt;Reeksen!AE13,I13*Reeksen!C13,0))</f>
        <v>0</v>
      </c>
      <c r="L13" s="86">
        <f t="shared" ca="1" si="4"/>
        <v>0</v>
      </c>
      <c r="M13" s="85">
        <f ca="1">IF('Invoer gegevens'!$C$17=E13,'Invoer gegevens'!$C$10-'Invoer gegevens'!$C$11,IF(C13=1,P12,0))</f>
        <v>0</v>
      </c>
      <c r="N13" s="86">
        <f ca="1">IF(C13&lt;1,0,IF(Reeksen!AK13&lt;=Reeksen!AE13,M13*Reeksen!C13,0))</f>
        <v>0</v>
      </c>
      <c r="O13" s="86">
        <f ca="1">IF(C13&lt;1,0,IF(Reeksen!AK13&gt;Reeksen!AE13,M13*Reeksen!C13,0))</f>
        <v>0</v>
      </c>
      <c r="P13" s="86">
        <f t="shared" ca="1" si="5"/>
        <v>0</v>
      </c>
      <c r="Q13" s="82">
        <f ca="1">IF('Invoer gegevens'!$C$17=E13,I13,IF(C13=0,0,R12))</f>
        <v>0</v>
      </c>
      <c r="R13" s="84">
        <f t="shared" ca="1" si="0"/>
        <v>0</v>
      </c>
      <c r="S13" s="84">
        <f ca="1">IF('Invoer gegevens'!$C$17=E13,M13,IF(C13=0,0,T12))</f>
        <v>0</v>
      </c>
      <c r="T13" s="84">
        <f t="shared" ca="1" si="1"/>
        <v>0</v>
      </c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8"/>
      <c r="AI13" s="71">
        <f ca="1">IF(C13=1,((F13+H13)/2*Reeksen!AJ13*12)+(('Invoer gegevens'!$C$10-(F13+H13)/2)*Reeksen!AK13*12),0)</f>
        <v>0</v>
      </c>
      <c r="AJ13" s="71">
        <f ca="1">-AI13*'Invoer gegevens'!$F$28</f>
        <v>0</v>
      </c>
      <c r="AK13" s="71">
        <f t="shared" ca="1" si="2"/>
        <v>0</v>
      </c>
      <c r="AL13" s="71">
        <f ca="1">IF(C13=1,(12*((F13+H13)/2)*Reeksen!AL13)+(12*('Invoer gegevens'!$C$10-(F13+H13)/2)*Reeksen!AM13),0)</f>
        <v>0</v>
      </c>
      <c r="AM13" s="71">
        <f ca="1">-AL13*'Invoer gegevens'!$F$31</f>
        <v>0</v>
      </c>
      <c r="AN13" s="71">
        <f t="shared" ca="1" si="6"/>
        <v>0</v>
      </c>
      <c r="AO13" s="71"/>
      <c r="AP13" s="71"/>
      <c r="AQ13" s="71">
        <f ca="1">-IF(C13=1,('Invoer gegevens'!$C$10*'Invoer gegevens'!$I$33)*Reeksen!J13,0)*2</f>
        <v>0</v>
      </c>
      <c r="AR13" s="71">
        <f ca="1">-IF(C13=1,(G13*'Invoer gegevens'!$I$34)*Reeksen!J13,0)</f>
        <v>0</v>
      </c>
      <c r="AS13" s="71">
        <f ca="1">-IF(C13=1,'Invoer gegevens'!$C$10*'Invoer gegevens'!$I$35*Reeksen!L13,0)</f>
        <v>0</v>
      </c>
      <c r="AT13" s="71">
        <f ca="1">-IF(C13=1,IF(E13='Invoer gegevens'!$C$17,'Invoer gegevens'!$C$11,Q13)*Reeksen!S13*'Invoer gegevens'!$C$18*Reeksen!P13,0)</f>
        <v>0</v>
      </c>
      <c r="AU13" s="71">
        <f ca="1">-IF(C13=1,'Invoer gegevens'!$C$10*'Invoer gegevens'!$I$36*Reeksen!H13,0)</f>
        <v>0</v>
      </c>
      <c r="AV13" s="71">
        <f>IF('Invoer gegevens'!$C$3="Basis",0,#REF!)</f>
        <v>0</v>
      </c>
      <c r="AW13" s="71">
        <f t="shared" ca="1" si="7"/>
        <v>0</v>
      </c>
      <c r="AX13" s="71">
        <f ca="1">IF(E13&lt;'Invoer gegevens'!$C$17+15,0,IF(E13&gt;'Invoer gegevens'!$C$17+215,0,AW13))</f>
        <v>0</v>
      </c>
      <c r="AY13" s="71">
        <f ca="1">AX13/(1+'Invoer gegevens'!$F$13)^($AZ13-('Invoer gegevens'!$C$17-'Invoer gegevens'!$C$16))/(1+'Invoer gegevens'!$C$39)^('Invoer gegevens'!$C$17-'Invoer gegevens'!$C$16)</f>
        <v>0</v>
      </c>
      <c r="AZ13" s="68">
        <f ca="1">IF(E13-'Invoer gegevens'!$C$17-14.5&lt;0,0,E13-'Invoer gegevens'!$C$17-14.5)</f>
        <v>0</v>
      </c>
    </row>
    <row r="14" spans="1:52" x14ac:dyDescent="0.25">
      <c r="A14" s="59"/>
      <c r="B14" s="70">
        <f t="shared" si="8"/>
        <v>10</v>
      </c>
      <c r="C14" s="67">
        <f ca="1">IF(E14-'Invoer gegevens'!$C$17&lt;0,0,1)</f>
        <v>1</v>
      </c>
      <c r="D14" s="68">
        <f t="shared" si="9"/>
        <v>9.5</v>
      </c>
      <c r="E14" s="69">
        <f ca="1">IF('Invoer gegevens'!$C$16="","",E13+1)</f>
        <v>2028</v>
      </c>
      <c r="F14" s="82">
        <f ca="1">IF('Invoer gegevens'!$C$17=E14,'Invoer gegevens'!$C$10,IF(C14=1,H13,0))</f>
        <v>0</v>
      </c>
      <c r="G14" s="83">
        <f ca="1">IF(C14&gt;=1,F14*Reeksen!C14,0)</f>
        <v>0</v>
      </c>
      <c r="H14" s="84">
        <f t="shared" ca="1" si="3"/>
        <v>0</v>
      </c>
      <c r="I14" s="85">
        <f ca="1">IF('Invoer gegevens'!$C$17=E14,'Invoer gegevens'!$C$11,IF(C14=1,L13,0))</f>
        <v>0</v>
      </c>
      <c r="J14" s="86">
        <f ca="1">IF(C14&lt;1,0,IF(Reeksen!AK14&lt;=Reeksen!AE14,I14*Reeksen!C14,0))</f>
        <v>0</v>
      </c>
      <c r="K14" s="86">
        <f ca="1">IF(C14&lt;1,0,IF(Reeksen!AK14&gt;Reeksen!AE14,I14*Reeksen!C14,0))</f>
        <v>0</v>
      </c>
      <c r="L14" s="86">
        <f t="shared" ca="1" si="4"/>
        <v>0</v>
      </c>
      <c r="M14" s="85">
        <f ca="1">IF('Invoer gegevens'!$C$17=E14,'Invoer gegevens'!$C$10-'Invoer gegevens'!$C$11,IF(C14=1,P13,0))</f>
        <v>0</v>
      </c>
      <c r="N14" s="86">
        <f ca="1">IF(C14&lt;1,0,IF(Reeksen!AK14&lt;=Reeksen!AE14,M14*Reeksen!C14,0))</f>
        <v>0</v>
      </c>
      <c r="O14" s="86">
        <f ca="1">IF(C14&lt;1,0,IF(Reeksen!AK14&gt;Reeksen!AE14,M14*Reeksen!C14,0))</f>
        <v>0</v>
      </c>
      <c r="P14" s="86">
        <f t="shared" ca="1" si="5"/>
        <v>0</v>
      </c>
      <c r="Q14" s="82">
        <f ca="1">IF('Invoer gegevens'!$C$17=E14,I14,IF(C14=0,0,R13))</f>
        <v>0</v>
      </c>
      <c r="R14" s="84">
        <f t="shared" ca="1" si="0"/>
        <v>0</v>
      </c>
      <c r="S14" s="84">
        <f ca="1">IF('Invoer gegevens'!$C$17=E14,M14,IF(C14=0,0,T13))</f>
        <v>0</v>
      </c>
      <c r="T14" s="84">
        <f t="shared" ca="1" si="1"/>
        <v>0</v>
      </c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8"/>
      <c r="AI14" s="71">
        <f ca="1">IF(C14=1,((F14+H14)/2*Reeksen!AJ14*12)+(('Invoer gegevens'!$C$10-(F14+H14)/2)*Reeksen!AK14*12),0)</f>
        <v>0</v>
      </c>
      <c r="AJ14" s="71">
        <f ca="1">-AI14*'Invoer gegevens'!$F$28</f>
        <v>0</v>
      </c>
      <c r="AK14" s="71">
        <f t="shared" ca="1" si="2"/>
        <v>0</v>
      </c>
      <c r="AL14" s="71">
        <f ca="1">IF(C14=1,(12*((F14+H14)/2)*Reeksen!AL14)+(12*('Invoer gegevens'!$C$10-(F14+H14)/2)*Reeksen!AM14),0)</f>
        <v>0</v>
      </c>
      <c r="AM14" s="71">
        <f ca="1">-AL14*'Invoer gegevens'!$F$31</f>
        <v>0</v>
      </c>
      <c r="AN14" s="71">
        <f t="shared" ca="1" si="6"/>
        <v>0</v>
      </c>
      <c r="AO14" s="71"/>
      <c r="AP14" s="71"/>
      <c r="AQ14" s="71">
        <f ca="1">-IF(C14=1,('Invoer gegevens'!$C$10*'Invoer gegevens'!$I$33)*Reeksen!J14,0)*2</f>
        <v>0</v>
      </c>
      <c r="AR14" s="71">
        <f ca="1">-IF(C14=1,(G14*'Invoer gegevens'!$I$34)*Reeksen!J14,0)</f>
        <v>0</v>
      </c>
      <c r="AS14" s="71">
        <f ca="1">-IF(C14=1,'Invoer gegevens'!$C$10*'Invoer gegevens'!$I$35*Reeksen!L14,0)</f>
        <v>0</v>
      </c>
      <c r="AT14" s="71">
        <f ca="1">-IF(C14=1,IF(E14='Invoer gegevens'!$C$17,'Invoer gegevens'!$C$11,Q14)*Reeksen!S14*'Invoer gegevens'!$C$18*Reeksen!P14,0)</f>
        <v>0</v>
      </c>
      <c r="AU14" s="71">
        <f ca="1">-IF(C14=1,'Invoer gegevens'!$C$10*'Invoer gegevens'!$I$36*Reeksen!H14,0)</f>
        <v>0</v>
      </c>
      <c r="AV14" s="71">
        <f>IF('Invoer gegevens'!$C$3="Basis",0,#REF!)</f>
        <v>0</v>
      </c>
      <c r="AW14" s="71">
        <f t="shared" ca="1" si="7"/>
        <v>0</v>
      </c>
      <c r="AX14" s="71">
        <f ca="1">IF(E14&lt;'Invoer gegevens'!$C$17+15,0,IF(E14&gt;'Invoer gegevens'!$C$17+215,0,AW14))</f>
        <v>0</v>
      </c>
      <c r="AY14" s="71">
        <f ca="1">AX14/(1+'Invoer gegevens'!$F$13)^($AZ14-('Invoer gegevens'!$C$17-'Invoer gegevens'!$C$16))/(1+'Invoer gegevens'!$C$39)^('Invoer gegevens'!$C$17-'Invoer gegevens'!$C$16)</f>
        <v>0</v>
      </c>
      <c r="AZ14" s="68">
        <f ca="1">IF(E14-'Invoer gegevens'!$C$17-14.5&lt;0,0,E14-'Invoer gegevens'!$C$17-14.5)</f>
        <v>0</v>
      </c>
    </row>
    <row r="15" spans="1:52" x14ac:dyDescent="0.25">
      <c r="A15" s="59"/>
      <c r="B15" s="70">
        <f t="shared" si="8"/>
        <v>11</v>
      </c>
      <c r="C15" s="67">
        <f ca="1">IF(E15-'Invoer gegevens'!$C$17&lt;0,0,1)</f>
        <v>1</v>
      </c>
      <c r="D15" s="68">
        <f t="shared" si="9"/>
        <v>10.5</v>
      </c>
      <c r="E15" s="69">
        <f ca="1">IF('Invoer gegevens'!$C$16="","",E14+1)</f>
        <v>2029</v>
      </c>
      <c r="F15" s="82">
        <f ca="1">IF('Invoer gegevens'!$C$17=E15,'Invoer gegevens'!$C$10,IF(C15=1,H14,0))</f>
        <v>0</v>
      </c>
      <c r="G15" s="83">
        <f ca="1">IF(C15&gt;=1,F15*Reeksen!C15,0)</f>
        <v>0</v>
      </c>
      <c r="H15" s="84">
        <f t="shared" ca="1" si="3"/>
        <v>0</v>
      </c>
      <c r="I15" s="85">
        <f ca="1">IF('Invoer gegevens'!$C$17=E15,'Invoer gegevens'!$C$11,IF(C15=1,L14,0))</f>
        <v>0</v>
      </c>
      <c r="J15" s="86">
        <f ca="1">IF(C15&lt;1,0,IF(Reeksen!AK15&lt;=Reeksen!AE15,I15*Reeksen!C15,0))</f>
        <v>0</v>
      </c>
      <c r="K15" s="86">
        <f ca="1">IF(C15&lt;1,0,IF(Reeksen!AK15&gt;Reeksen!AE15,I15*Reeksen!C15,0))</f>
        <v>0</v>
      </c>
      <c r="L15" s="86">
        <f t="shared" ca="1" si="4"/>
        <v>0</v>
      </c>
      <c r="M15" s="85">
        <f ca="1">IF('Invoer gegevens'!$C$17=E15,'Invoer gegevens'!$C$10-'Invoer gegevens'!$C$11,IF(C15=1,P14,0))</f>
        <v>0</v>
      </c>
      <c r="N15" s="86">
        <f ca="1">IF(C15&lt;1,0,IF(Reeksen!AK15&lt;=Reeksen!AE15,M15*Reeksen!C15,0))</f>
        <v>0</v>
      </c>
      <c r="O15" s="86">
        <f ca="1">IF(C15&lt;1,0,IF(Reeksen!AK15&gt;Reeksen!AE15,M15*Reeksen!C15,0))</f>
        <v>0</v>
      </c>
      <c r="P15" s="86">
        <f t="shared" ca="1" si="5"/>
        <v>0</v>
      </c>
      <c r="Q15" s="82">
        <f ca="1">IF('Invoer gegevens'!$C$17=E15,I15,IF(C15=0,0,R14))</f>
        <v>0</v>
      </c>
      <c r="R15" s="84">
        <f t="shared" ca="1" si="0"/>
        <v>0</v>
      </c>
      <c r="S15" s="84">
        <f ca="1">IF('Invoer gegevens'!$C$17=E15,M15,IF(C15=0,0,T14))</f>
        <v>0</v>
      </c>
      <c r="T15" s="84">
        <f t="shared" ca="1" si="1"/>
        <v>0</v>
      </c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8"/>
      <c r="AI15" s="71">
        <f ca="1">IF(C15=1,((F15+H15)/2*Reeksen!AJ15*12)+(('Invoer gegevens'!$C$10-(F15+H15)/2)*Reeksen!AK15*12),0)</f>
        <v>0</v>
      </c>
      <c r="AJ15" s="71">
        <f ca="1">-AI15*'Invoer gegevens'!$F$28</f>
        <v>0</v>
      </c>
      <c r="AK15" s="71">
        <f t="shared" ca="1" si="2"/>
        <v>0</v>
      </c>
      <c r="AL15" s="71">
        <f ca="1">IF(C15=1,(12*((F15+H15)/2)*Reeksen!AL15)+(12*('Invoer gegevens'!$C$10-(F15+H15)/2)*Reeksen!AM15),0)</f>
        <v>0</v>
      </c>
      <c r="AM15" s="71">
        <f ca="1">-AL15*'Invoer gegevens'!$F$31</f>
        <v>0</v>
      </c>
      <c r="AN15" s="71">
        <f t="shared" ca="1" si="6"/>
        <v>0</v>
      </c>
      <c r="AO15" s="71"/>
      <c r="AP15" s="71"/>
      <c r="AQ15" s="71">
        <f ca="1">-IF(C15=1,('Invoer gegevens'!$C$10*'Invoer gegevens'!$I$33)*Reeksen!J15,0)*2</f>
        <v>0</v>
      </c>
      <c r="AR15" s="71">
        <f ca="1">-IF(C15=1,(G15*'Invoer gegevens'!$I$34)*Reeksen!J15,0)</f>
        <v>0</v>
      </c>
      <c r="AS15" s="71">
        <f ca="1">-IF(C15=1,'Invoer gegevens'!$C$10*'Invoer gegevens'!$I$35*Reeksen!L15,0)</f>
        <v>0</v>
      </c>
      <c r="AT15" s="71">
        <f ca="1">-IF(C15=1,IF(E15='Invoer gegevens'!$C$17,'Invoer gegevens'!$C$11,Q15)*Reeksen!S15*'Invoer gegevens'!$C$18*Reeksen!P15,0)</f>
        <v>0</v>
      </c>
      <c r="AU15" s="71">
        <f ca="1">-IF(C15=1,'Invoer gegevens'!$C$10*'Invoer gegevens'!$I$36*Reeksen!H15,0)</f>
        <v>0</v>
      </c>
      <c r="AV15" s="71">
        <f>IF('Invoer gegevens'!$C$3="Basis",0,#REF!)</f>
        <v>0</v>
      </c>
      <c r="AW15" s="71">
        <f t="shared" ca="1" si="7"/>
        <v>0</v>
      </c>
      <c r="AX15" s="71">
        <f ca="1">IF(E15&lt;'Invoer gegevens'!$C$17+15,0,IF(E15&gt;'Invoer gegevens'!$C$17+215,0,AW15))</f>
        <v>0</v>
      </c>
      <c r="AY15" s="71">
        <f ca="1">AX15/(1+'Invoer gegevens'!$F$13)^($AZ15-('Invoer gegevens'!$C$17-'Invoer gegevens'!$C$16))/(1+'Invoer gegevens'!$C$39)^('Invoer gegevens'!$C$17-'Invoer gegevens'!$C$16)</f>
        <v>0</v>
      </c>
      <c r="AZ15" s="68">
        <f ca="1">IF(E15-'Invoer gegevens'!$C$17-14.5&lt;0,0,E15-'Invoer gegevens'!$C$17-14.5)</f>
        <v>0</v>
      </c>
    </row>
    <row r="16" spans="1:52" x14ac:dyDescent="0.25">
      <c r="A16" s="59"/>
      <c r="B16" s="70">
        <f t="shared" si="8"/>
        <v>12</v>
      </c>
      <c r="C16" s="67">
        <f ca="1">IF(E16-'Invoer gegevens'!$C$17&lt;0,0,1)</f>
        <v>1</v>
      </c>
      <c r="D16" s="68">
        <f t="shared" si="9"/>
        <v>11.5</v>
      </c>
      <c r="E16" s="69">
        <f ca="1">IF('Invoer gegevens'!$C$16="","",E15+1)</f>
        <v>2030</v>
      </c>
      <c r="F16" s="82">
        <f ca="1">IF('Invoer gegevens'!$C$17=E16,'Invoer gegevens'!$C$10,IF(C16=1,H15,0))</f>
        <v>0</v>
      </c>
      <c r="G16" s="83">
        <f ca="1">IF(C16&gt;=1,F16*Reeksen!C16,0)</f>
        <v>0</v>
      </c>
      <c r="H16" s="84">
        <f t="shared" ca="1" si="3"/>
        <v>0</v>
      </c>
      <c r="I16" s="85">
        <f ca="1">IF('Invoer gegevens'!$C$17=E16,'Invoer gegevens'!$C$11,IF(C16=1,L15,0))</f>
        <v>0</v>
      </c>
      <c r="J16" s="86">
        <f ca="1">IF(C16&lt;1,0,IF(Reeksen!AK16&lt;=Reeksen!AE16,I16*Reeksen!C16,0))</f>
        <v>0</v>
      </c>
      <c r="K16" s="86">
        <f ca="1">IF(C16&lt;1,0,IF(Reeksen!AK16&gt;Reeksen!AE16,I16*Reeksen!C16,0))</f>
        <v>0</v>
      </c>
      <c r="L16" s="86">
        <f t="shared" ca="1" si="4"/>
        <v>0</v>
      </c>
      <c r="M16" s="85">
        <f ca="1">IF('Invoer gegevens'!$C$17=E16,'Invoer gegevens'!$C$10-'Invoer gegevens'!$C$11,IF(C16=1,P15,0))</f>
        <v>0</v>
      </c>
      <c r="N16" s="86">
        <f ca="1">IF(C16&lt;1,0,IF(Reeksen!AK16&lt;=Reeksen!AE16,M16*Reeksen!C16,0))</f>
        <v>0</v>
      </c>
      <c r="O16" s="86">
        <f ca="1">IF(C16&lt;1,0,IF(Reeksen!AK16&gt;Reeksen!AE16,M16*Reeksen!C16,0))</f>
        <v>0</v>
      </c>
      <c r="P16" s="86">
        <f t="shared" ca="1" si="5"/>
        <v>0</v>
      </c>
      <c r="Q16" s="82">
        <f ca="1">IF('Invoer gegevens'!$C$17=E16,I16,IF(C16=0,0,R15))</f>
        <v>0</v>
      </c>
      <c r="R16" s="84">
        <f t="shared" ca="1" si="0"/>
        <v>0</v>
      </c>
      <c r="S16" s="84">
        <f ca="1">IF('Invoer gegevens'!$C$17=E16,M16,IF(C16=0,0,T15))</f>
        <v>0</v>
      </c>
      <c r="T16" s="84">
        <f t="shared" ca="1" si="1"/>
        <v>0</v>
      </c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8"/>
      <c r="AI16" s="71">
        <f ca="1">IF(C16=1,((F16+H16)/2*Reeksen!AJ16*12)+(('Invoer gegevens'!$C$10-(F16+H16)/2)*Reeksen!AK16*12),0)</f>
        <v>0</v>
      </c>
      <c r="AJ16" s="71">
        <f ca="1">-AI16*'Invoer gegevens'!$F$28</f>
        <v>0</v>
      </c>
      <c r="AK16" s="71">
        <f t="shared" ca="1" si="2"/>
        <v>0</v>
      </c>
      <c r="AL16" s="71">
        <f ca="1">IF(C16=1,(12*((F16+H16)/2)*Reeksen!AL16)+(12*('Invoer gegevens'!$C$10-(F16+H16)/2)*Reeksen!AM16),0)</f>
        <v>0</v>
      </c>
      <c r="AM16" s="71">
        <f ca="1">-AL16*'Invoer gegevens'!$F$31</f>
        <v>0</v>
      </c>
      <c r="AN16" s="71">
        <f t="shared" ca="1" si="6"/>
        <v>0</v>
      </c>
      <c r="AO16" s="71"/>
      <c r="AP16" s="71"/>
      <c r="AQ16" s="71">
        <f ca="1">-IF(C16=1,('Invoer gegevens'!$C$10*'Invoer gegevens'!$I$33)*Reeksen!J16,0)*2</f>
        <v>0</v>
      </c>
      <c r="AR16" s="71">
        <f ca="1">-IF(C16=1,(G16*'Invoer gegevens'!$I$34)*Reeksen!J16,0)</f>
        <v>0</v>
      </c>
      <c r="AS16" s="71">
        <f ca="1">-IF(C16=1,'Invoer gegevens'!$C$10*'Invoer gegevens'!$I$35*Reeksen!L16,0)</f>
        <v>0</v>
      </c>
      <c r="AT16" s="71">
        <f ca="1">-IF(C16=1,IF(E16='Invoer gegevens'!$C$17,'Invoer gegevens'!$C$11,Q16)*Reeksen!S16*'Invoer gegevens'!$C$18*Reeksen!P16,0)</f>
        <v>0</v>
      </c>
      <c r="AU16" s="71">
        <f ca="1">-IF(C16=1,'Invoer gegevens'!$C$10*'Invoer gegevens'!$I$36*Reeksen!H16,0)</f>
        <v>0</v>
      </c>
      <c r="AV16" s="71">
        <f>IF('Invoer gegevens'!$C$3="Basis",0,#REF!)</f>
        <v>0</v>
      </c>
      <c r="AW16" s="71">
        <f t="shared" ca="1" si="7"/>
        <v>0</v>
      </c>
      <c r="AX16" s="71">
        <f ca="1">IF(E16&lt;'Invoer gegevens'!$C$17+15,0,IF(E16&gt;'Invoer gegevens'!$C$17+215,0,AW16))</f>
        <v>0</v>
      </c>
      <c r="AY16" s="71">
        <f ca="1">AX16/(1+'Invoer gegevens'!$F$13)^($AZ16-('Invoer gegevens'!$C$17-'Invoer gegevens'!$C$16))/(1+'Invoer gegevens'!$C$39)^('Invoer gegevens'!$C$17-'Invoer gegevens'!$C$16)</f>
        <v>0</v>
      </c>
      <c r="AZ16" s="68">
        <f ca="1">IF(E16-'Invoer gegevens'!$C$17-14.5&lt;0,0,E16-'Invoer gegevens'!$C$17-14.5)</f>
        <v>0</v>
      </c>
    </row>
    <row r="17" spans="1:52" x14ac:dyDescent="0.25">
      <c r="A17" s="59"/>
      <c r="B17" s="70">
        <f t="shared" si="8"/>
        <v>13</v>
      </c>
      <c r="C17" s="67">
        <f ca="1">IF(E17-'Invoer gegevens'!$C$17&lt;0,0,1)</f>
        <v>1</v>
      </c>
      <c r="D17" s="68">
        <f t="shared" si="9"/>
        <v>12.5</v>
      </c>
      <c r="E17" s="69">
        <f ca="1">IF('Invoer gegevens'!$C$16="","",E16+1)</f>
        <v>2031</v>
      </c>
      <c r="F17" s="82">
        <f ca="1">IF('Invoer gegevens'!$C$17=E17,'Invoer gegevens'!$C$10,IF(C17=1,H16,0))</f>
        <v>0</v>
      </c>
      <c r="G17" s="83">
        <f ca="1">IF(C17&gt;=1,F17*Reeksen!C17,0)</f>
        <v>0</v>
      </c>
      <c r="H17" s="84">
        <f t="shared" ca="1" si="3"/>
        <v>0</v>
      </c>
      <c r="I17" s="85">
        <f ca="1">IF('Invoer gegevens'!$C$17=E17,'Invoer gegevens'!$C$11,IF(C17=1,L16,0))</f>
        <v>0</v>
      </c>
      <c r="J17" s="86">
        <f ca="1">IF(C17&lt;1,0,IF(Reeksen!AK17&lt;=Reeksen!AE17,I17*Reeksen!C17,0))</f>
        <v>0</v>
      </c>
      <c r="K17" s="86">
        <f ca="1">IF(C17&lt;1,0,IF(Reeksen!AK17&gt;Reeksen!AE17,I17*Reeksen!C17,0))</f>
        <v>0</v>
      </c>
      <c r="L17" s="86">
        <f t="shared" ca="1" si="4"/>
        <v>0</v>
      </c>
      <c r="M17" s="85">
        <f ca="1">IF('Invoer gegevens'!$C$17=E17,'Invoer gegevens'!$C$10-'Invoer gegevens'!$C$11,IF(C17=1,P16,0))</f>
        <v>0</v>
      </c>
      <c r="N17" s="86">
        <f ca="1">IF(C17&lt;1,0,IF(Reeksen!AK17&lt;=Reeksen!AE17,M17*Reeksen!C17,0))</f>
        <v>0</v>
      </c>
      <c r="O17" s="86">
        <f ca="1">IF(C17&lt;1,0,IF(Reeksen!AK17&gt;Reeksen!AE17,M17*Reeksen!C17,0))</f>
        <v>0</v>
      </c>
      <c r="P17" s="86">
        <f t="shared" ca="1" si="5"/>
        <v>0</v>
      </c>
      <c r="Q17" s="82">
        <f ca="1">IF('Invoer gegevens'!$C$17=E17,I17,IF(C17=0,0,R16))</f>
        <v>0</v>
      </c>
      <c r="R17" s="84">
        <f t="shared" ca="1" si="0"/>
        <v>0</v>
      </c>
      <c r="S17" s="84">
        <f ca="1">IF('Invoer gegevens'!$C$17=E17,M17,IF(C17=0,0,T16))</f>
        <v>0</v>
      </c>
      <c r="T17" s="84">
        <f t="shared" ca="1" si="1"/>
        <v>0</v>
      </c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8"/>
      <c r="AI17" s="71">
        <f ca="1">IF(C17=1,((F17+H17)/2*Reeksen!AJ17*12)+(('Invoer gegevens'!$C$10-(F17+H17)/2)*Reeksen!AK17*12),0)</f>
        <v>0</v>
      </c>
      <c r="AJ17" s="71">
        <f ca="1">-AI17*'Invoer gegevens'!$F$28</f>
        <v>0</v>
      </c>
      <c r="AK17" s="71">
        <f t="shared" ca="1" si="2"/>
        <v>0</v>
      </c>
      <c r="AL17" s="71">
        <f ca="1">IF(C17=1,(12*((F17+H17)/2)*Reeksen!AL17)+(12*('Invoer gegevens'!$C$10-(F17+H17)/2)*Reeksen!AM17),0)</f>
        <v>0</v>
      </c>
      <c r="AM17" s="71">
        <f ca="1">-AL17*'Invoer gegevens'!$F$31</f>
        <v>0</v>
      </c>
      <c r="AN17" s="71">
        <f t="shared" ca="1" si="6"/>
        <v>0</v>
      </c>
      <c r="AO17" s="71"/>
      <c r="AP17" s="71"/>
      <c r="AQ17" s="71">
        <f ca="1">-IF(C17=1,('Invoer gegevens'!$C$10*'Invoer gegevens'!$I$33)*Reeksen!J17,0)*2</f>
        <v>0</v>
      </c>
      <c r="AR17" s="71">
        <f ca="1">-IF(C17=1,(G17*'Invoer gegevens'!$I$34)*Reeksen!J17,0)</f>
        <v>0</v>
      </c>
      <c r="AS17" s="71">
        <f ca="1">-IF(C17=1,'Invoer gegevens'!$C$10*'Invoer gegevens'!$I$35*Reeksen!L17,0)</f>
        <v>0</v>
      </c>
      <c r="AT17" s="71">
        <f ca="1">-IF(C17=1,IF(E17='Invoer gegevens'!$C$17,'Invoer gegevens'!$C$11,Q17)*Reeksen!S17*'Invoer gegevens'!$C$18*Reeksen!P17,0)</f>
        <v>0</v>
      </c>
      <c r="AU17" s="71">
        <f ca="1">-IF(C17=1,'Invoer gegevens'!$C$10*'Invoer gegevens'!$I$36*Reeksen!H17,0)</f>
        <v>0</v>
      </c>
      <c r="AV17" s="71">
        <f>IF('Invoer gegevens'!$C$3="Basis",0,#REF!)</f>
        <v>0</v>
      </c>
      <c r="AW17" s="71">
        <f t="shared" ca="1" si="7"/>
        <v>0</v>
      </c>
      <c r="AX17" s="71">
        <f ca="1">IF(E17&lt;'Invoer gegevens'!$C$17+15,0,IF(E17&gt;'Invoer gegevens'!$C$17+215,0,AW17))</f>
        <v>0</v>
      </c>
      <c r="AY17" s="71">
        <f ca="1">AX17/(1+'Invoer gegevens'!$F$13)^($AZ17-('Invoer gegevens'!$C$17-'Invoer gegevens'!$C$16))/(1+'Invoer gegevens'!$C$39)^('Invoer gegevens'!$C$17-'Invoer gegevens'!$C$16)</f>
        <v>0</v>
      </c>
      <c r="AZ17" s="68">
        <f ca="1">IF(E17-'Invoer gegevens'!$C$17-14.5&lt;0,0,E17-'Invoer gegevens'!$C$17-14.5)</f>
        <v>0</v>
      </c>
    </row>
    <row r="18" spans="1:52" x14ac:dyDescent="0.25">
      <c r="A18" s="59"/>
      <c r="B18" s="70">
        <f t="shared" si="8"/>
        <v>14</v>
      </c>
      <c r="C18" s="67">
        <f ca="1">IF(E18-'Invoer gegevens'!$C$17&lt;0,0,1)</f>
        <v>1</v>
      </c>
      <c r="D18" s="68">
        <f t="shared" si="9"/>
        <v>13.5</v>
      </c>
      <c r="E18" s="69">
        <f ca="1">IF('Invoer gegevens'!$C$16="","",E17+1)</f>
        <v>2032</v>
      </c>
      <c r="F18" s="82">
        <f ca="1">IF('Invoer gegevens'!$C$17=E18,'Invoer gegevens'!$C$10,IF(C18=1,H17,0))</f>
        <v>0</v>
      </c>
      <c r="G18" s="83">
        <f ca="1">IF(C18&gt;=1,F18*Reeksen!C18,0)</f>
        <v>0</v>
      </c>
      <c r="H18" s="84">
        <f t="shared" ca="1" si="3"/>
        <v>0</v>
      </c>
      <c r="I18" s="85">
        <f ca="1">IF('Invoer gegevens'!$C$17=E18,'Invoer gegevens'!$C$11,IF(C18=1,L17,0))</f>
        <v>0</v>
      </c>
      <c r="J18" s="86">
        <f ca="1">IF(C18&lt;1,0,IF(Reeksen!AK18&lt;=Reeksen!AE18,I18*Reeksen!C18,0))</f>
        <v>0</v>
      </c>
      <c r="K18" s="86">
        <f ca="1">IF(C18&lt;1,0,IF(Reeksen!AK18&gt;Reeksen!AE18,I18*Reeksen!C18,0))</f>
        <v>0</v>
      </c>
      <c r="L18" s="86">
        <f t="shared" ca="1" si="4"/>
        <v>0</v>
      </c>
      <c r="M18" s="85">
        <f ca="1">IF('Invoer gegevens'!$C$17=E18,'Invoer gegevens'!$C$10-'Invoer gegevens'!$C$11,IF(C18=1,P17,0))</f>
        <v>0</v>
      </c>
      <c r="N18" s="86">
        <f ca="1">IF(C18&lt;1,0,IF(Reeksen!AK18&lt;=Reeksen!AE18,M18*Reeksen!C18,0))</f>
        <v>0</v>
      </c>
      <c r="O18" s="86">
        <f ca="1">IF(C18&lt;1,0,IF(Reeksen!AK18&gt;Reeksen!AE18,M18*Reeksen!C18,0))</f>
        <v>0</v>
      </c>
      <c r="P18" s="86">
        <f t="shared" ca="1" si="5"/>
        <v>0</v>
      </c>
      <c r="Q18" s="82">
        <f ca="1">IF('Invoer gegevens'!$C$17=E18,I18,IF(C18=0,0,R17))</f>
        <v>0</v>
      </c>
      <c r="R18" s="84">
        <f t="shared" ca="1" si="0"/>
        <v>0</v>
      </c>
      <c r="S18" s="84">
        <f ca="1">IF('Invoer gegevens'!$C$17=E18,M18,IF(C18=0,0,T17))</f>
        <v>0</v>
      </c>
      <c r="T18" s="84">
        <f t="shared" ca="1" si="1"/>
        <v>0</v>
      </c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8"/>
      <c r="AI18" s="71">
        <f ca="1">IF(C18=1,((F18+H18)/2*Reeksen!AJ18*12)+(('Invoer gegevens'!$C$10-(F18+H18)/2)*Reeksen!AK18*12),0)</f>
        <v>0</v>
      </c>
      <c r="AJ18" s="71">
        <f ca="1">-AI18*'Invoer gegevens'!$F$28</f>
        <v>0</v>
      </c>
      <c r="AK18" s="71">
        <f t="shared" ca="1" si="2"/>
        <v>0</v>
      </c>
      <c r="AL18" s="71">
        <f ca="1">IF(C18=1,(12*((F18+H18)/2)*Reeksen!AL18)+(12*('Invoer gegevens'!$C$10-(F18+H18)/2)*Reeksen!AM18),0)</f>
        <v>0</v>
      </c>
      <c r="AM18" s="71">
        <f ca="1">-AL18*'Invoer gegevens'!$F$31</f>
        <v>0</v>
      </c>
      <c r="AN18" s="71">
        <f t="shared" ca="1" si="6"/>
        <v>0</v>
      </c>
      <c r="AO18" s="71"/>
      <c r="AP18" s="71"/>
      <c r="AQ18" s="71">
        <f ca="1">-IF(C18=1,('Invoer gegevens'!$C$10*'Invoer gegevens'!$I$33)*Reeksen!J18,0)*2</f>
        <v>0</v>
      </c>
      <c r="AR18" s="71">
        <f ca="1">-IF(C18=1,(G18*'Invoer gegevens'!$I$34)*Reeksen!J18,0)</f>
        <v>0</v>
      </c>
      <c r="AS18" s="71">
        <f ca="1">-IF(C18=1,'Invoer gegevens'!$C$10*'Invoer gegevens'!$I$35*Reeksen!L18,0)</f>
        <v>0</v>
      </c>
      <c r="AT18" s="71">
        <f ca="1">-IF(C18=1,IF(E18='Invoer gegevens'!$C$17,'Invoer gegevens'!$C$11,Q18)*Reeksen!S18*'Invoer gegevens'!$C$18*Reeksen!P18,0)</f>
        <v>0</v>
      </c>
      <c r="AU18" s="71">
        <f ca="1">-IF(C18=1,'Invoer gegevens'!$C$10*'Invoer gegevens'!$I$36*Reeksen!H18,0)</f>
        <v>0</v>
      </c>
      <c r="AV18" s="71">
        <f>IF('Invoer gegevens'!$C$3="Basis",0,#REF!)</f>
        <v>0</v>
      </c>
      <c r="AW18" s="71">
        <f t="shared" ca="1" si="7"/>
        <v>0</v>
      </c>
      <c r="AX18" s="71">
        <f ca="1">IF(E18&lt;'Invoer gegevens'!$C$17+15,0,IF(E18&gt;'Invoer gegevens'!$C$17+215,0,AW18))</f>
        <v>0</v>
      </c>
      <c r="AY18" s="71">
        <f ca="1">AX18/(1+'Invoer gegevens'!$F$13)^($AZ18-('Invoer gegevens'!$C$17-'Invoer gegevens'!$C$16))/(1+'Invoer gegevens'!$C$39)^('Invoer gegevens'!$C$17-'Invoer gegevens'!$C$16)</f>
        <v>0</v>
      </c>
      <c r="AZ18" s="68">
        <f ca="1">IF(E18-'Invoer gegevens'!$C$17-14.5&lt;0,0,E18-'Invoer gegevens'!$C$17-14.5)</f>
        <v>0</v>
      </c>
    </row>
    <row r="19" spans="1:52" x14ac:dyDescent="0.25">
      <c r="A19" s="59"/>
      <c r="B19" s="70">
        <f t="shared" si="8"/>
        <v>15</v>
      </c>
      <c r="C19" s="67">
        <f ca="1">IF(E19-'Invoer gegevens'!$C$17&lt;0,0,1)</f>
        <v>1</v>
      </c>
      <c r="D19" s="68">
        <f t="shared" si="9"/>
        <v>14.5</v>
      </c>
      <c r="E19" s="69">
        <f ca="1">IF('Invoer gegevens'!$C$16="","",E18+1)</f>
        <v>2033</v>
      </c>
      <c r="F19" s="82">
        <f ca="1">IF('Invoer gegevens'!$C$17=E19,'Invoer gegevens'!$C$10,IF(C19=1,H18,0))</f>
        <v>0</v>
      </c>
      <c r="G19" s="83">
        <f ca="1">IF(C19&gt;=1,F19*Reeksen!C19,0)</f>
        <v>0</v>
      </c>
      <c r="H19" s="84">
        <f t="shared" ca="1" si="3"/>
        <v>0</v>
      </c>
      <c r="I19" s="85">
        <f ca="1">IF('Invoer gegevens'!$C$17=E19,'Invoer gegevens'!$C$11,IF(C19=1,L18,0))</f>
        <v>0</v>
      </c>
      <c r="J19" s="86">
        <f ca="1">IF(C19&lt;1,0,IF(Reeksen!AK19&lt;=Reeksen!AE19,I19*Reeksen!C19,0))</f>
        <v>0</v>
      </c>
      <c r="K19" s="86">
        <f ca="1">IF(C19&lt;1,0,IF(Reeksen!AK19&gt;Reeksen!AE19,I19*Reeksen!C19,0))</f>
        <v>0</v>
      </c>
      <c r="L19" s="86">
        <f t="shared" ca="1" si="4"/>
        <v>0</v>
      </c>
      <c r="M19" s="85">
        <f ca="1">IF('Invoer gegevens'!$C$17=E19,'Invoer gegevens'!$C$10-'Invoer gegevens'!$C$11,IF(C19=1,P18,0))</f>
        <v>0</v>
      </c>
      <c r="N19" s="86">
        <f ca="1">IF(C19&lt;1,0,IF(Reeksen!AK19&lt;=Reeksen!AE19,M19*Reeksen!C19,0))</f>
        <v>0</v>
      </c>
      <c r="O19" s="86">
        <f ca="1">IF(C19&lt;1,0,IF(Reeksen!AK19&gt;Reeksen!AE19,M19*Reeksen!C19,0))</f>
        <v>0</v>
      </c>
      <c r="P19" s="86">
        <f t="shared" ca="1" si="5"/>
        <v>0</v>
      </c>
      <c r="Q19" s="82">
        <f ca="1">IF('Invoer gegevens'!$C$17=E19,I19,IF(C19=0,0,R18))</f>
        <v>0</v>
      </c>
      <c r="R19" s="84">
        <f t="shared" ca="1" si="0"/>
        <v>0</v>
      </c>
      <c r="S19" s="84">
        <f ca="1">IF('Invoer gegevens'!$C$17=E19,M19,IF(C19=0,0,T18))</f>
        <v>0</v>
      </c>
      <c r="T19" s="84">
        <f t="shared" ca="1" si="1"/>
        <v>0</v>
      </c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8"/>
      <c r="AI19" s="71">
        <f ca="1">IF(C19=1,((F19+H19)/2*Reeksen!AJ19*12)+(('Invoer gegevens'!$C$10-(F19+H19)/2)*Reeksen!AK19*12),0)</f>
        <v>0</v>
      </c>
      <c r="AJ19" s="71">
        <f ca="1">-AI19*'Invoer gegevens'!$F$28</f>
        <v>0</v>
      </c>
      <c r="AK19" s="71">
        <f t="shared" ca="1" si="2"/>
        <v>0</v>
      </c>
      <c r="AL19" s="71">
        <f ca="1">IF(C19=1,(12*((F19+H19)/2)*Reeksen!AL19)+(12*('Invoer gegevens'!$C$10-(F19+H19)/2)*Reeksen!AM19),0)</f>
        <v>0</v>
      </c>
      <c r="AM19" s="71">
        <f ca="1">-AL19*'Invoer gegevens'!$F$31</f>
        <v>0</v>
      </c>
      <c r="AN19" s="71">
        <f t="shared" ca="1" si="6"/>
        <v>0</v>
      </c>
      <c r="AO19" s="71"/>
      <c r="AP19" s="71"/>
      <c r="AQ19" s="71">
        <f ca="1">-IF(C19=1,('Invoer gegevens'!$C$10*'Invoer gegevens'!$I$33)*Reeksen!J19,0)*2</f>
        <v>0</v>
      </c>
      <c r="AR19" s="71">
        <f ca="1">-IF(C19=1,(G19*'Invoer gegevens'!$I$34)*Reeksen!J19,0)</f>
        <v>0</v>
      </c>
      <c r="AS19" s="71">
        <f ca="1">-IF(C19=1,'Invoer gegevens'!$C$10*'Invoer gegevens'!$I$35*Reeksen!L19,0)</f>
        <v>0</v>
      </c>
      <c r="AT19" s="71">
        <f ca="1">-IF(C19=1,IF(E19='Invoer gegevens'!$C$17,'Invoer gegevens'!$C$11,Q19)*Reeksen!S19*'Invoer gegevens'!$C$18*Reeksen!P19,0)</f>
        <v>0</v>
      </c>
      <c r="AU19" s="71">
        <f ca="1">-IF(C19=1,'Invoer gegevens'!$C$10*'Invoer gegevens'!$I$36*Reeksen!H19,0)</f>
        <v>0</v>
      </c>
      <c r="AV19" s="71">
        <f>IF('Invoer gegevens'!$C$3="Basis",0,#REF!)</f>
        <v>0</v>
      </c>
      <c r="AW19" s="71">
        <f t="shared" ca="1" si="7"/>
        <v>0</v>
      </c>
      <c r="AX19" s="71">
        <f ca="1">IF(E19&lt;'Invoer gegevens'!$C$17+15,0,IF(E19&gt;'Invoer gegevens'!$C$17+215,0,AW19))</f>
        <v>0</v>
      </c>
      <c r="AY19" s="71">
        <f ca="1">AX19/(1+'Invoer gegevens'!$F$13)^($AZ19-('Invoer gegevens'!$C$17-'Invoer gegevens'!$C$16))/(1+'Invoer gegevens'!$C$39)^('Invoer gegevens'!$C$17-'Invoer gegevens'!$C$16)</f>
        <v>0</v>
      </c>
      <c r="AZ19" s="68">
        <f ca="1">IF(E19-'Invoer gegevens'!$C$17-14.5&lt;0,0,E19-'Invoer gegevens'!$C$17-14.5)</f>
        <v>0</v>
      </c>
    </row>
    <row r="20" spans="1:52" x14ac:dyDescent="0.25">
      <c r="A20" s="59"/>
      <c r="B20" s="70">
        <f t="shared" si="8"/>
        <v>16</v>
      </c>
      <c r="C20" s="67">
        <f ca="1">IF(E20-'Invoer gegevens'!$C$17&lt;0,0,1)</f>
        <v>1</v>
      </c>
      <c r="D20" s="68">
        <f t="shared" si="9"/>
        <v>15.5</v>
      </c>
      <c r="E20" s="69">
        <f ca="1">IF('Invoer gegevens'!$C$16="","",E19+1)</f>
        <v>2034</v>
      </c>
      <c r="F20" s="82">
        <f ca="1">IF('Invoer gegevens'!$C$17=E20,'Invoer gegevens'!$C$10,IF(C20=1,H19,0))</f>
        <v>0</v>
      </c>
      <c r="G20" s="83">
        <f ca="1">IF(C20&gt;=1,F20*Reeksen!C20,0)</f>
        <v>0</v>
      </c>
      <c r="H20" s="84">
        <f t="shared" ca="1" si="3"/>
        <v>0</v>
      </c>
      <c r="I20" s="85">
        <f ca="1">IF('Invoer gegevens'!$C$17=E20,'Invoer gegevens'!$C$11,IF(C20=1,L19,0))</f>
        <v>0</v>
      </c>
      <c r="J20" s="86">
        <f ca="1">IF(C20&lt;1,0,IF(Reeksen!AK20&lt;=Reeksen!AE20,I20*Reeksen!C20,0))</f>
        <v>0</v>
      </c>
      <c r="K20" s="86">
        <f ca="1">IF(C20&lt;1,0,IF(Reeksen!AK20&gt;Reeksen!AE20,I20*Reeksen!C20,0))</f>
        <v>0</v>
      </c>
      <c r="L20" s="86">
        <f t="shared" ca="1" si="4"/>
        <v>0</v>
      </c>
      <c r="M20" s="85">
        <f ca="1">IF('Invoer gegevens'!$C$17=E20,'Invoer gegevens'!$C$10-'Invoer gegevens'!$C$11,IF(C20=1,P19,0))</f>
        <v>0</v>
      </c>
      <c r="N20" s="86">
        <f ca="1">IF(C20&lt;1,0,IF(Reeksen!AK20&lt;=Reeksen!AE20,M20*Reeksen!C20,0))</f>
        <v>0</v>
      </c>
      <c r="O20" s="86">
        <f ca="1">IF(C20&lt;1,0,IF(Reeksen!AK20&gt;Reeksen!AE20,M20*Reeksen!C20,0))</f>
        <v>0</v>
      </c>
      <c r="P20" s="86">
        <f t="shared" ca="1" si="5"/>
        <v>0</v>
      </c>
      <c r="Q20" s="82">
        <f ca="1">IF('Invoer gegevens'!$C$17=E20,I20,IF(C20=0,0,R19))</f>
        <v>0</v>
      </c>
      <c r="R20" s="84">
        <f t="shared" ca="1" si="0"/>
        <v>0</v>
      </c>
      <c r="S20" s="84">
        <f ca="1">IF('Invoer gegevens'!$C$17=E20,M20,IF(C20=0,0,T19))</f>
        <v>0</v>
      </c>
      <c r="T20" s="84">
        <f t="shared" ca="1" si="1"/>
        <v>0</v>
      </c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8"/>
      <c r="AI20" s="71">
        <f ca="1">IF(C20=1,((F20+H20)/2*Reeksen!AJ20*12)+(('Invoer gegevens'!$C$10-(F20+H20)/2)*Reeksen!AK20*12),0)</f>
        <v>0</v>
      </c>
      <c r="AJ20" s="71">
        <f ca="1">-AI20*'Invoer gegevens'!$F$28</f>
        <v>0</v>
      </c>
      <c r="AK20" s="71">
        <f t="shared" ca="1" si="2"/>
        <v>0</v>
      </c>
      <c r="AL20" s="71">
        <f ca="1">IF(C20=1,(12*((F20+H20)/2)*Reeksen!AL20)+(12*('Invoer gegevens'!$C$10-(F20+H20)/2)*Reeksen!AM20),0)</f>
        <v>0</v>
      </c>
      <c r="AM20" s="71">
        <f ca="1">-AL20*'Invoer gegevens'!$F$31</f>
        <v>0</v>
      </c>
      <c r="AN20" s="71">
        <f t="shared" ca="1" si="6"/>
        <v>0</v>
      </c>
      <c r="AO20" s="71"/>
      <c r="AP20" s="71"/>
      <c r="AQ20" s="71">
        <f ca="1">-IF(C20=1,('Invoer gegevens'!$C$10*'Invoer gegevens'!$I$33)*Reeksen!J20,0)*2</f>
        <v>0</v>
      </c>
      <c r="AR20" s="71">
        <f ca="1">-IF(C20=1,(G20*'Invoer gegevens'!$I$34)*Reeksen!J20,0)</f>
        <v>0</v>
      </c>
      <c r="AS20" s="71">
        <f ca="1">-IF(C20=1,'Invoer gegevens'!$C$10*'Invoer gegevens'!$I$35*Reeksen!L20,0)</f>
        <v>0</v>
      </c>
      <c r="AT20" s="71">
        <f ca="1">-IF(C20=1,IF(E20='Invoer gegevens'!$C$17,'Invoer gegevens'!$C$11,Q20)*Reeksen!S20*'Invoer gegevens'!$C$18*Reeksen!P20,0)</f>
        <v>0</v>
      </c>
      <c r="AU20" s="71">
        <f ca="1">-IF(C20=1,'Invoer gegevens'!$C$10*'Invoer gegevens'!$I$36*Reeksen!H20,0)</f>
        <v>0</v>
      </c>
      <c r="AV20" s="71">
        <f>AV19</f>
        <v>0</v>
      </c>
      <c r="AW20" s="71">
        <f t="shared" ca="1" si="7"/>
        <v>0</v>
      </c>
      <c r="AX20" s="71">
        <f ca="1">IF(E20&lt;'Invoer gegevens'!$C$17+15,0,IF(E20&gt;'Invoer gegevens'!$C$17+215,0,AW20))</f>
        <v>0</v>
      </c>
      <c r="AY20" s="71">
        <f ca="1">AX20/(1+'Invoer gegevens'!$F$13)^($AZ20-('Invoer gegevens'!$C$17-'Invoer gegevens'!$C$16))/(1+'Invoer gegevens'!$C$39)^('Invoer gegevens'!$C$17-'Invoer gegevens'!$C$16)</f>
        <v>0</v>
      </c>
      <c r="AZ20" s="68">
        <f ca="1">IF(E20-'Invoer gegevens'!$C$17-14.5&lt;0,0,E20-'Invoer gegevens'!$C$17-14.5)</f>
        <v>0.5</v>
      </c>
    </row>
    <row r="21" spans="1:52" x14ac:dyDescent="0.25">
      <c r="A21" s="59"/>
      <c r="B21" s="70">
        <f t="shared" si="8"/>
        <v>17</v>
      </c>
      <c r="C21" s="67">
        <f ca="1">IF(E21-'Invoer gegevens'!$C$17&lt;0,0,1)</f>
        <v>1</v>
      </c>
      <c r="D21" s="68">
        <f t="shared" si="9"/>
        <v>16.5</v>
      </c>
      <c r="E21" s="69">
        <f ca="1">IF('Invoer gegevens'!$C$16="","",E20+1)</f>
        <v>2035</v>
      </c>
      <c r="F21" s="82">
        <f ca="1">IF('Invoer gegevens'!$C$17=E21,'Invoer gegevens'!$C$10,IF(C21=1,H20,0))</f>
        <v>0</v>
      </c>
      <c r="G21" s="83">
        <f ca="1">IF(C21&gt;=1,F21*Reeksen!C21,0)</f>
        <v>0</v>
      </c>
      <c r="H21" s="84">
        <f t="shared" ca="1" si="3"/>
        <v>0</v>
      </c>
      <c r="I21" s="85">
        <f ca="1">IF('Invoer gegevens'!$C$17=E21,'Invoer gegevens'!$C$11,IF(C21=1,L20,0))</f>
        <v>0</v>
      </c>
      <c r="J21" s="86">
        <f ca="1">IF(C21&lt;1,0,IF(Reeksen!AK21&lt;=Reeksen!AE21,I21*Reeksen!C21,0))</f>
        <v>0</v>
      </c>
      <c r="K21" s="86">
        <f ca="1">IF(C21&lt;1,0,IF(Reeksen!AK21&gt;Reeksen!AE21,I21*Reeksen!C21,0))</f>
        <v>0</v>
      </c>
      <c r="L21" s="86">
        <f t="shared" ca="1" si="4"/>
        <v>0</v>
      </c>
      <c r="M21" s="85">
        <f ca="1">IF('Invoer gegevens'!$C$17=E21,'Invoer gegevens'!$C$10-'Invoer gegevens'!$C$11,IF(C21=1,P20,0))</f>
        <v>0</v>
      </c>
      <c r="N21" s="86">
        <f ca="1">IF(C21&lt;1,0,IF(Reeksen!AK21&lt;=Reeksen!AE21,M21*Reeksen!C21,0))</f>
        <v>0</v>
      </c>
      <c r="O21" s="86">
        <f ca="1">IF(C21&lt;1,0,IF(Reeksen!AK21&gt;Reeksen!AE21,M21*Reeksen!C21,0))</f>
        <v>0</v>
      </c>
      <c r="P21" s="86">
        <f t="shared" ca="1" si="5"/>
        <v>0</v>
      </c>
      <c r="Q21" s="82">
        <f ca="1">IF('Invoer gegevens'!$C$17=E21,I21,IF(C21=0,0,R20))</f>
        <v>0</v>
      </c>
      <c r="R21" s="84">
        <f t="shared" ca="1" si="0"/>
        <v>0</v>
      </c>
      <c r="S21" s="84">
        <f ca="1">IF('Invoer gegevens'!$C$17=E21,M21,IF(C21=0,0,T20))</f>
        <v>0</v>
      </c>
      <c r="T21" s="84">
        <f t="shared" ca="1" si="1"/>
        <v>0</v>
      </c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8"/>
      <c r="AI21" s="71">
        <f ca="1">IF(C21=1,((F21+H21)/2*Reeksen!AJ21*12)+(('Invoer gegevens'!$C$10-(F21+H21)/2)*Reeksen!AK21*12),0)</f>
        <v>0</v>
      </c>
      <c r="AJ21" s="71">
        <f ca="1">-AI21*'Invoer gegevens'!$F$28</f>
        <v>0</v>
      </c>
      <c r="AK21" s="71">
        <f t="shared" ca="1" si="2"/>
        <v>0</v>
      </c>
      <c r="AL21" s="71">
        <f ca="1">IF(C21=1,(12*((F21+H21)/2)*Reeksen!AL21)+(12*('Invoer gegevens'!$C$10-(F21+H21)/2)*Reeksen!AM21),0)</f>
        <v>0</v>
      </c>
      <c r="AM21" s="71">
        <f ca="1">-AL21*'Invoer gegevens'!$F$31</f>
        <v>0</v>
      </c>
      <c r="AN21" s="71">
        <f t="shared" ca="1" si="6"/>
        <v>0</v>
      </c>
      <c r="AO21" s="71"/>
      <c r="AP21" s="71"/>
      <c r="AQ21" s="71">
        <f ca="1">-IF(C21=1,('Invoer gegevens'!$C$10*'Invoer gegevens'!$I$33)*Reeksen!J21,0)*2</f>
        <v>0</v>
      </c>
      <c r="AR21" s="71">
        <f ca="1">-IF(C21=1,(G21*'Invoer gegevens'!$I$34)*Reeksen!J21,0)</f>
        <v>0</v>
      </c>
      <c r="AS21" s="71">
        <f ca="1">-IF(C21=1,'Invoer gegevens'!$C$10*'Invoer gegevens'!$I$35*Reeksen!L21,0)</f>
        <v>0</v>
      </c>
      <c r="AT21" s="71">
        <f ca="1">-IF(C21=1,IF(E21='Invoer gegevens'!$C$17,'Invoer gegevens'!$C$11,Q21)*Reeksen!S21*'Invoer gegevens'!$C$18*Reeksen!P21,0)</f>
        <v>0</v>
      </c>
      <c r="AU21" s="71">
        <f ca="1">-IF(C21=1,'Invoer gegevens'!$C$10*'Invoer gegevens'!$I$36*Reeksen!H21,0)</f>
        <v>0</v>
      </c>
      <c r="AV21" s="71">
        <f t="shared" ref="AV21:AV84" si="10">AV20</f>
        <v>0</v>
      </c>
      <c r="AW21" s="71">
        <f t="shared" ca="1" si="7"/>
        <v>0</v>
      </c>
      <c r="AX21" s="71">
        <f ca="1">IF(E21&lt;'Invoer gegevens'!$C$17+15,0,IF(E21&gt;'Invoer gegevens'!$C$17+215,0,AW21))</f>
        <v>0</v>
      </c>
      <c r="AY21" s="71">
        <f ca="1">AX21/(1+'Invoer gegevens'!$F$13)^($AZ21-('Invoer gegevens'!$C$17-'Invoer gegevens'!$C$16))/(1+'Invoer gegevens'!$C$39)^('Invoer gegevens'!$C$17-'Invoer gegevens'!$C$16)</f>
        <v>0</v>
      </c>
      <c r="AZ21" s="68">
        <f ca="1">IF(E21-'Invoer gegevens'!$C$17-14.5&lt;0,0,E21-'Invoer gegevens'!$C$17-14.5)</f>
        <v>1.5</v>
      </c>
    </row>
    <row r="22" spans="1:52" x14ac:dyDescent="0.25">
      <c r="A22" s="59"/>
      <c r="B22" s="70">
        <f t="shared" si="8"/>
        <v>18</v>
      </c>
      <c r="C22" s="67">
        <f ca="1">IF(E22-'Invoer gegevens'!$C$17&lt;0,0,1)</f>
        <v>1</v>
      </c>
      <c r="D22" s="68">
        <f t="shared" si="9"/>
        <v>17.5</v>
      </c>
      <c r="E22" s="69">
        <f ca="1">IF('Invoer gegevens'!$C$16="","",E21+1)</f>
        <v>2036</v>
      </c>
      <c r="F22" s="82">
        <f ca="1">IF('Invoer gegevens'!$C$17=E22,'Invoer gegevens'!$C$10,IF(C22=1,H21,0))</f>
        <v>0</v>
      </c>
      <c r="G22" s="83">
        <f ca="1">IF(C22&gt;=1,F22*Reeksen!C22,0)</f>
        <v>0</v>
      </c>
      <c r="H22" s="84">
        <f t="shared" ca="1" si="3"/>
        <v>0</v>
      </c>
      <c r="I22" s="85">
        <f ca="1">IF('Invoer gegevens'!$C$17=E22,'Invoer gegevens'!$C$11,IF(C22=1,L21,0))</f>
        <v>0</v>
      </c>
      <c r="J22" s="86">
        <f ca="1">IF(C22&lt;1,0,IF(Reeksen!AK22&lt;=Reeksen!AE22,I22*Reeksen!C22,0))</f>
        <v>0</v>
      </c>
      <c r="K22" s="86">
        <f ca="1">IF(C22&lt;1,0,IF(Reeksen!AK22&gt;Reeksen!AE22,I22*Reeksen!C22,0))</f>
        <v>0</v>
      </c>
      <c r="L22" s="86">
        <f t="shared" ca="1" si="4"/>
        <v>0</v>
      </c>
      <c r="M22" s="85">
        <f ca="1">IF('Invoer gegevens'!$C$17=E22,'Invoer gegevens'!$C$10-'Invoer gegevens'!$C$11,IF(C22=1,P21,0))</f>
        <v>0</v>
      </c>
      <c r="N22" s="86">
        <f ca="1">IF(C22&lt;1,0,IF(Reeksen!AK22&lt;=Reeksen!AE22,M22*Reeksen!C22,0))</f>
        <v>0</v>
      </c>
      <c r="O22" s="86">
        <f ca="1">IF(C22&lt;1,0,IF(Reeksen!AK22&gt;Reeksen!AE22,M22*Reeksen!C22,0))</f>
        <v>0</v>
      </c>
      <c r="P22" s="86">
        <f t="shared" ca="1" si="5"/>
        <v>0</v>
      </c>
      <c r="Q22" s="82">
        <f ca="1">IF('Invoer gegevens'!$C$17=E22,I22,IF(C22=0,0,R21))</f>
        <v>0</v>
      </c>
      <c r="R22" s="84">
        <f t="shared" ca="1" si="0"/>
        <v>0</v>
      </c>
      <c r="S22" s="84">
        <f ca="1">IF('Invoer gegevens'!$C$17=E22,M22,IF(C22=0,0,T21))</f>
        <v>0</v>
      </c>
      <c r="T22" s="84">
        <f t="shared" ca="1" si="1"/>
        <v>0</v>
      </c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8"/>
      <c r="AI22" s="71">
        <f ca="1">IF(C22=1,((F22+H22)/2*Reeksen!AJ22*12)+(('Invoer gegevens'!$C$10-(F22+H22)/2)*Reeksen!AK22*12),0)</f>
        <v>0</v>
      </c>
      <c r="AJ22" s="71">
        <f ca="1">-AI22*'Invoer gegevens'!$F$28</f>
        <v>0</v>
      </c>
      <c r="AK22" s="71">
        <f t="shared" ca="1" si="2"/>
        <v>0</v>
      </c>
      <c r="AL22" s="71">
        <f ca="1">IF(C22=1,(12*((F22+H22)/2)*Reeksen!AL22)+(12*('Invoer gegevens'!$C$10-(F22+H22)/2)*Reeksen!AM22),0)</f>
        <v>0</v>
      </c>
      <c r="AM22" s="71">
        <f ca="1">-AL22*'Invoer gegevens'!$F$31</f>
        <v>0</v>
      </c>
      <c r="AN22" s="71">
        <f t="shared" ca="1" si="6"/>
        <v>0</v>
      </c>
      <c r="AO22" s="71"/>
      <c r="AP22" s="71"/>
      <c r="AQ22" s="71">
        <f ca="1">-IF(C22=1,('Invoer gegevens'!$C$10*'Invoer gegevens'!$I$33)*Reeksen!J22,0)*2</f>
        <v>0</v>
      </c>
      <c r="AR22" s="71">
        <f ca="1">-IF(C22=1,(G22*'Invoer gegevens'!$I$34)*Reeksen!J22,0)</f>
        <v>0</v>
      </c>
      <c r="AS22" s="71">
        <f ca="1">-IF(C22=1,'Invoer gegevens'!$C$10*'Invoer gegevens'!$I$35*Reeksen!L22,0)</f>
        <v>0</v>
      </c>
      <c r="AT22" s="71">
        <f ca="1">-IF(C22=1,IF(E22='Invoer gegevens'!$C$17,'Invoer gegevens'!$C$11,Q22)*Reeksen!S22*'Invoer gegevens'!$C$18*Reeksen!P22,0)</f>
        <v>0</v>
      </c>
      <c r="AU22" s="71">
        <f ca="1">-IF(C22=1,'Invoer gegevens'!$C$10*'Invoer gegevens'!$I$36*Reeksen!H22,0)</f>
        <v>0</v>
      </c>
      <c r="AV22" s="71">
        <f t="shared" si="10"/>
        <v>0</v>
      </c>
      <c r="AW22" s="71">
        <f t="shared" ca="1" si="7"/>
        <v>0</v>
      </c>
      <c r="AX22" s="71">
        <f ca="1">IF(E22&lt;'Invoer gegevens'!$C$17+15,0,IF(E22&gt;'Invoer gegevens'!$C$17+215,0,AW22))</f>
        <v>0</v>
      </c>
      <c r="AY22" s="71">
        <f ca="1">AX22/(1+'Invoer gegevens'!$F$13)^($AZ22-('Invoer gegevens'!$C$17-'Invoer gegevens'!$C$16))/(1+'Invoer gegevens'!$C$39)^('Invoer gegevens'!$C$17-'Invoer gegevens'!$C$16)</f>
        <v>0</v>
      </c>
      <c r="AZ22" s="68">
        <f ca="1">IF(E22-'Invoer gegevens'!$C$17-14.5&lt;0,0,E22-'Invoer gegevens'!$C$17-14.5)</f>
        <v>2.5</v>
      </c>
    </row>
    <row r="23" spans="1:52" x14ac:dyDescent="0.25">
      <c r="A23" s="59"/>
      <c r="B23" s="70">
        <f t="shared" si="8"/>
        <v>19</v>
      </c>
      <c r="C23" s="67">
        <f ca="1">IF(E23-'Invoer gegevens'!$C$17&lt;0,0,1)</f>
        <v>1</v>
      </c>
      <c r="D23" s="68">
        <f t="shared" si="9"/>
        <v>18.5</v>
      </c>
      <c r="E23" s="69">
        <f ca="1">IF('Invoer gegevens'!$C$16="","",E22+1)</f>
        <v>2037</v>
      </c>
      <c r="F23" s="82">
        <f ca="1">IF('Invoer gegevens'!$C$17=E23,'Invoer gegevens'!$C$10,IF(C23=1,H22,0))</f>
        <v>0</v>
      </c>
      <c r="G23" s="83">
        <f ca="1">IF(C23&gt;=1,F23*Reeksen!C23,0)</f>
        <v>0</v>
      </c>
      <c r="H23" s="84">
        <f t="shared" ca="1" si="3"/>
        <v>0</v>
      </c>
      <c r="I23" s="85">
        <f ca="1">IF('Invoer gegevens'!$C$17=E23,'Invoer gegevens'!$C$11,IF(C23=1,L22,0))</f>
        <v>0</v>
      </c>
      <c r="J23" s="86">
        <f ca="1">IF(C23&lt;1,0,IF(Reeksen!AK23&lt;=Reeksen!AE23,I23*Reeksen!C23,0))</f>
        <v>0</v>
      </c>
      <c r="K23" s="86">
        <f ca="1">IF(C23&lt;1,0,IF(Reeksen!AK23&gt;Reeksen!AE23,I23*Reeksen!C23,0))</f>
        <v>0</v>
      </c>
      <c r="L23" s="86">
        <f t="shared" ca="1" si="4"/>
        <v>0</v>
      </c>
      <c r="M23" s="85">
        <f ca="1">IF('Invoer gegevens'!$C$17=E23,'Invoer gegevens'!$C$10-'Invoer gegevens'!$C$11,IF(C23=1,P22,0))</f>
        <v>0</v>
      </c>
      <c r="N23" s="86">
        <f ca="1">IF(C23&lt;1,0,IF(Reeksen!AK23&lt;=Reeksen!AE23,M23*Reeksen!C23,0))</f>
        <v>0</v>
      </c>
      <c r="O23" s="86">
        <f ca="1">IF(C23&lt;1,0,IF(Reeksen!AK23&gt;Reeksen!AE23,M23*Reeksen!C23,0))</f>
        <v>0</v>
      </c>
      <c r="P23" s="86">
        <f t="shared" ca="1" si="5"/>
        <v>0</v>
      </c>
      <c r="Q23" s="82">
        <f ca="1">IF('Invoer gegevens'!$C$17=E23,I23,IF(C23=0,0,R22))</f>
        <v>0</v>
      </c>
      <c r="R23" s="84">
        <f t="shared" ca="1" si="0"/>
        <v>0</v>
      </c>
      <c r="S23" s="84">
        <f ca="1">IF('Invoer gegevens'!$C$17=E23,M23,IF(C23=0,0,T22))</f>
        <v>0</v>
      </c>
      <c r="T23" s="84">
        <f t="shared" ca="1" si="1"/>
        <v>0</v>
      </c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8"/>
      <c r="AI23" s="71">
        <f ca="1">IF(C23=1,((F23+H23)/2*Reeksen!AJ23*12)+(('Invoer gegevens'!$C$10-(F23+H23)/2)*Reeksen!AK23*12),0)</f>
        <v>0</v>
      </c>
      <c r="AJ23" s="71">
        <f ca="1">-AI23*'Invoer gegevens'!$F$28</f>
        <v>0</v>
      </c>
      <c r="AK23" s="71">
        <f t="shared" ca="1" si="2"/>
        <v>0</v>
      </c>
      <c r="AL23" s="71">
        <f ca="1">IF(C23=1,(12*((F23+H23)/2)*Reeksen!AL23)+(12*('Invoer gegevens'!$C$10-(F23+H23)/2)*Reeksen!AM23),0)</f>
        <v>0</v>
      </c>
      <c r="AM23" s="71">
        <f ca="1">-AL23*'Invoer gegevens'!$F$31</f>
        <v>0</v>
      </c>
      <c r="AN23" s="71">
        <f t="shared" ca="1" si="6"/>
        <v>0</v>
      </c>
      <c r="AO23" s="71"/>
      <c r="AP23" s="71"/>
      <c r="AQ23" s="71">
        <f ca="1">-IF(C23=1,('Invoer gegevens'!$C$10*'Invoer gegevens'!$I$33)*Reeksen!J23,0)*2</f>
        <v>0</v>
      </c>
      <c r="AR23" s="71">
        <f ca="1">-IF(C23=1,(G23*'Invoer gegevens'!$I$34)*Reeksen!J23,0)</f>
        <v>0</v>
      </c>
      <c r="AS23" s="71">
        <f ca="1">-IF(C23=1,'Invoer gegevens'!$C$10*'Invoer gegevens'!$I$35*Reeksen!L23,0)</f>
        <v>0</v>
      </c>
      <c r="AT23" s="71">
        <f ca="1">-IF(C23=1,IF(E23='Invoer gegevens'!$C$17,'Invoer gegevens'!$C$11,Q23)*Reeksen!S23*'Invoer gegevens'!$C$18*Reeksen!P23,0)</f>
        <v>0</v>
      </c>
      <c r="AU23" s="71">
        <f ca="1">-IF(C23=1,'Invoer gegevens'!$C$10*'Invoer gegevens'!$I$36*Reeksen!H23,0)</f>
        <v>0</v>
      </c>
      <c r="AV23" s="71">
        <f t="shared" si="10"/>
        <v>0</v>
      </c>
      <c r="AW23" s="71">
        <f t="shared" ca="1" si="7"/>
        <v>0</v>
      </c>
      <c r="AX23" s="71">
        <f ca="1">IF(E23&lt;'Invoer gegevens'!$C$17+15,0,IF(E23&gt;'Invoer gegevens'!$C$17+215,0,AW23))</f>
        <v>0</v>
      </c>
      <c r="AY23" s="71">
        <f ca="1">AX23/(1+'Invoer gegevens'!$F$13)^($AZ23-('Invoer gegevens'!$C$17-'Invoer gegevens'!$C$16))/(1+'Invoer gegevens'!$C$39)^('Invoer gegevens'!$C$17-'Invoer gegevens'!$C$16)</f>
        <v>0</v>
      </c>
      <c r="AZ23" s="68">
        <f ca="1">IF(E23-'Invoer gegevens'!$C$17-14.5&lt;0,0,E23-'Invoer gegevens'!$C$17-14.5)</f>
        <v>3.5</v>
      </c>
    </row>
    <row r="24" spans="1:52" x14ac:dyDescent="0.25">
      <c r="A24" s="59"/>
      <c r="B24" s="70">
        <f t="shared" si="8"/>
        <v>20</v>
      </c>
      <c r="C24" s="67">
        <f ca="1">IF(E24-'Invoer gegevens'!$C$17&lt;0,0,1)</f>
        <v>1</v>
      </c>
      <c r="D24" s="68">
        <f t="shared" si="9"/>
        <v>19.5</v>
      </c>
      <c r="E24" s="69">
        <f ca="1">IF('Invoer gegevens'!$C$16="","",E23+1)</f>
        <v>2038</v>
      </c>
      <c r="F24" s="82">
        <f ca="1">IF('Invoer gegevens'!$C$17=E24,'Invoer gegevens'!$C$10,IF(C24=1,H23,0))</f>
        <v>0</v>
      </c>
      <c r="G24" s="83">
        <f ca="1">IF(C24&gt;=1,F24*Reeksen!C24,0)</f>
        <v>0</v>
      </c>
      <c r="H24" s="84">
        <f t="shared" ca="1" si="3"/>
        <v>0</v>
      </c>
      <c r="I24" s="85">
        <f ca="1">IF('Invoer gegevens'!$C$17=E24,'Invoer gegevens'!$C$11,IF(C24=1,L23,0))</f>
        <v>0</v>
      </c>
      <c r="J24" s="86">
        <f ca="1">IF(C24&lt;1,0,IF(Reeksen!AK24&lt;=Reeksen!AE24,I24*Reeksen!C24,0))</f>
        <v>0</v>
      </c>
      <c r="K24" s="86">
        <f ca="1">IF(C24&lt;1,0,IF(Reeksen!AK24&gt;Reeksen!AE24,I24*Reeksen!C24,0))</f>
        <v>0</v>
      </c>
      <c r="L24" s="86">
        <f t="shared" ca="1" si="4"/>
        <v>0</v>
      </c>
      <c r="M24" s="85">
        <f ca="1">IF('Invoer gegevens'!$C$17=E24,'Invoer gegevens'!$C$10-'Invoer gegevens'!$C$11,IF(C24=1,P23,0))</f>
        <v>0</v>
      </c>
      <c r="N24" s="86">
        <f ca="1">IF(C24&lt;1,0,IF(Reeksen!AK24&lt;=Reeksen!AE24,M24*Reeksen!C24,0))</f>
        <v>0</v>
      </c>
      <c r="O24" s="86">
        <f ca="1">IF(C24&lt;1,0,IF(Reeksen!AK24&gt;Reeksen!AE24,M24*Reeksen!C24,0))</f>
        <v>0</v>
      </c>
      <c r="P24" s="86">
        <f t="shared" ca="1" si="5"/>
        <v>0</v>
      </c>
      <c r="Q24" s="82">
        <f ca="1">IF('Invoer gegevens'!$C$17=E24,I24,IF(C24=0,0,R23))</f>
        <v>0</v>
      </c>
      <c r="R24" s="84">
        <f t="shared" ca="1" si="0"/>
        <v>0</v>
      </c>
      <c r="S24" s="84">
        <f ca="1">IF('Invoer gegevens'!$C$17=E24,M24,IF(C24=0,0,T23))</f>
        <v>0</v>
      </c>
      <c r="T24" s="84">
        <f t="shared" ca="1" si="1"/>
        <v>0</v>
      </c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8"/>
      <c r="AI24" s="71">
        <f ca="1">IF(C24=1,((F24+H24)/2*Reeksen!AJ24*12)+(('Invoer gegevens'!$C$10-(F24+H24)/2)*Reeksen!AK24*12),0)</f>
        <v>0</v>
      </c>
      <c r="AJ24" s="71">
        <f ca="1">-AI24*'Invoer gegevens'!$F$28</f>
        <v>0</v>
      </c>
      <c r="AK24" s="71">
        <f t="shared" ca="1" si="2"/>
        <v>0</v>
      </c>
      <c r="AL24" s="71">
        <f ca="1">IF(C24=1,(12*((F24+H24)/2)*Reeksen!AL24)+(12*('Invoer gegevens'!$C$10-(F24+H24)/2)*Reeksen!AM24),0)</f>
        <v>0</v>
      </c>
      <c r="AM24" s="71">
        <f ca="1">-AL24*'Invoer gegevens'!$F$31</f>
        <v>0</v>
      </c>
      <c r="AN24" s="71">
        <f t="shared" ca="1" si="6"/>
        <v>0</v>
      </c>
      <c r="AO24" s="71"/>
      <c r="AP24" s="71"/>
      <c r="AQ24" s="71">
        <f ca="1">-IF(C24=1,('Invoer gegevens'!$C$10*'Invoer gegevens'!$I$33)*Reeksen!J24,0)*2</f>
        <v>0</v>
      </c>
      <c r="AR24" s="71">
        <f ca="1">-IF(C24=1,(G24*'Invoer gegevens'!$I$34)*Reeksen!J24,0)</f>
        <v>0</v>
      </c>
      <c r="AS24" s="71">
        <f ca="1">-IF(C24=1,'Invoer gegevens'!$C$10*'Invoer gegevens'!$I$35*Reeksen!L24,0)</f>
        <v>0</v>
      </c>
      <c r="AT24" s="71">
        <f ca="1">-IF(C24=1,IF(E24='Invoer gegevens'!$C$17,'Invoer gegevens'!$C$11,Q24)*Reeksen!S24*'Invoer gegevens'!$C$18*Reeksen!P24,0)</f>
        <v>0</v>
      </c>
      <c r="AU24" s="71">
        <f ca="1">-IF(C24=1,'Invoer gegevens'!$C$10*'Invoer gegevens'!$I$36*Reeksen!H24,0)</f>
        <v>0</v>
      </c>
      <c r="AV24" s="71">
        <f t="shared" si="10"/>
        <v>0</v>
      </c>
      <c r="AW24" s="71">
        <f t="shared" ca="1" si="7"/>
        <v>0</v>
      </c>
      <c r="AX24" s="71">
        <f ca="1">IF(E24&lt;'Invoer gegevens'!$C$17+15,0,IF(E24&gt;'Invoer gegevens'!$C$17+215,0,AW24))</f>
        <v>0</v>
      </c>
      <c r="AY24" s="71">
        <f ca="1">AX24/(1+'Invoer gegevens'!$F$13)^($AZ24-('Invoer gegevens'!$C$17-'Invoer gegevens'!$C$16))/(1+'Invoer gegevens'!$C$39)^('Invoer gegevens'!$C$17-'Invoer gegevens'!$C$16)</f>
        <v>0</v>
      </c>
      <c r="AZ24" s="68">
        <f ca="1">IF(E24-'Invoer gegevens'!$C$17-14.5&lt;0,0,E24-'Invoer gegevens'!$C$17-14.5)</f>
        <v>4.5</v>
      </c>
    </row>
    <row r="25" spans="1:52" x14ac:dyDescent="0.25">
      <c r="A25" s="59"/>
      <c r="B25" s="70">
        <f t="shared" si="8"/>
        <v>21</v>
      </c>
      <c r="C25" s="67">
        <f ca="1">IF(E25-'Invoer gegevens'!$C$17&lt;0,0,1)</f>
        <v>1</v>
      </c>
      <c r="D25" s="68">
        <f t="shared" si="9"/>
        <v>20.5</v>
      </c>
      <c r="E25" s="69">
        <f ca="1">IF('Invoer gegevens'!$C$16="","",E24+1)</f>
        <v>2039</v>
      </c>
      <c r="F25" s="82">
        <f ca="1">IF('Invoer gegevens'!$C$17=E25,'Invoer gegevens'!$C$10,IF(C25=1,H24,0))</f>
        <v>0</v>
      </c>
      <c r="G25" s="83">
        <f ca="1">IF(C25&gt;=1,F25*Reeksen!C25,0)</f>
        <v>0</v>
      </c>
      <c r="H25" s="84">
        <f t="shared" ca="1" si="3"/>
        <v>0</v>
      </c>
      <c r="I25" s="85">
        <f ca="1">IF('Invoer gegevens'!$C$17=E25,'Invoer gegevens'!$C$11,IF(C25=1,L24,0))</f>
        <v>0</v>
      </c>
      <c r="J25" s="86">
        <f ca="1">IF(C25&lt;1,0,IF(Reeksen!AK25&lt;=Reeksen!AE25,I25*Reeksen!C25,0))</f>
        <v>0</v>
      </c>
      <c r="K25" s="86">
        <f ca="1">IF(C25&lt;1,0,IF(Reeksen!AK25&gt;Reeksen!AE25,I25*Reeksen!C25,0))</f>
        <v>0</v>
      </c>
      <c r="L25" s="86">
        <f t="shared" ca="1" si="4"/>
        <v>0</v>
      </c>
      <c r="M25" s="85">
        <f ca="1">IF('Invoer gegevens'!$C$17=E25,'Invoer gegevens'!$C$10-'Invoer gegevens'!$C$11,IF(C25=1,P24,0))</f>
        <v>0</v>
      </c>
      <c r="N25" s="86">
        <f ca="1">IF(C25&lt;1,0,IF(Reeksen!AK25&lt;=Reeksen!AE25,M25*Reeksen!C25,0))</f>
        <v>0</v>
      </c>
      <c r="O25" s="86">
        <f ca="1">IF(C25&lt;1,0,IF(Reeksen!AK25&gt;Reeksen!AE25,M25*Reeksen!C25,0))</f>
        <v>0</v>
      </c>
      <c r="P25" s="86">
        <f t="shared" ca="1" si="5"/>
        <v>0</v>
      </c>
      <c r="Q25" s="82">
        <f ca="1">IF('Invoer gegevens'!$C$17=E25,I25,IF(C25=0,0,R24))</f>
        <v>0</v>
      </c>
      <c r="R25" s="84">
        <f t="shared" ca="1" si="0"/>
        <v>0</v>
      </c>
      <c r="S25" s="84">
        <f ca="1">IF('Invoer gegevens'!$C$17=E25,M25,IF(C25=0,0,T24))</f>
        <v>0</v>
      </c>
      <c r="T25" s="84">
        <f t="shared" ca="1" si="1"/>
        <v>0</v>
      </c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8"/>
      <c r="AI25" s="71">
        <f ca="1">IF(C25=1,((F25+H25)/2*Reeksen!AJ25*12)+(('Invoer gegevens'!$C$10-(F25+H25)/2)*Reeksen!AK25*12),0)</f>
        <v>0</v>
      </c>
      <c r="AJ25" s="71">
        <f ca="1">-AI25*'Invoer gegevens'!$F$28</f>
        <v>0</v>
      </c>
      <c r="AK25" s="71">
        <f t="shared" ca="1" si="2"/>
        <v>0</v>
      </c>
      <c r="AL25" s="71">
        <f ca="1">IF(C25=1,(12*((F25+H25)/2)*Reeksen!AL25)+(12*('Invoer gegevens'!$C$10-(F25+H25)/2)*Reeksen!AM25),0)</f>
        <v>0</v>
      </c>
      <c r="AM25" s="71">
        <f ca="1">-AL25*'Invoer gegevens'!$F$31</f>
        <v>0</v>
      </c>
      <c r="AN25" s="71">
        <f t="shared" ca="1" si="6"/>
        <v>0</v>
      </c>
      <c r="AO25" s="71"/>
      <c r="AP25" s="71"/>
      <c r="AQ25" s="71">
        <f ca="1">-IF(C25=1,('Invoer gegevens'!$C$10*'Invoer gegevens'!$I$33)*Reeksen!J25,0)*2</f>
        <v>0</v>
      </c>
      <c r="AR25" s="71">
        <f ca="1">-IF(C25=1,(G25*'Invoer gegevens'!$I$34)*Reeksen!J25,0)</f>
        <v>0</v>
      </c>
      <c r="AS25" s="71">
        <f ca="1">-IF(C25=1,'Invoer gegevens'!$C$10*'Invoer gegevens'!$I$35*Reeksen!L25,0)</f>
        <v>0</v>
      </c>
      <c r="AT25" s="71">
        <f ca="1">-IF(C25=1,IF(E25='Invoer gegevens'!$C$17,'Invoer gegevens'!$C$11,Q25)*Reeksen!S25*'Invoer gegevens'!$C$18*Reeksen!P25,0)</f>
        <v>0</v>
      </c>
      <c r="AU25" s="71">
        <f ca="1">-IF(C25=1,'Invoer gegevens'!$C$10*'Invoer gegevens'!$I$36*Reeksen!H25,0)</f>
        <v>0</v>
      </c>
      <c r="AV25" s="71">
        <f t="shared" si="10"/>
        <v>0</v>
      </c>
      <c r="AW25" s="71">
        <f t="shared" ca="1" si="7"/>
        <v>0</v>
      </c>
      <c r="AX25" s="71">
        <f ca="1">IF(E25&lt;'Invoer gegevens'!$C$17+15,0,IF(E25&gt;'Invoer gegevens'!$C$17+215,0,AW25))</f>
        <v>0</v>
      </c>
      <c r="AY25" s="71">
        <f ca="1">AX25/(1+'Invoer gegevens'!$F$13)^($AZ25-('Invoer gegevens'!$C$17-'Invoer gegevens'!$C$16))/(1+'Invoer gegevens'!$C$39)^('Invoer gegevens'!$C$17-'Invoer gegevens'!$C$16)</f>
        <v>0</v>
      </c>
      <c r="AZ25" s="68">
        <f ca="1">IF(E25-'Invoer gegevens'!$C$17-14.5&lt;0,0,E25-'Invoer gegevens'!$C$17-14.5)</f>
        <v>5.5</v>
      </c>
    </row>
    <row r="26" spans="1:52" x14ac:dyDescent="0.25">
      <c r="A26" s="59"/>
      <c r="B26" s="70">
        <f>B25+1</f>
        <v>22</v>
      </c>
      <c r="C26" s="67">
        <f ca="1">IF(E26-'Invoer gegevens'!$C$17&lt;0,0,1)</f>
        <v>1</v>
      </c>
      <c r="D26" s="68">
        <f t="shared" si="9"/>
        <v>21.5</v>
      </c>
      <c r="E26" s="69">
        <f ca="1">IF('Invoer gegevens'!$C$16="","",E25+1)</f>
        <v>2040</v>
      </c>
      <c r="F26" s="82">
        <f ca="1">IF('Invoer gegevens'!$C$17=E26,'Invoer gegevens'!$C$10,IF(C26=1,H25,0))</f>
        <v>0</v>
      </c>
      <c r="G26" s="83">
        <f ca="1">IF(C26&gt;=1,F26*Reeksen!C26,0)</f>
        <v>0</v>
      </c>
      <c r="H26" s="84">
        <f t="shared" ca="1" si="3"/>
        <v>0</v>
      </c>
      <c r="I26" s="85">
        <f ca="1">IF('Invoer gegevens'!$C$17=E26,'Invoer gegevens'!$C$11,IF(C26=1,L25,0))</f>
        <v>0</v>
      </c>
      <c r="J26" s="86">
        <f ca="1">IF(C26&lt;1,0,IF(Reeksen!AK26&lt;=Reeksen!AE26,I26*Reeksen!C26,0))</f>
        <v>0</v>
      </c>
      <c r="K26" s="86">
        <f ca="1">IF(C26&lt;1,0,IF(Reeksen!AK26&gt;Reeksen!AE26,I26*Reeksen!C26,0))</f>
        <v>0</v>
      </c>
      <c r="L26" s="86">
        <f t="shared" ca="1" si="4"/>
        <v>0</v>
      </c>
      <c r="M26" s="85">
        <f ca="1">IF('Invoer gegevens'!$C$17=E26,'Invoer gegevens'!$C$10-'Invoer gegevens'!$C$11,IF(C26=1,P25,0))</f>
        <v>0</v>
      </c>
      <c r="N26" s="86">
        <f ca="1">IF(C26&lt;1,0,IF(Reeksen!AK26&lt;=Reeksen!AE26,M26*Reeksen!C26,0))</f>
        <v>0</v>
      </c>
      <c r="O26" s="86">
        <f ca="1">IF(C26&lt;1,0,IF(Reeksen!AK26&gt;Reeksen!AE26,M26*Reeksen!C26,0))</f>
        <v>0</v>
      </c>
      <c r="P26" s="86">
        <f t="shared" ca="1" si="5"/>
        <v>0</v>
      </c>
      <c r="Q26" s="82">
        <f ca="1">IF('Invoer gegevens'!$C$17=E26,I26,IF(C26=0,0,R25))</f>
        <v>0</v>
      </c>
      <c r="R26" s="84">
        <f t="shared" ca="1" si="0"/>
        <v>0</v>
      </c>
      <c r="S26" s="84">
        <f ca="1">IF('Invoer gegevens'!$C$17=E26,M26,IF(C26=0,0,T25))</f>
        <v>0</v>
      </c>
      <c r="T26" s="84">
        <f t="shared" ca="1" si="1"/>
        <v>0</v>
      </c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8"/>
      <c r="AI26" s="71">
        <f ca="1">IF(C26=1,((F26+H26)/2*Reeksen!AJ26*12)+(('Invoer gegevens'!$C$10-(F26+H26)/2)*Reeksen!AK26*12),0)</f>
        <v>0</v>
      </c>
      <c r="AJ26" s="71">
        <f ca="1">-AI26*'Invoer gegevens'!$F$28</f>
        <v>0</v>
      </c>
      <c r="AK26" s="71">
        <f t="shared" ca="1" si="2"/>
        <v>0</v>
      </c>
      <c r="AL26" s="71">
        <f ca="1">IF(C26=1,(12*((F26+H26)/2)*Reeksen!AL26)+(12*('Invoer gegevens'!$C$10-(F26+H26)/2)*Reeksen!AM26),0)</f>
        <v>0</v>
      </c>
      <c r="AM26" s="71">
        <f ca="1">-AL26*'Invoer gegevens'!$F$31</f>
        <v>0</v>
      </c>
      <c r="AN26" s="71">
        <f t="shared" ca="1" si="6"/>
        <v>0</v>
      </c>
      <c r="AO26" s="71"/>
      <c r="AP26" s="71"/>
      <c r="AQ26" s="71">
        <f ca="1">-IF(C26=1,('Invoer gegevens'!$C$10*'Invoer gegevens'!$I$33)*Reeksen!J26,0)*2</f>
        <v>0</v>
      </c>
      <c r="AR26" s="71">
        <f ca="1">-IF(C26=1,(G26*'Invoer gegevens'!$I$34)*Reeksen!J26,0)</f>
        <v>0</v>
      </c>
      <c r="AS26" s="71">
        <f ca="1">-IF(C26=1,'Invoer gegevens'!$C$10*'Invoer gegevens'!$I$35*Reeksen!L26,0)</f>
        <v>0</v>
      </c>
      <c r="AT26" s="71">
        <f ca="1">-IF(C26=1,IF(E26='Invoer gegevens'!$C$17,'Invoer gegevens'!$C$11,Q26)*Reeksen!S26*'Invoer gegevens'!$C$18*Reeksen!P26,0)</f>
        <v>0</v>
      </c>
      <c r="AU26" s="71">
        <f ca="1">-IF(C26=1,'Invoer gegevens'!$C$10*'Invoer gegevens'!$I$36*Reeksen!H26,0)</f>
        <v>0</v>
      </c>
      <c r="AV26" s="71">
        <f t="shared" si="10"/>
        <v>0</v>
      </c>
      <c r="AW26" s="71">
        <f t="shared" ca="1" si="7"/>
        <v>0</v>
      </c>
      <c r="AX26" s="71">
        <f ca="1">IF(E26&lt;'Invoer gegevens'!$C$17+15,0,IF(E26&gt;'Invoer gegevens'!$C$17+215,0,AW26))</f>
        <v>0</v>
      </c>
      <c r="AY26" s="71">
        <f ca="1">AX26/(1+'Invoer gegevens'!$F$13)^($AZ26-('Invoer gegevens'!$C$17-'Invoer gegevens'!$C$16))/(1+'Invoer gegevens'!$C$39)^('Invoer gegevens'!$C$17-'Invoer gegevens'!$C$16)</f>
        <v>0</v>
      </c>
      <c r="AZ26" s="68">
        <f ca="1">IF(E26-'Invoer gegevens'!$C$17-14.5&lt;0,0,E26-'Invoer gegevens'!$C$17-14.5)</f>
        <v>6.5</v>
      </c>
    </row>
    <row r="27" spans="1:52" x14ac:dyDescent="0.25">
      <c r="A27" s="59"/>
      <c r="B27" s="70">
        <f t="shared" si="8"/>
        <v>23</v>
      </c>
      <c r="C27" s="67">
        <f ca="1">IF(E27-'Invoer gegevens'!$C$17&lt;0,0,1)</f>
        <v>1</v>
      </c>
      <c r="D27" s="68">
        <f t="shared" si="9"/>
        <v>22.5</v>
      </c>
      <c r="E27" s="69">
        <f ca="1">IF('Invoer gegevens'!$C$16="","",E26+1)</f>
        <v>2041</v>
      </c>
      <c r="F27" s="82">
        <f ca="1">IF('Invoer gegevens'!$C$17=E27,'Invoer gegevens'!$C$10,IF(C27=1,H26,0))</f>
        <v>0</v>
      </c>
      <c r="G27" s="83">
        <f ca="1">IF(C27&gt;=1,F27*Reeksen!C27,0)</f>
        <v>0</v>
      </c>
      <c r="H27" s="84">
        <f t="shared" ca="1" si="3"/>
        <v>0</v>
      </c>
      <c r="I27" s="85">
        <f ca="1">IF('Invoer gegevens'!$C$17=E27,'Invoer gegevens'!$C$11,IF(C27=1,L26,0))</f>
        <v>0</v>
      </c>
      <c r="J27" s="86">
        <f ca="1">IF(C27&lt;1,0,IF(Reeksen!AK27&lt;=Reeksen!AE27,I27*Reeksen!C27,0))</f>
        <v>0</v>
      </c>
      <c r="K27" s="86">
        <f ca="1">IF(C27&lt;1,0,IF(Reeksen!AK27&gt;Reeksen!AE27,I27*Reeksen!C27,0))</f>
        <v>0</v>
      </c>
      <c r="L27" s="86">
        <f t="shared" ca="1" si="4"/>
        <v>0</v>
      </c>
      <c r="M27" s="85">
        <f ca="1">IF('Invoer gegevens'!$C$17=E27,'Invoer gegevens'!$C$10-'Invoer gegevens'!$C$11,IF(C27=1,P26,0))</f>
        <v>0</v>
      </c>
      <c r="N27" s="86">
        <f ca="1">IF(C27&lt;1,0,IF(Reeksen!AK27&lt;=Reeksen!AE27,M27*Reeksen!C27,0))</f>
        <v>0</v>
      </c>
      <c r="O27" s="86">
        <f ca="1">IF(C27&lt;1,0,IF(Reeksen!AK27&gt;Reeksen!AE27,M27*Reeksen!C27,0))</f>
        <v>0</v>
      </c>
      <c r="P27" s="86">
        <f t="shared" ca="1" si="5"/>
        <v>0</v>
      </c>
      <c r="Q27" s="82">
        <f ca="1">IF('Invoer gegevens'!$C$17=E27,I27,IF(C27=0,0,R26))</f>
        <v>0</v>
      </c>
      <c r="R27" s="84">
        <f t="shared" ca="1" si="0"/>
        <v>0</v>
      </c>
      <c r="S27" s="84">
        <f ca="1">IF('Invoer gegevens'!$C$17=E27,M27,IF(C27=0,0,T26))</f>
        <v>0</v>
      </c>
      <c r="T27" s="84">
        <f t="shared" ca="1" si="1"/>
        <v>0</v>
      </c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8"/>
      <c r="AI27" s="71">
        <f ca="1">IF(C27=1,((F27+H27)/2*Reeksen!AJ27*12)+(('Invoer gegevens'!$C$10-(F27+H27)/2)*Reeksen!AK27*12),0)</f>
        <v>0</v>
      </c>
      <c r="AJ27" s="71">
        <f ca="1">-AI27*'Invoer gegevens'!$F$28</f>
        <v>0</v>
      </c>
      <c r="AK27" s="71">
        <f t="shared" ca="1" si="2"/>
        <v>0</v>
      </c>
      <c r="AL27" s="71">
        <f ca="1">IF(C27=1,(12*((F27+H27)/2)*Reeksen!AL27)+(12*('Invoer gegevens'!$C$10-(F27+H27)/2)*Reeksen!AM27),0)</f>
        <v>0</v>
      </c>
      <c r="AM27" s="71">
        <f ca="1">-AL27*'Invoer gegevens'!$F$31</f>
        <v>0</v>
      </c>
      <c r="AN27" s="71">
        <f t="shared" ca="1" si="6"/>
        <v>0</v>
      </c>
      <c r="AO27" s="71"/>
      <c r="AP27" s="71"/>
      <c r="AQ27" s="71">
        <f ca="1">-IF(C27=1,('Invoer gegevens'!$C$10*'Invoer gegevens'!$I$33)*Reeksen!J27,0)*2</f>
        <v>0</v>
      </c>
      <c r="AR27" s="71">
        <f ca="1">-IF(C27=1,(G27*'Invoer gegevens'!$I$34)*Reeksen!J27,0)</f>
        <v>0</v>
      </c>
      <c r="AS27" s="71">
        <f ca="1">-IF(C27=1,'Invoer gegevens'!$C$10*'Invoer gegevens'!$I$35*Reeksen!L27,0)</f>
        <v>0</v>
      </c>
      <c r="AT27" s="71">
        <f ca="1">-IF(C27=1,IF(E27='Invoer gegevens'!$C$17,'Invoer gegevens'!$C$11,Q27)*Reeksen!S27*'Invoer gegevens'!$C$18*Reeksen!P27,0)</f>
        <v>0</v>
      </c>
      <c r="AU27" s="71">
        <f ca="1">-IF(C27=1,'Invoer gegevens'!$C$10*'Invoer gegevens'!$I$36*Reeksen!H27,0)</f>
        <v>0</v>
      </c>
      <c r="AV27" s="71">
        <f t="shared" si="10"/>
        <v>0</v>
      </c>
      <c r="AW27" s="71">
        <f t="shared" ca="1" si="7"/>
        <v>0</v>
      </c>
      <c r="AX27" s="71">
        <f ca="1">IF(E27&lt;'Invoer gegevens'!$C$17+15,0,IF(E27&gt;'Invoer gegevens'!$C$17+215,0,AW27))</f>
        <v>0</v>
      </c>
      <c r="AY27" s="71">
        <f ca="1">AX27/(1+'Invoer gegevens'!$F$13)^($AZ27-('Invoer gegevens'!$C$17-'Invoer gegevens'!$C$16))/(1+'Invoer gegevens'!$C$39)^('Invoer gegevens'!$C$17-'Invoer gegevens'!$C$16)</f>
        <v>0</v>
      </c>
      <c r="AZ27" s="68">
        <f ca="1">IF(E27-'Invoer gegevens'!$C$17-14.5&lt;0,0,E27-'Invoer gegevens'!$C$17-14.5)</f>
        <v>7.5</v>
      </c>
    </row>
    <row r="28" spans="1:52" x14ac:dyDescent="0.25">
      <c r="A28" s="59"/>
      <c r="B28" s="70">
        <f t="shared" si="8"/>
        <v>24</v>
      </c>
      <c r="C28" s="67">
        <f ca="1">IF(E28-'Invoer gegevens'!$C$17&lt;0,0,1)</f>
        <v>1</v>
      </c>
      <c r="D28" s="68">
        <f t="shared" si="9"/>
        <v>23.5</v>
      </c>
      <c r="E28" s="69">
        <f ca="1">IF('Invoer gegevens'!$C$16="","",E27+1)</f>
        <v>2042</v>
      </c>
      <c r="F28" s="82">
        <f ca="1">IF('Invoer gegevens'!$C$17=E28,'Invoer gegevens'!$C$10,IF(C28=1,H27,0))</f>
        <v>0</v>
      </c>
      <c r="G28" s="83">
        <f ca="1">IF(C28&gt;=1,F28*Reeksen!C28,0)</f>
        <v>0</v>
      </c>
      <c r="H28" s="84">
        <f t="shared" ca="1" si="3"/>
        <v>0</v>
      </c>
      <c r="I28" s="85">
        <f ca="1">IF('Invoer gegevens'!$C$17=E28,'Invoer gegevens'!$C$11,IF(C28=1,L27,0))</f>
        <v>0</v>
      </c>
      <c r="J28" s="86">
        <f ca="1">IF(C28&lt;1,0,IF(Reeksen!AK28&lt;=Reeksen!AE28,I28*Reeksen!C28,0))</f>
        <v>0</v>
      </c>
      <c r="K28" s="86">
        <f ca="1">IF(C28&lt;1,0,IF(Reeksen!AK28&gt;Reeksen!AE28,I28*Reeksen!C28,0))</f>
        <v>0</v>
      </c>
      <c r="L28" s="86">
        <f t="shared" ca="1" si="4"/>
        <v>0</v>
      </c>
      <c r="M28" s="85">
        <f ca="1">IF('Invoer gegevens'!$C$17=E28,'Invoer gegevens'!$C$10-'Invoer gegevens'!$C$11,IF(C28=1,P27,0))</f>
        <v>0</v>
      </c>
      <c r="N28" s="86">
        <f ca="1">IF(C28&lt;1,0,IF(Reeksen!AK28&lt;=Reeksen!AE28,M28*Reeksen!C28,0))</f>
        <v>0</v>
      </c>
      <c r="O28" s="86">
        <f ca="1">IF(C28&lt;1,0,IF(Reeksen!AK28&gt;Reeksen!AE28,M28*Reeksen!C28,0))</f>
        <v>0</v>
      </c>
      <c r="P28" s="86">
        <f t="shared" ca="1" si="5"/>
        <v>0</v>
      </c>
      <c r="Q28" s="82">
        <f ca="1">IF('Invoer gegevens'!$C$17=E28,I28,IF(C28=0,0,R27))</f>
        <v>0</v>
      </c>
      <c r="R28" s="84">
        <f t="shared" ca="1" si="0"/>
        <v>0</v>
      </c>
      <c r="S28" s="84">
        <f ca="1">IF('Invoer gegevens'!$C$17=E28,M28,IF(C28=0,0,T27))</f>
        <v>0</v>
      </c>
      <c r="T28" s="84">
        <f t="shared" ca="1" si="1"/>
        <v>0</v>
      </c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8"/>
      <c r="AI28" s="71">
        <f ca="1">IF(C28=1,((F28+H28)/2*Reeksen!AJ28*12)+(('Invoer gegevens'!$C$10-(F28+H28)/2)*Reeksen!AK28*12),0)</f>
        <v>0</v>
      </c>
      <c r="AJ28" s="71">
        <f ca="1">-AI28*'Invoer gegevens'!$F$28</f>
        <v>0</v>
      </c>
      <c r="AK28" s="71">
        <f t="shared" ca="1" si="2"/>
        <v>0</v>
      </c>
      <c r="AL28" s="71">
        <f ca="1">IF(C28=1,(12*((F28+H28)/2)*Reeksen!AL28)+(12*('Invoer gegevens'!$C$10-(F28+H28)/2)*Reeksen!AM28),0)</f>
        <v>0</v>
      </c>
      <c r="AM28" s="71">
        <f ca="1">-AL28*'Invoer gegevens'!$F$31</f>
        <v>0</v>
      </c>
      <c r="AN28" s="71">
        <f t="shared" ca="1" si="6"/>
        <v>0</v>
      </c>
      <c r="AO28" s="71"/>
      <c r="AP28" s="71"/>
      <c r="AQ28" s="71">
        <f ca="1">-IF(C28=1,('Invoer gegevens'!$C$10*'Invoer gegevens'!$I$33)*Reeksen!J28,0)*2</f>
        <v>0</v>
      </c>
      <c r="AR28" s="71">
        <f ca="1">-IF(C28=1,(G28*'Invoer gegevens'!$I$34)*Reeksen!J28,0)</f>
        <v>0</v>
      </c>
      <c r="AS28" s="71">
        <f ca="1">-IF(C28=1,'Invoer gegevens'!$C$10*'Invoer gegevens'!$I$35*Reeksen!L28,0)</f>
        <v>0</v>
      </c>
      <c r="AT28" s="71">
        <f ca="1">-IF(C28=1,IF(E28='Invoer gegevens'!$C$17,'Invoer gegevens'!$C$11,Q28)*Reeksen!S28*'Invoer gegevens'!$C$18*Reeksen!P28,0)</f>
        <v>0</v>
      </c>
      <c r="AU28" s="71">
        <f ca="1">-IF(C28=1,'Invoer gegevens'!$C$10*'Invoer gegevens'!$I$36*Reeksen!H28,0)</f>
        <v>0</v>
      </c>
      <c r="AV28" s="71">
        <f t="shared" si="10"/>
        <v>0</v>
      </c>
      <c r="AW28" s="71">
        <f t="shared" ca="1" si="7"/>
        <v>0</v>
      </c>
      <c r="AX28" s="71">
        <f ca="1">IF(E28&lt;'Invoer gegevens'!$C$17+15,0,IF(E28&gt;'Invoer gegevens'!$C$17+215,0,AW28))</f>
        <v>0</v>
      </c>
      <c r="AY28" s="71">
        <f ca="1">AX28/(1+'Invoer gegevens'!$F$13)^($AZ28-('Invoer gegevens'!$C$17-'Invoer gegevens'!$C$16))/(1+'Invoer gegevens'!$C$39)^('Invoer gegevens'!$C$17-'Invoer gegevens'!$C$16)</f>
        <v>0</v>
      </c>
      <c r="AZ28" s="68">
        <f ca="1">IF(E28-'Invoer gegevens'!$C$17-14.5&lt;0,0,E28-'Invoer gegevens'!$C$17-14.5)</f>
        <v>8.5</v>
      </c>
    </row>
    <row r="29" spans="1:52" x14ac:dyDescent="0.25">
      <c r="A29" s="59"/>
      <c r="B29" s="70">
        <f t="shared" si="8"/>
        <v>25</v>
      </c>
      <c r="C29" s="67">
        <f ca="1">IF(E29-'Invoer gegevens'!$C$17&lt;0,0,1)</f>
        <v>1</v>
      </c>
      <c r="D29" s="68">
        <f t="shared" si="9"/>
        <v>24.5</v>
      </c>
      <c r="E29" s="69">
        <f ca="1">IF('Invoer gegevens'!$C$16="","",E28+1)</f>
        <v>2043</v>
      </c>
      <c r="F29" s="82">
        <f ca="1">IF('Invoer gegevens'!$C$17=E29,'Invoer gegevens'!$C$10,IF(C29=1,H28,0))</f>
        <v>0</v>
      </c>
      <c r="G29" s="83">
        <f ca="1">IF(C29&gt;=1,F29*Reeksen!C29,0)</f>
        <v>0</v>
      </c>
      <c r="H29" s="84">
        <f t="shared" ca="1" si="3"/>
        <v>0</v>
      </c>
      <c r="I29" s="85">
        <f ca="1">IF('Invoer gegevens'!$C$17=E29,'Invoer gegevens'!$C$11,IF(C29=1,L28,0))</f>
        <v>0</v>
      </c>
      <c r="J29" s="86">
        <f ca="1">IF(C29&lt;1,0,IF(Reeksen!AK29&lt;=Reeksen!AE29,I29*Reeksen!C29,0))</f>
        <v>0</v>
      </c>
      <c r="K29" s="86">
        <f ca="1">IF(C29&lt;1,0,IF(Reeksen!AK29&gt;Reeksen!AE29,I29*Reeksen!C29,0))</f>
        <v>0</v>
      </c>
      <c r="L29" s="86">
        <f t="shared" ca="1" si="4"/>
        <v>0</v>
      </c>
      <c r="M29" s="85">
        <f ca="1">IF('Invoer gegevens'!$C$17=E29,'Invoer gegevens'!$C$10-'Invoer gegevens'!$C$11,IF(C29=1,P28,0))</f>
        <v>0</v>
      </c>
      <c r="N29" s="86">
        <f ca="1">IF(C29&lt;1,0,IF(Reeksen!AK29&lt;=Reeksen!AE29,M29*Reeksen!C29,0))</f>
        <v>0</v>
      </c>
      <c r="O29" s="86">
        <f ca="1">IF(C29&lt;1,0,IF(Reeksen!AK29&gt;Reeksen!AE29,M29*Reeksen!C29,0))</f>
        <v>0</v>
      </c>
      <c r="P29" s="86">
        <f t="shared" ca="1" si="5"/>
        <v>0</v>
      </c>
      <c r="Q29" s="82">
        <f ca="1">IF('Invoer gegevens'!$C$17=E29,I29,IF(C29=0,0,R28))</f>
        <v>0</v>
      </c>
      <c r="R29" s="84">
        <f t="shared" ca="1" si="0"/>
        <v>0</v>
      </c>
      <c r="S29" s="84">
        <f ca="1">IF('Invoer gegevens'!$C$17=E29,M29,IF(C29=0,0,T28))</f>
        <v>0</v>
      </c>
      <c r="T29" s="84">
        <f t="shared" ca="1" si="1"/>
        <v>0</v>
      </c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8"/>
      <c r="AI29" s="71">
        <f ca="1">IF(C29=1,((F29+H29)/2*Reeksen!AJ29*12)+(('Invoer gegevens'!$C$10-(F29+H29)/2)*Reeksen!AK29*12),0)</f>
        <v>0</v>
      </c>
      <c r="AJ29" s="71">
        <f ca="1">-AI29*'Invoer gegevens'!$F$28</f>
        <v>0</v>
      </c>
      <c r="AK29" s="71">
        <f t="shared" ca="1" si="2"/>
        <v>0</v>
      </c>
      <c r="AL29" s="71">
        <f ca="1">IF(C29=1,(12*((F29+H29)/2)*Reeksen!AL29)+(12*('Invoer gegevens'!$C$10-(F29+H29)/2)*Reeksen!AM29),0)</f>
        <v>0</v>
      </c>
      <c r="AM29" s="71">
        <f ca="1">-AL29*'Invoer gegevens'!$F$31</f>
        <v>0</v>
      </c>
      <c r="AN29" s="71">
        <f t="shared" ca="1" si="6"/>
        <v>0</v>
      </c>
      <c r="AO29" s="71"/>
      <c r="AP29" s="71"/>
      <c r="AQ29" s="71">
        <f ca="1">-IF(C29=1,('Invoer gegevens'!$C$10*'Invoer gegevens'!$I$33)*Reeksen!J29,0)*2</f>
        <v>0</v>
      </c>
      <c r="AR29" s="71">
        <f ca="1">-IF(C29=1,(G29*'Invoer gegevens'!$I$34)*Reeksen!J29,0)</f>
        <v>0</v>
      </c>
      <c r="AS29" s="71">
        <f ca="1">-IF(C29=1,'Invoer gegevens'!$C$10*'Invoer gegevens'!$I$35*Reeksen!L29,0)</f>
        <v>0</v>
      </c>
      <c r="AT29" s="71">
        <f ca="1">-IF(C29=1,IF(E29='Invoer gegevens'!$C$17,'Invoer gegevens'!$C$11,Q29)*Reeksen!S29*'Invoer gegevens'!$C$18*Reeksen!P29,0)</f>
        <v>0</v>
      </c>
      <c r="AU29" s="71">
        <f ca="1">-IF(C29=1,'Invoer gegevens'!$C$10*'Invoer gegevens'!$I$36*Reeksen!H29,0)</f>
        <v>0</v>
      </c>
      <c r="AV29" s="71">
        <f t="shared" si="10"/>
        <v>0</v>
      </c>
      <c r="AW29" s="71">
        <f t="shared" ca="1" si="7"/>
        <v>0</v>
      </c>
      <c r="AX29" s="71">
        <f ca="1">IF(E29&lt;'Invoer gegevens'!$C$17+15,0,IF(E29&gt;'Invoer gegevens'!$C$17+215,0,AW29))</f>
        <v>0</v>
      </c>
      <c r="AY29" s="71">
        <f ca="1">AX29/(1+'Invoer gegevens'!$F$13)^($AZ29-('Invoer gegevens'!$C$17-'Invoer gegevens'!$C$16))/(1+'Invoer gegevens'!$C$39)^('Invoer gegevens'!$C$17-'Invoer gegevens'!$C$16)</f>
        <v>0</v>
      </c>
      <c r="AZ29" s="68">
        <f ca="1">IF(E29-'Invoer gegevens'!$C$17-14.5&lt;0,0,E29-'Invoer gegevens'!$C$17-14.5)</f>
        <v>9.5</v>
      </c>
    </row>
    <row r="30" spans="1:52" x14ac:dyDescent="0.25">
      <c r="A30" s="59"/>
      <c r="B30" s="70">
        <f t="shared" si="8"/>
        <v>26</v>
      </c>
      <c r="C30" s="67">
        <f ca="1">IF(E30-'Invoer gegevens'!$C$17&lt;0,0,1)</f>
        <v>1</v>
      </c>
      <c r="D30" s="68">
        <f t="shared" si="9"/>
        <v>25.5</v>
      </c>
      <c r="E30" s="69">
        <f ca="1">IF('Invoer gegevens'!$C$16="","",E29+1)</f>
        <v>2044</v>
      </c>
      <c r="F30" s="82">
        <f ca="1">IF('Invoer gegevens'!$C$17=E30,'Invoer gegevens'!$C$10,IF(C30=1,H29,0))</f>
        <v>0</v>
      </c>
      <c r="G30" s="83">
        <f ca="1">IF(C30&gt;=1,F30*Reeksen!C30,0)</f>
        <v>0</v>
      </c>
      <c r="H30" s="84">
        <f t="shared" ca="1" si="3"/>
        <v>0</v>
      </c>
      <c r="I30" s="85">
        <f ca="1">IF('Invoer gegevens'!$C$17=E30,'Invoer gegevens'!$C$11,IF(C30=1,L29,0))</f>
        <v>0</v>
      </c>
      <c r="J30" s="86">
        <f ca="1">IF(C30&lt;1,0,IF(Reeksen!AK30&lt;=Reeksen!AE30,I30*Reeksen!C30,0))</f>
        <v>0</v>
      </c>
      <c r="K30" s="86">
        <f ca="1">IF(C30&lt;1,0,IF(Reeksen!AK30&gt;Reeksen!AE30,I30*Reeksen!C30,0))</f>
        <v>0</v>
      </c>
      <c r="L30" s="86">
        <f t="shared" ca="1" si="4"/>
        <v>0</v>
      </c>
      <c r="M30" s="85">
        <f ca="1">IF('Invoer gegevens'!$C$17=E30,'Invoer gegevens'!$C$10-'Invoer gegevens'!$C$11,IF(C30=1,P29,0))</f>
        <v>0</v>
      </c>
      <c r="N30" s="86">
        <f ca="1">IF(C30&lt;1,0,IF(Reeksen!AK30&lt;=Reeksen!AE30,M30*Reeksen!C30,0))</f>
        <v>0</v>
      </c>
      <c r="O30" s="86">
        <f ca="1">IF(C30&lt;1,0,IF(Reeksen!AK30&gt;Reeksen!AE30,M30*Reeksen!C30,0))</f>
        <v>0</v>
      </c>
      <c r="P30" s="86">
        <f t="shared" ca="1" si="5"/>
        <v>0</v>
      </c>
      <c r="Q30" s="82">
        <f ca="1">IF('Invoer gegevens'!$C$17=E30,I30,IF(C30=0,0,R29))</f>
        <v>0</v>
      </c>
      <c r="R30" s="84">
        <f t="shared" ca="1" si="0"/>
        <v>0</v>
      </c>
      <c r="S30" s="84">
        <f ca="1">IF('Invoer gegevens'!$C$17=E30,M30,IF(C30=0,0,T29))</f>
        <v>0</v>
      </c>
      <c r="T30" s="84">
        <f t="shared" ca="1" si="1"/>
        <v>0</v>
      </c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8"/>
      <c r="AI30" s="71">
        <f ca="1">IF(C30=1,((F30+H30)/2*Reeksen!AJ30*12)+(('Invoer gegevens'!$C$10-(F30+H30)/2)*Reeksen!AK30*12),0)</f>
        <v>0</v>
      </c>
      <c r="AJ30" s="71">
        <f ca="1">-AI30*'Invoer gegevens'!$F$28</f>
        <v>0</v>
      </c>
      <c r="AK30" s="71">
        <f t="shared" ca="1" si="2"/>
        <v>0</v>
      </c>
      <c r="AL30" s="71">
        <f ca="1">IF(C30=1,(12*((F30+H30)/2)*Reeksen!AL30)+(12*('Invoer gegevens'!$C$10-(F30+H30)/2)*Reeksen!AM30),0)</f>
        <v>0</v>
      </c>
      <c r="AM30" s="71">
        <f ca="1">-AL30*'Invoer gegevens'!$F$31</f>
        <v>0</v>
      </c>
      <c r="AN30" s="71">
        <f t="shared" ca="1" si="6"/>
        <v>0</v>
      </c>
      <c r="AO30" s="71"/>
      <c r="AP30" s="71"/>
      <c r="AQ30" s="71">
        <f ca="1">-IF(C30=1,('Invoer gegevens'!$C$10*'Invoer gegevens'!$I$33)*Reeksen!J30,0)*2</f>
        <v>0</v>
      </c>
      <c r="AR30" s="71">
        <f ca="1">-IF(C30=1,(G30*'Invoer gegevens'!$I$34)*Reeksen!J30,0)</f>
        <v>0</v>
      </c>
      <c r="AS30" s="71">
        <f ca="1">-IF(C30=1,'Invoer gegevens'!$C$10*'Invoer gegevens'!$I$35*Reeksen!L30,0)</f>
        <v>0</v>
      </c>
      <c r="AT30" s="71">
        <f ca="1">-IF(C30=1,IF(E30='Invoer gegevens'!$C$17,'Invoer gegevens'!$C$11,Q30)*Reeksen!S30*'Invoer gegevens'!$C$18*Reeksen!P30,0)</f>
        <v>0</v>
      </c>
      <c r="AU30" s="71">
        <f ca="1">-IF(C30=1,'Invoer gegevens'!$C$10*'Invoer gegevens'!$I$36*Reeksen!H30,0)</f>
        <v>0</v>
      </c>
      <c r="AV30" s="71">
        <f t="shared" si="10"/>
        <v>0</v>
      </c>
      <c r="AW30" s="71">
        <f t="shared" ca="1" si="7"/>
        <v>0</v>
      </c>
      <c r="AX30" s="71">
        <f ca="1">IF(E30&lt;'Invoer gegevens'!$C$17+15,0,IF(E30&gt;'Invoer gegevens'!$C$17+215,0,AW30))</f>
        <v>0</v>
      </c>
      <c r="AY30" s="71">
        <f ca="1">AX30/(1+'Invoer gegevens'!$F$13)^($AZ30-('Invoer gegevens'!$C$17-'Invoer gegevens'!$C$16))/(1+'Invoer gegevens'!$C$39)^('Invoer gegevens'!$C$17-'Invoer gegevens'!$C$16)</f>
        <v>0</v>
      </c>
      <c r="AZ30" s="68">
        <f ca="1">IF(E30-'Invoer gegevens'!$C$17-14.5&lt;0,0,E30-'Invoer gegevens'!$C$17-14.5)</f>
        <v>10.5</v>
      </c>
    </row>
    <row r="31" spans="1:52" x14ac:dyDescent="0.25">
      <c r="A31" s="59"/>
      <c r="B31" s="70">
        <f t="shared" si="8"/>
        <v>27</v>
      </c>
      <c r="C31" s="67">
        <f ca="1">IF(E31-'Invoer gegevens'!$C$17&lt;0,0,1)</f>
        <v>1</v>
      </c>
      <c r="D31" s="68">
        <f t="shared" si="9"/>
        <v>26.5</v>
      </c>
      <c r="E31" s="69">
        <f ca="1">IF('Invoer gegevens'!$C$16="","",E30+1)</f>
        <v>2045</v>
      </c>
      <c r="F31" s="82">
        <f ca="1">IF('Invoer gegevens'!$C$17=E31,'Invoer gegevens'!$C$10,IF(C31=1,H30,0))</f>
        <v>0</v>
      </c>
      <c r="G31" s="83">
        <f ca="1">IF(C31&gt;=1,F31*Reeksen!C31,0)</f>
        <v>0</v>
      </c>
      <c r="H31" s="84">
        <f t="shared" ca="1" si="3"/>
        <v>0</v>
      </c>
      <c r="I31" s="85">
        <f ca="1">IF('Invoer gegevens'!$C$17=E31,'Invoer gegevens'!$C$11,IF(C31=1,L30,0))</f>
        <v>0</v>
      </c>
      <c r="J31" s="86">
        <f ca="1">IF(C31&lt;1,0,IF(Reeksen!AK31&lt;=Reeksen!AE31,I31*Reeksen!C31,0))</f>
        <v>0</v>
      </c>
      <c r="K31" s="86">
        <f ca="1">IF(C31&lt;1,0,IF(Reeksen!AK31&gt;Reeksen!AE31,I31*Reeksen!C31,0))</f>
        <v>0</v>
      </c>
      <c r="L31" s="86">
        <f t="shared" ca="1" si="4"/>
        <v>0</v>
      </c>
      <c r="M31" s="85">
        <f ca="1">IF('Invoer gegevens'!$C$17=E31,'Invoer gegevens'!$C$10-'Invoer gegevens'!$C$11,IF(C31=1,P30,0))</f>
        <v>0</v>
      </c>
      <c r="N31" s="86">
        <f ca="1">IF(C31&lt;1,0,IF(Reeksen!AK31&lt;=Reeksen!AE31,M31*Reeksen!C31,0))</f>
        <v>0</v>
      </c>
      <c r="O31" s="86">
        <f ca="1">IF(C31&lt;1,0,IF(Reeksen!AK31&gt;Reeksen!AE31,M31*Reeksen!C31,0))</f>
        <v>0</v>
      </c>
      <c r="P31" s="86">
        <f t="shared" ca="1" si="5"/>
        <v>0</v>
      </c>
      <c r="Q31" s="82">
        <f ca="1">IF('Invoer gegevens'!$C$17=E31,I31,IF(C31=0,0,R30))</f>
        <v>0</v>
      </c>
      <c r="R31" s="84">
        <f t="shared" ca="1" si="0"/>
        <v>0</v>
      </c>
      <c r="S31" s="84">
        <f ca="1">IF('Invoer gegevens'!$C$17=E31,M31,IF(C31=0,0,T30))</f>
        <v>0</v>
      </c>
      <c r="T31" s="84">
        <f t="shared" ca="1" si="1"/>
        <v>0</v>
      </c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8"/>
      <c r="AI31" s="71">
        <f ca="1">IF(C31=1,((F31+H31)/2*Reeksen!AJ31*12)+(('Invoer gegevens'!$C$10-(F31+H31)/2)*Reeksen!AK31*12),0)</f>
        <v>0</v>
      </c>
      <c r="AJ31" s="71">
        <f ca="1">-AI31*'Invoer gegevens'!$F$28</f>
        <v>0</v>
      </c>
      <c r="AK31" s="71">
        <f t="shared" ca="1" si="2"/>
        <v>0</v>
      </c>
      <c r="AL31" s="71">
        <f ca="1">IF(C31=1,(12*((F31+H31)/2)*Reeksen!AL31)+(12*('Invoer gegevens'!$C$10-(F31+H31)/2)*Reeksen!AM31),0)</f>
        <v>0</v>
      </c>
      <c r="AM31" s="71">
        <f ca="1">-AL31*'Invoer gegevens'!$F$31</f>
        <v>0</v>
      </c>
      <c r="AN31" s="71">
        <f t="shared" ca="1" si="6"/>
        <v>0</v>
      </c>
      <c r="AO31" s="71"/>
      <c r="AP31" s="71"/>
      <c r="AQ31" s="71">
        <f ca="1">-IF(C31=1,('Invoer gegevens'!$C$10*'Invoer gegevens'!$I$33)*Reeksen!J31,0)*2</f>
        <v>0</v>
      </c>
      <c r="AR31" s="71">
        <f ca="1">-IF(C31=1,(G31*'Invoer gegevens'!$I$34)*Reeksen!J31,0)</f>
        <v>0</v>
      </c>
      <c r="AS31" s="71">
        <f ca="1">-IF(C31=1,'Invoer gegevens'!$C$10*'Invoer gegevens'!$I$35*Reeksen!L31,0)</f>
        <v>0</v>
      </c>
      <c r="AT31" s="71">
        <f ca="1">-IF(C31=1,IF(E31='Invoer gegevens'!$C$17,'Invoer gegevens'!$C$11,Q31)*Reeksen!S31*'Invoer gegevens'!$C$18*Reeksen!P31,0)</f>
        <v>0</v>
      </c>
      <c r="AU31" s="71">
        <f ca="1">-IF(C31=1,'Invoer gegevens'!$C$10*'Invoer gegevens'!$I$36*Reeksen!H31,0)</f>
        <v>0</v>
      </c>
      <c r="AV31" s="71">
        <f t="shared" si="10"/>
        <v>0</v>
      </c>
      <c r="AW31" s="71">
        <f t="shared" ca="1" si="7"/>
        <v>0</v>
      </c>
      <c r="AX31" s="71">
        <f ca="1">IF(E31&lt;'Invoer gegevens'!$C$17+15,0,IF(E31&gt;'Invoer gegevens'!$C$17+215,0,AW31))</f>
        <v>0</v>
      </c>
      <c r="AY31" s="71">
        <f ca="1">AX31/(1+'Invoer gegevens'!$F$13)^($AZ31-('Invoer gegevens'!$C$17-'Invoer gegevens'!$C$16))/(1+'Invoer gegevens'!$C$39)^('Invoer gegevens'!$C$17-'Invoer gegevens'!$C$16)</f>
        <v>0</v>
      </c>
      <c r="AZ31" s="68">
        <f ca="1">IF(E31-'Invoer gegevens'!$C$17-14.5&lt;0,0,E31-'Invoer gegevens'!$C$17-14.5)</f>
        <v>11.5</v>
      </c>
    </row>
    <row r="32" spans="1:52" x14ac:dyDescent="0.25">
      <c r="B32" s="70">
        <f t="shared" si="8"/>
        <v>28</v>
      </c>
      <c r="C32" s="67">
        <f ca="1">IF(E32-'Invoer gegevens'!$C$17&lt;0,0,1)</f>
        <v>1</v>
      </c>
      <c r="D32" s="68">
        <f t="shared" si="9"/>
        <v>27.5</v>
      </c>
      <c r="E32" s="69">
        <f ca="1">IF('Invoer gegevens'!$C$16="","",E31+1)</f>
        <v>2046</v>
      </c>
      <c r="F32" s="82">
        <f ca="1">IF('Invoer gegevens'!$C$17=E32,'Invoer gegevens'!$C$10,IF(C32=1,H31,0))</f>
        <v>0</v>
      </c>
      <c r="G32" s="83">
        <f ca="1">IF(C32&gt;=1,F32*Reeksen!C32,0)</f>
        <v>0</v>
      </c>
      <c r="H32" s="84">
        <f t="shared" ca="1" si="3"/>
        <v>0</v>
      </c>
      <c r="I32" s="85">
        <f ca="1">IF('Invoer gegevens'!$C$17=E32,'Invoer gegevens'!$C$11,IF(C32=1,L31,0))</f>
        <v>0</v>
      </c>
      <c r="J32" s="86">
        <f ca="1">IF(C32&lt;1,0,IF(Reeksen!AK32&lt;=Reeksen!AE32,I32*Reeksen!C32,0))</f>
        <v>0</v>
      </c>
      <c r="K32" s="86">
        <f ca="1">IF(C32&lt;1,0,IF(Reeksen!AK32&gt;Reeksen!AE32,I32*Reeksen!C32,0))</f>
        <v>0</v>
      </c>
      <c r="L32" s="86">
        <f t="shared" ca="1" si="4"/>
        <v>0</v>
      </c>
      <c r="M32" s="85">
        <f ca="1">IF('Invoer gegevens'!$C$17=E32,'Invoer gegevens'!$C$10-'Invoer gegevens'!$C$11,IF(C32=1,P31,0))</f>
        <v>0</v>
      </c>
      <c r="N32" s="86">
        <f ca="1">IF(C32&lt;1,0,IF(Reeksen!AK32&lt;=Reeksen!AE32,M32*Reeksen!C32,0))</f>
        <v>0</v>
      </c>
      <c r="O32" s="86">
        <f ca="1">IF(C32&lt;1,0,IF(Reeksen!AK32&gt;Reeksen!AE32,M32*Reeksen!C32,0))</f>
        <v>0</v>
      </c>
      <c r="P32" s="86">
        <f t="shared" ca="1" si="5"/>
        <v>0</v>
      </c>
      <c r="Q32" s="82">
        <f ca="1">IF('Invoer gegevens'!$C$17=E32,I32,IF(C32=0,0,R31))</f>
        <v>0</v>
      </c>
      <c r="R32" s="84">
        <f t="shared" ca="1" si="0"/>
        <v>0</v>
      </c>
      <c r="S32" s="84">
        <f ca="1">IF('Invoer gegevens'!$C$17=E32,M32,IF(C32=0,0,T31))</f>
        <v>0</v>
      </c>
      <c r="T32" s="84">
        <f t="shared" ca="1" si="1"/>
        <v>0</v>
      </c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8"/>
      <c r="AI32" s="71">
        <f ca="1">IF(C32=1,((F32+H32)/2*Reeksen!AJ32*12)+(('Invoer gegevens'!$C$10-(F32+H32)/2)*Reeksen!AK32*12),0)</f>
        <v>0</v>
      </c>
      <c r="AJ32" s="71">
        <f ca="1">-AI32*'Invoer gegevens'!$F$28</f>
        <v>0</v>
      </c>
      <c r="AK32" s="71">
        <f t="shared" ca="1" si="2"/>
        <v>0</v>
      </c>
      <c r="AL32" s="71">
        <f ca="1">IF(C32=1,(12*((F32+H32)/2)*Reeksen!AL32)+(12*('Invoer gegevens'!$C$10-(F32+H32)/2)*Reeksen!AM32),0)</f>
        <v>0</v>
      </c>
      <c r="AM32" s="71">
        <f ca="1">-AL32*'Invoer gegevens'!$F$31</f>
        <v>0</v>
      </c>
      <c r="AN32" s="71">
        <f t="shared" ca="1" si="6"/>
        <v>0</v>
      </c>
      <c r="AO32" s="71"/>
      <c r="AP32" s="71"/>
      <c r="AQ32" s="71">
        <f ca="1">-IF(C32=1,('Invoer gegevens'!$C$10*'Invoer gegevens'!$I$33)*Reeksen!J32,0)*2</f>
        <v>0</v>
      </c>
      <c r="AR32" s="71">
        <f ca="1">-IF(C32=1,(G32*'Invoer gegevens'!$I$34)*Reeksen!J32,0)</f>
        <v>0</v>
      </c>
      <c r="AS32" s="71">
        <f ca="1">-IF(C32=1,'Invoer gegevens'!$C$10*'Invoer gegevens'!$I$35*Reeksen!L32,0)</f>
        <v>0</v>
      </c>
      <c r="AT32" s="71">
        <f ca="1">-IF(C32=1,IF(E32='Invoer gegevens'!$C$17,'Invoer gegevens'!$C$11,Q32)*Reeksen!S32*'Invoer gegevens'!$C$18*Reeksen!P32,0)</f>
        <v>0</v>
      </c>
      <c r="AU32" s="71">
        <f ca="1">-IF(C32=1,'Invoer gegevens'!$C$10*'Invoer gegevens'!$I$36*Reeksen!H32,0)</f>
        <v>0</v>
      </c>
      <c r="AV32" s="71">
        <f t="shared" si="10"/>
        <v>0</v>
      </c>
      <c r="AW32" s="71">
        <f t="shared" ca="1" si="7"/>
        <v>0</v>
      </c>
      <c r="AX32" s="71">
        <f ca="1">IF(E32&lt;'Invoer gegevens'!$C$17+15,0,IF(E32&gt;'Invoer gegevens'!$C$17+215,0,AW32))</f>
        <v>0</v>
      </c>
      <c r="AY32" s="71">
        <f ca="1">AX32/(1+'Invoer gegevens'!$F$13)^($AZ32-('Invoer gegevens'!$C$17-'Invoer gegevens'!$C$16))/(1+'Invoer gegevens'!$C$39)^('Invoer gegevens'!$C$17-'Invoer gegevens'!$C$16)</f>
        <v>0</v>
      </c>
      <c r="AZ32" s="68">
        <f ca="1">IF(E32-'Invoer gegevens'!$C$17-14.5&lt;0,0,E32-'Invoer gegevens'!$C$17-14.5)</f>
        <v>12.5</v>
      </c>
    </row>
    <row r="33" spans="2:52" x14ac:dyDescent="0.25">
      <c r="B33" s="70">
        <f t="shared" si="8"/>
        <v>29</v>
      </c>
      <c r="C33" s="67">
        <f ca="1">IF(E33-'Invoer gegevens'!$C$17&lt;0,0,1)</f>
        <v>1</v>
      </c>
      <c r="D33" s="68">
        <f t="shared" si="9"/>
        <v>28.5</v>
      </c>
      <c r="E33" s="69">
        <f ca="1">IF('Invoer gegevens'!$C$16="","",E32+1)</f>
        <v>2047</v>
      </c>
      <c r="F33" s="82">
        <f ca="1">IF('Invoer gegevens'!$C$17=E33,'Invoer gegevens'!$C$10,IF(C33=1,H32,0))</f>
        <v>0</v>
      </c>
      <c r="G33" s="83">
        <f ca="1">IF(C33&gt;=1,F33*Reeksen!C33,0)</f>
        <v>0</v>
      </c>
      <c r="H33" s="84">
        <f t="shared" ca="1" si="3"/>
        <v>0</v>
      </c>
      <c r="I33" s="85">
        <f ca="1">IF('Invoer gegevens'!$C$17=E33,'Invoer gegevens'!$C$11,IF(C33=1,L32,0))</f>
        <v>0</v>
      </c>
      <c r="J33" s="86">
        <f ca="1">IF(C33&lt;1,0,IF(Reeksen!AK33&lt;=Reeksen!AE33,I33*Reeksen!C33,0))</f>
        <v>0</v>
      </c>
      <c r="K33" s="86">
        <f ca="1">IF(C33&lt;1,0,IF(Reeksen!AK33&gt;Reeksen!AE33,I33*Reeksen!C33,0))</f>
        <v>0</v>
      </c>
      <c r="L33" s="86">
        <f t="shared" ca="1" si="4"/>
        <v>0</v>
      </c>
      <c r="M33" s="85">
        <f ca="1">IF('Invoer gegevens'!$C$17=E33,'Invoer gegevens'!$C$10-'Invoer gegevens'!$C$11,IF(C33=1,P32,0))</f>
        <v>0</v>
      </c>
      <c r="N33" s="86">
        <f ca="1">IF(C33&lt;1,0,IF(Reeksen!AK33&lt;=Reeksen!AE33,M33*Reeksen!C33,0))</f>
        <v>0</v>
      </c>
      <c r="O33" s="86">
        <f ca="1">IF(C33&lt;1,0,IF(Reeksen!AK33&gt;Reeksen!AE33,M33*Reeksen!C33,0))</f>
        <v>0</v>
      </c>
      <c r="P33" s="86">
        <f t="shared" ca="1" si="5"/>
        <v>0</v>
      </c>
      <c r="Q33" s="82">
        <f ca="1">IF('Invoer gegevens'!$C$17=E33,I33,IF(C33=0,0,R32))</f>
        <v>0</v>
      </c>
      <c r="R33" s="84">
        <f t="shared" ca="1" si="0"/>
        <v>0</v>
      </c>
      <c r="S33" s="84">
        <f ca="1">IF('Invoer gegevens'!$C$17=E33,M33,IF(C33=0,0,T32))</f>
        <v>0</v>
      </c>
      <c r="T33" s="84">
        <f t="shared" ca="1" si="1"/>
        <v>0</v>
      </c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8"/>
      <c r="AI33" s="71">
        <f ca="1">IF(C33=1,((F33+H33)/2*Reeksen!AJ33*12)+(('Invoer gegevens'!$C$10-(F33+H33)/2)*Reeksen!AK33*12),0)</f>
        <v>0</v>
      </c>
      <c r="AJ33" s="71">
        <f ca="1">-AI33*'Invoer gegevens'!$F$28</f>
        <v>0</v>
      </c>
      <c r="AK33" s="71">
        <f t="shared" ca="1" si="2"/>
        <v>0</v>
      </c>
      <c r="AL33" s="71">
        <f ca="1">IF(C33=1,(12*((F33+H33)/2)*Reeksen!AL33)+(12*('Invoer gegevens'!$C$10-(F33+H33)/2)*Reeksen!AM33),0)</f>
        <v>0</v>
      </c>
      <c r="AM33" s="71">
        <f ca="1">-AL33*'Invoer gegevens'!$F$31</f>
        <v>0</v>
      </c>
      <c r="AN33" s="71">
        <f t="shared" ca="1" si="6"/>
        <v>0</v>
      </c>
      <c r="AO33" s="71"/>
      <c r="AP33" s="71"/>
      <c r="AQ33" s="71">
        <f ca="1">-IF(C33=1,('Invoer gegevens'!$C$10*'Invoer gegevens'!$I$33)*Reeksen!J33,0)*2</f>
        <v>0</v>
      </c>
      <c r="AR33" s="71">
        <f ca="1">-IF(C33=1,(G33*'Invoer gegevens'!$I$34)*Reeksen!J33,0)</f>
        <v>0</v>
      </c>
      <c r="AS33" s="71">
        <f ca="1">-IF(C33=1,'Invoer gegevens'!$C$10*'Invoer gegevens'!$I$35*Reeksen!L33,0)</f>
        <v>0</v>
      </c>
      <c r="AT33" s="71">
        <f ca="1">-IF(C33=1,IF(E33='Invoer gegevens'!$C$17,'Invoer gegevens'!$C$11,Q33)*Reeksen!S33*'Invoer gegevens'!$C$18*Reeksen!P33,0)</f>
        <v>0</v>
      </c>
      <c r="AU33" s="71">
        <f ca="1">-IF(C33=1,'Invoer gegevens'!$C$10*'Invoer gegevens'!$I$36*Reeksen!H33,0)</f>
        <v>0</v>
      </c>
      <c r="AV33" s="71">
        <f t="shared" si="10"/>
        <v>0</v>
      </c>
      <c r="AW33" s="71">
        <f t="shared" ca="1" si="7"/>
        <v>0</v>
      </c>
      <c r="AX33" s="71">
        <f ca="1">IF(E33&lt;'Invoer gegevens'!$C$17+15,0,IF(E33&gt;'Invoer gegevens'!$C$17+215,0,AW33))</f>
        <v>0</v>
      </c>
      <c r="AY33" s="71">
        <f ca="1">AX33/(1+'Invoer gegevens'!$F$13)^($AZ33-('Invoer gegevens'!$C$17-'Invoer gegevens'!$C$16))/(1+'Invoer gegevens'!$C$39)^('Invoer gegevens'!$C$17-'Invoer gegevens'!$C$16)</f>
        <v>0</v>
      </c>
      <c r="AZ33" s="68">
        <f ca="1">IF(E33-'Invoer gegevens'!$C$17-14.5&lt;0,0,E33-'Invoer gegevens'!$C$17-14.5)</f>
        <v>13.5</v>
      </c>
    </row>
    <row r="34" spans="2:52" x14ac:dyDescent="0.25">
      <c r="B34" s="70">
        <f t="shared" si="8"/>
        <v>30</v>
      </c>
      <c r="C34" s="67">
        <f ca="1">IF(E34-'Invoer gegevens'!$C$17&lt;0,0,1)</f>
        <v>1</v>
      </c>
      <c r="D34" s="68">
        <f t="shared" si="9"/>
        <v>29.5</v>
      </c>
      <c r="E34" s="69">
        <f ca="1">IF('Invoer gegevens'!$C$16="","",E33+1)</f>
        <v>2048</v>
      </c>
      <c r="F34" s="82">
        <f ca="1">IF('Invoer gegevens'!$C$17=E34,'Invoer gegevens'!$C$10,IF(C34=1,H33,0))</f>
        <v>0</v>
      </c>
      <c r="G34" s="83">
        <f ca="1">IF(C34&gt;=1,F34*Reeksen!C34,0)</f>
        <v>0</v>
      </c>
      <c r="H34" s="84">
        <f t="shared" ca="1" si="3"/>
        <v>0</v>
      </c>
      <c r="I34" s="85">
        <f ca="1">IF('Invoer gegevens'!$C$17=E34,'Invoer gegevens'!$C$11,IF(C34=1,L33,0))</f>
        <v>0</v>
      </c>
      <c r="J34" s="86">
        <f ca="1">IF(C34&lt;1,0,IF(Reeksen!AK34&lt;=Reeksen!AE34,I34*Reeksen!C34,0))</f>
        <v>0</v>
      </c>
      <c r="K34" s="86">
        <f ca="1">IF(C34&lt;1,0,IF(Reeksen!AK34&gt;Reeksen!AE34,I34*Reeksen!C34,0))</f>
        <v>0</v>
      </c>
      <c r="L34" s="86">
        <f t="shared" ca="1" si="4"/>
        <v>0</v>
      </c>
      <c r="M34" s="85">
        <f ca="1">IF('Invoer gegevens'!$C$17=E34,'Invoer gegevens'!$C$10-'Invoer gegevens'!$C$11,IF(C34=1,P33,0))</f>
        <v>0</v>
      </c>
      <c r="N34" s="86">
        <f ca="1">IF(C34&lt;1,0,IF(Reeksen!AK34&lt;=Reeksen!AE34,M34*Reeksen!C34,0))</f>
        <v>0</v>
      </c>
      <c r="O34" s="86">
        <f ca="1">IF(C34&lt;1,0,IF(Reeksen!AK34&gt;Reeksen!AE34,M34*Reeksen!C34,0))</f>
        <v>0</v>
      </c>
      <c r="P34" s="86">
        <f t="shared" ca="1" si="5"/>
        <v>0</v>
      </c>
      <c r="Q34" s="82">
        <f ca="1">IF('Invoer gegevens'!$C$17=E34,I34,IF(C34=0,0,R33))</f>
        <v>0</v>
      </c>
      <c r="R34" s="84">
        <f t="shared" ca="1" si="0"/>
        <v>0</v>
      </c>
      <c r="S34" s="84">
        <f ca="1">IF('Invoer gegevens'!$C$17=E34,M34,IF(C34=0,0,T33))</f>
        <v>0</v>
      </c>
      <c r="T34" s="84">
        <f t="shared" ca="1" si="1"/>
        <v>0</v>
      </c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8"/>
      <c r="AI34" s="71">
        <f ca="1">IF(C34=1,((F34+H34)/2*Reeksen!AJ34*12)+(('Invoer gegevens'!$C$10-(F34+H34)/2)*Reeksen!AK34*12),0)</f>
        <v>0</v>
      </c>
      <c r="AJ34" s="71">
        <f ca="1">-AI34*'Invoer gegevens'!$F$28</f>
        <v>0</v>
      </c>
      <c r="AK34" s="71">
        <f t="shared" ca="1" si="2"/>
        <v>0</v>
      </c>
      <c r="AL34" s="71">
        <f ca="1">IF(C34=1,(12*((F34+H34)/2)*Reeksen!AL34)+(12*('Invoer gegevens'!$C$10-(F34+H34)/2)*Reeksen!AM34),0)</f>
        <v>0</v>
      </c>
      <c r="AM34" s="71">
        <f ca="1">-AL34*'Invoer gegevens'!$F$31</f>
        <v>0</v>
      </c>
      <c r="AN34" s="71">
        <f t="shared" ca="1" si="6"/>
        <v>0</v>
      </c>
      <c r="AO34" s="71"/>
      <c r="AP34" s="71"/>
      <c r="AQ34" s="71">
        <f ca="1">-IF(C34=1,('Invoer gegevens'!$C$10*'Invoer gegevens'!$I$33)*Reeksen!J34,0)*2</f>
        <v>0</v>
      </c>
      <c r="AR34" s="71">
        <f ca="1">-IF(C34=1,(G34*'Invoer gegevens'!$I$34)*Reeksen!J34,0)</f>
        <v>0</v>
      </c>
      <c r="AS34" s="71">
        <f ca="1">-IF(C34=1,'Invoer gegevens'!$C$10*'Invoer gegevens'!$I$35*Reeksen!L34,0)</f>
        <v>0</v>
      </c>
      <c r="AT34" s="71">
        <f ca="1">-IF(C34=1,IF(E34='Invoer gegevens'!$C$17,'Invoer gegevens'!$C$11,Q34)*Reeksen!S34*'Invoer gegevens'!$C$18*Reeksen!P34,0)</f>
        <v>0</v>
      </c>
      <c r="AU34" s="71">
        <f ca="1">-IF(C34=1,'Invoer gegevens'!$C$10*'Invoer gegevens'!$I$36*Reeksen!H34,0)</f>
        <v>0</v>
      </c>
      <c r="AV34" s="71">
        <f t="shared" si="10"/>
        <v>0</v>
      </c>
      <c r="AW34" s="71">
        <f t="shared" ca="1" si="7"/>
        <v>0</v>
      </c>
      <c r="AX34" s="71">
        <f ca="1">IF(E34&lt;'Invoer gegevens'!$C$17+15,0,IF(E34&gt;'Invoer gegevens'!$C$17+215,0,AW34))</f>
        <v>0</v>
      </c>
      <c r="AY34" s="71">
        <f ca="1">AX34/(1+'Invoer gegevens'!$F$13)^($AZ34-('Invoer gegevens'!$C$17-'Invoer gegevens'!$C$16))/(1+'Invoer gegevens'!$C$39)^('Invoer gegevens'!$C$17-'Invoer gegevens'!$C$16)</f>
        <v>0</v>
      </c>
      <c r="AZ34" s="68">
        <f ca="1">IF(E34-'Invoer gegevens'!$C$17-14.5&lt;0,0,E34-'Invoer gegevens'!$C$17-14.5)</f>
        <v>14.5</v>
      </c>
    </row>
    <row r="35" spans="2:52" x14ac:dyDescent="0.25">
      <c r="B35" s="70">
        <f t="shared" si="8"/>
        <v>31</v>
      </c>
      <c r="C35" s="67">
        <f ca="1">IF(E35-'Invoer gegevens'!$C$17&lt;0,0,1)</f>
        <v>1</v>
      </c>
      <c r="D35" s="68">
        <f t="shared" si="9"/>
        <v>30.5</v>
      </c>
      <c r="E35" s="69">
        <f ca="1">IF('Invoer gegevens'!$C$16="","",E34+1)</f>
        <v>2049</v>
      </c>
      <c r="F35" s="82">
        <f ca="1">IF('Invoer gegevens'!$C$17=E35,'Invoer gegevens'!$C$10,IF(C35=1,H34,0))</f>
        <v>0</v>
      </c>
      <c r="G35" s="83">
        <f ca="1">IF(C35&gt;=1,F35*Reeksen!C35,0)</f>
        <v>0</v>
      </c>
      <c r="H35" s="84">
        <f t="shared" ca="1" si="3"/>
        <v>0</v>
      </c>
      <c r="I35" s="85">
        <f ca="1">IF('Invoer gegevens'!$C$17=E35,'Invoer gegevens'!$C$11,IF(C35=1,L34,0))</f>
        <v>0</v>
      </c>
      <c r="J35" s="86">
        <f ca="1">IF(C35&lt;1,0,IF(Reeksen!AK35&lt;=Reeksen!AE35,I35*Reeksen!C35,0))</f>
        <v>0</v>
      </c>
      <c r="K35" s="86">
        <f ca="1">IF(C35&lt;1,0,IF(Reeksen!AK35&gt;Reeksen!AE35,I35*Reeksen!C35,0))</f>
        <v>0</v>
      </c>
      <c r="L35" s="86">
        <f t="shared" ca="1" si="4"/>
        <v>0</v>
      </c>
      <c r="M35" s="85">
        <f ca="1">IF('Invoer gegevens'!$C$17=E35,'Invoer gegevens'!$C$10-'Invoer gegevens'!$C$11,IF(C35=1,P34,0))</f>
        <v>0</v>
      </c>
      <c r="N35" s="86">
        <f ca="1">IF(C35&lt;1,0,IF(Reeksen!AK35&lt;=Reeksen!AE35,M35*Reeksen!C35,0))</f>
        <v>0</v>
      </c>
      <c r="O35" s="86">
        <f ca="1">IF(C35&lt;1,0,IF(Reeksen!AK35&gt;Reeksen!AE35,M35*Reeksen!C35,0))</f>
        <v>0</v>
      </c>
      <c r="P35" s="86">
        <f t="shared" ca="1" si="5"/>
        <v>0</v>
      </c>
      <c r="Q35" s="82">
        <f ca="1">IF('Invoer gegevens'!$C$17=E35,I35,IF(C35=0,0,R34))</f>
        <v>0</v>
      </c>
      <c r="R35" s="84">
        <f t="shared" ca="1" si="0"/>
        <v>0</v>
      </c>
      <c r="S35" s="84">
        <f ca="1">IF('Invoer gegevens'!$C$17=E35,M35,IF(C35=0,0,T34))</f>
        <v>0</v>
      </c>
      <c r="T35" s="84">
        <f t="shared" ca="1" si="1"/>
        <v>0</v>
      </c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8"/>
      <c r="AI35" s="71">
        <f ca="1">IF(C35=1,((F35+H35)/2*Reeksen!AJ35*12)+(('Invoer gegevens'!$C$10-(F35+H35)/2)*Reeksen!AK35*12),0)</f>
        <v>0</v>
      </c>
      <c r="AJ35" s="71">
        <f ca="1">-AI35*'Invoer gegevens'!$F$28</f>
        <v>0</v>
      </c>
      <c r="AK35" s="71">
        <f t="shared" ca="1" si="2"/>
        <v>0</v>
      </c>
      <c r="AL35" s="71">
        <f ca="1">IF(C35=1,(12*((F35+H35)/2)*Reeksen!AL35)+(12*('Invoer gegevens'!$C$10-(F35+H35)/2)*Reeksen!AM35),0)</f>
        <v>0</v>
      </c>
      <c r="AM35" s="71">
        <f ca="1">-AL35*'Invoer gegevens'!$F$31</f>
        <v>0</v>
      </c>
      <c r="AN35" s="71">
        <f t="shared" ca="1" si="6"/>
        <v>0</v>
      </c>
      <c r="AO35" s="71"/>
      <c r="AP35" s="71"/>
      <c r="AQ35" s="71">
        <f ca="1">-IF(C35=1,('Invoer gegevens'!$C$10*'Invoer gegevens'!$I$33)*Reeksen!J35,0)*2</f>
        <v>0</v>
      </c>
      <c r="AR35" s="71">
        <f ca="1">-IF(C35=1,(G35*'Invoer gegevens'!$I$34)*Reeksen!J35,0)</f>
        <v>0</v>
      </c>
      <c r="AS35" s="71">
        <f ca="1">-IF(C35=1,'Invoer gegevens'!$C$10*'Invoer gegevens'!$I$35*Reeksen!L35,0)</f>
        <v>0</v>
      </c>
      <c r="AT35" s="71">
        <f ca="1">-IF(C35=1,IF(E35='Invoer gegevens'!$C$17,'Invoer gegevens'!$C$11,Q35)*Reeksen!S35*'Invoer gegevens'!$C$18*Reeksen!P35,0)</f>
        <v>0</v>
      </c>
      <c r="AU35" s="71">
        <f ca="1">-IF(C35=1,'Invoer gegevens'!$C$10*'Invoer gegevens'!$I$36*Reeksen!H35,0)</f>
        <v>0</v>
      </c>
      <c r="AV35" s="71">
        <f t="shared" si="10"/>
        <v>0</v>
      </c>
      <c r="AW35" s="71">
        <f t="shared" ca="1" si="7"/>
        <v>0</v>
      </c>
      <c r="AX35" s="71">
        <f ca="1">IF(E35&lt;'Invoer gegevens'!$C$17+15,0,IF(E35&gt;'Invoer gegevens'!$C$17+215,0,AW35))</f>
        <v>0</v>
      </c>
      <c r="AY35" s="71">
        <f ca="1">AX35/(1+'Invoer gegevens'!$F$13)^($AZ35-('Invoer gegevens'!$C$17-'Invoer gegevens'!$C$16))/(1+'Invoer gegevens'!$C$39)^('Invoer gegevens'!$C$17-'Invoer gegevens'!$C$16)</f>
        <v>0</v>
      </c>
      <c r="AZ35" s="68">
        <f ca="1">IF(E35-'Invoer gegevens'!$C$17-14.5&lt;0,0,E35-'Invoer gegevens'!$C$17-14.5)</f>
        <v>15.5</v>
      </c>
    </row>
    <row r="36" spans="2:52" x14ac:dyDescent="0.25">
      <c r="B36" s="70">
        <f t="shared" si="8"/>
        <v>32</v>
      </c>
      <c r="C36" s="67">
        <f ca="1">IF(E36-'Invoer gegevens'!$C$17&lt;0,0,1)</f>
        <v>1</v>
      </c>
      <c r="D36" s="68">
        <f t="shared" si="9"/>
        <v>31.5</v>
      </c>
      <c r="E36" s="69">
        <f ca="1">IF('Invoer gegevens'!$C$16="","",E35+1)</f>
        <v>2050</v>
      </c>
      <c r="F36" s="82">
        <f ca="1">IF('Invoer gegevens'!$C$17=E36,'Invoer gegevens'!$C$10,IF(C36=1,H35,0))</f>
        <v>0</v>
      </c>
      <c r="G36" s="83">
        <f ca="1">IF(C36&gt;=1,F36*Reeksen!C36,0)</f>
        <v>0</v>
      </c>
      <c r="H36" s="84">
        <f t="shared" ca="1" si="3"/>
        <v>0</v>
      </c>
      <c r="I36" s="85">
        <f ca="1">IF('Invoer gegevens'!$C$17=E36,'Invoer gegevens'!$C$11,IF(C36=1,L35,0))</f>
        <v>0</v>
      </c>
      <c r="J36" s="86">
        <f ca="1">IF(C36&lt;1,0,IF(Reeksen!AK36&lt;=Reeksen!AE36,I36*Reeksen!C36,0))</f>
        <v>0</v>
      </c>
      <c r="K36" s="86">
        <f ca="1">IF(C36&lt;1,0,IF(Reeksen!AK36&gt;Reeksen!AE36,I36*Reeksen!C36,0))</f>
        <v>0</v>
      </c>
      <c r="L36" s="86">
        <f t="shared" ca="1" si="4"/>
        <v>0</v>
      </c>
      <c r="M36" s="85">
        <f ca="1">IF('Invoer gegevens'!$C$17=E36,'Invoer gegevens'!$C$10-'Invoer gegevens'!$C$11,IF(C36=1,P35,0))</f>
        <v>0</v>
      </c>
      <c r="N36" s="86">
        <f ca="1">IF(C36&lt;1,0,IF(Reeksen!AK36&lt;=Reeksen!AE36,M36*Reeksen!C36,0))</f>
        <v>0</v>
      </c>
      <c r="O36" s="86">
        <f ca="1">IF(C36&lt;1,0,IF(Reeksen!AK36&gt;Reeksen!AE36,M36*Reeksen!C36,0))</f>
        <v>0</v>
      </c>
      <c r="P36" s="86">
        <f t="shared" ca="1" si="5"/>
        <v>0</v>
      </c>
      <c r="Q36" s="82">
        <f ca="1">IF('Invoer gegevens'!$C$17=E36,I36,IF(C36=0,0,R35))</f>
        <v>0</v>
      </c>
      <c r="R36" s="84">
        <f t="shared" ca="1" si="0"/>
        <v>0</v>
      </c>
      <c r="S36" s="84">
        <f ca="1">IF('Invoer gegevens'!$C$17=E36,M36,IF(C36=0,0,T35))</f>
        <v>0</v>
      </c>
      <c r="T36" s="84">
        <f t="shared" ca="1" si="1"/>
        <v>0</v>
      </c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8"/>
      <c r="AI36" s="71">
        <f ca="1">IF(C36=1,((F36+H36)/2*Reeksen!AJ36*12)+(('Invoer gegevens'!$C$10-(F36+H36)/2)*Reeksen!AK36*12),0)</f>
        <v>0</v>
      </c>
      <c r="AJ36" s="71">
        <f ca="1">-AI36*'Invoer gegevens'!$F$28</f>
        <v>0</v>
      </c>
      <c r="AK36" s="71">
        <f t="shared" ca="1" si="2"/>
        <v>0</v>
      </c>
      <c r="AL36" s="71">
        <f ca="1">IF(C36=1,(12*((F36+H36)/2)*Reeksen!AL36)+(12*('Invoer gegevens'!$C$10-(F36+H36)/2)*Reeksen!AM36),0)</f>
        <v>0</v>
      </c>
      <c r="AM36" s="71">
        <f ca="1">-AL36*'Invoer gegevens'!$F$31</f>
        <v>0</v>
      </c>
      <c r="AN36" s="71">
        <f t="shared" ca="1" si="6"/>
        <v>0</v>
      </c>
      <c r="AO36" s="71"/>
      <c r="AP36" s="71"/>
      <c r="AQ36" s="71">
        <f ca="1">-IF(C36=1,('Invoer gegevens'!$C$10*'Invoer gegevens'!$I$33)*Reeksen!J36,0)*2</f>
        <v>0</v>
      </c>
      <c r="AR36" s="71">
        <f ca="1">-IF(C36=1,(G36*'Invoer gegevens'!$I$34)*Reeksen!J36,0)</f>
        <v>0</v>
      </c>
      <c r="AS36" s="71">
        <f ca="1">-IF(C36=1,'Invoer gegevens'!$C$10*'Invoer gegevens'!$I$35*Reeksen!L36,0)</f>
        <v>0</v>
      </c>
      <c r="AT36" s="71">
        <f ca="1">-IF(C36=1,IF(E36='Invoer gegevens'!$C$17,'Invoer gegevens'!$C$11,Q36)*Reeksen!S36*'Invoer gegevens'!$C$18*Reeksen!P36,0)</f>
        <v>0</v>
      </c>
      <c r="AU36" s="71">
        <f ca="1">-IF(C36=1,'Invoer gegevens'!$C$10*'Invoer gegevens'!$I$36*Reeksen!H36,0)</f>
        <v>0</v>
      </c>
      <c r="AV36" s="71">
        <f t="shared" si="10"/>
        <v>0</v>
      </c>
      <c r="AW36" s="71">
        <f t="shared" ca="1" si="7"/>
        <v>0</v>
      </c>
      <c r="AX36" s="71">
        <f ca="1">IF(E36&lt;'Invoer gegevens'!$C$17+15,0,IF(E36&gt;'Invoer gegevens'!$C$17+215,0,AW36))</f>
        <v>0</v>
      </c>
      <c r="AY36" s="71">
        <f ca="1">AX36/(1+'Invoer gegevens'!$F$13)^($AZ36-('Invoer gegevens'!$C$17-'Invoer gegevens'!$C$16))/(1+'Invoer gegevens'!$C$39)^('Invoer gegevens'!$C$17-'Invoer gegevens'!$C$16)</f>
        <v>0</v>
      </c>
      <c r="AZ36" s="68">
        <f ca="1">IF(E36-'Invoer gegevens'!$C$17-14.5&lt;0,0,E36-'Invoer gegevens'!$C$17-14.5)</f>
        <v>16.5</v>
      </c>
    </row>
    <row r="37" spans="2:52" x14ac:dyDescent="0.25">
      <c r="B37" s="70">
        <f t="shared" si="8"/>
        <v>33</v>
      </c>
      <c r="C37" s="67">
        <f ca="1">IF(E37-'Invoer gegevens'!$C$17&lt;0,0,1)</f>
        <v>1</v>
      </c>
      <c r="D37" s="68">
        <f t="shared" si="9"/>
        <v>32.5</v>
      </c>
      <c r="E37" s="69">
        <f ca="1">IF('Invoer gegevens'!$C$16="","",E36+1)</f>
        <v>2051</v>
      </c>
      <c r="F37" s="82">
        <f ca="1">IF('Invoer gegevens'!$C$17=E37,'Invoer gegevens'!$C$10,IF(C37=1,H36,0))</f>
        <v>0</v>
      </c>
      <c r="G37" s="83">
        <f ca="1">IF(C37&gt;=1,F37*Reeksen!C37,0)</f>
        <v>0</v>
      </c>
      <c r="H37" s="84">
        <f t="shared" ca="1" si="3"/>
        <v>0</v>
      </c>
      <c r="I37" s="85">
        <f ca="1">IF('Invoer gegevens'!$C$17=E37,'Invoer gegevens'!$C$11,IF(C37=1,L36,0))</f>
        <v>0</v>
      </c>
      <c r="J37" s="86">
        <f ca="1">IF(C37&lt;1,0,IF(Reeksen!AK37&lt;=Reeksen!AE37,I37*Reeksen!C37,0))</f>
        <v>0</v>
      </c>
      <c r="K37" s="86">
        <f ca="1">IF(C37&lt;1,0,IF(Reeksen!AK37&gt;Reeksen!AE37,I37*Reeksen!C37,0))</f>
        <v>0</v>
      </c>
      <c r="L37" s="86">
        <f t="shared" ca="1" si="4"/>
        <v>0</v>
      </c>
      <c r="M37" s="85">
        <f ca="1">IF('Invoer gegevens'!$C$17=E37,'Invoer gegevens'!$C$10-'Invoer gegevens'!$C$11,IF(C37=1,P36,0))</f>
        <v>0</v>
      </c>
      <c r="N37" s="86">
        <f ca="1">IF(C37&lt;1,0,IF(Reeksen!AK37&lt;=Reeksen!AE37,M37*Reeksen!C37,0))</f>
        <v>0</v>
      </c>
      <c r="O37" s="86">
        <f ca="1">IF(C37&lt;1,0,IF(Reeksen!AK37&gt;Reeksen!AE37,M37*Reeksen!C37,0))</f>
        <v>0</v>
      </c>
      <c r="P37" s="86">
        <f t="shared" ca="1" si="5"/>
        <v>0</v>
      </c>
      <c r="Q37" s="82">
        <f ca="1">IF('Invoer gegevens'!$C$17=E37,I37,IF(C37=0,0,R36))</f>
        <v>0</v>
      </c>
      <c r="R37" s="84">
        <f t="shared" ca="1" si="0"/>
        <v>0</v>
      </c>
      <c r="S37" s="84">
        <f ca="1">IF('Invoer gegevens'!$C$17=E37,M37,IF(C37=0,0,T36))</f>
        <v>0</v>
      </c>
      <c r="T37" s="84">
        <f t="shared" ca="1" si="1"/>
        <v>0</v>
      </c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8"/>
      <c r="AI37" s="71">
        <f ca="1">IF(C37=1,((F37+H37)/2*Reeksen!AJ37*12)+(('Invoer gegevens'!$C$10-(F37+H37)/2)*Reeksen!AK37*12),0)</f>
        <v>0</v>
      </c>
      <c r="AJ37" s="71">
        <f ca="1">-AI37*'Invoer gegevens'!$F$28</f>
        <v>0</v>
      </c>
      <c r="AK37" s="71">
        <f t="shared" ca="1" si="2"/>
        <v>0</v>
      </c>
      <c r="AL37" s="71">
        <f ca="1">IF(C37=1,(12*((F37+H37)/2)*Reeksen!AL37)+(12*('Invoer gegevens'!$C$10-(F37+H37)/2)*Reeksen!AM37),0)</f>
        <v>0</v>
      </c>
      <c r="AM37" s="71">
        <f ca="1">-AL37*'Invoer gegevens'!$F$31</f>
        <v>0</v>
      </c>
      <c r="AN37" s="71">
        <f t="shared" ca="1" si="6"/>
        <v>0</v>
      </c>
      <c r="AO37" s="71"/>
      <c r="AP37" s="71"/>
      <c r="AQ37" s="71">
        <f ca="1">-IF(C37=1,('Invoer gegevens'!$C$10*'Invoer gegevens'!$I$33)*Reeksen!J37,0)*2</f>
        <v>0</v>
      </c>
      <c r="AR37" s="71">
        <f ca="1">-IF(C37=1,(G37*'Invoer gegevens'!$I$34)*Reeksen!J37,0)</f>
        <v>0</v>
      </c>
      <c r="AS37" s="71">
        <f ca="1">-IF(C37=1,'Invoer gegevens'!$C$10*'Invoer gegevens'!$I$35*Reeksen!L37,0)</f>
        <v>0</v>
      </c>
      <c r="AT37" s="71">
        <f ca="1">-IF(C37=1,IF(E37='Invoer gegevens'!$C$17,'Invoer gegevens'!$C$11,Q37)*Reeksen!S37*'Invoer gegevens'!$C$18*Reeksen!P37,0)</f>
        <v>0</v>
      </c>
      <c r="AU37" s="71">
        <f ca="1">-IF(C37=1,'Invoer gegevens'!$C$10*'Invoer gegevens'!$I$36*Reeksen!H37,0)</f>
        <v>0</v>
      </c>
      <c r="AV37" s="71">
        <f t="shared" si="10"/>
        <v>0</v>
      </c>
      <c r="AW37" s="71">
        <f t="shared" ca="1" si="7"/>
        <v>0</v>
      </c>
      <c r="AX37" s="71">
        <f ca="1">IF(E37&lt;'Invoer gegevens'!$C$17+15,0,IF(E37&gt;'Invoer gegevens'!$C$17+215,0,AW37))</f>
        <v>0</v>
      </c>
      <c r="AY37" s="71">
        <f ca="1">AX37/(1+'Invoer gegevens'!$F$13)^($AZ37-('Invoer gegevens'!$C$17-'Invoer gegevens'!$C$16))/(1+'Invoer gegevens'!$C$39)^('Invoer gegevens'!$C$17-'Invoer gegevens'!$C$16)</f>
        <v>0</v>
      </c>
      <c r="AZ37" s="68">
        <f ca="1">IF(E37-'Invoer gegevens'!$C$17-14.5&lt;0,0,E37-'Invoer gegevens'!$C$17-14.5)</f>
        <v>17.5</v>
      </c>
    </row>
    <row r="38" spans="2:52" x14ac:dyDescent="0.25">
      <c r="B38" s="70">
        <f t="shared" si="8"/>
        <v>34</v>
      </c>
      <c r="C38" s="67">
        <f ca="1">IF(E38-'Invoer gegevens'!$C$17&lt;0,0,1)</f>
        <v>1</v>
      </c>
      <c r="D38" s="68">
        <f t="shared" si="9"/>
        <v>33.5</v>
      </c>
      <c r="E38" s="69">
        <f ca="1">IF('Invoer gegevens'!$C$16="","",E37+1)</f>
        <v>2052</v>
      </c>
      <c r="F38" s="82">
        <f ca="1">IF('Invoer gegevens'!$C$17=E38,'Invoer gegevens'!$C$10,IF(C38=1,H37,0))</f>
        <v>0</v>
      </c>
      <c r="G38" s="83">
        <f ca="1">IF(C38&gt;=1,F38*Reeksen!C38,0)</f>
        <v>0</v>
      </c>
      <c r="H38" s="84">
        <f t="shared" ca="1" si="3"/>
        <v>0</v>
      </c>
      <c r="I38" s="85">
        <f ca="1">IF('Invoer gegevens'!$C$17=E38,'Invoer gegevens'!$C$11,IF(C38=1,L37,0))</f>
        <v>0</v>
      </c>
      <c r="J38" s="86">
        <f ca="1">IF(C38&lt;1,0,IF(Reeksen!AK38&lt;=Reeksen!AE38,I38*Reeksen!C38,0))</f>
        <v>0</v>
      </c>
      <c r="K38" s="86">
        <f ca="1">IF(C38&lt;1,0,IF(Reeksen!AK38&gt;Reeksen!AE38,I38*Reeksen!C38,0))</f>
        <v>0</v>
      </c>
      <c r="L38" s="86">
        <f t="shared" ca="1" si="4"/>
        <v>0</v>
      </c>
      <c r="M38" s="85">
        <f ca="1">IF('Invoer gegevens'!$C$17=E38,'Invoer gegevens'!$C$10-'Invoer gegevens'!$C$11,IF(C38=1,P37,0))</f>
        <v>0</v>
      </c>
      <c r="N38" s="86">
        <f ca="1">IF(C38&lt;1,0,IF(Reeksen!AK38&lt;=Reeksen!AE38,M38*Reeksen!C38,0))</f>
        <v>0</v>
      </c>
      <c r="O38" s="86">
        <f ca="1">IF(C38&lt;1,0,IF(Reeksen!AK38&gt;Reeksen!AE38,M38*Reeksen!C38,0))</f>
        <v>0</v>
      </c>
      <c r="P38" s="86">
        <f t="shared" ca="1" si="5"/>
        <v>0</v>
      </c>
      <c r="Q38" s="82">
        <f ca="1">IF('Invoer gegevens'!$C$17=E38,I38,IF(C38=0,0,R37))</f>
        <v>0</v>
      </c>
      <c r="R38" s="84">
        <f t="shared" ca="1" si="0"/>
        <v>0</v>
      </c>
      <c r="S38" s="84">
        <f ca="1">IF('Invoer gegevens'!$C$17=E38,M38,IF(C38=0,0,T37))</f>
        <v>0</v>
      </c>
      <c r="T38" s="84">
        <f t="shared" ca="1" si="1"/>
        <v>0</v>
      </c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8"/>
      <c r="AI38" s="71">
        <f ca="1">IF(C38=1,((F38+H38)/2*Reeksen!AJ38*12)+(('Invoer gegevens'!$C$10-(F38+H38)/2)*Reeksen!AK38*12),0)</f>
        <v>0</v>
      </c>
      <c r="AJ38" s="71">
        <f ca="1">-AI38*'Invoer gegevens'!$F$28</f>
        <v>0</v>
      </c>
      <c r="AK38" s="71">
        <f t="shared" ca="1" si="2"/>
        <v>0</v>
      </c>
      <c r="AL38" s="71">
        <f ca="1">IF(C38=1,(12*((F38+H38)/2)*Reeksen!AL38)+(12*('Invoer gegevens'!$C$10-(F38+H38)/2)*Reeksen!AM38),0)</f>
        <v>0</v>
      </c>
      <c r="AM38" s="71">
        <f ca="1">-AL38*'Invoer gegevens'!$F$31</f>
        <v>0</v>
      </c>
      <c r="AN38" s="71">
        <f t="shared" ca="1" si="6"/>
        <v>0</v>
      </c>
      <c r="AO38" s="71"/>
      <c r="AP38" s="71"/>
      <c r="AQ38" s="71">
        <f ca="1">-IF(C38=1,('Invoer gegevens'!$C$10*'Invoer gegevens'!$I$33)*Reeksen!J38,0)*2</f>
        <v>0</v>
      </c>
      <c r="AR38" s="71">
        <f ca="1">-IF(C38=1,(G38*'Invoer gegevens'!$I$34)*Reeksen!J38,0)</f>
        <v>0</v>
      </c>
      <c r="AS38" s="71">
        <f ca="1">-IF(C38=1,'Invoer gegevens'!$C$10*'Invoer gegevens'!$I$35*Reeksen!L38,0)</f>
        <v>0</v>
      </c>
      <c r="AT38" s="71">
        <f ca="1">-IF(C38=1,IF(E38='Invoer gegevens'!$C$17,'Invoer gegevens'!$C$11,Q38)*Reeksen!S38*'Invoer gegevens'!$C$18*Reeksen!P38,0)</f>
        <v>0</v>
      </c>
      <c r="AU38" s="71">
        <f ca="1">-IF(C38=1,'Invoer gegevens'!$C$10*'Invoer gegevens'!$I$36*Reeksen!H38,0)</f>
        <v>0</v>
      </c>
      <c r="AV38" s="71">
        <f t="shared" si="10"/>
        <v>0</v>
      </c>
      <c r="AW38" s="71">
        <f t="shared" ca="1" si="7"/>
        <v>0</v>
      </c>
      <c r="AX38" s="71">
        <f ca="1">IF(E38&lt;'Invoer gegevens'!$C$17+15,0,IF(E38&gt;'Invoer gegevens'!$C$17+215,0,AW38))</f>
        <v>0</v>
      </c>
      <c r="AY38" s="71">
        <f ca="1">AX38/(1+'Invoer gegevens'!$F$13)^($AZ38-('Invoer gegevens'!$C$17-'Invoer gegevens'!$C$16))/(1+'Invoer gegevens'!$C$39)^('Invoer gegevens'!$C$17-'Invoer gegevens'!$C$16)</f>
        <v>0</v>
      </c>
      <c r="AZ38" s="68">
        <f ca="1">IF(E38-'Invoer gegevens'!$C$17-14.5&lt;0,0,E38-'Invoer gegevens'!$C$17-14.5)</f>
        <v>18.5</v>
      </c>
    </row>
    <row r="39" spans="2:52" x14ac:dyDescent="0.25">
      <c r="B39" s="70">
        <f t="shared" si="8"/>
        <v>35</v>
      </c>
      <c r="C39" s="67">
        <f ca="1">IF(E39-'Invoer gegevens'!$C$17&lt;0,0,1)</f>
        <v>1</v>
      </c>
      <c r="D39" s="68">
        <f t="shared" si="9"/>
        <v>34.5</v>
      </c>
      <c r="E39" s="69">
        <f ca="1">IF('Invoer gegevens'!$C$16="","",E38+1)</f>
        <v>2053</v>
      </c>
      <c r="F39" s="82">
        <f ca="1">IF('Invoer gegevens'!$C$17=E39,'Invoer gegevens'!$C$10,IF(C39=1,H38,0))</f>
        <v>0</v>
      </c>
      <c r="G39" s="83">
        <f ca="1">IF(C39&gt;=1,F39*Reeksen!C39,0)</f>
        <v>0</v>
      </c>
      <c r="H39" s="84">
        <f t="shared" ca="1" si="3"/>
        <v>0</v>
      </c>
      <c r="I39" s="85">
        <f ca="1">IF('Invoer gegevens'!$C$17=E39,'Invoer gegevens'!$C$11,IF(C39=1,L38,0))</f>
        <v>0</v>
      </c>
      <c r="J39" s="86">
        <f ca="1">IF(C39&lt;1,0,IF(Reeksen!AK39&lt;=Reeksen!AE39,I39*Reeksen!C39,0))</f>
        <v>0</v>
      </c>
      <c r="K39" s="86">
        <f ca="1">IF(C39&lt;1,0,IF(Reeksen!AK39&gt;Reeksen!AE39,I39*Reeksen!C39,0))</f>
        <v>0</v>
      </c>
      <c r="L39" s="86">
        <f t="shared" ca="1" si="4"/>
        <v>0</v>
      </c>
      <c r="M39" s="85">
        <f ca="1">IF('Invoer gegevens'!$C$17=E39,'Invoer gegevens'!$C$10-'Invoer gegevens'!$C$11,IF(C39=1,P38,0))</f>
        <v>0</v>
      </c>
      <c r="N39" s="86">
        <f ca="1">IF(C39&lt;1,0,IF(Reeksen!AK39&lt;=Reeksen!AE39,M39*Reeksen!C39,0))</f>
        <v>0</v>
      </c>
      <c r="O39" s="86">
        <f ca="1">IF(C39&lt;1,0,IF(Reeksen!AK39&gt;Reeksen!AE39,M39*Reeksen!C39,0))</f>
        <v>0</v>
      </c>
      <c r="P39" s="86">
        <f t="shared" ca="1" si="5"/>
        <v>0</v>
      </c>
      <c r="Q39" s="82">
        <f ca="1">IF('Invoer gegevens'!$C$17=E39,I39,IF(C39=0,0,R38))</f>
        <v>0</v>
      </c>
      <c r="R39" s="84">
        <f t="shared" ca="1" si="0"/>
        <v>0</v>
      </c>
      <c r="S39" s="84">
        <f ca="1">IF('Invoer gegevens'!$C$17=E39,M39,IF(C39=0,0,T38))</f>
        <v>0</v>
      </c>
      <c r="T39" s="84">
        <f t="shared" ca="1" si="1"/>
        <v>0</v>
      </c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8"/>
      <c r="AI39" s="71">
        <f ca="1">IF(C39=1,((F39+H39)/2*Reeksen!AJ39*12)+(('Invoer gegevens'!$C$10-(F39+H39)/2)*Reeksen!AK39*12),0)</f>
        <v>0</v>
      </c>
      <c r="AJ39" s="71">
        <f ca="1">-AI39*'Invoer gegevens'!$F$28</f>
        <v>0</v>
      </c>
      <c r="AK39" s="71">
        <f t="shared" ca="1" si="2"/>
        <v>0</v>
      </c>
      <c r="AL39" s="71">
        <f ca="1">IF(C39=1,(12*((F39+H39)/2)*Reeksen!AL39)+(12*('Invoer gegevens'!$C$10-(F39+H39)/2)*Reeksen!AM39),0)</f>
        <v>0</v>
      </c>
      <c r="AM39" s="71">
        <f ca="1">-AL39*'Invoer gegevens'!$F$31</f>
        <v>0</v>
      </c>
      <c r="AN39" s="71">
        <f t="shared" ca="1" si="6"/>
        <v>0</v>
      </c>
      <c r="AO39" s="71"/>
      <c r="AP39" s="71"/>
      <c r="AQ39" s="71">
        <f ca="1">-IF(C39=1,('Invoer gegevens'!$C$10*'Invoer gegevens'!$I$33)*Reeksen!J39,0)*2</f>
        <v>0</v>
      </c>
      <c r="AR39" s="71">
        <f ca="1">-IF(C39=1,(G39*'Invoer gegevens'!$I$34)*Reeksen!J39,0)</f>
        <v>0</v>
      </c>
      <c r="AS39" s="71">
        <f ca="1">-IF(C39=1,'Invoer gegevens'!$C$10*'Invoer gegevens'!$I$35*Reeksen!L39,0)</f>
        <v>0</v>
      </c>
      <c r="AT39" s="71">
        <f ca="1">-IF(C39=1,IF(E39='Invoer gegevens'!$C$17,'Invoer gegevens'!$C$11,Q39)*Reeksen!S39*'Invoer gegevens'!$C$18*Reeksen!P39,0)</f>
        <v>0</v>
      </c>
      <c r="AU39" s="71">
        <f ca="1">-IF(C39=1,'Invoer gegevens'!$C$10*'Invoer gegevens'!$I$36*Reeksen!H39,0)</f>
        <v>0</v>
      </c>
      <c r="AV39" s="71">
        <f t="shared" si="10"/>
        <v>0</v>
      </c>
      <c r="AW39" s="71">
        <f t="shared" ca="1" si="7"/>
        <v>0</v>
      </c>
      <c r="AX39" s="71">
        <f ca="1">IF(E39&lt;'Invoer gegevens'!$C$17+15,0,IF(E39&gt;'Invoer gegevens'!$C$17+215,0,AW39))</f>
        <v>0</v>
      </c>
      <c r="AY39" s="71">
        <f ca="1">AX39/(1+'Invoer gegevens'!$F$13)^($AZ39-('Invoer gegevens'!$C$17-'Invoer gegevens'!$C$16))/(1+'Invoer gegevens'!$C$39)^('Invoer gegevens'!$C$17-'Invoer gegevens'!$C$16)</f>
        <v>0</v>
      </c>
      <c r="AZ39" s="68">
        <f ca="1">IF(E39-'Invoer gegevens'!$C$17-14.5&lt;0,0,E39-'Invoer gegevens'!$C$17-14.5)</f>
        <v>19.5</v>
      </c>
    </row>
    <row r="40" spans="2:52" x14ac:dyDescent="0.25">
      <c r="B40" s="70">
        <f t="shared" si="8"/>
        <v>36</v>
      </c>
      <c r="C40" s="67">
        <f ca="1">IF(E40-'Invoer gegevens'!$C$17&lt;0,0,1)</f>
        <v>1</v>
      </c>
      <c r="D40" s="68">
        <f t="shared" si="9"/>
        <v>35.5</v>
      </c>
      <c r="E40" s="69">
        <f ca="1">IF('Invoer gegevens'!$C$16="","",E39+1)</f>
        <v>2054</v>
      </c>
      <c r="F40" s="82">
        <f ca="1">IF('Invoer gegevens'!$C$17=E40,'Invoer gegevens'!$C$10,IF(C40=1,H39,0))</f>
        <v>0</v>
      </c>
      <c r="G40" s="83">
        <f ca="1">IF(C40&gt;=1,F40*Reeksen!C40,0)</f>
        <v>0</v>
      </c>
      <c r="H40" s="84">
        <f t="shared" ca="1" si="3"/>
        <v>0</v>
      </c>
      <c r="I40" s="85">
        <f ca="1">IF('Invoer gegevens'!$C$17=E40,'Invoer gegevens'!$C$11,IF(C40=1,L39,0))</f>
        <v>0</v>
      </c>
      <c r="J40" s="86">
        <f ca="1">IF(C40&lt;1,0,IF(Reeksen!AK40&lt;=Reeksen!AE40,I40*Reeksen!C40,0))</f>
        <v>0</v>
      </c>
      <c r="K40" s="86">
        <f ca="1">IF(C40&lt;1,0,IF(Reeksen!AK40&gt;Reeksen!AE40,I40*Reeksen!C40,0))</f>
        <v>0</v>
      </c>
      <c r="L40" s="86">
        <f t="shared" ca="1" si="4"/>
        <v>0</v>
      </c>
      <c r="M40" s="85">
        <f ca="1">IF('Invoer gegevens'!$C$17=E40,'Invoer gegevens'!$C$10-'Invoer gegevens'!$C$11,IF(C40=1,P39,0))</f>
        <v>0</v>
      </c>
      <c r="N40" s="86">
        <f ca="1">IF(C40&lt;1,0,IF(Reeksen!AK40&lt;=Reeksen!AE40,M40*Reeksen!C40,0))</f>
        <v>0</v>
      </c>
      <c r="O40" s="86">
        <f ca="1">IF(C40&lt;1,0,IF(Reeksen!AK40&gt;Reeksen!AE40,M40*Reeksen!C40,0))</f>
        <v>0</v>
      </c>
      <c r="P40" s="86">
        <f t="shared" ca="1" si="5"/>
        <v>0</v>
      </c>
      <c r="Q40" s="82">
        <f ca="1">IF('Invoer gegevens'!$C$17=E40,I40,IF(C40=0,0,R39))</f>
        <v>0</v>
      </c>
      <c r="R40" s="84">
        <f t="shared" ca="1" si="0"/>
        <v>0</v>
      </c>
      <c r="S40" s="84">
        <f ca="1">IF('Invoer gegevens'!$C$17=E40,M40,IF(C40=0,0,T39))</f>
        <v>0</v>
      </c>
      <c r="T40" s="84">
        <f t="shared" ca="1" si="1"/>
        <v>0</v>
      </c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8"/>
      <c r="AI40" s="71">
        <f ca="1">IF(C40=1,((F40+H40)/2*Reeksen!AJ40*12)+(('Invoer gegevens'!$C$10-(F40+H40)/2)*Reeksen!AK40*12),0)</f>
        <v>0</v>
      </c>
      <c r="AJ40" s="71">
        <f ca="1">-AI40*'Invoer gegevens'!$F$28</f>
        <v>0</v>
      </c>
      <c r="AK40" s="71">
        <f t="shared" ca="1" si="2"/>
        <v>0</v>
      </c>
      <c r="AL40" s="71">
        <f ca="1">IF(C40=1,(12*((F40+H40)/2)*Reeksen!AL40)+(12*('Invoer gegevens'!$C$10-(F40+H40)/2)*Reeksen!AM40),0)</f>
        <v>0</v>
      </c>
      <c r="AM40" s="71">
        <f ca="1">-AL40*'Invoer gegevens'!$F$31</f>
        <v>0</v>
      </c>
      <c r="AN40" s="71">
        <f t="shared" ca="1" si="6"/>
        <v>0</v>
      </c>
      <c r="AO40" s="71"/>
      <c r="AP40" s="71"/>
      <c r="AQ40" s="71">
        <f ca="1">-IF(C40=1,('Invoer gegevens'!$C$10*'Invoer gegevens'!$I$33)*Reeksen!J40,0)*2</f>
        <v>0</v>
      </c>
      <c r="AR40" s="71">
        <f ca="1">-IF(C40=1,(G40*'Invoer gegevens'!$I$34)*Reeksen!J40,0)</f>
        <v>0</v>
      </c>
      <c r="AS40" s="71">
        <f ca="1">-IF(C40=1,'Invoer gegevens'!$C$10*'Invoer gegevens'!$I$35*Reeksen!L40,0)</f>
        <v>0</v>
      </c>
      <c r="AT40" s="71">
        <f ca="1">-IF(C40=1,IF(E40='Invoer gegevens'!$C$17,'Invoer gegevens'!$C$11,Q40)*Reeksen!S40*'Invoer gegevens'!$C$18*Reeksen!P40,0)</f>
        <v>0</v>
      </c>
      <c r="AU40" s="71">
        <f ca="1">-IF(C40=1,'Invoer gegevens'!$C$10*'Invoer gegevens'!$I$36*Reeksen!H40,0)</f>
        <v>0</v>
      </c>
      <c r="AV40" s="71">
        <f t="shared" si="10"/>
        <v>0</v>
      </c>
      <c r="AW40" s="71">
        <f t="shared" ca="1" si="7"/>
        <v>0</v>
      </c>
      <c r="AX40" s="71">
        <f ca="1">IF(E40&lt;'Invoer gegevens'!$C$17+15,0,IF(E40&gt;'Invoer gegevens'!$C$17+215,0,AW40))</f>
        <v>0</v>
      </c>
      <c r="AY40" s="71">
        <f ca="1">AX40/(1+'Invoer gegevens'!$F$13)^($AZ40-('Invoer gegevens'!$C$17-'Invoer gegevens'!$C$16))/(1+'Invoer gegevens'!$C$39)^('Invoer gegevens'!$C$17-'Invoer gegevens'!$C$16)</f>
        <v>0</v>
      </c>
      <c r="AZ40" s="68">
        <f ca="1">IF(E40-'Invoer gegevens'!$C$17-14.5&lt;0,0,E40-'Invoer gegevens'!$C$17-14.5)</f>
        <v>20.5</v>
      </c>
    </row>
    <row r="41" spans="2:52" x14ac:dyDescent="0.25">
      <c r="B41" s="70">
        <f t="shared" si="8"/>
        <v>37</v>
      </c>
      <c r="C41" s="67">
        <f ca="1">IF(E41-'Invoer gegevens'!$C$17&lt;0,0,1)</f>
        <v>1</v>
      </c>
      <c r="D41" s="68">
        <f t="shared" si="9"/>
        <v>36.5</v>
      </c>
      <c r="E41" s="69">
        <f ca="1">IF('Invoer gegevens'!$C$16="","",E40+1)</f>
        <v>2055</v>
      </c>
      <c r="F41" s="82">
        <f ca="1">IF('Invoer gegevens'!$C$17=E41,'Invoer gegevens'!$C$10,IF(C41=1,H40,0))</f>
        <v>0</v>
      </c>
      <c r="G41" s="83">
        <f ca="1">IF(C41&gt;=1,F41*Reeksen!C41,0)</f>
        <v>0</v>
      </c>
      <c r="H41" s="84">
        <f t="shared" ca="1" si="3"/>
        <v>0</v>
      </c>
      <c r="I41" s="85">
        <f ca="1">IF('Invoer gegevens'!$C$17=E41,'Invoer gegevens'!$C$11,IF(C41=1,L40,0))</f>
        <v>0</v>
      </c>
      <c r="J41" s="86">
        <f ca="1">IF(C41&lt;1,0,IF(Reeksen!AK41&lt;=Reeksen!AE41,I41*Reeksen!C41,0))</f>
        <v>0</v>
      </c>
      <c r="K41" s="86">
        <f ca="1">IF(C41&lt;1,0,IF(Reeksen!AK41&gt;Reeksen!AE41,I41*Reeksen!C41,0))</f>
        <v>0</v>
      </c>
      <c r="L41" s="86">
        <f t="shared" ca="1" si="4"/>
        <v>0</v>
      </c>
      <c r="M41" s="85">
        <f ca="1">IF('Invoer gegevens'!$C$17=E41,'Invoer gegevens'!$C$10-'Invoer gegevens'!$C$11,IF(C41=1,P40,0))</f>
        <v>0</v>
      </c>
      <c r="N41" s="86">
        <f ca="1">IF(C41&lt;1,0,IF(Reeksen!AK41&lt;=Reeksen!AE41,M41*Reeksen!C41,0))</f>
        <v>0</v>
      </c>
      <c r="O41" s="86">
        <f ca="1">IF(C41&lt;1,0,IF(Reeksen!AK41&gt;Reeksen!AE41,M41*Reeksen!C41,0))</f>
        <v>0</v>
      </c>
      <c r="P41" s="86">
        <f t="shared" ca="1" si="5"/>
        <v>0</v>
      </c>
      <c r="Q41" s="82">
        <f ca="1">IF('Invoer gegevens'!$C$17=E41,I41,IF(C41=0,0,R40))</f>
        <v>0</v>
      </c>
      <c r="R41" s="84">
        <f t="shared" ca="1" si="0"/>
        <v>0</v>
      </c>
      <c r="S41" s="84">
        <f ca="1">IF('Invoer gegevens'!$C$17=E41,M41,IF(C41=0,0,T40))</f>
        <v>0</v>
      </c>
      <c r="T41" s="84">
        <f t="shared" ca="1" si="1"/>
        <v>0</v>
      </c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8"/>
      <c r="AI41" s="71">
        <f ca="1">IF(C41=1,((F41+H41)/2*Reeksen!AJ41*12)+(('Invoer gegevens'!$C$10-(F41+H41)/2)*Reeksen!AK41*12),0)</f>
        <v>0</v>
      </c>
      <c r="AJ41" s="71">
        <f ca="1">-AI41*'Invoer gegevens'!$F$28</f>
        <v>0</v>
      </c>
      <c r="AK41" s="71">
        <f t="shared" ca="1" si="2"/>
        <v>0</v>
      </c>
      <c r="AL41" s="71">
        <f ca="1">IF(C41=1,(12*((F41+H41)/2)*Reeksen!AL41)+(12*('Invoer gegevens'!$C$10-(F41+H41)/2)*Reeksen!AM41),0)</f>
        <v>0</v>
      </c>
      <c r="AM41" s="71">
        <f ca="1">-AL41*'Invoer gegevens'!$F$31</f>
        <v>0</v>
      </c>
      <c r="AN41" s="71">
        <f t="shared" ca="1" si="6"/>
        <v>0</v>
      </c>
      <c r="AO41" s="71"/>
      <c r="AP41" s="71"/>
      <c r="AQ41" s="71">
        <f ca="1">-IF(C41=1,('Invoer gegevens'!$C$10*'Invoer gegevens'!$I$33)*Reeksen!J41,0)*2</f>
        <v>0</v>
      </c>
      <c r="AR41" s="71">
        <f ca="1">-IF(C41=1,(G41*'Invoer gegevens'!$I$34)*Reeksen!J41,0)</f>
        <v>0</v>
      </c>
      <c r="AS41" s="71">
        <f ca="1">-IF(C41=1,'Invoer gegevens'!$C$10*'Invoer gegevens'!$I$35*Reeksen!L41,0)</f>
        <v>0</v>
      </c>
      <c r="AT41" s="71">
        <f ca="1">-IF(C41=1,IF(E41='Invoer gegevens'!$C$17,'Invoer gegevens'!$C$11,Q41)*Reeksen!S41*'Invoer gegevens'!$C$18*Reeksen!P41,0)</f>
        <v>0</v>
      </c>
      <c r="AU41" s="71">
        <f ca="1">-IF(C41=1,'Invoer gegevens'!$C$10*'Invoer gegevens'!$I$36*Reeksen!H41,0)</f>
        <v>0</v>
      </c>
      <c r="AV41" s="71">
        <f t="shared" si="10"/>
        <v>0</v>
      </c>
      <c r="AW41" s="71">
        <f t="shared" ca="1" si="7"/>
        <v>0</v>
      </c>
      <c r="AX41" s="71">
        <f ca="1">IF(E41&lt;'Invoer gegevens'!$C$17+15,0,IF(E41&gt;'Invoer gegevens'!$C$17+215,0,AW41))</f>
        <v>0</v>
      </c>
      <c r="AY41" s="71">
        <f ca="1">AX41/(1+'Invoer gegevens'!$F$13)^($AZ41-('Invoer gegevens'!$C$17-'Invoer gegevens'!$C$16))/(1+'Invoer gegevens'!$C$39)^('Invoer gegevens'!$C$17-'Invoer gegevens'!$C$16)</f>
        <v>0</v>
      </c>
      <c r="AZ41" s="68">
        <f ca="1">IF(E41-'Invoer gegevens'!$C$17-14.5&lt;0,0,E41-'Invoer gegevens'!$C$17-14.5)</f>
        <v>21.5</v>
      </c>
    </row>
    <row r="42" spans="2:52" x14ac:dyDescent="0.25">
      <c r="B42" s="70">
        <f t="shared" si="8"/>
        <v>38</v>
      </c>
      <c r="C42" s="67">
        <f ca="1">IF(E42-'Invoer gegevens'!$C$17&lt;0,0,1)</f>
        <v>1</v>
      </c>
      <c r="D42" s="68">
        <f t="shared" si="9"/>
        <v>37.5</v>
      </c>
      <c r="E42" s="69">
        <f ca="1">IF('Invoer gegevens'!$C$16="","",E41+1)</f>
        <v>2056</v>
      </c>
      <c r="F42" s="82">
        <f ca="1">IF('Invoer gegevens'!$C$17=E42,'Invoer gegevens'!$C$10,IF(C42=1,H41,0))</f>
        <v>0</v>
      </c>
      <c r="G42" s="83">
        <f ca="1">IF(C42&gt;=1,F42*Reeksen!C42,0)</f>
        <v>0</v>
      </c>
      <c r="H42" s="84">
        <f t="shared" ca="1" si="3"/>
        <v>0</v>
      </c>
      <c r="I42" s="85">
        <f ca="1">IF('Invoer gegevens'!$C$17=E42,'Invoer gegevens'!$C$11,IF(C42=1,L41,0))</f>
        <v>0</v>
      </c>
      <c r="J42" s="86">
        <f ca="1">IF(C42&lt;1,0,IF(Reeksen!AK42&lt;=Reeksen!AE42,I42*Reeksen!C42,0))</f>
        <v>0</v>
      </c>
      <c r="K42" s="86">
        <f ca="1">IF(C42&lt;1,0,IF(Reeksen!AK42&gt;Reeksen!AE42,I42*Reeksen!C42,0))</f>
        <v>0</v>
      </c>
      <c r="L42" s="86">
        <f t="shared" ca="1" si="4"/>
        <v>0</v>
      </c>
      <c r="M42" s="85">
        <f ca="1">IF('Invoer gegevens'!$C$17=E42,'Invoer gegevens'!$C$10-'Invoer gegevens'!$C$11,IF(C42=1,P41,0))</f>
        <v>0</v>
      </c>
      <c r="N42" s="86">
        <f ca="1">IF(C42&lt;1,0,IF(Reeksen!AK42&lt;=Reeksen!AE42,M42*Reeksen!C42,0))</f>
        <v>0</v>
      </c>
      <c r="O42" s="86">
        <f ca="1">IF(C42&lt;1,0,IF(Reeksen!AK42&gt;Reeksen!AE42,M42*Reeksen!C42,0))</f>
        <v>0</v>
      </c>
      <c r="P42" s="86">
        <f t="shared" ca="1" si="5"/>
        <v>0</v>
      </c>
      <c r="Q42" s="82">
        <f ca="1">IF('Invoer gegevens'!$C$17=E42,I42,IF(C42=0,0,R41))</f>
        <v>0</v>
      </c>
      <c r="R42" s="84">
        <f t="shared" ca="1" si="0"/>
        <v>0</v>
      </c>
      <c r="S42" s="84">
        <f ca="1">IF('Invoer gegevens'!$C$17=E42,M42,IF(C42=0,0,T41))</f>
        <v>0</v>
      </c>
      <c r="T42" s="84">
        <f t="shared" ca="1" si="1"/>
        <v>0</v>
      </c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8"/>
      <c r="AI42" s="71">
        <f ca="1">IF(C42=1,((F42+H42)/2*Reeksen!AJ42*12)+(('Invoer gegevens'!$C$10-(F42+H42)/2)*Reeksen!AK42*12),0)</f>
        <v>0</v>
      </c>
      <c r="AJ42" s="71">
        <f ca="1">-AI42*'Invoer gegevens'!$F$28</f>
        <v>0</v>
      </c>
      <c r="AK42" s="71">
        <f t="shared" ca="1" si="2"/>
        <v>0</v>
      </c>
      <c r="AL42" s="71">
        <f ca="1">IF(C42=1,(12*((F42+H42)/2)*Reeksen!AL42)+(12*('Invoer gegevens'!$C$10-(F42+H42)/2)*Reeksen!AM42),0)</f>
        <v>0</v>
      </c>
      <c r="AM42" s="71">
        <f ca="1">-AL42*'Invoer gegevens'!$F$31</f>
        <v>0</v>
      </c>
      <c r="AN42" s="71">
        <f t="shared" ca="1" si="6"/>
        <v>0</v>
      </c>
      <c r="AO42" s="71"/>
      <c r="AP42" s="71"/>
      <c r="AQ42" s="71">
        <f ca="1">-IF(C42=1,('Invoer gegevens'!$C$10*'Invoer gegevens'!$I$33)*Reeksen!J42,0)*2</f>
        <v>0</v>
      </c>
      <c r="AR42" s="71">
        <f ca="1">-IF(C42=1,(G42*'Invoer gegevens'!$I$34)*Reeksen!J42,0)</f>
        <v>0</v>
      </c>
      <c r="AS42" s="71">
        <f ca="1">-IF(C42=1,'Invoer gegevens'!$C$10*'Invoer gegevens'!$I$35*Reeksen!L42,0)</f>
        <v>0</v>
      </c>
      <c r="AT42" s="71">
        <f ca="1">-IF(C42=1,IF(E42='Invoer gegevens'!$C$17,'Invoer gegevens'!$C$11,Q42)*Reeksen!S42*'Invoer gegevens'!$C$18*Reeksen!P42,0)</f>
        <v>0</v>
      </c>
      <c r="AU42" s="71">
        <f ca="1">-IF(C42=1,'Invoer gegevens'!$C$10*'Invoer gegevens'!$I$36*Reeksen!H42,0)</f>
        <v>0</v>
      </c>
      <c r="AV42" s="71">
        <f t="shared" si="10"/>
        <v>0</v>
      </c>
      <c r="AW42" s="71">
        <f t="shared" ca="1" si="7"/>
        <v>0</v>
      </c>
      <c r="AX42" s="71">
        <f ca="1">IF(E42&lt;'Invoer gegevens'!$C$17+15,0,IF(E42&gt;'Invoer gegevens'!$C$17+215,0,AW42))</f>
        <v>0</v>
      </c>
      <c r="AY42" s="71">
        <f ca="1">AX42/(1+'Invoer gegevens'!$F$13)^($AZ42-('Invoer gegevens'!$C$17-'Invoer gegevens'!$C$16))/(1+'Invoer gegevens'!$C$39)^('Invoer gegevens'!$C$17-'Invoer gegevens'!$C$16)</f>
        <v>0</v>
      </c>
      <c r="AZ42" s="68">
        <f ca="1">IF(E42-'Invoer gegevens'!$C$17-14.5&lt;0,0,E42-'Invoer gegevens'!$C$17-14.5)</f>
        <v>22.5</v>
      </c>
    </row>
    <row r="43" spans="2:52" x14ac:dyDescent="0.25">
      <c r="B43" s="70">
        <f t="shared" si="8"/>
        <v>39</v>
      </c>
      <c r="C43" s="67">
        <f ca="1">IF(E43-'Invoer gegevens'!$C$17&lt;0,0,1)</f>
        <v>1</v>
      </c>
      <c r="D43" s="68">
        <f t="shared" si="9"/>
        <v>38.5</v>
      </c>
      <c r="E43" s="69">
        <f ca="1">IF('Invoer gegevens'!$C$16="","",E42+1)</f>
        <v>2057</v>
      </c>
      <c r="F43" s="82">
        <f ca="1">IF('Invoer gegevens'!$C$17=E43,'Invoer gegevens'!$C$10,IF(C43=1,H42,0))</f>
        <v>0</v>
      </c>
      <c r="G43" s="83">
        <f ca="1">IF(C43&gt;=1,F43*Reeksen!C43,0)</f>
        <v>0</v>
      </c>
      <c r="H43" s="84">
        <f t="shared" ca="1" si="3"/>
        <v>0</v>
      </c>
      <c r="I43" s="85">
        <f ca="1">IF('Invoer gegevens'!$C$17=E43,'Invoer gegevens'!$C$11,IF(C43=1,L42,0))</f>
        <v>0</v>
      </c>
      <c r="J43" s="86">
        <f ca="1">IF(C43&lt;1,0,IF(Reeksen!AK43&lt;=Reeksen!AE43,I43*Reeksen!C43,0))</f>
        <v>0</v>
      </c>
      <c r="K43" s="86">
        <f ca="1">IF(C43&lt;1,0,IF(Reeksen!AK43&gt;Reeksen!AE43,I43*Reeksen!C43,0))</f>
        <v>0</v>
      </c>
      <c r="L43" s="86">
        <f t="shared" ca="1" si="4"/>
        <v>0</v>
      </c>
      <c r="M43" s="85">
        <f ca="1">IF('Invoer gegevens'!$C$17=E43,'Invoer gegevens'!$C$10-'Invoer gegevens'!$C$11,IF(C43=1,P42,0))</f>
        <v>0</v>
      </c>
      <c r="N43" s="86">
        <f ca="1">IF(C43&lt;1,0,IF(Reeksen!AK43&lt;=Reeksen!AE43,M43*Reeksen!C43,0))</f>
        <v>0</v>
      </c>
      <c r="O43" s="86">
        <f ca="1">IF(C43&lt;1,0,IF(Reeksen!AK43&gt;Reeksen!AE43,M43*Reeksen!C43,0))</f>
        <v>0</v>
      </c>
      <c r="P43" s="86">
        <f t="shared" ca="1" si="5"/>
        <v>0</v>
      </c>
      <c r="Q43" s="82">
        <f ca="1">IF('Invoer gegevens'!$C$17=E43,I43,IF(C43=0,0,R42))</f>
        <v>0</v>
      </c>
      <c r="R43" s="84">
        <f t="shared" ca="1" si="0"/>
        <v>0</v>
      </c>
      <c r="S43" s="84">
        <f ca="1">IF('Invoer gegevens'!$C$17=E43,M43,IF(C43=0,0,T42))</f>
        <v>0</v>
      </c>
      <c r="T43" s="84">
        <f t="shared" ca="1" si="1"/>
        <v>0</v>
      </c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8"/>
      <c r="AI43" s="71">
        <f ca="1">IF(C43=1,((F43+H43)/2*Reeksen!AJ43*12)+(('Invoer gegevens'!$C$10-(F43+H43)/2)*Reeksen!AK43*12),0)</f>
        <v>0</v>
      </c>
      <c r="AJ43" s="71">
        <f ca="1">-AI43*'Invoer gegevens'!$F$28</f>
        <v>0</v>
      </c>
      <c r="AK43" s="71">
        <f t="shared" ca="1" si="2"/>
        <v>0</v>
      </c>
      <c r="AL43" s="71">
        <f ca="1">IF(C43=1,(12*((F43+H43)/2)*Reeksen!AL43)+(12*('Invoer gegevens'!$C$10-(F43+H43)/2)*Reeksen!AM43),0)</f>
        <v>0</v>
      </c>
      <c r="AM43" s="71">
        <f ca="1">-AL43*'Invoer gegevens'!$F$31</f>
        <v>0</v>
      </c>
      <c r="AN43" s="71">
        <f t="shared" ca="1" si="6"/>
        <v>0</v>
      </c>
      <c r="AO43" s="71"/>
      <c r="AP43" s="71"/>
      <c r="AQ43" s="71">
        <f ca="1">-IF(C43=1,('Invoer gegevens'!$C$10*'Invoer gegevens'!$I$33)*Reeksen!J43,0)*2</f>
        <v>0</v>
      </c>
      <c r="AR43" s="71">
        <f ca="1">-IF(C43=1,(G43*'Invoer gegevens'!$I$34)*Reeksen!J43,0)</f>
        <v>0</v>
      </c>
      <c r="AS43" s="71">
        <f ca="1">-IF(C43=1,'Invoer gegevens'!$C$10*'Invoer gegevens'!$I$35*Reeksen!L43,0)</f>
        <v>0</v>
      </c>
      <c r="AT43" s="71">
        <f ca="1">-IF(C43=1,IF(E43='Invoer gegevens'!$C$17,'Invoer gegevens'!$C$11,Q43)*Reeksen!S43*'Invoer gegevens'!$C$18*Reeksen!P43,0)</f>
        <v>0</v>
      </c>
      <c r="AU43" s="71">
        <f ca="1">-IF(C43=1,'Invoer gegevens'!$C$10*'Invoer gegevens'!$I$36*Reeksen!H43,0)</f>
        <v>0</v>
      </c>
      <c r="AV43" s="71">
        <f t="shared" si="10"/>
        <v>0</v>
      </c>
      <c r="AW43" s="71">
        <f t="shared" ca="1" si="7"/>
        <v>0</v>
      </c>
      <c r="AX43" s="71">
        <f ca="1">IF(E43&lt;'Invoer gegevens'!$C$17+15,0,IF(E43&gt;'Invoer gegevens'!$C$17+215,0,AW43))</f>
        <v>0</v>
      </c>
      <c r="AY43" s="71">
        <f ca="1">AX43/(1+'Invoer gegevens'!$F$13)^($AZ43-('Invoer gegevens'!$C$17-'Invoer gegevens'!$C$16))/(1+'Invoer gegevens'!$C$39)^('Invoer gegevens'!$C$17-'Invoer gegevens'!$C$16)</f>
        <v>0</v>
      </c>
      <c r="AZ43" s="68">
        <f ca="1">IF(E43-'Invoer gegevens'!$C$17-14.5&lt;0,0,E43-'Invoer gegevens'!$C$17-14.5)</f>
        <v>23.5</v>
      </c>
    </row>
    <row r="44" spans="2:52" x14ac:dyDescent="0.25">
      <c r="B44" s="70">
        <f t="shared" si="8"/>
        <v>40</v>
      </c>
      <c r="C44" s="67">
        <f ca="1">IF(E44-'Invoer gegevens'!$C$17&lt;0,0,1)</f>
        <v>1</v>
      </c>
      <c r="D44" s="68">
        <f t="shared" si="9"/>
        <v>39.5</v>
      </c>
      <c r="E44" s="69">
        <f ca="1">IF('Invoer gegevens'!$C$16="","",E43+1)</f>
        <v>2058</v>
      </c>
      <c r="F44" s="82">
        <f ca="1">IF('Invoer gegevens'!$C$17=E44,'Invoer gegevens'!$C$10,IF(C44=1,H43,0))</f>
        <v>0</v>
      </c>
      <c r="G44" s="83">
        <f ca="1">IF(C44&gt;=1,F44*Reeksen!C44,0)</f>
        <v>0</v>
      </c>
      <c r="H44" s="84">
        <f t="shared" ca="1" si="3"/>
        <v>0</v>
      </c>
      <c r="I44" s="85">
        <f ca="1">IF('Invoer gegevens'!$C$17=E44,'Invoer gegevens'!$C$11,IF(C44=1,L43,0))</f>
        <v>0</v>
      </c>
      <c r="J44" s="86">
        <f ca="1">IF(C44&lt;1,0,IF(Reeksen!AK44&lt;=Reeksen!AE44,I44*Reeksen!C44,0))</f>
        <v>0</v>
      </c>
      <c r="K44" s="86">
        <f ca="1">IF(C44&lt;1,0,IF(Reeksen!AK44&gt;Reeksen!AE44,I44*Reeksen!C44,0))</f>
        <v>0</v>
      </c>
      <c r="L44" s="86">
        <f t="shared" ca="1" si="4"/>
        <v>0</v>
      </c>
      <c r="M44" s="85">
        <f ca="1">IF('Invoer gegevens'!$C$17=E44,'Invoer gegevens'!$C$10-'Invoer gegevens'!$C$11,IF(C44=1,P43,0))</f>
        <v>0</v>
      </c>
      <c r="N44" s="86">
        <f ca="1">IF(C44&lt;1,0,IF(Reeksen!AK44&lt;=Reeksen!AE44,M44*Reeksen!C44,0))</f>
        <v>0</v>
      </c>
      <c r="O44" s="86">
        <f ca="1">IF(C44&lt;1,0,IF(Reeksen!AK44&gt;Reeksen!AE44,M44*Reeksen!C44,0))</f>
        <v>0</v>
      </c>
      <c r="P44" s="86">
        <f t="shared" ca="1" si="5"/>
        <v>0</v>
      </c>
      <c r="Q44" s="82">
        <f ca="1">IF('Invoer gegevens'!$C$17=E44,I44,IF(C44=0,0,R43))</f>
        <v>0</v>
      </c>
      <c r="R44" s="84">
        <f t="shared" ca="1" si="0"/>
        <v>0</v>
      </c>
      <c r="S44" s="84">
        <f ca="1">IF('Invoer gegevens'!$C$17=E44,M44,IF(C44=0,0,T43))</f>
        <v>0</v>
      </c>
      <c r="T44" s="84">
        <f t="shared" ca="1" si="1"/>
        <v>0</v>
      </c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8"/>
      <c r="AI44" s="71">
        <f ca="1">IF(C44=1,((F44+H44)/2*Reeksen!AJ44*12)+(('Invoer gegevens'!$C$10-(F44+H44)/2)*Reeksen!AK44*12),0)</f>
        <v>0</v>
      </c>
      <c r="AJ44" s="71">
        <f ca="1">-AI44*'Invoer gegevens'!$F$28</f>
        <v>0</v>
      </c>
      <c r="AK44" s="71">
        <f t="shared" ca="1" si="2"/>
        <v>0</v>
      </c>
      <c r="AL44" s="71">
        <f ca="1">IF(C44=1,(12*((F44+H44)/2)*Reeksen!AL44)+(12*('Invoer gegevens'!$C$10-(F44+H44)/2)*Reeksen!AM44),0)</f>
        <v>0</v>
      </c>
      <c r="AM44" s="71">
        <f ca="1">-AL44*'Invoer gegevens'!$F$31</f>
        <v>0</v>
      </c>
      <c r="AN44" s="71">
        <f t="shared" ca="1" si="6"/>
        <v>0</v>
      </c>
      <c r="AO44" s="71"/>
      <c r="AP44" s="71"/>
      <c r="AQ44" s="71">
        <f ca="1">-IF(C44=1,('Invoer gegevens'!$C$10*'Invoer gegevens'!$I$33)*Reeksen!J44,0)*2</f>
        <v>0</v>
      </c>
      <c r="AR44" s="71">
        <f ca="1">-IF(C44=1,(G44*'Invoer gegevens'!$I$34)*Reeksen!J44,0)</f>
        <v>0</v>
      </c>
      <c r="AS44" s="71">
        <f ca="1">-IF(C44=1,'Invoer gegevens'!$C$10*'Invoer gegevens'!$I$35*Reeksen!L44,0)</f>
        <v>0</v>
      </c>
      <c r="AT44" s="71">
        <f ca="1">-IF(C44=1,IF(E44='Invoer gegevens'!$C$17,'Invoer gegevens'!$C$11,Q44)*Reeksen!S44*'Invoer gegevens'!$C$18*Reeksen!P44,0)</f>
        <v>0</v>
      </c>
      <c r="AU44" s="71">
        <f ca="1">-IF(C44=1,'Invoer gegevens'!$C$10*'Invoer gegevens'!$I$36*Reeksen!H44,0)</f>
        <v>0</v>
      </c>
      <c r="AV44" s="71">
        <f t="shared" si="10"/>
        <v>0</v>
      </c>
      <c r="AW44" s="71">
        <f t="shared" ca="1" si="7"/>
        <v>0</v>
      </c>
      <c r="AX44" s="71">
        <f ca="1">IF(E44&lt;'Invoer gegevens'!$C$17+15,0,IF(E44&gt;'Invoer gegevens'!$C$17+215,0,AW44))</f>
        <v>0</v>
      </c>
      <c r="AY44" s="71">
        <f ca="1">AX44/(1+'Invoer gegevens'!$F$13)^($AZ44-('Invoer gegevens'!$C$17-'Invoer gegevens'!$C$16))/(1+'Invoer gegevens'!$C$39)^('Invoer gegevens'!$C$17-'Invoer gegevens'!$C$16)</f>
        <v>0</v>
      </c>
      <c r="AZ44" s="68">
        <f ca="1">IF(E44-'Invoer gegevens'!$C$17-14.5&lt;0,0,E44-'Invoer gegevens'!$C$17-14.5)</f>
        <v>24.5</v>
      </c>
    </row>
    <row r="45" spans="2:52" x14ac:dyDescent="0.25">
      <c r="B45" s="70">
        <f t="shared" si="8"/>
        <v>41</v>
      </c>
      <c r="C45" s="67">
        <f ca="1">IF(E45-'Invoer gegevens'!$C$17&lt;0,0,1)</f>
        <v>1</v>
      </c>
      <c r="D45" s="68">
        <f t="shared" si="9"/>
        <v>40.5</v>
      </c>
      <c r="E45" s="69">
        <f ca="1">IF('Invoer gegevens'!$C$16="","",E44+1)</f>
        <v>2059</v>
      </c>
      <c r="F45" s="82">
        <f ca="1">IF('Invoer gegevens'!$C$17=E45,'Invoer gegevens'!$C$10,IF(C45=1,H44,0))</f>
        <v>0</v>
      </c>
      <c r="G45" s="83">
        <f ca="1">IF(C45&gt;=1,F45*Reeksen!C45,0)</f>
        <v>0</v>
      </c>
      <c r="H45" s="84">
        <f t="shared" ca="1" si="3"/>
        <v>0</v>
      </c>
      <c r="I45" s="85">
        <f ca="1">IF('Invoer gegevens'!$C$17=E45,'Invoer gegevens'!$C$11,IF(C45=1,L44,0))</f>
        <v>0</v>
      </c>
      <c r="J45" s="86">
        <f ca="1">IF(C45&lt;1,0,IF(Reeksen!AK45&lt;=Reeksen!AE45,I45*Reeksen!C45,0))</f>
        <v>0</v>
      </c>
      <c r="K45" s="86">
        <f ca="1">IF(C45&lt;1,0,IF(Reeksen!AK45&gt;Reeksen!AE45,I45*Reeksen!C45,0))</f>
        <v>0</v>
      </c>
      <c r="L45" s="86">
        <f t="shared" ca="1" si="4"/>
        <v>0</v>
      </c>
      <c r="M45" s="85">
        <f ca="1">IF('Invoer gegevens'!$C$17=E45,'Invoer gegevens'!$C$10-'Invoer gegevens'!$C$11,IF(C45=1,P44,0))</f>
        <v>0</v>
      </c>
      <c r="N45" s="86">
        <f ca="1">IF(C45&lt;1,0,IF(Reeksen!AK45&lt;=Reeksen!AE45,M45*Reeksen!C45,0))</f>
        <v>0</v>
      </c>
      <c r="O45" s="86">
        <f ca="1">IF(C45&lt;1,0,IF(Reeksen!AK45&gt;Reeksen!AE45,M45*Reeksen!C45,0))</f>
        <v>0</v>
      </c>
      <c r="P45" s="86">
        <f t="shared" ca="1" si="5"/>
        <v>0</v>
      </c>
      <c r="Q45" s="82">
        <f ca="1">IF('Invoer gegevens'!$C$17=E45,I45,IF(C45=0,0,R44))</f>
        <v>0</v>
      </c>
      <c r="R45" s="84">
        <f t="shared" ca="1" si="0"/>
        <v>0</v>
      </c>
      <c r="S45" s="84">
        <f ca="1">IF('Invoer gegevens'!$C$17=E45,M45,IF(C45=0,0,T44))</f>
        <v>0</v>
      </c>
      <c r="T45" s="84">
        <f t="shared" ca="1" si="1"/>
        <v>0</v>
      </c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8"/>
      <c r="AI45" s="71">
        <f ca="1">IF(C45=1,((F45+H45)/2*Reeksen!AJ45*12)+(('Invoer gegevens'!$C$10-(F45+H45)/2)*Reeksen!AK45*12),0)</f>
        <v>0</v>
      </c>
      <c r="AJ45" s="71">
        <f ca="1">-AI45*'Invoer gegevens'!$F$28</f>
        <v>0</v>
      </c>
      <c r="AK45" s="71">
        <f t="shared" ca="1" si="2"/>
        <v>0</v>
      </c>
      <c r="AL45" s="71">
        <f ca="1">IF(C45=1,(12*((F45+H45)/2)*Reeksen!AL45)+(12*('Invoer gegevens'!$C$10-(F45+H45)/2)*Reeksen!AM45),0)</f>
        <v>0</v>
      </c>
      <c r="AM45" s="71">
        <f ca="1">-AL45*'Invoer gegevens'!$F$31</f>
        <v>0</v>
      </c>
      <c r="AN45" s="71">
        <f t="shared" ca="1" si="6"/>
        <v>0</v>
      </c>
      <c r="AO45" s="71"/>
      <c r="AP45" s="71"/>
      <c r="AQ45" s="71">
        <f ca="1">-IF(C45=1,('Invoer gegevens'!$C$10*'Invoer gegevens'!$I$33)*Reeksen!J45,0)*2</f>
        <v>0</v>
      </c>
      <c r="AR45" s="71">
        <f ca="1">-IF(C45=1,(G45*'Invoer gegevens'!$I$34)*Reeksen!J45,0)</f>
        <v>0</v>
      </c>
      <c r="AS45" s="71">
        <f ca="1">-IF(C45=1,'Invoer gegevens'!$C$10*'Invoer gegevens'!$I$35*Reeksen!L45,0)</f>
        <v>0</v>
      </c>
      <c r="AT45" s="71">
        <f ca="1">-IF(C45=1,IF(E45='Invoer gegevens'!$C$17,'Invoer gegevens'!$C$11,Q45)*Reeksen!S45*'Invoer gegevens'!$C$18*Reeksen!P45,0)</f>
        <v>0</v>
      </c>
      <c r="AU45" s="71">
        <f ca="1">-IF(C45=1,'Invoer gegevens'!$C$10*'Invoer gegevens'!$I$36*Reeksen!H45,0)</f>
        <v>0</v>
      </c>
      <c r="AV45" s="71">
        <f t="shared" si="10"/>
        <v>0</v>
      </c>
      <c r="AW45" s="71">
        <f t="shared" ca="1" si="7"/>
        <v>0</v>
      </c>
      <c r="AX45" s="71">
        <f ca="1">IF(E45&lt;'Invoer gegevens'!$C$17+15,0,IF(E45&gt;'Invoer gegevens'!$C$17+215,0,AW45))</f>
        <v>0</v>
      </c>
      <c r="AY45" s="71">
        <f ca="1">AX45/(1+'Invoer gegevens'!$F$13)^($AZ45-('Invoer gegevens'!$C$17-'Invoer gegevens'!$C$16))/(1+'Invoer gegevens'!$C$39)^('Invoer gegevens'!$C$17-'Invoer gegevens'!$C$16)</f>
        <v>0</v>
      </c>
      <c r="AZ45" s="68">
        <f ca="1">IF(E45-'Invoer gegevens'!$C$17-14.5&lt;0,0,E45-'Invoer gegevens'!$C$17-14.5)</f>
        <v>25.5</v>
      </c>
    </row>
    <row r="46" spans="2:52" x14ac:dyDescent="0.25">
      <c r="B46" s="70">
        <f t="shared" si="8"/>
        <v>42</v>
      </c>
      <c r="C46" s="67">
        <f ca="1">IF(E46-'Invoer gegevens'!$C$17&lt;0,0,1)</f>
        <v>1</v>
      </c>
      <c r="D46" s="68">
        <f t="shared" si="9"/>
        <v>41.5</v>
      </c>
      <c r="E46" s="69">
        <f ca="1">IF('Invoer gegevens'!$C$16="","",E45+1)</f>
        <v>2060</v>
      </c>
      <c r="F46" s="82">
        <f ca="1">IF('Invoer gegevens'!$C$17=E46,'Invoer gegevens'!$C$10,IF(C46=1,H45,0))</f>
        <v>0</v>
      </c>
      <c r="G46" s="83">
        <f ca="1">IF(C46&gt;=1,F46*Reeksen!C46,0)</f>
        <v>0</v>
      </c>
      <c r="H46" s="84">
        <f t="shared" ca="1" si="3"/>
        <v>0</v>
      </c>
      <c r="I46" s="85">
        <f ca="1">IF('Invoer gegevens'!$C$17=E46,'Invoer gegevens'!$C$11,IF(C46=1,L45,0))</f>
        <v>0</v>
      </c>
      <c r="J46" s="86">
        <f ca="1">IF(C46&lt;1,0,IF(Reeksen!AK46&lt;=Reeksen!AE46,I46*Reeksen!C46,0))</f>
        <v>0</v>
      </c>
      <c r="K46" s="86">
        <f ca="1">IF(C46&lt;1,0,IF(Reeksen!AK46&gt;Reeksen!AE46,I46*Reeksen!C46,0))</f>
        <v>0</v>
      </c>
      <c r="L46" s="86">
        <f t="shared" ca="1" si="4"/>
        <v>0</v>
      </c>
      <c r="M46" s="85">
        <f ca="1">IF('Invoer gegevens'!$C$17=E46,'Invoer gegevens'!$C$10-'Invoer gegevens'!$C$11,IF(C46=1,P45,0))</f>
        <v>0</v>
      </c>
      <c r="N46" s="86">
        <f ca="1">IF(C46&lt;1,0,IF(Reeksen!AK46&lt;=Reeksen!AE46,M46*Reeksen!C46,0))</f>
        <v>0</v>
      </c>
      <c r="O46" s="86">
        <f ca="1">IF(C46&lt;1,0,IF(Reeksen!AK46&gt;Reeksen!AE46,M46*Reeksen!C46,0))</f>
        <v>0</v>
      </c>
      <c r="P46" s="86">
        <f t="shared" ca="1" si="5"/>
        <v>0</v>
      </c>
      <c r="Q46" s="82">
        <f ca="1">IF('Invoer gegevens'!$C$17=E46,I46,IF(C46=0,0,R45))</f>
        <v>0</v>
      </c>
      <c r="R46" s="84">
        <f t="shared" ca="1" si="0"/>
        <v>0</v>
      </c>
      <c r="S46" s="84">
        <f ca="1">IF('Invoer gegevens'!$C$17=E46,M46,IF(C46=0,0,T45))</f>
        <v>0</v>
      </c>
      <c r="T46" s="84">
        <f t="shared" ca="1" si="1"/>
        <v>0</v>
      </c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8"/>
      <c r="AI46" s="71">
        <f ca="1">IF(C46=1,((F46+H46)/2*Reeksen!AJ46*12)+(('Invoer gegevens'!$C$10-(F46+H46)/2)*Reeksen!AK46*12),0)</f>
        <v>0</v>
      </c>
      <c r="AJ46" s="71">
        <f ca="1">-AI46*'Invoer gegevens'!$F$28</f>
        <v>0</v>
      </c>
      <c r="AK46" s="71">
        <f t="shared" ca="1" si="2"/>
        <v>0</v>
      </c>
      <c r="AL46" s="71">
        <f ca="1">IF(C46=1,(12*((F46+H46)/2)*Reeksen!AL46)+(12*('Invoer gegevens'!$C$10-(F46+H46)/2)*Reeksen!AM46),0)</f>
        <v>0</v>
      </c>
      <c r="AM46" s="71">
        <f ca="1">-AL46*'Invoer gegevens'!$F$31</f>
        <v>0</v>
      </c>
      <c r="AN46" s="71">
        <f t="shared" ca="1" si="6"/>
        <v>0</v>
      </c>
      <c r="AO46" s="71"/>
      <c r="AP46" s="71"/>
      <c r="AQ46" s="71">
        <f ca="1">-IF(C46=1,('Invoer gegevens'!$C$10*'Invoer gegevens'!$I$33)*Reeksen!J46,0)*2</f>
        <v>0</v>
      </c>
      <c r="AR46" s="71">
        <f ca="1">-IF(C46=1,(G46*'Invoer gegevens'!$I$34)*Reeksen!J46,0)</f>
        <v>0</v>
      </c>
      <c r="AS46" s="71">
        <f ca="1">-IF(C46=1,'Invoer gegevens'!$C$10*'Invoer gegevens'!$I$35*Reeksen!L46,0)</f>
        <v>0</v>
      </c>
      <c r="AT46" s="71">
        <f ca="1">-IF(C46=1,IF(E46='Invoer gegevens'!$C$17,'Invoer gegevens'!$C$11,Q46)*Reeksen!S46*'Invoer gegevens'!$C$18*Reeksen!P46,0)</f>
        <v>0</v>
      </c>
      <c r="AU46" s="71">
        <f ca="1">-IF(C46=1,'Invoer gegevens'!$C$10*'Invoer gegevens'!$I$36*Reeksen!H46,0)</f>
        <v>0</v>
      </c>
      <c r="AV46" s="71">
        <f t="shared" si="10"/>
        <v>0</v>
      </c>
      <c r="AW46" s="71">
        <f t="shared" ca="1" si="7"/>
        <v>0</v>
      </c>
      <c r="AX46" s="71">
        <f ca="1">IF(E46&lt;'Invoer gegevens'!$C$17+15,0,IF(E46&gt;'Invoer gegevens'!$C$17+215,0,AW46))</f>
        <v>0</v>
      </c>
      <c r="AY46" s="71">
        <f ca="1">AX46/(1+'Invoer gegevens'!$F$13)^($AZ46-('Invoer gegevens'!$C$17-'Invoer gegevens'!$C$16))/(1+'Invoer gegevens'!$C$39)^('Invoer gegevens'!$C$17-'Invoer gegevens'!$C$16)</f>
        <v>0</v>
      </c>
      <c r="AZ46" s="68">
        <f ca="1">IF(E46-'Invoer gegevens'!$C$17-14.5&lt;0,0,E46-'Invoer gegevens'!$C$17-14.5)</f>
        <v>26.5</v>
      </c>
    </row>
    <row r="47" spans="2:52" x14ac:dyDescent="0.25">
      <c r="B47" s="70">
        <f t="shared" si="8"/>
        <v>43</v>
      </c>
      <c r="C47" s="67">
        <f ca="1">IF(E47-'Invoer gegevens'!$C$17&lt;0,0,1)</f>
        <v>1</v>
      </c>
      <c r="D47" s="68">
        <f t="shared" si="9"/>
        <v>42.5</v>
      </c>
      <c r="E47" s="69">
        <f ca="1">IF('Invoer gegevens'!$C$16="","",E46+1)</f>
        <v>2061</v>
      </c>
      <c r="F47" s="82">
        <f ca="1">IF('Invoer gegevens'!$C$17=E47,'Invoer gegevens'!$C$10,IF(C47=1,H46,0))</f>
        <v>0</v>
      </c>
      <c r="G47" s="83">
        <f ca="1">IF(C47&gt;=1,F47*Reeksen!C47,0)</f>
        <v>0</v>
      </c>
      <c r="H47" s="84">
        <f t="shared" ca="1" si="3"/>
        <v>0</v>
      </c>
      <c r="I47" s="85">
        <f ca="1">IF('Invoer gegevens'!$C$17=E47,'Invoer gegevens'!$C$11,IF(C47=1,L46,0))</f>
        <v>0</v>
      </c>
      <c r="J47" s="86">
        <f ca="1">IF(C47&lt;1,0,IF(Reeksen!AK47&lt;=Reeksen!AE47,I47*Reeksen!C47,0))</f>
        <v>0</v>
      </c>
      <c r="K47" s="86">
        <f ca="1">IF(C47&lt;1,0,IF(Reeksen!AK47&gt;Reeksen!AE47,I47*Reeksen!C47,0))</f>
        <v>0</v>
      </c>
      <c r="L47" s="86">
        <f t="shared" ca="1" si="4"/>
        <v>0</v>
      </c>
      <c r="M47" s="85">
        <f ca="1">IF('Invoer gegevens'!$C$17=E47,'Invoer gegevens'!$C$10-'Invoer gegevens'!$C$11,IF(C47=1,P46,0))</f>
        <v>0</v>
      </c>
      <c r="N47" s="86">
        <f ca="1">IF(C47&lt;1,0,IF(Reeksen!AK47&lt;=Reeksen!AE47,M47*Reeksen!C47,0))</f>
        <v>0</v>
      </c>
      <c r="O47" s="86">
        <f ca="1">IF(C47&lt;1,0,IF(Reeksen!AK47&gt;Reeksen!AE47,M47*Reeksen!C47,0))</f>
        <v>0</v>
      </c>
      <c r="P47" s="86">
        <f t="shared" ca="1" si="5"/>
        <v>0</v>
      </c>
      <c r="Q47" s="82">
        <f ca="1">IF('Invoer gegevens'!$C$17=E47,I47,IF(C47=0,0,R46))</f>
        <v>0</v>
      </c>
      <c r="R47" s="84">
        <f t="shared" ca="1" si="0"/>
        <v>0</v>
      </c>
      <c r="S47" s="84">
        <f ca="1">IF('Invoer gegevens'!$C$17=E47,M47,IF(C47=0,0,T46))</f>
        <v>0</v>
      </c>
      <c r="T47" s="84">
        <f t="shared" ca="1" si="1"/>
        <v>0</v>
      </c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8"/>
      <c r="AI47" s="71">
        <f ca="1">IF(C47=1,((F47+H47)/2*Reeksen!AJ47*12)+(('Invoer gegevens'!$C$10-(F47+H47)/2)*Reeksen!AK47*12),0)</f>
        <v>0</v>
      </c>
      <c r="AJ47" s="71">
        <f ca="1">-AI47*'Invoer gegevens'!$F$28</f>
        <v>0</v>
      </c>
      <c r="AK47" s="71">
        <f t="shared" ca="1" si="2"/>
        <v>0</v>
      </c>
      <c r="AL47" s="71">
        <f ca="1">IF(C47=1,(12*((F47+H47)/2)*Reeksen!AL47)+(12*('Invoer gegevens'!$C$10-(F47+H47)/2)*Reeksen!AM47),0)</f>
        <v>0</v>
      </c>
      <c r="AM47" s="71">
        <f ca="1">-AL47*'Invoer gegevens'!$F$31</f>
        <v>0</v>
      </c>
      <c r="AN47" s="71">
        <f t="shared" ca="1" si="6"/>
        <v>0</v>
      </c>
      <c r="AO47" s="71"/>
      <c r="AP47" s="71"/>
      <c r="AQ47" s="71">
        <f ca="1">-IF(C47=1,('Invoer gegevens'!$C$10*'Invoer gegevens'!$I$33)*Reeksen!J47,0)*2</f>
        <v>0</v>
      </c>
      <c r="AR47" s="71">
        <f ca="1">-IF(C47=1,(G47*'Invoer gegevens'!$I$34)*Reeksen!J47,0)</f>
        <v>0</v>
      </c>
      <c r="AS47" s="71">
        <f ca="1">-IF(C47=1,'Invoer gegevens'!$C$10*'Invoer gegevens'!$I$35*Reeksen!L47,0)</f>
        <v>0</v>
      </c>
      <c r="AT47" s="71">
        <f ca="1">-IF(C47=1,IF(E47='Invoer gegevens'!$C$17,'Invoer gegevens'!$C$11,Q47)*Reeksen!S47*'Invoer gegevens'!$C$18*Reeksen!P47,0)</f>
        <v>0</v>
      </c>
      <c r="AU47" s="71">
        <f ca="1">-IF(C47=1,'Invoer gegevens'!$C$10*'Invoer gegevens'!$I$36*Reeksen!H47,0)</f>
        <v>0</v>
      </c>
      <c r="AV47" s="71">
        <f t="shared" si="10"/>
        <v>0</v>
      </c>
      <c r="AW47" s="71">
        <f t="shared" ca="1" si="7"/>
        <v>0</v>
      </c>
      <c r="AX47" s="71">
        <f ca="1">IF(E47&lt;'Invoer gegevens'!$C$17+15,0,IF(E47&gt;'Invoer gegevens'!$C$17+215,0,AW47))</f>
        <v>0</v>
      </c>
      <c r="AY47" s="71">
        <f ca="1">AX47/(1+'Invoer gegevens'!$F$13)^($AZ47-('Invoer gegevens'!$C$17-'Invoer gegevens'!$C$16))/(1+'Invoer gegevens'!$C$39)^('Invoer gegevens'!$C$17-'Invoer gegevens'!$C$16)</f>
        <v>0</v>
      </c>
      <c r="AZ47" s="68">
        <f ca="1">IF(E47-'Invoer gegevens'!$C$17-14.5&lt;0,0,E47-'Invoer gegevens'!$C$17-14.5)</f>
        <v>27.5</v>
      </c>
    </row>
    <row r="48" spans="2:52" x14ac:dyDescent="0.25">
      <c r="B48" s="70">
        <f t="shared" si="8"/>
        <v>44</v>
      </c>
      <c r="C48" s="67">
        <f ca="1">IF(E48-'Invoer gegevens'!$C$17&lt;0,0,1)</f>
        <v>1</v>
      </c>
      <c r="D48" s="68">
        <f t="shared" si="9"/>
        <v>43.5</v>
      </c>
      <c r="E48" s="69">
        <f ca="1">IF('Invoer gegevens'!$C$16="","",E47+1)</f>
        <v>2062</v>
      </c>
      <c r="F48" s="82">
        <f ca="1">IF('Invoer gegevens'!$C$17=E48,'Invoer gegevens'!$C$10,IF(C48=1,H47,0))</f>
        <v>0</v>
      </c>
      <c r="G48" s="83">
        <f ca="1">IF(C48&gt;=1,F48*Reeksen!C48,0)</f>
        <v>0</v>
      </c>
      <c r="H48" s="84">
        <f t="shared" ca="1" si="3"/>
        <v>0</v>
      </c>
      <c r="I48" s="85">
        <f ca="1">IF('Invoer gegevens'!$C$17=E48,'Invoer gegevens'!$C$11,IF(C48=1,L47,0))</f>
        <v>0</v>
      </c>
      <c r="J48" s="86">
        <f ca="1">IF(C48&lt;1,0,IF(Reeksen!AK48&lt;=Reeksen!AE48,I48*Reeksen!C48,0))</f>
        <v>0</v>
      </c>
      <c r="K48" s="86">
        <f ca="1">IF(C48&lt;1,0,IF(Reeksen!AK48&gt;Reeksen!AE48,I48*Reeksen!C48,0))</f>
        <v>0</v>
      </c>
      <c r="L48" s="86">
        <f t="shared" ca="1" si="4"/>
        <v>0</v>
      </c>
      <c r="M48" s="85">
        <f ca="1">IF('Invoer gegevens'!$C$17=E48,'Invoer gegevens'!$C$10-'Invoer gegevens'!$C$11,IF(C48=1,P47,0))</f>
        <v>0</v>
      </c>
      <c r="N48" s="86">
        <f ca="1">IF(C48&lt;1,0,IF(Reeksen!AK48&lt;=Reeksen!AE48,M48*Reeksen!C48,0))</f>
        <v>0</v>
      </c>
      <c r="O48" s="86">
        <f ca="1">IF(C48&lt;1,0,IF(Reeksen!AK48&gt;Reeksen!AE48,M48*Reeksen!C48,0))</f>
        <v>0</v>
      </c>
      <c r="P48" s="86">
        <f t="shared" ca="1" si="5"/>
        <v>0</v>
      </c>
      <c r="Q48" s="82">
        <f ca="1">IF('Invoer gegevens'!$C$17=E48,I48,IF(C48=0,0,R47))</f>
        <v>0</v>
      </c>
      <c r="R48" s="84">
        <f t="shared" ca="1" si="0"/>
        <v>0</v>
      </c>
      <c r="S48" s="84">
        <f ca="1">IF('Invoer gegevens'!$C$17=E48,M48,IF(C48=0,0,T47))</f>
        <v>0</v>
      </c>
      <c r="T48" s="84">
        <f t="shared" ca="1" si="1"/>
        <v>0</v>
      </c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8"/>
      <c r="AI48" s="71">
        <f ca="1">IF(C48=1,((F48+H48)/2*Reeksen!AJ48*12)+(('Invoer gegevens'!$C$10-(F48+H48)/2)*Reeksen!AK48*12),0)</f>
        <v>0</v>
      </c>
      <c r="AJ48" s="71">
        <f ca="1">-AI48*'Invoer gegevens'!$F$28</f>
        <v>0</v>
      </c>
      <c r="AK48" s="71">
        <f t="shared" ca="1" si="2"/>
        <v>0</v>
      </c>
      <c r="AL48" s="71">
        <f ca="1">IF(C48=1,(12*((F48+H48)/2)*Reeksen!AL48)+(12*('Invoer gegevens'!$C$10-(F48+H48)/2)*Reeksen!AM48),0)</f>
        <v>0</v>
      </c>
      <c r="AM48" s="71">
        <f ca="1">-AL48*'Invoer gegevens'!$F$31</f>
        <v>0</v>
      </c>
      <c r="AN48" s="71">
        <f t="shared" ca="1" si="6"/>
        <v>0</v>
      </c>
      <c r="AO48" s="71"/>
      <c r="AP48" s="71"/>
      <c r="AQ48" s="71">
        <f ca="1">-IF(C48=1,('Invoer gegevens'!$C$10*'Invoer gegevens'!$I$33)*Reeksen!J48,0)*2</f>
        <v>0</v>
      </c>
      <c r="AR48" s="71">
        <f ca="1">-IF(C48=1,(G48*'Invoer gegevens'!$I$34)*Reeksen!J48,0)</f>
        <v>0</v>
      </c>
      <c r="AS48" s="71">
        <f ca="1">-IF(C48=1,'Invoer gegevens'!$C$10*'Invoer gegevens'!$I$35*Reeksen!L48,0)</f>
        <v>0</v>
      </c>
      <c r="AT48" s="71">
        <f ca="1">-IF(C48=1,IF(E48='Invoer gegevens'!$C$17,'Invoer gegevens'!$C$11,Q48)*Reeksen!S48*'Invoer gegevens'!$C$18*Reeksen!P48,0)</f>
        <v>0</v>
      </c>
      <c r="AU48" s="71">
        <f ca="1">-IF(C48=1,'Invoer gegevens'!$C$10*'Invoer gegevens'!$I$36*Reeksen!H48,0)</f>
        <v>0</v>
      </c>
      <c r="AV48" s="71">
        <f t="shared" si="10"/>
        <v>0</v>
      </c>
      <c r="AW48" s="71">
        <f t="shared" ca="1" si="7"/>
        <v>0</v>
      </c>
      <c r="AX48" s="71">
        <f ca="1">IF(E48&lt;'Invoer gegevens'!$C$17+15,0,IF(E48&gt;'Invoer gegevens'!$C$17+215,0,AW48))</f>
        <v>0</v>
      </c>
      <c r="AY48" s="71">
        <f ca="1">AX48/(1+'Invoer gegevens'!$F$13)^($AZ48-('Invoer gegevens'!$C$17-'Invoer gegevens'!$C$16))/(1+'Invoer gegevens'!$C$39)^('Invoer gegevens'!$C$17-'Invoer gegevens'!$C$16)</f>
        <v>0</v>
      </c>
      <c r="AZ48" s="68">
        <f ca="1">IF(E48-'Invoer gegevens'!$C$17-14.5&lt;0,0,E48-'Invoer gegevens'!$C$17-14.5)</f>
        <v>28.5</v>
      </c>
    </row>
    <row r="49" spans="2:52" x14ac:dyDescent="0.25">
      <c r="B49" s="70">
        <f t="shared" si="8"/>
        <v>45</v>
      </c>
      <c r="C49" s="67">
        <f ca="1">IF(E49-'Invoer gegevens'!$C$17&lt;0,0,1)</f>
        <v>1</v>
      </c>
      <c r="D49" s="68">
        <f t="shared" si="9"/>
        <v>44.5</v>
      </c>
      <c r="E49" s="69">
        <f ca="1">IF('Invoer gegevens'!$C$16="","",E48+1)</f>
        <v>2063</v>
      </c>
      <c r="F49" s="82">
        <f ca="1">IF('Invoer gegevens'!$C$17=E49,'Invoer gegevens'!$C$10,IF(C49=1,H48,0))</f>
        <v>0</v>
      </c>
      <c r="G49" s="83">
        <f ca="1">IF(C49&gt;=1,F49*Reeksen!C49,0)</f>
        <v>0</v>
      </c>
      <c r="H49" s="84">
        <f t="shared" ca="1" si="3"/>
        <v>0</v>
      </c>
      <c r="I49" s="85">
        <f ca="1">IF('Invoer gegevens'!$C$17=E49,'Invoer gegevens'!$C$11,IF(C49=1,L48,0))</f>
        <v>0</v>
      </c>
      <c r="J49" s="86">
        <f ca="1">IF(C49&lt;1,0,IF(Reeksen!AK49&lt;=Reeksen!AE49,I49*Reeksen!C49,0))</f>
        <v>0</v>
      </c>
      <c r="K49" s="86">
        <f ca="1">IF(C49&lt;1,0,IF(Reeksen!AK49&gt;Reeksen!AE49,I49*Reeksen!C49,0))</f>
        <v>0</v>
      </c>
      <c r="L49" s="86">
        <f t="shared" ca="1" si="4"/>
        <v>0</v>
      </c>
      <c r="M49" s="85">
        <f ca="1">IF('Invoer gegevens'!$C$17=E49,'Invoer gegevens'!$C$10-'Invoer gegevens'!$C$11,IF(C49=1,P48,0))</f>
        <v>0</v>
      </c>
      <c r="N49" s="86">
        <f ca="1">IF(C49&lt;1,0,IF(Reeksen!AK49&lt;=Reeksen!AE49,M49*Reeksen!C49,0))</f>
        <v>0</v>
      </c>
      <c r="O49" s="86">
        <f ca="1">IF(C49&lt;1,0,IF(Reeksen!AK49&gt;Reeksen!AE49,M49*Reeksen!C49,0))</f>
        <v>0</v>
      </c>
      <c r="P49" s="86">
        <f t="shared" ca="1" si="5"/>
        <v>0</v>
      </c>
      <c r="Q49" s="82">
        <f ca="1">IF('Invoer gegevens'!$C$17=E49,I49,IF(C49=0,0,R48))</f>
        <v>0</v>
      </c>
      <c r="R49" s="84">
        <f t="shared" ca="1" si="0"/>
        <v>0</v>
      </c>
      <c r="S49" s="84">
        <f ca="1">IF('Invoer gegevens'!$C$17=E49,M49,IF(C49=0,0,T48))</f>
        <v>0</v>
      </c>
      <c r="T49" s="84">
        <f t="shared" ca="1" si="1"/>
        <v>0</v>
      </c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8"/>
      <c r="AI49" s="71">
        <f ca="1">IF(C49=1,((F49+H49)/2*Reeksen!AJ49*12)+(('Invoer gegevens'!$C$10-(F49+H49)/2)*Reeksen!AK49*12),0)</f>
        <v>0</v>
      </c>
      <c r="AJ49" s="71">
        <f ca="1">-AI49*'Invoer gegevens'!$F$28</f>
        <v>0</v>
      </c>
      <c r="AK49" s="71">
        <f t="shared" ca="1" si="2"/>
        <v>0</v>
      </c>
      <c r="AL49" s="71">
        <f ca="1">IF(C49=1,(12*((F49+H49)/2)*Reeksen!AL49)+(12*('Invoer gegevens'!$C$10-(F49+H49)/2)*Reeksen!AM49),0)</f>
        <v>0</v>
      </c>
      <c r="AM49" s="71">
        <f ca="1">-AL49*'Invoer gegevens'!$F$31</f>
        <v>0</v>
      </c>
      <c r="AN49" s="71">
        <f t="shared" ca="1" si="6"/>
        <v>0</v>
      </c>
      <c r="AO49" s="71"/>
      <c r="AP49" s="71"/>
      <c r="AQ49" s="71">
        <f ca="1">-IF(C49=1,('Invoer gegevens'!$C$10*'Invoer gegevens'!$I$33)*Reeksen!J49,0)*2</f>
        <v>0</v>
      </c>
      <c r="AR49" s="71">
        <f ca="1">-IF(C49=1,(G49*'Invoer gegevens'!$I$34)*Reeksen!J49,0)</f>
        <v>0</v>
      </c>
      <c r="AS49" s="71">
        <f ca="1">-IF(C49=1,'Invoer gegevens'!$C$10*'Invoer gegevens'!$I$35*Reeksen!L49,0)</f>
        <v>0</v>
      </c>
      <c r="AT49" s="71">
        <f ca="1">-IF(C49=1,IF(E49='Invoer gegevens'!$C$17,'Invoer gegevens'!$C$11,Q49)*Reeksen!S49*'Invoer gegevens'!$C$18*Reeksen!P49,0)</f>
        <v>0</v>
      </c>
      <c r="AU49" s="71">
        <f ca="1">-IF(C49=1,'Invoer gegevens'!$C$10*'Invoer gegevens'!$I$36*Reeksen!H49,0)</f>
        <v>0</v>
      </c>
      <c r="AV49" s="71">
        <f t="shared" si="10"/>
        <v>0</v>
      </c>
      <c r="AW49" s="71">
        <f t="shared" ca="1" si="7"/>
        <v>0</v>
      </c>
      <c r="AX49" s="71">
        <f ca="1">IF(E49&lt;'Invoer gegevens'!$C$17+15,0,IF(E49&gt;'Invoer gegevens'!$C$17+215,0,AW49))</f>
        <v>0</v>
      </c>
      <c r="AY49" s="71">
        <f ca="1">AX49/(1+'Invoer gegevens'!$F$13)^($AZ49-('Invoer gegevens'!$C$17-'Invoer gegevens'!$C$16))/(1+'Invoer gegevens'!$C$39)^('Invoer gegevens'!$C$17-'Invoer gegevens'!$C$16)</f>
        <v>0</v>
      </c>
      <c r="AZ49" s="68">
        <f ca="1">IF(E49-'Invoer gegevens'!$C$17-14.5&lt;0,0,E49-'Invoer gegevens'!$C$17-14.5)</f>
        <v>29.5</v>
      </c>
    </row>
    <row r="50" spans="2:52" x14ac:dyDescent="0.25">
      <c r="B50" s="70">
        <f t="shared" si="8"/>
        <v>46</v>
      </c>
      <c r="C50" s="67">
        <f ca="1">IF(E50-'Invoer gegevens'!$C$17&lt;0,0,1)</f>
        <v>1</v>
      </c>
      <c r="D50" s="68">
        <f t="shared" si="9"/>
        <v>45.5</v>
      </c>
      <c r="E50" s="69">
        <f ca="1">IF('Invoer gegevens'!$C$16="","",E49+1)</f>
        <v>2064</v>
      </c>
      <c r="F50" s="82">
        <f ca="1">IF('Invoer gegevens'!$C$17=E50,'Invoer gegevens'!$C$10,IF(C50=1,H49,0))</f>
        <v>0</v>
      </c>
      <c r="G50" s="83">
        <f ca="1">IF(C50&gt;=1,F50*Reeksen!C50,0)</f>
        <v>0</v>
      </c>
      <c r="H50" s="84">
        <f t="shared" ca="1" si="3"/>
        <v>0</v>
      </c>
      <c r="I50" s="85">
        <f ca="1">IF('Invoer gegevens'!$C$17=E50,'Invoer gegevens'!$C$11,IF(C50=1,L49,0))</f>
        <v>0</v>
      </c>
      <c r="J50" s="86">
        <f ca="1">IF(C50&lt;1,0,IF(Reeksen!AK50&lt;=Reeksen!AE50,I50*Reeksen!C50,0))</f>
        <v>0</v>
      </c>
      <c r="K50" s="86">
        <f ca="1">IF(C50&lt;1,0,IF(Reeksen!AK50&gt;Reeksen!AE50,I50*Reeksen!C50,0))</f>
        <v>0</v>
      </c>
      <c r="L50" s="86">
        <f t="shared" ca="1" si="4"/>
        <v>0</v>
      </c>
      <c r="M50" s="85">
        <f ca="1">IF('Invoer gegevens'!$C$17=E50,'Invoer gegevens'!$C$10-'Invoer gegevens'!$C$11,IF(C50=1,P49,0))</f>
        <v>0</v>
      </c>
      <c r="N50" s="86">
        <f ca="1">IF(C50&lt;1,0,IF(Reeksen!AK50&lt;=Reeksen!AE50,M50*Reeksen!C50,0))</f>
        <v>0</v>
      </c>
      <c r="O50" s="86">
        <f ca="1">IF(C50&lt;1,0,IF(Reeksen!AK50&gt;Reeksen!AE50,M50*Reeksen!C50,0))</f>
        <v>0</v>
      </c>
      <c r="P50" s="86">
        <f t="shared" ca="1" si="5"/>
        <v>0</v>
      </c>
      <c r="Q50" s="82">
        <f ca="1">IF('Invoer gegevens'!$C$17=E50,I50,IF(C50=0,0,R49))</f>
        <v>0</v>
      </c>
      <c r="R50" s="84">
        <f t="shared" ca="1" si="0"/>
        <v>0</v>
      </c>
      <c r="S50" s="84">
        <f ca="1">IF('Invoer gegevens'!$C$17=E50,M50,IF(C50=0,0,T49))</f>
        <v>0</v>
      </c>
      <c r="T50" s="84">
        <f t="shared" ca="1" si="1"/>
        <v>0</v>
      </c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8"/>
      <c r="AI50" s="71">
        <f ca="1">IF(C50=1,((F50+H50)/2*Reeksen!AJ50*12)+(('Invoer gegevens'!$C$10-(F50+H50)/2)*Reeksen!AK50*12),0)</f>
        <v>0</v>
      </c>
      <c r="AJ50" s="71">
        <f ca="1">-AI50*'Invoer gegevens'!$F$28</f>
        <v>0</v>
      </c>
      <c r="AK50" s="71">
        <f t="shared" ca="1" si="2"/>
        <v>0</v>
      </c>
      <c r="AL50" s="71">
        <f ca="1">IF(C50=1,(12*((F50+H50)/2)*Reeksen!AL50)+(12*('Invoer gegevens'!$C$10-(F50+H50)/2)*Reeksen!AM50),0)</f>
        <v>0</v>
      </c>
      <c r="AM50" s="71">
        <f ca="1">-AL50*'Invoer gegevens'!$F$31</f>
        <v>0</v>
      </c>
      <c r="AN50" s="71">
        <f t="shared" ca="1" si="6"/>
        <v>0</v>
      </c>
      <c r="AO50" s="71"/>
      <c r="AP50" s="71"/>
      <c r="AQ50" s="71">
        <f ca="1">-IF(C50=1,('Invoer gegevens'!$C$10*'Invoer gegevens'!$I$33)*Reeksen!J50,0)*2</f>
        <v>0</v>
      </c>
      <c r="AR50" s="71">
        <f ca="1">-IF(C50=1,(G50*'Invoer gegevens'!$I$34)*Reeksen!J50,0)</f>
        <v>0</v>
      </c>
      <c r="AS50" s="71">
        <f ca="1">-IF(C50=1,'Invoer gegevens'!$C$10*'Invoer gegevens'!$I$35*Reeksen!L50,0)</f>
        <v>0</v>
      </c>
      <c r="AT50" s="71">
        <f ca="1">-IF(C50=1,IF(E50='Invoer gegevens'!$C$17,'Invoer gegevens'!$C$11,Q50)*Reeksen!S50*'Invoer gegevens'!$C$18*Reeksen!P50,0)</f>
        <v>0</v>
      </c>
      <c r="AU50" s="71">
        <f ca="1">-IF(C50=1,'Invoer gegevens'!$C$10*'Invoer gegevens'!$I$36*Reeksen!H50,0)</f>
        <v>0</v>
      </c>
      <c r="AV50" s="71">
        <f t="shared" si="10"/>
        <v>0</v>
      </c>
      <c r="AW50" s="71">
        <f t="shared" ca="1" si="7"/>
        <v>0</v>
      </c>
      <c r="AX50" s="71">
        <f ca="1">IF(E50&lt;'Invoer gegevens'!$C$17+15,0,IF(E50&gt;'Invoer gegevens'!$C$17+215,0,AW50))</f>
        <v>0</v>
      </c>
      <c r="AY50" s="71">
        <f ca="1">AX50/(1+'Invoer gegevens'!$F$13)^($AZ50-('Invoer gegevens'!$C$17-'Invoer gegevens'!$C$16))/(1+'Invoer gegevens'!$C$39)^('Invoer gegevens'!$C$17-'Invoer gegevens'!$C$16)</f>
        <v>0</v>
      </c>
      <c r="AZ50" s="68">
        <f ca="1">IF(E50-'Invoer gegevens'!$C$17-14.5&lt;0,0,E50-'Invoer gegevens'!$C$17-14.5)</f>
        <v>30.5</v>
      </c>
    </row>
    <row r="51" spans="2:52" x14ac:dyDescent="0.25">
      <c r="B51" s="70">
        <f t="shared" si="8"/>
        <v>47</v>
      </c>
      <c r="C51" s="67">
        <f ca="1">IF(E51-'Invoer gegevens'!$C$17&lt;0,0,1)</f>
        <v>1</v>
      </c>
      <c r="D51" s="68">
        <f t="shared" si="9"/>
        <v>46.5</v>
      </c>
      <c r="E51" s="69">
        <f ca="1">IF('Invoer gegevens'!$C$16="","",E50+1)</f>
        <v>2065</v>
      </c>
      <c r="F51" s="82">
        <f ca="1">IF('Invoer gegevens'!$C$17=E51,'Invoer gegevens'!$C$10,IF(C51=1,H50,0))</f>
        <v>0</v>
      </c>
      <c r="G51" s="83">
        <f ca="1">IF(C51&gt;=1,F51*Reeksen!C51,0)</f>
        <v>0</v>
      </c>
      <c r="H51" s="84">
        <f t="shared" ca="1" si="3"/>
        <v>0</v>
      </c>
      <c r="I51" s="85">
        <f ca="1">IF('Invoer gegevens'!$C$17=E51,'Invoer gegevens'!$C$11,IF(C51=1,L50,0))</f>
        <v>0</v>
      </c>
      <c r="J51" s="86">
        <f ca="1">IF(C51&lt;1,0,IF(Reeksen!AK51&lt;=Reeksen!AE51,I51*Reeksen!C51,0))</f>
        <v>0</v>
      </c>
      <c r="K51" s="86">
        <f ca="1">IF(C51&lt;1,0,IF(Reeksen!AK51&gt;Reeksen!AE51,I51*Reeksen!C51,0))</f>
        <v>0</v>
      </c>
      <c r="L51" s="86">
        <f t="shared" ca="1" si="4"/>
        <v>0</v>
      </c>
      <c r="M51" s="85">
        <f ca="1">IF('Invoer gegevens'!$C$17=E51,'Invoer gegevens'!$C$10-'Invoer gegevens'!$C$11,IF(C51=1,P50,0))</f>
        <v>0</v>
      </c>
      <c r="N51" s="86">
        <f ca="1">IF(C51&lt;1,0,IF(Reeksen!AK51&lt;=Reeksen!AE51,M51*Reeksen!C51,0))</f>
        <v>0</v>
      </c>
      <c r="O51" s="86">
        <f ca="1">IF(C51&lt;1,0,IF(Reeksen!AK51&gt;Reeksen!AE51,M51*Reeksen!C51,0))</f>
        <v>0</v>
      </c>
      <c r="P51" s="86">
        <f t="shared" ca="1" si="5"/>
        <v>0</v>
      </c>
      <c r="Q51" s="82">
        <f ca="1">IF('Invoer gegevens'!$C$17=E51,I51,IF(C51=0,0,R50))</f>
        <v>0</v>
      </c>
      <c r="R51" s="84">
        <f t="shared" ca="1" si="0"/>
        <v>0</v>
      </c>
      <c r="S51" s="84">
        <f ca="1">IF('Invoer gegevens'!$C$17=E51,M51,IF(C51=0,0,T50))</f>
        <v>0</v>
      </c>
      <c r="T51" s="84">
        <f t="shared" ca="1" si="1"/>
        <v>0</v>
      </c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8"/>
      <c r="AI51" s="71">
        <f ca="1">IF(C51=1,((F51+H51)/2*Reeksen!AJ51*12)+(('Invoer gegevens'!$C$10-(F51+H51)/2)*Reeksen!AK51*12),0)</f>
        <v>0</v>
      </c>
      <c r="AJ51" s="71">
        <f ca="1">-AI51*'Invoer gegevens'!$F$28</f>
        <v>0</v>
      </c>
      <c r="AK51" s="71">
        <f t="shared" ca="1" si="2"/>
        <v>0</v>
      </c>
      <c r="AL51" s="71">
        <f ca="1">IF(C51=1,(12*((F51+H51)/2)*Reeksen!AL51)+(12*('Invoer gegevens'!$C$10-(F51+H51)/2)*Reeksen!AM51),0)</f>
        <v>0</v>
      </c>
      <c r="AM51" s="71">
        <f ca="1">-AL51*'Invoer gegevens'!$F$31</f>
        <v>0</v>
      </c>
      <c r="AN51" s="71">
        <f t="shared" ca="1" si="6"/>
        <v>0</v>
      </c>
      <c r="AO51" s="71"/>
      <c r="AP51" s="71"/>
      <c r="AQ51" s="71">
        <f ca="1">-IF(C51=1,('Invoer gegevens'!$C$10*'Invoer gegevens'!$I$33)*Reeksen!J51,0)*2</f>
        <v>0</v>
      </c>
      <c r="AR51" s="71">
        <f ca="1">-IF(C51=1,(G51*'Invoer gegevens'!$I$34)*Reeksen!J51,0)</f>
        <v>0</v>
      </c>
      <c r="AS51" s="71">
        <f ca="1">-IF(C51=1,'Invoer gegevens'!$C$10*'Invoer gegevens'!$I$35*Reeksen!L51,0)</f>
        <v>0</v>
      </c>
      <c r="AT51" s="71">
        <f ca="1">-IF(C51=1,IF(E51='Invoer gegevens'!$C$17,'Invoer gegevens'!$C$11,Q51)*Reeksen!S51*'Invoer gegevens'!$C$18*Reeksen!P51,0)</f>
        <v>0</v>
      </c>
      <c r="AU51" s="71">
        <f ca="1">-IF(C51=1,'Invoer gegevens'!$C$10*'Invoer gegevens'!$I$36*Reeksen!H51,0)</f>
        <v>0</v>
      </c>
      <c r="AV51" s="71">
        <f t="shared" si="10"/>
        <v>0</v>
      </c>
      <c r="AW51" s="71">
        <f t="shared" ca="1" si="7"/>
        <v>0</v>
      </c>
      <c r="AX51" s="71">
        <f ca="1">IF(E51&lt;'Invoer gegevens'!$C$17+15,0,IF(E51&gt;'Invoer gegevens'!$C$17+215,0,AW51))</f>
        <v>0</v>
      </c>
      <c r="AY51" s="71">
        <f ca="1">AX51/(1+'Invoer gegevens'!$F$13)^($AZ51-('Invoer gegevens'!$C$17-'Invoer gegevens'!$C$16))/(1+'Invoer gegevens'!$C$39)^('Invoer gegevens'!$C$17-'Invoer gegevens'!$C$16)</f>
        <v>0</v>
      </c>
      <c r="AZ51" s="68">
        <f ca="1">IF(E51-'Invoer gegevens'!$C$17-14.5&lt;0,0,E51-'Invoer gegevens'!$C$17-14.5)</f>
        <v>31.5</v>
      </c>
    </row>
    <row r="52" spans="2:52" x14ac:dyDescent="0.25">
      <c r="B52" s="70">
        <f t="shared" si="8"/>
        <v>48</v>
      </c>
      <c r="C52" s="67">
        <f ca="1">IF(E52-'Invoer gegevens'!$C$17&lt;0,0,1)</f>
        <v>1</v>
      </c>
      <c r="D52" s="68">
        <f t="shared" si="9"/>
        <v>47.5</v>
      </c>
      <c r="E52" s="69">
        <f ca="1">IF('Invoer gegevens'!$C$16="","",E51+1)</f>
        <v>2066</v>
      </c>
      <c r="F52" s="82">
        <f ca="1">IF('Invoer gegevens'!$C$17=E52,'Invoer gegevens'!$C$10,IF(C52=1,H51,0))</f>
        <v>0</v>
      </c>
      <c r="G52" s="83">
        <f ca="1">IF(C52&gt;=1,F52*Reeksen!C52,0)</f>
        <v>0</v>
      </c>
      <c r="H52" s="84">
        <f t="shared" ca="1" si="3"/>
        <v>0</v>
      </c>
      <c r="I52" s="85">
        <f ca="1">IF('Invoer gegevens'!$C$17=E52,'Invoer gegevens'!$C$11,IF(C52=1,L51,0))</f>
        <v>0</v>
      </c>
      <c r="J52" s="86">
        <f ca="1">IF(C52&lt;1,0,IF(Reeksen!AK52&lt;=Reeksen!AE52,I52*Reeksen!C52,0))</f>
        <v>0</v>
      </c>
      <c r="K52" s="86">
        <f ca="1">IF(C52&lt;1,0,IF(Reeksen!AK52&gt;Reeksen!AE52,I52*Reeksen!C52,0))</f>
        <v>0</v>
      </c>
      <c r="L52" s="86">
        <f t="shared" ca="1" si="4"/>
        <v>0</v>
      </c>
      <c r="M52" s="85">
        <f ca="1">IF('Invoer gegevens'!$C$17=E52,'Invoer gegevens'!$C$10-'Invoer gegevens'!$C$11,IF(C52=1,P51,0))</f>
        <v>0</v>
      </c>
      <c r="N52" s="86">
        <f ca="1">IF(C52&lt;1,0,IF(Reeksen!AK52&lt;=Reeksen!AE52,M52*Reeksen!C52,0))</f>
        <v>0</v>
      </c>
      <c r="O52" s="86">
        <f ca="1">IF(C52&lt;1,0,IF(Reeksen!AK52&gt;Reeksen!AE52,M52*Reeksen!C52,0))</f>
        <v>0</v>
      </c>
      <c r="P52" s="86">
        <f t="shared" ca="1" si="5"/>
        <v>0</v>
      </c>
      <c r="Q52" s="82">
        <f ca="1">IF('Invoer gegevens'!$C$17=E52,I52,IF(C52=0,0,R51))</f>
        <v>0</v>
      </c>
      <c r="R52" s="84">
        <f t="shared" ca="1" si="0"/>
        <v>0</v>
      </c>
      <c r="S52" s="84">
        <f ca="1">IF('Invoer gegevens'!$C$17=E52,M52,IF(C52=0,0,T51))</f>
        <v>0</v>
      </c>
      <c r="T52" s="84">
        <f t="shared" ca="1" si="1"/>
        <v>0</v>
      </c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8"/>
      <c r="AI52" s="71">
        <f ca="1">IF(C52=1,((F52+H52)/2*Reeksen!AJ52*12)+(('Invoer gegevens'!$C$10-(F52+H52)/2)*Reeksen!AK52*12),0)</f>
        <v>0</v>
      </c>
      <c r="AJ52" s="71">
        <f ca="1">-AI52*'Invoer gegevens'!$F$28</f>
        <v>0</v>
      </c>
      <c r="AK52" s="71">
        <f t="shared" ca="1" si="2"/>
        <v>0</v>
      </c>
      <c r="AL52" s="71">
        <f ca="1">IF(C52=1,(12*((F52+H52)/2)*Reeksen!AL52)+(12*('Invoer gegevens'!$C$10-(F52+H52)/2)*Reeksen!AM52),0)</f>
        <v>0</v>
      </c>
      <c r="AM52" s="71">
        <f ca="1">-AL52*'Invoer gegevens'!$F$31</f>
        <v>0</v>
      </c>
      <c r="AN52" s="71">
        <f t="shared" ca="1" si="6"/>
        <v>0</v>
      </c>
      <c r="AO52" s="71"/>
      <c r="AP52" s="71"/>
      <c r="AQ52" s="71">
        <f ca="1">-IF(C52=1,('Invoer gegevens'!$C$10*'Invoer gegevens'!$I$33)*Reeksen!J52,0)*2</f>
        <v>0</v>
      </c>
      <c r="AR52" s="71">
        <f ca="1">-IF(C52=1,(G52*'Invoer gegevens'!$I$34)*Reeksen!J52,0)</f>
        <v>0</v>
      </c>
      <c r="AS52" s="71">
        <f ca="1">-IF(C52=1,'Invoer gegevens'!$C$10*'Invoer gegevens'!$I$35*Reeksen!L52,0)</f>
        <v>0</v>
      </c>
      <c r="AT52" s="71">
        <f ca="1">-IF(C52=1,IF(E52='Invoer gegevens'!$C$17,'Invoer gegevens'!$C$11,Q52)*Reeksen!S52*'Invoer gegevens'!$C$18*Reeksen!P52,0)</f>
        <v>0</v>
      </c>
      <c r="AU52" s="71">
        <f ca="1">-IF(C52=1,'Invoer gegevens'!$C$10*'Invoer gegevens'!$I$36*Reeksen!H52,0)</f>
        <v>0</v>
      </c>
      <c r="AV52" s="71">
        <f t="shared" si="10"/>
        <v>0</v>
      </c>
      <c r="AW52" s="71">
        <f t="shared" ca="1" si="7"/>
        <v>0</v>
      </c>
      <c r="AX52" s="71">
        <f ca="1">IF(E52&lt;'Invoer gegevens'!$C$17+15,0,IF(E52&gt;'Invoer gegevens'!$C$17+215,0,AW52))</f>
        <v>0</v>
      </c>
      <c r="AY52" s="71">
        <f ca="1">AX52/(1+'Invoer gegevens'!$F$13)^($AZ52-('Invoer gegevens'!$C$17-'Invoer gegevens'!$C$16))/(1+'Invoer gegevens'!$C$39)^('Invoer gegevens'!$C$17-'Invoer gegevens'!$C$16)</f>
        <v>0</v>
      </c>
      <c r="AZ52" s="68">
        <f ca="1">IF(E52-'Invoer gegevens'!$C$17-14.5&lt;0,0,E52-'Invoer gegevens'!$C$17-14.5)</f>
        <v>32.5</v>
      </c>
    </row>
    <row r="53" spans="2:52" x14ac:dyDescent="0.25">
      <c r="B53" s="70">
        <f t="shared" si="8"/>
        <v>49</v>
      </c>
      <c r="C53" s="67">
        <f ca="1">IF(E53-'Invoer gegevens'!$C$17&lt;0,0,1)</f>
        <v>1</v>
      </c>
      <c r="D53" s="68">
        <f t="shared" si="9"/>
        <v>48.5</v>
      </c>
      <c r="E53" s="69">
        <f ca="1">IF('Invoer gegevens'!$C$16="","",E52+1)</f>
        <v>2067</v>
      </c>
      <c r="F53" s="82">
        <f ca="1">IF('Invoer gegevens'!$C$17=E53,'Invoer gegevens'!$C$10,IF(C53=1,H52,0))</f>
        <v>0</v>
      </c>
      <c r="G53" s="83">
        <f ca="1">IF(C53&gt;=1,F53*Reeksen!C53,0)</f>
        <v>0</v>
      </c>
      <c r="H53" s="84">
        <f t="shared" ca="1" si="3"/>
        <v>0</v>
      </c>
      <c r="I53" s="85">
        <f ca="1">IF('Invoer gegevens'!$C$17=E53,'Invoer gegevens'!$C$11,IF(C53=1,L52,0))</f>
        <v>0</v>
      </c>
      <c r="J53" s="86">
        <f ca="1">IF(C53&lt;1,0,IF(Reeksen!AK53&lt;=Reeksen!AE53,I53*Reeksen!C53,0))</f>
        <v>0</v>
      </c>
      <c r="K53" s="86">
        <f ca="1">IF(C53&lt;1,0,IF(Reeksen!AK53&gt;Reeksen!AE53,I53*Reeksen!C53,0))</f>
        <v>0</v>
      </c>
      <c r="L53" s="86">
        <f t="shared" ca="1" si="4"/>
        <v>0</v>
      </c>
      <c r="M53" s="85">
        <f ca="1">IF('Invoer gegevens'!$C$17=E53,'Invoer gegevens'!$C$10-'Invoer gegevens'!$C$11,IF(C53=1,P52,0))</f>
        <v>0</v>
      </c>
      <c r="N53" s="86">
        <f ca="1">IF(C53&lt;1,0,IF(Reeksen!AK53&lt;=Reeksen!AE53,M53*Reeksen!C53,0))</f>
        <v>0</v>
      </c>
      <c r="O53" s="86">
        <f ca="1">IF(C53&lt;1,0,IF(Reeksen!AK53&gt;Reeksen!AE53,M53*Reeksen!C53,0))</f>
        <v>0</v>
      </c>
      <c r="P53" s="86">
        <f t="shared" ca="1" si="5"/>
        <v>0</v>
      </c>
      <c r="Q53" s="82">
        <f ca="1">IF('Invoer gegevens'!$C$17=E53,I53,IF(C53=0,0,R52))</f>
        <v>0</v>
      </c>
      <c r="R53" s="84">
        <f t="shared" ca="1" si="0"/>
        <v>0</v>
      </c>
      <c r="S53" s="84">
        <f ca="1">IF('Invoer gegevens'!$C$17=E53,M53,IF(C53=0,0,T52))</f>
        <v>0</v>
      </c>
      <c r="T53" s="84">
        <f t="shared" ca="1" si="1"/>
        <v>0</v>
      </c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8"/>
      <c r="AI53" s="71">
        <f ca="1">IF(C53=1,((F53+H53)/2*Reeksen!AJ53*12)+(('Invoer gegevens'!$C$10-(F53+H53)/2)*Reeksen!AK53*12),0)</f>
        <v>0</v>
      </c>
      <c r="AJ53" s="71">
        <f ca="1">-AI53*'Invoer gegevens'!$F$28</f>
        <v>0</v>
      </c>
      <c r="AK53" s="71">
        <f t="shared" ca="1" si="2"/>
        <v>0</v>
      </c>
      <c r="AL53" s="71">
        <f ca="1">IF(C53=1,(12*((F53+H53)/2)*Reeksen!AL53)+(12*('Invoer gegevens'!$C$10-(F53+H53)/2)*Reeksen!AM53),0)</f>
        <v>0</v>
      </c>
      <c r="AM53" s="71">
        <f ca="1">-AL53*'Invoer gegevens'!$F$31</f>
        <v>0</v>
      </c>
      <c r="AN53" s="71">
        <f t="shared" ca="1" si="6"/>
        <v>0</v>
      </c>
      <c r="AO53" s="71"/>
      <c r="AP53" s="71"/>
      <c r="AQ53" s="71">
        <f ca="1">-IF(C53=1,('Invoer gegevens'!$C$10*'Invoer gegevens'!$I$33)*Reeksen!J53,0)*2</f>
        <v>0</v>
      </c>
      <c r="AR53" s="71">
        <f ca="1">-IF(C53=1,(G53*'Invoer gegevens'!$I$34)*Reeksen!J53,0)</f>
        <v>0</v>
      </c>
      <c r="AS53" s="71">
        <f ca="1">-IF(C53=1,'Invoer gegevens'!$C$10*'Invoer gegevens'!$I$35*Reeksen!L53,0)</f>
        <v>0</v>
      </c>
      <c r="AT53" s="71">
        <f ca="1">-IF(C53=1,IF(E53='Invoer gegevens'!$C$17,'Invoer gegevens'!$C$11,Q53)*Reeksen!S53*'Invoer gegevens'!$C$18*Reeksen!P53,0)</f>
        <v>0</v>
      </c>
      <c r="AU53" s="71">
        <f ca="1">-IF(C53=1,'Invoer gegevens'!$C$10*'Invoer gegevens'!$I$36*Reeksen!H53,0)</f>
        <v>0</v>
      </c>
      <c r="AV53" s="71">
        <f t="shared" si="10"/>
        <v>0</v>
      </c>
      <c r="AW53" s="71">
        <f t="shared" ca="1" si="7"/>
        <v>0</v>
      </c>
      <c r="AX53" s="71">
        <f ca="1">IF(E53&lt;'Invoer gegevens'!$C$17+15,0,IF(E53&gt;'Invoer gegevens'!$C$17+215,0,AW53))</f>
        <v>0</v>
      </c>
      <c r="AY53" s="71">
        <f ca="1">AX53/(1+'Invoer gegevens'!$F$13)^($AZ53-('Invoer gegevens'!$C$17-'Invoer gegevens'!$C$16))/(1+'Invoer gegevens'!$C$39)^('Invoer gegevens'!$C$17-'Invoer gegevens'!$C$16)</f>
        <v>0</v>
      </c>
      <c r="AZ53" s="68">
        <f ca="1">IF(E53-'Invoer gegevens'!$C$17-14.5&lt;0,0,E53-'Invoer gegevens'!$C$17-14.5)</f>
        <v>33.5</v>
      </c>
    </row>
    <row r="54" spans="2:52" x14ac:dyDescent="0.25">
      <c r="B54" s="70">
        <f t="shared" si="8"/>
        <v>50</v>
      </c>
      <c r="C54" s="67">
        <f ca="1">IF(E54-'Invoer gegevens'!$C$17&lt;0,0,1)</f>
        <v>1</v>
      </c>
      <c r="D54" s="68">
        <f t="shared" si="9"/>
        <v>49.5</v>
      </c>
      <c r="E54" s="69">
        <f ca="1">IF('Invoer gegevens'!$C$16="","",E53+1)</f>
        <v>2068</v>
      </c>
      <c r="F54" s="82">
        <f ca="1">IF('Invoer gegevens'!$C$17=E54,'Invoer gegevens'!$C$10,IF(C54=1,H53,0))</f>
        <v>0</v>
      </c>
      <c r="G54" s="83">
        <f ca="1">IF(C54&gt;=1,F54*Reeksen!C54,0)</f>
        <v>0</v>
      </c>
      <c r="H54" s="84">
        <f t="shared" ca="1" si="3"/>
        <v>0</v>
      </c>
      <c r="I54" s="85">
        <f ca="1">IF('Invoer gegevens'!$C$17=E54,'Invoer gegevens'!$C$11,IF(C54=1,L53,0))</f>
        <v>0</v>
      </c>
      <c r="J54" s="86">
        <f ca="1">IF(C54&lt;1,0,IF(Reeksen!AK54&lt;=Reeksen!AE54,I54*Reeksen!C54,0))</f>
        <v>0</v>
      </c>
      <c r="K54" s="86">
        <f ca="1">IF(C54&lt;1,0,IF(Reeksen!AK54&gt;Reeksen!AE54,I54*Reeksen!C54,0))</f>
        <v>0</v>
      </c>
      <c r="L54" s="86">
        <f t="shared" ca="1" si="4"/>
        <v>0</v>
      </c>
      <c r="M54" s="85">
        <f ca="1">IF('Invoer gegevens'!$C$17=E54,'Invoer gegevens'!$C$10-'Invoer gegevens'!$C$11,IF(C54=1,P53,0))</f>
        <v>0</v>
      </c>
      <c r="N54" s="86">
        <f ca="1">IF(C54&lt;1,0,IF(Reeksen!AK54&lt;=Reeksen!AE54,M54*Reeksen!C54,0))</f>
        <v>0</v>
      </c>
      <c r="O54" s="86">
        <f ca="1">IF(C54&lt;1,0,IF(Reeksen!AK54&gt;Reeksen!AE54,M54*Reeksen!C54,0))</f>
        <v>0</v>
      </c>
      <c r="P54" s="86">
        <f t="shared" ca="1" si="5"/>
        <v>0</v>
      </c>
      <c r="Q54" s="82">
        <f ca="1">IF('Invoer gegevens'!$C$17=E54,I54,IF(C54=0,0,R53))</f>
        <v>0</v>
      </c>
      <c r="R54" s="84">
        <f t="shared" ca="1" si="0"/>
        <v>0</v>
      </c>
      <c r="S54" s="84">
        <f ca="1">IF('Invoer gegevens'!$C$17=E54,M54,IF(C54=0,0,T53))</f>
        <v>0</v>
      </c>
      <c r="T54" s="84">
        <f t="shared" ca="1" si="1"/>
        <v>0</v>
      </c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8"/>
      <c r="AI54" s="71">
        <f ca="1">IF(C54=1,((F54+H54)/2*Reeksen!AJ54*12)+(('Invoer gegevens'!$C$10-(F54+H54)/2)*Reeksen!AK54*12),0)</f>
        <v>0</v>
      </c>
      <c r="AJ54" s="71">
        <f ca="1">-AI54*'Invoer gegevens'!$F$28</f>
        <v>0</v>
      </c>
      <c r="AK54" s="71">
        <f t="shared" ca="1" si="2"/>
        <v>0</v>
      </c>
      <c r="AL54" s="71">
        <f ca="1">IF(C54=1,(12*((F54+H54)/2)*Reeksen!AL54)+(12*('Invoer gegevens'!$C$10-(F54+H54)/2)*Reeksen!AM54),0)</f>
        <v>0</v>
      </c>
      <c r="AM54" s="71">
        <f ca="1">-AL54*'Invoer gegevens'!$F$31</f>
        <v>0</v>
      </c>
      <c r="AN54" s="71">
        <f t="shared" ca="1" si="6"/>
        <v>0</v>
      </c>
      <c r="AO54" s="71"/>
      <c r="AP54" s="71"/>
      <c r="AQ54" s="71">
        <f ca="1">-IF(C54=1,('Invoer gegevens'!$C$10*'Invoer gegevens'!$I$33)*Reeksen!J54,0)*2</f>
        <v>0</v>
      </c>
      <c r="AR54" s="71">
        <f ca="1">-IF(C54=1,(G54*'Invoer gegevens'!$I$34)*Reeksen!J54,0)</f>
        <v>0</v>
      </c>
      <c r="AS54" s="71">
        <f ca="1">-IF(C54=1,'Invoer gegevens'!$C$10*'Invoer gegevens'!$I$35*Reeksen!L54,0)</f>
        <v>0</v>
      </c>
      <c r="AT54" s="71">
        <f ca="1">-IF(C54=1,IF(E54='Invoer gegevens'!$C$17,'Invoer gegevens'!$C$11,Q54)*Reeksen!S54*'Invoer gegevens'!$C$18*Reeksen!P54,0)</f>
        <v>0</v>
      </c>
      <c r="AU54" s="71">
        <f ca="1">-IF(C54=1,'Invoer gegevens'!$C$10*'Invoer gegevens'!$I$36*Reeksen!H54,0)</f>
        <v>0</v>
      </c>
      <c r="AV54" s="71">
        <f t="shared" si="10"/>
        <v>0</v>
      </c>
      <c r="AW54" s="71">
        <f t="shared" ca="1" si="7"/>
        <v>0</v>
      </c>
      <c r="AX54" s="71">
        <f ca="1">IF(E54&lt;'Invoer gegevens'!$C$17+15,0,IF(E54&gt;'Invoer gegevens'!$C$17+215,0,AW54))</f>
        <v>0</v>
      </c>
      <c r="AY54" s="71">
        <f ca="1">AX54/(1+'Invoer gegevens'!$F$13)^($AZ54-('Invoer gegevens'!$C$17-'Invoer gegevens'!$C$16))/(1+'Invoer gegevens'!$C$39)^('Invoer gegevens'!$C$17-'Invoer gegevens'!$C$16)</f>
        <v>0</v>
      </c>
      <c r="AZ54" s="68">
        <f ca="1">IF(E54-'Invoer gegevens'!$C$17-14.5&lt;0,0,E54-'Invoer gegevens'!$C$17-14.5)</f>
        <v>34.5</v>
      </c>
    </row>
    <row r="55" spans="2:52" x14ac:dyDescent="0.25">
      <c r="B55" s="70">
        <f t="shared" si="8"/>
        <v>51</v>
      </c>
      <c r="C55" s="67">
        <f ca="1">IF(E55-'Invoer gegevens'!$C$17&lt;0,0,1)</f>
        <v>1</v>
      </c>
      <c r="D55" s="68">
        <f t="shared" si="9"/>
        <v>50.5</v>
      </c>
      <c r="E55" s="69">
        <f ca="1">IF('Invoer gegevens'!$C$16="","",E54+1)</f>
        <v>2069</v>
      </c>
      <c r="F55" s="82">
        <f ca="1">IF('Invoer gegevens'!$C$17=E55,'Invoer gegevens'!$C$10,IF(C55=1,H54,0))</f>
        <v>0</v>
      </c>
      <c r="G55" s="83">
        <f ca="1">IF(C55&gt;=1,F55*Reeksen!C55,0)</f>
        <v>0</v>
      </c>
      <c r="H55" s="84">
        <f t="shared" ca="1" si="3"/>
        <v>0</v>
      </c>
      <c r="I55" s="85">
        <f ca="1">IF('Invoer gegevens'!$C$17=E55,'Invoer gegevens'!$C$11,IF(C55=1,L54,0))</f>
        <v>0</v>
      </c>
      <c r="J55" s="86">
        <f ca="1">IF(C55&lt;1,0,IF(Reeksen!AK55&lt;=Reeksen!AE55,I55*Reeksen!C55,0))</f>
        <v>0</v>
      </c>
      <c r="K55" s="86">
        <f ca="1">IF(C55&lt;1,0,IF(Reeksen!AK55&gt;Reeksen!AE55,I55*Reeksen!C55,0))</f>
        <v>0</v>
      </c>
      <c r="L55" s="86">
        <f t="shared" ca="1" si="4"/>
        <v>0</v>
      </c>
      <c r="M55" s="85">
        <f ca="1">IF('Invoer gegevens'!$C$17=E55,'Invoer gegevens'!$C$10-'Invoer gegevens'!$C$11,IF(C55=1,P54,0))</f>
        <v>0</v>
      </c>
      <c r="N55" s="86">
        <f ca="1">IF(C55&lt;1,0,IF(Reeksen!AK55&lt;=Reeksen!AE55,M55*Reeksen!C55,0))</f>
        <v>0</v>
      </c>
      <c r="O55" s="86">
        <f ca="1">IF(C55&lt;1,0,IF(Reeksen!AK55&gt;Reeksen!AE55,M55*Reeksen!C55,0))</f>
        <v>0</v>
      </c>
      <c r="P55" s="86">
        <f t="shared" ca="1" si="5"/>
        <v>0</v>
      </c>
      <c r="Q55" s="82">
        <f ca="1">IF('Invoer gegevens'!$C$17=E55,I55,IF(C55=0,0,R54))</f>
        <v>0</v>
      </c>
      <c r="R55" s="84">
        <f t="shared" ca="1" si="0"/>
        <v>0</v>
      </c>
      <c r="S55" s="84">
        <f ca="1">IF('Invoer gegevens'!$C$17=E55,M55,IF(C55=0,0,T54))</f>
        <v>0</v>
      </c>
      <c r="T55" s="84">
        <f t="shared" ca="1" si="1"/>
        <v>0</v>
      </c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8"/>
      <c r="AI55" s="71">
        <f ca="1">IF(C55=1,((F55+H55)/2*Reeksen!AJ55*12)+(('Invoer gegevens'!$C$10-(F55+H55)/2)*Reeksen!AK55*12),0)</f>
        <v>0</v>
      </c>
      <c r="AJ55" s="71">
        <f ca="1">-AI55*'Invoer gegevens'!$F$28</f>
        <v>0</v>
      </c>
      <c r="AK55" s="71">
        <f t="shared" ca="1" si="2"/>
        <v>0</v>
      </c>
      <c r="AL55" s="71">
        <f ca="1">IF(C55=1,(12*((F55+H55)/2)*Reeksen!AL55)+(12*('Invoer gegevens'!$C$10-(F55+H55)/2)*Reeksen!AM55),0)</f>
        <v>0</v>
      </c>
      <c r="AM55" s="71">
        <f ca="1">-AL55*'Invoer gegevens'!$F$31</f>
        <v>0</v>
      </c>
      <c r="AN55" s="71">
        <f t="shared" ca="1" si="6"/>
        <v>0</v>
      </c>
      <c r="AO55" s="71"/>
      <c r="AP55" s="71"/>
      <c r="AQ55" s="71">
        <f ca="1">-IF(C55=1,('Invoer gegevens'!$C$10*'Invoer gegevens'!$I$33)*Reeksen!J55,0)*2</f>
        <v>0</v>
      </c>
      <c r="AR55" s="71">
        <f ca="1">-IF(C55=1,(G55*'Invoer gegevens'!$I$34)*Reeksen!J55,0)</f>
        <v>0</v>
      </c>
      <c r="AS55" s="71">
        <f ca="1">-IF(C55=1,'Invoer gegevens'!$C$10*'Invoer gegevens'!$I$35*Reeksen!L55,0)</f>
        <v>0</v>
      </c>
      <c r="AT55" s="71">
        <f ca="1">-IF(C55=1,IF(E55='Invoer gegevens'!$C$17,'Invoer gegevens'!$C$11,Q55)*Reeksen!S55*'Invoer gegevens'!$C$18*Reeksen!P55,0)</f>
        <v>0</v>
      </c>
      <c r="AU55" s="71">
        <f ca="1">-IF(C55=1,'Invoer gegevens'!$C$10*'Invoer gegevens'!$I$36*Reeksen!H55,0)</f>
        <v>0</v>
      </c>
      <c r="AV55" s="71">
        <f t="shared" si="10"/>
        <v>0</v>
      </c>
      <c r="AW55" s="71">
        <f t="shared" ca="1" si="7"/>
        <v>0</v>
      </c>
      <c r="AX55" s="71">
        <f ca="1">IF(E55&lt;'Invoer gegevens'!$C$17+15,0,IF(E55&gt;'Invoer gegevens'!$C$17+215,0,AW55))</f>
        <v>0</v>
      </c>
      <c r="AY55" s="71">
        <f ca="1">AX55/(1+'Invoer gegevens'!$F$13)^($AZ55-('Invoer gegevens'!$C$17-'Invoer gegevens'!$C$16))/(1+'Invoer gegevens'!$C$39)^('Invoer gegevens'!$C$17-'Invoer gegevens'!$C$16)</f>
        <v>0</v>
      </c>
      <c r="AZ55" s="68">
        <f ca="1">IF(E55-'Invoer gegevens'!$C$17-14.5&lt;0,0,E55-'Invoer gegevens'!$C$17-14.5)</f>
        <v>35.5</v>
      </c>
    </row>
    <row r="56" spans="2:52" x14ac:dyDescent="0.25">
      <c r="B56" s="70">
        <f t="shared" si="8"/>
        <v>52</v>
      </c>
      <c r="C56" s="67">
        <f ca="1">IF(E56-'Invoer gegevens'!$C$17&lt;0,0,1)</f>
        <v>1</v>
      </c>
      <c r="D56" s="68">
        <f t="shared" si="9"/>
        <v>51.5</v>
      </c>
      <c r="E56" s="69">
        <f ca="1">IF('Invoer gegevens'!$C$16="","",E55+1)</f>
        <v>2070</v>
      </c>
      <c r="F56" s="82">
        <f ca="1">IF('Invoer gegevens'!$C$17=E56,'Invoer gegevens'!$C$10,IF(C56=1,H55,0))</f>
        <v>0</v>
      </c>
      <c r="G56" s="83">
        <f ca="1">IF(C56&gt;=1,F56*Reeksen!C56,0)</f>
        <v>0</v>
      </c>
      <c r="H56" s="84">
        <f t="shared" ca="1" si="3"/>
        <v>0</v>
      </c>
      <c r="I56" s="85">
        <f ca="1">IF('Invoer gegevens'!$C$17=E56,'Invoer gegevens'!$C$11,IF(C56=1,L55,0))</f>
        <v>0</v>
      </c>
      <c r="J56" s="86">
        <f ca="1">IF(C56&lt;1,0,IF(Reeksen!AK56&lt;=Reeksen!AE56,I56*Reeksen!C56,0))</f>
        <v>0</v>
      </c>
      <c r="K56" s="86">
        <f ca="1">IF(C56&lt;1,0,IF(Reeksen!AK56&gt;Reeksen!AE56,I56*Reeksen!C56,0))</f>
        <v>0</v>
      </c>
      <c r="L56" s="86">
        <f t="shared" ca="1" si="4"/>
        <v>0</v>
      </c>
      <c r="M56" s="85">
        <f ca="1">IF('Invoer gegevens'!$C$17=E56,'Invoer gegevens'!$C$10-'Invoer gegevens'!$C$11,IF(C56=1,P55,0))</f>
        <v>0</v>
      </c>
      <c r="N56" s="86">
        <f ca="1">IF(C56&lt;1,0,IF(Reeksen!AK56&lt;=Reeksen!AE56,M56*Reeksen!C56,0))</f>
        <v>0</v>
      </c>
      <c r="O56" s="86">
        <f ca="1">IF(C56&lt;1,0,IF(Reeksen!AK56&gt;Reeksen!AE56,M56*Reeksen!C56,0))</f>
        <v>0</v>
      </c>
      <c r="P56" s="86">
        <f t="shared" ca="1" si="5"/>
        <v>0</v>
      </c>
      <c r="Q56" s="82">
        <f ca="1">IF('Invoer gegevens'!$C$17=E56,I56,IF(C56=0,0,R55))</f>
        <v>0</v>
      </c>
      <c r="R56" s="84">
        <f t="shared" ca="1" si="0"/>
        <v>0</v>
      </c>
      <c r="S56" s="84">
        <f ca="1">IF('Invoer gegevens'!$C$17=E56,M56,IF(C56=0,0,T55))</f>
        <v>0</v>
      </c>
      <c r="T56" s="84">
        <f t="shared" ca="1" si="1"/>
        <v>0</v>
      </c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8"/>
      <c r="AI56" s="71">
        <f ca="1">IF(C56=1,((F56+H56)/2*Reeksen!AJ56*12)+(('Invoer gegevens'!$C$10-(F56+H56)/2)*Reeksen!AK56*12),0)</f>
        <v>0</v>
      </c>
      <c r="AJ56" s="71">
        <f ca="1">-AI56*'Invoer gegevens'!$F$28</f>
        <v>0</v>
      </c>
      <c r="AK56" s="71">
        <f t="shared" ca="1" si="2"/>
        <v>0</v>
      </c>
      <c r="AL56" s="71">
        <f ca="1">IF(C56=1,(12*((F56+H56)/2)*Reeksen!AL56)+(12*('Invoer gegevens'!$C$10-(F56+H56)/2)*Reeksen!AM56),0)</f>
        <v>0</v>
      </c>
      <c r="AM56" s="71">
        <f ca="1">-AL56*'Invoer gegevens'!$F$31</f>
        <v>0</v>
      </c>
      <c r="AN56" s="71">
        <f t="shared" ca="1" si="6"/>
        <v>0</v>
      </c>
      <c r="AO56" s="71"/>
      <c r="AP56" s="71"/>
      <c r="AQ56" s="71">
        <f ca="1">-IF(C56=1,('Invoer gegevens'!$C$10*'Invoer gegevens'!$I$33)*Reeksen!J56,0)*2</f>
        <v>0</v>
      </c>
      <c r="AR56" s="71">
        <f ca="1">-IF(C56=1,(G56*'Invoer gegevens'!$I$34)*Reeksen!J56,0)</f>
        <v>0</v>
      </c>
      <c r="AS56" s="71">
        <f ca="1">-IF(C56=1,'Invoer gegevens'!$C$10*'Invoer gegevens'!$I$35*Reeksen!L56,0)</f>
        <v>0</v>
      </c>
      <c r="AT56" s="71">
        <f ca="1">-IF(C56=1,IF(E56='Invoer gegevens'!$C$17,'Invoer gegevens'!$C$11,Q56)*Reeksen!S56*'Invoer gegevens'!$C$18*Reeksen!P56,0)</f>
        <v>0</v>
      </c>
      <c r="AU56" s="71">
        <f ca="1">-IF(C56=1,'Invoer gegevens'!$C$10*'Invoer gegevens'!$I$36*Reeksen!H56,0)</f>
        <v>0</v>
      </c>
      <c r="AV56" s="71">
        <f t="shared" si="10"/>
        <v>0</v>
      </c>
      <c r="AW56" s="71">
        <f t="shared" ca="1" si="7"/>
        <v>0</v>
      </c>
      <c r="AX56" s="71">
        <f ca="1">IF(E56&lt;'Invoer gegevens'!$C$17+15,0,IF(E56&gt;'Invoer gegevens'!$C$17+215,0,AW56))</f>
        <v>0</v>
      </c>
      <c r="AY56" s="71">
        <f ca="1">AX56/(1+'Invoer gegevens'!$F$13)^($AZ56-('Invoer gegevens'!$C$17-'Invoer gegevens'!$C$16))/(1+'Invoer gegevens'!$C$39)^('Invoer gegevens'!$C$17-'Invoer gegevens'!$C$16)</f>
        <v>0</v>
      </c>
      <c r="AZ56" s="68">
        <f ca="1">IF(E56-'Invoer gegevens'!$C$17-14.5&lt;0,0,E56-'Invoer gegevens'!$C$17-14.5)</f>
        <v>36.5</v>
      </c>
    </row>
    <row r="57" spans="2:52" x14ac:dyDescent="0.25">
      <c r="B57" s="70">
        <f t="shared" si="8"/>
        <v>53</v>
      </c>
      <c r="C57" s="67">
        <f ca="1">IF(E57-'Invoer gegevens'!$C$17&lt;0,0,1)</f>
        <v>1</v>
      </c>
      <c r="D57" s="68">
        <f t="shared" si="9"/>
        <v>52.5</v>
      </c>
      <c r="E57" s="69">
        <f ca="1">IF('Invoer gegevens'!$C$16="","",E56+1)</f>
        <v>2071</v>
      </c>
      <c r="F57" s="82">
        <f ca="1">IF('Invoer gegevens'!$C$17=E57,'Invoer gegevens'!$C$10,IF(C57=1,H56,0))</f>
        <v>0</v>
      </c>
      <c r="G57" s="83">
        <f ca="1">IF(C57&gt;=1,F57*Reeksen!C57,0)</f>
        <v>0</v>
      </c>
      <c r="H57" s="84">
        <f t="shared" ca="1" si="3"/>
        <v>0</v>
      </c>
      <c r="I57" s="85">
        <f ca="1">IF('Invoer gegevens'!$C$17=E57,'Invoer gegevens'!$C$11,IF(C57=1,L56,0))</f>
        <v>0</v>
      </c>
      <c r="J57" s="86">
        <f ca="1">IF(C57&lt;1,0,IF(Reeksen!AK57&lt;=Reeksen!AE57,I57*Reeksen!C57,0))</f>
        <v>0</v>
      </c>
      <c r="K57" s="86">
        <f ca="1">IF(C57&lt;1,0,IF(Reeksen!AK57&gt;Reeksen!AE57,I57*Reeksen!C57,0))</f>
        <v>0</v>
      </c>
      <c r="L57" s="86">
        <f t="shared" ca="1" si="4"/>
        <v>0</v>
      </c>
      <c r="M57" s="85">
        <f ca="1">IF('Invoer gegevens'!$C$17=E57,'Invoer gegevens'!$C$10-'Invoer gegevens'!$C$11,IF(C57=1,P56,0))</f>
        <v>0</v>
      </c>
      <c r="N57" s="86">
        <f ca="1">IF(C57&lt;1,0,IF(Reeksen!AK57&lt;=Reeksen!AE57,M57*Reeksen!C57,0))</f>
        <v>0</v>
      </c>
      <c r="O57" s="86">
        <f ca="1">IF(C57&lt;1,0,IF(Reeksen!AK57&gt;Reeksen!AE57,M57*Reeksen!C57,0))</f>
        <v>0</v>
      </c>
      <c r="P57" s="86">
        <f t="shared" ca="1" si="5"/>
        <v>0</v>
      </c>
      <c r="Q57" s="82">
        <f ca="1">IF('Invoer gegevens'!$C$17=E57,I57,IF(C57=0,0,R56))</f>
        <v>0</v>
      </c>
      <c r="R57" s="84">
        <f t="shared" ca="1" si="0"/>
        <v>0</v>
      </c>
      <c r="S57" s="84">
        <f ca="1">IF('Invoer gegevens'!$C$17=E57,M57,IF(C57=0,0,T56))</f>
        <v>0</v>
      </c>
      <c r="T57" s="84">
        <f t="shared" ca="1" si="1"/>
        <v>0</v>
      </c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8"/>
      <c r="AI57" s="71">
        <f ca="1">IF(C57=1,((F57+H57)/2*Reeksen!AJ57*12)+(('Invoer gegevens'!$C$10-(F57+H57)/2)*Reeksen!AK57*12),0)</f>
        <v>0</v>
      </c>
      <c r="AJ57" s="71">
        <f ca="1">-AI57*'Invoer gegevens'!$F$28</f>
        <v>0</v>
      </c>
      <c r="AK57" s="71">
        <f t="shared" ca="1" si="2"/>
        <v>0</v>
      </c>
      <c r="AL57" s="71">
        <f ca="1">IF(C57=1,(12*((F57+H57)/2)*Reeksen!AL57)+(12*('Invoer gegevens'!$C$10-(F57+H57)/2)*Reeksen!AM57),0)</f>
        <v>0</v>
      </c>
      <c r="AM57" s="71">
        <f ca="1">-AL57*'Invoer gegevens'!$F$31</f>
        <v>0</v>
      </c>
      <c r="AN57" s="71">
        <f t="shared" ca="1" si="6"/>
        <v>0</v>
      </c>
      <c r="AO57" s="71"/>
      <c r="AP57" s="71"/>
      <c r="AQ57" s="71">
        <f ca="1">-IF(C57=1,('Invoer gegevens'!$C$10*'Invoer gegevens'!$I$33)*Reeksen!J57,0)*2</f>
        <v>0</v>
      </c>
      <c r="AR57" s="71">
        <f ca="1">-IF(C57=1,(G57*'Invoer gegevens'!$I$34)*Reeksen!J57,0)</f>
        <v>0</v>
      </c>
      <c r="AS57" s="71">
        <f ca="1">-IF(C57=1,'Invoer gegevens'!$C$10*'Invoer gegevens'!$I$35*Reeksen!L57,0)</f>
        <v>0</v>
      </c>
      <c r="AT57" s="71">
        <f ca="1">-IF(C57=1,IF(E57='Invoer gegevens'!$C$17,'Invoer gegevens'!$C$11,Q57)*Reeksen!S57*'Invoer gegevens'!$C$18*Reeksen!P57,0)</f>
        <v>0</v>
      </c>
      <c r="AU57" s="71">
        <f ca="1">-IF(C57=1,'Invoer gegevens'!$C$10*'Invoer gegevens'!$I$36*Reeksen!H57,0)</f>
        <v>0</v>
      </c>
      <c r="AV57" s="71">
        <f t="shared" si="10"/>
        <v>0</v>
      </c>
      <c r="AW57" s="71">
        <f t="shared" ca="1" si="7"/>
        <v>0</v>
      </c>
      <c r="AX57" s="71">
        <f ca="1">IF(E57&lt;'Invoer gegevens'!$C$17+15,0,IF(E57&gt;'Invoer gegevens'!$C$17+215,0,AW57))</f>
        <v>0</v>
      </c>
      <c r="AY57" s="71">
        <f ca="1">AX57/(1+'Invoer gegevens'!$F$13)^($AZ57-('Invoer gegevens'!$C$17-'Invoer gegevens'!$C$16))/(1+'Invoer gegevens'!$C$39)^('Invoer gegevens'!$C$17-'Invoer gegevens'!$C$16)</f>
        <v>0</v>
      </c>
      <c r="AZ57" s="68">
        <f ca="1">IF(E57-'Invoer gegevens'!$C$17-14.5&lt;0,0,E57-'Invoer gegevens'!$C$17-14.5)</f>
        <v>37.5</v>
      </c>
    </row>
    <row r="58" spans="2:52" x14ac:dyDescent="0.25">
      <c r="B58" s="70">
        <f t="shared" si="8"/>
        <v>54</v>
      </c>
      <c r="C58" s="67">
        <f ca="1">IF(E58-'Invoer gegevens'!$C$17&lt;0,0,1)</f>
        <v>1</v>
      </c>
      <c r="D58" s="68">
        <f t="shared" si="9"/>
        <v>53.5</v>
      </c>
      <c r="E58" s="69">
        <f ca="1">IF('Invoer gegevens'!$C$16="","",E57+1)</f>
        <v>2072</v>
      </c>
      <c r="F58" s="82">
        <f ca="1">IF('Invoer gegevens'!$C$17=E58,'Invoer gegevens'!$C$10,IF(C58=1,H57,0))</f>
        <v>0</v>
      </c>
      <c r="G58" s="83">
        <f ca="1">IF(C58&gt;=1,F58*Reeksen!C58,0)</f>
        <v>0</v>
      </c>
      <c r="H58" s="84">
        <f t="shared" ca="1" si="3"/>
        <v>0</v>
      </c>
      <c r="I58" s="85">
        <f ca="1">IF('Invoer gegevens'!$C$17=E58,'Invoer gegevens'!$C$11,IF(C58=1,L57,0))</f>
        <v>0</v>
      </c>
      <c r="J58" s="86">
        <f ca="1">IF(C58&lt;1,0,IF(Reeksen!AK58&lt;=Reeksen!AE58,I58*Reeksen!C58,0))</f>
        <v>0</v>
      </c>
      <c r="K58" s="86">
        <f ca="1">IF(C58&lt;1,0,IF(Reeksen!AK58&gt;Reeksen!AE58,I58*Reeksen!C58,0))</f>
        <v>0</v>
      </c>
      <c r="L58" s="86">
        <f t="shared" ca="1" si="4"/>
        <v>0</v>
      </c>
      <c r="M58" s="85">
        <f ca="1">IF('Invoer gegevens'!$C$17=E58,'Invoer gegevens'!$C$10-'Invoer gegevens'!$C$11,IF(C58=1,P57,0))</f>
        <v>0</v>
      </c>
      <c r="N58" s="86">
        <f ca="1">IF(C58&lt;1,0,IF(Reeksen!AK58&lt;=Reeksen!AE58,M58*Reeksen!C58,0))</f>
        <v>0</v>
      </c>
      <c r="O58" s="86">
        <f ca="1">IF(C58&lt;1,0,IF(Reeksen!AK58&gt;Reeksen!AE58,M58*Reeksen!C58,0))</f>
        <v>0</v>
      </c>
      <c r="P58" s="86">
        <f t="shared" ca="1" si="5"/>
        <v>0</v>
      </c>
      <c r="Q58" s="82">
        <f ca="1">IF('Invoer gegevens'!$C$17=E58,I58,IF(C58=0,0,R57))</f>
        <v>0</v>
      </c>
      <c r="R58" s="84">
        <f t="shared" ca="1" si="0"/>
        <v>0</v>
      </c>
      <c r="S58" s="84">
        <f ca="1">IF('Invoer gegevens'!$C$17=E58,M58,IF(C58=0,0,T57))</f>
        <v>0</v>
      </c>
      <c r="T58" s="84">
        <f t="shared" ca="1" si="1"/>
        <v>0</v>
      </c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8"/>
      <c r="AI58" s="71">
        <f ca="1">IF(C58=1,((F58+H58)/2*Reeksen!AJ58*12)+(('Invoer gegevens'!$C$10-(F58+H58)/2)*Reeksen!AK58*12),0)</f>
        <v>0</v>
      </c>
      <c r="AJ58" s="71">
        <f ca="1">-AI58*'Invoer gegevens'!$F$28</f>
        <v>0</v>
      </c>
      <c r="AK58" s="71">
        <f t="shared" ca="1" si="2"/>
        <v>0</v>
      </c>
      <c r="AL58" s="71">
        <f ca="1">IF(C58=1,(12*((F58+H58)/2)*Reeksen!AL58)+(12*('Invoer gegevens'!$C$10-(F58+H58)/2)*Reeksen!AM58),0)</f>
        <v>0</v>
      </c>
      <c r="AM58" s="71">
        <f ca="1">-AL58*'Invoer gegevens'!$F$31</f>
        <v>0</v>
      </c>
      <c r="AN58" s="71">
        <f t="shared" ca="1" si="6"/>
        <v>0</v>
      </c>
      <c r="AO58" s="71"/>
      <c r="AP58" s="71"/>
      <c r="AQ58" s="71">
        <f ca="1">-IF(C58=1,('Invoer gegevens'!$C$10*'Invoer gegevens'!$I$33)*Reeksen!J58,0)*2</f>
        <v>0</v>
      </c>
      <c r="AR58" s="71">
        <f ca="1">-IF(C58=1,(G58*'Invoer gegevens'!$I$34)*Reeksen!J58,0)</f>
        <v>0</v>
      </c>
      <c r="AS58" s="71">
        <f ca="1">-IF(C58=1,'Invoer gegevens'!$C$10*'Invoer gegevens'!$I$35*Reeksen!L58,0)</f>
        <v>0</v>
      </c>
      <c r="AT58" s="71">
        <f ca="1">-IF(C58=1,IF(E58='Invoer gegevens'!$C$17,'Invoer gegevens'!$C$11,Q58)*Reeksen!S58*'Invoer gegevens'!$C$18*Reeksen!P58,0)</f>
        <v>0</v>
      </c>
      <c r="AU58" s="71">
        <f ca="1">-IF(C58=1,'Invoer gegevens'!$C$10*'Invoer gegevens'!$I$36*Reeksen!H58,0)</f>
        <v>0</v>
      </c>
      <c r="AV58" s="71">
        <f t="shared" si="10"/>
        <v>0</v>
      </c>
      <c r="AW58" s="71">
        <f t="shared" ca="1" si="7"/>
        <v>0</v>
      </c>
      <c r="AX58" s="71">
        <f ca="1">IF(E58&lt;'Invoer gegevens'!$C$17+15,0,IF(E58&gt;'Invoer gegevens'!$C$17+215,0,AW58))</f>
        <v>0</v>
      </c>
      <c r="AY58" s="71">
        <f ca="1">AX58/(1+'Invoer gegevens'!$F$13)^($AZ58-('Invoer gegevens'!$C$17-'Invoer gegevens'!$C$16))/(1+'Invoer gegevens'!$C$39)^('Invoer gegevens'!$C$17-'Invoer gegevens'!$C$16)</f>
        <v>0</v>
      </c>
      <c r="AZ58" s="68">
        <f ca="1">IF(E58-'Invoer gegevens'!$C$17-14.5&lt;0,0,E58-'Invoer gegevens'!$C$17-14.5)</f>
        <v>38.5</v>
      </c>
    </row>
    <row r="59" spans="2:52" x14ac:dyDescent="0.25">
      <c r="B59" s="70">
        <f t="shared" si="8"/>
        <v>55</v>
      </c>
      <c r="C59" s="67">
        <f ca="1">IF(E59-'Invoer gegevens'!$C$17&lt;0,0,1)</f>
        <v>1</v>
      </c>
      <c r="D59" s="68">
        <f t="shared" si="9"/>
        <v>54.5</v>
      </c>
      <c r="E59" s="69">
        <f ca="1">IF('Invoer gegevens'!$C$16="","",E58+1)</f>
        <v>2073</v>
      </c>
      <c r="F59" s="82">
        <f ca="1">IF('Invoer gegevens'!$C$17=E59,'Invoer gegevens'!$C$10,IF(C59=1,H58,0))</f>
        <v>0</v>
      </c>
      <c r="G59" s="83">
        <f ca="1">IF(C59&gt;=1,F59*Reeksen!C59,0)</f>
        <v>0</v>
      </c>
      <c r="H59" s="84">
        <f t="shared" ca="1" si="3"/>
        <v>0</v>
      </c>
      <c r="I59" s="85">
        <f ca="1">IF('Invoer gegevens'!$C$17=E59,'Invoer gegevens'!$C$11,IF(C59=1,L58,0))</f>
        <v>0</v>
      </c>
      <c r="J59" s="86">
        <f ca="1">IF(C59&lt;1,0,IF(Reeksen!AK59&lt;=Reeksen!AE59,I59*Reeksen!C59,0))</f>
        <v>0</v>
      </c>
      <c r="K59" s="86">
        <f ca="1">IF(C59&lt;1,0,IF(Reeksen!AK59&gt;Reeksen!AE59,I59*Reeksen!C59,0))</f>
        <v>0</v>
      </c>
      <c r="L59" s="86">
        <f t="shared" ca="1" si="4"/>
        <v>0</v>
      </c>
      <c r="M59" s="85">
        <f ca="1">IF('Invoer gegevens'!$C$17=E59,'Invoer gegevens'!$C$10-'Invoer gegevens'!$C$11,IF(C59=1,P58,0))</f>
        <v>0</v>
      </c>
      <c r="N59" s="86">
        <f ca="1">IF(C59&lt;1,0,IF(Reeksen!AK59&lt;=Reeksen!AE59,M59*Reeksen!C59,0))</f>
        <v>0</v>
      </c>
      <c r="O59" s="86">
        <f ca="1">IF(C59&lt;1,0,IF(Reeksen!AK59&gt;Reeksen!AE59,M59*Reeksen!C59,0))</f>
        <v>0</v>
      </c>
      <c r="P59" s="86">
        <f t="shared" ca="1" si="5"/>
        <v>0</v>
      </c>
      <c r="Q59" s="82">
        <f ca="1">IF('Invoer gegevens'!$C$17=E59,I59,IF(C59=0,0,R58))</f>
        <v>0</v>
      </c>
      <c r="R59" s="84">
        <f t="shared" ca="1" si="0"/>
        <v>0</v>
      </c>
      <c r="S59" s="84">
        <f ca="1">IF('Invoer gegevens'!$C$17=E59,M59,IF(C59=0,0,T58))</f>
        <v>0</v>
      </c>
      <c r="T59" s="84">
        <f t="shared" ca="1" si="1"/>
        <v>0</v>
      </c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8"/>
      <c r="AI59" s="71">
        <f ca="1">IF(C59=1,((F59+H59)/2*Reeksen!AJ59*12)+(('Invoer gegevens'!$C$10-(F59+H59)/2)*Reeksen!AK59*12),0)</f>
        <v>0</v>
      </c>
      <c r="AJ59" s="71">
        <f ca="1">-AI59*'Invoer gegevens'!$F$28</f>
        <v>0</v>
      </c>
      <c r="AK59" s="71">
        <f t="shared" ca="1" si="2"/>
        <v>0</v>
      </c>
      <c r="AL59" s="71">
        <f ca="1">IF(C59=1,(12*((F59+H59)/2)*Reeksen!AL59)+(12*('Invoer gegevens'!$C$10-(F59+H59)/2)*Reeksen!AM59),0)</f>
        <v>0</v>
      </c>
      <c r="AM59" s="71">
        <f ca="1">-AL59*'Invoer gegevens'!$F$31</f>
        <v>0</v>
      </c>
      <c r="AN59" s="71">
        <f t="shared" ca="1" si="6"/>
        <v>0</v>
      </c>
      <c r="AO59" s="71"/>
      <c r="AP59" s="71"/>
      <c r="AQ59" s="71">
        <f ca="1">-IF(C59=1,('Invoer gegevens'!$C$10*'Invoer gegevens'!$I$33)*Reeksen!J59,0)*2</f>
        <v>0</v>
      </c>
      <c r="AR59" s="71">
        <f ca="1">-IF(C59=1,(G59*'Invoer gegevens'!$I$34)*Reeksen!J59,0)</f>
        <v>0</v>
      </c>
      <c r="AS59" s="71">
        <f ca="1">-IF(C59=1,'Invoer gegevens'!$C$10*'Invoer gegevens'!$I$35*Reeksen!L59,0)</f>
        <v>0</v>
      </c>
      <c r="AT59" s="71">
        <f ca="1">-IF(C59=1,IF(E59='Invoer gegevens'!$C$17,'Invoer gegevens'!$C$11,Q59)*Reeksen!S59*'Invoer gegevens'!$C$18*Reeksen!P59,0)</f>
        <v>0</v>
      </c>
      <c r="AU59" s="71">
        <f ca="1">-IF(C59=1,'Invoer gegevens'!$C$10*'Invoer gegevens'!$I$36*Reeksen!H59,0)</f>
        <v>0</v>
      </c>
      <c r="AV59" s="71">
        <f t="shared" si="10"/>
        <v>0</v>
      </c>
      <c r="AW59" s="71">
        <f t="shared" ca="1" si="7"/>
        <v>0</v>
      </c>
      <c r="AX59" s="71">
        <f ca="1">IF(E59&lt;'Invoer gegevens'!$C$17+15,0,IF(E59&gt;'Invoer gegevens'!$C$17+215,0,AW59))</f>
        <v>0</v>
      </c>
      <c r="AY59" s="71">
        <f ca="1">AX59/(1+'Invoer gegevens'!$F$13)^($AZ59-('Invoer gegevens'!$C$17-'Invoer gegevens'!$C$16))/(1+'Invoer gegevens'!$C$39)^('Invoer gegevens'!$C$17-'Invoer gegevens'!$C$16)</f>
        <v>0</v>
      </c>
      <c r="AZ59" s="68">
        <f ca="1">IF(E59-'Invoer gegevens'!$C$17-14.5&lt;0,0,E59-'Invoer gegevens'!$C$17-14.5)</f>
        <v>39.5</v>
      </c>
    </row>
    <row r="60" spans="2:52" x14ac:dyDescent="0.25">
      <c r="B60" s="70">
        <f t="shared" si="8"/>
        <v>56</v>
      </c>
      <c r="C60" s="67">
        <f ca="1">IF(E60-'Invoer gegevens'!$C$17&lt;0,0,1)</f>
        <v>1</v>
      </c>
      <c r="D60" s="68">
        <f t="shared" si="9"/>
        <v>55.5</v>
      </c>
      <c r="E60" s="69">
        <f ca="1">IF('Invoer gegevens'!$C$16="","",E59+1)</f>
        <v>2074</v>
      </c>
      <c r="F60" s="82">
        <f ca="1">IF('Invoer gegevens'!$C$17=E60,'Invoer gegevens'!$C$10,IF(C60=1,H59,0))</f>
        <v>0</v>
      </c>
      <c r="G60" s="83">
        <f ca="1">IF(C60&gt;=1,F60*Reeksen!C60,0)</f>
        <v>0</v>
      </c>
      <c r="H60" s="84">
        <f t="shared" ca="1" si="3"/>
        <v>0</v>
      </c>
      <c r="I60" s="85">
        <f ca="1">IF('Invoer gegevens'!$C$17=E60,'Invoer gegevens'!$C$11,IF(C60=1,L59,0))</f>
        <v>0</v>
      </c>
      <c r="J60" s="86">
        <f ca="1">IF(C60&lt;1,0,IF(Reeksen!AK60&lt;=Reeksen!AE60,I60*Reeksen!C60,0))</f>
        <v>0</v>
      </c>
      <c r="K60" s="86">
        <f ca="1">IF(C60&lt;1,0,IF(Reeksen!AK60&gt;Reeksen!AE60,I60*Reeksen!C60,0))</f>
        <v>0</v>
      </c>
      <c r="L60" s="86">
        <f t="shared" ca="1" si="4"/>
        <v>0</v>
      </c>
      <c r="M60" s="85">
        <f ca="1">IF('Invoer gegevens'!$C$17=E60,'Invoer gegevens'!$C$10-'Invoer gegevens'!$C$11,IF(C60=1,P59,0))</f>
        <v>0</v>
      </c>
      <c r="N60" s="86">
        <f ca="1">IF(C60&lt;1,0,IF(Reeksen!AK60&lt;=Reeksen!AE60,M60*Reeksen!C60,0))</f>
        <v>0</v>
      </c>
      <c r="O60" s="86">
        <f ca="1">IF(C60&lt;1,0,IF(Reeksen!AK60&gt;Reeksen!AE60,M60*Reeksen!C60,0))</f>
        <v>0</v>
      </c>
      <c r="P60" s="86">
        <f t="shared" ca="1" si="5"/>
        <v>0</v>
      </c>
      <c r="Q60" s="82">
        <f ca="1">IF('Invoer gegevens'!$C$17=E60,I60,IF(C60=0,0,R59))</f>
        <v>0</v>
      </c>
      <c r="R60" s="84">
        <f t="shared" ca="1" si="0"/>
        <v>0</v>
      </c>
      <c r="S60" s="84">
        <f ca="1">IF('Invoer gegevens'!$C$17=E60,M60,IF(C60=0,0,T59))</f>
        <v>0</v>
      </c>
      <c r="T60" s="84">
        <f t="shared" ca="1" si="1"/>
        <v>0</v>
      </c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8"/>
      <c r="AI60" s="71">
        <f ca="1">IF(C60=1,((F60+H60)/2*Reeksen!AJ60*12)+(('Invoer gegevens'!$C$10-(F60+H60)/2)*Reeksen!AK60*12),0)</f>
        <v>0</v>
      </c>
      <c r="AJ60" s="71">
        <f ca="1">-AI60*'Invoer gegevens'!$F$28</f>
        <v>0</v>
      </c>
      <c r="AK60" s="71">
        <f t="shared" ca="1" si="2"/>
        <v>0</v>
      </c>
      <c r="AL60" s="71">
        <f ca="1">IF(C60=1,(12*((F60+H60)/2)*Reeksen!AL60)+(12*('Invoer gegevens'!$C$10-(F60+H60)/2)*Reeksen!AM60),0)</f>
        <v>0</v>
      </c>
      <c r="AM60" s="71">
        <f ca="1">-AL60*'Invoer gegevens'!$F$31</f>
        <v>0</v>
      </c>
      <c r="AN60" s="71">
        <f t="shared" ca="1" si="6"/>
        <v>0</v>
      </c>
      <c r="AO60" s="71"/>
      <c r="AP60" s="71"/>
      <c r="AQ60" s="71">
        <f ca="1">-IF(C60=1,('Invoer gegevens'!$C$10*'Invoer gegevens'!$I$33)*Reeksen!J60,0)*2</f>
        <v>0</v>
      </c>
      <c r="AR60" s="71">
        <f ca="1">-IF(C60=1,(G60*'Invoer gegevens'!$I$34)*Reeksen!J60,0)</f>
        <v>0</v>
      </c>
      <c r="AS60" s="71">
        <f ca="1">-IF(C60=1,'Invoer gegevens'!$C$10*'Invoer gegevens'!$I$35*Reeksen!L60,0)</f>
        <v>0</v>
      </c>
      <c r="AT60" s="71">
        <f ca="1">-IF(C60=1,IF(E60='Invoer gegevens'!$C$17,'Invoer gegevens'!$C$11,Q60)*Reeksen!S60*'Invoer gegevens'!$C$18*Reeksen!P60,0)</f>
        <v>0</v>
      </c>
      <c r="AU60" s="71">
        <f ca="1">-IF(C60=1,'Invoer gegevens'!$C$10*'Invoer gegevens'!$I$36*Reeksen!H60,0)</f>
        <v>0</v>
      </c>
      <c r="AV60" s="71">
        <f t="shared" si="10"/>
        <v>0</v>
      </c>
      <c r="AW60" s="71">
        <f t="shared" ca="1" si="7"/>
        <v>0</v>
      </c>
      <c r="AX60" s="71">
        <f ca="1">IF(E60&lt;'Invoer gegevens'!$C$17+15,0,IF(E60&gt;'Invoer gegevens'!$C$17+215,0,AW60))</f>
        <v>0</v>
      </c>
      <c r="AY60" s="71">
        <f ca="1">AX60/(1+'Invoer gegevens'!$F$13)^($AZ60-('Invoer gegevens'!$C$17-'Invoer gegevens'!$C$16))/(1+'Invoer gegevens'!$C$39)^('Invoer gegevens'!$C$17-'Invoer gegevens'!$C$16)</f>
        <v>0</v>
      </c>
      <c r="AZ60" s="68">
        <f ca="1">IF(E60-'Invoer gegevens'!$C$17-14.5&lt;0,0,E60-'Invoer gegevens'!$C$17-14.5)</f>
        <v>40.5</v>
      </c>
    </row>
    <row r="61" spans="2:52" x14ac:dyDescent="0.25">
      <c r="B61" s="70">
        <f t="shared" si="8"/>
        <v>57</v>
      </c>
      <c r="C61" s="67">
        <f ca="1">IF(E61-'Invoer gegevens'!$C$17&lt;0,0,1)</f>
        <v>1</v>
      </c>
      <c r="D61" s="68">
        <f t="shared" si="9"/>
        <v>56.5</v>
      </c>
      <c r="E61" s="69">
        <f ca="1">IF('Invoer gegevens'!$C$16="","",E60+1)</f>
        <v>2075</v>
      </c>
      <c r="F61" s="82">
        <f ca="1">IF('Invoer gegevens'!$C$17=E61,'Invoer gegevens'!$C$10,IF(C61=1,H60,0))</f>
        <v>0</v>
      </c>
      <c r="G61" s="83">
        <f ca="1">IF(C61&gt;=1,F61*Reeksen!C61,0)</f>
        <v>0</v>
      </c>
      <c r="H61" s="84">
        <f t="shared" ca="1" si="3"/>
        <v>0</v>
      </c>
      <c r="I61" s="85">
        <f ca="1">IF('Invoer gegevens'!$C$17=E61,'Invoer gegevens'!$C$11,IF(C61=1,L60,0))</f>
        <v>0</v>
      </c>
      <c r="J61" s="86">
        <f ca="1">IF(C61&lt;1,0,IF(Reeksen!AK61&lt;=Reeksen!AE61,I61*Reeksen!C61,0))</f>
        <v>0</v>
      </c>
      <c r="K61" s="86">
        <f ca="1">IF(C61&lt;1,0,IF(Reeksen!AK61&gt;Reeksen!AE61,I61*Reeksen!C61,0))</f>
        <v>0</v>
      </c>
      <c r="L61" s="86">
        <f t="shared" ca="1" si="4"/>
        <v>0</v>
      </c>
      <c r="M61" s="85">
        <f ca="1">IF('Invoer gegevens'!$C$17=E61,'Invoer gegevens'!$C$10-'Invoer gegevens'!$C$11,IF(C61=1,P60,0))</f>
        <v>0</v>
      </c>
      <c r="N61" s="86">
        <f ca="1">IF(C61&lt;1,0,IF(Reeksen!AK61&lt;=Reeksen!AE61,M61*Reeksen!C61,0))</f>
        <v>0</v>
      </c>
      <c r="O61" s="86">
        <f ca="1">IF(C61&lt;1,0,IF(Reeksen!AK61&gt;Reeksen!AE61,M61*Reeksen!C61,0))</f>
        <v>0</v>
      </c>
      <c r="P61" s="86">
        <f t="shared" ca="1" si="5"/>
        <v>0</v>
      </c>
      <c r="Q61" s="82">
        <f ca="1">IF('Invoer gegevens'!$C$17=E61,I61,IF(C61=0,0,R60))</f>
        <v>0</v>
      </c>
      <c r="R61" s="84">
        <f t="shared" ca="1" si="0"/>
        <v>0</v>
      </c>
      <c r="S61" s="84">
        <f ca="1">IF('Invoer gegevens'!$C$17=E61,M61,IF(C61=0,0,T60))</f>
        <v>0</v>
      </c>
      <c r="T61" s="84">
        <f t="shared" ca="1" si="1"/>
        <v>0</v>
      </c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8"/>
      <c r="AI61" s="71">
        <f ca="1">IF(C61=1,((F61+H61)/2*Reeksen!AJ61*12)+(('Invoer gegevens'!$C$10-(F61+H61)/2)*Reeksen!AK61*12),0)</f>
        <v>0</v>
      </c>
      <c r="AJ61" s="71">
        <f ca="1">-AI61*'Invoer gegevens'!$F$28</f>
        <v>0</v>
      </c>
      <c r="AK61" s="71">
        <f t="shared" ca="1" si="2"/>
        <v>0</v>
      </c>
      <c r="AL61" s="71">
        <f ca="1">IF(C61=1,(12*((F61+H61)/2)*Reeksen!AL61)+(12*('Invoer gegevens'!$C$10-(F61+H61)/2)*Reeksen!AM61),0)</f>
        <v>0</v>
      </c>
      <c r="AM61" s="71">
        <f ca="1">-AL61*'Invoer gegevens'!$F$31</f>
        <v>0</v>
      </c>
      <c r="AN61" s="71">
        <f t="shared" ca="1" si="6"/>
        <v>0</v>
      </c>
      <c r="AO61" s="71"/>
      <c r="AP61" s="71"/>
      <c r="AQ61" s="71">
        <f ca="1">-IF(C61=1,('Invoer gegevens'!$C$10*'Invoer gegevens'!$I$33)*Reeksen!J61,0)*2</f>
        <v>0</v>
      </c>
      <c r="AR61" s="71">
        <f ca="1">-IF(C61=1,(G61*'Invoer gegevens'!$I$34)*Reeksen!J61,0)</f>
        <v>0</v>
      </c>
      <c r="AS61" s="71">
        <f ca="1">-IF(C61=1,'Invoer gegevens'!$C$10*'Invoer gegevens'!$I$35*Reeksen!L61,0)</f>
        <v>0</v>
      </c>
      <c r="AT61" s="71">
        <f ca="1">-IF(C61=1,IF(E61='Invoer gegevens'!$C$17,'Invoer gegevens'!$C$11,Q61)*Reeksen!S61*'Invoer gegevens'!$C$18*Reeksen!P61,0)</f>
        <v>0</v>
      </c>
      <c r="AU61" s="71">
        <f ca="1">-IF(C61=1,'Invoer gegevens'!$C$10*'Invoer gegevens'!$I$36*Reeksen!H61,0)</f>
        <v>0</v>
      </c>
      <c r="AV61" s="71">
        <f t="shared" si="10"/>
        <v>0</v>
      </c>
      <c r="AW61" s="71">
        <f t="shared" ca="1" si="7"/>
        <v>0</v>
      </c>
      <c r="AX61" s="71">
        <f ca="1">IF(E61&lt;'Invoer gegevens'!$C$17+15,0,IF(E61&gt;'Invoer gegevens'!$C$17+215,0,AW61))</f>
        <v>0</v>
      </c>
      <c r="AY61" s="71">
        <f ca="1">AX61/(1+'Invoer gegevens'!$F$13)^($AZ61-('Invoer gegevens'!$C$17-'Invoer gegevens'!$C$16))/(1+'Invoer gegevens'!$C$39)^('Invoer gegevens'!$C$17-'Invoer gegevens'!$C$16)</f>
        <v>0</v>
      </c>
      <c r="AZ61" s="68">
        <f ca="1">IF(E61-'Invoer gegevens'!$C$17-14.5&lt;0,0,E61-'Invoer gegevens'!$C$17-14.5)</f>
        <v>41.5</v>
      </c>
    </row>
    <row r="62" spans="2:52" x14ac:dyDescent="0.25">
      <c r="B62" s="70">
        <f t="shared" si="8"/>
        <v>58</v>
      </c>
      <c r="C62" s="67">
        <f ca="1">IF(E62-'Invoer gegevens'!$C$17&lt;0,0,1)</f>
        <v>1</v>
      </c>
      <c r="D62" s="68">
        <f t="shared" si="9"/>
        <v>57.5</v>
      </c>
      <c r="E62" s="69">
        <f ca="1">IF('Invoer gegevens'!$C$16="","",E61+1)</f>
        <v>2076</v>
      </c>
      <c r="F62" s="82">
        <f ca="1">IF('Invoer gegevens'!$C$17=E62,'Invoer gegevens'!$C$10,IF(C62=1,H61,0))</f>
        <v>0</v>
      </c>
      <c r="G62" s="83">
        <f ca="1">IF(C62&gt;=1,F62*Reeksen!C62,0)</f>
        <v>0</v>
      </c>
      <c r="H62" s="84">
        <f t="shared" ca="1" si="3"/>
        <v>0</v>
      </c>
      <c r="I62" s="85">
        <f ca="1">IF('Invoer gegevens'!$C$17=E62,'Invoer gegevens'!$C$11,IF(C62=1,L61,0))</f>
        <v>0</v>
      </c>
      <c r="J62" s="86">
        <f ca="1">IF(C62&lt;1,0,IF(Reeksen!AK62&lt;=Reeksen!AE62,I62*Reeksen!C62,0))</f>
        <v>0</v>
      </c>
      <c r="K62" s="86">
        <f ca="1">IF(C62&lt;1,0,IF(Reeksen!AK62&gt;Reeksen!AE62,I62*Reeksen!C62,0))</f>
        <v>0</v>
      </c>
      <c r="L62" s="86">
        <f t="shared" ca="1" si="4"/>
        <v>0</v>
      </c>
      <c r="M62" s="85">
        <f ca="1">IF('Invoer gegevens'!$C$17=E62,'Invoer gegevens'!$C$10-'Invoer gegevens'!$C$11,IF(C62=1,P61,0))</f>
        <v>0</v>
      </c>
      <c r="N62" s="86">
        <f ca="1">IF(C62&lt;1,0,IF(Reeksen!AK62&lt;=Reeksen!AE62,M62*Reeksen!C62,0))</f>
        <v>0</v>
      </c>
      <c r="O62" s="86">
        <f ca="1">IF(C62&lt;1,0,IF(Reeksen!AK62&gt;Reeksen!AE62,M62*Reeksen!C62,0))</f>
        <v>0</v>
      </c>
      <c r="P62" s="86">
        <f t="shared" ca="1" si="5"/>
        <v>0</v>
      </c>
      <c r="Q62" s="82">
        <f ca="1">IF('Invoer gegevens'!$C$17=E62,I62,IF(C62=0,0,R61))</f>
        <v>0</v>
      </c>
      <c r="R62" s="84">
        <f t="shared" ca="1" si="0"/>
        <v>0</v>
      </c>
      <c r="S62" s="84">
        <f ca="1">IF('Invoer gegevens'!$C$17=E62,M62,IF(C62=0,0,T61))</f>
        <v>0</v>
      </c>
      <c r="T62" s="84">
        <f t="shared" ca="1" si="1"/>
        <v>0</v>
      </c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8"/>
      <c r="AI62" s="71">
        <f ca="1">IF(C62=1,((F62+H62)/2*Reeksen!AJ62*12)+(('Invoer gegevens'!$C$10-(F62+H62)/2)*Reeksen!AK62*12),0)</f>
        <v>0</v>
      </c>
      <c r="AJ62" s="71">
        <f ca="1">-AI62*'Invoer gegevens'!$F$28</f>
        <v>0</v>
      </c>
      <c r="AK62" s="71">
        <f t="shared" ca="1" si="2"/>
        <v>0</v>
      </c>
      <c r="AL62" s="71">
        <f ca="1">IF(C62=1,(12*((F62+H62)/2)*Reeksen!AL62)+(12*('Invoer gegevens'!$C$10-(F62+H62)/2)*Reeksen!AM62),0)</f>
        <v>0</v>
      </c>
      <c r="AM62" s="71">
        <f ca="1">-AL62*'Invoer gegevens'!$F$31</f>
        <v>0</v>
      </c>
      <c r="AN62" s="71">
        <f t="shared" ca="1" si="6"/>
        <v>0</v>
      </c>
      <c r="AO62" s="71"/>
      <c r="AP62" s="71"/>
      <c r="AQ62" s="71">
        <f ca="1">-IF(C62=1,('Invoer gegevens'!$C$10*'Invoer gegevens'!$I$33)*Reeksen!J62,0)*2</f>
        <v>0</v>
      </c>
      <c r="AR62" s="71">
        <f ca="1">-IF(C62=1,(G62*'Invoer gegevens'!$I$34)*Reeksen!J62,0)</f>
        <v>0</v>
      </c>
      <c r="AS62" s="71">
        <f ca="1">-IF(C62=1,'Invoer gegevens'!$C$10*'Invoer gegevens'!$I$35*Reeksen!L62,0)</f>
        <v>0</v>
      </c>
      <c r="AT62" s="71">
        <f ca="1">-IF(C62=1,IF(E62='Invoer gegevens'!$C$17,'Invoer gegevens'!$C$11,Q62)*Reeksen!S62*'Invoer gegevens'!$C$18*Reeksen!P62,0)</f>
        <v>0</v>
      </c>
      <c r="AU62" s="71">
        <f ca="1">-IF(C62=1,'Invoer gegevens'!$C$10*'Invoer gegevens'!$I$36*Reeksen!H62,0)</f>
        <v>0</v>
      </c>
      <c r="AV62" s="71">
        <f t="shared" si="10"/>
        <v>0</v>
      </c>
      <c r="AW62" s="71">
        <f t="shared" ca="1" si="7"/>
        <v>0</v>
      </c>
      <c r="AX62" s="71">
        <f ca="1">IF(E62&lt;'Invoer gegevens'!$C$17+15,0,IF(E62&gt;'Invoer gegevens'!$C$17+215,0,AW62))</f>
        <v>0</v>
      </c>
      <c r="AY62" s="71">
        <f ca="1">AX62/(1+'Invoer gegevens'!$F$13)^($AZ62-('Invoer gegevens'!$C$17-'Invoer gegevens'!$C$16))/(1+'Invoer gegevens'!$C$39)^('Invoer gegevens'!$C$17-'Invoer gegevens'!$C$16)</f>
        <v>0</v>
      </c>
      <c r="AZ62" s="68">
        <f ca="1">IF(E62-'Invoer gegevens'!$C$17-14.5&lt;0,0,E62-'Invoer gegevens'!$C$17-14.5)</f>
        <v>42.5</v>
      </c>
    </row>
    <row r="63" spans="2:52" x14ac:dyDescent="0.25">
      <c r="B63" s="70">
        <f t="shared" si="8"/>
        <v>59</v>
      </c>
      <c r="C63" s="67">
        <f ca="1">IF(E63-'Invoer gegevens'!$C$17&lt;0,0,1)</f>
        <v>1</v>
      </c>
      <c r="D63" s="68">
        <f t="shared" si="9"/>
        <v>58.5</v>
      </c>
      <c r="E63" s="69">
        <f ca="1">IF('Invoer gegevens'!$C$16="","",E62+1)</f>
        <v>2077</v>
      </c>
      <c r="F63" s="82">
        <f ca="1">IF('Invoer gegevens'!$C$17=E63,'Invoer gegevens'!$C$10,IF(C63=1,H62,0))</f>
        <v>0</v>
      </c>
      <c r="G63" s="83">
        <f ca="1">IF(C63&gt;=1,F63*Reeksen!C63,0)</f>
        <v>0</v>
      </c>
      <c r="H63" s="84">
        <f t="shared" ca="1" si="3"/>
        <v>0</v>
      </c>
      <c r="I63" s="85">
        <f ca="1">IF('Invoer gegevens'!$C$17=E63,'Invoer gegevens'!$C$11,IF(C63=1,L62,0))</f>
        <v>0</v>
      </c>
      <c r="J63" s="86">
        <f ca="1">IF(C63&lt;1,0,IF(Reeksen!AK63&lt;=Reeksen!AE63,I63*Reeksen!C63,0))</f>
        <v>0</v>
      </c>
      <c r="K63" s="86">
        <f ca="1">IF(C63&lt;1,0,IF(Reeksen!AK63&gt;Reeksen!AE63,I63*Reeksen!C63,0))</f>
        <v>0</v>
      </c>
      <c r="L63" s="86">
        <f t="shared" ca="1" si="4"/>
        <v>0</v>
      </c>
      <c r="M63" s="85">
        <f ca="1">IF('Invoer gegevens'!$C$17=E63,'Invoer gegevens'!$C$10-'Invoer gegevens'!$C$11,IF(C63=1,P62,0))</f>
        <v>0</v>
      </c>
      <c r="N63" s="86">
        <f ca="1">IF(C63&lt;1,0,IF(Reeksen!AK63&lt;=Reeksen!AE63,M63*Reeksen!C63,0))</f>
        <v>0</v>
      </c>
      <c r="O63" s="86">
        <f ca="1">IF(C63&lt;1,0,IF(Reeksen!AK63&gt;Reeksen!AE63,M63*Reeksen!C63,0))</f>
        <v>0</v>
      </c>
      <c r="P63" s="86">
        <f t="shared" ca="1" si="5"/>
        <v>0</v>
      </c>
      <c r="Q63" s="82">
        <f ca="1">IF('Invoer gegevens'!$C$17=E63,I63,IF(C63=0,0,R62))</f>
        <v>0</v>
      </c>
      <c r="R63" s="84">
        <f t="shared" ca="1" si="0"/>
        <v>0</v>
      </c>
      <c r="S63" s="84">
        <f ca="1">IF('Invoer gegevens'!$C$17=E63,M63,IF(C63=0,0,T62))</f>
        <v>0</v>
      </c>
      <c r="T63" s="84">
        <f t="shared" ca="1" si="1"/>
        <v>0</v>
      </c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8"/>
      <c r="AI63" s="71">
        <f ca="1">IF(C63=1,((F63+H63)/2*Reeksen!AJ63*12)+(('Invoer gegevens'!$C$10-(F63+H63)/2)*Reeksen!AK63*12),0)</f>
        <v>0</v>
      </c>
      <c r="AJ63" s="71">
        <f ca="1">-AI63*'Invoer gegevens'!$F$28</f>
        <v>0</v>
      </c>
      <c r="AK63" s="71">
        <f t="shared" ca="1" si="2"/>
        <v>0</v>
      </c>
      <c r="AL63" s="71">
        <f ca="1">IF(C63=1,(12*((F63+H63)/2)*Reeksen!AL63)+(12*('Invoer gegevens'!$C$10-(F63+H63)/2)*Reeksen!AM63),0)</f>
        <v>0</v>
      </c>
      <c r="AM63" s="71">
        <f ca="1">-AL63*'Invoer gegevens'!$F$31</f>
        <v>0</v>
      </c>
      <c r="AN63" s="71">
        <f t="shared" ca="1" si="6"/>
        <v>0</v>
      </c>
      <c r="AO63" s="71"/>
      <c r="AP63" s="71"/>
      <c r="AQ63" s="71">
        <f ca="1">-IF(C63=1,('Invoer gegevens'!$C$10*'Invoer gegevens'!$I$33)*Reeksen!J63,0)*2</f>
        <v>0</v>
      </c>
      <c r="AR63" s="71">
        <f ca="1">-IF(C63=1,(G63*'Invoer gegevens'!$I$34)*Reeksen!J63,0)</f>
        <v>0</v>
      </c>
      <c r="AS63" s="71">
        <f ca="1">-IF(C63=1,'Invoer gegevens'!$C$10*'Invoer gegevens'!$I$35*Reeksen!L63,0)</f>
        <v>0</v>
      </c>
      <c r="AT63" s="71">
        <f ca="1">-IF(C63=1,IF(E63='Invoer gegevens'!$C$17,'Invoer gegevens'!$C$11,Q63)*Reeksen!S63*'Invoer gegevens'!$C$18*Reeksen!P63,0)</f>
        <v>0</v>
      </c>
      <c r="AU63" s="71">
        <f ca="1">-IF(C63=1,'Invoer gegevens'!$C$10*'Invoer gegevens'!$I$36*Reeksen!H63,0)</f>
        <v>0</v>
      </c>
      <c r="AV63" s="71">
        <f t="shared" si="10"/>
        <v>0</v>
      </c>
      <c r="AW63" s="71">
        <f t="shared" ca="1" si="7"/>
        <v>0</v>
      </c>
      <c r="AX63" s="71">
        <f ca="1">IF(E63&lt;'Invoer gegevens'!$C$17+15,0,IF(E63&gt;'Invoer gegevens'!$C$17+215,0,AW63))</f>
        <v>0</v>
      </c>
      <c r="AY63" s="71">
        <f ca="1">AX63/(1+'Invoer gegevens'!$F$13)^($AZ63-('Invoer gegevens'!$C$17-'Invoer gegevens'!$C$16))/(1+'Invoer gegevens'!$C$39)^('Invoer gegevens'!$C$17-'Invoer gegevens'!$C$16)</f>
        <v>0</v>
      </c>
      <c r="AZ63" s="68">
        <f ca="1">IF(E63-'Invoer gegevens'!$C$17-14.5&lt;0,0,E63-'Invoer gegevens'!$C$17-14.5)</f>
        <v>43.5</v>
      </c>
    </row>
    <row r="64" spans="2:52" x14ac:dyDescent="0.25">
      <c r="B64" s="70">
        <f t="shared" si="8"/>
        <v>60</v>
      </c>
      <c r="C64" s="67">
        <f ca="1">IF(E64-'Invoer gegevens'!$C$17&lt;0,0,1)</f>
        <v>1</v>
      </c>
      <c r="D64" s="68">
        <f t="shared" si="9"/>
        <v>59.5</v>
      </c>
      <c r="E64" s="69">
        <f ca="1">IF('Invoer gegevens'!$C$16="","",E63+1)</f>
        <v>2078</v>
      </c>
      <c r="F64" s="82">
        <f ca="1">IF('Invoer gegevens'!$C$17=E64,'Invoer gegevens'!$C$10,IF(C64=1,H63,0))</f>
        <v>0</v>
      </c>
      <c r="G64" s="83">
        <f ca="1">IF(C64&gt;=1,F64*Reeksen!C64,0)</f>
        <v>0</v>
      </c>
      <c r="H64" s="84">
        <f t="shared" ca="1" si="3"/>
        <v>0</v>
      </c>
      <c r="I64" s="85">
        <f ca="1">IF('Invoer gegevens'!$C$17=E64,'Invoer gegevens'!$C$11,IF(C64=1,L63,0))</f>
        <v>0</v>
      </c>
      <c r="J64" s="86">
        <f ca="1">IF(C64&lt;1,0,IF(Reeksen!AK64&lt;=Reeksen!AE64,I64*Reeksen!C64,0))</f>
        <v>0</v>
      </c>
      <c r="K64" s="86">
        <f ca="1">IF(C64&lt;1,0,IF(Reeksen!AK64&gt;Reeksen!AE64,I64*Reeksen!C64,0))</f>
        <v>0</v>
      </c>
      <c r="L64" s="86">
        <f t="shared" ca="1" si="4"/>
        <v>0</v>
      </c>
      <c r="M64" s="85">
        <f ca="1">IF('Invoer gegevens'!$C$17=E64,'Invoer gegevens'!$C$10-'Invoer gegevens'!$C$11,IF(C64=1,P63,0))</f>
        <v>0</v>
      </c>
      <c r="N64" s="86">
        <f ca="1">IF(C64&lt;1,0,IF(Reeksen!AK64&lt;=Reeksen!AE64,M64*Reeksen!C64,0))</f>
        <v>0</v>
      </c>
      <c r="O64" s="86">
        <f ca="1">IF(C64&lt;1,0,IF(Reeksen!AK64&gt;Reeksen!AE64,M64*Reeksen!C64,0))</f>
        <v>0</v>
      </c>
      <c r="P64" s="86">
        <f t="shared" ca="1" si="5"/>
        <v>0</v>
      </c>
      <c r="Q64" s="82">
        <f ca="1">IF('Invoer gegevens'!$C$17=E64,I64,IF(C64=0,0,R63))</f>
        <v>0</v>
      </c>
      <c r="R64" s="84">
        <f t="shared" ca="1" si="0"/>
        <v>0</v>
      </c>
      <c r="S64" s="84">
        <f ca="1">IF('Invoer gegevens'!$C$17=E64,M64,IF(C64=0,0,T63))</f>
        <v>0</v>
      </c>
      <c r="T64" s="84">
        <f t="shared" ca="1" si="1"/>
        <v>0</v>
      </c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8"/>
      <c r="AI64" s="71">
        <f ca="1">IF(C64=1,((F64+H64)/2*Reeksen!AJ64*12)+(('Invoer gegevens'!$C$10-(F64+H64)/2)*Reeksen!AK64*12),0)</f>
        <v>0</v>
      </c>
      <c r="AJ64" s="71">
        <f ca="1">-AI64*'Invoer gegevens'!$F$28</f>
        <v>0</v>
      </c>
      <c r="AK64" s="71">
        <f t="shared" ca="1" si="2"/>
        <v>0</v>
      </c>
      <c r="AL64" s="71">
        <f ca="1">IF(C64=1,(12*((F64+H64)/2)*Reeksen!AL64)+(12*('Invoer gegevens'!$C$10-(F64+H64)/2)*Reeksen!AM64),0)</f>
        <v>0</v>
      </c>
      <c r="AM64" s="71">
        <f ca="1">-AL64*'Invoer gegevens'!$F$31</f>
        <v>0</v>
      </c>
      <c r="AN64" s="71">
        <f t="shared" ca="1" si="6"/>
        <v>0</v>
      </c>
      <c r="AO64" s="71"/>
      <c r="AP64" s="71"/>
      <c r="AQ64" s="71">
        <f ca="1">-IF(C64=1,('Invoer gegevens'!$C$10*'Invoer gegevens'!$I$33)*Reeksen!J64,0)*2</f>
        <v>0</v>
      </c>
      <c r="AR64" s="71">
        <f ca="1">-IF(C64=1,(G64*'Invoer gegevens'!$I$34)*Reeksen!J64,0)</f>
        <v>0</v>
      </c>
      <c r="AS64" s="71">
        <f ca="1">-IF(C64=1,'Invoer gegevens'!$C$10*'Invoer gegevens'!$I$35*Reeksen!L64,0)</f>
        <v>0</v>
      </c>
      <c r="AT64" s="71">
        <f ca="1">-IF(C64=1,IF(E64='Invoer gegevens'!$C$17,'Invoer gegevens'!$C$11,Q64)*Reeksen!S64*'Invoer gegevens'!$C$18*Reeksen!P64,0)</f>
        <v>0</v>
      </c>
      <c r="AU64" s="71">
        <f ca="1">-IF(C64=1,'Invoer gegevens'!$C$10*'Invoer gegevens'!$I$36*Reeksen!H64,0)</f>
        <v>0</v>
      </c>
      <c r="AV64" s="71">
        <f t="shared" si="10"/>
        <v>0</v>
      </c>
      <c r="AW64" s="71">
        <f t="shared" ca="1" si="7"/>
        <v>0</v>
      </c>
      <c r="AX64" s="71">
        <f ca="1">IF(E64&lt;'Invoer gegevens'!$C$17+15,0,IF(E64&gt;'Invoer gegevens'!$C$17+215,0,AW64))</f>
        <v>0</v>
      </c>
      <c r="AY64" s="71">
        <f ca="1">AX64/(1+'Invoer gegevens'!$F$13)^($AZ64-('Invoer gegevens'!$C$17-'Invoer gegevens'!$C$16))/(1+'Invoer gegevens'!$C$39)^('Invoer gegevens'!$C$17-'Invoer gegevens'!$C$16)</f>
        <v>0</v>
      </c>
      <c r="AZ64" s="68">
        <f ca="1">IF(E64-'Invoer gegevens'!$C$17-14.5&lt;0,0,E64-'Invoer gegevens'!$C$17-14.5)</f>
        <v>44.5</v>
      </c>
    </row>
    <row r="65" spans="2:52" x14ac:dyDescent="0.25">
      <c r="B65" s="70">
        <f t="shared" si="8"/>
        <v>61</v>
      </c>
      <c r="C65" s="67">
        <f ca="1">IF(E65-'Invoer gegevens'!$C$17&lt;0,0,1)</f>
        <v>1</v>
      </c>
      <c r="D65" s="68">
        <f t="shared" si="9"/>
        <v>60.5</v>
      </c>
      <c r="E65" s="69">
        <f ca="1">IF('Invoer gegevens'!$C$16="","",E64+1)</f>
        <v>2079</v>
      </c>
      <c r="F65" s="82">
        <f ca="1">IF('Invoer gegevens'!$C$17=E65,'Invoer gegevens'!$C$10,IF(C65=1,H64,0))</f>
        <v>0</v>
      </c>
      <c r="G65" s="83">
        <f ca="1">IF(C65&gt;=1,F65*Reeksen!C65,0)</f>
        <v>0</v>
      </c>
      <c r="H65" s="84">
        <f t="shared" ca="1" si="3"/>
        <v>0</v>
      </c>
      <c r="I65" s="85">
        <f ca="1">IF('Invoer gegevens'!$C$17=E65,'Invoer gegevens'!$C$11,IF(C65=1,L64,0))</f>
        <v>0</v>
      </c>
      <c r="J65" s="86">
        <f ca="1">IF(C65&lt;1,0,IF(Reeksen!AK65&lt;=Reeksen!AE65,I65*Reeksen!C65,0))</f>
        <v>0</v>
      </c>
      <c r="K65" s="86">
        <f ca="1">IF(C65&lt;1,0,IF(Reeksen!AK65&gt;Reeksen!AE65,I65*Reeksen!C65,0))</f>
        <v>0</v>
      </c>
      <c r="L65" s="86">
        <f t="shared" ca="1" si="4"/>
        <v>0</v>
      </c>
      <c r="M65" s="85">
        <f ca="1">IF('Invoer gegevens'!$C$17=E65,'Invoer gegevens'!$C$10-'Invoer gegevens'!$C$11,IF(C65=1,P64,0))</f>
        <v>0</v>
      </c>
      <c r="N65" s="86">
        <f ca="1">IF(C65&lt;1,0,IF(Reeksen!AK65&lt;=Reeksen!AE65,M65*Reeksen!C65,0))</f>
        <v>0</v>
      </c>
      <c r="O65" s="86">
        <f ca="1">IF(C65&lt;1,0,IF(Reeksen!AK65&gt;Reeksen!AE65,M65*Reeksen!C65,0))</f>
        <v>0</v>
      </c>
      <c r="P65" s="86">
        <f t="shared" ca="1" si="5"/>
        <v>0</v>
      </c>
      <c r="Q65" s="82">
        <f ca="1">IF('Invoer gegevens'!$C$17=E65,I65,IF(C65=0,0,R64))</f>
        <v>0</v>
      </c>
      <c r="R65" s="84">
        <f t="shared" ca="1" si="0"/>
        <v>0</v>
      </c>
      <c r="S65" s="84">
        <f ca="1">IF('Invoer gegevens'!$C$17=E65,M65,IF(C65=0,0,T64))</f>
        <v>0</v>
      </c>
      <c r="T65" s="84">
        <f t="shared" ca="1" si="1"/>
        <v>0</v>
      </c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8"/>
      <c r="AI65" s="71">
        <f ca="1">IF(C65=1,((F65+H65)/2*Reeksen!AJ65*12)+(('Invoer gegevens'!$C$10-(F65+H65)/2)*Reeksen!AK65*12),0)</f>
        <v>0</v>
      </c>
      <c r="AJ65" s="71">
        <f ca="1">-AI65*'Invoer gegevens'!$F$28</f>
        <v>0</v>
      </c>
      <c r="AK65" s="71">
        <f t="shared" ca="1" si="2"/>
        <v>0</v>
      </c>
      <c r="AL65" s="71">
        <f ca="1">IF(C65=1,(12*((F65+H65)/2)*Reeksen!AL65)+(12*('Invoer gegevens'!$C$10-(F65+H65)/2)*Reeksen!AM65),0)</f>
        <v>0</v>
      </c>
      <c r="AM65" s="71">
        <f ca="1">-AL65*'Invoer gegevens'!$F$31</f>
        <v>0</v>
      </c>
      <c r="AN65" s="71">
        <f t="shared" ca="1" si="6"/>
        <v>0</v>
      </c>
      <c r="AO65" s="71"/>
      <c r="AP65" s="71"/>
      <c r="AQ65" s="71">
        <f ca="1">-IF(C65=1,('Invoer gegevens'!$C$10*'Invoer gegevens'!$I$33)*Reeksen!J65,0)*2</f>
        <v>0</v>
      </c>
      <c r="AR65" s="71">
        <f ca="1">-IF(C65=1,(G65*'Invoer gegevens'!$I$34)*Reeksen!J65,0)</f>
        <v>0</v>
      </c>
      <c r="AS65" s="71">
        <f ca="1">-IF(C65=1,'Invoer gegevens'!$C$10*'Invoer gegevens'!$I$35*Reeksen!L65,0)</f>
        <v>0</v>
      </c>
      <c r="AT65" s="71">
        <f ca="1">-IF(C65=1,IF(E65='Invoer gegevens'!$C$17,'Invoer gegevens'!$C$11,Q65)*Reeksen!S65*'Invoer gegevens'!$C$18*Reeksen!P65,0)</f>
        <v>0</v>
      </c>
      <c r="AU65" s="71">
        <f ca="1">-IF(C65=1,'Invoer gegevens'!$C$10*'Invoer gegevens'!$I$36*Reeksen!H65,0)</f>
        <v>0</v>
      </c>
      <c r="AV65" s="71">
        <f t="shared" si="10"/>
        <v>0</v>
      </c>
      <c r="AW65" s="71">
        <f t="shared" ca="1" si="7"/>
        <v>0</v>
      </c>
      <c r="AX65" s="71">
        <f ca="1">IF(E65&lt;'Invoer gegevens'!$C$17+15,0,IF(E65&gt;'Invoer gegevens'!$C$17+215,0,AW65))</f>
        <v>0</v>
      </c>
      <c r="AY65" s="71">
        <f ca="1">AX65/(1+'Invoer gegevens'!$F$13)^($AZ65-('Invoer gegevens'!$C$17-'Invoer gegevens'!$C$16))/(1+'Invoer gegevens'!$C$39)^('Invoer gegevens'!$C$17-'Invoer gegevens'!$C$16)</f>
        <v>0</v>
      </c>
      <c r="AZ65" s="68">
        <f ca="1">IF(E65-'Invoer gegevens'!$C$17-14.5&lt;0,0,E65-'Invoer gegevens'!$C$17-14.5)</f>
        <v>45.5</v>
      </c>
    </row>
    <row r="66" spans="2:52" x14ac:dyDescent="0.25">
      <c r="B66" s="70">
        <f t="shared" si="8"/>
        <v>62</v>
      </c>
      <c r="C66" s="67">
        <f ca="1">IF(E66-'Invoer gegevens'!$C$17&lt;0,0,1)</f>
        <v>1</v>
      </c>
      <c r="D66" s="68">
        <f t="shared" si="9"/>
        <v>61.5</v>
      </c>
      <c r="E66" s="69">
        <f ca="1">IF('Invoer gegevens'!$C$16="","",E65+1)</f>
        <v>2080</v>
      </c>
      <c r="F66" s="82">
        <f ca="1">IF('Invoer gegevens'!$C$17=E66,'Invoer gegevens'!$C$10,IF(C66=1,H65,0))</f>
        <v>0</v>
      </c>
      <c r="G66" s="83">
        <f ca="1">IF(C66&gt;=1,F66*Reeksen!C66,0)</f>
        <v>0</v>
      </c>
      <c r="H66" s="84">
        <f t="shared" ca="1" si="3"/>
        <v>0</v>
      </c>
      <c r="I66" s="85">
        <f ca="1">IF('Invoer gegevens'!$C$17=E66,'Invoer gegevens'!$C$11,IF(C66=1,L65,0))</f>
        <v>0</v>
      </c>
      <c r="J66" s="86">
        <f ca="1">IF(C66&lt;1,0,IF(Reeksen!AK66&lt;=Reeksen!AE66,I66*Reeksen!C66,0))</f>
        <v>0</v>
      </c>
      <c r="K66" s="86">
        <f ca="1">IF(C66&lt;1,0,IF(Reeksen!AK66&gt;Reeksen!AE66,I66*Reeksen!C66,0))</f>
        <v>0</v>
      </c>
      <c r="L66" s="86">
        <f t="shared" ca="1" si="4"/>
        <v>0</v>
      </c>
      <c r="M66" s="85">
        <f ca="1">IF('Invoer gegevens'!$C$17=E66,'Invoer gegevens'!$C$10-'Invoer gegevens'!$C$11,IF(C66=1,P65,0))</f>
        <v>0</v>
      </c>
      <c r="N66" s="86">
        <f ca="1">IF(C66&lt;1,0,IF(Reeksen!AK66&lt;=Reeksen!AE66,M66*Reeksen!C66,0))</f>
        <v>0</v>
      </c>
      <c r="O66" s="86">
        <f ca="1">IF(C66&lt;1,0,IF(Reeksen!AK66&gt;Reeksen!AE66,M66*Reeksen!C66,0))</f>
        <v>0</v>
      </c>
      <c r="P66" s="86">
        <f t="shared" ca="1" si="5"/>
        <v>0</v>
      </c>
      <c r="Q66" s="82">
        <f ca="1">IF('Invoer gegevens'!$C$17=E66,I66,IF(C66=0,0,R65))</f>
        <v>0</v>
      </c>
      <c r="R66" s="84">
        <f t="shared" ca="1" si="0"/>
        <v>0</v>
      </c>
      <c r="S66" s="84">
        <f ca="1">IF('Invoer gegevens'!$C$17=E66,M66,IF(C66=0,0,T65))</f>
        <v>0</v>
      </c>
      <c r="T66" s="84">
        <f t="shared" ca="1" si="1"/>
        <v>0</v>
      </c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8"/>
      <c r="AI66" s="71">
        <f ca="1">IF(C66=1,((F66+H66)/2*Reeksen!AJ66*12)+(('Invoer gegevens'!$C$10-(F66+H66)/2)*Reeksen!AK66*12),0)</f>
        <v>0</v>
      </c>
      <c r="AJ66" s="71">
        <f ca="1">-AI66*'Invoer gegevens'!$F$28</f>
        <v>0</v>
      </c>
      <c r="AK66" s="71">
        <f t="shared" ca="1" si="2"/>
        <v>0</v>
      </c>
      <c r="AL66" s="71">
        <f ca="1">IF(C66=1,(12*((F66+H66)/2)*Reeksen!AL66)+(12*('Invoer gegevens'!$C$10-(F66+H66)/2)*Reeksen!AM66),0)</f>
        <v>0</v>
      </c>
      <c r="AM66" s="71">
        <f ca="1">-AL66*'Invoer gegevens'!$F$31</f>
        <v>0</v>
      </c>
      <c r="AN66" s="71">
        <f t="shared" ca="1" si="6"/>
        <v>0</v>
      </c>
      <c r="AO66" s="71"/>
      <c r="AP66" s="71"/>
      <c r="AQ66" s="71">
        <f ca="1">-IF(C66=1,('Invoer gegevens'!$C$10*'Invoer gegevens'!$I$33)*Reeksen!J66,0)*2</f>
        <v>0</v>
      </c>
      <c r="AR66" s="71">
        <f ca="1">-IF(C66=1,(G66*'Invoer gegevens'!$I$34)*Reeksen!J66,0)</f>
        <v>0</v>
      </c>
      <c r="AS66" s="71">
        <f ca="1">-IF(C66=1,'Invoer gegevens'!$C$10*'Invoer gegevens'!$I$35*Reeksen!L66,0)</f>
        <v>0</v>
      </c>
      <c r="AT66" s="71">
        <f ca="1">-IF(C66=1,IF(E66='Invoer gegevens'!$C$17,'Invoer gegevens'!$C$11,Q66)*Reeksen!S66*'Invoer gegevens'!$C$18*Reeksen!P66,0)</f>
        <v>0</v>
      </c>
      <c r="AU66" s="71">
        <f ca="1">-IF(C66=1,'Invoer gegevens'!$C$10*'Invoer gegevens'!$I$36*Reeksen!H66,0)</f>
        <v>0</v>
      </c>
      <c r="AV66" s="71">
        <f t="shared" si="10"/>
        <v>0</v>
      </c>
      <c r="AW66" s="71">
        <f t="shared" ca="1" si="7"/>
        <v>0</v>
      </c>
      <c r="AX66" s="71">
        <f ca="1">IF(E66&lt;'Invoer gegevens'!$C$17+15,0,IF(E66&gt;'Invoer gegevens'!$C$17+215,0,AW66))</f>
        <v>0</v>
      </c>
      <c r="AY66" s="71">
        <f ca="1">AX66/(1+'Invoer gegevens'!$F$13)^($AZ66-('Invoer gegevens'!$C$17-'Invoer gegevens'!$C$16))/(1+'Invoer gegevens'!$C$39)^('Invoer gegevens'!$C$17-'Invoer gegevens'!$C$16)</f>
        <v>0</v>
      </c>
      <c r="AZ66" s="68">
        <f ca="1">IF(E66-'Invoer gegevens'!$C$17-14.5&lt;0,0,E66-'Invoer gegevens'!$C$17-14.5)</f>
        <v>46.5</v>
      </c>
    </row>
    <row r="67" spans="2:52" x14ac:dyDescent="0.25">
      <c r="B67" s="70">
        <f t="shared" si="8"/>
        <v>63</v>
      </c>
      <c r="C67" s="67">
        <f ca="1">IF(E67-'Invoer gegevens'!$C$17&lt;0,0,1)</f>
        <v>1</v>
      </c>
      <c r="D67" s="68">
        <f t="shared" si="9"/>
        <v>62.5</v>
      </c>
      <c r="E67" s="69">
        <f ca="1">IF('Invoer gegevens'!$C$16="","",E66+1)</f>
        <v>2081</v>
      </c>
      <c r="F67" s="82">
        <f ca="1">IF('Invoer gegevens'!$C$17=E67,'Invoer gegevens'!$C$10,IF(C67=1,H66,0))</f>
        <v>0</v>
      </c>
      <c r="G67" s="83">
        <f ca="1">IF(C67&gt;=1,F67*Reeksen!C67,0)</f>
        <v>0</v>
      </c>
      <c r="H67" s="84">
        <f t="shared" ca="1" si="3"/>
        <v>0</v>
      </c>
      <c r="I67" s="85">
        <f ca="1">IF('Invoer gegevens'!$C$17=E67,'Invoer gegevens'!$C$11,IF(C67=1,L66,0))</f>
        <v>0</v>
      </c>
      <c r="J67" s="86">
        <f ca="1">IF(C67&lt;1,0,IF(Reeksen!AK67&lt;=Reeksen!AE67,I67*Reeksen!C67,0))</f>
        <v>0</v>
      </c>
      <c r="K67" s="86">
        <f ca="1">IF(C67&lt;1,0,IF(Reeksen!AK67&gt;Reeksen!AE67,I67*Reeksen!C67,0))</f>
        <v>0</v>
      </c>
      <c r="L67" s="86">
        <f t="shared" ca="1" si="4"/>
        <v>0</v>
      </c>
      <c r="M67" s="85">
        <f ca="1">IF('Invoer gegevens'!$C$17=E67,'Invoer gegevens'!$C$10-'Invoer gegevens'!$C$11,IF(C67=1,P66,0))</f>
        <v>0</v>
      </c>
      <c r="N67" s="86">
        <f ca="1">IF(C67&lt;1,0,IF(Reeksen!AK67&lt;=Reeksen!AE67,M67*Reeksen!C67,0))</f>
        <v>0</v>
      </c>
      <c r="O67" s="86">
        <f ca="1">IF(C67&lt;1,0,IF(Reeksen!AK67&gt;Reeksen!AE67,M67*Reeksen!C67,0))</f>
        <v>0</v>
      </c>
      <c r="P67" s="86">
        <f t="shared" ca="1" si="5"/>
        <v>0</v>
      </c>
      <c r="Q67" s="82">
        <f ca="1">IF('Invoer gegevens'!$C$17=E67,I67,IF(C67=0,0,R66))</f>
        <v>0</v>
      </c>
      <c r="R67" s="84">
        <f t="shared" ca="1" si="0"/>
        <v>0</v>
      </c>
      <c r="S67" s="84">
        <f ca="1">IF('Invoer gegevens'!$C$17=E67,M67,IF(C67=0,0,T66))</f>
        <v>0</v>
      </c>
      <c r="T67" s="84">
        <f t="shared" ca="1" si="1"/>
        <v>0</v>
      </c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8"/>
      <c r="AI67" s="71">
        <f ca="1">IF(C67=1,((F67+H67)/2*Reeksen!AJ67*12)+(('Invoer gegevens'!$C$10-(F67+H67)/2)*Reeksen!AK67*12),0)</f>
        <v>0</v>
      </c>
      <c r="AJ67" s="71">
        <f ca="1">-AI67*'Invoer gegevens'!$F$28</f>
        <v>0</v>
      </c>
      <c r="AK67" s="71">
        <f t="shared" ca="1" si="2"/>
        <v>0</v>
      </c>
      <c r="AL67" s="71">
        <f ca="1">IF(C67=1,(12*((F67+H67)/2)*Reeksen!AL67)+(12*('Invoer gegevens'!$C$10-(F67+H67)/2)*Reeksen!AM67),0)</f>
        <v>0</v>
      </c>
      <c r="AM67" s="71">
        <f ca="1">-AL67*'Invoer gegevens'!$F$31</f>
        <v>0</v>
      </c>
      <c r="AN67" s="71">
        <f t="shared" ca="1" si="6"/>
        <v>0</v>
      </c>
      <c r="AO67" s="71"/>
      <c r="AP67" s="71"/>
      <c r="AQ67" s="71">
        <f ca="1">-IF(C67=1,('Invoer gegevens'!$C$10*'Invoer gegevens'!$I$33)*Reeksen!J67,0)*2</f>
        <v>0</v>
      </c>
      <c r="AR67" s="71">
        <f ca="1">-IF(C67=1,(G67*'Invoer gegevens'!$I$34)*Reeksen!J67,0)</f>
        <v>0</v>
      </c>
      <c r="AS67" s="71">
        <f ca="1">-IF(C67=1,'Invoer gegevens'!$C$10*'Invoer gegevens'!$I$35*Reeksen!L67,0)</f>
        <v>0</v>
      </c>
      <c r="AT67" s="71">
        <f ca="1">-IF(C67=1,IF(E67='Invoer gegevens'!$C$17,'Invoer gegevens'!$C$11,Q67)*Reeksen!S67*'Invoer gegevens'!$C$18*Reeksen!P67,0)</f>
        <v>0</v>
      </c>
      <c r="AU67" s="71">
        <f ca="1">-IF(C67=1,'Invoer gegevens'!$C$10*'Invoer gegevens'!$I$36*Reeksen!H67,0)</f>
        <v>0</v>
      </c>
      <c r="AV67" s="71">
        <f t="shared" si="10"/>
        <v>0</v>
      </c>
      <c r="AW67" s="71">
        <f t="shared" ca="1" si="7"/>
        <v>0</v>
      </c>
      <c r="AX67" s="71">
        <f ca="1">IF(E67&lt;'Invoer gegevens'!$C$17+15,0,IF(E67&gt;'Invoer gegevens'!$C$17+215,0,AW67))</f>
        <v>0</v>
      </c>
      <c r="AY67" s="71">
        <f ca="1">AX67/(1+'Invoer gegevens'!$F$13)^($AZ67-('Invoer gegevens'!$C$17-'Invoer gegevens'!$C$16))/(1+'Invoer gegevens'!$C$39)^('Invoer gegevens'!$C$17-'Invoer gegevens'!$C$16)</f>
        <v>0</v>
      </c>
      <c r="AZ67" s="68">
        <f ca="1">IF(E67-'Invoer gegevens'!$C$17-14.5&lt;0,0,E67-'Invoer gegevens'!$C$17-14.5)</f>
        <v>47.5</v>
      </c>
    </row>
    <row r="68" spans="2:52" x14ac:dyDescent="0.25">
      <c r="B68" s="70">
        <f t="shared" si="8"/>
        <v>64</v>
      </c>
      <c r="C68" s="67">
        <f ca="1">IF(E68-'Invoer gegevens'!$C$17&lt;0,0,1)</f>
        <v>1</v>
      </c>
      <c r="D68" s="68">
        <f t="shared" si="9"/>
        <v>63.5</v>
      </c>
      <c r="E68" s="69">
        <f ca="1">IF('Invoer gegevens'!$C$16="","",E67+1)</f>
        <v>2082</v>
      </c>
      <c r="F68" s="82">
        <f ca="1">IF('Invoer gegevens'!$C$17=E68,'Invoer gegevens'!$C$10,IF(C68=1,H67,0))</f>
        <v>0</v>
      </c>
      <c r="G68" s="83">
        <f ca="1">IF(C68&gt;=1,F68*Reeksen!C68,0)</f>
        <v>0</v>
      </c>
      <c r="H68" s="84">
        <f t="shared" ca="1" si="3"/>
        <v>0</v>
      </c>
      <c r="I68" s="85">
        <f ca="1">IF('Invoer gegevens'!$C$17=E68,'Invoer gegevens'!$C$11,IF(C68=1,L67,0))</f>
        <v>0</v>
      </c>
      <c r="J68" s="86">
        <f ca="1">IF(C68&lt;1,0,IF(Reeksen!AK68&lt;=Reeksen!AE68,I68*Reeksen!C68,0))</f>
        <v>0</v>
      </c>
      <c r="K68" s="86">
        <f ca="1">IF(C68&lt;1,0,IF(Reeksen!AK68&gt;Reeksen!AE68,I68*Reeksen!C68,0))</f>
        <v>0</v>
      </c>
      <c r="L68" s="86">
        <f t="shared" ca="1" si="4"/>
        <v>0</v>
      </c>
      <c r="M68" s="85">
        <f ca="1">IF('Invoer gegevens'!$C$17=E68,'Invoer gegevens'!$C$10-'Invoer gegevens'!$C$11,IF(C68=1,P67,0))</f>
        <v>0</v>
      </c>
      <c r="N68" s="86">
        <f ca="1">IF(C68&lt;1,0,IF(Reeksen!AK68&lt;=Reeksen!AE68,M68*Reeksen!C68,0))</f>
        <v>0</v>
      </c>
      <c r="O68" s="86">
        <f ca="1">IF(C68&lt;1,0,IF(Reeksen!AK68&gt;Reeksen!AE68,M68*Reeksen!C68,0))</f>
        <v>0</v>
      </c>
      <c r="P68" s="86">
        <f t="shared" ca="1" si="5"/>
        <v>0</v>
      </c>
      <c r="Q68" s="82">
        <f ca="1">IF('Invoer gegevens'!$C$17=E68,I68,IF(C68=0,0,R67))</f>
        <v>0</v>
      </c>
      <c r="R68" s="84">
        <f t="shared" ca="1" si="0"/>
        <v>0</v>
      </c>
      <c r="S68" s="84">
        <f ca="1">IF('Invoer gegevens'!$C$17=E68,M68,IF(C68=0,0,T67))</f>
        <v>0</v>
      </c>
      <c r="T68" s="84">
        <f t="shared" ca="1" si="1"/>
        <v>0</v>
      </c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8"/>
      <c r="AI68" s="71">
        <f ca="1">IF(C68=1,((F68+H68)/2*Reeksen!AJ68*12)+(('Invoer gegevens'!$C$10-(F68+H68)/2)*Reeksen!AK68*12),0)</f>
        <v>0</v>
      </c>
      <c r="AJ68" s="71">
        <f ca="1">-AI68*'Invoer gegevens'!$F$28</f>
        <v>0</v>
      </c>
      <c r="AK68" s="71">
        <f t="shared" ca="1" si="2"/>
        <v>0</v>
      </c>
      <c r="AL68" s="71">
        <f ca="1">IF(C68=1,(12*((F68+H68)/2)*Reeksen!AL68)+(12*('Invoer gegevens'!$C$10-(F68+H68)/2)*Reeksen!AM68),0)</f>
        <v>0</v>
      </c>
      <c r="AM68" s="71">
        <f ca="1">-AL68*'Invoer gegevens'!$F$31</f>
        <v>0</v>
      </c>
      <c r="AN68" s="71">
        <f t="shared" ca="1" si="6"/>
        <v>0</v>
      </c>
      <c r="AO68" s="71"/>
      <c r="AP68" s="71"/>
      <c r="AQ68" s="71">
        <f ca="1">-IF(C68=1,('Invoer gegevens'!$C$10*'Invoer gegevens'!$I$33)*Reeksen!J68,0)*2</f>
        <v>0</v>
      </c>
      <c r="AR68" s="71">
        <f ca="1">-IF(C68=1,(G68*'Invoer gegevens'!$I$34)*Reeksen!J68,0)</f>
        <v>0</v>
      </c>
      <c r="AS68" s="71">
        <f ca="1">-IF(C68=1,'Invoer gegevens'!$C$10*'Invoer gegevens'!$I$35*Reeksen!L68,0)</f>
        <v>0</v>
      </c>
      <c r="AT68" s="71">
        <f ca="1">-IF(C68=1,IF(E68='Invoer gegevens'!$C$17,'Invoer gegevens'!$C$11,Q68)*Reeksen!S68*'Invoer gegevens'!$C$18*Reeksen!P68,0)</f>
        <v>0</v>
      </c>
      <c r="AU68" s="71">
        <f ca="1">-IF(C68=1,'Invoer gegevens'!$C$10*'Invoer gegevens'!$I$36*Reeksen!H68,0)</f>
        <v>0</v>
      </c>
      <c r="AV68" s="71">
        <f t="shared" si="10"/>
        <v>0</v>
      </c>
      <c r="AW68" s="71">
        <f t="shared" ca="1" si="7"/>
        <v>0</v>
      </c>
      <c r="AX68" s="71">
        <f ca="1">IF(E68&lt;'Invoer gegevens'!$C$17+15,0,IF(E68&gt;'Invoer gegevens'!$C$17+215,0,AW68))</f>
        <v>0</v>
      </c>
      <c r="AY68" s="71">
        <f ca="1">AX68/(1+'Invoer gegevens'!$F$13)^($AZ68-('Invoer gegevens'!$C$17-'Invoer gegevens'!$C$16))/(1+'Invoer gegevens'!$C$39)^('Invoer gegevens'!$C$17-'Invoer gegevens'!$C$16)</f>
        <v>0</v>
      </c>
      <c r="AZ68" s="68">
        <f ca="1">IF(E68-'Invoer gegevens'!$C$17-14.5&lt;0,0,E68-'Invoer gegevens'!$C$17-14.5)</f>
        <v>48.5</v>
      </c>
    </row>
    <row r="69" spans="2:52" x14ac:dyDescent="0.25">
      <c r="B69" s="70">
        <f t="shared" si="8"/>
        <v>65</v>
      </c>
      <c r="C69" s="67">
        <f ca="1">IF(E69-'Invoer gegevens'!$C$17&lt;0,0,1)</f>
        <v>1</v>
      </c>
      <c r="D69" s="68">
        <f t="shared" si="9"/>
        <v>64.5</v>
      </c>
      <c r="E69" s="69">
        <f ca="1">IF('Invoer gegevens'!$C$16="","",E68+1)</f>
        <v>2083</v>
      </c>
      <c r="F69" s="82">
        <f ca="1">IF('Invoer gegevens'!$C$17=E69,'Invoer gegevens'!$C$10,IF(C69=1,H68,0))</f>
        <v>0</v>
      </c>
      <c r="G69" s="83">
        <f ca="1">IF(C69&gt;=1,F69*Reeksen!C69,0)</f>
        <v>0</v>
      </c>
      <c r="H69" s="84">
        <f t="shared" ca="1" si="3"/>
        <v>0</v>
      </c>
      <c r="I69" s="85">
        <f ca="1">IF('Invoer gegevens'!$C$17=E69,'Invoer gegevens'!$C$11,IF(C69=1,L68,0))</f>
        <v>0</v>
      </c>
      <c r="J69" s="86">
        <f ca="1">IF(C69&lt;1,0,IF(Reeksen!AK69&lt;=Reeksen!AE69,I69*Reeksen!C69,0))</f>
        <v>0</v>
      </c>
      <c r="K69" s="86">
        <f ca="1">IF(C69&lt;1,0,IF(Reeksen!AK69&gt;Reeksen!AE69,I69*Reeksen!C69,0))</f>
        <v>0</v>
      </c>
      <c r="L69" s="86">
        <f t="shared" ca="1" si="4"/>
        <v>0</v>
      </c>
      <c r="M69" s="85">
        <f ca="1">IF('Invoer gegevens'!$C$17=E69,'Invoer gegevens'!$C$10-'Invoer gegevens'!$C$11,IF(C69=1,P68,0))</f>
        <v>0</v>
      </c>
      <c r="N69" s="86">
        <f ca="1">IF(C69&lt;1,0,IF(Reeksen!AK69&lt;=Reeksen!AE69,M69*Reeksen!C69,0))</f>
        <v>0</v>
      </c>
      <c r="O69" s="86">
        <f ca="1">IF(C69&lt;1,0,IF(Reeksen!AK69&gt;Reeksen!AE69,M69*Reeksen!C69,0))</f>
        <v>0</v>
      </c>
      <c r="P69" s="86">
        <f t="shared" ca="1" si="5"/>
        <v>0</v>
      </c>
      <c r="Q69" s="82">
        <f ca="1">IF('Invoer gegevens'!$C$17=E69,I69,IF(C69=0,0,R68))</f>
        <v>0</v>
      </c>
      <c r="R69" s="84">
        <f t="shared" ref="R69:R132" ca="1" si="11">IF(C69=0,0,Q69-K69+N69)</f>
        <v>0</v>
      </c>
      <c r="S69" s="84">
        <f ca="1">IF('Invoer gegevens'!$C$17=E69,M69,IF(C69=0,0,T68))</f>
        <v>0</v>
      </c>
      <c r="T69" s="84">
        <f t="shared" ref="T69:T132" ca="1" si="12">IF(C69=0,0,S69-N69+K69)</f>
        <v>0</v>
      </c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8"/>
      <c r="AI69" s="71">
        <f ca="1">IF(C69=1,((F69+H69)/2*Reeksen!AJ69*12)+(('Invoer gegevens'!$C$10-(F69+H69)/2)*Reeksen!AK69*12),0)</f>
        <v>0</v>
      </c>
      <c r="AJ69" s="71">
        <f ca="1">-AI69*'Invoer gegevens'!$F$28</f>
        <v>0</v>
      </c>
      <c r="AK69" s="71">
        <f t="shared" ref="AK69:AK132" ca="1" si="13">AI69+AJ69</f>
        <v>0</v>
      </c>
      <c r="AL69" s="71">
        <f ca="1">IF(C69=1,(12*((F69+H69)/2)*Reeksen!AL69)+(12*('Invoer gegevens'!$C$10-(F69+H69)/2)*Reeksen!AM69),0)</f>
        <v>0</v>
      </c>
      <c r="AM69" s="71">
        <f ca="1">-AL69*'Invoer gegevens'!$F$31</f>
        <v>0</v>
      </c>
      <c r="AN69" s="71">
        <f t="shared" ca="1" si="6"/>
        <v>0</v>
      </c>
      <c r="AO69" s="71"/>
      <c r="AP69" s="71"/>
      <c r="AQ69" s="71">
        <f ca="1">-IF(C69=1,('Invoer gegevens'!$C$10*'Invoer gegevens'!$I$33)*Reeksen!J69,0)*2</f>
        <v>0</v>
      </c>
      <c r="AR69" s="71">
        <f ca="1">-IF(C69=1,(G69*'Invoer gegevens'!$I$34)*Reeksen!J69,0)</f>
        <v>0</v>
      </c>
      <c r="AS69" s="71">
        <f ca="1">-IF(C69=1,'Invoer gegevens'!$C$10*'Invoer gegevens'!$I$35*Reeksen!L69,0)</f>
        <v>0</v>
      </c>
      <c r="AT69" s="71">
        <f ca="1">-IF(C69=1,IF(E69='Invoer gegevens'!$C$17,'Invoer gegevens'!$C$11,Q69)*Reeksen!S69*'Invoer gegevens'!$C$18*Reeksen!P69,0)</f>
        <v>0</v>
      </c>
      <c r="AU69" s="71">
        <f ca="1">-IF(C69=1,'Invoer gegevens'!$C$10*'Invoer gegevens'!$I$36*Reeksen!H69,0)</f>
        <v>0</v>
      </c>
      <c r="AV69" s="71">
        <f t="shared" si="10"/>
        <v>0</v>
      </c>
      <c r="AW69" s="71">
        <f t="shared" ca="1" si="7"/>
        <v>0</v>
      </c>
      <c r="AX69" s="71">
        <f ca="1">IF(E69&lt;'Invoer gegevens'!$C$17+15,0,IF(E69&gt;'Invoer gegevens'!$C$17+215,0,AW69))</f>
        <v>0</v>
      </c>
      <c r="AY69" s="71">
        <f ca="1">AX69/(1+'Invoer gegevens'!$F$13)^($AZ69-('Invoer gegevens'!$C$17-'Invoer gegevens'!$C$16))/(1+'Invoer gegevens'!$C$39)^('Invoer gegevens'!$C$17-'Invoer gegevens'!$C$16)</f>
        <v>0</v>
      </c>
      <c r="AZ69" s="68">
        <f ca="1">IF(E69-'Invoer gegevens'!$C$17-14.5&lt;0,0,E69-'Invoer gegevens'!$C$17-14.5)</f>
        <v>49.5</v>
      </c>
    </row>
    <row r="70" spans="2:52" x14ac:dyDescent="0.25">
      <c r="B70" s="70">
        <f t="shared" si="8"/>
        <v>66</v>
      </c>
      <c r="C70" s="67">
        <f ca="1">IF(E70-'Invoer gegevens'!$C$17&lt;0,0,1)</f>
        <v>1</v>
      </c>
      <c r="D70" s="68">
        <f t="shared" si="9"/>
        <v>65.5</v>
      </c>
      <c r="E70" s="69">
        <f ca="1">IF('Invoer gegevens'!$C$16="","",E69+1)</f>
        <v>2084</v>
      </c>
      <c r="F70" s="82">
        <f ca="1">IF('Invoer gegevens'!$C$17=E70,'Invoer gegevens'!$C$10,IF(C70=1,H69,0))</f>
        <v>0</v>
      </c>
      <c r="G70" s="83">
        <f ca="1">IF(C70&gt;=1,F70*Reeksen!C70,0)</f>
        <v>0</v>
      </c>
      <c r="H70" s="84">
        <f t="shared" ref="H70:H133" ca="1" si="14">F70-G70</f>
        <v>0</v>
      </c>
      <c r="I70" s="85">
        <f ca="1">IF('Invoer gegevens'!$C$17=E70,'Invoer gegevens'!$C$11,IF(C70=1,L69,0))</f>
        <v>0</v>
      </c>
      <c r="J70" s="86">
        <f ca="1">IF(C70&lt;1,0,IF(Reeksen!AK70&lt;=Reeksen!AE70,I70*Reeksen!C70,0))</f>
        <v>0</v>
      </c>
      <c r="K70" s="86">
        <f ca="1">IF(C70&lt;1,0,IF(Reeksen!AK70&gt;Reeksen!AE70,I70*Reeksen!C70,0))</f>
        <v>0</v>
      </c>
      <c r="L70" s="86">
        <f t="shared" ref="L70:L133" ca="1" si="15">I70-J70-K70</f>
        <v>0</v>
      </c>
      <c r="M70" s="85">
        <f ca="1">IF('Invoer gegevens'!$C$17=E70,'Invoer gegevens'!$C$10-'Invoer gegevens'!$C$11,IF(C70=1,P69,0))</f>
        <v>0</v>
      </c>
      <c r="N70" s="86">
        <f ca="1">IF(C70&lt;1,0,IF(Reeksen!AK70&lt;=Reeksen!AE70,M70*Reeksen!C70,0))</f>
        <v>0</v>
      </c>
      <c r="O70" s="86">
        <f ca="1">IF(C70&lt;1,0,IF(Reeksen!AK70&gt;Reeksen!AE70,M70*Reeksen!C70,0))</f>
        <v>0</v>
      </c>
      <c r="P70" s="86">
        <f t="shared" ref="P70:P133" ca="1" si="16">M70-N70-O70</f>
        <v>0</v>
      </c>
      <c r="Q70" s="82">
        <f ca="1">IF('Invoer gegevens'!$C$17=E70,I70,IF(C70=0,0,R69))</f>
        <v>0</v>
      </c>
      <c r="R70" s="84">
        <f t="shared" ca="1" si="11"/>
        <v>0</v>
      </c>
      <c r="S70" s="84">
        <f ca="1">IF('Invoer gegevens'!$C$17=E70,M70,IF(C70=0,0,T69))</f>
        <v>0</v>
      </c>
      <c r="T70" s="84">
        <f t="shared" ca="1" si="12"/>
        <v>0</v>
      </c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8"/>
      <c r="AI70" s="71">
        <f ca="1">IF(C70=1,((F70+H70)/2*Reeksen!AJ70*12)+(('Invoer gegevens'!$C$10-(F70+H70)/2)*Reeksen!AK70*12),0)</f>
        <v>0</v>
      </c>
      <c r="AJ70" s="71">
        <f ca="1">-AI70*'Invoer gegevens'!$F$28</f>
        <v>0</v>
      </c>
      <c r="AK70" s="71">
        <f t="shared" ca="1" si="13"/>
        <v>0</v>
      </c>
      <c r="AL70" s="71">
        <f ca="1">IF(C70=1,(12*((F70+H70)/2)*Reeksen!AL70)+(12*('Invoer gegevens'!$C$10-(F70+H70)/2)*Reeksen!AM70),0)</f>
        <v>0</v>
      </c>
      <c r="AM70" s="71">
        <f ca="1">-AL70*'Invoer gegevens'!$F$31</f>
        <v>0</v>
      </c>
      <c r="AN70" s="71">
        <f t="shared" ref="AN70:AN133" ca="1" si="17">AL70+AM70</f>
        <v>0</v>
      </c>
      <c r="AO70" s="71"/>
      <c r="AP70" s="71"/>
      <c r="AQ70" s="71">
        <f ca="1">-IF(C70=1,('Invoer gegevens'!$C$10*'Invoer gegevens'!$I$33)*Reeksen!J70,0)*2</f>
        <v>0</v>
      </c>
      <c r="AR70" s="71">
        <f ca="1">-IF(C70=1,(G70*'Invoer gegevens'!$I$34)*Reeksen!J70,0)</f>
        <v>0</v>
      </c>
      <c r="AS70" s="71">
        <f ca="1">-IF(C70=1,'Invoer gegevens'!$C$10*'Invoer gegevens'!$I$35*Reeksen!L70,0)</f>
        <v>0</v>
      </c>
      <c r="AT70" s="71">
        <f ca="1">-IF(C70=1,IF(E70='Invoer gegevens'!$C$17,'Invoer gegevens'!$C$11,Q70)*Reeksen!S70*'Invoer gegevens'!$C$18*Reeksen!P70,0)</f>
        <v>0</v>
      </c>
      <c r="AU70" s="71">
        <f ca="1">-IF(C70=1,'Invoer gegevens'!$C$10*'Invoer gegevens'!$I$36*Reeksen!H70,0)</f>
        <v>0</v>
      </c>
      <c r="AV70" s="71">
        <f t="shared" si="10"/>
        <v>0</v>
      </c>
      <c r="AW70" s="71">
        <f t="shared" ref="AW70:AW133" ca="1" si="18">SUM(AK70,AN70:AV70)</f>
        <v>0</v>
      </c>
      <c r="AX70" s="71">
        <f ca="1">IF(E70&lt;'Invoer gegevens'!$C$17+15,0,IF(E70&gt;'Invoer gegevens'!$C$17+215,0,AW70))</f>
        <v>0</v>
      </c>
      <c r="AY70" s="71">
        <f ca="1">AX70/(1+'Invoer gegevens'!$F$13)^($AZ70-('Invoer gegevens'!$C$17-'Invoer gegevens'!$C$16))/(1+'Invoer gegevens'!$C$39)^('Invoer gegevens'!$C$17-'Invoer gegevens'!$C$16)</f>
        <v>0</v>
      </c>
      <c r="AZ70" s="68">
        <f ca="1">IF(E70-'Invoer gegevens'!$C$17-14.5&lt;0,0,E70-'Invoer gegevens'!$C$17-14.5)</f>
        <v>50.5</v>
      </c>
    </row>
    <row r="71" spans="2:52" x14ac:dyDescent="0.25">
      <c r="B71" s="70">
        <f t="shared" ref="B71:B134" si="19">B70+1</f>
        <v>67</v>
      </c>
      <c r="C71" s="67">
        <f ca="1">IF(E71-'Invoer gegevens'!$C$17&lt;0,0,1)</f>
        <v>1</v>
      </c>
      <c r="D71" s="68">
        <f t="shared" ref="D71:D134" si="20">D70+1</f>
        <v>66.5</v>
      </c>
      <c r="E71" s="69">
        <f ca="1">IF('Invoer gegevens'!$C$16="","",E70+1)</f>
        <v>2085</v>
      </c>
      <c r="F71" s="82">
        <f ca="1">IF('Invoer gegevens'!$C$17=E71,'Invoer gegevens'!$C$10,IF(C71=1,H70,0))</f>
        <v>0</v>
      </c>
      <c r="G71" s="83">
        <f ca="1">IF(C71&gt;=1,F71*Reeksen!C71,0)</f>
        <v>0</v>
      </c>
      <c r="H71" s="84">
        <f t="shared" ca="1" si="14"/>
        <v>0</v>
      </c>
      <c r="I71" s="85">
        <f ca="1">IF('Invoer gegevens'!$C$17=E71,'Invoer gegevens'!$C$11,IF(C71=1,L70,0))</f>
        <v>0</v>
      </c>
      <c r="J71" s="86">
        <f ca="1">IF(C71&lt;1,0,IF(Reeksen!AK71&lt;=Reeksen!AE71,I71*Reeksen!C71,0))</f>
        <v>0</v>
      </c>
      <c r="K71" s="86">
        <f ca="1">IF(C71&lt;1,0,IF(Reeksen!AK71&gt;Reeksen!AE71,I71*Reeksen!C71,0))</f>
        <v>0</v>
      </c>
      <c r="L71" s="86">
        <f t="shared" ca="1" si="15"/>
        <v>0</v>
      </c>
      <c r="M71" s="85">
        <f ca="1">IF('Invoer gegevens'!$C$17=E71,'Invoer gegevens'!$C$10-'Invoer gegevens'!$C$11,IF(C71=1,P70,0))</f>
        <v>0</v>
      </c>
      <c r="N71" s="86">
        <f ca="1">IF(C71&lt;1,0,IF(Reeksen!AK71&lt;=Reeksen!AE71,M71*Reeksen!C71,0))</f>
        <v>0</v>
      </c>
      <c r="O71" s="86">
        <f ca="1">IF(C71&lt;1,0,IF(Reeksen!AK71&gt;Reeksen!AE71,M71*Reeksen!C71,0))</f>
        <v>0</v>
      </c>
      <c r="P71" s="86">
        <f t="shared" ca="1" si="16"/>
        <v>0</v>
      </c>
      <c r="Q71" s="82">
        <f ca="1">IF('Invoer gegevens'!$C$17=E71,I71,IF(C71=0,0,R70))</f>
        <v>0</v>
      </c>
      <c r="R71" s="84">
        <f t="shared" ca="1" si="11"/>
        <v>0</v>
      </c>
      <c r="S71" s="84">
        <f ca="1">IF('Invoer gegevens'!$C$17=E71,M71,IF(C71=0,0,T70))</f>
        <v>0</v>
      </c>
      <c r="T71" s="84">
        <f t="shared" ca="1" si="12"/>
        <v>0</v>
      </c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8"/>
      <c r="AI71" s="71">
        <f ca="1">IF(C71=1,((F71+H71)/2*Reeksen!AJ71*12)+(('Invoer gegevens'!$C$10-(F71+H71)/2)*Reeksen!AK71*12),0)</f>
        <v>0</v>
      </c>
      <c r="AJ71" s="71">
        <f ca="1">-AI71*'Invoer gegevens'!$F$28</f>
        <v>0</v>
      </c>
      <c r="AK71" s="71">
        <f t="shared" ca="1" si="13"/>
        <v>0</v>
      </c>
      <c r="AL71" s="71">
        <f ca="1">IF(C71=1,(12*((F71+H71)/2)*Reeksen!AL71)+(12*('Invoer gegevens'!$C$10-(F71+H71)/2)*Reeksen!AM71),0)</f>
        <v>0</v>
      </c>
      <c r="AM71" s="71">
        <f ca="1">-AL71*'Invoer gegevens'!$F$31</f>
        <v>0</v>
      </c>
      <c r="AN71" s="71">
        <f t="shared" ca="1" si="17"/>
        <v>0</v>
      </c>
      <c r="AO71" s="71"/>
      <c r="AP71" s="71"/>
      <c r="AQ71" s="71">
        <f ca="1">-IF(C71=1,('Invoer gegevens'!$C$10*'Invoer gegevens'!$I$33)*Reeksen!J71,0)*2</f>
        <v>0</v>
      </c>
      <c r="AR71" s="71">
        <f ca="1">-IF(C71=1,(G71*'Invoer gegevens'!$I$34)*Reeksen!J71,0)</f>
        <v>0</v>
      </c>
      <c r="AS71" s="71">
        <f ca="1">-IF(C71=1,'Invoer gegevens'!$C$10*'Invoer gegevens'!$I$35*Reeksen!L71,0)</f>
        <v>0</v>
      </c>
      <c r="AT71" s="71">
        <f ca="1">-IF(C71=1,IF(E71='Invoer gegevens'!$C$17,'Invoer gegevens'!$C$11,Q71)*Reeksen!S71*'Invoer gegevens'!$C$18*Reeksen!P71,0)</f>
        <v>0</v>
      </c>
      <c r="AU71" s="71">
        <f ca="1">-IF(C71=1,'Invoer gegevens'!$C$10*'Invoer gegevens'!$I$36*Reeksen!H71,0)</f>
        <v>0</v>
      </c>
      <c r="AV71" s="71">
        <f t="shared" si="10"/>
        <v>0</v>
      </c>
      <c r="AW71" s="71">
        <f t="shared" ca="1" si="18"/>
        <v>0</v>
      </c>
      <c r="AX71" s="71">
        <f ca="1">IF(E71&lt;'Invoer gegevens'!$C$17+15,0,IF(E71&gt;'Invoer gegevens'!$C$17+215,0,AW71))</f>
        <v>0</v>
      </c>
      <c r="AY71" s="71">
        <f ca="1">AX71/(1+'Invoer gegevens'!$F$13)^($AZ71-('Invoer gegevens'!$C$17-'Invoer gegevens'!$C$16))/(1+'Invoer gegevens'!$C$39)^('Invoer gegevens'!$C$17-'Invoer gegevens'!$C$16)</f>
        <v>0</v>
      </c>
      <c r="AZ71" s="68">
        <f ca="1">IF(E71-'Invoer gegevens'!$C$17-14.5&lt;0,0,E71-'Invoer gegevens'!$C$17-14.5)</f>
        <v>51.5</v>
      </c>
    </row>
    <row r="72" spans="2:52" x14ac:dyDescent="0.25">
      <c r="B72" s="70">
        <f t="shared" si="19"/>
        <v>68</v>
      </c>
      <c r="C72" s="67">
        <f ca="1">IF(E72-'Invoer gegevens'!$C$17&lt;0,0,1)</f>
        <v>1</v>
      </c>
      <c r="D72" s="68">
        <f t="shared" si="20"/>
        <v>67.5</v>
      </c>
      <c r="E72" s="69">
        <f ca="1">IF('Invoer gegevens'!$C$16="","",E71+1)</f>
        <v>2086</v>
      </c>
      <c r="F72" s="82">
        <f ca="1">IF('Invoer gegevens'!$C$17=E72,'Invoer gegevens'!$C$10,IF(C72=1,H71,0))</f>
        <v>0</v>
      </c>
      <c r="G72" s="83">
        <f ca="1">IF(C72&gt;=1,F72*Reeksen!C72,0)</f>
        <v>0</v>
      </c>
      <c r="H72" s="84">
        <f t="shared" ca="1" si="14"/>
        <v>0</v>
      </c>
      <c r="I72" s="85">
        <f ca="1">IF('Invoer gegevens'!$C$17=E72,'Invoer gegevens'!$C$11,IF(C72=1,L71,0))</f>
        <v>0</v>
      </c>
      <c r="J72" s="86">
        <f ca="1">IF(C72&lt;1,0,IF(Reeksen!AK72&lt;=Reeksen!AE72,I72*Reeksen!C72,0))</f>
        <v>0</v>
      </c>
      <c r="K72" s="86">
        <f ca="1">IF(C72&lt;1,0,IF(Reeksen!AK72&gt;Reeksen!AE72,I72*Reeksen!C72,0))</f>
        <v>0</v>
      </c>
      <c r="L72" s="86">
        <f t="shared" ca="1" si="15"/>
        <v>0</v>
      </c>
      <c r="M72" s="85">
        <f ca="1">IF('Invoer gegevens'!$C$17=E72,'Invoer gegevens'!$C$10-'Invoer gegevens'!$C$11,IF(C72=1,P71,0))</f>
        <v>0</v>
      </c>
      <c r="N72" s="86">
        <f ca="1">IF(C72&lt;1,0,IF(Reeksen!AK72&lt;=Reeksen!AE72,M72*Reeksen!C72,0))</f>
        <v>0</v>
      </c>
      <c r="O72" s="86">
        <f ca="1">IF(C72&lt;1,0,IF(Reeksen!AK72&gt;Reeksen!AE72,M72*Reeksen!C72,0))</f>
        <v>0</v>
      </c>
      <c r="P72" s="86">
        <f t="shared" ca="1" si="16"/>
        <v>0</v>
      </c>
      <c r="Q72" s="82">
        <f ca="1">IF('Invoer gegevens'!$C$17=E72,I72,IF(C72=0,0,R71))</f>
        <v>0</v>
      </c>
      <c r="R72" s="84">
        <f t="shared" ca="1" si="11"/>
        <v>0</v>
      </c>
      <c r="S72" s="84">
        <f ca="1">IF('Invoer gegevens'!$C$17=E72,M72,IF(C72=0,0,T71))</f>
        <v>0</v>
      </c>
      <c r="T72" s="84">
        <f t="shared" ca="1" si="12"/>
        <v>0</v>
      </c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8"/>
      <c r="AI72" s="71">
        <f ca="1">IF(C72=1,((F72+H72)/2*Reeksen!AJ72*12)+(('Invoer gegevens'!$C$10-(F72+H72)/2)*Reeksen!AK72*12),0)</f>
        <v>0</v>
      </c>
      <c r="AJ72" s="71">
        <f ca="1">-AI72*'Invoer gegevens'!$F$28</f>
        <v>0</v>
      </c>
      <c r="AK72" s="71">
        <f t="shared" ca="1" si="13"/>
        <v>0</v>
      </c>
      <c r="AL72" s="71">
        <f ca="1">IF(C72=1,(12*((F72+H72)/2)*Reeksen!AL72)+(12*('Invoer gegevens'!$C$10-(F72+H72)/2)*Reeksen!AM72),0)</f>
        <v>0</v>
      </c>
      <c r="AM72" s="71">
        <f ca="1">-AL72*'Invoer gegevens'!$F$31</f>
        <v>0</v>
      </c>
      <c r="AN72" s="71">
        <f t="shared" ca="1" si="17"/>
        <v>0</v>
      </c>
      <c r="AO72" s="71"/>
      <c r="AP72" s="71"/>
      <c r="AQ72" s="71">
        <f ca="1">-IF(C72=1,('Invoer gegevens'!$C$10*'Invoer gegevens'!$I$33)*Reeksen!J72,0)*2</f>
        <v>0</v>
      </c>
      <c r="AR72" s="71">
        <f ca="1">-IF(C72=1,(G72*'Invoer gegevens'!$I$34)*Reeksen!J72,0)</f>
        <v>0</v>
      </c>
      <c r="AS72" s="71">
        <f ca="1">-IF(C72=1,'Invoer gegevens'!$C$10*'Invoer gegevens'!$I$35*Reeksen!L72,0)</f>
        <v>0</v>
      </c>
      <c r="AT72" s="71">
        <f ca="1">-IF(C72=1,IF(E72='Invoer gegevens'!$C$17,'Invoer gegevens'!$C$11,Q72)*Reeksen!S72*'Invoer gegevens'!$C$18*Reeksen!P72,0)</f>
        <v>0</v>
      </c>
      <c r="AU72" s="71">
        <f ca="1">-IF(C72=1,'Invoer gegevens'!$C$10*'Invoer gegevens'!$I$36*Reeksen!H72,0)</f>
        <v>0</v>
      </c>
      <c r="AV72" s="71">
        <f t="shared" si="10"/>
        <v>0</v>
      </c>
      <c r="AW72" s="71">
        <f t="shared" ca="1" si="18"/>
        <v>0</v>
      </c>
      <c r="AX72" s="71">
        <f ca="1">IF(E72&lt;'Invoer gegevens'!$C$17+15,0,IF(E72&gt;'Invoer gegevens'!$C$17+215,0,AW72))</f>
        <v>0</v>
      </c>
      <c r="AY72" s="71">
        <f ca="1">AX72/(1+'Invoer gegevens'!$F$13)^($AZ72-('Invoer gegevens'!$C$17-'Invoer gegevens'!$C$16))/(1+'Invoer gegevens'!$C$39)^('Invoer gegevens'!$C$17-'Invoer gegevens'!$C$16)</f>
        <v>0</v>
      </c>
      <c r="AZ72" s="68">
        <f ca="1">IF(E72-'Invoer gegevens'!$C$17-14.5&lt;0,0,E72-'Invoer gegevens'!$C$17-14.5)</f>
        <v>52.5</v>
      </c>
    </row>
    <row r="73" spans="2:52" x14ac:dyDescent="0.25">
      <c r="B73" s="70">
        <f t="shared" si="19"/>
        <v>69</v>
      </c>
      <c r="C73" s="67">
        <f ca="1">IF(E73-'Invoer gegevens'!$C$17&lt;0,0,1)</f>
        <v>1</v>
      </c>
      <c r="D73" s="68">
        <f t="shared" si="20"/>
        <v>68.5</v>
      </c>
      <c r="E73" s="69">
        <f ca="1">IF('Invoer gegevens'!$C$16="","",E72+1)</f>
        <v>2087</v>
      </c>
      <c r="F73" s="82">
        <f ca="1">IF('Invoer gegevens'!$C$17=E73,'Invoer gegevens'!$C$10,IF(C73=1,H72,0))</f>
        <v>0</v>
      </c>
      <c r="G73" s="83">
        <f ca="1">IF(C73&gt;=1,F73*Reeksen!C73,0)</f>
        <v>0</v>
      </c>
      <c r="H73" s="84">
        <f t="shared" ca="1" si="14"/>
        <v>0</v>
      </c>
      <c r="I73" s="85">
        <f ca="1">IF('Invoer gegevens'!$C$17=E73,'Invoer gegevens'!$C$11,IF(C73=1,L72,0))</f>
        <v>0</v>
      </c>
      <c r="J73" s="86">
        <f ca="1">IF(C73&lt;1,0,IF(Reeksen!AK73&lt;=Reeksen!AE73,I73*Reeksen!C73,0))</f>
        <v>0</v>
      </c>
      <c r="K73" s="86">
        <f ca="1">IF(C73&lt;1,0,IF(Reeksen!AK73&gt;Reeksen!AE73,I73*Reeksen!C73,0))</f>
        <v>0</v>
      </c>
      <c r="L73" s="86">
        <f t="shared" ca="1" si="15"/>
        <v>0</v>
      </c>
      <c r="M73" s="85">
        <f ca="1">IF('Invoer gegevens'!$C$17=E73,'Invoer gegevens'!$C$10-'Invoer gegevens'!$C$11,IF(C73=1,P72,0))</f>
        <v>0</v>
      </c>
      <c r="N73" s="86">
        <f ca="1">IF(C73&lt;1,0,IF(Reeksen!AK73&lt;=Reeksen!AE73,M73*Reeksen!C73,0))</f>
        <v>0</v>
      </c>
      <c r="O73" s="86">
        <f ca="1">IF(C73&lt;1,0,IF(Reeksen!AK73&gt;Reeksen!AE73,M73*Reeksen!C73,0))</f>
        <v>0</v>
      </c>
      <c r="P73" s="86">
        <f t="shared" ca="1" si="16"/>
        <v>0</v>
      </c>
      <c r="Q73" s="82">
        <f ca="1">IF('Invoer gegevens'!$C$17=E73,I73,IF(C73=0,0,R72))</f>
        <v>0</v>
      </c>
      <c r="R73" s="84">
        <f t="shared" ca="1" si="11"/>
        <v>0</v>
      </c>
      <c r="S73" s="84">
        <f ca="1">IF('Invoer gegevens'!$C$17=E73,M73,IF(C73=0,0,T72))</f>
        <v>0</v>
      </c>
      <c r="T73" s="84">
        <f t="shared" ca="1" si="12"/>
        <v>0</v>
      </c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8"/>
      <c r="AI73" s="71">
        <f ca="1">IF(C73=1,((F73+H73)/2*Reeksen!AJ73*12)+(('Invoer gegevens'!$C$10-(F73+H73)/2)*Reeksen!AK73*12),0)</f>
        <v>0</v>
      </c>
      <c r="AJ73" s="71">
        <f ca="1">-AI73*'Invoer gegevens'!$F$28</f>
        <v>0</v>
      </c>
      <c r="AK73" s="71">
        <f t="shared" ca="1" si="13"/>
        <v>0</v>
      </c>
      <c r="AL73" s="71">
        <f ca="1">IF(C73=1,(12*((F73+H73)/2)*Reeksen!AL73)+(12*('Invoer gegevens'!$C$10-(F73+H73)/2)*Reeksen!AM73),0)</f>
        <v>0</v>
      </c>
      <c r="AM73" s="71">
        <f ca="1">-AL73*'Invoer gegevens'!$F$31</f>
        <v>0</v>
      </c>
      <c r="AN73" s="71">
        <f t="shared" ca="1" si="17"/>
        <v>0</v>
      </c>
      <c r="AO73" s="71"/>
      <c r="AP73" s="71"/>
      <c r="AQ73" s="71">
        <f ca="1">-IF(C73=1,('Invoer gegevens'!$C$10*'Invoer gegevens'!$I$33)*Reeksen!J73,0)*2</f>
        <v>0</v>
      </c>
      <c r="AR73" s="71">
        <f ca="1">-IF(C73=1,(G73*'Invoer gegevens'!$I$34)*Reeksen!J73,0)</f>
        <v>0</v>
      </c>
      <c r="AS73" s="71">
        <f ca="1">-IF(C73=1,'Invoer gegevens'!$C$10*'Invoer gegevens'!$I$35*Reeksen!L73,0)</f>
        <v>0</v>
      </c>
      <c r="AT73" s="71">
        <f ca="1">-IF(C73=1,IF(E73='Invoer gegevens'!$C$17,'Invoer gegevens'!$C$11,Q73)*Reeksen!S73*'Invoer gegevens'!$C$18*Reeksen!P73,0)</f>
        <v>0</v>
      </c>
      <c r="AU73" s="71">
        <f ca="1">-IF(C73=1,'Invoer gegevens'!$C$10*'Invoer gegevens'!$I$36*Reeksen!H73,0)</f>
        <v>0</v>
      </c>
      <c r="AV73" s="71">
        <f t="shared" si="10"/>
        <v>0</v>
      </c>
      <c r="AW73" s="71">
        <f t="shared" ca="1" si="18"/>
        <v>0</v>
      </c>
      <c r="AX73" s="71">
        <f ca="1">IF(E73&lt;'Invoer gegevens'!$C$17+15,0,IF(E73&gt;'Invoer gegevens'!$C$17+215,0,AW73))</f>
        <v>0</v>
      </c>
      <c r="AY73" s="71">
        <f ca="1">AX73/(1+'Invoer gegevens'!$F$13)^($AZ73-('Invoer gegevens'!$C$17-'Invoer gegevens'!$C$16))/(1+'Invoer gegevens'!$C$39)^('Invoer gegevens'!$C$17-'Invoer gegevens'!$C$16)</f>
        <v>0</v>
      </c>
      <c r="AZ73" s="68">
        <f ca="1">IF(E73-'Invoer gegevens'!$C$17-14.5&lt;0,0,E73-'Invoer gegevens'!$C$17-14.5)</f>
        <v>53.5</v>
      </c>
    </row>
    <row r="74" spans="2:52" x14ac:dyDescent="0.25">
      <c r="B74" s="70">
        <f t="shared" si="19"/>
        <v>70</v>
      </c>
      <c r="C74" s="67">
        <f ca="1">IF(E74-'Invoer gegevens'!$C$17&lt;0,0,1)</f>
        <v>1</v>
      </c>
      <c r="D74" s="68">
        <f t="shared" si="20"/>
        <v>69.5</v>
      </c>
      <c r="E74" s="69">
        <f ca="1">IF('Invoer gegevens'!$C$16="","",E73+1)</f>
        <v>2088</v>
      </c>
      <c r="F74" s="82">
        <f ca="1">IF('Invoer gegevens'!$C$17=E74,'Invoer gegevens'!$C$10,IF(C74=1,H73,0))</f>
        <v>0</v>
      </c>
      <c r="G74" s="83">
        <f ca="1">IF(C74&gt;=1,F74*Reeksen!C74,0)</f>
        <v>0</v>
      </c>
      <c r="H74" s="84">
        <f t="shared" ca="1" si="14"/>
        <v>0</v>
      </c>
      <c r="I74" s="85">
        <f ca="1">IF('Invoer gegevens'!$C$17=E74,'Invoer gegevens'!$C$11,IF(C74=1,L73,0))</f>
        <v>0</v>
      </c>
      <c r="J74" s="86">
        <f ca="1">IF(C74&lt;1,0,IF(Reeksen!AK74&lt;=Reeksen!AE74,I74*Reeksen!C74,0))</f>
        <v>0</v>
      </c>
      <c r="K74" s="86">
        <f ca="1">IF(C74&lt;1,0,IF(Reeksen!AK74&gt;Reeksen!AE74,I74*Reeksen!C74,0))</f>
        <v>0</v>
      </c>
      <c r="L74" s="86">
        <f t="shared" ca="1" si="15"/>
        <v>0</v>
      </c>
      <c r="M74" s="85">
        <f ca="1">IF('Invoer gegevens'!$C$17=E74,'Invoer gegevens'!$C$10-'Invoer gegevens'!$C$11,IF(C74=1,P73,0))</f>
        <v>0</v>
      </c>
      <c r="N74" s="86">
        <f ca="1">IF(C74&lt;1,0,IF(Reeksen!AK74&lt;=Reeksen!AE74,M74*Reeksen!C74,0))</f>
        <v>0</v>
      </c>
      <c r="O74" s="86">
        <f ca="1">IF(C74&lt;1,0,IF(Reeksen!AK74&gt;Reeksen!AE74,M74*Reeksen!C74,0))</f>
        <v>0</v>
      </c>
      <c r="P74" s="86">
        <f t="shared" ca="1" si="16"/>
        <v>0</v>
      </c>
      <c r="Q74" s="82">
        <f ca="1">IF('Invoer gegevens'!$C$17=E74,I74,IF(C74=0,0,R73))</f>
        <v>0</v>
      </c>
      <c r="R74" s="84">
        <f t="shared" ca="1" si="11"/>
        <v>0</v>
      </c>
      <c r="S74" s="84">
        <f ca="1">IF('Invoer gegevens'!$C$17=E74,M74,IF(C74=0,0,T73))</f>
        <v>0</v>
      </c>
      <c r="T74" s="84">
        <f t="shared" ca="1" si="12"/>
        <v>0</v>
      </c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8"/>
      <c r="AI74" s="71">
        <f ca="1">IF(C74=1,((F74+H74)/2*Reeksen!AJ74*12)+(('Invoer gegevens'!$C$10-(F74+H74)/2)*Reeksen!AK74*12),0)</f>
        <v>0</v>
      </c>
      <c r="AJ74" s="71">
        <f ca="1">-AI74*'Invoer gegevens'!$F$28</f>
        <v>0</v>
      </c>
      <c r="AK74" s="71">
        <f t="shared" ca="1" si="13"/>
        <v>0</v>
      </c>
      <c r="AL74" s="71">
        <f ca="1">IF(C74=1,(12*((F74+H74)/2)*Reeksen!AL74)+(12*('Invoer gegevens'!$C$10-(F74+H74)/2)*Reeksen!AM74),0)</f>
        <v>0</v>
      </c>
      <c r="AM74" s="71">
        <f ca="1">-AL74*'Invoer gegevens'!$F$31</f>
        <v>0</v>
      </c>
      <c r="AN74" s="71">
        <f t="shared" ca="1" si="17"/>
        <v>0</v>
      </c>
      <c r="AO74" s="71"/>
      <c r="AP74" s="71"/>
      <c r="AQ74" s="71">
        <f ca="1">-IF(C74=1,('Invoer gegevens'!$C$10*'Invoer gegevens'!$I$33)*Reeksen!J74,0)*2</f>
        <v>0</v>
      </c>
      <c r="AR74" s="71">
        <f ca="1">-IF(C74=1,(G74*'Invoer gegevens'!$I$34)*Reeksen!J74,0)</f>
        <v>0</v>
      </c>
      <c r="AS74" s="71">
        <f ca="1">-IF(C74=1,'Invoer gegevens'!$C$10*'Invoer gegevens'!$I$35*Reeksen!L74,0)</f>
        <v>0</v>
      </c>
      <c r="AT74" s="71">
        <f ca="1">-IF(C74=1,IF(E74='Invoer gegevens'!$C$17,'Invoer gegevens'!$C$11,Q74)*Reeksen!S74*'Invoer gegevens'!$C$18*Reeksen!P74,0)</f>
        <v>0</v>
      </c>
      <c r="AU74" s="71">
        <f ca="1">-IF(C74=1,'Invoer gegevens'!$C$10*'Invoer gegevens'!$I$36*Reeksen!H74,0)</f>
        <v>0</v>
      </c>
      <c r="AV74" s="71">
        <f t="shared" si="10"/>
        <v>0</v>
      </c>
      <c r="AW74" s="71">
        <f t="shared" ca="1" si="18"/>
        <v>0</v>
      </c>
      <c r="AX74" s="71">
        <f ca="1">IF(E74&lt;'Invoer gegevens'!$C$17+15,0,IF(E74&gt;'Invoer gegevens'!$C$17+215,0,AW74))</f>
        <v>0</v>
      </c>
      <c r="AY74" s="71">
        <f ca="1">AX74/(1+'Invoer gegevens'!$F$13)^($AZ74-('Invoer gegevens'!$C$17-'Invoer gegevens'!$C$16))/(1+'Invoer gegevens'!$C$39)^('Invoer gegevens'!$C$17-'Invoer gegevens'!$C$16)</f>
        <v>0</v>
      </c>
      <c r="AZ74" s="68">
        <f ca="1">IF(E74-'Invoer gegevens'!$C$17-14.5&lt;0,0,E74-'Invoer gegevens'!$C$17-14.5)</f>
        <v>54.5</v>
      </c>
    </row>
    <row r="75" spans="2:52" x14ac:dyDescent="0.25">
      <c r="B75" s="70">
        <f t="shared" si="19"/>
        <v>71</v>
      </c>
      <c r="C75" s="67">
        <f ca="1">IF(E75-'Invoer gegevens'!$C$17&lt;0,0,1)</f>
        <v>1</v>
      </c>
      <c r="D75" s="68">
        <f t="shared" si="20"/>
        <v>70.5</v>
      </c>
      <c r="E75" s="69">
        <f ca="1">IF('Invoer gegevens'!$C$16="","",E74+1)</f>
        <v>2089</v>
      </c>
      <c r="F75" s="82">
        <f ca="1">IF('Invoer gegevens'!$C$17=E75,'Invoer gegevens'!$C$10,IF(C75=1,H74,0))</f>
        <v>0</v>
      </c>
      <c r="G75" s="83">
        <f ca="1">IF(C75&gt;=1,F75*Reeksen!C75,0)</f>
        <v>0</v>
      </c>
      <c r="H75" s="84">
        <f t="shared" ca="1" si="14"/>
        <v>0</v>
      </c>
      <c r="I75" s="85">
        <f ca="1">IF('Invoer gegevens'!$C$17=E75,'Invoer gegevens'!$C$11,IF(C75=1,L74,0))</f>
        <v>0</v>
      </c>
      <c r="J75" s="86">
        <f ca="1">IF(C75&lt;1,0,IF(Reeksen!AK75&lt;=Reeksen!AE75,I75*Reeksen!C75,0))</f>
        <v>0</v>
      </c>
      <c r="K75" s="86">
        <f ca="1">IF(C75&lt;1,0,IF(Reeksen!AK75&gt;Reeksen!AE75,I75*Reeksen!C75,0))</f>
        <v>0</v>
      </c>
      <c r="L75" s="86">
        <f t="shared" ca="1" si="15"/>
        <v>0</v>
      </c>
      <c r="M75" s="85">
        <f ca="1">IF('Invoer gegevens'!$C$17=E75,'Invoer gegevens'!$C$10-'Invoer gegevens'!$C$11,IF(C75=1,P74,0))</f>
        <v>0</v>
      </c>
      <c r="N75" s="86">
        <f ca="1">IF(C75&lt;1,0,IF(Reeksen!AK75&lt;=Reeksen!AE75,M75*Reeksen!C75,0))</f>
        <v>0</v>
      </c>
      <c r="O75" s="86">
        <f ca="1">IF(C75&lt;1,0,IF(Reeksen!AK75&gt;Reeksen!AE75,M75*Reeksen!C75,0))</f>
        <v>0</v>
      </c>
      <c r="P75" s="86">
        <f t="shared" ca="1" si="16"/>
        <v>0</v>
      </c>
      <c r="Q75" s="82">
        <f ca="1">IF('Invoer gegevens'!$C$17=E75,I75,IF(C75=0,0,R74))</f>
        <v>0</v>
      </c>
      <c r="R75" s="84">
        <f t="shared" ca="1" si="11"/>
        <v>0</v>
      </c>
      <c r="S75" s="84">
        <f ca="1">IF('Invoer gegevens'!$C$17=E75,M75,IF(C75=0,0,T74))</f>
        <v>0</v>
      </c>
      <c r="T75" s="84">
        <f t="shared" ca="1" si="12"/>
        <v>0</v>
      </c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8"/>
      <c r="AI75" s="71">
        <f ca="1">IF(C75=1,((F75+H75)/2*Reeksen!AJ75*12)+(('Invoer gegevens'!$C$10-(F75+H75)/2)*Reeksen!AK75*12),0)</f>
        <v>0</v>
      </c>
      <c r="AJ75" s="71">
        <f ca="1">-AI75*'Invoer gegevens'!$F$28</f>
        <v>0</v>
      </c>
      <c r="AK75" s="71">
        <f t="shared" ca="1" si="13"/>
        <v>0</v>
      </c>
      <c r="AL75" s="71">
        <f ca="1">IF(C75=1,(12*((F75+H75)/2)*Reeksen!AL75)+(12*('Invoer gegevens'!$C$10-(F75+H75)/2)*Reeksen!AM75),0)</f>
        <v>0</v>
      </c>
      <c r="AM75" s="71">
        <f ca="1">-AL75*'Invoer gegevens'!$F$31</f>
        <v>0</v>
      </c>
      <c r="AN75" s="71">
        <f t="shared" ca="1" si="17"/>
        <v>0</v>
      </c>
      <c r="AO75" s="71"/>
      <c r="AP75" s="71"/>
      <c r="AQ75" s="71">
        <f ca="1">-IF(C75=1,('Invoer gegevens'!$C$10*'Invoer gegevens'!$I$33)*Reeksen!J75,0)*2</f>
        <v>0</v>
      </c>
      <c r="AR75" s="71">
        <f ca="1">-IF(C75=1,(G75*'Invoer gegevens'!$I$34)*Reeksen!J75,0)</f>
        <v>0</v>
      </c>
      <c r="AS75" s="71">
        <f ca="1">-IF(C75=1,'Invoer gegevens'!$C$10*'Invoer gegevens'!$I$35*Reeksen!L75,0)</f>
        <v>0</v>
      </c>
      <c r="AT75" s="71">
        <f ca="1">-IF(C75=1,IF(E75='Invoer gegevens'!$C$17,'Invoer gegevens'!$C$11,Q75)*Reeksen!S75*'Invoer gegevens'!$C$18*Reeksen!P75,0)</f>
        <v>0</v>
      </c>
      <c r="AU75" s="71">
        <f ca="1">-IF(C75=1,'Invoer gegevens'!$C$10*'Invoer gegevens'!$I$36*Reeksen!H75,0)</f>
        <v>0</v>
      </c>
      <c r="AV75" s="71">
        <f t="shared" si="10"/>
        <v>0</v>
      </c>
      <c r="AW75" s="71">
        <f t="shared" ca="1" si="18"/>
        <v>0</v>
      </c>
      <c r="AX75" s="71">
        <f ca="1">IF(E75&lt;'Invoer gegevens'!$C$17+15,0,IF(E75&gt;'Invoer gegevens'!$C$17+215,0,AW75))</f>
        <v>0</v>
      </c>
      <c r="AY75" s="71">
        <f ca="1">AX75/(1+'Invoer gegevens'!$F$13)^($AZ75-('Invoer gegevens'!$C$17-'Invoer gegevens'!$C$16))/(1+'Invoer gegevens'!$C$39)^('Invoer gegevens'!$C$17-'Invoer gegevens'!$C$16)</f>
        <v>0</v>
      </c>
      <c r="AZ75" s="68">
        <f ca="1">IF(E75-'Invoer gegevens'!$C$17-14.5&lt;0,0,E75-'Invoer gegevens'!$C$17-14.5)</f>
        <v>55.5</v>
      </c>
    </row>
    <row r="76" spans="2:52" x14ac:dyDescent="0.25">
      <c r="B76" s="70">
        <f t="shared" si="19"/>
        <v>72</v>
      </c>
      <c r="C76" s="67">
        <f ca="1">IF(E76-'Invoer gegevens'!$C$17&lt;0,0,1)</f>
        <v>1</v>
      </c>
      <c r="D76" s="68">
        <f t="shared" si="20"/>
        <v>71.5</v>
      </c>
      <c r="E76" s="69">
        <f ca="1">IF('Invoer gegevens'!$C$16="","",E75+1)</f>
        <v>2090</v>
      </c>
      <c r="F76" s="82">
        <f ca="1">IF('Invoer gegevens'!$C$17=E76,'Invoer gegevens'!$C$10,IF(C76=1,H75,0))</f>
        <v>0</v>
      </c>
      <c r="G76" s="83">
        <f ca="1">IF(C76&gt;=1,F76*Reeksen!C76,0)</f>
        <v>0</v>
      </c>
      <c r="H76" s="84">
        <f t="shared" ca="1" si="14"/>
        <v>0</v>
      </c>
      <c r="I76" s="85">
        <f ca="1">IF('Invoer gegevens'!$C$17=E76,'Invoer gegevens'!$C$11,IF(C76=1,L75,0))</f>
        <v>0</v>
      </c>
      <c r="J76" s="86">
        <f ca="1">IF(C76&lt;1,0,IF(Reeksen!AK76&lt;=Reeksen!AE76,I76*Reeksen!C76,0))</f>
        <v>0</v>
      </c>
      <c r="K76" s="86">
        <f ca="1">IF(C76&lt;1,0,IF(Reeksen!AK76&gt;Reeksen!AE76,I76*Reeksen!C76,0))</f>
        <v>0</v>
      </c>
      <c r="L76" s="86">
        <f t="shared" ca="1" si="15"/>
        <v>0</v>
      </c>
      <c r="M76" s="85">
        <f ca="1">IF('Invoer gegevens'!$C$17=E76,'Invoer gegevens'!$C$10-'Invoer gegevens'!$C$11,IF(C76=1,P75,0))</f>
        <v>0</v>
      </c>
      <c r="N76" s="86">
        <f ca="1">IF(C76&lt;1,0,IF(Reeksen!AK76&lt;=Reeksen!AE76,M76*Reeksen!C76,0))</f>
        <v>0</v>
      </c>
      <c r="O76" s="86">
        <f ca="1">IF(C76&lt;1,0,IF(Reeksen!AK76&gt;Reeksen!AE76,M76*Reeksen!C76,0))</f>
        <v>0</v>
      </c>
      <c r="P76" s="86">
        <f t="shared" ca="1" si="16"/>
        <v>0</v>
      </c>
      <c r="Q76" s="82">
        <f ca="1">IF('Invoer gegevens'!$C$17=E76,I76,IF(C76=0,0,R75))</f>
        <v>0</v>
      </c>
      <c r="R76" s="84">
        <f t="shared" ca="1" si="11"/>
        <v>0</v>
      </c>
      <c r="S76" s="84">
        <f ca="1">IF('Invoer gegevens'!$C$17=E76,M76,IF(C76=0,0,T75))</f>
        <v>0</v>
      </c>
      <c r="T76" s="84">
        <f t="shared" ca="1" si="12"/>
        <v>0</v>
      </c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8"/>
      <c r="AI76" s="71">
        <f ca="1">IF(C76=1,((F76+H76)/2*Reeksen!AJ76*12)+(('Invoer gegevens'!$C$10-(F76+H76)/2)*Reeksen!AK76*12),0)</f>
        <v>0</v>
      </c>
      <c r="AJ76" s="71">
        <f ca="1">-AI76*'Invoer gegevens'!$F$28</f>
        <v>0</v>
      </c>
      <c r="AK76" s="71">
        <f t="shared" ca="1" si="13"/>
        <v>0</v>
      </c>
      <c r="AL76" s="71">
        <f ca="1">IF(C76=1,(12*((F76+H76)/2)*Reeksen!AL76)+(12*('Invoer gegevens'!$C$10-(F76+H76)/2)*Reeksen!AM76),0)</f>
        <v>0</v>
      </c>
      <c r="AM76" s="71">
        <f ca="1">-AL76*'Invoer gegevens'!$F$31</f>
        <v>0</v>
      </c>
      <c r="AN76" s="71">
        <f t="shared" ca="1" si="17"/>
        <v>0</v>
      </c>
      <c r="AO76" s="71"/>
      <c r="AP76" s="71"/>
      <c r="AQ76" s="71">
        <f ca="1">-IF(C76=1,('Invoer gegevens'!$C$10*'Invoer gegevens'!$I$33)*Reeksen!J76,0)*2</f>
        <v>0</v>
      </c>
      <c r="AR76" s="71">
        <f ca="1">-IF(C76=1,(G76*'Invoer gegevens'!$I$34)*Reeksen!J76,0)</f>
        <v>0</v>
      </c>
      <c r="AS76" s="71">
        <f ca="1">-IF(C76=1,'Invoer gegevens'!$C$10*'Invoer gegevens'!$I$35*Reeksen!L76,0)</f>
        <v>0</v>
      </c>
      <c r="AT76" s="71">
        <f ca="1">-IF(C76=1,IF(E76='Invoer gegevens'!$C$17,'Invoer gegevens'!$C$11,Q76)*Reeksen!S76*'Invoer gegevens'!$C$18*Reeksen!P76,0)</f>
        <v>0</v>
      </c>
      <c r="AU76" s="71">
        <f ca="1">-IF(C76=1,'Invoer gegevens'!$C$10*'Invoer gegevens'!$I$36*Reeksen!H76,0)</f>
        <v>0</v>
      </c>
      <c r="AV76" s="71">
        <f t="shared" si="10"/>
        <v>0</v>
      </c>
      <c r="AW76" s="71">
        <f t="shared" ca="1" si="18"/>
        <v>0</v>
      </c>
      <c r="AX76" s="71">
        <f ca="1">IF(E76&lt;'Invoer gegevens'!$C$17+15,0,IF(E76&gt;'Invoer gegevens'!$C$17+215,0,AW76))</f>
        <v>0</v>
      </c>
      <c r="AY76" s="71">
        <f ca="1">AX76/(1+'Invoer gegevens'!$F$13)^($AZ76-('Invoer gegevens'!$C$17-'Invoer gegevens'!$C$16))/(1+'Invoer gegevens'!$C$39)^('Invoer gegevens'!$C$17-'Invoer gegevens'!$C$16)</f>
        <v>0</v>
      </c>
      <c r="AZ76" s="68">
        <f ca="1">IF(E76-'Invoer gegevens'!$C$17-14.5&lt;0,0,E76-'Invoer gegevens'!$C$17-14.5)</f>
        <v>56.5</v>
      </c>
    </row>
    <row r="77" spans="2:52" x14ac:dyDescent="0.25">
      <c r="B77" s="70">
        <f t="shared" si="19"/>
        <v>73</v>
      </c>
      <c r="C77" s="67">
        <f ca="1">IF(E77-'Invoer gegevens'!$C$17&lt;0,0,1)</f>
        <v>1</v>
      </c>
      <c r="D77" s="68">
        <f t="shared" si="20"/>
        <v>72.5</v>
      </c>
      <c r="E77" s="69">
        <f ca="1">IF('Invoer gegevens'!$C$16="","",E76+1)</f>
        <v>2091</v>
      </c>
      <c r="F77" s="82">
        <f ca="1">IF('Invoer gegevens'!$C$17=E77,'Invoer gegevens'!$C$10,IF(C77=1,H76,0))</f>
        <v>0</v>
      </c>
      <c r="G77" s="83">
        <f ca="1">IF(C77&gt;=1,F77*Reeksen!C77,0)</f>
        <v>0</v>
      </c>
      <c r="H77" s="84">
        <f t="shared" ca="1" si="14"/>
        <v>0</v>
      </c>
      <c r="I77" s="85">
        <f ca="1">IF('Invoer gegevens'!$C$17=E77,'Invoer gegevens'!$C$11,IF(C77=1,L76,0))</f>
        <v>0</v>
      </c>
      <c r="J77" s="86">
        <f ca="1">IF(C77&lt;1,0,IF(Reeksen!AK77&lt;=Reeksen!AE77,I77*Reeksen!C77,0))</f>
        <v>0</v>
      </c>
      <c r="K77" s="86">
        <f ca="1">IF(C77&lt;1,0,IF(Reeksen!AK77&gt;Reeksen!AE77,I77*Reeksen!C77,0))</f>
        <v>0</v>
      </c>
      <c r="L77" s="86">
        <f t="shared" ca="1" si="15"/>
        <v>0</v>
      </c>
      <c r="M77" s="85">
        <f ca="1">IF('Invoer gegevens'!$C$17=E77,'Invoer gegevens'!$C$10-'Invoer gegevens'!$C$11,IF(C77=1,P76,0))</f>
        <v>0</v>
      </c>
      <c r="N77" s="86">
        <f ca="1">IF(C77&lt;1,0,IF(Reeksen!AK77&lt;=Reeksen!AE77,M77*Reeksen!C77,0))</f>
        <v>0</v>
      </c>
      <c r="O77" s="86">
        <f ca="1">IF(C77&lt;1,0,IF(Reeksen!AK77&gt;Reeksen!AE77,M77*Reeksen!C77,0))</f>
        <v>0</v>
      </c>
      <c r="P77" s="86">
        <f t="shared" ca="1" si="16"/>
        <v>0</v>
      </c>
      <c r="Q77" s="82">
        <f ca="1">IF('Invoer gegevens'!$C$17=E77,I77,IF(C77=0,0,R76))</f>
        <v>0</v>
      </c>
      <c r="R77" s="84">
        <f t="shared" ca="1" si="11"/>
        <v>0</v>
      </c>
      <c r="S77" s="84">
        <f ca="1">IF('Invoer gegevens'!$C$17=E77,M77,IF(C77=0,0,T76))</f>
        <v>0</v>
      </c>
      <c r="T77" s="84">
        <f t="shared" ca="1" si="12"/>
        <v>0</v>
      </c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8"/>
      <c r="AI77" s="71">
        <f ca="1">IF(C77=1,((F77+H77)/2*Reeksen!AJ77*12)+(('Invoer gegevens'!$C$10-(F77+H77)/2)*Reeksen!AK77*12),0)</f>
        <v>0</v>
      </c>
      <c r="AJ77" s="71">
        <f ca="1">-AI77*'Invoer gegevens'!$F$28</f>
        <v>0</v>
      </c>
      <c r="AK77" s="71">
        <f t="shared" ca="1" si="13"/>
        <v>0</v>
      </c>
      <c r="AL77" s="71">
        <f ca="1">IF(C77=1,(12*((F77+H77)/2)*Reeksen!AL77)+(12*('Invoer gegevens'!$C$10-(F77+H77)/2)*Reeksen!AM77),0)</f>
        <v>0</v>
      </c>
      <c r="AM77" s="71">
        <f ca="1">-AL77*'Invoer gegevens'!$F$31</f>
        <v>0</v>
      </c>
      <c r="AN77" s="71">
        <f t="shared" ca="1" si="17"/>
        <v>0</v>
      </c>
      <c r="AO77" s="71"/>
      <c r="AP77" s="71"/>
      <c r="AQ77" s="71">
        <f ca="1">-IF(C77=1,('Invoer gegevens'!$C$10*'Invoer gegevens'!$I$33)*Reeksen!J77,0)*2</f>
        <v>0</v>
      </c>
      <c r="AR77" s="71">
        <f ca="1">-IF(C77=1,(G77*'Invoer gegevens'!$I$34)*Reeksen!J77,0)</f>
        <v>0</v>
      </c>
      <c r="AS77" s="71">
        <f ca="1">-IF(C77=1,'Invoer gegevens'!$C$10*'Invoer gegevens'!$I$35*Reeksen!L77,0)</f>
        <v>0</v>
      </c>
      <c r="AT77" s="71">
        <f ca="1">-IF(C77=1,IF(E77='Invoer gegevens'!$C$17,'Invoer gegevens'!$C$11,Q77)*Reeksen!S77*'Invoer gegevens'!$C$18*Reeksen!P77,0)</f>
        <v>0</v>
      </c>
      <c r="AU77" s="71">
        <f ca="1">-IF(C77=1,'Invoer gegevens'!$C$10*'Invoer gegevens'!$I$36*Reeksen!H77,0)</f>
        <v>0</v>
      </c>
      <c r="AV77" s="71">
        <f t="shared" si="10"/>
        <v>0</v>
      </c>
      <c r="AW77" s="71">
        <f t="shared" ca="1" si="18"/>
        <v>0</v>
      </c>
      <c r="AX77" s="71">
        <f ca="1">IF(E77&lt;'Invoer gegevens'!$C$17+15,0,IF(E77&gt;'Invoer gegevens'!$C$17+215,0,AW77))</f>
        <v>0</v>
      </c>
      <c r="AY77" s="71">
        <f ca="1">AX77/(1+'Invoer gegevens'!$F$13)^($AZ77-('Invoer gegevens'!$C$17-'Invoer gegevens'!$C$16))/(1+'Invoer gegevens'!$C$39)^('Invoer gegevens'!$C$17-'Invoer gegevens'!$C$16)</f>
        <v>0</v>
      </c>
      <c r="AZ77" s="68">
        <f ca="1">IF(E77-'Invoer gegevens'!$C$17-14.5&lt;0,0,E77-'Invoer gegevens'!$C$17-14.5)</f>
        <v>57.5</v>
      </c>
    </row>
    <row r="78" spans="2:52" x14ac:dyDescent="0.25">
      <c r="B78" s="70">
        <f t="shared" si="19"/>
        <v>74</v>
      </c>
      <c r="C78" s="67">
        <f ca="1">IF(E78-'Invoer gegevens'!$C$17&lt;0,0,1)</f>
        <v>1</v>
      </c>
      <c r="D78" s="68">
        <f t="shared" si="20"/>
        <v>73.5</v>
      </c>
      <c r="E78" s="69">
        <f ca="1">IF('Invoer gegevens'!$C$16="","",E77+1)</f>
        <v>2092</v>
      </c>
      <c r="F78" s="82">
        <f ca="1">IF('Invoer gegevens'!$C$17=E78,'Invoer gegevens'!$C$10,IF(C78=1,H77,0))</f>
        <v>0</v>
      </c>
      <c r="G78" s="83">
        <f ca="1">IF(C78&gt;=1,F78*Reeksen!C78,0)</f>
        <v>0</v>
      </c>
      <c r="H78" s="84">
        <f t="shared" ca="1" si="14"/>
        <v>0</v>
      </c>
      <c r="I78" s="85">
        <f ca="1">IF('Invoer gegevens'!$C$17=E78,'Invoer gegevens'!$C$11,IF(C78=1,L77,0))</f>
        <v>0</v>
      </c>
      <c r="J78" s="86">
        <f ca="1">IF(C78&lt;1,0,IF(Reeksen!AK78&lt;=Reeksen!AE78,I78*Reeksen!C78,0))</f>
        <v>0</v>
      </c>
      <c r="K78" s="86">
        <f ca="1">IF(C78&lt;1,0,IF(Reeksen!AK78&gt;Reeksen!AE78,I78*Reeksen!C78,0))</f>
        <v>0</v>
      </c>
      <c r="L78" s="86">
        <f t="shared" ca="1" si="15"/>
        <v>0</v>
      </c>
      <c r="M78" s="85">
        <f ca="1">IF('Invoer gegevens'!$C$17=E78,'Invoer gegevens'!$C$10-'Invoer gegevens'!$C$11,IF(C78=1,P77,0))</f>
        <v>0</v>
      </c>
      <c r="N78" s="86">
        <f ca="1">IF(C78&lt;1,0,IF(Reeksen!AK78&lt;=Reeksen!AE78,M78*Reeksen!C78,0))</f>
        <v>0</v>
      </c>
      <c r="O78" s="86">
        <f ca="1">IF(C78&lt;1,0,IF(Reeksen!AK78&gt;Reeksen!AE78,M78*Reeksen!C78,0))</f>
        <v>0</v>
      </c>
      <c r="P78" s="86">
        <f t="shared" ca="1" si="16"/>
        <v>0</v>
      </c>
      <c r="Q78" s="82">
        <f ca="1">IF('Invoer gegevens'!$C$17=E78,I78,IF(C78=0,0,R77))</f>
        <v>0</v>
      </c>
      <c r="R78" s="84">
        <f t="shared" ca="1" si="11"/>
        <v>0</v>
      </c>
      <c r="S78" s="84">
        <f ca="1">IF('Invoer gegevens'!$C$17=E78,M78,IF(C78=0,0,T77))</f>
        <v>0</v>
      </c>
      <c r="T78" s="84">
        <f t="shared" ca="1" si="12"/>
        <v>0</v>
      </c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8"/>
      <c r="AI78" s="71">
        <f ca="1">IF(C78=1,((F78+H78)/2*Reeksen!AJ78*12)+(('Invoer gegevens'!$C$10-(F78+H78)/2)*Reeksen!AK78*12),0)</f>
        <v>0</v>
      </c>
      <c r="AJ78" s="71">
        <f ca="1">-AI78*'Invoer gegevens'!$F$28</f>
        <v>0</v>
      </c>
      <c r="AK78" s="71">
        <f t="shared" ca="1" si="13"/>
        <v>0</v>
      </c>
      <c r="AL78" s="71">
        <f ca="1">IF(C78=1,(12*((F78+H78)/2)*Reeksen!AL78)+(12*('Invoer gegevens'!$C$10-(F78+H78)/2)*Reeksen!AM78),0)</f>
        <v>0</v>
      </c>
      <c r="AM78" s="71">
        <f ca="1">-AL78*'Invoer gegevens'!$F$31</f>
        <v>0</v>
      </c>
      <c r="AN78" s="71">
        <f t="shared" ca="1" si="17"/>
        <v>0</v>
      </c>
      <c r="AO78" s="71"/>
      <c r="AP78" s="71"/>
      <c r="AQ78" s="71">
        <f ca="1">-IF(C78=1,('Invoer gegevens'!$C$10*'Invoer gegevens'!$I$33)*Reeksen!J78,0)*2</f>
        <v>0</v>
      </c>
      <c r="AR78" s="71">
        <f ca="1">-IF(C78=1,(G78*'Invoer gegevens'!$I$34)*Reeksen!J78,0)</f>
        <v>0</v>
      </c>
      <c r="AS78" s="71">
        <f ca="1">-IF(C78=1,'Invoer gegevens'!$C$10*'Invoer gegevens'!$I$35*Reeksen!L78,0)</f>
        <v>0</v>
      </c>
      <c r="AT78" s="71">
        <f ca="1">-IF(C78=1,IF(E78='Invoer gegevens'!$C$17,'Invoer gegevens'!$C$11,Q78)*Reeksen!S78*'Invoer gegevens'!$C$18*Reeksen!P78,0)</f>
        <v>0</v>
      </c>
      <c r="AU78" s="71">
        <f ca="1">-IF(C78=1,'Invoer gegevens'!$C$10*'Invoer gegevens'!$I$36*Reeksen!H78,0)</f>
        <v>0</v>
      </c>
      <c r="AV78" s="71">
        <f t="shared" si="10"/>
        <v>0</v>
      </c>
      <c r="AW78" s="71">
        <f t="shared" ca="1" si="18"/>
        <v>0</v>
      </c>
      <c r="AX78" s="71">
        <f ca="1">IF(E78&lt;'Invoer gegevens'!$C$17+15,0,IF(E78&gt;'Invoer gegevens'!$C$17+215,0,AW78))</f>
        <v>0</v>
      </c>
      <c r="AY78" s="71">
        <f ca="1">AX78/(1+'Invoer gegevens'!$F$13)^($AZ78-('Invoer gegevens'!$C$17-'Invoer gegevens'!$C$16))/(1+'Invoer gegevens'!$C$39)^('Invoer gegevens'!$C$17-'Invoer gegevens'!$C$16)</f>
        <v>0</v>
      </c>
      <c r="AZ78" s="68">
        <f ca="1">IF(E78-'Invoer gegevens'!$C$17-14.5&lt;0,0,E78-'Invoer gegevens'!$C$17-14.5)</f>
        <v>58.5</v>
      </c>
    </row>
    <row r="79" spans="2:52" x14ac:dyDescent="0.25">
      <c r="B79" s="70">
        <f t="shared" si="19"/>
        <v>75</v>
      </c>
      <c r="C79" s="67">
        <f ca="1">IF(E79-'Invoer gegevens'!$C$17&lt;0,0,1)</f>
        <v>1</v>
      </c>
      <c r="D79" s="68">
        <f t="shared" si="20"/>
        <v>74.5</v>
      </c>
      <c r="E79" s="69">
        <f ca="1">IF('Invoer gegevens'!$C$16="","",E78+1)</f>
        <v>2093</v>
      </c>
      <c r="F79" s="82">
        <f ca="1">IF('Invoer gegevens'!$C$17=E79,'Invoer gegevens'!$C$10,IF(C79=1,H78,0))</f>
        <v>0</v>
      </c>
      <c r="G79" s="83">
        <f ca="1">IF(C79&gt;=1,F79*Reeksen!C79,0)</f>
        <v>0</v>
      </c>
      <c r="H79" s="84">
        <f t="shared" ca="1" si="14"/>
        <v>0</v>
      </c>
      <c r="I79" s="85">
        <f ca="1">IF('Invoer gegevens'!$C$17=E79,'Invoer gegevens'!$C$11,IF(C79=1,L78,0))</f>
        <v>0</v>
      </c>
      <c r="J79" s="86">
        <f ca="1">IF(C79&lt;1,0,IF(Reeksen!AK79&lt;=Reeksen!AE79,I79*Reeksen!C79,0))</f>
        <v>0</v>
      </c>
      <c r="K79" s="86">
        <f ca="1">IF(C79&lt;1,0,IF(Reeksen!AK79&gt;Reeksen!AE79,I79*Reeksen!C79,0))</f>
        <v>0</v>
      </c>
      <c r="L79" s="86">
        <f t="shared" ca="1" si="15"/>
        <v>0</v>
      </c>
      <c r="M79" s="85">
        <f ca="1">IF('Invoer gegevens'!$C$17=E79,'Invoer gegevens'!$C$10-'Invoer gegevens'!$C$11,IF(C79=1,P78,0))</f>
        <v>0</v>
      </c>
      <c r="N79" s="86">
        <f ca="1">IF(C79&lt;1,0,IF(Reeksen!AK79&lt;=Reeksen!AE79,M79*Reeksen!C79,0))</f>
        <v>0</v>
      </c>
      <c r="O79" s="86">
        <f ca="1">IF(C79&lt;1,0,IF(Reeksen!AK79&gt;Reeksen!AE79,M79*Reeksen!C79,0))</f>
        <v>0</v>
      </c>
      <c r="P79" s="86">
        <f t="shared" ca="1" si="16"/>
        <v>0</v>
      </c>
      <c r="Q79" s="82">
        <f ca="1">IF('Invoer gegevens'!$C$17=E79,I79,IF(C79=0,0,R78))</f>
        <v>0</v>
      </c>
      <c r="R79" s="84">
        <f t="shared" ca="1" si="11"/>
        <v>0</v>
      </c>
      <c r="S79" s="84">
        <f ca="1">IF('Invoer gegevens'!$C$17=E79,M79,IF(C79=0,0,T78))</f>
        <v>0</v>
      </c>
      <c r="T79" s="84">
        <f t="shared" ca="1" si="12"/>
        <v>0</v>
      </c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8"/>
      <c r="AI79" s="71">
        <f ca="1">IF(C79=1,((F79+H79)/2*Reeksen!AJ79*12)+(('Invoer gegevens'!$C$10-(F79+H79)/2)*Reeksen!AK79*12),0)</f>
        <v>0</v>
      </c>
      <c r="AJ79" s="71">
        <f ca="1">-AI79*'Invoer gegevens'!$F$28</f>
        <v>0</v>
      </c>
      <c r="AK79" s="71">
        <f t="shared" ca="1" si="13"/>
        <v>0</v>
      </c>
      <c r="AL79" s="71">
        <f ca="1">IF(C79=1,(12*((F79+H79)/2)*Reeksen!AL79)+(12*('Invoer gegevens'!$C$10-(F79+H79)/2)*Reeksen!AM79),0)</f>
        <v>0</v>
      </c>
      <c r="AM79" s="71">
        <f ca="1">-AL79*'Invoer gegevens'!$F$31</f>
        <v>0</v>
      </c>
      <c r="AN79" s="71">
        <f t="shared" ca="1" si="17"/>
        <v>0</v>
      </c>
      <c r="AO79" s="71"/>
      <c r="AP79" s="71"/>
      <c r="AQ79" s="71">
        <f ca="1">-IF(C79=1,('Invoer gegevens'!$C$10*'Invoer gegevens'!$I$33)*Reeksen!J79,0)*2</f>
        <v>0</v>
      </c>
      <c r="AR79" s="71">
        <f ca="1">-IF(C79=1,(G79*'Invoer gegevens'!$I$34)*Reeksen!J79,0)</f>
        <v>0</v>
      </c>
      <c r="AS79" s="71">
        <f ca="1">-IF(C79=1,'Invoer gegevens'!$C$10*'Invoer gegevens'!$I$35*Reeksen!L79,0)</f>
        <v>0</v>
      </c>
      <c r="AT79" s="71">
        <f ca="1">-IF(C79=1,IF(E79='Invoer gegevens'!$C$17,'Invoer gegevens'!$C$11,Q79)*Reeksen!S79*'Invoer gegevens'!$C$18*Reeksen!P79,0)</f>
        <v>0</v>
      </c>
      <c r="AU79" s="71">
        <f ca="1">-IF(C79=1,'Invoer gegevens'!$C$10*'Invoer gegevens'!$I$36*Reeksen!H79,0)</f>
        <v>0</v>
      </c>
      <c r="AV79" s="71">
        <f t="shared" si="10"/>
        <v>0</v>
      </c>
      <c r="AW79" s="71">
        <f t="shared" ca="1" si="18"/>
        <v>0</v>
      </c>
      <c r="AX79" s="71">
        <f ca="1">IF(E79&lt;'Invoer gegevens'!$C$17+15,0,IF(E79&gt;'Invoer gegevens'!$C$17+215,0,AW79))</f>
        <v>0</v>
      </c>
      <c r="AY79" s="71">
        <f ca="1">AX79/(1+'Invoer gegevens'!$F$13)^($AZ79-('Invoer gegevens'!$C$17-'Invoer gegevens'!$C$16))/(1+'Invoer gegevens'!$C$39)^('Invoer gegevens'!$C$17-'Invoer gegevens'!$C$16)</f>
        <v>0</v>
      </c>
      <c r="AZ79" s="68">
        <f ca="1">IF(E79-'Invoer gegevens'!$C$17-14.5&lt;0,0,E79-'Invoer gegevens'!$C$17-14.5)</f>
        <v>59.5</v>
      </c>
    </row>
    <row r="80" spans="2:52" x14ac:dyDescent="0.25">
      <c r="B80" s="70">
        <f t="shared" si="19"/>
        <v>76</v>
      </c>
      <c r="C80" s="67">
        <f ca="1">IF(E80-'Invoer gegevens'!$C$17&lt;0,0,1)</f>
        <v>1</v>
      </c>
      <c r="D80" s="68">
        <f t="shared" si="20"/>
        <v>75.5</v>
      </c>
      <c r="E80" s="69">
        <f ca="1">IF('Invoer gegevens'!$C$16="","",E79+1)</f>
        <v>2094</v>
      </c>
      <c r="F80" s="82">
        <f ca="1">IF('Invoer gegevens'!$C$17=E80,'Invoer gegevens'!$C$10,IF(C80=1,H79,0))</f>
        <v>0</v>
      </c>
      <c r="G80" s="83">
        <f ca="1">IF(C80&gt;=1,F80*Reeksen!C80,0)</f>
        <v>0</v>
      </c>
      <c r="H80" s="84">
        <f t="shared" ca="1" si="14"/>
        <v>0</v>
      </c>
      <c r="I80" s="85">
        <f ca="1">IF('Invoer gegevens'!$C$17=E80,'Invoer gegevens'!$C$11,IF(C80=1,L79,0))</f>
        <v>0</v>
      </c>
      <c r="J80" s="86">
        <f ca="1">IF(C80&lt;1,0,IF(Reeksen!AK80&lt;=Reeksen!AE80,I80*Reeksen!C80,0))</f>
        <v>0</v>
      </c>
      <c r="K80" s="86">
        <f ca="1">IF(C80&lt;1,0,IF(Reeksen!AK80&gt;Reeksen!AE80,I80*Reeksen!C80,0))</f>
        <v>0</v>
      </c>
      <c r="L80" s="86">
        <f t="shared" ca="1" si="15"/>
        <v>0</v>
      </c>
      <c r="M80" s="85">
        <f ca="1">IF('Invoer gegevens'!$C$17=E80,'Invoer gegevens'!$C$10-'Invoer gegevens'!$C$11,IF(C80=1,P79,0))</f>
        <v>0</v>
      </c>
      <c r="N80" s="86">
        <f ca="1">IF(C80&lt;1,0,IF(Reeksen!AK80&lt;=Reeksen!AE80,M80*Reeksen!C80,0))</f>
        <v>0</v>
      </c>
      <c r="O80" s="86">
        <f ca="1">IF(C80&lt;1,0,IF(Reeksen!AK80&gt;Reeksen!AE80,M80*Reeksen!C80,0))</f>
        <v>0</v>
      </c>
      <c r="P80" s="86">
        <f t="shared" ca="1" si="16"/>
        <v>0</v>
      </c>
      <c r="Q80" s="82">
        <f ca="1">IF('Invoer gegevens'!$C$17=E80,I80,IF(C80=0,0,R79))</f>
        <v>0</v>
      </c>
      <c r="R80" s="84">
        <f t="shared" ca="1" si="11"/>
        <v>0</v>
      </c>
      <c r="S80" s="84">
        <f ca="1">IF('Invoer gegevens'!$C$17=E80,M80,IF(C80=0,0,T79))</f>
        <v>0</v>
      </c>
      <c r="T80" s="84">
        <f t="shared" ca="1" si="12"/>
        <v>0</v>
      </c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8"/>
      <c r="AI80" s="71">
        <f ca="1">IF(C80=1,((F80+H80)/2*Reeksen!AJ80*12)+(('Invoer gegevens'!$C$10-(F80+H80)/2)*Reeksen!AK80*12),0)</f>
        <v>0</v>
      </c>
      <c r="AJ80" s="71">
        <f ca="1">-AI80*'Invoer gegevens'!$F$28</f>
        <v>0</v>
      </c>
      <c r="AK80" s="71">
        <f t="shared" ca="1" si="13"/>
        <v>0</v>
      </c>
      <c r="AL80" s="71">
        <f ca="1">IF(C80=1,(12*((F80+H80)/2)*Reeksen!AL80)+(12*('Invoer gegevens'!$C$10-(F80+H80)/2)*Reeksen!AM80),0)</f>
        <v>0</v>
      </c>
      <c r="AM80" s="71">
        <f ca="1">-AL80*'Invoer gegevens'!$F$31</f>
        <v>0</v>
      </c>
      <c r="AN80" s="71">
        <f t="shared" ca="1" si="17"/>
        <v>0</v>
      </c>
      <c r="AO80" s="71"/>
      <c r="AP80" s="71"/>
      <c r="AQ80" s="71">
        <f ca="1">-IF(C80=1,('Invoer gegevens'!$C$10*'Invoer gegevens'!$I$33)*Reeksen!J80,0)*2</f>
        <v>0</v>
      </c>
      <c r="AR80" s="71">
        <f ca="1">-IF(C80=1,(G80*'Invoer gegevens'!$I$34)*Reeksen!J80,0)</f>
        <v>0</v>
      </c>
      <c r="AS80" s="71">
        <f ca="1">-IF(C80=1,'Invoer gegevens'!$C$10*'Invoer gegevens'!$I$35*Reeksen!L80,0)</f>
        <v>0</v>
      </c>
      <c r="AT80" s="71">
        <f ca="1">-IF(C80=1,IF(E80='Invoer gegevens'!$C$17,'Invoer gegevens'!$C$11,Q80)*Reeksen!S80*'Invoer gegevens'!$C$18*Reeksen!P80,0)</f>
        <v>0</v>
      </c>
      <c r="AU80" s="71">
        <f ca="1">-IF(C80=1,'Invoer gegevens'!$C$10*'Invoer gegevens'!$I$36*Reeksen!H80,0)</f>
        <v>0</v>
      </c>
      <c r="AV80" s="71">
        <f t="shared" si="10"/>
        <v>0</v>
      </c>
      <c r="AW80" s="71">
        <f t="shared" ca="1" si="18"/>
        <v>0</v>
      </c>
      <c r="AX80" s="71">
        <f ca="1">IF(E80&lt;'Invoer gegevens'!$C$17+15,0,IF(E80&gt;'Invoer gegevens'!$C$17+215,0,AW80))</f>
        <v>0</v>
      </c>
      <c r="AY80" s="71">
        <f ca="1">AX80/(1+'Invoer gegevens'!$F$13)^($AZ80-('Invoer gegevens'!$C$17-'Invoer gegevens'!$C$16))/(1+'Invoer gegevens'!$C$39)^('Invoer gegevens'!$C$17-'Invoer gegevens'!$C$16)</f>
        <v>0</v>
      </c>
      <c r="AZ80" s="68">
        <f ca="1">IF(E80-'Invoer gegevens'!$C$17-14.5&lt;0,0,E80-'Invoer gegevens'!$C$17-14.5)</f>
        <v>60.5</v>
      </c>
    </row>
    <row r="81" spans="2:52" x14ac:dyDescent="0.25">
      <c r="B81" s="70">
        <f t="shared" si="19"/>
        <v>77</v>
      </c>
      <c r="C81" s="67">
        <f ca="1">IF(E81-'Invoer gegevens'!$C$17&lt;0,0,1)</f>
        <v>1</v>
      </c>
      <c r="D81" s="68">
        <f t="shared" si="20"/>
        <v>76.5</v>
      </c>
      <c r="E81" s="69">
        <f ca="1">IF('Invoer gegevens'!$C$16="","",E80+1)</f>
        <v>2095</v>
      </c>
      <c r="F81" s="82">
        <f ca="1">IF('Invoer gegevens'!$C$17=E81,'Invoer gegevens'!$C$10,IF(C81=1,H80,0))</f>
        <v>0</v>
      </c>
      <c r="G81" s="83">
        <f ca="1">IF(C81&gt;=1,F81*Reeksen!C81,0)</f>
        <v>0</v>
      </c>
      <c r="H81" s="84">
        <f t="shared" ca="1" si="14"/>
        <v>0</v>
      </c>
      <c r="I81" s="85">
        <f ca="1">IF('Invoer gegevens'!$C$17=E81,'Invoer gegevens'!$C$11,IF(C81=1,L80,0))</f>
        <v>0</v>
      </c>
      <c r="J81" s="86">
        <f ca="1">IF(C81&lt;1,0,IF(Reeksen!AK81&lt;=Reeksen!AE81,I81*Reeksen!C81,0))</f>
        <v>0</v>
      </c>
      <c r="K81" s="86">
        <f ca="1">IF(C81&lt;1,0,IF(Reeksen!AK81&gt;Reeksen!AE81,I81*Reeksen!C81,0))</f>
        <v>0</v>
      </c>
      <c r="L81" s="86">
        <f t="shared" ca="1" si="15"/>
        <v>0</v>
      </c>
      <c r="M81" s="85">
        <f ca="1">IF('Invoer gegevens'!$C$17=E81,'Invoer gegevens'!$C$10-'Invoer gegevens'!$C$11,IF(C81=1,P80,0))</f>
        <v>0</v>
      </c>
      <c r="N81" s="86">
        <f ca="1">IF(C81&lt;1,0,IF(Reeksen!AK81&lt;=Reeksen!AE81,M81*Reeksen!C81,0))</f>
        <v>0</v>
      </c>
      <c r="O81" s="86">
        <f ca="1">IF(C81&lt;1,0,IF(Reeksen!AK81&gt;Reeksen!AE81,M81*Reeksen!C81,0))</f>
        <v>0</v>
      </c>
      <c r="P81" s="86">
        <f t="shared" ca="1" si="16"/>
        <v>0</v>
      </c>
      <c r="Q81" s="82">
        <f ca="1">IF('Invoer gegevens'!$C$17=E81,I81,IF(C81=0,0,R80))</f>
        <v>0</v>
      </c>
      <c r="R81" s="84">
        <f t="shared" ca="1" si="11"/>
        <v>0</v>
      </c>
      <c r="S81" s="84">
        <f ca="1">IF('Invoer gegevens'!$C$17=E81,M81,IF(C81=0,0,T80))</f>
        <v>0</v>
      </c>
      <c r="T81" s="84">
        <f t="shared" ca="1" si="12"/>
        <v>0</v>
      </c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8"/>
      <c r="AI81" s="71">
        <f ca="1">IF(C81=1,((F81+H81)/2*Reeksen!AJ81*12)+(('Invoer gegevens'!$C$10-(F81+H81)/2)*Reeksen!AK81*12),0)</f>
        <v>0</v>
      </c>
      <c r="AJ81" s="71">
        <f ca="1">-AI81*'Invoer gegevens'!$F$28</f>
        <v>0</v>
      </c>
      <c r="AK81" s="71">
        <f t="shared" ca="1" si="13"/>
        <v>0</v>
      </c>
      <c r="AL81" s="71">
        <f ca="1">IF(C81=1,(12*((F81+H81)/2)*Reeksen!AL81)+(12*('Invoer gegevens'!$C$10-(F81+H81)/2)*Reeksen!AM81),0)</f>
        <v>0</v>
      </c>
      <c r="AM81" s="71">
        <f ca="1">-AL81*'Invoer gegevens'!$F$31</f>
        <v>0</v>
      </c>
      <c r="AN81" s="71">
        <f t="shared" ca="1" si="17"/>
        <v>0</v>
      </c>
      <c r="AO81" s="71"/>
      <c r="AP81" s="71"/>
      <c r="AQ81" s="71">
        <f ca="1">-IF(C81=1,('Invoer gegevens'!$C$10*'Invoer gegevens'!$I$33)*Reeksen!J81,0)*2</f>
        <v>0</v>
      </c>
      <c r="AR81" s="71">
        <f ca="1">-IF(C81=1,(G81*'Invoer gegevens'!$I$34)*Reeksen!J81,0)</f>
        <v>0</v>
      </c>
      <c r="AS81" s="71">
        <f ca="1">-IF(C81=1,'Invoer gegevens'!$C$10*'Invoer gegevens'!$I$35*Reeksen!L81,0)</f>
        <v>0</v>
      </c>
      <c r="AT81" s="71">
        <f ca="1">-IF(C81=1,IF(E81='Invoer gegevens'!$C$17,'Invoer gegevens'!$C$11,Q81)*Reeksen!S81*'Invoer gegevens'!$C$18*Reeksen!P81,0)</f>
        <v>0</v>
      </c>
      <c r="AU81" s="71">
        <f ca="1">-IF(C81=1,'Invoer gegevens'!$C$10*'Invoer gegevens'!$I$36*Reeksen!H81,0)</f>
        <v>0</v>
      </c>
      <c r="AV81" s="71">
        <f t="shared" si="10"/>
        <v>0</v>
      </c>
      <c r="AW81" s="71">
        <f t="shared" ca="1" si="18"/>
        <v>0</v>
      </c>
      <c r="AX81" s="71">
        <f ca="1">IF(E81&lt;'Invoer gegevens'!$C$17+15,0,IF(E81&gt;'Invoer gegevens'!$C$17+215,0,AW81))</f>
        <v>0</v>
      </c>
      <c r="AY81" s="71">
        <f ca="1">AX81/(1+'Invoer gegevens'!$F$13)^($AZ81-('Invoer gegevens'!$C$17-'Invoer gegevens'!$C$16))/(1+'Invoer gegevens'!$C$39)^('Invoer gegevens'!$C$17-'Invoer gegevens'!$C$16)</f>
        <v>0</v>
      </c>
      <c r="AZ81" s="68">
        <f ca="1">IF(E81-'Invoer gegevens'!$C$17-14.5&lt;0,0,E81-'Invoer gegevens'!$C$17-14.5)</f>
        <v>61.5</v>
      </c>
    </row>
    <row r="82" spans="2:52" x14ac:dyDescent="0.25">
      <c r="B82" s="70">
        <f t="shared" si="19"/>
        <v>78</v>
      </c>
      <c r="C82" s="67">
        <f ca="1">IF(E82-'Invoer gegevens'!$C$17&lt;0,0,1)</f>
        <v>1</v>
      </c>
      <c r="D82" s="68">
        <f t="shared" si="20"/>
        <v>77.5</v>
      </c>
      <c r="E82" s="69">
        <f ca="1">IF('Invoer gegevens'!$C$16="","",E81+1)</f>
        <v>2096</v>
      </c>
      <c r="F82" s="82">
        <f ca="1">IF('Invoer gegevens'!$C$17=E82,'Invoer gegevens'!$C$10,IF(C82=1,H81,0))</f>
        <v>0</v>
      </c>
      <c r="G82" s="83">
        <f ca="1">IF(C82&gt;=1,F82*Reeksen!C82,0)</f>
        <v>0</v>
      </c>
      <c r="H82" s="84">
        <f t="shared" ca="1" si="14"/>
        <v>0</v>
      </c>
      <c r="I82" s="85">
        <f ca="1">IF('Invoer gegevens'!$C$17=E82,'Invoer gegevens'!$C$11,IF(C82=1,L81,0))</f>
        <v>0</v>
      </c>
      <c r="J82" s="86">
        <f ca="1">IF(C82&lt;1,0,IF(Reeksen!AK82&lt;=Reeksen!AE82,I82*Reeksen!C82,0))</f>
        <v>0</v>
      </c>
      <c r="K82" s="86">
        <f ca="1">IF(C82&lt;1,0,IF(Reeksen!AK82&gt;Reeksen!AE82,I82*Reeksen!C82,0))</f>
        <v>0</v>
      </c>
      <c r="L82" s="86">
        <f t="shared" ca="1" si="15"/>
        <v>0</v>
      </c>
      <c r="M82" s="85">
        <f ca="1">IF('Invoer gegevens'!$C$17=E82,'Invoer gegevens'!$C$10-'Invoer gegevens'!$C$11,IF(C82=1,P81,0))</f>
        <v>0</v>
      </c>
      <c r="N82" s="86">
        <f ca="1">IF(C82&lt;1,0,IF(Reeksen!AK82&lt;=Reeksen!AE82,M82*Reeksen!C82,0))</f>
        <v>0</v>
      </c>
      <c r="O82" s="86">
        <f ca="1">IF(C82&lt;1,0,IF(Reeksen!AK82&gt;Reeksen!AE82,M82*Reeksen!C82,0))</f>
        <v>0</v>
      </c>
      <c r="P82" s="86">
        <f t="shared" ca="1" si="16"/>
        <v>0</v>
      </c>
      <c r="Q82" s="82">
        <f ca="1">IF('Invoer gegevens'!$C$17=E82,I82,IF(C82=0,0,R81))</f>
        <v>0</v>
      </c>
      <c r="R82" s="84">
        <f t="shared" ca="1" si="11"/>
        <v>0</v>
      </c>
      <c r="S82" s="84">
        <f ca="1">IF('Invoer gegevens'!$C$17=E82,M82,IF(C82=0,0,T81))</f>
        <v>0</v>
      </c>
      <c r="T82" s="84">
        <f t="shared" ca="1" si="12"/>
        <v>0</v>
      </c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8"/>
      <c r="AI82" s="71">
        <f ca="1">IF(C82=1,((F82+H82)/2*Reeksen!AJ82*12)+(('Invoer gegevens'!$C$10-(F82+H82)/2)*Reeksen!AK82*12),0)</f>
        <v>0</v>
      </c>
      <c r="AJ82" s="71">
        <f ca="1">-AI82*'Invoer gegevens'!$F$28</f>
        <v>0</v>
      </c>
      <c r="AK82" s="71">
        <f t="shared" ca="1" si="13"/>
        <v>0</v>
      </c>
      <c r="AL82" s="71">
        <f ca="1">IF(C82=1,(12*((F82+H82)/2)*Reeksen!AL82)+(12*('Invoer gegevens'!$C$10-(F82+H82)/2)*Reeksen!AM82),0)</f>
        <v>0</v>
      </c>
      <c r="AM82" s="71">
        <f ca="1">-AL82*'Invoer gegevens'!$F$31</f>
        <v>0</v>
      </c>
      <c r="AN82" s="71">
        <f t="shared" ca="1" si="17"/>
        <v>0</v>
      </c>
      <c r="AO82" s="71"/>
      <c r="AP82" s="71"/>
      <c r="AQ82" s="71">
        <f ca="1">-IF(C82=1,('Invoer gegevens'!$C$10*'Invoer gegevens'!$I$33)*Reeksen!J82,0)*2</f>
        <v>0</v>
      </c>
      <c r="AR82" s="71">
        <f ca="1">-IF(C82=1,(G82*'Invoer gegevens'!$I$34)*Reeksen!J82,0)</f>
        <v>0</v>
      </c>
      <c r="AS82" s="71">
        <f ca="1">-IF(C82=1,'Invoer gegevens'!$C$10*'Invoer gegevens'!$I$35*Reeksen!L82,0)</f>
        <v>0</v>
      </c>
      <c r="AT82" s="71">
        <f ca="1">-IF(C82=1,IF(E82='Invoer gegevens'!$C$17,'Invoer gegevens'!$C$11,Q82)*Reeksen!S82*'Invoer gegevens'!$C$18*Reeksen!P82,0)</f>
        <v>0</v>
      </c>
      <c r="AU82" s="71">
        <f ca="1">-IF(C82=1,'Invoer gegevens'!$C$10*'Invoer gegevens'!$I$36*Reeksen!H82,0)</f>
        <v>0</v>
      </c>
      <c r="AV82" s="71">
        <f t="shared" si="10"/>
        <v>0</v>
      </c>
      <c r="AW82" s="71">
        <f t="shared" ca="1" si="18"/>
        <v>0</v>
      </c>
      <c r="AX82" s="71">
        <f ca="1">IF(E82&lt;'Invoer gegevens'!$C$17+15,0,IF(E82&gt;'Invoer gegevens'!$C$17+215,0,AW82))</f>
        <v>0</v>
      </c>
      <c r="AY82" s="71">
        <f ca="1">AX82/(1+'Invoer gegevens'!$F$13)^($AZ82-('Invoer gegevens'!$C$17-'Invoer gegevens'!$C$16))/(1+'Invoer gegevens'!$C$39)^('Invoer gegevens'!$C$17-'Invoer gegevens'!$C$16)</f>
        <v>0</v>
      </c>
      <c r="AZ82" s="68">
        <f ca="1">IF(E82-'Invoer gegevens'!$C$17-14.5&lt;0,0,E82-'Invoer gegevens'!$C$17-14.5)</f>
        <v>62.5</v>
      </c>
    </row>
    <row r="83" spans="2:52" x14ac:dyDescent="0.25">
      <c r="B83" s="70">
        <f t="shared" si="19"/>
        <v>79</v>
      </c>
      <c r="C83" s="67">
        <f ca="1">IF(E83-'Invoer gegevens'!$C$17&lt;0,0,1)</f>
        <v>1</v>
      </c>
      <c r="D83" s="68">
        <f t="shared" si="20"/>
        <v>78.5</v>
      </c>
      <c r="E83" s="69">
        <f ca="1">IF('Invoer gegevens'!$C$16="","",E82+1)</f>
        <v>2097</v>
      </c>
      <c r="F83" s="82">
        <f ca="1">IF('Invoer gegevens'!$C$17=E83,'Invoer gegevens'!$C$10,IF(C83=1,H82,0))</f>
        <v>0</v>
      </c>
      <c r="G83" s="83">
        <f ca="1">IF(C83&gt;=1,F83*Reeksen!C83,0)</f>
        <v>0</v>
      </c>
      <c r="H83" s="84">
        <f t="shared" ca="1" si="14"/>
        <v>0</v>
      </c>
      <c r="I83" s="85">
        <f ca="1">IF('Invoer gegevens'!$C$17=E83,'Invoer gegevens'!$C$11,IF(C83=1,L82,0))</f>
        <v>0</v>
      </c>
      <c r="J83" s="86">
        <f ca="1">IF(C83&lt;1,0,IF(Reeksen!AK83&lt;=Reeksen!AE83,I83*Reeksen!C83,0))</f>
        <v>0</v>
      </c>
      <c r="K83" s="86">
        <f ca="1">IF(C83&lt;1,0,IF(Reeksen!AK83&gt;Reeksen!AE83,I83*Reeksen!C83,0))</f>
        <v>0</v>
      </c>
      <c r="L83" s="86">
        <f t="shared" ca="1" si="15"/>
        <v>0</v>
      </c>
      <c r="M83" s="85">
        <f ca="1">IF('Invoer gegevens'!$C$17=E83,'Invoer gegevens'!$C$10-'Invoer gegevens'!$C$11,IF(C83=1,P82,0))</f>
        <v>0</v>
      </c>
      <c r="N83" s="86">
        <f ca="1">IF(C83&lt;1,0,IF(Reeksen!AK83&lt;=Reeksen!AE83,M83*Reeksen!C83,0))</f>
        <v>0</v>
      </c>
      <c r="O83" s="86">
        <f ca="1">IF(C83&lt;1,0,IF(Reeksen!AK83&gt;Reeksen!AE83,M83*Reeksen!C83,0))</f>
        <v>0</v>
      </c>
      <c r="P83" s="86">
        <f t="shared" ca="1" si="16"/>
        <v>0</v>
      </c>
      <c r="Q83" s="82">
        <f ca="1">IF('Invoer gegevens'!$C$17=E83,I83,IF(C83=0,0,R82))</f>
        <v>0</v>
      </c>
      <c r="R83" s="84">
        <f t="shared" ca="1" si="11"/>
        <v>0</v>
      </c>
      <c r="S83" s="84">
        <f ca="1">IF('Invoer gegevens'!$C$17=E83,M83,IF(C83=0,0,T82))</f>
        <v>0</v>
      </c>
      <c r="T83" s="84">
        <f t="shared" ca="1" si="12"/>
        <v>0</v>
      </c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8"/>
      <c r="AI83" s="71">
        <f ca="1">IF(C83=1,((F83+H83)/2*Reeksen!AJ83*12)+(('Invoer gegevens'!$C$10-(F83+H83)/2)*Reeksen!AK83*12),0)</f>
        <v>0</v>
      </c>
      <c r="AJ83" s="71">
        <f ca="1">-AI83*'Invoer gegevens'!$F$28</f>
        <v>0</v>
      </c>
      <c r="AK83" s="71">
        <f t="shared" ca="1" si="13"/>
        <v>0</v>
      </c>
      <c r="AL83" s="71">
        <f ca="1">IF(C83=1,(12*((F83+H83)/2)*Reeksen!AL83)+(12*('Invoer gegevens'!$C$10-(F83+H83)/2)*Reeksen!AM83),0)</f>
        <v>0</v>
      </c>
      <c r="AM83" s="71">
        <f ca="1">-AL83*'Invoer gegevens'!$F$31</f>
        <v>0</v>
      </c>
      <c r="AN83" s="71">
        <f t="shared" ca="1" si="17"/>
        <v>0</v>
      </c>
      <c r="AO83" s="71"/>
      <c r="AP83" s="71"/>
      <c r="AQ83" s="71">
        <f ca="1">-IF(C83=1,('Invoer gegevens'!$C$10*'Invoer gegevens'!$I$33)*Reeksen!J83,0)*2</f>
        <v>0</v>
      </c>
      <c r="AR83" s="71">
        <f ca="1">-IF(C83=1,(G83*'Invoer gegevens'!$I$34)*Reeksen!J83,0)</f>
        <v>0</v>
      </c>
      <c r="AS83" s="71">
        <f ca="1">-IF(C83=1,'Invoer gegevens'!$C$10*'Invoer gegevens'!$I$35*Reeksen!L83,0)</f>
        <v>0</v>
      </c>
      <c r="AT83" s="71">
        <f ca="1">-IF(C83=1,IF(E83='Invoer gegevens'!$C$17,'Invoer gegevens'!$C$11,Q83)*Reeksen!S83*'Invoer gegevens'!$C$18*Reeksen!P83,0)</f>
        <v>0</v>
      </c>
      <c r="AU83" s="71">
        <f ca="1">-IF(C83=1,'Invoer gegevens'!$C$10*'Invoer gegevens'!$I$36*Reeksen!H83,0)</f>
        <v>0</v>
      </c>
      <c r="AV83" s="71">
        <f t="shared" si="10"/>
        <v>0</v>
      </c>
      <c r="AW83" s="71">
        <f t="shared" ca="1" si="18"/>
        <v>0</v>
      </c>
      <c r="AX83" s="71">
        <f ca="1">IF(E83&lt;'Invoer gegevens'!$C$17+15,0,IF(E83&gt;'Invoer gegevens'!$C$17+215,0,AW83))</f>
        <v>0</v>
      </c>
      <c r="AY83" s="71">
        <f ca="1">AX83/(1+'Invoer gegevens'!$F$13)^($AZ83-('Invoer gegevens'!$C$17-'Invoer gegevens'!$C$16))/(1+'Invoer gegevens'!$C$39)^('Invoer gegevens'!$C$17-'Invoer gegevens'!$C$16)</f>
        <v>0</v>
      </c>
      <c r="AZ83" s="68">
        <f ca="1">IF(E83-'Invoer gegevens'!$C$17-14.5&lt;0,0,E83-'Invoer gegevens'!$C$17-14.5)</f>
        <v>63.5</v>
      </c>
    </row>
    <row r="84" spans="2:52" x14ac:dyDescent="0.25">
      <c r="B84" s="70">
        <f t="shared" si="19"/>
        <v>80</v>
      </c>
      <c r="C84" s="67">
        <f ca="1">IF(E84-'Invoer gegevens'!$C$17&lt;0,0,1)</f>
        <v>1</v>
      </c>
      <c r="D84" s="68">
        <f t="shared" si="20"/>
        <v>79.5</v>
      </c>
      <c r="E84" s="69">
        <f ca="1">IF('Invoer gegevens'!$C$16="","",E83+1)</f>
        <v>2098</v>
      </c>
      <c r="F84" s="82">
        <f ca="1">IF('Invoer gegevens'!$C$17=E84,'Invoer gegevens'!$C$10,IF(C84=1,H83,0))</f>
        <v>0</v>
      </c>
      <c r="G84" s="83">
        <f ca="1">IF(C84&gt;=1,F84*Reeksen!C84,0)</f>
        <v>0</v>
      </c>
      <c r="H84" s="84">
        <f t="shared" ca="1" si="14"/>
        <v>0</v>
      </c>
      <c r="I84" s="85">
        <f ca="1">IF('Invoer gegevens'!$C$17=E84,'Invoer gegevens'!$C$11,IF(C84=1,L83,0))</f>
        <v>0</v>
      </c>
      <c r="J84" s="86">
        <f ca="1">IF(C84&lt;1,0,IF(Reeksen!AK84&lt;=Reeksen!AE84,I84*Reeksen!C84,0))</f>
        <v>0</v>
      </c>
      <c r="K84" s="86">
        <f ca="1">IF(C84&lt;1,0,IF(Reeksen!AK84&gt;Reeksen!AE84,I84*Reeksen!C84,0))</f>
        <v>0</v>
      </c>
      <c r="L84" s="86">
        <f t="shared" ca="1" si="15"/>
        <v>0</v>
      </c>
      <c r="M84" s="85">
        <f ca="1">IF('Invoer gegevens'!$C$17=E84,'Invoer gegevens'!$C$10-'Invoer gegevens'!$C$11,IF(C84=1,P83,0))</f>
        <v>0</v>
      </c>
      <c r="N84" s="86">
        <f ca="1">IF(C84&lt;1,0,IF(Reeksen!AK84&lt;=Reeksen!AE84,M84*Reeksen!C84,0))</f>
        <v>0</v>
      </c>
      <c r="O84" s="86">
        <f ca="1">IF(C84&lt;1,0,IF(Reeksen!AK84&gt;Reeksen!AE84,M84*Reeksen!C84,0))</f>
        <v>0</v>
      </c>
      <c r="P84" s="86">
        <f t="shared" ca="1" si="16"/>
        <v>0</v>
      </c>
      <c r="Q84" s="82">
        <f ca="1">IF('Invoer gegevens'!$C$17=E84,I84,IF(C84=0,0,R83))</f>
        <v>0</v>
      </c>
      <c r="R84" s="84">
        <f t="shared" ca="1" si="11"/>
        <v>0</v>
      </c>
      <c r="S84" s="84">
        <f ca="1">IF('Invoer gegevens'!$C$17=E84,M84,IF(C84=0,0,T83))</f>
        <v>0</v>
      </c>
      <c r="T84" s="84">
        <f t="shared" ca="1" si="12"/>
        <v>0</v>
      </c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8"/>
      <c r="AI84" s="71">
        <f ca="1">IF(C84=1,((F84+H84)/2*Reeksen!AJ84*12)+(('Invoer gegevens'!$C$10-(F84+H84)/2)*Reeksen!AK84*12),0)</f>
        <v>0</v>
      </c>
      <c r="AJ84" s="71">
        <f ca="1">-AI84*'Invoer gegevens'!$F$28</f>
        <v>0</v>
      </c>
      <c r="AK84" s="71">
        <f t="shared" ca="1" si="13"/>
        <v>0</v>
      </c>
      <c r="AL84" s="71">
        <f ca="1">IF(C84=1,(12*((F84+H84)/2)*Reeksen!AL84)+(12*('Invoer gegevens'!$C$10-(F84+H84)/2)*Reeksen!AM84),0)</f>
        <v>0</v>
      </c>
      <c r="AM84" s="71">
        <f ca="1">-AL84*'Invoer gegevens'!$F$31</f>
        <v>0</v>
      </c>
      <c r="AN84" s="71">
        <f t="shared" ca="1" si="17"/>
        <v>0</v>
      </c>
      <c r="AO84" s="71"/>
      <c r="AP84" s="71"/>
      <c r="AQ84" s="71">
        <f ca="1">-IF(C84=1,('Invoer gegevens'!$C$10*'Invoer gegevens'!$I$33)*Reeksen!J84,0)*2</f>
        <v>0</v>
      </c>
      <c r="AR84" s="71">
        <f ca="1">-IF(C84=1,(G84*'Invoer gegevens'!$I$34)*Reeksen!J84,0)</f>
        <v>0</v>
      </c>
      <c r="AS84" s="71">
        <f ca="1">-IF(C84=1,'Invoer gegevens'!$C$10*'Invoer gegevens'!$I$35*Reeksen!L84,0)</f>
        <v>0</v>
      </c>
      <c r="AT84" s="71">
        <f ca="1">-IF(C84=1,IF(E84='Invoer gegevens'!$C$17,'Invoer gegevens'!$C$11,Q84)*Reeksen!S84*'Invoer gegevens'!$C$18*Reeksen!P84,0)</f>
        <v>0</v>
      </c>
      <c r="AU84" s="71">
        <f ca="1">-IF(C84=1,'Invoer gegevens'!$C$10*'Invoer gegevens'!$I$36*Reeksen!H84,0)</f>
        <v>0</v>
      </c>
      <c r="AV84" s="71">
        <f t="shared" si="10"/>
        <v>0</v>
      </c>
      <c r="AW84" s="71">
        <f t="shared" ca="1" si="18"/>
        <v>0</v>
      </c>
      <c r="AX84" s="71">
        <f ca="1">IF(E84&lt;'Invoer gegevens'!$C$17+15,0,IF(E84&gt;'Invoer gegevens'!$C$17+215,0,AW84))</f>
        <v>0</v>
      </c>
      <c r="AY84" s="71">
        <f ca="1">AX84/(1+'Invoer gegevens'!$F$13)^($AZ84-('Invoer gegevens'!$C$17-'Invoer gegevens'!$C$16))/(1+'Invoer gegevens'!$C$39)^('Invoer gegevens'!$C$17-'Invoer gegevens'!$C$16)</f>
        <v>0</v>
      </c>
      <c r="AZ84" s="68">
        <f ca="1">IF(E84-'Invoer gegevens'!$C$17-14.5&lt;0,0,E84-'Invoer gegevens'!$C$17-14.5)</f>
        <v>64.5</v>
      </c>
    </row>
    <row r="85" spans="2:52" x14ac:dyDescent="0.25">
      <c r="B85" s="70">
        <f t="shared" si="19"/>
        <v>81</v>
      </c>
      <c r="C85" s="67">
        <f ca="1">IF(E85-'Invoer gegevens'!$C$17&lt;0,0,1)</f>
        <v>1</v>
      </c>
      <c r="D85" s="68">
        <f t="shared" si="20"/>
        <v>80.5</v>
      </c>
      <c r="E85" s="69">
        <f ca="1">IF('Invoer gegevens'!$C$16="","",E84+1)</f>
        <v>2099</v>
      </c>
      <c r="F85" s="82">
        <f ca="1">IF('Invoer gegevens'!$C$17=E85,'Invoer gegevens'!$C$10,IF(C85=1,H84,0))</f>
        <v>0</v>
      </c>
      <c r="G85" s="83">
        <f ca="1">IF(C85&gt;=1,F85*Reeksen!C85,0)</f>
        <v>0</v>
      </c>
      <c r="H85" s="84">
        <f t="shared" ca="1" si="14"/>
        <v>0</v>
      </c>
      <c r="I85" s="85">
        <f ca="1">IF('Invoer gegevens'!$C$17=E85,'Invoer gegevens'!$C$11,IF(C85=1,L84,0))</f>
        <v>0</v>
      </c>
      <c r="J85" s="86">
        <f ca="1">IF(C85&lt;1,0,IF(Reeksen!AK85&lt;=Reeksen!AE85,I85*Reeksen!C85,0))</f>
        <v>0</v>
      </c>
      <c r="K85" s="86">
        <f ca="1">IF(C85&lt;1,0,IF(Reeksen!AK85&gt;Reeksen!AE85,I85*Reeksen!C85,0))</f>
        <v>0</v>
      </c>
      <c r="L85" s="86">
        <f t="shared" ca="1" si="15"/>
        <v>0</v>
      </c>
      <c r="M85" s="85">
        <f ca="1">IF('Invoer gegevens'!$C$17=E85,'Invoer gegevens'!$C$10-'Invoer gegevens'!$C$11,IF(C85=1,P84,0))</f>
        <v>0</v>
      </c>
      <c r="N85" s="86">
        <f ca="1">IF(C85&lt;1,0,IF(Reeksen!AK85&lt;=Reeksen!AE85,M85*Reeksen!C85,0))</f>
        <v>0</v>
      </c>
      <c r="O85" s="86">
        <f ca="1">IF(C85&lt;1,0,IF(Reeksen!AK85&gt;Reeksen!AE85,M85*Reeksen!C85,0))</f>
        <v>0</v>
      </c>
      <c r="P85" s="86">
        <f t="shared" ca="1" si="16"/>
        <v>0</v>
      </c>
      <c r="Q85" s="82">
        <f ca="1">IF('Invoer gegevens'!$C$17=E85,I85,IF(C85=0,0,R84))</f>
        <v>0</v>
      </c>
      <c r="R85" s="84">
        <f t="shared" ca="1" si="11"/>
        <v>0</v>
      </c>
      <c r="S85" s="84">
        <f ca="1">IF('Invoer gegevens'!$C$17=E85,M85,IF(C85=0,0,T84))</f>
        <v>0</v>
      </c>
      <c r="T85" s="84">
        <f t="shared" ca="1" si="12"/>
        <v>0</v>
      </c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8"/>
      <c r="AI85" s="71">
        <f ca="1">IF(C85=1,((F85+H85)/2*Reeksen!AJ85*12)+(('Invoer gegevens'!$C$10-(F85+H85)/2)*Reeksen!AK85*12),0)</f>
        <v>0</v>
      </c>
      <c r="AJ85" s="71">
        <f ca="1">-AI85*'Invoer gegevens'!$F$28</f>
        <v>0</v>
      </c>
      <c r="AK85" s="71">
        <f t="shared" ca="1" si="13"/>
        <v>0</v>
      </c>
      <c r="AL85" s="71">
        <f ca="1">IF(C85=1,(12*((F85+H85)/2)*Reeksen!AL85)+(12*('Invoer gegevens'!$C$10-(F85+H85)/2)*Reeksen!AM85),0)</f>
        <v>0</v>
      </c>
      <c r="AM85" s="71">
        <f ca="1">-AL85*'Invoer gegevens'!$F$31</f>
        <v>0</v>
      </c>
      <c r="AN85" s="71">
        <f t="shared" ca="1" si="17"/>
        <v>0</v>
      </c>
      <c r="AO85" s="71"/>
      <c r="AP85" s="71"/>
      <c r="AQ85" s="71">
        <f ca="1">-IF(C85=1,('Invoer gegevens'!$C$10*'Invoer gegevens'!$I$33)*Reeksen!J85,0)*2</f>
        <v>0</v>
      </c>
      <c r="AR85" s="71">
        <f ca="1">-IF(C85=1,(G85*'Invoer gegevens'!$I$34)*Reeksen!J85,0)</f>
        <v>0</v>
      </c>
      <c r="AS85" s="71">
        <f ca="1">-IF(C85=1,'Invoer gegevens'!$C$10*'Invoer gegevens'!$I$35*Reeksen!L85,0)</f>
        <v>0</v>
      </c>
      <c r="AT85" s="71">
        <f ca="1">-IF(C85=1,IF(E85='Invoer gegevens'!$C$17,'Invoer gegevens'!$C$11,Q85)*Reeksen!S85*'Invoer gegevens'!$C$18*Reeksen!P85,0)</f>
        <v>0</v>
      </c>
      <c r="AU85" s="71">
        <f ca="1">-IF(C85=1,'Invoer gegevens'!$C$10*'Invoer gegevens'!$I$36*Reeksen!H85,0)</f>
        <v>0</v>
      </c>
      <c r="AV85" s="71">
        <f t="shared" ref="AV85:AV148" si="21">AV84</f>
        <v>0</v>
      </c>
      <c r="AW85" s="71">
        <f t="shared" ca="1" si="18"/>
        <v>0</v>
      </c>
      <c r="AX85" s="71">
        <f ca="1">IF(E85&lt;'Invoer gegevens'!$C$17+15,0,IF(E85&gt;'Invoer gegevens'!$C$17+215,0,AW85))</f>
        <v>0</v>
      </c>
      <c r="AY85" s="71">
        <f ca="1">AX85/(1+'Invoer gegevens'!$F$13)^($AZ85-('Invoer gegevens'!$C$17-'Invoer gegevens'!$C$16))/(1+'Invoer gegevens'!$C$39)^('Invoer gegevens'!$C$17-'Invoer gegevens'!$C$16)</f>
        <v>0</v>
      </c>
      <c r="AZ85" s="68">
        <f ca="1">IF(E85-'Invoer gegevens'!$C$17-14.5&lt;0,0,E85-'Invoer gegevens'!$C$17-14.5)</f>
        <v>65.5</v>
      </c>
    </row>
    <row r="86" spans="2:52" x14ac:dyDescent="0.25">
      <c r="B86" s="70">
        <f t="shared" si="19"/>
        <v>82</v>
      </c>
      <c r="C86" s="67">
        <f ca="1">IF(E86-'Invoer gegevens'!$C$17&lt;0,0,1)</f>
        <v>1</v>
      </c>
      <c r="D86" s="68">
        <f t="shared" si="20"/>
        <v>81.5</v>
      </c>
      <c r="E86" s="69">
        <f ca="1">IF('Invoer gegevens'!$C$16="","",E85+1)</f>
        <v>2100</v>
      </c>
      <c r="F86" s="82">
        <f ca="1">IF('Invoer gegevens'!$C$17=E86,'Invoer gegevens'!$C$10,IF(C86=1,H85,0))</f>
        <v>0</v>
      </c>
      <c r="G86" s="83">
        <f ca="1">IF(C86&gt;=1,F86*Reeksen!C86,0)</f>
        <v>0</v>
      </c>
      <c r="H86" s="84">
        <f t="shared" ca="1" si="14"/>
        <v>0</v>
      </c>
      <c r="I86" s="85">
        <f ca="1">IF('Invoer gegevens'!$C$17=E86,'Invoer gegevens'!$C$11,IF(C86=1,L85,0))</f>
        <v>0</v>
      </c>
      <c r="J86" s="86">
        <f ca="1">IF(C86&lt;1,0,IF(Reeksen!AK86&lt;=Reeksen!AE86,I86*Reeksen!C86,0))</f>
        <v>0</v>
      </c>
      <c r="K86" s="86">
        <f ca="1">IF(C86&lt;1,0,IF(Reeksen!AK86&gt;Reeksen!AE86,I86*Reeksen!C86,0))</f>
        <v>0</v>
      </c>
      <c r="L86" s="86">
        <f t="shared" ca="1" si="15"/>
        <v>0</v>
      </c>
      <c r="M86" s="85">
        <f ca="1">IF('Invoer gegevens'!$C$17=E86,'Invoer gegevens'!$C$10-'Invoer gegevens'!$C$11,IF(C86=1,P85,0))</f>
        <v>0</v>
      </c>
      <c r="N86" s="86">
        <f ca="1">IF(C86&lt;1,0,IF(Reeksen!AK86&lt;=Reeksen!AE86,M86*Reeksen!C86,0))</f>
        <v>0</v>
      </c>
      <c r="O86" s="86">
        <f ca="1">IF(C86&lt;1,0,IF(Reeksen!AK86&gt;Reeksen!AE86,M86*Reeksen!C86,0))</f>
        <v>0</v>
      </c>
      <c r="P86" s="86">
        <f t="shared" ca="1" si="16"/>
        <v>0</v>
      </c>
      <c r="Q86" s="82">
        <f ca="1">IF('Invoer gegevens'!$C$17=E86,I86,IF(C86=0,0,R85))</f>
        <v>0</v>
      </c>
      <c r="R86" s="84">
        <f t="shared" ca="1" si="11"/>
        <v>0</v>
      </c>
      <c r="S86" s="84">
        <f ca="1">IF('Invoer gegevens'!$C$17=E86,M86,IF(C86=0,0,T85))</f>
        <v>0</v>
      </c>
      <c r="T86" s="84">
        <f t="shared" ca="1" si="12"/>
        <v>0</v>
      </c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8"/>
      <c r="AI86" s="71">
        <f ca="1">IF(C86=1,((F86+H86)/2*Reeksen!AJ86*12)+(('Invoer gegevens'!$C$10-(F86+H86)/2)*Reeksen!AK86*12),0)</f>
        <v>0</v>
      </c>
      <c r="AJ86" s="71">
        <f ca="1">-AI86*'Invoer gegevens'!$F$28</f>
        <v>0</v>
      </c>
      <c r="AK86" s="71">
        <f t="shared" ca="1" si="13"/>
        <v>0</v>
      </c>
      <c r="AL86" s="71">
        <f ca="1">IF(C86=1,(12*((F86+H86)/2)*Reeksen!AL86)+(12*('Invoer gegevens'!$C$10-(F86+H86)/2)*Reeksen!AM86),0)</f>
        <v>0</v>
      </c>
      <c r="AM86" s="71">
        <f ca="1">-AL86*'Invoer gegevens'!$F$31</f>
        <v>0</v>
      </c>
      <c r="AN86" s="71">
        <f t="shared" ca="1" si="17"/>
        <v>0</v>
      </c>
      <c r="AO86" s="71"/>
      <c r="AP86" s="71"/>
      <c r="AQ86" s="71">
        <f ca="1">-IF(C86=1,('Invoer gegevens'!$C$10*'Invoer gegevens'!$I$33)*Reeksen!J86,0)*2</f>
        <v>0</v>
      </c>
      <c r="AR86" s="71">
        <f ca="1">-IF(C86=1,(G86*'Invoer gegevens'!$I$34)*Reeksen!J86,0)</f>
        <v>0</v>
      </c>
      <c r="AS86" s="71">
        <f ca="1">-IF(C86=1,'Invoer gegevens'!$C$10*'Invoer gegevens'!$I$35*Reeksen!L86,0)</f>
        <v>0</v>
      </c>
      <c r="AT86" s="71">
        <f ca="1">-IF(C86=1,IF(E86='Invoer gegevens'!$C$17,'Invoer gegevens'!$C$11,Q86)*Reeksen!S86*'Invoer gegevens'!$C$18*Reeksen!P86,0)</f>
        <v>0</v>
      </c>
      <c r="AU86" s="71">
        <f ca="1">-IF(C86=1,'Invoer gegevens'!$C$10*'Invoer gegevens'!$I$36*Reeksen!H86,0)</f>
        <v>0</v>
      </c>
      <c r="AV86" s="71">
        <f t="shared" si="21"/>
        <v>0</v>
      </c>
      <c r="AW86" s="71">
        <f t="shared" ca="1" si="18"/>
        <v>0</v>
      </c>
      <c r="AX86" s="71">
        <f ca="1">IF(E86&lt;'Invoer gegevens'!$C$17+15,0,IF(E86&gt;'Invoer gegevens'!$C$17+215,0,AW86))</f>
        <v>0</v>
      </c>
      <c r="AY86" s="71">
        <f ca="1">AX86/(1+'Invoer gegevens'!$F$13)^($AZ86-('Invoer gegevens'!$C$17-'Invoer gegevens'!$C$16))/(1+'Invoer gegevens'!$C$39)^('Invoer gegevens'!$C$17-'Invoer gegevens'!$C$16)</f>
        <v>0</v>
      </c>
      <c r="AZ86" s="68">
        <f ca="1">IF(E86-'Invoer gegevens'!$C$17-14.5&lt;0,0,E86-'Invoer gegevens'!$C$17-14.5)</f>
        <v>66.5</v>
      </c>
    </row>
    <row r="87" spans="2:52" x14ac:dyDescent="0.25">
      <c r="B87" s="70">
        <f t="shared" si="19"/>
        <v>83</v>
      </c>
      <c r="C87" s="67">
        <f ca="1">IF(E87-'Invoer gegevens'!$C$17&lt;0,0,1)</f>
        <v>1</v>
      </c>
      <c r="D87" s="68">
        <f t="shared" si="20"/>
        <v>82.5</v>
      </c>
      <c r="E87" s="69">
        <f ca="1">IF('Invoer gegevens'!$C$16="","",E86+1)</f>
        <v>2101</v>
      </c>
      <c r="F87" s="82">
        <f ca="1">IF('Invoer gegevens'!$C$17=E87,'Invoer gegevens'!$C$10,IF(C87=1,H86,0))</f>
        <v>0</v>
      </c>
      <c r="G87" s="83">
        <f ca="1">IF(C87&gt;=1,F87*Reeksen!C87,0)</f>
        <v>0</v>
      </c>
      <c r="H87" s="84">
        <f t="shared" ca="1" si="14"/>
        <v>0</v>
      </c>
      <c r="I87" s="85">
        <f ca="1">IF('Invoer gegevens'!$C$17=E87,'Invoer gegevens'!$C$11,IF(C87=1,L86,0))</f>
        <v>0</v>
      </c>
      <c r="J87" s="86">
        <f ca="1">IF(C87&lt;1,0,IF(Reeksen!AK87&lt;=Reeksen!AE87,I87*Reeksen!C87,0))</f>
        <v>0</v>
      </c>
      <c r="K87" s="86">
        <f ca="1">IF(C87&lt;1,0,IF(Reeksen!AK87&gt;Reeksen!AE87,I87*Reeksen!C87,0))</f>
        <v>0</v>
      </c>
      <c r="L87" s="86">
        <f t="shared" ca="1" si="15"/>
        <v>0</v>
      </c>
      <c r="M87" s="85">
        <f ca="1">IF('Invoer gegevens'!$C$17=E87,'Invoer gegevens'!$C$10-'Invoer gegevens'!$C$11,IF(C87=1,P86,0))</f>
        <v>0</v>
      </c>
      <c r="N87" s="86">
        <f ca="1">IF(C87&lt;1,0,IF(Reeksen!AK87&lt;=Reeksen!AE87,M87*Reeksen!C87,0))</f>
        <v>0</v>
      </c>
      <c r="O87" s="86">
        <f ca="1">IF(C87&lt;1,0,IF(Reeksen!AK87&gt;Reeksen!AE87,M87*Reeksen!C87,0))</f>
        <v>0</v>
      </c>
      <c r="P87" s="86">
        <f t="shared" ca="1" si="16"/>
        <v>0</v>
      </c>
      <c r="Q87" s="82">
        <f ca="1">IF('Invoer gegevens'!$C$17=E87,I87,IF(C87=0,0,R86))</f>
        <v>0</v>
      </c>
      <c r="R87" s="84">
        <f t="shared" ca="1" si="11"/>
        <v>0</v>
      </c>
      <c r="S87" s="84">
        <f ca="1">IF('Invoer gegevens'!$C$17=E87,M87,IF(C87=0,0,T86))</f>
        <v>0</v>
      </c>
      <c r="T87" s="84">
        <f t="shared" ca="1" si="12"/>
        <v>0</v>
      </c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8"/>
      <c r="AI87" s="71">
        <f ca="1">IF(C87=1,((F87+H87)/2*Reeksen!AJ87*12)+(('Invoer gegevens'!$C$10-(F87+H87)/2)*Reeksen!AK87*12),0)</f>
        <v>0</v>
      </c>
      <c r="AJ87" s="71">
        <f ca="1">-AI87*'Invoer gegevens'!$F$28</f>
        <v>0</v>
      </c>
      <c r="AK87" s="71">
        <f t="shared" ca="1" si="13"/>
        <v>0</v>
      </c>
      <c r="AL87" s="71">
        <f ca="1">IF(C87=1,(12*((F87+H87)/2)*Reeksen!AL87)+(12*('Invoer gegevens'!$C$10-(F87+H87)/2)*Reeksen!AM87),0)</f>
        <v>0</v>
      </c>
      <c r="AM87" s="71">
        <f ca="1">-AL87*'Invoer gegevens'!$F$31</f>
        <v>0</v>
      </c>
      <c r="AN87" s="71">
        <f t="shared" ca="1" si="17"/>
        <v>0</v>
      </c>
      <c r="AO87" s="71"/>
      <c r="AP87" s="71"/>
      <c r="AQ87" s="71">
        <f ca="1">-IF(C87=1,('Invoer gegevens'!$C$10*'Invoer gegevens'!$I$33)*Reeksen!J87,0)*2</f>
        <v>0</v>
      </c>
      <c r="AR87" s="71">
        <f ca="1">-IF(C87=1,(G87*'Invoer gegevens'!$I$34)*Reeksen!J87,0)</f>
        <v>0</v>
      </c>
      <c r="AS87" s="71">
        <f ca="1">-IF(C87=1,'Invoer gegevens'!$C$10*'Invoer gegevens'!$I$35*Reeksen!L87,0)</f>
        <v>0</v>
      </c>
      <c r="AT87" s="71">
        <f ca="1">-IF(C87=1,IF(E87='Invoer gegevens'!$C$17,'Invoer gegevens'!$C$11,Q87)*Reeksen!S87*'Invoer gegevens'!$C$18*Reeksen!P87,0)</f>
        <v>0</v>
      </c>
      <c r="AU87" s="71">
        <f ca="1">-IF(C87=1,'Invoer gegevens'!$C$10*'Invoer gegevens'!$I$36*Reeksen!H87,0)</f>
        <v>0</v>
      </c>
      <c r="AV87" s="71">
        <f t="shared" si="21"/>
        <v>0</v>
      </c>
      <c r="AW87" s="71">
        <f t="shared" ca="1" si="18"/>
        <v>0</v>
      </c>
      <c r="AX87" s="71">
        <f ca="1">IF(E87&lt;'Invoer gegevens'!$C$17+15,0,IF(E87&gt;'Invoer gegevens'!$C$17+215,0,AW87))</f>
        <v>0</v>
      </c>
      <c r="AY87" s="71">
        <f ca="1">AX87/(1+'Invoer gegevens'!$F$13)^($AZ87-('Invoer gegevens'!$C$17-'Invoer gegevens'!$C$16))/(1+'Invoer gegevens'!$C$39)^('Invoer gegevens'!$C$17-'Invoer gegevens'!$C$16)</f>
        <v>0</v>
      </c>
      <c r="AZ87" s="68">
        <f ca="1">IF(E87-'Invoer gegevens'!$C$17-14.5&lt;0,0,E87-'Invoer gegevens'!$C$17-14.5)</f>
        <v>67.5</v>
      </c>
    </row>
    <row r="88" spans="2:52" x14ac:dyDescent="0.25">
      <c r="B88" s="70">
        <f t="shared" si="19"/>
        <v>84</v>
      </c>
      <c r="C88" s="67">
        <f ca="1">IF(E88-'Invoer gegevens'!$C$17&lt;0,0,1)</f>
        <v>1</v>
      </c>
      <c r="D88" s="68">
        <f t="shared" si="20"/>
        <v>83.5</v>
      </c>
      <c r="E88" s="69">
        <f ca="1">IF('Invoer gegevens'!$C$16="","",E87+1)</f>
        <v>2102</v>
      </c>
      <c r="F88" s="82">
        <f ca="1">IF('Invoer gegevens'!$C$17=E88,'Invoer gegevens'!$C$10,IF(C88=1,H87,0))</f>
        <v>0</v>
      </c>
      <c r="G88" s="83">
        <f ca="1">IF(C88&gt;=1,F88*Reeksen!C88,0)</f>
        <v>0</v>
      </c>
      <c r="H88" s="84">
        <f t="shared" ca="1" si="14"/>
        <v>0</v>
      </c>
      <c r="I88" s="85">
        <f ca="1">IF('Invoer gegevens'!$C$17=E88,'Invoer gegevens'!$C$11,IF(C88=1,L87,0))</f>
        <v>0</v>
      </c>
      <c r="J88" s="86">
        <f ca="1">IF(C88&lt;1,0,IF(Reeksen!AK88&lt;=Reeksen!AE88,I88*Reeksen!C88,0))</f>
        <v>0</v>
      </c>
      <c r="K88" s="86">
        <f ca="1">IF(C88&lt;1,0,IF(Reeksen!AK88&gt;Reeksen!AE88,I88*Reeksen!C88,0))</f>
        <v>0</v>
      </c>
      <c r="L88" s="86">
        <f t="shared" ca="1" si="15"/>
        <v>0</v>
      </c>
      <c r="M88" s="85">
        <f ca="1">IF('Invoer gegevens'!$C$17=E88,'Invoer gegevens'!$C$10-'Invoer gegevens'!$C$11,IF(C88=1,P87,0))</f>
        <v>0</v>
      </c>
      <c r="N88" s="86">
        <f ca="1">IF(C88&lt;1,0,IF(Reeksen!AK88&lt;=Reeksen!AE88,M88*Reeksen!C88,0))</f>
        <v>0</v>
      </c>
      <c r="O88" s="86">
        <f ca="1">IF(C88&lt;1,0,IF(Reeksen!AK88&gt;Reeksen!AE88,M88*Reeksen!C88,0))</f>
        <v>0</v>
      </c>
      <c r="P88" s="86">
        <f t="shared" ca="1" si="16"/>
        <v>0</v>
      </c>
      <c r="Q88" s="82">
        <f ca="1">IF('Invoer gegevens'!$C$17=E88,I88,IF(C88=0,0,R87))</f>
        <v>0</v>
      </c>
      <c r="R88" s="84">
        <f t="shared" ca="1" si="11"/>
        <v>0</v>
      </c>
      <c r="S88" s="84">
        <f ca="1">IF('Invoer gegevens'!$C$17=E88,M88,IF(C88=0,0,T87))</f>
        <v>0</v>
      </c>
      <c r="T88" s="84">
        <f t="shared" ca="1" si="12"/>
        <v>0</v>
      </c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8"/>
      <c r="AI88" s="71">
        <f ca="1">IF(C88=1,((F88+H88)/2*Reeksen!AJ88*12)+(('Invoer gegevens'!$C$10-(F88+H88)/2)*Reeksen!AK88*12),0)</f>
        <v>0</v>
      </c>
      <c r="AJ88" s="71">
        <f ca="1">-AI88*'Invoer gegevens'!$F$28</f>
        <v>0</v>
      </c>
      <c r="AK88" s="71">
        <f t="shared" ca="1" si="13"/>
        <v>0</v>
      </c>
      <c r="AL88" s="71">
        <f ca="1">IF(C88=1,(12*((F88+H88)/2)*Reeksen!AL88)+(12*('Invoer gegevens'!$C$10-(F88+H88)/2)*Reeksen!AM88),0)</f>
        <v>0</v>
      </c>
      <c r="AM88" s="71">
        <f ca="1">-AL88*'Invoer gegevens'!$F$31</f>
        <v>0</v>
      </c>
      <c r="AN88" s="71">
        <f t="shared" ca="1" si="17"/>
        <v>0</v>
      </c>
      <c r="AO88" s="71"/>
      <c r="AP88" s="71"/>
      <c r="AQ88" s="71">
        <f ca="1">-IF(C88=1,('Invoer gegevens'!$C$10*'Invoer gegevens'!$I$33)*Reeksen!J88,0)*2</f>
        <v>0</v>
      </c>
      <c r="AR88" s="71">
        <f ca="1">-IF(C88=1,(G88*'Invoer gegevens'!$I$34)*Reeksen!J88,0)</f>
        <v>0</v>
      </c>
      <c r="AS88" s="71">
        <f ca="1">-IF(C88=1,'Invoer gegevens'!$C$10*'Invoer gegevens'!$I$35*Reeksen!L88,0)</f>
        <v>0</v>
      </c>
      <c r="AT88" s="71">
        <f ca="1">-IF(C88=1,IF(E88='Invoer gegevens'!$C$17,'Invoer gegevens'!$C$11,Q88)*Reeksen!S88*'Invoer gegevens'!$C$18*Reeksen!P88,0)</f>
        <v>0</v>
      </c>
      <c r="AU88" s="71">
        <f ca="1">-IF(C88=1,'Invoer gegevens'!$C$10*'Invoer gegevens'!$I$36*Reeksen!H88,0)</f>
        <v>0</v>
      </c>
      <c r="AV88" s="71">
        <f t="shared" si="21"/>
        <v>0</v>
      </c>
      <c r="AW88" s="71">
        <f t="shared" ca="1" si="18"/>
        <v>0</v>
      </c>
      <c r="AX88" s="71">
        <f ca="1">IF(E88&lt;'Invoer gegevens'!$C$17+15,0,IF(E88&gt;'Invoer gegevens'!$C$17+215,0,AW88))</f>
        <v>0</v>
      </c>
      <c r="AY88" s="71">
        <f ca="1">AX88/(1+'Invoer gegevens'!$F$13)^($AZ88-('Invoer gegevens'!$C$17-'Invoer gegevens'!$C$16))/(1+'Invoer gegevens'!$C$39)^('Invoer gegevens'!$C$17-'Invoer gegevens'!$C$16)</f>
        <v>0</v>
      </c>
      <c r="AZ88" s="68">
        <f ca="1">IF(E88-'Invoer gegevens'!$C$17-14.5&lt;0,0,E88-'Invoer gegevens'!$C$17-14.5)</f>
        <v>68.5</v>
      </c>
    </row>
    <row r="89" spans="2:52" x14ac:dyDescent="0.25">
      <c r="B89" s="70">
        <f t="shared" si="19"/>
        <v>85</v>
      </c>
      <c r="C89" s="67">
        <f ca="1">IF(E89-'Invoer gegevens'!$C$17&lt;0,0,1)</f>
        <v>1</v>
      </c>
      <c r="D89" s="68">
        <f t="shared" si="20"/>
        <v>84.5</v>
      </c>
      <c r="E89" s="69">
        <f ca="1">IF('Invoer gegevens'!$C$16="","",E88+1)</f>
        <v>2103</v>
      </c>
      <c r="F89" s="82">
        <f ca="1">IF('Invoer gegevens'!$C$17=E89,'Invoer gegevens'!$C$10,IF(C89=1,H88,0))</f>
        <v>0</v>
      </c>
      <c r="G89" s="83">
        <f ca="1">IF(C89&gt;=1,F89*Reeksen!C89,0)</f>
        <v>0</v>
      </c>
      <c r="H89" s="84">
        <f t="shared" ca="1" si="14"/>
        <v>0</v>
      </c>
      <c r="I89" s="85">
        <f ca="1">IF('Invoer gegevens'!$C$17=E89,'Invoer gegevens'!$C$11,IF(C89=1,L88,0))</f>
        <v>0</v>
      </c>
      <c r="J89" s="86">
        <f ca="1">IF(C89&lt;1,0,IF(Reeksen!AK89&lt;=Reeksen!AE89,I89*Reeksen!C89,0))</f>
        <v>0</v>
      </c>
      <c r="K89" s="86">
        <f ca="1">IF(C89&lt;1,0,IF(Reeksen!AK89&gt;Reeksen!AE89,I89*Reeksen!C89,0))</f>
        <v>0</v>
      </c>
      <c r="L89" s="86">
        <f t="shared" ca="1" si="15"/>
        <v>0</v>
      </c>
      <c r="M89" s="85">
        <f ca="1">IF('Invoer gegevens'!$C$17=E89,'Invoer gegevens'!$C$10-'Invoer gegevens'!$C$11,IF(C89=1,P88,0))</f>
        <v>0</v>
      </c>
      <c r="N89" s="86">
        <f ca="1">IF(C89&lt;1,0,IF(Reeksen!AK89&lt;=Reeksen!AE89,M89*Reeksen!C89,0))</f>
        <v>0</v>
      </c>
      <c r="O89" s="86">
        <f ca="1">IF(C89&lt;1,0,IF(Reeksen!AK89&gt;Reeksen!AE89,M89*Reeksen!C89,0))</f>
        <v>0</v>
      </c>
      <c r="P89" s="86">
        <f t="shared" ca="1" si="16"/>
        <v>0</v>
      </c>
      <c r="Q89" s="82">
        <f ca="1">IF('Invoer gegevens'!$C$17=E89,I89,IF(C89=0,0,R88))</f>
        <v>0</v>
      </c>
      <c r="R89" s="84">
        <f t="shared" ca="1" si="11"/>
        <v>0</v>
      </c>
      <c r="S89" s="84">
        <f ca="1">IF('Invoer gegevens'!$C$17=E89,M89,IF(C89=0,0,T88))</f>
        <v>0</v>
      </c>
      <c r="T89" s="84">
        <f t="shared" ca="1" si="12"/>
        <v>0</v>
      </c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8"/>
      <c r="AI89" s="71">
        <f ca="1">IF(C89=1,((F89+H89)/2*Reeksen!AJ89*12)+(('Invoer gegevens'!$C$10-(F89+H89)/2)*Reeksen!AK89*12),0)</f>
        <v>0</v>
      </c>
      <c r="AJ89" s="71">
        <f ca="1">-AI89*'Invoer gegevens'!$F$28</f>
        <v>0</v>
      </c>
      <c r="AK89" s="71">
        <f t="shared" ca="1" si="13"/>
        <v>0</v>
      </c>
      <c r="AL89" s="71">
        <f ca="1">IF(C89=1,(12*((F89+H89)/2)*Reeksen!AL89)+(12*('Invoer gegevens'!$C$10-(F89+H89)/2)*Reeksen!AM89),0)</f>
        <v>0</v>
      </c>
      <c r="AM89" s="71">
        <f ca="1">-AL89*'Invoer gegevens'!$F$31</f>
        <v>0</v>
      </c>
      <c r="AN89" s="71">
        <f t="shared" ca="1" si="17"/>
        <v>0</v>
      </c>
      <c r="AO89" s="71"/>
      <c r="AP89" s="71"/>
      <c r="AQ89" s="71">
        <f ca="1">-IF(C89=1,('Invoer gegevens'!$C$10*'Invoer gegevens'!$I$33)*Reeksen!J89,0)*2</f>
        <v>0</v>
      </c>
      <c r="AR89" s="71">
        <f ca="1">-IF(C89=1,(G89*'Invoer gegevens'!$I$34)*Reeksen!J89,0)</f>
        <v>0</v>
      </c>
      <c r="AS89" s="71">
        <f ca="1">-IF(C89=1,'Invoer gegevens'!$C$10*'Invoer gegevens'!$I$35*Reeksen!L89,0)</f>
        <v>0</v>
      </c>
      <c r="AT89" s="71">
        <f ca="1">-IF(C89=1,IF(E89='Invoer gegevens'!$C$17,'Invoer gegevens'!$C$11,Q89)*Reeksen!S89*'Invoer gegevens'!$C$18*Reeksen!P89,0)</f>
        <v>0</v>
      </c>
      <c r="AU89" s="71">
        <f ca="1">-IF(C89=1,'Invoer gegevens'!$C$10*'Invoer gegevens'!$I$36*Reeksen!H89,0)</f>
        <v>0</v>
      </c>
      <c r="AV89" s="71">
        <f t="shared" si="21"/>
        <v>0</v>
      </c>
      <c r="AW89" s="71">
        <f t="shared" ca="1" si="18"/>
        <v>0</v>
      </c>
      <c r="AX89" s="71">
        <f ca="1">IF(E89&lt;'Invoer gegevens'!$C$17+15,0,IF(E89&gt;'Invoer gegevens'!$C$17+215,0,AW89))</f>
        <v>0</v>
      </c>
      <c r="AY89" s="71">
        <f ca="1">AX89/(1+'Invoer gegevens'!$F$13)^($AZ89-('Invoer gegevens'!$C$17-'Invoer gegevens'!$C$16))/(1+'Invoer gegevens'!$C$39)^('Invoer gegevens'!$C$17-'Invoer gegevens'!$C$16)</f>
        <v>0</v>
      </c>
      <c r="AZ89" s="68">
        <f ca="1">IF(E89-'Invoer gegevens'!$C$17-14.5&lt;0,0,E89-'Invoer gegevens'!$C$17-14.5)</f>
        <v>69.5</v>
      </c>
    </row>
    <row r="90" spans="2:52" x14ac:dyDescent="0.25">
      <c r="B90" s="70">
        <f t="shared" si="19"/>
        <v>86</v>
      </c>
      <c r="C90" s="67">
        <f ca="1">IF(E90-'Invoer gegevens'!$C$17&lt;0,0,1)</f>
        <v>1</v>
      </c>
      <c r="D90" s="68">
        <f t="shared" si="20"/>
        <v>85.5</v>
      </c>
      <c r="E90" s="69">
        <f ca="1">IF('Invoer gegevens'!$C$16="","",E89+1)</f>
        <v>2104</v>
      </c>
      <c r="F90" s="82">
        <f ca="1">IF('Invoer gegevens'!$C$17=E90,'Invoer gegevens'!$C$10,IF(C90=1,H89,0))</f>
        <v>0</v>
      </c>
      <c r="G90" s="83">
        <f ca="1">IF(C90&gt;=1,F90*Reeksen!C90,0)</f>
        <v>0</v>
      </c>
      <c r="H90" s="84">
        <f t="shared" ca="1" si="14"/>
        <v>0</v>
      </c>
      <c r="I90" s="85">
        <f ca="1">IF('Invoer gegevens'!$C$17=E90,'Invoer gegevens'!$C$11,IF(C90=1,L89,0))</f>
        <v>0</v>
      </c>
      <c r="J90" s="86">
        <f ca="1">IF(C90&lt;1,0,IF(Reeksen!AK90&lt;=Reeksen!AE90,I90*Reeksen!C90,0))</f>
        <v>0</v>
      </c>
      <c r="K90" s="86">
        <f ca="1">IF(C90&lt;1,0,IF(Reeksen!AK90&gt;Reeksen!AE90,I90*Reeksen!C90,0))</f>
        <v>0</v>
      </c>
      <c r="L90" s="86">
        <f t="shared" ca="1" si="15"/>
        <v>0</v>
      </c>
      <c r="M90" s="85">
        <f ca="1">IF('Invoer gegevens'!$C$17=E90,'Invoer gegevens'!$C$10-'Invoer gegevens'!$C$11,IF(C90=1,P89,0))</f>
        <v>0</v>
      </c>
      <c r="N90" s="86">
        <f ca="1">IF(C90&lt;1,0,IF(Reeksen!AK90&lt;=Reeksen!AE90,M90*Reeksen!C90,0))</f>
        <v>0</v>
      </c>
      <c r="O90" s="86">
        <f ca="1">IF(C90&lt;1,0,IF(Reeksen!AK90&gt;Reeksen!AE90,M90*Reeksen!C90,0))</f>
        <v>0</v>
      </c>
      <c r="P90" s="86">
        <f t="shared" ca="1" si="16"/>
        <v>0</v>
      </c>
      <c r="Q90" s="82">
        <f ca="1">IF('Invoer gegevens'!$C$17=E90,I90,IF(C90=0,0,R89))</f>
        <v>0</v>
      </c>
      <c r="R90" s="84">
        <f t="shared" ca="1" si="11"/>
        <v>0</v>
      </c>
      <c r="S90" s="84">
        <f ca="1">IF('Invoer gegevens'!$C$17=E90,M90,IF(C90=0,0,T89))</f>
        <v>0</v>
      </c>
      <c r="T90" s="84">
        <f t="shared" ca="1" si="12"/>
        <v>0</v>
      </c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8"/>
      <c r="AI90" s="71">
        <f ca="1">IF(C90=1,((F90+H90)/2*Reeksen!AJ90*12)+(('Invoer gegevens'!$C$10-(F90+H90)/2)*Reeksen!AK90*12),0)</f>
        <v>0</v>
      </c>
      <c r="AJ90" s="71">
        <f ca="1">-AI90*'Invoer gegevens'!$F$28</f>
        <v>0</v>
      </c>
      <c r="AK90" s="71">
        <f t="shared" ca="1" si="13"/>
        <v>0</v>
      </c>
      <c r="AL90" s="71">
        <f ca="1">IF(C90=1,(12*((F90+H90)/2)*Reeksen!AL90)+(12*('Invoer gegevens'!$C$10-(F90+H90)/2)*Reeksen!AM90),0)</f>
        <v>0</v>
      </c>
      <c r="AM90" s="71">
        <f ca="1">-AL90*'Invoer gegevens'!$F$31</f>
        <v>0</v>
      </c>
      <c r="AN90" s="71">
        <f t="shared" ca="1" si="17"/>
        <v>0</v>
      </c>
      <c r="AO90" s="71"/>
      <c r="AP90" s="71"/>
      <c r="AQ90" s="71">
        <f ca="1">-IF(C90=1,('Invoer gegevens'!$C$10*'Invoer gegevens'!$I$33)*Reeksen!J90,0)*2</f>
        <v>0</v>
      </c>
      <c r="AR90" s="71">
        <f ca="1">-IF(C90=1,(G90*'Invoer gegevens'!$I$34)*Reeksen!J90,0)</f>
        <v>0</v>
      </c>
      <c r="AS90" s="71">
        <f ca="1">-IF(C90=1,'Invoer gegevens'!$C$10*'Invoer gegevens'!$I$35*Reeksen!L90,0)</f>
        <v>0</v>
      </c>
      <c r="AT90" s="71">
        <f ca="1">-IF(C90=1,IF(E90='Invoer gegevens'!$C$17,'Invoer gegevens'!$C$11,Q90)*Reeksen!S90*'Invoer gegevens'!$C$18*Reeksen!P90,0)</f>
        <v>0</v>
      </c>
      <c r="AU90" s="71">
        <f ca="1">-IF(C90=1,'Invoer gegevens'!$C$10*'Invoer gegevens'!$I$36*Reeksen!H90,0)</f>
        <v>0</v>
      </c>
      <c r="AV90" s="71">
        <f t="shared" si="21"/>
        <v>0</v>
      </c>
      <c r="AW90" s="71">
        <f t="shared" ca="1" si="18"/>
        <v>0</v>
      </c>
      <c r="AX90" s="71">
        <f ca="1">IF(E90&lt;'Invoer gegevens'!$C$17+15,0,IF(E90&gt;'Invoer gegevens'!$C$17+215,0,AW90))</f>
        <v>0</v>
      </c>
      <c r="AY90" s="71">
        <f ca="1">AX90/(1+'Invoer gegevens'!$F$13)^($AZ90-('Invoer gegevens'!$C$17-'Invoer gegevens'!$C$16))/(1+'Invoer gegevens'!$C$39)^('Invoer gegevens'!$C$17-'Invoer gegevens'!$C$16)</f>
        <v>0</v>
      </c>
      <c r="AZ90" s="68">
        <f ca="1">IF(E90-'Invoer gegevens'!$C$17-14.5&lt;0,0,E90-'Invoer gegevens'!$C$17-14.5)</f>
        <v>70.5</v>
      </c>
    </row>
    <row r="91" spans="2:52" x14ac:dyDescent="0.25">
      <c r="B91" s="70">
        <f t="shared" si="19"/>
        <v>87</v>
      </c>
      <c r="C91" s="67">
        <f ca="1">IF(E91-'Invoer gegevens'!$C$17&lt;0,0,1)</f>
        <v>1</v>
      </c>
      <c r="D91" s="68">
        <f t="shared" si="20"/>
        <v>86.5</v>
      </c>
      <c r="E91" s="69">
        <f ca="1">IF('Invoer gegevens'!$C$16="","",E90+1)</f>
        <v>2105</v>
      </c>
      <c r="F91" s="82">
        <f ca="1">IF('Invoer gegevens'!$C$17=E91,'Invoer gegevens'!$C$10,IF(C91=1,H90,0))</f>
        <v>0</v>
      </c>
      <c r="G91" s="83">
        <f ca="1">IF(C91&gt;=1,F91*Reeksen!C91,0)</f>
        <v>0</v>
      </c>
      <c r="H91" s="84">
        <f t="shared" ca="1" si="14"/>
        <v>0</v>
      </c>
      <c r="I91" s="85">
        <f ca="1">IF('Invoer gegevens'!$C$17=E91,'Invoer gegevens'!$C$11,IF(C91=1,L90,0))</f>
        <v>0</v>
      </c>
      <c r="J91" s="86">
        <f ca="1">IF(C91&lt;1,0,IF(Reeksen!AK91&lt;=Reeksen!AE91,I91*Reeksen!C91,0))</f>
        <v>0</v>
      </c>
      <c r="K91" s="86">
        <f ca="1">IF(C91&lt;1,0,IF(Reeksen!AK91&gt;Reeksen!AE91,I91*Reeksen!C91,0))</f>
        <v>0</v>
      </c>
      <c r="L91" s="86">
        <f t="shared" ca="1" si="15"/>
        <v>0</v>
      </c>
      <c r="M91" s="85">
        <f ca="1">IF('Invoer gegevens'!$C$17=E91,'Invoer gegevens'!$C$10-'Invoer gegevens'!$C$11,IF(C91=1,P90,0))</f>
        <v>0</v>
      </c>
      <c r="N91" s="86">
        <f ca="1">IF(C91&lt;1,0,IF(Reeksen!AK91&lt;=Reeksen!AE91,M91*Reeksen!C91,0))</f>
        <v>0</v>
      </c>
      <c r="O91" s="86">
        <f ca="1">IF(C91&lt;1,0,IF(Reeksen!AK91&gt;Reeksen!AE91,M91*Reeksen!C91,0))</f>
        <v>0</v>
      </c>
      <c r="P91" s="86">
        <f t="shared" ca="1" si="16"/>
        <v>0</v>
      </c>
      <c r="Q91" s="82">
        <f ca="1">IF('Invoer gegevens'!$C$17=E91,I91,IF(C91=0,0,R90))</f>
        <v>0</v>
      </c>
      <c r="R91" s="84">
        <f t="shared" ca="1" si="11"/>
        <v>0</v>
      </c>
      <c r="S91" s="84">
        <f ca="1">IF('Invoer gegevens'!$C$17=E91,M91,IF(C91=0,0,T90))</f>
        <v>0</v>
      </c>
      <c r="T91" s="84">
        <f t="shared" ca="1" si="12"/>
        <v>0</v>
      </c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8"/>
      <c r="AI91" s="71">
        <f ca="1">IF(C91=1,((F91+H91)/2*Reeksen!AJ91*12)+(('Invoer gegevens'!$C$10-(F91+H91)/2)*Reeksen!AK91*12),0)</f>
        <v>0</v>
      </c>
      <c r="AJ91" s="71">
        <f ca="1">-AI91*'Invoer gegevens'!$F$28</f>
        <v>0</v>
      </c>
      <c r="AK91" s="71">
        <f t="shared" ca="1" si="13"/>
        <v>0</v>
      </c>
      <c r="AL91" s="71">
        <f ca="1">IF(C91=1,(12*((F91+H91)/2)*Reeksen!AL91)+(12*('Invoer gegevens'!$C$10-(F91+H91)/2)*Reeksen!AM91),0)</f>
        <v>0</v>
      </c>
      <c r="AM91" s="71">
        <f ca="1">-AL91*'Invoer gegevens'!$F$31</f>
        <v>0</v>
      </c>
      <c r="AN91" s="71">
        <f t="shared" ca="1" si="17"/>
        <v>0</v>
      </c>
      <c r="AO91" s="71"/>
      <c r="AP91" s="71"/>
      <c r="AQ91" s="71">
        <f ca="1">-IF(C91=1,('Invoer gegevens'!$C$10*'Invoer gegevens'!$I$33)*Reeksen!J91,0)*2</f>
        <v>0</v>
      </c>
      <c r="AR91" s="71">
        <f ca="1">-IF(C91=1,(G91*'Invoer gegevens'!$I$34)*Reeksen!J91,0)</f>
        <v>0</v>
      </c>
      <c r="AS91" s="71">
        <f ca="1">-IF(C91=1,'Invoer gegevens'!$C$10*'Invoer gegevens'!$I$35*Reeksen!L91,0)</f>
        <v>0</v>
      </c>
      <c r="AT91" s="71">
        <f ca="1">-IF(C91=1,IF(E91='Invoer gegevens'!$C$17,'Invoer gegevens'!$C$11,Q91)*Reeksen!S91*'Invoer gegevens'!$C$18*Reeksen!P91,0)</f>
        <v>0</v>
      </c>
      <c r="AU91" s="71">
        <f ca="1">-IF(C91=1,'Invoer gegevens'!$C$10*'Invoer gegevens'!$I$36*Reeksen!H91,0)</f>
        <v>0</v>
      </c>
      <c r="AV91" s="71">
        <f t="shared" si="21"/>
        <v>0</v>
      </c>
      <c r="AW91" s="71">
        <f t="shared" ca="1" si="18"/>
        <v>0</v>
      </c>
      <c r="AX91" s="71">
        <f ca="1">IF(E91&lt;'Invoer gegevens'!$C$17+15,0,IF(E91&gt;'Invoer gegevens'!$C$17+215,0,AW91))</f>
        <v>0</v>
      </c>
      <c r="AY91" s="71">
        <f ca="1">AX91/(1+'Invoer gegevens'!$F$13)^($AZ91-('Invoer gegevens'!$C$17-'Invoer gegevens'!$C$16))/(1+'Invoer gegevens'!$C$39)^('Invoer gegevens'!$C$17-'Invoer gegevens'!$C$16)</f>
        <v>0</v>
      </c>
      <c r="AZ91" s="68">
        <f ca="1">IF(E91-'Invoer gegevens'!$C$17-14.5&lt;0,0,E91-'Invoer gegevens'!$C$17-14.5)</f>
        <v>71.5</v>
      </c>
    </row>
    <row r="92" spans="2:52" x14ac:dyDescent="0.25">
      <c r="B92" s="70">
        <f t="shared" si="19"/>
        <v>88</v>
      </c>
      <c r="C92" s="67">
        <f ca="1">IF(E92-'Invoer gegevens'!$C$17&lt;0,0,1)</f>
        <v>1</v>
      </c>
      <c r="D92" s="68">
        <f t="shared" si="20"/>
        <v>87.5</v>
      </c>
      <c r="E92" s="69">
        <f ca="1">IF('Invoer gegevens'!$C$16="","",E91+1)</f>
        <v>2106</v>
      </c>
      <c r="F92" s="82">
        <f ca="1">IF('Invoer gegevens'!$C$17=E92,'Invoer gegevens'!$C$10,IF(C92=1,H91,0))</f>
        <v>0</v>
      </c>
      <c r="G92" s="83">
        <f ca="1">IF(C92&gt;=1,F92*Reeksen!C92,0)</f>
        <v>0</v>
      </c>
      <c r="H92" s="84">
        <f t="shared" ca="1" si="14"/>
        <v>0</v>
      </c>
      <c r="I92" s="85">
        <f ca="1">IF('Invoer gegevens'!$C$17=E92,'Invoer gegevens'!$C$11,IF(C92=1,L91,0))</f>
        <v>0</v>
      </c>
      <c r="J92" s="86">
        <f ca="1">IF(C92&lt;1,0,IF(Reeksen!AK92&lt;=Reeksen!AE92,I92*Reeksen!C92,0))</f>
        <v>0</v>
      </c>
      <c r="K92" s="86">
        <f ca="1">IF(C92&lt;1,0,IF(Reeksen!AK92&gt;Reeksen!AE92,I92*Reeksen!C92,0))</f>
        <v>0</v>
      </c>
      <c r="L92" s="86">
        <f t="shared" ca="1" si="15"/>
        <v>0</v>
      </c>
      <c r="M92" s="85">
        <f ca="1">IF('Invoer gegevens'!$C$17=E92,'Invoer gegevens'!$C$10-'Invoer gegevens'!$C$11,IF(C92=1,P91,0))</f>
        <v>0</v>
      </c>
      <c r="N92" s="86">
        <f ca="1">IF(C92&lt;1,0,IF(Reeksen!AK92&lt;=Reeksen!AE92,M92*Reeksen!C92,0))</f>
        <v>0</v>
      </c>
      <c r="O92" s="86">
        <f ca="1">IF(C92&lt;1,0,IF(Reeksen!AK92&gt;Reeksen!AE92,M92*Reeksen!C92,0))</f>
        <v>0</v>
      </c>
      <c r="P92" s="86">
        <f t="shared" ca="1" si="16"/>
        <v>0</v>
      </c>
      <c r="Q92" s="82">
        <f ca="1">IF('Invoer gegevens'!$C$17=E92,I92,IF(C92=0,0,R91))</f>
        <v>0</v>
      </c>
      <c r="R92" s="84">
        <f t="shared" ca="1" si="11"/>
        <v>0</v>
      </c>
      <c r="S92" s="84">
        <f ca="1">IF('Invoer gegevens'!$C$17=E92,M92,IF(C92=0,0,T91))</f>
        <v>0</v>
      </c>
      <c r="T92" s="84">
        <f t="shared" ca="1" si="12"/>
        <v>0</v>
      </c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8"/>
      <c r="AI92" s="71">
        <f ca="1">IF(C92=1,((F92+H92)/2*Reeksen!AJ92*12)+(('Invoer gegevens'!$C$10-(F92+H92)/2)*Reeksen!AK92*12),0)</f>
        <v>0</v>
      </c>
      <c r="AJ92" s="71">
        <f ca="1">-AI92*'Invoer gegevens'!$F$28</f>
        <v>0</v>
      </c>
      <c r="AK92" s="71">
        <f t="shared" ca="1" si="13"/>
        <v>0</v>
      </c>
      <c r="AL92" s="71">
        <f ca="1">IF(C92=1,(12*((F92+H92)/2)*Reeksen!AL92)+(12*('Invoer gegevens'!$C$10-(F92+H92)/2)*Reeksen!AM92),0)</f>
        <v>0</v>
      </c>
      <c r="AM92" s="71">
        <f ca="1">-AL92*'Invoer gegevens'!$F$31</f>
        <v>0</v>
      </c>
      <c r="AN92" s="71">
        <f t="shared" ca="1" si="17"/>
        <v>0</v>
      </c>
      <c r="AO92" s="71"/>
      <c r="AP92" s="71"/>
      <c r="AQ92" s="71">
        <f ca="1">-IF(C92=1,('Invoer gegevens'!$C$10*'Invoer gegevens'!$I$33)*Reeksen!J92,0)*2</f>
        <v>0</v>
      </c>
      <c r="AR92" s="71">
        <f ca="1">-IF(C92=1,(G92*'Invoer gegevens'!$I$34)*Reeksen!J92,0)</f>
        <v>0</v>
      </c>
      <c r="AS92" s="71">
        <f ca="1">-IF(C92=1,'Invoer gegevens'!$C$10*'Invoer gegevens'!$I$35*Reeksen!L92,0)</f>
        <v>0</v>
      </c>
      <c r="AT92" s="71">
        <f ca="1">-IF(C92=1,IF(E92='Invoer gegevens'!$C$17,'Invoer gegevens'!$C$11,Q92)*Reeksen!S92*'Invoer gegevens'!$C$18*Reeksen!P92,0)</f>
        <v>0</v>
      </c>
      <c r="AU92" s="71">
        <f ca="1">-IF(C92=1,'Invoer gegevens'!$C$10*'Invoer gegevens'!$I$36*Reeksen!H92,0)</f>
        <v>0</v>
      </c>
      <c r="AV92" s="71">
        <f t="shared" si="21"/>
        <v>0</v>
      </c>
      <c r="AW92" s="71">
        <f t="shared" ca="1" si="18"/>
        <v>0</v>
      </c>
      <c r="AX92" s="71">
        <f ca="1">IF(E92&lt;'Invoer gegevens'!$C$17+15,0,IF(E92&gt;'Invoer gegevens'!$C$17+215,0,AW92))</f>
        <v>0</v>
      </c>
      <c r="AY92" s="71">
        <f ca="1">AX92/(1+'Invoer gegevens'!$F$13)^($AZ92-('Invoer gegevens'!$C$17-'Invoer gegevens'!$C$16))/(1+'Invoer gegevens'!$C$39)^('Invoer gegevens'!$C$17-'Invoer gegevens'!$C$16)</f>
        <v>0</v>
      </c>
      <c r="AZ92" s="68">
        <f ca="1">IF(E92-'Invoer gegevens'!$C$17-14.5&lt;0,0,E92-'Invoer gegevens'!$C$17-14.5)</f>
        <v>72.5</v>
      </c>
    </row>
    <row r="93" spans="2:52" x14ac:dyDescent="0.25">
      <c r="B93" s="70">
        <f t="shared" si="19"/>
        <v>89</v>
      </c>
      <c r="C93" s="67">
        <f ca="1">IF(E93-'Invoer gegevens'!$C$17&lt;0,0,1)</f>
        <v>1</v>
      </c>
      <c r="D93" s="68">
        <f t="shared" si="20"/>
        <v>88.5</v>
      </c>
      <c r="E93" s="69">
        <f ca="1">IF('Invoer gegevens'!$C$16="","",E92+1)</f>
        <v>2107</v>
      </c>
      <c r="F93" s="82">
        <f ca="1">IF('Invoer gegevens'!$C$17=E93,'Invoer gegevens'!$C$10,IF(C93=1,H92,0))</f>
        <v>0</v>
      </c>
      <c r="G93" s="83">
        <f ca="1">IF(C93&gt;=1,F93*Reeksen!C93,0)</f>
        <v>0</v>
      </c>
      <c r="H93" s="84">
        <f t="shared" ca="1" si="14"/>
        <v>0</v>
      </c>
      <c r="I93" s="85">
        <f ca="1">IF('Invoer gegevens'!$C$17=E93,'Invoer gegevens'!$C$11,IF(C93=1,L92,0))</f>
        <v>0</v>
      </c>
      <c r="J93" s="86">
        <f ca="1">IF(C93&lt;1,0,IF(Reeksen!AK93&lt;=Reeksen!AE93,I93*Reeksen!C93,0))</f>
        <v>0</v>
      </c>
      <c r="K93" s="86">
        <f ca="1">IF(C93&lt;1,0,IF(Reeksen!AK93&gt;Reeksen!AE93,I93*Reeksen!C93,0))</f>
        <v>0</v>
      </c>
      <c r="L93" s="86">
        <f t="shared" ca="1" si="15"/>
        <v>0</v>
      </c>
      <c r="M93" s="85">
        <f ca="1">IF('Invoer gegevens'!$C$17=E93,'Invoer gegevens'!$C$10-'Invoer gegevens'!$C$11,IF(C93=1,P92,0))</f>
        <v>0</v>
      </c>
      <c r="N93" s="86">
        <f ca="1">IF(C93&lt;1,0,IF(Reeksen!AK93&lt;=Reeksen!AE93,M93*Reeksen!C93,0))</f>
        <v>0</v>
      </c>
      <c r="O93" s="86">
        <f ca="1">IF(C93&lt;1,0,IF(Reeksen!AK93&gt;Reeksen!AE93,M93*Reeksen!C93,0))</f>
        <v>0</v>
      </c>
      <c r="P93" s="86">
        <f t="shared" ca="1" si="16"/>
        <v>0</v>
      </c>
      <c r="Q93" s="82">
        <f ca="1">IF('Invoer gegevens'!$C$17=E93,I93,IF(C93=0,0,R92))</f>
        <v>0</v>
      </c>
      <c r="R93" s="84">
        <f t="shared" ca="1" si="11"/>
        <v>0</v>
      </c>
      <c r="S93" s="84">
        <f ca="1">IF('Invoer gegevens'!$C$17=E93,M93,IF(C93=0,0,T92))</f>
        <v>0</v>
      </c>
      <c r="T93" s="84">
        <f t="shared" ca="1" si="12"/>
        <v>0</v>
      </c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8"/>
      <c r="AI93" s="71">
        <f ca="1">IF(C93=1,((F93+H93)/2*Reeksen!AJ93*12)+(('Invoer gegevens'!$C$10-(F93+H93)/2)*Reeksen!AK93*12),0)</f>
        <v>0</v>
      </c>
      <c r="AJ93" s="71">
        <f ca="1">-AI93*'Invoer gegevens'!$F$28</f>
        <v>0</v>
      </c>
      <c r="AK93" s="71">
        <f t="shared" ca="1" si="13"/>
        <v>0</v>
      </c>
      <c r="AL93" s="71">
        <f ca="1">IF(C93=1,(12*((F93+H93)/2)*Reeksen!AL93)+(12*('Invoer gegevens'!$C$10-(F93+H93)/2)*Reeksen!AM93),0)</f>
        <v>0</v>
      </c>
      <c r="AM93" s="71">
        <f ca="1">-AL93*'Invoer gegevens'!$F$31</f>
        <v>0</v>
      </c>
      <c r="AN93" s="71">
        <f t="shared" ca="1" si="17"/>
        <v>0</v>
      </c>
      <c r="AO93" s="71"/>
      <c r="AP93" s="71"/>
      <c r="AQ93" s="71">
        <f ca="1">-IF(C93=1,('Invoer gegevens'!$C$10*'Invoer gegevens'!$I$33)*Reeksen!J93,0)*2</f>
        <v>0</v>
      </c>
      <c r="AR93" s="71">
        <f ca="1">-IF(C93=1,(G93*'Invoer gegevens'!$I$34)*Reeksen!J93,0)</f>
        <v>0</v>
      </c>
      <c r="AS93" s="71">
        <f ca="1">-IF(C93=1,'Invoer gegevens'!$C$10*'Invoer gegevens'!$I$35*Reeksen!L93,0)</f>
        <v>0</v>
      </c>
      <c r="AT93" s="71">
        <f ca="1">-IF(C93=1,IF(E93='Invoer gegevens'!$C$17,'Invoer gegevens'!$C$11,Q93)*Reeksen!S93*'Invoer gegevens'!$C$18*Reeksen!P93,0)</f>
        <v>0</v>
      </c>
      <c r="AU93" s="71">
        <f ca="1">-IF(C93=1,'Invoer gegevens'!$C$10*'Invoer gegevens'!$I$36*Reeksen!H93,0)</f>
        <v>0</v>
      </c>
      <c r="AV93" s="71">
        <f t="shared" si="21"/>
        <v>0</v>
      </c>
      <c r="AW93" s="71">
        <f t="shared" ca="1" si="18"/>
        <v>0</v>
      </c>
      <c r="AX93" s="71">
        <f ca="1">IF(E93&lt;'Invoer gegevens'!$C$17+15,0,IF(E93&gt;'Invoer gegevens'!$C$17+215,0,AW93))</f>
        <v>0</v>
      </c>
      <c r="AY93" s="71">
        <f ca="1">AX93/(1+'Invoer gegevens'!$F$13)^($AZ93-('Invoer gegevens'!$C$17-'Invoer gegevens'!$C$16))/(1+'Invoer gegevens'!$C$39)^('Invoer gegevens'!$C$17-'Invoer gegevens'!$C$16)</f>
        <v>0</v>
      </c>
      <c r="AZ93" s="68">
        <f ca="1">IF(E93-'Invoer gegevens'!$C$17-14.5&lt;0,0,E93-'Invoer gegevens'!$C$17-14.5)</f>
        <v>73.5</v>
      </c>
    </row>
    <row r="94" spans="2:52" x14ac:dyDescent="0.25">
      <c r="B94" s="70">
        <f t="shared" si="19"/>
        <v>90</v>
      </c>
      <c r="C94" s="67">
        <f ca="1">IF(E94-'Invoer gegevens'!$C$17&lt;0,0,1)</f>
        <v>1</v>
      </c>
      <c r="D94" s="68">
        <f t="shared" si="20"/>
        <v>89.5</v>
      </c>
      <c r="E94" s="69">
        <f ca="1">IF('Invoer gegevens'!$C$16="","",E93+1)</f>
        <v>2108</v>
      </c>
      <c r="F94" s="82">
        <f ca="1">IF('Invoer gegevens'!$C$17=E94,'Invoer gegevens'!$C$10,IF(C94=1,H93,0))</f>
        <v>0</v>
      </c>
      <c r="G94" s="83">
        <f ca="1">IF(C94&gt;=1,F94*Reeksen!C94,0)</f>
        <v>0</v>
      </c>
      <c r="H94" s="84">
        <f t="shared" ca="1" si="14"/>
        <v>0</v>
      </c>
      <c r="I94" s="85">
        <f ca="1">IF('Invoer gegevens'!$C$17=E94,'Invoer gegevens'!$C$11,IF(C94=1,L93,0))</f>
        <v>0</v>
      </c>
      <c r="J94" s="86">
        <f ca="1">IF(C94&lt;1,0,IF(Reeksen!AK94&lt;=Reeksen!AE94,I94*Reeksen!C94,0))</f>
        <v>0</v>
      </c>
      <c r="K94" s="86">
        <f ca="1">IF(C94&lt;1,0,IF(Reeksen!AK94&gt;Reeksen!AE94,I94*Reeksen!C94,0))</f>
        <v>0</v>
      </c>
      <c r="L94" s="86">
        <f t="shared" ca="1" si="15"/>
        <v>0</v>
      </c>
      <c r="M94" s="85">
        <f ca="1">IF('Invoer gegevens'!$C$17=E94,'Invoer gegevens'!$C$10-'Invoer gegevens'!$C$11,IF(C94=1,P93,0))</f>
        <v>0</v>
      </c>
      <c r="N94" s="86">
        <f ca="1">IF(C94&lt;1,0,IF(Reeksen!AK94&lt;=Reeksen!AE94,M94*Reeksen!C94,0))</f>
        <v>0</v>
      </c>
      <c r="O94" s="86">
        <f ca="1">IF(C94&lt;1,0,IF(Reeksen!AK94&gt;Reeksen!AE94,M94*Reeksen!C94,0))</f>
        <v>0</v>
      </c>
      <c r="P94" s="86">
        <f t="shared" ca="1" si="16"/>
        <v>0</v>
      </c>
      <c r="Q94" s="82">
        <f ca="1">IF('Invoer gegevens'!$C$17=E94,I94,IF(C94=0,0,R93))</f>
        <v>0</v>
      </c>
      <c r="R94" s="84">
        <f t="shared" ca="1" si="11"/>
        <v>0</v>
      </c>
      <c r="S94" s="84">
        <f ca="1">IF('Invoer gegevens'!$C$17=E94,M94,IF(C94=0,0,T93))</f>
        <v>0</v>
      </c>
      <c r="T94" s="84">
        <f t="shared" ca="1" si="12"/>
        <v>0</v>
      </c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8"/>
      <c r="AI94" s="71">
        <f ca="1">IF(C94=1,((F94+H94)/2*Reeksen!AJ94*12)+(('Invoer gegevens'!$C$10-(F94+H94)/2)*Reeksen!AK94*12),0)</f>
        <v>0</v>
      </c>
      <c r="AJ94" s="71">
        <f ca="1">-AI94*'Invoer gegevens'!$F$28</f>
        <v>0</v>
      </c>
      <c r="AK94" s="71">
        <f t="shared" ca="1" si="13"/>
        <v>0</v>
      </c>
      <c r="AL94" s="71">
        <f ca="1">IF(C94=1,(12*((F94+H94)/2)*Reeksen!AL94)+(12*('Invoer gegevens'!$C$10-(F94+H94)/2)*Reeksen!AM94),0)</f>
        <v>0</v>
      </c>
      <c r="AM94" s="71">
        <f ca="1">-AL94*'Invoer gegevens'!$F$31</f>
        <v>0</v>
      </c>
      <c r="AN94" s="71">
        <f t="shared" ca="1" si="17"/>
        <v>0</v>
      </c>
      <c r="AO94" s="71"/>
      <c r="AP94" s="71"/>
      <c r="AQ94" s="71">
        <f ca="1">-IF(C94=1,('Invoer gegevens'!$C$10*'Invoer gegevens'!$I$33)*Reeksen!J94,0)*2</f>
        <v>0</v>
      </c>
      <c r="AR94" s="71">
        <f ca="1">-IF(C94=1,(G94*'Invoer gegevens'!$I$34)*Reeksen!J94,0)</f>
        <v>0</v>
      </c>
      <c r="AS94" s="71">
        <f ca="1">-IF(C94=1,'Invoer gegevens'!$C$10*'Invoer gegevens'!$I$35*Reeksen!L94,0)</f>
        <v>0</v>
      </c>
      <c r="AT94" s="71">
        <f ca="1">-IF(C94=1,IF(E94='Invoer gegevens'!$C$17,'Invoer gegevens'!$C$11,Q94)*Reeksen!S94*'Invoer gegevens'!$C$18*Reeksen!P94,0)</f>
        <v>0</v>
      </c>
      <c r="AU94" s="71">
        <f ca="1">-IF(C94=1,'Invoer gegevens'!$C$10*'Invoer gegevens'!$I$36*Reeksen!H94,0)</f>
        <v>0</v>
      </c>
      <c r="AV94" s="71">
        <f t="shared" si="21"/>
        <v>0</v>
      </c>
      <c r="AW94" s="71">
        <f t="shared" ca="1" si="18"/>
        <v>0</v>
      </c>
      <c r="AX94" s="71">
        <f ca="1">IF(E94&lt;'Invoer gegevens'!$C$17+15,0,IF(E94&gt;'Invoer gegevens'!$C$17+215,0,AW94))</f>
        <v>0</v>
      </c>
      <c r="AY94" s="71">
        <f ca="1">AX94/(1+'Invoer gegevens'!$F$13)^($AZ94-('Invoer gegevens'!$C$17-'Invoer gegevens'!$C$16))/(1+'Invoer gegevens'!$C$39)^('Invoer gegevens'!$C$17-'Invoer gegevens'!$C$16)</f>
        <v>0</v>
      </c>
      <c r="AZ94" s="68">
        <f ca="1">IF(E94-'Invoer gegevens'!$C$17-14.5&lt;0,0,E94-'Invoer gegevens'!$C$17-14.5)</f>
        <v>74.5</v>
      </c>
    </row>
    <row r="95" spans="2:52" x14ac:dyDescent="0.25">
      <c r="B95" s="70">
        <f t="shared" si="19"/>
        <v>91</v>
      </c>
      <c r="C95" s="67">
        <f ca="1">IF(E95-'Invoer gegevens'!$C$17&lt;0,0,1)</f>
        <v>1</v>
      </c>
      <c r="D95" s="68">
        <f t="shared" si="20"/>
        <v>90.5</v>
      </c>
      <c r="E95" s="69">
        <f ca="1">IF('Invoer gegevens'!$C$16="","",E94+1)</f>
        <v>2109</v>
      </c>
      <c r="F95" s="82">
        <f ca="1">IF('Invoer gegevens'!$C$17=E95,'Invoer gegevens'!$C$10,IF(C95=1,H94,0))</f>
        <v>0</v>
      </c>
      <c r="G95" s="83">
        <f ca="1">IF(C95&gt;=1,F95*Reeksen!C95,0)</f>
        <v>0</v>
      </c>
      <c r="H95" s="84">
        <f t="shared" ca="1" si="14"/>
        <v>0</v>
      </c>
      <c r="I95" s="85">
        <f ca="1">IF('Invoer gegevens'!$C$17=E95,'Invoer gegevens'!$C$11,IF(C95=1,L94,0))</f>
        <v>0</v>
      </c>
      <c r="J95" s="86">
        <f ca="1">IF(C95&lt;1,0,IF(Reeksen!AK95&lt;=Reeksen!AE95,I95*Reeksen!C95,0))</f>
        <v>0</v>
      </c>
      <c r="K95" s="86">
        <f ca="1">IF(C95&lt;1,0,IF(Reeksen!AK95&gt;Reeksen!AE95,I95*Reeksen!C95,0))</f>
        <v>0</v>
      </c>
      <c r="L95" s="86">
        <f t="shared" ca="1" si="15"/>
        <v>0</v>
      </c>
      <c r="M95" s="85">
        <f ca="1">IF('Invoer gegevens'!$C$17=E95,'Invoer gegevens'!$C$10-'Invoer gegevens'!$C$11,IF(C95=1,P94,0))</f>
        <v>0</v>
      </c>
      <c r="N95" s="86">
        <f ca="1">IF(C95&lt;1,0,IF(Reeksen!AK95&lt;=Reeksen!AE95,M95*Reeksen!C95,0))</f>
        <v>0</v>
      </c>
      <c r="O95" s="86">
        <f ca="1">IF(C95&lt;1,0,IF(Reeksen!AK95&gt;Reeksen!AE95,M95*Reeksen!C95,0))</f>
        <v>0</v>
      </c>
      <c r="P95" s="86">
        <f t="shared" ca="1" si="16"/>
        <v>0</v>
      </c>
      <c r="Q95" s="82">
        <f ca="1">IF('Invoer gegevens'!$C$17=E95,I95,IF(C95=0,0,R94))</f>
        <v>0</v>
      </c>
      <c r="R95" s="84">
        <f t="shared" ca="1" si="11"/>
        <v>0</v>
      </c>
      <c r="S95" s="84">
        <f ca="1">IF('Invoer gegevens'!$C$17=E95,M95,IF(C95=0,0,T94))</f>
        <v>0</v>
      </c>
      <c r="T95" s="84">
        <f t="shared" ca="1" si="12"/>
        <v>0</v>
      </c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8"/>
      <c r="AI95" s="71">
        <f ca="1">IF(C95=1,((F95+H95)/2*Reeksen!AJ95*12)+(('Invoer gegevens'!$C$10-(F95+H95)/2)*Reeksen!AK95*12),0)</f>
        <v>0</v>
      </c>
      <c r="AJ95" s="71">
        <f ca="1">-AI95*'Invoer gegevens'!$F$28</f>
        <v>0</v>
      </c>
      <c r="AK95" s="71">
        <f t="shared" ca="1" si="13"/>
        <v>0</v>
      </c>
      <c r="AL95" s="71">
        <f ca="1">IF(C95=1,(12*((F95+H95)/2)*Reeksen!AL95)+(12*('Invoer gegevens'!$C$10-(F95+H95)/2)*Reeksen!AM95),0)</f>
        <v>0</v>
      </c>
      <c r="AM95" s="71">
        <f ca="1">-AL95*'Invoer gegevens'!$F$31</f>
        <v>0</v>
      </c>
      <c r="AN95" s="71">
        <f t="shared" ca="1" si="17"/>
        <v>0</v>
      </c>
      <c r="AO95" s="71"/>
      <c r="AP95" s="71"/>
      <c r="AQ95" s="71">
        <f ca="1">-IF(C95=1,('Invoer gegevens'!$C$10*'Invoer gegevens'!$I$33)*Reeksen!J95,0)*2</f>
        <v>0</v>
      </c>
      <c r="AR95" s="71">
        <f ca="1">-IF(C95=1,(G95*'Invoer gegevens'!$I$34)*Reeksen!J95,0)</f>
        <v>0</v>
      </c>
      <c r="AS95" s="71">
        <f ca="1">-IF(C95=1,'Invoer gegevens'!$C$10*'Invoer gegevens'!$I$35*Reeksen!L95,0)</f>
        <v>0</v>
      </c>
      <c r="AT95" s="71">
        <f ca="1">-IF(C95=1,IF(E95='Invoer gegevens'!$C$17,'Invoer gegevens'!$C$11,Q95)*Reeksen!S95*'Invoer gegevens'!$C$18*Reeksen!P95,0)</f>
        <v>0</v>
      </c>
      <c r="AU95" s="71">
        <f ca="1">-IF(C95=1,'Invoer gegevens'!$C$10*'Invoer gegevens'!$I$36*Reeksen!H95,0)</f>
        <v>0</v>
      </c>
      <c r="AV95" s="71">
        <f t="shared" si="21"/>
        <v>0</v>
      </c>
      <c r="AW95" s="71">
        <f t="shared" ca="1" si="18"/>
        <v>0</v>
      </c>
      <c r="AX95" s="71">
        <f ca="1">IF(E95&lt;'Invoer gegevens'!$C$17+15,0,IF(E95&gt;'Invoer gegevens'!$C$17+215,0,AW95))</f>
        <v>0</v>
      </c>
      <c r="AY95" s="71">
        <f ca="1">AX95/(1+'Invoer gegevens'!$F$13)^($AZ95-('Invoer gegevens'!$C$17-'Invoer gegevens'!$C$16))/(1+'Invoer gegevens'!$C$39)^('Invoer gegevens'!$C$17-'Invoer gegevens'!$C$16)</f>
        <v>0</v>
      </c>
      <c r="AZ95" s="68">
        <f ca="1">IF(E95-'Invoer gegevens'!$C$17-14.5&lt;0,0,E95-'Invoer gegevens'!$C$17-14.5)</f>
        <v>75.5</v>
      </c>
    </row>
    <row r="96" spans="2:52" x14ac:dyDescent="0.25">
      <c r="B96" s="70">
        <f t="shared" si="19"/>
        <v>92</v>
      </c>
      <c r="C96" s="67">
        <f ca="1">IF(E96-'Invoer gegevens'!$C$17&lt;0,0,1)</f>
        <v>1</v>
      </c>
      <c r="D96" s="68">
        <f t="shared" si="20"/>
        <v>91.5</v>
      </c>
      <c r="E96" s="69">
        <f ca="1">IF('Invoer gegevens'!$C$16="","",E95+1)</f>
        <v>2110</v>
      </c>
      <c r="F96" s="82">
        <f ca="1">IF('Invoer gegevens'!$C$17=E96,'Invoer gegevens'!$C$10,IF(C96=1,H95,0))</f>
        <v>0</v>
      </c>
      <c r="G96" s="83">
        <f ca="1">IF(C96&gt;=1,F96*Reeksen!C96,0)</f>
        <v>0</v>
      </c>
      <c r="H96" s="84">
        <f t="shared" ca="1" si="14"/>
        <v>0</v>
      </c>
      <c r="I96" s="85">
        <f ca="1">IF('Invoer gegevens'!$C$17=E96,'Invoer gegevens'!$C$11,IF(C96=1,L95,0))</f>
        <v>0</v>
      </c>
      <c r="J96" s="86">
        <f ca="1">IF(C96&lt;1,0,IF(Reeksen!AK96&lt;=Reeksen!AE96,I96*Reeksen!C96,0))</f>
        <v>0</v>
      </c>
      <c r="K96" s="86">
        <f ca="1">IF(C96&lt;1,0,IF(Reeksen!AK96&gt;Reeksen!AE96,I96*Reeksen!C96,0))</f>
        <v>0</v>
      </c>
      <c r="L96" s="86">
        <f t="shared" ca="1" si="15"/>
        <v>0</v>
      </c>
      <c r="M96" s="85">
        <f ca="1">IF('Invoer gegevens'!$C$17=E96,'Invoer gegevens'!$C$10-'Invoer gegevens'!$C$11,IF(C96=1,P95,0))</f>
        <v>0</v>
      </c>
      <c r="N96" s="86">
        <f ca="1">IF(C96&lt;1,0,IF(Reeksen!AK96&lt;=Reeksen!AE96,M96*Reeksen!C96,0))</f>
        <v>0</v>
      </c>
      <c r="O96" s="86">
        <f ca="1">IF(C96&lt;1,0,IF(Reeksen!AK96&gt;Reeksen!AE96,M96*Reeksen!C96,0))</f>
        <v>0</v>
      </c>
      <c r="P96" s="86">
        <f t="shared" ca="1" si="16"/>
        <v>0</v>
      </c>
      <c r="Q96" s="82">
        <f ca="1">IF('Invoer gegevens'!$C$17=E96,I96,IF(C96=0,0,R95))</f>
        <v>0</v>
      </c>
      <c r="R96" s="84">
        <f t="shared" ca="1" si="11"/>
        <v>0</v>
      </c>
      <c r="S96" s="84">
        <f ca="1">IF('Invoer gegevens'!$C$17=E96,M96,IF(C96=0,0,T95))</f>
        <v>0</v>
      </c>
      <c r="T96" s="84">
        <f t="shared" ca="1" si="12"/>
        <v>0</v>
      </c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8"/>
      <c r="AI96" s="71">
        <f ca="1">IF(C96=1,((F96+H96)/2*Reeksen!AJ96*12)+(('Invoer gegevens'!$C$10-(F96+H96)/2)*Reeksen!AK96*12),0)</f>
        <v>0</v>
      </c>
      <c r="AJ96" s="71">
        <f ca="1">-AI96*'Invoer gegevens'!$F$28</f>
        <v>0</v>
      </c>
      <c r="AK96" s="71">
        <f t="shared" ca="1" si="13"/>
        <v>0</v>
      </c>
      <c r="AL96" s="71">
        <f ca="1">IF(C96=1,(12*((F96+H96)/2)*Reeksen!AL96)+(12*('Invoer gegevens'!$C$10-(F96+H96)/2)*Reeksen!AM96),0)</f>
        <v>0</v>
      </c>
      <c r="AM96" s="71">
        <f ca="1">-AL96*'Invoer gegevens'!$F$31</f>
        <v>0</v>
      </c>
      <c r="AN96" s="71">
        <f t="shared" ca="1" si="17"/>
        <v>0</v>
      </c>
      <c r="AO96" s="71"/>
      <c r="AP96" s="71"/>
      <c r="AQ96" s="71">
        <f ca="1">-IF(C96=1,('Invoer gegevens'!$C$10*'Invoer gegevens'!$I$33)*Reeksen!J96,0)*2</f>
        <v>0</v>
      </c>
      <c r="AR96" s="71">
        <f ca="1">-IF(C96=1,(G96*'Invoer gegevens'!$I$34)*Reeksen!J96,0)</f>
        <v>0</v>
      </c>
      <c r="AS96" s="71">
        <f ca="1">-IF(C96=1,'Invoer gegevens'!$C$10*'Invoer gegevens'!$I$35*Reeksen!L96,0)</f>
        <v>0</v>
      </c>
      <c r="AT96" s="71">
        <f ca="1">-IF(C96=1,IF(E96='Invoer gegevens'!$C$17,'Invoer gegevens'!$C$11,Q96)*Reeksen!S96*'Invoer gegevens'!$C$18*Reeksen!P96,0)</f>
        <v>0</v>
      </c>
      <c r="AU96" s="71">
        <f ca="1">-IF(C96=1,'Invoer gegevens'!$C$10*'Invoer gegevens'!$I$36*Reeksen!H96,0)</f>
        <v>0</v>
      </c>
      <c r="AV96" s="71">
        <f t="shared" si="21"/>
        <v>0</v>
      </c>
      <c r="AW96" s="71">
        <f t="shared" ca="1" si="18"/>
        <v>0</v>
      </c>
      <c r="AX96" s="71">
        <f ca="1">IF(E96&lt;'Invoer gegevens'!$C$17+15,0,IF(E96&gt;'Invoer gegevens'!$C$17+215,0,AW96))</f>
        <v>0</v>
      </c>
      <c r="AY96" s="71">
        <f ca="1">AX96/(1+'Invoer gegevens'!$F$13)^($AZ96-('Invoer gegevens'!$C$17-'Invoer gegevens'!$C$16))/(1+'Invoer gegevens'!$C$39)^('Invoer gegevens'!$C$17-'Invoer gegevens'!$C$16)</f>
        <v>0</v>
      </c>
      <c r="AZ96" s="68">
        <f ca="1">IF(E96-'Invoer gegevens'!$C$17-14.5&lt;0,0,E96-'Invoer gegevens'!$C$17-14.5)</f>
        <v>76.5</v>
      </c>
    </row>
    <row r="97" spans="2:52" x14ac:dyDescent="0.25">
      <c r="B97" s="70">
        <f t="shared" si="19"/>
        <v>93</v>
      </c>
      <c r="C97" s="67">
        <f ca="1">IF(E97-'Invoer gegevens'!$C$17&lt;0,0,1)</f>
        <v>1</v>
      </c>
      <c r="D97" s="68">
        <f t="shared" si="20"/>
        <v>92.5</v>
      </c>
      <c r="E97" s="69">
        <f ca="1">IF('Invoer gegevens'!$C$16="","",E96+1)</f>
        <v>2111</v>
      </c>
      <c r="F97" s="82">
        <f ca="1">IF('Invoer gegevens'!$C$17=E97,'Invoer gegevens'!$C$10,IF(C97=1,H96,0))</f>
        <v>0</v>
      </c>
      <c r="G97" s="83">
        <f ca="1">IF(C97&gt;=1,F97*Reeksen!C97,0)</f>
        <v>0</v>
      </c>
      <c r="H97" s="84">
        <f t="shared" ca="1" si="14"/>
        <v>0</v>
      </c>
      <c r="I97" s="85">
        <f ca="1">IF('Invoer gegevens'!$C$17=E97,'Invoer gegevens'!$C$11,IF(C97=1,L96,0))</f>
        <v>0</v>
      </c>
      <c r="J97" s="86">
        <f ca="1">IF(C97&lt;1,0,IF(Reeksen!AK97&lt;=Reeksen!AE97,I97*Reeksen!C97,0))</f>
        <v>0</v>
      </c>
      <c r="K97" s="86">
        <f ca="1">IF(C97&lt;1,0,IF(Reeksen!AK97&gt;Reeksen!AE97,I97*Reeksen!C97,0))</f>
        <v>0</v>
      </c>
      <c r="L97" s="86">
        <f t="shared" ca="1" si="15"/>
        <v>0</v>
      </c>
      <c r="M97" s="85">
        <f ca="1">IF('Invoer gegevens'!$C$17=E97,'Invoer gegevens'!$C$10-'Invoer gegevens'!$C$11,IF(C97=1,P96,0))</f>
        <v>0</v>
      </c>
      <c r="N97" s="86">
        <f ca="1">IF(C97&lt;1,0,IF(Reeksen!AK97&lt;=Reeksen!AE97,M97*Reeksen!C97,0))</f>
        <v>0</v>
      </c>
      <c r="O97" s="86">
        <f ca="1">IF(C97&lt;1,0,IF(Reeksen!AK97&gt;Reeksen!AE97,M97*Reeksen!C97,0))</f>
        <v>0</v>
      </c>
      <c r="P97" s="86">
        <f t="shared" ca="1" si="16"/>
        <v>0</v>
      </c>
      <c r="Q97" s="82">
        <f ca="1">IF('Invoer gegevens'!$C$17=E97,I97,IF(C97=0,0,R96))</f>
        <v>0</v>
      </c>
      <c r="R97" s="84">
        <f t="shared" ca="1" si="11"/>
        <v>0</v>
      </c>
      <c r="S97" s="84">
        <f ca="1">IF('Invoer gegevens'!$C$17=E97,M97,IF(C97=0,0,T96))</f>
        <v>0</v>
      </c>
      <c r="T97" s="84">
        <f t="shared" ca="1" si="12"/>
        <v>0</v>
      </c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8"/>
      <c r="AI97" s="71">
        <f ca="1">IF(C97=1,((F97+H97)/2*Reeksen!AJ97*12)+(('Invoer gegevens'!$C$10-(F97+H97)/2)*Reeksen!AK97*12),0)</f>
        <v>0</v>
      </c>
      <c r="AJ97" s="71">
        <f ca="1">-AI97*'Invoer gegevens'!$F$28</f>
        <v>0</v>
      </c>
      <c r="AK97" s="71">
        <f t="shared" ca="1" si="13"/>
        <v>0</v>
      </c>
      <c r="AL97" s="71">
        <f ca="1">IF(C97=1,(12*((F97+H97)/2)*Reeksen!AL97)+(12*('Invoer gegevens'!$C$10-(F97+H97)/2)*Reeksen!AM97),0)</f>
        <v>0</v>
      </c>
      <c r="AM97" s="71">
        <f ca="1">-AL97*'Invoer gegevens'!$F$31</f>
        <v>0</v>
      </c>
      <c r="AN97" s="71">
        <f t="shared" ca="1" si="17"/>
        <v>0</v>
      </c>
      <c r="AO97" s="71"/>
      <c r="AP97" s="71"/>
      <c r="AQ97" s="71">
        <f ca="1">-IF(C97=1,('Invoer gegevens'!$C$10*'Invoer gegevens'!$I$33)*Reeksen!J97,0)*2</f>
        <v>0</v>
      </c>
      <c r="AR97" s="71">
        <f ca="1">-IF(C97=1,(G97*'Invoer gegevens'!$I$34)*Reeksen!J97,0)</f>
        <v>0</v>
      </c>
      <c r="AS97" s="71">
        <f ca="1">-IF(C97=1,'Invoer gegevens'!$C$10*'Invoer gegevens'!$I$35*Reeksen!L97,0)</f>
        <v>0</v>
      </c>
      <c r="AT97" s="71">
        <f ca="1">-IF(C97=1,IF(E97='Invoer gegevens'!$C$17,'Invoer gegevens'!$C$11,Q97)*Reeksen!S97*'Invoer gegevens'!$C$18*Reeksen!P97,0)</f>
        <v>0</v>
      </c>
      <c r="AU97" s="71">
        <f ca="1">-IF(C97=1,'Invoer gegevens'!$C$10*'Invoer gegevens'!$I$36*Reeksen!H97,0)</f>
        <v>0</v>
      </c>
      <c r="AV97" s="71">
        <f t="shared" si="21"/>
        <v>0</v>
      </c>
      <c r="AW97" s="71">
        <f t="shared" ca="1" si="18"/>
        <v>0</v>
      </c>
      <c r="AX97" s="71">
        <f ca="1">IF(E97&lt;'Invoer gegevens'!$C$17+15,0,IF(E97&gt;'Invoer gegevens'!$C$17+215,0,AW97))</f>
        <v>0</v>
      </c>
      <c r="AY97" s="71">
        <f ca="1">AX97/(1+'Invoer gegevens'!$F$13)^($AZ97-('Invoer gegevens'!$C$17-'Invoer gegevens'!$C$16))/(1+'Invoer gegevens'!$C$39)^('Invoer gegevens'!$C$17-'Invoer gegevens'!$C$16)</f>
        <v>0</v>
      </c>
      <c r="AZ97" s="68">
        <f ca="1">IF(E97-'Invoer gegevens'!$C$17-14.5&lt;0,0,E97-'Invoer gegevens'!$C$17-14.5)</f>
        <v>77.5</v>
      </c>
    </row>
    <row r="98" spans="2:52" x14ac:dyDescent="0.25">
      <c r="B98" s="70">
        <f t="shared" si="19"/>
        <v>94</v>
      </c>
      <c r="C98" s="67">
        <f ca="1">IF(E98-'Invoer gegevens'!$C$17&lt;0,0,1)</f>
        <v>1</v>
      </c>
      <c r="D98" s="68">
        <f t="shared" si="20"/>
        <v>93.5</v>
      </c>
      <c r="E98" s="69">
        <f ca="1">IF('Invoer gegevens'!$C$16="","",E97+1)</f>
        <v>2112</v>
      </c>
      <c r="F98" s="82">
        <f ca="1">IF('Invoer gegevens'!$C$17=E98,'Invoer gegevens'!$C$10,IF(C98=1,H97,0))</f>
        <v>0</v>
      </c>
      <c r="G98" s="83">
        <f ca="1">IF(C98&gt;=1,F98*Reeksen!C98,0)</f>
        <v>0</v>
      </c>
      <c r="H98" s="84">
        <f t="shared" ca="1" si="14"/>
        <v>0</v>
      </c>
      <c r="I98" s="85">
        <f ca="1">IF('Invoer gegevens'!$C$17=E98,'Invoer gegevens'!$C$11,IF(C98=1,L97,0))</f>
        <v>0</v>
      </c>
      <c r="J98" s="86">
        <f ca="1">IF(C98&lt;1,0,IF(Reeksen!AK98&lt;=Reeksen!AE98,I98*Reeksen!C98,0))</f>
        <v>0</v>
      </c>
      <c r="K98" s="86">
        <f ca="1">IF(C98&lt;1,0,IF(Reeksen!AK98&gt;Reeksen!AE98,I98*Reeksen!C98,0))</f>
        <v>0</v>
      </c>
      <c r="L98" s="86">
        <f t="shared" ca="1" si="15"/>
        <v>0</v>
      </c>
      <c r="M98" s="85">
        <f ca="1">IF('Invoer gegevens'!$C$17=E98,'Invoer gegevens'!$C$10-'Invoer gegevens'!$C$11,IF(C98=1,P97,0))</f>
        <v>0</v>
      </c>
      <c r="N98" s="86">
        <f ca="1">IF(C98&lt;1,0,IF(Reeksen!AK98&lt;=Reeksen!AE98,M98*Reeksen!C98,0))</f>
        <v>0</v>
      </c>
      <c r="O98" s="86">
        <f ca="1">IF(C98&lt;1,0,IF(Reeksen!AK98&gt;Reeksen!AE98,M98*Reeksen!C98,0))</f>
        <v>0</v>
      </c>
      <c r="P98" s="86">
        <f t="shared" ca="1" si="16"/>
        <v>0</v>
      </c>
      <c r="Q98" s="82">
        <f ca="1">IF('Invoer gegevens'!$C$17=E98,I98,IF(C98=0,0,R97))</f>
        <v>0</v>
      </c>
      <c r="R98" s="84">
        <f t="shared" ca="1" si="11"/>
        <v>0</v>
      </c>
      <c r="S98" s="84">
        <f ca="1">IF('Invoer gegevens'!$C$17=E98,M98,IF(C98=0,0,T97))</f>
        <v>0</v>
      </c>
      <c r="T98" s="84">
        <f t="shared" ca="1" si="12"/>
        <v>0</v>
      </c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8"/>
      <c r="AI98" s="71">
        <f ca="1">IF(C98=1,((F98+H98)/2*Reeksen!AJ98*12)+(('Invoer gegevens'!$C$10-(F98+H98)/2)*Reeksen!AK98*12),0)</f>
        <v>0</v>
      </c>
      <c r="AJ98" s="71">
        <f ca="1">-AI98*'Invoer gegevens'!$F$28</f>
        <v>0</v>
      </c>
      <c r="AK98" s="71">
        <f t="shared" ca="1" si="13"/>
        <v>0</v>
      </c>
      <c r="AL98" s="71">
        <f ca="1">IF(C98=1,(12*((F98+H98)/2)*Reeksen!AL98)+(12*('Invoer gegevens'!$C$10-(F98+H98)/2)*Reeksen!AM98),0)</f>
        <v>0</v>
      </c>
      <c r="AM98" s="71">
        <f ca="1">-AL98*'Invoer gegevens'!$F$31</f>
        <v>0</v>
      </c>
      <c r="AN98" s="71">
        <f t="shared" ca="1" si="17"/>
        <v>0</v>
      </c>
      <c r="AO98" s="71"/>
      <c r="AP98" s="71"/>
      <c r="AQ98" s="71">
        <f ca="1">-IF(C98=1,('Invoer gegevens'!$C$10*'Invoer gegevens'!$I$33)*Reeksen!J98,0)*2</f>
        <v>0</v>
      </c>
      <c r="AR98" s="71">
        <f ca="1">-IF(C98=1,(G98*'Invoer gegevens'!$I$34)*Reeksen!J98,0)</f>
        <v>0</v>
      </c>
      <c r="AS98" s="71">
        <f ca="1">-IF(C98=1,'Invoer gegevens'!$C$10*'Invoer gegevens'!$I$35*Reeksen!L98,0)</f>
        <v>0</v>
      </c>
      <c r="AT98" s="71">
        <f ca="1">-IF(C98=1,IF(E98='Invoer gegevens'!$C$17,'Invoer gegevens'!$C$11,Q98)*Reeksen!S98*'Invoer gegevens'!$C$18*Reeksen!P98,0)</f>
        <v>0</v>
      </c>
      <c r="AU98" s="71">
        <f ca="1">-IF(C98=1,'Invoer gegevens'!$C$10*'Invoer gegevens'!$I$36*Reeksen!H98,0)</f>
        <v>0</v>
      </c>
      <c r="AV98" s="71">
        <f t="shared" si="21"/>
        <v>0</v>
      </c>
      <c r="AW98" s="71">
        <f t="shared" ca="1" si="18"/>
        <v>0</v>
      </c>
      <c r="AX98" s="71">
        <f ca="1">IF(E98&lt;'Invoer gegevens'!$C$17+15,0,IF(E98&gt;'Invoer gegevens'!$C$17+215,0,AW98))</f>
        <v>0</v>
      </c>
      <c r="AY98" s="71">
        <f ca="1">AX98/(1+'Invoer gegevens'!$F$13)^($AZ98-('Invoer gegevens'!$C$17-'Invoer gegevens'!$C$16))/(1+'Invoer gegevens'!$C$39)^('Invoer gegevens'!$C$17-'Invoer gegevens'!$C$16)</f>
        <v>0</v>
      </c>
      <c r="AZ98" s="68">
        <f ca="1">IF(E98-'Invoer gegevens'!$C$17-14.5&lt;0,0,E98-'Invoer gegevens'!$C$17-14.5)</f>
        <v>78.5</v>
      </c>
    </row>
    <row r="99" spans="2:52" x14ac:dyDescent="0.25">
      <c r="B99" s="70">
        <f t="shared" si="19"/>
        <v>95</v>
      </c>
      <c r="C99" s="67">
        <f ca="1">IF(E99-'Invoer gegevens'!$C$17&lt;0,0,1)</f>
        <v>1</v>
      </c>
      <c r="D99" s="68">
        <f t="shared" si="20"/>
        <v>94.5</v>
      </c>
      <c r="E99" s="69">
        <f ca="1">IF('Invoer gegevens'!$C$16="","",E98+1)</f>
        <v>2113</v>
      </c>
      <c r="F99" s="82">
        <f ca="1">IF('Invoer gegevens'!$C$17=E99,'Invoer gegevens'!$C$10,IF(C99=1,H98,0))</f>
        <v>0</v>
      </c>
      <c r="G99" s="83">
        <f ca="1">IF(C99&gt;=1,F99*Reeksen!C99,0)</f>
        <v>0</v>
      </c>
      <c r="H99" s="84">
        <f t="shared" ca="1" si="14"/>
        <v>0</v>
      </c>
      <c r="I99" s="85">
        <f ca="1">IF('Invoer gegevens'!$C$17=E99,'Invoer gegevens'!$C$11,IF(C99=1,L98,0))</f>
        <v>0</v>
      </c>
      <c r="J99" s="86">
        <f ca="1">IF(C99&lt;1,0,IF(Reeksen!AK99&lt;=Reeksen!AE99,I99*Reeksen!C99,0))</f>
        <v>0</v>
      </c>
      <c r="K99" s="86">
        <f ca="1">IF(C99&lt;1,0,IF(Reeksen!AK99&gt;Reeksen!AE99,I99*Reeksen!C99,0))</f>
        <v>0</v>
      </c>
      <c r="L99" s="86">
        <f t="shared" ca="1" si="15"/>
        <v>0</v>
      </c>
      <c r="M99" s="85">
        <f ca="1">IF('Invoer gegevens'!$C$17=E99,'Invoer gegevens'!$C$10-'Invoer gegevens'!$C$11,IF(C99=1,P98,0))</f>
        <v>0</v>
      </c>
      <c r="N99" s="86">
        <f ca="1">IF(C99&lt;1,0,IF(Reeksen!AK99&lt;=Reeksen!AE99,M99*Reeksen!C99,0))</f>
        <v>0</v>
      </c>
      <c r="O99" s="86">
        <f ca="1">IF(C99&lt;1,0,IF(Reeksen!AK99&gt;Reeksen!AE99,M99*Reeksen!C99,0))</f>
        <v>0</v>
      </c>
      <c r="P99" s="86">
        <f t="shared" ca="1" si="16"/>
        <v>0</v>
      </c>
      <c r="Q99" s="82">
        <f ca="1">IF('Invoer gegevens'!$C$17=E99,I99,IF(C99=0,0,R98))</f>
        <v>0</v>
      </c>
      <c r="R99" s="84">
        <f t="shared" ca="1" si="11"/>
        <v>0</v>
      </c>
      <c r="S99" s="84">
        <f ca="1">IF('Invoer gegevens'!$C$17=E99,M99,IF(C99=0,0,T98))</f>
        <v>0</v>
      </c>
      <c r="T99" s="84">
        <f t="shared" ca="1" si="12"/>
        <v>0</v>
      </c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8"/>
      <c r="AI99" s="71">
        <f ca="1">IF(C99=1,((F99+H99)/2*Reeksen!AJ99*12)+(('Invoer gegevens'!$C$10-(F99+H99)/2)*Reeksen!AK99*12),0)</f>
        <v>0</v>
      </c>
      <c r="AJ99" s="71">
        <f ca="1">-AI99*'Invoer gegevens'!$F$28</f>
        <v>0</v>
      </c>
      <c r="AK99" s="71">
        <f t="shared" ca="1" si="13"/>
        <v>0</v>
      </c>
      <c r="AL99" s="71">
        <f ca="1">IF(C99=1,(12*((F99+H99)/2)*Reeksen!AL99)+(12*('Invoer gegevens'!$C$10-(F99+H99)/2)*Reeksen!AM99),0)</f>
        <v>0</v>
      </c>
      <c r="AM99" s="71">
        <f ca="1">-AL99*'Invoer gegevens'!$F$31</f>
        <v>0</v>
      </c>
      <c r="AN99" s="71">
        <f t="shared" ca="1" si="17"/>
        <v>0</v>
      </c>
      <c r="AO99" s="71"/>
      <c r="AP99" s="71"/>
      <c r="AQ99" s="71">
        <f ca="1">-IF(C99=1,('Invoer gegevens'!$C$10*'Invoer gegevens'!$I$33)*Reeksen!J99,0)*2</f>
        <v>0</v>
      </c>
      <c r="AR99" s="71">
        <f ca="1">-IF(C99=1,(G99*'Invoer gegevens'!$I$34)*Reeksen!J99,0)</f>
        <v>0</v>
      </c>
      <c r="AS99" s="71">
        <f ca="1">-IF(C99=1,'Invoer gegevens'!$C$10*'Invoer gegevens'!$I$35*Reeksen!L99,0)</f>
        <v>0</v>
      </c>
      <c r="AT99" s="71">
        <f ca="1">-IF(C99=1,IF(E99='Invoer gegevens'!$C$17,'Invoer gegevens'!$C$11,Q99)*Reeksen!S99*'Invoer gegevens'!$C$18*Reeksen!P99,0)</f>
        <v>0</v>
      </c>
      <c r="AU99" s="71">
        <f ca="1">-IF(C99=1,'Invoer gegevens'!$C$10*'Invoer gegevens'!$I$36*Reeksen!H99,0)</f>
        <v>0</v>
      </c>
      <c r="AV99" s="71">
        <f t="shared" si="21"/>
        <v>0</v>
      </c>
      <c r="AW99" s="71">
        <f t="shared" ca="1" si="18"/>
        <v>0</v>
      </c>
      <c r="AX99" s="71">
        <f ca="1">IF(E99&lt;'Invoer gegevens'!$C$17+15,0,IF(E99&gt;'Invoer gegevens'!$C$17+215,0,AW99))</f>
        <v>0</v>
      </c>
      <c r="AY99" s="71">
        <f ca="1">AX99/(1+'Invoer gegevens'!$F$13)^($AZ99-('Invoer gegevens'!$C$17-'Invoer gegevens'!$C$16))/(1+'Invoer gegevens'!$C$39)^('Invoer gegevens'!$C$17-'Invoer gegevens'!$C$16)</f>
        <v>0</v>
      </c>
      <c r="AZ99" s="68">
        <f ca="1">IF(E99-'Invoer gegevens'!$C$17-14.5&lt;0,0,E99-'Invoer gegevens'!$C$17-14.5)</f>
        <v>79.5</v>
      </c>
    </row>
    <row r="100" spans="2:52" x14ac:dyDescent="0.25">
      <c r="B100" s="70">
        <f t="shared" si="19"/>
        <v>96</v>
      </c>
      <c r="C100" s="67">
        <f ca="1">IF(E100-'Invoer gegevens'!$C$17&lt;0,0,1)</f>
        <v>1</v>
      </c>
      <c r="D100" s="68">
        <f t="shared" si="20"/>
        <v>95.5</v>
      </c>
      <c r="E100" s="69">
        <f ca="1">IF('Invoer gegevens'!$C$16="","",E99+1)</f>
        <v>2114</v>
      </c>
      <c r="F100" s="82">
        <f ca="1">IF('Invoer gegevens'!$C$17=E100,'Invoer gegevens'!$C$10,IF(C100=1,H99,0))</f>
        <v>0</v>
      </c>
      <c r="G100" s="83">
        <f ca="1">IF(C100&gt;=1,F100*Reeksen!C100,0)</f>
        <v>0</v>
      </c>
      <c r="H100" s="84">
        <f t="shared" ca="1" si="14"/>
        <v>0</v>
      </c>
      <c r="I100" s="85">
        <f ca="1">IF('Invoer gegevens'!$C$17=E100,'Invoer gegevens'!$C$11,IF(C100=1,L99,0))</f>
        <v>0</v>
      </c>
      <c r="J100" s="86">
        <f ca="1">IF(C100&lt;1,0,IF(Reeksen!AK100&lt;=Reeksen!AE100,I100*Reeksen!C100,0))</f>
        <v>0</v>
      </c>
      <c r="K100" s="86">
        <f ca="1">IF(C100&lt;1,0,IF(Reeksen!AK100&gt;Reeksen!AE100,I100*Reeksen!C100,0))</f>
        <v>0</v>
      </c>
      <c r="L100" s="86">
        <f t="shared" ca="1" si="15"/>
        <v>0</v>
      </c>
      <c r="M100" s="85">
        <f ca="1">IF('Invoer gegevens'!$C$17=E100,'Invoer gegevens'!$C$10-'Invoer gegevens'!$C$11,IF(C100=1,P99,0))</f>
        <v>0</v>
      </c>
      <c r="N100" s="86">
        <f ca="1">IF(C100&lt;1,0,IF(Reeksen!AK100&lt;=Reeksen!AE100,M100*Reeksen!C100,0))</f>
        <v>0</v>
      </c>
      <c r="O100" s="86">
        <f ca="1">IF(C100&lt;1,0,IF(Reeksen!AK100&gt;Reeksen!AE100,M100*Reeksen!C100,0))</f>
        <v>0</v>
      </c>
      <c r="P100" s="86">
        <f t="shared" ca="1" si="16"/>
        <v>0</v>
      </c>
      <c r="Q100" s="82">
        <f ca="1">IF('Invoer gegevens'!$C$17=E100,I100,IF(C100=0,0,R99))</f>
        <v>0</v>
      </c>
      <c r="R100" s="84">
        <f t="shared" ca="1" si="11"/>
        <v>0</v>
      </c>
      <c r="S100" s="84">
        <f ca="1">IF('Invoer gegevens'!$C$17=E100,M100,IF(C100=0,0,T99))</f>
        <v>0</v>
      </c>
      <c r="T100" s="84">
        <f t="shared" ca="1" si="12"/>
        <v>0</v>
      </c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8"/>
      <c r="AI100" s="71">
        <f ca="1">IF(C100=1,((F100+H100)/2*Reeksen!AJ100*12)+(('Invoer gegevens'!$C$10-(F100+H100)/2)*Reeksen!AK100*12),0)</f>
        <v>0</v>
      </c>
      <c r="AJ100" s="71">
        <f ca="1">-AI100*'Invoer gegevens'!$F$28</f>
        <v>0</v>
      </c>
      <c r="AK100" s="71">
        <f t="shared" ca="1" si="13"/>
        <v>0</v>
      </c>
      <c r="AL100" s="71">
        <f ca="1">IF(C100=1,(12*((F100+H100)/2)*Reeksen!AL100)+(12*('Invoer gegevens'!$C$10-(F100+H100)/2)*Reeksen!AM100),0)</f>
        <v>0</v>
      </c>
      <c r="AM100" s="71">
        <f ca="1">-AL100*'Invoer gegevens'!$F$31</f>
        <v>0</v>
      </c>
      <c r="AN100" s="71">
        <f t="shared" ca="1" si="17"/>
        <v>0</v>
      </c>
      <c r="AO100" s="71"/>
      <c r="AP100" s="71"/>
      <c r="AQ100" s="71">
        <f ca="1">-IF(C100=1,('Invoer gegevens'!$C$10*'Invoer gegevens'!$I$33)*Reeksen!J100,0)*2</f>
        <v>0</v>
      </c>
      <c r="AR100" s="71">
        <f ca="1">-IF(C100=1,(G100*'Invoer gegevens'!$I$34)*Reeksen!J100,0)</f>
        <v>0</v>
      </c>
      <c r="AS100" s="71">
        <f ca="1">-IF(C100=1,'Invoer gegevens'!$C$10*'Invoer gegevens'!$I$35*Reeksen!L100,0)</f>
        <v>0</v>
      </c>
      <c r="AT100" s="71">
        <f ca="1">-IF(C100=1,IF(E100='Invoer gegevens'!$C$17,'Invoer gegevens'!$C$11,Q100)*Reeksen!S100*'Invoer gegevens'!$C$18*Reeksen!P100,0)</f>
        <v>0</v>
      </c>
      <c r="AU100" s="71">
        <f ca="1">-IF(C100=1,'Invoer gegevens'!$C$10*'Invoer gegevens'!$I$36*Reeksen!H100,0)</f>
        <v>0</v>
      </c>
      <c r="AV100" s="71">
        <f t="shared" si="21"/>
        <v>0</v>
      </c>
      <c r="AW100" s="71">
        <f t="shared" ca="1" si="18"/>
        <v>0</v>
      </c>
      <c r="AX100" s="71">
        <f ca="1">IF(E100&lt;'Invoer gegevens'!$C$17+15,0,IF(E100&gt;'Invoer gegevens'!$C$17+215,0,AW100))</f>
        <v>0</v>
      </c>
      <c r="AY100" s="71">
        <f ca="1">AX100/(1+'Invoer gegevens'!$F$13)^($AZ100-('Invoer gegevens'!$C$17-'Invoer gegevens'!$C$16))/(1+'Invoer gegevens'!$C$39)^('Invoer gegevens'!$C$17-'Invoer gegevens'!$C$16)</f>
        <v>0</v>
      </c>
      <c r="AZ100" s="68">
        <f ca="1">IF(E100-'Invoer gegevens'!$C$17-14.5&lt;0,0,E100-'Invoer gegevens'!$C$17-14.5)</f>
        <v>80.5</v>
      </c>
    </row>
    <row r="101" spans="2:52" x14ac:dyDescent="0.25">
      <c r="B101" s="70">
        <f t="shared" si="19"/>
        <v>97</v>
      </c>
      <c r="C101" s="67">
        <f ca="1">IF(E101-'Invoer gegevens'!$C$17&lt;0,0,1)</f>
        <v>1</v>
      </c>
      <c r="D101" s="68">
        <f t="shared" si="20"/>
        <v>96.5</v>
      </c>
      <c r="E101" s="69">
        <f ca="1">IF('Invoer gegevens'!$C$16="","",E100+1)</f>
        <v>2115</v>
      </c>
      <c r="F101" s="82">
        <f ca="1">IF('Invoer gegevens'!$C$17=E101,'Invoer gegevens'!$C$10,IF(C101=1,H100,0))</f>
        <v>0</v>
      </c>
      <c r="G101" s="83">
        <f ca="1">IF(C101&gt;=1,F101*Reeksen!C101,0)</f>
        <v>0</v>
      </c>
      <c r="H101" s="84">
        <f t="shared" ca="1" si="14"/>
        <v>0</v>
      </c>
      <c r="I101" s="85">
        <f ca="1">IF('Invoer gegevens'!$C$17=E101,'Invoer gegevens'!$C$11,IF(C101=1,L100,0))</f>
        <v>0</v>
      </c>
      <c r="J101" s="86">
        <f ca="1">IF(C101&lt;1,0,IF(Reeksen!AK101&lt;=Reeksen!AE101,I101*Reeksen!C101,0))</f>
        <v>0</v>
      </c>
      <c r="K101" s="86">
        <f ca="1">IF(C101&lt;1,0,IF(Reeksen!AK101&gt;Reeksen!AE101,I101*Reeksen!C101,0))</f>
        <v>0</v>
      </c>
      <c r="L101" s="86">
        <f t="shared" ca="1" si="15"/>
        <v>0</v>
      </c>
      <c r="M101" s="85">
        <f ca="1">IF('Invoer gegevens'!$C$17=E101,'Invoer gegevens'!$C$10-'Invoer gegevens'!$C$11,IF(C101=1,P100,0))</f>
        <v>0</v>
      </c>
      <c r="N101" s="86">
        <f ca="1">IF(C101&lt;1,0,IF(Reeksen!AK101&lt;=Reeksen!AE101,M101*Reeksen!C101,0))</f>
        <v>0</v>
      </c>
      <c r="O101" s="86">
        <f ca="1">IF(C101&lt;1,0,IF(Reeksen!AK101&gt;Reeksen!AE101,M101*Reeksen!C101,0))</f>
        <v>0</v>
      </c>
      <c r="P101" s="86">
        <f t="shared" ca="1" si="16"/>
        <v>0</v>
      </c>
      <c r="Q101" s="82">
        <f ca="1">IF('Invoer gegevens'!$C$17=E101,I101,IF(C101=0,0,R100))</f>
        <v>0</v>
      </c>
      <c r="R101" s="84">
        <f t="shared" ca="1" si="11"/>
        <v>0</v>
      </c>
      <c r="S101" s="84">
        <f ca="1">IF('Invoer gegevens'!$C$17=E101,M101,IF(C101=0,0,T100))</f>
        <v>0</v>
      </c>
      <c r="T101" s="84">
        <f t="shared" ca="1" si="12"/>
        <v>0</v>
      </c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8"/>
      <c r="AI101" s="71">
        <f ca="1">IF(C101=1,((F101+H101)/2*Reeksen!AJ101*12)+(('Invoer gegevens'!$C$10-(F101+H101)/2)*Reeksen!AK101*12),0)</f>
        <v>0</v>
      </c>
      <c r="AJ101" s="71">
        <f ca="1">-AI101*'Invoer gegevens'!$F$28</f>
        <v>0</v>
      </c>
      <c r="AK101" s="71">
        <f t="shared" ca="1" si="13"/>
        <v>0</v>
      </c>
      <c r="AL101" s="71">
        <f ca="1">IF(C101=1,(12*((F101+H101)/2)*Reeksen!AL101)+(12*('Invoer gegevens'!$C$10-(F101+H101)/2)*Reeksen!AM101),0)</f>
        <v>0</v>
      </c>
      <c r="AM101" s="71">
        <f ca="1">-AL101*'Invoer gegevens'!$F$31</f>
        <v>0</v>
      </c>
      <c r="AN101" s="71">
        <f t="shared" ca="1" si="17"/>
        <v>0</v>
      </c>
      <c r="AO101" s="71"/>
      <c r="AP101" s="71"/>
      <c r="AQ101" s="71">
        <f ca="1">-IF(C101=1,('Invoer gegevens'!$C$10*'Invoer gegevens'!$I$33)*Reeksen!J101,0)*2</f>
        <v>0</v>
      </c>
      <c r="AR101" s="71">
        <f ca="1">-IF(C101=1,(G101*'Invoer gegevens'!$I$34)*Reeksen!J101,0)</f>
        <v>0</v>
      </c>
      <c r="AS101" s="71">
        <f ca="1">-IF(C101=1,'Invoer gegevens'!$C$10*'Invoer gegevens'!$I$35*Reeksen!L101,0)</f>
        <v>0</v>
      </c>
      <c r="AT101" s="71">
        <f ca="1">-IF(C101=1,IF(E101='Invoer gegevens'!$C$17,'Invoer gegevens'!$C$11,Q101)*Reeksen!S101*'Invoer gegevens'!$C$18*Reeksen!P101,0)</f>
        <v>0</v>
      </c>
      <c r="AU101" s="71">
        <f ca="1">-IF(C101=1,'Invoer gegevens'!$C$10*'Invoer gegevens'!$I$36*Reeksen!H101,0)</f>
        <v>0</v>
      </c>
      <c r="AV101" s="71">
        <f t="shared" si="21"/>
        <v>0</v>
      </c>
      <c r="AW101" s="71">
        <f t="shared" ca="1" si="18"/>
        <v>0</v>
      </c>
      <c r="AX101" s="71">
        <f ca="1">IF(E101&lt;'Invoer gegevens'!$C$17+15,0,IF(E101&gt;'Invoer gegevens'!$C$17+215,0,AW101))</f>
        <v>0</v>
      </c>
      <c r="AY101" s="71">
        <f ca="1">AX101/(1+'Invoer gegevens'!$F$13)^($AZ101-('Invoer gegevens'!$C$17-'Invoer gegevens'!$C$16))/(1+'Invoer gegevens'!$C$39)^('Invoer gegevens'!$C$17-'Invoer gegevens'!$C$16)</f>
        <v>0</v>
      </c>
      <c r="AZ101" s="68">
        <f ca="1">IF(E101-'Invoer gegevens'!$C$17-14.5&lt;0,0,E101-'Invoer gegevens'!$C$17-14.5)</f>
        <v>81.5</v>
      </c>
    </row>
    <row r="102" spans="2:52" x14ac:dyDescent="0.25">
      <c r="B102" s="70">
        <f t="shared" si="19"/>
        <v>98</v>
      </c>
      <c r="C102" s="67">
        <f ca="1">IF(E102-'Invoer gegevens'!$C$17&lt;0,0,1)</f>
        <v>1</v>
      </c>
      <c r="D102" s="68">
        <f t="shared" si="20"/>
        <v>97.5</v>
      </c>
      <c r="E102" s="69">
        <f ca="1">IF('Invoer gegevens'!$C$16="","",E101+1)</f>
        <v>2116</v>
      </c>
      <c r="F102" s="82">
        <f ca="1">IF('Invoer gegevens'!$C$17=E102,'Invoer gegevens'!$C$10,IF(C102=1,H101,0))</f>
        <v>0</v>
      </c>
      <c r="G102" s="83">
        <f ca="1">IF(C102&gt;=1,F102*Reeksen!C102,0)</f>
        <v>0</v>
      </c>
      <c r="H102" s="84">
        <f t="shared" ca="1" si="14"/>
        <v>0</v>
      </c>
      <c r="I102" s="85">
        <f ca="1">IF('Invoer gegevens'!$C$17=E102,'Invoer gegevens'!$C$11,IF(C102=1,L101,0))</f>
        <v>0</v>
      </c>
      <c r="J102" s="86">
        <f ca="1">IF(C102&lt;1,0,IF(Reeksen!AK102&lt;=Reeksen!AE102,I102*Reeksen!C102,0))</f>
        <v>0</v>
      </c>
      <c r="K102" s="86">
        <f ca="1">IF(C102&lt;1,0,IF(Reeksen!AK102&gt;Reeksen!AE102,I102*Reeksen!C102,0))</f>
        <v>0</v>
      </c>
      <c r="L102" s="86">
        <f t="shared" ca="1" si="15"/>
        <v>0</v>
      </c>
      <c r="M102" s="85">
        <f ca="1">IF('Invoer gegevens'!$C$17=E102,'Invoer gegevens'!$C$10-'Invoer gegevens'!$C$11,IF(C102=1,P101,0))</f>
        <v>0</v>
      </c>
      <c r="N102" s="86">
        <f ca="1">IF(C102&lt;1,0,IF(Reeksen!AK102&lt;=Reeksen!AE102,M102*Reeksen!C102,0))</f>
        <v>0</v>
      </c>
      <c r="O102" s="86">
        <f ca="1">IF(C102&lt;1,0,IF(Reeksen!AK102&gt;Reeksen!AE102,M102*Reeksen!C102,0))</f>
        <v>0</v>
      </c>
      <c r="P102" s="86">
        <f t="shared" ca="1" si="16"/>
        <v>0</v>
      </c>
      <c r="Q102" s="82">
        <f ca="1">IF('Invoer gegevens'!$C$17=E102,I102,IF(C102=0,0,R101))</f>
        <v>0</v>
      </c>
      <c r="R102" s="84">
        <f t="shared" ca="1" si="11"/>
        <v>0</v>
      </c>
      <c r="S102" s="84">
        <f ca="1">IF('Invoer gegevens'!$C$17=E102,M102,IF(C102=0,0,T101))</f>
        <v>0</v>
      </c>
      <c r="T102" s="84">
        <f t="shared" ca="1" si="12"/>
        <v>0</v>
      </c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8"/>
      <c r="AI102" s="71">
        <f ca="1">IF(C102=1,((F102+H102)/2*Reeksen!AJ102*12)+(('Invoer gegevens'!$C$10-(F102+H102)/2)*Reeksen!AK102*12),0)</f>
        <v>0</v>
      </c>
      <c r="AJ102" s="71">
        <f ca="1">-AI102*'Invoer gegevens'!$F$28</f>
        <v>0</v>
      </c>
      <c r="AK102" s="71">
        <f t="shared" ca="1" si="13"/>
        <v>0</v>
      </c>
      <c r="AL102" s="71">
        <f ca="1">IF(C102=1,(12*((F102+H102)/2)*Reeksen!AL102)+(12*('Invoer gegevens'!$C$10-(F102+H102)/2)*Reeksen!AM102),0)</f>
        <v>0</v>
      </c>
      <c r="AM102" s="71">
        <f ca="1">-AL102*'Invoer gegevens'!$F$31</f>
        <v>0</v>
      </c>
      <c r="AN102" s="71">
        <f t="shared" ca="1" si="17"/>
        <v>0</v>
      </c>
      <c r="AO102" s="71"/>
      <c r="AP102" s="71"/>
      <c r="AQ102" s="71">
        <f ca="1">-IF(C102=1,('Invoer gegevens'!$C$10*'Invoer gegevens'!$I$33)*Reeksen!J102,0)*2</f>
        <v>0</v>
      </c>
      <c r="AR102" s="71">
        <f ca="1">-IF(C102=1,(G102*'Invoer gegevens'!$I$34)*Reeksen!J102,0)</f>
        <v>0</v>
      </c>
      <c r="AS102" s="71">
        <f ca="1">-IF(C102=1,'Invoer gegevens'!$C$10*'Invoer gegevens'!$I$35*Reeksen!L102,0)</f>
        <v>0</v>
      </c>
      <c r="AT102" s="71">
        <f ca="1">-IF(C102=1,IF(E102='Invoer gegevens'!$C$17,'Invoer gegevens'!$C$11,Q102)*Reeksen!S102*'Invoer gegevens'!$C$18*Reeksen!P102,0)</f>
        <v>0</v>
      </c>
      <c r="AU102" s="71">
        <f ca="1">-IF(C102=1,'Invoer gegevens'!$C$10*'Invoer gegevens'!$I$36*Reeksen!H102,0)</f>
        <v>0</v>
      </c>
      <c r="AV102" s="71">
        <f t="shared" si="21"/>
        <v>0</v>
      </c>
      <c r="AW102" s="71">
        <f t="shared" ca="1" si="18"/>
        <v>0</v>
      </c>
      <c r="AX102" s="71">
        <f ca="1">IF(E102&lt;'Invoer gegevens'!$C$17+15,0,IF(E102&gt;'Invoer gegevens'!$C$17+215,0,AW102))</f>
        <v>0</v>
      </c>
      <c r="AY102" s="71">
        <f ca="1">AX102/(1+'Invoer gegevens'!$F$13)^($AZ102-('Invoer gegevens'!$C$17-'Invoer gegevens'!$C$16))/(1+'Invoer gegevens'!$C$39)^('Invoer gegevens'!$C$17-'Invoer gegevens'!$C$16)</f>
        <v>0</v>
      </c>
      <c r="AZ102" s="68">
        <f ca="1">IF(E102-'Invoer gegevens'!$C$17-14.5&lt;0,0,E102-'Invoer gegevens'!$C$17-14.5)</f>
        <v>82.5</v>
      </c>
    </row>
    <row r="103" spans="2:52" x14ac:dyDescent="0.25">
      <c r="B103" s="70">
        <f t="shared" si="19"/>
        <v>99</v>
      </c>
      <c r="C103" s="67">
        <f ca="1">IF(E103-'Invoer gegevens'!$C$17&lt;0,0,1)</f>
        <v>1</v>
      </c>
      <c r="D103" s="68">
        <f t="shared" si="20"/>
        <v>98.5</v>
      </c>
      <c r="E103" s="69">
        <f ca="1">IF('Invoer gegevens'!$C$16="","",E102+1)</f>
        <v>2117</v>
      </c>
      <c r="F103" s="82">
        <f ca="1">IF('Invoer gegevens'!$C$17=E103,'Invoer gegevens'!$C$10,IF(C103=1,H102,0))</f>
        <v>0</v>
      </c>
      <c r="G103" s="83">
        <f ca="1">IF(C103&gt;=1,F103*Reeksen!C103,0)</f>
        <v>0</v>
      </c>
      <c r="H103" s="84">
        <f t="shared" ca="1" si="14"/>
        <v>0</v>
      </c>
      <c r="I103" s="85">
        <f ca="1">IF('Invoer gegevens'!$C$17=E103,'Invoer gegevens'!$C$11,IF(C103=1,L102,0))</f>
        <v>0</v>
      </c>
      <c r="J103" s="86">
        <f ca="1">IF(C103&lt;1,0,IF(Reeksen!AK103&lt;=Reeksen!AE103,I103*Reeksen!C103,0))</f>
        <v>0</v>
      </c>
      <c r="K103" s="86">
        <f ca="1">IF(C103&lt;1,0,IF(Reeksen!AK103&gt;Reeksen!AE103,I103*Reeksen!C103,0))</f>
        <v>0</v>
      </c>
      <c r="L103" s="86">
        <f t="shared" ca="1" si="15"/>
        <v>0</v>
      </c>
      <c r="M103" s="85">
        <f ca="1">IF('Invoer gegevens'!$C$17=E103,'Invoer gegevens'!$C$10-'Invoer gegevens'!$C$11,IF(C103=1,P102,0))</f>
        <v>0</v>
      </c>
      <c r="N103" s="86">
        <f ca="1">IF(C103&lt;1,0,IF(Reeksen!AK103&lt;=Reeksen!AE103,M103*Reeksen!C103,0))</f>
        <v>0</v>
      </c>
      <c r="O103" s="86">
        <f ca="1">IF(C103&lt;1,0,IF(Reeksen!AK103&gt;Reeksen!AE103,M103*Reeksen!C103,0))</f>
        <v>0</v>
      </c>
      <c r="P103" s="86">
        <f t="shared" ca="1" si="16"/>
        <v>0</v>
      </c>
      <c r="Q103" s="82">
        <f ca="1">IF('Invoer gegevens'!$C$17=E103,I103,IF(C103=0,0,R102))</f>
        <v>0</v>
      </c>
      <c r="R103" s="84">
        <f t="shared" ca="1" si="11"/>
        <v>0</v>
      </c>
      <c r="S103" s="84">
        <f ca="1">IF('Invoer gegevens'!$C$17=E103,M103,IF(C103=0,0,T102))</f>
        <v>0</v>
      </c>
      <c r="T103" s="84">
        <f t="shared" ca="1" si="12"/>
        <v>0</v>
      </c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8"/>
      <c r="AI103" s="71">
        <f ca="1">IF(C103=1,((F103+H103)/2*Reeksen!AJ103*12)+(('Invoer gegevens'!$C$10-(F103+H103)/2)*Reeksen!AK103*12),0)</f>
        <v>0</v>
      </c>
      <c r="AJ103" s="71">
        <f ca="1">-AI103*'Invoer gegevens'!$F$28</f>
        <v>0</v>
      </c>
      <c r="AK103" s="71">
        <f t="shared" ca="1" si="13"/>
        <v>0</v>
      </c>
      <c r="AL103" s="71">
        <f ca="1">IF(C103=1,(12*((F103+H103)/2)*Reeksen!AL103)+(12*('Invoer gegevens'!$C$10-(F103+H103)/2)*Reeksen!AM103),0)</f>
        <v>0</v>
      </c>
      <c r="AM103" s="71">
        <f ca="1">-AL103*'Invoer gegevens'!$F$31</f>
        <v>0</v>
      </c>
      <c r="AN103" s="71">
        <f t="shared" ca="1" si="17"/>
        <v>0</v>
      </c>
      <c r="AO103" s="71"/>
      <c r="AP103" s="71"/>
      <c r="AQ103" s="71">
        <f ca="1">-IF(C103=1,('Invoer gegevens'!$C$10*'Invoer gegevens'!$I$33)*Reeksen!J103,0)*2</f>
        <v>0</v>
      </c>
      <c r="AR103" s="71">
        <f ca="1">-IF(C103=1,(G103*'Invoer gegevens'!$I$34)*Reeksen!J103,0)</f>
        <v>0</v>
      </c>
      <c r="AS103" s="71">
        <f ca="1">-IF(C103=1,'Invoer gegevens'!$C$10*'Invoer gegevens'!$I$35*Reeksen!L103,0)</f>
        <v>0</v>
      </c>
      <c r="AT103" s="71">
        <f ca="1">-IF(C103=1,IF(E103='Invoer gegevens'!$C$17,'Invoer gegevens'!$C$11,Q103)*Reeksen!S103*'Invoer gegevens'!$C$18*Reeksen!P103,0)</f>
        <v>0</v>
      </c>
      <c r="AU103" s="71">
        <f ca="1">-IF(C103=1,'Invoer gegevens'!$C$10*'Invoer gegevens'!$I$36*Reeksen!H103,0)</f>
        <v>0</v>
      </c>
      <c r="AV103" s="71">
        <f t="shared" si="21"/>
        <v>0</v>
      </c>
      <c r="AW103" s="71">
        <f t="shared" ca="1" si="18"/>
        <v>0</v>
      </c>
      <c r="AX103" s="71">
        <f ca="1">IF(E103&lt;'Invoer gegevens'!$C$17+15,0,IF(E103&gt;'Invoer gegevens'!$C$17+215,0,AW103))</f>
        <v>0</v>
      </c>
      <c r="AY103" s="71">
        <f ca="1">AX103/(1+'Invoer gegevens'!$F$13)^($AZ103-('Invoer gegevens'!$C$17-'Invoer gegevens'!$C$16))/(1+'Invoer gegevens'!$C$39)^('Invoer gegevens'!$C$17-'Invoer gegevens'!$C$16)</f>
        <v>0</v>
      </c>
      <c r="AZ103" s="68">
        <f ca="1">IF(E103-'Invoer gegevens'!$C$17-14.5&lt;0,0,E103-'Invoer gegevens'!$C$17-14.5)</f>
        <v>83.5</v>
      </c>
    </row>
    <row r="104" spans="2:52" x14ac:dyDescent="0.25">
      <c r="B104" s="70">
        <f t="shared" si="19"/>
        <v>100</v>
      </c>
      <c r="C104" s="67">
        <f ca="1">IF(E104-'Invoer gegevens'!$C$17&lt;0,0,1)</f>
        <v>1</v>
      </c>
      <c r="D104" s="68">
        <f t="shared" si="20"/>
        <v>99.5</v>
      </c>
      <c r="E104" s="69">
        <f ca="1">IF('Invoer gegevens'!$C$16="","",E103+1)</f>
        <v>2118</v>
      </c>
      <c r="F104" s="82">
        <f ca="1">IF('Invoer gegevens'!$C$17=E104,'Invoer gegevens'!$C$10,IF(C104=1,H103,0))</f>
        <v>0</v>
      </c>
      <c r="G104" s="83">
        <f ca="1">IF(C104&gt;=1,F104*Reeksen!C104,0)</f>
        <v>0</v>
      </c>
      <c r="H104" s="84">
        <f t="shared" ca="1" si="14"/>
        <v>0</v>
      </c>
      <c r="I104" s="85">
        <f ca="1">IF('Invoer gegevens'!$C$17=E104,'Invoer gegevens'!$C$11,IF(C104=1,L103,0))</f>
        <v>0</v>
      </c>
      <c r="J104" s="86">
        <f ca="1">IF(C104&lt;1,0,IF(Reeksen!AK104&lt;=Reeksen!AE104,I104*Reeksen!C104,0))</f>
        <v>0</v>
      </c>
      <c r="K104" s="86">
        <f ca="1">IF(C104&lt;1,0,IF(Reeksen!AK104&gt;Reeksen!AE104,I104*Reeksen!C104,0))</f>
        <v>0</v>
      </c>
      <c r="L104" s="86">
        <f t="shared" ca="1" si="15"/>
        <v>0</v>
      </c>
      <c r="M104" s="85">
        <f ca="1">IF('Invoer gegevens'!$C$17=E104,'Invoer gegevens'!$C$10-'Invoer gegevens'!$C$11,IF(C104=1,P103,0))</f>
        <v>0</v>
      </c>
      <c r="N104" s="86">
        <f ca="1">IF(C104&lt;1,0,IF(Reeksen!AK104&lt;=Reeksen!AE104,M104*Reeksen!C104,0))</f>
        <v>0</v>
      </c>
      <c r="O104" s="86">
        <f ca="1">IF(C104&lt;1,0,IF(Reeksen!AK104&gt;Reeksen!AE104,M104*Reeksen!C104,0))</f>
        <v>0</v>
      </c>
      <c r="P104" s="86">
        <f t="shared" ca="1" si="16"/>
        <v>0</v>
      </c>
      <c r="Q104" s="82">
        <f ca="1">IF('Invoer gegevens'!$C$17=E104,I104,IF(C104=0,0,R103))</f>
        <v>0</v>
      </c>
      <c r="R104" s="84">
        <f t="shared" ca="1" si="11"/>
        <v>0</v>
      </c>
      <c r="S104" s="84">
        <f ca="1">IF('Invoer gegevens'!$C$17=E104,M104,IF(C104=0,0,T103))</f>
        <v>0</v>
      </c>
      <c r="T104" s="84">
        <f t="shared" ca="1" si="12"/>
        <v>0</v>
      </c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8"/>
      <c r="AI104" s="71">
        <f ca="1">IF(C104=1,((F104+H104)/2*Reeksen!AJ104*12)+(('Invoer gegevens'!$C$10-(F104+H104)/2)*Reeksen!AK104*12),0)</f>
        <v>0</v>
      </c>
      <c r="AJ104" s="71">
        <f ca="1">-AI104*'Invoer gegevens'!$F$28</f>
        <v>0</v>
      </c>
      <c r="AK104" s="71">
        <f t="shared" ca="1" si="13"/>
        <v>0</v>
      </c>
      <c r="AL104" s="71">
        <f ca="1">IF(C104=1,(12*((F104+H104)/2)*Reeksen!AL104)+(12*('Invoer gegevens'!$C$10-(F104+H104)/2)*Reeksen!AM104),0)</f>
        <v>0</v>
      </c>
      <c r="AM104" s="71">
        <f ca="1">-AL104*'Invoer gegevens'!$F$31</f>
        <v>0</v>
      </c>
      <c r="AN104" s="71">
        <f t="shared" ca="1" si="17"/>
        <v>0</v>
      </c>
      <c r="AO104" s="71"/>
      <c r="AP104" s="71"/>
      <c r="AQ104" s="71">
        <f ca="1">-IF(C104=1,('Invoer gegevens'!$C$10*'Invoer gegevens'!$I$33)*Reeksen!J104,0)*2</f>
        <v>0</v>
      </c>
      <c r="AR104" s="71">
        <f ca="1">-IF(C104=1,(G104*'Invoer gegevens'!$I$34)*Reeksen!J104,0)</f>
        <v>0</v>
      </c>
      <c r="AS104" s="71">
        <f ca="1">-IF(C104=1,'Invoer gegevens'!$C$10*'Invoer gegevens'!$I$35*Reeksen!L104,0)</f>
        <v>0</v>
      </c>
      <c r="AT104" s="71">
        <f ca="1">-IF(C104=1,IF(E104='Invoer gegevens'!$C$17,'Invoer gegevens'!$C$11,Q104)*Reeksen!S104*'Invoer gegevens'!$C$18*Reeksen!P104,0)</f>
        <v>0</v>
      </c>
      <c r="AU104" s="71">
        <f ca="1">-IF(C104=1,'Invoer gegevens'!$C$10*'Invoer gegevens'!$I$36*Reeksen!H104,0)</f>
        <v>0</v>
      </c>
      <c r="AV104" s="71">
        <f t="shared" si="21"/>
        <v>0</v>
      </c>
      <c r="AW104" s="71">
        <f t="shared" ca="1" si="18"/>
        <v>0</v>
      </c>
      <c r="AX104" s="71">
        <f ca="1">IF(E104&lt;'Invoer gegevens'!$C$17+15,0,IF(E104&gt;'Invoer gegevens'!$C$17+215,0,AW104))</f>
        <v>0</v>
      </c>
      <c r="AY104" s="71">
        <f ca="1">AX104/(1+'Invoer gegevens'!$F$13)^($AZ104-('Invoer gegevens'!$C$17-'Invoer gegevens'!$C$16))/(1+'Invoer gegevens'!$C$39)^('Invoer gegevens'!$C$17-'Invoer gegevens'!$C$16)</f>
        <v>0</v>
      </c>
      <c r="AZ104" s="68">
        <f ca="1">IF(E104-'Invoer gegevens'!$C$17-14.5&lt;0,0,E104-'Invoer gegevens'!$C$17-14.5)</f>
        <v>84.5</v>
      </c>
    </row>
    <row r="105" spans="2:52" x14ac:dyDescent="0.25">
      <c r="B105" s="70">
        <f t="shared" si="19"/>
        <v>101</v>
      </c>
      <c r="C105" s="67">
        <f ca="1">IF(E105-'Invoer gegevens'!$C$17&lt;0,0,1)</f>
        <v>1</v>
      </c>
      <c r="D105" s="68">
        <f t="shared" si="20"/>
        <v>100.5</v>
      </c>
      <c r="E105" s="69">
        <f ca="1">IF('Invoer gegevens'!$C$16="","",E104+1)</f>
        <v>2119</v>
      </c>
      <c r="F105" s="82">
        <f ca="1">IF('Invoer gegevens'!$C$17=E105,'Invoer gegevens'!$C$10,IF(C105=1,H104,0))</f>
        <v>0</v>
      </c>
      <c r="G105" s="83">
        <f ca="1">IF(C105&gt;=1,F105*Reeksen!C105,0)</f>
        <v>0</v>
      </c>
      <c r="H105" s="84">
        <f t="shared" ca="1" si="14"/>
        <v>0</v>
      </c>
      <c r="I105" s="85">
        <f ca="1">IF('Invoer gegevens'!$C$17=E105,'Invoer gegevens'!$C$11,IF(C105=1,L104,0))</f>
        <v>0</v>
      </c>
      <c r="J105" s="86">
        <f ca="1">IF(C105&lt;1,0,IF(Reeksen!AK105&lt;=Reeksen!AE105,I105*Reeksen!C105,0))</f>
        <v>0</v>
      </c>
      <c r="K105" s="86">
        <f ca="1">IF(C105&lt;1,0,IF(Reeksen!AK105&gt;Reeksen!AE105,I105*Reeksen!C105,0))</f>
        <v>0</v>
      </c>
      <c r="L105" s="86">
        <f t="shared" ca="1" si="15"/>
        <v>0</v>
      </c>
      <c r="M105" s="85">
        <f ca="1">IF('Invoer gegevens'!$C$17=E105,'Invoer gegevens'!$C$10-'Invoer gegevens'!$C$11,IF(C105=1,P104,0))</f>
        <v>0</v>
      </c>
      <c r="N105" s="86">
        <f ca="1">IF(C105&lt;1,0,IF(Reeksen!AK105&lt;=Reeksen!AE105,M105*Reeksen!C105,0))</f>
        <v>0</v>
      </c>
      <c r="O105" s="86">
        <f ca="1">IF(C105&lt;1,0,IF(Reeksen!AK105&gt;Reeksen!AE105,M105*Reeksen!C105,0))</f>
        <v>0</v>
      </c>
      <c r="P105" s="86">
        <f t="shared" ca="1" si="16"/>
        <v>0</v>
      </c>
      <c r="Q105" s="82">
        <f ca="1">IF('Invoer gegevens'!$C$17=E105,I105,IF(C105=0,0,R104))</f>
        <v>0</v>
      </c>
      <c r="R105" s="84">
        <f t="shared" ca="1" si="11"/>
        <v>0</v>
      </c>
      <c r="S105" s="84">
        <f ca="1">IF('Invoer gegevens'!$C$17=E105,M105,IF(C105=0,0,T104))</f>
        <v>0</v>
      </c>
      <c r="T105" s="84">
        <f t="shared" ca="1" si="12"/>
        <v>0</v>
      </c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8"/>
      <c r="AI105" s="71">
        <f ca="1">IF(C105=1,((F105+H105)/2*Reeksen!AJ105*12)+(('Invoer gegevens'!$C$10-(F105+H105)/2)*Reeksen!AK105*12),0)</f>
        <v>0</v>
      </c>
      <c r="AJ105" s="71">
        <f ca="1">-AI105*'Invoer gegevens'!$F$28</f>
        <v>0</v>
      </c>
      <c r="AK105" s="71">
        <f t="shared" ca="1" si="13"/>
        <v>0</v>
      </c>
      <c r="AL105" s="71">
        <f ca="1">IF(C105=1,(12*((F105+H105)/2)*Reeksen!AL105)+(12*('Invoer gegevens'!$C$10-(F105+H105)/2)*Reeksen!AM105),0)</f>
        <v>0</v>
      </c>
      <c r="AM105" s="71">
        <f ca="1">-AL105*'Invoer gegevens'!$F$31</f>
        <v>0</v>
      </c>
      <c r="AN105" s="71">
        <f t="shared" ca="1" si="17"/>
        <v>0</v>
      </c>
      <c r="AO105" s="71"/>
      <c r="AP105" s="71"/>
      <c r="AQ105" s="71">
        <f ca="1">-IF(C105=1,('Invoer gegevens'!$C$10*'Invoer gegevens'!$I$33)*Reeksen!J105,0)*2</f>
        <v>0</v>
      </c>
      <c r="AR105" s="71">
        <f ca="1">-IF(C105=1,(G105*'Invoer gegevens'!$I$34)*Reeksen!J105,0)</f>
        <v>0</v>
      </c>
      <c r="AS105" s="71">
        <f ca="1">-IF(C105=1,'Invoer gegevens'!$C$10*'Invoer gegevens'!$I$35*Reeksen!L105,0)</f>
        <v>0</v>
      </c>
      <c r="AT105" s="71">
        <f ca="1">-IF(C105=1,IF(E105='Invoer gegevens'!$C$17,'Invoer gegevens'!$C$11,Q105)*Reeksen!S105*'Invoer gegevens'!$C$18*Reeksen!P105,0)</f>
        <v>0</v>
      </c>
      <c r="AU105" s="71">
        <f ca="1">-IF(C105=1,'Invoer gegevens'!$C$10*'Invoer gegevens'!$I$36*Reeksen!H105,0)</f>
        <v>0</v>
      </c>
      <c r="AV105" s="71">
        <f t="shared" si="21"/>
        <v>0</v>
      </c>
      <c r="AW105" s="71">
        <f t="shared" ca="1" si="18"/>
        <v>0</v>
      </c>
      <c r="AX105" s="71">
        <f ca="1">IF(E105&lt;'Invoer gegevens'!$C$17+15,0,IF(E105&gt;'Invoer gegevens'!$C$17+215,0,AW105))</f>
        <v>0</v>
      </c>
      <c r="AY105" s="71">
        <f ca="1">AX105/(1+'Invoer gegevens'!$F$13)^($AZ105-('Invoer gegevens'!$C$17-'Invoer gegevens'!$C$16))/(1+'Invoer gegevens'!$C$39)^('Invoer gegevens'!$C$17-'Invoer gegevens'!$C$16)</f>
        <v>0</v>
      </c>
      <c r="AZ105" s="68">
        <f ca="1">IF(E105-'Invoer gegevens'!$C$17-14.5&lt;0,0,E105-'Invoer gegevens'!$C$17-14.5)</f>
        <v>85.5</v>
      </c>
    </row>
    <row r="106" spans="2:52" x14ac:dyDescent="0.25">
      <c r="B106" s="70">
        <f t="shared" si="19"/>
        <v>102</v>
      </c>
      <c r="C106" s="67">
        <f ca="1">IF(E106-'Invoer gegevens'!$C$17&lt;0,0,1)</f>
        <v>1</v>
      </c>
      <c r="D106" s="68">
        <f t="shared" si="20"/>
        <v>101.5</v>
      </c>
      <c r="E106" s="69">
        <f ca="1">IF('Invoer gegevens'!$C$16="","",E105+1)</f>
        <v>2120</v>
      </c>
      <c r="F106" s="82">
        <f ca="1">IF('Invoer gegevens'!$C$17=E106,'Invoer gegevens'!$C$10,IF(C106=1,H105,0))</f>
        <v>0</v>
      </c>
      <c r="G106" s="83">
        <f ca="1">IF(C106&gt;=1,F106*Reeksen!C106,0)</f>
        <v>0</v>
      </c>
      <c r="H106" s="84">
        <f t="shared" ca="1" si="14"/>
        <v>0</v>
      </c>
      <c r="I106" s="85">
        <f ca="1">IF('Invoer gegevens'!$C$17=E106,'Invoer gegevens'!$C$11,IF(C106=1,L105,0))</f>
        <v>0</v>
      </c>
      <c r="J106" s="86">
        <f ca="1">IF(C106&lt;1,0,IF(Reeksen!AK106&lt;=Reeksen!AE106,I106*Reeksen!C106,0))</f>
        <v>0</v>
      </c>
      <c r="K106" s="86">
        <f ca="1">IF(C106&lt;1,0,IF(Reeksen!AK106&gt;Reeksen!AE106,I106*Reeksen!C106,0))</f>
        <v>0</v>
      </c>
      <c r="L106" s="86">
        <f t="shared" ca="1" si="15"/>
        <v>0</v>
      </c>
      <c r="M106" s="85">
        <f ca="1">IF('Invoer gegevens'!$C$17=E106,'Invoer gegevens'!$C$10-'Invoer gegevens'!$C$11,IF(C106=1,P105,0))</f>
        <v>0</v>
      </c>
      <c r="N106" s="86">
        <f ca="1">IF(C106&lt;1,0,IF(Reeksen!AK106&lt;=Reeksen!AE106,M106*Reeksen!C106,0))</f>
        <v>0</v>
      </c>
      <c r="O106" s="86">
        <f ca="1">IF(C106&lt;1,0,IF(Reeksen!AK106&gt;Reeksen!AE106,M106*Reeksen!C106,0))</f>
        <v>0</v>
      </c>
      <c r="P106" s="86">
        <f t="shared" ca="1" si="16"/>
        <v>0</v>
      </c>
      <c r="Q106" s="82">
        <f ca="1">IF('Invoer gegevens'!$C$17=E106,I106,IF(C106=0,0,R105))</f>
        <v>0</v>
      </c>
      <c r="R106" s="84">
        <f t="shared" ca="1" si="11"/>
        <v>0</v>
      </c>
      <c r="S106" s="84">
        <f ca="1">IF('Invoer gegevens'!$C$17=E106,M106,IF(C106=0,0,T105))</f>
        <v>0</v>
      </c>
      <c r="T106" s="84">
        <f t="shared" ca="1" si="12"/>
        <v>0</v>
      </c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8"/>
      <c r="AI106" s="71">
        <f ca="1">IF(C106=1,((F106+H106)/2*Reeksen!AJ106*12)+(('Invoer gegevens'!$C$10-(F106+H106)/2)*Reeksen!AK106*12),0)</f>
        <v>0</v>
      </c>
      <c r="AJ106" s="71">
        <f ca="1">-AI106*'Invoer gegevens'!$F$28</f>
        <v>0</v>
      </c>
      <c r="AK106" s="71">
        <f t="shared" ca="1" si="13"/>
        <v>0</v>
      </c>
      <c r="AL106" s="71">
        <f ca="1">IF(C106=1,(12*((F106+H106)/2)*Reeksen!AL106)+(12*('Invoer gegevens'!$C$10-(F106+H106)/2)*Reeksen!AM106),0)</f>
        <v>0</v>
      </c>
      <c r="AM106" s="71">
        <f ca="1">-AL106*'Invoer gegevens'!$F$31</f>
        <v>0</v>
      </c>
      <c r="AN106" s="71">
        <f t="shared" ca="1" si="17"/>
        <v>0</v>
      </c>
      <c r="AO106" s="71"/>
      <c r="AP106" s="71"/>
      <c r="AQ106" s="71">
        <f ca="1">-IF(C106=1,('Invoer gegevens'!$C$10*'Invoer gegevens'!$I$33)*Reeksen!J106,0)*2</f>
        <v>0</v>
      </c>
      <c r="AR106" s="71">
        <f ca="1">-IF(C106=1,(G106*'Invoer gegevens'!$I$34)*Reeksen!J106,0)</f>
        <v>0</v>
      </c>
      <c r="AS106" s="71">
        <f ca="1">-IF(C106=1,'Invoer gegevens'!$C$10*'Invoer gegevens'!$I$35*Reeksen!L106,0)</f>
        <v>0</v>
      </c>
      <c r="AT106" s="71">
        <f ca="1">-IF(C106=1,IF(E106='Invoer gegevens'!$C$17,'Invoer gegevens'!$C$11,Q106)*Reeksen!S106*'Invoer gegevens'!$C$18*Reeksen!P106,0)</f>
        <v>0</v>
      </c>
      <c r="AU106" s="71">
        <f ca="1">-IF(C106=1,'Invoer gegevens'!$C$10*'Invoer gegevens'!$I$36*Reeksen!H106,0)</f>
        <v>0</v>
      </c>
      <c r="AV106" s="71">
        <f t="shared" si="21"/>
        <v>0</v>
      </c>
      <c r="AW106" s="71">
        <f t="shared" ca="1" si="18"/>
        <v>0</v>
      </c>
      <c r="AX106" s="71">
        <f ca="1">IF(E106&lt;'Invoer gegevens'!$C$17+15,0,IF(E106&gt;'Invoer gegevens'!$C$17+215,0,AW106))</f>
        <v>0</v>
      </c>
      <c r="AY106" s="71">
        <f ca="1">AX106/(1+'Invoer gegevens'!$F$13)^($AZ106-('Invoer gegevens'!$C$17-'Invoer gegevens'!$C$16))/(1+'Invoer gegevens'!$C$39)^('Invoer gegevens'!$C$17-'Invoer gegevens'!$C$16)</f>
        <v>0</v>
      </c>
      <c r="AZ106" s="68">
        <f ca="1">IF(E106-'Invoer gegevens'!$C$17-14.5&lt;0,0,E106-'Invoer gegevens'!$C$17-14.5)</f>
        <v>86.5</v>
      </c>
    </row>
    <row r="107" spans="2:52" x14ac:dyDescent="0.25">
      <c r="B107" s="70">
        <f t="shared" si="19"/>
        <v>103</v>
      </c>
      <c r="C107" s="67">
        <f ca="1">IF(E107-'Invoer gegevens'!$C$17&lt;0,0,1)</f>
        <v>1</v>
      </c>
      <c r="D107" s="68">
        <f t="shared" si="20"/>
        <v>102.5</v>
      </c>
      <c r="E107" s="69">
        <f ca="1">IF('Invoer gegevens'!$C$16="","",E106+1)</f>
        <v>2121</v>
      </c>
      <c r="F107" s="82">
        <f ca="1">IF('Invoer gegevens'!$C$17=E107,'Invoer gegevens'!$C$10,IF(C107=1,H106,0))</f>
        <v>0</v>
      </c>
      <c r="G107" s="83">
        <f ca="1">IF(C107&gt;=1,F107*Reeksen!C107,0)</f>
        <v>0</v>
      </c>
      <c r="H107" s="84">
        <f t="shared" ca="1" si="14"/>
        <v>0</v>
      </c>
      <c r="I107" s="85">
        <f ca="1">IF('Invoer gegevens'!$C$17=E107,'Invoer gegevens'!$C$11,IF(C107=1,L106,0))</f>
        <v>0</v>
      </c>
      <c r="J107" s="86">
        <f ca="1">IF(C107&lt;1,0,IF(Reeksen!AK107&lt;=Reeksen!AE107,I107*Reeksen!C107,0))</f>
        <v>0</v>
      </c>
      <c r="K107" s="86">
        <f ca="1">IF(C107&lt;1,0,IF(Reeksen!AK107&gt;Reeksen!AE107,I107*Reeksen!C107,0))</f>
        <v>0</v>
      </c>
      <c r="L107" s="86">
        <f t="shared" ca="1" si="15"/>
        <v>0</v>
      </c>
      <c r="M107" s="85">
        <f ca="1">IF('Invoer gegevens'!$C$17=E107,'Invoer gegevens'!$C$10-'Invoer gegevens'!$C$11,IF(C107=1,P106,0))</f>
        <v>0</v>
      </c>
      <c r="N107" s="86">
        <f ca="1">IF(C107&lt;1,0,IF(Reeksen!AK107&lt;=Reeksen!AE107,M107*Reeksen!C107,0))</f>
        <v>0</v>
      </c>
      <c r="O107" s="86">
        <f ca="1">IF(C107&lt;1,0,IF(Reeksen!AK107&gt;Reeksen!AE107,M107*Reeksen!C107,0))</f>
        <v>0</v>
      </c>
      <c r="P107" s="86">
        <f t="shared" ca="1" si="16"/>
        <v>0</v>
      </c>
      <c r="Q107" s="82">
        <f ca="1">IF('Invoer gegevens'!$C$17=E107,I107,IF(C107=0,0,R106))</f>
        <v>0</v>
      </c>
      <c r="R107" s="84">
        <f t="shared" ca="1" si="11"/>
        <v>0</v>
      </c>
      <c r="S107" s="84">
        <f ca="1">IF('Invoer gegevens'!$C$17=E107,M107,IF(C107=0,0,T106))</f>
        <v>0</v>
      </c>
      <c r="T107" s="84">
        <f t="shared" ca="1" si="12"/>
        <v>0</v>
      </c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8"/>
      <c r="AI107" s="71">
        <f ca="1">IF(C107=1,((F107+H107)/2*Reeksen!AJ107*12)+(('Invoer gegevens'!$C$10-(F107+H107)/2)*Reeksen!AK107*12),0)</f>
        <v>0</v>
      </c>
      <c r="AJ107" s="71">
        <f ca="1">-AI107*'Invoer gegevens'!$F$28</f>
        <v>0</v>
      </c>
      <c r="AK107" s="71">
        <f t="shared" ca="1" si="13"/>
        <v>0</v>
      </c>
      <c r="AL107" s="71">
        <f ca="1">IF(C107=1,(12*((F107+H107)/2)*Reeksen!AL107)+(12*('Invoer gegevens'!$C$10-(F107+H107)/2)*Reeksen!AM107),0)</f>
        <v>0</v>
      </c>
      <c r="AM107" s="71">
        <f ca="1">-AL107*'Invoer gegevens'!$F$31</f>
        <v>0</v>
      </c>
      <c r="AN107" s="71">
        <f t="shared" ca="1" si="17"/>
        <v>0</v>
      </c>
      <c r="AO107" s="71"/>
      <c r="AP107" s="71"/>
      <c r="AQ107" s="71">
        <f ca="1">-IF(C107=1,('Invoer gegevens'!$C$10*'Invoer gegevens'!$I$33)*Reeksen!J107,0)*2</f>
        <v>0</v>
      </c>
      <c r="AR107" s="71">
        <f ca="1">-IF(C107=1,(G107*'Invoer gegevens'!$I$34)*Reeksen!J107,0)</f>
        <v>0</v>
      </c>
      <c r="AS107" s="71">
        <f ca="1">-IF(C107=1,'Invoer gegevens'!$C$10*'Invoer gegevens'!$I$35*Reeksen!L107,0)</f>
        <v>0</v>
      </c>
      <c r="AT107" s="71">
        <f ca="1">-IF(C107=1,IF(E107='Invoer gegevens'!$C$17,'Invoer gegevens'!$C$11,Q107)*Reeksen!S107*'Invoer gegevens'!$C$18*Reeksen!P107,0)</f>
        <v>0</v>
      </c>
      <c r="AU107" s="71">
        <f ca="1">-IF(C107=1,'Invoer gegevens'!$C$10*'Invoer gegevens'!$I$36*Reeksen!H107,0)</f>
        <v>0</v>
      </c>
      <c r="AV107" s="71">
        <f t="shared" si="21"/>
        <v>0</v>
      </c>
      <c r="AW107" s="71">
        <f t="shared" ca="1" si="18"/>
        <v>0</v>
      </c>
      <c r="AX107" s="71">
        <f ca="1">IF(E107&lt;'Invoer gegevens'!$C$17+15,0,IF(E107&gt;'Invoer gegevens'!$C$17+215,0,AW107))</f>
        <v>0</v>
      </c>
      <c r="AY107" s="71">
        <f ca="1">AX107/(1+'Invoer gegevens'!$F$13)^($AZ107-('Invoer gegevens'!$C$17-'Invoer gegevens'!$C$16))/(1+'Invoer gegevens'!$C$39)^('Invoer gegevens'!$C$17-'Invoer gegevens'!$C$16)</f>
        <v>0</v>
      </c>
      <c r="AZ107" s="68">
        <f ca="1">IF(E107-'Invoer gegevens'!$C$17-14.5&lt;0,0,E107-'Invoer gegevens'!$C$17-14.5)</f>
        <v>87.5</v>
      </c>
    </row>
    <row r="108" spans="2:52" x14ac:dyDescent="0.25">
      <c r="B108" s="70">
        <f t="shared" si="19"/>
        <v>104</v>
      </c>
      <c r="C108" s="67">
        <f ca="1">IF(E108-'Invoer gegevens'!$C$17&lt;0,0,1)</f>
        <v>1</v>
      </c>
      <c r="D108" s="68">
        <f t="shared" si="20"/>
        <v>103.5</v>
      </c>
      <c r="E108" s="69">
        <f ca="1">IF('Invoer gegevens'!$C$16="","",E107+1)</f>
        <v>2122</v>
      </c>
      <c r="F108" s="82">
        <f ca="1">IF('Invoer gegevens'!$C$17=E108,'Invoer gegevens'!$C$10,IF(C108=1,H107,0))</f>
        <v>0</v>
      </c>
      <c r="G108" s="83">
        <f ca="1">IF(C108&gt;=1,F108*Reeksen!C108,0)</f>
        <v>0</v>
      </c>
      <c r="H108" s="84">
        <f t="shared" ca="1" si="14"/>
        <v>0</v>
      </c>
      <c r="I108" s="85">
        <f ca="1">IF('Invoer gegevens'!$C$17=E108,'Invoer gegevens'!$C$11,IF(C108=1,L107,0))</f>
        <v>0</v>
      </c>
      <c r="J108" s="86">
        <f ca="1">IF(C108&lt;1,0,IF(Reeksen!AK108&lt;=Reeksen!AE108,I108*Reeksen!C108,0))</f>
        <v>0</v>
      </c>
      <c r="K108" s="86">
        <f ca="1">IF(C108&lt;1,0,IF(Reeksen!AK108&gt;Reeksen!AE108,I108*Reeksen!C108,0))</f>
        <v>0</v>
      </c>
      <c r="L108" s="86">
        <f t="shared" ca="1" si="15"/>
        <v>0</v>
      </c>
      <c r="M108" s="85">
        <f ca="1">IF('Invoer gegevens'!$C$17=E108,'Invoer gegevens'!$C$10-'Invoer gegevens'!$C$11,IF(C108=1,P107,0))</f>
        <v>0</v>
      </c>
      <c r="N108" s="86">
        <f ca="1">IF(C108&lt;1,0,IF(Reeksen!AK108&lt;=Reeksen!AE108,M108*Reeksen!C108,0))</f>
        <v>0</v>
      </c>
      <c r="O108" s="86">
        <f ca="1">IF(C108&lt;1,0,IF(Reeksen!AK108&gt;Reeksen!AE108,M108*Reeksen!C108,0))</f>
        <v>0</v>
      </c>
      <c r="P108" s="86">
        <f t="shared" ca="1" si="16"/>
        <v>0</v>
      </c>
      <c r="Q108" s="82">
        <f ca="1">IF('Invoer gegevens'!$C$17=E108,I108,IF(C108=0,0,R107))</f>
        <v>0</v>
      </c>
      <c r="R108" s="84">
        <f t="shared" ca="1" si="11"/>
        <v>0</v>
      </c>
      <c r="S108" s="84">
        <f ca="1">IF('Invoer gegevens'!$C$17=E108,M108,IF(C108=0,0,T107))</f>
        <v>0</v>
      </c>
      <c r="T108" s="84">
        <f t="shared" ca="1" si="12"/>
        <v>0</v>
      </c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8"/>
      <c r="AI108" s="71">
        <f ca="1">IF(C108=1,((F108+H108)/2*Reeksen!AJ108*12)+(('Invoer gegevens'!$C$10-(F108+H108)/2)*Reeksen!AK108*12),0)</f>
        <v>0</v>
      </c>
      <c r="AJ108" s="71">
        <f ca="1">-AI108*'Invoer gegevens'!$F$28</f>
        <v>0</v>
      </c>
      <c r="AK108" s="71">
        <f t="shared" ca="1" si="13"/>
        <v>0</v>
      </c>
      <c r="AL108" s="71">
        <f ca="1">IF(C108=1,(12*((F108+H108)/2)*Reeksen!AL108)+(12*('Invoer gegevens'!$C$10-(F108+H108)/2)*Reeksen!AM108),0)</f>
        <v>0</v>
      </c>
      <c r="AM108" s="71">
        <f ca="1">-AL108*'Invoer gegevens'!$F$31</f>
        <v>0</v>
      </c>
      <c r="AN108" s="71">
        <f t="shared" ca="1" si="17"/>
        <v>0</v>
      </c>
      <c r="AO108" s="71"/>
      <c r="AP108" s="71"/>
      <c r="AQ108" s="71">
        <f ca="1">-IF(C108=1,('Invoer gegevens'!$C$10*'Invoer gegevens'!$I$33)*Reeksen!J108,0)*2</f>
        <v>0</v>
      </c>
      <c r="AR108" s="71">
        <f ca="1">-IF(C108=1,(G108*'Invoer gegevens'!$I$34)*Reeksen!J108,0)</f>
        <v>0</v>
      </c>
      <c r="AS108" s="71">
        <f ca="1">-IF(C108=1,'Invoer gegevens'!$C$10*'Invoer gegevens'!$I$35*Reeksen!L108,0)</f>
        <v>0</v>
      </c>
      <c r="AT108" s="71">
        <f ca="1">-IF(C108=1,IF(E108='Invoer gegevens'!$C$17,'Invoer gegevens'!$C$11,Q108)*Reeksen!S108*'Invoer gegevens'!$C$18*Reeksen!P108,0)</f>
        <v>0</v>
      </c>
      <c r="AU108" s="71">
        <f ca="1">-IF(C108=1,'Invoer gegevens'!$C$10*'Invoer gegevens'!$I$36*Reeksen!H108,0)</f>
        <v>0</v>
      </c>
      <c r="AV108" s="71">
        <f t="shared" si="21"/>
        <v>0</v>
      </c>
      <c r="AW108" s="71">
        <f t="shared" ca="1" si="18"/>
        <v>0</v>
      </c>
      <c r="AX108" s="71">
        <f ca="1">IF(E108&lt;'Invoer gegevens'!$C$17+15,0,IF(E108&gt;'Invoer gegevens'!$C$17+215,0,AW108))</f>
        <v>0</v>
      </c>
      <c r="AY108" s="71">
        <f ca="1">AX108/(1+'Invoer gegevens'!$F$13)^($AZ108-('Invoer gegevens'!$C$17-'Invoer gegevens'!$C$16))/(1+'Invoer gegevens'!$C$39)^('Invoer gegevens'!$C$17-'Invoer gegevens'!$C$16)</f>
        <v>0</v>
      </c>
      <c r="AZ108" s="68">
        <f ca="1">IF(E108-'Invoer gegevens'!$C$17-14.5&lt;0,0,E108-'Invoer gegevens'!$C$17-14.5)</f>
        <v>88.5</v>
      </c>
    </row>
    <row r="109" spans="2:52" x14ac:dyDescent="0.25">
      <c r="B109" s="70">
        <f t="shared" si="19"/>
        <v>105</v>
      </c>
      <c r="C109" s="67">
        <f ca="1">IF(E109-'Invoer gegevens'!$C$17&lt;0,0,1)</f>
        <v>1</v>
      </c>
      <c r="D109" s="68">
        <f t="shared" si="20"/>
        <v>104.5</v>
      </c>
      <c r="E109" s="69">
        <f ca="1">IF('Invoer gegevens'!$C$16="","",E108+1)</f>
        <v>2123</v>
      </c>
      <c r="F109" s="82">
        <f ca="1">IF('Invoer gegevens'!$C$17=E109,'Invoer gegevens'!$C$10,IF(C109=1,H108,0))</f>
        <v>0</v>
      </c>
      <c r="G109" s="83">
        <f ca="1">IF(C109&gt;=1,F109*Reeksen!C109,0)</f>
        <v>0</v>
      </c>
      <c r="H109" s="84">
        <f t="shared" ca="1" si="14"/>
        <v>0</v>
      </c>
      <c r="I109" s="85">
        <f ca="1">IF('Invoer gegevens'!$C$17=E109,'Invoer gegevens'!$C$11,IF(C109=1,L108,0))</f>
        <v>0</v>
      </c>
      <c r="J109" s="86">
        <f ca="1">IF(C109&lt;1,0,IF(Reeksen!AK109&lt;=Reeksen!AE109,I109*Reeksen!C109,0))</f>
        <v>0</v>
      </c>
      <c r="K109" s="86">
        <f ca="1">IF(C109&lt;1,0,IF(Reeksen!AK109&gt;Reeksen!AE109,I109*Reeksen!C109,0))</f>
        <v>0</v>
      </c>
      <c r="L109" s="86">
        <f t="shared" ca="1" si="15"/>
        <v>0</v>
      </c>
      <c r="M109" s="85">
        <f ca="1">IF('Invoer gegevens'!$C$17=E109,'Invoer gegevens'!$C$10-'Invoer gegevens'!$C$11,IF(C109=1,P108,0))</f>
        <v>0</v>
      </c>
      <c r="N109" s="86">
        <f ca="1">IF(C109&lt;1,0,IF(Reeksen!AK109&lt;=Reeksen!AE109,M109*Reeksen!C109,0))</f>
        <v>0</v>
      </c>
      <c r="O109" s="86">
        <f ca="1">IF(C109&lt;1,0,IF(Reeksen!AK109&gt;Reeksen!AE109,M109*Reeksen!C109,0))</f>
        <v>0</v>
      </c>
      <c r="P109" s="86">
        <f t="shared" ca="1" si="16"/>
        <v>0</v>
      </c>
      <c r="Q109" s="82">
        <f ca="1">IF('Invoer gegevens'!$C$17=E109,I109,IF(C109=0,0,R108))</f>
        <v>0</v>
      </c>
      <c r="R109" s="84">
        <f t="shared" ca="1" si="11"/>
        <v>0</v>
      </c>
      <c r="S109" s="84">
        <f ca="1">IF('Invoer gegevens'!$C$17=E109,M109,IF(C109=0,0,T108))</f>
        <v>0</v>
      </c>
      <c r="T109" s="84">
        <f t="shared" ca="1" si="12"/>
        <v>0</v>
      </c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8"/>
      <c r="AI109" s="71">
        <f ca="1">IF(C109=1,((F109+H109)/2*Reeksen!AJ109*12)+(('Invoer gegevens'!$C$10-(F109+H109)/2)*Reeksen!AK109*12),0)</f>
        <v>0</v>
      </c>
      <c r="AJ109" s="71">
        <f ca="1">-AI109*'Invoer gegevens'!$F$28</f>
        <v>0</v>
      </c>
      <c r="AK109" s="71">
        <f t="shared" ca="1" si="13"/>
        <v>0</v>
      </c>
      <c r="AL109" s="71">
        <f ca="1">IF(C109=1,(12*((F109+H109)/2)*Reeksen!AL109)+(12*('Invoer gegevens'!$C$10-(F109+H109)/2)*Reeksen!AM109),0)</f>
        <v>0</v>
      </c>
      <c r="AM109" s="71">
        <f ca="1">-AL109*'Invoer gegevens'!$F$31</f>
        <v>0</v>
      </c>
      <c r="AN109" s="71">
        <f t="shared" ca="1" si="17"/>
        <v>0</v>
      </c>
      <c r="AO109" s="71"/>
      <c r="AP109" s="71"/>
      <c r="AQ109" s="71">
        <f ca="1">-IF(C109=1,('Invoer gegevens'!$C$10*'Invoer gegevens'!$I$33)*Reeksen!J109,0)*2</f>
        <v>0</v>
      </c>
      <c r="AR109" s="71">
        <f ca="1">-IF(C109=1,(G109*'Invoer gegevens'!$I$34)*Reeksen!J109,0)</f>
        <v>0</v>
      </c>
      <c r="AS109" s="71">
        <f ca="1">-IF(C109=1,'Invoer gegevens'!$C$10*'Invoer gegevens'!$I$35*Reeksen!L109,0)</f>
        <v>0</v>
      </c>
      <c r="AT109" s="71">
        <f ca="1">-IF(C109=1,IF(E109='Invoer gegevens'!$C$17,'Invoer gegevens'!$C$11,Q109)*Reeksen!S109*'Invoer gegevens'!$C$18*Reeksen!P109,0)</f>
        <v>0</v>
      </c>
      <c r="AU109" s="71">
        <f ca="1">-IF(C109=1,'Invoer gegevens'!$C$10*'Invoer gegevens'!$I$36*Reeksen!H109,0)</f>
        <v>0</v>
      </c>
      <c r="AV109" s="71">
        <f t="shared" si="21"/>
        <v>0</v>
      </c>
      <c r="AW109" s="71">
        <f t="shared" ca="1" si="18"/>
        <v>0</v>
      </c>
      <c r="AX109" s="71">
        <f ca="1">IF(E109&lt;'Invoer gegevens'!$C$17+15,0,IF(E109&gt;'Invoer gegevens'!$C$17+215,0,AW109))</f>
        <v>0</v>
      </c>
      <c r="AY109" s="71">
        <f ca="1">AX109/(1+'Invoer gegevens'!$F$13)^($AZ109-('Invoer gegevens'!$C$17-'Invoer gegevens'!$C$16))/(1+'Invoer gegevens'!$C$39)^('Invoer gegevens'!$C$17-'Invoer gegevens'!$C$16)</f>
        <v>0</v>
      </c>
      <c r="AZ109" s="68">
        <f ca="1">IF(E109-'Invoer gegevens'!$C$17-14.5&lt;0,0,E109-'Invoer gegevens'!$C$17-14.5)</f>
        <v>89.5</v>
      </c>
    </row>
    <row r="110" spans="2:52" x14ac:dyDescent="0.25">
      <c r="B110" s="70">
        <f t="shared" si="19"/>
        <v>106</v>
      </c>
      <c r="C110" s="67">
        <f ca="1">IF(E110-'Invoer gegevens'!$C$17&lt;0,0,1)</f>
        <v>1</v>
      </c>
      <c r="D110" s="68">
        <f t="shared" si="20"/>
        <v>105.5</v>
      </c>
      <c r="E110" s="69">
        <f ca="1">IF('Invoer gegevens'!$C$16="","",E109+1)</f>
        <v>2124</v>
      </c>
      <c r="F110" s="82">
        <f ca="1">IF('Invoer gegevens'!$C$17=E110,'Invoer gegevens'!$C$10,IF(C110=1,H109,0))</f>
        <v>0</v>
      </c>
      <c r="G110" s="83">
        <f ca="1">IF(C110&gt;=1,F110*Reeksen!C110,0)</f>
        <v>0</v>
      </c>
      <c r="H110" s="84">
        <f t="shared" ca="1" si="14"/>
        <v>0</v>
      </c>
      <c r="I110" s="85">
        <f ca="1">IF('Invoer gegevens'!$C$17=E110,'Invoer gegevens'!$C$11,IF(C110=1,L109,0))</f>
        <v>0</v>
      </c>
      <c r="J110" s="86">
        <f ca="1">IF(C110&lt;1,0,IF(Reeksen!AK110&lt;=Reeksen!AE110,I110*Reeksen!C110,0))</f>
        <v>0</v>
      </c>
      <c r="K110" s="86">
        <f ca="1">IF(C110&lt;1,0,IF(Reeksen!AK110&gt;Reeksen!AE110,I110*Reeksen!C110,0))</f>
        <v>0</v>
      </c>
      <c r="L110" s="86">
        <f t="shared" ca="1" si="15"/>
        <v>0</v>
      </c>
      <c r="M110" s="85">
        <f ca="1">IF('Invoer gegevens'!$C$17=E110,'Invoer gegevens'!$C$10-'Invoer gegevens'!$C$11,IF(C110=1,P109,0))</f>
        <v>0</v>
      </c>
      <c r="N110" s="86">
        <f ca="1">IF(C110&lt;1,0,IF(Reeksen!AK110&lt;=Reeksen!AE110,M110*Reeksen!C110,0))</f>
        <v>0</v>
      </c>
      <c r="O110" s="86">
        <f ca="1">IF(C110&lt;1,0,IF(Reeksen!AK110&gt;Reeksen!AE110,M110*Reeksen!C110,0))</f>
        <v>0</v>
      </c>
      <c r="P110" s="86">
        <f t="shared" ca="1" si="16"/>
        <v>0</v>
      </c>
      <c r="Q110" s="82">
        <f ca="1">IF('Invoer gegevens'!$C$17=E110,I110,IF(C110=0,0,R109))</f>
        <v>0</v>
      </c>
      <c r="R110" s="84">
        <f t="shared" ca="1" si="11"/>
        <v>0</v>
      </c>
      <c r="S110" s="84">
        <f ca="1">IF('Invoer gegevens'!$C$17=E110,M110,IF(C110=0,0,T109))</f>
        <v>0</v>
      </c>
      <c r="T110" s="84">
        <f t="shared" ca="1" si="12"/>
        <v>0</v>
      </c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8"/>
      <c r="AI110" s="71">
        <f ca="1">IF(C110=1,((F110+H110)/2*Reeksen!AJ110*12)+(('Invoer gegevens'!$C$10-(F110+H110)/2)*Reeksen!AK110*12),0)</f>
        <v>0</v>
      </c>
      <c r="AJ110" s="71">
        <f ca="1">-AI110*'Invoer gegevens'!$F$28</f>
        <v>0</v>
      </c>
      <c r="AK110" s="71">
        <f t="shared" ca="1" si="13"/>
        <v>0</v>
      </c>
      <c r="AL110" s="71">
        <f ca="1">IF(C110=1,(12*((F110+H110)/2)*Reeksen!AL110)+(12*('Invoer gegevens'!$C$10-(F110+H110)/2)*Reeksen!AM110),0)</f>
        <v>0</v>
      </c>
      <c r="AM110" s="71">
        <f ca="1">-AL110*'Invoer gegevens'!$F$31</f>
        <v>0</v>
      </c>
      <c r="AN110" s="71">
        <f t="shared" ca="1" si="17"/>
        <v>0</v>
      </c>
      <c r="AO110" s="71"/>
      <c r="AP110" s="71"/>
      <c r="AQ110" s="71">
        <f ca="1">-IF(C110=1,('Invoer gegevens'!$C$10*'Invoer gegevens'!$I$33)*Reeksen!J110,0)*2</f>
        <v>0</v>
      </c>
      <c r="AR110" s="71">
        <f ca="1">-IF(C110=1,(G110*'Invoer gegevens'!$I$34)*Reeksen!J110,0)</f>
        <v>0</v>
      </c>
      <c r="AS110" s="71">
        <f ca="1">-IF(C110=1,'Invoer gegevens'!$C$10*'Invoer gegevens'!$I$35*Reeksen!L110,0)</f>
        <v>0</v>
      </c>
      <c r="AT110" s="71">
        <f ca="1">-IF(C110=1,IF(E110='Invoer gegevens'!$C$17,'Invoer gegevens'!$C$11,Q110)*Reeksen!S110*'Invoer gegevens'!$C$18*Reeksen!P110,0)</f>
        <v>0</v>
      </c>
      <c r="AU110" s="71">
        <f ca="1">-IF(C110=1,'Invoer gegevens'!$C$10*'Invoer gegevens'!$I$36*Reeksen!H110,0)</f>
        <v>0</v>
      </c>
      <c r="AV110" s="71">
        <f t="shared" si="21"/>
        <v>0</v>
      </c>
      <c r="AW110" s="71">
        <f t="shared" ca="1" si="18"/>
        <v>0</v>
      </c>
      <c r="AX110" s="71">
        <f ca="1">IF(E110&lt;'Invoer gegevens'!$C$17+15,0,IF(E110&gt;'Invoer gegevens'!$C$17+215,0,AW110))</f>
        <v>0</v>
      </c>
      <c r="AY110" s="71">
        <f ca="1">AX110/(1+'Invoer gegevens'!$F$13)^($AZ110-('Invoer gegevens'!$C$17-'Invoer gegevens'!$C$16))/(1+'Invoer gegevens'!$C$39)^('Invoer gegevens'!$C$17-'Invoer gegevens'!$C$16)</f>
        <v>0</v>
      </c>
      <c r="AZ110" s="68">
        <f ca="1">IF(E110-'Invoer gegevens'!$C$17-14.5&lt;0,0,E110-'Invoer gegevens'!$C$17-14.5)</f>
        <v>90.5</v>
      </c>
    </row>
    <row r="111" spans="2:52" x14ac:dyDescent="0.25">
      <c r="B111" s="70">
        <f t="shared" si="19"/>
        <v>107</v>
      </c>
      <c r="C111" s="67">
        <f ca="1">IF(E111-'Invoer gegevens'!$C$17&lt;0,0,1)</f>
        <v>1</v>
      </c>
      <c r="D111" s="68">
        <f t="shared" si="20"/>
        <v>106.5</v>
      </c>
      <c r="E111" s="69">
        <f ca="1">IF('Invoer gegevens'!$C$16="","",E110+1)</f>
        <v>2125</v>
      </c>
      <c r="F111" s="82">
        <f ca="1">IF('Invoer gegevens'!$C$17=E111,'Invoer gegevens'!$C$10,IF(C111=1,H110,0))</f>
        <v>0</v>
      </c>
      <c r="G111" s="83">
        <f ca="1">IF(C111&gt;=1,F111*Reeksen!C111,0)</f>
        <v>0</v>
      </c>
      <c r="H111" s="84">
        <f t="shared" ca="1" si="14"/>
        <v>0</v>
      </c>
      <c r="I111" s="85">
        <f ca="1">IF('Invoer gegevens'!$C$17=E111,'Invoer gegevens'!$C$11,IF(C111=1,L110,0))</f>
        <v>0</v>
      </c>
      <c r="J111" s="86">
        <f ca="1">IF(C111&lt;1,0,IF(Reeksen!AK111&lt;=Reeksen!AE111,I111*Reeksen!C111,0))</f>
        <v>0</v>
      </c>
      <c r="K111" s="86">
        <f ca="1">IF(C111&lt;1,0,IF(Reeksen!AK111&gt;Reeksen!AE111,I111*Reeksen!C111,0))</f>
        <v>0</v>
      </c>
      <c r="L111" s="86">
        <f t="shared" ca="1" si="15"/>
        <v>0</v>
      </c>
      <c r="M111" s="85">
        <f ca="1">IF('Invoer gegevens'!$C$17=E111,'Invoer gegevens'!$C$10-'Invoer gegevens'!$C$11,IF(C111=1,P110,0))</f>
        <v>0</v>
      </c>
      <c r="N111" s="86">
        <f ca="1">IF(C111&lt;1,0,IF(Reeksen!AK111&lt;=Reeksen!AE111,M111*Reeksen!C111,0))</f>
        <v>0</v>
      </c>
      <c r="O111" s="86">
        <f ca="1">IF(C111&lt;1,0,IF(Reeksen!AK111&gt;Reeksen!AE111,M111*Reeksen!C111,0))</f>
        <v>0</v>
      </c>
      <c r="P111" s="86">
        <f t="shared" ca="1" si="16"/>
        <v>0</v>
      </c>
      <c r="Q111" s="82">
        <f ca="1">IF('Invoer gegevens'!$C$17=E111,I111,IF(C111=0,0,R110))</f>
        <v>0</v>
      </c>
      <c r="R111" s="84">
        <f t="shared" ca="1" si="11"/>
        <v>0</v>
      </c>
      <c r="S111" s="84">
        <f ca="1">IF('Invoer gegevens'!$C$17=E111,M111,IF(C111=0,0,T110))</f>
        <v>0</v>
      </c>
      <c r="T111" s="84">
        <f t="shared" ca="1" si="12"/>
        <v>0</v>
      </c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8"/>
      <c r="AI111" s="71">
        <f ca="1">IF(C111=1,((F111+H111)/2*Reeksen!AJ111*12)+(('Invoer gegevens'!$C$10-(F111+H111)/2)*Reeksen!AK111*12),0)</f>
        <v>0</v>
      </c>
      <c r="AJ111" s="71">
        <f ca="1">-AI111*'Invoer gegevens'!$F$28</f>
        <v>0</v>
      </c>
      <c r="AK111" s="71">
        <f t="shared" ca="1" si="13"/>
        <v>0</v>
      </c>
      <c r="AL111" s="71">
        <f ca="1">IF(C111=1,(12*((F111+H111)/2)*Reeksen!AL111)+(12*('Invoer gegevens'!$C$10-(F111+H111)/2)*Reeksen!AM111),0)</f>
        <v>0</v>
      </c>
      <c r="AM111" s="71">
        <f ca="1">-AL111*'Invoer gegevens'!$F$31</f>
        <v>0</v>
      </c>
      <c r="AN111" s="71">
        <f t="shared" ca="1" si="17"/>
        <v>0</v>
      </c>
      <c r="AO111" s="71"/>
      <c r="AP111" s="71"/>
      <c r="AQ111" s="71">
        <f ca="1">-IF(C111=1,('Invoer gegevens'!$C$10*'Invoer gegevens'!$I$33)*Reeksen!J111,0)*2</f>
        <v>0</v>
      </c>
      <c r="AR111" s="71">
        <f ca="1">-IF(C111=1,(G111*'Invoer gegevens'!$I$34)*Reeksen!J111,0)</f>
        <v>0</v>
      </c>
      <c r="AS111" s="71">
        <f ca="1">-IF(C111=1,'Invoer gegevens'!$C$10*'Invoer gegevens'!$I$35*Reeksen!L111,0)</f>
        <v>0</v>
      </c>
      <c r="AT111" s="71">
        <f ca="1">-IF(C111=1,IF(E111='Invoer gegevens'!$C$17,'Invoer gegevens'!$C$11,Q111)*Reeksen!S111*'Invoer gegevens'!$C$18*Reeksen!P111,0)</f>
        <v>0</v>
      </c>
      <c r="AU111" s="71">
        <f ca="1">-IF(C111=1,'Invoer gegevens'!$C$10*'Invoer gegevens'!$I$36*Reeksen!H111,0)</f>
        <v>0</v>
      </c>
      <c r="AV111" s="71">
        <f t="shared" si="21"/>
        <v>0</v>
      </c>
      <c r="AW111" s="71">
        <f t="shared" ca="1" si="18"/>
        <v>0</v>
      </c>
      <c r="AX111" s="71">
        <f ca="1">IF(E111&lt;'Invoer gegevens'!$C$17+15,0,IF(E111&gt;'Invoer gegevens'!$C$17+215,0,AW111))</f>
        <v>0</v>
      </c>
      <c r="AY111" s="71">
        <f ca="1">AX111/(1+'Invoer gegevens'!$F$13)^($AZ111-('Invoer gegevens'!$C$17-'Invoer gegevens'!$C$16))/(1+'Invoer gegevens'!$C$39)^('Invoer gegevens'!$C$17-'Invoer gegevens'!$C$16)</f>
        <v>0</v>
      </c>
      <c r="AZ111" s="68">
        <f ca="1">IF(E111-'Invoer gegevens'!$C$17-14.5&lt;0,0,E111-'Invoer gegevens'!$C$17-14.5)</f>
        <v>91.5</v>
      </c>
    </row>
    <row r="112" spans="2:52" x14ac:dyDescent="0.25">
      <c r="B112" s="70">
        <f t="shared" si="19"/>
        <v>108</v>
      </c>
      <c r="C112" s="67">
        <f ca="1">IF(E112-'Invoer gegevens'!$C$17&lt;0,0,1)</f>
        <v>1</v>
      </c>
      <c r="D112" s="68">
        <f t="shared" si="20"/>
        <v>107.5</v>
      </c>
      <c r="E112" s="69">
        <f ca="1">IF('Invoer gegevens'!$C$16="","",E111+1)</f>
        <v>2126</v>
      </c>
      <c r="F112" s="82">
        <f ca="1">IF('Invoer gegevens'!$C$17=E112,'Invoer gegevens'!$C$10,IF(C112=1,H111,0))</f>
        <v>0</v>
      </c>
      <c r="G112" s="83">
        <f ca="1">IF(C112&gt;=1,F112*Reeksen!C112,0)</f>
        <v>0</v>
      </c>
      <c r="H112" s="84">
        <f t="shared" ca="1" si="14"/>
        <v>0</v>
      </c>
      <c r="I112" s="85">
        <f ca="1">IF('Invoer gegevens'!$C$17=E112,'Invoer gegevens'!$C$11,IF(C112=1,L111,0))</f>
        <v>0</v>
      </c>
      <c r="J112" s="86">
        <f ca="1">IF(C112&lt;1,0,IF(Reeksen!AK112&lt;=Reeksen!AE112,I112*Reeksen!C112,0))</f>
        <v>0</v>
      </c>
      <c r="K112" s="86">
        <f ca="1">IF(C112&lt;1,0,IF(Reeksen!AK112&gt;Reeksen!AE112,I112*Reeksen!C112,0))</f>
        <v>0</v>
      </c>
      <c r="L112" s="86">
        <f t="shared" ca="1" si="15"/>
        <v>0</v>
      </c>
      <c r="M112" s="85">
        <f ca="1">IF('Invoer gegevens'!$C$17=E112,'Invoer gegevens'!$C$10-'Invoer gegevens'!$C$11,IF(C112=1,P111,0))</f>
        <v>0</v>
      </c>
      <c r="N112" s="86">
        <f ca="1">IF(C112&lt;1,0,IF(Reeksen!AK112&lt;=Reeksen!AE112,M112*Reeksen!C112,0))</f>
        <v>0</v>
      </c>
      <c r="O112" s="86">
        <f ca="1">IF(C112&lt;1,0,IF(Reeksen!AK112&gt;Reeksen!AE112,M112*Reeksen!C112,0))</f>
        <v>0</v>
      </c>
      <c r="P112" s="86">
        <f t="shared" ca="1" si="16"/>
        <v>0</v>
      </c>
      <c r="Q112" s="82">
        <f ca="1">IF('Invoer gegevens'!$C$17=E112,I112,IF(C112=0,0,R111))</f>
        <v>0</v>
      </c>
      <c r="R112" s="84">
        <f t="shared" ca="1" si="11"/>
        <v>0</v>
      </c>
      <c r="S112" s="84">
        <f ca="1">IF('Invoer gegevens'!$C$17=E112,M112,IF(C112=0,0,T111))</f>
        <v>0</v>
      </c>
      <c r="T112" s="84">
        <f t="shared" ca="1" si="12"/>
        <v>0</v>
      </c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8"/>
      <c r="AI112" s="71">
        <f ca="1">IF(C112=1,((F112+H112)/2*Reeksen!AJ112*12)+(('Invoer gegevens'!$C$10-(F112+H112)/2)*Reeksen!AK112*12),0)</f>
        <v>0</v>
      </c>
      <c r="AJ112" s="71">
        <f ca="1">-AI112*'Invoer gegevens'!$F$28</f>
        <v>0</v>
      </c>
      <c r="AK112" s="71">
        <f t="shared" ca="1" si="13"/>
        <v>0</v>
      </c>
      <c r="AL112" s="71">
        <f ca="1">IF(C112=1,(12*((F112+H112)/2)*Reeksen!AL112)+(12*('Invoer gegevens'!$C$10-(F112+H112)/2)*Reeksen!AM112),0)</f>
        <v>0</v>
      </c>
      <c r="AM112" s="71">
        <f ca="1">-AL112*'Invoer gegevens'!$F$31</f>
        <v>0</v>
      </c>
      <c r="AN112" s="71">
        <f t="shared" ca="1" si="17"/>
        <v>0</v>
      </c>
      <c r="AO112" s="71"/>
      <c r="AP112" s="71"/>
      <c r="AQ112" s="71">
        <f ca="1">-IF(C112=1,('Invoer gegevens'!$C$10*'Invoer gegevens'!$I$33)*Reeksen!J112,0)*2</f>
        <v>0</v>
      </c>
      <c r="AR112" s="71">
        <f ca="1">-IF(C112=1,(G112*'Invoer gegevens'!$I$34)*Reeksen!J112,0)</f>
        <v>0</v>
      </c>
      <c r="AS112" s="71">
        <f ca="1">-IF(C112=1,'Invoer gegevens'!$C$10*'Invoer gegevens'!$I$35*Reeksen!L112,0)</f>
        <v>0</v>
      </c>
      <c r="AT112" s="71">
        <f ca="1">-IF(C112=1,IF(E112='Invoer gegevens'!$C$17,'Invoer gegevens'!$C$11,Q112)*Reeksen!S112*'Invoer gegevens'!$C$18*Reeksen!P112,0)</f>
        <v>0</v>
      </c>
      <c r="AU112" s="71">
        <f ca="1">-IF(C112=1,'Invoer gegevens'!$C$10*'Invoer gegevens'!$I$36*Reeksen!H112,0)</f>
        <v>0</v>
      </c>
      <c r="AV112" s="71">
        <f t="shared" si="21"/>
        <v>0</v>
      </c>
      <c r="AW112" s="71">
        <f t="shared" ca="1" si="18"/>
        <v>0</v>
      </c>
      <c r="AX112" s="71">
        <f ca="1">IF(E112&lt;'Invoer gegevens'!$C$17+15,0,IF(E112&gt;'Invoer gegevens'!$C$17+215,0,AW112))</f>
        <v>0</v>
      </c>
      <c r="AY112" s="71">
        <f ca="1">AX112/(1+'Invoer gegevens'!$F$13)^($AZ112-('Invoer gegevens'!$C$17-'Invoer gegevens'!$C$16))/(1+'Invoer gegevens'!$C$39)^('Invoer gegevens'!$C$17-'Invoer gegevens'!$C$16)</f>
        <v>0</v>
      </c>
      <c r="AZ112" s="68">
        <f ca="1">IF(E112-'Invoer gegevens'!$C$17-14.5&lt;0,0,E112-'Invoer gegevens'!$C$17-14.5)</f>
        <v>92.5</v>
      </c>
    </row>
    <row r="113" spans="2:52" x14ac:dyDescent="0.25">
      <c r="B113" s="70">
        <f t="shared" si="19"/>
        <v>109</v>
      </c>
      <c r="C113" s="67">
        <f ca="1">IF(E113-'Invoer gegevens'!$C$17&lt;0,0,1)</f>
        <v>1</v>
      </c>
      <c r="D113" s="68">
        <f t="shared" si="20"/>
        <v>108.5</v>
      </c>
      <c r="E113" s="69">
        <f ca="1">IF('Invoer gegevens'!$C$16="","",E112+1)</f>
        <v>2127</v>
      </c>
      <c r="F113" s="82">
        <f ca="1">IF('Invoer gegevens'!$C$17=E113,'Invoer gegevens'!$C$10,IF(C113=1,H112,0))</f>
        <v>0</v>
      </c>
      <c r="G113" s="83">
        <f ca="1">IF(C113&gt;=1,F113*Reeksen!C113,0)</f>
        <v>0</v>
      </c>
      <c r="H113" s="84">
        <f t="shared" ca="1" si="14"/>
        <v>0</v>
      </c>
      <c r="I113" s="85">
        <f ca="1">IF('Invoer gegevens'!$C$17=E113,'Invoer gegevens'!$C$11,IF(C113=1,L112,0))</f>
        <v>0</v>
      </c>
      <c r="J113" s="86">
        <f ca="1">IF(C113&lt;1,0,IF(Reeksen!AK113&lt;=Reeksen!AE113,I113*Reeksen!C113,0))</f>
        <v>0</v>
      </c>
      <c r="K113" s="86">
        <f ca="1">IF(C113&lt;1,0,IF(Reeksen!AK113&gt;Reeksen!AE113,I113*Reeksen!C113,0))</f>
        <v>0</v>
      </c>
      <c r="L113" s="86">
        <f t="shared" ca="1" si="15"/>
        <v>0</v>
      </c>
      <c r="M113" s="85">
        <f ca="1">IF('Invoer gegevens'!$C$17=E113,'Invoer gegevens'!$C$10-'Invoer gegevens'!$C$11,IF(C113=1,P112,0))</f>
        <v>0</v>
      </c>
      <c r="N113" s="86">
        <f ca="1">IF(C113&lt;1,0,IF(Reeksen!AK113&lt;=Reeksen!AE113,M113*Reeksen!C113,0))</f>
        <v>0</v>
      </c>
      <c r="O113" s="86">
        <f ca="1">IF(C113&lt;1,0,IF(Reeksen!AK113&gt;Reeksen!AE113,M113*Reeksen!C113,0))</f>
        <v>0</v>
      </c>
      <c r="P113" s="86">
        <f t="shared" ca="1" si="16"/>
        <v>0</v>
      </c>
      <c r="Q113" s="82">
        <f ca="1">IF('Invoer gegevens'!$C$17=E113,I113,IF(C113=0,0,R112))</f>
        <v>0</v>
      </c>
      <c r="R113" s="84">
        <f t="shared" ca="1" si="11"/>
        <v>0</v>
      </c>
      <c r="S113" s="84">
        <f ca="1">IF('Invoer gegevens'!$C$17=E113,M113,IF(C113=0,0,T112))</f>
        <v>0</v>
      </c>
      <c r="T113" s="84">
        <f t="shared" ca="1" si="12"/>
        <v>0</v>
      </c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8"/>
      <c r="AI113" s="71">
        <f ca="1">IF(C113=1,((F113+H113)/2*Reeksen!AJ113*12)+(('Invoer gegevens'!$C$10-(F113+H113)/2)*Reeksen!AK113*12),0)</f>
        <v>0</v>
      </c>
      <c r="AJ113" s="71">
        <f ca="1">-AI113*'Invoer gegevens'!$F$28</f>
        <v>0</v>
      </c>
      <c r="AK113" s="71">
        <f t="shared" ca="1" si="13"/>
        <v>0</v>
      </c>
      <c r="AL113" s="71">
        <f ca="1">IF(C113=1,(12*((F113+H113)/2)*Reeksen!AL113)+(12*('Invoer gegevens'!$C$10-(F113+H113)/2)*Reeksen!AM113),0)</f>
        <v>0</v>
      </c>
      <c r="AM113" s="71">
        <f ca="1">-AL113*'Invoer gegevens'!$F$31</f>
        <v>0</v>
      </c>
      <c r="AN113" s="71">
        <f t="shared" ca="1" si="17"/>
        <v>0</v>
      </c>
      <c r="AO113" s="71"/>
      <c r="AP113" s="71"/>
      <c r="AQ113" s="71">
        <f ca="1">-IF(C113=1,('Invoer gegevens'!$C$10*'Invoer gegevens'!$I$33)*Reeksen!J113,0)*2</f>
        <v>0</v>
      </c>
      <c r="AR113" s="71">
        <f ca="1">-IF(C113=1,(G113*'Invoer gegevens'!$I$34)*Reeksen!J113,0)</f>
        <v>0</v>
      </c>
      <c r="AS113" s="71">
        <f ca="1">-IF(C113=1,'Invoer gegevens'!$C$10*'Invoer gegevens'!$I$35*Reeksen!L113,0)</f>
        <v>0</v>
      </c>
      <c r="AT113" s="71">
        <f ca="1">-IF(C113=1,IF(E113='Invoer gegevens'!$C$17,'Invoer gegevens'!$C$11,Q113)*Reeksen!S113*'Invoer gegevens'!$C$18*Reeksen!P113,0)</f>
        <v>0</v>
      </c>
      <c r="AU113" s="71">
        <f ca="1">-IF(C113=1,'Invoer gegevens'!$C$10*'Invoer gegevens'!$I$36*Reeksen!H113,0)</f>
        <v>0</v>
      </c>
      <c r="AV113" s="71">
        <f t="shared" si="21"/>
        <v>0</v>
      </c>
      <c r="AW113" s="71">
        <f t="shared" ca="1" si="18"/>
        <v>0</v>
      </c>
      <c r="AX113" s="71">
        <f ca="1">IF(E113&lt;'Invoer gegevens'!$C$17+15,0,IF(E113&gt;'Invoer gegevens'!$C$17+215,0,AW113))</f>
        <v>0</v>
      </c>
      <c r="AY113" s="71">
        <f ca="1">AX113/(1+'Invoer gegevens'!$F$13)^($AZ113-('Invoer gegevens'!$C$17-'Invoer gegevens'!$C$16))/(1+'Invoer gegevens'!$C$39)^('Invoer gegevens'!$C$17-'Invoer gegevens'!$C$16)</f>
        <v>0</v>
      </c>
      <c r="AZ113" s="68">
        <f ca="1">IF(E113-'Invoer gegevens'!$C$17-14.5&lt;0,0,E113-'Invoer gegevens'!$C$17-14.5)</f>
        <v>93.5</v>
      </c>
    </row>
    <row r="114" spans="2:52" x14ac:dyDescent="0.25">
      <c r="B114" s="70">
        <f t="shared" si="19"/>
        <v>110</v>
      </c>
      <c r="C114" s="67">
        <f ca="1">IF(E114-'Invoer gegevens'!$C$17&lt;0,0,1)</f>
        <v>1</v>
      </c>
      <c r="D114" s="68">
        <f t="shared" si="20"/>
        <v>109.5</v>
      </c>
      <c r="E114" s="69">
        <f ca="1">IF('Invoer gegevens'!$C$16="","",E113+1)</f>
        <v>2128</v>
      </c>
      <c r="F114" s="82">
        <f ca="1">IF('Invoer gegevens'!$C$17=E114,'Invoer gegevens'!$C$10,IF(C114=1,H113,0))</f>
        <v>0</v>
      </c>
      <c r="G114" s="83">
        <f ca="1">IF(C114&gt;=1,F114*Reeksen!C114,0)</f>
        <v>0</v>
      </c>
      <c r="H114" s="84">
        <f t="shared" ca="1" si="14"/>
        <v>0</v>
      </c>
      <c r="I114" s="85">
        <f ca="1">IF('Invoer gegevens'!$C$17=E114,'Invoer gegevens'!$C$11,IF(C114=1,L113,0))</f>
        <v>0</v>
      </c>
      <c r="J114" s="86">
        <f ca="1">IF(C114&lt;1,0,IF(Reeksen!AK114&lt;=Reeksen!AE114,I114*Reeksen!C114,0))</f>
        <v>0</v>
      </c>
      <c r="K114" s="86">
        <f ca="1">IF(C114&lt;1,0,IF(Reeksen!AK114&gt;Reeksen!AE114,I114*Reeksen!C114,0))</f>
        <v>0</v>
      </c>
      <c r="L114" s="86">
        <f t="shared" ca="1" si="15"/>
        <v>0</v>
      </c>
      <c r="M114" s="85">
        <f ca="1">IF('Invoer gegevens'!$C$17=E114,'Invoer gegevens'!$C$10-'Invoer gegevens'!$C$11,IF(C114=1,P113,0))</f>
        <v>0</v>
      </c>
      <c r="N114" s="86">
        <f ca="1">IF(C114&lt;1,0,IF(Reeksen!AK114&lt;=Reeksen!AE114,M114*Reeksen!C114,0))</f>
        <v>0</v>
      </c>
      <c r="O114" s="86">
        <f ca="1">IF(C114&lt;1,0,IF(Reeksen!AK114&gt;Reeksen!AE114,M114*Reeksen!C114,0))</f>
        <v>0</v>
      </c>
      <c r="P114" s="86">
        <f t="shared" ca="1" si="16"/>
        <v>0</v>
      </c>
      <c r="Q114" s="82">
        <f ca="1">IF('Invoer gegevens'!$C$17=E114,I114,IF(C114=0,0,R113))</f>
        <v>0</v>
      </c>
      <c r="R114" s="84">
        <f t="shared" ca="1" si="11"/>
        <v>0</v>
      </c>
      <c r="S114" s="84">
        <f ca="1">IF('Invoer gegevens'!$C$17=E114,M114,IF(C114=0,0,T113))</f>
        <v>0</v>
      </c>
      <c r="T114" s="84">
        <f t="shared" ca="1" si="12"/>
        <v>0</v>
      </c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8"/>
      <c r="AI114" s="71">
        <f ca="1">IF(C114=1,((F114+H114)/2*Reeksen!AJ114*12)+(('Invoer gegevens'!$C$10-(F114+H114)/2)*Reeksen!AK114*12),0)</f>
        <v>0</v>
      </c>
      <c r="AJ114" s="71">
        <f ca="1">-AI114*'Invoer gegevens'!$F$28</f>
        <v>0</v>
      </c>
      <c r="AK114" s="71">
        <f t="shared" ca="1" si="13"/>
        <v>0</v>
      </c>
      <c r="AL114" s="71">
        <f ca="1">IF(C114=1,(12*((F114+H114)/2)*Reeksen!AL114)+(12*('Invoer gegevens'!$C$10-(F114+H114)/2)*Reeksen!AM114),0)</f>
        <v>0</v>
      </c>
      <c r="AM114" s="71">
        <f ca="1">-AL114*'Invoer gegevens'!$F$31</f>
        <v>0</v>
      </c>
      <c r="AN114" s="71">
        <f t="shared" ca="1" si="17"/>
        <v>0</v>
      </c>
      <c r="AO114" s="71"/>
      <c r="AP114" s="71"/>
      <c r="AQ114" s="71">
        <f ca="1">-IF(C114=1,('Invoer gegevens'!$C$10*'Invoer gegevens'!$I$33)*Reeksen!J114,0)*2</f>
        <v>0</v>
      </c>
      <c r="AR114" s="71">
        <f ca="1">-IF(C114=1,(G114*'Invoer gegevens'!$I$34)*Reeksen!J114,0)</f>
        <v>0</v>
      </c>
      <c r="AS114" s="71">
        <f ca="1">-IF(C114=1,'Invoer gegevens'!$C$10*'Invoer gegevens'!$I$35*Reeksen!L114,0)</f>
        <v>0</v>
      </c>
      <c r="AT114" s="71">
        <f ca="1">-IF(C114=1,IF(E114='Invoer gegevens'!$C$17,'Invoer gegevens'!$C$11,Q114)*Reeksen!S114*'Invoer gegevens'!$C$18*Reeksen!P114,0)</f>
        <v>0</v>
      </c>
      <c r="AU114" s="71">
        <f ca="1">-IF(C114=1,'Invoer gegevens'!$C$10*'Invoer gegevens'!$I$36*Reeksen!H114,0)</f>
        <v>0</v>
      </c>
      <c r="AV114" s="71">
        <f t="shared" si="21"/>
        <v>0</v>
      </c>
      <c r="AW114" s="71">
        <f t="shared" ca="1" si="18"/>
        <v>0</v>
      </c>
      <c r="AX114" s="71">
        <f ca="1">IF(E114&lt;'Invoer gegevens'!$C$17+15,0,IF(E114&gt;'Invoer gegevens'!$C$17+215,0,AW114))</f>
        <v>0</v>
      </c>
      <c r="AY114" s="71">
        <f ca="1">AX114/(1+'Invoer gegevens'!$F$13)^($AZ114-('Invoer gegevens'!$C$17-'Invoer gegevens'!$C$16))/(1+'Invoer gegevens'!$C$39)^('Invoer gegevens'!$C$17-'Invoer gegevens'!$C$16)</f>
        <v>0</v>
      </c>
      <c r="AZ114" s="68">
        <f ca="1">IF(E114-'Invoer gegevens'!$C$17-14.5&lt;0,0,E114-'Invoer gegevens'!$C$17-14.5)</f>
        <v>94.5</v>
      </c>
    </row>
    <row r="115" spans="2:52" x14ac:dyDescent="0.25">
      <c r="B115" s="70">
        <f t="shared" si="19"/>
        <v>111</v>
      </c>
      <c r="C115" s="67">
        <f ca="1">IF(E115-'Invoer gegevens'!$C$17&lt;0,0,1)</f>
        <v>1</v>
      </c>
      <c r="D115" s="68">
        <f t="shared" si="20"/>
        <v>110.5</v>
      </c>
      <c r="E115" s="69">
        <f ca="1">IF('Invoer gegevens'!$C$16="","",E114+1)</f>
        <v>2129</v>
      </c>
      <c r="F115" s="82">
        <f ca="1">IF('Invoer gegevens'!$C$17=E115,'Invoer gegevens'!$C$10,IF(C115=1,H114,0))</f>
        <v>0</v>
      </c>
      <c r="G115" s="83">
        <f ca="1">IF(C115&gt;=1,F115*Reeksen!C115,0)</f>
        <v>0</v>
      </c>
      <c r="H115" s="84">
        <f t="shared" ca="1" si="14"/>
        <v>0</v>
      </c>
      <c r="I115" s="85">
        <f ca="1">IF('Invoer gegevens'!$C$17=E115,'Invoer gegevens'!$C$11,IF(C115=1,L114,0))</f>
        <v>0</v>
      </c>
      <c r="J115" s="86">
        <f ca="1">IF(C115&lt;1,0,IF(Reeksen!AK115&lt;=Reeksen!AE115,I115*Reeksen!C115,0))</f>
        <v>0</v>
      </c>
      <c r="K115" s="86">
        <f ca="1">IF(C115&lt;1,0,IF(Reeksen!AK115&gt;Reeksen!AE115,I115*Reeksen!C115,0))</f>
        <v>0</v>
      </c>
      <c r="L115" s="86">
        <f t="shared" ca="1" si="15"/>
        <v>0</v>
      </c>
      <c r="M115" s="85">
        <f ca="1">IF('Invoer gegevens'!$C$17=E115,'Invoer gegevens'!$C$10-'Invoer gegevens'!$C$11,IF(C115=1,P114,0))</f>
        <v>0</v>
      </c>
      <c r="N115" s="86">
        <f ca="1">IF(C115&lt;1,0,IF(Reeksen!AK115&lt;=Reeksen!AE115,M115*Reeksen!C115,0))</f>
        <v>0</v>
      </c>
      <c r="O115" s="86">
        <f ca="1">IF(C115&lt;1,0,IF(Reeksen!AK115&gt;Reeksen!AE115,M115*Reeksen!C115,0))</f>
        <v>0</v>
      </c>
      <c r="P115" s="86">
        <f t="shared" ca="1" si="16"/>
        <v>0</v>
      </c>
      <c r="Q115" s="82">
        <f ca="1">IF('Invoer gegevens'!$C$17=E115,I115,IF(C115=0,0,R114))</f>
        <v>0</v>
      </c>
      <c r="R115" s="84">
        <f t="shared" ca="1" si="11"/>
        <v>0</v>
      </c>
      <c r="S115" s="84">
        <f ca="1">IF('Invoer gegevens'!$C$17=E115,M115,IF(C115=0,0,T114))</f>
        <v>0</v>
      </c>
      <c r="T115" s="84">
        <f t="shared" ca="1" si="12"/>
        <v>0</v>
      </c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8"/>
      <c r="AI115" s="71">
        <f ca="1">IF(C115=1,((F115+H115)/2*Reeksen!AJ115*12)+(('Invoer gegevens'!$C$10-(F115+H115)/2)*Reeksen!AK115*12),0)</f>
        <v>0</v>
      </c>
      <c r="AJ115" s="71">
        <f ca="1">-AI115*'Invoer gegevens'!$F$28</f>
        <v>0</v>
      </c>
      <c r="AK115" s="71">
        <f t="shared" ca="1" si="13"/>
        <v>0</v>
      </c>
      <c r="AL115" s="71">
        <f ca="1">IF(C115=1,(12*((F115+H115)/2)*Reeksen!AL115)+(12*('Invoer gegevens'!$C$10-(F115+H115)/2)*Reeksen!AM115),0)</f>
        <v>0</v>
      </c>
      <c r="AM115" s="71">
        <f ca="1">-AL115*'Invoer gegevens'!$F$31</f>
        <v>0</v>
      </c>
      <c r="AN115" s="71">
        <f t="shared" ca="1" si="17"/>
        <v>0</v>
      </c>
      <c r="AO115" s="71"/>
      <c r="AP115" s="71"/>
      <c r="AQ115" s="71">
        <f ca="1">-IF(C115=1,('Invoer gegevens'!$C$10*'Invoer gegevens'!$I$33)*Reeksen!J115,0)*2</f>
        <v>0</v>
      </c>
      <c r="AR115" s="71">
        <f ca="1">-IF(C115=1,(G115*'Invoer gegevens'!$I$34)*Reeksen!J115,0)</f>
        <v>0</v>
      </c>
      <c r="AS115" s="71">
        <f ca="1">-IF(C115=1,'Invoer gegevens'!$C$10*'Invoer gegevens'!$I$35*Reeksen!L115,0)</f>
        <v>0</v>
      </c>
      <c r="AT115" s="71">
        <f ca="1">-IF(C115=1,IF(E115='Invoer gegevens'!$C$17,'Invoer gegevens'!$C$11,Q115)*Reeksen!S115*'Invoer gegevens'!$C$18*Reeksen!P115,0)</f>
        <v>0</v>
      </c>
      <c r="AU115" s="71">
        <f ca="1">-IF(C115=1,'Invoer gegevens'!$C$10*'Invoer gegevens'!$I$36*Reeksen!H115,0)</f>
        <v>0</v>
      </c>
      <c r="AV115" s="71">
        <f t="shared" si="21"/>
        <v>0</v>
      </c>
      <c r="AW115" s="71">
        <f t="shared" ca="1" si="18"/>
        <v>0</v>
      </c>
      <c r="AX115" s="71">
        <f ca="1">IF(E115&lt;'Invoer gegevens'!$C$17+15,0,IF(E115&gt;'Invoer gegevens'!$C$17+215,0,AW115))</f>
        <v>0</v>
      </c>
      <c r="AY115" s="71">
        <f ca="1">AX115/(1+'Invoer gegevens'!$F$13)^($AZ115-('Invoer gegevens'!$C$17-'Invoer gegevens'!$C$16))/(1+'Invoer gegevens'!$C$39)^('Invoer gegevens'!$C$17-'Invoer gegevens'!$C$16)</f>
        <v>0</v>
      </c>
      <c r="AZ115" s="68">
        <f ca="1">IF(E115-'Invoer gegevens'!$C$17-14.5&lt;0,0,E115-'Invoer gegevens'!$C$17-14.5)</f>
        <v>95.5</v>
      </c>
    </row>
    <row r="116" spans="2:52" x14ac:dyDescent="0.25">
      <c r="B116" s="70">
        <f t="shared" si="19"/>
        <v>112</v>
      </c>
      <c r="C116" s="67">
        <f ca="1">IF(E116-'Invoer gegevens'!$C$17&lt;0,0,1)</f>
        <v>1</v>
      </c>
      <c r="D116" s="68">
        <f t="shared" si="20"/>
        <v>111.5</v>
      </c>
      <c r="E116" s="69">
        <f ca="1">IF('Invoer gegevens'!$C$16="","",E115+1)</f>
        <v>2130</v>
      </c>
      <c r="F116" s="82">
        <f ca="1">IF('Invoer gegevens'!$C$17=E116,'Invoer gegevens'!$C$10,IF(C116=1,H115,0))</f>
        <v>0</v>
      </c>
      <c r="G116" s="83">
        <f ca="1">IF(C116&gt;=1,F116*Reeksen!C116,0)</f>
        <v>0</v>
      </c>
      <c r="H116" s="84">
        <f t="shared" ca="1" si="14"/>
        <v>0</v>
      </c>
      <c r="I116" s="85">
        <f ca="1">IF('Invoer gegevens'!$C$17=E116,'Invoer gegevens'!$C$11,IF(C116=1,L115,0))</f>
        <v>0</v>
      </c>
      <c r="J116" s="86">
        <f ca="1">IF(C116&lt;1,0,IF(Reeksen!AK116&lt;=Reeksen!AE116,I116*Reeksen!C116,0))</f>
        <v>0</v>
      </c>
      <c r="K116" s="86">
        <f ca="1">IF(C116&lt;1,0,IF(Reeksen!AK116&gt;Reeksen!AE116,I116*Reeksen!C116,0))</f>
        <v>0</v>
      </c>
      <c r="L116" s="86">
        <f t="shared" ca="1" si="15"/>
        <v>0</v>
      </c>
      <c r="M116" s="85">
        <f ca="1">IF('Invoer gegevens'!$C$17=E116,'Invoer gegevens'!$C$10-'Invoer gegevens'!$C$11,IF(C116=1,P115,0))</f>
        <v>0</v>
      </c>
      <c r="N116" s="86">
        <f ca="1">IF(C116&lt;1,0,IF(Reeksen!AK116&lt;=Reeksen!AE116,M116*Reeksen!C116,0))</f>
        <v>0</v>
      </c>
      <c r="O116" s="86">
        <f ca="1">IF(C116&lt;1,0,IF(Reeksen!AK116&gt;Reeksen!AE116,M116*Reeksen!C116,0))</f>
        <v>0</v>
      </c>
      <c r="P116" s="86">
        <f t="shared" ca="1" si="16"/>
        <v>0</v>
      </c>
      <c r="Q116" s="82">
        <f ca="1">IF('Invoer gegevens'!$C$17=E116,I116,IF(C116=0,0,R115))</f>
        <v>0</v>
      </c>
      <c r="R116" s="84">
        <f t="shared" ca="1" si="11"/>
        <v>0</v>
      </c>
      <c r="S116" s="84">
        <f ca="1">IF('Invoer gegevens'!$C$17=E116,M116,IF(C116=0,0,T115))</f>
        <v>0</v>
      </c>
      <c r="T116" s="84">
        <f t="shared" ca="1" si="12"/>
        <v>0</v>
      </c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8"/>
      <c r="AI116" s="71">
        <f ca="1">IF(C116=1,((F116+H116)/2*Reeksen!AJ116*12)+(('Invoer gegevens'!$C$10-(F116+H116)/2)*Reeksen!AK116*12),0)</f>
        <v>0</v>
      </c>
      <c r="AJ116" s="71">
        <f ca="1">-AI116*'Invoer gegevens'!$F$28</f>
        <v>0</v>
      </c>
      <c r="AK116" s="71">
        <f t="shared" ca="1" si="13"/>
        <v>0</v>
      </c>
      <c r="AL116" s="71">
        <f ca="1">IF(C116=1,(12*((F116+H116)/2)*Reeksen!AL116)+(12*('Invoer gegevens'!$C$10-(F116+H116)/2)*Reeksen!AM116),0)</f>
        <v>0</v>
      </c>
      <c r="AM116" s="71">
        <f ca="1">-AL116*'Invoer gegevens'!$F$31</f>
        <v>0</v>
      </c>
      <c r="AN116" s="71">
        <f t="shared" ca="1" si="17"/>
        <v>0</v>
      </c>
      <c r="AO116" s="71"/>
      <c r="AP116" s="71"/>
      <c r="AQ116" s="71">
        <f ca="1">-IF(C116=1,('Invoer gegevens'!$C$10*'Invoer gegevens'!$I$33)*Reeksen!J116,0)*2</f>
        <v>0</v>
      </c>
      <c r="AR116" s="71">
        <f ca="1">-IF(C116=1,(G116*'Invoer gegevens'!$I$34)*Reeksen!J116,0)</f>
        <v>0</v>
      </c>
      <c r="AS116" s="71">
        <f ca="1">-IF(C116=1,'Invoer gegevens'!$C$10*'Invoer gegevens'!$I$35*Reeksen!L116,0)</f>
        <v>0</v>
      </c>
      <c r="AT116" s="71">
        <f ca="1">-IF(C116=1,IF(E116='Invoer gegevens'!$C$17,'Invoer gegevens'!$C$11,Q116)*Reeksen!S116*'Invoer gegevens'!$C$18*Reeksen!P116,0)</f>
        <v>0</v>
      </c>
      <c r="AU116" s="71">
        <f ca="1">-IF(C116=1,'Invoer gegevens'!$C$10*'Invoer gegevens'!$I$36*Reeksen!H116,0)</f>
        <v>0</v>
      </c>
      <c r="AV116" s="71">
        <f t="shared" si="21"/>
        <v>0</v>
      </c>
      <c r="AW116" s="71">
        <f t="shared" ca="1" si="18"/>
        <v>0</v>
      </c>
      <c r="AX116" s="71">
        <f ca="1">IF(E116&lt;'Invoer gegevens'!$C$17+15,0,IF(E116&gt;'Invoer gegevens'!$C$17+215,0,AW116))</f>
        <v>0</v>
      </c>
      <c r="AY116" s="71">
        <f ca="1">AX116/(1+'Invoer gegevens'!$F$13)^($AZ116-('Invoer gegevens'!$C$17-'Invoer gegevens'!$C$16))/(1+'Invoer gegevens'!$C$39)^('Invoer gegevens'!$C$17-'Invoer gegevens'!$C$16)</f>
        <v>0</v>
      </c>
      <c r="AZ116" s="68">
        <f ca="1">IF(E116-'Invoer gegevens'!$C$17-14.5&lt;0,0,E116-'Invoer gegevens'!$C$17-14.5)</f>
        <v>96.5</v>
      </c>
    </row>
    <row r="117" spans="2:52" x14ac:dyDescent="0.25">
      <c r="B117" s="70">
        <f t="shared" si="19"/>
        <v>113</v>
      </c>
      <c r="C117" s="67">
        <f ca="1">IF(E117-'Invoer gegevens'!$C$17&lt;0,0,1)</f>
        <v>1</v>
      </c>
      <c r="D117" s="68">
        <f t="shared" si="20"/>
        <v>112.5</v>
      </c>
      <c r="E117" s="69">
        <f ca="1">IF('Invoer gegevens'!$C$16="","",E116+1)</f>
        <v>2131</v>
      </c>
      <c r="F117" s="82">
        <f ca="1">IF('Invoer gegevens'!$C$17=E117,'Invoer gegevens'!$C$10,IF(C117=1,H116,0))</f>
        <v>0</v>
      </c>
      <c r="G117" s="83">
        <f ca="1">IF(C117&gt;=1,F117*Reeksen!C117,0)</f>
        <v>0</v>
      </c>
      <c r="H117" s="84">
        <f t="shared" ca="1" si="14"/>
        <v>0</v>
      </c>
      <c r="I117" s="85">
        <f ca="1">IF('Invoer gegevens'!$C$17=E117,'Invoer gegevens'!$C$11,IF(C117=1,L116,0))</f>
        <v>0</v>
      </c>
      <c r="J117" s="86">
        <f ca="1">IF(C117&lt;1,0,IF(Reeksen!AK117&lt;=Reeksen!AE117,I117*Reeksen!C117,0))</f>
        <v>0</v>
      </c>
      <c r="K117" s="86">
        <f ca="1">IF(C117&lt;1,0,IF(Reeksen!AK117&gt;Reeksen!AE117,I117*Reeksen!C117,0))</f>
        <v>0</v>
      </c>
      <c r="L117" s="86">
        <f t="shared" ca="1" si="15"/>
        <v>0</v>
      </c>
      <c r="M117" s="85">
        <f ca="1">IF('Invoer gegevens'!$C$17=E117,'Invoer gegevens'!$C$10-'Invoer gegevens'!$C$11,IF(C117=1,P116,0))</f>
        <v>0</v>
      </c>
      <c r="N117" s="86">
        <f ca="1">IF(C117&lt;1,0,IF(Reeksen!AK117&lt;=Reeksen!AE117,M117*Reeksen!C117,0))</f>
        <v>0</v>
      </c>
      <c r="O117" s="86">
        <f ca="1">IF(C117&lt;1,0,IF(Reeksen!AK117&gt;Reeksen!AE117,M117*Reeksen!C117,0))</f>
        <v>0</v>
      </c>
      <c r="P117" s="86">
        <f t="shared" ca="1" si="16"/>
        <v>0</v>
      </c>
      <c r="Q117" s="82">
        <f ca="1">IF('Invoer gegevens'!$C$17=E117,I117,IF(C117=0,0,R116))</f>
        <v>0</v>
      </c>
      <c r="R117" s="84">
        <f t="shared" ca="1" si="11"/>
        <v>0</v>
      </c>
      <c r="S117" s="84">
        <f ca="1">IF('Invoer gegevens'!$C$17=E117,M117,IF(C117=0,0,T116))</f>
        <v>0</v>
      </c>
      <c r="T117" s="84">
        <f t="shared" ca="1" si="12"/>
        <v>0</v>
      </c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8"/>
      <c r="AI117" s="71">
        <f ca="1">IF(C117=1,((F117+H117)/2*Reeksen!AJ117*12)+(('Invoer gegevens'!$C$10-(F117+H117)/2)*Reeksen!AK117*12),0)</f>
        <v>0</v>
      </c>
      <c r="AJ117" s="71">
        <f ca="1">-AI117*'Invoer gegevens'!$F$28</f>
        <v>0</v>
      </c>
      <c r="AK117" s="71">
        <f t="shared" ca="1" si="13"/>
        <v>0</v>
      </c>
      <c r="AL117" s="71">
        <f ca="1">IF(C117=1,(12*((F117+H117)/2)*Reeksen!AL117)+(12*('Invoer gegevens'!$C$10-(F117+H117)/2)*Reeksen!AM117),0)</f>
        <v>0</v>
      </c>
      <c r="AM117" s="71">
        <f ca="1">-AL117*'Invoer gegevens'!$F$31</f>
        <v>0</v>
      </c>
      <c r="AN117" s="71">
        <f t="shared" ca="1" si="17"/>
        <v>0</v>
      </c>
      <c r="AO117" s="71"/>
      <c r="AP117" s="71"/>
      <c r="AQ117" s="71">
        <f ca="1">-IF(C117=1,('Invoer gegevens'!$C$10*'Invoer gegevens'!$I$33)*Reeksen!J117,0)*2</f>
        <v>0</v>
      </c>
      <c r="AR117" s="71">
        <f ca="1">-IF(C117=1,(G117*'Invoer gegevens'!$I$34)*Reeksen!J117,0)</f>
        <v>0</v>
      </c>
      <c r="AS117" s="71">
        <f ca="1">-IF(C117=1,'Invoer gegevens'!$C$10*'Invoer gegevens'!$I$35*Reeksen!L117,0)</f>
        <v>0</v>
      </c>
      <c r="AT117" s="71">
        <f ca="1">-IF(C117=1,IF(E117='Invoer gegevens'!$C$17,'Invoer gegevens'!$C$11,Q117)*Reeksen!S117*'Invoer gegevens'!$C$18*Reeksen!P117,0)</f>
        <v>0</v>
      </c>
      <c r="AU117" s="71">
        <f ca="1">-IF(C117=1,'Invoer gegevens'!$C$10*'Invoer gegevens'!$I$36*Reeksen!H117,0)</f>
        <v>0</v>
      </c>
      <c r="AV117" s="71">
        <f t="shared" si="21"/>
        <v>0</v>
      </c>
      <c r="AW117" s="71">
        <f t="shared" ca="1" si="18"/>
        <v>0</v>
      </c>
      <c r="AX117" s="71">
        <f ca="1">IF(E117&lt;'Invoer gegevens'!$C$17+15,0,IF(E117&gt;'Invoer gegevens'!$C$17+215,0,AW117))</f>
        <v>0</v>
      </c>
      <c r="AY117" s="71">
        <f ca="1">AX117/(1+'Invoer gegevens'!$F$13)^($AZ117-('Invoer gegevens'!$C$17-'Invoer gegevens'!$C$16))/(1+'Invoer gegevens'!$C$39)^('Invoer gegevens'!$C$17-'Invoer gegevens'!$C$16)</f>
        <v>0</v>
      </c>
      <c r="AZ117" s="68">
        <f ca="1">IF(E117-'Invoer gegevens'!$C$17-14.5&lt;0,0,E117-'Invoer gegevens'!$C$17-14.5)</f>
        <v>97.5</v>
      </c>
    </row>
    <row r="118" spans="2:52" x14ac:dyDescent="0.25">
      <c r="B118" s="70">
        <f t="shared" si="19"/>
        <v>114</v>
      </c>
      <c r="C118" s="67">
        <f ca="1">IF(E118-'Invoer gegevens'!$C$17&lt;0,0,1)</f>
        <v>1</v>
      </c>
      <c r="D118" s="68">
        <f t="shared" si="20"/>
        <v>113.5</v>
      </c>
      <c r="E118" s="69">
        <f ca="1">IF('Invoer gegevens'!$C$16="","",E117+1)</f>
        <v>2132</v>
      </c>
      <c r="F118" s="82">
        <f ca="1">IF('Invoer gegevens'!$C$17=E118,'Invoer gegevens'!$C$10,IF(C118=1,H117,0))</f>
        <v>0</v>
      </c>
      <c r="G118" s="83">
        <f ca="1">IF(C118&gt;=1,F118*Reeksen!C118,0)</f>
        <v>0</v>
      </c>
      <c r="H118" s="84">
        <f t="shared" ca="1" si="14"/>
        <v>0</v>
      </c>
      <c r="I118" s="85">
        <f ca="1">IF('Invoer gegevens'!$C$17=E118,'Invoer gegevens'!$C$11,IF(C118=1,L117,0))</f>
        <v>0</v>
      </c>
      <c r="J118" s="86">
        <f ca="1">IF(C118&lt;1,0,IF(Reeksen!AK118&lt;=Reeksen!AE118,I118*Reeksen!C118,0))</f>
        <v>0</v>
      </c>
      <c r="K118" s="86">
        <f ca="1">IF(C118&lt;1,0,IF(Reeksen!AK118&gt;Reeksen!AE118,I118*Reeksen!C118,0))</f>
        <v>0</v>
      </c>
      <c r="L118" s="86">
        <f t="shared" ca="1" si="15"/>
        <v>0</v>
      </c>
      <c r="M118" s="85">
        <f ca="1">IF('Invoer gegevens'!$C$17=E118,'Invoer gegevens'!$C$10-'Invoer gegevens'!$C$11,IF(C118=1,P117,0))</f>
        <v>0</v>
      </c>
      <c r="N118" s="86">
        <f ca="1">IF(C118&lt;1,0,IF(Reeksen!AK118&lt;=Reeksen!AE118,M118*Reeksen!C118,0))</f>
        <v>0</v>
      </c>
      <c r="O118" s="86">
        <f ca="1">IF(C118&lt;1,0,IF(Reeksen!AK118&gt;Reeksen!AE118,M118*Reeksen!C118,0))</f>
        <v>0</v>
      </c>
      <c r="P118" s="86">
        <f t="shared" ca="1" si="16"/>
        <v>0</v>
      </c>
      <c r="Q118" s="82">
        <f ca="1">IF('Invoer gegevens'!$C$17=E118,I118,IF(C118=0,0,R117))</f>
        <v>0</v>
      </c>
      <c r="R118" s="84">
        <f t="shared" ca="1" si="11"/>
        <v>0</v>
      </c>
      <c r="S118" s="84">
        <f ca="1">IF('Invoer gegevens'!$C$17=E118,M118,IF(C118=0,0,T117))</f>
        <v>0</v>
      </c>
      <c r="T118" s="84">
        <f t="shared" ca="1" si="12"/>
        <v>0</v>
      </c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8"/>
      <c r="AI118" s="71">
        <f ca="1">IF(C118=1,((F118+H118)/2*Reeksen!AJ118*12)+(('Invoer gegevens'!$C$10-(F118+H118)/2)*Reeksen!AK118*12),0)</f>
        <v>0</v>
      </c>
      <c r="AJ118" s="71">
        <f ca="1">-AI118*'Invoer gegevens'!$F$28</f>
        <v>0</v>
      </c>
      <c r="AK118" s="71">
        <f t="shared" ca="1" si="13"/>
        <v>0</v>
      </c>
      <c r="AL118" s="71">
        <f ca="1">IF(C118=1,(12*((F118+H118)/2)*Reeksen!AL118)+(12*('Invoer gegevens'!$C$10-(F118+H118)/2)*Reeksen!AM118),0)</f>
        <v>0</v>
      </c>
      <c r="AM118" s="71">
        <f ca="1">-AL118*'Invoer gegevens'!$F$31</f>
        <v>0</v>
      </c>
      <c r="AN118" s="71">
        <f t="shared" ca="1" si="17"/>
        <v>0</v>
      </c>
      <c r="AO118" s="71"/>
      <c r="AP118" s="71"/>
      <c r="AQ118" s="71">
        <f ca="1">-IF(C118=1,('Invoer gegevens'!$C$10*'Invoer gegevens'!$I$33)*Reeksen!J118,0)*2</f>
        <v>0</v>
      </c>
      <c r="AR118" s="71">
        <f ca="1">-IF(C118=1,(G118*'Invoer gegevens'!$I$34)*Reeksen!J118,0)</f>
        <v>0</v>
      </c>
      <c r="AS118" s="71">
        <f ca="1">-IF(C118=1,'Invoer gegevens'!$C$10*'Invoer gegevens'!$I$35*Reeksen!L118,0)</f>
        <v>0</v>
      </c>
      <c r="AT118" s="71">
        <f ca="1">-IF(C118=1,IF(E118='Invoer gegevens'!$C$17,'Invoer gegevens'!$C$11,Q118)*Reeksen!S118*'Invoer gegevens'!$C$18*Reeksen!P118,0)</f>
        <v>0</v>
      </c>
      <c r="AU118" s="71">
        <f ca="1">-IF(C118=1,'Invoer gegevens'!$C$10*'Invoer gegevens'!$I$36*Reeksen!H118,0)</f>
        <v>0</v>
      </c>
      <c r="AV118" s="71">
        <f t="shared" si="21"/>
        <v>0</v>
      </c>
      <c r="AW118" s="71">
        <f t="shared" ca="1" si="18"/>
        <v>0</v>
      </c>
      <c r="AX118" s="71">
        <f ca="1">IF(E118&lt;'Invoer gegevens'!$C$17+15,0,IF(E118&gt;'Invoer gegevens'!$C$17+215,0,AW118))</f>
        <v>0</v>
      </c>
      <c r="AY118" s="71">
        <f ca="1">AX118/(1+'Invoer gegevens'!$F$13)^($AZ118-('Invoer gegevens'!$C$17-'Invoer gegevens'!$C$16))/(1+'Invoer gegevens'!$C$39)^('Invoer gegevens'!$C$17-'Invoer gegevens'!$C$16)</f>
        <v>0</v>
      </c>
      <c r="AZ118" s="68">
        <f ca="1">IF(E118-'Invoer gegevens'!$C$17-14.5&lt;0,0,E118-'Invoer gegevens'!$C$17-14.5)</f>
        <v>98.5</v>
      </c>
    </row>
    <row r="119" spans="2:52" x14ac:dyDescent="0.25">
      <c r="B119" s="70">
        <f t="shared" si="19"/>
        <v>115</v>
      </c>
      <c r="C119" s="67">
        <f ca="1">IF(E119-'Invoer gegevens'!$C$17&lt;0,0,1)</f>
        <v>1</v>
      </c>
      <c r="D119" s="68">
        <f t="shared" si="20"/>
        <v>114.5</v>
      </c>
      <c r="E119" s="69">
        <f ca="1">IF('Invoer gegevens'!$C$16="","",E118+1)</f>
        <v>2133</v>
      </c>
      <c r="F119" s="82">
        <f ca="1">IF('Invoer gegevens'!$C$17=E119,'Invoer gegevens'!$C$10,IF(C119=1,H118,0))</f>
        <v>0</v>
      </c>
      <c r="G119" s="83">
        <f ca="1">IF(C119&gt;=1,F119*Reeksen!C119,0)</f>
        <v>0</v>
      </c>
      <c r="H119" s="84">
        <f t="shared" ca="1" si="14"/>
        <v>0</v>
      </c>
      <c r="I119" s="85">
        <f ca="1">IF('Invoer gegevens'!$C$17=E119,'Invoer gegevens'!$C$11,IF(C119=1,L118,0))</f>
        <v>0</v>
      </c>
      <c r="J119" s="86">
        <f ca="1">IF(C119&lt;1,0,IF(Reeksen!AK119&lt;=Reeksen!AE119,I119*Reeksen!C119,0))</f>
        <v>0</v>
      </c>
      <c r="K119" s="86">
        <f ca="1">IF(C119&lt;1,0,IF(Reeksen!AK119&gt;Reeksen!AE119,I119*Reeksen!C119,0))</f>
        <v>0</v>
      </c>
      <c r="L119" s="86">
        <f t="shared" ca="1" si="15"/>
        <v>0</v>
      </c>
      <c r="M119" s="85">
        <f ca="1">IF('Invoer gegevens'!$C$17=E119,'Invoer gegevens'!$C$10-'Invoer gegevens'!$C$11,IF(C119=1,P118,0))</f>
        <v>0</v>
      </c>
      <c r="N119" s="86">
        <f ca="1">IF(C119&lt;1,0,IF(Reeksen!AK119&lt;=Reeksen!AE119,M119*Reeksen!C119,0))</f>
        <v>0</v>
      </c>
      <c r="O119" s="86">
        <f ca="1">IF(C119&lt;1,0,IF(Reeksen!AK119&gt;Reeksen!AE119,M119*Reeksen!C119,0))</f>
        <v>0</v>
      </c>
      <c r="P119" s="86">
        <f t="shared" ca="1" si="16"/>
        <v>0</v>
      </c>
      <c r="Q119" s="82">
        <f ca="1">IF('Invoer gegevens'!$C$17=E119,I119,IF(C119=0,0,R118))</f>
        <v>0</v>
      </c>
      <c r="R119" s="84">
        <f t="shared" ca="1" si="11"/>
        <v>0</v>
      </c>
      <c r="S119" s="84">
        <f ca="1">IF('Invoer gegevens'!$C$17=E119,M119,IF(C119=0,0,T118))</f>
        <v>0</v>
      </c>
      <c r="T119" s="84">
        <f t="shared" ca="1" si="12"/>
        <v>0</v>
      </c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8"/>
      <c r="AI119" s="71">
        <f ca="1">IF(C119=1,((F119+H119)/2*Reeksen!AJ119*12)+(('Invoer gegevens'!$C$10-(F119+H119)/2)*Reeksen!AK119*12),0)</f>
        <v>0</v>
      </c>
      <c r="AJ119" s="71">
        <f ca="1">-AI119*'Invoer gegevens'!$F$28</f>
        <v>0</v>
      </c>
      <c r="AK119" s="71">
        <f t="shared" ca="1" si="13"/>
        <v>0</v>
      </c>
      <c r="AL119" s="71">
        <f ca="1">IF(C119=1,(12*((F119+H119)/2)*Reeksen!AL119)+(12*('Invoer gegevens'!$C$10-(F119+H119)/2)*Reeksen!AM119),0)</f>
        <v>0</v>
      </c>
      <c r="AM119" s="71">
        <f ca="1">-AL119*'Invoer gegevens'!$F$31</f>
        <v>0</v>
      </c>
      <c r="AN119" s="71">
        <f t="shared" ca="1" si="17"/>
        <v>0</v>
      </c>
      <c r="AO119" s="71"/>
      <c r="AP119" s="71"/>
      <c r="AQ119" s="71">
        <f ca="1">-IF(C119=1,('Invoer gegevens'!$C$10*'Invoer gegevens'!$I$33)*Reeksen!J119,0)*2</f>
        <v>0</v>
      </c>
      <c r="AR119" s="71">
        <f ca="1">-IF(C119=1,(G119*'Invoer gegevens'!$I$34)*Reeksen!J119,0)</f>
        <v>0</v>
      </c>
      <c r="AS119" s="71">
        <f ca="1">-IF(C119=1,'Invoer gegevens'!$C$10*'Invoer gegevens'!$I$35*Reeksen!L119,0)</f>
        <v>0</v>
      </c>
      <c r="AT119" s="71">
        <f ca="1">-IF(C119=1,IF(E119='Invoer gegevens'!$C$17,'Invoer gegevens'!$C$11,Q119)*Reeksen!S119*'Invoer gegevens'!$C$18*Reeksen!P119,0)</f>
        <v>0</v>
      </c>
      <c r="AU119" s="71">
        <f ca="1">-IF(C119=1,'Invoer gegevens'!$C$10*'Invoer gegevens'!$I$36*Reeksen!H119,0)</f>
        <v>0</v>
      </c>
      <c r="AV119" s="71">
        <f t="shared" si="21"/>
        <v>0</v>
      </c>
      <c r="AW119" s="71">
        <f t="shared" ca="1" si="18"/>
        <v>0</v>
      </c>
      <c r="AX119" s="71">
        <f ca="1">IF(E119&lt;'Invoer gegevens'!$C$17+15,0,IF(E119&gt;'Invoer gegevens'!$C$17+215,0,AW119))</f>
        <v>0</v>
      </c>
      <c r="AY119" s="71">
        <f ca="1">AX119/(1+'Invoer gegevens'!$F$13)^($AZ119-('Invoer gegevens'!$C$17-'Invoer gegevens'!$C$16))/(1+'Invoer gegevens'!$C$39)^('Invoer gegevens'!$C$17-'Invoer gegevens'!$C$16)</f>
        <v>0</v>
      </c>
      <c r="AZ119" s="68">
        <f ca="1">IF(E119-'Invoer gegevens'!$C$17-14.5&lt;0,0,E119-'Invoer gegevens'!$C$17-14.5)</f>
        <v>99.5</v>
      </c>
    </row>
    <row r="120" spans="2:52" x14ac:dyDescent="0.25">
      <c r="B120" s="70">
        <f t="shared" si="19"/>
        <v>116</v>
      </c>
      <c r="C120" s="67">
        <f ca="1">IF(E120-'Invoer gegevens'!$C$17&lt;0,0,1)</f>
        <v>1</v>
      </c>
      <c r="D120" s="68">
        <f t="shared" si="20"/>
        <v>115.5</v>
      </c>
      <c r="E120" s="69">
        <f ca="1">IF('Invoer gegevens'!$C$16="","",E119+1)</f>
        <v>2134</v>
      </c>
      <c r="F120" s="82">
        <f ca="1">IF('Invoer gegevens'!$C$17=E120,'Invoer gegevens'!$C$10,IF(C120=1,H119,0))</f>
        <v>0</v>
      </c>
      <c r="G120" s="83">
        <f ca="1">IF(C120&gt;=1,F120*Reeksen!C120,0)</f>
        <v>0</v>
      </c>
      <c r="H120" s="84">
        <f t="shared" ca="1" si="14"/>
        <v>0</v>
      </c>
      <c r="I120" s="85">
        <f ca="1">IF('Invoer gegevens'!$C$17=E120,'Invoer gegevens'!$C$11,IF(C120=1,L119,0))</f>
        <v>0</v>
      </c>
      <c r="J120" s="86">
        <f ca="1">IF(C120&lt;1,0,IF(Reeksen!AK120&lt;=Reeksen!AE120,I120*Reeksen!C120,0))</f>
        <v>0</v>
      </c>
      <c r="K120" s="86">
        <f ca="1">IF(C120&lt;1,0,IF(Reeksen!AK120&gt;Reeksen!AE120,I120*Reeksen!C120,0))</f>
        <v>0</v>
      </c>
      <c r="L120" s="86">
        <f t="shared" ca="1" si="15"/>
        <v>0</v>
      </c>
      <c r="M120" s="85">
        <f ca="1">IF('Invoer gegevens'!$C$17=E120,'Invoer gegevens'!$C$10-'Invoer gegevens'!$C$11,IF(C120=1,P119,0))</f>
        <v>0</v>
      </c>
      <c r="N120" s="86">
        <f ca="1">IF(C120&lt;1,0,IF(Reeksen!AK120&lt;=Reeksen!AE120,M120*Reeksen!C120,0))</f>
        <v>0</v>
      </c>
      <c r="O120" s="86">
        <f ca="1">IF(C120&lt;1,0,IF(Reeksen!AK120&gt;Reeksen!AE120,M120*Reeksen!C120,0))</f>
        <v>0</v>
      </c>
      <c r="P120" s="86">
        <f t="shared" ca="1" si="16"/>
        <v>0</v>
      </c>
      <c r="Q120" s="82">
        <f ca="1">IF('Invoer gegevens'!$C$17=E120,I120,IF(C120=0,0,R119))</f>
        <v>0</v>
      </c>
      <c r="R120" s="84">
        <f t="shared" ca="1" si="11"/>
        <v>0</v>
      </c>
      <c r="S120" s="84">
        <f ca="1">IF('Invoer gegevens'!$C$17=E120,M120,IF(C120=0,0,T119))</f>
        <v>0</v>
      </c>
      <c r="T120" s="84">
        <f t="shared" ca="1" si="12"/>
        <v>0</v>
      </c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8"/>
      <c r="AI120" s="71">
        <f ca="1">IF(C120=1,((F120+H120)/2*Reeksen!AJ120*12)+(('Invoer gegevens'!$C$10-(F120+H120)/2)*Reeksen!AK120*12),0)</f>
        <v>0</v>
      </c>
      <c r="AJ120" s="71">
        <f ca="1">-AI120*'Invoer gegevens'!$F$28</f>
        <v>0</v>
      </c>
      <c r="AK120" s="71">
        <f t="shared" ca="1" si="13"/>
        <v>0</v>
      </c>
      <c r="AL120" s="71">
        <f ca="1">IF(C120=1,(12*((F120+H120)/2)*Reeksen!AL120)+(12*('Invoer gegevens'!$C$10-(F120+H120)/2)*Reeksen!AM120),0)</f>
        <v>0</v>
      </c>
      <c r="AM120" s="71">
        <f ca="1">-AL120*'Invoer gegevens'!$F$31</f>
        <v>0</v>
      </c>
      <c r="AN120" s="71">
        <f t="shared" ca="1" si="17"/>
        <v>0</v>
      </c>
      <c r="AO120" s="71"/>
      <c r="AP120" s="71"/>
      <c r="AQ120" s="71">
        <f ca="1">-IF(C120=1,('Invoer gegevens'!$C$10*'Invoer gegevens'!$I$33)*Reeksen!J120,0)*2</f>
        <v>0</v>
      </c>
      <c r="AR120" s="71">
        <f ca="1">-IF(C120=1,(G120*'Invoer gegevens'!$I$34)*Reeksen!J120,0)</f>
        <v>0</v>
      </c>
      <c r="AS120" s="71">
        <f ca="1">-IF(C120=1,'Invoer gegevens'!$C$10*'Invoer gegevens'!$I$35*Reeksen!L120,0)</f>
        <v>0</v>
      </c>
      <c r="AT120" s="71">
        <f ca="1">-IF(C120=1,IF(E120='Invoer gegevens'!$C$17,'Invoer gegevens'!$C$11,Q120)*Reeksen!S120*'Invoer gegevens'!$C$18*Reeksen!P120,0)</f>
        <v>0</v>
      </c>
      <c r="AU120" s="71">
        <f ca="1">-IF(C120=1,'Invoer gegevens'!$C$10*'Invoer gegevens'!$I$36*Reeksen!H120,0)</f>
        <v>0</v>
      </c>
      <c r="AV120" s="71">
        <f t="shared" si="21"/>
        <v>0</v>
      </c>
      <c r="AW120" s="71">
        <f t="shared" ca="1" si="18"/>
        <v>0</v>
      </c>
      <c r="AX120" s="71">
        <f ca="1">IF(E120&lt;'Invoer gegevens'!$C$17+15,0,IF(E120&gt;'Invoer gegevens'!$C$17+215,0,AW120))</f>
        <v>0</v>
      </c>
      <c r="AY120" s="71">
        <f ca="1">AX120/(1+'Invoer gegevens'!$F$13)^($AZ120-('Invoer gegevens'!$C$17-'Invoer gegevens'!$C$16))/(1+'Invoer gegevens'!$C$39)^('Invoer gegevens'!$C$17-'Invoer gegevens'!$C$16)</f>
        <v>0</v>
      </c>
      <c r="AZ120" s="68">
        <f ca="1">IF(E120-'Invoer gegevens'!$C$17-14.5&lt;0,0,E120-'Invoer gegevens'!$C$17-14.5)</f>
        <v>100.5</v>
      </c>
    </row>
    <row r="121" spans="2:52" x14ac:dyDescent="0.25">
      <c r="B121" s="70">
        <f t="shared" si="19"/>
        <v>117</v>
      </c>
      <c r="C121" s="67">
        <f ca="1">IF(E121-'Invoer gegevens'!$C$17&lt;0,0,1)</f>
        <v>1</v>
      </c>
      <c r="D121" s="68">
        <f t="shared" si="20"/>
        <v>116.5</v>
      </c>
      <c r="E121" s="69">
        <f ca="1">IF('Invoer gegevens'!$C$16="","",E120+1)</f>
        <v>2135</v>
      </c>
      <c r="F121" s="82">
        <f ca="1">IF('Invoer gegevens'!$C$17=E121,'Invoer gegevens'!$C$10,IF(C121=1,H120,0))</f>
        <v>0</v>
      </c>
      <c r="G121" s="83">
        <f ca="1">IF(C121&gt;=1,F121*Reeksen!C121,0)</f>
        <v>0</v>
      </c>
      <c r="H121" s="84">
        <f t="shared" ca="1" si="14"/>
        <v>0</v>
      </c>
      <c r="I121" s="85">
        <f ca="1">IF('Invoer gegevens'!$C$17=E121,'Invoer gegevens'!$C$11,IF(C121=1,L120,0))</f>
        <v>0</v>
      </c>
      <c r="J121" s="86">
        <f ca="1">IF(C121&lt;1,0,IF(Reeksen!AK121&lt;=Reeksen!AE121,I121*Reeksen!C121,0))</f>
        <v>0</v>
      </c>
      <c r="K121" s="86">
        <f ca="1">IF(C121&lt;1,0,IF(Reeksen!AK121&gt;Reeksen!AE121,I121*Reeksen!C121,0))</f>
        <v>0</v>
      </c>
      <c r="L121" s="86">
        <f t="shared" ca="1" si="15"/>
        <v>0</v>
      </c>
      <c r="M121" s="85">
        <f ca="1">IF('Invoer gegevens'!$C$17=E121,'Invoer gegevens'!$C$10-'Invoer gegevens'!$C$11,IF(C121=1,P120,0))</f>
        <v>0</v>
      </c>
      <c r="N121" s="86">
        <f ca="1">IF(C121&lt;1,0,IF(Reeksen!AK121&lt;=Reeksen!AE121,M121*Reeksen!C121,0))</f>
        <v>0</v>
      </c>
      <c r="O121" s="86">
        <f ca="1">IF(C121&lt;1,0,IF(Reeksen!AK121&gt;Reeksen!AE121,M121*Reeksen!C121,0))</f>
        <v>0</v>
      </c>
      <c r="P121" s="86">
        <f t="shared" ca="1" si="16"/>
        <v>0</v>
      </c>
      <c r="Q121" s="82">
        <f ca="1">IF('Invoer gegevens'!$C$17=E121,I121,IF(C121=0,0,R120))</f>
        <v>0</v>
      </c>
      <c r="R121" s="84">
        <f t="shared" ca="1" si="11"/>
        <v>0</v>
      </c>
      <c r="S121" s="84">
        <f ca="1">IF('Invoer gegevens'!$C$17=E121,M121,IF(C121=0,0,T120))</f>
        <v>0</v>
      </c>
      <c r="T121" s="84">
        <f t="shared" ca="1" si="12"/>
        <v>0</v>
      </c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8"/>
      <c r="AI121" s="71">
        <f ca="1">IF(C121=1,((F121+H121)/2*Reeksen!AJ121*12)+(('Invoer gegevens'!$C$10-(F121+H121)/2)*Reeksen!AK121*12),0)</f>
        <v>0</v>
      </c>
      <c r="AJ121" s="71">
        <f ca="1">-AI121*'Invoer gegevens'!$F$28</f>
        <v>0</v>
      </c>
      <c r="AK121" s="71">
        <f t="shared" ca="1" si="13"/>
        <v>0</v>
      </c>
      <c r="AL121" s="71">
        <f ca="1">IF(C121=1,(12*((F121+H121)/2)*Reeksen!AL121)+(12*('Invoer gegevens'!$C$10-(F121+H121)/2)*Reeksen!AM121),0)</f>
        <v>0</v>
      </c>
      <c r="AM121" s="71">
        <f ca="1">-AL121*'Invoer gegevens'!$F$31</f>
        <v>0</v>
      </c>
      <c r="AN121" s="71">
        <f t="shared" ca="1" si="17"/>
        <v>0</v>
      </c>
      <c r="AO121" s="71"/>
      <c r="AP121" s="71"/>
      <c r="AQ121" s="71">
        <f ca="1">-IF(C121=1,('Invoer gegevens'!$C$10*'Invoer gegevens'!$I$33)*Reeksen!J121,0)*2</f>
        <v>0</v>
      </c>
      <c r="AR121" s="71">
        <f ca="1">-IF(C121=1,(G121*'Invoer gegevens'!$I$34)*Reeksen!J121,0)</f>
        <v>0</v>
      </c>
      <c r="AS121" s="71">
        <f ca="1">-IF(C121=1,'Invoer gegevens'!$C$10*'Invoer gegevens'!$I$35*Reeksen!L121,0)</f>
        <v>0</v>
      </c>
      <c r="AT121" s="71">
        <f ca="1">-IF(C121=1,IF(E121='Invoer gegevens'!$C$17,'Invoer gegevens'!$C$11,Q121)*Reeksen!S121*'Invoer gegevens'!$C$18*Reeksen!P121,0)</f>
        <v>0</v>
      </c>
      <c r="AU121" s="71">
        <f ca="1">-IF(C121=1,'Invoer gegevens'!$C$10*'Invoer gegevens'!$I$36*Reeksen!H121,0)</f>
        <v>0</v>
      </c>
      <c r="AV121" s="71">
        <f t="shared" si="21"/>
        <v>0</v>
      </c>
      <c r="AW121" s="71">
        <f t="shared" ca="1" si="18"/>
        <v>0</v>
      </c>
      <c r="AX121" s="71">
        <f ca="1">IF(E121&lt;'Invoer gegevens'!$C$17+15,0,IF(E121&gt;'Invoer gegevens'!$C$17+215,0,AW121))</f>
        <v>0</v>
      </c>
      <c r="AY121" s="71">
        <f ca="1">AX121/(1+'Invoer gegevens'!$F$13)^($AZ121-('Invoer gegevens'!$C$17-'Invoer gegevens'!$C$16))/(1+'Invoer gegevens'!$C$39)^('Invoer gegevens'!$C$17-'Invoer gegevens'!$C$16)</f>
        <v>0</v>
      </c>
      <c r="AZ121" s="68">
        <f ca="1">IF(E121-'Invoer gegevens'!$C$17-14.5&lt;0,0,E121-'Invoer gegevens'!$C$17-14.5)</f>
        <v>101.5</v>
      </c>
    </row>
    <row r="122" spans="2:52" x14ac:dyDescent="0.25">
      <c r="B122" s="70">
        <f t="shared" si="19"/>
        <v>118</v>
      </c>
      <c r="C122" s="67">
        <f ca="1">IF(E122-'Invoer gegevens'!$C$17&lt;0,0,1)</f>
        <v>1</v>
      </c>
      <c r="D122" s="68">
        <f t="shared" si="20"/>
        <v>117.5</v>
      </c>
      <c r="E122" s="69">
        <f ca="1">IF('Invoer gegevens'!$C$16="","",E121+1)</f>
        <v>2136</v>
      </c>
      <c r="F122" s="82">
        <f ca="1">IF('Invoer gegevens'!$C$17=E122,'Invoer gegevens'!$C$10,IF(C122=1,H121,0))</f>
        <v>0</v>
      </c>
      <c r="G122" s="83">
        <f ca="1">IF(C122&gt;=1,F122*Reeksen!C122,0)</f>
        <v>0</v>
      </c>
      <c r="H122" s="84">
        <f t="shared" ca="1" si="14"/>
        <v>0</v>
      </c>
      <c r="I122" s="85">
        <f ca="1">IF('Invoer gegevens'!$C$17=E122,'Invoer gegevens'!$C$11,IF(C122=1,L121,0))</f>
        <v>0</v>
      </c>
      <c r="J122" s="86">
        <f ca="1">IF(C122&lt;1,0,IF(Reeksen!AK122&lt;=Reeksen!AE122,I122*Reeksen!C122,0))</f>
        <v>0</v>
      </c>
      <c r="K122" s="86">
        <f ca="1">IF(C122&lt;1,0,IF(Reeksen!AK122&gt;Reeksen!AE122,I122*Reeksen!C122,0))</f>
        <v>0</v>
      </c>
      <c r="L122" s="86">
        <f t="shared" ca="1" si="15"/>
        <v>0</v>
      </c>
      <c r="M122" s="85">
        <f ca="1">IF('Invoer gegevens'!$C$17=E122,'Invoer gegevens'!$C$10-'Invoer gegevens'!$C$11,IF(C122=1,P121,0))</f>
        <v>0</v>
      </c>
      <c r="N122" s="86">
        <f ca="1">IF(C122&lt;1,0,IF(Reeksen!AK122&lt;=Reeksen!AE122,M122*Reeksen!C122,0))</f>
        <v>0</v>
      </c>
      <c r="O122" s="86">
        <f ca="1">IF(C122&lt;1,0,IF(Reeksen!AK122&gt;Reeksen!AE122,M122*Reeksen!C122,0))</f>
        <v>0</v>
      </c>
      <c r="P122" s="86">
        <f t="shared" ca="1" si="16"/>
        <v>0</v>
      </c>
      <c r="Q122" s="82">
        <f ca="1">IF('Invoer gegevens'!$C$17=E122,I122,IF(C122=0,0,R121))</f>
        <v>0</v>
      </c>
      <c r="R122" s="84">
        <f t="shared" ca="1" si="11"/>
        <v>0</v>
      </c>
      <c r="S122" s="84">
        <f ca="1">IF('Invoer gegevens'!$C$17=E122,M122,IF(C122=0,0,T121))</f>
        <v>0</v>
      </c>
      <c r="T122" s="84">
        <f t="shared" ca="1" si="12"/>
        <v>0</v>
      </c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8"/>
      <c r="AI122" s="71">
        <f ca="1">IF(C122=1,((F122+H122)/2*Reeksen!AJ122*12)+(('Invoer gegevens'!$C$10-(F122+H122)/2)*Reeksen!AK122*12),0)</f>
        <v>0</v>
      </c>
      <c r="AJ122" s="71">
        <f ca="1">-AI122*'Invoer gegevens'!$F$28</f>
        <v>0</v>
      </c>
      <c r="AK122" s="71">
        <f t="shared" ca="1" si="13"/>
        <v>0</v>
      </c>
      <c r="AL122" s="71">
        <f ca="1">IF(C122=1,(12*((F122+H122)/2)*Reeksen!AL122)+(12*('Invoer gegevens'!$C$10-(F122+H122)/2)*Reeksen!AM122),0)</f>
        <v>0</v>
      </c>
      <c r="AM122" s="71">
        <f ca="1">-AL122*'Invoer gegevens'!$F$31</f>
        <v>0</v>
      </c>
      <c r="AN122" s="71">
        <f t="shared" ca="1" si="17"/>
        <v>0</v>
      </c>
      <c r="AO122" s="71"/>
      <c r="AP122" s="71"/>
      <c r="AQ122" s="71">
        <f ca="1">-IF(C122=1,('Invoer gegevens'!$C$10*'Invoer gegevens'!$I$33)*Reeksen!J122,0)*2</f>
        <v>0</v>
      </c>
      <c r="AR122" s="71">
        <f ca="1">-IF(C122=1,(G122*'Invoer gegevens'!$I$34)*Reeksen!J122,0)</f>
        <v>0</v>
      </c>
      <c r="AS122" s="71">
        <f ca="1">-IF(C122=1,'Invoer gegevens'!$C$10*'Invoer gegevens'!$I$35*Reeksen!L122,0)</f>
        <v>0</v>
      </c>
      <c r="AT122" s="71">
        <f ca="1">-IF(C122=1,IF(E122='Invoer gegevens'!$C$17,'Invoer gegevens'!$C$11,Q122)*Reeksen!S122*'Invoer gegevens'!$C$18*Reeksen!P122,0)</f>
        <v>0</v>
      </c>
      <c r="AU122" s="71">
        <f ca="1">-IF(C122=1,'Invoer gegevens'!$C$10*'Invoer gegevens'!$I$36*Reeksen!H122,0)</f>
        <v>0</v>
      </c>
      <c r="AV122" s="71">
        <f t="shared" si="21"/>
        <v>0</v>
      </c>
      <c r="AW122" s="71">
        <f t="shared" ca="1" si="18"/>
        <v>0</v>
      </c>
      <c r="AX122" s="71">
        <f ca="1">IF(E122&lt;'Invoer gegevens'!$C$17+15,0,IF(E122&gt;'Invoer gegevens'!$C$17+215,0,AW122))</f>
        <v>0</v>
      </c>
      <c r="AY122" s="71">
        <f ca="1">AX122/(1+'Invoer gegevens'!$F$13)^($AZ122-('Invoer gegevens'!$C$17-'Invoer gegevens'!$C$16))/(1+'Invoer gegevens'!$C$39)^('Invoer gegevens'!$C$17-'Invoer gegevens'!$C$16)</f>
        <v>0</v>
      </c>
      <c r="AZ122" s="68">
        <f ca="1">IF(E122-'Invoer gegevens'!$C$17-14.5&lt;0,0,E122-'Invoer gegevens'!$C$17-14.5)</f>
        <v>102.5</v>
      </c>
    </row>
    <row r="123" spans="2:52" x14ac:dyDescent="0.25">
      <c r="B123" s="70">
        <f t="shared" si="19"/>
        <v>119</v>
      </c>
      <c r="C123" s="67">
        <f ca="1">IF(E123-'Invoer gegevens'!$C$17&lt;0,0,1)</f>
        <v>1</v>
      </c>
      <c r="D123" s="68">
        <f t="shared" si="20"/>
        <v>118.5</v>
      </c>
      <c r="E123" s="69">
        <f ca="1">IF('Invoer gegevens'!$C$16="","",E122+1)</f>
        <v>2137</v>
      </c>
      <c r="F123" s="82">
        <f ca="1">IF('Invoer gegevens'!$C$17=E123,'Invoer gegevens'!$C$10,IF(C123=1,H122,0))</f>
        <v>0</v>
      </c>
      <c r="G123" s="83">
        <f ca="1">IF(C123&gt;=1,F123*Reeksen!C123,0)</f>
        <v>0</v>
      </c>
      <c r="H123" s="84">
        <f t="shared" ca="1" si="14"/>
        <v>0</v>
      </c>
      <c r="I123" s="85">
        <f ca="1">IF('Invoer gegevens'!$C$17=E123,'Invoer gegevens'!$C$11,IF(C123=1,L122,0))</f>
        <v>0</v>
      </c>
      <c r="J123" s="86">
        <f ca="1">IF(C123&lt;1,0,IF(Reeksen!AK123&lt;=Reeksen!AE123,I123*Reeksen!C123,0))</f>
        <v>0</v>
      </c>
      <c r="K123" s="86">
        <f ca="1">IF(C123&lt;1,0,IF(Reeksen!AK123&gt;Reeksen!AE123,I123*Reeksen!C123,0))</f>
        <v>0</v>
      </c>
      <c r="L123" s="86">
        <f t="shared" ca="1" si="15"/>
        <v>0</v>
      </c>
      <c r="M123" s="85">
        <f ca="1">IF('Invoer gegevens'!$C$17=E123,'Invoer gegevens'!$C$10-'Invoer gegevens'!$C$11,IF(C123=1,P122,0))</f>
        <v>0</v>
      </c>
      <c r="N123" s="86">
        <f ca="1">IF(C123&lt;1,0,IF(Reeksen!AK123&lt;=Reeksen!AE123,M123*Reeksen!C123,0))</f>
        <v>0</v>
      </c>
      <c r="O123" s="86">
        <f ca="1">IF(C123&lt;1,0,IF(Reeksen!AK123&gt;Reeksen!AE123,M123*Reeksen!C123,0))</f>
        <v>0</v>
      </c>
      <c r="P123" s="86">
        <f t="shared" ca="1" si="16"/>
        <v>0</v>
      </c>
      <c r="Q123" s="82">
        <f ca="1">IF('Invoer gegevens'!$C$17=E123,I123,IF(C123=0,0,R122))</f>
        <v>0</v>
      </c>
      <c r="R123" s="84">
        <f t="shared" ca="1" si="11"/>
        <v>0</v>
      </c>
      <c r="S123" s="84">
        <f ca="1">IF('Invoer gegevens'!$C$17=E123,M123,IF(C123=0,0,T122))</f>
        <v>0</v>
      </c>
      <c r="T123" s="84">
        <f t="shared" ca="1" si="12"/>
        <v>0</v>
      </c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8"/>
      <c r="AI123" s="71">
        <f ca="1">IF(C123=1,((F123+H123)/2*Reeksen!AJ123*12)+(('Invoer gegevens'!$C$10-(F123+H123)/2)*Reeksen!AK123*12),0)</f>
        <v>0</v>
      </c>
      <c r="AJ123" s="71">
        <f ca="1">-AI123*'Invoer gegevens'!$F$28</f>
        <v>0</v>
      </c>
      <c r="AK123" s="71">
        <f t="shared" ca="1" si="13"/>
        <v>0</v>
      </c>
      <c r="AL123" s="71">
        <f ca="1">IF(C123=1,(12*((F123+H123)/2)*Reeksen!AL123)+(12*('Invoer gegevens'!$C$10-(F123+H123)/2)*Reeksen!AM123),0)</f>
        <v>0</v>
      </c>
      <c r="AM123" s="71">
        <f ca="1">-AL123*'Invoer gegevens'!$F$31</f>
        <v>0</v>
      </c>
      <c r="AN123" s="71">
        <f t="shared" ca="1" si="17"/>
        <v>0</v>
      </c>
      <c r="AO123" s="71"/>
      <c r="AP123" s="71"/>
      <c r="AQ123" s="71">
        <f ca="1">-IF(C123=1,('Invoer gegevens'!$C$10*'Invoer gegevens'!$I$33)*Reeksen!J123,0)*2</f>
        <v>0</v>
      </c>
      <c r="AR123" s="71">
        <f ca="1">-IF(C123=1,(G123*'Invoer gegevens'!$I$34)*Reeksen!J123,0)</f>
        <v>0</v>
      </c>
      <c r="AS123" s="71">
        <f ca="1">-IF(C123=1,'Invoer gegevens'!$C$10*'Invoer gegevens'!$I$35*Reeksen!L123,0)</f>
        <v>0</v>
      </c>
      <c r="AT123" s="71">
        <f ca="1">-IF(C123=1,IF(E123='Invoer gegevens'!$C$17,'Invoer gegevens'!$C$11,Q123)*Reeksen!S123*'Invoer gegevens'!$C$18*Reeksen!P123,0)</f>
        <v>0</v>
      </c>
      <c r="AU123" s="71">
        <f ca="1">-IF(C123=1,'Invoer gegevens'!$C$10*'Invoer gegevens'!$I$36*Reeksen!H123,0)</f>
        <v>0</v>
      </c>
      <c r="AV123" s="71">
        <f t="shared" si="21"/>
        <v>0</v>
      </c>
      <c r="AW123" s="71">
        <f t="shared" ca="1" si="18"/>
        <v>0</v>
      </c>
      <c r="AX123" s="71">
        <f ca="1">IF(E123&lt;'Invoer gegevens'!$C$17+15,0,IF(E123&gt;'Invoer gegevens'!$C$17+215,0,AW123))</f>
        <v>0</v>
      </c>
      <c r="AY123" s="71">
        <f ca="1">AX123/(1+'Invoer gegevens'!$F$13)^($AZ123-('Invoer gegevens'!$C$17-'Invoer gegevens'!$C$16))/(1+'Invoer gegevens'!$C$39)^('Invoer gegevens'!$C$17-'Invoer gegevens'!$C$16)</f>
        <v>0</v>
      </c>
      <c r="AZ123" s="68">
        <f ca="1">IF(E123-'Invoer gegevens'!$C$17-14.5&lt;0,0,E123-'Invoer gegevens'!$C$17-14.5)</f>
        <v>103.5</v>
      </c>
    </row>
    <row r="124" spans="2:52" x14ac:dyDescent="0.25">
      <c r="B124" s="70">
        <f t="shared" si="19"/>
        <v>120</v>
      </c>
      <c r="C124" s="67">
        <f ca="1">IF(E124-'Invoer gegevens'!$C$17&lt;0,0,1)</f>
        <v>1</v>
      </c>
      <c r="D124" s="68">
        <f t="shared" si="20"/>
        <v>119.5</v>
      </c>
      <c r="E124" s="69">
        <f ca="1">IF('Invoer gegevens'!$C$16="","",E123+1)</f>
        <v>2138</v>
      </c>
      <c r="F124" s="82">
        <f ca="1">IF('Invoer gegevens'!$C$17=E124,'Invoer gegevens'!$C$10,IF(C124=1,H123,0))</f>
        <v>0</v>
      </c>
      <c r="G124" s="83">
        <f ca="1">IF(C124&gt;=1,F124*Reeksen!C124,0)</f>
        <v>0</v>
      </c>
      <c r="H124" s="84">
        <f t="shared" ca="1" si="14"/>
        <v>0</v>
      </c>
      <c r="I124" s="85">
        <f ca="1">IF('Invoer gegevens'!$C$17=E124,'Invoer gegevens'!$C$11,IF(C124=1,L123,0))</f>
        <v>0</v>
      </c>
      <c r="J124" s="86">
        <f ca="1">IF(C124&lt;1,0,IF(Reeksen!AK124&lt;=Reeksen!AE124,I124*Reeksen!C124,0))</f>
        <v>0</v>
      </c>
      <c r="K124" s="86">
        <f ca="1">IF(C124&lt;1,0,IF(Reeksen!AK124&gt;Reeksen!AE124,I124*Reeksen!C124,0))</f>
        <v>0</v>
      </c>
      <c r="L124" s="86">
        <f t="shared" ca="1" si="15"/>
        <v>0</v>
      </c>
      <c r="M124" s="85">
        <f ca="1">IF('Invoer gegevens'!$C$17=E124,'Invoer gegevens'!$C$10-'Invoer gegevens'!$C$11,IF(C124=1,P123,0))</f>
        <v>0</v>
      </c>
      <c r="N124" s="86">
        <f ca="1">IF(C124&lt;1,0,IF(Reeksen!AK124&lt;=Reeksen!AE124,M124*Reeksen!C124,0))</f>
        <v>0</v>
      </c>
      <c r="O124" s="86">
        <f ca="1">IF(C124&lt;1,0,IF(Reeksen!AK124&gt;Reeksen!AE124,M124*Reeksen!C124,0))</f>
        <v>0</v>
      </c>
      <c r="P124" s="86">
        <f t="shared" ca="1" si="16"/>
        <v>0</v>
      </c>
      <c r="Q124" s="82">
        <f ca="1">IF('Invoer gegevens'!$C$17=E124,I124,IF(C124=0,0,R123))</f>
        <v>0</v>
      </c>
      <c r="R124" s="84">
        <f t="shared" ca="1" si="11"/>
        <v>0</v>
      </c>
      <c r="S124" s="84">
        <f ca="1">IF('Invoer gegevens'!$C$17=E124,M124,IF(C124=0,0,T123))</f>
        <v>0</v>
      </c>
      <c r="T124" s="84">
        <f t="shared" ca="1" si="12"/>
        <v>0</v>
      </c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8"/>
      <c r="AI124" s="71">
        <f ca="1">IF(C124=1,((F124+H124)/2*Reeksen!AJ124*12)+(('Invoer gegevens'!$C$10-(F124+H124)/2)*Reeksen!AK124*12),0)</f>
        <v>0</v>
      </c>
      <c r="AJ124" s="71">
        <f ca="1">-AI124*'Invoer gegevens'!$F$28</f>
        <v>0</v>
      </c>
      <c r="AK124" s="71">
        <f t="shared" ca="1" si="13"/>
        <v>0</v>
      </c>
      <c r="AL124" s="71">
        <f ca="1">IF(C124=1,(12*((F124+H124)/2)*Reeksen!AL124)+(12*('Invoer gegevens'!$C$10-(F124+H124)/2)*Reeksen!AM124),0)</f>
        <v>0</v>
      </c>
      <c r="AM124" s="71">
        <f ca="1">-AL124*'Invoer gegevens'!$F$31</f>
        <v>0</v>
      </c>
      <c r="AN124" s="71">
        <f t="shared" ca="1" si="17"/>
        <v>0</v>
      </c>
      <c r="AO124" s="71"/>
      <c r="AP124" s="71"/>
      <c r="AQ124" s="71">
        <f ca="1">-IF(C124=1,('Invoer gegevens'!$C$10*'Invoer gegevens'!$I$33)*Reeksen!J124,0)*2</f>
        <v>0</v>
      </c>
      <c r="AR124" s="71">
        <f ca="1">-IF(C124=1,(G124*'Invoer gegevens'!$I$34)*Reeksen!J124,0)</f>
        <v>0</v>
      </c>
      <c r="AS124" s="71">
        <f ca="1">-IF(C124=1,'Invoer gegevens'!$C$10*'Invoer gegevens'!$I$35*Reeksen!L124,0)</f>
        <v>0</v>
      </c>
      <c r="AT124" s="71">
        <f ca="1">-IF(C124=1,IF(E124='Invoer gegevens'!$C$17,'Invoer gegevens'!$C$11,Q124)*Reeksen!S124*'Invoer gegevens'!$C$18*Reeksen!P124,0)</f>
        <v>0</v>
      </c>
      <c r="AU124" s="71">
        <f ca="1">-IF(C124=1,'Invoer gegevens'!$C$10*'Invoer gegevens'!$I$36*Reeksen!H124,0)</f>
        <v>0</v>
      </c>
      <c r="AV124" s="71">
        <f t="shared" si="21"/>
        <v>0</v>
      </c>
      <c r="AW124" s="71">
        <f t="shared" ca="1" si="18"/>
        <v>0</v>
      </c>
      <c r="AX124" s="71">
        <f ca="1">IF(E124&lt;'Invoer gegevens'!$C$17+15,0,IF(E124&gt;'Invoer gegevens'!$C$17+215,0,AW124))</f>
        <v>0</v>
      </c>
      <c r="AY124" s="71">
        <f ca="1">AX124/(1+'Invoer gegevens'!$F$13)^($AZ124-('Invoer gegevens'!$C$17-'Invoer gegevens'!$C$16))/(1+'Invoer gegevens'!$C$39)^('Invoer gegevens'!$C$17-'Invoer gegevens'!$C$16)</f>
        <v>0</v>
      </c>
      <c r="AZ124" s="68">
        <f ca="1">IF(E124-'Invoer gegevens'!$C$17-14.5&lt;0,0,E124-'Invoer gegevens'!$C$17-14.5)</f>
        <v>104.5</v>
      </c>
    </row>
    <row r="125" spans="2:52" x14ac:dyDescent="0.25">
      <c r="B125" s="70">
        <f t="shared" si="19"/>
        <v>121</v>
      </c>
      <c r="C125" s="67">
        <f ca="1">IF(E125-'Invoer gegevens'!$C$17&lt;0,0,1)</f>
        <v>1</v>
      </c>
      <c r="D125" s="68">
        <f t="shared" si="20"/>
        <v>120.5</v>
      </c>
      <c r="E125" s="69">
        <f ca="1">IF('Invoer gegevens'!$C$16="","",E124+1)</f>
        <v>2139</v>
      </c>
      <c r="F125" s="82">
        <f ca="1">IF('Invoer gegevens'!$C$17=E125,'Invoer gegevens'!$C$10,IF(C125=1,H124,0))</f>
        <v>0</v>
      </c>
      <c r="G125" s="83">
        <f ca="1">IF(C125&gt;=1,F125*Reeksen!C125,0)</f>
        <v>0</v>
      </c>
      <c r="H125" s="84">
        <f t="shared" ca="1" si="14"/>
        <v>0</v>
      </c>
      <c r="I125" s="85">
        <f ca="1">IF('Invoer gegevens'!$C$17=E125,'Invoer gegevens'!$C$11,IF(C125=1,L124,0))</f>
        <v>0</v>
      </c>
      <c r="J125" s="86">
        <f ca="1">IF(C125&lt;1,0,IF(Reeksen!AK125&lt;=Reeksen!AE125,I125*Reeksen!C125,0))</f>
        <v>0</v>
      </c>
      <c r="K125" s="86">
        <f ca="1">IF(C125&lt;1,0,IF(Reeksen!AK125&gt;Reeksen!AE125,I125*Reeksen!C125,0))</f>
        <v>0</v>
      </c>
      <c r="L125" s="86">
        <f t="shared" ca="1" si="15"/>
        <v>0</v>
      </c>
      <c r="M125" s="85">
        <f ca="1">IF('Invoer gegevens'!$C$17=E125,'Invoer gegevens'!$C$10-'Invoer gegevens'!$C$11,IF(C125=1,P124,0))</f>
        <v>0</v>
      </c>
      <c r="N125" s="86">
        <f ca="1">IF(C125&lt;1,0,IF(Reeksen!AK125&lt;=Reeksen!AE125,M125*Reeksen!C125,0))</f>
        <v>0</v>
      </c>
      <c r="O125" s="86">
        <f ca="1">IF(C125&lt;1,0,IF(Reeksen!AK125&gt;Reeksen!AE125,M125*Reeksen!C125,0))</f>
        <v>0</v>
      </c>
      <c r="P125" s="86">
        <f t="shared" ca="1" si="16"/>
        <v>0</v>
      </c>
      <c r="Q125" s="82">
        <f ca="1">IF('Invoer gegevens'!$C$17=E125,I125,IF(C125=0,0,R124))</f>
        <v>0</v>
      </c>
      <c r="R125" s="84">
        <f t="shared" ca="1" si="11"/>
        <v>0</v>
      </c>
      <c r="S125" s="84">
        <f ca="1">IF('Invoer gegevens'!$C$17=E125,M125,IF(C125=0,0,T124))</f>
        <v>0</v>
      </c>
      <c r="T125" s="84">
        <f t="shared" ca="1" si="12"/>
        <v>0</v>
      </c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8"/>
      <c r="AI125" s="71">
        <f ca="1">IF(C125=1,((F125+H125)/2*Reeksen!AJ125*12)+(('Invoer gegevens'!$C$10-(F125+H125)/2)*Reeksen!AK125*12),0)</f>
        <v>0</v>
      </c>
      <c r="AJ125" s="71">
        <f ca="1">-AI125*'Invoer gegevens'!$F$28</f>
        <v>0</v>
      </c>
      <c r="AK125" s="71">
        <f t="shared" ca="1" si="13"/>
        <v>0</v>
      </c>
      <c r="AL125" s="71">
        <f ca="1">IF(C125=1,(12*((F125+H125)/2)*Reeksen!AL125)+(12*('Invoer gegevens'!$C$10-(F125+H125)/2)*Reeksen!AM125),0)</f>
        <v>0</v>
      </c>
      <c r="AM125" s="71">
        <f ca="1">-AL125*'Invoer gegevens'!$F$31</f>
        <v>0</v>
      </c>
      <c r="AN125" s="71">
        <f t="shared" ca="1" si="17"/>
        <v>0</v>
      </c>
      <c r="AO125" s="71"/>
      <c r="AP125" s="71"/>
      <c r="AQ125" s="71">
        <f ca="1">-IF(C125=1,('Invoer gegevens'!$C$10*'Invoer gegevens'!$I$33)*Reeksen!J125,0)*2</f>
        <v>0</v>
      </c>
      <c r="AR125" s="71">
        <f ca="1">-IF(C125=1,(G125*'Invoer gegevens'!$I$34)*Reeksen!J125,0)</f>
        <v>0</v>
      </c>
      <c r="AS125" s="71">
        <f ca="1">-IF(C125=1,'Invoer gegevens'!$C$10*'Invoer gegevens'!$I$35*Reeksen!L125,0)</f>
        <v>0</v>
      </c>
      <c r="AT125" s="71">
        <f ca="1">-IF(C125=1,IF(E125='Invoer gegevens'!$C$17,'Invoer gegevens'!$C$11,Q125)*Reeksen!S125*'Invoer gegevens'!$C$18*Reeksen!P125,0)</f>
        <v>0</v>
      </c>
      <c r="AU125" s="71">
        <f ca="1">-IF(C125=1,'Invoer gegevens'!$C$10*'Invoer gegevens'!$I$36*Reeksen!H125,0)</f>
        <v>0</v>
      </c>
      <c r="AV125" s="71">
        <f t="shared" si="21"/>
        <v>0</v>
      </c>
      <c r="AW125" s="71">
        <f t="shared" ca="1" si="18"/>
        <v>0</v>
      </c>
      <c r="AX125" s="71">
        <f ca="1">IF(E125&lt;'Invoer gegevens'!$C$17+15,0,IF(E125&gt;'Invoer gegevens'!$C$17+215,0,AW125))</f>
        <v>0</v>
      </c>
      <c r="AY125" s="71">
        <f ca="1">AX125/(1+'Invoer gegevens'!$F$13)^($AZ125-('Invoer gegevens'!$C$17-'Invoer gegevens'!$C$16))/(1+'Invoer gegevens'!$C$39)^('Invoer gegevens'!$C$17-'Invoer gegevens'!$C$16)</f>
        <v>0</v>
      </c>
      <c r="AZ125" s="68">
        <f ca="1">IF(E125-'Invoer gegevens'!$C$17-14.5&lt;0,0,E125-'Invoer gegevens'!$C$17-14.5)</f>
        <v>105.5</v>
      </c>
    </row>
    <row r="126" spans="2:52" x14ac:dyDescent="0.25">
      <c r="B126" s="70">
        <f t="shared" si="19"/>
        <v>122</v>
      </c>
      <c r="C126" s="67">
        <f ca="1">IF(E126-'Invoer gegevens'!$C$17&lt;0,0,1)</f>
        <v>1</v>
      </c>
      <c r="D126" s="68">
        <f t="shared" si="20"/>
        <v>121.5</v>
      </c>
      <c r="E126" s="69">
        <f ca="1">IF('Invoer gegevens'!$C$16="","",E125+1)</f>
        <v>2140</v>
      </c>
      <c r="F126" s="82">
        <f ca="1">IF('Invoer gegevens'!$C$17=E126,'Invoer gegevens'!$C$10,IF(C126=1,H125,0))</f>
        <v>0</v>
      </c>
      <c r="G126" s="83">
        <f ca="1">IF(C126&gt;=1,F126*Reeksen!C126,0)</f>
        <v>0</v>
      </c>
      <c r="H126" s="84">
        <f t="shared" ca="1" si="14"/>
        <v>0</v>
      </c>
      <c r="I126" s="85">
        <f ca="1">IF('Invoer gegevens'!$C$17=E126,'Invoer gegevens'!$C$11,IF(C126=1,L125,0))</f>
        <v>0</v>
      </c>
      <c r="J126" s="86">
        <f ca="1">IF(C126&lt;1,0,IF(Reeksen!AK126&lt;=Reeksen!AE126,I126*Reeksen!C126,0))</f>
        <v>0</v>
      </c>
      <c r="K126" s="86">
        <f ca="1">IF(C126&lt;1,0,IF(Reeksen!AK126&gt;Reeksen!AE126,I126*Reeksen!C126,0))</f>
        <v>0</v>
      </c>
      <c r="L126" s="86">
        <f t="shared" ca="1" si="15"/>
        <v>0</v>
      </c>
      <c r="M126" s="85">
        <f ca="1">IF('Invoer gegevens'!$C$17=E126,'Invoer gegevens'!$C$10-'Invoer gegevens'!$C$11,IF(C126=1,P125,0))</f>
        <v>0</v>
      </c>
      <c r="N126" s="86">
        <f ca="1">IF(C126&lt;1,0,IF(Reeksen!AK126&lt;=Reeksen!AE126,M126*Reeksen!C126,0))</f>
        <v>0</v>
      </c>
      <c r="O126" s="86">
        <f ca="1">IF(C126&lt;1,0,IF(Reeksen!AK126&gt;Reeksen!AE126,M126*Reeksen!C126,0))</f>
        <v>0</v>
      </c>
      <c r="P126" s="86">
        <f t="shared" ca="1" si="16"/>
        <v>0</v>
      </c>
      <c r="Q126" s="82">
        <f ca="1">IF('Invoer gegevens'!$C$17=E126,I126,IF(C126=0,0,R125))</f>
        <v>0</v>
      </c>
      <c r="R126" s="84">
        <f t="shared" ca="1" si="11"/>
        <v>0</v>
      </c>
      <c r="S126" s="84">
        <f ca="1">IF('Invoer gegevens'!$C$17=E126,M126,IF(C126=0,0,T125))</f>
        <v>0</v>
      </c>
      <c r="T126" s="84">
        <f t="shared" ca="1" si="12"/>
        <v>0</v>
      </c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8"/>
      <c r="AI126" s="71">
        <f ca="1">IF(C126=1,((F126+H126)/2*Reeksen!AJ126*12)+(('Invoer gegevens'!$C$10-(F126+H126)/2)*Reeksen!AK126*12),0)</f>
        <v>0</v>
      </c>
      <c r="AJ126" s="71">
        <f ca="1">-AI126*'Invoer gegevens'!$F$28</f>
        <v>0</v>
      </c>
      <c r="AK126" s="71">
        <f t="shared" ca="1" si="13"/>
        <v>0</v>
      </c>
      <c r="AL126" s="71">
        <f ca="1">IF(C126=1,(12*((F126+H126)/2)*Reeksen!AL126)+(12*('Invoer gegevens'!$C$10-(F126+H126)/2)*Reeksen!AM126),0)</f>
        <v>0</v>
      </c>
      <c r="AM126" s="71">
        <f ca="1">-AL126*'Invoer gegevens'!$F$31</f>
        <v>0</v>
      </c>
      <c r="AN126" s="71">
        <f t="shared" ca="1" si="17"/>
        <v>0</v>
      </c>
      <c r="AO126" s="71"/>
      <c r="AP126" s="71"/>
      <c r="AQ126" s="71">
        <f ca="1">-IF(C126=1,('Invoer gegevens'!$C$10*'Invoer gegevens'!$I$33)*Reeksen!J126,0)*2</f>
        <v>0</v>
      </c>
      <c r="AR126" s="71">
        <f ca="1">-IF(C126=1,(G126*'Invoer gegevens'!$I$34)*Reeksen!J126,0)</f>
        <v>0</v>
      </c>
      <c r="AS126" s="71">
        <f ca="1">-IF(C126=1,'Invoer gegevens'!$C$10*'Invoer gegevens'!$I$35*Reeksen!L126,0)</f>
        <v>0</v>
      </c>
      <c r="AT126" s="71">
        <f ca="1">-IF(C126=1,IF(E126='Invoer gegevens'!$C$17,'Invoer gegevens'!$C$11,Q126)*Reeksen!S126*'Invoer gegevens'!$C$18*Reeksen!P126,0)</f>
        <v>0</v>
      </c>
      <c r="AU126" s="71">
        <f ca="1">-IF(C126=1,'Invoer gegevens'!$C$10*'Invoer gegevens'!$I$36*Reeksen!H126,0)</f>
        <v>0</v>
      </c>
      <c r="AV126" s="71">
        <f t="shared" si="21"/>
        <v>0</v>
      </c>
      <c r="AW126" s="71">
        <f t="shared" ca="1" si="18"/>
        <v>0</v>
      </c>
      <c r="AX126" s="71">
        <f ca="1">IF(E126&lt;'Invoer gegevens'!$C$17+15,0,IF(E126&gt;'Invoer gegevens'!$C$17+215,0,AW126))</f>
        <v>0</v>
      </c>
      <c r="AY126" s="71">
        <f ca="1">AX126/(1+'Invoer gegevens'!$F$13)^($AZ126-('Invoer gegevens'!$C$17-'Invoer gegevens'!$C$16))/(1+'Invoer gegevens'!$C$39)^('Invoer gegevens'!$C$17-'Invoer gegevens'!$C$16)</f>
        <v>0</v>
      </c>
      <c r="AZ126" s="68">
        <f ca="1">IF(E126-'Invoer gegevens'!$C$17-14.5&lt;0,0,E126-'Invoer gegevens'!$C$17-14.5)</f>
        <v>106.5</v>
      </c>
    </row>
    <row r="127" spans="2:52" x14ac:dyDescent="0.25">
      <c r="B127" s="70">
        <f t="shared" si="19"/>
        <v>123</v>
      </c>
      <c r="C127" s="67">
        <f ca="1">IF(E127-'Invoer gegevens'!$C$17&lt;0,0,1)</f>
        <v>1</v>
      </c>
      <c r="D127" s="68">
        <f t="shared" si="20"/>
        <v>122.5</v>
      </c>
      <c r="E127" s="69">
        <f ca="1">IF('Invoer gegevens'!$C$16="","",E126+1)</f>
        <v>2141</v>
      </c>
      <c r="F127" s="82">
        <f ca="1">IF('Invoer gegevens'!$C$17=E127,'Invoer gegevens'!$C$10,IF(C127=1,H126,0))</f>
        <v>0</v>
      </c>
      <c r="G127" s="83">
        <f ca="1">IF(C127&gt;=1,F127*Reeksen!C127,0)</f>
        <v>0</v>
      </c>
      <c r="H127" s="84">
        <f t="shared" ca="1" si="14"/>
        <v>0</v>
      </c>
      <c r="I127" s="85">
        <f ca="1">IF('Invoer gegevens'!$C$17=E127,'Invoer gegevens'!$C$11,IF(C127=1,L126,0))</f>
        <v>0</v>
      </c>
      <c r="J127" s="86">
        <f ca="1">IF(C127&lt;1,0,IF(Reeksen!AK127&lt;=Reeksen!AE127,I127*Reeksen!C127,0))</f>
        <v>0</v>
      </c>
      <c r="K127" s="86">
        <f ca="1">IF(C127&lt;1,0,IF(Reeksen!AK127&gt;Reeksen!AE127,I127*Reeksen!C127,0))</f>
        <v>0</v>
      </c>
      <c r="L127" s="86">
        <f t="shared" ca="1" si="15"/>
        <v>0</v>
      </c>
      <c r="M127" s="85">
        <f ca="1">IF('Invoer gegevens'!$C$17=E127,'Invoer gegevens'!$C$10-'Invoer gegevens'!$C$11,IF(C127=1,P126,0))</f>
        <v>0</v>
      </c>
      <c r="N127" s="86">
        <f ca="1">IF(C127&lt;1,0,IF(Reeksen!AK127&lt;=Reeksen!AE127,M127*Reeksen!C127,0))</f>
        <v>0</v>
      </c>
      <c r="O127" s="86">
        <f ca="1">IF(C127&lt;1,0,IF(Reeksen!AK127&gt;Reeksen!AE127,M127*Reeksen!C127,0))</f>
        <v>0</v>
      </c>
      <c r="P127" s="86">
        <f t="shared" ca="1" si="16"/>
        <v>0</v>
      </c>
      <c r="Q127" s="82">
        <f ca="1">IF('Invoer gegevens'!$C$17=E127,I127,IF(C127=0,0,R126))</f>
        <v>0</v>
      </c>
      <c r="R127" s="84">
        <f t="shared" ca="1" si="11"/>
        <v>0</v>
      </c>
      <c r="S127" s="84">
        <f ca="1">IF('Invoer gegevens'!$C$17=E127,M127,IF(C127=0,0,T126))</f>
        <v>0</v>
      </c>
      <c r="T127" s="84">
        <f t="shared" ca="1" si="12"/>
        <v>0</v>
      </c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8"/>
      <c r="AI127" s="71">
        <f ca="1">IF(C127=1,((F127+H127)/2*Reeksen!AJ127*12)+(('Invoer gegevens'!$C$10-(F127+H127)/2)*Reeksen!AK127*12),0)</f>
        <v>0</v>
      </c>
      <c r="AJ127" s="71">
        <f ca="1">-AI127*'Invoer gegevens'!$F$28</f>
        <v>0</v>
      </c>
      <c r="AK127" s="71">
        <f t="shared" ca="1" si="13"/>
        <v>0</v>
      </c>
      <c r="AL127" s="71">
        <f ca="1">IF(C127=1,(12*((F127+H127)/2)*Reeksen!AL127)+(12*('Invoer gegevens'!$C$10-(F127+H127)/2)*Reeksen!AM127),0)</f>
        <v>0</v>
      </c>
      <c r="AM127" s="71">
        <f ca="1">-AL127*'Invoer gegevens'!$F$31</f>
        <v>0</v>
      </c>
      <c r="AN127" s="71">
        <f t="shared" ca="1" si="17"/>
        <v>0</v>
      </c>
      <c r="AO127" s="71"/>
      <c r="AP127" s="71"/>
      <c r="AQ127" s="71">
        <f ca="1">-IF(C127=1,('Invoer gegevens'!$C$10*'Invoer gegevens'!$I$33)*Reeksen!J127,0)*2</f>
        <v>0</v>
      </c>
      <c r="AR127" s="71">
        <f ca="1">-IF(C127=1,(G127*'Invoer gegevens'!$I$34)*Reeksen!J127,0)</f>
        <v>0</v>
      </c>
      <c r="AS127" s="71">
        <f ca="1">-IF(C127=1,'Invoer gegevens'!$C$10*'Invoer gegevens'!$I$35*Reeksen!L127,0)</f>
        <v>0</v>
      </c>
      <c r="AT127" s="71">
        <f ca="1">-IF(C127=1,IF(E127='Invoer gegevens'!$C$17,'Invoer gegevens'!$C$11,Q127)*Reeksen!S127*'Invoer gegevens'!$C$18*Reeksen!P127,0)</f>
        <v>0</v>
      </c>
      <c r="AU127" s="71">
        <f ca="1">-IF(C127=1,'Invoer gegevens'!$C$10*'Invoer gegevens'!$I$36*Reeksen!H127,0)</f>
        <v>0</v>
      </c>
      <c r="AV127" s="71">
        <f t="shared" si="21"/>
        <v>0</v>
      </c>
      <c r="AW127" s="71">
        <f t="shared" ca="1" si="18"/>
        <v>0</v>
      </c>
      <c r="AX127" s="71">
        <f ca="1">IF(E127&lt;'Invoer gegevens'!$C$17+15,0,IF(E127&gt;'Invoer gegevens'!$C$17+215,0,AW127))</f>
        <v>0</v>
      </c>
      <c r="AY127" s="71">
        <f ca="1">AX127/(1+'Invoer gegevens'!$F$13)^($AZ127-('Invoer gegevens'!$C$17-'Invoer gegevens'!$C$16))/(1+'Invoer gegevens'!$C$39)^('Invoer gegevens'!$C$17-'Invoer gegevens'!$C$16)</f>
        <v>0</v>
      </c>
      <c r="AZ127" s="68">
        <f ca="1">IF(E127-'Invoer gegevens'!$C$17-14.5&lt;0,0,E127-'Invoer gegevens'!$C$17-14.5)</f>
        <v>107.5</v>
      </c>
    </row>
    <row r="128" spans="2:52" x14ac:dyDescent="0.25">
      <c r="B128" s="70">
        <f t="shared" si="19"/>
        <v>124</v>
      </c>
      <c r="C128" s="67">
        <f ca="1">IF(E128-'Invoer gegevens'!$C$17&lt;0,0,1)</f>
        <v>1</v>
      </c>
      <c r="D128" s="68">
        <f t="shared" si="20"/>
        <v>123.5</v>
      </c>
      <c r="E128" s="69">
        <f ca="1">IF('Invoer gegevens'!$C$16="","",E127+1)</f>
        <v>2142</v>
      </c>
      <c r="F128" s="82">
        <f ca="1">IF('Invoer gegevens'!$C$17=E128,'Invoer gegevens'!$C$10,IF(C128=1,H127,0))</f>
        <v>0</v>
      </c>
      <c r="G128" s="83">
        <f ca="1">IF(C128&gt;=1,F128*Reeksen!C128,0)</f>
        <v>0</v>
      </c>
      <c r="H128" s="84">
        <f t="shared" ca="1" si="14"/>
        <v>0</v>
      </c>
      <c r="I128" s="85">
        <f ca="1">IF('Invoer gegevens'!$C$17=E128,'Invoer gegevens'!$C$11,IF(C128=1,L127,0))</f>
        <v>0</v>
      </c>
      <c r="J128" s="86">
        <f ca="1">IF(C128&lt;1,0,IF(Reeksen!AK128&lt;=Reeksen!AE128,I128*Reeksen!C128,0))</f>
        <v>0</v>
      </c>
      <c r="K128" s="86">
        <f ca="1">IF(C128&lt;1,0,IF(Reeksen!AK128&gt;Reeksen!AE128,I128*Reeksen!C128,0))</f>
        <v>0</v>
      </c>
      <c r="L128" s="86">
        <f t="shared" ca="1" si="15"/>
        <v>0</v>
      </c>
      <c r="M128" s="85">
        <f ca="1">IF('Invoer gegevens'!$C$17=E128,'Invoer gegevens'!$C$10-'Invoer gegevens'!$C$11,IF(C128=1,P127,0))</f>
        <v>0</v>
      </c>
      <c r="N128" s="86">
        <f ca="1">IF(C128&lt;1,0,IF(Reeksen!AK128&lt;=Reeksen!AE128,M128*Reeksen!C128,0))</f>
        <v>0</v>
      </c>
      <c r="O128" s="86">
        <f ca="1">IF(C128&lt;1,0,IF(Reeksen!AK128&gt;Reeksen!AE128,M128*Reeksen!C128,0))</f>
        <v>0</v>
      </c>
      <c r="P128" s="86">
        <f t="shared" ca="1" si="16"/>
        <v>0</v>
      </c>
      <c r="Q128" s="82">
        <f ca="1">IF('Invoer gegevens'!$C$17=E128,I128,IF(C128=0,0,R127))</f>
        <v>0</v>
      </c>
      <c r="R128" s="84">
        <f t="shared" ca="1" si="11"/>
        <v>0</v>
      </c>
      <c r="S128" s="84">
        <f ca="1">IF('Invoer gegevens'!$C$17=E128,M128,IF(C128=0,0,T127))</f>
        <v>0</v>
      </c>
      <c r="T128" s="84">
        <f t="shared" ca="1" si="12"/>
        <v>0</v>
      </c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8"/>
      <c r="AI128" s="71">
        <f ca="1">IF(C128=1,((F128+H128)/2*Reeksen!AJ128*12)+(('Invoer gegevens'!$C$10-(F128+H128)/2)*Reeksen!AK128*12),0)</f>
        <v>0</v>
      </c>
      <c r="AJ128" s="71">
        <f ca="1">-AI128*'Invoer gegevens'!$F$28</f>
        <v>0</v>
      </c>
      <c r="AK128" s="71">
        <f t="shared" ca="1" si="13"/>
        <v>0</v>
      </c>
      <c r="AL128" s="71">
        <f ca="1">IF(C128=1,(12*((F128+H128)/2)*Reeksen!AL128)+(12*('Invoer gegevens'!$C$10-(F128+H128)/2)*Reeksen!AM128),0)</f>
        <v>0</v>
      </c>
      <c r="AM128" s="71">
        <f ca="1">-AL128*'Invoer gegevens'!$F$31</f>
        <v>0</v>
      </c>
      <c r="AN128" s="71">
        <f t="shared" ca="1" si="17"/>
        <v>0</v>
      </c>
      <c r="AO128" s="71"/>
      <c r="AP128" s="71"/>
      <c r="AQ128" s="71">
        <f ca="1">-IF(C128=1,('Invoer gegevens'!$C$10*'Invoer gegevens'!$I$33)*Reeksen!J128,0)*2</f>
        <v>0</v>
      </c>
      <c r="AR128" s="71">
        <f ca="1">-IF(C128=1,(G128*'Invoer gegevens'!$I$34)*Reeksen!J128,0)</f>
        <v>0</v>
      </c>
      <c r="AS128" s="71">
        <f ca="1">-IF(C128=1,'Invoer gegevens'!$C$10*'Invoer gegevens'!$I$35*Reeksen!L128,0)</f>
        <v>0</v>
      </c>
      <c r="AT128" s="71">
        <f ca="1">-IF(C128=1,IF(E128='Invoer gegevens'!$C$17,'Invoer gegevens'!$C$11,Q128)*Reeksen!S128*'Invoer gegevens'!$C$18*Reeksen!P128,0)</f>
        <v>0</v>
      </c>
      <c r="AU128" s="71">
        <f ca="1">-IF(C128=1,'Invoer gegevens'!$C$10*'Invoer gegevens'!$I$36*Reeksen!H128,0)</f>
        <v>0</v>
      </c>
      <c r="AV128" s="71">
        <f t="shared" si="21"/>
        <v>0</v>
      </c>
      <c r="AW128" s="71">
        <f t="shared" ca="1" si="18"/>
        <v>0</v>
      </c>
      <c r="AX128" s="71">
        <f ca="1">IF(E128&lt;'Invoer gegevens'!$C$17+15,0,IF(E128&gt;'Invoer gegevens'!$C$17+215,0,AW128))</f>
        <v>0</v>
      </c>
      <c r="AY128" s="71">
        <f ca="1">AX128/(1+'Invoer gegevens'!$F$13)^($AZ128-('Invoer gegevens'!$C$17-'Invoer gegevens'!$C$16))/(1+'Invoer gegevens'!$C$39)^('Invoer gegevens'!$C$17-'Invoer gegevens'!$C$16)</f>
        <v>0</v>
      </c>
      <c r="AZ128" s="68">
        <f ca="1">IF(E128-'Invoer gegevens'!$C$17-14.5&lt;0,0,E128-'Invoer gegevens'!$C$17-14.5)</f>
        <v>108.5</v>
      </c>
    </row>
    <row r="129" spans="2:52" x14ac:dyDescent="0.25">
      <c r="B129" s="70">
        <f t="shared" si="19"/>
        <v>125</v>
      </c>
      <c r="C129" s="67">
        <f ca="1">IF(E129-'Invoer gegevens'!$C$17&lt;0,0,1)</f>
        <v>1</v>
      </c>
      <c r="D129" s="68">
        <f t="shared" si="20"/>
        <v>124.5</v>
      </c>
      <c r="E129" s="69">
        <f ca="1">IF('Invoer gegevens'!$C$16="","",E128+1)</f>
        <v>2143</v>
      </c>
      <c r="F129" s="82">
        <f ca="1">IF('Invoer gegevens'!$C$17=E129,'Invoer gegevens'!$C$10,IF(C129=1,H128,0))</f>
        <v>0</v>
      </c>
      <c r="G129" s="83">
        <f ca="1">IF(C129&gt;=1,F129*Reeksen!C129,0)</f>
        <v>0</v>
      </c>
      <c r="H129" s="84">
        <f t="shared" ca="1" si="14"/>
        <v>0</v>
      </c>
      <c r="I129" s="85">
        <f ca="1">IF('Invoer gegevens'!$C$17=E129,'Invoer gegevens'!$C$11,IF(C129=1,L128,0))</f>
        <v>0</v>
      </c>
      <c r="J129" s="86">
        <f ca="1">IF(C129&lt;1,0,IF(Reeksen!AK129&lt;=Reeksen!AE129,I129*Reeksen!C129,0))</f>
        <v>0</v>
      </c>
      <c r="K129" s="86">
        <f ca="1">IF(C129&lt;1,0,IF(Reeksen!AK129&gt;Reeksen!AE129,I129*Reeksen!C129,0))</f>
        <v>0</v>
      </c>
      <c r="L129" s="86">
        <f t="shared" ca="1" si="15"/>
        <v>0</v>
      </c>
      <c r="M129" s="85">
        <f ca="1">IF('Invoer gegevens'!$C$17=E129,'Invoer gegevens'!$C$10-'Invoer gegevens'!$C$11,IF(C129=1,P128,0))</f>
        <v>0</v>
      </c>
      <c r="N129" s="86">
        <f ca="1">IF(C129&lt;1,0,IF(Reeksen!AK129&lt;=Reeksen!AE129,M129*Reeksen!C129,0))</f>
        <v>0</v>
      </c>
      <c r="O129" s="86">
        <f ca="1">IF(C129&lt;1,0,IF(Reeksen!AK129&gt;Reeksen!AE129,M129*Reeksen!C129,0))</f>
        <v>0</v>
      </c>
      <c r="P129" s="86">
        <f t="shared" ca="1" si="16"/>
        <v>0</v>
      </c>
      <c r="Q129" s="82">
        <f ca="1">IF('Invoer gegevens'!$C$17=E129,I129,IF(C129=0,0,R128))</f>
        <v>0</v>
      </c>
      <c r="R129" s="84">
        <f t="shared" ca="1" si="11"/>
        <v>0</v>
      </c>
      <c r="S129" s="84">
        <f ca="1">IF('Invoer gegevens'!$C$17=E129,M129,IF(C129=0,0,T128))</f>
        <v>0</v>
      </c>
      <c r="T129" s="84">
        <f t="shared" ca="1" si="12"/>
        <v>0</v>
      </c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8"/>
      <c r="AI129" s="71">
        <f ca="1">IF(C129=1,((F129+H129)/2*Reeksen!AJ129*12)+(('Invoer gegevens'!$C$10-(F129+H129)/2)*Reeksen!AK129*12),0)</f>
        <v>0</v>
      </c>
      <c r="AJ129" s="71">
        <f ca="1">-AI129*'Invoer gegevens'!$F$28</f>
        <v>0</v>
      </c>
      <c r="AK129" s="71">
        <f t="shared" ca="1" si="13"/>
        <v>0</v>
      </c>
      <c r="AL129" s="71">
        <f ca="1">IF(C129=1,(12*((F129+H129)/2)*Reeksen!AL129)+(12*('Invoer gegevens'!$C$10-(F129+H129)/2)*Reeksen!AM129),0)</f>
        <v>0</v>
      </c>
      <c r="AM129" s="71">
        <f ca="1">-AL129*'Invoer gegevens'!$F$31</f>
        <v>0</v>
      </c>
      <c r="AN129" s="71">
        <f t="shared" ca="1" si="17"/>
        <v>0</v>
      </c>
      <c r="AO129" s="71"/>
      <c r="AP129" s="71"/>
      <c r="AQ129" s="71">
        <f ca="1">-IF(C129=1,('Invoer gegevens'!$C$10*'Invoer gegevens'!$I$33)*Reeksen!J129,0)*2</f>
        <v>0</v>
      </c>
      <c r="AR129" s="71">
        <f ca="1">-IF(C129=1,(G129*'Invoer gegevens'!$I$34)*Reeksen!J129,0)</f>
        <v>0</v>
      </c>
      <c r="AS129" s="71">
        <f ca="1">-IF(C129=1,'Invoer gegevens'!$C$10*'Invoer gegevens'!$I$35*Reeksen!L129,0)</f>
        <v>0</v>
      </c>
      <c r="AT129" s="71">
        <f ca="1">-IF(C129=1,IF(E129='Invoer gegevens'!$C$17,'Invoer gegevens'!$C$11,Q129)*Reeksen!S129*'Invoer gegevens'!$C$18*Reeksen!P129,0)</f>
        <v>0</v>
      </c>
      <c r="AU129" s="71">
        <f ca="1">-IF(C129=1,'Invoer gegevens'!$C$10*'Invoer gegevens'!$I$36*Reeksen!H129,0)</f>
        <v>0</v>
      </c>
      <c r="AV129" s="71">
        <f t="shared" si="21"/>
        <v>0</v>
      </c>
      <c r="AW129" s="71">
        <f t="shared" ca="1" si="18"/>
        <v>0</v>
      </c>
      <c r="AX129" s="71">
        <f ca="1">IF(E129&lt;'Invoer gegevens'!$C$17+15,0,IF(E129&gt;'Invoer gegevens'!$C$17+215,0,AW129))</f>
        <v>0</v>
      </c>
      <c r="AY129" s="71">
        <f ca="1">AX129/(1+'Invoer gegevens'!$F$13)^($AZ129-('Invoer gegevens'!$C$17-'Invoer gegevens'!$C$16))/(1+'Invoer gegevens'!$C$39)^('Invoer gegevens'!$C$17-'Invoer gegevens'!$C$16)</f>
        <v>0</v>
      </c>
      <c r="AZ129" s="68">
        <f ca="1">IF(E129-'Invoer gegevens'!$C$17-14.5&lt;0,0,E129-'Invoer gegevens'!$C$17-14.5)</f>
        <v>109.5</v>
      </c>
    </row>
    <row r="130" spans="2:52" x14ac:dyDescent="0.25">
      <c r="B130" s="70">
        <f t="shared" si="19"/>
        <v>126</v>
      </c>
      <c r="C130" s="67">
        <f ca="1">IF(E130-'Invoer gegevens'!$C$17&lt;0,0,1)</f>
        <v>1</v>
      </c>
      <c r="D130" s="68">
        <f t="shared" si="20"/>
        <v>125.5</v>
      </c>
      <c r="E130" s="69">
        <f ca="1">IF('Invoer gegevens'!$C$16="","",E129+1)</f>
        <v>2144</v>
      </c>
      <c r="F130" s="82">
        <f ca="1">IF('Invoer gegevens'!$C$17=E130,'Invoer gegevens'!$C$10,IF(C130=1,H129,0))</f>
        <v>0</v>
      </c>
      <c r="G130" s="83">
        <f ca="1">IF(C130&gt;=1,F130*Reeksen!C130,0)</f>
        <v>0</v>
      </c>
      <c r="H130" s="84">
        <f t="shared" ca="1" si="14"/>
        <v>0</v>
      </c>
      <c r="I130" s="85">
        <f ca="1">IF('Invoer gegevens'!$C$17=E130,'Invoer gegevens'!$C$11,IF(C130=1,L129,0))</f>
        <v>0</v>
      </c>
      <c r="J130" s="86">
        <f ca="1">IF(C130&lt;1,0,IF(Reeksen!AK130&lt;=Reeksen!AE130,I130*Reeksen!C130,0))</f>
        <v>0</v>
      </c>
      <c r="K130" s="86">
        <f ca="1">IF(C130&lt;1,0,IF(Reeksen!AK130&gt;Reeksen!AE130,I130*Reeksen!C130,0))</f>
        <v>0</v>
      </c>
      <c r="L130" s="86">
        <f t="shared" ca="1" si="15"/>
        <v>0</v>
      </c>
      <c r="M130" s="85">
        <f ca="1">IF('Invoer gegevens'!$C$17=E130,'Invoer gegevens'!$C$10-'Invoer gegevens'!$C$11,IF(C130=1,P129,0))</f>
        <v>0</v>
      </c>
      <c r="N130" s="86">
        <f ca="1">IF(C130&lt;1,0,IF(Reeksen!AK130&lt;=Reeksen!AE130,M130*Reeksen!C130,0))</f>
        <v>0</v>
      </c>
      <c r="O130" s="86">
        <f ca="1">IF(C130&lt;1,0,IF(Reeksen!AK130&gt;Reeksen!AE130,M130*Reeksen!C130,0))</f>
        <v>0</v>
      </c>
      <c r="P130" s="86">
        <f t="shared" ca="1" si="16"/>
        <v>0</v>
      </c>
      <c r="Q130" s="82">
        <f ca="1">IF('Invoer gegevens'!$C$17=E130,I130,IF(C130=0,0,R129))</f>
        <v>0</v>
      </c>
      <c r="R130" s="84">
        <f t="shared" ca="1" si="11"/>
        <v>0</v>
      </c>
      <c r="S130" s="84">
        <f ca="1">IF('Invoer gegevens'!$C$17=E130,M130,IF(C130=0,0,T129))</f>
        <v>0</v>
      </c>
      <c r="T130" s="84">
        <f t="shared" ca="1" si="12"/>
        <v>0</v>
      </c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8"/>
      <c r="AI130" s="71">
        <f ca="1">IF(C130=1,((F130+H130)/2*Reeksen!AJ130*12)+(('Invoer gegevens'!$C$10-(F130+H130)/2)*Reeksen!AK130*12),0)</f>
        <v>0</v>
      </c>
      <c r="AJ130" s="71">
        <f ca="1">-AI130*'Invoer gegevens'!$F$28</f>
        <v>0</v>
      </c>
      <c r="AK130" s="71">
        <f t="shared" ca="1" si="13"/>
        <v>0</v>
      </c>
      <c r="AL130" s="71">
        <f ca="1">IF(C130=1,(12*((F130+H130)/2)*Reeksen!AL130)+(12*('Invoer gegevens'!$C$10-(F130+H130)/2)*Reeksen!AM130),0)</f>
        <v>0</v>
      </c>
      <c r="AM130" s="71">
        <f ca="1">-AL130*'Invoer gegevens'!$F$31</f>
        <v>0</v>
      </c>
      <c r="AN130" s="71">
        <f t="shared" ca="1" si="17"/>
        <v>0</v>
      </c>
      <c r="AO130" s="71"/>
      <c r="AP130" s="71"/>
      <c r="AQ130" s="71">
        <f ca="1">-IF(C130=1,('Invoer gegevens'!$C$10*'Invoer gegevens'!$I$33)*Reeksen!J130,0)*2</f>
        <v>0</v>
      </c>
      <c r="AR130" s="71">
        <f ca="1">-IF(C130=1,(G130*'Invoer gegevens'!$I$34)*Reeksen!J130,0)</f>
        <v>0</v>
      </c>
      <c r="AS130" s="71">
        <f ca="1">-IF(C130=1,'Invoer gegevens'!$C$10*'Invoer gegevens'!$I$35*Reeksen!L130,0)</f>
        <v>0</v>
      </c>
      <c r="AT130" s="71">
        <f ca="1">-IF(C130=1,IF(E130='Invoer gegevens'!$C$17,'Invoer gegevens'!$C$11,Q130)*Reeksen!S130*'Invoer gegevens'!$C$18*Reeksen!P130,0)</f>
        <v>0</v>
      </c>
      <c r="AU130" s="71">
        <f ca="1">-IF(C130=1,'Invoer gegevens'!$C$10*'Invoer gegevens'!$I$36*Reeksen!H130,0)</f>
        <v>0</v>
      </c>
      <c r="AV130" s="71">
        <f t="shared" si="21"/>
        <v>0</v>
      </c>
      <c r="AW130" s="71">
        <f t="shared" ca="1" si="18"/>
        <v>0</v>
      </c>
      <c r="AX130" s="71">
        <f ca="1">IF(E130&lt;'Invoer gegevens'!$C$17+15,0,IF(E130&gt;'Invoer gegevens'!$C$17+215,0,AW130))</f>
        <v>0</v>
      </c>
      <c r="AY130" s="71">
        <f ca="1">AX130/(1+'Invoer gegevens'!$F$13)^($AZ130-('Invoer gegevens'!$C$17-'Invoer gegevens'!$C$16))/(1+'Invoer gegevens'!$C$39)^('Invoer gegevens'!$C$17-'Invoer gegevens'!$C$16)</f>
        <v>0</v>
      </c>
      <c r="AZ130" s="68">
        <f ca="1">IF(E130-'Invoer gegevens'!$C$17-14.5&lt;0,0,E130-'Invoer gegevens'!$C$17-14.5)</f>
        <v>110.5</v>
      </c>
    </row>
    <row r="131" spans="2:52" x14ac:dyDescent="0.25">
      <c r="B131" s="70">
        <f t="shared" si="19"/>
        <v>127</v>
      </c>
      <c r="C131" s="67">
        <f ca="1">IF(E131-'Invoer gegevens'!$C$17&lt;0,0,1)</f>
        <v>1</v>
      </c>
      <c r="D131" s="68">
        <f t="shared" si="20"/>
        <v>126.5</v>
      </c>
      <c r="E131" s="69">
        <f ca="1">IF('Invoer gegevens'!$C$16="","",E130+1)</f>
        <v>2145</v>
      </c>
      <c r="F131" s="82">
        <f ca="1">IF('Invoer gegevens'!$C$17=E131,'Invoer gegevens'!$C$10,IF(C131=1,H130,0))</f>
        <v>0</v>
      </c>
      <c r="G131" s="83">
        <f ca="1">IF(C131&gt;=1,F131*Reeksen!C131,0)</f>
        <v>0</v>
      </c>
      <c r="H131" s="84">
        <f t="shared" ca="1" si="14"/>
        <v>0</v>
      </c>
      <c r="I131" s="85">
        <f ca="1">IF('Invoer gegevens'!$C$17=E131,'Invoer gegevens'!$C$11,IF(C131=1,L130,0))</f>
        <v>0</v>
      </c>
      <c r="J131" s="86">
        <f ca="1">IF(C131&lt;1,0,IF(Reeksen!AK131&lt;=Reeksen!AE131,I131*Reeksen!C131,0))</f>
        <v>0</v>
      </c>
      <c r="K131" s="86">
        <f ca="1">IF(C131&lt;1,0,IF(Reeksen!AK131&gt;Reeksen!AE131,I131*Reeksen!C131,0))</f>
        <v>0</v>
      </c>
      <c r="L131" s="86">
        <f t="shared" ca="1" si="15"/>
        <v>0</v>
      </c>
      <c r="M131" s="85">
        <f ca="1">IF('Invoer gegevens'!$C$17=E131,'Invoer gegevens'!$C$10-'Invoer gegevens'!$C$11,IF(C131=1,P130,0))</f>
        <v>0</v>
      </c>
      <c r="N131" s="86">
        <f ca="1">IF(C131&lt;1,0,IF(Reeksen!AK131&lt;=Reeksen!AE131,M131*Reeksen!C131,0))</f>
        <v>0</v>
      </c>
      <c r="O131" s="86">
        <f ca="1">IF(C131&lt;1,0,IF(Reeksen!AK131&gt;Reeksen!AE131,M131*Reeksen!C131,0))</f>
        <v>0</v>
      </c>
      <c r="P131" s="86">
        <f t="shared" ca="1" si="16"/>
        <v>0</v>
      </c>
      <c r="Q131" s="82">
        <f ca="1">IF('Invoer gegevens'!$C$17=E131,I131,IF(C131=0,0,R130))</f>
        <v>0</v>
      </c>
      <c r="R131" s="84">
        <f t="shared" ca="1" si="11"/>
        <v>0</v>
      </c>
      <c r="S131" s="84">
        <f ca="1">IF('Invoer gegevens'!$C$17=E131,M131,IF(C131=0,0,T130))</f>
        <v>0</v>
      </c>
      <c r="T131" s="84">
        <f t="shared" ca="1" si="12"/>
        <v>0</v>
      </c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8"/>
      <c r="AI131" s="71">
        <f ca="1">IF(C131=1,((F131+H131)/2*Reeksen!AJ131*12)+(('Invoer gegevens'!$C$10-(F131+H131)/2)*Reeksen!AK131*12),0)</f>
        <v>0</v>
      </c>
      <c r="AJ131" s="71">
        <f ca="1">-AI131*'Invoer gegevens'!$F$28</f>
        <v>0</v>
      </c>
      <c r="AK131" s="71">
        <f t="shared" ca="1" si="13"/>
        <v>0</v>
      </c>
      <c r="AL131" s="71">
        <f ca="1">IF(C131=1,(12*((F131+H131)/2)*Reeksen!AL131)+(12*('Invoer gegevens'!$C$10-(F131+H131)/2)*Reeksen!AM131),0)</f>
        <v>0</v>
      </c>
      <c r="AM131" s="71">
        <f ca="1">-AL131*'Invoer gegevens'!$F$31</f>
        <v>0</v>
      </c>
      <c r="AN131" s="71">
        <f t="shared" ca="1" si="17"/>
        <v>0</v>
      </c>
      <c r="AO131" s="71"/>
      <c r="AP131" s="71"/>
      <c r="AQ131" s="71">
        <f ca="1">-IF(C131=1,('Invoer gegevens'!$C$10*'Invoer gegevens'!$I$33)*Reeksen!J131,0)*2</f>
        <v>0</v>
      </c>
      <c r="AR131" s="71">
        <f ca="1">-IF(C131=1,(G131*'Invoer gegevens'!$I$34)*Reeksen!J131,0)</f>
        <v>0</v>
      </c>
      <c r="AS131" s="71">
        <f ca="1">-IF(C131=1,'Invoer gegevens'!$C$10*'Invoer gegevens'!$I$35*Reeksen!L131,0)</f>
        <v>0</v>
      </c>
      <c r="AT131" s="71">
        <f ca="1">-IF(C131=1,IF(E131='Invoer gegevens'!$C$17,'Invoer gegevens'!$C$11,Q131)*Reeksen!S131*'Invoer gegevens'!$C$18*Reeksen!P131,0)</f>
        <v>0</v>
      </c>
      <c r="AU131" s="71">
        <f ca="1">-IF(C131=1,'Invoer gegevens'!$C$10*'Invoer gegevens'!$I$36*Reeksen!H131,0)</f>
        <v>0</v>
      </c>
      <c r="AV131" s="71">
        <f t="shared" si="21"/>
        <v>0</v>
      </c>
      <c r="AW131" s="71">
        <f t="shared" ca="1" si="18"/>
        <v>0</v>
      </c>
      <c r="AX131" s="71">
        <f ca="1">IF(E131&lt;'Invoer gegevens'!$C$17+15,0,IF(E131&gt;'Invoer gegevens'!$C$17+215,0,AW131))</f>
        <v>0</v>
      </c>
      <c r="AY131" s="71">
        <f ca="1">AX131/(1+'Invoer gegevens'!$F$13)^($AZ131-('Invoer gegevens'!$C$17-'Invoer gegevens'!$C$16))/(1+'Invoer gegevens'!$C$39)^('Invoer gegevens'!$C$17-'Invoer gegevens'!$C$16)</f>
        <v>0</v>
      </c>
      <c r="AZ131" s="68">
        <f ca="1">IF(E131-'Invoer gegevens'!$C$17-14.5&lt;0,0,E131-'Invoer gegevens'!$C$17-14.5)</f>
        <v>111.5</v>
      </c>
    </row>
    <row r="132" spans="2:52" x14ac:dyDescent="0.25">
      <c r="B132" s="70">
        <f t="shared" si="19"/>
        <v>128</v>
      </c>
      <c r="C132" s="67">
        <f ca="1">IF(E132-'Invoer gegevens'!$C$17&lt;0,0,1)</f>
        <v>1</v>
      </c>
      <c r="D132" s="68">
        <f t="shared" si="20"/>
        <v>127.5</v>
      </c>
      <c r="E132" s="69">
        <f ca="1">IF('Invoer gegevens'!$C$16="","",E131+1)</f>
        <v>2146</v>
      </c>
      <c r="F132" s="82">
        <f ca="1">IF('Invoer gegevens'!$C$17=E132,'Invoer gegevens'!$C$10,IF(C132=1,H131,0))</f>
        <v>0</v>
      </c>
      <c r="G132" s="83">
        <f ca="1">IF(C132&gt;=1,F132*Reeksen!C132,0)</f>
        <v>0</v>
      </c>
      <c r="H132" s="84">
        <f t="shared" ca="1" si="14"/>
        <v>0</v>
      </c>
      <c r="I132" s="85">
        <f ca="1">IF('Invoer gegevens'!$C$17=E132,'Invoer gegevens'!$C$11,IF(C132=1,L131,0))</f>
        <v>0</v>
      </c>
      <c r="J132" s="86">
        <f ca="1">IF(C132&lt;1,0,IF(Reeksen!AK132&lt;=Reeksen!AE132,I132*Reeksen!C132,0))</f>
        <v>0</v>
      </c>
      <c r="K132" s="86">
        <f ca="1">IF(C132&lt;1,0,IF(Reeksen!AK132&gt;Reeksen!AE132,I132*Reeksen!C132,0))</f>
        <v>0</v>
      </c>
      <c r="L132" s="86">
        <f t="shared" ca="1" si="15"/>
        <v>0</v>
      </c>
      <c r="M132" s="85">
        <f ca="1">IF('Invoer gegevens'!$C$17=E132,'Invoer gegevens'!$C$10-'Invoer gegevens'!$C$11,IF(C132=1,P131,0))</f>
        <v>0</v>
      </c>
      <c r="N132" s="86">
        <f ca="1">IF(C132&lt;1,0,IF(Reeksen!AK132&lt;=Reeksen!AE132,M132*Reeksen!C132,0))</f>
        <v>0</v>
      </c>
      <c r="O132" s="86">
        <f ca="1">IF(C132&lt;1,0,IF(Reeksen!AK132&gt;Reeksen!AE132,M132*Reeksen!C132,0))</f>
        <v>0</v>
      </c>
      <c r="P132" s="86">
        <f t="shared" ca="1" si="16"/>
        <v>0</v>
      </c>
      <c r="Q132" s="82">
        <f ca="1">IF('Invoer gegevens'!$C$17=E132,I132,IF(C132=0,0,R131))</f>
        <v>0</v>
      </c>
      <c r="R132" s="84">
        <f t="shared" ca="1" si="11"/>
        <v>0</v>
      </c>
      <c r="S132" s="84">
        <f ca="1">IF('Invoer gegevens'!$C$17=E132,M132,IF(C132=0,0,T131))</f>
        <v>0</v>
      </c>
      <c r="T132" s="84">
        <f t="shared" ca="1" si="12"/>
        <v>0</v>
      </c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8"/>
      <c r="AI132" s="71">
        <f ca="1">IF(C132=1,((F132+H132)/2*Reeksen!AJ132*12)+(('Invoer gegevens'!$C$10-(F132+H132)/2)*Reeksen!AK132*12),0)</f>
        <v>0</v>
      </c>
      <c r="AJ132" s="71">
        <f ca="1">-AI132*'Invoer gegevens'!$F$28</f>
        <v>0</v>
      </c>
      <c r="AK132" s="71">
        <f t="shared" ca="1" si="13"/>
        <v>0</v>
      </c>
      <c r="AL132" s="71">
        <f ca="1">IF(C132=1,(12*((F132+H132)/2)*Reeksen!AL132)+(12*('Invoer gegevens'!$C$10-(F132+H132)/2)*Reeksen!AM132),0)</f>
        <v>0</v>
      </c>
      <c r="AM132" s="71">
        <f ca="1">-AL132*'Invoer gegevens'!$F$31</f>
        <v>0</v>
      </c>
      <c r="AN132" s="71">
        <f t="shared" ca="1" si="17"/>
        <v>0</v>
      </c>
      <c r="AO132" s="71"/>
      <c r="AP132" s="71"/>
      <c r="AQ132" s="71">
        <f ca="1">-IF(C132=1,('Invoer gegevens'!$C$10*'Invoer gegevens'!$I$33)*Reeksen!J132,0)*2</f>
        <v>0</v>
      </c>
      <c r="AR132" s="71">
        <f ca="1">-IF(C132=1,(G132*'Invoer gegevens'!$I$34)*Reeksen!J132,0)</f>
        <v>0</v>
      </c>
      <c r="AS132" s="71">
        <f ca="1">-IF(C132=1,'Invoer gegevens'!$C$10*'Invoer gegevens'!$I$35*Reeksen!L132,0)</f>
        <v>0</v>
      </c>
      <c r="AT132" s="71">
        <f ca="1">-IF(C132=1,IF(E132='Invoer gegevens'!$C$17,'Invoer gegevens'!$C$11,Q132)*Reeksen!S132*'Invoer gegevens'!$C$18*Reeksen!P132,0)</f>
        <v>0</v>
      </c>
      <c r="AU132" s="71">
        <f ca="1">-IF(C132=1,'Invoer gegevens'!$C$10*'Invoer gegevens'!$I$36*Reeksen!H132,0)</f>
        <v>0</v>
      </c>
      <c r="AV132" s="71">
        <f t="shared" si="21"/>
        <v>0</v>
      </c>
      <c r="AW132" s="71">
        <f t="shared" ca="1" si="18"/>
        <v>0</v>
      </c>
      <c r="AX132" s="71">
        <f ca="1">IF(E132&lt;'Invoer gegevens'!$C$17+15,0,IF(E132&gt;'Invoer gegevens'!$C$17+215,0,AW132))</f>
        <v>0</v>
      </c>
      <c r="AY132" s="71">
        <f ca="1">AX132/(1+'Invoer gegevens'!$F$13)^($AZ132-('Invoer gegevens'!$C$17-'Invoer gegevens'!$C$16))/(1+'Invoer gegevens'!$C$39)^('Invoer gegevens'!$C$17-'Invoer gegevens'!$C$16)</f>
        <v>0</v>
      </c>
      <c r="AZ132" s="68">
        <f ca="1">IF(E132-'Invoer gegevens'!$C$17-14.5&lt;0,0,E132-'Invoer gegevens'!$C$17-14.5)</f>
        <v>112.5</v>
      </c>
    </row>
    <row r="133" spans="2:52" x14ac:dyDescent="0.25">
      <c r="B133" s="70">
        <f t="shared" si="19"/>
        <v>129</v>
      </c>
      <c r="C133" s="67">
        <f ca="1">IF(E133-'Invoer gegevens'!$C$17&lt;0,0,1)</f>
        <v>1</v>
      </c>
      <c r="D133" s="68">
        <f t="shared" si="20"/>
        <v>128.5</v>
      </c>
      <c r="E133" s="69">
        <f ca="1">IF('Invoer gegevens'!$C$16="","",E132+1)</f>
        <v>2147</v>
      </c>
      <c r="F133" s="82">
        <f ca="1">IF('Invoer gegevens'!$C$17=E133,'Invoer gegevens'!$C$10,IF(C133=1,H132,0))</f>
        <v>0</v>
      </c>
      <c r="G133" s="83">
        <f ca="1">IF(C133&gt;=1,F133*Reeksen!C133,0)</f>
        <v>0</v>
      </c>
      <c r="H133" s="84">
        <f t="shared" ca="1" si="14"/>
        <v>0</v>
      </c>
      <c r="I133" s="85">
        <f ca="1">IF('Invoer gegevens'!$C$17=E133,'Invoer gegevens'!$C$11,IF(C133=1,L132,0))</f>
        <v>0</v>
      </c>
      <c r="J133" s="86">
        <f ca="1">IF(C133&lt;1,0,IF(Reeksen!AK133&lt;=Reeksen!AE133,I133*Reeksen!C133,0))</f>
        <v>0</v>
      </c>
      <c r="K133" s="86">
        <f ca="1">IF(C133&lt;1,0,IF(Reeksen!AK133&gt;Reeksen!AE133,I133*Reeksen!C133,0))</f>
        <v>0</v>
      </c>
      <c r="L133" s="86">
        <f t="shared" ca="1" si="15"/>
        <v>0</v>
      </c>
      <c r="M133" s="85">
        <f ca="1">IF('Invoer gegevens'!$C$17=E133,'Invoer gegevens'!$C$10-'Invoer gegevens'!$C$11,IF(C133=1,P132,0))</f>
        <v>0</v>
      </c>
      <c r="N133" s="86">
        <f ca="1">IF(C133&lt;1,0,IF(Reeksen!AK133&lt;=Reeksen!AE133,M133*Reeksen!C133,0))</f>
        <v>0</v>
      </c>
      <c r="O133" s="86">
        <f ca="1">IF(C133&lt;1,0,IF(Reeksen!AK133&gt;Reeksen!AE133,M133*Reeksen!C133,0))</f>
        <v>0</v>
      </c>
      <c r="P133" s="86">
        <f t="shared" ca="1" si="16"/>
        <v>0</v>
      </c>
      <c r="Q133" s="82">
        <f ca="1">IF('Invoer gegevens'!$C$17=E133,I133,IF(C133=0,0,R132))</f>
        <v>0</v>
      </c>
      <c r="R133" s="84">
        <f t="shared" ref="R133:R196" ca="1" si="22">IF(C133=0,0,Q133-K133+N133)</f>
        <v>0</v>
      </c>
      <c r="S133" s="84">
        <f ca="1">IF('Invoer gegevens'!$C$17=E133,M133,IF(C133=0,0,T132))</f>
        <v>0</v>
      </c>
      <c r="T133" s="84">
        <f t="shared" ref="T133:T196" ca="1" si="23">IF(C133=0,0,S133-N133+K133)</f>
        <v>0</v>
      </c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8"/>
      <c r="AI133" s="71">
        <f ca="1">IF(C133=1,((F133+H133)/2*Reeksen!AJ133*12)+(('Invoer gegevens'!$C$10-(F133+H133)/2)*Reeksen!AK133*12),0)</f>
        <v>0</v>
      </c>
      <c r="AJ133" s="71">
        <f ca="1">-AI133*'Invoer gegevens'!$F$28</f>
        <v>0</v>
      </c>
      <c r="AK133" s="71">
        <f t="shared" ref="AK133:AK196" ca="1" si="24">AI133+AJ133</f>
        <v>0</v>
      </c>
      <c r="AL133" s="71">
        <f ca="1">IF(C133=1,(12*((F133+H133)/2)*Reeksen!AL133)+(12*('Invoer gegevens'!$C$10-(F133+H133)/2)*Reeksen!AM133),0)</f>
        <v>0</v>
      </c>
      <c r="AM133" s="71">
        <f ca="1">-AL133*'Invoer gegevens'!$F$31</f>
        <v>0</v>
      </c>
      <c r="AN133" s="71">
        <f t="shared" ca="1" si="17"/>
        <v>0</v>
      </c>
      <c r="AO133" s="71"/>
      <c r="AP133" s="71"/>
      <c r="AQ133" s="71">
        <f ca="1">-IF(C133=1,('Invoer gegevens'!$C$10*'Invoer gegevens'!$I$33)*Reeksen!J133,0)*2</f>
        <v>0</v>
      </c>
      <c r="AR133" s="71">
        <f ca="1">-IF(C133=1,(G133*'Invoer gegevens'!$I$34)*Reeksen!J133,0)</f>
        <v>0</v>
      </c>
      <c r="AS133" s="71">
        <f ca="1">-IF(C133=1,'Invoer gegevens'!$C$10*'Invoer gegevens'!$I$35*Reeksen!L133,0)</f>
        <v>0</v>
      </c>
      <c r="AT133" s="71">
        <f ca="1">-IF(C133=1,IF(E133='Invoer gegevens'!$C$17,'Invoer gegevens'!$C$11,Q133)*Reeksen!S133*'Invoer gegevens'!$C$18*Reeksen!P133,0)</f>
        <v>0</v>
      </c>
      <c r="AU133" s="71">
        <f ca="1">-IF(C133=1,'Invoer gegevens'!$C$10*'Invoer gegevens'!$I$36*Reeksen!H133,0)</f>
        <v>0</v>
      </c>
      <c r="AV133" s="71">
        <f t="shared" si="21"/>
        <v>0</v>
      </c>
      <c r="AW133" s="71">
        <f t="shared" ca="1" si="18"/>
        <v>0</v>
      </c>
      <c r="AX133" s="71">
        <f ca="1">IF(E133&lt;'Invoer gegevens'!$C$17+15,0,IF(E133&gt;'Invoer gegevens'!$C$17+215,0,AW133))</f>
        <v>0</v>
      </c>
      <c r="AY133" s="71">
        <f ca="1">AX133/(1+'Invoer gegevens'!$F$13)^($AZ133-('Invoer gegevens'!$C$17-'Invoer gegevens'!$C$16))/(1+'Invoer gegevens'!$C$39)^('Invoer gegevens'!$C$17-'Invoer gegevens'!$C$16)</f>
        <v>0</v>
      </c>
      <c r="AZ133" s="68">
        <f ca="1">IF(E133-'Invoer gegevens'!$C$17-14.5&lt;0,0,E133-'Invoer gegevens'!$C$17-14.5)</f>
        <v>113.5</v>
      </c>
    </row>
    <row r="134" spans="2:52" x14ac:dyDescent="0.25">
      <c r="B134" s="70">
        <f t="shared" si="19"/>
        <v>130</v>
      </c>
      <c r="C134" s="67">
        <f ca="1">IF(E134-'Invoer gegevens'!$C$17&lt;0,0,1)</f>
        <v>1</v>
      </c>
      <c r="D134" s="68">
        <f t="shared" si="20"/>
        <v>129.5</v>
      </c>
      <c r="E134" s="69">
        <f ca="1">IF('Invoer gegevens'!$C$16="","",E133+1)</f>
        <v>2148</v>
      </c>
      <c r="F134" s="82">
        <f ca="1">IF('Invoer gegevens'!$C$17=E134,'Invoer gegevens'!$C$10,IF(C134=1,H133,0))</f>
        <v>0</v>
      </c>
      <c r="G134" s="83">
        <f ca="1">IF(C134&gt;=1,F134*Reeksen!C134,0)</f>
        <v>0</v>
      </c>
      <c r="H134" s="84">
        <f t="shared" ref="H134:H197" ca="1" si="25">F134-G134</f>
        <v>0</v>
      </c>
      <c r="I134" s="85">
        <f ca="1">IF('Invoer gegevens'!$C$17=E134,'Invoer gegevens'!$C$11,IF(C134=1,L133,0))</f>
        <v>0</v>
      </c>
      <c r="J134" s="86">
        <f ca="1">IF(C134&lt;1,0,IF(Reeksen!AK134&lt;=Reeksen!AE134,I134*Reeksen!C134,0))</f>
        <v>0</v>
      </c>
      <c r="K134" s="86">
        <f ca="1">IF(C134&lt;1,0,IF(Reeksen!AK134&gt;Reeksen!AE134,I134*Reeksen!C134,0))</f>
        <v>0</v>
      </c>
      <c r="L134" s="86">
        <f t="shared" ref="L134:L197" ca="1" si="26">I134-J134-K134</f>
        <v>0</v>
      </c>
      <c r="M134" s="85">
        <f ca="1">IF('Invoer gegevens'!$C$17=E134,'Invoer gegevens'!$C$10-'Invoer gegevens'!$C$11,IF(C134=1,P133,0))</f>
        <v>0</v>
      </c>
      <c r="N134" s="86">
        <f ca="1">IF(C134&lt;1,0,IF(Reeksen!AK134&lt;=Reeksen!AE134,M134*Reeksen!C134,0))</f>
        <v>0</v>
      </c>
      <c r="O134" s="86">
        <f ca="1">IF(C134&lt;1,0,IF(Reeksen!AK134&gt;Reeksen!AE134,M134*Reeksen!C134,0))</f>
        <v>0</v>
      </c>
      <c r="P134" s="86">
        <f t="shared" ref="P134:P197" ca="1" si="27">M134-N134-O134</f>
        <v>0</v>
      </c>
      <c r="Q134" s="82">
        <f ca="1">IF('Invoer gegevens'!$C$17=E134,I134,IF(C134=0,0,R133))</f>
        <v>0</v>
      </c>
      <c r="R134" s="84">
        <f t="shared" ca="1" si="22"/>
        <v>0</v>
      </c>
      <c r="S134" s="84">
        <f ca="1">IF('Invoer gegevens'!$C$17=E134,M134,IF(C134=0,0,T133))</f>
        <v>0</v>
      </c>
      <c r="T134" s="84">
        <f t="shared" ca="1" si="23"/>
        <v>0</v>
      </c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8"/>
      <c r="AI134" s="71">
        <f ca="1">IF(C134=1,((F134+H134)/2*Reeksen!AJ134*12)+(('Invoer gegevens'!$C$10-(F134+H134)/2)*Reeksen!AK134*12),0)</f>
        <v>0</v>
      </c>
      <c r="AJ134" s="71">
        <f ca="1">-AI134*'Invoer gegevens'!$F$28</f>
        <v>0</v>
      </c>
      <c r="AK134" s="71">
        <f t="shared" ca="1" si="24"/>
        <v>0</v>
      </c>
      <c r="AL134" s="71">
        <f ca="1">IF(C134=1,(12*((F134+H134)/2)*Reeksen!AL134)+(12*('Invoer gegevens'!$C$10-(F134+H134)/2)*Reeksen!AM134),0)</f>
        <v>0</v>
      </c>
      <c r="AM134" s="71">
        <f ca="1">-AL134*'Invoer gegevens'!$F$31</f>
        <v>0</v>
      </c>
      <c r="AN134" s="71">
        <f t="shared" ref="AN134:AN197" ca="1" si="28">AL134+AM134</f>
        <v>0</v>
      </c>
      <c r="AO134" s="71"/>
      <c r="AP134" s="71"/>
      <c r="AQ134" s="71">
        <f ca="1">-IF(C134=1,('Invoer gegevens'!$C$10*'Invoer gegevens'!$I$33)*Reeksen!J134,0)*2</f>
        <v>0</v>
      </c>
      <c r="AR134" s="71">
        <f ca="1">-IF(C134=1,(G134*'Invoer gegevens'!$I$34)*Reeksen!J134,0)</f>
        <v>0</v>
      </c>
      <c r="AS134" s="71">
        <f ca="1">-IF(C134=1,'Invoer gegevens'!$C$10*'Invoer gegevens'!$I$35*Reeksen!L134,0)</f>
        <v>0</v>
      </c>
      <c r="AT134" s="71">
        <f ca="1">-IF(C134=1,IF(E134='Invoer gegevens'!$C$17,'Invoer gegevens'!$C$11,Q134)*Reeksen!S134*'Invoer gegevens'!$C$18*Reeksen!P134,0)</f>
        <v>0</v>
      </c>
      <c r="AU134" s="71">
        <f ca="1">-IF(C134=1,'Invoer gegevens'!$C$10*'Invoer gegevens'!$I$36*Reeksen!H134,0)</f>
        <v>0</v>
      </c>
      <c r="AV134" s="71">
        <f t="shared" si="21"/>
        <v>0</v>
      </c>
      <c r="AW134" s="71">
        <f t="shared" ref="AW134:AW197" ca="1" si="29">SUM(AK134,AN134:AV134)</f>
        <v>0</v>
      </c>
      <c r="AX134" s="71">
        <f ca="1">IF(E134&lt;'Invoer gegevens'!$C$17+15,0,IF(E134&gt;'Invoer gegevens'!$C$17+215,0,AW134))</f>
        <v>0</v>
      </c>
      <c r="AY134" s="71">
        <f ca="1">AX134/(1+'Invoer gegevens'!$F$13)^($AZ134-('Invoer gegevens'!$C$17-'Invoer gegevens'!$C$16))/(1+'Invoer gegevens'!$C$39)^('Invoer gegevens'!$C$17-'Invoer gegevens'!$C$16)</f>
        <v>0</v>
      </c>
      <c r="AZ134" s="68">
        <f ca="1">IF(E134-'Invoer gegevens'!$C$17-14.5&lt;0,0,E134-'Invoer gegevens'!$C$17-14.5)</f>
        <v>114.5</v>
      </c>
    </row>
    <row r="135" spans="2:52" x14ac:dyDescent="0.25">
      <c r="B135" s="70">
        <f t="shared" ref="B135:B198" si="30">B134+1</f>
        <v>131</v>
      </c>
      <c r="C135" s="67">
        <f ca="1">IF(E135-'Invoer gegevens'!$C$17&lt;0,0,1)</f>
        <v>1</v>
      </c>
      <c r="D135" s="68">
        <f t="shared" ref="D135:D198" si="31">D134+1</f>
        <v>130.5</v>
      </c>
      <c r="E135" s="69">
        <f ca="1">IF('Invoer gegevens'!$C$16="","",E134+1)</f>
        <v>2149</v>
      </c>
      <c r="F135" s="82">
        <f ca="1">IF('Invoer gegevens'!$C$17=E135,'Invoer gegevens'!$C$10,IF(C135=1,H134,0))</f>
        <v>0</v>
      </c>
      <c r="G135" s="83">
        <f ca="1">IF(C135&gt;=1,F135*Reeksen!C135,0)</f>
        <v>0</v>
      </c>
      <c r="H135" s="84">
        <f t="shared" ca="1" si="25"/>
        <v>0</v>
      </c>
      <c r="I135" s="85">
        <f ca="1">IF('Invoer gegevens'!$C$17=E135,'Invoer gegevens'!$C$11,IF(C135=1,L134,0))</f>
        <v>0</v>
      </c>
      <c r="J135" s="86">
        <f ca="1">IF(C135&lt;1,0,IF(Reeksen!AK135&lt;=Reeksen!AE135,I135*Reeksen!C135,0))</f>
        <v>0</v>
      </c>
      <c r="K135" s="86">
        <f ca="1">IF(C135&lt;1,0,IF(Reeksen!AK135&gt;Reeksen!AE135,I135*Reeksen!C135,0))</f>
        <v>0</v>
      </c>
      <c r="L135" s="86">
        <f t="shared" ca="1" si="26"/>
        <v>0</v>
      </c>
      <c r="M135" s="85">
        <f ca="1">IF('Invoer gegevens'!$C$17=E135,'Invoer gegevens'!$C$10-'Invoer gegevens'!$C$11,IF(C135=1,P134,0))</f>
        <v>0</v>
      </c>
      <c r="N135" s="86">
        <f ca="1">IF(C135&lt;1,0,IF(Reeksen!AK135&lt;=Reeksen!AE135,M135*Reeksen!C135,0))</f>
        <v>0</v>
      </c>
      <c r="O135" s="86">
        <f ca="1">IF(C135&lt;1,0,IF(Reeksen!AK135&gt;Reeksen!AE135,M135*Reeksen!C135,0))</f>
        <v>0</v>
      </c>
      <c r="P135" s="86">
        <f t="shared" ca="1" si="27"/>
        <v>0</v>
      </c>
      <c r="Q135" s="82">
        <f ca="1">IF('Invoer gegevens'!$C$17=E135,I135,IF(C135=0,0,R134))</f>
        <v>0</v>
      </c>
      <c r="R135" s="84">
        <f t="shared" ca="1" si="22"/>
        <v>0</v>
      </c>
      <c r="S135" s="84">
        <f ca="1">IF('Invoer gegevens'!$C$17=E135,M135,IF(C135=0,0,T134))</f>
        <v>0</v>
      </c>
      <c r="T135" s="84">
        <f t="shared" ca="1" si="23"/>
        <v>0</v>
      </c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8"/>
      <c r="AI135" s="71">
        <f ca="1">IF(C135=1,((F135+H135)/2*Reeksen!AJ135*12)+(('Invoer gegevens'!$C$10-(F135+H135)/2)*Reeksen!AK135*12),0)</f>
        <v>0</v>
      </c>
      <c r="AJ135" s="71">
        <f ca="1">-AI135*'Invoer gegevens'!$F$28</f>
        <v>0</v>
      </c>
      <c r="AK135" s="71">
        <f t="shared" ca="1" si="24"/>
        <v>0</v>
      </c>
      <c r="AL135" s="71">
        <f ca="1">IF(C135=1,(12*((F135+H135)/2)*Reeksen!AL135)+(12*('Invoer gegevens'!$C$10-(F135+H135)/2)*Reeksen!AM135),0)</f>
        <v>0</v>
      </c>
      <c r="AM135" s="71">
        <f ca="1">-AL135*'Invoer gegevens'!$F$31</f>
        <v>0</v>
      </c>
      <c r="AN135" s="71">
        <f t="shared" ca="1" si="28"/>
        <v>0</v>
      </c>
      <c r="AO135" s="71"/>
      <c r="AP135" s="71"/>
      <c r="AQ135" s="71">
        <f ca="1">-IF(C135=1,('Invoer gegevens'!$C$10*'Invoer gegevens'!$I$33)*Reeksen!J135,0)*2</f>
        <v>0</v>
      </c>
      <c r="AR135" s="71">
        <f ca="1">-IF(C135=1,(G135*'Invoer gegevens'!$I$34)*Reeksen!J135,0)</f>
        <v>0</v>
      </c>
      <c r="AS135" s="71">
        <f ca="1">-IF(C135=1,'Invoer gegevens'!$C$10*'Invoer gegevens'!$I$35*Reeksen!L135,0)</f>
        <v>0</v>
      </c>
      <c r="AT135" s="71">
        <f ca="1">-IF(C135=1,IF(E135='Invoer gegevens'!$C$17,'Invoer gegevens'!$C$11,Q135)*Reeksen!S135*'Invoer gegevens'!$C$18*Reeksen!P135,0)</f>
        <v>0</v>
      </c>
      <c r="AU135" s="71">
        <f ca="1">-IF(C135=1,'Invoer gegevens'!$C$10*'Invoer gegevens'!$I$36*Reeksen!H135,0)</f>
        <v>0</v>
      </c>
      <c r="AV135" s="71">
        <f t="shared" si="21"/>
        <v>0</v>
      </c>
      <c r="AW135" s="71">
        <f t="shared" ca="1" si="29"/>
        <v>0</v>
      </c>
      <c r="AX135" s="71">
        <f ca="1">IF(E135&lt;'Invoer gegevens'!$C$17+15,0,IF(E135&gt;'Invoer gegevens'!$C$17+215,0,AW135))</f>
        <v>0</v>
      </c>
      <c r="AY135" s="71">
        <f ca="1">AX135/(1+'Invoer gegevens'!$F$13)^($AZ135-('Invoer gegevens'!$C$17-'Invoer gegevens'!$C$16))/(1+'Invoer gegevens'!$C$39)^('Invoer gegevens'!$C$17-'Invoer gegevens'!$C$16)</f>
        <v>0</v>
      </c>
      <c r="AZ135" s="68">
        <f ca="1">IF(E135-'Invoer gegevens'!$C$17-14.5&lt;0,0,E135-'Invoer gegevens'!$C$17-14.5)</f>
        <v>115.5</v>
      </c>
    </row>
    <row r="136" spans="2:52" x14ac:dyDescent="0.25">
      <c r="B136" s="70">
        <f t="shared" si="30"/>
        <v>132</v>
      </c>
      <c r="C136" s="67">
        <f ca="1">IF(E136-'Invoer gegevens'!$C$17&lt;0,0,1)</f>
        <v>1</v>
      </c>
      <c r="D136" s="68">
        <f t="shared" si="31"/>
        <v>131.5</v>
      </c>
      <c r="E136" s="69">
        <f ca="1">IF('Invoer gegevens'!$C$16="","",E135+1)</f>
        <v>2150</v>
      </c>
      <c r="F136" s="82">
        <f ca="1">IF('Invoer gegevens'!$C$17=E136,'Invoer gegevens'!$C$10,IF(C136=1,H135,0))</f>
        <v>0</v>
      </c>
      <c r="G136" s="83">
        <f ca="1">IF(C136&gt;=1,F136*Reeksen!C136,0)</f>
        <v>0</v>
      </c>
      <c r="H136" s="84">
        <f t="shared" ca="1" si="25"/>
        <v>0</v>
      </c>
      <c r="I136" s="85">
        <f ca="1">IF('Invoer gegevens'!$C$17=E136,'Invoer gegevens'!$C$11,IF(C136=1,L135,0))</f>
        <v>0</v>
      </c>
      <c r="J136" s="86">
        <f ca="1">IF(C136&lt;1,0,IF(Reeksen!AK136&lt;=Reeksen!AE136,I136*Reeksen!C136,0))</f>
        <v>0</v>
      </c>
      <c r="K136" s="86">
        <f ca="1">IF(C136&lt;1,0,IF(Reeksen!AK136&gt;Reeksen!AE136,I136*Reeksen!C136,0))</f>
        <v>0</v>
      </c>
      <c r="L136" s="86">
        <f t="shared" ca="1" si="26"/>
        <v>0</v>
      </c>
      <c r="M136" s="85">
        <f ca="1">IF('Invoer gegevens'!$C$17=E136,'Invoer gegevens'!$C$10-'Invoer gegevens'!$C$11,IF(C136=1,P135,0))</f>
        <v>0</v>
      </c>
      <c r="N136" s="86">
        <f ca="1">IF(C136&lt;1,0,IF(Reeksen!AK136&lt;=Reeksen!AE136,M136*Reeksen!C136,0))</f>
        <v>0</v>
      </c>
      <c r="O136" s="86">
        <f ca="1">IF(C136&lt;1,0,IF(Reeksen!AK136&gt;Reeksen!AE136,M136*Reeksen!C136,0))</f>
        <v>0</v>
      </c>
      <c r="P136" s="86">
        <f t="shared" ca="1" si="27"/>
        <v>0</v>
      </c>
      <c r="Q136" s="82">
        <f ca="1">IF('Invoer gegevens'!$C$17=E136,I136,IF(C136=0,0,R135))</f>
        <v>0</v>
      </c>
      <c r="R136" s="84">
        <f t="shared" ca="1" si="22"/>
        <v>0</v>
      </c>
      <c r="S136" s="84">
        <f ca="1">IF('Invoer gegevens'!$C$17=E136,M136,IF(C136=0,0,T135))</f>
        <v>0</v>
      </c>
      <c r="T136" s="84">
        <f t="shared" ca="1" si="23"/>
        <v>0</v>
      </c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8"/>
      <c r="AI136" s="71">
        <f ca="1">IF(C136=1,((F136+H136)/2*Reeksen!AJ136*12)+(('Invoer gegevens'!$C$10-(F136+H136)/2)*Reeksen!AK136*12),0)</f>
        <v>0</v>
      </c>
      <c r="AJ136" s="71">
        <f ca="1">-AI136*'Invoer gegevens'!$F$28</f>
        <v>0</v>
      </c>
      <c r="AK136" s="71">
        <f t="shared" ca="1" si="24"/>
        <v>0</v>
      </c>
      <c r="AL136" s="71">
        <f ca="1">IF(C136=1,(12*((F136+H136)/2)*Reeksen!AL136)+(12*('Invoer gegevens'!$C$10-(F136+H136)/2)*Reeksen!AM136),0)</f>
        <v>0</v>
      </c>
      <c r="AM136" s="71">
        <f ca="1">-AL136*'Invoer gegevens'!$F$31</f>
        <v>0</v>
      </c>
      <c r="AN136" s="71">
        <f t="shared" ca="1" si="28"/>
        <v>0</v>
      </c>
      <c r="AO136" s="71"/>
      <c r="AP136" s="71"/>
      <c r="AQ136" s="71">
        <f ca="1">-IF(C136=1,('Invoer gegevens'!$C$10*'Invoer gegevens'!$I$33)*Reeksen!J136,0)*2</f>
        <v>0</v>
      </c>
      <c r="AR136" s="71">
        <f ca="1">-IF(C136=1,(G136*'Invoer gegevens'!$I$34)*Reeksen!J136,0)</f>
        <v>0</v>
      </c>
      <c r="AS136" s="71">
        <f ca="1">-IF(C136=1,'Invoer gegevens'!$C$10*'Invoer gegevens'!$I$35*Reeksen!L136,0)</f>
        <v>0</v>
      </c>
      <c r="AT136" s="71">
        <f ca="1">-IF(C136=1,IF(E136='Invoer gegevens'!$C$17,'Invoer gegevens'!$C$11,Q136)*Reeksen!S136*'Invoer gegevens'!$C$18*Reeksen!P136,0)</f>
        <v>0</v>
      </c>
      <c r="AU136" s="71">
        <f ca="1">-IF(C136=1,'Invoer gegevens'!$C$10*'Invoer gegevens'!$I$36*Reeksen!H136,0)</f>
        <v>0</v>
      </c>
      <c r="AV136" s="71">
        <f t="shared" si="21"/>
        <v>0</v>
      </c>
      <c r="AW136" s="71">
        <f t="shared" ca="1" si="29"/>
        <v>0</v>
      </c>
      <c r="AX136" s="71">
        <f ca="1">IF(E136&lt;'Invoer gegevens'!$C$17+15,0,IF(E136&gt;'Invoer gegevens'!$C$17+215,0,AW136))</f>
        <v>0</v>
      </c>
      <c r="AY136" s="71">
        <f ca="1">AX136/(1+'Invoer gegevens'!$F$13)^($AZ136-('Invoer gegevens'!$C$17-'Invoer gegevens'!$C$16))/(1+'Invoer gegevens'!$C$39)^('Invoer gegevens'!$C$17-'Invoer gegevens'!$C$16)</f>
        <v>0</v>
      </c>
      <c r="AZ136" s="68">
        <f ca="1">IF(E136-'Invoer gegevens'!$C$17-14.5&lt;0,0,E136-'Invoer gegevens'!$C$17-14.5)</f>
        <v>116.5</v>
      </c>
    </row>
    <row r="137" spans="2:52" x14ac:dyDescent="0.25">
      <c r="B137" s="70">
        <f t="shared" si="30"/>
        <v>133</v>
      </c>
      <c r="C137" s="67">
        <f ca="1">IF(E137-'Invoer gegevens'!$C$17&lt;0,0,1)</f>
        <v>1</v>
      </c>
      <c r="D137" s="68">
        <f t="shared" si="31"/>
        <v>132.5</v>
      </c>
      <c r="E137" s="69">
        <f ca="1">IF('Invoer gegevens'!$C$16="","",E136+1)</f>
        <v>2151</v>
      </c>
      <c r="F137" s="82">
        <f ca="1">IF('Invoer gegevens'!$C$17=E137,'Invoer gegevens'!$C$10,IF(C137=1,H136,0))</f>
        <v>0</v>
      </c>
      <c r="G137" s="83">
        <f ca="1">IF(C137&gt;=1,F137*Reeksen!C137,0)</f>
        <v>0</v>
      </c>
      <c r="H137" s="84">
        <f t="shared" ca="1" si="25"/>
        <v>0</v>
      </c>
      <c r="I137" s="85">
        <f ca="1">IF('Invoer gegevens'!$C$17=E137,'Invoer gegevens'!$C$11,IF(C137=1,L136,0))</f>
        <v>0</v>
      </c>
      <c r="J137" s="86">
        <f ca="1">IF(C137&lt;1,0,IF(Reeksen!AK137&lt;=Reeksen!AE137,I137*Reeksen!C137,0))</f>
        <v>0</v>
      </c>
      <c r="K137" s="86">
        <f ca="1">IF(C137&lt;1,0,IF(Reeksen!AK137&gt;Reeksen!AE137,I137*Reeksen!C137,0))</f>
        <v>0</v>
      </c>
      <c r="L137" s="86">
        <f t="shared" ca="1" si="26"/>
        <v>0</v>
      </c>
      <c r="M137" s="85">
        <f ca="1">IF('Invoer gegevens'!$C$17=E137,'Invoer gegevens'!$C$10-'Invoer gegevens'!$C$11,IF(C137=1,P136,0))</f>
        <v>0</v>
      </c>
      <c r="N137" s="86">
        <f ca="1">IF(C137&lt;1,0,IF(Reeksen!AK137&lt;=Reeksen!AE137,M137*Reeksen!C137,0))</f>
        <v>0</v>
      </c>
      <c r="O137" s="86">
        <f ca="1">IF(C137&lt;1,0,IF(Reeksen!AK137&gt;Reeksen!AE137,M137*Reeksen!C137,0))</f>
        <v>0</v>
      </c>
      <c r="P137" s="86">
        <f t="shared" ca="1" si="27"/>
        <v>0</v>
      </c>
      <c r="Q137" s="82">
        <f ca="1">IF('Invoer gegevens'!$C$17=E137,I137,IF(C137=0,0,R136))</f>
        <v>0</v>
      </c>
      <c r="R137" s="84">
        <f t="shared" ca="1" si="22"/>
        <v>0</v>
      </c>
      <c r="S137" s="84">
        <f ca="1">IF('Invoer gegevens'!$C$17=E137,M137,IF(C137=0,0,T136))</f>
        <v>0</v>
      </c>
      <c r="T137" s="84">
        <f t="shared" ca="1" si="23"/>
        <v>0</v>
      </c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8"/>
      <c r="AI137" s="71">
        <f ca="1">IF(C137=1,((F137+H137)/2*Reeksen!AJ137*12)+(('Invoer gegevens'!$C$10-(F137+H137)/2)*Reeksen!AK137*12),0)</f>
        <v>0</v>
      </c>
      <c r="AJ137" s="71">
        <f ca="1">-AI137*'Invoer gegevens'!$F$28</f>
        <v>0</v>
      </c>
      <c r="AK137" s="71">
        <f t="shared" ca="1" si="24"/>
        <v>0</v>
      </c>
      <c r="AL137" s="71">
        <f ca="1">IF(C137=1,(12*((F137+H137)/2)*Reeksen!AL137)+(12*('Invoer gegevens'!$C$10-(F137+H137)/2)*Reeksen!AM137),0)</f>
        <v>0</v>
      </c>
      <c r="AM137" s="71">
        <f ca="1">-AL137*'Invoer gegevens'!$F$31</f>
        <v>0</v>
      </c>
      <c r="AN137" s="71">
        <f t="shared" ca="1" si="28"/>
        <v>0</v>
      </c>
      <c r="AO137" s="71"/>
      <c r="AP137" s="71"/>
      <c r="AQ137" s="71">
        <f ca="1">-IF(C137=1,('Invoer gegevens'!$C$10*'Invoer gegevens'!$I$33)*Reeksen!J137,0)*2</f>
        <v>0</v>
      </c>
      <c r="AR137" s="71">
        <f ca="1">-IF(C137=1,(G137*'Invoer gegevens'!$I$34)*Reeksen!J137,0)</f>
        <v>0</v>
      </c>
      <c r="AS137" s="71">
        <f ca="1">-IF(C137=1,'Invoer gegevens'!$C$10*'Invoer gegevens'!$I$35*Reeksen!L137,0)</f>
        <v>0</v>
      </c>
      <c r="AT137" s="71">
        <f ca="1">-IF(C137=1,IF(E137='Invoer gegevens'!$C$17,'Invoer gegevens'!$C$11,Q137)*Reeksen!S137*'Invoer gegevens'!$C$18*Reeksen!P137,0)</f>
        <v>0</v>
      </c>
      <c r="AU137" s="71">
        <f ca="1">-IF(C137=1,'Invoer gegevens'!$C$10*'Invoer gegevens'!$I$36*Reeksen!H137,0)</f>
        <v>0</v>
      </c>
      <c r="AV137" s="71">
        <f t="shared" si="21"/>
        <v>0</v>
      </c>
      <c r="AW137" s="71">
        <f t="shared" ca="1" si="29"/>
        <v>0</v>
      </c>
      <c r="AX137" s="71">
        <f ca="1">IF(E137&lt;'Invoer gegevens'!$C$17+15,0,IF(E137&gt;'Invoer gegevens'!$C$17+215,0,AW137))</f>
        <v>0</v>
      </c>
      <c r="AY137" s="71">
        <f ca="1">AX137/(1+'Invoer gegevens'!$F$13)^($AZ137-('Invoer gegevens'!$C$17-'Invoer gegevens'!$C$16))/(1+'Invoer gegevens'!$C$39)^('Invoer gegevens'!$C$17-'Invoer gegevens'!$C$16)</f>
        <v>0</v>
      </c>
      <c r="AZ137" s="68">
        <f ca="1">IF(E137-'Invoer gegevens'!$C$17-14.5&lt;0,0,E137-'Invoer gegevens'!$C$17-14.5)</f>
        <v>117.5</v>
      </c>
    </row>
    <row r="138" spans="2:52" x14ac:dyDescent="0.25">
      <c r="B138" s="70">
        <f t="shared" si="30"/>
        <v>134</v>
      </c>
      <c r="C138" s="67">
        <f ca="1">IF(E138-'Invoer gegevens'!$C$17&lt;0,0,1)</f>
        <v>1</v>
      </c>
      <c r="D138" s="68">
        <f t="shared" si="31"/>
        <v>133.5</v>
      </c>
      <c r="E138" s="69">
        <f ca="1">IF('Invoer gegevens'!$C$16="","",E137+1)</f>
        <v>2152</v>
      </c>
      <c r="F138" s="82">
        <f ca="1">IF('Invoer gegevens'!$C$17=E138,'Invoer gegevens'!$C$10,IF(C138=1,H137,0))</f>
        <v>0</v>
      </c>
      <c r="G138" s="83">
        <f ca="1">IF(C138&gt;=1,F138*Reeksen!C138,0)</f>
        <v>0</v>
      </c>
      <c r="H138" s="84">
        <f t="shared" ca="1" si="25"/>
        <v>0</v>
      </c>
      <c r="I138" s="85">
        <f ca="1">IF('Invoer gegevens'!$C$17=E138,'Invoer gegevens'!$C$11,IF(C138=1,L137,0))</f>
        <v>0</v>
      </c>
      <c r="J138" s="86">
        <f ca="1">IF(C138&lt;1,0,IF(Reeksen!AK138&lt;=Reeksen!AE138,I138*Reeksen!C138,0))</f>
        <v>0</v>
      </c>
      <c r="K138" s="86">
        <f ca="1">IF(C138&lt;1,0,IF(Reeksen!AK138&gt;Reeksen!AE138,I138*Reeksen!C138,0))</f>
        <v>0</v>
      </c>
      <c r="L138" s="86">
        <f t="shared" ca="1" si="26"/>
        <v>0</v>
      </c>
      <c r="M138" s="85">
        <f ca="1">IF('Invoer gegevens'!$C$17=E138,'Invoer gegevens'!$C$10-'Invoer gegevens'!$C$11,IF(C138=1,P137,0))</f>
        <v>0</v>
      </c>
      <c r="N138" s="86">
        <f ca="1">IF(C138&lt;1,0,IF(Reeksen!AK138&lt;=Reeksen!AE138,M138*Reeksen!C138,0))</f>
        <v>0</v>
      </c>
      <c r="O138" s="86">
        <f ca="1">IF(C138&lt;1,0,IF(Reeksen!AK138&gt;Reeksen!AE138,M138*Reeksen!C138,0))</f>
        <v>0</v>
      </c>
      <c r="P138" s="86">
        <f t="shared" ca="1" si="27"/>
        <v>0</v>
      </c>
      <c r="Q138" s="82">
        <f ca="1">IF('Invoer gegevens'!$C$17=E138,I138,IF(C138=0,0,R137))</f>
        <v>0</v>
      </c>
      <c r="R138" s="84">
        <f t="shared" ca="1" si="22"/>
        <v>0</v>
      </c>
      <c r="S138" s="84">
        <f ca="1">IF('Invoer gegevens'!$C$17=E138,M138,IF(C138=0,0,T137))</f>
        <v>0</v>
      </c>
      <c r="T138" s="84">
        <f t="shared" ca="1" si="23"/>
        <v>0</v>
      </c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8"/>
      <c r="AI138" s="71">
        <f ca="1">IF(C138=1,((F138+H138)/2*Reeksen!AJ138*12)+(('Invoer gegevens'!$C$10-(F138+H138)/2)*Reeksen!AK138*12),0)</f>
        <v>0</v>
      </c>
      <c r="AJ138" s="71">
        <f ca="1">-AI138*'Invoer gegevens'!$F$28</f>
        <v>0</v>
      </c>
      <c r="AK138" s="71">
        <f t="shared" ca="1" si="24"/>
        <v>0</v>
      </c>
      <c r="AL138" s="71">
        <f ca="1">IF(C138=1,(12*((F138+H138)/2)*Reeksen!AL138)+(12*('Invoer gegevens'!$C$10-(F138+H138)/2)*Reeksen!AM138),0)</f>
        <v>0</v>
      </c>
      <c r="AM138" s="71">
        <f ca="1">-AL138*'Invoer gegevens'!$F$31</f>
        <v>0</v>
      </c>
      <c r="AN138" s="71">
        <f t="shared" ca="1" si="28"/>
        <v>0</v>
      </c>
      <c r="AO138" s="71"/>
      <c r="AP138" s="71"/>
      <c r="AQ138" s="71">
        <f ca="1">-IF(C138=1,('Invoer gegevens'!$C$10*'Invoer gegevens'!$I$33)*Reeksen!J138,0)*2</f>
        <v>0</v>
      </c>
      <c r="AR138" s="71">
        <f ca="1">-IF(C138=1,(G138*'Invoer gegevens'!$I$34)*Reeksen!J138,0)</f>
        <v>0</v>
      </c>
      <c r="AS138" s="71">
        <f ca="1">-IF(C138=1,'Invoer gegevens'!$C$10*'Invoer gegevens'!$I$35*Reeksen!L138,0)</f>
        <v>0</v>
      </c>
      <c r="AT138" s="71">
        <f ca="1">-IF(C138=1,IF(E138='Invoer gegevens'!$C$17,'Invoer gegevens'!$C$11,Q138)*Reeksen!S138*'Invoer gegevens'!$C$18*Reeksen!P138,0)</f>
        <v>0</v>
      </c>
      <c r="AU138" s="71">
        <f ca="1">-IF(C138=1,'Invoer gegevens'!$C$10*'Invoer gegevens'!$I$36*Reeksen!H138,0)</f>
        <v>0</v>
      </c>
      <c r="AV138" s="71">
        <f t="shared" si="21"/>
        <v>0</v>
      </c>
      <c r="AW138" s="71">
        <f t="shared" ca="1" si="29"/>
        <v>0</v>
      </c>
      <c r="AX138" s="71">
        <f ca="1">IF(E138&lt;'Invoer gegevens'!$C$17+15,0,IF(E138&gt;'Invoer gegevens'!$C$17+215,0,AW138))</f>
        <v>0</v>
      </c>
      <c r="AY138" s="71">
        <f ca="1">AX138/(1+'Invoer gegevens'!$F$13)^($AZ138-('Invoer gegevens'!$C$17-'Invoer gegevens'!$C$16))/(1+'Invoer gegevens'!$C$39)^('Invoer gegevens'!$C$17-'Invoer gegevens'!$C$16)</f>
        <v>0</v>
      </c>
      <c r="AZ138" s="68">
        <f ca="1">IF(E138-'Invoer gegevens'!$C$17-14.5&lt;0,0,E138-'Invoer gegevens'!$C$17-14.5)</f>
        <v>118.5</v>
      </c>
    </row>
    <row r="139" spans="2:52" x14ac:dyDescent="0.25">
      <c r="B139" s="70">
        <f t="shared" si="30"/>
        <v>135</v>
      </c>
      <c r="C139" s="67">
        <f ca="1">IF(E139-'Invoer gegevens'!$C$17&lt;0,0,1)</f>
        <v>1</v>
      </c>
      <c r="D139" s="68">
        <f t="shared" si="31"/>
        <v>134.5</v>
      </c>
      <c r="E139" s="69">
        <f ca="1">IF('Invoer gegevens'!$C$16="","",E138+1)</f>
        <v>2153</v>
      </c>
      <c r="F139" s="82">
        <f ca="1">IF('Invoer gegevens'!$C$17=E139,'Invoer gegevens'!$C$10,IF(C139=1,H138,0))</f>
        <v>0</v>
      </c>
      <c r="G139" s="83">
        <f ca="1">IF(C139&gt;=1,F139*Reeksen!C139,0)</f>
        <v>0</v>
      </c>
      <c r="H139" s="84">
        <f t="shared" ca="1" si="25"/>
        <v>0</v>
      </c>
      <c r="I139" s="85">
        <f ca="1">IF('Invoer gegevens'!$C$17=E139,'Invoer gegevens'!$C$11,IF(C139=1,L138,0))</f>
        <v>0</v>
      </c>
      <c r="J139" s="86">
        <f ca="1">IF(C139&lt;1,0,IF(Reeksen!AK139&lt;=Reeksen!AE139,I139*Reeksen!C139,0))</f>
        <v>0</v>
      </c>
      <c r="K139" s="86">
        <f ca="1">IF(C139&lt;1,0,IF(Reeksen!AK139&gt;Reeksen!AE139,I139*Reeksen!C139,0))</f>
        <v>0</v>
      </c>
      <c r="L139" s="86">
        <f t="shared" ca="1" si="26"/>
        <v>0</v>
      </c>
      <c r="M139" s="85">
        <f ca="1">IF('Invoer gegevens'!$C$17=E139,'Invoer gegevens'!$C$10-'Invoer gegevens'!$C$11,IF(C139=1,P138,0))</f>
        <v>0</v>
      </c>
      <c r="N139" s="86">
        <f ca="1">IF(C139&lt;1,0,IF(Reeksen!AK139&lt;=Reeksen!AE139,M139*Reeksen!C139,0))</f>
        <v>0</v>
      </c>
      <c r="O139" s="86">
        <f ca="1">IF(C139&lt;1,0,IF(Reeksen!AK139&gt;Reeksen!AE139,M139*Reeksen!C139,0))</f>
        <v>0</v>
      </c>
      <c r="P139" s="86">
        <f t="shared" ca="1" si="27"/>
        <v>0</v>
      </c>
      <c r="Q139" s="82">
        <f ca="1">IF('Invoer gegevens'!$C$17=E139,I139,IF(C139=0,0,R138))</f>
        <v>0</v>
      </c>
      <c r="R139" s="84">
        <f t="shared" ca="1" si="22"/>
        <v>0</v>
      </c>
      <c r="S139" s="84">
        <f ca="1">IF('Invoer gegevens'!$C$17=E139,M139,IF(C139=0,0,T138))</f>
        <v>0</v>
      </c>
      <c r="T139" s="84">
        <f t="shared" ca="1" si="23"/>
        <v>0</v>
      </c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8"/>
      <c r="AI139" s="71">
        <f ca="1">IF(C139=1,((F139+H139)/2*Reeksen!AJ139*12)+(('Invoer gegevens'!$C$10-(F139+H139)/2)*Reeksen!AK139*12),0)</f>
        <v>0</v>
      </c>
      <c r="AJ139" s="71">
        <f ca="1">-AI139*'Invoer gegevens'!$F$28</f>
        <v>0</v>
      </c>
      <c r="AK139" s="71">
        <f t="shared" ca="1" si="24"/>
        <v>0</v>
      </c>
      <c r="AL139" s="71">
        <f ca="1">IF(C139=1,(12*((F139+H139)/2)*Reeksen!AL139)+(12*('Invoer gegevens'!$C$10-(F139+H139)/2)*Reeksen!AM139),0)</f>
        <v>0</v>
      </c>
      <c r="AM139" s="71">
        <f ca="1">-AL139*'Invoer gegevens'!$F$31</f>
        <v>0</v>
      </c>
      <c r="AN139" s="71">
        <f t="shared" ca="1" si="28"/>
        <v>0</v>
      </c>
      <c r="AO139" s="71"/>
      <c r="AP139" s="71"/>
      <c r="AQ139" s="71">
        <f ca="1">-IF(C139=1,('Invoer gegevens'!$C$10*'Invoer gegevens'!$I$33)*Reeksen!J139,0)*2</f>
        <v>0</v>
      </c>
      <c r="AR139" s="71">
        <f ca="1">-IF(C139=1,(G139*'Invoer gegevens'!$I$34)*Reeksen!J139,0)</f>
        <v>0</v>
      </c>
      <c r="AS139" s="71">
        <f ca="1">-IF(C139=1,'Invoer gegevens'!$C$10*'Invoer gegevens'!$I$35*Reeksen!L139,0)</f>
        <v>0</v>
      </c>
      <c r="AT139" s="71">
        <f ca="1">-IF(C139=1,IF(E139='Invoer gegevens'!$C$17,'Invoer gegevens'!$C$11,Q139)*Reeksen!S139*'Invoer gegevens'!$C$18*Reeksen!P139,0)</f>
        <v>0</v>
      </c>
      <c r="AU139" s="71">
        <f ca="1">-IF(C139=1,'Invoer gegevens'!$C$10*'Invoer gegevens'!$I$36*Reeksen!H139,0)</f>
        <v>0</v>
      </c>
      <c r="AV139" s="71">
        <f t="shared" si="21"/>
        <v>0</v>
      </c>
      <c r="AW139" s="71">
        <f t="shared" ca="1" si="29"/>
        <v>0</v>
      </c>
      <c r="AX139" s="71">
        <f ca="1">IF(E139&lt;'Invoer gegevens'!$C$17+15,0,IF(E139&gt;'Invoer gegevens'!$C$17+215,0,AW139))</f>
        <v>0</v>
      </c>
      <c r="AY139" s="71">
        <f ca="1">AX139/(1+'Invoer gegevens'!$F$13)^($AZ139-('Invoer gegevens'!$C$17-'Invoer gegevens'!$C$16))/(1+'Invoer gegevens'!$C$39)^('Invoer gegevens'!$C$17-'Invoer gegevens'!$C$16)</f>
        <v>0</v>
      </c>
      <c r="AZ139" s="68">
        <f ca="1">IF(E139-'Invoer gegevens'!$C$17-14.5&lt;0,0,E139-'Invoer gegevens'!$C$17-14.5)</f>
        <v>119.5</v>
      </c>
    </row>
    <row r="140" spans="2:52" x14ac:dyDescent="0.25">
      <c r="B140" s="70">
        <f t="shared" si="30"/>
        <v>136</v>
      </c>
      <c r="C140" s="67">
        <f ca="1">IF(E140-'Invoer gegevens'!$C$17&lt;0,0,1)</f>
        <v>1</v>
      </c>
      <c r="D140" s="68">
        <f t="shared" si="31"/>
        <v>135.5</v>
      </c>
      <c r="E140" s="69">
        <f ca="1">IF('Invoer gegevens'!$C$16="","",E139+1)</f>
        <v>2154</v>
      </c>
      <c r="F140" s="82">
        <f ca="1">IF('Invoer gegevens'!$C$17=E140,'Invoer gegevens'!$C$10,IF(C140=1,H139,0))</f>
        <v>0</v>
      </c>
      <c r="G140" s="83">
        <f ca="1">IF(C140&gt;=1,F140*Reeksen!C140,0)</f>
        <v>0</v>
      </c>
      <c r="H140" s="84">
        <f t="shared" ca="1" si="25"/>
        <v>0</v>
      </c>
      <c r="I140" s="85">
        <f ca="1">IF('Invoer gegevens'!$C$17=E140,'Invoer gegevens'!$C$11,IF(C140=1,L139,0))</f>
        <v>0</v>
      </c>
      <c r="J140" s="86">
        <f ca="1">IF(C140&lt;1,0,IF(Reeksen!AK140&lt;=Reeksen!AE140,I140*Reeksen!C140,0))</f>
        <v>0</v>
      </c>
      <c r="K140" s="86">
        <f ca="1">IF(C140&lt;1,0,IF(Reeksen!AK140&gt;Reeksen!AE140,I140*Reeksen!C140,0))</f>
        <v>0</v>
      </c>
      <c r="L140" s="86">
        <f t="shared" ca="1" si="26"/>
        <v>0</v>
      </c>
      <c r="M140" s="85">
        <f ca="1">IF('Invoer gegevens'!$C$17=E140,'Invoer gegevens'!$C$10-'Invoer gegevens'!$C$11,IF(C140=1,P139,0))</f>
        <v>0</v>
      </c>
      <c r="N140" s="86">
        <f ca="1">IF(C140&lt;1,0,IF(Reeksen!AK140&lt;=Reeksen!AE140,M140*Reeksen!C140,0))</f>
        <v>0</v>
      </c>
      <c r="O140" s="86">
        <f ca="1">IF(C140&lt;1,0,IF(Reeksen!AK140&gt;Reeksen!AE140,M140*Reeksen!C140,0))</f>
        <v>0</v>
      </c>
      <c r="P140" s="86">
        <f t="shared" ca="1" si="27"/>
        <v>0</v>
      </c>
      <c r="Q140" s="82">
        <f ca="1">IF('Invoer gegevens'!$C$17=E140,I140,IF(C140=0,0,R139))</f>
        <v>0</v>
      </c>
      <c r="R140" s="84">
        <f t="shared" ca="1" si="22"/>
        <v>0</v>
      </c>
      <c r="S140" s="84">
        <f ca="1">IF('Invoer gegevens'!$C$17=E140,M140,IF(C140=0,0,T139))</f>
        <v>0</v>
      </c>
      <c r="T140" s="84">
        <f t="shared" ca="1" si="23"/>
        <v>0</v>
      </c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8"/>
      <c r="AI140" s="71">
        <f ca="1">IF(C140=1,((F140+H140)/2*Reeksen!AJ140*12)+(('Invoer gegevens'!$C$10-(F140+H140)/2)*Reeksen!AK140*12),0)</f>
        <v>0</v>
      </c>
      <c r="AJ140" s="71">
        <f ca="1">-AI140*'Invoer gegevens'!$F$28</f>
        <v>0</v>
      </c>
      <c r="AK140" s="71">
        <f t="shared" ca="1" si="24"/>
        <v>0</v>
      </c>
      <c r="AL140" s="71">
        <f ca="1">IF(C140=1,(12*((F140+H140)/2)*Reeksen!AL140)+(12*('Invoer gegevens'!$C$10-(F140+H140)/2)*Reeksen!AM140),0)</f>
        <v>0</v>
      </c>
      <c r="AM140" s="71">
        <f ca="1">-AL140*'Invoer gegevens'!$F$31</f>
        <v>0</v>
      </c>
      <c r="AN140" s="71">
        <f t="shared" ca="1" si="28"/>
        <v>0</v>
      </c>
      <c r="AO140" s="71"/>
      <c r="AP140" s="71"/>
      <c r="AQ140" s="71">
        <f ca="1">-IF(C140=1,('Invoer gegevens'!$C$10*'Invoer gegevens'!$I$33)*Reeksen!J140,0)*2</f>
        <v>0</v>
      </c>
      <c r="AR140" s="71">
        <f ca="1">-IF(C140=1,(G140*'Invoer gegevens'!$I$34)*Reeksen!J140,0)</f>
        <v>0</v>
      </c>
      <c r="AS140" s="71">
        <f ca="1">-IF(C140=1,'Invoer gegevens'!$C$10*'Invoer gegevens'!$I$35*Reeksen!L140,0)</f>
        <v>0</v>
      </c>
      <c r="AT140" s="71">
        <f ca="1">-IF(C140=1,IF(E140='Invoer gegevens'!$C$17,'Invoer gegevens'!$C$11,Q140)*Reeksen!S140*'Invoer gegevens'!$C$18*Reeksen!P140,0)</f>
        <v>0</v>
      </c>
      <c r="AU140" s="71">
        <f ca="1">-IF(C140=1,'Invoer gegevens'!$C$10*'Invoer gegevens'!$I$36*Reeksen!H140,0)</f>
        <v>0</v>
      </c>
      <c r="AV140" s="71">
        <f t="shared" si="21"/>
        <v>0</v>
      </c>
      <c r="AW140" s="71">
        <f t="shared" ca="1" si="29"/>
        <v>0</v>
      </c>
      <c r="AX140" s="71">
        <f ca="1">IF(E140&lt;'Invoer gegevens'!$C$17+15,0,IF(E140&gt;'Invoer gegevens'!$C$17+215,0,AW140))</f>
        <v>0</v>
      </c>
      <c r="AY140" s="71">
        <f ca="1">AX140/(1+'Invoer gegevens'!$F$13)^($AZ140-('Invoer gegevens'!$C$17-'Invoer gegevens'!$C$16))/(1+'Invoer gegevens'!$C$39)^('Invoer gegevens'!$C$17-'Invoer gegevens'!$C$16)</f>
        <v>0</v>
      </c>
      <c r="AZ140" s="68">
        <f ca="1">IF(E140-'Invoer gegevens'!$C$17-14.5&lt;0,0,E140-'Invoer gegevens'!$C$17-14.5)</f>
        <v>120.5</v>
      </c>
    </row>
    <row r="141" spans="2:52" x14ac:dyDescent="0.25">
      <c r="B141" s="70">
        <f t="shared" si="30"/>
        <v>137</v>
      </c>
      <c r="C141" s="67">
        <f ca="1">IF(E141-'Invoer gegevens'!$C$17&lt;0,0,1)</f>
        <v>1</v>
      </c>
      <c r="D141" s="68">
        <f t="shared" si="31"/>
        <v>136.5</v>
      </c>
      <c r="E141" s="69">
        <f ca="1">IF('Invoer gegevens'!$C$16="","",E140+1)</f>
        <v>2155</v>
      </c>
      <c r="F141" s="82">
        <f ca="1">IF('Invoer gegevens'!$C$17=E141,'Invoer gegevens'!$C$10,IF(C141=1,H140,0))</f>
        <v>0</v>
      </c>
      <c r="G141" s="83">
        <f ca="1">IF(C141&gt;=1,F141*Reeksen!C141,0)</f>
        <v>0</v>
      </c>
      <c r="H141" s="84">
        <f t="shared" ca="1" si="25"/>
        <v>0</v>
      </c>
      <c r="I141" s="85">
        <f ca="1">IF('Invoer gegevens'!$C$17=E141,'Invoer gegevens'!$C$11,IF(C141=1,L140,0))</f>
        <v>0</v>
      </c>
      <c r="J141" s="86">
        <f ca="1">IF(C141&lt;1,0,IF(Reeksen!AK141&lt;=Reeksen!AE141,I141*Reeksen!C141,0))</f>
        <v>0</v>
      </c>
      <c r="K141" s="86">
        <f ca="1">IF(C141&lt;1,0,IF(Reeksen!AK141&gt;Reeksen!AE141,I141*Reeksen!C141,0))</f>
        <v>0</v>
      </c>
      <c r="L141" s="86">
        <f t="shared" ca="1" si="26"/>
        <v>0</v>
      </c>
      <c r="M141" s="85">
        <f ca="1">IF('Invoer gegevens'!$C$17=E141,'Invoer gegevens'!$C$10-'Invoer gegevens'!$C$11,IF(C141=1,P140,0))</f>
        <v>0</v>
      </c>
      <c r="N141" s="86">
        <f ca="1">IF(C141&lt;1,0,IF(Reeksen!AK141&lt;=Reeksen!AE141,M141*Reeksen!C141,0))</f>
        <v>0</v>
      </c>
      <c r="O141" s="86">
        <f ca="1">IF(C141&lt;1,0,IF(Reeksen!AK141&gt;Reeksen!AE141,M141*Reeksen!C141,0))</f>
        <v>0</v>
      </c>
      <c r="P141" s="86">
        <f t="shared" ca="1" si="27"/>
        <v>0</v>
      </c>
      <c r="Q141" s="82">
        <f ca="1">IF('Invoer gegevens'!$C$17=E141,I141,IF(C141=0,0,R140))</f>
        <v>0</v>
      </c>
      <c r="R141" s="84">
        <f t="shared" ca="1" si="22"/>
        <v>0</v>
      </c>
      <c r="S141" s="84">
        <f ca="1">IF('Invoer gegevens'!$C$17=E141,M141,IF(C141=0,0,T140))</f>
        <v>0</v>
      </c>
      <c r="T141" s="84">
        <f t="shared" ca="1" si="23"/>
        <v>0</v>
      </c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8"/>
      <c r="AI141" s="71">
        <f ca="1">IF(C141=1,((F141+H141)/2*Reeksen!AJ141*12)+(('Invoer gegevens'!$C$10-(F141+H141)/2)*Reeksen!AK141*12),0)</f>
        <v>0</v>
      </c>
      <c r="AJ141" s="71">
        <f ca="1">-AI141*'Invoer gegevens'!$F$28</f>
        <v>0</v>
      </c>
      <c r="AK141" s="71">
        <f t="shared" ca="1" si="24"/>
        <v>0</v>
      </c>
      <c r="AL141" s="71">
        <f ca="1">IF(C141=1,(12*((F141+H141)/2)*Reeksen!AL141)+(12*('Invoer gegevens'!$C$10-(F141+H141)/2)*Reeksen!AM141),0)</f>
        <v>0</v>
      </c>
      <c r="AM141" s="71">
        <f ca="1">-AL141*'Invoer gegevens'!$F$31</f>
        <v>0</v>
      </c>
      <c r="AN141" s="71">
        <f t="shared" ca="1" si="28"/>
        <v>0</v>
      </c>
      <c r="AO141" s="71"/>
      <c r="AP141" s="71"/>
      <c r="AQ141" s="71">
        <f ca="1">-IF(C141=1,('Invoer gegevens'!$C$10*'Invoer gegevens'!$I$33)*Reeksen!J141,0)*2</f>
        <v>0</v>
      </c>
      <c r="AR141" s="71">
        <f ca="1">-IF(C141=1,(G141*'Invoer gegevens'!$I$34)*Reeksen!J141,0)</f>
        <v>0</v>
      </c>
      <c r="AS141" s="71">
        <f ca="1">-IF(C141=1,'Invoer gegevens'!$C$10*'Invoer gegevens'!$I$35*Reeksen!L141,0)</f>
        <v>0</v>
      </c>
      <c r="AT141" s="71">
        <f ca="1">-IF(C141=1,IF(E141='Invoer gegevens'!$C$17,'Invoer gegevens'!$C$11,Q141)*Reeksen!S141*'Invoer gegevens'!$C$18*Reeksen!P141,0)</f>
        <v>0</v>
      </c>
      <c r="AU141" s="71">
        <f ca="1">-IF(C141=1,'Invoer gegevens'!$C$10*'Invoer gegevens'!$I$36*Reeksen!H141,0)</f>
        <v>0</v>
      </c>
      <c r="AV141" s="71">
        <f t="shared" si="21"/>
        <v>0</v>
      </c>
      <c r="AW141" s="71">
        <f t="shared" ca="1" si="29"/>
        <v>0</v>
      </c>
      <c r="AX141" s="71">
        <f ca="1">IF(E141&lt;'Invoer gegevens'!$C$17+15,0,IF(E141&gt;'Invoer gegevens'!$C$17+215,0,AW141))</f>
        <v>0</v>
      </c>
      <c r="AY141" s="71">
        <f ca="1">AX141/(1+'Invoer gegevens'!$F$13)^($AZ141-('Invoer gegevens'!$C$17-'Invoer gegevens'!$C$16))/(1+'Invoer gegevens'!$C$39)^('Invoer gegevens'!$C$17-'Invoer gegevens'!$C$16)</f>
        <v>0</v>
      </c>
      <c r="AZ141" s="68">
        <f ca="1">IF(E141-'Invoer gegevens'!$C$17-14.5&lt;0,0,E141-'Invoer gegevens'!$C$17-14.5)</f>
        <v>121.5</v>
      </c>
    </row>
    <row r="142" spans="2:52" x14ac:dyDescent="0.25">
      <c r="B142" s="70">
        <f t="shared" si="30"/>
        <v>138</v>
      </c>
      <c r="C142" s="67">
        <f ca="1">IF(E142-'Invoer gegevens'!$C$17&lt;0,0,1)</f>
        <v>1</v>
      </c>
      <c r="D142" s="68">
        <f t="shared" si="31"/>
        <v>137.5</v>
      </c>
      <c r="E142" s="69">
        <f ca="1">IF('Invoer gegevens'!$C$16="","",E141+1)</f>
        <v>2156</v>
      </c>
      <c r="F142" s="82">
        <f ca="1">IF('Invoer gegevens'!$C$17=E142,'Invoer gegevens'!$C$10,IF(C142=1,H141,0))</f>
        <v>0</v>
      </c>
      <c r="G142" s="83">
        <f ca="1">IF(C142&gt;=1,F142*Reeksen!C142,0)</f>
        <v>0</v>
      </c>
      <c r="H142" s="84">
        <f t="shared" ca="1" si="25"/>
        <v>0</v>
      </c>
      <c r="I142" s="85">
        <f ca="1">IF('Invoer gegevens'!$C$17=E142,'Invoer gegevens'!$C$11,IF(C142=1,L141,0))</f>
        <v>0</v>
      </c>
      <c r="J142" s="86">
        <f ca="1">IF(C142&lt;1,0,IF(Reeksen!AK142&lt;=Reeksen!AE142,I142*Reeksen!C142,0))</f>
        <v>0</v>
      </c>
      <c r="K142" s="86">
        <f ca="1">IF(C142&lt;1,0,IF(Reeksen!AK142&gt;Reeksen!AE142,I142*Reeksen!C142,0))</f>
        <v>0</v>
      </c>
      <c r="L142" s="86">
        <f t="shared" ca="1" si="26"/>
        <v>0</v>
      </c>
      <c r="M142" s="85">
        <f ca="1">IF('Invoer gegevens'!$C$17=E142,'Invoer gegevens'!$C$10-'Invoer gegevens'!$C$11,IF(C142=1,P141,0))</f>
        <v>0</v>
      </c>
      <c r="N142" s="86">
        <f ca="1">IF(C142&lt;1,0,IF(Reeksen!AK142&lt;=Reeksen!AE142,M142*Reeksen!C142,0))</f>
        <v>0</v>
      </c>
      <c r="O142" s="86">
        <f ca="1">IF(C142&lt;1,0,IF(Reeksen!AK142&gt;Reeksen!AE142,M142*Reeksen!C142,0))</f>
        <v>0</v>
      </c>
      <c r="P142" s="86">
        <f t="shared" ca="1" si="27"/>
        <v>0</v>
      </c>
      <c r="Q142" s="82">
        <f ca="1">IF('Invoer gegevens'!$C$17=E142,I142,IF(C142=0,0,R141))</f>
        <v>0</v>
      </c>
      <c r="R142" s="84">
        <f t="shared" ca="1" si="22"/>
        <v>0</v>
      </c>
      <c r="S142" s="84">
        <f ca="1">IF('Invoer gegevens'!$C$17=E142,M142,IF(C142=0,0,T141))</f>
        <v>0</v>
      </c>
      <c r="T142" s="84">
        <f t="shared" ca="1" si="23"/>
        <v>0</v>
      </c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8"/>
      <c r="AI142" s="71">
        <f ca="1">IF(C142=1,((F142+H142)/2*Reeksen!AJ142*12)+(('Invoer gegevens'!$C$10-(F142+H142)/2)*Reeksen!AK142*12),0)</f>
        <v>0</v>
      </c>
      <c r="AJ142" s="71">
        <f ca="1">-AI142*'Invoer gegevens'!$F$28</f>
        <v>0</v>
      </c>
      <c r="AK142" s="71">
        <f t="shared" ca="1" si="24"/>
        <v>0</v>
      </c>
      <c r="AL142" s="71">
        <f ca="1">IF(C142=1,(12*((F142+H142)/2)*Reeksen!AL142)+(12*('Invoer gegevens'!$C$10-(F142+H142)/2)*Reeksen!AM142),0)</f>
        <v>0</v>
      </c>
      <c r="AM142" s="71">
        <f ca="1">-AL142*'Invoer gegevens'!$F$31</f>
        <v>0</v>
      </c>
      <c r="AN142" s="71">
        <f t="shared" ca="1" si="28"/>
        <v>0</v>
      </c>
      <c r="AO142" s="71"/>
      <c r="AP142" s="71"/>
      <c r="AQ142" s="71">
        <f ca="1">-IF(C142=1,('Invoer gegevens'!$C$10*'Invoer gegevens'!$I$33)*Reeksen!J142,0)*2</f>
        <v>0</v>
      </c>
      <c r="AR142" s="71">
        <f ca="1">-IF(C142=1,(G142*'Invoer gegevens'!$I$34)*Reeksen!J142,0)</f>
        <v>0</v>
      </c>
      <c r="AS142" s="71">
        <f ca="1">-IF(C142=1,'Invoer gegevens'!$C$10*'Invoer gegevens'!$I$35*Reeksen!L142,0)</f>
        <v>0</v>
      </c>
      <c r="AT142" s="71">
        <f ca="1">-IF(C142=1,IF(E142='Invoer gegevens'!$C$17,'Invoer gegevens'!$C$11,Q142)*Reeksen!S142*'Invoer gegevens'!$C$18*Reeksen!P142,0)</f>
        <v>0</v>
      </c>
      <c r="AU142" s="71">
        <f ca="1">-IF(C142=1,'Invoer gegevens'!$C$10*'Invoer gegevens'!$I$36*Reeksen!H142,0)</f>
        <v>0</v>
      </c>
      <c r="AV142" s="71">
        <f t="shared" si="21"/>
        <v>0</v>
      </c>
      <c r="AW142" s="71">
        <f t="shared" ca="1" si="29"/>
        <v>0</v>
      </c>
      <c r="AX142" s="71">
        <f ca="1">IF(E142&lt;'Invoer gegevens'!$C$17+15,0,IF(E142&gt;'Invoer gegevens'!$C$17+215,0,AW142))</f>
        <v>0</v>
      </c>
      <c r="AY142" s="71">
        <f ca="1">AX142/(1+'Invoer gegevens'!$F$13)^($AZ142-('Invoer gegevens'!$C$17-'Invoer gegevens'!$C$16))/(1+'Invoer gegevens'!$C$39)^('Invoer gegevens'!$C$17-'Invoer gegevens'!$C$16)</f>
        <v>0</v>
      </c>
      <c r="AZ142" s="68">
        <f ca="1">IF(E142-'Invoer gegevens'!$C$17-14.5&lt;0,0,E142-'Invoer gegevens'!$C$17-14.5)</f>
        <v>122.5</v>
      </c>
    </row>
    <row r="143" spans="2:52" x14ac:dyDescent="0.25">
      <c r="B143" s="70">
        <f t="shared" si="30"/>
        <v>139</v>
      </c>
      <c r="C143" s="67">
        <f ca="1">IF(E143-'Invoer gegevens'!$C$17&lt;0,0,1)</f>
        <v>1</v>
      </c>
      <c r="D143" s="68">
        <f t="shared" si="31"/>
        <v>138.5</v>
      </c>
      <c r="E143" s="69">
        <f ca="1">IF('Invoer gegevens'!$C$16="","",E142+1)</f>
        <v>2157</v>
      </c>
      <c r="F143" s="82">
        <f ca="1">IF('Invoer gegevens'!$C$17=E143,'Invoer gegevens'!$C$10,IF(C143=1,H142,0))</f>
        <v>0</v>
      </c>
      <c r="G143" s="83">
        <f ca="1">IF(C143&gt;=1,F143*Reeksen!C143,0)</f>
        <v>0</v>
      </c>
      <c r="H143" s="84">
        <f t="shared" ca="1" si="25"/>
        <v>0</v>
      </c>
      <c r="I143" s="85">
        <f ca="1">IF('Invoer gegevens'!$C$17=E143,'Invoer gegevens'!$C$11,IF(C143=1,L142,0))</f>
        <v>0</v>
      </c>
      <c r="J143" s="86">
        <f ca="1">IF(C143&lt;1,0,IF(Reeksen!AK143&lt;=Reeksen!AE143,I143*Reeksen!C143,0))</f>
        <v>0</v>
      </c>
      <c r="K143" s="86">
        <f ca="1">IF(C143&lt;1,0,IF(Reeksen!AK143&gt;Reeksen!AE143,I143*Reeksen!C143,0))</f>
        <v>0</v>
      </c>
      <c r="L143" s="86">
        <f t="shared" ca="1" si="26"/>
        <v>0</v>
      </c>
      <c r="M143" s="85">
        <f ca="1">IF('Invoer gegevens'!$C$17=E143,'Invoer gegevens'!$C$10-'Invoer gegevens'!$C$11,IF(C143=1,P142,0))</f>
        <v>0</v>
      </c>
      <c r="N143" s="86">
        <f ca="1">IF(C143&lt;1,0,IF(Reeksen!AK143&lt;=Reeksen!AE143,M143*Reeksen!C143,0))</f>
        <v>0</v>
      </c>
      <c r="O143" s="86">
        <f ca="1">IF(C143&lt;1,0,IF(Reeksen!AK143&gt;Reeksen!AE143,M143*Reeksen!C143,0))</f>
        <v>0</v>
      </c>
      <c r="P143" s="86">
        <f t="shared" ca="1" si="27"/>
        <v>0</v>
      </c>
      <c r="Q143" s="82">
        <f ca="1">IF('Invoer gegevens'!$C$17=E143,I143,IF(C143=0,0,R142))</f>
        <v>0</v>
      </c>
      <c r="R143" s="84">
        <f t="shared" ca="1" si="22"/>
        <v>0</v>
      </c>
      <c r="S143" s="84">
        <f ca="1">IF('Invoer gegevens'!$C$17=E143,M143,IF(C143=0,0,T142))</f>
        <v>0</v>
      </c>
      <c r="T143" s="84">
        <f t="shared" ca="1" si="23"/>
        <v>0</v>
      </c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8"/>
      <c r="AI143" s="71">
        <f ca="1">IF(C143=1,((F143+H143)/2*Reeksen!AJ143*12)+(('Invoer gegevens'!$C$10-(F143+H143)/2)*Reeksen!AK143*12),0)</f>
        <v>0</v>
      </c>
      <c r="AJ143" s="71">
        <f ca="1">-AI143*'Invoer gegevens'!$F$28</f>
        <v>0</v>
      </c>
      <c r="AK143" s="71">
        <f t="shared" ca="1" si="24"/>
        <v>0</v>
      </c>
      <c r="AL143" s="71">
        <f ca="1">IF(C143=1,(12*((F143+H143)/2)*Reeksen!AL143)+(12*('Invoer gegevens'!$C$10-(F143+H143)/2)*Reeksen!AM143),0)</f>
        <v>0</v>
      </c>
      <c r="AM143" s="71">
        <f ca="1">-AL143*'Invoer gegevens'!$F$31</f>
        <v>0</v>
      </c>
      <c r="AN143" s="71">
        <f t="shared" ca="1" si="28"/>
        <v>0</v>
      </c>
      <c r="AO143" s="71"/>
      <c r="AP143" s="71"/>
      <c r="AQ143" s="71">
        <f ca="1">-IF(C143=1,('Invoer gegevens'!$C$10*'Invoer gegevens'!$I$33)*Reeksen!J143,0)*2</f>
        <v>0</v>
      </c>
      <c r="AR143" s="71">
        <f ca="1">-IF(C143=1,(G143*'Invoer gegevens'!$I$34)*Reeksen!J143,0)</f>
        <v>0</v>
      </c>
      <c r="AS143" s="71">
        <f ca="1">-IF(C143=1,'Invoer gegevens'!$C$10*'Invoer gegevens'!$I$35*Reeksen!L143,0)</f>
        <v>0</v>
      </c>
      <c r="AT143" s="71">
        <f ca="1">-IF(C143=1,IF(E143='Invoer gegevens'!$C$17,'Invoer gegevens'!$C$11,Q143)*Reeksen!S143*'Invoer gegevens'!$C$18*Reeksen!P143,0)</f>
        <v>0</v>
      </c>
      <c r="AU143" s="71">
        <f ca="1">-IF(C143=1,'Invoer gegevens'!$C$10*'Invoer gegevens'!$I$36*Reeksen!H143,0)</f>
        <v>0</v>
      </c>
      <c r="AV143" s="71">
        <f t="shared" si="21"/>
        <v>0</v>
      </c>
      <c r="AW143" s="71">
        <f t="shared" ca="1" si="29"/>
        <v>0</v>
      </c>
      <c r="AX143" s="71">
        <f ca="1">IF(E143&lt;'Invoer gegevens'!$C$17+15,0,IF(E143&gt;'Invoer gegevens'!$C$17+215,0,AW143))</f>
        <v>0</v>
      </c>
      <c r="AY143" s="71">
        <f ca="1">AX143/(1+'Invoer gegevens'!$F$13)^($AZ143-('Invoer gegevens'!$C$17-'Invoer gegevens'!$C$16))/(1+'Invoer gegevens'!$C$39)^('Invoer gegevens'!$C$17-'Invoer gegevens'!$C$16)</f>
        <v>0</v>
      </c>
      <c r="AZ143" s="68">
        <f ca="1">IF(E143-'Invoer gegevens'!$C$17-14.5&lt;0,0,E143-'Invoer gegevens'!$C$17-14.5)</f>
        <v>123.5</v>
      </c>
    </row>
    <row r="144" spans="2:52" x14ac:dyDescent="0.25">
      <c r="B144" s="70">
        <f t="shared" si="30"/>
        <v>140</v>
      </c>
      <c r="C144" s="67">
        <f ca="1">IF(E144-'Invoer gegevens'!$C$17&lt;0,0,1)</f>
        <v>1</v>
      </c>
      <c r="D144" s="68">
        <f t="shared" si="31"/>
        <v>139.5</v>
      </c>
      <c r="E144" s="69">
        <f ca="1">IF('Invoer gegevens'!$C$16="","",E143+1)</f>
        <v>2158</v>
      </c>
      <c r="F144" s="82">
        <f ca="1">IF('Invoer gegevens'!$C$17=E144,'Invoer gegevens'!$C$10,IF(C144=1,H143,0))</f>
        <v>0</v>
      </c>
      <c r="G144" s="83">
        <f ca="1">IF(C144&gt;=1,F144*Reeksen!C144,0)</f>
        <v>0</v>
      </c>
      <c r="H144" s="84">
        <f t="shared" ca="1" si="25"/>
        <v>0</v>
      </c>
      <c r="I144" s="85">
        <f ca="1">IF('Invoer gegevens'!$C$17=E144,'Invoer gegevens'!$C$11,IF(C144=1,L143,0))</f>
        <v>0</v>
      </c>
      <c r="J144" s="86">
        <f ca="1">IF(C144&lt;1,0,IF(Reeksen!AK144&lt;=Reeksen!AE144,I144*Reeksen!C144,0))</f>
        <v>0</v>
      </c>
      <c r="K144" s="86">
        <f ca="1">IF(C144&lt;1,0,IF(Reeksen!AK144&gt;Reeksen!AE144,I144*Reeksen!C144,0))</f>
        <v>0</v>
      </c>
      <c r="L144" s="86">
        <f t="shared" ca="1" si="26"/>
        <v>0</v>
      </c>
      <c r="M144" s="85">
        <f ca="1">IF('Invoer gegevens'!$C$17=E144,'Invoer gegevens'!$C$10-'Invoer gegevens'!$C$11,IF(C144=1,P143,0))</f>
        <v>0</v>
      </c>
      <c r="N144" s="86">
        <f ca="1">IF(C144&lt;1,0,IF(Reeksen!AK144&lt;=Reeksen!AE144,M144*Reeksen!C144,0))</f>
        <v>0</v>
      </c>
      <c r="O144" s="86">
        <f ca="1">IF(C144&lt;1,0,IF(Reeksen!AK144&gt;Reeksen!AE144,M144*Reeksen!C144,0))</f>
        <v>0</v>
      </c>
      <c r="P144" s="86">
        <f t="shared" ca="1" si="27"/>
        <v>0</v>
      </c>
      <c r="Q144" s="82">
        <f ca="1">IF('Invoer gegevens'!$C$17=E144,I144,IF(C144=0,0,R143))</f>
        <v>0</v>
      </c>
      <c r="R144" s="84">
        <f t="shared" ca="1" si="22"/>
        <v>0</v>
      </c>
      <c r="S144" s="84">
        <f ca="1">IF('Invoer gegevens'!$C$17=E144,M144,IF(C144=0,0,T143))</f>
        <v>0</v>
      </c>
      <c r="T144" s="84">
        <f t="shared" ca="1" si="23"/>
        <v>0</v>
      </c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8"/>
      <c r="AI144" s="71">
        <f ca="1">IF(C144=1,((F144+H144)/2*Reeksen!AJ144*12)+(('Invoer gegevens'!$C$10-(F144+H144)/2)*Reeksen!AK144*12),0)</f>
        <v>0</v>
      </c>
      <c r="AJ144" s="71">
        <f ca="1">-AI144*'Invoer gegevens'!$F$28</f>
        <v>0</v>
      </c>
      <c r="AK144" s="71">
        <f t="shared" ca="1" si="24"/>
        <v>0</v>
      </c>
      <c r="AL144" s="71">
        <f ca="1">IF(C144=1,(12*((F144+H144)/2)*Reeksen!AL144)+(12*('Invoer gegevens'!$C$10-(F144+H144)/2)*Reeksen!AM144),0)</f>
        <v>0</v>
      </c>
      <c r="AM144" s="71">
        <f ca="1">-AL144*'Invoer gegevens'!$F$31</f>
        <v>0</v>
      </c>
      <c r="AN144" s="71">
        <f t="shared" ca="1" si="28"/>
        <v>0</v>
      </c>
      <c r="AO144" s="71"/>
      <c r="AP144" s="71"/>
      <c r="AQ144" s="71">
        <f ca="1">-IF(C144=1,('Invoer gegevens'!$C$10*'Invoer gegevens'!$I$33)*Reeksen!J144,0)*2</f>
        <v>0</v>
      </c>
      <c r="AR144" s="71">
        <f ca="1">-IF(C144=1,(G144*'Invoer gegevens'!$I$34)*Reeksen!J144,0)</f>
        <v>0</v>
      </c>
      <c r="AS144" s="71">
        <f ca="1">-IF(C144=1,'Invoer gegevens'!$C$10*'Invoer gegevens'!$I$35*Reeksen!L144,0)</f>
        <v>0</v>
      </c>
      <c r="AT144" s="71">
        <f ca="1">-IF(C144=1,IF(E144='Invoer gegevens'!$C$17,'Invoer gegevens'!$C$11,Q144)*Reeksen!S144*'Invoer gegevens'!$C$18*Reeksen!P144,0)</f>
        <v>0</v>
      </c>
      <c r="AU144" s="71">
        <f ca="1">-IF(C144=1,'Invoer gegevens'!$C$10*'Invoer gegevens'!$I$36*Reeksen!H144,0)</f>
        <v>0</v>
      </c>
      <c r="AV144" s="71">
        <f t="shared" si="21"/>
        <v>0</v>
      </c>
      <c r="AW144" s="71">
        <f t="shared" ca="1" si="29"/>
        <v>0</v>
      </c>
      <c r="AX144" s="71">
        <f ca="1">IF(E144&lt;'Invoer gegevens'!$C$17+15,0,IF(E144&gt;'Invoer gegevens'!$C$17+215,0,AW144))</f>
        <v>0</v>
      </c>
      <c r="AY144" s="71">
        <f ca="1">AX144/(1+'Invoer gegevens'!$F$13)^($AZ144-('Invoer gegevens'!$C$17-'Invoer gegevens'!$C$16))/(1+'Invoer gegevens'!$C$39)^('Invoer gegevens'!$C$17-'Invoer gegevens'!$C$16)</f>
        <v>0</v>
      </c>
      <c r="AZ144" s="68">
        <f ca="1">IF(E144-'Invoer gegevens'!$C$17-14.5&lt;0,0,E144-'Invoer gegevens'!$C$17-14.5)</f>
        <v>124.5</v>
      </c>
    </row>
    <row r="145" spans="2:52" x14ac:dyDescent="0.25">
      <c r="B145" s="70">
        <f t="shared" si="30"/>
        <v>141</v>
      </c>
      <c r="C145" s="67">
        <f ca="1">IF(E145-'Invoer gegevens'!$C$17&lt;0,0,1)</f>
        <v>1</v>
      </c>
      <c r="D145" s="68">
        <f t="shared" si="31"/>
        <v>140.5</v>
      </c>
      <c r="E145" s="69">
        <f ca="1">IF('Invoer gegevens'!$C$16="","",E144+1)</f>
        <v>2159</v>
      </c>
      <c r="F145" s="82">
        <f ca="1">IF('Invoer gegevens'!$C$17=E145,'Invoer gegevens'!$C$10,IF(C145=1,H144,0))</f>
        <v>0</v>
      </c>
      <c r="G145" s="83">
        <f ca="1">IF(C145&gt;=1,F145*Reeksen!C145,0)</f>
        <v>0</v>
      </c>
      <c r="H145" s="84">
        <f t="shared" ca="1" si="25"/>
        <v>0</v>
      </c>
      <c r="I145" s="85">
        <f ca="1">IF('Invoer gegevens'!$C$17=E145,'Invoer gegevens'!$C$11,IF(C145=1,L144,0))</f>
        <v>0</v>
      </c>
      <c r="J145" s="86">
        <f ca="1">IF(C145&lt;1,0,IF(Reeksen!AK145&lt;=Reeksen!AE145,I145*Reeksen!C145,0))</f>
        <v>0</v>
      </c>
      <c r="K145" s="86">
        <f ca="1">IF(C145&lt;1,0,IF(Reeksen!AK145&gt;Reeksen!AE145,I145*Reeksen!C145,0))</f>
        <v>0</v>
      </c>
      <c r="L145" s="86">
        <f t="shared" ca="1" si="26"/>
        <v>0</v>
      </c>
      <c r="M145" s="85">
        <f ca="1">IF('Invoer gegevens'!$C$17=E145,'Invoer gegevens'!$C$10-'Invoer gegevens'!$C$11,IF(C145=1,P144,0))</f>
        <v>0</v>
      </c>
      <c r="N145" s="86">
        <f ca="1">IF(C145&lt;1,0,IF(Reeksen!AK145&lt;=Reeksen!AE145,M145*Reeksen!C145,0))</f>
        <v>0</v>
      </c>
      <c r="O145" s="86">
        <f ca="1">IF(C145&lt;1,0,IF(Reeksen!AK145&gt;Reeksen!AE145,M145*Reeksen!C145,0))</f>
        <v>0</v>
      </c>
      <c r="P145" s="86">
        <f t="shared" ca="1" si="27"/>
        <v>0</v>
      </c>
      <c r="Q145" s="82">
        <f ca="1">IF('Invoer gegevens'!$C$17=E145,I145,IF(C145=0,0,R144))</f>
        <v>0</v>
      </c>
      <c r="R145" s="84">
        <f t="shared" ca="1" si="22"/>
        <v>0</v>
      </c>
      <c r="S145" s="84">
        <f ca="1">IF('Invoer gegevens'!$C$17=E145,M145,IF(C145=0,0,T144))</f>
        <v>0</v>
      </c>
      <c r="T145" s="84">
        <f t="shared" ca="1" si="23"/>
        <v>0</v>
      </c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8"/>
      <c r="AI145" s="71">
        <f ca="1">IF(C145=1,((F145+H145)/2*Reeksen!AJ145*12)+(('Invoer gegevens'!$C$10-(F145+H145)/2)*Reeksen!AK145*12),0)</f>
        <v>0</v>
      </c>
      <c r="AJ145" s="71">
        <f ca="1">-AI145*'Invoer gegevens'!$F$28</f>
        <v>0</v>
      </c>
      <c r="AK145" s="71">
        <f t="shared" ca="1" si="24"/>
        <v>0</v>
      </c>
      <c r="AL145" s="71">
        <f ca="1">IF(C145=1,(12*((F145+H145)/2)*Reeksen!AL145)+(12*('Invoer gegevens'!$C$10-(F145+H145)/2)*Reeksen!AM145),0)</f>
        <v>0</v>
      </c>
      <c r="AM145" s="71">
        <f ca="1">-AL145*'Invoer gegevens'!$F$31</f>
        <v>0</v>
      </c>
      <c r="AN145" s="71">
        <f t="shared" ca="1" si="28"/>
        <v>0</v>
      </c>
      <c r="AO145" s="71"/>
      <c r="AP145" s="71"/>
      <c r="AQ145" s="71">
        <f ca="1">-IF(C145=1,('Invoer gegevens'!$C$10*'Invoer gegevens'!$I$33)*Reeksen!J145,0)*2</f>
        <v>0</v>
      </c>
      <c r="AR145" s="71">
        <f ca="1">-IF(C145=1,(G145*'Invoer gegevens'!$I$34)*Reeksen!J145,0)</f>
        <v>0</v>
      </c>
      <c r="AS145" s="71">
        <f ca="1">-IF(C145=1,'Invoer gegevens'!$C$10*'Invoer gegevens'!$I$35*Reeksen!L145,0)</f>
        <v>0</v>
      </c>
      <c r="AT145" s="71">
        <f ca="1">-IF(C145=1,IF(E145='Invoer gegevens'!$C$17,'Invoer gegevens'!$C$11,Q145)*Reeksen!S145*'Invoer gegevens'!$C$18*Reeksen!P145,0)</f>
        <v>0</v>
      </c>
      <c r="AU145" s="71">
        <f ca="1">-IF(C145=1,'Invoer gegevens'!$C$10*'Invoer gegevens'!$I$36*Reeksen!H145,0)</f>
        <v>0</v>
      </c>
      <c r="AV145" s="71">
        <f t="shared" si="21"/>
        <v>0</v>
      </c>
      <c r="AW145" s="71">
        <f t="shared" ca="1" si="29"/>
        <v>0</v>
      </c>
      <c r="AX145" s="71">
        <f ca="1">IF(E145&lt;'Invoer gegevens'!$C$17+15,0,IF(E145&gt;'Invoer gegevens'!$C$17+215,0,AW145))</f>
        <v>0</v>
      </c>
      <c r="AY145" s="71">
        <f ca="1">AX145/(1+'Invoer gegevens'!$F$13)^($AZ145-('Invoer gegevens'!$C$17-'Invoer gegevens'!$C$16))/(1+'Invoer gegevens'!$C$39)^('Invoer gegevens'!$C$17-'Invoer gegevens'!$C$16)</f>
        <v>0</v>
      </c>
      <c r="AZ145" s="68">
        <f ca="1">IF(E145-'Invoer gegevens'!$C$17-14.5&lt;0,0,E145-'Invoer gegevens'!$C$17-14.5)</f>
        <v>125.5</v>
      </c>
    </row>
    <row r="146" spans="2:52" x14ac:dyDescent="0.25">
      <c r="B146" s="70">
        <f t="shared" si="30"/>
        <v>142</v>
      </c>
      <c r="C146" s="67">
        <f ca="1">IF(E146-'Invoer gegevens'!$C$17&lt;0,0,1)</f>
        <v>1</v>
      </c>
      <c r="D146" s="68">
        <f t="shared" si="31"/>
        <v>141.5</v>
      </c>
      <c r="E146" s="69">
        <f ca="1">IF('Invoer gegevens'!$C$16="","",E145+1)</f>
        <v>2160</v>
      </c>
      <c r="F146" s="82">
        <f ca="1">IF('Invoer gegevens'!$C$17=E146,'Invoer gegevens'!$C$10,IF(C146=1,H145,0))</f>
        <v>0</v>
      </c>
      <c r="G146" s="83">
        <f ca="1">IF(C146&gt;=1,F146*Reeksen!C146,0)</f>
        <v>0</v>
      </c>
      <c r="H146" s="84">
        <f t="shared" ca="1" si="25"/>
        <v>0</v>
      </c>
      <c r="I146" s="85">
        <f ca="1">IF('Invoer gegevens'!$C$17=E146,'Invoer gegevens'!$C$11,IF(C146=1,L145,0))</f>
        <v>0</v>
      </c>
      <c r="J146" s="86">
        <f ca="1">IF(C146&lt;1,0,IF(Reeksen!AK146&lt;=Reeksen!AE146,I146*Reeksen!C146,0))</f>
        <v>0</v>
      </c>
      <c r="K146" s="86">
        <f ca="1">IF(C146&lt;1,0,IF(Reeksen!AK146&gt;Reeksen!AE146,I146*Reeksen!C146,0))</f>
        <v>0</v>
      </c>
      <c r="L146" s="86">
        <f t="shared" ca="1" si="26"/>
        <v>0</v>
      </c>
      <c r="M146" s="85">
        <f ca="1">IF('Invoer gegevens'!$C$17=E146,'Invoer gegevens'!$C$10-'Invoer gegevens'!$C$11,IF(C146=1,P145,0))</f>
        <v>0</v>
      </c>
      <c r="N146" s="86">
        <f ca="1">IF(C146&lt;1,0,IF(Reeksen!AK146&lt;=Reeksen!AE146,M146*Reeksen!C146,0))</f>
        <v>0</v>
      </c>
      <c r="O146" s="86">
        <f ca="1">IF(C146&lt;1,0,IF(Reeksen!AK146&gt;Reeksen!AE146,M146*Reeksen!C146,0))</f>
        <v>0</v>
      </c>
      <c r="P146" s="86">
        <f t="shared" ca="1" si="27"/>
        <v>0</v>
      </c>
      <c r="Q146" s="82">
        <f ca="1">IF('Invoer gegevens'!$C$17=E146,I146,IF(C146=0,0,R145))</f>
        <v>0</v>
      </c>
      <c r="R146" s="84">
        <f t="shared" ca="1" si="22"/>
        <v>0</v>
      </c>
      <c r="S146" s="84">
        <f ca="1">IF('Invoer gegevens'!$C$17=E146,M146,IF(C146=0,0,T145))</f>
        <v>0</v>
      </c>
      <c r="T146" s="84">
        <f t="shared" ca="1" si="23"/>
        <v>0</v>
      </c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8"/>
      <c r="AI146" s="71">
        <f ca="1">IF(C146=1,((F146+H146)/2*Reeksen!AJ146*12)+(('Invoer gegevens'!$C$10-(F146+H146)/2)*Reeksen!AK146*12),0)</f>
        <v>0</v>
      </c>
      <c r="AJ146" s="71">
        <f ca="1">-AI146*'Invoer gegevens'!$F$28</f>
        <v>0</v>
      </c>
      <c r="AK146" s="71">
        <f t="shared" ca="1" si="24"/>
        <v>0</v>
      </c>
      <c r="AL146" s="71">
        <f ca="1">IF(C146=1,(12*((F146+H146)/2)*Reeksen!AL146)+(12*('Invoer gegevens'!$C$10-(F146+H146)/2)*Reeksen!AM146),0)</f>
        <v>0</v>
      </c>
      <c r="AM146" s="71">
        <f ca="1">-AL146*'Invoer gegevens'!$F$31</f>
        <v>0</v>
      </c>
      <c r="AN146" s="71">
        <f t="shared" ca="1" si="28"/>
        <v>0</v>
      </c>
      <c r="AO146" s="71"/>
      <c r="AP146" s="71"/>
      <c r="AQ146" s="71">
        <f ca="1">-IF(C146=1,('Invoer gegevens'!$C$10*'Invoer gegevens'!$I$33)*Reeksen!J146,0)*2</f>
        <v>0</v>
      </c>
      <c r="AR146" s="71">
        <f ca="1">-IF(C146=1,(G146*'Invoer gegevens'!$I$34)*Reeksen!J146,0)</f>
        <v>0</v>
      </c>
      <c r="AS146" s="71">
        <f ca="1">-IF(C146=1,'Invoer gegevens'!$C$10*'Invoer gegevens'!$I$35*Reeksen!L146,0)</f>
        <v>0</v>
      </c>
      <c r="AT146" s="71">
        <f ca="1">-IF(C146=1,IF(E146='Invoer gegevens'!$C$17,'Invoer gegevens'!$C$11,Q146)*Reeksen!S146*'Invoer gegevens'!$C$18*Reeksen!P146,0)</f>
        <v>0</v>
      </c>
      <c r="AU146" s="71">
        <f ca="1">-IF(C146=1,'Invoer gegevens'!$C$10*'Invoer gegevens'!$I$36*Reeksen!H146,0)</f>
        <v>0</v>
      </c>
      <c r="AV146" s="71">
        <f t="shared" si="21"/>
        <v>0</v>
      </c>
      <c r="AW146" s="71">
        <f t="shared" ca="1" si="29"/>
        <v>0</v>
      </c>
      <c r="AX146" s="71">
        <f ca="1">IF(E146&lt;'Invoer gegevens'!$C$17+15,0,IF(E146&gt;'Invoer gegevens'!$C$17+215,0,AW146))</f>
        <v>0</v>
      </c>
      <c r="AY146" s="71">
        <f ca="1">AX146/(1+'Invoer gegevens'!$F$13)^($AZ146-('Invoer gegevens'!$C$17-'Invoer gegevens'!$C$16))/(1+'Invoer gegevens'!$C$39)^('Invoer gegevens'!$C$17-'Invoer gegevens'!$C$16)</f>
        <v>0</v>
      </c>
      <c r="AZ146" s="68">
        <f ca="1">IF(E146-'Invoer gegevens'!$C$17-14.5&lt;0,0,E146-'Invoer gegevens'!$C$17-14.5)</f>
        <v>126.5</v>
      </c>
    </row>
    <row r="147" spans="2:52" x14ac:dyDescent="0.25">
      <c r="B147" s="70">
        <f t="shared" si="30"/>
        <v>143</v>
      </c>
      <c r="C147" s="67">
        <f ca="1">IF(E147-'Invoer gegevens'!$C$17&lt;0,0,1)</f>
        <v>1</v>
      </c>
      <c r="D147" s="68">
        <f t="shared" si="31"/>
        <v>142.5</v>
      </c>
      <c r="E147" s="69">
        <f ca="1">IF('Invoer gegevens'!$C$16="","",E146+1)</f>
        <v>2161</v>
      </c>
      <c r="F147" s="82">
        <f ca="1">IF('Invoer gegevens'!$C$17=E147,'Invoer gegevens'!$C$10,IF(C147=1,H146,0))</f>
        <v>0</v>
      </c>
      <c r="G147" s="83">
        <f ca="1">IF(C147&gt;=1,F147*Reeksen!C147,0)</f>
        <v>0</v>
      </c>
      <c r="H147" s="84">
        <f t="shared" ca="1" si="25"/>
        <v>0</v>
      </c>
      <c r="I147" s="85">
        <f ca="1">IF('Invoer gegevens'!$C$17=E147,'Invoer gegevens'!$C$11,IF(C147=1,L146,0))</f>
        <v>0</v>
      </c>
      <c r="J147" s="86">
        <f ca="1">IF(C147&lt;1,0,IF(Reeksen!AK147&lt;=Reeksen!AE147,I147*Reeksen!C147,0))</f>
        <v>0</v>
      </c>
      <c r="K147" s="86">
        <f ca="1">IF(C147&lt;1,0,IF(Reeksen!AK147&gt;Reeksen!AE147,I147*Reeksen!C147,0))</f>
        <v>0</v>
      </c>
      <c r="L147" s="86">
        <f t="shared" ca="1" si="26"/>
        <v>0</v>
      </c>
      <c r="M147" s="85">
        <f ca="1">IF('Invoer gegevens'!$C$17=E147,'Invoer gegevens'!$C$10-'Invoer gegevens'!$C$11,IF(C147=1,P146,0))</f>
        <v>0</v>
      </c>
      <c r="N147" s="86">
        <f ca="1">IF(C147&lt;1,0,IF(Reeksen!AK147&lt;=Reeksen!AE147,M147*Reeksen!C147,0))</f>
        <v>0</v>
      </c>
      <c r="O147" s="86">
        <f ca="1">IF(C147&lt;1,0,IF(Reeksen!AK147&gt;Reeksen!AE147,M147*Reeksen!C147,0))</f>
        <v>0</v>
      </c>
      <c r="P147" s="86">
        <f t="shared" ca="1" si="27"/>
        <v>0</v>
      </c>
      <c r="Q147" s="82">
        <f ca="1">IF('Invoer gegevens'!$C$17=E147,I147,IF(C147=0,0,R146))</f>
        <v>0</v>
      </c>
      <c r="R147" s="84">
        <f t="shared" ca="1" si="22"/>
        <v>0</v>
      </c>
      <c r="S147" s="84">
        <f ca="1">IF('Invoer gegevens'!$C$17=E147,M147,IF(C147=0,0,T146))</f>
        <v>0</v>
      </c>
      <c r="T147" s="84">
        <f t="shared" ca="1" si="23"/>
        <v>0</v>
      </c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8"/>
      <c r="AI147" s="71">
        <f ca="1">IF(C147=1,((F147+H147)/2*Reeksen!AJ147*12)+(('Invoer gegevens'!$C$10-(F147+H147)/2)*Reeksen!AK147*12),0)</f>
        <v>0</v>
      </c>
      <c r="AJ147" s="71">
        <f ca="1">-AI147*'Invoer gegevens'!$F$28</f>
        <v>0</v>
      </c>
      <c r="AK147" s="71">
        <f t="shared" ca="1" si="24"/>
        <v>0</v>
      </c>
      <c r="AL147" s="71">
        <f ca="1">IF(C147=1,(12*((F147+H147)/2)*Reeksen!AL147)+(12*('Invoer gegevens'!$C$10-(F147+H147)/2)*Reeksen!AM147),0)</f>
        <v>0</v>
      </c>
      <c r="AM147" s="71">
        <f ca="1">-AL147*'Invoer gegevens'!$F$31</f>
        <v>0</v>
      </c>
      <c r="AN147" s="71">
        <f t="shared" ca="1" si="28"/>
        <v>0</v>
      </c>
      <c r="AO147" s="71"/>
      <c r="AP147" s="71"/>
      <c r="AQ147" s="71">
        <f ca="1">-IF(C147=1,('Invoer gegevens'!$C$10*'Invoer gegevens'!$I$33)*Reeksen!J147,0)*2</f>
        <v>0</v>
      </c>
      <c r="AR147" s="71">
        <f ca="1">-IF(C147=1,(G147*'Invoer gegevens'!$I$34)*Reeksen!J147,0)</f>
        <v>0</v>
      </c>
      <c r="AS147" s="71">
        <f ca="1">-IF(C147=1,'Invoer gegevens'!$C$10*'Invoer gegevens'!$I$35*Reeksen!L147,0)</f>
        <v>0</v>
      </c>
      <c r="AT147" s="71">
        <f ca="1">-IF(C147=1,IF(E147='Invoer gegevens'!$C$17,'Invoer gegevens'!$C$11,Q147)*Reeksen!S147*'Invoer gegevens'!$C$18*Reeksen!P147,0)</f>
        <v>0</v>
      </c>
      <c r="AU147" s="71">
        <f ca="1">-IF(C147=1,'Invoer gegevens'!$C$10*'Invoer gegevens'!$I$36*Reeksen!H147,0)</f>
        <v>0</v>
      </c>
      <c r="AV147" s="71">
        <f t="shared" si="21"/>
        <v>0</v>
      </c>
      <c r="AW147" s="71">
        <f t="shared" ca="1" si="29"/>
        <v>0</v>
      </c>
      <c r="AX147" s="71">
        <f ca="1">IF(E147&lt;'Invoer gegevens'!$C$17+15,0,IF(E147&gt;'Invoer gegevens'!$C$17+215,0,AW147))</f>
        <v>0</v>
      </c>
      <c r="AY147" s="71">
        <f ca="1">AX147/(1+'Invoer gegevens'!$F$13)^($AZ147-('Invoer gegevens'!$C$17-'Invoer gegevens'!$C$16))/(1+'Invoer gegevens'!$C$39)^('Invoer gegevens'!$C$17-'Invoer gegevens'!$C$16)</f>
        <v>0</v>
      </c>
      <c r="AZ147" s="68">
        <f ca="1">IF(E147-'Invoer gegevens'!$C$17-14.5&lt;0,0,E147-'Invoer gegevens'!$C$17-14.5)</f>
        <v>127.5</v>
      </c>
    </row>
    <row r="148" spans="2:52" x14ac:dyDescent="0.25">
      <c r="B148" s="70">
        <f t="shared" si="30"/>
        <v>144</v>
      </c>
      <c r="C148" s="67">
        <f ca="1">IF(E148-'Invoer gegevens'!$C$17&lt;0,0,1)</f>
        <v>1</v>
      </c>
      <c r="D148" s="68">
        <f t="shared" si="31"/>
        <v>143.5</v>
      </c>
      <c r="E148" s="69">
        <f ca="1">IF('Invoer gegevens'!$C$16="","",E147+1)</f>
        <v>2162</v>
      </c>
      <c r="F148" s="82">
        <f ca="1">IF('Invoer gegevens'!$C$17=E148,'Invoer gegevens'!$C$10,IF(C148=1,H147,0))</f>
        <v>0</v>
      </c>
      <c r="G148" s="83">
        <f ca="1">IF(C148&gt;=1,F148*Reeksen!C148,0)</f>
        <v>0</v>
      </c>
      <c r="H148" s="84">
        <f t="shared" ca="1" si="25"/>
        <v>0</v>
      </c>
      <c r="I148" s="85">
        <f ca="1">IF('Invoer gegevens'!$C$17=E148,'Invoer gegevens'!$C$11,IF(C148=1,L147,0))</f>
        <v>0</v>
      </c>
      <c r="J148" s="86">
        <f ca="1">IF(C148&lt;1,0,IF(Reeksen!AK148&lt;=Reeksen!AE148,I148*Reeksen!C148,0))</f>
        <v>0</v>
      </c>
      <c r="K148" s="86">
        <f ca="1">IF(C148&lt;1,0,IF(Reeksen!AK148&gt;Reeksen!AE148,I148*Reeksen!C148,0))</f>
        <v>0</v>
      </c>
      <c r="L148" s="86">
        <f t="shared" ca="1" si="26"/>
        <v>0</v>
      </c>
      <c r="M148" s="85">
        <f ca="1">IF('Invoer gegevens'!$C$17=E148,'Invoer gegevens'!$C$10-'Invoer gegevens'!$C$11,IF(C148=1,P147,0))</f>
        <v>0</v>
      </c>
      <c r="N148" s="86">
        <f ca="1">IF(C148&lt;1,0,IF(Reeksen!AK148&lt;=Reeksen!AE148,M148*Reeksen!C148,0))</f>
        <v>0</v>
      </c>
      <c r="O148" s="86">
        <f ca="1">IF(C148&lt;1,0,IF(Reeksen!AK148&gt;Reeksen!AE148,M148*Reeksen!C148,0))</f>
        <v>0</v>
      </c>
      <c r="P148" s="86">
        <f t="shared" ca="1" si="27"/>
        <v>0</v>
      </c>
      <c r="Q148" s="82">
        <f ca="1">IF('Invoer gegevens'!$C$17=E148,I148,IF(C148=0,0,R147))</f>
        <v>0</v>
      </c>
      <c r="R148" s="84">
        <f t="shared" ca="1" si="22"/>
        <v>0</v>
      </c>
      <c r="S148" s="84">
        <f ca="1">IF('Invoer gegevens'!$C$17=E148,M148,IF(C148=0,0,T147))</f>
        <v>0</v>
      </c>
      <c r="T148" s="84">
        <f t="shared" ca="1" si="23"/>
        <v>0</v>
      </c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8"/>
      <c r="AI148" s="71">
        <f ca="1">IF(C148=1,((F148+H148)/2*Reeksen!AJ148*12)+(('Invoer gegevens'!$C$10-(F148+H148)/2)*Reeksen!AK148*12),0)</f>
        <v>0</v>
      </c>
      <c r="AJ148" s="71">
        <f ca="1">-AI148*'Invoer gegevens'!$F$28</f>
        <v>0</v>
      </c>
      <c r="AK148" s="71">
        <f t="shared" ca="1" si="24"/>
        <v>0</v>
      </c>
      <c r="AL148" s="71">
        <f ca="1">IF(C148=1,(12*((F148+H148)/2)*Reeksen!AL148)+(12*('Invoer gegevens'!$C$10-(F148+H148)/2)*Reeksen!AM148),0)</f>
        <v>0</v>
      </c>
      <c r="AM148" s="71">
        <f ca="1">-AL148*'Invoer gegevens'!$F$31</f>
        <v>0</v>
      </c>
      <c r="AN148" s="71">
        <f t="shared" ca="1" si="28"/>
        <v>0</v>
      </c>
      <c r="AO148" s="71"/>
      <c r="AP148" s="71"/>
      <c r="AQ148" s="71">
        <f ca="1">-IF(C148=1,('Invoer gegevens'!$C$10*'Invoer gegevens'!$I$33)*Reeksen!J148,0)*2</f>
        <v>0</v>
      </c>
      <c r="AR148" s="71">
        <f ca="1">-IF(C148=1,(G148*'Invoer gegevens'!$I$34)*Reeksen!J148,0)</f>
        <v>0</v>
      </c>
      <c r="AS148" s="71">
        <f ca="1">-IF(C148=1,'Invoer gegevens'!$C$10*'Invoer gegevens'!$I$35*Reeksen!L148,0)</f>
        <v>0</v>
      </c>
      <c r="AT148" s="71">
        <f ca="1">-IF(C148=1,IF(E148='Invoer gegevens'!$C$17,'Invoer gegevens'!$C$11,Q148)*Reeksen!S148*'Invoer gegevens'!$C$18*Reeksen!P148,0)</f>
        <v>0</v>
      </c>
      <c r="AU148" s="71">
        <f ca="1">-IF(C148=1,'Invoer gegevens'!$C$10*'Invoer gegevens'!$I$36*Reeksen!H148,0)</f>
        <v>0</v>
      </c>
      <c r="AV148" s="71">
        <f t="shared" si="21"/>
        <v>0</v>
      </c>
      <c r="AW148" s="71">
        <f t="shared" ca="1" si="29"/>
        <v>0</v>
      </c>
      <c r="AX148" s="71">
        <f ca="1">IF(E148&lt;'Invoer gegevens'!$C$17+15,0,IF(E148&gt;'Invoer gegevens'!$C$17+215,0,AW148))</f>
        <v>0</v>
      </c>
      <c r="AY148" s="71">
        <f ca="1">AX148/(1+'Invoer gegevens'!$F$13)^($AZ148-('Invoer gegevens'!$C$17-'Invoer gegevens'!$C$16))/(1+'Invoer gegevens'!$C$39)^('Invoer gegevens'!$C$17-'Invoer gegevens'!$C$16)</f>
        <v>0</v>
      </c>
      <c r="AZ148" s="68">
        <f ca="1">IF(E148-'Invoer gegevens'!$C$17-14.5&lt;0,0,E148-'Invoer gegevens'!$C$17-14.5)</f>
        <v>128.5</v>
      </c>
    </row>
    <row r="149" spans="2:52" x14ac:dyDescent="0.25">
      <c r="B149" s="70">
        <f t="shared" si="30"/>
        <v>145</v>
      </c>
      <c r="C149" s="67">
        <f ca="1">IF(E149-'Invoer gegevens'!$C$17&lt;0,0,1)</f>
        <v>1</v>
      </c>
      <c r="D149" s="68">
        <f t="shared" si="31"/>
        <v>144.5</v>
      </c>
      <c r="E149" s="69">
        <f ca="1">IF('Invoer gegevens'!$C$16="","",E148+1)</f>
        <v>2163</v>
      </c>
      <c r="F149" s="82">
        <f ca="1">IF('Invoer gegevens'!$C$17=E149,'Invoer gegevens'!$C$10,IF(C149=1,H148,0))</f>
        <v>0</v>
      </c>
      <c r="G149" s="83">
        <f ca="1">IF(C149&gt;=1,F149*Reeksen!C149,0)</f>
        <v>0</v>
      </c>
      <c r="H149" s="84">
        <f t="shared" ca="1" si="25"/>
        <v>0</v>
      </c>
      <c r="I149" s="85">
        <f ca="1">IF('Invoer gegevens'!$C$17=E149,'Invoer gegevens'!$C$11,IF(C149=1,L148,0))</f>
        <v>0</v>
      </c>
      <c r="J149" s="86">
        <f ca="1">IF(C149&lt;1,0,IF(Reeksen!AK149&lt;=Reeksen!AE149,I149*Reeksen!C149,0))</f>
        <v>0</v>
      </c>
      <c r="K149" s="86">
        <f ca="1">IF(C149&lt;1,0,IF(Reeksen!AK149&gt;Reeksen!AE149,I149*Reeksen!C149,0))</f>
        <v>0</v>
      </c>
      <c r="L149" s="86">
        <f t="shared" ca="1" si="26"/>
        <v>0</v>
      </c>
      <c r="M149" s="85">
        <f ca="1">IF('Invoer gegevens'!$C$17=E149,'Invoer gegevens'!$C$10-'Invoer gegevens'!$C$11,IF(C149=1,P148,0))</f>
        <v>0</v>
      </c>
      <c r="N149" s="86">
        <f ca="1">IF(C149&lt;1,0,IF(Reeksen!AK149&lt;=Reeksen!AE149,M149*Reeksen!C149,0))</f>
        <v>0</v>
      </c>
      <c r="O149" s="86">
        <f ca="1">IF(C149&lt;1,0,IF(Reeksen!AK149&gt;Reeksen!AE149,M149*Reeksen!C149,0))</f>
        <v>0</v>
      </c>
      <c r="P149" s="86">
        <f t="shared" ca="1" si="27"/>
        <v>0</v>
      </c>
      <c r="Q149" s="82">
        <f ca="1">IF('Invoer gegevens'!$C$17=E149,I149,IF(C149=0,0,R148))</f>
        <v>0</v>
      </c>
      <c r="R149" s="84">
        <f t="shared" ca="1" si="22"/>
        <v>0</v>
      </c>
      <c r="S149" s="84">
        <f ca="1">IF('Invoer gegevens'!$C$17=E149,M149,IF(C149=0,0,T148))</f>
        <v>0</v>
      </c>
      <c r="T149" s="84">
        <f t="shared" ca="1" si="23"/>
        <v>0</v>
      </c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8"/>
      <c r="AI149" s="71">
        <f ca="1">IF(C149=1,((F149+H149)/2*Reeksen!AJ149*12)+(('Invoer gegevens'!$C$10-(F149+H149)/2)*Reeksen!AK149*12),0)</f>
        <v>0</v>
      </c>
      <c r="AJ149" s="71">
        <f ca="1">-AI149*'Invoer gegevens'!$F$28</f>
        <v>0</v>
      </c>
      <c r="AK149" s="71">
        <f t="shared" ca="1" si="24"/>
        <v>0</v>
      </c>
      <c r="AL149" s="71">
        <f ca="1">IF(C149=1,(12*((F149+H149)/2)*Reeksen!AL149)+(12*('Invoer gegevens'!$C$10-(F149+H149)/2)*Reeksen!AM149),0)</f>
        <v>0</v>
      </c>
      <c r="AM149" s="71">
        <f ca="1">-AL149*'Invoer gegevens'!$F$31</f>
        <v>0</v>
      </c>
      <c r="AN149" s="71">
        <f t="shared" ca="1" si="28"/>
        <v>0</v>
      </c>
      <c r="AO149" s="71"/>
      <c r="AP149" s="71"/>
      <c r="AQ149" s="71">
        <f ca="1">-IF(C149=1,('Invoer gegevens'!$C$10*'Invoer gegevens'!$I$33)*Reeksen!J149,0)*2</f>
        <v>0</v>
      </c>
      <c r="AR149" s="71">
        <f ca="1">-IF(C149=1,(G149*'Invoer gegevens'!$I$34)*Reeksen!J149,0)</f>
        <v>0</v>
      </c>
      <c r="AS149" s="71">
        <f ca="1">-IF(C149=1,'Invoer gegevens'!$C$10*'Invoer gegevens'!$I$35*Reeksen!L149,0)</f>
        <v>0</v>
      </c>
      <c r="AT149" s="71">
        <f ca="1">-IF(C149=1,IF(E149='Invoer gegevens'!$C$17,'Invoer gegevens'!$C$11,Q149)*Reeksen!S149*'Invoer gegevens'!$C$18*Reeksen!P149,0)</f>
        <v>0</v>
      </c>
      <c r="AU149" s="71">
        <f ca="1">-IF(C149=1,'Invoer gegevens'!$C$10*'Invoer gegevens'!$I$36*Reeksen!H149,0)</f>
        <v>0</v>
      </c>
      <c r="AV149" s="71">
        <f t="shared" ref="AV149:AV212" si="32">AV148</f>
        <v>0</v>
      </c>
      <c r="AW149" s="71">
        <f t="shared" ca="1" si="29"/>
        <v>0</v>
      </c>
      <c r="AX149" s="71">
        <f ca="1">IF(E149&lt;'Invoer gegevens'!$C$17+15,0,IF(E149&gt;'Invoer gegevens'!$C$17+215,0,AW149))</f>
        <v>0</v>
      </c>
      <c r="AY149" s="71">
        <f ca="1">AX149/(1+'Invoer gegevens'!$F$13)^($AZ149-('Invoer gegevens'!$C$17-'Invoer gegevens'!$C$16))/(1+'Invoer gegevens'!$C$39)^('Invoer gegevens'!$C$17-'Invoer gegevens'!$C$16)</f>
        <v>0</v>
      </c>
      <c r="AZ149" s="68">
        <f ca="1">IF(E149-'Invoer gegevens'!$C$17-14.5&lt;0,0,E149-'Invoer gegevens'!$C$17-14.5)</f>
        <v>129.5</v>
      </c>
    </row>
    <row r="150" spans="2:52" x14ac:dyDescent="0.25">
      <c r="B150" s="70">
        <f t="shared" si="30"/>
        <v>146</v>
      </c>
      <c r="C150" s="67">
        <f ca="1">IF(E150-'Invoer gegevens'!$C$17&lt;0,0,1)</f>
        <v>1</v>
      </c>
      <c r="D150" s="68">
        <f t="shared" si="31"/>
        <v>145.5</v>
      </c>
      <c r="E150" s="69">
        <f ca="1">IF('Invoer gegevens'!$C$16="","",E149+1)</f>
        <v>2164</v>
      </c>
      <c r="F150" s="82">
        <f ca="1">IF('Invoer gegevens'!$C$17=E150,'Invoer gegevens'!$C$10,IF(C150=1,H149,0))</f>
        <v>0</v>
      </c>
      <c r="G150" s="83">
        <f ca="1">IF(C150&gt;=1,F150*Reeksen!C150,0)</f>
        <v>0</v>
      </c>
      <c r="H150" s="84">
        <f t="shared" ca="1" si="25"/>
        <v>0</v>
      </c>
      <c r="I150" s="85">
        <f ca="1">IF('Invoer gegevens'!$C$17=E150,'Invoer gegevens'!$C$11,IF(C150=1,L149,0))</f>
        <v>0</v>
      </c>
      <c r="J150" s="86">
        <f ca="1">IF(C150&lt;1,0,IF(Reeksen!AK150&lt;=Reeksen!AE150,I150*Reeksen!C150,0))</f>
        <v>0</v>
      </c>
      <c r="K150" s="86">
        <f ca="1">IF(C150&lt;1,0,IF(Reeksen!AK150&gt;Reeksen!AE150,I150*Reeksen!C150,0))</f>
        <v>0</v>
      </c>
      <c r="L150" s="86">
        <f t="shared" ca="1" si="26"/>
        <v>0</v>
      </c>
      <c r="M150" s="85">
        <f ca="1">IF('Invoer gegevens'!$C$17=E150,'Invoer gegevens'!$C$10-'Invoer gegevens'!$C$11,IF(C150=1,P149,0))</f>
        <v>0</v>
      </c>
      <c r="N150" s="86">
        <f ca="1">IF(C150&lt;1,0,IF(Reeksen!AK150&lt;=Reeksen!AE150,M150*Reeksen!C150,0))</f>
        <v>0</v>
      </c>
      <c r="O150" s="86">
        <f ca="1">IF(C150&lt;1,0,IF(Reeksen!AK150&gt;Reeksen!AE150,M150*Reeksen!C150,0))</f>
        <v>0</v>
      </c>
      <c r="P150" s="86">
        <f t="shared" ca="1" si="27"/>
        <v>0</v>
      </c>
      <c r="Q150" s="82">
        <f ca="1">IF('Invoer gegevens'!$C$17=E150,I150,IF(C150=0,0,R149))</f>
        <v>0</v>
      </c>
      <c r="R150" s="84">
        <f t="shared" ca="1" si="22"/>
        <v>0</v>
      </c>
      <c r="S150" s="84">
        <f ca="1">IF('Invoer gegevens'!$C$17=E150,M150,IF(C150=0,0,T149))</f>
        <v>0</v>
      </c>
      <c r="T150" s="84">
        <f t="shared" ca="1" si="23"/>
        <v>0</v>
      </c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8"/>
      <c r="AI150" s="71">
        <f ca="1">IF(C150=1,((F150+H150)/2*Reeksen!AJ150*12)+(('Invoer gegevens'!$C$10-(F150+H150)/2)*Reeksen!AK150*12),0)</f>
        <v>0</v>
      </c>
      <c r="AJ150" s="71">
        <f ca="1">-AI150*'Invoer gegevens'!$F$28</f>
        <v>0</v>
      </c>
      <c r="AK150" s="71">
        <f t="shared" ca="1" si="24"/>
        <v>0</v>
      </c>
      <c r="AL150" s="71">
        <f ca="1">IF(C150=1,(12*((F150+H150)/2)*Reeksen!AL150)+(12*('Invoer gegevens'!$C$10-(F150+H150)/2)*Reeksen!AM150),0)</f>
        <v>0</v>
      </c>
      <c r="AM150" s="71">
        <f ca="1">-AL150*'Invoer gegevens'!$F$31</f>
        <v>0</v>
      </c>
      <c r="AN150" s="71">
        <f t="shared" ca="1" si="28"/>
        <v>0</v>
      </c>
      <c r="AO150" s="71"/>
      <c r="AP150" s="71"/>
      <c r="AQ150" s="71">
        <f ca="1">-IF(C150=1,('Invoer gegevens'!$C$10*'Invoer gegevens'!$I$33)*Reeksen!J150,0)*2</f>
        <v>0</v>
      </c>
      <c r="AR150" s="71">
        <f ca="1">-IF(C150=1,(G150*'Invoer gegevens'!$I$34)*Reeksen!J150,0)</f>
        <v>0</v>
      </c>
      <c r="AS150" s="71">
        <f ca="1">-IF(C150=1,'Invoer gegevens'!$C$10*'Invoer gegevens'!$I$35*Reeksen!L150,0)</f>
        <v>0</v>
      </c>
      <c r="AT150" s="71">
        <f ca="1">-IF(C150=1,IF(E150='Invoer gegevens'!$C$17,'Invoer gegevens'!$C$11,Q150)*Reeksen!S150*'Invoer gegevens'!$C$18*Reeksen!P150,0)</f>
        <v>0</v>
      </c>
      <c r="AU150" s="71">
        <f ca="1">-IF(C150=1,'Invoer gegevens'!$C$10*'Invoer gegevens'!$I$36*Reeksen!H150,0)</f>
        <v>0</v>
      </c>
      <c r="AV150" s="71">
        <f t="shared" si="32"/>
        <v>0</v>
      </c>
      <c r="AW150" s="71">
        <f t="shared" ca="1" si="29"/>
        <v>0</v>
      </c>
      <c r="AX150" s="71">
        <f ca="1">IF(E150&lt;'Invoer gegevens'!$C$17+15,0,IF(E150&gt;'Invoer gegevens'!$C$17+215,0,AW150))</f>
        <v>0</v>
      </c>
      <c r="AY150" s="71">
        <f ca="1">AX150/(1+'Invoer gegevens'!$F$13)^($AZ150-('Invoer gegevens'!$C$17-'Invoer gegevens'!$C$16))/(1+'Invoer gegevens'!$C$39)^('Invoer gegevens'!$C$17-'Invoer gegevens'!$C$16)</f>
        <v>0</v>
      </c>
      <c r="AZ150" s="68">
        <f ca="1">IF(E150-'Invoer gegevens'!$C$17-14.5&lt;0,0,E150-'Invoer gegevens'!$C$17-14.5)</f>
        <v>130.5</v>
      </c>
    </row>
    <row r="151" spans="2:52" x14ac:dyDescent="0.25">
      <c r="B151" s="70">
        <f t="shared" si="30"/>
        <v>147</v>
      </c>
      <c r="C151" s="67">
        <f ca="1">IF(E151-'Invoer gegevens'!$C$17&lt;0,0,1)</f>
        <v>1</v>
      </c>
      <c r="D151" s="68">
        <f t="shared" si="31"/>
        <v>146.5</v>
      </c>
      <c r="E151" s="69">
        <f ca="1">IF('Invoer gegevens'!$C$16="","",E150+1)</f>
        <v>2165</v>
      </c>
      <c r="F151" s="82">
        <f ca="1">IF('Invoer gegevens'!$C$17=E151,'Invoer gegevens'!$C$10,IF(C151=1,H150,0))</f>
        <v>0</v>
      </c>
      <c r="G151" s="83">
        <f ca="1">IF(C151&gt;=1,F151*Reeksen!C151,0)</f>
        <v>0</v>
      </c>
      <c r="H151" s="84">
        <f t="shared" ca="1" si="25"/>
        <v>0</v>
      </c>
      <c r="I151" s="85">
        <f ca="1">IF('Invoer gegevens'!$C$17=E151,'Invoer gegevens'!$C$11,IF(C151=1,L150,0))</f>
        <v>0</v>
      </c>
      <c r="J151" s="86">
        <f ca="1">IF(C151&lt;1,0,IF(Reeksen!AK151&lt;=Reeksen!AE151,I151*Reeksen!C151,0))</f>
        <v>0</v>
      </c>
      <c r="K151" s="86">
        <f ca="1">IF(C151&lt;1,0,IF(Reeksen!AK151&gt;Reeksen!AE151,I151*Reeksen!C151,0))</f>
        <v>0</v>
      </c>
      <c r="L151" s="86">
        <f t="shared" ca="1" si="26"/>
        <v>0</v>
      </c>
      <c r="M151" s="85">
        <f ca="1">IF('Invoer gegevens'!$C$17=E151,'Invoer gegevens'!$C$10-'Invoer gegevens'!$C$11,IF(C151=1,P150,0))</f>
        <v>0</v>
      </c>
      <c r="N151" s="86">
        <f ca="1">IF(C151&lt;1,0,IF(Reeksen!AK151&lt;=Reeksen!AE151,M151*Reeksen!C151,0))</f>
        <v>0</v>
      </c>
      <c r="O151" s="86">
        <f ca="1">IF(C151&lt;1,0,IF(Reeksen!AK151&gt;Reeksen!AE151,M151*Reeksen!C151,0))</f>
        <v>0</v>
      </c>
      <c r="P151" s="86">
        <f t="shared" ca="1" si="27"/>
        <v>0</v>
      </c>
      <c r="Q151" s="82">
        <f ca="1">IF('Invoer gegevens'!$C$17=E151,I151,IF(C151=0,0,R150))</f>
        <v>0</v>
      </c>
      <c r="R151" s="84">
        <f t="shared" ca="1" si="22"/>
        <v>0</v>
      </c>
      <c r="S151" s="84">
        <f ca="1">IF('Invoer gegevens'!$C$17=E151,M151,IF(C151=0,0,T150))</f>
        <v>0</v>
      </c>
      <c r="T151" s="84">
        <f t="shared" ca="1" si="23"/>
        <v>0</v>
      </c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8"/>
      <c r="AI151" s="71">
        <f ca="1">IF(C151=1,((F151+H151)/2*Reeksen!AJ151*12)+(('Invoer gegevens'!$C$10-(F151+H151)/2)*Reeksen!AK151*12),0)</f>
        <v>0</v>
      </c>
      <c r="AJ151" s="71">
        <f ca="1">-AI151*'Invoer gegevens'!$F$28</f>
        <v>0</v>
      </c>
      <c r="AK151" s="71">
        <f t="shared" ca="1" si="24"/>
        <v>0</v>
      </c>
      <c r="AL151" s="71">
        <f ca="1">IF(C151=1,(12*((F151+H151)/2)*Reeksen!AL151)+(12*('Invoer gegevens'!$C$10-(F151+H151)/2)*Reeksen!AM151),0)</f>
        <v>0</v>
      </c>
      <c r="AM151" s="71">
        <f ca="1">-AL151*'Invoer gegevens'!$F$31</f>
        <v>0</v>
      </c>
      <c r="AN151" s="71">
        <f t="shared" ca="1" si="28"/>
        <v>0</v>
      </c>
      <c r="AO151" s="71"/>
      <c r="AP151" s="71"/>
      <c r="AQ151" s="71">
        <f ca="1">-IF(C151=1,('Invoer gegevens'!$C$10*'Invoer gegevens'!$I$33)*Reeksen!J151,0)*2</f>
        <v>0</v>
      </c>
      <c r="AR151" s="71">
        <f ca="1">-IF(C151=1,(G151*'Invoer gegevens'!$I$34)*Reeksen!J151,0)</f>
        <v>0</v>
      </c>
      <c r="AS151" s="71">
        <f ca="1">-IF(C151=1,'Invoer gegevens'!$C$10*'Invoer gegevens'!$I$35*Reeksen!L151,0)</f>
        <v>0</v>
      </c>
      <c r="AT151" s="71">
        <f ca="1">-IF(C151=1,IF(E151='Invoer gegevens'!$C$17,'Invoer gegevens'!$C$11,Q151)*Reeksen!S151*'Invoer gegevens'!$C$18*Reeksen!P151,0)</f>
        <v>0</v>
      </c>
      <c r="AU151" s="71">
        <f ca="1">-IF(C151=1,'Invoer gegevens'!$C$10*'Invoer gegevens'!$I$36*Reeksen!H151,0)</f>
        <v>0</v>
      </c>
      <c r="AV151" s="71">
        <f t="shared" si="32"/>
        <v>0</v>
      </c>
      <c r="AW151" s="71">
        <f t="shared" ca="1" si="29"/>
        <v>0</v>
      </c>
      <c r="AX151" s="71">
        <f ca="1">IF(E151&lt;'Invoer gegevens'!$C$17+15,0,IF(E151&gt;'Invoer gegevens'!$C$17+215,0,AW151))</f>
        <v>0</v>
      </c>
      <c r="AY151" s="71">
        <f ca="1">AX151/(1+'Invoer gegevens'!$F$13)^($AZ151-('Invoer gegevens'!$C$17-'Invoer gegevens'!$C$16))/(1+'Invoer gegevens'!$C$39)^('Invoer gegevens'!$C$17-'Invoer gegevens'!$C$16)</f>
        <v>0</v>
      </c>
      <c r="AZ151" s="68">
        <f ca="1">IF(E151-'Invoer gegevens'!$C$17-14.5&lt;0,0,E151-'Invoer gegevens'!$C$17-14.5)</f>
        <v>131.5</v>
      </c>
    </row>
    <row r="152" spans="2:52" x14ac:dyDescent="0.25">
      <c r="B152" s="70">
        <f t="shared" si="30"/>
        <v>148</v>
      </c>
      <c r="C152" s="67">
        <f ca="1">IF(E152-'Invoer gegevens'!$C$17&lt;0,0,1)</f>
        <v>1</v>
      </c>
      <c r="D152" s="68">
        <f t="shared" si="31"/>
        <v>147.5</v>
      </c>
      <c r="E152" s="69">
        <f ca="1">IF('Invoer gegevens'!$C$16="","",E151+1)</f>
        <v>2166</v>
      </c>
      <c r="F152" s="82">
        <f ca="1">IF('Invoer gegevens'!$C$17=E152,'Invoer gegevens'!$C$10,IF(C152=1,H151,0))</f>
        <v>0</v>
      </c>
      <c r="G152" s="83">
        <f ca="1">IF(C152&gt;=1,F152*Reeksen!C152,0)</f>
        <v>0</v>
      </c>
      <c r="H152" s="84">
        <f t="shared" ca="1" si="25"/>
        <v>0</v>
      </c>
      <c r="I152" s="85">
        <f ca="1">IF('Invoer gegevens'!$C$17=E152,'Invoer gegevens'!$C$11,IF(C152=1,L151,0))</f>
        <v>0</v>
      </c>
      <c r="J152" s="86">
        <f ca="1">IF(C152&lt;1,0,IF(Reeksen!AK152&lt;=Reeksen!AE152,I152*Reeksen!C152,0))</f>
        <v>0</v>
      </c>
      <c r="K152" s="86">
        <f ca="1">IF(C152&lt;1,0,IF(Reeksen!AK152&gt;Reeksen!AE152,I152*Reeksen!C152,0))</f>
        <v>0</v>
      </c>
      <c r="L152" s="86">
        <f t="shared" ca="1" si="26"/>
        <v>0</v>
      </c>
      <c r="M152" s="85">
        <f ca="1">IF('Invoer gegevens'!$C$17=E152,'Invoer gegevens'!$C$10-'Invoer gegevens'!$C$11,IF(C152=1,P151,0))</f>
        <v>0</v>
      </c>
      <c r="N152" s="86">
        <f ca="1">IF(C152&lt;1,0,IF(Reeksen!AK152&lt;=Reeksen!AE152,M152*Reeksen!C152,0))</f>
        <v>0</v>
      </c>
      <c r="O152" s="86">
        <f ca="1">IF(C152&lt;1,0,IF(Reeksen!AK152&gt;Reeksen!AE152,M152*Reeksen!C152,0))</f>
        <v>0</v>
      </c>
      <c r="P152" s="86">
        <f t="shared" ca="1" si="27"/>
        <v>0</v>
      </c>
      <c r="Q152" s="82">
        <f ca="1">IF('Invoer gegevens'!$C$17=E152,I152,IF(C152=0,0,R151))</f>
        <v>0</v>
      </c>
      <c r="R152" s="84">
        <f t="shared" ca="1" si="22"/>
        <v>0</v>
      </c>
      <c r="S152" s="84">
        <f ca="1">IF('Invoer gegevens'!$C$17=E152,M152,IF(C152=0,0,T151))</f>
        <v>0</v>
      </c>
      <c r="T152" s="84">
        <f t="shared" ca="1" si="23"/>
        <v>0</v>
      </c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8"/>
      <c r="AI152" s="71">
        <f ca="1">IF(C152=1,((F152+H152)/2*Reeksen!AJ152*12)+(('Invoer gegevens'!$C$10-(F152+H152)/2)*Reeksen!AK152*12),0)</f>
        <v>0</v>
      </c>
      <c r="AJ152" s="71">
        <f ca="1">-AI152*'Invoer gegevens'!$F$28</f>
        <v>0</v>
      </c>
      <c r="AK152" s="71">
        <f t="shared" ca="1" si="24"/>
        <v>0</v>
      </c>
      <c r="AL152" s="71">
        <f ca="1">IF(C152=1,(12*((F152+H152)/2)*Reeksen!AL152)+(12*('Invoer gegevens'!$C$10-(F152+H152)/2)*Reeksen!AM152),0)</f>
        <v>0</v>
      </c>
      <c r="AM152" s="71">
        <f ca="1">-AL152*'Invoer gegevens'!$F$31</f>
        <v>0</v>
      </c>
      <c r="AN152" s="71">
        <f t="shared" ca="1" si="28"/>
        <v>0</v>
      </c>
      <c r="AO152" s="71"/>
      <c r="AP152" s="71"/>
      <c r="AQ152" s="71">
        <f ca="1">-IF(C152=1,('Invoer gegevens'!$C$10*'Invoer gegevens'!$I$33)*Reeksen!J152,0)*2</f>
        <v>0</v>
      </c>
      <c r="AR152" s="71">
        <f ca="1">-IF(C152=1,(G152*'Invoer gegevens'!$I$34)*Reeksen!J152,0)</f>
        <v>0</v>
      </c>
      <c r="AS152" s="71">
        <f ca="1">-IF(C152=1,'Invoer gegevens'!$C$10*'Invoer gegevens'!$I$35*Reeksen!L152,0)</f>
        <v>0</v>
      </c>
      <c r="AT152" s="71">
        <f ca="1">-IF(C152=1,IF(E152='Invoer gegevens'!$C$17,'Invoer gegevens'!$C$11,Q152)*Reeksen!S152*'Invoer gegevens'!$C$18*Reeksen!P152,0)</f>
        <v>0</v>
      </c>
      <c r="AU152" s="71">
        <f ca="1">-IF(C152=1,'Invoer gegevens'!$C$10*'Invoer gegevens'!$I$36*Reeksen!H152,0)</f>
        <v>0</v>
      </c>
      <c r="AV152" s="71">
        <f t="shared" si="32"/>
        <v>0</v>
      </c>
      <c r="AW152" s="71">
        <f t="shared" ca="1" si="29"/>
        <v>0</v>
      </c>
      <c r="AX152" s="71">
        <f ca="1">IF(E152&lt;'Invoer gegevens'!$C$17+15,0,IF(E152&gt;'Invoer gegevens'!$C$17+215,0,AW152))</f>
        <v>0</v>
      </c>
      <c r="AY152" s="71">
        <f ca="1">AX152/(1+'Invoer gegevens'!$F$13)^($AZ152-('Invoer gegevens'!$C$17-'Invoer gegevens'!$C$16))/(1+'Invoer gegevens'!$C$39)^('Invoer gegevens'!$C$17-'Invoer gegevens'!$C$16)</f>
        <v>0</v>
      </c>
      <c r="AZ152" s="68">
        <f ca="1">IF(E152-'Invoer gegevens'!$C$17-14.5&lt;0,0,E152-'Invoer gegevens'!$C$17-14.5)</f>
        <v>132.5</v>
      </c>
    </row>
    <row r="153" spans="2:52" x14ac:dyDescent="0.25">
      <c r="B153" s="70">
        <f t="shared" si="30"/>
        <v>149</v>
      </c>
      <c r="C153" s="67">
        <f ca="1">IF(E153-'Invoer gegevens'!$C$17&lt;0,0,1)</f>
        <v>1</v>
      </c>
      <c r="D153" s="68">
        <f t="shared" si="31"/>
        <v>148.5</v>
      </c>
      <c r="E153" s="69">
        <f ca="1">IF('Invoer gegevens'!$C$16="","",E152+1)</f>
        <v>2167</v>
      </c>
      <c r="F153" s="82">
        <f ca="1">IF('Invoer gegevens'!$C$17=E153,'Invoer gegevens'!$C$10,IF(C153=1,H152,0))</f>
        <v>0</v>
      </c>
      <c r="G153" s="83">
        <f ca="1">IF(C153&gt;=1,F153*Reeksen!C153,0)</f>
        <v>0</v>
      </c>
      <c r="H153" s="84">
        <f t="shared" ca="1" si="25"/>
        <v>0</v>
      </c>
      <c r="I153" s="85">
        <f ca="1">IF('Invoer gegevens'!$C$17=E153,'Invoer gegevens'!$C$11,IF(C153=1,L152,0))</f>
        <v>0</v>
      </c>
      <c r="J153" s="86">
        <f ca="1">IF(C153&lt;1,0,IF(Reeksen!AK153&lt;=Reeksen!AE153,I153*Reeksen!C153,0))</f>
        <v>0</v>
      </c>
      <c r="K153" s="86">
        <f ca="1">IF(C153&lt;1,0,IF(Reeksen!AK153&gt;Reeksen!AE153,I153*Reeksen!C153,0))</f>
        <v>0</v>
      </c>
      <c r="L153" s="86">
        <f t="shared" ca="1" si="26"/>
        <v>0</v>
      </c>
      <c r="M153" s="85">
        <f ca="1">IF('Invoer gegevens'!$C$17=E153,'Invoer gegevens'!$C$10-'Invoer gegevens'!$C$11,IF(C153=1,P152,0))</f>
        <v>0</v>
      </c>
      <c r="N153" s="86">
        <f ca="1">IF(C153&lt;1,0,IF(Reeksen!AK153&lt;=Reeksen!AE153,M153*Reeksen!C153,0))</f>
        <v>0</v>
      </c>
      <c r="O153" s="86">
        <f ca="1">IF(C153&lt;1,0,IF(Reeksen!AK153&gt;Reeksen!AE153,M153*Reeksen!C153,0))</f>
        <v>0</v>
      </c>
      <c r="P153" s="86">
        <f t="shared" ca="1" si="27"/>
        <v>0</v>
      </c>
      <c r="Q153" s="82">
        <f ca="1">IF('Invoer gegevens'!$C$17=E153,I153,IF(C153=0,0,R152))</f>
        <v>0</v>
      </c>
      <c r="R153" s="84">
        <f t="shared" ca="1" si="22"/>
        <v>0</v>
      </c>
      <c r="S153" s="84">
        <f ca="1">IF('Invoer gegevens'!$C$17=E153,M153,IF(C153=0,0,T152))</f>
        <v>0</v>
      </c>
      <c r="T153" s="84">
        <f t="shared" ca="1" si="23"/>
        <v>0</v>
      </c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8"/>
      <c r="AI153" s="71">
        <f ca="1">IF(C153=1,((F153+H153)/2*Reeksen!AJ153*12)+(('Invoer gegevens'!$C$10-(F153+H153)/2)*Reeksen!AK153*12),0)</f>
        <v>0</v>
      </c>
      <c r="AJ153" s="71">
        <f ca="1">-AI153*'Invoer gegevens'!$F$28</f>
        <v>0</v>
      </c>
      <c r="AK153" s="71">
        <f t="shared" ca="1" si="24"/>
        <v>0</v>
      </c>
      <c r="AL153" s="71">
        <f ca="1">IF(C153=1,(12*((F153+H153)/2)*Reeksen!AL153)+(12*('Invoer gegevens'!$C$10-(F153+H153)/2)*Reeksen!AM153),0)</f>
        <v>0</v>
      </c>
      <c r="AM153" s="71">
        <f ca="1">-AL153*'Invoer gegevens'!$F$31</f>
        <v>0</v>
      </c>
      <c r="AN153" s="71">
        <f t="shared" ca="1" si="28"/>
        <v>0</v>
      </c>
      <c r="AO153" s="71"/>
      <c r="AP153" s="71"/>
      <c r="AQ153" s="71">
        <f ca="1">-IF(C153=1,('Invoer gegevens'!$C$10*'Invoer gegevens'!$I$33)*Reeksen!J153,0)*2</f>
        <v>0</v>
      </c>
      <c r="AR153" s="71">
        <f ca="1">-IF(C153=1,(G153*'Invoer gegevens'!$I$34)*Reeksen!J153,0)</f>
        <v>0</v>
      </c>
      <c r="AS153" s="71">
        <f ca="1">-IF(C153=1,'Invoer gegevens'!$C$10*'Invoer gegevens'!$I$35*Reeksen!L153,0)</f>
        <v>0</v>
      </c>
      <c r="AT153" s="71">
        <f ca="1">-IF(C153=1,IF(E153='Invoer gegevens'!$C$17,'Invoer gegevens'!$C$11,Q153)*Reeksen!S153*'Invoer gegevens'!$C$18*Reeksen!P153,0)</f>
        <v>0</v>
      </c>
      <c r="AU153" s="71">
        <f ca="1">-IF(C153=1,'Invoer gegevens'!$C$10*'Invoer gegevens'!$I$36*Reeksen!H153,0)</f>
        <v>0</v>
      </c>
      <c r="AV153" s="71">
        <f t="shared" si="32"/>
        <v>0</v>
      </c>
      <c r="AW153" s="71">
        <f t="shared" ca="1" si="29"/>
        <v>0</v>
      </c>
      <c r="AX153" s="71">
        <f ca="1">IF(E153&lt;'Invoer gegevens'!$C$17+15,0,IF(E153&gt;'Invoer gegevens'!$C$17+215,0,AW153))</f>
        <v>0</v>
      </c>
      <c r="AY153" s="71">
        <f ca="1">AX153/(1+'Invoer gegevens'!$F$13)^($AZ153-('Invoer gegevens'!$C$17-'Invoer gegevens'!$C$16))/(1+'Invoer gegevens'!$C$39)^('Invoer gegevens'!$C$17-'Invoer gegevens'!$C$16)</f>
        <v>0</v>
      </c>
      <c r="AZ153" s="68">
        <f ca="1">IF(E153-'Invoer gegevens'!$C$17-14.5&lt;0,0,E153-'Invoer gegevens'!$C$17-14.5)</f>
        <v>133.5</v>
      </c>
    </row>
    <row r="154" spans="2:52" x14ac:dyDescent="0.25">
      <c r="B154" s="70">
        <f t="shared" si="30"/>
        <v>150</v>
      </c>
      <c r="C154" s="67">
        <f ca="1">IF(E154-'Invoer gegevens'!$C$17&lt;0,0,1)</f>
        <v>1</v>
      </c>
      <c r="D154" s="68">
        <f t="shared" si="31"/>
        <v>149.5</v>
      </c>
      <c r="E154" s="69">
        <f ca="1">IF('Invoer gegevens'!$C$16="","",E153+1)</f>
        <v>2168</v>
      </c>
      <c r="F154" s="82">
        <f ca="1">IF('Invoer gegevens'!$C$17=E154,'Invoer gegevens'!$C$10,IF(C154=1,H153,0))</f>
        <v>0</v>
      </c>
      <c r="G154" s="83">
        <f ca="1">IF(C154&gt;=1,F154*Reeksen!C154,0)</f>
        <v>0</v>
      </c>
      <c r="H154" s="84">
        <f t="shared" ca="1" si="25"/>
        <v>0</v>
      </c>
      <c r="I154" s="85">
        <f ca="1">IF('Invoer gegevens'!$C$17=E154,'Invoer gegevens'!$C$11,IF(C154=1,L153,0))</f>
        <v>0</v>
      </c>
      <c r="J154" s="86">
        <f ca="1">IF(C154&lt;1,0,IF(Reeksen!AK154&lt;=Reeksen!AE154,I154*Reeksen!C154,0))</f>
        <v>0</v>
      </c>
      <c r="K154" s="86">
        <f ca="1">IF(C154&lt;1,0,IF(Reeksen!AK154&gt;Reeksen!AE154,I154*Reeksen!C154,0))</f>
        <v>0</v>
      </c>
      <c r="L154" s="86">
        <f t="shared" ca="1" si="26"/>
        <v>0</v>
      </c>
      <c r="M154" s="85">
        <f ca="1">IF('Invoer gegevens'!$C$17=E154,'Invoer gegevens'!$C$10-'Invoer gegevens'!$C$11,IF(C154=1,P153,0))</f>
        <v>0</v>
      </c>
      <c r="N154" s="86">
        <f ca="1">IF(C154&lt;1,0,IF(Reeksen!AK154&lt;=Reeksen!AE154,M154*Reeksen!C154,0))</f>
        <v>0</v>
      </c>
      <c r="O154" s="86">
        <f ca="1">IF(C154&lt;1,0,IF(Reeksen!AK154&gt;Reeksen!AE154,M154*Reeksen!C154,0))</f>
        <v>0</v>
      </c>
      <c r="P154" s="86">
        <f t="shared" ca="1" si="27"/>
        <v>0</v>
      </c>
      <c r="Q154" s="82">
        <f ca="1">IF('Invoer gegevens'!$C$17=E154,I154,IF(C154=0,0,R153))</f>
        <v>0</v>
      </c>
      <c r="R154" s="84">
        <f t="shared" ca="1" si="22"/>
        <v>0</v>
      </c>
      <c r="S154" s="84">
        <f ca="1">IF('Invoer gegevens'!$C$17=E154,M154,IF(C154=0,0,T153))</f>
        <v>0</v>
      </c>
      <c r="T154" s="84">
        <f t="shared" ca="1" si="23"/>
        <v>0</v>
      </c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8"/>
      <c r="AI154" s="71">
        <f ca="1">IF(C154=1,((F154+H154)/2*Reeksen!AJ154*12)+(('Invoer gegevens'!$C$10-(F154+H154)/2)*Reeksen!AK154*12),0)</f>
        <v>0</v>
      </c>
      <c r="AJ154" s="71">
        <f ca="1">-AI154*'Invoer gegevens'!$F$28</f>
        <v>0</v>
      </c>
      <c r="AK154" s="71">
        <f t="shared" ca="1" si="24"/>
        <v>0</v>
      </c>
      <c r="AL154" s="71">
        <f ca="1">IF(C154=1,(12*((F154+H154)/2)*Reeksen!AL154)+(12*('Invoer gegevens'!$C$10-(F154+H154)/2)*Reeksen!AM154),0)</f>
        <v>0</v>
      </c>
      <c r="AM154" s="71">
        <f ca="1">-AL154*'Invoer gegevens'!$F$31</f>
        <v>0</v>
      </c>
      <c r="AN154" s="71">
        <f t="shared" ca="1" si="28"/>
        <v>0</v>
      </c>
      <c r="AO154" s="71"/>
      <c r="AP154" s="71"/>
      <c r="AQ154" s="71">
        <f ca="1">-IF(C154=1,('Invoer gegevens'!$C$10*'Invoer gegevens'!$I$33)*Reeksen!J154,0)*2</f>
        <v>0</v>
      </c>
      <c r="AR154" s="71">
        <f ca="1">-IF(C154=1,(G154*'Invoer gegevens'!$I$34)*Reeksen!J154,0)</f>
        <v>0</v>
      </c>
      <c r="AS154" s="71">
        <f ca="1">-IF(C154=1,'Invoer gegevens'!$C$10*'Invoer gegevens'!$I$35*Reeksen!L154,0)</f>
        <v>0</v>
      </c>
      <c r="AT154" s="71">
        <f ca="1">-IF(C154=1,IF(E154='Invoer gegevens'!$C$17,'Invoer gegevens'!$C$11,Q154)*Reeksen!S154*'Invoer gegevens'!$C$18*Reeksen!P154,0)</f>
        <v>0</v>
      </c>
      <c r="AU154" s="71">
        <f ca="1">-IF(C154=1,'Invoer gegevens'!$C$10*'Invoer gegevens'!$I$36*Reeksen!H154,0)</f>
        <v>0</v>
      </c>
      <c r="AV154" s="71">
        <f t="shared" si="32"/>
        <v>0</v>
      </c>
      <c r="AW154" s="71">
        <f t="shared" ca="1" si="29"/>
        <v>0</v>
      </c>
      <c r="AX154" s="71">
        <f ca="1">IF(E154&lt;'Invoer gegevens'!$C$17+15,0,IF(E154&gt;'Invoer gegevens'!$C$17+215,0,AW154))</f>
        <v>0</v>
      </c>
      <c r="AY154" s="71">
        <f ca="1">AX154/(1+'Invoer gegevens'!$F$13)^($AZ154-('Invoer gegevens'!$C$17-'Invoer gegevens'!$C$16))/(1+'Invoer gegevens'!$C$39)^('Invoer gegevens'!$C$17-'Invoer gegevens'!$C$16)</f>
        <v>0</v>
      </c>
      <c r="AZ154" s="68">
        <f ca="1">IF(E154-'Invoer gegevens'!$C$17-14.5&lt;0,0,E154-'Invoer gegevens'!$C$17-14.5)</f>
        <v>134.5</v>
      </c>
    </row>
    <row r="155" spans="2:52" x14ac:dyDescent="0.25">
      <c r="B155" s="70">
        <f t="shared" si="30"/>
        <v>151</v>
      </c>
      <c r="C155" s="67">
        <f ca="1">IF(E155-'Invoer gegevens'!$C$17&lt;0,0,1)</f>
        <v>1</v>
      </c>
      <c r="D155" s="68">
        <f t="shared" si="31"/>
        <v>150.5</v>
      </c>
      <c r="E155" s="69">
        <f ca="1">IF('Invoer gegevens'!$C$16="","",E154+1)</f>
        <v>2169</v>
      </c>
      <c r="F155" s="82">
        <f ca="1">IF('Invoer gegevens'!$C$17=E155,'Invoer gegevens'!$C$10,IF(C155=1,H154,0))</f>
        <v>0</v>
      </c>
      <c r="G155" s="83">
        <f ca="1">IF(C155&gt;=1,F155*Reeksen!C155,0)</f>
        <v>0</v>
      </c>
      <c r="H155" s="84">
        <f t="shared" ca="1" si="25"/>
        <v>0</v>
      </c>
      <c r="I155" s="85">
        <f ca="1">IF('Invoer gegevens'!$C$17=E155,'Invoer gegevens'!$C$11,IF(C155=1,L154,0))</f>
        <v>0</v>
      </c>
      <c r="J155" s="86">
        <f ca="1">IF(C155&lt;1,0,IF(Reeksen!AK155&lt;=Reeksen!AE155,I155*Reeksen!C155,0))</f>
        <v>0</v>
      </c>
      <c r="K155" s="86">
        <f ca="1">IF(C155&lt;1,0,IF(Reeksen!AK155&gt;Reeksen!AE155,I155*Reeksen!C155,0))</f>
        <v>0</v>
      </c>
      <c r="L155" s="86">
        <f t="shared" ca="1" si="26"/>
        <v>0</v>
      </c>
      <c r="M155" s="85">
        <f ca="1">IF('Invoer gegevens'!$C$17=E155,'Invoer gegevens'!$C$10-'Invoer gegevens'!$C$11,IF(C155=1,P154,0))</f>
        <v>0</v>
      </c>
      <c r="N155" s="86">
        <f ca="1">IF(C155&lt;1,0,IF(Reeksen!AK155&lt;=Reeksen!AE155,M155*Reeksen!C155,0))</f>
        <v>0</v>
      </c>
      <c r="O155" s="86">
        <f ca="1">IF(C155&lt;1,0,IF(Reeksen!AK155&gt;Reeksen!AE155,M155*Reeksen!C155,0))</f>
        <v>0</v>
      </c>
      <c r="P155" s="86">
        <f t="shared" ca="1" si="27"/>
        <v>0</v>
      </c>
      <c r="Q155" s="82">
        <f ca="1">IF('Invoer gegevens'!$C$17=E155,I155,IF(C155=0,0,R154))</f>
        <v>0</v>
      </c>
      <c r="R155" s="84">
        <f t="shared" ca="1" si="22"/>
        <v>0</v>
      </c>
      <c r="S155" s="84">
        <f ca="1">IF('Invoer gegevens'!$C$17=E155,M155,IF(C155=0,0,T154))</f>
        <v>0</v>
      </c>
      <c r="T155" s="84">
        <f t="shared" ca="1" si="23"/>
        <v>0</v>
      </c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8"/>
      <c r="AI155" s="71">
        <f ca="1">IF(C155=1,((F155+H155)/2*Reeksen!AJ155*12)+(('Invoer gegevens'!$C$10-(F155+H155)/2)*Reeksen!AK155*12),0)</f>
        <v>0</v>
      </c>
      <c r="AJ155" s="71">
        <f ca="1">-AI155*'Invoer gegevens'!$F$28</f>
        <v>0</v>
      </c>
      <c r="AK155" s="71">
        <f t="shared" ca="1" si="24"/>
        <v>0</v>
      </c>
      <c r="AL155" s="71">
        <f ca="1">IF(C155=1,(12*((F155+H155)/2)*Reeksen!AL155)+(12*('Invoer gegevens'!$C$10-(F155+H155)/2)*Reeksen!AM155),0)</f>
        <v>0</v>
      </c>
      <c r="AM155" s="71">
        <f ca="1">-AL155*'Invoer gegevens'!$F$31</f>
        <v>0</v>
      </c>
      <c r="AN155" s="71">
        <f t="shared" ca="1" si="28"/>
        <v>0</v>
      </c>
      <c r="AO155" s="71"/>
      <c r="AP155" s="71"/>
      <c r="AQ155" s="71">
        <f ca="1">-IF(C155=1,('Invoer gegevens'!$C$10*'Invoer gegevens'!$I$33)*Reeksen!J155,0)*2</f>
        <v>0</v>
      </c>
      <c r="AR155" s="71">
        <f ca="1">-IF(C155=1,(G155*'Invoer gegevens'!$I$34)*Reeksen!J155,0)</f>
        <v>0</v>
      </c>
      <c r="AS155" s="71">
        <f ca="1">-IF(C155=1,'Invoer gegevens'!$C$10*'Invoer gegevens'!$I$35*Reeksen!L155,0)</f>
        <v>0</v>
      </c>
      <c r="AT155" s="71">
        <f ca="1">-IF(C155=1,IF(E155='Invoer gegevens'!$C$17,'Invoer gegevens'!$C$11,Q155)*Reeksen!S155*'Invoer gegevens'!$C$18*Reeksen!P155,0)</f>
        <v>0</v>
      </c>
      <c r="AU155" s="71">
        <f ca="1">-IF(C155=1,'Invoer gegevens'!$C$10*'Invoer gegevens'!$I$36*Reeksen!H155,0)</f>
        <v>0</v>
      </c>
      <c r="AV155" s="71">
        <f t="shared" si="32"/>
        <v>0</v>
      </c>
      <c r="AW155" s="71">
        <f t="shared" ca="1" si="29"/>
        <v>0</v>
      </c>
      <c r="AX155" s="71">
        <f ca="1">IF(E155&lt;'Invoer gegevens'!$C$17+15,0,IF(E155&gt;'Invoer gegevens'!$C$17+215,0,AW155))</f>
        <v>0</v>
      </c>
      <c r="AY155" s="71">
        <f ca="1">AX155/(1+'Invoer gegevens'!$F$13)^($AZ155-('Invoer gegevens'!$C$17-'Invoer gegevens'!$C$16))/(1+'Invoer gegevens'!$C$39)^('Invoer gegevens'!$C$17-'Invoer gegevens'!$C$16)</f>
        <v>0</v>
      </c>
      <c r="AZ155" s="68">
        <f ca="1">IF(E155-'Invoer gegevens'!$C$17-14.5&lt;0,0,E155-'Invoer gegevens'!$C$17-14.5)</f>
        <v>135.5</v>
      </c>
    </row>
    <row r="156" spans="2:52" x14ac:dyDescent="0.25">
      <c r="B156" s="70">
        <f t="shared" si="30"/>
        <v>152</v>
      </c>
      <c r="C156" s="67">
        <f ca="1">IF(E156-'Invoer gegevens'!$C$17&lt;0,0,1)</f>
        <v>1</v>
      </c>
      <c r="D156" s="68">
        <f t="shared" si="31"/>
        <v>151.5</v>
      </c>
      <c r="E156" s="69">
        <f ca="1">IF('Invoer gegevens'!$C$16="","",E155+1)</f>
        <v>2170</v>
      </c>
      <c r="F156" s="82">
        <f ca="1">IF('Invoer gegevens'!$C$17=E156,'Invoer gegevens'!$C$10,IF(C156=1,H155,0))</f>
        <v>0</v>
      </c>
      <c r="G156" s="83">
        <f ca="1">IF(C156&gt;=1,F156*Reeksen!C156,0)</f>
        <v>0</v>
      </c>
      <c r="H156" s="84">
        <f t="shared" ca="1" si="25"/>
        <v>0</v>
      </c>
      <c r="I156" s="85">
        <f ca="1">IF('Invoer gegevens'!$C$17=E156,'Invoer gegevens'!$C$11,IF(C156=1,L155,0))</f>
        <v>0</v>
      </c>
      <c r="J156" s="86">
        <f ca="1">IF(C156&lt;1,0,IF(Reeksen!AK156&lt;=Reeksen!AE156,I156*Reeksen!C156,0))</f>
        <v>0</v>
      </c>
      <c r="K156" s="86">
        <f ca="1">IF(C156&lt;1,0,IF(Reeksen!AK156&gt;Reeksen!AE156,I156*Reeksen!C156,0))</f>
        <v>0</v>
      </c>
      <c r="L156" s="86">
        <f t="shared" ca="1" si="26"/>
        <v>0</v>
      </c>
      <c r="M156" s="85">
        <f ca="1">IF('Invoer gegevens'!$C$17=E156,'Invoer gegevens'!$C$10-'Invoer gegevens'!$C$11,IF(C156=1,P155,0))</f>
        <v>0</v>
      </c>
      <c r="N156" s="86">
        <f ca="1">IF(C156&lt;1,0,IF(Reeksen!AK156&lt;=Reeksen!AE156,M156*Reeksen!C156,0))</f>
        <v>0</v>
      </c>
      <c r="O156" s="86">
        <f ca="1">IF(C156&lt;1,0,IF(Reeksen!AK156&gt;Reeksen!AE156,M156*Reeksen!C156,0))</f>
        <v>0</v>
      </c>
      <c r="P156" s="86">
        <f t="shared" ca="1" si="27"/>
        <v>0</v>
      </c>
      <c r="Q156" s="82">
        <f ca="1">IF('Invoer gegevens'!$C$17=E156,I156,IF(C156=0,0,R155))</f>
        <v>0</v>
      </c>
      <c r="R156" s="84">
        <f t="shared" ca="1" si="22"/>
        <v>0</v>
      </c>
      <c r="S156" s="84">
        <f ca="1">IF('Invoer gegevens'!$C$17=E156,M156,IF(C156=0,0,T155))</f>
        <v>0</v>
      </c>
      <c r="T156" s="84">
        <f t="shared" ca="1" si="23"/>
        <v>0</v>
      </c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8"/>
      <c r="AI156" s="71">
        <f ca="1">IF(C156=1,((F156+H156)/2*Reeksen!AJ156*12)+(('Invoer gegevens'!$C$10-(F156+H156)/2)*Reeksen!AK156*12),0)</f>
        <v>0</v>
      </c>
      <c r="AJ156" s="71">
        <f ca="1">-AI156*'Invoer gegevens'!$F$28</f>
        <v>0</v>
      </c>
      <c r="AK156" s="71">
        <f t="shared" ca="1" si="24"/>
        <v>0</v>
      </c>
      <c r="AL156" s="71">
        <f ca="1">IF(C156=1,(12*((F156+H156)/2)*Reeksen!AL156)+(12*('Invoer gegevens'!$C$10-(F156+H156)/2)*Reeksen!AM156),0)</f>
        <v>0</v>
      </c>
      <c r="AM156" s="71">
        <f ca="1">-AL156*'Invoer gegevens'!$F$31</f>
        <v>0</v>
      </c>
      <c r="AN156" s="71">
        <f t="shared" ca="1" si="28"/>
        <v>0</v>
      </c>
      <c r="AO156" s="71"/>
      <c r="AP156" s="71"/>
      <c r="AQ156" s="71">
        <f ca="1">-IF(C156=1,('Invoer gegevens'!$C$10*'Invoer gegevens'!$I$33)*Reeksen!J156,0)*2</f>
        <v>0</v>
      </c>
      <c r="AR156" s="71">
        <f ca="1">-IF(C156=1,(G156*'Invoer gegevens'!$I$34)*Reeksen!J156,0)</f>
        <v>0</v>
      </c>
      <c r="AS156" s="71">
        <f ca="1">-IF(C156=1,'Invoer gegevens'!$C$10*'Invoer gegevens'!$I$35*Reeksen!L156,0)</f>
        <v>0</v>
      </c>
      <c r="AT156" s="71">
        <f ca="1">-IF(C156=1,IF(E156='Invoer gegevens'!$C$17,'Invoer gegevens'!$C$11,Q156)*Reeksen!S156*'Invoer gegevens'!$C$18*Reeksen!P156,0)</f>
        <v>0</v>
      </c>
      <c r="AU156" s="71">
        <f ca="1">-IF(C156=1,'Invoer gegevens'!$C$10*'Invoer gegevens'!$I$36*Reeksen!H156,0)</f>
        <v>0</v>
      </c>
      <c r="AV156" s="71">
        <f t="shared" si="32"/>
        <v>0</v>
      </c>
      <c r="AW156" s="71">
        <f t="shared" ca="1" si="29"/>
        <v>0</v>
      </c>
      <c r="AX156" s="71">
        <f ca="1">IF(E156&lt;'Invoer gegevens'!$C$17+15,0,IF(E156&gt;'Invoer gegevens'!$C$17+215,0,AW156))</f>
        <v>0</v>
      </c>
      <c r="AY156" s="71">
        <f ca="1">AX156/(1+'Invoer gegevens'!$F$13)^($AZ156-('Invoer gegevens'!$C$17-'Invoer gegevens'!$C$16))/(1+'Invoer gegevens'!$C$39)^('Invoer gegevens'!$C$17-'Invoer gegevens'!$C$16)</f>
        <v>0</v>
      </c>
      <c r="AZ156" s="68">
        <f ca="1">IF(E156-'Invoer gegevens'!$C$17-14.5&lt;0,0,E156-'Invoer gegevens'!$C$17-14.5)</f>
        <v>136.5</v>
      </c>
    </row>
    <row r="157" spans="2:52" x14ac:dyDescent="0.25">
      <c r="B157" s="70">
        <f t="shared" si="30"/>
        <v>153</v>
      </c>
      <c r="C157" s="67">
        <f ca="1">IF(E157-'Invoer gegevens'!$C$17&lt;0,0,1)</f>
        <v>1</v>
      </c>
      <c r="D157" s="68">
        <f t="shared" si="31"/>
        <v>152.5</v>
      </c>
      <c r="E157" s="69">
        <f ca="1">IF('Invoer gegevens'!$C$16="","",E156+1)</f>
        <v>2171</v>
      </c>
      <c r="F157" s="82">
        <f ca="1">IF('Invoer gegevens'!$C$17=E157,'Invoer gegevens'!$C$10,IF(C157=1,H156,0))</f>
        <v>0</v>
      </c>
      <c r="G157" s="83">
        <f ca="1">IF(C157&gt;=1,F157*Reeksen!C157,0)</f>
        <v>0</v>
      </c>
      <c r="H157" s="84">
        <f t="shared" ca="1" si="25"/>
        <v>0</v>
      </c>
      <c r="I157" s="85">
        <f ca="1">IF('Invoer gegevens'!$C$17=E157,'Invoer gegevens'!$C$11,IF(C157=1,L156,0))</f>
        <v>0</v>
      </c>
      <c r="J157" s="86">
        <f ca="1">IF(C157&lt;1,0,IF(Reeksen!AK157&lt;=Reeksen!AE157,I157*Reeksen!C157,0))</f>
        <v>0</v>
      </c>
      <c r="K157" s="86">
        <f ca="1">IF(C157&lt;1,0,IF(Reeksen!AK157&gt;Reeksen!AE157,I157*Reeksen!C157,0))</f>
        <v>0</v>
      </c>
      <c r="L157" s="86">
        <f t="shared" ca="1" si="26"/>
        <v>0</v>
      </c>
      <c r="M157" s="85">
        <f ca="1">IF('Invoer gegevens'!$C$17=E157,'Invoer gegevens'!$C$10-'Invoer gegevens'!$C$11,IF(C157=1,P156,0))</f>
        <v>0</v>
      </c>
      <c r="N157" s="86">
        <f ca="1">IF(C157&lt;1,0,IF(Reeksen!AK157&lt;=Reeksen!AE157,M157*Reeksen!C157,0))</f>
        <v>0</v>
      </c>
      <c r="O157" s="86">
        <f ca="1">IF(C157&lt;1,0,IF(Reeksen!AK157&gt;Reeksen!AE157,M157*Reeksen!C157,0))</f>
        <v>0</v>
      </c>
      <c r="P157" s="86">
        <f t="shared" ca="1" si="27"/>
        <v>0</v>
      </c>
      <c r="Q157" s="82">
        <f ca="1">IF('Invoer gegevens'!$C$17=E157,I157,IF(C157=0,0,R156))</f>
        <v>0</v>
      </c>
      <c r="R157" s="84">
        <f t="shared" ca="1" si="22"/>
        <v>0</v>
      </c>
      <c r="S157" s="84">
        <f ca="1">IF('Invoer gegevens'!$C$17=E157,M157,IF(C157=0,0,T156))</f>
        <v>0</v>
      </c>
      <c r="T157" s="84">
        <f t="shared" ca="1" si="23"/>
        <v>0</v>
      </c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8"/>
      <c r="AI157" s="71">
        <f ca="1">IF(C157=1,((F157+H157)/2*Reeksen!AJ157*12)+(('Invoer gegevens'!$C$10-(F157+H157)/2)*Reeksen!AK157*12),0)</f>
        <v>0</v>
      </c>
      <c r="AJ157" s="71">
        <f ca="1">-AI157*'Invoer gegevens'!$F$28</f>
        <v>0</v>
      </c>
      <c r="AK157" s="71">
        <f t="shared" ca="1" si="24"/>
        <v>0</v>
      </c>
      <c r="AL157" s="71">
        <f ca="1">IF(C157=1,(12*((F157+H157)/2)*Reeksen!AL157)+(12*('Invoer gegevens'!$C$10-(F157+H157)/2)*Reeksen!AM157),0)</f>
        <v>0</v>
      </c>
      <c r="AM157" s="71">
        <f ca="1">-AL157*'Invoer gegevens'!$F$31</f>
        <v>0</v>
      </c>
      <c r="AN157" s="71">
        <f t="shared" ca="1" si="28"/>
        <v>0</v>
      </c>
      <c r="AO157" s="71"/>
      <c r="AP157" s="71"/>
      <c r="AQ157" s="71">
        <f ca="1">-IF(C157=1,('Invoer gegevens'!$C$10*'Invoer gegevens'!$I$33)*Reeksen!J157,0)*2</f>
        <v>0</v>
      </c>
      <c r="AR157" s="71">
        <f ca="1">-IF(C157=1,(G157*'Invoer gegevens'!$I$34)*Reeksen!J157,0)</f>
        <v>0</v>
      </c>
      <c r="AS157" s="71">
        <f ca="1">-IF(C157=1,'Invoer gegevens'!$C$10*'Invoer gegevens'!$I$35*Reeksen!L157,0)</f>
        <v>0</v>
      </c>
      <c r="AT157" s="71">
        <f ca="1">-IF(C157=1,IF(E157='Invoer gegevens'!$C$17,'Invoer gegevens'!$C$11,Q157)*Reeksen!S157*'Invoer gegevens'!$C$18*Reeksen!P157,0)</f>
        <v>0</v>
      </c>
      <c r="AU157" s="71">
        <f ca="1">-IF(C157=1,'Invoer gegevens'!$C$10*'Invoer gegevens'!$I$36*Reeksen!H157,0)</f>
        <v>0</v>
      </c>
      <c r="AV157" s="71">
        <f t="shared" si="32"/>
        <v>0</v>
      </c>
      <c r="AW157" s="71">
        <f t="shared" ca="1" si="29"/>
        <v>0</v>
      </c>
      <c r="AX157" s="71">
        <f ca="1">IF(E157&lt;'Invoer gegevens'!$C$17+15,0,IF(E157&gt;'Invoer gegevens'!$C$17+215,0,AW157))</f>
        <v>0</v>
      </c>
      <c r="AY157" s="71">
        <f ca="1">AX157/(1+'Invoer gegevens'!$F$13)^($AZ157-('Invoer gegevens'!$C$17-'Invoer gegevens'!$C$16))/(1+'Invoer gegevens'!$C$39)^('Invoer gegevens'!$C$17-'Invoer gegevens'!$C$16)</f>
        <v>0</v>
      </c>
      <c r="AZ157" s="68">
        <f ca="1">IF(E157-'Invoer gegevens'!$C$17-14.5&lt;0,0,E157-'Invoer gegevens'!$C$17-14.5)</f>
        <v>137.5</v>
      </c>
    </row>
    <row r="158" spans="2:52" x14ac:dyDescent="0.25">
      <c r="B158" s="70">
        <f t="shared" si="30"/>
        <v>154</v>
      </c>
      <c r="C158" s="67">
        <f ca="1">IF(E158-'Invoer gegevens'!$C$17&lt;0,0,1)</f>
        <v>1</v>
      </c>
      <c r="D158" s="68">
        <f t="shared" si="31"/>
        <v>153.5</v>
      </c>
      <c r="E158" s="69">
        <f ca="1">IF('Invoer gegevens'!$C$16="","",E157+1)</f>
        <v>2172</v>
      </c>
      <c r="F158" s="82">
        <f ca="1">IF('Invoer gegevens'!$C$17=E158,'Invoer gegevens'!$C$10,IF(C158=1,H157,0))</f>
        <v>0</v>
      </c>
      <c r="G158" s="83">
        <f ca="1">IF(C158&gt;=1,F158*Reeksen!C158,0)</f>
        <v>0</v>
      </c>
      <c r="H158" s="84">
        <f t="shared" ca="1" si="25"/>
        <v>0</v>
      </c>
      <c r="I158" s="85">
        <f ca="1">IF('Invoer gegevens'!$C$17=E158,'Invoer gegevens'!$C$11,IF(C158=1,L157,0))</f>
        <v>0</v>
      </c>
      <c r="J158" s="86">
        <f ca="1">IF(C158&lt;1,0,IF(Reeksen!AK158&lt;=Reeksen!AE158,I158*Reeksen!C158,0))</f>
        <v>0</v>
      </c>
      <c r="K158" s="86">
        <f ca="1">IF(C158&lt;1,0,IF(Reeksen!AK158&gt;Reeksen!AE158,I158*Reeksen!C158,0))</f>
        <v>0</v>
      </c>
      <c r="L158" s="86">
        <f t="shared" ca="1" si="26"/>
        <v>0</v>
      </c>
      <c r="M158" s="85">
        <f ca="1">IF('Invoer gegevens'!$C$17=E158,'Invoer gegevens'!$C$10-'Invoer gegevens'!$C$11,IF(C158=1,P157,0))</f>
        <v>0</v>
      </c>
      <c r="N158" s="86">
        <f ca="1">IF(C158&lt;1,0,IF(Reeksen!AK158&lt;=Reeksen!AE158,M158*Reeksen!C158,0))</f>
        <v>0</v>
      </c>
      <c r="O158" s="86">
        <f ca="1">IF(C158&lt;1,0,IF(Reeksen!AK158&gt;Reeksen!AE158,M158*Reeksen!C158,0))</f>
        <v>0</v>
      </c>
      <c r="P158" s="86">
        <f t="shared" ca="1" si="27"/>
        <v>0</v>
      </c>
      <c r="Q158" s="82">
        <f ca="1">IF('Invoer gegevens'!$C$17=E158,I158,IF(C158=0,0,R157))</f>
        <v>0</v>
      </c>
      <c r="R158" s="84">
        <f t="shared" ca="1" si="22"/>
        <v>0</v>
      </c>
      <c r="S158" s="84">
        <f ca="1">IF('Invoer gegevens'!$C$17=E158,M158,IF(C158=0,0,T157))</f>
        <v>0</v>
      </c>
      <c r="T158" s="84">
        <f t="shared" ca="1" si="23"/>
        <v>0</v>
      </c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8"/>
      <c r="AI158" s="71">
        <f ca="1">IF(C158=1,((F158+H158)/2*Reeksen!AJ158*12)+(('Invoer gegevens'!$C$10-(F158+H158)/2)*Reeksen!AK158*12),0)</f>
        <v>0</v>
      </c>
      <c r="AJ158" s="71">
        <f ca="1">-AI158*'Invoer gegevens'!$F$28</f>
        <v>0</v>
      </c>
      <c r="AK158" s="71">
        <f t="shared" ca="1" si="24"/>
        <v>0</v>
      </c>
      <c r="AL158" s="71">
        <f ca="1">IF(C158=1,(12*((F158+H158)/2)*Reeksen!AL158)+(12*('Invoer gegevens'!$C$10-(F158+H158)/2)*Reeksen!AM158),0)</f>
        <v>0</v>
      </c>
      <c r="AM158" s="71">
        <f ca="1">-AL158*'Invoer gegevens'!$F$31</f>
        <v>0</v>
      </c>
      <c r="AN158" s="71">
        <f t="shared" ca="1" si="28"/>
        <v>0</v>
      </c>
      <c r="AO158" s="71"/>
      <c r="AP158" s="71"/>
      <c r="AQ158" s="71">
        <f ca="1">-IF(C158=1,('Invoer gegevens'!$C$10*'Invoer gegevens'!$I$33)*Reeksen!J158,0)*2</f>
        <v>0</v>
      </c>
      <c r="AR158" s="71">
        <f ca="1">-IF(C158=1,(G158*'Invoer gegevens'!$I$34)*Reeksen!J158,0)</f>
        <v>0</v>
      </c>
      <c r="AS158" s="71">
        <f ca="1">-IF(C158=1,'Invoer gegevens'!$C$10*'Invoer gegevens'!$I$35*Reeksen!L158,0)</f>
        <v>0</v>
      </c>
      <c r="AT158" s="71">
        <f ca="1">-IF(C158=1,IF(E158='Invoer gegevens'!$C$17,'Invoer gegevens'!$C$11,Q158)*Reeksen!S158*'Invoer gegevens'!$C$18*Reeksen!P158,0)</f>
        <v>0</v>
      </c>
      <c r="AU158" s="71">
        <f ca="1">-IF(C158=1,'Invoer gegevens'!$C$10*'Invoer gegevens'!$I$36*Reeksen!H158,0)</f>
        <v>0</v>
      </c>
      <c r="AV158" s="71">
        <f t="shared" si="32"/>
        <v>0</v>
      </c>
      <c r="AW158" s="71">
        <f t="shared" ca="1" si="29"/>
        <v>0</v>
      </c>
      <c r="AX158" s="71">
        <f ca="1">IF(E158&lt;'Invoer gegevens'!$C$17+15,0,IF(E158&gt;'Invoer gegevens'!$C$17+215,0,AW158))</f>
        <v>0</v>
      </c>
      <c r="AY158" s="71">
        <f ca="1">AX158/(1+'Invoer gegevens'!$F$13)^($AZ158-('Invoer gegevens'!$C$17-'Invoer gegevens'!$C$16))/(1+'Invoer gegevens'!$C$39)^('Invoer gegevens'!$C$17-'Invoer gegevens'!$C$16)</f>
        <v>0</v>
      </c>
      <c r="AZ158" s="68">
        <f ca="1">IF(E158-'Invoer gegevens'!$C$17-14.5&lt;0,0,E158-'Invoer gegevens'!$C$17-14.5)</f>
        <v>138.5</v>
      </c>
    </row>
    <row r="159" spans="2:52" x14ac:dyDescent="0.25">
      <c r="B159" s="70">
        <f t="shared" si="30"/>
        <v>155</v>
      </c>
      <c r="C159" s="67">
        <f ca="1">IF(E159-'Invoer gegevens'!$C$17&lt;0,0,1)</f>
        <v>1</v>
      </c>
      <c r="D159" s="68">
        <f t="shared" si="31"/>
        <v>154.5</v>
      </c>
      <c r="E159" s="69">
        <f ca="1">IF('Invoer gegevens'!$C$16="","",E158+1)</f>
        <v>2173</v>
      </c>
      <c r="F159" s="82">
        <f ca="1">IF('Invoer gegevens'!$C$17=E159,'Invoer gegevens'!$C$10,IF(C159=1,H158,0))</f>
        <v>0</v>
      </c>
      <c r="G159" s="83">
        <f ca="1">IF(C159&gt;=1,F159*Reeksen!C159,0)</f>
        <v>0</v>
      </c>
      <c r="H159" s="84">
        <f t="shared" ca="1" si="25"/>
        <v>0</v>
      </c>
      <c r="I159" s="85">
        <f ca="1">IF('Invoer gegevens'!$C$17=E159,'Invoer gegevens'!$C$11,IF(C159=1,L158,0))</f>
        <v>0</v>
      </c>
      <c r="J159" s="86">
        <f ca="1">IF(C159&lt;1,0,IF(Reeksen!AK159&lt;=Reeksen!AE159,I159*Reeksen!C159,0))</f>
        <v>0</v>
      </c>
      <c r="K159" s="86">
        <f ca="1">IF(C159&lt;1,0,IF(Reeksen!AK159&gt;Reeksen!AE159,I159*Reeksen!C159,0))</f>
        <v>0</v>
      </c>
      <c r="L159" s="86">
        <f t="shared" ca="1" si="26"/>
        <v>0</v>
      </c>
      <c r="M159" s="85">
        <f ca="1">IF('Invoer gegevens'!$C$17=E159,'Invoer gegevens'!$C$10-'Invoer gegevens'!$C$11,IF(C159=1,P158,0))</f>
        <v>0</v>
      </c>
      <c r="N159" s="86">
        <f ca="1">IF(C159&lt;1,0,IF(Reeksen!AK159&lt;=Reeksen!AE159,M159*Reeksen!C159,0))</f>
        <v>0</v>
      </c>
      <c r="O159" s="86">
        <f ca="1">IF(C159&lt;1,0,IF(Reeksen!AK159&gt;Reeksen!AE159,M159*Reeksen!C159,0))</f>
        <v>0</v>
      </c>
      <c r="P159" s="86">
        <f t="shared" ca="1" si="27"/>
        <v>0</v>
      </c>
      <c r="Q159" s="82">
        <f ca="1">IF('Invoer gegevens'!$C$17=E159,I159,IF(C159=0,0,R158))</f>
        <v>0</v>
      </c>
      <c r="R159" s="84">
        <f t="shared" ca="1" si="22"/>
        <v>0</v>
      </c>
      <c r="S159" s="84">
        <f ca="1">IF('Invoer gegevens'!$C$17=E159,M159,IF(C159=0,0,T158))</f>
        <v>0</v>
      </c>
      <c r="T159" s="84">
        <f t="shared" ca="1" si="23"/>
        <v>0</v>
      </c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8"/>
      <c r="AI159" s="71">
        <f ca="1">IF(C159=1,((F159+H159)/2*Reeksen!AJ159*12)+(('Invoer gegevens'!$C$10-(F159+H159)/2)*Reeksen!AK159*12),0)</f>
        <v>0</v>
      </c>
      <c r="AJ159" s="71">
        <f ca="1">-AI159*'Invoer gegevens'!$F$28</f>
        <v>0</v>
      </c>
      <c r="AK159" s="71">
        <f t="shared" ca="1" si="24"/>
        <v>0</v>
      </c>
      <c r="AL159" s="71">
        <f ca="1">IF(C159=1,(12*((F159+H159)/2)*Reeksen!AL159)+(12*('Invoer gegevens'!$C$10-(F159+H159)/2)*Reeksen!AM159),0)</f>
        <v>0</v>
      </c>
      <c r="AM159" s="71">
        <f ca="1">-AL159*'Invoer gegevens'!$F$31</f>
        <v>0</v>
      </c>
      <c r="AN159" s="71">
        <f t="shared" ca="1" si="28"/>
        <v>0</v>
      </c>
      <c r="AO159" s="71"/>
      <c r="AP159" s="71"/>
      <c r="AQ159" s="71">
        <f ca="1">-IF(C159=1,('Invoer gegevens'!$C$10*'Invoer gegevens'!$I$33)*Reeksen!J159,0)*2</f>
        <v>0</v>
      </c>
      <c r="AR159" s="71">
        <f ca="1">-IF(C159=1,(G159*'Invoer gegevens'!$I$34)*Reeksen!J159,0)</f>
        <v>0</v>
      </c>
      <c r="AS159" s="71">
        <f ca="1">-IF(C159=1,'Invoer gegevens'!$C$10*'Invoer gegevens'!$I$35*Reeksen!L159,0)</f>
        <v>0</v>
      </c>
      <c r="AT159" s="71">
        <f ca="1">-IF(C159=1,IF(E159='Invoer gegevens'!$C$17,'Invoer gegevens'!$C$11,Q159)*Reeksen!S159*'Invoer gegevens'!$C$18*Reeksen!P159,0)</f>
        <v>0</v>
      </c>
      <c r="AU159" s="71">
        <f ca="1">-IF(C159=1,'Invoer gegevens'!$C$10*'Invoer gegevens'!$I$36*Reeksen!H159,0)</f>
        <v>0</v>
      </c>
      <c r="AV159" s="71">
        <f t="shared" si="32"/>
        <v>0</v>
      </c>
      <c r="AW159" s="71">
        <f t="shared" ca="1" si="29"/>
        <v>0</v>
      </c>
      <c r="AX159" s="71">
        <f ca="1">IF(E159&lt;'Invoer gegevens'!$C$17+15,0,IF(E159&gt;'Invoer gegevens'!$C$17+215,0,AW159))</f>
        <v>0</v>
      </c>
      <c r="AY159" s="71">
        <f ca="1">AX159/(1+'Invoer gegevens'!$F$13)^($AZ159-('Invoer gegevens'!$C$17-'Invoer gegevens'!$C$16))/(1+'Invoer gegevens'!$C$39)^('Invoer gegevens'!$C$17-'Invoer gegevens'!$C$16)</f>
        <v>0</v>
      </c>
      <c r="AZ159" s="68">
        <f ca="1">IF(E159-'Invoer gegevens'!$C$17-14.5&lt;0,0,E159-'Invoer gegevens'!$C$17-14.5)</f>
        <v>139.5</v>
      </c>
    </row>
    <row r="160" spans="2:52" x14ac:dyDescent="0.25">
      <c r="B160" s="70">
        <f t="shared" si="30"/>
        <v>156</v>
      </c>
      <c r="C160" s="67">
        <f ca="1">IF(E160-'Invoer gegevens'!$C$17&lt;0,0,1)</f>
        <v>1</v>
      </c>
      <c r="D160" s="68">
        <f t="shared" si="31"/>
        <v>155.5</v>
      </c>
      <c r="E160" s="69">
        <f ca="1">IF('Invoer gegevens'!$C$16="","",E159+1)</f>
        <v>2174</v>
      </c>
      <c r="F160" s="82">
        <f ca="1">IF('Invoer gegevens'!$C$17=E160,'Invoer gegevens'!$C$10,IF(C160=1,H159,0))</f>
        <v>0</v>
      </c>
      <c r="G160" s="83">
        <f ca="1">IF(C160&gt;=1,F160*Reeksen!C160,0)</f>
        <v>0</v>
      </c>
      <c r="H160" s="84">
        <f t="shared" ca="1" si="25"/>
        <v>0</v>
      </c>
      <c r="I160" s="85">
        <f ca="1">IF('Invoer gegevens'!$C$17=E160,'Invoer gegevens'!$C$11,IF(C160=1,L159,0))</f>
        <v>0</v>
      </c>
      <c r="J160" s="86">
        <f ca="1">IF(C160&lt;1,0,IF(Reeksen!AK160&lt;=Reeksen!AE160,I160*Reeksen!C160,0))</f>
        <v>0</v>
      </c>
      <c r="K160" s="86">
        <f ca="1">IF(C160&lt;1,0,IF(Reeksen!AK160&gt;Reeksen!AE160,I160*Reeksen!C160,0))</f>
        <v>0</v>
      </c>
      <c r="L160" s="86">
        <f t="shared" ca="1" si="26"/>
        <v>0</v>
      </c>
      <c r="M160" s="85">
        <f ca="1">IF('Invoer gegevens'!$C$17=E160,'Invoer gegevens'!$C$10-'Invoer gegevens'!$C$11,IF(C160=1,P159,0))</f>
        <v>0</v>
      </c>
      <c r="N160" s="86">
        <f ca="1">IF(C160&lt;1,0,IF(Reeksen!AK160&lt;=Reeksen!AE160,M160*Reeksen!C160,0))</f>
        <v>0</v>
      </c>
      <c r="O160" s="86">
        <f ca="1">IF(C160&lt;1,0,IF(Reeksen!AK160&gt;Reeksen!AE160,M160*Reeksen!C160,0))</f>
        <v>0</v>
      </c>
      <c r="P160" s="86">
        <f t="shared" ca="1" si="27"/>
        <v>0</v>
      </c>
      <c r="Q160" s="82">
        <f ca="1">IF('Invoer gegevens'!$C$17=E160,I160,IF(C160=0,0,R159))</f>
        <v>0</v>
      </c>
      <c r="R160" s="84">
        <f t="shared" ca="1" si="22"/>
        <v>0</v>
      </c>
      <c r="S160" s="84">
        <f ca="1">IF('Invoer gegevens'!$C$17=E160,M160,IF(C160=0,0,T159))</f>
        <v>0</v>
      </c>
      <c r="T160" s="84">
        <f t="shared" ca="1" si="23"/>
        <v>0</v>
      </c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8"/>
      <c r="AI160" s="71">
        <f ca="1">IF(C160=1,((F160+H160)/2*Reeksen!AJ160*12)+(('Invoer gegevens'!$C$10-(F160+H160)/2)*Reeksen!AK160*12),0)</f>
        <v>0</v>
      </c>
      <c r="AJ160" s="71">
        <f ca="1">-AI160*'Invoer gegevens'!$F$28</f>
        <v>0</v>
      </c>
      <c r="AK160" s="71">
        <f t="shared" ca="1" si="24"/>
        <v>0</v>
      </c>
      <c r="AL160" s="71">
        <f ca="1">IF(C160=1,(12*((F160+H160)/2)*Reeksen!AL160)+(12*('Invoer gegevens'!$C$10-(F160+H160)/2)*Reeksen!AM160),0)</f>
        <v>0</v>
      </c>
      <c r="AM160" s="71">
        <f ca="1">-AL160*'Invoer gegevens'!$F$31</f>
        <v>0</v>
      </c>
      <c r="AN160" s="71">
        <f t="shared" ca="1" si="28"/>
        <v>0</v>
      </c>
      <c r="AO160" s="71"/>
      <c r="AP160" s="71"/>
      <c r="AQ160" s="71">
        <f ca="1">-IF(C160=1,('Invoer gegevens'!$C$10*'Invoer gegevens'!$I$33)*Reeksen!J160,0)*2</f>
        <v>0</v>
      </c>
      <c r="AR160" s="71">
        <f ca="1">-IF(C160=1,(G160*'Invoer gegevens'!$I$34)*Reeksen!J160,0)</f>
        <v>0</v>
      </c>
      <c r="AS160" s="71">
        <f ca="1">-IF(C160=1,'Invoer gegevens'!$C$10*'Invoer gegevens'!$I$35*Reeksen!L160,0)</f>
        <v>0</v>
      </c>
      <c r="AT160" s="71">
        <f ca="1">-IF(C160=1,IF(E160='Invoer gegevens'!$C$17,'Invoer gegevens'!$C$11,Q160)*Reeksen!S160*'Invoer gegevens'!$C$18*Reeksen!P160,0)</f>
        <v>0</v>
      </c>
      <c r="AU160" s="71">
        <f ca="1">-IF(C160=1,'Invoer gegevens'!$C$10*'Invoer gegevens'!$I$36*Reeksen!H160,0)</f>
        <v>0</v>
      </c>
      <c r="AV160" s="71">
        <f t="shared" si="32"/>
        <v>0</v>
      </c>
      <c r="AW160" s="71">
        <f t="shared" ca="1" si="29"/>
        <v>0</v>
      </c>
      <c r="AX160" s="71">
        <f ca="1">IF(E160&lt;'Invoer gegevens'!$C$17+15,0,IF(E160&gt;'Invoer gegevens'!$C$17+215,0,AW160))</f>
        <v>0</v>
      </c>
      <c r="AY160" s="71">
        <f ca="1">AX160/(1+'Invoer gegevens'!$F$13)^($AZ160-('Invoer gegevens'!$C$17-'Invoer gegevens'!$C$16))/(1+'Invoer gegevens'!$C$39)^('Invoer gegevens'!$C$17-'Invoer gegevens'!$C$16)</f>
        <v>0</v>
      </c>
      <c r="AZ160" s="68">
        <f ca="1">IF(E160-'Invoer gegevens'!$C$17-14.5&lt;0,0,E160-'Invoer gegevens'!$C$17-14.5)</f>
        <v>140.5</v>
      </c>
    </row>
    <row r="161" spans="2:52" x14ac:dyDescent="0.25">
      <c r="B161" s="70">
        <f t="shared" si="30"/>
        <v>157</v>
      </c>
      <c r="C161" s="67">
        <f ca="1">IF(E161-'Invoer gegevens'!$C$17&lt;0,0,1)</f>
        <v>1</v>
      </c>
      <c r="D161" s="68">
        <f t="shared" si="31"/>
        <v>156.5</v>
      </c>
      <c r="E161" s="69">
        <f ca="1">IF('Invoer gegevens'!$C$16="","",E160+1)</f>
        <v>2175</v>
      </c>
      <c r="F161" s="82">
        <f ca="1">IF('Invoer gegevens'!$C$17=E161,'Invoer gegevens'!$C$10,IF(C161=1,H160,0))</f>
        <v>0</v>
      </c>
      <c r="G161" s="83">
        <f ca="1">IF(C161&gt;=1,F161*Reeksen!C161,0)</f>
        <v>0</v>
      </c>
      <c r="H161" s="84">
        <f t="shared" ca="1" si="25"/>
        <v>0</v>
      </c>
      <c r="I161" s="85">
        <f ca="1">IF('Invoer gegevens'!$C$17=E161,'Invoer gegevens'!$C$11,IF(C161=1,L160,0))</f>
        <v>0</v>
      </c>
      <c r="J161" s="86">
        <f ca="1">IF(C161&lt;1,0,IF(Reeksen!AK161&lt;=Reeksen!AE161,I161*Reeksen!C161,0))</f>
        <v>0</v>
      </c>
      <c r="K161" s="86">
        <f ca="1">IF(C161&lt;1,0,IF(Reeksen!AK161&gt;Reeksen!AE161,I161*Reeksen!C161,0))</f>
        <v>0</v>
      </c>
      <c r="L161" s="86">
        <f t="shared" ca="1" si="26"/>
        <v>0</v>
      </c>
      <c r="M161" s="85">
        <f ca="1">IF('Invoer gegevens'!$C$17=E161,'Invoer gegevens'!$C$10-'Invoer gegevens'!$C$11,IF(C161=1,P160,0))</f>
        <v>0</v>
      </c>
      <c r="N161" s="86">
        <f ca="1">IF(C161&lt;1,0,IF(Reeksen!AK161&lt;=Reeksen!AE161,M161*Reeksen!C161,0))</f>
        <v>0</v>
      </c>
      <c r="O161" s="86">
        <f ca="1">IF(C161&lt;1,0,IF(Reeksen!AK161&gt;Reeksen!AE161,M161*Reeksen!C161,0))</f>
        <v>0</v>
      </c>
      <c r="P161" s="86">
        <f t="shared" ca="1" si="27"/>
        <v>0</v>
      </c>
      <c r="Q161" s="82">
        <f ca="1">IF('Invoer gegevens'!$C$17=E161,I161,IF(C161=0,0,R160))</f>
        <v>0</v>
      </c>
      <c r="R161" s="84">
        <f t="shared" ca="1" si="22"/>
        <v>0</v>
      </c>
      <c r="S161" s="84">
        <f ca="1">IF('Invoer gegevens'!$C$17=E161,M161,IF(C161=0,0,T160))</f>
        <v>0</v>
      </c>
      <c r="T161" s="84">
        <f t="shared" ca="1" si="23"/>
        <v>0</v>
      </c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8"/>
      <c r="AI161" s="71">
        <f ca="1">IF(C161=1,((F161+H161)/2*Reeksen!AJ161*12)+(('Invoer gegevens'!$C$10-(F161+H161)/2)*Reeksen!AK161*12),0)</f>
        <v>0</v>
      </c>
      <c r="AJ161" s="71">
        <f ca="1">-AI161*'Invoer gegevens'!$F$28</f>
        <v>0</v>
      </c>
      <c r="AK161" s="71">
        <f t="shared" ca="1" si="24"/>
        <v>0</v>
      </c>
      <c r="AL161" s="71">
        <f ca="1">IF(C161=1,(12*((F161+H161)/2)*Reeksen!AL161)+(12*('Invoer gegevens'!$C$10-(F161+H161)/2)*Reeksen!AM161),0)</f>
        <v>0</v>
      </c>
      <c r="AM161" s="71">
        <f ca="1">-AL161*'Invoer gegevens'!$F$31</f>
        <v>0</v>
      </c>
      <c r="AN161" s="71">
        <f t="shared" ca="1" si="28"/>
        <v>0</v>
      </c>
      <c r="AO161" s="71"/>
      <c r="AP161" s="71"/>
      <c r="AQ161" s="71">
        <f ca="1">-IF(C161=1,('Invoer gegevens'!$C$10*'Invoer gegevens'!$I$33)*Reeksen!J161,0)*2</f>
        <v>0</v>
      </c>
      <c r="AR161" s="71">
        <f ca="1">-IF(C161=1,(G161*'Invoer gegevens'!$I$34)*Reeksen!J161,0)</f>
        <v>0</v>
      </c>
      <c r="AS161" s="71">
        <f ca="1">-IF(C161=1,'Invoer gegevens'!$C$10*'Invoer gegevens'!$I$35*Reeksen!L161,0)</f>
        <v>0</v>
      </c>
      <c r="AT161" s="71">
        <f ca="1">-IF(C161=1,IF(E161='Invoer gegevens'!$C$17,'Invoer gegevens'!$C$11,Q161)*Reeksen!S161*'Invoer gegevens'!$C$18*Reeksen!P161,0)</f>
        <v>0</v>
      </c>
      <c r="AU161" s="71">
        <f ca="1">-IF(C161=1,'Invoer gegevens'!$C$10*'Invoer gegevens'!$I$36*Reeksen!H161,0)</f>
        <v>0</v>
      </c>
      <c r="AV161" s="71">
        <f t="shared" si="32"/>
        <v>0</v>
      </c>
      <c r="AW161" s="71">
        <f t="shared" ca="1" si="29"/>
        <v>0</v>
      </c>
      <c r="AX161" s="71">
        <f ca="1">IF(E161&lt;'Invoer gegevens'!$C$17+15,0,IF(E161&gt;'Invoer gegevens'!$C$17+215,0,AW161))</f>
        <v>0</v>
      </c>
      <c r="AY161" s="71">
        <f ca="1">AX161/(1+'Invoer gegevens'!$F$13)^($AZ161-('Invoer gegevens'!$C$17-'Invoer gegevens'!$C$16))/(1+'Invoer gegevens'!$C$39)^('Invoer gegevens'!$C$17-'Invoer gegevens'!$C$16)</f>
        <v>0</v>
      </c>
      <c r="AZ161" s="68">
        <f ca="1">IF(E161-'Invoer gegevens'!$C$17-14.5&lt;0,0,E161-'Invoer gegevens'!$C$17-14.5)</f>
        <v>141.5</v>
      </c>
    </row>
    <row r="162" spans="2:52" x14ac:dyDescent="0.25">
      <c r="B162" s="70">
        <f t="shared" si="30"/>
        <v>158</v>
      </c>
      <c r="C162" s="67">
        <f ca="1">IF(E162-'Invoer gegevens'!$C$17&lt;0,0,1)</f>
        <v>1</v>
      </c>
      <c r="D162" s="68">
        <f t="shared" si="31"/>
        <v>157.5</v>
      </c>
      <c r="E162" s="69">
        <f ca="1">IF('Invoer gegevens'!$C$16="","",E161+1)</f>
        <v>2176</v>
      </c>
      <c r="F162" s="82">
        <f ca="1">IF('Invoer gegevens'!$C$17=E162,'Invoer gegevens'!$C$10,IF(C162=1,H161,0))</f>
        <v>0</v>
      </c>
      <c r="G162" s="83">
        <f ca="1">IF(C162&gt;=1,F162*Reeksen!C162,0)</f>
        <v>0</v>
      </c>
      <c r="H162" s="84">
        <f t="shared" ca="1" si="25"/>
        <v>0</v>
      </c>
      <c r="I162" s="85">
        <f ca="1">IF('Invoer gegevens'!$C$17=E162,'Invoer gegevens'!$C$11,IF(C162=1,L161,0))</f>
        <v>0</v>
      </c>
      <c r="J162" s="86">
        <f ca="1">IF(C162&lt;1,0,IF(Reeksen!AK162&lt;=Reeksen!AE162,I162*Reeksen!C162,0))</f>
        <v>0</v>
      </c>
      <c r="K162" s="86">
        <f ca="1">IF(C162&lt;1,0,IF(Reeksen!AK162&gt;Reeksen!AE162,I162*Reeksen!C162,0))</f>
        <v>0</v>
      </c>
      <c r="L162" s="86">
        <f t="shared" ca="1" si="26"/>
        <v>0</v>
      </c>
      <c r="M162" s="85">
        <f ca="1">IF('Invoer gegevens'!$C$17=E162,'Invoer gegevens'!$C$10-'Invoer gegevens'!$C$11,IF(C162=1,P161,0))</f>
        <v>0</v>
      </c>
      <c r="N162" s="86">
        <f ca="1">IF(C162&lt;1,0,IF(Reeksen!AK162&lt;=Reeksen!AE162,M162*Reeksen!C162,0))</f>
        <v>0</v>
      </c>
      <c r="O162" s="86">
        <f ca="1">IF(C162&lt;1,0,IF(Reeksen!AK162&gt;Reeksen!AE162,M162*Reeksen!C162,0))</f>
        <v>0</v>
      </c>
      <c r="P162" s="86">
        <f t="shared" ca="1" si="27"/>
        <v>0</v>
      </c>
      <c r="Q162" s="82">
        <f ca="1">IF('Invoer gegevens'!$C$17=E162,I162,IF(C162=0,0,R161))</f>
        <v>0</v>
      </c>
      <c r="R162" s="84">
        <f t="shared" ca="1" si="22"/>
        <v>0</v>
      </c>
      <c r="S162" s="84">
        <f ca="1">IF('Invoer gegevens'!$C$17=E162,M162,IF(C162=0,0,T161))</f>
        <v>0</v>
      </c>
      <c r="T162" s="84">
        <f t="shared" ca="1" si="23"/>
        <v>0</v>
      </c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8"/>
      <c r="AI162" s="71">
        <f ca="1">IF(C162=1,((F162+H162)/2*Reeksen!AJ162*12)+(('Invoer gegevens'!$C$10-(F162+H162)/2)*Reeksen!AK162*12),0)</f>
        <v>0</v>
      </c>
      <c r="AJ162" s="71">
        <f ca="1">-AI162*'Invoer gegevens'!$F$28</f>
        <v>0</v>
      </c>
      <c r="AK162" s="71">
        <f t="shared" ca="1" si="24"/>
        <v>0</v>
      </c>
      <c r="AL162" s="71">
        <f ca="1">IF(C162=1,(12*((F162+H162)/2)*Reeksen!AL162)+(12*('Invoer gegevens'!$C$10-(F162+H162)/2)*Reeksen!AM162),0)</f>
        <v>0</v>
      </c>
      <c r="AM162" s="71">
        <f ca="1">-AL162*'Invoer gegevens'!$F$31</f>
        <v>0</v>
      </c>
      <c r="AN162" s="71">
        <f t="shared" ca="1" si="28"/>
        <v>0</v>
      </c>
      <c r="AO162" s="71"/>
      <c r="AP162" s="71"/>
      <c r="AQ162" s="71">
        <f ca="1">-IF(C162=1,('Invoer gegevens'!$C$10*'Invoer gegevens'!$I$33)*Reeksen!J162,0)*2</f>
        <v>0</v>
      </c>
      <c r="AR162" s="71">
        <f ca="1">-IF(C162=1,(G162*'Invoer gegevens'!$I$34)*Reeksen!J162,0)</f>
        <v>0</v>
      </c>
      <c r="AS162" s="71">
        <f ca="1">-IF(C162=1,'Invoer gegevens'!$C$10*'Invoer gegevens'!$I$35*Reeksen!L162,0)</f>
        <v>0</v>
      </c>
      <c r="AT162" s="71">
        <f ca="1">-IF(C162=1,IF(E162='Invoer gegevens'!$C$17,'Invoer gegevens'!$C$11,Q162)*Reeksen!S162*'Invoer gegevens'!$C$18*Reeksen!P162,0)</f>
        <v>0</v>
      </c>
      <c r="AU162" s="71">
        <f ca="1">-IF(C162=1,'Invoer gegevens'!$C$10*'Invoer gegevens'!$I$36*Reeksen!H162,0)</f>
        <v>0</v>
      </c>
      <c r="AV162" s="71">
        <f t="shared" si="32"/>
        <v>0</v>
      </c>
      <c r="AW162" s="71">
        <f t="shared" ca="1" si="29"/>
        <v>0</v>
      </c>
      <c r="AX162" s="71">
        <f ca="1">IF(E162&lt;'Invoer gegevens'!$C$17+15,0,IF(E162&gt;'Invoer gegevens'!$C$17+215,0,AW162))</f>
        <v>0</v>
      </c>
      <c r="AY162" s="71">
        <f ca="1">AX162/(1+'Invoer gegevens'!$F$13)^($AZ162-('Invoer gegevens'!$C$17-'Invoer gegevens'!$C$16))/(1+'Invoer gegevens'!$C$39)^('Invoer gegevens'!$C$17-'Invoer gegevens'!$C$16)</f>
        <v>0</v>
      </c>
      <c r="AZ162" s="68">
        <f ca="1">IF(E162-'Invoer gegevens'!$C$17-14.5&lt;0,0,E162-'Invoer gegevens'!$C$17-14.5)</f>
        <v>142.5</v>
      </c>
    </row>
    <row r="163" spans="2:52" x14ac:dyDescent="0.25">
      <c r="B163" s="70">
        <f t="shared" si="30"/>
        <v>159</v>
      </c>
      <c r="C163" s="67">
        <f ca="1">IF(E163-'Invoer gegevens'!$C$17&lt;0,0,1)</f>
        <v>1</v>
      </c>
      <c r="D163" s="68">
        <f t="shared" si="31"/>
        <v>158.5</v>
      </c>
      <c r="E163" s="69">
        <f ca="1">IF('Invoer gegevens'!$C$16="","",E162+1)</f>
        <v>2177</v>
      </c>
      <c r="F163" s="82">
        <f ca="1">IF('Invoer gegevens'!$C$17=E163,'Invoer gegevens'!$C$10,IF(C163=1,H162,0))</f>
        <v>0</v>
      </c>
      <c r="G163" s="83">
        <f ca="1">IF(C163&gt;=1,F163*Reeksen!C163,0)</f>
        <v>0</v>
      </c>
      <c r="H163" s="84">
        <f t="shared" ca="1" si="25"/>
        <v>0</v>
      </c>
      <c r="I163" s="85">
        <f ca="1">IF('Invoer gegevens'!$C$17=E163,'Invoer gegevens'!$C$11,IF(C163=1,L162,0))</f>
        <v>0</v>
      </c>
      <c r="J163" s="86">
        <f ca="1">IF(C163&lt;1,0,IF(Reeksen!AK163&lt;=Reeksen!AE163,I163*Reeksen!C163,0))</f>
        <v>0</v>
      </c>
      <c r="K163" s="86">
        <f ca="1">IF(C163&lt;1,0,IF(Reeksen!AK163&gt;Reeksen!AE163,I163*Reeksen!C163,0))</f>
        <v>0</v>
      </c>
      <c r="L163" s="86">
        <f t="shared" ca="1" si="26"/>
        <v>0</v>
      </c>
      <c r="M163" s="85">
        <f ca="1">IF('Invoer gegevens'!$C$17=E163,'Invoer gegevens'!$C$10-'Invoer gegevens'!$C$11,IF(C163=1,P162,0))</f>
        <v>0</v>
      </c>
      <c r="N163" s="86">
        <f ca="1">IF(C163&lt;1,0,IF(Reeksen!AK163&lt;=Reeksen!AE163,M163*Reeksen!C163,0))</f>
        <v>0</v>
      </c>
      <c r="O163" s="86">
        <f ca="1">IF(C163&lt;1,0,IF(Reeksen!AK163&gt;Reeksen!AE163,M163*Reeksen!C163,0))</f>
        <v>0</v>
      </c>
      <c r="P163" s="86">
        <f t="shared" ca="1" si="27"/>
        <v>0</v>
      </c>
      <c r="Q163" s="82">
        <f ca="1">IF('Invoer gegevens'!$C$17=E163,I163,IF(C163=0,0,R162))</f>
        <v>0</v>
      </c>
      <c r="R163" s="84">
        <f t="shared" ca="1" si="22"/>
        <v>0</v>
      </c>
      <c r="S163" s="84">
        <f ca="1">IF('Invoer gegevens'!$C$17=E163,M163,IF(C163=0,0,T162))</f>
        <v>0</v>
      </c>
      <c r="T163" s="84">
        <f t="shared" ca="1" si="23"/>
        <v>0</v>
      </c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8"/>
      <c r="AI163" s="71">
        <f ca="1">IF(C163=1,((F163+H163)/2*Reeksen!AJ163*12)+(('Invoer gegevens'!$C$10-(F163+H163)/2)*Reeksen!AK163*12),0)</f>
        <v>0</v>
      </c>
      <c r="AJ163" s="71">
        <f ca="1">-AI163*'Invoer gegevens'!$F$28</f>
        <v>0</v>
      </c>
      <c r="AK163" s="71">
        <f t="shared" ca="1" si="24"/>
        <v>0</v>
      </c>
      <c r="AL163" s="71">
        <f ca="1">IF(C163=1,(12*((F163+H163)/2)*Reeksen!AL163)+(12*('Invoer gegevens'!$C$10-(F163+H163)/2)*Reeksen!AM163),0)</f>
        <v>0</v>
      </c>
      <c r="AM163" s="71">
        <f ca="1">-AL163*'Invoer gegevens'!$F$31</f>
        <v>0</v>
      </c>
      <c r="AN163" s="71">
        <f t="shared" ca="1" si="28"/>
        <v>0</v>
      </c>
      <c r="AO163" s="71"/>
      <c r="AP163" s="71"/>
      <c r="AQ163" s="71">
        <f ca="1">-IF(C163=1,('Invoer gegevens'!$C$10*'Invoer gegevens'!$I$33)*Reeksen!J163,0)*2</f>
        <v>0</v>
      </c>
      <c r="AR163" s="71">
        <f ca="1">-IF(C163=1,(G163*'Invoer gegevens'!$I$34)*Reeksen!J163,0)</f>
        <v>0</v>
      </c>
      <c r="AS163" s="71">
        <f ca="1">-IF(C163=1,'Invoer gegevens'!$C$10*'Invoer gegevens'!$I$35*Reeksen!L163,0)</f>
        <v>0</v>
      </c>
      <c r="AT163" s="71">
        <f ca="1">-IF(C163=1,IF(E163='Invoer gegevens'!$C$17,'Invoer gegevens'!$C$11,Q163)*Reeksen!S163*'Invoer gegevens'!$C$18*Reeksen!P163,0)</f>
        <v>0</v>
      </c>
      <c r="AU163" s="71">
        <f ca="1">-IF(C163=1,'Invoer gegevens'!$C$10*'Invoer gegevens'!$I$36*Reeksen!H163,0)</f>
        <v>0</v>
      </c>
      <c r="AV163" s="71">
        <f t="shared" si="32"/>
        <v>0</v>
      </c>
      <c r="AW163" s="71">
        <f t="shared" ca="1" si="29"/>
        <v>0</v>
      </c>
      <c r="AX163" s="71">
        <f ca="1">IF(E163&lt;'Invoer gegevens'!$C$17+15,0,IF(E163&gt;'Invoer gegevens'!$C$17+215,0,AW163))</f>
        <v>0</v>
      </c>
      <c r="AY163" s="71">
        <f ca="1">AX163/(1+'Invoer gegevens'!$F$13)^($AZ163-('Invoer gegevens'!$C$17-'Invoer gegevens'!$C$16))/(1+'Invoer gegevens'!$C$39)^('Invoer gegevens'!$C$17-'Invoer gegevens'!$C$16)</f>
        <v>0</v>
      </c>
      <c r="AZ163" s="68">
        <f ca="1">IF(E163-'Invoer gegevens'!$C$17-14.5&lt;0,0,E163-'Invoer gegevens'!$C$17-14.5)</f>
        <v>143.5</v>
      </c>
    </row>
    <row r="164" spans="2:52" x14ac:dyDescent="0.25">
      <c r="B164" s="70">
        <f t="shared" si="30"/>
        <v>160</v>
      </c>
      <c r="C164" s="67">
        <f ca="1">IF(E164-'Invoer gegevens'!$C$17&lt;0,0,1)</f>
        <v>1</v>
      </c>
      <c r="D164" s="68">
        <f t="shared" si="31"/>
        <v>159.5</v>
      </c>
      <c r="E164" s="69">
        <f ca="1">IF('Invoer gegevens'!$C$16="","",E163+1)</f>
        <v>2178</v>
      </c>
      <c r="F164" s="82">
        <f ca="1">IF('Invoer gegevens'!$C$17=E164,'Invoer gegevens'!$C$10,IF(C164=1,H163,0))</f>
        <v>0</v>
      </c>
      <c r="G164" s="83">
        <f ca="1">IF(C164&gt;=1,F164*Reeksen!C164,0)</f>
        <v>0</v>
      </c>
      <c r="H164" s="84">
        <f t="shared" ca="1" si="25"/>
        <v>0</v>
      </c>
      <c r="I164" s="85">
        <f ca="1">IF('Invoer gegevens'!$C$17=E164,'Invoer gegevens'!$C$11,IF(C164=1,L163,0))</f>
        <v>0</v>
      </c>
      <c r="J164" s="86">
        <f ca="1">IF(C164&lt;1,0,IF(Reeksen!AK164&lt;=Reeksen!AE164,I164*Reeksen!C164,0))</f>
        <v>0</v>
      </c>
      <c r="K164" s="86">
        <f ca="1">IF(C164&lt;1,0,IF(Reeksen!AK164&gt;Reeksen!AE164,I164*Reeksen!C164,0))</f>
        <v>0</v>
      </c>
      <c r="L164" s="86">
        <f t="shared" ca="1" si="26"/>
        <v>0</v>
      </c>
      <c r="M164" s="85">
        <f ca="1">IF('Invoer gegevens'!$C$17=E164,'Invoer gegevens'!$C$10-'Invoer gegevens'!$C$11,IF(C164=1,P163,0))</f>
        <v>0</v>
      </c>
      <c r="N164" s="86">
        <f ca="1">IF(C164&lt;1,0,IF(Reeksen!AK164&lt;=Reeksen!AE164,M164*Reeksen!C164,0))</f>
        <v>0</v>
      </c>
      <c r="O164" s="86">
        <f ca="1">IF(C164&lt;1,0,IF(Reeksen!AK164&gt;Reeksen!AE164,M164*Reeksen!C164,0))</f>
        <v>0</v>
      </c>
      <c r="P164" s="86">
        <f t="shared" ca="1" si="27"/>
        <v>0</v>
      </c>
      <c r="Q164" s="82">
        <f ca="1">IF('Invoer gegevens'!$C$17=E164,I164,IF(C164=0,0,R163))</f>
        <v>0</v>
      </c>
      <c r="R164" s="84">
        <f t="shared" ca="1" si="22"/>
        <v>0</v>
      </c>
      <c r="S164" s="84">
        <f ca="1">IF('Invoer gegevens'!$C$17=E164,M164,IF(C164=0,0,T163))</f>
        <v>0</v>
      </c>
      <c r="T164" s="84">
        <f t="shared" ca="1" si="23"/>
        <v>0</v>
      </c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8"/>
      <c r="AI164" s="71">
        <f ca="1">IF(C164=1,((F164+H164)/2*Reeksen!AJ164*12)+(('Invoer gegevens'!$C$10-(F164+H164)/2)*Reeksen!AK164*12),0)</f>
        <v>0</v>
      </c>
      <c r="AJ164" s="71">
        <f ca="1">-AI164*'Invoer gegevens'!$F$28</f>
        <v>0</v>
      </c>
      <c r="AK164" s="71">
        <f t="shared" ca="1" si="24"/>
        <v>0</v>
      </c>
      <c r="AL164" s="71">
        <f ca="1">IF(C164=1,(12*((F164+H164)/2)*Reeksen!AL164)+(12*('Invoer gegevens'!$C$10-(F164+H164)/2)*Reeksen!AM164),0)</f>
        <v>0</v>
      </c>
      <c r="AM164" s="71">
        <f ca="1">-AL164*'Invoer gegevens'!$F$31</f>
        <v>0</v>
      </c>
      <c r="AN164" s="71">
        <f t="shared" ca="1" si="28"/>
        <v>0</v>
      </c>
      <c r="AO164" s="71"/>
      <c r="AP164" s="71"/>
      <c r="AQ164" s="71">
        <f ca="1">-IF(C164=1,('Invoer gegevens'!$C$10*'Invoer gegevens'!$I$33)*Reeksen!J164,0)*2</f>
        <v>0</v>
      </c>
      <c r="AR164" s="71">
        <f ca="1">-IF(C164=1,(G164*'Invoer gegevens'!$I$34)*Reeksen!J164,0)</f>
        <v>0</v>
      </c>
      <c r="AS164" s="71">
        <f ca="1">-IF(C164=1,'Invoer gegevens'!$C$10*'Invoer gegevens'!$I$35*Reeksen!L164,0)</f>
        <v>0</v>
      </c>
      <c r="AT164" s="71">
        <f ca="1">-IF(C164=1,IF(E164='Invoer gegevens'!$C$17,'Invoer gegevens'!$C$11,Q164)*Reeksen!S164*'Invoer gegevens'!$C$18*Reeksen!P164,0)</f>
        <v>0</v>
      </c>
      <c r="AU164" s="71">
        <f ca="1">-IF(C164=1,'Invoer gegevens'!$C$10*'Invoer gegevens'!$I$36*Reeksen!H164,0)</f>
        <v>0</v>
      </c>
      <c r="AV164" s="71">
        <f t="shared" si="32"/>
        <v>0</v>
      </c>
      <c r="AW164" s="71">
        <f t="shared" ca="1" si="29"/>
        <v>0</v>
      </c>
      <c r="AX164" s="71">
        <f ca="1">IF(E164&lt;'Invoer gegevens'!$C$17+15,0,IF(E164&gt;'Invoer gegevens'!$C$17+215,0,AW164))</f>
        <v>0</v>
      </c>
      <c r="AY164" s="71">
        <f ca="1">AX164/(1+'Invoer gegevens'!$F$13)^($AZ164-('Invoer gegevens'!$C$17-'Invoer gegevens'!$C$16))/(1+'Invoer gegevens'!$C$39)^('Invoer gegevens'!$C$17-'Invoer gegevens'!$C$16)</f>
        <v>0</v>
      </c>
      <c r="AZ164" s="68">
        <f ca="1">IF(E164-'Invoer gegevens'!$C$17-14.5&lt;0,0,E164-'Invoer gegevens'!$C$17-14.5)</f>
        <v>144.5</v>
      </c>
    </row>
    <row r="165" spans="2:52" x14ac:dyDescent="0.25">
      <c r="B165" s="70">
        <f t="shared" si="30"/>
        <v>161</v>
      </c>
      <c r="C165" s="67">
        <f ca="1">IF(E165-'Invoer gegevens'!$C$17&lt;0,0,1)</f>
        <v>1</v>
      </c>
      <c r="D165" s="68">
        <f t="shared" si="31"/>
        <v>160.5</v>
      </c>
      <c r="E165" s="69">
        <f ca="1">IF('Invoer gegevens'!$C$16="","",E164+1)</f>
        <v>2179</v>
      </c>
      <c r="F165" s="82">
        <f ca="1">IF('Invoer gegevens'!$C$17=E165,'Invoer gegevens'!$C$10,IF(C165=1,H164,0))</f>
        <v>0</v>
      </c>
      <c r="G165" s="83">
        <f ca="1">IF(C165&gt;=1,F165*Reeksen!C165,0)</f>
        <v>0</v>
      </c>
      <c r="H165" s="84">
        <f t="shared" ca="1" si="25"/>
        <v>0</v>
      </c>
      <c r="I165" s="85">
        <f ca="1">IF('Invoer gegevens'!$C$17=E165,'Invoer gegevens'!$C$11,IF(C165=1,L164,0))</f>
        <v>0</v>
      </c>
      <c r="J165" s="86">
        <f ca="1">IF(C165&lt;1,0,IF(Reeksen!AK165&lt;=Reeksen!AE165,I165*Reeksen!C165,0))</f>
        <v>0</v>
      </c>
      <c r="K165" s="86">
        <f ca="1">IF(C165&lt;1,0,IF(Reeksen!AK165&gt;Reeksen!AE165,I165*Reeksen!C165,0))</f>
        <v>0</v>
      </c>
      <c r="L165" s="86">
        <f t="shared" ca="1" si="26"/>
        <v>0</v>
      </c>
      <c r="M165" s="85">
        <f ca="1">IF('Invoer gegevens'!$C$17=E165,'Invoer gegevens'!$C$10-'Invoer gegevens'!$C$11,IF(C165=1,P164,0))</f>
        <v>0</v>
      </c>
      <c r="N165" s="86">
        <f ca="1">IF(C165&lt;1,0,IF(Reeksen!AK165&lt;=Reeksen!AE165,M165*Reeksen!C165,0))</f>
        <v>0</v>
      </c>
      <c r="O165" s="86">
        <f ca="1">IF(C165&lt;1,0,IF(Reeksen!AK165&gt;Reeksen!AE165,M165*Reeksen!C165,0))</f>
        <v>0</v>
      </c>
      <c r="P165" s="86">
        <f t="shared" ca="1" si="27"/>
        <v>0</v>
      </c>
      <c r="Q165" s="82">
        <f ca="1">IF('Invoer gegevens'!$C$17=E165,I165,IF(C165=0,0,R164))</f>
        <v>0</v>
      </c>
      <c r="R165" s="84">
        <f t="shared" ca="1" si="22"/>
        <v>0</v>
      </c>
      <c r="S165" s="84">
        <f ca="1">IF('Invoer gegevens'!$C$17=E165,M165,IF(C165=0,0,T164))</f>
        <v>0</v>
      </c>
      <c r="T165" s="84">
        <f t="shared" ca="1" si="23"/>
        <v>0</v>
      </c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8"/>
      <c r="AI165" s="71">
        <f ca="1">IF(C165=1,((F165+H165)/2*Reeksen!AJ165*12)+(('Invoer gegevens'!$C$10-(F165+H165)/2)*Reeksen!AK165*12),0)</f>
        <v>0</v>
      </c>
      <c r="AJ165" s="71">
        <f ca="1">-AI165*'Invoer gegevens'!$F$28</f>
        <v>0</v>
      </c>
      <c r="AK165" s="71">
        <f t="shared" ca="1" si="24"/>
        <v>0</v>
      </c>
      <c r="AL165" s="71">
        <f ca="1">IF(C165=1,(12*((F165+H165)/2)*Reeksen!AL165)+(12*('Invoer gegevens'!$C$10-(F165+H165)/2)*Reeksen!AM165),0)</f>
        <v>0</v>
      </c>
      <c r="AM165" s="71">
        <f ca="1">-AL165*'Invoer gegevens'!$F$31</f>
        <v>0</v>
      </c>
      <c r="AN165" s="71">
        <f t="shared" ca="1" si="28"/>
        <v>0</v>
      </c>
      <c r="AO165" s="71"/>
      <c r="AP165" s="71"/>
      <c r="AQ165" s="71">
        <f ca="1">-IF(C165=1,('Invoer gegevens'!$C$10*'Invoer gegevens'!$I$33)*Reeksen!J165,0)*2</f>
        <v>0</v>
      </c>
      <c r="AR165" s="71">
        <f ca="1">-IF(C165=1,(G165*'Invoer gegevens'!$I$34)*Reeksen!J165,0)</f>
        <v>0</v>
      </c>
      <c r="AS165" s="71">
        <f ca="1">-IF(C165=1,'Invoer gegevens'!$C$10*'Invoer gegevens'!$I$35*Reeksen!L165,0)</f>
        <v>0</v>
      </c>
      <c r="AT165" s="71">
        <f ca="1">-IF(C165=1,IF(E165='Invoer gegevens'!$C$17,'Invoer gegevens'!$C$11,Q165)*Reeksen!S165*'Invoer gegevens'!$C$18*Reeksen!P165,0)</f>
        <v>0</v>
      </c>
      <c r="AU165" s="71">
        <f ca="1">-IF(C165=1,'Invoer gegevens'!$C$10*'Invoer gegevens'!$I$36*Reeksen!H165,0)</f>
        <v>0</v>
      </c>
      <c r="AV165" s="71">
        <f t="shared" si="32"/>
        <v>0</v>
      </c>
      <c r="AW165" s="71">
        <f t="shared" ca="1" si="29"/>
        <v>0</v>
      </c>
      <c r="AX165" s="71">
        <f ca="1">IF(E165&lt;'Invoer gegevens'!$C$17+15,0,IF(E165&gt;'Invoer gegevens'!$C$17+215,0,AW165))</f>
        <v>0</v>
      </c>
      <c r="AY165" s="71">
        <f ca="1">AX165/(1+'Invoer gegevens'!$F$13)^($AZ165-('Invoer gegevens'!$C$17-'Invoer gegevens'!$C$16))/(1+'Invoer gegevens'!$C$39)^('Invoer gegevens'!$C$17-'Invoer gegevens'!$C$16)</f>
        <v>0</v>
      </c>
      <c r="AZ165" s="68">
        <f ca="1">IF(E165-'Invoer gegevens'!$C$17-14.5&lt;0,0,E165-'Invoer gegevens'!$C$17-14.5)</f>
        <v>145.5</v>
      </c>
    </row>
    <row r="166" spans="2:52" x14ac:dyDescent="0.25">
      <c r="B166" s="70">
        <f t="shared" si="30"/>
        <v>162</v>
      </c>
      <c r="C166" s="67">
        <f ca="1">IF(E166-'Invoer gegevens'!$C$17&lt;0,0,1)</f>
        <v>1</v>
      </c>
      <c r="D166" s="68">
        <f t="shared" si="31"/>
        <v>161.5</v>
      </c>
      <c r="E166" s="69">
        <f ca="1">IF('Invoer gegevens'!$C$16="","",E165+1)</f>
        <v>2180</v>
      </c>
      <c r="F166" s="82">
        <f ca="1">IF('Invoer gegevens'!$C$17=E166,'Invoer gegevens'!$C$10,IF(C166=1,H165,0))</f>
        <v>0</v>
      </c>
      <c r="G166" s="83">
        <f ca="1">IF(C166&gt;=1,F166*Reeksen!C166,0)</f>
        <v>0</v>
      </c>
      <c r="H166" s="84">
        <f t="shared" ca="1" si="25"/>
        <v>0</v>
      </c>
      <c r="I166" s="85">
        <f ca="1">IF('Invoer gegevens'!$C$17=E166,'Invoer gegevens'!$C$11,IF(C166=1,L165,0))</f>
        <v>0</v>
      </c>
      <c r="J166" s="86">
        <f ca="1">IF(C166&lt;1,0,IF(Reeksen!AK166&lt;=Reeksen!AE166,I166*Reeksen!C166,0))</f>
        <v>0</v>
      </c>
      <c r="K166" s="86">
        <f ca="1">IF(C166&lt;1,0,IF(Reeksen!AK166&gt;Reeksen!AE166,I166*Reeksen!C166,0))</f>
        <v>0</v>
      </c>
      <c r="L166" s="86">
        <f t="shared" ca="1" si="26"/>
        <v>0</v>
      </c>
      <c r="M166" s="85">
        <f ca="1">IF('Invoer gegevens'!$C$17=E166,'Invoer gegevens'!$C$10-'Invoer gegevens'!$C$11,IF(C166=1,P165,0))</f>
        <v>0</v>
      </c>
      <c r="N166" s="86">
        <f ca="1">IF(C166&lt;1,0,IF(Reeksen!AK166&lt;=Reeksen!AE166,M166*Reeksen!C166,0))</f>
        <v>0</v>
      </c>
      <c r="O166" s="86">
        <f ca="1">IF(C166&lt;1,0,IF(Reeksen!AK166&gt;Reeksen!AE166,M166*Reeksen!C166,0))</f>
        <v>0</v>
      </c>
      <c r="P166" s="86">
        <f t="shared" ca="1" si="27"/>
        <v>0</v>
      </c>
      <c r="Q166" s="82">
        <f ca="1">IF('Invoer gegevens'!$C$17=E166,I166,IF(C166=0,0,R165))</f>
        <v>0</v>
      </c>
      <c r="R166" s="84">
        <f t="shared" ca="1" si="22"/>
        <v>0</v>
      </c>
      <c r="S166" s="84">
        <f ca="1">IF('Invoer gegevens'!$C$17=E166,M166,IF(C166=0,0,T165))</f>
        <v>0</v>
      </c>
      <c r="T166" s="84">
        <f t="shared" ca="1" si="23"/>
        <v>0</v>
      </c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8"/>
      <c r="AI166" s="71">
        <f ca="1">IF(C166=1,((F166+H166)/2*Reeksen!AJ166*12)+(('Invoer gegevens'!$C$10-(F166+H166)/2)*Reeksen!AK166*12),0)</f>
        <v>0</v>
      </c>
      <c r="AJ166" s="71">
        <f ca="1">-AI166*'Invoer gegevens'!$F$28</f>
        <v>0</v>
      </c>
      <c r="AK166" s="71">
        <f t="shared" ca="1" si="24"/>
        <v>0</v>
      </c>
      <c r="AL166" s="71">
        <f ca="1">IF(C166=1,(12*((F166+H166)/2)*Reeksen!AL166)+(12*('Invoer gegevens'!$C$10-(F166+H166)/2)*Reeksen!AM166),0)</f>
        <v>0</v>
      </c>
      <c r="AM166" s="71">
        <f ca="1">-AL166*'Invoer gegevens'!$F$31</f>
        <v>0</v>
      </c>
      <c r="AN166" s="71">
        <f t="shared" ca="1" si="28"/>
        <v>0</v>
      </c>
      <c r="AO166" s="71"/>
      <c r="AP166" s="71"/>
      <c r="AQ166" s="71">
        <f ca="1">-IF(C166=1,('Invoer gegevens'!$C$10*'Invoer gegevens'!$I$33)*Reeksen!J166,0)*2</f>
        <v>0</v>
      </c>
      <c r="AR166" s="71">
        <f ca="1">-IF(C166=1,(G166*'Invoer gegevens'!$I$34)*Reeksen!J166,0)</f>
        <v>0</v>
      </c>
      <c r="AS166" s="71">
        <f ca="1">-IF(C166=1,'Invoer gegevens'!$C$10*'Invoer gegevens'!$I$35*Reeksen!L166,0)</f>
        <v>0</v>
      </c>
      <c r="AT166" s="71">
        <f ca="1">-IF(C166=1,IF(E166='Invoer gegevens'!$C$17,'Invoer gegevens'!$C$11,Q166)*Reeksen!S166*'Invoer gegevens'!$C$18*Reeksen!P166,0)</f>
        <v>0</v>
      </c>
      <c r="AU166" s="71">
        <f ca="1">-IF(C166=1,'Invoer gegevens'!$C$10*'Invoer gegevens'!$I$36*Reeksen!H166,0)</f>
        <v>0</v>
      </c>
      <c r="AV166" s="71">
        <f t="shared" si="32"/>
        <v>0</v>
      </c>
      <c r="AW166" s="71">
        <f t="shared" ca="1" si="29"/>
        <v>0</v>
      </c>
      <c r="AX166" s="71">
        <f ca="1">IF(E166&lt;'Invoer gegevens'!$C$17+15,0,IF(E166&gt;'Invoer gegevens'!$C$17+215,0,AW166))</f>
        <v>0</v>
      </c>
      <c r="AY166" s="71">
        <f ca="1">AX166/(1+'Invoer gegevens'!$F$13)^($AZ166-('Invoer gegevens'!$C$17-'Invoer gegevens'!$C$16))/(1+'Invoer gegevens'!$C$39)^('Invoer gegevens'!$C$17-'Invoer gegevens'!$C$16)</f>
        <v>0</v>
      </c>
      <c r="AZ166" s="68">
        <f ca="1">IF(E166-'Invoer gegevens'!$C$17-14.5&lt;0,0,E166-'Invoer gegevens'!$C$17-14.5)</f>
        <v>146.5</v>
      </c>
    </row>
    <row r="167" spans="2:52" x14ac:dyDescent="0.25">
      <c r="B167" s="70">
        <f t="shared" si="30"/>
        <v>163</v>
      </c>
      <c r="C167" s="67">
        <f ca="1">IF(E167-'Invoer gegevens'!$C$17&lt;0,0,1)</f>
        <v>1</v>
      </c>
      <c r="D167" s="68">
        <f t="shared" si="31"/>
        <v>162.5</v>
      </c>
      <c r="E167" s="69">
        <f ca="1">IF('Invoer gegevens'!$C$16="","",E166+1)</f>
        <v>2181</v>
      </c>
      <c r="F167" s="82">
        <f ca="1">IF('Invoer gegevens'!$C$17=E167,'Invoer gegevens'!$C$10,IF(C167=1,H166,0))</f>
        <v>0</v>
      </c>
      <c r="G167" s="83">
        <f ca="1">IF(C167&gt;=1,F167*Reeksen!C167,0)</f>
        <v>0</v>
      </c>
      <c r="H167" s="84">
        <f t="shared" ca="1" si="25"/>
        <v>0</v>
      </c>
      <c r="I167" s="85">
        <f ca="1">IF('Invoer gegevens'!$C$17=E167,'Invoer gegevens'!$C$11,IF(C167=1,L166,0))</f>
        <v>0</v>
      </c>
      <c r="J167" s="86">
        <f ca="1">IF(C167&lt;1,0,IF(Reeksen!AK167&lt;=Reeksen!AE167,I167*Reeksen!C167,0))</f>
        <v>0</v>
      </c>
      <c r="K167" s="86">
        <f ca="1">IF(C167&lt;1,0,IF(Reeksen!AK167&gt;Reeksen!AE167,I167*Reeksen!C167,0))</f>
        <v>0</v>
      </c>
      <c r="L167" s="86">
        <f t="shared" ca="1" si="26"/>
        <v>0</v>
      </c>
      <c r="M167" s="85">
        <f ca="1">IF('Invoer gegevens'!$C$17=E167,'Invoer gegevens'!$C$10-'Invoer gegevens'!$C$11,IF(C167=1,P166,0))</f>
        <v>0</v>
      </c>
      <c r="N167" s="86">
        <f ca="1">IF(C167&lt;1,0,IF(Reeksen!AK167&lt;=Reeksen!AE167,M167*Reeksen!C167,0))</f>
        <v>0</v>
      </c>
      <c r="O167" s="86">
        <f ca="1">IF(C167&lt;1,0,IF(Reeksen!AK167&gt;Reeksen!AE167,M167*Reeksen!C167,0))</f>
        <v>0</v>
      </c>
      <c r="P167" s="86">
        <f t="shared" ca="1" si="27"/>
        <v>0</v>
      </c>
      <c r="Q167" s="82">
        <f ca="1">IF('Invoer gegevens'!$C$17=E167,I167,IF(C167=0,0,R166))</f>
        <v>0</v>
      </c>
      <c r="R167" s="84">
        <f t="shared" ca="1" si="22"/>
        <v>0</v>
      </c>
      <c r="S167" s="84">
        <f ca="1">IF('Invoer gegevens'!$C$17=E167,M167,IF(C167=0,0,T166))</f>
        <v>0</v>
      </c>
      <c r="T167" s="84">
        <f t="shared" ca="1" si="23"/>
        <v>0</v>
      </c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8"/>
      <c r="AI167" s="71">
        <f ca="1">IF(C167=1,((F167+H167)/2*Reeksen!AJ167*12)+(('Invoer gegevens'!$C$10-(F167+H167)/2)*Reeksen!AK167*12),0)</f>
        <v>0</v>
      </c>
      <c r="AJ167" s="71">
        <f ca="1">-AI167*'Invoer gegevens'!$F$28</f>
        <v>0</v>
      </c>
      <c r="AK167" s="71">
        <f t="shared" ca="1" si="24"/>
        <v>0</v>
      </c>
      <c r="AL167" s="71">
        <f ca="1">IF(C167=1,(12*((F167+H167)/2)*Reeksen!AL167)+(12*('Invoer gegevens'!$C$10-(F167+H167)/2)*Reeksen!AM167),0)</f>
        <v>0</v>
      </c>
      <c r="AM167" s="71">
        <f ca="1">-AL167*'Invoer gegevens'!$F$31</f>
        <v>0</v>
      </c>
      <c r="AN167" s="71">
        <f t="shared" ca="1" si="28"/>
        <v>0</v>
      </c>
      <c r="AO167" s="71"/>
      <c r="AP167" s="71"/>
      <c r="AQ167" s="71">
        <f ca="1">-IF(C167=1,('Invoer gegevens'!$C$10*'Invoer gegevens'!$I$33)*Reeksen!J167,0)*2</f>
        <v>0</v>
      </c>
      <c r="AR167" s="71">
        <f ca="1">-IF(C167=1,(G167*'Invoer gegevens'!$I$34)*Reeksen!J167,0)</f>
        <v>0</v>
      </c>
      <c r="AS167" s="71">
        <f ca="1">-IF(C167=1,'Invoer gegevens'!$C$10*'Invoer gegevens'!$I$35*Reeksen!L167,0)</f>
        <v>0</v>
      </c>
      <c r="AT167" s="71">
        <f ca="1">-IF(C167=1,IF(E167='Invoer gegevens'!$C$17,'Invoer gegevens'!$C$11,Q167)*Reeksen!S167*'Invoer gegevens'!$C$18*Reeksen!P167,0)</f>
        <v>0</v>
      </c>
      <c r="AU167" s="71">
        <f ca="1">-IF(C167=1,'Invoer gegevens'!$C$10*'Invoer gegevens'!$I$36*Reeksen!H167,0)</f>
        <v>0</v>
      </c>
      <c r="AV167" s="71">
        <f t="shared" si="32"/>
        <v>0</v>
      </c>
      <c r="AW167" s="71">
        <f t="shared" ca="1" si="29"/>
        <v>0</v>
      </c>
      <c r="AX167" s="71">
        <f ca="1">IF(E167&lt;'Invoer gegevens'!$C$17+15,0,IF(E167&gt;'Invoer gegevens'!$C$17+215,0,AW167))</f>
        <v>0</v>
      </c>
      <c r="AY167" s="71">
        <f ca="1">AX167/(1+'Invoer gegevens'!$F$13)^($AZ167-('Invoer gegevens'!$C$17-'Invoer gegevens'!$C$16))/(1+'Invoer gegevens'!$C$39)^('Invoer gegevens'!$C$17-'Invoer gegevens'!$C$16)</f>
        <v>0</v>
      </c>
      <c r="AZ167" s="68">
        <f ca="1">IF(E167-'Invoer gegevens'!$C$17-14.5&lt;0,0,E167-'Invoer gegevens'!$C$17-14.5)</f>
        <v>147.5</v>
      </c>
    </row>
    <row r="168" spans="2:52" x14ac:dyDescent="0.25">
      <c r="B168" s="70">
        <f t="shared" si="30"/>
        <v>164</v>
      </c>
      <c r="C168" s="67">
        <f ca="1">IF(E168-'Invoer gegevens'!$C$17&lt;0,0,1)</f>
        <v>1</v>
      </c>
      <c r="D168" s="68">
        <f t="shared" si="31"/>
        <v>163.5</v>
      </c>
      <c r="E168" s="69">
        <f ca="1">IF('Invoer gegevens'!$C$16="","",E167+1)</f>
        <v>2182</v>
      </c>
      <c r="F168" s="82">
        <f ca="1">IF('Invoer gegevens'!$C$17=E168,'Invoer gegevens'!$C$10,IF(C168=1,H167,0))</f>
        <v>0</v>
      </c>
      <c r="G168" s="83">
        <f ca="1">IF(C168&gt;=1,F168*Reeksen!C168,0)</f>
        <v>0</v>
      </c>
      <c r="H168" s="84">
        <f t="shared" ca="1" si="25"/>
        <v>0</v>
      </c>
      <c r="I168" s="85">
        <f ca="1">IF('Invoer gegevens'!$C$17=E168,'Invoer gegevens'!$C$11,IF(C168=1,L167,0))</f>
        <v>0</v>
      </c>
      <c r="J168" s="86">
        <f ca="1">IF(C168&lt;1,0,IF(Reeksen!AK168&lt;=Reeksen!AE168,I168*Reeksen!C168,0))</f>
        <v>0</v>
      </c>
      <c r="K168" s="86">
        <f ca="1">IF(C168&lt;1,0,IF(Reeksen!AK168&gt;Reeksen!AE168,I168*Reeksen!C168,0))</f>
        <v>0</v>
      </c>
      <c r="L168" s="86">
        <f t="shared" ca="1" si="26"/>
        <v>0</v>
      </c>
      <c r="M168" s="85">
        <f ca="1">IF('Invoer gegevens'!$C$17=E168,'Invoer gegevens'!$C$10-'Invoer gegevens'!$C$11,IF(C168=1,P167,0))</f>
        <v>0</v>
      </c>
      <c r="N168" s="86">
        <f ca="1">IF(C168&lt;1,0,IF(Reeksen!AK168&lt;=Reeksen!AE168,M168*Reeksen!C168,0))</f>
        <v>0</v>
      </c>
      <c r="O168" s="86">
        <f ca="1">IF(C168&lt;1,0,IF(Reeksen!AK168&gt;Reeksen!AE168,M168*Reeksen!C168,0))</f>
        <v>0</v>
      </c>
      <c r="P168" s="86">
        <f t="shared" ca="1" si="27"/>
        <v>0</v>
      </c>
      <c r="Q168" s="82">
        <f ca="1">IF('Invoer gegevens'!$C$17=E168,I168,IF(C168=0,0,R167))</f>
        <v>0</v>
      </c>
      <c r="R168" s="84">
        <f t="shared" ca="1" si="22"/>
        <v>0</v>
      </c>
      <c r="S168" s="84">
        <f ca="1">IF('Invoer gegevens'!$C$17=E168,M168,IF(C168=0,0,T167))</f>
        <v>0</v>
      </c>
      <c r="T168" s="84">
        <f t="shared" ca="1" si="23"/>
        <v>0</v>
      </c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8"/>
      <c r="AI168" s="71">
        <f ca="1">IF(C168=1,((F168+H168)/2*Reeksen!AJ168*12)+(('Invoer gegevens'!$C$10-(F168+H168)/2)*Reeksen!AK168*12),0)</f>
        <v>0</v>
      </c>
      <c r="AJ168" s="71">
        <f ca="1">-AI168*'Invoer gegevens'!$F$28</f>
        <v>0</v>
      </c>
      <c r="AK168" s="71">
        <f t="shared" ca="1" si="24"/>
        <v>0</v>
      </c>
      <c r="AL168" s="71">
        <f ca="1">IF(C168=1,(12*((F168+H168)/2)*Reeksen!AL168)+(12*('Invoer gegevens'!$C$10-(F168+H168)/2)*Reeksen!AM168),0)</f>
        <v>0</v>
      </c>
      <c r="AM168" s="71">
        <f ca="1">-AL168*'Invoer gegevens'!$F$31</f>
        <v>0</v>
      </c>
      <c r="AN168" s="71">
        <f t="shared" ca="1" si="28"/>
        <v>0</v>
      </c>
      <c r="AO168" s="71"/>
      <c r="AP168" s="71"/>
      <c r="AQ168" s="71">
        <f ca="1">-IF(C168=1,('Invoer gegevens'!$C$10*'Invoer gegevens'!$I$33)*Reeksen!J168,0)*2</f>
        <v>0</v>
      </c>
      <c r="AR168" s="71">
        <f ca="1">-IF(C168=1,(G168*'Invoer gegevens'!$I$34)*Reeksen!J168,0)</f>
        <v>0</v>
      </c>
      <c r="AS168" s="71">
        <f ca="1">-IF(C168=1,'Invoer gegevens'!$C$10*'Invoer gegevens'!$I$35*Reeksen!L168,0)</f>
        <v>0</v>
      </c>
      <c r="AT168" s="71">
        <f ca="1">-IF(C168=1,IF(E168='Invoer gegevens'!$C$17,'Invoer gegevens'!$C$11,Q168)*Reeksen!S168*'Invoer gegevens'!$C$18*Reeksen!P168,0)</f>
        <v>0</v>
      </c>
      <c r="AU168" s="71">
        <f ca="1">-IF(C168=1,'Invoer gegevens'!$C$10*'Invoer gegevens'!$I$36*Reeksen!H168,0)</f>
        <v>0</v>
      </c>
      <c r="AV168" s="71">
        <f t="shared" si="32"/>
        <v>0</v>
      </c>
      <c r="AW168" s="71">
        <f t="shared" ca="1" si="29"/>
        <v>0</v>
      </c>
      <c r="AX168" s="71">
        <f ca="1">IF(E168&lt;'Invoer gegevens'!$C$17+15,0,IF(E168&gt;'Invoer gegevens'!$C$17+215,0,AW168))</f>
        <v>0</v>
      </c>
      <c r="AY168" s="71">
        <f ca="1">AX168/(1+'Invoer gegevens'!$F$13)^($AZ168-('Invoer gegevens'!$C$17-'Invoer gegevens'!$C$16))/(1+'Invoer gegevens'!$C$39)^('Invoer gegevens'!$C$17-'Invoer gegevens'!$C$16)</f>
        <v>0</v>
      </c>
      <c r="AZ168" s="68">
        <f ca="1">IF(E168-'Invoer gegevens'!$C$17-14.5&lt;0,0,E168-'Invoer gegevens'!$C$17-14.5)</f>
        <v>148.5</v>
      </c>
    </row>
    <row r="169" spans="2:52" x14ac:dyDescent="0.25">
      <c r="B169" s="70">
        <f t="shared" si="30"/>
        <v>165</v>
      </c>
      <c r="C169" s="67">
        <f ca="1">IF(E169-'Invoer gegevens'!$C$17&lt;0,0,1)</f>
        <v>1</v>
      </c>
      <c r="D169" s="68">
        <f t="shared" si="31"/>
        <v>164.5</v>
      </c>
      <c r="E169" s="69">
        <f ca="1">IF('Invoer gegevens'!$C$16="","",E168+1)</f>
        <v>2183</v>
      </c>
      <c r="F169" s="82">
        <f ca="1">IF('Invoer gegevens'!$C$17=E169,'Invoer gegevens'!$C$10,IF(C169=1,H168,0))</f>
        <v>0</v>
      </c>
      <c r="G169" s="83">
        <f ca="1">IF(C169&gt;=1,F169*Reeksen!C169,0)</f>
        <v>0</v>
      </c>
      <c r="H169" s="84">
        <f t="shared" ca="1" si="25"/>
        <v>0</v>
      </c>
      <c r="I169" s="85">
        <f ca="1">IF('Invoer gegevens'!$C$17=E169,'Invoer gegevens'!$C$11,IF(C169=1,L168,0))</f>
        <v>0</v>
      </c>
      <c r="J169" s="86">
        <f ca="1">IF(C169&lt;1,0,IF(Reeksen!AK169&lt;=Reeksen!AE169,I169*Reeksen!C169,0))</f>
        <v>0</v>
      </c>
      <c r="K169" s="86">
        <f ca="1">IF(C169&lt;1,0,IF(Reeksen!AK169&gt;Reeksen!AE169,I169*Reeksen!C169,0))</f>
        <v>0</v>
      </c>
      <c r="L169" s="86">
        <f t="shared" ca="1" si="26"/>
        <v>0</v>
      </c>
      <c r="M169" s="85">
        <f ca="1">IF('Invoer gegevens'!$C$17=E169,'Invoer gegevens'!$C$10-'Invoer gegevens'!$C$11,IF(C169=1,P168,0))</f>
        <v>0</v>
      </c>
      <c r="N169" s="86">
        <f ca="1">IF(C169&lt;1,0,IF(Reeksen!AK169&lt;=Reeksen!AE169,M169*Reeksen!C169,0))</f>
        <v>0</v>
      </c>
      <c r="O169" s="86">
        <f ca="1">IF(C169&lt;1,0,IF(Reeksen!AK169&gt;Reeksen!AE169,M169*Reeksen!C169,0))</f>
        <v>0</v>
      </c>
      <c r="P169" s="86">
        <f t="shared" ca="1" si="27"/>
        <v>0</v>
      </c>
      <c r="Q169" s="82">
        <f ca="1">IF('Invoer gegevens'!$C$17=E169,I169,IF(C169=0,0,R168))</f>
        <v>0</v>
      </c>
      <c r="R169" s="84">
        <f t="shared" ca="1" si="22"/>
        <v>0</v>
      </c>
      <c r="S169" s="84">
        <f ca="1">IF('Invoer gegevens'!$C$17=E169,M169,IF(C169=0,0,T168))</f>
        <v>0</v>
      </c>
      <c r="T169" s="84">
        <f t="shared" ca="1" si="23"/>
        <v>0</v>
      </c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8"/>
      <c r="AI169" s="71">
        <f ca="1">IF(C169=1,((F169+H169)/2*Reeksen!AJ169*12)+(('Invoer gegevens'!$C$10-(F169+H169)/2)*Reeksen!AK169*12),0)</f>
        <v>0</v>
      </c>
      <c r="AJ169" s="71">
        <f ca="1">-AI169*'Invoer gegevens'!$F$28</f>
        <v>0</v>
      </c>
      <c r="AK169" s="71">
        <f t="shared" ca="1" si="24"/>
        <v>0</v>
      </c>
      <c r="AL169" s="71">
        <f ca="1">IF(C169=1,(12*((F169+H169)/2)*Reeksen!AL169)+(12*('Invoer gegevens'!$C$10-(F169+H169)/2)*Reeksen!AM169),0)</f>
        <v>0</v>
      </c>
      <c r="AM169" s="71">
        <f ca="1">-AL169*'Invoer gegevens'!$F$31</f>
        <v>0</v>
      </c>
      <c r="AN169" s="71">
        <f t="shared" ca="1" si="28"/>
        <v>0</v>
      </c>
      <c r="AO169" s="71"/>
      <c r="AP169" s="71"/>
      <c r="AQ169" s="71">
        <f ca="1">-IF(C169=1,('Invoer gegevens'!$C$10*'Invoer gegevens'!$I$33)*Reeksen!J169,0)*2</f>
        <v>0</v>
      </c>
      <c r="AR169" s="71">
        <f ca="1">-IF(C169=1,(G169*'Invoer gegevens'!$I$34)*Reeksen!J169,0)</f>
        <v>0</v>
      </c>
      <c r="AS169" s="71">
        <f ca="1">-IF(C169=1,'Invoer gegevens'!$C$10*'Invoer gegevens'!$I$35*Reeksen!L169,0)</f>
        <v>0</v>
      </c>
      <c r="AT169" s="71">
        <f ca="1">-IF(C169=1,IF(E169='Invoer gegevens'!$C$17,'Invoer gegevens'!$C$11,Q169)*Reeksen!S169*'Invoer gegevens'!$C$18*Reeksen!P169,0)</f>
        <v>0</v>
      </c>
      <c r="AU169" s="71">
        <f ca="1">-IF(C169=1,'Invoer gegevens'!$C$10*'Invoer gegevens'!$I$36*Reeksen!H169,0)</f>
        <v>0</v>
      </c>
      <c r="AV169" s="71">
        <f t="shared" si="32"/>
        <v>0</v>
      </c>
      <c r="AW169" s="71">
        <f t="shared" ca="1" si="29"/>
        <v>0</v>
      </c>
      <c r="AX169" s="71">
        <f ca="1">IF(E169&lt;'Invoer gegevens'!$C$17+15,0,IF(E169&gt;'Invoer gegevens'!$C$17+215,0,AW169))</f>
        <v>0</v>
      </c>
      <c r="AY169" s="71">
        <f ca="1">AX169/(1+'Invoer gegevens'!$F$13)^($AZ169-('Invoer gegevens'!$C$17-'Invoer gegevens'!$C$16))/(1+'Invoer gegevens'!$C$39)^('Invoer gegevens'!$C$17-'Invoer gegevens'!$C$16)</f>
        <v>0</v>
      </c>
      <c r="AZ169" s="68">
        <f ca="1">IF(E169-'Invoer gegevens'!$C$17-14.5&lt;0,0,E169-'Invoer gegevens'!$C$17-14.5)</f>
        <v>149.5</v>
      </c>
    </row>
    <row r="170" spans="2:52" x14ac:dyDescent="0.25">
      <c r="B170" s="70">
        <f t="shared" si="30"/>
        <v>166</v>
      </c>
      <c r="C170" s="67">
        <f ca="1">IF(E170-'Invoer gegevens'!$C$17&lt;0,0,1)</f>
        <v>1</v>
      </c>
      <c r="D170" s="68">
        <f t="shared" si="31"/>
        <v>165.5</v>
      </c>
      <c r="E170" s="69">
        <f ca="1">IF('Invoer gegevens'!$C$16="","",E169+1)</f>
        <v>2184</v>
      </c>
      <c r="F170" s="82">
        <f ca="1">IF('Invoer gegevens'!$C$17=E170,'Invoer gegevens'!$C$10,IF(C170=1,H169,0))</f>
        <v>0</v>
      </c>
      <c r="G170" s="83">
        <f ca="1">IF(C170&gt;=1,F170*Reeksen!C170,0)</f>
        <v>0</v>
      </c>
      <c r="H170" s="84">
        <f t="shared" ca="1" si="25"/>
        <v>0</v>
      </c>
      <c r="I170" s="85">
        <f ca="1">IF('Invoer gegevens'!$C$17=E170,'Invoer gegevens'!$C$11,IF(C170=1,L169,0))</f>
        <v>0</v>
      </c>
      <c r="J170" s="86">
        <f ca="1">IF(C170&lt;1,0,IF(Reeksen!AK170&lt;=Reeksen!AE170,I170*Reeksen!C170,0))</f>
        <v>0</v>
      </c>
      <c r="K170" s="86">
        <f ca="1">IF(C170&lt;1,0,IF(Reeksen!AK170&gt;Reeksen!AE170,I170*Reeksen!C170,0))</f>
        <v>0</v>
      </c>
      <c r="L170" s="86">
        <f t="shared" ca="1" si="26"/>
        <v>0</v>
      </c>
      <c r="M170" s="85">
        <f ca="1">IF('Invoer gegevens'!$C$17=E170,'Invoer gegevens'!$C$10-'Invoer gegevens'!$C$11,IF(C170=1,P169,0))</f>
        <v>0</v>
      </c>
      <c r="N170" s="86">
        <f ca="1">IF(C170&lt;1,0,IF(Reeksen!AK170&lt;=Reeksen!AE170,M170*Reeksen!C170,0))</f>
        <v>0</v>
      </c>
      <c r="O170" s="86">
        <f ca="1">IF(C170&lt;1,0,IF(Reeksen!AK170&gt;Reeksen!AE170,M170*Reeksen!C170,0))</f>
        <v>0</v>
      </c>
      <c r="P170" s="86">
        <f t="shared" ca="1" si="27"/>
        <v>0</v>
      </c>
      <c r="Q170" s="82">
        <f ca="1">IF('Invoer gegevens'!$C$17=E170,I170,IF(C170=0,0,R169))</f>
        <v>0</v>
      </c>
      <c r="R170" s="84">
        <f t="shared" ca="1" si="22"/>
        <v>0</v>
      </c>
      <c r="S170" s="84">
        <f ca="1">IF('Invoer gegevens'!$C$17=E170,M170,IF(C170=0,0,T169))</f>
        <v>0</v>
      </c>
      <c r="T170" s="84">
        <f t="shared" ca="1" si="23"/>
        <v>0</v>
      </c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8"/>
      <c r="AI170" s="71">
        <f ca="1">IF(C170=1,((F170+H170)/2*Reeksen!AJ170*12)+(('Invoer gegevens'!$C$10-(F170+H170)/2)*Reeksen!AK170*12),0)</f>
        <v>0</v>
      </c>
      <c r="AJ170" s="71">
        <f ca="1">-AI170*'Invoer gegevens'!$F$28</f>
        <v>0</v>
      </c>
      <c r="AK170" s="71">
        <f t="shared" ca="1" si="24"/>
        <v>0</v>
      </c>
      <c r="AL170" s="71">
        <f ca="1">IF(C170=1,(12*((F170+H170)/2)*Reeksen!AL170)+(12*('Invoer gegevens'!$C$10-(F170+H170)/2)*Reeksen!AM170),0)</f>
        <v>0</v>
      </c>
      <c r="AM170" s="71">
        <f ca="1">-AL170*'Invoer gegevens'!$F$31</f>
        <v>0</v>
      </c>
      <c r="AN170" s="71">
        <f t="shared" ca="1" si="28"/>
        <v>0</v>
      </c>
      <c r="AO170" s="71"/>
      <c r="AP170" s="71"/>
      <c r="AQ170" s="71">
        <f ca="1">-IF(C170=1,('Invoer gegevens'!$C$10*'Invoer gegevens'!$I$33)*Reeksen!J170,0)*2</f>
        <v>0</v>
      </c>
      <c r="AR170" s="71">
        <f ca="1">-IF(C170=1,(G170*'Invoer gegevens'!$I$34)*Reeksen!J170,0)</f>
        <v>0</v>
      </c>
      <c r="AS170" s="71">
        <f ca="1">-IF(C170=1,'Invoer gegevens'!$C$10*'Invoer gegevens'!$I$35*Reeksen!L170,0)</f>
        <v>0</v>
      </c>
      <c r="AT170" s="71">
        <f ca="1">-IF(C170=1,IF(E170='Invoer gegevens'!$C$17,'Invoer gegevens'!$C$11,Q170)*Reeksen!S170*'Invoer gegevens'!$C$18*Reeksen!P170,0)</f>
        <v>0</v>
      </c>
      <c r="AU170" s="71">
        <f ca="1">-IF(C170=1,'Invoer gegevens'!$C$10*'Invoer gegevens'!$I$36*Reeksen!H170,0)</f>
        <v>0</v>
      </c>
      <c r="AV170" s="71">
        <f t="shared" si="32"/>
        <v>0</v>
      </c>
      <c r="AW170" s="71">
        <f t="shared" ca="1" si="29"/>
        <v>0</v>
      </c>
      <c r="AX170" s="71">
        <f ca="1">IF(E170&lt;'Invoer gegevens'!$C$17+15,0,IF(E170&gt;'Invoer gegevens'!$C$17+215,0,AW170))</f>
        <v>0</v>
      </c>
      <c r="AY170" s="71">
        <f ca="1">AX170/(1+'Invoer gegevens'!$F$13)^($AZ170-('Invoer gegevens'!$C$17-'Invoer gegevens'!$C$16))/(1+'Invoer gegevens'!$C$39)^('Invoer gegevens'!$C$17-'Invoer gegevens'!$C$16)</f>
        <v>0</v>
      </c>
      <c r="AZ170" s="68">
        <f ca="1">IF(E170-'Invoer gegevens'!$C$17-14.5&lt;0,0,E170-'Invoer gegevens'!$C$17-14.5)</f>
        <v>150.5</v>
      </c>
    </row>
    <row r="171" spans="2:52" x14ac:dyDescent="0.25">
      <c r="B171" s="70">
        <f t="shared" si="30"/>
        <v>167</v>
      </c>
      <c r="C171" s="67">
        <f ca="1">IF(E171-'Invoer gegevens'!$C$17&lt;0,0,1)</f>
        <v>1</v>
      </c>
      <c r="D171" s="68">
        <f t="shared" si="31"/>
        <v>166.5</v>
      </c>
      <c r="E171" s="69">
        <f ca="1">IF('Invoer gegevens'!$C$16="","",E170+1)</f>
        <v>2185</v>
      </c>
      <c r="F171" s="82">
        <f ca="1">IF('Invoer gegevens'!$C$17=E171,'Invoer gegevens'!$C$10,IF(C171=1,H170,0))</f>
        <v>0</v>
      </c>
      <c r="G171" s="83">
        <f ca="1">IF(C171&gt;=1,F171*Reeksen!C171,0)</f>
        <v>0</v>
      </c>
      <c r="H171" s="84">
        <f t="shared" ca="1" si="25"/>
        <v>0</v>
      </c>
      <c r="I171" s="85">
        <f ca="1">IF('Invoer gegevens'!$C$17=E171,'Invoer gegevens'!$C$11,IF(C171=1,L170,0))</f>
        <v>0</v>
      </c>
      <c r="J171" s="86">
        <f ca="1">IF(C171&lt;1,0,IF(Reeksen!AK171&lt;=Reeksen!AE171,I171*Reeksen!C171,0))</f>
        <v>0</v>
      </c>
      <c r="K171" s="86">
        <f ca="1">IF(C171&lt;1,0,IF(Reeksen!AK171&gt;Reeksen!AE171,I171*Reeksen!C171,0))</f>
        <v>0</v>
      </c>
      <c r="L171" s="86">
        <f t="shared" ca="1" si="26"/>
        <v>0</v>
      </c>
      <c r="M171" s="85">
        <f ca="1">IF('Invoer gegevens'!$C$17=E171,'Invoer gegevens'!$C$10-'Invoer gegevens'!$C$11,IF(C171=1,P170,0))</f>
        <v>0</v>
      </c>
      <c r="N171" s="86">
        <f ca="1">IF(C171&lt;1,0,IF(Reeksen!AK171&lt;=Reeksen!AE171,M171*Reeksen!C171,0))</f>
        <v>0</v>
      </c>
      <c r="O171" s="86">
        <f ca="1">IF(C171&lt;1,0,IF(Reeksen!AK171&gt;Reeksen!AE171,M171*Reeksen!C171,0))</f>
        <v>0</v>
      </c>
      <c r="P171" s="86">
        <f t="shared" ca="1" si="27"/>
        <v>0</v>
      </c>
      <c r="Q171" s="82">
        <f ca="1">IF('Invoer gegevens'!$C$17=E171,I171,IF(C171=0,0,R170))</f>
        <v>0</v>
      </c>
      <c r="R171" s="84">
        <f t="shared" ca="1" si="22"/>
        <v>0</v>
      </c>
      <c r="S171" s="84">
        <f ca="1">IF('Invoer gegevens'!$C$17=E171,M171,IF(C171=0,0,T170))</f>
        <v>0</v>
      </c>
      <c r="T171" s="84">
        <f t="shared" ca="1" si="23"/>
        <v>0</v>
      </c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8"/>
      <c r="AI171" s="71">
        <f ca="1">IF(C171=1,((F171+H171)/2*Reeksen!AJ171*12)+(('Invoer gegevens'!$C$10-(F171+H171)/2)*Reeksen!AK171*12),0)</f>
        <v>0</v>
      </c>
      <c r="AJ171" s="71">
        <f ca="1">-AI171*'Invoer gegevens'!$F$28</f>
        <v>0</v>
      </c>
      <c r="AK171" s="71">
        <f t="shared" ca="1" si="24"/>
        <v>0</v>
      </c>
      <c r="AL171" s="71">
        <f ca="1">IF(C171=1,(12*((F171+H171)/2)*Reeksen!AL171)+(12*('Invoer gegevens'!$C$10-(F171+H171)/2)*Reeksen!AM171),0)</f>
        <v>0</v>
      </c>
      <c r="AM171" s="71">
        <f ca="1">-AL171*'Invoer gegevens'!$F$31</f>
        <v>0</v>
      </c>
      <c r="AN171" s="71">
        <f t="shared" ca="1" si="28"/>
        <v>0</v>
      </c>
      <c r="AO171" s="71"/>
      <c r="AP171" s="71"/>
      <c r="AQ171" s="71">
        <f ca="1">-IF(C171=1,('Invoer gegevens'!$C$10*'Invoer gegevens'!$I$33)*Reeksen!J171,0)*2</f>
        <v>0</v>
      </c>
      <c r="AR171" s="71">
        <f ca="1">-IF(C171=1,(G171*'Invoer gegevens'!$I$34)*Reeksen!J171,0)</f>
        <v>0</v>
      </c>
      <c r="AS171" s="71">
        <f ca="1">-IF(C171=1,'Invoer gegevens'!$C$10*'Invoer gegevens'!$I$35*Reeksen!L171,0)</f>
        <v>0</v>
      </c>
      <c r="AT171" s="71">
        <f ca="1">-IF(C171=1,IF(E171='Invoer gegevens'!$C$17,'Invoer gegevens'!$C$11,Q171)*Reeksen!S171*'Invoer gegevens'!$C$18*Reeksen!P171,0)</f>
        <v>0</v>
      </c>
      <c r="AU171" s="71">
        <f ca="1">-IF(C171=1,'Invoer gegevens'!$C$10*'Invoer gegevens'!$I$36*Reeksen!H171,0)</f>
        <v>0</v>
      </c>
      <c r="AV171" s="71">
        <f t="shared" si="32"/>
        <v>0</v>
      </c>
      <c r="AW171" s="71">
        <f t="shared" ca="1" si="29"/>
        <v>0</v>
      </c>
      <c r="AX171" s="71">
        <f ca="1">IF(E171&lt;'Invoer gegevens'!$C$17+15,0,IF(E171&gt;'Invoer gegevens'!$C$17+215,0,AW171))</f>
        <v>0</v>
      </c>
      <c r="AY171" s="71">
        <f ca="1">AX171/(1+'Invoer gegevens'!$F$13)^($AZ171-('Invoer gegevens'!$C$17-'Invoer gegevens'!$C$16))/(1+'Invoer gegevens'!$C$39)^('Invoer gegevens'!$C$17-'Invoer gegevens'!$C$16)</f>
        <v>0</v>
      </c>
      <c r="AZ171" s="68">
        <f ca="1">IF(E171-'Invoer gegevens'!$C$17-14.5&lt;0,0,E171-'Invoer gegevens'!$C$17-14.5)</f>
        <v>151.5</v>
      </c>
    </row>
    <row r="172" spans="2:52" x14ac:dyDescent="0.25">
      <c r="B172" s="70">
        <f t="shared" si="30"/>
        <v>168</v>
      </c>
      <c r="C172" s="67">
        <f ca="1">IF(E172-'Invoer gegevens'!$C$17&lt;0,0,1)</f>
        <v>1</v>
      </c>
      <c r="D172" s="68">
        <f t="shared" si="31"/>
        <v>167.5</v>
      </c>
      <c r="E172" s="69">
        <f ca="1">IF('Invoer gegevens'!$C$16="","",E171+1)</f>
        <v>2186</v>
      </c>
      <c r="F172" s="82">
        <f ca="1">IF('Invoer gegevens'!$C$17=E172,'Invoer gegevens'!$C$10,IF(C172=1,H171,0))</f>
        <v>0</v>
      </c>
      <c r="G172" s="83">
        <f ca="1">IF(C172&gt;=1,F172*Reeksen!C172,0)</f>
        <v>0</v>
      </c>
      <c r="H172" s="84">
        <f t="shared" ca="1" si="25"/>
        <v>0</v>
      </c>
      <c r="I172" s="85">
        <f ca="1">IF('Invoer gegevens'!$C$17=E172,'Invoer gegevens'!$C$11,IF(C172=1,L171,0))</f>
        <v>0</v>
      </c>
      <c r="J172" s="86">
        <f ca="1">IF(C172&lt;1,0,IF(Reeksen!AK172&lt;=Reeksen!AE172,I172*Reeksen!C172,0))</f>
        <v>0</v>
      </c>
      <c r="K172" s="86">
        <f ca="1">IF(C172&lt;1,0,IF(Reeksen!AK172&gt;Reeksen!AE172,I172*Reeksen!C172,0))</f>
        <v>0</v>
      </c>
      <c r="L172" s="86">
        <f t="shared" ca="1" si="26"/>
        <v>0</v>
      </c>
      <c r="M172" s="85">
        <f ca="1">IF('Invoer gegevens'!$C$17=E172,'Invoer gegevens'!$C$10-'Invoer gegevens'!$C$11,IF(C172=1,P171,0))</f>
        <v>0</v>
      </c>
      <c r="N172" s="86">
        <f ca="1">IF(C172&lt;1,0,IF(Reeksen!AK172&lt;=Reeksen!AE172,M172*Reeksen!C172,0))</f>
        <v>0</v>
      </c>
      <c r="O172" s="86">
        <f ca="1">IF(C172&lt;1,0,IF(Reeksen!AK172&gt;Reeksen!AE172,M172*Reeksen!C172,0))</f>
        <v>0</v>
      </c>
      <c r="P172" s="86">
        <f t="shared" ca="1" si="27"/>
        <v>0</v>
      </c>
      <c r="Q172" s="82">
        <f ca="1">IF('Invoer gegevens'!$C$17=E172,I172,IF(C172=0,0,R171))</f>
        <v>0</v>
      </c>
      <c r="R172" s="84">
        <f t="shared" ca="1" si="22"/>
        <v>0</v>
      </c>
      <c r="S172" s="84">
        <f ca="1">IF('Invoer gegevens'!$C$17=E172,M172,IF(C172=0,0,T171))</f>
        <v>0</v>
      </c>
      <c r="T172" s="84">
        <f t="shared" ca="1" si="23"/>
        <v>0</v>
      </c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8"/>
      <c r="AI172" s="71">
        <f ca="1">IF(C172=1,((F172+H172)/2*Reeksen!AJ172*12)+(('Invoer gegevens'!$C$10-(F172+H172)/2)*Reeksen!AK172*12),0)</f>
        <v>0</v>
      </c>
      <c r="AJ172" s="71">
        <f ca="1">-AI172*'Invoer gegevens'!$F$28</f>
        <v>0</v>
      </c>
      <c r="AK172" s="71">
        <f t="shared" ca="1" si="24"/>
        <v>0</v>
      </c>
      <c r="AL172" s="71">
        <f ca="1">IF(C172=1,(12*((F172+H172)/2)*Reeksen!AL172)+(12*('Invoer gegevens'!$C$10-(F172+H172)/2)*Reeksen!AM172),0)</f>
        <v>0</v>
      </c>
      <c r="AM172" s="71">
        <f ca="1">-AL172*'Invoer gegevens'!$F$31</f>
        <v>0</v>
      </c>
      <c r="AN172" s="71">
        <f t="shared" ca="1" si="28"/>
        <v>0</v>
      </c>
      <c r="AO172" s="71"/>
      <c r="AP172" s="71"/>
      <c r="AQ172" s="71">
        <f ca="1">-IF(C172=1,('Invoer gegevens'!$C$10*'Invoer gegevens'!$I$33)*Reeksen!J172,0)*2</f>
        <v>0</v>
      </c>
      <c r="AR172" s="71">
        <f ca="1">-IF(C172=1,(G172*'Invoer gegevens'!$I$34)*Reeksen!J172,0)</f>
        <v>0</v>
      </c>
      <c r="AS172" s="71">
        <f ca="1">-IF(C172=1,'Invoer gegevens'!$C$10*'Invoer gegevens'!$I$35*Reeksen!L172,0)</f>
        <v>0</v>
      </c>
      <c r="AT172" s="71">
        <f ca="1">-IF(C172=1,IF(E172='Invoer gegevens'!$C$17,'Invoer gegevens'!$C$11,Q172)*Reeksen!S172*'Invoer gegevens'!$C$18*Reeksen!P172,0)</f>
        <v>0</v>
      </c>
      <c r="AU172" s="71">
        <f ca="1">-IF(C172=1,'Invoer gegevens'!$C$10*'Invoer gegevens'!$I$36*Reeksen!H172,0)</f>
        <v>0</v>
      </c>
      <c r="AV172" s="71">
        <f t="shared" si="32"/>
        <v>0</v>
      </c>
      <c r="AW172" s="71">
        <f t="shared" ca="1" si="29"/>
        <v>0</v>
      </c>
      <c r="AX172" s="71">
        <f ca="1">IF(E172&lt;'Invoer gegevens'!$C$17+15,0,IF(E172&gt;'Invoer gegevens'!$C$17+215,0,AW172))</f>
        <v>0</v>
      </c>
      <c r="AY172" s="71">
        <f ca="1">AX172/(1+'Invoer gegevens'!$F$13)^($AZ172-('Invoer gegevens'!$C$17-'Invoer gegevens'!$C$16))/(1+'Invoer gegevens'!$C$39)^('Invoer gegevens'!$C$17-'Invoer gegevens'!$C$16)</f>
        <v>0</v>
      </c>
      <c r="AZ172" s="68">
        <f ca="1">IF(E172-'Invoer gegevens'!$C$17-14.5&lt;0,0,E172-'Invoer gegevens'!$C$17-14.5)</f>
        <v>152.5</v>
      </c>
    </row>
    <row r="173" spans="2:52" x14ac:dyDescent="0.25">
      <c r="B173" s="70">
        <f t="shared" si="30"/>
        <v>169</v>
      </c>
      <c r="C173" s="67">
        <f ca="1">IF(E173-'Invoer gegevens'!$C$17&lt;0,0,1)</f>
        <v>1</v>
      </c>
      <c r="D173" s="68">
        <f t="shared" si="31"/>
        <v>168.5</v>
      </c>
      <c r="E173" s="69">
        <f ca="1">IF('Invoer gegevens'!$C$16="","",E172+1)</f>
        <v>2187</v>
      </c>
      <c r="F173" s="82">
        <f ca="1">IF('Invoer gegevens'!$C$17=E173,'Invoer gegevens'!$C$10,IF(C173=1,H172,0))</f>
        <v>0</v>
      </c>
      <c r="G173" s="83">
        <f ca="1">IF(C173&gt;=1,F173*Reeksen!C173,0)</f>
        <v>0</v>
      </c>
      <c r="H173" s="84">
        <f t="shared" ca="1" si="25"/>
        <v>0</v>
      </c>
      <c r="I173" s="85">
        <f ca="1">IF('Invoer gegevens'!$C$17=E173,'Invoer gegevens'!$C$11,IF(C173=1,L172,0))</f>
        <v>0</v>
      </c>
      <c r="J173" s="86">
        <f ca="1">IF(C173&lt;1,0,IF(Reeksen!AK173&lt;=Reeksen!AE173,I173*Reeksen!C173,0))</f>
        <v>0</v>
      </c>
      <c r="K173" s="86">
        <f ca="1">IF(C173&lt;1,0,IF(Reeksen!AK173&gt;Reeksen!AE173,I173*Reeksen!C173,0))</f>
        <v>0</v>
      </c>
      <c r="L173" s="86">
        <f t="shared" ca="1" si="26"/>
        <v>0</v>
      </c>
      <c r="M173" s="85">
        <f ca="1">IF('Invoer gegevens'!$C$17=E173,'Invoer gegevens'!$C$10-'Invoer gegevens'!$C$11,IF(C173=1,P172,0))</f>
        <v>0</v>
      </c>
      <c r="N173" s="86">
        <f ca="1">IF(C173&lt;1,0,IF(Reeksen!AK173&lt;=Reeksen!AE173,M173*Reeksen!C173,0))</f>
        <v>0</v>
      </c>
      <c r="O173" s="86">
        <f ca="1">IF(C173&lt;1,0,IF(Reeksen!AK173&gt;Reeksen!AE173,M173*Reeksen!C173,0))</f>
        <v>0</v>
      </c>
      <c r="P173" s="86">
        <f t="shared" ca="1" si="27"/>
        <v>0</v>
      </c>
      <c r="Q173" s="82">
        <f ca="1">IF('Invoer gegevens'!$C$17=E173,I173,IF(C173=0,0,R172))</f>
        <v>0</v>
      </c>
      <c r="R173" s="84">
        <f t="shared" ca="1" si="22"/>
        <v>0</v>
      </c>
      <c r="S173" s="84">
        <f ca="1">IF('Invoer gegevens'!$C$17=E173,M173,IF(C173=0,0,T172))</f>
        <v>0</v>
      </c>
      <c r="T173" s="84">
        <f t="shared" ca="1" si="23"/>
        <v>0</v>
      </c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8"/>
      <c r="AI173" s="71">
        <f ca="1">IF(C173=1,((F173+H173)/2*Reeksen!AJ173*12)+(('Invoer gegevens'!$C$10-(F173+H173)/2)*Reeksen!AK173*12),0)</f>
        <v>0</v>
      </c>
      <c r="AJ173" s="71">
        <f ca="1">-AI173*'Invoer gegevens'!$F$28</f>
        <v>0</v>
      </c>
      <c r="AK173" s="71">
        <f t="shared" ca="1" si="24"/>
        <v>0</v>
      </c>
      <c r="AL173" s="71">
        <f ca="1">IF(C173=1,(12*((F173+H173)/2)*Reeksen!AL173)+(12*('Invoer gegevens'!$C$10-(F173+H173)/2)*Reeksen!AM173),0)</f>
        <v>0</v>
      </c>
      <c r="AM173" s="71">
        <f ca="1">-AL173*'Invoer gegevens'!$F$31</f>
        <v>0</v>
      </c>
      <c r="AN173" s="71">
        <f t="shared" ca="1" si="28"/>
        <v>0</v>
      </c>
      <c r="AO173" s="71"/>
      <c r="AP173" s="71"/>
      <c r="AQ173" s="71">
        <f ca="1">-IF(C173=1,('Invoer gegevens'!$C$10*'Invoer gegevens'!$I$33)*Reeksen!J173,0)*2</f>
        <v>0</v>
      </c>
      <c r="AR173" s="71">
        <f ca="1">-IF(C173=1,(G173*'Invoer gegevens'!$I$34)*Reeksen!J173,0)</f>
        <v>0</v>
      </c>
      <c r="AS173" s="71">
        <f ca="1">-IF(C173=1,'Invoer gegevens'!$C$10*'Invoer gegevens'!$I$35*Reeksen!L173,0)</f>
        <v>0</v>
      </c>
      <c r="AT173" s="71">
        <f ca="1">-IF(C173=1,IF(E173='Invoer gegevens'!$C$17,'Invoer gegevens'!$C$11,Q173)*Reeksen!S173*'Invoer gegevens'!$C$18*Reeksen!P173,0)</f>
        <v>0</v>
      </c>
      <c r="AU173" s="71">
        <f ca="1">-IF(C173=1,'Invoer gegevens'!$C$10*'Invoer gegevens'!$I$36*Reeksen!H173,0)</f>
        <v>0</v>
      </c>
      <c r="AV173" s="71">
        <f t="shared" si="32"/>
        <v>0</v>
      </c>
      <c r="AW173" s="71">
        <f t="shared" ca="1" si="29"/>
        <v>0</v>
      </c>
      <c r="AX173" s="71">
        <f ca="1">IF(E173&lt;'Invoer gegevens'!$C$17+15,0,IF(E173&gt;'Invoer gegevens'!$C$17+215,0,AW173))</f>
        <v>0</v>
      </c>
      <c r="AY173" s="71">
        <f ca="1">AX173/(1+'Invoer gegevens'!$F$13)^($AZ173-('Invoer gegevens'!$C$17-'Invoer gegevens'!$C$16))/(1+'Invoer gegevens'!$C$39)^('Invoer gegevens'!$C$17-'Invoer gegevens'!$C$16)</f>
        <v>0</v>
      </c>
      <c r="AZ173" s="68">
        <f ca="1">IF(E173-'Invoer gegevens'!$C$17-14.5&lt;0,0,E173-'Invoer gegevens'!$C$17-14.5)</f>
        <v>153.5</v>
      </c>
    </row>
    <row r="174" spans="2:52" x14ac:dyDescent="0.25">
      <c r="B174" s="70">
        <f t="shared" si="30"/>
        <v>170</v>
      </c>
      <c r="C174" s="67">
        <f ca="1">IF(E174-'Invoer gegevens'!$C$17&lt;0,0,1)</f>
        <v>1</v>
      </c>
      <c r="D174" s="68">
        <f t="shared" si="31"/>
        <v>169.5</v>
      </c>
      <c r="E174" s="69">
        <f ca="1">IF('Invoer gegevens'!$C$16="","",E173+1)</f>
        <v>2188</v>
      </c>
      <c r="F174" s="82">
        <f ca="1">IF('Invoer gegevens'!$C$17=E174,'Invoer gegevens'!$C$10,IF(C174=1,H173,0))</f>
        <v>0</v>
      </c>
      <c r="G174" s="83">
        <f ca="1">IF(C174&gt;=1,F174*Reeksen!C174,0)</f>
        <v>0</v>
      </c>
      <c r="H174" s="84">
        <f t="shared" ca="1" si="25"/>
        <v>0</v>
      </c>
      <c r="I174" s="85">
        <f ca="1">IF('Invoer gegevens'!$C$17=E174,'Invoer gegevens'!$C$11,IF(C174=1,L173,0))</f>
        <v>0</v>
      </c>
      <c r="J174" s="86">
        <f ca="1">IF(C174&lt;1,0,IF(Reeksen!AK174&lt;=Reeksen!AE174,I174*Reeksen!C174,0))</f>
        <v>0</v>
      </c>
      <c r="K174" s="86">
        <f ca="1">IF(C174&lt;1,0,IF(Reeksen!AK174&gt;Reeksen!AE174,I174*Reeksen!C174,0))</f>
        <v>0</v>
      </c>
      <c r="L174" s="86">
        <f t="shared" ca="1" si="26"/>
        <v>0</v>
      </c>
      <c r="M174" s="85">
        <f ca="1">IF('Invoer gegevens'!$C$17=E174,'Invoer gegevens'!$C$10-'Invoer gegevens'!$C$11,IF(C174=1,P173,0))</f>
        <v>0</v>
      </c>
      <c r="N174" s="86">
        <f ca="1">IF(C174&lt;1,0,IF(Reeksen!AK174&lt;=Reeksen!AE174,M174*Reeksen!C174,0))</f>
        <v>0</v>
      </c>
      <c r="O174" s="86">
        <f ca="1">IF(C174&lt;1,0,IF(Reeksen!AK174&gt;Reeksen!AE174,M174*Reeksen!C174,0))</f>
        <v>0</v>
      </c>
      <c r="P174" s="86">
        <f t="shared" ca="1" si="27"/>
        <v>0</v>
      </c>
      <c r="Q174" s="82">
        <f ca="1">IF('Invoer gegevens'!$C$17=E174,I174,IF(C174=0,0,R173))</f>
        <v>0</v>
      </c>
      <c r="R174" s="84">
        <f t="shared" ca="1" si="22"/>
        <v>0</v>
      </c>
      <c r="S174" s="84">
        <f ca="1">IF('Invoer gegevens'!$C$17=E174,M174,IF(C174=0,0,T173))</f>
        <v>0</v>
      </c>
      <c r="T174" s="84">
        <f t="shared" ca="1" si="23"/>
        <v>0</v>
      </c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8"/>
      <c r="AI174" s="71">
        <f ca="1">IF(C174=1,((F174+H174)/2*Reeksen!AJ174*12)+(('Invoer gegevens'!$C$10-(F174+H174)/2)*Reeksen!AK174*12),0)</f>
        <v>0</v>
      </c>
      <c r="AJ174" s="71">
        <f ca="1">-AI174*'Invoer gegevens'!$F$28</f>
        <v>0</v>
      </c>
      <c r="AK174" s="71">
        <f t="shared" ca="1" si="24"/>
        <v>0</v>
      </c>
      <c r="AL174" s="71">
        <f ca="1">IF(C174=1,(12*((F174+H174)/2)*Reeksen!AL174)+(12*('Invoer gegevens'!$C$10-(F174+H174)/2)*Reeksen!AM174),0)</f>
        <v>0</v>
      </c>
      <c r="AM174" s="71">
        <f ca="1">-AL174*'Invoer gegevens'!$F$31</f>
        <v>0</v>
      </c>
      <c r="AN174" s="71">
        <f t="shared" ca="1" si="28"/>
        <v>0</v>
      </c>
      <c r="AO174" s="71"/>
      <c r="AP174" s="71"/>
      <c r="AQ174" s="71">
        <f ca="1">-IF(C174=1,('Invoer gegevens'!$C$10*'Invoer gegevens'!$I$33)*Reeksen!J174,0)*2</f>
        <v>0</v>
      </c>
      <c r="AR174" s="71">
        <f ca="1">-IF(C174=1,(G174*'Invoer gegevens'!$I$34)*Reeksen!J174,0)</f>
        <v>0</v>
      </c>
      <c r="AS174" s="71">
        <f ca="1">-IF(C174=1,'Invoer gegevens'!$C$10*'Invoer gegevens'!$I$35*Reeksen!L174,0)</f>
        <v>0</v>
      </c>
      <c r="AT174" s="71">
        <f ca="1">-IF(C174=1,IF(E174='Invoer gegevens'!$C$17,'Invoer gegevens'!$C$11,Q174)*Reeksen!S174*'Invoer gegevens'!$C$18*Reeksen!P174,0)</f>
        <v>0</v>
      </c>
      <c r="AU174" s="71">
        <f ca="1">-IF(C174=1,'Invoer gegevens'!$C$10*'Invoer gegevens'!$I$36*Reeksen!H174,0)</f>
        <v>0</v>
      </c>
      <c r="AV174" s="71">
        <f t="shared" si="32"/>
        <v>0</v>
      </c>
      <c r="AW174" s="71">
        <f t="shared" ca="1" si="29"/>
        <v>0</v>
      </c>
      <c r="AX174" s="71">
        <f ca="1">IF(E174&lt;'Invoer gegevens'!$C$17+15,0,IF(E174&gt;'Invoer gegevens'!$C$17+215,0,AW174))</f>
        <v>0</v>
      </c>
      <c r="AY174" s="71">
        <f ca="1">AX174/(1+'Invoer gegevens'!$F$13)^($AZ174-('Invoer gegevens'!$C$17-'Invoer gegevens'!$C$16))/(1+'Invoer gegevens'!$C$39)^('Invoer gegevens'!$C$17-'Invoer gegevens'!$C$16)</f>
        <v>0</v>
      </c>
      <c r="AZ174" s="68">
        <f ca="1">IF(E174-'Invoer gegevens'!$C$17-14.5&lt;0,0,E174-'Invoer gegevens'!$C$17-14.5)</f>
        <v>154.5</v>
      </c>
    </row>
    <row r="175" spans="2:52" x14ac:dyDescent="0.25">
      <c r="B175" s="70">
        <f t="shared" si="30"/>
        <v>171</v>
      </c>
      <c r="C175" s="67">
        <f ca="1">IF(E175-'Invoer gegevens'!$C$17&lt;0,0,1)</f>
        <v>1</v>
      </c>
      <c r="D175" s="68">
        <f t="shared" si="31"/>
        <v>170.5</v>
      </c>
      <c r="E175" s="69">
        <f ca="1">IF('Invoer gegevens'!$C$16="","",E174+1)</f>
        <v>2189</v>
      </c>
      <c r="F175" s="82">
        <f ca="1">IF('Invoer gegevens'!$C$17=E175,'Invoer gegevens'!$C$10,IF(C175=1,H174,0))</f>
        <v>0</v>
      </c>
      <c r="G175" s="83">
        <f ca="1">IF(C175&gt;=1,F175*Reeksen!C175,0)</f>
        <v>0</v>
      </c>
      <c r="H175" s="84">
        <f t="shared" ca="1" si="25"/>
        <v>0</v>
      </c>
      <c r="I175" s="85">
        <f ca="1">IF('Invoer gegevens'!$C$17=E175,'Invoer gegevens'!$C$11,IF(C175=1,L174,0))</f>
        <v>0</v>
      </c>
      <c r="J175" s="86">
        <f ca="1">IF(C175&lt;1,0,IF(Reeksen!AK175&lt;=Reeksen!AE175,I175*Reeksen!C175,0))</f>
        <v>0</v>
      </c>
      <c r="K175" s="86">
        <f ca="1">IF(C175&lt;1,0,IF(Reeksen!AK175&gt;Reeksen!AE175,I175*Reeksen!C175,0))</f>
        <v>0</v>
      </c>
      <c r="L175" s="86">
        <f t="shared" ca="1" si="26"/>
        <v>0</v>
      </c>
      <c r="M175" s="85">
        <f ca="1">IF('Invoer gegevens'!$C$17=E175,'Invoer gegevens'!$C$10-'Invoer gegevens'!$C$11,IF(C175=1,P174,0))</f>
        <v>0</v>
      </c>
      <c r="N175" s="86">
        <f ca="1">IF(C175&lt;1,0,IF(Reeksen!AK175&lt;=Reeksen!AE175,M175*Reeksen!C175,0))</f>
        <v>0</v>
      </c>
      <c r="O175" s="86">
        <f ca="1">IF(C175&lt;1,0,IF(Reeksen!AK175&gt;Reeksen!AE175,M175*Reeksen!C175,0))</f>
        <v>0</v>
      </c>
      <c r="P175" s="86">
        <f t="shared" ca="1" si="27"/>
        <v>0</v>
      </c>
      <c r="Q175" s="82">
        <f ca="1">IF('Invoer gegevens'!$C$17=E175,I175,IF(C175=0,0,R174))</f>
        <v>0</v>
      </c>
      <c r="R175" s="84">
        <f t="shared" ca="1" si="22"/>
        <v>0</v>
      </c>
      <c r="S175" s="84">
        <f ca="1">IF('Invoer gegevens'!$C$17=E175,M175,IF(C175=0,0,T174))</f>
        <v>0</v>
      </c>
      <c r="T175" s="84">
        <f t="shared" ca="1" si="23"/>
        <v>0</v>
      </c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8"/>
      <c r="AI175" s="71">
        <f ca="1">IF(C175=1,((F175+H175)/2*Reeksen!AJ175*12)+(('Invoer gegevens'!$C$10-(F175+H175)/2)*Reeksen!AK175*12),0)</f>
        <v>0</v>
      </c>
      <c r="AJ175" s="71">
        <f ca="1">-AI175*'Invoer gegevens'!$F$28</f>
        <v>0</v>
      </c>
      <c r="AK175" s="71">
        <f t="shared" ca="1" si="24"/>
        <v>0</v>
      </c>
      <c r="AL175" s="71">
        <f ca="1">IF(C175=1,(12*((F175+H175)/2)*Reeksen!AL175)+(12*('Invoer gegevens'!$C$10-(F175+H175)/2)*Reeksen!AM175),0)</f>
        <v>0</v>
      </c>
      <c r="AM175" s="71">
        <f ca="1">-AL175*'Invoer gegevens'!$F$31</f>
        <v>0</v>
      </c>
      <c r="AN175" s="71">
        <f t="shared" ca="1" si="28"/>
        <v>0</v>
      </c>
      <c r="AO175" s="71"/>
      <c r="AP175" s="71"/>
      <c r="AQ175" s="71">
        <f ca="1">-IF(C175=1,('Invoer gegevens'!$C$10*'Invoer gegevens'!$I$33)*Reeksen!J175,0)*2</f>
        <v>0</v>
      </c>
      <c r="AR175" s="71">
        <f ca="1">-IF(C175=1,(G175*'Invoer gegevens'!$I$34)*Reeksen!J175,0)</f>
        <v>0</v>
      </c>
      <c r="AS175" s="71">
        <f ca="1">-IF(C175=1,'Invoer gegevens'!$C$10*'Invoer gegevens'!$I$35*Reeksen!L175,0)</f>
        <v>0</v>
      </c>
      <c r="AT175" s="71">
        <f ca="1">-IF(C175=1,IF(E175='Invoer gegevens'!$C$17,'Invoer gegevens'!$C$11,Q175)*Reeksen!S175*'Invoer gegevens'!$C$18*Reeksen!P175,0)</f>
        <v>0</v>
      </c>
      <c r="AU175" s="71">
        <f ca="1">-IF(C175=1,'Invoer gegevens'!$C$10*'Invoer gegevens'!$I$36*Reeksen!H175,0)</f>
        <v>0</v>
      </c>
      <c r="AV175" s="71">
        <f t="shared" si="32"/>
        <v>0</v>
      </c>
      <c r="AW175" s="71">
        <f t="shared" ca="1" si="29"/>
        <v>0</v>
      </c>
      <c r="AX175" s="71">
        <f ca="1">IF(E175&lt;'Invoer gegevens'!$C$17+15,0,IF(E175&gt;'Invoer gegevens'!$C$17+215,0,AW175))</f>
        <v>0</v>
      </c>
      <c r="AY175" s="71">
        <f ca="1">AX175/(1+'Invoer gegevens'!$F$13)^($AZ175-('Invoer gegevens'!$C$17-'Invoer gegevens'!$C$16))/(1+'Invoer gegevens'!$C$39)^('Invoer gegevens'!$C$17-'Invoer gegevens'!$C$16)</f>
        <v>0</v>
      </c>
      <c r="AZ175" s="68">
        <f ca="1">IF(E175-'Invoer gegevens'!$C$17-14.5&lt;0,0,E175-'Invoer gegevens'!$C$17-14.5)</f>
        <v>155.5</v>
      </c>
    </row>
    <row r="176" spans="2:52" x14ac:dyDescent="0.25">
      <c r="B176" s="70">
        <f t="shared" si="30"/>
        <v>172</v>
      </c>
      <c r="C176" s="67">
        <f ca="1">IF(E176-'Invoer gegevens'!$C$17&lt;0,0,1)</f>
        <v>1</v>
      </c>
      <c r="D176" s="68">
        <f t="shared" si="31"/>
        <v>171.5</v>
      </c>
      <c r="E176" s="69">
        <f ca="1">IF('Invoer gegevens'!$C$16="","",E175+1)</f>
        <v>2190</v>
      </c>
      <c r="F176" s="82">
        <f ca="1">IF('Invoer gegevens'!$C$17=E176,'Invoer gegevens'!$C$10,IF(C176=1,H175,0))</f>
        <v>0</v>
      </c>
      <c r="G176" s="83">
        <f ca="1">IF(C176&gt;=1,F176*Reeksen!C176,0)</f>
        <v>0</v>
      </c>
      <c r="H176" s="84">
        <f t="shared" ca="1" si="25"/>
        <v>0</v>
      </c>
      <c r="I176" s="85">
        <f ca="1">IF('Invoer gegevens'!$C$17=E176,'Invoer gegevens'!$C$11,IF(C176=1,L175,0))</f>
        <v>0</v>
      </c>
      <c r="J176" s="86">
        <f ca="1">IF(C176&lt;1,0,IF(Reeksen!AK176&lt;=Reeksen!AE176,I176*Reeksen!C176,0))</f>
        <v>0</v>
      </c>
      <c r="K176" s="86">
        <f ca="1">IF(C176&lt;1,0,IF(Reeksen!AK176&gt;Reeksen!AE176,I176*Reeksen!C176,0))</f>
        <v>0</v>
      </c>
      <c r="L176" s="86">
        <f t="shared" ca="1" si="26"/>
        <v>0</v>
      </c>
      <c r="M176" s="85">
        <f ca="1">IF('Invoer gegevens'!$C$17=E176,'Invoer gegevens'!$C$10-'Invoer gegevens'!$C$11,IF(C176=1,P175,0))</f>
        <v>0</v>
      </c>
      <c r="N176" s="86">
        <f ca="1">IF(C176&lt;1,0,IF(Reeksen!AK176&lt;=Reeksen!AE176,M176*Reeksen!C176,0))</f>
        <v>0</v>
      </c>
      <c r="O176" s="86">
        <f ca="1">IF(C176&lt;1,0,IF(Reeksen!AK176&gt;Reeksen!AE176,M176*Reeksen!C176,0))</f>
        <v>0</v>
      </c>
      <c r="P176" s="86">
        <f t="shared" ca="1" si="27"/>
        <v>0</v>
      </c>
      <c r="Q176" s="82">
        <f ca="1">IF('Invoer gegevens'!$C$17=E176,I176,IF(C176=0,0,R175))</f>
        <v>0</v>
      </c>
      <c r="R176" s="84">
        <f t="shared" ca="1" si="22"/>
        <v>0</v>
      </c>
      <c r="S176" s="84">
        <f ca="1">IF('Invoer gegevens'!$C$17=E176,M176,IF(C176=0,0,T175))</f>
        <v>0</v>
      </c>
      <c r="T176" s="84">
        <f t="shared" ca="1" si="23"/>
        <v>0</v>
      </c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8"/>
      <c r="AI176" s="71">
        <f ca="1">IF(C176=1,((F176+H176)/2*Reeksen!AJ176*12)+(('Invoer gegevens'!$C$10-(F176+H176)/2)*Reeksen!AK176*12),0)</f>
        <v>0</v>
      </c>
      <c r="AJ176" s="71">
        <f ca="1">-AI176*'Invoer gegevens'!$F$28</f>
        <v>0</v>
      </c>
      <c r="AK176" s="71">
        <f t="shared" ca="1" si="24"/>
        <v>0</v>
      </c>
      <c r="AL176" s="71">
        <f ca="1">IF(C176=1,(12*((F176+H176)/2)*Reeksen!AL176)+(12*('Invoer gegevens'!$C$10-(F176+H176)/2)*Reeksen!AM176),0)</f>
        <v>0</v>
      </c>
      <c r="AM176" s="71">
        <f ca="1">-AL176*'Invoer gegevens'!$F$31</f>
        <v>0</v>
      </c>
      <c r="AN176" s="71">
        <f t="shared" ca="1" si="28"/>
        <v>0</v>
      </c>
      <c r="AO176" s="71"/>
      <c r="AP176" s="71"/>
      <c r="AQ176" s="71">
        <f ca="1">-IF(C176=1,('Invoer gegevens'!$C$10*'Invoer gegevens'!$I$33)*Reeksen!J176,0)*2</f>
        <v>0</v>
      </c>
      <c r="AR176" s="71">
        <f ca="1">-IF(C176=1,(G176*'Invoer gegevens'!$I$34)*Reeksen!J176,0)</f>
        <v>0</v>
      </c>
      <c r="AS176" s="71">
        <f ca="1">-IF(C176=1,'Invoer gegevens'!$C$10*'Invoer gegevens'!$I$35*Reeksen!L176,0)</f>
        <v>0</v>
      </c>
      <c r="AT176" s="71">
        <f ca="1">-IF(C176=1,IF(E176='Invoer gegevens'!$C$17,'Invoer gegevens'!$C$11,Q176)*Reeksen!S176*'Invoer gegevens'!$C$18*Reeksen!P176,0)</f>
        <v>0</v>
      </c>
      <c r="AU176" s="71">
        <f ca="1">-IF(C176=1,'Invoer gegevens'!$C$10*'Invoer gegevens'!$I$36*Reeksen!H176,0)</f>
        <v>0</v>
      </c>
      <c r="AV176" s="71">
        <f t="shared" si="32"/>
        <v>0</v>
      </c>
      <c r="AW176" s="71">
        <f t="shared" ca="1" si="29"/>
        <v>0</v>
      </c>
      <c r="AX176" s="71">
        <f ca="1">IF(E176&lt;'Invoer gegevens'!$C$17+15,0,IF(E176&gt;'Invoer gegevens'!$C$17+215,0,AW176))</f>
        <v>0</v>
      </c>
      <c r="AY176" s="71">
        <f ca="1">AX176/(1+'Invoer gegevens'!$F$13)^($AZ176-('Invoer gegevens'!$C$17-'Invoer gegevens'!$C$16))/(1+'Invoer gegevens'!$C$39)^('Invoer gegevens'!$C$17-'Invoer gegevens'!$C$16)</f>
        <v>0</v>
      </c>
      <c r="AZ176" s="68">
        <f ca="1">IF(E176-'Invoer gegevens'!$C$17-14.5&lt;0,0,E176-'Invoer gegevens'!$C$17-14.5)</f>
        <v>156.5</v>
      </c>
    </row>
    <row r="177" spans="2:52" x14ac:dyDescent="0.25">
      <c r="B177" s="70">
        <f t="shared" si="30"/>
        <v>173</v>
      </c>
      <c r="C177" s="67">
        <f ca="1">IF(E177-'Invoer gegevens'!$C$17&lt;0,0,1)</f>
        <v>1</v>
      </c>
      <c r="D177" s="68">
        <f t="shared" si="31"/>
        <v>172.5</v>
      </c>
      <c r="E177" s="69">
        <f ca="1">IF('Invoer gegevens'!$C$16="","",E176+1)</f>
        <v>2191</v>
      </c>
      <c r="F177" s="82">
        <f ca="1">IF('Invoer gegevens'!$C$17=E177,'Invoer gegevens'!$C$10,IF(C177=1,H176,0))</f>
        <v>0</v>
      </c>
      <c r="G177" s="83">
        <f ca="1">IF(C177&gt;=1,F177*Reeksen!C177,0)</f>
        <v>0</v>
      </c>
      <c r="H177" s="84">
        <f t="shared" ca="1" si="25"/>
        <v>0</v>
      </c>
      <c r="I177" s="85">
        <f ca="1">IF('Invoer gegevens'!$C$17=E177,'Invoer gegevens'!$C$11,IF(C177=1,L176,0))</f>
        <v>0</v>
      </c>
      <c r="J177" s="86">
        <f ca="1">IF(C177&lt;1,0,IF(Reeksen!AK177&lt;=Reeksen!AE177,I177*Reeksen!C177,0))</f>
        <v>0</v>
      </c>
      <c r="K177" s="86">
        <f ca="1">IF(C177&lt;1,0,IF(Reeksen!AK177&gt;Reeksen!AE177,I177*Reeksen!C177,0))</f>
        <v>0</v>
      </c>
      <c r="L177" s="86">
        <f t="shared" ca="1" si="26"/>
        <v>0</v>
      </c>
      <c r="M177" s="85">
        <f ca="1">IF('Invoer gegevens'!$C$17=E177,'Invoer gegevens'!$C$10-'Invoer gegevens'!$C$11,IF(C177=1,P176,0))</f>
        <v>0</v>
      </c>
      <c r="N177" s="86">
        <f ca="1">IF(C177&lt;1,0,IF(Reeksen!AK177&lt;=Reeksen!AE177,M177*Reeksen!C177,0))</f>
        <v>0</v>
      </c>
      <c r="O177" s="86">
        <f ca="1">IF(C177&lt;1,0,IF(Reeksen!AK177&gt;Reeksen!AE177,M177*Reeksen!C177,0))</f>
        <v>0</v>
      </c>
      <c r="P177" s="86">
        <f t="shared" ca="1" si="27"/>
        <v>0</v>
      </c>
      <c r="Q177" s="82">
        <f ca="1">IF('Invoer gegevens'!$C$17=E177,I177,IF(C177=0,0,R176))</f>
        <v>0</v>
      </c>
      <c r="R177" s="84">
        <f t="shared" ca="1" si="22"/>
        <v>0</v>
      </c>
      <c r="S177" s="84">
        <f ca="1">IF('Invoer gegevens'!$C$17=E177,M177,IF(C177=0,0,T176))</f>
        <v>0</v>
      </c>
      <c r="T177" s="84">
        <f t="shared" ca="1" si="23"/>
        <v>0</v>
      </c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8"/>
      <c r="AI177" s="71">
        <f ca="1">IF(C177=1,((F177+H177)/2*Reeksen!AJ177*12)+(('Invoer gegevens'!$C$10-(F177+H177)/2)*Reeksen!AK177*12),0)</f>
        <v>0</v>
      </c>
      <c r="AJ177" s="71">
        <f ca="1">-AI177*'Invoer gegevens'!$F$28</f>
        <v>0</v>
      </c>
      <c r="AK177" s="71">
        <f t="shared" ca="1" si="24"/>
        <v>0</v>
      </c>
      <c r="AL177" s="71">
        <f ca="1">IF(C177=1,(12*((F177+H177)/2)*Reeksen!AL177)+(12*('Invoer gegevens'!$C$10-(F177+H177)/2)*Reeksen!AM177),0)</f>
        <v>0</v>
      </c>
      <c r="AM177" s="71">
        <f ca="1">-AL177*'Invoer gegevens'!$F$31</f>
        <v>0</v>
      </c>
      <c r="AN177" s="71">
        <f t="shared" ca="1" si="28"/>
        <v>0</v>
      </c>
      <c r="AO177" s="71"/>
      <c r="AP177" s="71"/>
      <c r="AQ177" s="71">
        <f ca="1">-IF(C177=1,('Invoer gegevens'!$C$10*'Invoer gegevens'!$I$33)*Reeksen!J177,0)*2</f>
        <v>0</v>
      </c>
      <c r="AR177" s="71">
        <f ca="1">-IF(C177=1,(G177*'Invoer gegevens'!$I$34)*Reeksen!J177,0)</f>
        <v>0</v>
      </c>
      <c r="AS177" s="71">
        <f ca="1">-IF(C177=1,'Invoer gegevens'!$C$10*'Invoer gegevens'!$I$35*Reeksen!L177,0)</f>
        <v>0</v>
      </c>
      <c r="AT177" s="71">
        <f ca="1">-IF(C177=1,IF(E177='Invoer gegevens'!$C$17,'Invoer gegevens'!$C$11,Q177)*Reeksen!S177*'Invoer gegevens'!$C$18*Reeksen!P177,0)</f>
        <v>0</v>
      </c>
      <c r="AU177" s="71">
        <f ca="1">-IF(C177=1,'Invoer gegevens'!$C$10*'Invoer gegevens'!$I$36*Reeksen!H177,0)</f>
        <v>0</v>
      </c>
      <c r="AV177" s="71">
        <f t="shared" si="32"/>
        <v>0</v>
      </c>
      <c r="AW177" s="71">
        <f t="shared" ca="1" si="29"/>
        <v>0</v>
      </c>
      <c r="AX177" s="71">
        <f ca="1">IF(E177&lt;'Invoer gegevens'!$C$17+15,0,IF(E177&gt;'Invoer gegevens'!$C$17+215,0,AW177))</f>
        <v>0</v>
      </c>
      <c r="AY177" s="71">
        <f ca="1">AX177/(1+'Invoer gegevens'!$F$13)^($AZ177-('Invoer gegevens'!$C$17-'Invoer gegevens'!$C$16))/(1+'Invoer gegevens'!$C$39)^('Invoer gegevens'!$C$17-'Invoer gegevens'!$C$16)</f>
        <v>0</v>
      </c>
      <c r="AZ177" s="68">
        <f ca="1">IF(E177-'Invoer gegevens'!$C$17-14.5&lt;0,0,E177-'Invoer gegevens'!$C$17-14.5)</f>
        <v>157.5</v>
      </c>
    </row>
    <row r="178" spans="2:52" x14ac:dyDescent="0.25">
      <c r="B178" s="70">
        <f t="shared" si="30"/>
        <v>174</v>
      </c>
      <c r="C178" s="67">
        <f ca="1">IF(E178-'Invoer gegevens'!$C$17&lt;0,0,1)</f>
        <v>1</v>
      </c>
      <c r="D178" s="68">
        <f t="shared" si="31"/>
        <v>173.5</v>
      </c>
      <c r="E178" s="69">
        <f ca="1">IF('Invoer gegevens'!$C$16="","",E177+1)</f>
        <v>2192</v>
      </c>
      <c r="F178" s="82">
        <f ca="1">IF('Invoer gegevens'!$C$17=E178,'Invoer gegevens'!$C$10,IF(C178=1,H177,0))</f>
        <v>0</v>
      </c>
      <c r="G178" s="83">
        <f ca="1">IF(C178&gt;=1,F178*Reeksen!C178,0)</f>
        <v>0</v>
      </c>
      <c r="H178" s="84">
        <f t="shared" ca="1" si="25"/>
        <v>0</v>
      </c>
      <c r="I178" s="85">
        <f ca="1">IF('Invoer gegevens'!$C$17=E178,'Invoer gegevens'!$C$11,IF(C178=1,L177,0))</f>
        <v>0</v>
      </c>
      <c r="J178" s="86">
        <f ca="1">IF(C178&lt;1,0,IF(Reeksen!AK178&lt;=Reeksen!AE178,I178*Reeksen!C178,0))</f>
        <v>0</v>
      </c>
      <c r="K178" s="86">
        <f ca="1">IF(C178&lt;1,0,IF(Reeksen!AK178&gt;Reeksen!AE178,I178*Reeksen!C178,0))</f>
        <v>0</v>
      </c>
      <c r="L178" s="86">
        <f t="shared" ca="1" si="26"/>
        <v>0</v>
      </c>
      <c r="M178" s="85">
        <f ca="1">IF('Invoer gegevens'!$C$17=E178,'Invoer gegevens'!$C$10-'Invoer gegevens'!$C$11,IF(C178=1,P177,0))</f>
        <v>0</v>
      </c>
      <c r="N178" s="86">
        <f ca="1">IF(C178&lt;1,0,IF(Reeksen!AK178&lt;=Reeksen!AE178,M178*Reeksen!C178,0))</f>
        <v>0</v>
      </c>
      <c r="O178" s="86">
        <f ca="1">IF(C178&lt;1,0,IF(Reeksen!AK178&gt;Reeksen!AE178,M178*Reeksen!C178,0))</f>
        <v>0</v>
      </c>
      <c r="P178" s="86">
        <f t="shared" ca="1" si="27"/>
        <v>0</v>
      </c>
      <c r="Q178" s="82">
        <f ca="1">IF('Invoer gegevens'!$C$17=E178,I178,IF(C178=0,0,R177))</f>
        <v>0</v>
      </c>
      <c r="R178" s="84">
        <f t="shared" ca="1" si="22"/>
        <v>0</v>
      </c>
      <c r="S178" s="84">
        <f ca="1">IF('Invoer gegevens'!$C$17=E178,M178,IF(C178=0,0,T177))</f>
        <v>0</v>
      </c>
      <c r="T178" s="84">
        <f t="shared" ca="1" si="23"/>
        <v>0</v>
      </c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8"/>
      <c r="AI178" s="71">
        <f ca="1">IF(C178=1,((F178+H178)/2*Reeksen!AJ178*12)+(('Invoer gegevens'!$C$10-(F178+H178)/2)*Reeksen!AK178*12),0)</f>
        <v>0</v>
      </c>
      <c r="AJ178" s="71">
        <f ca="1">-AI178*'Invoer gegevens'!$F$28</f>
        <v>0</v>
      </c>
      <c r="AK178" s="71">
        <f t="shared" ca="1" si="24"/>
        <v>0</v>
      </c>
      <c r="AL178" s="71">
        <f ca="1">IF(C178=1,(12*((F178+H178)/2)*Reeksen!AL178)+(12*('Invoer gegevens'!$C$10-(F178+H178)/2)*Reeksen!AM178),0)</f>
        <v>0</v>
      </c>
      <c r="AM178" s="71">
        <f ca="1">-AL178*'Invoer gegevens'!$F$31</f>
        <v>0</v>
      </c>
      <c r="AN178" s="71">
        <f t="shared" ca="1" si="28"/>
        <v>0</v>
      </c>
      <c r="AO178" s="71"/>
      <c r="AP178" s="71"/>
      <c r="AQ178" s="71">
        <f ca="1">-IF(C178=1,('Invoer gegevens'!$C$10*'Invoer gegevens'!$I$33)*Reeksen!J178,0)*2</f>
        <v>0</v>
      </c>
      <c r="AR178" s="71">
        <f ca="1">-IF(C178=1,(G178*'Invoer gegevens'!$I$34)*Reeksen!J178,0)</f>
        <v>0</v>
      </c>
      <c r="AS178" s="71">
        <f ca="1">-IF(C178=1,'Invoer gegevens'!$C$10*'Invoer gegevens'!$I$35*Reeksen!L178,0)</f>
        <v>0</v>
      </c>
      <c r="AT178" s="71">
        <f ca="1">-IF(C178=1,IF(E178='Invoer gegevens'!$C$17,'Invoer gegevens'!$C$11,Q178)*Reeksen!S178*'Invoer gegevens'!$C$18*Reeksen!P178,0)</f>
        <v>0</v>
      </c>
      <c r="AU178" s="71">
        <f ca="1">-IF(C178=1,'Invoer gegevens'!$C$10*'Invoer gegevens'!$I$36*Reeksen!H178,0)</f>
        <v>0</v>
      </c>
      <c r="AV178" s="71">
        <f t="shared" si="32"/>
        <v>0</v>
      </c>
      <c r="AW178" s="71">
        <f t="shared" ca="1" si="29"/>
        <v>0</v>
      </c>
      <c r="AX178" s="71">
        <f ca="1">IF(E178&lt;'Invoer gegevens'!$C$17+15,0,IF(E178&gt;'Invoer gegevens'!$C$17+215,0,AW178))</f>
        <v>0</v>
      </c>
      <c r="AY178" s="71">
        <f ca="1">AX178/(1+'Invoer gegevens'!$F$13)^($AZ178-('Invoer gegevens'!$C$17-'Invoer gegevens'!$C$16))/(1+'Invoer gegevens'!$C$39)^('Invoer gegevens'!$C$17-'Invoer gegevens'!$C$16)</f>
        <v>0</v>
      </c>
      <c r="AZ178" s="68">
        <f ca="1">IF(E178-'Invoer gegevens'!$C$17-14.5&lt;0,0,E178-'Invoer gegevens'!$C$17-14.5)</f>
        <v>158.5</v>
      </c>
    </row>
    <row r="179" spans="2:52" x14ac:dyDescent="0.25">
      <c r="B179" s="70">
        <f t="shared" si="30"/>
        <v>175</v>
      </c>
      <c r="C179" s="67">
        <f ca="1">IF(E179-'Invoer gegevens'!$C$17&lt;0,0,1)</f>
        <v>1</v>
      </c>
      <c r="D179" s="68">
        <f t="shared" si="31"/>
        <v>174.5</v>
      </c>
      <c r="E179" s="69">
        <f ca="1">IF('Invoer gegevens'!$C$16="","",E178+1)</f>
        <v>2193</v>
      </c>
      <c r="F179" s="82">
        <f ca="1">IF('Invoer gegevens'!$C$17=E179,'Invoer gegevens'!$C$10,IF(C179=1,H178,0))</f>
        <v>0</v>
      </c>
      <c r="G179" s="83">
        <f ca="1">IF(C179&gt;=1,F179*Reeksen!C179,0)</f>
        <v>0</v>
      </c>
      <c r="H179" s="84">
        <f t="shared" ca="1" si="25"/>
        <v>0</v>
      </c>
      <c r="I179" s="85">
        <f ca="1">IF('Invoer gegevens'!$C$17=E179,'Invoer gegevens'!$C$11,IF(C179=1,L178,0))</f>
        <v>0</v>
      </c>
      <c r="J179" s="86">
        <f ca="1">IF(C179&lt;1,0,IF(Reeksen!AK179&lt;=Reeksen!AE179,I179*Reeksen!C179,0))</f>
        <v>0</v>
      </c>
      <c r="K179" s="86">
        <f ca="1">IF(C179&lt;1,0,IF(Reeksen!AK179&gt;Reeksen!AE179,I179*Reeksen!C179,0))</f>
        <v>0</v>
      </c>
      <c r="L179" s="86">
        <f t="shared" ca="1" si="26"/>
        <v>0</v>
      </c>
      <c r="M179" s="85">
        <f ca="1">IF('Invoer gegevens'!$C$17=E179,'Invoer gegevens'!$C$10-'Invoer gegevens'!$C$11,IF(C179=1,P178,0))</f>
        <v>0</v>
      </c>
      <c r="N179" s="86">
        <f ca="1">IF(C179&lt;1,0,IF(Reeksen!AK179&lt;=Reeksen!AE179,M179*Reeksen!C179,0))</f>
        <v>0</v>
      </c>
      <c r="O179" s="86">
        <f ca="1">IF(C179&lt;1,0,IF(Reeksen!AK179&gt;Reeksen!AE179,M179*Reeksen!C179,0))</f>
        <v>0</v>
      </c>
      <c r="P179" s="86">
        <f t="shared" ca="1" si="27"/>
        <v>0</v>
      </c>
      <c r="Q179" s="82">
        <f ca="1">IF('Invoer gegevens'!$C$17=E179,I179,IF(C179=0,0,R178))</f>
        <v>0</v>
      </c>
      <c r="R179" s="84">
        <f t="shared" ca="1" si="22"/>
        <v>0</v>
      </c>
      <c r="S179" s="84">
        <f ca="1">IF('Invoer gegevens'!$C$17=E179,M179,IF(C179=0,0,T178))</f>
        <v>0</v>
      </c>
      <c r="T179" s="84">
        <f t="shared" ca="1" si="23"/>
        <v>0</v>
      </c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8"/>
      <c r="AI179" s="71">
        <f ca="1">IF(C179=1,((F179+H179)/2*Reeksen!AJ179*12)+(('Invoer gegevens'!$C$10-(F179+H179)/2)*Reeksen!AK179*12),0)</f>
        <v>0</v>
      </c>
      <c r="AJ179" s="71">
        <f ca="1">-AI179*'Invoer gegevens'!$F$28</f>
        <v>0</v>
      </c>
      <c r="AK179" s="71">
        <f t="shared" ca="1" si="24"/>
        <v>0</v>
      </c>
      <c r="AL179" s="71">
        <f ca="1">IF(C179=1,(12*((F179+H179)/2)*Reeksen!AL179)+(12*('Invoer gegevens'!$C$10-(F179+H179)/2)*Reeksen!AM179),0)</f>
        <v>0</v>
      </c>
      <c r="AM179" s="71">
        <f ca="1">-AL179*'Invoer gegevens'!$F$31</f>
        <v>0</v>
      </c>
      <c r="AN179" s="71">
        <f t="shared" ca="1" si="28"/>
        <v>0</v>
      </c>
      <c r="AO179" s="71"/>
      <c r="AP179" s="71"/>
      <c r="AQ179" s="71">
        <f ca="1">-IF(C179=1,('Invoer gegevens'!$C$10*'Invoer gegevens'!$I$33)*Reeksen!J179,0)*2</f>
        <v>0</v>
      </c>
      <c r="AR179" s="71">
        <f ca="1">-IF(C179=1,(G179*'Invoer gegevens'!$I$34)*Reeksen!J179,0)</f>
        <v>0</v>
      </c>
      <c r="AS179" s="71">
        <f ca="1">-IF(C179=1,'Invoer gegevens'!$C$10*'Invoer gegevens'!$I$35*Reeksen!L179,0)</f>
        <v>0</v>
      </c>
      <c r="AT179" s="71">
        <f ca="1">-IF(C179=1,IF(E179='Invoer gegevens'!$C$17,'Invoer gegevens'!$C$11,Q179)*Reeksen!S179*'Invoer gegevens'!$C$18*Reeksen!P179,0)</f>
        <v>0</v>
      </c>
      <c r="AU179" s="71">
        <f ca="1">-IF(C179=1,'Invoer gegevens'!$C$10*'Invoer gegevens'!$I$36*Reeksen!H179,0)</f>
        <v>0</v>
      </c>
      <c r="AV179" s="71">
        <f t="shared" si="32"/>
        <v>0</v>
      </c>
      <c r="AW179" s="71">
        <f t="shared" ca="1" si="29"/>
        <v>0</v>
      </c>
      <c r="AX179" s="71">
        <f ca="1">IF(E179&lt;'Invoer gegevens'!$C$17+15,0,IF(E179&gt;'Invoer gegevens'!$C$17+215,0,AW179))</f>
        <v>0</v>
      </c>
      <c r="AY179" s="71">
        <f ca="1">AX179/(1+'Invoer gegevens'!$F$13)^($AZ179-('Invoer gegevens'!$C$17-'Invoer gegevens'!$C$16))/(1+'Invoer gegevens'!$C$39)^('Invoer gegevens'!$C$17-'Invoer gegevens'!$C$16)</f>
        <v>0</v>
      </c>
      <c r="AZ179" s="68">
        <f ca="1">IF(E179-'Invoer gegevens'!$C$17-14.5&lt;0,0,E179-'Invoer gegevens'!$C$17-14.5)</f>
        <v>159.5</v>
      </c>
    </row>
    <row r="180" spans="2:52" x14ac:dyDescent="0.25">
      <c r="B180" s="70">
        <f t="shared" si="30"/>
        <v>176</v>
      </c>
      <c r="C180" s="67">
        <f ca="1">IF(E180-'Invoer gegevens'!$C$17&lt;0,0,1)</f>
        <v>1</v>
      </c>
      <c r="D180" s="68">
        <f t="shared" si="31"/>
        <v>175.5</v>
      </c>
      <c r="E180" s="69">
        <f ca="1">IF('Invoer gegevens'!$C$16="","",E179+1)</f>
        <v>2194</v>
      </c>
      <c r="F180" s="82">
        <f ca="1">IF('Invoer gegevens'!$C$17=E180,'Invoer gegevens'!$C$10,IF(C180=1,H179,0))</f>
        <v>0</v>
      </c>
      <c r="G180" s="83">
        <f ca="1">IF(C180&gt;=1,F180*Reeksen!C180,0)</f>
        <v>0</v>
      </c>
      <c r="H180" s="84">
        <f t="shared" ca="1" si="25"/>
        <v>0</v>
      </c>
      <c r="I180" s="85">
        <f ca="1">IF('Invoer gegevens'!$C$17=E180,'Invoer gegevens'!$C$11,IF(C180=1,L179,0))</f>
        <v>0</v>
      </c>
      <c r="J180" s="86">
        <f ca="1">IF(C180&lt;1,0,IF(Reeksen!AK180&lt;=Reeksen!AE180,I180*Reeksen!C180,0))</f>
        <v>0</v>
      </c>
      <c r="K180" s="86">
        <f ca="1">IF(C180&lt;1,0,IF(Reeksen!AK180&gt;Reeksen!AE180,I180*Reeksen!C180,0))</f>
        <v>0</v>
      </c>
      <c r="L180" s="86">
        <f t="shared" ca="1" si="26"/>
        <v>0</v>
      </c>
      <c r="M180" s="85">
        <f ca="1">IF('Invoer gegevens'!$C$17=E180,'Invoer gegevens'!$C$10-'Invoer gegevens'!$C$11,IF(C180=1,P179,0))</f>
        <v>0</v>
      </c>
      <c r="N180" s="86">
        <f ca="1">IF(C180&lt;1,0,IF(Reeksen!AK180&lt;=Reeksen!AE180,M180*Reeksen!C180,0))</f>
        <v>0</v>
      </c>
      <c r="O180" s="86">
        <f ca="1">IF(C180&lt;1,0,IF(Reeksen!AK180&gt;Reeksen!AE180,M180*Reeksen!C180,0))</f>
        <v>0</v>
      </c>
      <c r="P180" s="86">
        <f t="shared" ca="1" si="27"/>
        <v>0</v>
      </c>
      <c r="Q180" s="82">
        <f ca="1">IF('Invoer gegevens'!$C$17=E180,I180,IF(C180=0,0,R179))</f>
        <v>0</v>
      </c>
      <c r="R180" s="84">
        <f t="shared" ca="1" si="22"/>
        <v>0</v>
      </c>
      <c r="S180" s="84">
        <f ca="1">IF('Invoer gegevens'!$C$17=E180,M180,IF(C180=0,0,T179))</f>
        <v>0</v>
      </c>
      <c r="T180" s="84">
        <f t="shared" ca="1" si="23"/>
        <v>0</v>
      </c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8"/>
      <c r="AI180" s="71">
        <f ca="1">IF(C180=1,((F180+H180)/2*Reeksen!AJ180*12)+(('Invoer gegevens'!$C$10-(F180+H180)/2)*Reeksen!AK180*12),0)</f>
        <v>0</v>
      </c>
      <c r="AJ180" s="71">
        <f ca="1">-AI180*'Invoer gegevens'!$F$28</f>
        <v>0</v>
      </c>
      <c r="AK180" s="71">
        <f t="shared" ca="1" si="24"/>
        <v>0</v>
      </c>
      <c r="AL180" s="71">
        <f ca="1">IF(C180=1,(12*((F180+H180)/2)*Reeksen!AL180)+(12*('Invoer gegevens'!$C$10-(F180+H180)/2)*Reeksen!AM180),0)</f>
        <v>0</v>
      </c>
      <c r="AM180" s="71">
        <f ca="1">-AL180*'Invoer gegevens'!$F$31</f>
        <v>0</v>
      </c>
      <c r="AN180" s="71">
        <f t="shared" ca="1" si="28"/>
        <v>0</v>
      </c>
      <c r="AO180" s="71"/>
      <c r="AP180" s="71"/>
      <c r="AQ180" s="71">
        <f ca="1">-IF(C180=1,('Invoer gegevens'!$C$10*'Invoer gegevens'!$I$33)*Reeksen!J180,0)*2</f>
        <v>0</v>
      </c>
      <c r="AR180" s="71">
        <f ca="1">-IF(C180=1,(G180*'Invoer gegevens'!$I$34)*Reeksen!J180,0)</f>
        <v>0</v>
      </c>
      <c r="AS180" s="71">
        <f ca="1">-IF(C180=1,'Invoer gegevens'!$C$10*'Invoer gegevens'!$I$35*Reeksen!L180,0)</f>
        <v>0</v>
      </c>
      <c r="AT180" s="71">
        <f ca="1">-IF(C180=1,IF(E180='Invoer gegevens'!$C$17,'Invoer gegevens'!$C$11,Q180)*Reeksen!S180*'Invoer gegevens'!$C$18*Reeksen!P180,0)</f>
        <v>0</v>
      </c>
      <c r="AU180" s="71">
        <f ca="1">-IF(C180=1,'Invoer gegevens'!$C$10*'Invoer gegevens'!$I$36*Reeksen!H180,0)</f>
        <v>0</v>
      </c>
      <c r="AV180" s="71">
        <f t="shared" si="32"/>
        <v>0</v>
      </c>
      <c r="AW180" s="71">
        <f t="shared" ca="1" si="29"/>
        <v>0</v>
      </c>
      <c r="AX180" s="71">
        <f ca="1">IF(E180&lt;'Invoer gegevens'!$C$17+15,0,IF(E180&gt;'Invoer gegevens'!$C$17+215,0,AW180))</f>
        <v>0</v>
      </c>
      <c r="AY180" s="71">
        <f ca="1">AX180/(1+'Invoer gegevens'!$F$13)^($AZ180-('Invoer gegevens'!$C$17-'Invoer gegevens'!$C$16))/(1+'Invoer gegevens'!$C$39)^('Invoer gegevens'!$C$17-'Invoer gegevens'!$C$16)</f>
        <v>0</v>
      </c>
      <c r="AZ180" s="68">
        <f ca="1">IF(E180-'Invoer gegevens'!$C$17-14.5&lt;0,0,E180-'Invoer gegevens'!$C$17-14.5)</f>
        <v>160.5</v>
      </c>
    </row>
    <row r="181" spans="2:52" x14ac:dyDescent="0.25">
      <c r="B181" s="70">
        <f t="shared" si="30"/>
        <v>177</v>
      </c>
      <c r="C181" s="67">
        <f ca="1">IF(E181-'Invoer gegevens'!$C$17&lt;0,0,1)</f>
        <v>1</v>
      </c>
      <c r="D181" s="68">
        <f t="shared" si="31"/>
        <v>176.5</v>
      </c>
      <c r="E181" s="69">
        <f ca="1">IF('Invoer gegevens'!$C$16="","",E180+1)</f>
        <v>2195</v>
      </c>
      <c r="F181" s="82">
        <f ca="1">IF('Invoer gegevens'!$C$17=E181,'Invoer gegevens'!$C$10,IF(C181=1,H180,0))</f>
        <v>0</v>
      </c>
      <c r="G181" s="83">
        <f ca="1">IF(C181&gt;=1,F181*Reeksen!C181,0)</f>
        <v>0</v>
      </c>
      <c r="H181" s="84">
        <f t="shared" ca="1" si="25"/>
        <v>0</v>
      </c>
      <c r="I181" s="85">
        <f ca="1">IF('Invoer gegevens'!$C$17=E181,'Invoer gegevens'!$C$11,IF(C181=1,L180,0))</f>
        <v>0</v>
      </c>
      <c r="J181" s="86">
        <f ca="1">IF(C181&lt;1,0,IF(Reeksen!AK181&lt;=Reeksen!AE181,I181*Reeksen!C181,0))</f>
        <v>0</v>
      </c>
      <c r="K181" s="86">
        <f ca="1">IF(C181&lt;1,0,IF(Reeksen!AK181&gt;Reeksen!AE181,I181*Reeksen!C181,0))</f>
        <v>0</v>
      </c>
      <c r="L181" s="86">
        <f t="shared" ca="1" si="26"/>
        <v>0</v>
      </c>
      <c r="M181" s="85">
        <f ca="1">IF('Invoer gegevens'!$C$17=E181,'Invoer gegevens'!$C$10-'Invoer gegevens'!$C$11,IF(C181=1,P180,0))</f>
        <v>0</v>
      </c>
      <c r="N181" s="86">
        <f ca="1">IF(C181&lt;1,0,IF(Reeksen!AK181&lt;=Reeksen!AE181,M181*Reeksen!C181,0))</f>
        <v>0</v>
      </c>
      <c r="O181" s="86">
        <f ca="1">IF(C181&lt;1,0,IF(Reeksen!AK181&gt;Reeksen!AE181,M181*Reeksen!C181,0))</f>
        <v>0</v>
      </c>
      <c r="P181" s="86">
        <f t="shared" ca="1" si="27"/>
        <v>0</v>
      </c>
      <c r="Q181" s="82">
        <f ca="1">IF('Invoer gegevens'!$C$17=E181,I181,IF(C181=0,0,R180))</f>
        <v>0</v>
      </c>
      <c r="R181" s="84">
        <f t="shared" ca="1" si="22"/>
        <v>0</v>
      </c>
      <c r="S181" s="84">
        <f ca="1">IF('Invoer gegevens'!$C$17=E181,M181,IF(C181=0,0,T180))</f>
        <v>0</v>
      </c>
      <c r="T181" s="84">
        <f t="shared" ca="1" si="23"/>
        <v>0</v>
      </c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8"/>
      <c r="AI181" s="71">
        <f ca="1">IF(C181=1,((F181+H181)/2*Reeksen!AJ181*12)+(('Invoer gegevens'!$C$10-(F181+H181)/2)*Reeksen!AK181*12),0)</f>
        <v>0</v>
      </c>
      <c r="AJ181" s="71">
        <f ca="1">-AI181*'Invoer gegevens'!$F$28</f>
        <v>0</v>
      </c>
      <c r="AK181" s="71">
        <f t="shared" ca="1" si="24"/>
        <v>0</v>
      </c>
      <c r="AL181" s="71">
        <f ca="1">IF(C181=1,(12*((F181+H181)/2)*Reeksen!AL181)+(12*('Invoer gegevens'!$C$10-(F181+H181)/2)*Reeksen!AM181),0)</f>
        <v>0</v>
      </c>
      <c r="AM181" s="71">
        <f ca="1">-AL181*'Invoer gegevens'!$F$31</f>
        <v>0</v>
      </c>
      <c r="AN181" s="71">
        <f t="shared" ca="1" si="28"/>
        <v>0</v>
      </c>
      <c r="AO181" s="71"/>
      <c r="AP181" s="71"/>
      <c r="AQ181" s="71">
        <f ca="1">-IF(C181=1,('Invoer gegevens'!$C$10*'Invoer gegevens'!$I$33)*Reeksen!J181,0)*2</f>
        <v>0</v>
      </c>
      <c r="AR181" s="71">
        <f ca="1">-IF(C181=1,(G181*'Invoer gegevens'!$I$34)*Reeksen!J181,0)</f>
        <v>0</v>
      </c>
      <c r="AS181" s="71">
        <f ca="1">-IF(C181=1,'Invoer gegevens'!$C$10*'Invoer gegevens'!$I$35*Reeksen!L181,0)</f>
        <v>0</v>
      </c>
      <c r="AT181" s="71">
        <f ca="1">-IF(C181=1,IF(E181='Invoer gegevens'!$C$17,'Invoer gegevens'!$C$11,Q181)*Reeksen!S181*'Invoer gegevens'!$C$18*Reeksen!P181,0)</f>
        <v>0</v>
      </c>
      <c r="AU181" s="71">
        <f ca="1">-IF(C181=1,'Invoer gegevens'!$C$10*'Invoer gegevens'!$I$36*Reeksen!H181,0)</f>
        <v>0</v>
      </c>
      <c r="AV181" s="71">
        <f t="shared" si="32"/>
        <v>0</v>
      </c>
      <c r="AW181" s="71">
        <f t="shared" ca="1" si="29"/>
        <v>0</v>
      </c>
      <c r="AX181" s="71">
        <f ca="1">IF(E181&lt;'Invoer gegevens'!$C$17+15,0,IF(E181&gt;'Invoer gegevens'!$C$17+215,0,AW181))</f>
        <v>0</v>
      </c>
      <c r="AY181" s="71">
        <f ca="1">AX181/(1+'Invoer gegevens'!$F$13)^($AZ181-('Invoer gegevens'!$C$17-'Invoer gegevens'!$C$16))/(1+'Invoer gegevens'!$C$39)^('Invoer gegevens'!$C$17-'Invoer gegevens'!$C$16)</f>
        <v>0</v>
      </c>
      <c r="AZ181" s="68">
        <f ca="1">IF(E181-'Invoer gegevens'!$C$17-14.5&lt;0,0,E181-'Invoer gegevens'!$C$17-14.5)</f>
        <v>161.5</v>
      </c>
    </row>
    <row r="182" spans="2:52" x14ac:dyDescent="0.25">
      <c r="B182" s="70">
        <f t="shared" si="30"/>
        <v>178</v>
      </c>
      <c r="C182" s="67">
        <f ca="1">IF(E182-'Invoer gegevens'!$C$17&lt;0,0,1)</f>
        <v>1</v>
      </c>
      <c r="D182" s="68">
        <f t="shared" si="31"/>
        <v>177.5</v>
      </c>
      <c r="E182" s="69">
        <f ca="1">IF('Invoer gegevens'!$C$16="","",E181+1)</f>
        <v>2196</v>
      </c>
      <c r="F182" s="82">
        <f ca="1">IF('Invoer gegevens'!$C$17=E182,'Invoer gegevens'!$C$10,IF(C182=1,H181,0))</f>
        <v>0</v>
      </c>
      <c r="G182" s="83">
        <f ca="1">IF(C182&gt;=1,F182*Reeksen!C182,0)</f>
        <v>0</v>
      </c>
      <c r="H182" s="84">
        <f t="shared" ca="1" si="25"/>
        <v>0</v>
      </c>
      <c r="I182" s="85">
        <f ca="1">IF('Invoer gegevens'!$C$17=E182,'Invoer gegevens'!$C$11,IF(C182=1,L181,0))</f>
        <v>0</v>
      </c>
      <c r="J182" s="86">
        <f ca="1">IF(C182&lt;1,0,IF(Reeksen!AK182&lt;=Reeksen!AE182,I182*Reeksen!C182,0))</f>
        <v>0</v>
      </c>
      <c r="K182" s="86">
        <f ca="1">IF(C182&lt;1,0,IF(Reeksen!AK182&gt;Reeksen!AE182,I182*Reeksen!C182,0))</f>
        <v>0</v>
      </c>
      <c r="L182" s="86">
        <f t="shared" ca="1" si="26"/>
        <v>0</v>
      </c>
      <c r="M182" s="85">
        <f ca="1">IF('Invoer gegevens'!$C$17=E182,'Invoer gegevens'!$C$10-'Invoer gegevens'!$C$11,IF(C182=1,P181,0))</f>
        <v>0</v>
      </c>
      <c r="N182" s="86">
        <f ca="1">IF(C182&lt;1,0,IF(Reeksen!AK182&lt;=Reeksen!AE182,M182*Reeksen!C182,0))</f>
        <v>0</v>
      </c>
      <c r="O182" s="86">
        <f ca="1">IF(C182&lt;1,0,IF(Reeksen!AK182&gt;Reeksen!AE182,M182*Reeksen!C182,0))</f>
        <v>0</v>
      </c>
      <c r="P182" s="86">
        <f t="shared" ca="1" si="27"/>
        <v>0</v>
      </c>
      <c r="Q182" s="82">
        <f ca="1">IF('Invoer gegevens'!$C$17=E182,I182,IF(C182=0,0,R181))</f>
        <v>0</v>
      </c>
      <c r="R182" s="84">
        <f t="shared" ca="1" si="22"/>
        <v>0</v>
      </c>
      <c r="S182" s="84">
        <f ca="1">IF('Invoer gegevens'!$C$17=E182,M182,IF(C182=0,0,T181))</f>
        <v>0</v>
      </c>
      <c r="T182" s="84">
        <f t="shared" ca="1" si="23"/>
        <v>0</v>
      </c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8"/>
      <c r="AI182" s="71">
        <f ca="1">IF(C182=1,((F182+H182)/2*Reeksen!AJ182*12)+(('Invoer gegevens'!$C$10-(F182+H182)/2)*Reeksen!AK182*12),0)</f>
        <v>0</v>
      </c>
      <c r="AJ182" s="71">
        <f ca="1">-AI182*'Invoer gegevens'!$F$28</f>
        <v>0</v>
      </c>
      <c r="AK182" s="71">
        <f t="shared" ca="1" si="24"/>
        <v>0</v>
      </c>
      <c r="AL182" s="71">
        <f ca="1">IF(C182=1,(12*((F182+H182)/2)*Reeksen!AL182)+(12*('Invoer gegevens'!$C$10-(F182+H182)/2)*Reeksen!AM182),0)</f>
        <v>0</v>
      </c>
      <c r="AM182" s="71">
        <f ca="1">-AL182*'Invoer gegevens'!$F$31</f>
        <v>0</v>
      </c>
      <c r="AN182" s="71">
        <f t="shared" ca="1" si="28"/>
        <v>0</v>
      </c>
      <c r="AO182" s="71"/>
      <c r="AP182" s="71"/>
      <c r="AQ182" s="71">
        <f ca="1">-IF(C182=1,('Invoer gegevens'!$C$10*'Invoer gegevens'!$I$33)*Reeksen!J182,0)*2</f>
        <v>0</v>
      </c>
      <c r="AR182" s="71">
        <f ca="1">-IF(C182=1,(G182*'Invoer gegevens'!$I$34)*Reeksen!J182,0)</f>
        <v>0</v>
      </c>
      <c r="AS182" s="71">
        <f ca="1">-IF(C182=1,'Invoer gegevens'!$C$10*'Invoer gegevens'!$I$35*Reeksen!L182,0)</f>
        <v>0</v>
      </c>
      <c r="AT182" s="71">
        <f ca="1">-IF(C182=1,IF(E182='Invoer gegevens'!$C$17,'Invoer gegevens'!$C$11,Q182)*Reeksen!S182*'Invoer gegevens'!$C$18*Reeksen!P182,0)</f>
        <v>0</v>
      </c>
      <c r="AU182" s="71">
        <f ca="1">-IF(C182=1,'Invoer gegevens'!$C$10*'Invoer gegevens'!$I$36*Reeksen!H182,0)</f>
        <v>0</v>
      </c>
      <c r="AV182" s="71">
        <f t="shared" si="32"/>
        <v>0</v>
      </c>
      <c r="AW182" s="71">
        <f t="shared" ca="1" si="29"/>
        <v>0</v>
      </c>
      <c r="AX182" s="71">
        <f ca="1">IF(E182&lt;'Invoer gegevens'!$C$17+15,0,IF(E182&gt;'Invoer gegevens'!$C$17+215,0,AW182))</f>
        <v>0</v>
      </c>
      <c r="AY182" s="71">
        <f ca="1">AX182/(1+'Invoer gegevens'!$F$13)^($AZ182-('Invoer gegevens'!$C$17-'Invoer gegevens'!$C$16))/(1+'Invoer gegevens'!$C$39)^('Invoer gegevens'!$C$17-'Invoer gegevens'!$C$16)</f>
        <v>0</v>
      </c>
      <c r="AZ182" s="68">
        <f ca="1">IF(E182-'Invoer gegevens'!$C$17-14.5&lt;0,0,E182-'Invoer gegevens'!$C$17-14.5)</f>
        <v>162.5</v>
      </c>
    </row>
    <row r="183" spans="2:52" x14ac:dyDescent="0.25">
      <c r="B183" s="70">
        <f t="shared" si="30"/>
        <v>179</v>
      </c>
      <c r="C183" s="67">
        <f ca="1">IF(E183-'Invoer gegevens'!$C$17&lt;0,0,1)</f>
        <v>1</v>
      </c>
      <c r="D183" s="68">
        <f t="shared" si="31"/>
        <v>178.5</v>
      </c>
      <c r="E183" s="69">
        <f ca="1">IF('Invoer gegevens'!$C$16="","",E182+1)</f>
        <v>2197</v>
      </c>
      <c r="F183" s="82">
        <f ca="1">IF('Invoer gegevens'!$C$17=E183,'Invoer gegevens'!$C$10,IF(C183=1,H182,0))</f>
        <v>0</v>
      </c>
      <c r="G183" s="83">
        <f ca="1">IF(C183&gt;=1,F183*Reeksen!C183,0)</f>
        <v>0</v>
      </c>
      <c r="H183" s="84">
        <f t="shared" ca="1" si="25"/>
        <v>0</v>
      </c>
      <c r="I183" s="85">
        <f ca="1">IF('Invoer gegevens'!$C$17=E183,'Invoer gegevens'!$C$11,IF(C183=1,L182,0))</f>
        <v>0</v>
      </c>
      <c r="J183" s="86">
        <f ca="1">IF(C183&lt;1,0,IF(Reeksen!AK183&lt;=Reeksen!AE183,I183*Reeksen!C183,0))</f>
        <v>0</v>
      </c>
      <c r="K183" s="86">
        <f ca="1">IF(C183&lt;1,0,IF(Reeksen!AK183&gt;Reeksen!AE183,I183*Reeksen!C183,0))</f>
        <v>0</v>
      </c>
      <c r="L183" s="86">
        <f t="shared" ca="1" si="26"/>
        <v>0</v>
      </c>
      <c r="M183" s="85">
        <f ca="1">IF('Invoer gegevens'!$C$17=E183,'Invoer gegevens'!$C$10-'Invoer gegevens'!$C$11,IF(C183=1,P182,0))</f>
        <v>0</v>
      </c>
      <c r="N183" s="86">
        <f ca="1">IF(C183&lt;1,0,IF(Reeksen!AK183&lt;=Reeksen!AE183,M183*Reeksen!C183,0))</f>
        <v>0</v>
      </c>
      <c r="O183" s="86">
        <f ca="1">IF(C183&lt;1,0,IF(Reeksen!AK183&gt;Reeksen!AE183,M183*Reeksen!C183,0))</f>
        <v>0</v>
      </c>
      <c r="P183" s="86">
        <f t="shared" ca="1" si="27"/>
        <v>0</v>
      </c>
      <c r="Q183" s="82">
        <f ca="1">IF('Invoer gegevens'!$C$17=E183,I183,IF(C183=0,0,R182))</f>
        <v>0</v>
      </c>
      <c r="R183" s="84">
        <f t="shared" ca="1" si="22"/>
        <v>0</v>
      </c>
      <c r="S183" s="84">
        <f ca="1">IF('Invoer gegevens'!$C$17=E183,M183,IF(C183=0,0,T182))</f>
        <v>0</v>
      </c>
      <c r="T183" s="84">
        <f t="shared" ca="1" si="23"/>
        <v>0</v>
      </c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8"/>
      <c r="AI183" s="71">
        <f ca="1">IF(C183=1,((F183+H183)/2*Reeksen!AJ183*12)+(('Invoer gegevens'!$C$10-(F183+H183)/2)*Reeksen!AK183*12),0)</f>
        <v>0</v>
      </c>
      <c r="AJ183" s="71">
        <f ca="1">-AI183*'Invoer gegevens'!$F$28</f>
        <v>0</v>
      </c>
      <c r="AK183" s="71">
        <f t="shared" ca="1" si="24"/>
        <v>0</v>
      </c>
      <c r="AL183" s="71">
        <f ca="1">IF(C183=1,(12*((F183+H183)/2)*Reeksen!AL183)+(12*('Invoer gegevens'!$C$10-(F183+H183)/2)*Reeksen!AM183),0)</f>
        <v>0</v>
      </c>
      <c r="AM183" s="71">
        <f ca="1">-AL183*'Invoer gegevens'!$F$31</f>
        <v>0</v>
      </c>
      <c r="AN183" s="71">
        <f t="shared" ca="1" si="28"/>
        <v>0</v>
      </c>
      <c r="AO183" s="71"/>
      <c r="AP183" s="71"/>
      <c r="AQ183" s="71">
        <f ca="1">-IF(C183=1,('Invoer gegevens'!$C$10*'Invoer gegevens'!$I$33)*Reeksen!J183,0)*2</f>
        <v>0</v>
      </c>
      <c r="AR183" s="71">
        <f ca="1">-IF(C183=1,(G183*'Invoer gegevens'!$I$34)*Reeksen!J183,0)</f>
        <v>0</v>
      </c>
      <c r="AS183" s="71">
        <f ca="1">-IF(C183=1,'Invoer gegevens'!$C$10*'Invoer gegevens'!$I$35*Reeksen!L183,0)</f>
        <v>0</v>
      </c>
      <c r="AT183" s="71">
        <f ca="1">-IF(C183=1,IF(E183='Invoer gegevens'!$C$17,'Invoer gegevens'!$C$11,Q183)*Reeksen!S183*'Invoer gegevens'!$C$18*Reeksen!P183,0)</f>
        <v>0</v>
      </c>
      <c r="AU183" s="71">
        <f ca="1">-IF(C183=1,'Invoer gegevens'!$C$10*'Invoer gegevens'!$I$36*Reeksen!H183,0)</f>
        <v>0</v>
      </c>
      <c r="AV183" s="71">
        <f t="shared" si="32"/>
        <v>0</v>
      </c>
      <c r="AW183" s="71">
        <f t="shared" ca="1" si="29"/>
        <v>0</v>
      </c>
      <c r="AX183" s="71">
        <f ca="1">IF(E183&lt;'Invoer gegevens'!$C$17+15,0,IF(E183&gt;'Invoer gegevens'!$C$17+215,0,AW183))</f>
        <v>0</v>
      </c>
      <c r="AY183" s="71">
        <f ca="1">AX183/(1+'Invoer gegevens'!$F$13)^($AZ183-('Invoer gegevens'!$C$17-'Invoer gegevens'!$C$16))/(1+'Invoer gegevens'!$C$39)^('Invoer gegevens'!$C$17-'Invoer gegevens'!$C$16)</f>
        <v>0</v>
      </c>
      <c r="AZ183" s="68">
        <f ca="1">IF(E183-'Invoer gegevens'!$C$17-14.5&lt;0,0,E183-'Invoer gegevens'!$C$17-14.5)</f>
        <v>163.5</v>
      </c>
    </row>
    <row r="184" spans="2:52" x14ac:dyDescent="0.25">
      <c r="B184" s="70">
        <f t="shared" si="30"/>
        <v>180</v>
      </c>
      <c r="C184" s="67">
        <f ca="1">IF(E184-'Invoer gegevens'!$C$17&lt;0,0,1)</f>
        <v>1</v>
      </c>
      <c r="D184" s="68">
        <f t="shared" si="31"/>
        <v>179.5</v>
      </c>
      <c r="E184" s="69">
        <f ca="1">IF('Invoer gegevens'!$C$16="","",E183+1)</f>
        <v>2198</v>
      </c>
      <c r="F184" s="82">
        <f ca="1">IF('Invoer gegevens'!$C$17=E184,'Invoer gegevens'!$C$10,IF(C184=1,H183,0))</f>
        <v>0</v>
      </c>
      <c r="G184" s="83">
        <f ca="1">IF(C184&gt;=1,F184*Reeksen!C184,0)</f>
        <v>0</v>
      </c>
      <c r="H184" s="84">
        <f t="shared" ca="1" si="25"/>
        <v>0</v>
      </c>
      <c r="I184" s="85">
        <f ca="1">IF('Invoer gegevens'!$C$17=E184,'Invoer gegevens'!$C$11,IF(C184=1,L183,0))</f>
        <v>0</v>
      </c>
      <c r="J184" s="86">
        <f ca="1">IF(C184&lt;1,0,IF(Reeksen!AK184&lt;=Reeksen!AE184,I184*Reeksen!C184,0))</f>
        <v>0</v>
      </c>
      <c r="K184" s="86">
        <f ca="1">IF(C184&lt;1,0,IF(Reeksen!AK184&gt;Reeksen!AE184,I184*Reeksen!C184,0))</f>
        <v>0</v>
      </c>
      <c r="L184" s="86">
        <f t="shared" ca="1" si="26"/>
        <v>0</v>
      </c>
      <c r="M184" s="85">
        <f ca="1">IF('Invoer gegevens'!$C$17=E184,'Invoer gegevens'!$C$10-'Invoer gegevens'!$C$11,IF(C184=1,P183,0))</f>
        <v>0</v>
      </c>
      <c r="N184" s="86">
        <f ca="1">IF(C184&lt;1,0,IF(Reeksen!AK184&lt;=Reeksen!AE184,M184*Reeksen!C184,0))</f>
        <v>0</v>
      </c>
      <c r="O184" s="86">
        <f ca="1">IF(C184&lt;1,0,IF(Reeksen!AK184&gt;Reeksen!AE184,M184*Reeksen!C184,0))</f>
        <v>0</v>
      </c>
      <c r="P184" s="86">
        <f t="shared" ca="1" si="27"/>
        <v>0</v>
      </c>
      <c r="Q184" s="82">
        <f ca="1">IF('Invoer gegevens'!$C$17=E184,I184,IF(C184=0,0,R183))</f>
        <v>0</v>
      </c>
      <c r="R184" s="84">
        <f t="shared" ca="1" si="22"/>
        <v>0</v>
      </c>
      <c r="S184" s="84">
        <f ca="1">IF('Invoer gegevens'!$C$17=E184,M184,IF(C184=0,0,T183))</f>
        <v>0</v>
      </c>
      <c r="T184" s="84">
        <f t="shared" ca="1" si="23"/>
        <v>0</v>
      </c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8"/>
      <c r="AI184" s="71">
        <f ca="1">IF(C184=1,((F184+H184)/2*Reeksen!AJ184*12)+(('Invoer gegevens'!$C$10-(F184+H184)/2)*Reeksen!AK184*12),0)</f>
        <v>0</v>
      </c>
      <c r="AJ184" s="71">
        <f ca="1">-AI184*'Invoer gegevens'!$F$28</f>
        <v>0</v>
      </c>
      <c r="AK184" s="71">
        <f t="shared" ca="1" si="24"/>
        <v>0</v>
      </c>
      <c r="AL184" s="71">
        <f ca="1">IF(C184=1,(12*((F184+H184)/2)*Reeksen!AL184)+(12*('Invoer gegevens'!$C$10-(F184+H184)/2)*Reeksen!AM184),0)</f>
        <v>0</v>
      </c>
      <c r="AM184" s="71">
        <f ca="1">-AL184*'Invoer gegevens'!$F$31</f>
        <v>0</v>
      </c>
      <c r="AN184" s="71">
        <f t="shared" ca="1" si="28"/>
        <v>0</v>
      </c>
      <c r="AO184" s="71"/>
      <c r="AP184" s="71"/>
      <c r="AQ184" s="71">
        <f ca="1">-IF(C184=1,('Invoer gegevens'!$C$10*'Invoer gegevens'!$I$33)*Reeksen!J184,0)*2</f>
        <v>0</v>
      </c>
      <c r="AR184" s="71">
        <f ca="1">-IF(C184=1,(G184*'Invoer gegevens'!$I$34)*Reeksen!J184,0)</f>
        <v>0</v>
      </c>
      <c r="AS184" s="71">
        <f ca="1">-IF(C184=1,'Invoer gegevens'!$C$10*'Invoer gegevens'!$I$35*Reeksen!L184,0)</f>
        <v>0</v>
      </c>
      <c r="AT184" s="71">
        <f ca="1">-IF(C184=1,IF(E184='Invoer gegevens'!$C$17,'Invoer gegevens'!$C$11,Q184)*Reeksen!S184*'Invoer gegevens'!$C$18*Reeksen!P184,0)</f>
        <v>0</v>
      </c>
      <c r="AU184" s="71">
        <f ca="1">-IF(C184=1,'Invoer gegevens'!$C$10*'Invoer gegevens'!$I$36*Reeksen!H184,0)</f>
        <v>0</v>
      </c>
      <c r="AV184" s="71">
        <f t="shared" si="32"/>
        <v>0</v>
      </c>
      <c r="AW184" s="71">
        <f t="shared" ca="1" si="29"/>
        <v>0</v>
      </c>
      <c r="AX184" s="71">
        <f ca="1">IF(E184&lt;'Invoer gegevens'!$C$17+15,0,IF(E184&gt;'Invoer gegevens'!$C$17+215,0,AW184))</f>
        <v>0</v>
      </c>
      <c r="AY184" s="71">
        <f ca="1">AX184/(1+'Invoer gegevens'!$F$13)^($AZ184-('Invoer gegevens'!$C$17-'Invoer gegevens'!$C$16))/(1+'Invoer gegevens'!$C$39)^('Invoer gegevens'!$C$17-'Invoer gegevens'!$C$16)</f>
        <v>0</v>
      </c>
      <c r="AZ184" s="68">
        <f ca="1">IF(E184-'Invoer gegevens'!$C$17-14.5&lt;0,0,E184-'Invoer gegevens'!$C$17-14.5)</f>
        <v>164.5</v>
      </c>
    </row>
    <row r="185" spans="2:52" x14ac:dyDescent="0.25">
      <c r="B185" s="70">
        <f t="shared" si="30"/>
        <v>181</v>
      </c>
      <c r="C185" s="67">
        <f ca="1">IF(E185-'Invoer gegevens'!$C$17&lt;0,0,1)</f>
        <v>1</v>
      </c>
      <c r="D185" s="68">
        <f t="shared" si="31"/>
        <v>180.5</v>
      </c>
      <c r="E185" s="69">
        <f ca="1">IF('Invoer gegevens'!$C$16="","",E184+1)</f>
        <v>2199</v>
      </c>
      <c r="F185" s="82">
        <f ca="1">IF('Invoer gegevens'!$C$17=E185,'Invoer gegevens'!$C$10,IF(C185=1,H184,0))</f>
        <v>0</v>
      </c>
      <c r="G185" s="83">
        <f ca="1">IF(C185&gt;=1,F185*Reeksen!C185,0)</f>
        <v>0</v>
      </c>
      <c r="H185" s="84">
        <f t="shared" ca="1" si="25"/>
        <v>0</v>
      </c>
      <c r="I185" s="85">
        <f ca="1">IF('Invoer gegevens'!$C$17=E185,'Invoer gegevens'!$C$11,IF(C185=1,L184,0))</f>
        <v>0</v>
      </c>
      <c r="J185" s="86">
        <f ca="1">IF(C185&lt;1,0,IF(Reeksen!AK185&lt;=Reeksen!AE185,I185*Reeksen!C185,0))</f>
        <v>0</v>
      </c>
      <c r="K185" s="86">
        <f ca="1">IF(C185&lt;1,0,IF(Reeksen!AK185&gt;Reeksen!AE185,I185*Reeksen!C185,0))</f>
        <v>0</v>
      </c>
      <c r="L185" s="86">
        <f t="shared" ca="1" si="26"/>
        <v>0</v>
      </c>
      <c r="M185" s="85">
        <f ca="1">IF('Invoer gegevens'!$C$17=E185,'Invoer gegevens'!$C$10-'Invoer gegevens'!$C$11,IF(C185=1,P184,0))</f>
        <v>0</v>
      </c>
      <c r="N185" s="86">
        <f ca="1">IF(C185&lt;1,0,IF(Reeksen!AK185&lt;=Reeksen!AE185,M185*Reeksen!C185,0))</f>
        <v>0</v>
      </c>
      <c r="O185" s="86">
        <f ca="1">IF(C185&lt;1,0,IF(Reeksen!AK185&gt;Reeksen!AE185,M185*Reeksen!C185,0))</f>
        <v>0</v>
      </c>
      <c r="P185" s="86">
        <f t="shared" ca="1" si="27"/>
        <v>0</v>
      </c>
      <c r="Q185" s="82">
        <f ca="1">IF('Invoer gegevens'!$C$17=E185,I185,IF(C185=0,0,R184))</f>
        <v>0</v>
      </c>
      <c r="R185" s="84">
        <f t="shared" ca="1" si="22"/>
        <v>0</v>
      </c>
      <c r="S185" s="84">
        <f ca="1">IF('Invoer gegevens'!$C$17=E185,M185,IF(C185=0,0,T184))</f>
        <v>0</v>
      </c>
      <c r="T185" s="84">
        <f t="shared" ca="1" si="23"/>
        <v>0</v>
      </c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8"/>
      <c r="AI185" s="71">
        <f ca="1">IF(C185=1,((F185+H185)/2*Reeksen!AJ185*12)+(('Invoer gegevens'!$C$10-(F185+H185)/2)*Reeksen!AK185*12),0)</f>
        <v>0</v>
      </c>
      <c r="AJ185" s="71">
        <f ca="1">-AI185*'Invoer gegevens'!$F$28</f>
        <v>0</v>
      </c>
      <c r="AK185" s="71">
        <f t="shared" ca="1" si="24"/>
        <v>0</v>
      </c>
      <c r="AL185" s="71">
        <f ca="1">IF(C185=1,(12*((F185+H185)/2)*Reeksen!AL185)+(12*('Invoer gegevens'!$C$10-(F185+H185)/2)*Reeksen!AM185),0)</f>
        <v>0</v>
      </c>
      <c r="AM185" s="71">
        <f ca="1">-AL185*'Invoer gegevens'!$F$31</f>
        <v>0</v>
      </c>
      <c r="AN185" s="71">
        <f t="shared" ca="1" si="28"/>
        <v>0</v>
      </c>
      <c r="AO185" s="71"/>
      <c r="AP185" s="71"/>
      <c r="AQ185" s="71">
        <f ca="1">-IF(C185=1,('Invoer gegevens'!$C$10*'Invoer gegevens'!$I$33)*Reeksen!J185,0)*2</f>
        <v>0</v>
      </c>
      <c r="AR185" s="71">
        <f ca="1">-IF(C185=1,(G185*'Invoer gegevens'!$I$34)*Reeksen!J185,0)</f>
        <v>0</v>
      </c>
      <c r="AS185" s="71">
        <f ca="1">-IF(C185=1,'Invoer gegevens'!$C$10*'Invoer gegevens'!$I$35*Reeksen!L185,0)</f>
        <v>0</v>
      </c>
      <c r="AT185" s="71">
        <f ca="1">-IF(C185=1,IF(E185='Invoer gegevens'!$C$17,'Invoer gegevens'!$C$11,Q185)*Reeksen!S185*'Invoer gegevens'!$C$18*Reeksen!P185,0)</f>
        <v>0</v>
      </c>
      <c r="AU185" s="71">
        <f ca="1">-IF(C185=1,'Invoer gegevens'!$C$10*'Invoer gegevens'!$I$36*Reeksen!H185,0)</f>
        <v>0</v>
      </c>
      <c r="AV185" s="71">
        <f t="shared" si="32"/>
        <v>0</v>
      </c>
      <c r="AW185" s="71">
        <f t="shared" ca="1" si="29"/>
        <v>0</v>
      </c>
      <c r="AX185" s="71">
        <f ca="1">IF(E185&lt;'Invoer gegevens'!$C$17+15,0,IF(E185&gt;'Invoer gegevens'!$C$17+215,0,AW185))</f>
        <v>0</v>
      </c>
      <c r="AY185" s="71">
        <f ca="1">AX185/(1+'Invoer gegevens'!$F$13)^($AZ185-('Invoer gegevens'!$C$17-'Invoer gegevens'!$C$16))/(1+'Invoer gegevens'!$C$39)^('Invoer gegevens'!$C$17-'Invoer gegevens'!$C$16)</f>
        <v>0</v>
      </c>
      <c r="AZ185" s="68">
        <f ca="1">IF(E185-'Invoer gegevens'!$C$17-14.5&lt;0,0,E185-'Invoer gegevens'!$C$17-14.5)</f>
        <v>165.5</v>
      </c>
    </row>
    <row r="186" spans="2:52" x14ac:dyDescent="0.25">
      <c r="B186" s="70">
        <f t="shared" si="30"/>
        <v>182</v>
      </c>
      <c r="C186" s="67">
        <f ca="1">IF(E186-'Invoer gegevens'!$C$17&lt;0,0,1)</f>
        <v>1</v>
      </c>
      <c r="D186" s="68">
        <f t="shared" si="31"/>
        <v>181.5</v>
      </c>
      <c r="E186" s="69">
        <f ca="1">IF('Invoer gegevens'!$C$16="","",E185+1)</f>
        <v>2200</v>
      </c>
      <c r="F186" s="82">
        <f ca="1">IF('Invoer gegevens'!$C$17=E186,'Invoer gegevens'!$C$10,IF(C186=1,H185,0))</f>
        <v>0</v>
      </c>
      <c r="G186" s="83">
        <f ca="1">IF(C186&gt;=1,F186*Reeksen!C186,0)</f>
        <v>0</v>
      </c>
      <c r="H186" s="84">
        <f t="shared" ca="1" si="25"/>
        <v>0</v>
      </c>
      <c r="I186" s="85">
        <f ca="1">IF('Invoer gegevens'!$C$17=E186,'Invoer gegevens'!$C$11,IF(C186=1,L185,0))</f>
        <v>0</v>
      </c>
      <c r="J186" s="86">
        <f ca="1">IF(C186&lt;1,0,IF(Reeksen!AK186&lt;=Reeksen!AE186,I186*Reeksen!C186,0))</f>
        <v>0</v>
      </c>
      <c r="K186" s="86">
        <f ca="1">IF(C186&lt;1,0,IF(Reeksen!AK186&gt;Reeksen!AE186,I186*Reeksen!C186,0))</f>
        <v>0</v>
      </c>
      <c r="L186" s="86">
        <f t="shared" ca="1" si="26"/>
        <v>0</v>
      </c>
      <c r="M186" s="85">
        <f ca="1">IF('Invoer gegevens'!$C$17=E186,'Invoer gegevens'!$C$10-'Invoer gegevens'!$C$11,IF(C186=1,P185,0))</f>
        <v>0</v>
      </c>
      <c r="N186" s="86">
        <f ca="1">IF(C186&lt;1,0,IF(Reeksen!AK186&lt;=Reeksen!AE186,M186*Reeksen!C186,0))</f>
        <v>0</v>
      </c>
      <c r="O186" s="86">
        <f ca="1">IF(C186&lt;1,0,IF(Reeksen!AK186&gt;Reeksen!AE186,M186*Reeksen!C186,0))</f>
        <v>0</v>
      </c>
      <c r="P186" s="86">
        <f t="shared" ca="1" si="27"/>
        <v>0</v>
      </c>
      <c r="Q186" s="82">
        <f ca="1">IF('Invoer gegevens'!$C$17=E186,I186,IF(C186=0,0,R185))</f>
        <v>0</v>
      </c>
      <c r="R186" s="84">
        <f t="shared" ca="1" si="22"/>
        <v>0</v>
      </c>
      <c r="S186" s="84">
        <f ca="1">IF('Invoer gegevens'!$C$17=E186,M186,IF(C186=0,0,T185))</f>
        <v>0</v>
      </c>
      <c r="T186" s="84">
        <f t="shared" ca="1" si="23"/>
        <v>0</v>
      </c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8"/>
      <c r="AI186" s="71">
        <f ca="1">IF(C186=1,((F186+H186)/2*Reeksen!AJ186*12)+(('Invoer gegevens'!$C$10-(F186+H186)/2)*Reeksen!AK186*12),0)</f>
        <v>0</v>
      </c>
      <c r="AJ186" s="71">
        <f ca="1">-AI186*'Invoer gegevens'!$F$28</f>
        <v>0</v>
      </c>
      <c r="AK186" s="71">
        <f t="shared" ca="1" si="24"/>
        <v>0</v>
      </c>
      <c r="AL186" s="71">
        <f ca="1">IF(C186=1,(12*((F186+H186)/2)*Reeksen!AL186)+(12*('Invoer gegevens'!$C$10-(F186+H186)/2)*Reeksen!AM186),0)</f>
        <v>0</v>
      </c>
      <c r="AM186" s="71">
        <f ca="1">-AL186*'Invoer gegevens'!$F$31</f>
        <v>0</v>
      </c>
      <c r="AN186" s="71">
        <f t="shared" ca="1" si="28"/>
        <v>0</v>
      </c>
      <c r="AO186" s="71"/>
      <c r="AP186" s="71"/>
      <c r="AQ186" s="71">
        <f ca="1">-IF(C186=1,('Invoer gegevens'!$C$10*'Invoer gegevens'!$I$33)*Reeksen!J186,0)*2</f>
        <v>0</v>
      </c>
      <c r="AR186" s="71">
        <f ca="1">-IF(C186=1,(G186*'Invoer gegevens'!$I$34)*Reeksen!J186,0)</f>
        <v>0</v>
      </c>
      <c r="AS186" s="71">
        <f ca="1">-IF(C186=1,'Invoer gegevens'!$C$10*'Invoer gegevens'!$I$35*Reeksen!L186,0)</f>
        <v>0</v>
      </c>
      <c r="AT186" s="71">
        <f ca="1">-IF(C186=1,IF(E186='Invoer gegevens'!$C$17,'Invoer gegevens'!$C$11,Q186)*Reeksen!S186*'Invoer gegevens'!$C$18*Reeksen!P186,0)</f>
        <v>0</v>
      </c>
      <c r="AU186" s="71">
        <f ca="1">-IF(C186=1,'Invoer gegevens'!$C$10*'Invoer gegevens'!$I$36*Reeksen!H186,0)</f>
        <v>0</v>
      </c>
      <c r="AV186" s="71">
        <f t="shared" si="32"/>
        <v>0</v>
      </c>
      <c r="AW186" s="71">
        <f t="shared" ca="1" si="29"/>
        <v>0</v>
      </c>
      <c r="AX186" s="71">
        <f ca="1">IF(E186&lt;'Invoer gegevens'!$C$17+15,0,IF(E186&gt;'Invoer gegevens'!$C$17+215,0,AW186))</f>
        <v>0</v>
      </c>
      <c r="AY186" s="71">
        <f ca="1">AX186/(1+'Invoer gegevens'!$F$13)^($AZ186-('Invoer gegevens'!$C$17-'Invoer gegevens'!$C$16))/(1+'Invoer gegevens'!$C$39)^('Invoer gegevens'!$C$17-'Invoer gegevens'!$C$16)</f>
        <v>0</v>
      </c>
      <c r="AZ186" s="68">
        <f ca="1">IF(E186-'Invoer gegevens'!$C$17-14.5&lt;0,0,E186-'Invoer gegevens'!$C$17-14.5)</f>
        <v>166.5</v>
      </c>
    </row>
    <row r="187" spans="2:52" x14ac:dyDescent="0.25">
      <c r="B187" s="70">
        <f t="shared" si="30"/>
        <v>183</v>
      </c>
      <c r="C187" s="67">
        <f ca="1">IF(E187-'Invoer gegevens'!$C$17&lt;0,0,1)</f>
        <v>1</v>
      </c>
      <c r="D187" s="68">
        <f t="shared" si="31"/>
        <v>182.5</v>
      </c>
      <c r="E187" s="69">
        <f ca="1">IF('Invoer gegevens'!$C$16="","",E186+1)</f>
        <v>2201</v>
      </c>
      <c r="F187" s="82">
        <f ca="1">IF('Invoer gegevens'!$C$17=E187,'Invoer gegevens'!$C$10,IF(C187=1,H186,0))</f>
        <v>0</v>
      </c>
      <c r="G187" s="83">
        <f ca="1">IF(C187&gt;=1,F187*Reeksen!C187,0)</f>
        <v>0</v>
      </c>
      <c r="H187" s="84">
        <f t="shared" ca="1" si="25"/>
        <v>0</v>
      </c>
      <c r="I187" s="85">
        <f ca="1">IF('Invoer gegevens'!$C$17=E187,'Invoer gegevens'!$C$11,IF(C187=1,L186,0))</f>
        <v>0</v>
      </c>
      <c r="J187" s="86">
        <f ca="1">IF(C187&lt;1,0,IF(Reeksen!AK187&lt;=Reeksen!AE187,I187*Reeksen!C187,0))</f>
        <v>0</v>
      </c>
      <c r="K187" s="86">
        <f ca="1">IF(C187&lt;1,0,IF(Reeksen!AK187&gt;Reeksen!AE187,I187*Reeksen!C187,0))</f>
        <v>0</v>
      </c>
      <c r="L187" s="86">
        <f t="shared" ca="1" si="26"/>
        <v>0</v>
      </c>
      <c r="M187" s="85">
        <f ca="1">IF('Invoer gegevens'!$C$17=E187,'Invoer gegevens'!$C$10-'Invoer gegevens'!$C$11,IF(C187=1,P186,0))</f>
        <v>0</v>
      </c>
      <c r="N187" s="86">
        <f ca="1">IF(C187&lt;1,0,IF(Reeksen!AK187&lt;=Reeksen!AE187,M187*Reeksen!C187,0))</f>
        <v>0</v>
      </c>
      <c r="O187" s="86">
        <f ca="1">IF(C187&lt;1,0,IF(Reeksen!AK187&gt;Reeksen!AE187,M187*Reeksen!C187,0))</f>
        <v>0</v>
      </c>
      <c r="P187" s="86">
        <f t="shared" ca="1" si="27"/>
        <v>0</v>
      </c>
      <c r="Q187" s="82">
        <f ca="1">IF('Invoer gegevens'!$C$17=E187,I187,IF(C187=0,0,R186))</f>
        <v>0</v>
      </c>
      <c r="R187" s="84">
        <f t="shared" ca="1" si="22"/>
        <v>0</v>
      </c>
      <c r="S187" s="84">
        <f ca="1">IF('Invoer gegevens'!$C$17=E187,M187,IF(C187=0,0,T186))</f>
        <v>0</v>
      </c>
      <c r="T187" s="84">
        <f t="shared" ca="1" si="23"/>
        <v>0</v>
      </c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8"/>
      <c r="AI187" s="71">
        <f ca="1">IF(C187=1,((F187+H187)/2*Reeksen!AJ187*12)+(('Invoer gegevens'!$C$10-(F187+H187)/2)*Reeksen!AK187*12),0)</f>
        <v>0</v>
      </c>
      <c r="AJ187" s="71">
        <f ca="1">-AI187*'Invoer gegevens'!$F$28</f>
        <v>0</v>
      </c>
      <c r="AK187" s="71">
        <f t="shared" ca="1" si="24"/>
        <v>0</v>
      </c>
      <c r="AL187" s="71">
        <f ca="1">IF(C187=1,(12*((F187+H187)/2)*Reeksen!AL187)+(12*('Invoer gegevens'!$C$10-(F187+H187)/2)*Reeksen!AM187),0)</f>
        <v>0</v>
      </c>
      <c r="AM187" s="71">
        <f ca="1">-AL187*'Invoer gegevens'!$F$31</f>
        <v>0</v>
      </c>
      <c r="AN187" s="71">
        <f t="shared" ca="1" si="28"/>
        <v>0</v>
      </c>
      <c r="AO187" s="71"/>
      <c r="AP187" s="71"/>
      <c r="AQ187" s="71">
        <f ca="1">-IF(C187=1,('Invoer gegevens'!$C$10*'Invoer gegevens'!$I$33)*Reeksen!J187,0)*2</f>
        <v>0</v>
      </c>
      <c r="AR187" s="71">
        <f ca="1">-IF(C187=1,(G187*'Invoer gegevens'!$I$34)*Reeksen!J187,0)</f>
        <v>0</v>
      </c>
      <c r="AS187" s="71">
        <f ca="1">-IF(C187=1,'Invoer gegevens'!$C$10*'Invoer gegevens'!$I$35*Reeksen!L187,0)</f>
        <v>0</v>
      </c>
      <c r="AT187" s="71">
        <f ca="1">-IF(C187=1,IF(E187='Invoer gegevens'!$C$17,'Invoer gegevens'!$C$11,Q187)*Reeksen!S187*'Invoer gegevens'!$C$18*Reeksen!P187,0)</f>
        <v>0</v>
      </c>
      <c r="AU187" s="71">
        <f ca="1">-IF(C187=1,'Invoer gegevens'!$C$10*'Invoer gegevens'!$I$36*Reeksen!H187,0)</f>
        <v>0</v>
      </c>
      <c r="AV187" s="71">
        <f t="shared" si="32"/>
        <v>0</v>
      </c>
      <c r="AW187" s="71">
        <f t="shared" ca="1" si="29"/>
        <v>0</v>
      </c>
      <c r="AX187" s="71">
        <f ca="1">IF(E187&lt;'Invoer gegevens'!$C$17+15,0,IF(E187&gt;'Invoer gegevens'!$C$17+215,0,AW187))</f>
        <v>0</v>
      </c>
      <c r="AY187" s="71">
        <f ca="1">AX187/(1+'Invoer gegevens'!$F$13)^($AZ187-('Invoer gegevens'!$C$17-'Invoer gegevens'!$C$16))/(1+'Invoer gegevens'!$C$39)^('Invoer gegevens'!$C$17-'Invoer gegevens'!$C$16)</f>
        <v>0</v>
      </c>
      <c r="AZ187" s="68">
        <f ca="1">IF(E187-'Invoer gegevens'!$C$17-14.5&lt;0,0,E187-'Invoer gegevens'!$C$17-14.5)</f>
        <v>167.5</v>
      </c>
    </row>
    <row r="188" spans="2:52" x14ac:dyDescent="0.25">
      <c r="B188" s="70">
        <f t="shared" si="30"/>
        <v>184</v>
      </c>
      <c r="C188" s="67">
        <f ca="1">IF(E188-'Invoer gegevens'!$C$17&lt;0,0,1)</f>
        <v>1</v>
      </c>
      <c r="D188" s="68">
        <f t="shared" si="31"/>
        <v>183.5</v>
      </c>
      <c r="E188" s="69">
        <f ca="1">IF('Invoer gegevens'!$C$16="","",E187+1)</f>
        <v>2202</v>
      </c>
      <c r="F188" s="82">
        <f ca="1">IF('Invoer gegevens'!$C$17=E188,'Invoer gegevens'!$C$10,IF(C188=1,H187,0))</f>
        <v>0</v>
      </c>
      <c r="G188" s="83">
        <f ca="1">IF(C188&gt;=1,F188*Reeksen!C188,0)</f>
        <v>0</v>
      </c>
      <c r="H188" s="84">
        <f t="shared" ca="1" si="25"/>
        <v>0</v>
      </c>
      <c r="I188" s="85">
        <f ca="1">IF('Invoer gegevens'!$C$17=E188,'Invoer gegevens'!$C$11,IF(C188=1,L187,0))</f>
        <v>0</v>
      </c>
      <c r="J188" s="86">
        <f ca="1">IF(C188&lt;1,0,IF(Reeksen!AK188&lt;=Reeksen!AE188,I188*Reeksen!C188,0))</f>
        <v>0</v>
      </c>
      <c r="K188" s="86">
        <f ca="1">IF(C188&lt;1,0,IF(Reeksen!AK188&gt;Reeksen!AE188,I188*Reeksen!C188,0))</f>
        <v>0</v>
      </c>
      <c r="L188" s="86">
        <f t="shared" ca="1" si="26"/>
        <v>0</v>
      </c>
      <c r="M188" s="85">
        <f ca="1">IF('Invoer gegevens'!$C$17=E188,'Invoer gegevens'!$C$10-'Invoer gegevens'!$C$11,IF(C188=1,P187,0))</f>
        <v>0</v>
      </c>
      <c r="N188" s="86">
        <f ca="1">IF(C188&lt;1,0,IF(Reeksen!AK188&lt;=Reeksen!AE188,M188*Reeksen!C188,0))</f>
        <v>0</v>
      </c>
      <c r="O188" s="86">
        <f ca="1">IF(C188&lt;1,0,IF(Reeksen!AK188&gt;Reeksen!AE188,M188*Reeksen!C188,0))</f>
        <v>0</v>
      </c>
      <c r="P188" s="86">
        <f t="shared" ca="1" si="27"/>
        <v>0</v>
      </c>
      <c r="Q188" s="82">
        <f ca="1">IF('Invoer gegevens'!$C$17=E188,I188,IF(C188=0,0,R187))</f>
        <v>0</v>
      </c>
      <c r="R188" s="84">
        <f t="shared" ca="1" si="22"/>
        <v>0</v>
      </c>
      <c r="S188" s="84">
        <f ca="1">IF('Invoer gegevens'!$C$17=E188,M188,IF(C188=0,0,T187))</f>
        <v>0</v>
      </c>
      <c r="T188" s="84">
        <f t="shared" ca="1" si="23"/>
        <v>0</v>
      </c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8"/>
      <c r="AI188" s="71">
        <f ca="1">IF(C188=1,((F188+H188)/2*Reeksen!AJ188*12)+(('Invoer gegevens'!$C$10-(F188+H188)/2)*Reeksen!AK188*12),0)</f>
        <v>0</v>
      </c>
      <c r="AJ188" s="71">
        <f ca="1">-AI188*'Invoer gegevens'!$F$28</f>
        <v>0</v>
      </c>
      <c r="AK188" s="71">
        <f t="shared" ca="1" si="24"/>
        <v>0</v>
      </c>
      <c r="AL188" s="71">
        <f ca="1">IF(C188=1,(12*((F188+H188)/2)*Reeksen!AL188)+(12*('Invoer gegevens'!$C$10-(F188+H188)/2)*Reeksen!AM188),0)</f>
        <v>0</v>
      </c>
      <c r="AM188" s="71">
        <f ca="1">-AL188*'Invoer gegevens'!$F$31</f>
        <v>0</v>
      </c>
      <c r="AN188" s="71">
        <f t="shared" ca="1" si="28"/>
        <v>0</v>
      </c>
      <c r="AO188" s="71"/>
      <c r="AP188" s="71"/>
      <c r="AQ188" s="71">
        <f ca="1">-IF(C188=1,('Invoer gegevens'!$C$10*'Invoer gegevens'!$I$33)*Reeksen!J188,0)*2</f>
        <v>0</v>
      </c>
      <c r="AR188" s="71">
        <f ca="1">-IF(C188=1,(G188*'Invoer gegevens'!$I$34)*Reeksen!J188,0)</f>
        <v>0</v>
      </c>
      <c r="AS188" s="71">
        <f ca="1">-IF(C188=1,'Invoer gegevens'!$C$10*'Invoer gegevens'!$I$35*Reeksen!L188,0)</f>
        <v>0</v>
      </c>
      <c r="AT188" s="71">
        <f ca="1">-IF(C188=1,IF(E188='Invoer gegevens'!$C$17,'Invoer gegevens'!$C$11,Q188)*Reeksen!S188*'Invoer gegevens'!$C$18*Reeksen!P188,0)</f>
        <v>0</v>
      </c>
      <c r="AU188" s="71">
        <f ca="1">-IF(C188=1,'Invoer gegevens'!$C$10*'Invoer gegevens'!$I$36*Reeksen!H188,0)</f>
        <v>0</v>
      </c>
      <c r="AV188" s="71">
        <f t="shared" si="32"/>
        <v>0</v>
      </c>
      <c r="AW188" s="71">
        <f t="shared" ca="1" si="29"/>
        <v>0</v>
      </c>
      <c r="AX188" s="71">
        <f ca="1">IF(E188&lt;'Invoer gegevens'!$C$17+15,0,IF(E188&gt;'Invoer gegevens'!$C$17+215,0,AW188))</f>
        <v>0</v>
      </c>
      <c r="AY188" s="71">
        <f ca="1">AX188/(1+'Invoer gegevens'!$F$13)^($AZ188-('Invoer gegevens'!$C$17-'Invoer gegevens'!$C$16))/(1+'Invoer gegevens'!$C$39)^('Invoer gegevens'!$C$17-'Invoer gegevens'!$C$16)</f>
        <v>0</v>
      </c>
      <c r="AZ188" s="68">
        <f ca="1">IF(E188-'Invoer gegevens'!$C$17-14.5&lt;0,0,E188-'Invoer gegevens'!$C$17-14.5)</f>
        <v>168.5</v>
      </c>
    </row>
    <row r="189" spans="2:52" x14ac:dyDescent="0.25">
      <c r="B189" s="70">
        <f t="shared" si="30"/>
        <v>185</v>
      </c>
      <c r="C189" s="67">
        <f ca="1">IF(E189-'Invoer gegevens'!$C$17&lt;0,0,1)</f>
        <v>1</v>
      </c>
      <c r="D189" s="68">
        <f t="shared" si="31"/>
        <v>184.5</v>
      </c>
      <c r="E189" s="69">
        <f ca="1">IF('Invoer gegevens'!$C$16="","",E188+1)</f>
        <v>2203</v>
      </c>
      <c r="F189" s="82">
        <f ca="1">IF('Invoer gegevens'!$C$17=E189,'Invoer gegevens'!$C$10,IF(C189=1,H188,0))</f>
        <v>0</v>
      </c>
      <c r="G189" s="83">
        <f ca="1">IF(C189&gt;=1,F189*Reeksen!C189,0)</f>
        <v>0</v>
      </c>
      <c r="H189" s="84">
        <f t="shared" ca="1" si="25"/>
        <v>0</v>
      </c>
      <c r="I189" s="85">
        <f ca="1">IF('Invoer gegevens'!$C$17=E189,'Invoer gegevens'!$C$11,IF(C189=1,L188,0))</f>
        <v>0</v>
      </c>
      <c r="J189" s="86">
        <f ca="1">IF(C189&lt;1,0,IF(Reeksen!AK189&lt;=Reeksen!AE189,I189*Reeksen!C189,0))</f>
        <v>0</v>
      </c>
      <c r="K189" s="86">
        <f ca="1">IF(C189&lt;1,0,IF(Reeksen!AK189&gt;Reeksen!AE189,I189*Reeksen!C189,0))</f>
        <v>0</v>
      </c>
      <c r="L189" s="86">
        <f t="shared" ca="1" si="26"/>
        <v>0</v>
      </c>
      <c r="M189" s="85">
        <f ca="1">IF('Invoer gegevens'!$C$17=E189,'Invoer gegevens'!$C$10-'Invoer gegevens'!$C$11,IF(C189=1,P188,0))</f>
        <v>0</v>
      </c>
      <c r="N189" s="86">
        <f ca="1">IF(C189&lt;1,0,IF(Reeksen!AK189&lt;=Reeksen!AE189,M189*Reeksen!C189,0))</f>
        <v>0</v>
      </c>
      <c r="O189" s="86">
        <f ca="1">IF(C189&lt;1,0,IF(Reeksen!AK189&gt;Reeksen!AE189,M189*Reeksen!C189,0))</f>
        <v>0</v>
      </c>
      <c r="P189" s="86">
        <f t="shared" ca="1" si="27"/>
        <v>0</v>
      </c>
      <c r="Q189" s="82">
        <f ca="1">IF('Invoer gegevens'!$C$17=E189,I189,IF(C189=0,0,R188))</f>
        <v>0</v>
      </c>
      <c r="R189" s="84">
        <f t="shared" ca="1" si="22"/>
        <v>0</v>
      </c>
      <c r="S189" s="84">
        <f ca="1">IF('Invoer gegevens'!$C$17=E189,M189,IF(C189=0,0,T188))</f>
        <v>0</v>
      </c>
      <c r="T189" s="84">
        <f t="shared" ca="1" si="23"/>
        <v>0</v>
      </c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8"/>
      <c r="AI189" s="71">
        <f ca="1">IF(C189=1,((F189+H189)/2*Reeksen!AJ189*12)+(('Invoer gegevens'!$C$10-(F189+H189)/2)*Reeksen!AK189*12),0)</f>
        <v>0</v>
      </c>
      <c r="AJ189" s="71">
        <f ca="1">-AI189*'Invoer gegevens'!$F$28</f>
        <v>0</v>
      </c>
      <c r="AK189" s="71">
        <f t="shared" ca="1" si="24"/>
        <v>0</v>
      </c>
      <c r="AL189" s="71">
        <f ca="1">IF(C189=1,(12*((F189+H189)/2)*Reeksen!AL189)+(12*('Invoer gegevens'!$C$10-(F189+H189)/2)*Reeksen!AM189),0)</f>
        <v>0</v>
      </c>
      <c r="AM189" s="71">
        <f ca="1">-AL189*'Invoer gegevens'!$F$31</f>
        <v>0</v>
      </c>
      <c r="AN189" s="71">
        <f t="shared" ca="1" si="28"/>
        <v>0</v>
      </c>
      <c r="AO189" s="71"/>
      <c r="AP189" s="71"/>
      <c r="AQ189" s="71">
        <f ca="1">-IF(C189=1,('Invoer gegevens'!$C$10*'Invoer gegevens'!$I$33)*Reeksen!J189,0)*2</f>
        <v>0</v>
      </c>
      <c r="AR189" s="71">
        <f ca="1">-IF(C189=1,(G189*'Invoer gegevens'!$I$34)*Reeksen!J189,0)</f>
        <v>0</v>
      </c>
      <c r="AS189" s="71">
        <f ca="1">-IF(C189=1,'Invoer gegevens'!$C$10*'Invoer gegevens'!$I$35*Reeksen!L189,0)</f>
        <v>0</v>
      </c>
      <c r="AT189" s="71">
        <f ca="1">-IF(C189=1,IF(E189='Invoer gegevens'!$C$17,'Invoer gegevens'!$C$11,Q189)*Reeksen!S189*'Invoer gegevens'!$C$18*Reeksen!P189,0)</f>
        <v>0</v>
      </c>
      <c r="AU189" s="71">
        <f ca="1">-IF(C189=1,'Invoer gegevens'!$C$10*'Invoer gegevens'!$I$36*Reeksen!H189,0)</f>
        <v>0</v>
      </c>
      <c r="AV189" s="71">
        <f t="shared" si="32"/>
        <v>0</v>
      </c>
      <c r="AW189" s="71">
        <f t="shared" ca="1" si="29"/>
        <v>0</v>
      </c>
      <c r="AX189" s="71">
        <f ca="1">IF(E189&lt;'Invoer gegevens'!$C$17+15,0,IF(E189&gt;'Invoer gegevens'!$C$17+215,0,AW189))</f>
        <v>0</v>
      </c>
      <c r="AY189" s="71">
        <f ca="1">AX189/(1+'Invoer gegevens'!$F$13)^($AZ189-('Invoer gegevens'!$C$17-'Invoer gegevens'!$C$16))/(1+'Invoer gegevens'!$C$39)^('Invoer gegevens'!$C$17-'Invoer gegevens'!$C$16)</f>
        <v>0</v>
      </c>
      <c r="AZ189" s="68">
        <f ca="1">IF(E189-'Invoer gegevens'!$C$17-14.5&lt;0,0,E189-'Invoer gegevens'!$C$17-14.5)</f>
        <v>169.5</v>
      </c>
    </row>
    <row r="190" spans="2:52" x14ac:dyDescent="0.25">
      <c r="B190" s="70">
        <f t="shared" si="30"/>
        <v>186</v>
      </c>
      <c r="C190" s="67">
        <f ca="1">IF(E190-'Invoer gegevens'!$C$17&lt;0,0,1)</f>
        <v>1</v>
      </c>
      <c r="D190" s="68">
        <f t="shared" si="31"/>
        <v>185.5</v>
      </c>
      <c r="E190" s="69">
        <f ca="1">IF('Invoer gegevens'!$C$16="","",E189+1)</f>
        <v>2204</v>
      </c>
      <c r="F190" s="82">
        <f ca="1">IF('Invoer gegevens'!$C$17=E190,'Invoer gegevens'!$C$10,IF(C190=1,H189,0))</f>
        <v>0</v>
      </c>
      <c r="G190" s="83">
        <f ca="1">IF(C190&gt;=1,F190*Reeksen!C190,0)</f>
        <v>0</v>
      </c>
      <c r="H190" s="84">
        <f t="shared" ca="1" si="25"/>
        <v>0</v>
      </c>
      <c r="I190" s="85">
        <f ca="1">IF('Invoer gegevens'!$C$17=E190,'Invoer gegevens'!$C$11,IF(C190=1,L189,0))</f>
        <v>0</v>
      </c>
      <c r="J190" s="86">
        <f ca="1">IF(C190&lt;1,0,IF(Reeksen!AK190&lt;=Reeksen!AE190,I190*Reeksen!C190,0))</f>
        <v>0</v>
      </c>
      <c r="K190" s="86">
        <f ca="1">IF(C190&lt;1,0,IF(Reeksen!AK190&gt;Reeksen!AE190,I190*Reeksen!C190,0))</f>
        <v>0</v>
      </c>
      <c r="L190" s="86">
        <f t="shared" ca="1" si="26"/>
        <v>0</v>
      </c>
      <c r="M190" s="85">
        <f ca="1">IF('Invoer gegevens'!$C$17=E190,'Invoer gegevens'!$C$10-'Invoer gegevens'!$C$11,IF(C190=1,P189,0))</f>
        <v>0</v>
      </c>
      <c r="N190" s="86">
        <f ca="1">IF(C190&lt;1,0,IF(Reeksen!AK190&lt;=Reeksen!AE190,M190*Reeksen!C190,0))</f>
        <v>0</v>
      </c>
      <c r="O190" s="86">
        <f ca="1">IF(C190&lt;1,0,IF(Reeksen!AK190&gt;Reeksen!AE190,M190*Reeksen!C190,0))</f>
        <v>0</v>
      </c>
      <c r="P190" s="86">
        <f t="shared" ca="1" si="27"/>
        <v>0</v>
      </c>
      <c r="Q190" s="82">
        <f ca="1">IF('Invoer gegevens'!$C$17=E190,I190,IF(C190=0,0,R189))</f>
        <v>0</v>
      </c>
      <c r="R190" s="84">
        <f t="shared" ca="1" si="22"/>
        <v>0</v>
      </c>
      <c r="S190" s="84">
        <f ca="1">IF('Invoer gegevens'!$C$17=E190,M190,IF(C190=0,0,T189))</f>
        <v>0</v>
      </c>
      <c r="T190" s="84">
        <f t="shared" ca="1" si="23"/>
        <v>0</v>
      </c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8"/>
      <c r="AI190" s="71">
        <f ca="1">IF(C190=1,((F190+H190)/2*Reeksen!AJ190*12)+(('Invoer gegevens'!$C$10-(F190+H190)/2)*Reeksen!AK190*12),0)</f>
        <v>0</v>
      </c>
      <c r="AJ190" s="71">
        <f ca="1">-AI190*'Invoer gegevens'!$F$28</f>
        <v>0</v>
      </c>
      <c r="AK190" s="71">
        <f t="shared" ca="1" si="24"/>
        <v>0</v>
      </c>
      <c r="AL190" s="71">
        <f ca="1">IF(C190=1,(12*((F190+H190)/2)*Reeksen!AL190)+(12*('Invoer gegevens'!$C$10-(F190+H190)/2)*Reeksen!AM190),0)</f>
        <v>0</v>
      </c>
      <c r="AM190" s="71">
        <f ca="1">-AL190*'Invoer gegevens'!$F$31</f>
        <v>0</v>
      </c>
      <c r="AN190" s="71">
        <f t="shared" ca="1" si="28"/>
        <v>0</v>
      </c>
      <c r="AO190" s="71"/>
      <c r="AP190" s="71"/>
      <c r="AQ190" s="71">
        <f ca="1">-IF(C190=1,('Invoer gegevens'!$C$10*'Invoer gegevens'!$I$33)*Reeksen!J190,0)*2</f>
        <v>0</v>
      </c>
      <c r="AR190" s="71">
        <f ca="1">-IF(C190=1,(G190*'Invoer gegevens'!$I$34)*Reeksen!J190,0)</f>
        <v>0</v>
      </c>
      <c r="AS190" s="71">
        <f ca="1">-IF(C190=1,'Invoer gegevens'!$C$10*'Invoer gegevens'!$I$35*Reeksen!L190,0)</f>
        <v>0</v>
      </c>
      <c r="AT190" s="71">
        <f ca="1">-IF(C190=1,IF(E190='Invoer gegevens'!$C$17,'Invoer gegevens'!$C$11,Q190)*Reeksen!S190*'Invoer gegevens'!$C$18*Reeksen!P190,0)</f>
        <v>0</v>
      </c>
      <c r="AU190" s="71">
        <f ca="1">-IF(C190=1,'Invoer gegevens'!$C$10*'Invoer gegevens'!$I$36*Reeksen!H190,0)</f>
        <v>0</v>
      </c>
      <c r="AV190" s="71">
        <f t="shared" si="32"/>
        <v>0</v>
      </c>
      <c r="AW190" s="71">
        <f t="shared" ca="1" si="29"/>
        <v>0</v>
      </c>
      <c r="AX190" s="71">
        <f ca="1">IF(E190&lt;'Invoer gegevens'!$C$17+15,0,IF(E190&gt;'Invoer gegevens'!$C$17+215,0,AW190))</f>
        <v>0</v>
      </c>
      <c r="AY190" s="71">
        <f ca="1">AX190/(1+'Invoer gegevens'!$F$13)^($AZ190-('Invoer gegevens'!$C$17-'Invoer gegevens'!$C$16))/(1+'Invoer gegevens'!$C$39)^('Invoer gegevens'!$C$17-'Invoer gegevens'!$C$16)</f>
        <v>0</v>
      </c>
      <c r="AZ190" s="68">
        <f ca="1">IF(E190-'Invoer gegevens'!$C$17-14.5&lt;0,0,E190-'Invoer gegevens'!$C$17-14.5)</f>
        <v>170.5</v>
      </c>
    </row>
    <row r="191" spans="2:52" x14ac:dyDescent="0.25">
      <c r="B191" s="70">
        <f t="shared" si="30"/>
        <v>187</v>
      </c>
      <c r="C191" s="67">
        <f ca="1">IF(E191-'Invoer gegevens'!$C$17&lt;0,0,1)</f>
        <v>1</v>
      </c>
      <c r="D191" s="68">
        <f t="shared" si="31"/>
        <v>186.5</v>
      </c>
      <c r="E191" s="69">
        <f ca="1">IF('Invoer gegevens'!$C$16="","",E190+1)</f>
        <v>2205</v>
      </c>
      <c r="F191" s="82">
        <f ca="1">IF('Invoer gegevens'!$C$17=E191,'Invoer gegevens'!$C$10,IF(C191=1,H190,0))</f>
        <v>0</v>
      </c>
      <c r="G191" s="83">
        <f ca="1">IF(C191&gt;=1,F191*Reeksen!C191,0)</f>
        <v>0</v>
      </c>
      <c r="H191" s="84">
        <f t="shared" ca="1" si="25"/>
        <v>0</v>
      </c>
      <c r="I191" s="85">
        <f ca="1">IF('Invoer gegevens'!$C$17=E191,'Invoer gegevens'!$C$11,IF(C191=1,L190,0))</f>
        <v>0</v>
      </c>
      <c r="J191" s="86">
        <f ca="1">IF(C191&lt;1,0,IF(Reeksen!AK191&lt;=Reeksen!AE191,I191*Reeksen!C191,0))</f>
        <v>0</v>
      </c>
      <c r="K191" s="86">
        <f ca="1">IF(C191&lt;1,0,IF(Reeksen!AK191&gt;Reeksen!AE191,I191*Reeksen!C191,0))</f>
        <v>0</v>
      </c>
      <c r="L191" s="86">
        <f t="shared" ca="1" si="26"/>
        <v>0</v>
      </c>
      <c r="M191" s="85">
        <f ca="1">IF('Invoer gegevens'!$C$17=E191,'Invoer gegevens'!$C$10-'Invoer gegevens'!$C$11,IF(C191=1,P190,0))</f>
        <v>0</v>
      </c>
      <c r="N191" s="86">
        <f ca="1">IF(C191&lt;1,0,IF(Reeksen!AK191&lt;=Reeksen!AE191,M191*Reeksen!C191,0))</f>
        <v>0</v>
      </c>
      <c r="O191" s="86">
        <f ca="1">IF(C191&lt;1,0,IF(Reeksen!AK191&gt;Reeksen!AE191,M191*Reeksen!C191,0))</f>
        <v>0</v>
      </c>
      <c r="P191" s="86">
        <f t="shared" ca="1" si="27"/>
        <v>0</v>
      </c>
      <c r="Q191" s="82">
        <f ca="1">IF('Invoer gegevens'!$C$17=E191,I191,IF(C191=0,0,R190))</f>
        <v>0</v>
      </c>
      <c r="R191" s="84">
        <f t="shared" ca="1" si="22"/>
        <v>0</v>
      </c>
      <c r="S191" s="84">
        <f ca="1">IF('Invoer gegevens'!$C$17=E191,M191,IF(C191=0,0,T190))</f>
        <v>0</v>
      </c>
      <c r="T191" s="84">
        <f t="shared" ca="1" si="23"/>
        <v>0</v>
      </c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8"/>
      <c r="AI191" s="71">
        <f ca="1">IF(C191=1,((F191+H191)/2*Reeksen!AJ191*12)+(('Invoer gegevens'!$C$10-(F191+H191)/2)*Reeksen!AK191*12),0)</f>
        <v>0</v>
      </c>
      <c r="AJ191" s="71">
        <f ca="1">-AI191*'Invoer gegevens'!$F$28</f>
        <v>0</v>
      </c>
      <c r="AK191" s="71">
        <f t="shared" ca="1" si="24"/>
        <v>0</v>
      </c>
      <c r="AL191" s="71">
        <f ca="1">IF(C191=1,(12*((F191+H191)/2)*Reeksen!AL191)+(12*('Invoer gegevens'!$C$10-(F191+H191)/2)*Reeksen!AM191),0)</f>
        <v>0</v>
      </c>
      <c r="AM191" s="71">
        <f ca="1">-AL191*'Invoer gegevens'!$F$31</f>
        <v>0</v>
      </c>
      <c r="AN191" s="71">
        <f t="shared" ca="1" si="28"/>
        <v>0</v>
      </c>
      <c r="AO191" s="71"/>
      <c r="AP191" s="71"/>
      <c r="AQ191" s="71">
        <f ca="1">-IF(C191=1,('Invoer gegevens'!$C$10*'Invoer gegevens'!$I$33)*Reeksen!J191,0)*2</f>
        <v>0</v>
      </c>
      <c r="AR191" s="71">
        <f ca="1">-IF(C191=1,(G191*'Invoer gegevens'!$I$34)*Reeksen!J191,0)</f>
        <v>0</v>
      </c>
      <c r="AS191" s="71">
        <f ca="1">-IF(C191=1,'Invoer gegevens'!$C$10*'Invoer gegevens'!$I$35*Reeksen!L191,0)</f>
        <v>0</v>
      </c>
      <c r="AT191" s="71">
        <f ca="1">-IF(C191=1,IF(E191='Invoer gegevens'!$C$17,'Invoer gegevens'!$C$11,Q191)*Reeksen!S191*'Invoer gegevens'!$C$18*Reeksen!P191,0)</f>
        <v>0</v>
      </c>
      <c r="AU191" s="71">
        <f ca="1">-IF(C191=1,'Invoer gegevens'!$C$10*'Invoer gegevens'!$I$36*Reeksen!H191,0)</f>
        <v>0</v>
      </c>
      <c r="AV191" s="71">
        <f t="shared" si="32"/>
        <v>0</v>
      </c>
      <c r="AW191" s="71">
        <f t="shared" ca="1" si="29"/>
        <v>0</v>
      </c>
      <c r="AX191" s="71">
        <f ca="1">IF(E191&lt;'Invoer gegevens'!$C$17+15,0,IF(E191&gt;'Invoer gegevens'!$C$17+215,0,AW191))</f>
        <v>0</v>
      </c>
      <c r="AY191" s="71">
        <f ca="1">AX191/(1+'Invoer gegevens'!$F$13)^($AZ191-('Invoer gegevens'!$C$17-'Invoer gegevens'!$C$16))/(1+'Invoer gegevens'!$C$39)^('Invoer gegevens'!$C$17-'Invoer gegevens'!$C$16)</f>
        <v>0</v>
      </c>
      <c r="AZ191" s="68">
        <f ca="1">IF(E191-'Invoer gegevens'!$C$17-14.5&lt;0,0,E191-'Invoer gegevens'!$C$17-14.5)</f>
        <v>171.5</v>
      </c>
    </row>
    <row r="192" spans="2:52" x14ac:dyDescent="0.25">
      <c r="B192" s="70">
        <f t="shared" si="30"/>
        <v>188</v>
      </c>
      <c r="C192" s="67">
        <f ca="1">IF(E192-'Invoer gegevens'!$C$17&lt;0,0,1)</f>
        <v>1</v>
      </c>
      <c r="D192" s="68">
        <f t="shared" si="31"/>
        <v>187.5</v>
      </c>
      <c r="E192" s="69">
        <f ca="1">IF('Invoer gegevens'!$C$16="","",E191+1)</f>
        <v>2206</v>
      </c>
      <c r="F192" s="82">
        <f ca="1">IF('Invoer gegevens'!$C$17=E192,'Invoer gegevens'!$C$10,IF(C192=1,H191,0))</f>
        <v>0</v>
      </c>
      <c r="G192" s="83">
        <f ca="1">IF(C192&gt;=1,F192*Reeksen!C192,0)</f>
        <v>0</v>
      </c>
      <c r="H192" s="84">
        <f t="shared" ca="1" si="25"/>
        <v>0</v>
      </c>
      <c r="I192" s="85">
        <f ca="1">IF('Invoer gegevens'!$C$17=E192,'Invoer gegevens'!$C$11,IF(C192=1,L191,0))</f>
        <v>0</v>
      </c>
      <c r="J192" s="86">
        <f ca="1">IF(C192&lt;1,0,IF(Reeksen!AK192&lt;=Reeksen!AE192,I192*Reeksen!C192,0))</f>
        <v>0</v>
      </c>
      <c r="K192" s="86">
        <f ca="1">IF(C192&lt;1,0,IF(Reeksen!AK192&gt;Reeksen!AE192,I192*Reeksen!C192,0))</f>
        <v>0</v>
      </c>
      <c r="L192" s="86">
        <f t="shared" ca="1" si="26"/>
        <v>0</v>
      </c>
      <c r="M192" s="85">
        <f ca="1">IF('Invoer gegevens'!$C$17=E192,'Invoer gegevens'!$C$10-'Invoer gegevens'!$C$11,IF(C192=1,P191,0))</f>
        <v>0</v>
      </c>
      <c r="N192" s="86">
        <f ca="1">IF(C192&lt;1,0,IF(Reeksen!AK192&lt;=Reeksen!AE192,M192*Reeksen!C192,0))</f>
        <v>0</v>
      </c>
      <c r="O192" s="86">
        <f ca="1">IF(C192&lt;1,0,IF(Reeksen!AK192&gt;Reeksen!AE192,M192*Reeksen!C192,0))</f>
        <v>0</v>
      </c>
      <c r="P192" s="86">
        <f t="shared" ca="1" si="27"/>
        <v>0</v>
      </c>
      <c r="Q192" s="82">
        <f ca="1">IF('Invoer gegevens'!$C$17=E192,I192,IF(C192=0,0,R191))</f>
        <v>0</v>
      </c>
      <c r="R192" s="84">
        <f t="shared" ca="1" si="22"/>
        <v>0</v>
      </c>
      <c r="S192" s="84">
        <f ca="1">IF('Invoer gegevens'!$C$17=E192,M192,IF(C192=0,0,T191))</f>
        <v>0</v>
      </c>
      <c r="T192" s="84">
        <f t="shared" ca="1" si="23"/>
        <v>0</v>
      </c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8"/>
      <c r="AI192" s="71">
        <f ca="1">IF(C192=1,((F192+H192)/2*Reeksen!AJ192*12)+(('Invoer gegevens'!$C$10-(F192+H192)/2)*Reeksen!AK192*12),0)</f>
        <v>0</v>
      </c>
      <c r="AJ192" s="71">
        <f ca="1">-AI192*'Invoer gegevens'!$F$28</f>
        <v>0</v>
      </c>
      <c r="AK192" s="71">
        <f t="shared" ca="1" si="24"/>
        <v>0</v>
      </c>
      <c r="AL192" s="71">
        <f ca="1">IF(C192=1,(12*((F192+H192)/2)*Reeksen!AL192)+(12*('Invoer gegevens'!$C$10-(F192+H192)/2)*Reeksen!AM192),0)</f>
        <v>0</v>
      </c>
      <c r="AM192" s="71">
        <f ca="1">-AL192*'Invoer gegevens'!$F$31</f>
        <v>0</v>
      </c>
      <c r="AN192" s="71">
        <f t="shared" ca="1" si="28"/>
        <v>0</v>
      </c>
      <c r="AO192" s="71"/>
      <c r="AP192" s="71"/>
      <c r="AQ192" s="71">
        <f ca="1">-IF(C192=1,('Invoer gegevens'!$C$10*'Invoer gegevens'!$I$33)*Reeksen!J192,0)*2</f>
        <v>0</v>
      </c>
      <c r="AR192" s="71">
        <f ca="1">-IF(C192=1,(G192*'Invoer gegevens'!$I$34)*Reeksen!J192,0)</f>
        <v>0</v>
      </c>
      <c r="AS192" s="71">
        <f ca="1">-IF(C192=1,'Invoer gegevens'!$C$10*'Invoer gegevens'!$I$35*Reeksen!L192,0)</f>
        <v>0</v>
      </c>
      <c r="AT192" s="71">
        <f ca="1">-IF(C192=1,IF(E192='Invoer gegevens'!$C$17,'Invoer gegevens'!$C$11,Q192)*Reeksen!S192*'Invoer gegevens'!$C$18*Reeksen!P192,0)</f>
        <v>0</v>
      </c>
      <c r="AU192" s="71">
        <f ca="1">-IF(C192=1,'Invoer gegevens'!$C$10*'Invoer gegevens'!$I$36*Reeksen!H192,0)</f>
        <v>0</v>
      </c>
      <c r="AV192" s="71">
        <f t="shared" si="32"/>
        <v>0</v>
      </c>
      <c r="AW192" s="71">
        <f t="shared" ca="1" si="29"/>
        <v>0</v>
      </c>
      <c r="AX192" s="71">
        <f ca="1">IF(E192&lt;'Invoer gegevens'!$C$17+15,0,IF(E192&gt;'Invoer gegevens'!$C$17+215,0,AW192))</f>
        <v>0</v>
      </c>
      <c r="AY192" s="71">
        <f ca="1">AX192/(1+'Invoer gegevens'!$F$13)^($AZ192-('Invoer gegevens'!$C$17-'Invoer gegevens'!$C$16))/(1+'Invoer gegevens'!$C$39)^('Invoer gegevens'!$C$17-'Invoer gegevens'!$C$16)</f>
        <v>0</v>
      </c>
      <c r="AZ192" s="68">
        <f ca="1">IF(E192-'Invoer gegevens'!$C$17-14.5&lt;0,0,E192-'Invoer gegevens'!$C$17-14.5)</f>
        <v>172.5</v>
      </c>
    </row>
    <row r="193" spans="2:52" x14ac:dyDescent="0.25">
      <c r="B193" s="70">
        <f t="shared" si="30"/>
        <v>189</v>
      </c>
      <c r="C193" s="67">
        <f ca="1">IF(E193-'Invoer gegevens'!$C$17&lt;0,0,1)</f>
        <v>1</v>
      </c>
      <c r="D193" s="68">
        <f t="shared" si="31"/>
        <v>188.5</v>
      </c>
      <c r="E193" s="69">
        <f ca="1">IF('Invoer gegevens'!$C$16="","",E192+1)</f>
        <v>2207</v>
      </c>
      <c r="F193" s="82">
        <f ca="1">IF('Invoer gegevens'!$C$17=E193,'Invoer gegevens'!$C$10,IF(C193=1,H192,0))</f>
        <v>0</v>
      </c>
      <c r="G193" s="83">
        <f ca="1">IF(C193&gt;=1,F193*Reeksen!C193,0)</f>
        <v>0</v>
      </c>
      <c r="H193" s="84">
        <f t="shared" ca="1" si="25"/>
        <v>0</v>
      </c>
      <c r="I193" s="85">
        <f ca="1">IF('Invoer gegevens'!$C$17=E193,'Invoer gegevens'!$C$11,IF(C193=1,L192,0))</f>
        <v>0</v>
      </c>
      <c r="J193" s="86">
        <f ca="1">IF(C193&lt;1,0,IF(Reeksen!AK193&lt;=Reeksen!AE193,I193*Reeksen!C193,0))</f>
        <v>0</v>
      </c>
      <c r="K193" s="86">
        <f ca="1">IF(C193&lt;1,0,IF(Reeksen!AK193&gt;Reeksen!AE193,I193*Reeksen!C193,0))</f>
        <v>0</v>
      </c>
      <c r="L193" s="86">
        <f t="shared" ca="1" si="26"/>
        <v>0</v>
      </c>
      <c r="M193" s="85">
        <f ca="1">IF('Invoer gegevens'!$C$17=E193,'Invoer gegevens'!$C$10-'Invoer gegevens'!$C$11,IF(C193=1,P192,0))</f>
        <v>0</v>
      </c>
      <c r="N193" s="86">
        <f ca="1">IF(C193&lt;1,0,IF(Reeksen!AK193&lt;=Reeksen!AE193,M193*Reeksen!C193,0))</f>
        <v>0</v>
      </c>
      <c r="O193" s="86">
        <f ca="1">IF(C193&lt;1,0,IF(Reeksen!AK193&gt;Reeksen!AE193,M193*Reeksen!C193,0))</f>
        <v>0</v>
      </c>
      <c r="P193" s="86">
        <f t="shared" ca="1" si="27"/>
        <v>0</v>
      </c>
      <c r="Q193" s="82">
        <f ca="1">IF('Invoer gegevens'!$C$17=E193,I193,IF(C193=0,0,R192))</f>
        <v>0</v>
      </c>
      <c r="R193" s="84">
        <f t="shared" ca="1" si="22"/>
        <v>0</v>
      </c>
      <c r="S193" s="84">
        <f ca="1">IF('Invoer gegevens'!$C$17=E193,M193,IF(C193=0,0,T192))</f>
        <v>0</v>
      </c>
      <c r="T193" s="84">
        <f t="shared" ca="1" si="23"/>
        <v>0</v>
      </c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8"/>
      <c r="AI193" s="71">
        <f ca="1">IF(C193=1,((F193+H193)/2*Reeksen!AJ193*12)+(('Invoer gegevens'!$C$10-(F193+H193)/2)*Reeksen!AK193*12),0)</f>
        <v>0</v>
      </c>
      <c r="AJ193" s="71">
        <f ca="1">-AI193*'Invoer gegevens'!$F$28</f>
        <v>0</v>
      </c>
      <c r="AK193" s="71">
        <f t="shared" ca="1" si="24"/>
        <v>0</v>
      </c>
      <c r="AL193" s="71">
        <f ca="1">IF(C193=1,(12*((F193+H193)/2)*Reeksen!AL193)+(12*('Invoer gegevens'!$C$10-(F193+H193)/2)*Reeksen!AM193),0)</f>
        <v>0</v>
      </c>
      <c r="AM193" s="71">
        <f ca="1">-AL193*'Invoer gegevens'!$F$31</f>
        <v>0</v>
      </c>
      <c r="AN193" s="71">
        <f t="shared" ca="1" si="28"/>
        <v>0</v>
      </c>
      <c r="AO193" s="71"/>
      <c r="AP193" s="71"/>
      <c r="AQ193" s="71">
        <f ca="1">-IF(C193=1,('Invoer gegevens'!$C$10*'Invoer gegevens'!$I$33)*Reeksen!J193,0)*2</f>
        <v>0</v>
      </c>
      <c r="AR193" s="71">
        <f ca="1">-IF(C193=1,(G193*'Invoer gegevens'!$I$34)*Reeksen!J193,0)</f>
        <v>0</v>
      </c>
      <c r="AS193" s="71">
        <f ca="1">-IF(C193=1,'Invoer gegevens'!$C$10*'Invoer gegevens'!$I$35*Reeksen!L193,0)</f>
        <v>0</v>
      </c>
      <c r="AT193" s="71">
        <f ca="1">-IF(C193=1,IF(E193='Invoer gegevens'!$C$17,'Invoer gegevens'!$C$11,Q193)*Reeksen!S193*'Invoer gegevens'!$C$18*Reeksen!P193,0)</f>
        <v>0</v>
      </c>
      <c r="AU193" s="71">
        <f ca="1">-IF(C193=1,'Invoer gegevens'!$C$10*'Invoer gegevens'!$I$36*Reeksen!H193,0)</f>
        <v>0</v>
      </c>
      <c r="AV193" s="71">
        <f t="shared" si="32"/>
        <v>0</v>
      </c>
      <c r="AW193" s="71">
        <f t="shared" ca="1" si="29"/>
        <v>0</v>
      </c>
      <c r="AX193" s="71">
        <f ca="1">IF(E193&lt;'Invoer gegevens'!$C$17+15,0,IF(E193&gt;'Invoer gegevens'!$C$17+215,0,AW193))</f>
        <v>0</v>
      </c>
      <c r="AY193" s="71">
        <f ca="1">AX193/(1+'Invoer gegevens'!$F$13)^($AZ193-('Invoer gegevens'!$C$17-'Invoer gegevens'!$C$16))/(1+'Invoer gegevens'!$C$39)^('Invoer gegevens'!$C$17-'Invoer gegevens'!$C$16)</f>
        <v>0</v>
      </c>
      <c r="AZ193" s="68">
        <f ca="1">IF(E193-'Invoer gegevens'!$C$17-14.5&lt;0,0,E193-'Invoer gegevens'!$C$17-14.5)</f>
        <v>173.5</v>
      </c>
    </row>
    <row r="194" spans="2:52" x14ac:dyDescent="0.25">
      <c r="B194" s="70">
        <f t="shared" si="30"/>
        <v>190</v>
      </c>
      <c r="C194" s="67">
        <f ca="1">IF(E194-'Invoer gegevens'!$C$17&lt;0,0,1)</f>
        <v>1</v>
      </c>
      <c r="D194" s="68">
        <f t="shared" si="31"/>
        <v>189.5</v>
      </c>
      <c r="E194" s="69">
        <f ca="1">IF('Invoer gegevens'!$C$16="","",E193+1)</f>
        <v>2208</v>
      </c>
      <c r="F194" s="82">
        <f ca="1">IF('Invoer gegevens'!$C$17=E194,'Invoer gegevens'!$C$10,IF(C194=1,H193,0))</f>
        <v>0</v>
      </c>
      <c r="G194" s="83">
        <f ca="1">IF(C194&gt;=1,F194*Reeksen!C194,0)</f>
        <v>0</v>
      </c>
      <c r="H194" s="84">
        <f t="shared" ca="1" si="25"/>
        <v>0</v>
      </c>
      <c r="I194" s="85">
        <f ca="1">IF('Invoer gegevens'!$C$17=E194,'Invoer gegevens'!$C$11,IF(C194=1,L193,0))</f>
        <v>0</v>
      </c>
      <c r="J194" s="86">
        <f ca="1">IF(C194&lt;1,0,IF(Reeksen!AK194&lt;=Reeksen!AE194,I194*Reeksen!C194,0))</f>
        <v>0</v>
      </c>
      <c r="K194" s="86">
        <f ca="1">IF(C194&lt;1,0,IF(Reeksen!AK194&gt;Reeksen!AE194,I194*Reeksen!C194,0))</f>
        <v>0</v>
      </c>
      <c r="L194" s="86">
        <f t="shared" ca="1" si="26"/>
        <v>0</v>
      </c>
      <c r="M194" s="85">
        <f ca="1">IF('Invoer gegevens'!$C$17=E194,'Invoer gegevens'!$C$10-'Invoer gegevens'!$C$11,IF(C194=1,P193,0))</f>
        <v>0</v>
      </c>
      <c r="N194" s="86">
        <f ca="1">IF(C194&lt;1,0,IF(Reeksen!AK194&lt;=Reeksen!AE194,M194*Reeksen!C194,0))</f>
        <v>0</v>
      </c>
      <c r="O194" s="86">
        <f ca="1">IF(C194&lt;1,0,IF(Reeksen!AK194&gt;Reeksen!AE194,M194*Reeksen!C194,0))</f>
        <v>0</v>
      </c>
      <c r="P194" s="86">
        <f t="shared" ca="1" si="27"/>
        <v>0</v>
      </c>
      <c r="Q194" s="82">
        <f ca="1">IF('Invoer gegevens'!$C$17=E194,I194,IF(C194=0,0,R193))</f>
        <v>0</v>
      </c>
      <c r="R194" s="84">
        <f t="shared" ca="1" si="22"/>
        <v>0</v>
      </c>
      <c r="S194" s="84">
        <f ca="1">IF('Invoer gegevens'!$C$17=E194,M194,IF(C194=0,0,T193))</f>
        <v>0</v>
      </c>
      <c r="T194" s="84">
        <f t="shared" ca="1" si="23"/>
        <v>0</v>
      </c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8"/>
      <c r="AI194" s="71">
        <f ca="1">IF(C194=1,((F194+H194)/2*Reeksen!AJ194*12)+(('Invoer gegevens'!$C$10-(F194+H194)/2)*Reeksen!AK194*12),0)</f>
        <v>0</v>
      </c>
      <c r="AJ194" s="71">
        <f ca="1">-AI194*'Invoer gegevens'!$F$28</f>
        <v>0</v>
      </c>
      <c r="AK194" s="71">
        <f t="shared" ca="1" si="24"/>
        <v>0</v>
      </c>
      <c r="AL194" s="71">
        <f ca="1">IF(C194=1,(12*((F194+H194)/2)*Reeksen!AL194)+(12*('Invoer gegevens'!$C$10-(F194+H194)/2)*Reeksen!AM194),0)</f>
        <v>0</v>
      </c>
      <c r="AM194" s="71">
        <f ca="1">-AL194*'Invoer gegevens'!$F$31</f>
        <v>0</v>
      </c>
      <c r="AN194" s="71">
        <f t="shared" ca="1" si="28"/>
        <v>0</v>
      </c>
      <c r="AO194" s="71"/>
      <c r="AP194" s="71"/>
      <c r="AQ194" s="71">
        <f ca="1">-IF(C194=1,('Invoer gegevens'!$C$10*'Invoer gegevens'!$I$33)*Reeksen!J194,0)*2</f>
        <v>0</v>
      </c>
      <c r="AR194" s="71">
        <f ca="1">-IF(C194=1,(G194*'Invoer gegevens'!$I$34)*Reeksen!J194,0)</f>
        <v>0</v>
      </c>
      <c r="AS194" s="71">
        <f ca="1">-IF(C194=1,'Invoer gegevens'!$C$10*'Invoer gegevens'!$I$35*Reeksen!L194,0)</f>
        <v>0</v>
      </c>
      <c r="AT194" s="71">
        <f ca="1">-IF(C194=1,IF(E194='Invoer gegevens'!$C$17,'Invoer gegevens'!$C$11,Q194)*Reeksen!S194*'Invoer gegevens'!$C$18*Reeksen!P194,0)</f>
        <v>0</v>
      </c>
      <c r="AU194" s="71">
        <f ca="1">-IF(C194=1,'Invoer gegevens'!$C$10*'Invoer gegevens'!$I$36*Reeksen!H194,0)</f>
        <v>0</v>
      </c>
      <c r="AV194" s="71">
        <f t="shared" si="32"/>
        <v>0</v>
      </c>
      <c r="AW194" s="71">
        <f t="shared" ca="1" si="29"/>
        <v>0</v>
      </c>
      <c r="AX194" s="71">
        <f ca="1">IF(E194&lt;'Invoer gegevens'!$C$17+15,0,IF(E194&gt;'Invoer gegevens'!$C$17+215,0,AW194))</f>
        <v>0</v>
      </c>
      <c r="AY194" s="71">
        <f ca="1">AX194/(1+'Invoer gegevens'!$F$13)^($AZ194-('Invoer gegevens'!$C$17-'Invoer gegevens'!$C$16))/(1+'Invoer gegevens'!$C$39)^('Invoer gegevens'!$C$17-'Invoer gegevens'!$C$16)</f>
        <v>0</v>
      </c>
      <c r="AZ194" s="68">
        <f ca="1">IF(E194-'Invoer gegevens'!$C$17-14.5&lt;0,0,E194-'Invoer gegevens'!$C$17-14.5)</f>
        <v>174.5</v>
      </c>
    </row>
    <row r="195" spans="2:52" x14ac:dyDescent="0.25">
      <c r="B195" s="70">
        <f t="shared" si="30"/>
        <v>191</v>
      </c>
      <c r="C195" s="67">
        <f ca="1">IF(E195-'Invoer gegevens'!$C$17&lt;0,0,1)</f>
        <v>1</v>
      </c>
      <c r="D195" s="68">
        <f t="shared" si="31"/>
        <v>190.5</v>
      </c>
      <c r="E195" s="69">
        <f ca="1">IF('Invoer gegevens'!$C$16="","",E194+1)</f>
        <v>2209</v>
      </c>
      <c r="F195" s="82">
        <f ca="1">IF('Invoer gegevens'!$C$17=E195,'Invoer gegevens'!$C$10,IF(C195=1,H194,0))</f>
        <v>0</v>
      </c>
      <c r="G195" s="83">
        <f ca="1">IF(C195&gt;=1,F195*Reeksen!C195,0)</f>
        <v>0</v>
      </c>
      <c r="H195" s="84">
        <f t="shared" ca="1" si="25"/>
        <v>0</v>
      </c>
      <c r="I195" s="85">
        <f ca="1">IF('Invoer gegevens'!$C$17=E195,'Invoer gegevens'!$C$11,IF(C195=1,L194,0))</f>
        <v>0</v>
      </c>
      <c r="J195" s="86">
        <f ca="1">IF(C195&lt;1,0,IF(Reeksen!AK195&lt;=Reeksen!AE195,I195*Reeksen!C195,0))</f>
        <v>0</v>
      </c>
      <c r="K195" s="86">
        <f ca="1">IF(C195&lt;1,0,IF(Reeksen!AK195&gt;Reeksen!AE195,I195*Reeksen!C195,0))</f>
        <v>0</v>
      </c>
      <c r="L195" s="86">
        <f t="shared" ca="1" si="26"/>
        <v>0</v>
      </c>
      <c r="M195" s="85">
        <f ca="1">IF('Invoer gegevens'!$C$17=E195,'Invoer gegevens'!$C$10-'Invoer gegevens'!$C$11,IF(C195=1,P194,0))</f>
        <v>0</v>
      </c>
      <c r="N195" s="86">
        <f ca="1">IF(C195&lt;1,0,IF(Reeksen!AK195&lt;=Reeksen!AE195,M195*Reeksen!C195,0))</f>
        <v>0</v>
      </c>
      <c r="O195" s="86">
        <f ca="1">IF(C195&lt;1,0,IF(Reeksen!AK195&gt;Reeksen!AE195,M195*Reeksen!C195,0))</f>
        <v>0</v>
      </c>
      <c r="P195" s="86">
        <f t="shared" ca="1" si="27"/>
        <v>0</v>
      </c>
      <c r="Q195" s="82">
        <f ca="1">IF('Invoer gegevens'!$C$17=E195,I195,IF(C195=0,0,R194))</f>
        <v>0</v>
      </c>
      <c r="R195" s="84">
        <f t="shared" ca="1" si="22"/>
        <v>0</v>
      </c>
      <c r="S195" s="84">
        <f ca="1">IF('Invoer gegevens'!$C$17=E195,M195,IF(C195=0,0,T194))</f>
        <v>0</v>
      </c>
      <c r="T195" s="84">
        <f t="shared" ca="1" si="23"/>
        <v>0</v>
      </c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8"/>
      <c r="AI195" s="71">
        <f ca="1">IF(C195=1,((F195+H195)/2*Reeksen!AJ195*12)+(('Invoer gegevens'!$C$10-(F195+H195)/2)*Reeksen!AK195*12),0)</f>
        <v>0</v>
      </c>
      <c r="AJ195" s="71">
        <f ca="1">-AI195*'Invoer gegevens'!$F$28</f>
        <v>0</v>
      </c>
      <c r="AK195" s="71">
        <f t="shared" ca="1" si="24"/>
        <v>0</v>
      </c>
      <c r="AL195" s="71">
        <f ca="1">IF(C195=1,(12*((F195+H195)/2)*Reeksen!AL195)+(12*('Invoer gegevens'!$C$10-(F195+H195)/2)*Reeksen!AM195),0)</f>
        <v>0</v>
      </c>
      <c r="AM195" s="71">
        <f ca="1">-AL195*'Invoer gegevens'!$F$31</f>
        <v>0</v>
      </c>
      <c r="AN195" s="71">
        <f t="shared" ca="1" si="28"/>
        <v>0</v>
      </c>
      <c r="AO195" s="71"/>
      <c r="AP195" s="71"/>
      <c r="AQ195" s="71">
        <f ca="1">-IF(C195=1,('Invoer gegevens'!$C$10*'Invoer gegevens'!$I$33)*Reeksen!J195,0)*2</f>
        <v>0</v>
      </c>
      <c r="AR195" s="71">
        <f ca="1">-IF(C195=1,(G195*'Invoer gegevens'!$I$34)*Reeksen!J195,0)</f>
        <v>0</v>
      </c>
      <c r="AS195" s="71">
        <f ca="1">-IF(C195=1,'Invoer gegevens'!$C$10*'Invoer gegevens'!$I$35*Reeksen!L195,0)</f>
        <v>0</v>
      </c>
      <c r="AT195" s="71">
        <f ca="1">-IF(C195=1,IF(E195='Invoer gegevens'!$C$17,'Invoer gegevens'!$C$11,Q195)*Reeksen!S195*'Invoer gegevens'!$C$18*Reeksen!P195,0)</f>
        <v>0</v>
      </c>
      <c r="AU195" s="71">
        <f ca="1">-IF(C195=1,'Invoer gegevens'!$C$10*'Invoer gegevens'!$I$36*Reeksen!H195,0)</f>
        <v>0</v>
      </c>
      <c r="AV195" s="71">
        <f t="shared" si="32"/>
        <v>0</v>
      </c>
      <c r="AW195" s="71">
        <f t="shared" ca="1" si="29"/>
        <v>0</v>
      </c>
      <c r="AX195" s="71">
        <f ca="1">IF(E195&lt;'Invoer gegevens'!$C$17+15,0,IF(E195&gt;'Invoer gegevens'!$C$17+215,0,AW195))</f>
        <v>0</v>
      </c>
      <c r="AY195" s="71">
        <f ca="1">AX195/(1+'Invoer gegevens'!$F$13)^($AZ195-('Invoer gegevens'!$C$17-'Invoer gegevens'!$C$16))/(1+'Invoer gegevens'!$C$39)^('Invoer gegevens'!$C$17-'Invoer gegevens'!$C$16)</f>
        <v>0</v>
      </c>
      <c r="AZ195" s="68">
        <f ca="1">IF(E195-'Invoer gegevens'!$C$17-14.5&lt;0,0,E195-'Invoer gegevens'!$C$17-14.5)</f>
        <v>175.5</v>
      </c>
    </row>
    <row r="196" spans="2:52" x14ac:dyDescent="0.25">
      <c r="B196" s="70">
        <f t="shared" si="30"/>
        <v>192</v>
      </c>
      <c r="C196" s="67">
        <f ca="1">IF(E196-'Invoer gegevens'!$C$17&lt;0,0,1)</f>
        <v>1</v>
      </c>
      <c r="D196" s="68">
        <f t="shared" si="31"/>
        <v>191.5</v>
      </c>
      <c r="E196" s="69">
        <f ca="1">IF('Invoer gegevens'!$C$16="","",E195+1)</f>
        <v>2210</v>
      </c>
      <c r="F196" s="82">
        <f ca="1">IF('Invoer gegevens'!$C$17=E196,'Invoer gegevens'!$C$10,IF(C196=1,H195,0))</f>
        <v>0</v>
      </c>
      <c r="G196" s="83">
        <f ca="1">IF(C196&gt;=1,F196*Reeksen!C196,0)</f>
        <v>0</v>
      </c>
      <c r="H196" s="84">
        <f t="shared" ca="1" si="25"/>
        <v>0</v>
      </c>
      <c r="I196" s="85">
        <f ca="1">IF('Invoer gegevens'!$C$17=E196,'Invoer gegevens'!$C$11,IF(C196=1,L195,0))</f>
        <v>0</v>
      </c>
      <c r="J196" s="86">
        <f ca="1">IF(C196&lt;1,0,IF(Reeksen!AK196&lt;=Reeksen!AE196,I196*Reeksen!C196,0))</f>
        <v>0</v>
      </c>
      <c r="K196" s="86">
        <f ca="1">IF(C196&lt;1,0,IF(Reeksen!AK196&gt;Reeksen!AE196,I196*Reeksen!C196,0))</f>
        <v>0</v>
      </c>
      <c r="L196" s="86">
        <f t="shared" ca="1" si="26"/>
        <v>0</v>
      </c>
      <c r="M196" s="85">
        <f ca="1">IF('Invoer gegevens'!$C$17=E196,'Invoer gegevens'!$C$10-'Invoer gegevens'!$C$11,IF(C196=1,P195,0))</f>
        <v>0</v>
      </c>
      <c r="N196" s="86">
        <f ca="1">IF(C196&lt;1,0,IF(Reeksen!AK196&lt;=Reeksen!AE196,M196*Reeksen!C196,0))</f>
        <v>0</v>
      </c>
      <c r="O196" s="86">
        <f ca="1">IF(C196&lt;1,0,IF(Reeksen!AK196&gt;Reeksen!AE196,M196*Reeksen!C196,0))</f>
        <v>0</v>
      </c>
      <c r="P196" s="86">
        <f t="shared" ca="1" si="27"/>
        <v>0</v>
      </c>
      <c r="Q196" s="82">
        <f ca="1">IF('Invoer gegevens'!$C$17=E196,I196,IF(C196=0,0,R195))</f>
        <v>0</v>
      </c>
      <c r="R196" s="84">
        <f t="shared" ca="1" si="22"/>
        <v>0</v>
      </c>
      <c r="S196" s="84">
        <f ca="1">IF('Invoer gegevens'!$C$17=E196,M196,IF(C196=0,0,T195))</f>
        <v>0</v>
      </c>
      <c r="T196" s="84">
        <f t="shared" ca="1" si="23"/>
        <v>0</v>
      </c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8"/>
      <c r="AI196" s="71">
        <f ca="1">IF(C196=1,((F196+H196)/2*Reeksen!AJ196*12)+(('Invoer gegevens'!$C$10-(F196+H196)/2)*Reeksen!AK196*12),0)</f>
        <v>0</v>
      </c>
      <c r="AJ196" s="71">
        <f ca="1">-AI196*'Invoer gegevens'!$F$28</f>
        <v>0</v>
      </c>
      <c r="AK196" s="71">
        <f t="shared" ca="1" si="24"/>
        <v>0</v>
      </c>
      <c r="AL196" s="71">
        <f ca="1">IF(C196=1,(12*((F196+H196)/2)*Reeksen!AL196)+(12*('Invoer gegevens'!$C$10-(F196+H196)/2)*Reeksen!AM196),0)</f>
        <v>0</v>
      </c>
      <c r="AM196" s="71">
        <f ca="1">-AL196*'Invoer gegevens'!$F$31</f>
        <v>0</v>
      </c>
      <c r="AN196" s="71">
        <f t="shared" ca="1" si="28"/>
        <v>0</v>
      </c>
      <c r="AO196" s="71"/>
      <c r="AP196" s="71"/>
      <c r="AQ196" s="71">
        <f ca="1">-IF(C196=1,('Invoer gegevens'!$C$10*'Invoer gegevens'!$I$33)*Reeksen!J196,0)*2</f>
        <v>0</v>
      </c>
      <c r="AR196" s="71">
        <f ca="1">-IF(C196=1,(G196*'Invoer gegevens'!$I$34)*Reeksen!J196,0)</f>
        <v>0</v>
      </c>
      <c r="AS196" s="71">
        <f ca="1">-IF(C196=1,'Invoer gegevens'!$C$10*'Invoer gegevens'!$I$35*Reeksen!L196,0)</f>
        <v>0</v>
      </c>
      <c r="AT196" s="71">
        <f ca="1">-IF(C196=1,IF(E196='Invoer gegevens'!$C$17,'Invoer gegevens'!$C$11,Q196)*Reeksen!S196*'Invoer gegevens'!$C$18*Reeksen!P196,0)</f>
        <v>0</v>
      </c>
      <c r="AU196" s="71">
        <f ca="1">-IF(C196=1,'Invoer gegevens'!$C$10*'Invoer gegevens'!$I$36*Reeksen!H196,0)</f>
        <v>0</v>
      </c>
      <c r="AV196" s="71">
        <f t="shared" si="32"/>
        <v>0</v>
      </c>
      <c r="AW196" s="71">
        <f t="shared" ca="1" si="29"/>
        <v>0</v>
      </c>
      <c r="AX196" s="71">
        <f ca="1">IF(E196&lt;'Invoer gegevens'!$C$17+15,0,IF(E196&gt;'Invoer gegevens'!$C$17+215,0,AW196))</f>
        <v>0</v>
      </c>
      <c r="AY196" s="71">
        <f ca="1">AX196/(1+'Invoer gegevens'!$F$13)^($AZ196-('Invoer gegevens'!$C$17-'Invoer gegevens'!$C$16))/(1+'Invoer gegevens'!$C$39)^('Invoer gegevens'!$C$17-'Invoer gegevens'!$C$16)</f>
        <v>0</v>
      </c>
      <c r="AZ196" s="68">
        <f ca="1">IF(E196-'Invoer gegevens'!$C$17-14.5&lt;0,0,E196-'Invoer gegevens'!$C$17-14.5)</f>
        <v>176.5</v>
      </c>
    </row>
    <row r="197" spans="2:52" x14ac:dyDescent="0.25">
      <c r="B197" s="70">
        <f t="shared" si="30"/>
        <v>193</v>
      </c>
      <c r="C197" s="67">
        <f ca="1">IF(E197-'Invoer gegevens'!$C$17&lt;0,0,1)</f>
        <v>1</v>
      </c>
      <c r="D197" s="68">
        <f t="shared" si="31"/>
        <v>192.5</v>
      </c>
      <c r="E197" s="69">
        <f ca="1">IF('Invoer gegevens'!$C$16="","",E196+1)</f>
        <v>2211</v>
      </c>
      <c r="F197" s="82">
        <f ca="1">IF('Invoer gegevens'!$C$17=E197,'Invoer gegevens'!$C$10,IF(C197=1,H196,0))</f>
        <v>0</v>
      </c>
      <c r="G197" s="83">
        <f ca="1">IF(C197&gt;=1,F197*Reeksen!C197,0)</f>
        <v>0</v>
      </c>
      <c r="H197" s="84">
        <f t="shared" ca="1" si="25"/>
        <v>0</v>
      </c>
      <c r="I197" s="85">
        <f ca="1">IF('Invoer gegevens'!$C$17=E197,'Invoer gegevens'!$C$11,IF(C197=1,L196,0))</f>
        <v>0</v>
      </c>
      <c r="J197" s="86">
        <f ca="1">IF(C197&lt;1,0,IF(Reeksen!AK197&lt;=Reeksen!AE197,I197*Reeksen!C197,0))</f>
        <v>0</v>
      </c>
      <c r="K197" s="86">
        <f ca="1">IF(C197&lt;1,0,IF(Reeksen!AK197&gt;Reeksen!AE197,I197*Reeksen!C197,0))</f>
        <v>0</v>
      </c>
      <c r="L197" s="86">
        <f t="shared" ca="1" si="26"/>
        <v>0</v>
      </c>
      <c r="M197" s="85">
        <f ca="1">IF('Invoer gegevens'!$C$17=E197,'Invoer gegevens'!$C$10-'Invoer gegevens'!$C$11,IF(C197=1,P196,0))</f>
        <v>0</v>
      </c>
      <c r="N197" s="86">
        <f ca="1">IF(C197&lt;1,0,IF(Reeksen!AK197&lt;=Reeksen!AE197,M197*Reeksen!C197,0))</f>
        <v>0</v>
      </c>
      <c r="O197" s="86">
        <f ca="1">IF(C197&lt;1,0,IF(Reeksen!AK197&gt;Reeksen!AE197,M197*Reeksen!C197,0))</f>
        <v>0</v>
      </c>
      <c r="P197" s="86">
        <f t="shared" ca="1" si="27"/>
        <v>0</v>
      </c>
      <c r="Q197" s="82">
        <f ca="1">IF('Invoer gegevens'!$C$17=E197,I197,IF(C197=0,0,R196))</f>
        <v>0</v>
      </c>
      <c r="R197" s="84">
        <f t="shared" ref="R197:R234" ca="1" si="33">IF(C197=0,0,Q197-K197+N197)</f>
        <v>0</v>
      </c>
      <c r="S197" s="84">
        <f ca="1">IF('Invoer gegevens'!$C$17=E197,M197,IF(C197=0,0,T196))</f>
        <v>0</v>
      </c>
      <c r="T197" s="84">
        <f t="shared" ref="T197:T234" ca="1" si="34">IF(C197=0,0,S197-N197+K197)</f>
        <v>0</v>
      </c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8"/>
      <c r="AI197" s="71">
        <f ca="1">IF(C197=1,((F197+H197)/2*Reeksen!AJ197*12)+(('Invoer gegevens'!$C$10-(F197+H197)/2)*Reeksen!AK197*12),0)</f>
        <v>0</v>
      </c>
      <c r="AJ197" s="71">
        <f ca="1">-AI197*'Invoer gegevens'!$F$28</f>
        <v>0</v>
      </c>
      <c r="AK197" s="71">
        <f t="shared" ref="AK197:AK234" ca="1" si="35">AI197+AJ197</f>
        <v>0</v>
      </c>
      <c r="AL197" s="71">
        <f ca="1">IF(C197=1,(12*((F197+H197)/2)*Reeksen!AL197)+(12*('Invoer gegevens'!$C$10-(F197+H197)/2)*Reeksen!AM197),0)</f>
        <v>0</v>
      </c>
      <c r="AM197" s="71">
        <f ca="1">-AL197*'Invoer gegevens'!$F$31</f>
        <v>0</v>
      </c>
      <c r="AN197" s="71">
        <f t="shared" ca="1" si="28"/>
        <v>0</v>
      </c>
      <c r="AO197" s="71"/>
      <c r="AP197" s="71"/>
      <c r="AQ197" s="71">
        <f ca="1">-IF(C197=1,('Invoer gegevens'!$C$10*'Invoer gegevens'!$I$33)*Reeksen!J197,0)*2</f>
        <v>0</v>
      </c>
      <c r="AR197" s="71">
        <f ca="1">-IF(C197=1,(G197*'Invoer gegevens'!$I$34)*Reeksen!J197,0)</f>
        <v>0</v>
      </c>
      <c r="AS197" s="71">
        <f ca="1">-IF(C197=1,'Invoer gegevens'!$C$10*'Invoer gegevens'!$I$35*Reeksen!L197,0)</f>
        <v>0</v>
      </c>
      <c r="AT197" s="71">
        <f ca="1">-IF(C197=1,IF(E197='Invoer gegevens'!$C$17,'Invoer gegevens'!$C$11,Q197)*Reeksen!S197*'Invoer gegevens'!$C$18*Reeksen!P197,0)</f>
        <v>0</v>
      </c>
      <c r="AU197" s="71">
        <f ca="1">-IF(C197=1,'Invoer gegevens'!$C$10*'Invoer gegevens'!$I$36*Reeksen!H197,0)</f>
        <v>0</v>
      </c>
      <c r="AV197" s="71">
        <f t="shared" si="32"/>
        <v>0</v>
      </c>
      <c r="AW197" s="71">
        <f t="shared" ca="1" si="29"/>
        <v>0</v>
      </c>
      <c r="AX197" s="71">
        <f ca="1">IF(E197&lt;'Invoer gegevens'!$C$17+15,0,IF(E197&gt;'Invoer gegevens'!$C$17+215,0,AW197))</f>
        <v>0</v>
      </c>
      <c r="AY197" s="71">
        <f ca="1">AX197/(1+'Invoer gegevens'!$F$13)^($AZ197-('Invoer gegevens'!$C$17-'Invoer gegevens'!$C$16))/(1+'Invoer gegevens'!$C$39)^('Invoer gegevens'!$C$17-'Invoer gegevens'!$C$16)</f>
        <v>0</v>
      </c>
      <c r="AZ197" s="68">
        <f ca="1">IF(E197-'Invoer gegevens'!$C$17-14.5&lt;0,0,E197-'Invoer gegevens'!$C$17-14.5)</f>
        <v>177.5</v>
      </c>
    </row>
    <row r="198" spans="2:52" x14ac:dyDescent="0.25">
      <c r="B198" s="70">
        <f t="shared" si="30"/>
        <v>194</v>
      </c>
      <c r="C198" s="67">
        <f ca="1">IF(E198-'Invoer gegevens'!$C$17&lt;0,0,1)</f>
        <v>1</v>
      </c>
      <c r="D198" s="68">
        <f t="shared" si="31"/>
        <v>193.5</v>
      </c>
      <c r="E198" s="69">
        <f ca="1">IF('Invoer gegevens'!$C$16="","",E197+1)</f>
        <v>2212</v>
      </c>
      <c r="F198" s="82">
        <f ca="1">IF('Invoer gegevens'!$C$17=E198,'Invoer gegevens'!$C$10,IF(C198=1,H197,0))</f>
        <v>0</v>
      </c>
      <c r="G198" s="83">
        <f ca="1">IF(C198&gt;=1,F198*Reeksen!C198,0)</f>
        <v>0</v>
      </c>
      <c r="H198" s="84">
        <f t="shared" ref="H198:H234" ca="1" si="36">F198-G198</f>
        <v>0</v>
      </c>
      <c r="I198" s="85">
        <f ca="1">IF('Invoer gegevens'!$C$17=E198,'Invoer gegevens'!$C$11,IF(C198=1,L197,0))</f>
        <v>0</v>
      </c>
      <c r="J198" s="86">
        <f ca="1">IF(C198&lt;1,0,IF(Reeksen!AK198&lt;=Reeksen!AE198,I198*Reeksen!C198,0))</f>
        <v>0</v>
      </c>
      <c r="K198" s="86">
        <f ca="1">IF(C198&lt;1,0,IF(Reeksen!AK198&gt;Reeksen!AE198,I198*Reeksen!C198,0))</f>
        <v>0</v>
      </c>
      <c r="L198" s="86">
        <f t="shared" ref="L198:L234" ca="1" si="37">I198-J198-K198</f>
        <v>0</v>
      </c>
      <c r="M198" s="85">
        <f ca="1">IF('Invoer gegevens'!$C$17=E198,'Invoer gegevens'!$C$10-'Invoer gegevens'!$C$11,IF(C198=1,P197,0))</f>
        <v>0</v>
      </c>
      <c r="N198" s="86">
        <f ca="1">IF(C198&lt;1,0,IF(Reeksen!AK198&lt;=Reeksen!AE198,M198*Reeksen!C198,0))</f>
        <v>0</v>
      </c>
      <c r="O198" s="86">
        <f ca="1">IF(C198&lt;1,0,IF(Reeksen!AK198&gt;Reeksen!AE198,M198*Reeksen!C198,0))</f>
        <v>0</v>
      </c>
      <c r="P198" s="86">
        <f t="shared" ref="P198:P234" ca="1" si="38">M198-N198-O198</f>
        <v>0</v>
      </c>
      <c r="Q198" s="82">
        <f ca="1">IF('Invoer gegevens'!$C$17=E198,I198,IF(C198=0,0,R197))</f>
        <v>0</v>
      </c>
      <c r="R198" s="84">
        <f t="shared" ca="1" si="33"/>
        <v>0</v>
      </c>
      <c r="S198" s="84">
        <f ca="1">IF('Invoer gegevens'!$C$17=E198,M198,IF(C198=0,0,T197))</f>
        <v>0</v>
      </c>
      <c r="T198" s="84">
        <f t="shared" ca="1" si="34"/>
        <v>0</v>
      </c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8"/>
      <c r="AI198" s="71">
        <f ca="1">IF(C198=1,((F198+H198)/2*Reeksen!AJ198*12)+(('Invoer gegevens'!$C$10-(F198+H198)/2)*Reeksen!AK198*12),0)</f>
        <v>0</v>
      </c>
      <c r="AJ198" s="71">
        <f ca="1">-AI198*'Invoer gegevens'!$F$28</f>
        <v>0</v>
      </c>
      <c r="AK198" s="71">
        <f t="shared" ca="1" si="35"/>
        <v>0</v>
      </c>
      <c r="AL198" s="71">
        <f ca="1">IF(C198=1,(12*((F198+H198)/2)*Reeksen!AL198)+(12*('Invoer gegevens'!$C$10-(F198+H198)/2)*Reeksen!AM198),0)</f>
        <v>0</v>
      </c>
      <c r="AM198" s="71">
        <f ca="1">-AL198*'Invoer gegevens'!$F$31</f>
        <v>0</v>
      </c>
      <c r="AN198" s="71">
        <f t="shared" ref="AN198:AN234" ca="1" si="39">AL198+AM198</f>
        <v>0</v>
      </c>
      <c r="AO198" s="71"/>
      <c r="AP198" s="71"/>
      <c r="AQ198" s="71">
        <f ca="1">-IF(C198=1,('Invoer gegevens'!$C$10*'Invoer gegevens'!$I$33)*Reeksen!J198,0)*2</f>
        <v>0</v>
      </c>
      <c r="AR198" s="71">
        <f ca="1">-IF(C198=1,(G198*'Invoer gegevens'!$I$34)*Reeksen!J198,0)</f>
        <v>0</v>
      </c>
      <c r="AS198" s="71">
        <f ca="1">-IF(C198=1,'Invoer gegevens'!$C$10*'Invoer gegevens'!$I$35*Reeksen!L198,0)</f>
        <v>0</v>
      </c>
      <c r="AT198" s="71">
        <f ca="1">-IF(C198=1,IF(E198='Invoer gegevens'!$C$17,'Invoer gegevens'!$C$11,Q198)*Reeksen!S198*'Invoer gegevens'!$C$18*Reeksen!P198,0)</f>
        <v>0</v>
      </c>
      <c r="AU198" s="71">
        <f ca="1">-IF(C198=1,'Invoer gegevens'!$C$10*'Invoer gegevens'!$I$36*Reeksen!H198,0)</f>
        <v>0</v>
      </c>
      <c r="AV198" s="71">
        <f t="shared" si="32"/>
        <v>0</v>
      </c>
      <c r="AW198" s="71">
        <f t="shared" ref="AW198:AW234" ca="1" si="40">SUM(AK198,AN198:AV198)</f>
        <v>0</v>
      </c>
      <c r="AX198" s="71">
        <f ca="1">IF(E198&lt;'Invoer gegevens'!$C$17+15,0,IF(E198&gt;'Invoer gegevens'!$C$17+215,0,AW198))</f>
        <v>0</v>
      </c>
      <c r="AY198" s="71">
        <f ca="1">AX198/(1+'Invoer gegevens'!$F$13)^($AZ198-('Invoer gegevens'!$C$17-'Invoer gegevens'!$C$16))/(1+'Invoer gegevens'!$C$39)^('Invoer gegevens'!$C$17-'Invoer gegevens'!$C$16)</f>
        <v>0</v>
      </c>
      <c r="AZ198" s="68">
        <f ca="1">IF(E198-'Invoer gegevens'!$C$17-14.5&lt;0,0,E198-'Invoer gegevens'!$C$17-14.5)</f>
        <v>178.5</v>
      </c>
    </row>
    <row r="199" spans="2:52" x14ac:dyDescent="0.25">
      <c r="B199" s="70">
        <f t="shared" ref="B199:B234" si="41">B198+1</f>
        <v>195</v>
      </c>
      <c r="C199" s="67">
        <f ca="1">IF(E199-'Invoer gegevens'!$C$17&lt;0,0,1)</f>
        <v>1</v>
      </c>
      <c r="D199" s="68">
        <f t="shared" ref="D199:D234" si="42">D198+1</f>
        <v>194.5</v>
      </c>
      <c r="E199" s="69">
        <f ca="1">IF('Invoer gegevens'!$C$16="","",E198+1)</f>
        <v>2213</v>
      </c>
      <c r="F199" s="82">
        <f ca="1">IF('Invoer gegevens'!$C$17=E199,'Invoer gegevens'!$C$10,IF(C199=1,H198,0))</f>
        <v>0</v>
      </c>
      <c r="G199" s="83">
        <f ca="1">IF(C199&gt;=1,F199*Reeksen!C199,0)</f>
        <v>0</v>
      </c>
      <c r="H199" s="84">
        <f t="shared" ca="1" si="36"/>
        <v>0</v>
      </c>
      <c r="I199" s="85">
        <f ca="1">IF('Invoer gegevens'!$C$17=E199,'Invoer gegevens'!$C$11,IF(C199=1,L198,0))</f>
        <v>0</v>
      </c>
      <c r="J199" s="86">
        <f ca="1">IF(C199&lt;1,0,IF(Reeksen!AK199&lt;=Reeksen!AE199,I199*Reeksen!C199,0))</f>
        <v>0</v>
      </c>
      <c r="K199" s="86">
        <f ca="1">IF(C199&lt;1,0,IF(Reeksen!AK199&gt;Reeksen!AE199,I199*Reeksen!C199,0))</f>
        <v>0</v>
      </c>
      <c r="L199" s="86">
        <f t="shared" ca="1" si="37"/>
        <v>0</v>
      </c>
      <c r="M199" s="85">
        <f ca="1">IF('Invoer gegevens'!$C$17=E199,'Invoer gegevens'!$C$10-'Invoer gegevens'!$C$11,IF(C199=1,P198,0))</f>
        <v>0</v>
      </c>
      <c r="N199" s="86">
        <f ca="1">IF(C199&lt;1,0,IF(Reeksen!AK199&lt;=Reeksen!AE199,M199*Reeksen!C199,0))</f>
        <v>0</v>
      </c>
      <c r="O199" s="86">
        <f ca="1">IF(C199&lt;1,0,IF(Reeksen!AK199&gt;Reeksen!AE199,M199*Reeksen!C199,0))</f>
        <v>0</v>
      </c>
      <c r="P199" s="86">
        <f t="shared" ca="1" si="38"/>
        <v>0</v>
      </c>
      <c r="Q199" s="82">
        <f ca="1">IF('Invoer gegevens'!$C$17=E199,I199,IF(C199=0,0,R198))</f>
        <v>0</v>
      </c>
      <c r="R199" s="84">
        <f t="shared" ca="1" si="33"/>
        <v>0</v>
      </c>
      <c r="S199" s="84">
        <f ca="1">IF('Invoer gegevens'!$C$17=E199,M199,IF(C199=0,0,T198))</f>
        <v>0</v>
      </c>
      <c r="T199" s="84">
        <f t="shared" ca="1" si="34"/>
        <v>0</v>
      </c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8"/>
      <c r="AI199" s="71">
        <f ca="1">IF(C199=1,((F199+H199)/2*Reeksen!AJ199*12)+(('Invoer gegevens'!$C$10-(F199+H199)/2)*Reeksen!AK199*12),0)</f>
        <v>0</v>
      </c>
      <c r="AJ199" s="71">
        <f ca="1">-AI199*'Invoer gegevens'!$F$28</f>
        <v>0</v>
      </c>
      <c r="AK199" s="71">
        <f t="shared" ca="1" si="35"/>
        <v>0</v>
      </c>
      <c r="AL199" s="71">
        <f ca="1">IF(C199=1,(12*((F199+H199)/2)*Reeksen!AL199)+(12*('Invoer gegevens'!$C$10-(F199+H199)/2)*Reeksen!AM199),0)</f>
        <v>0</v>
      </c>
      <c r="AM199" s="71">
        <f ca="1">-AL199*'Invoer gegevens'!$F$31</f>
        <v>0</v>
      </c>
      <c r="AN199" s="71">
        <f t="shared" ca="1" si="39"/>
        <v>0</v>
      </c>
      <c r="AO199" s="71"/>
      <c r="AP199" s="71"/>
      <c r="AQ199" s="71">
        <f ca="1">-IF(C199=1,('Invoer gegevens'!$C$10*'Invoer gegevens'!$I$33)*Reeksen!J199,0)*2</f>
        <v>0</v>
      </c>
      <c r="AR199" s="71">
        <f ca="1">-IF(C199=1,(G199*'Invoer gegevens'!$I$34)*Reeksen!J199,0)</f>
        <v>0</v>
      </c>
      <c r="AS199" s="71">
        <f ca="1">-IF(C199=1,'Invoer gegevens'!$C$10*'Invoer gegevens'!$I$35*Reeksen!L199,0)</f>
        <v>0</v>
      </c>
      <c r="AT199" s="71">
        <f ca="1">-IF(C199=1,IF(E199='Invoer gegevens'!$C$17,'Invoer gegevens'!$C$11,Q199)*Reeksen!S199*'Invoer gegevens'!$C$18*Reeksen!P199,0)</f>
        <v>0</v>
      </c>
      <c r="AU199" s="71">
        <f ca="1">-IF(C199=1,'Invoer gegevens'!$C$10*'Invoer gegevens'!$I$36*Reeksen!H199,0)</f>
        <v>0</v>
      </c>
      <c r="AV199" s="71">
        <f t="shared" si="32"/>
        <v>0</v>
      </c>
      <c r="AW199" s="71">
        <f t="shared" ca="1" si="40"/>
        <v>0</v>
      </c>
      <c r="AX199" s="71">
        <f ca="1">IF(E199&lt;'Invoer gegevens'!$C$17+15,0,IF(E199&gt;'Invoer gegevens'!$C$17+215,0,AW199))</f>
        <v>0</v>
      </c>
      <c r="AY199" s="71">
        <f ca="1">AX199/(1+'Invoer gegevens'!$F$13)^($AZ199-('Invoer gegevens'!$C$17-'Invoer gegevens'!$C$16))/(1+'Invoer gegevens'!$C$39)^('Invoer gegevens'!$C$17-'Invoer gegevens'!$C$16)</f>
        <v>0</v>
      </c>
      <c r="AZ199" s="68">
        <f ca="1">IF(E199-'Invoer gegevens'!$C$17-14.5&lt;0,0,E199-'Invoer gegevens'!$C$17-14.5)</f>
        <v>179.5</v>
      </c>
    </row>
    <row r="200" spans="2:52" x14ac:dyDescent="0.25">
      <c r="B200" s="70">
        <f t="shared" si="41"/>
        <v>196</v>
      </c>
      <c r="C200" s="67">
        <f ca="1">IF(E200-'Invoer gegevens'!$C$17&lt;0,0,1)</f>
        <v>1</v>
      </c>
      <c r="D200" s="68">
        <f t="shared" si="42"/>
        <v>195.5</v>
      </c>
      <c r="E200" s="69">
        <f ca="1">IF('Invoer gegevens'!$C$16="","",E199+1)</f>
        <v>2214</v>
      </c>
      <c r="F200" s="82">
        <f ca="1">IF('Invoer gegevens'!$C$17=E200,'Invoer gegevens'!$C$10,IF(C200=1,H199,0))</f>
        <v>0</v>
      </c>
      <c r="G200" s="83">
        <f ca="1">IF(C200&gt;=1,F200*Reeksen!C200,0)</f>
        <v>0</v>
      </c>
      <c r="H200" s="84">
        <f t="shared" ca="1" si="36"/>
        <v>0</v>
      </c>
      <c r="I200" s="85">
        <f ca="1">IF('Invoer gegevens'!$C$17=E200,'Invoer gegevens'!$C$11,IF(C200=1,L199,0))</f>
        <v>0</v>
      </c>
      <c r="J200" s="86">
        <f ca="1">IF(C200&lt;1,0,IF(Reeksen!AK200&lt;=Reeksen!AE200,I200*Reeksen!C200,0))</f>
        <v>0</v>
      </c>
      <c r="K200" s="86">
        <f ca="1">IF(C200&lt;1,0,IF(Reeksen!AK200&gt;Reeksen!AE200,I200*Reeksen!C200,0))</f>
        <v>0</v>
      </c>
      <c r="L200" s="86">
        <f t="shared" ca="1" si="37"/>
        <v>0</v>
      </c>
      <c r="M200" s="85">
        <f ca="1">IF('Invoer gegevens'!$C$17=E200,'Invoer gegevens'!$C$10-'Invoer gegevens'!$C$11,IF(C200=1,P199,0))</f>
        <v>0</v>
      </c>
      <c r="N200" s="86">
        <f ca="1">IF(C200&lt;1,0,IF(Reeksen!AK200&lt;=Reeksen!AE200,M200*Reeksen!C200,0))</f>
        <v>0</v>
      </c>
      <c r="O200" s="86">
        <f ca="1">IF(C200&lt;1,0,IF(Reeksen!AK200&gt;Reeksen!AE200,M200*Reeksen!C200,0))</f>
        <v>0</v>
      </c>
      <c r="P200" s="86">
        <f t="shared" ca="1" si="38"/>
        <v>0</v>
      </c>
      <c r="Q200" s="82">
        <f ca="1">IF('Invoer gegevens'!$C$17=E200,I200,IF(C200=0,0,R199))</f>
        <v>0</v>
      </c>
      <c r="R200" s="84">
        <f t="shared" ca="1" si="33"/>
        <v>0</v>
      </c>
      <c r="S200" s="84">
        <f ca="1">IF('Invoer gegevens'!$C$17=E200,M200,IF(C200=0,0,T199))</f>
        <v>0</v>
      </c>
      <c r="T200" s="84">
        <f t="shared" ca="1" si="34"/>
        <v>0</v>
      </c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8"/>
      <c r="AI200" s="71">
        <f ca="1">IF(C200=1,((F200+H200)/2*Reeksen!AJ200*12)+(('Invoer gegevens'!$C$10-(F200+H200)/2)*Reeksen!AK200*12),0)</f>
        <v>0</v>
      </c>
      <c r="AJ200" s="71">
        <f ca="1">-AI200*'Invoer gegevens'!$F$28</f>
        <v>0</v>
      </c>
      <c r="AK200" s="71">
        <f t="shared" ca="1" si="35"/>
        <v>0</v>
      </c>
      <c r="AL200" s="71">
        <f ca="1">IF(C200=1,(12*((F200+H200)/2)*Reeksen!AL200)+(12*('Invoer gegevens'!$C$10-(F200+H200)/2)*Reeksen!AM200),0)</f>
        <v>0</v>
      </c>
      <c r="AM200" s="71">
        <f ca="1">-AL200*'Invoer gegevens'!$F$31</f>
        <v>0</v>
      </c>
      <c r="AN200" s="71">
        <f t="shared" ca="1" si="39"/>
        <v>0</v>
      </c>
      <c r="AO200" s="71"/>
      <c r="AP200" s="71"/>
      <c r="AQ200" s="71">
        <f ca="1">-IF(C200=1,('Invoer gegevens'!$C$10*'Invoer gegevens'!$I$33)*Reeksen!J200,0)*2</f>
        <v>0</v>
      </c>
      <c r="AR200" s="71">
        <f ca="1">-IF(C200=1,(G200*'Invoer gegevens'!$I$34)*Reeksen!J200,0)</f>
        <v>0</v>
      </c>
      <c r="AS200" s="71">
        <f ca="1">-IF(C200=1,'Invoer gegevens'!$C$10*'Invoer gegevens'!$I$35*Reeksen!L200,0)</f>
        <v>0</v>
      </c>
      <c r="AT200" s="71">
        <f ca="1">-IF(C200=1,IF(E200='Invoer gegevens'!$C$17,'Invoer gegevens'!$C$11,Q200)*Reeksen!S200*'Invoer gegevens'!$C$18*Reeksen!P200,0)</f>
        <v>0</v>
      </c>
      <c r="AU200" s="71">
        <f ca="1">-IF(C200=1,'Invoer gegevens'!$C$10*'Invoer gegevens'!$I$36*Reeksen!H200,0)</f>
        <v>0</v>
      </c>
      <c r="AV200" s="71">
        <f t="shared" si="32"/>
        <v>0</v>
      </c>
      <c r="AW200" s="71">
        <f t="shared" ca="1" si="40"/>
        <v>0</v>
      </c>
      <c r="AX200" s="71">
        <f ca="1">IF(E200&lt;'Invoer gegevens'!$C$17+15,0,IF(E200&gt;'Invoer gegevens'!$C$17+215,0,AW200))</f>
        <v>0</v>
      </c>
      <c r="AY200" s="71">
        <f ca="1">AX200/(1+'Invoer gegevens'!$F$13)^($AZ200-('Invoer gegevens'!$C$17-'Invoer gegevens'!$C$16))/(1+'Invoer gegevens'!$C$39)^('Invoer gegevens'!$C$17-'Invoer gegevens'!$C$16)</f>
        <v>0</v>
      </c>
      <c r="AZ200" s="68">
        <f ca="1">IF(E200-'Invoer gegevens'!$C$17-14.5&lt;0,0,E200-'Invoer gegevens'!$C$17-14.5)</f>
        <v>180.5</v>
      </c>
    </row>
    <row r="201" spans="2:52" x14ac:dyDescent="0.25">
      <c r="B201" s="70">
        <f t="shared" si="41"/>
        <v>197</v>
      </c>
      <c r="C201" s="67">
        <f ca="1">IF(E201-'Invoer gegevens'!$C$17&lt;0,0,1)</f>
        <v>1</v>
      </c>
      <c r="D201" s="68">
        <f t="shared" si="42"/>
        <v>196.5</v>
      </c>
      <c r="E201" s="69">
        <f ca="1">IF('Invoer gegevens'!$C$16="","",E200+1)</f>
        <v>2215</v>
      </c>
      <c r="F201" s="82">
        <f ca="1">IF('Invoer gegevens'!$C$17=E201,'Invoer gegevens'!$C$10,IF(C201=1,H200,0))</f>
        <v>0</v>
      </c>
      <c r="G201" s="83">
        <f ca="1">IF(C201&gt;=1,F201*Reeksen!C201,0)</f>
        <v>0</v>
      </c>
      <c r="H201" s="84">
        <f t="shared" ca="1" si="36"/>
        <v>0</v>
      </c>
      <c r="I201" s="85">
        <f ca="1">IF('Invoer gegevens'!$C$17=E201,'Invoer gegevens'!$C$11,IF(C201=1,L200,0))</f>
        <v>0</v>
      </c>
      <c r="J201" s="86">
        <f ca="1">IF(C201&lt;1,0,IF(Reeksen!AK201&lt;=Reeksen!AE201,I201*Reeksen!C201,0))</f>
        <v>0</v>
      </c>
      <c r="K201" s="86">
        <f ca="1">IF(C201&lt;1,0,IF(Reeksen!AK201&gt;Reeksen!AE201,I201*Reeksen!C201,0))</f>
        <v>0</v>
      </c>
      <c r="L201" s="86">
        <f t="shared" ca="1" si="37"/>
        <v>0</v>
      </c>
      <c r="M201" s="85">
        <f ca="1">IF('Invoer gegevens'!$C$17=E201,'Invoer gegevens'!$C$10-'Invoer gegevens'!$C$11,IF(C201=1,P200,0))</f>
        <v>0</v>
      </c>
      <c r="N201" s="86">
        <f ca="1">IF(C201&lt;1,0,IF(Reeksen!AK201&lt;=Reeksen!AE201,M201*Reeksen!C201,0))</f>
        <v>0</v>
      </c>
      <c r="O201" s="86">
        <f ca="1">IF(C201&lt;1,0,IF(Reeksen!AK201&gt;Reeksen!AE201,M201*Reeksen!C201,0))</f>
        <v>0</v>
      </c>
      <c r="P201" s="86">
        <f t="shared" ca="1" si="38"/>
        <v>0</v>
      </c>
      <c r="Q201" s="82">
        <f ca="1">IF('Invoer gegevens'!$C$17=E201,I201,IF(C201=0,0,R200))</f>
        <v>0</v>
      </c>
      <c r="R201" s="84">
        <f t="shared" ca="1" si="33"/>
        <v>0</v>
      </c>
      <c r="S201" s="84">
        <f ca="1">IF('Invoer gegevens'!$C$17=E201,M201,IF(C201=0,0,T200))</f>
        <v>0</v>
      </c>
      <c r="T201" s="84">
        <f t="shared" ca="1" si="34"/>
        <v>0</v>
      </c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8"/>
      <c r="AI201" s="71">
        <f ca="1">IF(C201=1,((F201+H201)/2*Reeksen!AJ201*12)+(('Invoer gegevens'!$C$10-(F201+H201)/2)*Reeksen!AK201*12),0)</f>
        <v>0</v>
      </c>
      <c r="AJ201" s="71">
        <f ca="1">-AI201*'Invoer gegevens'!$F$28</f>
        <v>0</v>
      </c>
      <c r="AK201" s="71">
        <f t="shared" ca="1" si="35"/>
        <v>0</v>
      </c>
      <c r="AL201" s="71">
        <f ca="1">IF(C201=1,(12*((F201+H201)/2)*Reeksen!AL201)+(12*('Invoer gegevens'!$C$10-(F201+H201)/2)*Reeksen!AM201),0)</f>
        <v>0</v>
      </c>
      <c r="AM201" s="71">
        <f ca="1">-AL201*'Invoer gegevens'!$F$31</f>
        <v>0</v>
      </c>
      <c r="AN201" s="71">
        <f t="shared" ca="1" si="39"/>
        <v>0</v>
      </c>
      <c r="AO201" s="71"/>
      <c r="AP201" s="71"/>
      <c r="AQ201" s="71">
        <f ca="1">-IF(C201=1,('Invoer gegevens'!$C$10*'Invoer gegevens'!$I$33)*Reeksen!J201,0)*2</f>
        <v>0</v>
      </c>
      <c r="AR201" s="71">
        <f ca="1">-IF(C201=1,(G201*'Invoer gegevens'!$I$34)*Reeksen!J201,0)</f>
        <v>0</v>
      </c>
      <c r="AS201" s="71">
        <f ca="1">-IF(C201=1,'Invoer gegevens'!$C$10*'Invoer gegevens'!$I$35*Reeksen!L201,0)</f>
        <v>0</v>
      </c>
      <c r="AT201" s="71">
        <f ca="1">-IF(C201=1,IF(E201='Invoer gegevens'!$C$17,'Invoer gegevens'!$C$11,Q201)*Reeksen!S201*'Invoer gegevens'!$C$18*Reeksen!P201,0)</f>
        <v>0</v>
      </c>
      <c r="AU201" s="71">
        <f ca="1">-IF(C201=1,'Invoer gegevens'!$C$10*'Invoer gegevens'!$I$36*Reeksen!H201,0)</f>
        <v>0</v>
      </c>
      <c r="AV201" s="71">
        <f t="shared" si="32"/>
        <v>0</v>
      </c>
      <c r="AW201" s="71">
        <f t="shared" ca="1" si="40"/>
        <v>0</v>
      </c>
      <c r="AX201" s="71">
        <f ca="1">IF(E201&lt;'Invoer gegevens'!$C$17+15,0,IF(E201&gt;'Invoer gegevens'!$C$17+215,0,AW201))</f>
        <v>0</v>
      </c>
      <c r="AY201" s="71">
        <f ca="1">AX201/(1+'Invoer gegevens'!$F$13)^($AZ201-('Invoer gegevens'!$C$17-'Invoer gegevens'!$C$16))/(1+'Invoer gegevens'!$C$39)^('Invoer gegevens'!$C$17-'Invoer gegevens'!$C$16)</f>
        <v>0</v>
      </c>
      <c r="AZ201" s="68">
        <f ca="1">IF(E201-'Invoer gegevens'!$C$17-14.5&lt;0,0,E201-'Invoer gegevens'!$C$17-14.5)</f>
        <v>181.5</v>
      </c>
    </row>
    <row r="202" spans="2:52" x14ac:dyDescent="0.25">
      <c r="B202" s="70">
        <f t="shared" si="41"/>
        <v>198</v>
      </c>
      <c r="C202" s="67">
        <f ca="1">IF(E202-'Invoer gegevens'!$C$17&lt;0,0,1)</f>
        <v>1</v>
      </c>
      <c r="D202" s="68">
        <f t="shared" si="42"/>
        <v>197.5</v>
      </c>
      <c r="E202" s="69">
        <f ca="1">IF('Invoer gegevens'!$C$16="","",E201+1)</f>
        <v>2216</v>
      </c>
      <c r="F202" s="82">
        <f ca="1">IF('Invoer gegevens'!$C$17=E202,'Invoer gegevens'!$C$10,IF(C202=1,H201,0))</f>
        <v>0</v>
      </c>
      <c r="G202" s="83">
        <f ca="1">IF(C202&gt;=1,F202*Reeksen!C202,0)</f>
        <v>0</v>
      </c>
      <c r="H202" s="84">
        <f t="shared" ca="1" si="36"/>
        <v>0</v>
      </c>
      <c r="I202" s="85">
        <f ca="1">IF('Invoer gegevens'!$C$17=E202,'Invoer gegevens'!$C$11,IF(C202=1,L201,0))</f>
        <v>0</v>
      </c>
      <c r="J202" s="86">
        <f ca="1">IF(C202&lt;1,0,IF(Reeksen!AK202&lt;=Reeksen!AE202,I202*Reeksen!C202,0))</f>
        <v>0</v>
      </c>
      <c r="K202" s="86">
        <f ca="1">IF(C202&lt;1,0,IF(Reeksen!AK202&gt;Reeksen!AE202,I202*Reeksen!C202,0))</f>
        <v>0</v>
      </c>
      <c r="L202" s="86">
        <f t="shared" ca="1" si="37"/>
        <v>0</v>
      </c>
      <c r="M202" s="85">
        <f ca="1">IF('Invoer gegevens'!$C$17=E202,'Invoer gegevens'!$C$10-'Invoer gegevens'!$C$11,IF(C202=1,P201,0))</f>
        <v>0</v>
      </c>
      <c r="N202" s="86">
        <f ca="1">IF(C202&lt;1,0,IF(Reeksen!AK202&lt;=Reeksen!AE202,M202*Reeksen!C202,0))</f>
        <v>0</v>
      </c>
      <c r="O202" s="86">
        <f ca="1">IF(C202&lt;1,0,IF(Reeksen!AK202&gt;Reeksen!AE202,M202*Reeksen!C202,0))</f>
        <v>0</v>
      </c>
      <c r="P202" s="86">
        <f t="shared" ca="1" si="38"/>
        <v>0</v>
      </c>
      <c r="Q202" s="82">
        <f ca="1">IF('Invoer gegevens'!$C$17=E202,I202,IF(C202=0,0,R201))</f>
        <v>0</v>
      </c>
      <c r="R202" s="84">
        <f t="shared" ca="1" si="33"/>
        <v>0</v>
      </c>
      <c r="S202" s="84">
        <f ca="1">IF('Invoer gegevens'!$C$17=E202,M202,IF(C202=0,0,T201))</f>
        <v>0</v>
      </c>
      <c r="T202" s="84">
        <f t="shared" ca="1" si="34"/>
        <v>0</v>
      </c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8"/>
      <c r="AI202" s="71">
        <f ca="1">IF(C202=1,((F202+H202)/2*Reeksen!AJ202*12)+(('Invoer gegevens'!$C$10-(F202+H202)/2)*Reeksen!AK202*12),0)</f>
        <v>0</v>
      </c>
      <c r="AJ202" s="71">
        <f ca="1">-AI202*'Invoer gegevens'!$F$28</f>
        <v>0</v>
      </c>
      <c r="AK202" s="71">
        <f t="shared" ca="1" si="35"/>
        <v>0</v>
      </c>
      <c r="AL202" s="71">
        <f ca="1">IF(C202=1,(12*((F202+H202)/2)*Reeksen!AL202)+(12*('Invoer gegevens'!$C$10-(F202+H202)/2)*Reeksen!AM202),0)</f>
        <v>0</v>
      </c>
      <c r="AM202" s="71">
        <f ca="1">-AL202*'Invoer gegevens'!$F$31</f>
        <v>0</v>
      </c>
      <c r="AN202" s="71">
        <f t="shared" ca="1" si="39"/>
        <v>0</v>
      </c>
      <c r="AO202" s="71"/>
      <c r="AP202" s="71"/>
      <c r="AQ202" s="71">
        <f ca="1">-IF(C202=1,('Invoer gegevens'!$C$10*'Invoer gegevens'!$I$33)*Reeksen!J202,0)*2</f>
        <v>0</v>
      </c>
      <c r="AR202" s="71">
        <f ca="1">-IF(C202=1,(G202*'Invoer gegevens'!$I$34)*Reeksen!J202,0)</f>
        <v>0</v>
      </c>
      <c r="AS202" s="71">
        <f ca="1">-IF(C202=1,'Invoer gegevens'!$C$10*'Invoer gegevens'!$I$35*Reeksen!L202,0)</f>
        <v>0</v>
      </c>
      <c r="AT202" s="71">
        <f ca="1">-IF(C202=1,IF(E202='Invoer gegevens'!$C$17,'Invoer gegevens'!$C$11,Q202)*Reeksen!S202*'Invoer gegevens'!$C$18*Reeksen!P202,0)</f>
        <v>0</v>
      </c>
      <c r="AU202" s="71">
        <f ca="1">-IF(C202=1,'Invoer gegevens'!$C$10*'Invoer gegevens'!$I$36*Reeksen!H202,0)</f>
        <v>0</v>
      </c>
      <c r="AV202" s="71">
        <f t="shared" si="32"/>
        <v>0</v>
      </c>
      <c r="AW202" s="71">
        <f t="shared" ca="1" si="40"/>
        <v>0</v>
      </c>
      <c r="AX202" s="71">
        <f ca="1">IF(E202&lt;'Invoer gegevens'!$C$17+15,0,IF(E202&gt;'Invoer gegevens'!$C$17+215,0,AW202))</f>
        <v>0</v>
      </c>
      <c r="AY202" s="71">
        <f ca="1">AX202/(1+'Invoer gegevens'!$F$13)^($AZ202-('Invoer gegevens'!$C$17-'Invoer gegevens'!$C$16))/(1+'Invoer gegevens'!$C$39)^('Invoer gegevens'!$C$17-'Invoer gegevens'!$C$16)</f>
        <v>0</v>
      </c>
      <c r="AZ202" s="68">
        <f ca="1">IF(E202-'Invoer gegevens'!$C$17-14.5&lt;0,0,E202-'Invoer gegevens'!$C$17-14.5)</f>
        <v>182.5</v>
      </c>
    </row>
    <row r="203" spans="2:52" x14ac:dyDescent="0.25">
      <c r="B203" s="70">
        <f t="shared" si="41"/>
        <v>199</v>
      </c>
      <c r="C203" s="67">
        <f ca="1">IF(E203-'Invoer gegevens'!$C$17&lt;0,0,1)</f>
        <v>1</v>
      </c>
      <c r="D203" s="68">
        <f t="shared" si="42"/>
        <v>198.5</v>
      </c>
      <c r="E203" s="69">
        <f ca="1">IF('Invoer gegevens'!$C$16="","",E202+1)</f>
        <v>2217</v>
      </c>
      <c r="F203" s="82">
        <f ca="1">IF('Invoer gegevens'!$C$17=E203,'Invoer gegevens'!$C$10,IF(C203=1,H202,0))</f>
        <v>0</v>
      </c>
      <c r="G203" s="83">
        <f ca="1">IF(C203&gt;=1,F203*Reeksen!C203,0)</f>
        <v>0</v>
      </c>
      <c r="H203" s="84">
        <f t="shared" ca="1" si="36"/>
        <v>0</v>
      </c>
      <c r="I203" s="85">
        <f ca="1">IF('Invoer gegevens'!$C$17=E203,'Invoer gegevens'!$C$11,IF(C203=1,L202,0))</f>
        <v>0</v>
      </c>
      <c r="J203" s="86">
        <f ca="1">IF(C203&lt;1,0,IF(Reeksen!AK203&lt;=Reeksen!AE203,I203*Reeksen!C203,0))</f>
        <v>0</v>
      </c>
      <c r="K203" s="86">
        <f ca="1">IF(C203&lt;1,0,IF(Reeksen!AK203&gt;Reeksen!AE203,I203*Reeksen!C203,0))</f>
        <v>0</v>
      </c>
      <c r="L203" s="86">
        <f t="shared" ca="1" si="37"/>
        <v>0</v>
      </c>
      <c r="M203" s="85">
        <f ca="1">IF('Invoer gegevens'!$C$17=E203,'Invoer gegevens'!$C$10-'Invoer gegevens'!$C$11,IF(C203=1,P202,0))</f>
        <v>0</v>
      </c>
      <c r="N203" s="86">
        <f ca="1">IF(C203&lt;1,0,IF(Reeksen!AK203&lt;=Reeksen!AE203,M203*Reeksen!C203,0))</f>
        <v>0</v>
      </c>
      <c r="O203" s="86">
        <f ca="1">IF(C203&lt;1,0,IF(Reeksen!AK203&gt;Reeksen!AE203,M203*Reeksen!C203,0))</f>
        <v>0</v>
      </c>
      <c r="P203" s="86">
        <f t="shared" ca="1" si="38"/>
        <v>0</v>
      </c>
      <c r="Q203" s="82">
        <f ca="1">IF('Invoer gegevens'!$C$17=E203,I203,IF(C203=0,0,R202))</f>
        <v>0</v>
      </c>
      <c r="R203" s="84">
        <f t="shared" ca="1" si="33"/>
        <v>0</v>
      </c>
      <c r="S203" s="84">
        <f ca="1">IF('Invoer gegevens'!$C$17=E203,M203,IF(C203=0,0,T202))</f>
        <v>0</v>
      </c>
      <c r="T203" s="84">
        <f t="shared" ca="1" si="34"/>
        <v>0</v>
      </c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8"/>
      <c r="AI203" s="71">
        <f ca="1">IF(C203=1,((F203+H203)/2*Reeksen!AJ203*12)+(('Invoer gegevens'!$C$10-(F203+H203)/2)*Reeksen!AK203*12),0)</f>
        <v>0</v>
      </c>
      <c r="AJ203" s="71">
        <f ca="1">-AI203*'Invoer gegevens'!$F$28</f>
        <v>0</v>
      </c>
      <c r="AK203" s="71">
        <f t="shared" ca="1" si="35"/>
        <v>0</v>
      </c>
      <c r="AL203" s="71">
        <f ca="1">IF(C203=1,(12*((F203+H203)/2)*Reeksen!AL203)+(12*('Invoer gegevens'!$C$10-(F203+H203)/2)*Reeksen!AM203),0)</f>
        <v>0</v>
      </c>
      <c r="AM203" s="71">
        <f ca="1">-AL203*'Invoer gegevens'!$F$31</f>
        <v>0</v>
      </c>
      <c r="AN203" s="71">
        <f t="shared" ca="1" si="39"/>
        <v>0</v>
      </c>
      <c r="AO203" s="71"/>
      <c r="AP203" s="71"/>
      <c r="AQ203" s="71">
        <f ca="1">-IF(C203=1,('Invoer gegevens'!$C$10*'Invoer gegevens'!$I$33)*Reeksen!J203,0)*2</f>
        <v>0</v>
      </c>
      <c r="AR203" s="71">
        <f ca="1">-IF(C203=1,(G203*'Invoer gegevens'!$I$34)*Reeksen!J203,0)</f>
        <v>0</v>
      </c>
      <c r="AS203" s="71">
        <f ca="1">-IF(C203=1,'Invoer gegevens'!$C$10*'Invoer gegevens'!$I$35*Reeksen!L203,0)</f>
        <v>0</v>
      </c>
      <c r="AT203" s="71">
        <f ca="1">-IF(C203=1,IF(E203='Invoer gegevens'!$C$17,'Invoer gegevens'!$C$11,Q203)*Reeksen!S203*'Invoer gegevens'!$C$18*Reeksen!P203,0)</f>
        <v>0</v>
      </c>
      <c r="AU203" s="71">
        <f ca="1">-IF(C203=1,'Invoer gegevens'!$C$10*'Invoer gegevens'!$I$36*Reeksen!H203,0)</f>
        <v>0</v>
      </c>
      <c r="AV203" s="71">
        <f t="shared" si="32"/>
        <v>0</v>
      </c>
      <c r="AW203" s="71">
        <f t="shared" ca="1" si="40"/>
        <v>0</v>
      </c>
      <c r="AX203" s="71">
        <f ca="1">IF(E203&lt;'Invoer gegevens'!$C$17+15,0,IF(E203&gt;'Invoer gegevens'!$C$17+215,0,AW203))</f>
        <v>0</v>
      </c>
      <c r="AY203" s="71">
        <f ca="1">AX203/(1+'Invoer gegevens'!$F$13)^($AZ203-('Invoer gegevens'!$C$17-'Invoer gegevens'!$C$16))/(1+'Invoer gegevens'!$C$39)^('Invoer gegevens'!$C$17-'Invoer gegevens'!$C$16)</f>
        <v>0</v>
      </c>
      <c r="AZ203" s="68">
        <f ca="1">IF(E203-'Invoer gegevens'!$C$17-14.5&lt;0,0,E203-'Invoer gegevens'!$C$17-14.5)</f>
        <v>183.5</v>
      </c>
    </row>
    <row r="204" spans="2:52" x14ac:dyDescent="0.25">
      <c r="B204" s="70">
        <f t="shared" si="41"/>
        <v>200</v>
      </c>
      <c r="C204" s="67">
        <f ca="1">IF(E204-'Invoer gegevens'!$C$17&lt;0,0,1)</f>
        <v>1</v>
      </c>
      <c r="D204" s="68">
        <f t="shared" si="42"/>
        <v>199.5</v>
      </c>
      <c r="E204" s="69">
        <f ca="1">IF('Invoer gegevens'!$C$16="","",E203+1)</f>
        <v>2218</v>
      </c>
      <c r="F204" s="82">
        <f ca="1">IF('Invoer gegevens'!$C$17=E204,'Invoer gegevens'!$C$10,IF(C204=1,H203,0))</f>
        <v>0</v>
      </c>
      <c r="G204" s="83">
        <f ca="1">IF(C204&gt;=1,F204*Reeksen!C204,0)</f>
        <v>0</v>
      </c>
      <c r="H204" s="84">
        <f t="shared" ca="1" si="36"/>
        <v>0</v>
      </c>
      <c r="I204" s="85">
        <f ca="1">IF('Invoer gegevens'!$C$17=E204,'Invoer gegevens'!$C$11,IF(C204=1,L203,0))</f>
        <v>0</v>
      </c>
      <c r="J204" s="86">
        <f ca="1">IF(C204&lt;1,0,IF(Reeksen!AK204&lt;=Reeksen!AE204,I204*Reeksen!C204,0))</f>
        <v>0</v>
      </c>
      <c r="K204" s="86">
        <f ca="1">IF(C204&lt;1,0,IF(Reeksen!AK204&gt;Reeksen!AE204,I204*Reeksen!C204,0))</f>
        <v>0</v>
      </c>
      <c r="L204" s="86">
        <f t="shared" ca="1" si="37"/>
        <v>0</v>
      </c>
      <c r="M204" s="85">
        <f ca="1">IF('Invoer gegevens'!$C$17=E204,'Invoer gegevens'!$C$10-'Invoer gegevens'!$C$11,IF(C204=1,P203,0))</f>
        <v>0</v>
      </c>
      <c r="N204" s="86">
        <f ca="1">IF(C204&lt;1,0,IF(Reeksen!AK204&lt;=Reeksen!AE204,M204*Reeksen!C204,0))</f>
        <v>0</v>
      </c>
      <c r="O204" s="86">
        <f ca="1">IF(C204&lt;1,0,IF(Reeksen!AK204&gt;Reeksen!AE204,M204*Reeksen!C204,0))</f>
        <v>0</v>
      </c>
      <c r="P204" s="86">
        <f t="shared" ca="1" si="38"/>
        <v>0</v>
      </c>
      <c r="Q204" s="82">
        <f ca="1">IF('Invoer gegevens'!$C$17=E204,I204,IF(C204=0,0,R203))</f>
        <v>0</v>
      </c>
      <c r="R204" s="84">
        <f t="shared" ca="1" si="33"/>
        <v>0</v>
      </c>
      <c r="S204" s="84">
        <f ca="1">IF('Invoer gegevens'!$C$17=E204,M204,IF(C204=0,0,T203))</f>
        <v>0</v>
      </c>
      <c r="T204" s="84">
        <f t="shared" ca="1" si="34"/>
        <v>0</v>
      </c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8"/>
      <c r="AI204" s="71">
        <f ca="1">IF(C204=1,((F204+H204)/2*Reeksen!AJ204*12)+(('Invoer gegevens'!$C$10-(F204+H204)/2)*Reeksen!AK204*12),0)</f>
        <v>0</v>
      </c>
      <c r="AJ204" s="71">
        <f ca="1">-AI204*'Invoer gegevens'!$F$28</f>
        <v>0</v>
      </c>
      <c r="AK204" s="71">
        <f t="shared" ca="1" si="35"/>
        <v>0</v>
      </c>
      <c r="AL204" s="71">
        <f ca="1">IF(C204=1,(12*((F204+H204)/2)*Reeksen!AL204)+(12*('Invoer gegevens'!$C$10-(F204+H204)/2)*Reeksen!AM204),0)</f>
        <v>0</v>
      </c>
      <c r="AM204" s="71">
        <f ca="1">-AL204*'Invoer gegevens'!$F$31</f>
        <v>0</v>
      </c>
      <c r="AN204" s="71">
        <f t="shared" ca="1" si="39"/>
        <v>0</v>
      </c>
      <c r="AO204" s="71"/>
      <c r="AP204" s="71"/>
      <c r="AQ204" s="71">
        <f ca="1">-IF(C204=1,('Invoer gegevens'!$C$10*'Invoer gegevens'!$I$33)*Reeksen!J204,0)*2</f>
        <v>0</v>
      </c>
      <c r="AR204" s="71">
        <f ca="1">-IF(C204=1,(G204*'Invoer gegevens'!$I$34)*Reeksen!J204,0)</f>
        <v>0</v>
      </c>
      <c r="AS204" s="71">
        <f ca="1">-IF(C204=1,'Invoer gegevens'!$C$10*'Invoer gegevens'!$I$35*Reeksen!L204,0)</f>
        <v>0</v>
      </c>
      <c r="AT204" s="71">
        <f ca="1">-IF(C204=1,IF(E204='Invoer gegevens'!$C$17,'Invoer gegevens'!$C$11,Q204)*Reeksen!S204*'Invoer gegevens'!$C$18*Reeksen!P204,0)</f>
        <v>0</v>
      </c>
      <c r="AU204" s="71">
        <f ca="1">-IF(C204=1,'Invoer gegevens'!$C$10*'Invoer gegevens'!$I$36*Reeksen!H204,0)</f>
        <v>0</v>
      </c>
      <c r="AV204" s="71">
        <f t="shared" si="32"/>
        <v>0</v>
      </c>
      <c r="AW204" s="71">
        <f t="shared" ca="1" si="40"/>
        <v>0</v>
      </c>
      <c r="AX204" s="71">
        <f ca="1">IF(E204&lt;'Invoer gegevens'!$C$17+15,0,IF(E204&gt;'Invoer gegevens'!$C$17+215,0,AW204))</f>
        <v>0</v>
      </c>
      <c r="AY204" s="71">
        <f ca="1">AX204/(1+'Invoer gegevens'!$F$13)^($AZ204-('Invoer gegevens'!$C$17-'Invoer gegevens'!$C$16))/(1+'Invoer gegevens'!$C$39)^('Invoer gegevens'!$C$17-'Invoer gegevens'!$C$16)</f>
        <v>0</v>
      </c>
      <c r="AZ204" s="68">
        <f ca="1">IF(E204-'Invoer gegevens'!$C$17-14.5&lt;0,0,E204-'Invoer gegevens'!$C$17-14.5)</f>
        <v>184.5</v>
      </c>
    </row>
    <row r="205" spans="2:52" x14ac:dyDescent="0.25">
      <c r="B205" s="70">
        <f t="shared" si="41"/>
        <v>201</v>
      </c>
      <c r="C205" s="67">
        <f ca="1">IF(E205-'Invoer gegevens'!$C$17&lt;0,0,1)</f>
        <v>1</v>
      </c>
      <c r="D205" s="68">
        <f t="shared" si="42"/>
        <v>200.5</v>
      </c>
      <c r="E205" s="69">
        <f ca="1">IF('Invoer gegevens'!$C$16="","",E204+1)</f>
        <v>2219</v>
      </c>
      <c r="F205" s="82">
        <f ca="1">IF('Invoer gegevens'!$C$17=E205,'Invoer gegevens'!$C$10,IF(C205=1,H204,0))</f>
        <v>0</v>
      </c>
      <c r="G205" s="83">
        <f ca="1">IF(C205&gt;=1,F205*Reeksen!C205,0)</f>
        <v>0</v>
      </c>
      <c r="H205" s="84">
        <f t="shared" ca="1" si="36"/>
        <v>0</v>
      </c>
      <c r="I205" s="85">
        <f ca="1">IF('Invoer gegevens'!$C$17=E205,'Invoer gegevens'!$C$11,IF(C205=1,L204,0))</f>
        <v>0</v>
      </c>
      <c r="J205" s="86">
        <f ca="1">IF(C205&lt;1,0,IF(Reeksen!AK205&lt;=Reeksen!AE205,I205*Reeksen!C205,0))</f>
        <v>0</v>
      </c>
      <c r="K205" s="86">
        <f ca="1">IF(C205&lt;1,0,IF(Reeksen!AK205&gt;Reeksen!AE205,I205*Reeksen!C205,0))</f>
        <v>0</v>
      </c>
      <c r="L205" s="86">
        <f t="shared" ca="1" si="37"/>
        <v>0</v>
      </c>
      <c r="M205" s="85">
        <f ca="1">IF('Invoer gegevens'!$C$17=E205,'Invoer gegevens'!$C$10-'Invoer gegevens'!$C$11,IF(C205=1,P204,0))</f>
        <v>0</v>
      </c>
      <c r="N205" s="86">
        <f ca="1">IF(C205&lt;1,0,IF(Reeksen!AK205&lt;=Reeksen!AE205,M205*Reeksen!C205,0))</f>
        <v>0</v>
      </c>
      <c r="O205" s="86">
        <f ca="1">IF(C205&lt;1,0,IF(Reeksen!AK205&gt;Reeksen!AE205,M205*Reeksen!C205,0))</f>
        <v>0</v>
      </c>
      <c r="P205" s="86">
        <f t="shared" ca="1" si="38"/>
        <v>0</v>
      </c>
      <c r="Q205" s="82">
        <f ca="1">IF('Invoer gegevens'!$C$17=E205,I205,IF(C205=0,0,R204))</f>
        <v>0</v>
      </c>
      <c r="R205" s="84">
        <f t="shared" ca="1" si="33"/>
        <v>0</v>
      </c>
      <c r="S205" s="84">
        <f ca="1">IF('Invoer gegevens'!$C$17=E205,M205,IF(C205=0,0,T204))</f>
        <v>0</v>
      </c>
      <c r="T205" s="84">
        <f t="shared" ca="1" si="34"/>
        <v>0</v>
      </c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8"/>
      <c r="AI205" s="71">
        <f ca="1">IF(C205=1,((F205+H205)/2*Reeksen!AJ205*12)+(('Invoer gegevens'!$C$10-(F205+H205)/2)*Reeksen!AK205*12),0)</f>
        <v>0</v>
      </c>
      <c r="AJ205" s="71">
        <f ca="1">-AI205*'Invoer gegevens'!$F$28</f>
        <v>0</v>
      </c>
      <c r="AK205" s="71">
        <f t="shared" ca="1" si="35"/>
        <v>0</v>
      </c>
      <c r="AL205" s="71">
        <f ca="1">IF(C205=1,(12*((F205+H205)/2)*Reeksen!AL205)+(12*('Invoer gegevens'!$C$10-(F205+H205)/2)*Reeksen!AM205),0)</f>
        <v>0</v>
      </c>
      <c r="AM205" s="71">
        <f ca="1">-AL205*'Invoer gegevens'!$F$31</f>
        <v>0</v>
      </c>
      <c r="AN205" s="71">
        <f t="shared" ca="1" si="39"/>
        <v>0</v>
      </c>
      <c r="AO205" s="71"/>
      <c r="AP205" s="71"/>
      <c r="AQ205" s="71">
        <f ca="1">-IF(C205=1,('Invoer gegevens'!$C$10*'Invoer gegevens'!$I$33)*Reeksen!J205,0)*2</f>
        <v>0</v>
      </c>
      <c r="AR205" s="71">
        <f ca="1">-IF(C205=1,(G205*'Invoer gegevens'!$I$34)*Reeksen!J205,0)</f>
        <v>0</v>
      </c>
      <c r="AS205" s="71">
        <f ca="1">-IF(C205=1,'Invoer gegevens'!$C$10*'Invoer gegevens'!$I$35*Reeksen!L205,0)</f>
        <v>0</v>
      </c>
      <c r="AT205" s="71">
        <f ca="1">-IF(C205=1,IF(E205='Invoer gegevens'!$C$17,'Invoer gegevens'!$C$11,Q205)*Reeksen!S205*'Invoer gegevens'!$C$18*Reeksen!P205,0)</f>
        <v>0</v>
      </c>
      <c r="AU205" s="71">
        <f ca="1">-IF(C205=1,'Invoer gegevens'!$C$10*'Invoer gegevens'!$I$36*Reeksen!H205,0)</f>
        <v>0</v>
      </c>
      <c r="AV205" s="71">
        <f t="shared" si="32"/>
        <v>0</v>
      </c>
      <c r="AW205" s="71">
        <f t="shared" ca="1" si="40"/>
        <v>0</v>
      </c>
      <c r="AX205" s="71">
        <f ca="1">IF(E205&lt;'Invoer gegevens'!$C$17+15,0,IF(E205&gt;'Invoer gegevens'!$C$17+215,0,AW205))</f>
        <v>0</v>
      </c>
      <c r="AY205" s="71">
        <f ca="1">AX205/(1+'Invoer gegevens'!$F$13)^($AZ205-('Invoer gegevens'!$C$17-'Invoer gegevens'!$C$16))/(1+'Invoer gegevens'!$C$39)^('Invoer gegevens'!$C$17-'Invoer gegevens'!$C$16)</f>
        <v>0</v>
      </c>
      <c r="AZ205" s="68">
        <f ca="1">IF(E205-'Invoer gegevens'!$C$17-14.5&lt;0,0,E205-'Invoer gegevens'!$C$17-14.5)</f>
        <v>185.5</v>
      </c>
    </row>
    <row r="206" spans="2:52" x14ac:dyDescent="0.25">
      <c r="B206" s="70">
        <f t="shared" si="41"/>
        <v>202</v>
      </c>
      <c r="C206" s="67">
        <f ca="1">IF(E206-'Invoer gegevens'!$C$17&lt;0,0,1)</f>
        <v>1</v>
      </c>
      <c r="D206" s="68">
        <f t="shared" si="42"/>
        <v>201.5</v>
      </c>
      <c r="E206" s="69">
        <f ca="1">IF('Invoer gegevens'!$C$16="","",E205+1)</f>
        <v>2220</v>
      </c>
      <c r="F206" s="82">
        <f ca="1">IF('Invoer gegevens'!$C$17=E206,'Invoer gegevens'!$C$10,IF(C206=1,H205,0))</f>
        <v>0</v>
      </c>
      <c r="G206" s="83">
        <f ca="1">IF(C206&gt;=1,F206*Reeksen!C206,0)</f>
        <v>0</v>
      </c>
      <c r="H206" s="84">
        <f t="shared" ca="1" si="36"/>
        <v>0</v>
      </c>
      <c r="I206" s="85">
        <f ca="1">IF('Invoer gegevens'!$C$17=E206,'Invoer gegevens'!$C$11,IF(C206=1,L205,0))</f>
        <v>0</v>
      </c>
      <c r="J206" s="86">
        <f ca="1">IF(C206&lt;1,0,IF(Reeksen!AK206&lt;=Reeksen!AE206,I206*Reeksen!C206,0))</f>
        <v>0</v>
      </c>
      <c r="K206" s="86">
        <f ca="1">IF(C206&lt;1,0,IF(Reeksen!AK206&gt;Reeksen!AE206,I206*Reeksen!C206,0))</f>
        <v>0</v>
      </c>
      <c r="L206" s="86">
        <f t="shared" ca="1" si="37"/>
        <v>0</v>
      </c>
      <c r="M206" s="85">
        <f ca="1">IF('Invoer gegevens'!$C$17=E206,'Invoer gegevens'!$C$10-'Invoer gegevens'!$C$11,IF(C206=1,P205,0))</f>
        <v>0</v>
      </c>
      <c r="N206" s="86">
        <f ca="1">IF(C206&lt;1,0,IF(Reeksen!AK206&lt;=Reeksen!AE206,M206*Reeksen!C206,0))</f>
        <v>0</v>
      </c>
      <c r="O206" s="86">
        <f ca="1">IF(C206&lt;1,0,IF(Reeksen!AK206&gt;Reeksen!AE206,M206*Reeksen!C206,0))</f>
        <v>0</v>
      </c>
      <c r="P206" s="86">
        <f t="shared" ca="1" si="38"/>
        <v>0</v>
      </c>
      <c r="Q206" s="82">
        <f ca="1">IF('Invoer gegevens'!$C$17=E206,I206,IF(C206=0,0,R205))</f>
        <v>0</v>
      </c>
      <c r="R206" s="84">
        <f t="shared" ca="1" si="33"/>
        <v>0</v>
      </c>
      <c r="S206" s="84">
        <f ca="1">IF('Invoer gegevens'!$C$17=E206,M206,IF(C206=0,0,T205))</f>
        <v>0</v>
      </c>
      <c r="T206" s="84">
        <f t="shared" ca="1" si="34"/>
        <v>0</v>
      </c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8"/>
      <c r="AI206" s="71">
        <f ca="1">IF(C206=1,((F206+H206)/2*Reeksen!AJ206*12)+(('Invoer gegevens'!$C$10-(F206+H206)/2)*Reeksen!AK206*12),0)</f>
        <v>0</v>
      </c>
      <c r="AJ206" s="71">
        <f ca="1">-AI206*'Invoer gegevens'!$F$28</f>
        <v>0</v>
      </c>
      <c r="AK206" s="71">
        <f t="shared" ca="1" si="35"/>
        <v>0</v>
      </c>
      <c r="AL206" s="71">
        <f ca="1">IF(C206=1,(12*((F206+H206)/2)*Reeksen!AL206)+(12*('Invoer gegevens'!$C$10-(F206+H206)/2)*Reeksen!AM206),0)</f>
        <v>0</v>
      </c>
      <c r="AM206" s="71">
        <f ca="1">-AL206*'Invoer gegevens'!$F$31</f>
        <v>0</v>
      </c>
      <c r="AN206" s="71">
        <f t="shared" ca="1" si="39"/>
        <v>0</v>
      </c>
      <c r="AO206" s="71"/>
      <c r="AP206" s="71"/>
      <c r="AQ206" s="71">
        <f ca="1">-IF(C206=1,('Invoer gegevens'!$C$10*'Invoer gegevens'!$I$33)*Reeksen!J206,0)*2</f>
        <v>0</v>
      </c>
      <c r="AR206" s="71">
        <f ca="1">-IF(C206=1,(G206*'Invoer gegevens'!$I$34)*Reeksen!J206,0)</f>
        <v>0</v>
      </c>
      <c r="AS206" s="71">
        <f ca="1">-IF(C206=1,'Invoer gegevens'!$C$10*'Invoer gegevens'!$I$35*Reeksen!L206,0)</f>
        <v>0</v>
      </c>
      <c r="AT206" s="71">
        <f ca="1">-IF(C206=1,IF(E206='Invoer gegevens'!$C$17,'Invoer gegevens'!$C$11,Q206)*Reeksen!S206*'Invoer gegevens'!$C$18*Reeksen!P206,0)</f>
        <v>0</v>
      </c>
      <c r="AU206" s="71">
        <f ca="1">-IF(C206=1,'Invoer gegevens'!$C$10*'Invoer gegevens'!$I$36*Reeksen!H206,0)</f>
        <v>0</v>
      </c>
      <c r="AV206" s="71">
        <f t="shared" si="32"/>
        <v>0</v>
      </c>
      <c r="AW206" s="71">
        <f t="shared" ca="1" si="40"/>
        <v>0</v>
      </c>
      <c r="AX206" s="71">
        <f ca="1">IF(E206&lt;'Invoer gegevens'!$C$17+15,0,IF(E206&gt;'Invoer gegevens'!$C$17+215,0,AW206))</f>
        <v>0</v>
      </c>
      <c r="AY206" s="71">
        <f ca="1">AX206/(1+'Invoer gegevens'!$F$13)^($AZ206-('Invoer gegevens'!$C$17-'Invoer gegevens'!$C$16))/(1+'Invoer gegevens'!$C$39)^('Invoer gegevens'!$C$17-'Invoer gegevens'!$C$16)</f>
        <v>0</v>
      </c>
      <c r="AZ206" s="68">
        <f ca="1">IF(E206-'Invoer gegevens'!$C$17-14.5&lt;0,0,E206-'Invoer gegevens'!$C$17-14.5)</f>
        <v>186.5</v>
      </c>
    </row>
    <row r="207" spans="2:52" x14ac:dyDescent="0.25">
      <c r="B207" s="70">
        <f t="shared" si="41"/>
        <v>203</v>
      </c>
      <c r="C207" s="67">
        <f ca="1">IF(E207-'Invoer gegevens'!$C$17&lt;0,0,1)</f>
        <v>1</v>
      </c>
      <c r="D207" s="68">
        <f t="shared" si="42"/>
        <v>202.5</v>
      </c>
      <c r="E207" s="69">
        <f ca="1">IF('Invoer gegevens'!$C$16="","",E206+1)</f>
        <v>2221</v>
      </c>
      <c r="F207" s="82">
        <f ca="1">IF('Invoer gegevens'!$C$17=E207,'Invoer gegevens'!$C$10,IF(C207=1,H206,0))</f>
        <v>0</v>
      </c>
      <c r="G207" s="83">
        <f ca="1">IF(C207&gt;=1,F207*Reeksen!C207,0)</f>
        <v>0</v>
      </c>
      <c r="H207" s="84">
        <f t="shared" ca="1" si="36"/>
        <v>0</v>
      </c>
      <c r="I207" s="85">
        <f ca="1">IF('Invoer gegevens'!$C$17=E207,'Invoer gegevens'!$C$11,IF(C207=1,L206,0))</f>
        <v>0</v>
      </c>
      <c r="J207" s="86">
        <f ca="1">IF(C207&lt;1,0,IF(Reeksen!AK207&lt;=Reeksen!AE207,I207*Reeksen!C207,0))</f>
        <v>0</v>
      </c>
      <c r="K207" s="86">
        <f ca="1">IF(C207&lt;1,0,IF(Reeksen!AK207&gt;Reeksen!AE207,I207*Reeksen!C207,0))</f>
        <v>0</v>
      </c>
      <c r="L207" s="86">
        <f t="shared" ca="1" si="37"/>
        <v>0</v>
      </c>
      <c r="M207" s="85">
        <f ca="1">IF('Invoer gegevens'!$C$17=E207,'Invoer gegevens'!$C$10-'Invoer gegevens'!$C$11,IF(C207=1,P206,0))</f>
        <v>0</v>
      </c>
      <c r="N207" s="86">
        <f ca="1">IF(C207&lt;1,0,IF(Reeksen!AK207&lt;=Reeksen!AE207,M207*Reeksen!C207,0))</f>
        <v>0</v>
      </c>
      <c r="O207" s="86">
        <f ca="1">IF(C207&lt;1,0,IF(Reeksen!AK207&gt;Reeksen!AE207,M207*Reeksen!C207,0))</f>
        <v>0</v>
      </c>
      <c r="P207" s="86">
        <f t="shared" ca="1" si="38"/>
        <v>0</v>
      </c>
      <c r="Q207" s="82">
        <f ca="1">IF('Invoer gegevens'!$C$17=E207,I207,IF(C207=0,0,R206))</f>
        <v>0</v>
      </c>
      <c r="R207" s="84">
        <f t="shared" ca="1" si="33"/>
        <v>0</v>
      </c>
      <c r="S207" s="84">
        <f ca="1">IF('Invoer gegevens'!$C$17=E207,M207,IF(C207=0,0,T206))</f>
        <v>0</v>
      </c>
      <c r="T207" s="84">
        <f t="shared" ca="1" si="34"/>
        <v>0</v>
      </c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8"/>
      <c r="AI207" s="71">
        <f ca="1">IF(C207=1,((F207+H207)/2*Reeksen!AJ207*12)+(('Invoer gegevens'!$C$10-(F207+H207)/2)*Reeksen!AK207*12),0)</f>
        <v>0</v>
      </c>
      <c r="AJ207" s="71">
        <f ca="1">-AI207*'Invoer gegevens'!$F$28</f>
        <v>0</v>
      </c>
      <c r="AK207" s="71">
        <f t="shared" ca="1" si="35"/>
        <v>0</v>
      </c>
      <c r="AL207" s="71">
        <f ca="1">IF(C207=1,(12*((F207+H207)/2)*Reeksen!AL207)+(12*('Invoer gegevens'!$C$10-(F207+H207)/2)*Reeksen!AM207),0)</f>
        <v>0</v>
      </c>
      <c r="AM207" s="71">
        <f ca="1">-AL207*'Invoer gegevens'!$F$31</f>
        <v>0</v>
      </c>
      <c r="AN207" s="71">
        <f t="shared" ca="1" si="39"/>
        <v>0</v>
      </c>
      <c r="AO207" s="71"/>
      <c r="AP207" s="71"/>
      <c r="AQ207" s="71">
        <f ca="1">-IF(C207=1,('Invoer gegevens'!$C$10*'Invoer gegevens'!$I$33)*Reeksen!J207,0)*2</f>
        <v>0</v>
      </c>
      <c r="AR207" s="71">
        <f ca="1">-IF(C207=1,(G207*'Invoer gegevens'!$I$34)*Reeksen!J207,0)</f>
        <v>0</v>
      </c>
      <c r="AS207" s="71">
        <f ca="1">-IF(C207=1,'Invoer gegevens'!$C$10*'Invoer gegevens'!$I$35*Reeksen!L207,0)</f>
        <v>0</v>
      </c>
      <c r="AT207" s="71">
        <f ca="1">-IF(C207=1,IF(E207='Invoer gegevens'!$C$17,'Invoer gegevens'!$C$11,Q207)*Reeksen!S207*'Invoer gegevens'!$C$18*Reeksen!P207,0)</f>
        <v>0</v>
      </c>
      <c r="AU207" s="71">
        <f ca="1">-IF(C207=1,'Invoer gegevens'!$C$10*'Invoer gegevens'!$I$36*Reeksen!H207,0)</f>
        <v>0</v>
      </c>
      <c r="AV207" s="71">
        <f t="shared" si="32"/>
        <v>0</v>
      </c>
      <c r="AW207" s="71">
        <f t="shared" ca="1" si="40"/>
        <v>0</v>
      </c>
      <c r="AX207" s="71">
        <f ca="1">IF(E207&lt;'Invoer gegevens'!$C$17+15,0,IF(E207&gt;'Invoer gegevens'!$C$17+215,0,AW207))</f>
        <v>0</v>
      </c>
      <c r="AY207" s="71">
        <f ca="1">AX207/(1+'Invoer gegevens'!$F$13)^($AZ207-('Invoer gegevens'!$C$17-'Invoer gegevens'!$C$16))/(1+'Invoer gegevens'!$C$39)^('Invoer gegevens'!$C$17-'Invoer gegevens'!$C$16)</f>
        <v>0</v>
      </c>
      <c r="AZ207" s="68">
        <f ca="1">IF(E207-'Invoer gegevens'!$C$17-14.5&lt;0,0,E207-'Invoer gegevens'!$C$17-14.5)</f>
        <v>187.5</v>
      </c>
    </row>
    <row r="208" spans="2:52" x14ac:dyDescent="0.25">
      <c r="B208" s="70">
        <f t="shared" si="41"/>
        <v>204</v>
      </c>
      <c r="C208" s="67">
        <f ca="1">IF(E208-'Invoer gegevens'!$C$17&lt;0,0,1)</f>
        <v>1</v>
      </c>
      <c r="D208" s="68">
        <f t="shared" si="42"/>
        <v>203.5</v>
      </c>
      <c r="E208" s="69">
        <f ca="1">IF('Invoer gegevens'!$C$16="","",E207+1)</f>
        <v>2222</v>
      </c>
      <c r="F208" s="82">
        <f ca="1">IF('Invoer gegevens'!$C$17=E208,'Invoer gegevens'!$C$10,IF(C208=1,H207,0))</f>
        <v>0</v>
      </c>
      <c r="G208" s="83">
        <f ca="1">IF(C208&gt;=1,F208*Reeksen!C208,0)</f>
        <v>0</v>
      </c>
      <c r="H208" s="84">
        <f t="shared" ca="1" si="36"/>
        <v>0</v>
      </c>
      <c r="I208" s="85">
        <f ca="1">IF('Invoer gegevens'!$C$17=E208,'Invoer gegevens'!$C$11,IF(C208=1,L207,0))</f>
        <v>0</v>
      </c>
      <c r="J208" s="86">
        <f ca="1">IF(C208&lt;1,0,IF(Reeksen!AK208&lt;=Reeksen!AE208,I208*Reeksen!C208,0))</f>
        <v>0</v>
      </c>
      <c r="K208" s="86">
        <f ca="1">IF(C208&lt;1,0,IF(Reeksen!AK208&gt;Reeksen!AE208,I208*Reeksen!C208,0))</f>
        <v>0</v>
      </c>
      <c r="L208" s="86">
        <f t="shared" ca="1" si="37"/>
        <v>0</v>
      </c>
      <c r="M208" s="85">
        <f ca="1">IF('Invoer gegevens'!$C$17=E208,'Invoer gegevens'!$C$10-'Invoer gegevens'!$C$11,IF(C208=1,P207,0))</f>
        <v>0</v>
      </c>
      <c r="N208" s="86">
        <f ca="1">IF(C208&lt;1,0,IF(Reeksen!AK208&lt;=Reeksen!AE208,M208*Reeksen!C208,0))</f>
        <v>0</v>
      </c>
      <c r="O208" s="86">
        <f ca="1">IF(C208&lt;1,0,IF(Reeksen!AK208&gt;Reeksen!AE208,M208*Reeksen!C208,0))</f>
        <v>0</v>
      </c>
      <c r="P208" s="86">
        <f t="shared" ca="1" si="38"/>
        <v>0</v>
      </c>
      <c r="Q208" s="82">
        <f ca="1">IF('Invoer gegevens'!$C$17=E208,I208,IF(C208=0,0,R207))</f>
        <v>0</v>
      </c>
      <c r="R208" s="84">
        <f t="shared" ca="1" si="33"/>
        <v>0</v>
      </c>
      <c r="S208" s="84">
        <f ca="1">IF('Invoer gegevens'!$C$17=E208,M208,IF(C208=0,0,T207))</f>
        <v>0</v>
      </c>
      <c r="T208" s="84">
        <f t="shared" ca="1" si="34"/>
        <v>0</v>
      </c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8"/>
      <c r="AI208" s="71">
        <f ca="1">IF(C208=1,((F208+H208)/2*Reeksen!AJ208*12)+(('Invoer gegevens'!$C$10-(F208+H208)/2)*Reeksen!AK208*12),0)</f>
        <v>0</v>
      </c>
      <c r="AJ208" s="71">
        <f ca="1">-AI208*'Invoer gegevens'!$F$28</f>
        <v>0</v>
      </c>
      <c r="AK208" s="71">
        <f t="shared" ca="1" si="35"/>
        <v>0</v>
      </c>
      <c r="AL208" s="71">
        <f ca="1">IF(C208=1,(12*((F208+H208)/2)*Reeksen!AL208)+(12*('Invoer gegevens'!$C$10-(F208+H208)/2)*Reeksen!AM208),0)</f>
        <v>0</v>
      </c>
      <c r="AM208" s="71">
        <f ca="1">-AL208*'Invoer gegevens'!$F$31</f>
        <v>0</v>
      </c>
      <c r="AN208" s="71">
        <f t="shared" ca="1" si="39"/>
        <v>0</v>
      </c>
      <c r="AO208" s="71"/>
      <c r="AP208" s="71"/>
      <c r="AQ208" s="71">
        <f ca="1">-IF(C208=1,('Invoer gegevens'!$C$10*'Invoer gegevens'!$I$33)*Reeksen!J208,0)*2</f>
        <v>0</v>
      </c>
      <c r="AR208" s="71">
        <f ca="1">-IF(C208=1,(G208*'Invoer gegevens'!$I$34)*Reeksen!J208,0)</f>
        <v>0</v>
      </c>
      <c r="AS208" s="71">
        <f ca="1">-IF(C208=1,'Invoer gegevens'!$C$10*'Invoer gegevens'!$I$35*Reeksen!L208,0)</f>
        <v>0</v>
      </c>
      <c r="AT208" s="71">
        <f ca="1">-IF(C208=1,IF(E208='Invoer gegevens'!$C$17,'Invoer gegevens'!$C$11,Q208)*Reeksen!S208*'Invoer gegevens'!$C$18*Reeksen!P208,0)</f>
        <v>0</v>
      </c>
      <c r="AU208" s="71">
        <f ca="1">-IF(C208=1,'Invoer gegevens'!$C$10*'Invoer gegevens'!$I$36*Reeksen!H208,0)</f>
        <v>0</v>
      </c>
      <c r="AV208" s="71">
        <f t="shared" si="32"/>
        <v>0</v>
      </c>
      <c r="AW208" s="71">
        <f t="shared" ca="1" si="40"/>
        <v>0</v>
      </c>
      <c r="AX208" s="71">
        <f ca="1">IF(E208&lt;'Invoer gegevens'!$C$17+15,0,IF(E208&gt;'Invoer gegevens'!$C$17+215,0,AW208))</f>
        <v>0</v>
      </c>
      <c r="AY208" s="71">
        <f ca="1">AX208/(1+'Invoer gegevens'!$F$13)^($AZ208-('Invoer gegevens'!$C$17-'Invoer gegevens'!$C$16))/(1+'Invoer gegevens'!$C$39)^('Invoer gegevens'!$C$17-'Invoer gegevens'!$C$16)</f>
        <v>0</v>
      </c>
      <c r="AZ208" s="68">
        <f ca="1">IF(E208-'Invoer gegevens'!$C$17-14.5&lt;0,0,E208-'Invoer gegevens'!$C$17-14.5)</f>
        <v>188.5</v>
      </c>
    </row>
    <row r="209" spans="2:52" x14ac:dyDescent="0.25">
      <c r="B209" s="70">
        <f t="shared" si="41"/>
        <v>205</v>
      </c>
      <c r="C209" s="67">
        <f ca="1">IF(E209-'Invoer gegevens'!$C$17&lt;0,0,1)</f>
        <v>1</v>
      </c>
      <c r="D209" s="68">
        <f t="shared" si="42"/>
        <v>204.5</v>
      </c>
      <c r="E209" s="69">
        <f ca="1">IF('Invoer gegevens'!$C$16="","",E208+1)</f>
        <v>2223</v>
      </c>
      <c r="F209" s="82">
        <f ca="1">IF('Invoer gegevens'!$C$17=E209,'Invoer gegevens'!$C$10,IF(C209=1,H208,0))</f>
        <v>0</v>
      </c>
      <c r="G209" s="83">
        <f ca="1">IF(C209&gt;=1,F209*Reeksen!C209,0)</f>
        <v>0</v>
      </c>
      <c r="H209" s="84">
        <f t="shared" ca="1" si="36"/>
        <v>0</v>
      </c>
      <c r="I209" s="85">
        <f ca="1">IF('Invoer gegevens'!$C$17=E209,'Invoer gegevens'!$C$11,IF(C209=1,L208,0))</f>
        <v>0</v>
      </c>
      <c r="J209" s="86">
        <f ca="1">IF(C209&lt;1,0,IF(Reeksen!AK209&lt;=Reeksen!AE209,I209*Reeksen!C209,0))</f>
        <v>0</v>
      </c>
      <c r="K209" s="86">
        <f ca="1">IF(C209&lt;1,0,IF(Reeksen!AK209&gt;Reeksen!AE209,I209*Reeksen!C209,0))</f>
        <v>0</v>
      </c>
      <c r="L209" s="86">
        <f t="shared" ca="1" si="37"/>
        <v>0</v>
      </c>
      <c r="M209" s="85">
        <f ca="1">IF('Invoer gegevens'!$C$17=E209,'Invoer gegevens'!$C$10-'Invoer gegevens'!$C$11,IF(C209=1,P208,0))</f>
        <v>0</v>
      </c>
      <c r="N209" s="86">
        <f ca="1">IF(C209&lt;1,0,IF(Reeksen!AK209&lt;=Reeksen!AE209,M209*Reeksen!C209,0))</f>
        <v>0</v>
      </c>
      <c r="O209" s="86">
        <f ca="1">IF(C209&lt;1,0,IF(Reeksen!AK209&gt;Reeksen!AE209,M209*Reeksen!C209,0))</f>
        <v>0</v>
      </c>
      <c r="P209" s="86">
        <f t="shared" ca="1" si="38"/>
        <v>0</v>
      </c>
      <c r="Q209" s="82">
        <f ca="1">IF('Invoer gegevens'!$C$17=E209,I209,IF(C209=0,0,R208))</f>
        <v>0</v>
      </c>
      <c r="R209" s="84">
        <f t="shared" ca="1" si="33"/>
        <v>0</v>
      </c>
      <c r="S209" s="84">
        <f ca="1">IF('Invoer gegevens'!$C$17=E209,M209,IF(C209=0,0,T208))</f>
        <v>0</v>
      </c>
      <c r="T209" s="84">
        <f t="shared" ca="1" si="34"/>
        <v>0</v>
      </c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8"/>
      <c r="AI209" s="71">
        <f ca="1">IF(C209=1,((F209+H209)/2*Reeksen!AJ209*12)+(('Invoer gegevens'!$C$10-(F209+H209)/2)*Reeksen!AK209*12),0)</f>
        <v>0</v>
      </c>
      <c r="AJ209" s="71">
        <f ca="1">-AI209*'Invoer gegevens'!$F$28</f>
        <v>0</v>
      </c>
      <c r="AK209" s="71">
        <f t="shared" ca="1" si="35"/>
        <v>0</v>
      </c>
      <c r="AL209" s="71">
        <f ca="1">IF(C209=1,(12*((F209+H209)/2)*Reeksen!AL209)+(12*('Invoer gegevens'!$C$10-(F209+H209)/2)*Reeksen!AM209),0)</f>
        <v>0</v>
      </c>
      <c r="AM209" s="71">
        <f ca="1">-AL209*'Invoer gegevens'!$F$31</f>
        <v>0</v>
      </c>
      <c r="AN209" s="71">
        <f t="shared" ca="1" si="39"/>
        <v>0</v>
      </c>
      <c r="AO209" s="71"/>
      <c r="AP209" s="71"/>
      <c r="AQ209" s="71">
        <f ca="1">-IF(C209=1,('Invoer gegevens'!$C$10*'Invoer gegevens'!$I$33)*Reeksen!J209,0)*2</f>
        <v>0</v>
      </c>
      <c r="AR209" s="71">
        <f ca="1">-IF(C209=1,(G209*'Invoer gegevens'!$I$34)*Reeksen!J209,0)</f>
        <v>0</v>
      </c>
      <c r="AS209" s="71">
        <f ca="1">-IF(C209=1,'Invoer gegevens'!$C$10*'Invoer gegevens'!$I$35*Reeksen!L209,0)</f>
        <v>0</v>
      </c>
      <c r="AT209" s="71">
        <f ca="1">-IF(C209=1,IF(E209='Invoer gegevens'!$C$17,'Invoer gegevens'!$C$11,Q209)*Reeksen!S209*'Invoer gegevens'!$C$18*Reeksen!P209,0)</f>
        <v>0</v>
      </c>
      <c r="AU209" s="71">
        <f ca="1">-IF(C209=1,'Invoer gegevens'!$C$10*'Invoer gegevens'!$I$36*Reeksen!H209,0)</f>
        <v>0</v>
      </c>
      <c r="AV209" s="71">
        <f t="shared" si="32"/>
        <v>0</v>
      </c>
      <c r="AW209" s="71">
        <f t="shared" ca="1" si="40"/>
        <v>0</v>
      </c>
      <c r="AX209" s="71">
        <f ca="1">IF(E209&lt;'Invoer gegevens'!$C$17+15,0,IF(E209&gt;'Invoer gegevens'!$C$17+215,0,AW209))</f>
        <v>0</v>
      </c>
      <c r="AY209" s="71">
        <f ca="1">AX209/(1+'Invoer gegevens'!$F$13)^($AZ209-('Invoer gegevens'!$C$17-'Invoer gegevens'!$C$16))/(1+'Invoer gegevens'!$C$39)^('Invoer gegevens'!$C$17-'Invoer gegevens'!$C$16)</f>
        <v>0</v>
      </c>
      <c r="AZ209" s="68">
        <f ca="1">IF(E209-'Invoer gegevens'!$C$17-14.5&lt;0,0,E209-'Invoer gegevens'!$C$17-14.5)</f>
        <v>189.5</v>
      </c>
    </row>
    <row r="210" spans="2:52" x14ac:dyDescent="0.25">
      <c r="B210" s="70">
        <f t="shared" si="41"/>
        <v>206</v>
      </c>
      <c r="C210" s="67">
        <f ca="1">IF(E210-'Invoer gegevens'!$C$17&lt;0,0,1)</f>
        <v>1</v>
      </c>
      <c r="D210" s="68">
        <f t="shared" si="42"/>
        <v>205.5</v>
      </c>
      <c r="E210" s="69">
        <f ca="1">IF('Invoer gegevens'!$C$16="","",E209+1)</f>
        <v>2224</v>
      </c>
      <c r="F210" s="82">
        <f ca="1">IF('Invoer gegevens'!$C$17=E210,'Invoer gegevens'!$C$10,IF(C210=1,H209,0))</f>
        <v>0</v>
      </c>
      <c r="G210" s="83">
        <f ca="1">IF(C210&gt;=1,F210*Reeksen!C210,0)</f>
        <v>0</v>
      </c>
      <c r="H210" s="84">
        <f t="shared" ca="1" si="36"/>
        <v>0</v>
      </c>
      <c r="I210" s="85">
        <f ca="1">IF('Invoer gegevens'!$C$17=E210,'Invoer gegevens'!$C$11,IF(C210=1,L209,0))</f>
        <v>0</v>
      </c>
      <c r="J210" s="86">
        <f ca="1">IF(C210&lt;1,0,IF(Reeksen!AK210&lt;=Reeksen!AE210,I210*Reeksen!C210,0))</f>
        <v>0</v>
      </c>
      <c r="K210" s="86">
        <f ca="1">IF(C210&lt;1,0,IF(Reeksen!AK210&gt;Reeksen!AE210,I210*Reeksen!C210,0))</f>
        <v>0</v>
      </c>
      <c r="L210" s="86">
        <f t="shared" ca="1" si="37"/>
        <v>0</v>
      </c>
      <c r="M210" s="85">
        <f ca="1">IF('Invoer gegevens'!$C$17=E210,'Invoer gegevens'!$C$10-'Invoer gegevens'!$C$11,IF(C210=1,P209,0))</f>
        <v>0</v>
      </c>
      <c r="N210" s="86">
        <f ca="1">IF(C210&lt;1,0,IF(Reeksen!AK210&lt;=Reeksen!AE210,M210*Reeksen!C210,0))</f>
        <v>0</v>
      </c>
      <c r="O210" s="86">
        <f ca="1">IF(C210&lt;1,0,IF(Reeksen!AK210&gt;Reeksen!AE210,M210*Reeksen!C210,0))</f>
        <v>0</v>
      </c>
      <c r="P210" s="86">
        <f t="shared" ca="1" si="38"/>
        <v>0</v>
      </c>
      <c r="Q210" s="82">
        <f ca="1">IF('Invoer gegevens'!$C$17=E210,I210,IF(C210=0,0,R209))</f>
        <v>0</v>
      </c>
      <c r="R210" s="84">
        <f t="shared" ca="1" si="33"/>
        <v>0</v>
      </c>
      <c r="S210" s="84">
        <f ca="1">IF('Invoer gegevens'!$C$17=E210,M210,IF(C210=0,0,T209))</f>
        <v>0</v>
      </c>
      <c r="T210" s="84">
        <f t="shared" ca="1" si="34"/>
        <v>0</v>
      </c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8"/>
      <c r="AI210" s="71">
        <f ca="1">IF(C210=1,((F210+H210)/2*Reeksen!AJ210*12)+(('Invoer gegevens'!$C$10-(F210+H210)/2)*Reeksen!AK210*12),0)</f>
        <v>0</v>
      </c>
      <c r="AJ210" s="71">
        <f ca="1">-AI210*'Invoer gegevens'!$F$28</f>
        <v>0</v>
      </c>
      <c r="AK210" s="71">
        <f t="shared" ca="1" si="35"/>
        <v>0</v>
      </c>
      <c r="AL210" s="71">
        <f ca="1">IF(C210=1,(12*((F210+H210)/2)*Reeksen!AL210)+(12*('Invoer gegevens'!$C$10-(F210+H210)/2)*Reeksen!AM210),0)</f>
        <v>0</v>
      </c>
      <c r="AM210" s="71">
        <f ca="1">-AL210*'Invoer gegevens'!$F$31</f>
        <v>0</v>
      </c>
      <c r="AN210" s="71">
        <f t="shared" ca="1" si="39"/>
        <v>0</v>
      </c>
      <c r="AO210" s="71"/>
      <c r="AP210" s="71"/>
      <c r="AQ210" s="71">
        <f ca="1">-IF(C210=1,('Invoer gegevens'!$C$10*'Invoer gegevens'!$I$33)*Reeksen!J210,0)*2</f>
        <v>0</v>
      </c>
      <c r="AR210" s="71">
        <f ca="1">-IF(C210=1,(G210*'Invoer gegevens'!$I$34)*Reeksen!J210,0)</f>
        <v>0</v>
      </c>
      <c r="AS210" s="71">
        <f ca="1">-IF(C210=1,'Invoer gegevens'!$C$10*'Invoer gegevens'!$I$35*Reeksen!L210,0)</f>
        <v>0</v>
      </c>
      <c r="AT210" s="71">
        <f ca="1">-IF(C210=1,IF(E210='Invoer gegevens'!$C$17,'Invoer gegevens'!$C$11,Q210)*Reeksen!S210*'Invoer gegevens'!$C$18*Reeksen!P210,0)</f>
        <v>0</v>
      </c>
      <c r="AU210" s="71">
        <f ca="1">-IF(C210=1,'Invoer gegevens'!$C$10*'Invoer gegevens'!$I$36*Reeksen!H210,0)</f>
        <v>0</v>
      </c>
      <c r="AV210" s="71">
        <f t="shared" si="32"/>
        <v>0</v>
      </c>
      <c r="AW210" s="71">
        <f t="shared" ca="1" si="40"/>
        <v>0</v>
      </c>
      <c r="AX210" s="71">
        <f ca="1">IF(E210&lt;'Invoer gegevens'!$C$17+15,0,IF(E210&gt;'Invoer gegevens'!$C$17+215,0,AW210))</f>
        <v>0</v>
      </c>
      <c r="AY210" s="71">
        <f ca="1">AX210/(1+'Invoer gegevens'!$F$13)^($AZ210-('Invoer gegevens'!$C$17-'Invoer gegevens'!$C$16))/(1+'Invoer gegevens'!$C$39)^('Invoer gegevens'!$C$17-'Invoer gegevens'!$C$16)</f>
        <v>0</v>
      </c>
      <c r="AZ210" s="68">
        <f ca="1">IF(E210-'Invoer gegevens'!$C$17-14.5&lt;0,0,E210-'Invoer gegevens'!$C$17-14.5)</f>
        <v>190.5</v>
      </c>
    </row>
    <row r="211" spans="2:52" x14ac:dyDescent="0.25">
      <c r="B211" s="70">
        <f t="shared" si="41"/>
        <v>207</v>
      </c>
      <c r="C211" s="67">
        <f ca="1">IF(E211-'Invoer gegevens'!$C$17&lt;0,0,1)</f>
        <v>1</v>
      </c>
      <c r="D211" s="68">
        <f t="shared" si="42"/>
        <v>206.5</v>
      </c>
      <c r="E211" s="69">
        <f ca="1">IF('Invoer gegevens'!$C$16="","",E210+1)</f>
        <v>2225</v>
      </c>
      <c r="F211" s="82">
        <f ca="1">IF('Invoer gegevens'!$C$17=E211,'Invoer gegevens'!$C$10,IF(C211=1,H210,0))</f>
        <v>0</v>
      </c>
      <c r="G211" s="83">
        <f ca="1">IF(C211&gt;=1,F211*Reeksen!C211,0)</f>
        <v>0</v>
      </c>
      <c r="H211" s="84">
        <f t="shared" ca="1" si="36"/>
        <v>0</v>
      </c>
      <c r="I211" s="85">
        <f ca="1">IF('Invoer gegevens'!$C$17=E211,'Invoer gegevens'!$C$11,IF(C211=1,L210,0))</f>
        <v>0</v>
      </c>
      <c r="J211" s="86">
        <f ca="1">IF(C211&lt;1,0,IF(Reeksen!AK211&lt;=Reeksen!AE211,I211*Reeksen!C211,0))</f>
        <v>0</v>
      </c>
      <c r="K211" s="86">
        <f ca="1">IF(C211&lt;1,0,IF(Reeksen!AK211&gt;Reeksen!AE211,I211*Reeksen!C211,0))</f>
        <v>0</v>
      </c>
      <c r="L211" s="86">
        <f t="shared" ca="1" si="37"/>
        <v>0</v>
      </c>
      <c r="M211" s="85">
        <f ca="1">IF('Invoer gegevens'!$C$17=E211,'Invoer gegevens'!$C$10-'Invoer gegevens'!$C$11,IF(C211=1,P210,0))</f>
        <v>0</v>
      </c>
      <c r="N211" s="86">
        <f ca="1">IF(C211&lt;1,0,IF(Reeksen!AK211&lt;=Reeksen!AE211,M211*Reeksen!C211,0))</f>
        <v>0</v>
      </c>
      <c r="O211" s="86">
        <f ca="1">IF(C211&lt;1,0,IF(Reeksen!AK211&gt;Reeksen!AE211,M211*Reeksen!C211,0))</f>
        <v>0</v>
      </c>
      <c r="P211" s="86">
        <f t="shared" ca="1" si="38"/>
        <v>0</v>
      </c>
      <c r="Q211" s="82">
        <f ca="1">IF('Invoer gegevens'!$C$17=E211,I211,IF(C211=0,0,R210))</f>
        <v>0</v>
      </c>
      <c r="R211" s="84">
        <f t="shared" ca="1" si="33"/>
        <v>0</v>
      </c>
      <c r="S211" s="84">
        <f ca="1">IF('Invoer gegevens'!$C$17=E211,M211,IF(C211=0,0,T210))</f>
        <v>0</v>
      </c>
      <c r="T211" s="84">
        <f t="shared" ca="1" si="34"/>
        <v>0</v>
      </c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8"/>
      <c r="AI211" s="71">
        <f ca="1">IF(C211=1,((F211+H211)/2*Reeksen!AJ211*12)+(('Invoer gegevens'!$C$10-(F211+H211)/2)*Reeksen!AK211*12),0)</f>
        <v>0</v>
      </c>
      <c r="AJ211" s="71">
        <f ca="1">-AI211*'Invoer gegevens'!$F$28</f>
        <v>0</v>
      </c>
      <c r="AK211" s="71">
        <f t="shared" ca="1" si="35"/>
        <v>0</v>
      </c>
      <c r="AL211" s="71">
        <f ca="1">IF(C211=1,(12*((F211+H211)/2)*Reeksen!AL211)+(12*('Invoer gegevens'!$C$10-(F211+H211)/2)*Reeksen!AM211),0)</f>
        <v>0</v>
      </c>
      <c r="AM211" s="71">
        <f ca="1">-AL211*'Invoer gegevens'!$F$31</f>
        <v>0</v>
      </c>
      <c r="AN211" s="71">
        <f t="shared" ca="1" si="39"/>
        <v>0</v>
      </c>
      <c r="AO211" s="71"/>
      <c r="AP211" s="71"/>
      <c r="AQ211" s="71">
        <f ca="1">-IF(C211=1,('Invoer gegevens'!$C$10*'Invoer gegevens'!$I$33)*Reeksen!J211,0)*2</f>
        <v>0</v>
      </c>
      <c r="AR211" s="71">
        <f ca="1">-IF(C211=1,(G211*'Invoer gegevens'!$I$34)*Reeksen!J211,0)</f>
        <v>0</v>
      </c>
      <c r="AS211" s="71">
        <f ca="1">-IF(C211=1,'Invoer gegevens'!$C$10*'Invoer gegevens'!$I$35*Reeksen!L211,0)</f>
        <v>0</v>
      </c>
      <c r="AT211" s="71">
        <f ca="1">-IF(C211=1,IF(E211='Invoer gegevens'!$C$17,'Invoer gegevens'!$C$11,Q211)*Reeksen!S211*'Invoer gegevens'!$C$18*Reeksen!P211,0)</f>
        <v>0</v>
      </c>
      <c r="AU211" s="71">
        <f ca="1">-IF(C211=1,'Invoer gegevens'!$C$10*'Invoer gegevens'!$I$36*Reeksen!H211,0)</f>
        <v>0</v>
      </c>
      <c r="AV211" s="71">
        <f t="shared" si="32"/>
        <v>0</v>
      </c>
      <c r="AW211" s="71">
        <f t="shared" ca="1" si="40"/>
        <v>0</v>
      </c>
      <c r="AX211" s="71">
        <f ca="1">IF(E211&lt;'Invoer gegevens'!$C$17+15,0,IF(E211&gt;'Invoer gegevens'!$C$17+215,0,AW211))</f>
        <v>0</v>
      </c>
      <c r="AY211" s="71">
        <f ca="1">AX211/(1+'Invoer gegevens'!$F$13)^($AZ211-('Invoer gegevens'!$C$17-'Invoer gegevens'!$C$16))/(1+'Invoer gegevens'!$C$39)^('Invoer gegevens'!$C$17-'Invoer gegevens'!$C$16)</f>
        <v>0</v>
      </c>
      <c r="AZ211" s="68">
        <f ca="1">IF(E211-'Invoer gegevens'!$C$17-14.5&lt;0,0,E211-'Invoer gegevens'!$C$17-14.5)</f>
        <v>191.5</v>
      </c>
    </row>
    <row r="212" spans="2:52" x14ac:dyDescent="0.25">
      <c r="B212" s="70">
        <f t="shared" si="41"/>
        <v>208</v>
      </c>
      <c r="C212" s="67">
        <f ca="1">IF(E212-'Invoer gegevens'!$C$17&lt;0,0,1)</f>
        <v>1</v>
      </c>
      <c r="D212" s="68">
        <f t="shared" si="42"/>
        <v>207.5</v>
      </c>
      <c r="E212" s="69">
        <f ca="1">IF('Invoer gegevens'!$C$16="","",E211+1)</f>
        <v>2226</v>
      </c>
      <c r="F212" s="82">
        <f ca="1">IF('Invoer gegevens'!$C$17=E212,'Invoer gegevens'!$C$10,IF(C212=1,H211,0))</f>
        <v>0</v>
      </c>
      <c r="G212" s="83">
        <f ca="1">IF(C212&gt;=1,F212*Reeksen!C212,0)</f>
        <v>0</v>
      </c>
      <c r="H212" s="84">
        <f t="shared" ca="1" si="36"/>
        <v>0</v>
      </c>
      <c r="I212" s="85">
        <f ca="1">IF('Invoer gegevens'!$C$17=E212,'Invoer gegevens'!$C$11,IF(C212=1,L211,0))</f>
        <v>0</v>
      </c>
      <c r="J212" s="86">
        <f ca="1">IF(C212&lt;1,0,IF(Reeksen!AK212&lt;=Reeksen!AE212,I212*Reeksen!C212,0))</f>
        <v>0</v>
      </c>
      <c r="K212" s="86">
        <f ca="1">IF(C212&lt;1,0,IF(Reeksen!AK212&gt;Reeksen!AE212,I212*Reeksen!C212,0))</f>
        <v>0</v>
      </c>
      <c r="L212" s="86">
        <f t="shared" ca="1" si="37"/>
        <v>0</v>
      </c>
      <c r="M212" s="85">
        <f ca="1">IF('Invoer gegevens'!$C$17=E212,'Invoer gegevens'!$C$10-'Invoer gegevens'!$C$11,IF(C212=1,P211,0))</f>
        <v>0</v>
      </c>
      <c r="N212" s="86">
        <f ca="1">IF(C212&lt;1,0,IF(Reeksen!AK212&lt;=Reeksen!AE212,M212*Reeksen!C212,0))</f>
        <v>0</v>
      </c>
      <c r="O212" s="86">
        <f ca="1">IF(C212&lt;1,0,IF(Reeksen!AK212&gt;Reeksen!AE212,M212*Reeksen!C212,0))</f>
        <v>0</v>
      </c>
      <c r="P212" s="86">
        <f t="shared" ca="1" si="38"/>
        <v>0</v>
      </c>
      <c r="Q212" s="82">
        <f ca="1">IF('Invoer gegevens'!$C$17=E212,I212,IF(C212=0,0,R211))</f>
        <v>0</v>
      </c>
      <c r="R212" s="84">
        <f t="shared" ca="1" si="33"/>
        <v>0</v>
      </c>
      <c r="S212" s="84">
        <f ca="1">IF('Invoer gegevens'!$C$17=E212,M212,IF(C212=0,0,T211))</f>
        <v>0</v>
      </c>
      <c r="T212" s="84">
        <f t="shared" ca="1" si="34"/>
        <v>0</v>
      </c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8"/>
      <c r="AI212" s="71">
        <f ca="1">IF(C212=1,((F212+H212)/2*Reeksen!AJ212*12)+(('Invoer gegevens'!$C$10-(F212+H212)/2)*Reeksen!AK212*12),0)</f>
        <v>0</v>
      </c>
      <c r="AJ212" s="71">
        <f ca="1">-AI212*'Invoer gegevens'!$F$28</f>
        <v>0</v>
      </c>
      <c r="AK212" s="71">
        <f t="shared" ca="1" si="35"/>
        <v>0</v>
      </c>
      <c r="AL212" s="71">
        <f ca="1">IF(C212=1,(12*((F212+H212)/2)*Reeksen!AL212)+(12*('Invoer gegevens'!$C$10-(F212+H212)/2)*Reeksen!AM212),0)</f>
        <v>0</v>
      </c>
      <c r="AM212" s="71">
        <f ca="1">-AL212*'Invoer gegevens'!$F$31</f>
        <v>0</v>
      </c>
      <c r="AN212" s="71">
        <f t="shared" ca="1" si="39"/>
        <v>0</v>
      </c>
      <c r="AO212" s="71"/>
      <c r="AP212" s="71"/>
      <c r="AQ212" s="71">
        <f ca="1">-IF(C212=1,('Invoer gegevens'!$C$10*'Invoer gegevens'!$I$33)*Reeksen!J212,0)*2</f>
        <v>0</v>
      </c>
      <c r="AR212" s="71">
        <f ca="1">-IF(C212=1,(G212*'Invoer gegevens'!$I$34)*Reeksen!J212,0)</f>
        <v>0</v>
      </c>
      <c r="AS212" s="71">
        <f ca="1">-IF(C212=1,'Invoer gegevens'!$C$10*'Invoer gegevens'!$I$35*Reeksen!L212,0)</f>
        <v>0</v>
      </c>
      <c r="AT212" s="71">
        <f ca="1">-IF(C212=1,IF(E212='Invoer gegevens'!$C$17,'Invoer gegevens'!$C$11,Q212)*Reeksen!S212*'Invoer gegevens'!$C$18*Reeksen!P212,0)</f>
        <v>0</v>
      </c>
      <c r="AU212" s="71">
        <f ca="1">-IF(C212=1,'Invoer gegevens'!$C$10*'Invoer gegevens'!$I$36*Reeksen!H212,0)</f>
        <v>0</v>
      </c>
      <c r="AV212" s="71">
        <f t="shared" si="32"/>
        <v>0</v>
      </c>
      <c r="AW212" s="71">
        <f t="shared" ca="1" si="40"/>
        <v>0</v>
      </c>
      <c r="AX212" s="71">
        <f ca="1">IF(E212&lt;'Invoer gegevens'!$C$17+15,0,IF(E212&gt;'Invoer gegevens'!$C$17+215,0,AW212))</f>
        <v>0</v>
      </c>
      <c r="AY212" s="71">
        <f ca="1">AX212/(1+'Invoer gegevens'!$F$13)^($AZ212-('Invoer gegevens'!$C$17-'Invoer gegevens'!$C$16))/(1+'Invoer gegevens'!$C$39)^('Invoer gegevens'!$C$17-'Invoer gegevens'!$C$16)</f>
        <v>0</v>
      </c>
      <c r="AZ212" s="68">
        <f ca="1">IF(E212-'Invoer gegevens'!$C$17-14.5&lt;0,0,E212-'Invoer gegevens'!$C$17-14.5)</f>
        <v>192.5</v>
      </c>
    </row>
    <row r="213" spans="2:52" x14ac:dyDescent="0.25">
      <c r="B213" s="70">
        <f t="shared" si="41"/>
        <v>209</v>
      </c>
      <c r="C213" s="67">
        <f ca="1">IF(E213-'Invoer gegevens'!$C$17&lt;0,0,1)</f>
        <v>1</v>
      </c>
      <c r="D213" s="68">
        <f t="shared" si="42"/>
        <v>208.5</v>
      </c>
      <c r="E213" s="69">
        <f ca="1">IF('Invoer gegevens'!$C$16="","",E212+1)</f>
        <v>2227</v>
      </c>
      <c r="F213" s="82">
        <f ca="1">IF('Invoer gegevens'!$C$17=E213,'Invoer gegevens'!$C$10,IF(C213=1,H212,0))</f>
        <v>0</v>
      </c>
      <c r="G213" s="83">
        <f ca="1">IF(C213&gt;=1,F213*Reeksen!C213,0)</f>
        <v>0</v>
      </c>
      <c r="H213" s="84">
        <f t="shared" ca="1" si="36"/>
        <v>0</v>
      </c>
      <c r="I213" s="85">
        <f ca="1">IF('Invoer gegevens'!$C$17=E213,'Invoer gegevens'!$C$11,IF(C213=1,L212,0))</f>
        <v>0</v>
      </c>
      <c r="J213" s="86">
        <f ca="1">IF(C213&lt;1,0,IF(Reeksen!AK213&lt;=Reeksen!AE213,I213*Reeksen!C213,0))</f>
        <v>0</v>
      </c>
      <c r="K213" s="86">
        <f ca="1">IF(C213&lt;1,0,IF(Reeksen!AK213&gt;Reeksen!AE213,I213*Reeksen!C213,0))</f>
        <v>0</v>
      </c>
      <c r="L213" s="86">
        <f t="shared" ca="1" si="37"/>
        <v>0</v>
      </c>
      <c r="M213" s="85">
        <f ca="1">IF('Invoer gegevens'!$C$17=E213,'Invoer gegevens'!$C$10-'Invoer gegevens'!$C$11,IF(C213=1,P212,0))</f>
        <v>0</v>
      </c>
      <c r="N213" s="86">
        <f ca="1">IF(C213&lt;1,0,IF(Reeksen!AK213&lt;=Reeksen!AE213,M213*Reeksen!C213,0))</f>
        <v>0</v>
      </c>
      <c r="O213" s="86">
        <f ca="1">IF(C213&lt;1,0,IF(Reeksen!AK213&gt;Reeksen!AE213,M213*Reeksen!C213,0))</f>
        <v>0</v>
      </c>
      <c r="P213" s="86">
        <f t="shared" ca="1" si="38"/>
        <v>0</v>
      </c>
      <c r="Q213" s="82">
        <f ca="1">IF('Invoer gegevens'!$C$17=E213,I213,IF(C213=0,0,R212))</f>
        <v>0</v>
      </c>
      <c r="R213" s="84">
        <f t="shared" ca="1" si="33"/>
        <v>0</v>
      </c>
      <c r="S213" s="84">
        <f ca="1">IF('Invoer gegevens'!$C$17=E213,M213,IF(C213=0,0,T212))</f>
        <v>0</v>
      </c>
      <c r="T213" s="84">
        <f t="shared" ca="1" si="34"/>
        <v>0</v>
      </c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8"/>
      <c r="AI213" s="71">
        <f ca="1">IF(C213=1,((F213+H213)/2*Reeksen!AJ213*12)+(('Invoer gegevens'!$C$10-(F213+H213)/2)*Reeksen!AK213*12),0)</f>
        <v>0</v>
      </c>
      <c r="AJ213" s="71">
        <f ca="1">-AI213*'Invoer gegevens'!$F$28</f>
        <v>0</v>
      </c>
      <c r="AK213" s="71">
        <f t="shared" ca="1" si="35"/>
        <v>0</v>
      </c>
      <c r="AL213" s="71">
        <f ca="1">IF(C213=1,(12*((F213+H213)/2)*Reeksen!AL213)+(12*('Invoer gegevens'!$C$10-(F213+H213)/2)*Reeksen!AM213),0)</f>
        <v>0</v>
      </c>
      <c r="AM213" s="71">
        <f ca="1">-AL213*'Invoer gegevens'!$F$31</f>
        <v>0</v>
      </c>
      <c r="AN213" s="71">
        <f t="shared" ca="1" si="39"/>
        <v>0</v>
      </c>
      <c r="AO213" s="71"/>
      <c r="AP213" s="71"/>
      <c r="AQ213" s="71">
        <f ca="1">-IF(C213=1,('Invoer gegevens'!$C$10*'Invoer gegevens'!$I$33)*Reeksen!J213,0)*2</f>
        <v>0</v>
      </c>
      <c r="AR213" s="71">
        <f ca="1">-IF(C213=1,(G213*'Invoer gegevens'!$I$34)*Reeksen!J213,0)</f>
        <v>0</v>
      </c>
      <c r="AS213" s="71">
        <f ca="1">-IF(C213=1,'Invoer gegevens'!$C$10*'Invoer gegevens'!$I$35*Reeksen!L213,0)</f>
        <v>0</v>
      </c>
      <c r="AT213" s="71">
        <f ca="1">-IF(C213=1,IF(E213='Invoer gegevens'!$C$17,'Invoer gegevens'!$C$11,Q213)*Reeksen!S213*'Invoer gegevens'!$C$18*Reeksen!P213,0)</f>
        <v>0</v>
      </c>
      <c r="AU213" s="71">
        <f ca="1">-IF(C213=1,'Invoer gegevens'!$C$10*'Invoer gegevens'!$I$36*Reeksen!H213,0)</f>
        <v>0</v>
      </c>
      <c r="AV213" s="71">
        <f t="shared" ref="AV213:AV234" si="43">AV212</f>
        <v>0</v>
      </c>
      <c r="AW213" s="71">
        <f t="shared" ca="1" si="40"/>
        <v>0</v>
      </c>
      <c r="AX213" s="71">
        <f ca="1">IF(E213&lt;'Invoer gegevens'!$C$17+15,0,IF(E213&gt;'Invoer gegevens'!$C$17+215,0,AW213))</f>
        <v>0</v>
      </c>
      <c r="AY213" s="71">
        <f ca="1">AX213/(1+'Invoer gegevens'!$F$13)^($AZ213-('Invoer gegevens'!$C$17-'Invoer gegevens'!$C$16))/(1+'Invoer gegevens'!$C$39)^('Invoer gegevens'!$C$17-'Invoer gegevens'!$C$16)</f>
        <v>0</v>
      </c>
      <c r="AZ213" s="68">
        <f ca="1">IF(E213-'Invoer gegevens'!$C$17-14.5&lt;0,0,E213-'Invoer gegevens'!$C$17-14.5)</f>
        <v>193.5</v>
      </c>
    </row>
    <row r="214" spans="2:52" x14ac:dyDescent="0.25">
      <c r="B214" s="70">
        <f t="shared" si="41"/>
        <v>210</v>
      </c>
      <c r="C214" s="67">
        <f ca="1">IF(E214-'Invoer gegevens'!$C$17&lt;0,0,1)</f>
        <v>1</v>
      </c>
      <c r="D214" s="68">
        <f t="shared" si="42"/>
        <v>209.5</v>
      </c>
      <c r="E214" s="69">
        <f ca="1">IF('Invoer gegevens'!$C$16="","",E213+1)</f>
        <v>2228</v>
      </c>
      <c r="F214" s="82">
        <f ca="1">IF('Invoer gegevens'!$C$17=E214,'Invoer gegevens'!$C$10,IF(C214=1,H213,0))</f>
        <v>0</v>
      </c>
      <c r="G214" s="83">
        <f ca="1">IF(C214&gt;=1,F214*Reeksen!C214,0)</f>
        <v>0</v>
      </c>
      <c r="H214" s="84">
        <f t="shared" ca="1" si="36"/>
        <v>0</v>
      </c>
      <c r="I214" s="85">
        <f ca="1">IF('Invoer gegevens'!$C$17=E214,'Invoer gegevens'!$C$11,IF(C214=1,L213,0))</f>
        <v>0</v>
      </c>
      <c r="J214" s="86">
        <f ca="1">IF(C214&lt;1,0,IF(Reeksen!AK214&lt;=Reeksen!AE214,I214*Reeksen!C214,0))</f>
        <v>0</v>
      </c>
      <c r="K214" s="86">
        <f ca="1">IF(C214&lt;1,0,IF(Reeksen!AK214&gt;Reeksen!AE214,I214*Reeksen!C214,0))</f>
        <v>0</v>
      </c>
      <c r="L214" s="86">
        <f t="shared" ca="1" si="37"/>
        <v>0</v>
      </c>
      <c r="M214" s="85">
        <f ca="1">IF('Invoer gegevens'!$C$17=E214,'Invoer gegevens'!$C$10-'Invoer gegevens'!$C$11,IF(C214=1,P213,0))</f>
        <v>0</v>
      </c>
      <c r="N214" s="86">
        <f ca="1">IF(C214&lt;1,0,IF(Reeksen!AK214&lt;=Reeksen!AE214,M214*Reeksen!C214,0))</f>
        <v>0</v>
      </c>
      <c r="O214" s="86">
        <f ca="1">IF(C214&lt;1,0,IF(Reeksen!AK214&gt;Reeksen!AE214,M214*Reeksen!C214,0))</f>
        <v>0</v>
      </c>
      <c r="P214" s="86">
        <f t="shared" ca="1" si="38"/>
        <v>0</v>
      </c>
      <c r="Q214" s="82">
        <f ca="1">IF('Invoer gegevens'!$C$17=E214,I214,IF(C214=0,0,R213))</f>
        <v>0</v>
      </c>
      <c r="R214" s="84">
        <f t="shared" ca="1" si="33"/>
        <v>0</v>
      </c>
      <c r="S214" s="84">
        <f ca="1">IF('Invoer gegevens'!$C$17=E214,M214,IF(C214=0,0,T213))</f>
        <v>0</v>
      </c>
      <c r="T214" s="84">
        <f t="shared" ca="1" si="34"/>
        <v>0</v>
      </c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8"/>
      <c r="AI214" s="71">
        <f ca="1">IF(C214=1,((F214+H214)/2*Reeksen!AJ214*12)+(('Invoer gegevens'!$C$10-(F214+H214)/2)*Reeksen!AK214*12),0)</f>
        <v>0</v>
      </c>
      <c r="AJ214" s="71">
        <f ca="1">-AI214*'Invoer gegevens'!$F$28</f>
        <v>0</v>
      </c>
      <c r="AK214" s="71">
        <f t="shared" ca="1" si="35"/>
        <v>0</v>
      </c>
      <c r="AL214" s="71">
        <f ca="1">IF(C214=1,(12*((F214+H214)/2)*Reeksen!AL214)+(12*('Invoer gegevens'!$C$10-(F214+H214)/2)*Reeksen!AM214),0)</f>
        <v>0</v>
      </c>
      <c r="AM214" s="71">
        <f ca="1">-AL214*'Invoer gegevens'!$F$31</f>
        <v>0</v>
      </c>
      <c r="AN214" s="71">
        <f t="shared" ca="1" si="39"/>
        <v>0</v>
      </c>
      <c r="AO214" s="71"/>
      <c r="AP214" s="71"/>
      <c r="AQ214" s="71">
        <f ca="1">-IF(C214=1,('Invoer gegevens'!$C$10*'Invoer gegevens'!$I$33)*Reeksen!J214,0)*2</f>
        <v>0</v>
      </c>
      <c r="AR214" s="71">
        <f ca="1">-IF(C214=1,(G214*'Invoer gegevens'!$I$34)*Reeksen!J214,0)</f>
        <v>0</v>
      </c>
      <c r="AS214" s="71">
        <f ca="1">-IF(C214=1,'Invoer gegevens'!$C$10*'Invoer gegevens'!$I$35*Reeksen!L214,0)</f>
        <v>0</v>
      </c>
      <c r="AT214" s="71">
        <f ca="1">-IF(C214=1,IF(E214='Invoer gegevens'!$C$17,'Invoer gegevens'!$C$11,Q214)*Reeksen!S214*'Invoer gegevens'!$C$18*Reeksen!P214,0)</f>
        <v>0</v>
      </c>
      <c r="AU214" s="71">
        <f ca="1">-IF(C214=1,'Invoer gegevens'!$C$10*'Invoer gegevens'!$I$36*Reeksen!H214,0)</f>
        <v>0</v>
      </c>
      <c r="AV214" s="71">
        <f t="shared" si="43"/>
        <v>0</v>
      </c>
      <c r="AW214" s="71">
        <f t="shared" ca="1" si="40"/>
        <v>0</v>
      </c>
      <c r="AX214" s="71">
        <f ca="1">IF(E214&lt;'Invoer gegevens'!$C$17+15,0,IF(E214&gt;'Invoer gegevens'!$C$17+215,0,AW214))</f>
        <v>0</v>
      </c>
      <c r="AY214" s="71">
        <f ca="1">AX214/(1+'Invoer gegevens'!$F$13)^($AZ214-('Invoer gegevens'!$C$17-'Invoer gegevens'!$C$16))/(1+'Invoer gegevens'!$C$39)^('Invoer gegevens'!$C$17-'Invoer gegevens'!$C$16)</f>
        <v>0</v>
      </c>
      <c r="AZ214" s="68">
        <f ca="1">IF(E214-'Invoer gegevens'!$C$17-14.5&lt;0,0,E214-'Invoer gegevens'!$C$17-14.5)</f>
        <v>194.5</v>
      </c>
    </row>
    <row r="215" spans="2:52" x14ac:dyDescent="0.25">
      <c r="B215" s="70">
        <f t="shared" si="41"/>
        <v>211</v>
      </c>
      <c r="C215" s="67">
        <f ca="1">IF(E215-'Invoer gegevens'!$C$17&lt;0,0,1)</f>
        <v>1</v>
      </c>
      <c r="D215" s="68">
        <f t="shared" si="42"/>
        <v>210.5</v>
      </c>
      <c r="E215" s="69">
        <f ca="1">IF('Invoer gegevens'!$C$16="","",E214+1)</f>
        <v>2229</v>
      </c>
      <c r="F215" s="82">
        <f ca="1">IF('Invoer gegevens'!$C$17=E215,'Invoer gegevens'!$C$10,IF(C215=1,H214,0))</f>
        <v>0</v>
      </c>
      <c r="G215" s="83">
        <f ca="1">IF(C215&gt;=1,F215*Reeksen!C215,0)</f>
        <v>0</v>
      </c>
      <c r="H215" s="84">
        <f t="shared" ca="1" si="36"/>
        <v>0</v>
      </c>
      <c r="I215" s="85">
        <f ca="1">IF('Invoer gegevens'!$C$17=E215,'Invoer gegevens'!$C$11,IF(C215=1,L214,0))</f>
        <v>0</v>
      </c>
      <c r="J215" s="86">
        <f ca="1">IF(C215&lt;1,0,IF(Reeksen!AK215&lt;=Reeksen!AE215,I215*Reeksen!C215,0))</f>
        <v>0</v>
      </c>
      <c r="K215" s="86">
        <f ca="1">IF(C215&lt;1,0,IF(Reeksen!AK215&gt;Reeksen!AE215,I215*Reeksen!C215,0))</f>
        <v>0</v>
      </c>
      <c r="L215" s="86">
        <f t="shared" ca="1" si="37"/>
        <v>0</v>
      </c>
      <c r="M215" s="85">
        <f ca="1">IF('Invoer gegevens'!$C$17=E215,'Invoer gegevens'!$C$10-'Invoer gegevens'!$C$11,IF(C215=1,P214,0))</f>
        <v>0</v>
      </c>
      <c r="N215" s="86">
        <f ca="1">IF(C215&lt;1,0,IF(Reeksen!AK215&lt;=Reeksen!AE215,M215*Reeksen!C215,0))</f>
        <v>0</v>
      </c>
      <c r="O215" s="86">
        <f ca="1">IF(C215&lt;1,0,IF(Reeksen!AK215&gt;Reeksen!AE215,M215*Reeksen!C215,0))</f>
        <v>0</v>
      </c>
      <c r="P215" s="86">
        <f t="shared" ca="1" si="38"/>
        <v>0</v>
      </c>
      <c r="Q215" s="82">
        <f ca="1">IF('Invoer gegevens'!$C$17=E215,I215,IF(C215=0,0,R214))</f>
        <v>0</v>
      </c>
      <c r="R215" s="84">
        <f t="shared" ca="1" si="33"/>
        <v>0</v>
      </c>
      <c r="S215" s="84">
        <f ca="1">IF('Invoer gegevens'!$C$17=E215,M215,IF(C215=0,0,T214))</f>
        <v>0</v>
      </c>
      <c r="T215" s="84">
        <f t="shared" ca="1" si="34"/>
        <v>0</v>
      </c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8"/>
      <c r="AI215" s="71">
        <f ca="1">IF(C215=1,((F215+H215)/2*Reeksen!AJ215*12)+(('Invoer gegevens'!$C$10-(F215+H215)/2)*Reeksen!AK215*12),0)</f>
        <v>0</v>
      </c>
      <c r="AJ215" s="71">
        <f ca="1">-AI215*'Invoer gegevens'!$F$28</f>
        <v>0</v>
      </c>
      <c r="AK215" s="71">
        <f t="shared" ca="1" si="35"/>
        <v>0</v>
      </c>
      <c r="AL215" s="71">
        <f ca="1">IF(C215=1,(12*((F215+H215)/2)*Reeksen!AL215)+(12*('Invoer gegevens'!$C$10-(F215+H215)/2)*Reeksen!AM215),0)</f>
        <v>0</v>
      </c>
      <c r="AM215" s="71">
        <f ca="1">-AL215*'Invoer gegevens'!$F$31</f>
        <v>0</v>
      </c>
      <c r="AN215" s="71">
        <f t="shared" ca="1" si="39"/>
        <v>0</v>
      </c>
      <c r="AO215" s="71"/>
      <c r="AP215" s="71"/>
      <c r="AQ215" s="71">
        <f ca="1">-IF(C215=1,('Invoer gegevens'!$C$10*'Invoer gegevens'!$I$33)*Reeksen!J215,0)*2</f>
        <v>0</v>
      </c>
      <c r="AR215" s="71">
        <f ca="1">-IF(C215=1,(G215*'Invoer gegevens'!$I$34)*Reeksen!J215,0)</f>
        <v>0</v>
      </c>
      <c r="AS215" s="71">
        <f ca="1">-IF(C215=1,'Invoer gegevens'!$C$10*'Invoer gegevens'!$I$35*Reeksen!L215,0)</f>
        <v>0</v>
      </c>
      <c r="AT215" s="71">
        <f ca="1">-IF(C215=1,IF(E215='Invoer gegevens'!$C$17,'Invoer gegevens'!$C$11,Q215)*Reeksen!S215*'Invoer gegevens'!$C$18*Reeksen!P215,0)</f>
        <v>0</v>
      </c>
      <c r="AU215" s="71">
        <f ca="1">-IF(C215=1,'Invoer gegevens'!$C$10*'Invoer gegevens'!$I$36*Reeksen!H215,0)</f>
        <v>0</v>
      </c>
      <c r="AV215" s="71">
        <f t="shared" si="43"/>
        <v>0</v>
      </c>
      <c r="AW215" s="71">
        <f t="shared" ca="1" si="40"/>
        <v>0</v>
      </c>
      <c r="AX215" s="71">
        <f ca="1">IF(E215&lt;'Invoer gegevens'!$C$17+15,0,IF(E215&gt;'Invoer gegevens'!$C$17+215,0,AW215))</f>
        <v>0</v>
      </c>
      <c r="AY215" s="71">
        <f ca="1">AX215/(1+'Invoer gegevens'!$F$13)^($AZ215-('Invoer gegevens'!$C$17-'Invoer gegevens'!$C$16))/(1+'Invoer gegevens'!$C$39)^('Invoer gegevens'!$C$17-'Invoer gegevens'!$C$16)</f>
        <v>0</v>
      </c>
      <c r="AZ215" s="68">
        <f ca="1">IF(E215-'Invoer gegevens'!$C$17-14.5&lt;0,0,E215-'Invoer gegevens'!$C$17-14.5)</f>
        <v>195.5</v>
      </c>
    </row>
    <row r="216" spans="2:52" x14ac:dyDescent="0.25">
      <c r="B216" s="70">
        <f t="shared" si="41"/>
        <v>212</v>
      </c>
      <c r="C216" s="67">
        <f ca="1">IF(E216-'Invoer gegevens'!$C$17&lt;0,0,1)</f>
        <v>1</v>
      </c>
      <c r="D216" s="68">
        <f t="shared" si="42"/>
        <v>211.5</v>
      </c>
      <c r="E216" s="69">
        <f ca="1">IF('Invoer gegevens'!$C$16="","",E215+1)</f>
        <v>2230</v>
      </c>
      <c r="F216" s="82">
        <f ca="1">IF('Invoer gegevens'!$C$17=E216,'Invoer gegevens'!$C$10,IF(C216=1,H215,0))</f>
        <v>0</v>
      </c>
      <c r="G216" s="83">
        <f ca="1">IF(C216&gt;=1,F216*Reeksen!C216,0)</f>
        <v>0</v>
      </c>
      <c r="H216" s="84">
        <f t="shared" ca="1" si="36"/>
        <v>0</v>
      </c>
      <c r="I216" s="85">
        <f ca="1">IF('Invoer gegevens'!$C$17=E216,'Invoer gegevens'!$C$11,IF(C216=1,L215,0))</f>
        <v>0</v>
      </c>
      <c r="J216" s="86">
        <f ca="1">IF(C216&lt;1,0,IF(Reeksen!AK216&lt;=Reeksen!AE216,I216*Reeksen!C216,0))</f>
        <v>0</v>
      </c>
      <c r="K216" s="86">
        <f ca="1">IF(C216&lt;1,0,IF(Reeksen!AK216&gt;Reeksen!AE216,I216*Reeksen!C216,0))</f>
        <v>0</v>
      </c>
      <c r="L216" s="86">
        <f t="shared" ca="1" si="37"/>
        <v>0</v>
      </c>
      <c r="M216" s="85">
        <f ca="1">IF('Invoer gegevens'!$C$17=E216,'Invoer gegevens'!$C$10-'Invoer gegevens'!$C$11,IF(C216=1,P215,0))</f>
        <v>0</v>
      </c>
      <c r="N216" s="86">
        <f ca="1">IF(C216&lt;1,0,IF(Reeksen!AK216&lt;=Reeksen!AE216,M216*Reeksen!C216,0))</f>
        <v>0</v>
      </c>
      <c r="O216" s="86">
        <f ca="1">IF(C216&lt;1,0,IF(Reeksen!AK216&gt;Reeksen!AE216,M216*Reeksen!C216,0))</f>
        <v>0</v>
      </c>
      <c r="P216" s="86">
        <f t="shared" ca="1" si="38"/>
        <v>0</v>
      </c>
      <c r="Q216" s="82">
        <f ca="1">IF('Invoer gegevens'!$C$17=E216,I216,IF(C216=0,0,R215))</f>
        <v>0</v>
      </c>
      <c r="R216" s="84">
        <f t="shared" ca="1" si="33"/>
        <v>0</v>
      </c>
      <c r="S216" s="84">
        <f ca="1">IF('Invoer gegevens'!$C$17=E216,M216,IF(C216=0,0,T215))</f>
        <v>0</v>
      </c>
      <c r="T216" s="84">
        <f t="shared" ca="1" si="34"/>
        <v>0</v>
      </c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8"/>
      <c r="AI216" s="71">
        <f ca="1">IF(C216=1,((F216+H216)/2*Reeksen!AJ216*12)+(('Invoer gegevens'!$C$10-(F216+H216)/2)*Reeksen!AK216*12),0)</f>
        <v>0</v>
      </c>
      <c r="AJ216" s="71">
        <f ca="1">-AI216*'Invoer gegevens'!$F$28</f>
        <v>0</v>
      </c>
      <c r="AK216" s="71">
        <f t="shared" ca="1" si="35"/>
        <v>0</v>
      </c>
      <c r="AL216" s="71">
        <f ca="1">IF(C216=1,(12*((F216+H216)/2)*Reeksen!AL216)+(12*('Invoer gegevens'!$C$10-(F216+H216)/2)*Reeksen!AM216),0)</f>
        <v>0</v>
      </c>
      <c r="AM216" s="71">
        <f ca="1">-AL216*'Invoer gegevens'!$F$31</f>
        <v>0</v>
      </c>
      <c r="AN216" s="71">
        <f t="shared" ca="1" si="39"/>
        <v>0</v>
      </c>
      <c r="AO216" s="71"/>
      <c r="AP216" s="71"/>
      <c r="AQ216" s="71">
        <f ca="1">-IF(C216=1,('Invoer gegevens'!$C$10*'Invoer gegevens'!$I$33)*Reeksen!J216,0)*2</f>
        <v>0</v>
      </c>
      <c r="AR216" s="71">
        <f ca="1">-IF(C216=1,(G216*'Invoer gegevens'!$I$34)*Reeksen!J216,0)</f>
        <v>0</v>
      </c>
      <c r="AS216" s="71">
        <f ca="1">-IF(C216=1,'Invoer gegevens'!$C$10*'Invoer gegevens'!$I$35*Reeksen!L216,0)</f>
        <v>0</v>
      </c>
      <c r="AT216" s="71">
        <f ca="1">-IF(C216=1,IF(E216='Invoer gegevens'!$C$17,'Invoer gegevens'!$C$11,Q216)*Reeksen!S216*'Invoer gegevens'!$C$18*Reeksen!P216,0)</f>
        <v>0</v>
      </c>
      <c r="AU216" s="71">
        <f ca="1">-IF(C216=1,'Invoer gegevens'!$C$10*'Invoer gegevens'!$I$36*Reeksen!H216,0)</f>
        <v>0</v>
      </c>
      <c r="AV216" s="71">
        <f t="shared" si="43"/>
        <v>0</v>
      </c>
      <c r="AW216" s="71">
        <f t="shared" ca="1" si="40"/>
        <v>0</v>
      </c>
      <c r="AX216" s="71">
        <f ca="1">IF(E216&lt;'Invoer gegevens'!$C$17+15,0,IF(E216&gt;'Invoer gegevens'!$C$17+215,0,AW216))</f>
        <v>0</v>
      </c>
      <c r="AY216" s="71">
        <f ca="1">AX216/(1+'Invoer gegevens'!$F$13)^($AZ216-('Invoer gegevens'!$C$17-'Invoer gegevens'!$C$16))/(1+'Invoer gegevens'!$C$39)^('Invoer gegevens'!$C$17-'Invoer gegevens'!$C$16)</f>
        <v>0</v>
      </c>
      <c r="AZ216" s="68">
        <f ca="1">IF(E216-'Invoer gegevens'!$C$17-14.5&lt;0,0,E216-'Invoer gegevens'!$C$17-14.5)</f>
        <v>196.5</v>
      </c>
    </row>
    <row r="217" spans="2:52" x14ac:dyDescent="0.25">
      <c r="B217" s="70">
        <f t="shared" si="41"/>
        <v>213</v>
      </c>
      <c r="C217" s="67">
        <f ca="1">IF(E217-'Invoer gegevens'!$C$17&lt;0,0,1)</f>
        <v>1</v>
      </c>
      <c r="D217" s="68">
        <f t="shared" si="42"/>
        <v>212.5</v>
      </c>
      <c r="E217" s="69">
        <f ca="1">IF('Invoer gegevens'!$C$16="","",E216+1)</f>
        <v>2231</v>
      </c>
      <c r="F217" s="82">
        <f ca="1">IF('Invoer gegevens'!$C$17=E217,'Invoer gegevens'!$C$10,IF(C217=1,H216,0))</f>
        <v>0</v>
      </c>
      <c r="G217" s="83">
        <f ca="1">IF(C217&gt;=1,F217*Reeksen!C217,0)</f>
        <v>0</v>
      </c>
      <c r="H217" s="84">
        <f t="shared" ca="1" si="36"/>
        <v>0</v>
      </c>
      <c r="I217" s="85">
        <f ca="1">IF('Invoer gegevens'!$C$17=E217,'Invoer gegevens'!$C$11,IF(C217=1,L216,0))</f>
        <v>0</v>
      </c>
      <c r="J217" s="86">
        <f ca="1">IF(C217&lt;1,0,IF(Reeksen!AK217&lt;=Reeksen!AE217,I217*Reeksen!C217,0))</f>
        <v>0</v>
      </c>
      <c r="K217" s="86">
        <f ca="1">IF(C217&lt;1,0,IF(Reeksen!AK217&gt;Reeksen!AE217,I217*Reeksen!C217,0))</f>
        <v>0</v>
      </c>
      <c r="L217" s="86">
        <f t="shared" ca="1" si="37"/>
        <v>0</v>
      </c>
      <c r="M217" s="85">
        <f ca="1">IF('Invoer gegevens'!$C$17=E217,'Invoer gegevens'!$C$10-'Invoer gegevens'!$C$11,IF(C217=1,P216,0))</f>
        <v>0</v>
      </c>
      <c r="N217" s="86">
        <f ca="1">IF(C217&lt;1,0,IF(Reeksen!AK217&lt;=Reeksen!AE217,M217*Reeksen!C217,0))</f>
        <v>0</v>
      </c>
      <c r="O217" s="86">
        <f ca="1">IF(C217&lt;1,0,IF(Reeksen!AK217&gt;Reeksen!AE217,M217*Reeksen!C217,0))</f>
        <v>0</v>
      </c>
      <c r="P217" s="86">
        <f t="shared" ca="1" si="38"/>
        <v>0</v>
      </c>
      <c r="Q217" s="82">
        <f ca="1">IF('Invoer gegevens'!$C$17=E217,I217,IF(C217=0,0,R216))</f>
        <v>0</v>
      </c>
      <c r="R217" s="84">
        <f t="shared" ca="1" si="33"/>
        <v>0</v>
      </c>
      <c r="S217" s="84">
        <f ca="1">IF('Invoer gegevens'!$C$17=E217,M217,IF(C217=0,0,T216))</f>
        <v>0</v>
      </c>
      <c r="T217" s="84">
        <f t="shared" ca="1" si="34"/>
        <v>0</v>
      </c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8"/>
      <c r="AI217" s="71">
        <f ca="1">IF(C217=1,((F217+H217)/2*Reeksen!AJ217*12)+(('Invoer gegevens'!$C$10-(F217+H217)/2)*Reeksen!AK217*12),0)</f>
        <v>0</v>
      </c>
      <c r="AJ217" s="71">
        <f ca="1">-AI217*'Invoer gegevens'!$F$28</f>
        <v>0</v>
      </c>
      <c r="AK217" s="71">
        <f t="shared" ca="1" si="35"/>
        <v>0</v>
      </c>
      <c r="AL217" s="71">
        <f ca="1">IF(C217=1,(12*((F217+H217)/2)*Reeksen!AL217)+(12*('Invoer gegevens'!$C$10-(F217+H217)/2)*Reeksen!AM217),0)</f>
        <v>0</v>
      </c>
      <c r="AM217" s="71">
        <f ca="1">-AL217*'Invoer gegevens'!$F$31</f>
        <v>0</v>
      </c>
      <c r="AN217" s="71">
        <f t="shared" ca="1" si="39"/>
        <v>0</v>
      </c>
      <c r="AO217" s="71"/>
      <c r="AP217" s="71"/>
      <c r="AQ217" s="71">
        <f ca="1">-IF(C217=1,('Invoer gegevens'!$C$10*'Invoer gegevens'!$I$33)*Reeksen!J217,0)*2</f>
        <v>0</v>
      </c>
      <c r="AR217" s="71">
        <f ca="1">-IF(C217=1,(G217*'Invoer gegevens'!$I$34)*Reeksen!J217,0)</f>
        <v>0</v>
      </c>
      <c r="AS217" s="71">
        <f ca="1">-IF(C217=1,'Invoer gegevens'!$C$10*'Invoer gegevens'!$I$35*Reeksen!L217,0)</f>
        <v>0</v>
      </c>
      <c r="AT217" s="71">
        <f ca="1">-IF(C217=1,IF(E217='Invoer gegevens'!$C$17,'Invoer gegevens'!$C$11,Q217)*Reeksen!S217*'Invoer gegevens'!$C$18*Reeksen!P217,0)</f>
        <v>0</v>
      </c>
      <c r="AU217" s="71">
        <f ca="1">-IF(C217=1,'Invoer gegevens'!$C$10*'Invoer gegevens'!$I$36*Reeksen!H217,0)</f>
        <v>0</v>
      </c>
      <c r="AV217" s="71">
        <f t="shared" si="43"/>
        <v>0</v>
      </c>
      <c r="AW217" s="71">
        <f t="shared" ca="1" si="40"/>
        <v>0</v>
      </c>
      <c r="AX217" s="71">
        <f ca="1">IF(E217&lt;'Invoer gegevens'!$C$17+15,0,IF(E217&gt;'Invoer gegevens'!$C$17+215,0,AW217))</f>
        <v>0</v>
      </c>
      <c r="AY217" s="71">
        <f ca="1">AX217/(1+'Invoer gegevens'!$F$13)^($AZ217-('Invoer gegevens'!$C$17-'Invoer gegevens'!$C$16))/(1+'Invoer gegevens'!$C$39)^('Invoer gegevens'!$C$17-'Invoer gegevens'!$C$16)</f>
        <v>0</v>
      </c>
      <c r="AZ217" s="68">
        <f ca="1">IF(E217-'Invoer gegevens'!$C$17-14.5&lt;0,0,E217-'Invoer gegevens'!$C$17-14.5)</f>
        <v>197.5</v>
      </c>
    </row>
    <row r="218" spans="2:52" x14ac:dyDescent="0.25">
      <c r="B218" s="70">
        <f t="shared" si="41"/>
        <v>214</v>
      </c>
      <c r="C218" s="67">
        <f ca="1">IF(E218-'Invoer gegevens'!$C$17&lt;0,0,1)</f>
        <v>1</v>
      </c>
      <c r="D218" s="68">
        <f t="shared" si="42"/>
        <v>213.5</v>
      </c>
      <c r="E218" s="69">
        <f ca="1">IF('Invoer gegevens'!$C$16="","",E217+1)</f>
        <v>2232</v>
      </c>
      <c r="F218" s="82">
        <f ca="1">IF('Invoer gegevens'!$C$17=E218,'Invoer gegevens'!$C$10,IF(C218=1,H217,0))</f>
        <v>0</v>
      </c>
      <c r="G218" s="83">
        <f ca="1">IF(C218&gt;=1,F218*Reeksen!C218,0)</f>
        <v>0</v>
      </c>
      <c r="H218" s="84">
        <f t="shared" ca="1" si="36"/>
        <v>0</v>
      </c>
      <c r="I218" s="85">
        <f ca="1">IF('Invoer gegevens'!$C$17=E218,'Invoer gegevens'!$C$11,IF(C218=1,L217,0))</f>
        <v>0</v>
      </c>
      <c r="J218" s="86">
        <f ca="1">IF(C218&lt;1,0,IF(Reeksen!AK218&lt;=Reeksen!AE218,I218*Reeksen!C218,0))</f>
        <v>0</v>
      </c>
      <c r="K218" s="86">
        <f ca="1">IF(C218&lt;1,0,IF(Reeksen!AK218&gt;Reeksen!AE218,I218*Reeksen!C218,0))</f>
        <v>0</v>
      </c>
      <c r="L218" s="86">
        <f t="shared" ca="1" si="37"/>
        <v>0</v>
      </c>
      <c r="M218" s="85">
        <f ca="1">IF('Invoer gegevens'!$C$17=E218,'Invoer gegevens'!$C$10-'Invoer gegevens'!$C$11,IF(C218=1,P217,0))</f>
        <v>0</v>
      </c>
      <c r="N218" s="86">
        <f ca="1">IF(C218&lt;1,0,IF(Reeksen!AK218&lt;=Reeksen!AE218,M218*Reeksen!C218,0))</f>
        <v>0</v>
      </c>
      <c r="O218" s="86">
        <f ca="1">IF(C218&lt;1,0,IF(Reeksen!AK218&gt;Reeksen!AE218,M218*Reeksen!C218,0))</f>
        <v>0</v>
      </c>
      <c r="P218" s="86">
        <f t="shared" ca="1" si="38"/>
        <v>0</v>
      </c>
      <c r="Q218" s="82">
        <f ca="1">IF('Invoer gegevens'!$C$17=E218,I218,IF(C218=0,0,R217))</f>
        <v>0</v>
      </c>
      <c r="R218" s="84">
        <f t="shared" ca="1" si="33"/>
        <v>0</v>
      </c>
      <c r="S218" s="84">
        <f ca="1">IF('Invoer gegevens'!$C$17=E218,M218,IF(C218=0,0,T217))</f>
        <v>0</v>
      </c>
      <c r="T218" s="84">
        <f t="shared" ca="1" si="34"/>
        <v>0</v>
      </c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8"/>
      <c r="AI218" s="71">
        <f ca="1">IF(C218=1,((F218+H218)/2*Reeksen!AJ218*12)+(('Invoer gegevens'!$C$10-(F218+H218)/2)*Reeksen!AK218*12),0)</f>
        <v>0</v>
      </c>
      <c r="AJ218" s="71">
        <f ca="1">-AI218*'Invoer gegevens'!$F$28</f>
        <v>0</v>
      </c>
      <c r="AK218" s="71">
        <f t="shared" ca="1" si="35"/>
        <v>0</v>
      </c>
      <c r="AL218" s="71">
        <f ca="1">IF(C218=1,(12*((F218+H218)/2)*Reeksen!AL218)+(12*('Invoer gegevens'!$C$10-(F218+H218)/2)*Reeksen!AM218),0)</f>
        <v>0</v>
      </c>
      <c r="AM218" s="71">
        <f ca="1">-AL218*'Invoer gegevens'!$F$31</f>
        <v>0</v>
      </c>
      <c r="AN218" s="71">
        <f t="shared" ca="1" si="39"/>
        <v>0</v>
      </c>
      <c r="AO218" s="71"/>
      <c r="AP218" s="71"/>
      <c r="AQ218" s="71">
        <f ca="1">-IF(C218=1,('Invoer gegevens'!$C$10*'Invoer gegevens'!$I$33)*Reeksen!J218,0)*2</f>
        <v>0</v>
      </c>
      <c r="AR218" s="71">
        <f ca="1">-IF(C218=1,(G218*'Invoer gegevens'!$I$34)*Reeksen!J218,0)</f>
        <v>0</v>
      </c>
      <c r="AS218" s="71">
        <f ca="1">-IF(C218=1,'Invoer gegevens'!$C$10*'Invoer gegevens'!$I$35*Reeksen!L218,0)</f>
        <v>0</v>
      </c>
      <c r="AT218" s="71">
        <f ca="1">-IF(C218=1,IF(E218='Invoer gegevens'!$C$17,'Invoer gegevens'!$C$11,Q218)*Reeksen!S218*'Invoer gegevens'!$C$18*Reeksen!P218,0)</f>
        <v>0</v>
      </c>
      <c r="AU218" s="71">
        <f ca="1">-IF(C218=1,'Invoer gegevens'!$C$10*'Invoer gegevens'!$I$36*Reeksen!H218,0)</f>
        <v>0</v>
      </c>
      <c r="AV218" s="71">
        <f t="shared" si="43"/>
        <v>0</v>
      </c>
      <c r="AW218" s="71">
        <f t="shared" ca="1" si="40"/>
        <v>0</v>
      </c>
      <c r="AX218" s="71">
        <f ca="1">IF(E218&lt;'Invoer gegevens'!$C$17+15,0,IF(E218&gt;'Invoer gegevens'!$C$17+215,0,AW218))</f>
        <v>0</v>
      </c>
      <c r="AY218" s="71">
        <f ca="1">AX218/(1+'Invoer gegevens'!$F$13)^($AZ218-('Invoer gegevens'!$C$17-'Invoer gegevens'!$C$16))/(1+'Invoer gegevens'!$C$39)^('Invoer gegevens'!$C$17-'Invoer gegevens'!$C$16)</f>
        <v>0</v>
      </c>
      <c r="AZ218" s="68">
        <f ca="1">IF(E218-'Invoer gegevens'!$C$17-14.5&lt;0,0,E218-'Invoer gegevens'!$C$17-14.5)</f>
        <v>198.5</v>
      </c>
    </row>
    <row r="219" spans="2:52" x14ac:dyDescent="0.25">
      <c r="B219" s="70">
        <f t="shared" si="41"/>
        <v>215</v>
      </c>
      <c r="C219" s="67">
        <f ca="1">IF(E219-'Invoer gegevens'!$C$17&lt;0,0,1)</f>
        <v>1</v>
      </c>
      <c r="D219" s="68">
        <f t="shared" si="42"/>
        <v>214.5</v>
      </c>
      <c r="E219" s="69">
        <f ca="1">IF('Invoer gegevens'!$C$16="","",E218+1)</f>
        <v>2233</v>
      </c>
      <c r="F219" s="82">
        <f ca="1">IF('Invoer gegevens'!$C$17=E219,'Invoer gegevens'!$C$10,IF(C219=1,H218,0))</f>
        <v>0</v>
      </c>
      <c r="G219" s="83">
        <f ca="1">IF(C219&gt;=1,F219*Reeksen!C219,0)</f>
        <v>0</v>
      </c>
      <c r="H219" s="84">
        <f t="shared" ca="1" si="36"/>
        <v>0</v>
      </c>
      <c r="I219" s="85">
        <f ca="1">IF('Invoer gegevens'!$C$17=E219,'Invoer gegevens'!$C$11,IF(C219=1,L218,0))</f>
        <v>0</v>
      </c>
      <c r="J219" s="86">
        <f ca="1">IF(C219&lt;1,0,IF(Reeksen!AK219&lt;=Reeksen!AE219,I219*Reeksen!C219,0))</f>
        <v>0</v>
      </c>
      <c r="K219" s="86">
        <f ca="1">IF(C219&lt;1,0,IF(Reeksen!AK219&gt;Reeksen!AE219,I219*Reeksen!C219,0))</f>
        <v>0</v>
      </c>
      <c r="L219" s="86">
        <f t="shared" ca="1" si="37"/>
        <v>0</v>
      </c>
      <c r="M219" s="85">
        <f ca="1">IF('Invoer gegevens'!$C$17=E219,'Invoer gegevens'!$C$10-'Invoer gegevens'!$C$11,IF(C219=1,P218,0))</f>
        <v>0</v>
      </c>
      <c r="N219" s="86">
        <f ca="1">IF(C219&lt;1,0,IF(Reeksen!AK219&lt;=Reeksen!AE219,M219*Reeksen!C219,0))</f>
        <v>0</v>
      </c>
      <c r="O219" s="86">
        <f ca="1">IF(C219&lt;1,0,IF(Reeksen!AK219&gt;Reeksen!AE219,M219*Reeksen!C219,0))</f>
        <v>0</v>
      </c>
      <c r="P219" s="86">
        <f t="shared" ca="1" si="38"/>
        <v>0</v>
      </c>
      <c r="Q219" s="82">
        <f ca="1">IF('Invoer gegevens'!$C$17=E219,I219,IF(C219=0,0,R218))</f>
        <v>0</v>
      </c>
      <c r="R219" s="84">
        <f t="shared" ca="1" si="33"/>
        <v>0</v>
      </c>
      <c r="S219" s="84">
        <f ca="1">IF('Invoer gegevens'!$C$17=E219,M219,IF(C219=0,0,T218))</f>
        <v>0</v>
      </c>
      <c r="T219" s="84">
        <f t="shared" ca="1" si="34"/>
        <v>0</v>
      </c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8"/>
      <c r="AI219" s="71">
        <f ca="1">IF(C219=1,((F219+H219)/2*Reeksen!AJ219*12)+(('Invoer gegevens'!$C$10-(F219+H219)/2)*Reeksen!AK219*12),0)</f>
        <v>0</v>
      </c>
      <c r="AJ219" s="71">
        <f ca="1">-AI219*'Invoer gegevens'!$F$28</f>
        <v>0</v>
      </c>
      <c r="AK219" s="71">
        <f t="shared" ca="1" si="35"/>
        <v>0</v>
      </c>
      <c r="AL219" s="71">
        <f ca="1">IF(C219=1,(12*((F219+H219)/2)*Reeksen!AL219)+(12*('Invoer gegevens'!$C$10-(F219+H219)/2)*Reeksen!AM219),0)</f>
        <v>0</v>
      </c>
      <c r="AM219" s="71">
        <f ca="1">-AL219*'Invoer gegevens'!$F$31</f>
        <v>0</v>
      </c>
      <c r="AN219" s="71">
        <f t="shared" ca="1" si="39"/>
        <v>0</v>
      </c>
      <c r="AO219" s="71"/>
      <c r="AP219" s="71"/>
      <c r="AQ219" s="71">
        <f ca="1">-IF(C219=1,('Invoer gegevens'!$C$10*'Invoer gegevens'!$I$33)*Reeksen!J219,0)*2</f>
        <v>0</v>
      </c>
      <c r="AR219" s="71">
        <f ca="1">-IF(C219=1,(G219*'Invoer gegevens'!$I$34)*Reeksen!J219,0)</f>
        <v>0</v>
      </c>
      <c r="AS219" s="71">
        <f ca="1">-IF(C219=1,'Invoer gegevens'!$C$10*'Invoer gegevens'!$I$35*Reeksen!L219,0)</f>
        <v>0</v>
      </c>
      <c r="AT219" s="71">
        <f ca="1">-IF(C219=1,IF(E219='Invoer gegevens'!$C$17,'Invoer gegevens'!$C$11,Q219)*Reeksen!S219*'Invoer gegevens'!$C$18*Reeksen!P219,0)</f>
        <v>0</v>
      </c>
      <c r="AU219" s="71">
        <f ca="1">-IF(C219=1,'Invoer gegevens'!$C$10*'Invoer gegevens'!$I$36*Reeksen!H219,0)</f>
        <v>0</v>
      </c>
      <c r="AV219" s="71">
        <f t="shared" si="43"/>
        <v>0</v>
      </c>
      <c r="AW219" s="71">
        <f t="shared" ca="1" si="40"/>
        <v>0</v>
      </c>
      <c r="AX219" s="71">
        <f ca="1">IF(E219&lt;'Invoer gegevens'!$C$17+15,0,IF(E219&gt;'Invoer gegevens'!$C$17+215,0,AW219))</f>
        <v>0</v>
      </c>
      <c r="AY219" s="71">
        <f ca="1">AX219/(1+'Invoer gegevens'!$F$13)^($AZ219-('Invoer gegevens'!$C$17-'Invoer gegevens'!$C$16))/(1+'Invoer gegevens'!$C$39)^('Invoer gegevens'!$C$17-'Invoer gegevens'!$C$16)</f>
        <v>0</v>
      </c>
      <c r="AZ219" s="68">
        <f ca="1">IF(E219-'Invoer gegevens'!$C$17-14.5&lt;0,0,E219-'Invoer gegevens'!$C$17-14.5)</f>
        <v>199.5</v>
      </c>
    </row>
    <row r="220" spans="2:52" x14ac:dyDescent="0.25">
      <c r="B220" s="70">
        <f t="shared" si="41"/>
        <v>216</v>
      </c>
      <c r="C220" s="67">
        <f ca="1">IF(E220-'Invoer gegevens'!$C$17&lt;0,0,1)</f>
        <v>1</v>
      </c>
      <c r="D220" s="68">
        <f t="shared" si="42"/>
        <v>215.5</v>
      </c>
      <c r="E220" s="69">
        <f ca="1">IF('Invoer gegevens'!$C$16="","",E219+1)</f>
        <v>2234</v>
      </c>
      <c r="F220" s="82">
        <f ca="1">IF('Invoer gegevens'!$C$17=E220,'Invoer gegevens'!$C$10,IF(C220=1,H219,0))</f>
        <v>0</v>
      </c>
      <c r="G220" s="83">
        <f ca="1">IF(C220&gt;=1,F220*Reeksen!C220,0)</f>
        <v>0</v>
      </c>
      <c r="H220" s="84">
        <f t="shared" ca="1" si="36"/>
        <v>0</v>
      </c>
      <c r="I220" s="85">
        <f ca="1">IF('Invoer gegevens'!$C$17=E220,'Invoer gegevens'!$C$11,IF(C220=1,L219,0))</f>
        <v>0</v>
      </c>
      <c r="J220" s="86">
        <f ca="1">IF(C220&lt;1,0,IF(Reeksen!AK220&lt;=Reeksen!AE220,I220*Reeksen!C220,0))</f>
        <v>0</v>
      </c>
      <c r="K220" s="86">
        <f ca="1">IF(C220&lt;1,0,IF(Reeksen!AK220&gt;Reeksen!AE220,I220*Reeksen!C220,0))</f>
        <v>0</v>
      </c>
      <c r="L220" s="86">
        <f t="shared" ca="1" si="37"/>
        <v>0</v>
      </c>
      <c r="M220" s="85">
        <f ca="1">IF('Invoer gegevens'!$C$17=E220,'Invoer gegevens'!$C$10-'Invoer gegevens'!$C$11,IF(C220=1,P219,0))</f>
        <v>0</v>
      </c>
      <c r="N220" s="86">
        <f ca="1">IF(C220&lt;1,0,IF(Reeksen!AK220&lt;=Reeksen!AE220,M220*Reeksen!C220,0))</f>
        <v>0</v>
      </c>
      <c r="O220" s="86">
        <f ca="1">IF(C220&lt;1,0,IF(Reeksen!AK220&gt;Reeksen!AE220,M220*Reeksen!C220,0))</f>
        <v>0</v>
      </c>
      <c r="P220" s="86">
        <f t="shared" ca="1" si="38"/>
        <v>0</v>
      </c>
      <c r="Q220" s="82">
        <f ca="1">IF('Invoer gegevens'!$C$17=E220,I220,IF(C220=0,0,R219))</f>
        <v>0</v>
      </c>
      <c r="R220" s="84">
        <f t="shared" ca="1" si="33"/>
        <v>0</v>
      </c>
      <c r="S220" s="84">
        <f ca="1">IF('Invoer gegevens'!$C$17=E220,M220,IF(C220=0,0,T219))</f>
        <v>0</v>
      </c>
      <c r="T220" s="84">
        <f t="shared" ca="1" si="34"/>
        <v>0</v>
      </c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8"/>
      <c r="AI220" s="71">
        <f ca="1">IF(C220=1,((F220+H220)/2*Reeksen!AJ220*12)+(('Invoer gegevens'!$C$10-(F220+H220)/2)*Reeksen!AK220*12),0)</f>
        <v>0</v>
      </c>
      <c r="AJ220" s="71">
        <f ca="1">-AI220*'Invoer gegevens'!$F$28</f>
        <v>0</v>
      </c>
      <c r="AK220" s="71">
        <f t="shared" ca="1" si="35"/>
        <v>0</v>
      </c>
      <c r="AL220" s="71">
        <f ca="1">IF(C220=1,(12*((F220+H220)/2)*Reeksen!AL220)+(12*('Invoer gegevens'!$C$10-(F220+H220)/2)*Reeksen!AM220),0)</f>
        <v>0</v>
      </c>
      <c r="AM220" s="71">
        <f ca="1">-AL220*'Invoer gegevens'!$F$31</f>
        <v>0</v>
      </c>
      <c r="AN220" s="71">
        <f t="shared" ca="1" si="39"/>
        <v>0</v>
      </c>
      <c r="AO220" s="71"/>
      <c r="AP220" s="71"/>
      <c r="AQ220" s="71">
        <f ca="1">-IF(C220=1,('Invoer gegevens'!$C$10*'Invoer gegevens'!$I$33)*Reeksen!J220,0)*2</f>
        <v>0</v>
      </c>
      <c r="AR220" s="71">
        <f ca="1">-IF(C220=1,(G220*'Invoer gegevens'!$I$34)*Reeksen!J220,0)</f>
        <v>0</v>
      </c>
      <c r="AS220" s="71">
        <f ca="1">-IF(C220=1,'Invoer gegevens'!$C$10*'Invoer gegevens'!$I$35*Reeksen!L220,0)</f>
        <v>0</v>
      </c>
      <c r="AT220" s="71">
        <f ca="1">-IF(C220=1,IF(E220='Invoer gegevens'!$C$17,'Invoer gegevens'!$C$11,Q220)*Reeksen!S220*'Invoer gegevens'!$C$18*Reeksen!P220,0)</f>
        <v>0</v>
      </c>
      <c r="AU220" s="71">
        <f ca="1">-IF(C220=1,'Invoer gegevens'!$C$10*'Invoer gegevens'!$I$36*Reeksen!H220,0)</f>
        <v>0</v>
      </c>
      <c r="AV220" s="71">
        <f t="shared" si="43"/>
        <v>0</v>
      </c>
      <c r="AW220" s="71">
        <f t="shared" ca="1" si="40"/>
        <v>0</v>
      </c>
      <c r="AX220" s="71">
        <f ca="1">IF(E220&lt;'Invoer gegevens'!$C$17+15,0,IF(E220&gt;'Invoer gegevens'!$C$17+215,0,AW220))</f>
        <v>0</v>
      </c>
      <c r="AY220" s="71">
        <f ca="1">AX220/(1+'Invoer gegevens'!$F$13)^($AZ220-('Invoer gegevens'!$C$17-'Invoer gegevens'!$C$16))/(1+'Invoer gegevens'!$C$39)^('Invoer gegevens'!$C$17-'Invoer gegevens'!$C$16)</f>
        <v>0</v>
      </c>
      <c r="AZ220" s="68">
        <f ca="1">IF(E220-'Invoer gegevens'!$C$17-14.5&lt;0,0,E220-'Invoer gegevens'!$C$17-14.5)</f>
        <v>200.5</v>
      </c>
    </row>
    <row r="221" spans="2:52" x14ac:dyDescent="0.25">
      <c r="B221" s="70">
        <f t="shared" si="41"/>
        <v>217</v>
      </c>
      <c r="C221" s="67">
        <f ca="1">IF(E221-'Invoer gegevens'!$C$17&lt;0,0,1)</f>
        <v>1</v>
      </c>
      <c r="D221" s="68">
        <f t="shared" si="42"/>
        <v>216.5</v>
      </c>
      <c r="E221" s="69">
        <f ca="1">IF('Invoer gegevens'!$C$16="","",E220+1)</f>
        <v>2235</v>
      </c>
      <c r="F221" s="82">
        <f ca="1">IF('Invoer gegevens'!$C$17=E221,'Invoer gegevens'!$C$10,IF(C221=1,H220,0))</f>
        <v>0</v>
      </c>
      <c r="G221" s="83">
        <f ca="1">IF(C221&gt;=1,F221*Reeksen!C221,0)</f>
        <v>0</v>
      </c>
      <c r="H221" s="84">
        <f t="shared" ca="1" si="36"/>
        <v>0</v>
      </c>
      <c r="I221" s="85">
        <f ca="1">IF('Invoer gegevens'!$C$17=E221,'Invoer gegevens'!$C$11,IF(C221=1,L220,0))</f>
        <v>0</v>
      </c>
      <c r="J221" s="86">
        <f ca="1">IF(C221&lt;1,0,IF(Reeksen!AK221&lt;=Reeksen!AE221,I221*Reeksen!C221,0))</f>
        <v>0</v>
      </c>
      <c r="K221" s="86">
        <f ca="1">IF(C221&lt;1,0,IF(Reeksen!AK221&gt;Reeksen!AE221,I221*Reeksen!C221,0))</f>
        <v>0</v>
      </c>
      <c r="L221" s="86">
        <f t="shared" ca="1" si="37"/>
        <v>0</v>
      </c>
      <c r="M221" s="85">
        <f ca="1">IF('Invoer gegevens'!$C$17=E221,'Invoer gegevens'!$C$10-'Invoer gegevens'!$C$11,IF(C221=1,P220,0))</f>
        <v>0</v>
      </c>
      <c r="N221" s="86">
        <f ca="1">IF(C221&lt;1,0,IF(Reeksen!AK221&lt;=Reeksen!AE221,M221*Reeksen!C221,0))</f>
        <v>0</v>
      </c>
      <c r="O221" s="86">
        <f ca="1">IF(C221&lt;1,0,IF(Reeksen!AK221&gt;Reeksen!AE221,M221*Reeksen!C221,0))</f>
        <v>0</v>
      </c>
      <c r="P221" s="86">
        <f t="shared" ca="1" si="38"/>
        <v>0</v>
      </c>
      <c r="Q221" s="82">
        <f ca="1">IF('Invoer gegevens'!$C$17=E221,I221,IF(C221=0,0,R220))</f>
        <v>0</v>
      </c>
      <c r="R221" s="84">
        <f t="shared" ca="1" si="33"/>
        <v>0</v>
      </c>
      <c r="S221" s="84">
        <f ca="1">IF('Invoer gegevens'!$C$17=E221,M221,IF(C221=0,0,T220))</f>
        <v>0</v>
      </c>
      <c r="T221" s="84">
        <f t="shared" ca="1" si="34"/>
        <v>0</v>
      </c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8"/>
      <c r="AI221" s="71">
        <f ca="1">IF(C221=1,((F221+H221)/2*Reeksen!AJ221*12)+(('Invoer gegevens'!$C$10-(F221+H221)/2)*Reeksen!AK221*12),0)</f>
        <v>0</v>
      </c>
      <c r="AJ221" s="71">
        <f ca="1">-AI221*'Invoer gegevens'!$F$28</f>
        <v>0</v>
      </c>
      <c r="AK221" s="71">
        <f t="shared" ca="1" si="35"/>
        <v>0</v>
      </c>
      <c r="AL221" s="71">
        <f ca="1">IF(C221=1,(12*((F221+H221)/2)*Reeksen!AL221)+(12*('Invoer gegevens'!$C$10-(F221+H221)/2)*Reeksen!AM221),0)</f>
        <v>0</v>
      </c>
      <c r="AM221" s="71">
        <f ca="1">-AL221*'Invoer gegevens'!$F$31</f>
        <v>0</v>
      </c>
      <c r="AN221" s="71">
        <f t="shared" ca="1" si="39"/>
        <v>0</v>
      </c>
      <c r="AO221" s="71"/>
      <c r="AP221" s="71"/>
      <c r="AQ221" s="71">
        <f ca="1">-IF(C221=1,('Invoer gegevens'!$C$10*'Invoer gegevens'!$I$33)*Reeksen!J221,0)*2</f>
        <v>0</v>
      </c>
      <c r="AR221" s="71">
        <f ca="1">-IF(C221=1,(G221*'Invoer gegevens'!$I$34)*Reeksen!J221,0)</f>
        <v>0</v>
      </c>
      <c r="AS221" s="71">
        <f ca="1">-IF(C221=1,'Invoer gegevens'!$C$10*'Invoer gegevens'!$I$35*Reeksen!L221,0)</f>
        <v>0</v>
      </c>
      <c r="AT221" s="71">
        <f ca="1">-IF(C221=1,IF(E221='Invoer gegevens'!$C$17,'Invoer gegevens'!$C$11,Q221)*Reeksen!S221*'Invoer gegevens'!$C$18*Reeksen!P221,0)</f>
        <v>0</v>
      </c>
      <c r="AU221" s="71">
        <f ca="1">-IF(C221=1,'Invoer gegevens'!$C$10*'Invoer gegevens'!$I$36*Reeksen!H221,0)</f>
        <v>0</v>
      </c>
      <c r="AV221" s="71">
        <f t="shared" si="43"/>
        <v>0</v>
      </c>
      <c r="AW221" s="71">
        <f t="shared" ca="1" si="40"/>
        <v>0</v>
      </c>
      <c r="AX221" s="71">
        <f ca="1">IF(E221&lt;'Invoer gegevens'!$C$17+15,0,IF(E221&gt;'Invoer gegevens'!$C$17+215,0,AW221))</f>
        <v>0</v>
      </c>
      <c r="AY221" s="71">
        <f ca="1">AX221/(1+'Invoer gegevens'!$F$13)^($AZ221-('Invoer gegevens'!$C$17-'Invoer gegevens'!$C$16))/(1+'Invoer gegevens'!$C$39)^('Invoer gegevens'!$C$17-'Invoer gegevens'!$C$16)</f>
        <v>0</v>
      </c>
      <c r="AZ221" s="68">
        <f ca="1">IF(E221-'Invoer gegevens'!$C$17-14.5&lt;0,0,E221-'Invoer gegevens'!$C$17-14.5)</f>
        <v>201.5</v>
      </c>
    </row>
    <row r="222" spans="2:52" x14ac:dyDescent="0.25">
      <c r="B222" s="70">
        <f t="shared" si="41"/>
        <v>218</v>
      </c>
      <c r="C222" s="67">
        <f ca="1">IF(E222-'Invoer gegevens'!$C$17&lt;0,0,1)</f>
        <v>1</v>
      </c>
      <c r="D222" s="68">
        <f t="shared" si="42"/>
        <v>217.5</v>
      </c>
      <c r="E222" s="69">
        <f ca="1">IF('Invoer gegevens'!$C$16="","",E221+1)</f>
        <v>2236</v>
      </c>
      <c r="F222" s="82">
        <f ca="1">IF('Invoer gegevens'!$C$17=E222,'Invoer gegevens'!$C$10,IF(C222=1,H221,0))</f>
        <v>0</v>
      </c>
      <c r="G222" s="83">
        <f ca="1">IF(C222&gt;=1,F222*Reeksen!C222,0)</f>
        <v>0</v>
      </c>
      <c r="H222" s="84">
        <f t="shared" ca="1" si="36"/>
        <v>0</v>
      </c>
      <c r="I222" s="85">
        <f ca="1">IF('Invoer gegevens'!$C$17=E222,'Invoer gegevens'!$C$11,IF(C222=1,L221,0))</f>
        <v>0</v>
      </c>
      <c r="J222" s="86">
        <f ca="1">IF(C222&lt;1,0,IF(Reeksen!AK222&lt;=Reeksen!AE222,I222*Reeksen!C222,0))</f>
        <v>0</v>
      </c>
      <c r="K222" s="86">
        <f ca="1">IF(C222&lt;1,0,IF(Reeksen!AK222&gt;Reeksen!AE222,I222*Reeksen!C222,0))</f>
        <v>0</v>
      </c>
      <c r="L222" s="86">
        <f t="shared" ca="1" si="37"/>
        <v>0</v>
      </c>
      <c r="M222" s="85">
        <f ca="1">IF('Invoer gegevens'!$C$17=E222,'Invoer gegevens'!$C$10-'Invoer gegevens'!$C$11,IF(C222=1,P221,0))</f>
        <v>0</v>
      </c>
      <c r="N222" s="86">
        <f ca="1">IF(C222&lt;1,0,IF(Reeksen!AK222&lt;=Reeksen!AE222,M222*Reeksen!C222,0))</f>
        <v>0</v>
      </c>
      <c r="O222" s="86">
        <f ca="1">IF(C222&lt;1,0,IF(Reeksen!AK222&gt;Reeksen!AE222,M222*Reeksen!C222,0))</f>
        <v>0</v>
      </c>
      <c r="P222" s="86">
        <f t="shared" ca="1" si="38"/>
        <v>0</v>
      </c>
      <c r="Q222" s="82">
        <f ca="1">IF('Invoer gegevens'!$C$17=E222,I222,IF(C222=0,0,R221))</f>
        <v>0</v>
      </c>
      <c r="R222" s="84">
        <f t="shared" ca="1" si="33"/>
        <v>0</v>
      </c>
      <c r="S222" s="84">
        <f ca="1">IF('Invoer gegevens'!$C$17=E222,M222,IF(C222=0,0,T221))</f>
        <v>0</v>
      </c>
      <c r="T222" s="84">
        <f t="shared" ca="1" si="34"/>
        <v>0</v>
      </c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8"/>
      <c r="AI222" s="71">
        <f ca="1">IF(C222=1,((F222+H222)/2*Reeksen!AJ222*12)+(('Invoer gegevens'!$C$10-(F222+H222)/2)*Reeksen!AK222*12),0)</f>
        <v>0</v>
      </c>
      <c r="AJ222" s="71">
        <f ca="1">-AI222*'Invoer gegevens'!$F$28</f>
        <v>0</v>
      </c>
      <c r="AK222" s="71">
        <f t="shared" ca="1" si="35"/>
        <v>0</v>
      </c>
      <c r="AL222" s="71">
        <f ca="1">IF(C222=1,(12*((F222+H222)/2)*Reeksen!AL222)+(12*('Invoer gegevens'!$C$10-(F222+H222)/2)*Reeksen!AM222),0)</f>
        <v>0</v>
      </c>
      <c r="AM222" s="71">
        <f ca="1">-AL222*'Invoer gegevens'!$F$31</f>
        <v>0</v>
      </c>
      <c r="AN222" s="71">
        <f t="shared" ca="1" si="39"/>
        <v>0</v>
      </c>
      <c r="AO222" s="71"/>
      <c r="AP222" s="71"/>
      <c r="AQ222" s="71">
        <f ca="1">-IF(C222=1,('Invoer gegevens'!$C$10*'Invoer gegevens'!$I$33)*Reeksen!J222,0)*2</f>
        <v>0</v>
      </c>
      <c r="AR222" s="71">
        <f ca="1">-IF(C222=1,(G222*'Invoer gegevens'!$I$34)*Reeksen!J222,0)</f>
        <v>0</v>
      </c>
      <c r="AS222" s="71">
        <f ca="1">-IF(C222=1,'Invoer gegevens'!$C$10*'Invoer gegevens'!$I$35*Reeksen!L222,0)</f>
        <v>0</v>
      </c>
      <c r="AT222" s="71">
        <f ca="1">-IF(C222=1,IF(E222='Invoer gegevens'!$C$17,'Invoer gegevens'!$C$11,Q222)*Reeksen!S222*'Invoer gegevens'!$C$18*Reeksen!P222,0)</f>
        <v>0</v>
      </c>
      <c r="AU222" s="71">
        <f ca="1">-IF(C222=1,'Invoer gegevens'!$C$10*'Invoer gegevens'!$I$36*Reeksen!H222,0)</f>
        <v>0</v>
      </c>
      <c r="AV222" s="71">
        <f t="shared" si="43"/>
        <v>0</v>
      </c>
      <c r="AW222" s="71">
        <f t="shared" ca="1" si="40"/>
        <v>0</v>
      </c>
      <c r="AX222" s="71">
        <f ca="1">IF(E222&lt;'Invoer gegevens'!$C$17+15,0,IF(E222&gt;'Invoer gegevens'!$C$17+215,0,AW222))</f>
        <v>0</v>
      </c>
      <c r="AY222" s="71">
        <f ca="1">AX222/(1+'Invoer gegevens'!$F$13)^($AZ222-('Invoer gegevens'!$C$17-'Invoer gegevens'!$C$16))/(1+'Invoer gegevens'!$C$39)^('Invoer gegevens'!$C$17-'Invoer gegevens'!$C$16)</f>
        <v>0</v>
      </c>
      <c r="AZ222" s="68">
        <f ca="1">IF(E222-'Invoer gegevens'!$C$17-14.5&lt;0,0,E222-'Invoer gegevens'!$C$17-14.5)</f>
        <v>202.5</v>
      </c>
    </row>
    <row r="223" spans="2:52" x14ac:dyDescent="0.25">
      <c r="B223" s="70">
        <f t="shared" si="41"/>
        <v>219</v>
      </c>
      <c r="C223" s="67">
        <f ca="1">IF(E223-'Invoer gegevens'!$C$17&lt;0,0,1)</f>
        <v>1</v>
      </c>
      <c r="D223" s="68">
        <f t="shared" si="42"/>
        <v>218.5</v>
      </c>
      <c r="E223" s="69">
        <f ca="1">IF('Invoer gegevens'!$C$16="","",E222+1)</f>
        <v>2237</v>
      </c>
      <c r="F223" s="82">
        <f ca="1">IF('Invoer gegevens'!$C$17=E223,'Invoer gegevens'!$C$10,IF(C223=1,H222,0))</f>
        <v>0</v>
      </c>
      <c r="G223" s="83">
        <f ca="1">IF(C223&gt;=1,F223*Reeksen!C223,0)</f>
        <v>0</v>
      </c>
      <c r="H223" s="84">
        <f t="shared" ca="1" si="36"/>
        <v>0</v>
      </c>
      <c r="I223" s="85">
        <f ca="1">IF('Invoer gegevens'!$C$17=E223,'Invoer gegevens'!$C$11,IF(C223=1,L222,0))</f>
        <v>0</v>
      </c>
      <c r="J223" s="86">
        <f ca="1">IF(C223&lt;1,0,IF(Reeksen!AK223&lt;=Reeksen!AE223,I223*Reeksen!C223,0))</f>
        <v>0</v>
      </c>
      <c r="K223" s="86">
        <f ca="1">IF(C223&lt;1,0,IF(Reeksen!AK223&gt;Reeksen!AE223,I223*Reeksen!C223,0))</f>
        <v>0</v>
      </c>
      <c r="L223" s="86">
        <f t="shared" ca="1" si="37"/>
        <v>0</v>
      </c>
      <c r="M223" s="85">
        <f ca="1">IF('Invoer gegevens'!$C$17=E223,'Invoer gegevens'!$C$10-'Invoer gegevens'!$C$11,IF(C223=1,P222,0))</f>
        <v>0</v>
      </c>
      <c r="N223" s="86">
        <f ca="1">IF(C223&lt;1,0,IF(Reeksen!AK223&lt;=Reeksen!AE223,M223*Reeksen!C223,0))</f>
        <v>0</v>
      </c>
      <c r="O223" s="86">
        <f ca="1">IF(C223&lt;1,0,IF(Reeksen!AK223&gt;Reeksen!AE223,M223*Reeksen!C223,0))</f>
        <v>0</v>
      </c>
      <c r="P223" s="86">
        <f t="shared" ca="1" si="38"/>
        <v>0</v>
      </c>
      <c r="Q223" s="82">
        <f ca="1">IF('Invoer gegevens'!$C$17=E223,I223,IF(C223=0,0,R222))</f>
        <v>0</v>
      </c>
      <c r="R223" s="84">
        <f t="shared" ca="1" si="33"/>
        <v>0</v>
      </c>
      <c r="S223" s="84">
        <f ca="1">IF('Invoer gegevens'!$C$17=E223,M223,IF(C223=0,0,T222))</f>
        <v>0</v>
      </c>
      <c r="T223" s="84">
        <f t="shared" ca="1" si="34"/>
        <v>0</v>
      </c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8"/>
      <c r="AI223" s="71">
        <f ca="1">IF(C223=1,((F223+H223)/2*Reeksen!AJ223*12)+(('Invoer gegevens'!$C$10-(F223+H223)/2)*Reeksen!AK223*12),0)</f>
        <v>0</v>
      </c>
      <c r="AJ223" s="71">
        <f ca="1">-AI223*'Invoer gegevens'!$F$28</f>
        <v>0</v>
      </c>
      <c r="AK223" s="71">
        <f t="shared" ca="1" si="35"/>
        <v>0</v>
      </c>
      <c r="AL223" s="71">
        <f ca="1">IF(C223=1,(12*((F223+H223)/2)*Reeksen!AL223)+(12*('Invoer gegevens'!$C$10-(F223+H223)/2)*Reeksen!AM223),0)</f>
        <v>0</v>
      </c>
      <c r="AM223" s="71">
        <f ca="1">-AL223*'Invoer gegevens'!$F$31</f>
        <v>0</v>
      </c>
      <c r="AN223" s="71">
        <f t="shared" ca="1" si="39"/>
        <v>0</v>
      </c>
      <c r="AO223" s="71"/>
      <c r="AP223" s="71"/>
      <c r="AQ223" s="71">
        <f ca="1">-IF(C223=1,('Invoer gegevens'!$C$10*'Invoer gegevens'!$I$33)*Reeksen!J223,0)*2</f>
        <v>0</v>
      </c>
      <c r="AR223" s="71">
        <f ca="1">-IF(C223=1,(G223*'Invoer gegevens'!$I$34)*Reeksen!J223,0)</f>
        <v>0</v>
      </c>
      <c r="AS223" s="71">
        <f ca="1">-IF(C223=1,'Invoer gegevens'!$C$10*'Invoer gegevens'!$I$35*Reeksen!L223,0)</f>
        <v>0</v>
      </c>
      <c r="AT223" s="71">
        <f ca="1">-IF(C223=1,IF(E223='Invoer gegevens'!$C$17,'Invoer gegevens'!$C$11,Q223)*Reeksen!S223*'Invoer gegevens'!$C$18*Reeksen!P223,0)</f>
        <v>0</v>
      </c>
      <c r="AU223" s="71">
        <f ca="1">-IF(C223=1,'Invoer gegevens'!$C$10*'Invoer gegevens'!$I$36*Reeksen!H223,0)</f>
        <v>0</v>
      </c>
      <c r="AV223" s="71">
        <f t="shared" si="43"/>
        <v>0</v>
      </c>
      <c r="AW223" s="71">
        <f t="shared" ca="1" si="40"/>
        <v>0</v>
      </c>
      <c r="AX223" s="71">
        <f ca="1">IF(E223&lt;'Invoer gegevens'!$C$17+15,0,IF(E223&gt;'Invoer gegevens'!$C$17+215,0,AW223))</f>
        <v>0</v>
      </c>
      <c r="AY223" s="71">
        <f ca="1">AX223/(1+'Invoer gegevens'!$F$13)^($AZ223-('Invoer gegevens'!$C$17-'Invoer gegevens'!$C$16))/(1+'Invoer gegevens'!$C$39)^('Invoer gegevens'!$C$17-'Invoer gegevens'!$C$16)</f>
        <v>0</v>
      </c>
      <c r="AZ223" s="68">
        <f ca="1">IF(E223-'Invoer gegevens'!$C$17-14.5&lt;0,0,E223-'Invoer gegevens'!$C$17-14.5)</f>
        <v>203.5</v>
      </c>
    </row>
    <row r="224" spans="2:52" x14ac:dyDescent="0.25">
      <c r="B224" s="70">
        <f t="shared" si="41"/>
        <v>220</v>
      </c>
      <c r="C224" s="67">
        <f ca="1">IF(E224-'Invoer gegevens'!$C$17&lt;0,0,1)</f>
        <v>1</v>
      </c>
      <c r="D224" s="68">
        <f t="shared" si="42"/>
        <v>219.5</v>
      </c>
      <c r="E224" s="69">
        <f ca="1">IF('Invoer gegevens'!$C$16="","",E223+1)</f>
        <v>2238</v>
      </c>
      <c r="F224" s="82">
        <f ca="1">IF('Invoer gegevens'!$C$17=E224,'Invoer gegevens'!$C$10,IF(C224=1,H223,0))</f>
        <v>0</v>
      </c>
      <c r="G224" s="83">
        <f ca="1">IF(C224&gt;=1,F224*Reeksen!C224,0)</f>
        <v>0</v>
      </c>
      <c r="H224" s="84">
        <f t="shared" ca="1" si="36"/>
        <v>0</v>
      </c>
      <c r="I224" s="85">
        <f ca="1">IF('Invoer gegevens'!$C$17=E224,'Invoer gegevens'!$C$11,IF(C224=1,L223,0))</f>
        <v>0</v>
      </c>
      <c r="J224" s="86">
        <f ca="1">IF(C224&lt;1,0,IF(Reeksen!AK224&lt;=Reeksen!AE224,I224*Reeksen!C224,0))</f>
        <v>0</v>
      </c>
      <c r="K224" s="86">
        <f ca="1">IF(C224&lt;1,0,IF(Reeksen!AK224&gt;Reeksen!AE224,I224*Reeksen!C224,0))</f>
        <v>0</v>
      </c>
      <c r="L224" s="86">
        <f t="shared" ca="1" si="37"/>
        <v>0</v>
      </c>
      <c r="M224" s="85">
        <f ca="1">IF('Invoer gegevens'!$C$17=E224,'Invoer gegevens'!$C$10-'Invoer gegevens'!$C$11,IF(C224=1,P223,0))</f>
        <v>0</v>
      </c>
      <c r="N224" s="86">
        <f ca="1">IF(C224&lt;1,0,IF(Reeksen!AK224&lt;=Reeksen!AE224,M224*Reeksen!C224,0))</f>
        <v>0</v>
      </c>
      <c r="O224" s="86">
        <f ca="1">IF(C224&lt;1,0,IF(Reeksen!AK224&gt;Reeksen!AE224,M224*Reeksen!C224,0))</f>
        <v>0</v>
      </c>
      <c r="P224" s="86">
        <f t="shared" ca="1" si="38"/>
        <v>0</v>
      </c>
      <c r="Q224" s="82">
        <f ca="1">IF('Invoer gegevens'!$C$17=E224,I224,IF(C224=0,0,R223))</f>
        <v>0</v>
      </c>
      <c r="R224" s="84">
        <f t="shared" ca="1" si="33"/>
        <v>0</v>
      </c>
      <c r="S224" s="84">
        <f ca="1">IF('Invoer gegevens'!$C$17=E224,M224,IF(C224=0,0,T223))</f>
        <v>0</v>
      </c>
      <c r="T224" s="84">
        <f t="shared" ca="1" si="34"/>
        <v>0</v>
      </c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8"/>
      <c r="AI224" s="71">
        <f ca="1">IF(C224=1,((F224+H224)/2*Reeksen!AJ224*12)+(('Invoer gegevens'!$C$10-(F224+H224)/2)*Reeksen!AK224*12),0)</f>
        <v>0</v>
      </c>
      <c r="AJ224" s="71">
        <f ca="1">-AI224*'Invoer gegevens'!$F$28</f>
        <v>0</v>
      </c>
      <c r="AK224" s="71">
        <f t="shared" ca="1" si="35"/>
        <v>0</v>
      </c>
      <c r="AL224" s="71">
        <f ca="1">IF(C224=1,(12*((F224+H224)/2)*Reeksen!AL224)+(12*('Invoer gegevens'!$C$10-(F224+H224)/2)*Reeksen!AM224),0)</f>
        <v>0</v>
      </c>
      <c r="AM224" s="71">
        <f ca="1">-AL224*'Invoer gegevens'!$F$31</f>
        <v>0</v>
      </c>
      <c r="AN224" s="71">
        <f t="shared" ca="1" si="39"/>
        <v>0</v>
      </c>
      <c r="AO224" s="71"/>
      <c r="AP224" s="71"/>
      <c r="AQ224" s="71">
        <f ca="1">-IF(C224=1,('Invoer gegevens'!$C$10*'Invoer gegevens'!$I$33)*Reeksen!J224,0)*2</f>
        <v>0</v>
      </c>
      <c r="AR224" s="71">
        <f ca="1">-IF(C224=1,(G224*'Invoer gegevens'!$I$34)*Reeksen!J224,0)</f>
        <v>0</v>
      </c>
      <c r="AS224" s="71">
        <f ca="1">-IF(C224=1,'Invoer gegevens'!$C$10*'Invoer gegevens'!$I$35*Reeksen!L224,0)</f>
        <v>0</v>
      </c>
      <c r="AT224" s="71">
        <f ca="1">-IF(C224=1,IF(E224='Invoer gegevens'!$C$17,'Invoer gegevens'!$C$11,Q224)*Reeksen!S224*'Invoer gegevens'!$C$18*Reeksen!P224,0)</f>
        <v>0</v>
      </c>
      <c r="AU224" s="71">
        <f ca="1">-IF(C224=1,'Invoer gegevens'!$C$10*'Invoer gegevens'!$I$36*Reeksen!H224,0)</f>
        <v>0</v>
      </c>
      <c r="AV224" s="71">
        <f t="shared" si="43"/>
        <v>0</v>
      </c>
      <c r="AW224" s="71">
        <f t="shared" ca="1" si="40"/>
        <v>0</v>
      </c>
      <c r="AX224" s="71">
        <f ca="1">IF(E224&lt;'Invoer gegevens'!$C$17+15,0,IF(E224&gt;'Invoer gegevens'!$C$17+215,0,AW224))</f>
        <v>0</v>
      </c>
      <c r="AY224" s="71">
        <f ca="1">AX224/(1+'Invoer gegevens'!$F$13)^($AZ224-('Invoer gegevens'!$C$17-'Invoer gegevens'!$C$16))/(1+'Invoer gegevens'!$C$39)^('Invoer gegevens'!$C$17-'Invoer gegevens'!$C$16)</f>
        <v>0</v>
      </c>
      <c r="AZ224" s="68">
        <f ca="1">IF(E224-'Invoer gegevens'!$C$17-14.5&lt;0,0,E224-'Invoer gegevens'!$C$17-14.5)</f>
        <v>204.5</v>
      </c>
    </row>
    <row r="225" spans="2:56" x14ac:dyDescent="0.25">
      <c r="B225" s="70">
        <f t="shared" si="41"/>
        <v>221</v>
      </c>
      <c r="C225" s="67">
        <f ca="1">IF(E225-'Invoer gegevens'!$C$17&lt;0,0,1)</f>
        <v>1</v>
      </c>
      <c r="D225" s="68">
        <f t="shared" si="42"/>
        <v>220.5</v>
      </c>
      <c r="E225" s="69">
        <f ca="1">IF('Invoer gegevens'!$C$16="","",E224+1)</f>
        <v>2239</v>
      </c>
      <c r="F225" s="82">
        <f ca="1">IF('Invoer gegevens'!$C$17=E225,'Invoer gegevens'!$C$10,IF(C225=1,H224,0))</f>
        <v>0</v>
      </c>
      <c r="G225" s="83">
        <f ca="1">IF(C225&gt;=1,F225*Reeksen!C225,0)</f>
        <v>0</v>
      </c>
      <c r="H225" s="84">
        <f t="shared" ca="1" si="36"/>
        <v>0</v>
      </c>
      <c r="I225" s="85">
        <f ca="1">IF('Invoer gegevens'!$C$17=E225,'Invoer gegevens'!$C$11,IF(C225=1,L224,0))</f>
        <v>0</v>
      </c>
      <c r="J225" s="86">
        <f ca="1">IF(C225&lt;1,0,IF(Reeksen!AK225&lt;=Reeksen!AE225,I225*Reeksen!C225,0))</f>
        <v>0</v>
      </c>
      <c r="K225" s="86">
        <f ca="1">IF(C225&lt;1,0,IF(Reeksen!AK225&gt;Reeksen!AE225,I225*Reeksen!C225,0))</f>
        <v>0</v>
      </c>
      <c r="L225" s="86">
        <f t="shared" ca="1" si="37"/>
        <v>0</v>
      </c>
      <c r="M225" s="85">
        <f ca="1">IF('Invoer gegevens'!$C$17=E225,'Invoer gegevens'!$C$10-'Invoer gegevens'!$C$11,IF(C225=1,P224,0))</f>
        <v>0</v>
      </c>
      <c r="N225" s="86">
        <f ca="1">IF(C225&lt;1,0,IF(Reeksen!AK225&lt;=Reeksen!AE225,M225*Reeksen!C225,0))</f>
        <v>0</v>
      </c>
      <c r="O225" s="86">
        <f ca="1">IF(C225&lt;1,0,IF(Reeksen!AK225&gt;Reeksen!AE225,M225*Reeksen!C225,0))</f>
        <v>0</v>
      </c>
      <c r="P225" s="86">
        <f t="shared" ca="1" si="38"/>
        <v>0</v>
      </c>
      <c r="Q225" s="82">
        <f ca="1">IF('Invoer gegevens'!$C$17=E225,I225,IF(C225=0,0,R224))</f>
        <v>0</v>
      </c>
      <c r="R225" s="84">
        <f t="shared" ca="1" si="33"/>
        <v>0</v>
      </c>
      <c r="S225" s="84">
        <f ca="1">IF('Invoer gegevens'!$C$17=E225,M225,IF(C225=0,0,T224))</f>
        <v>0</v>
      </c>
      <c r="T225" s="84">
        <f t="shared" ca="1" si="34"/>
        <v>0</v>
      </c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8"/>
      <c r="AI225" s="71">
        <f ca="1">IF(C225=1,((F225+H225)/2*Reeksen!AJ225*12)+(('Invoer gegevens'!$C$10-(F225+H225)/2)*Reeksen!AK225*12),0)</f>
        <v>0</v>
      </c>
      <c r="AJ225" s="71">
        <f ca="1">-AI225*'Invoer gegevens'!$F$28</f>
        <v>0</v>
      </c>
      <c r="AK225" s="71">
        <f t="shared" ca="1" si="35"/>
        <v>0</v>
      </c>
      <c r="AL225" s="71">
        <f ca="1">IF(C225=1,(12*((F225+H225)/2)*Reeksen!AL225)+(12*('Invoer gegevens'!$C$10-(F225+H225)/2)*Reeksen!AM225),0)</f>
        <v>0</v>
      </c>
      <c r="AM225" s="71">
        <f ca="1">-AL225*'Invoer gegevens'!$F$31</f>
        <v>0</v>
      </c>
      <c r="AN225" s="71">
        <f t="shared" ca="1" si="39"/>
        <v>0</v>
      </c>
      <c r="AO225" s="71"/>
      <c r="AP225" s="71"/>
      <c r="AQ225" s="71">
        <f ca="1">-IF(C225=1,('Invoer gegevens'!$C$10*'Invoer gegevens'!$I$33)*Reeksen!J225,0)*2</f>
        <v>0</v>
      </c>
      <c r="AR225" s="71">
        <f ca="1">-IF(C225=1,(G225*'Invoer gegevens'!$I$34)*Reeksen!J225,0)</f>
        <v>0</v>
      </c>
      <c r="AS225" s="71">
        <f ca="1">-IF(C225=1,'Invoer gegevens'!$C$10*'Invoer gegevens'!$I$35*Reeksen!L225,0)</f>
        <v>0</v>
      </c>
      <c r="AT225" s="71">
        <f ca="1">-IF(C225=1,IF(E225='Invoer gegevens'!$C$17,'Invoer gegevens'!$C$11,Q225)*Reeksen!S225*'Invoer gegevens'!$C$18*Reeksen!P225,0)</f>
        <v>0</v>
      </c>
      <c r="AU225" s="71">
        <f ca="1">-IF(C225=1,'Invoer gegevens'!$C$10*'Invoer gegevens'!$I$36*Reeksen!H225,0)</f>
        <v>0</v>
      </c>
      <c r="AV225" s="71">
        <f t="shared" si="43"/>
        <v>0</v>
      </c>
      <c r="AW225" s="71">
        <f t="shared" ca="1" si="40"/>
        <v>0</v>
      </c>
      <c r="AX225" s="71">
        <f ca="1">IF(E225&lt;'Invoer gegevens'!$C$17+15,0,IF(E225&gt;'Invoer gegevens'!$C$17+215,0,AW225))</f>
        <v>0</v>
      </c>
      <c r="AY225" s="71">
        <f ca="1">AX225/(1+'Invoer gegevens'!$F$13)^($AZ225-('Invoer gegevens'!$C$17-'Invoer gegevens'!$C$16))/(1+'Invoer gegevens'!$C$39)^('Invoer gegevens'!$C$17-'Invoer gegevens'!$C$16)</f>
        <v>0</v>
      </c>
      <c r="AZ225" s="68">
        <f ca="1">IF(E225-'Invoer gegevens'!$C$17-14.5&lt;0,0,E225-'Invoer gegevens'!$C$17-14.5)</f>
        <v>205.5</v>
      </c>
    </row>
    <row r="226" spans="2:56" x14ac:dyDescent="0.25">
      <c r="B226" s="70">
        <f t="shared" si="41"/>
        <v>222</v>
      </c>
      <c r="C226" s="67">
        <f ca="1">IF(E226-'Invoer gegevens'!$C$17&lt;0,0,1)</f>
        <v>1</v>
      </c>
      <c r="D226" s="68">
        <f t="shared" si="42"/>
        <v>221.5</v>
      </c>
      <c r="E226" s="69">
        <f ca="1">IF('Invoer gegevens'!$C$16="","",E225+1)</f>
        <v>2240</v>
      </c>
      <c r="F226" s="82">
        <f ca="1">IF('Invoer gegevens'!$C$17=E226,'Invoer gegevens'!$C$10,IF(C226=1,H225,0))</f>
        <v>0</v>
      </c>
      <c r="G226" s="83">
        <f ca="1">IF(C226&gt;=1,F226*Reeksen!C226,0)</f>
        <v>0</v>
      </c>
      <c r="H226" s="84">
        <f t="shared" ca="1" si="36"/>
        <v>0</v>
      </c>
      <c r="I226" s="85">
        <f ca="1">IF('Invoer gegevens'!$C$17=E226,'Invoer gegevens'!$C$11,IF(C226=1,L225,0))</f>
        <v>0</v>
      </c>
      <c r="J226" s="86">
        <f ca="1">IF(C226&lt;1,0,IF(Reeksen!AK226&lt;=Reeksen!AE226,I226*Reeksen!C226,0))</f>
        <v>0</v>
      </c>
      <c r="K226" s="86">
        <f ca="1">IF(C226&lt;1,0,IF(Reeksen!AK226&gt;Reeksen!AE226,I226*Reeksen!C226,0))</f>
        <v>0</v>
      </c>
      <c r="L226" s="86">
        <f t="shared" ca="1" si="37"/>
        <v>0</v>
      </c>
      <c r="M226" s="85">
        <f ca="1">IF('Invoer gegevens'!$C$17=E226,'Invoer gegevens'!$C$10-'Invoer gegevens'!$C$11,IF(C226=1,P225,0))</f>
        <v>0</v>
      </c>
      <c r="N226" s="86">
        <f ca="1">IF(C226&lt;1,0,IF(Reeksen!AK226&lt;=Reeksen!AE226,M226*Reeksen!C226,0))</f>
        <v>0</v>
      </c>
      <c r="O226" s="86">
        <f ca="1">IF(C226&lt;1,0,IF(Reeksen!AK226&gt;Reeksen!AE226,M226*Reeksen!C226,0))</f>
        <v>0</v>
      </c>
      <c r="P226" s="86">
        <f t="shared" ca="1" si="38"/>
        <v>0</v>
      </c>
      <c r="Q226" s="82">
        <f ca="1">IF('Invoer gegevens'!$C$17=E226,I226,IF(C226=0,0,R225))</f>
        <v>0</v>
      </c>
      <c r="R226" s="84">
        <f t="shared" ca="1" si="33"/>
        <v>0</v>
      </c>
      <c r="S226" s="84">
        <f ca="1">IF('Invoer gegevens'!$C$17=E226,M226,IF(C226=0,0,T225))</f>
        <v>0</v>
      </c>
      <c r="T226" s="84">
        <f t="shared" ca="1" si="34"/>
        <v>0</v>
      </c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8"/>
      <c r="AI226" s="71">
        <f ca="1">IF(C226=1,((F226+H226)/2*Reeksen!AJ226*12)+(('Invoer gegevens'!$C$10-(F226+H226)/2)*Reeksen!AK226*12),0)</f>
        <v>0</v>
      </c>
      <c r="AJ226" s="71">
        <f ca="1">-AI226*'Invoer gegevens'!$F$28</f>
        <v>0</v>
      </c>
      <c r="AK226" s="71">
        <f t="shared" ca="1" si="35"/>
        <v>0</v>
      </c>
      <c r="AL226" s="71">
        <f ca="1">IF(C226=1,(12*((F226+H226)/2)*Reeksen!AL226)+(12*('Invoer gegevens'!$C$10-(F226+H226)/2)*Reeksen!AM226),0)</f>
        <v>0</v>
      </c>
      <c r="AM226" s="71">
        <f ca="1">-AL226*'Invoer gegevens'!$F$31</f>
        <v>0</v>
      </c>
      <c r="AN226" s="71">
        <f t="shared" ca="1" si="39"/>
        <v>0</v>
      </c>
      <c r="AO226" s="71"/>
      <c r="AP226" s="71"/>
      <c r="AQ226" s="71">
        <f ca="1">-IF(C226=1,('Invoer gegevens'!$C$10*'Invoer gegevens'!$I$33)*Reeksen!J226,0)*2</f>
        <v>0</v>
      </c>
      <c r="AR226" s="71">
        <f ca="1">-IF(C226=1,(G226*'Invoer gegevens'!$I$34)*Reeksen!J226,0)</f>
        <v>0</v>
      </c>
      <c r="AS226" s="71">
        <f ca="1">-IF(C226=1,'Invoer gegevens'!$C$10*'Invoer gegevens'!$I$35*Reeksen!L226,0)</f>
        <v>0</v>
      </c>
      <c r="AT226" s="71">
        <f ca="1">-IF(C226=1,IF(E226='Invoer gegevens'!$C$17,'Invoer gegevens'!$C$11,Q226)*Reeksen!S226*'Invoer gegevens'!$C$18*Reeksen!P226,0)</f>
        <v>0</v>
      </c>
      <c r="AU226" s="71">
        <f ca="1">-IF(C226=1,'Invoer gegevens'!$C$10*'Invoer gegevens'!$I$36*Reeksen!H226,0)</f>
        <v>0</v>
      </c>
      <c r="AV226" s="71">
        <f t="shared" si="43"/>
        <v>0</v>
      </c>
      <c r="AW226" s="71">
        <f t="shared" ca="1" si="40"/>
        <v>0</v>
      </c>
      <c r="AX226" s="71">
        <f ca="1">IF(E226&lt;'Invoer gegevens'!$C$17+15,0,IF(E226&gt;'Invoer gegevens'!$C$17+215,0,AW226))</f>
        <v>0</v>
      </c>
      <c r="AY226" s="71">
        <f ca="1">AX226/(1+'Invoer gegevens'!$F$13)^($AZ226-('Invoer gegevens'!$C$17-'Invoer gegevens'!$C$16))/(1+'Invoer gegevens'!$C$39)^('Invoer gegevens'!$C$17-'Invoer gegevens'!$C$16)</f>
        <v>0</v>
      </c>
      <c r="AZ226" s="68">
        <f ca="1">IF(E226-'Invoer gegevens'!$C$17-14.5&lt;0,0,E226-'Invoer gegevens'!$C$17-14.5)</f>
        <v>206.5</v>
      </c>
    </row>
    <row r="227" spans="2:56" x14ac:dyDescent="0.25">
      <c r="B227" s="70">
        <f t="shared" si="41"/>
        <v>223</v>
      </c>
      <c r="C227" s="67">
        <f ca="1">IF(E227-'Invoer gegevens'!$C$17&lt;0,0,1)</f>
        <v>1</v>
      </c>
      <c r="D227" s="68">
        <f t="shared" si="42"/>
        <v>222.5</v>
      </c>
      <c r="E227" s="69">
        <f ca="1">IF('Invoer gegevens'!$C$16="","",E226+1)</f>
        <v>2241</v>
      </c>
      <c r="F227" s="82">
        <f ca="1">IF('Invoer gegevens'!$C$17=E227,'Invoer gegevens'!$C$10,IF(C227=1,H226,0))</f>
        <v>0</v>
      </c>
      <c r="G227" s="83">
        <f ca="1">IF(C227&gt;=1,F227*Reeksen!C227,0)</f>
        <v>0</v>
      </c>
      <c r="H227" s="84">
        <f t="shared" ca="1" si="36"/>
        <v>0</v>
      </c>
      <c r="I227" s="85">
        <f ca="1">IF('Invoer gegevens'!$C$17=E227,'Invoer gegevens'!$C$11,IF(C227=1,L226,0))</f>
        <v>0</v>
      </c>
      <c r="J227" s="86">
        <f ca="1">IF(C227&lt;1,0,IF(Reeksen!AK227&lt;=Reeksen!AE227,I227*Reeksen!C227,0))</f>
        <v>0</v>
      </c>
      <c r="K227" s="86">
        <f ca="1">IF(C227&lt;1,0,IF(Reeksen!AK227&gt;Reeksen!AE227,I227*Reeksen!C227,0))</f>
        <v>0</v>
      </c>
      <c r="L227" s="86">
        <f t="shared" ca="1" si="37"/>
        <v>0</v>
      </c>
      <c r="M227" s="85">
        <f ca="1">IF('Invoer gegevens'!$C$17=E227,'Invoer gegevens'!$C$10-'Invoer gegevens'!$C$11,IF(C227=1,P226,0))</f>
        <v>0</v>
      </c>
      <c r="N227" s="86">
        <f ca="1">IF(C227&lt;1,0,IF(Reeksen!AK227&lt;=Reeksen!AE227,M227*Reeksen!C227,0))</f>
        <v>0</v>
      </c>
      <c r="O227" s="86">
        <f ca="1">IF(C227&lt;1,0,IF(Reeksen!AK227&gt;Reeksen!AE227,M227*Reeksen!C227,0))</f>
        <v>0</v>
      </c>
      <c r="P227" s="86">
        <f t="shared" ca="1" si="38"/>
        <v>0</v>
      </c>
      <c r="Q227" s="82">
        <f ca="1">IF('Invoer gegevens'!$C$17=E227,I227,IF(C227=0,0,R226))</f>
        <v>0</v>
      </c>
      <c r="R227" s="84">
        <f t="shared" ca="1" si="33"/>
        <v>0</v>
      </c>
      <c r="S227" s="84">
        <f ca="1">IF('Invoer gegevens'!$C$17=E227,M227,IF(C227=0,0,T226))</f>
        <v>0</v>
      </c>
      <c r="T227" s="84">
        <f t="shared" ca="1" si="34"/>
        <v>0</v>
      </c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8"/>
      <c r="AI227" s="71">
        <f ca="1">IF(C227=1,((F227+H227)/2*Reeksen!AJ227*12)+(('Invoer gegevens'!$C$10-(F227+H227)/2)*Reeksen!AK227*12),0)</f>
        <v>0</v>
      </c>
      <c r="AJ227" s="71">
        <f ca="1">-AI227*'Invoer gegevens'!$F$28</f>
        <v>0</v>
      </c>
      <c r="AK227" s="71">
        <f t="shared" ca="1" si="35"/>
        <v>0</v>
      </c>
      <c r="AL227" s="71">
        <f ca="1">IF(C227=1,(12*((F227+H227)/2)*Reeksen!AL227)+(12*('Invoer gegevens'!$C$10-(F227+H227)/2)*Reeksen!AM227),0)</f>
        <v>0</v>
      </c>
      <c r="AM227" s="71">
        <f ca="1">-AL227*'Invoer gegevens'!$F$31</f>
        <v>0</v>
      </c>
      <c r="AN227" s="71">
        <f t="shared" ca="1" si="39"/>
        <v>0</v>
      </c>
      <c r="AO227" s="71"/>
      <c r="AP227" s="71"/>
      <c r="AQ227" s="71">
        <f ca="1">-IF(C227=1,('Invoer gegevens'!$C$10*'Invoer gegevens'!$I$33)*Reeksen!J227,0)*2</f>
        <v>0</v>
      </c>
      <c r="AR227" s="71">
        <f ca="1">-IF(C227=1,(G227*'Invoer gegevens'!$I$34)*Reeksen!J227,0)</f>
        <v>0</v>
      </c>
      <c r="AS227" s="71">
        <f ca="1">-IF(C227=1,'Invoer gegevens'!$C$10*'Invoer gegevens'!$I$35*Reeksen!L227,0)</f>
        <v>0</v>
      </c>
      <c r="AT227" s="71">
        <f ca="1">-IF(C227=1,IF(E227='Invoer gegevens'!$C$17,'Invoer gegevens'!$C$11,Q227)*Reeksen!S227*'Invoer gegevens'!$C$18*Reeksen!P227,0)</f>
        <v>0</v>
      </c>
      <c r="AU227" s="71">
        <f ca="1">-IF(C227=1,'Invoer gegevens'!$C$10*'Invoer gegevens'!$I$36*Reeksen!H227,0)</f>
        <v>0</v>
      </c>
      <c r="AV227" s="71">
        <f t="shared" si="43"/>
        <v>0</v>
      </c>
      <c r="AW227" s="71">
        <f t="shared" ca="1" si="40"/>
        <v>0</v>
      </c>
      <c r="AX227" s="71">
        <f ca="1">IF(E227&lt;'Invoer gegevens'!$C$17+15,0,IF(E227&gt;'Invoer gegevens'!$C$17+215,0,AW227))</f>
        <v>0</v>
      </c>
      <c r="AY227" s="71">
        <f ca="1">AX227/(1+'Invoer gegevens'!$F$13)^($AZ227-('Invoer gegevens'!$C$17-'Invoer gegevens'!$C$16))/(1+'Invoer gegevens'!$C$39)^('Invoer gegevens'!$C$17-'Invoer gegevens'!$C$16)</f>
        <v>0</v>
      </c>
      <c r="AZ227" s="68">
        <f ca="1">IF(E227-'Invoer gegevens'!$C$17-14.5&lt;0,0,E227-'Invoer gegevens'!$C$17-14.5)</f>
        <v>207.5</v>
      </c>
    </row>
    <row r="228" spans="2:56" x14ac:dyDescent="0.25">
      <c r="B228" s="70">
        <f t="shared" si="41"/>
        <v>224</v>
      </c>
      <c r="C228" s="67">
        <f ca="1">IF(E228-'Invoer gegevens'!$C$17&lt;0,0,1)</f>
        <v>1</v>
      </c>
      <c r="D228" s="68">
        <f t="shared" si="42"/>
        <v>223.5</v>
      </c>
      <c r="E228" s="69">
        <f ca="1">IF('Invoer gegevens'!$C$16="","",E227+1)</f>
        <v>2242</v>
      </c>
      <c r="F228" s="82">
        <f ca="1">IF('Invoer gegevens'!$C$17=E228,'Invoer gegevens'!$C$10,IF(C228=1,H227,0))</f>
        <v>0</v>
      </c>
      <c r="G228" s="83">
        <f ca="1">IF(C228&gt;=1,F228*Reeksen!C228,0)</f>
        <v>0</v>
      </c>
      <c r="H228" s="84">
        <f t="shared" ca="1" si="36"/>
        <v>0</v>
      </c>
      <c r="I228" s="85">
        <f ca="1">IF('Invoer gegevens'!$C$17=E228,'Invoer gegevens'!$C$11,IF(C228=1,L227,0))</f>
        <v>0</v>
      </c>
      <c r="J228" s="86">
        <f ca="1">IF(C228&lt;1,0,IF(Reeksen!AK228&lt;=Reeksen!AE228,I228*Reeksen!C228,0))</f>
        <v>0</v>
      </c>
      <c r="K228" s="86">
        <f ca="1">IF(C228&lt;1,0,IF(Reeksen!AK228&gt;Reeksen!AE228,I228*Reeksen!C228,0))</f>
        <v>0</v>
      </c>
      <c r="L228" s="86">
        <f t="shared" ca="1" si="37"/>
        <v>0</v>
      </c>
      <c r="M228" s="85">
        <f ca="1">IF('Invoer gegevens'!$C$17=E228,'Invoer gegevens'!$C$10-'Invoer gegevens'!$C$11,IF(C228=1,P227,0))</f>
        <v>0</v>
      </c>
      <c r="N228" s="86">
        <f ca="1">IF(C228&lt;1,0,IF(Reeksen!AK228&lt;=Reeksen!AE228,M228*Reeksen!C228,0))</f>
        <v>0</v>
      </c>
      <c r="O228" s="86">
        <f ca="1">IF(C228&lt;1,0,IF(Reeksen!AK228&gt;Reeksen!AE228,M228*Reeksen!C228,0))</f>
        <v>0</v>
      </c>
      <c r="P228" s="86">
        <f t="shared" ca="1" si="38"/>
        <v>0</v>
      </c>
      <c r="Q228" s="82">
        <f ca="1">IF('Invoer gegevens'!$C$17=E228,I228,IF(C228=0,0,R227))</f>
        <v>0</v>
      </c>
      <c r="R228" s="84">
        <f t="shared" ca="1" si="33"/>
        <v>0</v>
      </c>
      <c r="S228" s="84">
        <f ca="1">IF('Invoer gegevens'!$C$17=E228,M228,IF(C228=0,0,T227))</f>
        <v>0</v>
      </c>
      <c r="T228" s="84">
        <f t="shared" ca="1" si="34"/>
        <v>0</v>
      </c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8"/>
      <c r="AI228" s="71">
        <f ca="1">IF(C228=1,((F228+H228)/2*Reeksen!AJ228*12)+(('Invoer gegevens'!$C$10-(F228+H228)/2)*Reeksen!AK228*12),0)</f>
        <v>0</v>
      </c>
      <c r="AJ228" s="71">
        <f ca="1">-AI228*'Invoer gegevens'!$F$28</f>
        <v>0</v>
      </c>
      <c r="AK228" s="71">
        <f t="shared" ca="1" si="35"/>
        <v>0</v>
      </c>
      <c r="AL228" s="71">
        <f ca="1">IF(C228=1,(12*((F228+H228)/2)*Reeksen!AL228)+(12*('Invoer gegevens'!$C$10-(F228+H228)/2)*Reeksen!AM228),0)</f>
        <v>0</v>
      </c>
      <c r="AM228" s="71">
        <f ca="1">-AL228*'Invoer gegevens'!$F$31</f>
        <v>0</v>
      </c>
      <c r="AN228" s="71">
        <f t="shared" ca="1" si="39"/>
        <v>0</v>
      </c>
      <c r="AO228" s="71"/>
      <c r="AP228" s="71"/>
      <c r="AQ228" s="71">
        <f ca="1">-IF(C228=1,('Invoer gegevens'!$C$10*'Invoer gegevens'!$I$33)*Reeksen!J228,0)*2</f>
        <v>0</v>
      </c>
      <c r="AR228" s="71">
        <f ca="1">-IF(C228=1,(G228*'Invoer gegevens'!$I$34)*Reeksen!J228,0)</f>
        <v>0</v>
      </c>
      <c r="AS228" s="71">
        <f ca="1">-IF(C228=1,'Invoer gegevens'!$C$10*'Invoer gegevens'!$I$35*Reeksen!L228,0)</f>
        <v>0</v>
      </c>
      <c r="AT228" s="71">
        <f ca="1">-IF(C228=1,IF(E228='Invoer gegevens'!$C$17,'Invoer gegevens'!$C$11,Q228)*Reeksen!S228*'Invoer gegevens'!$C$18*Reeksen!P228,0)</f>
        <v>0</v>
      </c>
      <c r="AU228" s="71">
        <f ca="1">-IF(C228=1,'Invoer gegevens'!$C$10*'Invoer gegevens'!$I$36*Reeksen!H228,0)</f>
        <v>0</v>
      </c>
      <c r="AV228" s="71">
        <f t="shared" si="43"/>
        <v>0</v>
      </c>
      <c r="AW228" s="71">
        <f t="shared" ca="1" si="40"/>
        <v>0</v>
      </c>
      <c r="AX228" s="71">
        <f ca="1">IF(E228&lt;'Invoer gegevens'!$C$17+15,0,IF(E228&gt;'Invoer gegevens'!$C$17+215,0,AW228))</f>
        <v>0</v>
      </c>
      <c r="AY228" s="71">
        <f ca="1">AX228/(1+'Invoer gegevens'!$F$13)^($AZ228-('Invoer gegevens'!$C$17-'Invoer gegevens'!$C$16))/(1+'Invoer gegevens'!$C$39)^('Invoer gegevens'!$C$17-'Invoer gegevens'!$C$16)</f>
        <v>0</v>
      </c>
      <c r="AZ228" s="68">
        <f ca="1">IF(E228-'Invoer gegevens'!$C$17-14.5&lt;0,0,E228-'Invoer gegevens'!$C$17-14.5)</f>
        <v>208.5</v>
      </c>
    </row>
    <row r="229" spans="2:56" x14ac:dyDescent="0.25">
      <c r="B229" s="70">
        <f t="shared" si="41"/>
        <v>225</v>
      </c>
      <c r="C229" s="67">
        <f ca="1">IF(E229-'Invoer gegevens'!$C$17&lt;0,0,1)</f>
        <v>1</v>
      </c>
      <c r="D229" s="68">
        <f t="shared" si="42"/>
        <v>224.5</v>
      </c>
      <c r="E229" s="69">
        <f ca="1">IF('Invoer gegevens'!$C$16="","",E228+1)</f>
        <v>2243</v>
      </c>
      <c r="F229" s="82">
        <f ca="1">IF('Invoer gegevens'!$C$17=E229,'Invoer gegevens'!$C$10,IF(C229=1,H228,0))</f>
        <v>0</v>
      </c>
      <c r="G229" s="83">
        <f ca="1">IF(C229&gt;=1,F229*Reeksen!C229,0)</f>
        <v>0</v>
      </c>
      <c r="H229" s="84">
        <f t="shared" ca="1" si="36"/>
        <v>0</v>
      </c>
      <c r="I229" s="85">
        <f ca="1">IF('Invoer gegevens'!$C$17=E229,'Invoer gegevens'!$C$11,IF(C229=1,L228,0))</f>
        <v>0</v>
      </c>
      <c r="J229" s="86">
        <f ca="1">IF(C229&lt;1,0,IF(Reeksen!AK229&lt;=Reeksen!AE229,I229*Reeksen!C229,0))</f>
        <v>0</v>
      </c>
      <c r="K229" s="86">
        <f ca="1">IF(C229&lt;1,0,IF(Reeksen!AK229&gt;Reeksen!AE229,I229*Reeksen!C229,0))</f>
        <v>0</v>
      </c>
      <c r="L229" s="86">
        <f t="shared" ca="1" si="37"/>
        <v>0</v>
      </c>
      <c r="M229" s="85">
        <f ca="1">IF('Invoer gegevens'!$C$17=E229,'Invoer gegevens'!$C$10-'Invoer gegevens'!$C$11,IF(C229=1,P228,0))</f>
        <v>0</v>
      </c>
      <c r="N229" s="86">
        <f ca="1">IF(C229&lt;1,0,IF(Reeksen!AK229&lt;=Reeksen!AE229,M229*Reeksen!C229,0))</f>
        <v>0</v>
      </c>
      <c r="O229" s="86">
        <f ca="1">IF(C229&lt;1,0,IF(Reeksen!AK229&gt;Reeksen!AE229,M229*Reeksen!C229,0))</f>
        <v>0</v>
      </c>
      <c r="P229" s="86">
        <f t="shared" ca="1" si="38"/>
        <v>0</v>
      </c>
      <c r="Q229" s="82">
        <f ca="1">IF('Invoer gegevens'!$C$17=E229,I229,IF(C229=0,0,R228))</f>
        <v>0</v>
      </c>
      <c r="R229" s="84">
        <f t="shared" ca="1" si="33"/>
        <v>0</v>
      </c>
      <c r="S229" s="84">
        <f ca="1">IF('Invoer gegevens'!$C$17=E229,M229,IF(C229=0,0,T228))</f>
        <v>0</v>
      </c>
      <c r="T229" s="84">
        <f t="shared" ca="1" si="34"/>
        <v>0</v>
      </c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8"/>
      <c r="AI229" s="71">
        <f ca="1">IF(C229=1,((F229+H229)/2*Reeksen!AJ229*12)+(('Invoer gegevens'!$C$10-(F229+H229)/2)*Reeksen!AK229*12),0)</f>
        <v>0</v>
      </c>
      <c r="AJ229" s="71">
        <f ca="1">-AI229*'Invoer gegevens'!$F$28</f>
        <v>0</v>
      </c>
      <c r="AK229" s="71">
        <f t="shared" ca="1" si="35"/>
        <v>0</v>
      </c>
      <c r="AL229" s="71">
        <f ca="1">IF(C229=1,(12*((F229+H229)/2)*Reeksen!AL229)+(12*('Invoer gegevens'!$C$10-(F229+H229)/2)*Reeksen!AM229),0)</f>
        <v>0</v>
      </c>
      <c r="AM229" s="71">
        <f ca="1">-AL229*'Invoer gegevens'!$F$31</f>
        <v>0</v>
      </c>
      <c r="AN229" s="71">
        <f t="shared" ca="1" si="39"/>
        <v>0</v>
      </c>
      <c r="AO229" s="71"/>
      <c r="AP229" s="71"/>
      <c r="AQ229" s="71">
        <f ca="1">-IF(C229=1,('Invoer gegevens'!$C$10*'Invoer gegevens'!$I$33)*Reeksen!J229,0)*2</f>
        <v>0</v>
      </c>
      <c r="AR229" s="71">
        <f ca="1">-IF(C229=1,(G229*'Invoer gegevens'!$I$34)*Reeksen!J229,0)</f>
        <v>0</v>
      </c>
      <c r="AS229" s="71">
        <f ca="1">-IF(C229=1,'Invoer gegevens'!$C$10*'Invoer gegevens'!$I$35*Reeksen!L229,0)</f>
        <v>0</v>
      </c>
      <c r="AT229" s="71">
        <f ca="1">-IF(C229=1,IF(E229='Invoer gegevens'!$C$17,'Invoer gegevens'!$C$11,Q229)*Reeksen!S229*'Invoer gegevens'!$C$18*Reeksen!P229,0)</f>
        <v>0</v>
      </c>
      <c r="AU229" s="71">
        <f ca="1">-IF(C229=1,'Invoer gegevens'!$C$10*'Invoer gegevens'!$I$36*Reeksen!H229,0)</f>
        <v>0</v>
      </c>
      <c r="AV229" s="71">
        <f t="shared" si="43"/>
        <v>0</v>
      </c>
      <c r="AW229" s="71">
        <f t="shared" ca="1" si="40"/>
        <v>0</v>
      </c>
      <c r="AX229" s="71">
        <f ca="1">IF(E229&lt;'Invoer gegevens'!$C$17+15,0,IF(E229&gt;'Invoer gegevens'!$C$17+215,0,AW229))</f>
        <v>0</v>
      </c>
      <c r="AY229" s="71">
        <f ca="1">AX229/(1+'Invoer gegevens'!$F$13)^($AZ229-('Invoer gegevens'!$C$17-'Invoer gegevens'!$C$16))/(1+'Invoer gegevens'!$C$39)^('Invoer gegevens'!$C$17-'Invoer gegevens'!$C$16)</f>
        <v>0</v>
      </c>
      <c r="AZ229" s="68">
        <f ca="1">IF(E229-'Invoer gegevens'!$C$17-14.5&lt;0,0,E229-'Invoer gegevens'!$C$17-14.5)</f>
        <v>209.5</v>
      </c>
    </row>
    <row r="230" spans="2:56" x14ac:dyDescent="0.25">
      <c r="B230" s="70">
        <f t="shared" si="41"/>
        <v>226</v>
      </c>
      <c r="C230" s="67">
        <f ca="1">IF(E230-'Invoer gegevens'!$C$17&lt;0,0,1)</f>
        <v>1</v>
      </c>
      <c r="D230" s="68">
        <f t="shared" si="42"/>
        <v>225.5</v>
      </c>
      <c r="E230" s="69">
        <f ca="1">IF('Invoer gegevens'!$C$16="","",E229+1)</f>
        <v>2244</v>
      </c>
      <c r="F230" s="82">
        <f ca="1">IF('Invoer gegevens'!$C$17=E230,'Invoer gegevens'!$C$10,IF(C230=1,H229,0))</f>
        <v>0</v>
      </c>
      <c r="G230" s="83">
        <f ca="1">IF(C230&gt;=1,F230*Reeksen!C230,0)</f>
        <v>0</v>
      </c>
      <c r="H230" s="84">
        <f t="shared" ca="1" si="36"/>
        <v>0</v>
      </c>
      <c r="I230" s="85">
        <f ca="1">IF('Invoer gegevens'!$C$17=E230,'Invoer gegevens'!$C$11,IF(C230=1,L229,0))</f>
        <v>0</v>
      </c>
      <c r="J230" s="86">
        <f ca="1">IF(C230&lt;1,0,IF(Reeksen!AK230&lt;=Reeksen!AE230,I230*Reeksen!C230,0))</f>
        <v>0</v>
      </c>
      <c r="K230" s="86">
        <f ca="1">IF(C230&lt;1,0,IF(Reeksen!AK230&gt;Reeksen!AE230,I230*Reeksen!C230,0))</f>
        <v>0</v>
      </c>
      <c r="L230" s="86">
        <f t="shared" ca="1" si="37"/>
        <v>0</v>
      </c>
      <c r="M230" s="85">
        <f ca="1">IF('Invoer gegevens'!$C$17=E230,'Invoer gegevens'!$C$10-'Invoer gegevens'!$C$11,IF(C230=1,P229,0))</f>
        <v>0</v>
      </c>
      <c r="N230" s="86">
        <f ca="1">IF(C230&lt;1,0,IF(Reeksen!AK230&lt;=Reeksen!AE230,M230*Reeksen!C230,0))</f>
        <v>0</v>
      </c>
      <c r="O230" s="86">
        <f ca="1">IF(C230&lt;1,0,IF(Reeksen!AK230&gt;Reeksen!AE230,M230*Reeksen!C230,0))</f>
        <v>0</v>
      </c>
      <c r="P230" s="86">
        <f t="shared" ca="1" si="38"/>
        <v>0</v>
      </c>
      <c r="Q230" s="82">
        <f ca="1">IF('Invoer gegevens'!$C$17=E230,I230,IF(C230=0,0,R229))</f>
        <v>0</v>
      </c>
      <c r="R230" s="84">
        <f t="shared" ca="1" si="33"/>
        <v>0</v>
      </c>
      <c r="S230" s="84">
        <f ca="1">IF('Invoer gegevens'!$C$17=E230,M230,IF(C230=0,0,T229))</f>
        <v>0</v>
      </c>
      <c r="T230" s="84">
        <f t="shared" ca="1" si="34"/>
        <v>0</v>
      </c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8"/>
      <c r="AI230" s="71">
        <f ca="1">IF(C230=1,((F230+H230)/2*Reeksen!AJ230*12)+(('Invoer gegevens'!$C$10-(F230+H230)/2)*Reeksen!AK230*12),0)</f>
        <v>0</v>
      </c>
      <c r="AJ230" s="71">
        <f ca="1">-AI230*'Invoer gegevens'!$F$28</f>
        <v>0</v>
      </c>
      <c r="AK230" s="71">
        <f t="shared" ca="1" si="35"/>
        <v>0</v>
      </c>
      <c r="AL230" s="71">
        <f ca="1">IF(C230=1,(12*((F230+H230)/2)*Reeksen!AL230)+(12*('Invoer gegevens'!$C$10-(F230+H230)/2)*Reeksen!AM230),0)</f>
        <v>0</v>
      </c>
      <c r="AM230" s="71">
        <f ca="1">-AL230*'Invoer gegevens'!$F$31</f>
        <v>0</v>
      </c>
      <c r="AN230" s="71">
        <f t="shared" ca="1" si="39"/>
        <v>0</v>
      </c>
      <c r="AO230" s="71"/>
      <c r="AP230" s="71"/>
      <c r="AQ230" s="71">
        <f ca="1">-IF(C230=1,('Invoer gegevens'!$C$10*'Invoer gegevens'!$I$33)*Reeksen!J230,0)*2</f>
        <v>0</v>
      </c>
      <c r="AR230" s="71">
        <f ca="1">-IF(C230=1,(G230*'Invoer gegevens'!$I$34)*Reeksen!J230,0)</f>
        <v>0</v>
      </c>
      <c r="AS230" s="71">
        <f ca="1">-IF(C230=1,'Invoer gegevens'!$C$10*'Invoer gegevens'!$I$35*Reeksen!L230,0)</f>
        <v>0</v>
      </c>
      <c r="AT230" s="71">
        <f ca="1">-IF(C230=1,IF(E230='Invoer gegevens'!$C$17,'Invoer gegevens'!$C$11,Q230)*Reeksen!S230*'Invoer gegevens'!$C$18*Reeksen!P230,0)</f>
        <v>0</v>
      </c>
      <c r="AU230" s="71">
        <f ca="1">-IF(C230=1,'Invoer gegevens'!$C$10*'Invoer gegevens'!$I$36*Reeksen!H230,0)</f>
        <v>0</v>
      </c>
      <c r="AV230" s="71">
        <f t="shared" si="43"/>
        <v>0</v>
      </c>
      <c r="AW230" s="71">
        <f t="shared" ca="1" si="40"/>
        <v>0</v>
      </c>
      <c r="AX230" s="71">
        <f ca="1">IF(E230&lt;'Invoer gegevens'!$C$17+15,0,IF(E230&gt;'Invoer gegevens'!$C$17+215,0,AW230))</f>
        <v>0</v>
      </c>
      <c r="AY230" s="71">
        <f ca="1">AX230/(1+'Invoer gegevens'!$F$13)^($AZ230-('Invoer gegevens'!$C$17-'Invoer gegevens'!$C$16))/(1+'Invoer gegevens'!$C$39)^('Invoer gegevens'!$C$17-'Invoer gegevens'!$C$16)</f>
        <v>0</v>
      </c>
      <c r="AZ230" s="68">
        <f ca="1">IF(E230-'Invoer gegevens'!$C$17-14.5&lt;0,0,E230-'Invoer gegevens'!$C$17-14.5)</f>
        <v>210.5</v>
      </c>
    </row>
    <row r="231" spans="2:56" x14ac:dyDescent="0.25">
      <c r="B231" s="70">
        <f t="shared" si="41"/>
        <v>227</v>
      </c>
      <c r="C231" s="67">
        <f ca="1">IF(E231-'Invoer gegevens'!$C$17&lt;0,0,1)</f>
        <v>1</v>
      </c>
      <c r="D231" s="68">
        <f t="shared" si="42"/>
        <v>226.5</v>
      </c>
      <c r="E231" s="69">
        <f ca="1">IF('Invoer gegevens'!$C$16="","",E230+1)</f>
        <v>2245</v>
      </c>
      <c r="F231" s="82">
        <f ca="1">IF('Invoer gegevens'!$C$17=E231,'Invoer gegevens'!$C$10,IF(C231=1,H230,0))</f>
        <v>0</v>
      </c>
      <c r="G231" s="83">
        <f ca="1">IF(C231&gt;=1,F231*Reeksen!C231,0)</f>
        <v>0</v>
      </c>
      <c r="H231" s="84">
        <f t="shared" ca="1" si="36"/>
        <v>0</v>
      </c>
      <c r="I231" s="85">
        <f ca="1">IF('Invoer gegevens'!$C$17=E231,'Invoer gegevens'!$C$11,IF(C231=1,L230,0))</f>
        <v>0</v>
      </c>
      <c r="J231" s="86">
        <f ca="1">IF(C231&lt;1,0,IF(Reeksen!AK231&lt;=Reeksen!AE231,I231*Reeksen!C231,0))</f>
        <v>0</v>
      </c>
      <c r="K231" s="86">
        <f ca="1">IF(C231&lt;1,0,IF(Reeksen!AK231&gt;Reeksen!AE231,I231*Reeksen!C231,0))</f>
        <v>0</v>
      </c>
      <c r="L231" s="86">
        <f t="shared" ca="1" si="37"/>
        <v>0</v>
      </c>
      <c r="M231" s="85">
        <f ca="1">IF('Invoer gegevens'!$C$17=E231,'Invoer gegevens'!$C$10-'Invoer gegevens'!$C$11,IF(C231=1,P230,0))</f>
        <v>0</v>
      </c>
      <c r="N231" s="86">
        <f ca="1">IF(C231&lt;1,0,IF(Reeksen!AK231&lt;=Reeksen!AE231,M231*Reeksen!C231,0))</f>
        <v>0</v>
      </c>
      <c r="O231" s="86">
        <f ca="1">IF(C231&lt;1,0,IF(Reeksen!AK231&gt;Reeksen!AE231,M231*Reeksen!C231,0))</f>
        <v>0</v>
      </c>
      <c r="P231" s="86">
        <f t="shared" ca="1" si="38"/>
        <v>0</v>
      </c>
      <c r="Q231" s="82">
        <f ca="1">IF('Invoer gegevens'!$C$17=E231,I231,IF(C231=0,0,R230))</f>
        <v>0</v>
      </c>
      <c r="R231" s="84">
        <f t="shared" ca="1" si="33"/>
        <v>0</v>
      </c>
      <c r="S231" s="84">
        <f ca="1">IF('Invoer gegevens'!$C$17=E231,M231,IF(C231=0,0,T230))</f>
        <v>0</v>
      </c>
      <c r="T231" s="84">
        <f t="shared" ca="1" si="34"/>
        <v>0</v>
      </c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8"/>
      <c r="AI231" s="71">
        <f ca="1">IF(C231=1,((F231+H231)/2*Reeksen!AJ231*12)+(('Invoer gegevens'!$C$10-(F231+H231)/2)*Reeksen!AK231*12),0)</f>
        <v>0</v>
      </c>
      <c r="AJ231" s="71">
        <f ca="1">-AI231*'Invoer gegevens'!$F$28</f>
        <v>0</v>
      </c>
      <c r="AK231" s="71">
        <f t="shared" ca="1" si="35"/>
        <v>0</v>
      </c>
      <c r="AL231" s="71">
        <f ca="1">IF(C231=1,(12*((F231+H231)/2)*Reeksen!AL231)+(12*('Invoer gegevens'!$C$10-(F231+H231)/2)*Reeksen!AM231),0)</f>
        <v>0</v>
      </c>
      <c r="AM231" s="71">
        <f ca="1">-AL231*'Invoer gegevens'!$F$31</f>
        <v>0</v>
      </c>
      <c r="AN231" s="71">
        <f t="shared" ca="1" si="39"/>
        <v>0</v>
      </c>
      <c r="AO231" s="71"/>
      <c r="AP231" s="71"/>
      <c r="AQ231" s="71">
        <f ca="1">-IF(C231=1,('Invoer gegevens'!$C$10*'Invoer gegevens'!$I$33)*Reeksen!J231,0)*2</f>
        <v>0</v>
      </c>
      <c r="AR231" s="71">
        <f ca="1">-IF(C231=1,(G231*'Invoer gegevens'!$I$34)*Reeksen!J231,0)</f>
        <v>0</v>
      </c>
      <c r="AS231" s="71">
        <f ca="1">-IF(C231=1,'Invoer gegevens'!$C$10*'Invoer gegevens'!$I$35*Reeksen!L231,0)</f>
        <v>0</v>
      </c>
      <c r="AT231" s="71">
        <f ca="1">-IF(C231=1,IF(E231='Invoer gegevens'!$C$17,'Invoer gegevens'!$C$11,Q231)*Reeksen!S231*'Invoer gegevens'!$C$18*Reeksen!P231,0)</f>
        <v>0</v>
      </c>
      <c r="AU231" s="71">
        <f ca="1">-IF(C231=1,'Invoer gegevens'!$C$10*'Invoer gegevens'!$I$36*Reeksen!H231,0)</f>
        <v>0</v>
      </c>
      <c r="AV231" s="71">
        <f t="shared" si="43"/>
        <v>0</v>
      </c>
      <c r="AW231" s="71">
        <f t="shared" ca="1" si="40"/>
        <v>0</v>
      </c>
      <c r="AX231" s="71">
        <f ca="1">IF(E231&lt;'Invoer gegevens'!$C$17+15,0,IF(E231&gt;'Invoer gegevens'!$C$17+215,0,AW231))</f>
        <v>0</v>
      </c>
      <c r="AY231" s="71">
        <f ca="1">AX231/(1+'Invoer gegevens'!$F$13)^($AZ231-('Invoer gegevens'!$C$17-'Invoer gegevens'!$C$16))/(1+'Invoer gegevens'!$C$39)^('Invoer gegevens'!$C$17-'Invoer gegevens'!$C$16)</f>
        <v>0</v>
      </c>
      <c r="AZ231" s="68">
        <f ca="1">IF(E231-'Invoer gegevens'!$C$17-14.5&lt;0,0,E231-'Invoer gegevens'!$C$17-14.5)</f>
        <v>211.5</v>
      </c>
    </row>
    <row r="232" spans="2:56" x14ac:dyDescent="0.25">
      <c r="B232" s="70">
        <f t="shared" si="41"/>
        <v>228</v>
      </c>
      <c r="C232" s="67">
        <f ca="1">IF(E232-'Invoer gegevens'!$C$17&lt;0,0,1)</f>
        <v>1</v>
      </c>
      <c r="D232" s="68">
        <f t="shared" si="42"/>
        <v>227.5</v>
      </c>
      <c r="E232" s="69">
        <f ca="1">IF('Invoer gegevens'!$C$16="","",E231+1)</f>
        <v>2246</v>
      </c>
      <c r="F232" s="82">
        <f ca="1">IF('Invoer gegevens'!$C$17=E232,'Invoer gegevens'!$C$10,IF(C232=1,H231,0))</f>
        <v>0</v>
      </c>
      <c r="G232" s="83">
        <f ca="1">IF(C232&gt;=1,F232*Reeksen!C232,0)</f>
        <v>0</v>
      </c>
      <c r="H232" s="84">
        <f t="shared" ca="1" si="36"/>
        <v>0</v>
      </c>
      <c r="I232" s="85">
        <f ca="1">IF('Invoer gegevens'!$C$17=E232,'Invoer gegevens'!$C$11,IF(C232=1,L231,0))</f>
        <v>0</v>
      </c>
      <c r="J232" s="86">
        <f ca="1">IF(C232&lt;1,0,IF(Reeksen!AK232&lt;=Reeksen!AE232,I232*Reeksen!C232,0))</f>
        <v>0</v>
      </c>
      <c r="K232" s="86">
        <f ca="1">IF(C232&lt;1,0,IF(Reeksen!AK232&gt;Reeksen!AE232,I232*Reeksen!C232,0))</f>
        <v>0</v>
      </c>
      <c r="L232" s="86">
        <f t="shared" ca="1" si="37"/>
        <v>0</v>
      </c>
      <c r="M232" s="85">
        <f ca="1">IF('Invoer gegevens'!$C$17=E232,'Invoer gegevens'!$C$10-'Invoer gegevens'!$C$11,IF(C232=1,P231,0))</f>
        <v>0</v>
      </c>
      <c r="N232" s="86">
        <f ca="1">IF(C232&lt;1,0,IF(Reeksen!AK232&lt;=Reeksen!AE232,M232*Reeksen!C232,0))</f>
        <v>0</v>
      </c>
      <c r="O232" s="86">
        <f ca="1">IF(C232&lt;1,0,IF(Reeksen!AK232&gt;Reeksen!AE232,M232*Reeksen!C232,0))</f>
        <v>0</v>
      </c>
      <c r="P232" s="86">
        <f t="shared" ca="1" si="38"/>
        <v>0</v>
      </c>
      <c r="Q232" s="82">
        <f ca="1">IF('Invoer gegevens'!$C$17=E232,I232,IF(C232=0,0,R231))</f>
        <v>0</v>
      </c>
      <c r="R232" s="84">
        <f t="shared" ca="1" si="33"/>
        <v>0</v>
      </c>
      <c r="S232" s="84">
        <f ca="1">IF('Invoer gegevens'!$C$17=E232,M232,IF(C232=0,0,T231))</f>
        <v>0</v>
      </c>
      <c r="T232" s="84">
        <f t="shared" ca="1" si="34"/>
        <v>0</v>
      </c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8"/>
      <c r="AI232" s="71">
        <f ca="1">IF(C232=1,((F232+H232)/2*Reeksen!AJ232*12)+(('Invoer gegevens'!$C$10-(F232+H232)/2)*Reeksen!AK232*12),0)</f>
        <v>0</v>
      </c>
      <c r="AJ232" s="71">
        <f ca="1">-AI232*'Invoer gegevens'!$F$28</f>
        <v>0</v>
      </c>
      <c r="AK232" s="71">
        <f t="shared" ca="1" si="35"/>
        <v>0</v>
      </c>
      <c r="AL232" s="71">
        <f ca="1">IF(C232=1,(12*((F232+H232)/2)*Reeksen!AL232)+(12*('Invoer gegevens'!$C$10-(F232+H232)/2)*Reeksen!AM232),0)</f>
        <v>0</v>
      </c>
      <c r="AM232" s="71">
        <f ca="1">-AL232*'Invoer gegevens'!$F$31</f>
        <v>0</v>
      </c>
      <c r="AN232" s="71">
        <f t="shared" ca="1" si="39"/>
        <v>0</v>
      </c>
      <c r="AO232" s="71"/>
      <c r="AP232" s="71"/>
      <c r="AQ232" s="71">
        <f ca="1">-IF(C232=1,('Invoer gegevens'!$C$10*'Invoer gegevens'!$I$33)*Reeksen!J232,0)*2</f>
        <v>0</v>
      </c>
      <c r="AR232" s="71">
        <f ca="1">-IF(C232=1,(G232*'Invoer gegevens'!$I$34)*Reeksen!J232,0)</f>
        <v>0</v>
      </c>
      <c r="AS232" s="71">
        <f ca="1">-IF(C232=1,'Invoer gegevens'!$C$10*'Invoer gegevens'!$I$35*Reeksen!L232,0)</f>
        <v>0</v>
      </c>
      <c r="AT232" s="71">
        <f ca="1">-IF(C232=1,IF(E232='Invoer gegevens'!$C$17,'Invoer gegevens'!$C$11,Q232)*Reeksen!S232*'Invoer gegevens'!$C$18*Reeksen!P232,0)</f>
        <v>0</v>
      </c>
      <c r="AU232" s="71">
        <f ca="1">-IF(C232=1,'Invoer gegevens'!$C$10*'Invoer gegevens'!$I$36*Reeksen!H232,0)</f>
        <v>0</v>
      </c>
      <c r="AV232" s="71">
        <f t="shared" si="43"/>
        <v>0</v>
      </c>
      <c r="AW232" s="71">
        <f t="shared" ca="1" si="40"/>
        <v>0</v>
      </c>
      <c r="AX232" s="71">
        <f ca="1">IF(E232&lt;'Invoer gegevens'!$C$17+15,0,IF(E232&gt;'Invoer gegevens'!$C$17+215,0,AW232))</f>
        <v>0</v>
      </c>
      <c r="AY232" s="71">
        <f ca="1">AX232/(1+'Invoer gegevens'!$F$13)^($AZ232-('Invoer gegevens'!$C$17-'Invoer gegevens'!$C$16))/(1+'Invoer gegevens'!$C$39)^('Invoer gegevens'!$C$17-'Invoer gegevens'!$C$16)</f>
        <v>0</v>
      </c>
      <c r="AZ232" s="68">
        <f ca="1">IF(E232-'Invoer gegevens'!$C$17-14.5&lt;0,0,E232-'Invoer gegevens'!$C$17-14.5)</f>
        <v>212.5</v>
      </c>
    </row>
    <row r="233" spans="2:56" x14ac:dyDescent="0.25">
      <c r="B233" s="70">
        <f t="shared" si="41"/>
        <v>229</v>
      </c>
      <c r="C233" s="67">
        <f ca="1">IF(E233-'Invoer gegevens'!$C$17&lt;0,0,1)</f>
        <v>1</v>
      </c>
      <c r="D233" s="68">
        <f t="shared" si="42"/>
        <v>228.5</v>
      </c>
      <c r="E233" s="69">
        <f ca="1">IF('Invoer gegevens'!$C$16="","",E232+1)</f>
        <v>2247</v>
      </c>
      <c r="F233" s="82">
        <f ca="1">IF('Invoer gegevens'!$C$17=E233,'Invoer gegevens'!$C$10,IF(C233=1,H232,0))</f>
        <v>0</v>
      </c>
      <c r="G233" s="83">
        <f ca="1">IF(C233&gt;=1,F233*Reeksen!C233,0)</f>
        <v>0</v>
      </c>
      <c r="H233" s="84">
        <f t="shared" ca="1" si="36"/>
        <v>0</v>
      </c>
      <c r="I233" s="85">
        <f ca="1">IF('Invoer gegevens'!$C$17=E233,'Invoer gegevens'!$C$11,IF(C233=1,L232,0))</f>
        <v>0</v>
      </c>
      <c r="J233" s="86">
        <f ca="1">IF(C233&lt;1,0,IF(Reeksen!AK233&lt;=Reeksen!AE233,I233*Reeksen!C233,0))</f>
        <v>0</v>
      </c>
      <c r="K233" s="86">
        <f ca="1">IF(C233&lt;1,0,IF(Reeksen!AK233&gt;Reeksen!AE233,I233*Reeksen!C233,0))</f>
        <v>0</v>
      </c>
      <c r="L233" s="86">
        <f t="shared" ca="1" si="37"/>
        <v>0</v>
      </c>
      <c r="M233" s="85">
        <f ca="1">IF('Invoer gegevens'!$C$17=E233,'Invoer gegevens'!$C$10-'Invoer gegevens'!$C$11,IF(C233=1,P232,0))</f>
        <v>0</v>
      </c>
      <c r="N233" s="86">
        <f ca="1">IF(C233&lt;1,0,IF(Reeksen!AK233&lt;=Reeksen!AE233,M233*Reeksen!C233,0))</f>
        <v>0</v>
      </c>
      <c r="O233" s="86">
        <f ca="1">IF(C233&lt;1,0,IF(Reeksen!AK233&gt;Reeksen!AE233,M233*Reeksen!C233,0))</f>
        <v>0</v>
      </c>
      <c r="P233" s="86">
        <f t="shared" ca="1" si="38"/>
        <v>0</v>
      </c>
      <c r="Q233" s="82">
        <f ca="1">IF('Invoer gegevens'!$C$17=E233,I233,IF(C233=0,0,R232))</f>
        <v>0</v>
      </c>
      <c r="R233" s="84">
        <f t="shared" ca="1" si="33"/>
        <v>0</v>
      </c>
      <c r="S233" s="84">
        <f ca="1">IF('Invoer gegevens'!$C$17=E233,M233,IF(C233=0,0,T232))</f>
        <v>0</v>
      </c>
      <c r="T233" s="84">
        <f t="shared" ca="1" si="34"/>
        <v>0</v>
      </c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8"/>
      <c r="AI233" s="71">
        <f ca="1">IF(C233=1,((F233+H233)/2*Reeksen!AJ233*12)+(('Invoer gegevens'!$C$10-(F233+H233)/2)*Reeksen!AK233*12),0)</f>
        <v>0</v>
      </c>
      <c r="AJ233" s="71">
        <f ca="1">-AI233*'Invoer gegevens'!$F$28</f>
        <v>0</v>
      </c>
      <c r="AK233" s="71">
        <f t="shared" ca="1" si="35"/>
        <v>0</v>
      </c>
      <c r="AL233" s="71">
        <f ca="1">IF(C233=1,(12*((F233+H233)/2)*Reeksen!AL233)+(12*('Invoer gegevens'!$C$10-(F233+H233)/2)*Reeksen!AM233),0)</f>
        <v>0</v>
      </c>
      <c r="AM233" s="71">
        <f ca="1">-AL233*'Invoer gegevens'!$F$31</f>
        <v>0</v>
      </c>
      <c r="AN233" s="71">
        <f t="shared" ca="1" si="39"/>
        <v>0</v>
      </c>
      <c r="AO233" s="71"/>
      <c r="AP233" s="71"/>
      <c r="AQ233" s="71">
        <f ca="1">-IF(C233=1,('Invoer gegevens'!$C$10*'Invoer gegevens'!$I$33)*Reeksen!J233,0)*2</f>
        <v>0</v>
      </c>
      <c r="AR233" s="71">
        <f ca="1">-IF(C233=1,(G233*'Invoer gegevens'!$I$34)*Reeksen!J233,0)</f>
        <v>0</v>
      </c>
      <c r="AS233" s="71">
        <f ca="1">-IF(C233=1,'Invoer gegevens'!$C$10*'Invoer gegevens'!$I$35*Reeksen!L233,0)</f>
        <v>0</v>
      </c>
      <c r="AT233" s="71">
        <f ca="1">-IF(C233=1,IF(E233='Invoer gegevens'!$C$17,'Invoer gegevens'!$C$11,Q233)*Reeksen!S233*'Invoer gegevens'!$C$18*Reeksen!P233,0)</f>
        <v>0</v>
      </c>
      <c r="AU233" s="71">
        <f ca="1">-IF(C233=1,'Invoer gegevens'!$C$10*'Invoer gegevens'!$I$36*Reeksen!H233,0)</f>
        <v>0</v>
      </c>
      <c r="AV233" s="71">
        <f t="shared" si="43"/>
        <v>0</v>
      </c>
      <c r="AW233" s="71">
        <f t="shared" ca="1" si="40"/>
        <v>0</v>
      </c>
      <c r="AX233" s="71">
        <f ca="1">IF(E233&lt;'Invoer gegevens'!$C$17+15,0,IF(E233&gt;'Invoer gegevens'!$C$17+215,0,AW233))</f>
        <v>0</v>
      </c>
      <c r="AY233" s="71">
        <f ca="1">AX233/(1+'Invoer gegevens'!$F$13)^($AZ233-('Invoer gegevens'!$C$17-'Invoer gegevens'!$C$16))/(1+'Invoer gegevens'!$C$39)^('Invoer gegevens'!$C$17-'Invoer gegevens'!$C$16)</f>
        <v>0</v>
      </c>
      <c r="AZ233" s="68">
        <f ca="1">IF(E233-'Invoer gegevens'!$C$17-14.5&lt;0,0,E233-'Invoer gegevens'!$C$17-14.5)</f>
        <v>213.5</v>
      </c>
    </row>
    <row r="234" spans="2:56" x14ac:dyDescent="0.25">
      <c r="B234" s="70">
        <f t="shared" si="41"/>
        <v>230</v>
      </c>
      <c r="C234" s="67">
        <f ca="1">IF(E234-'Invoer gegevens'!$C$17&lt;0,0,1)</f>
        <v>1</v>
      </c>
      <c r="D234" s="68">
        <f t="shared" si="42"/>
        <v>229.5</v>
      </c>
      <c r="E234" s="69">
        <f ca="1">IF('Invoer gegevens'!$C$16="","",E233+1)</f>
        <v>2248</v>
      </c>
      <c r="F234" s="82">
        <f ca="1">IF('Invoer gegevens'!$C$17=E234,'Invoer gegevens'!$C$10,IF(C234=1,H233,0))</f>
        <v>0</v>
      </c>
      <c r="G234" s="83">
        <f ca="1">IF(C234&gt;=1,F234*Reeksen!C234,0)</f>
        <v>0</v>
      </c>
      <c r="H234" s="84">
        <f t="shared" ca="1" si="36"/>
        <v>0</v>
      </c>
      <c r="I234" s="85">
        <f ca="1">IF('Invoer gegevens'!$C$17=E234,'Invoer gegevens'!$C$11,IF(C234=1,L233,0))</f>
        <v>0</v>
      </c>
      <c r="J234" s="86">
        <f ca="1">IF(C234&lt;1,0,IF(Reeksen!AK234&lt;=Reeksen!AE234,I234*Reeksen!C234,0))</f>
        <v>0</v>
      </c>
      <c r="K234" s="86">
        <f ca="1">IF(C234&lt;1,0,IF(Reeksen!AK234&gt;Reeksen!AE234,I234*Reeksen!C234,0))</f>
        <v>0</v>
      </c>
      <c r="L234" s="86">
        <f t="shared" ca="1" si="37"/>
        <v>0</v>
      </c>
      <c r="M234" s="85">
        <f ca="1">IF('Invoer gegevens'!$C$17=E234,'Invoer gegevens'!$C$10-'Invoer gegevens'!$C$11,IF(C234=1,P233,0))</f>
        <v>0</v>
      </c>
      <c r="N234" s="86">
        <f ca="1">IF(C234&lt;1,0,IF(Reeksen!AK234&lt;=Reeksen!AE234,M234*Reeksen!C234,0))</f>
        <v>0</v>
      </c>
      <c r="O234" s="86">
        <f ca="1">IF(C234&lt;1,0,IF(Reeksen!AK234&gt;Reeksen!AE234,M234*Reeksen!C234,0))</f>
        <v>0</v>
      </c>
      <c r="P234" s="86">
        <f t="shared" ca="1" si="38"/>
        <v>0</v>
      </c>
      <c r="Q234" s="82">
        <f ca="1">IF('Invoer gegevens'!$C$17=E234,I234,IF(C234=0,0,R233))</f>
        <v>0</v>
      </c>
      <c r="R234" s="84">
        <f t="shared" ca="1" si="33"/>
        <v>0</v>
      </c>
      <c r="S234" s="84">
        <f ca="1">IF('Invoer gegevens'!$C$17=E234,M234,IF(C234=0,0,T233))</f>
        <v>0</v>
      </c>
      <c r="T234" s="84">
        <f t="shared" ca="1" si="34"/>
        <v>0</v>
      </c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8"/>
      <c r="AI234" s="71">
        <f ca="1">IF(C234=1,((F234+H234)/2*Reeksen!AJ234*12)+(('Invoer gegevens'!$C$10-(F234+H234)/2)*Reeksen!AK234*12),0)</f>
        <v>0</v>
      </c>
      <c r="AJ234" s="71">
        <f ca="1">-AI234*'Invoer gegevens'!$F$28</f>
        <v>0</v>
      </c>
      <c r="AK234" s="71">
        <f t="shared" ca="1" si="35"/>
        <v>0</v>
      </c>
      <c r="AL234" s="71">
        <f ca="1">IF(C234=1,(12*((F234+H234)/2)*Reeksen!AL234)+(12*('Invoer gegevens'!$C$10-(F234+H234)/2)*Reeksen!AM234),0)</f>
        <v>0</v>
      </c>
      <c r="AM234" s="71">
        <f ca="1">-AL234*'Invoer gegevens'!$F$31</f>
        <v>0</v>
      </c>
      <c r="AN234" s="71">
        <f t="shared" ca="1" si="39"/>
        <v>0</v>
      </c>
      <c r="AO234" s="71"/>
      <c r="AP234" s="71"/>
      <c r="AQ234" s="71">
        <f ca="1">-IF(C234=1,('Invoer gegevens'!$C$10*'Invoer gegevens'!$I$33)*Reeksen!J234,0)*2</f>
        <v>0</v>
      </c>
      <c r="AR234" s="71">
        <f ca="1">-IF(C234=1,(G234*'Invoer gegevens'!$I$34)*Reeksen!J234,0)</f>
        <v>0</v>
      </c>
      <c r="AS234" s="71">
        <f ca="1">-IF(C234=1,'Invoer gegevens'!$C$10*'Invoer gegevens'!$I$35*Reeksen!L234,0)</f>
        <v>0</v>
      </c>
      <c r="AT234" s="71">
        <f ca="1">-IF(C234=1,IF(E234='Invoer gegevens'!$C$17,'Invoer gegevens'!$C$11,Q234)*Reeksen!S234*'Invoer gegevens'!$C$18*Reeksen!P234,0)</f>
        <v>0</v>
      </c>
      <c r="AU234" s="71">
        <f ca="1">-IF(C234=1,'Invoer gegevens'!$C$10*'Invoer gegevens'!$I$36*Reeksen!H234,0)</f>
        <v>0</v>
      </c>
      <c r="AV234" s="71">
        <f t="shared" si="43"/>
        <v>0</v>
      </c>
      <c r="AW234" s="71">
        <f t="shared" ca="1" si="40"/>
        <v>0</v>
      </c>
      <c r="AX234" s="71">
        <f ca="1">IF(E234&lt;'Invoer gegevens'!$C$17+15,0,IF(E234&gt;'Invoer gegevens'!$C$17+215,0,AW234))</f>
        <v>0</v>
      </c>
      <c r="AY234" s="71">
        <f ca="1">AX234/(1+'Invoer gegevens'!$F$13)^($AZ234-('Invoer gegevens'!$C$17-'Invoer gegevens'!$C$16))/(1+'Invoer gegevens'!$C$39)^('Invoer gegevens'!$C$17-'Invoer gegevens'!$C$16)</f>
        <v>0</v>
      </c>
      <c r="AZ234" s="68">
        <f ca="1">IF(E234-'Invoer gegevens'!$C$17-14.5&lt;0,0,E234-'Invoer gegevens'!$C$17-14.5)</f>
        <v>214.5</v>
      </c>
    </row>
    <row r="235" spans="2:56" x14ac:dyDescent="0.25">
      <c r="B235" s="70"/>
      <c r="C235" s="67"/>
      <c r="D235" s="68"/>
      <c r="E235" s="69"/>
      <c r="F235" s="84"/>
      <c r="G235" s="83"/>
      <c r="H235" s="84"/>
      <c r="I235" s="86"/>
      <c r="J235" s="86"/>
      <c r="K235" s="86"/>
      <c r="L235" s="86"/>
      <c r="M235" s="86"/>
      <c r="N235" s="86"/>
      <c r="O235" s="86"/>
      <c r="P235" s="86"/>
      <c r="Q235" s="84"/>
      <c r="R235" s="84"/>
      <c r="S235" s="84"/>
      <c r="T235" s="84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8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  <c r="BA235" s="102"/>
      <c r="BB235" s="102"/>
      <c r="BC235" s="102"/>
      <c r="BD235" s="102"/>
    </row>
    <row r="236" spans="2:56" x14ac:dyDescent="0.25">
      <c r="B236" s="70"/>
      <c r="C236" s="67"/>
      <c r="D236" s="68"/>
      <c r="E236" s="69"/>
      <c r="F236" s="84"/>
      <c r="G236" s="83"/>
      <c r="H236" s="84"/>
      <c r="I236" s="86"/>
      <c r="J236" s="86"/>
      <c r="K236" s="86"/>
      <c r="L236" s="86"/>
      <c r="M236" s="86"/>
      <c r="N236" s="86"/>
      <c r="O236" s="86"/>
      <c r="P236" s="86"/>
      <c r="Q236" s="84"/>
      <c r="R236" s="84"/>
      <c r="S236" s="84"/>
      <c r="T236" s="84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8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  <c r="BA236" s="102"/>
      <c r="BB236" s="102"/>
      <c r="BC236" s="102"/>
      <c r="BD236" s="102"/>
    </row>
    <row r="237" spans="2:56" x14ac:dyDescent="0.25">
      <c r="B237" s="70"/>
      <c r="C237" s="67"/>
      <c r="D237" s="68"/>
      <c r="E237" s="69"/>
      <c r="F237" s="84"/>
      <c r="G237" s="83"/>
      <c r="H237" s="84"/>
      <c r="I237" s="86"/>
      <c r="J237" s="86"/>
      <c r="K237" s="86"/>
      <c r="L237" s="86"/>
      <c r="M237" s="86"/>
      <c r="N237" s="86"/>
      <c r="O237" s="86"/>
      <c r="P237" s="86"/>
      <c r="Q237" s="84"/>
      <c r="R237" s="84"/>
      <c r="S237" s="84"/>
      <c r="T237" s="84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8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  <c r="BA237" s="102"/>
      <c r="BB237" s="102"/>
      <c r="BC237" s="102"/>
      <c r="BD237" s="102"/>
    </row>
    <row r="238" spans="2:56" x14ac:dyDescent="0.25">
      <c r="B238" s="70"/>
      <c r="C238" s="67"/>
      <c r="D238" s="68"/>
      <c r="E238" s="69"/>
      <c r="F238" s="84"/>
      <c r="G238" s="83"/>
      <c r="H238" s="84"/>
      <c r="I238" s="86"/>
      <c r="J238" s="86"/>
      <c r="K238" s="86"/>
      <c r="L238" s="86"/>
      <c r="M238" s="86"/>
      <c r="N238" s="86"/>
      <c r="O238" s="86"/>
      <c r="P238" s="86"/>
      <c r="Q238" s="84"/>
      <c r="R238" s="84"/>
      <c r="S238" s="84"/>
      <c r="T238" s="84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8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68"/>
      <c r="BA238" s="102"/>
      <c r="BB238" s="102"/>
      <c r="BC238" s="102"/>
      <c r="BD238" s="102"/>
    </row>
    <row r="239" spans="2:56" x14ac:dyDescent="0.25">
      <c r="B239" s="70"/>
      <c r="C239" s="67"/>
      <c r="D239" s="68"/>
      <c r="E239" s="69"/>
      <c r="F239" s="84"/>
      <c r="G239" s="83"/>
      <c r="H239" s="84"/>
      <c r="I239" s="86"/>
      <c r="J239" s="86"/>
      <c r="K239" s="86"/>
      <c r="L239" s="86"/>
      <c r="M239" s="86"/>
      <c r="N239" s="86"/>
      <c r="O239" s="86"/>
      <c r="P239" s="86"/>
      <c r="Q239" s="84"/>
      <c r="R239" s="84"/>
      <c r="S239" s="84"/>
      <c r="T239" s="84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8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68"/>
      <c r="BA239" s="102"/>
      <c r="BB239" s="102"/>
      <c r="BC239" s="102"/>
      <c r="BD239" s="102"/>
    </row>
    <row r="240" spans="2:56" x14ac:dyDescent="0.25">
      <c r="B240" s="70"/>
      <c r="C240" s="67"/>
      <c r="D240" s="68"/>
      <c r="E240" s="69"/>
      <c r="F240" s="84"/>
      <c r="G240" s="83"/>
      <c r="H240" s="84"/>
      <c r="I240" s="86"/>
      <c r="J240" s="86"/>
      <c r="K240" s="86"/>
      <c r="L240" s="86"/>
      <c r="M240" s="86"/>
      <c r="N240" s="86"/>
      <c r="O240" s="86"/>
      <c r="P240" s="86"/>
      <c r="Q240" s="84"/>
      <c r="R240" s="84"/>
      <c r="S240" s="84"/>
      <c r="T240" s="84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8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68"/>
      <c r="BA240" s="102"/>
      <c r="BB240" s="102"/>
      <c r="BC240" s="102"/>
      <c r="BD240" s="102"/>
    </row>
    <row r="241" spans="2:56" x14ac:dyDescent="0.25">
      <c r="B241" s="70"/>
      <c r="C241" s="67"/>
      <c r="D241" s="68"/>
      <c r="E241" s="69"/>
      <c r="F241" s="84"/>
      <c r="G241" s="83"/>
      <c r="H241" s="84"/>
      <c r="I241" s="86"/>
      <c r="J241" s="86"/>
      <c r="K241" s="86"/>
      <c r="L241" s="86"/>
      <c r="M241" s="86"/>
      <c r="N241" s="86"/>
      <c r="O241" s="86"/>
      <c r="P241" s="86"/>
      <c r="Q241" s="84"/>
      <c r="R241" s="84"/>
      <c r="S241" s="84"/>
      <c r="T241" s="84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8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68"/>
      <c r="BA241" s="102"/>
      <c r="BB241" s="102"/>
      <c r="BC241" s="102"/>
      <c r="BD241" s="102"/>
    </row>
    <row r="242" spans="2:56" x14ac:dyDescent="0.25">
      <c r="B242" s="70"/>
      <c r="C242" s="67"/>
      <c r="D242" s="68"/>
      <c r="E242" s="69"/>
      <c r="F242" s="84"/>
      <c r="G242" s="83"/>
      <c r="H242" s="84"/>
      <c r="I242" s="86"/>
      <c r="J242" s="86"/>
      <c r="K242" s="86"/>
      <c r="L242" s="86"/>
      <c r="M242" s="86"/>
      <c r="N242" s="86"/>
      <c r="O242" s="86"/>
      <c r="P242" s="86"/>
      <c r="Q242" s="84"/>
      <c r="R242" s="84"/>
      <c r="S242" s="84"/>
      <c r="T242" s="84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8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68"/>
      <c r="BA242" s="102"/>
      <c r="BB242" s="102"/>
      <c r="BC242" s="102"/>
      <c r="BD242" s="102"/>
    </row>
    <row r="243" spans="2:56" x14ac:dyDescent="0.25">
      <c r="B243" s="70"/>
      <c r="C243" s="67"/>
      <c r="D243" s="68"/>
      <c r="E243" s="69"/>
      <c r="F243" s="84"/>
      <c r="G243" s="83"/>
      <c r="H243" s="84"/>
      <c r="I243" s="86"/>
      <c r="J243" s="86"/>
      <c r="K243" s="86"/>
      <c r="L243" s="86"/>
      <c r="M243" s="86"/>
      <c r="N243" s="86"/>
      <c r="O243" s="86"/>
      <c r="P243" s="86"/>
      <c r="Q243" s="84"/>
      <c r="R243" s="84"/>
      <c r="S243" s="84"/>
      <c r="T243" s="84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8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68"/>
      <c r="BA243" s="102"/>
      <c r="BB243" s="102"/>
      <c r="BC243" s="102"/>
      <c r="BD243" s="102"/>
    </row>
    <row r="244" spans="2:56" x14ac:dyDescent="0.25">
      <c r="B244" s="70"/>
      <c r="C244" s="67"/>
      <c r="D244" s="68"/>
      <c r="E244" s="69"/>
      <c r="F244" s="84"/>
      <c r="G244" s="83"/>
      <c r="H244" s="84"/>
      <c r="I244" s="86"/>
      <c r="J244" s="86"/>
      <c r="K244" s="86"/>
      <c r="L244" s="86"/>
      <c r="M244" s="86"/>
      <c r="N244" s="86"/>
      <c r="O244" s="86"/>
      <c r="P244" s="86"/>
      <c r="Q244" s="84"/>
      <c r="R244" s="84"/>
      <c r="S244" s="84"/>
      <c r="T244" s="84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8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68"/>
      <c r="BA244" s="102"/>
      <c r="BB244" s="102"/>
      <c r="BC244" s="102"/>
      <c r="BD244" s="102"/>
    </row>
    <row r="245" spans="2:56" x14ac:dyDescent="0.25">
      <c r="B245" s="70"/>
      <c r="C245" s="67"/>
      <c r="D245" s="68"/>
      <c r="E245" s="69"/>
      <c r="F245" s="84"/>
      <c r="G245" s="83"/>
      <c r="H245" s="84"/>
      <c r="I245" s="86"/>
      <c r="J245" s="86"/>
      <c r="K245" s="86"/>
      <c r="L245" s="86"/>
      <c r="M245" s="86"/>
      <c r="N245" s="86"/>
      <c r="O245" s="86"/>
      <c r="P245" s="86"/>
      <c r="Q245" s="84"/>
      <c r="R245" s="84"/>
      <c r="S245" s="84"/>
      <c r="T245" s="84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8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68"/>
      <c r="BA245" s="102"/>
      <c r="BB245" s="102"/>
      <c r="BC245" s="102"/>
      <c r="BD245" s="102"/>
    </row>
    <row r="246" spans="2:56" x14ac:dyDescent="0.25">
      <c r="B246" s="70"/>
      <c r="C246" s="67"/>
      <c r="D246" s="68"/>
      <c r="E246" s="69"/>
      <c r="F246" s="84"/>
      <c r="G246" s="83"/>
      <c r="H246" s="84"/>
      <c r="I246" s="86"/>
      <c r="J246" s="86"/>
      <c r="K246" s="86"/>
      <c r="L246" s="86"/>
      <c r="M246" s="86"/>
      <c r="N246" s="86"/>
      <c r="O246" s="86"/>
      <c r="P246" s="86"/>
      <c r="Q246" s="84"/>
      <c r="R246" s="84"/>
      <c r="S246" s="84"/>
      <c r="T246" s="84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8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68"/>
      <c r="BA246" s="102"/>
      <c r="BB246" s="102"/>
      <c r="BC246" s="102"/>
      <c r="BD246" s="102"/>
    </row>
    <row r="247" spans="2:56" x14ac:dyDescent="0.25">
      <c r="B247" s="70"/>
      <c r="C247" s="67"/>
      <c r="D247" s="68"/>
      <c r="E247" s="69"/>
      <c r="F247" s="84"/>
      <c r="G247" s="83"/>
      <c r="H247" s="84"/>
      <c r="I247" s="86"/>
      <c r="J247" s="86"/>
      <c r="K247" s="86"/>
      <c r="L247" s="86"/>
      <c r="M247" s="86"/>
      <c r="N247" s="86"/>
      <c r="O247" s="86"/>
      <c r="P247" s="86"/>
      <c r="Q247" s="84"/>
      <c r="R247" s="84"/>
      <c r="S247" s="84"/>
      <c r="T247" s="84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8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68"/>
      <c r="BA247" s="102"/>
      <c r="BB247" s="102"/>
      <c r="BC247" s="102"/>
      <c r="BD247" s="102"/>
    </row>
    <row r="248" spans="2:56" x14ac:dyDescent="0.25"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</row>
    <row r="249" spans="2:56" x14ac:dyDescent="0.25"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</row>
  </sheetData>
  <mergeCells count="4">
    <mergeCell ref="F2:H2"/>
    <mergeCell ref="I2:L2"/>
    <mergeCell ref="M2:P2"/>
    <mergeCell ref="Q2:T2"/>
  </mergeCells>
  <pageMargins left="0.7" right="0.7" top="0.75" bottom="0.75" header="0.3" footer="0.3"/>
  <pageSetup paperSize="0" orientation="portrait" horizontalDpi="0" verticalDpi="0" copies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BD249"/>
  <sheetViews>
    <sheetView showGridLines="0" topLeftCell="AG1" workbookViewId="0">
      <selection activeCell="AJ7" sqref="AJ7"/>
    </sheetView>
  </sheetViews>
  <sheetFormatPr defaultRowHeight="15" x14ac:dyDescent="0.25"/>
  <cols>
    <col min="1" max="1" width="1.5703125" style="230" customWidth="1"/>
    <col min="2" max="2" width="4.85546875" style="230" customWidth="1"/>
    <col min="3" max="4" width="6" style="230" customWidth="1"/>
    <col min="5" max="6" width="6.5703125" style="230" customWidth="1"/>
    <col min="7" max="7" width="8.7109375" style="230" customWidth="1"/>
    <col min="8" max="8" width="11.5703125" style="230" customWidth="1"/>
    <col min="9" max="9" width="9.28515625" style="230" customWidth="1"/>
    <col min="10" max="10" width="9.7109375" style="230" customWidth="1"/>
    <col min="11" max="11" width="10.42578125" style="230" customWidth="1"/>
    <col min="12" max="12" width="8.7109375" style="230" customWidth="1"/>
    <col min="13" max="13" width="9.42578125" style="230" customWidth="1"/>
    <col min="14" max="14" width="8.7109375" style="230" customWidth="1"/>
    <col min="15" max="15" width="10.5703125" style="230" customWidth="1"/>
    <col min="16" max="16" width="9.85546875" style="230" customWidth="1"/>
    <col min="17" max="17" width="8.7109375" style="230" customWidth="1"/>
    <col min="18" max="18" width="10.28515625" style="230" customWidth="1"/>
    <col min="19" max="19" width="9.140625" style="230" customWidth="1"/>
    <col min="20" max="21" width="10.42578125" style="230" customWidth="1"/>
    <col min="22" max="22" width="14.140625" style="230" customWidth="1"/>
    <col min="23" max="28" width="8.85546875" style="230" customWidth="1"/>
    <col min="29" max="29" width="9.7109375" style="230" customWidth="1"/>
    <col min="30" max="31" width="9.5703125" style="230" customWidth="1"/>
    <col min="32" max="32" width="10.7109375" style="230" customWidth="1"/>
    <col min="33" max="33" width="9.5703125" style="230" customWidth="1"/>
    <col min="34" max="34" width="2.85546875" style="230" customWidth="1"/>
    <col min="35" max="35" width="13.42578125" style="230" bestFit="1" customWidth="1"/>
    <col min="36" max="36" width="11.42578125" style="230" bestFit="1" customWidth="1"/>
    <col min="37" max="37" width="13.42578125" style="230" bestFit="1" customWidth="1"/>
    <col min="38" max="40" width="12" style="230" customWidth="1"/>
    <col min="41" max="41" width="11.85546875" style="230" bestFit="1" customWidth="1"/>
    <col min="42" max="42" width="9.85546875" style="230" bestFit="1" customWidth="1"/>
    <col min="43" max="43" width="16" style="230" bestFit="1" customWidth="1"/>
    <col min="44" max="44" width="10.140625" style="230" bestFit="1" customWidth="1"/>
    <col min="45" max="45" width="14" style="230" bestFit="1" customWidth="1"/>
    <col min="46" max="46" width="16.7109375" style="230" bestFit="1" customWidth="1"/>
    <col min="47" max="47" width="16.42578125" style="230" bestFit="1" customWidth="1"/>
    <col min="48" max="48" width="16.42578125" style="230" customWidth="1"/>
    <col min="49" max="49" width="14" style="230" bestFit="1" customWidth="1"/>
    <col min="50" max="51" width="14.42578125" style="230" bestFit="1" customWidth="1"/>
    <col min="52" max="16384" width="9.140625" style="230"/>
  </cols>
  <sheetData>
    <row r="1" spans="1:52" ht="15.75" x14ac:dyDescent="0.25">
      <c r="A1" s="58" t="s">
        <v>665</v>
      </c>
      <c r="B1" s="58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</row>
    <row r="2" spans="1:52" x14ac:dyDescent="0.25">
      <c r="A2" s="61"/>
      <c r="B2" s="60"/>
      <c r="C2" s="60"/>
      <c r="D2" s="60"/>
      <c r="E2" s="233"/>
      <c r="F2" s="397" t="s">
        <v>699</v>
      </c>
      <c r="G2" s="398"/>
      <c r="H2" s="399"/>
      <c r="I2" s="397" t="s">
        <v>666</v>
      </c>
      <c r="J2" s="398"/>
      <c r="K2" s="398"/>
      <c r="L2" s="399"/>
      <c r="M2" s="397" t="s">
        <v>667</v>
      </c>
      <c r="N2" s="398"/>
      <c r="O2" s="398"/>
      <c r="P2" s="399"/>
      <c r="Q2" s="397" t="s">
        <v>700</v>
      </c>
      <c r="R2" s="398"/>
      <c r="S2" s="398"/>
      <c r="T2" s="398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2" ht="30" x14ac:dyDescent="0.25">
      <c r="A3" s="59"/>
      <c r="B3" s="62" t="s">
        <v>668</v>
      </c>
      <c r="C3" s="62" t="s">
        <v>669</v>
      </c>
      <c r="D3" s="62" t="s">
        <v>669</v>
      </c>
      <c r="E3" s="62" t="s">
        <v>670</v>
      </c>
      <c r="F3" s="63" t="s">
        <v>671</v>
      </c>
      <c r="G3" s="81" t="s">
        <v>701</v>
      </c>
      <c r="H3" s="81" t="s">
        <v>671</v>
      </c>
      <c r="I3" s="63" t="s">
        <v>671</v>
      </c>
      <c r="J3" s="81" t="s">
        <v>701</v>
      </c>
      <c r="K3" s="81" t="s">
        <v>702</v>
      </c>
      <c r="L3" s="81" t="s">
        <v>671</v>
      </c>
      <c r="M3" s="63" t="s">
        <v>671</v>
      </c>
      <c r="N3" s="81" t="s">
        <v>701</v>
      </c>
      <c r="O3" s="81" t="s">
        <v>702</v>
      </c>
      <c r="P3" s="81" t="s">
        <v>671</v>
      </c>
      <c r="Q3" s="231" t="s">
        <v>666</v>
      </c>
      <c r="R3" s="81" t="s">
        <v>666</v>
      </c>
      <c r="S3" s="232" t="s">
        <v>667</v>
      </c>
      <c r="T3" s="81" t="s">
        <v>667</v>
      </c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91" t="s">
        <v>677</v>
      </c>
      <c r="AX3" s="62" t="s">
        <v>677</v>
      </c>
      <c r="AY3" s="62" t="s">
        <v>679</v>
      </c>
      <c r="AZ3" s="62" t="s">
        <v>738</v>
      </c>
    </row>
    <row r="4" spans="1:52" x14ac:dyDescent="0.25">
      <c r="A4" s="59"/>
      <c r="B4" s="62"/>
      <c r="C4" s="62" t="s">
        <v>682</v>
      </c>
      <c r="D4" s="62" t="s">
        <v>682</v>
      </c>
      <c r="E4" s="62"/>
      <c r="F4" s="63"/>
      <c r="G4" s="81"/>
      <c r="H4" s="81" t="s">
        <v>709</v>
      </c>
      <c r="I4" s="63" t="s">
        <v>666</v>
      </c>
      <c r="J4" s="81" t="s">
        <v>666</v>
      </c>
      <c r="K4" s="81" t="s">
        <v>667</v>
      </c>
      <c r="L4" s="81" t="s">
        <v>666</v>
      </c>
      <c r="M4" s="63" t="s">
        <v>667</v>
      </c>
      <c r="N4" s="81" t="s">
        <v>666</v>
      </c>
      <c r="O4" s="81" t="s">
        <v>667</v>
      </c>
      <c r="P4" s="81" t="s">
        <v>667</v>
      </c>
      <c r="Q4" s="231" t="s">
        <v>710</v>
      </c>
      <c r="R4" s="81" t="s">
        <v>711</v>
      </c>
      <c r="S4" s="232" t="s">
        <v>710</v>
      </c>
      <c r="T4" s="81" t="s">
        <v>711</v>
      </c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91" t="s">
        <v>688</v>
      </c>
      <c r="AX4" s="62" t="s">
        <v>689</v>
      </c>
      <c r="AY4" s="62" t="s">
        <v>689</v>
      </c>
      <c r="AZ4" s="62" t="s">
        <v>689</v>
      </c>
    </row>
    <row r="5" spans="1:52" x14ac:dyDescent="0.25">
      <c r="A5" s="59"/>
      <c r="B5" s="66">
        <v>1</v>
      </c>
      <c r="C5" s="67">
        <f ca="1">IF(E5-'Invoer gegevens (N)'!$C$17&lt;0,0,1)</f>
        <v>1</v>
      </c>
      <c r="D5" s="68">
        <v>0.5</v>
      </c>
      <c r="E5" s="69">
        <f ca="1">IF('Invoer gegevens (N)'!$C$16="","",'Invoer gegevens (N)'!$C$16)</f>
        <v>2019</v>
      </c>
      <c r="F5" s="82">
        <f ca="1">IF('Invoer gegevens (N)'!$C$17=E5,'Invoer gegevens (N)'!$C$10,IF(C5=1,H4,0))</f>
        <v>0</v>
      </c>
      <c r="G5" s="83">
        <f ca="1">IF(C5&gt;=1,F5*'Reeksen (N)'!C5,0)</f>
        <v>0</v>
      </c>
      <c r="H5" s="84">
        <f ca="1">F5-G5</f>
        <v>0</v>
      </c>
      <c r="I5" s="85">
        <f ca="1">IF('Invoer gegevens (N)'!$C$17=E5,'Invoer gegevens (N)'!$C$11,IF(C5=1,L4,0))</f>
        <v>0</v>
      </c>
      <c r="J5" s="86">
        <f ca="1">IF(C5&lt;1,0,IF('Reeksen (N)'!AK5&lt;='Reeksen (N)'!AE5,I5*'Reeksen (N)'!C5,0))</f>
        <v>0</v>
      </c>
      <c r="K5" s="86">
        <f ca="1">IF(C5&lt;1,0,IF('Reeksen (N)'!AK5&gt;'Reeksen (N)'!AE5,I5*'Reeksen (N)'!C5,0))</f>
        <v>0</v>
      </c>
      <c r="L5" s="86">
        <f ca="1">I5-J5-K5</f>
        <v>0</v>
      </c>
      <c r="M5" s="85">
        <f ca="1">IF('Invoer gegevens (N)'!$C$17=E5,'Invoer gegevens (N)'!$C$10-'Invoer gegevens (N)'!$C$11,IF(C5=1,P4,0))</f>
        <v>0</v>
      </c>
      <c r="N5" s="86">
        <f ca="1">IF(C5&lt;1,0,IF('Reeksen (N)'!AK5&lt;='Reeksen (N)'!AE5,M5*'Reeksen (N)'!C5,0))</f>
        <v>0</v>
      </c>
      <c r="O5" s="86">
        <f ca="1">IF(C5&lt;1,0,IF('Reeksen (N)'!AK5&gt;'Reeksen (N)'!AE5,M5*'Reeksen (N)'!C5,0))</f>
        <v>0</v>
      </c>
      <c r="P5" s="86">
        <f ca="1">M5-N5-O5</f>
        <v>0</v>
      </c>
      <c r="Q5" s="82">
        <f ca="1">IF('Invoer gegevens (N)'!$C$17=E5,I5,IF(C5=0,0,R4))</f>
        <v>0</v>
      </c>
      <c r="R5" s="84">
        <f t="shared" ref="R5:R68" ca="1" si="0">IF(C5=0,0,Q5-K5+N5)</f>
        <v>0</v>
      </c>
      <c r="S5" s="84">
        <f ca="1">IF('Invoer gegevens (N)'!$C$17=E5,M5,IF(C5=0,0,T4))</f>
        <v>0</v>
      </c>
      <c r="T5" s="84">
        <f t="shared" ref="T5:T68" ca="1" si="1">IF(C5=0,0,S5-N5+K5)</f>
        <v>0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8"/>
      <c r="AI5" s="71">
        <f ca="1">IF(C5=1,((F5+H5)/2*'Reeksen (N)'!AJ5*12)+(('Invoer gegevens (N)'!$C$10-(F5+H5)/2)*'Reeksen (N)'!AK5*12),0)</f>
        <v>0</v>
      </c>
      <c r="AJ5" s="71">
        <f ca="1">-AI5*'Invoer gegevens (N)'!$F$26</f>
        <v>0</v>
      </c>
      <c r="AK5" s="71">
        <f t="shared" ref="AK5:AK68" ca="1" si="2">AI5+AJ5</f>
        <v>0</v>
      </c>
      <c r="AL5" s="71">
        <f ca="1">IF(C5=1,(12*((F5+H5)/2)*'Reeksen (N)'!AL5)+(12*('Invoer gegevens (N)'!$C$10-(F5+H5)/2)*'Reeksen (N)'!AM5),0)</f>
        <v>0</v>
      </c>
      <c r="AM5" s="71">
        <f ca="1">-AL5*'Invoer gegevens (N)'!$F$31</f>
        <v>0</v>
      </c>
      <c r="AN5" s="71">
        <f ca="1">AL5+AM5</f>
        <v>0</v>
      </c>
      <c r="AO5" s="71"/>
      <c r="AP5" s="71"/>
      <c r="AQ5" s="71">
        <f ca="1">-IF(C5=1,('Invoer gegevens (N)'!$C$10*'Invoer gegevens (N)'!$I$33)*'Reeksen (N)'!J5,0)*2</f>
        <v>0</v>
      </c>
      <c r="AR5" s="71">
        <f ca="1">-IF(C5=1,(G5*'Invoer gegevens (N)'!$I$34)*'Reeksen (N)'!J5,0)</f>
        <v>0</v>
      </c>
      <c r="AS5" s="71">
        <f ca="1">-IF(C5=1,'Invoer gegevens (N)'!$C$10*'Invoer gegevens (N)'!$I$35*'Reeksen (N)'!L5,0)</f>
        <v>0</v>
      </c>
      <c r="AT5" s="71">
        <f ca="1">-IF(C5=1,IF(E5='Invoer gegevens (N)'!$C$17,'Invoer gegevens (N)'!$C$11,Q5)*'Reeksen (N)'!S5*'Invoer gegevens (N)'!$C$18*'Reeksen (N)'!P5,0)</f>
        <v>0</v>
      </c>
      <c r="AU5" s="71">
        <f ca="1">-IF(C5=1,'Invoer gegevens (N)'!$C$10*'Invoer gegevens (N)'!$I$36*'Reeksen (N)'!H5,0)</f>
        <v>0</v>
      </c>
      <c r="AV5" s="71">
        <v>0</v>
      </c>
      <c r="AW5" s="71">
        <f ca="1">SUM(AK5,AN5:AV5)</f>
        <v>0</v>
      </c>
      <c r="AX5" s="71">
        <f ca="1">IF(E5&lt;'Invoer gegevens (N)'!$C$17+15,0,IF(E5&gt;'Invoer gegevens (N)'!$C$17+215,0,AW5))</f>
        <v>0</v>
      </c>
      <c r="AY5" s="71">
        <f ca="1">AX5/(1+'Invoer gegevens (N)'!$F$13)^($AZ5-('Invoer gegevens (N)'!$C$17-'Invoer gegevens (N)'!$C$16))/(1+'Invoer gegevens (N)'!$C$39)^('Invoer gegevens (N)'!$C$17-'Invoer gegevens (N)'!$C$16)</f>
        <v>0</v>
      </c>
      <c r="AZ5" s="68">
        <f ca="1">IF(E5-'Invoer gegevens (N)'!$C$17-14.5&lt;0,0,E5-'Invoer gegevens (N)'!$C$17-14.5)</f>
        <v>0</v>
      </c>
    </row>
    <row r="6" spans="1:52" x14ac:dyDescent="0.25">
      <c r="A6" s="59"/>
      <c r="B6" s="70">
        <f>B5+1</f>
        <v>2</v>
      </c>
      <c r="C6" s="67">
        <f ca="1">IF(E6-'Invoer gegevens (N)'!$C$17&lt;0,0,1)</f>
        <v>1</v>
      </c>
      <c r="D6" s="68">
        <f>D5+1</f>
        <v>1.5</v>
      </c>
      <c r="E6" s="69">
        <f ca="1">IF('Invoer gegevens (N)'!$C$16="","",E5+1)</f>
        <v>2020</v>
      </c>
      <c r="F6" s="82">
        <f ca="1">IF('Invoer gegevens (N)'!$C$17=E6,'Invoer gegevens (N)'!$C$10,IF(C6=1,H5,0))</f>
        <v>0</v>
      </c>
      <c r="G6" s="83">
        <f ca="1">IF(C6&gt;=1,F6*'Reeksen (N)'!C6,0)</f>
        <v>0</v>
      </c>
      <c r="H6" s="84">
        <f t="shared" ref="H6:H69" ca="1" si="3">F6-G6</f>
        <v>0</v>
      </c>
      <c r="I6" s="85">
        <f ca="1">IF('Invoer gegevens (N)'!$C$17=E6,'Invoer gegevens (N)'!$C$11,IF(C6=1,L5,0))</f>
        <v>0</v>
      </c>
      <c r="J6" s="86">
        <f ca="1">IF(C6&lt;1,0,IF('Reeksen (N)'!AK6&lt;='Reeksen (N)'!AE6,I6*'Reeksen (N)'!C6,0))</f>
        <v>0</v>
      </c>
      <c r="K6" s="86">
        <f ca="1">IF(C6&lt;1,0,IF('Reeksen (N)'!AK6&gt;'Reeksen (N)'!AE6,I6*'Reeksen (N)'!C6,0))</f>
        <v>0</v>
      </c>
      <c r="L6" s="86">
        <f t="shared" ref="L6:L69" ca="1" si="4">I6-J6-K6</f>
        <v>0</v>
      </c>
      <c r="M6" s="85">
        <f ca="1">IF('Invoer gegevens (N)'!$C$17=E6,'Invoer gegevens (N)'!$C$10-'Invoer gegevens (N)'!$C$11,IF(C6=1,P5,0))</f>
        <v>0</v>
      </c>
      <c r="N6" s="86">
        <f ca="1">IF(C6&lt;1,0,IF('Reeksen (N)'!AK6&lt;='Reeksen (N)'!AE6,M6*'Reeksen (N)'!C6,0))</f>
        <v>0</v>
      </c>
      <c r="O6" s="86">
        <f ca="1">IF(C6&lt;1,0,IF('Reeksen (N)'!AK6&gt;'Reeksen (N)'!AE6,M6*'Reeksen (N)'!C6,0))</f>
        <v>0</v>
      </c>
      <c r="P6" s="86">
        <f t="shared" ref="P6:P69" ca="1" si="5">M6-N6-O6</f>
        <v>0</v>
      </c>
      <c r="Q6" s="82">
        <f ca="1">IF('Invoer gegevens (N)'!$C$17=E6,I6,IF(C6=0,0,R5))</f>
        <v>0</v>
      </c>
      <c r="R6" s="84">
        <f t="shared" ca="1" si="0"/>
        <v>0</v>
      </c>
      <c r="S6" s="84">
        <f ca="1">IF('Invoer gegevens (N)'!$C$17=E6,M6,IF(C6=0,0,T5))</f>
        <v>0</v>
      </c>
      <c r="T6" s="84">
        <f t="shared" ca="1" si="1"/>
        <v>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8"/>
      <c r="AI6" s="71">
        <f ca="1">IF(C6=1,((F6+H6)/2*'Reeksen (N)'!AJ6*12)+(('Invoer gegevens (N)'!$C$10-(F6+H6)/2)*'Reeksen (N)'!AK6*12),0)</f>
        <v>0</v>
      </c>
      <c r="AJ6" s="71">
        <f ca="1">-AI6*'Invoer gegevens (N)'!$F$27</f>
        <v>0</v>
      </c>
      <c r="AK6" s="71">
        <f t="shared" ca="1" si="2"/>
        <v>0</v>
      </c>
      <c r="AL6" s="71">
        <f ca="1">IF(C6=1,(12*((F6+H6)/2)*'Reeksen (N)'!AL6)+(12*('Invoer gegevens (N)'!$C$10-(F6+H6)/2)*'Reeksen (N)'!AM6),0)</f>
        <v>0</v>
      </c>
      <c r="AM6" s="71">
        <f ca="1">-AL6*'Invoer gegevens (N)'!$F$31</f>
        <v>0</v>
      </c>
      <c r="AN6" s="71">
        <f t="shared" ref="AN6:AN69" ca="1" si="6">AL6+AM6</f>
        <v>0</v>
      </c>
      <c r="AO6" s="71"/>
      <c r="AP6" s="71"/>
      <c r="AQ6" s="71">
        <f ca="1">-IF(C6=1,('Invoer gegevens (N)'!$C$10*'Invoer gegevens (N)'!$I$33)*'Reeksen (N)'!J6,0)*2</f>
        <v>0</v>
      </c>
      <c r="AR6" s="71">
        <f ca="1">-IF(C6=1,(G6*'Invoer gegevens (N)'!$I$34)*'Reeksen (N)'!J6,0)</f>
        <v>0</v>
      </c>
      <c r="AS6" s="71">
        <f ca="1">-IF(C6=1,'Invoer gegevens (N)'!$C$10*'Invoer gegevens (N)'!$I$35*'Reeksen (N)'!L6,0)</f>
        <v>0</v>
      </c>
      <c r="AT6" s="71">
        <f ca="1">-IF(C6=1,IF(E6='Invoer gegevens (N)'!$C$17,'Invoer gegevens (N)'!$C$11,Q6)*'Reeksen (N)'!S6*'Invoer gegevens (N)'!$C$18*'Reeksen (N)'!P6,0)</f>
        <v>0</v>
      </c>
      <c r="AU6" s="71">
        <f ca="1">-IF(C6=1,'Invoer gegevens (N)'!$C$10*'Invoer gegevens (N)'!$I$36*'Reeksen (N)'!H6,0)</f>
        <v>0</v>
      </c>
      <c r="AV6" s="71">
        <v>0</v>
      </c>
      <c r="AW6" s="71">
        <f t="shared" ref="AW6:AW69" ca="1" si="7">SUM(AK6,AN6:AV6)</f>
        <v>0</v>
      </c>
      <c r="AX6" s="71">
        <f ca="1">IF(E6&lt;'Invoer gegevens (N)'!$C$17+15,0,IF(E6&gt;'Invoer gegevens (N)'!$C$17+215,0,AW6))</f>
        <v>0</v>
      </c>
      <c r="AY6" s="71">
        <f ca="1">AX6/(1+'Invoer gegevens (N)'!$F$13)^($AZ6-('Invoer gegevens (N)'!$C$17-'Invoer gegevens (N)'!$C$16))/(1+'Invoer gegevens (N)'!$C$39)^('Invoer gegevens (N)'!$C$17-'Invoer gegevens (N)'!$C$16)</f>
        <v>0</v>
      </c>
      <c r="AZ6" s="68">
        <f ca="1">IF(E6-'Invoer gegevens (N)'!$C$17-14.5&lt;0,0,E6-'Invoer gegevens (N)'!$C$17-14.5)</f>
        <v>0</v>
      </c>
    </row>
    <row r="7" spans="1:52" x14ac:dyDescent="0.25">
      <c r="A7" s="59"/>
      <c r="B7" s="70">
        <f t="shared" ref="B7:B70" si="8">B6+1</f>
        <v>3</v>
      </c>
      <c r="C7" s="67">
        <f ca="1">IF(E7-'Invoer gegevens (N)'!$C$17&lt;0,0,1)</f>
        <v>1</v>
      </c>
      <c r="D7" s="68">
        <f t="shared" ref="D7:D70" si="9">D6+1</f>
        <v>2.5</v>
      </c>
      <c r="E7" s="69">
        <f ca="1">IF('Invoer gegevens (N)'!$C$16="","",E6+1)</f>
        <v>2021</v>
      </c>
      <c r="F7" s="82">
        <f ca="1">IF('Invoer gegevens (N)'!$C$17=E7,'Invoer gegevens (N)'!$C$10,IF(C7=1,H6,0))</f>
        <v>0</v>
      </c>
      <c r="G7" s="83">
        <f ca="1">IF(C7&gt;=1,F7*'Reeksen (N)'!C7,0)</f>
        <v>0</v>
      </c>
      <c r="H7" s="84">
        <f t="shared" ca="1" si="3"/>
        <v>0</v>
      </c>
      <c r="I7" s="85">
        <f ca="1">IF('Invoer gegevens (N)'!$C$17=E7,'Invoer gegevens (N)'!$C$11,IF(C7=1,L6,0))</f>
        <v>0</v>
      </c>
      <c r="J7" s="86">
        <f ca="1">IF(C7&lt;1,0,IF('Reeksen (N)'!AK7&lt;='Reeksen (N)'!AE7,I7*'Reeksen (N)'!C7,0))</f>
        <v>0</v>
      </c>
      <c r="K7" s="86">
        <f ca="1">IF(C7&lt;1,0,IF('Reeksen (N)'!AK7&gt;'Reeksen (N)'!AE7,I7*'Reeksen (N)'!C7,0))</f>
        <v>0</v>
      </c>
      <c r="L7" s="86">
        <f t="shared" ca="1" si="4"/>
        <v>0</v>
      </c>
      <c r="M7" s="85">
        <f ca="1">IF('Invoer gegevens (N)'!$C$17=E7,'Invoer gegevens (N)'!$C$10-'Invoer gegevens (N)'!$C$11,IF(C7=1,P6,0))</f>
        <v>0</v>
      </c>
      <c r="N7" s="86">
        <f ca="1">IF(C7&lt;1,0,IF('Reeksen (N)'!AK7&lt;='Reeksen (N)'!AE7,M7*'Reeksen (N)'!C7,0))</f>
        <v>0</v>
      </c>
      <c r="O7" s="86">
        <f ca="1">IF(C7&lt;1,0,IF('Reeksen (N)'!AK7&gt;'Reeksen (N)'!AE7,M7*'Reeksen (N)'!C7,0))</f>
        <v>0</v>
      </c>
      <c r="P7" s="86">
        <f t="shared" ca="1" si="5"/>
        <v>0</v>
      </c>
      <c r="Q7" s="82">
        <f ca="1">IF('Invoer gegevens (N)'!$C$17=E7,I7,IF(C7=0,0,R6))</f>
        <v>0</v>
      </c>
      <c r="R7" s="84">
        <f t="shared" ca="1" si="0"/>
        <v>0</v>
      </c>
      <c r="S7" s="84">
        <f ca="1">IF('Invoer gegevens (N)'!$C$17=E7,M7,IF(C7=0,0,T6))</f>
        <v>0</v>
      </c>
      <c r="T7" s="84">
        <f t="shared" ca="1" si="1"/>
        <v>0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8"/>
      <c r="AI7" s="71">
        <f ca="1">IF(C7=1,((F7+H7)/2*'Reeksen (N)'!AJ7*12)+(('Invoer gegevens (N)'!$C$10-(F7+H7)/2)*'Reeksen (N)'!AK7*12),0)</f>
        <v>0</v>
      </c>
      <c r="AJ7" s="71">
        <f ca="1">-AI7*'Invoer gegevens (N)'!$F$28</f>
        <v>0</v>
      </c>
      <c r="AK7" s="71">
        <f t="shared" ca="1" si="2"/>
        <v>0</v>
      </c>
      <c r="AL7" s="71">
        <f ca="1">IF(C7=1,(12*((F7+H7)/2)*'Reeksen (N)'!AL7)+(12*('Invoer gegevens (N)'!$C$10-(F7+H7)/2)*'Reeksen (N)'!AM7),0)</f>
        <v>0</v>
      </c>
      <c r="AM7" s="71">
        <f ca="1">-AL7*'Invoer gegevens (N)'!$F$31</f>
        <v>0</v>
      </c>
      <c r="AN7" s="71">
        <f t="shared" ca="1" si="6"/>
        <v>0</v>
      </c>
      <c r="AO7" s="71"/>
      <c r="AP7" s="71"/>
      <c r="AQ7" s="71">
        <f ca="1">-IF(C7=1,('Invoer gegevens (N)'!$C$10*'Invoer gegevens (N)'!$I$33)*'Reeksen (N)'!J7,0)*2</f>
        <v>0</v>
      </c>
      <c r="AR7" s="71">
        <f ca="1">-IF(C7=1,(G7*'Invoer gegevens (N)'!$I$34)*'Reeksen (N)'!J7,0)</f>
        <v>0</v>
      </c>
      <c r="AS7" s="71">
        <f ca="1">-IF(C7=1,'Invoer gegevens (N)'!$C$10*'Invoer gegevens (N)'!$I$35*'Reeksen (N)'!L7,0)</f>
        <v>0</v>
      </c>
      <c r="AT7" s="71">
        <f ca="1">-IF(C7=1,IF(E7='Invoer gegevens (N)'!$C$17,'Invoer gegevens (N)'!$C$11,Q7)*'Reeksen (N)'!S7*'Invoer gegevens (N)'!$C$18*'Reeksen (N)'!P7,0)</f>
        <v>0</v>
      </c>
      <c r="AU7" s="71">
        <f ca="1">-IF(C7=1,'Invoer gegevens (N)'!$C$10*'Invoer gegevens (N)'!$I$36*'Reeksen (N)'!H7,0)</f>
        <v>0</v>
      </c>
      <c r="AV7" s="71">
        <v>0</v>
      </c>
      <c r="AW7" s="71">
        <f t="shared" ca="1" si="7"/>
        <v>0</v>
      </c>
      <c r="AX7" s="71">
        <f ca="1">IF(E7&lt;'Invoer gegevens (N)'!$C$17+15,0,IF(E7&gt;'Invoer gegevens (N)'!$C$17+215,0,AW7))</f>
        <v>0</v>
      </c>
      <c r="AY7" s="71">
        <f ca="1">AX7/(1+'Invoer gegevens (N)'!$F$13)^($AZ7-('Invoer gegevens (N)'!$C$17-'Invoer gegevens (N)'!$C$16))/(1+'Invoer gegevens (N)'!$C$39)^('Invoer gegevens (N)'!$C$17-'Invoer gegevens (N)'!$C$16)</f>
        <v>0</v>
      </c>
      <c r="AZ7" s="68">
        <f ca="1">IF(E7-'Invoer gegevens (N)'!$C$17-14.5&lt;0,0,E7-'Invoer gegevens (N)'!$C$17-14.5)</f>
        <v>0</v>
      </c>
    </row>
    <row r="8" spans="1:52" x14ac:dyDescent="0.25">
      <c r="A8" s="59"/>
      <c r="B8" s="70">
        <f t="shared" si="8"/>
        <v>4</v>
      </c>
      <c r="C8" s="67">
        <f ca="1">IF(E8-'Invoer gegevens (N)'!$C$17&lt;0,0,1)</f>
        <v>1</v>
      </c>
      <c r="D8" s="68">
        <f t="shared" si="9"/>
        <v>3.5</v>
      </c>
      <c r="E8" s="69">
        <f ca="1">IF('Invoer gegevens (N)'!$C$16="","",E7+1)</f>
        <v>2022</v>
      </c>
      <c r="F8" s="82">
        <f ca="1">IF('Invoer gegevens (N)'!$C$17=E8,'Invoer gegevens (N)'!$C$10,IF(C8=1,H7,0))</f>
        <v>0</v>
      </c>
      <c r="G8" s="83">
        <f ca="1">IF(C8&gt;=1,F8*'Reeksen (N)'!C8,0)</f>
        <v>0</v>
      </c>
      <c r="H8" s="84">
        <f t="shared" ca="1" si="3"/>
        <v>0</v>
      </c>
      <c r="I8" s="85">
        <f ca="1">IF('Invoer gegevens (N)'!$C$17=E8,'Invoer gegevens (N)'!$C$11,IF(C8=1,L7,0))</f>
        <v>0</v>
      </c>
      <c r="J8" s="86">
        <f ca="1">IF(C8&lt;1,0,IF('Reeksen (N)'!AK8&lt;='Reeksen (N)'!AE8,I8*'Reeksen (N)'!C8,0))</f>
        <v>0</v>
      </c>
      <c r="K8" s="86">
        <f ca="1">IF(C8&lt;1,0,IF('Reeksen (N)'!AK8&gt;'Reeksen (N)'!AE8,I8*'Reeksen (N)'!C8,0))</f>
        <v>0</v>
      </c>
      <c r="L8" s="86">
        <f t="shared" ca="1" si="4"/>
        <v>0</v>
      </c>
      <c r="M8" s="85">
        <f ca="1">IF('Invoer gegevens (N)'!$C$17=E8,'Invoer gegevens (N)'!$C$10-'Invoer gegevens (N)'!$C$11,IF(C8=1,P7,0))</f>
        <v>0</v>
      </c>
      <c r="N8" s="86">
        <f ca="1">IF(C8&lt;1,0,IF('Reeksen (N)'!AK8&lt;='Reeksen (N)'!AE8,M8*'Reeksen (N)'!C8,0))</f>
        <v>0</v>
      </c>
      <c r="O8" s="86">
        <f ca="1">IF(C8&lt;1,0,IF('Reeksen (N)'!AK8&gt;'Reeksen (N)'!AE8,M8*'Reeksen (N)'!C8,0))</f>
        <v>0</v>
      </c>
      <c r="P8" s="86">
        <f t="shared" ca="1" si="5"/>
        <v>0</v>
      </c>
      <c r="Q8" s="82">
        <f ca="1">IF('Invoer gegevens (N)'!$C$17=E8,I8,IF(C8=0,0,R7))</f>
        <v>0</v>
      </c>
      <c r="R8" s="84">
        <f t="shared" ca="1" si="0"/>
        <v>0</v>
      </c>
      <c r="S8" s="84">
        <f ca="1">IF('Invoer gegevens (N)'!$C$17=E8,M8,IF(C8=0,0,T7))</f>
        <v>0</v>
      </c>
      <c r="T8" s="84">
        <f t="shared" ca="1" si="1"/>
        <v>0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8"/>
      <c r="AI8" s="71">
        <f ca="1">IF(C8=1,((F8+H8)/2*'Reeksen (N)'!AJ8*12)+(('Invoer gegevens (N)'!$C$10-(F8+H8)/2)*'Reeksen (N)'!AK8*12),0)</f>
        <v>0</v>
      </c>
      <c r="AJ8" s="71">
        <f ca="1">-AI8*'Invoer gegevens (N)'!$F$28</f>
        <v>0</v>
      </c>
      <c r="AK8" s="71">
        <f t="shared" ca="1" si="2"/>
        <v>0</v>
      </c>
      <c r="AL8" s="71">
        <f ca="1">IF(C8=1,(12*((F8+H8)/2)*'Reeksen (N)'!AL8)+(12*('Invoer gegevens (N)'!$C$10-(F8+H8)/2)*'Reeksen (N)'!AM8),0)</f>
        <v>0</v>
      </c>
      <c r="AM8" s="71">
        <f ca="1">-AL8*'Invoer gegevens (N)'!$F$31</f>
        <v>0</v>
      </c>
      <c r="AN8" s="71">
        <f t="shared" ca="1" si="6"/>
        <v>0</v>
      </c>
      <c r="AO8" s="71"/>
      <c r="AP8" s="71"/>
      <c r="AQ8" s="71">
        <f ca="1">-IF(C8=1,('Invoer gegevens (N)'!$C$10*'Invoer gegevens (N)'!$I$33)*'Reeksen (N)'!J8,0)*2</f>
        <v>0</v>
      </c>
      <c r="AR8" s="71">
        <f ca="1">-IF(C8=1,(G8*'Invoer gegevens (N)'!$I$34)*'Reeksen (N)'!J8,0)</f>
        <v>0</v>
      </c>
      <c r="AS8" s="71">
        <f ca="1">-IF(C8=1,'Invoer gegevens (N)'!$C$10*'Invoer gegevens (N)'!$I$35*'Reeksen (N)'!L8,0)</f>
        <v>0</v>
      </c>
      <c r="AT8" s="71">
        <f ca="1">-IF(C8=1,IF(E8='Invoer gegevens (N)'!$C$17,'Invoer gegevens (N)'!$C$11,Q8)*'Reeksen (N)'!S8*'Invoer gegevens (N)'!$C$18*'Reeksen (N)'!P8,0)</f>
        <v>0</v>
      </c>
      <c r="AU8" s="71">
        <f ca="1">-IF(C8=1,'Invoer gegevens (N)'!$C$10*'Invoer gegevens (N)'!$I$36*'Reeksen (N)'!H8,0)</f>
        <v>0</v>
      </c>
      <c r="AV8" s="71">
        <v>0</v>
      </c>
      <c r="AW8" s="71">
        <f t="shared" ca="1" si="7"/>
        <v>0</v>
      </c>
      <c r="AX8" s="71">
        <f ca="1">IF(E8&lt;'Invoer gegevens (N)'!$C$17+15,0,IF(E8&gt;'Invoer gegevens (N)'!$C$17+215,0,AW8))</f>
        <v>0</v>
      </c>
      <c r="AY8" s="71">
        <f ca="1">AX8/(1+'Invoer gegevens (N)'!$F$13)^($AZ8-('Invoer gegevens (N)'!$C$17-'Invoer gegevens (N)'!$C$16))/(1+'Invoer gegevens (N)'!$C$39)^('Invoer gegevens (N)'!$C$17-'Invoer gegevens (N)'!$C$16)</f>
        <v>0</v>
      </c>
      <c r="AZ8" s="68">
        <f ca="1">IF(E8-'Invoer gegevens (N)'!$C$17-14.5&lt;0,0,E8-'Invoer gegevens (N)'!$C$17-14.5)</f>
        <v>0</v>
      </c>
    </row>
    <row r="9" spans="1:52" x14ac:dyDescent="0.25">
      <c r="A9" s="59"/>
      <c r="B9" s="70">
        <f t="shared" si="8"/>
        <v>5</v>
      </c>
      <c r="C9" s="67">
        <f ca="1">IF(E9-'Invoer gegevens (N)'!$C$17&lt;0,0,1)</f>
        <v>1</v>
      </c>
      <c r="D9" s="68">
        <f t="shared" si="9"/>
        <v>4.5</v>
      </c>
      <c r="E9" s="69">
        <f ca="1">IF('Invoer gegevens (N)'!$C$16="","",E8+1)</f>
        <v>2023</v>
      </c>
      <c r="F9" s="82">
        <f ca="1">IF('Invoer gegevens (N)'!$C$17=E9,'Invoer gegevens (N)'!$C$10,IF(C9=1,H8,0))</f>
        <v>0</v>
      </c>
      <c r="G9" s="83">
        <f ca="1">IF(C9&gt;=1,F9*'Reeksen (N)'!C9,0)</f>
        <v>0</v>
      </c>
      <c r="H9" s="84">
        <f t="shared" ca="1" si="3"/>
        <v>0</v>
      </c>
      <c r="I9" s="85">
        <f ca="1">IF('Invoer gegevens (N)'!$C$17=E9,'Invoer gegevens (N)'!$C$11,IF(C9=1,L8,0))</f>
        <v>0</v>
      </c>
      <c r="J9" s="86">
        <f ca="1">IF(C9&lt;1,0,IF('Reeksen (N)'!AK9&lt;='Reeksen (N)'!AE9,I9*'Reeksen (N)'!C9,0))</f>
        <v>0</v>
      </c>
      <c r="K9" s="86">
        <f ca="1">IF(C9&lt;1,0,IF('Reeksen (N)'!AK9&gt;'Reeksen (N)'!AE9,I9*'Reeksen (N)'!C9,0))</f>
        <v>0</v>
      </c>
      <c r="L9" s="86">
        <f t="shared" ca="1" si="4"/>
        <v>0</v>
      </c>
      <c r="M9" s="85">
        <f ca="1">IF('Invoer gegevens (N)'!$C$17=E9,'Invoer gegevens (N)'!$C$10-'Invoer gegevens (N)'!$C$11,IF(C9=1,P8,0))</f>
        <v>0</v>
      </c>
      <c r="N9" s="86">
        <f ca="1">IF(C9&lt;1,0,IF('Reeksen (N)'!AK9&lt;='Reeksen (N)'!AE9,M9*'Reeksen (N)'!C9,0))</f>
        <v>0</v>
      </c>
      <c r="O9" s="86">
        <f ca="1">IF(C9&lt;1,0,IF('Reeksen (N)'!AK9&gt;'Reeksen (N)'!AE9,M9*'Reeksen (N)'!C9,0))</f>
        <v>0</v>
      </c>
      <c r="P9" s="86">
        <f t="shared" ca="1" si="5"/>
        <v>0</v>
      </c>
      <c r="Q9" s="82">
        <f ca="1">IF('Invoer gegevens (N)'!$C$17=E9,I9,IF(C9=0,0,R8))</f>
        <v>0</v>
      </c>
      <c r="R9" s="84">
        <f t="shared" ca="1" si="0"/>
        <v>0</v>
      </c>
      <c r="S9" s="84">
        <f ca="1">IF('Invoer gegevens (N)'!$C$17=E9,M9,IF(C9=0,0,T8))</f>
        <v>0</v>
      </c>
      <c r="T9" s="84">
        <f t="shared" ca="1" si="1"/>
        <v>0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8"/>
      <c r="AI9" s="71">
        <f ca="1">IF(C9=1,((F9+H9)/2*'Reeksen (N)'!AJ9*12)+(('Invoer gegevens (N)'!$C$10-(F9+H9)/2)*'Reeksen (N)'!AK9*12),0)</f>
        <v>0</v>
      </c>
      <c r="AJ9" s="71">
        <f ca="1">-AI9*'Invoer gegevens (N)'!$F$28</f>
        <v>0</v>
      </c>
      <c r="AK9" s="71">
        <f t="shared" ca="1" si="2"/>
        <v>0</v>
      </c>
      <c r="AL9" s="71">
        <f ca="1">IF(C9=1,(12*((F9+H9)/2)*'Reeksen (N)'!AL9)+(12*('Invoer gegevens (N)'!$C$10-(F9+H9)/2)*'Reeksen (N)'!AM9),0)</f>
        <v>0</v>
      </c>
      <c r="AM9" s="71">
        <f ca="1">-AL9*'Invoer gegevens (N)'!$F$31</f>
        <v>0</v>
      </c>
      <c r="AN9" s="71">
        <f t="shared" ca="1" si="6"/>
        <v>0</v>
      </c>
      <c r="AO9" s="71"/>
      <c r="AP9" s="71"/>
      <c r="AQ9" s="71">
        <f ca="1">-IF(C9=1,('Invoer gegevens (N)'!$C$10*'Invoer gegevens (N)'!$I$33)*'Reeksen (N)'!J9,0)*2</f>
        <v>0</v>
      </c>
      <c r="AR9" s="71">
        <f ca="1">-IF(C9=1,(G9*'Invoer gegevens (N)'!$I$34)*'Reeksen (N)'!J9,0)</f>
        <v>0</v>
      </c>
      <c r="AS9" s="71">
        <f ca="1">-IF(C9=1,'Invoer gegevens (N)'!$C$10*'Invoer gegevens (N)'!$I$35*'Reeksen (N)'!L9,0)</f>
        <v>0</v>
      </c>
      <c r="AT9" s="71">
        <f ca="1">-IF(C9=1,IF(E9='Invoer gegevens (N)'!$C$17,'Invoer gegevens (N)'!$C$11,Q9)*'Reeksen (N)'!S9*'Invoer gegevens (N)'!$C$18*'Reeksen (N)'!P9,0)</f>
        <v>0</v>
      </c>
      <c r="AU9" s="71">
        <f ca="1">-IF(C9=1,'Invoer gegevens (N)'!$C$10*'Invoer gegevens (N)'!$I$36*'Reeksen (N)'!H9,0)</f>
        <v>0</v>
      </c>
      <c r="AV9" s="71">
        <v>0</v>
      </c>
      <c r="AW9" s="71">
        <f t="shared" ca="1" si="7"/>
        <v>0</v>
      </c>
      <c r="AX9" s="71">
        <f ca="1">IF(E9&lt;'Invoer gegevens (N)'!$C$17+15,0,IF(E9&gt;'Invoer gegevens (N)'!$C$17+215,0,AW9))</f>
        <v>0</v>
      </c>
      <c r="AY9" s="71">
        <f ca="1">AX9/(1+'Invoer gegevens (N)'!$F$13)^($AZ9-('Invoer gegevens (N)'!$C$17-'Invoer gegevens (N)'!$C$16))/(1+'Invoer gegevens (N)'!$C$39)^('Invoer gegevens (N)'!$C$17-'Invoer gegevens (N)'!$C$16)</f>
        <v>0</v>
      </c>
      <c r="AZ9" s="68">
        <f ca="1">IF(E9-'Invoer gegevens (N)'!$C$17-14.5&lt;0,0,E9-'Invoer gegevens (N)'!$C$17-14.5)</f>
        <v>0</v>
      </c>
    </row>
    <row r="10" spans="1:52" x14ac:dyDescent="0.25">
      <c r="A10" s="59"/>
      <c r="B10" s="70">
        <f t="shared" si="8"/>
        <v>6</v>
      </c>
      <c r="C10" s="67">
        <f ca="1">IF(E10-'Invoer gegevens (N)'!$C$17&lt;0,0,1)</f>
        <v>1</v>
      </c>
      <c r="D10" s="68">
        <f t="shared" si="9"/>
        <v>5.5</v>
      </c>
      <c r="E10" s="69">
        <f ca="1">IF('Invoer gegevens (N)'!$C$16="","",E9+1)</f>
        <v>2024</v>
      </c>
      <c r="F10" s="82">
        <f ca="1">IF('Invoer gegevens (N)'!$C$17=E10,'Invoer gegevens (N)'!$C$10,IF(C10=1,H9,0))</f>
        <v>0</v>
      </c>
      <c r="G10" s="83">
        <f ca="1">IF(C10&gt;=1,F10*'Reeksen (N)'!C10,0)</f>
        <v>0</v>
      </c>
      <c r="H10" s="84">
        <f t="shared" ca="1" si="3"/>
        <v>0</v>
      </c>
      <c r="I10" s="85">
        <f ca="1">IF('Invoer gegevens (N)'!$C$17=E10,'Invoer gegevens (N)'!$C$11,IF(C10=1,L9,0))</f>
        <v>0</v>
      </c>
      <c r="J10" s="86">
        <f ca="1">IF(C10&lt;1,0,IF('Reeksen (N)'!AK10&lt;='Reeksen (N)'!AE10,I10*'Reeksen (N)'!C10,0))</f>
        <v>0</v>
      </c>
      <c r="K10" s="86">
        <f ca="1">IF(C10&lt;1,0,IF('Reeksen (N)'!AK10&gt;'Reeksen (N)'!AE10,I10*'Reeksen (N)'!C10,0))</f>
        <v>0</v>
      </c>
      <c r="L10" s="86">
        <f t="shared" ca="1" si="4"/>
        <v>0</v>
      </c>
      <c r="M10" s="85">
        <f ca="1">IF('Invoer gegevens (N)'!$C$17=E10,'Invoer gegevens (N)'!$C$10-'Invoer gegevens (N)'!$C$11,IF(C10=1,P9,0))</f>
        <v>0</v>
      </c>
      <c r="N10" s="86">
        <f ca="1">IF(C10&lt;1,0,IF('Reeksen (N)'!AK10&lt;='Reeksen (N)'!AE10,M10*'Reeksen (N)'!C10,0))</f>
        <v>0</v>
      </c>
      <c r="O10" s="86">
        <f ca="1">IF(C10&lt;1,0,IF('Reeksen (N)'!AK10&gt;'Reeksen (N)'!AE10,M10*'Reeksen (N)'!C10,0))</f>
        <v>0</v>
      </c>
      <c r="P10" s="86">
        <f t="shared" ca="1" si="5"/>
        <v>0</v>
      </c>
      <c r="Q10" s="82">
        <f ca="1">IF('Invoer gegevens (N)'!$C$17=E10,I10,IF(C10=0,0,R9))</f>
        <v>0</v>
      </c>
      <c r="R10" s="84">
        <f t="shared" ca="1" si="0"/>
        <v>0</v>
      </c>
      <c r="S10" s="84">
        <f ca="1">IF('Invoer gegevens (N)'!$C$17=E10,M10,IF(C10=0,0,T9))</f>
        <v>0</v>
      </c>
      <c r="T10" s="84">
        <f t="shared" ca="1" si="1"/>
        <v>0</v>
      </c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8"/>
      <c r="AI10" s="71">
        <f ca="1">IF(C10=1,((F10+H10)/2*'Reeksen (N)'!AJ10*12)+(('Invoer gegevens (N)'!$C$10-(F10+H10)/2)*'Reeksen (N)'!AK10*12),0)</f>
        <v>0</v>
      </c>
      <c r="AJ10" s="71">
        <f ca="1">-AI10*'Invoer gegevens (N)'!$F$28</f>
        <v>0</v>
      </c>
      <c r="AK10" s="71">
        <f t="shared" ca="1" si="2"/>
        <v>0</v>
      </c>
      <c r="AL10" s="71">
        <f ca="1">IF(C10=1,(12*((F10+H10)/2)*'Reeksen (N)'!AL10)+(12*('Invoer gegevens (N)'!$C$10-(F10+H10)/2)*'Reeksen (N)'!AM10),0)</f>
        <v>0</v>
      </c>
      <c r="AM10" s="71">
        <f ca="1">-AL10*'Invoer gegevens (N)'!$F$31</f>
        <v>0</v>
      </c>
      <c r="AN10" s="71">
        <f t="shared" ca="1" si="6"/>
        <v>0</v>
      </c>
      <c r="AO10" s="71"/>
      <c r="AP10" s="71"/>
      <c r="AQ10" s="71">
        <f ca="1">-IF(C10=1,('Invoer gegevens (N)'!$C$10*'Invoer gegevens (N)'!$I$33)*'Reeksen (N)'!J10,0)*2</f>
        <v>0</v>
      </c>
      <c r="AR10" s="71">
        <f ca="1">-IF(C10=1,(G10*'Invoer gegevens (N)'!$I$34)*'Reeksen (N)'!J10,0)</f>
        <v>0</v>
      </c>
      <c r="AS10" s="71">
        <f ca="1">-IF(C10=1,'Invoer gegevens (N)'!$C$10*'Invoer gegevens (N)'!$I$35*'Reeksen (N)'!L10,0)</f>
        <v>0</v>
      </c>
      <c r="AT10" s="71">
        <f ca="1">-IF(C10=1,IF(E10='Invoer gegevens (N)'!$C$17,'Invoer gegevens (N)'!$C$11,Q10)*'Reeksen (N)'!S10*'Invoer gegevens (N)'!$C$18*'Reeksen (N)'!P10,0)</f>
        <v>0</v>
      </c>
      <c r="AU10" s="71">
        <f ca="1">-IF(C10=1,'Invoer gegevens (N)'!$C$10*'Invoer gegevens (N)'!$I$36*'Reeksen (N)'!H10,0)</f>
        <v>0</v>
      </c>
      <c r="AV10" s="71">
        <v>0</v>
      </c>
      <c r="AW10" s="71">
        <f t="shared" ca="1" si="7"/>
        <v>0</v>
      </c>
      <c r="AX10" s="71">
        <f ca="1">IF(E10&lt;'Invoer gegevens (N)'!$C$17+15,0,IF(E10&gt;'Invoer gegevens (N)'!$C$17+215,0,AW10))</f>
        <v>0</v>
      </c>
      <c r="AY10" s="71">
        <f ca="1">AX10/(1+'Invoer gegevens (N)'!$F$13)^($AZ10-('Invoer gegevens (N)'!$C$17-'Invoer gegevens (N)'!$C$16))/(1+'Invoer gegevens (N)'!$C$39)^('Invoer gegevens (N)'!$C$17-'Invoer gegevens (N)'!$C$16)</f>
        <v>0</v>
      </c>
      <c r="AZ10" s="68">
        <f ca="1">IF(E10-'Invoer gegevens (N)'!$C$17-14.5&lt;0,0,E10-'Invoer gegevens (N)'!$C$17-14.5)</f>
        <v>0</v>
      </c>
    </row>
    <row r="11" spans="1:52" x14ac:dyDescent="0.25">
      <c r="A11" s="59"/>
      <c r="B11" s="70">
        <f t="shared" si="8"/>
        <v>7</v>
      </c>
      <c r="C11" s="67">
        <f ca="1">IF(E11-'Invoer gegevens (N)'!$C$17&lt;0,0,1)</f>
        <v>1</v>
      </c>
      <c r="D11" s="68">
        <f t="shared" si="9"/>
        <v>6.5</v>
      </c>
      <c r="E11" s="69">
        <f ca="1">IF('Invoer gegevens (N)'!$C$16="","",E10+1)</f>
        <v>2025</v>
      </c>
      <c r="F11" s="82">
        <f ca="1">IF('Invoer gegevens (N)'!$C$17=E11,'Invoer gegevens (N)'!$C$10,IF(C11=1,H10,0))</f>
        <v>0</v>
      </c>
      <c r="G11" s="83">
        <f ca="1">IF(C11&gt;=1,F11*'Reeksen (N)'!C11,0)</f>
        <v>0</v>
      </c>
      <c r="H11" s="84">
        <f t="shared" ca="1" si="3"/>
        <v>0</v>
      </c>
      <c r="I11" s="85">
        <f ca="1">IF('Invoer gegevens (N)'!$C$17=E11,'Invoer gegevens (N)'!$C$11,IF(C11=1,L10,0))</f>
        <v>0</v>
      </c>
      <c r="J11" s="86">
        <f ca="1">IF(C11&lt;1,0,IF('Reeksen (N)'!AK11&lt;='Reeksen (N)'!AE11,I11*'Reeksen (N)'!C11,0))</f>
        <v>0</v>
      </c>
      <c r="K11" s="86">
        <f ca="1">IF(C11&lt;1,0,IF('Reeksen (N)'!AK11&gt;'Reeksen (N)'!AE11,I11*'Reeksen (N)'!C11,0))</f>
        <v>0</v>
      </c>
      <c r="L11" s="86">
        <f t="shared" ca="1" si="4"/>
        <v>0</v>
      </c>
      <c r="M11" s="85">
        <f ca="1">IF('Invoer gegevens (N)'!$C$17=E11,'Invoer gegevens (N)'!$C$10-'Invoer gegevens (N)'!$C$11,IF(C11=1,P10,0))</f>
        <v>0</v>
      </c>
      <c r="N11" s="86">
        <f ca="1">IF(C11&lt;1,0,IF('Reeksen (N)'!AK11&lt;='Reeksen (N)'!AE11,M11*'Reeksen (N)'!C11,0))</f>
        <v>0</v>
      </c>
      <c r="O11" s="86">
        <f ca="1">IF(C11&lt;1,0,IF('Reeksen (N)'!AK11&gt;'Reeksen (N)'!AE11,M11*'Reeksen (N)'!C11,0))</f>
        <v>0</v>
      </c>
      <c r="P11" s="86">
        <f t="shared" ca="1" si="5"/>
        <v>0</v>
      </c>
      <c r="Q11" s="82">
        <f ca="1">IF('Invoer gegevens (N)'!$C$17=E11,I11,IF(C11=0,0,R10))</f>
        <v>0</v>
      </c>
      <c r="R11" s="84">
        <f t="shared" ca="1" si="0"/>
        <v>0</v>
      </c>
      <c r="S11" s="84">
        <f ca="1">IF('Invoer gegevens (N)'!$C$17=E11,M11,IF(C11=0,0,T10))</f>
        <v>0</v>
      </c>
      <c r="T11" s="84">
        <f t="shared" ca="1" si="1"/>
        <v>0</v>
      </c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8"/>
      <c r="AI11" s="71">
        <f ca="1">IF(C11=1,((F11+H11)/2*'Reeksen (N)'!AJ11*12)+(('Invoer gegevens (N)'!$C$10-(F11+H11)/2)*'Reeksen (N)'!AK11*12),0)</f>
        <v>0</v>
      </c>
      <c r="AJ11" s="71">
        <f ca="1">-AI11*'Invoer gegevens (N)'!$F$28</f>
        <v>0</v>
      </c>
      <c r="AK11" s="71">
        <f t="shared" ca="1" si="2"/>
        <v>0</v>
      </c>
      <c r="AL11" s="71">
        <f ca="1">IF(C11=1,(12*((F11+H11)/2)*'Reeksen (N)'!AL11)+(12*('Invoer gegevens (N)'!$C$10-(F11+H11)/2)*'Reeksen (N)'!AM11),0)</f>
        <v>0</v>
      </c>
      <c r="AM11" s="71">
        <f ca="1">-AL11*'Invoer gegevens (N)'!$F$31</f>
        <v>0</v>
      </c>
      <c r="AN11" s="71">
        <f t="shared" ca="1" si="6"/>
        <v>0</v>
      </c>
      <c r="AO11" s="71"/>
      <c r="AP11" s="71"/>
      <c r="AQ11" s="71">
        <f ca="1">-IF(C11=1,('Invoer gegevens (N)'!$C$10*'Invoer gegevens (N)'!$I$33)*'Reeksen (N)'!J11,0)*2</f>
        <v>0</v>
      </c>
      <c r="AR11" s="71">
        <f ca="1">-IF(C11=1,(G11*'Invoer gegevens (N)'!$I$34)*'Reeksen (N)'!J11,0)</f>
        <v>0</v>
      </c>
      <c r="AS11" s="71">
        <f ca="1">-IF(C11=1,'Invoer gegevens (N)'!$C$10*'Invoer gegevens (N)'!$I$35*'Reeksen (N)'!L11,0)</f>
        <v>0</v>
      </c>
      <c r="AT11" s="71">
        <f ca="1">-IF(C11=1,IF(E11='Invoer gegevens (N)'!$C$17,'Invoer gegevens (N)'!$C$11,Q11)*'Reeksen (N)'!S11*'Invoer gegevens (N)'!$C$18*'Reeksen (N)'!P11,0)</f>
        <v>0</v>
      </c>
      <c r="AU11" s="71">
        <f ca="1">-IF(C11=1,'Invoer gegevens (N)'!$C$10*'Invoer gegevens (N)'!$I$36*'Reeksen (N)'!H11,0)</f>
        <v>0</v>
      </c>
      <c r="AV11" s="71">
        <v>0</v>
      </c>
      <c r="AW11" s="71">
        <f t="shared" ca="1" si="7"/>
        <v>0</v>
      </c>
      <c r="AX11" s="71">
        <f ca="1">IF(E11&lt;'Invoer gegevens (N)'!$C$17+15,0,IF(E11&gt;'Invoer gegevens (N)'!$C$17+215,0,AW11))</f>
        <v>0</v>
      </c>
      <c r="AY11" s="71">
        <f ca="1">AX11/(1+'Invoer gegevens (N)'!$F$13)^($AZ11-('Invoer gegevens (N)'!$C$17-'Invoer gegevens (N)'!$C$16))/(1+'Invoer gegevens (N)'!$C$39)^('Invoer gegevens (N)'!$C$17-'Invoer gegevens (N)'!$C$16)</f>
        <v>0</v>
      </c>
      <c r="AZ11" s="68">
        <f ca="1">IF(E11-'Invoer gegevens (N)'!$C$17-14.5&lt;0,0,E11-'Invoer gegevens (N)'!$C$17-14.5)</f>
        <v>0</v>
      </c>
    </row>
    <row r="12" spans="1:52" x14ac:dyDescent="0.25">
      <c r="A12" s="59"/>
      <c r="B12" s="70">
        <f t="shared" si="8"/>
        <v>8</v>
      </c>
      <c r="C12" s="67">
        <f ca="1">IF(E12-'Invoer gegevens (N)'!$C$17&lt;0,0,1)</f>
        <v>1</v>
      </c>
      <c r="D12" s="68">
        <f t="shared" si="9"/>
        <v>7.5</v>
      </c>
      <c r="E12" s="69">
        <f ca="1">IF('Invoer gegevens (N)'!$C$16="","",E11+1)</f>
        <v>2026</v>
      </c>
      <c r="F12" s="82">
        <f ca="1">IF('Invoer gegevens (N)'!$C$17=E12,'Invoer gegevens (N)'!$C$10,IF(C12=1,H11,0))</f>
        <v>0</v>
      </c>
      <c r="G12" s="83">
        <f ca="1">IF(C12&gt;=1,F12*'Reeksen (N)'!C12,0)</f>
        <v>0</v>
      </c>
      <c r="H12" s="84">
        <f t="shared" ca="1" si="3"/>
        <v>0</v>
      </c>
      <c r="I12" s="85">
        <f ca="1">IF('Invoer gegevens (N)'!$C$17=E12,'Invoer gegevens (N)'!$C$11,IF(C12=1,L11,0))</f>
        <v>0</v>
      </c>
      <c r="J12" s="86">
        <f ca="1">IF(C12&lt;1,0,IF('Reeksen (N)'!AK12&lt;='Reeksen (N)'!AE12,I12*'Reeksen (N)'!C12,0))</f>
        <v>0</v>
      </c>
      <c r="K12" s="86">
        <f ca="1">IF(C12&lt;1,0,IF('Reeksen (N)'!AK12&gt;'Reeksen (N)'!AE12,I12*'Reeksen (N)'!C12,0))</f>
        <v>0</v>
      </c>
      <c r="L12" s="86">
        <f t="shared" ca="1" si="4"/>
        <v>0</v>
      </c>
      <c r="M12" s="85">
        <f ca="1">IF('Invoer gegevens (N)'!$C$17=E12,'Invoer gegevens (N)'!$C$10-'Invoer gegevens (N)'!$C$11,IF(C12=1,P11,0))</f>
        <v>0</v>
      </c>
      <c r="N12" s="86">
        <f ca="1">IF(C12&lt;1,0,IF('Reeksen (N)'!AK12&lt;='Reeksen (N)'!AE12,M12*'Reeksen (N)'!C12,0))</f>
        <v>0</v>
      </c>
      <c r="O12" s="86">
        <f ca="1">IF(C12&lt;1,0,IF('Reeksen (N)'!AK12&gt;'Reeksen (N)'!AE12,M12*'Reeksen (N)'!C12,0))</f>
        <v>0</v>
      </c>
      <c r="P12" s="86">
        <f t="shared" ca="1" si="5"/>
        <v>0</v>
      </c>
      <c r="Q12" s="82">
        <f ca="1">IF('Invoer gegevens (N)'!$C$17=E12,I12,IF(C12=0,0,R11))</f>
        <v>0</v>
      </c>
      <c r="R12" s="84">
        <f t="shared" ca="1" si="0"/>
        <v>0</v>
      </c>
      <c r="S12" s="84">
        <f ca="1">IF('Invoer gegevens (N)'!$C$17=E12,M12,IF(C12=0,0,T11))</f>
        <v>0</v>
      </c>
      <c r="T12" s="84">
        <f t="shared" ca="1" si="1"/>
        <v>0</v>
      </c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8"/>
      <c r="AI12" s="71">
        <f ca="1">IF(C12=1,((F12+H12)/2*'Reeksen (N)'!AJ12*12)+(('Invoer gegevens (N)'!$C$10-(F12+H12)/2)*'Reeksen (N)'!AK12*12),0)</f>
        <v>0</v>
      </c>
      <c r="AJ12" s="71">
        <f ca="1">-AI12*'Invoer gegevens (N)'!$F$28</f>
        <v>0</v>
      </c>
      <c r="AK12" s="71">
        <f t="shared" ca="1" si="2"/>
        <v>0</v>
      </c>
      <c r="AL12" s="71">
        <f ca="1">IF(C12=1,(12*((F12+H12)/2)*'Reeksen (N)'!AL12)+(12*('Invoer gegevens (N)'!$C$10-(F12+H12)/2)*'Reeksen (N)'!AM12),0)</f>
        <v>0</v>
      </c>
      <c r="AM12" s="71">
        <f ca="1">-AL12*'Invoer gegevens (N)'!$F$31</f>
        <v>0</v>
      </c>
      <c r="AN12" s="71">
        <f t="shared" ca="1" si="6"/>
        <v>0</v>
      </c>
      <c r="AO12" s="71"/>
      <c r="AP12" s="71"/>
      <c r="AQ12" s="71">
        <f ca="1">-IF(C12=1,('Invoer gegevens (N)'!$C$10*'Invoer gegevens (N)'!$I$33)*'Reeksen (N)'!J12,0)*2</f>
        <v>0</v>
      </c>
      <c r="AR12" s="71">
        <f ca="1">-IF(C12=1,(G12*'Invoer gegevens (N)'!$I$34)*'Reeksen (N)'!J12,0)</f>
        <v>0</v>
      </c>
      <c r="AS12" s="71">
        <f ca="1">-IF(C12=1,'Invoer gegevens (N)'!$C$10*'Invoer gegevens (N)'!$I$35*'Reeksen (N)'!L12,0)</f>
        <v>0</v>
      </c>
      <c r="AT12" s="71">
        <f ca="1">-IF(C12=1,IF(E12='Invoer gegevens (N)'!$C$17,'Invoer gegevens (N)'!$C$11,Q12)*'Reeksen (N)'!S12*'Invoer gegevens (N)'!$C$18*'Reeksen (N)'!P12,0)</f>
        <v>0</v>
      </c>
      <c r="AU12" s="71">
        <f ca="1">-IF(C12=1,'Invoer gegevens (N)'!$C$10*'Invoer gegevens (N)'!$I$36*'Reeksen (N)'!H12,0)</f>
        <v>0</v>
      </c>
      <c r="AV12" s="71">
        <v>0</v>
      </c>
      <c r="AW12" s="71">
        <f t="shared" ca="1" si="7"/>
        <v>0</v>
      </c>
      <c r="AX12" s="71">
        <f ca="1">IF(E12&lt;'Invoer gegevens (N)'!$C$17+15,0,IF(E12&gt;'Invoer gegevens (N)'!$C$17+215,0,AW12))</f>
        <v>0</v>
      </c>
      <c r="AY12" s="71">
        <f ca="1">AX12/(1+'Invoer gegevens (N)'!$F$13)^($AZ12-('Invoer gegevens (N)'!$C$17-'Invoer gegevens (N)'!$C$16))/(1+'Invoer gegevens (N)'!$C$39)^('Invoer gegevens (N)'!$C$17-'Invoer gegevens (N)'!$C$16)</f>
        <v>0</v>
      </c>
      <c r="AZ12" s="68">
        <f ca="1">IF(E12-'Invoer gegevens (N)'!$C$17-14.5&lt;0,0,E12-'Invoer gegevens (N)'!$C$17-14.5)</f>
        <v>0</v>
      </c>
    </row>
    <row r="13" spans="1:52" x14ac:dyDescent="0.25">
      <c r="A13" s="59"/>
      <c r="B13" s="70">
        <f t="shared" si="8"/>
        <v>9</v>
      </c>
      <c r="C13" s="67">
        <f ca="1">IF(E13-'Invoer gegevens (N)'!$C$17&lt;0,0,1)</f>
        <v>1</v>
      </c>
      <c r="D13" s="68">
        <f t="shared" si="9"/>
        <v>8.5</v>
      </c>
      <c r="E13" s="69">
        <f ca="1">IF('Invoer gegevens (N)'!$C$16="","",E12+1)</f>
        <v>2027</v>
      </c>
      <c r="F13" s="82">
        <f ca="1">IF('Invoer gegevens (N)'!$C$17=E13,'Invoer gegevens (N)'!$C$10,IF(C13=1,H12,0))</f>
        <v>0</v>
      </c>
      <c r="G13" s="83">
        <f ca="1">IF(C13&gt;=1,F13*'Reeksen (N)'!C13,0)</f>
        <v>0</v>
      </c>
      <c r="H13" s="84">
        <f t="shared" ca="1" si="3"/>
        <v>0</v>
      </c>
      <c r="I13" s="85">
        <f ca="1">IF('Invoer gegevens (N)'!$C$17=E13,'Invoer gegevens (N)'!$C$11,IF(C13=1,L12,0))</f>
        <v>0</v>
      </c>
      <c r="J13" s="86">
        <f ca="1">IF(C13&lt;1,0,IF('Reeksen (N)'!AK13&lt;='Reeksen (N)'!AE13,I13*'Reeksen (N)'!C13,0))</f>
        <v>0</v>
      </c>
      <c r="K13" s="86">
        <f ca="1">IF(C13&lt;1,0,IF('Reeksen (N)'!AK13&gt;'Reeksen (N)'!AE13,I13*'Reeksen (N)'!C13,0))</f>
        <v>0</v>
      </c>
      <c r="L13" s="86">
        <f t="shared" ca="1" si="4"/>
        <v>0</v>
      </c>
      <c r="M13" s="85">
        <f ca="1">IF('Invoer gegevens (N)'!$C$17=E13,'Invoer gegevens (N)'!$C$10-'Invoer gegevens (N)'!$C$11,IF(C13=1,P12,0))</f>
        <v>0</v>
      </c>
      <c r="N13" s="86">
        <f ca="1">IF(C13&lt;1,0,IF('Reeksen (N)'!AK13&lt;='Reeksen (N)'!AE13,M13*'Reeksen (N)'!C13,0))</f>
        <v>0</v>
      </c>
      <c r="O13" s="86">
        <f ca="1">IF(C13&lt;1,0,IF('Reeksen (N)'!AK13&gt;'Reeksen (N)'!AE13,M13*'Reeksen (N)'!C13,0))</f>
        <v>0</v>
      </c>
      <c r="P13" s="86">
        <f t="shared" ca="1" si="5"/>
        <v>0</v>
      </c>
      <c r="Q13" s="82">
        <f ca="1">IF('Invoer gegevens (N)'!$C$17=E13,I13,IF(C13=0,0,R12))</f>
        <v>0</v>
      </c>
      <c r="R13" s="84">
        <f t="shared" ca="1" si="0"/>
        <v>0</v>
      </c>
      <c r="S13" s="84">
        <f ca="1">IF('Invoer gegevens (N)'!$C$17=E13,M13,IF(C13=0,0,T12))</f>
        <v>0</v>
      </c>
      <c r="T13" s="84">
        <f t="shared" ca="1" si="1"/>
        <v>0</v>
      </c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8"/>
      <c r="AI13" s="71">
        <f ca="1">IF(C13=1,((F13+H13)/2*'Reeksen (N)'!AJ13*12)+(('Invoer gegevens (N)'!$C$10-(F13+H13)/2)*'Reeksen (N)'!AK13*12),0)</f>
        <v>0</v>
      </c>
      <c r="AJ13" s="71">
        <f ca="1">-AI13*'Invoer gegevens (N)'!$F$28</f>
        <v>0</v>
      </c>
      <c r="AK13" s="71">
        <f t="shared" ca="1" si="2"/>
        <v>0</v>
      </c>
      <c r="AL13" s="71">
        <f ca="1">IF(C13=1,(12*((F13+H13)/2)*'Reeksen (N)'!AL13)+(12*('Invoer gegevens (N)'!$C$10-(F13+H13)/2)*'Reeksen (N)'!AM13),0)</f>
        <v>0</v>
      </c>
      <c r="AM13" s="71">
        <f ca="1">-AL13*'Invoer gegevens (N)'!$F$31</f>
        <v>0</v>
      </c>
      <c r="AN13" s="71">
        <f t="shared" ca="1" si="6"/>
        <v>0</v>
      </c>
      <c r="AO13" s="71"/>
      <c r="AP13" s="71"/>
      <c r="AQ13" s="71">
        <f ca="1">-IF(C13=1,('Invoer gegevens (N)'!$C$10*'Invoer gegevens (N)'!$I$33)*'Reeksen (N)'!J13,0)*2</f>
        <v>0</v>
      </c>
      <c r="AR13" s="71">
        <f ca="1">-IF(C13=1,(G13*'Invoer gegevens (N)'!$I$34)*'Reeksen (N)'!J13,0)</f>
        <v>0</v>
      </c>
      <c r="AS13" s="71">
        <f ca="1">-IF(C13=1,'Invoer gegevens (N)'!$C$10*'Invoer gegevens (N)'!$I$35*'Reeksen (N)'!L13,0)</f>
        <v>0</v>
      </c>
      <c r="AT13" s="71">
        <f ca="1">-IF(C13=1,IF(E13='Invoer gegevens (N)'!$C$17,'Invoer gegevens (N)'!$C$11,Q13)*'Reeksen (N)'!S13*'Invoer gegevens (N)'!$C$18*'Reeksen (N)'!P13,0)</f>
        <v>0</v>
      </c>
      <c r="AU13" s="71">
        <f ca="1">-IF(C13=1,'Invoer gegevens (N)'!$C$10*'Invoer gegevens (N)'!$I$36*'Reeksen (N)'!H13,0)</f>
        <v>0</v>
      </c>
      <c r="AV13" s="71">
        <v>0</v>
      </c>
      <c r="AW13" s="71">
        <f t="shared" ca="1" si="7"/>
        <v>0</v>
      </c>
      <c r="AX13" s="71">
        <f ca="1">IF(E13&lt;'Invoer gegevens (N)'!$C$17+15,0,IF(E13&gt;'Invoer gegevens (N)'!$C$17+215,0,AW13))</f>
        <v>0</v>
      </c>
      <c r="AY13" s="71">
        <f ca="1">AX13/(1+'Invoer gegevens (N)'!$F$13)^($AZ13-('Invoer gegevens (N)'!$C$17-'Invoer gegevens (N)'!$C$16))/(1+'Invoer gegevens (N)'!$C$39)^('Invoer gegevens (N)'!$C$17-'Invoer gegevens (N)'!$C$16)</f>
        <v>0</v>
      </c>
      <c r="AZ13" s="68">
        <f ca="1">IF(E13-'Invoer gegevens (N)'!$C$17-14.5&lt;0,0,E13-'Invoer gegevens (N)'!$C$17-14.5)</f>
        <v>0</v>
      </c>
    </row>
    <row r="14" spans="1:52" x14ac:dyDescent="0.25">
      <c r="A14" s="59"/>
      <c r="B14" s="70">
        <f t="shared" si="8"/>
        <v>10</v>
      </c>
      <c r="C14" s="67">
        <f ca="1">IF(E14-'Invoer gegevens (N)'!$C$17&lt;0,0,1)</f>
        <v>1</v>
      </c>
      <c r="D14" s="68">
        <f t="shared" si="9"/>
        <v>9.5</v>
      </c>
      <c r="E14" s="69">
        <f ca="1">IF('Invoer gegevens (N)'!$C$16="","",E13+1)</f>
        <v>2028</v>
      </c>
      <c r="F14" s="82">
        <f ca="1">IF('Invoer gegevens (N)'!$C$17=E14,'Invoer gegevens (N)'!$C$10,IF(C14=1,H13,0))</f>
        <v>0</v>
      </c>
      <c r="G14" s="83">
        <f ca="1">IF(C14&gt;=1,F14*'Reeksen (N)'!C14,0)</f>
        <v>0</v>
      </c>
      <c r="H14" s="84">
        <f t="shared" ca="1" si="3"/>
        <v>0</v>
      </c>
      <c r="I14" s="85">
        <f ca="1">IF('Invoer gegevens (N)'!$C$17=E14,'Invoer gegevens (N)'!$C$11,IF(C14=1,L13,0))</f>
        <v>0</v>
      </c>
      <c r="J14" s="86">
        <f ca="1">IF(C14&lt;1,0,IF('Reeksen (N)'!AK14&lt;='Reeksen (N)'!AE14,I14*'Reeksen (N)'!C14,0))</f>
        <v>0</v>
      </c>
      <c r="K14" s="86">
        <f ca="1">IF(C14&lt;1,0,IF('Reeksen (N)'!AK14&gt;'Reeksen (N)'!AE14,I14*'Reeksen (N)'!C14,0))</f>
        <v>0</v>
      </c>
      <c r="L14" s="86">
        <f t="shared" ca="1" si="4"/>
        <v>0</v>
      </c>
      <c r="M14" s="85">
        <f ca="1">IF('Invoer gegevens (N)'!$C$17=E14,'Invoer gegevens (N)'!$C$10-'Invoer gegevens (N)'!$C$11,IF(C14=1,P13,0))</f>
        <v>0</v>
      </c>
      <c r="N14" s="86">
        <f ca="1">IF(C14&lt;1,0,IF('Reeksen (N)'!AK14&lt;='Reeksen (N)'!AE14,M14*'Reeksen (N)'!C14,0))</f>
        <v>0</v>
      </c>
      <c r="O14" s="86">
        <f ca="1">IF(C14&lt;1,0,IF('Reeksen (N)'!AK14&gt;'Reeksen (N)'!AE14,M14*'Reeksen (N)'!C14,0))</f>
        <v>0</v>
      </c>
      <c r="P14" s="86">
        <f t="shared" ca="1" si="5"/>
        <v>0</v>
      </c>
      <c r="Q14" s="82">
        <f ca="1">IF('Invoer gegevens (N)'!$C$17=E14,I14,IF(C14=0,0,R13))</f>
        <v>0</v>
      </c>
      <c r="R14" s="84">
        <f t="shared" ca="1" si="0"/>
        <v>0</v>
      </c>
      <c r="S14" s="84">
        <f ca="1">IF('Invoer gegevens (N)'!$C$17=E14,M14,IF(C14=0,0,T13))</f>
        <v>0</v>
      </c>
      <c r="T14" s="84">
        <f t="shared" ca="1" si="1"/>
        <v>0</v>
      </c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8"/>
      <c r="AI14" s="71">
        <f ca="1">IF(C14=1,((F14+H14)/2*'Reeksen (N)'!AJ14*12)+(('Invoer gegevens (N)'!$C$10-(F14+H14)/2)*'Reeksen (N)'!AK14*12),0)</f>
        <v>0</v>
      </c>
      <c r="AJ14" s="71">
        <f ca="1">-AI14*'Invoer gegevens (N)'!$F$28</f>
        <v>0</v>
      </c>
      <c r="AK14" s="71">
        <f t="shared" ca="1" si="2"/>
        <v>0</v>
      </c>
      <c r="AL14" s="71">
        <f ca="1">IF(C14=1,(12*((F14+H14)/2)*'Reeksen (N)'!AL14)+(12*('Invoer gegevens (N)'!$C$10-(F14+H14)/2)*'Reeksen (N)'!AM14),0)</f>
        <v>0</v>
      </c>
      <c r="AM14" s="71">
        <f ca="1">-AL14*'Invoer gegevens (N)'!$F$31</f>
        <v>0</v>
      </c>
      <c r="AN14" s="71">
        <f t="shared" ca="1" si="6"/>
        <v>0</v>
      </c>
      <c r="AO14" s="71"/>
      <c r="AP14" s="71"/>
      <c r="AQ14" s="71">
        <f ca="1">-IF(C14=1,('Invoer gegevens (N)'!$C$10*'Invoer gegevens (N)'!$I$33)*'Reeksen (N)'!J14,0)*2</f>
        <v>0</v>
      </c>
      <c r="AR14" s="71">
        <f ca="1">-IF(C14=1,(G14*'Invoer gegevens (N)'!$I$34)*'Reeksen (N)'!J14,0)</f>
        <v>0</v>
      </c>
      <c r="AS14" s="71">
        <f ca="1">-IF(C14=1,'Invoer gegevens (N)'!$C$10*'Invoer gegevens (N)'!$I$35*'Reeksen (N)'!L14,0)</f>
        <v>0</v>
      </c>
      <c r="AT14" s="71">
        <f ca="1">-IF(C14=1,IF(E14='Invoer gegevens (N)'!$C$17,'Invoer gegevens (N)'!$C$11,Q14)*'Reeksen (N)'!S14*'Invoer gegevens (N)'!$C$18*'Reeksen (N)'!P14,0)</f>
        <v>0</v>
      </c>
      <c r="AU14" s="71">
        <f ca="1">-IF(C14=1,'Invoer gegevens (N)'!$C$10*'Invoer gegevens (N)'!$I$36*'Reeksen (N)'!H14,0)</f>
        <v>0</v>
      </c>
      <c r="AV14" s="71">
        <v>0</v>
      </c>
      <c r="AW14" s="71">
        <f t="shared" ca="1" si="7"/>
        <v>0</v>
      </c>
      <c r="AX14" s="71">
        <f ca="1">IF(E14&lt;'Invoer gegevens (N)'!$C$17+15,0,IF(E14&gt;'Invoer gegevens (N)'!$C$17+215,0,AW14))</f>
        <v>0</v>
      </c>
      <c r="AY14" s="71">
        <f ca="1">AX14/(1+'Invoer gegevens (N)'!$F$13)^($AZ14-('Invoer gegevens (N)'!$C$17-'Invoer gegevens (N)'!$C$16))/(1+'Invoer gegevens (N)'!$C$39)^('Invoer gegevens (N)'!$C$17-'Invoer gegevens (N)'!$C$16)</f>
        <v>0</v>
      </c>
      <c r="AZ14" s="68">
        <f ca="1">IF(E14-'Invoer gegevens (N)'!$C$17-14.5&lt;0,0,E14-'Invoer gegevens (N)'!$C$17-14.5)</f>
        <v>0</v>
      </c>
    </row>
    <row r="15" spans="1:52" x14ac:dyDescent="0.25">
      <c r="A15" s="59"/>
      <c r="B15" s="70">
        <f t="shared" si="8"/>
        <v>11</v>
      </c>
      <c r="C15" s="67">
        <f ca="1">IF(E15-'Invoer gegevens (N)'!$C$17&lt;0,0,1)</f>
        <v>1</v>
      </c>
      <c r="D15" s="68">
        <f t="shared" si="9"/>
        <v>10.5</v>
      </c>
      <c r="E15" s="69">
        <f ca="1">IF('Invoer gegevens (N)'!$C$16="","",E14+1)</f>
        <v>2029</v>
      </c>
      <c r="F15" s="82">
        <f ca="1">IF('Invoer gegevens (N)'!$C$17=E15,'Invoer gegevens (N)'!$C$10,IF(C15=1,H14,0))</f>
        <v>0</v>
      </c>
      <c r="G15" s="83">
        <f ca="1">IF(C15&gt;=1,F15*'Reeksen (N)'!C15,0)</f>
        <v>0</v>
      </c>
      <c r="H15" s="84">
        <f t="shared" ca="1" si="3"/>
        <v>0</v>
      </c>
      <c r="I15" s="85">
        <f ca="1">IF('Invoer gegevens (N)'!$C$17=E15,'Invoer gegevens (N)'!$C$11,IF(C15=1,L14,0))</f>
        <v>0</v>
      </c>
      <c r="J15" s="86">
        <f ca="1">IF(C15&lt;1,0,IF('Reeksen (N)'!AK15&lt;='Reeksen (N)'!AE15,I15*'Reeksen (N)'!C15,0))</f>
        <v>0</v>
      </c>
      <c r="K15" s="86">
        <f ca="1">IF(C15&lt;1,0,IF('Reeksen (N)'!AK15&gt;'Reeksen (N)'!AE15,I15*'Reeksen (N)'!C15,0))</f>
        <v>0</v>
      </c>
      <c r="L15" s="86">
        <f t="shared" ca="1" si="4"/>
        <v>0</v>
      </c>
      <c r="M15" s="85">
        <f ca="1">IF('Invoer gegevens (N)'!$C$17=E15,'Invoer gegevens (N)'!$C$10-'Invoer gegevens (N)'!$C$11,IF(C15=1,P14,0))</f>
        <v>0</v>
      </c>
      <c r="N15" s="86">
        <f ca="1">IF(C15&lt;1,0,IF('Reeksen (N)'!AK15&lt;='Reeksen (N)'!AE15,M15*'Reeksen (N)'!C15,0))</f>
        <v>0</v>
      </c>
      <c r="O15" s="86">
        <f ca="1">IF(C15&lt;1,0,IF('Reeksen (N)'!AK15&gt;'Reeksen (N)'!AE15,M15*'Reeksen (N)'!C15,0))</f>
        <v>0</v>
      </c>
      <c r="P15" s="86">
        <f t="shared" ca="1" si="5"/>
        <v>0</v>
      </c>
      <c r="Q15" s="82">
        <f ca="1">IF('Invoer gegevens (N)'!$C$17=E15,I15,IF(C15=0,0,R14))</f>
        <v>0</v>
      </c>
      <c r="R15" s="84">
        <f t="shared" ca="1" si="0"/>
        <v>0</v>
      </c>
      <c r="S15" s="84">
        <f ca="1">IF('Invoer gegevens (N)'!$C$17=E15,M15,IF(C15=0,0,T14))</f>
        <v>0</v>
      </c>
      <c r="T15" s="84">
        <f t="shared" ca="1" si="1"/>
        <v>0</v>
      </c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8"/>
      <c r="AI15" s="71">
        <f ca="1">IF(C15=1,((F15+H15)/2*'Reeksen (N)'!AJ15*12)+(('Invoer gegevens (N)'!$C$10-(F15+H15)/2)*'Reeksen (N)'!AK15*12),0)</f>
        <v>0</v>
      </c>
      <c r="AJ15" s="71">
        <f ca="1">-AI15*'Invoer gegevens (N)'!$F$28</f>
        <v>0</v>
      </c>
      <c r="AK15" s="71">
        <f t="shared" ca="1" si="2"/>
        <v>0</v>
      </c>
      <c r="AL15" s="71">
        <f ca="1">IF(C15=1,(12*((F15+H15)/2)*'Reeksen (N)'!AL15)+(12*('Invoer gegevens (N)'!$C$10-(F15+H15)/2)*'Reeksen (N)'!AM15),0)</f>
        <v>0</v>
      </c>
      <c r="AM15" s="71">
        <f ca="1">-AL15*'Invoer gegevens (N)'!$F$31</f>
        <v>0</v>
      </c>
      <c r="AN15" s="71">
        <f t="shared" ca="1" si="6"/>
        <v>0</v>
      </c>
      <c r="AO15" s="71"/>
      <c r="AP15" s="71"/>
      <c r="AQ15" s="71">
        <f ca="1">-IF(C15=1,('Invoer gegevens (N)'!$C$10*'Invoer gegevens (N)'!$I$33)*'Reeksen (N)'!J15,0)*2</f>
        <v>0</v>
      </c>
      <c r="AR15" s="71">
        <f ca="1">-IF(C15=1,(G15*'Invoer gegevens (N)'!$I$34)*'Reeksen (N)'!J15,0)</f>
        <v>0</v>
      </c>
      <c r="AS15" s="71">
        <f ca="1">-IF(C15=1,'Invoer gegevens (N)'!$C$10*'Invoer gegevens (N)'!$I$35*'Reeksen (N)'!L15,0)</f>
        <v>0</v>
      </c>
      <c r="AT15" s="71">
        <f ca="1">-IF(C15=1,IF(E15='Invoer gegevens (N)'!$C$17,'Invoer gegevens (N)'!$C$11,Q15)*'Reeksen (N)'!S15*'Invoer gegevens (N)'!$C$18*'Reeksen (N)'!P15,0)</f>
        <v>0</v>
      </c>
      <c r="AU15" s="71">
        <f ca="1">-IF(C15=1,'Invoer gegevens (N)'!$C$10*'Invoer gegevens (N)'!$I$36*'Reeksen (N)'!H15,0)</f>
        <v>0</v>
      </c>
      <c r="AV15" s="71">
        <v>0</v>
      </c>
      <c r="AW15" s="71">
        <f t="shared" ca="1" si="7"/>
        <v>0</v>
      </c>
      <c r="AX15" s="71">
        <f ca="1">IF(E15&lt;'Invoer gegevens (N)'!$C$17+15,0,IF(E15&gt;'Invoer gegevens (N)'!$C$17+215,0,AW15))</f>
        <v>0</v>
      </c>
      <c r="AY15" s="71">
        <f ca="1">AX15/(1+'Invoer gegevens (N)'!$F$13)^($AZ15-('Invoer gegevens (N)'!$C$17-'Invoer gegevens (N)'!$C$16))/(1+'Invoer gegevens (N)'!$C$39)^('Invoer gegevens (N)'!$C$17-'Invoer gegevens (N)'!$C$16)</f>
        <v>0</v>
      </c>
      <c r="AZ15" s="68">
        <f ca="1">IF(E15-'Invoer gegevens (N)'!$C$17-14.5&lt;0,0,E15-'Invoer gegevens (N)'!$C$17-14.5)</f>
        <v>0</v>
      </c>
    </row>
    <row r="16" spans="1:52" x14ac:dyDescent="0.25">
      <c r="A16" s="59"/>
      <c r="B16" s="70">
        <f t="shared" si="8"/>
        <v>12</v>
      </c>
      <c r="C16" s="67">
        <f ca="1">IF(E16-'Invoer gegevens (N)'!$C$17&lt;0,0,1)</f>
        <v>1</v>
      </c>
      <c r="D16" s="68">
        <f t="shared" si="9"/>
        <v>11.5</v>
      </c>
      <c r="E16" s="69">
        <f ca="1">IF('Invoer gegevens (N)'!$C$16="","",E15+1)</f>
        <v>2030</v>
      </c>
      <c r="F16" s="82">
        <f ca="1">IF('Invoer gegevens (N)'!$C$17=E16,'Invoer gegevens (N)'!$C$10,IF(C16=1,H15,0))</f>
        <v>0</v>
      </c>
      <c r="G16" s="83">
        <f ca="1">IF(C16&gt;=1,F16*'Reeksen (N)'!C16,0)</f>
        <v>0</v>
      </c>
      <c r="H16" s="84">
        <f t="shared" ca="1" si="3"/>
        <v>0</v>
      </c>
      <c r="I16" s="85">
        <f ca="1">IF('Invoer gegevens (N)'!$C$17=E16,'Invoer gegevens (N)'!$C$11,IF(C16=1,L15,0))</f>
        <v>0</v>
      </c>
      <c r="J16" s="86">
        <f ca="1">IF(C16&lt;1,0,IF('Reeksen (N)'!AK16&lt;='Reeksen (N)'!AE16,I16*'Reeksen (N)'!C16,0))</f>
        <v>0</v>
      </c>
      <c r="K16" s="86">
        <f ca="1">IF(C16&lt;1,0,IF('Reeksen (N)'!AK16&gt;'Reeksen (N)'!AE16,I16*'Reeksen (N)'!C16,0))</f>
        <v>0</v>
      </c>
      <c r="L16" s="86">
        <f t="shared" ca="1" si="4"/>
        <v>0</v>
      </c>
      <c r="M16" s="85">
        <f ca="1">IF('Invoer gegevens (N)'!$C$17=E16,'Invoer gegevens (N)'!$C$10-'Invoer gegevens (N)'!$C$11,IF(C16=1,P15,0))</f>
        <v>0</v>
      </c>
      <c r="N16" s="86">
        <f ca="1">IF(C16&lt;1,0,IF('Reeksen (N)'!AK16&lt;='Reeksen (N)'!AE16,M16*'Reeksen (N)'!C16,0))</f>
        <v>0</v>
      </c>
      <c r="O16" s="86">
        <f ca="1">IF(C16&lt;1,0,IF('Reeksen (N)'!AK16&gt;'Reeksen (N)'!AE16,M16*'Reeksen (N)'!C16,0))</f>
        <v>0</v>
      </c>
      <c r="P16" s="86">
        <f t="shared" ca="1" si="5"/>
        <v>0</v>
      </c>
      <c r="Q16" s="82">
        <f ca="1">IF('Invoer gegevens (N)'!$C$17=E16,I16,IF(C16=0,0,R15))</f>
        <v>0</v>
      </c>
      <c r="R16" s="84">
        <f t="shared" ca="1" si="0"/>
        <v>0</v>
      </c>
      <c r="S16" s="84">
        <f ca="1">IF('Invoer gegevens (N)'!$C$17=E16,M16,IF(C16=0,0,T15))</f>
        <v>0</v>
      </c>
      <c r="T16" s="84">
        <f t="shared" ca="1" si="1"/>
        <v>0</v>
      </c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8"/>
      <c r="AI16" s="71">
        <f ca="1">IF(C16=1,((F16+H16)/2*'Reeksen (N)'!AJ16*12)+(('Invoer gegevens (N)'!$C$10-(F16+H16)/2)*'Reeksen (N)'!AK16*12),0)</f>
        <v>0</v>
      </c>
      <c r="AJ16" s="71">
        <f ca="1">-AI16*'Invoer gegevens (N)'!$F$28</f>
        <v>0</v>
      </c>
      <c r="AK16" s="71">
        <f t="shared" ca="1" si="2"/>
        <v>0</v>
      </c>
      <c r="AL16" s="71">
        <f ca="1">IF(C16=1,(12*((F16+H16)/2)*'Reeksen (N)'!AL16)+(12*('Invoer gegevens (N)'!$C$10-(F16+H16)/2)*'Reeksen (N)'!AM16),0)</f>
        <v>0</v>
      </c>
      <c r="AM16" s="71">
        <f ca="1">-AL16*'Invoer gegevens (N)'!$F$31</f>
        <v>0</v>
      </c>
      <c r="AN16" s="71">
        <f t="shared" ca="1" si="6"/>
        <v>0</v>
      </c>
      <c r="AO16" s="71"/>
      <c r="AP16" s="71"/>
      <c r="AQ16" s="71">
        <f ca="1">-IF(C16=1,('Invoer gegevens (N)'!$C$10*'Invoer gegevens (N)'!$I$33)*'Reeksen (N)'!J16,0)*2</f>
        <v>0</v>
      </c>
      <c r="AR16" s="71">
        <f ca="1">-IF(C16=1,(G16*'Invoer gegevens (N)'!$I$34)*'Reeksen (N)'!J16,0)</f>
        <v>0</v>
      </c>
      <c r="AS16" s="71">
        <f ca="1">-IF(C16=1,'Invoer gegevens (N)'!$C$10*'Invoer gegevens (N)'!$I$35*'Reeksen (N)'!L16,0)</f>
        <v>0</v>
      </c>
      <c r="AT16" s="71">
        <f ca="1">-IF(C16=1,IF(E16='Invoer gegevens (N)'!$C$17,'Invoer gegevens (N)'!$C$11,Q16)*'Reeksen (N)'!S16*'Invoer gegevens (N)'!$C$18*'Reeksen (N)'!P16,0)</f>
        <v>0</v>
      </c>
      <c r="AU16" s="71">
        <f ca="1">-IF(C16=1,'Invoer gegevens (N)'!$C$10*'Invoer gegevens (N)'!$I$36*'Reeksen (N)'!H16,0)</f>
        <v>0</v>
      </c>
      <c r="AV16" s="71">
        <v>0</v>
      </c>
      <c r="AW16" s="71">
        <f t="shared" ca="1" si="7"/>
        <v>0</v>
      </c>
      <c r="AX16" s="71">
        <f ca="1">IF(E16&lt;'Invoer gegevens (N)'!$C$17+15,0,IF(E16&gt;'Invoer gegevens (N)'!$C$17+215,0,AW16))</f>
        <v>0</v>
      </c>
      <c r="AY16" s="71">
        <f ca="1">AX16/(1+'Invoer gegevens (N)'!$F$13)^($AZ16-('Invoer gegevens (N)'!$C$17-'Invoer gegevens (N)'!$C$16))/(1+'Invoer gegevens (N)'!$C$39)^('Invoer gegevens (N)'!$C$17-'Invoer gegevens (N)'!$C$16)</f>
        <v>0</v>
      </c>
      <c r="AZ16" s="68">
        <f ca="1">IF(E16-'Invoer gegevens (N)'!$C$17-14.5&lt;0,0,E16-'Invoer gegevens (N)'!$C$17-14.5)</f>
        <v>0</v>
      </c>
    </row>
    <row r="17" spans="1:52" x14ac:dyDescent="0.25">
      <c r="A17" s="59"/>
      <c r="B17" s="70">
        <f t="shared" si="8"/>
        <v>13</v>
      </c>
      <c r="C17" s="67">
        <f ca="1">IF(E17-'Invoer gegevens (N)'!$C$17&lt;0,0,1)</f>
        <v>1</v>
      </c>
      <c r="D17" s="68">
        <f t="shared" si="9"/>
        <v>12.5</v>
      </c>
      <c r="E17" s="69">
        <f ca="1">IF('Invoer gegevens (N)'!$C$16="","",E16+1)</f>
        <v>2031</v>
      </c>
      <c r="F17" s="82">
        <f ca="1">IF('Invoer gegevens (N)'!$C$17=E17,'Invoer gegevens (N)'!$C$10,IF(C17=1,H16,0))</f>
        <v>0</v>
      </c>
      <c r="G17" s="83">
        <f ca="1">IF(C17&gt;=1,F17*'Reeksen (N)'!C17,0)</f>
        <v>0</v>
      </c>
      <c r="H17" s="84">
        <f t="shared" ca="1" si="3"/>
        <v>0</v>
      </c>
      <c r="I17" s="85">
        <f ca="1">IF('Invoer gegevens (N)'!$C$17=E17,'Invoer gegevens (N)'!$C$11,IF(C17=1,L16,0))</f>
        <v>0</v>
      </c>
      <c r="J17" s="86">
        <f ca="1">IF(C17&lt;1,0,IF('Reeksen (N)'!AK17&lt;='Reeksen (N)'!AE17,I17*'Reeksen (N)'!C17,0))</f>
        <v>0</v>
      </c>
      <c r="K17" s="86">
        <f ca="1">IF(C17&lt;1,0,IF('Reeksen (N)'!AK17&gt;'Reeksen (N)'!AE17,I17*'Reeksen (N)'!C17,0))</f>
        <v>0</v>
      </c>
      <c r="L17" s="86">
        <f t="shared" ca="1" si="4"/>
        <v>0</v>
      </c>
      <c r="M17" s="85">
        <f ca="1">IF('Invoer gegevens (N)'!$C$17=E17,'Invoer gegevens (N)'!$C$10-'Invoer gegevens (N)'!$C$11,IF(C17=1,P16,0))</f>
        <v>0</v>
      </c>
      <c r="N17" s="86">
        <f ca="1">IF(C17&lt;1,0,IF('Reeksen (N)'!AK17&lt;='Reeksen (N)'!AE17,M17*'Reeksen (N)'!C17,0))</f>
        <v>0</v>
      </c>
      <c r="O17" s="86">
        <f ca="1">IF(C17&lt;1,0,IF('Reeksen (N)'!AK17&gt;'Reeksen (N)'!AE17,M17*'Reeksen (N)'!C17,0))</f>
        <v>0</v>
      </c>
      <c r="P17" s="86">
        <f t="shared" ca="1" si="5"/>
        <v>0</v>
      </c>
      <c r="Q17" s="82">
        <f ca="1">IF('Invoer gegevens (N)'!$C$17=E17,I17,IF(C17=0,0,R16))</f>
        <v>0</v>
      </c>
      <c r="R17" s="84">
        <f t="shared" ca="1" si="0"/>
        <v>0</v>
      </c>
      <c r="S17" s="84">
        <f ca="1">IF('Invoer gegevens (N)'!$C$17=E17,M17,IF(C17=0,0,T16))</f>
        <v>0</v>
      </c>
      <c r="T17" s="84">
        <f t="shared" ca="1" si="1"/>
        <v>0</v>
      </c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8"/>
      <c r="AI17" s="71">
        <f ca="1">IF(C17=1,((F17+H17)/2*'Reeksen (N)'!AJ17*12)+(('Invoer gegevens (N)'!$C$10-(F17+H17)/2)*'Reeksen (N)'!AK17*12),0)</f>
        <v>0</v>
      </c>
      <c r="AJ17" s="71">
        <f ca="1">-AI17*'Invoer gegevens (N)'!$F$28</f>
        <v>0</v>
      </c>
      <c r="AK17" s="71">
        <f t="shared" ca="1" si="2"/>
        <v>0</v>
      </c>
      <c r="AL17" s="71">
        <f ca="1">IF(C17=1,(12*((F17+H17)/2)*'Reeksen (N)'!AL17)+(12*('Invoer gegevens (N)'!$C$10-(F17+H17)/2)*'Reeksen (N)'!AM17),0)</f>
        <v>0</v>
      </c>
      <c r="AM17" s="71">
        <f ca="1">-AL17*'Invoer gegevens (N)'!$F$31</f>
        <v>0</v>
      </c>
      <c r="AN17" s="71">
        <f t="shared" ca="1" si="6"/>
        <v>0</v>
      </c>
      <c r="AO17" s="71"/>
      <c r="AP17" s="71"/>
      <c r="AQ17" s="71">
        <f ca="1">-IF(C17=1,('Invoer gegevens (N)'!$C$10*'Invoer gegevens (N)'!$I$33)*'Reeksen (N)'!J17,0)*2</f>
        <v>0</v>
      </c>
      <c r="AR17" s="71">
        <f ca="1">-IF(C17=1,(G17*'Invoer gegevens (N)'!$I$34)*'Reeksen (N)'!J17,0)</f>
        <v>0</v>
      </c>
      <c r="AS17" s="71">
        <f ca="1">-IF(C17=1,'Invoer gegevens (N)'!$C$10*'Invoer gegevens (N)'!$I$35*'Reeksen (N)'!L17,0)</f>
        <v>0</v>
      </c>
      <c r="AT17" s="71">
        <f ca="1">-IF(C17=1,IF(E17='Invoer gegevens (N)'!$C$17,'Invoer gegevens (N)'!$C$11,Q17)*'Reeksen (N)'!S17*'Invoer gegevens (N)'!$C$18*'Reeksen (N)'!P17,0)</f>
        <v>0</v>
      </c>
      <c r="AU17" s="71">
        <f ca="1">-IF(C17=1,'Invoer gegevens (N)'!$C$10*'Invoer gegevens (N)'!$I$36*'Reeksen (N)'!H17,0)</f>
        <v>0</v>
      </c>
      <c r="AV17" s="71">
        <v>0</v>
      </c>
      <c r="AW17" s="71">
        <f t="shared" ca="1" si="7"/>
        <v>0</v>
      </c>
      <c r="AX17" s="71">
        <f ca="1">IF(E17&lt;'Invoer gegevens (N)'!$C$17+15,0,IF(E17&gt;'Invoer gegevens (N)'!$C$17+215,0,AW17))</f>
        <v>0</v>
      </c>
      <c r="AY17" s="71">
        <f ca="1">AX17/(1+'Invoer gegevens (N)'!$F$13)^($AZ17-('Invoer gegevens (N)'!$C$17-'Invoer gegevens (N)'!$C$16))/(1+'Invoer gegevens (N)'!$C$39)^('Invoer gegevens (N)'!$C$17-'Invoer gegevens (N)'!$C$16)</f>
        <v>0</v>
      </c>
      <c r="AZ17" s="68">
        <f ca="1">IF(E17-'Invoer gegevens (N)'!$C$17-14.5&lt;0,0,E17-'Invoer gegevens (N)'!$C$17-14.5)</f>
        <v>0</v>
      </c>
    </row>
    <row r="18" spans="1:52" x14ac:dyDescent="0.25">
      <c r="A18" s="59"/>
      <c r="B18" s="70">
        <f t="shared" si="8"/>
        <v>14</v>
      </c>
      <c r="C18" s="67">
        <f ca="1">IF(E18-'Invoer gegevens (N)'!$C$17&lt;0,0,1)</f>
        <v>1</v>
      </c>
      <c r="D18" s="68">
        <f t="shared" si="9"/>
        <v>13.5</v>
      </c>
      <c r="E18" s="69">
        <f ca="1">IF('Invoer gegevens (N)'!$C$16="","",E17+1)</f>
        <v>2032</v>
      </c>
      <c r="F18" s="82">
        <f ca="1">IF('Invoer gegevens (N)'!$C$17=E18,'Invoer gegevens (N)'!$C$10,IF(C18=1,H17,0))</f>
        <v>0</v>
      </c>
      <c r="G18" s="83">
        <f ca="1">IF(C18&gt;=1,F18*'Reeksen (N)'!C18,0)</f>
        <v>0</v>
      </c>
      <c r="H18" s="84">
        <f t="shared" ca="1" si="3"/>
        <v>0</v>
      </c>
      <c r="I18" s="85">
        <f ca="1">IF('Invoer gegevens (N)'!$C$17=E18,'Invoer gegevens (N)'!$C$11,IF(C18=1,L17,0))</f>
        <v>0</v>
      </c>
      <c r="J18" s="86">
        <f ca="1">IF(C18&lt;1,0,IF('Reeksen (N)'!AK18&lt;='Reeksen (N)'!AE18,I18*'Reeksen (N)'!C18,0))</f>
        <v>0</v>
      </c>
      <c r="K18" s="86">
        <f ca="1">IF(C18&lt;1,0,IF('Reeksen (N)'!AK18&gt;'Reeksen (N)'!AE18,I18*'Reeksen (N)'!C18,0))</f>
        <v>0</v>
      </c>
      <c r="L18" s="86">
        <f t="shared" ca="1" si="4"/>
        <v>0</v>
      </c>
      <c r="M18" s="85">
        <f ca="1">IF('Invoer gegevens (N)'!$C$17=E18,'Invoer gegevens (N)'!$C$10-'Invoer gegevens (N)'!$C$11,IF(C18=1,P17,0))</f>
        <v>0</v>
      </c>
      <c r="N18" s="86">
        <f ca="1">IF(C18&lt;1,0,IF('Reeksen (N)'!AK18&lt;='Reeksen (N)'!AE18,M18*'Reeksen (N)'!C18,0))</f>
        <v>0</v>
      </c>
      <c r="O18" s="86">
        <f ca="1">IF(C18&lt;1,0,IF('Reeksen (N)'!AK18&gt;'Reeksen (N)'!AE18,M18*'Reeksen (N)'!C18,0))</f>
        <v>0</v>
      </c>
      <c r="P18" s="86">
        <f t="shared" ca="1" si="5"/>
        <v>0</v>
      </c>
      <c r="Q18" s="82">
        <f ca="1">IF('Invoer gegevens (N)'!$C$17=E18,I18,IF(C18=0,0,R17))</f>
        <v>0</v>
      </c>
      <c r="R18" s="84">
        <f t="shared" ca="1" si="0"/>
        <v>0</v>
      </c>
      <c r="S18" s="84">
        <f ca="1">IF('Invoer gegevens (N)'!$C$17=E18,M18,IF(C18=0,0,T17))</f>
        <v>0</v>
      </c>
      <c r="T18" s="84">
        <f t="shared" ca="1" si="1"/>
        <v>0</v>
      </c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8"/>
      <c r="AI18" s="71">
        <f ca="1">IF(C18=1,((F18+H18)/2*'Reeksen (N)'!AJ18*12)+(('Invoer gegevens (N)'!$C$10-(F18+H18)/2)*'Reeksen (N)'!AK18*12),0)</f>
        <v>0</v>
      </c>
      <c r="AJ18" s="71">
        <f ca="1">-AI18*'Invoer gegevens (N)'!$F$28</f>
        <v>0</v>
      </c>
      <c r="AK18" s="71">
        <f t="shared" ca="1" si="2"/>
        <v>0</v>
      </c>
      <c r="AL18" s="71">
        <f ca="1">IF(C18=1,(12*((F18+H18)/2)*'Reeksen (N)'!AL18)+(12*('Invoer gegevens (N)'!$C$10-(F18+H18)/2)*'Reeksen (N)'!AM18),0)</f>
        <v>0</v>
      </c>
      <c r="AM18" s="71">
        <f ca="1">-AL18*'Invoer gegevens (N)'!$F$31</f>
        <v>0</v>
      </c>
      <c r="AN18" s="71">
        <f t="shared" ca="1" si="6"/>
        <v>0</v>
      </c>
      <c r="AO18" s="71"/>
      <c r="AP18" s="71"/>
      <c r="AQ18" s="71">
        <f ca="1">-IF(C18=1,('Invoer gegevens (N)'!$C$10*'Invoer gegevens (N)'!$I$33)*'Reeksen (N)'!J18,0)*2</f>
        <v>0</v>
      </c>
      <c r="AR18" s="71">
        <f ca="1">-IF(C18=1,(G18*'Invoer gegevens (N)'!$I$34)*'Reeksen (N)'!J18,0)</f>
        <v>0</v>
      </c>
      <c r="AS18" s="71">
        <f ca="1">-IF(C18=1,'Invoer gegevens (N)'!$C$10*'Invoer gegevens (N)'!$I$35*'Reeksen (N)'!L18,0)</f>
        <v>0</v>
      </c>
      <c r="AT18" s="71">
        <f ca="1">-IF(C18=1,IF(E18='Invoer gegevens (N)'!$C$17,'Invoer gegevens (N)'!$C$11,Q18)*'Reeksen (N)'!S18*'Invoer gegevens (N)'!$C$18*'Reeksen (N)'!P18,0)</f>
        <v>0</v>
      </c>
      <c r="AU18" s="71">
        <f ca="1">-IF(C18=1,'Invoer gegevens (N)'!$C$10*'Invoer gegevens (N)'!$I$36*'Reeksen (N)'!H18,0)</f>
        <v>0</v>
      </c>
      <c r="AV18" s="71">
        <v>0</v>
      </c>
      <c r="AW18" s="71">
        <f t="shared" ca="1" si="7"/>
        <v>0</v>
      </c>
      <c r="AX18" s="71">
        <f ca="1">IF(E18&lt;'Invoer gegevens (N)'!$C$17+15,0,IF(E18&gt;'Invoer gegevens (N)'!$C$17+215,0,AW18))</f>
        <v>0</v>
      </c>
      <c r="AY18" s="71">
        <f ca="1">AX18/(1+'Invoer gegevens (N)'!$F$13)^($AZ18-('Invoer gegevens (N)'!$C$17-'Invoer gegevens (N)'!$C$16))/(1+'Invoer gegevens (N)'!$C$39)^('Invoer gegevens (N)'!$C$17-'Invoer gegevens (N)'!$C$16)</f>
        <v>0</v>
      </c>
      <c r="AZ18" s="68">
        <f ca="1">IF(E18-'Invoer gegevens (N)'!$C$17-14.5&lt;0,0,E18-'Invoer gegevens (N)'!$C$17-14.5)</f>
        <v>0</v>
      </c>
    </row>
    <row r="19" spans="1:52" x14ac:dyDescent="0.25">
      <c r="A19" s="59"/>
      <c r="B19" s="70">
        <f t="shared" si="8"/>
        <v>15</v>
      </c>
      <c r="C19" s="67">
        <f ca="1">IF(E19-'Invoer gegevens (N)'!$C$17&lt;0,0,1)</f>
        <v>1</v>
      </c>
      <c r="D19" s="68">
        <f t="shared" si="9"/>
        <v>14.5</v>
      </c>
      <c r="E19" s="69">
        <f ca="1">IF('Invoer gegevens (N)'!$C$16="","",E18+1)</f>
        <v>2033</v>
      </c>
      <c r="F19" s="82">
        <f ca="1">IF('Invoer gegevens (N)'!$C$17=E19,'Invoer gegevens (N)'!$C$10,IF(C19=1,H18,0))</f>
        <v>0</v>
      </c>
      <c r="G19" s="83">
        <f ca="1">IF(C19&gt;=1,F19*'Reeksen (N)'!C19,0)</f>
        <v>0</v>
      </c>
      <c r="H19" s="84">
        <f t="shared" ca="1" si="3"/>
        <v>0</v>
      </c>
      <c r="I19" s="85">
        <f ca="1">IF('Invoer gegevens (N)'!$C$17=E19,'Invoer gegevens (N)'!$C$11,IF(C19=1,L18,0))</f>
        <v>0</v>
      </c>
      <c r="J19" s="86">
        <f ca="1">IF(C19&lt;1,0,IF('Reeksen (N)'!AK19&lt;='Reeksen (N)'!AE19,I19*'Reeksen (N)'!C19,0))</f>
        <v>0</v>
      </c>
      <c r="K19" s="86">
        <f ca="1">IF(C19&lt;1,0,IF('Reeksen (N)'!AK19&gt;'Reeksen (N)'!AE19,I19*'Reeksen (N)'!C19,0))</f>
        <v>0</v>
      </c>
      <c r="L19" s="86">
        <f t="shared" ca="1" si="4"/>
        <v>0</v>
      </c>
      <c r="M19" s="85">
        <f ca="1">IF('Invoer gegevens (N)'!$C$17=E19,'Invoer gegevens (N)'!$C$10-'Invoer gegevens (N)'!$C$11,IF(C19=1,P18,0))</f>
        <v>0</v>
      </c>
      <c r="N19" s="86">
        <f ca="1">IF(C19&lt;1,0,IF('Reeksen (N)'!AK19&lt;='Reeksen (N)'!AE19,M19*'Reeksen (N)'!C19,0))</f>
        <v>0</v>
      </c>
      <c r="O19" s="86">
        <f ca="1">IF(C19&lt;1,0,IF('Reeksen (N)'!AK19&gt;'Reeksen (N)'!AE19,M19*'Reeksen (N)'!C19,0))</f>
        <v>0</v>
      </c>
      <c r="P19" s="86">
        <f t="shared" ca="1" si="5"/>
        <v>0</v>
      </c>
      <c r="Q19" s="82">
        <f ca="1">IF('Invoer gegevens (N)'!$C$17=E19,I19,IF(C19=0,0,R18))</f>
        <v>0</v>
      </c>
      <c r="R19" s="84">
        <f t="shared" ca="1" si="0"/>
        <v>0</v>
      </c>
      <c r="S19" s="84">
        <f ca="1">IF('Invoer gegevens (N)'!$C$17=E19,M19,IF(C19=0,0,T18))</f>
        <v>0</v>
      </c>
      <c r="T19" s="84">
        <f t="shared" ca="1" si="1"/>
        <v>0</v>
      </c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8"/>
      <c r="AI19" s="71">
        <f ca="1">IF(C19=1,((F19+H19)/2*'Reeksen (N)'!AJ19*12)+(('Invoer gegevens (N)'!$C$10-(F19+H19)/2)*'Reeksen (N)'!AK19*12),0)</f>
        <v>0</v>
      </c>
      <c r="AJ19" s="71">
        <f ca="1">-AI19*'Invoer gegevens (N)'!$F$28</f>
        <v>0</v>
      </c>
      <c r="AK19" s="71">
        <f t="shared" ca="1" si="2"/>
        <v>0</v>
      </c>
      <c r="AL19" s="71">
        <f ca="1">IF(C19=1,(12*((F19+H19)/2)*'Reeksen (N)'!AL19)+(12*('Invoer gegevens (N)'!$C$10-(F19+H19)/2)*'Reeksen (N)'!AM19),0)</f>
        <v>0</v>
      </c>
      <c r="AM19" s="71">
        <f ca="1">-AL19*'Invoer gegevens (N)'!$F$31</f>
        <v>0</v>
      </c>
      <c r="AN19" s="71">
        <f t="shared" ca="1" si="6"/>
        <v>0</v>
      </c>
      <c r="AO19" s="71"/>
      <c r="AP19" s="71"/>
      <c r="AQ19" s="71">
        <f ca="1">-IF(C19=1,('Invoer gegevens (N)'!$C$10*'Invoer gegevens (N)'!$I$33)*'Reeksen (N)'!J19,0)*2</f>
        <v>0</v>
      </c>
      <c r="AR19" s="71">
        <f ca="1">-IF(C19=1,(G19*'Invoer gegevens (N)'!$I$34)*'Reeksen (N)'!J19,0)</f>
        <v>0</v>
      </c>
      <c r="AS19" s="71">
        <f ca="1">-IF(C19=1,'Invoer gegevens (N)'!$C$10*'Invoer gegevens (N)'!$I$35*'Reeksen (N)'!L19,0)</f>
        <v>0</v>
      </c>
      <c r="AT19" s="71">
        <f ca="1">-IF(C19=1,IF(E19='Invoer gegevens (N)'!$C$17,'Invoer gegevens (N)'!$C$11,Q19)*'Reeksen (N)'!S19*'Invoer gegevens (N)'!$C$18*'Reeksen (N)'!P19,0)</f>
        <v>0</v>
      </c>
      <c r="AU19" s="71">
        <f ca="1">-IF(C19=1,'Invoer gegevens (N)'!$C$10*'Invoer gegevens (N)'!$I$36*'Reeksen (N)'!H19,0)</f>
        <v>0</v>
      </c>
      <c r="AV19" s="71">
        <v>0</v>
      </c>
      <c r="AW19" s="71">
        <f t="shared" ca="1" si="7"/>
        <v>0</v>
      </c>
      <c r="AX19" s="71">
        <f ca="1">IF(E19&lt;'Invoer gegevens (N)'!$C$17+15,0,IF(E19&gt;'Invoer gegevens (N)'!$C$17+215,0,AW19))</f>
        <v>0</v>
      </c>
      <c r="AY19" s="71">
        <f ca="1">AX19/(1+'Invoer gegevens (N)'!$F$13)^($AZ19-('Invoer gegevens (N)'!$C$17-'Invoer gegevens (N)'!$C$16))/(1+'Invoer gegevens (N)'!$C$39)^('Invoer gegevens (N)'!$C$17-'Invoer gegevens (N)'!$C$16)</f>
        <v>0</v>
      </c>
      <c r="AZ19" s="68">
        <f ca="1">IF(E19-'Invoer gegevens (N)'!$C$17-14.5&lt;0,0,E19-'Invoer gegevens (N)'!$C$17-14.5)</f>
        <v>0</v>
      </c>
    </row>
    <row r="20" spans="1:52" x14ac:dyDescent="0.25">
      <c r="A20" s="59"/>
      <c r="B20" s="70">
        <f t="shared" si="8"/>
        <v>16</v>
      </c>
      <c r="C20" s="67">
        <f ca="1">IF(E20-'Invoer gegevens (N)'!$C$17&lt;0,0,1)</f>
        <v>1</v>
      </c>
      <c r="D20" s="68">
        <f t="shared" si="9"/>
        <v>15.5</v>
      </c>
      <c r="E20" s="69">
        <f ca="1">IF('Invoer gegevens (N)'!$C$16="","",E19+1)</f>
        <v>2034</v>
      </c>
      <c r="F20" s="82">
        <f ca="1">IF('Invoer gegevens (N)'!$C$17=E20,'Invoer gegevens (N)'!$C$10,IF(C20=1,H19,0))</f>
        <v>0</v>
      </c>
      <c r="G20" s="83">
        <f ca="1">IF(C20&gt;=1,F20*'Reeksen (N)'!C20,0)</f>
        <v>0</v>
      </c>
      <c r="H20" s="84">
        <f t="shared" ca="1" si="3"/>
        <v>0</v>
      </c>
      <c r="I20" s="85">
        <f ca="1">IF('Invoer gegevens (N)'!$C$17=E20,'Invoer gegevens (N)'!$C$11,IF(C20=1,L19,0))</f>
        <v>0</v>
      </c>
      <c r="J20" s="86">
        <f ca="1">IF(C20&lt;1,0,IF('Reeksen (N)'!AK20&lt;='Reeksen (N)'!AE20,I20*'Reeksen (N)'!C20,0))</f>
        <v>0</v>
      </c>
      <c r="K20" s="86">
        <f ca="1">IF(C20&lt;1,0,IF('Reeksen (N)'!AK20&gt;'Reeksen (N)'!AE20,I20*'Reeksen (N)'!C20,0))</f>
        <v>0</v>
      </c>
      <c r="L20" s="86">
        <f t="shared" ca="1" si="4"/>
        <v>0</v>
      </c>
      <c r="M20" s="85">
        <f ca="1">IF('Invoer gegevens (N)'!$C$17=E20,'Invoer gegevens (N)'!$C$10-'Invoer gegevens (N)'!$C$11,IF(C20=1,P19,0))</f>
        <v>0</v>
      </c>
      <c r="N20" s="86">
        <f ca="1">IF(C20&lt;1,0,IF('Reeksen (N)'!AK20&lt;='Reeksen (N)'!AE20,M20*'Reeksen (N)'!C20,0))</f>
        <v>0</v>
      </c>
      <c r="O20" s="86">
        <f ca="1">IF(C20&lt;1,0,IF('Reeksen (N)'!AK20&gt;'Reeksen (N)'!AE20,M20*'Reeksen (N)'!C20,0))</f>
        <v>0</v>
      </c>
      <c r="P20" s="86">
        <f t="shared" ca="1" si="5"/>
        <v>0</v>
      </c>
      <c r="Q20" s="82">
        <f ca="1">IF('Invoer gegevens (N)'!$C$17=E20,I20,IF(C20=0,0,R19))</f>
        <v>0</v>
      </c>
      <c r="R20" s="84">
        <f t="shared" ca="1" si="0"/>
        <v>0</v>
      </c>
      <c r="S20" s="84">
        <f ca="1">IF('Invoer gegevens (N)'!$C$17=E20,M20,IF(C20=0,0,T19))</f>
        <v>0</v>
      </c>
      <c r="T20" s="84">
        <f t="shared" ca="1" si="1"/>
        <v>0</v>
      </c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8"/>
      <c r="AI20" s="71">
        <f ca="1">IF(C20=1,((F20+H20)/2*'Reeksen (N)'!AJ20*12)+(('Invoer gegevens (N)'!$C$10-(F20+H20)/2)*'Reeksen (N)'!AK20*12),0)</f>
        <v>0</v>
      </c>
      <c r="AJ20" s="71">
        <f ca="1">-AI20*'Invoer gegevens (N)'!$F$28</f>
        <v>0</v>
      </c>
      <c r="AK20" s="71">
        <f t="shared" ca="1" si="2"/>
        <v>0</v>
      </c>
      <c r="AL20" s="71">
        <f ca="1">IF(C20=1,(12*((F20+H20)/2)*'Reeksen (N)'!AL20)+(12*('Invoer gegevens (N)'!$C$10-(F20+H20)/2)*'Reeksen (N)'!AM20),0)</f>
        <v>0</v>
      </c>
      <c r="AM20" s="71">
        <f ca="1">-AL20*'Invoer gegevens (N)'!$F$31</f>
        <v>0</v>
      </c>
      <c r="AN20" s="71">
        <f t="shared" ca="1" si="6"/>
        <v>0</v>
      </c>
      <c r="AO20" s="71"/>
      <c r="AP20" s="71"/>
      <c r="AQ20" s="71">
        <f ca="1">-IF(C20=1,('Invoer gegevens (N)'!$C$10*'Invoer gegevens (N)'!$I$33)*'Reeksen (N)'!J20,0)*2</f>
        <v>0</v>
      </c>
      <c r="AR20" s="71">
        <f ca="1">-IF(C20=1,(G20*'Invoer gegevens (N)'!$I$34)*'Reeksen (N)'!J20,0)</f>
        <v>0</v>
      </c>
      <c r="AS20" s="71">
        <f ca="1">-IF(C20=1,'Invoer gegevens (N)'!$C$10*'Invoer gegevens (N)'!$I$35*'Reeksen (N)'!L20,0)</f>
        <v>0</v>
      </c>
      <c r="AT20" s="71">
        <f ca="1">-IF(C20=1,IF(E20='Invoer gegevens (N)'!$C$17,'Invoer gegevens (N)'!$C$11,Q20)*'Reeksen (N)'!S20*'Invoer gegevens (N)'!$C$18*'Reeksen (N)'!P20,0)</f>
        <v>0</v>
      </c>
      <c r="AU20" s="71">
        <f ca="1">-IF(C20=1,'Invoer gegevens (N)'!$C$10*'Invoer gegevens (N)'!$I$36*'Reeksen (N)'!H20,0)</f>
        <v>0</v>
      </c>
      <c r="AV20" s="71">
        <v>0</v>
      </c>
      <c r="AW20" s="71">
        <f t="shared" ca="1" si="7"/>
        <v>0</v>
      </c>
      <c r="AX20" s="71">
        <f ca="1">IF(E20&lt;'Invoer gegevens (N)'!$C$17+15,0,IF(E20&gt;'Invoer gegevens (N)'!$C$17+215,0,AW20))</f>
        <v>0</v>
      </c>
      <c r="AY20" s="71">
        <f ca="1">AX20/(1+'Invoer gegevens (N)'!$F$13)^($AZ20-('Invoer gegevens (N)'!$C$17-'Invoer gegevens (N)'!$C$16))/(1+'Invoer gegevens (N)'!$C$39)^('Invoer gegevens (N)'!$C$17-'Invoer gegevens (N)'!$C$16)</f>
        <v>0</v>
      </c>
      <c r="AZ20" s="68">
        <f ca="1">IF(E20-'Invoer gegevens (N)'!$C$17-14.5&lt;0,0,E20-'Invoer gegevens (N)'!$C$17-14.5)</f>
        <v>0.5</v>
      </c>
    </row>
    <row r="21" spans="1:52" x14ac:dyDescent="0.25">
      <c r="A21" s="59"/>
      <c r="B21" s="70">
        <f t="shared" si="8"/>
        <v>17</v>
      </c>
      <c r="C21" s="67">
        <f ca="1">IF(E21-'Invoer gegevens (N)'!$C$17&lt;0,0,1)</f>
        <v>1</v>
      </c>
      <c r="D21" s="68">
        <f t="shared" si="9"/>
        <v>16.5</v>
      </c>
      <c r="E21" s="69">
        <f ca="1">IF('Invoer gegevens (N)'!$C$16="","",E20+1)</f>
        <v>2035</v>
      </c>
      <c r="F21" s="82">
        <f ca="1">IF('Invoer gegevens (N)'!$C$17=E21,'Invoer gegevens (N)'!$C$10,IF(C21=1,H20,0))</f>
        <v>0</v>
      </c>
      <c r="G21" s="83">
        <f ca="1">IF(C21&gt;=1,F21*'Reeksen (N)'!C21,0)</f>
        <v>0</v>
      </c>
      <c r="H21" s="84">
        <f t="shared" ca="1" si="3"/>
        <v>0</v>
      </c>
      <c r="I21" s="85">
        <f ca="1">IF('Invoer gegevens (N)'!$C$17=E21,'Invoer gegevens (N)'!$C$11,IF(C21=1,L20,0))</f>
        <v>0</v>
      </c>
      <c r="J21" s="86">
        <f ca="1">IF(C21&lt;1,0,IF('Reeksen (N)'!AK21&lt;='Reeksen (N)'!AE21,I21*'Reeksen (N)'!C21,0))</f>
        <v>0</v>
      </c>
      <c r="K21" s="86">
        <f ca="1">IF(C21&lt;1,0,IF('Reeksen (N)'!AK21&gt;'Reeksen (N)'!AE21,I21*'Reeksen (N)'!C21,0))</f>
        <v>0</v>
      </c>
      <c r="L21" s="86">
        <f t="shared" ca="1" si="4"/>
        <v>0</v>
      </c>
      <c r="M21" s="85">
        <f ca="1">IF('Invoer gegevens (N)'!$C$17=E21,'Invoer gegevens (N)'!$C$10-'Invoer gegevens (N)'!$C$11,IF(C21=1,P20,0))</f>
        <v>0</v>
      </c>
      <c r="N21" s="86">
        <f ca="1">IF(C21&lt;1,0,IF('Reeksen (N)'!AK21&lt;='Reeksen (N)'!AE21,M21*'Reeksen (N)'!C21,0))</f>
        <v>0</v>
      </c>
      <c r="O21" s="86">
        <f ca="1">IF(C21&lt;1,0,IF('Reeksen (N)'!AK21&gt;'Reeksen (N)'!AE21,M21*'Reeksen (N)'!C21,0))</f>
        <v>0</v>
      </c>
      <c r="P21" s="86">
        <f t="shared" ca="1" si="5"/>
        <v>0</v>
      </c>
      <c r="Q21" s="82">
        <f ca="1">IF('Invoer gegevens (N)'!$C$17=E21,I21,IF(C21=0,0,R20))</f>
        <v>0</v>
      </c>
      <c r="R21" s="84">
        <f t="shared" ca="1" si="0"/>
        <v>0</v>
      </c>
      <c r="S21" s="84">
        <f ca="1">IF('Invoer gegevens (N)'!$C$17=E21,M21,IF(C21=0,0,T20))</f>
        <v>0</v>
      </c>
      <c r="T21" s="84">
        <f t="shared" ca="1" si="1"/>
        <v>0</v>
      </c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8"/>
      <c r="AI21" s="71">
        <f ca="1">IF(C21=1,((F21+H21)/2*'Reeksen (N)'!AJ21*12)+(('Invoer gegevens (N)'!$C$10-(F21+H21)/2)*'Reeksen (N)'!AK21*12),0)</f>
        <v>0</v>
      </c>
      <c r="AJ21" s="71">
        <f ca="1">-AI21*'Invoer gegevens (N)'!$F$28</f>
        <v>0</v>
      </c>
      <c r="AK21" s="71">
        <f t="shared" ca="1" si="2"/>
        <v>0</v>
      </c>
      <c r="AL21" s="71">
        <f ca="1">IF(C21=1,(12*((F21+H21)/2)*'Reeksen (N)'!AL21)+(12*('Invoer gegevens (N)'!$C$10-(F21+H21)/2)*'Reeksen (N)'!AM21),0)</f>
        <v>0</v>
      </c>
      <c r="AM21" s="71">
        <f ca="1">-AL21*'Invoer gegevens (N)'!$F$31</f>
        <v>0</v>
      </c>
      <c r="AN21" s="71">
        <f t="shared" ca="1" si="6"/>
        <v>0</v>
      </c>
      <c r="AO21" s="71"/>
      <c r="AP21" s="71"/>
      <c r="AQ21" s="71">
        <f ca="1">-IF(C21=1,('Invoer gegevens (N)'!$C$10*'Invoer gegevens (N)'!$I$33)*'Reeksen (N)'!J21,0)*2</f>
        <v>0</v>
      </c>
      <c r="AR21" s="71">
        <f ca="1">-IF(C21=1,(G21*'Invoer gegevens (N)'!$I$34)*'Reeksen (N)'!J21,0)</f>
        <v>0</v>
      </c>
      <c r="AS21" s="71">
        <f ca="1">-IF(C21=1,'Invoer gegevens (N)'!$C$10*'Invoer gegevens (N)'!$I$35*'Reeksen (N)'!L21,0)</f>
        <v>0</v>
      </c>
      <c r="AT21" s="71">
        <f ca="1">-IF(C21=1,IF(E21='Invoer gegevens (N)'!$C$17,'Invoer gegevens (N)'!$C$11,Q21)*'Reeksen (N)'!S21*'Invoer gegevens (N)'!$C$18*'Reeksen (N)'!P21,0)</f>
        <v>0</v>
      </c>
      <c r="AU21" s="71">
        <f ca="1">-IF(C21=1,'Invoer gegevens (N)'!$C$10*'Invoer gegevens (N)'!$I$36*'Reeksen (N)'!H21,0)</f>
        <v>0</v>
      </c>
      <c r="AV21" s="71">
        <v>0</v>
      </c>
      <c r="AW21" s="71">
        <f t="shared" ca="1" si="7"/>
        <v>0</v>
      </c>
      <c r="AX21" s="71">
        <f ca="1">IF(E21&lt;'Invoer gegevens (N)'!$C$17+15,0,IF(E21&gt;'Invoer gegevens (N)'!$C$17+215,0,AW21))</f>
        <v>0</v>
      </c>
      <c r="AY21" s="71">
        <f ca="1">AX21/(1+'Invoer gegevens (N)'!$F$13)^($AZ21-('Invoer gegevens (N)'!$C$17-'Invoer gegevens (N)'!$C$16))/(1+'Invoer gegevens (N)'!$C$39)^('Invoer gegevens (N)'!$C$17-'Invoer gegevens (N)'!$C$16)</f>
        <v>0</v>
      </c>
      <c r="AZ21" s="68">
        <f ca="1">IF(E21-'Invoer gegevens (N)'!$C$17-14.5&lt;0,0,E21-'Invoer gegevens (N)'!$C$17-14.5)</f>
        <v>1.5</v>
      </c>
    </row>
    <row r="22" spans="1:52" x14ac:dyDescent="0.25">
      <c r="A22" s="59"/>
      <c r="B22" s="70">
        <f t="shared" si="8"/>
        <v>18</v>
      </c>
      <c r="C22" s="67">
        <f ca="1">IF(E22-'Invoer gegevens (N)'!$C$17&lt;0,0,1)</f>
        <v>1</v>
      </c>
      <c r="D22" s="68">
        <f t="shared" si="9"/>
        <v>17.5</v>
      </c>
      <c r="E22" s="69">
        <f ca="1">IF('Invoer gegevens (N)'!$C$16="","",E21+1)</f>
        <v>2036</v>
      </c>
      <c r="F22" s="82">
        <f ca="1">IF('Invoer gegevens (N)'!$C$17=E22,'Invoer gegevens (N)'!$C$10,IF(C22=1,H21,0))</f>
        <v>0</v>
      </c>
      <c r="G22" s="83">
        <f ca="1">IF(C22&gt;=1,F22*'Reeksen (N)'!C22,0)</f>
        <v>0</v>
      </c>
      <c r="H22" s="84">
        <f t="shared" ca="1" si="3"/>
        <v>0</v>
      </c>
      <c r="I22" s="85">
        <f ca="1">IF('Invoer gegevens (N)'!$C$17=E22,'Invoer gegevens (N)'!$C$11,IF(C22=1,L21,0))</f>
        <v>0</v>
      </c>
      <c r="J22" s="86">
        <f ca="1">IF(C22&lt;1,0,IF('Reeksen (N)'!AK22&lt;='Reeksen (N)'!AE22,I22*'Reeksen (N)'!C22,0))</f>
        <v>0</v>
      </c>
      <c r="K22" s="86">
        <f ca="1">IF(C22&lt;1,0,IF('Reeksen (N)'!AK22&gt;'Reeksen (N)'!AE22,I22*'Reeksen (N)'!C22,0))</f>
        <v>0</v>
      </c>
      <c r="L22" s="86">
        <f t="shared" ca="1" si="4"/>
        <v>0</v>
      </c>
      <c r="M22" s="85">
        <f ca="1">IF('Invoer gegevens (N)'!$C$17=E22,'Invoer gegevens (N)'!$C$10-'Invoer gegevens (N)'!$C$11,IF(C22=1,P21,0))</f>
        <v>0</v>
      </c>
      <c r="N22" s="86">
        <f ca="1">IF(C22&lt;1,0,IF('Reeksen (N)'!AK22&lt;='Reeksen (N)'!AE22,M22*'Reeksen (N)'!C22,0))</f>
        <v>0</v>
      </c>
      <c r="O22" s="86">
        <f ca="1">IF(C22&lt;1,0,IF('Reeksen (N)'!AK22&gt;'Reeksen (N)'!AE22,M22*'Reeksen (N)'!C22,0))</f>
        <v>0</v>
      </c>
      <c r="P22" s="86">
        <f t="shared" ca="1" si="5"/>
        <v>0</v>
      </c>
      <c r="Q22" s="82">
        <f ca="1">IF('Invoer gegevens (N)'!$C$17=E22,I22,IF(C22=0,0,R21))</f>
        <v>0</v>
      </c>
      <c r="R22" s="84">
        <f t="shared" ca="1" si="0"/>
        <v>0</v>
      </c>
      <c r="S22" s="84">
        <f ca="1">IF('Invoer gegevens (N)'!$C$17=E22,M22,IF(C22=0,0,T21))</f>
        <v>0</v>
      </c>
      <c r="T22" s="84">
        <f t="shared" ca="1" si="1"/>
        <v>0</v>
      </c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8"/>
      <c r="AI22" s="71">
        <f ca="1">IF(C22=1,((F22+H22)/2*'Reeksen (N)'!AJ22*12)+(('Invoer gegevens (N)'!$C$10-(F22+H22)/2)*'Reeksen (N)'!AK22*12),0)</f>
        <v>0</v>
      </c>
      <c r="AJ22" s="71">
        <f ca="1">-AI22*'Invoer gegevens (N)'!$F$28</f>
        <v>0</v>
      </c>
      <c r="AK22" s="71">
        <f t="shared" ca="1" si="2"/>
        <v>0</v>
      </c>
      <c r="AL22" s="71">
        <f ca="1">IF(C22=1,(12*((F22+H22)/2)*'Reeksen (N)'!AL22)+(12*('Invoer gegevens (N)'!$C$10-(F22+H22)/2)*'Reeksen (N)'!AM22),0)</f>
        <v>0</v>
      </c>
      <c r="AM22" s="71">
        <f ca="1">-AL22*'Invoer gegevens (N)'!$F$31</f>
        <v>0</v>
      </c>
      <c r="AN22" s="71">
        <f t="shared" ca="1" si="6"/>
        <v>0</v>
      </c>
      <c r="AO22" s="71"/>
      <c r="AP22" s="71"/>
      <c r="AQ22" s="71">
        <f ca="1">-IF(C22=1,('Invoer gegevens (N)'!$C$10*'Invoer gegevens (N)'!$I$33)*'Reeksen (N)'!J22,0)*2</f>
        <v>0</v>
      </c>
      <c r="AR22" s="71">
        <f ca="1">-IF(C22=1,(G22*'Invoer gegevens (N)'!$I$34)*'Reeksen (N)'!J22,0)</f>
        <v>0</v>
      </c>
      <c r="AS22" s="71">
        <f ca="1">-IF(C22=1,'Invoer gegevens (N)'!$C$10*'Invoer gegevens (N)'!$I$35*'Reeksen (N)'!L22,0)</f>
        <v>0</v>
      </c>
      <c r="AT22" s="71">
        <f ca="1">-IF(C22=1,IF(E22='Invoer gegevens (N)'!$C$17,'Invoer gegevens (N)'!$C$11,Q22)*'Reeksen (N)'!S22*'Invoer gegevens (N)'!$C$18*'Reeksen (N)'!P22,0)</f>
        <v>0</v>
      </c>
      <c r="AU22" s="71">
        <f ca="1">-IF(C22=1,'Invoer gegevens (N)'!$C$10*'Invoer gegevens (N)'!$I$36*'Reeksen (N)'!H22,0)</f>
        <v>0</v>
      </c>
      <c r="AV22" s="71">
        <v>0</v>
      </c>
      <c r="AW22" s="71">
        <f t="shared" ca="1" si="7"/>
        <v>0</v>
      </c>
      <c r="AX22" s="71">
        <f ca="1">IF(E22&lt;'Invoer gegevens (N)'!$C$17+15,0,IF(E22&gt;'Invoer gegevens (N)'!$C$17+215,0,AW22))</f>
        <v>0</v>
      </c>
      <c r="AY22" s="71">
        <f ca="1">AX22/(1+'Invoer gegevens (N)'!$F$13)^($AZ22-('Invoer gegevens (N)'!$C$17-'Invoer gegevens (N)'!$C$16))/(1+'Invoer gegevens (N)'!$C$39)^('Invoer gegevens (N)'!$C$17-'Invoer gegevens (N)'!$C$16)</f>
        <v>0</v>
      </c>
      <c r="AZ22" s="68">
        <f ca="1">IF(E22-'Invoer gegevens (N)'!$C$17-14.5&lt;0,0,E22-'Invoer gegevens (N)'!$C$17-14.5)</f>
        <v>2.5</v>
      </c>
    </row>
    <row r="23" spans="1:52" x14ac:dyDescent="0.25">
      <c r="A23" s="59"/>
      <c r="B23" s="70">
        <f t="shared" si="8"/>
        <v>19</v>
      </c>
      <c r="C23" s="67">
        <f ca="1">IF(E23-'Invoer gegevens (N)'!$C$17&lt;0,0,1)</f>
        <v>1</v>
      </c>
      <c r="D23" s="68">
        <f t="shared" si="9"/>
        <v>18.5</v>
      </c>
      <c r="E23" s="69">
        <f ca="1">IF('Invoer gegevens (N)'!$C$16="","",E22+1)</f>
        <v>2037</v>
      </c>
      <c r="F23" s="82">
        <f ca="1">IF('Invoer gegevens (N)'!$C$17=E23,'Invoer gegevens (N)'!$C$10,IF(C23=1,H22,0))</f>
        <v>0</v>
      </c>
      <c r="G23" s="83">
        <f ca="1">IF(C23&gt;=1,F23*'Reeksen (N)'!C23,0)</f>
        <v>0</v>
      </c>
      <c r="H23" s="84">
        <f t="shared" ca="1" si="3"/>
        <v>0</v>
      </c>
      <c r="I23" s="85">
        <f ca="1">IF('Invoer gegevens (N)'!$C$17=E23,'Invoer gegevens (N)'!$C$11,IF(C23=1,L22,0))</f>
        <v>0</v>
      </c>
      <c r="J23" s="86">
        <f ca="1">IF(C23&lt;1,0,IF('Reeksen (N)'!AK23&lt;='Reeksen (N)'!AE23,I23*'Reeksen (N)'!C23,0))</f>
        <v>0</v>
      </c>
      <c r="K23" s="86">
        <f ca="1">IF(C23&lt;1,0,IF('Reeksen (N)'!AK23&gt;'Reeksen (N)'!AE23,I23*'Reeksen (N)'!C23,0))</f>
        <v>0</v>
      </c>
      <c r="L23" s="86">
        <f t="shared" ca="1" si="4"/>
        <v>0</v>
      </c>
      <c r="M23" s="85">
        <f ca="1">IF('Invoer gegevens (N)'!$C$17=E23,'Invoer gegevens (N)'!$C$10-'Invoer gegevens (N)'!$C$11,IF(C23=1,P22,0))</f>
        <v>0</v>
      </c>
      <c r="N23" s="86">
        <f ca="1">IF(C23&lt;1,0,IF('Reeksen (N)'!AK23&lt;='Reeksen (N)'!AE23,M23*'Reeksen (N)'!C23,0))</f>
        <v>0</v>
      </c>
      <c r="O23" s="86">
        <f ca="1">IF(C23&lt;1,0,IF('Reeksen (N)'!AK23&gt;'Reeksen (N)'!AE23,M23*'Reeksen (N)'!C23,0))</f>
        <v>0</v>
      </c>
      <c r="P23" s="86">
        <f t="shared" ca="1" si="5"/>
        <v>0</v>
      </c>
      <c r="Q23" s="82">
        <f ca="1">IF('Invoer gegevens (N)'!$C$17=E23,I23,IF(C23=0,0,R22))</f>
        <v>0</v>
      </c>
      <c r="R23" s="84">
        <f t="shared" ca="1" si="0"/>
        <v>0</v>
      </c>
      <c r="S23" s="84">
        <f ca="1">IF('Invoer gegevens (N)'!$C$17=E23,M23,IF(C23=0,0,T22))</f>
        <v>0</v>
      </c>
      <c r="T23" s="84">
        <f t="shared" ca="1" si="1"/>
        <v>0</v>
      </c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8"/>
      <c r="AI23" s="71">
        <f ca="1">IF(C23=1,((F23+H23)/2*'Reeksen (N)'!AJ23*12)+(('Invoer gegevens (N)'!$C$10-(F23+H23)/2)*'Reeksen (N)'!AK23*12),0)</f>
        <v>0</v>
      </c>
      <c r="AJ23" s="71">
        <f ca="1">-AI23*'Invoer gegevens (N)'!$F$28</f>
        <v>0</v>
      </c>
      <c r="AK23" s="71">
        <f t="shared" ca="1" si="2"/>
        <v>0</v>
      </c>
      <c r="AL23" s="71">
        <f ca="1">IF(C23=1,(12*((F23+H23)/2)*'Reeksen (N)'!AL23)+(12*('Invoer gegevens (N)'!$C$10-(F23+H23)/2)*'Reeksen (N)'!AM23),0)</f>
        <v>0</v>
      </c>
      <c r="AM23" s="71">
        <f ca="1">-AL23*'Invoer gegevens (N)'!$F$31</f>
        <v>0</v>
      </c>
      <c r="AN23" s="71">
        <f t="shared" ca="1" si="6"/>
        <v>0</v>
      </c>
      <c r="AO23" s="71"/>
      <c r="AP23" s="71"/>
      <c r="AQ23" s="71">
        <f ca="1">-IF(C23=1,('Invoer gegevens (N)'!$C$10*'Invoer gegevens (N)'!$I$33)*'Reeksen (N)'!J23,0)*2</f>
        <v>0</v>
      </c>
      <c r="AR23" s="71">
        <f ca="1">-IF(C23=1,(G23*'Invoer gegevens (N)'!$I$34)*'Reeksen (N)'!J23,0)</f>
        <v>0</v>
      </c>
      <c r="AS23" s="71">
        <f ca="1">-IF(C23=1,'Invoer gegevens (N)'!$C$10*'Invoer gegevens (N)'!$I$35*'Reeksen (N)'!L23,0)</f>
        <v>0</v>
      </c>
      <c r="AT23" s="71">
        <f ca="1">-IF(C23=1,IF(E23='Invoer gegevens (N)'!$C$17,'Invoer gegevens (N)'!$C$11,Q23)*'Reeksen (N)'!S23*'Invoer gegevens (N)'!$C$18*'Reeksen (N)'!P23,0)</f>
        <v>0</v>
      </c>
      <c r="AU23" s="71">
        <f ca="1">-IF(C23=1,'Invoer gegevens (N)'!$C$10*'Invoer gegevens (N)'!$I$36*'Reeksen (N)'!H23,0)</f>
        <v>0</v>
      </c>
      <c r="AV23" s="71">
        <v>0</v>
      </c>
      <c r="AW23" s="71">
        <f t="shared" ca="1" si="7"/>
        <v>0</v>
      </c>
      <c r="AX23" s="71">
        <f ca="1">IF(E23&lt;'Invoer gegevens (N)'!$C$17+15,0,IF(E23&gt;'Invoer gegevens (N)'!$C$17+215,0,AW23))</f>
        <v>0</v>
      </c>
      <c r="AY23" s="71">
        <f ca="1">AX23/(1+'Invoer gegevens (N)'!$F$13)^($AZ23-('Invoer gegevens (N)'!$C$17-'Invoer gegevens (N)'!$C$16))/(1+'Invoer gegevens (N)'!$C$39)^('Invoer gegevens (N)'!$C$17-'Invoer gegevens (N)'!$C$16)</f>
        <v>0</v>
      </c>
      <c r="AZ23" s="68">
        <f ca="1">IF(E23-'Invoer gegevens (N)'!$C$17-14.5&lt;0,0,E23-'Invoer gegevens (N)'!$C$17-14.5)</f>
        <v>3.5</v>
      </c>
    </row>
    <row r="24" spans="1:52" x14ac:dyDescent="0.25">
      <c r="A24" s="59"/>
      <c r="B24" s="70">
        <f t="shared" si="8"/>
        <v>20</v>
      </c>
      <c r="C24" s="67">
        <f ca="1">IF(E24-'Invoer gegevens (N)'!$C$17&lt;0,0,1)</f>
        <v>1</v>
      </c>
      <c r="D24" s="68">
        <f t="shared" si="9"/>
        <v>19.5</v>
      </c>
      <c r="E24" s="69">
        <f ca="1">IF('Invoer gegevens (N)'!$C$16="","",E23+1)</f>
        <v>2038</v>
      </c>
      <c r="F24" s="82">
        <f ca="1">IF('Invoer gegevens (N)'!$C$17=E24,'Invoer gegevens (N)'!$C$10,IF(C24=1,H23,0))</f>
        <v>0</v>
      </c>
      <c r="G24" s="83">
        <f ca="1">IF(C24&gt;=1,F24*'Reeksen (N)'!C24,0)</f>
        <v>0</v>
      </c>
      <c r="H24" s="84">
        <f t="shared" ca="1" si="3"/>
        <v>0</v>
      </c>
      <c r="I24" s="85">
        <f ca="1">IF('Invoer gegevens (N)'!$C$17=E24,'Invoer gegevens (N)'!$C$11,IF(C24=1,L23,0))</f>
        <v>0</v>
      </c>
      <c r="J24" s="86">
        <f ca="1">IF(C24&lt;1,0,IF('Reeksen (N)'!AK24&lt;='Reeksen (N)'!AE24,I24*'Reeksen (N)'!C24,0))</f>
        <v>0</v>
      </c>
      <c r="K24" s="86">
        <f ca="1">IF(C24&lt;1,0,IF('Reeksen (N)'!AK24&gt;'Reeksen (N)'!AE24,I24*'Reeksen (N)'!C24,0))</f>
        <v>0</v>
      </c>
      <c r="L24" s="86">
        <f t="shared" ca="1" si="4"/>
        <v>0</v>
      </c>
      <c r="M24" s="85">
        <f ca="1">IF('Invoer gegevens (N)'!$C$17=E24,'Invoer gegevens (N)'!$C$10-'Invoer gegevens (N)'!$C$11,IF(C24=1,P23,0))</f>
        <v>0</v>
      </c>
      <c r="N24" s="86">
        <f ca="1">IF(C24&lt;1,0,IF('Reeksen (N)'!AK24&lt;='Reeksen (N)'!AE24,M24*'Reeksen (N)'!C24,0))</f>
        <v>0</v>
      </c>
      <c r="O24" s="86">
        <f ca="1">IF(C24&lt;1,0,IF('Reeksen (N)'!AK24&gt;'Reeksen (N)'!AE24,M24*'Reeksen (N)'!C24,0))</f>
        <v>0</v>
      </c>
      <c r="P24" s="86">
        <f t="shared" ca="1" si="5"/>
        <v>0</v>
      </c>
      <c r="Q24" s="82">
        <f ca="1">IF('Invoer gegevens (N)'!$C$17=E24,I24,IF(C24=0,0,R23))</f>
        <v>0</v>
      </c>
      <c r="R24" s="84">
        <f t="shared" ca="1" si="0"/>
        <v>0</v>
      </c>
      <c r="S24" s="84">
        <f ca="1">IF('Invoer gegevens (N)'!$C$17=E24,M24,IF(C24=0,0,T23))</f>
        <v>0</v>
      </c>
      <c r="T24" s="84">
        <f t="shared" ca="1" si="1"/>
        <v>0</v>
      </c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8"/>
      <c r="AI24" s="71">
        <f ca="1">IF(C24=1,((F24+H24)/2*'Reeksen (N)'!AJ24*12)+(('Invoer gegevens (N)'!$C$10-(F24+H24)/2)*'Reeksen (N)'!AK24*12),0)</f>
        <v>0</v>
      </c>
      <c r="AJ24" s="71">
        <f ca="1">-AI24*'Invoer gegevens (N)'!$F$28</f>
        <v>0</v>
      </c>
      <c r="AK24" s="71">
        <f t="shared" ca="1" si="2"/>
        <v>0</v>
      </c>
      <c r="AL24" s="71">
        <f ca="1">IF(C24=1,(12*((F24+H24)/2)*'Reeksen (N)'!AL24)+(12*('Invoer gegevens (N)'!$C$10-(F24+H24)/2)*'Reeksen (N)'!AM24),0)</f>
        <v>0</v>
      </c>
      <c r="AM24" s="71">
        <f ca="1">-AL24*'Invoer gegevens (N)'!$F$31</f>
        <v>0</v>
      </c>
      <c r="AN24" s="71">
        <f t="shared" ca="1" si="6"/>
        <v>0</v>
      </c>
      <c r="AO24" s="71"/>
      <c r="AP24" s="71"/>
      <c r="AQ24" s="71">
        <f ca="1">-IF(C24=1,('Invoer gegevens (N)'!$C$10*'Invoer gegevens (N)'!$I$33)*'Reeksen (N)'!J24,0)*2</f>
        <v>0</v>
      </c>
      <c r="AR24" s="71">
        <f ca="1">-IF(C24=1,(G24*'Invoer gegevens (N)'!$I$34)*'Reeksen (N)'!J24,0)</f>
        <v>0</v>
      </c>
      <c r="AS24" s="71">
        <f ca="1">-IF(C24=1,'Invoer gegevens (N)'!$C$10*'Invoer gegevens (N)'!$I$35*'Reeksen (N)'!L24,0)</f>
        <v>0</v>
      </c>
      <c r="AT24" s="71">
        <f ca="1">-IF(C24=1,IF(E24='Invoer gegevens (N)'!$C$17,'Invoer gegevens (N)'!$C$11,Q24)*'Reeksen (N)'!S24*'Invoer gegevens (N)'!$C$18*'Reeksen (N)'!P24,0)</f>
        <v>0</v>
      </c>
      <c r="AU24" s="71">
        <f ca="1">-IF(C24=1,'Invoer gegevens (N)'!$C$10*'Invoer gegevens (N)'!$I$36*'Reeksen (N)'!H24,0)</f>
        <v>0</v>
      </c>
      <c r="AV24" s="71">
        <v>0</v>
      </c>
      <c r="AW24" s="71">
        <f t="shared" ca="1" si="7"/>
        <v>0</v>
      </c>
      <c r="AX24" s="71">
        <f ca="1">IF(E24&lt;'Invoer gegevens (N)'!$C$17+15,0,IF(E24&gt;'Invoer gegevens (N)'!$C$17+215,0,AW24))</f>
        <v>0</v>
      </c>
      <c r="AY24" s="71">
        <f ca="1">AX24/(1+'Invoer gegevens (N)'!$F$13)^($AZ24-('Invoer gegevens (N)'!$C$17-'Invoer gegevens (N)'!$C$16))/(1+'Invoer gegevens (N)'!$C$39)^('Invoer gegevens (N)'!$C$17-'Invoer gegevens (N)'!$C$16)</f>
        <v>0</v>
      </c>
      <c r="AZ24" s="68">
        <f ca="1">IF(E24-'Invoer gegevens (N)'!$C$17-14.5&lt;0,0,E24-'Invoer gegevens (N)'!$C$17-14.5)</f>
        <v>4.5</v>
      </c>
    </row>
    <row r="25" spans="1:52" x14ac:dyDescent="0.25">
      <c r="A25" s="59"/>
      <c r="B25" s="70">
        <f t="shared" si="8"/>
        <v>21</v>
      </c>
      <c r="C25" s="67">
        <f ca="1">IF(E25-'Invoer gegevens (N)'!$C$17&lt;0,0,1)</f>
        <v>1</v>
      </c>
      <c r="D25" s="68">
        <f t="shared" si="9"/>
        <v>20.5</v>
      </c>
      <c r="E25" s="69">
        <f ca="1">IF('Invoer gegevens (N)'!$C$16="","",E24+1)</f>
        <v>2039</v>
      </c>
      <c r="F25" s="82">
        <f ca="1">IF('Invoer gegevens (N)'!$C$17=E25,'Invoer gegevens (N)'!$C$10,IF(C25=1,H24,0))</f>
        <v>0</v>
      </c>
      <c r="G25" s="83">
        <f ca="1">IF(C25&gt;=1,F25*'Reeksen (N)'!C25,0)</f>
        <v>0</v>
      </c>
      <c r="H25" s="84">
        <f t="shared" ca="1" si="3"/>
        <v>0</v>
      </c>
      <c r="I25" s="85">
        <f ca="1">IF('Invoer gegevens (N)'!$C$17=E25,'Invoer gegevens (N)'!$C$11,IF(C25=1,L24,0))</f>
        <v>0</v>
      </c>
      <c r="J25" s="86">
        <f ca="1">IF(C25&lt;1,0,IF('Reeksen (N)'!AK25&lt;='Reeksen (N)'!AE25,I25*'Reeksen (N)'!C25,0))</f>
        <v>0</v>
      </c>
      <c r="K25" s="86">
        <f ca="1">IF(C25&lt;1,0,IF('Reeksen (N)'!AK25&gt;'Reeksen (N)'!AE25,I25*'Reeksen (N)'!C25,0))</f>
        <v>0</v>
      </c>
      <c r="L25" s="86">
        <f t="shared" ca="1" si="4"/>
        <v>0</v>
      </c>
      <c r="M25" s="85">
        <f ca="1">IF('Invoer gegevens (N)'!$C$17=E25,'Invoer gegevens (N)'!$C$10-'Invoer gegevens (N)'!$C$11,IF(C25=1,P24,0))</f>
        <v>0</v>
      </c>
      <c r="N25" s="86">
        <f ca="1">IF(C25&lt;1,0,IF('Reeksen (N)'!AK25&lt;='Reeksen (N)'!AE25,M25*'Reeksen (N)'!C25,0))</f>
        <v>0</v>
      </c>
      <c r="O25" s="86">
        <f ca="1">IF(C25&lt;1,0,IF('Reeksen (N)'!AK25&gt;'Reeksen (N)'!AE25,M25*'Reeksen (N)'!C25,0))</f>
        <v>0</v>
      </c>
      <c r="P25" s="86">
        <f t="shared" ca="1" si="5"/>
        <v>0</v>
      </c>
      <c r="Q25" s="82">
        <f ca="1">IF('Invoer gegevens (N)'!$C$17=E25,I25,IF(C25=0,0,R24))</f>
        <v>0</v>
      </c>
      <c r="R25" s="84">
        <f t="shared" ca="1" si="0"/>
        <v>0</v>
      </c>
      <c r="S25" s="84">
        <f ca="1">IF('Invoer gegevens (N)'!$C$17=E25,M25,IF(C25=0,0,T24))</f>
        <v>0</v>
      </c>
      <c r="T25" s="84">
        <f t="shared" ca="1" si="1"/>
        <v>0</v>
      </c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8"/>
      <c r="AI25" s="71">
        <f ca="1">IF(C25=1,((F25+H25)/2*'Reeksen (N)'!AJ25*12)+(('Invoer gegevens (N)'!$C$10-(F25+H25)/2)*'Reeksen (N)'!AK25*12),0)</f>
        <v>0</v>
      </c>
      <c r="AJ25" s="71">
        <f ca="1">-AI25*'Invoer gegevens (N)'!$F$28</f>
        <v>0</v>
      </c>
      <c r="AK25" s="71">
        <f t="shared" ca="1" si="2"/>
        <v>0</v>
      </c>
      <c r="AL25" s="71">
        <f ca="1">IF(C25=1,(12*((F25+H25)/2)*'Reeksen (N)'!AL25)+(12*('Invoer gegevens (N)'!$C$10-(F25+H25)/2)*'Reeksen (N)'!AM25),0)</f>
        <v>0</v>
      </c>
      <c r="AM25" s="71">
        <f ca="1">-AL25*'Invoer gegevens (N)'!$F$31</f>
        <v>0</v>
      </c>
      <c r="AN25" s="71">
        <f t="shared" ca="1" si="6"/>
        <v>0</v>
      </c>
      <c r="AO25" s="71"/>
      <c r="AP25" s="71"/>
      <c r="AQ25" s="71">
        <f ca="1">-IF(C25=1,('Invoer gegevens (N)'!$C$10*'Invoer gegevens (N)'!$I$33)*'Reeksen (N)'!J25,0)*2</f>
        <v>0</v>
      </c>
      <c r="AR25" s="71">
        <f ca="1">-IF(C25=1,(G25*'Invoer gegevens (N)'!$I$34)*'Reeksen (N)'!J25,0)</f>
        <v>0</v>
      </c>
      <c r="AS25" s="71">
        <f ca="1">-IF(C25=1,'Invoer gegevens (N)'!$C$10*'Invoer gegevens (N)'!$I$35*'Reeksen (N)'!L25,0)</f>
        <v>0</v>
      </c>
      <c r="AT25" s="71">
        <f ca="1">-IF(C25=1,IF(E25='Invoer gegevens (N)'!$C$17,'Invoer gegevens (N)'!$C$11,Q25)*'Reeksen (N)'!S25*'Invoer gegevens (N)'!$C$18*'Reeksen (N)'!P25,0)</f>
        <v>0</v>
      </c>
      <c r="AU25" s="71">
        <f ca="1">-IF(C25=1,'Invoer gegevens (N)'!$C$10*'Invoer gegevens (N)'!$I$36*'Reeksen (N)'!H25,0)</f>
        <v>0</v>
      </c>
      <c r="AV25" s="71">
        <v>0</v>
      </c>
      <c r="AW25" s="71">
        <f t="shared" ca="1" si="7"/>
        <v>0</v>
      </c>
      <c r="AX25" s="71">
        <f ca="1">IF(E25&lt;'Invoer gegevens (N)'!$C$17+15,0,IF(E25&gt;'Invoer gegevens (N)'!$C$17+215,0,AW25))</f>
        <v>0</v>
      </c>
      <c r="AY25" s="71">
        <f ca="1">AX25/(1+'Invoer gegevens (N)'!$F$13)^($AZ25-('Invoer gegevens (N)'!$C$17-'Invoer gegevens (N)'!$C$16))/(1+'Invoer gegevens (N)'!$C$39)^('Invoer gegevens (N)'!$C$17-'Invoer gegevens (N)'!$C$16)</f>
        <v>0</v>
      </c>
      <c r="AZ25" s="68">
        <f ca="1">IF(E25-'Invoer gegevens (N)'!$C$17-14.5&lt;0,0,E25-'Invoer gegevens (N)'!$C$17-14.5)</f>
        <v>5.5</v>
      </c>
    </row>
    <row r="26" spans="1:52" x14ac:dyDescent="0.25">
      <c r="A26" s="59"/>
      <c r="B26" s="70">
        <f>B25+1</f>
        <v>22</v>
      </c>
      <c r="C26" s="67">
        <f ca="1">IF(E26-'Invoer gegevens (N)'!$C$17&lt;0,0,1)</f>
        <v>1</v>
      </c>
      <c r="D26" s="68">
        <f t="shared" si="9"/>
        <v>21.5</v>
      </c>
      <c r="E26" s="69">
        <f ca="1">IF('Invoer gegevens (N)'!$C$16="","",E25+1)</f>
        <v>2040</v>
      </c>
      <c r="F26" s="82">
        <f ca="1">IF('Invoer gegevens (N)'!$C$17=E26,'Invoer gegevens (N)'!$C$10,IF(C26=1,H25,0))</f>
        <v>0</v>
      </c>
      <c r="G26" s="83">
        <f ca="1">IF(C26&gt;=1,F26*'Reeksen (N)'!C26,0)</f>
        <v>0</v>
      </c>
      <c r="H26" s="84">
        <f t="shared" ca="1" si="3"/>
        <v>0</v>
      </c>
      <c r="I26" s="85">
        <f ca="1">IF('Invoer gegevens (N)'!$C$17=E26,'Invoer gegevens (N)'!$C$11,IF(C26=1,L25,0))</f>
        <v>0</v>
      </c>
      <c r="J26" s="86">
        <f ca="1">IF(C26&lt;1,0,IF('Reeksen (N)'!AK26&lt;='Reeksen (N)'!AE26,I26*'Reeksen (N)'!C26,0))</f>
        <v>0</v>
      </c>
      <c r="K26" s="86">
        <f ca="1">IF(C26&lt;1,0,IF('Reeksen (N)'!AK26&gt;'Reeksen (N)'!AE26,I26*'Reeksen (N)'!C26,0))</f>
        <v>0</v>
      </c>
      <c r="L26" s="86">
        <f t="shared" ca="1" si="4"/>
        <v>0</v>
      </c>
      <c r="M26" s="85">
        <f ca="1">IF('Invoer gegevens (N)'!$C$17=E26,'Invoer gegevens (N)'!$C$10-'Invoer gegevens (N)'!$C$11,IF(C26=1,P25,0))</f>
        <v>0</v>
      </c>
      <c r="N26" s="86">
        <f ca="1">IF(C26&lt;1,0,IF('Reeksen (N)'!AK26&lt;='Reeksen (N)'!AE26,M26*'Reeksen (N)'!C26,0))</f>
        <v>0</v>
      </c>
      <c r="O26" s="86">
        <f ca="1">IF(C26&lt;1,0,IF('Reeksen (N)'!AK26&gt;'Reeksen (N)'!AE26,M26*'Reeksen (N)'!C26,0))</f>
        <v>0</v>
      </c>
      <c r="P26" s="86">
        <f t="shared" ca="1" si="5"/>
        <v>0</v>
      </c>
      <c r="Q26" s="82">
        <f ca="1">IF('Invoer gegevens (N)'!$C$17=E26,I26,IF(C26=0,0,R25))</f>
        <v>0</v>
      </c>
      <c r="R26" s="84">
        <f t="shared" ca="1" si="0"/>
        <v>0</v>
      </c>
      <c r="S26" s="84">
        <f ca="1">IF('Invoer gegevens (N)'!$C$17=E26,M26,IF(C26=0,0,T25))</f>
        <v>0</v>
      </c>
      <c r="T26" s="84">
        <f t="shared" ca="1" si="1"/>
        <v>0</v>
      </c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8"/>
      <c r="AI26" s="71">
        <f ca="1">IF(C26=1,((F26+H26)/2*'Reeksen (N)'!AJ26*12)+(('Invoer gegevens (N)'!$C$10-(F26+H26)/2)*'Reeksen (N)'!AK26*12),0)</f>
        <v>0</v>
      </c>
      <c r="AJ26" s="71">
        <f ca="1">-AI26*'Invoer gegevens (N)'!$F$28</f>
        <v>0</v>
      </c>
      <c r="AK26" s="71">
        <f t="shared" ca="1" si="2"/>
        <v>0</v>
      </c>
      <c r="AL26" s="71">
        <f ca="1">IF(C26=1,(12*((F26+H26)/2)*'Reeksen (N)'!AL26)+(12*('Invoer gegevens (N)'!$C$10-(F26+H26)/2)*'Reeksen (N)'!AM26),0)</f>
        <v>0</v>
      </c>
      <c r="AM26" s="71">
        <f ca="1">-AL26*'Invoer gegevens (N)'!$F$31</f>
        <v>0</v>
      </c>
      <c r="AN26" s="71">
        <f t="shared" ca="1" si="6"/>
        <v>0</v>
      </c>
      <c r="AO26" s="71"/>
      <c r="AP26" s="71"/>
      <c r="AQ26" s="71">
        <f ca="1">-IF(C26=1,('Invoer gegevens (N)'!$C$10*'Invoer gegevens (N)'!$I$33)*'Reeksen (N)'!J26,0)*2</f>
        <v>0</v>
      </c>
      <c r="AR26" s="71">
        <f ca="1">-IF(C26=1,(G26*'Invoer gegevens (N)'!$I$34)*'Reeksen (N)'!J26,0)</f>
        <v>0</v>
      </c>
      <c r="AS26" s="71">
        <f ca="1">-IF(C26=1,'Invoer gegevens (N)'!$C$10*'Invoer gegevens (N)'!$I$35*'Reeksen (N)'!L26,0)</f>
        <v>0</v>
      </c>
      <c r="AT26" s="71">
        <f ca="1">-IF(C26=1,IF(E26='Invoer gegevens (N)'!$C$17,'Invoer gegevens (N)'!$C$11,Q26)*'Reeksen (N)'!S26*'Invoer gegevens (N)'!$C$18*'Reeksen (N)'!P26,0)</f>
        <v>0</v>
      </c>
      <c r="AU26" s="71">
        <f ca="1">-IF(C26=1,'Invoer gegevens (N)'!$C$10*'Invoer gegevens (N)'!$I$36*'Reeksen (N)'!H26,0)</f>
        <v>0</v>
      </c>
      <c r="AV26" s="71">
        <v>0</v>
      </c>
      <c r="AW26" s="71">
        <f t="shared" ca="1" si="7"/>
        <v>0</v>
      </c>
      <c r="AX26" s="71">
        <f ca="1">IF(E26&lt;'Invoer gegevens (N)'!$C$17+15,0,IF(E26&gt;'Invoer gegevens (N)'!$C$17+215,0,AW26))</f>
        <v>0</v>
      </c>
      <c r="AY26" s="71">
        <f ca="1">AX26/(1+'Invoer gegevens (N)'!$F$13)^($AZ26-('Invoer gegevens (N)'!$C$17-'Invoer gegevens (N)'!$C$16))/(1+'Invoer gegevens (N)'!$C$39)^('Invoer gegevens (N)'!$C$17-'Invoer gegevens (N)'!$C$16)</f>
        <v>0</v>
      </c>
      <c r="AZ26" s="68">
        <f ca="1">IF(E26-'Invoer gegevens (N)'!$C$17-14.5&lt;0,0,E26-'Invoer gegevens (N)'!$C$17-14.5)</f>
        <v>6.5</v>
      </c>
    </row>
    <row r="27" spans="1:52" x14ac:dyDescent="0.25">
      <c r="A27" s="59"/>
      <c r="B27" s="70">
        <f t="shared" si="8"/>
        <v>23</v>
      </c>
      <c r="C27" s="67">
        <f ca="1">IF(E27-'Invoer gegevens (N)'!$C$17&lt;0,0,1)</f>
        <v>1</v>
      </c>
      <c r="D27" s="68">
        <f t="shared" si="9"/>
        <v>22.5</v>
      </c>
      <c r="E27" s="69">
        <f ca="1">IF('Invoer gegevens (N)'!$C$16="","",E26+1)</f>
        <v>2041</v>
      </c>
      <c r="F27" s="82">
        <f ca="1">IF('Invoer gegevens (N)'!$C$17=E27,'Invoer gegevens (N)'!$C$10,IF(C27=1,H26,0))</f>
        <v>0</v>
      </c>
      <c r="G27" s="83">
        <f ca="1">IF(C27&gt;=1,F27*'Reeksen (N)'!C27,0)</f>
        <v>0</v>
      </c>
      <c r="H27" s="84">
        <f t="shared" ca="1" si="3"/>
        <v>0</v>
      </c>
      <c r="I27" s="85">
        <f ca="1">IF('Invoer gegevens (N)'!$C$17=E27,'Invoer gegevens (N)'!$C$11,IF(C27=1,L26,0))</f>
        <v>0</v>
      </c>
      <c r="J27" s="86">
        <f ca="1">IF(C27&lt;1,0,IF('Reeksen (N)'!AK27&lt;='Reeksen (N)'!AE27,I27*'Reeksen (N)'!C27,0))</f>
        <v>0</v>
      </c>
      <c r="K27" s="86">
        <f ca="1">IF(C27&lt;1,0,IF('Reeksen (N)'!AK27&gt;'Reeksen (N)'!AE27,I27*'Reeksen (N)'!C27,0))</f>
        <v>0</v>
      </c>
      <c r="L27" s="86">
        <f t="shared" ca="1" si="4"/>
        <v>0</v>
      </c>
      <c r="M27" s="85">
        <f ca="1">IF('Invoer gegevens (N)'!$C$17=E27,'Invoer gegevens (N)'!$C$10-'Invoer gegevens (N)'!$C$11,IF(C27=1,P26,0))</f>
        <v>0</v>
      </c>
      <c r="N27" s="86">
        <f ca="1">IF(C27&lt;1,0,IF('Reeksen (N)'!AK27&lt;='Reeksen (N)'!AE27,M27*'Reeksen (N)'!C27,0))</f>
        <v>0</v>
      </c>
      <c r="O27" s="86">
        <f ca="1">IF(C27&lt;1,0,IF('Reeksen (N)'!AK27&gt;'Reeksen (N)'!AE27,M27*'Reeksen (N)'!C27,0))</f>
        <v>0</v>
      </c>
      <c r="P27" s="86">
        <f t="shared" ca="1" si="5"/>
        <v>0</v>
      </c>
      <c r="Q27" s="82">
        <f ca="1">IF('Invoer gegevens (N)'!$C$17=E27,I27,IF(C27=0,0,R26))</f>
        <v>0</v>
      </c>
      <c r="R27" s="84">
        <f t="shared" ca="1" si="0"/>
        <v>0</v>
      </c>
      <c r="S27" s="84">
        <f ca="1">IF('Invoer gegevens (N)'!$C$17=E27,M27,IF(C27=0,0,T26))</f>
        <v>0</v>
      </c>
      <c r="T27" s="84">
        <f t="shared" ca="1" si="1"/>
        <v>0</v>
      </c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8"/>
      <c r="AI27" s="71">
        <f ca="1">IF(C27=1,((F27+H27)/2*'Reeksen (N)'!AJ27*12)+(('Invoer gegevens (N)'!$C$10-(F27+H27)/2)*'Reeksen (N)'!AK27*12),0)</f>
        <v>0</v>
      </c>
      <c r="AJ27" s="71">
        <f ca="1">-AI27*'Invoer gegevens (N)'!$F$28</f>
        <v>0</v>
      </c>
      <c r="AK27" s="71">
        <f t="shared" ca="1" si="2"/>
        <v>0</v>
      </c>
      <c r="AL27" s="71">
        <f ca="1">IF(C27=1,(12*((F27+H27)/2)*'Reeksen (N)'!AL27)+(12*('Invoer gegevens (N)'!$C$10-(F27+H27)/2)*'Reeksen (N)'!AM27),0)</f>
        <v>0</v>
      </c>
      <c r="AM27" s="71">
        <f ca="1">-AL27*'Invoer gegevens (N)'!$F$31</f>
        <v>0</v>
      </c>
      <c r="AN27" s="71">
        <f t="shared" ca="1" si="6"/>
        <v>0</v>
      </c>
      <c r="AO27" s="71"/>
      <c r="AP27" s="71"/>
      <c r="AQ27" s="71">
        <f ca="1">-IF(C27=1,('Invoer gegevens (N)'!$C$10*'Invoer gegevens (N)'!$I$33)*'Reeksen (N)'!J27,0)*2</f>
        <v>0</v>
      </c>
      <c r="AR27" s="71">
        <f ca="1">-IF(C27=1,(G27*'Invoer gegevens (N)'!$I$34)*'Reeksen (N)'!J27,0)</f>
        <v>0</v>
      </c>
      <c r="AS27" s="71">
        <f ca="1">-IF(C27=1,'Invoer gegevens (N)'!$C$10*'Invoer gegevens (N)'!$I$35*'Reeksen (N)'!L27,0)</f>
        <v>0</v>
      </c>
      <c r="AT27" s="71">
        <f ca="1">-IF(C27=1,IF(E27='Invoer gegevens (N)'!$C$17,'Invoer gegevens (N)'!$C$11,Q27)*'Reeksen (N)'!S27*'Invoer gegevens (N)'!$C$18*'Reeksen (N)'!P27,0)</f>
        <v>0</v>
      </c>
      <c r="AU27" s="71">
        <f ca="1">-IF(C27=1,'Invoer gegevens (N)'!$C$10*'Invoer gegevens (N)'!$I$36*'Reeksen (N)'!H27,0)</f>
        <v>0</v>
      </c>
      <c r="AV27" s="71">
        <v>0</v>
      </c>
      <c r="AW27" s="71">
        <f t="shared" ca="1" si="7"/>
        <v>0</v>
      </c>
      <c r="AX27" s="71">
        <f ca="1">IF(E27&lt;'Invoer gegevens (N)'!$C$17+15,0,IF(E27&gt;'Invoer gegevens (N)'!$C$17+215,0,AW27))</f>
        <v>0</v>
      </c>
      <c r="AY27" s="71">
        <f ca="1">AX27/(1+'Invoer gegevens (N)'!$F$13)^($AZ27-('Invoer gegevens (N)'!$C$17-'Invoer gegevens (N)'!$C$16))/(1+'Invoer gegevens (N)'!$C$39)^('Invoer gegevens (N)'!$C$17-'Invoer gegevens (N)'!$C$16)</f>
        <v>0</v>
      </c>
      <c r="AZ27" s="68">
        <f ca="1">IF(E27-'Invoer gegevens (N)'!$C$17-14.5&lt;0,0,E27-'Invoer gegevens (N)'!$C$17-14.5)</f>
        <v>7.5</v>
      </c>
    </row>
    <row r="28" spans="1:52" x14ac:dyDescent="0.25">
      <c r="A28" s="59"/>
      <c r="B28" s="70">
        <f t="shared" si="8"/>
        <v>24</v>
      </c>
      <c r="C28" s="67">
        <f ca="1">IF(E28-'Invoer gegevens (N)'!$C$17&lt;0,0,1)</f>
        <v>1</v>
      </c>
      <c r="D28" s="68">
        <f t="shared" si="9"/>
        <v>23.5</v>
      </c>
      <c r="E28" s="69">
        <f ca="1">IF('Invoer gegevens (N)'!$C$16="","",E27+1)</f>
        <v>2042</v>
      </c>
      <c r="F28" s="82">
        <f ca="1">IF('Invoer gegevens (N)'!$C$17=E28,'Invoer gegevens (N)'!$C$10,IF(C28=1,H27,0))</f>
        <v>0</v>
      </c>
      <c r="G28" s="83">
        <f ca="1">IF(C28&gt;=1,F28*'Reeksen (N)'!C28,0)</f>
        <v>0</v>
      </c>
      <c r="H28" s="84">
        <f t="shared" ca="1" si="3"/>
        <v>0</v>
      </c>
      <c r="I28" s="85">
        <f ca="1">IF('Invoer gegevens (N)'!$C$17=E28,'Invoer gegevens (N)'!$C$11,IF(C28=1,L27,0))</f>
        <v>0</v>
      </c>
      <c r="J28" s="86">
        <f ca="1">IF(C28&lt;1,0,IF('Reeksen (N)'!AK28&lt;='Reeksen (N)'!AE28,I28*'Reeksen (N)'!C28,0))</f>
        <v>0</v>
      </c>
      <c r="K28" s="86">
        <f ca="1">IF(C28&lt;1,0,IF('Reeksen (N)'!AK28&gt;'Reeksen (N)'!AE28,I28*'Reeksen (N)'!C28,0))</f>
        <v>0</v>
      </c>
      <c r="L28" s="86">
        <f t="shared" ca="1" si="4"/>
        <v>0</v>
      </c>
      <c r="M28" s="85">
        <f ca="1">IF('Invoer gegevens (N)'!$C$17=E28,'Invoer gegevens (N)'!$C$10-'Invoer gegevens (N)'!$C$11,IF(C28=1,P27,0))</f>
        <v>0</v>
      </c>
      <c r="N28" s="86">
        <f ca="1">IF(C28&lt;1,0,IF('Reeksen (N)'!AK28&lt;='Reeksen (N)'!AE28,M28*'Reeksen (N)'!C28,0))</f>
        <v>0</v>
      </c>
      <c r="O28" s="86">
        <f ca="1">IF(C28&lt;1,0,IF('Reeksen (N)'!AK28&gt;'Reeksen (N)'!AE28,M28*'Reeksen (N)'!C28,0))</f>
        <v>0</v>
      </c>
      <c r="P28" s="86">
        <f t="shared" ca="1" si="5"/>
        <v>0</v>
      </c>
      <c r="Q28" s="82">
        <f ca="1">IF('Invoer gegevens (N)'!$C$17=E28,I28,IF(C28=0,0,R27))</f>
        <v>0</v>
      </c>
      <c r="R28" s="84">
        <f t="shared" ca="1" si="0"/>
        <v>0</v>
      </c>
      <c r="S28" s="84">
        <f ca="1">IF('Invoer gegevens (N)'!$C$17=E28,M28,IF(C28=0,0,T27))</f>
        <v>0</v>
      </c>
      <c r="T28" s="84">
        <f t="shared" ca="1" si="1"/>
        <v>0</v>
      </c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8"/>
      <c r="AI28" s="71">
        <f ca="1">IF(C28=1,((F28+H28)/2*'Reeksen (N)'!AJ28*12)+(('Invoer gegevens (N)'!$C$10-(F28+H28)/2)*'Reeksen (N)'!AK28*12),0)</f>
        <v>0</v>
      </c>
      <c r="AJ28" s="71">
        <f ca="1">-AI28*'Invoer gegevens (N)'!$F$28</f>
        <v>0</v>
      </c>
      <c r="AK28" s="71">
        <f t="shared" ca="1" si="2"/>
        <v>0</v>
      </c>
      <c r="AL28" s="71">
        <f ca="1">IF(C28=1,(12*((F28+H28)/2)*'Reeksen (N)'!AL28)+(12*('Invoer gegevens (N)'!$C$10-(F28+H28)/2)*'Reeksen (N)'!AM28),0)</f>
        <v>0</v>
      </c>
      <c r="AM28" s="71">
        <f ca="1">-AL28*'Invoer gegevens (N)'!$F$31</f>
        <v>0</v>
      </c>
      <c r="AN28" s="71">
        <f t="shared" ca="1" si="6"/>
        <v>0</v>
      </c>
      <c r="AO28" s="71"/>
      <c r="AP28" s="71"/>
      <c r="AQ28" s="71">
        <f ca="1">-IF(C28=1,('Invoer gegevens (N)'!$C$10*'Invoer gegevens (N)'!$I$33)*'Reeksen (N)'!J28,0)*2</f>
        <v>0</v>
      </c>
      <c r="AR28" s="71">
        <f ca="1">-IF(C28=1,(G28*'Invoer gegevens (N)'!$I$34)*'Reeksen (N)'!J28,0)</f>
        <v>0</v>
      </c>
      <c r="AS28" s="71">
        <f ca="1">-IF(C28=1,'Invoer gegevens (N)'!$C$10*'Invoer gegevens (N)'!$I$35*'Reeksen (N)'!L28,0)</f>
        <v>0</v>
      </c>
      <c r="AT28" s="71">
        <f ca="1">-IF(C28=1,IF(E28='Invoer gegevens (N)'!$C$17,'Invoer gegevens (N)'!$C$11,Q28)*'Reeksen (N)'!S28*'Invoer gegevens (N)'!$C$18*'Reeksen (N)'!P28,0)</f>
        <v>0</v>
      </c>
      <c r="AU28" s="71">
        <f ca="1">-IF(C28=1,'Invoer gegevens (N)'!$C$10*'Invoer gegevens (N)'!$I$36*'Reeksen (N)'!H28,0)</f>
        <v>0</v>
      </c>
      <c r="AV28" s="71">
        <v>0</v>
      </c>
      <c r="AW28" s="71">
        <f t="shared" ca="1" si="7"/>
        <v>0</v>
      </c>
      <c r="AX28" s="71">
        <f ca="1">IF(E28&lt;'Invoer gegevens (N)'!$C$17+15,0,IF(E28&gt;'Invoer gegevens (N)'!$C$17+215,0,AW28))</f>
        <v>0</v>
      </c>
      <c r="AY28" s="71">
        <f ca="1">AX28/(1+'Invoer gegevens (N)'!$F$13)^($AZ28-('Invoer gegevens (N)'!$C$17-'Invoer gegevens (N)'!$C$16))/(1+'Invoer gegevens (N)'!$C$39)^('Invoer gegevens (N)'!$C$17-'Invoer gegevens (N)'!$C$16)</f>
        <v>0</v>
      </c>
      <c r="AZ28" s="68">
        <f ca="1">IF(E28-'Invoer gegevens (N)'!$C$17-14.5&lt;0,0,E28-'Invoer gegevens (N)'!$C$17-14.5)</f>
        <v>8.5</v>
      </c>
    </row>
    <row r="29" spans="1:52" x14ac:dyDescent="0.25">
      <c r="A29" s="59"/>
      <c r="B29" s="70">
        <f t="shared" si="8"/>
        <v>25</v>
      </c>
      <c r="C29" s="67">
        <f ca="1">IF(E29-'Invoer gegevens (N)'!$C$17&lt;0,0,1)</f>
        <v>1</v>
      </c>
      <c r="D29" s="68">
        <f t="shared" si="9"/>
        <v>24.5</v>
      </c>
      <c r="E29" s="69">
        <f ca="1">IF('Invoer gegevens (N)'!$C$16="","",E28+1)</f>
        <v>2043</v>
      </c>
      <c r="F29" s="82">
        <f ca="1">IF('Invoer gegevens (N)'!$C$17=E29,'Invoer gegevens (N)'!$C$10,IF(C29=1,H28,0))</f>
        <v>0</v>
      </c>
      <c r="G29" s="83">
        <f ca="1">IF(C29&gt;=1,F29*'Reeksen (N)'!C29,0)</f>
        <v>0</v>
      </c>
      <c r="H29" s="84">
        <f t="shared" ca="1" si="3"/>
        <v>0</v>
      </c>
      <c r="I29" s="85">
        <f ca="1">IF('Invoer gegevens (N)'!$C$17=E29,'Invoer gegevens (N)'!$C$11,IF(C29=1,L28,0))</f>
        <v>0</v>
      </c>
      <c r="J29" s="86">
        <f ca="1">IF(C29&lt;1,0,IF('Reeksen (N)'!AK29&lt;='Reeksen (N)'!AE29,I29*'Reeksen (N)'!C29,0))</f>
        <v>0</v>
      </c>
      <c r="K29" s="86">
        <f ca="1">IF(C29&lt;1,0,IF('Reeksen (N)'!AK29&gt;'Reeksen (N)'!AE29,I29*'Reeksen (N)'!C29,0))</f>
        <v>0</v>
      </c>
      <c r="L29" s="86">
        <f t="shared" ca="1" si="4"/>
        <v>0</v>
      </c>
      <c r="M29" s="85">
        <f ca="1">IF('Invoer gegevens (N)'!$C$17=E29,'Invoer gegevens (N)'!$C$10-'Invoer gegevens (N)'!$C$11,IF(C29=1,P28,0))</f>
        <v>0</v>
      </c>
      <c r="N29" s="86">
        <f ca="1">IF(C29&lt;1,0,IF('Reeksen (N)'!AK29&lt;='Reeksen (N)'!AE29,M29*'Reeksen (N)'!C29,0))</f>
        <v>0</v>
      </c>
      <c r="O29" s="86">
        <f ca="1">IF(C29&lt;1,0,IF('Reeksen (N)'!AK29&gt;'Reeksen (N)'!AE29,M29*'Reeksen (N)'!C29,0))</f>
        <v>0</v>
      </c>
      <c r="P29" s="86">
        <f t="shared" ca="1" si="5"/>
        <v>0</v>
      </c>
      <c r="Q29" s="82">
        <f ca="1">IF('Invoer gegevens (N)'!$C$17=E29,I29,IF(C29=0,0,R28))</f>
        <v>0</v>
      </c>
      <c r="R29" s="84">
        <f t="shared" ca="1" si="0"/>
        <v>0</v>
      </c>
      <c r="S29" s="84">
        <f ca="1">IF('Invoer gegevens (N)'!$C$17=E29,M29,IF(C29=0,0,T28))</f>
        <v>0</v>
      </c>
      <c r="T29" s="84">
        <f t="shared" ca="1" si="1"/>
        <v>0</v>
      </c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8"/>
      <c r="AI29" s="71">
        <f ca="1">IF(C29=1,((F29+H29)/2*'Reeksen (N)'!AJ29*12)+(('Invoer gegevens (N)'!$C$10-(F29+H29)/2)*'Reeksen (N)'!AK29*12),0)</f>
        <v>0</v>
      </c>
      <c r="AJ29" s="71">
        <f ca="1">-AI29*'Invoer gegevens (N)'!$F$28</f>
        <v>0</v>
      </c>
      <c r="AK29" s="71">
        <f t="shared" ca="1" si="2"/>
        <v>0</v>
      </c>
      <c r="AL29" s="71">
        <f ca="1">IF(C29=1,(12*((F29+H29)/2)*'Reeksen (N)'!AL29)+(12*('Invoer gegevens (N)'!$C$10-(F29+H29)/2)*'Reeksen (N)'!AM29),0)</f>
        <v>0</v>
      </c>
      <c r="AM29" s="71">
        <f ca="1">-AL29*'Invoer gegevens (N)'!$F$31</f>
        <v>0</v>
      </c>
      <c r="AN29" s="71">
        <f t="shared" ca="1" si="6"/>
        <v>0</v>
      </c>
      <c r="AO29" s="71"/>
      <c r="AP29" s="71"/>
      <c r="AQ29" s="71">
        <f ca="1">-IF(C29=1,('Invoer gegevens (N)'!$C$10*'Invoer gegevens (N)'!$I$33)*'Reeksen (N)'!J29,0)*2</f>
        <v>0</v>
      </c>
      <c r="AR29" s="71">
        <f ca="1">-IF(C29=1,(G29*'Invoer gegevens (N)'!$I$34)*'Reeksen (N)'!J29,0)</f>
        <v>0</v>
      </c>
      <c r="AS29" s="71">
        <f ca="1">-IF(C29=1,'Invoer gegevens (N)'!$C$10*'Invoer gegevens (N)'!$I$35*'Reeksen (N)'!L29,0)</f>
        <v>0</v>
      </c>
      <c r="AT29" s="71">
        <f ca="1">-IF(C29=1,IF(E29='Invoer gegevens (N)'!$C$17,'Invoer gegevens (N)'!$C$11,Q29)*'Reeksen (N)'!S29*'Invoer gegevens (N)'!$C$18*'Reeksen (N)'!P29,0)</f>
        <v>0</v>
      </c>
      <c r="AU29" s="71">
        <f ca="1">-IF(C29=1,'Invoer gegevens (N)'!$C$10*'Invoer gegevens (N)'!$I$36*'Reeksen (N)'!H29,0)</f>
        <v>0</v>
      </c>
      <c r="AV29" s="71">
        <v>0</v>
      </c>
      <c r="AW29" s="71">
        <f t="shared" ca="1" si="7"/>
        <v>0</v>
      </c>
      <c r="AX29" s="71">
        <f ca="1">IF(E29&lt;'Invoer gegevens (N)'!$C$17+15,0,IF(E29&gt;'Invoer gegevens (N)'!$C$17+215,0,AW29))</f>
        <v>0</v>
      </c>
      <c r="AY29" s="71">
        <f ca="1">AX29/(1+'Invoer gegevens (N)'!$F$13)^($AZ29-('Invoer gegevens (N)'!$C$17-'Invoer gegevens (N)'!$C$16))/(1+'Invoer gegevens (N)'!$C$39)^('Invoer gegevens (N)'!$C$17-'Invoer gegevens (N)'!$C$16)</f>
        <v>0</v>
      </c>
      <c r="AZ29" s="68">
        <f ca="1">IF(E29-'Invoer gegevens (N)'!$C$17-14.5&lt;0,0,E29-'Invoer gegevens (N)'!$C$17-14.5)</f>
        <v>9.5</v>
      </c>
    </row>
    <row r="30" spans="1:52" x14ac:dyDescent="0.25">
      <c r="A30" s="59"/>
      <c r="B30" s="70">
        <f t="shared" si="8"/>
        <v>26</v>
      </c>
      <c r="C30" s="67">
        <f ca="1">IF(E30-'Invoer gegevens (N)'!$C$17&lt;0,0,1)</f>
        <v>1</v>
      </c>
      <c r="D30" s="68">
        <f t="shared" si="9"/>
        <v>25.5</v>
      </c>
      <c r="E30" s="69">
        <f ca="1">IF('Invoer gegevens (N)'!$C$16="","",E29+1)</f>
        <v>2044</v>
      </c>
      <c r="F30" s="82">
        <f ca="1">IF('Invoer gegevens (N)'!$C$17=E30,'Invoer gegevens (N)'!$C$10,IF(C30=1,H29,0))</f>
        <v>0</v>
      </c>
      <c r="G30" s="83">
        <f ca="1">IF(C30&gt;=1,F30*'Reeksen (N)'!C30,0)</f>
        <v>0</v>
      </c>
      <c r="H30" s="84">
        <f t="shared" ca="1" si="3"/>
        <v>0</v>
      </c>
      <c r="I30" s="85">
        <f ca="1">IF('Invoer gegevens (N)'!$C$17=E30,'Invoer gegevens (N)'!$C$11,IF(C30=1,L29,0))</f>
        <v>0</v>
      </c>
      <c r="J30" s="86">
        <f ca="1">IF(C30&lt;1,0,IF('Reeksen (N)'!AK30&lt;='Reeksen (N)'!AE30,I30*'Reeksen (N)'!C30,0))</f>
        <v>0</v>
      </c>
      <c r="K30" s="86">
        <f ca="1">IF(C30&lt;1,0,IF('Reeksen (N)'!AK30&gt;'Reeksen (N)'!AE30,I30*'Reeksen (N)'!C30,0))</f>
        <v>0</v>
      </c>
      <c r="L30" s="86">
        <f t="shared" ca="1" si="4"/>
        <v>0</v>
      </c>
      <c r="M30" s="85">
        <f ca="1">IF('Invoer gegevens (N)'!$C$17=E30,'Invoer gegevens (N)'!$C$10-'Invoer gegevens (N)'!$C$11,IF(C30=1,P29,0))</f>
        <v>0</v>
      </c>
      <c r="N30" s="86">
        <f ca="1">IF(C30&lt;1,0,IF('Reeksen (N)'!AK30&lt;='Reeksen (N)'!AE30,M30*'Reeksen (N)'!C30,0))</f>
        <v>0</v>
      </c>
      <c r="O30" s="86">
        <f ca="1">IF(C30&lt;1,0,IF('Reeksen (N)'!AK30&gt;'Reeksen (N)'!AE30,M30*'Reeksen (N)'!C30,0))</f>
        <v>0</v>
      </c>
      <c r="P30" s="86">
        <f t="shared" ca="1" si="5"/>
        <v>0</v>
      </c>
      <c r="Q30" s="82">
        <f ca="1">IF('Invoer gegevens (N)'!$C$17=E30,I30,IF(C30=0,0,R29))</f>
        <v>0</v>
      </c>
      <c r="R30" s="84">
        <f t="shared" ca="1" si="0"/>
        <v>0</v>
      </c>
      <c r="S30" s="84">
        <f ca="1">IF('Invoer gegevens (N)'!$C$17=E30,M30,IF(C30=0,0,T29))</f>
        <v>0</v>
      </c>
      <c r="T30" s="84">
        <f t="shared" ca="1" si="1"/>
        <v>0</v>
      </c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8"/>
      <c r="AI30" s="71">
        <f ca="1">IF(C30=1,((F30+H30)/2*'Reeksen (N)'!AJ30*12)+(('Invoer gegevens (N)'!$C$10-(F30+H30)/2)*'Reeksen (N)'!AK30*12),0)</f>
        <v>0</v>
      </c>
      <c r="AJ30" s="71">
        <f ca="1">-AI30*'Invoer gegevens (N)'!$F$28</f>
        <v>0</v>
      </c>
      <c r="AK30" s="71">
        <f t="shared" ca="1" si="2"/>
        <v>0</v>
      </c>
      <c r="AL30" s="71">
        <f ca="1">IF(C30=1,(12*((F30+H30)/2)*'Reeksen (N)'!AL30)+(12*('Invoer gegevens (N)'!$C$10-(F30+H30)/2)*'Reeksen (N)'!AM30),0)</f>
        <v>0</v>
      </c>
      <c r="AM30" s="71">
        <f ca="1">-AL30*'Invoer gegevens (N)'!$F$31</f>
        <v>0</v>
      </c>
      <c r="AN30" s="71">
        <f t="shared" ca="1" si="6"/>
        <v>0</v>
      </c>
      <c r="AO30" s="71"/>
      <c r="AP30" s="71"/>
      <c r="AQ30" s="71">
        <f ca="1">-IF(C30=1,('Invoer gegevens (N)'!$C$10*'Invoer gegevens (N)'!$I$33)*'Reeksen (N)'!J30,0)*2</f>
        <v>0</v>
      </c>
      <c r="AR30" s="71">
        <f ca="1">-IF(C30=1,(G30*'Invoer gegevens (N)'!$I$34)*'Reeksen (N)'!J30,0)</f>
        <v>0</v>
      </c>
      <c r="AS30" s="71">
        <f ca="1">-IF(C30=1,'Invoer gegevens (N)'!$C$10*'Invoer gegevens (N)'!$I$35*'Reeksen (N)'!L30,0)</f>
        <v>0</v>
      </c>
      <c r="AT30" s="71">
        <f ca="1">-IF(C30=1,IF(E30='Invoer gegevens (N)'!$C$17,'Invoer gegevens (N)'!$C$11,Q30)*'Reeksen (N)'!S30*'Invoer gegevens (N)'!$C$18*'Reeksen (N)'!P30,0)</f>
        <v>0</v>
      </c>
      <c r="AU30" s="71">
        <f ca="1">-IF(C30=1,'Invoer gegevens (N)'!$C$10*'Invoer gegevens (N)'!$I$36*'Reeksen (N)'!H30,0)</f>
        <v>0</v>
      </c>
      <c r="AV30" s="71">
        <v>0</v>
      </c>
      <c r="AW30" s="71">
        <f t="shared" ca="1" si="7"/>
        <v>0</v>
      </c>
      <c r="AX30" s="71">
        <f ca="1">IF(E30&lt;'Invoer gegevens (N)'!$C$17+15,0,IF(E30&gt;'Invoer gegevens (N)'!$C$17+215,0,AW30))</f>
        <v>0</v>
      </c>
      <c r="AY30" s="71">
        <f ca="1">AX30/(1+'Invoer gegevens (N)'!$F$13)^($AZ30-('Invoer gegevens (N)'!$C$17-'Invoer gegevens (N)'!$C$16))/(1+'Invoer gegevens (N)'!$C$39)^('Invoer gegevens (N)'!$C$17-'Invoer gegevens (N)'!$C$16)</f>
        <v>0</v>
      </c>
      <c r="AZ30" s="68">
        <f ca="1">IF(E30-'Invoer gegevens (N)'!$C$17-14.5&lt;0,0,E30-'Invoer gegevens (N)'!$C$17-14.5)</f>
        <v>10.5</v>
      </c>
    </row>
    <row r="31" spans="1:52" x14ac:dyDescent="0.25">
      <c r="A31" s="59"/>
      <c r="B31" s="70">
        <f t="shared" si="8"/>
        <v>27</v>
      </c>
      <c r="C31" s="67">
        <f ca="1">IF(E31-'Invoer gegevens (N)'!$C$17&lt;0,0,1)</f>
        <v>1</v>
      </c>
      <c r="D31" s="68">
        <f t="shared" si="9"/>
        <v>26.5</v>
      </c>
      <c r="E31" s="69">
        <f ca="1">IF('Invoer gegevens (N)'!$C$16="","",E30+1)</f>
        <v>2045</v>
      </c>
      <c r="F31" s="82">
        <f ca="1">IF('Invoer gegevens (N)'!$C$17=E31,'Invoer gegevens (N)'!$C$10,IF(C31=1,H30,0))</f>
        <v>0</v>
      </c>
      <c r="G31" s="83">
        <f ca="1">IF(C31&gt;=1,F31*'Reeksen (N)'!C31,0)</f>
        <v>0</v>
      </c>
      <c r="H31" s="84">
        <f t="shared" ca="1" si="3"/>
        <v>0</v>
      </c>
      <c r="I31" s="85">
        <f ca="1">IF('Invoer gegevens (N)'!$C$17=E31,'Invoer gegevens (N)'!$C$11,IF(C31=1,L30,0))</f>
        <v>0</v>
      </c>
      <c r="J31" s="86">
        <f ca="1">IF(C31&lt;1,0,IF('Reeksen (N)'!AK31&lt;='Reeksen (N)'!AE31,I31*'Reeksen (N)'!C31,0))</f>
        <v>0</v>
      </c>
      <c r="K31" s="86">
        <f ca="1">IF(C31&lt;1,0,IF('Reeksen (N)'!AK31&gt;'Reeksen (N)'!AE31,I31*'Reeksen (N)'!C31,0))</f>
        <v>0</v>
      </c>
      <c r="L31" s="86">
        <f t="shared" ca="1" si="4"/>
        <v>0</v>
      </c>
      <c r="M31" s="85">
        <f ca="1">IF('Invoer gegevens (N)'!$C$17=E31,'Invoer gegevens (N)'!$C$10-'Invoer gegevens (N)'!$C$11,IF(C31=1,P30,0))</f>
        <v>0</v>
      </c>
      <c r="N31" s="86">
        <f ca="1">IF(C31&lt;1,0,IF('Reeksen (N)'!AK31&lt;='Reeksen (N)'!AE31,M31*'Reeksen (N)'!C31,0))</f>
        <v>0</v>
      </c>
      <c r="O31" s="86">
        <f ca="1">IF(C31&lt;1,0,IF('Reeksen (N)'!AK31&gt;'Reeksen (N)'!AE31,M31*'Reeksen (N)'!C31,0))</f>
        <v>0</v>
      </c>
      <c r="P31" s="86">
        <f t="shared" ca="1" si="5"/>
        <v>0</v>
      </c>
      <c r="Q31" s="82">
        <f ca="1">IF('Invoer gegevens (N)'!$C$17=E31,I31,IF(C31=0,0,R30))</f>
        <v>0</v>
      </c>
      <c r="R31" s="84">
        <f t="shared" ca="1" si="0"/>
        <v>0</v>
      </c>
      <c r="S31" s="84">
        <f ca="1">IF('Invoer gegevens (N)'!$C$17=E31,M31,IF(C31=0,0,T30))</f>
        <v>0</v>
      </c>
      <c r="T31" s="84">
        <f t="shared" ca="1" si="1"/>
        <v>0</v>
      </c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8"/>
      <c r="AI31" s="71">
        <f ca="1">IF(C31=1,((F31+H31)/2*'Reeksen (N)'!AJ31*12)+(('Invoer gegevens (N)'!$C$10-(F31+H31)/2)*'Reeksen (N)'!AK31*12),0)</f>
        <v>0</v>
      </c>
      <c r="AJ31" s="71">
        <f ca="1">-AI31*'Invoer gegevens (N)'!$F$28</f>
        <v>0</v>
      </c>
      <c r="AK31" s="71">
        <f t="shared" ca="1" si="2"/>
        <v>0</v>
      </c>
      <c r="AL31" s="71">
        <f ca="1">IF(C31=1,(12*((F31+H31)/2)*'Reeksen (N)'!AL31)+(12*('Invoer gegevens (N)'!$C$10-(F31+H31)/2)*'Reeksen (N)'!AM31),0)</f>
        <v>0</v>
      </c>
      <c r="AM31" s="71">
        <f ca="1">-AL31*'Invoer gegevens (N)'!$F$31</f>
        <v>0</v>
      </c>
      <c r="AN31" s="71">
        <f t="shared" ca="1" si="6"/>
        <v>0</v>
      </c>
      <c r="AO31" s="71"/>
      <c r="AP31" s="71"/>
      <c r="AQ31" s="71">
        <f ca="1">-IF(C31=1,('Invoer gegevens (N)'!$C$10*'Invoer gegevens (N)'!$I$33)*'Reeksen (N)'!J31,0)*2</f>
        <v>0</v>
      </c>
      <c r="AR31" s="71">
        <f ca="1">-IF(C31=1,(G31*'Invoer gegevens (N)'!$I$34)*'Reeksen (N)'!J31,0)</f>
        <v>0</v>
      </c>
      <c r="AS31" s="71">
        <f ca="1">-IF(C31=1,'Invoer gegevens (N)'!$C$10*'Invoer gegevens (N)'!$I$35*'Reeksen (N)'!L31,0)</f>
        <v>0</v>
      </c>
      <c r="AT31" s="71">
        <f ca="1">-IF(C31=1,IF(E31='Invoer gegevens (N)'!$C$17,'Invoer gegevens (N)'!$C$11,Q31)*'Reeksen (N)'!S31*'Invoer gegevens (N)'!$C$18*'Reeksen (N)'!P31,0)</f>
        <v>0</v>
      </c>
      <c r="AU31" s="71">
        <f ca="1">-IF(C31=1,'Invoer gegevens (N)'!$C$10*'Invoer gegevens (N)'!$I$36*'Reeksen (N)'!H31,0)</f>
        <v>0</v>
      </c>
      <c r="AV31" s="71">
        <v>0</v>
      </c>
      <c r="AW31" s="71">
        <f t="shared" ca="1" si="7"/>
        <v>0</v>
      </c>
      <c r="AX31" s="71">
        <f ca="1">IF(E31&lt;'Invoer gegevens (N)'!$C$17+15,0,IF(E31&gt;'Invoer gegevens (N)'!$C$17+215,0,AW31))</f>
        <v>0</v>
      </c>
      <c r="AY31" s="71">
        <f ca="1">AX31/(1+'Invoer gegevens (N)'!$F$13)^($AZ31-('Invoer gegevens (N)'!$C$17-'Invoer gegevens (N)'!$C$16))/(1+'Invoer gegevens (N)'!$C$39)^('Invoer gegevens (N)'!$C$17-'Invoer gegevens (N)'!$C$16)</f>
        <v>0</v>
      </c>
      <c r="AZ31" s="68">
        <f ca="1">IF(E31-'Invoer gegevens (N)'!$C$17-14.5&lt;0,0,E31-'Invoer gegevens (N)'!$C$17-14.5)</f>
        <v>11.5</v>
      </c>
    </row>
    <row r="32" spans="1:52" x14ac:dyDescent="0.25">
      <c r="B32" s="70">
        <f t="shared" si="8"/>
        <v>28</v>
      </c>
      <c r="C32" s="67">
        <f ca="1">IF(E32-'Invoer gegevens (N)'!$C$17&lt;0,0,1)</f>
        <v>1</v>
      </c>
      <c r="D32" s="68">
        <f t="shared" si="9"/>
        <v>27.5</v>
      </c>
      <c r="E32" s="69">
        <f ca="1">IF('Invoer gegevens (N)'!$C$16="","",E31+1)</f>
        <v>2046</v>
      </c>
      <c r="F32" s="82">
        <f ca="1">IF('Invoer gegevens (N)'!$C$17=E32,'Invoer gegevens (N)'!$C$10,IF(C32=1,H31,0))</f>
        <v>0</v>
      </c>
      <c r="G32" s="83">
        <f ca="1">IF(C32&gt;=1,F32*'Reeksen (N)'!C32,0)</f>
        <v>0</v>
      </c>
      <c r="H32" s="84">
        <f t="shared" ca="1" si="3"/>
        <v>0</v>
      </c>
      <c r="I32" s="85">
        <f ca="1">IF('Invoer gegevens (N)'!$C$17=E32,'Invoer gegevens (N)'!$C$11,IF(C32=1,L31,0))</f>
        <v>0</v>
      </c>
      <c r="J32" s="86">
        <f ca="1">IF(C32&lt;1,0,IF('Reeksen (N)'!AK32&lt;='Reeksen (N)'!AE32,I32*'Reeksen (N)'!C32,0))</f>
        <v>0</v>
      </c>
      <c r="K32" s="86">
        <f ca="1">IF(C32&lt;1,0,IF('Reeksen (N)'!AK32&gt;'Reeksen (N)'!AE32,I32*'Reeksen (N)'!C32,0))</f>
        <v>0</v>
      </c>
      <c r="L32" s="86">
        <f t="shared" ca="1" si="4"/>
        <v>0</v>
      </c>
      <c r="M32" s="85">
        <f ca="1">IF('Invoer gegevens (N)'!$C$17=E32,'Invoer gegevens (N)'!$C$10-'Invoer gegevens (N)'!$C$11,IF(C32=1,P31,0))</f>
        <v>0</v>
      </c>
      <c r="N32" s="86">
        <f ca="1">IF(C32&lt;1,0,IF('Reeksen (N)'!AK32&lt;='Reeksen (N)'!AE32,M32*'Reeksen (N)'!C32,0))</f>
        <v>0</v>
      </c>
      <c r="O32" s="86">
        <f ca="1">IF(C32&lt;1,0,IF('Reeksen (N)'!AK32&gt;'Reeksen (N)'!AE32,M32*'Reeksen (N)'!C32,0))</f>
        <v>0</v>
      </c>
      <c r="P32" s="86">
        <f t="shared" ca="1" si="5"/>
        <v>0</v>
      </c>
      <c r="Q32" s="82">
        <f ca="1">IF('Invoer gegevens (N)'!$C$17=E32,I32,IF(C32=0,0,R31))</f>
        <v>0</v>
      </c>
      <c r="R32" s="84">
        <f t="shared" ca="1" si="0"/>
        <v>0</v>
      </c>
      <c r="S32" s="84">
        <f ca="1">IF('Invoer gegevens (N)'!$C$17=E32,M32,IF(C32=0,0,T31))</f>
        <v>0</v>
      </c>
      <c r="T32" s="84">
        <f t="shared" ca="1" si="1"/>
        <v>0</v>
      </c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8"/>
      <c r="AI32" s="71">
        <f ca="1">IF(C32=1,((F32+H32)/2*'Reeksen (N)'!AJ32*12)+(('Invoer gegevens (N)'!$C$10-(F32+H32)/2)*'Reeksen (N)'!AK32*12),0)</f>
        <v>0</v>
      </c>
      <c r="AJ32" s="71">
        <f ca="1">-AI32*'Invoer gegevens (N)'!$F$28</f>
        <v>0</v>
      </c>
      <c r="AK32" s="71">
        <f t="shared" ca="1" si="2"/>
        <v>0</v>
      </c>
      <c r="AL32" s="71">
        <f ca="1">IF(C32=1,(12*((F32+H32)/2)*'Reeksen (N)'!AL32)+(12*('Invoer gegevens (N)'!$C$10-(F32+H32)/2)*'Reeksen (N)'!AM32),0)</f>
        <v>0</v>
      </c>
      <c r="AM32" s="71">
        <f ca="1">-AL32*'Invoer gegevens (N)'!$F$31</f>
        <v>0</v>
      </c>
      <c r="AN32" s="71">
        <f t="shared" ca="1" si="6"/>
        <v>0</v>
      </c>
      <c r="AO32" s="71"/>
      <c r="AP32" s="71"/>
      <c r="AQ32" s="71">
        <f ca="1">-IF(C32=1,('Invoer gegevens (N)'!$C$10*'Invoer gegevens (N)'!$I$33)*'Reeksen (N)'!J32,0)*2</f>
        <v>0</v>
      </c>
      <c r="AR32" s="71">
        <f ca="1">-IF(C32=1,(G32*'Invoer gegevens (N)'!$I$34)*'Reeksen (N)'!J32,0)</f>
        <v>0</v>
      </c>
      <c r="AS32" s="71">
        <f ca="1">-IF(C32=1,'Invoer gegevens (N)'!$C$10*'Invoer gegevens (N)'!$I$35*'Reeksen (N)'!L32,0)</f>
        <v>0</v>
      </c>
      <c r="AT32" s="71">
        <f ca="1">-IF(C32=1,IF(E32='Invoer gegevens (N)'!$C$17,'Invoer gegevens (N)'!$C$11,Q32)*'Reeksen (N)'!S32*'Invoer gegevens (N)'!$C$18*'Reeksen (N)'!P32,0)</f>
        <v>0</v>
      </c>
      <c r="AU32" s="71">
        <f ca="1">-IF(C32=1,'Invoer gegevens (N)'!$C$10*'Invoer gegevens (N)'!$I$36*'Reeksen (N)'!H32,0)</f>
        <v>0</v>
      </c>
      <c r="AV32" s="71">
        <v>0</v>
      </c>
      <c r="AW32" s="71">
        <f t="shared" ca="1" si="7"/>
        <v>0</v>
      </c>
      <c r="AX32" s="71">
        <f ca="1">IF(E32&lt;'Invoer gegevens (N)'!$C$17+15,0,IF(E32&gt;'Invoer gegevens (N)'!$C$17+215,0,AW32))</f>
        <v>0</v>
      </c>
      <c r="AY32" s="71">
        <f ca="1">AX32/(1+'Invoer gegevens (N)'!$F$13)^($AZ32-('Invoer gegevens (N)'!$C$17-'Invoer gegevens (N)'!$C$16))/(1+'Invoer gegevens (N)'!$C$39)^('Invoer gegevens (N)'!$C$17-'Invoer gegevens (N)'!$C$16)</f>
        <v>0</v>
      </c>
      <c r="AZ32" s="68">
        <f ca="1">IF(E32-'Invoer gegevens (N)'!$C$17-14.5&lt;0,0,E32-'Invoer gegevens (N)'!$C$17-14.5)</f>
        <v>12.5</v>
      </c>
    </row>
    <row r="33" spans="2:52" x14ac:dyDescent="0.25">
      <c r="B33" s="70">
        <f t="shared" si="8"/>
        <v>29</v>
      </c>
      <c r="C33" s="67">
        <f ca="1">IF(E33-'Invoer gegevens (N)'!$C$17&lt;0,0,1)</f>
        <v>1</v>
      </c>
      <c r="D33" s="68">
        <f t="shared" si="9"/>
        <v>28.5</v>
      </c>
      <c r="E33" s="69">
        <f ca="1">IF('Invoer gegevens (N)'!$C$16="","",E32+1)</f>
        <v>2047</v>
      </c>
      <c r="F33" s="82">
        <f ca="1">IF('Invoer gegevens (N)'!$C$17=E33,'Invoer gegevens (N)'!$C$10,IF(C33=1,H32,0))</f>
        <v>0</v>
      </c>
      <c r="G33" s="83">
        <f ca="1">IF(C33&gt;=1,F33*'Reeksen (N)'!C33,0)</f>
        <v>0</v>
      </c>
      <c r="H33" s="84">
        <f t="shared" ca="1" si="3"/>
        <v>0</v>
      </c>
      <c r="I33" s="85">
        <f ca="1">IF('Invoer gegevens (N)'!$C$17=E33,'Invoer gegevens (N)'!$C$11,IF(C33=1,L32,0))</f>
        <v>0</v>
      </c>
      <c r="J33" s="86">
        <f ca="1">IF(C33&lt;1,0,IF('Reeksen (N)'!AK33&lt;='Reeksen (N)'!AE33,I33*'Reeksen (N)'!C33,0))</f>
        <v>0</v>
      </c>
      <c r="K33" s="86">
        <f ca="1">IF(C33&lt;1,0,IF('Reeksen (N)'!AK33&gt;'Reeksen (N)'!AE33,I33*'Reeksen (N)'!C33,0))</f>
        <v>0</v>
      </c>
      <c r="L33" s="86">
        <f t="shared" ca="1" si="4"/>
        <v>0</v>
      </c>
      <c r="M33" s="85">
        <f ca="1">IF('Invoer gegevens (N)'!$C$17=E33,'Invoer gegevens (N)'!$C$10-'Invoer gegevens (N)'!$C$11,IF(C33=1,P32,0))</f>
        <v>0</v>
      </c>
      <c r="N33" s="86">
        <f ca="1">IF(C33&lt;1,0,IF('Reeksen (N)'!AK33&lt;='Reeksen (N)'!AE33,M33*'Reeksen (N)'!C33,0))</f>
        <v>0</v>
      </c>
      <c r="O33" s="86">
        <f ca="1">IF(C33&lt;1,0,IF('Reeksen (N)'!AK33&gt;'Reeksen (N)'!AE33,M33*'Reeksen (N)'!C33,0))</f>
        <v>0</v>
      </c>
      <c r="P33" s="86">
        <f t="shared" ca="1" si="5"/>
        <v>0</v>
      </c>
      <c r="Q33" s="82">
        <f ca="1">IF('Invoer gegevens (N)'!$C$17=E33,I33,IF(C33=0,0,R32))</f>
        <v>0</v>
      </c>
      <c r="R33" s="84">
        <f t="shared" ca="1" si="0"/>
        <v>0</v>
      </c>
      <c r="S33" s="84">
        <f ca="1">IF('Invoer gegevens (N)'!$C$17=E33,M33,IF(C33=0,0,T32))</f>
        <v>0</v>
      </c>
      <c r="T33" s="84">
        <f t="shared" ca="1" si="1"/>
        <v>0</v>
      </c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8"/>
      <c r="AI33" s="71">
        <f ca="1">IF(C33=1,((F33+H33)/2*'Reeksen (N)'!AJ33*12)+(('Invoer gegevens (N)'!$C$10-(F33+H33)/2)*'Reeksen (N)'!AK33*12),0)</f>
        <v>0</v>
      </c>
      <c r="AJ33" s="71">
        <f ca="1">-AI33*'Invoer gegevens (N)'!$F$28</f>
        <v>0</v>
      </c>
      <c r="AK33" s="71">
        <f t="shared" ca="1" si="2"/>
        <v>0</v>
      </c>
      <c r="AL33" s="71">
        <f ca="1">IF(C33=1,(12*((F33+H33)/2)*'Reeksen (N)'!AL33)+(12*('Invoer gegevens (N)'!$C$10-(F33+H33)/2)*'Reeksen (N)'!AM33),0)</f>
        <v>0</v>
      </c>
      <c r="AM33" s="71">
        <f ca="1">-AL33*'Invoer gegevens (N)'!$F$31</f>
        <v>0</v>
      </c>
      <c r="AN33" s="71">
        <f t="shared" ca="1" si="6"/>
        <v>0</v>
      </c>
      <c r="AO33" s="71"/>
      <c r="AP33" s="71"/>
      <c r="AQ33" s="71">
        <f ca="1">-IF(C33=1,('Invoer gegevens (N)'!$C$10*'Invoer gegevens (N)'!$I$33)*'Reeksen (N)'!J33,0)*2</f>
        <v>0</v>
      </c>
      <c r="AR33" s="71">
        <f ca="1">-IF(C33=1,(G33*'Invoer gegevens (N)'!$I$34)*'Reeksen (N)'!J33,0)</f>
        <v>0</v>
      </c>
      <c r="AS33" s="71">
        <f ca="1">-IF(C33=1,'Invoer gegevens (N)'!$C$10*'Invoer gegevens (N)'!$I$35*'Reeksen (N)'!L33,0)</f>
        <v>0</v>
      </c>
      <c r="AT33" s="71">
        <f ca="1">-IF(C33=1,IF(E33='Invoer gegevens (N)'!$C$17,'Invoer gegevens (N)'!$C$11,Q33)*'Reeksen (N)'!S33*'Invoer gegevens (N)'!$C$18*'Reeksen (N)'!P33,0)</f>
        <v>0</v>
      </c>
      <c r="AU33" s="71">
        <f ca="1">-IF(C33=1,'Invoer gegevens (N)'!$C$10*'Invoer gegevens (N)'!$I$36*'Reeksen (N)'!H33,0)</f>
        <v>0</v>
      </c>
      <c r="AV33" s="71">
        <v>0</v>
      </c>
      <c r="AW33" s="71">
        <f t="shared" ca="1" si="7"/>
        <v>0</v>
      </c>
      <c r="AX33" s="71">
        <f ca="1">IF(E33&lt;'Invoer gegevens (N)'!$C$17+15,0,IF(E33&gt;'Invoer gegevens (N)'!$C$17+215,0,AW33))</f>
        <v>0</v>
      </c>
      <c r="AY33" s="71">
        <f ca="1">AX33/(1+'Invoer gegevens (N)'!$F$13)^($AZ33-('Invoer gegevens (N)'!$C$17-'Invoer gegevens (N)'!$C$16))/(1+'Invoer gegevens (N)'!$C$39)^('Invoer gegevens (N)'!$C$17-'Invoer gegevens (N)'!$C$16)</f>
        <v>0</v>
      </c>
      <c r="AZ33" s="68">
        <f ca="1">IF(E33-'Invoer gegevens (N)'!$C$17-14.5&lt;0,0,E33-'Invoer gegevens (N)'!$C$17-14.5)</f>
        <v>13.5</v>
      </c>
    </row>
    <row r="34" spans="2:52" x14ac:dyDescent="0.25">
      <c r="B34" s="70">
        <f t="shared" si="8"/>
        <v>30</v>
      </c>
      <c r="C34" s="67">
        <f ca="1">IF(E34-'Invoer gegevens (N)'!$C$17&lt;0,0,1)</f>
        <v>1</v>
      </c>
      <c r="D34" s="68">
        <f t="shared" si="9"/>
        <v>29.5</v>
      </c>
      <c r="E34" s="69">
        <f ca="1">IF('Invoer gegevens (N)'!$C$16="","",E33+1)</f>
        <v>2048</v>
      </c>
      <c r="F34" s="82">
        <f ca="1">IF('Invoer gegevens (N)'!$C$17=E34,'Invoer gegevens (N)'!$C$10,IF(C34=1,H33,0))</f>
        <v>0</v>
      </c>
      <c r="G34" s="83">
        <f ca="1">IF(C34&gt;=1,F34*'Reeksen (N)'!C34,0)</f>
        <v>0</v>
      </c>
      <c r="H34" s="84">
        <f t="shared" ca="1" si="3"/>
        <v>0</v>
      </c>
      <c r="I34" s="85">
        <f ca="1">IF('Invoer gegevens (N)'!$C$17=E34,'Invoer gegevens (N)'!$C$11,IF(C34=1,L33,0))</f>
        <v>0</v>
      </c>
      <c r="J34" s="86">
        <f ca="1">IF(C34&lt;1,0,IF('Reeksen (N)'!AK34&lt;='Reeksen (N)'!AE34,I34*'Reeksen (N)'!C34,0))</f>
        <v>0</v>
      </c>
      <c r="K34" s="86">
        <f ca="1">IF(C34&lt;1,0,IF('Reeksen (N)'!AK34&gt;'Reeksen (N)'!AE34,I34*'Reeksen (N)'!C34,0))</f>
        <v>0</v>
      </c>
      <c r="L34" s="86">
        <f t="shared" ca="1" si="4"/>
        <v>0</v>
      </c>
      <c r="M34" s="85">
        <f ca="1">IF('Invoer gegevens (N)'!$C$17=E34,'Invoer gegevens (N)'!$C$10-'Invoer gegevens (N)'!$C$11,IF(C34=1,P33,0))</f>
        <v>0</v>
      </c>
      <c r="N34" s="86">
        <f ca="1">IF(C34&lt;1,0,IF('Reeksen (N)'!AK34&lt;='Reeksen (N)'!AE34,M34*'Reeksen (N)'!C34,0))</f>
        <v>0</v>
      </c>
      <c r="O34" s="86">
        <f ca="1">IF(C34&lt;1,0,IF('Reeksen (N)'!AK34&gt;'Reeksen (N)'!AE34,M34*'Reeksen (N)'!C34,0))</f>
        <v>0</v>
      </c>
      <c r="P34" s="86">
        <f t="shared" ca="1" si="5"/>
        <v>0</v>
      </c>
      <c r="Q34" s="82">
        <f ca="1">IF('Invoer gegevens (N)'!$C$17=E34,I34,IF(C34=0,0,R33))</f>
        <v>0</v>
      </c>
      <c r="R34" s="84">
        <f t="shared" ca="1" si="0"/>
        <v>0</v>
      </c>
      <c r="S34" s="84">
        <f ca="1">IF('Invoer gegevens (N)'!$C$17=E34,M34,IF(C34=0,0,T33))</f>
        <v>0</v>
      </c>
      <c r="T34" s="84">
        <f t="shared" ca="1" si="1"/>
        <v>0</v>
      </c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8"/>
      <c r="AI34" s="71">
        <f ca="1">IF(C34=1,((F34+H34)/2*'Reeksen (N)'!AJ34*12)+(('Invoer gegevens (N)'!$C$10-(F34+H34)/2)*'Reeksen (N)'!AK34*12),0)</f>
        <v>0</v>
      </c>
      <c r="AJ34" s="71">
        <f ca="1">-AI34*'Invoer gegevens (N)'!$F$28</f>
        <v>0</v>
      </c>
      <c r="AK34" s="71">
        <f t="shared" ca="1" si="2"/>
        <v>0</v>
      </c>
      <c r="AL34" s="71">
        <f ca="1">IF(C34=1,(12*((F34+H34)/2)*'Reeksen (N)'!AL34)+(12*('Invoer gegevens (N)'!$C$10-(F34+H34)/2)*'Reeksen (N)'!AM34),0)</f>
        <v>0</v>
      </c>
      <c r="AM34" s="71">
        <f ca="1">-AL34*'Invoer gegevens (N)'!$F$31</f>
        <v>0</v>
      </c>
      <c r="AN34" s="71">
        <f t="shared" ca="1" si="6"/>
        <v>0</v>
      </c>
      <c r="AO34" s="71"/>
      <c r="AP34" s="71"/>
      <c r="AQ34" s="71">
        <f ca="1">-IF(C34=1,('Invoer gegevens (N)'!$C$10*'Invoer gegevens (N)'!$I$33)*'Reeksen (N)'!J34,0)*2</f>
        <v>0</v>
      </c>
      <c r="AR34" s="71">
        <f ca="1">-IF(C34=1,(G34*'Invoer gegevens (N)'!$I$34)*'Reeksen (N)'!J34,0)</f>
        <v>0</v>
      </c>
      <c r="AS34" s="71">
        <f ca="1">-IF(C34=1,'Invoer gegevens (N)'!$C$10*'Invoer gegevens (N)'!$I$35*'Reeksen (N)'!L34,0)</f>
        <v>0</v>
      </c>
      <c r="AT34" s="71">
        <f ca="1">-IF(C34=1,IF(E34='Invoer gegevens (N)'!$C$17,'Invoer gegevens (N)'!$C$11,Q34)*'Reeksen (N)'!S34*'Invoer gegevens (N)'!$C$18*'Reeksen (N)'!P34,0)</f>
        <v>0</v>
      </c>
      <c r="AU34" s="71">
        <f ca="1">-IF(C34=1,'Invoer gegevens (N)'!$C$10*'Invoer gegevens (N)'!$I$36*'Reeksen (N)'!H34,0)</f>
        <v>0</v>
      </c>
      <c r="AV34" s="71">
        <v>0</v>
      </c>
      <c r="AW34" s="71">
        <f t="shared" ca="1" si="7"/>
        <v>0</v>
      </c>
      <c r="AX34" s="71">
        <f ca="1">IF(E34&lt;'Invoer gegevens (N)'!$C$17+15,0,IF(E34&gt;'Invoer gegevens (N)'!$C$17+215,0,AW34))</f>
        <v>0</v>
      </c>
      <c r="AY34" s="71">
        <f ca="1">AX34/(1+'Invoer gegevens (N)'!$F$13)^($AZ34-('Invoer gegevens (N)'!$C$17-'Invoer gegevens (N)'!$C$16))/(1+'Invoer gegevens (N)'!$C$39)^('Invoer gegevens (N)'!$C$17-'Invoer gegevens (N)'!$C$16)</f>
        <v>0</v>
      </c>
      <c r="AZ34" s="68">
        <f ca="1">IF(E34-'Invoer gegevens (N)'!$C$17-14.5&lt;0,0,E34-'Invoer gegevens (N)'!$C$17-14.5)</f>
        <v>14.5</v>
      </c>
    </row>
    <row r="35" spans="2:52" x14ac:dyDescent="0.25">
      <c r="B35" s="70">
        <f t="shared" si="8"/>
        <v>31</v>
      </c>
      <c r="C35" s="67">
        <f ca="1">IF(E35-'Invoer gegevens (N)'!$C$17&lt;0,0,1)</f>
        <v>1</v>
      </c>
      <c r="D35" s="68">
        <f t="shared" si="9"/>
        <v>30.5</v>
      </c>
      <c r="E35" s="69">
        <f ca="1">IF('Invoer gegevens (N)'!$C$16="","",E34+1)</f>
        <v>2049</v>
      </c>
      <c r="F35" s="82">
        <f ca="1">IF('Invoer gegevens (N)'!$C$17=E35,'Invoer gegevens (N)'!$C$10,IF(C35=1,H34,0))</f>
        <v>0</v>
      </c>
      <c r="G35" s="83">
        <f ca="1">IF(C35&gt;=1,F35*'Reeksen (N)'!C35,0)</f>
        <v>0</v>
      </c>
      <c r="H35" s="84">
        <f t="shared" ca="1" si="3"/>
        <v>0</v>
      </c>
      <c r="I35" s="85">
        <f ca="1">IF('Invoer gegevens (N)'!$C$17=E35,'Invoer gegevens (N)'!$C$11,IF(C35=1,L34,0))</f>
        <v>0</v>
      </c>
      <c r="J35" s="86">
        <f ca="1">IF(C35&lt;1,0,IF('Reeksen (N)'!AK35&lt;='Reeksen (N)'!AE35,I35*'Reeksen (N)'!C35,0))</f>
        <v>0</v>
      </c>
      <c r="K35" s="86">
        <f ca="1">IF(C35&lt;1,0,IF('Reeksen (N)'!AK35&gt;'Reeksen (N)'!AE35,I35*'Reeksen (N)'!C35,0))</f>
        <v>0</v>
      </c>
      <c r="L35" s="86">
        <f t="shared" ca="1" si="4"/>
        <v>0</v>
      </c>
      <c r="M35" s="85">
        <f ca="1">IF('Invoer gegevens (N)'!$C$17=E35,'Invoer gegevens (N)'!$C$10-'Invoer gegevens (N)'!$C$11,IF(C35=1,P34,0))</f>
        <v>0</v>
      </c>
      <c r="N35" s="86">
        <f ca="1">IF(C35&lt;1,0,IF('Reeksen (N)'!AK35&lt;='Reeksen (N)'!AE35,M35*'Reeksen (N)'!C35,0))</f>
        <v>0</v>
      </c>
      <c r="O35" s="86">
        <f ca="1">IF(C35&lt;1,0,IF('Reeksen (N)'!AK35&gt;'Reeksen (N)'!AE35,M35*'Reeksen (N)'!C35,0))</f>
        <v>0</v>
      </c>
      <c r="P35" s="86">
        <f t="shared" ca="1" si="5"/>
        <v>0</v>
      </c>
      <c r="Q35" s="82">
        <f ca="1">IF('Invoer gegevens (N)'!$C$17=E35,I35,IF(C35=0,0,R34))</f>
        <v>0</v>
      </c>
      <c r="R35" s="84">
        <f t="shared" ca="1" si="0"/>
        <v>0</v>
      </c>
      <c r="S35" s="84">
        <f ca="1">IF('Invoer gegevens (N)'!$C$17=E35,M35,IF(C35=0,0,T34))</f>
        <v>0</v>
      </c>
      <c r="T35" s="84">
        <f t="shared" ca="1" si="1"/>
        <v>0</v>
      </c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8"/>
      <c r="AI35" s="71">
        <f ca="1">IF(C35=1,((F35+H35)/2*'Reeksen (N)'!AJ35*12)+(('Invoer gegevens (N)'!$C$10-(F35+H35)/2)*'Reeksen (N)'!AK35*12),0)</f>
        <v>0</v>
      </c>
      <c r="AJ35" s="71">
        <f ca="1">-AI35*'Invoer gegevens (N)'!$F$28</f>
        <v>0</v>
      </c>
      <c r="AK35" s="71">
        <f t="shared" ca="1" si="2"/>
        <v>0</v>
      </c>
      <c r="AL35" s="71">
        <f ca="1">IF(C35=1,(12*((F35+H35)/2)*'Reeksen (N)'!AL35)+(12*('Invoer gegevens (N)'!$C$10-(F35+H35)/2)*'Reeksen (N)'!AM35),0)</f>
        <v>0</v>
      </c>
      <c r="AM35" s="71">
        <f ca="1">-AL35*'Invoer gegevens (N)'!$F$31</f>
        <v>0</v>
      </c>
      <c r="AN35" s="71">
        <f t="shared" ca="1" si="6"/>
        <v>0</v>
      </c>
      <c r="AO35" s="71"/>
      <c r="AP35" s="71"/>
      <c r="AQ35" s="71">
        <f ca="1">-IF(C35=1,('Invoer gegevens (N)'!$C$10*'Invoer gegevens (N)'!$I$33)*'Reeksen (N)'!J35,0)*2</f>
        <v>0</v>
      </c>
      <c r="AR35" s="71">
        <f ca="1">-IF(C35=1,(G35*'Invoer gegevens (N)'!$I$34)*'Reeksen (N)'!J35,0)</f>
        <v>0</v>
      </c>
      <c r="AS35" s="71">
        <f ca="1">-IF(C35=1,'Invoer gegevens (N)'!$C$10*'Invoer gegevens (N)'!$I$35*'Reeksen (N)'!L35,0)</f>
        <v>0</v>
      </c>
      <c r="AT35" s="71">
        <f ca="1">-IF(C35=1,IF(E35='Invoer gegevens (N)'!$C$17,'Invoer gegevens (N)'!$C$11,Q35)*'Reeksen (N)'!S35*'Invoer gegevens (N)'!$C$18*'Reeksen (N)'!P35,0)</f>
        <v>0</v>
      </c>
      <c r="AU35" s="71">
        <f ca="1">-IF(C35=1,'Invoer gegevens (N)'!$C$10*'Invoer gegevens (N)'!$I$36*'Reeksen (N)'!H35,0)</f>
        <v>0</v>
      </c>
      <c r="AV35" s="71">
        <v>0</v>
      </c>
      <c r="AW35" s="71">
        <f t="shared" ca="1" si="7"/>
        <v>0</v>
      </c>
      <c r="AX35" s="71">
        <f ca="1">IF(E35&lt;'Invoer gegevens (N)'!$C$17+15,0,IF(E35&gt;'Invoer gegevens (N)'!$C$17+215,0,AW35))</f>
        <v>0</v>
      </c>
      <c r="AY35" s="71">
        <f ca="1">AX35/(1+'Invoer gegevens (N)'!$F$13)^($AZ35-('Invoer gegevens (N)'!$C$17-'Invoer gegevens (N)'!$C$16))/(1+'Invoer gegevens (N)'!$C$39)^('Invoer gegevens (N)'!$C$17-'Invoer gegevens (N)'!$C$16)</f>
        <v>0</v>
      </c>
      <c r="AZ35" s="68">
        <f ca="1">IF(E35-'Invoer gegevens (N)'!$C$17-14.5&lt;0,0,E35-'Invoer gegevens (N)'!$C$17-14.5)</f>
        <v>15.5</v>
      </c>
    </row>
    <row r="36" spans="2:52" x14ac:dyDescent="0.25">
      <c r="B36" s="70">
        <f t="shared" si="8"/>
        <v>32</v>
      </c>
      <c r="C36" s="67">
        <f ca="1">IF(E36-'Invoer gegevens (N)'!$C$17&lt;0,0,1)</f>
        <v>1</v>
      </c>
      <c r="D36" s="68">
        <f t="shared" si="9"/>
        <v>31.5</v>
      </c>
      <c r="E36" s="69">
        <f ca="1">IF('Invoer gegevens (N)'!$C$16="","",E35+1)</f>
        <v>2050</v>
      </c>
      <c r="F36" s="82">
        <f ca="1">IF('Invoer gegevens (N)'!$C$17=E36,'Invoer gegevens (N)'!$C$10,IF(C36=1,H35,0))</f>
        <v>0</v>
      </c>
      <c r="G36" s="83">
        <f ca="1">IF(C36&gt;=1,F36*'Reeksen (N)'!C36,0)</f>
        <v>0</v>
      </c>
      <c r="H36" s="84">
        <f t="shared" ca="1" si="3"/>
        <v>0</v>
      </c>
      <c r="I36" s="85">
        <f ca="1">IF('Invoer gegevens (N)'!$C$17=E36,'Invoer gegevens (N)'!$C$11,IF(C36=1,L35,0))</f>
        <v>0</v>
      </c>
      <c r="J36" s="86">
        <f ca="1">IF(C36&lt;1,0,IF('Reeksen (N)'!AK36&lt;='Reeksen (N)'!AE36,I36*'Reeksen (N)'!C36,0))</f>
        <v>0</v>
      </c>
      <c r="K36" s="86">
        <f ca="1">IF(C36&lt;1,0,IF('Reeksen (N)'!AK36&gt;'Reeksen (N)'!AE36,I36*'Reeksen (N)'!C36,0))</f>
        <v>0</v>
      </c>
      <c r="L36" s="86">
        <f t="shared" ca="1" si="4"/>
        <v>0</v>
      </c>
      <c r="M36" s="85">
        <f ca="1">IF('Invoer gegevens (N)'!$C$17=E36,'Invoer gegevens (N)'!$C$10-'Invoer gegevens (N)'!$C$11,IF(C36=1,P35,0))</f>
        <v>0</v>
      </c>
      <c r="N36" s="86">
        <f ca="1">IF(C36&lt;1,0,IF('Reeksen (N)'!AK36&lt;='Reeksen (N)'!AE36,M36*'Reeksen (N)'!C36,0))</f>
        <v>0</v>
      </c>
      <c r="O36" s="86">
        <f ca="1">IF(C36&lt;1,0,IF('Reeksen (N)'!AK36&gt;'Reeksen (N)'!AE36,M36*'Reeksen (N)'!C36,0))</f>
        <v>0</v>
      </c>
      <c r="P36" s="86">
        <f t="shared" ca="1" si="5"/>
        <v>0</v>
      </c>
      <c r="Q36" s="82">
        <f ca="1">IF('Invoer gegevens (N)'!$C$17=E36,I36,IF(C36=0,0,R35))</f>
        <v>0</v>
      </c>
      <c r="R36" s="84">
        <f t="shared" ca="1" si="0"/>
        <v>0</v>
      </c>
      <c r="S36" s="84">
        <f ca="1">IF('Invoer gegevens (N)'!$C$17=E36,M36,IF(C36=0,0,T35))</f>
        <v>0</v>
      </c>
      <c r="T36" s="84">
        <f t="shared" ca="1" si="1"/>
        <v>0</v>
      </c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8"/>
      <c r="AI36" s="71">
        <f ca="1">IF(C36=1,((F36+H36)/2*'Reeksen (N)'!AJ36*12)+(('Invoer gegevens (N)'!$C$10-(F36+H36)/2)*'Reeksen (N)'!AK36*12),0)</f>
        <v>0</v>
      </c>
      <c r="AJ36" s="71">
        <f ca="1">-AI36*'Invoer gegevens (N)'!$F$28</f>
        <v>0</v>
      </c>
      <c r="AK36" s="71">
        <f t="shared" ca="1" si="2"/>
        <v>0</v>
      </c>
      <c r="AL36" s="71">
        <f ca="1">IF(C36=1,(12*((F36+H36)/2)*'Reeksen (N)'!AL36)+(12*('Invoer gegevens (N)'!$C$10-(F36+H36)/2)*'Reeksen (N)'!AM36),0)</f>
        <v>0</v>
      </c>
      <c r="AM36" s="71">
        <f ca="1">-AL36*'Invoer gegevens (N)'!$F$31</f>
        <v>0</v>
      </c>
      <c r="AN36" s="71">
        <f t="shared" ca="1" si="6"/>
        <v>0</v>
      </c>
      <c r="AO36" s="71"/>
      <c r="AP36" s="71"/>
      <c r="AQ36" s="71">
        <f ca="1">-IF(C36=1,('Invoer gegevens (N)'!$C$10*'Invoer gegevens (N)'!$I$33)*'Reeksen (N)'!J36,0)*2</f>
        <v>0</v>
      </c>
      <c r="AR36" s="71">
        <f ca="1">-IF(C36=1,(G36*'Invoer gegevens (N)'!$I$34)*'Reeksen (N)'!J36,0)</f>
        <v>0</v>
      </c>
      <c r="AS36" s="71">
        <f ca="1">-IF(C36=1,'Invoer gegevens (N)'!$C$10*'Invoer gegevens (N)'!$I$35*'Reeksen (N)'!L36,0)</f>
        <v>0</v>
      </c>
      <c r="AT36" s="71">
        <f ca="1">-IF(C36=1,IF(E36='Invoer gegevens (N)'!$C$17,'Invoer gegevens (N)'!$C$11,Q36)*'Reeksen (N)'!S36*'Invoer gegevens (N)'!$C$18*'Reeksen (N)'!P36,0)</f>
        <v>0</v>
      </c>
      <c r="AU36" s="71">
        <f ca="1">-IF(C36=1,'Invoer gegevens (N)'!$C$10*'Invoer gegevens (N)'!$I$36*'Reeksen (N)'!H36,0)</f>
        <v>0</v>
      </c>
      <c r="AV36" s="71">
        <v>0</v>
      </c>
      <c r="AW36" s="71">
        <f t="shared" ca="1" si="7"/>
        <v>0</v>
      </c>
      <c r="AX36" s="71">
        <f ca="1">IF(E36&lt;'Invoer gegevens (N)'!$C$17+15,0,IF(E36&gt;'Invoer gegevens (N)'!$C$17+215,0,AW36))</f>
        <v>0</v>
      </c>
      <c r="AY36" s="71">
        <f ca="1">AX36/(1+'Invoer gegevens (N)'!$F$13)^($AZ36-('Invoer gegevens (N)'!$C$17-'Invoer gegevens (N)'!$C$16))/(1+'Invoer gegevens (N)'!$C$39)^('Invoer gegevens (N)'!$C$17-'Invoer gegevens (N)'!$C$16)</f>
        <v>0</v>
      </c>
      <c r="AZ36" s="68">
        <f ca="1">IF(E36-'Invoer gegevens (N)'!$C$17-14.5&lt;0,0,E36-'Invoer gegevens (N)'!$C$17-14.5)</f>
        <v>16.5</v>
      </c>
    </row>
    <row r="37" spans="2:52" x14ac:dyDescent="0.25">
      <c r="B37" s="70">
        <f t="shared" si="8"/>
        <v>33</v>
      </c>
      <c r="C37" s="67">
        <f ca="1">IF(E37-'Invoer gegevens (N)'!$C$17&lt;0,0,1)</f>
        <v>1</v>
      </c>
      <c r="D37" s="68">
        <f t="shared" si="9"/>
        <v>32.5</v>
      </c>
      <c r="E37" s="69">
        <f ca="1">IF('Invoer gegevens (N)'!$C$16="","",E36+1)</f>
        <v>2051</v>
      </c>
      <c r="F37" s="82">
        <f ca="1">IF('Invoer gegevens (N)'!$C$17=E37,'Invoer gegevens (N)'!$C$10,IF(C37=1,H36,0))</f>
        <v>0</v>
      </c>
      <c r="G37" s="83">
        <f ca="1">IF(C37&gt;=1,F37*'Reeksen (N)'!C37,0)</f>
        <v>0</v>
      </c>
      <c r="H37" s="84">
        <f t="shared" ca="1" si="3"/>
        <v>0</v>
      </c>
      <c r="I37" s="85">
        <f ca="1">IF('Invoer gegevens (N)'!$C$17=E37,'Invoer gegevens (N)'!$C$11,IF(C37=1,L36,0))</f>
        <v>0</v>
      </c>
      <c r="J37" s="86">
        <f ca="1">IF(C37&lt;1,0,IF('Reeksen (N)'!AK37&lt;='Reeksen (N)'!AE37,I37*'Reeksen (N)'!C37,0))</f>
        <v>0</v>
      </c>
      <c r="K37" s="86">
        <f ca="1">IF(C37&lt;1,0,IF('Reeksen (N)'!AK37&gt;'Reeksen (N)'!AE37,I37*'Reeksen (N)'!C37,0))</f>
        <v>0</v>
      </c>
      <c r="L37" s="86">
        <f t="shared" ca="1" si="4"/>
        <v>0</v>
      </c>
      <c r="M37" s="85">
        <f ca="1">IF('Invoer gegevens (N)'!$C$17=E37,'Invoer gegevens (N)'!$C$10-'Invoer gegevens (N)'!$C$11,IF(C37=1,P36,0))</f>
        <v>0</v>
      </c>
      <c r="N37" s="86">
        <f ca="1">IF(C37&lt;1,0,IF('Reeksen (N)'!AK37&lt;='Reeksen (N)'!AE37,M37*'Reeksen (N)'!C37,0))</f>
        <v>0</v>
      </c>
      <c r="O37" s="86">
        <f ca="1">IF(C37&lt;1,0,IF('Reeksen (N)'!AK37&gt;'Reeksen (N)'!AE37,M37*'Reeksen (N)'!C37,0))</f>
        <v>0</v>
      </c>
      <c r="P37" s="86">
        <f t="shared" ca="1" si="5"/>
        <v>0</v>
      </c>
      <c r="Q37" s="82">
        <f ca="1">IF('Invoer gegevens (N)'!$C$17=E37,I37,IF(C37=0,0,R36))</f>
        <v>0</v>
      </c>
      <c r="R37" s="84">
        <f t="shared" ca="1" si="0"/>
        <v>0</v>
      </c>
      <c r="S37" s="84">
        <f ca="1">IF('Invoer gegevens (N)'!$C$17=E37,M37,IF(C37=0,0,T36))</f>
        <v>0</v>
      </c>
      <c r="T37" s="84">
        <f t="shared" ca="1" si="1"/>
        <v>0</v>
      </c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8"/>
      <c r="AI37" s="71">
        <f ca="1">IF(C37=1,((F37+H37)/2*'Reeksen (N)'!AJ37*12)+(('Invoer gegevens (N)'!$C$10-(F37+H37)/2)*'Reeksen (N)'!AK37*12),0)</f>
        <v>0</v>
      </c>
      <c r="AJ37" s="71">
        <f ca="1">-AI37*'Invoer gegevens (N)'!$F$28</f>
        <v>0</v>
      </c>
      <c r="AK37" s="71">
        <f t="shared" ca="1" si="2"/>
        <v>0</v>
      </c>
      <c r="AL37" s="71">
        <f ca="1">IF(C37=1,(12*((F37+H37)/2)*'Reeksen (N)'!AL37)+(12*('Invoer gegevens (N)'!$C$10-(F37+H37)/2)*'Reeksen (N)'!AM37),0)</f>
        <v>0</v>
      </c>
      <c r="AM37" s="71">
        <f ca="1">-AL37*'Invoer gegevens (N)'!$F$31</f>
        <v>0</v>
      </c>
      <c r="AN37" s="71">
        <f t="shared" ca="1" si="6"/>
        <v>0</v>
      </c>
      <c r="AO37" s="71"/>
      <c r="AP37" s="71"/>
      <c r="AQ37" s="71">
        <f ca="1">-IF(C37=1,('Invoer gegevens (N)'!$C$10*'Invoer gegevens (N)'!$I$33)*'Reeksen (N)'!J37,0)*2</f>
        <v>0</v>
      </c>
      <c r="AR37" s="71">
        <f ca="1">-IF(C37=1,(G37*'Invoer gegevens (N)'!$I$34)*'Reeksen (N)'!J37,0)</f>
        <v>0</v>
      </c>
      <c r="AS37" s="71">
        <f ca="1">-IF(C37=1,'Invoer gegevens (N)'!$C$10*'Invoer gegevens (N)'!$I$35*'Reeksen (N)'!L37,0)</f>
        <v>0</v>
      </c>
      <c r="AT37" s="71">
        <f ca="1">-IF(C37=1,IF(E37='Invoer gegevens (N)'!$C$17,'Invoer gegevens (N)'!$C$11,Q37)*'Reeksen (N)'!S37*'Invoer gegevens (N)'!$C$18*'Reeksen (N)'!P37,0)</f>
        <v>0</v>
      </c>
      <c r="AU37" s="71">
        <f ca="1">-IF(C37=1,'Invoer gegevens (N)'!$C$10*'Invoer gegevens (N)'!$I$36*'Reeksen (N)'!H37,0)</f>
        <v>0</v>
      </c>
      <c r="AV37" s="71">
        <v>0</v>
      </c>
      <c r="AW37" s="71">
        <f t="shared" ca="1" si="7"/>
        <v>0</v>
      </c>
      <c r="AX37" s="71">
        <f ca="1">IF(E37&lt;'Invoer gegevens (N)'!$C$17+15,0,IF(E37&gt;'Invoer gegevens (N)'!$C$17+215,0,AW37))</f>
        <v>0</v>
      </c>
      <c r="AY37" s="71">
        <f ca="1">AX37/(1+'Invoer gegevens (N)'!$F$13)^($AZ37-('Invoer gegevens (N)'!$C$17-'Invoer gegevens (N)'!$C$16))/(1+'Invoer gegevens (N)'!$C$39)^('Invoer gegevens (N)'!$C$17-'Invoer gegevens (N)'!$C$16)</f>
        <v>0</v>
      </c>
      <c r="AZ37" s="68">
        <f ca="1">IF(E37-'Invoer gegevens (N)'!$C$17-14.5&lt;0,0,E37-'Invoer gegevens (N)'!$C$17-14.5)</f>
        <v>17.5</v>
      </c>
    </row>
    <row r="38" spans="2:52" x14ac:dyDescent="0.25">
      <c r="B38" s="70">
        <f t="shared" si="8"/>
        <v>34</v>
      </c>
      <c r="C38" s="67">
        <f ca="1">IF(E38-'Invoer gegevens (N)'!$C$17&lt;0,0,1)</f>
        <v>1</v>
      </c>
      <c r="D38" s="68">
        <f t="shared" si="9"/>
        <v>33.5</v>
      </c>
      <c r="E38" s="69">
        <f ca="1">IF('Invoer gegevens (N)'!$C$16="","",E37+1)</f>
        <v>2052</v>
      </c>
      <c r="F38" s="82">
        <f ca="1">IF('Invoer gegevens (N)'!$C$17=E38,'Invoer gegevens (N)'!$C$10,IF(C38=1,H37,0))</f>
        <v>0</v>
      </c>
      <c r="G38" s="83">
        <f ca="1">IF(C38&gt;=1,F38*'Reeksen (N)'!C38,0)</f>
        <v>0</v>
      </c>
      <c r="H38" s="84">
        <f t="shared" ca="1" si="3"/>
        <v>0</v>
      </c>
      <c r="I38" s="85">
        <f ca="1">IF('Invoer gegevens (N)'!$C$17=E38,'Invoer gegevens (N)'!$C$11,IF(C38=1,L37,0))</f>
        <v>0</v>
      </c>
      <c r="J38" s="86">
        <f ca="1">IF(C38&lt;1,0,IF('Reeksen (N)'!AK38&lt;='Reeksen (N)'!AE38,I38*'Reeksen (N)'!C38,0))</f>
        <v>0</v>
      </c>
      <c r="K38" s="86">
        <f ca="1">IF(C38&lt;1,0,IF('Reeksen (N)'!AK38&gt;'Reeksen (N)'!AE38,I38*'Reeksen (N)'!C38,0))</f>
        <v>0</v>
      </c>
      <c r="L38" s="86">
        <f t="shared" ca="1" si="4"/>
        <v>0</v>
      </c>
      <c r="M38" s="85">
        <f ca="1">IF('Invoer gegevens (N)'!$C$17=E38,'Invoer gegevens (N)'!$C$10-'Invoer gegevens (N)'!$C$11,IF(C38=1,P37,0))</f>
        <v>0</v>
      </c>
      <c r="N38" s="86">
        <f ca="1">IF(C38&lt;1,0,IF('Reeksen (N)'!AK38&lt;='Reeksen (N)'!AE38,M38*'Reeksen (N)'!C38,0))</f>
        <v>0</v>
      </c>
      <c r="O38" s="86">
        <f ca="1">IF(C38&lt;1,0,IF('Reeksen (N)'!AK38&gt;'Reeksen (N)'!AE38,M38*'Reeksen (N)'!C38,0))</f>
        <v>0</v>
      </c>
      <c r="P38" s="86">
        <f t="shared" ca="1" si="5"/>
        <v>0</v>
      </c>
      <c r="Q38" s="82">
        <f ca="1">IF('Invoer gegevens (N)'!$C$17=E38,I38,IF(C38=0,0,R37))</f>
        <v>0</v>
      </c>
      <c r="R38" s="84">
        <f t="shared" ca="1" si="0"/>
        <v>0</v>
      </c>
      <c r="S38" s="84">
        <f ca="1">IF('Invoer gegevens (N)'!$C$17=E38,M38,IF(C38=0,0,T37))</f>
        <v>0</v>
      </c>
      <c r="T38" s="84">
        <f t="shared" ca="1" si="1"/>
        <v>0</v>
      </c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8"/>
      <c r="AI38" s="71">
        <f ca="1">IF(C38=1,((F38+H38)/2*'Reeksen (N)'!AJ38*12)+(('Invoer gegevens (N)'!$C$10-(F38+H38)/2)*'Reeksen (N)'!AK38*12),0)</f>
        <v>0</v>
      </c>
      <c r="AJ38" s="71">
        <f ca="1">-AI38*'Invoer gegevens (N)'!$F$28</f>
        <v>0</v>
      </c>
      <c r="AK38" s="71">
        <f t="shared" ca="1" si="2"/>
        <v>0</v>
      </c>
      <c r="AL38" s="71">
        <f ca="1">IF(C38=1,(12*((F38+H38)/2)*'Reeksen (N)'!AL38)+(12*('Invoer gegevens (N)'!$C$10-(F38+H38)/2)*'Reeksen (N)'!AM38),0)</f>
        <v>0</v>
      </c>
      <c r="AM38" s="71">
        <f ca="1">-AL38*'Invoer gegevens (N)'!$F$31</f>
        <v>0</v>
      </c>
      <c r="AN38" s="71">
        <f t="shared" ca="1" si="6"/>
        <v>0</v>
      </c>
      <c r="AO38" s="71"/>
      <c r="AP38" s="71"/>
      <c r="AQ38" s="71">
        <f ca="1">-IF(C38=1,('Invoer gegevens (N)'!$C$10*'Invoer gegevens (N)'!$I$33)*'Reeksen (N)'!J38,0)*2</f>
        <v>0</v>
      </c>
      <c r="AR38" s="71">
        <f ca="1">-IF(C38=1,(G38*'Invoer gegevens (N)'!$I$34)*'Reeksen (N)'!J38,0)</f>
        <v>0</v>
      </c>
      <c r="AS38" s="71">
        <f ca="1">-IF(C38=1,'Invoer gegevens (N)'!$C$10*'Invoer gegevens (N)'!$I$35*'Reeksen (N)'!L38,0)</f>
        <v>0</v>
      </c>
      <c r="AT38" s="71">
        <f ca="1">-IF(C38=1,IF(E38='Invoer gegevens (N)'!$C$17,'Invoer gegevens (N)'!$C$11,Q38)*'Reeksen (N)'!S38*'Invoer gegevens (N)'!$C$18*'Reeksen (N)'!P38,0)</f>
        <v>0</v>
      </c>
      <c r="AU38" s="71">
        <f ca="1">-IF(C38=1,'Invoer gegevens (N)'!$C$10*'Invoer gegevens (N)'!$I$36*'Reeksen (N)'!H38,0)</f>
        <v>0</v>
      </c>
      <c r="AV38" s="71">
        <v>0</v>
      </c>
      <c r="AW38" s="71">
        <f t="shared" ca="1" si="7"/>
        <v>0</v>
      </c>
      <c r="AX38" s="71">
        <f ca="1">IF(E38&lt;'Invoer gegevens (N)'!$C$17+15,0,IF(E38&gt;'Invoer gegevens (N)'!$C$17+215,0,AW38))</f>
        <v>0</v>
      </c>
      <c r="AY38" s="71">
        <f ca="1">AX38/(1+'Invoer gegevens (N)'!$F$13)^($AZ38-('Invoer gegevens (N)'!$C$17-'Invoer gegevens (N)'!$C$16))/(1+'Invoer gegevens (N)'!$C$39)^('Invoer gegevens (N)'!$C$17-'Invoer gegevens (N)'!$C$16)</f>
        <v>0</v>
      </c>
      <c r="AZ38" s="68">
        <f ca="1">IF(E38-'Invoer gegevens (N)'!$C$17-14.5&lt;0,0,E38-'Invoer gegevens (N)'!$C$17-14.5)</f>
        <v>18.5</v>
      </c>
    </row>
    <row r="39" spans="2:52" x14ac:dyDescent="0.25">
      <c r="B39" s="70">
        <f t="shared" si="8"/>
        <v>35</v>
      </c>
      <c r="C39" s="67">
        <f ca="1">IF(E39-'Invoer gegevens (N)'!$C$17&lt;0,0,1)</f>
        <v>1</v>
      </c>
      <c r="D39" s="68">
        <f t="shared" si="9"/>
        <v>34.5</v>
      </c>
      <c r="E39" s="69">
        <f ca="1">IF('Invoer gegevens (N)'!$C$16="","",E38+1)</f>
        <v>2053</v>
      </c>
      <c r="F39" s="82">
        <f ca="1">IF('Invoer gegevens (N)'!$C$17=E39,'Invoer gegevens (N)'!$C$10,IF(C39=1,H38,0))</f>
        <v>0</v>
      </c>
      <c r="G39" s="83">
        <f ca="1">IF(C39&gt;=1,F39*'Reeksen (N)'!C39,0)</f>
        <v>0</v>
      </c>
      <c r="H39" s="84">
        <f t="shared" ca="1" si="3"/>
        <v>0</v>
      </c>
      <c r="I39" s="85">
        <f ca="1">IF('Invoer gegevens (N)'!$C$17=E39,'Invoer gegevens (N)'!$C$11,IF(C39=1,L38,0))</f>
        <v>0</v>
      </c>
      <c r="J39" s="86">
        <f ca="1">IF(C39&lt;1,0,IF('Reeksen (N)'!AK39&lt;='Reeksen (N)'!AE39,I39*'Reeksen (N)'!C39,0))</f>
        <v>0</v>
      </c>
      <c r="K39" s="86">
        <f ca="1">IF(C39&lt;1,0,IF('Reeksen (N)'!AK39&gt;'Reeksen (N)'!AE39,I39*'Reeksen (N)'!C39,0))</f>
        <v>0</v>
      </c>
      <c r="L39" s="86">
        <f t="shared" ca="1" si="4"/>
        <v>0</v>
      </c>
      <c r="M39" s="85">
        <f ca="1">IF('Invoer gegevens (N)'!$C$17=E39,'Invoer gegevens (N)'!$C$10-'Invoer gegevens (N)'!$C$11,IF(C39=1,P38,0))</f>
        <v>0</v>
      </c>
      <c r="N39" s="86">
        <f ca="1">IF(C39&lt;1,0,IF('Reeksen (N)'!AK39&lt;='Reeksen (N)'!AE39,M39*'Reeksen (N)'!C39,0))</f>
        <v>0</v>
      </c>
      <c r="O39" s="86">
        <f ca="1">IF(C39&lt;1,0,IF('Reeksen (N)'!AK39&gt;'Reeksen (N)'!AE39,M39*'Reeksen (N)'!C39,0))</f>
        <v>0</v>
      </c>
      <c r="P39" s="86">
        <f t="shared" ca="1" si="5"/>
        <v>0</v>
      </c>
      <c r="Q39" s="82">
        <f ca="1">IF('Invoer gegevens (N)'!$C$17=E39,I39,IF(C39=0,0,R38))</f>
        <v>0</v>
      </c>
      <c r="R39" s="84">
        <f t="shared" ca="1" si="0"/>
        <v>0</v>
      </c>
      <c r="S39" s="84">
        <f ca="1">IF('Invoer gegevens (N)'!$C$17=E39,M39,IF(C39=0,0,T38))</f>
        <v>0</v>
      </c>
      <c r="T39" s="84">
        <f t="shared" ca="1" si="1"/>
        <v>0</v>
      </c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8"/>
      <c r="AI39" s="71">
        <f ca="1">IF(C39=1,((F39+H39)/2*'Reeksen (N)'!AJ39*12)+(('Invoer gegevens (N)'!$C$10-(F39+H39)/2)*'Reeksen (N)'!AK39*12),0)</f>
        <v>0</v>
      </c>
      <c r="AJ39" s="71">
        <f ca="1">-AI39*'Invoer gegevens (N)'!$F$28</f>
        <v>0</v>
      </c>
      <c r="AK39" s="71">
        <f t="shared" ca="1" si="2"/>
        <v>0</v>
      </c>
      <c r="AL39" s="71">
        <f ca="1">IF(C39=1,(12*((F39+H39)/2)*'Reeksen (N)'!AL39)+(12*('Invoer gegevens (N)'!$C$10-(F39+H39)/2)*'Reeksen (N)'!AM39),0)</f>
        <v>0</v>
      </c>
      <c r="AM39" s="71">
        <f ca="1">-AL39*'Invoer gegevens (N)'!$F$31</f>
        <v>0</v>
      </c>
      <c r="AN39" s="71">
        <f t="shared" ca="1" si="6"/>
        <v>0</v>
      </c>
      <c r="AO39" s="71"/>
      <c r="AP39" s="71"/>
      <c r="AQ39" s="71">
        <f ca="1">-IF(C39=1,('Invoer gegevens (N)'!$C$10*'Invoer gegevens (N)'!$I$33)*'Reeksen (N)'!J39,0)*2</f>
        <v>0</v>
      </c>
      <c r="AR39" s="71">
        <f ca="1">-IF(C39=1,(G39*'Invoer gegevens (N)'!$I$34)*'Reeksen (N)'!J39,0)</f>
        <v>0</v>
      </c>
      <c r="AS39" s="71">
        <f ca="1">-IF(C39=1,'Invoer gegevens (N)'!$C$10*'Invoer gegevens (N)'!$I$35*'Reeksen (N)'!L39,0)</f>
        <v>0</v>
      </c>
      <c r="AT39" s="71">
        <f ca="1">-IF(C39=1,IF(E39='Invoer gegevens (N)'!$C$17,'Invoer gegevens (N)'!$C$11,Q39)*'Reeksen (N)'!S39*'Invoer gegevens (N)'!$C$18*'Reeksen (N)'!P39,0)</f>
        <v>0</v>
      </c>
      <c r="AU39" s="71">
        <f ca="1">-IF(C39=1,'Invoer gegevens (N)'!$C$10*'Invoer gegevens (N)'!$I$36*'Reeksen (N)'!H39,0)</f>
        <v>0</v>
      </c>
      <c r="AV39" s="71">
        <v>0</v>
      </c>
      <c r="AW39" s="71">
        <f t="shared" ca="1" si="7"/>
        <v>0</v>
      </c>
      <c r="AX39" s="71">
        <f ca="1">IF(E39&lt;'Invoer gegevens (N)'!$C$17+15,0,IF(E39&gt;'Invoer gegevens (N)'!$C$17+215,0,AW39))</f>
        <v>0</v>
      </c>
      <c r="AY39" s="71">
        <f ca="1">AX39/(1+'Invoer gegevens (N)'!$F$13)^($AZ39-('Invoer gegevens (N)'!$C$17-'Invoer gegevens (N)'!$C$16))/(1+'Invoer gegevens (N)'!$C$39)^('Invoer gegevens (N)'!$C$17-'Invoer gegevens (N)'!$C$16)</f>
        <v>0</v>
      </c>
      <c r="AZ39" s="68">
        <f ca="1">IF(E39-'Invoer gegevens (N)'!$C$17-14.5&lt;0,0,E39-'Invoer gegevens (N)'!$C$17-14.5)</f>
        <v>19.5</v>
      </c>
    </row>
    <row r="40" spans="2:52" x14ac:dyDescent="0.25">
      <c r="B40" s="70">
        <f t="shared" si="8"/>
        <v>36</v>
      </c>
      <c r="C40" s="67">
        <f ca="1">IF(E40-'Invoer gegevens (N)'!$C$17&lt;0,0,1)</f>
        <v>1</v>
      </c>
      <c r="D40" s="68">
        <f t="shared" si="9"/>
        <v>35.5</v>
      </c>
      <c r="E40" s="69">
        <f ca="1">IF('Invoer gegevens (N)'!$C$16="","",E39+1)</f>
        <v>2054</v>
      </c>
      <c r="F40" s="82">
        <f ca="1">IF('Invoer gegevens (N)'!$C$17=E40,'Invoer gegevens (N)'!$C$10,IF(C40=1,H39,0))</f>
        <v>0</v>
      </c>
      <c r="G40" s="83">
        <f ca="1">IF(C40&gt;=1,F40*'Reeksen (N)'!C40,0)</f>
        <v>0</v>
      </c>
      <c r="H40" s="84">
        <f t="shared" ca="1" si="3"/>
        <v>0</v>
      </c>
      <c r="I40" s="85">
        <f ca="1">IF('Invoer gegevens (N)'!$C$17=E40,'Invoer gegevens (N)'!$C$11,IF(C40=1,L39,0))</f>
        <v>0</v>
      </c>
      <c r="J40" s="86">
        <f ca="1">IF(C40&lt;1,0,IF('Reeksen (N)'!AK40&lt;='Reeksen (N)'!AE40,I40*'Reeksen (N)'!C40,0))</f>
        <v>0</v>
      </c>
      <c r="K40" s="86">
        <f ca="1">IF(C40&lt;1,0,IF('Reeksen (N)'!AK40&gt;'Reeksen (N)'!AE40,I40*'Reeksen (N)'!C40,0))</f>
        <v>0</v>
      </c>
      <c r="L40" s="86">
        <f t="shared" ca="1" si="4"/>
        <v>0</v>
      </c>
      <c r="M40" s="85">
        <f ca="1">IF('Invoer gegevens (N)'!$C$17=E40,'Invoer gegevens (N)'!$C$10-'Invoer gegevens (N)'!$C$11,IF(C40=1,P39,0))</f>
        <v>0</v>
      </c>
      <c r="N40" s="86">
        <f ca="1">IF(C40&lt;1,0,IF('Reeksen (N)'!AK40&lt;='Reeksen (N)'!AE40,M40*'Reeksen (N)'!C40,0))</f>
        <v>0</v>
      </c>
      <c r="O40" s="86">
        <f ca="1">IF(C40&lt;1,0,IF('Reeksen (N)'!AK40&gt;'Reeksen (N)'!AE40,M40*'Reeksen (N)'!C40,0))</f>
        <v>0</v>
      </c>
      <c r="P40" s="86">
        <f t="shared" ca="1" si="5"/>
        <v>0</v>
      </c>
      <c r="Q40" s="82">
        <f ca="1">IF('Invoer gegevens (N)'!$C$17=E40,I40,IF(C40=0,0,R39))</f>
        <v>0</v>
      </c>
      <c r="R40" s="84">
        <f t="shared" ca="1" si="0"/>
        <v>0</v>
      </c>
      <c r="S40" s="84">
        <f ca="1">IF('Invoer gegevens (N)'!$C$17=E40,M40,IF(C40=0,0,T39))</f>
        <v>0</v>
      </c>
      <c r="T40" s="84">
        <f t="shared" ca="1" si="1"/>
        <v>0</v>
      </c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8"/>
      <c r="AI40" s="71">
        <f ca="1">IF(C40=1,((F40+H40)/2*'Reeksen (N)'!AJ40*12)+(('Invoer gegevens (N)'!$C$10-(F40+H40)/2)*'Reeksen (N)'!AK40*12),0)</f>
        <v>0</v>
      </c>
      <c r="AJ40" s="71">
        <f ca="1">-AI40*'Invoer gegevens (N)'!$F$28</f>
        <v>0</v>
      </c>
      <c r="AK40" s="71">
        <f t="shared" ca="1" si="2"/>
        <v>0</v>
      </c>
      <c r="AL40" s="71">
        <f ca="1">IF(C40=1,(12*((F40+H40)/2)*'Reeksen (N)'!AL40)+(12*('Invoer gegevens (N)'!$C$10-(F40+H40)/2)*'Reeksen (N)'!AM40),0)</f>
        <v>0</v>
      </c>
      <c r="AM40" s="71">
        <f ca="1">-AL40*'Invoer gegevens (N)'!$F$31</f>
        <v>0</v>
      </c>
      <c r="AN40" s="71">
        <f t="shared" ca="1" si="6"/>
        <v>0</v>
      </c>
      <c r="AO40" s="71"/>
      <c r="AP40" s="71"/>
      <c r="AQ40" s="71">
        <f ca="1">-IF(C40=1,('Invoer gegevens (N)'!$C$10*'Invoer gegevens (N)'!$I$33)*'Reeksen (N)'!J40,0)*2</f>
        <v>0</v>
      </c>
      <c r="AR40" s="71">
        <f ca="1">-IF(C40=1,(G40*'Invoer gegevens (N)'!$I$34)*'Reeksen (N)'!J40,0)</f>
        <v>0</v>
      </c>
      <c r="AS40" s="71">
        <f ca="1">-IF(C40=1,'Invoer gegevens (N)'!$C$10*'Invoer gegevens (N)'!$I$35*'Reeksen (N)'!L40,0)</f>
        <v>0</v>
      </c>
      <c r="AT40" s="71">
        <f ca="1">-IF(C40=1,IF(E40='Invoer gegevens (N)'!$C$17,'Invoer gegevens (N)'!$C$11,Q40)*'Reeksen (N)'!S40*'Invoer gegevens (N)'!$C$18*'Reeksen (N)'!P40,0)</f>
        <v>0</v>
      </c>
      <c r="AU40" s="71">
        <f ca="1">-IF(C40=1,'Invoer gegevens (N)'!$C$10*'Invoer gegevens (N)'!$I$36*'Reeksen (N)'!H40,0)</f>
        <v>0</v>
      </c>
      <c r="AV40" s="71">
        <v>0</v>
      </c>
      <c r="AW40" s="71">
        <f t="shared" ca="1" si="7"/>
        <v>0</v>
      </c>
      <c r="AX40" s="71">
        <f ca="1">IF(E40&lt;'Invoer gegevens (N)'!$C$17+15,0,IF(E40&gt;'Invoer gegevens (N)'!$C$17+215,0,AW40))</f>
        <v>0</v>
      </c>
      <c r="AY40" s="71">
        <f ca="1">AX40/(1+'Invoer gegevens (N)'!$F$13)^($AZ40-('Invoer gegevens (N)'!$C$17-'Invoer gegevens (N)'!$C$16))/(1+'Invoer gegevens (N)'!$C$39)^('Invoer gegevens (N)'!$C$17-'Invoer gegevens (N)'!$C$16)</f>
        <v>0</v>
      </c>
      <c r="AZ40" s="68">
        <f ca="1">IF(E40-'Invoer gegevens (N)'!$C$17-14.5&lt;0,0,E40-'Invoer gegevens (N)'!$C$17-14.5)</f>
        <v>20.5</v>
      </c>
    </row>
    <row r="41" spans="2:52" x14ac:dyDescent="0.25">
      <c r="B41" s="70">
        <f t="shared" si="8"/>
        <v>37</v>
      </c>
      <c r="C41" s="67">
        <f ca="1">IF(E41-'Invoer gegevens (N)'!$C$17&lt;0,0,1)</f>
        <v>1</v>
      </c>
      <c r="D41" s="68">
        <f t="shared" si="9"/>
        <v>36.5</v>
      </c>
      <c r="E41" s="69">
        <f ca="1">IF('Invoer gegevens (N)'!$C$16="","",E40+1)</f>
        <v>2055</v>
      </c>
      <c r="F41" s="82">
        <f ca="1">IF('Invoer gegevens (N)'!$C$17=E41,'Invoer gegevens (N)'!$C$10,IF(C41=1,H40,0))</f>
        <v>0</v>
      </c>
      <c r="G41" s="83">
        <f ca="1">IF(C41&gt;=1,F41*'Reeksen (N)'!C41,0)</f>
        <v>0</v>
      </c>
      <c r="H41" s="84">
        <f t="shared" ca="1" si="3"/>
        <v>0</v>
      </c>
      <c r="I41" s="85">
        <f ca="1">IF('Invoer gegevens (N)'!$C$17=E41,'Invoer gegevens (N)'!$C$11,IF(C41=1,L40,0))</f>
        <v>0</v>
      </c>
      <c r="J41" s="86">
        <f ca="1">IF(C41&lt;1,0,IF('Reeksen (N)'!AK41&lt;='Reeksen (N)'!AE41,I41*'Reeksen (N)'!C41,0))</f>
        <v>0</v>
      </c>
      <c r="K41" s="86">
        <f ca="1">IF(C41&lt;1,0,IF('Reeksen (N)'!AK41&gt;'Reeksen (N)'!AE41,I41*'Reeksen (N)'!C41,0))</f>
        <v>0</v>
      </c>
      <c r="L41" s="86">
        <f t="shared" ca="1" si="4"/>
        <v>0</v>
      </c>
      <c r="M41" s="85">
        <f ca="1">IF('Invoer gegevens (N)'!$C$17=E41,'Invoer gegevens (N)'!$C$10-'Invoer gegevens (N)'!$C$11,IF(C41=1,P40,0))</f>
        <v>0</v>
      </c>
      <c r="N41" s="86">
        <f ca="1">IF(C41&lt;1,0,IF('Reeksen (N)'!AK41&lt;='Reeksen (N)'!AE41,M41*'Reeksen (N)'!C41,0))</f>
        <v>0</v>
      </c>
      <c r="O41" s="86">
        <f ca="1">IF(C41&lt;1,0,IF('Reeksen (N)'!AK41&gt;'Reeksen (N)'!AE41,M41*'Reeksen (N)'!C41,0))</f>
        <v>0</v>
      </c>
      <c r="P41" s="86">
        <f t="shared" ca="1" si="5"/>
        <v>0</v>
      </c>
      <c r="Q41" s="82">
        <f ca="1">IF('Invoer gegevens (N)'!$C$17=E41,I41,IF(C41=0,0,R40))</f>
        <v>0</v>
      </c>
      <c r="R41" s="84">
        <f t="shared" ca="1" si="0"/>
        <v>0</v>
      </c>
      <c r="S41" s="84">
        <f ca="1">IF('Invoer gegevens (N)'!$C$17=E41,M41,IF(C41=0,0,T40))</f>
        <v>0</v>
      </c>
      <c r="T41" s="84">
        <f t="shared" ca="1" si="1"/>
        <v>0</v>
      </c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8"/>
      <c r="AI41" s="71">
        <f ca="1">IF(C41=1,((F41+H41)/2*'Reeksen (N)'!AJ41*12)+(('Invoer gegevens (N)'!$C$10-(F41+H41)/2)*'Reeksen (N)'!AK41*12),0)</f>
        <v>0</v>
      </c>
      <c r="AJ41" s="71">
        <f ca="1">-AI41*'Invoer gegevens (N)'!$F$28</f>
        <v>0</v>
      </c>
      <c r="AK41" s="71">
        <f t="shared" ca="1" si="2"/>
        <v>0</v>
      </c>
      <c r="AL41" s="71">
        <f ca="1">IF(C41=1,(12*((F41+H41)/2)*'Reeksen (N)'!AL41)+(12*('Invoer gegevens (N)'!$C$10-(F41+H41)/2)*'Reeksen (N)'!AM41),0)</f>
        <v>0</v>
      </c>
      <c r="AM41" s="71">
        <f ca="1">-AL41*'Invoer gegevens (N)'!$F$31</f>
        <v>0</v>
      </c>
      <c r="AN41" s="71">
        <f t="shared" ca="1" si="6"/>
        <v>0</v>
      </c>
      <c r="AO41" s="71"/>
      <c r="AP41" s="71"/>
      <c r="AQ41" s="71">
        <f ca="1">-IF(C41=1,('Invoer gegevens (N)'!$C$10*'Invoer gegevens (N)'!$I$33)*'Reeksen (N)'!J41,0)*2</f>
        <v>0</v>
      </c>
      <c r="AR41" s="71">
        <f ca="1">-IF(C41=1,(G41*'Invoer gegevens (N)'!$I$34)*'Reeksen (N)'!J41,0)</f>
        <v>0</v>
      </c>
      <c r="AS41" s="71">
        <f ca="1">-IF(C41=1,'Invoer gegevens (N)'!$C$10*'Invoer gegevens (N)'!$I$35*'Reeksen (N)'!L41,0)</f>
        <v>0</v>
      </c>
      <c r="AT41" s="71">
        <f ca="1">-IF(C41=1,IF(E41='Invoer gegevens (N)'!$C$17,'Invoer gegevens (N)'!$C$11,Q41)*'Reeksen (N)'!S41*'Invoer gegevens (N)'!$C$18*'Reeksen (N)'!P41,0)</f>
        <v>0</v>
      </c>
      <c r="AU41" s="71">
        <f ca="1">-IF(C41=1,'Invoer gegevens (N)'!$C$10*'Invoer gegevens (N)'!$I$36*'Reeksen (N)'!H41,0)</f>
        <v>0</v>
      </c>
      <c r="AV41" s="71">
        <v>0</v>
      </c>
      <c r="AW41" s="71">
        <f t="shared" ca="1" si="7"/>
        <v>0</v>
      </c>
      <c r="AX41" s="71">
        <f ca="1">IF(E41&lt;'Invoer gegevens (N)'!$C$17+15,0,IF(E41&gt;'Invoer gegevens (N)'!$C$17+215,0,AW41))</f>
        <v>0</v>
      </c>
      <c r="AY41" s="71">
        <f ca="1">AX41/(1+'Invoer gegevens (N)'!$F$13)^($AZ41-('Invoer gegevens (N)'!$C$17-'Invoer gegevens (N)'!$C$16))/(1+'Invoer gegevens (N)'!$C$39)^('Invoer gegevens (N)'!$C$17-'Invoer gegevens (N)'!$C$16)</f>
        <v>0</v>
      </c>
      <c r="AZ41" s="68">
        <f ca="1">IF(E41-'Invoer gegevens (N)'!$C$17-14.5&lt;0,0,E41-'Invoer gegevens (N)'!$C$17-14.5)</f>
        <v>21.5</v>
      </c>
    </row>
    <row r="42" spans="2:52" x14ac:dyDescent="0.25">
      <c r="B42" s="70">
        <f t="shared" si="8"/>
        <v>38</v>
      </c>
      <c r="C42" s="67">
        <f ca="1">IF(E42-'Invoer gegevens (N)'!$C$17&lt;0,0,1)</f>
        <v>1</v>
      </c>
      <c r="D42" s="68">
        <f t="shared" si="9"/>
        <v>37.5</v>
      </c>
      <c r="E42" s="69">
        <f ca="1">IF('Invoer gegevens (N)'!$C$16="","",E41+1)</f>
        <v>2056</v>
      </c>
      <c r="F42" s="82">
        <f ca="1">IF('Invoer gegevens (N)'!$C$17=E42,'Invoer gegevens (N)'!$C$10,IF(C42=1,H41,0))</f>
        <v>0</v>
      </c>
      <c r="G42" s="83">
        <f ca="1">IF(C42&gt;=1,F42*'Reeksen (N)'!C42,0)</f>
        <v>0</v>
      </c>
      <c r="H42" s="84">
        <f t="shared" ca="1" si="3"/>
        <v>0</v>
      </c>
      <c r="I42" s="85">
        <f ca="1">IF('Invoer gegevens (N)'!$C$17=E42,'Invoer gegevens (N)'!$C$11,IF(C42=1,L41,0))</f>
        <v>0</v>
      </c>
      <c r="J42" s="86">
        <f ca="1">IF(C42&lt;1,0,IF('Reeksen (N)'!AK42&lt;='Reeksen (N)'!AE42,I42*'Reeksen (N)'!C42,0))</f>
        <v>0</v>
      </c>
      <c r="K42" s="86">
        <f ca="1">IF(C42&lt;1,0,IF('Reeksen (N)'!AK42&gt;'Reeksen (N)'!AE42,I42*'Reeksen (N)'!C42,0))</f>
        <v>0</v>
      </c>
      <c r="L42" s="86">
        <f t="shared" ca="1" si="4"/>
        <v>0</v>
      </c>
      <c r="M42" s="85">
        <f ca="1">IF('Invoer gegevens (N)'!$C$17=E42,'Invoer gegevens (N)'!$C$10-'Invoer gegevens (N)'!$C$11,IF(C42=1,P41,0))</f>
        <v>0</v>
      </c>
      <c r="N42" s="86">
        <f ca="1">IF(C42&lt;1,0,IF('Reeksen (N)'!AK42&lt;='Reeksen (N)'!AE42,M42*'Reeksen (N)'!C42,0))</f>
        <v>0</v>
      </c>
      <c r="O42" s="86">
        <f ca="1">IF(C42&lt;1,0,IF('Reeksen (N)'!AK42&gt;'Reeksen (N)'!AE42,M42*'Reeksen (N)'!C42,0))</f>
        <v>0</v>
      </c>
      <c r="P42" s="86">
        <f t="shared" ca="1" si="5"/>
        <v>0</v>
      </c>
      <c r="Q42" s="82">
        <f ca="1">IF('Invoer gegevens (N)'!$C$17=E42,I42,IF(C42=0,0,R41))</f>
        <v>0</v>
      </c>
      <c r="R42" s="84">
        <f t="shared" ca="1" si="0"/>
        <v>0</v>
      </c>
      <c r="S42" s="84">
        <f ca="1">IF('Invoer gegevens (N)'!$C$17=E42,M42,IF(C42=0,0,T41))</f>
        <v>0</v>
      </c>
      <c r="T42" s="84">
        <f t="shared" ca="1" si="1"/>
        <v>0</v>
      </c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8"/>
      <c r="AI42" s="71">
        <f ca="1">IF(C42=1,((F42+H42)/2*'Reeksen (N)'!AJ42*12)+(('Invoer gegevens (N)'!$C$10-(F42+H42)/2)*'Reeksen (N)'!AK42*12),0)</f>
        <v>0</v>
      </c>
      <c r="AJ42" s="71">
        <f ca="1">-AI42*'Invoer gegevens (N)'!$F$28</f>
        <v>0</v>
      </c>
      <c r="AK42" s="71">
        <f t="shared" ca="1" si="2"/>
        <v>0</v>
      </c>
      <c r="AL42" s="71">
        <f ca="1">IF(C42=1,(12*((F42+H42)/2)*'Reeksen (N)'!AL42)+(12*('Invoer gegevens (N)'!$C$10-(F42+H42)/2)*'Reeksen (N)'!AM42),0)</f>
        <v>0</v>
      </c>
      <c r="AM42" s="71">
        <f ca="1">-AL42*'Invoer gegevens (N)'!$F$31</f>
        <v>0</v>
      </c>
      <c r="AN42" s="71">
        <f t="shared" ca="1" si="6"/>
        <v>0</v>
      </c>
      <c r="AO42" s="71"/>
      <c r="AP42" s="71"/>
      <c r="AQ42" s="71">
        <f ca="1">-IF(C42=1,('Invoer gegevens (N)'!$C$10*'Invoer gegevens (N)'!$I$33)*'Reeksen (N)'!J42,0)*2</f>
        <v>0</v>
      </c>
      <c r="AR42" s="71">
        <f ca="1">-IF(C42=1,(G42*'Invoer gegevens (N)'!$I$34)*'Reeksen (N)'!J42,0)</f>
        <v>0</v>
      </c>
      <c r="AS42" s="71">
        <f ca="1">-IF(C42=1,'Invoer gegevens (N)'!$C$10*'Invoer gegevens (N)'!$I$35*'Reeksen (N)'!L42,0)</f>
        <v>0</v>
      </c>
      <c r="AT42" s="71">
        <f ca="1">-IF(C42=1,IF(E42='Invoer gegevens (N)'!$C$17,'Invoer gegevens (N)'!$C$11,Q42)*'Reeksen (N)'!S42*'Invoer gegevens (N)'!$C$18*'Reeksen (N)'!P42,0)</f>
        <v>0</v>
      </c>
      <c r="AU42" s="71">
        <f ca="1">-IF(C42=1,'Invoer gegevens (N)'!$C$10*'Invoer gegevens (N)'!$I$36*'Reeksen (N)'!H42,0)</f>
        <v>0</v>
      </c>
      <c r="AV42" s="71">
        <v>0</v>
      </c>
      <c r="AW42" s="71">
        <f t="shared" ca="1" si="7"/>
        <v>0</v>
      </c>
      <c r="AX42" s="71">
        <f ca="1">IF(E42&lt;'Invoer gegevens (N)'!$C$17+15,0,IF(E42&gt;'Invoer gegevens (N)'!$C$17+215,0,AW42))</f>
        <v>0</v>
      </c>
      <c r="AY42" s="71">
        <f ca="1">AX42/(1+'Invoer gegevens (N)'!$F$13)^($AZ42-('Invoer gegevens (N)'!$C$17-'Invoer gegevens (N)'!$C$16))/(1+'Invoer gegevens (N)'!$C$39)^('Invoer gegevens (N)'!$C$17-'Invoer gegevens (N)'!$C$16)</f>
        <v>0</v>
      </c>
      <c r="AZ42" s="68">
        <f ca="1">IF(E42-'Invoer gegevens (N)'!$C$17-14.5&lt;0,0,E42-'Invoer gegevens (N)'!$C$17-14.5)</f>
        <v>22.5</v>
      </c>
    </row>
    <row r="43" spans="2:52" x14ac:dyDescent="0.25">
      <c r="B43" s="70">
        <f t="shared" si="8"/>
        <v>39</v>
      </c>
      <c r="C43" s="67">
        <f ca="1">IF(E43-'Invoer gegevens (N)'!$C$17&lt;0,0,1)</f>
        <v>1</v>
      </c>
      <c r="D43" s="68">
        <f t="shared" si="9"/>
        <v>38.5</v>
      </c>
      <c r="E43" s="69">
        <f ca="1">IF('Invoer gegevens (N)'!$C$16="","",E42+1)</f>
        <v>2057</v>
      </c>
      <c r="F43" s="82">
        <f ca="1">IF('Invoer gegevens (N)'!$C$17=E43,'Invoer gegevens (N)'!$C$10,IF(C43=1,H42,0))</f>
        <v>0</v>
      </c>
      <c r="G43" s="83">
        <f ca="1">IF(C43&gt;=1,F43*'Reeksen (N)'!C43,0)</f>
        <v>0</v>
      </c>
      <c r="H43" s="84">
        <f t="shared" ca="1" si="3"/>
        <v>0</v>
      </c>
      <c r="I43" s="85">
        <f ca="1">IF('Invoer gegevens (N)'!$C$17=E43,'Invoer gegevens (N)'!$C$11,IF(C43=1,L42,0))</f>
        <v>0</v>
      </c>
      <c r="J43" s="86">
        <f ca="1">IF(C43&lt;1,0,IF('Reeksen (N)'!AK43&lt;='Reeksen (N)'!AE43,I43*'Reeksen (N)'!C43,0))</f>
        <v>0</v>
      </c>
      <c r="K43" s="86">
        <f ca="1">IF(C43&lt;1,0,IF('Reeksen (N)'!AK43&gt;'Reeksen (N)'!AE43,I43*'Reeksen (N)'!C43,0))</f>
        <v>0</v>
      </c>
      <c r="L43" s="86">
        <f t="shared" ca="1" si="4"/>
        <v>0</v>
      </c>
      <c r="M43" s="85">
        <f ca="1">IF('Invoer gegevens (N)'!$C$17=E43,'Invoer gegevens (N)'!$C$10-'Invoer gegevens (N)'!$C$11,IF(C43=1,P42,0))</f>
        <v>0</v>
      </c>
      <c r="N43" s="86">
        <f ca="1">IF(C43&lt;1,0,IF('Reeksen (N)'!AK43&lt;='Reeksen (N)'!AE43,M43*'Reeksen (N)'!C43,0))</f>
        <v>0</v>
      </c>
      <c r="O43" s="86">
        <f ca="1">IF(C43&lt;1,0,IF('Reeksen (N)'!AK43&gt;'Reeksen (N)'!AE43,M43*'Reeksen (N)'!C43,0))</f>
        <v>0</v>
      </c>
      <c r="P43" s="86">
        <f t="shared" ca="1" si="5"/>
        <v>0</v>
      </c>
      <c r="Q43" s="82">
        <f ca="1">IF('Invoer gegevens (N)'!$C$17=E43,I43,IF(C43=0,0,R42))</f>
        <v>0</v>
      </c>
      <c r="R43" s="84">
        <f t="shared" ca="1" si="0"/>
        <v>0</v>
      </c>
      <c r="S43" s="84">
        <f ca="1">IF('Invoer gegevens (N)'!$C$17=E43,M43,IF(C43=0,0,T42))</f>
        <v>0</v>
      </c>
      <c r="T43" s="84">
        <f t="shared" ca="1" si="1"/>
        <v>0</v>
      </c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8"/>
      <c r="AI43" s="71">
        <f ca="1">IF(C43=1,((F43+H43)/2*'Reeksen (N)'!AJ43*12)+(('Invoer gegevens (N)'!$C$10-(F43+H43)/2)*'Reeksen (N)'!AK43*12),0)</f>
        <v>0</v>
      </c>
      <c r="AJ43" s="71">
        <f ca="1">-AI43*'Invoer gegevens (N)'!$F$28</f>
        <v>0</v>
      </c>
      <c r="AK43" s="71">
        <f t="shared" ca="1" si="2"/>
        <v>0</v>
      </c>
      <c r="AL43" s="71">
        <f ca="1">IF(C43=1,(12*((F43+H43)/2)*'Reeksen (N)'!AL43)+(12*('Invoer gegevens (N)'!$C$10-(F43+H43)/2)*'Reeksen (N)'!AM43),0)</f>
        <v>0</v>
      </c>
      <c r="AM43" s="71">
        <f ca="1">-AL43*'Invoer gegevens (N)'!$F$31</f>
        <v>0</v>
      </c>
      <c r="AN43" s="71">
        <f t="shared" ca="1" si="6"/>
        <v>0</v>
      </c>
      <c r="AO43" s="71"/>
      <c r="AP43" s="71"/>
      <c r="AQ43" s="71">
        <f ca="1">-IF(C43=1,('Invoer gegevens (N)'!$C$10*'Invoer gegevens (N)'!$I$33)*'Reeksen (N)'!J43,0)*2</f>
        <v>0</v>
      </c>
      <c r="AR43" s="71">
        <f ca="1">-IF(C43=1,(G43*'Invoer gegevens (N)'!$I$34)*'Reeksen (N)'!J43,0)</f>
        <v>0</v>
      </c>
      <c r="AS43" s="71">
        <f ca="1">-IF(C43=1,'Invoer gegevens (N)'!$C$10*'Invoer gegevens (N)'!$I$35*'Reeksen (N)'!L43,0)</f>
        <v>0</v>
      </c>
      <c r="AT43" s="71">
        <f ca="1">-IF(C43=1,IF(E43='Invoer gegevens (N)'!$C$17,'Invoer gegevens (N)'!$C$11,Q43)*'Reeksen (N)'!S43*'Invoer gegevens (N)'!$C$18*'Reeksen (N)'!P43,0)</f>
        <v>0</v>
      </c>
      <c r="AU43" s="71">
        <f ca="1">-IF(C43=1,'Invoer gegevens (N)'!$C$10*'Invoer gegevens (N)'!$I$36*'Reeksen (N)'!H43,0)</f>
        <v>0</v>
      </c>
      <c r="AV43" s="71">
        <v>0</v>
      </c>
      <c r="AW43" s="71">
        <f t="shared" ca="1" si="7"/>
        <v>0</v>
      </c>
      <c r="AX43" s="71">
        <f ca="1">IF(E43&lt;'Invoer gegevens (N)'!$C$17+15,0,IF(E43&gt;'Invoer gegevens (N)'!$C$17+215,0,AW43))</f>
        <v>0</v>
      </c>
      <c r="AY43" s="71">
        <f ca="1">AX43/(1+'Invoer gegevens (N)'!$F$13)^($AZ43-('Invoer gegevens (N)'!$C$17-'Invoer gegevens (N)'!$C$16))/(1+'Invoer gegevens (N)'!$C$39)^('Invoer gegevens (N)'!$C$17-'Invoer gegevens (N)'!$C$16)</f>
        <v>0</v>
      </c>
      <c r="AZ43" s="68">
        <f ca="1">IF(E43-'Invoer gegevens (N)'!$C$17-14.5&lt;0,0,E43-'Invoer gegevens (N)'!$C$17-14.5)</f>
        <v>23.5</v>
      </c>
    </row>
    <row r="44" spans="2:52" x14ac:dyDescent="0.25">
      <c r="B44" s="70">
        <f t="shared" si="8"/>
        <v>40</v>
      </c>
      <c r="C44" s="67">
        <f ca="1">IF(E44-'Invoer gegevens (N)'!$C$17&lt;0,0,1)</f>
        <v>1</v>
      </c>
      <c r="D44" s="68">
        <f t="shared" si="9"/>
        <v>39.5</v>
      </c>
      <c r="E44" s="69">
        <f ca="1">IF('Invoer gegevens (N)'!$C$16="","",E43+1)</f>
        <v>2058</v>
      </c>
      <c r="F44" s="82">
        <f ca="1">IF('Invoer gegevens (N)'!$C$17=E44,'Invoer gegevens (N)'!$C$10,IF(C44=1,H43,0))</f>
        <v>0</v>
      </c>
      <c r="G44" s="83">
        <f ca="1">IF(C44&gt;=1,F44*'Reeksen (N)'!C44,0)</f>
        <v>0</v>
      </c>
      <c r="H44" s="84">
        <f t="shared" ca="1" si="3"/>
        <v>0</v>
      </c>
      <c r="I44" s="85">
        <f ca="1">IF('Invoer gegevens (N)'!$C$17=E44,'Invoer gegevens (N)'!$C$11,IF(C44=1,L43,0))</f>
        <v>0</v>
      </c>
      <c r="J44" s="86">
        <f ca="1">IF(C44&lt;1,0,IF('Reeksen (N)'!AK44&lt;='Reeksen (N)'!AE44,I44*'Reeksen (N)'!C44,0))</f>
        <v>0</v>
      </c>
      <c r="K44" s="86">
        <f ca="1">IF(C44&lt;1,0,IF('Reeksen (N)'!AK44&gt;'Reeksen (N)'!AE44,I44*'Reeksen (N)'!C44,0))</f>
        <v>0</v>
      </c>
      <c r="L44" s="86">
        <f t="shared" ca="1" si="4"/>
        <v>0</v>
      </c>
      <c r="M44" s="85">
        <f ca="1">IF('Invoer gegevens (N)'!$C$17=E44,'Invoer gegevens (N)'!$C$10-'Invoer gegevens (N)'!$C$11,IF(C44=1,P43,0))</f>
        <v>0</v>
      </c>
      <c r="N44" s="86">
        <f ca="1">IF(C44&lt;1,0,IF('Reeksen (N)'!AK44&lt;='Reeksen (N)'!AE44,M44*'Reeksen (N)'!C44,0))</f>
        <v>0</v>
      </c>
      <c r="O44" s="86">
        <f ca="1">IF(C44&lt;1,0,IF('Reeksen (N)'!AK44&gt;'Reeksen (N)'!AE44,M44*'Reeksen (N)'!C44,0))</f>
        <v>0</v>
      </c>
      <c r="P44" s="86">
        <f t="shared" ca="1" si="5"/>
        <v>0</v>
      </c>
      <c r="Q44" s="82">
        <f ca="1">IF('Invoer gegevens (N)'!$C$17=E44,I44,IF(C44=0,0,R43))</f>
        <v>0</v>
      </c>
      <c r="R44" s="84">
        <f t="shared" ca="1" si="0"/>
        <v>0</v>
      </c>
      <c r="S44" s="84">
        <f ca="1">IF('Invoer gegevens (N)'!$C$17=E44,M44,IF(C44=0,0,T43))</f>
        <v>0</v>
      </c>
      <c r="T44" s="84">
        <f t="shared" ca="1" si="1"/>
        <v>0</v>
      </c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8"/>
      <c r="AI44" s="71">
        <f ca="1">IF(C44=1,((F44+H44)/2*'Reeksen (N)'!AJ44*12)+(('Invoer gegevens (N)'!$C$10-(F44+H44)/2)*'Reeksen (N)'!AK44*12),0)</f>
        <v>0</v>
      </c>
      <c r="AJ44" s="71">
        <f ca="1">-AI44*'Invoer gegevens (N)'!$F$28</f>
        <v>0</v>
      </c>
      <c r="AK44" s="71">
        <f t="shared" ca="1" si="2"/>
        <v>0</v>
      </c>
      <c r="AL44" s="71">
        <f ca="1">IF(C44=1,(12*((F44+H44)/2)*'Reeksen (N)'!AL44)+(12*('Invoer gegevens (N)'!$C$10-(F44+H44)/2)*'Reeksen (N)'!AM44),0)</f>
        <v>0</v>
      </c>
      <c r="AM44" s="71">
        <f ca="1">-AL44*'Invoer gegevens (N)'!$F$31</f>
        <v>0</v>
      </c>
      <c r="AN44" s="71">
        <f t="shared" ca="1" si="6"/>
        <v>0</v>
      </c>
      <c r="AO44" s="71"/>
      <c r="AP44" s="71"/>
      <c r="AQ44" s="71">
        <f ca="1">-IF(C44=1,('Invoer gegevens (N)'!$C$10*'Invoer gegevens (N)'!$I$33)*'Reeksen (N)'!J44,0)*2</f>
        <v>0</v>
      </c>
      <c r="AR44" s="71">
        <f ca="1">-IF(C44=1,(G44*'Invoer gegevens (N)'!$I$34)*'Reeksen (N)'!J44,0)</f>
        <v>0</v>
      </c>
      <c r="AS44" s="71">
        <f ca="1">-IF(C44=1,'Invoer gegevens (N)'!$C$10*'Invoer gegevens (N)'!$I$35*'Reeksen (N)'!L44,0)</f>
        <v>0</v>
      </c>
      <c r="AT44" s="71">
        <f ca="1">-IF(C44=1,IF(E44='Invoer gegevens (N)'!$C$17,'Invoer gegevens (N)'!$C$11,Q44)*'Reeksen (N)'!S44*'Invoer gegevens (N)'!$C$18*'Reeksen (N)'!P44,0)</f>
        <v>0</v>
      </c>
      <c r="AU44" s="71">
        <f ca="1">-IF(C44=1,'Invoer gegevens (N)'!$C$10*'Invoer gegevens (N)'!$I$36*'Reeksen (N)'!H44,0)</f>
        <v>0</v>
      </c>
      <c r="AV44" s="71">
        <v>0</v>
      </c>
      <c r="AW44" s="71">
        <f t="shared" ca="1" si="7"/>
        <v>0</v>
      </c>
      <c r="AX44" s="71">
        <f ca="1">IF(E44&lt;'Invoer gegevens (N)'!$C$17+15,0,IF(E44&gt;'Invoer gegevens (N)'!$C$17+215,0,AW44))</f>
        <v>0</v>
      </c>
      <c r="AY44" s="71">
        <f ca="1">AX44/(1+'Invoer gegevens (N)'!$F$13)^($AZ44-('Invoer gegevens (N)'!$C$17-'Invoer gegevens (N)'!$C$16))/(1+'Invoer gegevens (N)'!$C$39)^('Invoer gegevens (N)'!$C$17-'Invoer gegevens (N)'!$C$16)</f>
        <v>0</v>
      </c>
      <c r="AZ44" s="68">
        <f ca="1">IF(E44-'Invoer gegevens (N)'!$C$17-14.5&lt;0,0,E44-'Invoer gegevens (N)'!$C$17-14.5)</f>
        <v>24.5</v>
      </c>
    </row>
    <row r="45" spans="2:52" x14ac:dyDescent="0.25">
      <c r="B45" s="70">
        <f t="shared" si="8"/>
        <v>41</v>
      </c>
      <c r="C45" s="67">
        <f ca="1">IF(E45-'Invoer gegevens (N)'!$C$17&lt;0,0,1)</f>
        <v>1</v>
      </c>
      <c r="D45" s="68">
        <f t="shared" si="9"/>
        <v>40.5</v>
      </c>
      <c r="E45" s="69">
        <f ca="1">IF('Invoer gegevens (N)'!$C$16="","",E44+1)</f>
        <v>2059</v>
      </c>
      <c r="F45" s="82">
        <f ca="1">IF('Invoer gegevens (N)'!$C$17=E45,'Invoer gegevens (N)'!$C$10,IF(C45=1,H44,0))</f>
        <v>0</v>
      </c>
      <c r="G45" s="83">
        <f ca="1">IF(C45&gt;=1,F45*'Reeksen (N)'!C45,0)</f>
        <v>0</v>
      </c>
      <c r="H45" s="84">
        <f t="shared" ca="1" si="3"/>
        <v>0</v>
      </c>
      <c r="I45" s="85">
        <f ca="1">IF('Invoer gegevens (N)'!$C$17=E45,'Invoer gegevens (N)'!$C$11,IF(C45=1,L44,0))</f>
        <v>0</v>
      </c>
      <c r="J45" s="86">
        <f ca="1">IF(C45&lt;1,0,IF('Reeksen (N)'!AK45&lt;='Reeksen (N)'!AE45,I45*'Reeksen (N)'!C45,0))</f>
        <v>0</v>
      </c>
      <c r="K45" s="86">
        <f ca="1">IF(C45&lt;1,0,IF('Reeksen (N)'!AK45&gt;'Reeksen (N)'!AE45,I45*'Reeksen (N)'!C45,0))</f>
        <v>0</v>
      </c>
      <c r="L45" s="86">
        <f t="shared" ca="1" si="4"/>
        <v>0</v>
      </c>
      <c r="M45" s="85">
        <f ca="1">IF('Invoer gegevens (N)'!$C$17=E45,'Invoer gegevens (N)'!$C$10-'Invoer gegevens (N)'!$C$11,IF(C45=1,P44,0))</f>
        <v>0</v>
      </c>
      <c r="N45" s="86">
        <f ca="1">IF(C45&lt;1,0,IF('Reeksen (N)'!AK45&lt;='Reeksen (N)'!AE45,M45*'Reeksen (N)'!C45,0))</f>
        <v>0</v>
      </c>
      <c r="O45" s="86">
        <f ca="1">IF(C45&lt;1,0,IF('Reeksen (N)'!AK45&gt;'Reeksen (N)'!AE45,M45*'Reeksen (N)'!C45,0))</f>
        <v>0</v>
      </c>
      <c r="P45" s="86">
        <f t="shared" ca="1" si="5"/>
        <v>0</v>
      </c>
      <c r="Q45" s="82">
        <f ca="1">IF('Invoer gegevens (N)'!$C$17=E45,I45,IF(C45=0,0,R44))</f>
        <v>0</v>
      </c>
      <c r="R45" s="84">
        <f t="shared" ca="1" si="0"/>
        <v>0</v>
      </c>
      <c r="S45" s="84">
        <f ca="1">IF('Invoer gegevens (N)'!$C$17=E45,M45,IF(C45=0,0,T44))</f>
        <v>0</v>
      </c>
      <c r="T45" s="84">
        <f t="shared" ca="1" si="1"/>
        <v>0</v>
      </c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8"/>
      <c r="AI45" s="71">
        <f ca="1">IF(C45=1,((F45+H45)/2*'Reeksen (N)'!AJ45*12)+(('Invoer gegevens (N)'!$C$10-(F45+H45)/2)*'Reeksen (N)'!AK45*12),0)</f>
        <v>0</v>
      </c>
      <c r="AJ45" s="71">
        <f ca="1">-AI45*'Invoer gegevens (N)'!$F$28</f>
        <v>0</v>
      </c>
      <c r="AK45" s="71">
        <f t="shared" ca="1" si="2"/>
        <v>0</v>
      </c>
      <c r="AL45" s="71">
        <f ca="1">IF(C45=1,(12*((F45+H45)/2)*'Reeksen (N)'!AL45)+(12*('Invoer gegevens (N)'!$C$10-(F45+H45)/2)*'Reeksen (N)'!AM45),0)</f>
        <v>0</v>
      </c>
      <c r="AM45" s="71">
        <f ca="1">-AL45*'Invoer gegevens (N)'!$F$31</f>
        <v>0</v>
      </c>
      <c r="AN45" s="71">
        <f t="shared" ca="1" si="6"/>
        <v>0</v>
      </c>
      <c r="AO45" s="71"/>
      <c r="AP45" s="71"/>
      <c r="AQ45" s="71">
        <f ca="1">-IF(C45=1,('Invoer gegevens (N)'!$C$10*'Invoer gegevens (N)'!$I$33)*'Reeksen (N)'!J45,0)*2</f>
        <v>0</v>
      </c>
      <c r="AR45" s="71">
        <f ca="1">-IF(C45=1,(G45*'Invoer gegevens (N)'!$I$34)*'Reeksen (N)'!J45,0)</f>
        <v>0</v>
      </c>
      <c r="AS45" s="71">
        <f ca="1">-IF(C45=1,'Invoer gegevens (N)'!$C$10*'Invoer gegevens (N)'!$I$35*'Reeksen (N)'!L45,0)</f>
        <v>0</v>
      </c>
      <c r="AT45" s="71">
        <f ca="1">-IF(C45=1,IF(E45='Invoer gegevens (N)'!$C$17,'Invoer gegevens (N)'!$C$11,Q45)*'Reeksen (N)'!S45*'Invoer gegevens (N)'!$C$18*'Reeksen (N)'!P45,0)</f>
        <v>0</v>
      </c>
      <c r="AU45" s="71">
        <f ca="1">-IF(C45=1,'Invoer gegevens (N)'!$C$10*'Invoer gegevens (N)'!$I$36*'Reeksen (N)'!H45,0)</f>
        <v>0</v>
      </c>
      <c r="AV45" s="71">
        <v>0</v>
      </c>
      <c r="AW45" s="71">
        <f t="shared" ca="1" si="7"/>
        <v>0</v>
      </c>
      <c r="AX45" s="71">
        <f ca="1">IF(E45&lt;'Invoer gegevens (N)'!$C$17+15,0,IF(E45&gt;'Invoer gegevens (N)'!$C$17+215,0,AW45))</f>
        <v>0</v>
      </c>
      <c r="AY45" s="71">
        <f ca="1">AX45/(1+'Invoer gegevens (N)'!$F$13)^($AZ45-('Invoer gegevens (N)'!$C$17-'Invoer gegevens (N)'!$C$16))/(1+'Invoer gegevens (N)'!$C$39)^('Invoer gegevens (N)'!$C$17-'Invoer gegevens (N)'!$C$16)</f>
        <v>0</v>
      </c>
      <c r="AZ45" s="68">
        <f ca="1">IF(E45-'Invoer gegevens (N)'!$C$17-14.5&lt;0,0,E45-'Invoer gegevens (N)'!$C$17-14.5)</f>
        <v>25.5</v>
      </c>
    </row>
    <row r="46" spans="2:52" x14ac:dyDescent="0.25">
      <c r="B46" s="70">
        <f t="shared" si="8"/>
        <v>42</v>
      </c>
      <c r="C46" s="67">
        <f ca="1">IF(E46-'Invoer gegevens (N)'!$C$17&lt;0,0,1)</f>
        <v>1</v>
      </c>
      <c r="D46" s="68">
        <f t="shared" si="9"/>
        <v>41.5</v>
      </c>
      <c r="E46" s="69">
        <f ca="1">IF('Invoer gegevens (N)'!$C$16="","",E45+1)</f>
        <v>2060</v>
      </c>
      <c r="F46" s="82">
        <f ca="1">IF('Invoer gegevens (N)'!$C$17=E46,'Invoer gegevens (N)'!$C$10,IF(C46=1,H45,0))</f>
        <v>0</v>
      </c>
      <c r="G46" s="83">
        <f ca="1">IF(C46&gt;=1,F46*'Reeksen (N)'!C46,0)</f>
        <v>0</v>
      </c>
      <c r="H46" s="84">
        <f t="shared" ca="1" si="3"/>
        <v>0</v>
      </c>
      <c r="I46" s="85">
        <f ca="1">IF('Invoer gegevens (N)'!$C$17=E46,'Invoer gegevens (N)'!$C$11,IF(C46=1,L45,0))</f>
        <v>0</v>
      </c>
      <c r="J46" s="86">
        <f ca="1">IF(C46&lt;1,0,IF('Reeksen (N)'!AK46&lt;='Reeksen (N)'!AE46,I46*'Reeksen (N)'!C46,0))</f>
        <v>0</v>
      </c>
      <c r="K46" s="86">
        <f ca="1">IF(C46&lt;1,0,IF('Reeksen (N)'!AK46&gt;'Reeksen (N)'!AE46,I46*'Reeksen (N)'!C46,0))</f>
        <v>0</v>
      </c>
      <c r="L46" s="86">
        <f t="shared" ca="1" si="4"/>
        <v>0</v>
      </c>
      <c r="M46" s="85">
        <f ca="1">IF('Invoer gegevens (N)'!$C$17=E46,'Invoer gegevens (N)'!$C$10-'Invoer gegevens (N)'!$C$11,IF(C46=1,P45,0))</f>
        <v>0</v>
      </c>
      <c r="N46" s="86">
        <f ca="1">IF(C46&lt;1,0,IF('Reeksen (N)'!AK46&lt;='Reeksen (N)'!AE46,M46*'Reeksen (N)'!C46,0))</f>
        <v>0</v>
      </c>
      <c r="O46" s="86">
        <f ca="1">IF(C46&lt;1,0,IF('Reeksen (N)'!AK46&gt;'Reeksen (N)'!AE46,M46*'Reeksen (N)'!C46,0))</f>
        <v>0</v>
      </c>
      <c r="P46" s="86">
        <f t="shared" ca="1" si="5"/>
        <v>0</v>
      </c>
      <c r="Q46" s="82">
        <f ca="1">IF('Invoer gegevens (N)'!$C$17=E46,I46,IF(C46=0,0,R45))</f>
        <v>0</v>
      </c>
      <c r="R46" s="84">
        <f t="shared" ca="1" si="0"/>
        <v>0</v>
      </c>
      <c r="S46" s="84">
        <f ca="1">IF('Invoer gegevens (N)'!$C$17=E46,M46,IF(C46=0,0,T45))</f>
        <v>0</v>
      </c>
      <c r="T46" s="84">
        <f t="shared" ca="1" si="1"/>
        <v>0</v>
      </c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8"/>
      <c r="AI46" s="71">
        <f ca="1">IF(C46=1,((F46+H46)/2*'Reeksen (N)'!AJ46*12)+(('Invoer gegevens (N)'!$C$10-(F46+H46)/2)*'Reeksen (N)'!AK46*12),0)</f>
        <v>0</v>
      </c>
      <c r="AJ46" s="71">
        <f ca="1">-AI46*'Invoer gegevens (N)'!$F$28</f>
        <v>0</v>
      </c>
      <c r="AK46" s="71">
        <f t="shared" ca="1" si="2"/>
        <v>0</v>
      </c>
      <c r="AL46" s="71">
        <f ca="1">IF(C46=1,(12*((F46+H46)/2)*'Reeksen (N)'!AL46)+(12*('Invoer gegevens (N)'!$C$10-(F46+H46)/2)*'Reeksen (N)'!AM46),0)</f>
        <v>0</v>
      </c>
      <c r="AM46" s="71">
        <f ca="1">-AL46*'Invoer gegevens (N)'!$F$31</f>
        <v>0</v>
      </c>
      <c r="AN46" s="71">
        <f t="shared" ca="1" si="6"/>
        <v>0</v>
      </c>
      <c r="AO46" s="71"/>
      <c r="AP46" s="71"/>
      <c r="AQ46" s="71">
        <f ca="1">-IF(C46=1,('Invoer gegevens (N)'!$C$10*'Invoer gegevens (N)'!$I$33)*'Reeksen (N)'!J46,0)*2</f>
        <v>0</v>
      </c>
      <c r="AR46" s="71">
        <f ca="1">-IF(C46=1,(G46*'Invoer gegevens (N)'!$I$34)*'Reeksen (N)'!J46,0)</f>
        <v>0</v>
      </c>
      <c r="AS46" s="71">
        <f ca="1">-IF(C46=1,'Invoer gegevens (N)'!$C$10*'Invoer gegevens (N)'!$I$35*'Reeksen (N)'!L46,0)</f>
        <v>0</v>
      </c>
      <c r="AT46" s="71">
        <f ca="1">-IF(C46=1,IF(E46='Invoer gegevens (N)'!$C$17,'Invoer gegevens (N)'!$C$11,Q46)*'Reeksen (N)'!S46*'Invoer gegevens (N)'!$C$18*'Reeksen (N)'!P46,0)</f>
        <v>0</v>
      </c>
      <c r="AU46" s="71">
        <f ca="1">-IF(C46=1,'Invoer gegevens (N)'!$C$10*'Invoer gegevens (N)'!$I$36*'Reeksen (N)'!H46,0)</f>
        <v>0</v>
      </c>
      <c r="AV46" s="71">
        <v>0</v>
      </c>
      <c r="AW46" s="71">
        <f t="shared" ca="1" si="7"/>
        <v>0</v>
      </c>
      <c r="AX46" s="71">
        <f ca="1">IF(E46&lt;'Invoer gegevens (N)'!$C$17+15,0,IF(E46&gt;'Invoer gegevens (N)'!$C$17+215,0,AW46))</f>
        <v>0</v>
      </c>
      <c r="AY46" s="71">
        <f ca="1">AX46/(1+'Invoer gegevens (N)'!$F$13)^($AZ46-('Invoer gegevens (N)'!$C$17-'Invoer gegevens (N)'!$C$16))/(1+'Invoer gegevens (N)'!$C$39)^('Invoer gegevens (N)'!$C$17-'Invoer gegevens (N)'!$C$16)</f>
        <v>0</v>
      </c>
      <c r="AZ46" s="68">
        <f ca="1">IF(E46-'Invoer gegevens (N)'!$C$17-14.5&lt;0,0,E46-'Invoer gegevens (N)'!$C$17-14.5)</f>
        <v>26.5</v>
      </c>
    </row>
    <row r="47" spans="2:52" x14ac:dyDescent="0.25">
      <c r="B47" s="70">
        <f t="shared" si="8"/>
        <v>43</v>
      </c>
      <c r="C47" s="67">
        <f ca="1">IF(E47-'Invoer gegevens (N)'!$C$17&lt;0,0,1)</f>
        <v>1</v>
      </c>
      <c r="D47" s="68">
        <f t="shared" si="9"/>
        <v>42.5</v>
      </c>
      <c r="E47" s="69">
        <f ca="1">IF('Invoer gegevens (N)'!$C$16="","",E46+1)</f>
        <v>2061</v>
      </c>
      <c r="F47" s="82">
        <f ca="1">IF('Invoer gegevens (N)'!$C$17=E47,'Invoer gegevens (N)'!$C$10,IF(C47=1,H46,0))</f>
        <v>0</v>
      </c>
      <c r="G47" s="83">
        <f ca="1">IF(C47&gt;=1,F47*'Reeksen (N)'!C47,0)</f>
        <v>0</v>
      </c>
      <c r="H47" s="84">
        <f t="shared" ca="1" si="3"/>
        <v>0</v>
      </c>
      <c r="I47" s="85">
        <f ca="1">IF('Invoer gegevens (N)'!$C$17=E47,'Invoer gegevens (N)'!$C$11,IF(C47=1,L46,0))</f>
        <v>0</v>
      </c>
      <c r="J47" s="86">
        <f ca="1">IF(C47&lt;1,0,IF('Reeksen (N)'!AK47&lt;='Reeksen (N)'!AE47,I47*'Reeksen (N)'!C47,0))</f>
        <v>0</v>
      </c>
      <c r="K47" s="86">
        <f ca="1">IF(C47&lt;1,0,IF('Reeksen (N)'!AK47&gt;'Reeksen (N)'!AE47,I47*'Reeksen (N)'!C47,0))</f>
        <v>0</v>
      </c>
      <c r="L47" s="86">
        <f t="shared" ca="1" si="4"/>
        <v>0</v>
      </c>
      <c r="M47" s="85">
        <f ca="1">IF('Invoer gegevens (N)'!$C$17=E47,'Invoer gegevens (N)'!$C$10-'Invoer gegevens (N)'!$C$11,IF(C47=1,P46,0))</f>
        <v>0</v>
      </c>
      <c r="N47" s="86">
        <f ca="1">IF(C47&lt;1,0,IF('Reeksen (N)'!AK47&lt;='Reeksen (N)'!AE47,M47*'Reeksen (N)'!C47,0))</f>
        <v>0</v>
      </c>
      <c r="O47" s="86">
        <f ca="1">IF(C47&lt;1,0,IF('Reeksen (N)'!AK47&gt;'Reeksen (N)'!AE47,M47*'Reeksen (N)'!C47,0))</f>
        <v>0</v>
      </c>
      <c r="P47" s="86">
        <f t="shared" ca="1" si="5"/>
        <v>0</v>
      </c>
      <c r="Q47" s="82">
        <f ca="1">IF('Invoer gegevens (N)'!$C$17=E47,I47,IF(C47=0,0,R46))</f>
        <v>0</v>
      </c>
      <c r="R47" s="84">
        <f t="shared" ca="1" si="0"/>
        <v>0</v>
      </c>
      <c r="S47" s="84">
        <f ca="1">IF('Invoer gegevens (N)'!$C$17=E47,M47,IF(C47=0,0,T46))</f>
        <v>0</v>
      </c>
      <c r="T47" s="84">
        <f t="shared" ca="1" si="1"/>
        <v>0</v>
      </c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8"/>
      <c r="AI47" s="71">
        <f ca="1">IF(C47=1,((F47+H47)/2*'Reeksen (N)'!AJ47*12)+(('Invoer gegevens (N)'!$C$10-(F47+H47)/2)*'Reeksen (N)'!AK47*12),0)</f>
        <v>0</v>
      </c>
      <c r="AJ47" s="71">
        <f ca="1">-AI47*'Invoer gegevens (N)'!$F$28</f>
        <v>0</v>
      </c>
      <c r="AK47" s="71">
        <f t="shared" ca="1" si="2"/>
        <v>0</v>
      </c>
      <c r="AL47" s="71">
        <f ca="1">IF(C47=1,(12*((F47+H47)/2)*'Reeksen (N)'!AL47)+(12*('Invoer gegevens (N)'!$C$10-(F47+H47)/2)*'Reeksen (N)'!AM47),0)</f>
        <v>0</v>
      </c>
      <c r="AM47" s="71">
        <f ca="1">-AL47*'Invoer gegevens (N)'!$F$31</f>
        <v>0</v>
      </c>
      <c r="AN47" s="71">
        <f t="shared" ca="1" si="6"/>
        <v>0</v>
      </c>
      <c r="AO47" s="71"/>
      <c r="AP47" s="71"/>
      <c r="AQ47" s="71">
        <f ca="1">-IF(C47=1,('Invoer gegevens (N)'!$C$10*'Invoer gegevens (N)'!$I$33)*'Reeksen (N)'!J47,0)*2</f>
        <v>0</v>
      </c>
      <c r="AR47" s="71">
        <f ca="1">-IF(C47=1,(G47*'Invoer gegevens (N)'!$I$34)*'Reeksen (N)'!J47,0)</f>
        <v>0</v>
      </c>
      <c r="AS47" s="71">
        <f ca="1">-IF(C47=1,'Invoer gegevens (N)'!$C$10*'Invoer gegevens (N)'!$I$35*'Reeksen (N)'!L47,0)</f>
        <v>0</v>
      </c>
      <c r="AT47" s="71">
        <f ca="1">-IF(C47=1,IF(E47='Invoer gegevens (N)'!$C$17,'Invoer gegevens (N)'!$C$11,Q47)*'Reeksen (N)'!S47*'Invoer gegevens (N)'!$C$18*'Reeksen (N)'!P47,0)</f>
        <v>0</v>
      </c>
      <c r="AU47" s="71">
        <f ca="1">-IF(C47=1,'Invoer gegevens (N)'!$C$10*'Invoer gegevens (N)'!$I$36*'Reeksen (N)'!H47,0)</f>
        <v>0</v>
      </c>
      <c r="AV47" s="71">
        <v>0</v>
      </c>
      <c r="AW47" s="71">
        <f t="shared" ca="1" si="7"/>
        <v>0</v>
      </c>
      <c r="AX47" s="71">
        <f ca="1">IF(E47&lt;'Invoer gegevens (N)'!$C$17+15,0,IF(E47&gt;'Invoer gegevens (N)'!$C$17+215,0,AW47))</f>
        <v>0</v>
      </c>
      <c r="AY47" s="71">
        <f ca="1">AX47/(1+'Invoer gegevens (N)'!$F$13)^($AZ47-('Invoer gegevens (N)'!$C$17-'Invoer gegevens (N)'!$C$16))/(1+'Invoer gegevens (N)'!$C$39)^('Invoer gegevens (N)'!$C$17-'Invoer gegevens (N)'!$C$16)</f>
        <v>0</v>
      </c>
      <c r="AZ47" s="68">
        <f ca="1">IF(E47-'Invoer gegevens (N)'!$C$17-14.5&lt;0,0,E47-'Invoer gegevens (N)'!$C$17-14.5)</f>
        <v>27.5</v>
      </c>
    </row>
    <row r="48" spans="2:52" x14ac:dyDescent="0.25">
      <c r="B48" s="70">
        <f t="shared" si="8"/>
        <v>44</v>
      </c>
      <c r="C48" s="67">
        <f ca="1">IF(E48-'Invoer gegevens (N)'!$C$17&lt;0,0,1)</f>
        <v>1</v>
      </c>
      <c r="D48" s="68">
        <f t="shared" si="9"/>
        <v>43.5</v>
      </c>
      <c r="E48" s="69">
        <f ca="1">IF('Invoer gegevens (N)'!$C$16="","",E47+1)</f>
        <v>2062</v>
      </c>
      <c r="F48" s="82">
        <f ca="1">IF('Invoer gegevens (N)'!$C$17=E48,'Invoer gegevens (N)'!$C$10,IF(C48=1,H47,0))</f>
        <v>0</v>
      </c>
      <c r="G48" s="83">
        <f ca="1">IF(C48&gt;=1,F48*'Reeksen (N)'!C48,0)</f>
        <v>0</v>
      </c>
      <c r="H48" s="84">
        <f t="shared" ca="1" si="3"/>
        <v>0</v>
      </c>
      <c r="I48" s="85">
        <f ca="1">IF('Invoer gegevens (N)'!$C$17=E48,'Invoer gegevens (N)'!$C$11,IF(C48=1,L47,0))</f>
        <v>0</v>
      </c>
      <c r="J48" s="86">
        <f ca="1">IF(C48&lt;1,0,IF('Reeksen (N)'!AK48&lt;='Reeksen (N)'!AE48,I48*'Reeksen (N)'!C48,0))</f>
        <v>0</v>
      </c>
      <c r="K48" s="86">
        <f ca="1">IF(C48&lt;1,0,IF('Reeksen (N)'!AK48&gt;'Reeksen (N)'!AE48,I48*'Reeksen (N)'!C48,0))</f>
        <v>0</v>
      </c>
      <c r="L48" s="86">
        <f t="shared" ca="1" si="4"/>
        <v>0</v>
      </c>
      <c r="M48" s="85">
        <f ca="1">IF('Invoer gegevens (N)'!$C$17=E48,'Invoer gegevens (N)'!$C$10-'Invoer gegevens (N)'!$C$11,IF(C48=1,P47,0))</f>
        <v>0</v>
      </c>
      <c r="N48" s="86">
        <f ca="1">IF(C48&lt;1,0,IF('Reeksen (N)'!AK48&lt;='Reeksen (N)'!AE48,M48*'Reeksen (N)'!C48,0))</f>
        <v>0</v>
      </c>
      <c r="O48" s="86">
        <f ca="1">IF(C48&lt;1,0,IF('Reeksen (N)'!AK48&gt;'Reeksen (N)'!AE48,M48*'Reeksen (N)'!C48,0))</f>
        <v>0</v>
      </c>
      <c r="P48" s="86">
        <f t="shared" ca="1" si="5"/>
        <v>0</v>
      </c>
      <c r="Q48" s="82">
        <f ca="1">IF('Invoer gegevens (N)'!$C$17=E48,I48,IF(C48=0,0,R47))</f>
        <v>0</v>
      </c>
      <c r="R48" s="84">
        <f t="shared" ca="1" si="0"/>
        <v>0</v>
      </c>
      <c r="S48" s="84">
        <f ca="1">IF('Invoer gegevens (N)'!$C$17=E48,M48,IF(C48=0,0,T47))</f>
        <v>0</v>
      </c>
      <c r="T48" s="84">
        <f t="shared" ca="1" si="1"/>
        <v>0</v>
      </c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8"/>
      <c r="AI48" s="71">
        <f ca="1">IF(C48=1,((F48+H48)/2*'Reeksen (N)'!AJ48*12)+(('Invoer gegevens (N)'!$C$10-(F48+H48)/2)*'Reeksen (N)'!AK48*12),0)</f>
        <v>0</v>
      </c>
      <c r="AJ48" s="71">
        <f ca="1">-AI48*'Invoer gegevens (N)'!$F$28</f>
        <v>0</v>
      </c>
      <c r="AK48" s="71">
        <f t="shared" ca="1" si="2"/>
        <v>0</v>
      </c>
      <c r="AL48" s="71">
        <f ca="1">IF(C48=1,(12*((F48+H48)/2)*'Reeksen (N)'!AL48)+(12*('Invoer gegevens (N)'!$C$10-(F48+H48)/2)*'Reeksen (N)'!AM48),0)</f>
        <v>0</v>
      </c>
      <c r="AM48" s="71">
        <f ca="1">-AL48*'Invoer gegevens (N)'!$F$31</f>
        <v>0</v>
      </c>
      <c r="AN48" s="71">
        <f t="shared" ca="1" si="6"/>
        <v>0</v>
      </c>
      <c r="AO48" s="71"/>
      <c r="AP48" s="71"/>
      <c r="AQ48" s="71">
        <f ca="1">-IF(C48=1,('Invoer gegevens (N)'!$C$10*'Invoer gegevens (N)'!$I$33)*'Reeksen (N)'!J48,0)*2</f>
        <v>0</v>
      </c>
      <c r="AR48" s="71">
        <f ca="1">-IF(C48=1,(G48*'Invoer gegevens (N)'!$I$34)*'Reeksen (N)'!J48,0)</f>
        <v>0</v>
      </c>
      <c r="AS48" s="71">
        <f ca="1">-IF(C48=1,'Invoer gegevens (N)'!$C$10*'Invoer gegevens (N)'!$I$35*'Reeksen (N)'!L48,0)</f>
        <v>0</v>
      </c>
      <c r="AT48" s="71">
        <f ca="1">-IF(C48=1,IF(E48='Invoer gegevens (N)'!$C$17,'Invoer gegevens (N)'!$C$11,Q48)*'Reeksen (N)'!S48*'Invoer gegevens (N)'!$C$18*'Reeksen (N)'!P48,0)</f>
        <v>0</v>
      </c>
      <c r="AU48" s="71">
        <f ca="1">-IF(C48=1,'Invoer gegevens (N)'!$C$10*'Invoer gegevens (N)'!$I$36*'Reeksen (N)'!H48,0)</f>
        <v>0</v>
      </c>
      <c r="AV48" s="71">
        <v>0</v>
      </c>
      <c r="AW48" s="71">
        <f t="shared" ca="1" si="7"/>
        <v>0</v>
      </c>
      <c r="AX48" s="71">
        <f ca="1">IF(E48&lt;'Invoer gegevens (N)'!$C$17+15,0,IF(E48&gt;'Invoer gegevens (N)'!$C$17+215,0,AW48))</f>
        <v>0</v>
      </c>
      <c r="AY48" s="71">
        <f ca="1">AX48/(1+'Invoer gegevens (N)'!$F$13)^($AZ48-('Invoer gegevens (N)'!$C$17-'Invoer gegevens (N)'!$C$16))/(1+'Invoer gegevens (N)'!$C$39)^('Invoer gegevens (N)'!$C$17-'Invoer gegevens (N)'!$C$16)</f>
        <v>0</v>
      </c>
      <c r="AZ48" s="68">
        <f ca="1">IF(E48-'Invoer gegevens (N)'!$C$17-14.5&lt;0,0,E48-'Invoer gegevens (N)'!$C$17-14.5)</f>
        <v>28.5</v>
      </c>
    </row>
    <row r="49" spans="2:52" x14ac:dyDescent="0.25">
      <c r="B49" s="70">
        <f t="shared" si="8"/>
        <v>45</v>
      </c>
      <c r="C49" s="67">
        <f ca="1">IF(E49-'Invoer gegevens (N)'!$C$17&lt;0,0,1)</f>
        <v>1</v>
      </c>
      <c r="D49" s="68">
        <f t="shared" si="9"/>
        <v>44.5</v>
      </c>
      <c r="E49" s="69">
        <f ca="1">IF('Invoer gegevens (N)'!$C$16="","",E48+1)</f>
        <v>2063</v>
      </c>
      <c r="F49" s="82">
        <f ca="1">IF('Invoer gegevens (N)'!$C$17=E49,'Invoer gegevens (N)'!$C$10,IF(C49=1,H48,0))</f>
        <v>0</v>
      </c>
      <c r="G49" s="83">
        <f ca="1">IF(C49&gt;=1,F49*'Reeksen (N)'!C49,0)</f>
        <v>0</v>
      </c>
      <c r="H49" s="84">
        <f t="shared" ca="1" si="3"/>
        <v>0</v>
      </c>
      <c r="I49" s="85">
        <f ca="1">IF('Invoer gegevens (N)'!$C$17=E49,'Invoer gegevens (N)'!$C$11,IF(C49=1,L48,0))</f>
        <v>0</v>
      </c>
      <c r="J49" s="86">
        <f ca="1">IF(C49&lt;1,0,IF('Reeksen (N)'!AK49&lt;='Reeksen (N)'!AE49,I49*'Reeksen (N)'!C49,0))</f>
        <v>0</v>
      </c>
      <c r="K49" s="86">
        <f ca="1">IF(C49&lt;1,0,IF('Reeksen (N)'!AK49&gt;'Reeksen (N)'!AE49,I49*'Reeksen (N)'!C49,0))</f>
        <v>0</v>
      </c>
      <c r="L49" s="86">
        <f t="shared" ca="1" si="4"/>
        <v>0</v>
      </c>
      <c r="M49" s="85">
        <f ca="1">IF('Invoer gegevens (N)'!$C$17=E49,'Invoer gegevens (N)'!$C$10-'Invoer gegevens (N)'!$C$11,IF(C49=1,P48,0))</f>
        <v>0</v>
      </c>
      <c r="N49" s="86">
        <f ca="1">IF(C49&lt;1,0,IF('Reeksen (N)'!AK49&lt;='Reeksen (N)'!AE49,M49*'Reeksen (N)'!C49,0))</f>
        <v>0</v>
      </c>
      <c r="O49" s="86">
        <f ca="1">IF(C49&lt;1,0,IF('Reeksen (N)'!AK49&gt;'Reeksen (N)'!AE49,M49*'Reeksen (N)'!C49,0))</f>
        <v>0</v>
      </c>
      <c r="P49" s="86">
        <f t="shared" ca="1" si="5"/>
        <v>0</v>
      </c>
      <c r="Q49" s="82">
        <f ca="1">IF('Invoer gegevens (N)'!$C$17=E49,I49,IF(C49=0,0,R48))</f>
        <v>0</v>
      </c>
      <c r="R49" s="84">
        <f t="shared" ca="1" si="0"/>
        <v>0</v>
      </c>
      <c r="S49" s="84">
        <f ca="1">IF('Invoer gegevens (N)'!$C$17=E49,M49,IF(C49=0,0,T48))</f>
        <v>0</v>
      </c>
      <c r="T49" s="84">
        <f t="shared" ca="1" si="1"/>
        <v>0</v>
      </c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8"/>
      <c r="AI49" s="71">
        <f ca="1">IF(C49=1,((F49+H49)/2*'Reeksen (N)'!AJ49*12)+(('Invoer gegevens (N)'!$C$10-(F49+H49)/2)*'Reeksen (N)'!AK49*12),0)</f>
        <v>0</v>
      </c>
      <c r="AJ49" s="71">
        <f ca="1">-AI49*'Invoer gegevens (N)'!$F$28</f>
        <v>0</v>
      </c>
      <c r="AK49" s="71">
        <f t="shared" ca="1" si="2"/>
        <v>0</v>
      </c>
      <c r="AL49" s="71">
        <f ca="1">IF(C49=1,(12*((F49+H49)/2)*'Reeksen (N)'!AL49)+(12*('Invoer gegevens (N)'!$C$10-(F49+H49)/2)*'Reeksen (N)'!AM49),0)</f>
        <v>0</v>
      </c>
      <c r="AM49" s="71">
        <f ca="1">-AL49*'Invoer gegevens (N)'!$F$31</f>
        <v>0</v>
      </c>
      <c r="AN49" s="71">
        <f t="shared" ca="1" si="6"/>
        <v>0</v>
      </c>
      <c r="AO49" s="71"/>
      <c r="AP49" s="71"/>
      <c r="AQ49" s="71">
        <f ca="1">-IF(C49=1,('Invoer gegevens (N)'!$C$10*'Invoer gegevens (N)'!$I$33)*'Reeksen (N)'!J49,0)*2</f>
        <v>0</v>
      </c>
      <c r="AR49" s="71">
        <f ca="1">-IF(C49=1,(G49*'Invoer gegevens (N)'!$I$34)*'Reeksen (N)'!J49,0)</f>
        <v>0</v>
      </c>
      <c r="AS49" s="71">
        <f ca="1">-IF(C49=1,'Invoer gegevens (N)'!$C$10*'Invoer gegevens (N)'!$I$35*'Reeksen (N)'!L49,0)</f>
        <v>0</v>
      </c>
      <c r="AT49" s="71">
        <f ca="1">-IF(C49=1,IF(E49='Invoer gegevens (N)'!$C$17,'Invoer gegevens (N)'!$C$11,Q49)*'Reeksen (N)'!S49*'Invoer gegevens (N)'!$C$18*'Reeksen (N)'!P49,0)</f>
        <v>0</v>
      </c>
      <c r="AU49" s="71">
        <f ca="1">-IF(C49=1,'Invoer gegevens (N)'!$C$10*'Invoer gegevens (N)'!$I$36*'Reeksen (N)'!H49,0)</f>
        <v>0</v>
      </c>
      <c r="AV49" s="71">
        <v>0</v>
      </c>
      <c r="AW49" s="71">
        <f t="shared" ca="1" si="7"/>
        <v>0</v>
      </c>
      <c r="AX49" s="71">
        <f ca="1">IF(E49&lt;'Invoer gegevens (N)'!$C$17+15,0,IF(E49&gt;'Invoer gegevens (N)'!$C$17+215,0,AW49))</f>
        <v>0</v>
      </c>
      <c r="AY49" s="71">
        <f ca="1">AX49/(1+'Invoer gegevens (N)'!$F$13)^($AZ49-('Invoer gegevens (N)'!$C$17-'Invoer gegevens (N)'!$C$16))/(1+'Invoer gegevens (N)'!$C$39)^('Invoer gegevens (N)'!$C$17-'Invoer gegevens (N)'!$C$16)</f>
        <v>0</v>
      </c>
      <c r="AZ49" s="68">
        <f ca="1">IF(E49-'Invoer gegevens (N)'!$C$17-14.5&lt;0,0,E49-'Invoer gegevens (N)'!$C$17-14.5)</f>
        <v>29.5</v>
      </c>
    </row>
    <row r="50" spans="2:52" x14ac:dyDescent="0.25">
      <c r="B50" s="70">
        <f t="shared" si="8"/>
        <v>46</v>
      </c>
      <c r="C50" s="67">
        <f ca="1">IF(E50-'Invoer gegevens (N)'!$C$17&lt;0,0,1)</f>
        <v>1</v>
      </c>
      <c r="D50" s="68">
        <f t="shared" si="9"/>
        <v>45.5</v>
      </c>
      <c r="E50" s="69">
        <f ca="1">IF('Invoer gegevens (N)'!$C$16="","",E49+1)</f>
        <v>2064</v>
      </c>
      <c r="F50" s="82">
        <f ca="1">IF('Invoer gegevens (N)'!$C$17=E50,'Invoer gegevens (N)'!$C$10,IF(C50=1,H49,0))</f>
        <v>0</v>
      </c>
      <c r="G50" s="83">
        <f ca="1">IF(C50&gt;=1,F50*'Reeksen (N)'!C50,0)</f>
        <v>0</v>
      </c>
      <c r="H50" s="84">
        <f t="shared" ca="1" si="3"/>
        <v>0</v>
      </c>
      <c r="I50" s="85">
        <f ca="1">IF('Invoer gegevens (N)'!$C$17=E50,'Invoer gegevens (N)'!$C$11,IF(C50=1,L49,0))</f>
        <v>0</v>
      </c>
      <c r="J50" s="86">
        <f ca="1">IF(C50&lt;1,0,IF('Reeksen (N)'!AK50&lt;='Reeksen (N)'!AE50,I50*'Reeksen (N)'!C50,0))</f>
        <v>0</v>
      </c>
      <c r="K50" s="86">
        <f ca="1">IF(C50&lt;1,0,IF('Reeksen (N)'!AK50&gt;'Reeksen (N)'!AE50,I50*'Reeksen (N)'!C50,0))</f>
        <v>0</v>
      </c>
      <c r="L50" s="86">
        <f t="shared" ca="1" si="4"/>
        <v>0</v>
      </c>
      <c r="M50" s="85">
        <f ca="1">IF('Invoer gegevens (N)'!$C$17=E50,'Invoer gegevens (N)'!$C$10-'Invoer gegevens (N)'!$C$11,IF(C50=1,P49,0))</f>
        <v>0</v>
      </c>
      <c r="N50" s="86">
        <f ca="1">IF(C50&lt;1,0,IF('Reeksen (N)'!AK50&lt;='Reeksen (N)'!AE50,M50*'Reeksen (N)'!C50,0))</f>
        <v>0</v>
      </c>
      <c r="O50" s="86">
        <f ca="1">IF(C50&lt;1,0,IF('Reeksen (N)'!AK50&gt;'Reeksen (N)'!AE50,M50*'Reeksen (N)'!C50,0))</f>
        <v>0</v>
      </c>
      <c r="P50" s="86">
        <f t="shared" ca="1" si="5"/>
        <v>0</v>
      </c>
      <c r="Q50" s="82">
        <f ca="1">IF('Invoer gegevens (N)'!$C$17=E50,I50,IF(C50=0,0,R49))</f>
        <v>0</v>
      </c>
      <c r="R50" s="84">
        <f t="shared" ca="1" si="0"/>
        <v>0</v>
      </c>
      <c r="S50" s="84">
        <f ca="1">IF('Invoer gegevens (N)'!$C$17=E50,M50,IF(C50=0,0,T49))</f>
        <v>0</v>
      </c>
      <c r="T50" s="84">
        <f t="shared" ca="1" si="1"/>
        <v>0</v>
      </c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8"/>
      <c r="AI50" s="71">
        <f ca="1">IF(C50=1,((F50+H50)/2*'Reeksen (N)'!AJ50*12)+(('Invoer gegevens (N)'!$C$10-(F50+H50)/2)*'Reeksen (N)'!AK50*12),0)</f>
        <v>0</v>
      </c>
      <c r="AJ50" s="71">
        <f ca="1">-AI50*'Invoer gegevens (N)'!$F$28</f>
        <v>0</v>
      </c>
      <c r="AK50" s="71">
        <f t="shared" ca="1" si="2"/>
        <v>0</v>
      </c>
      <c r="AL50" s="71">
        <f ca="1">IF(C50=1,(12*((F50+H50)/2)*'Reeksen (N)'!AL50)+(12*('Invoer gegevens (N)'!$C$10-(F50+H50)/2)*'Reeksen (N)'!AM50),0)</f>
        <v>0</v>
      </c>
      <c r="AM50" s="71">
        <f ca="1">-AL50*'Invoer gegevens (N)'!$F$31</f>
        <v>0</v>
      </c>
      <c r="AN50" s="71">
        <f t="shared" ca="1" si="6"/>
        <v>0</v>
      </c>
      <c r="AO50" s="71"/>
      <c r="AP50" s="71"/>
      <c r="AQ50" s="71">
        <f ca="1">-IF(C50=1,('Invoer gegevens (N)'!$C$10*'Invoer gegevens (N)'!$I$33)*'Reeksen (N)'!J50,0)*2</f>
        <v>0</v>
      </c>
      <c r="AR50" s="71">
        <f ca="1">-IF(C50=1,(G50*'Invoer gegevens (N)'!$I$34)*'Reeksen (N)'!J50,0)</f>
        <v>0</v>
      </c>
      <c r="AS50" s="71">
        <f ca="1">-IF(C50=1,'Invoer gegevens (N)'!$C$10*'Invoer gegevens (N)'!$I$35*'Reeksen (N)'!L50,0)</f>
        <v>0</v>
      </c>
      <c r="AT50" s="71">
        <f ca="1">-IF(C50=1,IF(E50='Invoer gegevens (N)'!$C$17,'Invoer gegevens (N)'!$C$11,Q50)*'Reeksen (N)'!S50*'Invoer gegevens (N)'!$C$18*'Reeksen (N)'!P50,0)</f>
        <v>0</v>
      </c>
      <c r="AU50" s="71">
        <f ca="1">-IF(C50=1,'Invoer gegevens (N)'!$C$10*'Invoer gegevens (N)'!$I$36*'Reeksen (N)'!H50,0)</f>
        <v>0</v>
      </c>
      <c r="AV50" s="71">
        <v>0</v>
      </c>
      <c r="AW50" s="71">
        <f t="shared" ca="1" si="7"/>
        <v>0</v>
      </c>
      <c r="AX50" s="71">
        <f ca="1">IF(E50&lt;'Invoer gegevens (N)'!$C$17+15,0,IF(E50&gt;'Invoer gegevens (N)'!$C$17+215,0,AW50))</f>
        <v>0</v>
      </c>
      <c r="AY50" s="71">
        <f ca="1">AX50/(1+'Invoer gegevens (N)'!$F$13)^($AZ50-('Invoer gegevens (N)'!$C$17-'Invoer gegevens (N)'!$C$16))/(1+'Invoer gegevens (N)'!$C$39)^('Invoer gegevens (N)'!$C$17-'Invoer gegevens (N)'!$C$16)</f>
        <v>0</v>
      </c>
      <c r="AZ50" s="68">
        <f ca="1">IF(E50-'Invoer gegevens (N)'!$C$17-14.5&lt;0,0,E50-'Invoer gegevens (N)'!$C$17-14.5)</f>
        <v>30.5</v>
      </c>
    </row>
    <row r="51" spans="2:52" x14ac:dyDescent="0.25">
      <c r="B51" s="70">
        <f t="shared" si="8"/>
        <v>47</v>
      </c>
      <c r="C51" s="67">
        <f ca="1">IF(E51-'Invoer gegevens (N)'!$C$17&lt;0,0,1)</f>
        <v>1</v>
      </c>
      <c r="D51" s="68">
        <f t="shared" si="9"/>
        <v>46.5</v>
      </c>
      <c r="E51" s="69">
        <f ca="1">IF('Invoer gegevens (N)'!$C$16="","",E50+1)</f>
        <v>2065</v>
      </c>
      <c r="F51" s="82">
        <f ca="1">IF('Invoer gegevens (N)'!$C$17=E51,'Invoer gegevens (N)'!$C$10,IF(C51=1,H50,0))</f>
        <v>0</v>
      </c>
      <c r="G51" s="83">
        <f ca="1">IF(C51&gt;=1,F51*'Reeksen (N)'!C51,0)</f>
        <v>0</v>
      </c>
      <c r="H51" s="84">
        <f t="shared" ca="1" si="3"/>
        <v>0</v>
      </c>
      <c r="I51" s="85">
        <f ca="1">IF('Invoer gegevens (N)'!$C$17=E51,'Invoer gegevens (N)'!$C$11,IF(C51=1,L50,0))</f>
        <v>0</v>
      </c>
      <c r="J51" s="86">
        <f ca="1">IF(C51&lt;1,0,IF('Reeksen (N)'!AK51&lt;='Reeksen (N)'!AE51,I51*'Reeksen (N)'!C51,0))</f>
        <v>0</v>
      </c>
      <c r="K51" s="86">
        <f ca="1">IF(C51&lt;1,0,IF('Reeksen (N)'!AK51&gt;'Reeksen (N)'!AE51,I51*'Reeksen (N)'!C51,0))</f>
        <v>0</v>
      </c>
      <c r="L51" s="86">
        <f t="shared" ca="1" si="4"/>
        <v>0</v>
      </c>
      <c r="M51" s="85">
        <f ca="1">IF('Invoer gegevens (N)'!$C$17=E51,'Invoer gegevens (N)'!$C$10-'Invoer gegevens (N)'!$C$11,IF(C51=1,P50,0))</f>
        <v>0</v>
      </c>
      <c r="N51" s="86">
        <f ca="1">IF(C51&lt;1,0,IF('Reeksen (N)'!AK51&lt;='Reeksen (N)'!AE51,M51*'Reeksen (N)'!C51,0))</f>
        <v>0</v>
      </c>
      <c r="O51" s="86">
        <f ca="1">IF(C51&lt;1,0,IF('Reeksen (N)'!AK51&gt;'Reeksen (N)'!AE51,M51*'Reeksen (N)'!C51,0))</f>
        <v>0</v>
      </c>
      <c r="P51" s="86">
        <f t="shared" ca="1" si="5"/>
        <v>0</v>
      </c>
      <c r="Q51" s="82">
        <f ca="1">IF('Invoer gegevens (N)'!$C$17=E51,I51,IF(C51=0,0,R50))</f>
        <v>0</v>
      </c>
      <c r="R51" s="84">
        <f t="shared" ca="1" si="0"/>
        <v>0</v>
      </c>
      <c r="S51" s="84">
        <f ca="1">IF('Invoer gegevens (N)'!$C$17=E51,M51,IF(C51=0,0,T50))</f>
        <v>0</v>
      </c>
      <c r="T51" s="84">
        <f t="shared" ca="1" si="1"/>
        <v>0</v>
      </c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8"/>
      <c r="AI51" s="71">
        <f ca="1">IF(C51=1,((F51+H51)/2*'Reeksen (N)'!AJ51*12)+(('Invoer gegevens (N)'!$C$10-(F51+H51)/2)*'Reeksen (N)'!AK51*12),0)</f>
        <v>0</v>
      </c>
      <c r="AJ51" s="71">
        <f ca="1">-AI51*'Invoer gegevens (N)'!$F$28</f>
        <v>0</v>
      </c>
      <c r="AK51" s="71">
        <f t="shared" ca="1" si="2"/>
        <v>0</v>
      </c>
      <c r="AL51" s="71">
        <f ca="1">IF(C51=1,(12*((F51+H51)/2)*'Reeksen (N)'!AL51)+(12*('Invoer gegevens (N)'!$C$10-(F51+H51)/2)*'Reeksen (N)'!AM51),0)</f>
        <v>0</v>
      </c>
      <c r="AM51" s="71">
        <f ca="1">-AL51*'Invoer gegevens (N)'!$F$31</f>
        <v>0</v>
      </c>
      <c r="AN51" s="71">
        <f t="shared" ca="1" si="6"/>
        <v>0</v>
      </c>
      <c r="AO51" s="71"/>
      <c r="AP51" s="71"/>
      <c r="AQ51" s="71">
        <f ca="1">-IF(C51=1,('Invoer gegevens (N)'!$C$10*'Invoer gegevens (N)'!$I$33)*'Reeksen (N)'!J51,0)*2</f>
        <v>0</v>
      </c>
      <c r="AR51" s="71">
        <f ca="1">-IF(C51=1,(G51*'Invoer gegevens (N)'!$I$34)*'Reeksen (N)'!J51,0)</f>
        <v>0</v>
      </c>
      <c r="AS51" s="71">
        <f ca="1">-IF(C51=1,'Invoer gegevens (N)'!$C$10*'Invoer gegevens (N)'!$I$35*'Reeksen (N)'!L51,0)</f>
        <v>0</v>
      </c>
      <c r="AT51" s="71">
        <f ca="1">-IF(C51=1,IF(E51='Invoer gegevens (N)'!$C$17,'Invoer gegevens (N)'!$C$11,Q51)*'Reeksen (N)'!S51*'Invoer gegevens (N)'!$C$18*'Reeksen (N)'!P51,0)</f>
        <v>0</v>
      </c>
      <c r="AU51" s="71">
        <f ca="1">-IF(C51=1,'Invoer gegevens (N)'!$C$10*'Invoer gegevens (N)'!$I$36*'Reeksen (N)'!H51,0)</f>
        <v>0</v>
      </c>
      <c r="AV51" s="71">
        <v>0</v>
      </c>
      <c r="AW51" s="71">
        <f t="shared" ca="1" si="7"/>
        <v>0</v>
      </c>
      <c r="AX51" s="71">
        <f ca="1">IF(E51&lt;'Invoer gegevens (N)'!$C$17+15,0,IF(E51&gt;'Invoer gegevens (N)'!$C$17+215,0,AW51))</f>
        <v>0</v>
      </c>
      <c r="AY51" s="71">
        <f ca="1">AX51/(1+'Invoer gegevens (N)'!$F$13)^($AZ51-('Invoer gegevens (N)'!$C$17-'Invoer gegevens (N)'!$C$16))/(1+'Invoer gegevens (N)'!$C$39)^('Invoer gegevens (N)'!$C$17-'Invoer gegevens (N)'!$C$16)</f>
        <v>0</v>
      </c>
      <c r="AZ51" s="68">
        <f ca="1">IF(E51-'Invoer gegevens (N)'!$C$17-14.5&lt;0,0,E51-'Invoer gegevens (N)'!$C$17-14.5)</f>
        <v>31.5</v>
      </c>
    </row>
    <row r="52" spans="2:52" x14ac:dyDescent="0.25">
      <c r="B52" s="70">
        <f t="shared" si="8"/>
        <v>48</v>
      </c>
      <c r="C52" s="67">
        <f ca="1">IF(E52-'Invoer gegevens (N)'!$C$17&lt;0,0,1)</f>
        <v>1</v>
      </c>
      <c r="D52" s="68">
        <f t="shared" si="9"/>
        <v>47.5</v>
      </c>
      <c r="E52" s="69">
        <f ca="1">IF('Invoer gegevens (N)'!$C$16="","",E51+1)</f>
        <v>2066</v>
      </c>
      <c r="F52" s="82">
        <f ca="1">IF('Invoer gegevens (N)'!$C$17=E52,'Invoer gegevens (N)'!$C$10,IF(C52=1,H51,0))</f>
        <v>0</v>
      </c>
      <c r="G52" s="83">
        <f ca="1">IF(C52&gt;=1,F52*'Reeksen (N)'!C52,0)</f>
        <v>0</v>
      </c>
      <c r="H52" s="84">
        <f t="shared" ca="1" si="3"/>
        <v>0</v>
      </c>
      <c r="I52" s="85">
        <f ca="1">IF('Invoer gegevens (N)'!$C$17=E52,'Invoer gegevens (N)'!$C$11,IF(C52=1,L51,0))</f>
        <v>0</v>
      </c>
      <c r="J52" s="86">
        <f ca="1">IF(C52&lt;1,0,IF('Reeksen (N)'!AK52&lt;='Reeksen (N)'!AE52,I52*'Reeksen (N)'!C52,0))</f>
        <v>0</v>
      </c>
      <c r="K52" s="86">
        <f ca="1">IF(C52&lt;1,0,IF('Reeksen (N)'!AK52&gt;'Reeksen (N)'!AE52,I52*'Reeksen (N)'!C52,0))</f>
        <v>0</v>
      </c>
      <c r="L52" s="86">
        <f t="shared" ca="1" si="4"/>
        <v>0</v>
      </c>
      <c r="M52" s="85">
        <f ca="1">IF('Invoer gegevens (N)'!$C$17=E52,'Invoer gegevens (N)'!$C$10-'Invoer gegevens (N)'!$C$11,IF(C52=1,P51,0))</f>
        <v>0</v>
      </c>
      <c r="N52" s="86">
        <f ca="1">IF(C52&lt;1,0,IF('Reeksen (N)'!AK52&lt;='Reeksen (N)'!AE52,M52*'Reeksen (N)'!C52,0))</f>
        <v>0</v>
      </c>
      <c r="O52" s="86">
        <f ca="1">IF(C52&lt;1,0,IF('Reeksen (N)'!AK52&gt;'Reeksen (N)'!AE52,M52*'Reeksen (N)'!C52,0))</f>
        <v>0</v>
      </c>
      <c r="P52" s="86">
        <f t="shared" ca="1" si="5"/>
        <v>0</v>
      </c>
      <c r="Q52" s="82">
        <f ca="1">IF('Invoer gegevens (N)'!$C$17=E52,I52,IF(C52=0,0,R51))</f>
        <v>0</v>
      </c>
      <c r="R52" s="84">
        <f t="shared" ca="1" si="0"/>
        <v>0</v>
      </c>
      <c r="S52" s="84">
        <f ca="1">IF('Invoer gegevens (N)'!$C$17=E52,M52,IF(C52=0,0,T51))</f>
        <v>0</v>
      </c>
      <c r="T52" s="84">
        <f t="shared" ca="1" si="1"/>
        <v>0</v>
      </c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8"/>
      <c r="AI52" s="71">
        <f ca="1">IF(C52=1,((F52+H52)/2*'Reeksen (N)'!AJ52*12)+(('Invoer gegevens (N)'!$C$10-(F52+H52)/2)*'Reeksen (N)'!AK52*12),0)</f>
        <v>0</v>
      </c>
      <c r="AJ52" s="71">
        <f ca="1">-AI52*'Invoer gegevens (N)'!$F$28</f>
        <v>0</v>
      </c>
      <c r="AK52" s="71">
        <f t="shared" ca="1" si="2"/>
        <v>0</v>
      </c>
      <c r="AL52" s="71">
        <f ca="1">IF(C52=1,(12*((F52+H52)/2)*'Reeksen (N)'!AL52)+(12*('Invoer gegevens (N)'!$C$10-(F52+H52)/2)*'Reeksen (N)'!AM52),0)</f>
        <v>0</v>
      </c>
      <c r="AM52" s="71">
        <f ca="1">-AL52*'Invoer gegevens (N)'!$F$31</f>
        <v>0</v>
      </c>
      <c r="AN52" s="71">
        <f t="shared" ca="1" si="6"/>
        <v>0</v>
      </c>
      <c r="AO52" s="71"/>
      <c r="AP52" s="71"/>
      <c r="AQ52" s="71">
        <f ca="1">-IF(C52=1,('Invoer gegevens (N)'!$C$10*'Invoer gegevens (N)'!$I$33)*'Reeksen (N)'!J52,0)*2</f>
        <v>0</v>
      </c>
      <c r="AR52" s="71">
        <f ca="1">-IF(C52=1,(G52*'Invoer gegevens (N)'!$I$34)*'Reeksen (N)'!J52,0)</f>
        <v>0</v>
      </c>
      <c r="AS52" s="71">
        <f ca="1">-IF(C52=1,'Invoer gegevens (N)'!$C$10*'Invoer gegevens (N)'!$I$35*'Reeksen (N)'!L52,0)</f>
        <v>0</v>
      </c>
      <c r="AT52" s="71">
        <f ca="1">-IF(C52=1,IF(E52='Invoer gegevens (N)'!$C$17,'Invoer gegevens (N)'!$C$11,Q52)*'Reeksen (N)'!S52*'Invoer gegevens (N)'!$C$18*'Reeksen (N)'!P52,0)</f>
        <v>0</v>
      </c>
      <c r="AU52" s="71">
        <f ca="1">-IF(C52=1,'Invoer gegevens (N)'!$C$10*'Invoer gegevens (N)'!$I$36*'Reeksen (N)'!H52,0)</f>
        <v>0</v>
      </c>
      <c r="AV52" s="71">
        <v>0</v>
      </c>
      <c r="AW52" s="71">
        <f t="shared" ca="1" si="7"/>
        <v>0</v>
      </c>
      <c r="AX52" s="71">
        <f ca="1">IF(E52&lt;'Invoer gegevens (N)'!$C$17+15,0,IF(E52&gt;'Invoer gegevens (N)'!$C$17+215,0,AW52))</f>
        <v>0</v>
      </c>
      <c r="AY52" s="71">
        <f ca="1">AX52/(1+'Invoer gegevens (N)'!$F$13)^($AZ52-('Invoer gegevens (N)'!$C$17-'Invoer gegevens (N)'!$C$16))/(1+'Invoer gegevens (N)'!$C$39)^('Invoer gegevens (N)'!$C$17-'Invoer gegevens (N)'!$C$16)</f>
        <v>0</v>
      </c>
      <c r="AZ52" s="68">
        <f ca="1">IF(E52-'Invoer gegevens (N)'!$C$17-14.5&lt;0,0,E52-'Invoer gegevens (N)'!$C$17-14.5)</f>
        <v>32.5</v>
      </c>
    </row>
    <row r="53" spans="2:52" x14ac:dyDescent="0.25">
      <c r="B53" s="70">
        <f t="shared" si="8"/>
        <v>49</v>
      </c>
      <c r="C53" s="67">
        <f ca="1">IF(E53-'Invoer gegevens (N)'!$C$17&lt;0,0,1)</f>
        <v>1</v>
      </c>
      <c r="D53" s="68">
        <f t="shared" si="9"/>
        <v>48.5</v>
      </c>
      <c r="E53" s="69">
        <f ca="1">IF('Invoer gegevens (N)'!$C$16="","",E52+1)</f>
        <v>2067</v>
      </c>
      <c r="F53" s="82">
        <f ca="1">IF('Invoer gegevens (N)'!$C$17=E53,'Invoer gegevens (N)'!$C$10,IF(C53=1,H52,0))</f>
        <v>0</v>
      </c>
      <c r="G53" s="83">
        <f ca="1">IF(C53&gt;=1,F53*'Reeksen (N)'!C53,0)</f>
        <v>0</v>
      </c>
      <c r="H53" s="84">
        <f t="shared" ca="1" si="3"/>
        <v>0</v>
      </c>
      <c r="I53" s="85">
        <f ca="1">IF('Invoer gegevens (N)'!$C$17=E53,'Invoer gegevens (N)'!$C$11,IF(C53=1,L52,0))</f>
        <v>0</v>
      </c>
      <c r="J53" s="86">
        <f ca="1">IF(C53&lt;1,0,IF('Reeksen (N)'!AK53&lt;='Reeksen (N)'!AE53,I53*'Reeksen (N)'!C53,0))</f>
        <v>0</v>
      </c>
      <c r="K53" s="86">
        <f ca="1">IF(C53&lt;1,0,IF('Reeksen (N)'!AK53&gt;'Reeksen (N)'!AE53,I53*'Reeksen (N)'!C53,0))</f>
        <v>0</v>
      </c>
      <c r="L53" s="86">
        <f t="shared" ca="1" si="4"/>
        <v>0</v>
      </c>
      <c r="M53" s="85">
        <f ca="1">IF('Invoer gegevens (N)'!$C$17=E53,'Invoer gegevens (N)'!$C$10-'Invoer gegevens (N)'!$C$11,IF(C53=1,P52,0))</f>
        <v>0</v>
      </c>
      <c r="N53" s="86">
        <f ca="1">IF(C53&lt;1,0,IF('Reeksen (N)'!AK53&lt;='Reeksen (N)'!AE53,M53*'Reeksen (N)'!C53,0))</f>
        <v>0</v>
      </c>
      <c r="O53" s="86">
        <f ca="1">IF(C53&lt;1,0,IF('Reeksen (N)'!AK53&gt;'Reeksen (N)'!AE53,M53*'Reeksen (N)'!C53,0))</f>
        <v>0</v>
      </c>
      <c r="P53" s="86">
        <f t="shared" ca="1" si="5"/>
        <v>0</v>
      </c>
      <c r="Q53" s="82">
        <f ca="1">IF('Invoer gegevens (N)'!$C$17=E53,I53,IF(C53=0,0,R52))</f>
        <v>0</v>
      </c>
      <c r="R53" s="84">
        <f t="shared" ca="1" si="0"/>
        <v>0</v>
      </c>
      <c r="S53" s="84">
        <f ca="1">IF('Invoer gegevens (N)'!$C$17=E53,M53,IF(C53=0,0,T52))</f>
        <v>0</v>
      </c>
      <c r="T53" s="84">
        <f t="shared" ca="1" si="1"/>
        <v>0</v>
      </c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8"/>
      <c r="AI53" s="71">
        <f ca="1">IF(C53=1,((F53+H53)/2*'Reeksen (N)'!AJ53*12)+(('Invoer gegevens (N)'!$C$10-(F53+H53)/2)*'Reeksen (N)'!AK53*12),0)</f>
        <v>0</v>
      </c>
      <c r="AJ53" s="71">
        <f ca="1">-AI53*'Invoer gegevens (N)'!$F$28</f>
        <v>0</v>
      </c>
      <c r="AK53" s="71">
        <f t="shared" ca="1" si="2"/>
        <v>0</v>
      </c>
      <c r="AL53" s="71">
        <f ca="1">IF(C53=1,(12*((F53+H53)/2)*'Reeksen (N)'!AL53)+(12*('Invoer gegevens (N)'!$C$10-(F53+H53)/2)*'Reeksen (N)'!AM53),0)</f>
        <v>0</v>
      </c>
      <c r="AM53" s="71">
        <f ca="1">-AL53*'Invoer gegevens (N)'!$F$31</f>
        <v>0</v>
      </c>
      <c r="AN53" s="71">
        <f t="shared" ca="1" si="6"/>
        <v>0</v>
      </c>
      <c r="AO53" s="71"/>
      <c r="AP53" s="71"/>
      <c r="AQ53" s="71">
        <f ca="1">-IF(C53=1,('Invoer gegevens (N)'!$C$10*'Invoer gegevens (N)'!$I$33)*'Reeksen (N)'!J53,0)*2</f>
        <v>0</v>
      </c>
      <c r="AR53" s="71">
        <f ca="1">-IF(C53=1,(G53*'Invoer gegevens (N)'!$I$34)*'Reeksen (N)'!J53,0)</f>
        <v>0</v>
      </c>
      <c r="AS53" s="71">
        <f ca="1">-IF(C53=1,'Invoer gegevens (N)'!$C$10*'Invoer gegevens (N)'!$I$35*'Reeksen (N)'!L53,0)</f>
        <v>0</v>
      </c>
      <c r="AT53" s="71">
        <f ca="1">-IF(C53=1,IF(E53='Invoer gegevens (N)'!$C$17,'Invoer gegevens (N)'!$C$11,Q53)*'Reeksen (N)'!S53*'Invoer gegevens (N)'!$C$18*'Reeksen (N)'!P53,0)</f>
        <v>0</v>
      </c>
      <c r="AU53" s="71">
        <f ca="1">-IF(C53=1,'Invoer gegevens (N)'!$C$10*'Invoer gegevens (N)'!$I$36*'Reeksen (N)'!H53,0)</f>
        <v>0</v>
      </c>
      <c r="AV53" s="71">
        <v>0</v>
      </c>
      <c r="AW53" s="71">
        <f t="shared" ca="1" si="7"/>
        <v>0</v>
      </c>
      <c r="AX53" s="71">
        <f ca="1">IF(E53&lt;'Invoer gegevens (N)'!$C$17+15,0,IF(E53&gt;'Invoer gegevens (N)'!$C$17+215,0,AW53))</f>
        <v>0</v>
      </c>
      <c r="AY53" s="71">
        <f ca="1">AX53/(1+'Invoer gegevens (N)'!$F$13)^($AZ53-('Invoer gegevens (N)'!$C$17-'Invoer gegevens (N)'!$C$16))/(1+'Invoer gegevens (N)'!$C$39)^('Invoer gegevens (N)'!$C$17-'Invoer gegevens (N)'!$C$16)</f>
        <v>0</v>
      </c>
      <c r="AZ53" s="68">
        <f ca="1">IF(E53-'Invoer gegevens (N)'!$C$17-14.5&lt;0,0,E53-'Invoer gegevens (N)'!$C$17-14.5)</f>
        <v>33.5</v>
      </c>
    </row>
    <row r="54" spans="2:52" x14ac:dyDescent="0.25">
      <c r="B54" s="70">
        <f t="shared" si="8"/>
        <v>50</v>
      </c>
      <c r="C54" s="67">
        <f ca="1">IF(E54-'Invoer gegevens (N)'!$C$17&lt;0,0,1)</f>
        <v>1</v>
      </c>
      <c r="D54" s="68">
        <f t="shared" si="9"/>
        <v>49.5</v>
      </c>
      <c r="E54" s="69">
        <f ca="1">IF('Invoer gegevens (N)'!$C$16="","",E53+1)</f>
        <v>2068</v>
      </c>
      <c r="F54" s="82">
        <f ca="1">IF('Invoer gegevens (N)'!$C$17=E54,'Invoer gegevens (N)'!$C$10,IF(C54=1,H53,0))</f>
        <v>0</v>
      </c>
      <c r="G54" s="83">
        <f ca="1">IF(C54&gt;=1,F54*'Reeksen (N)'!C54,0)</f>
        <v>0</v>
      </c>
      <c r="H54" s="84">
        <f t="shared" ca="1" si="3"/>
        <v>0</v>
      </c>
      <c r="I54" s="85">
        <f ca="1">IF('Invoer gegevens (N)'!$C$17=E54,'Invoer gegevens (N)'!$C$11,IF(C54=1,L53,0))</f>
        <v>0</v>
      </c>
      <c r="J54" s="86">
        <f ca="1">IF(C54&lt;1,0,IF('Reeksen (N)'!AK54&lt;='Reeksen (N)'!AE54,I54*'Reeksen (N)'!C54,0))</f>
        <v>0</v>
      </c>
      <c r="K54" s="86">
        <f ca="1">IF(C54&lt;1,0,IF('Reeksen (N)'!AK54&gt;'Reeksen (N)'!AE54,I54*'Reeksen (N)'!C54,0))</f>
        <v>0</v>
      </c>
      <c r="L54" s="86">
        <f t="shared" ca="1" si="4"/>
        <v>0</v>
      </c>
      <c r="M54" s="85">
        <f ca="1">IF('Invoer gegevens (N)'!$C$17=E54,'Invoer gegevens (N)'!$C$10-'Invoer gegevens (N)'!$C$11,IF(C54=1,P53,0))</f>
        <v>0</v>
      </c>
      <c r="N54" s="86">
        <f ca="1">IF(C54&lt;1,0,IF('Reeksen (N)'!AK54&lt;='Reeksen (N)'!AE54,M54*'Reeksen (N)'!C54,0))</f>
        <v>0</v>
      </c>
      <c r="O54" s="86">
        <f ca="1">IF(C54&lt;1,0,IF('Reeksen (N)'!AK54&gt;'Reeksen (N)'!AE54,M54*'Reeksen (N)'!C54,0))</f>
        <v>0</v>
      </c>
      <c r="P54" s="86">
        <f t="shared" ca="1" si="5"/>
        <v>0</v>
      </c>
      <c r="Q54" s="82">
        <f ca="1">IF('Invoer gegevens (N)'!$C$17=E54,I54,IF(C54=0,0,R53))</f>
        <v>0</v>
      </c>
      <c r="R54" s="84">
        <f t="shared" ca="1" si="0"/>
        <v>0</v>
      </c>
      <c r="S54" s="84">
        <f ca="1">IF('Invoer gegevens (N)'!$C$17=E54,M54,IF(C54=0,0,T53))</f>
        <v>0</v>
      </c>
      <c r="T54" s="84">
        <f t="shared" ca="1" si="1"/>
        <v>0</v>
      </c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8"/>
      <c r="AI54" s="71">
        <f ca="1">IF(C54=1,((F54+H54)/2*'Reeksen (N)'!AJ54*12)+(('Invoer gegevens (N)'!$C$10-(F54+H54)/2)*'Reeksen (N)'!AK54*12),0)</f>
        <v>0</v>
      </c>
      <c r="AJ54" s="71">
        <f ca="1">-AI54*'Invoer gegevens (N)'!$F$28</f>
        <v>0</v>
      </c>
      <c r="AK54" s="71">
        <f t="shared" ca="1" si="2"/>
        <v>0</v>
      </c>
      <c r="AL54" s="71">
        <f ca="1">IF(C54=1,(12*((F54+H54)/2)*'Reeksen (N)'!AL54)+(12*('Invoer gegevens (N)'!$C$10-(F54+H54)/2)*'Reeksen (N)'!AM54),0)</f>
        <v>0</v>
      </c>
      <c r="AM54" s="71">
        <f ca="1">-AL54*'Invoer gegevens (N)'!$F$31</f>
        <v>0</v>
      </c>
      <c r="AN54" s="71">
        <f t="shared" ca="1" si="6"/>
        <v>0</v>
      </c>
      <c r="AO54" s="71"/>
      <c r="AP54" s="71"/>
      <c r="AQ54" s="71">
        <f ca="1">-IF(C54=1,('Invoer gegevens (N)'!$C$10*'Invoer gegevens (N)'!$I$33)*'Reeksen (N)'!J54,0)*2</f>
        <v>0</v>
      </c>
      <c r="AR54" s="71">
        <f ca="1">-IF(C54=1,(G54*'Invoer gegevens (N)'!$I$34)*'Reeksen (N)'!J54,0)</f>
        <v>0</v>
      </c>
      <c r="AS54" s="71">
        <f ca="1">-IF(C54=1,'Invoer gegevens (N)'!$C$10*'Invoer gegevens (N)'!$I$35*'Reeksen (N)'!L54,0)</f>
        <v>0</v>
      </c>
      <c r="AT54" s="71">
        <f ca="1">-IF(C54=1,IF(E54='Invoer gegevens (N)'!$C$17,'Invoer gegevens (N)'!$C$11,Q54)*'Reeksen (N)'!S54*'Invoer gegevens (N)'!$C$18*'Reeksen (N)'!P54,0)</f>
        <v>0</v>
      </c>
      <c r="AU54" s="71">
        <f ca="1">-IF(C54=1,'Invoer gegevens (N)'!$C$10*'Invoer gegevens (N)'!$I$36*'Reeksen (N)'!H54,0)</f>
        <v>0</v>
      </c>
      <c r="AV54" s="71">
        <v>0</v>
      </c>
      <c r="AW54" s="71">
        <f t="shared" ca="1" si="7"/>
        <v>0</v>
      </c>
      <c r="AX54" s="71">
        <f ca="1">IF(E54&lt;'Invoer gegevens (N)'!$C$17+15,0,IF(E54&gt;'Invoer gegevens (N)'!$C$17+215,0,AW54))</f>
        <v>0</v>
      </c>
      <c r="AY54" s="71">
        <f ca="1">AX54/(1+'Invoer gegevens (N)'!$F$13)^($AZ54-('Invoer gegevens (N)'!$C$17-'Invoer gegevens (N)'!$C$16))/(1+'Invoer gegevens (N)'!$C$39)^('Invoer gegevens (N)'!$C$17-'Invoer gegevens (N)'!$C$16)</f>
        <v>0</v>
      </c>
      <c r="AZ54" s="68">
        <f ca="1">IF(E54-'Invoer gegevens (N)'!$C$17-14.5&lt;0,0,E54-'Invoer gegevens (N)'!$C$17-14.5)</f>
        <v>34.5</v>
      </c>
    </row>
    <row r="55" spans="2:52" x14ac:dyDescent="0.25">
      <c r="B55" s="70">
        <f t="shared" si="8"/>
        <v>51</v>
      </c>
      <c r="C55" s="67">
        <f ca="1">IF(E55-'Invoer gegevens (N)'!$C$17&lt;0,0,1)</f>
        <v>1</v>
      </c>
      <c r="D55" s="68">
        <f t="shared" si="9"/>
        <v>50.5</v>
      </c>
      <c r="E55" s="69">
        <f ca="1">IF('Invoer gegevens (N)'!$C$16="","",E54+1)</f>
        <v>2069</v>
      </c>
      <c r="F55" s="82">
        <f ca="1">IF('Invoer gegevens (N)'!$C$17=E55,'Invoer gegevens (N)'!$C$10,IF(C55=1,H54,0))</f>
        <v>0</v>
      </c>
      <c r="G55" s="83">
        <f ca="1">IF(C55&gt;=1,F55*'Reeksen (N)'!C55,0)</f>
        <v>0</v>
      </c>
      <c r="H55" s="84">
        <f t="shared" ca="1" si="3"/>
        <v>0</v>
      </c>
      <c r="I55" s="85">
        <f ca="1">IF('Invoer gegevens (N)'!$C$17=E55,'Invoer gegevens (N)'!$C$11,IF(C55=1,L54,0))</f>
        <v>0</v>
      </c>
      <c r="J55" s="86">
        <f ca="1">IF(C55&lt;1,0,IF('Reeksen (N)'!AK55&lt;='Reeksen (N)'!AE55,I55*'Reeksen (N)'!C55,0))</f>
        <v>0</v>
      </c>
      <c r="K55" s="86">
        <f ca="1">IF(C55&lt;1,0,IF('Reeksen (N)'!AK55&gt;'Reeksen (N)'!AE55,I55*'Reeksen (N)'!C55,0))</f>
        <v>0</v>
      </c>
      <c r="L55" s="86">
        <f t="shared" ca="1" si="4"/>
        <v>0</v>
      </c>
      <c r="M55" s="85">
        <f ca="1">IF('Invoer gegevens (N)'!$C$17=E55,'Invoer gegevens (N)'!$C$10-'Invoer gegevens (N)'!$C$11,IF(C55=1,P54,0))</f>
        <v>0</v>
      </c>
      <c r="N55" s="86">
        <f ca="1">IF(C55&lt;1,0,IF('Reeksen (N)'!AK55&lt;='Reeksen (N)'!AE55,M55*'Reeksen (N)'!C55,0))</f>
        <v>0</v>
      </c>
      <c r="O55" s="86">
        <f ca="1">IF(C55&lt;1,0,IF('Reeksen (N)'!AK55&gt;'Reeksen (N)'!AE55,M55*'Reeksen (N)'!C55,0))</f>
        <v>0</v>
      </c>
      <c r="P55" s="86">
        <f t="shared" ca="1" si="5"/>
        <v>0</v>
      </c>
      <c r="Q55" s="82">
        <f ca="1">IF('Invoer gegevens (N)'!$C$17=E55,I55,IF(C55=0,0,R54))</f>
        <v>0</v>
      </c>
      <c r="R55" s="84">
        <f t="shared" ca="1" si="0"/>
        <v>0</v>
      </c>
      <c r="S55" s="84">
        <f ca="1">IF('Invoer gegevens (N)'!$C$17=E55,M55,IF(C55=0,0,T54))</f>
        <v>0</v>
      </c>
      <c r="T55" s="84">
        <f t="shared" ca="1" si="1"/>
        <v>0</v>
      </c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8"/>
      <c r="AI55" s="71">
        <f ca="1">IF(C55=1,((F55+H55)/2*'Reeksen (N)'!AJ55*12)+(('Invoer gegevens (N)'!$C$10-(F55+H55)/2)*'Reeksen (N)'!AK55*12),0)</f>
        <v>0</v>
      </c>
      <c r="AJ55" s="71">
        <f ca="1">-AI55*'Invoer gegevens (N)'!$F$28</f>
        <v>0</v>
      </c>
      <c r="AK55" s="71">
        <f t="shared" ca="1" si="2"/>
        <v>0</v>
      </c>
      <c r="AL55" s="71">
        <f ca="1">IF(C55=1,(12*((F55+H55)/2)*'Reeksen (N)'!AL55)+(12*('Invoer gegevens (N)'!$C$10-(F55+H55)/2)*'Reeksen (N)'!AM55),0)</f>
        <v>0</v>
      </c>
      <c r="AM55" s="71">
        <f ca="1">-AL55*'Invoer gegevens (N)'!$F$31</f>
        <v>0</v>
      </c>
      <c r="AN55" s="71">
        <f t="shared" ca="1" si="6"/>
        <v>0</v>
      </c>
      <c r="AO55" s="71"/>
      <c r="AP55" s="71"/>
      <c r="AQ55" s="71">
        <f ca="1">-IF(C55=1,('Invoer gegevens (N)'!$C$10*'Invoer gegevens (N)'!$I$33)*'Reeksen (N)'!J55,0)*2</f>
        <v>0</v>
      </c>
      <c r="AR55" s="71">
        <f ca="1">-IF(C55=1,(G55*'Invoer gegevens (N)'!$I$34)*'Reeksen (N)'!J55,0)</f>
        <v>0</v>
      </c>
      <c r="AS55" s="71">
        <f ca="1">-IF(C55=1,'Invoer gegevens (N)'!$C$10*'Invoer gegevens (N)'!$I$35*'Reeksen (N)'!L55,0)</f>
        <v>0</v>
      </c>
      <c r="AT55" s="71">
        <f ca="1">-IF(C55=1,IF(E55='Invoer gegevens (N)'!$C$17,'Invoer gegevens (N)'!$C$11,Q55)*'Reeksen (N)'!S55*'Invoer gegevens (N)'!$C$18*'Reeksen (N)'!P55,0)</f>
        <v>0</v>
      </c>
      <c r="AU55" s="71">
        <f ca="1">-IF(C55=1,'Invoer gegevens (N)'!$C$10*'Invoer gegevens (N)'!$I$36*'Reeksen (N)'!H55,0)</f>
        <v>0</v>
      </c>
      <c r="AV55" s="71">
        <v>0</v>
      </c>
      <c r="AW55" s="71">
        <f t="shared" ca="1" si="7"/>
        <v>0</v>
      </c>
      <c r="AX55" s="71">
        <f ca="1">IF(E55&lt;'Invoer gegevens (N)'!$C$17+15,0,IF(E55&gt;'Invoer gegevens (N)'!$C$17+215,0,AW55))</f>
        <v>0</v>
      </c>
      <c r="AY55" s="71">
        <f ca="1">AX55/(1+'Invoer gegevens (N)'!$F$13)^($AZ55-('Invoer gegevens (N)'!$C$17-'Invoer gegevens (N)'!$C$16))/(1+'Invoer gegevens (N)'!$C$39)^('Invoer gegevens (N)'!$C$17-'Invoer gegevens (N)'!$C$16)</f>
        <v>0</v>
      </c>
      <c r="AZ55" s="68">
        <f ca="1">IF(E55-'Invoer gegevens (N)'!$C$17-14.5&lt;0,0,E55-'Invoer gegevens (N)'!$C$17-14.5)</f>
        <v>35.5</v>
      </c>
    </row>
    <row r="56" spans="2:52" x14ac:dyDescent="0.25">
      <c r="B56" s="70">
        <f t="shared" si="8"/>
        <v>52</v>
      </c>
      <c r="C56" s="67">
        <f ca="1">IF(E56-'Invoer gegevens (N)'!$C$17&lt;0,0,1)</f>
        <v>1</v>
      </c>
      <c r="D56" s="68">
        <f t="shared" si="9"/>
        <v>51.5</v>
      </c>
      <c r="E56" s="69">
        <f ca="1">IF('Invoer gegevens (N)'!$C$16="","",E55+1)</f>
        <v>2070</v>
      </c>
      <c r="F56" s="82">
        <f ca="1">IF('Invoer gegevens (N)'!$C$17=E56,'Invoer gegevens (N)'!$C$10,IF(C56=1,H55,0))</f>
        <v>0</v>
      </c>
      <c r="G56" s="83">
        <f ca="1">IF(C56&gt;=1,F56*'Reeksen (N)'!C56,0)</f>
        <v>0</v>
      </c>
      <c r="H56" s="84">
        <f t="shared" ca="1" si="3"/>
        <v>0</v>
      </c>
      <c r="I56" s="85">
        <f ca="1">IF('Invoer gegevens (N)'!$C$17=E56,'Invoer gegevens (N)'!$C$11,IF(C56=1,L55,0))</f>
        <v>0</v>
      </c>
      <c r="J56" s="86">
        <f ca="1">IF(C56&lt;1,0,IF('Reeksen (N)'!AK56&lt;='Reeksen (N)'!AE56,I56*'Reeksen (N)'!C56,0))</f>
        <v>0</v>
      </c>
      <c r="K56" s="86">
        <f ca="1">IF(C56&lt;1,0,IF('Reeksen (N)'!AK56&gt;'Reeksen (N)'!AE56,I56*'Reeksen (N)'!C56,0))</f>
        <v>0</v>
      </c>
      <c r="L56" s="86">
        <f t="shared" ca="1" si="4"/>
        <v>0</v>
      </c>
      <c r="M56" s="85">
        <f ca="1">IF('Invoer gegevens (N)'!$C$17=E56,'Invoer gegevens (N)'!$C$10-'Invoer gegevens (N)'!$C$11,IF(C56=1,P55,0))</f>
        <v>0</v>
      </c>
      <c r="N56" s="86">
        <f ca="1">IF(C56&lt;1,0,IF('Reeksen (N)'!AK56&lt;='Reeksen (N)'!AE56,M56*'Reeksen (N)'!C56,0))</f>
        <v>0</v>
      </c>
      <c r="O56" s="86">
        <f ca="1">IF(C56&lt;1,0,IF('Reeksen (N)'!AK56&gt;'Reeksen (N)'!AE56,M56*'Reeksen (N)'!C56,0))</f>
        <v>0</v>
      </c>
      <c r="P56" s="86">
        <f t="shared" ca="1" si="5"/>
        <v>0</v>
      </c>
      <c r="Q56" s="82">
        <f ca="1">IF('Invoer gegevens (N)'!$C$17=E56,I56,IF(C56=0,0,R55))</f>
        <v>0</v>
      </c>
      <c r="R56" s="84">
        <f t="shared" ca="1" si="0"/>
        <v>0</v>
      </c>
      <c r="S56" s="84">
        <f ca="1">IF('Invoer gegevens (N)'!$C$17=E56,M56,IF(C56=0,0,T55))</f>
        <v>0</v>
      </c>
      <c r="T56" s="84">
        <f t="shared" ca="1" si="1"/>
        <v>0</v>
      </c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8"/>
      <c r="AI56" s="71">
        <f ca="1">IF(C56=1,((F56+H56)/2*'Reeksen (N)'!AJ56*12)+(('Invoer gegevens (N)'!$C$10-(F56+H56)/2)*'Reeksen (N)'!AK56*12),0)</f>
        <v>0</v>
      </c>
      <c r="AJ56" s="71">
        <f ca="1">-AI56*'Invoer gegevens (N)'!$F$28</f>
        <v>0</v>
      </c>
      <c r="AK56" s="71">
        <f t="shared" ca="1" si="2"/>
        <v>0</v>
      </c>
      <c r="AL56" s="71">
        <f ca="1">IF(C56=1,(12*((F56+H56)/2)*'Reeksen (N)'!AL56)+(12*('Invoer gegevens (N)'!$C$10-(F56+H56)/2)*'Reeksen (N)'!AM56),0)</f>
        <v>0</v>
      </c>
      <c r="AM56" s="71">
        <f ca="1">-AL56*'Invoer gegevens (N)'!$F$31</f>
        <v>0</v>
      </c>
      <c r="AN56" s="71">
        <f t="shared" ca="1" si="6"/>
        <v>0</v>
      </c>
      <c r="AO56" s="71"/>
      <c r="AP56" s="71"/>
      <c r="AQ56" s="71">
        <f ca="1">-IF(C56=1,('Invoer gegevens (N)'!$C$10*'Invoer gegevens (N)'!$I$33)*'Reeksen (N)'!J56,0)*2</f>
        <v>0</v>
      </c>
      <c r="AR56" s="71">
        <f ca="1">-IF(C56=1,(G56*'Invoer gegevens (N)'!$I$34)*'Reeksen (N)'!J56,0)</f>
        <v>0</v>
      </c>
      <c r="AS56" s="71">
        <f ca="1">-IF(C56=1,'Invoer gegevens (N)'!$C$10*'Invoer gegevens (N)'!$I$35*'Reeksen (N)'!L56,0)</f>
        <v>0</v>
      </c>
      <c r="AT56" s="71">
        <f ca="1">-IF(C56=1,IF(E56='Invoer gegevens (N)'!$C$17,'Invoer gegevens (N)'!$C$11,Q56)*'Reeksen (N)'!S56*'Invoer gegevens (N)'!$C$18*'Reeksen (N)'!P56,0)</f>
        <v>0</v>
      </c>
      <c r="AU56" s="71">
        <f ca="1">-IF(C56=1,'Invoer gegevens (N)'!$C$10*'Invoer gegevens (N)'!$I$36*'Reeksen (N)'!H56,0)</f>
        <v>0</v>
      </c>
      <c r="AV56" s="71">
        <v>0</v>
      </c>
      <c r="AW56" s="71">
        <f t="shared" ca="1" si="7"/>
        <v>0</v>
      </c>
      <c r="AX56" s="71">
        <f ca="1">IF(E56&lt;'Invoer gegevens (N)'!$C$17+15,0,IF(E56&gt;'Invoer gegevens (N)'!$C$17+215,0,AW56))</f>
        <v>0</v>
      </c>
      <c r="AY56" s="71">
        <f ca="1">AX56/(1+'Invoer gegevens (N)'!$F$13)^($AZ56-('Invoer gegevens (N)'!$C$17-'Invoer gegevens (N)'!$C$16))/(1+'Invoer gegevens (N)'!$C$39)^('Invoer gegevens (N)'!$C$17-'Invoer gegevens (N)'!$C$16)</f>
        <v>0</v>
      </c>
      <c r="AZ56" s="68">
        <f ca="1">IF(E56-'Invoer gegevens (N)'!$C$17-14.5&lt;0,0,E56-'Invoer gegevens (N)'!$C$17-14.5)</f>
        <v>36.5</v>
      </c>
    </row>
    <row r="57" spans="2:52" x14ac:dyDescent="0.25">
      <c r="B57" s="70">
        <f t="shared" si="8"/>
        <v>53</v>
      </c>
      <c r="C57" s="67">
        <f ca="1">IF(E57-'Invoer gegevens (N)'!$C$17&lt;0,0,1)</f>
        <v>1</v>
      </c>
      <c r="D57" s="68">
        <f t="shared" si="9"/>
        <v>52.5</v>
      </c>
      <c r="E57" s="69">
        <f ca="1">IF('Invoer gegevens (N)'!$C$16="","",E56+1)</f>
        <v>2071</v>
      </c>
      <c r="F57" s="82">
        <f ca="1">IF('Invoer gegevens (N)'!$C$17=E57,'Invoer gegevens (N)'!$C$10,IF(C57=1,H56,0))</f>
        <v>0</v>
      </c>
      <c r="G57" s="83">
        <f ca="1">IF(C57&gt;=1,F57*'Reeksen (N)'!C57,0)</f>
        <v>0</v>
      </c>
      <c r="H57" s="84">
        <f t="shared" ca="1" si="3"/>
        <v>0</v>
      </c>
      <c r="I57" s="85">
        <f ca="1">IF('Invoer gegevens (N)'!$C$17=E57,'Invoer gegevens (N)'!$C$11,IF(C57=1,L56,0))</f>
        <v>0</v>
      </c>
      <c r="J57" s="86">
        <f ca="1">IF(C57&lt;1,0,IF('Reeksen (N)'!AK57&lt;='Reeksen (N)'!AE57,I57*'Reeksen (N)'!C57,0))</f>
        <v>0</v>
      </c>
      <c r="K57" s="86">
        <f ca="1">IF(C57&lt;1,0,IF('Reeksen (N)'!AK57&gt;'Reeksen (N)'!AE57,I57*'Reeksen (N)'!C57,0))</f>
        <v>0</v>
      </c>
      <c r="L57" s="86">
        <f t="shared" ca="1" si="4"/>
        <v>0</v>
      </c>
      <c r="M57" s="85">
        <f ca="1">IF('Invoer gegevens (N)'!$C$17=E57,'Invoer gegevens (N)'!$C$10-'Invoer gegevens (N)'!$C$11,IF(C57=1,P56,0))</f>
        <v>0</v>
      </c>
      <c r="N57" s="86">
        <f ca="1">IF(C57&lt;1,0,IF('Reeksen (N)'!AK57&lt;='Reeksen (N)'!AE57,M57*'Reeksen (N)'!C57,0))</f>
        <v>0</v>
      </c>
      <c r="O57" s="86">
        <f ca="1">IF(C57&lt;1,0,IF('Reeksen (N)'!AK57&gt;'Reeksen (N)'!AE57,M57*'Reeksen (N)'!C57,0))</f>
        <v>0</v>
      </c>
      <c r="P57" s="86">
        <f t="shared" ca="1" si="5"/>
        <v>0</v>
      </c>
      <c r="Q57" s="82">
        <f ca="1">IF('Invoer gegevens (N)'!$C$17=E57,I57,IF(C57=0,0,R56))</f>
        <v>0</v>
      </c>
      <c r="R57" s="84">
        <f t="shared" ca="1" si="0"/>
        <v>0</v>
      </c>
      <c r="S57" s="84">
        <f ca="1">IF('Invoer gegevens (N)'!$C$17=E57,M57,IF(C57=0,0,T56))</f>
        <v>0</v>
      </c>
      <c r="T57" s="84">
        <f t="shared" ca="1" si="1"/>
        <v>0</v>
      </c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8"/>
      <c r="AI57" s="71">
        <f ca="1">IF(C57=1,((F57+H57)/2*'Reeksen (N)'!AJ57*12)+(('Invoer gegevens (N)'!$C$10-(F57+H57)/2)*'Reeksen (N)'!AK57*12),0)</f>
        <v>0</v>
      </c>
      <c r="AJ57" s="71">
        <f ca="1">-AI57*'Invoer gegevens (N)'!$F$28</f>
        <v>0</v>
      </c>
      <c r="AK57" s="71">
        <f t="shared" ca="1" si="2"/>
        <v>0</v>
      </c>
      <c r="AL57" s="71">
        <f ca="1">IF(C57=1,(12*((F57+H57)/2)*'Reeksen (N)'!AL57)+(12*('Invoer gegevens (N)'!$C$10-(F57+H57)/2)*'Reeksen (N)'!AM57),0)</f>
        <v>0</v>
      </c>
      <c r="AM57" s="71">
        <f ca="1">-AL57*'Invoer gegevens (N)'!$F$31</f>
        <v>0</v>
      </c>
      <c r="AN57" s="71">
        <f t="shared" ca="1" si="6"/>
        <v>0</v>
      </c>
      <c r="AO57" s="71"/>
      <c r="AP57" s="71"/>
      <c r="AQ57" s="71">
        <f ca="1">-IF(C57=1,('Invoer gegevens (N)'!$C$10*'Invoer gegevens (N)'!$I$33)*'Reeksen (N)'!J57,0)*2</f>
        <v>0</v>
      </c>
      <c r="AR57" s="71">
        <f ca="1">-IF(C57=1,(G57*'Invoer gegevens (N)'!$I$34)*'Reeksen (N)'!J57,0)</f>
        <v>0</v>
      </c>
      <c r="AS57" s="71">
        <f ca="1">-IF(C57=1,'Invoer gegevens (N)'!$C$10*'Invoer gegevens (N)'!$I$35*'Reeksen (N)'!L57,0)</f>
        <v>0</v>
      </c>
      <c r="AT57" s="71">
        <f ca="1">-IF(C57=1,IF(E57='Invoer gegevens (N)'!$C$17,'Invoer gegevens (N)'!$C$11,Q57)*'Reeksen (N)'!S57*'Invoer gegevens (N)'!$C$18*'Reeksen (N)'!P57,0)</f>
        <v>0</v>
      </c>
      <c r="AU57" s="71">
        <f ca="1">-IF(C57=1,'Invoer gegevens (N)'!$C$10*'Invoer gegevens (N)'!$I$36*'Reeksen (N)'!H57,0)</f>
        <v>0</v>
      </c>
      <c r="AV57" s="71">
        <v>0</v>
      </c>
      <c r="AW57" s="71">
        <f t="shared" ca="1" si="7"/>
        <v>0</v>
      </c>
      <c r="AX57" s="71">
        <f ca="1">IF(E57&lt;'Invoer gegevens (N)'!$C$17+15,0,IF(E57&gt;'Invoer gegevens (N)'!$C$17+215,0,AW57))</f>
        <v>0</v>
      </c>
      <c r="AY57" s="71">
        <f ca="1">AX57/(1+'Invoer gegevens (N)'!$F$13)^($AZ57-('Invoer gegevens (N)'!$C$17-'Invoer gegevens (N)'!$C$16))/(1+'Invoer gegevens (N)'!$C$39)^('Invoer gegevens (N)'!$C$17-'Invoer gegevens (N)'!$C$16)</f>
        <v>0</v>
      </c>
      <c r="AZ57" s="68">
        <f ca="1">IF(E57-'Invoer gegevens (N)'!$C$17-14.5&lt;0,0,E57-'Invoer gegevens (N)'!$C$17-14.5)</f>
        <v>37.5</v>
      </c>
    </row>
    <row r="58" spans="2:52" x14ac:dyDescent="0.25">
      <c r="B58" s="70">
        <f t="shared" si="8"/>
        <v>54</v>
      </c>
      <c r="C58" s="67">
        <f ca="1">IF(E58-'Invoer gegevens (N)'!$C$17&lt;0,0,1)</f>
        <v>1</v>
      </c>
      <c r="D58" s="68">
        <f t="shared" si="9"/>
        <v>53.5</v>
      </c>
      <c r="E58" s="69">
        <f ca="1">IF('Invoer gegevens (N)'!$C$16="","",E57+1)</f>
        <v>2072</v>
      </c>
      <c r="F58" s="82">
        <f ca="1">IF('Invoer gegevens (N)'!$C$17=E58,'Invoer gegevens (N)'!$C$10,IF(C58=1,H57,0))</f>
        <v>0</v>
      </c>
      <c r="G58" s="83">
        <f ca="1">IF(C58&gt;=1,F58*'Reeksen (N)'!C58,0)</f>
        <v>0</v>
      </c>
      <c r="H58" s="84">
        <f t="shared" ca="1" si="3"/>
        <v>0</v>
      </c>
      <c r="I58" s="85">
        <f ca="1">IF('Invoer gegevens (N)'!$C$17=E58,'Invoer gegevens (N)'!$C$11,IF(C58=1,L57,0))</f>
        <v>0</v>
      </c>
      <c r="J58" s="86">
        <f ca="1">IF(C58&lt;1,0,IF('Reeksen (N)'!AK58&lt;='Reeksen (N)'!AE58,I58*'Reeksen (N)'!C58,0))</f>
        <v>0</v>
      </c>
      <c r="K58" s="86">
        <f ca="1">IF(C58&lt;1,0,IF('Reeksen (N)'!AK58&gt;'Reeksen (N)'!AE58,I58*'Reeksen (N)'!C58,0))</f>
        <v>0</v>
      </c>
      <c r="L58" s="86">
        <f t="shared" ca="1" si="4"/>
        <v>0</v>
      </c>
      <c r="M58" s="85">
        <f ca="1">IF('Invoer gegevens (N)'!$C$17=E58,'Invoer gegevens (N)'!$C$10-'Invoer gegevens (N)'!$C$11,IF(C58=1,P57,0))</f>
        <v>0</v>
      </c>
      <c r="N58" s="86">
        <f ca="1">IF(C58&lt;1,0,IF('Reeksen (N)'!AK58&lt;='Reeksen (N)'!AE58,M58*'Reeksen (N)'!C58,0))</f>
        <v>0</v>
      </c>
      <c r="O58" s="86">
        <f ca="1">IF(C58&lt;1,0,IF('Reeksen (N)'!AK58&gt;'Reeksen (N)'!AE58,M58*'Reeksen (N)'!C58,0))</f>
        <v>0</v>
      </c>
      <c r="P58" s="86">
        <f t="shared" ca="1" si="5"/>
        <v>0</v>
      </c>
      <c r="Q58" s="82">
        <f ca="1">IF('Invoer gegevens (N)'!$C$17=E58,I58,IF(C58=0,0,R57))</f>
        <v>0</v>
      </c>
      <c r="R58" s="84">
        <f t="shared" ca="1" si="0"/>
        <v>0</v>
      </c>
      <c r="S58" s="84">
        <f ca="1">IF('Invoer gegevens (N)'!$C$17=E58,M58,IF(C58=0,0,T57))</f>
        <v>0</v>
      </c>
      <c r="T58" s="84">
        <f t="shared" ca="1" si="1"/>
        <v>0</v>
      </c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8"/>
      <c r="AI58" s="71">
        <f ca="1">IF(C58=1,((F58+H58)/2*'Reeksen (N)'!AJ58*12)+(('Invoer gegevens (N)'!$C$10-(F58+H58)/2)*'Reeksen (N)'!AK58*12),0)</f>
        <v>0</v>
      </c>
      <c r="AJ58" s="71">
        <f ca="1">-AI58*'Invoer gegevens (N)'!$F$28</f>
        <v>0</v>
      </c>
      <c r="AK58" s="71">
        <f t="shared" ca="1" si="2"/>
        <v>0</v>
      </c>
      <c r="AL58" s="71">
        <f ca="1">IF(C58=1,(12*((F58+H58)/2)*'Reeksen (N)'!AL58)+(12*('Invoer gegevens (N)'!$C$10-(F58+H58)/2)*'Reeksen (N)'!AM58),0)</f>
        <v>0</v>
      </c>
      <c r="AM58" s="71">
        <f ca="1">-AL58*'Invoer gegevens (N)'!$F$31</f>
        <v>0</v>
      </c>
      <c r="AN58" s="71">
        <f t="shared" ca="1" si="6"/>
        <v>0</v>
      </c>
      <c r="AO58" s="71"/>
      <c r="AP58" s="71"/>
      <c r="AQ58" s="71">
        <f ca="1">-IF(C58=1,('Invoer gegevens (N)'!$C$10*'Invoer gegevens (N)'!$I$33)*'Reeksen (N)'!J58,0)*2</f>
        <v>0</v>
      </c>
      <c r="AR58" s="71">
        <f ca="1">-IF(C58=1,(G58*'Invoer gegevens (N)'!$I$34)*'Reeksen (N)'!J58,0)</f>
        <v>0</v>
      </c>
      <c r="AS58" s="71">
        <f ca="1">-IF(C58=1,'Invoer gegevens (N)'!$C$10*'Invoer gegevens (N)'!$I$35*'Reeksen (N)'!L58,0)</f>
        <v>0</v>
      </c>
      <c r="AT58" s="71">
        <f ca="1">-IF(C58=1,IF(E58='Invoer gegevens (N)'!$C$17,'Invoer gegevens (N)'!$C$11,Q58)*'Reeksen (N)'!S58*'Invoer gegevens (N)'!$C$18*'Reeksen (N)'!P58,0)</f>
        <v>0</v>
      </c>
      <c r="AU58" s="71">
        <f ca="1">-IF(C58=1,'Invoer gegevens (N)'!$C$10*'Invoer gegevens (N)'!$I$36*'Reeksen (N)'!H58,0)</f>
        <v>0</v>
      </c>
      <c r="AV58" s="71">
        <v>0</v>
      </c>
      <c r="AW58" s="71">
        <f t="shared" ca="1" si="7"/>
        <v>0</v>
      </c>
      <c r="AX58" s="71">
        <f ca="1">IF(E58&lt;'Invoer gegevens (N)'!$C$17+15,0,IF(E58&gt;'Invoer gegevens (N)'!$C$17+215,0,AW58))</f>
        <v>0</v>
      </c>
      <c r="AY58" s="71">
        <f ca="1">AX58/(1+'Invoer gegevens (N)'!$F$13)^($AZ58-('Invoer gegevens (N)'!$C$17-'Invoer gegevens (N)'!$C$16))/(1+'Invoer gegevens (N)'!$C$39)^('Invoer gegevens (N)'!$C$17-'Invoer gegevens (N)'!$C$16)</f>
        <v>0</v>
      </c>
      <c r="AZ58" s="68">
        <f ca="1">IF(E58-'Invoer gegevens (N)'!$C$17-14.5&lt;0,0,E58-'Invoer gegevens (N)'!$C$17-14.5)</f>
        <v>38.5</v>
      </c>
    </row>
    <row r="59" spans="2:52" x14ac:dyDescent="0.25">
      <c r="B59" s="70">
        <f t="shared" si="8"/>
        <v>55</v>
      </c>
      <c r="C59" s="67">
        <f ca="1">IF(E59-'Invoer gegevens (N)'!$C$17&lt;0,0,1)</f>
        <v>1</v>
      </c>
      <c r="D59" s="68">
        <f t="shared" si="9"/>
        <v>54.5</v>
      </c>
      <c r="E59" s="69">
        <f ca="1">IF('Invoer gegevens (N)'!$C$16="","",E58+1)</f>
        <v>2073</v>
      </c>
      <c r="F59" s="82">
        <f ca="1">IF('Invoer gegevens (N)'!$C$17=E59,'Invoer gegevens (N)'!$C$10,IF(C59=1,H58,0))</f>
        <v>0</v>
      </c>
      <c r="G59" s="83">
        <f ca="1">IF(C59&gt;=1,F59*'Reeksen (N)'!C59,0)</f>
        <v>0</v>
      </c>
      <c r="H59" s="84">
        <f t="shared" ca="1" si="3"/>
        <v>0</v>
      </c>
      <c r="I59" s="85">
        <f ca="1">IF('Invoer gegevens (N)'!$C$17=E59,'Invoer gegevens (N)'!$C$11,IF(C59=1,L58,0))</f>
        <v>0</v>
      </c>
      <c r="J59" s="86">
        <f ca="1">IF(C59&lt;1,0,IF('Reeksen (N)'!AK59&lt;='Reeksen (N)'!AE59,I59*'Reeksen (N)'!C59,0))</f>
        <v>0</v>
      </c>
      <c r="K59" s="86">
        <f ca="1">IF(C59&lt;1,0,IF('Reeksen (N)'!AK59&gt;'Reeksen (N)'!AE59,I59*'Reeksen (N)'!C59,0))</f>
        <v>0</v>
      </c>
      <c r="L59" s="86">
        <f t="shared" ca="1" si="4"/>
        <v>0</v>
      </c>
      <c r="M59" s="85">
        <f ca="1">IF('Invoer gegevens (N)'!$C$17=E59,'Invoer gegevens (N)'!$C$10-'Invoer gegevens (N)'!$C$11,IF(C59=1,P58,0))</f>
        <v>0</v>
      </c>
      <c r="N59" s="86">
        <f ca="1">IF(C59&lt;1,0,IF('Reeksen (N)'!AK59&lt;='Reeksen (N)'!AE59,M59*'Reeksen (N)'!C59,0))</f>
        <v>0</v>
      </c>
      <c r="O59" s="86">
        <f ca="1">IF(C59&lt;1,0,IF('Reeksen (N)'!AK59&gt;'Reeksen (N)'!AE59,M59*'Reeksen (N)'!C59,0))</f>
        <v>0</v>
      </c>
      <c r="P59" s="86">
        <f t="shared" ca="1" si="5"/>
        <v>0</v>
      </c>
      <c r="Q59" s="82">
        <f ca="1">IF('Invoer gegevens (N)'!$C$17=E59,I59,IF(C59=0,0,R58))</f>
        <v>0</v>
      </c>
      <c r="R59" s="84">
        <f t="shared" ca="1" si="0"/>
        <v>0</v>
      </c>
      <c r="S59" s="84">
        <f ca="1">IF('Invoer gegevens (N)'!$C$17=E59,M59,IF(C59=0,0,T58))</f>
        <v>0</v>
      </c>
      <c r="T59" s="84">
        <f t="shared" ca="1" si="1"/>
        <v>0</v>
      </c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8"/>
      <c r="AI59" s="71">
        <f ca="1">IF(C59=1,((F59+H59)/2*'Reeksen (N)'!AJ59*12)+(('Invoer gegevens (N)'!$C$10-(F59+H59)/2)*'Reeksen (N)'!AK59*12),0)</f>
        <v>0</v>
      </c>
      <c r="AJ59" s="71">
        <f ca="1">-AI59*'Invoer gegevens (N)'!$F$28</f>
        <v>0</v>
      </c>
      <c r="AK59" s="71">
        <f t="shared" ca="1" si="2"/>
        <v>0</v>
      </c>
      <c r="AL59" s="71">
        <f ca="1">IF(C59=1,(12*((F59+H59)/2)*'Reeksen (N)'!AL59)+(12*('Invoer gegevens (N)'!$C$10-(F59+H59)/2)*'Reeksen (N)'!AM59),0)</f>
        <v>0</v>
      </c>
      <c r="AM59" s="71">
        <f ca="1">-AL59*'Invoer gegevens (N)'!$F$31</f>
        <v>0</v>
      </c>
      <c r="AN59" s="71">
        <f t="shared" ca="1" si="6"/>
        <v>0</v>
      </c>
      <c r="AO59" s="71"/>
      <c r="AP59" s="71"/>
      <c r="AQ59" s="71">
        <f ca="1">-IF(C59=1,('Invoer gegevens (N)'!$C$10*'Invoer gegevens (N)'!$I$33)*'Reeksen (N)'!J59,0)*2</f>
        <v>0</v>
      </c>
      <c r="AR59" s="71">
        <f ca="1">-IF(C59=1,(G59*'Invoer gegevens (N)'!$I$34)*'Reeksen (N)'!J59,0)</f>
        <v>0</v>
      </c>
      <c r="AS59" s="71">
        <f ca="1">-IF(C59=1,'Invoer gegevens (N)'!$C$10*'Invoer gegevens (N)'!$I$35*'Reeksen (N)'!L59,0)</f>
        <v>0</v>
      </c>
      <c r="AT59" s="71">
        <f ca="1">-IF(C59=1,IF(E59='Invoer gegevens (N)'!$C$17,'Invoer gegevens (N)'!$C$11,Q59)*'Reeksen (N)'!S59*'Invoer gegevens (N)'!$C$18*'Reeksen (N)'!P59,0)</f>
        <v>0</v>
      </c>
      <c r="AU59" s="71">
        <f ca="1">-IF(C59=1,'Invoer gegevens (N)'!$C$10*'Invoer gegevens (N)'!$I$36*'Reeksen (N)'!H59,0)</f>
        <v>0</v>
      </c>
      <c r="AV59" s="71">
        <v>0</v>
      </c>
      <c r="AW59" s="71">
        <f t="shared" ca="1" si="7"/>
        <v>0</v>
      </c>
      <c r="AX59" s="71">
        <f ca="1">IF(E59&lt;'Invoer gegevens (N)'!$C$17+15,0,IF(E59&gt;'Invoer gegevens (N)'!$C$17+215,0,AW59))</f>
        <v>0</v>
      </c>
      <c r="AY59" s="71">
        <f ca="1">AX59/(1+'Invoer gegevens (N)'!$F$13)^($AZ59-('Invoer gegevens (N)'!$C$17-'Invoer gegevens (N)'!$C$16))/(1+'Invoer gegevens (N)'!$C$39)^('Invoer gegevens (N)'!$C$17-'Invoer gegevens (N)'!$C$16)</f>
        <v>0</v>
      </c>
      <c r="AZ59" s="68">
        <f ca="1">IF(E59-'Invoer gegevens (N)'!$C$17-14.5&lt;0,0,E59-'Invoer gegevens (N)'!$C$17-14.5)</f>
        <v>39.5</v>
      </c>
    </row>
    <row r="60" spans="2:52" x14ac:dyDescent="0.25">
      <c r="B60" s="70">
        <f t="shared" si="8"/>
        <v>56</v>
      </c>
      <c r="C60" s="67">
        <f ca="1">IF(E60-'Invoer gegevens (N)'!$C$17&lt;0,0,1)</f>
        <v>1</v>
      </c>
      <c r="D60" s="68">
        <f t="shared" si="9"/>
        <v>55.5</v>
      </c>
      <c r="E60" s="69">
        <f ca="1">IF('Invoer gegevens (N)'!$C$16="","",E59+1)</f>
        <v>2074</v>
      </c>
      <c r="F60" s="82">
        <f ca="1">IF('Invoer gegevens (N)'!$C$17=E60,'Invoer gegevens (N)'!$C$10,IF(C60=1,H59,0))</f>
        <v>0</v>
      </c>
      <c r="G60" s="83">
        <f ca="1">IF(C60&gt;=1,F60*'Reeksen (N)'!C60,0)</f>
        <v>0</v>
      </c>
      <c r="H60" s="84">
        <f t="shared" ca="1" si="3"/>
        <v>0</v>
      </c>
      <c r="I60" s="85">
        <f ca="1">IF('Invoer gegevens (N)'!$C$17=E60,'Invoer gegevens (N)'!$C$11,IF(C60=1,L59,0))</f>
        <v>0</v>
      </c>
      <c r="J60" s="86">
        <f ca="1">IF(C60&lt;1,0,IF('Reeksen (N)'!AK60&lt;='Reeksen (N)'!AE60,I60*'Reeksen (N)'!C60,0))</f>
        <v>0</v>
      </c>
      <c r="K60" s="86">
        <f ca="1">IF(C60&lt;1,0,IF('Reeksen (N)'!AK60&gt;'Reeksen (N)'!AE60,I60*'Reeksen (N)'!C60,0))</f>
        <v>0</v>
      </c>
      <c r="L60" s="86">
        <f t="shared" ca="1" si="4"/>
        <v>0</v>
      </c>
      <c r="M60" s="85">
        <f ca="1">IF('Invoer gegevens (N)'!$C$17=E60,'Invoer gegevens (N)'!$C$10-'Invoer gegevens (N)'!$C$11,IF(C60=1,P59,0))</f>
        <v>0</v>
      </c>
      <c r="N60" s="86">
        <f ca="1">IF(C60&lt;1,0,IF('Reeksen (N)'!AK60&lt;='Reeksen (N)'!AE60,M60*'Reeksen (N)'!C60,0))</f>
        <v>0</v>
      </c>
      <c r="O60" s="86">
        <f ca="1">IF(C60&lt;1,0,IF('Reeksen (N)'!AK60&gt;'Reeksen (N)'!AE60,M60*'Reeksen (N)'!C60,0))</f>
        <v>0</v>
      </c>
      <c r="P60" s="86">
        <f t="shared" ca="1" si="5"/>
        <v>0</v>
      </c>
      <c r="Q60" s="82">
        <f ca="1">IF('Invoer gegevens (N)'!$C$17=E60,I60,IF(C60=0,0,R59))</f>
        <v>0</v>
      </c>
      <c r="R60" s="84">
        <f t="shared" ca="1" si="0"/>
        <v>0</v>
      </c>
      <c r="S60" s="84">
        <f ca="1">IF('Invoer gegevens (N)'!$C$17=E60,M60,IF(C60=0,0,T59))</f>
        <v>0</v>
      </c>
      <c r="T60" s="84">
        <f t="shared" ca="1" si="1"/>
        <v>0</v>
      </c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8"/>
      <c r="AI60" s="71">
        <f ca="1">IF(C60=1,((F60+H60)/2*'Reeksen (N)'!AJ60*12)+(('Invoer gegevens (N)'!$C$10-(F60+H60)/2)*'Reeksen (N)'!AK60*12),0)</f>
        <v>0</v>
      </c>
      <c r="AJ60" s="71">
        <f ca="1">-AI60*'Invoer gegevens (N)'!$F$28</f>
        <v>0</v>
      </c>
      <c r="AK60" s="71">
        <f t="shared" ca="1" si="2"/>
        <v>0</v>
      </c>
      <c r="AL60" s="71">
        <f ca="1">IF(C60=1,(12*((F60+H60)/2)*'Reeksen (N)'!AL60)+(12*('Invoer gegevens (N)'!$C$10-(F60+H60)/2)*'Reeksen (N)'!AM60),0)</f>
        <v>0</v>
      </c>
      <c r="AM60" s="71">
        <f ca="1">-AL60*'Invoer gegevens (N)'!$F$31</f>
        <v>0</v>
      </c>
      <c r="AN60" s="71">
        <f t="shared" ca="1" si="6"/>
        <v>0</v>
      </c>
      <c r="AO60" s="71"/>
      <c r="AP60" s="71"/>
      <c r="AQ60" s="71">
        <f ca="1">-IF(C60=1,('Invoer gegevens (N)'!$C$10*'Invoer gegevens (N)'!$I$33)*'Reeksen (N)'!J60,0)*2</f>
        <v>0</v>
      </c>
      <c r="AR60" s="71">
        <f ca="1">-IF(C60=1,(G60*'Invoer gegevens (N)'!$I$34)*'Reeksen (N)'!J60,0)</f>
        <v>0</v>
      </c>
      <c r="AS60" s="71">
        <f ca="1">-IF(C60=1,'Invoer gegevens (N)'!$C$10*'Invoer gegevens (N)'!$I$35*'Reeksen (N)'!L60,0)</f>
        <v>0</v>
      </c>
      <c r="AT60" s="71">
        <f ca="1">-IF(C60=1,IF(E60='Invoer gegevens (N)'!$C$17,'Invoer gegevens (N)'!$C$11,Q60)*'Reeksen (N)'!S60*'Invoer gegevens (N)'!$C$18*'Reeksen (N)'!P60,0)</f>
        <v>0</v>
      </c>
      <c r="AU60" s="71">
        <f ca="1">-IF(C60=1,'Invoer gegevens (N)'!$C$10*'Invoer gegevens (N)'!$I$36*'Reeksen (N)'!H60,0)</f>
        <v>0</v>
      </c>
      <c r="AV60" s="71">
        <v>0</v>
      </c>
      <c r="AW60" s="71">
        <f t="shared" ca="1" si="7"/>
        <v>0</v>
      </c>
      <c r="AX60" s="71">
        <f ca="1">IF(E60&lt;'Invoer gegevens (N)'!$C$17+15,0,IF(E60&gt;'Invoer gegevens (N)'!$C$17+215,0,AW60))</f>
        <v>0</v>
      </c>
      <c r="AY60" s="71">
        <f ca="1">AX60/(1+'Invoer gegevens (N)'!$F$13)^($AZ60-('Invoer gegevens (N)'!$C$17-'Invoer gegevens (N)'!$C$16))/(1+'Invoer gegevens (N)'!$C$39)^('Invoer gegevens (N)'!$C$17-'Invoer gegevens (N)'!$C$16)</f>
        <v>0</v>
      </c>
      <c r="AZ60" s="68">
        <f ca="1">IF(E60-'Invoer gegevens (N)'!$C$17-14.5&lt;0,0,E60-'Invoer gegevens (N)'!$C$17-14.5)</f>
        <v>40.5</v>
      </c>
    </row>
    <row r="61" spans="2:52" x14ac:dyDescent="0.25">
      <c r="B61" s="70">
        <f t="shared" si="8"/>
        <v>57</v>
      </c>
      <c r="C61" s="67">
        <f ca="1">IF(E61-'Invoer gegevens (N)'!$C$17&lt;0,0,1)</f>
        <v>1</v>
      </c>
      <c r="D61" s="68">
        <f t="shared" si="9"/>
        <v>56.5</v>
      </c>
      <c r="E61" s="69">
        <f ca="1">IF('Invoer gegevens (N)'!$C$16="","",E60+1)</f>
        <v>2075</v>
      </c>
      <c r="F61" s="82">
        <f ca="1">IF('Invoer gegevens (N)'!$C$17=E61,'Invoer gegevens (N)'!$C$10,IF(C61=1,H60,0))</f>
        <v>0</v>
      </c>
      <c r="G61" s="83">
        <f ca="1">IF(C61&gt;=1,F61*'Reeksen (N)'!C61,0)</f>
        <v>0</v>
      </c>
      <c r="H61" s="84">
        <f t="shared" ca="1" si="3"/>
        <v>0</v>
      </c>
      <c r="I61" s="85">
        <f ca="1">IF('Invoer gegevens (N)'!$C$17=E61,'Invoer gegevens (N)'!$C$11,IF(C61=1,L60,0))</f>
        <v>0</v>
      </c>
      <c r="J61" s="86">
        <f ca="1">IF(C61&lt;1,0,IF('Reeksen (N)'!AK61&lt;='Reeksen (N)'!AE61,I61*'Reeksen (N)'!C61,0))</f>
        <v>0</v>
      </c>
      <c r="K61" s="86">
        <f ca="1">IF(C61&lt;1,0,IF('Reeksen (N)'!AK61&gt;'Reeksen (N)'!AE61,I61*'Reeksen (N)'!C61,0))</f>
        <v>0</v>
      </c>
      <c r="L61" s="86">
        <f t="shared" ca="1" si="4"/>
        <v>0</v>
      </c>
      <c r="M61" s="85">
        <f ca="1">IF('Invoer gegevens (N)'!$C$17=E61,'Invoer gegevens (N)'!$C$10-'Invoer gegevens (N)'!$C$11,IF(C61=1,P60,0))</f>
        <v>0</v>
      </c>
      <c r="N61" s="86">
        <f ca="1">IF(C61&lt;1,0,IF('Reeksen (N)'!AK61&lt;='Reeksen (N)'!AE61,M61*'Reeksen (N)'!C61,0))</f>
        <v>0</v>
      </c>
      <c r="O61" s="86">
        <f ca="1">IF(C61&lt;1,0,IF('Reeksen (N)'!AK61&gt;'Reeksen (N)'!AE61,M61*'Reeksen (N)'!C61,0))</f>
        <v>0</v>
      </c>
      <c r="P61" s="86">
        <f t="shared" ca="1" si="5"/>
        <v>0</v>
      </c>
      <c r="Q61" s="82">
        <f ca="1">IF('Invoer gegevens (N)'!$C$17=E61,I61,IF(C61=0,0,R60))</f>
        <v>0</v>
      </c>
      <c r="R61" s="84">
        <f t="shared" ca="1" si="0"/>
        <v>0</v>
      </c>
      <c r="S61" s="84">
        <f ca="1">IF('Invoer gegevens (N)'!$C$17=E61,M61,IF(C61=0,0,T60))</f>
        <v>0</v>
      </c>
      <c r="T61" s="84">
        <f t="shared" ca="1" si="1"/>
        <v>0</v>
      </c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8"/>
      <c r="AI61" s="71">
        <f ca="1">IF(C61=1,((F61+H61)/2*'Reeksen (N)'!AJ61*12)+(('Invoer gegevens (N)'!$C$10-(F61+H61)/2)*'Reeksen (N)'!AK61*12),0)</f>
        <v>0</v>
      </c>
      <c r="AJ61" s="71">
        <f ca="1">-AI61*'Invoer gegevens (N)'!$F$28</f>
        <v>0</v>
      </c>
      <c r="AK61" s="71">
        <f t="shared" ca="1" si="2"/>
        <v>0</v>
      </c>
      <c r="AL61" s="71">
        <f ca="1">IF(C61=1,(12*((F61+H61)/2)*'Reeksen (N)'!AL61)+(12*('Invoer gegevens (N)'!$C$10-(F61+H61)/2)*'Reeksen (N)'!AM61),0)</f>
        <v>0</v>
      </c>
      <c r="AM61" s="71">
        <f ca="1">-AL61*'Invoer gegevens (N)'!$F$31</f>
        <v>0</v>
      </c>
      <c r="AN61" s="71">
        <f t="shared" ca="1" si="6"/>
        <v>0</v>
      </c>
      <c r="AO61" s="71"/>
      <c r="AP61" s="71"/>
      <c r="AQ61" s="71">
        <f ca="1">-IF(C61=1,('Invoer gegevens (N)'!$C$10*'Invoer gegevens (N)'!$I$33)*'Reeksen (N)'!J61,0)*2</f>
        <v>0</v>
      </c>
      <c r="AR61" s="71">
        <f ca="1">-IF(C61=1,(G61*'Invoer gegevens (N)'!$I$34)*'Reeksen (N)'!J61,0)</f>
        <v>0</v>
      </c>
      <c r="AS61" s="71">
        <f ca="1">-IF(C61=1,'Invoer gegevens (N)'!$C$10*'Invoer gegevens (N)'!$I$35*'Reeksen (N)'!L61,0)</f>
        <v>0</v>
      </c>
      <c r="AT61" s="71">
        <f ca="1">-IF(C61=1,IF(E61='Invoer gegevens (N)'!$C$17,'Invoer gegevens (N)'!$C$11,Q61)*'Reeksen (N)'!S61*'Invoer gegevens (N)'!$C$18*'Reeksen (N)'!P61,0)</f>
        <v>0</v>
      </c>
      <c r="AU61" s="71">
        <f ca="1">-IF(C61=1,'Invoer gegevens (N)'!$C$10*'Invoer gegevens (N)'!$I$36*'Reeksen (N)'!H61,0)</f>
        <v>0</v>
      </c>
      <c r="AV61" s="71">
        <v>0</v>
      </c>
      <c r="AW61" s="71">
        <f t="shared" ca="1" si="7"/>
        <v>0</v>
      </c>
      <c r="AX61" s="71">
        <f ca="1">IF(E61&lt;'Invoer gegevens (N)'!$C$17+15,0,IF(E61&gt;'Invoer gegevens (N)'!$C$17+215,0,AW61))</f>
        <v>0</v>
      </c>
      <c r="AY61" s="71">
        <f ca="1">AX61/(1+'Invoer gegevens (N)'!$F$13)^($AZ61-('Invoer gegevens (N)'!$C$17-'Invoer gegevens (N)'!$C$16))/(1+'Invoer gegevens (N)'!$C$39)^('Invoer gegevens (N)'!$C$17-'Invoer gegevens (N)'!$C$16)</f>
        <v>0</v>
      </c>
      <c r="AZ61" s="68">
        <f ca="1">IF(E61-'Invoer gegevens (N)'!$C$17-14.5&lt;0,0,E61-'Invoer gegevens (N)'!$C$17-14.5)</f>
        <v>41.5</v>
      </c>
    </row>
    <row r="62" spans="2:52" x14ac:dyDescent="0.25">
      <c r="B62" s="70">
        <f t="shared" si="8"/>
        <v>58</v>
      </c>
      <c r="C62" s="67">
        <f ca="1">IF(E62-'Invoer gegevens (N)'!$C$17&lt;0,0,1)</f>
        <v>1</v>
      </c>
      <c r="D62" s="68">
        <f t="shared" si="9"/>
        <v>57.5</v>
      </c>
      <c r="E62" s="69">
        <f ca="1">IF('Invoer gegevens (N)'!$C$16="","",E61+1)</f>
        <v>2076</v>
      </c>
      <c r="F62" s="82">
        <f ca="1">IF('Invoer gegevens (N)'!$C$17=E62,'Invoer gegevens (N)'!$C$10,IF(C62=1,H61,0))</f>
        <v>0</v>
      </c>
      <c r="G62" s="83">
        <f ca="1">IF(C62&gt;=1,F62*'Reeksen (N)'!C62,0)</f>
        <v>0</v>
      </c>
      <c r="H62" s="84">
        <f t="shared" ca="1" si="3"/>
        <v>0</v>
      </c>
      <c r="I62" s="85">
        <f ca="1">IF('Invoer gegevens (N)'!$C$17=E62,'Invoer gegevens (N)'!$C$11,IF(C62=1,L61,0))</f>
        <v>0</v>
      </c>
      <c r="J62" s="86">
        <f ca="1">IF(C62&lt;1,0,IF('Reeksen (N)'!AK62&lt;='Reeksen (N)'!AE62,I62*'Reeksen (N)'!C62,0))</f>
        <v>0</v>
      </c>
      <c r="K62" s="86">
        <f ca="1">IF(C62&lt;1,0,IF('Reeksen (N)'!AK62&gt;'Reeksen (N)'!AE62,I62*'Reeksen (N)'!C62,0))</f>
        <v>0</v>
      </c>
      <c r="L62" s="86">
        <f t="shared" ca="1" si="4"/>
        <v>0</v>
      </c>
      <c r="M62" s="85">
        <f ca="1">IF('Invoer gegevens (N)'!$C$17=E62,'Invoer gegevens (N)'!$C$10-'Invoer gegevens (N)'!$C$11,IF(C62=1,P61,0))</f>
        <v>0</v>
      </c>
      <c r="N62" s="86">
        <f ca="1">IF(C62&lt;1,0,IF('Reeksen (N)'!AK62&lt;='Reeksen (N)'!AE62,M62*'Reeksen (N)'!C62,0))</f>
        <v>0</v>
      </c>
      <c r="O62" s="86">
        <f ca="1">IF(C62&lt;1,0,IF('Reeksen (N)'!AK62&gt;'Reeksen (N)'!AE62,M62*'Reeksen (N)'!C62,0))</f>
        <v>0</v>
      </c>
      <c r="P62" s="86">
        <f t="shared" ca="1" si="5"/>
        <v>0</v>
      </c>
      <c r="Q62" s="82">
        <f ca="1">IF('Invoer gegevens (N)'!$C$17=E62,I62,IF(C62=0,0,R61))</f>
        <v>0</v>
      </c>
      <c r="R62" s="84">
        <f t="shared" ca="1" si="0"/>
        <v>0</v>
      </c>
      <c r="S62" s="84">
        <f ca="1">IF('Invoer gegevens (N)'!$C$17=E62,M62,IF(C62=0,0,T61))</f>
        <v>0</v>
      </c>
      <c r="T62" s="84">
        <f t="shared" ca="1" si="1"/>
        <v>0</v>
      </c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8"/>
      <c r="AI62" s="71">
        <f ca="1">IF(C62=1,((F62+H62)/2*'Reeksen (N)'!AJ62*12)+(('Invoer gegevens (N)'!$C$10-(F62+H62)/2)*'Reeksen (N)'!AK62*12),0)</f>
        <v>0</v>
      </c>
      <c r="AJ62" s="71">
        <f ca="1">-AI62*'Invoer gegevens (N)'!$F$28</f>
        <v>0</v>
      </c>
      <c r="AK62" s="71">
        <f t="shared" ca="1" si="2"/>
        <v>0</v>
      </c>
      <c r="AL62" s="71">
        <f ca="1">IF(C62=1,(12*((F62+H62)/2)*'Reeksen (N)'!AL62)+(12*('Invoer gegevens (N)'!$C$10-(F62+H62)/2)*'Reeksen (N)'!AM62),0)</f>
        <v>0</v>
      </c>
      <c r="AM62" s="71">
        <f ca="1">-AL62*'Invoer gegevens (N)'!$F$31</f>
        <v>0</v>
      </c>
      <c r="AN62" s="71">
        <f t="shared" ca="1" si="6"/>
        <v>0</v>
      </c>
      <c r="AO62" s="71"/>
      <c r="AP62" s="71"/>
      <c r="AQ62" s="71">
        <f ca="1">-IF(C62=1,('Invoer gegevens (N)'!$C$10*'Invoer gegevens (N)'!$I$33)*'Reeksen (N)'!J62,0)*2</f>
        <v>0</v>
      </c>
      <c r="AR62" s="71">
        <f ca="1">-IF(C62=1,(G62*'Invoer gegevens (N)'!$I$34)*'Reeksen (N)'!J62,0)</f>
        <v>0</v>
      </c>
      <c r="AS62" s="71">
        <f ca="1">-IF(C62=1,'Invoer gegevens (N)'!$C$10*'Invoer gegevens (N)'!$I$35*'Reeksen (N)'!L62,0)</f>
        <v>0</v>
      </c>
      <c r="AT62" s="71">
        <f ca="1">-IF(C62=1,IF(E62='Invoer gegevens (N)'!$C$17,'Invoer gegevens (N)'!$C$11,Q62)*'Reeksen (N)'!S62*'Invoer gegevens (N)'!$C$18*'Reeksen (N)'!P62,0)</f>
        <v>0</v>
      </c>
      <c r="AU62" s="71">
        <f ca="1">-IF(C62=1,'Invoer gegevens (N)'!$C$10*'Invoer gegevens (N)'!$I$36*'Reeksen (N)'!H62,0)</f>
        <v>0</v>
      </c>
      <c r="AV62" s="71">
        <v>0</v>
      </c>
      <c r="AW62" s="71">
        <f t="shared" ca="1" si="7"/>
        <v>0</v>
      </c>
      <c r="AX62" s="71">
        <f ca="1">IF(E62&lt;'Invoer gegevens (N)'!$C$17+15,0,IF(E62&gt;'Invoer gegevens (N)'!$C$17+215,0,AW62))</f>
        <v>0</v>
      </c>
      <c r="AY62" s="71">
        <f ca="1">AX62/(1+'Invoer gegevens (N)'!$F$13)^($AZ62-('Invoer gegevens (N)'!$C$17-'Invoer gegevens (N)'!$C$16))/(1+'Invoer gegevens (N)'!$C$39)^('Invoer gegevens (N)'!$C$17-'Invoer gegevens (N)'!$C$16)</f>
        <v>0</v>
      </c>
      <c r="AZ62" s="68">
        <f ca="1">IF(E62-'Invoer gegevens (N)'!$C$17-14.5&lt;0,0,E62-'Invoer gegevens (N)'!$C$17-14.5)</f>
        <v>42.5</v>
      </c>
    </row>
    <row r="63" spans="2:52" x14ac:dyDescent="0.25">
      <c r="B63" s="70">
        <f t="shared" si="8"/>
        <v>59</v>
      </c>
      <c r="C63" s="67">
        <f ca="1">IF(E63-'Invoer gegevens (N)'!$C$17&lt;0,0,1)</f>
        <v>1</v>
      </c>
      <c r="D63" s="68">
        <f t="shared" si="9"/>
        <v>58.5</v>
      </c>
      <c r="E63" s="69">
        <f ca="1">IF('Invoer gegevens (N)'!$C$16="","",E62+1)</f>
        <v>2077</v>
      </c>
      <c r="F63" s="82">
        <f ca="1">IF('Invoer gegevens (N)'!$C$17=E63,'Invoer gegevens (N)'!$C$10,IF(C63=1,H62,0))</f>
        <v>0</v>
      </c>
      <c r="G63" s="83">
        <f ca="1">IF(C63&gt;=1,F63*'Reeksen (N)'!C63,0)</f>
        <v>0</v>
      </c>
      <c r="H63" s="84">
        <f t="shared" ca="1" si="3"/>
        <v>0</v>
      </c>
      <c r="I63" s="85">
        <f ca="1">IF('Invoer gegevens (N)'!$C$17=E63,'Invoer gegevens (N)'!$C$11,IF(C63=1,L62,0))</f>
        <v>0</v>
      </c>
      <c r="J63" s="86">
        <f ca="1">IF(C63&lt;1,0,IF('Reeksen (N)'!AK63&lt;='Reeksen (N)'!AE63,I63*'Reeksen (N)'!C63,0))</f>
        <v>0</v>
      </c>
      <c r="K63" s="86">
        <f ca="1">IF(C63&lt;1,0,IF('Reeksen (N)'!AK63&gt;'Reeksen (N)'!AE63,I63*'Reeksen (N)'!C63,0))</f>
        <v>0</v>
      </c>
      <c r="L63" s="86">
        <f t="shared" ca="1" si="4"/>
        <v>0</v>
      </c>
      <c r="M63" s="85">
        <f ca="1">IF('Invoer gegevens (N)'!$C$17=E63,'Invoer gegevens (N)'!$C$10-'Invoer gegevens (N)'!$C$11,IF(C63=1,P62,0))</f>
        <v>0</v>
      </c>
      <c r="N63" s="86">
        <f ca="1">IF(C63&lt;1,0,IF('Reeksen (N)'!AK63&lt;='Reeksen (N)'!AE63,M63*'Reeksen (N)'!C63,0))</f>
        <v>0</v>
      </c>
      <c r="O63" s="86">
        <f ca="1">IF(C63&lt;1,0,IF('Reeksen (N)'!AK63&gt;'Reeksen (N)'!AE63,M63*'Reeksen (N)'!C63,0))</f>
        <v>0</v>
      </c>
      <c r="P63" s="86">
        <f t="shared" ca="1" si="5"/>
        <v>0</v>
      </c>
      <c r="Q63" s="82">
        <f ca="1">IF('Invoer gegevens (N)'!$C$17=E63,I63,IF(C63=0,0,R62))</f>
        <v>0</v>
      </c>
      <c r="R63" s="84">
        <f t="shared" ca="1" si="0"/>
        <v>0</v>
      </c>
      <c r="S63" s="84">
        <f ca="1">IF('Invoer gegevens (N)'!$C$17=E63,M63,IF(C63=0,0,T62))</f>
        <v>0</v>
      </c>
      <c r="T63" s="84">
        <f t="shared" ca="1" si="1"/>
        <v>0</v>
      </c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8"/>
      <c r="AI63" s="71">
        <f ca="1">IF(C63=1,((F63+H63)/2*'Reeksen (N)'!AJ63*12)+(('Invoer gegevens (N)'!$C$10-(F63+H63)/2)*'Reeksen (N)'!AK63*12),0)</f>
        <v>0</v>
      </c>
      <c r="AJ63" s="71">
        <f ca="1">-AI63*'Invoer gegevens (N)'!$F$28</f>
        <v>0</v>
      </c>
      <c r="AK63" s="71">
        <f t="shared" ca="1" si="2"/>
        <v>0</v>
      </c>
      <c r="AL63" s="71">
        <f ca="1">IF(C63=1,(12*((F63+H63)/2)*'Reeksen (N)'!AL63)+(12*('Invoer gegevens (N)'!$C$10-(F63+H63)/2)*'Reeksen (N)'!AM63),0)</f>
        <v>0</v>
      </c>
      <c r="AM63" s="71">
        <f ca="1">-AL63*'Invoer gegevens (N)'!$F$31</f>
        <v>0</v>
      </c>
      <c r="AN63" s="71">
        <f t="shared" ca="1" si="6"/>
        <v>0</v>
      </c>
      <c r="AO63" s="71"/>
      <c r="AP63" s="71"/>
      <c r="AQ63" s="71">
        <f ca="1">-IF(C63=1,('Invoer gegevens (N)'!$C$10*'Invoer gegevens (N)'!$I$33)*'Reeksen (N)'!J63,0)*2</f>
        <v>0</v>
      </c>
      <c r="AR63" s="71">
        <f ca="1">-IF(C63=1,(G63*'Invoer gegevens (N)'!$I$34)*'Reeksen (N)'!J63,0)</f>
        <v>0</v>
      </c>
      <c r="AS63" s="71">
        <f ca="1">-IF(C63=1,'Invoer gegevens (N)'!$C$10*'Invoer gegevens (N)'!$I$35*'Reeksen (N)'!L63,0)</f>
        <v>0</v>
      </c>
      <c r="AT63" s="71">
        <f ca="1">-IF(C63=1,IF(E63='Invoer gegevens (N)'!$C$17,'Invoer gegevens (N)'!$C$11,Q63)*'Reeksen (N)'!S63*'Invoer gegevens (N)'!$C$18*'Reeksen (N)'!P63,0)</f>
        <v>0</v>
      </c>
      <c r="AU63" s="71">
        <f ca="1">-IF(C63=1,'Invoer gegevens (N)'!$C$10*'Invoer gegevens (N)'!$I$36*'Reeksen (N)'!H63,0)</f>
        <v>0</v>
      </c>
      <c r="AV63" s="71">
        <v>0</v>
      </c>
      <c r="AW63" s="71">
        <f t="shared" ca="1" si="7"/>
        <v>0</v>
      </c>
      <c r="AX63" s="71">
        <f ca="1">IF(E63&lt;'Invoer gegevens (N)'!$C$17+15,0,IF(E63&gt;'Invoer gegevens (N)'!$C$17+215,0,AW63))</f>
        <v>0</v>
      </c>
      <c r="AY63" s="71">
        <f ca="1">AX63/(1+'Invoer gegevens (N)'!$F$13)^($AZ63-('Invoer gegevens (N)'!$C$17-'Invoer gegevens (N)'!$C$16))/(1+'Invoer gegevens (N)'!$C$39)^('Invoer gegevens (N)'!$C$17-'Invoer gegevens (N)'!$C$16)</f>
        <v>0</v>
      </c>
      <c r="AZ63" s="68">
        <f ca="1">IF(E63-'Invoer gegevens (N)'!$C$17-14.5&lt;0,0,E63-'Invoer gegevens (N)'!$C$17-14.5)</f>
        <v>43.5</v>
      </c>
    </row>
    <row r="64" spans="2:52" x14ac:dyDescent="0.25">
      <c r="B64" s="70">
        <f t="shared" si="8"/>
        <v>60</v>
      </c>
      <c r="C64" s="67">
        <f ca="1">IF(E64-'Invoer gegevens (N)'!$C$17&lt;0,0,1)</f>
        <v>1</v>
      </c>
      <c r="D64" s="68">
        <f t="shared" si="9"/>
        <v>59.5</v>
      </c>
      <c r="E64" s="69">
        <f ca="1">IF('Invoer gegevens (N)'!$C$16="","",E63+1)</f>
        <v>2078</v>
      </c>
      <c r="F64" s="82">
        <f ca="1">IF('Invoer gegevens (N)'!$C$17=E64,'Invoer gegevens (N)'!$C$10,IF(C64=1,H63,0))</f>
        <v>0</v>
      </c>
      <c r="G64" s="83">
        <f ca="1">IF(C64&gt;=1,F64*'Reeksen (N)'!C64,0)</f>
        <v>0</v>
      </c>
      <c r="H64" s="84">
        <f t="shared" ca="1" si="3"/>
        <v>0</v>
      </c>
      <c r="I64" s="85">
        <f ca="1">IF('Invoer gegevens (N)'!$C$17=E64,'Invoer gegevens (N)'!$C$11,IF(C64=1,L63,0))</f>
        <v>0</v>
      </c>
      <c r="J64" s="86">
        <f ca="1">IF(C64&lt;1,0,IF('Reeksen (N)'!AK64&lt;='Reeksen (N)'!AE64,I64*'Reeksen (N)'!C64,0))</f>
        <v>0</v>
      </c>
      <c r="K64" s="86">
        <f ca="1">IF(C64&lt;1,0,IF('Reeksen (N)'!AK64&gt;'Reeksen (N)'!AE64,I64*'Reeksen (N)'!C64,0))</f>
        <v>0</v>
      </c>
      <c r="L64" s="86">
        <f t="shared" ca="1" si="4"/>
        <v>0</v>
      </c>
      <c r="M64" s="85">
        <f ca="1">IF('Invoer gegevens (N)'!$C$17=E64,'Invoer gegevens (N)'!$C$10-'Invoer gegevens (N)'!$C$11,IF(C64=1,P63,0))</f>
        <v>0</v>
      </c>
      <c r="N64" s="86">
        <f ca="1">IF(C64&lt;1,0,IF('Reeksen (N)'!AK64&lt;='Reeksen (N)'!AE64,M64*'Reeksen (N)'!C64,0))</f>
        <v>0</v>
      </c>
      <c r="O64" s="86">
        <f ca="1">IF(C64&lt;1,0,IF('Reeksen (N)'!AK64&gt;'Reeksen (N)'!AE64,M64*'Reeksen (N)'!C64,0))</f>
        <v>0</v>
      </c>
      <c r="P64" s="86">
        <f t="shared" ca="1" si="5"/>
        <v>0</v>
      </c>
      <c r="Q64" s="82">
        <f ca="1">IF('Invoer gegevens (N)'!$C$17=E64,I64,IF(C64=0,0,R63))</f>
        <v>0</v>
      </c>
      <c r="R64" s="84">
        <f t="shared" ca="1" si="0"/>
        <v>0</v>
      </c>
      <c r="S64" s="84">
        <f ca="1">IF('Invoer gegevens (N)'!$C$17=E64,M64,IF(C64=0,0,T63))</f>
        <v>0</v>
      </c>
      <c r="T64" s="84">
        <f t="shared" ca="1" si="1"/>
        <v>0</v>
      </c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8"/>
      <c r="AI64" s="71">
        <f ca="1">IF(C64=1,((F64+H64)/2*'Reeksen (N)'!AJ64*12)+(('Invoer gegevens (N)'!$C$10-(F64+H64)/2)*'Reeksen (N)'!AK64*12),0)</f>
        <v>0</v>
      </c>
      <c r="AJ64" s="71">
        <f ca="1">-AI64*'Invoer gegevens (N)'!$F$28</f>
        <v>0</v>
      </c>
      <c r="AK64" s="71">
        <f t="shared" ca="1" si="2"/>
        <v>0</v>
      </c>
      <c r="AL64" s="71">
        <f ca="1">IF(C64=1,(12*((F64+H64)/2)*'Reeksen (N)'!AL64)+(12*('Invoer gegevens (N)'!$C$10-(F64+H64)/2)*'Reeksen (N)'!AM64),0)</f>
        <v>0</v>
      </c>
      <c r="AM64" s="71">
        <f ca="1">-AL64*'Invoer gegevens (N)'!$F$31</f>
        <v>0</v>
      </c>
      <c r="AN64" s="71">
        <f t="shared" ca="1" si="6"/>
        <v>0</v>
      </c>
      <c r="AO64" s="71"/>
      <c r="AP64" s="71"/>
      <c r="AQ64" s="71">
        <f ca="1">-IF(C64=1,('Invoer gegevens (N)'!$C$10*'Invoer gegevens (N)'!$I$33)*'Reeksen (N)'!J64,0)*2</f>
        <v>0</v>
      </c>
      <c r="AR64" s="71">
        <f ca="1">-IF(C64=1,(G64*'Invoer gegevens (N)'!$I$34)*'Reeksen (N)'!J64,0)</f>
        <v>0</v>
      </c>
      <c r="AS64" s="71">
        <f ca="1">-IF(C64=1,'Invoer gegevens (N)'!$C$10*'Invoer gegevens (N)'!$I$35*'Reeksen (N)'!L64,0)</f>
        <v>0</v>
      </c>
      <c r="AT64" s="71">
        <f ca="1">-IF(C64=1,IF(E64='Invoer gegevens (N)'!$C$17,'Invoer gegevens (N)'!$C$11,Q64)*'Reeksen (N)'!S64*'Invoer gegevens (N)'!$C$18*'Reeksen (N)'!P64,0)</f>
        <v>0</v>
      </c>
      <c r="AU64" s="71">
        <f ca="1">-IF(C64=1,'Invoer gegevens (N)'!$C$10*'Invoer gegevens (N)'!$I$36*'Reeksen (N)'!H64,0)</f>
        <v>0</v>
      </c>
      <c r="AV64" s="71">
        <v>0</v>
      </c>
      <c r="AW64" s="71">
        <f t="shared" ca="1" si="7"/>
        <v>0</v>
      </c>
      <c r="AX64" s="71">
        <f ca="1">IF(E64&lt;'Invoer gegevens (N)'!$C$17+15,0,IF(E64&gt;'Invoer gegevens (N)'!$C$17+215,0,AW64))</f>
        <v>0</v>
      </c>
      <c r="AY64" s="71">
        <f ca="1">AX64/(1+'Invoer gegevens (N)'!$F$13)^($AZ64-('Invoer gegevens (N)'!$C$17-'Invoer gegevens (N)'!$C$16))/(1+'Invoer gegevens (N)'!$C$39)^('Invoer gegevens (N)'!$C$17-'Invoer gegevens (N)'!$C$16)</f>
        <v>0</v>
      </c>
      <c r="AZ64" s="68">
        <f ca="1">IF(E64-'Invoer gegevens (N)'!$C$17-14.5&lt;0,0,E64-'Invoer gegevens (N)'!$C$17-14.5)</f>
        <v>44.5</v>
      </c>
    </row>
    <row r="65" spans="2:52" x14ac:dyDescent="0.25">
      <c r="B65" s="70">
        <f t="shared" si="8"/>
        <v>61</v>
      </c>
      <c r="C65" s="67">
        <f ca="1">IF(E65-'Invoer gegevens (N)'!$C$17&lt;0,0,1)</f>
        <v>1</v>
      </c>
      <c r="D65" s="68">
        <f t="shared" si="9"/>
        <v>60.5</v>
      </c>
      <c r="E65" s="69">
        <f ca="1">IF('Invoer gegevens (N)'!$C$16="","",E64+1)</f>
        <v>2079</v>
      </c>
      <c r="F65" s="82">
        <f ca="1">IF('Invoer gegevens (N)'!$C$17=E65,'Invoer gegevens (N)'!$C$10,IF(C65=1,H64,0))</f>
        <v>0</v>
      </c>
      <c r="G65" s="83">
        <f ca="1">IF(C65&gt;=1,F65*'Reeksen (N)'!C65,0)</f>
        <v>0</v>
      </c>
      <c r="H65" s="84">
        <f t="shared" ca="1" si="3"/>
        <v>0</v>
      </c>
      <c r="I65" s="85">
        <f ca="1">IF('Invoer gegevens (N)'!$C$17=E65,'Invoer gegevens (N)'!$C$11,IF(C65=1,L64,0))</f>
        <v>0</v>
      </c>
      <c r="J65" s="86">
        <f ca="1">IF(C65&lt;1,0,IF('Reeksen (N)'!AK65&lt;='Reeksen (N)'!AE65,I65*'Reeksen (N)'!C65,0))</f>
        <v>0</v>
      </c>
      <c r="K65" s="86">
        <f ca="1">IF(C65&lt;1,0,IF('Reeksen (N)'!AK65&gt;'Reeksen (N)'!AE65,I65*'Reeksen (N)'!C65,0))</f>
        <v>0</v>
      </c>
      <c r="L65" s="86">
        <f t="shared" ca="1" si="4"/>
        <v>0</v>
      </c>
      <c r="M65" s="85">
        <f ca="1">IF('Invoer gegevens (N)'!$C$17=E65,'Invoer gegevens (N)'!$C$10-'Invoer gegevens (N)'!$C$11,IF(C65=1,P64,0))</f>
        <v>0</v>
      </c>
      <c r="N65" s="86">
        <f ca="1">IF(C65&lt;1,0,IF('Reeksen (N)'!AK65&lt;='Reeksen (N)'!AE65,M65*'Reeksen (N)'!C65,0))</f>
        <v>0</v>
      </c>
      <c r="O65" s="86">
        <f ca="1">IF(C65&lt;1,0,IF('Reeksen (N)'!AK65&gt;'Reeksen (N)'!AE65,M65*'Reeksen (N)'!C65,0))</f>
        <v>0</v>
      </c>
      <c r="P65" s="86">
        <f t="shared" ca="1" si="5"/>
        <v>0</v>
      </c>
      <c r="Q65" s="82">
        <f ca="1">IF('Invoer gegevens (N)'!$C$17=E65,I65,IF(C65=0,0,R64))</f>
        <v>0</v>
      </c>
      <c r="R65" s="84">
        <f t="shared" ca="1" si="0"/>
        <v>0</v>
      </c>
      <c r="S65" s="84">
        <f ca="1">IF('Invoer gegevens (N)'!$C$17=E65,M65,IF(C65=0,0,T64))</f>
        <v>0</v>
      </c>
      <c r="T65" s="84">
        <f t="shared" ca="1" si="1"/>
        <v>0</v>
      </c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8"/>
      <c r="AI65" s="71">
        <f ca="1">IF(C65=1,((F65+H65)/2*'Reeksen (N)'!AJ65*12)+(('Invoer gegevens (N)'!$C$10-(F65+H65)/2)*'Reeksen (N)'!AK65*12),0)</f>
        <v>0</v>
      </c>
      <c r="AJ65" s="71">
        <f ca="1">-AI65*'Invoer gegevens (N)'!$F$28</f>
        <v>0</v>
      </c>
      <c r="AK65" s="71">
        <f t="shared" ca="1" si="2"/>
        <v>0</v>
      </c>
      <c r="AL65" s="71">
        <f ca="1">IF(C65=1,(12*((F65+H65)/2)*'Reeksen (N)'!AL65)+(12*('Invoer gegevens (N)'!$C$10-(F65+H65)/2)*'Reeksen (N)'!AM65),0)</f>
        <v>0</v>
      </c>
      <c r="AM65" s="71">
        <f ca="1">-AL65*'Invoer gegevens (N)'!$F$31</f>
        <v>0</v>
      </c>
      <c r="AN65" s="71">
        <f t="shared" ca="1" si="6"/>
        <v>0</v>
      </c>
      <c r="AO65" s="71"/>
      <c r="AP65" s="71"/>
      <c r="AQ65" s="71">
        <f ca="1">-IF(C65=1,('Invoer gegevens (N)'!$C$10*'Invoer gegevens (N)'!$I$33)*'Reeksen (N)'!J65,0)*2</f>
        <v>0</v>
      </c>
      <c r="AR65" s="71">
        <f ca="1">-IF(C65=1,(G65*'Invoer gegevens (N)'!$I$34)*'Reeksen (N)'!J65,0)</f>
        <v>0</v>
      </c>
      <c r="AS65" s="71">
        <f ca="1">-IF(C65=1,'Invoer gegevens (N)'!$C$10*'Invoer gegevens (N)'!$I$35*'Reeksen (N)'!L65,0)</f>
        <v>0</v>
      </c>
      <c r="AT65" s="71">
        <f ca="1">-IF(C65=1,IF(E65='Invoer gegevens (N)'!$C$17,'Invoer gegevens (N)'!$C$11,Q65)*'Reeksen (N)'!S65*'Invoer gegevens (N)'!$C$18*'Reeksen (N)'!P65,0)</f>
        <v>0</v>
      </c>
      <c r="AU65" s="71">
        <f ca="1">-IF(C65=1,'Invoer gegevens (N)'!$C$10*'Invoer gegevens (N)'!$I$36*'Reeksen (N)'!H65,0)</f>
        <v>0</v>
      </c>
      <c r="AV65" s="71">
        <v>0</v>
      </c>
      <c r="AW65" s="71">
        <f t="shared" ca="1" si="7"/>
        <v>0</v>
      </c>
      <c r="AX65" s="71">
        <f ca="1">IF(E65&lt;'Invoer gegevens (N)'!$C$17+15,0,IF(E65&gt;'Invoer gegevens (N)'!$C$17+215,0,AW65))</f>
        <v>0</v>
      </c>
      <c r="AY65" s="71">
        <f ca="1">AX65/(1+'Invoer gegevens (N)'!$F$13)^($AZ65-('Invoer gegevens (N)'!$C$17-'Invoer gegevens (N)'!$C$16))/(1+'Invoer gegevens (N)'!$C$39)^('Invoer gegevens (N)'!$C$17-'Invoer gegevens (N)'!$C$16)</f>
        <v>0</v>
      </c>
      <c r="AZ65" s="68">
        <f ca="1">IF(E65-'Invoer gegevens (N)'!$C$17-14.5&lt;0,0,E65-'Invoer gegevens (N)'!$C$17-14.5)</f>
        <v>45.5</v>
      </c>
    </row>
    <row r="66" spans="2:52" x14ac:dyDescent="0.25">
      <c r="B66" s="70">
        <f t="shared" si="8"/>
        <v>62</v>
      </c>
      <c r="C66" s="67">
        <f ca="1">IF(E66-'Invoer gegevens (N)'!$C$17&lt;0,0,1)</f>
        <v>1</v>
      </c>
      <c r="D66" s="68">
        <f t="shared" si="9"/>
        <v>61.5</v>
      </c>
      <c r="E66" s="69">
        <f ca="1">IF('Invoer gegevens (N)'!$C$16="","",E65+1)</f>
        <v>2080</v>
      </c>
      <c r="F66" s="82">
        <f ca="1">IF('Invoer gegevens (N)'!$C$17=E66,'Invoer gegevens (N)'!$C$10,IF(C66=1,H65,0))</f>
        <v>0</v>
      </c>
      <c r="G66" s="83">
        <f ca="1">IF(C66&gt;=1,F66*'Reeksen (N)'!C66,0)</f>
        <v>0</v>
      </c>
      <c r="H66" s="84">
        <f t="shared" ca="1" si="3"/>
        <v>0</v>
      </c>
      <c r="I66" s="85">
        <f ca="1">IF('Invoer gegevens (N)'!$C$17=E66,'Invoer gegevens (N)'!$C$11,IF(C66=1,L65,0))</f>
        <v>0</v>
      </c>
      <c r="J66" s="86">
        <f ca="1">IF(C66&lt;1,0,IF('Reeksen (N)'!AK66&lt;='Reeksen (N)'!AE66,I66*'Reeksen (N)'!C66,0))</f>
        <v>0</v>
      </c>
      <c r="K66" s="86">
        <f ca="1">IF(C66&lt;1,0,IF('Reeksen (N)'!AK66&gt;'Reeksen (N)'!AE66,I66*'Reeksen (N)'!C66,0))</f>
        <v>0</v>
      </c>
      <c r="L66" s="86">
        <f t="shared" ca="1" si="4"/>
        <v>0</v>
      </c>
      <c r="M66" s="85">
        <f ca="1">IF('Invoer gegevens (N)'!$C$17=E66,'Invoer gegevens (N)'!$C$10-'Invoer gegevens (N)'!$C$11,IF(C66=1,P65,0))</f>
        <v>0</v>
      </c>
      <c r="N66" s="86">
        <f ca="1">IF(C66&lt;1,0,IF('Reeksen (N)'!AK66&lt;='Reeksen (N)'!AE66,M66*'Reeksen (N)'!C66,0))</f>
        <v>0</v>
      </c>
      <c r="O66" s="86">
        <f ca="1">IF(C66&lt;1,0,IF('Reeksen (N)'!AK66&gt;'Reeksen (N)'!AE66,M66*'Reeksen (N)'!C66,0))</f>
        <v>0</v>
      </c>
      <c r="P66" s="86">
        <f t="shared" ca="1" si="5"/>
        <v>0</v>
      </c>
      <c r="Q66" s="82">
        <f ca="1">IF('Invoer gegevens (N)'!$C$17=E66,I66,IF(C66=0,0,R65))</f>
        <v>0</v>
      </c>
      <c r="R66" s="84">
        <f t="shared" ca="1" si="0"/>
        <v>0</v>
      </c>
      <c r="S66" s="84">
        <f ca="1">IF('Invoer gegevens (N)'!$C$17=E66,M66,IF(C66=0,0,T65))</f>
        <v>0</v>
      </c>
      <c r="T66" s="84">
        <f t="shared" ca="1" si="1"/>
        <v>0</v>
      </c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8"/>
      <c r="AI66" s="71">
        <f ca="1">IF(C66=1,((F66+H66)/2*'Reeksen (N)'!AJ66*12)+(('Invoer gegevens (N)'!$C$10-(F66+H66)/2)*'Reeksen (N)'!AK66*12),0)</f>
        <v>0</v>
      </c>
      <c r="AJ66" s="71">
        <f ca="1">-AI66*'Invoer gegevens (N)'!$F$28</f>
        <v>0</v>
      </c>
      <c r="AK66" s="71">
        <f t="shared" ca="1" si="2"/>
        <v>0</v>
      </c>
      <c r="AL66" s="71">
        <f ca="1">IF(C66=1,(12*((F66+H66)/2)*'Reeksen (N)'!AL66)+(12*('Invoer gegevens (N)'!$C$10-(F66+H66)/2)*'Reeksen (N)'!AM66),0)</f>
        <v>0</v>
      </c>
      <c r="AM66" s="71">
        <f ca="1">-AL66*'Invoer gegevens (N)'!$F$31</f>
        <v>0</v>
      </c>
      <c r="AN66" s="71">
        <f t="shared" ca="1" si="6"/>
        <v>0</v>
      </c>
      <c r="AO66" s="71"/>
      <c r="AP66" s="71"/>
      <c r="AQ66" s="71">
        <f ca="1">-IF(C66=1,('Invoer gegevens (N)'!$C$10*'Invoer gegevens (N)'!$I$33)*'Reeksen (N)'!J66,0)*2</f>
        <v>0</v>
      </c>
      <c r="AR66" s="71">
        <f ca="1">-IF(C66=1,(G66*'Invoer gegevens (N)'!$I$34)*'Reeksen (N)'!J66,0)</f>
        <v>0</v>
      </c>
      <c r="AS66" s="71">
        <f ca="1">-IF(C66=1,'Invoer gegevens (N)'!$C$10*'Invoer gegevens (N)'!$I$35*'Reeksen (N)'!L66,0)</f>
        <v>0</v>
      </c>
      <c r="AT66" s="71">
        <f ca="1">-IF(C66=1,IF(E66='Invoer gegevens (N)'!$C$17,'Invoer gegevens (N)'!$C$11,Q66)*'Reeksen (N)'!S66*'Invoer gegevens (N)'!$C$18*'Reeksen (N)'!P66,0)</f>
        <v>0</v>
      </c>
      <c r="AU66" s="71">
        <f ca="1">-IF(C66=1,'Invoer gegevens (N)'!$C$10*'Invoer gegevens (N)'!$I$36*'Reeksen (N)'!H66,0)</f>
        <v>0</v>
      </c>
      <c r="AV66" s="71">
        <v>0</v>
      </c>
      <c r="AW66" s="71">
        <f t="shared" ca="1" si="7"/>
        <v>0</v>
      </c>
      <c r="AX66" s="71">
        <f ca="1">IF(E66&lt;'Invoer gegevens (N)'!$C$17+15,0,IF(E66&gt;'Invoer gegevens (N)'!$C$17+215,0,AW66))</f>
        <v>0</v>
      </c>
      <c r="AY66" s="71">
        <f ca="1">AX66/(1+'Invoer gegevens (N)'!$F$13)^($AZ66-('Invoer gegevens (N)'!$C$17-'Invoer gegevens (N)'!$C$16))/(1+'Invoer gegevens (N)'!$C$39)^('Invoer gegevens (N)'!$C$17-'Invoer gegevens (N)'!$C$16)</f>
        <v>0</v>
      </c>
      <c r="AZ66" s="68">
        <f ca="1">IF(E66-'Invoer gegevens (N)'!$C$17-14.5&lt;0,0,E66-'Invoer gegevens (N)'!$C$17-14.5)</f>
        <v>46.5</v>
      </c>
    </row>
    <row r="67" spans="2:52" x14ac:dyDescent="0.25">
      <c r="B67" s="70">
        <f t="shared" si="8"/>
        <v>63</v>
      </c>
      <c r="C67" s="67">
        <f ca="1">IF(E67-'Invoer gegevens (N)'!$C$17&lt;0,0,1)</f>
        <v>1</v>
      </c>
      <c r="D67" s="68">
        <f t="shared" si="9"/>
        <v>62.5</v>
      </c>
      <c r="E67" s="69">
        <f ca="1">IF('Invoer gegevens (N)'!$C$16="","",E66+1)</f>
        <v>2081</v>
      </c>
      <c r="F67" s="82">
        <f ca="1">IF('Invoer gegevens (N)'!$C$17=E67,'Invoer gegevens (N)'!$C$10,IF(C67=1,H66,0))</f>
        <v>0</v>
      </c>
      <c r="G67" s="83">
        <f ca="1">IF(C67&gt;=1,F67*'Reeksen (N)'!C67,0)</f>
        <v>0</v>
      </c>
      <c r="H67" s="84">
        <f t="shared" ca="1" si="3"/>
        <v>0</v>
      </c>
      <c r="I67" s="85">
        <f ca="1">IF('Invoer gegevens (N)'!$C$17=E67,'Invoer gegevens (N)'!$C$11,IF(C67=1,L66,0))</f>
        <v>0</v>
      </c>
      <c r="J67" s="86">
        <f ca="1">IF(C67&lt;1,0,IF('Reeksen (N)'!AK67&lt;='Reeksen (N)'!AE67,I67*'Reeksen (N)'!C67,0))</f>
        <v>0</v>
      </c>
      <c r="K67" s="86">
        <f ca="1">IF(C67&lt;1,0,IF('Reeksen (N)'!AK67&gt;'Reeksen (N)'!AE67,I67*'Reeksen (N)'!C67,0))</f>
        <v>0</v>
      </c>
      <c r="L67" s="86">
        <f t="shared" ca="1" si="4"/>
        <v>0</v>
      </c>
      <c r="M67" s="85">
        <f ca="1">IF('Invoer gegevens (N)'!$C$17=E67,'Invoer gegevens (N)'!$C$10-'Invoer gegevens (N)'!$C$11,IF(C67=1,P66,0))</f>
        <v>0</v>
      </c>
      <c r="N67" s="86">
        <f ca="1">IF(C67&lt;1,0,IF('Reeksen (N)'!AK67&lt;='Reeksen (N)'!AE67,M67*'Reeksen (N)'!C67,0))</f>
        <v>0</v>
      </c>
      <c r="O67" s="86">
        <f ca="1">IF(C67&lt;1,0,IF('Reeksen (N)'!AK67&gt;'Reeksen (N)'!AE67,M67*'Reeksen (N)'!C67,0))</f>
        <v>0</v>
      </c>
      <c r="P67" s="86">
        <f t="shared" ca="1" si="5"/>
        <v>0</v>
      </c>
      <c r="Q67" s="82">
        <f ca="1">IF('Invoer gegevens (N)'!$C$17=E67,I67,IF(C67=0,0,R66))</f>
        <v>0</v>
      </c>
      <c r="R67" s="84">
        <f t="shared" ca="1" si="0"/>
        <v>0</v>
      </c>
      <c r="S67" s="84">
        <f ca="1">IF('Invoer gegevens (N)'!$C$17=E67,M67,IF(C67=0,0,T66))</f>
        <v>0</v>
      </c>
      <c r="T67" s="84">
        <f t="shared" ca="1" si="1"/>
        <v>0</v>
      </c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8"/>
      <c r="AI67" s="71">
        <f ca="1">IF(C67=1,((F67+H67)/2*'Reeksen (N)'!AJ67*12)+(('Invoer gegevens (N)'!$C$10-(F67+H67)/2)*'Reeksen (N)'!AK67*12),0)</f>
        <v>0</v>
      </c>
      <c r="AJ67" s="71">
        <f ca="1">-AI67*'Invoer gegevens (N)'!$F$28</f>
        <v>0</v>
      </c>
      <c r="AK67" s="71">
        <f t="shared" ca="1" si="2"/>
        <v>0</v>
      </c>
      <c r="AL67" s="71">
        <f ca="1">IF(C67=1,(12*((F67+H67)/2)*'Reeksen (N)'!AL67)+(12*('Invoer gegevens (N)'!$C$10-(F67+H67)/2)*'Reeksen (N)'!AM67),0)</f>
        <v>0</v>
      </c>
      <c r="AM67" s="71">
        <f ca="1">-AL67*'Invoer gegevens (N)'!$F$31</f>
        <v>0</v>
      </c>
      <c r="AN67" s="71">
        <f t="shared" ca="1" si="6"/>
        <v>0</v>
      </c>
      <c r="AO67" s="71"/>
      <c r="AP67" s="71"/>
      <c r="AQ67" s="71">
        <f ca="1">-IF(C67=1,('Invoer gegevens (N)'!$C$10*'Invoer gegevens (N)'!$I$33)*'Reeksen (N)'!J67,0)*2</f>
        <v>0</v>
      </c>
      <c r="AR67" s="71">
        <f ca="1">-IF(C67=1,(G67*'Invoer gegevens (N)'!$I$34)*'Reeksen (N)'!J67,0)</f>
        <v>0</v>
      </c>
      <c r="AS67" s="71">
        <f ca="1">-IF(C67=1,'Invoer gegevens (N)'!$C$10*'Invoer gegevens (N)'!$I$35*'Reeksen (N)'!L67,0)</f>
        <v>0</v>
      </c>
      <c r="AT67" s="71">
        <f ca="1">-IF(C67=1,IF(E67='Invoer gegevens (N)'!$C$17,'Invoer gegevens (N)'!$C$11,Q67)*'Reeksen (N)'!S67*'Invoer gegevens (N)'!$C$18*'Reeksen (N)'!P67,0)</f>
        <v>0</v>
      </c>
      <c r="AU67" s="71">
        <f ca="1">-IF(C67=1,'Invoer gegevens (N)'!$C$10*'Invoer gegevens (N)'!$I$36*'Reeksen (N)'!H67,0)</f>
        <v>0</v>
      </c>
      <c r="AV67" s="71">
        <v>0</v>
      </c>
      <c r="AW67" s="71">
        <f t="shared" ca="1" si="7"/>
        <v>0</v>
      </c>
      <c r="AX67" s="71">
        <f ca="1">IF(E67&lt;'Invoer gegevens (N)'!$C$17+15,0,IF(E67&gt;'Invoer gegevens (N)'!$C$17+215,0,AW67))</f>
        <v>0</v>
      </c>
      <c r="AY67" s="71">
        <f ca="1">AX67/(1+'Invoer gegevens (N)'!$F$13)^($AZ67-('Invoer gegevens (N)'!$C$17-'Invoer gegevens (N)'!$C$16))/(1+'Invoer gegevens (N)'!$C$39)^('Invoer gegevens (N)'!$C$17-'Invoer gegevens (N)'!$C$16)</f>
        <v>0</v>
      </c>
      <c r="AZ67" s="68">
        <f ca="1">IF(E67-'Invoer gegevens (N)'!$C$17-14.5&lt;0,0,E67-'Invoer gegevens (N)'!$C$17-14.5)</f>
        <v>47.5</v>
      </c>
    </row>
    <row r="68" spans="2:52" x14ac:dyDescent="0.25">
      <c r="B68" s="70">
        <f t="shared" si="8"/>
        <v>64</v>
      </c>
      <c r="C68" s="67">
        <f ca="1">IF(E68-'Invoer gegevens (N)'!$C$17&lt;0,0,1)</f>
        <v>1</v>
      </c>
      <c r="D68" s="68">
        <f t="shared" si="9"/>
        <v>63.5</v>
      </c>
      <c r="E68" s="69">
        <f ca="1">IF('Invoer gegevens (N)'!$C$16="","",E67+1)</f>
        <v>2082</v>
      </c>
      <c r="F68" s="82">
        <f ca="1">IF('Invoer gegevens (N)'!$C$17=E68,'Invoer gegevens (N)'!$C$10,IF(C68=1,H67,0))</f>
        <v>0</v>
      </c>
      <c r="G68" s="83">
        <f ca="1">IF(C68&gt;=1,F68*'Reeksen (N)'!C68,0)</f>
        <v>0</v>
      </c>
      <c r="H68" s="84">
        <f t="shared" ca="1" si="3"/>
        <v>0</v>
      </c>
      <c r="I68" s="85">
        <f ca="1">IF('Invoer gegevens (N)'!$C$17=E68,'Invoer gegevens (N)'!$C$11,IF(C68=1,L67,0))</f>
        <v>0</v>
      </c>
      <c r="J68" s="86">
        <f ca="1">IF(C68&lt;1,0,IF('Reeksen (N)'!AK68&lt;='Reeksen (N)'!AE68,I68*'Reeksen (N)'!C68,0))</f>
        <v>0</v>
      </c>
      <c r="K68" s="86">
        <f ca="1">IF(C68&lt;1,0,IF('Reeksen (N)'!AK68&gt;'Reeksen (N)'!AE68,I68*'Reeksen (N)'!C68,0))</f>
        <v>0</v>
      </c>
      <c r="L68" s="86">
        <f t="shared" ca="1" si="4"/>
        <v>0</v>
      </c>
      <c r="M68" s="85">
        <f ca="1">IF('Invoer gegevens (N)'!$C$17=E68,'Invoer gegevens (N)'!$C$10-'Invoer gegevens (N)'!$C$11,IF(C68=1,P67,0))</f>
        <v>0</v>
      </c>
      <c r="N68" s="86">
        <f ca="1">IF(C68&lt;1,0,IF('Reeksen (N)'!AK68&lt;='Reeksen (N)'!AE68,M68*'Reeksen (N)'!C68,0))</f>
        <v>0</v>
      </c>
      <c r="O68" s="86">
        <f ca="1">IF(C68&lt;1,0,IF('Reeksen (N)'!AK68&gt;'Reeksen (N)'!AE68,M68*'Reeksen (N)'!C68,0))</f>
        <v>0</v>
      </c>
      <c r="P68" s="86">
        <f t="shared" ca="1" si="5"/>
        <v>0</v>
      </c>
      <c r="Q68" s="82">
        <f ca="1">IF('Invoer gegevens (N)'!$C$17=E68,I68,IF(C68=0,0,R67))</f>
        <v>0</v>
      </c>
      <c r="R68" s="84">
        <f t="shared" ca="1" si="0"/>
        <v>0</v>
      </c>
      <c r="S68" s="84">
        <f ca="1">IF('Invoer gegevens (N)'!$C$17=E68,M68,IF(C68=0,0,T67))</f>
        <v>0</v>
      </c>
      <c r="T68" s="84">
        <f t="shared" ca="1" si="1"/>
        <v>0</v>
      </c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8"/>
      <c r="AI68" s="71">
        <f ca="1">IF(C68=1,((F68+H68)/2*'Reeksen (N)'!AJ68*12)+(('Invoer gegevens (N)'!$C$10-(F68+H68)/2)*'Reeksen (N)'!AK68*12),0)</f>
        <v>0</v>
      </c>
      <c r="AJ68" s="71">
        <f ca="1">-AI68*'Invoer gegevens (N)'!$F$28</f>
        <v>0</v>
      </c>
      <c r="AK68" s="71">
        <f t="shared" ca="1" si="2"/>
        <v>0</v>
      </c>
      <c r="AL68" s="71">
        <f ca="1">IF(C68=1,(12*((F68+H68)/2)*'Reeksen (N)'!AL68)+(12*('Invoer gegevens (N)'!$C$10-(F68+H68)/2)*'Reeksen (N)'!AM68),0)</f>
        <v>0</v>
      </c>
      <c r="AM68" s="71">
        <f ca="1">-AL68*'Invoer gegevens (N)'!$F$31</f>
        <v>0</v>
      </c>
      <c r="AN68" s="71">
        <f t="shared" ca="1" si="6"/>
        <v>0</v>
      </c>
      <c r="AO68" s="71"/>
      <c r="AP68" s="71"/>
      <c r="AQ68" s="71">
        <f ca="1">-IF(C68=1,('Invoer gegevens (N)'!$C$10*'Invoer gegevens (N)'!$I$33)*'Reeksen (N)'!J68,0)*2</f>
        <v>0</v>
      </c>
      <c r="AR68" s="71">
        <f ca="1">-IF(C68=1,(G68*'Invoer gegevens (N)'!$I$34)*'Reeksen (N)'!J68,0)</f>
        <v>0</v>
      </c>
      <c r="AS68" s="71">
        <f ca="1">-IF(C68=1,'Invoer gegevens (N)'!$C$10*'Invoer gegevens (N)'!$I$35*'Reeksen (N)'!L68,0)</f>
        <v>0</v>
      </c>
      <c r="AT68" s="71">
        <f ca="1">-IF(C68=1,IF(E68='Invoer gegevens (N)'!$C$17,'Invoer gegevens (N)'!$C$11,Q68)*'Reeksen (N)'!S68*'Invoer gegevens (N)'!$C$18*'Reeksen (N)'!P68,0)</f>
        <v>0</v>
      </c>
      <c r="AU68" s="71">
        <f ca="1">-IF(C68=1,'Invoer gegevens (N)'!$C$10*'Invoer gegevens (N)'!$I$36*'Reeksen (N)'!H68,0)</f>
        <v>0</v>
      </c>
      <c r="AV68" s="71">
        <v>0</v>
      </c>
      <c r="AW68" s="71">
        <f t="shared" ca="1" si="7"/>
        <v>0</v>
      </c>
      <c r="AX68" s="71">
        <f ca="1">IF(E68&lt;'Invoer gegevens (N)'!$C$17+15,0,IF(E68&gt;'Invoer gegevens (N)'!$C$17+215,0,AW68))</f>
        <v>0</v>
      </c>
      <c r="AY68" s="71">
        <f ca="1">AX68/(1+'Invoer gegevens (N)'!$F$13)^($AZ68-('Invoer gegevens (N)'!$C$17-'Invoer gegevens (N)'!$C$16))/(1+'Invoer gegevens (N)'!$C$39)^('Invoer gegevens (N)'!$C$17-'Invoer gegevens (N)'!$C$16)</f>
        <v>0</v>
      </c>
      <c r="AZ68" s="68">
        <f ca="1">IF(E68-'Invoer gegevens (N)'!$C$17-14.5&lt;0,0,E68-'Invoer gegevens (N)'!$C$17-14.5)</f>
        <v>48.5</v>
      </c>
    </row>
    <row r="69" spans="2:52" x14ac:dyDescent="0.25">
      <c r="B69" s="70">
        <f t="shared" si="8"/>
        <v>65</v>
      </c>
      <c r="C69" s="67">
        <f ca="1">IF(E69-'Invoer gegevens (N)'!$C$17&lt;0,0,1)</f>
        <v>1</v>
      </c>
      <c r="D69" s="68">
        <f t="shared" si="9"/>
        <v>64.5</v>
      </c>
      <c r="E69" s="69">
        <f ca="1">IF('Invoer gegevens (N)'!$C$16="","",E68+1)</f>
        <v>2083</v>
      </c>
      <c r="F69" s="82">
        <f ca="1">IF('Invoer gegevens (N)'!$C$17=E69,'Invoer gegevens (N)'!$C$10,IF(C69=1,H68,0))</f>
        <v>0</v>
      </c>
      <c r="G69" s="83">
        <f ca="1">IF(C69&gt;=1,F69*'Reeksen (N)'!C69,0)</f>
        <v>0</v>
      </c>
      <c r="H69" s="84">
        <f t="shared" ca="1" si="3"/>
        <v>0</v>
      </c>
      <c r="I69" s="85">
        <f ca="1">IF('Invoer gegevens (N)'!$C$17=E69,'Invoer gegevens (N)'!$C$11,IF(C69=1,L68,0))</f>
        <v>0</v>
      </c>
      <c r="J69" s="86">
        <f ca="1">IF(C69&lt;1,0,IF('Reeksen (N)'!AK69&lt;='Reeksen (N)'!AE69,I69*'Reeksen (N)'!C69,0))</f>
        <v>0</v>
      </c>
      <c r="K69" s="86">
        <f ca="1">IF(C69&lt;1,0,IF('Reeksen (N)'!AK69&gt;'Reeksen (N)'!AE69,I69*'Reeksen (N)'!C69,0))</f>
        <v>0</v>
      </c>
      <c r="L69" s="86">
        <f t="shared" ca="1" si="4"/>
        <v>0</v>
      </c>
      <c r="M69" s="85">
        <f ca="1">IF('Invoer gegevens (N)'!$C$17=E69,'Invoer gegevens (N)'!$C$10-'Invoer gegevens (N)'!$C$11,IF(C69=1,P68,0))</f>
        <v>0</v>
      </c>
      <c r="N69" s="86">
        <f ca="1">IF(C69&lt;1,0,IF('Reeksen (N)'!AK69&lt;='Reeksen (N)'!AE69,M69*'Reeksen (N)'!C69,0))</f>
        <v>0</v>
      </c>
      <c r="O69" s="86">
        <f ca="1">IF(C69&lt;1,0,IF('Reeksen (N)'!AK69&gt;'Reeksen (N)'!AE69,M69*'Reeksen (N)'!C69,0))</f>
        <v>0</v>
      </c>
      <c r="P69" s="86">
        <f t="shared" ca="1" si="5"/>
        <v>0</v>
      </c>
      <c r="Q69" s="82">
        <f ca="1">IF('Invoer gegevens (N)'!$C$17=E69,I69,IF(C69=0,0,R68))</f>
        <v>0</v>
      </c>
      <c r="R69" s="84">
        <f t="shared" ref="R69:R132" ca="1" si="10">IF(C69=0,0,Q69-K69+N69)</f>
        <v>0</v>
      </c>
      <c r="S69" s="84">
        <f ca="1">IF('Invoer gegevens (N)'!$C$17=E69,M69,IF(C69=0,0,T68))</f>
        <v>0</v>
      </c>
      <c r="T69" s="84">
        <f t="shared" ref="T69:T132" ca="1" si="11">IF(C69=0,0,S69-N69+K69)</f>
        <v>0</v>
      </c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8"/>
      <c r="AI69" s="71">
        <f ca="1">IF(C69=1,((F69+H69)/2*'Reeksen (N)'!AJ69*12)+(('Invoer gegevens (N)'!$C$10-(F69+H69)/2)*'Reeksen (N)'!AK69*12),0)</f>
        <v>0</v>
      </c>
      <c r="AJ69" s="71">
        <f ca="1">-AI69*'Invoer gegevens (N)'!$F$28</f>
        <v>0</v>
      </c>
      <c r="AK69" s="71">
        <f t="shared" ref="AK69:AK132" ca="1" si="12">AI69+AJ69</f>
        <v>0</v>
      </c>
      <c r="AL69" s="71">
        <f ca="1">IF(C69=1,(12*((F69+H69)/2)*'Reeksen (N)'!AL69)+(12*('Invoer gegevens (N)'!$C$10-(F69+H69)/2)*'Reeksen (N)'!AM69),0)</f>
        <v>0</v>
      </c>
      <c r="AM69" s="71">
        <f ca="1">-AL69*'Invoer gegevens (N)'!$F$31</f>
        <v>0</v>
      </c>
      <c r="AN69" s="71">
        <f t="shared" ca="1" si="6"/>
        <v>0</v>
      </c>
      <c r="AO69" s="71"/>
      <c r="AP69" s="71"/>
      <c r="AQ69" s="71">
        <f ca="1">-IF(C69=1,('Invoer gegevens (N)'!$C$10*'Invoer gegevens (N)'!$I$33)*'Reeksen (N)'!J69,0)*2</f>
        <v>0</v>
      </c>
      <c r="AR69" s="71">
        <f ca="1">-IF(C69=1,(G69*'Invoer gegevens (N)'!$I$34)*'Reeksen (N)'!J69,0)</f>
        <v>0</v>
      </c>
      <c r="AS69" s="71">
        <f ca="1">-IF(C69=1,'Invoer gegevens (N)'!$C$10*'Invoer gegevens (N)'!$I$35*'Reeksen (N)'!L69,0)</f>
        <v>0</v>
      </c>
      <c r="AT69" s="71">
        <f ca="1">-IF(C69=1,IF(E69='Invoer gegevens (N)'!$C$17,'Invoer gegevens (N)'!$C$11,Q69)*'Reeksen (N)'!S69*'Invoer gegevens (N)'!$C$18*'Reeksen (N)'!P69,0)</f>
        <v>0</v>
      </c>
      <c r="AU69" s="71">
        <f ca="1">-IF(C69=1,'Invoer gegevens (N)'!$C$10*'Invoer gegevens (N)'!$I$36*'Reeksen (N)'!H69,0)</f>
        <v>0</v>
      </c>
      <c r="AV69" s="71">
        <v>0</v>
      </c>
      <c r="AW69" s="71">
        <f t="shared" ca="1" si="7"/>
        <v>0</v>
      </c>
      <c r="AX69" s="71">
        <f ca="1">IF(E69&lt;'Invoer gegevens (N)'!$C$17+15,0,IF(E69&gt;'Invoer gegevens (N)'!$C$17+215,0,AW69))</f>
        <v>0</v>
      </c>
      <c r="AY69" s="71">
        <f ca="1">AX69/(1+'Invoer gegevens (N)'!$F$13)^($AZ69-('Invoer gegevens (N)'!$C$17-'Invoer gegevens (N)'!$C$16))/(1+'Invoer gegevens (N)'!$C$39)^('Invoer gegevens (N)'!$C$17-'Invoer gegevens (N)'!$C$16)</f>
        <v>0</v>
      </c>
      <c r="AZ69" s="68">
        <f ca="1">IF(E69-'Invoer gegevens (N)'!$C$17-14.5&lt;0,0,E69-'Invoer gegevens (N)'!$C$17-14.5)</f>
        <v>49.5</v>
      </c>
    </row>
    <row r="70" spans="2:52" x14ac:dyDescent="0.25">
      <c r="B70" s="70">
        <f t="shared" si="8"/>
        <v>66</v>
      </c>
      <c r="C70" s="67">
        <f ca="1">IF(E70-'Invoer gegevens (N)'!$C$17&lt;0,0,1)</f>
        <v>1</v>
      </c>
      <c r="D70" s="68">
        <f t="shared" si="9"/>
        <v>65.5</v>
      </c>
      <c r="E70" s="69">
        <f ca="1">IF('Invoer gegevens (N)'!$C$16="","",E69+1)</f>
        <v>2084</v>
      </c>
      <c r="F70" s="82">
        <f ca="1">IF('Invoer gegevens (N)'!$C$17=E70,'Invoer gegevens (N)'!$C$10,IF(C70=1,H69,0))</f>
        <v>0</v>
      </c>
      <c r="G70" s="83">
        <f ca="1">IF(C70&gt;=1,F70*'Reeksen (N)'!C70,0)</f>
        <v>0</v>
      </c>
      <c r="H70" s="84">
        <f t="shared" ref="H70:H133" ca="1" si="13">F70-G70</f>
        <v>0</v>
      </c>
      <c r="I70" s="85">
        <f ca="1">IF('Invoer gegevens (N)'!$C$17=E70,'Invoer gegevens (N)'!$C$11,IF(C70=1,L69,0))</f>
        <v>0</v>
      </c>
      <c r="J70" s="86">
        <f ca="1">IF(C70&lt;1,0,IF('Reeksen (N)'!AK70&lt;='Reeksen (N)'!AE70,I70*'Reeksen (N)'!C70,0))</f>
        <v>0</v>
      </c>
      <c r="K70" s="86">
        <f ca="1">IF(C70&lt;1,0,IF('Reeksen (N)'!AK70&gt;'Reeksen (N)'!AE70,I70*'Reeksen (N)'!C70,0))</f>
        <v>0</v>
      </c>
      <c r="L70" s="86">
        <f t="shared" ref="L70:L133" ca="1" si="14">I70-J70-K70</f>
        <v>0</v>
      </c>
      <c r="M70" s="85">
        <f ca="1">IF('Invoer gegevens (N)'!$C$17=E70,'Invoer gegevens (N)'!$C$10-'Invoer gegevens (N)'!$C$11,IF(C70=1,P69,0))</f>
        <v>0</v>
      </c>
      <c r="N70" s="86">
        <f ca="1">IF(C70&lt;1,0,IF('Reeksen (N)'!AK70&lt;='Reeksen (N)'!AE70,M70*'Reeksen (N)'!C70,0))</f>
        <v>0</v>
      </c>
      <c r="O70" s="86">
        <f ca="1">IF(C70&lt;1,0,IF('Reeksen (N)'!AK70&gt;'Reeksen (N)'!AE70,M70*'Reeksen (N)'!C70,0))</f>
        <v>0</v>
      </c>
      <c r="P70" s="86">
        <f t="shared" ref="P70:P133" ca="1" si="15">M70-N70-O70</f>
        <v>0</v>
      </c>
      <c r="Q70" s="82">
        <f ca="1">IF('Invoer gegevens (N)'!$C$17=E70,I70,IF(C70=0,0,R69))</f>
        <v>0</v>
      </c>
      <c r="R70" s="84">
        <f t="shared" ca="1" si="10"/>
        <v>0</v>
      </c>
      <c r="S70" s="84">
        <f ca="1">IF('Invoer gegevens (N)'!$C$17=E70,M70,IF(C70=0,0,T69))</f>
        <v>0</v>
      </c>
      <c r="T70" s="84">
        <f t="shared" ca="1" si="11"/>
        <v>0</v>
      </c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8"/>
      <c r="AI70" s="71">
        <f ca="1">IF(C70=1,((F70+H70)/2*'Reeksen (N)'!AJ70*12)+(('Invoer gegevens (N)'!$C$10-(F70+H70)/2)*'Reeksen (N)'!AK70*12),0)</f>
        <v>0</v>
      </c>
      <c r="AJ70" s="71">
        <f ca="1">-AI70*'Invoer gegevens (N)'!$F$28</f>
        <v>0</v>
      </c>
      <c r="AK70" s="71">
        <f t="shared" ca="1" si="12"/>
        <v>0</v>
      </c>
      <c r="AL70" s="71">
        <f ca="1">IF(C70=1,(12*((F70+H70)/2)*'Reeksen (N)'!AL70)+(12*('Invoer gegevens (N)'!$C$10-(F70+H70)/2)*'Reeksen (N)'!AM70),0)</f>
        <v>0</v>
      </c>
      <c r="AM70" s="71">
        <f ca="1">-AL70*'Invoer gegevens (N)'!$F$31</f>
        <v>0</v>
      </c>
      <c r="AN70" s="71">
        <f t="shared" ref="AN70:AN133" ca="1" si="16">AL70+AM70</f>
        <v>0</v>
      </c>
      <c r="AO70" s="71"/>
      <c r="AP70" s="71"/>
      <c r="AQ70" s="71">
        <f ca="1">-IF(C70=1,('Invoer gegevens (N)'!$C$10*'Invoer gegevens (N)'!$I$33)*'Reeksen (N)'!J70,0)*2</f>
        <v>0</v>
      </c>
      <c r="AR70" s="71">
        <f ca="1">-IF(C70=1,(G70*'Invoer gegevens (N)'!$I$34)*'Reeksen (N)'!J70,0)</f>
        <v>0</v>
      </c>
      <c r="AS70" s="71">
        <f ca="1">-IF(C70=1,'Invoer gegevens (N)'!$C$10*'Invoer gegevens (N)'!$I$35*'Reeksen (N)'!L70,0)</f>
        <v>0</v>
      </c>
      <c r="AT70" s="71">
        <f ca="1">-IF(C70=1,IF(E70='Invoer gegevens (N)'!$C$17,'Invoer gegevens (N)'!$C$11,Q70)*'Reeksen (N)'!S70*'Invoer gegevens (N)'!$C$18*'Reeksen (N)'!P70,0)</f>
        <v>0</v>
      </c>
      <c r="AU70" s="71">
        <f ca="1">-IF(C70=1,'Invoer gegevens (N)'!$C$10*'Invoer gegevens (N)'!$I$36*'Reeksen (N)'!H70,0)</f>
        <v>0</v>
      </c>
      <c r="AV70" s="71">
        <v>0</v>
      </c>
      <c r="AW70" s="71">
        <f t="shared" ref="AW70:AW133" ca="1" si="17">SUM(AK70,AN70:AV70)</f>
        <v>0</v>
      </c>
      <c r="AX70" s="71">
        <f ca="1">IF(E70&lt;'Invoer gegevens (N)'!$C$17+15,0,IF(E70&gt;'Invoer gegevens (N)'!$C$17+215,0,AW70))</f>
        <v>0</v>
      </c>
      <c r="AY70" s="71">
        <f ca="1">AX70/(1+'Invoer gegevens (N)'!$F$13)^($AZ70-('Invoer gegevens (N)'!$C$17-'Invoer gegevens (N)'!$C$16))/(1+'Invoer gegevens (N)'!$C$39)^('Invoer gegevens (N)'!$C$17-'Invoer gegevens (N)'!$C$16)</f>
        <v>0</v>
      </c>
      <c r="AZ70" s="68">
        <f ca="1">IF(E70-'Invoer gegevens (N)'!$C$17-14.5&lt;0,0,E70-'Invoer gegevens (N)'!$C$17-14.5)</f>
        <v>50.5</v>
      </c>
    </row>
    <row r="71" spans="2:52" x14ac:dyDescent="0.25">
      <c r="B71" s="70">
        <f t="shared" ref="B71:B134" si="18">B70+1</f>
        <v>67</v>
      </c>
      <c r="C71" s="67">
        <f ca="1">IF(E71-'Invoer gegevens (N)'!$C$17&lt;0,0,1)</f>
        <v>1</v>
      </c>
      <c r="D71" s="68">
        <f t="shared" ref="D71:D134" si="19">D70+1</f>
        <v>66.5</v>
      </c>
      <c r="E71" s="69">
        <f ca="1">IF('Invoer gegevens (N)'!$C$16="","",E70+1)</f>
        <v>2085</v>
      </c>
      <c r="F71" s="82">
        <f ca="1">IF('Invoer gegevens (N)'!$C$17=E71,'Invoer gegevens (N)'!$C$10,IF(C71=1,H70,0))</f>
        <v>0</v>
      </c>
      <c r="G71" s="83">
        <f ca="1">IF(C71&gt;=1,F71*'Reeksen (N)'!C71,0)</f>
        <v>0</v>
      </c>
      <c r="H71" s="84">
        <f t="shared" ca="1" si="13"/>
        <v>0</v>
      </c>
      <c r="I71" s="85">
        <f ca="1">IF('Invoer gegevens (N)'!$C$17=E71,'Invoer gegevens (N)'!$C$11,IF(C71=1,L70,0))</f>
        <v>0</v>
      </c>
      <c r="J71" s="86">
        <f ca="1">IF(C71&lt;1,0,IF('Reeksen (N)'!AK71&lt;='Reeksen (N)'!AE71,I71*'Reeksen (N)'!C71,0))</f>
        <v>0</v>
      </c>
      <c r="K71" s="86">
        <f ca="1">IF(C71&lt;1,0,IF('Reeksen (N)'!AK71&gt;'Reeksen (N)'!AE71,I71*'Reeksen (N)'!C71,0))</f>
        <v>0</v>
      </c>
      <c r="L71" s="86">
        <f t="shared" ca="1" si="14"/>
        <v>0</v>
      </c>
      <c r="M71" s="85">
        <f ca="1">IF('Invoer gegevens (N)'!$C$17=E71,'Invoer gegevens (N)'!$C$10-'Invoer gegevens (N)'!$C$11,IF(C71=1,P70,0))</f>
        <v>0</v>
      </c>
      <c r="N71" s="86">
        <f ca="1">IF(C71&lt;1,0,IF('Reeksen (N)'!AK71&lt;='Reeksen (N)'!AE71,M71*'Reeksen (N)'!C71,0))</f>
        <v>0</v>
      </c>
      <c r="O71" s="86">
        <f ca="1">IF(C71&lt;1,0,IF('Reeksen (N)'!AK71&gt;'Reeksen (N)'!AE71,M71*'Reeksen (N)'!C71,0))</f>
        <v>0</v>
      </c>
      <c r="P71" s="86">
        <f t="shared" ca="1" si="15"/>
        <v>0</v>
      </c>
      <c r="Q71" s="82">
        <f ca="1">IF('Invoer gegevens (N)'!$C$17=E71,I71,IF(C71=0,0,R70))</f>
        <v>0</v>
      </c>
      <c r="R71" s="84">
        <f t="shared" ca="1" si="10"/>
        <v>0</v>
      </c>
      <c r="S71" s="84">
        <f ca="1">IF('Invoer gegevens (N)'!$C$17=E71,M71,IF(C71=0,0,T70))</f>
        <v>0</v>
      </c>
      <c r="T71" s="84">
        <f t="shared" ca="1" si="11"/>
        <v>0</v>
      </c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8"/>
      <c r="AI71" s="71">
        <f ca="1">IF(C71=1,((F71+H71)/2*'Reeksen (N)'!AJ71*12)+(('Invoer gegevens (N)'!$C$10-(F71+H71)/2)*'Reeksen (N)'!AK71*12),0)</f>
        <v>0</v>
      </c>
      <c r="AJ71" s="71">
        <f ca="1">-AI71*'Invoer gegevens (N)'!$F$28</f>
        <v>0</v>
      </c>
      <c r="AK71" s="71">
        <f t="shared" ca="1" si="12"/>
        <v>0</v>
      </c>
      <c r="AL71" s="71">
        <f ca="1">IF(C71=1,(12*((F71+H71)/2)*'Reeksen (N)'!AL71)+(12*('Invoer gegevens (N)'!$C$10-(F71+H71)/2)*'Reeksen (N)'!AM71),0)</f>
        <v>0</v>
      </c>
      <c r="AM71" s="71">
        <f ca="1">-AL71*'Invoer gegevens (N)'!$F$31</f>
        <v>0</v>
      </c>
      <c r="AN71" s="71">
        <f t="shared" ca="1" si="16"/>
        <v>0</v>
      </c>
      <c r="AO71" s="71"/>
      <c r="AP71" s="71"/>
      <c r="AQ71" s="71">
        <f ca="1">-IF(C71=1,('Invoer gegevens (N)'!$C$10*'Invoer gegevens (N)'!$I$33)*'Reeksen (N)'!J71,0)*2</f>
        <v>0</v>
      </c>
      <c r="AR71" s="71">
        <f ca="1">-IF(C71=1,(G71*'Invoer gegevens (N)'!$I$34)*'Reeksen (N)'!J71,0)</f>
        <v>0</v>
      </c>
      <c r="AS71" s="71">
        <f ca="1">-IF(C71=1,'Invoer gegevens (N)'!$C$10*'Invoer gegevens (N)'!$I$35*'Reeksen (N)'!L71,0)</f>
        <v>0</v>
      </c>
      <c r="AT71" s="71">
        <f ca="1">-IF(C71=1,IF(E71='Invoer gegevens (N)'!$C$17,'Invoer gegevens (N)'!$C$11,Q71)*'Reeksen (N)'!S71*'Invoer gegevens (N)'!$C$18*'Reeksen (N)'!P71,0)</f>
        <v>0</v>
      </c>
      <c r="AU71" s="71">
        <f ca="1">-IF(C71=1,'Invoer gegevens (N)'!$C$10*'Invoer gegevens (N)'!$I$36*'Reeksen (N)'!H71,0)</f>
        <v>0</v>
      </c>
      <c r="AV71" s="71">
        <v>0</v>
      </c>
      <c r="AW71" s="71">
        <f t="shared" ca="1" si="17"/>
        <v>0</v>
      </c>
      <c r="AX71" s="71">
        <f ca="1">IF(E71&lt;'Invoer gegevens (N)'!$C$17+15,0,IF(E71&gt;'Invoer gegevens (N)'!$C$17+215,0,AW71))</f>
        <v>0</v>
      </c>
      <c r="AY71" s="71">
        <f ca="1">AX71/(1+'Invoer gegevens (N)'!$F$13)^($AZ71-('Invoer gegevens (N)'!$C$17-'Invoer gegevens (N)'!$C$16))/(1+'Invoer gegevens (N)'!$C$39)^('Invoer gegevens (N)'!$C$17-'Invoer gegevens (N)'!$C$16)</f>
        <v>0</v>
      </c>
      <c r="AZ71" s="68">
        <f ca="1">IF(E71-'Invoer gegevens (N)'!$C$17-14.5&lt;0,0,E71-'Invoer gegevens (N)'!$C$17-14.5)</f>
        <v>51.5</v>
      </c>
    </row>
    <row r="72" spans="2:52" x14ac:dyDescent="0.25">
      <c r="B72" s="70">
        <f t="shared" si="18"/>
        <v>68</v>
      </c>
      <c r="C72" s="67">
        <f ca="1">IF(E72-'Invoer gegevens (N)'!$C$17&lt;0,0,1)</f>
        <v>1</v>
      </c>
      <c r="D72" s="68">
        <f t="shared" si="19"/>
        <v>67.5</v>
      </c>
      <c r="E72" s="69">
        <f ca="1">IF('Invoer gegevens (N)'!$C$16="","",E71+1)</f>
        <v>2086</v>
      </c>
      <c r="F72" s="82">
        <f ca="1">IF('Invoer gegevens (N)'!$C$17=E72,'Invoer gegevens (N)'!$C$10,IF(C72=1,H71,0))</f>
        <v>0</v>
      </c>
      <c r="G72" s="83">
        <f ca="1">IF(C72&gt;=1,F72*'Reeksen (N)'!C72,0)</f>
        <v>0</v>
      </c>
      <c r="H72" s="84">
        <f t="shared" ca="1" si="13"/>
        <v>0</v>
      </c>
      <c r="I72" s="85">
        <f ca="1">IF('Invoer gegevens (N)'!$C$17=E72,'Invoer gegevens (N)'!$C$11,IF(C72=1,L71,0))</f>
        <v>0</v>
      </c>
      <c r="J72" s="86">
        <f ca="1">IF(C72&lt;1,0,IF('Reeksen (N)'!AK72&lt;='Reeksen (N)'!AE72,I72*'Reeksen (N)'!C72,0))</f>
        <v>0</v>
      </c>
      <c r="K72" s="86">
        <f ca="1">IF(C72&lt;1,0,IF('Reeksen (N)'!AK72&gt;'Reeksen (N)'!AE72,I72*'Reeksen (N)'!C72,0))</f>
        <v>0</v>
      </c>
      <c r="L72" s="86">
        <f t="shared" ca="1" si="14"/>
        <v>0</v>
      </c>
      <c r="M72" s="85">
        <f ca="1">IF('Invoer gegevens (N)'!$C$17=E72,'Invoer gegevens (N)'!$C$10-'Invoer gegevens (N)'!$C$11,IF(C72=1,P71,0))</f>
        <v>0</v>
      </c>
      <c r="N72" s="86">
        <f ca="1">IF(C72&lt;1,0,IF('Reeksen (N)'!AK72&lt;='Reeksen (N)'!AE72,M72*'Reeksen (N)'!C72,0))</f>
        <v>0</v>
      </c>
      <c r="O72" s="86">
        <f ca="1">IF(C72&lt;1,0,IF('Reeksen (N)'!AK72&gt;'Reeksen (N)'!AE72,M72*'Reeksen (N)'!C72,0))</f>
        <v>0</v>
      </c>
      <c r="P72" s="86">
        <f t="shared" ca="1" si="15"/>
        <v>0</v>
      </c>
      <c r="Q72" s="82">
        <f ca="1">IF('Invoer gegevens (N)'!$C$17=E72,I72,IF(C72=0,0,R71))</f>
        <v>0</v>
      </c>
      <c r="R72" s="84">
        <f t="shared" ca="1" si="10"/>
        <v>0</v>
      </c>
      <c r="S72" s="84">
        <f ca="1">IF('Invoer gegevens (N)'!$C$17=E72,M72,IF(C72=0,0,T71))</f>
        <v>0</v>
      </c>
      <c r="T72" s="84">
        <f t="shared" ca="1" si="11"/>
        <v>0</v>
      </c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8"/>
      <c r="AI72" s="71">
        <f ca="1">IF(C72=1,((F72+H72)/2*'Reeksen (N)'!AJ72*12)+(('Invoer gegevens (N)'!$C$10-(F72+H72)/2)*'Reeksen (N)'!AK72*12),0)</f>
        <v>0</v>
      </c>
      <c r="AJ72" s="71">
        <f ca="1">-AI72*'Invoer gegevens (N)'!$F$28</f>
        <v>0</v>
      </c>
      <c r="AK72" s="71">
        <f t="shared" ca="1" si="12"/>
        <v>0</v>
      </c>
      <c r="AL72" s="71">
        <f ca="1">IF(C72=1,(12*((F72+H72)/2)*'Reeksen (N)'!AL72)+(12*('Invoer gegevens (N)'!$C$10-(F72+H72)/2)*'Reeksen (N)'!AM72),0)</f>
        <v>0</v>
      </c>
      <c r="AM72" s="71">
        <f ca="1">-AL72*'Invoer gegevens (N)'!$F$31</f>
        <v>0</v>
      </c>
      <c r="AN72" s="71">
        <f t="shared" ca="1" si="16"/>
        <v>0</v>
      </c>
      <c r="AO72" s="71"/>
      <c r="AP72" s="71"/>
      <c r="AQ72" s="71">
        <f ca="1">-IF(C72=1,('Invoer gegevens (N)'!$C$10*'Invoer gegevens (N)'!$I$33)*'Reeksen (N)'!J72,0)*2</f>
        <v>0</v>
      </c>
      <c r="AR72" s="71">
        <f ca="1">-IF(C72=1,(G72*'Invoer gegevens (N)'!$I$34)*'Reeksen (N)'!J72,0)</f>
        <v>0</v>
      </c>
      <c r="AS72" s="71">
        <f ca="1">-IF(C72=1,'Invoer gegevens (N)'!$C$10*'Invoer gegevens (N)'!$I$35*'Reeksen (N)'!L72,0)</f>
        <v>0</v>
      </c>
      <c r="AT72" s="71">
        <f ca="1">-IF(C72=1,IF(E72='Invoer gegevens (N)'!$C$17,'Invoer gegevens (N)'!$C$11,Q72)*'Reeksen (N)'!S72*'Invoer gegevens (N)'!$C$18*'Reeksen (N)'!P72,0)</f>
        <v>0</v>
      </c>
      <c r="AU72" s="71">
        <f ca="1">-IF(C72=1,'Invoer gegevens (N)'!$C$10*'Invoer gegevens (N)'!$I$36*'Reeksen (N)'!H72,0)</f>
        <v>0</v>
      </c>
      <c r="AV72" s="71">
        <v>0</v>
      </c>
      <c r="AW72" s="71">
        <f t="shared" ca="1" si="17"/>
        <v>0</v>
      </c>
      <c r="AX72" s="71">
        <f ca="1">IF(E72&lt;'Invoer gegevens (N)'!$C$17+15,0,IF(E72&gt;'Invoer gegevens (N)'!$C$17+215,0,AW72))</f>
        <v>0</v>
      </c>
      <c r="AY72" s="71">
        <f ca="1">AX72/(1+'Invoer gegevens (N)'!$F$13)^($AZ72-('Invoer gegevens (N)'!$C$17-'Invoer gegevens (N)'!$C$16))/(1+'Invoer gegevens (N)'!$C$39)^('Invoer gegevens (N)'!$C$17-'Invoer gegevens (N)'!$C$16)</f>
        <v>0</v>
      </c>
      <c r="AZ72" s="68">
        <f ca="1">IF(E72-'Invoer gegevens (N)'!$C$17-14.5&lt;0,0,E72-'Invoer gegevens (N)'!$C$17-14.5)</f>
        <v>52.5</v>
      </c>
    </row>
    <row r="73" spans="2:52" x14ac:dyDescent="0.25">
      <c r="B73" s="70">
        <f t="shared" si="18"/>
        <v>69</v>
      </c>
      <c r="C73" s="67">
        <f ca="1">IF(E73-'Invoer gegevens (N)'!$C$17&lt;0,0,1)</f>
        <v>1</v>
      </c>
      <c r="D73" s="68">
        <f t="shared" si="19"/>
        <v>68.5</v>
      </c>
      <c r="E73" s="69">
        <f ca="1">IF('Invoer gegevens (N)'!$C$16="","",E72+1)</f>
        <v>2087</v>
      </c>
      <c r="F73" s="82">
        <f ca="1">IF('Invoer gegevens (N)'!$C$17=E73,'Invoer gegevens (N)'!$C$10,IF(C73=1,H72,0))</f>
        <v>0</v>
      </c>
      <c r="G73" s="83">
        <f ca="1">IF(C73&gt;=1,F73*'Reeksen (N)'!C73,0)</f>
        <v>0</v>
      </c>
      <c r="H73" s="84">
        <f t="shared" ca="1" si="13"/>
        <v>0</v>
      </c>
      <c r="I73" s="85">
        <f ca="1">IF('Invoer gegevens (N)'!$C$17=E73,'Invoer gegevens (N)'!$C$11,IF(C73=1,L72,0))</f>
        <v>0</v>
      </c>
      <c r="J73" s="86">
        <f ca="1">IF(C73&lt;1,0,IF('Reeksen (N)'!AK73&lt;='Reeksen (N)'!AE73,I73*'Reeksen (N)'!C73,0))</f>
        <v>0</v>
      </c>
      <c r="K73" s="86">
        <f ca="1">IF(C73&lt;1,0,IF('Reeksen (N)'!AK73&gt;'Reeksen (N)'!AE73,I73*'Reeksen (N)'!C73,0))</f>
        <v>0</v>
      </c>
      <c r="L73" s="86">
        <f t="shared" ca="1" si="14"/>
        <v>0</v>
      </c>
      <c r="M73" s="85">
        <f ca="1">IF('Invoer gegevens (N)'!$C$17=E73,'Invoer gegevens (N)'!$C$10-'Invoer gegevens (N)'!$C$11,IF(C73=1,P72,0))</f>
        <v>0</v>
      </c>
      <c r="N73" s="86">
        <f ca="1">IF(C73&lt;1,0,IF('Reeksen (N)'!AK73&lt;='Reeksen (N)'!AE73,M73*'Reeksen (N)'!C73,0))</f>
        <v>0</v>
      </c>
      <c r="O73" s="86">
        <f ca="1">IF(C73&lt;1,0,IF('Reeksen (N)'!AK73&gt;'Reeksen (N)'!AE73,M73*'Reeksen (N)'!C73,0))</f>
        <v>0</v>
      </c>
      <c r="P73" s="86">
        <f t="shared" ca="1" si="15"/>
        <v>0</v>
      </c>
      <c r="Q73" s="82">
        <f ca="1">IF('Invoer gegevens (N)'!$C$17=E73,I73,IF(C73=0,0,R72))</f>
        <v>0</v>
      </c>
      <c r="R73" s="84">
        <f t="shared" ca="1" si="10"/>
        <v>0</v>
      </c>
      <c r="S73" s="84">
        <f ca="1">IF('Invoer gegevens (N)'!$C$17=E73,M73,IF(C73=0,0,T72))</f>
        <v>0</v>
      </c>
      <c r="T73" s="84">
        <f t="shared" ca="1" si="11"/>
        <v>0</v>
      </c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8"/>
      <c r="AI73" s="71">
        <f ca="1">IF(C73=1,((F73+H73)/2*'Reeksen (N)'!AJ73*12)+(('Invoer gegevens (N)'!$C$10-(F73+H73)/2)*'Reeksen (N)'!AK73*12),0)</f>
        <v>0</v>
      </c>
      <c r="AJ73" s="71">
        <f ca="1">-AI73*'Invoer gegevens (N)'!$F$28</f>
        <v>0</v>
      </c>
      <c r="AK73" s="71">
        <f t="shared" ca="1" si="12"/>
        <v>0</v>
      </c>
      <c r="AL73" s="71">
        <f ca="1">IF(C73=1,(12*((F73+H73)/2)*'Reeksen (N)'!AL73)+(12*('Invoer gegevens (N)'!$C$10-(F73+H73)/2)*'Reeksen (N)'!AM73),0)</f>
        <v>0</v>
      </c>
      <c r="AM73" s="71">
        <f ca="1">-AL73*'Invoer gegevens (N)'!$F$31</f>
        <v>0</v>
      </c>
      <c r="AN73" s="71">
        <f t="shared" ca="1" si="16"/>
        <v>0</v>
      </c>
      <c r="AO73" s="71"/>
      <c r="AP73" s="71"/>
      <c r="AQ73" s="71">
        <f ca="1">-IF(C73=1,('Invoer gegevens (N)'!$C$10*'Invoer gegevens (N)'!$I$33)*'Reeksen (N)'!J73,0)*2</f>
        <v>0</v>
      </c>
      <c r="AR73" s="71">
        <f ca="1">-IF(C73=1,(G73*'Invoer gegevens (N)'!$I$34)*'Reeksen (N)'!J73,0)</f>
        <v>0</v>
      </c>
      <c r="AS73" s="71">
        <f ca="1">-IF(C73=1,'Invoer gegevens (N)'!$C$10*'Invoer gegevens (N)'!$I$35*'Reeksen (N)'!L73,0)</f>
        <v>0</v>
      </c>
      <c r="AT73" s="71">
        <f ca="1">-IF(C73=1,IF(E73='Invoer gegevens (N)'!$C$17,'Invoer gegevens (N)'!$C$11,Q73)*'Reeksen (N)'!S73*'Invoer gegevens (N)'!$C$18*'Reeksen (N)'!P73,0)</f>
        <v>0</v>
      </c>
      <c r="AU73" s="71">
        <f ca="1">-IF(C73=1,'Invoer gegevens (N)'!$C$10*'Invoer gegevens (N)'!$I$36*'Reeksen (N)'!H73,0)</f>
        <v>0</v>
      </c>
      <c r="AV73" s="71">
        <v>0</v>
      </c>
      <c r="AW73" s="71">
        <f t="shared" ca="1" si="17"/>
        <v>0</v>
      </c>
      <c r="AX73" s="71">
        <f ca="1">IF(E73&lt;'Invoer gegevens (N)'!$C$17+15,0,IF(E73&gt;'Invoer gegevens (N)'!$C$17+215,0,AW73))</f>
        <v>0</v>
      </c>
      <c r="AY73" s="71">
        <f ca="1">AX73/(1+'Invoer gegevens (N)'!$F$13)^($AZ73-('Invoer gegevens (N)'!$C$17-'Invoer gegevens (N)'!$C$16))/(1+'Invoer gegevens (N)'!$C$39)^('Invoer gegevens (N)'!$C$17-'Invoer gegevens (N)'!$C$16)</f>
        <v>0</v>
      </c>
      <c r="AZ73" s="68">
        <f ca="1">IF(E73-'Invoer gegevens (N)'!$C$17-14.5&lt;0,0,E73-'Invoer gegevens (N)'!$C$17-14.5)</f>
        <v>53.5</v>
      </c>
    </row>
    <row r="74" spans="2:52" x14ac:dyDescent="0.25">
      <c r="B74" s="70">
        <f t="shared" si="18"/>
        <v>70</v>
      </c>
      <c r="C74" s="67">
        <f ca="1">IF(E74-'Invoer gegevens (N)'!$C$17&lt;0,0,1)</f>
        <v>1</v>
      </c>
      <c r="D74" s="68">
        <f t="shared" si="19"/>
        <v>69.5</v>
      </c>
      <c r="E74" s="69">
        <f ca="1">IF('Invoer gegevens (N)'!$C$16="","",E73+1)</f>
        <v>2088</v>
      </c>
      <c r="F74" s="82">
        <f ca="1">IF('Invoer gegevens (N)'!$C$17=E74,'Invoer gegevens (N)'!$C$10,IF(C74=1,H73,0))</f>
        <v>0</v>
      </c>
      <c r="G74" s="83">
        <f ca="1">IF(C74&gt;=1,F74*'Reeksen (N)'!C74,0)</f>
        <v>0</v>
      </c>
      <c r="H74" s="84">
        <f t="shared" ca="1" si="13"/>
        <v>0</v>
      </c>
      <c r="I74" s="85">
        <f ca="1">IF('Invoer gegevens (N)'!$C$17=E74,'Invoer gegevens (N)'!$C$11,IF(C74=1,L73,0))</f>
        <v>0</v>
      </c>
      <c r="J74" s="86">
        <f ca="1">IF(C74&lt;1,0,IF('Reeksen (N)'!AK74&lt;='Reeksen (N)'!AE74,I74*'Reeksen (N)'!C74,0))</f>
        <v>0</v>
      </c>
      <c r="K74" s="86">
        <f ca="1">IF(C74&lt;1,0,IF('Reeksen (N)'!AK74&gt;'Reeksen (N)'!AE74,I74*'Reeksen (N)'!C74,0))</f>
        <v>0</v>
      </c>
      <c r="L74" s="86">
        <f t="shared" ca="1" si="14"/>
        <v>0</v>
      </c>
      <c r="M74" s="85">
        <f ca="1">IF('Invoer gegevens (N)'!$C$17=E74,'Invoer gegevens (N)'!$C$10-'Invoer gegevens (N)'!$C$11,IF(C74=1,P73,0))</f>
        <v>0</v>
      </c>
      <c r="N74" s="86">
        <f ca="1">IF(C74&lt;1,0,IF('Reeksen (N)'!AK74&lt;='Reeksen (N)'!AE74,M74*'Reeksen (N)'!C74,0))</f>
        <v>0</v>
      </c>
      <c r="O74" s="86">
        <f ca="1">IF(C74&lt;1,0,IF('Reeksen (N)'!AK74&gt;'Reeksen (N)'!AE74,M74*'Reeksen (N)'!C74,0))</f>
        <v>0</v>
      </c>
      <c r="P74" s="86">
        <f t="shared" ca="1" si="15"/>
        <v>0</v>
      </c>
      <c r="Q74" s="82">
        <f ca="1">IF('Invoer gegevens (N)'!$C$17=E74,I74,IF(C74=0,0,R73))</f>
        <v>0</v>
      </c>
      <c r="R74" s="84">
        <f t="shared" ca="1" si="10"/>
        <v>0</v>
      </c>
      <c r="S74" s="84">
        <f ca="1">IF('Invoer gegevens (N)'!$C$17=E74,M74,IF(C74=0,0,T73))</f>
        <v>0</v>
      </c>
      <c r="T74" s="84">
        <f t="shared" ca="1" si="11"/>
        <v>0</v>
      </c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8"/>
      <c r="AI74" s="71">
        <f ca="1">IF(C74=1,((F74+H74)/2*'Reeksen (N)'!AJ74*12)+(('Invoer gegevens (N)'!$C$10-(F74+H74)/2)*'Reeksen (N)'!AK74*12),0)</f>
        <v>0</v>
      </c>
      <c r="AJ74" s="71">
        <f ca="1">-AI74*'Invoer gegevens (N)'!$F$28</f>
        <v>0</v>
      </c>
      <c r="AK74" s="71">
        <f t="shared" ca="1" si="12"/>
        <v>0</v>
      </c>
      <c r="AL74" s="71">
        <f ca="1">IF(C74=1,(12*((F74+H74)/2)*'Reeksen (N)'!AL74)+(12*('Invoer gegevens (N)'!$C$10-(F74+H74)/2)*'Reeksen (N)'!AM74),0)</f>
        <v>0</v>
      </c>
      <c r="AM74" s="71">
        <f ca="1">-AL74*'Invoer gegevens (N)'!$F$31</f>
        <v>0</v>
      </c>
      <c r="AN74" s="71">
        <f t="shared" ca="1" si="16"/>
        <v>0</v>
      </c>
      <c r="AO74" s="71"/>
      <c r="AP74" s="71"/>
      <c r="AQ74" s="71">
        <f ca="1">-IF(C74=1,('Invoer gegevens (N)'!$C$10*'Invoer gegevens (N)'!$I$33)*'Reeksen (N)'!J74,0)*2</f>
        <v>0</v>
      </c>
      <c r="AR74" s="71">
        <f ca="1">-IF(C74=1,(G74*'Invoer gegevens (N)'!$I$34)*'Reeksen (N)'!J74,0)</f>
        <v>0</v>
      </c>
      <c r="AS74" s="71">
        <f ca="1">-IF(C74=1,'Invoer gegevens (N)'!$C$10*'Invoer gegevens (N)'!$I$35*'Reeksen (N)'!L74,0)</f>
        <v>0</v>
      </c>
      <c r="AT74" s="71">
        <f ca="1">-IF(C74=1,IF(E74='Invoer gegevens (N)'!$C$17,'Invoer gegevens (N)'!$C$11,Q74)*'Reeksen (N)'!S74*'Invoer gegevens (N)'!$C$18*'Reeksen (N)'!P74,0)</f>
        <v>0</v>
      </c>
      <c r="AU74" s="71">
        <f ca="1">-IF(C74=1,'Invoer gegevens (N)'!$C$10*'Invoer gegevens (N)'!$I$36*'Reeksen (N)'!H74,0)</f>
        <v>0</v>
      </c>
      <c r="AV74" s="71">
        <v>0</v>
      </c>
      <c r="AW74" s="71">
        <f t="shared" ca="1" si="17"/>
        <v>0</v>
      </c>
      <c r="AX74" s="71">
        <f ca="1">IF(E74&lt;'Invoer gegevens (N)'!$C$17+15,0,IF(E74&gt;'Invoer gegevens (N)'!$C$17+215,0,AW74))</f>
        <v>0</v>
      </c>
      <c r="AY74" s="71">
        <f ca="1">AX74/(1+'Invoer gegevens (N)'!$F$13)^($AZ74-('Invoer gegevens (N)'!$C$17-'Invoer gegevens (N)'!$C$16))/(1+'Invoer gegevens (N)'!$C$39)^('Invoer gegevens (N)'!$C$17-'Invoer gegevens (N)'!$C$16)</f>
        <v>0</v>
      </c>
      <c r="AZ74" s="68">
        <f ca="1">IF(E74-'Invoer gegevens (N)'!$C$17-14.5&lt;0,0,E74-'Invoer gegevens (N)'!$C$17-14.5)</f>
        <v>54.5</v>
      </c>
    </row>
    <row r="75" spans="2:52" x14ac:dyDescent="0.25">
      <c r="B75" s="70">
        <f t="shared" si="18"/>
        <v>71</v>
      </c>
      <c r="C75" s="67">
        <f ca="1">IF(E75-'Invoer gegevens (N)'!$C$17&lt;0,0,1)</f>
        <v>1</v>
      </c>
      <c r="D75" s="68">
        <f t="shared" si="19"/>
        <v>70.5</v>
      </c>
      <c r="E75" s="69">
        <f ca="1">IF('Invoer gegevens (N)'!$C$16="","",E74+1)</f>
        <v>2089</v>
      </c>
      <c r="F75" s="82">
        <f ca="1">IF('Invoer gegevens (N)'!$C$17=E75,'Invoer gegevens (N)'!$C$10,IF(C75=1,H74,0))</f>
        <v>0</v>
      </c>
      <c r="G75" s="83">
        <f ca="1">IF(C75&gt;=1,F75*'Reeksen (N)'!C75,0)</f>
        <v>0</v>
      </c>
      <c r="H75" s="84">
        <f t="shared" ca="1" si="13"/>
        <v>0</v>
      </c>
      <c r="I75" s="85">
        <f ca="1">IF('Invoer gegevens (N)'!$C$17=E75,'Invoer gegevens (N)'!$C$11,IF(C75=1,L74,0))</f>
        <v>0</v>
      </c>
      <c r="J75" s="86">
        <f ca="1">IF(C75&lt;1,0,IF('Reeksen (N)'!AK75&lt;='Reeksen (N)'!AE75,I75*'Reeksen (N)'!C75,0))</f>
        <v>0</v>
      </c>
      <c r="K75" s="86">
        <f ca="1">IF(C75&lt;1,0,IF('Reeksen (N)'!AK75&gt;'Reeksen (N)'!AE75,I75*'Reeksen (N)'!C75,0))</f>
        <v>0</v>
      </c>
      <c r="L75" s="86">
        <f t="shared" ca="1" si="14"/>
        <v>0</v>
      </c>
      <c r="M75" s="85">
        <f ca="1">IF('Invoer gegevens (N)'!$C$17=E75,'Invoer gegevens (N)'!$C$10-'Invoer gegevens (N)'!$C$11,IF(C75=1,P74,0))</f>
        <v>0</v>
      </c>
      <c r="N75" s="86">
        <f ca="1">IF(C75&lt;1,0,IF('Reeksen (N)'!AK75&lt;='Reeksen (N)'!AE75,M75*'Reeksen (N)'!C75,0))</f>
        <v>0</v>
      </c>
      <c r="O75" s="86">
        <f ca="1">IF(C75&lt;1,0,IF('Reeksen (N)'!AK75&gt;'Reeksen (N)'!AE75,M75*'Reeksen (N)'!C75,0))</f>
        <v>0</v>
      </c>
      <c r="P75" s="86">
        <f t="shared" ca="1" si="15"/>
        <v>0</v>
      </c>
      <c r="Q75" s="82">
        <f ca="1">IF('Invoer gegevens (N)'!$C$17=E75,I75,IF(C75=0,0,R74))</f>
        <v>0</v>
      </c>
      <c r="R75" s="84">
        <f t="shared" ca="1" si="10"/>
        <v>0</v>
      </c>
      <c r="S75" s="84">
        <f ca="1">IF('Invoer gegevens (N)'!$C$17=E75,M75,IF(C75=0,0,T74))</f>
        <v>0</v>
      </c>
      <c r="T75" s="84">
        <f t="shared" ca="1" si="11"/>
        <v>0</v>
      </c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8"/>
      <c r="AI75" s="71">
        <f ca="1">IF(C75=1,((F75+H75)/2*'Reeksen (N)'!AJ75*12)+(('Invoer gegevens (N)'!$C$10-(F75+H75)/2)*'Reeksen (N)'!AK75*12),0)</f>
        <v>0</v>
      </c>
      <c r="AJ75" s="71">
        <f ca="1">-AI75*'Invoer gegevens (N)'!$F$28</f>
        <v>0</v>
      </c>
      <c r="AK75" s="71">
        <f t="shared" ca="1" si="12"/>
        <v>0</v>
      </c>
      <c r="AL75" s="71">
        <f ca="1">IF(C75=1,(12*((F75+H75)/2)*'Reeksen (N)'!AL75)+(12*('Invoer gegevens (N)'!$C$10-(F75+H75)/2)*'Reeksen (N)'!AM75),0)</f>
        <v>0</v>
      </c>
      <c r="AM75" s="71">
        <f ca="1">-AL75*'Invoer gegevens (N)'!$F$31</f>
        <v>0</v>
      </c>
      <c r="AN75" s="71">
        <f t="shared" ca="1" si="16"/>
        <v>0</v>
      </c>
      <c r="AO75" s="71"/>
      <c r="AP75" s="71"/>
      <c r="AQ75" s="71">
        <f ca="1">-IF(C75=1,('Invoer gegevens (N)'!$C$10*'Invoer gegevens (N)'!$I$33)*'Reeksen (N)'!J75,0)*2</f>
        <v>0</v>
      </c>
      <c r="AR75" s="71">
        <f ca="1">-IF(C75=1,(G75*'Invoer gegevens (N)'!$I$34)*'Reeksen (N)'!J75,0)</f>
        <v>0</v>
      </c>
      <c r="AS75" s="71">
        <f ca="1">-IF(C75=1,'Invoer gegevens (N)'!$C$10*'Invoer gegevens (N)'!$I$35*'Reeksen (N)'!L75,0)</f>
        <v>0</v>
      </c>
      <c r="AT75" s="71">
        <f ca="1">-IF(C75=1,IF(E75='Invoer gegevens (N)'!$C$17,'Invoer gegevens (N)'!$C$11,Q75)*'Reeksen (N)'!S75*'Invoer gegevens (N)'!$C$18*'Reeksen (N)'!P75,0)</f>
        <v>0</v>
      </c>
      <c r="AU75" s="71">
        <f ca="1">-IF(C75=1,'Invoer gegevens (N)'!$C$10*'Invoer gegevens (N)'!$I$36*'Reeksen (N)'!H75,0)</f>
        <v>0</v>
      </c>
      <c r="AV75" s="71">
        <v>0</v>
      </c>
      <c r="AW75" s="71">
        <f t="shared" ca="1" si="17"/>
        <v>0</v>
      </c>
      <c r="AX75" s="71">
        <f ca="1">IF(E75&lt;'Invoer gegevens (N)'!$C$17+15,0,IF(E75&gt;'Invoer gegevens (N)'!$C$17+215,0,AW75))</f>
        <v>0</v>
      </c>
      <c r="AY75" s="71">
        <f ca="1">AX75/(1+'Invoer gegevens (N)'!$F$13)^($AZ75-('Invoer gegevens (N)'!$C$17-'Invoer gegevens (N)'!$C$16))/(1+'Invoer gegevens (N)'!$C$39)^('Invoer gegevens (N)'!$C$17-'Invoer gegevens (N)'!$C$16)</f>
        <v>0</v>
      </c>
      <c r="AZ75" s="68">
        <f ca="1">IF(E75-'Invoer gegevens (N)'!$C$17-14.5&lt;0,0,E75-'Invoer gegevens (N)'!$C$17-14.5)</f>
        <v>55.5</v>
      </c>
    </row>
    <row r="76" spans="2:52" x14ac:dyDescent="0.25">
      <c r="B76" s="70">
        <f t="shared" si="18"/>
        <v>72</v>
      </c>
      <c r="C76" s="67">
        <f ca="1">IF(E76-'Invoer gegevens (N)'!$C$17&lt;0,0,1)</f>
        <v>1</v>
      </c>
      <c r="D76" s="68">
        <f t="shared" si="19"/>
        <v>71.5</v>
      </c>
      <c r="E76" s="69">
        <f ca="1">IF('Invoer gegevens (N)'!$C$16="","",E75+1)</f>
        <v>2090</v>
      </c>
      <c r="F76" s="82">
        <f ca="1">IF('Invoer gegevens (N)'!$C$17=E76,'Invoer gegevens (N)'!$C$10,IF(C76=1,H75,0))</f>
        <v>0</v>
      </c>
      <c r="G76" s="83">
        <f ca="1">IF(C76&gt;=1,F76*'Reeksen (N)'!C76,0)</f>
        <v>0</v>
      </c>
      <c r="H76" s="84">
        <f t="shared" ca="1" si="13"/>
        <v>0</v>
      </c>
      <c r="I76" s="85">
        <f ca="1">IF('Invoer gegevens (N)'!$C$17=E76,'Invoer gegevens (N)'!$C$11,IF(C76=1,L75,0))</f>
        <v>0</v>
      </c>
      <c r="J76" s="86">
        <f ca="1">IF(C76&lt;1,0,IF('Reeksen (N)'!AK76&lt;='Reeksen (N)'!AE76,I76*'Reeksen (N)'!C76,0))</f>
        <v>0</v>
      </c>
      <c r="K76" s="86">
        <f ca="1">IF(C76&lt;1,0,IF('Reeksen (N)'!AK76&gt;'Reeksen (N)'!AE76,I76*'Reeksen (N)'!C76,0))</f>
        <v>0</v>
      </c>
      <c r="L76" s="86">
        <f t="shared" ca="1" si="14"/>
        <v>0</v>
      </c>
      <c r="M76" s="85">
        <f ca="1">IF('Invoer gegevens (N)'!$C$17=E76,'Invoer gegevens (N)'!$C$10-'Invoer gegevens (N)'!$C$11,IF(C76=1,P75,0))</f>
        <v>0</v>
      </c>
      <c r="N76" s="86">
        <f ca="1">IF(C76&lt;1,0,IF('Reeksen (N)'!AK76&lt;='Reeksen (N)'!AE76,M76*'Reeksen (N)'!C76,0))</f>
        <v>0</v>
      </c>
      <c r="O76" s="86">
        <f ca="1">IF(C76&lt;1,0,IF('Reeksen (N)'!AK76&gt;'Reeksen (N)'!AE76,M76*'Reeksen (N)'!C76,0))</f>
        <v>0</v>
      </c>
      <c r="P76" s="86">
        <f t="shared" ca="1" si="15"/>
        <v>0</v>
      </c>
      <c r="Q76" s="82">
        <f ca="1">IF('Invoer gegevens (N)'!$C$17=E76,I76,IF(C76=0,0,R75))</f>
        <v>0</v>
      </c>
      <c r="R76" s="84">
        <f t="shared" ca="1" si="10"/>
        <v>0</v>
      </c>
      <c r="S76" s="84">
        <f ca="1">IF('Invoer gegevens (N)'!$C$17=E76,M76,IF(C76=0,0,T75))</f>
        <v>0</v>
      </c>
      <c r="T76" s="84">
        <f t="shared" ca="1" si="11"/>
        <v>0</v>
      </c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8"/>
      <c r="AI76" s="71">
        <f ca="1">IF(C76=1,((F76+H76)/2*'Reeksen (N)'!AJ76*12)+(('Invoer gegevens (N)'!$C$10-(F76+H76)/2)*'Reeksen (N)'!AK76*12),0)</f>
        <v>0</v>
      </c>
      <c r="AJ76" s="71">
        <f ca="1">-AI76*'Invoer gegevens (N)'!$F$28</f>
        <v>0</v>
      </c>
      <c r="AK76" s="71">
        <f t="shared" ca="1" si="12"/>
        <v>0</v>
      </c>
      <c r="AL76" s="71">
        <f ca="1">IF(C76=1,(12*((F76+H76)/2)*'Reeksen (N)'!AL76)+(12*('Invoer gegevens (N)'!$C$10-(F76+H76)/2)*'Reeksen (N)'!AM76),0)</f>
        <v>0</v>
      </c>
      <c r="AM76" s="71">
        <f ca="1">-AL76*'Invoer gegevens (N)'!$F$31</f>
        <v>0</v>
      </c>
      <c r="AN76" s="71">
        <f t="shared" ca="1" si="16"/>
        <v>0</v>
      </c>
      <c r="AO76" s="71"/>
      <c r="AP76" s="71"/>
      <c r="AQ76" s="71">
        <f ca="1">-IF(C76=1,('Invoer gegevens (N)'!$C$10*'Invoer gegevens (N)'!$I$33)*'Reeksen (N)'!J76,0)*2</f>
        <v>0</v>
      </c>
      <c r="AR76" s="71">
        <f ca="1">-IF(C76=1,(G76*'Invoer gegevens (N)'!$I$34)*'Reeksen (N)'!J76,0)</f>
        <v>0</v>
      </c>
      <c r="AS76" s="71">
        <f ca="1">-IF(C76=1,'Invoer gegevens (N)'!$C$10*'Invoer gegevens (N)'!$I$35*'Reeksen (N)'!L76,0)</f>
        <v>0</v>
      </c>
      <c r="AT76" s="71">
        <f ca="1">-IF(C76=1,IF(E76='Invoer gegevens (N)'!$C$17,'Invoer gegevens (N)'!$C$11,Q76)*'Reeksen (N)'!S76*'Invoer gegevens (N)'!$C$18*'Reeksen (N)'!P76,0)</f>
        <v>0</v>
      </c>
      <c r="AU76" s="71">
        <f ca="1">-IF(C76=1,'Invoer gegevens (N)'!$C$10*'Invoer gegevens (N)'!$I$36*'Reeksen (N)'!H76,0)</f>
        <v>0</v>
      </c>
      <c r="AV76" s="71">
        <v>0</v>
      </c>
      <c r="AW76" s="71">
        <f t="shared" ca="1" si="17"/>
        <v>0</v>
      </c>
      <c r="AX76" s="71">
        <f ca="1">IF(E76&lt;'Invoer gegevens (N)'!$C$17+15,0,IF(E76&gt;'Invoer gegevens (N)'!$C$17+215,0,AW76))</f>
        <v>0</v>
      </c>
      <c r="AY76" s="71">
        <f ca="1">AX76/(1+'Invoer gegevens (N)'!$F$13)^($AZ76-('Invoer gegevens (N)'!$C$17-'Invoer gegevens (N)'!$C$16))/(1+'Invoer gegevens (N)'!$C$39)^('Invoer gegevens (N)'!$C$17-'Invoer gegevens (N)'!$C$16)</f>
        <v>0</v>
      </c>
      <c r="AZ76" s="68">
        <f ca="1">IF(E76-'Invoer gegevens (N)'!$C$17-14.5&lt;0,0,E76-'Invoer gegevens (N)'!$C$17-14.5)</f>
        <v>56.5</v>
      </c>
    </row>
    <row r="77" spans="2:52" x14ac:dyDescent="0.25">
      <c r="B77" s="70">
        <f t="shared" si="18"/>
        <v>73</v>
      </c>
      <c r="C77" s="67">
        <f ca="1">IF(E77-'Invoer gegevens (N)'!$C$17&lt;0,0,1)</f>
        <v>1</v>
      </c>
      <c r="D77" s="68">
        <f t="shared" si="19"/>
        <v>72.5</v>
      </c>
      <c r="E77" s="69">
        <f ca="1">IF('Invoer gegevens (N)'!$C$16="","",E76+1)</f>
        <v>2091</v>
      </c>
      <c r="F77" s="82">
        <f ca="1">IF('Invoer gegevens (N)'!$C$17=E77,'Invoer gegevens (N)'!$C$10,IF(C77=1,H76,0))</f>
        <v>0</v>
      </c>
      <c r="G77" s="83">
        <f ca="1">IF(C77&gt;=1,F77*'Reeksen (N)'!C77,0)</f>
        <v>0</v>
      </c>
      <c r="H77" s="84">
        <f t="shared" ca="1" si="13"/>
        <v>0</v>
      </c>
      <c r="I77" s="85">
        <f ca="1">IF('Invoer gegevens (N)'!$C$17=E77,'Invoer gegevens (N)'!$C$11,IF(C77=1,L76,0))</f>
        <v>0</v>
      </c>
      <c r="J77" s="86">
        <f ca="1">IF(C77&lt;1,0,IF('Reeksen (N)'!AK77&lt;='Reeksen (N)'!AE77,I77*'Reeksen (N)'!C77,0))</f>
        <v>0</v>
      </c>
      <c r="K77" s="86">
        <f ca="1">IF(C77&lt;1,0,IF('Reeksen (N)'!AK77&gt;'Reeksen (N)'!AE77,I77*'Reeksen (N)'!C77,0))</f>
        <v>0</v>
      </c>
      <c r="L77" s="86">
        <f t="shared" ca="1" si="14"/>
        <v>0</v>
      </c>
      <c r="M77" s="85">
        <f ca="1">IF('Invoer gegevens (N)'!$C$17=E77,'Invoer gegevens (N)'!$C$10-'Invoer gegevens (N)'!$C$11,IF(C77=1,P76,0))</f>
        <v>0</v>
      </c>
      <c r="N77" s="86">
        <f ca="1">IF(C77&lt;1,0,IF('Reeksen (N)'!AK77&lt;='Reeksen (N)'!AE77,M77*'Reeksen (N)'!C77,0))</f>
        <v>0</v>
      </c>
      <c r="O77" s="86">
        <f ca="1">IF(C77&lt;1,0,IF('Reeksen (N)'!AK77&gt;'Reeksen (N)'!AE77,M77*'Reeksen (N)'!C77,0))</f>
        <v>0</v>
      </c>
      <c r="P77" s="86">
        <f t="shared" ca="1" si="15"/>
        <v>0</v>
      </c>
      <c r="Q77" s="82">
        <f ca="1">IF('Invoer gegevens (N)'!$C$17=E77,I77,IF(C77=0,0,R76))</f>
        <v>0</v>
      </c>
      <c r="R77" s="84">
        <f t="shared" ca="1" si="10"/>
        <v>0</v>
      </c>
      <c r="S77" s="84">
        <f ca="1">IF('Invoer gegevens (N)'!$C$17=E77,M77,IF(C77=0,0,T76))</f>
        <v>0</v>
      </c>
      <c r="T77" s="84">
        <f t="shared" ca="1" si="11"/>
        <v>0</v>
      </c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8"/>
      <c r="AI77" s="71">
        <f ca="1">IF(C77=1,((F77+H77)/2*'Reeksen (N)'!AJ77*12)+(('Invoer gegevens (N)'!$C$10-(F77+H77)/2)*'Reeksen (N)'!AK77*12),0)</f>
        <v>0</v>
      </c>
      <c r="AJ77" s="71">
        <f ca="1">-AI77*'Invoer gegevens (N)'!$F$28</f>
        <v>0</v>
      </c>
      <c r="AK77" s="71">
        <f t="shared" ca="1" si="12"/>
        <v>0</v>
      </c>
      <c r="AL77" s="71">
        <f ca="1">IF(C77=1,(12*((F77+H77)/2)*'Reeksen (N)'!AL77)+(12*('Invoer gegevens (N)'!$C$10-(F77+H77)/2)*'Reeksen (N)'!AM77),0)</f>
        <v>0</v>
      </c>
      <c r="AM77" s="71">
        <f ca="1">-AL77*'Invoer gegevens (N)'!$F$31</f>
        <v>0</v>
      </c>
      <c r="AN77" s="71">
        <f t="shared" ca="1" si="16"/>
        <v>0</v>
      </c>
      <c r="AO77" s="71"/>
      <c r="AP77" s="71"/>
      <c r="AQ77" s="71">
        <f ca="1">-IF(C77=1,('Invoer gegevens (N)'!$C$10*'Invoer gegevens (N)'!$I$33)*'Reeksen (N)'!J77,0)*2</f>
        <v>0</v>
      </c>
      <c r="AR77" s="71">
        <f ca="1">-IF(C77=1,(G77*'Invoer gegevens (N)'!$I$34)*'Reeksen (N)'!J77,0)</f>
        <v>0</v>
      </c>
      <c r="AS77" s="71">
        <f ca="1">-IF(C77=1,'Invoer gegevens (N)'!$C$10*'Invoer gegevens (N)'!$I$35*'Reeksen (N)'!L77,0)</f>
        <v>0</v>
      </c>
      <c r="AT77" s="71">
        <f ca="1">-IF(C77=1,IF(E77='Invoer gegevens (N)'!$C$17,'Invoer gegevens (N)'!$C$11,Q77)*'Reeksen (N)'!S77*'Invoer gegevens (N)'!$C$18*'Reeksen (N)'!P77,0)</f>
        <v>0</v>
      </c>
      <c r="AU77" s="71">
        <f ca="1">-IF(C77=1,'Invoer gegevens (N)'!$C$10*'Invoer gegevens (N)'!$I$36*'Reeksen (N)'!H77,0)</f>
        <v>0</v>
      </c>
      <c r="AV77" s="71">
        <v>0</v>
      </c>
      <c r="AW77" s="71">
        <f t="shared" ca="1" si="17"/>
        <v>0</v>
      </c>
      <c r="AX77" s="71">
        <f ca="1">IF(E77&lt;'Invoer gegevens (N)'!$C$17+15,0,IF(E77&gt;'Invoer gegevens (N)'!$C$17+215,0,AW77))</f>
        <v>0</v>
      </c>
      <c r="AY77" s="71">
        <f ca="1">AX77/(1+'Invoer gegevens (N)'!$F$13)^($AZ77-('Invoer gegevens (N)'!$C$17-'Invoer gegevens (N)'!$C$16))/(1+'Invoer gegevens (N)'!$C$39)^('Invoer gegevens (N)'!$C$17-'Invoer gegevens (N)'!$C$16)</f>
        <v>0</v>
      </c>
      <c r="AZ77" s="68">
        <f ca="1">IF(E77-'Invoer gegevens (N)'!$C$17-14.5&lt;0,0,E77-'Invoer gegevens (N)'!$C$17-14.5)</f>
        <v>57.5</v>
      </c>
    </row>
    <row r="78" spans="2:52" x14ac:dyDescent="0.25">
      <c r="B78" s="70">
        <f t="shared" si="18"/>
        <v>74</v>
      </c>
      <c r="C78" s="67">
        <f ca="1">IF(E78-'Invoer gegevens (N)'!$C$17&lt;0,0,1)</f>
        <v>1</v>
      </c>
      <c r="D78" s="68">
        <f t="shared" si="19"/>
        <v>73.5</v>
      </c>
      <c r="E78" s="69">
        <f ca="1">IF('Invoer gegevens (N)'!$C$16="","",E77+1)</f>
        <v>2092</v>
      </c>
      <c r="F78" s="82">
        <f ca="1">IF('Invoer gegevens (N)'!$C$17=E78,'Invoer gegevens (N)'!$C$10,IF(C78=1,H77,0))</f>
        <v>0</v>
      </c>
      <c r="G78" s="83">
        <f ca="1">IF(C78&gt;=1,F78*'Reeksen (N)'!C78,0)</f>
        <v>0</v>
      </c>
      <c r="H78" s="84">
        <f t="shared" ca="1" si="13"/>
        <v>0</v>
      </c>
      <c r="I78" s="85">
        <f ca="1">IF('Invoer gegevens (N)'!$C$17=E78,'Invoer gegevens (N)'!$C$11,IF(C78=1,L77,0))</f>
        <v>0</v>
      </c>
      <c r="J78" s="86">
        <f ca="1">IF(C78&lt;1,0,IF('Reeksen (N)'!AK78&lt;='Reeksen (N)'!AE78,I78*'Reeksen (N)'!C78,0))</f>
        <v>0</v>
      </c>
      <c r="K78" s="86">
        <f ca="1">IF(C78&lt;1,0,IF('Reeksen (N)'!AK78&gt;'Reeksen (N)'!AE78,I78*'Reeksen (N)'!C78,0))</f>
        <v>0</v>
      </c>
      <c r="L78" s="86">
        <f t="shared" ca="1" si="14"/>
        <v>0</v>
      </c>
      <c r="M78" s="85">
        <f ca="1">IF('Invoer gegevens (N)'!$C$17=E78,'Invoer gegevens (N)'!$C$10-'Invoer gegevens (N)'!$C$11,IF(C78=1,P77,0))</f>
        <v>0</v>
      </c>
      <c r="N78" s="86">
        <f ca="1">IF(C78&lt;1,0,IF('Reeksen (N)'!AK78&lt;='Reeksen (N)'!AE78,M78*'Reeksen (N)'!C78,0))</f>
        <v>0</v>
      </c>
      <c r="O78" s="86">
        <f ca="1">IF(C78&lt;1,0,IF('Reeksen (N)'!AK78&gt;'Reeksen (N)'!AE78,M78*'Reeksen (N)'!C78,0))</f>
        <v>0</v>
      </c>
      <c r="P78" s="86">
        <f t="shared" ca="1" si="15"/>
        <v>0</v>
      </c>
      <c r="Q78" s="82">
        <f ca="1">IF('Invoer gegevens (N)'!$C$17=E78,I78,IF(C78=0,0,R77))</f>
        <v>0</v>
      </c>
      <c r="R78" s="84">
        <f t="shared" ca="1" si="10"/>
        <v>0</v>
      </c>
      <c r="S78" s="84">
        <f ca="1">IF('Invoer gegevens (N)'!$C$17=E78,M78,IF(C78=0,0,T77))</f>
        <v>0</v>
      </c>
      <c r="T78" s="84">
        <f t="shared" ca="1" si="11"/>
        <v>0</v>
      </c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8"/>
      <c r="AI78" s="71">
        <f ca="1">IF(C78=1,((F78+H78)/2*'Reeksen (N)'!AJ78*12)+(('Invoer gegevens (N)'!$C$10-(F78+H78)/2)*'Reeksen (N)'!AK78*12),0)</f>
        <v>0</v>
      </c>
      <c r="AJ78" s="71">
        <f ca="1">-AI78*'Invoer gegevens (N)'!$F$28</f>
        <v>0</v>
      </c>
      <c r="AK78" s="71">
        <f t="shared" ca="1" si="12"/>
        <v>0</v>
      </c>
      <c r="AL78" s="71">
        <f ca="1">IF(C78=1,(12*((F78+H78)/2)*'Reeksen (N)'!AL78)+(12*('Invoer gegevens (N)'!$C$10-(F78+H78)/2)*'Reeksen (N)'!AM78),0)</f>
        <v>0</v>
      </c>
      <c r="AM78" s="71">
        <f ca="1">-AL78*'Invoer gegevens (N)'!$F$31</f>
        <v>0</v>
      </c>
      <c r="AN78" s="71">
        <f t="shared" ca="1" si="16"/>
        <v>0</v>
      </c>
      <c r="AO78" s="71"/>
      <c r="AP78" s="71"/>
      <c r="AQ78" s="71">
        <f ca="1">-IF(C78=1,('Invoer gegevens (N)'!$C$10*'Invoer gegevens (N)'!$I$33)*'Reeksen (N)'!J78,0)*2</f>
        <v>0</v>
      </c>
      <c r="AR78" s="71">
        <f ca="1">-IF(C78=1,(G78*'Invoer gegevens (N)'!$I$34)*'Reeksen (N)'!J78,0)</f>
        <v>0</v>
      </c>
      <c r="AS78" s="71">
        <f ca="1">-IF(C78=1,'Invoer gegevens (N)'!$C$10*'Invoer gegevens (N)'!$I$35*'Reeksen (N)'!L78,0)</f>
        <v>0</v>
      </c>
      <c r="AT78" s="71">
        <f ca="1">-IF(C78=1,IF(E78='Invoer gegevens (N)'!$C$17,'Invoer gegevens (N)'!$C$11,Q78)*'Reeksen (N)'!S78*'Invoer gegevens (N)'!$C$18*'Reeksen (N)'!P78,0)</f>
        <v>0</v>
      </c>
      <c r="AU78" s="71">
        <f ca="1">-IF(C78=1,'Invoer gegevens (N)'!$C$10*'Invoer gegevens (N)'!$I$36*'Reeksen (N)'!H78,0)</f>
        <v>0</v>
      </c>
      <c r="AV78" s="71">
        <v>0</v>
      </c>
      <c r="AW78" s="71">
        <f t="shared" ca="1" si="17"/>
        <v>0</v>
      </c>
      <c r="AX78" s="71">
        <f ca="1">IF(E78&lt;'Invoer gegevens (N)'!$C$17+15,0,IF(E78&gt;'Invoer gegevens (N)'!$C$17+215,0,AW78))</f>
        <v>0</v>
      </c>
      <c r="AY78" s="71">
        <f ca="1">AX78/(1+'Invoer gegevens (N)'!$F$13)^($AZ78-('Invoer gegevens (N)'!$C$17-'Invoer gegevens (N)'!$C$16))/(1+'Invoer gegevens (N)'!$C$39)^('Invoer gegevens (N)'!$C$17-'Invoer gegevens (N)'!$C$16)</f>
        <v>0</v>
      </c>
      <c r="AZ78" s="68">
        <f ca="1">IF(E78-'Invoer gegevens (N)'!$C$17-14.5&lt;0,0,E78-'Invoer gegevens (N)'!$C$17-14.5)</f>
        <v>58.5</v>
      </c>
    </row>
    <row r="79" spans="2:52" x14ac:dyDescent="0.25">
      <c r="B79" s="70">
        <f t="shared" si="18"/>
        <v>75</v>
      </c>
      <c r="C79" s="67">
        <f ca="1">IF(E79-'Invoer gegevens (N)'!$C$17&lt;0,0,1)</f>
        <v>1</v>
      </c>
      <c r="D79" s="68">
        <f t="shared" si="19"/>
        <v>74.5</v>
      </c>
      <c r="E79" s="69">
        <f ca="1">IF('Invoer gegevens (N)'!$C$16="","",E78+1)</f>
        <v>2093</v>
      </c>
      <c r="F79" s="82">
        <f ca="1">IF('Invoer gegevens (N)'!$C$17=E79,'Invoer gegevens (N)'!$C$10,IF(C79=1,H78,0))</f>
        <v>0</v>
      </c>
      <c r="G79" s="83">
        <f ca="1">IF(C79&gt;=1,F79*'Reeksen (N)'!C79,0)</f>
        <v>0</v>
      </c>
      <c r="H79" s="84">
        <f t="shared" ca="1" si="13"/>
        <v>0</v>
      </c>
      <c r="I79" s="85">
        <f ca="1">IF('Invoer gegevens (N)'!$C$17=E79,'Invoer gegevens (N)'!$C$11,IF(C79=1,L78,0))</f>
        <v>0</v>
      </c>
      <c r="J79" s="86">
        <f ca="1">IF(C79&lt;1,0,IF('Reeksen (N)'!AK79&lt;='Reeksen (N)'!AE79,I79*'Reeksen (N)'!C79,0))</f>
        <v>0</v>
      </c>
      <c r="K79" s="86">
        <f ca="1">IF(C79&lt;1,0,IF('Reeksen (N)'!AK79&gt;'Reeksen (N)'!AE79,I79*'Reeksen (N)'!C79,0))</f>
        <v>0</v>
      </c>
      <c r="L79" s="86">
        <f t="shared" ca="1" si="14"/>
        <v>0</v>
      </c>
      <c r="M79" s="85">
        <f ca="1">IF('Invoer gegevens (N)'!$C$17=E79,'Invoer gegevens (N)'!$C$10-'Invoer gegevens (N)'!$C$11,IF(C79=1,P78,0))</f>
        <v>0</v>
      </c>
      <c r="N79" s="86">
        <f ca="1">IF(C79&lt;1,0,IF('Reeksen (N)'!AK79&lt;='Reeksen (N)'!AE79,M79*'Reeksen (N)'!C79,0))</f>
        <v>0</v>
      </c>
      <c r="O79" s="86">
        <f ca="1">IF(C79&lt;1,0,IF('Reeksen (N)'!AK79&gt;'Reeksen (N)'!AE79,M79*'Reeksen (N)'!C79,0))</f>
        <v>0</v>
      </c>
      <c r="P79" s="86">
        <f t="shared" ca="1" si="15"/>
        <v>0</v>
      </c>
      <c r="Q79" s="82">
        <f ca="1">IF('Invoer gegevens (N)'!$C$17=E79,I79,IF(C79=0,0,R78))</f>
        <v>0</v>
      </c>
      <c r="R79" s="84">
        <f t="shared" ca="1" si="10"/>
        <v>0</v>
      </c>
      <c r="S79" s="84">
        <f ca="1">IF('Invoer gegevens (N)'!$C$17=E79,M79,IF(C79=0,0,T78))</f>
        <v>0</v>
      </c>
      <c r="T79" s="84">
        <f t="shared" ca="1" si="11"/>
        <v>0</v>
      </c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8"/>
      <c r="AI79" s="71">
        <f ca="1">IF(C79=1,((F79+H79)/2*'Reeksen (N)'!AJ79*12)+(('Invoer gegevens (N)'!$C$10-(F79+H79)/2)*'Reeksen (N)'!AK79*12),0)</f>
        <v>0</v>
      </c>
      <c r="AJ79" s="71">
        <f ca="1">-AI79*'Invoer gegevens (N)'!$F$28</f>
        <v>0</v>
      </c>
      <c r="AK79" s="71">
        <f t="shared" ca="1" si="12"/>
        <v>0</v>
      </c>
      <c r="AL79" s="71">
        <f ca="1">IF(C79=1,(12*((F79+H79)/2)*'Reeksen (N)'!AL79)+(12*('Invoer gegevens (N)'!$C$10-(F79+H79)/2)*'Reeksen (N)'!AM79),0)</f>
        <v>0</v>
      </c>
      <c r="AM79" s="71">
        <f ca="1">-AL79*'Invoer gegevens (N)'!$F$31</f>
        <v>0</v>
      </c>
      <c r="AN79" s="71">
        <f t="shared" ca="1" si="16"/>
        <v>0</v>
      </c>
      <c r="AO79" s="71"/>
      <c r="AP79" s="71"/>
      <c r="AQ79" s="71">
        <f ca="1">-IF(C79=1,('Invoer gegevens (N)'!$C$10*'Invoer gegevens (N)'!$I$33)*'Reeksen (N)'!J79,0)*2</f>
        <v>0</v>
      </c>
      <c r="AR79" s="71">
        <f ca="1">-IF(C79=1,(G79*'Invoer gegevens (N)'!$I$34)*'Reeksen (N)'!J79,0)</f>
        <v>0</v>
      </c>
      <c r="AS79" s="71">
        <f ca="1">-IF(C79=1,'Invoer gegevens (N)'!$C$10*'Invoer gegevens (N)'!$I$35*'Reeksen (N)'!L79,0)</f>
        <v>0</v>
      </c>
      <c r="AT79" s="71">
        <f ca="1">-IF(C79=1,IF(E79='Invoer gegevens (N)'!$C$17,'Invoer gegevens (N)'!$C$11,Q79)*'Reeksen (N)'!S79*'Invoer gegevens (N)'!$C$18*'Reeksen (N)'!P79,0)</f>
        <v>0</v>
      </c>
      <c r="AU79" s="71">
        <f ca="1">-IF(C79=1,'Invoer gegevens (N)'!$C$10*'Invoer gegevens (N)'!$I$36*'Reeksen (N)'!H79,0)</f>
        <v>0</v>
      </c>
      <c r="AV79" s="71">
        <v>0</v>
      </c>
      <c r="AW79" s="71">
        <f t="shared" ca="1" si="17"/>
        <v>0</v>
      </c>
      <c r="AX79" s="71">
        <f ca="1">IF(E79&lt;'Invoer gegevens (N)'!$C$17+15,0,IF(E79&gt;'Invoer gegevens (N)'!$C$17+215,0,AW79))</f>
        <v>0</v>
      </c>
      <c r="AY79" s="71">
        <f ca="1">AX79/(1+'Invoer gegevens (N)'!$F$13)^($AZ79-('Invoer gegevens (N)'!$C$17-'Invoer gegevens (N)'!$C$16))/(1+'Invoer gegevens (N)'!$C$39)^('Invoer gegevens (N)'!$C$17-'Invoer gegevens (N)'!$C$16)</f>
        <v>0</v>
      </c>
      <c r="AZ79" s="68">
        <f ca="1">IF(E79-'Invoer gegevens (N)'!$C$17-14.5&lt;0,0,E79-'Invoer gegevens (N)'!$C$17-14.5)</f>
        <v>59.5</v>
      </c>
    </row>
    <row r="80" spans="2:52" x14ac:dyDescent="0.25">
      <c r="B80" s="70">
        <f t="shared" si="18"/>
        <v>76</v>
      </c>
      <c r="C80" s="67">
        <f ca="1">IF(E80-'Invoer gegevens (N)'!$C$17&lt;0,0,1)</f>
        <v>1</v>
      </c>
      <c r="D80" s="68">
        <f t="shared" si="19"/>
        <v>75.5</v>
      </c>
      <c r="E80" s="69">
        <f ca="1">IF('Invoer gegevens (N)'!$C$16="","",E79+1)</f>
        <v>2094</v>
      </c>
      <c r="F80" s="82">
        <f ca="1">IF('Invoer gegevens (N)'!$C$17=E80,'Invoer gegevens (N)'!$C$10,IF(C80=1,H79,0))</f>
        <v>0</v>
      </c>
      <c r="G80" s="83">
        <f ca="1">IF(C80&gt;=1,F80*'Reeksen (N)'!C80,0)</f>
        <v>0</v>
      </c>
      <c r="H80" s="84">
        <f t="shared" ca="1" si="13"/>
        <v>0</v>
      </c>
      <c r="I80" s="85">
        <f ca="1">IF('Invoer gegevens (N)'!$C$17=E80,'Invoer gegevens (N)'!$C$11,IF(C80=1,L79,0))</f>
        <v>0</v>
      </c>
      <c r="J80" s="86">
        <f ca="1">IF(C80&lt;1,0,IF('Reeksen (N)'!AK80&lt;='Reeksen (N)'!AE80,I80*'Reeksen (N)'!C80,0))</f>
        <v>0</v>
      </c>
      <c r="K80" s="86">
        <f ca="1">IF(C80&lt;1,0,IF('Reeksen (N)'!AK80&gt;'Reeksen (N)'!AE80,I80*'Reeksen (N)'!C80,0))</f>
        <v>0</v>
      </c>
      <c r="L80" s="86">
        <f t="shared" ca="1" si="14"/>
        <v>0</v>
      </c>
      <c r="M80" s="85">
        <f ca="1">IF('Invoer gegevens (N)'!$C$17=E80,'Invoer gegevens (N)'!$C$10-'Invoer gegevens (N)'!$C$11,IF(C80=1,P79,0))</f>
        <v>0</v>
      </c>
      <c r="N80" s="86">
        <f ca="1">IF(C80&lt;1,0,IF('Reeksen (N)'!AK80&lt;='Reeksen (N)'!AE80,M80*'Reeksen (N)'!C80,0))</f>
        <v>0</v>
      </c>
      <c r="O80" s="86">
        <f ca="1">IF(C80&lt;1,0,IF('Reeksen (N)'!AK80&gt;'Reeksen (N)'!AE80,M80*'Reeksen (N)'!C80,0))</f>
        <v>0</v>
      </c>
      <c r="P80" s="86">
        <f t="shared" ca="1" si="15"/>
        <v>0</v>
      </c>
      <c r="Q80" s="82">
        <f ca="1">IF('Invoer gegevens (N)'!$C$17=E80,I80,IF(C80=0,0,R79))</f>
        <v>0</v>
      </c>
      <c r="R80" s="84">
        <f t="shared" ca="1" si="10"/>
        <v>0</v>
      </c>
      <c r="S80" s="84">
        <f ca="1">IF('Invoer gegevens (N)'!$C$17=E80,M80,IF(C80=0,0,T79))</f>
        <v>0</v>
      </c>
      <c r="T80" s="84">
        <f t="shared" ca="1" si="11"/>
        <v>0</v>
      </c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8"/>
      <c r="AI80" s="71">
        <f ca="1">IF(C80=1,((F80+H80)/2*'Reeksen (N)'!AJ80*12)+(('Invoer gegevens (N)'!$C$10-(F80+H80)/2)*'Reeksen (N)'!AK80*12),0)</f>
        <v>0</v>
      </c>
      <c r="AJ80" s="71">
        <f ca="1">-AI80*'Invoer gegevens (N)'!$F$28</f>
        <v>0</v>
      </c>
      <c r="AK80" s="71">
        <f t="shared" ca="1" si="12"/>
        <v>0</v>
      </c>
      <c r="AL80" s="71">
        <f ca="1">IF(C80=1,(12*((F80+H80)/2)*'Reeksen (N)'!AL80)+(12*('Invoer gegevens (N)'!$C$10-(F80+H80)/2)*'Reeksen (N)'!AM80),0)</f>
        <v>0</v>
      </c>
      <c r="AM80" s="71">
        <f ca="1">-AL80*'Invoer gegevens (N)'!$F$31</f>
        <v>0</v>
      </c>
      <c r="AN80" s="71">
        <f t="shared" ca="1" si="16"/>
        <v>0</v>
      </c>
      <c r="AO80" s="71"/>
      <c r="AP80" s="71"/>
      <c r="AQ80" s="71">
        <f ca="1">-IF(C80=1,('Invoer gegevens (N)'!$C$10*'Invoer gegevens (N)'!$I$33)*'Reeksen (N)'!J80,0)*2</f>
        <v>0</v>
      </c>
      <c r="AR80" s="71">
        <f ca="1">-IF(C80=1,(G80*'Invoer gegevens (N)'!$I$34)*'Reeksen (N)'!J80,0)</f>
        <v>0</v>
      </c>
      <c r="AS80" s="71">
        <f ca="1">-IF(C80=1,'Invoer gegevens (N)'!$C$10*'Invoer gegevens (N)'!$I$35*'Reeksen (N)'!L80,0)</f>
        <v>0</v>
      </c>
      <c r="AT80" s="71">
        <f ca="1">-IF(C80=1,IF(E80='Invoer gegevens (N)'!$C$17,'Invoer gegevens (N)'!$C$11,Q80)*'Reeksen (N)'!S80*'Invoer gegevens (N)'!$C$18*'Reeksen (N)'!P80,0)</f>
        <v>0</v>
      </c>
      <c r="AU80" s="71">
        <f ca="1">-IF(C80=1,'Invoer gegevens (N)'!$C$10*'Invoer gegevens (N)'!$I$36*'Reeksen (N)'!H80,0)</f>
        <v>0</v>
      </c>
      <c r="AV80" s="71">
        <v>0</v>
      </c>
      <c r="AW80" s="71">
        <f t="shared" ca="1" si="17"/>
        <v>0</v>
      </c>
      <c r="AX80" s="71">
        <f ca="1">IF(E80&lt;'Invoer gegevens (N)'!$C$17+15,0,IF(E80&gt;'Invoer gegevens (N)'!$C$17+215,0,AW80))</f>
        <v>0</v>
      </c>
      <c r="AY80" s="71">
        <f ca="1">AX80/(1+'Invoer gegevens (N)'!$F$13)^($AZ80-('Invoer gegevens (N)'!$C$17-'Invoer gegevens (N)'!$C$16))/(1+'Invoer gegevens (N)'!$C$39)^('Invoer gegevens (N)'!$C$17-'Invoer gegevens (N)'!$C$16)</f>
        <v>0</v>
      </c>
      <c r="AZ80" s="68">
        <f ca="1">IF(E80-'Invoer gegevens (N)'!$C$17-14.5&lt;0,0,E80-'Invoer gegevens (N)'!$C$17-14.5)</f>
        <v>60.5</v>
      </c>
    </row>
    <row r="81" spans="2:52" x14ac:dyDescent="0.25">
      <c r="B81" s="70">
        <f t="shared" si="18"/>
        <v>77</v>
      </c>
      <c r="C81" s="67">
        <f ca="1">IF(E81-'Invoer gegevens (N)'!$C$17&lt;0,0,1)</f>
        <v>1</v>
      </c>
      <c r="D81" s="68">
        <f t="shared" si="19"/>
        <v>76.5</v>
      </c>
      <c r="E81" s="69">
        <f ca="1">IF('Invoer gegevens (N)'!$C$16="","",E80+1)</f>
        <v>2095</v>
      </c>
      <c r="F81" s="82">
        <f ca="1">IF('Invoer gegevens (N)'!$C$17=E81,'Invoer gegevens (N)'!$C$10,IF(C81=1,H80,0))</f>
        <v>0</v>
      </c>
      <c r="G81" s="83">
        <f ca="1">IF(C81&gt;=1,F81*'Reeksen (N)'!C81,0)</f>
        <v>0</v>
      </c>
      <c r="H81" s="84">
        <f t="shared" ca="1" si="13"/>
        <v>0</v>
      </c>
      <c r="I81" s="85">
        <f ca="1">IF('Invoer gegevens (N)'!$C$17=E81,'Invoer gegevens (N)'!$C$11,IF(C81=1,L80,0))</f>
        <v>0</v>
      </c>
      <c r="J81" s="86">
        <f ca="1">IF(C81&lt;1,0,IF('Reeksen (N)'!AK81&lt;='Reeksen (N)'!AE81,I81*'Reeksen (N)'!C81,0))</f>
        <v>0</v>
      </c>
      <c r="K81" s="86">
        <f ca="1">IF(C81&lt;1,0,IF('Reeksen (N)'!AK81&gt;'Reeksen (N)'!AE81,I81*'Reeksen (N)'!C81,0))</f>
        <v>0</v>
      </c>
      <c r="L81" s="86">
        <f t="shared" ca="1" si="14"/>
        <v>0</v>
      </c>
      <c r="M81" s="85">
        <f ca="1">IF('Invoer gegevens (N)'!$C$17=E81,'Invoer gegevens (N)'!$C$10-'Invoer gegevens (N)'!$C$11,IF(C81=1,P80,0))</f>
        <v>0</v>
      </c>
      <c r="N81" s="86">
        <f ca="1">IF(C81&lt;1,0,IF('Reeksen (N)'!AK81&lt;='Reeksen (N)'!AE81,M81*'Reeksen (N)'!C81,0))</f>
        <v>0</v>
      </c>
      <c r="O81" s="86">
        <f ca="1">IF(C81&lt;1,0,IF('Reeksen (N)'!AK81&gt;'Reeksen (N)'!AE81,M81*'Reeksen (N)'!C81,0))</f>
        <v>0</v>
      </c>
      <c r="P81" s="86">
        <f t="shared" ca="1" si="15"/>
        <v>0</v>
      </c>
      <c r="Q81" s="82">
        <f ca="1">IF('Invoer gegevens (N)'!$C$17=E81,I81,IF(C81=0,0,R80))</f>
        <v>0</v>
      </c>
      <c r="R81" s="84">
        <f t="shared" ca="1" si="10"/>
        <v>0</v>
      </c>
      <c r="S81" s="84">
        <f ca="1">IF('Invoer gegevens (N)'!$C$17=E81,M81,IF(C81=0,0,T80))</f>
        <v>0</v>
      </c>
      <c r="T81" s="84">
        <f t="shared" ca="1" si="11"/>
        <v>0</v>
      </c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8"/>
      <c r="AI81" s="71">
        <f ca="1">IF(C81=1,((F81+H81)/2*'Reeksen (N)'!AJ81*12)+(('Invoer gegevens (N)'!$C$10-(F81+H81)/2)*'Reeksen (N)'!AK81*12),0)</f>
        <v>0</v>
      </c>
      <c r="AJ81" s="71">
        <f ca="1">-AI81*'Invoer gegevens (N)'!$F$28</f>
        <v>0</v>
      </c>
      <c r="AK81" s="71">
        <f t="shared" ca="1" si="12"/>
        <v>0</v>
      </c>
      <c r="AL81" s="71">
        <f ca="1">IF(C81=1,(12*((F81+H81)/2)*'Reeksen (N)'!AL81)+(12*('Invoer gegevens (N)'!$C$10-(F81+H81)/2)*'Reeksen (N)'!AM81),0)</f>
        <v>0</v>
      </c>
      <c r="AM81" s="71">
        <f ca="1">-AL81*'Invoer gegevens (N)'!$F$31</f>
        <v>0</v>
      </c>
      <c r="AN81" s="71">
        <f t="shared" ca="1" si="16"/>
        <v>0</v>
      </c>
      <c r="AO81" s="71"/>
      <c r="AP81" s="71"/>
      <c r="AQ81" s="71">
        <f ca="1">-IF(C81=1,('Invoer gegevens (N)'!$C$10*'Invoer gegevens (N)'!$I$33)*'Reeksen (N)'!J81,0)*2</f>
        <v>0</v>
      </c>
      <c r="AR81" s="71">
        <f ca="1">-IF(C81=1,(G81*'Invoer gegevens (N)'!$I$34)*'Reeksen (N)'!J81,0)</f>
        <v>0</v>
      </c>
      <c r="AS81" s="71">
        <f ca="1">-IF(C81=1,'Invoer gegevens (N)'!$C$10*'Invoer gegevens (N)'!$I$35*'Reeksen (N)'!L81,0)</f>
        <v>0</v>
      </c>
      <c r="AT81" s="71">
        <f ca="1">-IF(C81=1,IF(E81='Invoer gegevens (N)'!$C$17,'Invoer gegevens (N)'!$C$11,Q81)*'Reeksen (N)'!S81*'Invoer gegevens (N)'!$C$18*'Reeksen (N)'!P81,0)</f>
        <v>0</v>
      </c>
      <c r="AU81" s="71">
        <f ca="1">-IF(C81=1,'Invoer gegevens (N)'!$C$10*'Invoer gegevens (N)'!$I$36*'Reeksen (N)'!H81,0)</f>
        <v>0</v>
      </c>
      <c r="AV81" s="71">
        <v>0</v>
      </c>
      <c r="AW81" s="71">
        <f t="shared" ca="1" si="17"/>
        <v>0</v>
      </c>
      <c r="AX81" s="71">
        <f ca="1">IF(E81&lt;'Invoer gegevens (N)'!$C$17+15,0,IF(E81&gt;'Invoer gegevens (N)'!$C$17+215,0,AW81))</f>
        <v>0</v>
      </c>
      <c r="AY81" s="71">
        <f ca="1">AX81/(1+'Invoer gegevens (N)'!$F$13)^($AZ81-('Invoer gegevens (N)'!$C$17-'Invoer gegevens (N)'!$C$16))/(1+'Invoer gegevens (N)'!$C$39)^('Invoer gegevens (N)'!$C$17-'Invoer gegevens (N)'!$C$16)</f>
        <v>0</v>
      </c>
      <c r="AZ81" s="68">
        <f ca="1">IF(E81-'Invoer gegevens (N)'!$C$17-14.5&lt;0,0,E81-'Invoer gegevens (N)'!$C$17-14.5)</f>
        <v>61.5</v>
      </c>
    </row>
    <row r="82" spans="2:52" x14ac:dyDescent="0.25">
      <c r="B82" s="70">
        <f t="shared" si="18"/>
        <v>78</v>
      </c>
      <c r="C82" s="67">
        <f ca="1">IF(E82-'Invoer gegevens (N)'!$C$17&lt;0,0,1)</f>
        <v>1</v>
      </c>
      <c r="D82" s="68">
        <f t="shared" si="19"/>
        <v>77.5</v>
      </c>
      <c r="E82" s="69">
        <f ca="1">IF('Invoer gegevens (N)'!$C$16="","",E81+1)</f>
        <v>2096</v>
      </c>
      <c r="F82" s="82">
        <f ca="1">IF('Invoer gegevens (N)'!$C$17=E82,'Invoer gegevens (N)'!$C$10,IF(C82=1,H81,0))</f>
        <v>0</v>
      </c>
      <c r="G82" s="83">
        <f ca="1">IF(C82&gt;=1,F82*'Reeksen (N)'!C82,0)</f>
        <v>0</v>
      </c>
      <c r="H82" s="84">
        <f t="shared" ca="1" si="13"/>
        <v>0</v>
      </c>
      <c r="I82" s="85">
        <f ca="1">IF('Invoer gegevens (N)'!$C$17=E82,'Invoer gegevens (N)'!$C$11,IF(C82=1,L81,0))</f>
        <v>0</v>
      </c>
      <c r="J82" s="86">
        <f ca="1">IF(C82&lt;1,0,IF('Reeksen (N)'!AK82&lt;='Reeksen (N)'!AE82,I82*'Reeksen (N)'!C82,0))</f>
        <v>0</v>
      </c>
      <c r="K82" s="86">
        <f ca="1">IF(C82&lt;1,0,IF('Reeksen (N)'!AK82&gt;'Reeksen (N)'!AE82,I82*'Reeksen (N)'!C82,0))</f>
        <v>0</v>
      </c>
      <c r="L82" s="86">
        <f t="shared" ca="1" si="14"/>
        <v>0</v>
      </c>
      <c r="M82" s="85">
        <f ca="1">IF('Invoer gegevens (N)'!$C$17=E82,'Invoer gegevens (N)'!$C$10-'Invoer gegevens (N)'!$C$11,IF(C82=1,P81,0))</f>
        <v>0</v>
      </c>
      <c r="N82" s="86">
        <f ca="1">IF(C82&lt;1,0,IF('Reeksen (N)'!AK82&lt;='Reeksen (N)'!AE82,M82*'Reeksen (N)'!C82,0))</f>
        <v>0</v>
      </c>
      <c r="O82" s="86">
        <f ca="1">IF(C82&lt;1,0,IF('Reeksen (N)'!AK82&gt;'Reeksen (N)'!AE82,M82*'Reeksen (N)'!C82,0))</f>
        <v>0</v>
      </c>
      <c r="P82" s="86">
        <f t="shared" ca="1" si="15"/>
        <v>0</v>
      </c>
      <c r="Q82" s="82">
        <f ca="1">IF('Invoer gegevens (N)'!$C$17=E82,I82,IF(C82=0,0,R81))</f>
        <v>0</v>
      </c>
      <c r="R82" s="84">
        <f t="shared" ca="1" si="10"/>
        <v>0</v>
      </c>
      <c r="S82" s="84">
        <f ca="1">IF('Invoer gegevens (N)'!$C$17=E82,M82,IF(C82=0,0,T81))</f>
        <v>0</v>
      </c>
      <c r="T82" s="84">
        <f t="shared" ca="1" si="11"/>
        <v>0</v>
      </c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8"/>
      <c r="AI82" s="71">
        <f ca="1">IF(C82=1,((F82+H82)/2*'Reeksen (N)'!AJ82*12)+(('Invoer gegevens (N)'!$C$10-(F82+H82)/2)*'Reeksen (N)'!AK82*12),0)</f>
        <v>0</v>
      </c>
      <c r="AJ82" s="71">
        <f ca="1">-AI82*'Invoer gegevens (N)'!$F$28</f>
        <v>0</v>
      </c>
      <c r="AK82" s="71">
        <f t="shared" ca="1" si="12"/>
        <v>0</v>
      </c>
      <c r="AL82" s="71">
        <f ca="1">IF(C82=1,(12*((F82+H82)/2)*'Reeksen (N)'!AL82)+(12*('Invoer gegevens (N)'!$C$10-(F82+H82)/2)*'Reeksen (N)'!AM82),0)</f>
        <v>0</v>
      </c>
      <c r="AM82" s="71">
        <f ca="1">-AL82*'Invoer gegevens (N)'!$F$31</f>
        <v>0</v>
      </c>
      <c r="AN82" s="71">
        <f t="shared" ca="1" si="16"/>
        <v>0</v>
      </c>
      <c r="AO82" s="71"/>
      <c r="AP82" s="71"/>
      <c r="AQ82" s="71">
        <f ca="1">-IF(C82=1,('Invoer gegevens (N)'!$C$10*'Invoer gegevens (N)'!$I$33)*'Reeksen (N)'!J82,0)*2</f>
        <v>0</v>
      </c>
      <c r="AR82" s="71">
        <f ca="1">-IF(C82=1,(G82*'Invoer gegevens (N)'!$I$34)*'Reeksen (N)'!J82,0)</f>
        <v>0</v>
      </c>
      <c r="AS82" s="71">
        <f ca="1">-IF(C82=1,'Invoer gegevens (N)'!$C$10*'Invoer gegevens (N)'!$I$35*'Reeksen (N)'!L82,0)</f>
        <v>0</v>
      </c>
      <c r="AT82" s="71">
        <f ca="1">-IF(C82=1,IF(E82='Invoer gegevens (N)'!$C$17,'Invoer gegevens (N)'!$C$11,Q82)*'Reeksen (N)'!S82*'Invoer gegevens (N)'!$C$18*'Reeksen (N)'!P82,0)</f>
        <v>0</v>
      </c>
      <c r="AU82" s="71">
        <f ca="1">-IF(C82=1,'Invoer gegevens (N)'!$C$10*'Invoer gegevens (N)'!$I$36*'Reeksen (N)'!H82,0)</f>
        <v>0</v>
      </c>
      <c r="AV82" s="71">
        <v>0</v>
      </c>
      <c r="AW82" s="71">
        <f t="shared" ca="1" si="17"/>
        <v>0</v>
      </c>
      <c r="AX82" s="71">
        <f ca="1">IF(E82&lt;'Invoer gegevens (N)'!$C$17+15,0,IF(E82&gt;'Invoer gegevens (N)'!$C$17+215,0,AW82))</f>
        <v>0</v>
      </c>
      <c r="AY82" s="71">
        <f ca="1">AX82/(1+'Invoer gegevens (N)'!$F$13)^($AZ82-('Invoer gegevens (N)'!$C$17-'Invoer gegevens (N)'!$C$16))/(1+'Invoer gegevens (N)'!$C$39)^('Invoer gegevens (N)'!$C$17-'Invoer gegevens (N)'!$C$16)</f>
        <v>0</v>
      </c>
      <c r="AZ82" s="68">
        <f ca="1">IF(E82-'Invoer gegevens (N)'!$C$17-14.5&lt;0,0,E82-'Invoer gegevens (N)'!$C$17-14.5)</f>
        <v>62.5</v>
      </c>
    </row>
    <row r="83" spans="2:52" x14ac:dyDescent="0.25">
      <c r="B83" s="70">
        <f t="shared" si="18"/>
        <v>79</v>
      </c>
      <c r="C83" s="67">
        <f ca="1">IF(E83-'Invoer gegevens (N)'!$C$17&lt;0,0,1)</f>
        <v>1</v>
      </c>
      <c r="D83" s="68">
        <f t="shared" si="19"/>
        <v>78.5</v>
      </c>
      <c r="E83" s="69">
        <f ca="1">IF('Invoer gegevens (N)'!$C$16="","",E82+1)</f>
        <v>2097</v>
      </c>
      <c r="F83" s="82">
        <f ca="1">IF('Invoer gegevens (N)'!$C$17=E83,'Invoer gegevens (N)'!$C$10,IF(C83=1,H82,0))</f>
        <v>0</v>
      </c>
      <c r="G83" s="83">
        <f ca="1">IF(C83&gt;=1,F83*'Reeksen (N)'!C83,0)</f>
        <v>0</v>
      </c>
      <c r="H83" s="84">
        <f t="shared" ca="1" si="13"/>
        <v>0</v>
      </c>
      <c r="I83" s="85">
        <f ca="1">IF('Invoer gegevens (N)'!$C$17=E83,'Invoer gegevens (N)'!$C$11,IF(C83=1,L82,0))</f>
        <v>0</v>
      </c>
      <c r="J83" s="86">
        <f ca="1">IF(C83&lt;1,0,IF('Reeksen (N)'!AK83&lt;='Reeksen (N)'!AE83,I83*'Reeksen (N)'!C83,0))</f>
        <v>0</v>
      </c>
      <c r="K83" s="86">
        <f ca="1">IF(C83&lt;1,0,IF('Reeksen (N)'!AK83&gt;'Reeksen (N)'!AE83,I83*'Reeksen (N)'!C83,0))</f>
        <v>0</v>
      </c>
      <c r="L83" s="86">
        <f t="shared" ca="1" si="14"/>
        <v>0</v>
      </c>
      <c r="M83" s="85">
        <f ca="1">IF('Invoer gegevens (N)'!$C$17=E83,'Invoer gegevens (N)'!$C$10-'Invoer gegevens (N)'!$C$11,IF(C83=1,P82,0))</f>
        <v>0</v>
      </c>
      <c r="N83" s="86">
        <f ca="1">IF(C83&lt;1,0,IF('Reeksen (N)'!AK83&lt;='Reeksen (N)'!AE83,M83*'Reeksen (N)'!C83,0))</f>
        <v>0</v>
      </c>
      <c r="O83" s="86">
        <f ca="1">IF(C83&lt;1,0,IF('Reeksen (N)'!AK83&gt;'Reeksen (N)'!AE83,M83*'Reeksen (N)'!C83,0))</f>
        <v>0</v>
      </c>
      <c r="P83" s="86">
        <f t="shared" ca="1" si="15"/>
        <v>0</v>
      </c>
      <c r="Q83" s="82">
        <f ca="1">IF('Invoer gegevens (N)'!$C$17=E83,I83,IF(C83=0,0,R82))</f>
        <v>0</v>
      </c>
      <c r="R83" s="84">
        <f t="shared" ca="1" si="10"/>
        <v>0</v>
      </c>
      <c r="S83" s="84">
        <f ca="1">IF('Invoer gegevens (N)'!$C$17=E83,M83,IF(C83=0,0,T82))</f>
        <v>0</v>
      </c>
      <c r="T83" s="84">
        <f t="shared" ca="1" si="11"/>
        <v>0</v>
      </c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8"/>
      <c r="AI83" s="71">
        <f ca="1">IF(C83=1,((F83+H83)/2*'Reeksen (N)'!AJ83*12)+(('Invoer gegevens (N)'!$C$10-(F83+H83)/2)*'Reeksen (N)'!AK83*12),0)</f>
        <v>0</v>
      </c>
      <c r="AJ83" s="71">
        <f ca="1">-AI83*'Invoer gegevens (N)'!$F$28</f>
        <v>0</v>
      </c>
      <c r="AK83" s="71">
        <f t="shared" ca="1" si="12"/>
        <v>0</v>
      </c>
      <c r="AL83" s="71">
        <f ca="1">IF(C83=1,(12*((F83+H83)/2)*'Reeksen (N)'!AL83)+(12*('Invoer gegevens (N)'!$C$10-(F83+H83)/2)*'Reeksen (N)'!AM83),0)</f>
        <v>0</v>
      </c>
      <c r="AM83" s="71">
        <f ca="1">-AL83*'Invoer gegevens (N)'!$F$31</f>
        <v>0</v>
      </c>
      <c r="AN83" s="71">
        <f t="shared" ca="1" si="16"/>
        <v>0</v>
      </c>
      <c r="AO83" s="71"/>
      <c r="AP83" s="71"/>
      <c r="AQ83" s="71">
        <f ca="1">-IF(C83=1,('Invoer gegevens (N)'!$C$10*'Invoer gegevens (N)'!$I$33)*'Reeksen (N)'!J83,0)*2</f>
        <v>0</v>
      </c>
      <c r="AR83" s="71">
        <f ca="1">-IF(C83=1,(G83*'Invoer gegevens (N)'!$I$34)*'Reeksen (N)'!J83,0)</f>
        <v>0</v>
      </c>
      <c r="AS83" s="71">
        <f ca="1">-IF(C83=1,'Invoer gegevens (N)'!$C$10*'Invoer gegevens (N)'!$I$35*'Reeksen (N)'!L83,0)</f>
        <v>0</v>
      </c>
      <c r="AT83" s="71">
        <f ca="1">-IF(C83=1,IF(E83='Invoer gegevens (N)'!$C$17,'Invoer gegevens (N)'!$C$11,Q83)*'Reeksen (N)'!S83*'Invoer gegevens (N)'!$C$18*'Reeksen (N)'!P83,0)</f>
        <v>0</v>
      </c>
      <c r="AU83" s="71">
        <f ca="1">-IF(C83=1,'Invoer gegevens (N)'!$C$10*'Invoer gegevens (N)'!$I$36*'Reeksen (N)'!H83,0)</f>
        <v>0</v>
      </c>
      <c r="AV83" s="71">
        <v>0</v>
      </c>
      <c r="AW83" s="71">
        <f t="shared" ca="1" si="17"/>
        <v>0</v>
      </c>
      <c r="AX83" s="71">
        <f ca="1">IF(E83&lt;'Invoer gegevens (N)'!$C$17+15,0,IF(E83&gt;'Invoer gegevens (N)'!$C$17+215,0,AW83))</f>
        <v>0</v>
      </c>
      <c r="AY83" s="71">
        <f ca="1">AX83/(1+'Invoer gegevens (N)'!$F$13)^($AZ83-('Invoer gegevens (N)'!$C$17-'Invoer gegevens (N)'!$C$16))/(1+'Invoer gegevens (N)'!$C$39)^('Invoer gegevens (N)'!$C$17-'Invoer gegevens (N)'!$C$16)</f>
        <v>0</v>
      </c>
      <c r="AZ83" s="68">
        <f ca="1">IF(E83-'Invoer gegevens (N)'!$C$17-14.5&lt;0,0,E83-'Invoer gegevens (N)'!$C$17-14.5)</f>
        <v>63.5</v>
      </c>
    </row>
    <row r="84" spans="2:52" x14ac:dyDescent="0.25">
      <c r="B84" s="70">
        <f t="shared" si="18"/>
        <v>80</v>
      </c>
      <c r="C84" s="67">
        <f ca="1">IF(E84-'Invoer gegevens (N)'!$C$17&lt;0,0,1)</f>
        <v>1</v>
      </c>
      <c r="D84" s="68">
        <f t="shared" si="19"/>
        <v>79.5</v>
      </c>
      <c r="E84" s="69">
        <f ca="1">IF('Invoer gegevens (N)'!$C$16="","",E83+1)</f>
        <v>2098</v>
      </c>
      <c r="F84" s="82">
        <f ca="1">IF('Invoer gegevens (N)'!$C$17=E84,'Invoer gegevens (N)'!$C$10,IF(C84=1,H83,0))</f>
        <v>0</v>
      </c>
      <c r="G84" s="83">
        <f ca="1">IF(C84&gt;=1,F84*'Reeksen (N)'!C84,0)</f>
        <v>0</v>
      </c>
      <c r="H84" s="84">
        <f t="shared" ca="1" si="13"/>
        <v>0</v>
      </c>
      <c r="I84" s="85">
        <f ca="1">IF('Invoer gegevens (N)'!$C$17=E84,'Invoer gegevens (N)'!$C$11,IF(C84=1,L83,0))</f>
        <v>0</v>
      </c>
      <c r="J84" s="86">
        <f ca="1">IF(C84&lt;1,0,IF('Reeksen (N)'!AK84&lt;='Reeksen (N)'!AE84,I84*'Reeksen (N)'!C84,0))</f>
        <v>0</v>
      </c>
      <c r="K84" s="86">
        <f ca="1">IF(C84&lt;1,0,IF('Reeksen (N)'!AK84&gt;'Reeksen (N)'!AE84,I84*'Reeksen (N)'!C84,0))</f>
        <v>0</v>
      </c>
      <c r="L84" s="86">
        <f t="shared" ca="1" si="14"/>
        <v>0</v>
      </c>
      <c r="M84" s="85">
        <f ca="1">IF('Invoer gegevens (N)'!$C$17=E84,'Invoer gegevens (N)'!$C$10-'Invoer gegevens (N)'!$C$11,IF(C84=1,P83,0))</f>
        <v>0</v>
      </c>
      <c r="N84" s="86">
        <f ca="1">IF(C84&lt;1,0,IF('Reeksen (N)'!AK84&lt;='Reeksen (N)'!AE84,M84*'Reeksen (N)'!C84,0))</f>
        <v>0</v>
      </c>
      <c r="O84" s="86">
        <f ca="1">IF(C84&lt;1,0,IF('Reeksen (N)'!AK84&gt;'Reeksen (N)'!AE84,M84*'Reeksen (N)'!C84,0))</f>
        <v>0</v>
      </c>
      <c r="P84" s="86">
        <f t="shared" ca="1" si="15"/>
        <v>0</v>
      </c>
      <c r="Q84" s="82">
        <f ca="1">IF('Invoer gegevens (N)'!$C$17=E84,I84,IF(C84=0,0,R83))</f>
        <v>0</v>
      </c>
      <c r="R84" s="84">
        <f t="shared" ca="1" si="10"/>
        <v>0</v>
      </c>
      <c r="S84" s="84">
        <f ca="1">IF('Invoer gegevens (N)'!$C$17=E84,M84,IF(C84=0,0,T83))</f>
        <v>0</v>
      </c>
      <c r="T84" s="84">
        <f t="shared" ca="1" si="11"/>
        <v>0</v>
      </c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8"/>
      <c r="AI84" s="71">
        <f ca="1">IF(C84=1,((F84+H84)/2*'Reeksen (N)'!AJ84*12)+(('Invoer gegevens (N)'!$C$10-(F84+H84)/2)*'Reeksen (N)'!AK84*12),0)</f>
        <v>0</v>
      </c>
      <c r="AJ84" s="71">
        <f ca="1">-AI84*'Invoer gegevens (N)'!$F$28</f>
        <v>0</v>
      </c>
      <c r="AK84" s="71">
        <f t="shared" ca="1" si="12"/>
        <v>0</v>
      </c>
      <c r="AL84" s="71">
        <f ca="1">IF(C84=1,(12*((F84+H84)/2)*'Reeksen (N)'!AL84)+(12*('Invoer gegevens (N)'!$C$10-(F84+H84)/2)*'Reeksen (N)'!AM84),0)</f>
        <v>0</v>
      </c>
      <c r="AM84" s="71">
        <f ca="1">-AL84*'Invoer gegevens (N)'!$F$31</f>
        <v>0</v>
      </c>
      <c r="AN84" s="71">
        <f t="shared" ca="1" si="16"/>
        <v>0</v>
      </c>
      <c r="AO84" s="71"/>
      <c r="AP84" s="71"/>
      <c r="AQ84" s="71">
        <f ca="1">-IF(C84=1,('Invoer gegevens (N)'!$C$10*'Invoer gegevens (N)'!$I$33)*'Reeksen (N)'!J84,0)*2</f>
        <v>0</v>
      </c>
      <c r="AR84" s="71">
        <f ca="1">-IF(C84=1,(G84*'Invoer gegevens (N)'!$I$34)*'Reeksen (N)'!J84,0)</f>
        <v>0</v>
      </c>
      <c r="AS84" s="71">
        <f ca="1">-IF(C84=1,'Invoer gegevens (N)'!$C$10*'Invoer gegevens (N)'!$I$35*'Reeksen (N)'!L84,0)</f>
        <v>0</v>
      </c>
      <c r="AT84" s="71">
        <f ca="1">-IF(C84=1,IF(E84='Invoer gegevens (N)'!$C$17,'Invoer gegevens (N)'!$C$11,Q84)*'Reeksen (N)'!S84*'Invoer gegevens (N)'!$C$18*'Reeksen (N)'!P84,0)</f>
        <v>0</v>
      </c>
      <c r="AU84" s="71">
        <f ca="1">-IF(C84=1,'Invoer gegevens (N)'!$C$10*'Invoer gegevens (N)'!$I$36*'Reeksen (N)'!H84,0)</f>
        <v>0</v>
      </c>
      <c r="AV84" s="71">
        <v>0</v>
      </c>
      <c r="AW84" s="71">
        <f t="shared" ca="1" si="17"/>
        <v>0</v>
      </c>
      <c r="AX84" s="71">
        <f ca="1">IF(E84&lt;'Invoer gegevens (N)'!$C$17+15,0,IF(E84&gt;'Invoer gegevens (N)'!$C$17+215,0,AW84))</f>
        <v>0</v>
      </c>
      <c r="AY84" s="71">
        <f ca="1">AX84/(1+'Invoer gegevens (N)'!$F$13)^($AZ84-('Invoer gegevens (N)'!$C$17-'Invoer gegevens (N)'!$C$16))/(1+'Invoer gegevens (N)'!$C$39)^('Invoer gegevens (N)'!$C$17-'Invoer gegevens (N)'!$C$16)</f>
        <v>0</v>
      </c>
      <c r="AZ84" s="68">
        <f ca="1">IF(E84-'Invoer gegevens (N)'!$C$17-14.5&lt;0,0,E84-'Invoer gegevens (N)'!$C$17-14.5)</f>
        <v>64.5</v>
      </c>
    </row>
    <row r="85" spans="2:52" x14ac:dyDescent="0.25">
      <c r="B85" s="70">
        <f t="shared" si="18"/>
        <v>81</v>
      </c>
      <c r="C85" s="67">
        <f ca="1">IF(E85-'Invoer gegevens (N)'!$C$17&lt;0,0,1)</f>
        <v>1</v>
      </c>
      <c r="D85" s="68">
        <f t="shared" si="19"/>
        <v>80.5</v>
      </c>
      <c r="E85" s="69">
        <f ca="1">IF('Invoer gegevens (N)'!$C$16="","",E84+1)</f>
        <v>2099</v>
      </c>
      <c r="F85" s="82">
        <f ca="1">IF('Invoer gegevens (N)'!$C$17=E85,'Invoer gegevens (N)'!$C$10,IF(C85=1,H84,0))</f>
        <v>0</v>
      </c>
      <c r="G85" s="83">
        <f ca="1">IF(C85&gt;=1,F85*'Reeksen (N)'!C85,0)</f>
        <v>0</v>
      </c>
      <c r="H85" s="84">
        <f t="shared" ca="1" si="13"/>
        <v>0</v>
      </c>
      <c r="I85" s="85">
        <f ca="1">IF('Invoer gegevens (N)'!$C$17=E85,'Invoer gegevens (N)'!$C$11,IF(C85=1,L84,0))</f>
        <v>0</v>
      </c>
      <c r="J85" s="86">
        <f ca="1">IF(C85&lt;1,0,IF('Reeksen (N)'!AK85&lt;='Reeksen (N)'!AE85,I85*'Reeksen (N)'!C85,0))</f>
        <v>0</v>
      </c>
      <c r="K85" s="86">
        <f ca="1">IF(C85&lt;1,0,IF('Reeksen (N)'!AK85&gt;'Reeksen (N)'!AE85,I85*'Reeksen (N)'!C85,0))</f>
        <v>0</v>
      </c>
      <c r="L85" s="86">
        <f t="shared" ca="1" si="14"/>
        <v>0</v>
      </c>
      <c r="M85" s="85">
        <f ca="1">IF('Invoer gegevens (N)'!$C$17=E85,'Invoer gegevens (N)'!$C$10-'Invoer gegevens (N)'!$C$11,IF(C85=1,P84,0))</f>
        <v>0</v>
      </c>
      <c r="N85" s="86">
        <f ca="1">IF(C85&lt;1,0,IF('Reeksen (N)'!AK85&lt;='Reeksen (N)'!AE85,M85*'Reeksen (N)'!C85,0))</f>
        <v>0</v>
      </c>
      <c r="O85" s="86">
        <f ca="1">IF(C85&lt;1,0,IF('Reeksen (N)'!AK85&gt;'Reeksen (N)'!AE85,M85*'Reeksen (N)'!C85,0))</f>
        <v>0</v>
      </c>
      <c r="P85" s="86">
        <f t="shared" ca="1" si="15"/>
        <v>0</v>
      </c>
      <c r="Q85" s="82">
        <f ca="1">IF('Invoer gegevens (N)'!$C$17=E85,I85,IF(C85=0,0,R84))</f>
        <v>0</v>
      </c>
      <c r="R85" s="84">
        <f t="shared" ca="1" si="10"/>
        <v>0</v>
      </c>
      <c r="S85" s="84">
        <f ca="1">IF('Invoer gegevens (N)'!$C$17=E85,M85,IF(C85=0,0,T84))</f>
        <v>0</v>
      </c>
      <c r="T85" s="84">
        <f t="shared" ca="1" si="11"/>
        <v>0</v>
      </c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8"/>
      <c r="AI85" s="71">
        <f ca="1">IF(C85=1,((F85+H85)/2*'Reeksen (N)'!AJ85*12)+(('Invoer gegevens (N)'!$C$10-(F85+H85)/2)*'Reeksen (N)'!AK85*12),0)</f>
        <v>0</v>
      </c>
      <c r="AJ85" s="71">
        <f ca="1">-AI85*'Invoer gegevens (N)'!$F$28</f>
        <v>0</v>
      </c>
      <c r="AK85" s="71">
        <f t="shared" ca="1" si="12"/>
        <v>0</v>
      </c>
      <c r="AL85" s="71">
        <f ca="1">IF(C85=1,(12*((F85+H85)/2)*'Reeksen (N)'!AL85)+(12*('Invoer gegevens (N)'!$C$10-(F85+H85)/2)*'Reeksen (N)'!AM85),0)</f>
        <v>0</v>
      </c>
      <c r="AM85" s="71">
        <f ca="1">-AL85*'Invoer gegevens (N)'!$F$31</f>
        <v>0</v>
      </c>
      <c r="AN85" s="71">
        <f t="shared" ca="1" si="16"/>
        <v>0</v>
      </c>
      <c r="AO85" s="71"/>
      <c r="AP85" s="71"/>
      <c r="AQ85" s="71">
        <f ca="1">-IF(C85=1,('Invoer gegevens (N)'!$C$10*'Invoer gegevens (N)'!$I$33)*'Reeksen (N)'!J85,0)*2</f>
        <v>0</v>
      </c>
      <c r="AR85" s="71">
        <f ca="1">-IF(C85=1,(G85*'Invoer gegevens (N)'!$I$34)*'Reeksen (N)'!J85,0)</f>
        <v>0</v>
      </c>
      <c r="AS85" s="71">
        <f ca="1">-IF(C85=1,'Invoer gegevens (N)'!$C$10*'Invoer gegevens (N)'!$I$35*'Reeksen (N)'!L85,0)</f>
        <v>0</v>
      </c>
      <c r="AT85" s="71">
        <f ca="1">-IF(C85=1,IF(E85='Invoer gegevens (N)'!$C$17,'Invoer gegevens (N)'!$C$11,Q85)*'Reeksen (N)'!S85*'Invoer gegevens (N)'!$C$18*'Reeksen (N)'!P85,0)</f>
        <v>0</v>
      </c>
      <c r="AU85" s="71">
        <f ca="1">-IF(C85=1,'Invoer gegevens (N)'!$C$10*'Invoer gegevens (N)'!$I$36*'Reeksen (N)'!H85,0)</f>
        <v>0</v>
      </c>
      <c r="AV85" s="71">
        <v>0</v>
      </c>
      <c r="AW85" s="71">
        <f t="shared" ca="1" si="17"/>
        <v>0</v>
      </c>
      <c r="AX85" s="71">
        <f ca="1">IF(E85&lt;'Invoer gegevens (N)'!$C$17+15,0,IF(E85&gt;'Invoer gegevens (N)'!$C$17+215,0,AW85))</f>
        <v>0</v>
      </c>
      <c r="AY85" s="71">
        <f ca="1">AX85/(1+'Invoer gegevens (N)'!$F$13)^($AZ85-('Invoer gegevens (N)'!$C$17-'Invoer gegevens (N)'!$C$16))/(1+'Invoer gegevens (N)'!$C$39)^('Invoer gegevens (N)'!$C$17-'Invoer gegevens (N)'!$C$16)</f>
        <v>0</v>
      </c>
      <c r="AZ85" s="68">
        <f ca="1">IF(E85-'Invoer gegevens (N)'!$C$17-14.5&lt;0,0,E85-'Invoer gegevens (N)'!$C$17-14.5)</f>
        <v>65.5</v>
      </c>
    </row>
    <row r="86" spans="2:52" x14ac:dyDescent="0.25">
      <c r="B86" s="70">
        <f t="shared" si="18"/>
        <v>82</v>
      </c>
      <c r="C86" s="67">
        <f ca="1">IF(E86-'Invoer gegevens (N)'!$C$17&lt;0,0,1)</f>
        <v>1</v>
      </c>
      <c r="D86" s="68">
        <f t="shared" si="19"/>
        <v>81.5</v>
      </c>
      <c r="E86" s="69">
        <f ca="1">IF('Invoer gegevens (N)'!$C$16="","",E85+1)</f>
        <v>2100</v>
      </c>
      <c r="F86" s="82">
        <f ca="1">IF('Invoer gegevens (N)'!$C$17=E86,'Invoer gegevens (N)'!$C$10,IF(C86=1,H85,0))</f>
        <v>0</v>
      </c>
      <c r="G86" s="83">
        <f ca="1">IF(C86&gt;=1,F86*'Reeksen (N)'!C86,0)</f>
        <v>0</v>
      </c>
      <c r="H86" s="84">
        <f t="shared" ca="1" si="13"/>
        <v>0</v>
      </c>
      <c r="I86" s="85">
        <f ca="1">IF('Invoer gegevens (N)'!$C$17=E86,'Invoer gegevens (N)'!$C$11,IF(C86=1,L85,0))</f>
        <v>0</v>
      </c>
      <c r="J86" s="86">
        <f ca="1">IF(C86&lt;1,0,IF('Reeksen (N)'!AK86&lt;='Reeksen (N)'!AE86,I86*'Reeksen (N)'!C86,0))</f>
        <v>0</v>
      </c>
      <c r="K86" s="86">
        <f ca="1">IF(C86&lt;1,0,IF('Reeksen (N)'!AK86&gt;'Reeksen (N)'!AE86,I86*'Reeksen (N)'!C86,0))</f>
        <v>0</v>
      </c>
      <c r="L86" s="86">
        <f t="shared" ca="1" si="14"/>
        <v>0</v>
      </c>
      <c r="M86" s="85">
        <f ca="1">IF('Invoer gegevens (N)'!$C$17=E86,'Invoer gegevens (N)'!$C$10-'Invoer gegevens (N)'!$C$11,IF(C86=1,P85,0))</f>
        <v>0</v>
      </c>
      <c r="N86" s="86">
        <f ca="1">IF(C86&lt;1,0,IF('Reeksen (N)'!AK86&lt;='Reeksen (N)'!AE86,M86*'Reeksen (N)'!C86,0))</f>
        <v>0</v>
      </c>
      <c r="O86" s="86">
        <f ca="1">IF(C86&lt;1,0,IF('Reeksen (N)'!AK86&gt;'Reeksen (N)'!AE86,M86*'Reeksen (N)'!C86,0))</f>
        <v>0</v>
      </c>
      <c r="P86" s="86">
        <f t="shared" ca="1" si="15"/>
        <v>0</v>
      </c>
      <c r="Q86" s="82">
        <f ca="1">IF('Invoer gegevens (N)'!$C$17=E86,I86,IF(C86=0,0,R85))</f>
        <v>0</v>
      </c>
      <c r="R86" s="84">
        <f t="shared" ca="1" si="10"/>
        <v>0</v>
      </c>
      <c r="S86" s="84">
        <f ca="1">IF('Invoer gegevens (N)'!$C$17=E86,M86,IF(C86=0,0,T85))</f>
        <v>0</v>
      </c>
      <c r="T86" s="84">
        <f t="shared" ca="1" si="11"/>
        <v>0</v>
      </c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8"/>
      <c r="AI86" s="71">
        <f ca="1">IF(C86=1,((F86+H86)/2*'Reeksen (N)'!AJ86*12)+(('Invoer gegevens (N)'!$C$10-(F86+H86)/2)*'Reeksen (N)'!AK86*12),0)</f>
        <v>0</v>
      </c>
      <c r="AJ86" s="71">
        <f ca="1">-AI86*'Invoer gegevens (N)'!$F$28</f>
        <v>0</v>
      </c>
      <c r="AK86" s="71">
        <f t="shared" ca="1" si="12"/>
        <v>0</v>
      </c>
      <c r="AL86" s="71">
        <f ca="1">IF(C86=1,(12*((F86+H86)/2)*'Reeksen (N)'!AL86)+(12*('Invoer gegevens (N)'!$C$10-(F86+H86)/2)*'Reeksen (N)'!AM86),0)</f>
        <v>0</v>
      </c>
      <c r="AM86" s="71">
        <f ca="1">-AL86*'Invoer gegevens (N)'!$F$31</f>
        <v>0</v>
      </c>
      <c r="AN86" s="71">
        <f t="shared" ca="1" si="16"/>
        <v>0</v>
      </c>
      <c r="AO86" s="71"/>
      <c r="AP86" s="71"/>
      <c r="AQ86" s="71">
        <f ca="1">-IF(C86=1,('Invoer gegevens (N)'!$C$10*'Invoer gegevens (N)'!$I$33)*'Reeksen (N)'!J86,0)*2</f>
        <v>0</v>
      </c>
      <c r="AR86" s="71">
        <f ca="1">-IF(C86=1,(G86*'Invoer gegevens (N)'!$I$34)*'Reeksen (N)'!J86,0)</f>
        <v>0</v>
      </c>
      <c r="AS86" s="71">
        <f ca="1">-IF(C86=1,'Invoer gegevens (N)'!$C$10*'Invoer gegevens (N)'!$I$35*'Reeksen (N)'!L86,0)</f>
        <v>0</v>
      </c>
      <c r="AT86" s="71">
        <f ca="1">-IF(C86=1,IF(E86='Invoer gegevens (N)'!$C$17,'Invoer gegevens (N)'!$C$11,Q86)*'Reeksen (N)'!S86*'Invoer gegevens (N)'!$C$18*'Reeksen (N)'!P86,0)</f>
        <v>0</v>
      </c>
      <c r="AU86" s="71">
        <f ca="1">-IF(C86=1,'Invoer gegevens (N)'!$C$10*'Invoer gegevens (N)'!$I$36*'Reeksen (N)'!H86,0)</f>
        <v>0</v>
      </c>
      <c r="AV86" s="71">
        <v>0</v>
      </c>
      <c r="AW86" s="71">
        <f t="shared" ca="1" si="17"/>
        <v>0</v>
      </c>
      <c r="AX86" s="71">
        <f ca="1">IF(E86&lt;'Invoer gegevens (N)'!$C$17+15,0,IF(E86&gt;'Invoer gegevens (N)'!$C$17+215,0,AW86))</f>
        <v>0</v>
      </c>
      <c r="AY86" s="71">
        <f ca="1">AX86/(1+'Invoer gegevens (N)'!$F$13)^($AZ86-('Invoer gegevens (N)'!$C$17-'Invoer gegevens (N)'!$C$16))/(1+'Invoer gegevens (N)'!$C$39)^('Invoer gegevens (N)'!$C$17-'Invoer gegevens (N)'!$C$16)</f>
        <v>0</v>
      </c>
      <c r="AZ86" s="68">
        <f ca="1">IF(E86-'Invoer gegevens (N)'!$C$17-14.5&lt;0,0,E86-'Invoer gegevens (N)'!$C$17-14.5)</f>
        <v>66.5</v>
      </c>
    </row>
    <row r="87" spans="2:52" x14ac:dyDescent="0.25">
      <c r="B87" s="70">
        <f t="shared" si="18"/>
        <v>83</v>
      </c>
      <c r="C87" s="67">
        <f ca="1">IF(E87-'Invoer gegevens (N)'!$C$17&lt;0,0,1)</f>
        <v>1</v>
      </c>
      <c r="D87" s="68">
        <f t="shared" si="19"/>
        <v>82.5</v>
      </c>
      <c r="E87" s="69">
        <f ca="1">IF('Invoer gegevens (N)'!$C$16="","",E86+1)</f>
        <v>2101</v>
      </c>
      <c r="F87" s="82">
        <f ca="1">IF('Invoer gegevens (N)'!$C$17=E87,'Invoer gegevens (N)'!$C$10,IF(C87=1,H86,0))</f>
        <v>0</v>
      </c>
      <c r="G87" s="83">
        <f ca="1">IF(C87&gt;=1,F87*'Reeksen (N)'!C87,0)</f>
        <v>0</v>
      </c>
      <c r="H87" s="84">
        <f t="shared" ca="1" si="13"/>
        <v>0</v>
      </c>
      <c r="I87" s="85">
        <f ca="1">IF('Invoer gegevens (N)'!$C$17=E87,'Invoer gegevens (N)'!$C$11,IF(C87=1,L86,0))</f>
        <v>0</v>
      </c>
      <c r="J87" s="86">
        <f ca="1">IF(C87&lt;1,0,IF('Reeksen (N)'!AK87&lt;='Reeksen (N)'!AE87,I87*'Reeksen (N)'!C87,0))</f>
        <v>0</v>
      </c>
      <c r="K87" s="86">
        <f ca="1">IF(C87&lt;1,0,IF('Reeksen (N)'!AK87&gt;'Reeksen (N)'!AE87,I87*'Reeksen (N)'!C87,0))</f>
        <v>0</v>
      </c>
      <c r="L87" s="86">
        <f t="shared" ca="1" si="14"/>
        <v>0</v>
      </c>
      <c r="M87" s="85">
        <f ca="1">IF('Invoer gegevens (N)'!$C$17=E87,'Invoer gegevens (N)'!$C$10-'Invoer gegevens (N)'!$C$11,IF(C87=1,P86,0))</f>
        <v>0</v>
      </c>
      <c r="N87" s="86">
        <f ca="1">IF(C87&lt;1,0,IF('Reeksen (N)'!AK87&lt;='Reeksen (N)'!AE87,M87*'Reeksen (N)'!C87,0))</f>
        <v>0</v>
      </c>
      <c r="O87" s="86">
        <f ca="1">IF(C87&lt;1,0,IF('Reeksen (N)'!AK87&gt;'Reeksen (N)'!AE87,M87*'Reeksen (N)'!C87,0))</f>
        <v>0</v>
      </c>
      <c r="P87" s="86">
        <f t="shared" ca="1" si="15"/>
        <v>0</v>
      </c>
      <c r="Q87" s="82">
        <f ca="1">IF('Invoer gegevens (N)'!$C$17=E87,I87,IF(C87=0,0,R86))</f>
        <v>0</v>
      </c>
      <c r="R87" s="84">
        <f t="shared" ca="1" si="10"/>
        <v>0</v>
      </c>
      <c r="S87" s="84">
        <f ca="1">IF('Invoer gegevens (N)'!$C$17=E87,M87,IF(C87=0,0,T86))</f>
        <v>0</v>
      </c>
      <c r="T87" s="84">
        <f t="shared" ca="1" si="11"/>
        <v>0</v>
      </c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8"/>
      <c r="AI87" s="71">
        <f ca="1">IF(C87=1,((F87+H87)/2*'Reeksen (N)'!AJ87*12)+(('Invoer gegevens (N)'!$C$10-(F87+H87)/2)*'Reeksen (N)'!AK87*12),0)</f>
        <v>0</v>
      </c>
      <c r="AJ87" s="71">
        <f ca="1">-AI87*'Invoer gegevens (N)'!$F$28</f>
        <v>0</v>
      </c>
      <c r="AK87" s="71">
        <f t="shared" ca="1" si="12"/>
        <v>0</v>
      </c>
      <c r="AL87" s="71">
        <f ca="1">IF(C87=1,(12*((F87+H87)/2)*'Reeksen (N)'!AL87)+(12*('Invoer gegevens (N)'!$C$10-(F87+H87)/2)*'Reeksen (N)'!AM87),0)</f>
        <v>0</v>
      </c>
      <c r="AM87" s="71">
        <f ca="1">-AL87*'Invoer gegevens (N)'!$F$31</f>
        <v>0</v>
      </c>
      <c r="AN87" s="71">
        <f t="shared" ca="1" si="16"/>
        <v>0</v>
      </c>
      <c r="AO87" s="71"/>
      <c r="AP87" s="71"/>
      <c r="AQ87" s="71">
        <f ca="1">-IF(C87=1,('Invoer gegevens (N)'!$C$10*'Invoer gegevens (N)'!$I$33)*'Reeksen (N)'!J87,0)*2</f>
        <v>0</v>
      </c>
      <c r="AR87" s="71">
        <f ca="1">-IF(C87=1,(G87*'Invoer gegevens (N)'!$I$34)*'Reeksen (N)'!J87,0)</f>
        <v>0</v>
      </c>
      <c r="AS87" s="71">
        <f ca="1">-IF(C87=1,'Invoer gegevens (N)'!$C$10*'Invoer gegevens (N)'!$I$35*'Reeksen (N)'!L87,0)</f>
        <v>0</v>
      </c>
      <c r="AT87" s="71">
        <f ca="1">-IF(C87=1,IF(E87='Invoer gegevens (N)'!$C$17,'Invoer gegevens (N)'!$C$11,Q87)*'Reeksen (N)'!S87*'Invoer gegevens (N)'!$C$18*'Reeksen (N)'!P87,0)</f>
        <v>0</v>
      </c>
      <c r="AU87" s="71">
        <f ca="1">-IF(C87=1,'Invoer gegevens (N)'!$C$10*'Invoer gegevens (N)'!$I$36*'Reeksen (N)'!H87,0)</f>
        <v>0</v>
      </c>
      <c r="AV87" s="71">
        <v>0</v>
      </c>
      <c r="AW87" s="71">
        <f t="shared" ca="1" si="17"/>
        <v>0</v>
      </c>
      <c r="AX87" s="71">
        <f ca="1">IF(E87&lt;'Invoer gegevens (N)'!$C$17+15,0,IF(E87&gt;'Invoer gegevens (N)'!$C$17+215,0,AW87))</f>
        <v>0</v>
      </c>
      <c r="AY87" s="71">
        <f ca="1">AX87/(1+'Invoer gegevens (N)'!$F$13)^($AZ87-('Invoer gegevens (N)'!$C$17-'Invoer gegevens (N)'!$C$16))/(1+'Invoer gegevens (N)'!$C$39)^('Invoer gegevens (N)'!$C$17-'Invoer gegevens (N)'!$C$16)</f>
        <v>0</v>
      </c>
      <c r="AZ87" s="68">
        <f ca="1">IF(E87-'Invoer gegevens (N)'!$C$17-14.5&lt;0,0,E87-'Invoer gegevens (N)'!$C$17-14.5)</f>
        <v>67.5</v>
      </c>
    </row>
    <row r="88" spans="2:52" x14ac:dyDescent="0.25">
      <c r="B88" s="70">
        <f t="shared" si="18"/>
        <v>84</v>
      </c>
      <c r="C88" s="67">
        <f ca="1">IF(E88-'Invoer gegevens (N)'!$C$17&lt;0,0,1)</f>
        <v>1</v>
      </c>
      <c r="D88" s="68">
        <f t="shared" si="19"/>
        <v>83.5</v>
      </c>
      <c r="E88" s="69">
        <f ca="1">IF('Invoer gegevens (N)'!$C$16="","",E87+1)</f>
        <v>2102</v>
      </c>
      <c r="F88" s="82">
        <f ca="1">IF('Invoer gegevens (N)'!$C$17=E88,'Invoer gegevens (N)'!$C$10,IF(C88=1,H87,0))</f>
        <v>0</v>
      </c>
      <c r="G88" s="83">
        <f ca="1">IF(C88&gt;=1,F88*'Reeksen (N)'!C88,0)</f>
        <v>0</v>
      </c>
      <c r="H88" s="84">
        <f t="shared" ca="1" si="13"/>
        <v>0</v>
      </c>
      <c r="I88" s="85">
        <f ca="1">IF('Invoer gegevens (N)'!$C$17=E88,'Invoer gegevens (N)'!$C$11,IF(C88=1,L87,0))</f>
        <v>0</v>
      </c>
      <c r="J88" s="86">
        <f ca="1">IF(C88&lt;1,0,IF('Reeksen (N)'!AK88&lt;='Reeksen (N)'!AE88,I88*'Reeksen (N)'!C88,0))</f>
        <v>0</v>
      </c>
      <c r="K88" s="86">
        <f ca="1">IF(C88&lt;1,0,IF('Reeksen (N)'!AK88&gt;'Reeksen (N)'!AE88,I88*'Reeksen (N)'!C88,0))</f>
        <v>0</v>
      </c>
      <c r="L88" s="86">
        <f t="shared" ca="1" si="14"/>
        <v>0</v>
      </c>
      <c r="M88" s="85">
        <f ca="1">IF('Invoer gegevens (N)'!$C$17=E88,'Invoer gegevens (N)'!$C$10-'Invoer gegevens (N)'!$C$11,IF(C88=1,P87,0))</f>
        <v>0</v>
      </c>
      <c r="N88" s="86">
        <f ca="1">IF(C88&lt;1,0,IF('Reeksen (N)'!AK88&lt;='Reeksen (N)'!AE88,M88*'Reeksen (N)'!C88,0))</f>
        <v>0</v>
      </c>
      <c r="O88" s="86">
        <f ca="1">IF(C88&lt;1,0,IF('Reeksen (N)'!AK88&gt;'Reeksen (N)'!AE88,M88*'Reeksen (N)'!C88,0))</f>
        <v>0</v>
      </c>
      <c r="P88" s="86">
        <f t="shared" ca="1" si="15"/>
        <v>0</v>
      </c>
      <c r="Q88" s="82">
        <f ca="1">IF('Invoer gegevens (N)'!$C$17=E88,I88,IF(C88=0,0,R87))</f>
        <v>0</v>
      </c>
      <c r="R88" s="84">
        <f t="shared" ca="1" si="10"/>
        <v>0</v>
      </c>
      <c r="S88" s="84">
        <f ca="1">IF('Invoer gegevens (N)'!$C$17=E88,M88,IF(C88=0,0,T87))</f>
        <v>0</v>
      </c>
      <c r="T88" s="84">
        <f t="shared" ca="1" si="11"/>
        <v>0</v>
      </c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8"/>
      <c r="AI88" s="71">
        <f ca="1">IF(C88=1,((F88+H88)/2*'Reeksen (N)'!AJ88*12)+(('Invoer gegevens (N)'!$C$10-(F88+H88)/2)*'Reeksen (N)'!AK88*12),0)</f>
        <v>0</v>
      </c>
      <c r="AJ88" s="71">
        <f ca="1">-AI88*'Invoer gegevens (N)'!$F$28</f>
        <v>0</v>
      </c>
      <c r="AK88" s="71">
        <f t="shared" ca="1" si="12"/>
        <v>0</v>
      </c>
      <c r="AL88" s="71">
        <f ca="1">IF(C88=1,(12*((F88+H88)/2)*'Reeksen (N)'!AL88)+(12*('Invoer gegevens (N)'!$C$10-(F88+H88)/2)*'Reeksen (N)'!AM88),0)</f>
        <v>0</v>
      </c>
      <c r="AM88" s="71">
        <f ca="1">-AL88*'Invoer gegevens (N)'!$F$31</f>
        <v>0</v>
      </c>
      <c r="AN88" s="71">
        <f t="shared" ca="1" si="16"/>
        <v>0</v>
      </c>
      <c r="AO88" s="71"/>
      <c r="AP88" s="71"/>
      <c r="AQ88" s="71">
        <f ca="1">-IF(C88=1,('Invoer gegevens (N)'!$C$10*'Invoer gegevens (N)'!$I$33)*'Reeksen (N)'!J88,0)*2</f>
        <v>0</v>
      </c>
      <c r="AR88" s="71">
        <f ca="1">-IF(C88=1,(G88*'Invoer gegevens (N)'!$I$34)*'Reeksen (N)'!J88,0)</f>
        <v>0</v>
      </c>
      <c r="AS88" s="71">
        <f ca="1">-IF(C88=1,'Invoer gegevens (N)'!$C$10*'Invoer gegevens (N)'!$I$35*'Reeksen (N)'!L88,0)</f>
        <v>0</v>
      </c>
      <c r="AT88" s="71">
        <f ca="1">-IF(C88=1,IF(E88='Invoer gegevens (N)'!$C$17,'Invoer gegevens (N)'!$C$11,Q88)*'Reeksen (N)'!S88*'Invoer gegevens (N)'!$C$18*'Reeksen (N)'!P88,0)</f>
        <v>0</v>
      </c>
      <c r="AU88" s="71">
        <f ca="1">-IF(C88=1,'Invoer gegevens (N)'!$C$10*'Invoer gegevens (N)'!$I$36*'Reeksen (N)'!H88,0)</f>
        <v>0</v>
      </c>
      <c r="AV88" s="71">
        <v>0</v>
      </c>
      <c r="AW88" s="71">
        <f t="shared" ca="1" si="17"/>
        <v>0</v>
      </c>
      <c r="AX88" s="71">
        <f ca="1">IF(E88&lt;'Invoer gegevens (N)'!$C$17+15,0,IF(E88&gt;'Invoer gegevens (N)'!$C$17+215,0,AW88))</f>
        <v>0</v>
      </c>
      <c r="AY88" s="71">
        <f ca="1">AX88/(1+'Invoer gegevens (N)'!$F$13)^($AZ88-('Invoer gegevens (N)'!$C$17-'Invoer gegevens (N)'!$C$16))/(1+'Invoer gegevens (N)'!$C$39)^('Invoer gegevens (N)'!$C$17-'Invoer gegevens (N)'!$C$16)</f>
        <v>0</v>
      </c>
      <c r="AZ88" s="68">
        <f ca="1">IF(E88-'Invoer gegevens (N)'!$C$17-14.5&lt;0,0,E88-'Invoer gegevens (N)'!$C$17-14.5)</f>
        <v>68.5</v>
      </c>
    </row>
    <row r="89" spans="2:52" x14ac:dyDescent="0.25">
      <c r="B89" s="70">
        <f t="shared" si="18"/>
        <v>85</v>
      </c>
      <c r="C89" s="67">
        <f ca="1">IF(E89-'Invoer gegevens (N)'!$C$17&lt;0,0,1)</f>
        <v>1</v>
      </c>
      <c r="D89" s="68">
        <f t="shared" si="19"/>
        <v>84.5</v>
      </c>
      <c r="E89" s="69">
        <f ca="1">IF('Invoer gegevens (N)'!$C$16="","",E88+1)</f>
        <v>2103</v>
      </c>
      <c r="F89" s="82">
        <f ca="1">IF('Invoer gegevens (N)'!$C$17=E89,'Invoer gegevens (N)'!$C$10,IF(C89=1,H88,0))</f>
        <v>0</v>
      </c>
      <c r="G89" s="83">
        <f ca="1">IF(C89&gt;=1,F89*'Reeksen (N)'!C89,0)</f>
        <v>0</v>
      </c>
      <c r="H89" s="84">
        <f t="shared" ca="1" si="13"/>
        <v>0</v>
      </c>
      <c r="I89" s="85">
        <f ca="1">IF('Invoer gegevens (N)'!$C$17=E89,'Invoer gegevens (N)'!$C$11,IF(C89=1,L88,0))</f>
        <v>0</v>
      </c>
      <c r="J89" s="86">
        <f ca="1">IF(C89&lt;1,0,IF('Reeksen (N)'!AK89&lt;='Reeksen (N)'!AE89,I89*'Reeksen (N)'!C89,0))</f>
        <v>0</v>
      </c>
      <c r="K89" s="86">
        <f ca="1">IF(C89&lt;1,0,IF('Reeksen (N)'!AK89&gt;'Reeksen (N)'!AE89,I89*'Reeksen (N)'!C89,0))</f>
        <v>0</v>
      </c>
      <c r="L89" s="86">
        <f t="shared" ca="1" si="14"/>
        <v>0</v>
      </c>
      <c r="M89" s="85">
        <f ca="1">IF('Invoer gegevens (N)'!$C$17=E89,'Invoer gegevens (N)'!$C$10-'Invoer gegevens (N)'!$C$11,IF(C89=1,P88,0))</f>
        <v>0</v>
      </c>
      <c r="N89" s="86">
        <f ca="1">IF(C89&lt;1,0,IF('Reeksen (N)'!AK89&lt;='Reeksen (N)'!AE89,M89*'Reeksen (N)'!C89,0))</f>
        <v>0</v>
      </c>
      <c r="O89" s="86">
        <f ca="1">IF(C89&lt;1,0,IF('Reeksen (N)'!AK89&gt;'Reeksen (N)'!AE89,M89*'Reeksen (N)'!C89,0))</f>
        <v>0</v>
      </c>
      <c r="P89" s="86">
        <f t="shared" ca="1" si="15"/>
        <v>0</v>
      </c>
      <c r="Q89" s="82">
        <f ca="1">IF('Invoer gegevens (N)'!$C$17=E89,I89,IF(C89=0,0,R88))</f>
        <v>0</v>
      </c>
      <c r="R89" s="84">
        <f t="shared" ca="1" si="10"/>
        <v>0</v>
      </c>
      <c r="S89" s="84">
        <f ca="1">IF('Invoer gegevens (N)'!$C$17=E89,M89,IF(C89=0,0,T88))</f>
        <v>0</v>
      </c>
      <c r="T89" s="84">
        <f t="shared" ca="1" si="11"/>
        <v>0</v>
      </c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8"/>
      <c r="AI89" s="71">
        <f ca="1">IF(C89=1,((F89+H89)/2*'Reeksen (N)'!AJ89*12)+(('Invoer gegevens (N)'!$C$10-(F89+H89)/2)*'Reeksen (N)'!AK89*12),0)</f>
        <v>0</v>
      </c>
      <c r="AJ89" s="71">
        <f ca="1">-AI89*'Invoer gegevens (N)'!$F$28</f>
        <v>0</v>
      </c>
      <c r="AK89" s="71">
        <f t="shared" ca="1" si="12"/>
        <v>0</v>
      </c>
      <c r="AL89" s="71">
        <f ca="1">IF(C89=1,(12*((F89+H89)/2)*'Reeksen (N)'!AL89)+(12*('Invoer gegevens (N)'!$C$10-(F89+H89)/2)*'Reeksen (N)'!AM89),0)</f>
        <v>0</v>
      </c>
      <c r="AM89" s="71">
        <f ca="1">-AL89*'Invoer gegevens (N)'!$F$31</f>
        <v>0</v>
      </c>
      <c r="AN89" s="71">
        <f t="shared" ca="1" si="16"/>
        <v>0</v>
      </c>
      <c r="AO89" s="71"/>
      <c r="AP89" s="71"/>
      <c r="AQ89" s="71">
        <f ca="1">-IF(C89=1,('Invoer gegevens (N)'!$C$10*'Invoer gegevens (N)'!$I$33)*'Reeksen (N)'!J89,0)*2</f>
        <v>0</v>
      </c>
      <c r="AR89" s="71">
        <f ca="1">-IF(C89=1,(G89*'Invoer gegevens (N)'!$I$34)*'Reeksen (N)'!J89,0)</f>
        <v>0</v>
      </c>
      <c r="AS89" s="71">
        <f ca="1">-IF(C89=1,'Invoer gegevens (N)'!$C$10*'Invoer gegevens (N)'!$I$35*'Reeksen (N)'!L89,0)</f>
        <v>0</v>
      </c>
      <c r="AT89" s="71">
        <f ca="1">-IF(C89=1,IF(E89='Invoer gegevens (N)'!$C$17,'Invoer gegevens (N)'!$C$11,Q89)*'Reeksen (N)'!S89*'Invoer gegevens (N)'!$C$18*'Reeksen (N)'!P89,0)</f>
        <v>0</v>
      </c>
      <c r="AU89" s="71">
        <f ca="1">-IF(C89=1,'Invoer gegevens (N)'!$C$10*'Invoer gegevens (N)'!$I$36*'Reeksen (N)'!H89,0)</f>
        <v>0</v>
      </c>
      <c r="AV89" s="71">
        <v>0</v>
      </c>
      <c r="AW89" s="71">
        <f t="shared" ca="1" si="17"/>
        <v>0</v>
      </c>
      <c r="AX89" s="71">
        <f ca="1">IF(E89&lt;'Invoer gegevens (N)'!$C$17+15,0,IF(E89&gt;'Invoer gegevens (N)'!$C$17+215,0,AW89))</f>
        <v>0</v>
      </c>
      <c r="AY89" s="71">
        <f ca="1">AX89/(1+'Invoer gegevens (N)'!$F$13)^($AZ89-('Invoer gegevens (N)'!$C$17-'Invoer gegevens (N)'!$C$16))/(1+'Invoer gegevens (N)'!$C$39)^('Invoer gegevens (N)'!$C$17-'Invoer gegevens (N)'!$C$16)</f>
        <v>0</v>
      </c>
      <c r="AZ89" s="68">
        <f ca="1">IF(E89-'Invoer gegevens (N)'!$C$17-14.5&lt;0,0,E89-'Invoer gegevens (N)'!$C$17-14.5)</f>
        <v>69.5</v>
      </c>
    </row>
    <row r="90" spans="2:52" x14ac:dyDescent="0.25">
      <c r="B90" s="70">
        <f t="shared" si="18"/>
        <v>86</v>
      </c>
      <c r="C90" s="67">
        <f ca="1">IF(E90-'Invoer gegevens (N)'!$C$17&lt;0,0,1)</f>
        <v>1</v>
      </c>
      <c r="D90" s="68">
        <f t="shared" si="19"/>
        <v>85.5</v>
      </c>
      <c r="E90" s="69">
        <f ca="1">IF('Invoer gegevens (N)'!$C$16="","",E89+1)</f>
        <v>2104</v>
      </c>
      <c r="F90" s="82">
        <f ca="1">IF('Invoer gegevens (N)'!$C$17=E90,'Invoer gegevens (N)'!$C$10,IF(C90=1,H89,0))</f>
        <v>0</v>
      </c>
      <c r="G90" s="83">
        <f ca="1">IF(C90&gt;=1,F90*'Reeksen (N)'!C90,0)</f>
        <v>0</v>
      </c>
      <c r="H90" s="84">
        <f t="shared" ca="1" si="13"/>
        <v>0</v>
      </c>
      <c r="I90" s="85">
        <f ca="1">IF('Invoer gegevens (N)'!$C$17=E90,'Invoer gegevens (N)'!$C$11,IF(C90=1,L89,0))</f>
        <v>0</v>
      </c>
      <c r="J90" s="86">
        <f ca="1">IF(C90&lt;1,0,IF('Reeksen (N)'!AK90&lt;='Reeksen (N)'!AE90,I90*'Reeksen (N)'!C90,0))</f>
        <v>0</v>
      </c>
      <c r="K90" s="86">
        <f ca="1">IF(C90&lt;1,0,IF('Reeksen (N)'!AK90&gt;'Reeksen (N)'!AE90,I90*'Reeksen (N)'!C90,0))</f>
        <v>0</v>
      </c>
      <c r="L90" s="86">
        <f t="shared" ca="1" si="14"/>
        <v>0</v>
      </c>
      <c r="M90" s="85">
        <f ca="1">IF('Invoer gegevens (N)'!$C$17=E90,'Invoer gegevens (N)'!$C$10-'Invoer gegevens (N)'!$C$11,IF(C90=1,P89,0))</f>
        <v>0</v>
      </c>
      <c r="N90" s="86">
        <f ca="1">IF(C90&lt;1,0,IF('Reeksen (N)'!AK90&lt;='Reeksen (N)'!AE90,M90*'Reeksen (N)'!C90,0))</f>
        <v>0</v>
      </c>
      <c r="O90" s="86">
        <f ca="1">IF(C90&lt;1,0,IF('Reeksen (N)'!AK90&gt;'Reeksen (N)'!AE90,M90*'Reeksen (N)'!C90,0))</f>
        <v>0</v>
      </c>
      <c r="P90" s="86">
        <f t="shared" ca="1" si="15"/>
        <v>0</v>
      </c>
      <c r="Q90" s="82">
        <f ca="1">IF('Invoer gegevens (N)'!$C$17=E90,I90,IF(C90=0,0,R89))</f>
        <v>0</v>
      </c>
      <c r="R90" s="84">
        <f t="shared" ca="1" si="10"/>
        <v>0</v>
      </c>
      <c r="S90" s="84">
        <f ca="1">IF('Invoer gegevens (N)'!$C$17=E90,M90,IF(C90=0,0,T89))</f>
        <v>0</v>
      </c>
      <c r="T90" s="84">
        <f t="shared" ca="1" si="11"/>
        <v>0</v>
      </c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8"/>
      <c r="AI90" s="71">
        <f ca="1">IF(C90=1,((F90+H90)/2*'Reeksen (N)'!AJ90*12)+(('Invoer gegevens (N)'!$C$10-(F90+H90)/2)*'Reeksen (N)'!AK90*12),0)</f>
        <v>0</v>
      </c>
      <c r="AJ90" s="71">
        <f ca="1">-AI90*'Invoer gegevens (N)'!$F$28</f>
        <v>0</v>
      </c>
      <c r="AK90" s="71">
        <f t="shared" ca="1" si="12"/>
        <v>0</v>
      </c>
      <c r="AL90" s="71">
        <f ca="1">IF(C90=1,(12*((F90+H90)/2)*'Reeksen (N)'!AL90)+(12*('Invoer gegevens (N)'!$C$10-(F90+H90)/2)*'Reeksen (N)'!AM90),0)</f>
        <v>0</v>
      </c>
      <c r="AM90" s="71">
        <f ca="1">-AL90*'Invoer gegevens (N)'!$F$31</f>
        <v>0</v>
      </c>
      <c r="AN90" s="71">
        <f t="shared" ca="1" si="16"/>
        <v>0</v>
      </c>
      <c r="AO90" s="71"/>
      <c r="AP90" s="71"/>
      <c r="AQ90" s="71">
        <f ca="1">-IF(C90=1,('Invoer gegevens (N)'!$C$10*'Invoer gegevens (N)'!$I$33)*'Reeksen (N)'!J90,0)*2</f>
        <v>0</v>
      </c>
      <c r="AR90" s="71">
        <f ca="1">-IF(C90=1,(G90*'Invoer gegevens (N)'!$I$34)*'Reeksen (N)'!J90,0)</f>
        <v>0</v>
      </c>
      <c r="AS90" s="71">
        <f ca="1">-IF(C90=1,'Invoer gegevens (N)'!$C$10*'Invoer gegevens (N)'!$I$35*'Reeksen (N)'!L90,0)</f>
        <v>0</v>
      </c>
      <c r="AT90" s="71">
        <f ca="1">-IF(C90=1,IF(E90='Invoer gegevens (N)'!$C$17,'Invoer gegevens (N)'!$C$11,Q90)*'Reeksen (N)'!S90*'Invoer gegevens (N)'!$C$18*'Reeksen (N)'!P90,0)</f>
        <v>0</v>
      </c>
      <c r="AU90" s="71">
        <f ca="1">-IF(C90=1,'Invoer gegevens (N)'!$C$10*'Invoer gegevens (N)'!$I$36*'Reeksen (N)'!H90,0)</f>
        <v>0</v>
      </c>
      <c r="AV90" s="71">
        <v>0</v>
      </c>
      <c r="AW90" s="71">
        <f t="shared" ca="1" si="17"/>
        <v>0</v>
      </c>
      <c r="AX90" s="71">
        <f ca="1">IF(E90&lt;'Invoer gegevens (N)'!$C$17+15,0,IF(E90&gt;'Invoer gegevens (N)'!$C$17+215,0,AW90))</f>
        <v>0</v>
      </c>
      <c r="AY90" s="71">
        <f ca="1">AX90/(1+'Invoer gegevens (N)'!$F$13)^($AZ90-('Invoer gegevens (N)'!$C$17-'Invoer gegevens (N)'!$C$16))/(1+'Invoer gegevens (N)'!$C$39)^('Invoer gegevens (N)'!$C$17-'Invoer gegevens (N)'!$C$16)</f>
        <v>0</v>
      </c>
      <c r="AZ90" s="68">
        <f ca="1">IF(E90-'Invoer gegevens (N)'!$C$17-14.5&lt;0,0,E90-'Invoer gegevens (N)'!$C$17-14.5)</f>
        <v>70.5</v>
      </c>
    </row>
    <row r="91" spans="2:52" x14ac:dyDescent="0.25">
      <c r="B91" s="70">
        <f t="shared" si="18"/>
        <v>87</v>
      </c>
      <c r="C91" s="67">
        <f ca="1">IF(E91-'Invoer gegevens (N)'!$C$17&lt;0,0,1)</f>
        <v>1</v>
      </c>
      <c r="D91" s="68">
        <f t="shared" si="19"/>
        <v>86.5</v>
      </c>
      <c r="E91" s="69">
        <f ca="1">IF('Invoer gegevens (N)'!$C$16="","",E90+1)</f>
        <v>2105</v>
      </c>
      <c r="F91" s="82">
        <f ca="1">IF('Invoer gegevens (N)'!$C$17=E91,'Invoer gegevens (N)'!$C$10,IF(C91=1,H90,0))</f>
        <v>0</v>
      </c>
      <c r="G91" s="83">
        <f ca="1">IF(C91&gt;=1,F91*'Reeksen (N)'!C91,0)</f>
        <v>0</v>
      </c>
      <c r="H91" s="84">
        <f t="shared" ca="1" si="13"/>
        <v>0</v>
      </c>
      <c r="I91" s="85">
        <f ca="1">IF('Invoer gegevens (N)'!$C$17=E91,'Invoer gegevens (N)'!$C$11,IF(C91=1,L90,0))</f>
        <v>0</v>
      </c>
      <c r="J91" s="86">
        <f ca="1">IF(C91&lt;1,0,IF('Reeksen (N)'!AK91&lt;='Reeksen (N)'!AE91,I91*'Reeksen (N)'!C91,0))</f>
        <v>0</v>
      </c>
      <c r="K91" s="86">
        <f ca="1">IF(C91&lt;1,0,IF('Reeksen (N)'!AK91&gt;'Reeksen (N)'!AE91,I91*'Reeksen (N)'!C91,0))</f>
        <v>0</v>
      </c>
      <c r="L91" s="86">
        <f t="shared" ca="1" si="14"/>
        <v>0</v>
      </c>
      <c r="M91" s="85">
        <f ca="1">IF('Invoer gegevens (N)'!$C$17=E91,'Invoer gegevens (N)'!$C$10-'Invoer gegevens (N)'!$C$11,IF(C91=1,P90,0))</f>
        <v>0</v>
      </c>
      <c r="N91" s="86">
        <f ca="1">IF(C91&lt;1,0,IF('Reeksen (N)'!AK91&lt;='Reeksen (N)'!AE91,M91*'Reeksen (N)'!C91,0))</f>
        <v>0</v>
      </c>
      <c r="O91" s="86">
        <f ca="1">IF(C91&lt;1,0,IF('Reeksen (N)'!AK91&gt;'Reeksen (N)'!AE91,M91*'Reeksen (N)'!C91,0))</f>
        <v>0</v>
      </c>
      <c r="P91" s="86">
        <f t="shared" ca="1" si="15"/>
        <v>0</v>
      </c>
      <c r="Q91" s="82">
        <f ca="1">IF('Invoer gegevens (N)'!$C$17=E91,I91,IF(C91=0,0,R90))</f>
        <v>0</v>
      </c>
      <c r="R91" s="84">
        <f t="shared" ca="1" si="10"/>
        <v>0</v>
      </c>
      <c r="S91" s="84">
        <f ca="1">IF('Invoer gegevens (N)'!$C$17=E91,M91,IF(C91=0,0,T90))</f>
        <v>0</v>
      </c>
      <c r="T91" s="84">
        <f t="shared" ca="1" si="11"/>
        <v>0</v>
      </c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8"/>
      <c r="AI91" s="71">
        <f ca="1">IF(C91=1,((F91+H91)/2*'Reeksen (N)'!AJ91*12)+(('Invoer gegevens (N)'!$C$10-(F91+H91)/2)*'Reeksen (N)'!AK91*12),0)</f>
        <v>0</v>
      </c>
      <c r="AJ91" s="71">
        <f ca="1">-AI91*'Invoer gegevens (N)'!$F$28</f>
        <v>0</v>
      </c>
      <c r="AK91" s="71">
        <f t="shared" ca="1" si="12"/>
        <v>0</v>
      </c>
      <c r="AL91" s="71">
        <f ca="1">IF(C91=1,(12*((F91+H91)/2)*'Reeksen (N)'!AL91)+(12*('Invoer gegevens (N)'!$C$10-(F91+H91)/2)*'Reeksen (N)'!AM91),0)</f>
        <v>0</v>
      </c>
      <c r="AM91" s="71">
        <f ca="1">-AL91*'Invoer gegevens (N)'!$F$31</f>
        <v>0</v>
      </c>
      <c r="AN91" s="71">
        <f t="shared" ca="1" si="16"/>
        <v>0</v>
      </c>
      <c r="AO91" s="71"/>
      <c r="AP91" s="71"/>
      <c r="AQ91" s="71">
        <f ca="1">-IF(C91=1,('Invoer gegevens (N)'!$C$10*'Invoer gegevens (N)'!$I$33)*'Reeksen (N)'!J91,0)*2</f>
        <v>0</v>
      </c>
      <c r="AR91" s="71">
        <f ca="1">-IF(C91=1,(G91*'Invoer gegevens (N)'!$I$34)*'Reeksen (N)'!J91,0)</f>
        <v>0</v>
      </c>
      <c r="AS91" s="71">
        <f ca="1">-IF(C91=1,'Invoer gegevens (N)'!$C$10*'Invoer gegevens (N)'!$I$35*'Reeksen (N)'!L91,0)</f>
        <v>0</v>
      </c>
      <c r="AT91" s="71">
        <f ca="1">-IF(C91=1,IF(E91='Invoer gegevens (N)'!$C$17,'Invoer gegevens (N)'!$C$11,Q91)*'Reeksen (N)'!S91*'Invoer gegevens (N)'!$C$18*'Reeksen (N)'!P91,0)</f>
        <v>0</v>
      </c>
      <c r="AU91" s="71">
        <f ca="1">-IF(C91=1,'Invoer gegevens (N)'!$C$10*'Invoer gegevens (N)'!$I$36*'Reeksen (N)'!H91,0)</f>
        <v>0</v>
      </c>
      <c r="AV91" s="71">
        <v>0</v>
      </c>
      <c r="AW91" s="71">
        <f t="shared" ca="1" si="17"/>
        <v>0</v>
      </c>
      <c r="AX91" s="71">
        <f ca="1">IF(E91&lt;'Invoer gegevens (N)'!$C$17+15,0,IF(E91&gt;'Invoer gegevens (N)'!$C$17+215,0,AW91))</f>
        <v>0</v>
      </c>
      <c r="AY91" s="71">
        <f ca="1">AX91/(1+'Invoer gegevens (N)'!$F$13)^($AZ91-('Invoer gegevens (N)'!$C$17-'Invoer gegevens (N)'!$C$16))/(1+'Invoer gegevens (N)'!$C$39)^('Invoer gegevens (N)'!$C$17-'Invoer gegevens (N)'!$C$16)</f>
        <v>0</v>
      </c>
      <c r="AZ91" s="68">
        <f ca="1">IF(E91-'Invoer gegevens (N)'!$C$17-14.5&lt;0,0,E91-'Invoer gegevens (N)'!$C$17-14.5)</f>
        <v>71.5</v>
      </c>
    </row>
    <row r="92" spans="2:52" x14ac:dyDescent="0.25">
      <c r="B92" s="70">
        <f t="shared" si="18"/>
        <v>88</v>
      </c>
      <c r="C92" s="67">
        <f ca="1">IF(E92-'Invoer gegevens (N)'!$C$17&lt;0,0,1)</f>
        <v>1</v>
      </c>
      <c r="D92" s="68">
        <f t="shared" si="19"/>
        <v>87.5</v>
      </c>
      <c r="E92" s="69">
        <f ca="1">IF('Invoer gegevens (N)'!$C$16="","",E91+1)</f>
        <v>2106</v>
      </c>
      <c r="F92" s="82">
        <f ca="1">IF('Invoer gegevens (N)'!$C$17=E92,'Invoer gegevens (N)'!$C$10,IF(C92=1,H91,0))</f>
        <v>0</v>
      </c>
      <c r="G92" s="83">
        <f ca="1">IF(C92&gt;=1,F92*'Reeksen (N)'!C92,0)</f>
        <v>0</v>
      </c>
      <c r="H92" s="84">
        <f t="shared" ca="1" si="13"/>
        <v>0</v>
      </c>
      <c r="I92" s="85">
        <f ca="1">IF('Invoer gegevens (N)'!$C$17=E92,'Invoer gegevens (N)'!$C$11,IF(C92=1,L91,0))</f>
        <v>0</v>
      </c>
      <c r="J92" s="86">
        <f ca="1">IF(C92&lt;1,0,IF('Reeksen (N)'!AK92&lt;='Reeksen (N)'!AE92,I92*'Reeksen (N)'!C92,0))</f>
        <v>0</v>
      </c>
      <c r="K92" s="86">
        <f ca="1">IF(C92&lt;1,0,IF('Reeksen (N)'!AK92&gt;'Reeksen (N)'!AE92,I92*'Reeksen (N)'!C92,0))</f>
        <v>0</v>
      </c>
      <c r="L92" s="86">
        <f t="shared" ca="1" si="14"/>
        <v>0</v>
      </c>
      <c r="M92" s="85">
        <f ca="1">IF('Invoer gegevens (N)'!$C$17=E92,'Invoer gegevens (N)'!$C$10-'Invoer gegevens (N)'!$C$11,IF(C92=1,P91,0))</f>
        <v>0</v>
      </c>
      <c r="N92" s="86">
        <f ca="1">IF(C92&lt;1,0,IF('Reeksen (N)'!AK92&lt;='Reeksen (N)'!AE92,M92*'Reeksen (N)'!C92,0))</f>
        <v>0</v>
      </c>
      <c r="O92" s="86">
        <f ca="1">IF(C92&lt;1,0,IF('Reeksen (N)'!AK92&gt;'Reeksen (N)'!AE92,M92*'Reeksen (N)'!C92,0))</f>
        <v>0</v>
      </c>
      <c r="P92" s="86">
        <f t="shared" ca="1" si="15"/>
        <v>0</v>
      </c>
      <c r="Q92" s="82">
        <f ca="1">IF('Invoer gegevens (N)'!$C$17=E92,I92,IF(C92=0,0,R91))</f>
        <v>0</v>
      </c>
      <c r="R92" s="84">
        <f t="shared" ca="1" si="10"/>
        <v>0</v>
      </c>
      <c r="S92" s="84">
        <f ca="1">IF('Invoer gegevens (N)'!$C$17=E92,M92,IF(C92=0,0,T91))</f>
        <v>0</v>
      </c>
      <c r="T92" s="84">
        <f t="shared" ca="1" si="11"/>
        <v>0</v>
      </c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8"/>
      <c r="AI92" s="71">
        <f ca="1">IF(C92=1,((F92+H92)/2*'Reeksen (N)'!AJ92*12)+(('Invoer gegevens (N)'!$C$10-(F92+H92)/2)*'Reeksen (N)'!AK92*12),0)</f>
        <v>0</v>
      </c>
      <c r="AJ92" s="71">
        <f ca="1">-AI92*'Invoer gegevens (N)'!$F$28</f>
        <v>0</v>
      </c>
      <c r="AK92" s="71">
        <f t="shared" ca="1" si="12"/>
        <v>0</v>
      </c>
      <c r="AL92" s="71">
        <f ca="1">IF(C92=1,(12*((F92+H92)/2)*'Reeksen (N)'!AL92)+(12*('Invoer gegevens (N)'!$C$10-(F92+H92)/2)*'Reeksen (N)'!AM92),0)</f>
        <v>0</v>
      </c>
      <c r="AM92" s="71">
        <f ca="1">-AL92*'Invoer gegevens (N)'!$F$31</f>
        <v>0</v>
      </c>
      <c r="AN92" s="71">
        <f t="shared" ca="1" si="16"/>
        <v>0</v>
      </c>
      <c r="AO92" s="71"/>
      <c r="AP92" s="71"/>
      <c r="AQ92" s="71">
        <f ca="1">-IF(C92=1,('Invoer gegevens (N)'!$C$10*'Invoer gegevens (N)'!$I$33)*'Reeksen (N)'!J92,0)*2</f>
        <v>0</v>
      </c>
      <c r="AR92" s="71">
        <f ca="1">-IF(C92=1,(G92*'Invoer gegevens (N)'!$I$34)*'Reeksen (N)'!J92,0)</f>
        <v>0</v>
      </c>
      <c r="AS92" s="71">
        <f ca="1">-IF(C92=1,'Invoer gegevens (N)'!$C$10*'Invoer gegevens (N)'!$I$35*'Reeksen (N)'!L92,0)</f>
        <v>0</v>
      </c>
      <c r="AT92" s="71">
        <f ca="1">-IF(C92=1,IF(E92='Invoer gegevens (N)'!$C$17,'Invoer gegevens (N)'!$C$11,Q92)*'Reeksen (N)'!S92*'Invoer gegevens (N)'!$C$18*'Reeksen (N)'!P92,0)</f>
        <v>0</v>
      </c>
      <c r="AU92" s="71">
        <f ca="1">-IF(C92=1,'Invoer gegevens (N)'!$C$10*'Invoer gegevens (N)'!$I$36*'Reeksen (N)'!H92,0)</f>
        <v>0</v>
      </c>
      <c r="AV92" s="71">
        <v>0</v>
      </c>
      <c r="AW92" s="71">
        <f t="shared" ca="1" si="17"/>
        <v>0</v>
      </c>
      <c r="AX92" s="71">
        <f ca="1">IF(E92&lt;'Invoer gegevens (N)'!$C$17+15,0,IF(E92&gt;'Invoer gegevens (N)'!$C$17+215,0,AW92))</f>
        <v>0</v>
      </c>
      <c r="AY92" s="71">
        <f ca="1">AX92/(1+'Invoer gegevens (N)'!$F$13)^($AZ92-('Invoer gegevens (N)'!$C$17-'Invoer gegevens (N)'!$C$16))/(1+'Invoer gegevens (N)'!$C$39)^('Invoer gegevens (N)'!$C$17-'Invoer gegevens (N)'!$C$16)</f>
        <v>0</v>
      </c>
      <c r="AZ92" s="68">
        <f ca="1">IF(E92-'Invoer gegevens (N)'!$C$17-14.5&lt;0,0,E92-'Invoer gegevens (N)'!$C$17-14.5)</f>
        <v>72.5</v>
      </c>
    </row>
    <row r="93" spans="2:52" x14ac:dyDescent="0.25">
      <c r="B93" s="70">
        <f t="shared" si="18"/>
        <v>89</v>
      </c>
      <c r="C93" s="67">
        <f ca="1">IF(E93-'Invoer gegevens (N)'!$C$17&lt;0,0,1)</f>
        <v>1</v>
      </c>
      <c r="D93" s="68">
        <f t="shared" si="19"/>
        <v>88.5</v>
      </c>
      <c r="E93" s="69">
        <f ca="1">IF('Invoer gegevens (N)'!$C$16="","",E92+1)</f>
        <v>2107</v>
      </c>
      <c r="F93" s="82">
        <f ca="1">IF('Invoer gegevens (N)'!$C$17=E93,'Invoer gegevens (N)'!$C$10,IF(C93=1,H92,0))</f>
        <v>0</v>
      </c>
      <c r="G93" s="83">
        <f ca="1">IF(C93&gt;=1,F93*'Reeksen (N)'!C93,0)</f>
        <v>0</v>
      </c>
      <c r="H93" s="84">
        <f t="shared" ca="1" si="13"/>
        <v>0</v>
      </c>
      <c r="I93" s="85">
        <f ca="1">IF('Invoer gegevens (N)'!$C$17=E93,'Invoer gegevens (N)'!$C$11,IF(C93=1,L92,0))</f>
        <v>0</v>
      </c>
      <c r="J93" s="86">
        <f ca="1">IF(C93&lt;1,0,IF('Reeksen (N)'!AK93&lt;='Reeksen (N)'!AE93,I93*'Reeksen (N)'!C93,0))</f>
        <v>0</v>
      </c>
      <c r="K93" s="86">
        <f ca="1">IF(C93&lt;1,0,IF('Reeksen (N)'!AK93&gt;'Reeksen (N)'!AE93,I93*'Reeksen (N)'!C93,0))</f>
        <v>0</v>
      </c>
      <c r="L93" s="86">
        <f t="shared" ca="1" si="14"/>
        <v>0</v>
      </c>
      <c r="M93" s="85">
        <f ca="1">IF('Invoer gegevens (N)'!$C$17=E93,'Invoer gegevens (N)'!$C$10-'Invoer gegevens (N)'!$C$11,IF(C93=1,P92,0))</f>
        <v>0</v>
      </c>
      <c r="N93" s="86">
        <f ca="1">IF(C93&lt;1,0,IF('Reeksen (N)'!AK93&lt;='Reeksen (N)'!AE93,M93*'Reeksen (N)'!C93,0))</f>
        <v>0</v>
      </c>
      <c r="O93" s="86">
        <f ca="1">IF(C93&lt;1,0,IF('Reeksen (N)'!AK93&gt;'Reeksen (N)'!AE93,M93*'Reeksen (N)'!C93,0))</f>
        <v>0</v>
      </c>
      <c r="P93" s="86">
        <f t="shared" ca="1" si="15"/>
        <v>0</v>
      </c>
      <c r="Q93" s="82">
        <f ca="1">IF('Invoer gegevens (N)'!$C$17=E93,I93,IF(C93=0,0,R92))</f>
        <v>0</v>
      </c>
      <c r="R93" s="84">
        <f t="shared" ca="1" si="10"/>
        <v>0</v>
      </c>
      <c r="S93" s="84">
        <f ca="1">IF('Invoer gegevens (N)'!$C$17=E93,M93,IF(C93=0,0,T92))</f>
        <v>0</v>
      </c>
      <c r="T93" s="84">
        <f t="shared" ca="1" si="11"/>
        <v>0</v>
      </c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8"/>
      <c r="AI93" s="71">
        <f ca="1">IF(C93=1,((F93+H93)/2*'Reeksen (N)'!AJ93*12)+(('Invoer gegevens (N)'!$C$10-(F93+H93)/2)*'Reeksen (N)'!AK93*12),0)</f>
        <v>0</v>
      </c>
      <c r="AJ93" s="71">
        <f ca="1">-AI93*'Invoer gegevens (N)'!$F$28</f>
        <v>0</v>
      </c>
      <c r="AK93" s="71">
        <f t="shared" ca="1" si="12"/>
        <v>0</v>
      </c>
      <c r="AL93" s="71">
        <f ca="1">IF(C93=1,(12*((F93+H93)/2)*'Reeksen (N)'!AL93)+(12*('Invoer gegevens (N)'!$C$10-(F93+H93)/2)*'Reeksen (N)'!AM93),0)</f>
        <v>0</v>
      </c>
      <c r="AM93" s="71">
        <f ca="1">-AL93*'Invoer gegevens (N)'!$F$31</f>
        <v>0</v>
      </c>
      <c r="AN93" s="71">
        <f t="shared" ca="1" si="16"/>
        <v>0</v>
      </c>
      <c r="AO93" s="71"/>
      <c r="AP93" s="71"/>
      <c r="AQ93" s="71">
        <f ca="1">-IF(C93=1,('Invoer gegevens (N)'!$C$10*'Invoer gegevens (N)'!$I$33)*'Reeksen (N)'!J93,0)*2</f>
        <v>0</v>
      </c>
      <c r="AR93" s="71">
        <f ca="1">-IF(C93=1,(G93*'Invoer gegevens (N)'!$I$34)*'Reeksen (N)'!J93,0)</f>
        <v>0</v>
      </c>
      <c r="AS93" s="71">
        <f ca="1">-IF(C93=1,'Invoer gegevens (N)'!$C$10*'Invoer gegevens (N)'!$I$35*'Reeksen (N)'!L93,0)</f>
        <v>0</v>
      </c>
      <c r="AT93" s="71">
        <f ca="1">-IF(C93=1,IF(E93='Invoer gegevens (N)'!$C$17,'Invoer gegevens (N)'!$C$11,Q93)*'Reeksen (N)'!S93*'Invoer gegevens (N)'!$C$18*'Reeksen (N)'!P93,0)</f>
        <v>0</v>
      </c>
      <c r="AU93" s="71">
        <f ca="1">-IF(C93=1,'Invoer gegevens (N)'!$C$10*'Invoer gegevens (N)'!$I$36*'Reeksen (N)'!H93,0)</f>
        <v>0</v>
      </c>
      <c r="AV93" s="71">
        <v>0</v>
      </c>
      <c r="AW93" s="71">
        <f t="shared" ca="1" si="17"/>
        <v>0</v>
      </c>
      <c r="AX93" s="71">
        <f ca="1">IF(E93&lt;'Invoer gegevens (N)'!$C$17+15,0,IF(E93&gt;'Invoer gegevens (N)'!$C$17+215,0,AW93))</f>
        <v>0</v>
      </c>
      <c r="AY93" s="71">
        <f ca="1">AX93/(1+'Invoer gegevens (N)'!$F$13)^($AZ93-('Invoer gegevens (N)'!$C$17-'Invoer gegevens (N)'!$C$16))/(1+'Invoer gegevens (N)'!$C$39)^('Invoer gegevens (N)'!$C$17-'Invoer gegevens (N)'!$C$16)</f>
        <v>0</v>
      </c>
      <c r="AZ93" s="68">
        <f ca="1">IF(E93-'Invoer gegevens (N)'!$C$17-14.5&lt;0,0,E93-'Invoer gegevens (N)'!$C$17-14.5)</f>
        <v>73.5</v>
      </c>
    </row>
    <row r="94" spans="2:52" x14ac:dyDescent="0.25">
      <c r="B94" s="70">
        <f t="shared" si="18"/>
        <v>90</v>
      </c>
      <c r="C94" s="67">
        <f ca="1">IF(E94-'Invoer gegevens (N)'!$C$17&lt;0,0,1)</f>
        <v>1</v>
      </c>
      <c r="D94" s="68">
        <f t="shared" si="19"/>
        <v>89.5</v>
      </c>
      <c r="E94" s="69">
        <f ca="1">IF('Invoer gegevens (N)'!$C$16="","",E93+1)</f>
        <v>2108</v>
      </c>
      <c r="F94" s="82">
        <f ca="1">IF('Invoer gegevens (N)'!$C$17=E94,'Invoer gegevens (N)'!$C$10,IF(C94=1,H93,0))</f>
        <v>0</v>
      </c>
      <c r="G94" s="83">
        <f ca="1">IF(C94&gt;=1,F94*'Reeksen (N)'!C94,0)</f>
        <v>0</v>
      </c>
      <c r="H94" s="84">
        <f t="shared" ca="1" si="13"/>
        <v>0</v>
      </c>
      <c r="I94" s="85">
        <f ca="1">IF('Invoer gegevens (N)'!$C$17=E94,'Invoer gegevens (N)'!$C$11,IF(C94=1,L93,0))</f>
        <v>0</v>
      </c>
      <c r="J94" s="86">
        <f ca="1">IF(C94&lt;1,0,IF('Reeksen (N)'!AK94&lt;='Reeksen (N)'!AE94,I94*'Reeksen (N)'!C94,0))</f>
        <v>0</v>
      </c>
      <c r="K94" s="86">
        <f ca="1">IF(C94&lt;1,0,IF('Reeksen (N)'!AK94&gt;'Reeksen (N)'!AE94,I94*'Reeksen (N)'!C94,0))</f>
        <v>0</v>
      </c>
      <c r="L94" s="86">
        <f t="shared" ca="1" si="14"/>
        <v>0</v>
      </c>
      <c r="M94" s="85">
        <f ca="1">IF('Invoer gegevens (N)'!$C$17=E94,'Invoer gegevens (N)'!$C$10-'Invoer gegevens (N)'!$C$11,IF(C94=1,P93,0))</f>
        <v>0</v>
      </c>
      <c r="N94" s="86">
        <f ca="1">IF(C94&lt;1,0,IF('Reeksen (N)'!AK94&lt;='Reeksen (N)'!AE94,M94*'Reeksen (N)'!C94,0))</f>
        <v>0</v>
      </c>
      <c r="O94" s="86">
        <f ca="1">IF(C94&lt;1,0,IF('Reeksen (N)'!AK94&gt;'Reeksen (N)'!AE94,M94*'Reeksen (N)'!C94,0))</f>
        <v>0</v>
      </c>
      <c r="P94" s="86">
        <f t="shared" ca="1" si="15"/>
        <v>0</v>
      </c>
      <c r="Q94" s="82">
        <f ca="1">IF('Invoer gegevens (N)'!$C$17=E94,I94,IF(C94=0,0,R93))</f>
        <v>0</v>
      </c>
      <c r="R94" s="84">
        <f t="shared" ca="1" si="10"/>
        <v>0</v>
      </c>
      <c r="S94" s="84">
        <f ca="1">IF('Invoer gegevens (N)'!$C$17=E94,M94,IF(C94=0,0,T93))</f>
        <v>0</v>
      </c>
      <c r="T94" s="84">
        <f t="shared" ca="1" si="11"/>
        <v>0</v>
      </c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8"/>
      <c r="AI94" s="71">
        <f ca="1">IF(C94=1,((F94+H94)/2*'Reeksen (N)'!AJ94*12)+(('Invoer gegevens (N)'!$C$10-(F94+H94)/2)*'Reeksen (N)'!AK94*12),0)</f>
        <v>0</v>
      </c>
      <c r="AJ94" s="71">
        <f ca="1">-AI94*'Invoer gegevens (N)'!$F$28</f>
        <v>0</v>
      </c>
      <c r="AK94" s="71">
        <f t="shared" ca="1" si="12"/>
        <v>0</v>
      </c>
      <c r="AL94" s="71">
        <f ca="1">IF(C94=1,(12*((F94+H94)/2)*'Reeksen (N)'!AL94)+(12*('Invoer gegevens (N)'!$C$10-(F94+H94)/2)*'Reeksen (N)'!AM94),0)</f>
        <v>0</v>
      </c>
      <c r="AM94" s="71">
        <f ca="1">-AL94*'Invoer gegevens (N)'!$F$31</f>
        <v>0</v>
      </c>
      <c r="AN94" s="71">
        <f t="shared" ca="1" si="16"/>
        <v>0</v>
      </c>
      <c r="AO94" s="71"/>
      <c r="AP94" s="71"/>
      <c r="AQ94" s="71">
        <f ca="1">-IF(C94=1,('Invoer gegevens (N)'!$C$10*'Invoer gegevens (N)'!$I$33)*'Reeksen (N)'!J94,0)*2</f>
        <v>0</v>
      </c>
      <c r="AR94" s="71">
        <f ca="1">-IF(C94=1,(G94*'Invoer gegevens (N)'!$I$34)*'Reeksen (N)'!J94,0)</f>
        <v>0</v>
      </c>
      <c r="AS94" s="71">
        <f ca="1">-IF(C94=1,'Invoer gegevens (N)'!$C$10*'Invoer gegevens (N)'!$I$35*'Reeksen (N)'!L94,0)</f>
        <v>0</v>
      </c>
      <c r="AT94" s="71">
        <f ca="1">-IF(C94=1,IF(E94='Invoer gegevens (N)'!$C$17,'Invoer gegevens (N)'!$C$11,Q94)*'Reeksen (N)'!S94*'Invoer gegevens (N)'!$C$18*'Reeksen (N)'!P94,0)</f>
        <v>0</v>
      </c>
      <c r="AU94" s="71">
        <f ca="1">-IF(C94=1,'Invoer gegevens (N)'!$C$10*'Invoer gegevens (N)'!$I$36*'Reeksen (N)'!H94,0)</f>
        <v>0</v>
      </c>
      <c r="AV94" s="71">
        <v>0</v>
      </c>
      <c r="AW94" s="71">
        <f t="shared" ca="1" si="17"/>
        <v>0</v>
      </c>
      <c r="AX94" s="71">
        <f ca="1">IF(E94&lt;'Invoer gegevens (N)'!$C$17+15,0,IF(E94&gt;'Invoer gegevens (N)'!$C$17+215,0,AW94))</f>
        <v>0</v>
      </c>
      <c r="AY94" s="71">
        <f ca="1">AX94/(1+'Invoer gegevens (N)'!$F$13)^($AZ94-('Invoer gegevens (N)'!$C$17-'Invoer gegevens (N)'!$C$16))/(1+'Invoer gegevens (N)'!$C$39)^('Invoer gegevens (N)'!$C$17-'Invoer gegevens (N)'!$C$16)</f>
        <v>0</v>
      </c>
      <c r="AZ94" s="68">
        <f ca="1">IF(E94-'Invoer gegevens (N)'!$C$17-14.5&lt;0,0,E94-'Invoer gegevens (N)'!$C$17-14.5)</f>
        <v>74.5</v>
      </c>
    </row>
    <row r="95" spans="2:52" x14ac:dyDescent="0.25">
      <c r="B95" s="70">
        <f t="shared" si="18"/>
        <v>91</v>
      </c>
      <c r="C95" s="67">
        <f ca="1">IF(E95-'Invoer gegevens (N)'!$C$17&lt;0,0,1)</f>
        <v>1</v>
      </c>
      <c r="D95" s="68">
        <f t="shared" si="19"/>
        <v>90.5</v>
      </c>
      <c r="E95" s="69">
        <f ca="1">IF('Invoer gegevens (N)'!$C$16="","",E94+1)</f>
        <v>2109</v>
      </c>
      <c r="F95" s="82">
        <f ca="1">IF('Invoer gegevens (N)'!$C$17=E95,'Invoer gegevens (N)'!$C$10,IF(C95=1,H94,0))</f>
        <v>0</v>
      </c>
      <c r="G95" s="83">
        <f ca="1">IF(C95&gt;=1,F95*'Reeksen (N)'!C95,0)</f>
        <v>0</v>
      </c>
      <c r="H95" s="84">
        <f t="shared" ca="1" si="13"/>
        <v>0</v>
      </c>
      <c r="I95" s="85">
        <f ca="1">IF('Invoer gegevens (N)'!$C$17=E95,'Invoer gegevens (N)'!$C$11,IF(C95=1,L94,0))</f>
        <v>0</v>
      </c>
      <c r="J95" s="86">
        <f ca="1">IF(C95&lt;1,0,IF('Reeksen (N)'!AK95&lt;='Reeksen (N)'!AE95,I95*'Reeksen (N)'!C95,0))</f>
        <v>0</v>
      </c>
      <c r="K95" s="86">
        <f ca="1">IF(C95&lt;1,0,IF('Reeksen (N)'!AK95&gt;'Reeksen (N)'!AE95,I95*'Reeksen (N)'!C95,0))</f>
        <v>0</v>
      </c>
      <c r="L95" s="86">
        <f t="shared" ca="1" si="14"/>
        <v>0</v>
      </c>
      <c r="M95" s="85">
        <f ca="1">IF('Invoer gegevens (N)'!$C$17=E95,'Invoer gegevens (N)'!$C$10-'Invoer gegevens (N)'!$C$11,IF(C95=1,P94,0))</f>
        <v>0</v>
      </c>
      <c r="N95" s="86">
        <f ca="1">IF(C95&lt;1,0,IF('Reeksen (N)'!AK95&lt;='Reeksen (N)'!AE95,M95*'Reeksen (N)'!C95,0))</f>
        <v>0</v>
      </c>
      <c r="O95" s="86">
        <f ca="1">IF(C95&lt;1,0,IF('Reeksen (N)'!AK95&gt;'Reeksen (N)'!AE95,M95*'Reeksen (N)'!C95,0))</f>
        <v>0</v>
      </c>
      <c r="P95" s="86">
        <f t="shared" ca="1" si="15"/>
        <v>0</v>
      </c>
      <c r="Q95" s="82">
        <f ca="1">IF('Invoer gegevens (N)'!$C$17=E95,I95,IF(C95=0,0,R94))</f>
        <v>0</v>
      </c>
      <c r="R95" s="84">
        <f t="shared" ca="1" si="10"/>
        <v>0</v>
      </c>
      <c r="S95" s="84">
        <f ca="1">IF('Invoer gegevens (N)'!$C$17=E95,M95,IF(C95=0,0,T94))</f>
        <v>0</v>
      </c>
      <c r="T95" s="84">
        <f t="shared" ca="1" si="11"/>
        <v>0</v>
      </c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8"/>
      <c r="AI95" s="71">
        <f ca="1">IF(C95=1,((F95+H95)/2*'Reeksen (N)'!AJ95*12)+(('Invoer gegevens (N)'!$C$10-(F95+H95)/2)*'Reeksen (N)'!AK95*12),0)</f>
        <v>0</v>
      </c>
      <c r="AJ95" s="71">
        <f ca="1">-AI95*'Invoer gegevens (N)'!$F$28</f>
        <v>0</v>
      </c>
      <c r="AK95" s="71">
        <f t="shared" ca="1" si="12"/>
        <v>0</v>
      </c>
      <c r="AL95" s="71">
        <f ca="1">IF(C95=1,(12*((F95+H95)/2)*'Reeksen (N)'!AL95)+(12*('Invoer gegevens (N)'!$C$10-(F95+H95)/2)*'Reeksen (N)'!AM95),0)</f>
        <v>0</v>
      </c>
      <c r="AM95" s="71">
        <f ca="1">-AL95*'Invoer gegevens (N)'!$F$31</f>
        <v>0</v>
      </c>
      <c r="AN95" s="71">
        <f t="shared" ca="1" si="16"/>
        <v>0</v>
      </c>
      <c r="AO95" s="71"/>
      <c r="AP95" s="71"/>
      <c r="AQ95" s="71">
        <f ca="1">-IF(C95=1,('Invoer gegevens (N)'!$C$10*'Invoer gegevens (N)'!$I$33)*'Reeksen (N)'!J95,0)*2</f>
        <v>0</v>
      </c>
      <c r="AR95" s="71">
        <f ca="1">-IF(C95=1,(G95*'Invoer gegevens (N)'!$I$34)*'Reeksen (N)'!J95,0)</f>
        <v>0</v>
      </c>
      <c r="AS95" s="71">
        <f ca="1">-IF(C95=1,'Invoer gegevens (N)'!$C$10*'Invoer gegevens (N)'!$I$35*'Reeksen (N)'!L95,0)</f>
        <v>0</v>
      </c>
      <c r="AT95" s="71">
        <f ca="1">-IF(C95=1,IF(E95='Invoer gegevens (N)'!$C$17,'Invoer gegevens (N)'!$C$11,Q95)*'Reeksen (N)'!S95*'Invoer gegevens (N)'!$C$18*'Reeksen (N)'!P95,0)</f>
        <v>0</v>
      </c>
      <c r="AU95" s="71">
        <f ca="1">-IF(C95=1,'Invoer gegevens (N)'!$C$10*'Invoer gegevens (N)'!$I$36*'Reeksen (N)'!H95,0)</f>
        <v>0</v>
      </c>
      <c r="AV95" s="71">
        <v>0</v>
      </c>
      <c r="AW95" s="71">
        <f t="shared" ca="1" si="17"/>
        <v>0</v>
      </c>
      <c r="AX95" s="71">
        <f ca="1">IF(E95&lt;'Invoer gegevens (N)'!$C$17+15,0,IF(E95&gt;'Invoer gegevens (N)'!$C$17+215,0,AW95))</f>
        <v>0</v>
      </c>
      <c r="AY95" s="71">
        <f ca="1">AX95/(1+'Invoer gegevens (N)'!$F$13)^($AZ95-('Invoer gegevens (N)'!$C$17-'Invoer gegevens (N)'!$C$16))/(1+'Invoer gegevens (N)'!$C$39)^('Invoer gegevens (N)'!$C$17-'Invoer gegevens (N)'!$C$16)</f>
        <v>0</v>
      </c>
      <c r="AZ95" s="68">
        <f ca="1">IF(E95-'Invoer gegevens (N)'!$C$17-14.5&lt;0,0,E95-'Invoer gegevens (N)'!$C$17-14.5)</f>
        <v>75.5</v>
      </c>
    </row>
    <row r="96" spans="2:52" x14ac:dyDescent="0.25">
      <c r="B96" s="70">
        <f t="shared" si="18"/>
        <v>92</v>
      </c>
      <c r="C96" s="67">
        <f ca="1">IF(E96-'Invoer gegevens (N)'!$C$17&lt;0,0,1)</f>
        <v>1</v>
      </c>
      <c r="D96" s="68">
        <f t="shared" si="19"/>
        <v>91.5</v>
      </c>
      <c r="E96" s="69">
        <f ca="1">IF('Invoer gegevens (N)'!$C$16="","",E95+1)</f>
        <v>2110</v>
      </c>
      <c r="F96" s="82">
        <f ca="1">IF('Invoer gegevens (N)'!$C$17=E96,'Invoer gegevens (N)'!$C$10,IF(C96=1,H95,0))</f>
        <v>0</v>
      </c>
      <c r="G96" s="83">
        <f ca="1">IF(C96&gt;=1,F96*'Reeksen (N)'!C96,0)</f>
        <v>0</v>
      </c>
      <c r="H96" s="84">
        <f t="shared" ca="1" si="13"/>
        <v>0</v>
      </c>
      <c r="I96" s="85">
        <f ca="1">IF('Invoer gegevens (N)'!$C$17=E96,'Invoer gegevens (N)'!$C$11,IF(C96=1,L95,0))</f>
        <v>0</v>
      </c>
      <c r="J96" s="86">
        <f ca="1">IF(C96&lt;1,0,IF('Reeksen (N)'!AK96&lt;='Reeksen (N)'!AE96,I96*'Reeksen (N)'!C96,0))</f>
        <v>0</v>
      </c>
      <c r="K96" s="86">
        <f ca="1">IF(C96&lt;1,0,IF('Reeksen (N)'!AK96&gt;'Reeksen (N)'!AE96,I96*'Reeksen (N)'!C96,0))</f>
        <v>0</v>
      </c>
      <c r="L96" s="86">
        <f t="shared" ca="1" si="14"/>
        <v>0</v>
      </c>
      <c r="M96" s="85">
        <f ca="1">IF('Invoer gegevens (N)'!$C$17=E96,'Invoer gegevens (N)'!$C$10-'Invoer gegevens (N)'!$C$11,IF(C96=1,P95,0))</f>
        <v>0</v>
      </c>
      <c r="N96" s="86">
        <f ca="1">IF(C96&lt;1,0,IF('Reeksen (N)'!AK96&lt;='Reeksen (N)'!AE96,M96*'Reeksen (N)'!C96,0))</f>
        <v>0</v>
      </c>
      <c r="O96" s="86">
        <f ca="1">IF(C96&lt;1,0,IF('Reeksen (N)'!AK96&gt;'Reeksen (N)'!AE96,M96*'Reeksen (N)'!C96,0))</f>
        <v>0</v>
      </c>
      <c r="P96" s="86">
        <f t="shared" ca="1" si="15"/>
        <v>0</v>
      </c>
      <c r="Q96" s="82">
        <f ca="1">IF('Invoer gegevens (N)'!$C$17=E96,I96,IF(C96=0,0,R95))</f>
        <v>0</v>
      </c>
      <c r="R96" s="84">
        <f t="shared" ca="1" si="10"/>
        <v>0</v>
      </c>
      <c r="S96" s="84">
        <f ca="1">IF('Invoer gegevens (N)'!$C$17=E96,M96,IF(C96=0,0,T95))</f>
        <v>0</v>
      </c>
      <c r="T96" s="84">
        <f t="shared" ca="1" si="11"/>
        <v>0</v>
      </c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8"/>
      <c r="AI96" s="71">
        <f ca="1">IF(C96=1,((F96+H96)/2*'Reeksen (N)'!AJ96*12)+(('Invoer gegevens (N)'!$C$10-(F96+H96)/2)*'Reeksen (N)'!AK96*12),0)</f>
        <v>0</v>
      </c>
      <c r="AJ96" s="71">
        <f ca="1">-AI96*'Invoer gegevens (N)'!$F$28</f>
        <v>0</v>
      </c>
      <c r="AK96" s="71">
        <f t="shared" ca="1" si="12"/>
        <v>0</v>
      </c>
      <c r="AL96" s="71">
        <f ca="1">IF(C96=1,(12*((F96+H96)/2)*'Reeksen (N)'!AL96)+(12*('Invoer gegevens (N)'!$C$10-(F96+H96)/2)*'Reeksen (N)'!AM96),0)</f>
        <v>0</v>
      </c>
      <c r="AM96" s="71">
        <f ca="1">-AL96*'Invoer gegevens (N)'!$F$31</f>
        <v>0</v>
      </c>
      <c r="AN96" s="71">
        <f t="shared" ca="1" si="16"/>
        <v>0</v>
      </c>
      <c r="AO96" s="71"/>
      <c r="AP96" s="71"/>
      <c r="AQ96" s="71">
        <f ca="1">-IF(C96=1,('Invoer gegevens (N)'!$C$10*'Invoer gegevens (N)'!$I$33)*'Reeksen (N)'!J96,0)*2</f>
        <v>0</v>
      </c>
      <c r="AR96" s="71">
        <f ca="1">-IF(C96=1,(G96*'Invoer gegevens (N)'!$I$34)*'Reeksen (N)'!J96,0)</f>
        <v>0</v>
      </c>
      <c r="AS96" s="71">
        <f ca="1">-IF(C96=1,'Invoer gegevens (N)'!$C$10*'Invoer gegevens (N)'!$I$35*'Reeksen (N)'!L96,0)</f>
        <v>0</v>
      </c>
      <c r="AT96" s="71">
        <f ca="1">-IF(C96=1,IF(E96='Invoer gegevens (N)'!$C$17,'Invoer gegevens (N)'!$C$11,Q96)*'Reeksen (N)'!S96*'Invoer gegevens (N)'!$C$18*'Reeksen (N)'!P96,0)</f>
        <v>0</v>
      </c>
      <c r="AU96" s="71">
        <f ca="1">-IF(C96=1,'Invoer gegevens (N)'!$C$10*'Invoer gegevens (N)'!$I$36*'Reeksen (N)'!H96,0)</f>
        <v>0</v>
      </c>
      <c r="AV96" s="71">
        <v>0</v>
      </c>
      <c r="AW96" s="71">
        <f t="shared" ca="1" si="17"/>
        <v>0</v>
      </c>
      <c r="AX96" s="71">
        <f ca="1">IF(E96&lt;'Invoer gegevens (N)'!$C$17+15,0,IF(E96&gt;'Invoer gegevens (N)'!$C$17+215,0,AW96))</f>
        <v>0</v>
      </c>
      <c r="AY96" s="71">
        <f ca="1">AX96/(1+'Invoer gegevens (N)'!$F$13)^($AZ96-('Invoer gegevens (N)'!$C$17-'Invoer gegevens (N)'!$C$16))/(1+'Invoer gegevens (N)'!$C$39)^('Invoer gegevens (N)'!$C$17-'Invoer gegevens (N)'!$C$16)</f>
        <v>0</v>
      </c>
      <c r="AZ96" s="68">
        <f ca="1">IF(E96-'Invoer gegevens (N)'!$C$17-14.5&lt;0,0,E96-'Invoer gegevens (N)'!$C$17-14.5)</f>
        <v>76.5</v>
      </c>
    </row>
    <row r="97" spans="2:52" x14ac:dyDescent="0.25">
      <c r="B97" s="70">
        <f t="shared" si="18"/>
        <v>93</v>
      </c>
      <c r="C97" s="67">
        <f ca="1">IF(E97-'Invoer gegevens (N)'!$C$17&lt;0,0,1)</f>
        <v>1</v>
      </c>
      <c r="D97" s="68">
        <f t="shared" si="19"/>
        <v>92.5</v>
      </c>
      <c r="E97" s="69">
        <f ca="1">IF('Invoer gegevens (N)'!$C$16="","",E96+1)</f>
        <v>2111</v>
      </c>
      <c r="F97" s="82">
        <f ca="1">IF('Invoer gegevens (N)'!$C$17=E97,'Invoer gegevens (N)'!$C$10,IF(C97=1,H96,0))</f>
        <v>0</v>
      </c>
      <c r="G97" s="83">
        <f ca="1">IF(C97&gt;=1,F97*'Reeksen (N)'!C97,0)</f>
        <v>0</v>
      </c>
      <c r="H97" s="84">
        <f t="shared" ca="1" si="13"/>
        <v>0</v>
      </c>
      <c r="I97" s="85">
        <f ca="1">IF('Invoer gegevens (N)'!$C$17=E97,'Invoer gegevens (N)'!$C$11,IF(C97=1,L96,0))</f>
        <v>0</v>
      </c>
      <c r="J97" s="86">
        <f ca="1">IF(C97&lt;1,0,IF('Reeksen (N)'!AK97&lt;='Reeksen (N)'!AE97,I97*'Reeksen (N)'!C97,0))</f>
        <v>0</v>
      </c>
      <c r="K97" s="86">
        <f ca="1">IF(C97&lt;1,0,IF('Reeksen (N)'!AK97&gt;'Reeksen (N)'!AE97,I97*'Reeksen (N)'!C97,0))</f>
        <v>0</v>
      </c>
      <c r="L97" s="86">
        <f t="shared" ca="1" si="14"/>
        <v>0</v>
      </c>
      <c r="M97" s="85">
        <f ca="1">IF('Invoer gegevens (N)'!$C$17=E97,'Invoer gegevens (N)'!$C$10-'Invoer gegevens (N)'!$C$11,IF(C97=1,P96,0))</f>
        <v>0</v>
      </c>
      <c r="N97" s="86">
        <f ca="1">IF(C97&lt;1,0,IF('Reeksen (N)'!AK97&lt;='Reeksen (N)'!AE97,M97*'Reeksen (N)'!C97,0))</f>
        <v>0</v>
      </c>
      <c r="O97" s="86">
        <f ca="1">IF(C97&lt;1,0,IF('Reeksen (N)'!AK97&gt;'Reeksen (N)'!AE97,M97*'Reeksen (N)'!C97,0))</f>
        <v>0</v>
      </c>
      <c r="P97" s="86">
        <f t="shared" ca="1" si="15"/>
        <v>0</v>
      </c>
      <c r="Q97" s="82">
        <f ca="1">IF('Invoer gegevens (N)'!$C$17=E97,I97,IF(C97=0,0,R96))</f>
        <v>0</v>
      </c>
      <c r="R97" s="84">
        <f t="shared" ca="1" si="10"/>
        <v>0</v>
      </c>
      <c r="S97" s="84">
        <f ca="1">IF('Invoer gegevens (N)'!$C$17=E97,M97,IF(C97=0,0,T96))</f>
        <v>0</v>
      </c>
      <c r="T97" s="84">
        <f t="shared" ca="1" si="11"/>
        <v>0</v>
      </c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8"/>
      <c r="AI97" s="71">
        <f ca="1">IF(C97=1,((F97+H97)/2*'Reeksen (N)'!AJ97*12)+(('Invoer gegevens (N)'!$C$10-(F97+H97)/2)*'Reeksen (N)'!AK97*12),0)</f>
        <v>0</v>
      </c>
      <c r="AJ97" s="71">
        <f ca="1">-AI97*'Invoer gegevens (N)'!$F$28</f>
        <v>0</v>
      </c>
      <c r="AK97" s="71">
        <f t="shared" ca="1" si="12"/>
        <v>0</v>
      </c>
      <c r="AL97" s="71">
        <f ca="1">IF(C97=1,(12*((F97+H97)/2)*'Reeksen (N)'!AL97)+(12*('Invoer gegevens (N)'!$C$10-(F97+H97)/2)*'Reeksen (N)'!AM97),0)</f>
        <v>0</v>
      </c>
      <c r="AM97" s="71">
        <f ca="1">-AL97*'Invoer gegevens (N)'!$F$31</f>
        <v>0</v>
      </c>
      <c r="AN97" s="71">
        <f t="shared" ca="1" si="16"/>
        <v>0</v>
      </c>
      <c r="AO97" s="71"/>
      <c r="AP97" s="71"/>
      <c r="AQ97" s="71">
        <f ca="1">-IF(C97=1,('Invoer gegevens (N)'!$C$10*'Invoer gegevens (N)'!$I$33)*'Reeksen (N)'!J97,0)*2</f>
        <v>0</v>
      </c>
      <c r="AR97" s="71">
        <f ca="1">-IF(C97=1,(G97*'Invoer gegevens (N)'!$I$34)*'Reeksen (N)'!J97,0)</f>
        <v>0</v>
      </c>
      <c r="AS97" s="71">
        <f ca="1">-IF(C97=1,'Invoer gegevens (N)'!$C$10*'Invoer gegevens (N)'!$I$35*'Reeksen (N)'!L97,0)</f>
        <v>0</v>
      </c>
      <c r="AT97" s="71">
        <f ca="1">-IF(C97=1,IF(E97='Invoer gegevens (N)'!$C$17,'Invoer gegevens (N)'!$C$11,Q97)*'Reeksen (N)'!S97*'Invoer gegevens (N)'!$C$18*'Reeksen (N)'!P97,0)</f>
        <v>0</v>
      </c>
      <c r="AU97" s="71">
        <f ca="1">-IF(C97=1,'Invoer gegevens (N)'!$C$10*'Invoer gegevens (N)'!$I$36*'Reeksen (N)'!H97,0)</f>
        <v>0</v>
      </c>
      <c r="AV97" s="71">
        <v>0</v>
      </c>
      <c r="AW97" s="71">
        <f t="shared" ca="1" si="17"/>
        <v>0</v>
      </c>
      <c r="AX97" s="71">
        <f ca="1">IF(E97&lt;'Invoer gegevens (N)'!$C$17+15,0,IF(E97&gt;'Invoer gegevens (N)'!$C$17+215,0,AW97))</f>
        <v>0</v>
      </c>
      <c r="AY97" s="71">
        <f ca="1">AX97/(1+'Invoer gegevens (N)'!$F$13)^($AZ97-('Invoer gegevens (N)'!$C$17-'Invoer gegevens (N)'!$C$16))/(1+'Invoer gegevens (N)'!$C$39)^('Invoer gegevens (N)'!$C$17-'Invoer gegevens (N)'!$C$16)</f>
        <v>0</v>
      </c>
      <c r="AZ97" s="68">
        <f ca="1">IF(E97-'Invoer gegevens (N)'!$C$17-14.5&lt;0,0,E97-'Invoer gegevens (N)'!$C$17-14.5)</f>
        <v>77.5</v>
      </c>
    </row>
    <row r="98" spans="2:52" x14ac:dyDescent="0.25">
      <c r="B98" s="70">
        <f t="shared" si="18"/>
        <v>94</v>
      </c>
      <c r="C98" s="67">
        <f ca="1">IF(E98-'Invoer gegevens (N)'!$C$17&lt;0,0,1)</f>
        <v>1</v>
      </c>
      <c r="D98" s="68">
        <f t="shared" si="19"/>
        <v>93.5</v>
      </c>
      <c r="E98" s="69">
        <f ca="1">IF('Invoer gegevens (N)'!$C$16="","",E97+1)</f>
        <v>2112</v>
      </c>
      <c r="F98" s="82">
        <f ca="1">IF('Invoer gegevens (N)'!$C$17=E98,'Invoer gegevens (N)'!$C$10,IF(C98=1,H97,0))</f>
        <v>0</v>
      </c>
      <c r="G98" s="83">
        <f ca="1">IF(C98&gt;=1,F98*'Reeksen (N)'!C98,0)</f>
        <v>0</v>
      </c>
      <c r="H98" s="84">
        <f t="shared" ca="1" si="13"/>
        <v>0</v>
      </c>
      <c r="I98" s="85">
        <f ca="1">IF('Invoer gegevens (N)'!$C$17=E98,'Invoer gegevens (N)'!$C$11,IF(C98=1,L97,0))</f>
        <v>0</v>
      </c>
      <c r="J98" s="86">
        <f ca="1">IF(C98&lt;1,0,IF('Reeksen (N)'!AK98&lt;='Reeksen (N)'!AE98,I98*'Reeksen (N)'!C98,0))</f>
        <v>0</v>
      </c>
      <c r="K98" s="86">
        <f ca="1">IF(C98&lt;1,0,IF('Reeksen (N)'!AK98&gt;'Reeksen (N)'!AE98,I98*'Reeksen (N)'!C98,0))</f>
        <v>0</v>
      </c>
      <c r="L98" s="86">
        <f t="shared" ca="1" si="14"/>
        <v>0</v>
      </c>
      <c r="M98" s="85">
        <f ca="1">IF('Invoer gegevens (N)'!$C$17=E98,'Invoer gegevens (N)'!$C$10-'Invoer gegevens (N)'!$C$11,IF(C98=1,P97,0))</f>
        <v>0</v>
      </c>
      <c r="N98" s="86">
        <f ca="1">IF(C98&lt;1,0,IF('Reeksen (N)'!AK98&lt;='Reeksen (N)'!AE98,M98*'Reeksen (N)'!C98,0))</f>
        <v>0</v>
      </c>
      <c r="O98" s="86">
        <f ca="1">IF(C98&lt;1,0,IF('Reeksen (N)'!AK98&gt;'Reeksen (N)'!AE98,M98*'Reeksen (N)'!C98,0))</f>
        <v>0</v>
      </c>
      <c r="P98" s="86">
        <f t="shared" ca="1" si="15"/>
        <v>0</v>
      </c>
      <c r="Q98" s="82">
        <f ca="1">IF('Invoer gegevens (N)'!$C$17=E98,I98,IF(C98=0,0,R97))</f>
        <v>0</v>
      </c>
      <c r="R98" s="84">
        <f t="shared" ca="1" si="10"/>
        <v>0</v>
      </c>
      <c r="S98" s="84">
        <f ca="1">IF('Invoer gegevens (N)'!$C$17=E98,M98,IF(C98=0,0,T97))</f>
        <v>0</v>
      </c>
      <c r="T98" s="84">
        <f t="shared" ca="1" si="11"/>
        <v>0</v>
      </c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8"/>
      <c r="AI98" s="71">
        <f ca="1">IF(C98=1,((F98+H98)/2*'Reeksen (N)'!AJ98*12)+(('Invoer gegevens (N)'!$C$10-(F98+H98)/2)*'Reeksen (N)'!AK98*12),0)</f>
        <v>0</v>
      </c>
      <c r="AJ98" s="71">
        <f ca="1">-AI98*'Invoer gegevens (N)'!$F$28</f>
        <v>0</v>
      </c>
      <c r="AK98" s="71">
        <f t="shared" ca="1" si="12"/>
        <v>0</v>
      </c>
      <c r="AL98" s="71">
        <f ca="1">IF(C98=1,(12*((F98+H98)/2)*'Reeksen (N)'!AL98)+(12*('Invoer gegevens (N)'!$C$10-(F98+H98)/2)*'Reeksen (N)'!AM98),0)</f>
        <v>0</v>
      </c>
      <c r="AM98" s="71">
        <f ca="1">-AL98*'Invoer gegevens (N)'!$F$31</f>
        <v>0</v>
      </c>
      <c r="AN98" s="71">
        <f t="shared" ca="1" si="16"/>
        <v>0</v>
      </c>
      <c r="AO98" s="71"/>
      <c r="AP98" s="71"/>
      <c r="AQ98" s="71">
        <f ca="1">-IF(C98=1,('Invoer gegevens (N)'!$C$10*'Invoer gegevens (N)'!$I$33)*'Reeksen (N)'!J98,0)*2</f>
        <v>0</v>
      </c>
      <c r="AR98" s="71">
        <f ca="1">-IF(C98=1,(G98*'Invoer gegevens (N)'!$I$34)*'Reeksen (N)'!J98,0)</f>
        <v>0</v>
      </c>
      <c r="AS98" s="71">
        <f ca="1">-IF(C98=1,'Invoer gegevens (N)'!$C$10*'Invoer gegevens (N)'!$I$35*'Reeksen (N)'!L98,0)</f>
        <v>0</v>
      </c>
      <c r="AT98" s="71">
        <f ca="1">-IF(C98=1,IF(E98='Invoer gegevens (N)'!$C$17,'Invoer gegevens (N)'!$C$11,Q98)*'Reeksen (N)'!S98*'Invoer gegevens (N)'!$C$18*'Reeksen (N)'!P98,0)</f>
        <v>0</v>
      </c>
      <c r="AU98" s="71">
        <f ca="1">-IF(C98=1,'Invoer gegevens (N)'!$C$10*'Invoer gegevens (N)'!$I$36*'Reeksen (N)'!H98,0)</f>
        <v>0</v>
      </c>
      <c r="AV98" s="71">
        <v>0</v>
      </c>
      <c r="AW98" s="71">
        <f t="shared" ca="1" si="17"/>
        <v>0</v>
      </c>
      <c r="AX98" s="71">
        <f ca="1">IF(E98&lt;'Invoer gegevens (N)'!$C$17+15,0,IF(E98&gt;'Invoer gegevens (N)'!$C$17+215,0,AW98))</f>
        <v>0</v>
      </c>
      <c r="AY98" s="71">
        <f ca="1">AX98/(1+'Invoer gegevens (N)'!$F$13)^($AZ98-('Invoer gegevens (N)'!$C$17-'Invoer gegevens (N)'!$C$16))/(1+'Invoer gegevens (N)'!$C$39)^('Invoer gegevens (N)'!$C$17-'Invoer gegevens (N)'!$C$16)</f>
        <v>0</v>
      </c>
      <c r="AZ98" s="68">
        <f ca="1">IF(E98-'Invoer gegevens (N)'!$C$17-14.5&lt;0,0,E98-'Invoer gegevens (N)'!$C$17-14.5)</f>
        <v>78.5</v>
      </c>
    </row>
    <row r="99" spans="2:52" x14ac:dyDescent="0.25">
      <c r="B99" s="70">
        <f t="shared" si="18"/>
        <v>95</v>
      </c>
      <c r="C99" s="67">
        <f ca="1">IF(E99-'Invoer gegevens (N)'!$C$17&lt;0,0,1)</f>
        <v>1</v>
      </c>
      <c r="D99" s="68">
        <f t="shared" si="19"/>
        <v>94.5</v>
      </c>
      <c r="E99" s="69">
        <f ca="1">IF('Invoer gegevens (N)'!$C$16="","",E98+1)</f>
        <v>2113</v>
      </c>
      <c r="F99" s="82">
        <f ca="1">IF('Invoer gegevens (N)'!$C$17=E99,'Invoer gegevens (N)'!$C$10,IF(C99=1,H98,0))</f>
        <v>0</v>
      </c>
      <c r="G99" s="83">
        <f ca="1">IF(C99&gt;=1,F99*'Reeksen (N)'!C99,0)</f>
        <v>0</v>
      </c>
      <c r="H99" s="84">
        <f t="shared" ca="1" si="13"/>
        <v>0</v>
      </c>
      <c r="I99" s="85">
        <f ca="1">IF('Invoer gegevens (N)'!$C$17=E99,'Invoer gegevens (N)'!$C$11,IF(C99=1,L98,0))</f>
        <v>0</v>
      </c>
      <c r="J99" s="86">
        <f ca="1">IF(C99&lt;1,0,IF('Reeksen (N)'!AK99&lt;='Reeksen (N)'!AE99,I99*'Reeksen (N)'!C99,0))</f>
        <v>0</v>
      </c>
      <c r="K99" s="86">
        <f ca="1">IF(C99&lt;1,0,IF('Reeksen (N)'!AK99&gt;'Reeksen (N)'!AE99,I99*'Reeksen (N)'!C99,0))</f>
        <v>0</v>
      </c>
      <c r="L99" s="86">
        <f t="shared" ca="1" si="14"/>
        <v>0</v>
      </c>
      <c r="M99" s="85">
        <f ca="1">IF('Invoer gegevens (N)'!$C$17=E99,'Invoer gegevens (N)'!$C$10-'Invoer gegevens (N)'!$C$11,IF(C99=1,P98,0))</f>
        <v>0</v>
      </c>
      <c r="N99" s="86">
        <f ca="1">IF(C99&lt;1,0,IF('Reeksen (N)'!AK99&lt;='Reeksen (N)'!AE99,M99*'Reeksen (N)'!C99,0))</f>
        <v>0</v>
      </c>
      <c r="O99" s="86">
        <f ca="1">IF(C99&lt;1,0,IF('Reeksen (N)'!AK99&gt;'Reeksen (N)'!AE99,M99*'Reeksen (N)'!C99,0))</f>
        <v>0</v>
      </c>
      <c r="P99" s="86">
        <f t="shared" ca="1" si="15"/>
        <v>0</v>
      </c>
      <c r="Q99" s="82">
        <f ca="1">IF('Invoer gegevens (N)'!$C$17=E99,I99,IF(C99=0,0,R98))</f>
        <v>0</v>
      </c>
      <c r="R99" s="84">
        <f t="shared" ca="1" si="10"/>
        <v>0</v>
      </c>
      <c r="S99" s="84">
        <f ca="1">IF('Invoer gegevens (N)'!$C$17=E99,M99,IF(C99=0,0,T98))</f>
        <v>0</v>
      </c>
      <c r="T99" s="84">
        <f t="shared" ca="1" si="11"/>
        <v>0</v>
      </c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8"/>
      <c r="AI99" s="71">
        <f ca="1">IF(C99=1,((F99+H99)/2*'Reeksen (N)'!AJ99*12)+(('Invoer gegevens (N)'!$C$10-(F99+H99)/2)*'Reeksen (N)'!AK99*12),0)</f>
        <v>0</v>
      </c>
      <c r="AJ99" s="71">
        <f ca="1">-AI99*'Invoer gegevens (N)'!$F$28</f>
        <v>0</v>
      </c>
      <c r="AK99" s="71">
        <f t="shared" ca="1" si="12"/>
        <v>0</v>
      </c>
      <c r="AL99" s="71">
        <f ca="1">IF(C99=1,(12*((F99+H99)/2)*'Reeksen (N)'!AL99)+(12*('Invoer gegevens (N)'!$C$10-(F99+H99)/2)*'Reeksen (N)'!AM99),0)</f>
        <v>0</v>
      </c>
      <c r="AM99" s="71">
        <f ca="1">-AL99*'Invoer gegevens (N)'!$F$31</f>
        <v>0</v>
      </c>
      <c r="AN99" s="71">
        <f t="shared" ca="1" si="16"/>
        <v>0</v>
      </c>
      <c r="AO99" s="71"/>
      <c r="AP99" s="71"/>
      <c r="AQ99" s="71">
        <f ca="1">-IF(C99=1,('Invoer gegevens (N)'!$C$10*'Invoer gegevens (N)'!$I$33)*'Reeksen (N)'!J99,0)*2</f>
        <v>0</v>
      </c>
      <c r="AR99" s="71">
        <f ca="1">-IF(C99=1,(G99*'Invoer gegevens (N)'!$I$34)*'Reeksen (N)'!J99,0)</f>
        <v>0</v>
      </c>
      <c r="AS99" s="71">
        <f ca="1">-IF(C99=1,'Invoer gegevens (N)'!$C$10*'Invoer gegevens (N)'!$I$35*'Reeksen (N)'!L99,0)</f>
        <v>0</v>
      </c>
      <c r="AT99" s="71">
        <f ca="1">-IF(C99=1,IF(E99='Invoer gegevens (N)'!$C$17,'Invoer gegevens (N)'!$C$11,Q99)*'Reeksen (N)'!S99*'Invoer gegevens (N)'!$C$18*'Reeksen (N)'!P99,0)</f>
        <v>0</v>
      </c>
      <c r="AU99" s="71">
        <f ca="1">-IF(C99=1,'Invoer gegevens (N)'!$C$10*'Invoer gegevens (N)'!$I$36*'Reeksen (N)'!H99,0)</f>
        <v>0</v>
      </c>
      <c r="AV99" s="71">
        <v>0</v>
      </c>
      <c r="AW99" s="71">
        <f t="shared" ca="1" si="17"/>
        <v>0</v>
      </c>
      <c r="AX99" s="71">
        <f ca="1">IF(E99&lt;'Invoer gegevens (N)'!$C$17+15,0,IF(E99&gt;'Invoer gegevens (N)'!$C$17+215,0,AW99))</f>
        <v>0</v>
      </c>
      <c r="AY99" s="71">
        <f ca="1">AX99/(1+'Invoer gegevens (N)'!$F$13)^($AZ99-('Invoer gegevens (N)'!$C$17-'Invoer gegevens (N)'!$C$16))/(1+'Invoer gegevens (N)'!$C$39)^('Invoer gegevens (N)'!$C$17-'Invoer gegevens (N)'!$C$16)</f>
        <v>0</v>
      </c>
      <c r="AZ99" s="68">
        <f ca="1">IF(E99-'Invoer gegevens (N)'!$C$17-14.5&lt;0,0,E99-'Invoer gegevens (N)'!$C$17-14.5)</f>
        <v>79.5</v>
      </c>
    </row>
    <row r="100" spans="2:52" x14ac:dyDescent="0.25">
      <c r="B100" s="70">
        <f t="shared" si="18"/>
        <v>96</v>
      </c>
      <c r="C100" s="67">
        <f ca="1">IF(E100-'Invoer gegevens (N)'!$C$17&lt;0,0,1)</f>
        <v>1</v>
      </c>
      <c r="D100" s="68">
        <f t="shared" si="19"/>
        <v>95.5</v>
      </c>
      <c r="E100" s="69">
        <f ca="1">IF('Invoer gegevens (N)'!$C$16="","",E99+1)</f>
        <v>2114</v>
      </c>
      <c r="F100" s="82">
        <f ca="1">IF('Invoer gegevens (N)'!$C$17=E100,'Invoer gegevens (N)'!$C$10,IF(C100=1,H99,0))</f>
        <v>0</v>
      </c>
      <c r="G100" s="83">
        <f ca="1">IF(C100&gt;=1,F100*'Reeksen (N)'!C100,0)</f>
        <v>0</v>
      </c>
      <c r="H100" s="84">
        <f t="shared" ca="1" si="13"/>
        <v>0</v>
      </c>
      <c r="I100" s="85">
        <f ca="1">IF('Invoer gegevens (N)'!$C$17=E100,'Invoer gegevens (N)'!$C$11,IF(C100=1,L99,0))</f>
        <v>0</v>
      </c>
      <c r="J100" s="86">
        <f ca="1">IF(C100&lt;1,0,IF('Reeksen (N)'!AK100&lt;='Reeksen (N)'!AE100,I100*'Reeksen (N)'!C100,0))</f>
        <v>0</v>
      </c>
      <c r="K100" s="86">
        <f ca="1">IF(C100&lt;1,0,IF('Reeksen (N)'!AK100&gt;'Reeksen (N)'!AE100,I100*'Reeksen (N)'!C100,0))</f>
        <v>0</v>
      </c>
      <c r="L100" s="86">
        <f t="shared" ca="1" si="14"/>
        <v>0</v>
      </c>
      <c r="M100" s="85">
        <f ca="1">IF('Invoer gegevens (N)'!$C$17=E100,'Invoer gegevens (N)'!$C$10-'Invoer gegevens (N)'!$C$11,IF(C100=1,P99,0))</f>
        <v>0</v>
      </c>
      <c r="N100" s="86">
        <f ca="1">IF(C100&lt;1,0,IF('Reeksen (N)'!AK100&lt;='Reeksen (N)'!AE100,M100*'Reeksen (N)'!C100,0))</f>
        <v>0</v>
      </c>
      <c r="O100" s="86">
        <f ca="1">IF(C100&lt;1,0,IF('Reeksen (N)'!AK100&gt;'Reeksen (N)'!AE100,M100*'Reeksen (N)'!C100,0))</f>
        <v>0</v>
      </c>
      <c r="P100" s="86">
        <f t="shared" ca="1" si="15"/>
        <v>0</v>
      </c>
      <c r="Q100" s="82">
        <f ca="1">IF('Invoer gegevens (N)'!$C$17=E100,I100,IF(C100=0,0,R99))</f>
        <v>0</v>
      </c>
      <c r="R100" s="84">
        <f t="shared" ca="1" si="10"/>
        <v>0</v>
      </c>
      <c r="S100" s="84">
        <f ca="1">IF('Invoer gegevens (N)'!$C$17=E100,M100,IF(C100=0,0,T99))</f>
        <v>0</v>
      </c>
      <c r="T100" s="84">
        <f t="shared" ca="1" si="11"/>
        <v>0</v>
      </c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8"/>
      <c r="AI100" s="71">
        <f ca="1">IF(C100=1,((F100+H100)/2*'Reeksen (N)'!AJ100*12)+(('Invoer gegevens (N)'!$C$10-(F100+H100)/2)*'Reeksen (N)'!AK100*12),0)</f>
        <v>0</v>
      </c>
      <c r="AJ100" s="71">
        <f ca="1">-AI100*'Invoer gegevens (N)'!$F$28</f>
        <v>0</v>
      </c>
      <c r="AK100" s="71">
        <f t="shared" ca="1" si="12"/>
        <v>0</v>
      </c>
      <c r="AL100" s="71">
        <f ca="1">IF(C100=1,(12*((F100+H100)/2)*'Reeksen (N)'!AL100)+(12*('Invoer gegevens (N)'!$C$10-(F100+H100)/2)*'Reeksen (N)'!AM100),0)</f>
        <v>0</v>
      </c>
      <c r="AM100" s="71">
        <f ca="1">-AL100*'Invoer gegevens (N)'!$F$31</f>
        <v>0</v>
      </c>
      <c r="AN100" s="71">
        <f t="shared" ca="1" si="16"/>
        <v>0</v>
      </c>
      <c r="AO100" s="71"/>
      <c r="AP100" s="71"/>
      <c r="AQ100" s="71">
        <f ca="1">-IF(C100=1,('Invoer gegevens (N)'!$C$10*'Invoer gegevens (N)'!$I$33)*'Reeksen (N)'!J100,0)*2</f>
        <v>0</v>
      </c>
      <c r="AR100" s="71">
        <f ca="1">-IF(C100=1,(G100*'Invoer gegevens (N)'!$I$34)*'Reeksen (N)'!J100,0)</f>
        <v>0</v>
      </c>
      <c r="AS100" s="71">
        <f ca="1">-IF(C100=1,'Invoer gegevens (N)'!$C$10*'Invoer gegevens (N)'!$I$35*'Reeksen (N)'!L100,0)</f>
        <v>0</v>
      </c>
      <c r="AT100" s="71">
        <f ca="1">-IF(C100=1,IF(E100='Invoer gegevens (N)'!$C$17,'Invoer gegevens (N)'!$C$11,Q100)*'Reeksen (N)'!S100*'Invoer gegevens (N)'!$C$18*'Reeksen (N)'!P100,0)</f>
        <v>0</v>
      </c>
      <c r="AU100" s="71">
        <f ca="1">-IF(C100=1,'Invoer gegevens (N)'!$C$10*'Invoer gegevens (N)'!$I$36*'Reeksen (N)'!H100,0)</f>
        <v>0</v>
      </c>
      <c r="AV100" s="71">
        <v>0</v>
      </c>
      <c r="AW100" s="71">
        <f t="shared" ca="1" si="17"/>
        <v>0</v>
      </c>
      <c r="AX100" s="71">
        <f ca="1">IF(E100&lt;'Invoer gegevens (N)'!$C$17+15,0,IF(E100&gt;'Invoer gegevens (N)'!$C$17+215,0,AW100))</f>
        <v>0</v>
      </c>
      <c r="AY100" s="71">
        <f ca="1">AX100/(1+'Invoer gegevens (N)'!$F$13)^($AZ100-('Invoer gegevens (N)'!$C$17-'Invoer gegevens (N)'!$C$16))/(1+'Invoer gegevens (N)'!$C$39)^('Invoer gegevens (N)'!$C$17-'Invoer gegevens (N)'!$C$16)</f>
        <v>0</v>
      </c>
      <c r="AZ100" s="68">
        <f ca="1">IF(E100-'Invoer gegevens (N)'!$C$17-14.5&lt;0,0,E100-'Invoer gegevens (N)'!$C$17-14.5)</f>
        <v>80.5</v>
      </c>
    </row>
    <row r="101" spans="2:52" x14ac:dyDescent="0.25">
      <c r="B101" s="70">
        <f t="shared" si="18"/>
        <v>97</v>
      </c>
      <c r="C101" s="67">
        <f ca="1">IF(E101-'Invoer gegevens (N)'!$C$17&lt;0,0,1)</f>
        <v>1</v>
      </c>
      <c r="D101" s="68">
        <f t="shared" si="19"/>
        <v>96.5</v>
      </c>
      <c r="E101" s="69">
        <f ca="1">IF('Invoer gegevens (N)'!$C$16="","",E100+1)</f>
        <v>2115</v>
      </c>
      <c r="F101" s="82">
        <f ca="1">IF('Invoer gegevens (N)'!$C$17=E101,'Invoer gegevens (N)'!$C$10,IF(C101=1,H100,0))</f>
        <v>0</v>
      </c>
      <c r="G101" s="83">
        <f ca="1">IF(C101&gt;=1,F101*'Reeksen (N)'!C101,0)</f>
        <v>0</v>
      </c>
      <c r="H101" s="84">
        <f t="shared" ca="1" si="13"/>
        <v>0</v>
      </c>
      <c r="I101" s="85">
        <f ca="1">IF('Invoer gegevens (N)'!$C$17=E101,'Invoer gegevens (N)'!$C$11,IF(C101=1,L100,0))</f>
        <v>0</v>
      </c>
      <c r="J101" s="86">
        <f ca="1">IF(C101&lt;1,0,IF('Reeksen (N)'!AK101&lt;='Reeksen (N)'!AE101,I101*'Reeksen (N)'!C101,0))</f>
        <v>0</v>
      </c>
      <c r="K101" s="86">
        <f ca="1">IF(C101&lt;1,0,IF('Reeksen (N)'!AK101&gt;'Reeksen (N)'!AE101,I101*'Reeksen (N)'!C101,0))</f>
        <v>0</v>
      </c>
      <c r="L101" s="86">
        <f t="shared" ca="1" si="14"/>
        <v>0</v>
      </c>
      <c r="M101" s="85">
        <f ca="1">IF('Invoer gegevens (N)'!$C$17=E101,'Invoer gegevens (N)'!$C$10-'Invoer gegevens (N)'!$C$11,IF(C101=1,P100,0))</f>
        <v>0</v>
      </c>
      <c r="N101" s="86">
        <f ca="1">IF(C101&lt;1,0,IF('Reeksen (N)'!AK101&lt;='Reeksen (N)'!AE101,M101*'Reeksen (N)'!C101,0))</f>
        <v>0</v>
      </c>
      <c r="O101" s="86">
        <f ca="1">IF(C101&lt;1,0,IF('Reeksen (N)'!AK101&gt;'Reeksen (N)'!AE101,M101*'Reeksen (N)'!C101,0))</f>
        <v>0</v>
      </c>
      <c r="P101" s="86">
        <f t="shared" ca="1" si="15"/>
        <v>0</v>
      </c>
      <c r="Q101" s="82">
        <f ca="1">IF('Invoer gegevens (N)'!$C$17=E101,I101,IF(C101=0,0,R100))</f>
        <v>0</v>
      </c>
      <c r="R101" s="84">
        <f t="shared" ca="1" si="10"/>
        <v>0</v>
      </c>
      <c r="S101" s="84">
        <f ca="1">IF('Invoer gegevens (N)'!$C$17=E101,M101,IF(C101=0,0,T100))</f>
        <v>0</v>
      </c>
      <c r="T101" s="84">
        <f t="shared" ca="1" si="11"/>
        <v>0</v>
      </c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8"/>
      <c r="AI101" s="71">
        <f ca="1">IF(C101=1,((F101+H101)/2*'Reeksen (N)'!AJ101*12)+(('Invoer gegevens (N)'!$C$10-(F101+H101)/2)*'Reeksen (N)'!AK101*12),0)</f>
        <v>0</v>
      </c>
      <c r="AJ101" s="71">
        <f ca="1">-AI101*'Invoer gegevens (N)'!$F$28</f>
        <v>0</v>
      </c>
      <c r="AK101" s="71">
        <f t="shared" ca="1" si="12"/>
        <v>0</v>
      </c>
      <c r="AL101" s="71">
        <f ca="1">IF(C101=1,(12*((F101+H101)/2)*'Reeksen (N)'!AL101)+(12*('Invoer gegevens (N)'!$C$10-(F101+H101)/2)*'Reeksen (N)'!AM101),0)</f>
        <v>0</v>
      </c>
      <c r="AM101" s="71">
        <f ca="1">-AL101*'Invoer gegevens (N)'!$F$31</f>
        <v>0</v>
      </c>
      <c r="AN101" s="71">
        <f t="shared" ca="1" si="16"/>
        <v>0</v>
      </c>
      <c r="AO101" s="71"/>
      <c r="AP101" s="71"/>
      <c r="AQ101" s="71">
        <f ca="1">-IF(C101=1,('Invoer gegevens (N)'!$C$10*'Invoer gegevens (N)'!$I$33)*'Reeksen (N)'!J101,0)*2</f>
        <v>0</v>
      </c>
      <c r="AR101" s="71">
        <f ca="1">-IF(C101=1,(G101*'Invoer gegevens (N)'!$I$34)*'Reeksen (N)'!J101,0)</f>
        <v>0</v>
      </c>
      <c r="AS101" s="71">
        <f ca="1">-IF(C101=1,'Invoer gegevens (N)'!$C$10*'Invoer gegevens (N)'!$I$35*'Reeksen (N)'!L101,0)</f>
        <v>0</v>
      </c>
      <c r="AT101" s="71">
        <f ca="1">-IF(C101=1,IF(E101='Invoer gegevens (N)'!$C$17,'Invoer gegevens (N)'!$C$11,Q101)*'Reeksen (N)'!S101*'Invoer gegevens (N)'!$C$18*'Reeksen (N)'!P101,0)</f>
        <v>0</v>
      </c>
      <c r="AU101" s="71">
        <f ca="1">-IF(C101=1,'Invoer gegevens (N)'!$C$10*'Invoer gegevens (N)'!$I$36*'Reeksen (N)'!H101,0)</f>
        <v>0</v>
      </c>
      <c r="AV101" s="71">
        <v>0</v>
      </c>
      <c r="AW101" s="71">
        <f t="shared" ca="1" si="17"/>
        <v>0</v>
      </c>
      <c r="AX101" s="71">
        <f ca="1">IF(E101&lt;'Invoer gegevens (N)'!$C$17+15,0,IF(E101&gt;'Invoer gegevens (N)'!$C$17+215,0,AW101))</f>
        <v>0</v>
      </c>
      <c r="AY101" s="71">
        <f ca="1">AX101/(1+'Invoer gegevens (N)'!$F$13)^($AZ101-('Invoer gegevens (N)'!$C$17-'Invoer gegevens (N)'!$C$16))/(1+'Invoer gegevens (N)'!$C$39)^('Invoer gegevens (N)'!$C$17-'Invoer gegevens (N)'!$C$16)</f>
        <v>0</v>
      </c>
      <c r="AZ101" s="68">
        <f ca="1">IF(E101-'Invoer gegevens (N)'!$C$17-14.5&lt;0,0,E101-'Invoer gegevens (N)'!$C$17-14.5)</f>
        <v>81.5</v>
      </c>
    </row>
    <row r="102" spans="2:52" x14ac:dyDescent="0.25">
      <c r="B102" s="70">
        <f t="shared" si="18"/>
        <v>98</v>
      </c>
      <c r="C102" s="67">
        <f ca="1">IF(E102-'Invoer gegevens (N)'!$C$17&lt;0,0,1)</f>
        <v>1</v>
      </c>
      <c r="D102" s="68">
        <f t="shared" si="19"/>
        <v>97.5</v>
      </c>
      <c r="E102" s="69">
        <f ca="1">IF('Invoer gegevens (N)'!$C$16="","",E101+1)</f>
        <v>2116</v>
      </c>
      <c r="F102" s="82">
        <f ca="1">IF('Invoer gegevens (N)'!$C$17=E102,'Invoer gegevens (N)'!$C$10,IF(C102=1,H101,0))</f>
        <v>0</v>
      </c>
      <c r="G102" s="83">
        <f ca="1">IF(C102&gt;=1,F102*'Reeksen (N)'!C102,0)</f>
        <v>0</v>
      </c>
      <c r="H102" s="84">
        <f t="shared" ca="1" si="13"/>
        <v>0</v>
      </c>
      <c r="I102" s="85">
        <f ca="1">IF('Invoer gegevens (N)'!$C$17=E102,'Invoer gegevens (N)'!$C$11,IF(C102=1,L101,0))</f>
        <v>0</v>
      </c>
      <c r="J102" s="86">
        <f ca="1">IF(C102&lt;1,0,IF('Reeksen (N)'!AK102&lt;='Reeksen (N)'!AE102,I102*'Reeksen (N)'!C102,0))</f>
        <v>0</v>
      </c>
      <c r="K102" s="86">
        <f ca="1">IF(C102&lt;1,0,IF('Reeksen (N)'!AK102&gt;'Reeksen (N)'!AE102,I102*'Reeksen (N)'!C102,0))</f>
        <v>0</v>
      </c>
      <c r="L102" s="86">
        <f t="shared" ca="1" si="14"/>
        <v>0</v>
      </c>
      <c r="M102" s="85">
        <f ca="1">IF('Invoer gegevens (N)'!$C$17=E102,'Invoer gegevens (N)'!$C$10-'Invoer gegevens (N)'!$C$11,IF(C102=1,P101,0))</f>
        <v>0</v>
      </c>
      <c r="N102" s="86">
        <f ca="1">IF(C102&lt;1,0,IF('Reeksen (N)'!AK102&lt;='Reeksen (N)'!AE102,M102*'Reeksen (N)'!C102,0))</f>
        <v>0</v>
      </c>
      <c r="O102" s="86">
        <f ca="1">IF(C102&lt;1,0,IF('Reeksen (N)'!AK102&gt;'Reeksen (N)'!AE102,M102*'Reeksen (N)'!C102,0))</f>
        <v>0</v>
      </c>
      <c r="P102" s="86">
        <f t="shared" ca="1" si="15"/>
        <v>0</v>
      </c>
      <c r="Q102" s="82">
        <f ca="1">IF('Invoer gegevens (N)'!$C$17=E102,I102,IF(C102=0,0,R101))</f>
        <v>0</v>
      </c>
      <c r="R102" s="84">
        <f t="shared" ca="1" si="10"/>
        <v>0</v>
      </c>
      <c r="S102" s="84">
        <f ca="1">IF('Invoer gegevens (N)'!$C$17=E102,M102,IF(C102=0,0,T101))</f>
        <v>0</v>
      </c>
      <c r="T102" s="84">
        <f t="shared" ca="1" si="11"/>
        <v>0</v>
      </c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8"/>
      <c r="AI102" s="71">
        <f ca="1">IF(C102=1,((F102+H102)/2*'Reeksen (N)'!AJ102*12)+(('Invoer gegevens (N)'!$C$10-(F102+H102)/2)*'Reeksen (N)'!AK102*12),0)</f>
        <v>0</v>
      </c>
      <c r="AJ102" s="71">
        <f ca="1">-AI102*'Invoer gegevens (N)'!$F$28</f>
        <v>0</v>
      </c>
      <c r="AK102" s="71">
        <f t="shared" ca="1" si="12"/>
        <v>0</v>
      </c>
      <c r="AL102" s="71">
        <f ca="1">IF(C102=1,(12*((F102+H102)/2)*'Reeksen (N)'!AL102)+(12*('Invoer gegevens (N)'!$C$10-(F102+H102)/2)*'Reeksen (N)'!AM102),0)</f>
        <v>0</v>
      </c>
      <c r="AM102" s="71">
        <f ca="1">-AL102*'Invoer gegevens (N)'!$F$31</f>
        <v>0</v>
      </c>
      <c r="AN102" s="71">
        <f t="shared" ca="1" si="16"/>
        <v>0</v>
      </c>
      <c r="AO102" s="71"/>
      <c r="AP102" s="71"/>
      <c r="AQ102" s="71">
        <f ca="1">-IF(C102=1,('Invoer gegevens (N)'!$C$10*'Invoer gegevens (N)'!$I$33)*'Reeksen (N)'!J102,0)*2</f>
        <v>0</v>
      </c>
      <c r="AR102" s="71">
        <f ca="1">-IF(C102=1,(G102*'Invoer gegevens (N)'!$I$34)*'Reeksen (N)'!J102,0)</f>
        <v>0</v>
      </c>
      <c r="AS102" s="71">
        <f ca="1">-IF(C102=1,'Invoer gegevens (N)'!$C$10*'Invoer gegevens (N)'!$I$35*'Reeksen (N)'!L102,0)</f>
        <v>0</v>
      </c>
      <c r="AT102" s="71">
        <f ca="1">-IF(C102=1,IF(E102='Invoer gegevens (N)'!$C$17,'Invoer gegevens (N)'!$C$11,Q102)*'Reeksen (N)'!S102*'Invoer gegevens (N)'!$C$18*'Reeksen (N)'!P102,0)</f>
        <v>0</v>
      </c>
      <c r="AU102" s="71">
        <f ca="1">-IF(C102=1,'Invoer gegevens (N)'!$C$10*'Invoer gegevens (N)'!$I$36*'Reeksen (N)'!H102,0)</f>
        <v>0</v>
      </c>
      <c r="AV102" s="71">
        <v>0</v>
      </c>
      <c r="AW102" s="71">
        <f t="shared" ca="1" si="17"/>
        <v>0</v>
      </c>
      <c r="AX102" s="71">
        <f ca="1">IF(E102&lt;'Invoer gegevens (N)'!$C$17+15,0,IF(E102&gt;'Invoer gegevens (N)'!$C$17+215,0,AW102))</f>
        <v>0</v>
      </c>
      <c r="AY102" s="71">
        <f ca="1">AX102/(1+'Invoer gegevens (N)'!$F$13)^($AZ102-('Invoer gegevens (N)'!$C$17-'Invoer gegevens (N)'!$C$16))/(1+'Invoer gegevens (N)'!$C$39)^('Invoer gegevens (N)'!$C$17-'Invoer gegevens (N)'!$C$16)</f>
        <v>0</v>
      </c>
      <c r="AZ102" s="68">
        <f ca="1">IF(E102-'Invoer gegevens (N)'!$C$17-14.5&lt;0,0,E102-'Invoer gegevens (N)'!$C$17-14.5)</f>
        <v>82.5</v>
      </c>
    </row>
    <row r="103" spans="2:52" x14ac:dyDescent="0.25">
      <c r="B103" s="70">
        <f t="shared" si="18"/>
        <v>99</v>
      </c>
      <c r="C103" s="67">
        <f ca="1">IF(E103-'Invoer gegevens (N)'!$C$17&lt;0,0,1)</f>
        <v>1</v>
      </c>
      <c r="D103" s="68">
        <f t="shared" si="19"/>
        <v>98.5</v>
      </c>
      <c r="E103" s="69">
        <f ca="1">IF('Invoer gegevens (N)'!$C$16="","",E102+1)</f>
        <v>2117</v>
      </c>
      <c r="F103" s="82">
        <f ca="1">IF('Invoer gegevens (N)'!$C$17=E103,'Invoer gegevens (N)'!$C$10,IF(C103=1,H102,0))</f>
        <v>0</v>
      </c>
      <c r="G103" s="83">
        <f ca="1">IF(C103&gt;=1,F103*'Reeksen (N)'!C103,0)</f>
        <v>0</v>
      </c>
      <c r="H103" s="84">
        <f t="shared" ca="1" si="13"/>
        <v>0</v>
      </c>
      <c r="I103" s="85">
        <f ca="1">IF('Invoer gegevens (N)'!$C$17=E103,'Invoer gegevens (N)'!$C$11,IF(C103=1,L102,0))</f>
        <v>0</v>
      </c>
      <c r="J103" s="86">
        <f ca="1">IF(C103&lt;1,0,IF('Reeksen (N)'!AK103&lt;='Reeksen (N)'!AE103,I103*'Reeksen (N)'!C103,0))</f>
        <v>0</v>
      </c>
      <c r="K103" s="86">
        <f ca="1">IF(C103&lt;1,0,IF('Reeksen (N)'!AK103&gt;'Reeksen (N)'!AE103,I103*'Reeksen (N)'!C103,0))</f>
        <v>0</v>
      </c>
      <c r="L103" s="86">
        <f t="shared" ca="1" si="14"/>
        <v>0</v>
      </c>
      <c r="M103" s="85">
        <f ca="1">IF('Invoer gegevens (N)'!$C$17=E103,'Invoer gegevens (N)'!$C$10-'Invoer gegevens (N)'!$C$11,IF(C103=1,P102,0))</f>
        <v>0</v>
      </c>
      <c r="N103" s="86">
        <f ca="1">IF(C103&lt;1,0,IF('Reeksen (N)'!AK103&lt;='Reeksen (N)'!AE103,M103*'Reeksen (N)'!C103,0))</f>
        <v>0</v>
      </c>
      <c r="O103" s="86">
        <f ca="1">IF(C103&lt;1,0,IF('Reeksen (N)'!AK103&gt;'Reeksen (N)'!AE103,M103*'Reeksen (N)'!C103,0))</f>
        <v>0</v>
      </c>
      <c r="P103" s="86">
        <f t="shared" ca="1" si="15"/>
        <v>0</v>
      </c>
      <c r="Q103" s="82">
        <f ca="1">IF('Invoer gegevens (N)'!$C$17=E103,I103,IF(C103=0,0,R102))</f>
        <v>0</v>
      </c>
      <c r="R103" s="84">
        <f t="shared" ca="1" si="10"/>
        <v>0</v>
      </c>
      <c r="S103" s="84">
        <f ca="1">IF('Invoer gegevens (N)'!$C$17=E103,M103,IF(C103=0,0,T102))</f>
        <v>0</v>
      </c>
      <c r="T103" s="84">
        <f t="shared" ca="1" si="11"/>
        <v>0</v>
      </c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8"/>
      <c r="AI103" s="71">
        <f ca="1">IF(C103=1,((F103+H103)/2*'Reeksen (N)'!AJ103*12)+(('Invoer gegevens (N)'!$C$10-(F103+H103)/2)*'Reeksen (N)'!AK103*12),0)</f>
        <v>0</v>
      </c>
      <c r="AJ103" s="71">
        <f ca="1">-AI103*'Invoer gegevens (N)'!$F$28</f>
        <v>0</v>
      </c>
      <c r="AK103" s="71">
        <f t="shared" ca="1" si="12"/>
        <v>0</v>
      </c>
      <c r="AL103" s="71">
        <f ca="1">IF(C103=1,(12*((F103+H103)/2)*'Reeksen (N)'!AL103)+(12*('Invoer gegevens (N)'!$C$10-(F103+H103)/2)*'Reeksen (N)'!AM103),0)</f>
        <v>0</v>
      </c>
      <c r="AM103" s="71">
        <f ca="1">-AL103*'Invoer gegevens (N)'!$F$31</f>
        <v>0</v>
      </c>
      <c r="AN103" s="71">
        <f t="shared" ca="1" si="16"/>
        <v>0</v>
      </c>
      <c r="AO103" s="71"/>
      <c r="AP103" s="71"/>
      <c r="AQ103" s="71">
        <f ca="1">-IF(C103=1,('Invoer gegevens (N)'!$C$10*'Invoer gegevens (N)'!$I$33)*'Reeksen (N)'!J103,0)*2</f>
        <v>0</v>
      </c>
      <c r="AR103" s="71">
        <f ca="1">-IF(C103=1,(G103*'Invoer gegevens (N)'!$I$34)*'Reeksen (N)'!J103,0)</f>
        <v>0</v>
      </c>
      <c r="AS103" s="71">
        <f ca="1">-IF(C103=1,'Invoer gegevens (N)'!$C$10*'Invoer gegevens (N)'!$I$35*'Reeksen (N)'!L103,0)</f>
        <v>0</v>
      </c>
      <c r="AT103" s="71">
        <f ca="1">-IF(C103=1,IF(E103='Invoer gegevens (N)'!$C$17,'Invoer gegevens (N)'!$C$11,Q103)*'Reeksen (N)'!S103*'Invoer gegevens (N)'!$C$18*'Reeksen (N)'!P103,0)</f>
        <v>0</v>
      </c>
      <c r="AU103" s="71">
        <f ca="1">-IF(C103=1,'Invoer gegevens (N)'!$C$10*'Invoer gegevens (N)'!$I$36*'Reeksen (N)'!H103,0)</f>
        <v>0</v>
      </c>
      <c r="AV103" s="71">
        <v>0</v>
      </c>
      <c r="AW103" s="71">
        <f t="shared" ca="1" si="17"/>
        <v>0</v>
      </c>
      <c r="AX103" s="71">
        <f ca="1">IF(E103&lt;'Invoer gegevens (N)'!$C$17+15,0,IF(E103&gt;'Invoer gegevens (N)'!$C$17+215,0,AW103))</f>
        <v>0</v>
      </c>
      <c r="AY103" s="71">
        <f ca="1">AX103/(1+'Invoer gegevens (N)'!$F$13)^($AZ103-('Invoer gegevens (N)'!$C$17-'Invoer gegevens (N)'!$C$16))/(1+'Invoer gegevens (N)'!$C$39)^('Invoer gegevens (N)'!$C$17-'Invoer gegevens (N)'!$C$16)</f>
        <v>0</v>
      </c>
      <c r="AZ103" s="68">
        <f ca="1">IF(E103-'Invoer gegevens (N)'!$C$17-14.5&lt;0,0,E103-'Invoer gegevens (N)'!$C$17-14.5)</f>
        <v>83.5</v>
      </c>
    </row>
    <row r="104" spans="2:52" x14ac:dyDescent="0.25">
      <c r="B104" s="70">
        <f t="shared" si="18"/>
        <v>100</v>
      </c>
      <c r="C104" s="67">
        <f ca="1">IF(E104-'Invoer gegevens (N)'!$C$17&lt;0,0,1)</f>
        <v>1</v>
      </c>
      <c r="D104" s="68">
        <f t="shared" si="19"/>
        <v>99.5</v>
      </c>
      <c r="E104" s="69">
        <f ca="1">IF('Invoer gegevens (N)'!$C$16="","",E103+1)</f>
        <v>2118</v>
      </c>
      <c r="F104" s="82">
        <f ca="1">IF('Invoer gegevens (N)'!$C$17=E104,'Invoer gegevens (N)'!$C$10,IF(C104=1,H103,0))</f>
        <v>0</v>
      </c>
      <c r="G104" s="83">
        <f ca="1">IF(C104&gt;=1,F104*'Reeksen (N)'!C104,0)</f>
        <v>0</v>
      </c>
      <c r="H104" s="84">
        <f t="shared" ca="1" si="13"/>
        <v>0</v>
      </c>
      <c r="I104" s="85">
        <f ca="1">IF('Invoer gegevens (N)'!$C$17=E104,'Invoer gegevens (N)'!$C$11,IF(C104=1,L103,0))</f>
        <v>0</v>
      </c>
      <c r="J104" s="86">
        <f ca="1">IF(C104&lt;1,0,IF('Reeksen (N)'!AK104&lt;='Reeksen (N)'!AE104,I104*'Reeksen (N)'!C104,0))</f>
        <v>0</v>
      </c>
      <c r="K104" s="86">
        <f ca="1">IF(C104&lt;1,0,IF('Reeksen (N)'!AK104&gt;'Reeksen (N)'!AE104,I104*'Reeksen (N)'!C104,0))</f>
        <v>0</v>
      </c>
      <c r="L104" s="86">
        <f t="shared" ca="1" si="14"/>
        <v>0</v>
      </c>
      <c r="M104" s="85">
        <f ca="1">IF('Invoer gegevens (N)'!$C$17=E104,'Invoer gegevens (N)'!$C$10-'Invoer gegevens (N)'!$C$11,IF(C104=1,P103,0))</f>
        <v>0</v>
      </c>
      <c r="N104" s="86">
        <f ca="1">IF(C104&lt;1,0,IF('Reeksen (N)'!AK104&lt;='Reeksen (N)'!AE104,M104*'Reeksen (N)'!C104,0))</f>
        <v>0</v>
      </c>
      <c r="O104" s="86">
        <f ca="1">IF(C104&lt;1,0,IF('Reeksen (N)'!AK104&gt;'Reeksen (N)'!AE104,M104*'Reeksen (N)'!C104,0))</f>
        <v>0</v>
      </c>
      <c r="P104" s="86">
        <f t="shared" ca="1" si="15"/>
        <v>0</v>
      </c>
      <c r="Q104" s="82">
        <f ca="1">IF('Invoer gegevens (N)'!$C$17=E104,I104,IF(C104=0,0,R103))</f>
        <v>0</v>
      </c>
      <c r="R104" s="84">
        <f t="shared" ca="1" si="10"/>
        <v>0</v>
      </c>
      <c r="S104" s="84">
        <f ca="1">IF('Invoer gegevens (N)'!$C$17=E104,M104,IF(C104=0,0,T103))</f>
        <v>0</v>
      </c>
      <c r="T104" s="84">
        <f t="shared" ca="1" si="11"/>
        <v>0</v>
      </c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8"/>
      <c r="AI104" s="71">
        <f ca="1">IF(C104=1,((F104+H104)/2*'Reeksen (N)'!AJ104*12)+(('Invoer gegevens (N)'!$C$10-(F104+H104)/2)*'Reeksen (N)'!AK104*12),0)</f>
        <v>0</v>
      </c>
      <c r="AJ104" s="71">
        <f ca="1">-AI104*'Invoer gegevens (N)'!$F$28</f>
        <v>0</v>
      </c>
      <c r="AK104" s="71">
        <f t="shared" ca="1" si="12"/>
        <v>0</v>
      </c>
      <c r="AL104" s="71">
        <f ca="1">IF(C104=1,(12*((F104+H104)/2)*'Reeksen (N)'!AL104)+(12*('Invoer gegevens (N)'!$C$10-(F104+H104)/2)*'Reeksen (N)'!AM104),0)</f>
        <v>0</v>
      </c>
      <c r="AM104" s="71">
        <f ca="1">-AL104*'Invoer gegevens (N)'!$F$31</f>
        <v>0</v>
      </c>
      <c r="AN104" s="71">
        <f t="shared" ca="1" si="16"/>
        <v>0</v>
      </c>
      <c r="AO104" s="71"/>
      <c r="AP104" s="71"/>
      <c r="AQ104" s="71">
        <f ca="1">-IF(C104=1,('Invoer gegevens (N)'!$C$10*'Invoer gegevens (N)'!$I$33)*'Reeksen (N)'!J104,0)*2</f>
        <v>0</v>
      </c>
      <c r="AR104" s="71">
        <f ca="1">-IF(C104=1,(G104*'Invoer gegevens (N)'!$I$34)*'Reeksen (N)'!J104,0)</f>
        <v>0</v>
      </c>
      <c r="AS104" s="71">
        <f ca="1">-IF(C104=1,'Invoer gegevens (N)'!$C$10*'Invoer gegevens (N)'!$I$35*'Reeksen (N)'!L104,0)</f>
        <v>0</v>
      </c>
      <c r="AT104" s="71">
        <f ca="1">-IF(C104=1,IF(E104='Invoer gegevens (N)'!$C$17,'Invoer gegevens (N)'!$C$11,Q104)*'Reeksen (N)'!S104*'Invoer gegevens (N)'!$C$18*'Reeksen (N)'!P104,0)</f>
        <v>0</v>
      </c>
      <c r="AU104" s="71">
        <f ca="1">-IF(C104=1,'Invoer gegevens (N)'!$C$10*'Invoer gegevens (N)'!$I$36*'Reeksen (N)'!H104,0)</f>
        <v>0</v>
      </c>
      <c r="AV104" s="71">
        <v>0</v>
      </c>
      <c r="AW104" s="71">
        <f t="shared" ca="1" si="17"/>
        <v>0</v>
      </c>
      <c r="AX104" s="71">
        <f ca="1">IF(E104&lt;'Invoer gegevens (N)'!$C$17+15,0,IF(E104&gt;'Invoer gegevens (N)'!$C$17+215,0,AW104))</f>
        <v>0</v>
      </c>
      <c r="AY104" s="71">
        <f ca="1">AX104/(1+'Invoer gegevens (N)'!$F$13)^($AZ104-('Invoer gegevens (N)'!$C$17-'Invoer gegevens (N)'!$C$16))/(1+'Invoer gegevens (N)'!$C$39)^('Invoer gegevens (N)'!$C$17-'Invoer gegevens (N)'!$C$16)</f>
        <v>0</v>
      </c>
      <c r="AZ104" s="68">
        <f ca="1">IF(E104-'Invoer gegevens (N)'!$C$17-14.5&lt;0,0,E104-'Invoer gegevens (N)'!$C$17-14.5)</f>
        <v>84.5</v>
      </c>
    </row>
    <row r="105" spans="2:52" x14ac:dyDescent="0.25">
      <c r="B105" s="70">
        <f t="shared" si="18"/>
        <v>101</v>
      </c>
      <c r="C105" s="67">
        <f ca="1">IF(E105-'Invoer gegevens (N)'!$C$17&lt;0,0,1)</f>
        <v>1</v>
      </c>
      <c r="D105" s="68">
        <f t="shared" si="19"/>
        <v>100.5</v>
      </c>
      <c r="E105" s="69">
        <f ca="1">IF('Invoer gegevens (N)'!$C$16="","",E104+1)</f>
        <v>2119</v>
      </c>
      <c r="F105" s="82">
        <f ca="1">IF('Invoer gegevens (N)'!$C$17=E105,'Invoer gegevens (N)'!$C$10,IF(C105=1,H104,0))</f>
        <v>0</v>
      </c>
      <c r="G105" s="83">
        <f ca="1">IF(C105&gt;=1,F105*'Reeksen (N)'!C105,0)</f>
        <v>0</v>
      </c>
      <c r="H105" s="84">
        <f t="shared" ca="1" si="13"/>
        <v>0</v>
      </c>
      <c r="I105" s="85">
        <f ca="1">IF('Invoer gegevens (N)'!$C$17=E105,'Invoer gegevens (N)'!$C$11,IF(C105=1,L104,0))</f>
        <v>0</v>
      </c>
      <c r="J105" s="86">
        <f ca="1">IF(C105&lt;1,0,IF('Reeksen (N)'!AK105&lt;='Reeksen (N)'!AE105,I105*'Reeksen (N)'!C105,0))</f>
        <v>0</v>
      </c>
      <c r="K105" s="86">
        <f ca="1">IF(C105&lt;1,0,IF('Reeksen (N)'!AK105&gt;'Reeksen (N)'!AE105,I105*'Reeksen (N)'!C105,0))</f>
        <v>0</v>
      </c>
      <c r="L105" s="86">
        <f t="shared" ca="1" si="14"/>
        <v>0</v>
      </c>
      <c r="M105" s="85">
        <f ca="1">IF('Invoer gegevens (N)'!$C$17=E105,'Invoer gegevens (N)'!$C$10-'Invoer gegevens (N)'!$C$11,IF(C105=1,P104,0))</f>
        <v>0</v>
      </c>
      <c r="N105" s="86">
        <f ca="1">IF(C105&lt;1,0,IF('Reeksen (N)'!AK105&lt;='Reeksen (N)'!AE105,M105*'Reeksen (N)'!C105,0))</f>
        <v>0</v>
      </c>
      <c r="O105" s="86">
        <f ca="1">IF(C105&lt;1,0,IF('Reeksen (N)'!AK105&gt;'Reeksen (N)'!AE105,M105*'Reeksen (N)'!C105,0))</f>
        <v>0</v>
      </c>
      <c r="P105" s="86">
        <f t="shared" ca="1" si="15"/>
        <v>0</v>
      </c>
      <c r="Q105" s="82">
        <f ca="1">IF('Invoer gegevens (N)'!$C$17=E105,I105,IF(C105=0,0,R104))</f>
        <v>0</v>
      </c>
      <c r="R105" s="84">
        <f t="shared" ca="1" si="10"/>
        <v>0</v>
      </c>
      <c r="S105" s="84">
        <f ca="1">IF('Invoer gegevens (N)'!$C$17=E105,M105,IF(C105=0,0,T104))</f>
        <v>0</v>
      </c>
      <c r="T105" s="84">
        <f t="shared" ca="1" si="11"/>
        <v>0</v>
      </c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8"/>
      <c r="AI105" s="71">
        <f ca="1">IF(C105=1,((F105+H105)/2*'Reeksen (N)'!AJ105*12)+(('Invoer gegevens (N)'!$C$10-(F105+H105)/2)*'Reeksen (N)'!AK105*12),0)</f>
        <v>0</v>
      </c>
      <c r="AJ105" s="71">
        <f ca="1">-AI105*'Invoer gegevens (N)'!$F$28</f>
        <v>0</v>
      </c>
      <c r="AK105" s="71">
        <f t="shared" ca="1" si="12"/>
        <v>0</v>
      </c>
      <c r="AL105" s="71">
        <f ca="1">IF(C105=1,(12*((F105+H105)/2)*'Reeksen (N)'!AL105)+(12*('Invoer gegevens (N)'!$C$10-(F105+H105)/2)*'Reeksen (N)'!AM105),0)</f>
        <v>0</v>
      </c>
      <c r="AM105" s="71">
        <f ca="1">-AL105*'Invoer gegevens (N)'!$F$31</f>
        <v>0</v>
      </c>
      <c r="AN105" s="71">
        <f t="shared" ca="1" si="16"/>
        <v>0</v>
      </c>
      <c r="AO105" s="71"/>
      <c r="AP105" s="71"/>
      <c r="AQ105" s="71">
        <f ca="1">-IF(C105=1,('Invoer gegevens (N)'!$C$10*'Invoer gegevens (N)'!$I$33)*'Reeksen (N)'!J105,0)*2</f>
        <v>0</v>
      </c>
      <c r="AR105" s="71">
        <f ca="1">-IF(C105=1,(G105*'Invoer gegevens (N)'!$I$34)*'Reeksen (N)'!J105,0)</f>
        <v>0</v>
      </c>
      <c r="AS105" s="71">
        <f ca="1">-IF(C105=1,'Invoer gegevens (N)'!$C$10*'Invoer gegevens (N)'!$I$35*'Reeksen (N)'!L105,0)</f>
        <v>0</v>
      </c>
      <c r="AT105" s="71">
        <f ca="1">-IF(C105=1,IF(E105='Invoer gegevens (N)'!$C$17,'Invoer gegevens (N)'!$C$11,Q105)*'Reeksen (N)'!S105*'Invoer gegevens (N)'!$C$18*'Reeksen (N)'!P105,0)</f>
        <v>0</v>
      </c>
      <c r="AU105" s="71">
        <f ca="1">-IF(C105=1,'Invoer gegevens (N)'!$C$10*'Invoer gegevens (N)'!$I$36*'Reeksen (N)'!H105,0)</f>
        <v>0</v>
      </c>
      <c r="AV105" s="71">
        <v>0</v>
      </c>
      <c r="AW105" s="71">
        <f t="shared" ca="1" si="17"/>
        <v>0</v>
      </c>
      <c r="AX105" s="71">
        <f ca="1">IF(E105&lt;'Invoer gegevens (N)'!$C$17+15,0,IF(E105&gt;'Invoer gegevens (N)'!$C$17+215,0,AW105))</f>
        <v>0</v>
      </c>
      <c r="AY105" s="71">
        <f ca="1">AX105/(1+'Invoer gegevens (N)'!$F$13)^($AZ105-('Invoer gegevens (N)'!$C$17-'Invoer gegevens (N)'!$C$16))/(1+'Invoer gegevens (N)'!$C$39)^('Invoer gegevens (N)'!$C$17-'Invoer gegevens (N)'!$C$16)</f>
        <v>0</v>
      </c>
      <c r="AZ105" s="68">
        <f ca="1">IF(E105-'Invoer gegevens (N)'!$C$17-14.5&lt;0,0,E105-'Invoer gegevens (N)'!$C$17-14.5)</f>
        <v>85.5</v>
      </c>
    </row>
    <row r="106" spans="2:52" x14ac:dyDescent="0.25">
      <c r="B106" s="70">
        <f t="shared" si="18"/>
        <v>102</v>
      </c>
      <c r="C106" s="67">
        <f ca="1">IF(E106-'Invoer gegevens (N)'!$C$17&lt;0,0,1)</f>
        <v>1</v>
      </c>
      <c r="D106" s="68">
        <f t="shared" si="19"/>
        <v>101.5</v>
      </c>
      <c r="E106" s="69">
        <f ca="1">IF('Invoer gegevens (N)'!$C$16="","",E105+1)</f>
        <v>2120</v>
      </c>
      <c r="F106" s="82">
        <f ca="1">IF('Invoer gegevens (N)'!$C$17=E106,'Invoer gegevens (N)'!$C$10,IF(C106=1,H105,0))</f>
        <v>0</v>
      </c>
      <c r="G106" s="83">
        <f ca="1">IF(C106&gt;=1,F106*'Reeksen (N)'!C106,0)</f>
        <v>0</v>
      </c>
      <c r="H106" s="84">
        <f t="shared" ca="1" si="13"/>
        <v>0</v>
      </c>
      <c r="I106" s="85">
        <f ca="1">IF('Invoer gegevens (N)'!$C$17=E106,'Invoer gegevens (N)'!$C$11,IF(C106=1,L105,0))</f>
        <v>0</v>
      </c>
      <c r="J106" s="86">
        <f ca="1">IF(C106&lt;1,0,IF('Reeksen (N)'!AK106&lt;='Reeksen (N)'!AE106,I106*'Reeksen (N)'!C106,0))</f>
        <v>0</v>
      </c>
      <c r="K106" s="86">
        <f ca="1">IF(C106&lt;1,0,IF('Reeksen (N)'!AK106&gt;'Reeksen (N)'!AE106,I106*'Reeksen (N)'!C106,0))</f>
        <v>0</v>
      </c>
      <c r="L106" s="86">
        <f t="shared" ca="1" si="14"/>
        <v>0</v>
      </c>
      <c r="M106" s="85">
        <f ca="1">IF('Invoer gegevens (N)'!$C$17=E106,'Invoer gegevens (N)'!$C$10-'Invoer gegevens (N)'!$C$11,IF(C106=1,P105,0))</f>
        <v>0</v>
      </c>
      <c r="N106" s="86">
        <f ca="1">IF(C106&lt;1,0,IF('Reeksen (N)'!AK106&lt;='Reeksen (N)'!AE106,M106*'Reeksen (N)'!C106,0))</f>
        <v>0</v>
      </c>
      <c r="O106" s="86">
        <f ca="1">IF(C106&lt;1,0,IF('Reeksen (N)'!AK106&gt;'Reeksen (N)'!AE106,M106*'Reeksen (N)'!C106,0))</f>
        <v>0</v>
      </c>
      <c r="P106" s="86">
        <f t="shared" ca="1" si="15"/>
        <v>0</v>
      </c>
      <c r="Q106" s="82">
        <f ca="1">IF('Invoer gegevens (N)'!$C$17=E106,I106,IF(C106=0,0,R105))</f>
        <v>0</v>
      </c>
      <c r="R106" s="84">
        <f t="shared" ca="1" si="10"/>
        <v>0</v>
      </c>
      <c r="S106" s="84">
        <f ca="1">IF('Invoer gegevens (N)'!$C$17=E106,M106,IF(C106=0,0,T105))</f>
        <v>0</v>
      </c>
      <c r="T106" s="84">
        <f t="shared" ca="1" si="11"/>
        <v>0</v>
      </c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8"/>
      <c r="AI106" s="71">
        <f ca="1">IF(C106=1,((F106+H106)/2*'Reeksen (N)'!AJ106*12)+(('Invoer gegevens (N)'!$C$10-(F106+H106)/2)*'Reeksen (N)'!AK106*12),0)</f>
        <v>0</v>
      </c>
      <c r="AJ106" s="71">
        <f ca="1">-AI106*'Invoer gegevens (N)'!$F$28</f>
        <v>0</v>
      </c>
      <c r="AK106" s="71">
        <f t="shared" ca="1" si="12"/>
        <v>0</v>
      </c>
      <c r="AL106" s="71">
        <f ca="1">IF(C106=1,(12*((F106+H106)/2)*'Reeksen (N)'!AL106)+(12*('Invoer gegevens (N)'!$C$10-(F106+H106)/2)*'Reeksen (N)'!AM106),0)</f>
        <v>0</v>
      </c>
      <c r="AM106" s="71">
        <f ca="1">-AL106*'Invoer gegevens (N)'!$F$31</f>
        <v>0</v>
      </c>
      <c r="AN106" s="71">
        <f t="shared" ca="1" si="16"/>
        <v>0</v>
      </c>
      <c r="AO106" s="71"/>
      <c r="AP106" s="71"/>
      <c r="AQ106" s="71">
        <f ca="1">-IF(C106=1,('Invoer gegevens (N)'!$C$10*'Invoer gegevens (N)'!$I$33)*'Reeksen (N)'!J106,0)*2</f>
        <v>0</v>
      </c>
      <c r="AR106" s="71">
        <f ca="1">-IF(C106=1,(G106*'Invoer gegevens (N)'!$I$34)*'Reeksen (N)'!J106,0)</f>
        <v>0</v>
      </c>
      <c r="AS106" s="71">
        <f ca="1">-IF(C106=1,'Invoer gegevens (N)'!$C$10*'Invoer gegevens (N)'!$I$35*'Reeksen (N)'!L106,0)</f>
        <v>0</v>
      </c>
      <c r="AT106" s="71">
        <f ca="1">-IF(C106=1,IF(E106='Invoer gegevens (N)'!$C$17,'Invoer gegevens (N)'!$C$11,Q106)*'Reeksen (N)'!S106*'Invoer gegevens (N)'!$C$18*'Reeksen (N)'!P106,0)</f>
        <v>0</v>
      </c>
      <c r="AU106" s="71">
        <f ca="1">-IF(C106=1,'Invoer gegevens (N)'!$C$10*'Invoer gegevens (N)'!$I$36*'Reeksen (N)'!H106,0)</f>
        <v>0</v>
      </c>
      <c r="AV106" s="71">
        <v>0</v>
      </c>
      <c r="AW106" s="71">
        <f t="shared" ca="1" si="17"/>
        <v>0</v>
      </c>
      <c r="AX106" s="71">
        <f ca="1">IF(E106&lt;'Invoer gegevens (N)'!$C$17+15,0,IF(E106&gt;'Invoer gegevens (N)'!$C$17+215,0,AW106))</f>
        <v>0</v>
      </c>
      <c r="AY106" s="71">
        <f ca="1">AX106/(1+'Invoer gegevens (N)'!$F$13)^($AZ106-('Invoer gegevens (N)'!$C$17-'Invoer gegevens (N)'!$C$16))/(1+'Invoer gegevens (N)'!$C$39)^('Invoer gegevens (N)'!$C$17-'Invoer gegevens (N)'!$C$16)</f>
        <v>0</v>
      </c>
      <c r="AZ106" s="68">
        <f ca="1">IF(E106-'Invoer gegevens (N)'!$C$17-14.5&lt;0,0,E106-'Invoer gegevens (N)'!$C$17-14.5)</f>
        <v>86.5</v>
      </c>
    </row>
    <row r="107" spans="2:52" x14ac:dyDescent="0.25">
      <c r="B107" s="70">
        <f t="shared" si="18"/>
        <v>103</v>
      </c>
      <c r="C107" s="67">
        <f ca="1">IF(E107-'Invoer gegevens (N)'!$C$17&lt;0,0,1)</f>
        <v>1</v>
      </c>
      <c r="D107" s="68">
        <f t="shared" si="19"/>
        <v>102.5</v>
      </c>
      <c r="E107" s="69">
        <f ca="1">IF('Invoer gegevens (N)'!$C$16="","",E106+1)</f>
        <v>2121</v>
      </c>
      <c r="F107" s="82">
        <f ca="1">IF('Invoer gegevens (N)'!$C$17=E107,'Invoer gegevens (N)'!$C$10,IF(C107=1,H106,0))</f>
        <v>0</v>
      </c>
      <c r="G107" s="83">
        <f ca="1">IF(C107&gt;=1,F107*'Reeksen (N)'!C107,0)</f>
        <v>0</v>
      </c>
      <c r="H107" s="84">
        <f t="shared" ca="1" si="13"/>
        <v>0</v>
      </c>
      <c r="I107" s="85">
        <f ca="1">IF('Invoer gegevens (N)'!$C$17=E107,'Invoer gegevens (N)'!$C$11,IF(C107=1,L106,0))</f>
        <v>0</v>
      </c>
      <c r="J107" s="86">
        <f ca="1">IF(C107&lt;1,0,IF('Reeksen (N)'!AK107&lt;='Reeksen (N)'!AE107,I107*'Reeksen (N)'!C107,0))</f>
        <v>0</v>
      </c>
      <c r="K107" s="86">
        <f ca="1">IF(C107&lt;1,0,IF('Reeksen (N)'!AK107&gt;'Reeksen (N)'!AE107,I107*'Reeksen (N)'!C107,0))</f>
        <v>0</v>
      </c>
      <c r="L107" s="86">
        <f t="shared" ca="1" si="14"/>
        <v>0</v>
      </c>
      <c r="M107" s="85">
        <f ca="1">IF('Invoer gegevens (N)'!$C$17=E107,'Invoer gegevens (N)'!$C$10-'Invoer gegevens (N)'!$C$11,IF(C107=1,P106,0))</f>
        <v>0</v>
      </c>
      <c r="N107" s="86">
        <f ca="1">IF(C107&lt;1,0,IF('Reeksen (N)'!AK107&lt;='Reeksen (N)'!AE107,M107*'Reeksen (N)'!C107,0))</f>
        <v>0</v>
      </c>
      <c r="O107" s="86">
        <f ca="1">IF(C107&lt;1,0,IF('Reeksen (N)'!AK107&gt;'Reeksen (N)'!AE107,M107*'Reeksen (N)'!C107,0))</f>
        <v>0</v>
      </c>
      <c r="P107" s="86">
        <f t="shared" ca="1" si="15"/>
        <v>0</v>
      </c>
      <c r="Q107" s="82">
        <f ca="1">IF('Invoer gegevens (N)'!$C$17=E107,I107,IF(C107=0,0,R106))</f>
        <v>0</v>
      </c>
      <c r="R107" s="84">
        <f t="shared" ca="1" si="10"/>
        <v>0</v>
      </c>
      <c r="S107" s="84">
        <f ca="1">IF('Invoer gegevens (N)'!$C$17=E107,M107,IF(C107=0,0,T106))</f>
        <v>0</v>
      </c>
      <c r="T107" s="84">
        <f t="shared" ca="1" si="11"/>
        <v>0</v>
      </c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8"/>
      <c r="AI107" s="71">
        <f ca="1">IF(C107=1,((F107+H107)/2*'Reeksen (N)'!AJ107*12)+(('Invoer gegevens (N)'!$C$10-(F107+H107)/2)*'Reeksen (N)'!AK107*12),0)</f>
        <v>0</v>
      </c>
      <c r="AJ107" s="71">
        <f ca="1">-AI107*'Invoer gegevens (N)'!$F$28</f>
        <v>0</v>
      </c>
      <c r="AK107" s="71">
        <f t="shared" ca="1" si="12"/>
        <v>0</v>
      </c>
      <c r="AL107" s="71">
        <f ca="1">IF(C107=1,(12*((F107+H107)/2)*'Reeksen (N)'!AL107)+(12*('Invoer gegevens (N)'!$C$10-(F107+H107)/2)*'Reeksen (N)'!AM107),0)</f>
        <v>0</v>
      </c>
      <c r="AM107" s="71">
        <f ca="1">-AL107*'Invoer gegevens (N)'!$F$31</f>
        <v>0</v>
      </c>
      <c r="AN107" s="71">
        <f t="shared" ca="1" si="16"/>
        <v>0</v>
      </c>
      <c r="AO107" s="71"/>
      <c r="AP107" s="71"/>
      <c r="AQ107" s="71">
        <f ca="1">-IF(C107=1,('Invoer gegevens (N)'!$C$10*'Invoer gegevens (N)'!$I$33)*'Reeksen (N)'!J107,0)*2</f>
        <v>0</v>
      </c>
      <c r="AR107" s="71">
        <f ca="1">-IF(C107=1,(G107*'Invoer gegevens (N)'!$I$34)*'Reeksen (N)'!J107,0)</f>
        <v>0</v>
      </c>
      <c r="AS107" s="71">
        <f ca="1">-IF(C107=1,'Invoer gegevens (N)'!$C$10*'Invoer gegevens (N)'!$I$35*'Reeksen (N)'!L107,0)</f>
        <v>0</v>
      </c>
      <c r="AT107" s="71">
        <f ca="1">-IF(C107=1,IF(E107='Invoer gegevens (N)'!$C$17,'Invoer gegevens (N)'!$C$11,Q107)*'Reeksen (N)'!S107*'Invoer gegevens (N)'!$C$18*'Reeksen (N)'!P107,0)</f>
        <v>0</v>
      </c>
      <c r="AU107" s="71">
        <f ca="1">-IF(C107=1,'Invoer gegevens (N)'!$C$10*'Invoer gegevens (N)'!$I$36*'Reeksen (N)'!H107,0)</f>
        <v>0</v>
      </c>
      <c r="AV107" s="71">
        <v>0</v>
      </c>
      <c r="AW107" s="71">
        <f t="shared" ca="1" si="17"/>
        <v>0</v>
      </c>
      <c r="AX107" s="71">
        <f ca="1">IF(E107&lt;'Invoer gegevens (N)'!$C$17+15,0,IF(E107&gt;'Invoer gegevens (N)'!$C$17+215,0,AW107))</f>
        <v>0</v>
      </c>
      <c r="AY107" s="71">
        <f ca="1">AX107/(1+'Invoer gegevens (N)'!$F$13)^($AZ107-('Invoer gegevens (N)'!$C$17-'Invoer gegevens (N)'!$C$16))/(1+'Invoer gegevens (N)'!$C$39)^('Invoer gegevens (N)'!$C$17-'Invoer gegevens (N)'!$C$16)</f>
        <v>0</v>
      </c>
      <c r="AZ107" s="68">
        <f ca="1">IF(E107-'Invoer gegevens (N)'!$C$17-14.5&lt;0,0,E107-'Invoer gegevens (N)'!$C$17-14.5)</f>
        <v>87.5</v>
      </c>
    </row>
    <row r="108" spans="2:52" x14ac:dyDescent="0.25">
      <c r="B108" s="70">
        <f t="shared" si="18"/>
        <v>104</v>
      </c>
      <c r="C108" s="67">
        <f ca="1">IF(E108-'Invoer gegevens (N)'!$C$17&lt;0,0,1)</f>
        <v>1</v>
      </c>
      <c r="D108" s="68">
        <f t="shared" si="19"/>
        <v>103.5</v>
      </c>
      <c r="E108" s="69">
        <f ca="1">IF('Invoer gegevens (N)'!$C$16="","",E107+1)</f>
        <v>2122</v>
      </c>
      <c r="F108" s="82">
        <f ca="1">IF('Invoer gegevens (N)'!$C$17=E108,'Invoer gegevens (N)'!$C$10,IF(C108=1,H107,0))</f>
        <v>0</v>
      </c>
      <c r="G108" s="83">
        <f ca="1">IF(C108&gt;=1,F108*'Reeksen (N)'!C108,0)</f>
        <v>0</v>
      </c>
      <c r="H108" s="84">
        <f t="shared" ca="1" si="13"/>
        <v>0</v>
      </c>
      <c r="I108" s="85">
        <f ca="1">IF('Invoer gegevens (N)'!$C$17=E108,'Invoer gegevens (N)'!$C$11,IF(C108=1,L107,0))</f>
        <v>0</v>
      </c>
      <c r="J108" s="86">
        <f ca="1">IF(C108&lt;1,0,IF('Reeksen (N)'!AK108&lt;='Reeksen (N)'!AE108,I108*'Reeksen (N)'!C108,0))</f>
        <v>0</v>
      </c>
      <c r="K108" s="86">
        <f ca="1">IF(C108&lt;1,0,IF('Reeksen (N)'!AK108&gt;'Reeksen (N)'!AE108,I108*'Reeksen (N)'!C108,0))</f>
        <v>0</v>
      </c>
      <c r="L108" s="86">
        <f t="shared" ca="1" si="14"/>
        <v>0</v>
      </c>
      <c r="M108" s="85">
        <f ca="1">IF('Invoer gegevens (N)'!$C$17=E108,'Invoer gegevens (N)'!$C$10-'Invoer gegevens (N)'!$C$11,IF(C108=1,P107,0))</f>
        <v>0</v>
      </c>
      <c r="N108" s="86">
        <f ca="1">IF(C108&lt;1,0,IF('Reeksen (N)'!AK108&lt;='Reeksen (N)'!AE108,M108*'Reeksen (N)'!C108,0))</f>
        <v>0</v>
      </c>
      <c r="O108" s="86">
        <f ca="1">IF(C108&lt;1,0,IF('Reeksen (N)'!AK108&gt;'Reeksen (N)'!AE108,M108*'Reeksen (N)'!C108,0))</f>
        <v>0</v>
      </c>
      <c r="P108" s="86">
        <f t="shared" ca="1" si="15"/>
        <v>0</v>
      </c>
      <c r="Q108" s="82">
        <f ca="1">IF('Invoer gegevens (N)'!$C$17=E108,I108,IF(C108=0,0,R107))</f>
        <v>0</v>
      </c>
      <c r="R108" s="84">
        <f t="shared" ca="1" si="10"/>
        <v>0</v>
      </c>
      <c r="S108" s="84">
        <f ca="1">IF('Invoer gegevens (N)'!$C$17=E108,M108,IF(C108=0,0,T107))</f>
        <v>0</v>
      </c>
      <c r="T108" s="84">
        <f t="shared" ca="1" si="11"/>
        <v>0</v>
      </c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8"/>
      <c r="AI108" s="71">
        <f ca="1">IF(C108=1,((F108+H108)/2*'Reeksen (N)'!AJ108*12)+(('Invoer gegevens (N)'!$C$10-(F108+H108)/2)*'Reeksen (N)'!AK108*12),0)</f>
        <v>0</v>
      </c>
      <c r="AJ108" s="71">
        <f ca="1">-AI108*'Invoer gegevens (N)'!$F$28</f>
        <v>0</v>
      </c>
      <c r="AK108" s="71">
        <f t="shared" ca="1" si="12"/>
        <v>0</v>
      </c>
      <c r="AL108" s="71">
        <f ca="1">IF(C108=1,(12*((F108+H108)/2)*'Reeksen (N)'!AL108)+(12*('Invoer gegevens (N)'!$C$10-(F108+H108)/2)*'Reeksen (N)'!AM108),0)</f>
        <v>0</v>
      </c>
      <c r="AM108" s="71">
        <f ca="1">-AL108*'Invoer gegevens (N)'!$F$31</f>
        <v>0</v>
      </c>
      <c r="AN108" s="71">
        <f t="shared" ca="1" si="16"/>
        <v>0</v>
      </c>
      <c r="AO108" s="71"/>
      <c r="AP108" s="71"/>
      <c r="AQ108" s="71">
        <f ca="1">-IF(C108=1,('Invoer gegevens (N)'!$C$10*'Invoer gegevens (N)'!$I$33)*'Reeksen (N)'!J108,0)*2</f>
        <v>0</v>
      </c>
      <c r="AR108" s="71">
        <f ca="1">-IF(C108=1,(G108*'Invoer gegevens (N)'!$I$34)*'Reeksen (N)'!J108,0)</f>
        <v>0</v>
      </c>
      <c r="AS108" s="71">
        <f ca="1">-IF(C108=1,'Invoer gegevens (N)'!$C$10*'Invoer gegevens (N)'!$I$35*'Reeksen (N)'!L108,0)</f>
        <v>0</v>
      </c>
      <c r="AT108" s="71">
        <f ca="1">-IF(C108=1,IF(E108='Invoer gegevens (N)'!$C$17,'Invoer gegevens (N)'!$C$11,Q108)*'Reeksen (N)'!S108*'Invoer gegevens (N)'!$C$18*'Reeksen (N)'!P108,0)</f>
        <v>0</v>
      </c>
      <c r="AU108" s="71">
        <f ca="1">-IF(C108=1,'Invoer gegevens (N)'!$C$10*'Invoer gegevens (N)'!$I$36*'Reeksen (N)'!H108,0)</f>
        <v>0</v>
      </c>
      <c r="AV108" s="71">
        <v>0</v>
      </c>
      <c r="AW108" s="71">
        <f t="shared" ca="1" si="17"/>
        <v>0</v>
      </c>
      <c r="AX108" s="71">
        <f ca="1">IF(E108&lt;'Invoer gegevens (N)'!$C$17+15,0,IF(E108&gt;'Invoer gegevens (N)'!$C$17+215,0,AW108))</f>
        <v>0</v>
      </c>
      <c r="AY108" s="71">
        <f ca="1">AX108/(1+'Invoer gegevens (N)'!$F$13)^($AZ108-('Invoer gegevens (N)'!$C$17-'Invoer gegevens (N)'!$C$16))/(1+'Invoer gegevens (N)'!$C$39)^('Invoer gegevens (N)'!$C$17-'Invoer gegevens (N)'!$C$16)</f>
        <v>0</v>
      </c>
      <c r="AZ108" s="68">
        <f ca="1">IF(E108-'Invoer gegevens (N)'!$C$17-14.5&lt;0,0,E108-'Invoer gegevens (N)'!$C$17-14.5)</f>
        <v>88.5</v>
      </c>
    </row>
    <row r="109" spans="2:52" x14ac:dyDescent="0.25">
      <c r="B109" s="70">
        <f t="shared" si="18"/>
        <v>105</v>
      </c>
      <c r="C109" s="67">
        <f ca="1">IF(E109-'Invoer gegevens (N)'!$C$17&lt;0,0,1)</f>
        <v>1</v>
      </c>
      <c r="D109" s="68">
        <f t="shared" si="19"/>
        <v>104.5</v>
      </c>
      <c r="E109" s="69">
        <f ca="1">IF('Invoer gegevens (N)'!$C$16="","",E108+1)</f>
        <v>2123</v>
      </c>
      <c r="F109" s="82">
        <f ca="1">IF('Invoer gegevens (N)'!$C$17=E109,'Invoer gegevens (N)'!$C$10,IF(C109=1,H108,0))</f>
        <v>0</v>
      </c>
      <c r="G109" s="83">
        <f ca="1">IF(C109&gt;=1,F109*'Reeksen (N)'!C109,0)</f>
        <v>0</v>
      </c>
      <c r="H109" s="84">
        <f t="shared" ca="1" si="13"/>
        <v>0</v>
      </c>
      <c r="I109" s="85">
        <f ca="1">IF('Invoer gegevens (N)'!$C$17=E109,'Invoer gegevens (N)'!$C$11,IF(C109=1,L108,0))</f>
        <v>0</v>
      </c>
      <c r="J109" s="86">
        <f ca="1">IF(C109&lt;1,0,IF('Reeksen (N)'!AK109&lt;='Reeksen (N)'!AE109,I109*'Reeksen (N)'!C109,0))</f>
        <v>0</v>
      </c>
      <c r="K109" s="86">
        <f ca="1">IF(C109&lt;1,0,IF('Reeksen (N)'!AK109&gt;'Reeksen (N)'!AE109,I109*'Reeksen (N)'!C109,0))</f>
        <v>0</v>
      </c>
      <c r="L109" s="86">
        <f t="shared" ca="1" si="14"/>
        <v>0</v>
      </c>
      <c r="M109" s="85">
        <f ca="1">IF('Invoer gegevens (N)'!$C$17=E109,'Invoer gegevens (N)'!$C$10-'Invoer gegevens (N)'!$C$11,IF(C109=1,P108,0))</f>
        <v>0</v>
      </c>
      <c r="N109" s="86">
        <f ca="1">IF(C109&lt;1,0,IF('Reeksen (N)'!AK109&lt;='Reeksen (N)'!AE109,M109*'Reeksen (N)'!C109,0))</f>
        <v>0</v>
      </c>
      <c r="O109" s="86">
        <f ca="1">IF(C109&lt;1,0,IF('Reeksen (N)'!AK109&gt;'Reeksen (N)'!AE109,M109*'Reeksen (N)'!C109,0))</f>
        <v>0</v>
      </c>
      <c r="P109" s="86">
        <f t="shared" ca="1" si="15"/>
        <v>0</v>
      </c>
      <c r="Q109" s="82">
        <f ca="1">IF('Invoer gegevens (N)'!$C$17=E109,I109,IF(C109=0,0,R108))</f>
        <v>0</v>
      </c>
      <c r="R109" s="84">
        <f t="shared" ca="1" si="10"/>
        <v>0</v>
      </c>
      <c r="S109" s="84">
        <f ca="1">IF('Invoer gegevens (N)'!$C$17=E109,M109,IF(C109=0,0,T108))</f>
        <v>0</v>
      </c>
      <c r="T109" s="84">
        <f t="shared" ca="1" si="11"/>
        <v>0</v>
      </c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8"/>
      <c r="AI109" s="71">
        <f ca="1">IF(C109=1,((F109+H109)/2*'Reeksen (N)'!AJ109*12)+(('Invoer gegevens (N)'!$C$10-(F109+H109)/2)*'Reeksen (N)'!AK109*12),0)</f>
        <v>0</v>
      </c>
      <c r="AJ109" s="71">
        <f ca="1">-AI109*'Invoer gegevens (N)'!$F$28</f>
        <v>0</v>
      </c>
      <c r="AK109" s="71">
        <f t="shared" ca="1" si="12"/>
        <v>0</v>
      </c>
      <c r="AL109" s="71">
        <f ca="1">IF(C109=1,(12*((F109+H109)/2)*'Reeksen (N)'!AL109)+(12*('Invoer gegevens (N)'!$C$10-(F109+H109)/2)*'Reeksen (N)'!AM109),0)</f>
        <v>0</v>
      </c>
      <c r="AM109" s="71">
        <f ca="1">-AL109*'Invoer gegevens (N)'!$F$31</f>
        <v>0</v>
      </c>
      <c r="AN109" s="71">
        <f t="shared" ca="1" si="16"/>
        <v>0</v>
      </c>
      <c r="AO109" s="71"/>
      <c r="AP109" s="71"/>
      <c r="AQ109" s="71">
        <f ca="1">-IF(C109=1,('Invoer gegevens (N)'!$C$10*'Invoer gegevens (N)'!$I$33)*'Reeksen (N)'!J109,0)*2</f>
        <v>0</v>
      </c>
      <c r="AR109" s="71">
        <f ca="1">-IF(C109=1,(G109*'Invoer gegevens (N)'!$I$34)*'Reeksen (N)'!J109,0)</f>
        <v>0</v>
      </c>
      <c r="AS109" s="71">
        <f ca="1">-IF(C109=1,'Invoer gegevens (N)'!$C$10*'Invoer gegevens (N)'!$I$35*'Reeksen (N)'!L109,0)</f>
        <v>0</v>
      </c>
      <c r="AT109" s="71">
        <f ca="1">-IF(C109=1,IF(E109='Invoer gegevens (N)'!$C$17,'Invoer gegevens (N)'!$C$11,Q109)*'Reeksen (N)'!S109*'Invoer gegevens (N)'!$C$18*'Reeksen (N)'!P109,0)</f>
        <v>0</v>
      </c>
      <c r="AU109" s="71">
        <f ca="1">-IF(C109=1,'Invoer gegevens (N)'!$C$10*'Invoer gegevens (N)'!$I$36*'Reeksen (N)'!H109,0)</f>
        <v>0</v>
      </c>
      <c r="AV109" s="71">
        <v>0</v>
      </c>
      <c r="AW109" s="71">
        <f t="shared" ca="1" si="17"/>
        <v>0</v>
      </c>
      <c r="AX109" s="71">
        <f ca="1">IF(E109&lt;'Invoer gegevens (N)'!$C$17+15,0,IF(E109&gt;'Invoer gegevens (N)'!$C$17+215,0,AW109))</f>
        <v>0</v>
      </c>
      <c r="AY109" s="71">
        <f ca="1">AX109/(1+'Invoer gegevens (N)'!$F$13)^($AZ109-('Invoer gegevens (N)'!$C$17-'Invoer gegevens (N)'!$C$16))/(1+'Invoer gegevens (N)'!$C$39)^('Invoer gegevens (N)'!$C$17-'Invoer gegevens (N)'!$C$16)</f>
        <v>0</v>
      </c>
      <c r="AZ109" s="68">
        <f ca="1">IF(E109-'Invoer gegevens (N)'!$C$17-14.5&lt;0,0,E109-'Invoer gegevens (N)'!$C$17-14.5)</f>
        <v>89.5</v>
      </c>
    </row>
    <row r="110" spans="2:52" x14ac:dyDescent="0.25">
      <c r="B110" s="70">
        <f t="shared" si="18"/>
        <v>106</v>
      </c>
      <c r="C110" s="67">
        <f ca="1">IF(E110-'Invoer gegevens (N)'!$C$17&lt;0,0,1)</f>
        <v>1</v>
      </c>
      <c r="D110" s="68">
        <f t="shared" si="19"/>
        <v>105.5</v>
      </c>
      <c r="E110" s="69">
        <f ca="1">IF('Invoer gegevens (N)'!$C$16="","",E109+1)</f>
        <v>2124</v>
      </c>
      <c r="F110" s="82">
        <f ca="1">IF('Invoer gegevens (N)'!$C$17=E110,'Invoer gegevens (N)'!$C$10,IF(C110=1,H109,0))</f>
        <v>0</v>
      </c>
      <c r="G110" s="83">
        <f ca="1">IF(C110&gt;=1,F110*'Reeksen (N)'!C110,0)</f>
        <v>0</v>
      </c>
      <c r="H110" s="84">
        <f t="shared" ca="1" si="13"/>
        <v>0</v>
      </c>
      <c r="I110" s="85">
        <f ca="1">IF('Invoer gegevens (N)'!$C$17=E110,'Invoer gegevens (N)'!$C$11,IF(C110=1,L109,0))</f>
        <v>0</v>
      </c>
      <c r="J110" s="86">
        <f ca="1">IF(C110&lt;1,0,IF('Reeksen (N)'!AK110&lt;='Reeksen (N)'!AE110,I110*'Reeksen (N)'!C110,0))</f>
        <v>0</v>
      </c>
      <c r="K110" s="86">
        <f ca="1">IF(C110&lt;1,0,IF('Reeksen (N)'!AK110&gt;'Reeksen (N)'!AE110,I110*'Reeksen (N)'!C110,0))</f>
        <v>0</v>
      </c>
      <c r="L110" s="86">
        <f t="shared" ca="1" si="14"/>
        <v>0</v>
      </c>
      <c r="M110" s="85">
        <f ca="1">IF('Invoer gegevens (N)'!$C$17=E110,'Invoer gegevens (N)'!$C$10-'Invoer gegevens (N)'!$C$11,IF(C110=1,P109,0))</f>
        <v>0</v>
      </c>
      <c r="N110" s="86">
        <f ca="1">IF(C110&lt;1,0,IF('Reeksen (N)'!AK110&lt;='Reeksen (N)'!AE110,M110*'Reeksen (N)'!C110,0))</f>
        <v>0</v>
      </c>
      <c r="O110" s="86">
        <f ca="1">IF(C110&lt;1,0,IF('Reeksen (N)'!AK110&gt;'Reeksen (N)'!AE110,M110*'Reeksen (N)'!C110,0))</f>
        <v>0</v>
      </c>
      <c r="P110" s="86">
        <f t="shared" ca="1" si="15"/>
        <v>0</v>
      </c>
      <c r="Q110" s="82">
        <f ca="1">IF('Invoer gegevens (N)'!$C$17=E110,I110,IF(C110=0,0,R109))</f>
        <v>0</v>
      </c>
      <c r="R110" s="84">
        <f t="shared" ca="1" si="10"/>
        <v>0</v>
      </c>
      <c r="S110" s="84">
        <f ca="1">IF('Invoer gegevens (N)'!$C$17=E110,M110,IF(C110=0,0,T109))</f>
        <v>0</v>
      </c>
      <c r="T110" s="84">
        <f t="shared" ca="1" si="11"/>
        <v>0</v>
      </c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8"/>
      <c r="AI110" s="71">
        <f ca="1">IF(C110=1,((F110+H110)/2*'Reeksen (N)'!AJ110*12)+(('Invoer gegevens (N)'!$C$10-(F110+H110)/2)*'Reeksen (N)'!AK110*12),0)</f>
        <v>0</v>
      </c>
      <c r="AJ110" s="71">
        <f ca="1">-AI110*'Invoer gegevens (N)'!$F$28</f>
        <v>0</v>
      </c>
      <c r="AK110" s="71">
        <f t="shared" ca="1" si="12"/>
        <v>0</v>
      </c>
      <c r="AL110" s="71">
        <f ca="1">IF(C110=1,(12*((F110+H110)/2)*'Reeksen (N)'!AL110)+(12*('Invoer gegevens (N)'!$C$10-(F110+H110)/2)*'Reeksen (N)'!AM110),0)</f>
        <v>0</v>
      </c>
      <c r="AM110" s="71">
        <f ca="1">-AL110*'Invoer gegevens (N)'!$F$31</f>
        <v>0</v>
      </c>
      <c r="AN110" s="71">
        <f t="shared" ca="1" si="16"/>
        <v>0</v>
      </c>
      <c r="AO110" s="71"/>
      <c r="AP110" s="71"/>
      <c r="AQ110" s="71">
        <f ca="1">-IF(C110=1,('Invoer gegevens (N)'!$C$10*'Invoer gegevens (N)'!$I$33)*'Reeksen (N)'!J110,0)*2</f>
        <v>0</v>
      </c>
      <c r="AR110" s="71">
        <f ca="1">-IF(C110=1,(G110*'Invoer gegevens (N)'!$I$34)*'Reeksen (N)'!J110,0)</f>
        <v>0</v>
      </c>
      <c r="AS110" s="71">
        <f ca="1">-IF(C110=1,'Invoer gegevens (N)'!$C$10*'Invoer gegevens (N)'!$I$35*'Reeksen (N)'!L110,0)</f>
        <v>0</v>
      </c>
      <c r="AT110" s="71">
        <f ca="1">-IF(C110=1,IF(E110='Invoer gegevens (N)'!$C$17,'Invoer gegevens (N)'!$C$11,Q110)*'Reeksen (N)'!S110*'Invoer gegevens (N)'!$C$18*'Reeksen (N)'!P110,0)</f>
        <v>0</v>
      </c>
      <c r="AU110" s="71">
        <f ca="1">-IF(C110=1,'Invoer gegevens (N)'!$C$10*'Invoer gegevens (N)'!$I$36*'Reeksen (N)'!H110,0)</f>
        <v>0</v>
      </c>
      <c r="AV110" s="71">
        <v>0</v>
      </c>
      <c r="AW110" s="71">
        <f t="shared" ca="1" si="17"/>
        <v>0</v>
      </c>
      <c r="AX110" s="71">
        <f ca="1">IF(E110&lt;'Invoer gegevens (N)'!$C$17+15,0,IF(E110&gt;'Invoer gegevens (N)'!$C$17+215,0,AW110))</f>
        <v>0</v>
      </c>
      <c r="AY110" s="71">
        <f ca="1">AX110/(1+'Invoer gegevens (N)'!$F$13)^($AZ110-('Invoer gegevens (N)'!$C$17-'Invoer gegevens (N)'!$C$16))/(1+'Invoer gegevens (N)'!$C$39)^('Invoer gegevens (N)'!$C$17-'Invoer gegevens (N)'!$C$16)</f>
        <v>0</v>
      </c>
      <c r="AZ110" s="68">
        <f ca="1">IF(E110-'Invoer gegevens (N)'!$C$17-14.5&lt;0,0,E110-'Invoer gegevens (N)'!$C$17-14.5)</f>
        <v>90.5</v>
      </c>
    </row>
    <row r="111" spans="2:52" x14ac:dyDescent="0.25">
      <c r="B111" s="70">
        <f t="shared" si="18"/>
        <v>107</v>
      </c>
      <c r="C111" s="67">
        <f ca="1">IF(E111-'Invoer gegevens (N)'!$C$17&lt;0,0,1)</f>
        <v>1</v>
      </c>
      <c r="D111" s="68">
        <f t="shared" si="19"/>
        <v>106.5</v>
      </c>
      <c r="E111" s="69">
        <f ca="1">IF('Invoer gegevens (N)'!$C$16="","",E110+1)</f>
        <v>2125</v>
      </c>
      <c r="F111" s="82">
        <f ca="1">IF('Invoer gegevens (N)'!$C$17=E111,'Invoer gegevens (N)'!$C$10,IF(C111=1,H110,0))</f>
        <v>0</v>
      </c>
      <c r="G111" s="83">
        <f ca="1">IF(C111&gt;=1,F111*'Reeksen (N)'!C111,0)</f>
        <v>0</v>
      </c>
      <c r="H111" s="84">
        <f t="shared" ca="1" si="13"/>
        <v>0</v>
      </c>
      <c r="I111" s="85">
        <f ca="1">IF('Invoer gegevens (N)'!$C$17=E111,'Invoer gegevens (N)'!$C$11,IF(C111=1,L110,0))</f>
        <v>0</v>
      </c>
      <c r="J111" s="86">
        <f ca="1">IF(C111&lt;1,0,IF('Reeksen (N)'!AK111&lt;='Reeksen (N)'!AE111,I111*'Reeksen (N)'!C111,0))</f>
        <v>0</v>
      </c>
      <c r="K111" s="86">
        <f ca="1">IF(C111&lt;1,0,IF('Reeksen (N)'!AK111&gt;'Reeksen (N)'!AE111,I111*'Reeksen (N)'!C111,0))</f>
        <v>0</v>
      </c>
      <c r="L111" s="86">
        <f t="shared" ca="1" si="14"/>
        <v>0</v>
      </c>
      <c r="M111" s="85">
        <f ca="1">IF('Invoer gegevens (N)'!$C$17=E111,'Invoer gegevens (N)'!$C$10-'Invoer gegevens (N)'!$C$11,IF(C111=1,P110,0))</f>
        <v>0</v>
      </c>
      <c r="N111" s="86">
        <f ca="1">IF(C111&lt;1,0,IF('Reeksen (N)'!AK111&lt;='Reeksen (N)'!AE111,M111*'Reeksen (N)'!C111,0))</f>
        <v>0</v>
      </c>
      <c r="O111" s="86">
        <f ca="1">IF(C111&lt;1,0,IF('Reeksen (N)'!AK111&gt;'Reeksen (N)'!AE111,M111*'Reeksen (N)'!C111,0))</f>
        <v>0</v>
      </c>
      <c r="P111" s="86">
        <f t="shared" ca="1" si="15"/>
        <v>0</v>
      </c>
      <c r="Q111" s="82">
        <f ca="1">IF('Invoer gegevens (N)'!$C$17=E111,I111,IF(C111=0,0,R110))</f>
        <v>0</v>
      </c>
      <c r="R111" s="84">
        <f t="shared" ca="1" si="10"/>
        <v>0</v>
      </c>
      <c r="S111" s="84">
        <f ca="1">IF('Invoer gegevens (N)'!$C$17=E111,M111,IF(C111=0,0,T110))</f>
        <v>0</v>
      </c>
      <c r="T111" s="84">
        <f t="shared" ca="1" si="11"/>
        <v>0</v>
      </c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8"/>
      <c r="AI111" s="71">
        <f ca="1">IF(C111=1,((F111+H111)/2*'Reeksen (N)'!AJ111*12)+(('Invoer gegevens (N)'!$C$10-(F111+H111)/2)*'Reeksen (N)'!AK111*12),0)</f>
        <v>0</v>
      </c>
      <c r="AJ111" s="71">
        <f ca="1">-AI111*'Invoer gegevens (N)'!$F$28</f>
        <v>0</v>
      </c>
      <c r="AK111" s="71">
        <f t="shared" ca="1" si="12"/>
        <v>0</v>
      </c>
      <c r="AL111" s="71">
        <f ca="1">IF(C111=1,(12*((F111+H111)/2)*'Reeksen (N)'!AL111)+(12*('Invoer gegevens (N)'!$C$10-(F111+H111)/2)*'Reeksen (N)'!AM111),0)</f>
        <v>0</v>
      </c>
      <c r="AM111" s="71">
        <f ca="1">-AL111*'Invoer gegevens (N)'!$F$31</f>
        <v>0</v>
      </c>
      <c r="AN111" s="71">
        <f t="shared" ca="1" si="16"/>
        <v>0</v>
      </c>
      <c r="AO111" s="71"/>
      <c r="AP111" s="71"/>
      <c r="AQ111" s="71">
        <f ca="1">-IF(C111=1,('Invoer gegevens (N)'!$C$10*'Invoer gegevens (N)'!$I$33)*'Reeksen (N)'!J111,0)*2</f>
        <v>0</v>
      </c>
      <c r="AR111" s="71">
        <f ca="1">-IF(C111=1,(G111*'Invoer gegevens (N)'!$I$34)*'Reeksen (N)'!J111,0)</f>
        <v>0</v>
      </c>
      <c r="AS111" s="71">
        <f ca="1">-IF(C111=1,'Invoer gegevens (N)'!$C$10*'Invoer gegevens (N)'!$I$35*'Reeksen (N)'!L111,0)</f>
        <v>0</v>
      </c>
      <c r="AT111" s="71">
        <f ca="1">-IF(C111=1,IF(E111='Invoer gegevens (N)'!$C$17,'Invoer gegevens (N)'!$C$11,Q111)*'Reeksen (N)'!S111*'Invoer gegevens (N)'!$C$18*'Reeksen (N)'!P111,0)</f>
        <v>0</v>
      </c>
      <c r="AU111" s="71">
        <f ca="1">-IF(C111=1,'Invoer gegevens (N)'!$C$10*'Invoer gegevens (N)'!$I$36*'Reeksen (N)'!H111,0)</f>
        <v>0</v>
      </c>
      <c r="AV111" s="71">
        <v>0</v>
      </c>
      <c r="AW111" s="71">
        <f t="shared" ca="1" si="17"/>
        <v>0</v>
      </c>
      <c r="AX111" s="71">
        <f ca="1">IF(E111&lt;'Invoer gegevens (N)'!$C$17+15,0,IF(E111&gt;'Invoer gegevens (N)'!$C$17+215,0,AW111))</f>
        <v>0</v>
      </c>
      <c r="AY111" s="71">
        <f ca="1">AX111/(1+'Invoer gegevens (N)'!$F$13)^($AZ111-('Invoer gegevens (N)'!$C$17-'Invoer gegevens (N)'!$C$16))/(1+'Invoer gegevens (N)'!$C$39)^('Invoer gegevens (N)'!$C$17-'Invoer gegevens (N)'!$C$16)</f>
        <v>0</v>
      </c>
      <c r="AZ111" s="68">
        <f ca="1">IF(E111-'Invoer gegevens (N)'!$C$17-14.5&lt;0,0,E111-'Invoer gegevens (N)'!$C$17-14.5)</f>
        <v>91.5</v>
      </c>
    </row>
    <row r="112" spans="2:52" x14ac:dyDescent="0.25">
      <c r="B112" s="70">
        <f t="shared" si="18"/>
        <v>108</v>
      </c>
      <c r="C112" s="67">
        <f ca="1">IF(E112-'Invoer gegevens (N)'!$C$17&lt;0,0,1)</f>
        <v>1</v>
      </c>
      <c r="D112" s="68">
        <f t="shared" si="19"/>
        <v>107.5</v>
      </c>
      <c r="E112" s="69">
        <f ca="1">IF('Invoer gegevens (N)'!$C$16="","",E111+1)</f>
        <v>2126</v>
      </c>
      <c r="F112" s="82">
        <f ca="1">IF('Invoer gegevens (N)'!$C$17=E112,'Invoer gegevens (N)'!$C$10,IF(C112=1,H111,0))</f>
        <v>0</v>
      </c>
      <c r="G112" s="83">
        <f ca="1">IF(C112&gt;=1,F112*'Reeksen (N)'!C112,0)</f>
        <v>0</v>
      </c>
      <c r="H112" s="84">
        <f t="shared" ca="1" si="13"/>
        <v>0</v>
      </c>
      <c r="I112" s="85">
        <f ca="1">IF('Invoer gegevens (N)'!$C$17=E112,'Invoer gegevens (N)'!$C$11,IF(C112=1,L111,0))</f>
        <v>0</v>
      </c>
      <c r="J112" s="86">
        <f ca="1">IF(C112&lt;1,0,IF('Reeksen (N)'!AK112&lt;='Reeksen (N)'!AE112,I112*'Reeksen (N)'!C112,0))</f>
        <v>0</v>
      </c>
      <c r="K112" s="86">
        <f ca="1">IF(C112&lt;1,0,IF('Reeksen (N)'!AK112&gt;'Reeksen (N)'!AE112,I112*'Reeksen (N)'!C112,0))</f>
        <v>0</v>
      </c>
      <c r="L112" s="86">
        <f t="shared" ca="1" si="14"/>
        <v>0</v>
      </c>
      <c r="M112" s="85">
        <f ca="1">IF('Invoer gegevens (N)'!$C$17=E112,'Invoer gegevens (N)'!$C$10-'Invoer gegevens (N)'!$C$11,IF(C112=1,P111,0))</f>
        <v>0</v>
      </c>
      <c r="N112" s="86">
        <f ca="1">IF(C112&lt;1,0,IF('Reeksen (N)'!AK112&lt;='Reeksen (N)'!AE112,M112*'Reeksen (N)'!C112,0))</f>
        <v>0</v>
      </c>
      <c r="O112" s="86">
        <f ca="1">IF(C112&lt;1,0,IF('Reeksen (N)'!AK112&gt;'Reeksen (N)'!AE112,M112*'Reeksen (N)'!C112,0))</f>
        <v>0</v>
      </c>
      <c r="P112" s="86">
        <f t="shared" ca="1" si="15"/>
        <v>0</v>
      </c>
      <c r="Q112" s="82">
        <f ca="1">IF('Invoer gegevens (N)'!$C$17=E112,I112,IF(C112=0,0,R111))</f>
        <v>0</v>
      </c>
      <c r="R112" s="84">
        <f t="shared" ca="1" si="10"/>
        <v>0</v>
      </c>
      <c r="S112" s="84">
        <f ca="1">IF('Invoer gegevens (N)'!$C$17=E112,M112,IF(C112=0,0,T111))</f>
        <v>0</v>
      </c>
      <c r="T112" s="84">
        <f t="shared" ca="1" si="11"/>
        <v>0</v>
      </c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8"/>
      <c r="AI112" s="71">
        <f ca="1">IF(C112=1,((F112+H112)/2*'Reeksen (N)'!AJ112*12)+(('Invoer gegevens (N)'!$C$10-(F112+H112)/2)*'Reeksen (N)'!AK112*12),0)</f>
        <v>0</v>
      </c>
      <c r="AJ112" s="71">
        <f ca="1">-AI112*'Invoer gegevens (N)'!$F$28</f>
        <v>0</v>
      </c>
      <c r="AK112" s="71">
        <f t="shared" ca="1" si="12"/>
        <v>0</v>
      </c>
      <c r="AL112" s="71">
        <f ca="1">IF(C112=1,(12*((F112+H112)/2)*'Reeksen (N)'!AL112)+(12*('Invoer gegevens (N)'!$C$10-(F112+H112)/2)*'Reeksen (N)'!AM112),0)</f>
        <v>0</v>
      </c>
      <c r="AM112" s="71">
        <f ca="1">-AL112*'Invoer gegevens (N)'!$F$31</f>
        <v>0</v>
      </c>
      <c r="AN112" s="71">
        <f t="shared" ca="1" si="16"/>
        <v>0</v>
      </c>
      <c r="AO112" s="71"/>
      <c r="AP112" s="71"/>
      <c r="AQ112" s="71">
        <f ca="1">-IF(C112=1,('Invoer gegevens (N)'!$C$10*'Invoer gegevens (N)'!$I$33)*'Reeksen (N)'!J112,0)*2</f>
        <v>0</v>
      </c>
      <c r="AR112" s="71">
        <f ca="1">-IF(C112=1,(G112*'Invoer gegevens (N)'!$I$34)*'Reeksen (N)'!J112,0)</f>
        <v>0</v>
      </c>
      <c r="AS112" s="71">
        <f ca="1">-IF(C112=1,'Invoer gegevens (N)'!$C$10*'Invoer gegevens (N)'!$I$35*'Reeksen (N)'!L112,0)</f>
        <v>0</v>
      </c>
      <c r="AT112" s="71">
        <f ca="1">-IF(C112=1,IF(E112='Invoer gegevens (N)'!$C$17,'Invoer gegevens (N)'!$C$11,Q112)*'Reeksen (N)'!S112*'Invoer gegevens (N)'!$C$18*'Reeksen (N)'!P112,0)</f>
        <v>0</v>
      </c>
      <c r="AU112" s="71">
        <f ca="1">-IF(C112=1,'Invoer gegevens (N)'!$C$10*'Invoer gegevens (N)'!$I$36*'Reeksen (N)'!H112,0)</f>
        <v>0</v>
      </c>
      <c r="AV112" s="71">
        <v>0</v>
      </c>
      <c r="AW112" s="71">
        <f t="shared" ca="1" si="17"/>
        <v>0</v>
      </c>
      <c r="AX112" s="71">
        <f ca="1">IF(E112&lt;'Invoer gegevens (N)'!$C$17+15,0,IF(E112&gt;'Invoer gegevens (N)'!$C$17+215,0,AW112))</f>
        <v>0</v>
      </c>
      <c r="AY112" s="71">
        <f ca="1">AX112/(1+'Invoer gegevens (N)'!$F$13)^($AZ112-('Invoer gegevens (N)'!$C$17-'Invoer gegevens (N)'!$C$16))/(1+'Invoer gegevens (N)'!$C$39)^('Invoer gegevens (N)'!$C$17-'Invoer gegevens (N)'!$C$16)</f>
        <v>0</v>
      </c>
      <c r="AZ112" s="68">
        <f ca="1">IF(E112-'Invoer gegevens (N)'!$C$17-14.5&lt;0,0,E112-'Invoer gegevens (N)'!$C$17-14.5)</f>
        <v>92.5</v>
      </c>
    </row>
    <row r="113" spans="2:52" x14ac:dyDescent="0.25">
      <c r="B113" s="70">
        <f t="shared" si="18"/>
        <v>109</v>
      </c>
      <c r="C113" s="67">
        <f ca="1">IF(E113-'Invoer gegevens (N)'!$C$17&lt;0,0,1)</f>
        <v>1</v>
      </c>
      <c r="D113" s="68">
        <f t="shared" si="19"/>
        <v>108.5</v>
      </c>
      <c r="E113" s="69">
        <f ca="1">IF('Invoer gegevens (N)'!$C$16="","",E112+1)</f>
        <v>2127</v>
      </c>
      <c r="F113" s="82">
        <f ca="1">IF('Invoer gegevens (N)'!$C$17=E113,'Invoer gegevens (N)'!$C$10,IF(C113=1,H112,0))</f>
        <v>0</v>
      </c>
      <c r="G113" s="83">
        <f ca="1">IF(C113&gt;=1,F113*'Reeksen (N)'!C113,0)</f>
        <v>0</v>
      </c>
      <c r="H113" s="84">
        <f t="shared" ca="1" si="13"/>
        <v>0</v>
      </c>
      <c r="I113" s="85">
        <f ca="1">IF('Invoer gegevens (N)'!$C$17=E113,'Invoer gegevens (N)'!$C$11,IF(C113=1,L112,0))</f>
        <v>0</v>
      </c>
      <c r="J113" s="86">
        <f ca="1">IF(C113&lt;1,0,IF('Reeksen (N)'!AK113&lt;='Reeksen (N)'!AE113,I113*'Reeksen (N)'!C113,0))</f>
        <v>0</v>
      </c>
      <c r="K113" s="86">
        <f ca="1">IF(C113&lt;1,0,IF('Reeksen (N)'!AK113&gt;'Reeksen (N)'!AE113,I113*'Reeksen (N)'!C113,0))</f>
        <v>0</v>
      </c>
      <c r="L113" s="86">
        <f t="shared" ca="1" si="14"/>
        <v>0</v>
      </c>
      <c r="M113" s="85">
        <f ca="1">IF('Invoer gegevens (N)'!$C$17=E113,'Invoer gegevens (N)'!$C$10-'Invoer gegevens (N)'!$C$11,IF(C113=1,P112,0))</f>
        <v>0</v>
      </c>
      <c r="N113" s="86">
        <f ca="1">IF(C113&lt;1,0,IF('Reeksen (N)'!AK113&lt;='Reeksen (N)'!AE113,M113*'Reeksen (N)'!C113,0))</f>
        <v>0</v>
      </c>
      <c r="O113" s="86">
        <f ca="1">IF(C113&lt;1,0,IF('Reeksen (N)'!AK113&gt;'Reeksen (N)'!AE113,M113*'Reeksen (N)'!C113,0))</f>
        <v>0</v>
      </c>
      <c r="P113" s="86">
        <f t="shared" ca="1" si="15"/>
        <v>0</v>
      </c>
      <c r="Q113" s="82">
        <f ca="1">IF('Invoer gegevens (N)'!$C$17=E113,I113,IF(C113=0,0,R112))</f>
        <v>0</v>
      </c>
      <c r="R113" s="84">
        <f t="shared" ca="1" si="10"/>
        <v>0</v>
      </c>
      <c r="S113" s="84">
        <f ca="1">IF('Invoer gegevens (N)'!$C$17=E113,M113,IF(C113=0,0,T112))</f>
        <v>0</v>
      </c>
      <c r="T113" s="84">
        <f t="shared" ca="1" si="11"/>
        <v>0</v>
      </c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8"/>
      <c r="AI113" s="71">
        <f ca="1">IF(C113=1,((F113+H113)/2*'Reeksen (N)'!AJ113*12)+(('Invoer gegevens (N)'!$C$10-(F113+H113)/2)*'Reeksen (N)'!AK113*12),0)</f>
        <v>0</v>
      </c>
      <c r="AJ113" s="71">
        <f ca="1">-AI113*'Invoer gegevens (N)'!$F$28</f>
        <v>0</v>
      </c>
      <c r="AK113" s="71">
        <f t="shared" ca="1" si="12"/>
        <v>0</v>
      </c>
      <c r="AL113" s="71">
        <f ca="1">IF(C113=1,(12*((F113+H113)/2)*'Reeksen (N)'!AL113)+(12*('Invoer gegevens (N)'!$C$10-(F113+H113)/2)*'Reeksen (N)'!AM113),0)</f>
        <v>0</v>
      </c>
      <c r="AM113" s="71">
        <f ca="1">-AL113*'Invoer gegevens (N)'!$F$31</f>
        <v>0</v>
      </c>
      <c r="AN113" s="71">
        <f t="shared" ca="1" si="16"/>
        <v>0</v>
      </c>
      <c r="AO113" s="71"/>
      <c r="AP113" s="71"/>
      <c r="AQ113" s="71">
        <f ca="1">-IF(C113=1,('Invoer gegevens (N)'!$C$10*'Invoer gegevens (N)'!$I$33)*'Reeksen (N)'!J113,0)*2</f>
        <v>0</v>
      </c>
      <c r="AR113" s="71">
        <f ca="1">-IF(C113=1,(G113*'Invoer gegevens (N)'!$I$34)*'Reeksen (N)'!J113,0)</f>
        <v>0</v>
      </c>
      <c r="AS113" s="71">
        <f ca="1">-IF(C113=1,'Invoer gegevens (N)'!$C$10*'Invoer gegevens (N)'!$I$35*'Reeksen (N)'!L113,0)</f>
        <v>0</v>
      </c>
      <c r="AT113" s="71">
        <f ca="1">-IF(C113=1,IF(E113='Invoer gegevens (N)'!$C$17,'Invoer gegevens (N)'!$C$11,Q113)*'Reeksen (N)'!S113*'Invoer gegevens (N)'!$C$18*'Reeksen (N)'!P113,0)</f>
        <v>0</v>
      </c>
      <c r="AU113" s="71">
        <f ca="1">-IF(C113=1,'Invoer gegevens (N)'!$C$10*'Invoer gegevens (N)'!$I$36*'Reeksen (N)'!H113,0)</f>
        <v>0</v>
      </c>
      <c r="AV113" s="71">
        <v>0</v>
      </c>
      <c r="AW113" s="71">
        <f t="shared" ca="1" si="17"/>
        <v>0</v>
      </c>
      <c r="AX113" s="71">
        <f ca="1">IF(E113&lt;'Invoer gegevens (N)'!$C$17+15,0,IF(E113&gt;'Invoer gegevens (N)'!$C$17+215,0,AW113))</f>
        <v>0</v>
      </c>
      <c r="AY113" s="71">
        <f ca="1">AX113/(1+'Invoer gegevens (N)'!$F$13)^($AZ113-('Invoer gegevens (N)'!$C$17-'Invoer gegevens (N)'!$C$16))/(1+'Invoer gegevens (N)'!$C$39)^('Invoer gegevens (N)'!$C$17-'Invoer gegevens (N)'!$C$16)</f>
        <v>0</v>
      </c>
      <c r="AZ113" s="68">
        <f ca="1">IF(E113-'Invoer gegevens (N)'!$C$17-14.5&lt;0,0,E113-'Invoer gegevens (N)'!$C$17-14.5)</f>
        <v>93.5</v>
      </c>
    </row>
    <row r="114" spans="2:52" x14ac:dyDescent="0.25">
      <c r="B114" s="70">
        <f t="shared" si="18"/>
        <v>110</v>
      </c>
      <c r="C114" s="67">
        <f ca="1">IF(E114-'Invoer gegevens (N)'!$C$17&lt;0,0,1)</f>
        <v>1</v>
      </c>
      <c r="D114" s="68">
        <f t="shared" si="19"/>
        <v>109.5</v>
      </c>
      <c r="E114" s="69">
        <f ca="1">IF('Invoer gegevens (N)'!$C$16="","",E113+1)</f>
        <v>2128</v>
      </c>
      <c r="F114" s="82">
        <f ca="1">IF('Invoer gegevens (N)'!$C$17=E114,'Invoer gegevens (N)'!$C$10,IF(C114=1,H113,0))</f>
        <v>0</v>
      </c>
      <c r="G114" s="83">
        <f ca="1">IF(C114&gt;=1,F114*'Reeksen (N)'!C114,0)</f>
        <v>0</v>
      </c>
      <c r="H114" s="84">
        <f t="shared" ca="1" si="13"/>
        <v>0</v>
      </c>
      <c r="I114" s="85">
        <f ca="1">IF('Invoer gegevens (N)'!$C$17=E114,'Invoer gegevens (N)'!$C$11,IF(C114=1,L113,0))</f>
        <v>0</v>
      </c>
      <c r="J114" s="86">
        <f ca="1">IF(C114&lt;1,0,IF('Reeksen (N)'!AK114&lt;='Reeksen (N)'!AE114,I114*'Reeksen (N)'!C114,0))</f>
        <v>0</v>
      </c>
      <c r="K114" s="86">
        <f ca="1">IF(C114&lt;1,0,IF('Reeksen (N)'!AK114&gt;'Reeksen (N)'!AE114,I114*'Reeksen (N)'!C114,0))</f>
        <v>0</v>
      </c>
      <c r="L114" s="86">
        <f t="shared" ca="1" si="14"/>
        <v>0</v>
      </c>
      <c r="M114" s="85">
        <f ca="1">IF('Invoer gegevens (N)'!$C$17=E114,'Invoer gegevens (N)'!$C$10-'Invoer gegevens (N)'!$C$11,IF(C114=1,P113,0))</f>
        <v>0</v>
      </c>
      <c r="N114" s="86">
        <f ca="1">IF(C114&lt;1,0,IF('Reeksen (N)'!AK114&lt;='Reeksen (N)'!AE114,M114*'Reeksen (N)'!C114,0))</f>
        <v>0</v>
      </c>
      <c r="O114" s="86">
        <f ca="1">IF(C114&lt;1,0,IF('Reeksen (N)'!AK114&gt;'Reeksen (N)'!AE114,M114*'Reeksen (N)'!C114,0))</f>
        <v>0</v>
      </c>
      <c r="P114" s="86">
        <f t="shared" ca="1" si="15"/>
        <v>0</v>
      </c>
      <c r="Q114" s="82">
        <f ca="1">IF('Invoer gegevens (N)'!$C$17=E114,I114,IF(C114=0,0,R113))</f>
        <v>0</v>
      </c>
      <c r="R114" s="84">
        <f t="shared" ca="1" si="10"/>
        <v>0</v>
      </c>
      <c r="S114" s="84">
        <f ca="1">IF('Invoer gegevens (N)'!$C$17=E114,M114,IF(C114=0,0,T113))</f>
        <v>0</v>
      </c>
      <c r="T114" s="84">
        <f t="shared" ca="1" si="11"/>
        <v>0</v>
      </c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8"/>
      <c r="AI114" s="71">
        <f ca="1">IF(C114=1,((F114+H114)/2*'Reeksen (N)'!AJ114*12)+(('Invoer gegevens (N)'!$C$10-(F114+H114)/2)*'Reeksen (N)'!AK114*12),0)</f>
        <v>0</v>
      </c>
      <c r="AJ114" s="71">
        <f ca="1">-AI114*'Invoer gegevens (N)'!$F$28</f>
        <v>0</v>
      </c>
      <c r="AK114" s="71">
        <f t="shared" ca="1" si="12"/>
        <v>0</v>
      </c>
      <c r="AL114" s="71">
        <f ca="1">IF(C114=1,(12*((F114+H114)/2)*'Reeksen (N)'!AL114)+(12*('Invoer gegevens (N)'!$C$10-(F114+H114)/2)*'Reeksen (N)'!AM114),0)</f>
        <v>0</v>
      </c>
      <c r="AM114" s="71">
        <f ca="1">-AL114*'Invoer gegevens (N)'!$F$31</f>
        <v>0</v>
      </c>
      <c r="AN114" s="71">
        <f t="shared" ca="1" si="16"/>
        <v>0</v>
      </c>
      <c r="AO114" s="71"/>
      <c r="AP114" s="71"/>
      <c r="AQ114" s="71">
        <f ca="1">-IF(C114=1,('Invoer gegevens (N)'!$C$10*'Invoer gegevens (N)'!$I$33)*'Reeksen (N)'!J114,0)*2</f>
        <v>0</v>
      </c>
      <c r="AR114" s="71">
        <f ca="1">-IF(C114=1,(G114*'Invoer gegevens (N)'!$I$34)*'Reeksen (N)'!J114,0)</f>
        <v>0</v>
      </c>
      <c r="AS114" s="71">
        <f ca="1">-IF(C114=1,'Invoer gegevens (N)'!$C$10*'Invoer gegevens (N)'!$I$35*'Reeksen (N)'!L114,0)</f>
        <v>0</v>
      </c>
      <c r="AT114" s="71">
        <f ca="1">-IF(C114=1,IF(E114='Invoer gegevens (N)'!$C$17,'Invoer gegevens (N)'!$C$11,Q114)*'Reeksen (N)'!S114*'Invoer gegevens (N)'!$C$18*'Reeksen (N)'!P114,0)</f>
        <v>0</v>
      </c>
      <c r="AU114" s="71">
        <f ca="1">-IF(C114=1,'Invoer gegevens (N)'!$C$10*'Invoer gegevens (N)'!$I$36*'Reeksen (N)'!H114,0)</f>
        <v>0</v>
      </c>
      <c r="AV114" s="71">
        <v>0</v>
      </c>
      <c r="AW114" s="71">
        <f t="shared" ca="1" si="17"/>
        <v>0</v>
      </c>
      <c r="AX114" s="71">
        <f ca="1">IF(E114&lt;'Invoer gegevens (N)'!$C$17+15,0,IF(E114&gt;'Invoer gegevens (N)'!$C$17+215,0,AW114))</f>
        <v>0</v>
      </c>
      <c r="AY114" s="71">
        <f ca="1">AX114/(1+'Invoer gegevens (N)'!$F$13)^($AZ114-('Invoer gegevens (N)'!$C$17-'Invoer gegevens (N)'!$C$16))/(1+'Invoer gegevens (N)'!$C$39)^('Invoer gegevens (N)'!$C$17-'Invoer gegevens (N)'!$C$16)</f>
        <v>0</v>
      </c>
      <c r="AZ114" s="68">
        <f ca="1">IF(E114-'Invoer gegevens (N)'!$C$17-14.5&lt;0,0,E114-'Invoer gegevens (N)'!$C$17-14.5)</f>
        <v>94.5</v>
      </c>
    </row>
    <row r="115" spans="2:52" x14ac:dyDescent="0.25">
      <c r="B115" s="70">
        <f t="shared" si="18"/>
        <v>111</v>
      </c>
      <c r="C115" s="67">
        <f ca="1">IF(E115-'Invoer gegevens (N)'!$C$17&lt;0,0,1)</f>
        <v>1</v>
      </c>
      <c r="D115" s="68">
        <f t="shared" si="19"/>
        <v>110.5</v>
      </c>
      <c r="E115" s="69">
        <f ca="1">IF('Invoer gegevens (N)'!$C$16="","",E114+1)</f>
        <v>2129</v>
      </c>
      <c r="F115" s="82">
        <f ca="1">IF('Invoer gegevens (N)'!$C$17=E115,'Invoer gegevens (N)'!$C$10,IF(C115=1,H114,0))</f>
        <v>0</v>
      </c>
      <c r="G115" s="83">
        <f ca="1">IF(C115&gt;=1,F115*'Reeksen (N)'!C115,0)</f>
        <v>0</v>
      </c>
      <c r="H115" s="84">
        <f t="shared" ca="1" si="13"/>
        <v>0</v>
      </c>
      <c r="I115" s="85">
        <f ca="1">IF('Invoer gegevens (N)'!$C$17=E115,'Invoer gegevens (N)'!$C$11,IF(C115=1,L114,0))</f>
        <v>0</v>
      </c>
      <c r="J115" s="86">
        <f ca="1">IF(C115&lt;1,0,IF('Reeksen (N)'!AK115&lt;='Reeksen (N)'!AE115,I115*'Reeksen (N)'!C115,0))</f>
        <v>0</v>
      </c>
      <c r="K115" s="86">
        <f ca="1">IF(C115&lt;1,0,IF('Reeksen (N)'!AK115&gt;'Reeksen (N)'!AE115,I115*'Reeksen (N)'!C115,0))</f>
        <v>0</v>
      </c>
      <c r="L115" s="86">
        <f t="shared" ca="1" si="14"/>
        <v>0</v>
      </c>
      <c r="M115" s="85">
        <f ca="1">IF('Invoer gegevens (N)'!$C$17=E115,'Invoer gegevens (N)'!$C$10-'Invoer gegevens (N)'!$C$11,IF(C115=1,P114,0))</f>
        <v>0</v>
      </c>
      <c r="N115" s="86">
        <f ca="1">IF(C115&lt;1,0,IF('Reeksen (N)'!AK115&lt;='Reeksen (N)'!AE115,M115*'Reeksen (N)'!C115,0))</f>
        <v>0</v>
      </c>
      <c r="O115" s="86">
        <f ca="1">IF(C115&lt;1,0,IF('Reeksen (N)'!AK115&gt;'Reeksen (N)'!AE115,M115*'Reeksen (N)'!C115,0))</f>
        <v>0</v>
      </c>
      <c r="P115" s="86">
        <f t="shared" ca="1" si="15"/>
        <v>0</v>
      </c>
      <c r="Q115" s="82">
        <f ca="1">IF('Invoer gegevens (N)'!$C$17=E115,I115,IF(C115=0,0,R114))</f>
        <v>0</v>
      </c>
      <c r="R115" s="84">
        <f t="shared" ca="1" si="10"/>
        <v>0</v>
      </c>
      <c r="S115" s="84">
        <f ca="1">IF('Invoer gegevens (N)'!$C$17=E115,M115,IF(C115=0,0,T114))</f>
        <v>0</v>
      </c>
      <c r="T115" s="84">
        <f t="shared" ca="1" si="11"/>
        <v>0</v>
      </c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8"/>
      <c r="AI115" s="71">
        <f ca="1">IF(C115=1,((F115+H115)/2*'Reeksen (N)'!AJ115*12)+(('Invoer gegevens (N)'!$C$10-(F115+H115)/2)*'Reeksen (N)'!AK115*12),0)</f>
        <v>0</v>
      </c>
      <c r="AJ115" s="71">
        <f ca="1">-AI115*'Invoer gegevens (N)'!$F$28</f>
        <v>0</v>
      </c>
      <c r="AK115" s="71">
        <f t="shared" ca="1" si="12"/>
        <v>0</v>
      </c>
      <c r="AL115" s="71">
        <f ca="1">IF(C115=1,(12*((F115+H115)/2)*'Reeksen (N)'!AL115)+(12*('Invoer gegevens (N)'!$C$10-(F115+H115)/2)*'Reeksen (N)'!AM115),0)</f>
        <v>0</v>
      </c>
      <c r="AM115" s="71">
        <f ca="1">-AL115*'Invoer gegevens (N)'!$F$31</f>
        <v>0</v>
      </c>
      <c r="AN115" s="71">
        <f t="shared" ca="1" si="16"/>
        <v>0</v>
      </c>
      <c r="AO115" s="71"/>
      <c r="AP115" s="71"/>
      <c r="AQ115" s="71">
        <f ca="1">-IF(C115=1,('Invoer gegevens (N)'!$C$10*'Invoer gegevens (N)'!$I$33)*'Reeksen (N)'!J115,0)*2</f>
        <v>0</v>
      </c>
      <c r="AR115" s="71">
        <f ca="1">-IF(C115=1,(G115*'Invoer gegevens (N)'!$I$34)*'Reeksen (N)'!J115,0)</f>
        <v>0</v>
      </c>
      <c r="AS115" s="71">
        <f ca="1">-IF(C115=1,'Invoer gegevens (N)'!$C$10*'Invoer gegevens (N)'!$I$35*'Reeksen (N)'!L115,0)</f>
        <v>0</v>
      </c>
      <c r="AT115" s="71">
        <f ca="1">-IF(C115=1,IF(E115='Invoer gegevens (N)'!$C$17,'Invoer gegevens (N)'!$C$11,Q115)*'Reeksen (N)'!S115*'Invoer gegevens (N)'!$C$18*'Reeksen (N)'!P115,0)</f>
        <v>0</v>
      </c>
      <c r="AU115" s="71">
        <f ca="1">-IF(C115=1,'Invoer gegevens (N)'!$C$10*'Invoer gegevens (N)'!$I$36*'Reeksen (N)'!H115,0)</f>
        <v>0</v>
      </c>
      <c r="AV115" s="71">
        <v>0</v>
      </c>
      <c r="AW115" s="71">
        <f t="shared" ca="1" si="17"/>
        <v>0</v>
      </c>
      <c r="AX115" s="71">
        <f ca="1">IF(E115&lt;'Invoer gegevens (N)'!$C$17+15,0,IF(E115&gt;'Invoer gegevens (N)'!$C$17+215,0,AW115))</f>
        <v>0</v>
      </c>
      <c r="AY115" s="71">
        <f ca="1">AX115/(1+'Invoer gegevens (N)'!$F$13)^($AZ115-('Invoer gegevens (N)'!$C$17-'Invoer gegevens (N)'!$C$16))/(1+'Invoer gegevens (N)'!$C$39)^('Invoer gegevens (N)'!$C$17-'Invoer gegevens (N)'!$C$16)</f>
        <v>0</v>
      </c>
      <c r="AZ115" s="68">
        <f ca="1">IF(E115-'Invoer gegevens (N)'!$C$17-14.5&lt;0,0,E115-'Invoer gegevens (N)'!$C$17-14.5)</f>
        <v>95.5</v>
      </c>
    </row>
    <row r="116" spans="2:52" x14ac:dyDescent="0.25">
      <c r="B116" s="70">
        <f t="shared" si="18"/>
        <v>112</v>
      </c>
      <c r="C116" s="67">
        <f ca="1">IF(E116-'Invoer gegevens (N)'!$C$17&lt;0,0,1)</f>
        <v>1</v>
      </c>
      <c r="D116" s="68">
        <f t="shared" si="19"/>
        <v>111.5</v>
      </c>
      <c r="E116" s="69">
        <f ca="1">IF('Invoer gegevens (N)'!$C$16="","",E115+1)</f>
        <v>2130</v>
      </c>
      <c r="F116" s="82">
        <f ca="1">IF('Invoer gegevens (N)'!$C$17=E116,'Invoer gegevens (N)'!$C$10,IF(C116=1,H115,0))</f>
        <v>0</v>
      </c>
      <c r="G116" s="83">
        <f ca="1">IF(C116&gt;=1,F116*'Reeksen (N)'!C116,0)</f>
        <v>0</v>
      </c>
      <c r="H116" s="84">
        <f t="shared" ca="1" si="13"/>
        <v>0</v>
      </c>
      <c r="I116" s="85">
        <f ca="1">IF('Invoer gegevens (N)'!$C$17=E116,'Invoer gegevens (N)'!$C$11,IF(C116=1,L115,0))</f>
        <v>0</v>
      </c>
      <c r="J116" s="86">
        <f ca="1">IF(C116&lt;1,0,IF('Reeksen (N)'!AK116&lt;='Reeksen (N)'!AE116,I116*'Reeksen (N)'!C116,0))</f>
        <v>0</v>
      </c>
      <c r="K116" s="86">
        <f ca="1">IF(C116&lt;1,0,IF('Reeksen (N)'!AK116&gt;'Reeksen (N)'!AE116,I116*'Reeksen (N)'!C116,0))</f>
        <v>0</v>
      </c>
      <c r="L116" s="86">
        <f t="shared" ca="1" si="14"/>
        <v>0</v>
      </c>
      <c r="M116" s="85">
        <f ca="1">IF('Invoer gegevens (N)'!$C$17=E116,'Invoer gegevens (N)'!$C$10-'Invoer gegevens (N)'!$C$11,IF(C116=1,P115,0))</f>
        <v>0</v>
      </c>
      <c r="N116" s="86">
        <f ca="1">IF(C116&lt;1,0,IF('Reeksen (N)'!AK116&lt;='Reeksen (N)'!AE116,M116*'Reeksen (N)'!C116,0))</f>
        <v>0</v>
      </c>
      <c r="O116" s="86">
        <f ca="1">IF(C116&lt;1,0,IF('Reeksen (N)'!AK116&gt;'Reeksen (N)'!AE116,M116*'Reeksen (N)'!C116,0))</f>
        <v>0</v>
      </c>
      <c r="P116" s="86">
        <f t="shared" ca="1" si="15"/>
        <v>0</v>
      </c>
      <c r="Q116" s="82">
        <f ca="1">IF('Invoer gegevens (N)'!$C$17=E116,I116,IF(C116=0,0,R115))</f>
        <v>0</v>
      </c>
      <c r="R116" s="84">
        <f t="shared" ca="1" si="10"/>
        <v>0</v>
      </c>
      <c r="S116" s="84">
        <f ca="1">IF('Invoer gegevens (N)'!$C$17=E116,M116,IF(C116=0,0,T115))</f>
        <v>0</v>
      </c>
      <c r="T116" s="84">
        <f t="shared" ca="1" si="11"/>
        <v>0</v>
      </c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8"/>
      <c r="AI116" s="71">
        <f ca="1">IF(C116=1,((F116+H116)/2*'Reeksen (N)'!AJ116*12)+(('Invoer gegevens (N)'!$C$10-(F116+H116)/2)*'Reeksen (N)'!AK116*12),0)</f>
        <v>0</v>
      </c>
      <c r="AJ116" s="71">
        <f ca="1">-AI116*'Invoer gegevens (N)'!$F$28</f>
        <v>0</v>
      </c>
      <c r="AK116" s="71">
        <f t="shared" ca="1" si="12"/>
        <v>0</v>
      </c>
      <c r="AL116" s="71">
        <f ca="1">IF(C116=1,(12*((F116+H116)/2)*'Reeksen (N)'!AL116)+(12*('Invoer gegevens (N)'!$C$10-(F116+H116)/2)*'Reeksen (N)'!AM116),0)</f>
        <v>0</v>
      </c>
      <c r="AM116" s="71">
        <f ca="1">-AL116*'Invoer gegevens (N)'!$F$31</f>
        <v>0</v>
      </c>
      <c r="AN116" s="71">
        <f t="shared" ca="1" si="16"/>
        <v>0</v>
      </c>
      <c r="AO116" s="71"/>
      <c r="AP116" s="71"/>
      <c r="AQ116" s="71">
        <f ca="1">-IF(C116=1,('Invoer gegevens (N)'!$C$10*'Invoer gegevens (N)'!$I$33)*'Reeksen (N)'!J116,0)*2</f>
        <v>0</v>
      </c>
      <c r="AR116" s="71">
        <f ca="1">-IF(C116=1,(G116*'Invoer gegevens (N)'!$I$34)*'Reeksen (N)'!J116,0)</f>
        <v>0</v>
      </c>
      <c r="AS116" s="71">
        <f ca="1">-IF(C116=1,'Invoer gegevens (N)'!$C$10*'Invoer gegevens (N)'!$I$35*'Reeksen (N)'!L116,0)</f>
        <v>0</v>
      </c>
      <c r="AT116" s="71">
        <f ca="1">-IF(C116=1,IF(E116='Invoer gegevens (N)'!$C$17,'Invoer gegevens (N)'!$C$11,Q116)*'Reeksen (N)'!S116*'Invoer gegevens (N)'!$C$18*'Reeksen (N)'!P116,0)</f>
        <v>0</v>
      </c>
      <c r="AU116" s="71">
        <f ca="1">-IF(C116=1,'Invoer gegevens (N)'!$C$10*'Invoer gegevens (N)'!$I$36*'Reeksen (N)'!H116,0)</f>
        <v>0</v>
      </c>
      <c r="AV116" s="71">
        <v>0</v>
      </c>
      <c r="AW116" s="71">
        <f t="shared" ca="1" si="17"/>
        <v>0</v>
      </c>
      <c r="AX116" s="71">
        <f ca="1">IF(E116&lt;'Invoer gegevens (N)'!$C$17+15,0,IF(E116&gt;'Invoer gegevens (N)'!$C$17+215,0,AW116))</f>
        <v>0</v>
      </c>
      <c r="AY116" s="71">
        <f ca="1">AX116/(1+'Invoer gegevens (N)'!$F$13)^($AZ116-('Invoer gegevens (N)'!$C$17-'Invoer gegevens (N)'!$C$16))/(1+'Invoer gegevens (N)'!$C$39)^('Invoer gegevens (N)'!$C$17-'Invoer gegevens (N)'!$C$16)</f>
        <v>0</v>
      </c>
      <c r="AZ116" s="68">
        <f ca="1">IF(E116-'Invoer gegevens (N)'!$C$17-14.5&lt;0,0,E116-'Invoer gegevens (N)'!$C$17-14.5)</f>
        <v>96.5</v>
      </c>
    </row>
    <row r="117" spans="2:52" x14ac:dyDescent="0.25">
      <c r="B117" s="70">
        <f t="shared" si="18"/>
        <v>113</v>
      </c>
      <c r="C117" s="67">
        <f ca="1">IF(E117-'Invoer gegevens (N)'!$C$17&lt;0,0,1)</f>
        <v>1</v>
      </c>
      <c r="D117" s="68">
        <f t="shared" si="19"/>
        <v>112.5</v>
      </c>
      <c r="E117" s="69">
        <f ca="1">IF('Invoer gegevens (N)'!$C$16="","",E116+1)</f>
        <v>2131</v>
      </c>
      <c r="F117" s="82">
        <f ca="1">IF('Invoer gegevens (N)'!$C$17=E117,'Invoer gegevens (N)'!$C$10,IF(C117=1,H116,0))</f>
        <v>0</v>
      </c>
      <c r="G117" s="83">
        <f ca="1">IF(C117&gt;=1,F117*'Reeksen (N)'!C117,0)</f>
        <v>0</v>
      </c>
      <c r="H117" s="84">
        <f t="shared" ca="1" si="13"/>
        <v>0</v>
      </c>
      <c r="I117" s="85">
        <f ca="1">IF('Invoer gegevens (N)'!$C$17=E117,'Invoer gegevens (N)'!$C$11,IF(C117=1,L116,0))</f>
        <v>0</v>
      </c>
      <c r="J117" s="86">
        <f ca="1">IF(C117&lt;1,0,IF('Reeksen (N)'!AK117&lt;='Reeksen (N)'!AE117,I117*'Reeksen (N)'!C117,0))</f>
        <v>0</v>
      </c>
      <c r="K117" s="86">
        <f ca="1">IF(C117&lt;1,0,IF('Reeksen (N)'!AK117&gt;'Reeksen (N)'!AE117,I117*'Reeksen (N)'!C117,0))</f>
        <v>0</v>
      </c>
      <c r="L117" s="86">
        <f t="shared" ca="1" si="14"/>
        <v>0</v>
      </c>
      <c r="M117" s="85">
        <f ca="1">IF('Invoer gegevens (N)'!$C$17=E117,'Invoer gegevens (N)'!$C$10-'Invoer gegevens (N)'!$C$11,IF(C117=1,P116,0))</f>
        <v>0</v>
      </c>
      <c r="N117" s="86">
        <f ca="1">IF(C117&lt;1,0,IF('Reeksen (N)'!AK117&lt;='Reeksen (N)'!AE117,M117*'Reeksen (N)'!C117,0))</f>
        <v>0</v>
      </c>
      <c r="O117" s="86">
        <f ca="1">IF(C117&lt;1,0,IF('Reeksen (N)'!AK117&gt;'Reeksen (N)'!AE117,M117*'Reeksen (N)'!C117,0))</f>
        <v>0</v>
      </c>
      <c r="P117" s="86">
        <f t="shared" ca="1" si="15"/>
        <v>0</v>
      </c>
      <c r="Q117" s="82">
        <f ca="1">IF('Invoer gegevens (N)'!$C$17=E117,I117,IF(C117=0,0,R116))</f>
        <v>0</v>
      </c>
      <c r="R117" s="84">
        <f t="shared" ca="1" si="10"/>
        <v>0</v>
      </c>
      <c r="S117" s="84">
        <f ca="1">IF('Invoer gegevens (N)'!$C$17=E117,M117,IF(C117=0,0,T116))</f>
        <v>0</v>
      </c>
      <c r="T117" s="84">
        <f t="shared" ca="1" si="11"/>
        <v>0</v>
      </c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8"/>
      <c r="AI117" s="71">
        <f ca="1">IF(C117=1,((F117+H117)/2*'Reeksen (N)'!AJ117*12)+(('Invoer gegevens (N)'!$C$10-(F117+H117)/2)*'Reeksen (N)'!AK117*12),0)</f>
        <v>0</v>
      </c>
      <c r="AJ117" s="71">
        <f ca="1">-AI117*'Invoer gegevens (N)'!$F$28</f>
        <v>0</v>
      </c>
      <c r="AK117" s="71">
        <f t="shared" ca="1" si="12"/>
        <v>0</v>
      </c>
      <c r="AL117" s="71">
        <f ca="1">IF(C117=1,(12*((F117+H117)/2)*'Reeksen (N)'!AL117)+(12*('Invoer gegevens (N)'!$C$10-(F117+H117)/2)*'Reeksen (N)'!AM117),0)</f>
        <v>0</v>
      </c>
      <c r="AM117" s="71">
        <f ca="1">-AL117*'Invoer gegevens (N)'!$F$31</f>
        <v>0</v>
      </c>
      <c r="AN117" s="71">
        <f t="shared" ca="1" si="16"/>
        <v>0</v>
      </c>
      <c r="AO117" s="71"/>
      <c r="AP117" s="71"/>
      <c r="AQ117" s="71">
        <f ca="1">-IF(C117=1,('Invoer gegevens (N)'!$C$10*'Invoer gegevens (N)'!$I$33)*'Reeksen (N)'!J117,0)*2</f>
        <v>0</v>
      </c>
      <c r="AR117" s="71">
        <f ca="1">-IF(C117=1,(G117*'Invoer gegevens (N)'!$I$34)*'Reeksen (N)'!J117,0)</f>
        <v>0</v>
      </c>
      <c r="AS117" s="71">
        <f ca="1">-IF(C117=1,'Invoer gegevens (N)'!$C$10*'Invoer gegevens (N)'!$I$35*'Reeksen (N)'!L117,0)</f>
        <v>0</v>
      </c>
      <c r="AT117" s="71">
        <f ca="1">-IF(C117=1,IF(E117='Invoer gegevens (N)'!$C$17,'Invoer gegevens (N)'!$C$11,Q117)*'Reeksen (N)'!S117*'Invoer gegevens (N)'!$C$18*'Reeksen (N)'!P117,0)</f>
        <v>0</v>
      </c>
      <c r="AU117" s="71">
        <f ca="1">-IF(C117=1,'Invoer gegevens (N)'!$C$10*'Invoer gegevens (N)'!$I$36*'Reeksen (N)'!H117,0)</f>
        <v>0</v>
      </c>
      <c r="AV117" s="71">
        <v>0</v>
      </c>
      <c r="AW117" s="71">
        <f t="shared" ca="1" si="17"/>
        <v>0</v>
      </c>
      <c r="AX117" s="71">
        <f ca="1">IF(E117&lt;'Invoer gegevens (N)'!$C$17+15,0,IF(E117&gt;'Invoer gegevens (N)'!$C$17+215,0,AW117))</f>
        <v>0</v>
      </c>
      <c r="AY117" s="71">
        <f ca="1">AX117/(1+'Invoer gegevens (N)'!$F$13)^($AZ117-('Invoer gegevens (N)'!$C$17-'Invoer gegevens (N)'!$C$16))/(1+'Invoer gegevens (N)'!$C$39)^('Invoer gegevens (N)'!$C$17-'Invoer gegevens (N)'!$C$16)</f>
        <v>0</v>
      </c>
      <c r="AZ117" s="68">
        <f ca="1">IF(E117-'Invoer gegevens (N)'!$C$17-14.5&lt;0,0,E117-'Invoer gegevens (N)'!$C$17-14.5)</f>
        <v>97.5</v>
      </c>
    </row>
    <row r="118" spans="2:52" x14ac:dyDescent="0.25">
      <c r="B118" s="70">
        <f t="shared" si="18"/>
        <v>114</v>
      </c>
      <c r="C118" s="67">
        <f ca="1">IF(E118-'Invoer gegevens (N)'!$C$17&lt;0,0,1)</f>
        <v>1</v>
      </c>
      <c r="D118" s="68">
        <f t="shared" si="19"/>
        <v>113.5</v>
      </c>
      <c r="E118" s="69">
        <f ca="1">IF('Invoer gegevens (N)'!$C$16="","",E117+1)</f>
        <v>2132</v>
      </c>
      <c r="F118" s="82">
        <f ca="1">IF('Invoer gegevens (N)'!$C$17=E118,'Invoer gegevens (N)'!$C$10,IF(C118=1,H117,0))</f>
        <v>0</v>
      </c>
      <c r="G118" s="83">
        <f ca="1">IF(C118&gt;=1,F118*'Reeksen (N)'!C118,0)</f>
        <v>0</v>
      </c>
      <c r="H118" s="84">
        <f t="shared" ca="1" si="13"/>
        <v>0</v>
      </c>
      <c r="I118" s="85">
        <f ca="1">IF('Invoer gegevens (N)'!$C$17=E118,'Invoer gegevens (N)'!$C$11,IF(C118=1,L117,0))</f>
        <v>0</v>
      </c>
      <c r="J118" s="86">
        <f ca="1">IF(C118&lt;1,0,IF('Reeksen (N)'!AK118&lt;='Reeksen (N)'!AE118,I118*'Reeksen (N)'!C118,0))</f>
        <v>0</v>
      </c>
      <c r="K118" s="86">
        <f ca="1">IF(C118&lt;1,0,IF('Reeksen (N)'!AK118&gt;'Reeksen (N)'!AE118,I118*'Reeksen (N)'!C118,0))</f>
        <v>0</v>
      </c>
      <c r="L118" s="86">
        <f t="shared" ca="1" si="14"/>
        <v>0</v>
      </c>
      <c r="M118" s="85">
        <f ca="1">IF('Invoer gegevens (N)'!$C$17=E118,'Invoer gegevens (N)'!$C$10-'Invoer gegevens (N)'!$C$11,IF(C118=1,P117,0))</f>
        <v>0</v>
      </c>
      <c r="N118" s="86">
        <f ca="1">IF(C118&lt;1,0,IF('Reeksen (N)'!AK118&lt;='Reeksen (N)'!AE118,M118*'Reeksen (N)'!C118,0))</f>
        <v>0</v>
      </c>
      <c r="O118" s="86">
        <f ca="1">IF(C118&lt;1,0,IF('Reeksen (N)'!AK118&gt;'Reeksen (N)'!AE118,M118*'Reeksen (N)'!C118,0))</f>
        <v>0</v>
      </c>
      <c r="P118" s="86">
        <f t="shared" ca="1" si="15"/>
        <v>0</v>
      </c>
      <c r="Q118" s="82">
        <f ca="1">IF('Invoer gegevens (N)'!$C$17=E118,I118,IF(C118=0,0,R117))</f>
        <v>0</v>
      </c>
      <c r="R118" s="84">
        <f t="shared" ca="1" si="10"/>
        <v>0</v>
      </c>
      <c r="S118" s="84">
        <f ca="1">IF('Invoer gegevens (N)'!$C$17=E118,M118,IF(C118=0,0,T117))</f>
        <v>0</v>
      </c>
      <c r="T118" s="84">
        <f t="shared" ca="1" si="11"/>
        <v>0</v>
      </c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8"/>
      <c r="AI118" s="71">
        <f ca="1">IF(C118=1,((F118+H118)/2*'Reeksen (N)'!AJ118*12)+(('Invoer gegevens (N)'!$C$10-(F118+H118)/2)*'Reeksen (N)'!AK118*12),0)</f>
        <v>0</v>
      </c>
      <c r="AJ118" s="71">
        <f ca="1">-AI118*'Invoer gegevens (N)'!$F$28</f>
        <v>0</v>
      </c>
      <c r="AK118" s="71">
        <f t="shared" ca="1" si="12"/>
        <v>0</v>
      </c>
      <c r="AL118" s="71">
        <f ca="1">IF(C118=1,(12*((F118+H118)/2)*'Reeksen (N)'!AL118)+(12*('Invoer gegevens (N)'!$C$10-(F118+H118)/2)*'Reeksen (N)'!AM118),0)</f>
        <v>0</v>
      </c>
      <c r="AM118" s="71">
        <f ca="1">-AL118*'Invoer gegevens (N)'!$F$31</f>
        <v>0</v>
      </c>
      <c r="AN118" s="71">
        <f t="shared" ca="1" si="16"/>
        <v>0</v>
      </c>
      <c r="AO118" s="71"/>
      <c r="AP118" s="71"/>
      <c r="AQ118" s="71">
        <f ca="1">-IF(C118=1,('Invoer gegevens (N)'!$C$10*'Invoer gegevens (N)'!$I$33)*'Reeksen (N)'!J118,0)*2</f>
        <v>0</v>
      </c>
      <c r="AR118" s="71">
        <f ca="1">-IF(C118=1,(G118*'Invoer gegevens (N)'!$I$34)*'Reeksen (N)'!J118,0)</f>
        <v>0</v>
      </c>
      <c r="AS118" s="71">
        <f ca="1">-IF(C118=1,'Invoer gegevens (N)'!$C$10*'Invoer gegevens (N)'!$I$35*'Reeksen (N)'!L118,0)</f>
        <v>0</v>
      </c>
      <c r="AT118" s="71">
        <f ca="1">-IF(C118=1,IF(E118='Invoer gegevens (N)'!$C$17,'Invoer gegevens (N)'!$C$11,Q118)*'Reeksen (N)'!S118*'Invoer gegevens (N)'!$C$18*'Reeksen (N)'!P118,0)</f>
        <v>0</v>
      </c>
      <c r="AU118" s="71">
        <f ca="1">-IF(C118=1,'Invoer gegevens (N)'!$C$10*'Invoer gegevens (N)'!$I$36*'Reeksen (N)'!H118,0)</f>
        <v>0</v>
      </c>
      <c r="AV118" s="71">
        <v>0</v>
      </c>
      <c r="AW118" s="71">
        <f t="shared" ca="1" si="17"/>
        <v>0</v>
      </c>
      <c r="AX118" s="71">
        <f ca="1">IF(E118&lt;'Invoer gegevens (N)'!$C$17+15,0,IF(E118&gt;'Invoer gegevens (N)'!$C$17+215,0,AW118))</f>
        <v>0</v>
      </c>
      <c r="AY118" s="71">
        <f ca="1">AX118/(1+'Invoer gegevens (N)'!$F$13)^($AZ118-('Invoer gegevens (N)'!$C$17-'Invoer gegevens (N)'!$C$16))/(1+'Invoer gegevens (N)'!$C$39)^('Invoer gegevens (N)'!$C$17-'Invoer gegevens (N)'!$C$16)</f>
        <v>0</v>
      </c>
      <c r="AZ118" s="68">
        <f ca="1">IF(E118-'Invoer gegevens (N)'!$C$17-14.5&lt;0,0,E118-'Invoer gegevens (N)'!$C$17-14.5)</f>
        <v>98.5</v>
      </c>
    </row>
    <row r="119" spans="2:52" x14ac:dyDescent="0.25">
      <c r="B119" s="70">
        <f t="shared" si="18"/>
        <v>115</v>
      </c>
      <c r="C119" s="67">
        <f ca="1">IF(E119-'Invoer gegevens (N)'!$C$17&lt;0,0,1)</f>
        <v>1</v>
      </c>
      <c r="D119" s="68">
        <f t="shared" si="19"/>
        <v>114.5</v>
      </c>
      <c r="E119" s="69">
        <f ca="1">IF('Invoer gegevens (N)'!$C$16="","",E118+1)</f>
        <v>2133</v>
      </c>
      <c r="F119" s="82">
        <f ca="1">IF('Invoer gegevens (N)'!$C$17=E119,'Invoer gegevens (N)'!$C$10,IF(C119=1,H118,0))</f>
        <v>0</v>
      </c>
      <c r="G119" s="83">
        <f ca="1">IF(C119&gt;=1,F119*'Reeksen (N)'!C119,0)</f>
        <v>0</v>
      </c>
      <c r="H119" s="84">
        <f t="shared" ca="1" si="13"/>
        <v>0</v>
      </c>
      <c r="I119" s="85">
        <f ca="1">IF('Invoer gegevens (N)'!$C$17=E119,'Invoer gegevens (N)'!$C$11,IF(C119=1,L118,0))</f>
        <v>0</v>
      </c>
      <c r="J119" s="86">
        <f ca="1">IF(C119&lt;1,0,IF('Reeksen (N)'!AK119&lt;='Reeksen (N)'!AE119,I119*'Reeksen (N)'!C119,0))</f>
        <v>0</v>
      </c>
      <c r="K119" s="86">
        <f ca="1">IF(C119&lt;1,0,IF('Reeksen (N)'!AK119&gt;'Reeksen (N)'!AE119,I119*'Reeksen (N)'!C119,0))</f>
        <v>0</v>
      </c>
      <c r="L119" s="86">
        <f t="shared" ca="1" si="14"/>
        <v>0</v>
      </c>
      <c r="M119" s="85">
        <f ca="1">IF('Invoer gegevens (N)'!$C$17=E119,'Invoer gegevens (N)'!$C$10-'Invoer gegevens (N)'!$C$11,IF(C119=1,P118,0))</f>
        <v>0</v>
      </c>
      <c r="N119" s="86">
        <f ca="1">IF(C119&lt;1,0,IF('Reeksen (N)'!AK119&lt;='Reeksen (N)'!AE119,M119*'Reeksen (N)'!C119,0))</f>
        <v>0</v>
      </c>
      <c r="O119" s="86">
        <f ca="1">IF(C119&lt;1,0,IF('Reeksen (N)'!AK119&gt;'Reeksen (N)'!AE119,M119*'Reeksen (N)'!C119,0))</f>
        <v>0</v>
      </c>
      <c r="P119" s="86">
        <f t="shared" ca="1" si="15"/>
        <v>0</v>
      </c>
      <c r="Q119" s="82">
        <f ca="1">IF('Invoer gegevens (N)'!$C$17=E119,I119,IF(C119=0,0,R118))</f>
        <v>0</v>
      </c>
      <c r="R119" s="84">
        <f t="shared" ca="1" si="10"/>
        <v>0</v>
      </c>
      <c r="S119" s="84">
        <f ca="1">IF('Invoer gegevens (N)'!$C$17=E119,M119,IF(C119=0,0,T118))</f>
        <v>0</v>
      </c>
      <c r="T119" s="84">
        <f t="shared" ca="1" si="11"/>
        <v>0</v>
      </c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8"/>
      <c r="AI119" s="71">
        <f ca="1">IF(C119=1,((F119+H119)/2*'Reeksen (N)'!AJ119*12)+(('Invoer gegevens (N)'!$C$10-(F119+H119)/2)*'Reeksen (N)'!AK119*12),0)</f>
        <v>0</v>
      </c>
      <c r="AJ119" s="71">
        <f ca="1">-AI119*'Invoer gegevens (N)'!$F$28</f>
        <v>0</v>
      </c>
      <c r="AK119" s="71">
        <f t="shared" ca="1" si="12"/>
        <v>0</v>
      </c>
      <c r="AL119" s="71">
        <f ca="1">IF(C119=1,(12*((F119+H119)/2)*'Reeksen (N)'!AL119)+(12*('Invoer gegevens (N)'!$C$10-(F119+H119)/2)*'Reeksen (N)'!AM119),0)</f>
        <v>0</v>
      </c>
      <c r="AM119" s="71">
        <f ca="1">-AL119*'Invoer gegevens (N)'!$F$31</f>
        <v>0</v>
      </c>
      <c r="AN119" s="71">
        <f t="shared" ca="1" si="16"/>
        <v>0</v>
      </c>
      <c r="AO119" s="71"/>
      <c r="AP119" s="71"/>
      <c r="AQ119" s="71">
        <f ca="1">-IF(C119=1,('Invoer gegevens (N)'!$C$10*'Invoer gegevens (N)'!$I$33)*'Reeksen (N)'!J119,0)*2</f>
        <v>0</v>
      </c>
      <c r="AR119" s="71">
        <f ca="1">-IF(C119=1,(G119*'Invoer gegevens (N)'!$I$34)*'Reeksen (N)'!J119,0)</f>
        <v>0</v>
      </c>
      <c r="AS119" s="71">
        <f ca="1">-IF(C119=1,'Invoer gegevens (N)'!$C$10*'Invoer gegevens (N)'!$I$35*'Reeksen (N)'!L119,0)</f>
        <v>0</v>
      </c>
      <c r="AT119" s="71">
        <f ca="1">-IF(C119=1,IF(E119='Invoer gegevens (N)'!$C$17,'Invoer gegevens (N)'!$C$11,Q119)*'Reeksen (N)'!S119*'Invoer gegevens (N)'!$C$18*'Reeksen (N)'!P119,0)</f>
        <v>0</v>
      </c>
      <c r="AU119" s="71">
        <f ca="1">-IF(C119=1,'Invoer gegevens (N)'!$C$10*'Invoer gegevens (N)'!$I$36*'Reeksen (N)'!H119,0)</f>
        <v>0</v>
      </c>
      <c r="AV119" s="71">
        <v>0</v>
      </c>
      <c r="AW119" s="71">
        <f t="shared" ca="1" si="17"/>
        <v>0</v>
      </c>
      <c r="AX119" s="71">
        <f ca="1">IF(E119&lt;'Invoer gegevens (N)'!$C$17+15,0,IF(E119&gt;'Invoer gegevens (N)'!$C$17+215,0,AW119))</f>
        <v>0</v>
      </c>
      <c r="AY119" s="71">
        <f ca="1">AX119/(1+'Invoer gegevens (N)'!$F$13)^($AZ119-('Invoer gegevens (N)'!$C$17-'Invoer gegevens (N)'!$C$16))/(1+'Invoer gegevens (N)'!$C$39)^('Invoer gegevens (N)'!$C$17-'Invoer gegevens (N)'!$C$16)</f>
        <v>0</v>
      </c>
      <c r="AZ119" s="68">
        <f ca="1">IF(E119-'Invoer gegevens (N)'!$C$17-14.5&lt;0,0,E119-'Invoer gegevens (N)'!$C$17-14.5)</f>
        <v>99.5</v>
      </c>
    </row>
    <row r="120" spans="2:52" x14ac:dyDescent="0.25">
      <c r="B120" s="70">
        <f t="shared" si="18"/>
        <v>116</v>
      </c>
      <c r="C120" s="67">
        <f ca="1">IF(E120-'Invoer gegevens (N)'!$C$17&lt;0,0,1)</f>
        <v>1</v>
      </c>
      <c r="D120" s="68">
        <f t="shared" si="19"/>
        <v>115.5</v>
      </c>
      <c r="E120" s="69">
        <f ca="1">IF('Invoer gegevens (N)'!$C$16="","",E119+1)</f>
        <v>2134</v>
      </c>
      <c r="F120" s="82">
        <f ca="1">IF('Invoer gegevens (N)'!$C$17=E120,'Invoer gegevens (N)'!$C$10,IF(C120=1,H119,0))</f>
        <v>0</v>
      </c>
      <c r="G120" s="83">
        <f ca="1">IF(C120&gt;=1,F120*'Reeksen (N)'!C120,0)</f>
        <v>0</v>
      </c>
      <c r="H120" s="84">
        <f t="shared" ca="1" si="13"/>
        <v>0</v>
      </c>
      <c r="I120" s="85">
        <f ca="1">IF('Invoer gegevens (N)'!$C$17=E120,'Invoer gegevens (N)'!$C$11,IF(C120=1,L119,0))</f>
        <v>0</v>
      </c>
      <c r="J120" s="86">
        <f ca="1">IF(C120&lt;1,0,IF('Reeksen (N)'!AK120&lt;='Reeksen (N)'!AE120,I120*'Reeksen (N)'!C120,0))</f>
        <v>0</v>
      </c>
      <c r="K120" s="86">
        <f ca="1">IF(C120&lt;1,0,IF('Reeksen (N)'!AK120&gt;'Reeksen (N)'!AE120,I120*'Reeksen (N)'!C120,0))</f>
        <v>0</v>
      </c>
      <c r="L120" s="86">
        <f t="shared" ca="1" si="14"/>
        <v>0</v>
      </c>
      <c r="M120" s="85">
        <f ca="1">IF('Invoer gegevens (N)'!$C$17=E120,'Invoer gegevens (N)'!$C$10-'Invoer gegevens (N)'!$C$11,IF(C120=1,P119,0))</f>
        <v>0</v>
      </c>
      <c r="N120" s="86">
        <f ca="1">IF(C120&lt;1,0,IF('Reeksen (N)'!AK120&lt;='Reeksen (N)'!AE120,M120*'Reeksen (N)'!C120,0))</f>
        <v>0</v>
      </c>
      <c r="O120" s="86">
        <f ca="1">IF(C120&lt;1,0,IF('Reeksen (N)'!AK120&gt;'Reeksen (N)'!AE120,M120*'Reeksen (N)'!C120,0))</f>
        <v>0</v>
      </c>
      <c r="P120" s="86">
        <f t="shared" ca="1" si="15"/>
        <v>0</v>
      </c>
      <c r="Q120" s="82">
        <f ca="1">IF('Invoer gegevens (N)'!$C$17=E120,I120,IF(C120=0,0,R119))</f>
        <v>0</v>
      </c>
      <c r="R120" s="84">
        <f t="shared" ca="1" si="10"/>
        <v>0</v>
      </c>
      <c r="S120" s="84">
        <f ca="1">IF('Invoer gegevens (N)'!$C$17=E120,M120,IF(C120=0,0,T119))</f>
        <v>0</v>
      </c>
      <c r="T120" s="84">
        <f t="shared" ca="1" si="11"/>
        <v>0</v>
      </c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8"/>
      <c r="AI120" s="71">
        <f ca="1">IF(C120=1,((F120+H120)/2*'Reeksen (N)'!AJ120*12)+(('Invoer gegevens (N)'!$C$10-(F120+H120)/2)*'Reeksen (N)'!AK120*12),0)</f>
        <v>0</v>
      </c>
      <c r="AJ120" s="71">
        <f ca="1">-AI120*'Invoer gegevens (N)'!$F$28</f>
        <v>0</v>
      </c>
      <c r="AK120" s="71">
        <f t="shared" ca="1" si="12"/>
        <v>0</v>
      </c>
      <c r="AL120" s="71">
        <f ca="1">IF(C120=1,(12*((F120+H120)/2)*'Reeksen (N)'!AL120)+(12*('Invoer gegevens (N)'!$C$10-(F120+H120)/2)*'Reeksen (N)'!AM120),0)</f>
        <v>0</v>
      </c>
      <c r="AM120" s="71">
        <f ca="1">-AL120*'Invoer gegevens (N)'!$F$31</f>
        <v>0</v>
      </c>
      <c r="AN120" s="71">
        <f t="shared" ca="1" si="16"/>
        <v>0</v>
      </c>
      <c r="AO120" s="71"/>
      <c r="AP120" s="71"/>
      <c r="AQ120" s="71">
        <f ca="1">-IF(C120=1,('Invoer gegevens (N)'!$C$10*'Invoer gegevens (N)'!$I$33)*'Reeksen (N)'!J120,0)*2</f>
        <v>0</v>
      </c>
      <c r="AR120" s="71">
        <f ca="1">-IF(C120=1,(G120*'Invoer gegevens (N)'!$I$34)*'Reeksen (N)'!J120,0)</f>
        <v>0</v>
      </c>
      <c r="AS120" s="71">
        <f ca="1">-IF(C120=1,'Invoer gegevens (N)'!$C$10*'Invoer gegevens (N)'!$I$35*'Reeksen (N)'!L120,0)</f>
        <v>0</v>
      </c>
      <c r="AT120" s="71">
        <f ca="1">-IF(C120=1,IF(E120='Invoer gegevens (N)'!$C$17,'Invoer gegevens (N)'!$C$11,Q120)*'Reeksen (N)'!S120*'Invoer gegevens (N)'!$C$18*'Reeksen (N)'!P120,0)</f>
        <v>0</v>
      </c>
      <c r="AU120" s="71">
        <f ca="1">-IF(C120=1,'Invoer gegevens (N)'!$C$10*'Invoer gegevens (N)'!$I$36*'Reeksen (N)'!H120,0)</f>
        <v>0</v>
      </c>
      <c r="AV120" s="71">
        <v>0</v>
      </c>
      <c r="AW120" s="71">
        <f t="shared" ca="1" si="17"/>
        <v>0</v>
      </c>
      <c r="AX120" s="71">
        <f ca="1">IF(E120&lt;'Invoer gegevens (N)'!$C$17+15,0,IF(E120&gt;'Invoer gegevens (N)'!$C$17+215,0,AW120))</f>
        <v>0</v>
      </c>
      <c r="AY120" s="71">
        <f ca="1">AX120/(1+'Invoer gegevens (N)'!$F$13)^($AZ120-('Invoer gegevens (N)'!$C$17-'Invoer gegevens (N)'!$C$16))/(1+'Invoer gegevens (N)'!$C$39)^('Invoer gegevens (N)'!$C$17-'Invoer gegevens (N)'!$C$16)</f>
        <v>0</v>
      </c>
      <c r="AZ120" s="68">
        <f ca="1">IF(E120-'Invoer gegevens (N)'!$C$17-14.5&lt;0,0,E120-'Invoer gegevens (N)'!$C$17-14.5)</f>
        <v>100.5</v>
      </c>
    </row>
    <row r="121" spans="2:52" x14ac:dyDescent="0.25">
      <c r="B121" s="70">
        <f t="shared" si="18"/>
        <v>117</v>
      </c>
      <c r="C121" s="67">
        <f ca="1">IF(E121-'Invoer gegevens (N)'!$C$17&lt;0,0,1)</f>
        <v>1</v>
      </c>
      <c r="D121" s="68">
        <f t="shared" si="19"/>
        <v>116.5</v>
      </c>
      <c r="E121" s="69">
        <f ca="1">IF('Invoer gegevens (N)'!$C$16="","",E120+1)</f>
        <v>2135</v>
      </c>
      <c r="F121" s="82">
        <f ca="1">IF('Invoer gegevens (N)'!$C$17=E121,'Invoer gegevens (N)'!$C$10,IF(C121=1,H120,0))</f>
        <v>0</v>
      </c>
      <c r="G121" s="83">
        <f ca="1">IF(C121&gt;=1,F121*'Reeksen (N)'!C121,0)</f>
        <v>0</v>
      </c>
      <c r="H121" s="84">
        <f t="shared" ca="1" si="13"/>
        <v>0</v>
      </c>
      <c r="I121" s="85">
        <f ca="1">IF('Invoer gegevens (N)'!$C$17=E121,'Invoer gegevens (N)'!$C$11,IF(C121=1,L120,0))</f>
        <v>0</v>
      </c>
      <c r="J121" s="86">
        <f ca="1">IF(C121&lt;1,0,IF('Reeksen (N)'!AK121&lt;='Reeksen (N)'!AE121,I121*'Reeksen (N)'!C121,0))</f>
        <v>0</v>
      </c>
      <c r="K121" s="86">
        <f ca="1">IF(C121&lt;1,0,IF('Reeksen (N)'!AK121&gt;'Reeksen (N)'!AE121,I121*'Reeksen (N)'!C121,0))</f>
        <v>0</v>
      </c>
      <c r="L121" s="86">
        <f t="shared" ca="1" si="14"/>
        <v>0</v>
      </c>
      <c r="M121" s="85">
        <f ca="1">IF('Invoer gegevens (N)'!$C$17=E121,'Invoer gegevens (N)'!$C$10-'Invoer gegevens (N)'!$C$11,IF(C121=1,P120,0))</f>
        <v>0</v>
      </c>
      <c r="N121" s="86">
        <f ca="1">IF(C121&lt;1,0,IF('Reeksen (N)'!AK121&lt;='Reeksen (N)'!AE121,M121*'Reeksen (N)'!C121,0))</f>
        <v>0</v>
      </c>
      <c r="O121" s="86">
        <f ca="1">IF(C121&lt;1,0,IF('Reeksen (N)'!AK121&gt;'Reeksen (N)'!AE121,M121*'Reeksen (N)'!C121,0))</f>
        <v>0</v>
      </c>
      <c r="P121" s="86">
        <f t="shared" ca="1" si="15"/>
        <v>0</v>
      </c>
      <c r="Q121" s="82">
        <f ca="1">IF('Invoer gegevens (N)'!$C$17=E121,I121,IF(C121=0,0,R120))</f>
        <v>0</v>
      </c>
      <c r="R121" s="84">
        <f t="shared" ca="1" si="10"/>
        <v>0</v>
      </c>
      <c r="S121" s="84">
        <f ca="1">IF('Invoer gegevens (N)'!$C$17=E121,M121,IF(C121=0,0,T120))</f>
        <v>0</v>
      </c>
      <c r="T121" s="84">
        <f t="shared" ca="1" si="11"/>
        <v>0</v>
      </c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8"/>
      <c r="AI121" s="71">
        <f ca="1">IF(C121=1,((F121+H121)/2*'Reeksen (N)'!AJ121*12)+(('Invoer gegevens (N)'!$C$10-(F121+H121)/2)*'Reeksen (N)'!AK121*12),0)</f>
        <v>0</v>
      </c>
      <c r="AJ121" s="71">
        <f ca="1">-AI121*'Invoer gegevens (N)'!$F$28</f>
        <v>0</v>
      </c>
      <c r="AK121" s="71">
        <f t="shared" ca="1" si="12"/>
        <v>0</v>
      </c>
      <c r="AL121" s="71">
        <f ca="1">IF(C121=1,(12*((F121+H121)/2)*'Reeksen (N)'!AL121)+(12*('Invoer gegevens (N)'!$C$10-(F121+H121)/2)*'Reeksen (N)'!AM121),0)</f>
        <v>0</v>
      </c>
      <c r="AM121" s="71">
        <f ca="1">-AL121*'Invoer gegevens (N)'!$F$31</f>
        <v>0</v>
      </c>
      <c r="AN121" s="71">
        <f t="shared" ca="1" si="16"/>
        <v>0</v>
      </c>
      <c r="AO121" s="71"/>
      <c r="AP121" s="71"/>
      <c r="AQ121" s="71">
        <f ca="1">-IF(C121=1,('Invoer gegevens (N)'!$C$10*'Invoer gegevens (N)'!$I$33)*'Reeksen (N)'!J121,0)*2</f>
        <v>0</v>
      </c>
      <c r="AR121" s="71">
        <f ca="1">-IF(C121=1,(G121*'Invoer gegevens (N)'!$I$34)*'Reeksen (N)'!J121,0)</f>
        <v>0</v>
      </c>
      <c r="AS121" s="71">
        <f ca="1">-IF(C121=1,'Invoer gegevens (N)'!$C$10*'Invoer gegevens (N)'!$I$35*'Reeksen (N)'!L121,0)</f>
        <v>0</v>
      </c>
      <c r="AT121" s="71">
        <f ca="1">-IF(C121=1,IF(E121='Invoer gegevens (N)'!$C$17,'Invoer gegevens (N)'!$C$11,Q121)*'Reeksen (N)'!S121*'Invoer gegevens (N)'!$C$18*'Reeksen (N)'!P121,0)</f>
        <v>0</v>
      </c>
      <c r="AU121" s="71">
        <f ca="1">-IF(C121=1,'Invoer gegevens (N)'!$C$10*'Invoer gegevens (N)'!$I$36*'Reeksen (N)'!H121,0)</f>
        <v>0</v>
      </c>
      <c r="AV121" s="71">
        <v>0</v>
      </c>
      <c r="AW121" s="71">
        <f t="shared" ca="1" si="17"/>
        <v>0</v>
      </c>
      <c r="AX121" s="71">
        <f ca="1">IF(E121&lt;'Invoer gegevens (N)'!$C$17+15,0,IF(E121&gt;'Invoer gegevens (N)'!$C$17+215,0,AW121))</f>
        <v>0</v>
      </c>
      <c r="AY121" s="71">
        <f ca="1">AX121/(1+'Invoer gegevens (N)'!$F$13)^($AZ121-('Invoer gegevens (N)'!$C$17-'Invoer gegevens (N)'!$C$16))/(1+'Invoer gegevens (N)'!$C$39)^('Invoer gegevens (N)'!$C$17-'Invoer gegevens (N)'!$C$16)</f>
        <v>0</v>
      </c>
      <c r="AZ121" s="68">
        <f ca="1">IF(E121-'Invoer gegevens (N)'!$C$17-14.5&lt;0,0,E121-'Invoer gegevens (N)'!$C$17-14.5)</f>
        <v>101.5</v>
      </c>
    </row>
    <row r="122" spans="2:52" x14ac:dyDescent="0.25">
      <c r="B122" s="70">
        <f t="shared" si="18"/>
        <v>118</v>
      </c>
      <c r="C122" s="67">
        <f ca="1">IF(E122-'Invoer gegevens (N)'!$C$17&lt;0,0,1)</f>
        <v>1</v>
      </c>
      <c r="D122" s="68">
        <f t="shared" si="19"/>
        <v>117.5</v>
      </c>
      <c r="E122" s="69">
        <f ca="1">IF('Invoer gegevens (N)'!$C$16="","",E121+1)</f>
        <v>2136</v>
      </c>
      <c r="F122" s="82">
        <f ca="1">IF('Invoer gegevens (N)'!$C$17=E122,'Invoer gegevens (N)'!$C$10,IF(C122=1,H121,0))</f>
        <v>0</v>
      </c>
      <c r="G122" s="83">
        <f ca="1">IF(C122&gt;=1,F122*'Reeksen (N)'!C122,0)</f>
        <v>0</v>
      </c>
      <c r="H122" s="84">
        <f t="shared" ca="1" si="13"/>
        <v>0</v>
      </c>
      <c r="I122" s="85">
        <f ca="1">IF('Invoer gegevens (N)'!$C$17=E122,'Invoer gegevens (N)'!$C$11,IF(C122=1,L121,0))</f>
        <v>0</v>
      </c>
      <c r="J122" s="86">
        <f ca="1">IF(C122&lt;1,0,IF('Reeksen (N)'!AK122&lt;='Reeksen (N)'!AE122,I122*'Reeksen (N)'!C122,0))</f>
        <v>0</v>
      </c>
      <c r="K122" s="86">
        <f ca="1">IF(C122&lt;1,0,IF('Reeksen (N)'!AK122&gt;'Reeksen (N)'!AE122,I122*'Reeksen (N)'!C122,0))</f>
        <v>0</v>
      </c>
      <c r="L122" s="86">
        <f t="shared" ca="1" si="14"/>
        <v>0</v>
      </c>
      <c r="M122" s="85">
        <f ca="1">IF('Invoer gegevens (N)'!$C$17=E122,'Invoer gegevens (N)'!$C$10-'Invoer gegevens (N)'!$C$11,IF(C122=1,P121,0))</f>
        <v>0</v>
      </c>
      <c r="N122" s="86">
        <f ca="1">IF(C122&lt;1,0,IF('Reeksen (N)'!AK122&lt;='Reeksen (N)'!AE122,M122*'Reeksen (N)'!C122,0))</f>
        <v>0</v>
      </c>
      <c r="O122" s="86">
        <f ca="1">IF(C122&lt;1,0,IF('Reeksen (N)'!AK122&gt;'Reeksen (N)'!AE122,M122*'Reeksen (N)'!C122,0))</f>
        <v>0</v>
      </c>
      <c r="P122" s="86">
        <f t="shared" ca="1" si="15"/>
        <v>0</v>
      </c>
      <c r="Q122" s="82">
        <f ca="1">IF('Invoer gegevens (N)'!$C$17=E122,I122,IF(C122=0,0,R121))</f>
        <v>0</v>
      </c>
      <c r="R122" s="84">
        <f t="shared" ca="1" si="10"/>
        <v>0</v>
      </c>
      <c r="S122" s="84">
        <f ca="1">IF('Invoer gegevens (N)'!$C$17=E122,M122,IF(C122=0,0,T121))</f>
        <v>0</v>
      </c>
      <c r="T122" s="84">
        <f t="shared" ca="1" si="11"/>
        <v>0</v>
      </c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8"/>
      <c r="AI122" s="71">
        <f ca="1">IF(C122=1,((F122+H122)/2*'Reeksen (N)'!AJ122*12)+(('Invoer gegevens (N)'!$C$10-(F122+H122)/2)*'Reeksen (N)'!AK122*12),0)</f>
        <v>0</v>
      </c>
      <c r="AJ122" s="71">
        <f ca="1">-AI122*'Invoer gegevens (N)'!$F$28</f>
        <v>0</v>
      </c>
      <c r="AK122" s="71">
        <f t="shared" ca="1" si="12"/>
        <v>0</v>
      </c>
      <c r="AL122" s="71">
        <f ca="1">IF(C122=1,(12*((F122+H122)/2)*'Reeksen (N)'!AL122)+(12*('Invoer gegevens (N)'!$C$10-(F122+H122)/2)*'Reeksen (N)'!AM122),0)</f>
        <v>0</v>
      </c>
      <c r="AM122" s="71">
        <f ca="1">-AL122*'Invoer gegevens (N)'!$F$31</f>
        <v>0</v>
      </c>
      <c r="AN122" s="71">
        <f t="shared" ca="1" si="16"/>
        <v>0</v>
      </c>
      <c r="AO122" s="71"/>
      <c r="AP122" s="71"/>
      <c r="AQ122" s="71">
        <f ca="1">-IF(C122=1,('Invoer gegevens (N)'!$C$10*'Invoer gegevens (N)'!$I$33)*'Reeksen (N)'!J122,0)*2</f>
        <v>0</v>
      </c>
      <c r="AR122" s="71">
        <f ca="1">-IF(C122=1,(G122*'Invoer gegevens (N)'!$I$34)*'Reeksen (N)'!J122,0)</f>
        <v>0</v>
      </c>
      <c r="AS122" s="71">
        <f ca="1">-IF(C122=1,'Invoer gegevens (N)'!$C$10*'Invoer gegevens (N)'!$I$35*'Reeksen (N)'!L122,0)</f>
        <v>0</v>
      </c>
      <c r="AT122" s="71">
        <f ca="1">-IF(C122=1,IF(E122='Invoer gegevens (N)'!$C$17,'Invoer gegevens (N)'!$C$11,Q122)*'Reeksen (N)'!S122*'Invoer gegevens (N)'!$C$18*'Reeksen (N)'!P122,0)</f>
        <v>0</v>
      </c>
      <c r="AU122" s="71">
        <f ca="1">-IF(C122=1,'Invoer gegevens (N)'!$C$10*'Invoer gegevens (N)'!$I$36*'Reeksen (N)'!H122,0)</f>
        <v>0</v>
      </c>
      <c r="AV122" s="71">
        <v>0</v>
      </c>
      <c r="AW122" s="71">
        <f t="shared" ca="1" si="17"/>
        <v>0</v>
      </c>
      <c r="AX122" s="71">
        <f ca="1">IF(E122&lt;'Invoer gegevens (N)'!$C$17+15,0,IF(E122&gt;'Invoer gegevens (N)'!$C$17+215,0,AW122))</f>
        <v>0</v>
      </c>
      <c r="AY122" s="71">
        <f ca="1">AX122/(1+'Invoer gegevens (N)'!$F$13)^($AZ122-('Invoer gegevens (N)'!$C$17-'Invoer gegevens (N)'!$C$16))/(1+'Invoer gegevens (N)'!$C$39)^('Invoer gegevens (N)'!$C$17-'Invoer gegevens (N)'!$C$16)</f>
        <v>0</v>
      </c>
      <c r="AZ122" s="68">
        <f ca="1">IF(E122-'Invoer gegevens (N)'!$C$17-14.5&lt;0,0,E122-'Invoer gegevens (N)'!$C$17-14.5)</f>
        <v>102.5</v>
      </c>
    </row>
    <row r="123" spans="2:52" x14ac:dyDescent="0.25">
      <c r="B123" s="70">
        <f t="shared" si="18"/>
        <v>119</v>
      </c>
      <c r="C123" s="67">
        <f ca="1">IF(E123-'Invoer gegevens (N)'!$C$17&lt;0,0,1)</f>
        <v>1</v>
      </c>
      <c r="D123" s="68">
        <f t="shared" si="19"/>
        <v>118.5</v>
      </c>
      <c r="E123" s="69">
        <f ca="1">IF('Invoer gegevens (N)'!$C$16="","",E122+1)</f>
        <v>2137</v>
      </c>
      <c r="F123" s="82">
        <f ca="1">IF('Invoer gegevens (N)'!$C$17=E123,'Invoer gegevens (N)'!$C$10,IF(C123=1,H122,0))</f>
        <v>0</v>
      </c>
      <c r="G123" s="83">
        <f ca="1">IF(C123&gt;=1,F123*'Reeksen (N)'!C123,0)</f>
        <v>0</v>
      </c>
      <c r="H123" s="84">
        <f t="shared" ca="1" si="13"/>
        <v>0</v>
      </c>
      <c r="I123" s="85">
        <f ca="1">IF('Invoer gegevens (N)'!$C$17=E123,'Invoer gegevens (N)'!$C$11,IF(C123=1,L122,0))</f>
        <v>0</v>
      </c>
      <c r="J123" s="86">
        <f ca="1">IF(C123&lt;1,0,IF('Reeksen (N)'!AK123&lt;='Reeksen (N)'!AE123,I123*'Reeksen (N)'!C123,0))</f>
        <v>0</v>
      </c>
      <c r="K123" s="86">
        <f ca="1">IF(C123&lt;1,0,IF('Reeksen (N)'!AK123&gt;'Reeksen (N)'!AE123,I123*'Reeksen (N)'!C123,0))</f>
        <v>0</v>
      </c>
      <c r="L123" s="86">
        <f t="shared" ca="1" si="14"/>
        <v>0</v>
      </c>
      <c r="M123" s="85">
        <f ca="1">IF('Invoer gegevens (N)'!$C$17=E123,'Invoer gegevens (N)'!$C$10-'Invoer gegevens (N)'!$C$11,IF(C123=1,P122,0))</f>
        <v>0</v>
      </c>
      <c r="N123" s="86">
        <f ca="1">IF(C123&lt;1,0,IF('Reeksen (N)'!AK123&lt;='Reeksen (N)'!AE123,M123*'Reeksen (N)'!C123,0))</f>
        <v>0</v>
      </c>
      <c r="O123" s="86">
        <f ca="1">IF(C123&lt;1,0,IF('Reeksen (N)'!AK123&gt;'Reeksen (N)'!AE123,M123*'Reeksen (N)'!C123,0))</f>
        <v>0</v>
      </c>
      <c r="P123" s="86">
        <f t="shared" ca="1" si="15"/>
        <v>0</v>
      </c>
      <c r="Q123" s="82">
        <f ca="1">IF('Invoer gegevens (N)'!$C$17=E123,I123,IF(C123=0,0,R122))</f>
        <v>0</v>
      </c>
      <c r="R123" s="84">
        <f t="shared" ca="1" si="10"/>
        <v>0</v>
      </c>
      <c r="S123" s="84">
        <f ca="1">IF('Invoer gegevens (N)'!$C$17=E123,M123,IF(C123=0,0,T122))</f>
        <v>0</v>
      </c>
      <c r="T123" s="84">
        <f t="shared" ca="1" si="11"/>
        <v>0</v>
      </c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8"/>
      <c r="AI123" s="71">
        <f ca="1">IF(C123=1,((F123+H123)/2*'Reeksen (N)'!AJ123*12)+(('Invoer gegevens (N)'!$C$10-(F123+H123)/2)*'Reeksen (N)'!AK123*12),0)</f>
        <v>0</v>
      </c>
      <c r="AJ123" s="71">
        <f ca="1">-AI123*'Invoer gegevens (N)'!$F$28</f>
        <v>0</v>
      </c>
      <c r="AK123" s="71">
        <f t="shared" ca="1" si="12"/>
        <v>0</v>
      </c>
      <c r="AL123" s="71">
        <f ca="1">IF(C123=1,(12*((F123+H123)/2)*'Reeksen (N)'!AL123)+(12*('Invoer gegevens (N)'!$C$10-(F123+H123)/2)*'Reeksen (N)'!AM123),0)</f>
        <v>0</v>
      </c>
      <c r="AM123" s="71">
        <f ca="1">-AL123*'Invoer gegevens (N)'!$F$31</f>
        <v>0</v>
      </c>
      <c r="AN123" s="71">
        <f t="shared" ca="1" si="16"/>
        <v>0</v>
      </c>
      <c r="AO123" s="71"/>
      <c r="AP123" s="71"/>
      <c r="AQ123" s="71">
        <f ca="1">-IF(C123=1,('Invoer gegevens (N)'!$C$10*'Invoer gegevens (N)'!$I$33)*'Reeksen (N)'!J123,0)*2</f>
        <v>0</v>
      </c>
      <c r="AR123" s="71">
        <f ca="1">-IF(C123=1,(G123*'Invoer gegevens (N)'!$I$34)*'Reeksen (N)'!J123,0)</f>
        <v>0</v>
      </c>
      <c r="AS123" s="71">
        <f ca="1">-IF(C123=1,'Invoer gegevens (N)'!$C$10*'Invoer gegevens (N)'!$I$35*'Reeksen (N)'!L123,0)</f>
        <v>0</v>
      </c>
      <c r="AT123" s="71">
        <f ca="1">-IF(C123=1,IF(E123='Invoer gegevens (N)'!$C$17,'Invoer gegevens (N)'!$C$11,Q123)*'Reeksen (N)'!S123*'Invoer gegevens (N)'!$C$18*'Reeksen (N)'!P123,0)</f>
        <v>0</v>
      </c>
      <c r="AU123" s="71">
        <f ca="1">-IF(C123=1,'Invoer gegevens (N)'!$C$10*'Invoer gegevens (N)'!$I$36*'Reeksen (N)'!H123,0)</f>
        <v>0</v>
      </c>
      <c r="AV123" s="71">
        <v>0</v>
      </c>
      <c r="AW123" s="71">
        <f t="shared" ca="1" si="17"/>
        <v>0</v>
      </c>
      <c r="AX123" s="71">
        <f ca="1">IF(E123&lt;'Invoer gegevens (N)'!$C$17+15,0,IF(E123&gt;'Invoer gegevens (N)'!$C$17+215,0,AW123))</f>
        <v>0</v>
      </c>
      <c r="AY123" s="71">
        <f ca="1">AX123/(1+'Invoer gegevens (N)'!$F$13)^($AZ123-('Invoer gegevens (N)'!$C$17-'Invoer gegevens (N)'!$C$16))/(1+'Invoer gegevens (N)'!$C$39)^('Invoer gegevens (N)'!$C$17-'Invoer gegevens (N)'!$C$16)</f>
        <v>0</v>
      </c>
      <c r="AZ123" s="68">
        <f ca="1">IF(E123-'Invoer gegevens (N)'!$C$17-14.5&lt;0,0,E123-'Invoer gegevens (N)'!$C$17-14.5)</f>
        <v>103.5</v>
      </c>
    </row>
    <row r="124" spans="2:52" x14ac:dyDescent="0.25">
      <c r="B124" s="70">
        <f t="shared" si="18"/>
        <v>120</v>
      </c>
      <c r="C124" s="67">
        <f ca="1">IF(E124-'Invoer gegevens (N)'!$C$17&lt;0,0,1)</f>
        <v>1</v>
      </c>
      <c r="D124" s="68">
        <f t="shared" si="19"/>
        <v>119.5</v>
      </c>
      <c r="E124" s="69">
        <f ca="1">IF('Invoer gegevens (N)'!$C$16="","",E123+1)</f>
        <v>2138</v>
      </c>
      <c r="F124" s="82">
        <f ca="1">IF('Invoer gegevens (N)'!$C$17=E124,'Invoer gegevens (N)'!$C$10,IF(C124=1,H123,0))</f>
        <v>0</v>
      </c>
      <c r="G124" s="83">
        <f ca="1">IF(C124&gt;=1,F124*'Reeksen (N)'!C124,0)</f>
        <v>0</v>
      </c>
      <c r="H124" s="84">
        <f t="shared" ca="1" si="13"/>
        <v>0</v>
      </c>
      <c r="I124" s="85">
        <f ca="1">IF('Invoer gegevens (N)'!$C$17=E124,'Invoer gegevens (N)'!$C$11,IF(C124=1,L123,0))</f>
        <v>0</v>
      </c>
      <c r="J124" s="86">
        <f ca="1">IF(C124&lt;1,0,IF('Reeksen (N)'!AK124&lt;='Reeksen (N)'!AE124,I124*'Reeksen (N)'!C124,0))</f>
        <v>0</v>
      </c>
      <c r="K124" s="86">
        <f ca="1">IF(C124&lt;1,0,IF('Reeksen (N)'!AK124&gt;'Reeksen (N)'!AE124,I124*'Reeksen (N)'!C124,0))</f>
        <v>0</v>
      </c>
      <c r="L124" s="86">
        <f t="shared" ca="1" si="14"/>
        <v>0</v>
      </c>
      <c r="M124" s="85">
        <f ca="1">IF('Invoer gegevens (N)'!$C$17=E124,'Invoer gegevens (N)'!$C$10-'Invoer gegevens (N)'!$C$11,IF(C124=1,P123,0))</f>
        <v>0</v>
      </c>
      <c r="N124" s="86">
        <f ca="1">IF(C124&lt;1,0,IF('Reeksen (N)'!AK124&lt;='Reeksen (N)'!AE124,M124*'Reeksen (N)'!C124,0))</f>
        <v>0</v>
      </c>
      <c r="O124" s="86">
        <f ca="1">IF(C124&lt;1,0,IF('Reeksen (N)'!AK124&gt;'Reeksen (N)'!AE124,M124*'Reeksen (N)'!C124,0))</f>
        <v>0</v>
      </c>
      <c r="P124" s="86">
        <f t="shared" ca="1" si="15"/>
        <v>0</v>
      </c>
      <c r="Q124" s="82">
        <f ca="1">IF('Invoer gegevens (N)'!$C$17=E124,I124,IF(C124=0,0,R123))</f>
        <v>0</v>
      </c>
      <c r="R124" s="84">
        <f t="shared" ca="1" si="10"/>
        <v>0</v>
      </c>
      <c r="S124" s="84">
        <f ca="1">IF('Invoer gegevens (N)'!$C$17=E124,M124,IF(C124=0,0,T123))</f>
        <v>0</v>
      </c>
      <c r="T124" s="84">
        <f t="shared" ca="1" si="11"/>
        <v>0</v>
      </c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8"/>
      <c r="AI124" s="71">
        <f ca="1">IF(C124=1,((F124+H124)/2*'Reeksen (N)'!AJ124*12)+(('Invoer gegevens (N)'!$C$10-(F124+H124)/2)*'Reeksen (N)'!AK124*12),0)</f>
        <v>0</v>
      </c>
      <c r="AJ124" s="71">
        <f ca="1">-AI124*'Invoer gegevens (N)'!$F$28</f>
        <v>0</v>
      </c>
      <c r="AK124" s="71">
        <f t="shared" ca="1" si="12"/>
        <v>0</v>
      </c>
      <c r="AL124" s="71">
        <f ca="1">IF(C124=1,(12*((F124+H124)/2)*'Reeksen (N)'!AL124)+(12*('Invoer gegevens (N)'!$C$10-(F124+H124)/2)*'Reeksen (N)'!AM124),0)</f>
        <v>0</v>
      </c>
      <c r="AM124" s="71">
        <f ca="1">-AL124*'Invoer gegevens (N)'!$F$31</f>
        <v>0</v>
      </c>
      <c r="AN124" s="71">
        <f t="shared" ca="1" si="16"/>
        <v>0</v>
      </c>
      <c r="AO124" s="71"/>
      <c r="AP124" s="71"/>
      <c r="AQ124" s="71">
        <f ca="1">-IF(C124=1,('Invoer gegevens (N)'!$C$10*'Invoer gegevens (N)'!$I$33)*'Reeksen (N)'!J124,0)*2</f>
        <v>0</v>
      </c>
      <c r="AR124" s="71">
        <f ca="1">-IF(C124=1,(G124*'Invoer gegevens (N)'!$I$34)*'Reeksen (N)'!J124,0)</f>
        <v>0</v>
      </c>
      <c r="AS124" s="71">
        <f ca="1">-IF(C124=1,'Invoer gegevens (N)'!$C$10*'Invoer gegevens (N)'!$I$35*'Reeksen (N)'!L124,0)</f>
        <v>0</v>
      </c>
      <c r="AT124" s="71">
        <f ca="1">-IF(C124=1,IF(E124='Invoer gegevens (N)'!$C$17,'Invoer gegevens (N)'!$C$11,Q124)*'Reeksen (N)'!S124*'Invoer gegevens (N)'!$C$18*'Reeksen (N)'!P124,0)</f>
        <v>0</v>
      </c>
      <c r="AU124" s="71">
        <f ca="1">-IF(C124=1,'Invoer gegevens (N)'!$C$10*'Invoer gegevens (N)'!$I$36*'Reeksen (N)'!H124,0)</f>
        <v>0</v>
      </c>
      <c r="AV124" s="71">
        <v>0</v>
      </c>
      <c r="AW124" s="71">
        <f t="shared" ca="1" si="17"/>
        <v>0</v>
      </c>
      <c r="AX124" s="71">
        <f ca="1">IF(E124&lt;'Invoer gegevens (N)'!$C$17+15,0,IF(E124&gt;'Invoer gegevens (N)'!$C$17+215,0,AW124))</f>
        <v>0</v>
      </c>
      <c r="AY124" s="71">
        <f ca="1">AX124/(1+'Invoer gegevens (N)'!$F$13)^($AZ124-('Invoer gegevens (N)'!$C$17-'Invoer gegevens (N)'!$C$16))/(1+'Invoer gegevens (N)'!$C$39)^('Invoer gegevens (N)'!$C$17-'Invoer gegevens (N)'!$C$16)</f>
        <v>0</v>
      </c>
      <c r="AZ124" s="68">
        <f ca="1">IF(E124-'Invoer gegevens (N)'!$C$17-14.5&lt;0,0,E124-'Invoer gegevens (N)'!$C$17-14.5)</f>
        <v>104.5</v>
      </c>
    </row>
    <row r="125" spans="2:52" x14ac:dyDescent="0.25">
      <c r="B125" s="70">
        <f t="shared" si="18"/>
        <v>121</v>
      </c>
      <c r="C125" s="67">
        <f ca="1">IF(E125-'Invoer gegevens (N)'!$C$17&lt;0,0,1)</f>
        <v>1</v>
      </c>
      <c r="D125" s="68">
        <f t="shared" si="19"/>
        <v>120.5</v>
      </c>
      <c r="E125" s="69">
        <f ca="1">IF('Invoer gegevens (N)'!$C$16="","",E124+1)</f>
        <v>2139</v>
      </c>
      <c r="F125" s="82">
        <f ca="1">IF('Invoer gegevens (N)'!$C$17=E125,'Invoer gegevens (N)'!$C$10,IF(C125=1,H124,0))</f>
        <v>0</v>
      </c>
      <c r="G125" s="83">
        <f ca="1">IF(C125&gt;=1,F125*'Reeksen (N)'!C125,0)</f>
        <v>0</v>
      </c>
      <c r="H125" s="84">
        <f t="shared" ca="1" si="13"/>
        <v>0</v>
      </c>
      <c r="I125" s="85">
        <f ca="1">IF('Invoer gegevens (N)'!$C$17=E125,'Invoer gegevens (N)'!$C$11,IF(C125=1,L124,0))</f>
        <v>0</v>
      </c>
      <c r="J125" s="86">
        <f ca="1">IF(C125&lt;1,0,IF('Reeksen (N)'!AK125&lt;='Reeksen (N)'!AE125,I125*'Reeksen (N)'!C125,0))</f>
        <v>0</v>
      </c>
      <c r="K125" s="86">
        <f ca="1">IF(C125&lt;1,0,IF('Reeksen (N)'!AK125&gt;'Reeksen (N)'!AE125,I125*'Reeksen (N)'!C125,0))</f>
        <v>0</v>
      </c>
      <c r="L125" s="86">
        <f t="shared" ca="1" si="14"/>
        <v>0</v>
      </c>
      <c r="M125" s="85">
        <f ca="1">IF('Invoer gegevens (N)'!$C$17=E125,'Invoer gegevens (N)'!$C$10-'Invoer gegevens (N)'!$C$11,IF(C125=1,P124,0))</f>
        <v>0</v>
      </c>
      <c r="N125" s="86">
        <f ca="1">IF(C125&lt;1,0,IF('Reeksen (N)'!AK125&lt;='Reeksen (N)'!AE125,M125*'Reeksen (N)'!C125,0))</f>
        <v>0</v>
      </c>
      <c r="O125" s="86">
        <f ca="1">IF(C125&lt;1,0,IF('Reeksen (N)'!AK125&gt;'Reeksen (N)'!AE125,M125*'Reeksen (N)'!C125,0))</f>
        <v>0</v>
      </c>
      <c r="P125" s="86">
        <f t="shared" ca="1" si="15"/>
        <v>0</v>
      </c>
      <c r="Q125" s="82">
        <f ca="1">IF('Invoer gegevens (N)'!$C$17=E125,I125,IF(C125=0,0,R124))</f>
        <v>0</v>
      </c>
      <c r="R125" s="84">
        <f t="shared" ca="1" si="10"/>
        <v>0</v>
      </c>
      <c r="S125" s="84">
        <f ca="1">IF('Invoer gegevens (N)'!$C$17=E125,M125,IF(C125=0,0,T124))</f>
        <v>0</v>
      </c>
      <c r="T125" s="84">
        <f t="shared" ca="1" si="11"/>
        <v>0</v>
      </c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8"/>
      <c r="AI125" s="71">
        <f ca="1">IF(C125=1,((F125+H125)/2*'Reeksen (N)'!AJ125*12)+(('Invoer gegevens (N)'!$C$10-(F125+H125)/2)*'Reeksen (N)'!AK125*12),0)</f>
        <v>0</v>
      </c>
      <c r="AJ125" s="71">
        <f ca="1">-AI125*'Invoer gegevens (N)'!$F$28</f>
        <v>0</v>
      </c>
      <c r="AK125" s="71">
        <f t="shared" ca="1" si="12"/>
        <v>0</v>
      </c>
      <c r="AL125" s="71">
        <f ca="1">IF(C125=1,(12*((F125+H125)/2)*'Reeksen (N)'!AL125)+(12*('Invoer gegevens (N)'!$C$10-(F125+H125)/2)*'Reeksen (N)'!AM125),0)</f>
        <v>0</v>
      </c>
      <c r="AM125" s="71">
        <f ca="1">-AL125*'Invoer gegevens (N)'!$F$31</f>
        <v>0</v>
      </c>
      <c r="AN125" s="71">
        <f t="shared" ca="1" si="16"/>
        <v>0</v>
      </c>
      <c r="AO125" s="71"/>
      <c r="AP125" s="71"/>
      <c r="AQ125" s="71">
        <f ca="1">-IF(C125=1,('Invoer gegevens (N)'!$C$10*'Invoer gegevens (N)'!$I$33)*'Reeksen (N)'!J125,0)*2</f>
        <v>0</v>
      </c>
      <c r="AR125" s="71">
        <f ca="1">-IF(C125=1,(G125*'Invoer gegevens (N)'!$I$34)*'Reeksen (N)'!J125,0)</f>
        <v>0</v>
      </c>
      <c r="AS125" s="71">
        <f ca="1">-IF(C125=1,'Invoer gegevens (N)'!$C$10*'Invoer gegevens (N)'!$I$35*'Reeksen (N)'!L125,0)</f>
        <v>0</v>
      </c>
      <c r="AT125" s="71">
        <f ca="1">-IF(C125=1,IF(E125='Invoer gegevens (N)'!$C$17,'Invoer gegevens (N)'!$C$11,Q125)*'Reeksen (N)'!S125*'Invoer gegevens (N)'!$C$18*'Reeksen (N)'!P125,0)</f>
        <v>0</v>
      </c>
      <c r="AU125" s="71">
        <f ca="1">-IF(C125=1,'Invoer gegevens (N)'!$C$10*'Invoer gegevens (N)'!$I$36*'Reeksen (N)'!H125,0)</f>
        <v>0</v>
      </c>
      <c r="AV125" s="71">
        <v>0</v>
      </c>
      <c r="AW125" s="71">
        <f t="shared" ca="1" si="17"/>
        <v>0</v>
      </c>
      <c r="AX125" s="71">
        <f ca="1">IF(E125&lt;'Invoer gegevens (N)'!$C$17+15,0,IF(E125&gt;'Invoer gegevens (N)'!$C$17+215,0,AW125))</f>
        <v>0</v>
      </c>
      <c r="AY125" s="71">
        <f ca="1">AX125/(1+'Invoer gegevens (N)'!$F$13)^($AZ125-('Invoer gegevens (N)'!$C$17-'Invoer gegevens (N)'!$C$16))/(1+'Invoer gegevens (N)'!$C$39)^('Invoer gegevens (N)'!$C$17-'Invoer gegevens (N)'!$C$16)</f>
        <v>0</v>
      </c>
      <c r="AZ125" s="68">
        <f ca="1">IF(E125-'Invoer gegevens (N)'!$C$17-14.5&lt;0,0,E125-'Invoer gegevens (N)'!$C$17-14.5)</f>
        <v>105.5</v>
      </c>
    </row>
    <row r="126" spans="2:52" x14ac:dyDescent="0.25">
      <c r="B126" s="70">
        <f t="shared" si="18"/>
        <v>122</v>
      </c>
      <c r="C126" s="67">
        <f ca="1">IF(E126-'Invoer gegevens (N)'!$C$17&lt;0,0,1)</f>
        <v>1</v>
      </c>
      <c r="D126" s="68">
        <f t="shared" si="19"/>
        <v>121.5</v>
      </c>
      <c r="E126" s="69">
        <f ca="1">IF('Invoer gegevens (N)'!$C$16="","",E125+1)</f>
        <v>2140</v>
      </c>
      <c r="F126" s="82">
        <f ca="1">IF('Invoer gegevens (N)'!$C$17=E126,'Invoer gegevens (N)'!$C$10,IF(C126=1,H125,0))</f>
        <v>0</v>
      </c>
      <c r="G126" s="83">
        <f ca="1">IF(C126&gt;=1,F126*'Reeksen (N)'!C126,0)</f>
        <v>0</v>
      </c>
      <c r="H126" s="84">
        <f t="shared" ca="1" si="13"/>
        <v>0</v>
      </c>
      <c r="I126" s="85">
        <f ca="1">IF('Invoer gegevens (N)'!$C$17=E126,'Invoer gegevens (N)'!$C$11,IF(C126=1,L125,0))</f>
        <v>0</v>
      </c>
      <c r="J126" s="86">
        <f ca="1">IF(C126&lt;1,0,IF('Reeksen (N)'!AK126&lt;='Reeksen (N)'!AE126,I126*'Reeksen (N)'!C126,0))</f>
        <v>0</v>
      </c>
      <c r="K126" s="86">
        <f ca="1">IF(C126&lt;1,0,IF('Reeksen (N)'!AK126&gt;'Reeksen (N)'!AE126,I126*'Reeksen (N)'!C126,0))</f>
        <v>0</v>
      </c>
      <c r="L126" s="86">
        <f t="shared" ca="1" si="14"/>
        <v>0</v>
      </c>
      <c r="M126" s="85">
        <f ca="1">IF('Invoer gegevens (N)'!$C$17=E126,'Invoer gegevens (N)'!$C$10-'Invoer gegevens (N)'!$C$11,IF(C126=1,P125,0))</f>
        <v>0</v>
      </c>
      <c r="N126" s="86">
        <f ca="1">IF(C126&lt;1,0,IF('Reeksen (N)'!AK126&lt;='Reeksen (N)'!AE126,M126*'Reeksen (N)'!C126,0))</f>
        <v>0</v>
      </c>
      <c r="O126" s="86">
        <f ca="1">IF(C126&lt;1,0,IF('Reeksen (N)'!AK126&gt;'Reeksen (N)'!AE126,M126*'Reeksen (N)'!C126,0))</f>
        <v>0</v>
      </c>
      <c r="P126" s="86">
        <f t="shared" ca="1" si="15"/>
        <v>0</v>
      </c>
      <c r="Q126" s="82">
        <f ca="1">IF('Invoer gegevens (N)'!$C$17=E126,I126,IF(C126=0,0,R125))</f>
        <v>0</v>
      </c>
      <c r="R126" s="84">
        <f t="shared" ca="1" si="10"/>
        <v>0</v>
      </c>
      <c r="S126" s="84">
        <f ca="1">IF('Invoer gegevens (N)'!$C$17=E126,M126,IF(C126=0,0,T125))</f>
        <v>0</v>
      </c>
      <c r="T126" s="84">
        <f t="shared" ca="1" si="11"/>
        <v>0</v>
      </c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8"/>
      <c r="AI126" s="71">
        <f ca="1">IF(C126=1,((F126+H126)/2*'Reeksen (N)'!AJ126*12)+(('Invoer gegevens (N)'!$C$10-(F126+H126)/2)*'Reeksen (N)'!AK126*12),0)</f>
        <v>0</v>
      </c>
      <c r="AJ126" s="71">
        <f ca="1">-AI126*'Invoer gegevens (N)'!$F$28</f>
        <v>0</v>
      </c>
      <c r="AK126" s="71">
        <f t="shared" ca="1" si="12"/>
        <v>0</v>
      </c>
      <c r="AL126" s="71">
        <f ca="1">IF(C126=1,(12*((F126+H126)/2)*'Reeksen (N)'!AL126)+(12*('Invoer gegevens (N)'!$C$10-(F126+H126)/2)*'Reeksen (N)'!AM126),0)</f>
        <v>0</v>
      </c>
      <c r="AM126" s="71">
        <f ca="1">-AL126*'Invoer gegevens (N)'!$F$31</f>
        <v>0</v>
      </c>
      <c r="AN126" s="71">
        <f t="shared" ca="1" si="16"/>
        <v>0</v>
      </c>
      <c r="AO126" s="71"/>
      <c r="AP126" s="71"/>
      <c r="AQ126" s="71">
        <f ca="1">-IF(C126=1,('Invoer gegevens (N)'!$C$10*'Invoer gegevens (N)'!$I$33)*'Reeksen (N)'!J126,0)*2</f>
        <v>0</v>
      </c>
      <c r="AR126" s="71">
        <f ca="1">-IF(C126=1,(G126*'Invoer gegevens (N)'!$I$34)*'Reeksen (N)'!J126,0)</f>
        <v>0</v>
      </c>
      <c r="AS126" s="71">
        <f ca="1">-IF(C126=1,'Invoer gegevens (N)'!$C$10*'Invoer gegevens (N)'!$I$35*'Reeksen (N)'!L126,0)</f>
        <v>0</v>
      </c>
      <c r="AT126" s="71">
        <f ca="1">-IF(C126=1,IF(E126='Invoer gegevens (N)'!$C$17,'Invoer gegevens (N)'!$C$11,Q126)*'Reeksen (N)'!S126*'Invoer gegevens (N)'!$C$18*'Reeksen (N)'!P126,0)</f>
        <v>0</v>
      </c>
      <c r="AU126" s="71">
        <f ca="1">-IF(C126=1,'Invoer gegevens (N)'!$C$10*'Invoer gegevens (N)'!$I$36*'Reeksen (N)'!H126,0)</f>
        <v>0</v>
      </c>
      <c r="AV126" s="71">
        <v>0</v>
      </c>
      <c r="AW126" s="71">
        <f t="shared" ca="1" si="17"/>
        <v>0</v>
      </c>
      <c r="AX126" s="71">
        <f ca="1">IF(E126&lt;'Invoer gegevens (N)'!$C$17+15,0,IF(E126&gt;'Invoer gegevens (N)'!$C$17+215,0,AW126))</f>
        <v>0</v>
      </c>
      <c r="AY126" s="71">
        <f ca="1">AX126/(1+'Invoer gegevens (N)'!$F$13)^($AZ126-('Invoer gegevens (N)'!$C$17-'Invoer gegevens (N)'!$C$16))/(1+'Invoer gegevens (N)'!$C$39)^('Invoer gegevens (N)'!$C$17-'Invoer gegevens (N)'!$C$16)</f>
        <v>0</v>
      </c>
      <c r="AZ126" s="68">
        <f ca="1">IF(E126-'Invoer gegevens (N)'!$C$17-14.5&lt;0,0,E126-'Invoer gegevens (N)'!$C$17-14.5)</f>
        <v>106.5</v>
      </c>
    </row>
    <row r="127" spans="2:52" x14ac:dyDescent="0.25">
      <c r="B127" s="70">
        <f t="shared" si="18"/>
        <v>123</v>
      </c>
      <c r="C127" s="67">
        <f ca="1">IF(E127-'Invoer gegevens (N)'!$C$17&lt;0,0,1)</f>
        <v>1</v>
      </c>
      <c r="D127" s="68">
        <f t="shared" si="19"/>
        <v>122.5</v>
      </c>
      <c r="E127" s="69">
        <f ca="1">IF('Invoer gegevens (N)'!$C$16="","",E126+1)</f>
        <v>2141</v>
      </c>
      <c r="F127" s="82">
        <f ca="1">IF('Invoer gegevens (N)'!$C$17=E127,'Invoer gegevens (N)'!$C$10,IF(C127=1,H126,0))</f>
        <v>0</v>
      </c>
      <c r="G127" s="83">
        <f ca="1">IF(C127&gt;=1,F127*'Reeksen (N)'!C127,0)</f>
        <v>0</v>
      </c>
      <c r="H127" s="84">
        <f t="shared" ca="1" si="13"/>
        <v>0</v>
      </c>
      <c r="I127" s="85">
        <f ca="1">IF('Invoer gegevens (N)'!$C$17=E127,'Invoer gegevens (N)'!$C$11,IF(C127=1,L126,0))</f>
        <v>0</v>
      </c>
      <c r="J127" s="86">
        <f ca="1">IF(C127&lt;1,0,IF('Reeksen (N)'!AK127&lt;='Reeksen (N)'!AE127,I127*'Reeksen (N)'!C127,0))</f>
        <v>0</v>
      </c>
      <c r="K127" s="86">
        <f ca="1">IF(C127&lt;1,0,IF('Reeksen (N)'!AK127&gt;'Reeksen (N)'!AE127,I127*'Reeksen (N)'!C127,0))</f>
        <v>0</v>
      </c>
      <c r="L127" s="86">
        <f t="shared" ca="1" si="14"/>
        <v>0</v>
      </c>
      <c r="M127" s="85">
        <f ca="1">IF('Invoer gegevens (N)'!$C$17=E127,'Invoer gegevens (N)'!$C$10-'Invoer gegevens (N)'!$C$11,IF(C127=1,P126,0))</f>
        <v>0</v>
      </c>
      <c r="N127" s="86">
        <f ca="1">IF(C127&lt;1,0,IF('Reeksen (N)'!AK127&lt;='Reeksen (N)'!AE127,M127*'Reeksen (N)'!C127,0))</f>
        <v>0</v>
      </c>
      <c r="O127" s="86">
        <f ca="1">IF(C127&lt;1,0,IF('Reeksen (N)'!AK127&gt;'Reeksen (N)'!AE127,M127*'Reeksen (N)'!C127,0))</f>
        <v>0</v>
      </c>
      <c r="P127" s="86">
        <f t="shared" ca="1" si="15"/>
        <v>0</v>
      </c>
      <c r="Q127" s="82">
        <f ca="1">IF('Invoer gegevens (N)'!$C$17=E127,I127,IF(C127=0,0,R126))</f>
        <v>0</v>
      </c>
      <c r="R127" s="84">
        <f t="shared" ca="1" si="10"/>
        <v>0</v>
      </c>
      <c r="S127" s="84">
        <f ca="1">IF('Invoer gegevens (N)'!$C$17=E127,M127,IF(C127=0,0,T126))</f>
        <v>0</v>
      </c>
      <c r="T127" s="84">
        <f t="shared" ca="1" si="11"/>
        <v>0</v>
      </c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8"/>
      <c r="AI127" s="71">
        <f ca="1">IF(C127=1,((F127+H127)/2*'Reeksen (N)'!AJ127*12)+(('Invoer gegevens (N)'!$C$10-(F127+H127)/2)*'Reeksen (N)'!AK127*12),0)</f>
        <v>0</v>
      </c>
      <c r="AJ127" s="71">
        <f ca="1">-AI127*'Invoer gegevens (N)'!$F$28</f>
        <v>0</v>
      </c>
      <c r="AK127" s="71">
        <f t="shared" ca="1" si="12"/>
        <v>0</v>
      </c>
      <c r="AL127" s="71">
        <f ca="1">IF(C127=1,(12*((F127+H127)/2)*'Reeksen (N)'!AL127)+(12*('Invoer gegevens (N)'!$C$10-(F127+H127)/2)*'Reeksen (N)'!AM127),0)</f>
        <v>0</v>
      </c>
      <c r="AM127" s="71">
        <f ca="1">-AL127*'Invoer gegevens (N)'!$F$31</f>
        <v>0</v>
      </c>
      <c r="AN127" s="71">
        <f t="shared" ca="1" si="16"/>
        <v>0</v>
      </c>
      <c r="AO127" s="71"/>
      <c r="AP127" s="71"/>
      <c r="AQ127" s="71">
        <f ca="1">-IF(C127=1,('Invoer gegevens (N)'!$C$10*'Invoer gegevens (N)'!$I$33)*'Reeksen (N)'!J127,0)*2</f>
        <v>0</v>
      </c>
      <c r="AR127" s="71">
        <f ca="1">-IF(C127=1,(G127*'Invoer gegevens (N)'!$I$34)*'Reeksen (N)'!J127,0)</f>
        <v>0</v>
      </c>
      <c r="AS127" s="71">
        <f ca="1">-IF(C127=1,'Invoer gegevens (N)'!$C$10*'Invoer gegevens (N)'!$I$35*'Reeksen (N)'!L127,0)</f>
        <v>0</v>
      </c>
      <c r="AT127" s="71">
        <f ca="1">-IF(C127=1,IF(E127='Invoer gegevens (N)'!$C$17,'Invoer gegevens (N)'!$C$11,Q127)*'Reeksen (N)'!S127*'Invoer gegevens (N)'!$C$18*'Reeksen (N)'!P127,0)</f>
        <v>0</v>
      </c>
      <c r="AU127" s="71">
        <f ca="1">-IF(C127=1,'Invoer gegevens (N)'!$C$10*'Invoer gegevens (N)'!$I$36*'Reeksen (N)'!H127,0)</f>
        <v>0</v>
      </c>
      <c r="AV127" s="71">
        <v>0</v>
      </c>
      <c r="AW127" s="71">
        <f t="shared" ca="1" si="17"/>
        <v>0</v>
      </c>
      <c r="AX127" s="71">
        <f ca="1">IF(E127&lt;'Invoer gegevens (N)'!$C$17+15,0,IF(E127&gt;'Invoer gegevens (N)'!$C$17+215,0,AW127))</f>
        <v>0</v>
      </c>
      <c r="AY127" s="71">
        <f ca="1">AX127/(1+'Invoer gegevens (N)'!$F$13)^($AZ127-('Invoer gegevens (N)'!$C$17-'Invoer gegevens (N)'!$C$16))/(1+'Invoer gegevens (N)'!$C$39)^('Invoer gegevens (N)'!$C$17-'Invoer gegevens (N)'!$C$16)</f>
        <v>0</v>
      </c>
      <c r="AZ127" s="68">
        <f ca="1">IF(E127-'Invoer gegevens (N)'!$C$17-14.5&lt;0,0,E127-'Invoer gegevens (N)'!$C$17-14.5)</f>
        <v>107.5</v>
      </c>
    </row>
    <row r="128" spans="2:52" x14ac:dyDescent="0.25">
      <c r="B128" s="70">
        <f t="shared" si="18"/>
        <v>124</v>
      </c>
      <c r="C128" s="67">
        <f ca="1">IF(E128-'Invoer gegevens (N)'!$C$17&lt;0,0,1)</f>
        <v>1</v>
      </c>
      <c r="D128" s="68">
        <f t="shared" si="19"/>
        <v>123.5</v>
      </c>
      <c r="E128" s="69">
        <f ca="1">IF('Invoer gegevens (N)'!$C$16="","",E127+1)</f>
        <v>2142</v>
      </c>
      <c r="F128" s="82">
        <f ca="1">IF('Invoer gegevens (N)'!$C$17=E128,'Invoer gegevens (N)'!$C$10,IF(C128=1,H127,0))</f>
        <v>0</v>
      </c>
      <c r="G128" s="83">
        <f ca="1">IF(C128&gt;=1,F128*'Reeksen (N)'!C128,0)</f>
        <v>0</v>
      </c>
      <c r="H128" s="84">
        <f t="shared" ca="1" si="13"/>
        <v>0</v>
      </c>
      <c r="I128" s="85">
        <f ca="1">IF('Invoer gegevens (N)'!$C$17=E128,'Invoer gegevens (N)'!$C$11,IF(C128=1,L127,0))</f>
        <v>0</v>
      </c>
      <c r="J128" s="86">
        <f ca="1">IF(C128&lt;1,0,IF('Reeksen (N)'!AK128&lt;='Reeksen (N)'!AE128,I128*'Reeksen (N)'!C128,0))</f>
        <v>0</v>
      </c>
      <c r="K128" s="86">
        <f ca="1">IF(C128&lt;1,0,IF('Reeksen (N)'!AK128&gt;'Reeksen (N)'!AE128,I128*'Reeksen (N)'!C128,0))</f>
        <v>0</v>
      </c>
      <c r="L128" s="86">
        <f t="shared" ca="1" si="14"/>
        <v>0</v>
      </c>
      <c r="M128" s="85">
        <f ca="1">IF('Invoer gegevens (N)'!$C$17=E128,'Invoer gegevens (N)'!$C$10-'Invoer gegevens (N)'!$C$11,IF(C128=1,P127,0))</f>
        <v>0</v>
      </c>
      <c r="N128" s="86">
        <f ca="1">IF(C128&lt;1,0,IF('Reeksen (N)'!AK128&lt;='Reeksen (N)'!AE128,M128*'Reeksen (N)'!C128,0))</f>
        <v>0</v>
      </c>
      <c r="O128" s="86">
        <f ca="1">IF(C128&lt;1,0,IF('Reeksen (N)'!AK128&gt;'Reeksen (N)'!AE128,M128*'Reeksen (N)'!C128,0))</f>
        <v>0</v>
      </c>
      <c r="P128" s="86">
        <f t="shared" ca="1" si="15"/>
        <v>0</v>
      </c>
      <c r="Q128" s="82">
        <f ca="1">IF('Invoer gegevens (N)'!$C$17=E128,I128,IF(C128=0,0,R127))</f>
        <v>0</v>
      </c>
      <c r="R128" s="84">
        <f t="shared" ca="1" si="10"/>
        <v>0</v>
      </c>
      <c r="S128" s="84">
        <f ca="1">IF('Invoer gegevens (N)'!$C$17=E128,M128,IF(C128=0,0,T127))</f>
        <v>0</v>
      </c>
      <c r="T128" s="84">
        <f t="shared" ca="1" si="11"/>
        <v>0</v>
      </c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8"/>
      <c r="AI128" s="71">
        <f ca="1">IF(C128=1,((F128+H128)/2*'Reeksen (N)'!AJ128*12)+(('Invoer gegevens (N)'!$C$10-(F128+H128)/2)*'Reeksen (N)'!AK128*12),0)</f>
        <v>0</v>
      </c>
      <c r="AJ128" s="71">
        <f ca="1">-AI128*'Invoer gegevens (N)'!$F$28</f>
        <v>0</v>
      </c>
      <c r="AK128" s="71">
        <f t="shared" ca="1" si="12"/>
        <v>0</v>
      </c>
      <c r="AL128" s="71">
        <f ca="1">IF(C128=1,(12*((F128+H128)/2)*'Reeksen (N)'!AL128)+(12*('Invoer gegevens (N)'!$C$10-(F128+H128)/2)*'Reeksen (N)'!AM128),0)</f>
        <v>0</v>
      </c>
      <c r="AM128" s="71">
        <f ca="1">-AL128*'Invoer gegevens (N)'!$F$31</f>
        <v>0</v>
      </c>
      <c r="AN128" s="71">
        <f t="shared" ca="1" si="16"/>
        <v>0</v>
      </c>
      <c r="AO128" s="71"/>
      <c r="AP128" s="71"/>
      <c r="AQ128" s="71">
        <f ca="1">-IF(C128=1,('Invoer gegevens (N)'!$C$10*'Invoer gegevens (N)'!$I$33)*'Reeksen (N)'!J128,0)*2</f>
        <v>0</v>
      </c>
      <c r="AR128" s="71">
        <f ca="1">-IF(C128=1,(G128*'Invoer gegevens (N)'!$I$34)*'Reeksen (N)'!J128,0)</f>
        <v>0</v>
      </c>
      <c r="AS128" s="71">
        <f ca="1">-IF(C128=1,'Invoer gegevens (N)'!$C$10*'Invoer gegevens (N)'!$I$35*'Reeksen (N)'!L128,0)</f>
        <v>0</v>
      </c>
      <c r="AT128" s="71">
        <f ca="1">-IF(C128=1,IF(E128='Invoer gegevens (N)'!$C$17,'Invoer gegevens (N)'!$C$11,Q128)*'Reeksen (N)'!S128*'Invoer gegevens (N)'!$C$18*'Reeksen (N)'!P128,0)</f>
        <v>0</v>
      </c>
      <c r="AU128" s="71">
        <f ca="1">-IF(C128=1,'Invoer gegevens (N)'!$C$10*'Invoer gegevens (N)'!$I$36*'Reeksen (N)'!H128,0)</f>
        <v>0</v>
      </c>
      <c r="AV128" s="71">
        <v>0</v>
      </c>
      <c r="AW128" s="71">
        <f t="shared" ca="1" si="17"/>
        <v>0</v>
      </c>
      <c r="AX128" s="71">
        <f ca="1">IF(E128&lt;'Invoer gegevens (N)'!$C$17+15,0,IF(E128&gt;'Invoer gegevens (N)'!$C$17+215,0,AW128))</f>
        <v>0</v>
      </c>
      <c r="AY128" s="71">
        <f ca="1">AX128/(1+'Invoer gegevens (N)'!$F$13)^($AZ128-('Invoer gegevens (N)'!$C$17-'Invoer gegevens (N)'!$C$16))/(1+'Invoer gegevens (N)'!$C$39)^('Invoer gegevens (N)'!$C$17-'Invoer gegevens (N)'!$C$16)</f>
        <v>0</v>
      </c>
      <c r="AZ128" s="68">
        <f ca="1">IF(E128-'Invoer gegevens (N)'!$C$17-14.5&lt;0,0,E128-'Invoer gegevens (N)'!$C$17-14.5)</f>
        <v>108.5</v>
      </c>
    </row>
    <row r="129" spans="2:52" x14ac:dyDescent="0.25">
      <c r="B129" s="70">
        <f t="shared" si="18"/>
        <v>125</v>
      </c>
      <c r="C129" s="67">
        <f ca="1">IF(E129-'Invoer gegevens (N)'!$C$17&lt;0,0,1)</f>
        <v>1</v>
      </c>
      <c r="D129" s="68">
        <f t="shared" si="19"/>
        <v>124.5</v>
      </c>
      <c r="E129" s="69">
        <f ca="1">IF('Invoer gegevens (N)'!$C$16="","",E128+1)</f>
        <v>2143</v>
      </c>
      <c r="F129" s="82">
        <f ca="1">IF('Invoer gegevens (N)'!$C$17=E129,'Invoer gegevens (N)'!$C$10,IF(C129=1,H128,0))</f>
        <v>0</v>
      </c>
      <c r="G129" s="83">
        <f ca="1">IF(C129&gt;=1,F129*'Reeksen (N)'!C129,0)</f>
        <v>0</v>
      </c>
      <c r="H129" s="84">
        <f t="shared" ca="1" si="13"/>
        <v>0</v>
      </c>
      <c r="I129" s="85">
        <f ca="1">IF('Invoer gegevens (N)'!$C$17=E129,'Invoer gegevens (N)'!$C$11,IF(C129=1,L128,0))</f>
        <v>0</v>
      </c>
      <c r="J129" s="86">
        <f ca="1">IF(C129&lt;1,0,IF('Reeksen (N)'!AK129&lt;='Reeksen (N)'!AE129,I129*'Reeksen (N)'!C129,0))</f>
        <v>0</v>
      </c>
      <c r="K129" s="86">
        <f ca="1">IF(C129&lt;1,0,IF('Reeksen (N)'!AK129&gt;'Reeksen (N)'!AE129,I129*'Reeksen (N)'!C129,0))</f>
        <v>0</v>
      </c>
      <c r="L129" s="86">
        <f t="shared" ca="1" si="14"/>
        <v>0</v>
      </c>
      <c r="M129" s="85">
        <f ca="1">IF('Invoer gegevens (N)'!$C$17=E129,'Invoer gegevens (N)'!$C$10-'Invoer gegevens (N)'!$C$11,IF(C129=1,P128,0))</f>
        <v>0</v>
      </c>
      <c r="N129" s="86">
        <f ca="1">IF(C129&lt;1,0,IF('Reeksen (N)'!AK129&lt;='Reeksen (N)'!AE129,M129*'Reeksen (N)'!C129,0))</f>
        <v>0</v>
      </c>
      <c r="O129" s="86">
        <f ca="1">IF(C129&lt;1,0,IF('Reeksen (N)'!AK129&gt;'Reeksen (N)'!AE129,M129*'Reeksen (N)'!C129,0))</f>
        <v>0</v>
      </c>
      <c r="P129" s="86">
        <f t="shared" ca="1" si="15"/>
        <v>0</v>
      </c>
      <c r="Q129" s="82">
        <f ca="1">IF('Invoer gegevens (N)'!$C$17=E129,I129,IF(C129=0,0,R128))</f>
        <v>0</v>
      </c>
      <c r="R129" s="84">
        <f t="shared" ca="1" si="10"/>
        <v>0</v>
      </c>
      <c r="S129" s="84">
        <f ca="1">IF('Invoer gegevens (N)'!$C$17=E129,M129,IF(C129=0,0,T128))</f>
        <v>0</v>
      </c>
      <c r="T129" s="84">
        <f t="shared" ca="1" si="11"/>
        <v>0</v>
      </c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8"/>
      <c r="AI129" s="71">
        <f ca="1">IF(C129=1,((F129+H129)/2*'Reeksen (N)'!AJ129*12)+(('Invoer gegevens (N)'!$C$10-(F129+H129)/2)*'Reeksen (N)'!AK129*12),0)</f>
        <v>0</v>
      </c>
      <c r="AJ129" s="71">
        <f ca="1">-AI129*'Invoer gegevens (N)'!$F$28</f>
        <v>0</v>
      </c>
      <c r="AK129" s="71">
        <f t="shared" ca="1" si="12"/>
        <v>0</v>
      </c>
      <c r="AL129" s="71">
        <f ca="1">IF(C129=1,(12*((F129+H129)/2)*'Reeksen (N)'!AL129)+(12*('Invoer gegevens (N)'!$C$10-(F129+H129)/2)*'Reeksen (N)'!AM129),0)</f>
        <v>0</v>
      </c>
      <c r="AM129" s="71">
        <f ca="1">-AL129*'Invoer gegevens (N)'!$F$31</f>
        <v>0</v>
      </c>
      <c r="AN129" s="71">
        <f t="shared" ca="1" si="16"/>
        <v>0</v>
      </c>
      <c r="AO129" s="71"/>
      <c r="AP129" s="71"/>
      <c r="AQ129" s="71">
        <f ca="1">-IF(C129=1,('Invoer gegevens (N)'!$C$10*'Invoer gegevens (N)'!$I$33)*'Reeksen (N)'!J129,0)*2</f>
        <v>0</v>
      </c>
      <c r="AR129" s="71">
        <f ca="1">-IF(C129=1,(G129*'Invoer gegevens (N)'!$I$34)*'Reeksen (N)'!J129,0)</f>
        <v>0</v>
      </c>
      <c r="AS129" s="71">
        <f ca="1">-IF(C129=1,'Invoer gegevens (N)'!$C$10*'Invoer gegevens (N)'!$I$35*'Reeksen (N)'!L129,0)</f>
        <v>0</v>
      </c>
      <c r="AT129" s="71">
        <f ca="1">-IF(C129=1,IF(E129='Invoer gegevens (N)'!$C$17,'Invoer gegevens (N)'!$C$11,Q129)*'Reeksen (N)'!S129*'Invoer gegevens (N)'!$C$18*'Reeksen (N)'!P129,0)</f>
        <v>0</v>
      </c>
      <c r="AU129" s="71">
        <f ca="1">-IF(C129=1,'Invoer gegevens (N)'!$C$10*'Invoer gegevens (N)'!$I$36*'Reeksen (N)'!H129,0)</f>
        <v>0</v>
      </c>
      <c r="AV129" s="71">
        <v>0</v>
      </c>
      <c r="AW129" s="71">
        <f t="shared" ca="1" si="17"/>
        <v>0</v>
      </c>
      <c r="AX129" s="71">
        <f ca="1">IF(E129&lt;'Invoer gegevens (N)'!$C$17+15,0,IF(E129&gt;'Invoer gegevens (N)'!$C$17+215,0,AW129))</f>
        <v>0</v>
      </c>
      <c r="AY129" s="71">
        <f ca="1">AX129/(1+'Invoer gegevens (N)'!$F$13)^($AZ129-('Invoer gegevens (N)'!$C$17-'Invoer gegevens (N)'!$C$16))/(1+'Invoer gegevens (N)'!$C$39)^('Invoer gegevens (N)'!$C$17-'Invoer gegevens (N)'!$C$16)</f>
        <v>0</v>
      </c>
      <c r="AZ129" s="68">
        <f ca="1">IF(E129-'Invoer gegevens (N)'!$C$17-14.5&lt;0,0,E129-'Invoer gegevens (N)'!$C$17-14.5)</f>
        <v>109.5</v>
      </c>
    </row>
    <row r="130" spans="2:52" x14ac:dyDescent="0.25">
      <c r="B130" s="70">
        <f t="shared" si="18"/>
        <v>126</v>
      </c>
      <c r="C130" s="67">
        <f ca="1">IF(E130-'Invoer gegevens (N)'!$C$17&lt;0,0,1)</f>
        <v>1</v>
      </c>
      <c r="D130" s="68">
        <f t="shared" si="19"/>
        <v>125.5</v>
      </c>
      <c r="E130" s="69">
        <f ca="1">IF('Invoer gegevens (N)'!$C$16="","",E129+1)</f>
        <v>2144</v>
      </c>
      <c r="F130" s="82">
        <f ca="1">IF('Invoer gegevens (N)'!$C$17=E130,'Invoer gegevens (N)'!$C$10,IF(C130=1,H129,0))</f>
        <v>0</v>
      </c>
      <c r="G130" s="83">
        <f ca="1">IF(C130&gt;=1,F130*'Reeksen (N)'!C130,0)</f>
        <v>0</v>
      </c>
      <c r="H130" s="84">
        <f t="shared" ca="1" si="13"/>
        <v>0</v>
      </c>
      <c r="I130" s="85">
        <f ca="1">IF('Invoer gegevens (N)'!$C$17=E130,'Invoer gegevens (N)'!$C$11,IF(C130=1,L129,0))</f>
        <v>0</v>
      </c>
      <c r="J130" s="86">
        <f ca="1">IF(C130&lt;1,0,IF('Reeksen (N)'!AK130&lt;='Reeksen (N)'!AE130,I130*'Reeksen (N)'!C130,0))</f>
        <v>0</v>
      </c>
      <c r="K130" s="86">
        <f ca="1">IF(C130&lt;1,0,IF('Reeksen (N)'!AK130&gt;'Reeksen (N)'!AE130,I130*'Reeksen (N)'!C130,0))</f>
        <v>0</v>
      </c>
      <c r="L130" s="86">
        <f t="shared" ca="1" si="14"/>
        <v>0</v>
      </c>
      <c r="M130" s="85">
        <f ca="1">IF('Invoer gegevens (N)'!$C$17=E130,'Invoer gegevens (N)'!$C$10-'Invoer gegevens (N)'!$C$11,IF(C130=1,P129,0))</f>
        <v>0</v>
      </c>
      <c r="N130" s="86">
        <f ca="1">IF(C130&lt;1,0,IF('Reeksen (N)'!AK130&lt;='Reeksen (N)'!AE130,M130*'Reeksen (N)'!C130,0))</f>
        <v>0</v>
      </c>
      <c r="O130" s="86">
        <f ca="1">IF(C130&lt;1,0,IF('Reeksen (N)'!AK130&gt;'Reeksen (N)'!AE130,M130*'Reeksen (N)'!C130,0))</f>
        <v>0</v>
      </c>
      <c r="P130" s="86">
        <f t="shared" ca="1" si="15"/>
        <v>0</v>
      </c>
      <c r="Q130" s="82">
        <f ca="1">IF('Invoer gegevens (N)'!$C$17=E130,I130,IF(C130=0,0,R129))</f>
        <v>0</v>
      </c>
      <c r="R130" s="84">
        <f t="shared" ca="1" si="10"/>
        <v>0</v>
      </c>
      <c r="S130" s="84">
        <f ca="1">IF('Invoer gegevens (N)'!$C$17=E130,M130,IF(C130=0,0,T129))</f>
        <v>0</v>
      </c>
      <c r="T130" s="84">
        <f t="shared" ca="1" si="11"/>
        <v>0</v>
      </c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8"/>
      <c r="AI130" s="71">
        <f ca="1">IF(C130=1,((F130+H130)/2*'Reeksen (N)'!AJ130*12)+(('Invoer gegevens (N)'!$C$10-(F130+H130)/2)*'Reeksen (N)'!AK130*12),0)</f>
        <v>0</v>
      </c>
      <c r="AJ130" s="71">
        <f ca="1">-AI130*'Invoer gegevens (N)'!$F$28</f>
        <v>0</v>
      </c>
      <c r="AK130" s="71">
        <f t="shared" ca="1" si="12"/>
        <v>0</v>
      </c>
      <c r="AL130" s="71">
        <f ca="1">IF(C130=1,(12*((F130+H130)/2)*'Reeksen (N)'!AL130)+(12*('Invoer gegevens (N)'!$C$10-(F130+H130)/2)*'Reeksen (N)'!AM130),0)</f>
        <v>0</v>
      </c>
      <c r="AM130" s="71">
        <f ca="1">-AL130*'Invoer gegevens (N)'!$F$31</f>
        <v>0</v>
      </c>
      <c r="AN130" s="71">
        <f t="shared" ca="1" si="16"/>
        <v>0</v>
      </c>
      <c r="AO130" s="71"/>
      <c r="AP130" s="71"/>
      <c r="AQ130" s="71">
        <f ca="1">-IF(C130=1,('Invoer gegevens (N)'!$C$10*'Invoer gegevens (N)'!$I$33)*'Reeksen (N)'!J130,0)*2</f>
        <v>0</v>
      </c>
      <c r="AR130" s="71">
        <f ca="1">-IF(C130=1,(G130*'Invoer gegevens (N)'!$I$34)*'Reeksen (N)'!J130,0)</f>
        <v>0</v>
      </c>
      <c r="AS130" s="71">
        <f ca="1">-IF(C130=1,'Invoer gegevens (N)'!$C$10*'Invoer gegevens (N)'!$I$35*'Reeksen (N)'!L130,0)</f>
        <v>0</v>
      </c>
      <c r="AT130" s="71">
        <f ca="1">-IF(C130=1,IF(E130='Invoer gegevens (N)'!$C$17,'Invoer gegevens (N)'!$C$11,Q130)*'Reeksen (N)'!S130*'Invoer gegevens (N)'!$C$18*'Reeksen (N)'!P130,0)</f>
        <v>0</v>
      </c>
      <c r="AU130" s="71">
        <f ca="1">-IF(C130=1,'Invoer gegevens (N)'!$C$10*'Invoer gegevens (N)'!$I$36*'Reeksen (N)'!H130,0)</f>
        <v>0</v>
      </c>
      <c r="AV130" s="71">
        <v>0</v>
      </c>
      <c r="AW130" s="71">
        <f t="shared" ca="1" si="17"/>
        <v>0</v>
      </c>
      <c r="AX130" s="71">
        <f ca="1">IF(E130&lt;'Invoer gegevens (N)'!$C$17+15,0,IF(E130&gt;'Invoer gegevens (N)'!$C$17+215,0,AW130))</f>
        <v>0</v>
      </c>
      <c r="AY130" s="71">
        <f ca="1">AX130/(1+'Invoer gegevens (N)'!$F$13)^($AZ130-('Invoer gegevens (N)'!$C$17-'Invoer gegevens (N)'!$C$16))/(1+'Invoer gegevens (N)'!$C$39)^('Invoer gegevens (N)'!$C$17-'Invoer gegevens (N)'!$C$16)</f>
        <v>0</v>
      </c>
      <c r="AZ130" s="68">
        <f ca="1">IF(E130-'Invoer gegevens (N)'!$C$17-14.5&lt;0,0,E130-'Invoer gegevens (N)'!$C$17-14.5)</f>
        <v>110.5</v>
      </c>
    </row>
    <row r="131" spans="2:52" x14ac:dyDescent="0.25">
      <c r="B131" s="70">
        <f t="shared" si="18"/>
        <v>127</v>
      </c>
      <c r="C131" s="67">
        <f ca="1">IF(E131-'Invoer gegevens (N)'!$C$17&lt;0,0,1)</f>
        <v>1</v>
      </c>
      <c r="D131" s="68">
        <f t="shared" si="19"/>
        <v>126.5</v>
      </c>
      <c r="E131" s="69">
        <f ca="1">IF('Invoer gegevens (N)'!$C$16="","",E130+1)</f>
        <v>2145</v>
      </c>
      <c r="F131" s="82">
        <f ca="1">IF('Invoer gegevens (N)'!$C$17=E131,'Invoer gegevens (N)'!$C$10,IF(C131=1,H130,0))</f>
        <v>0</v>
      </c>
      <c r="G131" s="83">
        <f ca="1">IF(C131&gt;=1,F131*'Reeksen (N)'!C131,0)</f>
        <v>0</v>
      </c>
      <c r="H131" s="84">
        <f t="shared" ca="1" si="13"/>
        <v>0</v>
      </c>
      <c r="I131" s="85">
        <f ca="1">IF('Invoer gegevens (N)'!$C$17=E131,'Invoer gegevens (N)'!$C$11,IF(C131=1,L130,0))</f>
        <v>0</v>
      </c>
      <c r="J131" s="86">
        <f ca="1">IF(C131&lt;1,0,IF('Reeksen (N)'!AK131&lt;='Reeksen (N)'!AE131,I131*'Reeksen (N)'!C131,0))</f>
        <v>0</v>
      </c>
      <c r="K131" s="86">
        <f ca="1">IF(C131&lt;1,0,IF('Reeksen (N)'!AK131&gt;'Reeksen (N)'!AE131,I131*'Reeksen (N)'!C131,0))</f>
        <v>0</v>
      </c>
      <c r="L131" s="86">
        <f t="shared" ca="1" si="14"/>
        <v>0</v>
      </c>
      <c r="M131" s="85">
        <f ca="1">IF('Invoer gegevens (N)'!$C$17=E131,'Invoer gegevens (N)'!$C$10-'Invoer gegevens (N)'!$C$11,IF(C131=1,P130,0))</f>
        <v>0</v>
      </c>
      <c r="N131" s="86">
        <f ca="1">IF(C131&lt;1,0,IF('Reeksen (N)'!AK131&lt;='Reeksen (N)'!AE131,M131*'Reeksen (N)'!C131,0))</f>
        <v>0</v>
      </c>
      <c r="O131" s="86">
        <f ca="1">IF(C131&lt;1,0,IF('Reeksen (N)'!AK131&gt;'Reeksen (N)'!AE131,M131*'Reeksen (N)'!C131,0))</f>
        <v>0</v>
      </c>
      <c r="P131" s="86">
        <f t="shared" ca="1" si="15"/>
        <v>0</v>
      </c>
      <c r="Q131" s="82">
        <f ca="1">IF('Invoer gegevens (N)'!$C$17=E131,I131,IF(C131=0,0,R130))</f>
        <v>0</v>
      </c>
      <c r="R131" s="84">
        <f t="shared" ca="1" si="10"/>
        <v>0</v>
      </c>
      <c r="S131" s="84">
        <f ca="1">IF('Invoer gegevens (N)'!$C$17=E131,M131,IF(C131=0,0,T130))</f>
        <v>0</v>
      </c>
      <c r="T131" s="84">
        <f t="shared" ca="1" si="11"/>
        <v>0</v>
      </c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8"/>
      <c r="AI131" s="71">
        <f ca="1">IF(C131=1,((F131+H131)/2*'Reeksen (N)'!AJ131*12)+(('Invoer gegevens (N)'!$C$10-(F131+H131)/2)*'Reeksen (N)'!AK131*12),0)</f>
        <v>0</v>
      </c>
      <c r="AJ131" s="71">
        <f ca="1">-AI131*'Invoer gegevens (N)'!$F$28</f>
        <v>0</v>
      </c>
      <c r="AK131" s="71">
        <f t="shared" ca="1" si="12"/>
        <v>0</v>
      </c>
      <c r="AL131" s="71">
        <f ca="1">IF(C131=1,(12*((F131+H131)/2)*'Reeksen (N)'!AL131)+(12*('Invoer gegevens (N)'!$C$10-(F131+H131)/2)*'Reeksen (N)'!AM131),0)</f>
        <v>0</v>
      </c>
      <c r="AM131" s="71">
        <f ca="1">-AL131*'Invoer gegevens (N)'!$F$31</f>
        <v>0</v>
      </c>
      <c r="AN131" s="71">
        <f t="shared" ca="1" si="16"/>
        <v>0</v>
      </c>
      <c r="AO131" s="71"/>
      <c r="AP131" s="71"/>
      <c r="AQ131" s="71">
        <f ca="1">-IF(C131=1,('Invoer gegevens (N)'!$C$10*'Invoer gegevens (N)'!$I$33)*'Reeksen (N)'!J131,0)*2</f>
        <v>0</v>
      </c>
      <c r="AR131" s="71">
        <f ca="1">-IF(C131=1,(G131*'Invoer gegevens (N)'!$I$34)*'Reeksen (N)'!J131,0)</f>
        <v>0</v>
      </c>
      <c r="AS131" s="71">
        <f ca="1">-IF(C131=1,'Invoer gegevens (N)'!$C$10*'Invoer gegevens (N)'!$I$35*'Reeksen (N)'!L131,0)</f>
        <v>0</v>
      </c>
      <c r="AT131" s="71">
        <f ca="1">-IF(C131=1,IF(E131='Invoer gegevens (N)'!$C$17,'Invoer gegevens (N)'!$C$11,Q131)*'Reeksen (N)'!S131*'Invoer gegevens (N)'!$C$18*'Reeksen (N)'!P131,0)</f>
        <v>0</v>
      </c>
      <c r="AU131" s="71">
        <f ca="1">-IF(C131=1,'Invoer gegevens (N)'!$C$10*'Invoer gegevens (N)'!$I$36*'Reeksen (N)'!H131,0)</f>
        <v>0</v>
      </c>
      <c r="AV131" s="71">
        <v>0</v>
      </c>
      <c r="AW131" s="71">
        <f t="shared" ca="1" si="17"/>
        <v>0</v>
      </c>
      <c r="AX131" s="71">
        <f ca="1">IF(E131&lt;'Invoer gegevens (N)'!$C$17+15,0,IF(E131&gt;'Invoer gegevens (N)'!$C$17+215,0,AW131))</f>
        <v>0</v>
      </c>
      <c r="AY131" s="71">
        <f ca="1">AX131/(1+'Invoer gegevens (N)'!$F$13)^($AZ131-('Invoer gegevens (N)'!$C$17-'Invoer gegevens (N)'!$C$16))/(1+'Invoer gegevens (N)'!$C$39)^('Invoer gegevens (N)'!$C$17-'Invoer gegevens (N)'!$C$16)</f>
        <v>0</v>
      </c>
      <c r="AZ131" s="68">
        <f ca="1">IF(E131-'Invoer gegevens (N)'!$C$17-14.5&lt;0,0,E131-'Invoer gegevens (N)'!$C$17-14.5)</f>
        <v>111.5</v>
      </c>
    </row>
    <row r="132" spans="2:52" x14ac:dyDescent="0.25">
      <c r="B132" s="70">
        <f t="shared" si="18"/>
        <v>128</v>
      </c>
      <c r="C132" s="67">
        <f ca="1">IF(E132-'Invoer gegevens (N)'!$C$17&lt;0,0,1)</f>
        <v>1</v>
      </c>
      <c r="D132" s="68">
        <f t="shared" si="19"/>
        <v>127.5</v>
      </c>
      <c r="E132" s="69">
        <f ca="1">IF('Invoer gegevens (N)'!$C$16="","",E131+1)</f>
        <v>2146</v>
      </c>
      <c r="F132" s="82">
        <f ca="1">IF('Invoer gegevens (N)'!$C$17=E132,'Invoer gegevens (N)'!$C$10,IF(C132=1,H131,0))</f>
        <v>0</v>
      </c>
      <c r="G132" s="83">
        <f ca="1">IF(C132&gt;=1,F132*'Reeksen (N)'!C132,0)</f>
        <v>0</v>
      </c>
      <c r="H132" s="84">
        <f t="shared" ca="1" si="13"/>
        <v>0</v>
      </c>
      <c r="I132" s="85">
        <f ca="1">IF('Invoer gegevens (N)'!$C$17=E132,'Invoer gegevens (N)'!$C$11,IF(C132=1,L131,0))</f>
        <v>0</v>
      </c>
      <c r="J132" s="86">
        <f ca="1">IF(C132&lt;1,0,IF('Reeksen (N)'!AK132&lt;='Reeksen (N)'!AE132,I132*'Reeksen (N)'!C132,0))</f>
        <v>0</v>
      </c>
      <c r="K132" s="86">
        <f ca="1">IF(C132&lt;1,0,IF('Reeksen (N)'!AK132&gt;'Reeksen (N)'!AE132,I132*'Reeksen (N)'!C132,0))</f>
        <v>0</v>
      </c>
      <c r="L132" s="86">
        <f t="shared" ca="1" si="14"/>
        <v>0</v>
      </c>
      <c r="M132" s="85">
        <f ca="1">IF('Invoer gegevens (N)'!$C$17=E132,'Invoer gegevens (N)'!$C$10-'Invoer gegevens (N)'!$C$11,IF(C132=1,P131,0))</f>
        <v>0</v>
      </c>
      <c r="N132" s="86">
        <f ca="1">IF(C132&lt;1,0,IF('Reeksen (N)'!AK132&lt;='Reeksen (N)'!AE132,M132*'Reeksen (N)'!C132,0))</f>
        <v>0</v>
      </c>
      <c r="O132" s="86">
        <f ca="1">IF(C132&lt;1,0,IF('Reeksen (N)'!AK132&gt;'Reeksen (N)'!AE132,M132*'Reeksen (N)'!C132,0))</f>
        <v>0</v>
      </c>
      <c r="P132" s="86">
        <f t="shared" ca="1" si="15"/>
        <v>0</v>
      </c>
      <c r="Q132" s="82">
        <f ca="1">IF('Invoer gegevens (N)'!$C$17=E132,I132,IF(C132=0,0,R131))</f>
        <v>0</v>
      </c>
      <c r="R132" s="84">
        <f t="shared" ca="1" si="10"/>
        <v>0</v>
      </c>
      <c r="S132" s="84">
        <f ca="1">IF('Invoer gegevens (N)'!$C$17=E132,M132,IF(C132=0,0,T131))</f>
        <v>0</v>
      </c>
      <c r="T132" s="84">
        <f t="shared" ca="1" si="11"/>
        <v>0</v>
      </c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8"/>
      <c r="AI132" s="71">
        <f ca="1">IF(C132=1,((F132+H132)/2*'Reeksen (N)'!AJ132*12)+(('Invoer gegevens (N)'!$C$10-(F132+H132)/2)*'Reeksen (N)'!AK132*12),0)</f>
        <v>0</v>
      </c>
      <c r="AJ132" s="71">
        <f ca="1">-AI132*'Invoer gegevens (N)'!$F$28</f>
        <v>0</v>
      </c>
      <c r="AK132" s="71">
        <f t="shared" ca="1" si="12"/>
        <v>0</v>
      </c>
      <c r="AL132" s="71">
        <f ca="1">IF(C132=1,(12*((F132+H132)/2)*'Reeksen (N)'!AL132)+(12*('Invoer gegevens (N)'!$C$10-(F132+H132)/2)*'Reeksen (N)'!AM132),0)</f>
        <v>0</v>
      </c>
      <c r="AM132" s="71">
        <f ca="1">-AL132*'Invoer gegevens (N)'!$F$31</f>
        <v>0</v>
      </c>
      <c r="AN132" s="71">
        <f t="shared" ca="1" si="16"/>
        <v>0</v>
      </c>
      <c r="AO132" s="71"/>
      <c r="AP132" s="71"/>
      <c r="AQ132" s="71">
        <f ca="1">-IF(C132=1,('Invoer gegevens (N)'!$C$10*'Invoer gegevens (N)'!$I$33)*'Reeksen (N)'!J132,0)*2</f>
        <v>0</v>
      </c>
      <c r="AR132" s="71">
        <f ca="1">-IF(C132=1,(G132*'Invoer gegevens (N)'!$I$34)*'Reeksen (N)'!J132,0)</f>
        <v>0</v>
      </c>
      <c r="AS132" s="71">
        <f ca="1">-IF(C132=1,'Invoer gegevens (N)'!$C$10*'Invoer gegevens (N)'!$I$35*'Reeksen (N)'!L132,0)</f>
        <v>0</v>
      </c>
      <c r="AT132" s="71">
        <f ca="1">-IF(C132=1,IF(E132='Invoer gegevens (N)'!$C$17,'Invoer gegevens (N)'!$C$11,Q132)*'Reeksen (N)'!S132*'Invoer gegevens (N)'!$C$18*'Reeksen (N)'!P132,0)</f>
        <v>0</v>
      </c>
      <c r="AU132" s="71">
        <f ca="1">-IF(C132=1,'Invoer gegevens (N)'!$C$10*'Invoer gegevens (N)'!$I$36*'Reeksen (N)'!H132,0)</f>
        <v>0</v>
      </c>
      <c r="AV132" s="71">
        <v>0</v>
      </c>
      <c r="AW132" s="71">
        <f t="shared" ca="1" si="17"/>
        <v>0</v>
      </c>
      <c r="AX132" s="71">
        <f ca="1">IF(E132&lt;'Invoer gegevens (N)'!$C$17+15,0,IF(E132&gt;'Invoer gegevens (N)'!$C$17+215,0,AW132))</f>
        <v>0</v>
      </c>
      <c r="AY132" s="71">
        <f ca="1">AX132/(1+'Invoer gegevens (N)'!$F$13)^($AZ132-('Invoer gegevens (N)'!$C$17-'Invoer gegevens (N)'!$C$16))/(1+'Invoer gegevens (N)'!$C$39)^('Invoer gegevens (N)'!$C$17-'Invoer gegevens (N)'!$C$16)</f>
        <v>0</v>
      </c>
      <c r="AZ132" s="68">
        <f ca="1">IF(E132-'Invoer gegevens (N)'!$C$17-14.5&lt;0,0,E132-'Invoer gegevens (N)'!$C$17-14.5)</f>
        <v>112.5</v>
      </c>
    </row>
    <row r="133" spans="2:52" x14ac:dyDescent="0.25">
      <c r="B133" s="70">
        <f t="shared" si="18"/>
        <v>129</v>
      </c>
      <c r="C133" s="67">
        <f ca="1">IF(E133-'Invoer gegevens (N)'!$C$17&lt;0,0,1)</f>
        <v>1</v>
      </c>
      <c r="D133" s="68">
        <f t="shared" si="19"/>
        <v>128.5</v>
      </c>
      <c r="E133" s="69">
        <f ca="1">IF('Invoer gegevens (N)'!$C$16="","",E132+1)</f>
        <v>2147</v>
      </c>
      <c r="F133" s="82">
        <f ca="1">IF('Invoer gegevens (N)'!$C$17=E133,'Invoer gegevens (N)'!$C$10,IF(C133=1,H132,0))</f>
        <v>0</v>
      </c>
      <c r="G133" s="83">
        <f ca="1">IF(C133&gt;=1,F133*'Reeksen (N)'!C133,0)</f>
        <v>0</v>
      </c>
      <c r="H133" s="84">
        <f t="shared" ca="1" si="13"/>
        <v>0</v>
      </c>
      <c r="I133" s="85">
        <f ca="1">IF('Invoer gegevens (N)'!$C$17=E133,'Invoer gegevens (N)'!$C$11,IF(C133=1,L132,0))</f>
        <v>0</v>
      </c>
      <c r="J133" s="86">
        <f ca="1">IF(C133&lt;1,0,IF('Reeksen (N)'!AK133&lt;='Reeksen (N)'!AE133,I133*'Reeksen (N)'!C133,0))</f>
        <v>0</v>
      </c>
      <c r="K133" s="86">
        <f ca="1">IF(C133&lt;1,0,IF('Reeksen (N)'!AK133&gt;'Reeksen (N)'!AE133,I133*'Reeksen (N)'!C133,0))</f>
        <v>0</v>
      </c>
      <c r="L133" s="86">
        <f t="shared" ca="1" si="14"/>
        <v>0</v>
      </c>
      <c r="M133" s="85">
        <f ca="1">IF('Invoer gegevens (N)'!$C$17=E133,'Invoer gegevens (N)'!$C$10-'Invoer gegevens (N)'!$C$11,IF(C133=1,P132,0))</f>
        <v>0</v>
      </c>
      <c r="N133" s="86">
        <f ca="1">IF(C133&lt;1,0,IF('Reeksen (N)'!AK133&lt;='Reeksen (N)'!AE133,M133*'Reeksen (N)'!C133,0))</f>
        <v>0</v>
      </c>
      <c r="O133" s="86">
        <f ca="1">IF(C133&lt;1,0,IF('Reeksen (N)'!AK133&gt;'Reeksen (N)'!AE133,M133*'Reeksen (N)'!C133,0))</f>
        <v>0</v>
      </c>
      <c r="P133" s="86">
        <f t="shared" ca="1" si="15"/>
        <v>0</v>
      </c>
      <c r="Q133" s="82">
        <f ca="1">IF('Invoer gegevens (N)'!$C$17=E133,I133,IF(C133=0,0,R132))</f>
        <v>0</v>
      </c>
      <c r="R133" s="84">
        <f t="shared" ref="R133:R196" ca="1" si="20">IF(C133=0,0,Q133-K133+N133)</f>
        <v>0</v>
      </c>
      <c r="S133" s="84">
        <f ca="1">IF('Invoer gegevens (N)'!$C$17=E133,M133,IF(C133=0,0,T132))</f>
        <v>0</v>
      </c>
      <c r="T133" s="84">
        <f t="shared" ref="T133:T196" ca="1" si="21">IF(C133=0,0,S133-N133+K133)</f>
        <v>0</v>
      </c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8"/>
      <c r="AI133" s="71">
        <f ca="1">IF(C133=1,((F133+H133)/2*'Reeksen (N)'!AJ133*12)+(('Invoer gegevens (N)'!$C$10-(F133+H133)/2)*'Reeksen (N)'!AK133*12),0)</f>
        <v>0</v>
      </c>
      <c r="AJ133" s="71">
        <f ca="1">-AI133*'Invoer gegevens (N)'!$F$28</f>
        <v>0</v>
      </c>
      <c r="AK133" s="71">
        <f t="shared" ref="AK133:AK196" ca="1" si="22">AI133+AJ133</f>
        <v>0</v>
      </c>
      <c r="AL133" s="71">
        <f ca="1">IF(C133=1,(12*((F133+H133)/2)*'Reeksen (N)'!AL133)+(12*('Invoer gegevens (N)'!$C$10-(F133+H133)/2)*'Reeksen (N)'!AM133),0)</f>
        <v>0</v>
      </c>
      <c r="AM133" s="71">
        <f ca="1">-AL133*'Invoer gegevens (N)'!$F$31</f>
        <v>0</v>
      </c>
      <c r="AN133" s="71">
        <f t="shared" ca="1" si="16"/>
        <v>0</v>
      </c>
      <c r="AO133" s="71"/>
      <c r="AP133" s="71"/>
      <c r="AQ133" s="71">
        <f ca="1">-IF(C133=1,('Invoer gegevens (N)'!$C$10*'Invoer gegevens (N)'!$I$33)*'Reeksen (N)'!J133,0)*2</f>
        <v>0</v>
      </c>
      <c r="AR133" s="71">
        <f ca="1">-IF(C133=1,(G133*'Invoer gegevens (N)'!$I$34)*'Reeksen (N)'!J133,0)</f>
        <v>0</v>
      </c>
      <c r="AS133" s="71">
        <f ca="1">-IF(C133=1,'Invoer gegevens (N)'!$C$10*'Invoer gegevens (N)'!$I$35*'Reeksen (N)'!L133,0)</f>
        <v>0</v>
      </c>
      <c r="AT133" s="71">
        <f ca="1">-IF(C133=1,IF(E133='Invoer gegevens (N)'!$C$17,'Invoer gegevens (N)'!$C$11,Q133)*'Reeksen (N)'!S133*'Invoer gegevens (N)'!$C$18*'Reeksen (N)'!P133,0)</f>
        <v>0</v>
      </c>
      <c r="AU133" s="71">
        <f ca="1">-IF(C133=1,'Invoer gegevens (N)'!$C$10*'Invoer gegevens (N)'!$I$36*'Reeksen (N)'!H133,0)</f>
        <v>0</v>
      </c>
      <c r="AV133" s="71">
        <v>0</v>
      </c>
      <c r="AW133" s="71">
        <f t="shared" ca="1" si="17"/>
        <v>0</v>
      </c>
      <c r="AX133" s="71">
        <f ca="1">IF(E133&lt;'Invoer gegevens (N)'!$C$17+15,0,IF(E133&gt;'Invoer gegevens (N)'!$C$17+215,0,AW133))</f>
        <v>0</v>
      </c>
      <c r="AY133" s="71">
        <f ca="1">AX133/(1+'Invoer gegevens (N)'!$F$13)^($AZ133-('Invoer gegevens (N)'!$C$17-'Invoer gegevens (N)'!$C$16))/(1+'Invoer gegevens (N)'!$C$39)^('Invoer gegevens (N)'!$C$17-'Invoer gegevens (N)'!$C$16)</f>
        <v>0</v>
      </c>
      <c r="AZ133" s="68">
        <f ca="1">IF(E133-'Invoer gegevens (N)'!$C$17-14.5&lt;0,0,E133-'Invoer gegevens (N)'!$C$17-14.5)</f>
        <v>113.5</v>
      </c>
    </row>
    <row r="134" spans="2:52" x14ac:dyDescent="0.25">
      <c r="B134" s="70">
        <f t="shared" si="18"/>
        <v>130</v>
      </c>
      <c r="C134" s="67">
        <f ca="1">IF(E134-'Invoer gegevens (N)'!$C$17&lt;0,0,1)</f>
        <v>1</v>
      </c>
      <c r="D134" s="68">
        <f t="shared" si="19"/>
        <v>129.5</v>
      </c>
      <c r="E134" s="69">
        <f ca="1">IF('Invoer gegevens (N)'!$C$16="","",E133+1)</f>
        <v>2148</v>
      </c>
      <c r="F134" s="82">
        <f ca="1">IF('Invoer gegevens (N)'!$C$17=E134,'Invoer gegevens (N)'!$C$10,IF(C134=1,H133,0))</f>
        <v>0</v>
      </c>
      <c r="G134" s="83">
        <f ca="1">IF(C134&gt;=1,F134*'Reeksen (N)'!C134,0)</f>
        <v>0</v>
      </c>
      <c r="H134" s="84">
        <f t="shared" ref="H134:H197" ca="1" si="23">F134-G134</f>
        <v>0</v>
      </c>
      <c r="I134" s="85">
        <f ca="1">IF('Invoer gegevens (N)'!$C$17=E134,'Invoer gegevens (N)'!$C$11,IF(C134=1,L133,0))</f>
        <v>0</v>
      </c>
      <c r="J134" s="86">
        <f ca="1">IF(C134&lt;1,0,IF('Reeksen (N)'!AK134&lt;='Reeksen (N)'!AE134,I134*'Reeksen (N)'!C134,0))</f>
        <v>0</v>
      </c>
      <c r="K134" s="86">
        <f ca="1">IF(C134&lt;1,0,IF('Reeksen (N)'!AK134&gt;'Reeksen (N)'!AE134,I134*'Reeksen (N)'!C134,0))</f>
        <v>0</v>
      </c>
      <c r="L134" s="86">
        <f t="shared" ref="L134:L197" ca="1" si="24">I134-J134-K134</f>
        <v>0</v>
      </c>
      <c r="M134" s="85">
        <f ca="1">IF('Invoer gegevens (N)'!$C$17=E134,'Invoer gegevens (N)'!$C$10-'Invoer gegevens (N)'!$C$11,IF(C134=1,P133,0))</f>
        <v>0</v>
      </c>
      <c r="N134" s="86">
        <f ca="1">IF(C134&lt;1,0,IF('Reeksen (N)'!AK134&lt;='Reeksen (N)'!AE134,M134*'Reeksen (N)'!C134,0))</f>
        <v>0</v>
      </c>
      <c r="O134" s="86">
        <f ca="1">IF(C134&lt;1,0,IF('Reeksen (N)'!AK134&gt;'Reeksen (N)'!AE134,M134*'Reeksen (N)'!C134,0))</f>
        <v>0</v>
      </c>
      <c r="P134" s="86">
        <f t="shared" ref="P134:P197" ca="1" si="25">M134-N134-O134</f>
        <v>0</v>
      </c>
      <c r="Q134" s="82">
        <f ca="1">IF('Invoer gegevens (N)'!$C$17=E134,I134,IF(C134=0,0,R133))</f>
        <v>0</v>
      </c>
      <c r="R134" s="84">
        <f t="shared" ca="1" si="20"/>
        <v>0</v>
      </c>
      <c r="S134" s="84">
        <f ca="1">IF('Invoer gegevens (N)'!$C$17=E134,M134,IF(C134=0,0,T133))</f>
        <v>0</v>
      </c>
      <c r="T134" s="84">
        <f t="shared" ca="1" si="21"/>
        <v>0</v>
      </c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8"/>
      <c r="AI134" s="71">
        <f ca="1">IF(C134=1,((F134+H134)/2*'Reeksen (N)'!AJ134*12)+(('Invoer gegevens (N)'!$C$10-(F134+H134)/2)*'Reeksen (N)'!AK134*12),0)</f>
        <v>0</v>
      </c>
      <c r="AJ134" s="71">
        <f ca="1">-AI134*'Invoer gegevens (N)'!$F$28</f>
        <v>0</v>
      </c>
      <c r="AK134" s="71">
        <f t="shared" ca="1" si="22"/>
        <v>0</v>
      </c>
      <c r="AL134" s="71">
        <f ca="1">IF(C134=1,(12*((F134+H134)/2)*'Reeksen (N)'!AL134)+(12*('Invoer gegevens (N)'!$C$10-(F134+H134)/2)*'Reeksen (N)'!AM134),0)</f>
        <v>0</v>
      </c>
      <c r="AM134" s="71">
        <f ca="1">-AL134*'Invoer gegevens (N)'!$F$31</f>
        <v>0</v>
      </c>
      <c r="AN134" s="71">
        <f t="shared" ref="AN134:AN197" ca="1" si="26">AL134+AM134</f>
        <v>0</v>
      </c>
      <c r="AO134" s="71"/>
      <c r="AP134" s="71"/>
      <c r="AQ134" s="71">
        <f ca="1">-IF(C134=1,('Invoer gegevens (N)'!$C$10*'Invoer gegevens (N)'!$I$33)*'Reeksen (N)'!J134,0)*2</f>
        <v>0</v>
      </c>
      <c r="AR134" s="71">
        <f ca="1">-IF(C134=1,(G134*'Invoer gegevens (N)'!$I$34)*'Reeksen (N)'!J134,0)</f>
        <v>0</v>
      </c>
      <c r="AS134" s="71">
        <f ca="1">-IF(C134=1,'Invoer gegevens (N)'!$C$10*'Invoer gegevens (N)'!$I$35*'Reeksen (N)'!L134,0)</f>
        <v>0</v>
      </c>
      <c r="AT134" s="71">
        <f ca="1">-IF(C134=1,IF(E134='Invoer gegevens (N)'!$C$17,'Invoer gegevens (N)'!$C$11,Q134)*'Reeksen (N)'!S134*'Invoer gegevens (N)'!$C$18*'Reeksen (N)'!P134,0)</f>
        <v>0</v>
      </c>
      <c r="AU134" s="71">
        <f ca="1">-IF(C134=1,'Invoer gegevens (N)'!$C$10*'Invoer gegevens (N)'!$I$36*'Reeksen (N)'!H134,0)</f>
        <v>0</v>
      </c>
      <c r="AV134" s="71">
        <v>0</v>
      </c>
      <c r="AW134" s="71">
        <f t="shared" ref="AW134:AW197" ca="1" si="27">SUM(AK134,AN134:AV134)</f>
        <v>0</v>
      </c>
      <c r="AX134" s="71">
        <f ca="1">IF(E134&lt;'Invoer gegevens (N)'!$C$17+15,0,IF(E134&gt;'Invoer gegevens (N)'!$C$17+215,0,AW134))</f>
        <v>0</v>
      </c>
      <c r="AY134" s="71">
        <f ca="1">AX134/(1+'Invoer gegevens (N)'!$F$13)^($AZ134-('Invoer gegevens (N)'!$C$17-'Invoer gegevens (N)'!$C$16))/(1+'Invoer gegevens (N)'!$C$39)^('Invoer gegevens (N)'!$C$17-'Invoer gegevens (N)'!$C$16)</f>
        <v>0</v>
      </c>
      <c r="AZ134" s="68">
        <f ca="1">IF(E134-'Invoer gegevens (N)'!$C$17-14.5&lt;0,0,E134-'Invoer gegevens (N)'!$C$17-14.5)</f>
        <v>114.5</v>
      </c>
    </row>
    <row r="135" spans="2:52" x14ac:dyDescent="0.25">
      <c r="B135" s="70">
        <f t="shared" ref="B135:B198" si="28">B134+1</f>
        <v>131</v>
      </c>
      <c r="C135" s="67">
        <f ca="1">IF(E135-'Invoer gegevens (N)'!$C$17&lt;0,0,1)</f>
        <v>1</v>
      </c>
      <c r="D135" s="68">
        <f t="shared" ref="D135:D198" si="29">D134+1</f>
        <v>130.5</v>
      </c>
      <c r="E135" s="69">
        <f ca="1">IF('Invoer gegevens (N)'!$C$16="","",E134+1)</f>
        <v>2149</v>
      </c>
      <c r="F135" s="82">
        <f ca="1">IF('Invoer gegevens (N)'!$C$17=E135,'Invoer gegevens (N)'!$C$10,IF(C135=1,H134,0))</f>
        <v>0</v>
      </c>
      <c r="G135" s="83">
        <f ca="1">IF(C135&gt;=1,F135*'Reeksen (N)'!C135,0)</f>
        <v>0</v>
      </c>
      <c r="H135" s="84">
        <f t="shared" ca="1" si="23"/>
        <v>0</v>
      </c>
      <c r="I135" s="85">
        <f ca="1">IF('Invoer gegevens (N)'!$C$17=E135,'Invoer gegevens (N)'!$C$11,IF(C135=1,L134,0))</f>
        <v>0</v>
      </c>
      <c r="J135" s="86">
        <f ca="1">IF(C135&lt;1,0,IF('Reeksen (N)'!AK135&lt;='Reeksen (N)'!AE135,I135*'Reeksen (N)'!C135,0))</f>
        <v>0</v>
      </c>
      <c r="K135" s="86">
        <f ca="1">IF(C135&lt;1,0,IF('Reeksen (N)'!AK135&gt;'Reeksen (N)'!AE135,I135*'Reeksen (N)'!C135,0))</f>
        <v>0</v>
      </c>
      <c r="L135" s="86">
        <f t="shared" ca="1" si="24"/>
        <v>0</v>
      </c>
      <c r="M135" s="85">
        <f ca="1">IF('Invoer gegevens (N)'!$C$17=E135,'Invoer gegevens (N)'!$C$10-'Invoer gegevens (N)'!$C$11,IF(C135=1,P134,0))</f>
        <v>0</v>
      </c>
      <c r="N135" s="86">
        <f ca="1">IF(C135&lt;1,0,IF('Reeksen (N)'!AK135&lt;='Reeksen (N)'!AE135,M135*'Reeksen (N)'!C135,0))</f>
        <v>0</v>
      </c>
      <c r="O135" s="86">
        <f ca="1">IF(C135&lt;1,0,IF('Reeksen (N)'!AK135&gt;'Reeksen (N)'!AE135,M135*'Reeksen (N)'!C135,0))</f>
        <v>0</v>
      </c>
      <c r="P135" s="86">
        <f t="shared" ca="1" si="25"/>
        <v>0</v>
      </c>
      <c r="Q135" s="82">
        <f ca="1">IF('Invoer gegevens (N)'!$C$17=E135,I135,IF(C135=0,0,R134))</f>
        <v>0</v>
      </c>
      <c r="R135" s="84">
        <f t="shared" ca="1" si="20"/>
        <v>0</v>
      </c>
      <c r="S135" s="84">
        <f ca="1">IF('Invoer gegevens (N)'!$C$17=E135,M135,IF(C135=0,0,T134))</f>
        <v>0</v>
      </c>
      <c r="T135" s="84">
        <f t="shared" ca="1" si="21"/>
        <v>0</v>
      </c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8"/>
      <c r="AI135" s="71">
        <f ca="1">IF(C135=1,((F135+H135)/2*'Reeksen (N)'!AJ135*12)+(('Invoer gegevens (N)'!$C$10-(F135+H135)/2)*'Reeksen (N)'!AK135*12),0)</f>
        <v>0</v>
      </c>
      <c r="AJ135" s="71">
        <f ca="1">-AI135*'Invoer gegevens (N)'!$F$28</f>
        <v>0</v>
      </c>
      <c r="AK135" s="71">
        <f t="shared" ca="1" si="22"/>
        <v>0</v>
      </c>
      <c r="AL135" s="71">
        <f ca="1">IF(C135=1,(12*((F135+H135)/2)*'Reeksen (N)'!AL135)+(12*('Invoer gegevens (N)'!$C$10-(F135+H135)/2)*'Reeksen (N)'!AM135),0)</f>
        <v>0</v>
      </c>
      <c r="AM135" s="71">
        <f ca="1">-AL135*'Invoer gegevens (N)'!$F$31</f>
        <v>0</v>
      </c>
      <c r="AN135" s="71">
        <f t="shared" ca="1" si="26"/>
        <v>0</v>
      </c>
      <c r="AO135" s="71"/>
      <c r="AP135" s="71"/>
      <c r="AQ135" s="71">
        <f ca="1">-IF(C135=1,('Invoer gegevens (N)'!$C$10*'Invoer gegevens (N)'!$I$33)*'Reeksen (N)'!J135,0)*2</f>
        <v>0</v>
      </c>
      <c r="AR135" s="71">
        <f ca="1">-IF(C135=1,(G135*'Invoer gegevens (N)'!$I$34)*'Reeksen (N)'!J135,0)</f>
        <v>0</v>
      </c>
      <c r="AS135" s="71">
        <f ca="1">-IF(C135=1,'Invoer gegevens (N)'!$C$10*'Invoer gegevens (N)'!$I$35*'Reeksen (N)'!L135,0)</f>
        <v>0</v>
      </c>
      <c r="AT135" s="71">
        <f ca="1">-IF(C135=1,IF(E135='Invoer gegevens (N)'!$C$17,'Invoer gegevens (N)'!$C$11,Q135)*'Reeksen (N)'!S135*'Invoer gegevens (N)'!$C$18*'Reeksen (N)'!P135,0)</f>
        <v>0</v>
      </c>
      <c r="AU135" s="71">
        <f ca="1">-IF(C135=1,'Invoer gegevens (N)'!$C$10*'Invoer gegevens (N)'!$I$36*'Reeksen (N)'!H135,0)</f>
        <v>0</v>
      </c>
      <c r="AV135" s="71">
        <v>0</v>
      </c>
      <c r="AW135" s="71">
        <f t="shared" ca="1" si="27"/>
        <v>0</v>
      </c>
      <c r="AX135" s="71">
        <f ca="1">IF(E135&lt;'Invoer gegevens (N)'!$C$17+15,0,IF(E135&gt;'Invoer gegevens (N)'!$C$17+215,0,AW135))</f>
        <v>0</v>
      </c>
      <c r="AY135" s="71">
        <f ca="1">AX135/(1+'Invoer gegevens (N)'!$F$13)^($AZ135-('Invoer gegevens (N)'!$C$17-'Invoer gegevens (N)'!$C$16))/(1+'Invoer gegevens (N)'!$C$39)^('Invoer gegevens (N)'!$C$17-'Invoer gegevens (N)'!$C$16)</f>
        <v>0</v>
      </c>
      <c r="AZ135" s="68">
        <f ca="1">IF(E135-'Invoer gegevens (N)'!$C$17-14.5&lt;0,0,E135-'Invoer gegevens (N)'!$C$17-14.5)</f>
        <v>115.5</v>
      </c>
    </row>
    <row r="136" spans="2:52" x14ac:dyDescent="0.25">
      <c r="B136" s="70">
        <f t="shared" si="28"/>
        <v>132</v>
      </c>
      <c r="C136" s="67">
        <f ca="1">IF(E136-'Invoer gegevens (N)'!$C$17&lt;0,0,1)</f>
        <v>1</v>
      </c>
      <c r="D136" s="68">
        <f t="shared" si="29"/>
        <v>131.5</v>
      </c>
      <c r="E136" s="69">
        <f ca="1">IF('Invoer gegevens (N)'!$C$16="","",E135+1)</f>
        <v>2150</v>
      </c>
      <c r="F136" s="82">
        <f ca="1">IF('Invoer gegevens (N)'!$C$17=E136,'Invoer gegevens (N)'!$C$10,IF(C136=1,H135,0))</f>
        <v>0</v>
      </c>
      <c r="G136" s="83">
        <f ca="1">IF(C136&gt;=1,F136*'Reeksen (N)'!C136,0)</f>
        <v>0</v>
      </c>
      <c r="H136" s="84">
        <f t="shared" ca="1" si="23"/>
        <v>0</v>
      </c>
      <c r="I136" s="85">
        <f ca="1">IF('Invoer gegevens (N)'!$C$17=E136,'Invoer gegevens (N)'!$C$11,IF(C136=1,L135,0))</f>
        <v>0</v>
      </c>
      <c r="J136" s="86">
        <f ca="1">IF(C136&lt;1,0,IF('Reeksen (N)'!AK136&lt;='Reeksen (N)'!AE136,I136*'Reeksen (N)'!C136,0))</f>
        <v>0</v>
      </c>
      <c r="K136" s="86">
        <f ca="1">IF(C136&lt;1,0,IF('Reeksen (N)'!AK136&gt;'Reeksen (N)'!AE136,I136*'Reeksen (N)'!C136,0))</f>
        <v>0</v>
      </c>
      <c r="L136" s="86">
        <f t="shared" ca="1" si="24"/>
        <v>0</v>
      </c>
      <c r="M136" s="85">
        <f ca="1">IF('Invoer gegevens (N)'!$C$17=E136,'Invoer gegevens (N)'!$C$10-'Invoer gegevens (N)'!$C$11,IF(C136=1,P135,0))</f>
        <v>0</v>
      </c>
      <c r="N136" s="86">
        <f ca="1">IF(C136&lt;1,0,IF('Reeksen (N)'!AK136&lt;='Reeksen (N)'!AE136,M136*'Reeksen (N)'!C136,0))</f>
        <v>0</v>
      </c>
      <c r="O136" s="86">
        <f ca="1">IF(C136&lt;1,0,IF('Reeksen (N)'!AK136&gt;'Reeksen (N)'!AE136,M136*'Reeksen (N)'!C136,0))</f>
        <v>0</v>
      </c>
      <c r="P136" s="86">
        <f t="shared" ca="1" si="25"/>
        <v>0</v>
      </c>
      <c r="Q136" s="82">
        <f ca="1">IF('Invoer gegevens (N)'!$C$17=E136,I136,IF(C136=0,0,R135))</f>
        <v>0</v>
      </c>
      <c r="R136" s="84">
        <f t="shared" ca="1" si="20"/>
        <v>0</v>
      </c>
      <c r="S136" s="84">
        <f ca="1">IF('Invoer gegevens (N)'!$C$17=E136,M136,IF(C136=0,0,T135))</f>
        <v>0</v>
      </c>
      <c r="T136" s="84">
        <f t="shared" ca="1" si="21"/>
        <v>0</v>
      </c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8"/>
      <c r="AI136" s="71">
        <f ca="1">IF(C136=1,((F136+H136)/2*'Reeksen (N)'!AJ136*12)+(('Invoer gegevens (N)'!$C$10-(F136+H136)/2)*'Reeksen (N)'!AK136*12),0)</f>
        <v>0</v>
      </c>
      <c r="AJ136" s="71">
        <f ca="1">-AI136*'Invoer gegevens (N)'!$F$28</f>
        <v>0</v>
      </c>
      <c r="AK136" s="71">
        <f t="shared" ca="1" si="22"/>
        <v>0</v>
      </c>
      <c r="AL136" s="71">
        <f ca="1">IF(C136=1,(12*((F136+H136)/2)*'Reeksen (N)'!AL136)+(12*('Invoer gegevens (N)'!$C$10-(F136+H136)/2)*'Reeksen (N)'!AM136),0)</f>
        <v>0</v>
      </c>
      <c r="AM136" s="71">
        <f ca="1">-AL136*'Invoer gegevens (N)'!$F$31</f>
        <v>0</v>
      </c>
      <c r="AN136" s="71">
        <f t="shared" ca="1" si="26"/>
        <v>0</v>
      </c>
      <c r="AO136" s="71"/>
      <c r="AP136" s="71"/>
      <c r="AQ136" s="71">
        <f ca="1">-IF(C136=1,('Invoer gegevens (N)'!$C$10*'Invoer gegevens (N)'!$I$33)*'Reeksen (N)'!J136,0)*2</f>
        <v>0</v>
      </c>
      <c r="AR136" s="71">
        <f ca="1">-IF(C136=1,(G136*'Invoer gegevens (N)'!$I$34)*'Reeksen (N)'!J136,0)</f>
        <v>0</v>
      </c>
      <c r="AS136" s="71">
        <f ca="1">-IF(C136=1,'Invoer gegevens (N)'!$C$10*'Invoer gegevens (N)'!$I$35*'Reeksen (N)'!L136,0)</f>
        <v>0</v>
      </c>
      <c r="AT136" s="71">
        <f ca="1">-IF(C136=1,IF(E136='Invoer gegevens (N)'!$C$17,'Invoer gegevens (N)'!$C$11,Q136)*'Reeksen (N)'!S136*'Invoer gegevens (N)'!$C$18*'Reeksen (N)'!P136,0)</f>
        <v>0</v>
      </c>
      <c r="AU136" s="71">
        <f ca="1">-IF(C136=1,'Invoer gegevens (N)'!$C$10*'Invoer gegevens (N)'!$I$36*'Reeksen (N)'!H136,0)</f>
        <v>0</v>
      </c>
      <c r="AV136" s="71">
        <v>0</v>
      </c>
      <c r="AW136" s="71">
        <f t="shared" ca="1" si="27"/>
        <v>0</v>
      </c>
      <c r="AX136" s="71">
        <f ca="1">IF(E136&lt;'Invoer gegevens (N)'!$C$17+15,0,IF(E136&gt;'Invoer gegevens (N)'!$C$17+215,0,AW136))</f>
        <v>0</v>
      </c>
      <c r="AY136" s="71">
        <f ca="1">AX136/(1+'Invoer gegevens (N)'!$F$13)^($AZ136-('Invoer gegevens (N)'!$C$17-'Invoer gegevens (N)'!$C$16))/(1+'Invoer gegevens (N)'!$C$39)^('Invoer gegevens (N)'!$C$17-'Invoer gegevens (N)'!$C$16)</f>
        <v>0</v>
      </c>
      <c r="AZ136" s="68">
        <f ca="1">IF(E136-'Invoer gegevens (N)'!$C$17-14.5&lt;0,0,E136-'Invoer gegevens (N)'!$C$17-14.5)</f>
        <v>116.5</v>
      </c>
    </row>
    <row r="137" spans="2:52" x14ac:dyDescent="0.25">
      <c r="B137" s="70">
        <f t="shared" si="28"/>
        <v>133</v>
      </c>
      <c r="C137" s="67">
        <f ca="1">IF(E137-'Invoer gegevens (N)'!$C$17&lt;0,0,1)</f>
        <v>1</v>
      </c>
      <c r="D137" s="68">
        <f t="shared" si="29"/>
        <v>132.5</v>
      </c>
      <c r="E137" s="69">
        <f ca="1">IF('Invoer gegevens (N)'!$C$16="","",E136+1)</f>
        <v>2151</v>
      </c>
      <c r="F137" s="82">
        <f ca="1">IF('Invoer gegevens (N)'!$C$17=E137,'Invoer gegevens (N)'!$C$10,IF(C137=1,H136,0))</f>
        <v>0</v>
      </c>
      <c r="G137" s="83">
        <f ca="1">IF(C137&gt;=1,F137*'Reeksen (N)'!C137,0)</f>
        <v>0</v>
      </c>
      <c r="H137" s="84">
        <f t="shared" ca="1" si="23"/>
        <v>0</v>
      </c>
      <c r="I137" s="85">
        <f ca="1">IF('Invoer gegevens (N)'!$C$17=E137,'Invoer gegevens (N)'!$C$11,IF(C137=1,L136,0))</f>
        <v>0</v>
      </c>
      <c r="J137" s="86">
        <f ca="1">IF(C137&lt;1,0,IF('Reeksen (N)'!AK137&lt;='Reeksen (N)'!AE137,I137*'Reeksen (N)'!C137,0))</f>
        <v>0</v>
      </c>
      <c r="K137" s="86">
        <f ca="1">IF(C137&lt;1,0,IF('Reeksen (N)'!AK137&gt;'Reeksen (N)'!AE137,I137*'Reeksen (N)'!C137,0))</f>
        <v>0</v>
      </c>
      <c r="L137" s="86">
        <f t="shared" ca="1" si="24"/>
        <v>0</v>
      </c>
      <c r="M137" s="85">
        <f ca="1">IF('Invoer gegevens (N)'!$C$17=E137,'Invoer gegevens (N)'!$C$10-'Invoer gegevens (N)'!$C$11,IF(C137=1,P136,0))</f>
        <v>0</v>
      </c>
      <c r="N137" s="86">
        <f ca="1">IF(C137&lt;1,0,IF('Reeksen (N)'!AK137&lt;='Reeksen (N)'!AE137,M137*'Reeksen (N)'!C137,0))</f>
        <v>0</v>
      </c>
      <c r="O137" s="86">
        <f ca="1">IF(C137&lt;1,0,IF('Reeksen (N)'!AK137&gt;'Reeksen (N)'!AE137,M137*'Reeksen (N)'!C137,0))</f>
        <v>0</v>
      </c>
      <c r="P137" s="86">
        <f t="shared" ca="1" si="25"/>
        <v>0</v>
      </c>
      <c r="Q137" s="82">
        <f ca="1">IF('Invoer gegevens (N)'!$C$17=E137,I137,IF(C137=0,0,R136))</f>
        <v>0</v>
      </c>
      <c r="R137" s="84">
        <f t="shared" ca="1" si="20"/>
        <v>0</v>
      </c>
      <c r="S137" s="84">
        <f ca="1">IF('Invoer gegevens (N)'!$C$17=E137,M137,IF(C137=0,0,T136))</f>
        <v>0</v>
      </c>
      <c r="T137" s="84">
        <f t="shared" ca="1" si="21"/>
        <v>0</v>
      </c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8"/>
      <c r="AI137" s="71">
        <f ca="1">IF(C137=1,((F137+H137)/2*'Reeksen (N)'!AJ137*12)+(('Invoer gegevens (N)'!$C$10-(F137+H137)/2)*'Reeksen (N)'!AK137*12),0)</f>
        <v>0</v>
      </c>
      <c r="AJ137" s="71">
        <f ca="1">-AI137*'Invoer gegevens (N)'!$F$28</f>
        <v>0</v>
      </c>
      <c r="AK137" s="71">
        <f t="shared" ca="1" si="22"/>
        <v>0</v>
      </c>
      <c r="AL137" s="71">
        <f ca="1">IF(C137=1,(12*((F137+H137)/2)*'Reeksen (N)'!AL137)+(12*('Invoer gegevens (N)'!$C$10-(F137+H137)/2)*'Reeksen (N)'!AM137),0)</f>
        <v>0</v>
      </c>
      <c r="AM137" s="71">
        <f ca="1">-AL137*'Invoer gegevens (N)'!$F$31</f>
        <v>0</v>
      </c>
      <c r="AN137" s="71">
        <f t="shared" ca="1" si="26"/>
        <v>0</v>
      </c>
      <c r="AO137" s="71"/>
      <c r="AP137" s="71"/>
      <c r="AQ137" s="71">
        <f ca="1">-IF(C137=1,('Invoer gegevens (N)'!$C$10*'Invoer gegevens (N)'!$I$33)*'Reeksen (N)'!J137,0)*2</f>
        <v>0</v>
      </c>
      <c r="AR137" s="71">
        <f ca="1">-IF(C137=1,(G137*'Invoer gegevens (N)'!$I$34)*'Reeksen (N)'!J137,0)</f>
        <v>0</v>
      </c>
      <c r="AS137" s="71">
        <f ca="1">-IF(C137=1,'Invoer gegevens (N)'!$C$10*'Invoer gegevens (N)'!$I$35*'Reeksen (N)'!L137,0)</f>
        <v>0</v>
      </c>
      <c r="AT137" s="71">
        <f ca="1">-IF(C137=1,IF(E137='Invoer gegevens (N)'!$C$17,'Invoer gegevens (N)'!$C$11,Q137)*'Reeksen (N)'!S137*'Invoer gegevens (N)'!$C$18*'Reeksen (N)'!P137,0)</f>
        <v>0</v>
      </c>
      <c r="AU137" s="71">
        <f ca="1">-IF(C137=1,'Invoer gegevens (N)'!$C$10*'Invoer gegevens (N)'!$I$36*'Reeksen (N)'!H137,0)</f>
        <v>0</v>
      </c>
      <c r="AV137" s="71">
        <v>0</v>
      </c>
      <c r="AW137" s="71">
        <f t="shared" ca="1" si="27"/>
        <v>0</v>
      </c>
      <c r="AX137" s="71">
        <f ca="1">IF(E137&lt;'Invoer gegevens (N)'!$C$17+15,0,IF(E137&gt;'Invoer gegevens (N)'!$C$17+215,0,AW137))</f>
        <v>0</v>
      </c>
      <c r="AY137" s="71">
        <f ca="1">AX137/(1+'Invoer gegevens (N)'!$F$13)^($AZ137-('Invoer gegevens (N)'!$C$17-'Invoer gegevens (N)'!$C$16))/(1+'Invoer gegevens (N)'!$C$39)^('Invoer gegevens (N)'!$C$17-'Invoer gegevens (N)'!$C$16)</f>
        <v>0</v>
      </c>
      <c r="AZ137" s="68">
        <f ca="1">IF(E137-'Invoer gegevens (N)'!$C$17-14.5&lt;0,0,E137-'Invoer gegevens (N)'!$C$17-14.5)</f>
        <v>117.5</v>
      </c>
    </row>
    <row r="138" spans="2:52" x14ac:dyDescent="0.25">
      <c r="B138" s="70">
        <f t="shared" si="28"/>
        <v>134</v>
      </c>
      <c r="C138" s="67">
        <f ca="1">IF(E138-'Invoer gegevens (N)'!$C$17&lt;0,0,1)</f>
        <v>1</v>
      </c>
      <c r="D138" s="68">
        <f t="shared" si="29"/>
        <v>133.5</v>
      </c>
      <c r="E138" s="69">
        <f ca="1">IF('Invoer gegevens (N)'!$C$16="","",E137+1)</f>
        <v>2152</v>
      </c>
      <c r="F138" s="82">
        <f ca="1">IF('Invoer gegevens (N)'!$C$17=E138,'Invoer gegevens (N)'!$C$10,IF(C138=1,H137,0))</f>
        <v>0</v>
      </c>
      <c r="G138" s="83">
        <f ca="1">IF(C138&gt;=1,F138*'Reeksen (N)'!C138,0)</f>
        <v>0</v>
      </c>
      <c r="H138" s="84">
        <f t="shared" ca="1" si="23"/>
        <v>0</v>
      </c>
      <c r="I138" s="85">
        <f ca="1">IF('Invoer gegevens (N)'!$C$17=E138,'Invoer gegevens (N)'!$C$11,IF(C138=1,L137,0))</f>
        <v>0</v>
      </c>
      <c r="J138" s="86">
        <f ca="1">IF(C138&lt;1,0,IF('Reeksen (N)'!AK138&lt;='Reeksen (N)'!AE138,I138*'Reeksen (N)'!C138,0))</f>
        <v>0</v>
      </c>
      <c r="K138" s="86">
        <f ca="1">IF(C138&lt;1,0,IF('Reeksen (N)'!AK138&gt;'Reeksen (N)'!AE138,I138*'Reeksen (N)'!C138,0))</f>
        <v>0</v>
      </c>
      <c r="L138" s="86">
        <f t="shared" ca="1" si="24"/>
        <v>0</v>
      </c>
      <c r="M138" s="85">
        <f ca="1">IF('Invoer gegevens (N)'!$C$17=E138,'Invoer gegevens (N)'!$C$10-'Invoer gegevens (N)'!$C$11,IF(C138=1,P137,0))</f>
        <v>0</v>
      </c>
      <c r="N138" s="86">
        <f ca="1">IF(C138&lt;1,0,IF('Reeksen (N)'!AK138&lt;='Reeksen (N)'!AE138,M138*'Reeksen (N)'!C138,0))</f>
        <v>0</v>
      </c>
      <c r="O138" s="86">
        <f ca="1">IF(C138&lt;1,0,IF('Reeksen (N)'!AK138&gt;'Reeksen (N)'!AE138,M138*'Reeksen (N)'!C138,0))</f>
        <v>0</v>
      </c>
      <c r="P138" s="86">
        <f t="shared" ca="1" si="25"/>
        <v>0</v>
      </c>
      <c r="Q138" s="82">
        <f ca="1">IF('Invoer gegevens (N)'!$C$17=E138,I138,IF(C138=0,0,R137))</f>
        <v>0</v>
      </c>
      <c r="R138" s="84">
        <f t="shared" ca="1" si="20"/>
        <v>0</v>
      </c>
      <c r="S138" s="84">
        <f ca="1">IF('Invoer gegevens (N)'!$C$17=E138,M138,IF(C138=0,0,T137))</f>
        <v>0</v>
      </c>
      <c r="T138" s="84">
        <f t="shared" ca="1" si="21"/>
        <v>0</v>
      </c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8"/>
      <c r="AI138" s="71">
        <f ca="1">IF(C138=1,((F138+H138)/2*'Reeksen (N)'!AJ138*12)+(('Invoer gegevens (N)'!$C$10-(F138+H138)/2)*'Reeksen (N)'!AK138*12),0)</f>
        <v>0</v>
      </c>
      <c r="AJ138" s="71">
        <f ca="1">-AI138*'Invoer gegevens (N)'!$F$28</f>
        <v>0</v>
      </c>
      <c r="AK138" s="71">
        <f t="shared" ca="1" si="22"/>
        <v>0</v>
      </c>
      <c r="AL138" s="71">
        <f ca="1">IF(C138=1,(12*((F138+H138)/2)*'Reeksen (N)'!AL138)+(12*('Invoer gegevens (N)'!$C$10-(F138+H138)/2)*'Reeksen (N)'!AM138),0)</f>
        <v>0</v>
      </c>
      <c r="AM138" s="71">
        <f ca="1">-AL138*'Invoer gegevens (N)'!$F$31</f>
        <v>0</v>
      </c>
      <c r="AN138" s="71">
        <f t="shared" ca="1" si="26"/>
        <v>0</v>
      </c>
      <c r="AO138" s="71"/>
      <c r="AP138" s="71"/>
      <c r="AQ138" s="71">
        <f ca="1">-IF(C138=1,('Invoer gegevens (N)'!$C$10*'Invoer gegevens (N)'!$I$33)*'Reeksen (N)'!J138,0)*2</f>
        <v>0</v>
      </c>
      <c r="AR138" s="71">
        <f ca="1">-IF(C138=1,(G138*'Invoer gegevens (N)'!$I$34)*'Reeksen (N)'!J138,0)</f>
        <v>0</v>
      </c>
      <c r="AS138" s="71">
        <f ca="1">-IF(C138=1,'Invoer gegevens (N)'!$C$10*'Invoer gegevens (N)'!$I$35*'Reeksen (N)'!L138,0)</f>
        <v>0</v>
      </c>
      <c r="AT138" s="71">
        <f ca="1">-IF(C138=1,IF(E138='Invoer gegevens (N)'!$C$17,'Invoer gegevens (N)'!$C$11,Q138)*'Reeksen (N)'!S138*'Invoer gegevens (N)'!$C$18*'Reeksen (N)'!P138,0)</f>
        <v>0</v>
      </c>
      <c r="AU138" s="71">
        <f ca="1">-IF(C138=1,'Invoer gegevens (N)'!$C$10*'Invoer gegevens (N)'!$I$36*'Reeksen (N)'!H138,0)</f>
        <v>0</v>
      </c>
      <c r="AV138" s="71">
        <v>0</v>
      </c>
      <c r="AW138" s="71">
        <f t="shared" ca="1" si="27"/>
        <v>0</v>
      </c>
      <c r="AX138" s="71">
        <f ca="1">IF(E138&lt;'Invoer gegevens (N)'!$C$17+15,0,IF(E138&gt;'Invoer gegevens (N)'!$C$17+215,0,AW138))</f>
        <v>0</v>
      </c>
      <c r="AY138" s="71">
        <f ca="1">AX138/(1+'Invoer gegevens (N)'!$F$13)^($AZ138-('Invoer gegevens (N)'!$C$17-'Invoer gegevens (N)'!$C$16))/(1+'Invoer gegevens (N)'!$C$39)^('Invoer gegevens (N)'!$C$17-'Invoer gegevens (N)'!$C$16)</f>
        <v>0</v>
      </c>
      <c r="AZ138" s="68">
        <f ca="1">IF(E138-'Invoer gegevens (N)'!$C$17-14.5&lt;0,0,E138-'Invoer gegevens (N)'!$C$17-14.5)</f>
        <v>118.5</v>
      </c>
    </row>
    <row r="139" spans="2:52" x14ac:dyDescent="0.25">
      <c r="B139" s="70">
        <f t="shared" si="28"/>
        <v>135</v>
      </c>
      <c r="C139" s="67">
        <f ca="1">IF(E139-'Invoer gegevens (N)'!$C$17&lt;0,0,1)</f>
        <v>1</v>
      </c>
      <c r="D139" s="68">
        <f t="shared" si="29"/>
        <v>134.5</v>
      </c>
      <c r="E139" s="69">
        <f ca="1">IF('Invoer gegevens (N)'!$C$16="","",E138+1)</f>
        <v>2153</v>
      </c>
      <c r="F139" s="82">
        <f ca="1">IF('Invoer gegevens (N)'!$C$17=E139,'Invoer gegevens (N)'!$C$10,IF(C139=1,H138,0))</f>
        <v>0</v>
      </c>
      <c r="G139" s="83">
        <f ca="1">IF(C139&gt;=1,F139*'Reeksen (N)'!C139,0)</f>
        <v>0</v>
      </c>
      <c r="H139" s="84">
        <f t="shared" ca="1" si="23"/>
        <v>0</v>
      </c>
      <c r="I139" s="85">
        <f ca="1">IF('Invoer gegevens (N)'!$C$17=E139,'Invoer gegevens (N)'!$C$11,IF(C139=1,L138,0))</f>
        <v>0</v>
      </c>
      <c r="J139" s="86">
        <f ca="1">IF(C139&lt;1,0,IF('Reeksen (N)'!AK139&lt;='Reeksen (N)'!AE139,I139*'Reeksen (N)'!C139,0))</f>
        <v>0</v>
      </c>
      <c r="K139" s="86">
        <f ca="1">IF(C139&lt;1,0,IF('Reeksen (N)'!AK139&gt;'Reeksen (N)'!AE139,I139*'Reeksen (N)'!C139,0))</f>
        <v>0</v>
      </c>
      <c r="L139" s="86">
        <f t="shared" ca="1" si="24"/>
        <v>0</v>
      </c>
      <c r="M139" s="85">
        <f ca="1">IF('Invoer gegevens (N)'!$C$17=E139,'Invoer gegevens (N)'!$C$10-'Invoer gegevens (N)'!$C$11,IF(C139=1,P138,0))</f>
        <v>0</v>
      </c>
      <c r="N139" s="86">
        <f ca="1">IF(C139&lt;1,0,IF('Reeksen (N)'!AK139&lt;='Reeksen (N)'!AE139,M139*'Reeksen (N)'!C139,0))</f>
        <v>0</v>
      </c>
      <c r="O139" s="86">
        <f ca="1">IF(C139&lt;1,0,IF('Reeksen (N)'!AK139&gt;'Reeksen (N)'!AE139,M139*'Reeksen (N)'!C139,0))</f>
        <v>0</v>
      </c>
      <c r="P139" s="86">
        <f t="shared" ca="1" si="25"/>
        <v>0</v>
      </c>
      <c r="Q139" s="82">
        <f ca="1">IF('Invoer gegevens (N)'!$C$17=E139,I139,IF(C139=0,0,R138))</f>
        <v>0</v>
      </c>
      <c r="R139" s="84">
        <f t="shared" ca="1" si="20"/>
        <v>0</v>
      </c>
      <c r="S139" s="84">
        <f ca="1">IF('Invoer gegevens (N)'!$C$17=E139,M139,IF(C139=0,0,T138))</f>
        <v>0</v>
      </c>
      <c r="T139" s="84">
        <f t="shared" ca="1" si="21"/>
        <v>0</v>
      </c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8"/>
      <c r="AI139" s="71">
        <f ca="1">IF(C139=1,((F139+H139)/2*'Reeksen (N)'!AJ139*12)+(('Invoer gegevens (N)'!$C$10-(F139+H139)/2)*'Reeksen (N)'!AK139*12),0)</f>
        <v>0</v>
      </c>
      <c r="AJ139" s="71">
        <f ca="1">-AI139*'Invoer gegevens (N)'!$F$28</f>
        <v>0</v>
      </c>
      <c r="AK139" s="71">
        <f t="shared" ca="1" si="22"/>
        <v>0</v>
      </c>
      <c r="AL139" s="71">
        <f ca="1">IF(C139=1,(12*((F139+H139)/2)*'Reeksen (N)'!AL139)+(12*('Invoer gegevens (N)'!$C$10-(F139+H139)/2)*'Reeksen (N)'!AM139),0)</f>
        <v>0</v>
      </c>
      <c r="AM139" s="71">
        <f ca="1">-AL139*'Invoer gegevens (N)'!$F$31</f>
        <v>0</v>
      </c>
      <c r="AN139" s="71">
        <f t="shared" ca="1" si="26"/>
        <v>0</v>
      </c>
      <c r="AO139" s="71"/>
      <c r="AP139" s="71"/>
      <c r="AQ139" s="71">
        <f ca="1">-IF(C139=1,('Invoer gegevens (N)'!$C$10*'Invoer gegevens (N)'!$I$33)*'Reeksen (N)'!J139,0)*2</f>
        <v>0</v>
      </c>
      <c r="AR139" s="71">
        <f ca="1">-IF(C139=1,(G139*'Invoer gegevens (N)'!$I$34)*'Reeksen (N)'!J139,0)</f>
        <v>0</v>
      </c>
      <c r="AS139" s="71">
        <f ca="1">-IF(C139=1,'Invoer gegevens (N)'!$C$10*'Invoer gegevens (N)'!$I$35*'Reeksen (N)'!L139,0)</f>
        <v>0</v>
      </c>
      <c r="AT139" s="71">
        <f ca="1">-IF(C139=1,IF(E139='Invoer gegevens (N)'!$C$17,'Invoer gegevens (N)'!$C$11,Q139)*'Reeksen (N)'!S139*'Invoer gegevens (N)'!$C$18*'Reeksen (N)'!P139,0)</f>
        <v>0</v>
      </c>
      <c r="AU139" s="71">
        <f ca="1">-IF(C139=1,'Invoer gegevens (N)'!$C$10*'Invoer gegevens (N)'!$I$36*'Reeksen (N)'!H139,0)</f>
        <v>0</v>
      </c>
      <c r="AV139" s="71">
        <v>0</v>
      </c>
      <c r="AW139" s="71">
        <f t="shared" ca="1" si="27"/>
        <v>0</v>
      </c>
      <c r="AX139" s="71">
        <f ca="1">IF(E139&lt;'Invoer gegevens (N)'!$C$17+15,0,IF(E139&gt;'Invoer gegevens (N)'!$C$17+215,0,AW139))</f>
        <v>0</v>
      </c>
      <c r="AY139" s="71">
        <f ca="1">AX139/(1+'Invoer gegevens (N)'!$F$13)^($AZ139-('Invoer gegevens (N)'!$C$17-'Invoer gegevens (N)'!$C$16))/(1+'Invoer gegevens (N)'!$C$39)^('Invoer gegevens (N)'!$C$17-'Invoer gegevens (N)'!$C$16)</f>
        <v>0</v>
      </c>
      <c r="AZ139" s="68">
        <f ca="1">IF(E139-'Invoer gegevens (N)'!$C$17-14.5&lt;0,0,E139-'Invoer gegevens (N)'!$C$17-14.5)</f>
        <v>119.5</v>
      </c>
    </row>
    <row r="140" spans="2:52" x14ac:dyDescent="0.25">
      <c r="B140" s="70">
        <f t="shared" si="28"/>
        <v>136</v>
      </c>
      <c r="C140" s="67">
        <f ca="1">IF(E140-'Invoer gegevens (N)'!$C$17&lt;0,0,1)</f>
        <v>1</v>
      </c>
      <c r="D140" s="68">
        <f t="shared" si="29"/>
        <v>135.5</v>
      </c>
      <c r="E140" s="69">
        <f ca="1">IF('Invoer gegevens (N)'!$C$16="","",E139+1)</f>
        <v>2154</v>
      </c>
      <c r="F140" s="82">
        <f ca="1">IF('Invoer gegevens (N)'!$C$17=E140,'Invoer gegevens (N)'!$C$10,IF(C140=1,H139,0))</f>
        <v>0</v>
      </c>
      <c r="G140" s="83">
        <f ca="1">IF(C140&gt;=1,F140*'Reeksen (N)'!C140,0)</f>
        <v>0</v>
      </c>
      <c r="H140" s="84">
        <f t="shared" ca="1" si="23"/>
        <v>0</v>
      </c>
      <c r="I140" s="85">
        <f ca="1">IF('Invoer gegevens (N)'!$C$17=E140,'Invoer gegevens (N)'!$C$11,IF(C140=1,L139,0))</f>
        <v>0</v>
      </c>
      <c r="J140" s="86">
        <f ca="1">IF(C140&lt;1,0,IF('Reeksen (N)'!AK140&lt;='Reeksen (N)'!AE140,I140*'Reeksen (N)'!C140,0))</f>
        <v>0</v>
      </c>
      <c r="K140" s="86">
        <f ca="1">IF(C140&lt;1,0,IF('Reeksen (N)'!AK140&gt;'Reeksen (N)'!AE140,I140*'Reeksen (N)'!C140,0))</f>
        <v>0</v>
      </c>
      <c r="L140" s="86">
        <f t="shared" ca="1" si="24"/>
        <v>0</v>
      </c>
      <c r="M140" s="85">
        <f ca="1">IF('Invoer gegevens (N)'!$C$17=E140,'Invoer gegevens (N)'!$C$10-'Invoer gegevens (N)'!$C$11,IF(C140=1,P139,0))</f>
        <v>0</v>
      </c>
      <c r="N140" s="86">
        <f ca="1">IF(C140&lt;1,0,IF('Reeksen (N)'!AK140&lt;='Reeksen (N)'!AE140,M140*'Reeksen (N)'!C140,0))</f>
        <v>0</v>
      </c>
      <c r="O140" s="86">
        <f ca="1">IF(C140&lt;1,0,IF('Reeksen (N)'!AK140&gt;'Reeksen (N)'!AE140,M140*'Reeksen (N)'!C140,0))</f>
        <v>0</v>
      </c>
      <c r="P140" s="86">
        <f t="shared" ca="1" si="25"/>
        <v>0</v>
      </c>
      <c r="Q140" s="82">
        <f ca="1">IF('Invoer gegevens (N)'!$C$17=E140,I140,IF(C140=0,0,R139))</f>
        <v>0</v>
      </c>
      <c r="R140" s="84">
        <f t="shared" ca="1" si="20"/>
        <v>0</v>
      </c>
      <c r="S140" s="84">
        <f ca="1">IF('Invoer gegevens (N)'!$C$17=E140,M140,IF(C140=0,0,T139))</f>
        <v>0</v>
      </c>
      <c r="T140" s="84">
        <f t="shared" ca="1" si="21"/>
        <v>0</v>
      </c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8"/>
      <c r="AI140" s="71">
        <f ca="1">IF(C140=1,((F140+H140)/2*'Reeksen (N)'!AJ140*12)+(('Invoer gegevens (N)'!$C$10-(F140+H140)/2)*'Reeksen (N)'!AK140*12),0)</f>
        <v>0</v>
      </c>
      <c r="AJ140" s="71">
        <f ca="1">-AI140*'Invoer gegevens (N)'!$F$28</f>
        <v>0</v>
      </c>
      <c r="AK140" s="71">
        <f t="shared" ca="1" si="22"/>
        <v>0</v>
      </c>
      <c r="AL140" s="71">
        <f ca="1">IF(C140=1,(12*((F140+H140)/2)*'Reeksen (N)'!AL140)+(12*('Invoer gegevens (N)'!$C$10-(F140+H140)/2)*'Reeksen (N)'!AM140),0)</f>
        <v>0</v>
      </c>
      <c r="AM140" s="71">
        <f ca="1">-AL140*'Invoer gegevens (N)'!$F$31</f>
        <v>0</v>
      </c>
      <c r="AN140" s="71">
        <f t="shared" ca="1" si="26"/>
        <v>0</v>
      </c>
      <c r="AO140" s="71"/>
      <c r="AP140" s="71"/>
      <c r="AQ140" s="71">
        <f ca="1">-IF(C140=1,('Invoer gegevens (N)'!$C$10*'Invoer gegevens (N)'!$I$33)*'Reeksen (N)'!J140,0)*2</f>
        <v>0</v>
      </c>
      <c r="AR140" s="71">
        <f ca="1">-IF(C140=1,(G140*'Invoer gegevens (N)'!$I$34)*'Reeksen (N)'!J140,0)</f>
        <v>0</v>
      </c>
      <c r="AS140" s="71">
        <f ca="1">-IF(C140=1,'Invoer gegevens (N)'!$C$10*'Invoer gegevens (N)'!$I$35*'Reeksen (N)'!L140,0)</f>
        <v>0</v>
      </c>
      <c r="AT140" s="71">
        <f ca="1">-IF(C140=1,IF(E140='Invoer gegevens (N)'!$C$17,'Invoer gegevens (N)'!$C$11,Q140)*'Reeksen (N)'!S140*'Invoer gegevens (N)'!$C$18*'Reeksen (N)'!P140,0)</f>
        <v>0</v>
      </c>
      <c r="AU140" s="71">
        <f ca="1">-IF(C140=1,'Invoer gegevens (N)'!$C$10*'Invoer gegevens (N)'!$I$36*'Reeksen (N)'!H140,0)</f>
        <v>0</v>
      </c>
      <c r="AV140" s="71">
        <v>0</v>
      </c>
      <c r="AW140" s="71">
        <f t="shared" ca="1" si="27"/>
        <v>0</v>
      </c>
      <c r="AX140" s="71">
        <f ca="1">IF(E140&lt;'Invoer gegevens (N)'!$C$17+15,0,IF(E140&gt;'Invoer gegevens (N)'!$C$17+215,0,AW140))</f>
        <v>0</v>
      </c>
      <c r="AY140" s="71">
        <f ca="1">AX140/(1+'Invoer gegevens (N)'!$F$13)^($AZ140-('Invoer gegevens (N)'!$C$17-'Invoer gegevens (N)'!$C$16))/(1+'Invoer gegevens (N)'!$C$39)^('Invoer gegevens (N)'!$C$17-'Invoer gegevens (N)'!$C$16)</f>
        <v>0</v>
      </c>
      <c r="AZ140" s="68">
        <f ca="1">IF(E140-'Invoer gegevens (N)'!$C$17-14.5&lt;0,0,E140-'Invoer gegevens (N)'!$C$17-14.5)</f>
        <v>120.5</v>
      </c>
    </row>
    <row r="141" spans="2:52" x14ac:dyDescent="0.25">
      <c r="B141" s="70">
        <f t="shared" si="28"/>
        <v>137</v>
      </c>
      <c r="C141" s="67">
        <f ca="1">IF(E141-'Invoer gegevens (N)'!$C$17&lt;0,0,1)</f>
        <v>1</v>
      </c>
      <c r="D141" s="68">
        <f t="shared" si="29"/>
        <v>136.5</v>
      </c>
      <c r="E141" s="69">
        <f ca="1">IF('Invoer gegevens (N)'!$C$16="","",E140+1)</f>
        <v>2155</v>
      </c>
      <c r="F141" s="82">
        <f ca="1">IF('Invoer gegevens (N)'!$C$17=E141,'Invoer gegevens (N)'!$C$10,IF(C141=1,H140,0))</f>
        <v>0</v>
      </c>
      <c r="G141" s="83">
        <f ca="1">IF(C141&gt;=1,F141*'Reeksen (N)'!C141,0)</f>
        <v>0</v>
      </c>
      <c r="H141" s="84">
        <f t="shared" ca="1" si="23"/>
        <v>0</v>
      </c>
      <c r="I141" s="85">
        <f ca="1">IF('Invoer gegevens (N)'!$C$17=E141,'Invoer gegevens (N)'!$C$11,IF(C141=1,L140,0))</f>
        <v>0</v>
      </c>
      <c r="J141" s="86">
        <f ca="1">IF(C141&lt;1,0,IF('Reeksen (N)'!AK141&lt;='Reeksen (N)'!AE141,I141*'Reeksen (N)'!C141,0))</f>
        <v>0</v>
      </c>
      <c r="K141" s="86">
        <f ca="1">IF(C141&lt;1,0,IF('Reeksen (N)'!AK141&gt;'Reeksen (N)'!AE141,I141*'Reeksen (N)'!C141,0))</f>
        <v>0</v>
      </c>
      <c r="L141" s="86">
        <f t="shared" ca="1" si="24"/>
        <v>0</v>
      </c>
      <c r="M141" s="85">
        <f ca="1">IF('Invoer gegevens (N)'!$C$17=E141,'Invoer gegevens (N)'!$C$10-'Invoer gegevens (N)'!$C$11,IF(C141=1,P140,0))</f>
        <v>0</v>
      </c>
      <c r="N141" s="86">
        <f ca="1">IF(C141&lt;1,0,IF('Reeksen (N)'!AK141&lt;='Reeksen (N)'!AE141,M141*'Reeksen (N)'!C141,0))</f>
        <v>0</v>
      </c>
      <c r="O141" s="86">
        <f ca="1">IF(C141&lt;1,0,IF('Reeksen (N)'!AK141&gt;'Reeksen (N)'!AE141,M141*'Reeksen (N)'!C141,0))</f>
        <v>0</v>
      </c>
      <c r="P141" s="86">
        <f t="shared" ca="1" si="25"/>
        <v>0</v>
      </c>
      <c r="Q141" s="82">
        <f ca="1">IF('Invoer gegevens (N)'!$C$17=E141,I141,IF(C141=0,0,R140))</f>
        <v>0</v>
      </c>
      <c r="R141" s="84">
        <f t="shared" ca="1" si="20"/>
        <v>0</v>
      </c>
      <c r="S141" s="84">
        <f ca="1">IF('Invoer gegevens (N)'!$C$17=E141,M141,IF(C141=0,0,T140))</f>
        <v>0</v>
      </c>
      <c r="T141" s="84">
        <f t="shared" ca="1" si="21"/>
        <v>0</v>
      </c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8"/>
      <c r="AI141" s="71">
        <f ca="1">IF(C141=1,((F141+H141)/2*'Reeksen (N)'!AJ141*12)+(('Invoer gegevens (N)'!$C$10-(F141+H141)/2)*'Reeksen (N)'!AK141*12),0)</f>
        <v>0</v>
      </c>
      <c r="AJ141" s="71">
        <f ca="1">-AI141*'Invoer gegevens (N)'!$F$28</f>
        <v>0</v>
      </c>
      <c r="AK141" s="71">
        <f t="shared" ca="1" si="22"/>
        <v>0</v>
      </c>
      <c r="AL141" s="71">
        <f ca="1">IF(C141=1,(12*((F141+H141)/2)*'Reeksen (N)'!AL141)+(12*('Invoer gegevens (N)'!$C$10-(F141+H141)/2)*'Reeksen (N)'!AM141),0)</f>
        <v>0</v>
      </c>
      <c r="AM141" s="71">
        <f ca="1">-AL141*'Invoer gegevens (N)'!$F$31</f>
        <v>0</v>
      </c>
      <c r="AN141" s="71">
        <f t="shared" ca="1" si="26"/>
        <v>0</v>
      </c>
      <c r="AO141" s="71"/>
      <c r="AP141" s="71"/>
      <c r="AQ141" s="71">
        <f ca="1">-IF(C141=1,('Invoer gegevens (N)'!$C$10*'Invoer gegevens (N)'!$I$33)*'Reeksen (N)'!J141,0)*2</f>
        <v>0</v>
      </c>
      <c r="AR141" s="71">
        <f ca="1">-IF(C141=1,(G141*'Invoer gegevens (N)'!$I$34)*'Reeksen (N)'!J141,0)</f>
        <v>0</v>
      </c>
      <c r="AS141" s="71">
        <f ca="1">-IF(C141=1,'Invoer gegevens (N)'!$C$10*'Invoer gegevens (N)'!$I$35*'Reeksen (N)'!L141,0)</f>
        <v>0</v>
      </c>
      <c r="AT141" s="71">
        <f ca="1">-IF(C141=1,IF(E141='Invoer gegevens (N)'!$C$17,'Invoer gegevens (N)'!$C$11,Q141)*'Reeksen (N)'!S141*'Invoer gegevens (N)'!$C$18*'Reeksen (N)'!P141,0)</f>
        <v>0</v>
      </c>
      <c r="AU141" s="71">
        <f ca="1">-IF(C141=1,'Invoer gegevens (N)'!$C$10*'Invoer gegevens (N)'!$I$36*'Reeksen (N)'!H141,0)</f>
        <v>0</v>
      </c>
      <c r="AV141" s="71">
        <v>0</v>
      </c>
      <c r="AW141" s="71">
        <f t="shared" ca="1" si="27"/>
        <v>0</v>
      </c>
      <c r="AX141" s="71">
        <f ca="1">IF(E141&lt;'Invoer gegevens (N)'!$C$17+15,0,IF(E141&gt;'Invoer gegevens (N)'!$C$17+215,0,AW141))</f>
        <v>0</v>
      </c>
      <c r="AY141" s="71">
        <f ca="1">AX141/(1+'Invoer gegevens (N)'!$F$13)^($AZ141-('Invoer gegevens (N)'!$C$17-'Invoer gegevens (N)'!$C$16))/(1+'Invoer gegevens (N)'!$C$39)^('Invoer gegevens (N)'!$C$17-'Invoer gegevens (N)'!$C$16)</f>
        <v>0</v>
      </c>
      <c r="AZ141" s="68">
        <f ca="1">IF(E141-'Invoer gegevens (N)'!$C$17-14.5&lt;0,0,E141-'Invoer gegevens (N)'!$C$17-14.5)</f>
        <v>121.5</v>
      </c>
    </row>
    <row r="142" spans="2:52" x14ac:dyDescent="0.25">
      <c r="B142" s="70">
        <f t="shared" si="28"/>
        <v>138</v>
      </c>
      <c r="C142" s="67">
        <f ca="1">IF(E142-'Invoer gegevens (N)'!$C$17&lt;0,0,1)</f>
        <v>1</v>
      </c>
      <c r="D142" s="68">
        <f t="shared" si="29"/>
        <v>137.5</v>
      </c>
      <c r="E142" s="69">
        <f ca="1">IF('Invoer gegevens (N)'!$C$16="","",E141+1)</f>
        <v>2156</v>
      </c>
      <c r="F142" s="82">
        <f ca="1">IF('Invoer gegevens (N)'!$C$17=E142,'Invoer gegevens (N)'!$C$10,IF(C142=1,H141,0))</f>
        <v>0</v>
      </c>
      <c r="G142" s="83">
        <f ca="1">IF(C142&gt;=1,F142*'Reeksen (N)'!C142,0)</f>
        <v>0</v>
      </c>
      <c r="H142" s="84">
        <f t="shared" ca="1" si="23"/>
        <v>0</v>
      </c>
      <c r="I142" s="85">
        <f ca="1">IF('Invoer gegevens (N)'!$C$17=E142,'Invoer gegevens (N)'!$C$11,IF(C142=1,L141,0))</f>
        <v>0</v>
      </c>
      <c r="J142" s="86">
        <f ca="1">IF(C142&lt;1,0,IF('Reeksen (N)'!AK142&lt;='Reeksen (N)'!AE142,I142*'Reeksen (N)'!C142,0))</f>
        <v>0</v>
      </c>
      <c r="K142" s="86">
        <f ca="1">IF(C142&lt;1,0,IF('Reeksen (N)'!AK142&gt;'Reeksen (N)'!AE142,I142*'Reeksen (N)'!C142,0))</f>
        <v>0</v>
      </c>
      <c r="L142" s="86">
        <f t="shared" ca="1" si="24"/>
        <v>0</v>
      </c>
      <c r="M142" s="85">
        <f ca="1">IF('Invoer gegevens (N)'!$C$17=E142,'Invoer gegevens (N)'!$C$10-'Invoer gegevens (N)'!$C$11,IF(C142=1,P141,0))</f>
        <v>0</v>
      </c>
      <c r="N142" s="86">
        <f ca="1">IF(C142&lt;1,0,IF('Reeksen (N)'!AK142&lt;='Reeksen (N)'!AE142,M142*'Reeksen (N)'!C142,0))</f>
        <v>0</v>
      </c>
      <c r="O142" s="86">
        <f ca="1">IF(C142&lt;1,0,IF('Reeksen (N)'!AK142&gt;'Reeksen (N)'!AE142,M142*'Reeksen (N)'!C142,0))</f>
        <v>0</v>
      </c>
      <c r="P142" s="86">
        <f t="shared" ca="1" si="25"/>
        <v>0</v>
      </c>
      <c r="Q142" s="82">
        <f ca="1">IF('Invoer gegevens (N)'!$C$17=E142,I142,IF(C142=0,0,R141))</f>
        <v>0</v>
      </c>
      <c r="R142" s="84">
        <f t="shared" ca="1" si="20"/>
        <v>0</v>
      </c>
      <c r="S142" s="84">
        <f ca="1">IF('Invoer gegevens (N)'!$C$17=E142,M142,IF(C142=0,0,T141))</f>
        <v>0</v>
      </c>
      <c r="T142" s="84">
        <f t="shared" ca="1" si="21"/>
        <v>0</v>
      </c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8"/>
      <c r="AI142" s="71">
        <f ca="1">IF(C142=1,((F142+H142)/2*'Reeksen (N)'!AJ142*12)+(('Invoer gegevens (N)'!$C$10-(F142+H142)/2)*'Reeksen (N)'!AK142*12),0)</f>
        <v>0</v>
      </c>
      <c r="AJ142" s="71">
        <f ca="1">-AI142*'Invoer gegevens (N)'!$F$28</f>
        <v>0</v>
      </c>
      <c r="AK142" s="71">
        <f t="shared" ca="1" si="22"/>
        <v>0</v>
      </c>
      <c r="AL142" s="71">
        <f ca="1">IF(C142=1,(12*((F142+H142)/2)*'Reeksen (N)'!AL142)+(12*('Invoer gegevens (N)'!$C$10-(F142+H142)/2)*'Reeksen (N)'!AM142),0)</f>
        <v>0</v>
      </c>
      <c r="AM142" s="71">
        <f ca="1">-AL142*'Invoer gegevens (N)'!$F$31</f>
        <v>0</v>
      </c>
      <c r="AN142" s="71">
        <f t="shared" ca="1" si="26"/>
        <v>0</v>
      </c>
      <c r="AO142" s="71"/>
      <c r="AP142" s="71"/>
      <c r="AQ142" s="71">
        <f ca="1">-IF(C142=1,('Invoer gegevens (N)'!$C$10*'Invoer gegevens (N)'!$I$33)*'Reeksen (N)'!J142,0)*2</f>
        <v>0</v>
      </c>
      <c r="AR142" s="71">
        <f ca="1">-IF(C142=1,(G142*'Invoer gegevens (N)'!$I$34)*'Reeksen (N)'!J142,0)</f>
        <v>0</v>
      </c>
      <c r="AS142" s="71">
        <f ca="1">-IF(C142=1,'Invoer gegevens (N)'!$C$10*'Invoer gegevens (N)'!$I$35*'Reeksen (N)'!L142,0)</f>
        <v>0</v>
      </c>
      <c r="AT142" s="71">
        <f ca="1">-IF(C142=1,IF(E142='Invoer gegevens (N)'!$C$17,'Invoer gegevens (N)'!$C$11,Q142)*'Reeksen (N)'!S142*'Invoer gegevens (N)'!$C$18*'Reeksen (N)'!P142,0)</f>
        <v>0</v>
      </c>
      <c r="AU142" s="71">
        <f ca="1">-IF(C142=1,'Invoer gegevens (N)'!$C$10*'Invoer gegevens (N)'!$I$36*'Reeksen (N)'!H142,0)</f>
        <v>0</v>
      </c>
      <c r="AV142" s="71">
        <v>0</v>
      </c>
      <c r="AW142" s="71">
        <f t="shared" ca="1" si="27"/>
        <v>0</v>
      </c>
      <c r="AX142" s="71">
        <f ca="1">IF(E142&lt;'Invoer gegevens (N)'!$C$17+15,0,IF(E142&gt;'Invoer gegevens (N)'!$C$17+215,0,AW142))</f>
        <v>0</v>
      </c>
      <c r="AY142" s="71">
        <f ca="1">AX142/(1+'Invoer gegevens (N)'!$F$13)^($AZ142-('Invoer gegevens (N)'!$C$17-'Invoer gegevens (N)'!$C$16))/(1+'Invoer gegevens (N)'!$C$39)^('Invoer gegevens (N)'!$C$17-'Invoer gegevens (N)'!$C$16)</f>
        <v>0</v>
      </c>
      <c r="AZ142" s="68">
        <f ca="1">IF(E142-'Invoer gegevens (N)'!$C$17-14.5&lt;0,0,E142-'Invoer gegevens (N)'!$C$17-14.5)</f>
        <v>122.5</v>
      </c>
    </row>
    <row r="143" spans="2:52" x14ac:dyDescent="0.25">
      <c r="B143" s="70">
        <f t="shared" si="28"/>
        <v>139</v>
      </c>
      <c r="C143" s="67">
        <f ca="1">IF(E143-'Invoer gegevens (N)'!$C$17&lt;0,0,1)</f>
        <v>1</v>
      </c>
      <c r="D143" s="68">
        <f t="shared" si="29"/>
        <v>138.5</v>
      </c>
      <c r="E143" s="69">
        <f ca="1">IF('Invoer gegevens (N)'!$C$16="","",E142+1)</f>
        <v>2157</v>
      </c>
      <c r="F143" s="82">
        <f ca="1">IF('Invoer gegevens (N)'!$C$17=E143,'Invoer gegevens (N)'!$C$10,IF(C143=1,H142,0))</f>
        <v>0</v>
      </c>
      <c r="G143" s="83">
        <f ca="1">IF(C143&gt;=1,F143*'Reeksen (N)'!C143,0)</f>
        <v>0</v>
      </c>
      <c r="H143" s="84">
        <f t="shared" ca="1" si="23"/>
        <v>0</v>
      </c>
      <c r="I143" s="85">
        <f ca="1">IF('Invoer gegevens (N)'!$C$17=E143,'Invoer gegevens (N)'!$C$11,IF(C143=1,L142,0))</f>
        <v>0</v>
      </c>
      <c r="J143" s="86">
        <f ca="1">IF(C143&lt;1,0,IF('Reeksen (N)'!AK143&lt;='Reeksen (N)'!AE143,I143*'Reeksen (N)'!C143,0))</f>
        <v>0</v>
      </c>
      <c r="K143" s="86">
        <f ca="1">IF(C143&lt;1,0,IF('Reeksen (N)'!AK143&gt;'Reeksen (N)'!AE143,I143*'Reeksen (N)'!C143,0))</f>
        <v>0</v>
      </c>
      <c r="L143" s="86">
        <f t="shared" ca="1" si="24"/>
        <v>0</v>
      </c>
      <c r="M143" s="85">
        <f ca="1">IF('Invoer gegevens (N)'!$C$17=E143,'Invoer gegevens (N)'!$C$10-'Invoer gegevens (N)'!$C$11,IF(C143=1,P142,0))</f>
        <v>0</v>
      </c>
      <c r="N143" s="86">
        <f ca="1">IF(C143&lt;1,0,IF('Reeksen (N)'!AK143&lt;='Reeksen (N)'!AE143,M143*'Reeksen (N)'!C143,0))</f>
        <v>0</v>
      </c>
      <c r="O143" s="86">
        <f ca="1">IF(C143&lt;1,0,IF('Reeksen (N)'!AK143&gt;'Reeksen (N)'!AE143,M143*'Reeksen (N)'!C143,0))</f>
        <v>0</v>
      </c>
      <c r="P143" s="86">
        <f t="shared" ca="1" si="25"/>
        <v>0</v>
      </c>
      <c r="Q143" s="82">
        <f ca="1">IF('Invoer gegevens (N)'!$C$17=E143,I143,IF(C143=0,0,R142))</f>
        <v>0</v>
      </c>
      <c r="R143" s="84">
        <f t="shared" ca="1" si="20"/>
        <v>0</v>
      </c>
      <c r="S143" s="84">
        <f ca="1">IF('Invoer gegevens (N)'!$C$17=E143,M143,IF(C143=0,0,T142))</f>
        <v>0</v>
      </c>
      <c r="T143" s="84">
        <f t="shared" ca="1" si="21"/>
        <v>0</v>
      </c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8"/>
      <c r="AI143" s="71">
        <f ca="1">IF(C143=1,((F143+H143)/2*'Reeksen (N)'!AJ143*12)+(('Invoer gegevens (N)'!$C$10-(F143+H143)/2)*'Reeksen (N)'!AK143*12),0)</f>
        <v>0</v>
      </c>
      <c r="AJ143" s="71">
        <f ca="1">-AI143*'Invoer gegevens (N)'!$F$28</f>
        <v>0</v>
      </c>
      <c r="AK143" s="71">
        <f t="shared" ca="1" si="22"/>
        <v>0</v>
      </c>
      <c r="AL143" s="71">
        <f ca="1">IF(C143=1,(12*((F143+H143)/2)*'Reeksen (N)'!AL143)+(12*('Invoer gegevens (N)'!$C$10-(F143+H143)/2)*'Reeksen (N)'!AM143),0)</f>
        <v>0</v>
      </c>
      <c r="AM143" s="71">
        <f ca="1">-AL143*'Invoer gegevens (N)'!$F$31</f>
        <v>0</v>
      </c>
      <c r="AN143" s="71">
        <f t="shared" ca="1" si="26"/>
        <v>0</v>
      </c>
      <c r="AO143" s="71"/>
      <c r="AP143" s="71"/>
      <c r="AQ143" s="71">
        <f ca="1">-IF(C143=1,('Invoer gegevens (N)'!$C$10*'Invoer gegevens (N)'!$I$33)*'Reeksen (N)'!J143,0)*2</f>
        <v>0</v>
      </c>
      <c r="AR143" s="71">
        <f ca="1">-IF(C143=1,(G143*'Invoer gegevens (N)'!$I$34)*'Reeksen (N)'!J143,0)</f>
        <v>0</v>
      </c>
      <c r="AS143" s="71">
        <f ca="1">-IF(C143=1,'Invoer gegevens (N)'!$C$10*'Invoer gegevens (N)'!$I$35*'Reeksen (N)'!L143,0)</f>
        <v>0</v>
      </c>
      <c r="AT143" s="71">
        <f ca="1">-IF(C143=1,IF(E143='Invoer gegevens (N)'!$C$17,'Invoer gegevens (N)'!$C$11,Q143)*'Reeksen (N)'!S143*'Invoer gegevens (N)'!$C$18*'Reeksen (N)'!P143,0)</f>
        <v>0</v>
      </c>
      <c r="AU143" s="71">
        <f ca="1">-IF(C143=1,'Invoer gegevens (N)'!$C$10*'Invoer gegevens (N)'!$I$36*'Reeksen (N)'!H143,0)</f>
        <v>0</v>
      </c>
      <c r="AV143" s="71">
        <v>0</v>
      </c>
      <c r="AW143" s="71">
        <f t="shared" ca="1" si="27"/>
        <v>0</v>
      </c>
      <c r="AX143" s="71">
        <f ca="1">IF(E143&lt;'Invoer gegevens (N)'!$C$17+15,0,IF(E143&gt;'Invoer gegevens (N)'!$C$17+215,0,AW143))</f>
        <v>0</v>
      </c>
      <c r="AY143" s="71">
        <f ca="1">AX143/(1+'Invoer gegevens (N)'!$F$13)^($AZ143-('Invoer gegevens (N)'!$C$17-'Invoer gegevens (N)'!$C$16))/(1+'Invoer gegevens (N)'!$C$39)^('Invoer gegevens (N)'!$C$17-'Invoer gegevens (N)'!$C$16)</f>
        <v>0</v>
      </c>
      <c r="AZ143" s="68">
        <f ca="1">IF(E143-'Invoer gegevens (N)'!$C$17-14.5&lt;0,0,E143-'Invoer gegevens (N)'!$C$17-14.5)</f>
        <v>123.5</v>
      </c>
    </row>
    <row r="144" spans="2:52" x14ac:dyDescent="0.25">
      <c r="B144" s="70">
        <f t="shared" si="28"/>
        <v>140</v>
      </c>
      <c r="C144" s="67">
        <f ca="1">IF(E144-'Invoer gegevens (N)'!$C$17&lt;0,0,1)</f>
        <v>1</v>
      </c>
      <c r="D144" s="68">
        <f t="shared" si="29"/>
        <v>139.5</v>
      </c>
      <c r="E144" s="69">
        <f ca="1">IF('Invoer gegevens (N)'!$C$16="","",E143+1)</f>
        <v>2158</v>
      </c>
      <c r="F144" s="82">
        <f ca="1">IF('Invoer gegevens (N)'!$C$17=E144,'Invoer gegevens (N)'!$C$10,IF(C144=1,H143,0))</f>
        <v>0</v>
      </c>
      <c r="G144" s="83">
        <f ca="1">IF(C144&gt;=1,F144*'Reeksen (N)'!C144,0)</f>
        <v>0</v>
      </c>
      <c r="H144" s="84">
        <f t="shared" ca="1" si="23"/>
        <v>0</v>
      </c>
      <c r="I144" s="85">
        <f ca="1">IF('Invoer gegevens (N)'!$C$17=E144,'Invoer gegevens (N)'!$C$11,IF(C144=1,L143,0))</f>
        <v>0</v>
      </c>
      <c r="J144" s="86">
        <f ca="1">IF(C144&lt;1,0,IF('Reeksen (N)'!AK144&lt;='Reeksen (N)'!AE144,I144*'Reeksen (N)'!C144,0))</f>
        <v>0</v>
      </c>
      <c r="K144" s="86">
        <f ca="1">IF(C144&lt;1,0,IF('Reeksen (N)'!AK144&gt;'Reeksen (N)'!AE144,I144*'Reeksen (N)'!C144,0))</f>
        <v>0</v>
      </c>
      <c r="L144" s="86">
        <f t="shared" ca="1" si="24"/>
        <v>0</v>
      </c>
      <c r="M144" s="85">
        <f ca="1">IF('Invoer gegevens (N)'!$C$17=E144,'Invoer gegevens (N)'!$C$10-'Invoer gegevens (N)'!$C$11,IF(C144=1,P143,0))</f>
        <v>0</v>
      </c>
      <c r="N144" s="86">
        <f ca="1">IF(C144&lt;1,0,IF('Reeksen (N)'!AK144&lt;='Reeksen (N)'!AE144,M144*'Reeksen (N)'!C144,0))</f>
        <v>0</v>
      </c>
      <c r="O144" s="86">
        <f ca="1">IF(C144&lt;1,0,IF('Reeksen (N)'!AK144&gt;'Reeksen (N)'!AE144,M144*'Reeksen (N)'!C144,0))</f>
        <v>0</v>
      </c>
      <c r="P144" s="86">
        <f t="shared" ca="1" si="25"/>
        <v>0</v>
      </c>
      <c r="Q144" s="82">
        <f ca="1">IF('Invoer gegevens (N)'!$C$17=E144,I144,IF(C144=0,0,R143))</f>
        <v>0</v>
      </c>
      <c r="R144" s="84">
        <f t="shared" ca="1" si="20"/>
        <v>0</v>
      </c>
      <c r="S144" s="84">
        <f ca="1">IF('Invoer gegevens (N)'!$C$17=E144,M144,IF(C144=0,0,T143))</f>
        <v>0</v>
      </c>
      <c r="T144" s="84">
        <f t="shared" ca="1" si="21"/>
        <v>0</v>
      </c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8"/>
      <c r="AI144" s="71">
        <f ca="1">IF(C144=1,((F144+H144)/2*'Reeksen (N)'!AJ144*12)+(('Invoer gegevens (N)'!$C$10-(F144+H144)/2)*'Reeksen (N)'!AK144*12),0)</f>
        <v>0</v>
      </c>
      <c r="AJ144" s="71">
        <f ca="1">-AI144*'Invoer gegevens (N)'!$F$28</f>
        <v>0</v>
      </c>
      <c r="AK144" s="71">
        <f t="shared" ca="1" si="22"/>
        <v>0</v>
      </c>
      <c r="AL144" s="71">
        <f ca="1">IF(C144=1,(12*((F144+H144)/2)*'Reeksen (N)'!AL144)+(12*('Invoer gegevens (N)'!$C$10-(F144+H144)/2)*'Reeksen (N)'!AM144),0)</f>
        <v>0</v>
      </c>
      <c r="AM144" s="71">
        <f ca="1">-AL144*'Invoer gegevens (N)'!$F$31</f>
        <v>0</v>
      </c>
      <c r="AN144" s="71">
        <f t="shared" ca="1" si="26"/>
        <v>0</v>
      </c>
      <c r="AO144" s="71"/>
      <c r="AP144" s="71"/>
      <c r="AQ144" s="71">
        <f ca="1">-IF(C144=1,('Invoer gegevens (N)'!$C$10*'Invoer gegevens (N)'!$I$33)*'Reeksen (N)'!J144,0)*2</f>
        <v>0</v>
      </c>
      <c r="AR144" s="71">
        <f ca="1">-IF(C144=1,(G144*'Invoer gegevens (N)'!$I$34)*'Reeksen (N)'!J144,0)</f>
        <v>0</v>
      </c>
      <c r="AS144" s="71">
        <f ca="1">-IF(C144=1,'Invoer gegevens (N)'!$C$10*'Invoer gegevens (N)'!$I$35*'Reeksen (N)'!L144,0)</f>
        <v>0</v>
      </c>
      <c r="AT144" s="71">
        <f ca="1">-IF(C144=1,IF(E144='Invoer gegevens (N)'!$C$17,'Invoer gegevens (N)'!$C$11,Q144)*'Reeksen (N)'!S144*'Invoer gegevens (N)'!$C$18*'Reeksen (N)'!P144,0)</f>
        <v>0</v>
      </c>
      <c r="AU144" s="71">
        <f ca="1">-IF(C144=1,'Invoer gegevens (N)'!$C$10*'Invoer gegevens (N)'!$I$36*'Reeksen (N)'!H144,0)</f>
        <v>0</v>
      </c>
      <c r="AV144" s="71">
        <v>0</v>
      </c>
      <c r="AW144" s="71">
        <f t="shared" ca="1" si="27"/>
        <v>0</v>
      </c>
      <c r="AX144" s="71">
        <f ca="1">IF(E144&lt;'Invoer gegevens (N)'!$C$17+15,0,IF(E144&gt;'Invoer gegevens (N)'!$C$17+215,0,AW144))</f>
        <v>0</v>
      </c>
      <c r="AY144" s="71">
        <f ca="1">AX144/(1+'Invoer gegevens (N)'!$F$13)^($AZ144-('Invoer gegevens (N)'!$C$17-'Invoer gegevens (N)'!$C$16))/(1+'Invoer gegevens (N)'!$C$39)^('Invoer gegevens (N)'!$C$17-'Invoer gegevens (N)'!$C$16)</f>
        <v>0</v>
      </c>
      <c r="AZ144" s="68">
        <f ca="1">IF(E144-'Invoer gegevens (N)'!$C$17-14.5&lt;0,0,E144-'Invoer gegevens (N)'!$C$17-14.5)</f>
        <v>124.5</v>
      </c>
    </row>
    <row r="145" spans="2:52" x14ac:dyDescent="0.25">
      <c r="B145" s="70">
        <f t="shared" si="28"/>
        <v>141</v>
      </c>
      <c r="C145" s="67">
        <f ca="1">IF(E145-'Invoer gegevens (N)'!$C$17&lt;0,0,1)</f>
        <v>1</v>
      </c>
      <c r="D145" s="68">
        <f t="shared" si="29"/>
        <v>140.5</v>
      </c>
      <c r="E145" s="69">
        <f ca="1">IF('Invoer gegevens (N)'!$C$16="","",E144+1)</f>
        <v>2159</v>
      </c>
      <c r="F145" s="82">
        <f ca="1">IF('Invoer gegevens (N)'!$C$17=E145,'Invoer gegevens (N)'!$C$10,IF(C145=1,H144,0))</f>
        <v>0</v>
      </c>
      <c r="G145" s="83">
        <f ca="1">IF(C145&gt;=1,F145*'Reeksen (N)'!C145,0)</f>
        <v>0</v>
      </c>
      <c r="H145" s="84">
        <f t="shared" ca="1" si="23"/>
        <v>0</v>
      </c>
      <c r="I145" s="85">
        <f ca="1">IF('Invoer gegevens (N)'!$C$17=E145,'Invoer gegevens (N)'!$C$11,IF(C145=1,L144,0))</f>
        <v>0</v>
      </c>
      <c r="J145" s="86">
        <f ca="1">IF(C145&lt;1,0,IF('Reeksen (N)'!AK145&lt;='Reeksen (N)'!AE145,I145*'Reeksen (N)'!C145,0))</f>
        <v>0</v>
      </c>
      <c r="K145" s="86">
        <f ca="1">IF(C145&lt;1,0,IF('Reeksen (N)'!AK145&gt;'Reeksen (N)'!AE145,I145*'Reeksen (N)'!C145,0))</f>
        <v>0</v>
      </c>
      <c r="L145" s="86">
        <f t="shared" ca="1" si="24"/>
        <v>0</v>
      </c>
      <c r="M145" s="85">
        <f ca="1">IF('Invoer gegevens (N)'!$C$17=E145,'Invoer gegevens (N)'!$C$10-'Invoer gegevens (N)'!$C$11,IF(C145=1,P144,0))</f>
        <v>0</v>
      </c>
      <c r="N145" s="86">
        <f ca="1">IF(C145&lt;1,0,IF('Reeksen (N)'!AK145&lt;='Reeksen (N)'!AE145,M145*'Reeksen (N)'!C145,0))</f>
        <v>0</v>
      </c>
      <c r="O145" s="86">
        <f ca="1">IF(C145&lt;1,0,IF('Reeksen (N)'!AK145&gt;'Reeksen (N)'!AE145,M145*'Reeksen (N)'!C145,0))</f>
        <v>0</v>
      </c>
      <c r="P145" s="86">
        <f t="shared" ca="1" si="25"/>
        <v>0</v>
      </c>
      <c r="Q145" s="82">
        <f ca="1">IF('Invoer gegevens (N)'!$C$17=E145,I145,IF(C145=0,0,R144))</f>
        <v>0</v>
      </c>
      <c r="R145" s="84">
        <f t="shared" ca="1" si="20"/>
        <v>0</v>
      </c>
      <c r="S145" s="84">
        <f ca="1">IF('Invoer gegevens (N)'!$C$17=E145,M145,IF(C145=0,0,T144))</f>
        <v>0</v>
      </c>
      <c r="T145" s="84">
        <f t="shared" ca="1" si="21"/>
        <v>0</v>
      </c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8"/>
      <c r="AI145" s="71">
        <f ca="1">IF(C145=1,((F145+H145)/2*'Reeksen (N)'!AJ145*12)+(('Invoer gegevens (N)'!$C$10-(F145+H145)/2)*'Reeksen (N)'!AK145*12),0)</f>
        <v>0</v>
      </c>
      <c r="AJ145" s="71">
        <f ca="1">-AI145*'Invoer gegevens (N)'!$F$28</f>
        <v>0</v>
      </c>
      <c r="AK145" s="71">
        <f t="shared" ca="1" si="22"/>
        <v>0</v>
      </c>
      <c r="AL145" s="71">
        <f ca="1">IF(C145=1,(12*((F145+H145)/2)*'Reeksen (N)'!AL145)+(12*('Invoer gegevens (N)'!$C$10-(F145+H145)/2)*'Reeksen (N)'!AM145),0)</f>
        <v>0</v>
      </c>
      <c r="AM145" s="71">
        <f ca="1">-AL145*'Invoer gegevens (N)'!$F$31</f>
        <v>0</v>
      </c>
      <c r="AN145" s="71">
        <f t="shared" ca="1" si="26"/>
        <v>0</v>
      </c>
      <c r="AO145" s="71"/>
      <c r="AP145" s="71"/>
      <c r="AQ145" s="71">
        <f ca="1">-IF(C145=1,('Invoer gegevens (N)'!$C$10*'Invoer gegevens (N)'!$I$33)*'Reeksen (N)'!J145,0)*2</f>
        <v>0</v>
      </c>
      <c r="AR145" s="71">
        <f ca="1">-IF(C145=1,(G145*'Invoer gegevens (N)'!$I$34)*'Reeksen (N)'!J145,0)</f>
        <v>0</v>
      </c>
      <c r="AS145" s="71">
        <f ca="1">-IF(C145=1,'Invoer gegevens (N)'!$C$10*'Invoer gegevens (N)'!$I$35*'Reeksen (N)'!L145,0)</f>
        <v>0</v>
      </c>
      <c r="AT145" s="71">
        <f ca="1">-IF(C145=1,IF(E145='Invoer gegevens (N)'!$C$17,'Invoer gegevens (N)'!$C$11,Q145)*'Reeksen (N)'!S145*'Invoer gegevens (N)'!$C$18*'Reeksen (N)'!P145,0)</f>
        <v>0</v>
      </c>
      <c r="AU145" s="71">
        <f ca="1">-IF(C145=1,'Invoer gegevens (N)'!$C$10*'Invoer gegevens (N)'!$I$36*'Reeksen (N)'!H145,0)</f>
        <v>0</v>
      </c>
      <c r="AV145" s="71">
        <v>0</v>
      </c>
      <c r="AW145" s="71">
        <f t="shared" ca="1" si="27"/>
        <v>0</v>
      </c>
      <c r="AX145" s="71">
        <f ca="1">IF(E145&lt;'Invoer gegevens (N)'!$C$17+15,0,IF(E145&gt;'Invoer gegevens (N)'!$C$17+215,0,AW145))</f>
        <v>0</v>
      </c>
      <c r="AY145" s="71">
        <f ca="1">AX145/(1+'Invoer gegevens (N)'!$F$13)^($AZ145-('Invoer gegevens (N)'!$C$17-'Invoer gegevens (N)'!$C$16))/(1+'Invoer gegevens (N)'!$C$39)^('Invoer gegevens (N)'!$C$17-'Invoer gegevens (N)'!$C$16)</f>
        <v>0</v>
      </c>
      <c r="AZ145" s="68">
        <f ca="1">IF(E145-'Invoer gegevens (N)'!$C$17-14.5&lt;0,0,E145-'Invoer gegevens (N)'!$C$17-14.5)</f>
        <v>125.5</v>
      </c>
    </row>
    <row r="146" spans="2:52" x14ac:dyDescent="0.25">
      <c r="B146" s="70">
        <f t="shared" si="28"/>
        <v>142</v>
      </c>
      <c r="C146" s="67">
        <f ca="1">IF(E146-'Invoer gegevens (N)'!$C$17&lt;0,0,1)</f>
        <v>1</v>
      </c>
      <c r="D146" s="68">
        <f t="shared" si="29"/>
        <v>141.5</v>
      </c>
      <c r="E146" s="69">
        <f ca="1">IF('Invoer gegevens (N)'!$C$16="","",E145+1)</f>
        <v>2160</v>
      </c>
      <c r="F146" s="82">
        <f ca="1">IF('Invoer gegevens (N)'!$C$17=E146,'Invoer gegevens (N)'!$C$10,IF(C146=1,H145,0))</f>
        <v>0</v>
      </c>
      <c r="G146" s="83">
        <f ca="1">IF(C146&gt;=1,F146*'Reeksen (N)'!C146,0)</f>
        <v>0</v>
      </c>
      <c r="H146" s="84">
        <f t="shared" ca="1" si="23"/>
        <v>0</v>
      </c>
      <c r="I146" s="85">
        <f ca="1">IF('Invoer gegevens (N)'!$C$17=E146,'Invoer gegevens (N)'!$C$11,IF(C146=1,L145,0))</f>
        <v>0</v>
      </c>
      <c r="J146" s="86">
        <f ca="1">IF(C146&lt;1,0,IF('Reeksen (N)'!AK146&lt;='Reeksen (N)'!AE146,I146*'Reeksen (N)'!C146,0))</f>
        <v>0</v>
      </c>
      <c r="K146" s="86">
        <f ca="1">IF(C146&lt;1,0,IF('Reeksen (N)'!AK146&gt;'Reeksen (N)'!AE146,I146*'Reeksen (N)'!C146,0))</f>
        <v>0</v>
      </c>
      <c r="L146" s="86">
        <f t="shared" ca="1" si="24"/>
        <v>0</v>
      </c>
      <c r="M146" s="85">
        <f ca="1">IF('Invoer gegevens (N)'!$C$17=E146,'Invoer gegevens (N)'!$C$10-'Invoer gegevens (N)'!$C$11,IF(C146=1,P145,0))</f>
        <v>0</v>
      </c>
      <c r="N146" s="86">
        <f ca="1">IF(C146&lt;1,0,IF('Reeksen (N)'!AK146&lt;='Reeksen (N)'!AE146,M146*'Reeksen (N)'!C146,0))</f>
        <v>0</v>
      </c>
      <c r="O146" s="86">
        <f ca="1">IF(C146&lt;1,0,IF('Reeksen (N)'!AK146&gt;'Reeksen (N)'!AE146,M146*'Reeksen (N)'!C146,0))</f>
        <v>0</v>
      </c>
      <c r="P146" s="86">
        <f t="shared" ca="1" si="25"/>
        <v>0</v>
      </c>
      <c r="Q146" s="82">
        <f ca="1">IF('Invoer gegevens (N)'!$C$17=E146,I146,IF(C146=0,0,R145))</f>
        <v>0</v>
      </c>
      <c r="R146" s="84">
        <f t="shared" ca="1" si="20"/>
        <v>0</v>
      </c>
      <c r="S146" s="84">
        <f ca="1">IF('Invoer gegevens (N)'!$C$17=E146,M146,IF(C146=0,0,T145))</f>
        <v>0</v>
      </c>
      <c r="T146" s="84">
        <f t="shared" ca="1" si="21"/>
        <v>0</v>
      </c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8"/>
      <c r="AI146" s="71">
        <f ca="1">IF(C146=1,((F146+H146)/2*'Reeksen (N)'!AJ146*12)+(('Invoer gegevens (N)'!$C$10-(F146+H146)/2)*'Reeksen (N)'!AK146*12),0)</f>
        <v>0</v>
      </c>
      <c r="AJ146" s="71">
        <f ca="1">-AI146*'Invoer gegevens (N)'!$F$28</f>
        <v>0</v>
      </c>
      <c r="AK146" s="71">
        <f t="shared" ca="1" si="22"/>
        <v>0</v>
      </c>
      <c r="AL146" s="71">
        <f ca="1">IF(C146=1,(12*((F146+H146)/2)*'Reeksen (N)'!AL146)+(12*('Invoer gegevens (N)'!$C$10-(F146+H146)/2)*'Reeksen (N)'!AM146),0)</f>
        <v>0</v>
      </c>
      <c r="AM146" s="71">
        <f ca="1">-AL146*'Invoer gegevens (N)'!$F$31</f>
        <v>0</v>
      </c>
      <c r="AN146" s="71">
        <f t="shared" ca="1" si="26"/>
        <v>0</v>
      </c>
      <c r="AO146" s="71"/>
      <c r="AP146" s="71"/>
      <c r="AQ146" s="71">
        <f ca="1">-IF(C146=1,('Invoer gegevens (N)'!$C$10*'Invoer gegevens (N)'!$I$33)*'Reeksen (N)'!J146,0)*2</f>
        <v>0</v>
      </c>
      <c r="AR146" s="71">
        <f ca="1">-IF(C146=1,(G146*'Invoer gegevens (N)'!$I$34)*'Reeksen (N)'!J146,0)</f>
        <v>0</v>
      </c>
      <c r="AS146" s="71">
        <f ca="1">-IF(C146=1,'Invoer gegevens (N)'!$C$10*'Invoer gegevens (N)'!$I$35*'Reeksen (N)'!L146,0)</f>
        <v>0</v>
      </c>
      <c r="AT146" s="71">
        <f ca="1">-IF(C146=1,IF(E146='Invoer gegevens (N)'!$C$17,'Invoer gegevens (N)'!$C$11,Q146)*'Reeksen (N)'!S146*'Invoer gegevens (N)'!$C$18*'Reeksen (N)'!P146,0)</f>
        <v>0</v>
      </c>
      <c r="AU146" s="71">
        <f ca="1">-IF(C146=1,'Invoer gegevens (N)'!$C$10*'Invoer gegevens (N)'!$I$36*'Reeksen (N)'!H146,0)</f>
        <v>0</v>
      </c>
      <c r="AV146" s="71">
        <v>0</v>
      </c>
      <c r="AW146" s="71">
        <f t="shared" ca="1" si="27"/>
        <v>0</v>
      </c>
      <c r="AX146" s="71">
        <f ca="1">IF(E146&lt;'Invoer gegevens (N)'!$C$17+15,0,IF(E146&gt;'Invoer gegevens (N)'!$C$17+215,0,AW146))</f>
        <v>0</v>
      </c>
      <c r="AY146" s="71">
        <f ca="1">AX146/(1+'Invoer gegevens (N)'!$F$13)^($AZ146-('Invoer gegevens (N)'!$C$17-'Invoer gegevens (N)'!$C$16))/(1+'Invoer gegevens (N)'!$C$39)^('Invoer gegevens (N)'!$C$17-'Invoer gegevens (N)'!$C$16)</f>
        <v>0</v>
      </c>
      <c r="AZ146" s="68">
        <f ca="1">IF(E146-'Invoer gegevens (N)'!$C$17-14.5&lt;0,0,E146-'Invoer gegevens (N)'!$C$17-14.5)</f>
        <v>126.5</v>
      </c>
    </row>
    <row r="147" spans="2:52" x14ac:dyDescent="0.25">
      <c r="B147" s="70">
        <f t="shared" si="28"/>
        <v>143</v>
      </c>
      <c r="C147" s="67">
        <f ca="1">IF(E147-'Invoer gegevens (N)'!$C$17&lt;0,0,1)</f>
        <v>1</v>
      </c>
      <c r="D147" s="68">
        <f t="shared" si="29"/>
        <v>142.5</v>
      </c>
      <c r="E147" s="69">
        <f ca="1">IF('Invoer gegevens (N)'!$C$16="","",E146+1)</f>
        <v>2161</v>
      </c>
      <c r="F147" s="82">
        <f ca="1">IF('Invoer gegevens (N)'!$C$17=E147,'Invoer gegevens (N)'!$C$10,IF(C147=1,H146,0))</f>
        <v>0</v>
      </c>
      <c r="G147" s="83">
        <f ca="1">IF(C147&gt;=1,F147*'Reeksen (N)'!C147,0)</f>
        <v>0</v>
      </c>
      <c r="H147" s="84">
        <f t="shared" ca="1" si="23"/>
        <v>0</v>
      </c>
      <c r="I147" s="85">
        <f ca="1">IF('Invoer gegevens (N)'!$C$17=E147,'Invoer gegevens (N)'!$C$11,IF(C147=1,L146,0))</f>
        <v>0</v>
      </c>
      <c r="J147" s="86">
        <f ca="1">IF(C147&lt;1,0,IF('Reeksen (N)'!AK147&lt;='Reeksen (N)'!AE147,I147*'Reeksen (N)'!C147,0))</f>
        <v>0</v>
      </c>
      <c r="K147" s="86">
        <f ca="1">IF(C147&lt;1,0,IF('Reeksen (N)'!AK147&gt;'Reeksen (N)'!AE147,I147*'Reeksen (N)'!C147,0))</f>
        <v>0</v>
      </c>
      <c r="L147" s="86">
        <f t="shared" ca="1" si="24"/>
        <v>0</v>
      </c>
      <c r="M147" s="85">
        <f ca="1">IF('Invoer gegevens (N)'!$C$17=E147,'Invoer gegevens (N)'!$C$10-'Invoer gegevens (N)'!$C$11,IF(C147=1,P146,0))</f>
        <v>0</v>
      </c>
      <c r="N147" s="86">
        <f ca="1">IF(C147&lt;1,0,IF('Reeksen (N)'!AK147&lt;='Reeksen (N)'!AE147,M147*'Reeksen (N)'!C147,0))</f>
        <v>0</v>
      </c>
      <c r="O147" s="86">
        <f ca="1">IF(C147&lt;1,0,IF('Reeksen (N)'!AK147&gt;'Reeksen (N)'!AE147,M147*'Reeksen (N)'!C147,0))</f>
        <v>0</v>
      </c>
      <c r="P147" s="86">
        <f t="shared" ca="1" si="25"/>
        <v>0</v>
      </c>
      <c r="Q147" s="82">
        <f ca="1">IF('Invoer gegevens (N)'!$C$17=E147,I147,IF(C147=0,0,R146))</f>
        <v>0</v>
      </c>
      <c r="R147" s="84">
        <f t="shared" ca="1" si="20"/>
        <v>0</v>
      </c>
      <c r="S147" s="84">
        <f ca="1">IF('Invoer gegevens (N)'!$C$17=E147,M147,IF(C147=0,0,T146))</f>
        <v>0</v>
      </c>
      <c r="T147" s="84">
        <f t="shared" ca="1" si="21"/>
        <v>0</v>
      </c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8"/>
      <c r="AI147" s="71">
        <f ca="1">IF(C147=1,((F147+H147)/2*'Reeksen (N)'!AJ147*12)+(('Invoer gegevens (N)'!$C$10-(F147+H147)/2)*'Reeksen (N)'!AK147*12),0)</f>
        <v>0</v>
      </c>
      <c r="AJ147" s="71">
        <f ca="1">-AI147*'Invoer gegevens (N)'!$F$28</f>
        <v>0</v>
      </c>
      <c r="AK147" s="71">
        <f t="shared" ca="1" si="22"/>
        <v>0</v>
      </c>
      <c r="AL147" s="71">
        <f ca="1">IF(C147=1,(12*((F147+H147)/2)*'Reeksen (N)'!AL147)+(12*('Invoer gegevens (N)'!$C$10-(F147+H147)/2)*'Reeksen (N)'!AM147),0)</f>
        <v>0</v>
      </c>
      <c r="AM147" s="71">
        <f ca="1">-AL147*'Invoer gegevens (N)'!$F$31</f>
        <v>0</v>
      </c>
      <c r="AN147" s="71">
        <f t="shared" ca="1" si="26"/>
        <v>0</v>
      </c>
      <c r="AO147" s="71"/>
      <c r="AP147" s="71"/>
      <c r="AQ147" s="71">
        <f ca="1">-IF(C147=1,('Invoer gegevens (N)'!$C$10*'Invoer gegevens (N)'!$I$33)*'Reeksen (N)'!J147,0)*2</f>
        <v>0</v>
      </c>
      <c r="AR147" s="71">
        <f ca="1">-IF(C147=1,(G147*'Invoer gegevens (N)'!$I$34)*'Reeksen (N)'!J147,0)</f>
        <v>0</v>
      </c>
      <c r="AS147" s="71">
        <f ca="1">-IF(C147=1,'Invoer gegevens (N)'!$C$10*'Invoer gegevens (N)'!$I$35*'Reeksen (N)'!L147,0)</f>
        <v>0</v>
      </c>
      <c r="AT147" s="71">
        <f ca="1">-IF(C147=1,IF(E147='Invoer gegevens (N)'!$C$17,'Invoer gegevens (N)'!$C$11,Q147)*'Reeksen (N)'!S147*'Invoer gegevens (N)'!$C$18*'Reeksen (N)'!P147,0)</f>
        <v>0</v>
      </c>
      <c r="AU147" s="71">
        <f ca="1">-IF(C147=1,'Invoer gegevens (N)'!$C$10*'Invoer gegevens (N)'!$I$36*'Reeksen (N)'!H147,0)</f>
        <v>0</v>
      </c>
      <c r="AV147" s="71">
        <v>0</v>
      </c>
      <c r="AW147" s="71">
        <f t="shared" ca="1" si="27"/>
        <v>0</v>
      </c>
      <c r="AX147" s="71">
        <f ca="1">IF(E147&lt;'Invoer gegevens (N)'!$C$17+15,0,IF(E147&gt;'Invoer gegevens (N)'!$C$17+215,0,AW147))</f>
        <v>0</v>
      </c>
      <c r="AY147" s="71">
        <f ca="1">AX147/(1+'Invoer gegevens (N)'!$F$13)^($AZ147-('Invoer gegevens (N)'!$C$17-'Invoer gegevens (N)'!$C$16))/(1+'Invoer gegevens (N)'!$C$39)^('Invoer gegevens (N)'!$C$17-'Invoer gegevens (N)'!$C$16)</f>
        <v>0</v>
      </c>
      <c r="AZ147" s="68">
        <f ca="1">IF(E147-'Invoer gegevens (N)'!$C$17-14.5&lt;0,0,E147-'Invoer gegevens (N)'!$C$17-14.5)</f>
        <v>127.5</v>
      </c>
    </row>
    <row r="148" spans="2:52" x14ac:dyDescent="0.25">
      <c r="B148" s="70">
        <f t="shared" si="28"/>
        <v>144</v>
      </c>
      <c r="C148" s="67">
        <f ca="1">IF(E148-'Invoer gegevens (N)'!$C$17&lt;0,0,1)</f>
        <v>1</v>
      </c>
      <c r="D148" s="68">
        <f t="shared" si="29"/>
        <v>143.5</v>
      </c>
      <c r="E148" s="69">
        <f ca="1">IF('Invoer gegevens (N)'!$C$16="","",E147+1)</f>
        <v>2162</v>
      </c>
      <c r="F148" s="82">
        <f ca="1">IF('Invoer gegevens (N)'!$C$17=E148,'Invoer gegevens (N)'!$C$10,IF(C148=1,H147,0))</f>
        <v>0</v>
      </c>
      <c r="G148" s="83">
        <f ca="1">IF(C148&gt;=1,F148*'Reeksen (N)'!C148,0)</f>
        <v>0</v>
      </c>
      <c r="H148" s="84">
        <f t="shared" ca="1" si="23"/>
        <v>0</v>
      </c>
      <c r="I148" s="85">
        <f ca="1">IF('Invoer gegevens (N)'!$C$17=E148,'Invoer gegevens (N)'!$C$11,IF(C148=1,L147,0))</f>
        <v>0</v>
      </c>
      <c r="J148" s="86">
        <f ca="1">IF(C148&lt;1,0,IF('Reeksen (N)'!AK148&lt;='Reeksen (N)'!AE148,I148*'Reeksen (N)'!C148,0))</f>
        <v>0</v>
      </c>
      <c r="K148" s="86">
        <f ca="1">IF(C148&lt;1,0,IF('Reeksen (N)'!AK148&gt;'Reeksen (N)'!AE148,I148*'Reeksen (N)'!C148,0))</f>
        <v>0</v>
      </c>
      <c r="L148" s="86">
        <f t="shared" ca="1" si="24"/>
        <v>0</v>
      </c>
      <c r="M148" s="85">
        <f ca="1">IF('Invoer gegevens (N)'!$C$17=E148,'Invoer gegevens (N)'!$C$10-'Invoer gegevens (N)'!$C$11,IF(C148=1,P147,0))</f>
        <v>0</v>
      </c>
      <c r="N148" s="86">
        <f ca="1">IF(C148&lt;1,0,IF('Reeksen (N)'!AK148&lt;='Reeksen (N)'!AE148,M148*'Reeksen (N)'!C148,0))</f>
        <v>0</v>
      </c>
      <c r="O148" s="86">
        <f ca="1">IF(C148&lt;1,0,IF('Reeksen (N)'!AK148&gt;'Reeksen (N)'!AE148,M148*'Reeksen (N)'!C148,0))</f>
        <v>0</v>
      </c>
      <c r="P148" s="86">
        <f t="shared" ca="1" si="25"/>
        <v>0</v>
      </c>
      <c r="Q148" s="82">
        <f ca="1">IF('Invoer gegevens (N)'!$C$17=E148,I148,IF(C148=0,0,R147))</f>
        <v>0</v>
      </c>
      <c r="R148" s="84">
        <f t="shared" ca="1" si="20"/>
        <v>0</v>
      </c>
      <c r="S148" s="84">
        <f ca="1">IF('Invoer gegevens (N)'!$C$17=E148,M148,IF(C148=0,0,T147))</f>
        <v>0</v>
      </c>
      <c r="T148" s="84">
        <f t="shared" ca="1" si="21"/>
        <v>0</v>
      </c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8"/>
      <c r="AI148" s="71">
        <f ca="1">IF(C148=1,((F148+H148)/2*'Reeksen (N)'!AJ148*12)+(('Invoer gegevens (N)'!$C$10-(F148+H148)/2)*'Reeksen (N)'!AK148*12),0)</f>
        <v>0</v>
      </c>
      <c r="AJ148" s="71">
        <f ca="1">-AI148*'Invoer gegevens (N)'!$F$28</f>
        <v>0</v>
      </c>
      <c r="AK148" s="71">
        <f t="shared" ca="1" si="22"/>
        <v>0</v>
      </c>
      <c r="AL148" s="71">
        <f ca="1">IF(C148=1,(12*((F148+H148)/2)*'Reeksen (N)'!AL148)+(12*('Invoer gegevens (N)'!$C$10-(F148+H148)/2)*'Reeksen (N)'!AM148),0)</f>
        <v>0</v>
      </c>
      <c r="AM148" s="71">
        <f ca="1">-AL148*'Invoer gegevens (N)'!$F$31</f>
        <v>0</v>
      </c>
      <c r="AN148" s="71">
        <f t="shared" ca="1" si="26"/>
        <v>0</v>
      </c>
      <c r="AO148" s="71"/>
      <c r="AP148" s="71"/>
      <c r="AQ148" s="71">
        <f ca="1">-IF(C148=1,('Invoer gegevens (N)'!$C$10*'Invoer gegevens (N)'!$I$33)*'Reeksen (N)'!J148,0)*2</f>
        <v>0</v>
      </c>
      <c r="AR148" s="71">
        <f ca="1">-IF(C148=1,(G148*'Invoer gegevens (N)'!$I$34)*'Reeksen (N)'!J148,0)</f>
        <v>0</v>
      </c>
      <c r="AS148" s="71">
        <f ca="1">-IF(C148=1,'Invoer gegevens (N)'!$C$10*'Invoer gegevens (N)'!$I$35*'Reeksen (N)'!L148,0)</f>
        <v>0</v>
      </c>
      <c r="AT148" s="71">
        <f ca="1">-IF(C148=1,IF(E148='Invoer gegevens (N)'!$C$17,'Invoer gegevens (N)'!$C$11,Q148)*'Reeksen (N)'!S148*'Invoer gegevens (N)'!$C$18*'Reeksen (N)'!P148,0)</f>
        <v>0</v>
      </c>
      <c r="AU148" s="71">
        <f ca="1">-IF(C148=1,'Invoer gegevens (N)'!$C$10*'Invoer gegevens (N)'!$I$36*'Reeksen (N)'!H148,0)</f>
        <v>0</v>
      </c>
      <c r="AV148" s="71">
        <v>0</v>
      </c>
      <c r="AW148" s="71">
        <f t="shared" ca="1" si="27"/>
        <v>0</v>
      </c>
      <c r="AX148" s="71">
        <f ca="1">IF(E148&lt;'Invoer gegevens (N)'!$C$17+15,0,IF(E148&gt;'Invoer gegevens (N)'!$C$17+215,0,AW148))</f>
        <v>0</v>
      </c>
      <c r="AY148" s="71">
        <f ca="1">AX148/(1+'Invoer gegevens (N)'!$F$13)^($AZ148-('Invoer gegevens (N)'!$C$17-'Invoer gegevens (N)'!$C$16))/(1+'Invoer gegevens (N)'!$C$39)^('Invoer gegevens (N)'!$C$17-'Invoer gegevens (N)'!$C$16)</f>
        <v>0</v>
      </c>
      <c r="AZ148" s="68">
        <f ca="1">IF(E148-'Invoer gegevens (N)'!$C$17-14.5&lt;0,0,E148-'Invoer gegevens (N)'!$C$17-14.5)</f>
        <v>128.5</v>
      </c>
    </row>
    <row r="149" spans="2:52" x14ac:dyDescent="0.25">
      <c r="B149" s="70">
        <f t="shared" si="28"/>
        <v>145</v>
      </c>
      <c r="C149" s="67">
        <f ca="1">IF(E149-'Invoer gegevens (N)'!$C$17&lt;0,0,1)</f>
        <v>1</v>
      </c>
      <c r="D149" s="68">
        <f t="shared" si="29"/>
        <v>144.5</v>
      </c>
      <c r="E149" s="69">
        <f ca="1">IF('Invoer gegevens (N)'!$C$16="","",E148+1)</f>
        <v>2163</v>
      </c>
      <c r="F149" s="82">
        <f ca="1">IF('Invoer gegevens (N)'!$C$17=E149,'Invoer gegevens (N)'!$C$10,IF(C149=1,H148,0))</f>
        <v>0</v>
      </c>
      <c r="G149" s="83">
        <f ca="1">IF(C149&gt;=1,F149*'Reeksen (N)'!C149,0)</f>
        <v>0</v>
      </c>
      <c r="H149" s="84">
        <f t="shared" ca="1" si="23"/>
        <v>0</v>
      </c>
      <c r="I149" s="85">
        <f ca="1">IF('Invoer gegevens (N)'!$C$17=E149,'Invoer gegevens (N)'!$C$11,IF(C149=1,L148,0))</f>
        <v>0</v>
      </c>
      <c r="J149" s="86">
        <f ca="1">IF(C149&lt;1,0,IF('Reeksen (N)'!AK149&lt;='Reeksen (N)'!AE149,I149*'Reeksen (N)'!C149,0))</f>
        <v>0</v>
      </c>
      <c r="K149" s="86">
        <f ca="1">IF(C149&lt;1,0,IF('Reeksen (N)'!AK149&gt;'Reeksen (N)'!AE149,I149*'Reeksen (N)'!C149,0))</f>
        <v>0</v>
      </c>
      <c r="L149" s="86">
        <f t="shared" ca="1" si="24"/>
        <v>0</v>
      </c>
      <c r="M149" s="85">
        <f ca="1">IF('Invoer gegevens (N)'!$C$17=E149,'Invoer gegevens (N)'!$C$10-'Invoer gegevens (N)'!$C$11,IF(C149=1,P148,0))</f>
        <v>0</v>
      </c>
      <c r="N149" s="86">
        <f ca="1">IF(C149&lt;1,0,IF('Reeksen (N)'!AK149&lt;='Reeksen (N)'!AE149,M149*'Reeksen (N)'!C149,0))</f>
        <v>0</v>
      </c>
      <c r="O149" s="86">
        <f ca="1">IF(C149&lt;1,0,IF('Reeksen (N)'!AK149&gt;'Reeksen (N)'!AE149,M149*'Reeksen (N)'!C149,0))</f>
        <v>0</v>
      </c>
      <c r="P149" s="86">
        <f t="shared" ca="1" si="25"/>
        <v>0</v>
      </c>
      <c r="Q149" s="82">
        <f ca="1">IF('Invoer gegevens (N)'!$C$17=E149,I149,IF(C149=0,0,R148))</f>
        <v>0</v>
      </c>
      <c r="R149" s="84">
        <f t="shared" ca="1" si="20"/>
        <v>0</v>
      </c>
      <c r="S149" s="84">
        <f ca="1">IF('Invoer gegevens (N)'!$C$17=E149,M149,IF(C149=0,0,T148))</f>
        <v>0</v>
      </c>
      <c r="T149" s="84">
        <f t="shared" ca="1" si="21"/>
        <v>0</v>
      </c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8"/>
      <c r="AI149" s="71">
        <f ca="1">IF(C149=1,((F149+H149)/2*'Reeksen (N)'!AJ149*12)+(('Invoer gegevens (N)'!$C$10-(F149+H149)/2)*'Reeksen (N)'!AK149*12),0)</f>
        <v>0</v>
      </c>
      <c r="AJ149" s="71">
        <f ca="1">-AI149*'Invoer gegevens (N)'!$F$28</f>
        <v>0</v>
      </c>
      <c r="AK149" s="71">
        <f t="shared" ca="1" si="22"/>
        <v>0</v>
      </c>
      <c r="AL149" s="71">
        <f ca="1">IF(C149=1,(12*((F149+H149)/2)*'Reeksen (N)'!AL149)+(12*('Invoer gegevens (N)'!$C$10-(F149+H149)/2)*'Reeksen (N)'!AM149),0)</f>
        <v>0</v>
      </c>
      <c r="AM149" s="71">
        <f ca="1">-AL149*'Invoer gegevens (N)'!$F$31</f>
        <v>0</v>
      </c>
      <c r="AN149" s="71">
        <f t="shared" ca="1" si="26"/>
        <v>0</v>
      </c>
      <c r="AO149" s="71"/>
      <c r="AP149" s="71"/>
      <c r="AQ149" s="71">
        <f ca="1">-IF(C149=1,('Invoer gegevens (N)'!$C$10*'Invoer gegevens (N)'!$I$33)*'Reeksen (N)'!J149,0)*2</f>
        <v>0</v>
      </c>
      <c r="AR149" s="71">
        <f ca="1">-IF(C149=1,(G149*'Invoer gegevens (N)'!$I$34)*'Reeksen (N)'!J149,0)</f>
        <v>0</v>
      </c>
      <c r="AS149" s="71">
        <f ca="1">-IF(C149=1,'Invoer gegevens (N)'!$C$10*'Invoer gegevens (N)'!$I$35*'Reeksen (N)'!L149,0)</f>
        <v>0</v>
      </c>
      <c r="AT149" s="71">
        <f ca="1">-IF(C149=1,IF(E149='Invoer gegevens (N)'!$C$17,'Invoer gegevens (N)'!$C$11,Q149)*'Reeksen (N)'!S149*'Invoer gegevens (N)'!$C$18*'Reeksen (N)'!P149,0)</f>
        <v>0</v>
      </c>
      <c r="AU149" s="71">
        <f ca="1">-IF(C149=1,'Invoer gegevens (N)'!$C$10*'Invoer gegevens (N)'!$I$36*'Reeksen (N)'!H149,0)</f>
        <v>0</v>
      </c>
      <c r="AV149" s="71">
        <v>0</v>
      </c>
      <c r="AW149" s="71">
        <f t="shared" ca="1" si="27"/>
        <v>0</v>
      </c>
      <c r="AX149" s="71">
        <f ca="1">IF(E149&lt;'Invoer gegevens (N)'!$C$17+15,0,IF(E149&gt;'Invoer gegevens (N)'!$C$17+215,0,AW149))</f>
        <v>0</v>
      </c>
      <c r="AY149" s="71">
        <f ca="1">AX149/(1+'Invoer gegevens (N)'!$F$13)^($AZ149-('Invoer gegevens (N)'!$C$17-'Invoer gegevens (N)'!$C$16))/(1+'Invoer gegevens (N)'!$C$39)^('Invoer gegevens (N)'!$C$17-'Invoer gegevens (N)'!$C$16)</f>
        <v>0</v>
      </c>
      <c r="AZ149" s="68">
        <f ca="1">IF(E149-'Invoer gegevens (N)'!$C$17-14.5&lt;0,0,E149-'Invoer gegevens (N)'!$C$17-14.5)</f>
        <v>129.5</v>
      </c>
    </row>
    <row r="150" spans="2:52" x14ac:dyDescent="0.25">
      <c r="B150" s="70">
        <f t="shared" si="28"/>
        <v>146</v>
      </c>
      <c r="C150" s="67">
        <f ca="1">IF(E150-'Invoer gegevens (N)'!$C$17&lt;0,0,1)</f>
        <v>1</v>
      </c>
      <c r="D150" s="68">
        <f t="shared" si="29"/>
        <v>145.5</v>
      </c>
      <c r="E150" s="69">
        <f ca="1">IF('Invoer gegevens (N)'!$C$16="","",E149+1)</f>
        <v>2164</v>
      </c>
      <c r="F150" s="82">
        <f ca="1">IF('Invoer gegevens (N)'!$C$17=E150,'Invoer gegevens (N)'!$C$10,IF(C150=1,H149,0))</f>
        <v>0</v>
      </c>
      <c r="G150" s="83">
        <f ca="1">IF(C150&gt;=1,F150*'Reeksen (N)'!C150,0)</f>
        <v>0</v>
      </c>
      <c r="H150" s="84">
        <f t="shared" ca="1" si="23"/>
        <v>0</v>
      </c>
      <c r="I150" s="85">
        <f ca="1">IF('Invoer gegevens (N)'!$C$17=E150,'Invoer gegevens (N)'!$C$11,IF(C150=1,L149,0))</f>
        <v>0</v>
      </c>
      <c r="J150" s="86">
        <f ca="1">IF(C150&lt;1,0,IF('Reeksen (N)'!AK150&lt;='Reeksen (N)'!AE150,I150*'Reeksen (N)'!C150,0))</f>
        <v>0</v>
      </c>
      <c r="K150" s="86">
        <f ca="1">IF(C150&lt;1,0,IF('Reeksen (N)'!AK150&gt;'Reeksen (N)'!AE150,I150*'Reeksen (N)'!C150,0))</f>
        <v>0</v>
      </c>
      <c r="L150" s="86">
        <f t="shared" ca="1" si="24"/>
        <v>0</v>
      </c>
      <c r="M150" s="85">
        <f ca="1">IF('Invoer gegevens (N)'!$C$17=E150,'Invoer gegevens (N)'!$C$10-'Invoer gegevens (N)'!$C$11,IF(C150=1,P149,0))</f>
        <v>0</v>
      </c>
      <c r="N150" s="86">
        <f ca="1">IF(C150&lt;1,0,IF('Reeksen (N)'!AK150&lt;='Reeksen (N)'!AE150,M150*'Reeksen (N)'!C150,0))</f>
        <v>0</v>
      </c>
      <c r="O150" s="86">
        <f ca="1">IF(C150&lt;1,0,IF('Reeksen (N)'!AK150&gt;'Reeksen (N)'!AE150,M150*'Reeksen (N)'!C150,0))</f>
        <v>0</v>
      </c>
      <c r="P150" s="86">
        <f t="shared" ca="1" si="25"/>
        <v>0</v>
      </c>
      <c r="Q150" s="82">
        <f ca="1">IF('Invoer gegevens (N)'!$C$17=E150,I150,IF(C150=0,0,R149))</f>
        <v>0</v>
      </c>
      <c r="R150" s="84">
        <f t="shared" ca="1" si="20"/>
        <v>0</v>
      </c>
      <c r="S150" s="84">
        <f ca="1">IF('Invoer gegevens (N)'!$C$17=E150,M150,IF(C150=0,0,T149))</f>
        <v>0</v>
      </c>
      <c r="T150" s="84">
        <f t="shared" ca="1" si="21"/>
        <v>0</v>
      </c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8"/>
      <c r="AI150" s="71">
        <f ca="1">IF(C150=1,((F150+H150)/2*'Reeksen (N)'!AJ150*12)+(('Invoer gegevens (N)'!$C$10-(F150+H150)/2)*'Reeksen (N)'!AK150*12),0)</f>
        <v>0</v>
      </c>
      <c r="AJ150" s="71">
        <f ca="1">-AI150*'Invoer gegevens (N)'!$F$28</f>
        <v>0</v>
      </c>
      <c r="AK150" s="71">
        <f t="shared" ca="1" si="22"/>
        <v>0</v>
      </c>
      <c r="AL150" s="71">
        <f ca="1">IF(C150=1,(12*((F150+H150)/2)*'Reeksen (N)'!AL150)+(12*('Invoer gegevens (N)'!$C$10-(F150+H150)/2)*'Reeksen (N)'!AM150),0)</f>
        <v>0</v>
      </c>
      <c r="AM150" s="71">
        <f ca="1">-AL150*'Invoer gegevens (N)'!$F$31</f>
        <v>0</v>
      </c>
      <c r="AN150" s="71">
        <f t="shared" ca="1" si="26"/>
        <v>0</v>
      </c>
      <c r="AO150" s="71"/>
      <c r="AP150" s="71"/>
      <c r="AQ150" s="71">
        <f ca="1">-IF(C150=1,('Invoer gegevens (N)'!$C$10*'Invoer gegevens (N)'!$I$33)*'Reeksen (N)'!J150,0)*2</f>
        <v>0</v>
      </c>
      <c r="AR150" s="71">
        <f ca="1">-IF(C150=1,(G150*'Invoer gegevens (N)'!$I$34)*'Reeksen (N)'!J150,0)</f>
        <v>0</v>
      </c>
      <c r="AS150" s="71">
        <f ca="1">-IF(C150=1,'Invoer gegevens (N)'!$C$10*'Invoer gegevens (N)'!$I$35*'Reeksen (N)'!L150,0)</f>
        <v>0</v>
      </c>
      <c r="AT150" s="71">
        <f ca="1">-IF(C150=1,IF(E150='Invoer gegevens (N)'!$C$17,'Invoer gegevens (N)'!$C$11,Q150)*'Reeksen (N)'!S150*'Invoer gegevens (N)'!$C$18*'Reeksen (N)'!P150,0)</f>
        <v>0</v>
      </c>
      <c r="AU150" s="71">
        <f ca="1">-IF(C150=1,'Invoer gegevens (N)'!$C$10*'Invoer gegevens (N)'!$I$36*'Reeksen (N)'!H150,0)</f>
        <v>0</v>
      </c>
      <c r="AV150" s="71">
        <v>0</v>
      </c>
      <c r="AW150" s="71">
        <f t="shared" ca="1" si="27"/>
        <v>0</v>
      </c>
      <c r="AX150" s="71">
        <f ca="1">IF(E150&lt;'Invoer gegevens (N)'!$C$17+15,0,IF(E150&gt;'Invoer gegevens (N)'!$C$17+215,0,AW150))</f>
        <v>0</v>
      </c>
      <c r="AY150" s="71">
        <f ca="1">AX150/(1+'Invoer gegevens (N)'!$F$13)^($AZ150-('Invoer gegevens (N)'!$C$17-'Invoer gegevens (N)'!$C$16))/(1+'Invoer gegevens (N)'!$C$39)^('Invoer gegevens (N)'!$C$17-'Invoer gegevens (N)'!$C$16)</f>
        <v>0</v>
      </c>
      <c r="AZ150" s="68">
        <f ca="1">IF(E150-'Invoer gegevens (N)'!$C$17-14.5&lt;0,0,E150-'Invoer gegevens (N)'!$C$17-14.5)</f>
        <v>130.5</v>
      </c>
    </row>
    <row r="151" spans="2:52" x14ac:dyDescent="0.25">
      <c r="B151" s="70">
        <f t="shared" si="28"/>
        <v>147</v>
      </c>
      <c r="C151" s="67">
        <f ca="1">IF(E151-'Invoer gegevens (N)'!$C$17&lt;0,0,1)</f>
        <v>1</v>
      </c>
      <c r="D151" s="68">
        <f t="shared" si="29"/>
        <v>146.5</v>
      </c>
      <c r="E151" s="69">
        <f ca="1">IF('Invoer gegevens (N)'!$C$16="","",E150+1)</f>
        <v>2165</v>
      </c>
      <c r="F151" s="82">
        <f ca="1">IF('Invoer gegevens (N)'!$C$17=E151,'Invoer gegevens (N)'!$C$10,IF(C151=1,H150,0))</f>
        <v>0</v>
      </c>
      <c r="G151" s="83">
        <f ca="1">IF(C151&gt;=1,F151*'Reeksen (N)'!C151,0)</f>
        <v>0</v>
      </c>
      <c r="H151" s="84">
        <f t="shared" ca="1" si="23"/>
        <v>0</v>
      </c>
      <c r="I151" s="85">
        <f ca="1">IF('Invoer gegevens (N)'!$C$17=E151,'Invoer gegevens (N)'!$C$11,IF(C151=1,L150,0))</f>
        <v>0</v>
      </c>
      <c r="J151" s="86">
        <f ca="1">IF(C151&lt;1,0,IF('Reeksen (N)'!AK151&lt;='Reeksen (N)'!AE151,I151*'Reeksen (N)'!C151,0))</f>
        <v>0</v>
      </c>
      <c r="K151" s="86">
        <f ca="1">IF(C151&lt;1,0,IF('Reeksen (N)'!AK151&gt;'Reeksen (N)'!AE151,I151*'Reeksen (N)'!C151,0))</f>
        <v>0</v>
      </c>
      <c r="L151" s="86">
        <f t="shared" ca="1" si="24"/>
        <v>0</v>
      </c>
      <c r="M151" s="85">
        <f ca="1">IF('Invoer gegevens (N)'!$C$17=E151,'Invoer gegevens (N)'!$C$10-'Invoer gegevens (N)'!$C$11,IF(C151=1,P150,0))</f>
        <v>0</v>
      </c>
      <c r="N151" s="86">
        <f ca="1">IF(C151&lt;1,0,IF('Reeksen (N)'!AK151&lt;='Reeksen (N)'!AE151,M151*'Reeksen (N)'!C151,0))</f>
        <v>0</v>
      </c>
      <c r="O151" s="86">
        <f ca="1">IF(C151&lt;1,0,IF('Reeksen (N)'!AK151&gt;'Reeksen (N)'!AE151,M151*'Reeksen (N)'!C151,0))</f>
        <v>0</v>
      </c>
      <c r="P151" s="86">
        <f t="shared" ca="1" si="25"/>
        <v>0</v>
      </c>
      <c r="Q151" s="82">
        <f ca="1">IF('Invoer gegevens (N)'!$C$17=E151,I151,IF(C151=0,0,R150))</f>
        <v>0</v>
      </c>
      <c r="R151" s="84">
        <f t="shared" ca="1" si="20"/>
        <v>0</v>
      </c>
      <c r="S151" s="84">
        <f ca="1">IF('Invoer gegevens (N)'!$C$17=E151,M151,IF(C151=0,0,T150))</f>
        <v>0</v>
      </c>
      <c r="T151" s="84">
        <f t="shared" ca="1" si="21"/>
        <v>0</v>
      </c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8"/>
      <c r="AI151" s="71">
        <f ca="1">IF(C151=1,((F151+H151)/2*'Reeksen (N)'!AJ151*12)+(('Invoer gegevens (N)'!$C$10-(F151+H151)/2)*'Reeksen (N)'!AK151*12),0)</f>
        <v>0</v>
      </c>
      <c r="AJ151" s="71">
        <f ca="1">-AI151*'Invoer gegevens (N)'!$F$28</f>
        <v>0</v>
      </c>
      <c r="AK151" s="71">
        <f t="shared" ca="1" si="22"/>
        <v>0</v>
      </c>
      <c r="AL151" s="71">
        <f ca="1">IF(C151=1,(12*((F151+H151)/2)*'Reeksen (N)'!AL151)+(12*('Invoer gegevens (N)'!$C$10-(F151+H151)/2)*'Reeksen (N)'!AM151),0)</f>
        <v>0</v>
      </c>
      <c r="AM151" s="71">
        <f ca="1">-AL151*'Invoer gegevens (N)'!$F$31</f>
        <v>0</v>
      </c>
      <c r="AN151" s="71">
        <f t="shared" ca="1" si="26"/>
        <v>0</v>
      </c>
      <c r="AO151" s="71"/>
      <c r="AP151" s="71"/>
      <c r="AQ151" s="71">
        <f ca="1">-IF(C151=1,('Invoer gegevens (N)'!$C$10*'Invoer gegevens (N)'!$I$33)*'Reeksen (N)'!J151,0)*2</f>
        <v>0</v>
      </c>
      <c r="AR151" s="71">
        <f ca="1">-IF(C151=1,(G151*'Invoer gegevens (N)'!$I$34)*'Reeksen (N)'!J151,0)</f>
        <v>0</v>
      </c>
      <c r="AS151" s="71">
        <f ca="1">-IF(C151=1,'Invoer gegevens (N)'!$C$10*'Invoer gegevens (N)'!$I$35*'Reeksen (N)'!L151,0)</f>
        <v>0</v>
      </c>
      <c r="AT151" s="71">
        <f ca="1">-IF(C151=1,IF(E151='Invoer gegevens (N)'!$C$17,'Invoer gegevens (N)'!$C$11,Q151)*'Reeksen (N)'!S151*'Invoer gegevens (N)'!$C$18*'Reeksen (N)'!P151,0)</f>
        <v>0</v>
      </c>
      <c r="AU151" s="71">
        <f ca="1">-IF(C151=1,'Invoer gegevens (N)'!$C$10*'Invoer gegevens (N)'!$I$36*'Reeksen (N)'!H151,0)</f>
        <v>0</v>
      </c>
      <c r="AV151" s="71">
        <v>0</v>
      </c>
      <c r="AW151" s="71">
        <f t="shared" ca="1" si="27"/>
        <v>0</v>
      </c>
      <c r="AX151" s="71">
        <f ca="1">IF(E151&lt;'Invoer gegevens (N)'!$C$17+15,0,IF(E151&gt;'Invoer gegevens (N)'!$C$17+215,0,AW151))</f>
        <v>0</v>
      </c>
      <c r="AY151" s="71">
        <f ca="1">AX151/(1+'Invoer gegevens (N)'!$F$13)^($AZ151-('Invoer gegevens (N)'!$C$17-'Invoer gegevens (N)'!$C$16))/(1+'Invoer gegevens (N)'!$C$39)^('Invoer gegevens (N)'!$C$17-'Invoer gegevens (N)'!$C$16)</f>
        <v>0</v>
      </c>
      <c r="AZ151" s="68">
        <f ca="1">IF(E151-'Invoer gegevens (N)'!$C$17-14.5&lt;0,0,E151-'Invoer gegevens (N)'!$C$17-14.5)</f>
        <v>131.5</v>
      </c>
    </row>
    <row r="152" spans="2:52" x14ac:dyDescent="0.25">
      <c r="B152" s="70">
        <f t="shared" si="28"/>
        <v>148</v>
      </c>
      <c r="C152" s="67">
        <f ca="1">IF(E152-'Invoer gegevens (N)'!$C$17&lt;0,0,1)</f>
        <v>1</v>
      </c>
      <c r="D152" s="68">
        <f t="shared" si="29"/>
        <v>147.5</v>
      </c>
      <c r="E152" s="69">
        <f ca="1">IF('Invoer gegevens (N)'!$C$16="","",E151+1)</f>
        <v>2166</v>
      </c>
      <c r="F152" s="82">
        <f ca="1">IF('Invoer gegevens (N)'!$C$17=E152,'Invoer gegevens (N)'!$C$10,IF(C152=1,H151,0))</f>
        <v>0</v>
      </c>
      <c r="G152" s="83">
        <f ca="1">IF(C152&gt;=1,F152*'Reeksen (N)'!C152,0)</f>
        <v>0</v>
      </c>
      <c r="H152" s="84">
        <f t="shared" ca="1" si="23"/>
        <v>0</v>
      </c>
      <c r="I152" s="85">
        <f ca="1">IF('Invoer gegevens (N)'!$C$17=E152,'Invoer gegevens (N)'!$C$11,IF(C152=1,L151,0))</f>
        <v>0</v>
      </c>
      <c r="J152" s="86">
        <f ca="1">IF(C152&lt;1,0,IF('Reeksen (N)'!AK152&lt;='Reeksen (N)'!AE152,I152*'Reeksen (N)'!C152,0))</f>
        <v>0</v>
      </c>
      <c r="K152" s="86">
        <f ca="1">IF(C152&lt;1,0,IF('Reeksen (N)'!AK152&gt;'Reeksen (N)'!AE152,I152*'Reeksen (N)'!C152,0))</f>
        <v>0</v>
      </c>
      <c r="L152" s="86">
        <f t="shared" ca="1" si="24"/>
        <v>0</v>
      </c>
      <c r="M152" s="85">
        <f ca="1">IF('Invoer gegevens (N)'!$C$17=E152,'Invoer gegevens (N)'!$C$10-'Invoer gegevens (N)'!$C$11,IF(C152=1,P151,0))</f>
        <v>0</v>
      </c>
      <c r="N152" s="86">
        <f ca="1">IF(C152&lt;1,0,IF('Reeksen (N)'!AK152&lt;='Reeksen (N)'!AE152,M152*'Reeksen (N)'!C152,0))</f>
        <v>0</v>
      </c>
      <c r="O152" s="86">
        <f ca="1">IF(C152&lt;1,0,IF('Reeksen (N)'!AK152&gt;'Reeksen (N)'!AE152,M152*'Reeksen (N)'!C152,0))</f>
        <v>0</v>
      </c>
      <c r="P152" s="86">
        <f t="shared" ca="1" si="25"/>
        <v>0</v>
      </c>
      <c r="Q152" s="82">
        <f ca="1">IF('Invoer gegevens (N)'!$C$17=E152,I152,IF(C152=0,0,R151))</f>
        <v>0</v>
      </c>
      <c r="R152" s="84">
        <f t="shared" ca="1" si="20"/>
        <v>0</v>
      </c>
      <c r="S152" s="84">
        <f ca="1">IF('Invoer gegevens (N)'!$C$17=E152,M152,IF(C152=0,0,T151))</f>
        <v>0</v>
      </c>
      <c r="T152" s="84">
        <f t="shared" ca="1" si="21"/>
        <v>0</v>
      </c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8"/>
      <c r="AI152" s="71">
        <f ca="1">IF(C152=1,((F152+H152)/2*'Reeksen (N)'!AJ152*12)+(('Invoer gegevens (N)'!$C$10-(F152+H152)/2)*'Reeksen (N)'!AK152*12),0)</f>
        <v>0</v>
      </c>
      <c r="AJ152" s="71">
        <f ca="1">-AI152*'Invoer gegevens (N)'!$F$28</f>
        <v>0</v>
      </c>
      <c r="AK152" s="71">
        <f t="shared" ca="1" si="22"/>
        <v>0</v>
      </c>
      <c r="AL152" s="71">
        <f ca="1">IF(C152=1,(12*((F152+H152)/2)*'Reeksen (N)'!AL152)+(12*('Invoer gegevens (N)'!$C$10-(F152+H152)/2)*'Reeksen (N)'!AM152),0)</f>
        <v>0</v>
      </c>
      <c r="AM152" s="71">
        <f ca="1">-AL152*'Invoer gegevens (N)'!$F$31</f>
        <v>0</v>
      </c>
      <c r="AN152" s="71">
        <f t="shared" ca="1" si="26"/>
        <v>0</v>
      </c>
      <c r="AO152" s="71"/>
      <c r="AP152" s="71"/>
      <c r="AQ152" s="71">
        <f ca="1">-IF(C152=1,('Invoer gegevens (N)'!$C$10*'Invoer gegevens (N)'!$I$33)*'Reeksen (N)'!J152,0)*2</f>
        <v>0</v>
      </c>
      <c r="AR152" s="71">
        <f ca="1">-IF(C152=1,(G152*'Invoer gegevens (N)'!$I$34)*'Reeksen (N)'!J152,0)</f>
        <v>0</v>
      </c>
      <c r="AS152" s="71">
        <f ca="1">-IF(C152=1,'Invoer gegevens (N)'!$C$10*'Invoer gegevens (N)'!$I$35*'Reeksen (N)'!L152,0)</f>
        <v>0</v>
      </c>
      <c r="AT152" s="71">
        <f ca="1">-IF(C152=1,IF(E152='Invoer gegevens (N)'!$C$17,'Invoer gegevens (N)'!$C$11,Q152)*'Reeksen (N)'!S152*'Invoer gegevens (N)'!$C$18*'Reeksen (N)'!P152,0)</f>
        <v>0</v>
      </c>
      <c r="AU152" s="71">
        <f ca="1">-IF(C152=1,'Invoer gegevens (N)'!$C$10*'Invoer gegevens (N)'!$I$36*'Reeksen (N)'!H152,0)</f>
        <v>0</v>
      </c>
      <c r="AV152" s="71">
        <v>0</v>
      </c>
      <c r="AW152" s="71">
        <f t="shared" ca="1" si="27"/>
        <v>0</v>
      </c>
      <c r="AX152" s="71">
        <f ca="1">IF(E152&lt;'Invoer gegevens (N)'!$C$17+15,0,IF(E152&gt;'Invoer gegevens (N)'!$C$17+215,0,AW152))</f>
        <v>0</v>
      </c>
      <c r="AY152" s="71">
        <f ca="1">AX152/(1+'Invoer gegevens (N)'!$F$13)^($AZ152-('Invoer gegevens (N)'!$C$17-'Invoer gegevens (N)'!$C$16))/(1+'Invoer gegevens (N)'!$C$39)^('Invoer gegevens (N)'!$C$17-'Invoer gegevens (N)'!$C$16)</f>
        <v>0</v>
      </c>
      <c r="AZ152" s="68">
        <f ca="1">IF(E152-'Invoer gegevens (N)'!$C$17-14.5&lt;0,0,E152-'Invoer gegevens (N)'!$C$17-14.5)</f>
        <v>132.5</v>
      </c>
    </row>
    <row r="153" spans="2:52" x14ac:dyDescent="0.25">
      <c r="B153" s="70">
        <f t="shared" si="28"/>
        <v>149</v>
      </c>
      <c r="C153" s="67">
        <f ca="1">IF(E153-'Invoer gegevens (N)'!$C$17&lt;0,0,1)</f>
        <v>1</v>
      </c>
      <c r="D153" s="68">
        <f t="shared" si="29"/>
        <v>148.5</v>
      </c>
      <c r="E153" s="69">
        <f ca="1">IF('Invoer gegevens (N)'!$C$16="","",E152+1)</f>
        <v>2167</v>
      </c>
      <c r="F153" s="82">
        <f ca="1">IF('Invoer gegevens (N)'!$C$17=E153,'Invoer gegevens (N)'!$C$10,IF(C153=1,H152,0))</f>
        <v>0</v>
      </c>
      <c r="G153" s="83">
        <f ca="1">IF(C153&gt;=1,F153*'Reeksen (N)'!C153,0)</f>
        <v>0</v>
      </c>
      <c r="H153" s="84">
        <f t="shared" ca="1" si="23"/>
        <v>0</v>
      </c>
      <c r="I153" s="85">
        <f ca="1">IF('Invoer gegevens (N)'!$C$17=E153,'Invoer gegevens (N)'!$C$11,IF(C153=1,L152,0))</f>
        <v>0</v>
      </c>
      <c r="J153" s="86">
        <f ca="1">IF(C153&lt;1,0,IF('Reeksen (N)'!AK153&lt;='Reeksen (N)'!AE153,I153*'Reeksen (N)'!C153,0))</f>
        <v>0</v>
      </c>
      <c r="K153" s="86">
        <f ca="1">IF(C153&lt;1,0,IF('Reeksen (N)'!AK153&gt;'Reeksen (N)'!AE153,I153*'Reeksen (N)'!C153,0))</f>
        <v>0</v>
      </c>
      <c r="L153" s="86">
        <f t="shared" ca="1" si="24"/>
        <v>0</v>
      </c>
      <c r="M153" s="85">
        <f ca="1">IF('Invoer gegevens (N)'!$C$17=E153,'Invoer gegevens (N)'!$C$10-'Invoer gegevens (N)'!$C$11,IF(C153=1,P152,0))</f>
        <v>0</v>
      </c>
      <c r="N153" s="86">
        <f ca="1">IF(C153&lt;1,0,IF('Reeksen (N)'!AK153&lt;='Reeksen (N)'!AE153,M153*'Reeksen (N)'!C153,0))</f>
        <v>0</v>
      </c>
      <c r="O153" s="86">
        <f ca="1">IF(C153&lt;1,0,IF('Reeksen (N)'!AK153&gt;'Reeksen (N)'!AE153,M153*'Reeksen (N)'!C153,0))</f>
        <v>0</v>
      </c>
      <c r="P153" s="86">
        <f t="shared" ca="1" si="25"/>
        <v>0</v>
      </c>
      <c r="Q153" s="82">
        <f ca="1">IF('Invoer gegevens (N)'!$C$17=E153,I153,IF(C153=0,0,R152))</f>
        <v>0</v>
      </c>
      <c r="R153" s="84">
        <f t="shared" ca="1" si="20"/>
        <v>0</v>
      </c>
      <c r="S153" s="84">
        <f ca="1">IF('Invoer gegevens (N)'!$C$17=E153,M153,IF(C153=0,0,T152))</f>
        <v>0</v>
      </c>
      <c r="T153" s="84">
        <f t="shared" ca="1" si="21"/>
        <v>0</v>
      </c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8"/>
      <c r="AI153" s="71">
        <f ca="1">IF(C153=1,((F153+H153)/2*'Reeksen (N)'!AJ153*12)+(('Invoer gegevens (N)'!$C$10-(F153+H153)/2)*'Reeksen (N)'!AK153*12),0)</f>
        <v>0</v>
      </c>
      <c r="AJ153" s="71">
        <f ca="1">-AI153*'Invoer gegevens (N)'!$F$28</f>
        <v>0</v>
      </c>
      <c r="AK153" s="71">
        <f t="shared" ca="1" si="22"/>
        <v>0</v>
      </c>
      <c r="AL153" s="71">
        <f ca="1">IF(C153=1,(12*((F153+H153)/2)*'Reeksen (N)'!AL153)+(12*('Invoer gegevens (N)'!$C$10-(F153+H153)/2)*'Reeksen (N)'!AM153),0)</f>
        <v>0</v>
      </c>
      <c r="AM153" s="71">
        <f ca="1">-AL153*'Invoer gegevens (N)'!$F$31</f>
        <v>0</v>
      </c>
      <c r="AN153" s="71">
        <f t="shared" ca="1" si="26"/>
        <v>0</v>
      </c>
      <c r="AO153" s="71"/>
      <c r="AP153" s="71"/>
      <c r="AQ153" s="71">
        <f ca="1">-IF(C153=1,('Invoer gegevens (N)'!$C$10*'Invoer gegevens (N)'!$I$33)*'Reeksen (N)'!J153,0)*2</f>
        <v>0</v>
      </c>
      <c r="AR153" s="71">
        <f ca="1">-IF(C153=1,(G153*'Invoer gegevens (N)'!$I$34)*'Reeksen (N)'!J153,0)</f>
        <v>0</v>
      </c>
      <c r="AS153" s="71">
        <f ca="1">-IF(C153=1,'Invoer gegevens (N)'!$C$10*'Invoer gegevens (N)'!$I$35*'Reeksen (N)'!L153,0)</f>
        <v>0</v>
      </c>
      <c r="AT153" s="71">
        <f ca="1">-IF(C153=1,IF(E153='Invoer gegevens (N)'!$C$17,'Invoer gegevens (N)'!$C$11,Q153)*'Reeksen (N)'!S153*'Invoer gegevens (N)'!$C$18*'Reeksen (N)'!P153,0)</f>
        <v>0</v>
      </c>
      <c r="AU153" s="71">
        <f ca="1">-IF(C153=1,'Invoer gegevens (N)'!$C$10*'Invoer gegevens (N)'!$I$36*'Reeksen (N)'!H153,0)</f>
        <v>0</v>
      </c>
      <c r="AV153" s="71">
        <v>0</v>
      </c>
      <c r="AW153" s="71">
        <f t="shared" ca="1" si="27"/>
        <v>0</v>
      </c>
      <c r="AX153" s="71">
        <f ca="1">IF(E153&lt;'Invoer gegevens (N)'!$C$17+15,0,IF(E153&gt;'Invoer gegevens (N)'!$C$17+215,0,AW153))</f>
        <v>0</v>
      </c>
      <c r="AY153" s="71">
        <f ca="1">AX153/(1+'Invoer gegevens (N)'!$F$13)^($AZ153-('Invoer gegevens (N)'!$C$17-'Invoer gegevens (N)'!$C$16))/(1+'Invoer gegevens (N)'!$C$39)^('Invoer gegevens (N)'!$C$17-'Invoer gegevens (N)'!$C$16)</f>
        <v>0</v>
      </c>
      <c r="AZ153" s="68">
        <f ca="1">IF(E153-'Invoer gegevens (N)'!$C$17-14.5&lt;0,0,E153-'Invoer gegevens (N)'!$C$17-14.5)</f>
        <v>133.5</v>
      </c>
    </row>
    <row r="154" spans="2:52" x14ac:dyDescent="0.25">
      <c r="B154" s="70">
        <f t="shared" si="28"/>
        <v>150</v>
      </c>
      <c r="C154" s="67">
        <f ca="1">IF(E154-'Invoer gegevens (N)'!$C$17&lt;0,0,1)</f>
        <v>1</v>
      </c>
      <c r="D154" s="68">
        <f t="shared" si="29"/>
        <v>149.5</v>
      </c>
      <c r="E154" s="69">
        <f ca="1">IF('Invoer gegevens (N)'!$C$16="","",E153+1)</f>
        <v>2168</v>
      </c>
      <c r="F154" s="82">
        <f ca="1">IF('Invoer gegevens (N)'!$C$17=E154,'Invoer gegevens (N)'!$C$10,IF(C154=1,H153,0))</f>
        <v>0</v>
      </c>
      <c r="G154" s="83">
        <f ca="1">IF(C154&gt;=1,F154*'Reeksen (N)'!C154,0)</f>
        <v>0</v>
      </c>
      <c r="H154" s="84">
        <f t="shared" ca="1" si="23"/>
        <v>0</v>
      </c>
      <c r="I154" s="85">
        <f ca="1">IF('Invoer gegevens (N)'!$C$17=E154,'Invoer gegevens (N)'!$C$11,IF(C154=1,L153,0))</f>
        <v>0</v>
      </c>
      <c r="J154" s="86">
        <f ca="1">IF(C154&lt;1,0,IF('Reeksen (N)'!AK154&lt;='Reeksen (N)'!AE154,I154*'Reeksen (N)'!C154,0))</f>
        <v>0</v>
      </c>
      <c r="K154" s="86">
        <f ca="1">IF(C154&lt;1,0,IF('Reeksen (N)'!AK154&gt;'Reeksen (N)'!AE154,I154*'Reeksen (N)'!C154,0))</f>
        <v>0</v>
      </c>
      <c r="L154" s="86">
        <f t="shared" ca="1" si="24"/>
        <v>0</v>
      </c>
      <c r="M154" s="85">
        <f ca="1">IF('Invoer gegevens (N)'!$C$17=E154,'Invoer gegevens (N)'!$C$10-'Invoer gegevens (N)'!$C$11,IF(C154=1,P153,0))</f>
        <v>0</v>
      </c>
      <c r="N154" s="86">
        <f ca="1">IF(C154&lt;1,0,IF('Reeksen (N)'!AK154&lt;='Reeksen (N)'!AE154,M154*'Reeksen (N)'!C154,0))</f>
        <v>0</v>
      </c>
      <c r="O154" s="86">
        <f ca="1">IF(C154&lt;1,0,IF('Reeksen (N)'!AK154&gt;'Reeksen (N)'!AE154,M154*'Reeksen (N)'!C154,0))</f>
        <v>0</v>
      </c>
      <c r="P154" s="86">
        <f t="shared" ca="1" si="25"/>
        <v>0</v>
      </c>
      <c r="Q154" s="82">
        <f ca="1">IF('Invoer gegevens (N)'!$C$17=E154,I154,IF(C154=0,0,R153))</f>
        <v>0</v>
      </c>
      <c r="R154" s="84">
        <f t="shared" ca="1" si="20"/>
        <v>0</v>
      </c>
      <c r="S154" s="84">
        <f ca="1">IF('Invoer gegevens (N)'!$C$17=E154,M154,IF(C154=0,0,T153))</f>
        <v>0</v>
      </c>
      <c r="T154" s="84">
        <f t="shared" ca="1" si="21"/>
        <v>0</v>
      </c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8"/>
      <c r="AI154" s="71">
        <f ca="1">IF(C154=1,((F154+H154)/2*'Reeksen (N)'!AJ154*12)+(('Invoer gegevens (N)'!$C$10-(F154+H154)/2)*'Reeksen (N)'!AK154*12),0)</f>
        <v>0</v>
      </c>
      <c r="AJ154" s="71">
        <f ca="1">-AI154*'Invoer gegevens (N)'!$F$28</f>
        <v>0</v>
      </c>
      <c r="AK154" s="71">
        <f t="shared" ca="1" si="22"/>
        <v>0</v>
      </c>
      <c r="AL154" s="71">
        <f ca="1">IF(C154=1,(12*((F154+H154)/2)*'Reeksen (N)'!AL154)+(12*('Invoer gegevens (N)'!$C$10-(F154+H154)/2)*'Reeksen (N)'!AM154),0)</f>
        <v>0</v>
      </c>
      <c r="AM154" s="71">
        <f ca="1">-AL154*'Invoer gegevens (N)'!$F$31</f>
        <v>0</v>
      </c>
      <c r="AN154" s="71">
        <f t="shared" ca="1" si="26"/>
        <v>0</v>
      </c>
      <c r="AO154" s="71"/>
      <c r="AP154" s="71"/>
      <c r="AQ154" s="71">
        <f ca="1">-IF(C154=1,('Invoer gegevens (N)'!$C$10*'Invoer gegevens (N)'!$I$33)*'Reeksen (N)'!J154,0)*2</f>
        <v>0</v>
      </c>
      <c r="AR154" s="71">
        <f ca="1">-IF(C154=1,(G154*'Invoer gegevens (N)'!$I$34)*'Reeksen (N)'!J154,0)</f>
        <v>0</v>
      </c>
      <c r="AS154" s="71">
        <f ca="1">-IF(C154=1,'Invoer gegevens (N)'!$C$10*'Invoer gegevens (N)'!$I$35*'Reeksen (N)'!L154,0)</f>
        <v>0</v>
      </c>
      <c r="AT154" s="71">
        <f ca="1">-IF(C154=1,IF(E154='Invoer gegevens (N)'!$C$17,'Invoer gegevens (N)'!$C$11,Q154)*'Reeksen (N)'!S154*'Invoer gegevens (N)'!$C$18*'Reeksen (N)'!P154,0)</f>
        <v>0</v>
      </c>
      <c r="AU154" s="71">
        <f ca="1">-IF(C154=1,'Invoer gegevens (N)'!$C$10*'Invoer gegevens (N)'!$I$36*'Reeksen (N)'!H154,0)</f>
        <v>0</v>
      </c>
      <c r="AV154" s="71">
        <v>0</v>
      </c>
      <c r="AW154" s="71">
        <f t="shared" ca="1" si="27"/>
        <v>0</v>
      </c>
      <c r="AX154" s="71">
        <f ca="1">IF(E154&lt;'Invoer gegevens (N)'!$C$17+15,0,IF(E154&gt;'Invoer gegevens (N)'!$C$17+215,0,AW154))</f>
        <v>0</v>
      </c>
      <c r="AY154" s="71">
        <f ca="1">AX154/(1+'Invoer gegevens (N)'!$F$13)^($AZ154-('Invoer gegevens (N)'!$C$17-'Invoer gegevens (N)'!$C$16))/(1+'Invoer gegevens (N)'!$C$39)^('Invoer gegevens (N)'!$C$17-'Invoer gegevens (N)'!$C$16)</f>
        <v>0</v>
      </c>
      <c r="AZ154" s="68">
        <f ca="1">IF(E154-'Invoer gegevens (N)'!$C$17-14.5&lt;0,0,E154-'Invoer gegevens (N)'!$C$17-14.5)</f>
        <v>134.5</v>
      </c>
    </row>
    <row r="155" spans="2:52" x14ac:dyDescent="0.25">
      <c r="B155" s="70">
        <f t="shared" si="28"/>
        <v>151</v>
      </c>
      <c r="C155" s="67">
        <f ca="1">IF(E155-'Invoer gegevens (N)'!$C$17&lt;0,0,1)</f>
        <v>1</v>
      </c>
      <c r="D155" s="68">
        <f t="shared" si="29"/>
        <v>150.5</v>
      </c>
      <c r="E155" s="69">
        <f ca="1">IF('Invoer gegevens (N)'!$C$16="","",E154+1)</f>
        <v>2169</v>
      </c>
      <c r="F155" s="82">
        <f ca="1">IF('Invoer gegevens (N)'!$C$17=E155,'Invoer gegevens (N)'!$C$10,IF(C155=1,H154,0))</f>
        <v>0</v>
      </c>
      <c r="G155" s="83">
        <f ca="1">IF(C155&gt;=1,F155*'Reeksen (N)'!C155,0)</f>
        <v>0</v>
      </c>
      <c r="H155" s="84">
        <f t="shared" ca="1" si="23"/>
        <v>0</v>
      </c>
      <c r="I155" s="85">
        <f ca="1">IF('Invoer gegevens (N)'!$C$17=E155,'Invoer gegevens (N)'!$C$11,IF(C155=1,L154,0))</f>
        <v>0</v>
      </c>
      <c r="J155" s="86">
        <f ca="1">IF(C155&lt;1,0,IF('Reeksen (N)'!AK155&lt;='Reeksen (N)'!AE155,I155*'Reeksen (N)'!C155,0))</f>
        <v>0</v>
      </c>
      <c r="K155" s="86">
        <f ca="1">IF(C155&lt;1,0,IF('Reeksen (N)'!AK155&gt;'Reeksen (N)'!AE155,I155*'Reeksen (N)'!C155,0))</f>
        <v>0</v>
      </c>
      <c r="L155" s="86">
        <f t="shared" ca="1" si="24"/>
        <v>0</v>
      </c>
      <c r="M155" s="85">
        <f ca="1">IF('Invoer gegevens (N)'!$C$17=E155,'Invoer gegevens (N)'!$C$10-'Invoer gegevens (N)'!$C$11,IF(C155=1,P154,0))</f>
        <v>0</v>
      </c>
      <c r="N155" s="86">
        <f ca="1">IF(C155&lt;1,0,IF('Reeksen (N)'!AK155&lt;='Reeksen (N)'!AE155,M155*'Reeksen (N)'!C155,0))</f>
        <v>0</v>
      </c>
      <c r="O155" s="86">
        <f ca="1">IF(C155&lt;1,0,IF('Reeksen (N)'!AK155&gt;'Reeksen (N)'!AE155,M155*'Reeksen (N)'!C155,0))</f>
        <v>0</v>
      </c>
      <c r="P155" s="86">
        <f t="shared" ca="1" si="25"/>
        <v>0</v>
      </c>
      <c r="Q155" s="82">
        <f ca="1">IF('Invoer gegevens (N)'!$C$17=E155,I155,IF(C155=0,0,R154))</f>
        <v>0</v>
      </c>
      <c r="R155" s="84">
        <f t="shared" ca="1" si="20"/>
        <v>0</v>
      </c>
      <c r="S155" s="84">
        <f ca="1">IF('Invoer gegevens (N)'!$C$17=E155,M155,IF(C155=0,0,T154))</f>
        <v>0</v>
      </c>
      <c r="T155" s="84">
        <f t="shared" ca="1" si="21"/>
        <v>0</v>
      </c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8"/>
      <c r="AI155" s="71">
        <f ca="1">IF(C155=1,((F155+H155)/2*'Reeksen (N)'!AJ155*12)+(('Invoer gegevens (N)'!$C$10-(F155+H155)/2)*'Reeksen (N)'!AK155*12),0)</f>
        <v>0</v>
      </c>
      <c r="AJ155" s="71">
        <f ca="1">-AI155*'Invoer gegevens (N)'!$F$28</f>
        <v>0</v>
      </c>
      <c r="AK155" s="71">
        <f t="shared" ca="1" si="22"/>
        <v>0</v>
      </c>
      <c r="AL155" s="71">
        <f ca="1">IF(C155=1,(12*((F155+H155)/2)*'Reeksen (N)'!AL155)+(12*('Invoer gegevens (N)'!$C$10-(F155+H155)/2)*'Reeksen (N)'!AM155),0)</f>
        <v>0</v>
      </c>
      <c r="AM155" s="71">
        <f ca="1">-AL155*'Invoer gegevens (N)'!$F$31</f>
        <v>0</v>
      </c>
      <c r="AN155" s="71">
        <f t="shared" ca="1" si="26"/>
        <v>0</v>
      </c>
      <c r="AO155" s="71"/>
      <c r="AP155" s="71"/>
      <c r="AQ155" s="71">
        <f ca="1">-IF(C155=1,('Invoer gegevens (N)'!$C$10*'Invoer gegevens (N)'!$I$33)*'Reeksen (N)'!J155,0)*2</f>
        <v>0</v>
      </c>
      <c r="AR155" s="71">
        <f ca="1">-IF(C155=1,(G155*'Invoer gegevens (N)'!$I$34)*'Reeksen (N)'!J155,0)</f>
        <v>0</v>
      </c>
      <c r="AS155" s="71">
        <f ca="1">-IF(C155=1,'Invoer gegevens (N)'!$C$10*'Invoer gegevens (N)'!$I$35*'Reeksen (N)'!L155,0)</f>
        <v>0</v>
      </c>
      <c r="AT155" s="71">
        <f ca="1">-IF(C155=1,IF(E155='Invoer gegevens (N)'!$C$17,'Invoer gegevens (N)'!$C$11,Q155)*'Reeksen (N)'!S155*'Invoer gegevens (N)'!$C$18*'Reeksen (N)'!P155,0)</f>
        <v>0</v>
      </c>
      <c r="AU155" s="71">
        <f ca="1">-IF(C155=1,'Invoer gegevens (N)'!$C$10*'Invoer gegevens (N)'!$I$36*'Reeksen (N)'!H155,0)</f>
        <v>0</v>
      </c>
      <c r="AV155" s="71">
        <v>0</v>
      </c>
      <c r="AW155" s="71">
        <f t="shared" ca="1" si="27"/>
        <v>0</v>
      </c>
      <c r="AX155" s="71">
        <f ca="1">IF(E155&lt;'Invoer gegevens (N)'!$C$17+15,0,IF(E155&gt;'Invoer gegevens (N)'!$C$17+215,0,AW155))</f>
        <v>0</v>
      </c>
      <c r="AY155" s="71">
        <f ca="1">AX155/(1+'Invoer gegevens (N)'!$F$13)^($AZ155-('Invoer gegevens (N)'!$C$17-'Invoer gegevens (N)'!$C$16))/(1+'Invoer gegevens (N)'!$C$39)^('Invoer gegevens (N)'!$C$17-'Invoer gegevens (N)'!$C$16)</f>
        <v>0</v>
      </c>
      <c r="AZ155" s="68">
        <f ca="1">IF(E155-'Invoer gegevens (N)'!$C$17-14.5&lt;0,0,E155-'Invoer gegevens (N)'!$C$17-14.5)</f>
        <v>135.5</v>
      </c>
    </row>
    <row r="156" spans="2:52" x14ac:dyDescent="0.25">
      <c r="B156" s="70">
        <f t="shared" si="28"/>
        <v>152</v>
      </c>
      <c r="C156" s="67">
        <f ca="1">IF(E156-'Invoer gegevens (N)'!$C$17&lt;0,0,1)</f>
        <v>1</v>
      </c>
      <c r="D156" s="68">
        <f t="shared" si="29"/>
        <v>151.5</v>
      </c>
      <c r="E156" s="69">
        <f ca="1">IF('Invoer gegevens (N)'!$C$16="","",E155+1)</f>
        <v>2170</v>
      </c>
      <c r="F156" s="82">
        <f ca="1">IF('Invoer gegevens (N)'!$C$17=E156,'Invoer gegevens (N)'!$C$10,IF(C156=1,H155,0))</f>
        <v>0</v>
      </c>
      <c r="G156" s="83">
        <f ca="1">IF(C156&gt;=1,F156*'Reeksen (N)'!C156,0)</f>
        <v>0</v>
      </c>
      <c r="H156" s="84">
        <f t="shared" ca="1" si="23"/>
        <v>0</v>
      </c>
      <c r="I156" s="85">
        <f ca="1">IF('Invoer gegevens (N)'!$C$17=E156,'Invoer gegevens (N)'!$C$11,IF(C156=1,L155,0))</f>
        <v>0</v>
      </c>
      <c r="J156" s="86">
        <f ca="1">IF(C156&lt;1,0,IF('Reeksen (N)'!AK156&lt;='Reeksen (N)'!AE156,I156*'Reeksen (N)'!C156,0))</f>
        <v>0</v>
      </c>
      <c r="K156" s="86">
        <f ca="1">IF(C156&lt;1,0,IF('Reeksen (N)'!AK156&gt;'Reeksen (N)'!AE156,I156*'Reeksen (N)'!C156,0))</f>
        <v>0</v>
      </c>
      <c r="L156" s="86">
        <f t="shared" ca="1" si="24"/>
        <v>0</v>
      </c>
      <c r="M156" s="85">
        <f ca="1">IF('Invoer gegevens (N)'!$C$17=E156,'Invoer gegevens (N)'!$C$10-'Invoer gegevens (N)'!$C$11,IF(C156=1,P155,0))</f>
        <v>0</v>
      </c>
      <c r="N156" s="86">
        <f ca="1">IF(C156&lt;1,0,IF('Reeksen (N)'!AK156&lt;='Reeksen (N)'!AE156,M156*'Reeksen (N)'!C156,0))</f>
        <v>0</v>
      </c>
      <c r="O156" s="86">
        <f ca="1">IF(C156&lt;1,0,IF('Reeksen (N)'!AK156&gt;'Reeksen (N)'!AE156,M156*'Reeksen (N)'!C156,0))</f>
        <v>0</v>
      </c>
      <c r="P156" s="86">
        <f t="shared" ca="1" si="25"/>
        <v>0</v>
      </c>
      <c r="Q156" s="82">
        <f ca="1">IF('Invoer gegevens (N)'!$C$17=E156,I156,IF(C156=0,0,R155))</f>
        <v>0</v>
      </c>
      <c r="R156" s="84">
        <f t="shared" ca="1" si="20"/>
        <v>0</v>
      </c>
      <c r="S156" s="84">
        <f ca="1">IF('Invoer gegevens (N)'!$C$17=E156,M156,IF(C156=0,0,T155))</f>
        <v>0</v>
      </c>
      <c r="T156" s="84">
        <f t="shared" ca="1" si="21"/>
        <v>0</v>
      </c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8"/>
      <c r="AI156" s="71">
        <f ca="1">IF(C156=1,((F156+H156)/2*'Reeksen (N)'!AJ156*12)+(('Invoer gegevens (N)'!$C$10-(F156+H156)/2)*'Reeksen (N)'!AK156*12),0)</f>
        <v>0</v>
      </c>
      <c r="AJ156" s="71">
        <f ca="1">-AI156*'Invoer gegevens (N)'!$F$28</f>
        <v>0</v>
      </c>
      <c r="AK156" s="71">
        <f t="shared" ca="1" si="22"/>
        <v>0</v>
      </c>
      <c r="AL156" s="71">
        <f ca="1">IF(C156=1,(12*((F156+H156)/2)*'Reeksen (N)'!AL156)+(12*('Invoer gegevens (N)'!$C$10-(F156+H156)/2)*'Reeksen (N)'!AM156),0)</f>
        <v>0</v>
      </c>
      <c r="AM156" s="71">
        <f ca="1">-AL156*'Invoer gegevens (N)'!$F$31</f>
        <v>0</v>
      </c>
      <c r="AN156" s="71">
        <f t="shared" ca="1" si="26"/>
        <v>0</v>
      </c>
      <c r="AO156" s="71"/>
      <c r="AP156" s="71"/>
      <c r="AQ156" s="71">
        <f ca="1">-IF(C156=1,('Invoer gegevens (N)'!$C$10*'Invoer gegevens (N)'!$I$33)*'Reeksen (N)'!J156,0)*2</f>
        <v>0</v>
      </c>
      <c r="AR156" s="71">
        <f ca="1">-IF(C156=1,(G156*'Invoer gegevens (N)'!$I$34)*'Reeksen (N)'!J156,0)</f>
        <v>0</v>
      </c>
      <c r="AS156" s="71">
        <f ca="1">-IF(C156=1,'Invoer gegevens (N)'!$C$10*'Invoer gegevens (N)'!$I$35*'Reeksen (N)'!L156,0)</f>
        <v>0</v>
      </c>
      <c r="AT156" s="71">
        <f ca="1">-IF(C156=1,IF(E156='Invoer gegevens (N)'!$C$17,'Invoer gegevens (N)'!$C$11,Q156)*'Reeksen (N)'!S156*'Invoer gegevens (N)'!$C$18*'Reeksen (N)'!P156,0)</f>
        <v>0</v>
      </c>
      <c r="AU156" s="71">
        <f ca="1">-IF(C156=1,'Invoer gegevens (N)'!$C$10*'Invoer gegevens (N)'!$I$36*'Reeksen (N)'!H156,0)</f>
        <v>0</v>
      </c>
      <c r="AV156" s="71">
        <v>0</v>
      </c>
      <c r="AW156" s="71">
        <f t="shared" ca="1" si="27"/>
        <v>0</v>
      </c>
      <c r="AX156" s="71">
        <f ca="1">IF(E156&lt;'Invoer gegevens (N)'!$C$17+15,0,IF(E156&gt;'Invoer gegevens (N)'!$C$17+215,0,AW156))</f>
        <v>0</v>
      </c>
      <c r="AY156" s="71">
        <f ca="1">AX156/(1+'Invoer gegevens (N)'!$F$13)^($AZ156-('Invoer gegevens (N)'!$C$17-'Invoer gegevens (N)'!$C$16))/(1+'Invoer gegevens (N)'!$C$39)^('Invoer gegevens (N)'!$C$17-'Invoer gegevens (N)'!$C$16)</f>
        <v>0</v>
      </c>
      <c r="AZ156" s="68">
        <f ca="1">IF(E156-'Invoer gegevens (N)'!$C$17-14.5&lt;0,0,E156-'Invoer gegevens (N)'!$C$17-14.5)</f>
        <v>136.5</v>
      </c>
    </row>
    <row r="157" spans="2:52" x14ac:dyDescent="0.25">
      <c r="B157" s="70">
        <f t="shared" si="28"/>
        <v>153</v>
      </c>
      <c r="C157" s="67">
        <f ca="1">IF(E157-'Invoer gegevens (N)'!$C$17&lt;0,0,1)</f>
        <v>1</v>
      </c>
      <c r="D157" s="68">
        <f t="shared" si="29"/>
        <v>152.5</v>
      </c>
      <c r="E157" s="69">
        <f ca="1">IF('Invoer gegevens (N)'!$C$16="","",E156+1)</f>
        <v>2171</v>
      </c>
      <c r="F157" s="82">
        <f ca="1">IF('Invoer gegevens (N)'!$C$17=E157,'Invoer gegevens (N)'!$C$10,IF(C157=1,H156,0))</f>
        <v>0</v>
      </c>
      <c r="G157" s="83">
        <f ca="1">IF(C157&gt;=1,F157*'Reeksen (N)'!C157,0)</f>
        <v>0</v>
      </c>
      <c r="H157" s="84">
        <f t="shared" ca="1" si="23"/>
        <v>0</v>
      </c>
      <c r="I157" s="85">
        <f ca="1">IF('Invoer gegevens (N)'!$C$17=E157,'Invoer gegevens (N)'!$C$11,IF(C157=1,L156,0))</f>
        <v>0</v>
      </c>
      <c r="J157" s="86">
        <f ca="1">IF(C157&lt;1,0,IF('Reeksen (N)'!AK157&lt;='Reeksen (N)'!AE157,I157*'Reeksen (N)'!C157,0))</f>
        <v>0</v>
      </c>
      <c r="K157" s="86">
        <f ca="1">IF(C157&lt;1,0,IF('Reeksen (N)'!AK157&gt;'Reeksen (N)'!AE157,I157*'Reeksen (N)'!C157,0))</f>
        <v>0</v>
      </c>
      <c r="L157" s="86">
        <f t="shared" ca="1" si="24"/>
        <v>0</v>
      </c>
      <c r="M157" s="85">
        <f ca="1">IF('Invoer gegevens (N)'!$C$17=E157,'Invoer gegevens (N)'!$C$10-'Invoer gegevens (N)'!$C$11,IF(C157=1,P156,0))</f>
        <v>0</v>
      </c>
      <c r="N157" s="86">
        <f ca="1">IF(C157&lt;1,0,IF('Reeksen (N)'!AK157&lt;='Reeksen (N)'!AE157,M157*'Reeksen (N)'!C157,0))</f>
        <v>0</v>
      </c>
      <c r="O157" s="86">
        <f ca="1">IF(C157&lt;1,0,IF('Reeksen (N)'!AK157&gt;'Reeksen (N)'!AE157,M157*'Reeksen (N)'!C157,0))</f>
        <v>0</v>
      </c>
      <c r="P157" s="86">
        <f t="shared" ca="1" si="25"/>
        <v>0</v>
      </c>
      <c r="Q157" s="82">
        <f ca="1">IF('Invoer gegevens (N)'!$C$17=E157,I157,IF(C157=0,0,R156))</f>
        <v>0</v>
      </c>
      <c r="R157" s="84">
        <f t="shared" ca="1" si="20"/>
        <v>0</v>
      </c>
      <c r="S157" s="84">
        <f ca="1">IF('Invoer gegevens (N)'!$C$17=E157,M157,IF(C157=0,0,T156))</f>
        <v>0</v>
      </c>
      <c r="T157" s="84">
        <f t="shared" ca="1" si="21"/>
        <v>0</v>
      </c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8"/>
      <c r="AI157" s="71">
        <f ca="1">IF(C157=1,((F157+H157)/2*'Reeksen (N)'!AJ157*12)+(('Invoer gegevens (N)'!$C$10-(F157+H157)/2)*'Reeksen (N)'!AK157*12),0)</f>
        <v>0</v>
      </c>
      <c r="AJ157" s="71">
        <f ca="1">-AI157*'Invoer gegevens (N)'!$F$28</f>
        <v>0</v>
      </c>
      <c r="AK157" s="71">
        <f t="shared" ca="1" si="22"/>
        <v>0</v>
      </c>
      <c r="AL157" s="71">
        <f ca="1">IF(C157=1,(12*((F157+H157)/2)*'Reeksen (N)'!AL157)+(12*('Invoer gegevens (N)'!$C$10-(F157+H157)/2)*'Reeksen (N)'!AM157),0)</f>
        <v>0</v>
      </c>
      <c r="AM157" s="71">
        <f ca="1">-AL157*'Invoer gegevens (N)'!$F$31</f>
        <v>0</v>
      </c>
      <c r="AN157" s="71">
        <f t="shared" ca="1" si="26"/>
        <v>0</v>
      </c>
      <c r="AO157" s="71"/>
      <c r="AP157" s="71"/>
      <c r="AQ157" s="71">
        <f ca="1">-IF(C157=1,('Invoer gegevens (N)'!$C$10*'Invoer gegevens (N)'!$I$33)*'Reeksen (N)'!J157,0)*2</f>
        <v>0</v>
      </c>
      <c r="AR157" s="71">
        <f ca="1">-IF(C157=1,(G157*'Invoer gegevens (N)'!$I$34)*'Reeksen (N)'!J157,0)</f>
        <v>0</v>
      </c>
      <c r="AS157" s="71">
        <f ca="1">-IF(C157=1,'Invoer gegevens (N)'!$C$10*'Invoer gegevens (N)'!$I$35*'Reeksen (N)'!L157,0)</f>
        <v>0</v>
      </c>
      <c r="AT157" s="71">
        <f ca="1">-IF(C157=1,IF(E157='Invoer gegevens (N)'!$C$17,'Invoer gegevens (N)'!$C$11,Q157)*'Reeksen (N)'!S157*'Invoer gegevens (N)'!$C$18*'Reeksen (N)'!P157,0)</f>
        <v>0</v>
      </c>
      <c r="AU157" s="71">
        <f ca="1">-IF(C157=1,'Invoer gegevens (N)'!$C$10*'Invoer gegevens (N)'!$I$36*'Reeksen (N)'!H157,0)</f>
        <v>0</v>
      </c>
      <c r="AV157" s="71">
        <v>0</v>
      </c>
      <c r="AW157" s="71">
        <f t="shared" ca="1" si="27"/>
        <v>0</v>
      </c>
      <c r="AX157" s="71">
        <f ca="1">IF(E157&lt;'Invoer gegevens (N)'!$C$17+15,0,IF(E157&gt;'Invoer gegevens (N)'!$C$17+215,0,AW157))</f>
        <v>0</v>
      </c>
      <c r="AY157" s="71">
        <f ca="1">AX157/(1+'Invoer gegevens (N)'!$F$13)^($AZ157-('Invoer gegevens (N)'!$C$17-'Invoer gegevens (N)'!$C$16))/(1+'Invoer gegevens (N)'!$C$39)^('Invoer gegevens (N)'!$C$17-'Invoer gegevens (N)'!$C$16)</f>
        <v>0</v>
      </c>
      <c r="AZ157" s="68">
        <f ca="1">IF(E157-'Invoer gegevens (N)'!$C$17-14.5&lt;0,0,E157-'Invoer gegevens (N)'!$C$17-14.5)</f>
        <v>137.5</v>
      </c>
    </row>
    <row r="158" spans="2:52" x14ac:dyDescent="0.25">
      <c r="B158" s="70">
        <f t="shared" si="28"/>
        <v>154</v>
      </c>
      <c r="C158" s="67">
        <f ca="1">IF(E158-'Invoer gegevens (N)'!$C$17&lt;0,0,1)</f>
        <v>1</v>
      </c>
      <c r="D158" s="68">
        <f t="shared" si="29"/>
        <v>153.5</v>
      </c>
      <c r="E158" s="69">
        <f ca="1">IF('Invoer gegevens (N)'!$C$16="","",E157+1)</f>
        <v>2172</v>
      </c>
      <c r="F158" s="82">
        <f ca="1">IF('Invoer gegevens (N)'!$C$17=E158,'Invoer gegevens (N)'!$C$10,IF(C158=1,H157,0))</f>
        <v>0</v>
      </c>
      <c r="G158" s="83">
        <f ca="1">IF(C158&gt;=1,F158*'Reeksen (N)'!C158,0)</f>
        <v>0</v>
      </c>
      <c r="H158" s="84">
        <f t="shared" ca="1" si="23"/>
        <v>0</v>
      </c>
      <c r="I158" s="85">
        <f ca="1">IF('Invoer gegevens (N)'!$C$17=E158,'Invoer gegevens (N)'!$C$11,IF(C158=1,L157,0))</f>
        <v>0</v>
      </c>
      <c r="J158" s="86">
        <f ca="1">IF(C158&lt;1,0,IF('Reeksen (N)'!AK158&lt;='Reeksen (N)'!AE158,I158*'Reeksen (N)'!C158,0))</f>
        <v>0</v>
      </c>
      <c r="K158" s="86">
        <f ca="1">IF(C158&lt;1,0,IF('Reeksen (N)'!AK158&gt;'Reeksen (N)'!AE158,I158*'Reeksen (N)'!C158,0))</f>
        <v>0</v>
      </c>
      <c r="L158" s="86">
        <f t="shared" ca="1" si="24"/>
        <v>0</v>
      </c>
      <c r="M158" s="85">
        <f ca="1">IF('Invoer gegevens (N)'!$C$17=E158,'Invoer gegevens (N)'!$C$10-'Invoer gegevens (N)'!$C$11,IF(C158=1,P157,0))</f>
        <v>0</v>
      </c>
      <c r="N158" s="86">
        <f ca="1">IF(C158&lt;1,0,IF('Reeksen (N)'!AK158&lt;='Reeksen (N)'!AE158,M158*'Reeksen (N)'!C158,0))</f>
        <v>0</v>
      </c>
      <c r="O158" s="86">
        <f ca="1">IF(C158&lt;1,0,IF('Reeksen (N)'!AK158&gt;'Reeksen (N)'!AE158,M158*'Reeksen (N)'!C158,0))</f>
        <v>0</v>
      </c>
      <c r="P158" s="86">
        <f t="shared" ca="1" si="25"/>
        <v>0</v>
      </c>
      <c r="Q158" s="82">
        <f ca="1">IF('Invoer gegevens (N)'!$C$17=E158,I158,IF(C158=0,0,R157))</f>
        <v>0</v>
      </c>
      <c r="R158" s="84">
        <f t="shared" ca="1" si="20"/>
        <v>0</v>
      </c>
      <c r="S158" s="84">
        <f ca="1">IF('Invoer gegevens (N)'!$C$17=E158,M158,IF(C158=0,0,T157))</f>
        <v>0</v>
      </c>
      <c r="T158" s="84">
        <f t="shared" ca="1" si="21"/>
        <v>0</v>
      </c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8"/>
      <c r="AI158" s="71">
        <f ca="1">IF(C158=1,((F158+H158)/2*'Reeksen (N)'!AJ158*12)+(('Invoer gegevens (N)'!$C$10-(F158+H158)/2)*'Reeksen (N)'!AK158*12),0)</f>
        <v>0</v>
      </c>
      <c r="AJ158" s="71">
        <f ca="1">-AI158*'Invoer gegevens (N)'!$F$28</f>
        <v>0</v>
      </c>
      <c r="AK158" s="71">
        <f t="shared" ca="1" si="22"/>
        <v>0</v>
      </c>
      <c r="AL158" s="71">
        <f ca="1">IF(C158=1,(12*((F158+H158)/2)*'Reeksen (N)'!AL158)+(12*('Invoer gegevens (N)'!$C$10-(F158+H158)/2)*'Reeksen (N)'!AM158),0)</f>
        <v>0</v>
      </c>
      <c r="AM158" s="71">
        <f ca="1">-AL158*'Invoer gegevens (N)'!$F$31</f>
        <v>0</v>
      </c>
      <c r="AN158" s="71">
        <f t="shared" ca="1" si="26"/>
        <v>0</v>
      </c>
      <c r="AO158" s="71"/>
      <c r="AP158" s="71"/>
      <c r="AQ158" s="71">
        <f ca="1">-IF(C158=1,('Invoer gegevens (N)'!$C$10*'Invoer gegevens (N)'!$I$33)*'Reeksen (N)'!J158,0)*2</f>
        <v>0</v>
      </c>
      <c r="AR158" s="71">
        <f ca="1">-IF(C158=1,(G158*'Invoer gegevens (N)'!$I$34)*'Reeksen (N)'!J158,0)</f>
        <v>0</v>
      </c>
      <c r="AS158" s="71">
        <f ca="1">-IF(C158=1,'Invoer gegevens (N)'!$C$10*'Invoer gegevens (N)'!$I$35*'Reeksen (N)'!L158,0)</f>
        <v>0</v>
      </c>
      <c r="AT158" s="71">
        <f ca="1">-IF(C158=1,IF(E158='Invoer gegevens (N)'!$C$17,'Invoer gegevens (N)'!$C$11,Q158)*'Reeksen (N)'!S158*'Invoer gegevens (N)'!$C$18*'Reeksen (N)'!P158,0)</f>
        <v>0</v>
      </c>
      <c r="AU158" s="71">
        <f ca="1">-IF(C158=1,'Invoer gegevens (N)'!$C$10*'Invoer gegevens (N)'!$I$36*'Reeksen (N)'!H158,0)</f>
        <v>0</v>
      </c>
      <c r="AV158" s="71">
        <v>0</v>
      </c>
      <c r="AW158" s="71">
        <f t="shared" ca="1" si="27"/>
        <v>0</v>
      </c>
      <c r="AX158" s="71">
        <f ca="1">IF(E158&lt;'Invoer gegevens (N)'!$C$17+15,0,IF(E158&gt;'Invoer gegevens (N)'!$C$17+215,0,AW158))</f>
        <v>0</v>
      </c>
      <c r="AY158" s="71">
        <f ca="1">AX158/(1+'Invoer gegevens (N)'!$F$13)^($AZ158-('Invoer gegevens (N)'!$C$17-'Invoer gegevens (N)'!$C$16))/(1+'Invoer gegevens (N)'!$C$39)^('Invoer gegevens (N)'!$C$17-'Invoer gegevens (N)'!$C$16)</f>
        <v>0</v>
      </c>
      <c r="AZ158" s="68">
        <f ca="1">IF(E158-'Invoer gegevens (N)'!$C$17-14.5&lt;0,0,E158-'Invoer gegevens (N)'!$C$17-14.5)</f>
        <v>138.5</v>
      </c>
    </row>
    <row r="159" spans="2:52" x14ac:dyDescent="0.25">
      <c r="B159" s="70">
        <f t="shared" si="28"/>
        <v>155</v>
      </c>
      <c r="C159" s="67">
        <f ca="1">IF(E159-'Invoer gegevens (N)'!$C$17&lt;0,0,1)</f>
        <v>1</v>
      </c>
      <c r="D159" s="68">
        <f t="shared" si="29"/>
        <v>154.5</v>
      </c>
      <c r="E159" s="69">
        <f ca="1">IF('Invoer gegevens (N)'!$C$16="","",E158+1)</f>
        <v>2173</v>
      </c>
      <c r="F159" s="82">
        <f ca="1">IF('Invoer gegevens (N)'!$C$17=E159,'Invoer gegevens (N)'!$C$10,IF(C159=1,H158,0))</f>
        <v>0</v>
      </c>
      <c r="G159" s="83">
        <f ca="1">IF(C159&gt;=1,F159*'Reeksen (N)'!C159,0)</f>
        <v>0</v>
      </c>
      <c r="H159" s="84">
        <f t="shared" ca="1" si="23"/>
        <v>0</v>
      </c>
      <c r="I159" s="85">
        <f ca="1">IF('Invoer gegevens (N)'!$C$17=E159,'Invoer gegevens (N)'!$C$11,IF(C159=1,L158,0))</f>
        <v>0</v>
      </c>
      <c r="J159" s="86">
        <f ca="1">IF(C159&lt;1,0,IF('Reeksen (N)'!AK159&lt;='Reeksen (N)'!AE159,I159*'Reeksen (N)'!C159,0))</f>
        <v>0</v>
      </c>
      <c r="K159" s="86">
        <f ca="1">IF(C159&lt;1,0,IF('Reeksen (N)'!AK159&gt;'Reeksen (N)'!AE159,I159*'Reeksen (N)'!C159,0))</f>
        <v>0</v>
      </c>
      <c r="L159" s="86">
        <f t="shared" ca="1" si="24"/>
        <v>0</v>
      </c>
      <c r="M159" s="85">
        <f ca="1">IF('Invoer gegevens (N)'!$C$17=E159,'Invoer gegevens (N)'!$C$10-'Invoer gegevens (N)'!$C$11,IF(C159=1,P158,0))</f>
        <v>0</v>
      </c>
      <c r="N159" s="86">
        <f ca="1">IF(C159&lt;1,0,IF('Reeksen (N)'!AK159&lt;='Reeksen (N)'!AE159,M159*'Reeksen (N)'!C159,0))</f>
        <v>0</v>
      </c>
      <c r="O159" s="86">
        <f ca="1">IF(C159&lt;1,0,IF('Reeksen (N)'!AK159&gt;'Reeksen (N)'!AE159,M159*'Reeksen (N)'!C159,0))</f>
        <v>0</v>
      </c>
      <c r="P159" s="86">
        <f t="shared" ca="1" si="25"/>
        <v>0</v>
      </c>
      <c r="Q159" s="82">
        <f ca="1">IF('Invoer gegevens (N)'!$C$17=E159,I159,IF(C159=0,0,R158))</f>
        <v>0</v>
      </c>
      <c r="R159" s="84">
        <f t="shared" ca="1" si="20"/>
        <v>0</v>
      </c>
      <c r="S159" s="84">
        <f ca="1">IF('Invoer gegevens (N)'!$C$17=E159,M159,IF(C159=0,0,T158))</f>
        <v>0</v>
      </c>
      <c r="T159" s="84">
        <f t="shared" ca="1" si="21"/>
        <v>0</v>
      </c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8"/>
      <c r="AI159" s="71">
        <f ca="1">IF(C159=1,((F159+H159)/2*'Reeksen (N)'!AJ159*12)+(('Invoer gegevens (N)'!$C$10-(F159+H159)/2)*'Reeksen (N)'!AK159*12),0)</f>
        <v>0</v>
      </c>
      <c r="AJ159" s="71">
        <f ca="1">-AI159*'Invoer gegevens (N)'!$F$28</f>
        <v>0</v>
      </c>
      <c r="AK159" s="71">
        <f t="shared" ca="1" si="22"/>
        <v>0</v>
      </c>
      <c r="AL159" s="71">
        <f ca="1">IF(C159=1,(12*((F159+H159)/2)*'Reeksen (N)'!AL159)+(12*('Invoer gegevens (N)'!$C$10-(F159+H159)/2)*'Reeksen (N)'!AM159),0)</f>
        <v>0</v>
      </c>
      <c r="AM159" s="71">
        <f ca="1">-AL159*'Invoer gegevens (N)'!$F$31</f>
        <v>0</v>
      </c>
      <c r="AN159" s="71">
        <f t="shared" ca="1" si="26"/>
        <v>0</v>
      </c>
      <c r="AO159" s="71"/>
      <c r="AP159" s="71"/>
      <c r="AQ159" s="71">
        <f ca="1">-IF(C159=1,('Invoer gegevens (N)'!$C$10*'Invoer gegevens (N)'!$I$33)*'Reeksen (N)'!J159,0)*2</f>
        <v>0</v>
      </c>
      <c r="AR159" s="71">
        <f ca="1">-IF(C159=1,(G159*'Invoer gegevens (N)'!$I$34)*'Reeksen (N)'!J159,0)</f>
        <v>0</v>
      </c>
      <c r="AS159" s="71">
        <f ca="1">-IF(C159=1,'Invoer gegevens (N)'!$C$10*'Invoer gegevens (N)'!$I$35*'Reeksen (N)'!L159,0)</f>
        <v>0</v>
      </c>
      <c r="AT159" s="71">
        <f ca="1">-IF(C159=1,IF(E159='Invoer gegevens (N)'!$C$17,'Invoer gegevens (N)'!$C$11,Q159)*'Reeksen (N)'!S159*'Invoer gegevens (N)'!$C$18*'Reeksen (N)'!P159,0)</f>
        <v>0</v>
      </c>
      <c r="AU159" s="71">
        <f ca="1">-IF(C159=1,'Invoer gegevens (N)'!$C$10*'Invoer gegevens (N)'!$I$36*'Reeksen (N)'!H159,0)</f>
        <v>0</v>
      </c>
      <c r="AV159" s="71">
        <v>0</v>
      </c>
      <c r="AW159" s="71">
        <f t="shared" ca="1" si="27"/>
        <v>0</v>
      </c>
      <c r="AX159" s="71">
        <f ca="1">IF(E159&lt;'Invoer gegevens (N)'!$C$17+15,0,IF(E159&gt;'Invoer gegevens (N)'!$C$17+215,0,AW159))</f>
        <v>0</v>
      </c>
      <c r="AY159" s="71">
        <f ca="1">AX159/(1+'Invoer gegevens (N)'!$F$13)^($AZ159-('Invoer gegevens (N)'!$C$17-'Invoer gegevens (N)'!$C$16))/(1+'Invoer gegevens (N)'!$C$39)^('Invoer gegevens (N)'!$C$17-'Invoer gegevens (N)'!$C$16)</f>
        <v>0</v>
      </c>
      <c r="AZ159" s="68">
        <f ca="1">IF(E159-'Invoer gegevens (N)'!$C$17-14.5&lt;0,0,E159-'Invoer gegevens (N)'!$C$17-14.5)</f>
        <v>139.5</v>
      </c>
    </row>
    <row r="160" spans="2:52" x14ac:dyDescent="0.25">
      <c r="B160" s="70">
        <f t="shared" si="28"/>
        <v>156</v>
      </c>
      <c r="C160" s="67">
        <f ca="1">IF(E160-'Invoer gegevens (N)'!$C$17&lt;0,0,1)</f>
        <v>1</v>
      </c>
      <c r="D160" s="68">
        <f t="shared" si="29"/>
        <v>155.5</v>
      </c>
      <c r="E160" s="69">
        <f ca="1">IF('Invoer gegevens (N)'!$C$16="","",E159+1)</f>
        <v>2174</v>
      </c>
      <c r="F160" s="82">
        <f ca="1">IF('Invoer gegevens (N)'!$C$17=E160,'Invoer gegevens (N)'!$C$10,IF(C160=1,H159,0))</f>
        <v>0</v>
      </c>
      <c r="G160" s="83">
        <f ca="1">IF(C160&gt;=1,F160*'Reeksen (N)'!C160,0)</f>
        <v>0</v>
      </c>
      <c r="H160" s="84">
        <f t="shared" ca="1" si="23"/>
        <v>0</v>
      </c>
      <c r="I160" s="85">
        <f ca="1">IF('Invoer gegevens (N)'!$C$17=E160,'Invoer gegevens (N)'!$C$11,IF(C160=1,L159,0))</f>
        <v>0</v>
      </c>
      <c r="J160" s="86">
        <f ca="1">IF(C160&lt;1,0,IF('Reeksen (N)'!AK160&lt;='Reeksen (N)'!AE160,I160*'Reeksen (N)'!C160,0))</f>
        <v>0</v>
      </c>
      <c r="K160" s="86">
        <f ca="1">IF(C160&lt;1,0,IF('Reeksen (N)'!AK160&gt;'Reeksen (N)'!AE160,I160*'Reeksen (N)'!C160,0))</f>
        <v>0</v>
      </c>
      <c r="L160" s="86">
        <f t="shared" ca="1" si="24"/>
        <v>0</v>
      </c>
      <c r="M160" s="85">
        <f ca="1">IF('Invoer gegevens (N)'!$C$17=E160,'Invoer gegevens (N)'!$C$10-'Invoer gegevens (N)'!$C$11,IF(C160=1,P159,0))</f>
        <v>0</v>
      </c>
      <c r="N160" s="86">
        <f ca="1">IF(C160&lt;1,0,IF('Reeksen (N)'!AK160&lt;='Reeksen (N)'!AE160,M160*'Reeksen (N)'!C160,0))</f>
        <v>0</v>
      </c>
      <c r="O160" s="86">
        <f ca="1">IF(C160&lt;1,0,IF('Reeksen (N)'!AK160&gt;'Reeksen (N)'!AE160,M160*'Reeksen (N)'!C160,0))</f>
        <v>0</v>
      </c>
      <c r="P160" s="86">
        <f t="shared" ca="1" si="25"/>
        <v>0</v>
      </c>
      <c r="Q160" s="82">
        <f ca="1">IF('Invoer gegevens (N)'!$C$17=E160,I160,IF(C160=0,0,R159))</f>
        <v>0</v>
      </c>
      <c r="R160" s="84">
        <f t="shared" ca="1" si="20"/>
        <v>0</v>
      </c>
      <c r="S160" s="84">
        <f ca="1">IF('Invoer gegevens (N)'!$C$17=E160,M160,IF(C160=0,0,T159))</f>
        <v>0</v>
      </c>
      <c r="T160" s="84">
        <f t="shared" ca="1" si="21"/>
        <v>0</v>
      </c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8"/>
      <c r="AI160" s="71">
        <f ca="1">IF(C160=1,((F160+H160)/2*'Reeksen (N)'!AJ160*12)+(('Invoer gegevens (N)'!$C$10-(F160+H160)/2)*'Reeksen (N)'!AK160*12),0)</f>
        <v>0</v>
      </c>
      <c r="AJ160" s="71">
        <f ca="1">-AI160*'Invoer gegevens (N)'!$F$28</f>
        <v>0</v>
      </c>
      <c r="AK160" s="71">
        <f t="shared" ca="1" si="22"/>
        <v>0</v>
      </c>
      <c r="AL160" s="71">
        <f ca="1">IF(C160=1,(12*((F160+H160)/2)*'Reeksen (N)'!AL160)+(12*('Invoer gegevens (N)'!$C$10-(F160+H160)/2)*'Reeksen (N)'!AM160),0)</f>
        <v>0</v>
      </c>
      <c r="AM160" s="71">
        <f ca="1">-AL160*'Invoer gegevens (N)'!$F$31</f>
        <v>0</v>
      </c>
      <c r="AN160" s="71">
        <f t="shared" ca="1" si="26"/>
        <v>0</v>
      </c>
      <c r="AO160" s="71"/>
      <c r="AP160" s="71"/>
      <c r="AQ160" s="71">
        <f ca="1">-IF(C160=1,('Invoer gegevens (N)'!$C$10*'Invoer gegevens (N)'!$I$33)*'Reeksen (N)'!J160,0)*2</f>
        <v>0</v>
      </c>
      <c r="AR160" s="71">
        <f ca="1">-IF(C160=1,(G160*'Invoer gegevens (N)'!$I$34)*'Reeksen (N)'!J160,0)</f>
        <v>0</v>
      </c>
      <c r="AS160" s="71">
        <f ca="1">-IF(C160=1,'Invoer gegevens (N)'!$C$10*'Invoer gegevens (N)'!$I$35*'Reeksen (N)'!L160,0)</f>
        <v>0</v>
      </c>
      <c r="AT160" s="71">
        <f ca="1">-IF(C160=1,IF(E160='Invoer gegevens (N)'!$C$17,'Invoer gegevens (N)'!$C$11,Q160)*'Reeksen (N)'!S160*'Invoer gegevens (N)'!$C$18*'Reeksen (N)'!P160,0)</f>
        <v>0</v>
      </c>
      <c r="AU160" s="71">
        <f ca="1">-IF(C160=1,'Invoer gegevens (N)'!$C$10*'Invoer gegevens (N)'!$I$36*'Reeksen (N)'!H160,0)</f>
        <v>0</v>
      </c>
      <c r="AV160" s="71">
        <v>0</v>
      </c>
      <c r="AW160" s="71">
        <f t="shared" ca="1" si="27"/>
        <v>0</v>
      </c>
      <c r="AX160" s="71">
        <f ca="1">IF(E160&lt;'Invoer gegevens (N)'!$C$17+15,0,IF(E160&gt;'Invoer gegevens (N)'!$C$17+215,0,AW160))</f>
        <v>0</v>
      </c>
      <c r="AY160" s="71">
        <f ca="1">AX160/(1+'Invoer gegevens (N)'!$F$13)^($AZ160-('Invoer gegevens (N)'!$C$17-'Invoer gegevens (N)'!$C$16))/(1+'Invoer gegevens (N)'!$C$39)^('Invoer gegevens (N)'!$C$17-'Invoer gegevens (N)'!$C$16)</f>
        <v>0</v>
      </c>
      <c r="AZ160" s="68">
        <f ca="1">IF(E160-'Invoer gegevens (N)'!$C$17-14.5&lt;0,0,E160-'Invoer gegevens (N)'!$C$17-14.5)</f>
        <v>140.5</v>
      </c>
    </row>
    <row r="161" spans="2:52" x14ac:dyDescent="0.25">
      <c r="B161" s="70">
        <f t="shared" si="28"/>
        <v>157</v>
      </c>
      <c r="C161" s="67">
        <f ca="1">IF(E161-'Invoer gegevens (N)'!$C$17&lt;0,0,1)</f>
        <v>1</v>
      </c>
      <c r="D161" s="68">
        <f t="shared" si="29"/>
        <v>156.5</v>
      </c>
      <c r="E161" s="69">
        <f ca="1">IF('Invoer gegevens (N)'!$C$16="","",E160+1)</f>
        <v>2175</v>
      </c>
      <c r="F161" s="82">
        <f ca="1">IF('Invoer gegevens (N)'!$C$17=E161,'Invoer gegevens (N)'!$C$10,IF(C161=1,H160,0))</f>
        <v>0</v>
      </c>
      <c r="G161" s="83">
        <f ca="1">IF(C161&gt;=1,F161*'Reeksen (N)'!C161,0)</f>
        <v>0</v>
      </c>
      <c r="H161" s="84">
        <f t="shared" ca="1" si="23"/>
        <v>0</v>
      </c>
      <c r="I161" s="85">
        <f ca="1">IF('Invoer gegevens (N)'!$C$17=E161,'Invoer gegevens (N)'!$C$11,IF(C161=1,L160,0))</f>
        <v>0</v>
      </c>
      <c r="J161" s="86">
        <f ca="1">IF(C161&lt;1,0,IF('Reeksen (N)'!AK161&lt;='Reeksen (N)'!AE161,I161*'Reeksen (N)'!C161,0))</f>
        <v>0</v>
      </c>
      <c r="K161" s="86">
        <f ca="1">IF(C161&lt;1,0,IF('Reeksen (N)'!AK161&gt;'Reeksen (N)'!AE161,I161*'Reeksen (N)'!C161,0))</f>
        <v>0</v>
      </c>
      <c r="L161" s="86">
        <f t="shared" ca="1" si="24"/>
        <v>0</v>
      </c>
      <c r="M161" s="85">
        <f ca="1">IF('Invoer gegevens (N)'!$C$17=E161,'Invoer gegevens (N)'!$C$10-'Invoer gegevens (N)'!$C$11,IF(C161=1,P160,0))</f>
        <v>0</v>
      </c>
      <c r="N161" s="86">
        <f ca="1">IF(C161&lt;1,0,IF('Reeksen (N)'!AK161&lt;='Reeksen (N)'!AE161,M161*'Reeksen (N)'!C161,0))</f>
        <v>0</v>
      </c>
      <c r="O161" s="86">
        <f ca="1">IF(C161&lt;1,0,IF('Reeksen (N)'!AK161&gt;'Reeksen (N)'!AE161,M161*'Reeksen (N)'!C161,0))</f>
        <v>0</v>
      </c>
      <c r="P161" s="86">
        <f t="shared" ca="1" si="25"/>
        <v>0</v>
      </c>
      <c r="Q161" s="82">
        <f ca="1">IF('Invoer gegevens (N)'!$C$17=E161,I161,IF(C161=0,0,R160))</f>
        <v>0</v>
      </c>
      <c r="R161" s="84">
        <f t="shared" ca="1" si="20"/>
        <v>0</v>
      </c>
      <c r="S161" s="84">
        <f ca="1">IF('Invoer gegevens (N)'!$C$17=E161,M161,IF(C161=0,0,T160))</f>
        <v>0</v>
      </c>
      <c r="T161" s="84">
        <f t="shared" ca="1" si="21"/>
        <v>0</v>
      </c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8"/>
      <c r="AI161" s="71">
        <f ca="1">IF(C161=1,((F161+H161)/2*'Reeksen (N)'!AJ161*12)+(('Invoer gegevens (N)'!$C$10-(F161+H161)/2)*'Reeksen (N)'!AK161*12),0)</f>
        <v>0</v>
      </c>
      <c r="AJ161" s="71">
        <f ca="1">-AI161*'Invoer gegevens (N)'!$F$28</f>
        <v>0</v>
      </c>
      <c r="AK161" s="71">
        <f t="shared" ca="1" si="22"/>
        <v>0</v>
      </c>
      <c r="AL161" s="71">
        <f ca="1">IF(C161=1,(12*((F161+H161)/2)*'Reeksen (N)'!AL161)+(12*('Invoer gegevens (N)'!$C$10-(F161+H161)/2)*'Reeksen (N)'!AM161),0)</f>
        <v>0</v>
      </c>
      <c r="AM161" s="71">
        <f ca="1">-AL161*'Invoer gegevens (N)'!$F$31</f>
        <v>0</v>
      </c>
      <c r="AN161" s="71">
        <f t="shared" ca="1" si="26"/>
        <v>0</v>
      </c>
      <c r="AO161" s="71"/>
      <c r="AP161" s="71"/>
      <c r="AQ161" s="71">
        <f ca="1">-IF(C161=1,('Invoer gegevens (N)'!$C$10*'Invoer gegevens (N)'!$I$33)*'Reeksen (N)'!J161,0)*2</f>
        <v>0</v>
      </c>
      <c r="AR161" s="71">
        <f ca="1">-IF(C161=1,(G161*'Invoer gegevens (N)'!$I$34)*'Reeksen (N)'!J161,0)</f>
        <v>0</v>
      </c>
      <c r="AS161" s="71">
        <f ca="1">-IF(C161=1,'Invoer gegevens (N)'!$C$10*'Invoer gegevens (N)'!$I$35*'Reeksen (N)'!L161,0)</f>
        <v>0</v>
      </c>
      <c r="AT161" s="71">
        <f ca="1">-IF(C161=1,IF(E161='Invoer gegevens (N)'!$C$17,'Invoer gegevens (N)'!$C$11,Q161)*'Reeksen (N)'!S161*'Invoer gegevens (N)'!$C$18*'Reeksen (N)'!P161,0)</f>
        <v>0</v>
      </c>
      <c r="AU161" s="71">
        <f ca="1">-IF(C161=1,'Invoer gegevens (N)'!$C$10*'Invoer gegevens (N)'!$I$36*'Reeksen (N)'!H161,0)</f>
        <v>0</v>
      </c>
      <c r="AV161" s="71">
        <v>0</v>
      </c>
      <c r="AW161" s="71">
        <f t="shared" ca="1" si="27"/>
        <v>0</v>
      </c>
      <c r="AX161" s="71">
        <f ca="1">IF(E161&lt;'Invoer gegevens (N)'!$C$17+15,0,IF(E161&gt;'Invoer gegevens (N)'!$C$17+215,0,AW161))</f>
        <v>0</v>
      </c>
      <c r="AY161" s="71">
        <f ca="1">AX161/(1+'Invoer gegevens (N)'!$F$13)^($AZ161-('Invoer gegevens (N)'!$C$17-'Invoer gegevens (N)'!$C$16))/(1+'Invoer gegevens (N)'!$C$39)^('Invoer gegevens (N)'!$C$17-'Invoer gegevens (N)'!$C$16)</f>
        <v>0</v>
      </c>
      <c r="AZ161" s="68">
        <f ca="1">IF(E161-'Invoer gegevens (N)'!$C$17-14.5&lt;0,0,E161-'Invoer gegevens (N)'!$C$17-14.5)</f>
        <v>141.5</v>
      </c>
    </row>
    <row r="162" spans="2:52" x14ac:dyDescent="0.25">
      <c r="B162" s="70">
        <f t="shared" si="28"/>
        <v>158</v>
      </c>
      <c r="C162" s="67">
        <f ca="1">IF(E162-'Invoer gegevens (N)'!$C$17&lt;0,0,1)</f>
        <v>1</v>
      </c>
      <c r="D162" s="68">
        <f t="shared" si="29"/>
        <v>157.5</v>
      </c>
      <c r="E162" s="69">
        <f ca="1">IF('Invoer gegevens (N)'!$C$16="","",E161+1)</f>
        <v>2176</v>
      </c>
      <c r="F162" s="82">
        <f ca="1">IF('Invoer gegevens (N)'!$C$17=E162,'Invoer gegevens (N)'!$C$10,IF(C162=1,H161,0))</f>
        <v>0</v>
      </c>
      <c r="G162" s="83">
        <f ca="1">IF(C162&gt;=1,F162*'Reeksen (N)'!C162,0)</f>
        <v>0</v>
      </c>
      <c r="H162" s="84">
        <f t="shared" ca="1" si="23"/>
        <v>0</v>
      </c>
      <c r="I162" s="85">
        <f ca="1">IF('Invoer gegevens (N)'!$C$17=E162,'Invoer gegevens (N)'!$C$11,IF(C162=1,L161,0))</f>
        <v>0</v>
      </c>
      <c r="J162" s="86">
        <f ca="1">IF(C162&lt;1,0,IF('Reeksen (N)'!AK162&lt;='Reeksen (N)'!AE162,I162*'Reeksen (N)'!C162,0))</f>
        <v>0</v>
      </c>
      <c r="K162" s="86">
        <f ca="1">IF(C162&lt;1,0,IF('Reeksen (N)'!AK162&gt;'Reeksen (N)'!AE162,I162*'Reeksen (N)'!C162,0))</f>
        <v>0</v>
      </c>
      <c r="L162" s="86">
        <f t="shared" ca="1" si="24"/>
        <v>0</v>
      </c>
      <c r="M162" s="85">
        <f ca="1">IF('Invoer gegevens (N)'!$C$17=E162,'Invoer gegevens (N)'!$C$10-'Invoer gegevens (N)'!$C$11,IF(C162=1,P161,0))</f>
        <v>0</v>
      </c>
      <c r="N162" s="86">
        <f ca="1">IF(C162&lt;1,0,IF('Reeksen (N)'!AK162&lt;='Reeksen (N)'!AE162,M162*'Reeksen (N)'!C162,0))</f>
        <v>0</v>
      </c>
      <c r="O162" s="86">
        <f ca="1">IF(C162&lt;1,0,IF('Reeksen (N)'!AK162&gt;'Reeksen (N)'!AE162,M162*'Reeksen (N)'!C162,0))</f>
        <v>0</v>
      </c>
      <c r="P162" s="86">
        <f t="shared" ca="1" si="25"/>
        <v>0</v>
      </c>
      <c r="Q162" s="82">
        <f ca="1">IF('Invoer gegevens (N)'!$C$17=E162,I162,IF(C162=0,0,R161))</f>
        <v>0</v>
      </c>
      <c r="R162" s="84">
        <f t="shared" ca="1" si="20"/>
        <v>0</v>
      </c>
      <c r="S162" s="84">
        <f ca="1">IF('Invoer gegevens (N)'!$C$17=E162,M162,IF(C162=0,0,T161))</f>
        <v>0</v>
      </c>
      <c r="T162" s="84">
        <f t="shared" ca="1" si="21"/>
        <v>0</v>
      </c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8"/>
      <c r="AI162" s="71">
        <f ca="1">IF(C162=1,((F162+H162)/2*'Reeksen (N)'!AJ162*12)+(('Invoer gegevens (N)'!$C$10-(F162+H162)/2)*'Reeksen (N)'!AK162*12),0)</f>
        <v>0</v>
      </c>
      <c r="AJ162" s="71">
        <f ca="1">-AI162*'Invoer gegevens (N)'!$F$28</f>
        <v>0</v>
      </c>
      <c r="AK162" s="71">
        <f t="shared" ca="1" si="22"/>
        <v>0</v>
      </c>
      <c r="AL162" s="71">
        <f ca="1">IF(C162=1,(12*((F162+H162)/2)*'Reeksen (N)'!AL162)+(12*('Invoer gegevens (N)'!$C$10-(F162+H162)/2)*'Reeksen (N)'!AM162),0)</f>
        <v>0</v>
      </c>
      <c r="AM162" s="71">
        <f ca="1">-AL162*'Invoer gegevens (N)'!$F$31</f>
        <v>0</v>
      </c>
      <c r="AN162" s="71">
        <f t="shared" ca="1" si="26"/>
        <v>0</v>
      </c>
      <c r="AO162" s="71"/>
      <c r="AP162" s="71"/>
      <c r="AQ162" s="71">
        <f ca="1">-IF(C162=1,('Invoer gegevens (N)'!$C$10*'Invoer gegevens (N)'!$I$33)*'Reeksen (N)'!J162,0)*2</f>
        <v>0</v>
      </c>
      <c r="AR162" s="71">
        <f ca="1">-IF(C162=1,(G162*'Invoer gegevens (N)'!$I$34)*'Reeksen (N)'!J162,0)</f>
        <v>0</v>
      </c>
      <c r="AS162" s="71">
        <f ca="1">-IF(C162=1,'Invoer gegevens (N)'!$C$10*'Invoer gegevens (N)'!$I$35*'Reeksen (N)'!L162,0)</f>
        <v>0</v>
      </c>
      <c r="AT162" s="71">
        <f ca="1">-IF(C162=1,IF(E162='Invoer gegevens (N)'!$C$17,'Invoer gegevens (N)'!$C$11,Q162)*'Reeksen (N)'!S162*'Invoer gegevens (N)'!$C$18*'Reeksen (N)'!P162,0)</f>
        <v>0</v>
      </c>
      <c r="AU162" s="71">
        <f ca="1">-IF(C162=1,'Invoer gegevens (N)'!$C$10*'Invoer gegevens (N)'!$I$36*'Reeksen (N)'!H162,0)</f>
        <v>0</v>
      </c>
      <c r="AV162" s="71">
        <v>0</v>
      </c>
      <c r="AW162" s="71">
        <f t="shared" ca="1" si="27"/>
        <v>0</v>
      </c>
      <c r="AX162" s="71">
        <f ca="1">IF(E162&lt;'Invoer gegevens (N)'!$C$17+15,0,IF(E162&gt;'Invoer gegevens (N)'!$C$17+215,0,AW162))</f>
        <v>0</v>
      </c>
      <c r="AY162" s="71">
        <f ca="1">AX162/(1+'Invoer gegevens (N)'!$F$13)^($AZ162-('Invoer gegevens (N)'!$C$17-'Invoer gegevens (N)'!$C$16))/(1+'Invoer gegevens (N)'!$C$39)^('Invoer gegevens (N)'!$C$17-'Invoer gegevens (N)'!$C$16)</f>
        <v>0</v>
      </c>
      <c r="AZ162" s="68">
        <f ca="1">IF(E162-'Invoer gegevens (N)'!$C$17-14.5&lt;0,0,E162-'Invoer gegevens (N)'!$C$17-14.5)</f>
        <v>142.5</v>
      </c>
    </row>
    <row r="163" spans="2:52" x14ac:dyDescent="0.25">
      <c r="B163" s="70">
        <f t="shared" si="28"/>
        <v>159</v>
      </c>
      <c r="C163" s="67">
        <f ca="1">IF(E163-'Invoer gegevens (N)'!$C$17&lt;0,0,1)</f>
        <v>1</v>
      </c>
      <c r="D163" s="68">
        <f t="shared" si="29"/>
        <v>158.5</v>
      </c>
      <c r="E163" s="69">
        <f ca="1">IF('Invoer gegevens (N)'!$C$16="","",E162+1)</f>
        <v>2177</v>
      </c>
      <c r="F163" s="82">
        <f ca="1">IF('Invoer gegevens (N)'!$C$17=E163,'Invoer gegevens (N)'!$C$10,IF(C163=1,H162,0))</f>
        <v>0</v>
      </c>
      <c r="G163" s="83">
        <f ca="1">IF(C163&gt;=1,F163*'Reeksen (N)'!C163,0)</f>
        <v>0</v>
      </c>
      <c r="H163" s="84">
        <f t="shared" ca="1" si="23"/>
        <v>0</v>
      </c>
      <c r="I163" s="85">
        <f ca="1">IF('Invoer gegevens (N)'!$C$17=E163,'Invoer gegevens (N)'!$C$11,IF(C163=1,L162,0))</f>
        <v>0</v>
      </c>
      <c r="J163" s="86">
        <f ca="1">IF(C163&lt;1,0,IF('Reeksen (N)'!AK163&lt;='Reeksen (N)'!AE163,I163*'Reeksen (N)'!C163,0))</f>
        <v>0</v>
      </c>
      <c r="K163" s="86">
        <f ca="1">IF(C163&lt;1,0,IF('Reeksen (N)'!AK163&gt;'Reeksen (N)'!AE163,I163*'Reeksen (N)'!C163,0))</f>
        <v>0</v>
      </c>
      <c r="L163" s="86">
        <f t="shared" ca="1" si="24"/>
        <v>0</v>
      </c>
      <c r="M163" s="85">
        <f ca="1">IF('Invoer gegevens (N)'!$C$17=E163,'Invoer gegevens (N)'!$C$10-'Invoer gegevens (N)'!$C$11,IF(C163=1,P162,0))</f>
        <v>0</v>
      </c>
      <c r="N163" s="86">
        <f ca="1">IF(C163&lt;1,0,IF('Reeksen (N)'!AK163&lt;='Reeksen (N)'!AE163,M163*'Reeksen (N)'!C163,0))</f>
        <v>0</v>
      </c>
      <c r="O163" s="86">
        <f ca="1">IF(C163&lt;1,0,IF('Reeksen (N)'!AK163&gt;'Reeksen (N)'!AE163,M163*'Reeksen (N)'!C163,0))</f>
        <v>0</v>
      </c>
      <c r="P163" s="86">
        <f t="shared" ca="1" si="25"/>
        <v>0</v>
      </c>
      <c r="Q163" s="82">
        <f ca="1">IF('Invoer gegevens (N)'!$C$17=E163,I163,IF(C163=0,0,R162))</f>
        <v>0</v>
      </c>
      <c r="R163" s="84">
        <f t="shared" ca="1" si="20"/>
        <v>0</v>
      </c>
      <c r="S163" s="84">
        <f ca="1">IF('Invoer gegevens (N)'!$C$17=E163,M163,IF(C163=0,0,T162))</f>
        <v>0</v>
      </c>
      <c r="T163" s="84">
        <f t="shared" ca="1" si="21"/>
        <v>0</v>
      </c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8"/>
      <c r="AI163" s="71">
        <f ca="1">IF(C163=1,((F163+H163)/2*'Reeksen (N)'!AJ163*12)+(('Invoer gegevens (N)'!$C$10-(F163+H163)/2)*'Reeksen (N)'!AK163*12),0)</f>
        <v>0</v>
      </c>
      <c r="AJ163" s="71">
        <f ca="1">-AI163*'Invoer gegevens (N)'!$F$28</f>
        <v>0</v>
      </c>
      <c r="AK163" s="71">
        <f t="shared" ca="1" si="22"/>
        <v>0</v>
      </c>
      <c r="AL163" s="71">
        <f ca="1">IF(C163=1,(12*((F163+H163)/2)*'Reeksen (N)'!AL163)+(12*('Invoer gegevens (N)'!$C$10-(F163+H163)/2)*'Reeksen (N)'!AM163),0)</f>
        <v>0</v>
      </c>
      <c r="AM163" s="71">
        <f ca="1">-AL163*'Invoer gegevens (N)'!$F$31</f>
        <v>0</v>
      </c>
      <c r="AN163" s="71">
        <f t="shared" ca="1" si="26"/>
        <v>0</v>
      </c>
      <c r="AO163" s="71"/>
      <c r="AP163" s="71"/>
      <c r="AQ163" s="71">
        <f ca="1">-IF(C163=1,('Invoer gegevens (N)'!$C$10*'Invoer gegevens (N)'!$I$33)*'Reeksen (N)'!J163,0)*2</f>
        <v>0</v>
      </c>
      <c r="AR163" s="71">
        <f ca="1">-IF(C163=1,(G163*'Invoer gegevens (N)'!$I$34)*'Reeksen (N)'!J163,0)</f>
        <v>0</v>
      </c>
      <c r="AS163" s="71">
        <f ca="1">-IF(C163=1,'Invoer gegevens (N)'!$C$10*'Invoer gegevens (N)'!$I$35*'Reeksen (N)'!L163,0)</f>
        <v>0</v>
      </c>
      <c r="AT163" s="71">
        <f ca="1">-IF(C163=1,IF(E163='Invoer gegevens (N)'!$C$17,'Invoer gegevens (N)'!$C$11,Q163)*'Reeksen (N)'!S163*'Invoer gegevens (N)'!$C$18*'Reeksen (N)'!P163,0)</f>
        <v>0</v>
      </c>
      <c r="AU163" s="71">
        <f ca="1">-IF(C163=1,'Invoer gegevens (N)'!$C$10*'Invoer gegevens (N)'!$I$36*'Reeksen (N)'!H163,0)</f>
        <v>0</v>
      </c>
      <c r="AV163" s="71">
        <v>0</v>
      </c>
      <c r="AW163" s="71">
        <f t="shared" ca="1" si="27"/>
        <v>0</v>
      </c>
      <c r="AX163" s="71">
        <f ca="1">IF(E163&lt;'Invoer gegevens (N)'!$C$17+15,0,IF(E163&gt;'Invoer gegevens (N)'!$C$17+215,0,AW163))</f>
        <v>0</v>
      </c>
      <c r="AY163" s="71">
        <f ca="1">AX163/(1+'Invoer gegevens (N)'!$F$13)^($AZ163-('Invoer gegevens (N)'!$C$17-'Invoer gegevens (N)'!$C$16))/(1+'Invoer gegevens (N)'!$C$39)^('Invoer gegevens (N)'!$C$17-'Invoer gegevens (N)'!$C$16)</f>
        <v>0</v>
      </c>
      <c r="AZ163" s="68">
        <f ca="1">IF(E163-'Invoer gegevens (N)'!$C$17-14.5&lt;0,0,E163-'Invoer gegevens (N)'!$C$17-14.5)</f>
        <v>143.5</v>
      </c>
    </row>
    <row r="164" spans="2:52" x14ac:dyDescent="0.25">
      <c r="B164" s="70">
        <f t="shared" si="28"/>
        <v>160</v>
      </c>
      <c r="C164" s="67">
        <f ca="1">IF(E164-'Invoer gegevens (N)'!$C$17&lt;0,0,1)</f>
        <v>1</v>
      </c>
      <c r="D164" s="68">
        <f t="shared" si="29"/>
        <v>159.5</v>
      </c>
      <c r="E164" s="69">
        <f ca="1">IF('Invoer gegevens (N)'!$C$16="","",E163+1)</f>
        <v>2178</v>
      </c>
      <c r="F164" s="82">
        <f ca="1">IF('Invoer gegevens (N)'!$C$17=E164,'Invoer gegevens (N)'!$C$10,IF(C164=1,H163,0))</f>
        <v>0</v>
      </c>
      <c r="G164" s="83">
        <f ca="1">IF(C164&gt;=1,F164*'Reeksen (N)'!C164,0)</f>
        <v>0</v>
      </c>
      <c r="H164" s="84">
        <f t="shared" ca="1" si="23"/>
        <v>0</v>
      </c>
      <c r="I164" s="85">
        <f ca="1">IF('Invoer gegevens (N)'!$C$17=E164,'Invoer gegevens (N)'!$C$11,IF(C164=1,L163,0))</f>
        <v>0</v>
      </c>
      <c r="J164" s="86">
        <f ca="1">IF(C164&lt;1,0,IF('Reeksen (N)'!AK164&lt;='Reeksen (N)'!AE164,I164*'Reeksen (N)'!C164,0))</f>
        <v>0</v>
      </c>
      <c r="K164" s="86">
        <f ca="1">IF(C164&lt;1,0,IF('Reeksen (N)'!AK164&gt;'Reeksen (N)'!AE164,I164*'Reeksen (N)'!C164,0))</f>
        <v>0</v>
      </c>
      <c r="L164" s="86">
        <f t="shared" ca="1" si="24"/>
        <v>0</v>
      </c>
      <c r="M164" s="85">
        <f ca="1">IF('Invoer gegevens (N)'!$C$17=E164,'Invoer gegevens (N)'!$C$10-'Invoer gegevens (N)'!$C$11,IF(C164=1,P163,0))</f>
        <v>0</v>
      </c>
      <c r="N164" s="86">
        <f ca="1">IF(C164&lt;1,0,IF('Reeksen (N)'!AK164&lt;='Reeksen (N)'!AE164,M164*'Reeksen (N)'!C164,0))</f>
        <v>0</v>
      </c>
      <c r="O164" s="86">
        <f ca="1">IF(C164&lt;1,0,IF('Reeksen (N)'!AK164&gt;'Reeksen (N)'!AE164,M164*'Reeksen (N)'!C164,0))</f>
        <v>0</v>
      </c>
      <c r="P164" s="86">
        <f t="shared" ca="1" si="25"/>
        <v>0</v>
      </c>
      <c r="Q164" s="82">
        <f ca="1">IF('Invoer gegevens (N)'!$C$17=E164,I164,IF(C164=0,0,R163))</f>
        <v>0</v>
      </c>
      <c r="R164" s="84">
        <f t="shared" ca="1" si="20"/>
        <v>0</v>
      </c>
      <c r="S164" s="84">
        <f ca="1">IF('Invoer gegevens (N)'!$C$17=E164,M164,IF(C164=0,0,T163))</f>
        <v>0</v>
      </c>
      <c r="T164" s="84">
        <f t="shared" ca="1" si="21"/>
        <v>0</v>
      </c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8"/>
      <c r="AI164" s="71">
        <f ca="1">IF(C164=1,((F164+H164)/2*'Reeksen (N)'!AJ164*12)+(('Invoer gegevens (N)'!$C$10-(F164+H164)/2)*'Reeksen (N)'!AK164*12),0)</f>
        <v>0</v>
      </c>
      <c r="AJ164" s="71">
        <f ca="1">-AI164*'Invoer gegevens (N)'!$F$28</f>
        <v>0</v>
      </c>
      <c r="AK164" s="71">
        <f t="shared" ca="1" si="22"/>
        <v>0</v>
      </c>
      <c r="AL164" s="71">
        <f ca="1">IF(C164=1,(12*((F164+H164)/2)*'Reeksen (N)'!AL164)+(12*('Invoer gegevens (N)'!$C$10-(F164+H164)/2)*'Reeksen (N)'!AM164),0)</f>
        <v>0</v>
      </c>
      <c r="AM164" s="71">
        <f ca="1">-AL164*'Invoer gegevens (N)'!$F$31</f>
        <v>0</v>
      </c>
      <c r="AN164" s="71">
        <f t="shared" ca="1" si="26"/>
        <v>0</v>
      </c>
      <c r="AO164" s="71"/>
      <c r="AP164" s="71"/>
      <c r="AQ164" s="71">
        <f ca="1">-IF(C164=1,('Invoer gegevens (N)'!$C$10*'Invoer gegevens (N)'!$I$33)*'Reeksen (N)'!J164,0)*2</f>
        <v>0</v>
      </c>
      <c r="AR164" s="71">
        <f ca="1">-IF(C164=1,(G164*'Invoer gegevens (N)'!$I$34)*'Reeksen (N)'!J164,0)</f>
        <v>0</v>
      </c>
      <c r="AS164" s="71">
        <f ca="1">-IF(C164=1,'Invoer gegevens (N)'!$C$10*'Invoer gegevens (N)'!$I$35*'Reeksen (N)'!L164,0)</f>
        <v>0</v>
      </c>
      <c r="AT164" s="71">
        <f ca="1">-IF(C164=1,IF(E164='Invoer gegevens (N)'!$C$17,'Invoer gegevens (N)'!$C$11,Q164)*'Reeksen (N)'!S164*'Invoer gegevens (N)'!$C$18*'Reeksen (N)'!P164,0)</f>
        <v>0</v>
      </c>
      <c r="AU164" s="71">
        <f ca="1">-IF(C164=1,'Invoer gegevens (N)'!$C$10*'Invoer gegevens (N)'!$I$36*'Reeksen (N)'!H164,0)</f>
        <v>0</v>
      </c>
      <c r="AV164" s="71">
        <v>0</v>
      </c>
      <c r="AW164" s="71">
        <f t="shared" ca="1" si="27"/>
        <v>0</v>
      </c>
      <c r="AX164" s="71">
        <f ca="1">IF(E164&lt;'Invoer gegevens (N)'!$C$17+15,0,IF(E164&gt;'Invoer gegevens (N)'!$C$17+215,0,AW164))</f>
        <v>0</v>
      </c>
      <c r="AY164" s="71">
        <f ca="1">AX164/(1+'Invoer gegevens (N)'!$F$13)^($AZ164-('Invoer gegevens (N)'!$C$17-'Invoer gegevens (N)'!$C$16))/(1+'Invoer gegevens (N)'!$C$39)^('Invoer gegevens (N)'!$C$17-'Invoer gegevens (N)'!$C$16)</f>
        <v>0</v>
      </c>
      <c r="AZ164" s="68">
        <f ca="1">IF(E164-'Invoer gegevens (N)'!$C$17-14.5&lt;0,0,E164-'Invoer gegevens (N)'!$C$17-14.5)</f>
        <v>144.5</v>
      </c>
    </row>
    <row r="165" spans="2:52" x14ac:dyDescent="0.25">
      <c r="B165" s="70">
        <f t="shared" si="28"/>
        <v>161</v>
      </c>
      <c r="C165" s="67">
        <f ca="1">IF(E165-'Invoer gegevens (N)'!$C$17&lt;0,0,1)</f>
        <v>1</v>
      </c>
      <c r="D165" s="68">
        <f t="shared" si="29"/>
        <v>160.5</v>
      </c>
      <c r="E165" s="69">
        <f ca="1">IF('Invoer gegevens (N)'!$C$16="","",E164+1)</f>
        <v>2179</v>
      </c>
      <c r="F165" s="82">
        <f ca="1">IF('Invoer gegevens (N)'!$C$17=E165,'Invoer gegevens (N)'!$C$10,IF(C165=1,H164,0))</f>
        <v>0</v>
      </c>
      <c r="G165" s="83">
        <f ca="1">IF(C165&gt;=1,F165*'Reeksen (N)'!C165,0)</f>
        <v>0</v>
      </c>
      <c r="H165" s="84">
        <f t="shared" ca="1" si="23"/>
        <v>0</v>
      </c>
      <c r="I165" s="85">
        <f ca="1">IF('Invoer gegevens (N)'!$C$17=E165,'Invoer gegevens (N)'!$C$11,IF(C165=1,L164,0))</f>
        <v>0</v>
      </c>
      <c r="J165" s="86">
        <f ca="1">IF(C165&lt;1,0,IF('Reeksen (N)'!AK165&lt;='Reeksen (N)'!AE165,I165*'Reeksen (N)'!C165,0))</f>
        <v>0</v>
      </c>
      <c r="K165" s="86">
        <f ca="1">IF(C165&lt;1,0,IF('Reeksen (N)'!AK165&gt;'Reeksen (N)'!AE165,I165*'Reeksen (N)'!C165,0))</f>
        <v>0</v>
      </c>
      <c r="L165" s="86">
        <f t="shared" ca="1" si="24"/>
        <v>0</v>
      </c>
      <c r="M165" s="85">
        <f ca="1">IF('Invoer gegevens (N)'!$C$17=E165,'Invoer gegevens (N)'!$C$10-'Invoer gegevens (N)'!$C$11,IF(C165=1,P164,0))</f>
        <v>0</v>
      </c>
      <c r="N165" s="86">
        <f ca="1">IF(C165&lt;1,0,IF('Reeksen (N)'!AK165&lt;='Reeksen (N)'!AE165,M165*'Reeksen (N)'!C165,0))</f>
        <v>0</v>
      </c>
      <c r="O165" s="86">
        <f ca="1">IF(C165&lt;1,0,IF('Reeksen (N)'!AK165&gt;'Reeksen (N)'!AE165,M165*'Reeksen (N)'!C165,0))</f>
        <v>0</v>
      </c>
      <c r="P165" s="86">
        <f t="shared" ca="1" si="25"/>
        <v>0</v>
      </c>
      <c r="Q165" s="82">
        <f ca="1">IF('Invoer gegevens (N)'!$C$17=E165,I165,IF(C165=0,0,R164))</f>
        <v>0</v>
      </c>
      <c r="R165" s="84">
        <f t="shared" ca="1" si="20"/>
        <v>0</v>
      </c>
      <c r="S165" s="84">
        <f ca="1">IF('Invoer gegevens (N)'!$C$17=E165,M165,IF(C165=0,0,T164))</f>
        <v>0</v>
      </c>
      <c r="T165" s="84">
        <f t="shared" ca="1" si="21"/>
        <v>0</v>
      </c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8"/>
      <c r="AI165" s="71">
        <f ca="1">IF(C165=1,((F165+H165)/2*'Reeksen (N)'!AJ165*12)+(('Invoer gegevens (N)'!$C$10-(F165+H165)/2)*'Reeksen (N)'!AK165*12),0)</f>
        <v>0</v>
      </c>
      <c r="AJ165" s="71">
        <f ca="1">-AI165*'Invoer gegevens (N)'!$F$28</f>
        <v>0</v>
      </c>
      <c r="AK165" s="71">
        <f t="shared" ca="1" si="22"/>
        <v>0</v>
      </c>
      <c r="AL165" s="71">
        <f ca="1">IF(C165=1,(12*((F165+H165)/2)*'Reeksen (N)'!AL165)+(12*('Invoer gegevens (N)'!$C$10-(F165+H165)/2)*'Reeksen (N)'!AM165),0)</f>
        <v>0</v>
      </c>
      <c r="AM165" s="71">
        <f ca="1">-AL165*'Invoer gegevens (N)'!$F$31</f>
        <v>0</v>
      </c>
      <c r="AN165" s="71">
        <f t="shared" ca="1" si="26"/>
        <v>0</v>
      </c>
      <c r="AO165" s="71"/>
      <c r="AP165" s="71"/>
      <c r="AQ165" s="71">
        <f ca="1">-IF(C165=1,('Invoer gegevens (N)'!$C$10*'Invoer gegevens (N)'!$I$33)*'Reeksen (N)'!J165,0)*2</f>
        <v>0</v>
      </c>
      <c r="AR165" s="71">
        <f ca="1">-IF(C165=1,(G165*'Invoer gegevens (N)'!$I$34)*'Reeksen (N)'!J165,0)</f>
        <v>0</v>
      </c>
      <c r="AS165" s="71">
        <f ca="1">-IF(C165=1,'Invoer gegevens (N)'!$C$10*'Invoer gegevens (N)'!$I$35*'Reeksen (N)'!L165,0)</f>
        <v>0</v>
      </c>
      <c r="AT165" s="71">
        <f ca="1">-IF(C165=1,IF(E165='Invoer gegevens (N)'!$C$17,'Invoer gegevens (N)'!$C$11,Q165)*'Reeksen (N)'!S165*'Invoer gegevens (N)'!$C$18*'Reeksen (N)'!P165,0)</f>
        <v>0</v>
      </c>
      <c r="AU165" s="71">
        <f ca="1">-IF(C165=1,'Invoer gegevens (N)'!$C$10*'Invoer gegevens (N)'!$I$36*'Reeksen (N)'!H165,0)</f>
        <v>0</v>
      </c>
      <c r="AV165" s="71">
        <v>0</v>
      </c>
      <c r="AW165" s="71">
        <f t="shared" ca="1" si="27"/>
        <v>0</v>
      </c>
      <c r="AX165" s="71">
        <f ca="1">IF(E165&lt;'Invoer gegevens (N)'!$C$17+15,0,IF(E165&gt;'Invoer gegevens (N)'!$C$17+215,0,AW165))</f>
        <v>0</v>
      </c>
      <c r="AY165" s="71">
        <f ca="1">AX165/(1+'Invoer gegevens (N)'!$F$13)^($AZ165-('Invoer gegevens (N)'!$C$17-'Invoer gegevens (N)'!$C$16))/(1+'Invoer gegevens (N)'!$C$39)^('Invoer gegevens (N)'!$C$17-'Invoer gegevens (N)'!$C$16)</f>
        <v>0</v>
      </c>
      <c r="AZ165" s="68">
        <f ca="1">IF(E165-'Invoer gegevens (N)'!$C$17-14.5&lt;0,0,E165-'Invoer gegevens (N)'!$C$17-14.5)</f>
        <v>145.5</v>
      </c>
    </row>
    <row r="166" spans="2:52" x14ac:dyDescent="0.25">
      <c r="B166" s="70">
        <f t="shared" si="28"/>
        <v>162</v>
      </c>
      <c r="C166" s="67">
        <f ca="1">IF(E166-'Invoer gegevens (N)'!$C$17&lt;0,0,1)</f>
        <v>1</v>
      </c>
      <c r="D166" s="68">
        <f t="shared" si="29"/>
        <v>161.5</v>
      </c>
      <c r="E166" s="69">
        <f ca="1">IF('Invoer gegevens (N)'!$C$16="","",E165+1)</f>
        <v>2180</v>
      </c>
      <c r="F166" s="82">
        <f ca="1">IF('Invoer gegevens (N)'!$C$17=E166,'Invoer gegevens (N)'!$C$10,IF(C166=1,H165,0))</f>
        <v>0</v>
      </c>
      <c r="G166" s="83">
        <f ca="1">IF(C166&gt;=1,F166*'Reeksen (N)'!C166,0)</f>
        <v>0</v>
      </c>
      <c r="H166" s="84">
        <f t="shared" ca="1" si="23"/>
        <v>0</v>
      </c>
      <c r="I166" s="85">
        <f ca="1">IF('Invoer gegevens (N)'!$C$17=E166,'Invoer gegevens (N)'!$C$11,IF(C166=1,L165,0))</f>
        <v>0</v>
      </c>
      <c r="J166" s="86">
        <f ca="1">IF(C166&lt;1,0,IF('Reeksen (N)'!AK166&lt;='Reeksen (N)'!AE166,I166*'Reeksen (N)'!C166,0))</f>
        <v>0</v>
      </c>
      <c r="K166" s="86">
        <f ca="1">IF(C166&lt;1,0,IF('Reeksen (N)'!AK166&gt;'Reeksen (N)'!AE166,I166*'Reeksen (N)'!C166,0))</f>
        <v>0</v>
      </c>
      <c r="L166" s="86">
        <f t="shared" ca="1" si="24"/>
        <v>0</v>
      </c>
      <c r="M166" s="85">
        <f ca="1">IF('Invoer gegevens (N)'!$C$17=E166,'Invoer gegevens (N)'!$C$10-'Invoer gegevens (N)'!$C$11,IF(C166=1,P165,0))</f>
        <v>0</v>
      </c>
      <c r="N166" s="86">
        <f ca="1">IF(C166&lt;1,0,IF('Reeksen (N)'!AK166&lt;='Reeksen (N)'!AE166,M166*'Reeksen (N)'!C166,0))</f>
        <v>0</v>
      </c>
      <c r="O166" s="86">
        <f ca="1">IF(C166&lt;1,0,IF('Reeksen (N)'!AK166&gt;'Reeksen (N)'!AE166,M166*'Reeksen (N)'!C166,0))</f>
        <v>0</v>
      </c>
      <c r="P166" s="86">
        <f t="shared" ca="1" si="25"/>
        <v>0</v>
      </c>
      <c r="Q166" s="82">
        <f ca="1">IF('Invoer gegevens (N)'!$C$17=E166,I166,IF(C166=0,0,R165))</f>
        <v>0</v>
      </c>
      <c r="R166" s="84">
        <f t="shared" ca="1" si="20"/>
        <v>0</v>
      </c>
      <c r="S166" s="84">
        <f ca="1">IF('Invoer gegevens (N)'!$C$17=E166,M166,IF(C166=0,0,T165))</f>
        <v>0</v>
      </c>
      <c r="T166" s="84">
        <f t="shared" ca="1" si="21"/>
        <v>0</v>
      </c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8"/>
      <c r="AI166" s="71">
        <f ca="1">IF(C166=1,((F166+H166)/2*'Reeksen (N)'!AJ166*12)+(('Invoer gegevens (N)'!$C$10-(F166+H166)/2)*'Reeksen (N)'!AK166*12),0)</f>
        <v>0</v>
      </c>
      <c r="AJ166" s="71">
        <f ca="1">-AI166*'Invoer gegevens (N)'!$F$28</f>
        <v>0</v>
      </c>
      <c r="AK166" s="71">
        <f t="shared" ca="1" si="22"/>
        <v>0</v>
      </c>
      <c r="AL166" s="71">
        <f ca="1">IF(C166=1,(12*((F166+H166)/2)*'Reeksen (N)'!AL166)+(12*('Invoer gegevens (N)'!$C$10-(F166+H166)/2)*'Reeksen (N)'!AM166),0)</f>
        <v>0</v>
      </c>
      <c r="AM166" s="71">
        <f ca="1">-AL166*'Invoer gegevens (N)'!$F$31</f>
        <v>0</v>
      </c>
      <c r="AN166" s="71">
        <f t="shared" ca="1" si="26"/>
        <v>0</v>
      </c>
      <c r="AO166" s="71"/>
      <c r="AP166" s="71"/>
      <c r="AQ166" s="71">
        <f ca="1">-IF(C166=1,('Invoer gegevens (N)'!$C$10*'Invoer gegevens (N)'!$I$33)*'Reeksen (N)'!J166,0)*2</f>
        <v>0</v>
      </c>
      <c r="AR166" s="71">
        <f ca="1">-IF(C166=1,(G166*'Invoer gegevens (N)'!$I$34)*'Reeksen (N)'!J166,0)</f>
        <v>0</v>
      </c>
      <c r="AS166" s="71">
        <f ca="1">-IF(C166=1,'Invoer gegevens (N)'!$C$10*'Invoer gegevens (N)'!$I$35*'Reeksen (N)'!L166,0)</f>
        <v>0</v>
      </c>
      <c r="AT166" s="71">
        <f ca="1">-IF(C166=1,IF(E166='Invoer gegevens (N)'!$C$17,'Invoer gegevens (N)'!$C$11,Q166)*'Reeksen (N)'!S166*'Invoer gegevens (N)'!$C$18*'Reeksen (N)'!P166,0)</f>
        <v>0</v>
      </c>
      <c r="AU166" s="71">
        <f ca="1">-IF(C166=1,'Invoer gegevens (N)'!$C$10*'Invoer gegevens (N)'!$I$36*'Reeksen (N)'!H166,0)</f>
        <v>0</v>
      </c>
      <c r="AV166" s="71">
        <v>0</v>
      </c>
      <c r="AW166" s="71">
        <f t="shared" ca="1" si="27"/>
        <v>0</v>
      </c>
      <c r="AX166" s="71">
        <f ca="1">IF(E166&lt;'Invoer gegevens (N)'!$C$17+15,0,IF(E166&gt;'Invoer gegevens (N)'!$C$17+215,0,AW166))</f>
        <v>0</v>
      </c>
      <c r="AY166" s="71">
        <f ca="1">AX166/(1+'Invoer gegevens (N)'!$F$13)^($AZ166-('Invoer gegevens (N)'!$C$17-'Invoer gegevens (N)'!$C$16))/(1+'Invoer gegevens (N)'!$C$39)^('Invoer gegevens (N)'!$C$17-'Invoer gegevens (N)'!$C$16)</f>
        <v>0</v>
      </c>
      <c r="AZ166" s="68">
        <f ca="1">IF(E166-'Invoer gegevens (N)'!$C$17-14.5&lt;0,0,E166-'Invoer gegevens (N)'!$C$17-14.5)</f>
        <v>146.5</v>
      </c>
    </row>
    <row r="167" spans="2:52" x14ac:dyDescent="0.25">
      <c r="B167" s="70">
        <f t="shared" si="28"/>
        <v>163</v>
      </c>
      <c r="C167" s="67">
        <f ca="1">IF(E167-'Invoer gegevens (N)'!$C$17&lt;0,0,1)</f>
        <v>1</v>
      </c>
      <c r="D167" s="68">
        <f t="shared" si="29"/>
        <v>162.5</v>
      </c>
      <c r="E167" s="69">
        <f ca="1">IF('Invoer gegevens (N)'!$C$16="","",E166+1)</f>
        <v>2181</v>
      </c>
      <c r="F167" s="82">
        <f ca="1">IF('Invoer gegevens (N)'!$C$17=E167,'Invoer gegevens (N)'!$C$10,IF(C167=1,H166,0))</f>
        <v>0</v>
      </c>
      <c r="G167" s="83">
        <f ca="1">IF(C167&gt;=1,F167*'Reeksen (N)'!C167,0)</f>
        <v>0</v>
      </c>
      <c r="H167" s="84">
        <f t="shared" ca="1" si="23"/>
        <v>0</v>
      </c>
      <c r="I167" s="85">
        <f ca="1">IF('Invoer gegevens (N)'!$C$17=E167,'Invoer gegevens (N)'!$C$11,IF(C167=1,L166,0))</f>
        <v>0</v>
      </c>
      <c r="J167" s="86">
        <f ca="1">IF(C167&lt;1,0,IF('Reeksen (N)'!AK167&lt;='Reeksen (N)'!AE167,I167*'Reeksen (N)'!C167,0))</f>
        <v>0</v>
      </c>
      <c r="K167" s="86">
        <f ca="1">IF(C167&lt;1,0,IF('Reeksen (N)'!AK167&gt;'Reeksen (N)'!AE167,I167*'Reeksen (N)'!C167,0))</f>
        <v>0</v>
      </c>
      <c r="L167" s="86">
        <f t="shared" ca="1" si="24"/>
        <v>0</v>
      </c>
      <c r="M167" s="85">
        <f ca="1">IF('Invoer gegevens (N)'!$C$17=E167,'Invoer gegevens (N)'!$C$10-'Invoer gegevens (N)'!$C$11,IF(C167=1,P166,0))</f>
        <v>0</v>
      </c>
      <c r="N167" s="86">
        <f ca="1">IF(C167&lt;1,0,IF('Reeksen (N)'!AK167&lt;='Reeksen (N)'!AE167,M167*'Reeksen (N)'!C167,0))</f>
        <v>0</v>
      </c>
      <c r="O167" s="86">
        <f ca="1">IF(C167&lt;1,0,IF('Reeksen (N)'!AK167&gt;'Reeksen (N)'!AE167,M167*'Reeksen (N)'!C167,0))</f>
        <v>0</v>
      </c>
      <c r="P167" s="86">
        <f t="shared" ca="1" si="25"/>
        <v>0</v>
      </c>
      <c r="Q167" s="82">
        <f ca="1">IF('Invoer gegevens (N)'!$C$17=E167,I167,IF(C167=0,0,R166))</f>
        <v>0</v>
      </c>
      <c r="R167" s="84">
        <f t="shared" ca="1" si="20"/>
        <v>0</v>
      </c>
      <c r="S167" s="84">
        <f ca="1">IF('Invoer gegevens (N)'!$C$17=E167,M167,IF(C167=0,0,T166))</f>
        <v>0</v>
      </c>
      <c r="T167" s="84">
        <f t="shared" ca="1" si="21"/>
        <v>0</v>
      </c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8"/>
      <c r="AI167" s="71">
        <f ca="1">IF(C167=1,((F167+H167)/2*'Reeksen (N)'!AJ167*12)+(('Invoer gegevens (N)'!$C$10-(F167+H167)/2)*'Reeksen (N)'!AK167*12),0)</f>
        <v>0</v>
      </c>
      <c r="AJ167" s="71">
        <f ca="1">-AI167*'Invoer gegevens (N)'!$F$28</f>
        <v>0</v>
      </c>
      <c r="AK167" s="71">
        <f t="shared" ca="1" si="22"/>
        <v>0</v>
      </c>
      <c r="AL167" s="71">
        <f ca="1">IF(C167=1,(12*((F167+H167)/2)*'Reeksen (N)'!AL167)+(12*('Invoer gegevens (N)'!$C$10-(F167+H167)/2)*'Reeksen (N)'!AM167),0)</f>
        <v>0</v>
      </c>
      <c r="AM167" s="71">
        <f ca="1">-AL167*'Invoer gegevens (N)'!$F$31</f>
        <v>0</v>
      </c>
      <c r="AN167" s="71">
        <f t="shared" ca="1" si="26"/>
        <v>0</v>
      </c>
      <c r="AO167" s="71"/>
      <c r="AP167" s="71"/>
      <c r="AQ167" s="71">
        <f ca="1">-IF(C167=1,('Invoer gegevens (N)'!$C$10*'Invoer gegevens (N)'!$I$33)*'Reeksen (N)'!J167,0)*2</f>
        <v>0</v>
      </c>
      <c r="AR167" s="71">
        <f ca="1">-IF(C167=1,(G167*'Invoer gegevens (N)'!$I$34)*'Reeksen (N)'!J167,0)</f>
        <v>0</v>
      </c>
      <c r="AS167" s="71">
        <f ca="1">-IF(C167=1,'Invoer gegevens (N)'!$C$10*'Invoer gegevens (N)'!$I$35*'Reeksen (N)'!L167,0)</f>
        <v>0</v>
      </c>
      <c r="AT167" s="71">
        <f ca="1">-IF(C167=1,IF(E167='Invoer gegevens (N)'!$C$17,'Invoer gegevens (N)'!$C$11,Q167)*'Reeksen (N)'!S167*'Invoer gegevens (N)'!$C$18*'Reeksen (N)'!P167,0)</f>
        <v>0</v>
      </c>
      <c r="AU167" s="71">
        <f ca="1">-IF(C167=1,'Invoer gegevens (N)'!$C$10*'Invoer gegevens (N)'!$I$36*'Reeksen (N)'!H167,0)</f>
        <v>0</v>
      </c>
      <c r="AV167" s="71">
        <v>0</v>
      </c>
      <c r="AW167" s="71">
        <f t="shared" ca="1" si="27"/>
        <v>0</v>
      </c>
      <c r="AX167" s="71">
        <f ca="1">IF(E167&lt;'Invoer gegevens (N)'!$C$17+15,0,IF(E167&gt;'Invoer gegevens (N)'!$C$17+215,0,AW167))</f>
        <v>0</v>
      </c>
      <c r="AY167" s="71">
        <f ca="1">AX167/(1+'Invoer gegevens (N)'!$F$13)^($AZ167-('Invoer gegevens (N)'!$C$17-'Invoer gegevens (N)'!$C$16))/(1+'Invoer gegevens (N)'!$C$39)^('Invoer gegevens (N)'!$C$17-'Invoer gegevens (N)'!$C$16)</f>
        <v>0</v>
      </c>
      <c r="AZ167" s="68">
        <f ca="1">IF(E167-'Invoer gegevens (N)'!$C$17-14.5&lt;0,0,E167-'Invoer gegevens (N)'!$C$17-14.5)</f>
        <v>147.5</v>
      </c>
    </row>
    <row r="168" spans="2:52" x14ac:dyDescent="0.25">
      <c r="B168" s="70">
        <f t="shared" si="28"/>
        <v>164</v>
      </c>
      <c r="C168" s="67">
        <f ca="1">IF(E168-'Invoer gegevens (N)'!$C$17&lt;0,0,1)</f>
        <v>1</v>
      </c>
      <c r="D168" s="68">
        <f t="shared" si="29"/>
        <v>163.5</v>
      </c>
      <c r="E168" s="69">
        <f ca="1">IF('Invoer gegevens (N)'!$C$16="","",E167+1)</f>
        <v>2182</v>
      </c>
      <c r="F168" s="82">
        <f ca="1">IF('Invoer gegevens (N)'!$C$17=E168,'Invoer gegevens (N)'!$C$10,IF(C168=1,H167,0))</f>
        <v>0</v>
      </c>
      <c r="G168" s="83">
        <f ca="1">IF(C168&gt;=1,F168*'Reeksen (N)'!C168,0)</f>
        <v>0</v>
      </c>
      <c r="H168" s="84">
        <f t="shared" ca="1" si="23"/>
        <v>0</v>
      </c>
      <c r="I168" s="85">
        <f ca="1">IF('Invoer gegevens (N)'!$C$17=E168,'Invoer gegevens (N)'!$C$11,IF(C168=1,L167,0))</f>
        <v>0</v>
      </c>
      <c r="J168" s="86">
        <f ca="1">IF(C168&lt;1,0,IF('Reeksen (N)'!AK168&lt;='Reeksen (N)'!AE168,I168*'Reeksen (N)'!C168,0))</f>
        <v>0</v>
      </c>
      <c r="K168" s="86">
        <f ca="1">IF(C168&lt;1,0,IF('Reeksen (N)'!AK168&gt;'Reeksen (N)'!AE168,I168*'Reeksen (N)'!C168,0))</f>
        <v>0</v>
      </c>
      <c r="L168" s="86">
        <f t="shared" ca="1" si="24"/>
        <v>0</v>
      </c>
      <c r="M168" s="85">
        <f ca="1">IF('Invoer gegevens (N)'!$C$17=E168,'Invoer gegevens (N)'!$C$10-'Invoer gegevens (N)'!$C$11,IF(C168=1,P167,0))</f>
        <v>0</v>
      </c>
      <c r="N168" s="86">
        <f ca="1">IF(C168&lt;1,0,IF('Reeksen (N)'!AK168&lt;='Reeksen (N)'!AE168,M168*'Reeksen (N)'!C168,0))</f>
        <v>0</v>
      </c>
      <c r="O168" s="86">
        <f ca="1">IF(C168&lt;1,0,IF('Reeksen (N)'!AK168&gt;'Reeksen (N)'!AE168,M168*'Reeksen (N)'!C168,0))</f>
        <v>0</v>
      </c>
      <c r="P168" s="86">
        <f t="shared" ca="1" si="25"/>
        <v>0</v>
      </c>
      <c r="Q168" s="82">
        <f ca="1">IF('Invoer gegevens (N)'!$C$17=E168,I168,IF(C168=0,0,R167))</f>
        <v>0</v>
      </c>
      <c r="R168" s="84">
        <f t="shared" ca="1" si="20"/>
        <v>0</v>
      </c>
      <c r="S168" s="84">
        <f ca="1">IF('Invoer gegevens (N)'!$C$17=E168,M168,IF(C168=0,0,T167))</f>
        <v>0</v>
      </c>
      <c r="T168" s="84">
        <f t="shared" ca="1" si="21"/>
        <v>0</v>
      </c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8"/>
      <c r="AI168" s="71">
        <f ca="1">IF(C168=1,((F168+H168)/2*'Reeksen (N)'!AJ168*12)+(('Invoer gegevens (N)'!$C$10-(F168+H168)/2)*'Reeksen (N)'!AK168*12),0)</f>
        <v>0</v>
      </c>
      <c r="AJ168" s="71">
        <f ca="1">-AI168*'Invoer gegevens (N)'!$F$28</f>
        <v>0</v>
      </c>
      <c r="AK168" s="71">
        <f t="shared" ca="1" si="22"/>
        <v>0</v>
      </c>
      <c r="AL168" s="71">
        <f ca="1">IF(C168=1,(12*((F168+H168)/2)*'Reeksen (N)'!AL168)+(12*('Invoer gegevens (N)'!$C$10-(F168+H168)/2)*'Reeksen (N)'!AM168),0)</f>
        <v>0</v>
      </c>
      <c r="AM168" s="71">
        <f ca="1">-AL168*'Invoer gegevens (N)'!$F$31</f>
        <v>0</v>
      </c>
      <c r="AN168" s="71">
        <f t="shared" ca="1" si="26"/>
        <v>0</v>
      </c>
      <c r="AO168" s="71"/>
      <c r="AP168" s="71"/>
      <c r="AQ168" s="71">
        <f ca="1">-IF(C168=1,('Invoer gegevens (N)'!$C$10*'Invoer gegevens (N)'!$I$33)*'Reeksen (N)'!J168,0)*2</f>
        <v>0</v>
      </c>
      <c r="AR168" s="71">
        <f ca="1">-IF(C168=1,(G168*'Invoer gegevens (N)'!$I$34)*'Reeksen (N)'!J168,0)</f>
        <v>0</v>
      </c>
      <c r="AS168" s="71">
        <f ca="1">-IF(C168=1,'Invoer gegevens (N)'!$C$10*'Invoer gegevens (N)'!$I$35*'Reeksen (N)'!L168,0)</f>
        <v>0</v>
      </c>
      <c r="AT168" s="71">
        <f ca="1">-IF(C168=1,IF(E168='Invoer gegevens (N)'!$C$17,'Invoer gegevens (N)'!$C$11,Q168)*'Reeksen (N)'!S168*'Invoer gegevens (N)'!$C$18*'Reeksen (N)'!P168,0)</f>
        <v>0</v>
      </c>
      <c r="AU168" s="71">
        <f ca="1">-IF(C168=1,'Invoer gegevens (N)'!$C$10*'Invoer gegevens (N)'!$I$36*'Reeksen (N)'!H168,0)</f>
        <v>0</v>
      </c>
      <c r="AV168" s="71">
        <v>0</v>
      </c>
      <c r="AW168" s="71">
        <f t="shared" ca="1" si="27"/>
        <v>0</v>
      </c>
      <c r="AX168" s="71">
        <f ca="1">IF(E168&lt;'Invoer gegevens (N)'!$C$17+15,0,IF(E168&gt;'Invoer gegevens (N)'!$C$17+215,0,AW168))</f>
        <v>0</v>
      </c>
      <c r="AY168" s="71">
        <f ca="1">AX168/(1+'Invoer gegevens (N)'!$F$13)^($AZ168-('Invoer gegevens (N)'!$C$17-'Invoer gegevens (N)'!$C$16))/(1+'Invoer gegevens (N)'!$C$39)^('Invoer gegevens (N)'!$C$17-'Invoer gegevens (N)'!$C$16)</f>
        <v>0</v>
      </c>
      <c r="AZ168" s="68">
        <f ca="1">IF(E168-'Invoer gegevens (N)'!$C$17-14.5&lt;0,0,E168-'Invoer gegevens (N)'!$C$17-14.5)</f>
        <v>148.5</v>
      </c>
    </row>
    <row r="169" spans="2:52" x14ac:dyDescent="0.25">
      <c r="B169" s="70">
        <f t="shared" si="28"/>
        <v>165</v>
      </c>
      <c r="C169" s="67">
        <f ca="1">IF(E169-'Invoer gegevens (N)'!$C$17&lt;0,0,1)</f>
        <v>1</v>
      </c>
      <c r="D169" s="68">
        <f t="shared" si="29"/>
        <v>164.5</v>
      </c>
      <c r="E169" s="69">
        <f ca="1">IF('Invoer gegevens (N)'!$C$16="","",E168+1)</f>
        <v>2183</v>
      </c>
      <c r="F169" s="82">
        <f ca="1">IF('Invoer gegevens (N)'!$C$17=E169,'Invoer gegevens (N)'!$C$10,IF(C169=1,H168,0))</f>
        <v>0</v>
      </c>
      <c r="G169" s="83">
        <f ca="1">IF(C169&gt;=1,F169*'Reeksen (N)'!C169,0)</f>
        <v>0</v>
      </c>
      <c r="H169" s="84">
        <f t="shared" ca="1" si="23"/>
        <v>0</v>
      </c>
      <c r="I169" s="85">
        <f ca="1">IF('Invoer gegevens (N)'!$C$17=E169,'Invoer gegevens (N)'!$C$11,IF(C169=1,L168,0))</f>
        <v>0</v>
      </c>
      <c r="J169" s="86">
        <f ca="1">IF(C169&lt;1,0,IF('Reeksen (N)'!AK169&lt;='Reeksen (N)'!AE169,I169*'Reeksen (N)'!C169,0))</f>
        <v>0</v>
      </c>
      <c r="K169" s="86">
        <f ca="1">IF(C169&lt;1,0,IF('Reeksen (N)'!AK169&gt;'Reeksen (N)'!AE169,I169*'Reeksen (N)'!C169,0))</f>
        <v>0</v>
      </c>
      <c r="L169" s="86">
        <f t="shared" ca="1" si="24"/>
        <v>0</v>
      </c>
      <c r="M169" s="85">
        <f ca="1">IF('Invoer gegevens (N)'!$C$17=E169,'Invoer gegevens (N)'!$C$10-'Invoer gegevens (N)'!$C$11,IF(C169=1,P168,0))</f>
        <v>0</v>
      </c>
      <c r="N169" s="86">
        <f ca="1">IF(C169&lt;1,0,IF('Reeksen (N)'!AK169&lt;='Reeksen (N)'!AE169,M169*'Reeksen (N)'!C169,0))</f>
        <v>0</v>
      </c>
      <c r="O169" s="86">
        <f ca="1">IF(C169&lt;1,0,IF('Reeksen (N)'!AK169&gt;'Reeksen (N)'!AE169,M169*'Reeksen (N)'!C169,0))</f>
        <v>0</v>
      </c>
      <c r="P169" s="86">
        <f t="shared" ca="1" si="25"/>
        <v>0</v>
      </c>
      <c r="Q169" s="82">
        <f ca="1">IF('Invoer gegevens (N)'!$C$17=E169,I169,IF(C169=0,0,R168))</f>
        <v>0</v>
      </c>
      <c r="R169" s="84">
        <f t="shared" ca="1" si="20"/>
        <v>0</v>
      </c>
      <c r="S169" s="84">
        <f ca="1">IF('Invoer gegevens (N)'!$C$17=E169,M169,IF(C169=0,0,T168))</f>
        <v>0</v>
      </c>
      <c r="T169" s="84">
        <f t="shared" ca="1" si="21"/>
        <v>0</v>
      </c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8"/>
      <c r="AI169" s="71">
        <f ca="1">IF(C169=1,((F169+H169)/2*'Reeksen (N)'!AJ169*12)+(('Invoer gegevens (N)'!$C$10-(F169+H169)/2)*'Reeksen (N)'!AK169*12),0)</f>
        <v>0</v>
      </c>
      <c r="AJ169" s="71">
        <f ca="1">-AI169*'Invoer gegevens (N)'!$F$28</f>
        <v>0</v>
      </c>
      <c r="AK169" s="71">
        <f t="shared" ca="1" si="22"/>
        <v>0</v>
      </c>
      <c r="AL169" s="71">
        <f ca="1">IF(C169=1,(12*((F169+H169)/2)*'Reeksen (N)'!AL169)+(12*('Invoer gegevens (N)'!$C$10-(F169+H169)/2)*'Reeksen (N)'!AM169),0)</f>
        <v>0</v>
      </c>
      <c r="AM169" s="71">
        <f ca="1">-AL169*'Invoer gegevens (N)'!$F$31</f>
        <v>0</v>
      </c>
      <c r="AN169" s="71">
        <f t="shared" ca="1" si="26"/>
        <v>0</v>
      </c>
      <c r="AO169" s="71"/>
      <c r="AP169" s="71"/>
      <c r="AQ169" s="71">
        <f ca="1">-IF(C169=1,('Invoer gegevens (N)'!$C$10*'Invoer gegevens (N)'!$I$33)*'Reeksen (N)'!J169,0)*2</f>
        <v>0</v>
      </c>
      <c r="AR169" s="71">
        <f ca="1">-IF(C169=1,(G169*'Invoer gegevens (N)'!$I$34)*'Reeksen (N)'!J169,0)</f>
        <v>0</v>
      </c>
      <c r="AS169" s="71">
        <f ca="1">-IF(C169=1,'Invoer gegevens (N)'!$C$10*'Invoer gegevens (N)'!$I$35*'Reeksen (N)'!L169,0)</f>
        <v>0</v>
      </c>
      <c r="AT169" s="71">
        <f ca="1">-IF(C169=1,IF(E169='Invoer gegevens (N)'!$C$17,'Invoer gegevens (N)'!$C$11,Q169)*'Reeksen (N)'!S169*'Invoer gegevens (N)'!$C$18*'Reeksen (N)'!P169,0)</f>
        <v>0</v>
      </c>
      <c r="AU169" s="71">
        <f ca="1">-IF(C169=1,'Invoer gegevens (N)'!$C$10*'Invoer gegevens (N)'!$I$36*'Reeksen (N)'!H169,0)</f>
        <v>0</v>
      </c>
      <c r="AV169" s="71">
        <v>0</v>
      </c>
      <c r="AW169" s="71">
        <f t="shared" ca="1" si="27"/>
        <v>0</v>
      </c>
      <c r="AX169" s="71">
        <f ca="1">IF(E169&lt;'Invoer gegevens (N)'!$C$17+15,0,IF(E169&gt;'Invoer gegevens (N)'!$C$17+215,0,AW169))</f>
        <v>0</v>
      </c>
      <c r="AY169" s="71">
        <f ca="1">AX169/(1+'Invoer gegevens (N)'!$F$13)^($AZ169-('Invoer gegevens (N)'!$C$17-'Invoer gegevens (N)'!$C$16))/(1+'Invoer gegevens (N)'!$C$39)^('Invoer gegevens (N)'!$C$17-'Invoer gegevens (N)'!$C$16)</f>
        <v>0</v>
      </c>
      <c r="AZ169" s="68">
        <f ca="1">IF(E169-'Invoer gegevens (N)'!$C$17-14.5&lt;0,0,E169-'Invoer gegevens (N)'!$C$17-14.5)</f>
        <v>149.5</v>
      </c>
    </row>
    <row r="170" spans="2:52" x14ac:dyDescent="0.25">
      <c r="B170" s="70">
        <f t="shared" si="28"/>
        <v>166</v>
      </c>
      <c r="C170" s="67">
        <f ca="1">IF(E170-'Invoer gegevens (N)'!$C$17&lt;0,0,1)</f>
        <v>1</v>
      </c>
      <c r="D170" s="68">
        <f t="shared" si="29"/>
        <v>165.5</v>
      </c>
      <c r="E170" s="69">
        <f ca="1">IF('Invoer gegevens (N)'!$C$16="","",E169+1)</f>
        <v>2184</v>
      </c>
      <c r="F170" s="82">
        <f ca="1">IF('Invoer gegevens (N)'!$C$17=E170,'Invoer gegevens (N)'!$C$10,IF(C170=1,H169,0))</f>
        <v>0</v>
      </c>
      <c r="G170" s="83">
        <f ca="1">IF(C170&gt;=1,F170*'Reeksen (N)'!C170,0)</f>
        <v>0</v>
      </c>
      <c r="H170" s="84">
        <f t="shared" ca="1" si="23"/>
        <v>0</v>
      </c>
      <c r="I170" s="85">
        <f ca="1">IF('Invoer gegevens (N)'!$C$17=E170,'Invoer gegevens (N)'!$C$11,IF(C170=1,L169,0))</f>
        <v>0</v>
      </c>
      <c r="J170" s="86">
        <f ca="1">IF(C170&lt;1,0,IF('Reeksen (N)'!AK170&lt;='Reeksen (N)'!AE170,I170*'Reeksen (N)'!C170,0))</f>
        <v>0</v>
      </c>
      <c r="K170" s="86">
        <f ca="1">IF(C170&lt;1,0,IF('Reeksen (N)'!AK170&gt;'Reeksen (N)'!AE170,I170*'Reeksen (N)'!C170,0))</f>
        <v>0</v>
      </c>
      <c r="L170" s="86">
        <f t="shared" ca="1" si="24"/>
        <v>0</v>
      </c>
      <c r="M170" s="85">
        <f ca="1">IF('Invoer gegevens (N)'!$C$17=E170,'Invoer gegevens (N)'!$C$10-'Invoer gegevens (N)'!$C$11,IF(C170=1,P169,0))</f>
        <v>0</v>
      </c>
      <c r="N170" s="86">
        <f ca="1">IF(C170&lt;1,0,IF('Reeksen (N)'!AK170&lt;='Reeksen (N)'!AE170,M170*'Reeksen (N)'!C170,0))</f>
        <v>0</v>
      </c>
      <c r="O170" s="86">
        <f ca="1">IF(C170&lt;1,0,IF('Reeksen (N)'!AK170&gt;'Reeksen (N)'!AE170,M170*'Reeksen (N)'!C170,0))</f>
        <v>0</v>
      </c>
      <c r="P170" s="86">
        <f t="shared" ca="1" si="25"/>
        <v>0</v>
      </c>
      <c r="Q170" s="82">
        <f ca="1">IF('Invoer gegevens (N)'!$C$17=E170,I170,IF(C170=0,0,R169))</f>
        <v>0</v>
      </c>
      <c r="R170" s="84">
        <f t="shared" ca="1" si="20"/>
        <v>0</v>
      </c>
      <c r="S170" s="84">
        <f ca="1">IF('Invoer gegevens (N)'!$C$17=E170,M170,IF(C170=0,0,T169))</f>
        <v>0</v>
      </c>
      <c r="T170" s="84">
        <f t="shared" ca="1" si="21"/>
        <v>0</v>
      </c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8"/>
      <c r="AI170" s="71">
        <f ca="1">IF(C170=1,((F170+H170)/2*'Reeksen (N)'!AJ170*12)+(('Invoer gegevens (N)'!$C$10-(F170+H170)/2)*'Reeksen (N)'!AK170*12),0)</f>
        <v>0</v>
      </c>
      <c r="AJ170" s="71">
        <f ca="1">-AI170*'Invoer gegevens (N)'!$F$28</f>
        <v>0</v>
      </c>
      <c r="AK170" s="71">
        <f t="shared" ca="1" si="22"/>
        <v>0</v>
      </c>
      <c r="AL170" s="71">
        <f ca="1">IF(C170=1,(12*((F170+H170)/2)*'Reeksen (N)'!AL170)+(12*('Invoer gegevens (N)'!$C$10-(F170+H170)/2)*'Reeksen (N)'!AM170),0)</f>
        <v>0</v>
      </c>
      <c r="AM170" s="71">
        <f ca="1">-AL170*'Invoer gegevens (N)'!$F$31</f>
        <v>0</v>
      </c>
      <c r="AN170" s="71">
        <f t="shared" ca="1" si="26"/>
        <v>0</v>
      </c>
      <c r="AO170" s="71"/>
      <c r="AP170" s="71"/>
      <c r="AQ170" s="71">
        <f ca="1">-IF(C170=1,('Invoer gegevens (N)'!$C$10*'Invoer gegevens (N)'!$I$33)*'Reeksen (N)'!J170,0)*2</f>
        <v>0</v>
      </c>
      <c r="AR170" s="71">
        <f ca="1">-IF(C170=1,(G170*'Invoer gegevens (N)'!$I$34)*'Reeksen (N)'!J170,0)</f>
        <v>0</v>
      </c>
      <c r="AS170" s="71">
        <f ca="1">-IF(C170=1,'Invoer gegevens (N)'!$C$10*'Invoer gegevens (N)'!$I$35*'Reeksen (N)'!L170,0)</f>
        <v>0</v>
      </c>
      <c r="AT170" s="71">
        <f ca="1">-IF(C170=1,IF(E170='Invoer gegevens (N)'!$C$17,'Invoer gegevens (N)'!$C$11,Q170)*'Reeksen (N)'!S170*'Invoer gegevens (N)'!$C$18*'Reeksen (N)'!P170,0)</f>
        <v>0</v>
      </c>
      <c r="AU170" s="71">
        <f ca="1">-IF(C170=1,'Invoer gegevens (N)'!$C$10*'Invoer gegevens (N)'!$I$36*'Reeksen (N)'!H170,0)</f>
        <v>0</v>
      </c>
      <c r="AV170" s="71">
        <v>0</v>
      </c>
      <c r="AW170" s="71">
        <f t="shared" ca="1" si="27"/>
        <v>0</v>
      </c>
      <c r="AX170" s="71">
        <f ca="1">IF(E170&lt;'Invoer gegevens (N)'!$C$17+15,0,IF(E170&gt;'Invoer gegevens (N)'!$C$17+215,0,AW170))</f>
        <v>0</v>
      </c>
      <c r="AY170" s="71">
        <f ca="1">AX170/(1+'Invoer gegevens (N)'!$F$13)^($AZ170-('Invoer gegevens (N)'!$C$17-'Invoer gegevens (N)'!$C$16))/(1+'Invoer gegevens (N)'!$C$39)^('Invoer gegevens (N)'!$C$17-'Invoer gegevens (N)'!$C$16)</f>
        <v>0</v>
      </c>
      <c r="AZ170" s="68">
        <f ca="1">IF(E170-'Invoer gegevens (N)'!$C$17-14.5&lt;0,0,E170-'Invoer gegevens (N)'!$C$17-14.5)</f>
        <v>150.5</v>
      </c>
    </row>
    <row r="171" spans="2:52" x14ac:dyDescent="0.25">
      <c r="B171" s="70">
        <f t="shared" si="28"/>
        <v>167</v>
      </c>
      <c r="C171" s="67">
        <f ca="1">IF(E171-'Invoer gegevens (N)'!$C$17&lt;0,0,1)</f>
        <v>1</v>
      </c>
      <c r="D171" s="68">
        <f t="shared" si="29"/>
        <v>166.5</v>
      </c>
      <c r="E171" s="69">
        <f ca="1">IF('Invoer gegevens (N)'!$C$16="","",E170+1)</f>
        <v>2185</v>
      </c>
      <c r="F171" s="82">
        <f ca="1">IF('Invoer gegevens (N)'!$C$17=E171,'Invoer gegevens (N)'!$C$10,IF(C171=1,H170,0))</f>
        <v>0</v>
      </c>
      <c r="G171" s="83">
        <f ca="1">IF(C171&gt;=1,F171*'Reeksen (N)'!C171,0)</f>
        <v>0</v>
      </c>
      <c r="H171" s="84">
        <f t="shared" ca="1" si="23"/>
        <v>0</v>
      </c>
      <c r="I171" s="85">
        <f ca="1">IF('Invoer gegevens (N)'!$C$17=E171,'Invoer gegevens (N)'!$C$11,IF(C171=1,L170,0))</f>
        <v>0</v>
      </c>
      <c r="J171" s="86">
        <f ca="1">IF(C171&lt;1,0,IF('Reeksen (N)'!AK171&lt;='Reeksen (N)'!AE171,I171*'Reeksen (N)'!C171,0))</f>
        <v>0</v>
      </c>
      <c r="K171" s="86">
        <f ca="1">IF(C171&lt;1,0,IF('Reeksen (N)'!AK171&gt;'Reeksen (N)'!AE171,I171*'Reeksen (N)'!C171,0))</f>
        <v>0</v>
      </c>
      <c r="L171" s="86">
        <f t="shared" ca="1" si="24"/>
        <v>0</v>
      </c>
      <c r="M171" s="85">
        <f ca="1">IF('Invoer gegevens (N)'!$C$17=E171,'Invoer gegevens (N)'!$C$10-'Invoer gegevens (N)'!$C$11,IF(C171=1,P170,0))</f>
        <v>0</v>
      </c>
      <c r="N171" s="86">
        <f ca="1">IF(C171&lt;1,0,IF('Reeksen (N)'!AK171&lt;='Reeksen (N)'!AE171,M171*'Reeksen (N)'!C171,0))</f>
        <v>0</v>
      </c>
      <c r="O171" s="86">
        <f ca="1">IF(C171&lt;1,0,IF('Reeksen (N)'!AK171&gt;'Reeksen (N)'!AE171,M171*'Reeksen (N)'!C171,0))</f>
        <v>0</v>
      </c>
      <c r="P171" s="86">
        <f t="shared" ca="1" si="25"/>
        <v>0</v>
      </c>
      <c r="Q171" s="82">
        <f ca="1">IF('Invoer gegevens (N)'!$C$17=E171,I171,IF(C171=0,0,R170))</f>
        <v>0</v>
      </c>
      <c r="R171" s="84">
        <f t="shared" ca="1" si="20"/>
        <v>0</v>
      </c>
      <c r="S171" s="84">
        <f ca="1">IF('Invoer gegevens (N)'!$C$17=E171,M171,IF(C171=0,0,T170))</f>
        <v>0</v>
      </c>
      <c r="T171" s="84">
        <f t="shared" ca="1" si="21"/>
        <v>0</v>
      </c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8"/>
      <c r="AI171" s="71">
        <f ca="1">IF(C171=1,((F171+H171)/2*'Reeksen (N)'!AJ171*12)+(('Invoer gegevens (N)'!$C$10-(F171+H171)/2)*'Reeksen (N)'!AK171*12),0)</f>
        <v>0</v>
      </c>
      <c r="AJ171" s="71">
        <f ca="1">-AI171*'Invoer gegevens (N)'!$F$28</f>
        <v>0</v>
      </c>
      <c r="AK171" s="71">
        <f t="shared" ca="1" si="22"/>
        <v>0</v>
      </c>
      <c r="AL171" s="71">
        <f ca="1">IF(C171=1,(12*((F171+H171)/2)*'Reeksen (N)'!AL171)+(12*('Invoer gegevens (N)'!$C$10-(F171+H171)/2)*'Reeksen (N)'!AM171),0)</f>
        <v>0</v>
      </c>
      <c r="AM171" s="71">
        <f ca="1">-AL171*'Invoer gegevens (N)'!$F$31</f>
        <v>0</v>
      </c>
      <c r="AN171" s="71">
        <f t="shared" ca="1" si="26"/>
        <v>0</v>
      </c>
      <c r="AO171" s="71"/>
      <c r="AP171" s="71"/>
      <c r="AQ171" s="71">
        <f ca="1">-IF(C171=1,('Invoer gegevens (N)'!$C$10*'Invoer gegevens (N)'!$I$33)*'Reeksen (N)'!J171,0)*2</f>
        <v>0</v>
      </c>
      <c r="AR171" s="71">
        <f ca="1">-IF(C171=1,(G171*'Invoer gegevens (N)'!$I$34)*'Reeksen (N)'!J171,0)</f>
        <v>0</v>
      </c>
      <c r="AS171" s="71">
        <f ca="1">-IF(C171=1,'Invoer gegevens (N)'!$C$10*'Invoer gegevens (N)'!$I$35*'Reeksen (N)'!L171,0)</f>
        <v>0</v>
      </c>
      <c r="AT171" s="71">
        <f ca="1">-IF(C171=1,IF(E171='Invoer gegevens (N)'!$C$17,'Invoer gegevens (N)'!$C$11,Q171)*'Reeksen (N)'!S171*'Invoer gegevens (N)'!$C$18*'Reeksen (N)'!P171,0)</f>
        <v>0</v>
      </c>
      <c r="AU171" s="71">
        <f ca="1">-IF(C171=1,'Invoer gegevens (N)'!$C$10*'Invoer gegevens (N)'!$I$36*'Reeksen (N)'!H171,0)</f>
        <v>0</v>
      </c>
      <c r="AV171" s="71">
        <v>0</v>
      </c>
      <c r="AW171" s="71">
        <f t="shared" ca="1" si="27"/>
        <v>0</v>
      </c>
      <c r="AX171" s="71">
        <f ca="1">IF(E171&lt;'Invoer gegevens (N)'!$C$17+15,0,IF(E171&gt;'Invoer gegevens (N)'!$C$17+215,0,AW171))</f>
        <v>0</v>
      </c>
      <c r="AY171" s="71">
        <f ca="1">AX171/(1+'Invoer gegevens (N)'!$F$13)^($AZ171-('Invoer gegevens (N)'!$C$17-'Invoer gegevens (N)'!$C$16))/(1+'Invoer gegevens (N)'!$C$39)^('Invoer gegevens (N)'!$C$17-'Invoer gegevens (N)'!$C$16)</f>
        <v>0</v>
      </c>
      <c r="AZ171" s="68">
        <f ca="1">IF(E171-'Invoer gegevens (N)'!$C$17-14.5&lt;0,0,E171-'Invoer gegevens (N)'!$C$17-14.5)</f>
        <v>151.5</v>
      </c>
    </row>
    <row r="172" spans="2:52" x14ac:dyDescent="0.25">
      <c r="B172" s="70">
        <f t="shared" si="28"/>
        <v>168</v>
      </c>
      <c r="C172" s="67">
        <f ca="1">IF(E172-'Invoer gegevens (N)'!$C$17&lt;0,0,1)</f>
        <v>1</v>
      </c>
      <c r="D172" s="68">
        <f t="shared" si="29"/>
        <v>167.5</v>
      </c>
      <c r="E172" s="69">
        <f ca="1">IF('Invoer gegevens (N)'!$C$16="","",E171+1)</f>
        <v>2186</v>
      </c>
      <c r="F172" s="82">
        <f ca="1">IF('Invoer gegevens (N)'!$C$17=E172,'Invoer gegevens (N)'!$C$10,IF(C172=1,H171,0))</f>
        <v>0</v>
      </c>
      <c r="G172" s="83">
        <f ca="1">IF(C172&gt;=1,F172*'Reeksen (N)'!C172,0)</f>
        <v>0</v>
      </c>
      <c r="H172" s="84">
        <f t="shared" ca="1" si="23"/>
        <v>0</v>
      </c>
      <c r="I172" s="85">
        <f ca="1">IF('Invoer gegevens (N)'!$C$17=E172,'Invoer gegevens (N)'!$C$11,IF(C172=1,L171,0))</f>
        <v>0</v>
      </c>
      <c r="J172" s="86">
        <f ca="1">IF(C172&lt;1,0,IF('Reeksen (N)'!AK172&lt;='Reeksen (N)'!AE172,I172*'Reeksen (N)'!C172,0))</f>
        <v>0</v>
      </c>
      <c r="K172" s="86">
        <f ca="1">IF(C172&lt;1,0,IF('Reeksen (N)'!AK172&gt;'Reeksen (N)'!AE172,I172*'Reeksen (N)'!C172,0))</f>
        <v>0</v>
      </c>
      <c r="L172" s="86">
        <f t="shared" ca="1" si="24"/>
        <v>0</v>
      </c>
      <c r="M172" s="85">
        <f ca="1">IF('Invoer gegevens (N)'!$C$17=E172,'Invoer gegevens (N)'!$C$10-'Invoer gegevens (N)'!$C$11,IF(C172=1,P171,0))</f>
        <v>0</v>
      </c>
      <c r="N172" s="86">
        <f ca="1">IF(C172&lt;1,0,IF('Reeksen (N)'!AK172&lt;='Reeksen (N)'!AE172,M172*'Reeksen (N)'!C172,0))</f>
        <v>0</v>
      </c>
      <c r="O172" s="86">
        <f ca="1">IF(C172&lt;1,0,IF('Reeksen (N)'!AK172&gt;'Reeksen (N)'!AE172,M172*'Reeksen (N)'!C172,0))</f>
        <v>0</v>
      </c>
      <c r="P172" s="86">
        <f t="shared" ca="1" si="25"/>
        <v>0</v>
      </c>
      <c r="Q172" s="82">
        <f ca="1">IF('Invoer gegevens (N)'!$C$17=E172,I172,IF(C172=0,0,R171))</f>
        <v>0</v>
      </c>
      <c r="R172" s="84">
        <f t="shared" ca="1" si="20"/>
        <v>0</v>
      </c>
      <c r="S172" s="84">
        <f ca="1">IF('Invoer gegevens (N)'!$C$17=E172,M172,IF(C172=0,0,T171))</f>
        <v>0</v>
      </c>
      <c r="T172" s="84">
        <f t="shared" ca="1" si="21"/>
        <v>0</v>
      </c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8"/>
      <c r="AI172" s="71">
        <f ca="1">IF(C172=1,((F172+H172)/2*'Reeksen (N)'!AJ172*12)+(('Invoer gegevens (N)'!$C$10-(F172+H172)/2)*'Reeksen (N)'!AK172*12),0)</f>
        <v>0</v>
      </c>
      <c r="AJ172" s="71">
        <f ca="1">-AI172*'Invoer gegevens (N)'!$F$28</f>
        <v>0</v>
      </c>
      <c r="AK172" s="71">
        <f t="shared" ca="1" si="22"/>
        <v>0</v>
      </c>
      <c r="AL172" s="71">
        <f ca="1">IF(C172=1,(12*((F172+H172)/2)*'Reeksen (N)'!AL172)+(12*('Invoer gegevens (N)'!$C$10-(F172+H172)/2)*'Reeksen (N)'!AM172),0)</f>
        <v>0</v>
      </c>
      <c r="AM172" s="71">
        <f ca="1">-AL172*'Invoer gegevens (N)'!$F$31</f>
        <v>0</v>
      </c>
      <c r="AN172" s="71">
        <f t="shared" ca="1" si="26"/>
        <v>0</v>
      </c>
      <c r="AO172" s="71"/>
      <c r="AP172" s="71"/>
      <c r="AQ172" s="71">
        <f ca="1">-IF(C172=1,('Invoer gegevens (N)'!$C$10*'Invoer gegevens (N)'!$I$33)*'Reeksen (N)'!J172,0)*2</f>
        <v>0</v>
      </c>
      <c r="AR172" s="71">
        <f ca="1">-IF(C172=1,(G172*'Invoer gegevens (N)'!$I$34)*'Reeksen (N)'!J172,0)</f>
        <v>0</v>
      </c>
      <c r="AS172" s="71">
        <f ca="1">-IF(C172=1,'Invoer gegevens (N)'!$C$10*'Invoer gegevens (N)'!$I$35*'Reeksen (N)'!L172,0)</f>
        <v>0</v>
      </c>
      <c r="AT172" s="71">
        <f ca="1">-IF(C172=1,IF(E172='Invoer gegevens (N)'!$C$17,'Invoer gegevens (N)'!$C$11,Q172)*'Reeksen (N)'!S172*'Invoer gegevens (N)'!$C$18*'Reeksen (N)'!P172,0)</f>
        <v>0</v>
      </c>
      <c r="AU172" s="71">
        <f ca="1">-IF(C172=1,'Invoer gegevens (N)'!$C$10*'Invoer gegevens (N)'!$I$36*'Reeksen (N)'!H172,0)</f>
        <v>0</v>
      </c>
      <c r="AV172" s="71">
        <v>0</v>
      </c>
      <c r="AW172" s="71">
        <f t="shared" ca="1" si="27"/>
        <v>0</v>
      </c>
      <c r="AX172" s="71">
        <f ca="1">IF(E172&lt;'Invoer gegevens (N)'!$C$17+15,0,IF(E172&gt;'Invoer gegevens (N)'!$C$17+215,0,AW172))</f>
        <v>0</v>
      </c>
      <c r="AY172" s="71">
        <f ca="1">AX172/(1+'Invoer gegevens (N)'!$F$13)^($AZ172-('Invoer gegevens (N)'!$C$17-'Invoer gegevens (N)'!$C$16))/(1+'Invoer gegevens (N)'!$C$39)^('Invoer gegevens (N)'!$C$17-'Invoer gegevens (N)'!$C$16)</f>
        <v>0</v>
      </c>
      <c r="AZ172" s="68">
        <f ca="1">IF(E172-'Invoer gegevens (N)'!$C$17-14.5&lt;0,0,E172-'Invoer gegevens (N)'!$C$17-14.5)</f>
        <v>152.5</v>
      </c>
    </row>
    <row r="173" spans="2:52" x14ac:dyDescent="0.25">
      <c r="B173" s="70">
        <f t="shared" si="28"/>
        <v>169</v>
      </c>
      <c r="C173" s="67">
        <f ca="1">IF(E173-'Invoer gegevens (N)'!$C$17&lt;0,0,1)</f>
        <v>1</v>
      </c>
      <c r="D173" s="68">
        <f t="shared" si="29"/>
        <v>168.5</v>
      </c>
      <c r="E173" s="69">
        <f ca="1">IF('Invoer gegevens (N)'!$C$16="","",E172+1)</f>
        <v>2187</v>
      </c>
      <c r="F173" s="82">
        <f ca="1">IF('Invoer gegevens (N)'!$C$17=E173,'Invoer gegevens (N)'!$C$10,IF(C173=1,H172,0))</f>
        <v>0</v>
      </c>
      <c r="G173" s="83">
        <f ca="1">IF(C173&gt;=1,F173*'Reeksen (N)'!C173,0)</f>
        <v>0</v>
      </c>
      <c r="H173" s="84">
        <f t="shared" ca="1" si="23"/>
        <v>0</v>
      </c>
      <c r="I173" s="85">
        <f ca="1">IF('Invoer gegevens (N)'!$C$17=E173,'Invoer gegevens (N)'!$C$11,IF(C173=1,L172,0))</f>
        <v>0</v>
      </c>
      <c r="J173" s="86">
        <f ca="1">IF(C173&lt;1,0,IF('Reeksen (N)'!AK173&lt;='Reeksen (N)'!AE173,I173*'Reeksen (N)'!C173,0))</f>
        <v>0</v>
      </c>
      <c r="K173" s="86">
        <f ca="1">IF(C173&lt;1,0,IF('Reeksen (N)'!AK173&gt;'Reeksen (N)'!AE173,I173*'Reeksen (N)'!C173,0))</f>
        <v>0</v>
      </c>
      <c r="L173" s="86">
        <f t="shared" ca="1" si="24"/>
        <v>0</v>
      </c>
      <c r="M173" s="85">
        <f ca="1">IF('Invoer gegevens (N)'!$C$17=E173,'Invoer gegevens (N)'!$C$10-'Invoer gegevens (N)'!$C$11,IF(C173=1,P172,0))</f>
        <v>0</v>
      </c>
      <c r="N173" s="86">
        <f ca="1">IF(C173&lt;1,0,IF('Reeksen (N)'!AK173&lt;='Reeksen (N)'!AE173,M173*'Reeksen (N)'!C173,0))</f>
        <v>0</v>
      </c>
      <c r="O173" s="86">
        <f ca="1">IF(C173&lt;1,0,IF('Reeksen (N)'!AK173&gt;'Reeksen (N)'!AE173,M173*'Reeksen (N)'!C173,0))</f>
        <v>0</v>
      </c>
      <c r="P173" s="86">
        <f t="shared" ca="1" si="25"/>
        <v>0</v>
      </c>
      <c r="Q173" s="82">
        <f ca="1">IF('Invoer gegevens (N)'!$C$17=E173,I173,IF(C173=0,0,R172))</f>
        <v>0</v>
      </c>
      <c r="R173" s="84">
        <f t="shared" ca="1" si="20"/>
        <v>0</v>
      </c>
      <c r="S173" s="84">
        <f ca="1">IF('Invoer gegevens (N)'!$C$17=E173,M173,IF(C173=0,0,T172))</f>
        <v>0</v>
      </c>
      <c r="T173" s="84">
        <f t="shared" ca="1" si="21"/>
        <v>0</v>
      </c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8"/>
      <c r="AI173" s="71">
        <f ca="1">IF(C173=1,((F173+H173)/2*'Reeksen (N)'!AJ173*12)+(('Invoer gegevens (N)'!$C$10-(F173+H173)/2)*'Reeksen (N)'!AK173*12),0)</f>
        <v>0</v>
      </c>
      <c r="AJ173" s="71">
        <f ca="1">-AI173*'Invoer gegevens (N)'!$F$28</f>
        <v>0</v>
      </c>
      <c r="AK173" s="71">
        <f t="shared" ca="1" si="22"/>
        <v>0</v>
      </c>
      <c r="AL173" s="71">
        <f ca="1">IF(C173=1,(12*((F173+H173)/2)*'Reeksen (N)'!AL173)+(12*('Invoer gegevens (N)'!$C$10-(F173+H173)/2)*'Reeksen (N)'!AM173),0)</f>
        <v>0</v>
      </c>
      <c r="AM173" s="71">
        <f ca="1">-AL173*'Invoer gegevens (N)'!$F$31</f>
        <v>0</v>
      </c>
      <c r="AN173" s="71">
        <f t="shared" ca="1" si="26"/>
        <v>0</v>
      </c>
      <c r="AO173" s="71"/>
      <c r="AP173" s="71"/>
      <c r="AQ173" s="71">
        <f ca="1">-IF(C173=1,('Invoer gegevens (N)'!$C$10*'Invoer gegevens (N)'!$I$33)*'Reeksen (N)'!J173,0)*2</f>
        <v>0</v>
      </c>
      <c r="AR173" s="71">
        <f ca="1">-IF(C173=1,(G173*'Invoer gegevens (N)'!$I$34)*'Reeksen (N)'!J173,0)</f>
        <v>0</v>
      </c>
      <c r="AS173" s="71">
        <f ca="1">-IF(C173=1,'Invoer gegevens (N)'!$C$10*'Invoer gegevens (N)'!$I$35*'Reeksen (N)'!L173,0)</f>
        <v>0</v>
      </c>
      <c r="AT173" s="71">
        <f ca="1">-IF(C173=1,IF(E173='Invoer gegevens (N)'!$C$17,'Invoer gegevens (N)'!$C$11,Q173)*'Reeksen (N)'!S173*'Invoer gegevens (N)'!$C$18*'Reeksen (N)'!P173,0)</f>
        <v>0</v>
      </c>
      <c r="AU173" s="71">
        <f ca="1">-IF(C173=1,'Invoer gegevens (N)'!$C$10*'Invoer gegevens (N)'!$I$36*'Reeksen (N)'!H173,0)</f>
        <v>0</v>
      </c>
      <c r="AV173" s="71">
        <v>0</v>
      </c>
      <c r="AW173" s="71">
        <f t="shared" ca="1" si="27"/>
        <v>0</v>
      </c>
      <c r="AX173" s="71">
        <f ca="1">IF(E173&lt;'Invoer gegevens (N)'!$C$17+15,0,IF(E173&gt;'Invoer gegevens (N)'!$C$17+215,0,AW173))</f>
        <v>0</v>
      </c>
      <c r="AY173" s="71">
        <f ca="1">AX173/(1+'Invoer gegevens (N)'!$F$13)^($AZ173-('Invoer gegevens (N)'!$C$17-'Invoer gegevens (N)'!$C$16))/(1+'Invoer gegevens (N)'!$C$39)^('Invoer gegevens (N)'!$C$17-'Invoer gegevens (N)'!$C$16)</f>
        <v>0</v>
      </c>
      <c r="AZ173" s="68">
        <f ca="1">IF(E173-'Invoer gegevens (N)'!$C$17-14.5&lt;0,0,E173-'Invoer gegevens (N)'!$C$17-14.5)</f>
        <v>153.5</v>
      </c>
    </row>
    <row r="174" spans="2:52" x14ac:dyDescent="0.25">
      <c r="B174" s="70">
        <f t="shared" si="28"/>
        <v>170</v>
      </c>
      <c r="C174" s="67">
        <f ca="1">IF(E174-'Invoer gegevens (N)'!$C$17&lt;0,0,1)</f>
        <v>1</v>
      </c>
      <c r="D174" s="68">
        <f t="shared" si="29"/>
        <v>169.5</v>
      </c>
      <c r="E174" s="69">
        <f ca="1">IF('Invoer gegevens (N)'!$C$16="","",E173+1)</f>
        <v>2188</v>
      </c>
      <c r="F174" s="82">
        <f ca="1">IF('Invoer gegevens (N)'!$C$17=E174,'Invoer gegevens (N)'!$C$10,IF(C174=1,H173,0))</f>
        <v>0</v>
      </c>
      <c r="G174" s="83">
        <f ca="1">IF(C174&gt;=1,F174*'Reeksen (N)'!C174,0)</f>
        <v>0</v>
      </c>
      <c r="H174" s="84">
        <f t="shared" ca="1" si="23"/>
        <v>0</v>
      </c>
      <c r="I174" s="85">
        <f ca="1">IF('Invoer gegevens (N)'!$C$17=E174,'Invoer gegevens (N)'!$C$11,IF(C174=1,L173,0))</f>
        <v>0</v>
      </c>
      <c r="J174" s="86">
        <f ca="1">IF(C174&lt;1,0,IF('Reeksen (N)'!AK174&lt;='Reeksen (N)'!AE174,I174*'Reeksen (N)'!C174,0))</f>
        <v>0</v>
      </c>
      <c r="K174" s="86">
        <f ca="1">IF(C174&lt;1,0,IF('Reeksen (N)'!AK174&gt;'Reeksen (N)'!AE174,I174*'Reeksen (N)'!C174,0))</f>
        <v>0</v>
      </c>
      <c r="L174" s="86">
        <f t="shared" ca="1" si="24"/>
        <v>0</v>
      </c>
      <c r="M174" s="85">
        <f ca="1">IF('Invoer gegevens (N)'!$C$17=E174,'Invoer gegevens (N)'!$C$10-'Invoer gegevens (N)'!$C$11,IF(C174=1,P173,0))</f>
        <v>0</v>
      </c>
      <c r="N174" s="86">
        <f ca="1">IF(C174&lt;1,0,IF('Reeksen (N)'!AK174&lt;='Reeksen (N)'!AE174,M174*'Reeksen (N)'!C174,0))</f>
        <v>0</v>
      </c>
      <c r="O174" s="86">
        <f ca="1">IF(C174&lt;1,0,IF('Reeksen (N)'!AK174&gt;'Reeksen (N)'!AE174,M174*'Reeksen (N)'!C174,0))</f>
        <v>0</v>
      </c>
      <c r="P174" s="86">
        <f t="shared" ca="1" si="25"/>
        <v>0</v>
      </c>
      <c r="Q174" s="82">
        <f ca="1">IF('Invoer gegevens (N)'!$C$17=E174,I174,IF(C174=0,0,R173))</f>
        <v>0</v>
      </c>
      <c r="R174" s="84">
        <f t="shared" ca="1" si="20"/>
        <v>0</v>
      </c>
      <c r="S174" s="84">
        <f ca="1">IF('Invoer gegevens (N)'!$C$17=E174,M174,IF(C174=0,0,T173))</f>
        <v>0</v>
      </c>
      <c r="T174" s="84">
        <f t="shared" ca="1" si="21"/>
        <v>0</v>
      </c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8"/>
      <c r="AI174" s="71">
        <f ca="1">IF(C174=1,((F174+H174)/2*'Reeksen (N)'!AJ174*12)+(('Invoer gegevens (N)'!$C$10-(F174+H174)/2)*'Reeksen (N)'!AK174*12),0)</f>
        <v>0</v>
      </c>
      <c r="AJ174" s="71">
        <f ca="1">-AI174*'Invoer gegevens (N)'!$F$28</f>
        <v>0</v>
      </c>
      <c r="AK174" s="71">
        <f t="shared" ca="1" si="22"/>
        <v>0</v>
      </c>
      <c r="AL174" s="71">
        <f ca="1">IF(C174=1,(12*((F174+H174)/2)*'Reeksen (N)'!AL174)+(12*('Invoer gegevens (N)'!$C$10-(F174+H174)/2)*'Reeksen (N)'!AM174),0)</f>
        <v>0</v>
      </c>
      <c r="AM174" s="71">
        <f ca="1">-AL174*'Invoer gegevens (N)'!$F$31</f>
        <v>0</v>
      </c>
      <c r="AN174" s="71">
        <f t="shared" ca="1" si="26"/>
        <v>0</v>
      </c>
      <c r="AO174" s="71"/>
      <c r="AP174" s="71"/>
      <c r="AQ174" s="71">
        <f ca="1">-IF(C174=1,('Invoer gegevens (N)'!$C$10*'Invoer gegevens (N)'!$I$33)*'Reeksen (N)'!J174,0)*2</f>
        <v>0</v>
      </c>
      <c r="AR174" s="71">
        <f ca="1">-IF(C174=1,(G174*'Invoer gegevens (N)'!$I$34)*'Reeksen (N)'!J174,0)</f>
        <v>0</v>
      </c>
      <c r="AS174" s="71">
        <f ca="1">-IF(C174=1,'Invoer gegevens (N)'!$C$10*'Invoer gegevens (N)'!$I$35*'Reeksen (N)'!L174,0)</f>
        <v>0</v>
      </c>
      <c r="AT174" s="71">
        <f ca="1">-IF(C174=1,IF(E174='Invoer gegevens (N)'!$C$17,'Invoer gegevens (N)'!$C$11,Q174)*'Reeksen (N)'!S174*'Invoer gegevens (N)'!$C$18*'Reeksen (N)'!P174,0)</f>
        <v>0</v>
      </c>
      <c r="AU174" s="71">
        <f ca="1">-IF(C174=1,'Invoer gegevens (N)'!$C$10*'Invoer gegevens (N)'!$I$36*'Reeksen (N)'!H174,0)</f>
        <v>0</v>
      </c>
      <c r="AV174" s="71">
        <v>0</v>
      </c>
      <c r="AW174" s="71">
        <f t="shared" ca="1" si="27"/>
        <v>0</v>
      </c>
      <c r="AX174" s="71">
        <f ca="1">IF(E174&lt;'Invoer gegevens (N)'!$C$17+15,0,IF(E174&gt;'Invoer gegevens (N)'!$C$17+215,0,AW174))</f>
        <v>0</v>
      </c>
      <c r="AY174" s="71">
        <f ca="1">AX174/(1+'Invoer gegevens (N)'!$F$13)^($AZ174-('Invoer gegevens (N)'!$C$17-'Invoer gegevens (N)'!$C$16))/(1+'Invoer gegevens (N)'!$C$39)^('Invoer gegevens (N)'!$C$17-'Invoer gegevens (N)'!$C$16)</f>
        <v>0</v>
      </c>
      <c r="AZ174" s="68">
        <f ca="1">IF(E174-'Invoer gegevens (N)'!$C$17-14.5&lt;0,0,E174-'Invoer gegevens (N)'!$C$17-14.5)</f>
        <v>154.5</v>
      </c>
    </row>
    <row r="175" spans="2:52" x14ac:dyDescent="0.25">
      <c r="B175" s="70">
        <f t="shared" si="28"/>
        <v>171</v>
      </c>
      <c r="C175" s="67">
        <f ca="1">IF(E175-'Invoer gegevens (N)'!$C$17&lt;0,0,1)</f>
        <v>1</v>
      </c>
      <c r="D175" s="68">
        <f t="shared" si="29"/>
        <v>170.5</v>
      </c>
      <c r="E175" s="69">
        <f ca="1">IF('Invoer gegevens (N)'!$C$16="","",E174+1)</f>
        <v>2189</v>
      </c>
      <c r="F175" s="82">
        <f ca="1">IF('Invoer gegevens (N)'!$C$17=E175,'Invoer gegevens (N)'!$C$10,IF(C175=1,H174,0))</f>
        <v>0</v>
      </c>
      <c r="G175" s="83">
        <f ca="1">IF(C175&gt;=1,F175*'Reeksen (N)'!C175,0)</f>
        <v>0</v>
      </c>
      <c r="H175" s="84">
        <f t="shared" ca="1" si="23"/>
        <v>0</v>
      </c>
      <c r="I175" s="85">
        <f ca="1">IF('Invoer gegevens (N)'!$C$17=E175,'Invoer gegevens (N)'!$C$11,IF(C175=1,L174,0))</f>
        <v>0</v>
      </c>
      <c r="J175" s="86">
        <f ca="1">IF(C175&lt;1,0,IF('Reeksen (N)'!AK175&lt;='Reeksen (N)'!AE175,I175*'Reeksen (N)'!C175,0))</f>
        <v>0</v>
      </c>
      <c r="K175" s="86">
        <f ca="1">IF(C175&lt;1,0,IF('Reeksen (N)'!AK175&gt;'Reeksen (N)'!AE175,I175*'Reeksen (N)'!C175,0))</f>
        <v>0</v>
      </c>
      <c r="L175" s="86">
        <f t="shared" ca="1" si="24"/>
        <v>0</v>
      </c>
      <c r="M175" s="85">
        <f ca="1">IF('Invoer gegevens (N)'!$C$17=E175,'Invoer gegevens (N)'!$C$10-'Invoer gegevens (N)'!$C$11,IF(C175=1,P174,0))</f>
        <v>0</v>
      </c>
      <c r="N175" s="86">
        <f ca="1">IF(C175&lt;1,0,IF('Reeksen (N)'!AK175&lt;='Reeksen (N)'!AE175,M175*'Reeksen (N)'!C175,0))</f>
        <v>0</v>
      </c>
      <c r="O175" s="86">
        <f ca="1">IF(C175&lt;1,0,IF('Reeksen (N)'!AK175&gt;'Reeksen (N)'!AE175,M175*'Reeksen (N)'!C175,0))</f>
        <v>0</v>
      </c>
      <c r="P175" s="86">
        <f t="shared" ca="1" si="25"/>
        <v>0</v>
      </c>
      <c r="Q175" s="82">
        <f ca="1">IF('Invoer gegevens (N)'!$C$17=E175,I175,IF(C175=0,0,R174))</f>
        <v>0</v>
      </c>
      <c r="R175" s="84">
        <f t="shared" ca="1" si="20"/>
        <v>0</v>
      </c>
      <c r="S175" s="84">
        <f ca="1">IF('Invoer gegevens (N)'!$C$17=E175,M175,IF(C175=0,0,T174))</f>
        <v>0</v>
      </c>
      <c r="T175" s="84">
        <f t="shared" ca="1" si="21"/>
        <v>0</v>
      </c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8"/>
      <c r="AI175" s="71">
        <f ca="1">IF(C175=1,((F175+H175)/2*'Reeksen (N)'!AJ175*12)+(('Invoer gegevens (N)'!$C$10-(F175+H175)/2)*'Reeksen (N)'!AK175*12),0)</f>
        <v>0</v>
      </c>
      <c r="AJ175" s="71">
        <f ca="1">-AI175*'Invoer gegevens (N)'!$F$28</f>
        <v>0</v>
      </c>
      <c r="AK175" s="71">
        <f t="shared" ca="1" si="22"/>
        <v>0</v>
      </c>
      <c r="AL175" s="71">
        <f ca="1">IF(C175=1,(12*((F175+H175)/2)*'Reeksen (N)'!AL175)+(12*('Invoer gegevens (N)'!$C$10-(F175+H175)/2)*'Reeksen (N)'!AM175),0)</f>
        <v>0</v>
      </c>
      <c r="AM175" s="71">
        <f ca="1">-AL175*'Invoer gegevens (N)'!$F$31</f>
        <v>0</v>
      </c>
      <c r="AN175" s="71">
        <f t="shared" ca="1" si="26"/>
        <v>0</v>
      </c>
      <c r="AO175" s="71"/>
      <c r="AP175" s="71"/>
      <c r="AQ175" s="71">
        <f ca="1">-IF(C175=1,('Invoer gegevens (N)'!$C$10*'Invoer gegevens (N)'!$I$33)*'Reeksen (N)'!J175,0)*2</f>
        <v>0</v>
      </c>
      <c r="AR175" s="71">
        <f ca="1">-IF(C175=1,(G175*'Invoer gegevens (N)'!$I$34)*'Reeksen (N)'!J175,0)</f>
        <v>0</v>
      </c>
      <c r="AS175" s="71">
        <f ca="1">-IF(C175=1,'Invoer gegevens (N)'!$C$10*'Invoer gegevens (N)'!$I$35*'Reeksen (N)'!L175,0)</f>
        <v>0</v>
      </c>
      <c r="AT175" s="71">
        <f ca="1">-IF(C175=1,IF(E175='Invoer gegevens (N)'!$C$17,'Invoer gegevens (N)'!$C$11,Q175)*'Reeksen (N)'!S175*'Invoer gegevens (N)'!$C$18*'Reeksen (N)'!P175,0)</f>
        <v>0</v>
      </c>
      <c r="AU175" s="71">
        <f ca="1">-IF(C175=1,'Invoer gegevens (N)'!$C$10*'Invoer gegevens (N)'!$I$36*'Reeksen (N)'!H175,0)</f>
        <v>0</v>
      </c>
      <c r="AV175" s="71">
        <v>0</v>
      </c>
      <c r="AW175" s="71">
        <f t="shared" ca="1" si="27"/>
        <v>0</v>
      </c>
      <c r="AX175" s="71">
        <f ca="1">IF(E175&lt;'Invoer gegevens (N)'!$C$17+15,0,IF(E175&gt;'Invoer gegevens (N)'!$C$17+215,0,AW175))</f>
        <v>0</v>
      </c>
      <c r="AY175" s="71">
        <f ca="1">AX175/(1+'Invoer gegevens (N)'!$F$13)^($AZ175-('Invoer gegevens (N)'!$C$17-'Invoer gegevens (N)'!$C$16))/(1+'Invoer gegevens (N)'!$C$39)^('Invoer gegevens (N)'!$C$17-'Invoer gegevens (N)'!$C$16)</f>
        <v>0</v>
      </c>
      <c r="AZ175" s="68">
        <f ca="1">IF(E175-'Invoer gegevens (N)'!$C$17-14.5&lt;0,0,E175-'Invoer gegevens (N)'!$C$17-14.5)</f>
        <v>155.5</v>
      </c>
    </row>
    <row r="176" spans="2:52" x14ac:dyDescent="0.25">
      <c r="B176" s="70">
        <f t="shared" si="28"/>
        <v>172</v>
      </c>
      <c r="C176" s="67">
        <f ca="1">IF(E176-'Invoer gegevens (N)'!$C$17&lt;0,0,1)</f>
        <v>1</v>
      </c>
      <c r="D176" s="68">
        <f t="shared" si="29"/>
        <v>171.5</v>
      </c>
      <c r="E176" s="69">
        <f ca="1">IF('Invoer gegevens (N)'!$C$16="","",E175+1)</f>
        <v>2190</v>
      </c>
      <c r="F176" s="82">
        <f ca="1">IF('Invoer gegevens (N)'!$C$17=E176,'Invoer gegevens (N)'!$C$10,IF(C176=1,H175,0))</f>
        <v>0</v>
      </c>
      <c r="G176" s="83">
        <f ca="1">IF(C176&gt;=1,F176*'Reeksen (N)'!C176,0)</f>
        <v>0</v>
      </c>
      <c r="H176" s="84">
        <f t="shared" ca="1" si="23"/>
        <v>0</v>
      </c>
      <c r="I176" s="85">
        <f ca="1">IF('Invoer gegevens (N)'!$C$17=E176,'Invoer gegevens (N)'!$C$11,IF(C176=1,L175,0))</f>
        <v>0</v>
      </c>
      <c r="J176" s="86">
        <f ca="1">IF(C176&lt;1,0,IF('Reeksen (N)'!AK176&lt;='Reeksen (N)'!AE176,I176*'Reeksen (N)'!C176,0))</f>
        <v>0</v>
      </c>
      <c r="K176" s="86">
        <f ca="1">IF(C176&lt;1,0,IF('Reeksen (N)'!AK176&gt;'Reeksen (N)'!AE176,I176*'Reeksen (N)'!C176,0))</f>
        <v>0</v>
      </c>
      <c r="L176" s="86">
        <f t="shared" ca="1" si="24"/>
        <v>0</v>
      </c>
      <c r="M176" s="85">
        <f ca="1">IF('Invoer gegevens (N)'!$C$17=E176,'Invoer gegevens (N)'!$C$10-'Invoer gegevens (N)'!$C$11,IF(C176=1,P175,0))</f>
        <v>0</v>
      </c>
      <c r="N176" s="86">
        <f ca="1">IF(C176&lt;1,0,IF('Reeksen (N)'!AK176&lt;='Reeksen (N)'!AE176,M176*'Reeksen (N)'!C176,0))</f>
        <v>0</v>
      </c>
      <c r="O176" s="86">
        <f ca="1">IF(C176&lt;1,0,IF('Reeksen (N)'!AK176&gt;'Reeksen (N)'!AE176,M176*'Reeksen (N)'!C176,0))</f>
        <v>0</v>
      </c>
      <c r="P176" s="86">
        <f t="shared" ca="1" si="25"/>
        <v>0</v>
      </c>
      <c r="Q176" s="82">
        <f ca="1">IF('Invoer gegevens (N)'!$C$17=E176,I176,IF(C176=0,0,R175))</f>
        <v>0</v>
      </c>
      <c r="R176" s="84">
        <f t="shared" ca="1" si="20"/>
        <v>0</v>
      </c>
      <c r="S176" s="84">
        <f ca="1">IF('Invoer gegevens (N)'!$C$17=E176,M176,IF(C176=0,0,T175))</f>
        <v>0</v>
      </c>
      <c r="T176" s="84">
        <f t="shared" ca="1" si="21"/>
        <v>0</v>
      </c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8"/>
      <c r="AI176" s="71">
        <f ca="1">IF(C176=1,((F176+H176)/2*'Reeksen (N)'!AJ176*12)+(('Invoer gegevens (N)'!$C$10-(F176+H176)/2)*'Reeksen (N)'!AK176*12),0)</f>
        <v>0</v>
      </c>
      <c r="AJ176" s="71">
        <f ca="1">-AI176*'Invoer gegevens (N)'!$F$28</f>
        <v>0</v>
      </c>
      <c r="AK176" s="71">
        <f t="shared" ca="1" si="22"/>
        <v>0</v>
      </c>
      <c r="AL176" s="71">
        <f ca="1">IF(C176=1,(12*((F176+H176)/2)*'Reeksen (N)'!AL176)+(12*('Invoer gegevens (N)'!$C$10-(F176+H176)/2)*'Reeksen (N)'!AM176),0)</f>
        <v>0</v>
      </c>
      <c r="AM176" s="71">
        <f ca="1">-AL176*'Invoer gegevens (N)'!$F$31</f>
        <v>0</v>
      </c>
      <c r="AN176" s="71">
        <f t="shared" ca="1" si="26"/>
        <v>0</v>
      </c>
      <c r="AO176" s="71"/>
      <c r="AP176" s="71"/>
      <c r="AQ176" s="71">
        <f ca="1">-IF(C176=1,('Invoer gegevens (N)'!$C$10*'Invoer gegevens (N)'!$I$33)*'Reeksen (N)'!J176,0)*2</f>
        <v>0</v>
      </c>
      <c r="AR176" s="71">
        <f ca="1">-IF(C176=1,(G176*'Invoer gegevens (N)'!$I$34)*'Reeksen (N)'!J176,0)</f>
        <v>0</v>
      </c>
      <c r="AS176" s="71">
        <f ca="1">-IF(C176=1,'Invoer gegevens (N)'!$C$10*'Invoer gegevens (N)'!$I$35*'Reeksen (N)'!L176,0)</f>
        <v>0</v>
      </c>
      <c r="AT176" s="71">
        <f ca="1">-IF(C176=1,IF(E176='Invoer gegevens (N)'!$C$17,'Invoer gegevens (N)'!$C$11,Q176)*'Reeksen (N)'!S176*'Invoer gegevens (N)'!$C$18*'Reeksen (N)'!P176,0)</f>
        <v>0</v>
      </c>
      <c r="AU176" s="71">
        <f ca="1">-IF(C176=1,'Invoer gegevens (N)'!$C$10*'Invoer gegevens (N)'!$I$36*'Reeksen (N)'!H176,0)</f>
        <v>0</v>
      </c>
      <c r="AV176" s="71">
        <v>0</v>
      </c>
      <c r="AW176" s="71">
        <f t="shared" ca="1" si="27"/>
        <v>0</v>
      </c>
      <c r="AX176" s="71">
        <f ca="1">IF(E176&lt;'Invoer gegevens (N)'!$C$17+15,0,IF(E176&gt;'Invoer gegevens (N)'!$C$17+215,0,AW176))</f>
        <v>0</v>
      </c>
      <c r="AY176" s="71">
        <f ca="1">AX176/(1+'Invoer gegevens (N)'!$F$13)^($AZ176-('Invoer gegevens (N)'!$C$17-'Invoer gegevens (N)'!$C$16))/(1+'Invoer gegevens (N)'!$C$39)^('Invoer gegevens (N)'!$C$17-'Invoer gegevens (N)'!$C$16)</f>
        <v>0</v>
      </c>
      <c r="AZ176" s="68">
        <f ca="1">IF(E176-'Invoer gegevens (N)'!$C$17-14.5&lt;0,0,E176-'Invoer gegevens (N)'!$C$17-14.5)</f>
        <v>156.5</v>
      </c>
    </row>
    <row r="177" spans="2:52" x14ac:dyDescent="0.25">
      <c r="B177" s="70">
        <f t="shared" si="28"/>
        <v>173</v>
      </c>
      <c r="C177" s="67">
        <f ca="1">IF(E177-'Invoer gegevens (N)'!$C$17&lt;0,0,1)</f>
        <v>1</v>
      </c>
      <c r="D177" s="68">
        <f t="shared" si="29"/>
        <v>172.5</v>
      </c>
      <c r="E177" s="69">
        <f ca="1">IF('Invoer gegevens (N)'!$C$16="","",E176+1)</f>
        <v>2191</v>
      </c>
      <c r="F177" s="82">
        <f ca="1">IF('Invoer gegevens (N)'!$C$17=E177,'Invoer gegevens (N)'!$C$10,IF(C177=1,H176,0))</f>
        <v>0</v>
      </c>
      <c r="G177" s="83">
        <f ca="1">IF(C177&gt;=1,F177*'Reeksen (N)'!C177,0)</f>
        <v>0</v>
      </c>
      <c r="H177" s="84">
        <f t="shared" ca="1" si="23"/>
        <v>0</v>
      </c>
      <c r="I177" s="85">
        <f ca="1">IF('Invoer gegevens (N)'!$C$17=E177,'Invoer gegevens (N)'!$C$11,IF(C177=1,L176,0))</f>
        <v>0</v>
      </c>
      <c r="J177" s="86">
        <f ca="1">IF(C177&lt;1,0,IF('Reeksen (N)'!AK177&lt;='Reeksen (N)'!AE177,I177*'Reeksen (N)'!C177,0))</f>
        <v>0</v>
      </c>
      <c r="K177" s="86">
        <f ca="1">IF(C177&lt;1,0,IF('Reeksen (N)'!AK177&gt;'Reeksen (N)'!AE177,I177*'Reeksen (N)'!C177,0))</f>
        <v>0</v>
      </c>
      <c r="L177" s="86">
        <f t="shared" ca="1" si="24"/>
        <v>0</v>
      </c>
      <c r="M177" s="85">
        <f ca="1">IF('Invoer gegevens (N)'!$C$17=E177,'Invoer gegevens (N)'!$C$10-'Invoer gegevens (N)'!$C$11,IF(C177=1,P176,0))</f>
        <v>0</v>
      </c>
      <c r="N177" s="86">
        <f ca="1">IF(C177&lt;1,0,IF('Reeksen (N)'!AK177&lt;='Reeksen (N)'!AE177,M177*'Reeksen (N)'!C177,0))</f>
        <v>0</v>
      </c>
      <c r="O177" s="86">
        <f ca="1">IF(C177&lt;1,0,IF('Reeksen (N)'!AK177&gt;'Reeksen (N)'!AE177,M177*'Reeksen (N)'!C177,0))</f>
        <v>0</v>
      </c>
      <c r="P177" s="86">
        <f t="shared" ca="1" si="25"/>
        <v>0</v>
      </c>
      <c r="Q177" s="82">
        <f ca="1">IF('Invoer gegevens (N)'!$C$17=E177,I177,IF(C177=0,0,R176))</f>
        <v>0</v>
      </c>
      <c r="R177" s="84">
        <f t="shared" ca="1" si="20"/>
        <v>0</v>
      </c>
      <c r="S177" s="84">
        <f ca="1">IF('Invoer gegevens (N)'!$C$17=E177,M177,IF(C177=0,0,T176))</f>
        <v>0</v>
      </c>
      <c r="T177" s="84">
        <f t="shared" ca="1" si="21"/>
        <v>0</v>
      </c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8"/>
      <c r="AI177" s="71">
        <f ca="1">IF(C177=1,((F177+H177)/2*'Reeksen (N)'!AJ177*12)+(('Invoer gegevens (N)'!$C$10-(F177+H177)/2)*'Reeksen (N)'!AK177*12),0)</f>
        <v>0</v>
      </c>
      <c r="AJ177" s="71">
        <f ca="1">-AI177*'Invoer gegevens (N)'!$F$28</f>
        <v>0</v>
      </c>
      <c r="AK177" s="71">
        <f t="shared" ca="1" si="22"/>
        <v>0</v>
      </c>
      <c r="AL177" s="71">
        <f ca="1">IF(C177=1,(12*((F177+H177)/2)*'Reeksen (N)'!AL177)+(12*('Invoer gegevens (N)'!$C$10-(F177+H177)/2)*'Reeksen (N)'!AM177),0)</f>
        <v>0</v>
      </c>
      <c r="AM177" s="71">
        <f ca="1">-AL177*'Invoer gegevens (N)'!$F$31</f>
        <v>0</v>
      </c>
      <c r="AN177" s="71">
        <f t="shared" ca="1" si="26"/>
        <v>0</v>
      </c>
      <c r="AO177" s="71"/>
      <c r="AP177" s="71"/>
      <c r="AQ177" s="71">
        <f ca="1">-IF(C177=1,('Invoer gegevens (N)'!$C$10*'Invoer gegevens (N)'!$I$33)*'Reeksen (N)'!J177,0)*2</f>
        <v>0</v>
      </c>
      <c r="AR177" s="71">
        <f ca="1">-IF(C177=1,(G177*'Invoer gegevens (N)'!$I$34)*'Reeksen (N)'!J177,0)</f>
        <v>0</v>
      </c>
      <c r="AS177" s="71">
        <f ca="1">-IF(C177=1,'Invoer gegevens (N)'!$C$10*'Invoer gegevens (N)'!$I$35*'Reeksen (N)'!L177,0)</f>
        <v>0</v>
      </c>
      <c r="AT177" s="71">
        <f ca="1">-IF(C177=1,IF(E177='Invoer gegevens (N)'!$C$17,'Invoer gegevens (N)'!$C$11,Q177)*'Reeksen (N)'!S177*'Invoer gegevens (N)'!$C$18*'Reeksen (N)'!P177,0)</f>
        <v>0</v>
      </c>
      <c r="AU177" s="71">
        <f ca="1">-IF(C177=1,'Invoer gegevens (N)'!$C$10*'Invoer gegevens (N)'!$I$36*'Reeksen (N)'!H177,0)</f>
        <v>0</v>
      </c>
      <c r="AV177" s="71">
        <v>0</v>
      </c>
      <c r="AW177" s="71">
        <f t="shared" ca="1" si="27"/>
        <v>0</v>
      </c>
      <c r="AX177" s="71">
        <f ca="1">IF(E177&lt;'Invoer gegevens (N)'!$C$17+15,0,IF(E177&gt;'Invoer gegevens (N)'!$C$17+215,0,AW177))</f>
        <v>0</v>
      </c>
      <c r="AY177" s="71">
        <f ca="1">AX177/(1+'Invoer gegevens (N)'!$F$13)^($AZ177-('Invoer gegevens (N)'!$C$17-'Invoer gegevens (N)'!$C$16))/(1+'Invoer gegevens (N)'!$C$39)^('Invoer gegevens (N)'!$C$17-'Invoer gegevens (N)'!$C$16)</f>
        <v>0</v>
      </c>
      <c r="AZ177" s="68">
        <f ca="1">IF(E177-'Invoer gegevens (N)'!$C$17-14.5&lt;0,0,E177-'Invoer gegevens (N)'!$C$17-14.5)</f>
        <v>157.5</v>
      </c>
    </row>
    <row r="178" spans="2:52" x14ac:dyDescent="0.25">
      <c r="B178" s="70">
        <f t="shared" si="28"/>
        <v>174</v>
      </c>
      <c r="C178" s="67">
        <f ca="1">IF(E178-'Invoer gegevens (N)'!$C$17&lt;0,0,1)</f>
        <v>1</v>
      </c>
      <c r="D178" s="68">
        <f t="shared" si="29"/>
        <v>173.5</v>
      </c>
      <c r="E178" s="69">
        <f ca="1">IF('Invoer gegevens (N)'!$C$16="","",E177+1)</f>
        <v>2192</v>
      </c>
      <c r="F178" s="82">
        <f ca="1">IF('Invoer gegevens (N)'!$C$17=E178,'Invoer gegevens (N)'!$C$10,IF(C178=1,H177,0))</f>
        <v>0</v>
      </c>
      <c r="G178" s="83">
        <f ca="1">IF(C178&gt;=1,F178*'Reeksen (N)'!C178,0)</f>
        <v>0</v>
      </c>
      <c r="H178" s="84">
        <f t="shared" ca="1" si="23"/>
        <v>0</v>
      </c>
      <c r="I178" s="85">
        <f ca="1">IF('Invoer gegevens (N)'!$C$17=E178,'Invoer gegevens (N)'!$C$11,IF(C178=1,L177,0))</f>
        <v>0</v>
      </c>
      <c r="J178" s="86">
        <f ca="1">IF(C178&lt;1,0,IF('Reeksen (N)'!AK178&lt;='Reeksen (N)'!AE178,I178*'Reeksen (N)'!C178,0))</f>
        <v>0</v>
      </c>
      <c r="K178" s="86">
        <f ca="1">IF(C178&lt;1,0,IF('Reeksen (N)'!AK178&gt;'Reeksen (N)'!AE178,I178*'Reeksen (N)'!C178,0))</f>
        <v>0</v>
      </c>
      <c r="L178" s="86">
        <f t="shared" ca="1" si="24"/>
        <v>0</v>
      </c>
      <c r="M178" s="85">
        <f ca="1">IF('Invoer gegevens (N)'!$C$17=E178,'Invoer gegevens (N)'!$C$10-'Invoer gegevens (N)'!$C$11,IF(C178=1,P177,0))</f>
        <v>0</v>
      </c>
      <c r="N178" s="86">
        <f ca="1">IF(C178&lt;1,0,IF('Reeksen (N)'!AK178&lt;='Reeksen (N)'!AE178,M178*'Reeksen (N)'!C178,0))</f>
        <v>0</v>
      </c>
      <c r="O178" s="86">
        <f ca="1">IF(C178&lt;1,0,IF('Reeksen (N)'!AK178&gt;'Reeksen (N)'!AE178,M178*'Reeksen (N)'!C178,0))</f>
        <v>0</v>
      </c>
      <c r="P178" s="86">
        <f t="shared" ca="1" si="25"/>
        <v>0</v>
      </c>
      <c r="Q178" s="82">
        <f ca="1">IF('Invoer gegevens (N)'!$C$17=E178,I178,IF(C178=0,0,R177))</f>
        <v>0</v>
      </c>
      <c r="R178" s="84">
        <f t="shared" ca="1" si="20"/>
        <v>0</v>
      </c>
      <c r="S178" s="84">
        <f ca="1">IF('Invoer gegevens (N)'!$C$17=E178,M178,IF(C178=0,0,T177))</f>
        <v>0</v>
      </c>
      <c r="T178" s="84">
        <f t="shared" ca="1" si="21"/>
        <v>0</v>
      </c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8"/>
      <c r="AI178" s="71">
        <f ca="1">IF(C178=1,((F178+H178)/2*'Reeksen (N)'!AJ178*12)+(('Invoer gegevens (N)'!$C$10-(F178+H178)/2)*'Reeksen (N)'!AK178*12),0)</f>
        <v>0</v>
      </c>
      <c r="AJ178" s="71">
        <f ca="1">-AI178*'Invoer gegevens (N)'!$F$28</f>
        <v>0</v>
      </c>
      <c r="AK178" s="71">
        <f t="shared" ca="1" si="22"/>
        <v>0</v>
      </c>
      <c r="AL178" s="71">
        <f ca="1">IF(C178=1,(12*((F178+H178)/2)*'Reeksen (N)'!AL178)+(12*('Invoer gegevens (N)'!$C$10-(F178+H178)/2)*'Reeksen (N)'!AM178),0)</f>
        <v>0</v>
      </c>
      <c r="AM178" s="71">
        <f ca="1">-AL178*'Invoer gegevens (N)'!$F$31</f>
        <v>0</v>
      </c>
      <c r="AN178" s="71">
        <f t="shared" ca="1" si="26"/>
        <v>0</v>
      </c>
      <c r="AO178" s="71"/>
      <c r="AP178" s="71"/>
      <c r="AQ178" s="71">
        <f ca="1">-IF(C178=1,('Invoer gegevens (N)'!$C$10*'Invoer gegevens (N)'!$I$33)*'Reeksen (N)'!J178,0)*2</f>
        <v>0</v>
      </c>
      <c r="AR178" s="71">
        <f ca="1">-IF(C178=1,(G178*'Invoer gegevens (N)'!$I$34)*'Reeksen (N)'!J178,0)</f>
        <v>0</v>
      </c>
      <c r="AS178" s="71">
        <f ca="1">-IF(C178=1,'Invoer gegevens (N)'!$C$10*'Invoer gegevens (N)'!$I$35*'Reeksen (N)'!L178,0)</f>
        <v>0</v>
      </c>
      <c r="AT178" s="71">
        <f ca="1">-IF(C178=1,IF(E178='Invoer gegevens (N)'!$C$17,'Invoer gegevens (N)'!$C$11,Q178)*'Reeksen (N)'!S178*'Invoer gegevens (N)'!$C$18*'Reeksen (N)'!P178,0)</f>
        <v>0</v>
      </c>
      <c r="AU178" s="71">
        <f ca="1">-IF(C178=1,'Invoer gegevens (N)'!$C$10*'Invoer gegevens (N)'!$I$36*'Reeksen (N)'!H178,0)</f>
        <v>0</v>
      </c>
      <c r="AV178" s="71">
        <v>0</v>
      </c>
      <c r="AW178" s="71">
        <f t="shared" ca="1" si="27"/>
        <v>0</v>
      </c>
      <c r="AX178" s="71">
        <f ca="1">IF(E178&lt;'Invoer gegevens (N)'!$C$17+15,0,IF(E178&gt;'Invoer gegevens (N)'!$C$17+215,0,AW178))</f>
        <v>0</v>
      </c>
      <c r="AY178" s="71">
        <f ca="1">AX178/(1+'Invoer gegevens (N)'!$F$13)^($AZ178-('Invoer gegevens (N)'!$C$17-'Invoer gegevens (N)'!$C$16))/(1+'Invoer gegevens (N)'!$C$39)^('Invoer gegevens (N)'!$C$17-'Invoer gegevens (N)'!$C$16)</f>
        <v>0</v>
      </c>
      <c r="AZ178" s="68">
        <f ca="1">IF(E178-'Invoer gegevens (N)'!$C$17-14.5&lt;0,0,E178-'Invoer gegevens (N)'!$C$17-14.5)</f>
        <v>158.5</v>
      </c>
    </row>
    <row r="179" spans="2:52" x14ac:dyDescent="0.25">
      <c r="B179" s="70">
        <f t="shared" si="28"/>
        <v>175</v>
      </c>
      <c r="C179" s="67">
        <f ca="1">IF(E179-'Invoer gegevens (N)'!$C$17&lt;0,0,1)</f>
        <v>1</v>
      </c>
      <c r="D179" s="68">
        <f t="shared" si="29"/>
        <v>174.5</v>
      </c>
      <c r="E179" s="69">
        <f ca="1">IF('Invoer gegevens (N)'!$C$16="","",E178+1)</f>
        <v>2193</v>
      </c>
      <c r="F179" s="82">
        <f ca="1">IF('Invoer gegevens (N)'!$C$17=E179,'Invoer gegevens (N)'!$C$10,IF(C179=1,H178,0))</f>
        <v>0</v>
      </c>
      <c r="G179" s="83">
        <f ca="1">IF(C179&gt;=1,F179*'Reeksen (N)'!C179,0)</f>
        <v>0</v>
      </c>
      <c r="H179" s="84">
        <f t="shared" ca="1" si="23"/>
        <v>0</v>
      </c>
      <c r="I179" s="85">
        <f ca="1">IF('Invoer gegevens (N)'!$C$17=E179,'Invoer gegevens (N)'!$C$11,IF(C179=1,L178,0))</f>
        <v>0</v>
      </c>
      <c r="J179" s="86">
        <f ca="1">IF(C179&lt;1,0,IF('Reeksen (N)'!AK179&lt;='Reeksen (N)'!AE179,I179*'Reeksen (N)'!C179,0))</f>
        <v>0</v>
      </c>
      <c r="K179" s="86">
        <f ca="1">IF(C179&lt;1,0,IF('Reeksen (N)'!AK179&gt;'Reeksen (N)'!AE179,I179*'Reeksen (N)'!C179,0))</f>
        <v>0</v>
      </c>
      <c r="L179" s="86">
        <f t="shared" ca="1" si="24"/>
        <v>0</v>
      </c>
      <c r="M179" s="85">
        <f ca="1">IF('Invoer gegevens (N)'!$C$17=E179,'Invoer gegevens (N)'!$C$10-'Invoer gegevens (N)'!$C$11,IF(C179=1,P178,0))</f>
        <v>0</v>
      </c>
      <c r="N179" s="86">
        <f ca="1">IF(C179&lt;1,0,IF('Reeksen (N)'!AK179&lt;='Reeksen (N)'!AE179,M179*'Reeksen (N)'!C179,0))</f>
        <v>0</v>
      </c>
      <c r="O179" s="86">
        <f ca="1">IF(C179&lt;1,0,IF('Reeksen (N)'!AK179&gt;'Reeksen (N)'!AE179,M179*'Reeksen (N)'!C179,0))</f>
        <v>0</v>
      </c>
      <c r="P179" s="86">
        <f t="shared" ca="1" si="25"/>
        <v>0</v>
      </c>
      <c r="Q179" s="82">
        <f ca="1">IF('Invoer gegevens (N)'!$C$17=E179,I179,IF(C179=0,0,R178))</f>
        <v>0</v>
      </c>
      <c r="R179" s="84">
        <f t="shared" ca="1" si="20"/>
        <v>0</v>
      </c>
      <c r="S179" s="84">
        <f ca="1">IF('Invoer gegevens (N)'!$C$17=E179,M179,IF(C179=0,0,T178))</f>
        <v>0</v>
      </c>
      <c r="T179" s="84">
        <f t="shared" ca="1" si="21"/>
        <v>0</v>
      </c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8"/>
      <c r="AI179" s="71">
        <f ca="1">IF(C179=1,((F179+H179)/2*'Reeksen (N)'!AJ179*12)+(('Invoer gegevens (N)'!$C$10-(F179+H179)/2)*'Reeksen (N)'!AK179*12),0)</f>
        <v>0</v>
      </c>
      <c r="AJ179" s="71">
        <f ca="1">-AI179*'Invoer gegevens (N)'!$F$28</f>
        <v>0</v>
      </c>
      <c r="AK179" s="71">
        <f t="shared" ca="1" si="22"/>
        <v>0</v>
      </c>
      <c r="AL179" s="71">
        <f ca="1">IF(C179=1,(12*((F179+H179)/2)*'Reeksen (N)'!AL179)+(12*('Invoer gegevens (N)'!$C$10-(F179+H179)/2)*'Reeksen (N)'!AM179),0)</f>
        <v>0</v>
      </c>
      <c r="AM179" s="71">
        <f ca="1">-AL179*'Invoer gegevens (N)'!$F$31</f>
        <v>0</v>
      </c>
      <c r="AN179" s="71">
        <f t="shared" ca="1" si="26"/>
        <v>0</v>
      </c>
      <c r="AO179" s="71"/>
      <c r="AP179" s="71"/>
      <c r="AQ179" s="71">
        <f ca="1">-IF(C179=1,('Invoer gegevens (N)'!$C$10*'Invoer gegevens (N)'!$I$33)*'Reeksen (N)'!J179,0)*2</f>
        <v>0</v>
      </c>
      <c r="AR179" s="71">
        <f ca="1">-IF(C179=1,(G179*'Invoer gegevens (N)'!$I$34)*'Reeksen (N)'!J179,0)</f>
        <v>0</v>
      </c>
      <c r="AS179" s="71">
        <f ca="1">-IF(C179=1,'Invoer gegevens (N)'!$C$10*'Invoer gegevens (N)'!$I$35*'Reeksen (N)'!L179,0)</f>
        <v>0</v>
      </c>
      <c r="AT179" s="71">
        <f ca="1">-IF(C179=1,IF(E179='Invoer gegevens (N)'!$C$17,'Invoer gegevens (N)'!$C$11,Q179)*'Reeksen (N)'!S179*'Invoer gegevens (N)'!$C$18*'Reeksen (N)'!P179,0)</f>
        <v>0</v>
      </c>
      <c r="AU179" s="71">
        <f ca="1">-IF(C179=1,'Invoer gegevens (N)'!$C$10*'Invoer gegevens (N)'!$I$36*'Reeksen (N)'!H179,0)</f>
        <v>0</v>
      </c>
      <c r="AV179" s="71">
        <v>0</v>
      </c>
      <c r="AW179" s="71">
        <f t="shared" ca="1" si="27"/>
        <v>0</v>
      </c>
      <c r="AX179" s="71">
        <f ca="1">IF(E179&lt;'Invoer gegevens (N)'!$C$17+15,0,IF(E179&gt;'Invoer gegevens (N)'!$C$17+215,0,AW179))</f>
        <v>0</v>
      </c>
      <c r="AY179" s="71">
        <f ca="1">AX179/(1+'Invoer gegevens (N)'!$F$13)^($AZ179-('Invoer gegevens (N)'!$C$17-'Invoer gegevens (N)'!$C$16))/(1+'Invoer gegevens (N)'!$C$39)^('Invoer gegevens (N)'!$C$17-'Invoer gegevens (N)'!$C$16)</f>
        <v>0</v>
      </c>
      <c r="AZ179" s="68">
        <f ca="1">IF(E179-'Invoer gegevens (N)'!$C$17-14.5&lt;0,0,E179-'Invoer gegevens (N)'!$C$17-14.5)</f>
        <v>159.5</v>
      </c>
    </row>
    <row r="180" spans="2:52" x14ac:dyDescent="0.25">
      <c r="B180" s="70">
        <f t="shared" si="28"/>
        <v>176</v>
      </c>
      <c r="C180" s="67">
        <f ca="1">IF(E180-'Invoer gegevens (N)'!$C$17&lt;0,0,1)</f>
        <v>1</v>
      </c>
      <c r="D180" s="68">
        <f t="shared" si="29"/>
        <v>175.5</v>
      </c>
      <c r="E180" s="69">
        <f ca="1">IF('Invoer gegevens (N)'!$C$16="","",E179+1)</f>
        <v>2194</v>
      </c>
      <c r="F180" s="82">
        <f ca="1">IF('Invoer gegevens (N)'!$C$17=E180,'Invoer gegevens (N)'!$C$10,IF(C180=1,H179,0))</f>
        <v>0</v>
      </c>
      <c r="G180" s="83">
        <f ca="1">IF(C180&gt;=1,F180*'Reeksen (N)'!C180,0)</f>
        <v>0</v>
      </c>
      <c r="H180" s="84">
        <f t="shared" ca="1" si="23"/>
        <v>0</v>
      </c>
      <c r="I180" s="85">
        <f ca="1">IF('Invoer gegevens (N)'!$C$17=E180,'Invoer gegevens (N)'!$C$11,IF(C180=1,L179,0))</f>
        <v>0</v>
      </c>
      <c r="J180" s="86">
        <f ca="1">IF(C180&lt;1,0,IF('Reeksen (N)'!AK180&lt;='Reeksen (N)'!AE180,I180*'Reeksen (N)'!C180,0))</f>
        <v>0</v>
      </c>
      <c r="K180" s="86">
        <f ca="1">IF(C180&lt;1,0,IF('Reeksen (N)'!AK180&gt;'Reeksen (N)'!AE180,I180*'Reeksen (N)'!C180,0))</f>
        <v>0</v>
      </c>
      <c r="L180" s="86">
        <f t="shared" ca="1" si="24"/>
        <v>0</v>
      </c>
      <c r="M180" s="85">
        <f ca="1">IF('Invoer gegevens (N)'!$C$17=E180,'Invoer gegevens (N)'!$C$10-'Invoer gegevens (N)'!$C$11,IF(C180=1,P179,0))</f>
        <v>0</v>
      </c>
      <c r="N180" s="86">
        <f ca="1">IF(C180&lt;1,0,IF('Reeksen (N)'!AK180&lt;='Reeksen (N)'!AE180,M180*'Reeksen (N)'!C180,0))</f>
        <v>0</v>
      </c>
      <c r="O180" s="86">
        <f ca="1">IF(C180&lt;1,0,IF('Reeksen (N)'!AK180&gt;'Reeksen (N)'!AE180,M180*'Reeksen (N)'!C180,0))</f>
        <v>0</v>
      </c>
      <c r="P180" s="86">
        <f t="shared" ca="1" si="25"/>
        <v>0</v>
      </c>
      <c r="Q180" s="82">
        <f ca="1">IF('Invoer gegevens (N)'!$C$17=E180,I180,IF(C180=0,0,R179))</f>
        <v>0</v>
      </c>
      <c r="R180" s="84">
        <f t="shared" ca="1" si="20"/>
        <v>0</v>
      </c>
      <c r="S180" s="84">
        <f ca="1">IF('Invoer gegevens (N)'!$C$17=E180,M180,IF(C180=0,0,T179))</f>
        <v>0</v>
      </c>
      <c r="T180" s="84">
        <f t="shared" ca="1" si="21"/>
        <v>0</v>
      </c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8"/>
      <c r="AI180" s="71">
        <f ca="1">IF(C180=1,((F180+H180)/2*'Reeksen (N)'!AJ180*12)+(('Invoer gegevens (N)'!$C$10-(F180+H180)/2)*'Reeksen (N)'!AK180*12),0)</f>
        <v>0</v>
      </c>
      <c r="AJ180" s="71">
        <f ca="1">-AI180*'Invoer gegevens (N)'!$F$28</f>
        <v>0</v>
      </c>
      <c r="AK180" s="71">
        <f t="shared" ca="1" si="22"/>
        <v>0</v>
      </c>
      <c r="AL180" s="71">
        <f ca="1">IF(C180=1,(12*((F180+H180)/2)*'Reeksen (N)'!AL180)+(12*('Invoer gegevens (N)'!$C$10-(F180+H180)/2)*'Reeksen (N)'!AM180),0)</f>
        <v>0</v>
      </c>
      <c r="AM180" s="71">
        <f ca="1">-AL180*'Invoer gegevens (N)'!$F$31</f>
        <v>0</v>
      </c>
      <c r="AN180" s="71">
        <f t="shared" ca="1" si="26"/>
        <v>0</v>
      </c>
      <c r="AO180" s="71"/>
      <c r="AP180" s="71"/>
      <c r="AQ180" s="71">
        <f ca="1">-IF(C180=1,('Invoer gegevens (N)'!$C$10*'Invoer gegevens (N)'!$I$33)*'Reeksen (N)'!J180,0)*2</f>
        <v>0</v>
      </c>
      <c r="AR180" s="71">
        <f ca="1">-IF(C180=1,(G180*'Invoer gegevens (N)'!$I$34)*'Reeksen (N)'!J180,0)</f>
        <v>0</v>
      </c>
      <c r="AS180" s="71">
        <f ca="1">-IF(C180=1,'Invoer gegevens (N)'!$C$10*'Invoer gegevens (N)'!$I$35*'Reeksen (N)'!L180,0)</f>
        <v>0</v>
      </c>
      <c r="AT180" s="71">
        <f ca="1">-IF(C180=1,IF(E180='Invoer gegevens (N)'!$C$17,'Invoer gegevens (N)'!$C$11,Q180)*'Reeksen (N)'!S180*'Invoer gegevens (N)'!$C$18*'Reeksen (N)'!P180,0)</f>
        <v>0</v>
      </c>
      <c r="AU180" s="71">
        <f ca="1">-IF(C180=1,'Invoer gegevens (N)'!$C$10*'Invoer gegevens (N)'!$I$36*'Reeksen (N)'!H180,0)</f>
        <v>0</v>
      </c>
      <c r="AV180" s="71">
        <v>0</v>
      </c>
      <c r="AW180" s="71">
        <f t="shared" ca="1" si="27"/>
        <v>0</v>
      </c>
      <c r="AX180" s="71">
        <f ca="1">IF(E180&lt;'Invoer gegevens (N)'!$C$17+15,0,IF(E180&gt;'Invoer gegevens (N)'!$C$17+215,0,AW180))</f>
        <v>0</v>
      </c>
      <c r="AY180" s="71">
        <f ca="1">AX180/(1+'Invoer gegevens (N)'!$F$13)^($AZ180-('Invoer gegevens (N)'!$C$17-'Invoer gegevens (N)'!$C$16))/(1+'Invoer gegevens (N)'!$C$39)^('Invoer gegevens (N)'!$C$17-'Invoer gegevens (N)'!$C$16)</f>
        <v>0</v>
      </c>
      <c r="AZ180" s="68">
        <f ca="1">IF(E180-'Invoer gegevens (N)'!$C$17-14.5&lt;0,0,E180-'Invoer gegevens (N)'!$C$17-14.5)</f>
        <v>160.5</v>
      </c>
    </row>
    <row r="181" spans="2:52" x14ac:dyDescent="0.25">
      <c r="B181" s="70">
        <f t="shared" si="28"/>
        <v>177</v>
      </c>
      <c r="C181" s="67">
        <f ca="1">IF(E181-'Invoer gegevens (N)'!$C$17&lt;0,0,1)</f>
        <v>1</v>
      </c>
      <c r="D181" s="68">
        <f t="shared" si="29"/>
        <v>176.5</v>
      </c>
      <c r="E181" s="69">
        <f ca="1">IF('Invoer gegevens (N)'!$C$16="","",E180+1)</f>
        <v>2195</v>
      </c>
      <c r="F181" s="82">
        <f ca="1">IF('Invoer gegevens (N)'!$C$17=E181,'Invoer gegevens (N)'!$C$10,IF(C181=1,H180,0))</f>
        <v>0</v>
      </c>
      <c r="G181" s="83">
        <f ca="1">IF(C181&gt;=1,F181*'Reeksen (N)'!C181,0)</f>
        <v>0</v>
      </c>
      <c r="H181" s="84">
        <f t="shared" ca="1" si="23"/>
        <v>0</v>
      </c>
      <c r="I181" s="85">
        <f ca="1">IF('Invoer gegevens (N)'!$C$17=E181,'Invoer gegevens (N)'!$C$11,IF(C181=1,L180,0))</f>
        <v>0</v>
      </c>
      <c r="J181" s="86">
        <f ca="1">IF(C181&lt;1,0,IF('Reeksen (N)'!AK181&lt;='Reeksen (N)'!AE181,I181*'Reeksen (N)'!C181,0))</f>
        <v>0</v>
      </c>
      <c r="K181" s="86">
        <f ca="1">IF(C181&lt;1,0,IF('Reeksen (N)'!AK181&gt;'Reeksen (N)'!AE181,I181*'Reeksen (N)'!C181,0))</f>
        <v>0</v>
      </c>
      <c r="L181" s="86">
        <f t="shared" ca="1" si="24"/>
        <v>0</v>
      </c>
      <c r="M181" s="85">
        <f ca="1">IF('Invoer gegevens (N)'!$C$17=E181,'Invoer gegevens (N)'!$C$10-'Invoer gegevens (N)'!$C$11,IF(C181=1,P180,0))</f>
        <v>0</v>
      </c>
      <c r="N181" s="86">
        <f ca="1">IF(C181&lt;1,0,IF('Reeksen (N)'!AK181&lt;='Reeksen (N)'!AE181,M181*'Reeksen (N)'!C181,0))</f>
        <v>0</v>
      </c>
      <c r="O181" s="86">
        <f ca="1">IF(C181&lt;1,0,IF('Reeksen (N)'!AK181&gt;'Reeksen (N)'!AE181,M181*'Reeksen (N)'!C181,0))</f>
        <v>0</v>
      </c>
      <c r="P181" s="86">
        <f t="shared" ca="1" si="25"/>
        <v>0</v>
      </c>
      <c r="Q181" s="82">
        <f ca="1">IF('Invoer gegevens (N)'!$C$17=E181,I181,IF(C181=0,0,R180))</f>
        <v>0</v>
      </c>
      <c r="R181" s="84">
        <f t="shared" ca="1" si="20"/>
        <v>0</v>
      </c>
      <c r="S181" s="84">
        <f ca="1">IF('Invoer gegevens (N)'!$C$17=E181,M181,IF(C181=0,0,T180))</f>
        <v>0</v>
      </c>
      <c r="T181" s="84">
        <f t="shared" ca="1" si="21"/>
        <v>0</v>
      </c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8"/>
      <c r="AI181" s="71">
        <f ca="1">IF(C181=1,((F181+H181)/2*'Reeksen (N)'!AJ181*12)+(('Invoer gegevens (N)'!$C$10-(F181+H181)/2)*'Reeksen (N)'!AK181*12),0)</f>
        <v>0</v>
      </c>
      <c r="AJ181" s="71">
        <f ca="1">-AI181*'Invoer gegevens (N)'!$F$28</f>
        <v>0</v>
      </c>
      <c r="AK181" s="71">
        <f t="shared" ca="1" si="22"/>
        <v>0</v>
      </c>
      <c r="AL181" s="71">
        <f ca="1">IF(C181=1,(12*((F181+H181)/2)*'Reeksen (N)'!AL181)+(12*('Invoer gegevens (N)'!$C$10-(F181+H181)/2)*'Reeksen (N)'!AM181),0)</f>
        <v>0</v>
      </c>
      <c r="AM181" s="71">
        <f ca="1">-AL181*'Invoer gegevens (N)'!$F$31</f>
        <v>0</v>
      </c>
      <c r="AN181" s="71">
        <f t="shared" ca="1" si="26"/>
        <v>0</v>
      </c>
      <c r="AO181" s="71"/>
      <c r="AP181" s="71"/>
      <c r="AQ181" s="71">
        <f ca="1">-IF(C181=1,('Invoer gegevens (N)'!$C$10*'Invoer gegevens (N)'!$I$33)*'Reeksen (N)'!J181,0)*2</f>
        <v>0</v>
      </c>
      <c r="AR181" s="71">
        <f ca="1">-IF(C181=1,(G181*'Invoer gegevens (N)'!$I$34)*'Reeksen (N)'!J181,0)</f>
        <v>0</v>
      </c>
      <c r="AS181" s="71">
        <f ca="1">-IF(C181=1,'Invoer gegevens (N)'!$C$10*'Invoer gegevens (N)'!$I$35*'Reeksen (N)'!L181,0)</f>
        <v>0</v>
      </c>
      <c r="AT181" s="71">
        <f ca="1">-IF(C181=1,IF(E181='Invoer gegevens (N)'!$C$17,'Invoer gegevens (N)'!$C$11,Q181)*'Reeksen (N)'!S181*'Invoer gegevens (N)'!$C$18*'Reeksen (N)'!P181,0)</f>
        <v>0</v>
      </c>
      <c r="AU181" s="71">
        <f ca="1">-IF(C181=1,'Invoer gegevens (N)'!$C$10*'Invoer gegevens (N)'!$I$36*'Reeksen (N)'!H181,0)</f>
        <v>0</v>
      </c>
      <c r="AV181" s="71">
        <v>0</v>
      </c>
      <c r="AW181" s="71">
        <f t="shared" ca="1" si="27"/>
        <v>0</v>
      </c>
      <c r="AX181" s="71">
        <f ca="1">IF(E181&lt;'Invoer gegevens (N)'!$C$17+15,0,IF(E181&gt;'Invoer gegevens (N)'!$C$17+215,0,AW181))</f>
        <v>0</v>
      </c>
      <c r="AY181" s="71">
        <f ca="1">AX181/(1+'Invoer gegevens (N)'!$F$13)^($AZ181-('Invoer gegevens (N)'!$C$17-'Invoer gegevens (N)'!$C$16))/(1+'Invoer gegevens (N)'!$C$39)^('Invoer gegevens (N)'!$C$17-'Invoer gegevens (N)'!$C$16)</f>
        <v>0</v>
      </c>
      <c r="AZ181" s="68">
        <f ca="1">IF(E181-'Invoer gegevens (N)'!$C$17-14.5&lt;0,0,E181-'Invoer gegevens (N)'!$C$17-14.5)</f>
        <v>161.5</v>
      </c>
    </row>
    <row r="182" spans="2:52" x14ac:dyDescent="0.25">
      <c r="B182" s="70">
        <f t="shared" si="28"/>
        <v>178</v>
      </c>
      <c r="C182" s="67">
        <f ca="1">IF(E182-'Invoer gegevens (N)'!$C$17&lt;0,0,1)</f>
        <v>1</v>
      </c>
      <c r="D182" s="68">
        <f t="shared" si="29"/>
        <v>177.5</v>
      </c>
      <c r="E182" s="69">
        <f ca="1">IF('Invoer gegevens (N)'!$C$16="","",E181+1)</f>
        <v>2196</v>
      </c>
      <c r="F182" s="82">
        <f ca="1">IF('Invoer gegevens (N)'!$C$17=E182,'Invoer gegevens (N)'!$C$10,IF(C182=1,H181,0))</f>
        <v>0</v>
      </c>
      <c r="G182" s="83">
        <f ca="1">IF(C182&gt;=1,F182*'Reeksen (N)'!C182,0)</f>
        <v>0</v>
      </c>
      <c r="H182" s="84">
        <f t="shared" ca="1" si="23"/>
        <v>0</v>
      </c>
      <c r="I182" s="85">
        <f ca="1">IF('Invoer gegevens (N)'!$C$17=E182,'Invoer gegevens (N)'!$C$11,IF(C182=1,L181,0))</f>
        <v>0</v>
      </c>
      <c r="J182" s="86">
        <f ca="1">IF(C182&lt;1,0,IF('Reeksen (N)'!AK182&lt;='Reeksen (N)'!AE182,I182*'Reeksen (N)'!C182,0))</f>
        <v>0</v>
      </c>
      <c r="K182" s="86">
        <f ca="1">IF(C182&lt;1,0,IF('Reeksen (N)'!AK182&gt;'Reeksen (N)'!AE182,I182*'Reeksen (N)'!C182,0))</f>
        <v>0</v>
      </c>
      <c r="L182" s="86">
        <f t="shared" ca="1" si="24"/>
        <v>0</v>
      </c>
      <c r="M182" s="85">
        <f ca="1">IF('Invoer gegevens (N)'!$C$17=E182,'Invoer gegevens (N)'!$C$10-'Invoer gegevens (N)'!$C$11,IF(C182=1,P181,0))</f>
        <v>0</v>
      </c>
      <c r="N182" s="86">
        <f ca="1">IF(C182&lt;1,0,IF('Reeksen (N)'!AK182&lt;='Reeksen (N)'!AE182,M182*'Reeksen (N)'!C182,0))</f>
        <v>0</v>
      </c>
      <c r="O182" s="86">
        <f ca="1">IF(C182&lt;1,0,IF('Reeksen (N)'!AK182&gt;'Reeksen (N)'!AE182,M182*'Reeksen (N)'!C182,0))</f>
        <v>0</v>
      </c>
      <c r="P182" s="86">
        <f t="shared" ca="1" si="25"/>
        <v>0</v>
      </c>
      <c r="Q182" s="82">
        <f ca="1">IF('Invoer gegevens (N)'!$C$17=E182,I182,IF(C182=0,0,R181))</f>
        <v>0</v>
      </c>
      <c r="R182" s="84">
        <f t="shared" ca="1" si="20"/>
        <v>0</v>
      </c>
      <c r="S182" s="84">
        <f ca="1">IF('Invoer gegevens (N)'!$C$17=E182,M182,IF(C182=0,0,T181))</f>
        <v>0</v>
      </c>
      <c r="T182" s="84">
        <f t="shared" ca="1" si="21"/>
        <v>0</v>
      </c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8"/>
      <c r="AI182" s="71">
        <f ca="1">IF(C182=1,((F182+H182)/2*'Reeksen (N)'!AJ182*12)+(('Invoer gegevens (N)'!$C$10-(F182+H182)/2)*'Reeksen (N)'!AK182*12),0)</f>
        <v>0</v>
      </c>
      <c r="AJ182" s="71">
        <f ca="1">-AI182*'Invoer gegevens (N)'!$F$28</f>
        <v>0</v>
      </c>
      <c r="AK182" s="71">
        <f t="shared" ca="1" si="22"/>
        <v>0</v>
      </c>
      <c r="AL182" s="71">
        <f ca="1">IF(C182=1,(12*((F182+H182)/2)*'Reeksen (N)'!AL182)+(12*('Invoer gegevens (N)'!$C$10-(F182+H182)/2)*'Reeksen (N)'!AM182),0)</f>
        <v>0</v>
      </c>
      <c r="AM182" s="71">
        <f ca="1">-AL182*'Invoer gegevens (N)'!$F$31</f>
        <v>0</v>
      </c>
      <c r="AN182" s="71">
        <f t="shared" ca="1" si="26"/>
        <v>0</v>
      </c>
      <c r="AO182" s="71"/>
      <c r="AP182" s="71"/>
      <c r="AQ182" s="71">
        <f ca="1">-IF(C182=1,('Invoer gegevens (N)'!$C$10*'Invoer gegevens (N)'!$I$33)*'Reeksen (N)'!J182,0)*2</f>
        <v>0</v>
      </c>
      <c r="AR182" s="71">
        <f ca="1">-IF(C182=1,(G182*'Invoer gegevens (N)'!$I$34)*'Reeksen (N)'!J182,0)</f>
        <v>0</v>
      </c>
      <c r="AS182" s="71">
        <f ca="1">-IF(C182=1,'Invoer gegevens (N)'!$C$10*'Invoer gegevens (N)'!$I$35*'Reeksen (N)'!L182,0)</f>
        <v>0</v>
      </c>
      <c r="AT182" s="71">
        <f ca="1">-IF(C182=1,IF(E182='Invoer gegevens (N)'!$C$17,'Invoer gegevens (N)'!$C$11,Q182)*'Reeksen (N)'!S182*'Invoer gegevens (N)'!$C$18*'Reeksen (N)'!P182,0)</f>
        <v>0</v>
      </c>
      <c r="AU182" s="71">
        <f ca="1">-IF(C182=1,'Invoer gegevens (N)'!$C$10*'Invoer gegevens (N)'!$I$36*'Reeksen (N)'!H182,0)</f>
        <v>0</v>
      </c>
      <c r="AV182" s="71">
        <v>0</v>
      </c>
      <c r="AW182" s="71">
        <f t="shared" ca="1" si="27"/>
        <v>0</v>
      </c>
      <c r="AX182" s="71">
        <f ca="1">IF(E182&lt;'Invoer gegevens (N)'!$C$17+15,0,IF(E182&gt;'Invoer gegevens (N)'!$C$17+215,0,AW182))</f>
        <v>0</v>
      </c>
      <c r="AY182" s="71">
        <f ca="1">AX182/(1+'Invoer gegevens (N)'!$F$13)^($AZ182-('Invoer gegevens (N)'!$C$17-'Invoer gegevens (N)'!$C$16))/(1+'Invoer gegevens (N)'!$C$39)^('Invoer gegevens (N)'!$C$17-'Invoer gegevens (N)'!$C$16)</f>
        <v>0</v>
      </c>
      <c r="AZ182" s="68">
        <f ca="1">IF(E182-'Invoer gegevens (N)'!$C$17-14.5&lt;0,0,E182-'Invoer gegevens (N)'!$C$17-14.5)</f>
        <v>162.5</v>
      </c>
    </row>
    <row r="183" spans="2:52" x14ac:dyDescent="0.25">
      <c r="B183" s="70">
        <f t="shared" si="28"/>
        <v>179</v>
      </c>
      <c r="C183" s="67">
        <f ca="1">IF(E183-'Invoer gegevens (N)'!$C$17&lt;0,0,1)</f>
        <v>1</v>
      </c>
      <c r="D183" s="68">
        <f t="shared" si="29"/>
        <v>178.5</v>
      </c>
      <c r="E183" s="69">
        <f ca="1">IF('Invoer gegevens (N)'!$C$16="","",E182+1)</f>
        <v>2197</v>
      </c>
      <c r="F183" s="82">
        <f ca="1">IF('Invoer gegevens (N)'!$C$17=E183,'Invoer gegevens (N)'!$C$10,IF(C183=1,H182,0))</f>
        <v>0</v>
      </c>
      <c r="G183" s="83">
        <f ca="1">IF(C183&gt;=1,F183*'Reeksen (N)'!C183,0)</f>
        <v>0</v>
      </c>
      <c r="H183" s="84">
        <f t="shared" ca="1" si="23"/>
        <v>0</v>
      </c>
      <c r="I183" s="85">
        <f ca="1">IF('Invoer gegevens (N)'!$C$17=E183,'Invoer gegevens (N)'!$C$11,IF(C183=1,L182,0))</f>
        <v>0</v>
      </c>
      <c r="J183" s="86">
        <f ca="1">IF(C183&lt;1,0,IF('Reeksen (N)'!AK183&lt;='Reeksen (N)'!AE183,I183*'Reeksen (N)'!C183,0))</f>
        <v>0</v>
      </c>
      <c r="K183" s="86">
        <f ca="1">IF(C183&lt;1,0,IF('Reeksen (N)'!AK183&gt;'Reeksen (N)'!AE183,I183*'Reeksen (N)'!C183,0))</f>
        <v>0</v>
      </c>
      <c r="L183" s="86">
        <f t="shared" ca="1" si="24"/>
        <v>0</v>
      </c>
      <c r="M183" s="85">
        <f ca="1">IF('Invoer gegevens (N)'!$C$17=E183,'Invoer gegevens (N)'!$C$10-'Invoer gegevens (N)'!$C$11,IF(C183=1,P182,0))</f>
        <v>0</v>
      </c>
      <c r="N183" s="86">
        <f ca="1">IF(C183&lt;1,0,IF('Reeksen (N)'!AK183&lt;='Reeksen (N)'!AE183,M183*'Reeksen (N)'!C183,0))</f>
        <v>0</v>
      </c>
      <c r="O183" s="86">
        <f ca="1">IF(C183&lt;1,0,IF('Reeksen (N)'!AK183&gt;'Reeksen (N)'!AE183,M183*'Reeksen (N)'!C183,0))</f>
        <v>0</v>
      </c>
      <c r="P183" s="86">
        <f t="shared" ca="1" si="25"/>
        <v>0</v>
      </c>
      <c r="Q183" s="82">
        <f ca="1">IF('Invoer gegevens (N)'!$C$17=E183,I183,IF(C183=0,0,R182))</f>
        <v>0</v>
      </c>
      <c r="R183" s="84">
        <f t="shared" ca="1" si="20"/>
        <v>0</v>
      </c>
      <c r="S183" s="84">
        <f ca="1">IF('Invoer gegevens (N)'!$C$17=E183,M183,IF(C183=0,0,T182))</f>
        <v>0</v>
      </c>
      <c r="T183" s="84">
        <f t="shared" ca="1" si="21"/>
        <v>0</v>
      </c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8"/>
      <c r="AI183" s="71">
        <f ca="1">IF(C183=1,((F183+H183)/2*'Reeksen (N)'!AJ183*12)+(('Invoer gegevens (N)'!$C$10-(F183+H183)/2)*'Reeksen (N)'!AK183*12),0)</f>
        <v>0</v>
      </c>
      <c r="AJ183" s="71">
        <f ca="1">-AI183*'Invoer gegevens (N)'!$F$28</f>
        <v>0</v>
      </c>
      <c r="AK183" s="71">
        <f t="shared" ca="1" si="22"/>
        <v>0</v>
      </c>
      <c r="AL183" s="71">
        <f ca="1">IF(C183=1,(12*((F183+H183)/2)*'Reeksen (N)'!AL183)+(12*('Invoer gegevens (N)'!$C$10-(F183+H183)/2)*'Reeksen (N)'!AM183),0)</f>
        <v>0</v>
      </c>
      <c r="AM183" s="71">
        <f ca="1">-AL183*'Invoer gegevens (N)'!$F$31</f>
        <v>0</v>
      </c>
      <c r="AN183" s="71">
        <f t="shared" ca="1" si="26"/>
        <v>0</v>
      </c>
      <c r="AO183" s="71"/>
      <c r="AP183" s="71"/>
      <c r="AQ183" s="71">
        <f ca="1">-IF(C183=1,('Invoer gegevens (N)'!$C$10*'Invoer gegevens (N)'!$I$33)*'Reeksen (N)'!J183,0)*2</f>
        <v>0</v>
      </c>
      <c r="AR183" s="71">
        <f ca="1">-IF(C183=1,(G183*'Invoer gegevens (N)'!$I$34)*'Reeksen (N)'!J183,0)</f>
        <v>0</v>
      </c>
      <c r="AS183" s="71">
        <f ca="1">-IF(C183=1,'Invoer gegevens (N)'!$C$10*'Invoer gegevens (N)'!$I$35*'Reeksen (N)'!L183,0)</f>
        <v>0</v>
      </c>
      <c r="AT183" s="71">
        <f ca="1">-IF(C183=1,IF(E183='Invoer gegevens (N)'!$C$17,'Invoer gegevens (N)'!$C$11,Q183)*'Reeksen (N)'!S183*'Invoer gegevens (N)'!$C$18*'Reeksen (N)'!P183,0)</f>
        <v>0</v>
      </c>
      <c r="AU183" s="71">
        <f ca="1">-IF(C183=1,'Invoer gegevens (N)'!$C$10*'Invoer gegevens (N)'!$I$36*'Reeksen (N)'!H183,0)</f>
        <v>0</v>
      </c>
      <c r="AV183" s="71">
        <v>0</v>
      </c>
      <c r="AW183" s="71">
        <f t="shared" ca="1" si="27"/>
        <v>0</v>
      </c>
      <c r="AX183" s="71">
        <f ca="1">IF(E183&lt;'Invoer gegevens (N)'!$C$17+15,0,IF(E183&gt;'Invoer gegevens (N)'!$C$17+215,0,AW183))</f>
        <v>0</v>
      </c>
      <c r="AY183" s="71">
        <f ca="1">AX183/(1+'Invoer gegevens (N)'!$F$13)^($AZ183-('Invoer gegevens (N)'!$C$17-'Invoer gegevens (N)'!$C$16))/(1+'Invoer gegevens (N)'!$C$39)^('Invoer gegevens (N)'!$C$17-'Invoer gegevens (N)'!$C$16)</f>
        <v>0</v>
      </c>
      <c r="AZ183" s="68">
        <f ca="1">IF(E183-'Invoer gegevens (N)'!$C$17-14.5&lt;0,0,E183-'Invoer gegevens (N)'!$C$17-14.5)</f>
        <v>163.5</v>
      </c>
    </row>
    <row r="184" spans="2:52" x14ac:dyDescent="0.25">
      <c r="B184" s="70">
        <f t="shared" si="28"/>
        <v>180</v>
      </c>
      <c r="C184" s="67">
        <f ca="1">IF(E184-'Invoer gegevens (N)'!$C$17&lt;0,0,1)</f>
        <v>1</v>
      </c>
      <c r="D184" s="68">
        <f t="shared" si="29"/>
        <v>179.5</v>
      </c>
      <c r="E184" s="69">
        <f ca="1">IF('Invoer gegevens (N)'!$C$16="","",E183+1)</f>
        <v>2198</v>
      </c>
      <c r="F184" s="82">
        <f ca="1">IF('Invoer gegevens (N)'!$C$17=E184,'Invoer gegevens (N)'!$C$10,IF(C184=1,H183,0))</f>
        <v>0</v>
      </c>
      <c r="G184" s="83">
        <f ca="1">IF(C184&gt;=1,F184*'Reeksen (N)'!C184,0)</f>
        <v>0</v>
      </c>
      <c r="H184" s="84">
        <f t="shared" ca="1" si="23"/>
        <v>0</v>
      </c>
      <c r="I184" s="85">
        <f ca="1">IF('Invoer gegevens (N)'!$C$17=E184,'Invoer gegevens (N)'!$C$11,IF(C184=1,L183,0))</f>
        <v>0</v>
      </c>
      <c r="J184" s="86">
        <f ca="1">IF(C184&lt;1,0,IF('Reeksen (N)'!AK184&lt;='Reeksen (N)'!AE184,I184*'Reeksen (N)'!C184,0))</f>
        <v>0</v>
      </c>
      <c r="K184" s="86">
        <f ca="1">IF(C184&lt;1,0,IF('Reeksen (N)'!AK184&gt;'Reeksen (N)'!AE184,I184*'Reeksen (N)'!C184,0))</f>
        <v>0</v>
      </c>
      <c r="L184" s="86">
        <f t="shared" ca="1" si="24"/>
        <v>0</v>
      </c>
      <c r="M184" s="85">
        <f ca="1">IF('Invoer gegevens (N)'!$C$17=E184,'Invoer gegevens (N)'!$C$10-'Invoer gegevens (N)'!$C$11,IF(C184=1,P183,0))</f>
        <v>0</v>
      </c>
      <c r="N184" s="86">
        <f ca="1">IF(C184&lt;1,0,IF('Reeksen (N)'!AK184&lt;='Reeksen (N)'!AE184,M184*'Reeksen (N)'!C184,0))</f>
        <v>0</v>
      </c>
      <c r="O184" s="86">
        <f ca="1">IF(C184&lt;1,0,IF('Reeksen (N)'!AK184&gt;'Reeksen (N)'!AE184,M184*'Reeksen (N)'!C184,0))</f>
        <v>0</v>
      </c>
      <c r="P184" s="86">
        <f t="shared" ca="1" si="25"/>
        <v>0</v>
      </c>
      <c r="Q184" s="82">
        <f ca="1">IF('Invoer gegevens (N)'!$C$17=E184,I184,IF(C184=0,0,R183))</f>
        <v>0</v>
      </c>
      <c r="R184" s="84">
        <f t="shared" ca="1" si="20"/>
        <v>0</v>
      </c>
      <c r="S184" s="84">
        <f ca="1">IF('Invoer gegevens (N)'!$C$17=E184,M184,IF(C184=0,0,T183))</f>
        <v>0</v>
      </c>
      <c r="T184" s="84">
        <f t="shared" ca="1" si="21"/>
        <v>0</v>
      </c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8"/>
      <c r="AI184" s="71">
        <f ca="1">IF(C184=1,((F184+H184)/2*'Reeksen (N)'!AJ184*12)+(('Invoer gegevens (N)'!$C$10-(F184+H184)/2)*'Reeksen (N)'!AK184*12),0)</f>
        <v>0</v>
      </c>
      <c r="AJ184" s="71">
        <f ca="1">-AI184*'Invoer gegevens (N)'!$F$28</f>
        <v>0</v>
      </c>
      <c r="AK184" s="71">
        <f t="shared" ca="1" si="22"/>
        <v>0</v>
      </c>
      <c r="AL184" s="71">
        <f ca="1">IF(C184=1,(12*((F184+H184)/2)*'Reeksen (N)'!AL184)+(12*('Invoer gegevens (N)'!$C$10-(F184+H184)/2)*'Reeksen (N)'!AM184),0)</f>
        <v>0</v>
      </c>
      <c r="AM184" s="71">
        <f ca="1">-AL184*'Invoer gegevens (N)'!$F$31</f>
        <v>0</v>
      </c>
      <c r="AN184" s="71">
        <f t="shared" ca="1" si="26"/>
        <v>0</v>
      </c>
      <c r="AO184" s="71"/>
      <c r="AP184" s="71"/>
      <c r="AQ184" s="71">
        <f ca="1">-IF(C184=1,('Invoer gegevens (N)'!$C$10*'Invoer gegevens (N)'!$I$33)*'Reeksen (N)'!J184,0)*2</f>
        <v>0</v>
      </c>
      <c r="AR184" s="71">
        <f ca="1">-IF(C184=1,(G184*'Invoer gegevens (N)'!$I$34)*'Reeksen (N)'!J184,0)</f>
        <v>0</v>
      </c>
      <c r="AS184" s="71">
        <f ca="1">-IF(C184=1,'Invoer gegevens (N)'!$C$10*'Invoer gegevens (N)'!$I$35*'Reeksen (N)'!L184,0)</f>
        <v>0</v>
      </c>
      <c r="AT184" s="71">
        <f ca="1">-IF(C184=1,IF(E184='Invoer gegevens (N)'!$C$17,'Invoer gegevens (N)'!$C$11,Q184)*'Reeksen (N)'!S184*'Invoer gegevens (N)'!$C$18*'Reeksen (N)'!P184,0)</f>
        <v>0</v>
      </c>
      <c r="AU184" s="71">
        <f ca="1">-IF(C184=1,'Invoer gegevens (N)'!$C$10*'Invoer gegevens (N)'!$I$36*'Reeksen (N)'!H184,0)</f>
        <v>0</v>
      </c>
      <c r="AV184" s="71">
        <v>0</v>
      </c>
      <c r="AW184" s="71">
        <f t="shared" ca="1" si="27"/>
        <v>0</v>
      </c>
      <c r="AX184" s="71">
        <f ca="1">IF(E184&lt;'Invoer gegevens (N)'!$C$17+15,0,IF(E184&gt;'Invoer gegevens (N)'!$C$17+215,0,AW184))</f>
        <v>0</v>
      </c>
      <c r="AY184" s="71">
        <f ca="1">AX184/(1+'Invoer gegevens (N)'!$F$13)^($AZ184-('Invoer gegevens (N)'!$C$17-'Invoer gegevens (N)'!$C$16))/(1+'Invoer gegevens (N)'!$C$39)^('Invoer gegevens (N)'!$C$17-'Invoer gegevens (N)'!$C$16)</f>
        <v>0</v>
      </c>
      <c r="AZ184" s="68">
        <f ca="1">IF(E184-'Invoer gegevens (N)'!$C$17-14.5&lt;0,0,E184-'Invoer gegevens (N)'!$C$17-14.5)</f>
        <v>164.5</v>
      </c>
    </row>
    <row r="185" spans="2:52" x14ac:dyDescent="0.25">
      <c r="B185" s="70">
        <f t="shared" si="28"/>
        <v>181</v>
      </c>
      <c r="C185" s="67">
        <f ca="1">IF(E185-'Invoer gegevens (N)'!$C$17&lt;0,0,1)</f>
        <v>1</v>
      </c>
      <c r="D185" s="68">
        <f t="shared" si="29"/>
        <v>180.5</v>
      </c>
      <c r="E185" s="69">
        <f ca="1">IF('Invoer gegevens (N)'!$C$16="","",E184+1)</f>
        <v>2199</v>
      </c>
      <c r="F185" s="82">
        <f ca="1">IF('Invoer gegevens (N)'!$C$17=E185,'Invoer gegevens (N)'!$C$10,IF(C185=1,H184,0))</f>
        <v>0</v>
      </c>
      <c r="G185" s="83">
        <f ca="1">IF(C185&gt;=1,F185*'Reeksen (N)'!C185,0)</f>
        <v>0</v>
      </c>
      <c r="H185" s="84">
        <f t="shared" ca="1" si="23"/>
        <v>0</v>
      </c>
      <c r="I185" s="85">
        <f ca="1">IF('Invoer gegevens (N)'!$C$17=E185,'Invoer gegevens (N)'!$C$11,IF(C185=1,L184,0))</f>
        <v>0</v>
      </c>
      <c r="J185" s="86">
        <f ca="1">IF(C185&lt;1,0,IF('Reeksen (N)'!AK185&lt;='Reeksen (N)'!AE185,I185*'Reeksen (N)'!C185,0))</f>
        <v>0</v>
      </c>
      <c r="K185" s="86">
        <f ca="1">IF(C185&lt;1,0,IF('Reeksen (N)'!AK185&gt;'Reeksen (N)'!AE185,I185*'Reeksen (N)'!C185,0))</f>
        <v>0</v>
      </c>
      <c r="L185" s="86">
        <f t="shared" ca="1" si="24"/>
        <v>0</v>
      </c>
      <c r="M185" s="85">
        <f ca="1">IF('Invoer gegevens (N)'!$C$17=E185,'Invoer gegevens (N)'!$C$10-'Invoer gegevens (N)'!$C$11,IF(C185=1,P184,0))</f>
        <v>0</v>
      </c>
      <c r="N185" s="86">
        <f ca="1">IF(C185&lt;1,0,IF('Reeksen (N)'!AK185&lt;='Reeksen (N)'!AE185,M185*'Reeksen (N)'!C185,0))</f>
        <v>0</v>
      </c>
      <c r="O185" s="86">
        <f ca="1">IF(C185&lt;1,0,IF('Reeksen (N)'!AK185&gt;'Reeksen (N)'!AE185,M185*'Reeksen (N)'!C185,0))</f>
        <v>0</v>
      </c>
      <c r="P185" s="86">
        <f t="shared" ca="1" si="25"/>
        <v>0</v>
      </c>
      <c r="Q185" s="82">
        <f ca="1">IF('Invoer gegevens (N)'!$C$17=E185,I185,IF(C185=0,0,R184))</f>
        <v>0</v>
      </c>
      <c r="R185" s="84">
        <f t="shared" ca="1" si="20"/>
        <v>0</v>
      </c>
      <c r="S185" s="84">
        <f ca="1">IF('Invoer gegevens (N)'!$C$17=E185,M185,IF(C185=0,0,T184))</f>
        <v>0</v>
      </c>
      <c r="T185" s="84">
        <f t="shared" ca="1" si="21"/>
        <v>0</v>
      </c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8"/>
      <c r="AI185" s="71">
        <f ca="1">IF(C185=1,((F185+H185)/2*'Reeksen (N)'!AJ185*12)+(('Invoer gegevens (N)'!$C$10-(F185+H185)/2)*'Reeksen (N)'!AK185*12),0)</f>
        <v>0</v>
      </c>
      <c r="AJ185" s="71">
        <f ca="1">-AI185*'Invoer gegevens (N)'!$F$28</f>
        <v>0</v>
      </c>
      <c r="AK185" s="71">
        <f t="shared" ca="1" si="22"/>
        <v>0</v>
      </c>
      <c r="AL185" s="71">
        <f ca="1">IF(C185=1,(12*((F185+H185)/2)*'Reeksen (N)'!AL185)+(12*('Invoer gegevens (N)'!$C$10-(F185+H185)/2)*'Reeksen (N)'!AM185),0)</f>
        <v>0</v>
      </c>
      <c r="AM185" s="71">
        <f ca="1">-AL185*'Invoer gegevens (N)'!$F$31</f>
        <v>0</v>
      </c>
      <c r="AN185" s="71">
        <f t="shared" ca="1" si="26"/>
        <v>0</v>
      </c>
      <c r="AO185" s="71"/>
      <c r="AP185" s="71"/>
      <c r="AQ185" s="71">
        <f ca="1">-IF(C185=1,('Invoer gegevens (N)'!$C$10*'Invoer gegevens (N)'!$I$33)*'Reeksen (N)'!J185,0)*2</f>
        <v>0</v>
      </c>
      <c r="AR185" s="71">
        <f ca="1">-IF(C185=1,(G185*'Invoer gegevens (N)'!$I$34)*'Reeksen (N)'!J185,0)</f>
        <v>0</v>
      </c>
      <c r="AS185" s="71">
        <f ca="1">-IF(C185=1,'Invoer gegevens (N)'!$C$10*'Invoer gegevens (N)'!$I$35*'Reeksen (N)'!L185,0)</f>
        <v>0</v>
      </c>
      <c r="AT185" s="71">
        <f ca="1">-IF(C185=1,IF(E185='Invoer gegevens (N)'!$C$17,'Invoer gegevens (N)'!$C$11,Q185)*'Reeksen (N)'!S185*'Invoer gegevens (N)'!$C$18*'Reeksen (N)'!P185,0)</f>
        <v>0</v>
      </c>
      <c r="AU185" s="71">
        <f ca="1">-IF(C185=1,'Invoer gegevens (N)'!$C$10*'Invoer gegevens (N)'!$I$36*'Reeksen (N)'!H185,0)</f>
        <v>0</v>
      </c>
      <c r="AV185" s="71">
        <v>0</v>
      </c>
      <c r="AW185" s="71">
        <f t="shared" ca="1" si="27"/>
        <v>0</v>
      </c>
      <c r="AX185" s="71">
        <f ca="1">IF(E185&lt;'Invoer gegevens (N)'!$C$17+15,0,IF(E185&gt;'Invoer gegevens (N)'!$C$17+215,0,AW185))</f>
        <v>0</v>
      </c>
      <c r="AY185" s="71">
        <f ca="1">AX185/(1+'Invoer gegevens (N)'!$F$13)^($AZ185-('Invoer gegevens (N)'!$C$17-'Invoer gegevens (N)'!$C$16))/(1+'Invoer gegevens (N)'!$C$39)^('Invoer gegevens (N)'!$C$17-'Invoer gegevens (N)'!$C$16)</f>
        <v>0</v>
      </c>
      <c r="AZ185" s="68">
        <f ca="1">IF(E185-'Invoer gegevens (N)'!$C$17-14.5&lt;0,0,E185-'Invoer gegevens (N)'!$C$17-14.5)</f>
        <v>165.5</v>
      </c>
    </row>
    <row r="186" spans="2:52" x14ac:dyDescent="0.25">
      <c r="B186" s="70">
        <f t="shared" si="28"/>
        <v>182</v>
      </c>
      <c r="C186" s="67">
        <f ca="1">IF(E186-'Invoer gegevens (N)'!$C$17&lt;0,0,1)</f>
        <v>1</v>
      </c>
      <c r="D186" s="68">
        <f t="shared" si="29"/>
        <v>181.5</v>
      </c>
      <c r="E186" s="69">
        <f ca="1">IF('Invoer gegevens (N)'!$C$16="","",E185+1)</f>
        <v>2200</v>
      </c>
      <c r="F186" s="82">
        <f ca="1">IF('Invoer gegevens (N)'!$C$17=E186,'Invoer gegevens (N)'!$C$10,IF(C186=1,H185,0))</f>
        <v>0</v>
      </c>
      <c r="G186" s="83">
        <f ca="1">IF(C186&gt;=1,F186*'Reeksen (N)'!C186,0)</f>
        <v>0</v>
      </c>
      <c r="H186" s="84">
        <f t="shared" ca="1" si="23"/>
        <v>0</v>
      </c>
      <c r="I186" s="85">
        <f ca="1">IF('Invoer gegevens (N)'!$C$17=E186,'Invoer gegevens (N)'!$C$11,IF(C186=1,L185,0))</f>
        <v>0</v>
      </c>
      <c r="J186" s="86">
        <f ca="1">IF(C186&lt;1,0,IF('Reeksen (N)'!AK186&lt;='Reeksen (N)'!AE186,I186*'Reeksen (N)'!C186,0))</f>
        <v>0</v>
      </c>
      <c r="K186" s="86">
        <f ca="1">IF(C186&lt;1,0,IF('Reeksen (N)'!AK186&gt;'Reeksen (N)'!AE186,I186*'Reeksen (N)'!C186,0))</f>
        <v>0</v>
      </c>
      <c r="L186" s="86">
        <f t="shared" ca="1" si="24"/>
        <v>0</v>
      </c>
      <c r="M186" s="85">
        <f ca="1">IF('Invoer gegevens (N)'!$C$17=E186,'Invoer gegevens (N)'!$C$10-'Invoer gegevens (N)'!$C$11,IF(C186=1,P185,0))</f>
        <v>0</v>
      </c>
      <c r="N186" s="86">
        <f ca="1">IF(C186&lt;1,0,IF('Reeksen (N)'!AK186&lt;='Reeksen (N)'!AE186,M186*'Reeksen (N)'!C186,0))</f>
        <v>0</v>
      </c>
      <c r="O186" s="86">
        <f ca="1">IF(C186&lt;1,0,IF('Reeksen (N)'!AK186&gt;'Reeksen (N)'!AE186,M186*'Reeksen (N)'!C186,0))</f>
        <v>0</v>
      </c>
      <c r="P186" s="86">
        <f t="shared" ca="1" si="25"/>
        <v>0</v>
      </c>
      <c r="Q186" s="82">
        <f ca="1">IF('Invoer gegevens (N)'!$C$17=E186,I186,IF(C186=0,0,R185))</f>
        <v>0</v>
      </c>
      <c r="R186" s="84">
        <f t="shared" ca="1" si="20"/>
        <v>0</v>
      </c>
      <c r="S186" s="84">
        <f ca="1">IF('Invoer gegevens (N)'!$C$17=E186,M186,IF(C186=0,0,T185))</f>
        <v>0</v>
      </c>
      <c r="T186" s="84">
        <f t="shared" ca="1" si="21"/>
        <v>0</v>
      </c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8"/>
      <c r="AI186" s="71">
        <f ca="1">IF(C186=1,((F186+H186)/2*'Reeksen (N)'!AJ186*12)+(('Invoer gegevens (N)'!$C$10-(F186+H186)/2)*'Reeksen (N)'!AK186*12),0)</f>
        <v>0</v>
      </c>
      <c r="AJ186" s="71">
        <f ca="1">-AI186*'Invoer gegevens (N)'!$F$28</f>
        <v>0</v>
      </c>
      <c r="AK186" s="71">
        <f t="shared" ca="1" si="22"/>
        <v>0</v>
      </c>
      <c r="AL186" s="71">
        <f ca="1">IF(C186=1,(12*((F186+H186)/2)*'Reeksen (N)'!AL186)+(12*('Invoer gegevens (N)'!$C$10-(F186+H186)/2)*'Reeksen (N)'!AM186),0)</f>
        <v>0</v>
      </c>
      <c r="AM186" s="71">
        <f ca="1">-AL186*'Invoer gegevens (N)'!$F$31</f>
        <v>0</v>
      </c>
      <c r="AN186" s="71">
        <f t="shared" ca="1" si="26"/>
        <v>0</v>
      </c>
      <c r="AO186" s="71"/>
      <c r="AP186" s="71"/>
      <c r="AQ186" s="71">
        <f ca="1">-IF(C186=1,('Invoer gegevens (N)'!$C$10*'Invoer gegevens (N)'!$I$33)*'Reeksen (N)'!J186,0)*2</f>
        <v>0</v>
      </c>
      <c r="AR186" s="71">
        <f ca="1">-IF(C186=1,(G186*'Invoer gegevens (N)'!$I$34)*'Reeksen (N)'!J186,0)</f>
        <v>0</v>
      </c>
      <c r="AS186" s="71">
        <f ca="1">-IF(C186=1,'Invoer gegevens (N)'!$C$10*'Invoer gegevens (N)'!$I$35*'Reeksen (N)'!L186,0)</f>
        <v>0</v>
      </c>
      <c r="AT186" s="71">
        <f ca="1">-IF(C186=1,IF(E186='Invoer gegevens (N)'!$C$17,'Invoer gegevens (N)'!$C$11,Q186)*'Reeksen (N)'!S186*'Invoer gegevens (N)'!$C$18*'Reeksen (N)'!P186,0)</f>
        <v>0</v>
      </c>
      <c r="AU186" s="71">
        <f ca="1">-IF(C186=1,'Invoer gegevens (N)'!$C$10*'Invoer gegevens (N)'!$I$36*'Reeksen (N)'!H186,0)</f>
        <v>0</v>
      </c>
      <c r="AV186" s="71">
        <v>0</v>
      </c>
      <c r="AW186" s="71">
        <f t="shared" ca="1" si="27"/>
        <v>0</v>
      </c>
      <c r="AX186" s="71">
        <f ca="1">IF(E186&lt;'Invoer gegevens (N)'!$C$17+15,0,IF(E186&gt;'Invoer gegevens (N)'!$C$17+215,0,AW186))</f>
        <v>0</v>
      </c>
      <c r="AY186" s="71">
        <f ca="1">AX186/(1+'Invoer gegevens (N)'!$F$13)^($AZ186-('Invoer gegevens (N)'!$C$17-'Invoer gegevens (N)'!$C$16))/(1+'Invoer gegevens (N)'!$C$39)^('Invoer gegevens (N)'!$C$17-'Invoer gegevens (N)'!$C$16)</f>
        <v>0</v>
      </c>
      <c r="AZ186" s="68">
        <f ca="1">IF(E186-'Invoer gegevens (N)'!$C$17-14.5&lt;0,0,E186-'Invoer gegevens (N)'!$C$17-14.5)</f>
        <v>166.5</v>
      </c>
    </row>
    <row r="187" spans="2:52" x14ac:dyDescent="0.25">
      <c r="B187" s="70">
        <f t="shared" si="28"/>
        <v>183</v>
      </c>
      <c r="C187" s="67">
        <f ca="1">IF(E187-'Invoer gegevens (N)'!$C$17&lt;0,0,1)</f>
        <v>1</v>
      </c>
      <c r="D187" s="68">
        <f t="shared" si="29"/>
        <v>182.5</v>
      </c>
      <c r="E187" s="69">
        <f ca="1">IF('Invoer gegevens (N)'!$C$16="","",E186+1)</f>
        <v>2201</v>
      </c>
      <c r="F187" s="82">
        <f ca="1">IF('Invoer gegevens (N)'!$C$17=E187,'Invoer gegevens (N)'!$C$10,IF(C187=1,H186,0))</f>
        <v>0</v>
      </c>
      <c r="G187" s="83">
        <f ca="1">IF(C187&gt;=1,F187*'Reeksen (N)'!C187,0)</f>
        <v>0</v>
      </c>
      <c r="H187" s="84">
        <f t="shared" ca="1" si="23"/>
        <v>0</v>
      </c>
      <c r="I187" s="85">
        <f ca="1">IF('Invoer gegevens (N)'!$C$17=E187,'Invoer gegevens (N)'!$C$11,IF(C187=1,L186,0))</f>
        <v>0</v>
      </c>
      <c r="J187" s="86">
        <f ca="1">IF(C187&lt;1,0,IF('Reeksen (N)'!AK187&lt;='Reeksen (N)'!AE187,I187*'Reeksen (N)'!C187,0))</f>
        <v>0</v>
      </c>
      <c r="K187" s="86">
        <f ca="1">IF(C187&lt;1,0,IF('Reeksen (N)'!AK187&gt;'Reeksen (N)'!AE187,I187*'Reeksen (N)'!C187,0))</f>
        <v>0</v>
      </c>
      <c r="L187" s="86">
        <f t="shared" ca="1" si="24"/>
        <v>0</v>
      </c>
      <c r="M187" s="85">
        <f ca="1">IF('Invoer gegevens (N)'!$C$17=E187,'Invoer gegevens (N)'!$C$10-'Invoer gegevens (N)'!$C$11,IF(C187=1,P186,0))</f>
        <v>0</v>
      </c>
      <c r="N187" s="86">
        <f ca="1">IF(C187&lt;1,0,IF('Reeksen (N)'!AK187&lt;='Reeksen (N)'!AE187,M187*'Reeksen (N)'!C187,0))</f>
        <v>0</v>
      </c>
      <c r="O187" s="86">
        <f ca="1">IF(C187&lt;1,0,IF('Reeksen (N)'!AK187&gt;'Reeksen (N)'!AE187,M187*'Reeksen (N)'!C187,0))</f>
        <v>0</v>
      </c>
      <c r="P187" s="86">
        <f t="shared" ca="1" si="25"/>
        <v>0</v>
      </c>
      <c r="Q187" s="82">
        <f ca="1">IF('Invoer gegevens (N)'!$C$17=E187,I187,IF(C187=0,0,R186))</f>
        <v>0</v>
      </c>
      <c r="R187" s="84">
        <f t="shared" ca="1" si="20"/>
        <v>0</v>
      </c>
      <c r="S187" s="84">
        <f ca="1">IF('Invoer gegevens (N)'!$C$17=E187,M187,IF(C187=0,0,T186))</f>
        <v>0</v>
      </c>
      <c r="T187" s="84">
        <f t="shared" ca="1" si="21"/>
        <v>0</v>
      </c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8"/>
      <c r="AI187" s="71">
        <f ca="1">IF(C187=1,((F187+H187)/2*'Reeksen (N)'!AJ187*12)+(('Invoer gegevens (N)'!$C$10-(F187+H187)/2)*'Reeksen (N)'!AK187*12),0)</f>
        <v>0</v>
      </c>
      <c r="AJ187" s="71">
        <f ca="1">-AI187*'Invoer gegevens (N)'!$F$28</f>
        <v>0</v>
      </c>
      <c r="AK187" s="71">
        <f t="shared" ca="1" si="22"/>
        <v>0</v>
      </c>
      <c r="AL187" s="71">
        <f ca="1">IF(C187=1,(12*((F187+H187)/2)*'Reeksen (N)'!AL187)+(12*('Invoer gegevens (N)'!$C$10-(F187+H187)/2)*'Reeksen (N)'!AM187),0)</f>
        <v>0</v>
      </c>
      <c r="AM187" s="71">
        <f ca="1">-AL187*'Invoer gegevens (N)'!$F$31</f>
        <v>0</v>
      </c>
      <c r="AN187" s="71">
        <f t="shared" ca="1" si="26"/>
        <v>0</v>
      </c>
      <c r="AO187" s="71"/>
      <c r="AP187" s="71"/>
      <c r="AQ187" s="71">
        <f ca="1">-IF(C187=1,('Invoer gegevens (N)'!$C$10*'Invoer gegevens (N)'!$I$33)*'Reeksen (N)'!J187,0)*2</f>
        <v>0</v>
      </c>
      <c r="AR187" s="71">
        <f ca="1">-IF(C187=1,(G187*'Invoer gegevens (N)'!$I$34)*'Reeksen (N)'!J187,0)</f>
        <v>0</v>
      </c>
      <c r="AS187" s="71">
        <f ca="1">-IF(C187=1,'Invoer gegevens (N)'!$C$10*'Invoer gegevens (N)'!$I$35*'Reeksen (N)'!L187,0)</f>
        <v>0</v>
      </c>
      <c r="AT187" s="71">
        <f ca="1">-IF(C187=1,IF(E187='Invoer gegevens (N)'!$C$17,'Invoer gegevens (N)'!$C$11,Q187)*'Reeksen (N)'!S187*'Invoer gegevens (N)'!$C$18*'Reeksen (N)'!P187,0)</f>
        <v>0</v>
      </c>
      <c r="AU187" s="71">
        <f ca="1">-IF(C187=1,'Invoer gegevens (N)'!$C$10*'Invoer gegevens (N)'!$I$36*'Reeksen (N)'!H187,0)</f>
        <v>0</v>
      </c>
      <c r="AV187" s="71">
        <v>0</v>
      </c>
      <c r="AW187" s="71">
        <f t="shared" ca="1" si="27"/>
        <v>0</v>
      </c>
      <c r="AX187" s="71">
        <f ca="1">IF(E187&lt;'Invoer gegevens (N)'!$C$17+15,0,IF(E187&gt;'Invoer gegevens (N)'!$C$17+215,0,AW187))</f>
        <v>0</v>
      </c>
      <c r="AY187" s="71">
        <f ca="1">AX187/(1+'Invoer gegevens (N)'!$F$13)^($AZ187-('Invoer gegevens (N)'!$C$17-'Invoer gegevens (N)'!$C$16))/(1+'Invoer gegevens (N)'!$C$39)^('Invoer gegevens (N)'!$C$17-'Invoer gegevens (N)'!$C$16)</f>
        <v>0</v>
      </c>
      <c r="AZ187" s="68">
        <f ca="1">IF(E187-'Invoer gegevens (N)'!$C$17-14.5&lt;0,0,E187-'Invoer gegevens (N)'!$C$17-14.5)</f>
        <v>167.5</v>
      </c>
    </row>
    <row r="188" spans="2:52" x14ac:dyDescent="0.25">
      <c r="B188" s="70">
        <f t="shared" si="28"/>
        <v>184</v>
      </c>
      <c r="C188" s="67">
        <f ca="1">IF(E188-'Invoer gegevens (N)'!$C$17&lt;0,0,1)</f>
        <v>1</v>
      </c>
      <c r="D188" s="68">
        <f t="shared" si="29"/>
        <v>183.5</v>
      </c>
      <c r="E188" s="69">
        <f ca="1">IF('Invoer gegevens (N)'!$C$16="","",E187+1)</f>
        <v>2202</v>
      </c>
      <c r="F188" s="82">
        <f ca="1">IF('Invoer gegevens (N)'!$C$17=E188,'Invoer gegevens (N)'!$C$10,IF(C188=1,H187,0))</f>
        <v>0</v>
      </c>
      <c r="G188" s="83">
        <f ca="1">IF(C188&gt;=1,F188*'Reeksen (N)'!C188,0)</f>
        <v>0</v>
      </c>
      <c r="H188" s="84">
        <f t="shared" ca="1" si="23"/>
        <v>0</v>
      </c>
      <c r="I188" s="85">
        <f ca="1">IF('Invoer gegevens (N)'!$C$17=E188,'Invoer gegevens (N)'!$C$11,IF(C188=1,L187,0))</f>
        <v>0</v>
      </c>
      <c r="J188" s="86">
        <f ca="1">IF(C188&lt;1,0,IF('Reeksen (N)'!AK188&lt;='Reeksen (N)'!AE188,I188*'Reeksen (N)'!C188,0))</f>
        <v>0</v>
      </c>
      <c r="K188" s="86">
        <f ca="1">IF(C188&lt;1,0,IF('Reeksen (N)'!AK188&gt;'Reeksen (N)'!AE188,I188*'Reeksen (N)'!C188,0))</f>
        <v>0</v>
      </c>
      <c r="L188" s="86">
        <f t="shared" ca="1" si="24"/>
        <v>0</v>
      </c>
      <c r="M188" s="85">
        <f ca="1">IF('Invoer gegevens (N)'!$C$17=E188,'Invoer gegevens (N)'!$C$10-'Invoer gegevens (N)'!$C$11,IF(C188=1,P187,0))</f>
        <v>0</v>
      </c>
      <c r="N188" s="86">
        <f ca="1">IF(C188&lt;1,0,IF('Reeksen (N)'!AK188&lt;='Reeksen (N)'!AE188,M188*'Reeksen (N)'!C188,0))</f>
        <v>0</v>
      </c>
      <c r="O188" s="86">
        <f ca="1">IF(C188&lt;1,0,IF('Reeksen (N)'!AK188&gt;'Reeksen (N)'!AE188,M188*'Reeksen (N)'!C188,0))</f>
        <v>0</v>
      </c>
      <c r="P188" s="86">
        <f t="shared" ca="1" si="25"/>
        <v>0</v>
      </c>
      <c r="Q188" s="82">
        <f ca="1">IF('Invoer gegevens (N)'!$C$17=E188,I188,IF(C188=0,0,R187))</f>
        <v>0</v>
      </c>
      <c r="R188" s="84">
        <f t="shared" ca="1" si="20"/>
        <v>0</v>
      </c>
      <c r="S188" s="84">
        <f ca="1">IF('Invoer gegevens (N)'!$C$17=E188,M188,IF(C188=0,0,T187))</f>
        <v>0</v>
      </c>
      <c r="T188" s="84">
        <f t="shared" ca="1" si="21"/>
        <v>0</v>
      </c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8"/>
      <c r="AI188" s="71">
        <f ca="1">IF(C188=1,((F188+H188)/2*'Reeksen (N)'!AJ188*12)+(('Invoer gegevens (N)'!$C$10-(F188+H188)/2)*'Reeksen (N)'!AK188*12),0)</f>
        <v>0</v>
      </c>
      <c r="AJ188" s="71">
        <f ca="1">-AI188*'Invoer gegevens (N)'!$F$28</f>
        <v>0</v>
      </c>
      <c r="AK188" s="71">
        <f t="shared" ca="1" si="22"/>
        <v>0</v>
      </c>
      <c r="AL188" s="71">
        <f ca="1">IF(C188=1,(12*((F188+H188)/2)*'Reeksen (N)'!AL188)+(12*('Invoer gegevens (N)'!$C$10-(F188+H188)/2)*'Reeksen (N)'!AM188),0)</f>
        <v>0</v>
      </c>
      <c r="AM188" s="71">
        <f ca="1">-AL188*'Invoer gegevens (N)'!$F$31</f>
        <v>0</v>
      </c>
      <c r="AN188" s="71">
        <f t="shared" ca="1" si="26"/>
        <v>0</v>
      </c>
      <c r="AO188" s="71"/>
      <c r="AP188" s="71"/>
      <c r="AQ188" s="71">
        <f ca="1">-IF(C188=1,('Invoer gegevens (N)'!$C$10*'Invoer gegevens (N)'!$I$33)*'Reeksen (N)'!J188,0)*2</f>
        <v>0</v>
      </c>
      <c r="AR188" s="71">
        <f ca="1">-IF(C188=1,(G188*'Invoer gegevens (N)'!$I$34)*'Reeksen (N)'!J188,0)</f>
        <v>0</v>
      </c>
      <c r="AS188" s="71">
        <f ca="1">-IF(C188=1,'Invoer gegevens (N)'!$C$10*'Invoer gegevens (N)'!$I$35*'Reeksen (N)'!L188,0)</f>
        <v>0</v>
      </c>
      <c r="AT188" s="71">
        <f ca="1">-IF(C188=1,IF(E188='Invoer gegevens (N)'!$C$17,'Invoer gegevens (N)'!$C$11,Q188)*'Reeksen (N)'!S188*'Invoer gegevens (N)'!$C$18*'Reeksen (N)'!P188,0)</f>
        <v>0</v>
      </c>
      <c r="AU188" s="71">
        <f ca="1">-IF(C188=1,'Invoer gegevens (N)'!$C$10*'Invoer gegevens (N)'!$I$36*'Reeksen (N)'!H188,0)</f>
        <v>0</v>
      </c>
      <c r="AV188" s="71">
        <v>0</v>
      </c>
      <c r="AW188" s="71">
        <f t="shared" ca="1" si="27"/>
        <v>0</v>
      </c>
      <c r="AX188" s="71">
        <f ca="1">IF(E188&lt;'Invoer gegevens (N)'!$C$17+15,0,IF(E188&gt;'Invoer gegevens (N)'!$C$17+215,0,AW188))</f>
        <v>0</v>
      </c>
      <c r="AY188" s="71">
        <f ca="1">AX188/(1+'Invoer gegevens (N)'!$F$13)^($AZ188-('Invoer gegevens (N)'!$C$17-'Invoer gegevens (N)'!$C$16))/(1+'Invoer gegevens (N)'!$C$39)^('Invoer gegevens (N)'!$C$17-'Invoer gegevens (N)'!$C$16)</f>
        <v>0</v>
      </c>
      <c r="AZ188" s="68">
        <f ca="1">IF(E188-'Invoer gegevens (N)'!$C$17-14.5&lt;0,0,E188-'Invoer gegevens (N)'!$C$17-14.5)</f>
        <v>168.5</v>
      </c>
    </row>
    <row r="189" spans="2:52" x14ac:dyDescent="0.25">
      <c r="B189" s="70">
        <f t="shared" si="28"/>
        <v>185</v>
      </c>
      <c r="C189" s="67">
        <f ca="1">IF(E189-'Invoer gegevens (N)'!$C$17&lt;0,0,1)</f>
        <v>1</v>
      </c>
      <c r="D189" s="68">
        <f t="shared" si="29"/>
        <v>184.5</v>
      </c>
      <c r="E189" s="69">
        <f ca="1">IF('Invoer gegevens (N)'!$C$16="","",E188+1)</f>
        <v>2203</v>
      </c>
      <c r="F189" s="82">
        <f ca="1">IF('Invoer gegevens (N)'!$C$17=E189,'Invoer gegevens (N)'!$C$10,IF(C189=1,H188,0))</f>
        <v>0</v>
      </c>
      <c r="G189" s="83">
        <f ca="1">IF(C189&gt;=1,F189*'Reeksen (N)'!C189,0)</f>
        <v>0</v>
      </c>
      <c r="H189" s="84">
        <f t="shared" ca="1" si="23"/>
        <v>0</v>
      </c>
      <c r="I189" s="85">
        <f ca="1">IF('Invoer gegevens (N)'!$C$17=E189,'Invoer gegevens (N)'!$C$11,IF(C189=1,L188,0))</f>
        <v>0</v>
      </c>
      <c r="J189" s="86">
        <f ca="1">IF(C189&lt;1,0,IF('Reeksen (N)'!AK189&lt;='Reeksen (N)'!AE189,I189*'Reeksen (N)'!C189,0))</f>
        <v>0</v>
      </c>
      <c r="K189" s="86">
        <f ca="1">IF(C189&lt;1,0,IF('Reeksen (N)'!AK189&gt;'Reeksen (N)'!AE189,I189*'Reeksen (N)'!C189,0))</f>
        <v>0</v>
      </c>
      <c r="L189" s="86">
        <f t="shared" ca="1" si="24"/>
        <v>0</v>
      </c>
      <c r="M189" s="85">
        <f ca="1">IF('Invoer gegevens (N)'!$C$17=E189,'Invoer gegevens (N)'!$C$10-'Invoer gegevens (N)'!$C$11,IF(C189=1,P188,0))</f>
        <v>0</v>
      </c>
      <c r="N189" s="86">
        <f ca="1">IF(C189&lt;1,0,IF('Reeksen (N)'!AK189&lt;='Reeksen (N)'!AE189,M189*'Reeksen (N)'!C189,0))</f>
        <v>0</v>
      </c>
      <c r="O189" s="86">
        <f ca="1">IF(C189&lt;1,0,IF('Reeksen (N)'!AK189&gt;'Reeksen (N)'!AE189,M189*'Reeksen (N)'!C189,0))</f>
        <v>0</v>
      </c>
      <c r="P189" s="86">
        <f t="shared" ca="1" si="25"/>
        <v>0</v>
      </c>
      <c r="Q189" s="82">
        <f ca="1">IF('Invoer gegevens (N)'!$C$17=E189,I189,IF(C189=0,0,R188))</f>
        <v>0</v>
      </c>
      <c r="R189" s="84">
        <f t="shared" ca="1" si="20"/>
        <v>0</v>
      </c>
      <c r="S189" s="84">
        <f ca="1">IF('Invoer gegevens (N)'!$C$17=E189,M189,IF(C189=0,0,T188))</f>
        <v>0</v>
      </c>
      <c r="T189" s="84">
        <f t="shared" ca="1" si="21"/>
        <v>0</v>
      </c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8"/>
      <c r="AI189" s="71">
        <f ca="1">IF(C189=1,((F189+H189)/2*'Reeksen (N)'!AJ189*12)+(('Invoer gegevens (N)'!$C$10-(F189+H189)/2)*'Reeksen (N)'!AK189*12),0)</f>
        <v>0</v>
      </c>
      <c r="AJ189" s="71">
        <f ca="1">-AI189*'Invoer gegevens (N)'!$F$28</f>
        <v>0</v>
      </c>
      <c r="AK189" s="71">
        <f t="shared" ca="1" si="22"/>
        <v>0</v>
      </c>
      <c r="AL189" s="71">
        <f ca="1">IF(C189=1,(12*((F189+H189)/2)*'Reeksen (N)'!AL189)+(12*('Invoer gegevens (N)'!$C$10-(F189+H189)/2)*'Reeksen (N)'!AM189),0)</f>
        <v>0</v>
      </c>
      <c r="AM189" s="71">
        <f ca="1">-AL189*'Invoer gegevens (N)'!$F$31</f>
        <v>0</v>
      </c>
      <c r="AN189" s="71">
        <f t="shared" ca="1" si="26"/>
        <v>0</v>
      </c>
      <c r="AO189" s="71"/>
      <c r="AP189" s="71"/>
      <c r="AQ189" s="71">
        <f ca="1">-IF(C189=1,('Invoer gegevens (N)'!$C$10*'Invoer gegevens (N)'!$I$33)*'Reeksen (N)'!J189,0)*2</f>
        <v>0</v>
      </c>
      <c r="AR189" s="71">
        <f ca="1">-IF(C189=1,(G189*'Invoer gegevens (N)'!$I$34)*'Reeksen (N)'!J189,0)</f>
        <v>0</v>
      </c>
      <c r="AS189" s="71">
        <f ca="1">-IF(C189=1,'Invoer gegevens (N)'!$C$10*'Invoer gegevens (N)'!$I$35*'Reeksen (N)'!L189,0)</f>
        <v>0</v>
      </c>
      <c r="AT189" s="71">
        <f ca="1">-IF(C189=1,IF(E189='Invoer gegevens (N)'!$C$17,'Invoer gegevens (N)'!$C$11,Q189)*'Reeksen (N)'!S189*'Invoer gegevens (N)'!$C$18*'Reeksen (N)'!P189,0)</f>
        <v>0</v>
      </c>
      <c r="AU189" s="71">
        <f ca="1">-IF(C189=1,'Invoer gegevens (N)'!$C$10*'Invoer gegevens (N)'!$I$36*'Reeksen (N)'!H189,0)</f>
        <v>0</v>
      </c>
      <c r="AV189" s="71">
        <v>0</v>
      </c>
      <c r="AW189" s="71">
        <f t="shared" ca="1" si="27"/>
        <v>0</v>
      </c>
      <c r="AX189" s="71">
        <f ca="1">IF(E189&lt;'Invoer gegevens (N)'!$C$17+15,0,IF(E189&gt;'Invoer gegevens (N)'!$C$17+215,0,AW189))</f>
        <v>0</v>
      </c>
      <c r="AY189" s="71">
        <f ca="1">AX189/(1+'Invoer gegevens (N)'!$F$13)^($AZ189-('Invoer gegevens (N)'!$C$17-'Invoer gegevens (N)'!$C$16))/(1+'Invoer gegevens (N)'!$C$39)^('Invoer gegevens (N)'!$C$17-'Invoer gegevens (N)'!$C$16)</f>
        <v>0</v>
      </c>
      <c r="AZ189" s="68">
        <f ca="1">IF(E189-'Invoer gegevens (N)'!$C$17-14.5&lt;0,0,E189-'Invoer gegevens (N)'!$C$17-14.5)</f>
        <v>169.5</v>
      </c>
    </row>
    <row r="190" spans="2:52" x14ac:dyDescent="0.25">
      <c r="B190" s="70">
        <f t="shared" si="28"/>
        <v>186</v>
      </c>
      <c r="C190" s="67">
        <f ca="1">IF(E190-'Invoer gegevens (N)'!$C$17&lt;0,0,1)</f>
        <v>1</v>
      </c>
      <c r="D190" s="68">
        <f t="shared" si="29"/>
        <v>185.5</v>
      </c>
      <c r="E190" s="69">
        <f ca="1">IF('Invoer gegevens (N)'!$C$16="","",E189+1)</f>
        <v>2204</v>
      </c>
      <c r="F190" s="82">
        <f ca="1">IF('Invoer gegevens (N)'!$C$17=E190,'Invoer gegevens (N)'!$C$10,IF(C190=1,H189,0))</f>
        <v>0</v>
      </c>
      <c r="G190" s="83">
        <f ca="1">IF(C190&gt;=1,F190*'Reeksen (N)'!C190,0)</f>
        <v>0</v>
      </c>
      <c r="H190" s="84">
        <f t="shared" ca="1" si="23"/>
        <v>0</v>
      </c>
      <c r="I190" s="85">
        <f ca="1">IF('Invoer gegevens (N)'!$C$17=E190,'Invoer gegevens (N)'!$C$11,IF(C190=1,L189,0))</f>
        <v>0</v>
      </c>
      <c r="J190" s="86">
        <f ca="1">IF(C190&lt;1,0,IF('Reeksen (N)'!AK190&lt;='Reeksen (N)'!AE190,I190*'Reeksen (N)'!C190,0))</f>
        <v>0</v>
      </c>
      <c r="K190" s="86">
        <f ca="1">IF(C190&lt;1,0,IF('Reeksen (N)'!AK190&gt;'Reeksen (N)'!AE190,I190*'Reeksen (N)'!C190,0))</f>
        <v>0</v>
      </c>
      <c r="L190" s="86">
        <f t="shared" ca="1" si="24"/>
        <v>0</v>
      </c>
      <c r="M190" s="85">
        <f ca="1">IF('Invoer gegevens (N)'!$C$17=E190,'Invoer gegevens (N)'!$C$10-'Invoer gegevens (N)'!$C$11,IF(C190=1,P189,0))</f>
        <v>0</v>
      </c>
      <c r="N190" s="86">
        <f ca="1">IF(C190&lt;1,0,IF('Reeksen (N)'!AK190&lt;='Reeksen (N)'!AE190,M190*'Reeksen (N)'!C190,0))</f>
        <v>0</v>
      </c>
      <c r="O190" s="86">
        <f ca="1">IF(C190&lt;1,0,IF('Reeksen (N)'!AK190&gt;'Reeksen (N)'!AE190,M190*'Reeksen (N)'!C190,0))</f>
        <v>0</v>
      </c>
      <c r="P190" s="86">
        <f t="shared" ca="1" si="25"/>
        <v>0</v>
      </c>
      <c r="Q190" s="82">
        <f ca="1">IF('Invoer gegevens (N)'!$C$17=E190,I190,IF(C190=0,0,R189))</f>
        <v>0</v>
      </c>
      <c r="R190" s="84">
        <f t="shared" ca="1" si="20"/>
        <v>0</v>
      </c>
      <c r="S190" s="84">
        <f ca="1">IF('Invoer gegevens (N)'!$C$17=E190,M190,IF(C190=0,0,T189))</f>
        <v>0</v>
      </c>
      <c r="T190" s="84">
        <f t="shared" ca="1" si="21"/>
        <v>0</v>
      </c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8"/>
      <c r="AI190" s="71">
        <f ca="1">IF(C190=1,((F190+H190)/2*'Reeksen (N)'!AJ190*12)+(('Invoer gegevens (N)'!$C$10-(F190+H190)/2)*'Reeksen (N)'!AK190*12),0)</f>
        <v>0</v>
      </c>
      <c r="AJ190" s="71">
        <f ca="1">-AI190*'Invoer gegevens (N)'!$F$28</f>
        <v>0</v>
      </c>
      <c r="AK190" s="71">
        <f t="shared" ca="1" si="22"/>
        <v>0</v>
      </c>
      <c r="AL190" s="71">
        <f ca="1">IF(C190=1,(12*((F190+H190)/2)*'Reeksen (N)'!AL190)+(12*('Invoer gegevens (N)'!$C$10-(F190+H190)/2)*'Reeksen (N)'!AM190),0)</f>
        <v>0</v>
      </c>
      <c r="AM190" s="71">
        <f ca="1">-AL190*'Invoer gegevens (N)'!$F$31</f>
        <v>0</v>
      </c>
      <c r="AN190" s="71">
        <f t="shared" ca="1" si="26"/>
        <v>0</v>
      </c>
      <c r="AO190" s="71"/>
      <c r="AP190" s="71"/>
      <c r="AQ190" s="71">
        <f ca="1">-IF(C190=1,('Invoer gegevens (N)'!$C$10*'Invoer gegevens (N)'!$I$33)*'Reeksen (N)'!J190,0)*2</f>
        <v>0</v>
      </c>
      <c r="AR190" s="71">
        <f ca="1">-IF(C190=1,(G190*'Invoer gegevens (N)'!$I$34)*'Reeksen (N)'!J190,0)</f>
        <v>0</v>
      </c>
      <c r="AS190" s="71">
        <f ca="1">-IF(C190=1,'Invoer gegevens (N)'!$C$10*'Invoer gegevens (N)'!$I$35*'Reeksen (N)'!L190,0)</f>
        <v>0</v>
      </c>
      <c r="AT190" s="71">
        <f ca="1">-IF(C190=1,IF(E190='Invoer gegevens (N)'!$C$17,'Invoer gegevens (N)'!$C$11,Q190)*'Reeksen (N)'!S190*'Invoer gegevens (N)'!$C$18*'Reeksen (N)'!P190,0)</f>
        <v>0</v>
      </c>
      <c r="AU190" s="71">
        <f ca="1">-IF(C190=1,'Invoer gegevens (N)'!$C$10*'Invoer gegevens (N)'!$I$36*'Reeksen (N)'!H190,0)</f>
        <v>0</v>
      </c>
      <c r="AV190" s="71">
        <v>0</v>
      </c>
      <c r="AW190" s="71">
        <f t="shared" ca="1" si="27"/>
        <v>0</v>
      </c>
      <c r="AX190" s="71">
        <f ca="1">IF(E190&lt;'Invoer gegevens (N)'!$C$17+15,0,IF(E190&gt;'Invoer gegevens (N)'!$C$17+215,0,AW190))</f>
        <v>0</v>
      </c>
      <c r="AY190" s="71">
        <f ca="1">AX190/(1+'Invoer gegevens (N)'!$F$13)^($AZ190-('Invoer gegevens (N)'!$C$17-'Invoer gegevens (N)'!$C$16))/(1+'Invoer gegevens (N)'!$C$39)^('Invoer gegevens (N)'!$C$17-'Invoer gegevens (N)'!$C$16)</f>
        <v>0</v>
      </c>
      <c r="AZ190" s="68">
        <f ca="1">IF(E190-'Invoer gegevens (N)'!$C$17-14.5&lt;0,0,E190-'Invoer gegevens (N)'!$C$17-14.5)</f>
        <v>170.5</v>
      </c>
    </row>
    <row r="191" spans="2:52" x14ac:dyDescent="0.25">
      <c r="B191" s="70">
        <f t="shared" si="28"/>
        <v>187</v>
      </c>
      <c r="C191" s="67">
        <f ca="1">IF(E191-'Invoer gegevens (N)'!$C$17&lt;0,0,1)</f>
        <v>1</v>
      </c>
      <c r="D191" s="68">
        <f t="shared" si="29"/>
        <v>186.5</v>
      </c>
      <c r="E191" s="69">
        <f ca="1">IF('Invoer gegevens (N)'!$C$16="","",E190+1)</f>
        <v>2205</v>
      </c>
      <c r="F191" s="82">
        <f ca="1">IF('Invoer gegevens (N)'!$C$17=E191,'Invoer gegevens (N)'!$C$10,IF(C191=1,H190,0))</f>
        <v>0</v>
      </c>
      <c r="G191" s="83">
        <f ca="1">IF(C191&gt;=1,F191*'Reeksen (N)'!C191,0)</f>
        <v>0</v>
      </c>
      <c r="H191" s="84">
        <f t="shared" ca="1" si="23"/>
        <v>0</v>
      </c>
      <c r="I191" s="85">
        <f ca="1">IF('Invoer gegevens (N)'!$C$17=E191,'Invoer gegevens (N)'!$C$11,IF(C191=1,L190,0))</f>
        <v>0</v>
      </c>
      <c r="J191" s="86">
        <f ca="1">IF(C191&lt;1,0,IF('Reeksen (N)'!AK191&lt;='Reeksen (N)'!AE191,I191*'Reeksen (N)'!C191,0))</f>
        <v>0</v>
      </c>
      <c r="K191" s="86">
        <f ca="1">IF(C191&lt;1,0,IF('Reeksen (N)'!AK191&gt;'Reeksen (N)'!AE191,I191*'Reeksen (N)'!C191,0))</f>
        <v>0</v>
      </c>
      <c r="L191" s="86">
        <f t="shared" ca="1" si="24"/>
        <v>0</v>
      </c>
      <c r="M191" s="85">
        <f ca="1">IF('Invoer gegevens (N)'!$C$17=E191,'Invoer gegevens (N)'!$C$10-'Invoer gegevens (N)'!$C$11,IF(C191=1,P190,0))</f>
        <v>0</v>
      </c>
      <c r="N191" s="86">
        <f ca="1">IF(C191&lt;1,0,IF('Reeksen (N)'!AK191&lt;='Reeksen (N)'!AE191,M191*'Reeksen (N)'!C191,0))</f>
        <v>0</v>
      </c>
      <c r="O191" s="86">
        <f ca="1">IF(C191&lt;1,0,IF('Reeksen (N)'!AK191&gt;'Reeksen (N)'!AE191,M191*'Reeksen (N)'!C191,0))</f>
        <v>0</v>
      </c>
      <c r="P191" s="86">
        <f t="shared" ca="1" si="25"/>
        <v>0</v>
      </c>
      <c r="Q191" s="82">
        <f ca="1">IF('Invoer gegevens (N)'!$C$17=E191,I191,IF(C191=0,0,R190))</f>
        <v>0</v>
      </c>
      <c r="R191" s="84">
        <f t="shared" ca="1" si="20"/>
        <v>0</v>
      </c>
      <c r="S191" s="84">
        <f ca="1">IF('Invoer gegevens (N)'!$C$17=E191,M191,IF(C191=0,0,T190))</f>
        <v>0</v>
      </c>
      <c r="T191" s="84">
        <f t="shared" ca="1" si="21"/>
        <v>0</v>
      </c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8"/>
      <c r="AI191" s="71">
        <f ca="1">IF(C191=1,((F191+H191)/2*'Reeksen (N)'!AJ191*12)+(('Invoer gegevens (N)'!$C$10-(F191+H191)/2)*'Reeksen (N)'!AK191*12),0)</f>
        <v>0</v>
      </c>
      <c r="AJ191" s="71">
        <f ca="1">-AI191*'Invoer gegevens (N)'!$F$28</f>
        <v>0</v>
      </c>
      <c r="AK191" s="71">
        <f t="shared" ca="1" si="22"/>
        <v>0</v>
      </c>
      <c r="AL191" s="71">
        <f ca="1">IF(C191=1,(12*((F191+H191)/2)*'Reeksen (N)'!AL191)+(12*('Invoer gegevens (N)'!$C$10-(F191+H191)/2)*'Reeksen (N)'!AM191),0)</f>
        <v>0</v>
      </c>
      <c r="AM191" s="71">
        <f ca="1">-AL191*'Invoer gegevens (N)'!$F$31</f>
        <v>0</v>
      </c>
      <c r="AN191" s="71">
        <f t="shared" ca="1" si="26"/>
        <v>0</v>
      </c>
      <c r="AO191" s="71"/>
      <c r="AP191" s="71"/>
      <c r="AQ191" s="71">
        <f ca="1">-IF(C191=1,('Invoer gegevens (N)'!$C$10*'Invoer gegevens (N)'!$I$33)*'Reeksen (N)'!J191,0)*2</f>
        <v>0</v>
      </c>
      <c r="AR191" s="71">
        <f ca="1">-IF(C191=1,(G191*'Invoer gegevens (N)'!$I$34)*'Reeksen (N)'!J191,0)</f>
        <v>0</v>
      </c>
      <c r="AS191" s="71">
        <f ca="1">-IF(C191=1,'Invoer gegevens (N)'!$C$10*'Invoer gegevens (N)'!$I$35*'Reeksen (N)'!L191,0)</f>
        <v>0</v>
      </c>
      <c r="AT191" s="71">
        <f ca="1">-IF(C191=1,IF(E191='Invoer gegevens (N)'!$C$17,'Invoer gegevens (N)'!$C$11,Q191)*'Reeksen (N)'!S191*'Invoer gegevens (N)'!$C$18*'Reeksen (N)'!P191,0)</f>
        <v>0</v>
      </c>
      <c r="AU191" s="71">
        <f ca="1">-IF(C191=1,'Invoer gegevens (N)'!$C$10*'Invoer gegevens (N)'!$I$36*'Reeksen (N)'!H191,0)</f>
        <v>0</v>
      </c>
      <c r="AV191" s="71">
        <v>0</v>
      </c>
      <c r="AW191" s="71">
        <f t="shared" ca="1" si="27"/>
        <v>0</v>
      </c>
      <c r="AX191" s="71">
        <f ca="1">IF(E191&lt;'Invoer gegevens (N)'!$C$17+15,0,IF(E191&gt;'Invoer gegevens (N)'!$C$17+215,0,AW191))</f>
        <v>0</v>
      </c>
      <c r="AY191" s="71">
        <f ca="1">AX191/(1+'Invoer gegevens (N)'!$F$13)^($AZ191-('Invoer gegevens (N)'!$C$17-'Invoer gegevens (N)'!$C$16))/(1+'Invoer gegevens (N)'!$C$39)^('Invoer gegevens (N)'!$C$17-'Invoer gegevens (N)'!$C$16)</f>
        <v>0</v>
      </c>
      <c r="AZ191" s="68">
        <f ca="1">IF(E191-'Invoer gegevens (N)'!$C$17-14.5&lt;0,0,E191-'Invoer gegevens (N)'!$C$17-14.5)</f>
        <v>171.5</v>
      </c>
    </row>
    <row r="192" spans="2:52" x14ac:dyDescent="0.25">
      <c r="B192" s="70">
        <f t="shared" si="28"/>
        <v>188</v>
      </c>
      <c r="C192" s="67">
        <f ca="1">IF(E192-'Invoer gegevens (N)'!$C$17&lt;0,0,1)</f>
        <v>1</v>
      </c>
      <c r="D192" s="68">
        <f t="shared" si="29"/>
        <v>187.5</v>
      </c>
      <c r="E192" s="69">
        <f ca="1">IF('Invoer gegevens (N)'!$C$16="","",E191+1)</f>
        <v>2206</v>
      </c>
      <c r="F192" s="82">
        <f ca="1">IF('Invoer gegevens (N)'!$C$17=E192,'Invoer gegevens (N)'!$C$10,IF(C192=1,H191,0))</f>
        <v>0</v>
      </c>
      <c r="G192" s="83">
        <f ca="1">IF(C192&gt;=1,F192*'Reeksen (N)'!C192,0)</f>
        <v>0</v>
      </c>
      <c r="H192" s="84">
        <f t="shared" ca="1" si="23"/>
        <v>0</v>
      </c>
      <c r="I192" s="85">
        <f ca="1">IF('Invoer gegevens (N)'!$C$17=E192,'Invoer gegevens (N)'!$C$11,IF(C192=1,L191,0))</f>
        <v>0</v>
      </c>
      <c r="J192" s="86">
        <f ca="1">IF(C192&lt;1,0,IF('Reeksen (N)'!AK192&lt;='Reeksen (N)'!AE192,I192*'Reeksen (N)'!C192,0))</f>
        <v>0</v>
      </c>
      <c r="K192" s="86">
        <f ca="1">IF(C192&lt;1,0,IF('Reeksen (N)'!AK192&gt;'Reeksen (N)'!AE192,I192*'Reeksen (N)'!C192,0))</f>
        <v>0</v>
      </c>
      <c r="L192" s="86">
        <f t="shared" ca="1" si="24"/>
        <v>0</v>
      </c>
      <c r="M192" s="85">
        <f ca="1">IF('Invoer gegevens (N)'!$C$17=E192,'Invoer gegevens (N)'!$C$10-'Invoer gegevens (N)'!$C$11,IF(C192=1,P191,0))</f>
        <v>0</v>
      </c>
      <c r="N192" s="86">
        <f ca="1">IF(C192&lt;1,0,IF('Reeksen (N)'!AK192&lt;='Reeksen (N)'!AE192,M192*'Reeksen (N)'!C192,0))</f>
        <v>0</v>
      </c>
      <c r="O192" s="86">
        <f ca="1">IF(C192&lt;1,0,IF('Reeksen (N)'!AK192&gt;'Reeksen (N)'!AE192,M192*'Reeksen (N)'!C192,0))</f>
        <v>0</v>
      </c>
      <c r="P192" s="86">
        <f t="shared" ca="1" si="25"/>
        <v>0</v>
      </c>
      <c r="Q192" s="82">
        <f ca="1">IF('Invoer gegevens (N)'!$C$17=E192,I192,IF(C192=0,0,R191))</f>
        <v>0</v>
      </c>
      <c r="R192" s="84">
        <f t="shared" ca="1" si="20"/>
        <v>0</v>
      </c>
      <c r="S192" s="84">
        <f ca="1">IF('Invoer gegevens (N)'!$C$17=E192,M192,IF(C192=0,0,T191))</f>
        <v>0</v>
      </c>
      <c r="T192" s="84">
        <f t="shared" ca="1" si="21"/>
        <v>0</v>
      </c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8"/>
      <c r="AI192" s="71">
        <f ca="1">IF(C192=1,((F192+H192)/2*'Reeksen (N)'!AJ192*12)+(('Invoer gegevens (N)'!$C$10-(F192+H192)/2)*'Reeksen (N)'!AK192*12),0)</f>
        <v>0</v>
      </c>
      <c r="AJ192" s="71">
        <f ca="1">-AI192*'Invoer gegevens (N)'!$F$28</f>
        <v>0</v>
      </c>
      <c r="AK192" s="71">
        <f t="shared" ca="1" si="22"/>
        <v>0</v>
      </c>
      <c r="AL192" s="71">
        <f ca="1">IF(C192=1,(12*((F192+H192)/2)*'Reeksen (N)'!AL192)+(12*('Invoer gegevens (N)'!$C$10-(F192+H192)/2)*'Reeksen (N)'!AM192),0)</f>
        <v>0</v>
      </c>
      <c r="AM192" s="71">
        <f ca="1">-AL192*'Invoer gegevens (N)'!$F$31</f>
        <v>0</v>
      </c>
      <c r="AN192" s="71">
        <f t="shared" ca="1" si="26"/>
        <v>0</v>
      </c>
      <c r="AO192" s="71"/>
      <c r="AP192" s="71"/>
      <c r="AQ192" s="71">
        <f ca="1">-IF(C192=1,('Invoer gegevens (N)'!$C$10*'Invoer gegevens (N)'!$I$33)*'Reeksen (N)'!J192,0)*2</f>
        <v>0</v>
      </c>
      <c r="AR192" s="71">
        <f ca="1">-IF(C192=1,(G192*'Invoer gegevens (N)'!$I$34)*'Reeksen (N)'!J192,0)</f>
        <v>0</v>
      </c>
      <c r="AS192" s="71">
        <f ca="1">-IF(C192=1,'Invoer gegevens (N)'!$C$10*'Invoer gegevens (N)'!$I$35*'Reeksen (N)'!L192,0)</f>
        <v>0</v>
      </c>
      <c r="AT192" s="71">
        <f ca="1">-IF(C192=1,IF(E192='Invoer gegevens (N)'!$C$17,'Invoer gegevens (N)'!$C$11,Q192)*'Reeksen (N)'!S192*'Invoer gegevens (N)'!$C$18*'Reeksen (N)'!P192,0)</f>
        <v>0</v>
      </c>
      <c r="AU192" s="71">
        <f ca="1">-IF(C192=1,'Invoer gegevens (N)'!$C$10*'Invoer gegevens (N)'!$I$36*'Reeksen (N)'!H192,0)</f>
        <v>0</v>
      </c>
      <c r="AV192" s="71">
        <v>0</v>
      </c>
      <c r="AW192" s="71">
        <f t="shared" ca="1" si="27"/>
        <v>0</v>
      </c>
      <c r="AX192" s="71">
        <f ca="1">IF(E192&lt;'Invoer gegevens (N)'!$C$17+15,0,IF(E192&gt;'Invoer gegevens (N)'!$C$17+215,0,AW192))</f>
        <v>0</v>
      </c>
      <c r="AY192" s="71">
        <f ca="1">AX192/(1+'Invoer gegevens (N)'!$F$13)^($AZ192-('Invoer gegevens (N)'!$C$17-'Invoer gegevens (N)'!$C$16))/(1+'Invoer gegevens (N)'!$C$39)^('Invoer gegevens (N)'!$C$17-'Invoer gegevens (N)'!$C$16)</f>
        <v>0</v>
      </c>
      <c r="AZ192" s="68">
        <f ca="1">IF(E192-'Invoer gegevens (N)'!$C$17-14.5&lt;0,0,E192-'Invoer gegevens (N)'!$C$17-14.5)</f>
        <v>172.5</v>
      </c>
    </row>
    <row r="193" spans="2:52" x14ac:dyDescent="0.25">
      <c r="B193" s="70">
        <f t="shared" si="28"/>
        <v>189</v>
      </c>
      <c r="C193" s="67">
        <f ca="1">IF(E193-'Invoer gegevens (N)'!$C$17&lt;0,0,1)</f>
        <v>1</v>
      </c>
      <c r="D193" s="68">
        <f t="shared" si="29"/>
        <v>188.5</v>
      </c>
      <c r="E193" s="69">
        <f ca="1">IF('Invoer gegevens (N)'!$C$16="","",E192+1)</f>
        <v>2207</v>
      </c>
      <c r="F193" s="82">
        <f ca="1">IF('Invoer gegevens (N)'!$C$17=E193,'Invoer gegevens (N)'!$C$10,IF(C193=1,H192,0))</f>
        <v>0</v>
      </c>
      <c r="G193" s="83">
        <f ca="1">IF(C193&gt;=1,F193*'Reeksen (N)'!C193,0)</f>
        <v>0</v>
      </c>
      <c r="H193" s="84">
        <f t="shared" ca="1" si="23"/>
        <v>0</v>
      </c>
      <c r="I193" s="85">
        <f ca="1">IF('Invoer gegevens (N)'!$C$17=E193,'Invoer gegevens (N)'!$C$11,IF(C193=1,L192,0))</f>
        <v>0</v>
      </c>
      <c r="J193" s="86">
        <f ca="1">IF(C193&lt;1,0,IF('Reeksen (N)'!AK193&lt;='Reeksen (N)'!AE193,I193*'Reeksen (N)'!C193,0))</f>
        <v>0</v>
      </c>
      <c r="K193" s="86">
        <f ca="1">IF(C193&lt;1,0,IF('Reeksen (N)'!AK193&gt;'Reeksen (N)'!AE193,I193*'Reeksen (N)'!C193,0))</f>
        <v>0</v>
      </c>
      <c r="L193" s="86">
        <f t="shared" ca="1" si="24"/>
        <v>0</v>
      </c>
      <c r="M193" s="85">
        <f ca="1">IF('Invoer gegevens (N)'!$C$17=E193,'Invoer gegevens (N)'!$C$10-'Invoer gegevens (N)'!$C$11,IF(C193=1,P192,0))</f>
        <v>0</v>
      </c>
      <c r="N193" s="86">
        <f ca="1">IF(C193&lt;1,0,IF('Reeksen (N)'!AK193&lt;='Reeksen (N)'!AE193,M193*'Reeksen (N)'!C193,0))</f>
        <v>0</v>
      </c>
      <c r="O193" s="86">
        <f ca="1">IF(C193&lt;1,0,IF('Reeksen (N)'!AK193&gt;'Reeksen (N)'!AE193,M193*'Reeksen (N)'!C193,0))</f>
        <v>0</v>
      </c>
      <c r="P193" s="86">
        <f t="shared" ca="1" si="25"/>
        <v>0</v>
      </c>
      <c r="Q193" s="82">
        <f ca="1">IF('Invoer gegevens (N)'!$C$17=E193,I193,IF(C193=0,0,R192))</f>
        <v>0</v>
      </c>
      <c r="R193" s="84">
        <f t="shared" ca="1" si="20"/>
        <v>0</v>
      </c>
      <c r="S193" s="84">
        <f ca="1">IF('Invoer gegevens (N)'!$C$17=E193,M193,IF(C193=0,0,T192))</f>
        <v>0</v>
      </c>
      <c r="T193" s="84">
        <f t="shared" ca="1" si="21"/>
        <v>0</v>
      </c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8"/>
      <c r="AI193" s="71">
        <f ca="1">IF(C193=1,((F193+H193)/2*'Reeksen (N)'!AJ193*12)+(('Invoer gegevens (N)'!$C$10-(F193+H193)/2)*'Reeksen (N)'!AK193*12),0)</f>
        <v>0</v>
      </c>
      <c r="AJ193" s="71">
        <f ca="1">-AI193*'Invoer gegevens (N)'!$F$28</f>
        <v>0</v>
      </c>
      <c r="AK193" s="71">
        <f t="shared" ca="1" si="22"/>
        <v>0</v>
      </c>
      <c r="AL193" s="71">
        <f ca="1">IF(C193=1,(12*((F193+H193)/2)*'Reeksen (N)'!AL193)+(12*('Invoer gegevens (N)'!$C$10-(F193+H193)/2)*'Reeksen (N)'!AM193),0)</f>
        <v>0</v>
      </c>
      <c r="AM193" s="71">
        <f ca="1">-AL193*'Invoer gegevens (N)'!$F$31</f>
        <v>0</v>
      </c>
      <c r="AN193" s="71">
        <f t="shared" ca="1" si="26"/>
        <v>0</v>
      </c>
      <c r="AO193" s="71"/>
      <c r="AP193" s="71"/>
      <c r="AQ193" s="71">
        <f ca="1">-IF(C193=1,('Invoer gegevens (N)'!$C$10*'Invoer gegevens (N)'!$I$33)*'Reeksen (N)'!J193,0)*2</f>
        <v>0</v>
      </c>
      <c r="AR193" s="71">
        <f ca="1">-IF(C193=1,(G193*'Invoer gegevens (N)'!$I$34)*'Reeksen (N)'!J193,0)</f>
        <v>0</v>
      </c>
      <c r="AS193" s="71">
        <f ca="1">-IF(C193=1,'Invoer gegevens (N)'!$C$10*'Invoer gegevens (N)'!$I$35*'Reeksen (N)'!L193,0)</f>
        <v>0</v>
      </c>
      <c r="AT193" s="71">
        <f ca="1">-IF(C193=1,IF(E193='Invoer gegevens (N)'!$C$17,'Invoer gegevens (N)'!$C$11,Q193)*'Reeksen (N)'!S193*'Invoer gegevens (N)'!$C$18*'Reeksen (N)'!P193,0)</f>
        <v>0</v>
      </c>
      <c r="AU193" s="71">
        <f ca="1">-IF(C193=1,'Invoer gegevens (N)'!$C$10*'Invoer gegevens (N)'!$I$36*'Reeksen (N)'!H193,0)</f>
        <v>0</v>
      </c>
      <c r="AV193" s="71">
        <v>0</v>
      </c>
      <c r="AW193" s="71">
        <f t="shared" ca="1" si="27"/>
        <v>0</v>
      </c>
      <c r="AX193" s="71">
        <f ca="1">IF(E193&lt;'Invoer gegevens (N)'!$C$17+15,0,IF(E193&gt;'Invoer gegevens (N)'!$C$17+215,0,AW193))</f>
        <v>0</v>
      </c>
      <c r="AY193" s="71">
        <f ca="1">AX193/(1+'Invoer gegevens (N)'!$F$13)^($AZ193-('Invoer gegevens (N)'!$C$17-'Invoer gegevens (N)'!$C$16))/(1+'Invoer gegevens (N)'!$C$39)^('Invoer gegevens (N)'!$C$17-'Invoer gegevens (N)'!$C$16)</f>
        <v>0</v>
      </c>
      <c r="AZ193" s="68">
        <f ca="1">IF(E193-'Invoer gegevens (N)'!$C$17-14.5&lt;0,0,E193-'Invoer gegevens (N)'!$C$17-14.5)</f>
        <v>173.5</v>
      </c>
    </row>
    <row r="194" spans="2:52" x14ac:dyDescent="0.25">
      <c r="B194" s="70">
        <f t="shared" si="28"/>
        <v>190</v>
      </c>
      <c r="C194" s="67">
        <f ca="1">IF(E194-'Invoer gegevens (N)'!$C$17&lt;0,0,1)</f>
        <v>1</v>
      </c>
      <c r="D194" s="68">
        <f t="shared" si="29"/>
        <v>189.5</v>
      </c>
      <c r="E194" s="69">
        <f ca="1">IF('Invoer gegevens (N)'!$C$16="","",E193+1)</f>
        <v>2208</v>
      </c>
      <c r="F194" s="82">
        <f ca="1">IF('Invoer gegevens (N)'!$C$17=E194,'Invoer gegevens (N)'!$C$10,IF(C194=1,H193,0))</f>
        <v>0</v>
      </c>
      <c r="G194" s="83">
        <f ca="1">IF(C194&gt;=1,F194*'Reeksen (N)'!C194,0)</f>
        <v>0</v>
      </c>
      <c r="H194" s="84">
        <f t="shared" ca="1" si="23"/>
        <v>0</v>
      </c>
      <c r="I194" s="85">
        <f ca="1">IF('Invoer gegevens (N)'!$C$17=E194,'Invoer gegevens (N)'!$C$11,IF(C194=1,L193,0))</f>
        <v>0</v>
      </c>
      <c r="J194" s="86">
        <f ca="1">IF(C194&lt;1,0,IF('Reeksen (N)'!AK194&lt;='Reeksen (N)'!AE194,I194*'Reeksen (N)'!C194,0))</f>
        <v>0</v>
      </c>
      <c r="K194" s="86">
        <f ca="1">IF(C194&lt;1,0,IF('Reeksen (N)'!AK194&gt;'Reeksen (N)'!AE194,I194*'Reeksen (N)'!C194,0))</f>
        <v>0</v>
      </c>
      <c r="L194" s="86">
        <f t="shared" ca="1" si="24"/>
        <v>0</v>
      </c>
      <c r="M194" s="85">
        <f ca="1">IF('Invoer gegevens (N)'!$C$17=E194,'Invoer gegevens (N)'!$C$10-'Invoer gegevens (N)'!$C$11,IF(C194=1,P193,0))</f>
        <v>0</v>
      </c>
      <c r="N194" s="86">
        <f ca="1">IF(C194&lt;1,0,IF('Reeksen (N)'!AK194&lt;='Reeksen (N)'!AE194,M194*'Reeksen (N)'!C194,0))</f>
        <v>0</v>
      </c>
      <c r="O194" s="86">
        <f ca="1">IF(C194&lt;1,0,IF('Reeksen (N)'!AK194&gt;'Reeksen (N)'!AE194,M194*'Reeksen (N)'!C194,0))</f>
        <v>0</v>
      </c>
      <c r="P194" s="86">
        <f t="shared" ca="1" si="25"/>
        <v>0</v>
      </c>
      <c r="Q194" s="82">
        <f ca="1">IF('Invoer gegevens (N)'!$C$17=E194,I194,IF(C194=0,0,R193))</f>
        <v>0</v>
      </c>
      <c r="R194" s="84">
        <f t="shared" ca="1" si="20"/>
        <v>0</v>
      </c>
      <c r="S194" s="84">
        <f ca="1">IF('Invoer gegevens (N)'!$C$17=E194,M194,IF(C194=0,0,T193))</f>
        <v>0</v>
      </c>
      <c r="T194" s="84">
        <f t="shared" ca="1" si="21"/>
        <v>0</v>
      </c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8"/>
      <c r="AI194" s="71">
        <f ca="1">IF(C194=1,((F194+H194)/2*'Reeksen (N)'!AJ194*12)+(('Invoer gegevens (N)'!$C$10-(F194+H194)/2)*'Reeksen (N)'!AK194*12),0)</f>
        <v>0</v>
      </c>
      <c r="AJ194" s="71">
        <f ca="1">-AI194*'Invoer gegevens (N)'!$F$28</f>
        <v>0</v>
      </c>
      <c r="AK194" s="71">
        <f t="shared" ca="1" si="22"/>
        <v>0</v>
      </c>
      <c r="AL194" s="71">
        <f ca="1">IF(C194=1,(12*((F194+H194)/2)*'Reeksen (N)'!AL194)+(12*('Invoer gegevens (N)'!$C$10-(F194+H194)/2)*'Reeksen (N)'!AM194),0)</f>
        <v>0</v>
      </c>
      <c r="AM194" s="71">
        <f ca="1">-AL194*'Invoer gegevens (N)'!$F$31</f>
        <v>0</v>
      </c>
      <c r="AN194" s="71">
        <f t="shared" ca="1" si="26"/>
        <v>0</v>
      </c>
      <c r="AO194" s="71"/>
      <c r="AP194" s="71"/>
      <c r="AQ194" s="71">
        <f ca="1">-IF(C194=1,('Invoer gegevens (N)'!$C$10*'Invoer gegevens (N)'!$I$33)*'Reeksen (N)'!J194,0)*2</f>
        <v>0</v>
      </c>
      <c r="AR194" s="71">
        <f ca="1">-IF(C194=1,(G194*'Invoer gegevens (N)'!$I$34)*'Reeksen (N)'!J194,0)</f>
        <v>0</v>
      </c>
      <c r="AS194" s="71">
        <f ca="1">-IF(C194=1,'Invoer gegevens (N)'!$C$10*'Invoer gegevens (N)'!$I$35*'Reeksen (N)'!L194,0)</f>
        <v>0</v>
      </c>
      <c r="AT194" s="71">
        <f ca="1">-IF(C194=1,IF(E194='Invoer gegevens (N)'!$C$17,'Invoer gegevens (N)'!$C$11,Q194)*'Reeksen (N)'!S194*'Invoer gegevens (N)'!$C$18*'Reeksen (N)'!P194,0)</f>
        <v>0</v>
      </c>
      <c r="AU194" s="71">
        <f ca="1">-IF(C194=1,'Invoer gegevens (N)'!$C$10*'Invoer gegevens (N)'!$I$36*'Reeksen (N)'!H194,0)</f>
        <v>0</v>
      </c>
      <c r="AV194" s="71">
        <v>0</v>
      </c>
      <c r="AW194" s="71">
        <f t="shared" ca="1" si="27"/>
        <v>0</v>
      </c>
      <c r="AX194" s="71">
        <f ca="1">IF(E194&lt;'Invoer gegevens (N)'!$C$17+15,0,IF(E194&gt;'Invoer gegevens (N)'!$C$17+215,0,AW194))</f>
        <v>0</v>
      </c>
      <c r="AY194" s="71">
        <f ca="1">AX194/(1+'Invoer gegevens (N)'!$F$13)^($AZ194-('Invoer gegevens (N)'!$C$17-'Invoer gegevens (N)'!$C$16))/(1+'Invoer gegevens (N)'!$C$39)^('Invoer gegevens (N)'!$C$17-'Invoer gegevens (N)'!$C$16)</f>
        <v>0</v>
      </c>
      <c r="AZ194" s="68">
        <f ca="1">IF(E194-'Invoer gegevens (N)'!$C$17-14.5&lt;0,0,E194-'Invoer gegevens (N)'!$C$17-14.5)</f>
        <v>174.5</v>
      </c>
    </row>
    <row r="195" spans="2:52" x14ac:dyDescent="0.25">
      <c r="B195" s="70">
        <f t="shared" si="28"/>
        <v>191</v>
      </c>
      <c r="C195" s="67">
        <f ca="1">IF(E195-'Invoer gegevens (N)'!$C$17&lt;0,0,1)</f>
        <v>1</v>
      </c>
      <c r="D195" s="68">
        <f t="shared" si="29"/>
        <v>190.5</v>
      </c>
      <c r="E195" s="69">
        <f ca="1">IF('Invoer gegevens (N)'!$C$16="","",E194+1)</f>
        <v>2209</v>
      </c>
      <c r="F195" s="82">
        <f ca="1">IF('Invoer gegevens (N)'!$C$17=E195,'Invoer gegevens (N)'!$C$10,IF(C195=1,H194,0))</f>
        <v>0</v>
      </c>
      <c r="G195" s="83">
        <f ca="1">IF(C195&gt;=1,F195*'Reeksen (N)'!C195,0)</f>
        <v>0</v>
      </c>
      <c r="H195" s="84">
        <f t="shared" ca="1" si="23"/>
        <v>0</v>
      </c>
      <c r="I195" s="85">
        <f ca="1">IF('Invoer gegevens (N)'!$C$17=E195,'Invoer gegevens (N)'!$C$11,IF(C195=1,L194,0))</f>
        <v>0</v>
      </c>
      <c r="J195" s="86">
        <f ca="1">IF(C195&lt;1,0,IF('Reeksen (N)'!AK195&lt;='Reeksen (N)'!AE195,I195*'Reeksen (N)'!C195,0))</f>
        <v>0</v>
      </c>
      <c r="K195" s="86">
        <f ca="1">IF(C195&lt;1,0,IF('Reeksen (N)'!AK195&gt;'Reeksen (N)'!AE195,I195*'Reeksen (N)'!C195,0))</f>
        <v>0</v>
      </c>
      <c r="L195" s="86">
        <f t="shared" ca="1" si="24"/>
        <v>0</v>
      </c>
      <c r="M195" s="85">
        <f ca="1">IF('Invoer gegevens (N)'!$C$17=E195,'Invoer gegevens (N)'!$C$10-'Invoer gegevens (N)'!$C$11,IF(C195=1,P194,0))</f>
        <v>0</v>
      </c>
      <c r="N195" s="86">
        <f ca="1">IF(C195&lt;1,0,IF('Reeksen (N)'!AK195&lt;='Reeksen (N)'!AE195,M195*'Reeksen (N)'!C195,0))</f>
        <v>0</v>
      </c>
      <c r="O195" s="86">
        <f ca="1">IF(C195&lt;1,0,IF('Reeksen (N)'!AK195&gt;'Reeksen (N)'!AE195,M195*'Reeksen (N)'!C195,0))</f>
        <v>0</v>
      </c>
      <c r="P195" s="86">
        <f t="shared" ca="1" si="25"/>
        <v>0</v>
      </c>
      <c r="Q195" s="82">
        <f ca="1">IF('Invoer gegevens (N)'!$C$17=E195,I195,IF(C195=0,0,R194))</f>
        <v>0</v>
      </c>
      <c r="R195" s="84">
        <f t="shared" ca="1" si="20"/>
        <v>0</v>
      </c>
      <c r="S195" s="84">
        <f ca="1">IF('Invoer gegevens (N)'!$C$17=E195,M195,IF(C195=0,0,T194))</f>
        <v>0</v>
      </c>
      <c r="T195" s="84">
        <f t="shared" ca="1" si="21"/>
        <v>0</v>
      </c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8"/>
      <c r="AI195" s="71">
        <f ca="1">IF(C195=1,((F195+H195)/2*'Reeksen (N)'!AJ195*12)+(('Invoer gegevens (N)'!$C$10-(F195+H195)/2)*'Reeksen (N)'!AK195*12),0)</f>
        <v>0</v>
      </c>
      <c r="AJ195" s="71">
        <f ca="1">-AI195*'Invoer gegevens (N)'!$F$28</f>
        <v>0</v>
      </c>
      <c r="AK195" s="71">
        <f t="shared" ca="1" si="22"/>
        <v>0</v>
      </c>
      <c r="AL195" s="71">
        <f ca="1">IF(C195=1,(12*((F195+H195)/2)*'Reeksen (N)'!AL195)+(12*('Invoer gegevens (N)'!$C$10-(F195+H195)/2)*'Reeksen (N)'!AM195),0)</f>
        <v>0</v>
      </c>
      <c r="AM195" s="71">
        <f ca="1">-AL195*'Invoer gegevens (N)'!$F$31</f>
        <v>0</v>
      </c>
      <c r="AN195" s="71">
        <f t="shared" ca="1" si="26"/>
        <v>0</v>
      </c>
      <c r="AO195" s="71"/>
      <c r="AP195" s="71"/>
      <c r="AQ195" s="71">
        <f ca="1">-IF(C195=1,('Invoer gegevens (N)'!$C$10*'Invoer gegevens (N)'!$I$33)*'Reeksen (N)'!J195,0)*2</f>
        <v>0</v>
      </c>
      <c r="AR195" s="71">
        <f ca="1">-IF(C195=1,(G195*'Invoer gegevens (N)'!$I$34)*'Reeksen (N)'!J195,0)</f>
        <v>0</v>
      </c>
      <c r="AS195" s="71">
        <f ca="1">-IF(C195=1,'Invoer gegevens (N)'!$C$10*'Invoer gegevens (N)'!$I$35*'Reeksen (N)'!L195,0)</f>
        <v>0</v>
      </c>
      <c r="AT195" s="71">
        <f ca="1">-IF(C195=1,IF(E195='Invoer gegevens (N)'!$C$17,'Invoer gegevens (N)'!$C$11,Q195)*'Reeksen (N)'!S195*'Invoer gegevens (N)'!$C$18*'Reeksen (N)'!P195,0)</f>
        <v>0</v>
      </c>
      <c r="AU195" s="71">
        <f ca="1">-IF(C195=1,'Invoer gegevens (N)'!$C$10*'Invoer gegevens (N)'!$I$36*'Reeksen (N)'!H195,0)</f>
        <v>0</v>
      </c>
      <c r="AV195" s="71">
        <v>0</v>
      </c>
      <c r="AW195" s="71">
        <f t="shared" ca="1" si="27"/>
        <v>0</v>
      </c>
      <c r="AX195" s="71">
        <f ca="1">IF(E195&lt;'Invoer gegevens (N)'!$C$17+15,0,IF(E195&gt;'Invoer gegevens (N)'!$C$17+215,0,AW195))</f>
        <v>0</v>
      </c>
      <c r="AY195" s="71">
        <f ca="1">AX195/(1+'Invoer gegevens (N)'!$F$13)^($AZ195-('Invoer gegevens (N)'!$C$17-'Invoer gegevens (N)'!$C$16))/(1+'Invoer gegevens (N)'!$C$39)^('Invoer gegevens (N)'!$C$17-'Invoer gegevens (N)'!$C$16)</f>
        <v>0</v>
      </c>
      <c r="AZ195" s="68">
        <f ca="1">IF(E195-'Invoer gegevens (N)'!$C$17-14.5&lt;0,0,E195-'Invoer gegevens (N)'!$C$17-14.5)</f>
        <v>175.5</v>
      </c>
    </row>
    <row r="196" spans="2:52" x14ac:dyDescent="0.25">
      <c r="B196" s="70">
        <f t="shared" si="28"/>
        <v>192</v>
      </c>
      <c r="C196" s="67">
        <f ca="1">IF(E196-'Invoer gegevens (N)'!$C$17&lt;0,0,1)</f>
        <v>1</v>
      </c>
      <c r="D196" s="68">
        <f t="shared" si="29"/>
        <v>191.5</v>
      </c>
      <c r="E196" s="69">
        <f ca="1">IF('Invoer gegevens (N)'!$C$16="","",E195+1)</f>
        <v>2210</v>
      </c>
      <c r="F196" s="82">
        <f ca="1">IF('Invoer gegevens (N)'!$C$17=E196,'Invoer gegevens (N)'!$C$10,IF(C196=1,H195,0))</f>
        <v>0</v>
      </c>
      <c r="G196" s="83">
        <f ca="1">IF(C196&gt;=1,F196*'Reeksen (N)'!C196,0)</f>
        <v>0</v>
      </c>
      <c r="H196" s="84">
        <f t="shared" ca="1" si="23"/>
        <v>0</v>
      </c>
      <c r="I196" s="85">
        <f ca="1">IF('Invoer gegevens (N)'!$C$17=E196,'Invoer gegevens (N)'!$C$11,IF(C196=1,L195,0))</f>
        <v>0</v>
      </c>
      <c r="J196" s="86">
        <f ca="1">IF(C196&lt;1,0,IF('Reeksen (N)'!AK196&lt;='Reeksen (N)'!AE196,I196*'Reeksen (N)'!C196,0))</f>
        <v>0</v>
      </c>
      <c r="K196" s="86">
        <f ca="1">IF(C196&lt;1,0,IF('Reeksen (N)'!AK196&gt;'Reeksen (N)'!AE196,I196*'Reeksen (N)'!C196,0))</f>
        <v>0</v>
      </c>
      <c r="L196" s="86">
        <f t="shared" ca="1" si="24"/>
        <v>0</v>
      </c>
      <c r="M196" s="85">
        <f ca="1">IF('Invoer gegevens (N)'!$C$17=E196,'Invoer gegevens (N)'!$C$10-'Invoer gegevens (N)'!$C$11,IF(C196=1,P195,0))</f>
        <v>0</v>
      </c>
      <c r="N196" s="86">
        <f ca="1">IF(C196&lt;1,0,IF('Reeksen (N)'!AK196&lt;='Reeksen (N)'!AE196,M196*'Reeksen (N)'!C196,0))</f>
        <v>0</v>
      </c>
      <c r="O196" s="86">
        <f ca="1">IF(C196&lt;1,0,IF('Reeksen (N)'!AK196&gt;'Reeksen (N)'!AE196,M196*'Reeksen (N)'!C196,0))</f>
        <v>0</v>
      </c>
      <c r="P196" s="86">
        <f t="shared" ca="1" si="25"/>
        <v>0</v>
      </c>
      <c r="Q196" s="82">
        <f ca="1">IF('Invoer gegevens (N)'!$C$17=E196,I196,IF(C196=0,0,R195))</f>
        <v>0</v>
      </c>
      <c r="R196" s="84">
        <f t="shared" ca="1" si="20"/>
        <v>0</v>
      </c>
      <c r="S196" s="84">
        <f ca="1">IF('Invoer gegevens (N)'!$C$17=E196,M196,IF(C196=0,0,T195))</f>
        <v>0</v>
      </c>
      <c r="T196" s="84">
        <f t="shared" ca="1" si="21"/>
        <v>0</v>
      </c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8"/>
      <c r="AI196" s="71">
        <f ca="1">IF(C196=1,((F196+H196)/2*'Reeksen (N)'!AJ196*12)+(('Invoer gegevens (N)'!$C$10-(F196+H196)/2)*'Reeksen (N)'!AK196*12),0)</f>
        <v>0</v>
      </c>
      <c r="AJ196" s="71">
        <f ca="1">-AI196*'Invoer gegevens (N)'!$F$28</f>
        <v>0</v>
      </c>
      <c r="AK196" s="71">
        <f t="shared" ca="1" si="22"/>
        <v>0</v>
      </c>
      <c r="AL196" s="71">
        <f ca="1">IF(C196=1,(12*((F196+H196)/2)*'Reeksen (N)'!AL196)+(12*('Invoer gegevens (N)'!$C$10-(F196+H196)/2)*'Reeksen (N)'!AM196),0)</f>
        <v>0</v>
      </c>
      <c r="AM196" s="71">
        <f ca="1">-AL196*'Invoer gegevens (N)'!$F$31</f>
        <v>0</v>
      </c>
      <c r="AN196" s="71">
        <f t="shared" ca="1" si="26"/>
        <v>0</v>
      </c>
      <c r="AO196" s="71"/>
      <c r="AP196" s="71"/>
      <c r="AQ196" s="71">
        <f ca="1">-IF(C196=1,('Invoer gegevens (N)'!$C$10*'Invoer gegevens (N)'!$I$33)*'Reeksen (N)'!J196,0)*2</f>
        <v>0</v>
      </c>
      <c r="AR196" s="71">
        <f ca="1">-IF(C196=1,(G196*'Invoer gegevens (N)'!$I$34)*'Reeksen (N)'!J196,0)</f>
        <v>0</v>
      </c>
      <c r="AS196" s="71">
        <f ca="1">-IF(C196=1,'Invoer gegevens (N)'!$C$10*'Invoer gegevens (N)'!$I$35*'Reeksen (N)'!L196,0)</f>
        <v>0</v>
      </c>
      <c r="AT196" s="71">
        <f ca="1">-IF(C196=1,IF(E196='Invoer gegevens (N)'!$C$17,'Invoer gegevens (N)'!$C$11,Q196)*'Reeksen (N)'!S196*'Invoer gegevens (N)'!$C$18*'Reeksen (N)'!P196,0)</f>
        <v>0</v>
      </c>
      <c r="AU196" s="71">
        <f ca="1">-IF(C196=1,'Invoer gegevens (N)'!$C$10*'Invoer gegevens (N)'!$I$36*'Reeksen (N)'!H196,0)</f>
        <v>0</v>
      </c>
      <c r="AV196" s="71">
        <v>0</v>
      </c>
      <c r="AW196" s="71">
        <f t="shared" ca="1" si="27"/>
        <v>0</v>
      </c>
      <c r="AX196" s="71">
        <f ca="1">IF(E196&lt;'Invoer gegevens (N)'!$C$17+15,0,IF(E196&gt;'Invoer gegevens (N)'!$C$17+215,0,AW196))</f>
        <v>0</v>
      </c>
      <c r="AY196" s="71">
        <f ca="1">AX196/(1+'Invoer gegevens (N)'!$F$13)^($AZ196-('Invoer gegevens (N)'!$C$17-'Invoer gegevens (N)'!$C$16))/(1+'Invoer gegevens (N)'!$C$39)^('Invoer gegevens (N)'!$C$17-'Invoer gegevens (N)'!$C$16)</f>
        <v>0</v>
      </c>
      <c r="AZ196" s="68">
        <f ca="1">IF(E196-'Invoer gegevens (N)'!$C$17-14.5&lt;0,0,E196-'Invoer gegevens (N)'!$C$17-14.5)</f>
        <v>176.5</v>
      </c>
    </row>
    <row r="197" spans="2:52" x14ac:dyDescent="0.25">
      <c r="B197" s="70">
        <f t="shared" si="28"/>
        <v>193</v>
      </c>
      <c r="C197" s="67">
        <f ca="1">IF(E197-'Invoer gegevens (N)'!$C$17&lt;0,0,1)</f>
        <v>1</v>
      </c>
      <c r="D197" s="68">
        <f t="shared" si="29"/>
        <v>192.5</v>
      </c>
      <c r="E197" s="69">
        <f ca="1">IF('Invoer gegevens (N)'!$C$16="","",E196+1)</f>
        <v>2211</v>
      </c>
      <c r="F197" s="82">
        <f ca="1">IF('Invoer gegevens (N)'!$C$17=E197,'Invoer gegevens (N)'!$C$10,IF(C197=1,H196,0))</f>
        <v>0</v>
      </c>
      <c r="G197" s="83">
        <f ca="1">IF(C197&gt;=1,F197*'Reeksen (N)'!C197,0)</f>
        <v>0</v>
      </c>
      <c r="H197" s="84">
        <f t="shared" ca="1" si="23"/>
        <v>0</v>
      </c>
      <c r="I197" s="85">
        <f ca="1">IF('Invoer gegevens (N)'!$C$17=E197,'Invoer gegevens (N)'!$C$11,IF(C197=1,L196,0))</f>
        <v>0</v>
      </c>
      <c r="J197" s="86">
        <f ca="1">IF(C197&lt;1,0,IF('Reeksen (N)'!AK197&lt;='Reeksen (N)'!AE197,I197*'Reeksen (N)'!C197,0))</f>
        <v>0</v>
      </c>
      <c r="K197" s="86">
        <f ca="1">IF(C197&lt;1,0,IF('Reeksen (N)'!AK197&gt;'Reeksen (N)'!AE197,I197*'Reeksen (N)'!C197,0))</f>
        <v>0</v>
      </c>
      <c r="L197" s="86">
        <f t="shared" ca="1" si="24"/>
        <v>0</v>
      </c>
      <c r="M197" s="85">
        <f ca="1">IF('Invoer gegevens (N)'!$C$17=E197,'Invoer gegevens (N)'!$C$10-'Invoer gegevens (N)'!$C$11,IF(C197=1,P196,0))</f>
        <v>0</v>
      </c>
      <c r="N197" s="86">
        <f ca="1">IF(C197&lt;1,0,IF('Reeksen (N)'!AK197&lt;='Reeksen (N)'!AE197,M197*'Reeksen (N)'!C197,0))</f>
        <v>0</v>
      </c>
      <c r="O197" s="86">
        <f ca="1">IF(C197&lt;1,0,IF('Reeksen (N)'!AK197&gt;'Reeksen (N)'!AE197,M197*'Reeksen (N)'!C197,0))</f>
        <v>0</v>
      </c>
      <c r="P197" s="86">
        <f t="shared" ca="1" si="25"/>
        <v>0</v>
      </c>
      <c r="Q197" s="82">
        <f ca="1">IF('Invoer gegevens (N)'!$C$17=E197,I197,IF(C197=0,0,R196))</f>
        <v>0</v>
      </c>
      <c r="R197" s="84">
        <f t="shared" ref="R197:R234" ca="1" si="30">IF(C197=0,0,Q197-K197+N197)</f>
        <v>0</v>
      </c>
      <c r="S197" s="84">
        <f ca="1">IF('Invoer gegevens (N)'!$C$17=E197,M197,IF(C197=0,0,T196))</f>
        <v>0</v>
      </c>
      <c r="T197" s="84">
        <f t="shared" ref="T197:T234" ca="1" si="31">IF(C197=0,0,S197-N197+K197)</f>
        <v>0</v>
      </c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8"/>
      <c r="AI197" s="71">
        <f ca="1">IF(C197=1,((F197+H197)/2*'Reeksen (N)'!AJ197*12)+(('Invoer gegevens (N)'!$C$10-(F197+H197)/2)*'Reeksen (N)'!AK197*12),0)</f>
        <v>0</v>
      </c>
      <c r="AJ197" s="71">
        <f ca="1">-AI197*'Invoer gegevens (N)'!$F$28</f>
        <v>0</v>
      </c>
      <c r="AK197" s="71">
        <f t="shared" ref="AK197:AK234" ca="1" si="32">AI197+AJ197</f>
        <v>0</v>
      </c>
      <c r="AL197" s="71">
        <f ca="1">IF(C197=1,(12*((F197+H197)/2)*'Reeksen (N)'!AL197)+(12*('Invoer gegevens (N)'!$C$10-(F197+H197)/2)*'Reeksen (N)'!AM197),0)</f>
        <v>0</v>
      </c>
      <c r="AM197" s="71">
        <f ca="1">-AL197*'Invoer gegevens (N)'!$F$31</f>
        <v>0</v>
      </c>
      <c r="AN197" s="71">
        <f t="shared" ca="1" si="26"/>
        <v>0</v>
      </c>
      <c r="AO197" s="71"/>
      <c r="AP197" s="71"/>
      <c r="AQ197" s="71">
        <f ca="1">-IF(C197=1,('Invoer gegevens (N)'!$C$10*'Invoer gegevens (N)'!$I$33)*'Reeksen (N)'!J197,0)*2</f>
        <v>0</v>
      </c>
      <c r="AR197" s="71">
        <f ca="1">-IF(C197=1,(G197*'Invoer gegevens (N)'!$I$34)*'Reeksen (N)'!J197,0)</f>
        <v>0</v>
      </c>
      <c r="AS197" s="71">
        <f ca="1">-IF(C197=1,'Invoer gegevens (N)'!$C$10*'Invoer gegevens (N)'!$I$35*'Reeksen (N)'!L197,0)</f>
        <v>0</v>
      </c>
      <c r="AT197" s="71">
        <f ca="1">-IF(C197=1,IF(E197='Invoer gegevens (N)'!$C$17,'Invoer gegevens (N)'!$C$11,Q197)*'Reeksen (N)'!S197*'Invoer gegevens (N)'!$C$18*'Reeksen (N)'!P197,0)</f>
        <v>0</v>
      </c>
      <c r="AU197" s="71">
        <f ca="1">-IF(C197=1,'Invoer gegevens (N)'!$C$10*'Invoer gegevens (N)'!$I$36*'Reeksen (N)'!H197,0)</f>
        <v>0</v>
      </c>
      <c r="AV197" s="71">
        <v>0</v>
      </c>
      <c r="AW197" s="71">
        <f t="shared" ca="1" si="27"/>
        <v>0</v>
      </c>
      <c r="AX197" s="71">
        <f ca="1">IF(E197&lt;'Invoer gegevens (N)'!$C$17+15,0,IF(E197&gt;'Invoer gegevens (N)'!$C$17+215,0,AW197))</f>
        <v>0</v>
      </c>
      <c r="AY197" s="71">
        <f ca="1">AX197/(1+'Invoer gegevens (N)'!$F$13)^($AZ197-('Invoer gegevens (N)'!$C$17-'Invoer gegevens (N)'!$C$16))/(1+'Invoer gegevens (N)'!$C$39)^('Invoer gegevens (N)'!$C$17-'Invoer gegevens (N)'!$C$16)</f>
        <v>0</v>
      </c>
      <c r="AZ197" s="68">
        <f ca="1">IF(E197-'Invoer gegevens (N)'!$C$17-14.5&lt;0,0,E197-'Invoer gegevens (N)'!$C$17-14.5)</f>
        <v>177.5</v>
      </c>
    </row>
    <row r="198" spans="2:52" x14ac:dyDescent="0.25">
      <c r="B198" s="70">
        <f t="shared" si="28"/>
        <v>194</v>
      </c>
      <c r="C198" s="67">
        <f ca="1">IF(E198-'Invoer gegevens (N)'!$C$17&lt;0,0,1)</f>
        <v>1</v>
      </c>
      <c r="D198" s="68">
        <f t="shared" si="29"/>
        <v>193.5</v>
      </c>
      <c r="E198" s="69">
        <f ca="1">IF('Invoer gegevens (N)'!$C$16="","",E197+1)</f>
        <v>2212</v>
      </c>
      <c r="F198" s="82">
        <f ca="1">IF('Invoer gegevens (N)'!$C$17=E198,'Invoer gegevens (N)'!$C$10,IF(C198=1,H197,0))</f>
        <v>0</v>
      </c>
      <c r="G198" s="83">
        <f ca="1">IF(C198&gt;=1,F198*'Reeksen (N)'!C198,0)</f>
        <v>0</v>
      </c>
      <c r="H198" s="84">
        <f t="shared" ref="H198:H234" ca="1" si="33">F198-G198</f>
        <v>0</v>
      </c>
      <c r="I198" s="85">
        <f ca="1">IF('Invoer gegevens (N)'!$C$17=E198,'Invoer gegevens (N)'!$C$11,IF(C198=1,L197,0))</f>
        <v>0</v>
      </c>
      <c r="J198" s="86">
        <f ca="1">IF(C198&lt;1,0,IF('Reeksen (N)'!AK198&lt;='Reeksen (N)'!AE198,I198*'Reeksen (N)'!C198,0))</f>
        <v>0</v>
      </c>
      <c r="K198" s="86">
        <f ca="1">IF(C198&lt;1,0,IF('Reeksen (N)'!AK198&gt;'Reeksen (N)'!AE198,I198*'Reeksen (N)'!C198,0))</f>
        <v>0</v>
      </c>
      <c r="L198" s="86">
        <f t="shared" ref="L198:L234" ca="1" si="34">I198-J198-K198</f>
        <v>0</v>
      </c>
      <c r="M198" s="85">
        <f ca="1">IF('Invoer gegevens (N)'!$C$17=E198,'Invoer gegevens (N)'!$C$10-'Invoer gegevens (N)'!$C$11,IF(C198=1,P197,0))</f>
        <v>0</v>
      </c>
      <c r="N198" s="86">
        <f ca="1">IF(C198&lt;1,0,IF('Reeksen (N)'!AK198&lt;='Reeksen (N)'!AE198,M198*'Reeksen (N)'!C198,0))</f>
        <v>0</v>
      </c>
      <c r="O198" s="86">
        <f ca="1">IF(C198&lt;1,0,IF('Reeksen (N)'!AK198&gt;'Reeksen (N)'!AE198,M198*'Reeksen (N)'!C198,0))</f>
        <v>0</v>
      </c>
      <c r="P198" s="86">
        <f t="shared" ref="P198:P234" ca="1" si="35">M198-N198-O198</f>
        <v>0</v>
      </c>
      <c r="Q198" s="82">
        <f ca="1">IF('Invoer gegevens (N)'!$C$17=E198,I198,IF(C198=0,0,R197))</f>
        <v>0</v>
      </c>
      <c r="R198" s="84">
        <f t="shared" ca="1" si="30"/>
        <v>0</v>
      </c>
      <c r="S198" s="84">
        <f ca="1">IF('Invoer gegevens (N)'!$C$17=E198,M198,IF(C198=0,0,T197))</f>
        <v>0</v>
      </c>
      <c r="T198" s="84">
        <f t="shared" ca="1" si="31"/>
        <v>0</v>
      </c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8"/>
      <c r="AI198" s="71">
        <f ca="1">IF(C198=1,((F198+H198)/2*'Reeksen (N)'!AJ198*12)+(('Invoer gegevens (N)'!$C$10-(F198+H198)/2)*'Reeksen (N)'!AK198*12),0)</f>
        <v>0</v>
      </c>
      <c r="AJ198" s="71">
        <f ca="1">-AI198*'Invoer gegevens (N)'!$F$28</f>
        <v>0</v>
      </c>
      <c r="AK198" s="71">
        <f t="shared" ca="1" si="32"/>
        <v>0</v>
      </c>
      <c r="AL198" s="71">
        <f ca="1">IF(C198=1,(12*((F198+H198)/2)*'Reeksen (N)'!AL198)+(12*('Invoer gegevens (N)'!$C$10-(F198+H198)/2)*'Reeksen (N)'!AM198),0)</f>
        <v>0</v>
      </c>
      <c r="AM198" s="71">
        <f ca="1">-AL198*'Invoer gegevens (N)'!$F$31</f>
        <v>0</v>
      </c>
      <c r="AN198" s="71">
        <f t="shared" ref="AN198:AN234" ca="1" si="36">AL198+AM198</f>
        <v>0</v>
      </c>
      <c r="AO198" s="71"/>
      <c r="AP198" s="71"/>
      <c r="AQ198" s="71">
        <f ca="1">-IF(C198=1,('Invoer gegevens (N)'!$C$10*'Invoer gegevens (N)'!$I$33)*'Reeksen (N)'!J198,0)*2</f>
        <v>0</v>
      </c>
      <c r="AR198" s="71">
        <f ca="1">-IF(C198=1,(G198*'Invoer gegevens (N)'!$I$34)*'Reeksen (N)'!J198,0)</f>
        <v>0</v>
      </c>
      <c r="AS198" s="71">
        <f ca="1">-IF(C198=1,'Invoer gegevens (N)'!$C$10*'Invoer gegevens (N)'!$I$35*'Reeksen (N)'!L198,0)</f>
        <v>0</v>
      </c>
      <c r="AT198" s="71">
        <f ca="1">-IF(C198=1,IF(E198='Invoer gegevens (N)'!$C$17,'Invoer gegevens (N)'!$C$11,Q198)*'Reeksen (N)'!S198*'Invoer gegevens (N)'!$C$18*'Reeksen (N)'!P198,0)</f>
        <v>0</v>
      </c>
      <c r="AU198" s="71">
        <f ca="1">-IF(C198=1,'Invoer gegevens (N)'!$C$10*'Invoer gegevens (N)'!$I$36*'Reeksen (N)'!H198,0)</f>
        <v>0</v>
      </c>
      <c r="AV198" s="71">
        <v>0</v>
      </c>
      <c r="AW198" s="71">
        <f t="shared" ref="AW198:AW234" ca="1" si="37">SUM(AK198,AN198:AV198)</f>
        <v>0</v>
      </c>
      <c r="AX198" s="71">
        <f ca="1">IF(E198&lt;'Invoer gegevens (N)'!$C$17+15,0,IF(E198&gt;'Invoer gegevens (N)'!$C$17+215,0,AW198))</f>
        <v>0</v>
      </c>
      <c r="AY198" s="71">
        <f ca="1">AX198/(1+'Invoer gegevens (N)'!$F$13)^($AZ198-('Invoer gegevens (N)'!$C$17-'Invoer gegevens (N)'!$C$16))/(1+'Invoer gegevens (N)'!$C$39)^('Invoer gegevens (N)'!$C$17-'Invoer gegevens (N)'!$C$16)</f>
        <v>0</v>
      </c>
      <c r="AZ198" s="68">
        <f ca="1">IF(E198-'Invoer gegevens (N)'!$C$17-14.5&lt;0,0,E198-'Invoer gegevens (N)'!$C$17-14.5)</f>
        <v>178.5</v>
      </c>
    </row>
    <row r="199" spans="2:52" x14ac:dyDescent="0.25">
      <c r="B199" s="70">
        <f t="shared" ref="B199:B234" si="38">B198+1</f>
        <v>195</v>
      </c>
      <c r="C199" s="67">
        <f ca="1">IF(E199-'Invoer gegevens (N)'!$C$17&lt;0,0,1)</f>
        <v>1</v>
      </c>
      <c r="D199" s="68">
        <f t="shared" ref="D199:D234" si="39">D198+1</f>
        <v>194.5</v>
      </c>
      <c r="E199" s="69">
        <f ca="1">IF('Invoer gegevens (N)'!$C$16="","",E198+1)</f>
        <v>2213</v>
      </c>
      <c r="F199" s="82">
        <f ca="1">IF('Invoer gegevens (N)'!$C$17=E199,'Invoer gegevens (N)'!$C$10,IF(C199=1,H198,0))</f>
        <v>0</v>
      </c>
      <c r="G199" s="83">
        <f ca="1">IF(C199&gt;=1,F199*'Reeksen (N)'!C199,0)</f>
        <v>0</v>
      </c>
      <c r="H199" s="84">
        <f t="shared" ca="1" si="33"/>
        <v>0</v>
      </c>
      <c r="I199" s="85">
        <f ca="1">IF('Invoer gegevens (N)'!$C$17=E199,'Invoer gegevens (N)'!$C$11,IF(C199=1,L198,0))</f>
        <v>0</v>
      </c>
      <c r="J199" s="86">
        <f ca="1">IF(C199&lt;1,0,IF('Reeksen (N)'!AK199&lt;='Reeksen (N)'!AE199,I199*'Reeksen (N)'!C199,0))</f>
        <v>0</v>
      </c>
      <c r="K199" s="86">
        <f ca="1">IF(C199&lt;1,0,IF('Reeksen (N)'!AK199&gt;'Reeksen (N)'!AE199,I199*'Reeksen (N)'!C199,0))</f>
        <v>0</v>
      </c>
      <c r="L199" s="86">
        <f t="shared" ca="1" si="34"/>
        <v>0</v>
      </c>
      <c r="M199" s="85">
        <f ca="1">IF('Invoer gegevens (N)'!$C$17=E199,'Invoer gegevens (N)'!$C$10-'Invoer gegevens (N)'!$C$11,IF(C199=1,P198,0))</f>
        <v>0</v>
      </c>
      <c r="N199" s="86">
        <f ca="1">IF(C199&lt;1,0,IF('Reeksen (N)'!AK199&lt;='Reeksen (N)'!AE199,M199*'Reeksen (N)'!C199,0))</f>
        <v>0</v>
      </c>
      <c r="O199" s="86">
        <f ca="1">IF(C199&lt;1,0,IF('Reeksen (N)'!AK199&gt;'Reeksen (N)'!AE199,M199*'Reeksen (N)'!C199,0))</f>
        <v>0</v>
      </c>
      <c r="P199" s="86">
        <f t="shared" ca="1" si="35"/>
        <v>0</v>
      </c>
      <c r="Q199" s="82">
        <f ca="1">IF('Invoer gegevens (N)'!$C$17=E199,I199,IF(C199=0,0,R198))</f>
        <v>0</v>
      </c>
      <c r="R199" s="84">
        <f t="shared" ca="1" si="30"/>
        <v>0</v>
      </c>
      <c r="S199" s="84">
        <f ca="1">IF('Invoer gegevens (N)'!$C$17=E199,M199,IF(C199=0,0,T198))</f>
        <v>0</v>
      </c>
      <c r="T199" s="84">
        <f t="shared" ca="1" si="31"/>
        <v>0</v>
      </c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8"/>
      <c r="AI199" s="71">
        <f ca="1">IF(C199=1,((F199+H199)/2*'Reeksen (N)'!AJ199*12)+(('Invoer gegevens (N)'!$C$10-(F199+H199)/2)*'Reeksen (N)'!AK199*12),0)</f>
        <v>0</v>
      </c>
      <c r="AJ199" s="71">
        <f ca="1">-AI199*'Invoer gegevens (N)'!$F$28</f>
        <v>0</v>
      </c>
      <c r="AK199" s="71">
        <f t="shared" ca="1" si="32"/>
        <v>0</v>
      </c>
      <c r="AL199" s="71">
        <f ca="1">IF(C199=1,(12*((F199+H199)/2)*'Reeksen (N)'!AL199)+(12*('Invoer gegevens (N)'!$C$10-(F199+H199)/2)*'Reeksen (N)'!AM199),0)</f>
        <v>0</v>
      </c>
      <c r="AM199" s="71">
        <f ca="1">-AL199*'Invoer gegevens (N)'!$F$31</f>
        <v>0</v>
      </c>
      <c r="AN199" s="71">
        <f t="shared" ca="1" si="36"/>
        <v>0</v>
      </c>
      <c r="AO199" s="71"/>
      <c r="AP199" s="71"/>
      <c r="AQ199" s="71">
        <f ca="1">-IF(C199=1,('Invoer gegevens (N)'!$C$10*'Invoer gegevens (N)'!$I$33)*'Reeksen (N)'!J199,0)*2</f>
        <v>0</v>
      </c>
      <c r="AR199" s="71">
        <f ca="1">-IF(C199=1,(G199*'Invoer gegevens (N)'!$I$34)*'Reeksen (N)'!J199,0)</f>
        <v>0</v>
      </c>
      <c r="AS199" s="71">
        <f ca="1">-IF(C199=1,'Invoer gegevens (N)'!$C$10*'Invoer gegevens (N)'!$I$35*'Reeksen (N)'!L199,0)</f>
        <v>0</v>
      </c>
      <c r="AT199" s="71">
        <f ca="1">-IF(C199=1,IF(E199='Invoer gegevens (N)'!$C$17,'Invoer gegevens (N)'!$C$11,Q199)*'Reeksen (N)'!S199*'Invoer gegevens (N)'!$C$18*'Reeksen (N)'!P199,0)</f>
        <v>0</v>
      </c>
      <c r="AU199" s="71">
        <f ca="1">-IF(C199=1,'Invoer gegevens (N)'!$C$10*'Invoer gegevens (N)'!$I$36*'Reeksen (N)'!H199,0)</f>
        <v>0</v>
      </c>
      <c r="AV199" s="71">
        <v>0</v>
      </c>
      <c r="AW199" s="71">
        <f t="shared" ca="1" si="37"/>
        <v>0</v>
      </c>
      <c r="AX199" s="71">
        <f ca="1">IF(E199&lt;'Invoer gegevens (N)'!$C$17+15,0,IF(E199&gt;'Invoer gegevens (N)'!$C$17+215,0,AW199))</f>
        <v>0</v>
      </c>
      <c r="AY199" s="71">
        <f ca="1">AX199/(1+'Invoer gegevens (N)'!$F$13)^($AZ199-('Invoer gegevens (N)'!$C$17-'Invoer gegevens (N)'!$C$16))/(1+'Invoer gegevens (N)'!$C$39)^('Invoer gegevens (N)'!$C$17-'Invoer gegevens (N)'!$C$16)</f>
        <v>0</v>
      </c>
      <c r="AZ199" s="68">
        <f ca="1">IF(E199-'Invoer gegevens (N)'!$C$17-14.5&lt;0,0,E199-'Invoer gegevens (N)'!$C$17-14.5)</f>
        <v>179.5</v>
      </c>
    </row>
    <row r="200" spans="2:52" x14ac:dyDescent="0.25">
      <c r="B200" s="70">
        <f t="shared" si="38"/>
        <v>196</v>
      </c>
      <c r="C200" s="67">
        <f ca="1">IF(E200-'Invoer gegevens (N)'!$C$17&lt;0,0,1)</f>
        <v>1</v>
      </c>
      <c r="D200" s="68">
        <f t="shared" si="39"/>
        <v>195.5</v>
      </c>
      <c r="E200" s="69">
        <f ca="1">IF('Invoer gegevens (N)'!$C$16="","",E199+1)</f>
        <v>2214</v>
      </c>
      <c r="F200" s="82">
        <f ca="1">IF('Invoer gegevens (N)'!$C$17=E200,'Invoer gegevens (N)'!$C$10,IF(C200=1,H199,0))</f>
        <v>0</v>
      </c>
      <c r="G200" s="83">
        <f ca="1">IF(C200&gt;=1,F200*'Reeksen (N)'!C200,0)</f>
        <v>0</v>
      </c>
      <c r="H200" s="84">
        <f t="shared" ca="1" si="33"/>
        <v>0</v>
      </c>
      <c r="I200" s="85">
        <f ca="1">IF('Invoer gegevens (N)'!$C$17=E200,'Invoer gegevens (N)'!$C$11,IF(C200=1,L199,0))</f>
        <v>0</v>
      </c>
      <c r="J200" s="86">
        <f ca="1">IF(C200&lt;1,0,IF('Reeksen (N)'!AK200&lt;='Reeksen (N)'!AE200,I200*'Reeksen (N)'!C200,0))</f>
        <v>0</v>
      </c>
      <c r="K200" s="86">
        <f ca="1">IF(C200&lt;1,0,IF('Reeksen (N)'!AK200&gt;'Reeksen (N)'!AE200,I200*'Reeksen (N)'!C200,0))</f>
        <v>0</v>
      </c>
      <c r="L200" s="86">
        <f t="shared" ca="1" si="34"/>
        <v>0</v>
      </c>
      <c r="M200" s="85">
        <f ca="1">IF('Invoer gegevens (N)'!$C$17=E200,'Invoer gegevens (N)'!$C$10-'Invoer gegevens (N)'!$C$11,IF(C200=1,P199,0))</f>
        <v>0</v>
      </c>
      <c r="N200" s="86">
        <f ca="1">IF(C200&lt;1,0,IF('Reeksen (N)'!AK200&lt;='Reeksen (N)'!AE200,M200*'Reeksen (N)'!C200,0))</f>
        <v>0</v>
      </c>
      <c r="O200" s="86">
        <f ca="1">IF(C200&lt;1,0,IF('Reeksen (N)'!AK200&gt;'Reeksen (N)'!AE200,M200*'Reeksen (N)'!C200,0))</f>
        <v>0</v>
      </c>
      <c r="P200" s="86">
        <f t="shared" ca="1" si="35"/>
        <v>0</v>
      </c>
      <c r="Q200" s="82">
        <f ca="1">IF('Invoer gegevens (N)'!$C$17=E200,I200,IF(C200=0,0,R199))</f>
        <v>0</v>
      </c>
      <c r="R200" s="84">
        <f t="shared" ca="1" si="30"/>
        <v>0</v>
      </c>
      <c r="S200" s="84">
        <f ca="1">IF('Invoer gegevens (N)'!$C$17=E200,M200,IF(C200=0,0,T199))</f>
        <v>0</v>
      </c>
      <c r="T200" s="84">
        <f t="shared" ca="1" si="31"/>
        <v>0</v>
      </c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8"/>
      <c r="AI200" s="71">
        <f ca="1">IF(C200=1,((F200+H200)/2*'Reeksen (N)'!AJ200*12)+(('Invoer gegevens (N)'!$C$10-(F200+H200)/2)*'Reeksen (N)'!AK200*12),0)</f>
        <v>0</v>
      </c>
      <c r="AJ200" s="71">
        <f ca="1">-AI200*'Invoer gegevens (N)'!$F$28</f>
        <v>0</v>
      </c>
      <c r="AK200" s="71">
        <f t="shared" ca="1" si="32"/>
        <v>0</v>
      </c>
      <c r="AL200" s="71">
        <f ca="1">IF(C200=1,(12*((F200+H200)/2)*'Reeksen (N)'!AL200)+(12*('Invoer gegevens (N)'!$C$10-(F200+H200)/2)*'Reeksen (N)'!AM200),0)</f>
        <v>0</v>
      </c>
      <c r="AM200" s="71">
        <f ca="1">-AL200*'Invoer gegevens (N)'!$F$31</f>
        <v>0</v>
      </c>
      <c r="AN200" s="71">
        <f t="shared" ca="1" si="36"/>
        <v>0</v>
      </c>
      <c r="AO200" s="71"/>
      <c r="AP200" s="71"/>
      <c r="AQ200" s="71">
        <f ca="1">-IF(C200=1,('Invoer gegevens (N)'!$C$10*'Invoer gegevens (N)'!$I$33)*'Reeksen (N)'!J200,0)*2</f>
        <v>0</v>
      </c>
      <c r="AR200" s="71">
        <f ca="1">-IF(C200=1,(G200*'Invoer gegevens (N)'!$I$34)*'Reeksen (N)'!J200,0)</f>
        <v>0</v>
      </c>
      <c r="AS200" s="71">
        <f ca="1">-IF(C200=1,'Invoer gegevens (N)'!$C$10*'Invoer gegevens (N)'!$I$35*'Reeksen (N)'!L200,0)</f>
        <v>0</v>
      </c>
      <c r="AT200" s="71">
        <f ca="1">-IF(C200=1,IF(E200='Invoer gegevens (N)'!$C$17,'Invoer gegevens (N)'!$C$11,Q200)*'Reeksen (N)'!S200*'Invoer gegevens (N)'!$C$18*'Reeksen (N)'!P200,0)</f>
        <v>0</v>
      </c>
      <c r="AU200" s="71">
        <f ca="1">-IF(C200=1,'Invoer gegevens (N)'!$C$10*'Invoer gegevens (N)'!$I$36*'Reeksen (N)'!H200,0)</f>
        <v>0</v>
      </c>
      <c r="AV200" s="71">
        <v>0</v>
      </c>
      <c r="AW200" s="71">
        <f t="shared" ca="1" si="37"/>
        <v>0</v>
      </c>
      <c r="AX200" s="71">
        <f ca="1">IF(E200&lt;'Invoer gegevens (N)'!$C$17+15,0,IF(E200&gt;'Invoer gegevens (N)'!$C$17+215,0,AW200))</f>
        <v>0</v>
      </c>
      <c r="AY200" s="71">
        <f ca="1">AX200/(1+'Invoer gegevens (N)'!$F$13)^($AZ200-('Invoer gegevens (N)'!$C$17-'Invoer gegevens (N)'!$C$16))/(1+'Invoer gegevens (N)'!$C$39)^('Invoer gegevens (N)'!$C$17-'Invoer gegevens (N)'!$C$16)</f>
        <v>0</v>
      </c>
      <c r="AZ200" s="68">
        <f ca="1">IF(E200-'Invoer gegevens (N)'!$C$17-14.5&lt;0,0,E200-'Invoer gegevens (N)'!$C$17-14.5)</f>
        <v>180.5</v>
      </c>
    </row>
    <row r="201" spans="2:52" x14ac:dyDescent="0.25">
      <c r="B201" s="70">
        <f t="shared" si="38"/>
        <v>197</v>
      </c>
      <c r="C201" s="67">
        <f ca="1">IF(E201-'Invoer gegevens (N)'!$C$17&lt;0,0,1)</f>
        <v>1</v>
      </c>
      <c r="D201" s="68">
        <f t="shared" si="39"/>
        <v>196.5</v>
      </c>
      <c r="E201" s="69">
        <f ca="1">IF('Invoer gegevens (N)'!$C$16="","",E200+1)</f>
        <v>2215</v>
      </c>
      <c r="F201" s="82">
        <f ca="1">IF('Invoer gegevens (N)'!$C$17=E201,'Invoer gegevens (N)'!$C$10,IF(C201=1,H200,0))</f>
        <v>0</v>
      </c>
      <c r="G201" s="83">
        <f ca="1">IF(C201&gt;=1,F201*'Reeksen (N)'!C201,0)</f>
        <v>0</v>
      </c>
      <c r="H201" s="84">
        <f t="shared" ca="1" si="33"/>
        <v>0</v>
      </c>
      <c r="I201" s="85">
        <f ca="1">IF('Invoer gegevens (N)'!$C$17=E201,'Invoer gegevens (N)'!$C$11,IF(C201=1,L200,0))</f>
        <v>0</v>
      </c>
      <c r="J201" s="86">
        <f ca="1">IF(C201&lt;1,0,IF('Reeksen (N)'!AK201&lt;='Reeksen (N)'!AE201,I201*'Reeksen (N)'!C201,0))</f>
        <v>0</v>
      </c>
      <c r="K201" s="86">
        <f ca="1">IF(C201&lt;1,0,IF('Reeksen (N)'!AK201&gt;'Reeksen (N)'!AE201,I201*'Reeksen (N)'!C201,0))</f>
        <v>0</v>
      </c>
      <c r="L201" s="86">
        <f t="shared" ca="1" si="34"/>
        <v>0</v>
      </c>
      <c r="M201" s="85">
        <f ca="1">IF('Invoer gegevens (N)'!$C$17=E201,'Invoer gegevens (N)'!$C$10-'Invoer gegevens (N)'!$C$11,IF(C201=1,P200,0))</f>
        <v>0</v>
      </c>
      <c r="N201" s="86">
        <f ca="1">IF(C201&lt;1,0,IF('Reeksen (N)'!AK201&lt;='Reeksen (N)'!AE201,M201*'Reeksen (N)'!C201,0))</f>
        <v>0</v>
      </c>
      <c r="O201" s="86">
        <f ca="1">IF(C201&lt;1,0,IF('Reeksen (N)'!AK201&gt;'Reeksen (N)'!AE201,M201*'Reeksen (N)'!C201,0))</f>
        <v>0</v>
      </c>
      <c r="P201" s="86">
        <f t="shared" ca="1" si="35"/>
        <v>0</v>
      </c>
      <c r="Q201" s="82">
        <f ca="1">IF('Invoer gegevens (N)'!$C$17=E201,I201,IF(C201=0,0,R200))</f>
        <v>0</v>
      </c>
      <c r="R201" s="84">
        <f t="shared" ca="1" si="30"/>
        <v>0</v>
      </c>
      <c r="S201" s="84">
        <f ca="1">IF('Invoer gegevens (N)'!$C$17=E201,M201,IF(C201=0,0,T200))</f>
        <v>0</v>
      </c>
      <c r="T201" s="84">
        <f t="shared" ca="1" si="31"/>
        <v>0</v>
      </c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8"/>
      <c r="AI201" s="71">
        <f ca="1">IF(C201=1,((F201+H201)/2*'Reeksen (N)'!AJ201*12)+(('Invoer gegevens (N)'!$C$10-(F201+H201)/2)*'Reeksen (N)'!AK201*12),0)</f>
        <v>0</v>
      </c>
      <c r="AJ201" s="71">
        <f ca="1">-AI201*'Invoer gegevens (N)'!$F$28</f>
        <v>0</v>
      </c>
      <c r="AK201" s="71">
        <f t="shared" ca="1" si="32"/>
        <v>0</v>
      </c>
      <c r="AL201" s="71">
        <f ca="1">IF(C201=1,(12*((F201+H201)/2)*'Reeksen (N)'!AL201)+(12*('Invoer gegevens (N)'!$C$10-(F201+H201)/2)*'Reeksen (N)'!AM201),0)</f>
        <v>0</v>
      </c>
      <c r="AM201" s="71">
        <f ca="1">-AL201*'Invoer gegevens (N)'!$F$31</f>
        <v>0</v>
      </c>
      <c r="AN201" s="71">
        <f t="shared" ca="1" si="36"/>
        <v>0</v>
      </c>
      <c r="AO201" s="71"/>
      <c r="AP201" s="71"/>
      <c r="AQ201" s="71">
        <f ca="1">-IF(C201=1,('Invoer gegevens (N)'!$C$10*'Invoer gegevens (N)'!$I$33)*'Reeksen (N)'!J201,0)*2</f>
        <v>0</v>
      </c>
      <c r="AR201" s="71">
        <f ca="1">-IF(C201=1,(G201*'Invoer gegevens (N)'!$I$34)*'Reeksen (N)'!J201,0)</f>
        <v>0</v>
      </c>
      <c r="AS201" s="71">
        <f ca="1">-IF(C201=1,'Invoer gegevens (N)'!$C$10*'Invoer gegevens (N)'!$I$35*'Reeksen (N)'!L201,0)</f>
        <v>0</v>
      </c>
      <c r="AT201" s="71">
        <f ca="1">-IF(C201=1,IF(E201='Invoer gegevens (N)'!$C$17,'Invoer gegevens (N)'!$C$11,Q201)*'Reeksen (N)'!S201*'Invoer gegevens (N)'!$C$18*'Reeksen (N)'!P201,0)</f>
        <v>0</v>
      </c>
      <c r="AU201" s="71">
        <f ca="1">-IF(C201=1,'Invoer gegevens (N)'!$C$10*'Invoer gegevens (N)'!$I$36*'Reeksen (N)'!H201,0)</f>
        <v>0</v>
      </c>
      <c r="AV201" s="71">
        <v>0</v>
      </c>
      <c r="AW201" s="71">
        <f t="shared" ca="1" si="37"/>
        <v>0</v>
      </c>
      <c r="AX201" s="71">
        <f ca="1">IF(E201&lt;'Invoer gegevens (N)'!$C$17+15,0,IF(E201&gt;'Invoer gegevens (N)'!$C$17+215,0,AW201))</f>
        <v>0</v>
      </c>
      <c r="AY201" s="71">
        <f ca="1">AX201/(1+'Invoer gegevens (N)'!$F$13)^($AZ201-('Invoer gegevens (N)'!$C$17-'Invoer gegevens (N)'!$C$16))/(1+'Invoer gegevens (N)'!$C$39)^('Invoer gegevens (N)'!$C$17-'Invoer gegevens (N)'!$C$16)</f>
        <v>0</v>
      </c>
      <c r="AZ201" s="68">
        <f ca="1">IF(E201-'Invoer gegevens (N)'!$C$17-14.5&lt;0,0,E201-'Invoer gegevens (N)'!$C$17-14.5)</f>
        <v>181.5</v>
      </c>
    </row>
    <row r="202" spans="2:52" x14ac:dyDescent="0.25">
      <c r="B202" s="70">
        <f t="shared" si="38"/>
        <v>198</v>
      </c>
      <c r="C202" s="67">
        <f ca="1">IF(E202-'Invoer gegevens (N)'!$C$17&lt;0,0,1)</f>
        <v>1</v>
      </c>
      <c r="D202" s="68">
        <f t="shared" si="39"/>
        <v>197.5</v>
      </c>
      <c r="E202" s="69">
        <f ca="1">IF('Invoer gegevens (N)'!$C$16="","",E201+1)</f>
        <v>2216</v>
      </c>
      <c r="F202" s="82">
        <f ca="1">IF('Invoer gegevens (N)'!$C$17=E202,'Invoer gegevens (N)'!$C$10,IF(C202=1,H201,0))</f>
        <v>0</v>
      </c>
      <c r="G202" s="83">
        <f ca="1">IF(C202&gt;=1,F202*'Reeksen (N)'!C202,0)</f>
        <v>0</v>
      </c>
      <c r="H202" s="84">
        <f t="shared" ca="1" si="33"/>
        <v>0</v>
      </c>
      <c r="I202" s="85">
        <f ca="1">IF('Invoer gegevens (N)'!$C$17=E202,'Invoer gegevens (N)'!$C$11,IF(C202=1,L201,0))</f>
        <v>0</v>
      </c>
      <c r="J202" s="86">
        <f ca="1">IF(C202&lt;1,0,IF('Reeksen (N)'!AK202&lt;='Reeksen (N)'!AE202,I202*'Reeksen (N)'!C202,0))</f>
        <v>0</v>
      </c>
      <c r="K202" s="86">
        <f ca="1">IF(C202&lt;1,0,IF('Reeksen (N)'!AK202&gt;'Reeksen (N)'!AE202,I202*'Reeksen (N)'!C202,0))</f>
        <v>0</v>
      </c>
      <c r="L202" s="86">
        <f t="shared" ca="1" si="34"/>
        <v>0</v>
      </c>
      <c r="M202" s="85">
        <f ca="1">IF('Invoer gegevens (N)'!$C$17=E202,'Invoer gegevens (N)'!$C$10-'Invoer gegevens (N)'!$C$11,IF(C202=1,P201,0))</f>
        <v>0</v>
      </c>
      <c r="N202" s="86">
        <f ca="1">IF(C202&lt;1,0,IF('Reeksen (N)'!AK202&lt;='Reeksen (N)'!AE202,M202*'Reeksen (N)'!C202,0))</f>
        <v>0</v>
      </c>
      <c r="O202" s="86">
        <f ca="1">IF(C202&lt;1,0,IF('Reeksen (N)'!AK202&gt;'Reeksen (N)'!AE202,M202*'Reeksen (N)'!C202,0))</f>
        <v>0</v>
      </c>
      <c r="P202" s="86">
        <f t="shared" ca="1" si="35"/>
        <v>0</v>
      </c>
      <c r="Q202" s="82">
        <f ca="1">IF('Invoer gegevens (N)'!$C$17=E202,I202,IF(C202=0,0,R201))</f>
        <v>0</v>
      </c>
      <c r="R202" s="84">
        <f t="shared" ca="1" si="30"/>
        <v>0</v>
      </c>
      <c r="S202" s="84">
        <f ca="1">IF('Invoer gegevens (N)'!$C$17=E202,M202,IF(C202=0,0,T201))</f>
        <v>0</v>
      </c>
      <c r="T202" s="84">
        <f t="shared" ca="1" si="31"/>
        <v>0</v>
      </c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8"/>
      <c r="AI202" s="71">
        <f ca="1">IF(C202=1,((F202+H202)/2*'Reeksen (N)'!AJ202*12)+(('Invoer gegevens (N)'!$C$10-(F202+H202)/2)*'Reeksen (N)'!AK202*12),0)</f>
        <v>0</v>
      </c>
      <c r="AJ202" s="71">
        <f ca="1">-AI202*'Invoer gegevens (N)'!$F$28</f>
        <v>0</v>
      </c>
      <c r="AK202" s="71">
        <f t="shared" ca="1" si="32"/>
        <v>0</v>
      </c>
      <c r="AL202" s="71">
        <f ca="1">IF(C202=1,(12*((F202+H202)/2)*'Reeksen (N)'!AL202)+(12*('Invoer gegevens (N)'!$C$10-(F202+H202)/2)*'Reeksen (N)'!AM202),0)</f>
        <v>0</v>
      </c>
      <c r="AM202" s="71">
        <f ca="1">-AL202*'Invoer gegevens (N)'!$F$31</f>
        <v>0</v>
      </c>
      <c r="AN202" s="71">
        <f t="shared" ca="1" si="36"/>
        <v>0</v>
      </c>
      <c r="AO202" s="71"/>
      <c r="AP202" s="71"/>
      <c r="AQ202" s="71">
        <f ca="1">-IF(C202=1,('Invoer gegevens (N)'!$C$10*'Invoer gegevens (N)'!$I$33)*'Reeksen (N)'!J202,0)*2</f>
        <v>0</v>
      </c>
      <c r="AR202" s="71">
        <f ca="1">-IF(C202=1,(G202*'Invoer gegevens (N)'!$I$34)*'Reeksen (N)'!J202,0)</f>
        <v>0</v>
      </c>
      <c r="AS202" s="71">
        <f ca="1">-IF(C202=1,'Invoer gegevens (N)'!$C$10*'Invoer gegevens (N)'!$I$35*'Reeksen (N)'!L202,0)</f>
        <v>0</v>
      </c>
      <c r="AT202" s="71">
        <f ca="1">-IF(C202=1,IF(E202='Invoer gegevens (N)'!$C$17,'Invoer gegevens (N)'!$C$11,Q202)*'Reeksen (N)'!S202*'Invoer gegevens (N)'!$C$18*'Reeksen (N)'!P202,0)</f>
        <v>0</v>
      </c>
      <c r="AU202" s="71">
        <f ca="1">-IF(C202=1,'Invoer gegevens (N)'!$C$10*'Invoer gegevens (N)'!$I$36*'Reeksen (N)'!H202,0)</f>
        <v>0</v>
      </c>
      <c r="AV202" s="71">
        <v>0</v>
      </c>
      <c r="AW202" s="71">
        <f t="shared" ca="1" si="37"/>
        <v>0</v>
      </c>
      <c r="AX202" s="71">
        <f ca="1">IF(E202&lt;'Invoer gegevens (N)'!$C$17+15,0,IF(E202&gt;'Invoer gegevens (N)'!$C$17+215,0,AW202))</f>
        <v>0</v>
      </c>
      <c r="AY202" s="71">
        <f ca="1">AX202/(1+'Invoer gegevens (N)'!$F$13)^($AZ202-('Invoer gegevens (N)'!$C$17-'Invoer gegevens (N)'!$C$16))/(1+'Invoer gegevens (N)'!$C$39)^('Invoer gegevens (N)'!$C$17-'Invoer gegevens (N)'!$C$16)</f>
        <v>0</v>
      </c>
      <c r="AZ202" s="68">
        <f ca="1">IF(E202-'Invoer gegevens (N)'!$C$17-14.5&lt;0,0,E202-'Invoer gegevens (N)'!$C$17-14.5)</f>
        <v>182.5</v>
      </c>
    </row>
    <row r="203" spans="2:52" x14ac:dyDescent="0.25">
      <c r="B203" s="70">
        <f t="shared" si="38"/>
        <v>199</v>
      </c>
      <c r="C203" s="67">
        <f ca="1">IF(E203-'Invoer gegevens (N)'!$C$17&lt;0,0,1)</f>
        <v>1</v>
      </c>
      <c r="D203" s="68">
        <f t="shared" si="39"/>
        <v>198.5</v>
      </c>
      <c r="E203" s="69">
        <f ca="1">IF('Invoer gegevens (N)'!$C$16="","",E202+1)</f>
        <v>2217</v>
      </c>
      <c r="F203" s="82">
        <f ca="1">IF('Invoer gegevens (N)'!$C$17=E203,'Invoer gegevens (N)'!$C$10,IF(C203=1,H202,0))</f>
        <v>0</v>
      </c>
      <c r="G203" s="83">
        <f ca="1">IF(C203&gt;=1,F203*'Reeksen (N)'!C203,0)</f>
        <v>0</v>
      </c>
      <c r="H203" s="84">
        <f t="shared" ca="1" si="33"/>
        <v>0</v>
      </c>
      <c r="I203" s="85">
        <f ca="1">IF('Invoer gegevens (N)'!$C$17=E203,'Invoer gegevens (N)'!$C$11,IF(C203=1,L202,0))</f>
        <v>0</v>
      </c>
      <c r="J203" s="86">
        <f ca="1">IF(C203&lt;1,0,IF('Reeksen (N)'!AK203&lt;='Reeksen (N)'!AE203,I203*'Reeksen (N)'!C203,0))</f>
        <v>0</v>
      </c>
      <c r="K203" s="86">
        <f ca="1">IF(C203&lt;1,0,IF('Reeksen (N)'!AK203&gt;'Reeksen (N)'!AE203,I203*'Reeksen (N)'!C203,0))</f>
        <v>0</v>
      </c>
      <c r="L203" s="86">
        <f t="shared" ca="1" si="34"/>
        <v>0</v>
      </c>
      <c r="M203" s="85">
        <f ca="1">IF('Invoer gegevens (N)'!$C$17=E203,'Invoer gegevens (N)'!$C$10-'Invoer gegevens (N)'!$C$11,IF(C203=1,P202,0))</f>
        <v>0</v>
      </c>
      <c r="N203" s="86">
        <f ca="1">IF(C203&lt;1,0,IF('Reeksen (N)'!AK203&lt;='Reeksen (N)'!AE203,M203*'Reeksen (N)'!C203,0))</f>
        <v>0</v>
      </c>
      <c r="O203" s="86">
        <f ca="1">IF(C203&lt;1,0,IF('Reeksen (N)'!AK203&gt;'Reeksen (N)'!AE203,M203*'Reeksen (N)'!C203,0))</f>
        <v>0</v>
      </c>
      <c r="P203" s="86">
        <f t="shared" ca="1" si="35"/>
        <v>0</v>
      </c>
      <c r="Q203" s="82">
        <f ca="1">IF('Invoer gegevens (N)'!$C$17=E203,I203,IF(C203=0,0,R202))</f>
        <v>0</v>
      </c>
      <c r="R203" s="84">
        <f t="shared" ca="1" si="30"/>
        <v>0</v>
      </c>
      <c r="S203" s="84">
        <f ca="1">IF('Invoer gegevens (N)'!$C$17=E203,M203,IF(C203=0,0,T202))</f>
        <v>0</v>
      </c>
      <c r="T203" s="84">
        <f t="shared" ca="1" si="31"/>
        <v>0</v>
      </c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8"/>
      <c r="AI203" s="71">
        <f ca="1">IF(C203=1,((F203+H203)/2*'Reeksen (N)'!AJ203*12)+(('Invoer gegevens (N)'!$C$10-(F203+H203)/2)*'Reeksen (N)'!AK203*12),0)</f>
        <v>0</v>
      </c>
      <c r="AJ203" s="71">
        <f ca="1">-AI203*'Invoer gegevens (N)'!$F$28</f>
        <v>0</v>
      </c>
      <c r="AK203" s="71">
        <f t="shared" ca="1" si="32"/>
        <v>0</v>
      </c>
      <c r="AL203" s="71">
        <f ca="1">IF(C203=1,(12*((F203+H203)/2)*'Reeksen (N)'!AL203)+(12*('Invoer gegevens (N)'!$C$10-(F203+H203)/2)*'Reeksen (N)'!AM203),0)</f>
        <v>0</v>
      </c>
      <c r="AM203" s="71">
        <f ca="1">-AL203*'Invoer gegevens (N)'!$F$31</f>
        <v>0</v>
      </c>
      <c r="AN203" s="71">
        <f t="shared" ca="1" si="36"/>
        <v>0</v>
      </c>
      <c r="AO203" s="71"/>
      <c r="AP203" s="71"/>
      <c r="AQ203" s="71">
        <f ca="1">-IF(C203=1,('Invoer gegevens (N)'!$C$10*'Invoer gegevens (N)'!$I$33)*'Reeksen (N)'!J203,0)*2</f>
        <v>0</v>
      </c>
      <c r="AR203" s="71">
        <f ca="1">-IF(C203=1,(G203*'Invoer gegevens (N)'!$I$34)*'Reeksen (N)'!J203,0)</f>
        <v>0</v>
      </c>
      <c r="AS203" s="71">
        <f ca="1">-IF(C203=1,'Invoer gegevens (N)'!$C$10*'Invoer gegevens (N)'!$I$35*'Reeksen (N)'!L203,0)</f>
        <v>0</v>
      </c>
      <c r="AT203" s="71">
        <f ca="1">-IF(C203=1,IF(E203='Invoer gegevens (N)'!$C$17,'Invoer gegevens (N)'!$C$11,Q203)*'Reeksen (N)'!S203*'Invoer gegevens (N)'!$C$18*'Reeksen (N)'!P203,0)</f>
        <v>0</v>
      </c>
      <c r="AU203" s="71">
        <f ca="1">-IF(C203=1,'Invoer gegevens (N)'!$C$10*'Invoer gegevens (N)'!$I$36*'Reeksen (N)'!H203,0)</f>
        <v>0</v>
      </c>
      <c r="AV203" s="71">
        <v>0</v>
      </c>
      <c r="AW203" s="71">
        <f t="shared" ca="1" si="37"/>
        <v>0</v>
      </c>
      <c r="AX203" s="71">
        <f ca="1">IF(E203&lt;'Invoer gegevens (N)'!$C$17+15,0,IF(E203&gt;'Invoer gegevens (N)'!$C$17+215,0,AW203))</f>
        <v>0</v>
      </c>
      <c r="AY203" s="71">
        <f ca="1">AX203/(1+'Invoer gegevens (N)'!$F$13)^($AZ203-('Invoer gegevens (N)'!$C$17-'Invoer gegevens (N)'!$C$16))/(1+'Invoer gegevens (N)'!$C$39)^('Invoer gegevens (N)'!$C$17-'Invoer gegevens (N)'!$C$16)</f>
        <v>0</v>
      </c>
      <c r="AZ203" s="68">
        <f ca="1">IF(E203-'Invoer gegevens (N)'!$C$17-14.5&lt;0,0,E203-'Invoer gegevens (N)'!$C$17-14.5)</f>
        <v>183.5</v>
      </c>
    </row>
    <row r="204" spans="2:52" x14ac:dyDescent="0.25">
      <c r="B204" s="70">
        <f t="shared" si="38"/>
        <v>200</v>
      </c>
      <c r="C204" s="67">
        <f ca="1">IF(E204-'Invoer gegevens (N)'!$C$17&lt;0,0,1)</f>
        <v>1</v>
      </c>
      <c r="D204" s="68">
        <f t="shared" si="39"/>
        <v>199.5</v>
      </c>
      <c r="E204" s="69">
        <f ca="1">IF('Invoer gegevens (N)'!$C$16="","",E203+1)</f>
        <v>2218</v>
      </c>
      <c r="F204" s="82">
        <f ca="1">IF('Invoer gegevens (N)'!$C$17=E204,'Invoer gegevens (N)'!$C$10,IF(C204=1,H203,0))</f>
        <v>0</v>
      </c>
      <c r="G204" s="83">
        <f ca="1">IF(C204&gt;=1,F204*'Reeksen (N)'!C204,0)</f>
        <v>0</v>
      </c>
      <c r="H204" s="84">
        <f t="shared" ca="1" si="33"/>
        <v>0</v>
      </c>
      <c r="I204" s="85">
        <f ca="1">IF('Invoer gegevens (N)'!$C$17=E204,'Invoer gegevens (N)'!$C$11,IF(C204=1,L203,0))</f>
        <v>0</v>
      </c>
      <c r="J204" s="86">
        <f ca="1">IF(C204&lt;1,0,IF('Reeksen (N)'!AK204&lt;='Reeksen (N)'!AE204,I204*'Reeksen (N)'!C204,0))</f>
        <v>0</v>
      </c>
      <c r="K204" s="86">
        <f ca="1">IF(C204&lt;1,0,IF('Reeksen (N)'!AK204&gt;'Reeksen (N)'!AE204,I204*'Reeksen (N)'!C204,0))</f>
        <v>0</v>
      </c>
      <c r="L204" s="86">
        <f t="shared" ca="1" si="34"/>
        <v>0</v>
      </c>
      <c r="M204" s="85">
        <f ca="1">IF('Invoer gegevens (N)'!$C$17=E204,'Invoer gegevens (N)'!$C$10-'Invoer gegevens (N)'!$C$11,IF(C204=1,P203,0))</f>
        <v>0</v>
      </c>
      <c r="N204" s="86">
        <f ca="1">IF(C204&lt;1,0,IF('Reeksen (N)'!AK204&lt;='Reeksen (N)'!AE204,M204*'Reeksen (N)'!C204,0))</f>
        <v>0</v>
      </c>
      <c r="O204" s="86">
        <f ca="1">IF(C204&lt;1,0,IF('Reeksen (N)'!AK204&gt;'Reeksen (N)'!AE204,M204*'Reeksen (N)'!C204,0))</f>
        <v>0</v>
      </c>
      <c r="P204" s="86">
        <f t="shared" ca="1" si="35"/>
        <v>0</v>
      </c>
      <c r="Q204" s="82">
        <f ca="1">IF('Invoer gegevens (N)'!$C$17=E204,I204,IF(C204=0,0,R203))</f>
        <v>0</v>
      </c>
      <c r="R204" s="84">
        <f t="shared" ca="1" si="30"/>
        <v>0</v>
      </c>
      <c r="S204" s="84">
        <f ca="1">IF('Invoer gegevens (N)'!$C$17=E204,M204,IF(C204=0,0,T203))</f>
        <v>0</v>
      </c>
      <c r="T204" s="84">
        <f t="shared" ca="1" si="31"/>
        <v>0</v>
      </c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8"/>
      <c r="AI204" s="71">
        <f ca="1">IF(C204=1,((F204+H204)/2*'Reeksen (N)'!AJ204*12)+(('Invoer gegevens (N)'!$C$10-(F204+H204)/2)*'Reeksen (N)'!AK204*12),0)</f>
        <v>0</v>
      </c>
      <c r="AJ204" s="71">
        <f ca="1">-AI204*'Invoer gegevens (N)'!$F$28</f>
        <v>0</v>
      </c>
      <c r="AK204" s="71">
        <f t="shared" ca="1" si="32"/>
        <v>0</v>
      </c>
      <c r="AL204" s="71">
        <f ca="1">IF(C204=1,(12*((F204+H204)/2)*'Reeksen (N)'!AL204)+(12*('Invoer gegevens (N)'!$C$10-(F204+H204)/2)*'Reeksen (N)'!AM204),0)</f>
        <v>0</v>
      </c>
      <c r="AM204" s="71">
        <f ca="1">-AL204*'Invoer gegevens (N)'!$F$31</f>
        <v>0</v>
      </c>
      <c r="AN204" s="71">
        <f t="shared" ca="1" si="36"/>
        <v>0</v>
      </c>
      <c r="AO204" s="71"/>
      <c r="AP204" s="71"/>
      <c r="AQ204" s="71">
        <f ca="1">-IF(C204=1,('Invoer gegevens (N)'!$C$10*'Invoer gegevens (N)'!$I$33)*'Reeksen (N)'!J204,0)*2</f>
        <v>0</v>
      </c>
      <c r="AR204" s="71">
        <f ca="1">-IF(C204=1,(G204*'Invoer gegevens (N)'!$I$34)*'Reeksen (N)'!J204,0)</f>
        <v>0</v>
      </c>
      <c r="AS204" s="71">
        <f ca="1">-IF(C204=1,'Invoer gegevens (N)'!$C$10*'Invoer gegevens (N)'!$I$35*'Reeksen (N)'!L204,0)</f>
        <v>0</v>
      </c>
      <c r="AT204" s="71">
        <f ca="1">-IF(C204=1,IF(E204='Invoer gegevens (N)'!$C$17,'Invoer gegevens (N)'!$C$11,Q204)*'Reeksen (N)'!S204*'Invoer gegevens (N)'!$C$18*'Reeksen (N)'!P204,0)</f>
        <v>0</v>
      </c>
      <c r="AU204" s="71">
        <f ca="1">-IF(C204=1,'Invoer gegevens (N)'!$C$10*'Invoer gegevens (N)'!$I$36*'Reeksen (N)'!H204,0)</f>
        <v>0</v>
      </c>
      <c r="AV204" s="71">
        <v>0</v>
      </c>
      <c r="AW204" s="71">
        <f t="shared" ca="1" si="37"/>
        <v>0</v>
      </c>
      <c r="AX204" s="71">
        <f ca="1">IF(E204&lt;'Invoer gegevens (N)'!$C$17+15,0,IF(E204&gt;'Invoer gegevens (N)'!$C$17+215,0,AW204))</f>
        <v>0</v>
      </c>
      <c r="AY204" s="71">
        <f ca="1">AX204/(1+'Invoer gegevens (N)'!$F$13)^($AZ204-('Invoer gegevens (N)'!$C$17-'Invoer gegevens (N)'!$C$16))/(1+'Invoer gegevens (N)'!$C$39)^('Invoer gegevens (N)'!$C$17-'Invoer gegevens (N)'!$C$16)</f>
        <v>0</v>
      </c>
      <c r="AZ204" s="68">
        <f ca="1">IF(E204-'Invoer gegevens (N)'!$C$17-14.5&lt;0,0,E204-'Invoer gegevens (N)'!$C$17-14.5)</f>
        <v>184.5</v>
      </c>
    </row>
    <row r="205" spans="2:52" x14ac:dyDescent="0.25">
      <c r="B205" s="70">
        <f t="shared" si="38"/>
        <v>201</v>
      </c>
      <c r="C205" s="67">
        <f ca="1">IF(E205-'Invoer gegevens (N)'!$C$17&lt;0,0,1)</f>
        <v>1</v>
      </c>
      <c r="D205" s="68">
        <f t="shared" si="39"/>
        <v>200.5</v>
      </c>
      <c r="E205" s="69">
        <f ca="1">IF('Invoer gegevens (N)'!$C$16="","",E204+1)</f>
        <v>2219</v>
      </c>
      <c r="F205" s="82">
        <f ca="1">IF('Invoer gegevens (N)'!$C$17=E205,'Invoer gegevens (N)'!$C$10,IF(C205=1,H204,0))</f>
        <v>0</v>
      </c>
      <c r="G205" s="83">
        <f ca="1">IF(C205&gt;=1,F205*'Reeksen (N)'!C205,0)</f>
        <v>0</v>
      </c>
      <c r="H205" s="84">
        <f t="shared" ca="1" si="33"/>
        <v>0</v>
      </c>
      <c r="I205" s="85">
        <f ca="1">IF('Invoer gegevens (N)'!$C$17=E205,'Invoer gegevens (N)'!$C$11,IF(C205=1,L204,0))</f>
        <v>0</v>
      </c>
      <c r="J205" s="86">
        <f ca="1">IF(C205&lt;1,0,IF('Reeksen (N)'!AK205&lt;='Reeksen (N)'!AE205,I205*'Reeksen (N)'!C205,0))</f>
        <v>0</v>
      </c>
      <c r="K205" s="86">
        <f ca="1">IF(C205&lt;1,0,IF('Reeksen (N)'!AK205&gt;'Reeksen (N)'!AE205,I205*'Reeksen (N)'!C205,0))</f>
        <v>0</v>
      </c>
      <c r="L205" s="86">
        <f t="shared" ca="1" si="34"/>
        <v>0</v>
      </c>
      <c r="M205" s="85">
        <f ca="1">IF('Invoer gegevens (N)'!$C$17=E205,'Invoer gegevens (N)'!$C$10-'Invoer gegevens (N)'!$C$11,IF(C205=1,P204,0))</f>
        <v>0</v>
      </c>
      <c r="N205" s="86">
        <f ca="1">IF(C205&lt;1,0,IF('Reeksen (N)'!AK205&lt;='Reeksen (N)'!AE205,M205*'Reeksen (N)'!C205,0))</f>
        <v>0</v>
      </c>
      <c r="O205" s="86">
        <f ca="1">IF(C205&lt;1,0,IF('Reeksen (N)'!AK205&gt;'Reeksen (N)'!AE205,M205*'Reeksen (N)'!C205,0))</f>
        <v>0</v>
      </c>
      <c r="P205" s="86">
        <f t="shared" ca="1" si="35"/>
        <v>0</v>
      </c>
      <c r="Q205" s="82">
        <f ca="1">IF('Invoer gegevens (N)'!$C$17=E205,I205,IF(C205=0,0,R204))</f>
        <v>0</v>
      </c>
      <c r="R205" s="84">
        <f t="shared" ca="1" si="30"/>
        <v>0</v>
      </c>
      <c r="S205" s="84">
        <f ca="1">IF('Invoer gegevens (N)'!$C$17=E205,M205,IF(C205=0,0,T204))</f>
        <v>0</v>
      </c>
      <c r="T205" s="84">
        <f t="shared" ca="1" si="31"/>
        <v>0</v>
      </c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8"/>
      <c r="AI205" s="71">
        <f ca="1">IF(C205=1,((F205+H205)/2*'Reeksen (N)'!AJ205*12)+(('Invoer gegevens (N)'!$C$10-(F205+H205)/2)*'Reeksen (N)'!AK205*12),0)</f>
        <v>0</v>
      </c>
      <c r="AJ205" s="71">
        <f ca="1">-AI205*'Invoer gegevens (N)'!$F$28</f>
        <v>0</v>
      </c>
      <c r="AK205" s="71">
        <f t="shared" ca="1" si="32"/>
        <v>0</v>
      </c>
      <c r="AL205" s="71">
        <f ca="1">IF(C205=1,(12*((F205+H205)/2)*'Reeksen (N)'!AL205)+(12*('Invoer gegevens (N)'!$C$10-(F205+H205)/2)*'Reeksen (N)'!AM205),0)</f>
        <v>0</v>
      </c>
      <c r="AM205" s="71">
        <f ca="1">-AL205*'Invoer gegevens (N)'!$F$31</f>
        <v>0</v>
      </c>
      <c r="AN205" s="71">
        <f t="shared" ca="1" si="36"/>
        <v>0</v>
      </c>
      <c r="AO205" s="71"/>
      <c r="AP205" s="71"/>
      <c r="AQ205" s="71">
        <f ca="1">-IF(C205=1,('Invoer gegevens (N)'!$C$10*'Invoer gegevens (N)'!$I$33)*'Reeksen (N)'!J205,0)*2</f>
        <v>0</v>
      </c>
      <c r="AR205" s="71">
        <f ca="1">-IF(C205=1,(G205*'Invoer gegevens (N)'!$I$34)*'Reeksen (N)'!J205,0)</f>
        <v>0</v>
      </c>
      <c r="AS205" s="71">
        <f ca="1">-IF(C205=1,'Invoer gegevens (N)'!$C$10*'Invoer gegevens (N)'!$I$35*'Reeksen (N)'!L205,0)</f>
        <v>0</v>
      </c>
      <c r="AT205" s="71">
        <f ca="1">-IF(C205=1,IF(E205='Invoer gegevens (N)'!$C$17,'Invoer gegevens (N)'!$C$11,Q205)*'Reeksen (N)'!S205*'Invoer gegevens (N)'!$C$18*'Reeksen (N)'!P205,0)</f>
        <v>0</v>
      </c>
      <c r="AU205" s="71">
        <f ca="1">-IF(C205=1,'Invoer gegevens (N)'!$C$10*'Invoer gegevens (N)'!$I$36*'Reeksen (N)'!H205,0)</f>
        <v>0</v>
      </c>
      <c r="AV205" s="71">
        <v>0</v>
      </c>
      <c r="AW205" s="71">
        <f t="shared" ca="1" si="37"/>
        <v>0</v>
      </c>
      <c r="AX205" s="71">
        <f ca="1">IF(E205&lt;'Invoer gegevens (N)'!$C$17+15,0,IF(E205&gt;'Invoer gegevens (N)'!$C$17+215,0,AW205))</f>
        <v>0</v>
      </c>
      <c r="AY205" s="71">
        <f ca="1">AX205/(1+'Invoer gegevens (N)'!$F$13)^($AZ205-('Invoer gegevens (N)'!$C$17-'Invoer gegevens (N)'!$C$16))/(1+'Invoer gegevens (N)'!$C$39)^('Invoer gegevens (N)'!$C$17-'Invoer gegevens (N)'!$C$16)</f>
        <v>0</v>
      </c>
      <c r="AZ205" s="68">
        <f ca="1">IF(E205-'Invoer gegevens (N)'!$C$17-14.5&lt;0,0,E205-'Invoer gegevens (N)'!$C$17-14.5)</f>
        <v>185.5</v>
      </c>
    </row>
    <row r="206" spans="2:52" x14ac:dyDescent="0.25">
      <c r="B206" s="70">
        <f t="shared" si="38"/>
        <v>202</v>
      </c>
      <c r="C206" s="67">
        <f ca="1">IF(E206-'Invoer gegevens (N)'!$C$17&lt;0,0,1)</f>
        <v>1</v>
      </c>
      <c r="D206" s="68">
        <f t="shared" si="39"/>
        <v>201.5</v>
      </c>
      <c r="E206" s="69">
        <f ca="1">IF('Invoer gegevens (N)'!$C$16="","",E205+1)</f>
        <v>2220</v>
      </c>
      <c r="F206" s="82">
        <f ca="1">IF('Invoer gegevens (N)'!$C$17=E206,'Invoer gegevens (N)'!$C$10,IF(C206=1,H205,0))</f>
        <v>0</v>
      </c>
      <c r="G206" s="83">
        <f ca="1">IF(C206&gt;=1,F206*'Reeksen (N)'!C206,0)</f>
        <v>0</v>
      </c>
      <c r="H206" s="84">
        <f t="shared" ca="1" si="33"/>
        <v>0</v>
      </c>
      <c r="I206" s="85">
        <f ca="1">IF('Invoer gegevens (N)'!$C$17=E206,'Invoer gegevens (N)'!$C$11,IF(C206=1,L205,0))</f>
        <v>0</v>
      </c>
      <c r="J206" s="86">
        <f ca="1">IF(C206&lt;1,0,IF('Reeksen (N)'!AK206&lt;='Reeksen (N)'!AE206,I206*'Reeksen (N)'!C206,0))</f>
        <v>0</v>
      </c>
      <c r="K206" s="86">
        <f ca="1">IF(C206&lt;1,0,IF('Reeksen (N)'!AK206&gt;'Reeksen (N)'!AE206,I206*'Reeksen (N)'!C206,0))</f>
        <v>0</v>
      </c>
      <c r="L206" s="86">
        <f t="shared" ca="1" si="34"/>
        <v>0</v>
      </c>
      <c r="M206" s="85">
        <f ca="1">IF('Invoer gegevens (N)'!$C$17=E206,'Invoer gegevens (N)'!$C$10-'Invoer gegevens (N)'!$C$11,IF(C206=1,P205,0))</f>
        <v>0</v>
      </c>
      <c r="N206" s="86">
        <f ca="1">IF(C206&lt;1,0,IF('Reeksen (N)'!AK206&lt;='Reeksen (N)'!AE206,M206*'Reeksen (N)'!C206,0))</f>
        <v>0</v>
      </c>
      <c r="O206" s="86">
        <f ca="1">IF(C206&lt;1,0,IF('Reeksen (N)'!AK206&gt;'Reeksen (N)'!AE206,M206*'Reeksen (N)'!C206,0))</f>
        <v>0</v>
      </c>
      <c r="P206" s="86">
        <f t="shared" ca="1" si="35"/>
        <v>0</v>
      </c>
      <c r="Q206" s="82">
        <f ca="1">IF('Invoer gegevens (N)'!$C$17=E206,I206,IF(C206=0,0,R205))</f>
        <v>0</v>
      </c>
      <c r="R206" s="84">
        <f t="shared" ca="1" si="30"/>
        <v>0</v>
      </c>
      <c r="S206" s="84">
        <f ca="1">IF('Invoer gegevens (N)'!$C$17=E206,M206,IF(C206=0,0,T205))</f>
        <v>0</v>
      </c>
      <c r="T206" s="84">
        <f t="shared" ca="1" si="31"/>
        <v>0</v>
      </c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8"/>
      <c r="AI206" s="71">
        <f ca="1">IF(C206=1,((F206+H206)/2*'Reeksen (N)'!AJ206*12)+(('Invoer gegevens (N)'!$C$10-(F206+H206)/2)*'Reeksen (N)'!AK206*12),0)</f>
        <v>0</v>
      </c>
      <c r="AJ206" s="71">
        <f ca="1">-AI206*'Invoer gegevens (N)'!$F$28</f>
        <v>0</v>
      </c>
      <c r="AK206" s="71">
        <f t="shared" ca="1" si="32"/>
        <v>0</v>
      </c>
      <c r="AL206" s="71">
        <f ca="1">IF(C206=1,(12*((F206+H206)/2)*'Reeksen (N)'!AL206)+(12*('Invoer gegevens (N)'!$C$10-(F206+H206)/2)*'Reeksen (N)'!AM206),0)</f>
        <v>0</v>
      </c>
      <c r="AM206" s="71">
        <f ca="1">-AL206*'Invoer gegevens (N)'!$F$31</f>
        <v>0</v>
      </c>
      <c r="AN206" s="71">
        <f t="shared" ca="1" si="36"/>
        <v>0</v>
      </c>
      <c r="AO206" s="71"/>
      <c r="AP206" s="71"/>
      <c r="AQ206" s="71">
        <f ca="1">-IF(C206=1,('Invoer gegevens (N)'!$C$10*'Invoer gegevens (N)'!$I$33)*'Reeksen (N)'!J206,0)*2</f>
        <v>0</v>
      </c>
      <c r="AR206" s="71">
        <f ca="1">-IF(C206=1,(G206*'Invoer gegevens (N)'!$I$34)*'Reeksen (N)'!J206,0)</f>
        <v>0</v>
      </c>
      <c r="AS206" s="71">
        <f ca="1">-IF(C206=1,'Invoer gegevens (N)'!$C$10*'Invoer gegevens (N)'!$I$35*'Reeksen (N)'!L206,0)</f>
        <v>0</v>
      </c>
      <c r="AT206" s="71">
        <f ca="1">-IF(C206=1,IF(E206='Invoer gegevens (N)'!$C$17,'Invoer gegevens (N)'!$C$11,Q206)*'Reeksen (N)'!S206*'Invoer gegevens (N)'!$C$18*'Reeksen (N)'!P206,0)</f>
        <v>0</v>
      </c>
      <c r="AU206" s="71">
        <f ca="1">-IF(C206=1,'Invoer gegevens (N)'!$C$10*'Invoer gegevens (N)'!$I$36*'Reeksen (N)'!H206,0)</f>
        <v>0</v>
      </c>
      <c r="AV206" s="71">
        <v>0</v>
      </c>
      <c r="AW206" s="71">
        <f t="shared" ca="1" si="37"/>
        <v>0</v>
      </c>
      <c r="AX206" s="71">
        <f ca="1">IF(E206&lt;'Invoer gegevens (N)'!$C$17+15,0,IF(E206&gt;'Invoer gegevens (N)'!$C$17+215,0,AW206))</f>
        <v>0</v>
      </c>
      <c r="AY206" s="71">
        <f ca="1">AX206/(1+'Invoer gegevens (N)'!$F$13)^($AZ206-('Invoer gegevens (N)'!$C$17-'Invoer gegevens (N)'!$C$16))/(1+'Invoer gegevens (N)'!$C$39)^('Invoer gegevens (N)'!$C$17-'Invoer gegevens (N)'!$C$16)</f>
        <v>0</v>
      </c>
      <c r="AZ206" s="68">
        <f ca="1">IF(E206-'Invoer gegevens (N)'!$C$17-14.5&lt;0,0,E206-'Invoer gegevens (N)'!$C$17-14.5)</f>
        <v>186.5</v>
      </c>
    </row>
    <row r="207" spans="2:52" x14ac:dyDescent="0.25">
      <c r="B207" s="70">
        <f t="shared" si="38"/>
        <v>203</v>
      </c>
      <c r="C207" s="67">
        <f ca="1">IF(E207-'Invoer gegevens (N)'!$C$17&lt;0,0,1)</f>
        <v>1</v>
      </c>
      <c r="D207" s="68">
        <f t="shared" si="39"/>
        <v>202.5</v>
      </c>
      <c r="E207" s="69">
        <f ca="1">IF('Invoer gegevens (N)'!$C$16="","",E206+1)</f>
        <v>2221</v>
      </c>
      <c r="F207" s="82">
        <f ca="1">IF('Invoer gegevens (N)'!$C$17=E207,'Invoer gegevens (N)'!$C$10,IF(C207=1,H206,0))</f>
        <v>0</v>
      </c>
      <c r="G207" s="83">
        <f ca="1">IF(C207&gt;=1,F207*'Reeksen (N)'!C207,0)</f>
        <v>0</v>
      </c>
      <c r="H207" s="84">
        <f t="shared" ca="1" si="33"/>
        <v>0</v>
      </c>
      <c r="I207" s="85">
        <f ca="1">IF('Invoer gegevens (N)'!$C$17=E207,'Invoer gegevens (N)'!$C$11,IF(C207=1,L206,0))</f>
        <v>0</v>
      </c>
      <c r="J207" s="86">
        <f ca="1">IF(C207&lt;1,0,IF('Reeksen (N)'!AK207&lt;='Reeksen (N)'!AE207,I207*'Reeksen (N)'!C207,0))</f>
        <v>0</v>
      </c>
      <c r="K207" s="86">
        <f ca="1">IF(C207&lt;1,0,IF('Reeksen (N)'!AK207&gt;'Reeksen (N)'!AE207,I207*'Reeksen (N)'!C207,0))</f>
        <v>0</v>
      </c>
      <c r="L207" s="86">
        <f t="shared" ca="1" si="34"/>
        <v>0</v>
      </c>
      <c r="M207" s="85">
        <f ca="1">IF('Invoer gegevens (N)'!$C$17=E207,'Invoer gegevens (N)'!$C$10-'Invoer gegevens (N)'!$C$11,IF(C207=1,P206,0))</f>
        <v>0</v>
      </c>
      <c r="N207" s="86">
        <f ca="1">IF(C207&lt;1,0,IF('Reeksen (N)'!AK207&lt;='Reeksen (N)'!AE207,M207*'Reeksen (N)'!C207,0))</f>
        <v>0</v>
      </c>
      <c r="O207" s="86">
        <f ca="1">IF(C207&lt;1,0,IF('Reeksen (N)'!AK207&gt;'Reeksen (N)'!AE207,M207*'Reeksen (N)'!C207,0))</f>
        <v>0</v>
      </c>
      <c r="P207" s="86">
        <f t="shared" ca="1" si="35"/>
        <v>0</v>
      </c>
      <c r="Q207" s="82">
        <f ca="1">IF('Invoer gegevens (N)'!$C$17=E207,I207,IF(C207=0,0,R206))</f>
        <v>0</v>
      </c>
      <c r="R207" s="84">
        <f t="shared" ca="1" si="30"/>
        <v>0</v>
      </c>
      <c r="S207" s="84">
        <f ca="1">IF('Invoer gegevens (N)'!$C$17=E207,M207,IF(C207=0,0,T206))</f>
        <v>0</v>
      </c>
      <c r="T207" s="84">
        <f t="shared" ca="1" si="31"/>
        <v>0</v>
      </c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8"/>
      <c r="AI207" s="71">
        <f ca="1">IF(C207=1,((F207+H207)/2*'Reeksen (N)'!AJ207*12)+(('Invoer gegevens (N)'!$C$10-(F207+H207)/2)*'Reeksen (N)'!AK207*12),0)</f>
        <v>0</v>
      </c>
      <c r="AJ207" s="71">
        <f ca="1">-AI207*'Invoer gegevens (N)'!$F$28</f>
        <v>0</v>
      </c>
      <c r="AK207" s="71">
        <f t="shared" ca="1" si="32"/>
        <v>0</v>
      </c>
      <c r="AL207" s="71">
        <f ca="1">IF(C207=1,(12*((F207+H207)/2)*'Reeksen (N)'!AL207)+(12*('Invoer gegevens (N)'!$C$10-(F207+H207)/2)*'Reeksen (N)'!AM207),0)</f>
        <v>0</v>
      </c>
      <c r="AM207" s="71">
        <f ca="1">-AL207*'Invoer gegevens (N)'!$F$31</f>
        <v>0</v>
      </c>
      <c r="AN207" s="71">
        <f t="shared" ca="1" si="36"/>
        <v>0</v>
      </c>
      <c r="AO207" s="71"/>
      <c r="AP207" s="71"/>
      <c r="AQ207" s="71">
        <f ca="1">-IF(C207=1,('Invoer gegevens (N)'!$C$10*'Invoer gegevens (N)'!$I$33)*'Reeksen (N)'!J207,0)*2</f>
        <v>0</v>
      </c>
      <c r="AR207" s="71">
        <f ca="1">-IF(C207=1,(G207*'Invoer gegevens (N)'!$I$34)*'Reeksen (N)'!J207,0)</f>
        <v>0</v>
      </c>
      <c r="AS207" s="71">
        <f ca="1">-IF(C207=1,'Invoer gegevens (N)'!$C$10*'Invoer gegevens (N)'!$I$35*'Reeksen (N)'!L207,0)</f>
        <v>0</v>
      </c>
      <c r="AT207" s="71">
        <f ca="1">-IF(C207=1,IF(E207='Invoer gegevens (N)'!$C$17,'Invoer gegevens (N)'!$C$11,Q207)*'Reeksen (N)'!S207*'Invoer gegevens (N)'!$C$18*'Reeksen (N)'!P207,0)</f>
        <v>0</v>
      </c>
      <c r="AU207" s="71">
        <f ca="1">-IF(C207=1,'Invoer gegevens (N)'!$C$10*'Invoer gegevens (N)'!$I$36*'Reeksen (N)'!H207,0)</f>
        <v>0</v>
      </c>
      <c r="AV207" s="71">
        <v>0</v>
      </c>
      <c r="AW207" s="71">
        <f t="shared" ca="1" si="37"/>
        <v>0</v>
      </c>
      <c r="AX207" s="71">
        <f ca="1">IF(E207&lt;'Invoer gegevens (N)'!$C$17+15,0,IF(E207&gt;'Invoer gegevens (N)'!$C$17+215,0,AW207))</f>
        <v>0</v>
      </c>
      <c r="AY207" s="71">
        <f ca="1">AX207/(1+'Invoer gegevens (N)'!$F$13)^($AZ207-('Invoer gegevens (N)'!$C$17-'Invoer gegevens (N)'!$C$16))/(1+'Invoer gegevens (N)'!$C$39)^('Invoer gegevens (N)'!$C$17-'Invoer gegevens (N)'!$C$16)</f>
        <v>0</v>
      </c>
      <c r="AZ207" s="68">
        <f ca="1">IF(E207-'Invoer gegevens (N)'!$C$17-14.5&lt;0,0,E207-'Invoer gegevens (N)'!$C$17-14.5)</f>
        <v>187.5</v>
      </c>
    </row>
    <row r="208" spans="2:52" x14ac:dyDescent="0.25">
      <c r="B208" s="70">
        <f t="shared" si="38"/>
        <v>204</v>
      </c>
      <c r="C208" s="67">
        <f ca="1">IF(E208-'Invoer gegevens (N)'!$C$17&lt;0,0,1)</f>
        <v>1</v>
      </c>
      <c r="D208" s="68">
        <f t="shared" si="39"/>
        <v>203.5</v>
      </c>
      <c r="E208" s="69">
        <f ca="1">IF('Invoer gegevens (N)'!$C$16="","",E207+1)</f>
        <v>2222</v>
      </c>
      <c r="F208" s="82">
        <f ca="1">IF('Invoer gegevens (N)'!$C$17=E208,'Invoer gegevens (N)'!$C$10,IF(C208=1,H207,0))</f>
        <v>0</v>
      </c>
      <c r="G208" s="83">
        <f ca="1">IF(C208&gt;=1,F208*'Reeksen (N)'!C208,0)</f>
        <v>0</v>
      </c>
      <c r="H208" s="84">
        <f t="shared" ca="1" si="33"/>
        <v>0</v>
      </c>
      <c r="I208" s="85">
        <f ca="1">IF('Invoer gegevens (N)'!$C$17=E208,'Invoer gegevens (N)'!$C$11,IF(C208=1,L207,0))</f>
        <v>0</v>
      </c>
      <c r="J208" s="86">
        <f ca="1">IF(C208&lt;1,0,IF('Reeksen (N)'!AK208&lt;='Reeksen (N)'!AE208,I208*'Reeksen (N)'!C208,0))</f>
        <v>0</v>
      </c>
      <c r="K208" s="86">
        <f ca="1">IF(C208&lt;1,0,IF('Reeksen (N)'!AK208&gt;'Reeksen (N)'!AE208,I208*'Reeksen (N)'!C208,0))</f>
        <v>0</v>
      </c>
      <c r="L208" s="86">
        <f t="shared" ca="1" si="34"/>
        <v>0</v>
      </c>
      <c r="M208" s="85">
        <f ca="1">IF('Invoer gegevens (N)'!$C$17=E208,'Invoer gegevens (N)'!$C$10-'Invoer gegevens (N)'!$C$11,IF(C208=1,P207,0))</f>
        <v>0</v>
      </c>
      <c r="N208" s="86">
        <f ca="1">IF(C208&lt;1,0,IF('Reeksen (N)'!AK208&lt;='Reeksen (N)'!AE208,M208*'Reeksen (N)'!C208,0))</f>
        <v>0</v>
      </c>
      <c r="O208" s="86">
        <f ca="1">IF(C208&lt;1,0,IF('Reeksen (N)'!AK208&gt;'Reeksen (N)'!AE208,M208*'Reeksen (N)'!C208,0))</f>
        <v>0</v>
      </c>
      <c r="P208" s="86">
        <f t="shared" ca="1" si="35"/>
        <v>0</v>
      </c>
      <c r="Q208" s="82">
        <f ca="1">IF('Invoer gegevens (N)'!$C$17=E208,I208,IF(C208=0,0,R207))</f>
        <v>0</v>
      </c>
      <c r="R208" s="84">
        <f t="shared" ca="1" si="30"/>
        <v>0</v>
      </c>
      <c r="S208" s="84">
        <f ca="1">IF('Invoer gegevens (N)'!$C$17=E208,M208,IF(C208=0,0,T207))</f>
        <v>0</v>
      </c>
      <c r="T208" s="84">
        <f t="shared" ca="1" si="31"/>
        <v>0</v>
      </c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8"/>
      <c r="AI208" s="71">
        <f ca="1">IF(C208=1,((F208+H208)/2*'Reeksen (N)'!AJ208*12)+(('Invoer gegevens (N)'!$C$10-(F208+H208)/2)*'Reeksen (N)'!AK208*12),0)</f>
        <v>0</v>
      </c>
      <c r="AJ208" s="71">
        <f ca="1">-AI208*'Invoer gegevens (N)'!$F$28</f>
        <v>0</v>
      </c>
      <c r="AK208" s="71">
        <f t="shared" ca="1" si="32"/>
        <v>0</v>
      </c>
      <c r="AL208" s="71">
        <f ca="1">IF(C208=1,(12*((F208+H208)/2)*'Reeksen (N)'!AL208)+(12*('Invoer gegevens (N)'!$C$10-(F208+H208)/2)*'Reeksen (N)'!AM208),0)</f>
        <v>0</v>
      </c>
      <c r="AM208" s="71">
        <f ca="1">-AL208*'Invoer gegevens (N)'!$F$31</f>
        <v>0</v>
      </c>
      <c r="AN208" s="71">
        <f t="shared" ca="1" si="36"/>
        <v>0</v>
      </c>
      <c r="AO208" s="71"/>
      <c r="AP208" s="71"/>
      <c r="AQ208" s="71">
        <f ca="1">-IF(C208=1,('Invoer gegevens (N)'!$C$10*'Invoer gegevens (N)'!$I$33)*'Reeksen (N)'!J208,0)*2</f>
        <v>0</v>
      </c>
      <c r="AR208" s="71">
        <f ca="1">-IF(C208=1,(G208*'Invoer gegevens (N)'!$I$34)*'Reeksen (N)'!J208,0)</f>
        <v>0</v>
      </c>
      <c r="AS208" s="71">
        <f ca="1">-IF(C208=1,'Invoer gegevens (N)'!$C$10*'Invoer gegevens (N)'!$I$35*'Reeksen (N)'!L208,0)</f>
        <v>0</v>
      </c>
      <c r="AT208" s="71">
        <f ca="1">-IF(C208=1,IF(E208='Invoer gegevens (N)'!$C$17,'Invoer gegevens (N)'!$C$11,Q208)*'Reeksen (N)'!S208*'Invoer gegevens (N)'!$C$18*'Reeksen (N)'!P208,0)</f>
        <v>0</v>
      </c>
      <c r="AU208" s="71">
        <f ca="1">-IF(C208=1,'Invoer gegevens (N)'!$C$10*'Invoer gegevens (N)'!$I$36*'Reeksen (N)'!H208,0)</f>
        <v>0</v>
      </c>
      <c r="AV208" s="71">
        <v>0</v>
      </c>
      <c r="AW208" s="71">
        <f t="shared" ca="1" si="37"/>
        <v>0</v>
      </c>
      <c r="AX208" s="71">
        <f ca="1">IF(E208&lt;'Invoer gegevens (N)'!$C$17+15,0,IF(E208&gt;'Invoer gegevens (N)'!$C$17+215,0,AW208))</f>
        <v>0</v>
      </c>
      <c r="AY208" s="71">
        <f ca="1">AX208/(1+'Invoer gegevens (N)'!$F$13)^($AZ208-('Invoer gegevens (N)'!$C$17-'Invoer gegevens (N)'!$C$16))/(1+'Invoer gegevens (N)'!$C$39)^('Invoer gegevens (N)'!$C$17-'Invoer gegevens (N)'!$C$16)</f>
        <v>0</v>
      </c>
      <c r="AZ208" s="68">
        <f ca="1">IF(E208-'Invoer gegevens (N)'!$C$17-14.5&lt;0,0,E208-'Invoer gegevens (N)'!$C$17-14.5)</f>
        <v>188.5</v>
      </c>
    </row>
    <row r="209" spans="2:52" x14ac:dyDescent="0.25">
      <c r="B209" s="70">
        <f t="shared" si="38"/>
        <v>205</v>
      </c>
      <c r="C209" s="67">
        <f ca="1">IF(E209-'Invoer gegevens (N)'!$C$17&lt;0,0,1)</f>
        <v>1</v>
      </c>
      <c r="D209" s="68">
        <f t="shared" si="39"/>
        <v>204.5</v>
      </c>
      <c r="E209" s="69">
        <f ca="1">IF('Invoer gegevens (N)'!$C$16="","",E208+1)</f>
        <v>2223</v>
      </c>
      <c r="F209" s="82">
        <f ca="1">IF('Invoer gegevens (N)'!$C$17=E209,'Invoer gegevens (N)'!$C$10,IF(C209=1,H208,0))</f>
        <v>0</v>
      </c>
      <c r="G209" s="83">
        <f ca="1">IF(C209&gt;=1,F209*'Reeksen (N)'!C209,0)</f>
        <v>0</v>
      </c>
      <c r="H209" s="84">
        <f t="shared" ca="1" si="33"/>
        <v>0</v>
      </c>
      <c r="I209" s="85">
        <f ca="1">IF('Invoer gegevens (N)'!$C$17=E209,'Invoer gegevens (N)'!$C$11,IF(C209=1,L208,0))</f>
        <v>0</v>
      </c>
      <c r="J209" s="86">
        <f ca="1">IF(C209&lt;1,0,IF('Reeksen (N)'!AK209&lt;='Reeksen (N)'!AE209,I209*'Reeksen (N)'!C209,0))</f>
        <v>0</v>
      </c>
      <c r="K209" s="86">
        <f ca="1">IF(C209&lt;1,0,IF('Reeksen (N)'!AK209&gt;'Reeksen (N)'!AE209,I209*'Reeksen (N)'!C209,0))</f>
        <v>0</v>
      </c>
      <c r="L209" s="86">
        <f t="shared" ca="1" si="34"/>
        <v>0</v>
      </c>
      <c r="M209" s="85">
        <f ca="1">IF('Invoer gegevens (N)'!$C$17=E209,'Invoer gegevens (N)'!$C$10-'Invoer gegevens (N)'!$C$11,IF(C209=1,P208,0))</f>
        <v>0</v>
      </c>
      <c r="N209" s="86">
        <f ca="1">IF(C209&lt;1,0,IF('Reeksen (N)'!AK209&lt;='Reeksen (N)'!AE209,M209*'Reeksen (N)'!C209,0))</f>
        <v>0</v>
      </c>
      <c r="O209" s="86">
        <f ca="1">IF(C209&lt;1,0,IF('Reeksen (N)'!AK209&gt;'Reeksen (N)'!AE209,M209*'Reeksen (N)'!C209,0))</f>
        <v>0</v>
      </c>
      <c r="P209" s="86">
        <f t="shared" ca="1" si="35"/>
        <v>0</v>
      </c>
      <c r="Q209" s="82">
        <f ca="1">IF('Invoer gegevens (N)'!$C$17=E209,I209,IF(C209=0,0,R208))</f>
        <v>0</v>
      </c>
      <c r="R209" s="84">
        <f t="shared" ca="1" si="30"/>
        <v>0</v>
      </c>
      <c r="S209" s="84">
        <f ca="1">IF('Invoer gegevens (N)'!$C$17=E209,M209,IF(C209=0,0,T208))</f>
        <v>0</v>
      </c>
      <c r="T209" s="84">
        <f t="shared" ca="1" si="31"/>
        <v>0</v>
      </c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8"/>
      <c r="AI209" s="71">
        <f ca="1">IF(C209=1,((F209+H209)/2*'Reeksen (N)'!AJ209*12)+(('Invoer gegevens (N)'!$C$10-(F209+H209)/2)*'Reeksen (N)'!AK209*12),0)</f>
        <v>0</v>
      </c>
      <c r="AJ209" s="71">
        <f ca="1">-AI209*'Invoer gegevens (N)'!$F$28</f>
        <v>0</v>
      </c>
      <c r="AK209" s="71">
        <f t="shared" ca="1" si="32"/>
        <v>0</v>
      </c>
      <c r="AL209" s="71">
        <f ca="1">IF(C209=1,(12*((F209+H209)/2)*'Reeksen (N)'!AL209)+(12*('Invoer gegevens (N)'!$C$10-(F209+H209)/2)*'Reeksen (N)'!AM209),0)</f>
        <v>0</v>
      </c>
      <c r="AM209" s="71">
        <f ca="1">-AL209*'Invoer gegevens (N)'!$F$31</f>
        <v>0</v>
      </c>
      <c r="AN209" s="71">
        <f t="shared" ca="1" si="36"/>
        <v>0</v>
      </c>
      <c r="AO209" s="71"/>
      <c r="AP209" s="71"/>
      <c r="AQ209" s="71">
        <f ca="1">-IF(C209=1,('Invoer gegevens (N)'!$C$10*'Invoer gegevens (N)'!$I$33)*'Reeksen (N)'!J209,0)*2</f>
        <v>0</v>
      </c>
      <c r="AR209" s="71">
        <f ca="1">-IF(C209=1,(G209*'Invoer gegevens (N)'!$I$34)*'Reeksen (N)'!J209,0)</f>
        <v>0</v>
      </c>
      <c r="AS209" s="71">
        <f ca="1">-IF(C209=1,'Invoer gegevens (N)'!$C$10*'Invoer gegevens (N)'!$I$35*'Reeksen (N)'!L209,0)</f>
        <v>0</v>
      </c>
      <c r="AT209" s="71">
        <f ca="1">-IF(C209=1,IF(E209='Invoer gegevens (N)'!$C$17,'Invoer gegevens (N)'!$C$11,Q209)*'Reeksen (N)'!S209*'Invoer gegevens (N)'!$C$18*'Reeksen (N)'!P209,0)</f>
        <v>0</v>
      </c>
      <c r="AU209" s="71">
        <f ca="1">-IF(C209=1,'Invoer gegevens (N)'!$C$10*'Invoer gegevens (N)'!$I$36*'Reeksen (N)'!H209,0)</f>
        <v>0</v>
      </c>
      <c r="AV209" s="71">
        <v>0</v>
      </c>
      <c r="AW209" s="71">
        <f t="shared" ca="1" si="37"/>
        <v>0</v>
      </c>
      <c r="AX209" s="71">
        <f ca="1">IF(E209&lt;'Invoer gegevens (N)'!$C$17+15,0,IF(E209&gt;'Invoer gegevens (N)'!$C$17+215,0,AW209))</f>
        <v>0</v>
      </c>
      <c r="AY209" s="71">
        <f ca="1">AX209/(1+'Invoer gegevens (N)'!$F$13)^($AZ209-('Invoer gegevens (N)'!$C$17-'Invoer gegevens (N)'!$C$16))/(1+'Invoer gegevens (N)'!$C$39)^('Invoer gegevens (N)'!$C$17-'Invoer gegevens (N)'!$C$16)</f>
        <v>0</v>
      </c>
      <c r="AZ209" s="68">
        <f ca="1">IF(E209-'Invoer gegevens (N)'!$C$17-14.5&lt;0,0,E209-'Invoer gegevens (N)'!$C$17-14.5)</f>
        <v>189.5</v>
      </c>
    </row>
    <row r="210" spans="2:52" x14ac:dyDescent="0.25">
      <c r="B210" s="70">
        <f t="shared" si="38"/>
        <v>206</v>
      </c>
      <c r="C210" s="67">
        <f ca="1">IF(E210-'Invoer gegevens (N)'!$C$17&lt;0,0,1)</f>
        <v>1</v>
      </c>
      <c r="D210" s="68">
        <f t="shared" si="39"/>
        <v>205.5</v>
      </c>
      <c r="E210" s="69">
        <f ca="1">IF('Invoer gegevens (N)'!$C$16="","",E209+1)</f>
        <v>2224</v>
      </c>
      <c r="F210" s="82">
        <f ca="1">IF('Invoer gegevens (N)'!$C$17=E210,'Invoer gegevens (N)'!$C$10,IF(C210=1,H209,0))</f>
        <v>0</v>
      </c>
      <c r="G210" s="83">
        <f ca="1">IF(C210&gt;=1,F210*'Reeksen (N)'!C210,0)</f>
        <v>0</v>
      </c>
      <c r="H210" s="84">
        <f t="shared" ca="1" si="33"/>
        <v>0</v>
      </c>
      <c r="I210" s="85">
        <f ca="1">IF('Invoer gegevens (N)'!$C$17=E210,'Invoer gegevens (N)'!$C$11,IF(C210=1,L209,0))</f>
        <v>0</v>
      </c>
      <c r="J210" s="86">
        <f ca="1">IF(C210&lt;1,0,IF('Reeksen (N)'!AK210&lt;='Reeksen (N)'!AE210,I210*'Reeksen (N)'!C210,0))</f>
        <v>0</v>
      </c>
      <c r="K210" s="86">
        <f ca="1">IF(C210&lt;1,0,IF('Reeksen (N)'!AK210&gt;'Reeksen (N)'!AE210,I210*'Reeksen (N)'!C210,0))</f>
        <v>0</v>
      </c>
      <c r="L210" s="86">
        <f t="shared" ca="1" si="34"/>
        <v>0</v>
      </c>
      <c r="M210" s="85">
        <f ca="1">IF('Invoer gegevens (N)'!$C$17=E210,'Invoer gegevens (N)'!$C$10-'Invoer gegevens (N)'!$C$11,IF(C210=1,P209,0))</f>
        <v>0</v>
      </c>
      <c r="N210" s="86">
        <f ca="1">IF(C210&lt;1,0,IF('Reeksen (N)'!AK210&lt;='Reeksen (N)'!AE210,M210*'Reeksen (N)'!C210,0))</f>
        <v>0</v>
      </c>
      <c r="O210" s="86">
        <f ca="1">IF(C210&lt;1,0,IF('Reeksen (N)'!AK210&gt;'Reeksen (N)'!AE210,M210*'Reeksen (N)'!C210,0))</f>
        <v>0</v>
      </c>
      <c r="P210" s="86">
        <f t="shared" ca="1" si="35"/>
        <v>0</v>
      </c>
      <c r="Q210" s="82">
        <f ca="1">IF('Invoer gegevens (N)'!$C$17=E210,I210,IF(C210=0,0,R209))</f>
        <v>0</v>
      </c>
      <c r="R210" s="84">
        <f t="shared" ca="1" si="30"/>
        <v>0</v>
      </c>
      <c r="S210" s="84">
        <f ca="1">IF('Invoer gegevens (N)'!$C$17=E210,M210,IF(C210=0,0,T209))</f>
        <v>0</v>
      </c>
      <c r="T210" s="84">
        <f t="shared" ca="1" si="31"/>
        <v>0</v>
      </c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8"/>
      <c r="AI210" s="71">
        <f ca="1">IF(C210=1,((F210+H210)/2*'Reeksen (N)'!AJ210*12)+(('Invoer gegevens (N)'!$C$10-(F210+H210)/2)*'Reeksen (N)'!AK210*12),0)</f>
        <v>0</v>
      </c>
      <c r="AJ210" s="71">
        <f ca="1">-AI210*'Invoer gegevens (N)'!$F$28</f>
        <v>0</v>
      </c>
      <c r="AK210" s="71">
        <f t="shared" ca="1" si="32"/>
        <v>0</v>
      </c>
      <c r="AL210" s="71">
        <f ca="1">IF(C210=1,(12*((F210+H210)/2)*'Reeksen (N)'!AL210)+(12*('Invoer gegevens (N)'!$C$10-(F210+H210)/2)*'Reeksen (N)'!AM210),0)</f>
        <v>0</v>
      </c>
      <c r="AM210" s="71">
        <f ca="1">-AL210*'Invoer gegevens (N)'!$F$31</f>
        <v>0</v>
      </c>
      <c r="AN210" s="71">
        <f t="shared" ca="1" si="36"/>
        <v>0</v>
      </c>
      <c r="AO210" s="71"/>
      <c r="AP210" s="71"/>
      <c r="AQ210" s="71">
        <f ca="1">-IF(C210=1,('Invoer gegevens (N)'!$C$10*'Invoer gegevens (N)'!$I$33)*'Reeksen (N)'!J210,0)*2</f>
        <v>0</v>
      </c>
      <c r="AR210" s="71">
        <f ca="1">-IF(C210=1,(G210*'Invoer gegevens (N)'!$I$34)*'Reeksen (N)'!J210,0)</f>
        <v>0</v>
      </c>
      <c r="AS210" s="71">
        <f ca="1">-IF(C210=1,'Invoer gegevens (N)'!$C$10*'Invoer gegevens (N)'!$I$35*'Reeksen (N)'!L210,0)</f>
        <v>0</v>
      </c>
      <c r="AT210" s="71">
        <f ca="1">-IF(C210=1,IF(E210='Invoer gegevens (N)'!$C$17,'Invoer gegevens (N)'!$C$11,Q210)*'Reeksen (N)'!S210*'Invoer gegevens (N)'!$C$18*'Reeksen (N)'!P210,0)</f>
        <v>0</v>
      </c>
      <c r="AU210" s="71">
        <f ca="1">-IF(C210=1,'Invoer gegevens (N)'!$C$10*'Invoer gegevens (N)'!$I$36*'Reeksen (N)'!H210,0)</f>
        <v>0</v>
      </c>
      <c r="AV210" s="71">
        <v>0</v>
      </c>
      <c r="AW210" s="71">
        <f t="shared" ca="1" si="37"/>
        <v>0</v>
      </c>
      <c r="AX210" s="71">
        <f ca="1">IF(E210&lt;'Invoer gegevens (N)'!$C$17+15,0,IF(E210&gt;'Invoer gegevens (N)'!$C$17+215,0,AW210))</f>
        <v>0</v>
      </c>
      <c r="AY210" s="71">
        <f ca="1">AX210/(1+'Invoer gegevens (N)'!$F$13)^($AZ210-('Invoer gegevens (N)'!$C$17-'Invoer gegevens (N)'!$C$16))/(1+'Invoer gegevens (N)'!$C$39)^('Invoer gegevens (N)'!$C$17-'Invoer gegevens (N)'!$C$16)</f>
        <v>0</v>
      </c>
      <c r="AZ210" s="68">
        <f ca="1">IF(E210-'Invoer gegevens (N)'!$C$17-14.5&lt;0,0,E210-'Invoer gegevens (N)'!$C$17-14.5)</f>
        <v>190.5</v>
      </c>
    </row>
    <row r="211" spans="2:52" x14ac:dyDescent="0.25">
      <c r="B211" s="70">
        <f t="shared" si="38"/>
        <v>207</v>
      </c>
      <c r="C211" s="67">
        <f ca="1">IF(E211-'Invoer gegevens (N)'!$C$17&lt;0,0,1)</f>
        <v>1</v>
      </c>
      <c r="D211" s="68">
        <f t="shared" si="39"/>
        <v>206.5</v>
      </c>
      <c r="E211" s="69">
        <f ca="1">IF('Invoer gegevens (N)'!$C$16="","",E210+1)</f>
        <v>2225</v>
      </c>
      <c r="F211" s="82">
        <f ca="1">IF('Invoer gegevens (N)'!$C$17=E211,'Invoer gegevens (N)'!$C$10,IF(C211=1,H210,0))</f>
        <v>0</v>
      </c>
      <c r="G211" s="83">
        <f ca="1">IF(C211&gt;=1,F211*'Reeksen (N)'!C211,0)</f>
        <v>0</v>
      </c>
      <c r="H211" s="84">
        <f t="shared" ca="1" si="33"/>
        <v>0</v>
      </c>
      <c r="I211" s="85">
        <f ca="1">IF('Invoer gegevens (N)'!$C$17=E211,'Invoer gegevens (N)'!$C$11,IF(C211=1,L210,0))</f>
        <v>0</v>
      </c>
      <c r="J211" s="86">
        <f ca="1">IF(C211&lt;1,0,IF('Reeksen (N)'!AK211&lt;='Reeksen (N)'!AE211,I211*'Reeksen (N)'!C211,0))</f>
        <v>0</v>
      </c>
      <c r="K211" s="86">
        <f ca="1">IF(C211&lt;1,0,IF('Reeksen (N)'!AK211&gt;'Reeksen (N)'!AE211,I211*'Reeksen (N)'!C211,0))</f>
        <v>0</v>
      </c>
      <c r="L211" s="86">
        <f t="shared" ca="1" si="34"/>
        <v>0</v>
      </c>
      <c r="M211" s="85">
        <f ca="1">IF('Invoer gegevens (N)'!$C$17=E211,'Invoer gegevens (N)'!$C$10-'Invoer gegevens (N)'!$C$11,IF(C211=1,P210,0))</f>
        <v>0</v>
      </c>
      <c r="N211" s="86">
        <f ca="1">IF(C211&lt;1,0,IF('Reeksen (N)'!AK211&lt;='Reeksen (N)'!AE211,M211*'Reeksen (N)'!C211,0))</f>
        <v>0</v>
      </c>
      <c r="O211" s="86">
        <f ca="1">IF(C211&lt;1,0,IF('Reeksen (N)'!AK211&gt;'Reeksen (N)'!AE211,M211*'Reeksen (N)'!C211,0))</f>
        <v>0</v>
      </c>
      <c r="P211" s="86">
        <f t="shared" ca="1" si="35"/>
        <v>0</v>
      </c>
      <c r="Q211" s="82">
        <f ca="1">IF('Invoer gegevens (N)'!$C$17=E211,I211,IF(C211=0,0,R210))</f>
        <v>0</v>
      </c>
      <c r="R211" s="84">
        <f t="shared" ca="1" si="30"/>
        <v>0</v>
      </c>
      <c r="S211" s="84">
        <f ca="1">IF('Invoer gegevens (N)'!$C$17=E211,M211,IF(C211=0,0,T210))</f>
        <v>0</v>
      </c>
      <c r="T211" s="84">
        <f t="shared" ca="1" si="31"/>
        <v>0</v>
      </c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8"/>
      <c r="AI211" s="71">
        <f ca="1">IF(C211=1,((F211+H211)/2*'Reeksen (N)'!AJ211*12)+(('Invoer gegevens (N)'!$C$10-(F211+H211)/2)*'Reeksen (N)'!AK211*12),0)</f>
        <v>0</v>
      </c>
      <c r="AJ211" s="71">
        <f ca="1">-AI211*'Invoer gegevens (N)'!$F$28</f>
        <v>0</v>
      </c>
      <c r="AK211" s="71">
        <f t="shared" ca="1" si="32"/>
        <v>0</v>
      </c>
      <c r="AL211" s="71">
        <f ca="1">IF(C211=1,(12*((F211+H211)/2)*'Reeksen (N)'!AL211)+(12*('Invoer gegevens (N)'!$C$10-(F211+H211)/2)*'Reeksen (N)'!AM211),0)</f>
        <v>0</v>
      </c>
      <c r="AM211" s="71">
        <f ca="1">-AL211*'Invoer gegevens (N)'!$F$31</f>
        <v>0</v>
      </c>
      <c r="AN211" s="71">
        <f t="shared" ca="1" si="36"/>
        <v>0</v>
      </c>
      <c r="AO211" s="71"/>
      <c r="AP211" s="71"/>
      <c r="AQ211" s="71">
        <f ca="1">-IF(C211=1,('Invoer gegevens (N)'!$C$10*'Invoer gegevens (N)'!$I$33)*'Reeksen (N)'!J211,0)*2</f>
        <v>0</v>
      </c>
      <c r="AR211" s="71">
        <f ca="1">-IF(C211=1,(G211*'Invoer gegevens (N)'!$I$34)*'Reeksen (N)'!J211,0)</f>
        <v>0</v>
      </c>
      <c r="AS211" s="71">
        <f ca="1">-IF(C211=1,'Invoer gegevens (N)'!$C$10*'Invoer gegevens (N)'!$I$35*'Reeksen (N)'!L211,0)</f>
        <v>0</v>
      </c>
      <c r="AT211" s="71">
        <f ca="1">-IF(C211=1,IF(E211='Invoer gegevens (N)'!$C$17,'Invoer gegevens (N)'!$C$11,Q211)*'Reeksen (N)'!S211*'Invoer gegevens (N)'!$C$18*'Reeksen (N)'!P211,0)</f>
        <v>0</v>
      </c>
      <c r="AU211" s="71">
        <f ca="1">-IF(C211=1,'Invoer gegevens (N)'!$C$10*'Invoer gegevens (N)'!$I$36*'Reeksen (N)'!H211,0)</f>
        <v>0</v>
      </c>
      <c r="AV211" s="71">
        <v>0</v>
      </c>
      <c r="AW211" s="71">
        <f t="shared" ca="1" si="37"/>
        <v>0</v>
      </c>
      <c r="AX211" s="71">
        <f ca="1">IF(E211&lt;'Invoer gegevens (N)'!$C$17+15,0,IF(E211&gt;'Invoer gegevens (N)'!$C$17+215,0,AW211))</f>
        <v>0</v>
      </c>
      <c r="AY211" s="71">
        <f ca="1">AX211/(1+'Invoer gegevens (N)'!$F$13)^($AZ211-('Invoer gegevens (N)'!$C$17-'Invoer gegevens (N)'!$C$16))/(1+'Invoer gegevens (N)'!$C$39)^('Invoer gegevens (N)'!$C$17-'Invoer gegevens (N)'!$C$16)</f>
        <v>0</v>
      </c>
      <c r="AZ211" s="68">
        <f ca="1">IF(E211-'Invoer gegevens (N)'!$C$17-14.5&lt;0,0,E211-'Invoer gegevens (N)'!$C$17-14.5)</f>
        <v>191.5</v>
      </c>
    </row>
    <row r="212" spans="2:52" x14ac:dyDescent="0.25">
      <c r="B212" s="70">
        <f t="shared" si="38"/>
        <v>208</v>
      </c>
      <c r="C212" s="67">
        <f ca="1">IF(E212-'Invoer gegevens (N)'!$C$17&lt;0,0,1)</f>
        <v>1</v>
      </c>
      <c r="D212" s="68">
        <f t="shared" si="39"/>
        <v>207.5</v>
      </c>
      <c r="E212" s="69">
        <f ca="1">IF('Invoer gegevens (N)'!$C$16="","",E211+1)</f>
        <v>2226</v>
      </c>
      <c r="F212" s="82">
        <f ca="1">IF('Invoer gegevens (N)'!$C$17=E212,'Invoer gegevens (N)'!$C$10,IF(C212=1,H211,0))</f>
        <v>0</v>
      </c>
      <c r="G212" s="83">
        <f ca="1">IF(C212&gt;=1,F212*'Reeksen (N)'!C212,0)</f>
        <v>0</v>
      </c>
      <c r="H212" s="84">
        <f t="shared" ca="1" si="33"/>
        <v>0</v>
      </c>
      <c r="I212" s="85">
        <f ca="1">IF('Invoer gegevens (N)'!$C$17=E212,'Invoer gegevens (N)'!$C$11,IF(C212=1,L211,0))</f>
        <v>0</v>
      </c>
      <c r="J212" s="86">
        <f ca="1">IF(C212&lt;1,0,IF('Reeksen (N)'!AK212&lt;='Reeksen (N)'!AE212,I212*'Reeksen (N)'!C212,0))</f>
        <v>0</v>
      </c>
      <c r="K212" s="86">
        <f ca="1">IF(C212&lt;1,0,IF('Reeksen (N)'!AK212&gt;'Reeksen (N)'!AE212,I212*'Reeksen (N)'!C212,0))</f>
        <v>0</v>
      </c>
      <c r="L212" s="86">
        <f t="shared" ca="1" si="34"/>
        <v>0</v>
      </c>
      <c r="M212" s="85">
        <f ca="1">IF('Invoer gegevens (N)'!$C$17=E212,'Invoer gegevens (N)'!$C$10-'Invoer gegevens (N)'!$C$11,IF(C212=1,P211,0))</f>
        <v>0</v>
      </c>
      <c r="N212" s="86">
        <f ca="1">IF(C212&lt;1,0,IF('Reeksen (N)'!AK212&lt;='Reeksen (N)'!AE212,M212*'Reeksen (N)'!C212,0))</f>
        <v>0</v>
      </c>
      <c r="O212" s="86">
        <f ca="1">IF(C212&lt;1,0,IF('Reeksen (N)'!AK212&gt;'Reeksen (N)'!AE212,M212*'Reeksen (N)'!C212,0))</f>
        <v>0</v>
      </c>
      <c r="P212" s="86">
        <f t="shared" ca="1" si="35"/>
        <v>0</v>
      </c>
      <c r="Q212" s="82">
        <f ca="1">IF('Invoer gegevens (N)'!$C$17=E212,I212,IF(C212=0,0,R211))</f>
        <v>0</v>
      </c>
      <c r="R212" s="84">
        <f t="shared" ca="1" si="30"/>
        <v>0</v>
      </c>
      <c r="S212" s="84">
        <f ca="1">IF('Invoer gegevens (N)'!$C$17=E212,M212,IF(C212=0,0,T211))</f>
        <v>0</v>
      </c>
      <c r="T212" s="84">
        <f t="shared" ca="1" si="31"/>
        <v>0</v>
      </c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8"/>
      <c r="AI212" s="71">
        <f ca="1">IF(C212=1,((F212+H212)/2*'Reeksen (N)'!AJ212*12)+(('Invoer gegevens (N)'!$C$10-(F212+H212)/2)*'Reeksen (N)'!AK212*12),0)</f>
        <v>0</v>
      </c>
      <c r="AJ212" s="71">
        <f ca="1">-AI212*'Invoer gegevens (N)'!$F$28</f>
        <v>0</v>
      </c>
      <c r="AK212" s="71">
        <f t="shared" ca="1" si="32"/>
        <v>0</v>
      </c>
      <c r="AL212" s="71">
        <f ca="1">IF(C212=1,(12*((F212+H212)/2)*'Reeksen (N)'!AL212)+(12*('Invoer gegevens (N)'!$C$10-(F212+H212)/2)*'Reeksen (N)'!AM212),0)</f>
        <v>0</v>
      </c>
      <c r="AM212" s="71">
        <f ca="1">-AL212*'Invoer gegevens (N)'!$F$31</f>
        <v>0</v>
      </c>
      <c r="AN212" s="71">
        <f t="shared" ca="1" si="36"/>
        <v>0</v>
      </c>
      <c r="AO212" s="71"/>
      <c r="AP212" s="71"/>
      <c r="AQ212" s="71">
        <f ca="1">-IF(C212=1,('Invoer gegevens (N)'!$C$10*'Invoer gegevens (N)'!$I$33)*'Reeksen (N)'!J212,0)*2</f>
        <v>0</v>
      </c>
      <c r="AR212" s="71">
        <f ca="1">-IF(C212=1,(G212*'Invoer gegevens (N)'!$I$34)*'Reeksen (N)'!J212,0)</f>
        <v>0</v>
      </c>
      <c r="AS212" s="71">
        <f ca="1">-IF(C212=1,'Invoer gegevens (N)'!$C$10*'Invoer gegevens (N)'!$I$35*'Reeksen (N)'!L212,0)</f>
        <v>0</v>
      </c>
      <c r="AT212" s="71">
        <f ca="1">-IF(C212=1,IF(E212='Invoer gegevens (N)'!$C$17,'Invoer gegevens (N)'!$C$11,Q212)*'Reeksen (N)'!S212*'Invoer gegevens (N)'!$C$18*'Reeksen (N)'!P212,0)</f>
        <v>0</v>
      </c>
      <c r="AU212" s="71">
        <f ca="1">-IF(C212=1,'Invoer gegevens (N)'!$C$10*'Invoer gegevens (N)'!$I$36*'Reeksen (N)'!H212,0)</f>
        <v>0</v>
      </c>
      <c r="AV212" s="71">
        <v>0</v>
      </c>
      <c r="AW212" s="71">
        <f t="shared" ca="1" si="37"/>
        <v>0</v>
      </c>
      <c r="AX212" s="71">
        <f ca="1">IF(E212&lt;'Invoer gegevens (N)'!$C$17+15,0,IF(E212&gt;'Invoer gegevens (N)'!$C$17+215,0,AW212))</f>
        <v>0</v>
      </c>
      <c r="AY212" s="71">
        <f ca="1">AX212/(1+'Invoer gegevens (N)'!$F$13)^($AZ212-('Invoer gegevens (N)'!$C$17-'Invoer gegevens (N)'!$C$16))/(1+'Invoer gegevens (N)'!$C$39)^('Invoer gegevens (N)'!$C$17-'Invoer gegevens (N)'!$C$16)</f>
        <v>0</v>
      </c>
      <c r="AZ212" s="68">
        <f ca="1">IF(E212-'Invoer gegevens (N)'!$C$17-14.5&lt;0,0,E212-'Invoer gegevens (N)'!$C$17-14.5)</f>
        <v>192.5</v>
      </c>
    </row>
    <row r="213" spans="2:52" x14ac:dyDescent="0.25">
      <c r="B213" s="70">
        <f t="shared" si="38"/>
        <v>209</v>
      </c>
      <c r="C213" s="67">
        <f ca="1">IF(E213-'Invoer gegevens (N)'!$C$17&lt;0,0,1)</f>
        <v>1</v>
      </c>
      <c r="D213" s="68">
        <f t="shared" si="39"/>
        <v>208.5</v>
      </c>
      <c r="E213" s="69">
        <f ca="1">IF('Invoer gegevens (N)'!$C$16="","",E212+1)</f>
        <v>2227</v>
      </c>
      <c r="F213" s="82">
        <f ca="1">IF('Invoer gegevens (N)'!$C$17=E213,'Invoer gegevens (N)'!$C$10,IF(C213=1,H212,0))</f>
        <v>0</v>
      </c>
      <c r="G213" s="83">
        <f ca="1">IF(C213&gt;=1,F213*'Reeksen (N)'!C213,0)</f>
        <v>0</v>
      </c>
      <c r="H213" s="84">
        <f t="shared" ca="1" si="33"/>
        <v>0</v>
      </c>
      <c r="I213" s="85">
        <f ca="1">IF('Invoer gegevens (N)'!$C$17=E213,'Invoer gegevens (N)'!$C$11,IF(C213=1,L212,0))</f>
        <v>0</v>
      </c>
      <c r="J213" s="86">
        <f ca="1">IF(C213&lt;1,0,IF('Reeksen (N)'!AK213&lt;='Reeksen (N)'!AE213,I213*'Reeksen (N)'!C213,0))</f>
        <v>0</v>
      </c>
      <c r="K213" s="86">
        <f ca="1">IF(C213&lt;1,0,IF('Reeksen (N)'!AK213&gt;'Reeksen (N)'!AE213,I213*'Reeksen (N)'!C213,0))</f>
        <v>0</v>
      </c>
      <c r="L213" s="86">
        <f t="shared" ca="1" si="34"/>
        <v>0</v>
      </c>
      <c r="M213" s="85">
        <f ca="1">IF('Invoer gegevens (N)'!$C$17=E213,'Invoer gegevens (N)'!$C$10-'Invoer gegevens (N)'!$C$11,IF(C213=1,P212,0))</f>
        <v>0</v>
      </c>
      <c r="N213" s="86">
        <f ca="1">IF(C213&lt;1,0,IF('Reeksen (N)'!AK213&lt;='Reeksen (N)'!AE213,M213*'Reeksen (N)'!C213,0))</f>
        <v>0</v>
      </c>
      <c r="O213" s="86">
        <f ca="1">IF(C213&lt;1,0,IF('Reeksen (N)'!AK213&gt;'Reeksen (N)'!AE213,M213*'Reeksen (N)'!C213,0))</f>
        <v>0</v>
      </c>
      <c r="P213" s="86">
        <f t="shared" ca="1" si="35"/>
        <v>0</v>
      </c>
      <c r="Q213" s="82">
        <f ca="1">IF('Invoer gegevens (N)'!$C$17=E213,I213,IF(C213=0,0,R212))</f>
        <v>0</v>
      </c>
      <c r="R213" s="84">
        <f t="shared" ca="1" si="30"/>
        <v>0</v>
      </c>
      <c r="S213" s="84">
        <f ca="1">IF('Invoer gegevens (N)'!$C$17=E213,M213,IF(C213=0,0,T212))</f>
        <v>0</v>
      </c>
      <c r="T213" s="84">
        <f t="shared" ca="1" si="31"/>
        <v>0</v>
      </c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8"/>
      <c r="AI213" s="71">
        <f ca="1">IF(C213=1,((F213+H213)/2*'Reeksen (N)'!AJ213*12)+(('Invoer gegevens (N)'!$C$10-(F213+H213)/2)*'Reeksen (N)'!AK213*12),0)</f>
        <v>0</v>
      </c>
      <c r="AJ213" s="71">
        <f ca="1">-AI213*'Invoer gegevens (N)'!$F$28</f>
        <v>0</v>
      </c>
      <c r="AK213" s="71">
        <f t="shared" ca="1" si="32"/>
        <v>0</v>
      </c>
      <c r="AL213" s="71">
        <f ca="1">IF(C213=1,(12*((F213+H213)/2)*'Reeksen (N)'!AL213)+(12*('Invoer gegevens (N)'!$C$10-(F213+H213)/2)*'Reeksen (N)'!AM213),0)</f>
        <v>0</v>
      </c>
      <c r="AM213" s="71">
        <f ca="1">-AL213*'Invoer gegevens (N)'!$F$31</f>
        <v>0</v>
      </c>
      <c r="AN213" s="71">
        <f t="shared" ca="1" si="36"/>
        <v>0</v>
      </c>
      <c r="AO213" s="71"/>
      <c r="AP213" s="71"/>
      <c r="AQ213" s="71">
        <f ca="1">-IF(C213=1,('Invoer gegevens (N)'!$C$10*'Invoer gegevens (N)'!$I$33)*'Reeksen (N)'!J213,0)*2</f>
        <v>0</v>
      </c>
      <c r="AR213" s="71">
        <f ca="1">-IF(C213=1,(G213*'Invoer gegevens (N)'!$I$34)*'Reeksen (N)'!J213,0)</f>
        <v>0</v>
      </c>
      <c r="AS213" s="71">
        <f ca="1">-IF(C213=1,'Invoer gegevens (N)'!$C$10*'Invoer gegevens (N)'!$I$35*'Reeksen (N)'!L213,0)</f>
        <v>0</v>
      </c>
      <c r="AT213" s="71">
        <f ca="1">-IF(C213=1,IF(E213='Invoer gegevens (N)'!$C$17,'Invoer gegevens (N)'!$C$11,Q213)*'Reeksen (N)'!S213*'Invoer gegevens (N)'!$C$18*'Reeksen (N)'!P213,0)</f>
        <v>0</v>
      </c>
      <c r="AU213" s="71">
        <f ca="1">-IF(C213=1,'Invoer gegevens (N)'!$C$10*'Invoer gegevens (N)'!$I$36*'Reeksen (N)'!H213,0)</f>
        <v>0</v>
      </c>
      <c r="AV213" s="71">
        <v>0</v>
      </c>
      <c r="AW213" s="71">
        <f t="shared" ca="1" si="37"/>
        <v>0</v>
      </c>
      <c r="AX213" s="71">
        <f ca="1">IF(E213&lt;'Invoer gegevens (N)'!$C$17+15,0,IF(E213&gt;'Invoer gegevens (N)'!$C$17+215,0,AW213))</f>
        <v>0</v>
      </c>
      <c r="AY213" s="71">
        <f ca="1">AX213/(1+'Invoer gegevens (N)'!$F$13)^($AZ213-('Invoer gegevens (N)'!$C$17-'Invoer gegevens (N)'!$C$16))/(1+'Invoer gegevens (N)'!$C$39)^('Invoer gegevens (N)'!$C$17-'Invoer gegevens (N)'!$C$16)</f>
        <v>0</v>
      </c>
      <c r="AZ213" s="68">
        <f ca="1">IF(E213-'Invoer gegevens (N)'!$C$17-14.5&lt;0,0,E213-'Invoer gegevens (N)'!$C$17-14.5)</f>
        <v>193.5</v>
      </c>
    </row>
    <row r="214" spans="2:52" x14ac:dyDescent="0.25">
      <c r="B214" s="70">
        <f t="shared" si="38"/>
        <v>210</v>
      </c>
      <c r="C214" s="67">
        <f ca="1">IF(E214-'Invoer gegevens (N)'!$C$17&lt;0,0,1)</f>
        <v>1</v>
      </c>
      <c r="D214" s="68">
        <f t="shared" si="39"/>
        <v>209.5</v>
      </c>
      <c r="E214" s="69">
        <f ca="1">IF('Invoer gegevens (N)'!$C$16="","",E213+1)</f>
        <v>2228</v>
      </c>
      <c r="F214" s="82">
        <f ca="1">IF('Invoer gegevens (N)'!$C$17=E214,'Invoer gegevens (N)'!$C$10,IF(C214=1,H213,0))</f>
        <v>0</v>
      </c>
      <c r="G214" s="83">
        <f ca="1">IF(C214&gt;=1,F214*'Reeksen (N)'!C214,0)</f>
        <v>0</v>
      </c>
      <c r="H214" s="84">
        <f t="shared" ca="1" si="33"/>
        <v>0</v>
      </c>
      <c r="I214" s="85">
        <f ca="1">IF('Invoer gegevens (N)'!$C$17=E214,'Invoer gegevens (N)'!$C$11,IF(C214=1,L213,0))</f>
        <v>0</v>
      </c>
      <c r="J214" s="86">
        <f ca="1">IF(C214&lt;1,0,IF('Reeksen (N)'!AK214&lt;='Reeksen (N)'!AE214,I214*'Reeksen (N)'!C214,0))</f>
        <v>0</v>
      </c>
      <c r="K214" s="86">
        <f ca="1">IF(C214&lt;1,0,IF('Reeksen (N)'!AK214&gt;'Reeksen (N)'!AE214,I214*'Reeksen (N)'!C214,0))</f>
        <v>0</v>
      </c>
      <c r="L214" s="86">
        <f t="shared" ca="1" si="34"/>
        <v>0</v>
      </c>
      <c r="M214" s="85">
        <f ca="1">IF('Invoer gegevens (N)'!$C$17=E214,'Invoer gegevens (N)'!$C$10-'Invoer gegevens (N)'!$C$11,IF(C214=1,P213,0))</f>
        <v>0</v>
      </c>
      <c r="N214" s="86">
        <f ca="1">IF(C214&lt;1,0,IF('Reeksen (N)'!AK214&lt;='Reeksen (N)'!AE214,M214*'Reeksen (N)'!C214,0))</f>
        <v>0</v>
      </c>
      <c r="O214" s="86">
        <f ca="1">IF(C214&lt;1,0,IF('Reeksen (N)'!AK214&gt;'Reeksen (N)'!AE214,M214*'Reeksen (N)'!C214,0))</f>
        <v>0</v>
      </c>
      <c r="P214" s="86">
        <f t="shared" ca="1" si="35"/>
        <v>0</v>
      </c>
      <c r="Q214" s="82">
        <f ca="1">IF('Invoer gegevens (N)'!$C$17=E214,I214,IF(C214=0,0,R213))</f>
        <v>0</v>
      </c>
      <c r="R214" s="84">
        <f t="shared" ca="1" si="30"/>
        <v>0</v>
      </c>
      <c r="S214" s="84">
        <f ca="1">IF('Invoer gegevens (N)'!$C$17=E214,M214,IF(C214=0,0,T213))</f>
        <v>0</v>
      </c>
      <c r="T214" s="84">
        <f t="shared" ca="1" si="31"/>
        <v>0</v>
      </c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8"/>
      <c r="AI214" s="71">
        <f ca="1">IF(C214=1,((F214+H214)/2*'Reeksen (N)'!AJ214*12)+(('Invoer gegevens (N)'!$C$10-(F214+H214)/2)*'Reeksen (N)'!AK214*12),0)</f>
        <v>0</v>
      </c>
      <c r="AJ214" s="71">
        <f ca="1">-AI214*'Invoer gegevens (N)'!$F$28</f>
        <v>0</v>
      </c>
      <c r="AK214" s="71">
        <f t="shared" ca="1" si="32"/>
        <v>0</v>
      </c>
      <c r="AL214" s="71">
        <f ca="1">IF(C214=1,(12*((F214+H214)/2)*'Reeksen (N)'!AL214)+(12*('Invoer gegevens (N)'!$C$10-(F214+H214)/2)*'Reeksen (N)'!AM214),0)</f>
        <v>0</v>
      </c>
      <c r="AM214" s="71">
        <f ca="1">-AL214*'Invoer gegevens (N)'!$F$31</f>
        <v>0</v>
      </c>
      <c r="AN214" s="71">
        <f t="shared" ca="1" si="36"/>
        <v>0</v>
      </c>
      <c r="AO214" s="71"/>
      <c r="AP214" s="71"/>
      <c r="AQ214" s="71">
        <f ca="1">-IF(C214=1,('Invoer gegevens (N)'!$C$10*'Invoer gegevens (N)'!$I$33)*'Reeksen (N)'!J214,0)*2</f>
        <v>0</v>
      </c>
      <c r="AR214" s="71">
        <f ca="1">-IF(C214=1,(G214*'Invoer gegevens (N)'!$I$34)*'Reeksen (N)'!J214,0)</f>
        <v>0</v>
      </c>
      <c r="AS214" s="71">
        <f ca="1">-IF(C214=1,'Invoer gegevens (N)'!$C$10*'Invoer gegevens (N)'!$I$35*'Reeksen (N)'!L214,0)</f>
        <v>0</v>
      </c>
      <c r="AT214" s="71">
        <f ca="1">-IF(C214=1,IF(E214='Invoer gegevens (N)'!$C$17,'Invoer gegevens (N)'!$C$11,Q214)*'Reeksen (N)'!S214*'Invoer gegevens (N)'!$C$18*'Reeksen (N)'!P214,0)</f>
        <v>0</v>
      </c>
      <c r="AU214" s="71">
        <f ca="1">-IF(C214=1,'Invoer gegevens (N)'!$C$10*'Invoer gegevens (N)'!$I$36*'Reeksen (N)'!H214,0)</f>
        <v>0</v>
      </c>
      <c r="AV214" s="71">
        <v>0</v>
      </c>
      <c r="AW214" s="71">
        <f t="shared" ca="1" si="37"/>
        <v>0</v>
      </c>
      <c r="AX214" s="71">
        <f ca="1">IF(E214&lt;'Invoer gegevens (N)'!$C$17+15,0,IF(E214&gt;'Invoer gegevens (N)'!$C$17+215,0,AW214))</f>
        <v>0</v>
      </c>
      <c r="AY214" s="71">
        <f ca="1">AX214/(1+'Invoer gegevens (N)'!$F$13)^($AZ214-('Invoer gegevens (N)'!$C$17-'Invoer gegevens (N)'!$C$16))/(1+'Invoer gegevens (N)'!$C$39)^('Invoer gegevens (N)'!$C$17-'Invoer gegevens (N)'!$C$16)</f>
        <v>0</v>
      </c>
      <c r="AZ214" s="68">
        <f ca="1">IF(E214-'Invoer gegevens (N)'!$C$17-14.5&lt;0,0,E214-'Invoer gegevens (N)'!$C$17-14.5)</f>
        <v>194.5</v>
      </c>
    </row>
    <row r="215" spans="2:52" x14ac:dyDescent="0.25">
      <c r="B215" s="70">
        <f t="shared" si="38"/>
        <v>211</v>
      </c>
      <c r="C215" s="67">
        <f ca="1">IF(E215-'Invoer gegevens (N)'!$C$17&lt;0,0,1)</f>
        <v>1</v>
      </c>
      <c r="D215" s="68">
        <f t="shared" si="39"/>
        <v>210.5</v>
      </c>
      <c r="E215" s="69">
        <f ca="1">IF('Invoer gegevens (N)'!$C$16="","",E214+1)</f>
        <v>2229</v>
      </c>
      <c r="F215" s="82">
        <f ca="1">IF('Invoer gegevens (N)'!$C$17=E215,'Invoer gegevens (N)'!$C$10,IF(C215=1,H214,0))</f>
        <v>0</v>
      </c>
      <c r="G215" s="83">
        <f ca="1">IF(C215&gt;=1,F215*'Reeksen (N)'!C215,0)</f>
        <v>0</v>
      </c>
      <c r="H215" s="84">
        <f t="shared" ca="1" si="33"/>
        <v>0</v>
      </c>
      <c r="I215" s="85">
        <f ca="1">IF('Invoer gegevens (N)'!$C$17=E215,'Invoer gegevens (N)'!$C$11,IF(C215=1,L214,0))</f>
        <v>0</v>
      </c>
      <c r="J215" s="86">
        <f ca="1">IF(C215&lt;1,0,IF('Reeksen (N)'!AK215&lt;='Reeksen (N)'!AE215,I215*'Reeksen (N)'!C215,0))</f>
        <v>0</v>
      </c>
      <c r="K215" s="86">
        <f ca="1">IF(C215&lt;1,0,IF('Reeksen (N)'!AK215&gt;'Reeksen (N)'!AE215,I215*'Reeksen (N)'!C215,0))</f>
        <v>0</v>
      </c>
      <c r="L215" s="86">
        <f t="shared" ca="1" si="34"/>
        <v>0</v>
      </c>
      <c r="M215" s="85">
        <f ca="1">IF('Invoer gegevens (N)'!$C$17=E215,'Invoer gegevens (N)'!$C$10-'Invoer gegevens (N)'!$C$11,IF(C215=1,P214,0))</f>
        <v>0</v>
      </c>
      <c r="N215" s="86">
        <f ca="1">IF(C215&lt;1,0,IF('Reeksen (N)'!AK215&lt;='Reeksen (N)'!AE215,M215*'Reeksen (N)'!C215,0))</f>
        <v>0</v>
      </c>
      <c r="O215" s="86">
        <f ca="1">IF(C215&lt;1,0,IF('Reeksen (N)'!AK215&gt;'Reeksen (N)'!AE215,M215*'Reeksen (N)'!C215,0))</f>
        <v>0</v>
      </c>
      <c r="P215" s="86">
        <f t="shared" ca="1" si="35"/>
        <v>0</v>
      </c>
      <c r="Q215" s="82">
        <f ca="1">IF('Invoer gegevens (N)'!$C$17=E215,I215,IF(C215=0,0,R214))</f>
        <v>0</v>
      </c>
      <c r="R215" s="84">
        <f t="shared" ca="1" si="30"/>
        <v>0</v>
      </c>
      <c r="S215" s="84">
        <f ca="1">IF('Invoer gegevens (N)'!$C$17=E215,M215,IF(C215=0,0,T214))</f>
        <v>0</v>
      </c>
      <c r="T215" s="84">
        <f t="shared" ca="1" si="31"/>
        <v>0</v>
      </c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8"/>
      <c r="AI215" s="71">
        <f ca="1">IF(C215=1,((F215+H215)/2*'Reeksen (N)'!AJ215*12)+(('Invoer gegevens (N)'!$C$10-(F215+H215)/2)*'Reeksen (N)'!AK215*12),0)</f>
        <v>0</v>
      </c>
      <c r="AJ215" s="71">
        <f ca="1">-AI215*'Invoer gegevens (N)'!$F$28</f>
        <v>0</v>
      </c>
      <c r="AK215" s="71">
        <f t="shared" ca="1" si="32"/>
        <v>0</v>
      </c>
      <c r="AL215" s="71">
        <f ca="1">IF(C215=1,(12*((F215+H215)/2)*'Reeksen (N)'!AL215)+(12*('Invoer gegevens (N)'!$C$10-(F215+H215)/2)*'Reeksen (N)'!AM215),0)</f>
        <v>0</v>
      </c>
      <c r="AM215" s="71">
        <f ca="1">-AL215*'Invoer gegevens (N)'!$F$31</f>
        <v>0</v>
      </c>
      <c r="AN215" s="71">
        <f t="shared" ca="1" si="36"/>
        <v>0</v>
      </c>
      <c r="AO215" s="71"/>
      <c r="AP215" s="71"/>
      <c r="AQ215" s="71">
        <f ca="1">-IF(C215=1,('Invoer gegevens (N)'!$C$10*'Invoer gegevens (N)'!$I$33)*'Reeksen (N)'!J215,0)*2</f>
        <v>0</v>
      </c>
      <c r="AR215" s="71">
        <f ca="1">-IF(C215=1,(G215*'Invoer gegevens (N)'!$I$34)*'Reeksen (N)'!J215,0)</f>
        <v>0</v>
      </c>
      <c r="AS215" s="71">
        <f ca="1">-IF(C215=1,'Invoer gegevens (N)'!$C$10*'Invoer gegevens (N)'!$I$35*'Reeksen (N)'!L215,0)</f>
        <v>0</v>
      </c>
      <c r="AT215" s="71">
        <f ca="1">-IF(C215=1,IF(E215='Invoer gegevens (N)'!$C$17,'Invoer gegevens (N)'!$C$11,Q215)*'Reeksen (N)'!S215*'Invoer gegevens (N)'!$C$18*'Reeksen (N)'!P215,0)</f>
        <v>0</v>
      </c>
      <c r="AU215" s="71">
        <f ca="1">-IF(C215=1,'Invoer gegevens (N)'!$C$10*'Invoer gegevens (N)'!$I$36*'Reeksen (N)'!H215,0)</f>
        <v>0</v>
      </c>
      <c r="AV215" s="71">
        <v>0</v>
      </c>
      <c r="AW215" s="71">
        <f t="shared" ca="1" si="37"/>
        <v>0</v>
      </c>
      <c r="AX215" s="71">
        <f ca="1">IF(E215&lt;'Invoer gegevens (N)'!$C$17+15,0,IF(E215&gt;'Invoer gegevens (N)'!$C$17+215,0,AW215))</f>
        <v>0</v>
      </c>
      <c r="AY215" s="71">
        <f ca="1">AX215/(1+'Invoer gegevens (N)'!$F$13)^($AZ215-('Invoer gegevens (N)'!$C$17-'Invoer gegevens (N)'!$C$16))/(1+'Invoer gegevens (N)'!$C$39)^('Invoer gegevens (N)'!$C$17-'Invoer gegevens (N)'!$C$16)</f>
        <v>0</v>
      </c>
      <c r="AZ215" s="68">
        <f ca="1">IF(E215-'Invoer gegevens (N)'!$C$17-14.5&lt;0,0,E215-'Invoer gegevens (N)'!$C$17-14.5)</f>
        <v>195.5</v>
      </c>
    </row>
    <row r="216" spans="2:52" x14ac:dyDescent="0.25">
      <c r="B216" s="70">
        <f t="shared" si="38"/>
        <v>212</v>
      </c>
      <c r="C216" s="67">
        <f ca="1">IF(E216-'Invoer gegevens (N)'!$C$17&lt;0,0,1)</f>
        <v>1</v>
      </c>
      <c r="D216" s="68">
        <f t="shared" si="39"/>
        <v>211.5</v>
      </c>
      <c r="E216" s="69">
        <f ca="1">IF('Invoer gegevens (N)'!$C$16="","",E215+1)</f>
        <v>2230</v>
      </c>
      <c r="F216" s="82">
        <f ca="1">IF('Invoer gegevens (N)'!$C$17=E216,'Invoer gegevens (N)'!$C$10,IF(C216=1,H215,0))</f>
        <v>0</v>
      </c>
      <c r="G216" s="83">
        <f ca="1">IF(C216&gt;=1,F216*'Reeksen (N)'!C216,0)</f>
        <v>0</v>
      </c>
      <c r="H216" s="84">
        <f t="shared" ca="1" si="33"/>
        <v>0</v>
      </c>
      <c r="I216" s="85">
        <f ca="1">IF('Invoer gegevens (N)'!$C$17=E216,'Invoer gegevens (N)'!$C$11,IF(C216=1,L215,0))</f>
        <v>0</v>
      </c>
      <c r="J216" s="86">
        <f ca="1">IF(C216&lt;1,0,IF('Reeksen (N)'!AK216&lt;='Reeksen (N)'!AE216,I216*'Reeksen (N)'!C216,0))</f>
        <v>0</v>
      </c>
      <c r="K216" s="86">
        <f ca="1">IF(C216&lt;1,0,IF('Reeksen (N)'!AK216&gt;'Reeksen (N)'!AE216,I216*'Reeksen (N)'!C216,0))</f>
        <v>0</v>
      </c>
      <c r="L216" s="86">
        <f t="shared" ca="1" si="34"/>
        <v>0</v>
      </c>
      <c r="M216" s="85">
        <f ca="1">IF('Invoer gegevens (N)'!$C$17=E216,'Invoer gegevens (N)'!$C$10-'Invoer gegevens (N)'!$C$11,IF(C216=1,P215,0))</f>
        <v>0</v>
      </c>
      <c r="N216" s="86">
        <f ca="1">IF(C216&lt;1,0,IF('Reeksen (N)'!AK216&lt;='Reeksen (N)'!AE216,M216*'Reeksen (N)'!C216,0))</f>
        <v>0</v>
      </c>
      <c r="O216" s="86">
        <f ca="1">IF(C216&lt;1,0,IF('Reeksen (N)'!AK216&gt;'Reeksen (N)'!AE216,M216*'Reeksen (N)'!C216,0))</f>
        <v>0</v>
      </c>
      <c r="P216" s="86">
        <f t="shared" ca="1" si="35"/>
        <v>0</v>
      </c>
      <c r="Q216" s="82">
        <f ca="1">IF('Invoer gegevens (N)'!$C$17=E216,I216,IF(C216=0,0,R215))</f>
        <v>0</v>
      </c>
      <c r="R216" s="84">
        <f t="shared" ca="1" si="30"/>
        <v>0</v>
      </c>
      <c r="S216" s="84">
        <f ca="1">IF('Invoer gegevens (N)'!$C$17=E216,M216,IF(C216=0,0,T215))</f>
        <v>0</v>
      </c>
      <c r="T216" s="84">
        <f t="shared" ca="1" si="31"/>
        <v>0</v>
      </c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8"/>
      <c r="AI216" s="71">
        <f ca="1">IF(C216=1,((F216+H216)/2*'Reeksen (N)'!AJ216*12)+(('Invoer gegevens (N)'!$C$10-(F216+H216)/2)*'Reeksen (N)'!AK216*12),0)</f>
        <v>0</v>
      </c>
      <c r="AJ216" s="71">
        <f ca="1">-AI216*'Invoer gegevens (N)'!$F$28</f>
        <v>0</v>
      </c>
      <c r="AK216" s="71">
        <f t="shared" ca="1" si="32"/>
        <v>0</v>
      </c>
      <c r="AL216" s="71">
        <f ca="1">IF(C216=1,(12*((F216+H216)/2)*'Reeksen (N)'!AL216)+(12*('Invoer gegevens (N)'!$C$10-(F216+H216)/2)*'Reeksen (N)'!AM216),0)</f>
        <v>0</v>
      </c>
      <c r="AM216" s="71">
        <f ca="1">-AL216*'Invoer gegevens (N)'!$F$31</f>
        <v>0</v>
      </c>
      <c r="AN216" s="71">
        <f t="shared" ca="1" si="36"/>
        <v>0</v>
      </c>
      <c r="AO216" s="71"/>
      <c r="AP216" s="71"/>
      <c r="AQ216" s="71">
        <f ca="1">-IF(C216=1,('Invoer gegevens (N)'!$C$10*'Invoer gegevens (N)'!$I$33)*'Reeksen (N)'!J216,0)*2</f>
        <v>0</v>
      </c>
      <c r="AR216" s="71">
        <f ca="1">-IF(C216=1,(G216*'Invoer gegevens (N)'!$I$34)*'Reeksen (N)'!J216,0)</f>
        <v>0</v>
      </c>
      <c r="AS216" s="71">
        <f ca="1">-IF(C216=1,'Invoer gegevens (N)'!$C$10*'Invoer gegevens (N)'!$I$35*'Reeksen (N)'!L216,0)</f>
        <v>0</v>
      </c>
      <c r="AT216" s="71">
        <f ca="1">-IF(C216=1,IF(E216='Invoer gegevens (N)'!$C$17,'Invoer gegevens (N)'!$C$11,Q216)*'Reeksen (N)'!S216*'Invoer gegevens (N)'!$C$18*'Reeksen (N)'!P216,0)</f>
        <v>0</v>
      </c>
      <c r="AU216" s="71">
        <f ca="1">-IF(C216=1,'Invoer gegevens (N)'!$C$10*'Invoer gegevens (N)'!$I$36*'Reeksen (N)'!H216,0)</f>
        <v>0</v>
      </c>
      <c r="AV216" s="71">
        <v>0</v>
      </c>
      <c r="AW216" s="71">
        <f t="shared" ca="1" si="37"/>
        <v>0</v>
      </c>
      <c r="AX216" s="71">
        <f ca="1">IF(E216&lt;'Invoer gegevens (N)'!$C$17+15,0,IF(E216&gt;'Invoer gegevens (N)'!$C$17+215,0,AW216))</f>
        <v>0</v>
      </c>
      <c r="AY216" s="71">
        <f ca="1">AX216/(1+'Invoer gegevens (N)'!$F$13)^($AZ216-('Invoer gegevens (N)'!$C$17-'Invoer gegevens (N)'!$C$16))/(1+'Invoer gegevens (N)'!$C$39)^('Invoer gegevens (N)'!$C$17-'Invoer gegevens (N)'!$C$16)</f>
        <v>0</v>
      </c>
      <c r="AZ216" s="68">
        <f ca="1">IF(E216-'Invoer gegevens (N)'!$C$17-14.5&lt;0,0,E216-'Invoer gegevens (N)'!$C$17-14.5)</f>
        <v>196.5</v>
      </c>
    </row>
    <row r="217" spans="2:52" x14ac:dyDescent="0.25">
      <c r="B217" s="70">
        <f t="shared" si="38"/>
        <v>213</v>
      </c>
      <c r="C217" s="67">
        <f ca="1">IF(E217-'Invoer gegevens (N)'!$C$17&lt;0,0,1)</f>
        <v>1</v>
      </c>
      <c r="D217" s="68">
        <f t="shared" si="39"/>
        <v>212.5</v>
      </c>
      <c r="E217" s="69">
        <f ca="1">IF('Invoer gegevens (N)'!$C$16="","",E216+1)</f>
        <v>2231</v>
      </c>
      <c r="F217" s="82">
        <f ca="1">IF('Invoer gegevens (N)'!$C$17=E217,'Invoer gegevens (N)'!$C$10,IF(C217=1,H216,0))</f>
        <v>0</v>
      </c>
      <c r="G217" s="83">
        <f ca="1">IF(C217&gt;=1,F217*'Reeksen (N)'!C217,0)</f>
        <v>0</v>
      </c>
      <c r="H217" s="84">
        <f t="shared" ca="1" si="33"/>
        <v>0</v>
      </c>
      <c r="I217" s="85">
        <f ca="1">IF('Invoer gegevens (N)'!$C$17=E217,'Invoer gegevens (N)'!$C$11,IF(C217=1,L216,0))</f>
        <v>0</v>
      </c>
      <c r="J217" s="86">
        <f ca="1">IF(C217&lt;1,0,IF('Reeksen (N)'!AK217&lt;='Reeksen (N)'!AE217,I217*'Reeksen (N)'!C217,0))</f>
        <v>0</v>
      </c>
      <c r="K217" s="86">
        <f ca="1">IF(C217&lt;1,0,IF('Reeksen (N)'!AK217&gt;'Reeksen (N)'!AE217,I217*'Reeksen (N)'!C217,0))</f>
        <v>0</v>
      </c>
      <c r="L217" s="86">
        <f t="shared" ca="1" si="34"/>
        <v>0</v>
      </c>
      <c r="M217" s="85">
        <f ca="1">IF('Invoer gegevens (N)'!$C$17=E217,'Invoer gegevens (N)'!$C$10-'Invoer gegevens (N)'!$C$11,IF(C217=1,P216,0))</f>
        <v>0</v>
      </c>
      <c r="N217" s="86">
        <f ca="1">IF(C217&lt;1,0,IF('Reeksen (N)'!AK217&lt;='Reeksen (N)'!AE217,M217*'Reeksen (N)'!C217,0))</f>
        <v>0</v>
      </c>
      <c r="O217" s="86">
        <f ca="1">IF(C217&lt;1,0,IF('Reeksen (N)'!AK217&gt;'Reeksen (N)'!AE217,M217*'Reeksen (N)'!C217,0))</f>
        <v>0</v>
      </c>
      <c r="P217" s="86">
        <f t="shared" ca="1" si="35"/>
        <v>0</v>
      </c>
      <c r="Q217" s="82">
        <f ca="1">IF('Invoer gegevens (N)'!$C$17=E217,I217,IF(C217=0,0,R216))</f>
        <v>0</v>
      </c>
      <c r="R217" s="84">
        <f t="shared" ca="1" si="30"/>
        <v>0</v>
      </c>
      <c r="S217" s="84">
        <f ca="1">IF('Invoer gegevens (N)'!$C$17=E217,M217,IF(C217=0,0,T216))</f>
        <v>0</v>
      </c>
      <c r="T217" s="84">
        <f t="shared" ca="1" si="31"/>
        <v>0</v>
      </c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8"/>
      <c r="AI217" s="71">
        <f ca="1">IF(C217=1,((F217+H217)/2*'Reeksen (N)'!AJ217*12)+(('Invoer gegevens (N)'!$C$10-(F217+H217)/2)*'Reeksen (N)'!AK217*12),0)</f>
        <v>0</v>
      </c>
      <c r="AJ217" s="71">
        <f ca="1">-AI217*'Invoer gegevens (N)'!$F$28</f>
        <v>0</v>
      </c>
      <c r="AK217" s="71">
        <f t="shared" ca="1" si="32"/>
        <v>0</v>
      </c>
      <c r="AL217" s="71">
        <f ca="1">IF(C217=1,(12*((F217+H217)/2)*'Reeksen (N)'!AL217)+(12*('Invoer gegevens (N)'!$C$10-(F217+H217)/2)*'Reeksen (N)'!AM217),0)</f>
        <v>0</v>
      </c>
      <c r="AM217" s="71">
        <f ca="1">-AL217*'Invoer gegevens (N)'!$F$31</f>
        <v>0</v>
      </c>
      <c r="AN217" s="71">
        <f t="shared" ca="1" si="36"/>
        <v>0</v>
      </c>
      <c r="AO217" s="71"/>
      <c r="AP217" s="71"/>
      <c r="AQ217" s="71">
        <f ca="1">-IF(C217=1,('Invoer gegevens (N)'!$C$10*'Invoer gegevens (N)'!$I$33)*'Reeksen (N)'!J217,0)*2</f>
        <v>0</v>
      </c>
      <c r="AR217" s="71">
        <f ca="1">-IF(C217=1,(G217*'Invoer gegevens (N)'!$I$34)*'Reeksen (N)'!J217,0)</f>
        <v>0</v>
      </c>
      <c r="AS217" s="71">
        <f ca="1">-IF(C217=1,'Invoer gegevens (N)'!$C$10*'Invoer gegevens (N)'!$I$35*'Reeksen (N)'!L217,0)</f>
        <v>0</v>
      </c>
      <c r="AT217" s="71">
        <f ca="1">-IF(C217=1,IF(E217='Invoer gegevens (N)'!$C$17,'Invoer gegevens (N)'!$C$11,Q217)*'Reeksen (N)'!S217*'Invoer gegevens (N)'!$C$18*'Reeksen (N)'!P217,0)</f>
        <v>0</v>
      </c>
      <c r="AU217" s="71">
        <f ca="1">-IF(C217=1,'Invoer gegevens (N)'!$C$10*'Invoer gegevens (N)'!$I$36*'Reeksen (N)'!H217,0)</f>
        <v>0</v>
      </c>
      <c r="AV217" s="71">
        <v>0</v>
      </c>
      <c r="AW217" s="71">
        <f t="shared" ca="1" si="37"/>
        <v>0</v>
      </c>
      <c r="AX217" s="71">
        <f ca="1">IF(E217&lt;'Invoer gegevens (N)'!$C$17+15,0,IF(E217&gt;'Invoer gegevens (N)'!$C$17+215,0,AW217))</f>
        <v>0</v>
      </c>
      <c r="AY217" s="71">
        <f ca="1">AX217/(1+'Invoer gegevens (N)'!$F$13)^($AZ217-('Invoer gegevens (N)'!$C$17-'Invoer gegevens (N)'!$C$16))/(1+'Invoer gegevens (N)'!$C$39)^('Invoer gegevens (N)'!$C$17-'Invoer gegevens (N)'!$C$16)</f>
        <v>0</v>
      </c>
      <c r="AZ217" s="68">
        <f ca="1">IF(E217-'Invoer gegevens (N)'!$C$17-14.5&lt;0,0,E217-'Invoer gegevens (N)'!$C$17-14.5)</f>
        <v>197.5</v>
      </c>
    </row>
    <row r="218" spans="2:52" x14ac:dyDescent="0.25">
      <c r="B218" s="70">
        <f t="shared" si="38"/>
        <v>214</v>
      </c>
      <c r="C218" s="67">
        <f ca="1">IF(E218-'Invoer gegevens (N)'!$C$17&lt;0,0,1)</f>
        <v>1</v>
      </c>
      <c r="D218" s="68">
        <f t="shared" si="39"/>
        <v>213.5</v>
      </c>
      <c r="E218" s="69">
        <f ca="1">IF('Invoer gegevens (N)'!$C$16="","",E217+1)</f>
        <v>2232</v>
      </c>
      <c r="F218" s="82">
        <f ca="1">IF('Invoer gegevens (N)'!$C$17=E218,'Invoer gegevens (N)'!$C$10,IF(C218=1,H217,0))</f>
        <v>0</v>
      </c>
      <c r="G218" s="83">
        <f ca="1">IF(C218&gt;=1,F218*'Reeksen (N)'!C218,0)</f>
        <v>0</v>
      </c>
      <c r="H218" s="84">
        <f t="shared" ca="1" si="33"/>
        <v>0</v>
      </c>
      <c r="I218" s="85">
        <f ca="1">IF('Invoer gegevens (N)'!$C$17=E218,'Invoer gegevens (N)'!$C$11,IF(C218=1,L217,0))</f>
        <v>0</v>
      </c>
      <c r="J218" s="86">
        <f ca="1">IF(C218&lt;1,0,IF('Reeksen (N)'!AK218&lt;='Reeksen (N)'!AE218,I218*'Reeksen (N)'!C218,0))</f>
        <v>0</v>
      </c>
      <c r="K218" s="86">
        <f ca="1">IF(C218&lt;1,0,IF('Reeksen (N)'!AK218&gt;'Reeksen (N)'!AE218,I218*'Reeksen (N)'!C218,0))</f>
        <v>0</v>
      </c>
      <c r="L218" s="86">
        <f t="shared" ca="1" si="34"/>
        <v>0</v>
      </c>
      <c r="M218" s="85">
        <f ca="1">IF('Invoer gegevens (N)'!$C$17=E218,'Invoer gegevens (N)'!$C$10-'Invoer gegevens (N)'!$C$11,IF(C218=1,P217,0))</f>
        <v>0</v>
      </c>
      <c r="N218" s="86">
        <f ca="1">IF(C218&lt;1,0,IF('Reeksen (N)'!AK218&lt;='Reeksen (N)'!AE218,M218*'Reeksen (N)'!C218,0))</f>
        <v>0</v>
      </c>
      <c r="O218" s="86">
        <f ca="1">IF(C218&lt;1,0,IF('Reeksen (N)'!AK218&gt;'Reeksen (N)'!AE218,M218*'Reeksen (N)'!C218,0))</f>
        <v>0</v>
      </c>
      <c r="P218" s="86">
        <f t="shared" ca="1" si="35"/>
        <v>0</v>
      </c>
      <c r="Q218" s="82">
        <f ca="1">IF('Invoer gegevens (N)'!$C$17=E218,I218,IF(C218=0,0,R217))</f>
        <v>0</v>
      </c>
      <c r="R218" s="84">
        <f t="shared" ca="1" si="30"/>
        <v>0</v>
      </c>
      <c r="S218" s="84">
        <f ca="1">IF('Invoer gegevens (N)'!$C$17=E218,M218,IF(C218=0,0,T217))</f>
        <v>0</v>
      </c>
      <c r="T218" s="84">
        <f t="shared" ca="1" si="31"/>
        <v>0</v>
      </c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8"/>
      <c r="AI218" s="71">
        <f ca="1">IF(C218=1,((F218+H218)/2*'Reeksen (N)'!AJ218*12)+(('Invoer gegevens (N)'!$C$10-(F218+H218)/2)*'Reeksen (N)'!AK218*12),0)</f>
        <v>0</v>
      </c>
      <c r="AJ218" s="71">
        <f ca="1">-AI218*'Invoer gegevens (N)'!$F$28</f>
        <v>0</v>
      </c>
      <c r="AK218" s="71">
        <f t="shared" ca="1" si="32"/>
        <v>0</v>
      </c>
      <c r="AL218" s="71">
        <f ca="1">IF(C218=1,(12*((F218+H218)/2)*'Reeksen (N)'!AL218)+(12*('Invoer gegevens (N)'!$C$10-(F218+H218)/2)*'Reeksen (N)'!AM218),0)</f>
        <v>0</v>
      </c>
      <c r="AM218" s="71">
        <f ca="1">-AL218*'Invoer gegevens (N)'!$F$31</f>
        <v>0</v>
      </c>
      <c r="AN218" s="71">
        <f t="shared" ca="1" si="36"/>
        <v>0</v>
      </c>
      <c r="AO218" s="71"/>
      <c r="AP218" s="71"/>
      <c r="AQ218" s="71">
        <f ca="1">-IF(C218=1,('Invoer gegevens (N)'!$C$10*'Invoer gegevens (N)'!$I$33)*'Reeksen (N)'!J218,0)*2</f>
        <v>0</v>
      </c>
      <c r="AR218" s="71">
        <f ca="1">-IF(C218=1,(G218*'Invoer gegevens (N)'!$I$34)*'Reeksen (N)'!J218,0)</f>
        <v>0</v>
      </c>
      <c r="AS218" s="71">
        <f ca="1">-IF(C218=1,'Invoer gegevens (N)'!$C$10*'Invoer gegevens (N)'!$I$35*'Reeksen (N)'!L218,0)</f>
        <v>0</v>
      </c>
      <c r="AT218" s="71">
        <f ca="1">-IF(C218=1,IF(E218='Invoer gegevens (N)'!$C$17,'Invoer gegevens (N)'!$C$11,Q218)*'Reeksen (N)'!S218*'Invoer gegevens (N)'!$C$18*'Reeksen (N)'!P218,0)</f>
        <v>0</v>
      </c>
      <c r="AU218" s="71">
        <f ca="1">-IF(C218=1,'Invoer gegevens (N)'!$C$10*'Invoer gegevens (N)'!$I$36*'Reeksen (N)'!H218,0)</f>
        <v>0</v>
      </c>
      <c r="AV218" s="71">
        <v>0</v>
      </c>
      <c r="AW218" s="71">
        <f t="shared" ca="1" si="37"/>
        <v>0</v>
      </c>
      <c r="AX218" s="71">
        <f ca="1">IF(E218&lt;'Invoer gegevens (N)'!$C$17+15,0,IF(E218&gt;'Invoer gegevens (N)'!$C$17+215,0,AW218))</f>
        <v>0</v>
      </c>
      <c r="AY218" s="71">
        <f ca="1">AX218/(1+'Invoer gegevens (N)'!$F$13)^($AZ218-('Invoer gegevens (N)'!$C$17-'Invoer gegevens (N)'!$C$16))/(1+'Invoer gegevens (N)'!$C$39)^('Invoer gegevens (N)'!$C$17-'Invoer gegevens (N)'!$C$16)</f>
        <v>0</v>
      </c>
      <c r="AZ218" s="68">
        <f ca="1">IF(E218-'Invoer gegevens (N)'!$C$17-14.5&lt;0,0,E218-'Invoer gegevens (N)'!$C$17-14.5)</f>
        <v>198.5</v>
      </c>
    </row>
    <row r="219" spans="2:52" x14ac:dyDescent="0.25">
      <c r="B219" s="70">
        <f t="shared" si="38"/>
        <v>215</v>
      </c>
      <c r="C219" s="67">
        <f ca="1">IF(E219-'Invoer gegevens (N)'!$C$17&lt;0,0,1)</f>
        <v>1</v>
      </c>
      <c r="D219" s="68">
        <f t="shared" si="39"/>
        <v>214.5</v>
      </c>
      <c r="E219" s="69">
        <f ca="1">IF('Invoer gegevens (N)'!$C$16="","",E218+1)</f>
        <v>2233</v>
      </c>
      <c r="F219" s="82">
        <f ca="1">IF('Invoer gegevens (N)'!$C$17=E219,'Invoer gegevens (N)'!$C$10,IF(C219=1,H218,0))</f>
        <v>0</v>
      </c>
      <c r="G219" s="83">
        <f ca="1">IF(C219&gt;=1,F219*'Reeksen (N)'!C219,0)</f>
        <v>0</v>
      </c>
      <c r="H219" s="84">
        <f t="shared" ca="1" si="33"/>
        <v>0</v>
      </c>
      <c r="I219" s="85">
        <f ca="1">IF('Invoer gegevens (N)'!$C$17=E219,'Invoer gegevens (N)'!$C$11,IF(C219=1,L218,0))</f>
        <v>0</v>
      </c>
      <c r="J219" s="86">
        <f ca="1">IF(C219&lt;1,0,IF('Reeksen (N)'!AK219&lt;='Reeksen (N)'!AE219,I219*'Reeksen (N)'!C219,0))</f>
        <v>0</v>
      </c>
      <c r="K219" s="86">
        <f ca="1">IF(C219&lt;1,0,IF('Reeksen (N)'!AK219&gt;'Reeksen (N)'!AE219,I219*'Reeksen (N)'!C219,0))</f>
        <v>0</v>
      </c>
      <c r="L219" s="86">
        <f t="shared" ca="1" si="34"/>
        <v>0</v>
      </c>
      <c r="M219" s="85">
        <f ca="1">IF('Invoer gegevens (N)'!$C$17=E219,'Invoer gegevens (N)'!$C$10-'Invoer gegevens (N)'!$C$11,IF(C219=1,P218,0))</f>
        <v>0</v>
      </c>
      <c r="N219" s="86">
        <f ca="1">IF(C219&lt;1,0,IF('Reeksen (N)'!AK219&lt;='Reeksen (N)'!AE219,M219*'Reeksen (N)'!C219,0))</f>
        <v>0</v>
      </c>
      <c r="O219" s="86">
        <f ca="1">IF(C219&lt;1,0,IF('Reeksen (N)'!AK219&gt;'Reeksen (N)'!AE219,M219*'Reeksen (N)'!C219,0))</f>
        <v>0</v>
      </c>
      <c r="P219" s="86">
        <f t="shared" ca="1" si="35"/>
        <v>0</v>
      </c>
      <c r="Q219" s="82">
        <f ca="1">IF('Invoer gegevens (N)'!$C$17=E219,I219,IF(C219=0,0,R218))</f>
        <v>0</v>
      </c>
      <c r="R219" s="84">
        <f t="shared" ca="1" si="30"/>
        <v>0</v>
      </c>
      <c r="S219" s="84">
        <f ca="1">IF('Invoer gegevens (N)'!$C$17=E219,M219,IF(C219=0,0,T218))</f>
        <v>0</v>
      </c>
      <c r="T219" s="84">
        <f t="shared" ca="1" si="31"/>
        <v>0</v>
      </c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8"/>
      <c r="AI219" s="71">
        <f ca="1">IF(C219=1,((F219+H219)/2*'Reeksen (N)'!AJ219*12)+(('Invoer gegevens (N)'!$C$10-(F219+H219)/2)*'Reeksen (N)'!AK219*12),0)</f>
        <v>0</v>
      </c>
      <c r="AJ219" s="71">
        <f ca="1">-AI219*'Invoer gegevens (N)'!$F$28</f>
        <v>0</v>
      </c>
      <c r="AK219" s="71">
        <f t="shared" ca="1" si="32"/>
        <v>0</v>
      </c>
      <c r="AL219" s="71">
        <f ca="1">IF(C219=1,(12*((F219+H219)/2)*'Reeksen (N)'!AL219)+(12*('Invoer gegevens (N)'!$C$10-(F219+H219)/2)*'Reeksen (N)'!AM219),0)</f>
        <v>0</v>
      </c>
      <c r="AM219" s="71">
        <f ca="1">-AL219*'Invoer gegevens (N)'!$F$31</f>
        <v>0</v>
      </c>
      <c r="AN219" s="71">
        <f t="shared" ca="1" si="36"/>
        <v>0</v>
      </c>
      <c r="AO219" s="71"/>
      <c r="AP219" s="71"/>
      <c r="AQ219" s="71">
        <f ca="1">-IF(C219=1,('Invoer gegevens (N)'!$C$10*'Invoer gegevens (N)'!$I$33)*'Reeksen (N)'!J219,0)*2</f>
        <v>0</v>
      </c>
      <c r="AR219" s="71">
        <f ca="1">-IF(C219=1,(G219*'Invoer gegevens (N)'!$I$34)*'Reeksen (N)'!J219,0)</f>
        <v>0</v>
      </c>
      <c r="AS219" s="71">
        <f ca="1">-IF(C219=1,'Invoer gegevens (N)'!$C$10*'Invoer gegevens (N)'!$I$35*'Reeksen (N)'!L219,0)</f>
        <v>0</v>
      </c>
      <c r="AT219" s="71">
        <f ca="1">-IF(C219=1,IF(E219='Invoer gegevens (N)'!$C$17,'Invoer gegevens (N)'!$C$11,Q219)*'Reeksen (N)'!S219*'Invoer gegevens (N)'!$C$18*'Reeksen (N)'!P219,0)</f>
        <v>0</v>
      </c>
      <c r="AU219" s="71">
        <f ca="1">-IF(C219=1,'Invoer gegevens (N)'!$C$10*'Invoer gegevens (N)'!$I$36*'Reeksen (N)'!H219,0)</f>
        <v>0</v>
      </c>
      <c r="AV219" s="71">
        <v>0</v>
      </c>
      <c r="AW219" s="71">
        <f t="shared" ca="1" si="37"/>
        <v>0</v>
      </c>
      <c r="AX219" s="71">
        <f ca="1">IF(E219&lt;'Invoer gegevens (N)'!$C$17+15,0,IF(E219&gt;'Invoer gegevens (N)'!$C$17+215,0,AW219))</f>
        <v>0</v>
      </c>
      <c r="AY219" s="71">
        <f ca="1">AX219/(1+'Invoer gegevens (N)'!$F$13)^($AZ219-('Invoer gegevens (N)'!$C$17-'Invoer gegevens (N)'!$C$16))/(1+'Invoer gegevens (N)'!$C$39)^('Invoer gegevens (N)'!$C$17-'Invoer gegevens (N)'!$C$16)</f>
        <v>0</v>
      </c>
      <c r="AZ219" s="68">
        <f ca="1">IF(E219-'Invoer gegevens (N)'!$C$17-14.5&lt;0,0,E219-'Invoer gegevens (N)'!$C$17-14.5)</f>
        <v>199.5</v>
      </c>
    </row>
    <row r="220" spans="2:52" x14ac:dyDescent="0.25">
      <c r="B220" s="70">
        <f t="shared" si="38"/>
        <v>216</v>
      </c>
      <c r="C220" s="67">
        <f ca="1">IF(E220-'Invoer gegevens (N)'!$C$17&lt;0,0,1)</f>
        <v>1</v>
      </c>
      <c r="D220" s="68">
        <f t="shared" si="39"/>
        <v>215.5</v>
      </c>
      <c r="E220" s="69">
        <f ca="1">IF('Invoer gegevens (N)'!$C$16="","",E219+1)</f>
        <v>2234</v>
      </c>
      <c r="F220" s="82">
        <f ca="1">IF('Invoer gegevens (N)'!$C$17=E220,'Invoer gegevens (N)'!$C$10,IF(C220=1,H219,0))</f>
        <v>0</v>
      </c>
      <c r="G220" s="83">
        <f ca="1">IF(C220&gt;=1,F220*'Reeksen (N)'!C220,0)</f>
        <v>0</v>
      </c>
      <c r="H220" s="84">
        <f t="shared" ca="1" si="33"/>
        <v>0</v>
      </c>
      <c r="I220" s="85">
        <f ca="1">IF('Invoer gegevens (N)'!$C$17=E220,'Invoer gegevens (N)'!$C$11,IF(C220=1,L219,0))</f>
        <v>0</v>
      </c>
      <c r="J220" s="86">
        <f ca="1">IF(C220&lt;1,0,IF('Reeksen (N)'!AK220&lt;='Reeksen (N)'!AE220,I220*'Reeksen (N)'!C220,0))</f>
        <v>0</v>
      </c>
      <c r="K220" s="86">
        <f ca="1">IF(C220&lt;1,0,IF('Reeksen (N)'!AK220&gt;'Reeksen (N)'!AE220,I220*'Reeksen (N)'!C220,0))</f>
        <v>0</v>
      </c>
      <c r="L220" s="86">
        <f t="shared" ca="1" si="34"/>
        <v>0</v>
      </c>
      <c r="M220" s="85">
        <f ca="1">IF('Invoer gegevens (N)'!$C$17=E220,'Invoer gegevens (N)'!$C$10-'Invoer gegevens (N)'!$C$11,IF(C220=1,P219,0))</f>
        <v>0</v>
      </c>
      <c r="N220" s="86">
        <f ca="1">IF(C220&lt;1,0,IF('Reeksen (N)'!AK220&lt;='Reeksen (N)'!AE220,M220*'Reeksen (N)'!C220,0))</f>
        <v>0</v>
      </c>
      <c r="O220" s="86">
        <f ca="1">IF(C220&lt;1,0,IF('Reeksen (N)'!AK220&gt;'Reeksen (N)'!AE220,M220*'Reeksen (N)'!C220,0))</f>
        <v>0</v>
      </c>
      <c r="P220" s="86">
        <f t="shared" ca="1" si="35"/>
        <v>0</v>
      </c>
      <c r="Q220" s="82">
        <f ca="1">IF('Invoer gegevens (N)'!$C$17=E220,I220,IF(C220=0,0,R219))</f>
        <v>0</v>
      </c>
      <c r="R220" s="84">
        <f t="shared" ca="1" si="30"/>
        <v>0</v>
      </c>
      <c r="S220" s="84">
        <f ca="1">IF('Invoer gegevens (N)'!$C$17=E220,M220,IF(C220=0,0,T219))</f>
        <v>0</v>
      </c>
      <c r="T220" s="84">
        <f t="shared" ca="1" si="31"/>
        <v>0</v>
      </c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8"/>
      <c r="AI220" s="71">
        <f ca="1">IF(C220=1,((F220+H220)/2*'Reeksen (N)'!AJ220*12)+(('Invoer gegevens (N)'!$C$10-(F220+H220)/2)*'Reeksen (N)'!AK220*12),0)</f>
        <v>0</v>
      </c>
      <c r="AJ220" s="71">
        <f ca="1">-AI220*'Invoer gegevens (N)'!$F$28</f>
        <v>0</v>
      </c>
      <c r="AK220" s="71">
        <f t="shared" ca="1" si="32"/>
        <v>0</v>
      </c>
      <c r="AL220" s="71">
        <f ca="1">IF(C220=1,(12*((F220+H220)/2)*'Reeksen (N)'!AL220)+(12*('Invoer gegevens (N)'!$C$10-(F220+H220)/2)*'Reeksen (N)'!AM220),0)</f>
        <v>0</v>
      </c>
      <c r="AM220" s="71">
        <f ca="1">-AL220*'Invoer gegevens (N)'!$F$31</f>
        <v>0</v>
      </c>
      <c r="AN220" s="71">
        <f t="shared" ca="1" si="36"/>
        <v>0</v>
      </c>
      <c r="AO220" s="71"/>
      <c r="AP220" s="71"/>
      <c r="AQ220" s="71">
        <f ca="1">-IF(C220=1,('Invoer gegevens (N)'!$C$10*'Invoer gegevens (N)'!$I$33)*'Reeksen (N)'!J220,0)*2</f>
        <v>0</v>
      </c>
      <c r="AR220" s="71">
        <f ca="1">-IF(C220=1,(G220*'Invoer gegevens (N)'!$I$34)*'Reeksen (N)'!J220,0)</f>
        <v>0</v>
      </c>
      <c r="AS220" s="71">
        <f ca="1">-IF(C220=1,'Invoer gegevens (N)'!$C$10*'Invoer gegevens (N)'!$I$35*'Reeksen (N)'!L220,0)</f>
        <v>0</v>
      </c>
      <c r="AT220" s="71">
        <f ca="1">-IF(C220=1,IF(E220='Invoer gegevens (N)'!$C$17,'Invoer gegevens (N)'!$C$11,Q220)*'Reeksen (N)'!S220*'Invoer gegevens (N)'!$C$18*'Reeksen (N)'!P220,0)</f>
        <v>0</v>
      </c>
      <c r="AU220" s="71">
        <f ca="1">-IF(C220=1,'Invoer gegevens (N)'!$C$10*'Invoer gegevens (N)'!$I$36*'Reeksen (N)'!H220,0)</f>
        <v>0</v>
      </c>
      <c r="AV220" s="71">
        <v>0</v>
      </c>
      <c r="AW220" s="71">
        <f t="shared" ca="1" si="37"/>
        <v>0</v>
      </c>
      <c r="AX220" s="71">
        <f ca="1">IF(E220&lt;'Invoer gegevens (N)'!$C$17+15,0,IF(E220&gt;'Invoer gegevens (N)'!$C$17+215,0,AW220))</f>
        <v>0</v>
      </c>
      <c r="AY220" s="71">
        <f ca="1">AX220/(1+'Invoer gegevens (N)'!$F$13)^($AZ220-('Invoer gegevens (N)'!$C$17-'Invoer gegevens (N)'!$C$16))/(1+'Invoer gegevens (N)'!$C$39)^('Invoer gegevens (N)'!$C$17-'Invoer gegevens (N)'!$C$16)</f>
        <v>0</v>
      </c>
      <c r="AZ220" s="68">
        <f ca="1">IF(E220-'Invoer gegevens (N)'!$C$17-14.5&lt;0,0,E220-'Invoer gegevens (N)'!$C$17-14.5)</f>
        <v>200.5</v>
      </c>
    </row>
    <row r="221" spans="2:52" x14ac:dyDescent="0.25">
      <c r="B221" s="70">
        <f t="shared" si="38"/>
        <v>217</v>
      </c>
      <c r="C221" s="67">
        <f ca="1">IF(E221-'Invoer gegevens (N)'!$C$17&lt;0,0,1)</f>
        <v>1</v>
      </c>
      <c r="D221" s="68">
        <f t="shared" si="39"/>
        <v>216.5</v>
      </c>
      <c r="E221" s="69">
        <f ca="1">IF('Invoer gegevens (N)'!$C$16="","",E220+1)</f>
        <v>2235</v>
      </c>
      <c r="F221" s="82">
        <f ca="1">IF('Invoer gegevens (N)'!$C$17=E221,'Invoer gegevens (N)'!$C$10,IF(C221=1,H220,0))</f>
        <v>0</v>
      </c>
      <c r="G221" s="83">
        <f ca="1">IF(C221&gt;=1,F221*'Reeksen (N)'!C221,0)</f>
        <v>0</v>
      </c>
      <c r="H221" s="84">
        <f t="shared" ca="1" si="33"/>
        <v>0</v>
      </c>
      <c r="I221" s="85">
        <f ca="1">IF('Invoer gegevens (N)'!$C$17=E221,'Invoer gegevens (N)'!$C$11,IF(C221=1,L220,0))</f>
        <v>0</v>
      </c>
      <c r="J221" s="86">
        <f ca="1">IF(C221&lt;1,0,IF('Reeksen (N)'!AK221&lt;='Reeksen (N)'!AE221,I221*'Reeksen (N)'!C221,0))</f>
        <v>0</v>
      </c>
      <c r="K221" s="86">
        <f ca="1">IF(C221&lt;1,0,IF('Reeksen (N)'!AK221&gt;'Reeksen (N)'!AE221,I221*'Reeksen (N)'!C221,0))</f>
        <v>0</v>
      </c>
      <c r="L221" s="86">
        <f t="shared" ca="1" si="34"/>
        <v>0</v>
      </c>
      <c r="M221" s="85">
        <f ca="1">IF('Invoer gegevens (N)'!$C$17=E221,'Invoer gegevens (N)'!$C$10-'Invoer gegevens (N)'!$C$11,IF(C221=1,P220,0))</f>
        <v>0</v>
      </c>
      <c r="N221" s="86">
        <f ca="1">IF(C221&lt;1,0,IF('Reeksen (N)'!AK221&lt;='Reeksen (N)'!AE221,M221*'Reeksen (N)'!C221,0))</f>
        <v>0</v>
      </c>
      <c r="O221" s="86">
        <f ca="1">IF(C221&lt;1,0,IF('Reeksen (N)'!AK221&gt;'Reeksen (N)'!AE221,M221*'Reeksen (N)'!C221,0))</f>
        <v>0</v>
      </c>
      <c r="P221" s="86">
        <f t="shared" ca="1" si="35"/>
        <v>0</v>
      </c>
      <c r="Q221" s="82">
        <f ca="1">IF('Invoer gegevens (N)'!$C$17=E221,I221,IF(C221=0,0,R220))</f>
        <v>0</v>
      </c>
      <c r="R221" s="84">
        <f t="shared" ca="1" si="30"/>
        <v>0</v>
      </c>
      <c r="S221" s="84">
        <f ca="1">IF('Invoer gegevens (N)'!$C$17=E221,M221,IF(C221=0,0,T220))</f>
        <v>0</v>
      </c>
      <c r="T221" s="84">
        <f t="shared" ca="1" si="31"/>
        <v>0</v>
      </c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8"/>
      <c r="AI221" s="71">
        <f ca="1">IF(C221=1,((F221+H221)/2*'Reeksen (N)'!AJ221*12)+(('Invoer gegevens (N)'!$C$10-(F221+H221)/2)*'Reeksen (N)'!AK221*12),0)</f>
        <v>0</v>
      </c>
      <c r="AJ221" s="71">
        <f ca="1">-AI221*'Invoer gegevens (N)'!$F$28</f>
        <v>0</v>
      </c>
      <c r="AK221" s="71">
        <f t="shared" ca="1" si="32"/>
        <v>0</v>
      </c>
      <c r="AL221" s="71">
        <f ca="1">IF(C221=1,(12*((F221+H221)/2)*'Reeksen (N)'!AL221)+(12*('Invoer gegevens (N)'!$C$10-(F221+H221)/2)*'Reeksen (N)'!AM221),0)</f>
        <v>0</v>
      </c>
      <c r="AM221" s="71">
        <f ca="1">-AL221*'Invoer gegevens (N)'!$F$31</f>
        <v>0</v>
      </c>
      <c r="AN221" s="71">
        <f t="shared" ca="1" si="36"/>
        <v>0</v>
      </c>
      <c r="AO221" s="71"/>
      <c r="AP221" s="71"/>
      <c r="AQ221" s="71">
        <f ca="1">-IF(C221=1,('Invoer gegevens (N)'!$C$10*'Invoer gegevens (N)'!$I$33)*'Reeksen (N)'!J221,0)*2</f>
        <v>0</v>
      </c>
      <c r="AR221" s="71">
        <f ca="1">-IF(C221=1,(G221*'Invoer gegevens (N)'!$I$34)*'Reeksen (N)'!J221,0)</f>
        <v>0</v>
      </c>
      <c r="AS221" s="71">
        <f ca="1">-IF(C221=1,'Invoer gegevens (N)'!$C$10*'Invoer gegevens (N)'!$I$35*'Reeksen (N)'!L221,0)</f>
        <v>0</v>
      </c>
      <c r="AT221" s="71">
        <f ca="1">-IF(C221=1,IF(E221='Invoer gegevens (N)'!$C$17,'Invoer gegevens (N)'!$C$11,Q221)*'Reeksen (N)'!S221*'Invoer gegevens (N)'!$C$18*'Reeksen (N)'!P221,0)</f>
        <v>0</v>
      </c>
      <c r="AU221" s="71">
        <f ca="1">-IF(C221=1,'Invoer gegevens (N)'!$C$10*'Invoer gegevens (N)'!$I$36*'Reeksen (N)'!H221,0)</f>
        <v>0</v>
      </c>
      <c r="AV221" s="71">
        <v>0</v>
      </c>
      <c r="AW221" s="71">
        <f t="shared" ca="1" si="37"/>
        <v>0</v>
      </c>
      <c r="AX221" s="71">
        <f ca="1">IF(E221&lt;'Invoer gegevens (N)'!$C$17+15,0,IF(E221&gt;'Invoer gegevens (N)'!$C$17+215,0,AW221))</f>
        <v>0</v>
      </c>
      <c r="AY221" s="71">
        <f ca="1">AX221/(1+'Invoer gegevens (N)'!$F$13)^($AZ221-('Invoer gegevens (N)'!$C$17-'Invoer gegevens (N)'!$C$16))/(1+'Invoer gegevens (N)'!$C$39)^('Invoer gegevens (N)'!$C$17-'Invoer gegevens (N)'!$C$16)</f>
        <v>0</v>
      </c>
      <c r="AZ221" s="68">
        <f ca="1">IF(E221-'Invoer gegevens (N)'!$C$17-14.5&lt;0,0,E221-'Invoer gegevens (N)'!$C$17-14.5)</f>
        <v>201.5</v>
      </c>
    </row>
    <row r="222" spans="2:52" x14ac:dyDescent="0.25">
      <c r="B222" s="70">
        <f t="shared" si="38"/>
        <v>218</v>
      </c>
      <c r="C222" s="67">
        <f ca="1">IF(E222-'Invoer gegevens (N)'!$C$17&lt;0,0,1)</f>
        <v>1</v>
      </c>
      <c r="D222" s="68">
        <f t="shared" si="39"/>
        <v>217.5</v>
      </c>
      <c r="E222" s="69">
        <f ca="1">IF('Invoer gegevens (N)'!$C$16="","",E221+1)</f>
        <v>2236</v>
      </c>
      <c r="F222" s="82">
        <f ca="1">IF('Invoer gegevens (N)'!$C$17=E222,'Invoer gegevens (N)'!$C$10,IF(C222=1,H221,0))</f>
        <v>0</v>
      </c>
      <c r="G222" s="83">
        <f ca="1">IF(C222&gt;=1,F222*'Reeksen (N)'!C222,0)</f>
        <v>0</v>
      </c>
      <c r="H222" s="84">
        <f t="shared" ca="1" si="33"/>
        <v>0</v>
      </c>
      <c r="I222" s="85">
        <f ca="1">IF('Invoer gegevens (N)'!$C$17=E222,'Invoer gegevens (N)'!$C$11,IF(C222=1,L221,0))</f>
        <v>0</v>
      </c>
      <c r="J222" s="86">
        <f ca="1">IF(C222&lt;1,0,IF('Reeksen (N)'!AK222&lt;='Reeksen (N)'!AE222,I222*'Reeksen (N)'!C222,0))</f>
        <v>0</v>
      </c>
      <c r="K222" s="86">
        <f ca="1">IF(C222&lt;1,0,IF('Reeksen (N)'!AK222&gt;'Reeksen (N)'!AE222,I222*'Reeksen (N)'!C222,0))</f>
        <v>0</v>
      </c>
      <c r="L222" s="86">
        <f t="shared" ca="1" si="34"/>
        <v>0</v>
      </c>
      <c r="M222" s="85">
        <f ca="1">IF('Invoer gegevens (N)'!$C$17=E222,'Invoer gegevens (N)'!$C$10-'Invoer gegevens (N)'!$C$11,IF(C222=1,P221,0))</f>
        <v>0</v>
      </c>
      <c r="N222" s="86">
        <f ca="1">IF(C222&lt;1,0,IF('Reeksen (N)'!AK222&lt;='Reeksen (N)'!AE222,M222*'Reeksen (N)'!C222,0))</f>
        <v>0</v>
      </c>
      <c r="O222" s="86">
        <f ca="1">IF(C222&lt;1,0,IF('Reeksen (N)'!AK222&gt;'Reeksen (N)'!AE222,M222*'Reeksen (N)'!C222,0))</f>
        <v>0</v>
      </c>
      <c r="P222" s="86">
        <f t="shared" ca="1" si="35"/>
        <v>0</v>
      </c>
      <c r="Q222" s="82">
        <f ca="1">IF('Invoer gegevens (N)'!$C$17=E222,I222,IF(C222=0,0,R221))</f>
        <v>0</v>
      </c>
      <c r="R222" s="84">
        <f t="shared" ca="1" si="30"/>
        <v>0</v>
      </c>
      <c r="S222" s="84">
        <f ca="1">IF('Invoer gegevens (N)'!$C$17=E222,M222,IF(C222=0,0,T221))</f>
        <v>0</v>
      </c>
      <c r="T222" s="84">
        <f t="shared" ca="1" si="31"/>
        <v>0</v>
      </c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8"/>
      <c r="AI222" s="71">
        <f ca="1">IF(C222=1,((F222+H222)/2*'Reeksen (N)'!AJ222*12)+(('Invoer gegevens (N)'!$C$10-(F222+H222)/2)*'Reeksen (N)'!AK222*12),0)</f>
        <v>0</v>
      </c>
      <c r="AJ222" s="71">
        <f ca="1">-AI222*'Invoer gegevens (N)'!$F$28</f>
        <v>0</v>
      </c>
      <c r="AK222" s="71">
        <f t="shared" ca="1" si="32"/>
        <v>0</v>
      </c>
      <c r="AL222" s="71">
        <f ca="1">IF(C222=1,(12*((F222+H222)/2)*'Reeksen (N)'!AL222)+(12*('Invoer gegevens (N)'!$C$10-(F222+H222)/2)*'Reeksen (N)'!AM222),0)</f>
        <v>0</v>
      </c>
      <c r="AM222" s="71">
        <f ca="1">-AL222*'Invoer gegevens (N)'!$F$31</f>
        <v>0</v>
      </c>
      <c r="AN222" s="71">
        <f t="shared" ca="1" si="36"/>
        <v>0</v>
      </c>
      <c r="AO222" s="71"/>
      <c r="AP222" s="71"/>
      <c r="AQ222" s="71">
        <f ca="1">-IF(C222=1,('Invoer gegevens (N)'!$C$10*'Invoer gegevens (N)'!$I$33)*'Reeksen (N)'!J222,0)*2</f>
        <v>0</v>
      </c>
      <c r="AR222" s="71">
        <f ca="1">-IF(C222=1,(G222*'Invoer gegevens (N)'!$I$34)*'Reeksen (N)'!J222,0)</f>
        <v>0</v>
      </c>
      <c r="AS222" s="71">
        <f ca="1">-IF(C222=1,'Invoer gegevens (N)'!$C$10*'Invoer gegevens (N)'!$I$35*'Reeksen (N)'!L222,0)</f>
        <v>0</v>
      </c>
      <c r="AT222" s="71">
        <f ca="1">-IF(C222=1,IF(E222='Invoer gegevens (N)'!$C$17,'Invoer gegevens (N)'!$C$11,Q222)*'Reeksen (N)'!S222*'Invoer gegevens (N)'!$C$18*'Reeksen (N)'!P222,0)</f>
        <v>0</v>
      </c>
      <c r="AU222" s="71">
        <f ca="1">-IF(C222=1,'Invoer gegevens (N)'!$C$10*'Invoer gegevens (N)'!$I$36*'Reeksen (N)'!H222,0)</f>
        <v>0</v>
      </c>
      <c r="AV222" s="71">
        <v>0</v>
      </c>
      <c r="AW222" s="71">
        <f t="shared" ca="1" si="37"/>
        <v>0</v>
      </c>
      <c r="AX222" s="71">
        <f ca="1">IF(E222&lt;'Invoer gegevens (N)'!$C$17+15,0,IF(E222&gt;'Invoer gegevens (N)'!$C$17+215,0,AW222))</f>
        <v>0</v>
      </c>
      <c r="AY222" s="71">
        <f ca="1">AX222/(1+'Invoer gegevens (N)'!$F$13)^($AZ222-('Invoer gegevens (N)'!$C$17-'Invoer gegevens (N)'!$C$16))/(1+'Invoer gegevens (N)'!$C$39)^('Invoer gegevens (N)'!$C$17-'Invoer gegevens (N)'!$C$16)</f>
        <v>0</v>
      </c>
      <c r="AZ222" s="68">
        <f ca="1">IF(E222-'Invoer gegevens (N)'!$C$17-14.5&lt;0,0,E222-'Invoer gegevens (N)'!$C$17-14.5)</f>
        <v>202.5</v>
      </c>
    </row>
    <row r="223" spans="2:52" x14ac:dyDescent="0.25">
      <c r="B223" s="70">
        <f t="shared" si="38"/>
        <v>219</v>
      </c>
      <c r="C223" s="67">
        <f ca="1">IF(E223-'Invoer gegevens (N)'!$C$17&lt;0,0,1)</f>
        <v>1</v>
      </c>
      <c r="D223" s="68">
        <f t="shared" si="39"/>
        <v>218.5</v>
      </c>
      <c r="E223" s="69">
        <f ca="1">IF('Invoer gegevens (N)'!$C$16="","",E222+1)</f>
        <v>2237</v>
      </c>
      <c r="F223" s="82">
        <f ca="1">IF('Invoer gegevens (N)'!$C$17=E223,'Invoer gegevens (N)'!$C$10,IF(C223=1,H222,0))</f>
        <v>0</v>
      </c>
      <c r="G223" s="83">
        <f ca="1">IF(C223&gt;=1,F223*'Reeksen (N)'!C223,0)</f>
        <v>0</v>
      </c>
      <c r="H223" s="84">
        <f t="shared" ca="1" si="33"/>
        <v>0</v>
      </c>
      <c r="I223" s="85">
        <f ca="1">IF('Invoer gegevens (N)'!$C$17=E223,'Invoer gegevens (N)'!$C$11,IF(C223=1,L222,0))</f>
        <v>0</v>
      </c>
      <c r="J223" s="86">
        <f ca="1">IF(C223&lt;1,0,IF('Reeksen (N)'!AK223&lt;='Reeksen (N)'!AE223,I223*'Reeksen (N)'!C223,0))</f>
        <v>0</v>
      </c>
      <c r="K223" s="86">
        <f ca="1">IF(C223&lt;1,0,IF('Reeksen (N)'!AK223&gt;'Reeksen (N)'!AE223,I223*'Reeksen (N)'!C223,0))</f>
        <v>0</v>
      </c>
      <c r="L223" s="86">
        <f t="shared" ca="1" si="34"/>
        <v>0</v>
      </c>
      <c r="M223" s="85">
        <f ca="1">IF('Invoer gegevens (N)'!$C$17=E223,'Invoer gegevens (N)'!$C$10-'Invoer gegevens (N)'!$C$11,IF(C223=1,P222,0))</f>
        <v>0</v>
      </c>
      <c r="N223" s="86">
        <f ca="1">IF(C223&lt;1,0,IF('Reeksen (N)'!AK223&lt;='Reeksen (N)'!AE223,M223*'Reeksen (N)'!C223,0))</f>
        <v>0</v>
      </c>
      <c r="O223" s="86">
        <f ca="1">IF(C223&lt;1,0,IF('Reeksen (N)'!AK223&gt;'Reeksen (N)'!AE223,M223*'Reeksen (N)'!C223,0))</f>
        <v>0</v>
      </c>
      <c r="P223" s="86">
        <f t="shared" ca="1" si="35"/>
        <v>0</v>
      </c>
      <c r="Q223" s="82">
        <f ca="1">IF('Invoer gegevens (N)'!$C$17=E223,I223,IF(C223=0,0,R222))</f>
        <v>0</v>
      </c>
      <c r="R223" s="84">
        <f t="shared" ca="1" si="30"/>
        <v>0</v>
      </c>
      <c r="S223" s="84">
        <f ca="1">IF('Invoer gegevens (N)'!$C$17=E223,M223,IF(C223=0,0,T222))</f>
        <v>0</v>
      </c>
      <c r="T223" s="84">
        <f t="shared" ca="1" si="31"/>
        <v>0</v>
      </c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8"/>
      <c r="AI223" s="71">
        <f ca="1">IF(C223=1,((F223+H223)/2*'Reeksen (N)'!AJ223*12)+(('Invoer gegevens (N)'!$C$10-(F223+H223)/2)*'Reeksen (N)'!AK223*12),0)</f>
        <v>0</v>
      </c>
      <c r="AJ223" s="71">
        <f ca="1">-AI223*'Invoer gegevens (N)'!$F$28</f>
        <v>0</v>
      </c>
      <c r="AK223" s="71">
        <f t="shared" ca="1" si="32"/>
        <v>0</v>
      </c>
      <c r="AL223" s="71">
        <f ca="1">IF(C223=1,(12*((F223+H223)/2)*'Reeksen (N)'!AL223)+(12*('Invoer gegevens (N)'!$C$10-(F223+H223)/2)*'Reeksen (N)'!AM223),0)</f>
        <v>0</v>
      </c>
      <c r="AM223" s="71">
        <f ca="1">-AL223*'Invoer gegevens (N)'!$F$31</f>
        <v>0</v>
      </c>
      <c r="AN223" s="71">
        <f t="shared" ca="1" si="36"/>
        <v>0</v>
      </c>
      <c r="AO223" s="71"/>
      <c r="AP223" s="71"/>
      <c r="AQ223" s="71">
        <f ca="1">-IF(C223=1,('Invoer gegevens (N)'!$C$10*'Invoer gegevens (N)'!$I$33)*'Reeksen (N)'!J223,0)*2</f>
        <v>0</v>
      </c>
      <c r="AR223" s="71">
        <f ca="1">-IF(C223=1,(G223*'Invoer gegevens (N)'!$I$34)*'Reeksen (N)'!J223,0)</f>
        <v>0</v>
      </c>
      <c r="AS223" s="71">
        <f ca="1">-IF(C223=1,'Invoer gegevens (N)'!$C$10*'Invoer gegevens (N)'!$I$35*'Reeksen (N)'!L223,0)</f>
        <v>0</v>
      </c>
      <c r="AT223" s="71">
        <f ca="1">-IF(C223=1,IF(E223='Invoer gegevens (N)'!$C$17,'Invoer gegevens (N)'!$C$11,Q223)*'Reeksen (N)'!S223*'Invoer gegevens (N)'!$C$18*'Reeksen (N)'!P223,0)</f>
        <v>0</v>
      </c>
      <c r="AU223" s="71">
        <f ca="1">-IF(C223=1,'Invoer gegevens (N)'!$C$10*'Invoer gegevens (N)'!$I$36*'Reeksen (N)'!H223,0)</f>
        <v>0</v>
      </c>
      <c r="AV223" s="71">
        <v>0</v>
      </c>
      <c r="AW223" s="71">
        <f t="shared" ca="1" si="37"/>
        <v>0</v>
      </c>
      <c r="AX223" s="71">
        <f ca="1">IF(E223&lt;'Invoer gegevens (N)'!$C$17+15,0,IF(E223&gt;'Invoer gegevens (N)'!$C$17+215,0,AW223))</f>
        <v>0</v>
      </c>
      <c r="AY223" s="71">
        <f ca="1">AX223/(1+'Invoer gegevens (N)'!$F$13)^($AZ223-('Invoer gegevens (N)'!$C$17-'Invoer gegevens (N)'!$C$16))/(1+'Invoer gegevens (N)'!$C$39)^('Invoer gegevens (N)'!$C$17-'Invoer gegevens (N)'!$C$16)</f>
        <v>0</v>
      </c>
      <c r="AZ223" s="68">
        <f ca="1">IF(E223-'Invoer gegevens (N)'!$C$17-14.5&lt;0,0,E223-'Invoer gegevens (N)'!$C$17-14.5)</f>
        <v>203.5</v>
      </c>
    </row>
    <row r="224" spans="2:52" x14ac:dyDescent="0.25">
      <c r="B224" s="70">
        <f t="shared" si="38"/>
        <v>220</v>
      </c>
      <c r="C224" s="67">
        <f ca="1">IF(E224-'Invoer gegevens (N)'!$C$17&lt;0,0,1)</f>
        <v>1</v>
      </c>
      <c r="D224" s="68">
        <f t="shared" si="39"/>
        <v>219.5</v>
      </c>
      <c r="E224" s="69">
        <f ca="1">IF('Invoer gegevens (N)'!$C$16="","",E223+1)</f>
        <v>2238</v>
      </c>
      <c r="F224" s="82">
        <f ca="1">IF('Invoer gegevens (N)'!$C$17=E224,'Invoer gegevens (N)'!$C$10,IF(C224=1,H223,0))</f>
        <v>0</v>
      </c>
      <c r="G224" s="83">
        <f ca="1">IF(C224&gt;=1,F224*'Reeksen (N)'!C224,0)</f>
        <v>0</v>
      </c>
      <c r="H224" s="84">
        <f t="shared" ca="1" si="33"/>
        <v>0</v>
      </c>
      <c r="I224" s="85">
        <f ca="1">IF('Invoer gegevens (N)'!$C$17=E224,'Invoer gegevens (N)'!$C$11,IF(C224=1,L223,0))</f>
        <v>0</v>
      </c>
      <c r="J224" s="86">
        <f ca="1">IF(C224&lt;1,0,IF('Reeksen (N)'!AK224&lt;='Reeksen (N)'!AE224,I224*'Reeksen (N)'!C224,0))</f>
        <v>0</v>
      </c>
      <c r="K224" s="86">
        <f ca="1">IF(C224&lt;1,0,IF('Reeksen (N)'!AK224&gt;'Reeksen (N)'!AE224,I224*'Reeksen (N)'!C224,0))</f>
        <v>0</v>
      </c>
      <c r="L224" s="86">
        <f t="shared" ca="1" si="34"/>
        <v>0</v>
      </c>
      <c r="M224" s="85">
        <f ca="1">IF('Invoer gegevens (N)'!$C$17=E224,'Invoer gegevens (N)'!$C$10-'Invoer gegevens (N)'!$C$11,IF(C224=1,P223,0))</f>
        <v>0</v>
      </c>
      <c r="N224" s="86">
        <f ca="1">IF(C224&lt;1,0,IF('Reeksen (N)'!AK224&lt;='Reeksen (N)'!AE224,M224*'Reeksen (N)'!C224,0))</f>
        <v>0</v>
      </c>
      <c r="O224" s="86">
        <f ca="1">IF(C224&lt;1,0,IF('Reeksen (N)'!AK224&gt;'Reeksen (N)'!AE224,M224*'Reeksen (N)'!C224,0))</f>
        <v>0</v>
      </c>
      <c r="P224" s="86">
        <f t="shared" ca="1" si="35"/>
        <v>0</v>
      </c>
      <c r="Q224" s="82">
        <f ca="1">IF('Invoer gegevens (N)'!$C$17=E224,I224,IF(C224=0,0,R223))</f>
        <v>0</v>
      </c>
      <c r="R224" s="84">
        <f t="shared" ca="1" si="30"/>
        <v>0</v>
      </c>
      <c r="S224" s="84">
        <f ca="1">IF('Invoer gegevens (N)'!$C$17=E224,M224,IF(C224=0,0,T223))</f>
        <v>0</v>
      </c>
      <c r="T224" s="84">
        <f t="shared" ca="1" si="31"/>
        <v>0</v>
      </c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8"/>
      <c r="AI224" s="71">
        <f ca="1">IF(C224=1,((F224+H224)/2*'Reeksen (N)'!AJ224*12)+(('Invoer gegevens (N)'!$C$10-(F224+H224)/2)*'Reeksen (N)'!AK224*12),0)</f>
        <v>0</v>
      </c>
      <c r="AJ224" s="71">
        <f ca="1">-AI224*'Invoer gegevens (N)'!$F$28</f>
        <v>0</v>
      </c>
      <c r="AK224" s="71">
        <f t="shared" ca="1" si="32"/>
        <v>0</v>
      </c>
      <c r="AL224" s="71">
        <f ca="1">IF(C224=1,(12*((F224+H224)/2)*'Reeksen (N)'!AL224)+(12*('Invoer gegevens (N)'!$C$10-(F224+H224)/2)*'Reeksen (N)'!AM224),0)</f>
        <v>0</v>
      </c>
      <c r="AM224" s="71">
        <f ca="1">-AL224*'Invoer gegevens (N)'!$F$31</f>
        <v>0</v>
      </c>
      <c r="AN224" s="71">
        <f t="shared" ca="1" si="36"/>
        <v>0</v>
      </c>
      <c r="AO224" s="71"/>
      <c r="AP224" s="71"/>
      <c r="AQ224" s="71">
        <f ca="1">-IF(C224=1,('Invoer gegevens (N)'!$C$10*'Invoer gegevens (N)'!$I$33)*'Reeksen (N)'!J224,0)*2</f>
        <v>0</v>
      </c>
      <c r="AR224" s="71">
        <f ca="1">-IF(C224=1,(G224*'Invoer gegevens (N)'!$I$34)*'Reeksen (N)'!J224,0)</f>
        <v>0</v>
      </c>
      <c r="AS224" s="71">
        <f ca="1">-IF(C224=1,'Invoer gegevens (N)'!$C$10*'Invoer gegevens (N)'!$I$35*'Reeksen (N)'!L224,0)</f>
        <v>0</v>
      </c>
      <c r="AT224" s="71">
        <f ca="1">-IF(C224=1,IF(E224='Invoer gegevens (N)'!$C$17,'Invoer gegevens (N)'!$C$11,Q224)*'Reeksen (N)'!S224*'Invoer gegevens (N)'!$C$18*'Reeksen (N)'!P224,0)</f>
        <v>0</v>
      </c>
      <c r="AU224" s="71">
        <f ca="1">-IF(C224=1,'Invoer gegevens (N)'!$C$10*'Invoer gegevens (N)'!$I$36*'Reeksen (N)'!H224,0)</f>
        <v>0</v>
      </c>
      <c r="AV224" s="71">
        <v>0</v>
      </c>
      <c r="AW224" s="71">
        <f t="shared" ca="1" si="37"/>
        <v>0</v>
      </c>
      <c r="AX224" s="71">
        <f ca="1">IF(E224&lt;'Invoer gegevens (N)'!$C$17+15,0,IF(E224&gt;'Invoer gegevens (N)'!$C$17+215,0,AW224))</f>
        <v>0</v>
      </c>
      <c r="AY224" s="71">
        <f ca="1">AX224/(1+'Invoer gegevens (N)'!$F$13)^($AZ224-('Invoer gegevens (N)'!$C$17-'Invoer gegevens (N)'!$C$16))/(1+'Invoer gegevens (N)'!$C$39)^('Invoer gegevens (N)'!$C$17-'Invoer gegevens (N)'!$C$16)</f>
        <v>0</v>
      </c>
      <c r="AZ224" s="68">
        <f ca="1">IF(E224-'Invoer gegevens (N)'!$C$17-14.5&lt;0,0,E224-'Invoer gegevens (N)'!$C$17-14.5)</f>
        <v>204.5</v>
      </c>
    </row>
    <row r="225" spans="2:56" x14ac:dyDescent="0.25">
      <c r="B225" s="70">
        <f t="shared" si="38"/>
        <v>221</v>
      </c>
      <c r="C225" s="67">
        <f ca="1">IF(E225-'Invoer gegevens (N)'!$C$17&lt;0,0,1)</f>
        <v>1</v>
      </c>
      <c r="D225" s="68">
        <f t="shared" si="39"/>
        <v>220.5</v>
      </c>
      <c r="E225" s="69">
        <f ca="1">IF('Invoer gegevens (N)'!$C$16="","",E224+1)</f>
        <v>2239</v>
      </c>
      <c r="F225" s="82">
        <f ca="1">IF('Invoer gegevens (N)'!$C$17=E225,'Invoer gegevens (N)'!$C$10,IF(C225=1,H224,0))</f>
        <v>0</v>
      </c>
      <c r="G225" s="83">
        <f ca="1">IF(C225&gt;=1,F225*'Reeksen (N)'!C225,0)</f>
        <v>0</v>
      </c>
      <c r="H225" s="84">
        <f t="shared" ca="1" si="33"/>
        <v>0</v>
      </c>
      <c r="I225" s="85">
        <f ca="1">IF('Invoer gegevens (N)'!$C$17=E225,'Invoer gegevens (N)'!$C$11,IF(C225=1,L224,0))</f>
        <v>0</v>
      </c>
      <c r="J225" s="86">
        <f ca="1">IF(C225&lt;1,0,IF('Reeksen (N)'!AK225&lt;='Reeksen (N)'!AE225,I225*'Reeksen (N)'!C225,0))</f>
        <v>0</v>
      </c>
      <c r="K225" s="86">
        <f ca="1">IF(C225&lt;1,0,IF('Reeksen (N)'!AK225&gt;'Reeksen (N)'!AE225,I225*'Reeksen (N)'!C225,0))</f>
        <v>0</v>
      </c>
      <c r="L225" s="86">
        <f t="shared" ca="1" si="34"/>
        <v>0</v>
      </c>
      <c r="M225" s="85">
        <f ca="1">IF('Invoer gegevens (N)'!$C$17=E225,'Invoer gegevens (N)'!$C$10-'Invoer gegevens (N)'!$C$11,IF(C225=1,P224,0))</f>
        <v>0</v>
      </c>
      <c r="N225" s="86">
        <f ca="1">IF(C225&lt;1,0,IF('Reeksen (N)'!AK225&lt;='Reeksen (N)'!AE225,M225*'Reeksen (N)'!C225,0))</f>
        <v>0</v>
      </c>
      <c r="O225" s="86">
        <f ca="1">IF(C225&lt;1,0,IF('Reeksen (N)'!AK225&gt;'Reeksen (N)'!AE225,M225*'Reeksen (N)'!C225,0))</f>
        <v>0</v>
      </c>
      <c r="P225" s="86">
        <f t="shared" ca="1" si="35"/>
        <v>0</v>
      </c>
      <c r="Q225" s="82">
        <f ca="1">IF('Invoer gegevens (N)'!$C$17=E225,I225,IF(C225=0,0,R224))</f>
        <v>0</v>
      </c>
      <c r="R225" s="84">
        <f t="shared" ca="1" si="30"/>
        <v>0</v>
      </c>
      <c r="S225" s="84">
        <f ca="1">IF('Invoer gegevens (N)'!$C$17=E225,M225,IF(C225=0,0,T224))</f>
        <v>0</v>
      </c>
      <c r="T225" s="84">
        <f t="shared" ca="1" si="31"/>
        <v>0</v>
      </c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8"/>
      <c r="AI225" s="71">
        <f ca="1">IF(C225=1,((F225+H225)/2*'Reeksen (N)'!AJ225*12)+(('Invoer gegevens (N)'!$C$10-(F225+H225)/2)*'Reeksen (N)'!AK225*12),0)</f>
        <v>0</v>
      </c>
      <c r="AJ225" s="71">
        <f ca="1">-AI225*'Invoer gegevens (N)'!$F$28</f>
        <v>0</v>
      </c>
      <c r="AK225" s="71">
        <f t="shared" ca="1" si="32"/>
        <v>0</v>
      </c>
      <c r="AL225" s="71">
        <f ca="1">IF(C225=1,(12*((F225+H225)/2)*'Reeksen (N)'!AL225)+(12*('Invoer gegevens (N)'!$C$10-(F225+H225)/2)*'Reeksen (N)'!AM225),0)</f>
        <v>0</v>
      </c>
      <c r="AM225" s="71">
        <f ca="1">-AL225*'Invoer gegevens (N)'!$F$31</f>
        <v>0</v>
      </c>
      <c r="AN225" s="71">
        <f t="shared" ca="1" si="36"/>
        <v>0</v>
      </c>
      <c r="AO225" s="71"/>
      <c r="AP225" s="71"/>
      <c r="AQ225" s="71">
        <f ca="1">-IF(C225=1,('Invoer gegevens (N)'!$C$10*'Invoer gegevens (N)'!$I$33)*'Reeksen (N)'!J225,0)*2</f>
        <v>0</v>
      </c>
      <c r="AR225" s="71">
        <f ca="1">-IF(C225=1,(G225*'Invoer gegevens (N)'!$I$34)*'Reeksen (N)'!J225,0)</f>
        <v>0</v>
      </c>
      <c r="AS225" s="71">
        <f ca="1">-IF(C225=1,'Invoer gegevens (N)'!$C$10*'Invoer gegevens (N)'!$I$35*'Reeksen (N)'!L225,0)</f>
        <v>0</v>
      </c>
      <c r="AT225" s="71">
        <f ca="1">-IF(C225=1,IF(E225='Invoer gegevens (N)'!$C$17,'Invoer gegevens (N)'!$C$11,Q225)*'Reeksen (N)'!S225*'Invoer gegevens (N)'!$C$18*'Reeksen (N)'!P225,0)</f>
        <v>0</v>
      </c>
      <c r="AU225" s="71">
        <f ca="1">-IF(C225=1,'Invoer gegevens (N)'!$C$10*'Invoer gegevens (N)'!$I$36*'Reeksen (N)'!H225,0)</f>
        <v>0</v>
      </c>
      <c r="AV225" s="71">
        <v>0</v>
      </c>
      <c r="AW225" s="71">
        <f t="shared" ca="1" si="37"/>
        <v>0</v>
      </c>
      <c r="AX225" s="71">
        <f ca="1">IF(E225&lt;'Invoer gegevens (N)'!$C$17+15,0,IF(E225&gt;'Invoer gegevens (N)'!$C$17+215,0,AW225))</f>
        <v>0</v>
      </c>
      <c r="AY225" s="71">
        <f ca="1">AX225/(1+'Invoer gegevens (N)'!$F$13)^($AZ225-('Invoer gegevens (N)'!$C$17-'Invoer gegevens (N)'!$C$16))/(1+'Invoer gegevens (N)'!$C$39)^('Invoer gegevens (N)'!$C$17-'Invoer gegevens (N)'!$C$16)</f>
        <v>0</v>
      </c>
      <c r="AZ225" s="68">
        <f ca="1">IF(E225-'Invoer gegevens (N)'!$C$17-14.5&lt;0,0,E225-'Invoer gegevens (N)'!$C$17-14.5)</f>
        <v>205.5</v>
      </c>
    </row>
    <row r="226" spans="2:56" x14ac:dyDescent="0.25">
      <c r="B226" s="70">
        <f t="shared" si="38"/>
        <v>222</v>
      </c>
      <c r="C226" s="67">
        <f ca="1">IF(E226-'Invoer gegevens (N)'!$C$17&lt;0,0,1)</f>
        <v>1</v>
      </c>
      <c r="D226" s="68">
        <f t="shared" si="39"/>
        <v>221.5</v>
      </c>
      <c r="E226" s="69">
        <f ca="1">IF('Invoer gegevens (N)'!$C$16="","",E225+1)</f>
        <v>2240</v>
      </c>
      <c r="F226" s="82">
        <f ca="1">IF('Invoer gegevens (N)'!$C$17=E226,'Invoer gegevens (N)'!$C$10,IF(C226=1,H225,0))</f>
        <v>0</v>
      </c>
      <c r="G226" s="83">
        <f ca="1">IF(C226&gt;=1,F226*'Reeksen (N)'!C226,0)</f>
        <v>0</v>
      </c>
      <c r="H226" s="84">
        <f t="shared" ca="1" si="33"/>
        <v>0</v>
      </c>
      <c r="I226" s="85">
        <f ca="1">IF('Invoer gegevens (N)'!$C$17=E226,'Invoer gegevens (N)'!$C$11,IF(C226=1,L225,0))</f>
        <v>0</v>
      </c>
      <c r="J226" s="86">
        <f ca="1">IF(C226&lt;1,0,IF('Reeksen (N)'!AK226&lt;='Reeksen (N)'!AE226,I226*'Reeksen (N)'!C226,0))</f>
        <v>0</v>
      </c>
      <c r="K226" s="86">
        <f ca="1">IF(C226&lt;1,0,IF('Reeksen (N)'!AK226&gt;'Reeksen (N)'!AE226,I226*'Reeksen (N)'!C226,0))</f>
        <v>0</v>
      </c>
      <c r="L226" s="86">
        <f t="shared" ca="1" si="34"/>
        <v>0</v>
      </c>
      <c r="M226" s="85">
        <f ca="1">IF('Invoer gegevens (N)'!$C$17=E226,'Invoer gegevens (N)'!$C$10-'Invoer gegevens (N)'!$C$11,IF(C226=1,P225,0))</f>
        <v>0</v>
      </c>
      <c r="N226" s="86">
        <f ca="1">IF(C226&lt;1,0,IF('Reeksen (N)'!AK226&lt;='Reeksen (N)'!AE226,M226*'Reeksen (N)'!C226,0))</f>
        <v>0</v>
      </c>
      <c r="O226" s="86">
        <f ca="1">IF(C226&lt;1,0,IF('Reeksen (N)'!AK226&gt;'Reeksen (N)'!AE226,M226*'Reeksen (N)'!C226,0))</f>
        <v>0</v>
      </c>
      <c r="P226" s="86">
        <f t="shared" ca="1" si="35"/>
        <v>0</v>
      </c>
      <c r="Q226" s="82">
        <f ca="1">IF('Invoer gegevens (N)'!$C$17=E226,I226,IF(C226=0,0,R225))</f>
        <v>0</v>
      </c>
      <c r="R226" s="84">
        <f t="shared" ca="1" si="30"/>
        <v>0</v>
      </c>
      <c r="S226" s="84">
        <f ca="1">IF('Invoer gegevens (N)'!$C$17=E226,M226,IF(C226=0,0,T225))</f>
        <v>0</v>
      </c>
      <c r="T226" s="84">
        <f t="shared" ca="1" si="31"/>
        <v>0</v>
      </c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8"/>
      <c r="AI226" s="71">
        <f ca="1">IF(C226=1,((F226+H226)/2*'Reeksen (N)'!AJ226*12)+(('Invoer gegevens (N)'!$C$10-(F226+H226)/2)*'Reeksen (N)'!AK226*12),0)</f>
        <v>0</v>
      </c>
      <c r="AJ226" s="71">
        <f ca="1">-AI226*'Invoer gegevens (N)'!$F$28</f>
        <v>0</v>
      </c>
      <c r="AK226" s="71">
        <f t="shared" ca="1" si="32"/>
        <v>0</v>
      </c>
      <c r="AL226" s="71">
        <f ca="1">IF(C226=1,(12*((F226+H226)/2)*'Reeksen (N)'!AL226)+(12*('Invoer gegevens (N)'!$C$10-(F226+H226)/2)*'Reeksen (N)'!AM226),0)</f>
        <v>0</v>
      </c>
      <c r="AM226" s="71">
        <f ca="1">-AL226*'Invoer gegevens (N)'!$F$31</f>
        <v>0</v>
      </c>
      <c r="AN226" s="71">
        <f t="shared" ca="1" si="36"/>
        <v>0</v>
      </c>
      <c r="AO226" s="71"/>
      <c r="AP226" s="71"/>
      <c r="AQ226" s="71">
        <f ca="1">-IF(C226=1,('Invoer gegevens (N)'!$C$10*'Invoer gegevens (N)'!$I$33)*'Reeksen (N)'!J226,0)*2</f>
        <v>0</v>
      </c>
      <c r="AR226" s="71">
        <f ca="1">-IF(C226=1,(G226*'Invoer gegevens (N)'!$I$34)*'Reeksen (N)'!J226,0)</f>
        <v>0</v>
      </c>
      <c r="AS226" s="71">
        <f ca="1">-IF(C226=1,'Invoer gegevens (N)'!$C$10*'Invoer gegevens (N)'!$I$35*'Reeksen (N)'!L226,0)</f>
        <v>0</v>
      </c>
      <c r="AT226" s="71">
        <f ca="1">-IF(C226=1,IF(E226='Invoer gegevens (N)'!$C$17,'Invoer gegevens (N)'!$C$11,Q226)*'Reeksen (N)'!S226*'Invoer gegevens (N)'!$C$18*'Reeksen (N)'!P226,0)</f>
        <v>0</v>
      </c>
      <c r="AU226" s="71">
        <f ca="1">-IF(C226=1,'Invoer gegevens (N)'!$C$10*'Invoer gegevens (N)'!$I$36*'Reeksen (N)'!H226,0)</f>
        <v>0</v>
      </c>
      <c r="AV226" s="71">
        <v>0</v>
      </c>
      <c r="AW226" s="71">
        <f t="shared" ca="1" si="37"/>
        <v>0</v>
      </c>
      <c r="AX226" s="71">
        <f ca="1">IF(E226&lt;'Invoer gegevens (N)'!$C$17+15,0,IF(E226&gt;'Invoer gegevens (N)'!$C$17+215,0,AW226))</f>
        <v>0</v>
      </c>
      <c r="AY226" s="71">
        <f ca="1">AX226/(1+'Invoer gegevens (N)'!$F$13)^($AZ226-('Invoer gegevens (N)'!$C$17-'Invoer gegevens (N)'!$C$16))/(1+'Invoer gegevens (N)'!$C$39)^('Invoer gegevens (N)'!$C$17-'Invoer gegevens (N)'!$C$16)</f>
        <v>0</v>
      </c>
      <c r="AZ226" s="68">
        <f ca="1">IF(E226-'Invoer gegevens (N)'!$C$17-14.5&lt;0,0,E226-'Invoer gegevens (N)'!$C$17-14.5)</f>
        <v>206.5</v>
      </c>
    </row>
    <row r="227" spans="2:56" x14ac:dyDescent="0.25">
      <c r="B227" s="70">
        <f t="shared" si="38"/>
        <v>223</v>
      </c>
      <c r="C227" s="67">
        <f ca="1">IF(E227-'Invoer gegevens (N)'!$C$17&lt;0,0,1)</f>
        <v>1</v>
      </c>
      <c r="D227" s="68">
        <f t="shared" si="39"/>
        <v>222.5</v>
      </c>
      <c r="E227" s="69">
        <f ca="1">IF('Invoer gegevens (N)'!$C$16="","",E226+1)</f>
        <v>2241</v>
      </c>
      <c r="F227" s="82">
        <f ca="1">IF('Invoer gegevens (N)'!$C$17=E227,'Invoer gegevens (N)'!$C$10,IF(C227=1,H226,0))</f>
        <v>0</v>
      </c>
      <c r="G227" s="83">
        <f ca="1">IF(C227&gt;=1,F227*'Reeksen (N)'!C227,0)</f>
        <v>0</v>
      </c>
      <c r="H227" s="84">
        <f t="shared" ca="1" si="33"/>
        <v>0</v>
      </c>
      <c r="I227" s="85">
        <f ca="1">IF('Invoer gegevens (N)'!$C$17=E227,'Invoer gegevens (N)'!$C$11,IF(C227=1,L226,0))</f>
        <v>0</v>
      </c>
      <c r="J227" s="86">
        <f ca="1">IF(C227&lt;1,0,IF('Reeksen (N)'!AK227&lt;='Reeksen (N)'!AE227,I227*'Reeksen (N)'!C227,0))</f>
        <v>0</v>
      </c>
      <c r="K227" s="86">
        <f ca="1">IF(C227&lt;1,0,IF('Reeksen (N)'!AK227&gt;'Reeksen (N)'!AE227,I227*'Reeksen (N)'!C227,0))</f>
        <v>0</v>
      </c>
      <c r="L227" s="86">
        <f t="shared" ca="1" si="34"/>
        <v>0</v>
      </c>
      <c r="M227" s="85">
        <f ca="1">IF('Invoer gegevens (N)'!$C$17=E227,'Invoer gegevens (N)'!$C$10-'Invoer gegevens (N)'!$C$11,IF(C227=1,P226,0))</f>
        <v>0</v>
      </c>
      <c r="N227" s="86">
        <f ca="1">IF(C227&lt;1,0,IF('Reeksen (N)'!AK227&lt;='Reeksen (N)'!AE227,M227*'Reeksen (N)'!C227,0))</f>
        <v>0</v>
      </c>
      <c r="O227" s="86">
        <f ca="1">IF(C227&lt;1,0,IF('Reeksen (N)'!AK227&gt;'Reeksen (N)'!AE227,M227*'Reeksen (N)'!C227,0))</f>
        <v>0</v>
      </c>
      <c r="P227" s="86">
        <f t="shared" ca="1" si="35"/>
        <v>0</v>
      </c>
      <c r="Q227" s="82">
        <f ca="1">IF('Invoer gegevens (N)'!$C$17=E227,I227,IF(C227=0,0,R226))</f>
        <v>0</v>
      </c>
      <c r="R227" s="84">
        <f t="shared" ca="1" si="30"/>
        <v>0</v>
      </c>
      <c r="S227" s="84">
        <f ca="1">IF('Invoer gegevens (N)'!$C$17=E227,M227,IF(C227=0,0,T226))</f>
        <v>0</v>
      </c>
      <c r="T227" s="84">
        <f t="shared" ca="1" si="31"/>
        <v>0</v>
      </c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8"/>
      <c r="AI227" s="71">
        <f ca="1">IF(C227=1,((F227+H227)/2*'Reeksen (N)'!AJ227*12)+(('Invoer gegevens (N)'!$C$10-(F227+H227)/2)*'Reeksen (N)'!AK227*12),0)</f>
        <v>0</v>
      </c>
      <c r="AJ227" s="71">
        <f ca="1">-AI227*'Invoer gegevens (N)'!$F$28</f>
        <v>0</v>
      </c>
      <c r="AK227" s="71">
        <f t="shared" ca="1" si="32"/>
        <v>0</v>
      </c>
      <c r="AL227" s="71">
        <f ca="1">IF(C227=1,(12*((F227+H227)/2)*'Reeksen (N)'!AL227)+(12*('Invoer gegevens (N)'!$C$10-(F227+H227)/2)*'Reeksen (N)'!AM227),0)</f>
        <v>0</v>
      </c>
      <c r="AM227" s="71">
        <f ca="1">-AL227*'Invoer gegevens (N)'!$F$31</f>
        <v>0</v>
      </c>
      <c r="AN227" s="71">
        <f t="shared" ca="1" si="36"/>
        <v>0</v>
      </c>
      <c r="AO227" s="71"/>
      <c r="AP227" s="71"/>
      <c r="AQ227" s="71">
        <f ca="1">-IF(C227=1,('Invoer gegevens (N)'!$C$10*'Invoer gegevens (N)'!$I$33)*'Reeksen (N)'!J227,0)*2</f>
        <v>0</v>
      </c>
      <c r="AR227" s="71">
        <f ca="1">-IF(C227=1,(G227*'Invoer gegevens (N)'!$I$34)*'Reeksen (N)'!J227,0)</f>
        <v>0</v>
      </c>
      <c r="AS227" s="71">
        <f ca="1">-IF(C227=1,'Invoer gegevens (N)'!$C$10*'Invoer gegevens (N)'!$I$35*'Reeksen (N)'!L227,0)</f>
        <v>0</v>
      </c>
      <c r="AT227" s="71">
        <f ca="1">-IF(C227=1,IF(E227='Invoer gegevens (N)'!$C$17,'Invoer gegevens (N)'!$C$11,Q227)*'Reeksen (N)'!S227*'Invoer gegevens (N)'!$C$18*'Reeksen (N)'!P227,0)</f>
        <v>0</v>
      </c>
      <c r="AU227" s="71">
        <f ca="1">-IF(C227=1,'Invoer gegevens (N)'!$C$10*'Invoer gegevens (N)'!$I$36*'Reeksen (N)'!H227,0)</f>
        <v>0</v>
      </c>
      <c r="AV227" s="71">
        <v>0</v>
      </c>
      <c r="AW227" s="71">
        <f t="shared" ca="1" si="37"/>
        <v>0</v>
      </c>
      <c r="AX227" s="71">
        <f ca="1">IF(E227&lt;'Invoer gegevens (N)'!$C$17+15,0,IF(E227&gt;'Invoer gegevens (N)'!$C$17+215,0,AW227))</f>
        <v>0</v>
      </c>
      <c r="AY227" s="71">
        <f ca="1">AX227/(1+'Invoer gegevens (N)'!$F$13)^($AZ227-('Invoer gegevens (N)'!$C$17-'Invoer gegevens (N)'!$C$16))/(1+'Invoer gegevens (N)'!$C$39)^('Invoer gegevens (N)'!$C$17-'Invoer gegevens (N)'!$C$16)</f>
        <v>0</v>
      </c>
      <c r="AZ227" s="68">
        <f ca="1">IF(E227-'Invoer gegevens (N)'!$C$17-14.5&lt;0,0,E227-'Invoer gegevens (N)'!$C$17-14.5)</f>
        <v>207.5</v>
      </c>
    </row>
    <row r="228" spans="2:56" x14ac:dyDescent="0.25">
      <c r="B228" s="70">
        <f t="shared" si="38"/>
        <v>224</v>
      </c>
      <c r="C228" s="67">
        <f ca="1">IF(E228-'Invoer gegevens (N)'!$C$17&lt;0,0,1)</f>
        <v>1</v>
      </c>
      <c r="D228" s="68">
        <f t="shared" si="39"/>
        <v>223.5</v>
      </c>
      <c r="E228" s="69">
        <f ca="1">IF('Invoer gegevens (N)'!$C$16="","",E227+1)</f>
        <v>2242</v>
      </c>
      <c r="F228" s="82">
        <f ca="1">IF('Invoer gegevens (N)'!$C$17=E228,'Invoer gegevens (N)'!$C$10,IF(C228=1,H227,0))</f>
        <v>0</v>
      </c>
      <c r="G228" s="83">
        <f ca="1">IF(C228&gt;=1,F228*'Reeksen (N)'!C228,0)</f>
        <v>0</v>
      </c>
      <c r="H228" s="84">
        <f t="shared" ca="1" si="33"/>
        <v>0</v>
      </c>
      <c r="I228" s="85">
        <f ca="1">IF('Invoer gegevens (N)'!$C$17=E228,'Invoer gegevens (N)'!$C$11,IF(C228=1,L227,0))</f>
        <v>0</v>
      </c>
      <c r="J228" s="86">
        <f ca="1">IF(C228&lt;1,0,IF('Reeksen (N)'!AK228&lt;='Reeksen (N)'!AE228,I228*'Reeksen (N)'!C228,0))</f>
        <v>0</v>
      </c>
      <c r="K228" s="86">
        <f ca="1">IF(C228&lt;1,0,IF('Reeksen (N)'!AK228&gt;'Reeksen (N)'!AE228,I228*'Reeksen (N)'!C228,0))</f>
        <v>0</v>
      </c>
      <c r="L228" s="86">
        <f t="shared" ca="1" si="34"/>
        <v>0</v>
      </c>
      <c r="M228" s="85">
        <f ca="1">IF('Invoer gegevens (N)'!$C$17=E228,'Invoer gegevens (N)'!$C$10-'Invoer gegevens (N)'!$C$11,IF(C228=1,P227,0))</f>
        <v>0</v>
      </c>
      <c r="N228" s="86">
        <f ca="1">IF(C228&lt;1,0,IF('Reeksen (N)'!AK228&lt;='Reeksen (N)'!AE228,M228*'Reeksen (N)'!C228,0))</f>
        <v>0</v>
      </c>
      <c r="O228" s="86">
        <f ca="1">IF(C228&lt;1,0,IF('Reeksen (N)'!AK228&gt;'Reeksen (N)'!AE228,M228*'Reeksen (N)'!C228,0))</f>
        <v>0</v>
      </c>
      <c r="P228" s="86">
        <f t="shared" ca="1" si="35"/>
        <v>0</v>
      </c>
      <c r="Q228" s="82">
        <f ca="1">IF('Invoer gegevens (N)'!$C$17=E228,I228,IF(C228=0,0,R227))</f>
        <v>0</v>
      </c>
      <c r="R228" s="84">
        <f t="shared" ca="1" si="30"/>
        <v>0</v>
      </c>
      <c r="S228" s="84">
        <f ca="1">IF('Invoer gegevens (N)'!$C$17=E228,M228,IF(C228=0,0,T227))</f>
        <v>0</v>
      </c>
      <c r="T228" s="84">
        <f t="shared" ca="1" si="31"/>
        <v>0</v>
      </c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8"/>
      <c r="AI228" s="71">
        <f ca="1">IF(C228=1,((F228+H228)/2*'Reeksen (N)'!AJ228*12)+(('Invoer gegevens (N)'!$C$10-(F228+H228)/2)*'Reeksen (N)'!AK228*12),0)</f>
        <v>0</v>
      </c>
      <c r="AJ228" s="71">
        <f ca="1">-AI228*'Invoer gegevens (N)'!$F$28</f>
        <v>0</v>
      </c>
      <c r="AK228" s="71">
        <f t="shared" ca="1" si="32"/>
        <v>0</v>
      </c>
      <c r="AL228" s="71">
        <f ca="1">IF(C228=1,(12*((F228+H228)/2)*'Reeksen (N)'!AL228)+(12*('Invoer gegevens (N)'!$C$10-(F228+H228)/2)*'Reeksen (N)'!AM228),0)</f>
        <v>0</v>
      </c>
      <c r="AM228" s="71">
        <f ca="1">-AL228*'Invoer gegevens (N)'!$F$31</f>
        <v>0</v>
      </c>
      <c r="AN228" s="71">
        <f t="shared" ca="1" si="36"/>
        <v>0</v>
      </c>
      <c r="AO228" s="71"/>
      <c r="AP228" s="71"/>
      <c r="AQ228" s="71">
        <f ca="1">-IF(C228=1,('Invoer gegevens (N)'!$C$10*'Invoer gegevens (N)'!$I$33)*'Reeksen (N)'!J228,0)*2</f>
        <v>0</v>
      </c>
      <c r="AR228" s="71">
        <f ca="1">-IF(C228=1,(G228*'Invoer gegevens (N)'!$I$34)*'Reeksen (N)'!J228,0)</f>
        <v>0</v>
      </c>
      <c r="AS228" s="71">
        <f ca="1">-IF(C228=1,'Invoer gegevens (N)'!$C$10*'Invoer gegevens (N)'!$I$35*'Reeksen (N)'!L228,0)</f>
        <v>0</v>
      </c>
      <c r="AT228" s="71">
        <f ca="1">-IF(C228=1,IF(E228='Invoer gegevens (N)'!$C$17,'Invoer gegevens (N)'!$C$11,Q228)*'Reeksen (N)'!S228*'Invoer gegevens (N)'!$C$18*'Reeksen (N)'!P228,0)</f>
        <v>0</v>
      </c>
      <c r="AU228" s="71">
        <f ca="1">-IF(C228=1,'Invoer gegevens (N)'!$C$10*'Invoer gegevens (N)'!$I$36*'Reeksen (N)'!H228,0)</f>
        <v>0</v>
      </c>
      <c r="AV228" s="71">
        <v>0</v>
      </c>
      <c r="AW228" s="71">
        <f t="shared" ca="1" si="37"/>
        <v>0</v>
      </c>
      <c r="AX228" s="71">
        <f ca="1">IF(E228&lt;'Invoer gegevens (N)'!$C$17+15,0,IF(E228&gt;'Invoer gegevens (N)'!$C$17+215,0,AW228))</f>
        <v>0</v>
      </c>
      <c r="AY228" s="71">
        <f ca="1">AX228/(1+'Invoer gegevens (N)'!$F$13)^($AZ228-('Invoer gegevens (N)'!$C$17-'Invoer gegevens (N)'!$C$16))/(1+'Invoer gegevens (N)'!$C$39)^('Invoer gegevens (N)'!$C$17-'Invoer gegevens (N)'!$C$16)</f>
        <v>0</v>
      </c>
      <c r="AZ228" s="68">
        <f ca="1">IF(E228-'Invoer gegevens (N)'!$C$17-14.5&lt;0,0,E228-'Invoer gegevens (N)'!$C$17-14.5)</f>
        <v>208.5</v>
      </c>
    </row>
    <row r="229" spans="2:56" x14ac:dyDescent="0.25">
      <c r="B229" s="70">
        <f t="shared" si="38"/>
        <v>225</v>
      </c>
      <c r="C229" s="67">
        <f ca="1">IF(E229-'Invoer gegevens (N)'!$C$17&lt;0,0,1)</f>
        <v>1</v>
      </c>
      <c r="D229" s="68">
        <f t="shared" si="39"/>
        <v>224.5</v>
      </c>
      <c r="E229" s="69">
        <f ca="1">IF('Invoer gegevens (N)'!$C$16="","",E228+1)</f>
        <v>2243</v>
      </c>
      <c r="F229" s="82">
        <f ca="1">IF('Invoer gegevens (N)'!$C$17=E229,'Invoer gegevens (N)'!$C$10,IF(C229=1,H228,0))</f>
        <v>0</v>
      </c>
      <c r="G229" s="83">
        <f ca="1">IF(C229&gt;=1,F229*'Reeksen (N)'!C229,0)</f>
        <v>0</v>
      </c>
      <c r="H229" s="84">
        <f t="shared" ca="1" si="33"/>
        <v>0</v>
      </c>
      <c r="I229" s="85">
        <f ca="1">IF('Invoer gegevens (N)'!$C$17=E229,'Invoer gegevens (N)'!$C$11,IF(C229=1,L228,0))</f>
        <v>0</v>
      </c>
      <c r="J229" s="86">
        <f ca="1">IF(C229&lt;1,0,IF('Reeksen (N)'!AK229&lt;='Reeksen (N)'!AE229,I229*'Reeksen (N)'!C229,0))</f>
        <v>0</v>
      </c>
      <c r="K229" s="86">
        <f ca="1">IF(C229&lt;1,0,IF('Reeksen (N)'!AK229&gt;'Reeksen (N)'!AE229,I229*'Reeksen (N)'!C229,0))</f>
        <v>0</v>
      </c>
      <c r="L229" s="86">
        <f t="shared" ca="1" si="34"/>
        <v>0</v>
      </c>
      <c r="M229" s="85">
        <f ca="1">IF('Invoer gegevens (N)'!$C$17=E229,'Invoer gegevens (N)'!$C$10-'Invoer gegevens (N)'!$C$11,IF(C229=1,P228,0))</f>
        <v>0</v>
      </c>
      <c r="N229" s="86">
        <f ca="1">IF(C229&lt;1,0,IF('Reeksen (N)'!AK229&lt;='Reeksen (N)'!AE229,M229*'Reeksen (N)'!C229,0))</f>
        <v>0</v>
      </c>
      <c r="O229" s="86">
        <f ca="1">IF(C229&lt;1,0,IF('Reeksen (N)'!AK229&gt;'Reeksen (N)'!AE229,M229*'Reeksen (N)'!C229,0))</f>
        <v>0</v>
      </c>
      <c r="P229" s="86">
        <f t="shared" ca="1" si="35"/>
        <v>0</v>
      </c>
      <c r="Q229" s="82">
        <f ca="1">IF('Invoer gegevens (N)'!$C$17=E229,I229,IF(C229=0,0,R228))</f>
        <v>0</v>
      </c>
      <c r="R229" s="84">
        <f t="shared" ca="1" si="30"/>
        <v>0</v>
      </c>
      <c r="S229" s="84">
        <f ca="1">IF('Invoer gegevens (N)'!$C$17=E229,M229,IF(C229=0,0,T228))</f>
        <v>0</v>
      </c>
      <c r="T229" s="84">
        <f t="shared" ca="1" si="31"/>
        <v>0</v>
      </c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8"/>
      <c r="AI229" s="71">
        <f ca="1">IF(C229=1,((F229+H229)/2*'Reeksen (N)'!AJ229*12)+(('Invoer gegevens (N)'!$C$10-(F229+H229)/2)*'Reeksen (N)'!AK229*12),0)</f>
        <v>0</v>
      </c>
      <c r="AJ229" s="71">
        <f ca="1">-AI229*'Invoer gegevens (N)'!$F$28</f>
        <v>0</v>
      </c>
      <c r="AK229" s="71">
        <f t="shared" ca="1" si="32"/>
        <v>0</v>
      </c>
      <c r="AL229" s="71">
        <f ca="1">IF(C229=1,(12*((F229+H229)/2)*'Reeksen (N)'!AL229)+(12*('Invoer gegevens (N)'!$C$10-(F229+H229)/2)*'Reeksen (N)'!AM229),0)</f>
        <v>0</v>
      </c>
      <c r="AM229" s="71">
        <f ca="1">-AL229*'Invoer gegevens (N)'!$F$31</f>
        <v>0</v>
      </c>
      <c r="AN229" s="71">
        <f t="shared" ca="1" si="36"/>
        <v>0</v>
      </c>
      <c r="AO229" s="71"/>
      <c r="AP229" s="71"/>
      <c r="AQ229" s="71">
        <f ca="1">-IF(C229=1,('Invoer gegevens (N)'!$C$10*'Invoer gegevens (N)'!$I$33)*'Reeksen (N)'!J229,0)*2</f>
        <v>0</v>
      </c>
      <c r="AR229" s="71">
        <f ca="1">-IF(C229=1,(G229*'Invoer gegevens (N)'!$I$34)*'Reeksen (N)'!J229,0)</f>
        <v>0</v>
      </c>
      <c r="AS229" s="71">
        <f ca="1">-IF(C229=1,'Invoer gegevens (N)'!$C$10*'Invoer gegevens (N)'!$I$35*'Reeksen (N)'!L229,0)</f>
        <v>0</v>
      </c>
      <c r="AT229" s="71">
        <f ca="1">-IF(C229=1,IF(E229='Invoer gegevens (N)'!$C$17,'Invoer gegevens (N)'!$C$11,Q229)*'Reeksen (N)'!S229*'Invoer gegevens (N)'!$C$18*'Reeksen (N)'!P229,0)</f>
        <v>0</v>
      </c>
      <c r="AU229" s="71">
        <f ca="1">-IF(C229=1,'Invoer gegevens (N)'!$C$10*'Invoer gegevens (N)'!$I$36*'Reeksen (N)'!H229,0)</f>
        <v>0</v>
      </c>
      <c r="AV229" s="71">
        <v>0</v>
      </c>
      <c r="AW229" s="71">
        <f t="shared" ca="1" si="37"/>
        <v>0</v>
      </c>
      <c r="AX229" s="71">
        <f ca="1">IF(E229&lt;'Invoer gegevens (N)'!$C$17+15,0,IF(E229&gt;'Invoer gegevens (N)'!$C$17+215,0,AW229))</f>
        <v>0</v>
      </c>
      <c r="AY229" s="71">
        <f ca="1">AX229/(1+'Invoer gegevens (N)'!$F$13)^($AZ229-('Invoer gegevens (N)'!$C$17-'Invoer gegevens (N)'!$C$16))/(1+'Invoer gegevens (N)'!$C$39)^('Invoer gegevens (N)'!$C$17-'Invoer gegevens (N)'!$C$16)</f>
        <v>0</v>
      </c>
      <c r="AZ229" s="68">
        <f ca="1">IF(E229-'Invoer gegevens (N)'!$C$17-14.5&lt;0,0,E229-'Invoer gegevens (N)'!$C$17-14.5)</f>
        <v>209.5</v>
      </c>
    </row>
    <row r="230" spans="2:56" x14ac:dyDescent="0.25">
      <c r="B230" s="70">
        <f t="shared" si="38"/>
        <v>226</v>
      </c>
      <c r="C230" s="67">
        <f ca="1">IF(E230-'Invoer gegevens (N)'!$C$17&lt;0,0,1)</f>
        <v>1</v>
      </c>
      <c r="D230" s="68">
        <f t="shared" si="39"/>
        <v>225.5</v>
      </c>
      <c r="E230" s="69">
        <f ca="1">IF('Invoer gegevens (N)'!$C$16="","",E229+1)</f>
        <v>2244</v>
      </c>
      <c r="F230" s="82">
        <f ca="1">IF('Invoer gegevens (N)'!$C$17=E230,'Invoer gegevens (N)'!$C$10,IF(C230=1,H229,0))</f>
        <v>0</v>
      </c>
      <c r="G230" s="83">
        <f ca="1">IF(C230&gt;=1,F230*'Reeksen (N)'!C230,0)</f>
        <v>0</v>
      </c>
      <c r="H230" s="84">
        <f t="shared" ca="1" si="33"/>
        <v>0</v>
      </c>
      <c r="I230" s="85">
        <f ca="1">IF('Invoer gegevens (N)'!$C$17=E230,'Invoer gegevens (N)'!$C$11,IF(C230=1,L229,0))</f>
        <v>0</v>
      </c>
      <c r="J230" s="86">
        <f ca="1">IF(C230&lt;1,0,IF('Reeksen (N)'!AK230&lt;='Reeksen (N)'!AE230,I230*'Reeksen (N)'!C230,0))</f>
        <v>0</v>
      </c>
      <c r="K230" s="86">
        <f ca="1">IF(C230&lt;1,0,IF('Reeksen (N)'!AK230&gt;'Reeksen (N)'!AE230,I230*'Reeksen (N)'!C230,0))</f>
        <v>0</v>
      </c>
      <c r="L230" s="86">
        <f t="shared" ca="1" si="34"/>
        <v>0</v>
      </c>
      <c r="M230" s="85">
        <f ca="1">IF('Invoer gegevens (N)'!$C$17=E230,'Invoer gegevens (N)'!$C$10-'Invoer gegevens (N)'!$C$11,IF(C230=1,P229,0))</f>
        <v>0</v>
      </c>
      <c r="N230" s="86">
        <f ca="1">IF(C230&lt;1,0,IF('Reeksen (N)'!AK230&lt;='Reeksen (N)'!AE230,M230*'Reeksen (N)'!C230,0))</f>
        <v>0</v>
      </c>
      <c r="O230" s="86">
        <f ca="1">IF(C230&lt;1,0,IF('Reeksen (N)'!AK230&gt;'Reeksen (N)'!AE230,M230*'Reeksen (N)'!C230,0))</f>
        <v>0</v>
      </c>
      <c r="P230" s="86">
        <f t="shared" ca="1" si="35"/>
        <v>0</v>
      </c>
      <c r="Q230" s="82">
        <f ca="1">IF('Invoer gegevens (N)'!$C$17=E230,I230,IF(C230=0,0,R229))</f>
        <v>0</v>
      </c>
      <c r="R230" s="84">
        <f t="shared" ca="1" si="30"/>
        <v>0</v>
      </c>
      <c r="S230" s="84">
        <f ca="1">IF('Invoer gegevens (N)'!$C$17=E230,M230,IF(C230=0,0,T229))</f>
        <v>0</v>
      </c>
      <c r="T230" s="84">
        <f t="shared" ca="1" si="31"/>
        <v>0</v>
      </c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8"/>
      <c r="AI230" s="71">
        <f ca="1">IF(C230=1,((F230+H230)/2*'Reeksen (N)'!AJ230*12)+(('Invoer gegevens (N)'!$C$10-(F230+H230)/2)*'Reeksen (N)'!AK230*12),0)</f>
        <v>0</v>
      </c>
      <c r="AJ230" s="71">
        <f ca="1">-AI230*'Invoer gegevens (N)'!$F$28</f>
        <v>0</v>
      </c>
      <c r="AK230" s="71">
        <f t="shared" ca="1" si="32"/>
        <v>0</v>
      </c>
      <c r="AL230" s="71">
        <f ca="1">IF(C230=1,(12*((F230+H230)/2)*'Reeksen (N)'!AL230)+(12*('Invoer gegevens (N)'!$C$10-(F230+H230)/2)*'Reeksen (N)'!AM230),0)</f>
        <v>0</v>
      </c>
      <c r="AM230" s="71">
        <f ca="1">-AL230*'Invoer gegevens (N)'!$F$31</f>
        <v>0</v>
      </c>
      <c r="AN230" s="71">
        <f t="shared" ca="1" si="36"/>
        <v>0</v>
      </c>
      <c r="AO230" s="71"/>
      <c r="AP230" s="71"/>
      <c r="AQ230" s="71">
        <f ca="1">-IF(C230=1,('Invoer gegevens (N)'!$C$10*'Invoer gegevens (N)'!$I$33)*'Reeksen (N)'!J230,0)*2</f>
        <v>0</v>
      </c>
      <c r="AR230" s="71">
        <f ca="1">-IF(C230=1,(G230*'Invoer gegevens (N)'!$I$34)*'Reeksen (N)'!J230,0)</f>
        <v>0</v>
      </c>
      <c r="AS230" s="71">
        <f ca="1">-IF(C230=1,'Invoer gegevens (N)'!$C$10*'Invoer gegevens (N)'!$I$35*'Reeksen (N)'!L230,0)</f>
        <v>0</v>
      </c>
      <c r="AT230" s="71">
        <f ca="1">-IF(C230=1,IF(E230='Invoer gegevens (N)'!$C$17,'Invoer gegevens (N)'!$C$11,Q230)*'Reeksen (N)'!S230*'Invoer gegevens (N)'!$C$18*'Reeksen (N)'!P230,0)</f>
        <v>0</v>
      </c>
      <c r="AU230" s="71">
        <f ca="1">-IF(C230=1,'Invoer gegevens (N)'!$C$10*'Invoer gegevens (N)'!$I$36*'Reeksen (N)'!H230,0)</f>
        <v>0</v>
      </c>
      <c r="AV230" s="71">
        <v>0</v>
      </c>
      <c r="AW230" s="71">
        <f t="shared" ca="1" si="37"/>
        <v>0</v>
      </c>
      <c r="AX230" s="71">
        <f ca="1">IF(E230&lt;'Invoer gegevens (N)'!$C$17+15,0,IF(E230&gt;'Invoer gegevens (N)'!$C$17+215,0,AW230))</f>
        <v>0</v>
      </c>
      <c r="AY230" s="71">
        <f ca="1">AX230/(1+'Invoer gegevens (N)'!$F$13)^($AZ230-('Invoer gegevens (N)'!$C$17-'Invoer gegevens (N)'!$C$16))/(1+'Invoer gegevens (N)'!$C$39)^('Invoer gegevens (N)'!$C$17-'Invoer gegevens (N)'!$C$16)</f>
        <v>0</v>
      </c>
      <c r="AZ230" s="68">
        <f ca="1">IF(E230-'Invoer gegevens (N)'!$C$17-14.5&lt;0,0,E230-'Invoer gegevens (N)'!$C$17-14.5)</f>
        <v>210.5</v>
      </c>
    </row>
    <row r="231" spans="2:56" x14ac:dyDescent="0.25">
      <c r="B231" s="70">
        <f t="shared" si="38"/>
        <v>227</v>
      </c>
      <c r="C231" s="67">
        <f ca="1">IF(E231-'Invoer gegevens (N)'!$C$17&lt;0,0,1)</f>
        <v>1</v>
      </c>
      <c r="D231" s="68">
        <f t="shared" si="39"/>
        <v>226.5</v>
      </c>
      <c r="E231" s="69">
        <f ca="1">IF('Invoer gegevens (N)'!$C$16="","",E230+1)</f>
        <v>2245</v>
      </c>
      <c r="F231" s="82">
        <f ca="1">IF('Invoer gegevens (N)'!$C$17=E231,'Invoer gegevens (N)'!$C$10,IF(C231=1,H230,0))</f>
        <v>0</v>
      </c>
      <c r="G231" s="83">
        <f ca="1">IF(C231&gt;=1,F231*'Reeksen (N)'!C231,0)</f>
        <v>0</v>
      </c>
      <c r="H231" s="84">
        <f t="shared" ca="1" si="33"/>
        <v>0</v>
      </c>
      <c r="I231" s="85">
        <f ca="1">IF('Invoer gegevens (N)'!$C$17=E231,'Invoer gegevens (N)'!$C$11,IF(C231=1,L230,0))</f>
        <v>0</v>
      </c>
      <c r="J231" s="86">
        <f ca="1">IF(C231&lt;1,0,IF('Reeksen (N)'!AK231&lt;='Reeksen (N)'!AE231,I231*'Reeksen (N)'!C231,0))</f>
        <v>0</v>
      </c>
      <c r="K231" s="86">
        <f ca="1">IF(C231&lt;1,0,IF('Reeksen (N)'!AK231&gt;'Reeksen (N)'!AE231,I231*'Reeksen (N)'!C231,0))</f>
        <v>0</v>
      </c>
      <c r="L231" s="86">
        <f t="shared" ca="1" si="34"/>
        <v>0</v>
      </c>
      <c r="M231" s="85">
        <f ca="1">IF('Invoer gegevens (N)'!$C$17=E231,'Invoer gegevens (N)'!$C$10-'Invoer gegevens (N)'!$C$11,IF(C231=1,P230,0))</f>
        <v>0</v>
      </c>
      <c r="N231" s="86">
        <f ca="1">IF(C231&lt;1,0,IF('Reeksen (N)'!AK231&lt;='Reeksen (N)'!AE231,M231*'Reeksen (N)'!C231,0))</f>
        <v>0</v>
      </c>
      <c r="O231" s="86">
        <f ca="1">IF(C231&lt;1,0,IF('Reeksen (N)'!AK231&gt;'Reeksen (N)'!AE231,M231*'Reeksen (N)'!C231,0))</f>
        <v>0</v>
      </c>
      <c r="P231" s="86">
        <f t="shared" ca="1" si="35"/>
        <v>0</v>
      </c>
      <c r="Q231" s="82">
        <f ca="1">IF('Invoer gegevens (N)'!$C$17=E231,I231,IF(C231=0,0,R230))</f>
        <v>0</v>
      </c>
      <c r="R231" s="84">
        <f t="shared" ca="1" si="30"/>
        <v>0</v>
      </c>
      <c r="S231" s="84">
        <f ca="1">IF('Invoer gegevens (N)'!$C$17=E231,M231,IF(C231=0,0,T230))</f>
        <v>0</v>
      </c>
      <c r="T231" s="84">
        <f t="shared" ca="1" si="31"/>
        <v>0</v>
      </c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8"/>
      <c r="AI231" s="71">
        <f ca="1">IF(C231=1,((F231+H231)/2*'Reeksen (N)'!AJ231*12)+(('Invoer gegevens (N)'!$C$10-(F231+H231)/2)*'Reeksen (N)'!AK231*12),0)</f>
        <v>0</v>
      </c>
      <c r="AJ231" s="71">
        <f ca="1">-AI231*'Invoer gegevens (N)'!$F$28</f>
        <v>0</v>
      </c>
      <c r="AK231" s="71">
        <f t="shared" ca="1" si="32"/>
        <v>0</v>
      </c>
      <c r="AL231" s="71">
        <f ca="1">IF(C231=1,(12*((F231+H231)/2)*'Reeksen (N)'!AL231)+(12*('Invoer gegevens (N)'!$C$10-(F231+H231)/2)*'Reeksen (N)'!AM231),0)</f>
        <v>0</v>
      </c>
      <c r="AM231" s="71">
        <f ca="1">-AL231*'Invoer gegevens (N)'!$F$31</f>
        <v>0</v>
      </c>
      <c r="AN231" s="71">
        <f t="shared" ca="1" si="36"/>
        <v>0</v>
      </c>
      <c r="AO231" s="71"/>
      <c r="AP231" s="71"/>
      <c r="AQ231" s="71">
        <f ca="1">-IF(C231=1,('Invoer gegevens (N)'!$C$10*'Invoer gegevens (N)'!$I$33)*'Reeksen (N)'!J231,0)*2</f>
        <v>0</v>
      </c>
      <c r="AR231" s="71">
        <f ca="1">-IF(C231=1,(G231*'Invoer gegevens (N)'!$I$34)*'Reeksen (N)'!J231,0)</f>
        <v>0</v>
      </c>
      <c r="AS231" s="71">
        <f ca="1">-IF(C231=1,'Invoer gegevens (N)'!$C$10*'Invoer gegevens (N)'!$I$35*'Reeksen (N)'!L231,0)</f>
        <v>0</v>
      </c>
      <c r="AT231" s="71">
        <f ca="1">-IF(C231=1,IF(E231='Invoer gegevens (N)'!$C$17,'Invoer gegevens (N)'!$C$11,Q231)*'Reeksen (N)'!S231*'Invoer gegevens (N)'!$C$18*'Reeksen (N)'!P231,0)</f>
        <v>0</v>
      </c>
      <c r="AU231" s="71">
        <f ca="1">-IF(C231=1,'Invoer gegevens (N)'!$C$10*'Invoer gegevens (N)'!$I$36*'Reeksen (N)'!H231,0)</f>
        <v>0</v>
      </c>
      <c r="AV231" s="71">
        <v>0</v>
      </c>
      <c r="AW231" s="71">
        <f t="shared" ca="1" si="37"/>
        <v>0</v>
      </c>
      <c r="AX231" s="71">
        <f ca="1">IF(E231&lt;'Invoer gegevens (N)'!$C$17+15,0,IF(E231&gt;'Invoer gegevens (N)'!$C$17+215,0,AW231))</f>
        <v>0</v>
      </c>
      <c r="AY231" s="71">
        <f ca="1">AX231/(1+'Invoer gegevens (N)'!$F$13)^($AZ231-('Invoer gegevens (N)'!$C$17-'Invoer gegevens (N)'!$C$16))/(1+'Invoer gegevens (N)'!$C$39)^('Invoer gegevens (N)'!$C$17-'Invoer gegevens (N)'!$C$16)</f>
        <v>0</v>
      </c>
      <c r="AZ231" s="68">
        <f ca="1">IF(E231-'Invoer gegevens (N)'!$C$17-14.5&lt;0,0,E231-'Invoer gegevens (N)'!$C$17-14.5)</f>
        <v>211.5</v>
      </c>
    </row>
    <row r="232" spans="2:56" x14ac:dyDescent="0.25">
      <c r="B232" s="70">
        <f t="shared" si="38"/>
        <v>228</v>
      </c>
      <c r="C232" s="67">
        <f ca="1">IF(E232-'Invoer gegevens (N)'!$C$17&lt;0,0,1)</f>
        <v>1</v>
      </c>
      <c r="D232" s="68">
        <f t="shared" si="39"/>
        <v>227.5</v>
      </c>
      <c r="E232" s="69">
        <f ca="1">IF('Invoer gegevens (N)'!$C$16="","",E231+1)</f>
        <v>2246</v>
      </c>
      <c r="F232" s="82">
        <f ca="1">IF('Invoer gegevens (N)'!$C$17=E232,'Invoer gegevens (N)'!$C$10,IF(C232=1,H231,0))</f>
        <v>0</v>
      </c>
      <c r="G232" s="83">
        <f ca="1">IF(C232&gt;=1,F232*'Reeksen (N)'!C232,0)</f>
        <v>0</v>
      </c>
      <c r="H232" s="84">
        <f t="shared" ca="1" si="33"/>
        <v>0</v>
      </c>
      <c r="I232" s="85">
        <f ca="1">IF('Invoer gegevens (N)'!$C$17=E232,'Invoer gegevens (N)'!$C$11,IF(C232=1,L231,0))</f>
        <v>0</v>
      </c>
      <c r="J232" s="86">
        <f ca="1">IF(C232&lt;1,0,IF('Reeksen (N)'!AK232&lt;='Reeksen (N)'!AE232,I232*'Reeksen (N)'!C232,0))</f>
        <v>0</v>
      </c>
      <c r="K232" s="86">
        <f ca="1">IF(C232&lt;1,0,IF('Reeksen (N)'!AK232&gt;'Reeksen (N)'!AE232,I232*'Reeksen (N)'!C232,0))</f>
        <v>0</v>
      </c>
      <c r="L232" s="86">
        <f t="shared" ca="1" si="34"/>
        <v>0</v>
      </c>
      <c r="M232" s="85">
        <f ca="1">IF('Invoer gegevens (N)'!$C$17=E232,'Invoer gegevens (N)'!$C$10-'Invoer gegevens (N)'!$C$11,IF(C232=1,P231,0))</f>
        <v>0</v>
      </c>
      <c r="N232" s="86">
        <f ca="1">IF(C232&lt;1,0,IF('Reeksen (N)'!AK232&lt;='Reeksen (N)'!AE232,M232*'Reeksen (N)'!C232,0))</f>
        <v>0</v>
      </c>
      <c r="O232" s="86">
        <f ca="1">IF(C232&lt;1,0,IF('Reeksen (N)'!AK232&gt;'Reeksen (N)'!AE232,M232*'Reeksen (N)'!C232,0))</f>
        <v>0</v>
      </c>
      <c r="P232" s="86">
        <f t="shared" ca="1" si="35"/>
        <v>0</v>
      </c>
      <c r="Q232" s="82">
        <f ca="1">IF('Invoer gegevens (N)'!$C$17=E232,I232,IF(C232=0,0,R231))</f>
        <v>0</v>
      </c>
      <c r="R232" s="84">
        <f t="shared" ca="1" si="30"/>
        <v>0</v>
      </c>
      <c r="S232" s="84">
        <f ca="1">IF('Invoer gegevens (N)'!$C$17=E232,M232,IF(C232=0,0,T231))</f>
        <v>0</v>
      </c>
      <c r="T232" s="84">
        <f t="shared" ca="1" si="31"/>
        <v>0</v>
      </c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8"/>
      <c r="AI232" s="71">
        <f ca="1">IF(C232=1,((F232+H232)/2*'Reeksen (N)'!AJ232*12)+(('Invoer gegevens (N)'!$C$10-(F232+H232)/2)*'Reeksen (N)'!AK232*12),0)</f>
        <v>0</v>
      </c>
      <c r="AJ232" s="71">
        <f ca="1">-AI232*'Invoer gegevens (N)'!$F$28</f>
        <v>0</v>
      </c>
      <c r="AK232" s="71">
        <f t="shared" ca="1" si="32"/>
        <v>0</v>
      </c>
      <c r="AL232" s="71">
        <f ca="1">IF(C232=1,(12*((F232+H232)/2)*'Reeksen (N)'!AL232)+(12*('Invoer gegevens (N)'!$C$10-(F232+H232)/2)*'Reeksen (N)'!AM232),0)</f>
        <v>0</v>
      </c>
      <c r="AM232" s="71">
        <f ca="1">-AL232*'Invoer gegevens (N)'!$F$31</f>
        <v>0</v>
      </c>
      <c r="AN232" s="71">
        <f t="shared" ca="1" si="36"/>
        <v>0</v>
      </c>
      <c r="AO232" s="71"/>
      <c r="AP232" s="71"/>
      <c r="AQ232" s="71">
        <f ca="1">-IF(C232=1,('Invoer gegevens (N)'!$C$10*'Invoer gegevens (N)'!$I$33)*'Reeksen (N)'!J232,0)*2</f>
        <v>0</v>
      </c>
      <c r="AR232" s="71">
        <f ca="1">-IF(C232=1,(G232*'Invoer gegevens (N)'!$I$34)*'Reeksen (N)'!J232,0)</f>
        <v>0</v>
      </c>
      <c r="AS232" s="71">
        <f ca="1">-IF(C232=1,'Invoer gegevens (N)'!$C$10*'Invoer gegevens (N)'!$I$35*'Reeksen (N)'!L232,0)</f>
        <v>0</v>
      </c>
      <c r="AT232" s="71">
        <f ca="1">-IF(C232=1,IF(E232='Invoer gegevens (N)'!$C$17,'Invoer gegevens (N)'!$C$11,Q232)*'Reeksen (N)'!S232*'Invoer gegevens (N)'!$C$18*'Reeksen (N)'!P232,0)</f>
        <v>0</v>
      </c>
      <c r="AU232" s="71">
        <f ca="1">-IF(C232=1,'Invoer gegevens (N)'!$C$10*'Invoer gegevens (N)'!$I$36*'Reeksen (N)'!H232,0)</f>
        <v>0</v>
      </c>
      <c r="AV232" s="71">
        <v>0</v>
      </c>
      <c r="AW232" s="71">
        <f t="shared" ca="1" si="37"/>
        <v>0</v>
      </c>
      <c r="AX232" s="71">
        <f ca="1">IF(E232&lt;'Invoer gegevens (N)'!$C$17+15,0,IF(E232&gt;'Invoer gegevens (N)'!$C$17+215,0,AW232))</f>
        <v>0</v>
      </c>
      <c r="AY232" s="71">
        <f ca="1">AX232/(1+'Invoer gegevens (N)'!$F$13)^($AZ232-('Invoer gegevens (N)'!$C$17-'Invoer gegevens (N)'!$C$16))/(1+'Invoer gegevens (N)'!$C$39)^('Invoer gegevens (N)'!$C$17-'Invoer gegevens (N)'!$C$16)</f>
        <v>0</v>
      </c>
      <c r="AZ232" s="68">
        <f ca="1">IF(E232-'Invoer gegevens (N)'!$C$17-14.5&lt;0,0,E232-'Invoer gegevens (N)'!$C$17-14.5)</f>
        <v>212.5</v>
      </c>
    </row>
    <row r="233" spans="2:56" x14ac:dyDescent="0.25">
      <c r="B233" s="70">
        <f t="shared" si="38"/>
        <v>229</v>
      </c>
      <c r="C233" s="67">
        <f ca="1">IF(E233-'Invoer gegevens (N)'!$C$17&lt;0,0,1)</f>
        <v>1</v>
      </c>
      <c r="D233" s="68">
        <f t="shared" si="39"/>
        <v>228.5</v>
      </c>
      <c r="E233" s="69">
        <f ca="1">IF('Invoer gegevens (N)'!$C$16="","",E232+1)</f>
        <v>2247</v>
      </c>
      <c r="F233" s="82">
        <f ca="1">IF('Invoer gegevens (N)'!$C$17=E233,'Invoer gegevens (N)'!$C$10,IF(C233=1,H232,0))</f>
        <v>0</v>
      </c>
      <c r="G233" s="83">
        <f ca="1">IF(C233&gt;=1,F233*'Reeksen (N)'!C233,0)</f>
        <v>0</v>
      </c>
      <c r="H233" s="84">
        <f t="shared" ca="1" si="33"/>
        <v>0</v>
      </c>
      <c r="I233" s="85">
        <f ca="1">IF('Invoer gegevens (N)'!$C$17=E233,'Invoer gegevens (N)'!$C$11,IF(C233=1,L232,0))</f>
        <v>0</v>
      </c>
      <c r="J233" s="86">
        <f ca="1">IF(C233&lt;1,0,IF('Reeksen (N)'!AK233&lt;='Reeksen (N)'!AE233,I233*'Reeksen (N)'!C233,0))</f>
        <v>0</v>
      </c>
      <c r="K233" s="86">
        <f ca="1">IF(C233&lt;1,0,IF('Reeksen (N)'!AK233&gt;'Reeksen (N)'!AE233,I233*'Reeksen (N)'!C233,0))</f>
        <v>0</v>
      </c>
      <c r="L233" s="86">
        <f t="shared" ca="1" si="34"/>
        <v>0</v>
      </c>
      <c r="M233" s="85">
        <f ca="1">IF('Invoer gegevens (N)'!$C$17=E233,'Invoer gegevens (N)'!$C$10-'Invoer gegevens (N)'!$C$11,IF(C233=1,P232,0))</f>
        <v>0</v>
      </c>
      <c r="N233" s="86">
        <f ca="1">IF(C233&lt;1,0,IF('Reeksen (N)'!AK233&lt;='Reeksen (N)'!AE233,M233*'Reeksen (N)'!C233,0))</f>
        <v>0</v>
      </c>
      <c r="O233" s="86">
        <f ca="1">IF(C233&lt;1,0,IF('Reeksen (N)'!AK233&gt;'Reeksen (N)'!AE233,M233*'Reeksen (N)'!C233,0))</f>
        <v>0</v>
      </c>
      <c r="P233" s="86">
        <f t="shared" ca="1" si="35"/>
        <v>0</v>
      </c>
      <c r="Q233" s="82">
        <f ca="1">IF('Invoer gegevens (N)'!$C$17=E233,I233,IF(C233=0,0,R232))</f>
        <v>0</v>
      </c>
      <c r="R233" s="84">
        <f t="shared" ca="1" si="30"/>
        <v>0</v>
      </c>
      <c r="S233" s="84">
        <f ca="1">IF('Invoer gegevens (N)'!$C$17=E233,M233,IF(C233=0,0,T232))</f>
        <v>0</v>
      </c>
      <c r="T233" s="84">
        <f t="shared" ca="1" si="31"/>
        <v>0</v>
      </c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8"/>
      <c r="AI233" s="71">
        <f ca="1">IF(C233=1,((F233+H233)/2*'Reeksen (N)'!AJ233*12)+(('Invoer gegevens (N)'!$C$10-(F233+H233)/2)*'Reeksen (N)'!AK233*12),0)</f>
        <v>0</v>
      </c>
      <c r="AJ233" s="71">
        <f ca="1">-AI233*'Invoer gegevens (N)'!$F$28</f>
        <v>0</v>
      </c>
      <c r="AK233" s="71">
        <f t="shared" ca="1" si="32"/>
        <v>0</v>
      </c>
      <c r="AL233" s="71">
        <f ca="1">IF(C233=1,(12*((F233+H233)/2)*'Reeksen (N)'!AL233)+(12*('Invoer gegevens (N)'!$C$10-(F233+H233)/2)*'Reeksen (N)'!AM233),0)</f>
        <v>0</v>
      </c>
      <c r="AM233" s="71">
        <f ca="1">-AL233*'Invoer gegevens (N)'!$F$31</f>
        <v>0</v>
      </c>
      <c r="AN233" s="71">
        <f t="shared" ca="1" si="36"/>
        <v>0</v>
      </c>
      <c r="AO233" s="71"/>
      <c r="AP233" s="71"/>
      <c r="AQ233" s="71">
        <f ca="1">-IF(C233=1,('Invoer gegevens (N)'!$C$10*'Invoer gegevens (N)'!$I$33)*'Reeksen (N)'!J233,0)*2</f>
        <v>0</v>
      </c>
      <c r="AR233" s="71">
        <f ca="1">-IF(C233=1,(G233*'Invoer gegevens (N)'!$I$34)*'Reeksen (N)'!J233,0)</f>
        <v>0</v>
      </c>
      <c r="AS233" s="71">
        <f ca="1">-IF(C233=1,'Invoer gegevens (N)'!$C$10*'Invoer gegevens (N)'!$I$35*'Reeksen (N)'!L233,0)</f>
        <v>0</v>
      </c>
      <c r="AT233" s="71">
        <f ca="1">-IF(C233=1,IF(E233='Invoer gegevens (N)'!$C$17,'Invoer gegevens (N)'!$C$11,Q233)*'Reeksen (N)'!S233*'Invoer gegevens (N)'!$C$18*'Reeksen (N)'!P233,0)</f>
        <v>0</v>
      </c>
      <c r="AU233" s="71">
        <f ca="1">-IF(C233=1,'Invoer gegevens (N)'!$C$10*'Invoer gegevens (N)'!$I$36*'Reeksen (N)'!H233,0)</f>
        <v>0</v>
      </c>
      <c r="AV233" s="71">
        <v>0</v>
      </c>
      <c r="AW233" s="71">
        <f t="shared" ca="1" si="37"/>
        <v>0</v>
      </c>
      <c r="AX233" s="71">
        <f ca="1">IF(E233&lt;'Invoer gegevens (N)'!$C$17+15,0,IF(E233&gt;'Invoer gegevens (N)'!$C$17+215,0,AW233))</f>
        <v>0</v>
      </c>
      <c r="AY233" s="71">
        <f ca="1">AX233/(1+'Invoer gegevens (N)'!$F$13)^($AZ233-('Invoer gegevens (N)'!$C$17-'Invoer gegevens (N)'!$C$16))/(1+'Invoer gegevens (N)'!$C$39)^('Invoer gegevens (N)'!$C$17-'Invoer gegevens (N)'!$C$16)</f>
        <v>0</v>
      </c>
      <c r="AZ233" s="68">
        <f ca="1">IF(E233-'Invoer gegevens (N)'!$C$17-14.5&lt;0,0,E233-'Invoer gegevens (N)'!$C$17-14.5)</f>
        <v>213.5</v>
      </c>
    </row>
    <row r="234" spans="2:56" x14ac:dyDescent="0.25">
      <c r="B234" s="70">
        <f t="shared" si="38"/>
        <v>230</v>
      </c>
      <c r="C234" s="67">
        <f ca="1">IF(E234-'Invoer gegevens (N)'!$C$17&lt;0,0,1)</f>
        <v>1</v>
      </c>
      <c r="D234" s="68">
        <f t="shared" si="39"/>
        <v>229.5</v>
      </c>
      <c r="E234" s="69">
        <f ca="1">IF('Invoer gegevens (N)'!$C$16="","",E233+1)</f>
        <v>2248</v>
      </c>
      <c r="F234" s="82">
        <f ca="1">IF('Invoer gegevens (N)'!$C$17=E234,'Invoer gegevens (N)'!$C$10,IF(C234=1,H233,0))</f>
        <v>0</v>
      </c>
      <c r="G234" s="83">
        <f ca="1">IF(C234&gt;=1,F234*'Reeksen (N)'!C234,0)</f>
        <v>0</v>
      </c>
      <c r="H234" s="84">
        <f t="shared" ca="1" si="33"/>
        <v>0</v>
      </c>
      <c r="I234" s="85">
        <f ca="1">IF('Invoer gegevens (N)'!$C$17=E234,'Invoer gegevens (N)'!$C$11,IF(C234=1,L233,0))</f>
        <v>0</v>
      </c>
      <c r="J234" s="86">
        <f ca="1">IF(C234&lt;1,0,IF('Reeksen (N)'!AK234&lt;='Reeksen (N)'!AE234,I234*'Reeksen (N)'!C234,0))</f>
        <v>0</v>
      </c>
      <c r="K234" s="86">
        <f ca="1">IF(C234&lt;1,0,IF('Reeksen (N)'!AK234&gt;'Reeksen (N)'!AE234,I234*'Reeksen (N)'!C234,0))</f>
        <v>0</v>
      </c>
      <c r="L234" s="86">
        <f t="shared" ca="1" si="34"/>
        <v>0</v>
      </c>
      <c r="M234" s="85">
        <f ca="1">IF('Invoer gegevens (N)'!$C$17=E234,'Invoer gegevens (N)'!$C$10-'Invoer gegevens (N)'!$C$11,IF(C234=1,P233,0))</f>
        <v>0</v>
      </c>
      <c r="N234" s="86">
        <f ca="1">IF(C234&lt;1,0,IF('Reeksen (N)'!AK234&lt;='Reeksen (N)'!AE234,M234*'Reeksen (N)'!C234,0))</f>
        <v>0</v>
      </c>
      <c r="O234" s="86">
        <f ca="1">IF(C234&lt;1,0,IF('Reeksen (N)'!AK234&gt;'Reeksen (N)'!AE234,M234*'Reeksen (N)'!C234,0))</f>
        <v>0</v>
      </c>
      <c r="P234" s="86">
        <f t="shared" ca="1" si="35"/>
        <v>0</v>
      </c>
      <c r="Q234" s="82">
        <f ca="1">IF('Invoer gegevens (N)'!$C$17=E234,I234,IF(C234=0,0,R233))</f>
        <v>0</v>
      </c>
      <c r="R234" s="84">
        <f t="shared" ca="1" si="30"/>
        <v>0</v>
      </c>
      <c r="S234" s="84">
        <f ca="1">IF('Invoer gegevens (N)'!$C$17=E234,M234,IF(C234=0,0,T233))</f>
        <v>0</v>
      </c>
      <c r="T234" s="84">
        <f t="shared" ca="1" si="31"/>
        <v>0</v>
      </c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8"/>
      <c r="AI234" s="71">
        <f ca="1">IF(C234=1,((F234+H234)/2*'Reeksen (N)'!AJ234*12)+(('Invoer gegevens (N)'!$C$10-(F234+H234)/2)*'Reeksen (N)'!AK234*12),0)</f>
        <v>0</v>
      </c>
      <c r="AJ234" s="71">
        <f ca="1">-AI234*'Invoer gegevens (N)'!$F$28</f>
        <v>0</v>
      </c>
      <c r="AK234" s="71">
        <f t="shared" ca="1" si="32"/>
        <v>0</v>
      </c>
      <c r="AL234" s="71">
        <f ca="1">IF(C234=1,(12*((F234+H234)/2)*'Reeksen (N)'!AL234)+(12*('Invoer gegevens (N)'!$C$10-(F234+H234)/2)*'Reeksen (N)'!AM234),0)</f>
        <v>0</v>
      </c>
      <c r="AM234" s="71">
        <f ca="1">-AL234*'Invoer gegevens (N)'!$F$31</f>
        <v>0</v>
      </c>
      <c r="AN234" s="71">
        <f t="shared" ca="1" si="36"/>
        <v>0</v>
      </c>
      <c r="AO234" s="71"/>
      <c r="AP234" s="71"/>
      <c r="AQ234" s="71">
        <f ca="1">-IF(C234=1,('Invoer gegevens (N)'!$C$10*'Invoer gegevens (N)'!$I$33)*'Reeksen (N)'!J234,0)*2</f>
        <v>0</v>
      </c>
      <c r="AR234" s="71">
        <f ca="1">-IF(C234=1,(G234*'Invoer gegevens (N)'!$I$34)*'Reeksen (N)'!J234,0)</f>
        <v>0</v>
      </c>
      <c r="AS234" s="71">
        <f ca="1">-IF(C234=1,'Invoer gegevens (N)'!$C$10*'Invoer gegevens (N)'!$I$35*'Reeksen (N)'!L234,0)</f>
        <v>0</v>
      </c>
      <c r="AT234" s="71">
        <f ca="1">-IF(C234=1,IF(E234='Invoer gegevens (N)'!$C$17,'Invoer gegevens (N)'!$C$11,Q234)*'Reeksen (N)'!S234*'Invoer gegevens (N)'!$C$18*'Reeksen (N)'!P234,0)</f>
        <v>0</v>
      </c>
      <c r="AU234" s="71">
        <f ca="1">-IF(C234=1,'Invoer gegevens (N)'!$C$10*'Invoer gegevens (N)'!$I$36*'Reeksen (N)'!H234,0)</f>
        <v>0</v>
      </c>
      <c r="AV234" s="71">
        <v>0</v>
      </c>
      <c r="AW234" s="71">
        <f t="shared" ca="1" si="37"/>
        <v>0</v>
      </c>
      <c r="AX234" s="71">
        <f ca="1">IF(E234&lt;'Invoer gegevens (N)'!$C$17+15,0,IF(E234&gt;'Invoer gegevens (N)'!$C$17+215,0,AW234))</f>
        <v>0</v>
      </c>
      <c r="AY234" s="71">
        <f ca="1">AX234/(1+'Invoer gegevens (N)'!$F$13)^($AZ234-('Invoer gegevens (N)'!$C$17-'Invoer gegevens (N)'!$C$16))/(1+'Invoer gegevens (N)'!$C$39)^('Invoer gegevens (N)'!$C$17-'Invoer gegevens (N)'!$C$16)</f>
        <v>0</v>
      </c>
      <c r="AZ234" s="68">
        <f ca="1">IF(E234-'Invoer gegevens (N)'!$C$17-14.5&lt;0,0,E234-'Invoer gegevens (N)'!$C$17-14.5)</f>
        <v>214.5</v>
      </c>
    </row>
    <row r="235" spans="2:56" x14ac:dyDescent="0.25">
      <c r="B235" s="70"/>
      <c r="C235" s="67"/>
      <c r="D235" s="68"/>
      <c r="E235" s="69"/>
      <c r="F235" s="84"/>
      <c r="G235" s="83"/>
      <c r="H235" s="84"/>
      <c r="I235" s="86"/>
      <c r="J235" s="86"/>
      <c r="K235" s="86"/>
      <c r="L235" s="86"/>
      <c r="M235" s="86"/>
      <c r="N235" s="86"/>
      <c r="O235" s="86"/>
      <c r="P235" s="86"/>
      <c r="Q235" s="84"/>
      <c r="R235" s="84"/>
      <c r="S235" s="84"/>
      <c r="T235" s="84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8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  <c r="BA235" s="102"/>
      <c r="BB235" s="102"/>
      <c r="BC235" s="102"/>
      <c r="BD235" s="102"/>
    </row>
    <row r="236" spans="2:56" x14ac:dyDescent="0.25">
      <c r="B236" s="70"/>
      <c r="C236" s="67"/>
      <c r="D236" s="68"/>
      <c r="E236" s="69"/>
      <c r="F236" s="84"/>
      <c r="G236" s="83"/>
      <c r="H236" s="84"/>
      <c r="I236" s="86"/>
      <c r="J236" s="86"/>
      <c r="K236" s="86"/>
      <c r="L236" s="86"/>
      <c r="M236" s="86"/>
      <c r="N236" s="86"/>
      <c r="O236" s="86"/>
      <c r="P236" s="86"/>
      <c r="Q236" s="84"/>
      <c r="R236" s="84"/>
      <c r="S236" s="84"/>
      <c r="T236" s="84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8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  <c r="BA236" s="102"/>
      <c r="BB236" s="102"/>
      <c r="BC236" s="102"/>
      <c r="BD236" s="102"/>
    </row>
    <row r="237" spans="2:56" x14ac:dyDescent="0.25">
      <c r="B237" s="70"/>
      <c r="C237" s="67"/>
      <c r="D237" s="68"/>
      <c r="E237" s="69"/>
      <c r="F237" s="84"/>
      <c r="G237" s="83"/>
      <c r="H237" s="84"/>
      <c r="I237" s="86"/>
      <c r="J237" s="86"/>
      <c r="K237" s="86"/>
      <c r="L237" s="86"/>
      <c r="M237" s="86"/>
      <c r="N237" s="86"/>
      <c r="O237" s="86"/>
      <c r="P237" s="86"/>
      <c r="Q237" s="84"/>
      <c r="R237" s="84"/>
      <c r="S237" s="84"/>
      <c r="T237" s="84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8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  <c r="BA237" s="102"/>
      <c r="BB237" s="102"/>
      <c r="BC237" s="102"/>
      <c r="BD237" s="102"/>
    </row>
    <row r="238" spans="2:56" x14ac:dyDescent="0.25">
      <c r="B238" s="70"/>
      <c r="C238" s="67"/>
      <c r="D238" s="68"/>
      <c r="E238" s="69"/>
      <c r="F238" s="84"/>
      <c r="G238" s="83"/>
      <c r="H238" s="84"/>
      <c r="I238" s="86"/>
      <c r="J238" s="86"/>
      <c r="K238" s="86"/>
      <c r="L238" s="86"/>
      <c r="M238" s="86"/>
      <c r="N238" s="86"/>
      <c r="O238" s="86"/>
      <c r="P238" s="86"/>
      <c r="Q238" s="84"/>
      <c r="R238" s="84"/>
      <c r="S238" s="84"/>
      <c r="T238" s="84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8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68"/>
      <c r="BA238" s="102"/>
      <c r="BB238" s="102"/>
      <c r="BC238" s="102"/>
      <c r="BD238" s="102"/>
    </row>
    <row r="239" spans="2:56" x14ac:dyDescent="0.25">
      <c r="B239" s="70"/>
      <c r="C239" s="67"/>
      <c r="D239" s="68"/>
      <c r="E239" s="69"/>
      <c r="F239" s="84"/>
      <c r="G239" s="83"/>
      <c r="H239" s="84"/>
      <c r="I239" s="86"/>
      <c r="J239" s="86"/>
      <c r="K239" s="86"/>
      <c r="L239" s="86"/>
      <c r="M239" s="86"/>
      <c r="N239" s="86"/>
      <c r="O239" s="86"/>
      <c r="P239" s="86"/>
      <c r="Q239" s="84"/>
      <c r="R239" s="84"/>
      <c r="S239" s="84"/>
      <c r="T239" s="84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8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68"/>
      <c r="BA239" s="102"/>
      <c r="BB239" s="102"/>
      <c r="BC239" s="102"/>
      <c r="BD239" s="102"/>
    </row>
    <row r="240" spans="2:56" x14ac:dyDescent="0.25">
      <c r="B240" s="70"/>
      <c r="C240" s="67"/>
      <c r="D240" s="68"/>
      <c r="E240" s="69"/>
      <c r="F240" s="84"/>
      <c r="G240" s="83"/>
      <c r="H240" s="84"/>
      <c r="I240" s="86"/>
      <c r="J240" s="86"/>
      <c r="K240" s="86"/>
      <c r="L240" s="86"/>
      <c r="M240" s="86"/>
      <c r="N240" s="86"/>
      <c r="O240" s="86"/>
      <c r="P240" s="86"/>
      <c r="Q240" s="84"/>
      <c r="R240" s="84"/>
      <c r="S240" s="84"/>
      <c r="T240" s="84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8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68"/>
      <c r="BA240" s="102"/>
      <c r="BB240" s="102"/>
      <c r="BC240" s="102"/>
      <c r="BD240" s="102"/>
    </row>
    <row r="241" spans="2:56" x14ac:dyDescent="0.25">
      <c r="B241" s="70"/>
      <c r="C241" s="67"/>
      <c r="D241" s="68"/>
      <c r="E241" s="69"/>
      <c r="F241" s="84"/>
      <c r="G241" s="83"/>
      <c r="H241" s="84"/>
      <c r="I241" s="86"/>
      <c r="J241" s="86"/>
      <c r="K241" s="86"/>
      <c r="L241" s="86"/>
      <c r="M241" s="86"/>
      <c r="N241" s="86"/>
      <c r="O241" s="86"/>
      <c r="P241" s="86"/>
      <c r="Q241" s="84"/>
      <c r="R241" s="84"/>
      <c r="S241" s="84"/>
      <c r="T241" s="84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8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68"/>
      <c r="BA241" s="102"/>
      <c r="BB241" s="102"/>
      <c r="BC241" s="102"/>
      <c r="BD241" s="102"/>
    </row>
    <row r="242" spans="2:56" x14ac:dyDescent="0.25">
      <c r="B242" s="70"/>
      <c r="C242" s="67"/>
      <c r="D242" s="68"/>
      <c r="E242" s="69"/>
      <c r="F242" s="84"/>
      <c r="G242" s="83"/>
      <c r="H242" s="84"/>
      <c r="I242" s="86"/>
      <c r="J242" s="86"/>
      <c r="K242" s="86"/>
      <c r="L242" s="86"/>
      <c r="M242" s="86"/>
      <c r="N242" s="86"/>
      <c r="O242" s="86"/>
      <c r="P242" s="86"/>
      <c r="Q242" s="84"/>
      <c r="R242" s="84"/>
      <c r="S242" s="84"/>
      <c r="T242" s="84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8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68"/>
      <c r="BA242" s="102"/>
      <c r="BB242" s="102"/>
      <c r="BC242" s="102"/>
      <c r="BD242" s="102"/>
    </row>
    <row r="243" spans="2:56" x14ac:dyDescent="0.25">
      <c r="B243" s="70"/>
      <c r="C243" s="67"/>
      <c r="D243" s="68"/>
      <c r="E243" s="69"/>
      <c r="F243" s="84"/>
      <c r="G243" s="83"/>
      <c r="H243" s="84"/>
      <c r="I243" s="86"/>
      <c r="J243" s="86"/>
      <c r="K243" s="86"/>
      <c r="L243" s="86"/>
      <c r="M243" s="86"/>
      <c r="N243" s="86"/>
      <c r="O243" s="86"/>
      <c r="P243" s="86"/>
      <c r="Q243" s="84"/>
      <c r="R243" s="84"/>
      <c r="S243" s="84"/>
      <c r="T243" s="84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8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68"/>
      <c r="BA243" s="102"/>
      <c r="BB243" s="102"/>
      <c r="BC243" s="102"/>
      <c r="BD243" s="102"/>
    </row>
    <row r="244" spans="2:56" x14ac:dyDescent="0.25">
      <c r="B244" s="70"/>
      <c r="C244" s="67"/>
      <c r="D244" s="68"/>
      <c r="E244" s="69"/>
      <c r="F244" s="84"/>
      <c r="G244" s="83"/>
      <c r="H244" s="84"/>
      <c r="I244" s="86"/>
      <c r="J244" s="86"/>
      <c r="K244" s="86"/>
      <c r="L244" s="86"/>
      <c r="M244" s="86"/>
      <c r="N244" s="86"/>
      <c r="O244" s="86"/>
      <c r="P244" s="86"/>
      <c r="Q244" s="84"/>
      <c r="R244" s="84"/>
      <c r="S244" s="84"/>
      <c r="T244" s="84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8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68"/>
      <c r="BA244" s="102"/>
      <c r="BB244" s="102"/>
      <c r="BC244" s="102"/>
      <c r="BD244" s="102"/>
    </row>
    <row r="245" spans="2:56" x14ac:dyDescent="0.25">
      <c r="B245" s="70"/>
      <c r="C245" s="67"/>
      <c r="D245" s="68"/>
      <c r="E245" s="69"/>
      <c r="F245" s="84"/>
      <c r="G245" s="83"/>
      <c r="H245" s="84"/>
      <c r="I245" s="86"/>
      <c r="J245" s="86"/>
      <c r="K245" s="86"/>
      <c r="L245" s="86"/>
      <c r="M245" s="86"/>
      <c r="N245" s="86"/>
      <c r="O245" s="86"/>
      <c r="P245" s="86"/>
      <c r="Q245" s="84"/>
      <c r="R245" s="84"/>
      <c r="S245" s="84"/>
      <c r="T245" s="84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8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68"/>
      <c r="BA245" s="102"/>
      <c r="BB245" s="102"/>
      <c r="BC245" s="102"/>
      <c r="BD245" s="102"/>
    </row>
    <row r="246" spans="2:56" x14ac:dyDescent="0.25">
      <c r="B246" s="70"/>
      <c r="C246" s="67"/>
      <c r="D246" s="68"/>
      <c r="E246" s="69"/>
      <c r="F246" s="84"/>
      <c r="G246" s="83"/>
      <c r="H246" s="84"/>
      <c r="I246" s="86"/>
      <c r="J246" s="86"/>
      <c r="K246" s="86"/>
      <c r="L246" s="86"/>
      <c r="M246" s="86"/>
      <c r="N246" s="86"/>
      <c r="O246" s="86"/>
      <c r="P246" s="86"/>
      <c r="Q246" s="84"/>
      <c r="R246" s="84"/>
      <c r="S246" s="84"/>
      <c r="T246" s="84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8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68"/>
      <c r="BA246" s="102"/>
      <c r="BB246" s="102"/>
      <c r="BC246" s="102"/>
      <c r="BD246" s="102"/>
    </row>
    <row r="247" spans="2:56" x14ac:dyDescent="0.25">
      <c r="B247" s="70"/>
      <c r="C247" s="67"/>
      <c r="D247" s="68"/>
      <c r="E247" s="69"/>
      <c r="F247" s="84"/>
      <c r="G247" s="83"/>
      <c r="H247" s="84"/>
      <c r="I247" s="86"/>
      <c r="J247" s="86"/>
      <c r="K247" s="86"/>
      <c r="L247" s="86"/>
      <c r="M247" s="86"/>
      <c r="N247" s="86"/>
      <c r="O247" s="86"/>
      <c r="P247" s="86"/>
      <c r="Q247" s="84"/>
      <c r="R247" s="84"/>
      <c r="S247" s="84"/>
      <c r="T247" s="84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8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68"/>
      <c r="BA247" s="102"/>
      <c r="BB247" s="102"/>
      <c r="BC247" s="102"/>
      <c r="BD247" s="102"/>
    </row>
    <row r="248" spans="2:56" x14ac:dyDescent="0.25"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</row>
    <row r="249" spans="2:56" x14ac:dyDescent="0.25"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</row>
  </sheetData>
  <mergeCells count="4">
    <mergeCell ref="F2:H2"/>
    <mergeCell ref="I2:L2"/>
    <mergeCell ref="M2:P2"/>
    <mergeCell ref="Q2:T2"/>
  </mergeCells>
  <pageMargins left="0.7" right="0.7" top="0.75" bottom="0.75" header="0.3" footer="0.3"/>
  <pageSetup paperSize="0" orientation="portrait" horizontalDpi="0" verticalDpi="0" copies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/>
  <dimension ref="A1:AZ237"/>
  <sheetViews>
    <sheetView showGridLines="0" topLeftCell="AG1" workbookViewId="0">
      <selection activeCell="AN22" sqref="AN22"/>
    </sheetView>
  </sheetViews>
  <sheetFormatPr defaultRowHeight="15" x14ac:dyDescent="0.25"/>
  <cols>
    <col min="1" max="1" width="1.5703125" customWidth="1"/>
    <col min="2" max="2" width="4.85546875" customWidth="1"/>
    <col min="3" max="4" width="6" customWidth="1"/>
    <col min="5" max="6" width="6.5703125" customWidth="1"/>
    <col min="7" max="7" width="8.7109375" customWidth="1"/>
    <col min="8" max="8" width="11.5703125" customWidth="1"/>
    <col min="9" max="9" width="9.28515625" customWidth="1"/>
    <col min="10" max="10" width="9.7109375" customWidth="1"/>
    <col min="11" max="11" width="10.42578125" customWidth="1"/>
    <col min="12" max="12" width="8.7109375" customWidth="1"/>
    <col min="13" max="13" width="9.42578125" customWidth="1"/>
    <col min="14" max="14" width="8.7109375" customWidth="1"/>
    <col min="15" max="15" width="10.5703125" customWidth="1"/>
    <col min="16" max="16" width="9.85546875" customWidth="1"/>
    <col min="17" max="17" width="8.7109375" customWidth="1"/>
    <col min="18" max="18" width="10.28515625" customWidth="1"/>
    <col min="19" max="19" width="9.140625" customWidth="1"/>
    <col min="20" max="21" width="10.42578125" customWidth="1"/>
    <col min="22" max="22" width="14.140625" customWidth="1"/>
    <col min="23" max="28" width="8.85546875" customWidth="1"/>
    <col min="29" max="29" width="9.7109375" customWidth="1"/>
    <col min="30" max="31" width="9.5703125" customWidth="1"/>
    <col min="32" max="32" width="10.7109375" customWidth="1"/>
    <col min="33" max="33" width="9.5703125" customWidth="1"/>
    <col min="34" max="34" width="2.85546875" customWidth="1"/>
    <col min="35" max="35" width="12" bestFit="1" customWidth="1"/>
    <col min="36" max="36" width="9.85546875" bestFit="1" customWidth="1"/>
    <col min="37" max="37" width="12" bestFit="1" customWidth="1"/>
    <col min="38" max="40" width="12" customWidth="1"/>
    <col min="41" max="41" width="11.85546875" bestFit="1" customWidth="1"/>
    <col min="42" max="42" width="9.85546875" bestFit="1" customWidth="1"/>
    <col min="43" max="43" width="11.7109375" bestFit="1" customWidth="1"/>
    <col min="44" max="44" width="10.140625" bestFit="1" customWidth="1"/>
    <col min="45" max="45" width="11.7109375" bestFit="1" customWidth="1"/>
    <col min="46" max="46" width="11.85546875" bestFit="1" customWidth="1"/>
    <col min="47" max="47" width="16.42578125" bestFit="1" customWidth="1"/>
    <col min="48" max="48" width="16.42578125" customWidth="1"/>
    <col min="49" max="49" width="13" customWidth="1"/>
    <col min="50" max="50" width="14.42578125" bestFit="1" customWidth="1"/>
    <col min="51" max="51" width="14.5703125" bestFit="1" customWidth="1"/>
  </cols>
  <sheetData>
    <row r="1" spans="1:52" ht="15.75" x14ac:dyDescent="0.25">
      <c r="A1" s="89" t="s">
        <v>720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</row>
    <row r="2" spans="1:52" x14ac:dyDescent="0.25">
      <c r="A2" s="59"/>
      <c r="B2" s="70"/>
      <c r="C2" s="70"/>
      <c r="D2" s="70"/>
      <c r="E2" s="219"/>
      <c r="F2" s="398" t="s">
        <v>721</v>
      </c>
      <c r="G2" s="398"/>
      <c r="H2" s="398"/>
      <c r="I2" s="398"/>
      <c r="J2" s="398"/>
      <c r="K2" s="399"/>
      <c r="L2" s="400" t="s">
        <v>814</v>
      </c>
      <c r="M2" s="401"/>
      <c r="N2" s="401"/>
      <c r="O2" s="401"/>
      <c r="P2" s="401"/>
      <c r="Q2" s="402"/>
      <c r="R2" s="397" t="s">
        <v>666</v>
      </c>
      <c r="S2" s="398"/>
      <c r="T2" s="398"/>
      <c r="U2" s="398"/>
      <c r="V2" s="398"/>
      <c r="W2" s="399"/>
      <c r="X2" s="397" t="s">
        <v>667</v>
      </c>
      <c r="Y2" s="398"/>
      <c r="Z2" s="398"/>
      <c r="AA2" s="398"/>
      <c r="AB2" s="398"/>
      <c r="AC2" s="399"/>
      <c r="AD2" s="397" t="s">
        <v>700</v>
      </c>
      <c r="AE2" s="398"/>
      <c r="AF2" s="398"/>
      <c r="AG2" s="398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2" x14ac:dyDescent="0.25">
      <c r="A3" s="59"/>
      <c r="B3" s="91" t="s">
        <v>668</v>
      </c>
      <c r="C3" s="91" t="s">
        <v>669</v>
      </c>
      <c r="D3" s="91" t="s">
        <v>669</v>
      </c>
      <c r="E3" s="217" t="s">
        <v>670</v>
      </c>
      <c r="F3" s="403" t="s">
        <v>723</v>
      </c>
      <c r="G3" s="403" t="s">
        <v>724</v>
      </c>
      <c r="H3" s="403" t="s">
        <v>725</v>
      </c>
      <c r="I3" s="403" t="s">
        <v>726</v>
      </c>
      <c r="J3" s="403" t="s">
        <v>727</v>
      </c>
      <c r="K3" s="93" t="s">
        <v>671</v>
      </c>
      <c r="L3" s="405" t="s">
        <v>723</v>
      </c>
      <c r="M3" s="406" t="s">
        <v>724</v>
      </c>
      <c r="N3" s="406" t="s">
        <v>725</v>
      </c>
      <c r="O3" s="406" t="s">
        <v>726</v>
      </c>
      <c r="P3" s="406" t="s">
        <v>728</v>
      </c>
      <c r="Q3" s="407" t="s">
        <v>729</v>
      </c>
      <c r="R3" s="405" t="s">
        <v>730</v>
      </c>
      <c r="S3" s="403" t="s">
        <v>724</v>
      </c>
      <c r="T3" s="403" t="s">
        <v>731</v>
      </c>
      <c r="U3" s="403" t="s">
        <v>732</v>
      </c>
      <c r="V3" s="403" t="s">
        <v>733</v>
      </c>
      <c r="W3" s="407" t="s">
        <v>730</v>
      </c>
      <c r="X3" s="406" t="s">
        <v>734</v>
      </c>
      <c r="Y3" s="406" t="s">
        <v>724</v>
      </c>
      <c r="Z3" s="406" t="s">
        <v>731</v>
      </c>
      <c r="AA3" s="406" t="s">
        <v>732</v>
      </c>
      <c r="AB3" s="406" t="s">
        <v>733</v>
      </c>
      <c r="AC3" s="407" t="s">
        <v>734</v>
      </c>
      <c r="AD3" s="408" t="s">
        <v>703</v>
      </c>
      <c r="AE3" s="403" t="s">
        <v>735</v>
      </c>
      <c r="AF3" s="403" t="s">
        <v>736</v>
      </c>
      <c r="AG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91" t="s">
        <v>677</v>
      </c>
      <c r="AX3" s="62" t="s">
        <v>677</v>
      </c>
      <c r="AY3" s="62" t="s">
        <v>679</v>
      </c>
      <c r="AZ3" s="62" t="s">
        <v>738</v>
      </c>
    </row>
    <row r="4" spans="1:52" x14ac:dyDescent="0.25">
      <c r="A4" s="59"/>
      <c r="B4" s="91"/>
      <c r="C4" s="91" t="s">
        <v>682</v>
      </c>
      <c r="D4" s="91" t="s">
        <v>682</v>
      </c>
      <c r="E4" s="217"/>
      <c r="F4" s="403"/>
      <c r="G4" s="403"/>
      <c r="H4" s="403"/>
      <c r="I4" s="403"/>
      <c r="J4" s="403"/>
      <c r="K4" s="93" t="s">
        <v>737</v>
      </c>
      <c r="L4" s="405"/>
      <c r="M4" s="406"/>
      <c r="N4" s="406"/>
      <c r="O4" s="406"/>
      <c r="P4" s="406"/>
      <c r="Q4" s="407"/>
      <c r="R4" s="405"/>
      <c r="S4" s="403"/>
      <c r="T4" s="403"/>
      <c r="U4" s="403"/>
      <c r="V4" s="403"/>
      <c r="W4" s="407"/>
      <c r="X4" s="406"/>
      <c r="Y4" s="406"/>
      <c r="Z4" s="406"/>
      <c r="AA4" s="406"/>
      <c r="AB4" s="406"/>
      <c r="AC4" s="407"/>
      <c r="AD4" s="408"/>
      <c r="AE4" s="403"/>
      <c r="AF4" s="403"/>
      <c r="AG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91"/>
      <c r="AX4" s="62" t="s">
        <v>689</v>
      </c>
      <c r="AY4" s="62" t="s">
        <v>689</v>
      </c>
      <c r="AZ4" s="62" t="s">
        <v>689</v>
      </c>
    </row>
    <row r="5" spans="1:52" x14ac:dyDescent="0.25">
      <c r="A5" s="59"/>
      <c r="B5" s="66">
        <v>1</v>
      </c>
      <c r="C5" s="67">
        <f ca="1">IF(E5-'Invoer gegevens'!$C$17&lt;0,0,1)</f>
        <v>1</v>
      </c>
      <c r="D5" s="68">
        <v>0.5</v>
      </c>
      <c r="E5" s="108">
        <f ca="1">IF('Invoer gegevens'!$C$16="","",'Invoer gegevens'!$C$16)</f>
        <v>2019</v>
      </c>
      <c r="F5" s="84">
        <f ca="1">IF('Invoer gegevens'!$C$17=E5,'Invoer gegevens'!$C$10,IF(C5=1,K4,0))</f>
        <v>0</v>
      </c>
      <c r="G5" s="96">
        <f ca="1">IF(C5&gt;=1,F5*VLOOKUP(E5,Reeksen!$A$5:$B$76,2),0)</f>
        <v>0</v>
      </c>
      <c r="H5" s="84">
        <f ca="1">(1-('Invoer gegevens'!$F$20/12))*F5*MIN(Reeksen!B5,Reeksen!D5)</f>
        <v>0</v>
      </c>
      <c r="I5" s="84">
        <f>IF(Reeksen!D5&lt;Reeksen!B5,(Reeksen!B5-Reeksen!D5)*F5,0)</f>
        <v>0</v>
      </c>
      <c r="J5" s="84">
        <f>('Invoer gegevens'!$F$20/12)*F4*MIN(Reeksen!B4,Reeksen!D4)</f>
        <v>0</v>
      </c>
      <c r="K5" s="97">
        <f ca="1">F5-G5</f>
        <v>0</v>
      </c>
      <c r="L5" s="84">
        <f ca="1">IF('Invoer gegevens'!$C$17=E5,0,IF(C5=1,Q4,0))</f>
        <v>0</v>
      </c>
      <c r="M5" s="96">
        <f ca="1">IF(C5&gt;=1,L5*VLOOKUP(E5,Reeksen!$A$5:$B$76,2),0)</f>
        <v>0</v>
      </c>
      <c r="N5" s="84">
        <f ca="1">(1-('Invoer gegevens'!$F$20/12))*L5*MIN(Reeksen!B5,Reeksen!D5)</f>
        <v>0</v>
      </c>
      <c r="O5" s="84">
        <f>IF(Reeksen!D5&lt;Reeksen!B5,(Reeksen!B5-Reeksen!D5)*L5,0)</f>
        <v>0</v>
      </c>
      <c r="P5" s="84">
        <f>('Invoer gegevens'!$F$20/12)*L4*MIN(Reeksen!B4,Reeksen!D4)</f>
        <v>0</v>
      </c>
      <c r="Q5" s="84">
        <f ca="1">L5-M5+I5+O5</f>
        <v>0</v>
      </c>
      <c r="R5" s="82">
        <f ca="1">IF('Invoer gegevens'!$C$17=E5,'Invoer gegevens'!$C$11,IF(C5=1,W4,0))</f>
        <v>0</v>
      </c>
      <c r="S5" s="86">
        <f ca="1">IF(C5&gt;=1,R5*VLOOKUP(E5,Reeksen!$A$5:$B$76,2),0)</f>
        <v>0</v>
      </c>
      <c r="T5" s="84">
        <f ca="1">(1-('Invoer gegevens'!$F$20/12))*R5*MIN(Reeksen!B5,Reeksen!D5)</f>
        <v>0</v>
      </c>
      <c r="U5" s="84">
        <f>IF(Reeksen!D5&gt;=Reeksen!B5,0,IF(Reeksen!AK5&lt;=Reeksen!AE5,(Reeksen!B5-Reeksen!D5)*R5,0))</f>
        <v>0</v>
      </c>
      <c r="V5" s="86">
        <f>IF(Reeksen!D5&gt;=Reeksen!B5,0,IF(Reeksen!AK5&gt;Reeksen!AE5,(Reeksen!B5-Reeksen!D5)*R5,0))</f>
        <v>0</v>
      </c>
      <c r="W5" s="97">
        <f ca="1">R5-S5</f>
        <v>0</v>
      </c>
      <c r="X5" s="98">
        <f ca="1">IF('Invoer gegevens'!$C$17=E5,'Invoer gegevens'!$C$10-'Invoer gegevens'!$C$11,IF(C5=1,AC4,0))</f>
        <v>0</v>
      </c>
      <c r="Y5" s="98">
        <f ca="1">IF(C5&gt;=1,X5*VLOOKUP(E5,Reeksen!$A$5:$B$76,2),0)</f>
        <v>0</v>
      </c>
      <c r="Z5" s="98">
        <f ca="1">(1-('Invoer gegevens'!$F$20/12))*X5*MIN(Reeksen!B5,Reeksen!D5)</f>
        <v>0</v>
      </c>
      <c r="AA5" s="98">
        <f>IF(Reeksen!D5&gt;=Reeksen!B5,0,IF(Reeksen!AK5&lt;=Reeksen!AE5,(Reeksen!B5-Reeksen!D5)*X5,0))</f>
        <v>0</v>
      </c>
      <c r="AB5" s="98">
        <f>IF(Reeksen!D5&gt;=Reeksen!B5,0,IF(Reeksen!AK5&gt;Reeksen!AE5,(Reeksen!B5-Reeksen!D5)*X5,0))</f>
        <v>0</v>
      </c>
      <c r="AC5" s="99">
        <f ca="1">X5-Y5</f>
        <v>0</v>
      </c>
      <c r="AD5" s="98">
        <f ca="1">IF('Invoer gegevens'!$C$17=E5,R5,IF(C5=0,0,AE4))</f>
        <v>0</v>
      </c>
      <c r="AE5" s="98">
        <f ca="1">IF(C5=0,0,AD5-S5-V5+AA5)</f>
        <v>0</v>
      </c>
      <c r="AF5" s="98">
        <f ca="1">IF('Invoer gegevens'!$C$17=E5,X5,IF(C5=0,0,AG4))</f>
        <v>0</v>
      </c>
      <c r="AG5" s="98">
        <f ca="1">IF(C5=0,0,AF5-Y5-AA5+V5)</f>
        <v>0</v>
      </c>
      <c r="AH5" s="68"/>
      <c r="AI5" s="71">
        <f ca="1">IF(C5=1,Reeksen!AJ5*((F5-G5+F5)/2)*12+Reeksen!AK5*((L5-M5+L5)/2)*12,0)</f>
        <v>0</v>
      </c>
      <c r="AJ5" s="71">
        <f ca="1">-AI5*'Invoer gegevens'!$F$26</f>
        <v>0</v>
      </c>
      <c r="AK5" s="71">
        <f t="shared" ref="AK5:AK68" ca="1" si="0">AI5+AJ5</f>
        <v>0</v>
      </c>
      <c r="AL5" s="71">
        <f ca="1">IF(C5=1,Reeksen!AL5*((F5-G5+F5)/2)*12+Reeksen!AM5*((L5-M5+L5)/2)*12,0)</f>
        <v>0</v>
      </c>
      <c r="AM5" s="71">
        <f ca="1">-AL5*'Invoer gegevens'!$F$31</f>
        <v>0</v>
      </c>
      <c r="AN5" s="71">
        <f ca="1">AL5+AM5</f>
        <v>0</v>
      </c>
      <c r="AO5" s="71">
        <f ca="1">IF(C5=1,(H5+J5+N5+P5)*Reeksen!AN5,0)</f>
        <v>0</v>
      </c>
      <c r="AP5" s="71">
        <f ca="1">-IF(C5=1,(H5+J5+N5+P5)*'Hulp - basis'!$G$550*Reeksen!H5,0)</f>
        <v>0</v>
      </c>
      <c r="AQ5" s="71">
        <f ca="1">-IF(C5=1,(F5+K5+L5+Q5)/2*'Invoer gegevens'!$I$33*Reeksen!J5,0)*2</f>
        <v>0</v>
      </c>
      <c r="AR5" s="71">
        <f ca="1">-IF(C5=1,(I5*'Invoer gegevens'!$I$34)*Reeksen!J5,0)</f>
        <v>0</v>
      </c>
      <c r="AS5" s="71">
        <f ca="1">-IF(C5=1,(F5+K5+L5+Q5)/2*'Invoer gegevens'!$I$35*Reeksen!L5,0)</f>
        <v>0</v>
      </c>
      <c r="AT5" s="71">
        <f ca="1">-IF(C5=1,IF(E5='Invoer gegevens'!$C$17,'Invoer gegevens'!$C$11,AD5)*Reeksen!S5*'Invoer gegevens'!$C$18*Reeksen!P5,0)</f>
        <v>0</v>
      </c>
      <c r="AU5" s="71">
        <f ca="1">-IF(C5=1,(F5+K5+L5+Q5)/2*'Invoer gegevens'!$I$36*Reeksen!H5,0)</f>
        <v>0</v>
      </c>
      <c r="AV5" s="71">
        <f>IF('Invoer gegevens'!$C$3="Basis",0,#REF!)</f>
        <v>0</v>
      </c>
      <c r="AW5" s="71">
        <f ca="1">SUM(AK5,AN5:AV5)</f>
        <v>0</v>
      </c>
      <c r="AX5" s="71">
        <f ca="1">IF(E5&lt;'Invoer gegevens'!$C$17+15,0,IF(E5&gt;'Invoer gegevens'!$C$17+215,0,AW5))</f>
        <v>0</v>
      </c>
      <c r="AY5" s="71">
        <f ca="1">AX5/(1+'Invoer gegevens'!$F$18)^($AZ5-('Invoer gegevens'!$C$17-'Invoer gegevens'!$C$16))/(1+'Invoer gegevens'!$C$39)^('Invoer gegevens'!$C$17-'Invoer gegevens'!$C$16)</f>
        <v>0</v>
      </c>
      <c r="AZ5" s="68">
        <f ca="1">IF(E5-'Invoer gegevens'!$C$17-14.5&lt;0,0,E5-'Invoer gegevens'!$C$17-14.5)</f>
        <v>0</v>
      </c>
    </row>
    <row r="6" spans="1:52" x14ac:dyDescent="0.25">
      <c r="A6" s="59"/>
      <c r="B6" s="70">
        <f>B5+1</f>
        <v>2</v>
      </c>
      <c r="C6" s="67">
        <f ca="1">IF(E6-'Invoer gegevens'!$C$17&lt;0,0,1)</f>
        <v>1</v>
      </c>
      <c r="D6" s="68">
        <f>D5+1</f>
        <v>1.5</v>
      </c>
      <c r="E6" s="108">
        <f ca="1">IF('Invoer gegevens'!$C$16="","",E5+1)</f>
        <v>2020</v>
      </c>
      <c r="F6" s="84">
        <f ca="1">IF('Invoer gegevens'!$C$17=E6,'Invoer gegevens'!$C$10,IF(C6=1,K5,0))</f>
        <v>0</v>
      </c>
      <c r="G6" s="96">
        <f ca="1">IF(C6&gt;=1,F6*VLOOKUP(E6,Reeksen!$A$5:$B$76,2),0)</f>
        <v>0</v>
      </c>
      <c r="H6" s="84">
        <f ca="1">(1-('Invoer gegevens'!$F$20/12))*F6*MIN(Reeksen!B6,Reeksen!D6)</f>
        <v>0</v>
      </c>
      <c r="I6" s="84">
        <f>IF(Reeksen!D6&lt;Reeksen!B6,(Reeksen!B6-Reeksen!D6)*F6,0)</f>
        <v>0</v>
      </c>
      <c r="J6" s="84">
        <f ca="1">('Invoer gegevens'!$F$20/12)*F5*MIN(Reeksen!B5,Reeksen!D5)</f>
        <v>0</v>
      </c>
      <c r="K6" s="97">
        <f t="shared" ref="K6:K69" ca="1" si="1">F6-G6</f>
        <v>0</v>
      </c>
      <c r="L6" s="84">
        <f ca="1">IF('Invoer gegevens'!$C$17=E6,0,IF(C6=1,Q5,0))</f>
        <v>0</v>
      </c>
      <c r="M6" s="96">
        <f ca="1">IF(C6&gt;=1,L6*VLOOKUP(E6,Reeksen!$A$5:$B$76,2),0)</f>
        <v>0</v>
      </c>
      <c r="N6" s="84">
        <f ca="1">(1-('Invoer gegevens'!$F$20/12))*L6*MIN(Reeksen!B6,Reeksen!D6)</f>
        <v>0</v>
      </c>
      <c r="O6" s="84">
        <f>IF(Reeksen!D6&lt;Reeksen!B6,(Reeksen!B6-Reeksen!D6)*L6,0)</f>
        <v>0</v>
      </c>
      <c r="P6" s="84">
        <f ca="1">('Invoer gegevens'!$F$20/12)*L5*MIN(Reeksen!B5,Reeksen!D5)</f>
        <v>0</v>
      </c>
      <c r="Q6" s="84">
        <f t="shared" ref="Q6:Q69" ca="1" si="2">L6-M6+I6+O6</f>
        <v>0</v>
      </c>
      <c r="R6" s="82">
        <f ca="1">IF('Invoer gegevens'!$C$17=E6,'Invoer gegevens'!$C$11,IF(C6=1,W5,0))</f>
        <v>0</v>
      </c>
      <c r="S6" s="86">
        <f ca="1">IF(C6&gt;=1,R6*VLOOKUP(E6,Reeksen!$A$5:$B$76,2),0)</f>
        <v>0</v>
      </c>
      <c r="T6" s="84">
        <f ca="1">(1-('Invoer gegevens'!$F$20/12))*R6*MIN(Reeksen!B6,Reeksen!D6)</f>
        <v>0</v>
      </c>
      <c r="U6" s="84">
        <f>IF(Reeksen!D6&gt;=Reeksen!B6,0,IF(Reeksen!AK6&lt;=Reeksen!AE6,(Reeksen!B6-Reeksen!D6)*R6,0))</f>
        <v>0</v>
      </c>
      <c r="V6" s="86">
        <f>IF(Reeksen!D6&gt;=Reeksen!B6,0,IF(Reeksen!AK6&gt;Reeksen!AE6,(Reeksen!B6-Reeksen!D6)*R6,0))</f>
        <v>0</v>
      </c>
      <c r="W6" s="97">
        <f t="shared" ref="W6:W69" ca="1" si="3">R6-S6</f>
        <v>0</v>
      </c>
      <c r="X6" s="98">
        <f ca="1">IF('Invoer gegevens'!$C$17=E6,'Invoer gegevens'!$C$10-'Invoer gegevens'!$C$11,IF(C6=1,AC5,0))</f>
        <v>0</v>
      </c>
      <c r="Y6" s="98">
        <f ca="1">IF(C6&gt;=1,X6*VLOOKUP(E6,Reeksen!$A$5:$B$76,2),0)</f>
        <v>0</v>
      </c>
      <c r="Z6" s="98">
        <f ca="1">(1-('Invoer gegevens'!$F$20/12))*X6*MIN(Reeksen!B6,Reeksen!D6)</f>
        <v>0</v>
      </c>
      <c r="AA6" s="98">
        <f>IF(Reeksen!D6&gt;=Reeksen!B6,0,IF(Reeksen!AK6&lt;=Reeksen!AE6,(Reeksen!B6-Reeksen!D6)*X6,0))</f>
        <v>0</v>
      </c>
      <c r="AB6" s="98">
        <f>IF(Reeksen!D6&gt;=Reeksen!B6,0,IF(Reeksen!AK6&gt;Reeksen!AE6,(Reeksen!B6-Reeksen!D6)*X6,0))</f>
        <v>0</v>
      </c>
      <c r="AC6" s="99">
        <f t="shared" ref="AC6:AC69" ca="1" si="4">X6-Y6</f>
        <v>0</v>
      </c>
      <c r="AD6" s="98">
        <f ca="1">IF('Invoer gegevens'!$C$17=E6,R6,IF(C6=0,0,AE5))</f>
        <v>0</v>
      </c>
      <c r="AE6" s="98">
        <f t="shared" ref="AE6:AE69" ca="1" si="5">IF(C6=0,0,AD6-S6-V6+AA6)</f>
        <v>0</v>
      </c>
      <c r="AF6" s="98">
        <f ca="1">IF('Invoer gegevens'!$C$17=E6,X6,IF(C6=0,0,AG5))</f>
        <v>0</v>
      </c>
      <c r="AG6" s="98">
        <f t="shared" ref="AG6:AG69" ca="1" si="6">IF(C6=0,0,AF6-Y6-AA6+V6)</f>
        <v>0</v>
      </c>
      <c r="AH6" s="68"/>
      <c r="AI6" s="71">
        <f ca="1">IF(C6=1,Reeksen!AJ6*((F6-G6+F6)/2)*12+Reeksen!AK6*((L6-M6+L6)/2)*12,0)</f>
        <v>0</v>
      </c>
      <c r="AJ6" s="71">
        <f ca="1">-AI6*'Invoer gegevens'!$F$27</f>
        <v>0</v>
      </c>
      <c r="AK6" s="71">
        <f t="shared" ca="1" si="0"/>
        <v>0</v>
      </c>
      <c r="AL6" s="71">
        <f ca="1">IF(C6=1,Reeksen!AL6*((F6-G6+F6)/2)*12+Reeksen!AM6*((L6-M6+L6)/2)*12,0)</f>
        <v>0</v>
      </c>
      <c r="AM6" s="71">
        <f ca="1">-AL6*'Invoer gegevens'!$F$31</f>
        <v>0</v>
      </c>
      <c r="AN6" s="71">
        <f t="shared" ref="AN6:AN69" ca="1" si="7">AL6+AM6</f>
        <v>0</v>
      </c>
      <c r="AO6" s="71">
        <f ca="1">IF(C6=1,(H6+J6+N6+P6)*Reeksen!AN6,0)</f>
        <v>0</v>
      </c>
      <c r="AP6" s="71">
        <f ca="1">-IF(C6=1,(H6+J6+N6+P6)*'Hulp - basis'!$G$550*Reeksen!H6,0)</f>
        <v>0</v>
      </c>
      <c r="AQ6" s="71">
        <f ca="1">-IF(C6=1,(F6+K6+L6+Q6)/2*'Invoer gegevens'!$I$33*Reeksen!J6,0)*2</f>
        <v>0</v>
      </c>
      <c r="AR6" s="71">
        <f ca="1">-IF(C6=1,(I6*'Invoer gegevens'!$I$34)*Reeksen!J6,0)</f>
        <v>0</v>
      </c>
      <c r="AS6" s="71">
        <f ca="1">-IF(C6=1,(F6+K6+L6+Q6)/2*'Invoer gegevens'!$I$35*Reeksen!L6,0)</f>
        <v>0</v>
      </c>
      <c r="AT6" s="71">
        <f ca="1">-IF(C6=1,IF(E6='Invoer gegevens'!$C$17,'Invoer gegevens'!$C$11,AD6)*Reeksen!S6*'Invoer gegevens'!$C$18*Reeksen!P6,0)</f>
        <v>0</v>
      </c>
      <c r="AU6" s="71">
        <f ca="1">-IF(C6=1,(F6+K6+L6+Q6)/2*'Invoer gegevens'!$I$36*Reeksen!H6,0)</f>
        <v>0</v>
      </c>
      <c r="AV6" s="71">
        <f>IF('Invoer gegevens'!$C$3="Basis",0,#REF!)</f>
        <v>0</v>
      </c>
      <c r="AW6" s="71">
        <f t="shared" ref="AW6:AW69" ca="1" si="8">SUM(AK6,AN6:AV6)</f>
        <v>0</v>
      </c>
      <c r="AX6" s="71">
        <f ca="1">IF(E6&lt;'Invoer gegevens'!$C$17+15,0,IF(E6&gt;'Invoer gegevens'!$C$17+215,0,AW6))</f>
        <v>0</v>
      </c>
      <c r="AY6" s="71">
        <f ca="1">AX6/(1+'Invoer gegevens'!$F$18)^($AZ6-('Invoer gegevens'!$C$17-'Invoer gegevens'!$C$16))/(1+'Invoer gegevens'!$C$39)^('Invoer gegevens'!$C$17-'Invoer gegevens'!$C$16)</f>
        <v>0</v>
      </c>
      <c r="AZ6" s="68">
        <f ca="1">IF(E6-'Invoer gegevens'!$C$17-14.5&lt;0,0,E6-'Invoer gegevens'!$C$17-14.5)</f>
        <v>0</v>
      </c>
    </row>
    <row r="7" spans="1:52" x14ac:dyDescent="0.25">
      <c r="A7" s="59"/>
      <c r="B7" s="70">
        <f>B6+1</f>
        <v>3</v>
      </c>
      <c r="C7" s="67">
        <f ca="1">IF(E7-'Invoer gegevens'!$C$17&lt;0,0,1)</f>
        <v>1</v>
      </c>
      <c r="D7" s="68">
        <f>D6+1</f>
        <v>2.5</v>
      </c>
      <c r="E7" s="108">
        <f ca="1">IF('Invoer gegevens'!$C$16="","",E6+1)</f>
        <v>2021</v>
      </c>
      <c r="F7" s="84">
        <f ca="1">IF('Invoer gegevens'!$C$17=E7,'Invoer gegevens'!$C$10,IF(C7=1,K6,0))</f>
        <v>0</v>
      </c>
      <c r="G7" s="96">
        <f ca="1">IF(C7&gt;=1,F7*VLOOKUP(E7,Reeksen!$A$5:$B$76,2),0)</f>
        <v>0</v>
      </c>
      <c r="H7" s="84">
        <f ca="1">(1-('Invoer gegevens'!$F$20/12))*F7*MIN(Reeksen!B7,Reeksen!D7)</f>
        <v>0</v>
      </c>
      <c r="I7" s="84">
        <f>IF(Reeksen!D7&lt;Reeksen!B7,(Reeksen!B7-Reeksen!D7)*F7,0)</f>
        <v>0</v>
      </c>
      <c r="J7" s="84">
        <f ca="1">('Invoer gegevens'!$F$20/12)*F6*MIN(Reeksen!B6,Reeksen!D6)</f>
        <v>0</v>
      </c>
      <c r="K7" s="97">
        <f t="shared" ca="1" si="1"/>
        <v>0</v>
      </c>
      <c r="L7" s="84">
        <f ca="1">IF('Invoer gegevens'!$C$17=E7,0,IF(C7=1,Q6,0))</f>
        <v>0</v>
      </c>
      <c r="M7" s="96">
        <f ca="1">IF(C7&gt;=1,L7*VLOOKUP(E7,Reeksen!$A$5:$B$76,2),0)</f>
        <v>0</v>
      </c>
      <c r="N7" s="84">
        <f ca="1">(1-('Invoer gegevens'!$F$20/12))*L7*MIN(Reeksen!B7,Reeksen!D7)</f>
        <v>0</v>
      </c>
      <c r="O7" s="84">
        <f>IF(Reeksen!D7&lt;Reeksen!B7,(Reeksen!B7-Reeksen!D7)*L7,0)</f>
        <v>0</v>
      </c>
      <c r="P7" s="84">
        <f ca="1">('Invoer gegevens'!$F$20/12)*L6*MIN(Reeksen!B6,Reeksen!D6)</f>
        <v>0</v>
      </c>
      <c r="Q7" s="84">
        <f t="shared" ca="1" si="2"/>
        <v>0</v>
      </c>
      <c r="R7" s="82">
        <f ca="1">IF('Invoer gegevens'!$C$17=E7,'Invoer gegevens'!$C$11,IF(C7=1,W6,0))</f>
        <v>0</v>
      </c>
      <c r="S7" s="86">
        <f ca="1">IF(C7&gt;=1,R7*VLOOKUP(E7,Reeksen!$A$5:$B$76,2),0)</f>
        <v>0</v>
      </c>
      <c r="T7" s="84">
        <f ca="1">(1-('Invoer gegevens'!$F$20/12))*R7*MIN(Reeksen!B7,Reeksen!D7)</f>
        <v>0</v>
      </c>
      <c r="U7" s="84">
        <f>IF(Reeksen!D7&gt;=Reeksen!B7,0,IF(Reeksen!AK7&lt;=Reeksen!AE7,(Reeksen!B7-Reeksen!D7)*R7,0))</f>
        <v>0</v>
      </c>
      <c r="V7" s="86">
        <f>IF(Reeksen!D7&gt;=Reeksen!B7,0,IF(Reeksen!AK7&gt;Reeksen!AE7,(Reeksen!B7-Reeksen!D7)*R7,0))</f>
        <v>0</v>
      </c>
      <c r="W7" s="97">
        <f t="shared" ca="1" si="3"/>
        <v>0</v>
      </c>
      <c r="X7" s="98">
        <f ca="1">IF('Invoer gegevens'!$C$17=E7,'Invoer gegevens'!$C$10-'Invoer gegevens'!$C$11,IF(C7=1,AC6,0))</f>
        <v>0</v>
      </c>
      <c r="Y7" s="98">
        <f ca="1">IF(C7&gt;=1,X7*VLOOKUP(E7,Reeksen!$A$5:$B$76,2),0)</f>
        <v>0</v>
      </c>
      <c r="Z7" s="98">
        <f ca="1">(1-('Invoer gegevens'!$F$20/12))*X7*MIN(Reeksen!B7,Reeksen!D7)</f>
        <v>0</v>
      </c>
      <c r="AA7" s="98">
        <f>IF(Reeksen!D7&gt;=Reeksen!B7,0,IF(Reeksen!AK7&lt;=Reeksen!AE7,(Reeksen!B7-Reeksen!D7)*X7,0))</f>
        <v>0</v>
      </c>
      <c r="AB7" s="98">
        <f>IF(Reeksen!D7&gt;=Reeksen!B7,0,IF(Reeksen!AK7&gt;Reeksen!AE7,(Reeksen!B7-Reeksen!D7)*X7,0))</f>
        <v>0</v>
      </c>
      <c r="AC7" s="99">
        <f t="shared" ca="1" si="4"/>
        <v>0</v>
      </c>
      <c r="AD7" s="98">
        <f ca="1">IF('Invoer gegevens'!$C$17=E7,R7,IF(C7=0,0,AE6))</f>
        <v>0</v>
      </c>
      <c r="AE7" s="98">
        <f t="shared" ca="1" si="5"/>
        <v>0</v>
      </c>
      <c r="AF7" s="98">
        <f ca="1">IF('Invoer gegevens'!$C$17=E7,X7,IF(C7=0,0,AG6))</f>
        <v>0</v>
      </c>
      <c r="AG7" s="98">
        <f t="shared" ca="1" si="6"/>
        <v>0</v>
      </c>
      <c r="AH7" s="68"/>
      <c r="AI7" s="71">
        <f ca="1">IF(C7=1,Reeksen!AJ7*((F7-G7+F7)/2)*12+Reeksen!AK7*((L7-M7+L7)/2)*12,0)</f>
        <v>0</v>
      </c>
      <c r="AJ7" s="71">
        <f ca="1">-AI7*'Invoer gegevens'!$F$28</f>
        <v>0</v>
      </c>
      <c r="AK7" s="71">
        <f t="shared" ca="1" si="0"/>
        <v>0</v>
      </c>
      <c r="AL7" s="71">
        <f ca="1">IF(C7=1,Reeksen!AL7*((F7-G7+F7)/2)*12+Reeksen!AM7*((L7-M7+L7)/2)*12,0)</f>
        <v>0</v>
      </c>
      <c r="AM7" s="71">
        <f ca="1">-AL7*'Invoer gegevens'!$F$31</f>
        <v>0</v>
      </c>
      <c r="AN7" s="71">
        <f t="shared" ca="1" si="7"/>
        <v>0</v>
      </c>
      <c r="AO7" s="71">
        <f ca="1">IF(C7=1,(H7+J7+N7+P7)*Reeksen!AN7,0)</f>
        <v>0</v>
      </c>
      <c r="AP7" s="71">
        <f ca="1">-IF(C7=1,(H7+J7+N7+P7)*'Hulp - basis'!$G$550*Reeksen!H7,0)</f>
        <v>0</v>
      </c>
      <c r="AQ7" s="71">
        <f ca="1">-IF(C7=1,(F7+K7+L7+Q7)/2*'Invoer gegevens'!$I$33*Reeksen!J7,0)*2</f>
        <v>0</v>
      </c>
      <c r="AR7" s="71">
        <f ca="1">-IF(C7=1,(I7*'Invoer gegevens'!$I$34)*Reeksen!J7,0)</f>
        <v>0</v>
      </c>
      <c r="AS7" s="71">
        <f ca="1">-IF(C7=1,(F7+K7+L7+Q7)/2*'Invoer gegevens'!$I$35*Reeksen!L7,0)</f>
        <v>0</v>
      </c>
      <c r="AT7" s="71">
        <f ca="1">-IF(C7=1,IF(E7='Invoer gegevens'!$C$17,'Invoer gegevens'!$C$11,AD7)*Reeksen!S7*'Invoer gegevens'!$C$18*Reeksen!P7,0)</f>
        <v>0</v>
      </c>
      <c r="AU7" s="71">
        <f ca="1">-IF(C7=1,(F7+K7+L7+Q7)/2*'Invoer gegevens'!$I$36*Reeksen!H7,0)</f>
        <v>0</v>
      </c>
      <c r="AV7" s="71">
        <f>IF('Invoer gegevens'!$C$3="Basis",0,#REF!)</f>
        <v>0</v>
      </c>
      <c r="AW7" s="71">
        <f t="shared" ca="1" si="8"/>
        <v>0</v>
      </c>
      <c r="AX7" s="71">
        <f ca="1">IF(E7&lt;'Invoer gegevens'!$C$17+15,0,IF(E7&gt;'Invoer gegevens'!$C$17+215,0,AW7))</f>
        <v>0</v>
      </c>
      <c r="AY7" s="71">
        <f ca="1">AX7/(1+'Invoer gegevens'!$F$18)^($AZ7-('Invoer gegevens'!$C$17-'Invoer gegevens'!$C$16))/(1+'Invoer gegevens'!$C$39)^('Invoer gegevens'!$C$17-'Invoer gegevens'!$C$16)</f>
        <v>0</v>
      </c>
      <c r="AZ7" s="68">
        <f ca="1">IF(E7-'Invoer gegevens'!$C$17-14.5&lt;0,0,E7-'Invoer gegevens'!$C$17-14.5)</f>
        <v>0</v>
      </c>
    </row>
    <row r="8" spans="1:52" x14ac:dyDescent="0.25">
      <c r="A8" s="59"/>
      <c r="B8" s="70">
        <f t="shared" ref="B8:B71" si="9">B7+1</f>
        <v>4</v>
      </c>
      <c r="C8" s="67">
        <f ca="1">IF(E8-'Invoer gegevens'!$C$17&lt;0,0,1)</f>
        <v>1</v>
      </c>
      <c r="D8" s="68">
        <f t="shared" ref="D8:D71" si="10">D7+1</f>
        <v>3.5</v>
      </c>
      <c r="E8" s="108">
        <f ca="1">IF('Invoer gegevens'!$C$16="","",E7+1)</f>
        <v>2022</v>
      </c>
      <c r="F8" s="84">
        <f ca="1">IF('Invoer gegevens'!$C$17=E8,'Invoer gegevens'!$C$10,IF(C8=1,K7,0))</f>
        <v>0</v>
      </c>
      <c r="G8" s="96">
        <f ca="1">IF(C8&gt;=1,F8*VLOOKUP(E8,Reeksen!$A$5:$B$76,2),0)</f>
        <v>0</v>
      </c>
      <c r="H8" s="84">
        <f ca="1">(1-('Invoer gegevens'!$F$20/12))*F8*MIN(Reeksen!B8,Reeksen!D8)</f>
        <v>0</v>
      </c>
      <c r="I8" s="84">
        <f>IF(Reeksen!D8&lt;Reeksen!B8,(Reeksen!B8-Reeksen!D8)*F8,0)</f>
        <v>0</v>
      </c>
      <c r="J8" s="84">
        <f ca="1">('Invoer gegevens'!$F$20/12)*F7*MIN(Reeksen!B7,Reeksen!D7)</f>
        <v>0</v>
      </c>
      <c r="K8" s="97">
        <f t="shared" ca="1" si="1"/>
        <v>0</v>
      </c>
      <c r="L8" s="84">
        <f ca="1">IF('Invoer gegevens'!$C$17=E8,0,IF(C8=1,Q7,0))</f>
        <v>0</v>
      </c>
      <c r="M8" s="96">
        <f ca="1">IF(C8&gt;=1,L8*VLOOKUP(E8,Reeksen!$A$5:$B$76,2),0)</f>
        <v>0</v>
      </c>
      <c r="N8" s="84">
        <f ca="1">(1-('Invoer gegevens'!$F$20/12))*L8*MIN(Reeksen!B8,Reeksen!D8)</f>
        <v>0</v>
      </c>
      <c r="O8" s="84">
        <f>IF(Reeksen!D8&lt;Reeksen!B8,(Reeksen!B8-Reeksen!D8)*L8,0)</f>
        <v>0</v>
      </c>
      <c r="P8" s="84">
        <f ca="1">('Invoer gegevens'!$F$20/12)*L7*MIN(Reeksen!B7,Reeksen!D7)</f>
        <v>0</v>
      </c>
      <c r="Q8" s="84">
        <f t="shared" ca="1" si="2"/>
        <v>0</v>
      </c>
      <c r="R8" s="82">
        <f ca="1">IF('Invoer gegevens'!$C$17=E8,'Invoer gegevens'!$C$11,IF(C8=1,W7,0))</f>
        <v>0</v>
      </c>
      <c r="S8" s="86">
        <f ca="1">IF(C8&gt;=1,R8*VLOOKUP(E8,Reeksen!$A$5:$B$76,2),0)</f>
        <v>0</v>
      </c>
      <c r="T8" s="84">
        <f ca="1">(1-('Invoer gegevens'!$F$20/12))*R8*MIN(Reeksen!B8,Reeksen!D8)</f>
        <v>0</v>
      </c>
      <c r="U8" s="84">
        <f>IF(Reeksen!D8&gt;=Reeksen!B8,0,IF(Reeksen!AK8&lt;=Reeksen!AE8,(Reeksen!B8-Reeksen!D8)*R8,0))</f>
        <v>0</v>
      </c>
      <c r="V8" s="86">
        <f>IF(Reeksen!D8&gt;=Reeksen!B8,0,IF(Reeksen!AK8&gt;Reeksen!AE8,(Reeksen!B8-Reeksen!D8)*R8,0))</f>
        <v>0</v>
      </c>
      <c r="W8" s="97">
        <f t="shared" ca="1" si="3"/>
        <v>0</v>
      </c>
      <c r="X8" s="98">
        <f ca="1">IF('Invoer gegevens'!$C$17=E8,'Invoer gegevens'!$C$10-'Invoer gegevens'!$C$11,IF(C8=1,AC7,0))</f>
        <v>0</v>
      </c>
      <c r="Y8" s="98">
        <f ca="1">IF(C8&gt;=1,X8*VLOOKUP(E8,Reeksen!$A$5:$B$76,2),0)</f>
        <v>0</v>
      </c>
      <c r="Z8" s="98">
        <f ca="1">(1-('Invoer gegevens'!$F$20/12))*X8*MIN(Reeksen!B8,Reeksen!D8)</f>
        <v>0</v>
      </c>
      <c r="AA8" s="98">
        <f>IF(Reeksen!D8&gt;=Reeksen!B8,0,IF(Reeksen!AK8&lt;=Reeksen!AE8,(Reeksen!B8-Reeksen!D8)*X8,0))</f>
        <v>0</v>
      </c>
      <c r="AB8" s="98">
        <f>IF(Reeksen!D8&gt;=Reeksen!B8,0,IF(Reeksen!AK8&gt;Reeksen!AE8,(Reeksen!B8-Reeksen!D8)*X8,0))</f>
        <v>0</v>
      </c>
      <c r="AC8" s="99">
        <f t="shared" ca="1" si="4"/>
        <v>0</v>
      </c>
      <c r="AD8" s="98">
        <f ca="1">IF('Invoer gegevens'!$C$17=E8,R8,IF(C8=0,0,AE7))</f>
        <v>0</v>
      </c>
      <c r="AE8" s="98">
        <f t="shared" ca="1" si="5"/>
        <v>0</v>
      </c>
      <c r="AF8" s="98">
        <f ca="1">IF('Invoer gegevens'!$C$17=E8,X8,IF(C8=0,0,AG7))</f>
        <v>0</v>
      </c>
      <c r="AG8" s="98">
        <f t="shared" ca="1" si="6"/>
        <v>0</v>
      </c>
      <c r="AH8" s="68"/>
      <c r="AI8" s="71">
        <f ca="1">IF(C8=1,Reeksen!AJ8*((F8-G8+F8)/2)*12+Reeksen!AK8*((L8-M8+L8)/2)*12,0)</f>
        <v>0</v>
      </c>
      <c r="AJ8" s="71">
        <f ca="1">-AI8*'Invoer gegevens'!$F$28</f>
        <v>0</v>
      </c>
      <c r="AK8" s="71">
        <f t="shared" ca="1" si="0"/>
        <v>0</v>
      </c>
      <c r="AL8" s="71">
        <f ca="1">IF(C8=1,Reeksen!AL8*((F8-G8+F8)/2)*12+Reeksen!AM8*((L8-M8+L8)/2)*12,0)</f>
        <v>0</v>
      </c>
      <c r="AM8" s="71">
        <f ca="1">-AL8*'Invoer gegevens'!$F$31</f>
        <v>0</v>
      </c>
      <c r="AN8" s="71">
        <f t="shared" ca="1" si="7"/>
        <v>0</v>
      </c>
      <c r="AO8" s="71">
        <f ca="1">IF(C8=1,(H8+J8+N8+P8)*Reeksen!AN8,0)</f>
        <v>0</v>
      </c>
      <c r="AP8" s="71">
        <f ca="1">-IF(C8=1,(H8+J8+N8+P8)*'Hulp - basis'!$G$550*Reeksen!H8,0)</f>
        <v>0</v>
      </c>
      <c r="AQ8" s="71">
        <f ca="1">-IF(C8=1,(F8+K8+L8+Q8)/2*'Invoer gegevens'!$I$33*Reeksen!J8,0)*2</f>
        <v>0</v>
      </c>
      <c r="AR8" s="71">
        <f ca="1">-IF(C8=1,(I8*'Invoer gegevens'!$I$34)*Reeksen!J8,0)</f>
        <v>0</v>
      </c>
      <c r="AS8" s="71">
        <f ca="1">-IF(C8=1,(F8+K8+L8+Q8)/2*'Invoer gegevens'!$I$35*Reeksen!L8,0)</f>
        <v>0</v>
      </c>
      <c r="AT8" s="71">
        <f ca="1">-IF(C8=1,IF(E8='Invoer gegevens'!$C$17,'Invoer gegevens'!$C$11,AD8)*Reeksen!S8*'Invoer gegevens'!$C$18*Reeksen!P8,0)</f>
        <v>0</v>
      </c>
      <c r="AU8" s="71">
        <f ca="1">-IF(C8=1,(F8+K8+L8+Q8)/2*'Invoer gegevens'!$I$36*Reeksen!H8,0)</f>
        <v>0</v>
      </c>
      <c r="AV8" s="71">
        <f>IF('Invoer gegevens'!$C$3="Basis",0,#REF!)</f>
        <v>0</v>
      </c>
      <c r="AW8" s="71">
        <f t="shared" ca="1" si="8"/>
        <v>0</v>
      </c>
      <c r="AX8" s="71">
        <f ca="1">IF(E8&lt;'Invoer gegevens'!$C$17+15,0,IF(E8&gt;'Invoer gegevens'!$C$17+215,0,AW8))</f>
        <v>0</v>
      </c>
      <c r="AY8" s="71">
        <f ca="1">AX8/(1+'Invoer gegevens'!$F$18)^($AZ8-('Invoer gegevens'!$C$17-'Invoer gegevens'!$C$16))/(1+'Invoer gegevens'!$C$39)^('Invoer gegevens'!$C$17-'Invoer gegevens'!$C$16)</f>
        <v>0</v>
      </c>
      <c r="AZ8" s="68">
        <f ca="1">IF(E8-'Invoer gegevens'!$C$17-14.5&lt;0,0,E8-'Invoer gegevens'!$C$17-14.5)</f>
        <v>0</v>
      </c>
    </row>
    <row r="9" spans="1:52" x14ac:dyDescent="0.25">
      <c r="A9" s="59"/>
      <c r="B9" s="70">
        <f t="shared" si="9"/>
        <v>5</v>
      </c>
      <c r="C9" s="67">
        <f ca="1">IF(E9-'Invoer gegevens'!$C$17&lt;0,0,1)</f>
        <v>1</v>
      </c>
      <c r="D9" s="68">
        <f t="shared" si="10"/>
        <v>4.5</v>
      </c>
      <c r="E9" s="108">
        <f ca="1">IF('Invoer gegevens'!$C$16="","",E8+1)</f>
        <v>2023</v>
      </c>
      <c r="F9" s="84">
        <f ca="1">IF('Invoer gegevens'!$C$17=E9,'Invoer gegevens'!$C$10,IF(C9=1,K8,0))</f>
        <v>0</v>
      </c>
      <c r="G9" s="96">
        <f ca="1">IF(C9&gt;=1,F9*VLOOKUP(E9,Reeksen!$A$5:$B$76,2),0)</f>
        <v>0</v>
      </c>
      <c r="H9" s="84">
        <f ca="1">(1-('Invoer gegevens'!$F$20/12))*F9*MIN(Reeksen!B9,Reeksen!D9)</f>
        <v>0</v>
      </c>
      <c r="I9" s="84">
        <f>IF(Reeksen!D9&lt;Reeksen!B9,(Reeksen!B9-Reeksen!D9)*F9,0)</f>
        <v>0</v>
      </c>
      <c r="J9" s="84">
        <f ca="1">('Invoer gegevens'!$F$20/12)*F8*MIN(Reeksen!B8,Reeksen!D8)</f>
        <v>0</v>
      </c>
      <c r="K9" s="97">
        <f t="shared" ca="1" si="1"/>
        <v>0</v>
      </c>
      <c r="L9" s="84">
        <f ca="1">IF('Invoer gegevens'!$C$17=E9,0,IF(C9=1,Q8,0))</f>
        <v>0</v>
      </c>
      <c r="M9" s="96">
        <f ca="1">IF(C9&gt;=1,L9*VLOOKUP(E9,Reeksen!$A$5:$B$76,2),0)</f>
        <v>0</v>
      </c>
      <c r="N9" s="84">
        <f ca="1">(1-('Invoer gegevens'!$F$20/12))*L9*MIN(Reeksen!B9,Reeksen!D9)</f>
        <v>0</v>
      </c>
      <c r="O9" s="84">
        <f>IF(Reeksen!D9&lt;Reeksen!B9,(Reeksen!B9-Reeksen!D9)*L9,0)</f>
        <v>0</v>
      </c>
      <c r="P9" s="84">
        <f ca="1">('Invoer gegevens'!$F$20/12)*L8*MIN(Reeksen!B8,Reeksen!D8)</f>
        <v>0</v>
      </c>
      <c r="Q9" s="84">
        <f t="shared" ca="1" si="2"/>
        <v>0</v>
      </c>
      <c r="R9" s="82">
        <f ca="1">IF('Invoer gegevens'!$C$17=E9,'Invoer gegevens'!$C$11,IF(C9=1,W8,0))</f>
        <v>0</v>
      </c>
      <c r="S9" s="86">
        <f ca="1">IF(C9&gt;=1,R9*VLOOKUP(E9,Reeksen!$A$5:$B$76,2),0)</f>
        <v>0</v>
      </c>
      <c r="T9" s="84">
        <f ca="1">(1-('Invoer gegevens'!$F$20/12))*R9*MIN(Reeksen!B9,Reeksen!D9)</f>
        <v>0</v>
      </c>
      <c r="U9" s="84">
        <f>IF(Reeksen!D9&gt;=Reeksen!B9,0,IF(Reeksen!AK9&lt;=Reeksen!AE9,(Reeksen!B9-Reeksen!D9)*R9,0))</f>
        <v>0</v>
      </c>
      <c r="V9" s="86">
        <f>IF(Reeksen!D9&gt;=Reeksen!B9,0,IF(Reeksen!AK9&gt;Reeksen!AE9,(Reeksen!B9-Reeksen!D9)*R9,0))</f>
        <v>0</v>
      </c>
      <c r="W9" s="97">
        <f t="shared" ca="1" si="3"/>
        <v>0</v>
      </c>
      <c r="X9" s="98">
        <f ca="1">IF('Invoer gegevens'!$C$17=E9,'Invoer gegevens'!$C$10-'Invoer gegevens'!$C$11,IF(C9=1,AC8,0))</f>
        <v>0</v>
      </c>
      <c r="Y9" s="98">
        <f ca="1">IF(C9&gt;=1,X9*VLOOKUP(E9,Reeksen!$A$5:$B$76,2),0)</f>
        <v>0</v>
      </c>
      <c r="Z9" s="98">
        <f ca="1">(1-('Invoer gegevens'!$F$20/12))*X9*MIN(Reeksen!B9,Reeksen!D9)</f>
        <v>0</v>
      </c>
      <c r="AA9" s="98">
        <f>IF(Reeksen!D9&gt;=Reeksen!B9,0,IF(Reeksen!AK9&lt;=Reeksen!AE9,(Reeksen!B9-Reeksen!D9)*X9,0))</f>
        <v>0</v>
      </c>
      <c r="AB9" s="98">
        <f>IF(Reeksen!D9&gt;=Reeksen!B9,0,IF(Reeksen!AK9&gt;Reeksen!AE9,(Reeksen!B9-Reeksen!D9)*X9,0))</f>
        <v>0</v>
      </c>
      <c r="AC9" s="99">
        <f t="shared" ca="1" si="4"/>
        <v>0</v>
      </c>
      <c r="AD9" s="98">
        <f ca="1">IF('Invoer gegevens'!$C$17=E9,R9,IF(C9=0,0,AE8))</f>
        <v>0</v>
      </c>
      <c r="AE9" s="98">
        <f t="shared" ca="1" si="5"/>
        <v>0</v>
      </c>
      <c r="AF9" s="98">
        <f ca="1">IF('Invoer gegevens'!$C$17=E9,X9,IF(C9=0,0,AG8))</f>
        <v>0</v>
      </c>
      <c r="AG9" s="98">
        <f t="shared" ca="1" si="6"/>
        <v>0</v>
      </c>
      <c r="AH9" s="68"/>
      <c r="AI9" s="71">
        <f ca="1">IF(C9=1,Reeksen!AJ9*((F9-G9+F9)/2)*12+Reeksen!AK9*((L9-M9+L9)/2)*12,0)</f>
        <v>0</v>
      </c>
      <c r="AJ9" s="71">
        <f ca="1">-AI9*'Invoer gegevens'!$F$28</f>
        <v>0</v>
      </c>
      <c r="AK9" s="71">
        <f t="shared" ca="1" si="0"/>
        <v>0</v>
      </c>
      <c r="AL9" s="71">
        <f ca="1">IF(C9=1,Reeksen!AL9*((F9-G9+F9)/2)*12+Reeksen!AM9*((L9-M9+L9)/2)*12,0)</f>
        <v>0</v>
      </c>
      <c r="AM9" s="71">
        <f ca="1">-AL9*'Invoer gegevens'!$F$31</f>
        <v>0</v>
      </c>
      <c r="AN9" s="71">
        <f t="shared" ca="1" si="7"/>
        <v>0</v>
      </c>
      <c r="AO9" s="71">
        <f ca="1">IF(C9=1,(H9+J9+N9+P9)*Reeksen!AN9,0)</f>
        <v>0</v>
      </c>
      <c r="AP9" s="71">
        <f ca="1">-IF(C9=1,(H9+J9+N9+P9)*'Hulp - basis'!$G$550*Reeksen!H9,0)</f>
        <v>0</v>
      </c>
      <c r="AQ9" s="71">
        <f ca="1">-IF(C9=1,(F9+K9+L9+Q9)/2*'Invoer gegevens'!$I$33*Reeksen!J9,0)*2</f>
        <v>0</v>
      </c>
      <c r="AR9" s="71">
        <f ca="1">-IF(C9=1,(I9*'Invoer gegevens'!$I$34)*Reeksen!J9,0)</f>
        <v>0</v>
      </c>
      <c r="AS9" s="71">
        <f ca="1">-IF(C9=1,(F9+K9+L9+Q9)/2*'Invoer gegevens'!$I$35*Reeksen!L9,0)</f>
        <v>0</v>
      </c>
      <c r="AT9" s="71">
        <f ca="1">-IF(C9=1,IF(E9='Invoer gegevens'!$C$17,'Invoer gegevens'!$C$11,AD9)*Reeksen!S9*'Invoer gegevens'!$C$18*Reeksen!P9,0)</f>
        <v>0</v>
      </c>
      <c r="AU9" s="71">
        <f ca="1">-IF(C9=1,(F9+K9+L9+Q9)/2*'Invoer gegevens'!$I$36*Reeksen!H9,0)</f>
        <v>0</v>
      </c>
      <c r="AV9" s="71">
        <f>IF('Invoer gegevens'!$C$3="Basis",0,#REF!)</f>
        <v>0</v>
      </c>
      <c r="AW9" s="71">
        <f t="shared" ca="1" si="8"/>
        <v>0</v>
      </c>
      <c r="AX9" s="71">
        <f ca="1">IF(E9&lt;'Invoer gegevens'!$C$17+15,0,IF(E9&gt;'Invoer gegevens'!$C$17+215,0,AW9))</f>
        <v>0</v>
      </c>
      <c r="AY9" s="71">
        <f ca="1">AX9/(1+'Invoer gegevens'!$F$18)^($AZ9-('Invoer gegevens'!$C$17-'Invoer gegevens'!$C$16))/(1+'Invoer gegevens'!$C$39)^('Invoer gegevens'!$C$17-'Invoer gegevens'!$C$16)</f>
        <v>0</v>
      </c>
      <c r="AZ9" s="68">
        <f ca="1">IF(E9-'Invoer gegevens'!$C$17-14.5&lt;0,0,E9-'Invoer gegevens'!$C$17-14.5)</f>
        <v>0</v>
      </c>
    </row>
    <row r="10" spans="1:52" x14ac:dyDescent="0.25">
      <c r="A10" s="59"/>
      <c r="B10" s="70">
        <f t="shared" si="9"/>
        <v>6</v>
      </c>
      <c r="C10" s="67">
        <f ca="1">IF(E10-'Invoer gegevens'!$C$17&lt;0,0,1)</f>
        <v>1</v>
      </c>
      <c r="D10" s="68">
        <f t="shared" si="10"/>
        <v>5.5</v>
      </c>
      <c r="E10" s="108">
        <f ca="1">IF('Invoer gegevens'!$C$16="","",E9+1)</f>
        <v>2024</v>
      </c>
      <c r="F10" s="84">
        <f ca="1">IF('Invoer gegevens'!$C$17=E10,'Invoer gegevens'!$C$10,IF(C10=1,K9,0))</f>
        <v>0</v>
      </c>
      <c r="G10" s="96">
        <f ca="1">IF(C10&gt;=1,F10*VLOOKUP(E10,Reeksen!$A$5:$B$76,2),0)</f>
        <v>0</v>
      </c>
      <c r="H10" s="84">
        <f ca="1">(1-('Invoer gegevens'!$F$20/12))*F10*MIN(Reeksen!B10,Reeksen!D10)</f>
        <v>0</v>
      </c>
      <c r="I10" s="84">
        <f>IF(Reeksen!D10&lt;Reeksen!B10,(Reeksen!B10-Reeksen!D10)*F10,0)</f>
        <v>0</v>
      </c>
      <c r="J10" s="84">
        <f ca="1">('Invoer gegevens'!$F$20/12)*F9*MIN(Reeksen!B9,Reeksen!D9)</f>
        <v>0</v>
      </c>
      <c r="K10" s="97">
        <f t="shared" ca="1" si="1"/>
        <v>0</v>
      </c>
      <c r="L10" s="84">
        <f ca="1">IF('Invoer gegevens'!$C$17=E10,0,IF(C10=1,Q9,0))</f>
        <v>0</v>
      </c>
      <c r="M10" s="96">
        <f ca="1">IF(C10&gt;=1,L10*VLOOKUP(E10,Reeksen!$A$5:$B$76,2),0)</f>
        <v>0</v>
      </c>
      <c r="N10" s="84">
        <f ca="1">(1-('Invoer gegevens'!$F$20/12))*L10*MIN(Reeksen!B10,Reeksen!D10)</f>
        <v>0</v>
      </c>
      <c r="O10" s="84">
        <f>IF(Reeksen!D10&lt;Reeksen!B10,(Reeksen!B10-Reeksen!D10)*L10,0)</f>
        <v>0</v>
      </c>
      <c r="P10" s="84">
        <f ca="1">('Invoer gegevens'!$F$20/12)*L9*MIN(Reeksen!B9,Reeksen!D9)</f>
        <v>0</v>
      </c>
      <c r="Q10" s="84">
        <f t="shared" ca="1" si="2"/>
        <v>0</v>
      </c>
      <c r="R10" s="82">
        <f ca="1">IF('Invoer gegevens'!$C$17=E10,'Invoer gegevens'!$C$11,IF(C10=1,W9,0))</f>
        <v>0</v>
      </c>
      <c r="S10" s="86">
        <f ca="1">IF(C10&gt;=1,R10*VLOOKUP(E10,Reeksen!$A$5:$B$76,2),0)</f>
        <v>0</v>
      </c>
      <c r="T10" s="84">
        <f ca="1">(1-('Invoer gegevens'!$F$20/12))*R10*MIN(Reeksen!B10,Reeksen!D10)</f>
        <v>0</v>
      </c>
      <c r="U10" s="84">
        <f>IF(Reeksen!D10&gt;=Reeksen!B10,0,IF(Reeksen!AK10&lt;=Reeksen!AE10,(Reeksen!B10-Reeksen!D10)*R10,0))</f>
        <v>0</v>
      </c>
      <c r="V10" s="86">
        <f>IF(Reeksen!D10&gt;=Reeksen!B10,0,IF(Reeksen!AK10&gt;Reeksen!AE10,(Reeksen!B10-Reeksen!D10)*R10,0))</f>
        <v>0</v>
      </c>
      <c r="W10" s="97">
        <f t="shared" ca="1" si="3"/>
        <v>0</v>
      </c>
      <c r="X10" s="98">
        <f ca="1">IF('Invoer gegevens'!$C$17=E10,'Invoer gegevens'!$C$10-'Invoer gegevens'!$C$11,IF(C10=1,AC9,0))</f>
        <v>0</v>
      </c>
      <c r="Y10" s="98">
        <f ca="1">IF(C10&gt;=1,X10*VLOOKUP(E10,Reeksen!$A$5:$B$76,2),0)</f>
        <v>0</v>
      </c>
      <c r="Z10" s="98">
        <f ca="1">(1-('Invoer gegevens'!$F$20/12))*X10*MIN(Reeksen!B10,Reeksen!D10)</f>
        <v>0</v>
      </c>
      <c r="AA10" s="98">
        <f>IF(Reeksen!D10&gt;=Reeksen!B10,0,IF(Reeksen!AK10&lt;=Reeksen!AE10,(Reeksen!B10-Reeksen!D10)*X10,0))</f>
        <v>0</v>
      </c>
      <c r="AB10" s="98">
        <f>IF(Reeksen!D10&gt;=Reeksen!B10,0,IF(Reeksen!AK10&gt;Reeksen!AE10,(Reeksen!B10-Reeksen!D10)*X10,0))</f>
        <v>0</v>
      </c>
      <c r="AC10" s="99">
        <f t="shared" ca="1" si="4"/>
        <v>0</v>
      </c>
      <c r="AD10" s="98">
        <f ca="1">IF('Invoer gegevens'!$C$17=E10,R10,IF(C10=0,0,AE9))</f>
        <v>0</v>
      </c>
      <c r="AE10" s="98">
        <f t="shared" ca="1" si="5"/>
        <v>0</v>
      </c>
      <c r="AF10" s="98">
        <f ca="1">IF('Invoer gegevens'!$C$17=E10,X10,IF(C10=0,0,AG9))</f>
        <v>0</v>
      </c>
      <c r="AG10" s="98">
        <f t="shared" ca="1" si="6"/>
        <v>0</v>
      </c>
      <c r="AH10" s="68"/>
      <c r="AI10" s="71">
        <f ca="1">IF(C10=1,Reeksen!AJ10*((F10-G10+F10)/2)*12+Reeksen!AK10*((L10-M10+L10)/2)*12,0)</f>
        <v>0</v>
      </c>
      <c r="AJ10" s="71">
        <f ca="1">-AI10*'Invoer gegevens'!$F$28</f>
        <v>0</v>
      </c>
      <c r="AK10" s="71">
        <f t="shared" ca="1" si="0"/>
        <v>0</v>
      </c>
      <c r="AL10" s="71">
        <f ca="1">IF(C10=1,Reeksen!AL10*((F10-G10+F10)/2)*12+Reeksen!AM10*((L10-M10+L10)/2)*12,0)</f>
        <v>0</v>
      </c>
      <c r="AM10" s="71">
        <f ca="1">-AL10*'Invoer gegevens'!$F$31</f>
        <v>0</v>
      </c>
      <c r="AN10" s="71">
        <f t="shared" ca="1" si="7"/>
        <v>0</v>
      </c>
      <c r="AO10" s="71">
        <f ca="1">IF(C10=1,(H10+J10+N10+P10)*Reeksen!AN10,0)</f>
        <v>0</v>
      </c>
      <c r="AP10" s="71">
        <f ca="1">-IF(C10=1,(H10+J10+N10+P10)*'Hulp - basis'!$G$550*Reeksen!H10,0)</f>
        <v>0</v>
      </c>
      <c r="AQ10" s="71">
        <f ca="1">-IF(C10=1,(F10+K10+L10+Q10)/2*'Invoer gegevens'!$I$33*Reeksen!J10,0)*2</f>
        <v>0</v>
      </c>
      <c r="AR10" s="71">
        <f ca="1">-IF(C10=1,(I10*'Invoer gegevens'!$I$34)*Reeksen!J10,0)</f>
        <v>0</v>
      </c>
      <c r="AS10" s="71">
        <f ca="1">-IF(C10=1,(F10+K10+L10+Q10)/2*'Invoer gegevens'!$I$35*Reeksen!L10,0)</f>
        <v>0</v>
      </c>
      <c r="AT10" s="71">
        <f ca="1">-IF(C10=1,IF(E10='Invoer gegevens'!$C$17,'Invoer gegevens'!$C$11,AD10)*Reeksen!S10*'Invoer gegevens'!$C$18*Reeksen!P10,0)</f>
        <v>0</v>
      </c>
      <c r="AU10" s="71">
        <f ca="1">-IF(C10=1,(F10+K10+L10+Q10)/2*'Invoer gegevens'!$I$36*Reeksen!H10,0)</f>
        <v>0</v>
      </c>
      <c r="AV10" s="71">
        <f>IF('Invoer gegevens'!$C$3="Basis",0,#REF!)</f>
        <v>0</v>
      </c>
      <c r="AW10" s="71">
        <f t="shared" ca="1" si="8"/>
        <v>0</v>
      </c>
      <c r="AX10" s="71">
        <f ca="1">IF(E10&lt;'Invoer gegevens'!$C$17+15,0,IF(E10&gt;'Invoer gegevens'!$C$17+215,0,AW10))</f>
        <v>0</v>
      </c>
      <c r="AY10" s="71">
        <f ca="1">AX10/(1+'Invoer gegevens'!$F$18)^($AZ10-('Invoer gegevens'!$C$17-'Invoer gegevens'!$C$16))/(1+'Invoer gegevens'!$C$39)^('Invoer gegevens'!$C$17-'Invoer gegevens'!$C$16)</f>
        <v>0</v>
      </c>
      <c r="AZ10" s="68">
        <f ca="1">IF(E10-'Invoer gegevens'!$C$17-14.5&lt;0,0,E10-'Invoer gegevens'!$C$17-14.5)</f>
        <v>0</v>
      </c>
    </row>
    <row r="11" spans="1:52" x14ac:dyDescent="0.25">
      <c r="A11" s="59"/>
      <c r="B11" s="70">
        <f t="shared" si="9"/>
        <v>7</v>
      </c>
      <c r="C11" s="67">
        <f ca="1">IF(E11-'Invoer gegevens'!$C$17&lt;0,0,1)</f>
        <v>1</v>
      </c>
      <c r="D11" s="68">
        <f t="shared" si="10"/>
        <v>6.5</v>
      </c>
      <c r="E11" s="108">
        <f ca="1">IF('Invoer gegevens'!$C$16="","",E10+1)</f>
        <v>2025</v>
      </c>
      <c r="F11" s="84">
        <f ca="1">IF('Invoer gegevens'!$C$17=E11,'Invoer gegevens'!$C$10,IF(C11=1,K10,0))</f>
        <v>0</v>
      </c>
      <c r="G11" s="96">
        <f ca="1">IF(C11&gt;=1,F11*VLOOKUP(E11,Reeksen!$A$5:$B$76,2),0)</f>
        <v>0</v>
      </c>
      <c r="H11" s="84">
        <f ca="1">(1-('Invoer gegevens'!$F$20/12))*F11*MIN(Reeksen!B11,Reeksen!D11)</f>
        <v>0</v>
      </c>
      <c r="I11" s="84">
        <f>IF(Reeksen!D11&lt;Reeksen!B11,(Reeksen!B11-Reeksen!D11)*F11,0)</f>
        <v>0</v>
      </c>
      <c r="J11" s="84">
        <f ca="1">('Invoer gegevens'!$F$20/12)*F10*MIN(Reeksen!B10,Reeksen!D10)</f>
        <v>0</v>
      </c>
      <c r="K11" s="97">
        <f t="shared" ca="1" si="1"/>
        <v>0</v>
      </c>
      <c r="L11" s="84">
        <f ca="1">IF('Invoer gegevens'!$C$17=E11,0,IF(C11=1,Q10,0))</f>
        <v>0</v>
      </c>
      <c r="M11" s="96">
        <f ca="1">IF(C11&gt;=1,L11*VLOOKUP(E11,Reeksen!$A$5:$B$76,2),0)</f>
        <v>0</v>
      </c>
      <c r="N11" s="84">
        <f ca="1">(1-('Invoer gegevens'!$F$20/12))*L11*MIN(Reeksen!B11,Reeksen!D11)</f>
        <v>0</v>
      </c>
      <c r="O11" s="84">
        <f>IF(Reeksen!D11&lt;Reeksen!B11,(Reeksen!B11-Reeksen!D11)*L11,0)</f>
        <v>0</v>
      </c>
      <c r="P11" s="84">
        <f ca="1">('Invoer gegevens'!$F$20/12)*L10*MIN(Reeksen!B10,Reeksen!D10)</f>
        <v>0</v>
      </c>
      <c r="Q11" s="84">
        <f t="shared" ca="1" si="2"/>
        <v>0</v>
      </c>
      <c r="R11" s="82">
        <f ca="1">IF('Invoer gegevens'!$C$17=E11,'Invoer gegevens'!$C$11,IF(C11=1,W10,0))</f>
        <v>0</v>
      </c>
      <c r="S11" s="86">
        <f ca="1">IF(C11&gt;=1,R11*VLOOKUP(E11,Reeksen!$A$5:$B$76,2),0)</f>
        <v>0</v>
      </c>
      <c r="T11" s="84">
        <f ca="1">(1-('Invoer gegevens'!$F$20/12))*R11*MIN(Reeksen!B11,Reeksen!D11)</f>
        <v>0</v>
      </c>
      <c r="U11" s="84">
        <f>IF(Reeksen!D11&gt;=Reeksen!B11,0,IF(Reeksen!AK11&lt;=Reeksen!AE11,(Reeksen!B11-Reeksen!D11)*R11,0))</f>
        <v>0</v>
      </c>
      <c r="V11" s="86">
        <f>IF(Reeksen!D11&gt;=Reeksen!B11,0,IF(Reeksen!AK11&gt;Reeksen!AE11,(Reeksen!B11-Reeksen!D11)*R11,0))</f>
        <v>0</v>
      </c>
      <c r="W11" s="97">
        <f t="shared" ca="1" si="3"/>
        <v>0</v>
      </c>
      <c r="X11" s="98">
        <f ca="1">IF('Invoer gegevens'!$C$17=E11,'Invoer gegevens'!$C$10-'Invoer gegevens'!$C$11,IF(C11=1,AC10,0))</f>
        <v>0</v>
      </c>
      <c r="Y11" s="98">
        <f ca="1">IF(C11&gt;=1,X11*VLOOKUP(E11,Reeksen!$A$5:$B$76,2),0)</f>
        <v>0</v>
      </c>
      <c r="Z11" s="98">
        <f ca="1">(1-('Invoer gegevens'!$F$20/12))*X11*MIN(Reeksen!B11,Reeksen!D11)</f>
        <v>0</v>
      </c>
      <c r="AA11" s="98">
        <f>IF(Reeksen!D11&gt;=Reeksen!B11,0,IF(Reeksen!AK11&lt;=Reeksen!AE11,(Reeksen!B11-Reeksen!D11)*X11,0))</f>
        <v>0</v>
      </c>
      <c r="AB11" s="98">
        <f>IF(Reeksen!D11&gt;=Reeksen!B11,0,IF(Reeksen!AK11&gt;Reeksen!AE11,(Reeksen!B11-Reeksen!D11)*X11,0))</f>
        <v>0</v>
      </c>
      <c r="AC11" s="99">
        <f t="shared" ca="1" si="4"/>
        <v>0</v>
      </c>
      <c r="AD11" s="98">
        <f ca="1">IF('Invoer gegevens'!$C$17=E11,R11,IF(C11=0,0,AE10))</f>
        <v>0</v>
      </c>
      <c r="AE11" s="98">
        <f t="shared" ca="1" si="5"/>
        <v>0</v>
      </c>
      <c r="AF11" s="98">
        <f ca="1">IF('Invoer gegevens'!$C$17=E11,X11,IF(C11=0,0,AG10))</f>
        <v>0</v>
      </c>
      <c r="AG11" s="98">
        <f t="shared" ca="1" si="6"/>
        <v>0</v>
      </c>
      <c r="AH11" s="68"/>
      <c r="AI11" s="71">
        <f ca="1">IF(C11=1,Reeksen!AJ11*((F11-G11+F11)/2)*12+Reeksen!AK11*((L11-M11+L11)/2)*12,0)</f>
        <v>0</v>
      </c>
      <c r="AJ11" s="71">
        <f ca="1">-AI11*'Invoer gegevens'!$F$28</f>
        <v>0</v>
      </c>
      <c r="AK11" s="71">
        <f t="shared" ca="1" si="0"/>
        <v>0</v>
      </c>
      <c r="AL11" s="71">
        <f ca="1">IF(C11=1,Reeksen!AL11*((F11-G11+F11)/2)*12+Reeksen!AM11*((L11-M11+L11)/2)*12,0)</f>
        <v>0</v>
      </c>
      <c r="AM11" s="71">
        <f ca="1">-AL11*'Invoer gegevens'!$F$31</f>
        <v>0</v>
      </c>
      <c r="AN11" s="71">
        <f t="shared" ca="1" si="7"/>
        <v>0</v>
      </c>
      <c r="AO11" s="71">
        <f ca="1">IF(C11=1,(H11+J11+N11+P11)*Reeksen!AN11,0)</f>
        <v>0</v>
      </c>
      <c r="AP11" s="71">
        <f ca="1">-IF(C11=1,(H11+J11+N11+P11)*'Hulp - basis'!$G$550*Reeksen!H11,0)</f>
        <v>0</v>
      </c>
      <c r="AQ11" s="71">
        <f ca="1">-IF(C11=1,(F11+K11+L11+Q11)/2*'Invoer gegevens'!$I$33*Reeksen!J11,0)*2</f>
        <v>0</v>
      </c>
      <c r="AR11" s="71">
        <f ca="1">-IF(C11=1,(I11*'Invoer gegevens'!$I$34)*Reeksen!J11,0)</f>
        <v>0</v>
      </c>
      <c r="AS11" s="71">
        <f ca="1">-IF(C11=1,(F11+K11+L11+Q11)/2*'Invoer gegevens'!$I$35*Reeksen!L11,0)</f>
        <v>0</v>
      </c>
      <c r="AT11" s="71">
        <f ca="1">-IF(C11=1,IF(E11='Invoer gegevens'!$C$17,'Invoer gegevens'!$C$11,AD11)*Reeksen!S11*'Invoer gegevens'!$C$18*Reeksen!P11,0)</f>
        <v>0</v>
      </c>
      <c r="AU11" s="71">
        <f ca="1">-IF(C11=1,(F11+K11+L11+Q11)/2*'Invoer gegevens'!$I$36*Reeksen!H11,0)</f>
        <v>0</v>
      </c>
      <c r="AV11" s="71">
        <f>IF('Invoer gegevens'!$C$3="Basis",0,#REF!)</f>
        <v>0</v>
      </c>
      <c r="AW11" s="71">
        <f t="shared" ca="1" si="8"/>
        <v>0</v>
      </c>
      <c r="AX11" s="71">
        <f ca="1">IF(E11&lt;'Invoer gegevens'!$C$17+15,0,IF(E11&gt;'Invoer gegevens'!$C$17+215,0,AW11))</f>
        <v>0</v>
      </c>
      <c r="AY11" s="71">
        <f ca="1">AX11/(1+'Invoer gegevens'!$F$18)^($AZ11-('Invoer gegevens'!$C$17-'Invoer gegevens'!$C$16))/(1+'Invoer gegevens'!$C$39)^('Invoer gegevens'!$C$17-'Invoer gegevens'!$C$16)</f>
        <v>0</v>
      </c>
      <c r="AZ11" s="68">
        <f ca="1">IF(E11-'Invoer gegevens'!$C$17-14.5&lt;0,0,E11-'Invoer gegevens'!$C$17-14.5)</f>
        <v>0</v>
      </c>
    </row>
    <row r="12" spans="1:52" x14ac:dyDescent="0.25">
      <c r="A12" s="59"/>
      <c r="B12" s="70">
        <f t="shared" si="9"/>
        <v>8</v>
      </c>
      <c r="C12" s="67">
        <f ca="1">IF(E12-'Invoer gegevens'!$C$17&lt;0,0,1)</f>
        <v>1</v>
      </c>
      <c r="D12" s="68">
        <f t="shared" si="10"/>
        <v>7.5</v>
      </c>
      <c r="E12" s="108">
        <f ca="1">IF('Invoer gegevens'!$C$16="","",E11+1)</f>
        <v>2026</v>
      </c>
      <c r="F12" s="84">
        <f ca="1">IF('Invoer gegevens'!$C$17=E12,'Invoer gegevens'!$C$10,IF(C12=1,K11,0))</f>
        <v>0</v>
      </c>
      <c r="G12" s="96">
        <f ca="1">IF(C12&gt;=1,F12*VLOOKUP(E12,Reeksen!$A$5:$B$76,2),0)</f>
        <v>0</v>
      </c>
      <c r="H12" s="84">
        <f ca="1">(1-('Invoer gegevens'!$F$20/12))*F12*MIN(Reeksen!B12,Reeksen!D12)</f>
        <v>0</v>
      </c>
      <c r="I12" s="84">
        <f>IF(Reeksen!D12&lt;Reeksen!B12,(Reeksen!B12-Reeksen!D12)*F12,0)</f>
        <v>0</v>
      </c>
      <c r="J12" s="84">
        <f ca="1">('Invoer gegevens'!$F$20/12)*F11*MIN(Reeksen!B11,Reeksen!D11)</f>
        <v>0</v>
      </c>
      <c r="K12" s="97">
        <f t="shared" ca="1" si="1"/>
        <v>0</v>
      </c>
      <c r="L12" s="84">
        <f ca="1">IF('Invoer gegevens'!$C$17=E12,0,IF(C12=1,Q11,0))</f>
        <v>0</v>
      </c>
      <c r="M12" s="96">
        <f ca="1">IF(C12&gt;=1,L12*VLOOKUP(E12,Reeksen!$A$5:$B$76,2),0)</f>
        <v>0</v>
      </c>
      <c r="N12" s="84">
        <f ca="1">(1-('Invoer gegevens'!$F$20/12))*L12*MIN(Reeksen!B12,Reeksen!D12)</f>
        <v>0</v>
      </c>
      <c r="O12" s="84">
        <f>IF(Reeksen!D12&lt;Reeksen!B12,(Reeksen!B12-Reeksen!D12)*L12,0)</f>
        <v>0</v>
      </c>
      <c r="P12" s="84">
        <f ca="1">('Invoer gegevens'!$F$20/12)*L11*MIN(Reeksen!B11,Reeksen!D11)</f>
        <v>0</v>
      </c>
      <c r="Q12" s="84">
        <f t="shared" ca="1" si="2"/>
        <v>0</v>
      </c>
      <c r="R12" s="82">
        <f ca="1">IF('Invoer gegevens'!$C$17=E12,'Invoer gegevens'!$C$11,IF(C12=1,W11,0))</f>
        <v>0</v>
      </c>
      <c r="S12" s="86">
        <f ca="1">IF(C12&gt;=1,R12*VLOOKUP(E12,Reeksen!$A$5:$B$76,2),0)</f>
        <v>0</v>
      </c>
      <c r="T12" s="84">
        <f ca="1">(1-('Invoer gegevens'!$F$20/12))*R12*MIN(Reeksen!B12,Reeksen!D12)</f>
        <v>0</v>
      </c>
      <c r="U12" s="84">
        <f>IF(Reeksen!D12&gt;=Reeksen!B12,0,IF(Reeksen!AK12&lt;=Reeksen!AE12,(Reeksen!B12-Reeksen!D12)*R12,0))</f>
        <v>0</v>
      </c>
      <c r="V12" s="86">
        <f>IF(Reeksen!D12&gt;=Reeksen!B12,0,IF(Reeksen!AK12&gt;Reeksen!AE12,(Reeksen!B12-Reeksen!D12)*R12,0))</f>
        <v>0</v>
      </c>
      <c r="W12" s="97">
        <f t="shared" ca="1" si="3"/>
        <v>0</v>
      </c>
      <c r="X12" s="98">
        <f ca="1">IF('Invoer gegevens'!$C$17=E12,'Invoer gegevens'!$C$10-'Invoer gegevens'!$C$11,IF(C12=1,AC11,0))</f>
        <v>0</v>
      </c>
      <c r="Y12" s="98">
        <f ca="1">IF(C12&gt;=1,X12*VLOOKUP(E12,Reeksen!$A$5:$B$76,2),0)</f>
        <v>0</v>
      </c>
      <c r="Z12" s="98">
        <f ca="1">(1-('Invoer gegevens'!$F$20/12))*X12*MIN(Reeksen!B12,Reeksen!D12)</f>
        <v>0</v>
      </c>
      <c r="AA12" s="98">
        <f>IF(Reeksen!D12&gt;=Reeksen!B12,0,IF(Reeksen!AK12&lt;=Reeksen!AE12,(Reeksen!B12-Reeksen!D12)*X12,0))</f>
        <v>0</v>
      </c>
      <c r="AB12" s="98">
        <f>IF(Reeksen!D12&gt;=Reeksen!B12,0,IF(Reeksen!AK12&gt;Reeksen!AE12,(Reeksen!B12-Reeksen!D12)*X12,0))</f>
        <v>0</v>
      </c>
      <c r="AC12" s="99">
        <f t="shared" ca="1" si="4"/>
        <v>0</v>
      </c>
      <c r="AD12" s="98">
        <f ca="1">IF('Invoer gegevens'!$C$17=E12,R12,IF(C12=0,0,AE11))</f>
        <v>0</v>
      </c>
      <c r="AE12" s="98">
        <f t="shared" ca="1" si="5"/>
        <v>0</v>
      </c>
      <c r="AF12" s="98">
        <f ca="1">IF('Invoer gegevens'!$C$17=E12,X12,IF(C12=0,0,AG11))</f>
        <v>0</v>
      </c>
      <c r="AG12" s="98">
        <f t="shared" ca="1" si="6"/>
        <v>0</v>
      </c>
      <c r="AH12" s="68"/>
      <c r="AI12" s="71">
        <f ca="1">IF(C12=1,Reeksen!AJ12*((F12-G12+F12)/2)*12+Reeksen!AK12*((L12-M12+L12)/2)*12,0)</f>
        <v>0</v>
      </c>
      <c r="AJ12" s="71">
        <f ca="1">-AI12*'Invoer gegevens'!$F$28</f>
        <v>0</v>
      </c>
      <c r="AK12" s="71">
        <f t="shared" ca="1" si="0"/>
        <v>0</v>
      </c>
      <c r="AL12" s="71">
        <f ca="1">IF(C12=1,Reeksen!AL12*((F12-G12+F12)/2)*12+Reeksen!AM12*((L12-M12+L12)/2)*12,0)</f>
        <v>0</v>
      </c>
      <c r="AM12" s="71">
        <f ca="1">-AL12*'Invoer gegevens'!$F$31</f>
        <v>0</v>
      </c>
      <c r="AN12" s="71">
        <f t="shared" ca="1" si="7"/>
        <v>0</v>
      </c>
      <c r="AO12" s="71">
        <f ca="1">IF(C12=1,(H12+J12+N12+P12)*Reeksen!AN12,0)</f>
        <v>0</v>
      </c>
      <c r="AP12" s="71">
        <f ca="1">-IF(C12=1,(H12+J12+N12+P12)*'Hulp - basis'!$G$550*Reeksen!H12,0)</f>
        <v>0</v>
      </c>
      <c r="AQ12" s="71">
        <f ca="1">-IF(C12=1,(F12+K12+L12+Q12)/2*'Invoer gegevens'!$I$33*Reeksen!J12,0)*2</f>
        <v>0</v>
      </c>
      <c r="AR12" s="71">
        <f ca="1">-IF(C12=1,(I12*'Invoer gegevens'!$I$34)*Reeksen!J12,0)</f>
        <v>0</v>
      </c>
      <c r="AS12" s="71">
        <f ca="1">-IF(C12=1,(F12+K12+L12+Q12)/2*'Invoer gegevens'!$I$35*Reeksen!L12,0)</f>
        <v>0</v>
      </c>
      <c r="AT12" s="71">
        <f ca="1">-IF(C12=1,IF(E12='Invoer gegevens'!$C$17,'Invoer gegevens'!$C$11,AD12)*Reeksen!S12*'Invoer gegevens'!$C$18*Reeksen!P12,0)</f>
        <v>0</v>
      </c>
      <c r="AU12" s="71">
        <f ca="1">-IF(C12=1,(F12+K12+L12+Q12)/2*'Invoer gegevens'!$I$36*Reeksen!H12,0)</f>
        <v>0</v>
      </c>
      <c r="AV12" s="71">
        <f>IF('Invoer gegevens'!$C$3="Basis",0,#REF!)</f>
        <v>0</v>
      </c>
      <c r="AW12" s="71">
        <f t="shared" ca="1" si="8"/>
        <v>0</v>
      </c>
      <c r="AX12" s="71">
        <f ca="1">IF(E12&lt;'Invoer gegevens'!$C$17+15,0,IF(E12&gt;'Invoer gegevens'!$C$17+215,0,AW12))</f>
        <v>0</v>
      </c>
      <c r="AY12" s="71">
        <f ca="1">AX12/(1+'Invoer gegevens'!$F$18)^($AZ12-('Invoer gegevens'!$C$17-'Invoer gegevens'!$C$16))/(1+'Invoer gegevens'!$C$39)^('Invoer gegevens'!$C$17-'Invoer gegevens'!$C$16)</f>
        <v>0</v>
      </c>
      <c r="AZ12" s="68">
        <f ca="1">IF(E12-'Invoer gegevens'!$C$17-14.5&lt;0,0,E12-'Invoer gegevens'!$C$17-14.5)</f>
        <v>0</v>
      </c>
    </row>
    <row r="13" spans="1:52" x14ac:dyDescent="0.25">
      <c r="A13" s="59"/>
      <c r="B13" s="70">
        <f t="shared" si="9"/>
        <v>9</v>
      </c>
      <c r="C13" s="67">
        <f ca="1">IF(E13-'Invoer gegevens'!$C$17&lt;0,0,1)</f>
        <v>1</v>
      </c>
      <c r="D13" s="68">
        <f t="shared" si="10"/>
        <v>8.5</v>
      </c>
      <c r="E13" s="108">
        <f ca="1">IF('Invoer gegevens'!$C$16="","",E12+1)</f>
        <v>2027</v>
      </c>
      <c r="F13" s="84">
        <f ca="1">IF('Invoer gegevens'!$C$17=E13,'Invoer gegevens'!$C$10,IF(C13=1,K12,0))</f>
        <v>0</v>
      </c>
      <c r="G13" s="96">
        <f ca="1">IF(C13&gt;=1,F13*VLOOKUP(E13,Reeksen!$A$5:$B$76,2),0)</f>
        <v>0</v>
      </c>
      <c r="H13" s="84">
        <f ca="1">(1-('Invoer gegevens'!$F$20/12))*F13*MIN(Reeksen!B13,Reeksen!D13)</f>
        <v>0</v>
      </c>
      <c r="I13" s="84">
        <f>IF(Reeksen!D13&lt;Reeksen!B13,(Reeksen!B13-Reeksen!D13)*F13,0)</f>
        <v>0</v>
      </c>
      <c r="J13" s="84">
        <f ca="1">('Invoer gegevens'!$F$20/12)*F12*MIN(Reeksen!B12,Reeksen!D12)</f>
        <v>0</v>
      </c>
      <c r="K13" s="97">
        <f t="shared" ca="1" si="1"/>
        <v>0</v>
      </c>
      <c r="L13" s="84">
        <f ca="1">IF('Invoer gegevens'!$C$17=E13,0,IF(C13=1,Q12,0))</f>
        <v>0</v>
      </c>
      <c r="M13" s="96">
        <f ca="1">IF(C13&gt;=1,L13*VLOOKUP(E13,Reeksen!$A$5:$B$76,2),0)</f>
        <v>0</v>
      </c>
      <c r="N13" s="84">
        <f ca="1">(1-('Invoer gegevens'!$F$20/12))*L13*MIN(Reeksen!B13,Reeksen!D13)</f>
        <v>0</v>
      </c>
      <c r="O13" s="84">
        <f>IF(Reeksen!D13&lt;Reeksen!B13,(Reeksen!B13-Reeksen!D13)*L13,0)</f>
        <v>0</v>
      </c>
      <c r="P13" s="84">
        <f ca="1">('Invoer gegevens'!$F$20/12)*L12*MIN(Reeksen!B12,Reeksen!D12)</f>
        <v>0</v>
      </c>
      <c r="Q13" s="84">
        <f t="shared" ca="1" si="2"/>
        <v>0</v>
      </c>
      <c r="R13" s="82">
        <f ca="1">IF('Invoer gegevens'!$C$17=E13,'Invoer gegevens'!$C$11,IF(C13=1,W12,0))</f>
        <v>0</v>
      </c>
      <c r="S13" s="86">
        <f ca="1">IF(C13&gt;=1,R13*VLOOKUP(E13,Reeksen!$A$5:$B$76,2),0)</f>
        <v>0</v>
      </c>
      <c r="T13" s="84">
        <f ca="1">(1-('Invoer gegevens'!$F$20/12))*R13*MIN(Reeksen!B13,Reeksen!D13)</f>
        <v>0</v>
      </c>
      <c r="U13" s="84">
        <f>IF(Reeksen!D13&gt;=Reeksen!B13,0,IF(Reeksen!AK13&lt;=Reeksen!AE13,(Reeksen!B13-Reeksen!D13)*R13,0))</f>
        <v>0</v>
      </c>
      <c r="V13" s="86">
        <f>IF(Reeksen!D13&gt;=Reeksen!B13,0,IF(Reeksen!AK13&gt;Reeksen!AE13,(Reeksen!B13-Reeksen!D13)*R13,0))</f>
        <v>0</v>
      </c>
      <c r="W13" s="97">
        <f t="shared" ca="1" si="3"/>
        <v>0</v>
      </c>
      <c r="X13" s="98">
        <f ca="1">IF('Invoer gegevens'!$C$17=E13,'Invoer gegevens'!$C$10-'Invoer gegevens'!$C$11,IF(C13=1,AC12,0))</f>
        <v>0</v>
      </c>
      <c r="Y13" s="98">
        <f ca="1">IF(C13&gt;=1,X13*VLOOKUP(E13,Reeksen!$A$5:$B$76,2),0)</f>
        <v>0</v>
      </c>
      <c r="Z13" s="98">
        <f ca="1">(1-('Invoer gegevens'!$F$20/12))*X13*MIN(Reeksen!B13,Reeksen!D13)</f>
        <v>0</v>
      </c>
      <c r="AA13" s="98">
        <f>IF(Reeksen!D13&gt;=Reeksen!B13,0,IF(Reeksen!AK13&lt;=Reeksen!AE13,(Reeksen!B13-Reeksen!D13)*X13,0))</f>
        <v>0</v>
      </c>
      <c r="AB13" s="98">
        <f>IF(Reeksen!D13&gt;=Reeksen!B13,0,IF(Reeksen!AK13&gt;Reeksen!AE13,(Reeksen!B13-Reeksen!D13)*X13,0))</f>
        <v>0</v>
      </c>
      <c r="AC13" s="99">
        <f t="shared" ca="1" si="4"/>
        <v>0</v>
      </c>
      <c r="AD13" s="98">
        <f ca="1">IF('Invoer gegevens'!$C$17=E13,R13,IF(C13=0,0,AE12))</f>
        <v>0</v>
      </c>
      <c r="AE13" s="98">
        <f t="shared" ca="1" si="5"/>
        <v>0</v>
      </c>
      <c r="AF13" s="98">
        <f ca="1">IF('Invoer gegevens'!$C$17=E13,X13,IF(C13=0,0,AG12))</f>
        <v>0</v>
      </c>
      <c r="AG13" s="98">
        <f t="shared" ca="1" si="6"/>
        <v>0</v>
      </c>
      <c r="AH13" s="68"/>
      <c r="AI13" s="71">
        <f ca="1">IF(C13=1,Reeksen!AJ13*((F13-G13+F13)/2)*12+Reeksen!AK13*((L13-M13+L13)/2)*12,0)</f>
        <v>0</v>
      </c>
      <c r="AJ13" s="71">
        <f ca="1">-AI13*'Invoer gegevens'!$F$28</f>
        <v>0</v>
      </c>
      <c r="AK13" s="71">
        <f t="shared" ca="1" si="0"/>
        <v>0</v>
      </c>
      <c r="AL13" s="71">
        <f ca="1">IF(C13=1,Reeksen!AL13*((F13-G13+F13)/2)*12+Reeksen!AM13*((L13-M13+L13)/2)*12,0)</f>
        <v>0</v>
      </c>
      <c r="AM13" s="71">
        <f ca="1">-AL13*'Invoer gegevens'!$F$31</f>
        <v>0</v>
      </c>
      <c r="AN13" s="71">
        <f t="shared" ca="1" si="7"/>
        <v>0</v>
      </c>
      <c r="AO13" s="71">
        <f ca="1">IF(C13=1,(H13+J13+N13+P13)*Reeksen!AN13,0)</f>
        <v>0</v>
      </c>
      <c r="AP13" s="71">
        <f ca="1">-IF(C13=1,(H13+J13+N13+P13)*'Hulp - basis'!$G$550*Reeksen!H13,0)</f>
        <v>0</v>
      </c>
      <c r="AQ13" s="71">
        <f ca="1">-IF(C13=1,(F13+K13+L13+Q13)/2*'Invoer gegevens'!$I$33*Reeksen!J13,0)*2</f>
        <v>0</v>
      </c>
      <c r="AR13" s="71">
        <f ca="1">-IF(C13=1,(I13*'Invoer gegevens'!$I$34)*Reeksen!J13,0)</f>
        <v>0</v>
      </c>
      <c r="AS13" s="71">
        <f ca="1">-IF(C13=1,(F13+K13+L13+Q13)/2*'Invoer gegevens'!$I$35*Reeksen!L13,0)</f>
        <v>0</v>
      </c>
      <c r="AT13" s="71">
        <f ca="1">-IF(C13=1,IF(E13='Invoer gegevens'!$C$17,'Invoer gegevens'!$C$11,AD13)*Reeksen!S13*'Invoer gegevens'!$C$18*Reeksen!P13,0)</f>
        <v>0</v>
      </c>
      <c r="AU13" s="71">
        <f ca="1">-IF(C13=1,(F13+K13+L13+Q13)/2*'Invoer gegevens'!$I$36*Reeksen!H13,0)</f>
        <v>0</v>
      </c>
      <c r="AV13" s="71">
        <f>IF('Invoer gegevens'!$C$3="Basis",0,#REF!)</f>
        <v>0</v>
      </c>
      <c r="AW13" s="71">
        <f t="shared" ca="1" si="8"/>
        <v>0</v>
      </c>
      <c r="AX13" s="71">
        <f ca="1">IF(E13&lt;'Invoer gegevens'!$C$17+15,0,IF(E13&gt;'Invoer gegevens'!$C$17+215,0,AW13))</f>
        <v>0</v>
      </c>
      <c r="AY13" s="71">
        <f ca="1">AX13/(1+'Invoer gegevens'!$F$18)^($AZ13-('Invoer gegevens'!$C$17-'Invoer gegevens'!$C$16))/(1+'Invoer gegevens'!$C$39)^('Invoer gegevens'!$C$17-'Invoer gegevens'!$C$16)</f>
        <v>0</v>
      </c>
      <c r="AZ13" s="68">
        <f ca="1">IF(E13-'Invoer gegevens'!$C$17-14.5&lt;0,0,E13-'Invoer gegevens'!$C$17-14.5)</f>
        <v>0</v>
      </c>
    </row>
    <row r="14" spans="1:52" x14ac:dyDescent="0.25">
      <c r="A14" s="59"/>
      <c r="B14" s="70">
        <f t="shared" si="9"/>
        <v>10</v>
      </c>
      <c r="C14" s="67">
        <f ca="1">IF(E14-'Invoer gegevens'!$C$17&lt;0,0,1)</f>
        <v>1</v>
      </c>
      <c r="D14" s="68">
        <f t="shared" si="10"/>
        <v>9.5</v>
      </c>
      <c r="E14" s="108">
        <f ca="1">IF('Invoer gegevens'!$C$16="","",E13+1)</f>
        <v>2028</v>
      </c>
      <c r="F14" s="84">
        <f ca="1">IF('Invoer gegevens'!$C$17=E14,'Invoer gegevens'!$C$10,IF(C14=1,K13,0))</f>
        <v>0</v>
      </c>
      <c r="G14" s="96">
        <f ca="1">IF(C14&gt;=1,F14*VLOOKUP(E14,Reeksen!$A$5:$B$76,2),0)</f>
        <v>0</v>
      </c>
      <c r="H14" s="84">
        <f ca="1">(1-('Invoer gegevens'!$F$20/12))*F14*MIN(Reeksen!B14,Reeksen!D14)</f>
        <v>0</v>
      </c>
      <c r="I14" s="84">
        <f>IF(Reeksen!D14&lt;Reeksen!B14,(Reeksen!B14-Reeksen!D14)*F14,0)</f>
        <v>0</v>
      </c>
      <c r="J14" s="84">
        <f ca="1">('Invoer gegevens'!$F$20/12)*F13*MIN(Reeksen!B13,Reeksen!D13)</f>
        <v>0</v>
      </c>
      <c r="K14" s="97">
        <f t="shared" ca="1" si="1"/>
        <v>0</v>
      </c>
      <c r="L14" s="84">
        <f ca="1">IF('Invoer gegevens'!$C$17=E14,0,IF(C14=1,Q13,0))</f>
        <v>0</v>
      </c>
      <c r="M14" s="96">
        <f ca="1">IF(C14&gt;=1,L14*VLOOKUP(E14,Reeksen!$A$5:$B$76,2),0)</f>
        <v>0</v>
      </c>
      <c r="N14" s="84">
        <f ca="1">(1-('Invoer gegevens'!$F$20/12))*L14*MIN(Reeksen!B14,Reeksen!D14)</f>
        <v>0</v>
      </c>
      <c r="O14" s="84">
        <f>IF(Reeksen!D14&lt;Reeksen!B14,(Reeksen!B14-Reeksen!D14)*L14,0)</f>
        <v>0</v>
      </c>
      <c r="P14" s="84">
        <f ca="1">('Invoer gegevens'!$F$20/12)*L13*MIN(Reeksen!B13,Reeksen!D13)</f>
        <v>0</v>
      </c>
      <c r="Q14" s="84">
        <f t="shared" ca="1" si="2"/>
        <v>0</v>
      </c>
      <c r="R14" s="82">
        <f ca="1">IF('Invoer gegevens'!$C$17=E14,'Invoer gegevens'!$C$11,IF(C14=1,W13,0))</f>
        <v>0</v>
      </c>
      <c r="S14" s="86">
        <f ca="1">IF(C14&gt;=1,R14*VLOOKUP(E14,Reeksen!$A$5:$B$76,2),0)</f>
        <v>0</v>
      </c>
      <c r="T14" s="84">
        <f ca="1">(1-('Invoer gegevens'!$F$20/12))*R14*MIN(Reeksen!B14,Reeksen!D14)</f>
        <v>0</v>
      </c>
      <c r="U14" s="84">
        <f>IF(Reeksen!D14&gt;=Reeksen!B14,0,IF(Reeksen!AK14&lt;=Reeksen!AE14,(Reeksen!B14-Reeksen!D14)*R14,0))</f>
        <v>0</v>
      </c>
      <c r="V14" s="86">
        <f>IF(Reeksen!D14&gt;=Reeksen!B14,0,IF(Reeksen!AK14&gt;Reeksen!AE14,(Reeksen!B14-Reeksen!D14)*R14,0))</f>
        <v>0</v>
      </c>
      <c r="W14" s="97">
        <f t="shared" ca="1" si="3"/>
        <v>0</v>
      </c>
      <c r="X14" s="98">
        <f ca="1">IF('Invoer gegevens'!$C$17=E14,'Invoer gegevens'!$C$10-'Invoer gegevens'!$C$11,IF(C14=1,AC13,0))</f>
        <v>0</v>
      </c>
      <c r="Y14" s="98">
        <f ca="1">IF(C14&gt;=1,X14*VLOOKUP(E14,Reeksen!$A$5:$B$76,2),0)</f>
        <v>0</v>
      </c>
      <c r="Z14" s="98">
        <f ca="1">(1-('Invoer gegevens'!$F$20/12))*X14*MIN(Reeksen!B14,Reeksen!D14)</f>
        <v>0</v>
      </c>
      <c r="AA14" s="98">
        <f>IF(Reeksen!D14&gt;=Reeksen!B14,0,IF(Reeksen!AK14&lt;=Reeksen!AE14,(Reeksen!B14-Reeksen!D14)*X14,0))</f>
        <v>0</v>
      </c>
      <c r="AB14" s="98">
        <f>IF(Reeksen!D14&gt;=Reeksen!B14,0,IF(Reeksen!AK14&gt;Reeksen!AE14,(Reeksen!B14-Reeksen!D14)*X14,0))</f>
        <v>0</v>
      </c>
      <c r="AC14" s="99">
        <f t="shared" ca="1" si="4"/>
        <v>0</v>
      </c>
      <c r="AD14" s="98">
        <f ca="1">IF('Invoer gegevens'!$C$17=E14,R14,IF(C14=0,0,AE13))</f>
        <v>0</v>
      </c>
      <c r="AE14" s="98">
        <f t="shared" ca="1" si="5"/>
        <v>0</v>
      </c>
      <c r="AF14" s="98">
        <f ca="1">IF('Invoer gegevens'!$C$17=E14,X14,IF(C14=0,0,AG13))</f>
        <v>0</v>
      </c>
      <c r="AG14" s="98">
        <f t="shared" ca="1" si="6"/>
        <v>0</v>
      </c>
      <c r="AH14" s="68"/>
      <c r="AI14" s="71">
        <f ca="1">IF(C14=1,Reeksen!AJ14*((F14-G14+F14)/2)*12+Reeksen!AK14*((L14-M14+L14)/2)*12,0)</f>
        <v>0</v>
      </c>
      <c r="AJ14" s="71">
        <f ca="1">-AI14*'Invoer gegevens'!$F$28</f>
        <v>0</v>
      </c>
      <c r="AK14" s="71">
        <f t="shared" ca="1" si="0"/>
        <v>0</v>
      </c>
      <c r="AL14" s="71">
        <f ca="1">IF(C14=1,Reeksen!AL14*((F14-G14+F14)/2)*12+Reeksen!AM14*((L14-M14+L14)/2)*12,0)</f>
        <v>0</v>
      </c>
      <c r="AM14" s="71">
        <f ca="1">-AL14*'Invoer gegevens'!$F$31</f>
        <v>0</v>
      </c>
      <c r="AN14" s="71">
        <f t="shared" ca="1" si="7"/>
        <v>0</v>
      </c>
      <c r="AO14" s="71">
        <f ca="1">IF(C14=1,(H14+J14+N14+P14)*Reeksen!AN14,0)</f>
        <v>0</v>
      </c>
      <c r="AP14" s="71">
        <f ca="1">-IF(C14=1,(H14+J14+N14+P14)*'Hulp - basis'!$G$550*Reeksen!H14,0)</f>
        <v>0</v>
      </c>
      <c r="AQ14" s="71">
        <f ca="1">-IF(C14=1,(F14+K14+L14+Q14)/2*'Invoer gegevens'!$I$33*Reeksen!J14,0)*2</f>
        <v>0</v>
      </c>
      <c r="AR14" s="71">
        <f ca="1">-IF(C14=1,(I14*'Invoer gegevens'!$I$34)*Reeksen!J14,0)</f>
        <v>0</v>
      </c>
      <c r="AS14" s="71">
        <f ca="1">-IF(C14=1,(F14+K14+L14+Q14)/2*'Invoer gegevens'!$I$35*Reeksen!L14,0)</f>
        <v>0</v>
      </c>
      <c r="AT14" s="71">
        <f ca="1">-IF(C14=1,IF(E14='Invoer gegevens'!$C$17,'Invoer gegevens'!$C$11,AD14)*Reeksen!S14*'Invoer gegevens'!$C$18*Reeksen!P14,0)</f>
        <v>0</v>
      </c>
      <c r="AU14" s="71">
        <f ca="1">-IF(C14=1,(F14+K14+L14+Q14)/2*'Invoer gegevens'!$I$36*Reeksen!H14,0)</f>
        <v>0</v>
      </c>
      <c r="AV14" s="71">
        <f>IF('Invoer gegevens'!$C$3="Basis",0,#REF!)</f>
        <v>0</v>
      </c>
      <c r="AW14" s="71">
        <f t="shared" ca="1" si="8"/>
        <v>0</v>
      </c>
      <c r="AX14" s="71">
        <f ca="1">IF(E14&lt;'Invoer gegevens'!$C$17+15,0,IF(E14&gt;'Invoer gegevens'!$C$17+215,0,AW14))</f>
        <v>0</v>
      </c>
      <c r="AY14" s="71">
        <f ca="1">AX14/(1+'Invoer gegevens'!$F$18)^($AZ14-('Invoer gegevens'!$C$17-'Invoer gegevens'!$C$16))/(1+'Invoer gegevens'!$C$39)^('Invoer gegevens'!$C$17-'Invoer gegevens'!$C$16)</f>
        <v>0</v>
      </c>
      <c r="AZ14" s="68">
        <f ca="1">IF(E14-'Invoer gegevens'!$C$17-14.5&lt;0,0,E14-'Invoer gegevens'!$C$17-14.5)</f>
        <v>0</v>
      </c>
    </row>
    <row r="15" spans="1:52" x14ac:dyDescent="0.25">
      <c r="A15" s="59"/>
      <c r="B15" s="70">
        <f t="shared" si="9"/>
        <v>11</v>
      </c>
      <c r="C15" s="67">
        <f ca="1">IF(E15-'Invoer gegevens'!$C$17&lt;0,0,1)</f>
        <v>1</v>
      </c>
      <c r="D15" s="68">
        <f t="shared" si="10"/>
        <v>10.5</v>
      </c>
      <c r="E15" s="108">
        <f ca="1">IF('Invoer gegevens'!$C$16="","",E14+1)</f>
        <v>2029</v>
      </c>
      <c r="F15" s="84">
        <f ca="1">IF('Invoer gegevens'!$C$17=E15,'Invoer gegevens'!$C$10,IF(C15=1,K14,0))</f>
        <v>0</v>
      </c>
      <c r="G15" s="96">
        <f ca="1">IF(C15&gt;=1,F15*VLOOKUP(E15,Reeksen!$A$5:$B$76,2),0)</f>
        <v>0</v>
      </c>
      <c r="H15" s="84">
        <f ca="1">(1-('Invoer gegevens'!$F$20/12))*F15*MIN(Reeksen!B15,Reeksen!D15)</f>
        <v>0</v>
      </c>
      <c r="I15" s="84">
        <f>IF(Reeksen!D15&lt;Reeksen!B15,(Reeksen!B15-Reeksen!D15)*F15,0)</f>
        <v>0</v>
      </c>
      <c r="J15" s="84">
        <f ca="1">('Invoer gegevens'!$F$20/12)*F14*MIN(Reeksen!B14,Reeksen!D14)</f>
        <v>0</v>
      </c>
      <c r="K15" s="97">
        <f t="shared" ca="1" si="1"/>
        <v>0</v>
      </c>
      <c r="L15" s="84">
        <f ca="1">IF('Invoer gegevens'!$C$17=E15,0,IF(C15=1,Q14,0))</f>
        <v>0</v>
      </c>
      <c r="M15" s="96">
        <f ca="1">IF(C15&gt;=1,L15*VLOOKUP(E15,Reeksen!$A$5:$B$76,2),0)</f>
        <v>0</v>
      </c>
      <c r="N15" s="84">
        <f ca="1">(1-('Invoer gegevens'!$F$20/12))*L15*MIN(Reeksen!B15,Reeksen!D15)</f>
        <v>0</v>
      </c>
      <c r="O15" s="84">
        <f>IF(Reeksen!D15&lt;Reeksen!B15,(Reeksen!B15-Reeksen!D15)*L15,0)</f>
        <v>0</v>
      </c>
      <c r="P15" s="84">
        <f ca="1">('Invoer gegevens'!$F$20/12)*L14*MIN(Reeksen!B14,Reeksen!D14)</f>
        <v>0</v>
      </c>
      <c r="Q15" s="84">
        <f t="shared" ca="1" si="2"/>
        <v>0</v>
      </c>
      <c r="R15" s="82">
        <f ca="1">IF('Invoer gegevens'!$C$17=E15,'Invoer gegevens'!$C$11,IF(C15=1,W14,0))</f>
        <v>0</v>
      </c>
      <c r="S15" s="86">
        <f ca="1">IF(C15&gt;=1,R15*VLOOKUP(E15,Reeksen!$A$5:$B$76,2),0)</f>
        <v>0</v>
      </c>
      <c r="T15" s="84">
        <f ca="1">(1-('Invoer gegevens'!$F$20/12))*R15*MIN(Reeksen!B15,Reeksen!D15)</f>
        <v>0</v>
      </c>
      <c r="U15" s="84">
        <f>IF(Reeksen!D15&gt;=Reeksen!B15,0,IF(Reeksen!AK15&lt;=Reeksen!AE15,(Reeksen!B15-Reeksen!D15)*R15,0))</f>
        <v>0</v>
      </c>
      <c r="V15" s="86">
        <f>IF(Reeksen!D15&gt;=Reeksen!B15,0,IF(Reeksen!AK15&gt;Reeksen!AE15,(Reeksen!B15-Reeksen!D15)*R15,0))</f>
        <v>0</v>
      </c>
      <c r="W15" s="97">
        <f t="shared" ca="1" si="3"/>
        <v>0</v>
      </c>
      <c r="X15" s="98">
        <f ca="1">IF('Invoer gegevens'!$C$17=E15,'Invoer gegevens'!$C$10-'Invoer gegevens'!$C$11,IF(C15=1,AC14,0))</f>
        <v>0</v>
      </c>
      <c r="Y15" s="98">
        <f ca="1">IF(C15&gt;=1,X15*VLOOKUP(E15,Reeksen!$A$5:$B$76,2),0)</f>
        <v>0</v>
      </c>
      <c r="Z15" s="98">
        <f ca="1">(1-('Invoer gegevens'!$F$20/12))*X15*MIN(Reeksen!B15,Reeksen!D15)</f>
        <v>0</v>
      </c>
      <c r="AA15" s="98">
        <f>IF(Reeksen!D15&gt;=Reeksen!B15,0,IF(Reeksen!AK15&lt;=Reeksen!AE15,(Reeksen!B15-Reeksen!D15)*X15,0))</f>
        <v>0</v>
      </c>
      <c r="AB15" s="98">
        <f>IF(Reeksen!D15&gt;=Reeksen!B15,0,IF(Reeksen!AK15&gt;Reeksen!AE15,(Reeksen!B15-Reeksen!D15)*X15,0))</f>
        <v>0</v>
      </c>
      <c r="AC15" s="99">
        <f t="shared" ca="1" si="4"/>
        <v>0</v>
      </c>
      <c r="AD15" s="98">
        <f ca="1">IF('Invoer gegevens'!$C$17=E15,R15,IF(C15=0,0,AE14))</f>
        <v>0</v>
      </c>
      <c r="AE15" s="98">
        <f t="shared" ca="1" si="5"/>
        <v>0</v>
      </c>
      <c r="AF15" s="98">
        <f ca="1">IF('Invoer gegevens'!$C$17=E15,X15,IF(C15=0,0,AG14))</f>
        <v>0</v>
      </c>
      <c r="AG15" s="98">
        <f t="shared" ca="1" si="6"/>
        <v>0</v>
      </c>
      <c r="AH15" s="68"/>
      <c r="AI15" s="71">
        <f ca="1">IF(C15=1,Reeksen!AJ15*((F15-G15+F15)/2)*12+Reeksen!AK15*((L15-M15+L15)/2)*12,0)</f>
        <v>0</v>
      </c>
      <c r="AJ15" s="71">
        <f ca="1">-AI15*'Invoer gegevens'!$F$28</f>
        <v>0</v>
      </c>
      <c r="AK15" s="71">
        <f t="shared" ca="1" si="0"/>
        <v>0</v>
      </c>
      <c r="AL15" s="71">
        <f ca="1">IF(C15=1,Reeksen!AL15*((F15-G15+F15)/2)*12+Reeksen!AM15*((L15-M15+L15)/2)*12,0)</f>
        <v>0</v>
      </c>
      <c r="AM15" s="71">
        <f ca="1">-AL15*'Invoer gegevens'!$F$31</f>
        <v>0</v>
      </c>
      <c r="AN15" s="71">
        <f t="shared" ca="1" si="7"/>
        <v>0</v>
      </c>
      <c r="AO15" s="71">
        <f ca="1">IF(C15=1,(H15+J15+N15+P15)*Reeksen!AN15,0)</f>
        <v>0</v>
      </c>
      <c r="AP15" s="71">
        <f ca="1">-IF(C15=1,(H15+J15+N15+P15)*'Hulp - basis'!$G$550*Reeksen!H15,0)</f>
        <v>0</v>
      </c>
      <c r="AQ15" s="71">
        <f ca="1">-IF(C15=1,(F15+K15+L15+Q15)/2*'Invoer gegevens'!$I$33*Reeksen!J15,0)*2</f>
        <v>0</v>
      </c>
      <c r="AR15" s="71">
        <f ca="1">-IF(C15=1,(I15*'Invoer gegevens'!$I$34)*Reeksen!J15,0)</f>
        <v>0</v>
      </c>
      <c r="AS15" s="71">
        <f ca="1">-IF(C15=1,(F15+K15+L15+Q15)/2*'Invoer gegevens'!$I$35*Reeksen!L15,0)</f>
        <v>0</v>
      </c>
      <c r="AT15" s="71">
        <f ca="1">-IF(C15=1,IF(E15='Invoer gegevens'!$C$17,'Invoer gegevens'!$C$11,AD15)*Reeksen!S15*'Invoer gegevens'!$C$18*Reeksen!P15,0)</f>
        <v>0</v>
      </c>
      <c r="AU15" s="71">
        <f ca="1">-IF(C15=1,(F15+K15+L15+Q15)/2*'Invoer gegevens'!$I$36*Reeksen!H15,0)</f>
        <v>0</v>
      </c>
      <c r="AV15" s="71">
        <f>IF('Invoer gegevens'!$C$3="Basis",0,#REF!)</f>
        <v>0</v>
      </c>
      <c r="AW15" s="71">
        <f t="shared" ca="1" si="8"/>
        <v>0</v>
      </c>
      <c r="AX15" s="71">
        <f ca="1">IF(E15&lt;'Invoer gegevens'!$C$17+15,0,IF(E15&gt;'Invoer gegevens'!$C$17+215,0,AW15))</f>
        <v>0</v>
      </c>
      <c r="AY15" s="71">
        <f ca="1">AX15/(1+'Invoer gegevens'!$F$18)^($AZ15-('Invoer gegevens'!$C$17-'Invoer gegevens'!$C$16))/(1+'Invoer gegevens'!$C$39)^('Invoer gegevens'!$C$17-'Invoer gegevens'!$C$16)</f>
        <v>0</v>
      </c>
      <c r="AZ15" s="68">
        <f ca="1">IF(E15-'Invoer gegevens'!$C$17-14.5&lt;0,0,E15-'Invoer gegevens'!$C$17-14.5)</f>
        <v>0</v>
      </c>
    </row>
    <row r="16" spans="1:52" x14ac:dyDescent="0.25">
      <c r="A16" s="59"/>
      <c r="B16" s="70">
        <f t="shared" si="9"/>
        <v>12</v>
      </c>
      <c r="C16" s="67">
        <f ca="1">IF(E16-'Invoer gegevens'!$C$17&lt;0,0,1)</f>
        <v>1</v>
      </c>
      <c r="D16" s="68">
        <f t="shared" si="10"/>
        <v>11.5</v>
      </c>
      <c r="E16" s="108">
        <f ca="1">IF('Invoer gegevens'!$C$16="","",E15+1)</f>
        <v>2030</v>
      </c>
      <c r="F16" s="84">
        <f ca="1">IF('Invoer gegevens'!$C$17=E16,'Invoer gegevens'!$C$10,IF(C16=1,K15,0))</f>
        <v>0</v>
      </c>
      <c r="G16" s="96">
        <f ca="1">IF(C16&gt;=1,F16*VLOOKUP(E16,Reeksen!$A$5:$B$76,2),0)</f>
        <v>0</v>
      </c>
      <c r="H16" s="84">
        <f ca="1">(1-('Invoer gegevens'!$F$20/12))*F16*MIN(Reeksen!B16,Reeksen!D16)</f>
        <v>0</v>
      </c>
      <c r="I16" s="84">
        <f>IF(Reeksen!D16&lt;Reeksen!B16,(Reeksen!B16-Reeksen!D16)*F16,0)</f>
        <v>0</v>
      </c>
      <c r="J16" s="84">
        <f ca="1">('Invoer gegevens'!$F$20/12)*F15*MIN(Reeksen!B15,Reeksen!D15)</f>
        <v>0</v>
      </c>
      <c r="K16" s="97">
        <f t="shared" ca="1" si="1"/>
        <v>0</v>
      </c>
      <c r="L16" s="84">
        <f ca="1">IF('Invoer gegevens'!$C$17=E16,0,IF(C16=1,Q15,0))</f>
        <v>0</v>
      </c>
      <c r="M16" s="96">
        <f ca="1">IF(C16&gt;=1,L16*VLOOKUP(E16,Reeksen!$A$5:$B$76,2),0)</f>
        <v>0</v>
      </c>
      <c r="N16" s="84">
        <f ca="1">(1-('Invoer gegevens'!$F$20/12))*L16*MIN(Reeksen!B16,Reeksen!D16)</f>
        <v>0</v>
      </c>
      <c r="O16" s="84">
        <f>IF(Reeksen!D16&lt;Reeksen!B16,(Reeksen!B16-Reeksen!D16)*L16,0)</f>
        <v>0</v>
      </c>
      <c r="P16" s="84">
        <f ca="1">('Invoer gegevens'!$F$20/12)*L15*MIN(Reeksen!B15,Reeksen!D15)</f>
        <v>0</v>
      </c>
      <c r="Q16" s="84">
        <f t="shared" ca="1" si="2"/>
        <v>0</v>
      </c>
      <c r="R16" s="82">
        <f ca="1">IF('Invoer gegevens'!$C$17=E16,'Invoer gegevens'!$C$11,IF(C16=1,W15,0))</f>
        <v>0</v>
      </c>
      <c r="S16" s="86">
        <f ca="1">IF(C16&gt;=1,R16*VLOOKUP(E16,Reeksen!$A$5:$B$76,2),0)</f>
        <v>0</v>
      </c>
      <c r="T16" s="84">
        <f ca="1">(1-('Invoer gegevens'!$F$20/12))*R16*MIN(Reeksen!B16,Reeksen!D16)</f>
        <v>0</v>
      </c>
      <c r="U16" s="84">
        <f>IF(Reeksen!D16&gt;=Reeksen!B16,0,IF(Reeksen!AK16&lt;=Reeksen!AE16,(Reeksen!B16-Reeksen!D16)*R16,0))</f>
        <v>0</v>
      </c>
      <c r="V16" s="86">
        <f>IF(Reeksen!D16&gt;=Reeksen!B16,0,IF(Reeksen!AK16&gt;Reeksen!AE16,(Reeksen!B16-Reeksen!D16)*R16,0))</f>
        <v>0</v>
      </c>
      <c r="W16" s="97">
        <f t="shared" ca="1" si="3"/>
        <v>0</v>
      </c>
      <c r="X16" s="98">
        <f ca="1">IF('Invoer gegevens'!$C$17=E16,'Invoer gegevens'!$C$10-'Invoer gegevens'!$C$11,IF(C16=1,AC15,0))</f>
        <v>0</v>
      </c>
      <c r="Y16" s="98">
        <f ca="1">IF(C16&gt;=1,X16*VLOOKUP(E16,Reeksen!$A$5:$B$76,2),0)</f>
        <v>0</v>
      </c>
      <c r="Z16" s="98">
        <f ca="1">(1-('Invoer gegevens'!$F$20/12))*X16*MIN(Reeksen!B16,Reeksen!D16)</f>
        <v>0</v>
      </c>
      <c r="AA16" s="98">
        <f>IF(Reeksen!D16&gt;=Reeksen!B16,0,IF(Reeksen!AK16&lt;=Reeksen!AE16,(Reeksen!B16-Reeksen!D16)*X16,0))</f>
        <v>0</v>
      </c>
      <c r="AB16" s="98">
        <f>IF(Reeksen!D16&gt;=Reeksen!B16,0,IF(Reeksen!AK16&gt;Reeksen!AE16,(Reeksen!B16-Reeksen!D16)*X16,0))</f>
        <v>0</v>
      </c>
      <c r="AC16" s="99">
        <f t="shared" ca="1" si="4"/>
        <v>0</v>
      </c>
      <c r="AD16" s="98">
        <f ca="1">IF('Invoer gegevens'!$C$17=E16,R16,IF(C16=0,0,AE15))</f>
        <v>0</v>
      </c>
      <c r="AE16" s="98">
        <f t="shared" ca="1" si="5"/>
        <v>0</v>
      </c>
      <c r="AF16" s="98">
        <f ca="1">IF('Invoer gegevens'!$C$17=E16,X16,IF(C16=0,0,AG15))</f>
        <v>0</v>
      </c>
      <c r="AG16" s="98">
        <f t="shared" ca="1" si="6"/>
        <v>0</v>
      </c>
      <c r="AH16" s="68"/>
      <c r="AI16" s="71">
        <f ca="1">IF(C16=1,Reeksen!AJ16*((F16-G16+F16)/2)*12+Reeksen!AK16*((L16-M16+L16)/2)*12,0)</f>
        <v>0</v>
      </c>
      <c r="AJ16" s="71">
        <f ca="1">-AI16*'Invoer gegevens'!$F$28</f>
        <v>0</v>
      </c>
      <c r="AK16" s="71">
        <f t="shared" ca="1" si="0"/>
        <v>0</v>
      </c>
      <c r="AL16" s="71">
        <f ca="1">IF(C16=1,Reeksen!AL16*((F16-G16+F16)/2)*12+Reeksen!AM16*((L16-M16+L16)/2)*12,0)</f>
        <v>0</v>
      </c>
      <c r="AM16" s="71">
        <f ca="1">-AL16*'Invoer gegevens'!$F$31</f>
        <v>0</v>
      </c>
      <c r="AN16" s="71">
        <f t="shared" ca="1" si="7"/>
        <v>0</v>
      </c>
      <c r="AO16" s="71">
        <f ca="1">IF(C16=1,(H16+J16+N16+P16)*Reeksen!AN16,0)</f>
        <v>0</v>
      </c>
      <c r="AP16" s="71">
        <f ca="1">-IF(C16=1,(H16+J16+N16+P16)*'Hulp - basis'!$G$550*Reeksen!H16,0)</f>
        <v>0</v>
      </c>
      <c r="AQ16" s="71">
        <f ca="1">-IF(C16=1,(F16+K16+L16+Q16)/2*'Invoer gegevens'!$I$33*Reeksen!J16,0)*2</f>
        <v>0</v>
      </c>
      <c r="AR16" s="71">
        <f ca="1">-IF(C16=1,(I16*'Invoer gegevens'!$I$34)*Reeksen!J16,0)</f>
        <v>0</v>
      </c>
      <c r="AS16" s="71">
        <f ca="1">-IF(C16=1,(F16+K16+L16+Q16)/2*'Invoer gegevens'!$I$35*Reeksen!L16,0)</f>
        <v>0</v>
      </c>
      <c r="AT16" s="71">
        <f ca="1">-IF(C16=1,IF(E16='Invoer gegevens'!$C$17,'Invoer gegevens'!$C$11,AD16)*Reeksen!S16*'Invoer gegevens'!$C$18*Reeksen!P16,0)</f>
        <v>0</v>
      </c>
      <c r="AU16" s="71">
        <f ca="1">-IF(C16=1,(F16+K16+L16+Q16)/2*'Invoer gegevens'!$I$36*Reeksen!H16,0)</f>
        <v>0</v>
      </c>
      <c r="AV16" s="71">
        <f>IF('Invoer gegevens'!$C$3="Basis",0,#REF!)</f>
        <v>0</v>
      </c>
      <c r="AW16" s="71">
        <f t="shared" ca="1" si="8"/>
        <v>0</v>
      </c>
      <c r="AX16" s="71">
        <f ca="1">IF(E16&lt;'Invoer gegevens'!$C$17+15,0,IF(E16&gt;'Invoer gegevens'!$C$17+215,0,AW16))</f>
        <v>0</v>
      </c>
      <c r="AY16" s="71">
        <f ca="1">AX16/(1+'Invoer gegevens'!$F$18)^($AZ16-('Invoer gegevens'!$C$17-'Invoer gegevens'!$C$16))/(1+'Invoer gegevens'!$C$39)^('Invoer gegevens'!$C$17-'Invoer gegevens'!$C$16)</f>
        <v>0</v>
      </c>
      <c r="AZ16" s="68">
        <f ca="1">IF(E16-'Invoer gegevens'!$C$17-14.5&lt;0,0,E16-'Invoer gegevens'!$C$17-14.5)</f>
        <v>0</v>
      </c>
    </row>
    <row r="17" spans="1:52" x14ac:dyDescent="0.25">
      <c r="A17" s="59"/>
      <c r="B17" s="70">
        <f t="shared" si="9"/>
        <v>13</v>
      </c>
      <c r="C17" s="67">
        <f ca="1">IF(E17-'Invoer gegevens'!$C$17&lt;0,0,1)</f>
        <v>1</v>
      </c>
      <c r="D17" s="68">
        <f t="shared" si="10"/>
        <v>12.5</v>
      </c>
      <c r="E17" s="108">
        <f ca="1">IF('Invoer gegevens'!$C$16="","",E16+1)</f>
        <v>2031</v>
      </c>
      <c r="F17" s="84">
        <f ca="1">IF('Invoer gegevens'!$C$17=E17,'Invoer gegevens'!$C$10,IF(C17=1,K16,0))</f>
        <v>0</v>
      </c>
      <c r="G17" s="96">
        <f ca="1">IF(C17&gt;=1,F17*VLOOKUP(E17,Reeksen!$A$5:$B$76,2),0)</f>
        <v>0</v>
      </c>
      <c r="H17" s="84">
        <f ca="1">(1-('Invoer gegevens'!$F$20/12))*F17*MIN(Reeksen!B17,Reeksen!D17)</f>
        <v>0</v>
      </c>
      <c r="I17" s="84">
        <f>IF(Reeksen!D17&lt;Reeksen!B17,(Reeksen!B17-Reeksen!D17)*F17,0)</f>
        <v>0</v>
      </c>
      <c r="J17" s="84">
        <f ca="1">('Invoer gegevens'!$F$20/12)*F16*MIN(Reeksen!B16,Reeksen!D16)</f>
        <v>0</v>
      </c>
      <c r="K17" s="97">
        <f t="shared" ca="1" si="1"/>
        <v>0</v>
      </c>
      <c r="L17" s="84">
        <f ca="1">IF('Invoer gegevens'!$C$17=E17,0,IF(C17=1,Q16,0))</f>
        <v>0</v>
      </c>
      <c r="M17" s="96">
        <f ca="1">IF(C17&gt;=1,L17*VLOOKUP(E17,Reeksen!$A$5:$B$76,2),0)</f>
        <v>0</v>
      </c>
      <c r="N17" s="84">
        <f ca="1">(1-('Invoer gegevens'!$F$20/12))*L17*MIN(Reeksen!B17,Reeksen!D17)</f>
        <v>0</v>
      </c>
      <c r="O17" s="84">
        <f>IF(Reeksen!D17&lt;Reeksen!B17,(Reeksen!B17-Reeksen!D17)*L17,0)</f>
        <v>0</v>
      </c>
      <c r="P17" s="84">
        <f ca="1">('Invoer gegevens'!$F$20/12)*L16*MIN(Reeksen!B16,Reeksen!D16)</f>
        <v>0</v>
      </c>
      <c r="Q17" s="84">
        <f t="shared" ca="1" si="2"/>
        <v>0</v>
      </c>
      <c r="R17" s="82">
        <f ca="1">IF('Invoer gegevens'!$C$17=E17,'Invoer gegevens'!$C$11,IF(C17=1,W16,0))</f>
        <v>0</v>
      </c>
      <c r="S17" s="86">
        <f ca="1">IF(C17&gt;=1,R17*VLOOKUP(E17,Reeksen!$A$5:$B$76,2),0)</f>
        <v>0</v>
      </c>
      <c r="T17" s="84">
        <f ca="1">(1-('Invoer gegevens'!$F$20/12))*R17*MIN(Reeksen!B17,Reeksen!D17)</f>
        <v>0</v>
      </c>
      <c r="U17" s="84">
        <f>IF(Reeksen!D17&gt;=Reeksen!B17,0,IF(Reeksen!AK17&lt;=Reeksen!AE17,(Reeksen!B17-Reeksen!D17)*R17,0))</f>
        <v>0</v>
      </c>
      <c r="V17" s="86">
        <f>IF(Reeksen!D17&gt;=Reeksen!B17,0,IF(Reeksen!AK17&gt;Reeksen!AE17,(Reeksen!B17-Reeksen!D17)*R17,0))</f>
        <v>0</v>
      </c>
      <c r="W17" s="97">
        <f t="shared" ca="1" si="3"/>
        <v>0</v>
      </c>
      <c r="X17" s="98">
        <f ca="1">IF('Invoer gegevens'!$C$17=E17,'Invoer gegevens'!$C$10-'Invoer gegevens'!$C$11,IF(C17=1,AC16,0))</f>
        <v>0</v>
      </c>
      <c r="Y17" s="98">
        <f ca="1">IF(C17&gt;=1,X17*VLOOKUP(E17,Reeksen!$A$5:$B$76,2),0)</f>
        <v>0</v>
      </c>
      <c r="Z17" s="98">
        <f ca="1">(1-('Invoer gegevens'!$F$20/12))*X17*MIN(Reeksen!B17,Reeksen!D17)</f>
        <v>0</v>
      </c>
      <c r="AA17" s="98">
        <f>IF(Reeksen!D17&gt;=Reeksen!B17,0,IF(Reeksen!AK17&lt;=Reeksen!AE17,(Reeksen!B17-Reeksen!D17)*X17,0))</f>
        <v>0</v>
      </c>
      <c r="AB17" s="98">
        <f>IF(Reeksen!D17&gt;=Reeksen!B17,0,IF(Reeksen!AK17&gt;Reeksen!AE17,(Reeksen!B17-Reeksen!D17)*X17,0))</f>
        <v>0</v>
      </c>
      <c r="AC17" s="99">
        <f t="shared" ca="1" si="4"/>
        <v>0</v>
      </c>
      <c r="AD17" s="98">
        <f ca="1">IF('Invoer gegevens'!$C$17=E17,R17,IF(C17=0,0,AE16))</f>
        <v>0</v>
      </c>
      <c r="AE17" s="98">
        <f t="shared" ca="1" si="5"/>
        <v>0</v>
      </c>
      <c r="AF17" s="98">
        <f ca="1">IF('Invoer gegevens'!$C$17=E17,X17,IF(C17=0,0,AG16))</f>
        <v>0</v>
      </c>
      <c r="AG17" s="98">
        <f t="shared" ca="1" si="6"/>
        <v>0</v>
      </c>
      <c r="AH17" s="68"/>
      <c r="AI17" s="71">
        <f ca="1">IF(C17=1,Reeksen!AJ17*((F17-G17+F17)/2)*12+Reeksen!AK17*((L17-M17+L17)/2)*12,0)</f>
        <v>0</v>
      </c>
      <c r="AJ17" s="71">
        <f ca="1">-AI17*'Invoer gegevens'!$F$28</f>
        <v>0</v>
      </c>
      <c r="AK17" s="71">
        <f t="shared" ca="1" si="0"/>
        <v>0</v>
      </c>
      <c r="AL17" s="71">
        <f ca="1">IF(C17=1,Reeksen!AL17*((F17-G17+F17)/2)*12+Reeksen!AM17*((L17-M17+L17)/2)*12,0)</f>
        <v>0</v>
      </c>
      <c r="AM17" s="71">
        <f ca="1">-AL17*'Invoer gegevens'!$F$31</f>
        <v>0</v>
      </c>
      <c r="AN17" s="71">
        <f t="shared" ca="1" si="7"/>
        <v>0</v>
      </c>
      <c r="AO17" s="71">
        <f ca="1">IF(C17=1,(H17+J17+N17+P17)*Reeksen!AN17,0)</f>
        <v>0</v>
      </c>
      <c r="AP17" s="71">
        <f ca="1">-IF(C17=1,(H17+J17+N17+P17)*'Hulp - basis'!$G$550*Reeksen!H17,0)</f>
        <v>0</v>
      </c>
      <c r="AQ17" s="71">
        <f ca="1">-IF(C17=1,(F17+K17+L17+Q17)/2*'Invoer gegevens'!$I$33*Reeksen!J17,0)*2</f>
        <v>0</v>
      </c>
      <c r="AR17" s="71">
        <f ca="1">-IF(C17=1,(I17*'Invoer gegevens'!$I$34)*Reeksen!J17,0)</f>
        <v>0</v>
      </c>
      <c r="AS17" s="71">
        <f ca="1">-IF(C17=1,(F17+K17+L17+Q17)/2*'Invoer gegevens'!$I$35*Reeksen!L17,0)</f>
        <v>0</v>
      </c>
      <c r="AT17" s="71">
        <f ca="1">-IF(C17=1,IF(E17='Invoer gegevens'!$C$17,'Invoer gegevens'!$C$11,AD17)*Reeksen!S17*'Invoer gegevens'!$C$18*Reeksen!P17,0)</f>
        <v>0</v>
      </c>
      <c r="AU17" s="71">
        <f ca="1">-IF(C17=1,(F17+K17+L17+Q17)/2*'Invoer gegevens'!$I$36*Reeksen!H17,0)</f>
        <v>0</v>
      </c>
      <c r="AV17" s="71">
        <f>IF('Invoer gegevens'!$C$3="Basis",0,#REF!)</f>
        <v>0</v>
      </c>
      <c r="AW17" s="71">
        <f t="shared" ca="1" si="8"/>
        <v>0</v>
      </c>
      <c r="AX17" s="71">
        <f ca="1">IF(E17&lt;'Invoer gegevens'!$C$17+15,0,IF(E17&gt;'Invoer gegevens'!$C$17+215,0,AW17))</f>
        <v>0</v>
      </c>
      <c r="AY17" s="71">
        <f ca="1">AX17/(1+'Invoer gegevens'!$F$18)^($AZ17-('Invoer gegevens'!$C$17-'Invoer gegevens'!$C$16))/(1+'Invoer gegevens'!$C$39)^('Invoer gegevens'!$C$17-'Invoer gegevens'!$C$16)</f>
        <v>0</v>
      </c>
      <c r="AZ17" s="68">
        <f ca="1">IF(E17-'Invoer gegevens'!$C$17-14.5&lt;0,0,E17-'Invoer gegevens'!$C$17-14.5)</f>
        <v>0</v>
      </c>
    </row>
    <row r="18" spans="1:52" x14ac:dyDescent="0.25">
      <c r="A18" s="59"/>
      <c r="B18" s="70">
        <f t="shared" si="9"/>
        <v>14</v>
      </c>
      <c r="C18" s="67">
        <f ca="1">IF(E18-'Invoer gegevens'!$C$17&lt;0,0,1)</f>
        <v>1</v>
      </c>
      <c r="D18" s="68">
        <f t="shared" si="10"/>
        <v>13.5</v>
      </c>
      <c r="E18" s="108">
        <f ca="1">IF('Invoer gegevens'!$C$16="","",E17+1)</f>
        <v>2032</v>
      </c>
      <c r="F18" s="84">
        <f ca="1">IF('Invoer gegevens'!$C$17=E18,'Invoer gegevens'!$C$10,IF(C18=1,K17,0))</f>
        <v>0</v>
      </c>
      <c r="G18" s="96">
        <f ca="1">IF(C18&gt;=1,F18*VLOOKUP(E18,Reeksen!$A$5:$B$76,2),0)</f>
        <v>0</v>
      </c>
      <c r="H18" s="84">
        <f ca="1">(1-('Invoer gegevens'!$F$20/12))*F18*MIN(Reeksen!B18,Reeksen!D18)</f>
        <v>0</v>
      </c>
      <c r="I18" s="84">
        <f>IF(Reeksen!D18&lt;Reeksen!B18,(Reeksen!B18-Reeksen!D18)*F18,0)</f>
        <v>0</v>
      </c>
      <c r="J18" s="84">
        <f ca="1">('Invoer gegevens'!$F$20/12)*F17*MIN(Reeksen!B17,Reeksen!D17)</f>
        <v>0</v>
      </c>
      <c r="K18" s="97">
        <f t="shared" ca="1" si="1"/>
        <v>0</v>
      </c>
      <c r="L18" s="84">
        <f ca="1">IF('Invoer gegevens'!$C$17=E18,0,IF(C18=1,Q17,0))</f>
        <v>0</v>
      </c>
      <c r="M18" s="96">
        <f ca="1">IF(C18&gt;=1,L18*VLOOKUP(E18,Reeksen!$A$5:$B$76,2),0)</f>
        <v>0</v>
      </c>
      <c r="N18" s="84">
        <f ca="1">(1-('Invoer gegevens'!$F$20/12))*L18*MIN(Reeksen!B18,Reeksen!D18)</f>
        <v>0</v>
      </c>
      <c r="O18" s="84">
        <f>IF(Reeksen!D18&lt;Reeksen!B18,(Reeksen!B18-Reeksen!D18)*L18,0)</f>
        <v>0</v>
      </c>
      <c r="P18" s="84">
        <f ca="1">('Invoer gegevens'!$F$20/12)*L17*MIN(Reeksen!B17,Reeksen!D17)</f>
        <v>0</v>
      </c>
      <c r="Q18" s="84">
        <f t="shared" ca="1" si="2"/>
        <v>0</v>
      </c>
      <c r="R18" s="82">
        <f ca="1">IF('Invoer gegevens'!$C$17=E18,'Invoer gegevens'!$C$11,IF(C18=1,W17,0))</f>
        <v>0</v>
      </c>
      <c r="S18" s="86">
        <f ca="1">IF(C18&gt;=1,R18*VLOOKUP(E18,Reeksen!$A$5:$B$76,2),0)</f>
        <v>0</v>
      </c>
      <c r="T18" s="84">
        <f ca="1">(1-('Invoer gegevens'!$F$20/12))*R18*MIN(Reeksen!B18,Reeksen!D18)</f>
        <v>0</v>
      </c>
      <c r="U18" s="84">
        <f>IF(Reeksen!D18&gt;=Reeksen!B18,0,IF(Reeksen!AK18&lt;=Reeksen!AE18,(Reeksen!B18-Reeksen!D18)*R18,0))</f>
        <v>0</v>
      </c>
      <c r="V18" s="86">
        <f>IF(Reeksen!D18&gt;=Reeksen!B18,0,IF(Reeksen!AK18&gt;Reeksen!AE18,(Reeksen!B18-Reeksen!D18)*R18,0))</f>
        <v>0</v>
      </c>
      <c r="W18" s="97">
        <f t="shared" ca="1" si="3"/>
        <v>0</v>
      </c>
      <c r="X18" s="98">
        <f ca="1">IF('Invoer gegevens'!$C$17=E18,'Invoer gegevens'!$C$10-'Invoer gegevens'!$C$11,IF(C18=1,AC17,0))</f>
        <v>0</v>
      </c>
      <c r="Y18" s="98">
        <f ca="1">IF(C18&gt;=1,X18*VLOOKUP(E18,Reeksen!$A$5:$B$76,2),0)</f>
        <v>0</v>
      </c>
      <c r="Z18" s="98">
        <f ca="1">(1-('Invoer gegevens'!$F$20/12))*X18*MIN(Reeksen!B18,Reeksen!D18)</f>
        <v>0</v>
      </c>
      <c r="AA18" s="98">
        <f>IF(Reeksen!D18&gt;=Reeksen!B18,0,IF(Reeksen!AK18&lt;=Reeksen!AE18,(Reeksen!B18-Reeksen!D18)*X18,0))</f>
        <v>0</v>
      </c>
      <c r="AB18" s="98">
        <f>IF(Reeksen!D18&gt;=Reeksen!B18,0,IF(Reeksen!AK18&gt;Reeksen!AE18,(Reeksen!B18-Reeksen!D18)*X18,0))</f>
        <v>0</v>
      </c>
      <c r="AC18" s="99">
        <f t="shared" ca="1" si="4"/>
        <v>0</v>
      </c>
      <c r="AD18" s="98">
        <f ca="1">IF('Invoer gegevens'!$C$17=E18,R18,IF(C18=0,0,AE17))</f>
        <v>0</v>
      </c>
      <c r="AE18" s="98">
        <f t="shared" ca="1" si="5"/>
        <v>0</v>
      </c>
      <c r="AF18" s="98">
        <f ca="1">IF('Invoer gegevens'!$C$17=E18,X18,IF(C18=0,0,AG17))</f>
        <v>0</v>
      </c>
      <c r="AG18" s="98">
        <f t="shared" ca="1" si="6"/>
        <v>0</v>
      </c>
      <c r="AH18" s="68"/>
      <c r="AI18" s="71">
        <f ca="1">IF(C18=1,Reeksen!AJ18*((F18-G18+F18)/2)*12+Reeksen!AK18*((L18-M18+L18)/2)*12,0)</f>
        <v>0</v>
      </c>
      <c r="AJ18" s="71">
        <f ca="1">-AI18*'Invoer gegevens'!$F$28</f>
        <v>0</v>
      </c>
      <c r="AK18" s="71">
        <f t="shared" ca="1" si="0"/>
        <v>0</v>
      </c>
      <c r="AL18" s="71">
        <f ca="1">IF(C18=1,Reeksen!AL18*((F18-G18+F18)/2)*12+Reeksen!AM18*((L18-M18+L18)/2)*12,0)</f>
        <v>0</v>
      </c>
      <c r="AM18" s="71">
        <f ca="1">-AL18*'Invoer gegevens'!$F$31</f>
        <v>0</v>
      </c>
      <c r="AN18" s="71">
        <f t="shared" ca="1" si="7"/>
        <v>0</v>
      </c>
      <c r="AO18" s="71">
        <f ca="1">IF(C18=1,(H18+J18+N18+P18)*Reeksen!AN18,0)</f>
        <v>0</v>
      </c>
      <c r="AP18" s="71">
        <f ca="1">-IF(C18=1,(H18+J18+N18+P18)*'Hulp - basis'!$G$550*Reeksen!H18,0)</f>
        <v>0</v>
      </c>
      <c r="AQ18" s="71">
        <f ca="1">-IF(C18=1,(F18+K18+L18+Q18)/2*'Invoer gegevens'!$I$33*Reeksen!J18,0)*2</f>
        <v>0</v>
      </c>
      <c r="AR18" s="71">
        <f ca="1">-IF(C18=1,(I18*'Invoer gegevens'!$I$34)*Reeksen!J18,0)</f>
        <v>0</v>
      </c>
      <c r="AS18" s="71">
        <f ca="1">-IF(C18=1,(F18+K18+L18+Q18)/2*'Invoer gegevens'!$I$35*Reeksen!L18,0)</f>
        <v>0</v>
      </c>
      <c r="AT18" s="71">
        <f ca="1">-IF(C18=1,IF(E18='Invoer gegevens'!$C$17,'Invoer gegevens'!$C$11,AD18)*Reeksen!S18*'Invoer gegevens'!$C$18*Reeksen!P18,0)</f>
        <v>0</v>
      </c>
      <c r="AU18" s="71">
        <f ca="1">-IF(C18=1,(F18+K18+L18+Q18)/2*'Invoer gegevens'!$I$36*Reeksen!H18,0)</f>
        <v>0</v>
      </c>
      <c r="AV18" s="71">
        <f>IF('Invoer gegevens'!$C$3="Basis",0,#REF!)</f>
        <v>0</v>
      </c>
      <c r="AW18" s="71">
        <f t="shared" ca="1" si="8"/>
        <v>0</v>
      </c>
      <c r="AX18" s="71">
        <f ca="1">IF(E18&lt;'Invoer gegevens'!$C$17+15,0,IF(E18&gt;'Invoer gegevens'!$C$17+215,0,AW18))</f>
        <v>0</v>
      </c>
      <c r="AY18" s="71">
        <f ca="1">AX18/(1+'Invoer gegevens'!$F$18)^($AZ18-('Invoer gegevens'!$C$17-'Invoer gegevens'!$C$16))/(1+'Invoer gegevens'!$C$39)^('Invoer gegevens'!$C$17-'Invoer gegevens'!$C$16)</f>
        <v>0</v>
      </c>
      <c r="AZ18" s="68">
        <f ca="1">IF(E18-'Invoer gegevens'!$C$17-14.5&lt;0,0,E18-'Invoer gegevens'!$C$17-14.5)</f>
        <v>0</v>
      </c>
    </row>
    <row r="19" spans="1:52" x14ac:dyDescent="0.25">
      <c r="A19" s="59"/>
      <c r="B19" s="70">
        <f t="shared" si="9"/>
        <v>15</v>
      </c>
      <c r="C19" s="67">
        <f ca="1">IF(E19-'Invoer gegevens'!$C$17&lt;0,0,1)</f>
        <v>1</v>
      </c>
      <c r="D19" s="68">
        <f t="shared" si="10"/>
        <v>14.5</v>
      </c>
      <c r="E19" s="108">
        <f ca="1">IF('Invoer gegevens'!$C$16="","",E18+1)</f>
        <v>2033</v>
      </c>
      <c r="F19" s="84">
        <f ca="1">IF('Invoer gegevens'!$C$17=E19,'Invoer gegevens'!$C$10,IF(C19=1,K18,0))</f>
        <v>0</v>
      </c>
      <c r="G19" s="96">
        <f ca="1">IF(C19&gt;=1,F19*VLOOKUP(E19,Reeksen!$A$5:$B$76,2),0)</f>
        <v>0</v>
      </c>
      <c r="H19" s="84">
        <f ca="1">(1-('Invoer gegevens'!$F$20/12))*F19*MIN(Reeksen!B19,Reeksen!D19)</f>
        <v>0</v>
      </c>
      <c r="I19" s="84">
        <f>IF(Reeksen!D19&lt;Reeksen!B19,(Reeksen!B19-Reeksen!D19)*F19,0)</f>
        <v>0</v>
      </c>
      <c r="J19" s="84">
        <f ca="1">('Invoer gegevens'!$F$20/12)*F18*MIN(Reeksen!B18,Reeksen!D18)</f>
        <v>0</v>
      </c>
      <c r="K19" s="97">
        <f t="shared" ca="1" si="1"/>
        <v>0</v>
      </c>
      <c r="L19" s="84">
        <f ca="1">IF('Invoer gegevens'!$C$17=E19,0,IF(C19=1,Q18,0))</f>
        <v>0</v>
      </c>
      <c r="M19" s="96">
        <f ca="1">IF(C19&gt;=1,L19*VLOOKUP(E19,Reeksen!$A$5:$B$76,2),0)</f>
        <v>0</v>
      </c>
      <c r="N19" s="84">
        <f ca="1">(1-('Invoer gegevens'!$F$20/12))*L19*MIN(Reeksen!B19,Reeksen!D19)</f>
        <v>0</v>
      </c>
      <c r="O19" s="84">
        <f>IF(Reeksen!D19&lt;Reeksen!B19,(Reeksen!B19-Reeksen!D19)*L19,0)</f>
        <v>0</v>
      </c>
      <c r="P19" s="84">
        <f ca="1">('Invoer gegevens'!$F$20/12)*L18*MIN(Reeksen!B18,Reeksen!D18)</f>
        <v>0</v>
      </c>
      <c r="Q19" s="84">
        <f t="shared" ca="1" si="2"/>
        <v>0</v>
      </c>
      <c r="R19" s="82">
        <f ca="1">IF('Invoer gegevens'!$C$17=E19,'Invoer gegevens'!$C$11,IF(C19=1,W18,0))</f>
        <v>0</v>
      </c>
      <c r="S19" s="86">
        <f ca="1">IF(C19&gt;=1,R19*VLOOKUP(E19,Reeksen!$A$5:$B$76,2),0)</f>
        <v>0</v>
      </c>
      <c r="T19" s="84">
        <f ca="1">(1-('Invoer gegevens'!$F$20/12))*R19*MIN(Reeksen!B19,Reeksen!D19)</f>
        <v>0</v>
      </c>
      <c r="U19" s="84">
        <f>IF(Reeksen!D19&gt;=Reeksen!B19,0,IF(Reeksen!AK19&lt;=Reeksen!AE19,(Reeksen!B19-Reeksen!D19)*R19,0))</f>
        <v>0</v>
      </c>
      <c r="V19" s="86">
        <f>IF(Reeksen!D19&gt;=Reeksen!B19,0,IF(Reeksen!AK19&gt;Reeksen!AE19,(Reeksen!B19-Reeksen!D19)*R19,0))</f>
        <v>0</v>
      </c>
      <c r="W19" s="97">
        <f t="shared" ca="1" si="3"/>
        <v>0</v>
      </c>
      <c r="X19" s="98">
        <f ca="1">IF('Invoer gegevens'!$C$17=E19,'Invoer gegevens'!$C$10-'Invoer gegevens'!$C$11,IF(C19=1,AC18,0))</f>
        <v>0</v>
      </c>
      <c r="Y19" s="98">
        <f ca="1">IF(C19&gt;=1,X19*VLOOKUP(E19,Reeksen!$A$5:$B$76,2),0)</f>
        <v>0</v>
      </c>
      <c r="Z19" s="98">
        <f ca="1">(1-('Invoer gegevens'!$F$20/12))*X19*MIN(Reeksen!B19,Reeksen!D19)</f>
        <v>0</v>
      </c>
      <c r="AA19" s="98">
        <f>IF(Reeksen!D19&gt;=Reeksen!B19,0,IF(Reeksen!AK19&lt;=Reeksen!AE19,(Reeksen!B19-Reeksen!D19)*X19,0))</f>
        <v>0</v>
      </c>
      <c r="AB19" s="98">
        <f>IF(Reeksen!D19&gt;=Reeksen!B19,0,IF(Reeksen!AK19&gt;Reeksen!AE19,(Reeksen!B19-Reeksen!D19)*X19,0))</f>
        <v>0</v>
      </c>
      <c r="AC19" s="99">
        <f t="shared" ca="1" si="4"/>
        <v>0</v>
      </c>
      <c r="AD19" s="98">
        <f ca="1">IF('Invoer gegevens'!$C$17=E19,R19,IF(C19=0,0,AE18))</f>
        <v>0</v>
      </c>
      <c r="AE19" s="98">
        <f t="shared" ca="1" si="5"/>
        <v>0</v>
      </c>
      <c r="AF19" s="98">
        <f ca="1">IF('Invoer gegevens'!$C$17=E19,X19,IF(C19=0,0,AG18))</f>
        <v>0</v>
      </c>
      <c r="AG19" s="98">
        <f t="shared" ca="1" si="6"/>
        <v>0</v>
      </c>
      <c r="AH19" s="68"/>
      <c r="AI19" s="71">
        <f ca="1">IF(C19=1,Reeksen!AJ19*((F19-G19+F19)/2)*12+Reeksen!AK19*((L19-M19+L19)/2)*12,0)</f>
        <v>0</v>
      </c>
      <c r="AJ19" s="71">
        <f ca="1">-AI19*'Invoer gegevens'!$F$28</f>
        <v>0</v>
      </c>
      <c r="AK19" s="71">
        <f t="shared" ca="1" si="0"/>
        <v>0</v>
      </c>
      <c r="AL19" s="71">
        <f ca="1">IF(C19=1,Reeksen!AL19*((F19-G19+F19)/2)*12+Reeksen!AM19*((L19-M19+L19)/2)*12,0)</f>
        <v>0</v>
      </c>
      <c r="AM19" s="71">
        <f ca="1">-AL19*'Invoer gegevens'!$F$31</f>
        <v>0</v>
      </c>
      <c r="AN19" s="71">
        <f t="shared" ca="1" si="7"/>
        <v>0</v>
      </c>
      <c r="AO19" s="71">
        <f ca="1">IF(C19=1,(H19+J19+N19+P19)*Reeksen!AN19,0)</f>
        <v>0</v>
      </c>
      <c r="AP19" s="71">
        <f ca="1">-IF(C19=1,(H19+J19+N19+P19)*'Hulp - basis'!$G$550*Reeksen!H19,0)</f>
        <v>0</v>
      </c>
      <c r="AQ19" s="71">
        <f ca="1">-IF(C19=1,(F19+K19+L19+Q19)/2*'Invoer gegevens'!$I$33*Reeksen!J19,0)*2</f>
        <v>0</v>
      </c>
      <c r="AR19" s="71">
        <f ca="1">-IF(C19=1,(I19*'Invoer gegevens'!$I$34)*Reeksen!J19,0)</f>
        <v>0</v>
      </c>
      <c r="AS19" s="71">
        <f ca="1">-IF(C19=1,(F19+K19+L19+Q19)/2*'Invoer gegevens'!$I$35*Reeksen!L19,0)</f>
        <v>0</v>
      </c>
      <c r="AT19" s="71">
        <f ca="1">-IF(C19=1,IF(E19='Invoer gegevens'!$C$17,'Invoer gegevens'!$C$11,AD19)*Reeksen!S19*'Invoer gegevens'!$C$18*Reeksen!P19,0)</f>
        <v>0</v>
      </c>
      <c r="AU19" s="71">
        <f ca="1">-IF(C19=1,(F19+K19+L19+Q19)/2*'Invoer gegevens'!$I$36*Reeksen!H19,0)</f>
        <v>0</v>
      </c>
      <c r="AV19" s="71">
        <f>IF('Invoer gegevens'!$C$3="Basis",0,#REF!)</f>
        <v>0</v>
      </c>
      <c r="AW19" s="71">
        <f t="shared" ca="1" si="8"/>
        <v>0</v>
      </c>
      <c r="AX19" s="71">
        <f ca="1">IF(E19&lt;'Invoer gegevens'!$C$17+15,0,IF(E19&gt;'Invoer gegevens'!$C$17+215,0,AW19))</f>
        <v>0</v>
      </c>
      <c r="AY19" s="71">
        <f ca="1">AX19/(1+'Invoer gegevens'!$F$18)^($AZ19-('Invoer gegevens'!$C$17-'Invoer gegevens'!$C$16))/(1+'Invoer gegevens'!$C$39)^('Invoer gegevens'!$C$17-'Invoer gegevens'!$C$16)</f>
        <v>0</v>
      </c>
      <c r="AZ19" s="68">
        <f ca="1">IF(E19-'Invoer gegevens'!$C$17-14.5&lt;0,0,E19-'Invoer gegevens'!$C$17-14.5)</f>
        <v>0</v>
      </c>
    </row>
    <row r="20" spans="1:52" x14ac:dyDescent="0.25">
      <c r="A20" s="59"/>
      <c r="B20" s="70">
        <f t="shared" si="9"/>
        <v>16</v>
      </c>
      <c r="C20" s="67">
        <f ca="1">IF(E20-'Invoer gegevens'!$C$17&lt;0,0,1)</f>
        <v>1</v>
      </c>
      <c r="D20" s="68">
        <f t="shared" si="10"/>
        <v>15.5</v>
      </c>
      <c r="E20" s="108">
        <f ca="1">IF('Invoer gegevens'!$C$16="","",E19+1)</f>
        <v>2034</v>
      </c>
      <c r="F20" s="84">
        <f ca="1">IF('Invoer gegevens'!$C$17=E20,'Invoer gegevens'!$C$10,IF(C20=1,K19,0))</f>
        <v>0</v>
      </c>
      <c r="G20" s="96">
        <f ca="1">IF(C20&gt;=1,F20*VLOOKUP(E20,Reeksen!$A$5:$B$76,2),0)</f>
        <v>0</v>
      </c>
      <c r="H20" s="84">
        <f ca="1">(1-('Invoer gegevens'!$F$20/12))*F20*MIN(Reeksen!B20,Reeksen!D20)</f>
        <v>0</v>
      </c>
      <c r="I20" s="84">
        <f>IF(Reeksen!D20&lt;Reeksen!B20,(Reeksen!B20-Reeksen!D20)*F20,0)</f>
        <v>0</v>
      </c>
      <c r="J20" s="84">
        <f ca="1">('Invoer gegevens'!$F$20/12)*F19*MIN(Reeksen!B19,Reeksen!D19)</f>
        <v>0</v>
      </c>
      <c r="K20" s="97">
        <f t="shared" ca="1" si="1"/>
        <v>0</v>
      </c>
      <c r="L20" s="84">
        <f ca="1">IF('Invoer gegevens'!$C$17=E20,0,IF(C20=1,Q19,0))</f>
        <v>0</v>
      </c>
      <c r="M20" s="96">
        <f ca="1">IF(C20&gt;=1,L20*VLOOKUP(E20,Reeksen!$A$5:$B$76,2),0)</f>
        <v>0</v>
      </c>
      <c r="N20" s="84">
        <f ca="1">(1-('Invoer gegevens'!$F$20/12))*L20*MIN(Reeksen!B20,Reeksen!D20)</f>
        <v>0</v>
      </c>
      <c r="O20" s="84">
        <f>IF(Reeksen!D20&lt;Reeksen!B20,(Reeksen!B20-Reeksen!D20)*L20,0)</f>
        <v>0</v>
      </c>
      <c r="P20" s="84">
        <f ca="1">('Invoer gegevens'!$F$20/12)*L19*MIN(Reeksen!B19,Reeksen!D19)</f>
        <v>0</v>
      </c>
      <c r="Q20" s="84">
        <f t="shared" ca="1" si="2"/>
        <v>0</v>
      </c>
      <c r="R20" s="82">
        <f ca="1">IF('Invoer gegevens'!$C$17=E20,'Invoer gegevens'!$C$11,IF(C20=1,W19,0))</f>
        <v>0</v>
      </c>
      <c r="S20" s="86">
        <f ca="1">IF(C20&gt;=1,R20*VLOOKUP(E20,Reeksen!$A$5:$B$76,2),0)</f>
        <v>0</v>
      </c>
      <c r="T20" s="84">
        <f ca="1">(1-('Invoer gegevens'!$F$20/12))*R20*MIN(Reeksen!B20,Reeksen!D20)</f>
        <v>0</v>
      </c>
      <c r="U20" s="84">
        <f>IF(Reeksen!D20&gt;=Reeksen!B20,0,IF(Reeksen!AK20&lt;=Reeksen!AE20,(Reeksen!B20-Reeksen!D20)*R20,0))</f>
        <v>0</v>
      </c>
      <c r="V20" s="86">
        <f>IF(Reeksen!D20&gt;=Reeksen!B20,0,IF(Reeksen!AK20&gt;Reeksen!AE20,(Reeksen!B20-Reeksen!D20)*R20,0))</f>
        <v>0</v>
      </c>
      <c r="W20" s="97">
        <f t="shared" ca="1" si="3"/>
        <v>0</v>
      </c>
      <c r="X20" s="98">
        <f ca="1">IF('Invoer gegevens'!$C$17=E20,'Invoer gegevens'!$C$10-'Invoer gegevens'!$C$11,IF(C20=1,AC19,0))</f>
        <v>0</v>
      </c>
      <c r="Y20" s="98">
        <f ca="1">IF(C20&gt;=1,X20*VLOOKUP(E20,Reeksen!$A$5:$B$76,2),0)</f>
        <v>0</v>
      </c>
      <c r="Z20" s="98">
        <f ca="1">(1-('Invoer gegevens'!$F$20/12))*X20*MIN(Reeksen!B20,Reeksen!D20)</f>
        <v>0</v>
      </c>
      <c r="AA20" s="98">
        <f>IF(Reeksen!D20&gt;=Reeksen!B20,0,IF(Reeksen!AK20&lt;=Reeksen!AE20,(Reeksen!B20-Reeksen!D20)*X20,0))</f>
        <v>0</v>
      </c>
      <c r="AB20" s="98">
        <f>IF(Reeksen!D20&gt;=Reeksen!B20,0,IF(Reeksen!AK20&gt;Reeksen!AE20,(Reeksen!B20-Reeksen!D20)*X20,0))</f>
        <v>0</v>
      </c>
      <c r="AC20" s="99">
        <f t="shared" ca="1" si="4"/>
        <v>0</v>
      </c>
      <c r="AD20" s="98">
        <f ca="1">IF('Invoer gegevens'!$C$17=E20,R20,IF(C20=0,0,AE19))</f>
        <v>0</v>
      </c>
      <c r="AE20" s="98">
        <f t="shared" ca="1" si="5"/>
        <v>0</v>
      </c>
      <c r="AF20" s="98">
        <f ca="1">IF('Invoer gegevens'!$C$17=E20,X20,IF(C20=0,0,AG19))</f>
        <v>0</v>
      </c>
      <c r="AG20" s="98">
        <f t="shared" ca="1" si="6"/>
        <v>0</v>
      </c>
      <c r="AH20" s="68"/>
      <c r="AI20" s="71">
        <f ca="1">IF(C20=1,Reeksen!AJ20*((F20-G20+F20)/2)*12+Reeksen!AK20*((L20-M20+L20)/2)*12,0)</f>
        <v>0</v>
      </c>
      <c r="AJ20" s="71">
        <f ca="1">-AI20*'Invoer gegevens'!$F$28</f>
        <v>0</v>
      </c>
      <c r="AK20" s="71">
        <f t="shared" ca="1" si="0"/>
        <v>0</v>
      </c>
      <c r="AL20" s="71">
        <f ca="1">IF(C20=1,Reeksen!AL20*((F20-G20+F20)/2)*12+Reeksen!AM20*((L20-M20+L20)/2)*12,0)</f>
        <v>0</v>
      </c>
      <c r="AM20" s="71">
        <f ca="1">-AL20*'Invoer gegevens'!$F$31</f>
        <v>0</v>
      </c>
      <c r="AN20" s="71">
        <f t="shared" ca="1" si="7"/>
        <v>0</v>
      </c>
      <c r="AO20" s="71">
        <f ca="1">IF(C20=1,(H20+J20+N20+P20)*Reeksen!AN20,0)</f>
        <v>0</v>
      </c>
      <c r="AP20" s="71">
        <f ca="1">-IF(C20=1,(H20+J20+N20+P20)*'Hulp - basis'!$G$550*Reeksen!H20,0)</f>
        <v>0</v>
      </c>
      <c r="AQ20" s="71">
        <f ca="1">-IF(C20=1,(F20+K20+L20+Q20)/2*'Invoer gegevens'!$I$33*Reeksen!J20,0)*2</f>
        <v>0</v>
      </c>
      <c r="AR20" s="71">
        <f ca="1">-IF(C20=1,(I20*'Invoer gegevens'!$I$34)*Reeksen!J20,0)</f>
        <v>0</v>
      </c>
      <c r="AS20" s="71">
        <f ca="1">-IF(C20=1,(F20+K20+L20+Q20)/2*'Invoer gegevens'!$I$35*Reeksen!L20,0)</f>
        <v>0</v>
      </c>
      <c r="AT20" s="71">
        <f ca="1">-IF(C20=1,IF(E20='Invoer gegevens'!$C$17,'Invoer gegevens'!$C$11,AD20)*Reeksen!S20*'Invoer gegevens'!$C$18*Reeksen!P20,0)</f>
        <v>0</v>
      </c>
      <c r="AU20" s="71">
        <f ca="1">-IF(C20=1,(F20+K20+L20+Q20)/2*'Invoer gegevens'!$I$36*Reeksen!H20,0)</f>
        <v>0</v>
      </c>
      <c r="AV20" s="71">
        <f>IF('Invoer gegevens'!$C$3="Basis",0,#REF!)</f>
        <v>0</v>
      </c>
      <c r="AW20" s="71">
        <f t="shared" ca="1" si="8"/>
        <v>0</v>
      </c>
      <c r="AX20" s="71">
        <f ca="1">IF(E20&lt;'Invoer gegevens'!$C$17+15,0,IF(E20&gt;'Invoer gegevens'!$C$17+215,0,AW20))</f>
        <v>0</v>
      </c>
      <c r="AY20" s="71">
        <f ca="1">AX20/(1+'Invoer gegevens'!$F$18)^($AZ20-('Invoer gegevens'!$C$17-'Invoer gegevens'!$C$16))/(1+'Invoer gegevens'!$C$39)^('Invoer gegevens'!$C$17-'Invoer gegevens'!$C$16)</f>
        <v>0</v>
      </c>
      <c r="AZ20" s="68">
        <f ca="1">IF(E20-'Invoer gegevens'!$C$17-14.5&lt;0,0,E20-'Invoer gegevens'!$C$17-14.5)</f>
        <v>0.5</v>
      </c>
    </row>
    <row r="21" spans="1:52" x14ac:dyDescent="0.25">
      <c r="A21" s="59"/>
      <c r="B21" s="70">
        <f t="shared" si="9"/>
        <v>17</v>
      </c>
      <c r="C21" s="67">
        <f ca="1">IF(E21-'Invoer gegevens'!$C$17&lt;0,0,1)</f>
        <v>1</v>
      </c>
      <c r="D21" s="68">
        <f t="shared" si="10"/>
        <v>16.5</v>
      </c>
      <c r="E21" s="108">
        <f ca="1">IF('Invoer gegevens'!$C$16="","",E20+1)</f>
        <v>2035</v>
      </c>
      <c r="F21" s="84">
        <f ca="1">IF('Invoer gegevens'!$C$17=E21,'Invoer gegevens'!$C$10,IF(C21=1,K20,0))</f>
        <v>0</v>
      </c>
      <c r="G21" s="96">
        <f ca="1">IF(C21&gt;=1,F21*VLOOKUP(E21,Reeksen!$A$5:$B$76,2),0)</f>
        <v>0</v>
      </c>
      <c r="H21" s="84">
        <f ca="1">(1-('Invoer gegevens'!$F$20/12))*F21*MIN(Reeksen!B21,Reeksen!D21)</f>
        <v>0</v>
      </c>
      <c r="I21" s="84">
        <f>IF(Reeksen!D21&lt;Reeksen!B21,(Reeksen!B21-Reeksen!D21)*F21,0)</f>
        <v>0</v>
      </c>
      <c r="J21" s="84">
        <f ca="1">('Invoer gegevens'!$F$20/12)*F20*MIN(Reeksen!B20,Reeksen!D20)</f>
        <v>0</v>
      </c>
      <c r="K21" s="97">
        <f t="shared" ca="1" si="1"/>
        <v>0</v>
      </c>
      <c r="L21" s="84">
        <f ca="1">IF('Invoer gegevens'!$C$17=E21,0,IF(C21=1,Q20,0))</f>
        <v>0</v>
      </c>
      <c r="M21" s="96">
        <f ca="1">IF(C21&gt;=1,L21*VLOOKUP(E21,Reeksen!$A$5:$B$76,2),0)</f>
        <v>0</v>
      </c>
      <c r="N21" s="84">
        <f ca="1">(1-('Invoer gegevens'!$F$20/12))*L21*MIN(Reeksen!B21,Reeksen!D21)</f>
        <v>0</v>
      </c>
      <c r="O21" s="84">
        <f>IF(Reeksen!D21&lt;Reeksen!B21,(Reeksen!B21-Reeksen!D21)*L21,0)</f>
        <v>0</v>
      </c>
      <c r="P21" s="84">
        <f ca="1">('Invoer gegevens'!$F$20/12)*L20*MIN(Reeksen!B20,Reeksen!D20)</f>
        <v>0</v>
      </c>
      <c r="Q21" s="84">
        <f t="shared" ca="1" si="2"/>
        <v>0</v>
      </c>
      <c r="R21" s="82">
        <f ca="1">IF('Invoer gegevens'!$C$17=E21,'Invoer gegevens'!$C$11,IF(C21=1,W20,0))</f>
        <v>0</v>
      </c>
      <c r="S21" s="86">
        <f ca="1">IF(C21&gt;=1,R21*VLOOKUP(E21,Reeksen!$A$5:$B$76,2),0)</f>
        <v>0</v>
      </c>
      <c r="T21" s="84">
        <f ca="1">(1-('Invoer gegevens'!$F$20/12))*R21*MIN(Reeksen!B21,Reeksen!D21)</f>
        <v>0</v>
      </c>
      <c r="U21" s="84">
        <f>IF(Reeksen!D21&gt;=Reeksen!B21,0,IF(Reeksen!AK21&lt;=Reeksen!AE21,(Reeksen!B21-Reeksen!D21)*R21,0))</f>
        <v>0</v>
      </c>
      <c r="V21" s="86">
        <f>IF(Reeksen!D21&gt;=Reeksen!B21,0,IF(Reeksen!AK21&gt;Reeksen!AE21,(Reeksen!B21-Reeksen!D21)*R21,0))</f>
        <v>0</v>
      </c>
      <c r="W21" s="97">
        <f t="shared" ca="1" si="3"/>
        <v>0</v>
      </c>
      <c r="X21" s="98">
        <f ca="1">IF('Invoer gegevens'!$C$17=E21,'Invoer gegevens'!$C$10-'Invoer gegevens'!$C$11,IF(C21=1,AC20,0))</f>
        <v>0</v>
      </c>
      <c r="Y21" s="98">
        <f ca="1">IF(C21&gt;=1,X21*VLOOKUP(E21,Reeksen!$A$5:$B$76,2),0)</f>
        <v>0</v>
      </c>
      <c r="Z21" s="98">
        <f ca="1">(1-('Invoer gegevens'!$F$20/12))*X21*MIN(Reeksen!B21,Reeksen!D21)</f>
        <v>0</v>
      </c>
      <c r="AA21" s="98">
        <f>IF(Reeksen!D21&gt;=Reeksen!B21,0,IF(Reeksen!AK21&lt;=Reeksen!AE21,(Reeksen!B21-Reeksen!D21)*X21,0))</f>
        <v>0</v>
      </c>
      <c r="AB21" s="98">
        <f>IF(Reeksen!D21&gt;=Reeksen!B21,0,IF(Reeksen!AK21&gt;Reeksen!AE21,(Reeksen!B21-Reeksen!D21)*X21,0))</f>
        <v>0</v>
      </c>
      <c r="AC21" s="99">
        <f t="shared" ca="1" si="4"/>
        <v>0</v>
      </c>
      <c r="AD21" s="98">
        <f ca="1">IF('Invoer gegevens'!$C$17=E21,R21,IF(C21=0,0,AE20))</f>
        <v>0</v>
      </c>
      <c r="AE21" s="98">
        <f t="shared" ca="1" si="5"/>
        <v>0</v>
      </c>
      <c r="AF21" s="98">
        <f ca="1">IF('Invoer gegevens'!$C$17=E21,X21,IF(C21=0,0,AG20))</f>
        <v>0</v>
      </c>
      <c r="AG21" s="98">
        <f t="shared" ca="1" si="6"/>
        <v>0</v>
      </c>
      <c r="AH21" s="68"/>
      <c r="AI21" s="71">
        <f ca="1">IF(C21=1,Reeksen!AJ21*((F21-G21+F21)/2)*12+Reeksen!AK21*((L21-M21+L21)/2)*12,0)</f>
        <v>0</v>
      </c>
      <c r="AJ21" s="71">
        <f ca="1">-AI21*'Invoer gegevens'!$F$28</f>
        <v>0</v>
      </c>
      <c r="AK21" s="71">
        <f t="shared" ca="1" si="0"/>
        <v>0</v>
      </c>
      <c r="AL21" s="71">
        <f ca="1">IF(C21=1,Reeksen!AL21*((F21-G21+F21)/2)*12+Reeksen!AM21*((L21-M21+L21)/2)*12,0)</f>
        <v>0</v>
      </c>
      <c r="AM21" s="71">
        <f ca="1">-AL21*'Invoer gegevens'!$F$31</f>
        <v>0</v>
      </c>
      <c r="AN21" s="71">
        <f t="shared" ca="1" si="7"/>
        <v>0</v>
      </c>
      <c r="AO21" s="71">
        <f ca="1">IF(C21=1,(H21+J21+N21+P21)*Reeksen!AN21,0)</f>
        <v>0</v>
      </c>
      <c r="AP21" s="71">
        <f ca="1">-IF(C21=1,(H21+J21+N21+P21)*'Hulp - basis'!$G$550*Reeksen!H21,0)</f>
        <v>0</v>
      </c>
      <c r="AQ21" s="71">
        <f ca="1">-IF(C21=1,(F21+K21+L21+Q21)/2*'Invoer gegevens'!$I$33*Reeksen!J21,0)*2</f>
        <v>0</v>
      </c>
      <c r="AR21" s="71">
        <f ca="1">-IF(C21=1,(I21*'Invoer gegevens'!$I$34)*Reeksen!J21,0)</f>
        <v>0</v>
      </c>
      <c r="AS21" s="71">
        <f ca="1">-IF(C21=1,(F21+K21+L21+Q21)/2*'Invoer gegevens'!$I$35*Reeksen!L21,0)</f>
        <v>0</v>
      </c>
      <c r="AT21" s="71">
        <f ca="1">-IF(C21=1,IF(E21='Invoer gegevens'!$C$17,'Invoer gegevens'!$C$11,AD21)*Reeksen!S21*'Invoer gegevens'!$C$18*Reeksen!P21,0)</f>
        <v>0</v>
      </c>
      <c r="AU21" s="71">
        <f ca="1">-IF(C21=1,(F21+K21+L21+Q21)/2*'Invoer gegevens'!$I$36*Reeksen!H21,0)</f>
        <v>0</v>
      </c>
      <c r="AV21" s="71">
        <f>IF('Invoer gegevens'!$C$3="Basis",0,#REF!)</f>
        <v>0</v>
      </c>
      <c r="AW21" s="71">
        <f t="shared" ca="1" si="8"/>
        <v>0</v>
      </c>
      <c r="AX21" s="71">
        <f ca="1">IF(E21&lt;'Invoer gegevens'!$C$17+15,0,IF(E21&gt;'Invoer gegevens'!$C$17+215,0,AW21))</f>
        <v>0</v>
      </c>
      <c r="AY21" s="71">
        <f ca="1">AX21/(1+'Invoer gegevens'!$F$18)^($AZ21-('Invoer gegevens'!$C$17-'Invoer gegevens'!$C$16))/(1+'Invoer gegevens'!$C$39)^('Invoer gegevens'!$C$17-'Invoer gegevens'!$C$16)</f>
        <v>0</v>
      </c>
      <c r="AZ21" s="68">
        <f ca="1">IF(E21-'Invoer gegevens'!$C$17-14.5&lt;0,0,E21-'Invoer gegevens'!$C$17-14.5)</f>
        <v>1.5</v>
      </c>
    </row>
    <row r="22" spans="1:52" x14ac:dyDescent="0.25">
      <c r="A22" s="59"/>
      <c r="B22" s="70">
        <f t="shared" si="9"/>
        <v>18</v>
      </c>
      <c r="C22" s="67">
        <f ca="1">IF(E22-'Invoer gegevens'!$C$17&lt;0,0,1)</f>
        <v>1</v>
      </c>
      <c r="D22" s="68">
        <f t="shared" si="10"/>
        <v>17.5</v>
      </c>
      <c r="E22" s="108">
        <f ca="1">IF('Invoer gegevens'!$C$16="","",E21+1)</f>
        <v>2036</v>
      </c>
      <c r="F22" s="84">
        <f ca="1">IF('Invoer gegevens'!$C$17=E22,'Invoer gegevens'!$C$10,IF(C22=1,K21,0))</f>
        <v>0</v>
      </c>
      <c r="G22" s="96">
        <f ca="1">IF(C22&gt;=1,F22*VLOOKUP(E22,Reeksen!$A$5:$B$76,2),0)</f>
        <v>0</v>
      </c>
      <c r="H22" s="84">
        <f ca="1">(1-('Invoer gegevens'!$F$20/12))*F22*MIN(Reeksen!B22,Reeksen!D22)</f>
        <v>0</v>
      </c>
      <c r="I22" s="84">
        <f>IF(Reeksen!D22&lt;Reeksen!B22,(Reeksen!B22-Reeksen!D22)*F22,0)</f>
        <v>0</v>
      </c>
      <c r="J22" s="84">
        <f ca="1">('Invoer gegevens'!$F$20/12)*F21*MIN(Reeksen!B21,Reeksen!D21)</f>
        <v>0</v>
      </c>
      <c r="K22" s="97">
        <f t="shared" ca="1" si="1"/>
        <v>0</v>
      </c>
      <c r="L22" s="84">
        <f ca="1">IF('Invoer gegevens'!$C$17=E22,0,IF(C22=1,Q21,0))</f>
        <v>0</v>
      </c>
      <c r="M22" s="96">
        <f ca="1">IF(C22&gt;=1,L22*VLOOKUP(E22,Reeksen!$A$5:$B$76,2),0)</f>
        <v>0</v>
      </c>
      <c r="N22" s="84">
        <f ca="1">(1-('Invoer gegevens'!$F$20/12))*L22*MIN(Reeksen!B22,Reeksen!D22)</f>
        <v>0</v>
      </c>
      <c r="O22" s="84">
        <f>IF(Reeksen!D22&lt;Reeksen!B22,(Reeksen!B22-Reeksen!D22)*L22,0)</f>
        <v>0</v>
      </c>
      <c r="P22" s="84">
        <f ca="1">('Invoer gegevens'!$F$20/12)*L21*MIN(Reeksen!B21,Reeksen!D21)</f>
        <v>0</v>
      </c>
      <c r="Q22" s="84">
        <f t="shared" ca="1" si="2"/>
        <v>0</v>
      </c>
      <c r="R22" s="82">
        <f ca="1">IF('Invoer gegevens'!$C$17=E22,'Invoer gegevens'!$C$11,IF(C22=1,W21,0))</f>
        <v>0</v>
      </c>
      <c r="S22" s="86">
        <f ca="1">IF(C22&gt;=1,R22*VLOOKUP(E22,Reeksen!$A$5:$B$76,2),0)</f>
        <v>0</v>
      </c>
      <c r="T22" s="84">
        <f ca="1">(1-('Invoer gegevens'!$F$20/12))*R22*MIN(Reeksen!B22,Reeksen!D22)</f>
        <v>0</v>
      </c>
      <c r="U22" s="84">
        <f>IF(Reeksen!D22&gt;=Reeksen!B22,0,IF(Reeksen!AK22&lt;=Reeksen!AE22,(Reeksen!B22-Reeksen!D22)*R22,0))</f>
        <v>0</v>
      </c>
      <c r="V22" s="86">
        <f>IF(Reeksen!D22&gt;=Reeksen!B22,0,IF(Reeksen!AK22&gt;Reeksen!AE22,(Reeksen!B22-Reeksen!D22)*R22,0))</f>
        <v>0</v>
      </c>
      <c r="W22" s="97">
        <f t="shared" ca="1" si="3"/>
        <v>0</v>
      </c>
      <c r="X22" s="98">
        <f ca="1">IF('Invoer gegevens'!$C$17=E22,'Invoer gegevens'!$C$10-'Invoer gegevens'!$C$11,IF(C22=1,AC21,0))</f>
        <v>0</v>
      </c>
      <c r="Y22" s="98">
        <f ca="1">IF(C22&gt;=1,X22*VLOOKUP(E22,Reeksen!$A$5:$B$76,2),0)</f>
        <v>0</v>
      </c>
      <c r="Z22" s="98">
        <f ca="1">(1-('Invoer gegevens'!$F$20/12))*X22*MIN(Reeksen!B22,Reeksen!D22)</f>
        <v>0</v>
      </c>
      <c r="AA22" s="98">
        <f>IF(Reeksen!D22&gt;=Reeksen!B22,0,IF(Reeksen!AK22&lt;=Reeksen!AE22,(Reeksen!B22-Reeksen!D22)*X22,0))</f>
        <v>0</v>
      </c>
      <c r="AB22" s="98">
        <f>IF(Reeksen!D22&gt;=Reeksen!B22,0,IF(Reeksen!AK22&gt;Reeksen!AE22,(Reeksen!B22-Reeksen!D22)*X22,0))</f>
        <v>0</v>
      </c>
      <c r="AC22" s="99">
        <f t="shared" ca="1" si="4"/>
        <v>0</v>
      </c>
      <c r="AD22" s="98">
        <f ca="1">IF('Invoer gegevens'!$C$17=E22,R22,IF(C22=0,0,AE21))</f>
        <v>0</v>
      </c>
      <c r="AE22" s="98">
        <f t="shared" ca="1" si="5"/>
        <v>0</v>
      </c>
      <c r="AF22" s="98">
        <f ca="1">IF('Invoer gegevens'!$C$17=E22,X22,IF(C22=0,0,AG21))</f>
        <v>0</v>
      </c>
      <c r="AG22" s="98">
        <f t="shared" ca="1" si="6"/>
        <v>0</v>
      </c>
      <c r="AH22" s="68"/>
      <c r="AI22" s="71">
        <f ca="1">IF(C22=1,Reeksen!AJ22*((F22-G22+F22)/2)*12+Reeksen!AK22*((L22-M22+L22)/2)*12,0)</f>
        <v>0</v>
      </c>
      <c r="AJ22" s="71">
        <f ca="1">-AI22*'Invoer gegevens'!$F$28</f>
        <v>0</v>
      </c>
      <c r="AK22" s="71">
        <f t="shared" ca="1" si="0"/>
        <v>0</v>
      </c>
      <c r="AL22" s="71">
        <f ca="1">IF(C22=1,Reeksen!AL22*((F22-G22+F22)/2)*12+Reeksen!AM22*((L22-M22+L22)/2)*12,0)</f>
        <v>0</v>
      </c>
      <c r="AM22" s="71">
        <f ca="1">-AL22*'Invoer gegevens'!$F$31</f>
        <v>0</v>
      </c>
      <c r="AN22" s="71">
        <f t="shared" ca="1" si="7"/>
        <v>0</v>
      </c>
      <c r="AO22" s="71">
        <f ca="1">IF(C22=1,(H22+J22+N22+P22)*Reeksen!AN22,0)</f>
        <v>0</v>
      </c>
      <c r="AP22" s="71">
        <f ca="1">-IF(C22=1,(H22+J22+N22+P22)*'Hulp - basis'!$G$550*Reeksen!H22,0)</f>
        <v>0</v>
      </c>
      <c r="AQ22" s="71">
        <f ca="1">-IF(C22=1,(F22+K22+L22+Q22)/2*'Invoer gegevens'!$I$33*Reeksen!J22,0)*2</f>
        <v>0</v>
      </c>
      <c r="AR22" s="71">
        <f ca="1">-IF(C22=1,(I22*'Invoer gegevens'!$I$34)*Reeksen!J22,0)</f>
        <v>0</v>
      </c>
      <c r="AS22" s="71">
        <f ca="1">-IF(C22=1,(F22+K22+L22+Q22)/2*'Invoer gegevens'!$I$35*Reeksen!L22,0)</f>
        <v>0</v>
      </c>
      <c r="AT22" s="71">
        <f ca="1">-IF(C22=1,IF(E22='Invoer gegevens'!$C$17,'Invoer gegevens'!$C$11,AD22)*Reeksen!S22*'Invoer gegevens'!$C$18*Reeksen!P22,0)</f>
        <v>0</v>
      </c>
      <c r="AU22" s="71">
        <f ca="1">-IF(C22=1,(F22+K22+L22+Q22)/2*'Invoer gegevens'!$I$36*Reeksen!H22,0)</f>
        <v>0</v>
      </c>
      <c r="AV22" s="71">
        <f>IF('Invoer gegevens'!$C$3="Basis",0,#REF!)</f>
        <v>0</v>
      </c>
      <c r="AW22" s="71">
        <f t="shared" ca="1" si="8"/>
        <v>0</v>
      </c>
      <c r="AX22" s="71">
        <f ca="1">IF(E22&lt;'Invoer gegevens'!$C$17+15,0,IF(E22&gt;'Invoer gegevens'!$C$17+215,0,AW22))</f>
        <v>0</v>
      </c>
      <c r="AY22" s="71">
        <f ca="1">AX22/(1+'Invoer gegevens'!$F$18)^($AZ22-('Invoer gegevens'!$C$17-'Invoer gegevens'!$C$16))/(1+'Invoer gegevens'!$C$39)^('Invoer gegevens'!$C$17-'Invoer gegevens'!$C$16)</f>
        <v>0</v>
      </c>
      <c r="AZ22" s="68">
        <f ca="1">IF(E22-'Invoer gegevens'!$C$17-14.5&lt;0,0,E22-'Invoer gegevens'!$C$17-14.5)</f>
        <v>2.5</v>
      </c>
    </row>
    <row r="23" spans="1:52" x14ac:dyDescent="0.25">
      <c r="A23" s="59"/>
      <c r="B23" s="70">
        <f t="shared" si="9"/>
        <v>19</v>
      </c>
      <c r="C23" s="67">
        <f ca="1">IF(E23-'Invoer gegevens'!$C$17&lt;0,0,1)</f>
        <v>1</v>
      </c>
      <c r="D23" s="68">
        <f t="shared" si="10"/>
        <v>18.5</v>
      </c>
      <c r="E23" s="108">
        <f ca="1">IF('Invoer gegevens'!$C$16="","",E22+1)</f>
        <v>2037</v>
      </c>
      <c r="F23" s="84">
        <f ca="1">IF('Invoer gegevens'!$C$17=E23,'Invoer gegevens'!$C$10,IF(C23=1,K22,0))</f>
        <v>0</v>
      </c>
      <c r="G23" s="96">
        <f ca="1">IF(C23&gt;=1,F23*VLOOKUP(E23,Reeksen!$A$5:$B$76,2),0)</f>
        <v>0</v>
      </c>
      <c r="H23" s="84">
        <f ca="1">(1-('Invoer gegevens'!$F$20/12))*F23*MIN(Reeksen!B23,Reeksen!D23)</f>
        <v>0</v>
      </c>
      <c r="I23" s="84">
        <f>IF(Reeksen!D23&lt;Reeksen!B23,(Reeksen!B23-Reeksen!D23)*F23,0)</f>
        <v>0</v>
      </c>
      <c r="J23" s="84">
        <f ca="1">('Invoer gegevens'!$F$20/12)*F22*MIN(Reeksen!B22,Reeksen!D22)</f>
        <v>0</v>
      </c>
      <c r="K23" s="97">
        <f t="shared" ca="1" si="1"/>
        <v>0</v>
      </c>
      <c r="L23" s="84">
        <f ca="1">IF('Invoer gegevens'!$C$17=E23,0,IF(C23=1,Q22,0))</f>
        <v>0</v>
      </c>
      <c r="M23" s="96">
        <f ca="1">IF(C23&gt;=1,L23*VLOOKUP(E23,Reeksen!$A$5:$B$76,2),0)</f>
        <v>0</v>
      </c>
      <c r="N23" s="84">
        <f ca="1">(1-('Invoer gegevens'!$F$20/12))*L23*MIN(Reeksen!B23,Reeksen!D23)</f>
        <v>0</v>
      </c>
      <c r="O23" s="84">
        <f>IF(Reeksen!D23&lt;Reeksen!B23,(Reeksen!B23-Reeksen!D23)*L23,0)</f>
        <v>0</v>
      </c>
      <c r="P23" s="84">
        <f ca="1">('Invoer gegevens'!$F$20/12)*L22*MIN(Reeksen!B22,Reeksen!D22)</f>
        <v>0</v>
      </c>
      <c r="Q23" s="84">
        <f t="shared" ca="1" si="2"/>
        <v>0</v>
      </c>
      <c r="R23" s="82">
        <f ca="1">IF('Invoer gegevens'!$C$17=E23,'Invoer gegevens'!$C$11,IF(C23=1,W22,0))</f>
        <v>0</v>
      </c>
      <c r="S23" s="86">
        <f ca="1">IF(C23&gt;=1,R23*VLOOKUP(E23,Reeksen!$A$5:$B$76,2),0)</f>
        <v>0</v>
      </c>
      <c r="T23" s="84">
        <f ca="1">(1-('Invoer gegevens'!$F$20/12))*R23*MIN(Reeksen!B23,Reeksen!D23)</f>
        <v>0</v>
      </c>
      <c r="U23" s="84">
        <f>IF(Reeksen!D23&gt;=Reeksen!B23,0,IF(Reeksen!AK23&lt;=Reeksen!AE23,(Reeksen!B23-Reeksen!D23)*R23,0))</f>
        <v>0</v>
      </c>
      <c r="V23" s="86">
        <f>IF(Reeksen!D23&gt;=Reeksen!B23,0,IF(Reeksen!AK23&gt;Reeksen!AE23,(Reeksen!B23-Reeksen!D23)*R23,0))</f>
        <v>0</v>
      </c>
      <c r="W23" s="97">
        <f t="shared" ca="1" si="3"/>
        <v>0</v>
      </c>
      <c r="X23" s="98">
        <f ca="1">IF('Invoer gegevens'!$C$17=E23,'Invoer gegevens'!$C$10-'Invoer gegevens'!$C$11,IF(C23=1,AC22,0))</f>
        <v>0</v>
      </c>
      <c r="Y23" s="98">
        <f ca="1">IF(C23&gt;=1,X23*VLOOKUP(E23,Reeksen!$A$5:$B$76,2),0)</f>
        <v>0</v>
      </c>
      <c r="Z23" s="98">
        <f ca="1">(1-('Invoer gegevens'!$F$20/12))*X23*MIN(Reeksen!B23,Reeksen!D23)</f>
        <v>0</v>
      </c>
      <c r="AA23" s="98">
        <f>IF(Reeksen!D23&gt;=Reeksen!B23,0,IF(Reeksen!AK23&lt;=Reeksen!AE23,(Reeksen!B23-Reeksen!D23)*X23,0))</f>
        <v>0</v>
      </c>
      <c r="AB23" s="98">
        <f>IF(Reeksen!D23&gt;=Reeksen!B23,0,IF(Reeksen!AK23&gt;Reeksen!AE23,(Reeksen!B23-Reeksen!D23)*X23,0))</f>
        <v>0</v>
      </c>
      <c r="AC23" s="99">
        <f t="shared" ca="1" si="4"/>
        <v>0</v>
      </c>
      <c r="AD23" s="98">
        <f ca="1">IF('Invoer gegevens'!$C$17=E23,R23,IF(C23=0,0,AE22))</f>
        <v>0</v>
      </c>
      <c r="AE23" s="98">
        <f t="shared" ca="1" si="5"/>
        <v>0</v>
      </c>
      <c r="AF23" s="98">
        <f ca="1">IF('Invoer gegevens'!$C$17=E23,X23,IF(C23=0,0,AG22))</f>
        <v>0</v>
      </c>
      <c r="AG23" s="98">
        <f t="shared" ca="1" si="6"/>
        <v>0</v>
      </c>
      <c r="AH23" s="68"/>
      <c r="AI23" s="71">
        <f ca="1">IF(C23=1,Reeksen!AJ23*((F23-G23+F23)/2)*12+Reeksen!AK23*((L23-M23+L23)/2)*12,0)</f>
        <v>0</v>
      </c>
      <c r="AJ23" s="71">
        <f ca="1">-AI23*'Invoer gegevens'!$F$28</f>
        <v>0</v>
      </c>
      <c r="AK23" s="71">
        <f t="shared" ca="1" si="0"/>
        <v>0</v>
      </c>
      <c r="AL23" s="71">
        <f ca="1">IF(C23=1,Reeksen!AL23*((F23-G23+F23)/2)*12+Reeksen!AM23*((L23-M23+L23)/2)*12,0)</f>
        <v>0</v>
      </c>
      <c r="AM23" s="71">
        <f ca="1">-AL23*'Invoer gegevens'!$F$31</f>
        <v>0</v>
      </c>
      <c r="AN23" s="71">
        <f t="shared" ca="1" si="7"/>
        <v>0</v>
      </c>
      <c r="AO23" s="71">
        <f ca="1">IF(C23=1,(H23+J23+N23+P23)*Reeksen!AN23,0)</f>
        <v>0</v>
      </c>
      <c r="AP23" s="71">
        <f ca="1">-IF(C23=1,(H23+J23+N23+P23)*'Hulp - basis'!$G$550*Reeksen!H23,0)</f>
        <v>0</v>
      </c>
      <c r="AQ23" s="71">
        <f ca="1">-IF(C23=1,(F23+K23+L23+Q23)/2*'Invoer gegevens'!$I$33*Reeksen!J23,0)*2</f>
        <v>0</v>
      </c>
      <c r="AR23" s="71">
        <f ca="1">-IF(C23=1,(I23*'Invoer gegevens'!$I$34)*Reeksen!J23,0)</f>
        <v>0</v>
      </c>
      <c r="AS23" s="71">
        <f ca="1">-IF(C23=1,(F23+K23+L23+Q23)/2*'Invoer gegevens'!$I$35*Reeksen!L23,0)</f>
        <v>0</v>
      </c>
      <c r="AT23" s="71">
        <f ca="1">-IF(C23=1,IF(E23='Invoer gegevens'!$C$17,'Invoer gegevens'!$C$11,AD23)*Reeksen!S23*'Invoer gegevens'!$C$18*Reeksen!P23,0)</f>
        <v>0</v>
      </c>
      <c r="AU23" s="71">
        <f ca="1">-IF(C23=1,(F23+K23+L23+Q23)/2*'Invoer gegevens'!$I$36*Reeksen!H23,0)</f>
        <v>0</v>
      </c>
      <c r="AV23" s="71">
        <f>IF('Invoer gegevens'!$C$3="Basis",0,#REF!)</f>
        <v>0</v>
      </c>
      <c r="AW23" s="71">
        <f t="shared" ca="1" si="8"/>
        <v>0</v>
      </c>
      <c r="AX23" s="71">
        <f ca="1">IF(E23&lt;'Invoer gegevens'!$C$17+15,0,IF(E23&gt;'Invoer gegevens'!$C$17+215,0,AW23))</f>
        <v>0</v>
      </c>
      <c r="AY23" s="71">
        <f ca="1">AX23/(1+'Invoer gegevens'!$F$18)^($AZ23-('Invoer gegevens'!$C$17-'Invoer gegevens'!$C$16))/(1+'Invoer gegevens'!$C$39)^('Invoer gegevens'!$C$17-'Invoer gegevens'!$C$16)</f>
        <v>0</v>
      </c>
      <c r="AZ23" s="68">
        <f ca="1">IF(E23-'Invoer gegevens'!$C$17-14.5&lt;0,0,E23-'Invoer gegevens'!$C$17-14.5)</f>
        <v>3.5</v>
      </c>
    </row>
    <row r="24" spans="1:52" x14ac:dyDescent="0.25">
      <c r="A24" s="59"/>
      <c r="B24" s="70">
        <f t="shared" si="9"/>
        <v>20</v>
      </c>
      <c r="C24" s="67">
        <f ca="1">IF(E24-'Invoer gegevens'!$C$17&lt;0,0,1)</f>
        <v>1</v>
      </c>
      <c r="D24" s="68">
        <f t="shared" si="10"/>
        <v>19.5</v>
      </c>
      <c r="E24" s="108">
        <f ca="1">IF('Invoer gegevens'!$C$16="","",E23+1)</f>
        <v>2038</v>
      </c>
      <c r="F24" s="84">
        <f ca="1">IF('Invoer gegevens'!$C$17=E24,'Invoer gegevens'!$C$10,IF(C24=1,K23,0))</f>
        <v>0</v>
      </c>
      <c r="G24" s="96">
        <f ca="1">IF(C24&gt;=1,F24*VLOOKUP(E24,Reeksen!$A$5:$B$76,2),0)</f>
        <v>0</v>
      </c>
      <c r="H24" s="84">
        <f ca="1">(1-('Invoer gegevens'!$F$20/12))*F24*MIN(Reeksen!B24,Reeksen!D24)</f>
        <v>0</v>
      </c>
      <c r="I24" s="84">
        <f>IF(Reeksen!D24&lt;Reeksen!B24,(Reeksen!B24-Reeksen!D24)*F24,0)</f>
        <v>0</v>
      </c>
      <c r="J24" s="84">
        <f ca="1">('Invoer gegevens'!$F$20/12)*F23*MIN(Reeksen!B23,Reeksen!D23)</f>
        <v>0</v>
      </c>
      <c r="K24" s="97">
        <f t="shared" ca="1" si="1"/>
        <v>0</v>
      </c>
      <c r="L24" s="84">
        <f ca="1">IF('Invoer gegevens'!$C$17=E24,0,IF(C24=1,Q23,0))</f>
        <v>0</v>
      </c>
      <c r="M24" s="96">
        <f ca="1">IF(C24&gt;=1,L24*VLOOKUP(E24,Reeksen!$A$5:$B$76,2),0)</f>
        <v>0</v>
      </c>
      <c r="N24" s="84">
        <f ca="1">(1-('Invoer gegevens'!$F$20/12))*L24*MIN(Reeksen!B24,Reeksen!D24)</f>
        <v>0</v>
      </c>
      <c r="O24" s="84">
        <f>IF(Reeksen!D24&lt;Reeksen!B24,(Reeksen!B24-Reeksen!D24)*L24,0)</f>
        <v>0</v>
      </c>
      <c r="P24" s="84">
        <f ca="1">('Invoer gegevens'!$F$20/12)*L23*MIN(Reeksen!B23,Reeksen!D23)</f>
        <v>0</v>
      </c>
      <c r="Q24" s="84">
        <f t="shared" ca="1" si="2"/>
        <v>0</v>
      </c>
      <c r="R24" s="82">
        <f ca="1">IF('Invoer gegevens'!$C$17=E24,'Invoer gegevens'!$C$11,IF(C24=1,W23,0))</f>
        <v>0</v>
      </c>
      <c r="S24" s="86">
        <f ca="1">IF(C24&gt;=1,R24*VLOOKUP(E24,Reeksen!$A$5:$B$76,2),0)</f>
        <v>0</v>
      </c>
      <c r="T24" s="84">
        <f ca="1">(1-('Invoer gegevens'!$F$20/12))*R24*MIN(Reeksen!B24,Reeksen!D24)</f>
        <v>0</v>
      </c>
      <c r="U24" s="84">
        <f>IF(Reeksen!D24&gt;=Reeksen!B24,0,IF(Reeksen!AK24&lt;=Reeksen!AE24,(Reeksen!B24-Reeksen!D24)*R24,0))</f>
        <v>0</v>
      </c>
      <c r="V24" s="86">
        <f>IF(Reeksen!D24&gt;=Reeksen!B24,0,IF(Reeksen!AK24&gt;Reeksen!AE24,(Reeksen!B24-Reeksen!D24)*R24,0))</f>
        <v>0</v>
      </c>
      <c r="W24" s="97">
        <f t="shared" ca="1" si="3"/>
        <v>0</v>
      </c>
      <c r="X24" s="98">
        <f ca="1">IF('Invoer gegevens'!$C$17=E24,'Invoer gegevens'!$C$10-'Invoer gegevens'!$C$11,IF(C24=1,AC23,0))</f>
        <v>0</v>
      </c>
      <c r="Y24" s="98">
        <f ca="1">IF(C24&gt;=1,X24*VLOOKUP(E24,Reeksen!$A$5:$B$76,2),0)</f>
        <v>0</v>
      </c>
      <c r="Z24" s="98">
        <f ca="1">(1-('Invoer gegevens'!$F$20/12))*X24*MIN(Reeksen!B24,Reeksen!D24)</f>
        <v>0</v>
      </c>
      <c r="AA24" s="98">
        <f>IF(Reeksen!D24&gt;=Reeksen!B24,0,IF(Reeksen!AK24&lt;=Reeksen!AE24,(Reeksen!B24-Reeksen!D24)*X24,0))</f>
        <v>0</v>
      </c>
      <c r="AB24" s="98">
        <f>IF(Reeksen!D24&gt;=Reeksen!B24,0,IF(Reeksen!AK24&gt;Reeksen!AE24,(Reeksen!B24-Reeksen!D24)*X24,0))</f>
        <v>0</v>
      </c>
      <c r="AC24" s="99">
        <f t="shared" ca="1" si="4"/>
        <v>0</v>
      </c>
      <c r="AD24" s="98">
        <f ca="1">IF('Invoer gegevens'!$C$17=E24,R24,IF(C24=0,0,AE23))</f>
        <v>0</v>
      </c>
      <c r="AE24" s="98">
        <f t="shared" ca="1" si="5"/>
        <v>0</v>
      </c>
      <c r="AF24" s="98">
        <f ca="1">IF('Invoer gegevens'!$C$17=E24,X24,IF(C24=0,0,AG23))</f>
        <v>0</v>
      </c>
      <c r="AG24" s="98">
        <f t="shared" ca="1" si="6"/>
        <v>0</v>
      </c>
      <c r="AH24" s="68"/>
      <c r="AI24" s="71">
        <f ca="1">IF(C24=1,Reeksen!AJ24*((F24-G24+F24)/2)*12+Reeksen!AK24*((L24-M24+L24)/2)*12,0)</f>
        <v>0</v>
      </c>
      <c r="AJ24" s="71">
        <f ca="1">-AI24*'Invoer gegevens'!$F$28</f>
        <v>0</v>
      </c>
      <c r="AK24" s="71">
        <f t="shared" ca="1" si="0"/>
        <v>0</v>
      </c>
      <c r="AL24" s="71">
        <f ca="1">IF(C24=1,Reeksen!AL24*((F24-G24+F24)/2)*12+Reeksen!AM24*((L24-M24+L24)/2)*12,0)</f>
        <v>0</v>
      </c>
      <c r="AM24" s="71">
        <f ca="1">-AL24*'Invoer gegevens'!$F$31</f>
        <v>0</v>
      </c>
      <c r="AN24" s="71">
        <f t="shared" ca="1" si="7"/>
        <v>0</v>
      </c>
      <c r="AO24" s="71">
        <f ca="1">IF(C24=1,(H24+J24+N24+P24)*Reeksen!AN24,0)</f>
        <v>0</v>
      </c>
      <c r="AP24" s="71">
        <f ca="1">-IF(C24=1,(H24+J24+N24+P24)*'Hulp - basis'!$G$550*Reeksen!H24,0)</f>
        <v>0</v>
      </c>
      <c r="AQ24" s="71">
        <f ca="1">-IF(C24=1,(F24+K24+L24+Q24)/2*'Invoer gegevens'!$I$33*Reeksen!J24,0)*2</f>
        <v>0</v>
      </c>
      <c r="AR24" s="71">
        <f ca="1">-IF(C24=1,(I24*'Invoer gegevens'!$I$34)*Reeksen!J24,0)</f>
        <v>0</v>
      </c>
      <c r="AS24" s="71">
        <f ca="1">-IF(C24=1,(F24+K24+L24+Q24)/2*'Invoer gegevens'!$I$35*Reeksen!L24,0)</f>
        <v>0</v>
      </c>
      <c r="AT24" s="71">
        <f ca="1">-IF(C24=1,IF(E24='Invoer gegevens'!$C$17,'Invoer gegevens'!$C$11,AD24)*Reeksen!S24*'Invoer gegevens'!$C$18*Reeksen!P24,0)</f>
        <v>0</v>
      </c>
      <c r="AU24" s="71">
        <f ca="1">-IF(C24=1,(F24+K24+L24+Q24)/2*'Invoer gegevens'!$I$36*Reeksen!H24,0)</f>
        <v>0</v>
      </c>
      <c r="AV24" s="71">
        <f>IF('Invoer gegevens'!$C$3="Basis",0,#REF!)</f>
        <v>0</v>
      </c>
      <c r="AW24" s="71">
        <f t="shared" ca="1" si="8"/>
        <v>0</v>
      </c>
      <c r="AX24" s="71">
        <f ca="1">IF(E24&lt;'Invoer gegevens'!$C$17+15,0,IF(E24&gt;'Invoer gegevens'!$C$17+215,0,AW24))</f>
        <v>0</v>
      </c>
      <c r="AY24" s="71">
        <f ca="1">AX24/(1+'Invoer gegevens'!$F$18)^($AZ24-('Invoer gegevens'!$C$17-'Invoer gegevens'!$C$16))/(1+'Invoer gegevens'!$C$39)^('Invoer gegevens'!$C$17-'Invoer gegevens'!$C$16)</f>
        <v>0</v>
      </c>
      <c r="AZ24" s="68">
        <f ca="1">IF(E24-'Invoer gegevens'!$C$17-14.5&lt;0,0,E24-'Invoer gegevens'!$C$17-14.5)</f>
        <v>4.5</v>
      </c>
    </row>
    <row r="25" spans="1:52" x14ac:dyDescent="0.25">
      <c r="A25" s="59"/>
      <c r="B25" s="70">
        <f t="shared" si="9"/>
        <v>21</v>
      </c>
      <c r="C25" s="67">
        <f ca="1">IF(E25-'Invoer gegevens'!$C$17&lt;0,0,1)</f>
        <v>1</v>
      </c>
      <c r="D25" s="68">
        <f t="shared" si="10"/>
        <v>20.5</v>
      </c>
      <c r="E25" s="108">
        <f ca="1">IF('Invoer gegevens'!$C$16="","",E24+1)</f>
        <v>2039</v>
      </c>
      <c r="F25" s="84">
        <f ca="1">IF('Invoer gegevens'!$C$17=E25,'Invoer gegevens'!$C$10,IF(C25=1,K24,0))</f>
        <v>0</v>
      </c>
      <c r="G25" s="96">
        <f ca="1">IF(C25&gt;=1,F25*VLOOKUP(E25,Reeksen!$A$5:$B$76,2),0)</f>
        <v>0</v>
      </c>
      <c r="H25" s="84">
        <f ca="1">(1-('Invoer gegevens'!$F$20/12))*F25*MIN(Reeksen!B25,Reeksen!D25)</f>
        <v>0</v>
      </c>
      <c r="I25" s="84">
        <f>IF(Reeksen!D25&lt;Reeksen!B25,(Reeksen!B25-Reeksen!D25)*F25,0)</f>
        <v>0</v>
      </c>
      <c r="J25" s="84">
        <f ca="1">('Invoer gegevens'!$F$20/12)*F24*MIN(Reeksen!B24,Reeksen!D24)</f>
        <v>0</v>
      </c>
      <c r="K25" s="97">
        <f t="shared" ca="1" si="1"/>
        <v>0</v>
      </c>
      <c r="L25" s="84">
        <f ca="1">IF('Invoer gegevens'!$C$17=E25,0,IF(C25=1,Q24,0))</f>
        <v>0</v>
      </c>
      <c r="M25" s="96">
        <f ca="1">IF(C25&gt;=1,L25*VLOOKUP(E25,Reeksen!$A$5:$B$76,2),0)</f>
        <v>0</v>
      </c>
      <c r="N25" s="84">
        <f ca="1">(1-('Invoer gegevens'!$F$20/12))*L25*MIN(Reeksen!B25,Reeksen!D25)</f>
        <v>0</v>
      </c>
      <c r="O25" s="84">
        <f>IF(Reeksen!D25&lt;Reeksen!B25,(Reeksen!B25-Reeksen!D25)*L25,0)</f>
        <v>0</v>
      </c>
      <c r="P25" s="84">
        <f ca="1">('Invoer gegevens'!$F$20/12)*L24*MIN(Reeksen!B24,Reeksen!D24)</f>
        <v>0</v>
      </c>
      <c r="Q25" s="84">
        <f t="shared" ca="1" si="2"/>
        <v>0</v>
      </c>
      <c r="R25" s="82">
        <f ca="1">IF('Invoer gegevens'!$C$17=E25,'Invoer gegevens'!$C$11,IF(C25=1,W24,0))</f>
        <v>0</v>
      </c>
      <c r="S25" s="86">
        <f ca="1">IF(C25&gt;=1,R25*VLOOKUP(E25,Reeksen!$A$5:$B$76,2),0)</f>
        <v>0</v>
      </c>
      <c r="T25" s="84">
        <f ca="1">(1-('Invoer gegevens'!$F$20/12))*R25*MIN(Reeksen!B25,Reeksen!D25)</f>
        <v>0</v>
      </c>
      <c r="U25" s="84">
        <f>IF(Reeksen!D25&gt;=Reeksen!B25,0,IF(Reeksen!AK25&lt;=Reeksen!AE25,(Reeksen!B25-Reeksen!D25)*R25,0))</f>
        <v>0</v>
      </c>
      <c r="V25" s="86">
        <f>IF(Reeksen!D25&gt;=Reeksen!B25,0,IF(Reeksen!AK25&gt;Reeksen!AE25,(Reeksen!B25-Reeksen!D25)*R25,0))</f>
        <v>0</v>
      </c>
      <c r="W25" s="97">
        <f t="shared" ca="1" si="3"/>
        <v>0</v>
      </c>
      <c r="X25" s="98">
        <f ca="1">IF('Invoer gegevens'!$C$17=E25,'Invoer gegevens'!$C$10-'Invoer gegevens'!$C$11,IF(C25=1,AC24,0))</f>
        <v>0</v>
      </c>
      <c r="Y25" s="98">
        <f ca="1">IF(C25&gt;=1,X25*VLOOKUP(E25,Reeksen!$A$5:$B$76,2),0)</f>
        <v>0</v>
      </c>
      <c r="Z25" s="98">
        <f ca="1">(1-('Invoer gegevens'!$F$20/12))*X25*MIN(Reeksen!B25,Reeksen!D25)</f>
        <v>0</v>
      </c>
      <c r="AA25" s="98">
        <f>IF(Reeksen!D25&gt;=Reeksen!B25,0,IF(Reeksen!AK25&lt;=Reeksen!AE25,(Reeksen!B25-Reeksen!D25)*X25,0))</f>
        <v>0</v>
      </c>
      <c r="AB25" s="98">
        <f>IF(Reeksen!D25&gt;=Reeksen!B25,0,IF(Reeksen!AK25&gt;Reeksen!AE25,(Reeksen!B25-Reeksen!D25)*X25,0))</f>
        <v>0</v>
      </c>
      <c r="AC25" s="99">
        <f t="shared" ca="1" si="4"/>
        <v>0</v>
      </c>
      <c r="AD25" s="98">
        <f ca="1">IF('Invoer gegevens'!$C$17=E25,R25,IF(C25=0,0,AE24))</f>
        <v>0</v>
      </c>
      <c r="AE25" s="98">
        <f t="shared" ca="1" si="5"/>
        <v>0</v>
      </c>
      <c r="AF25" s="98">
        <f ca="1">IF('Invoer gegevens'!$C$17=E25,X25,IF(C25=0,0,AG24))</f>
        <v>0</v>
      </c>
      <c r="AG25" s="98">
        <f t="shared" ca="1" si="6"/>
        <v>0</v>
      </c>
      <c r="AH25" s="68"/>
      <c r="AI25" s="71">
        <f ca="1">IF(C25=1,Reeksen!AJ25*((F25-G25+F25)/2)*12+Reeksen!AK25*((L25-M25+L25)/2)*12,0)</f>
        <v>0</v>
      </c>
      <c r="AJ25" s="71">
        <f ca="1">-AI25*'Invoer gegevens'!$F$28</f>
        <v>0</v>
      </c>
      <c r="AK25" s="71">
        <f t="shared" ca="1" si="0"/>
        <v>0</v>
      </c>
      <c r="AL25" s="71">
        <f ca="1">IF(C25=1,Reeksen!AL25*((F25-G25+F25)/2)*12+Reeksen!AM25*((L25-M25+L25)/2)*12,0)</f>
        <v>0</v>
      </c>
      <c r="AM25" s="71">
        <f ca="1">-AL25*'Invoer gegevens'!$F$31</f>
        <v>0</v>
      </c>
      <c r="AN25" s="71">
        <f t="shared" ca="1" si="7"/>
        <v>0</v>
      </c>
      <c r="AO25" s="71">
        <f ca="1">IF(C25=1,(H25+J25+N25+P25)*Reeksen!AN25,0)</f>
        <v>0</v>
      </c>
      <c r="AP25" s="71">
        <f ca="1">-IF(C25=1,(H25+J25+N25+P25)*'Hulp - basis'!$G$550*Reeksen!H25,0)</f>
        <v>0</v>
      </c>
      <c r="AQ25" s="71">
        <f ca="1">-IF(C25=1,(F25+K25+L25+Q25)/2*'Invoer gegevens'!$I$33*Reeksen!J25,0)*2</f>
        <v>0</v>
      </c>
      <c r="AR25" s="71">
        <f ca="1">-IF(C25=1,(I25*'Invoer gegevens'!$I$34)*Reeksen!J25,0)</f>
        <v>0</v>
      </c>
      <c r="AS25" s="71">
        <f ca="1">-IF(C25=1,(F25+K25+L25+Q25)/2*'Invoer gegevens'!$I$35*Reeksen!L25,0)</f>
        <v>0</v>
      </c>
      <c r="AT25" s="71">
        <f ca="1">-IF(C25=1,IF(E25='Invoer gegevens'!$C$17,'Invoer gegevens'!$C$11,AD25)*Reeksen!S25*'Invoer gegevens'!$C$18*Reeksen!P25,0)</f>
        <v>0</v>
      </c>
      <c r="AU25" s="71">
        <f ca="1">-IF(C25=1,(F25+K25+L25+Q25)/2*'Invoer gegevens'!$I$36*Reeksen!H25,0)</f>
        <v>0</v>
      </c>
      <c r="AV25" s="71">
        <f>IF('Invoer gegevens'!$C$3="Basis",0,#REF!)</f>
        <v>0</v>
      </c>
      <c r="AW25" s="71">
        <f t="shared" ca="1" si="8"/>
        <v>0</v>
      </c>
      <c r="AX25" s="71">
        <f ca="1">IF(E25&lt;'Invoer gegevens'!$C$17+15,0,IF(E25&gt;'Invoer gegevens'!$C$17+215,0,AW25))</f>
        <v>0</v>
      </c>
      <c r="AY25" s="71">
        <f ca="1">AX25/(1+'Invoer gegevens'!$F$18)^($AZ25-('Invoer gegevens'!$C$17-'Invoer gegevens'!$C$16))/(1+'Invoer gegevens'!$C$39)^('Invoer gegevens'!$C$17-'Invoer gegevens'!$C$16)</f>
        <v>0</v>
      </c>
      <c r="AZ25" s="68">
        <f ca="1">IF(E25-'Invoer gegevens'!$C$17-14.5&lt;0,0,E25-'Invoer gegevens'!$C$17-14.5)</f>
        <v>5.5</v>
      </c>
    </row>
    <row r="26" spans="1:52" x14ac:dyDescent="0.25">
      <c r="A26" s="59"/>
      <c r="B26" s="70">
        <f>B25+1</f>
        <v>22</v>
      </c>
      <c r="C26" s="67">
        <f ca="1">IF(E26-'Invoer gegevens'!$C$17&lt;0,0,1)</f>
        <v>1</v>
      </c>
      <c r="D26" s="68">
        <f t="shared" si="10"/>
        <v>21.5</v>
      </c>
      <c r="E26" s="108">
        <f ca="1">IF('Invoer gegevens'!$C$16="","",E25+1)</f>
        <v>2040</v>
      </c>
      <c r="F26" s="84">
        <f ca="1">IF('Invoer gegevens'!$C$17=E26,'Invoer gegevens'!$C$10,IF(C26=1,K25,0))</f>
        <v>0</v>
      </c>
      <c r="G26" s="96">
        <f ca="1">IF(C26&gt;=1,F26*VLOOKUP(E26,Reeksen!$A$5:$B$76,2),0)</f>
        <v>0</v>
      </c>
      <c r="H26" s="84">
        <f ca="1">(1-('Invoer gegevens'!$F$20/12))*F26*MIN(Reeksen!B26,Reeksen!D26)</f>
        <v>0</v>
      </c>
      <c r="I26" s="84">
        <f>IF(Reeksen!D26&lt;Reeksen!B26,(Reeksen!B26-Reeksen!D26)*F26,0)</f>
        <v>0</v>
      </c>
      <c r="J26" s="84">
        <f ca="1">('Invoer gegevens'!$F$20/12)*F25*MIN(Reeksen!B25,Reeksen!D25)</f>
        <v>0</v>
      </c>
      <c r="K26" s="97">
        <f t="shared" ca="1" si="1"/>
        <v>0</v>
      </c>
      <c r="L26" s="84">
        <f ca="1">IF('Invoer gegevens'!$C$17=E26,0,IF(C26=1,Q25,0))</f>
        <v>0</v>
      </c>
      <c r="M26" s="96">
        <f ca="1">IF(C26&gt;=1,L26*VLOOKUP(E26,Reeksen!$A$5:$B$76,2),0)</f>
        <v>0</v>
      </c>
      <c r="N26" s="84">
        <f ca="1">(1-('Invoer gegevens'!$F$20/12))*L26*MIN(Reeksen!B26,Reeksen!D26)</f>
        <v>0</v>
      </c>
      <c r="O26" s="84">
        <f>IF(Reeksen!D26&lt;Reeksen!B26,(Reeksen!B26-Reeksen!D26)*L26,0)</f>
        <v>0</v>
      </c>
      <c r="P26" s="84">
        <f ca="1">('Invoer gegevens'!$F$20/12)*L25*MIN(Reeksen!B25,Reeksen!D25)</f>
        <v>0</v>
      </c>
      <c r="Q26" s="84">
        <f t="shared" ca="1" si="2"/>
        <v>0</v>
      </c>
      <c r="R26" s="82">
        <f ca="1">IF('Invoer gegevens'!$C$17=E26,'Invoer gegevens'!$C$11,IF(C26=1,W25,0))</f>
        <v>0</v>
      </c>
      <c r="S26" s="86">
        <f ca="1">IF(C26&gt;=1,R26*VLOOKUP(E26,Reeksen!$A$5:$B$76,2),0)</f>
        <v>0</v>
      </c>
      <c r="T26" s="84">
        <f ca="1">(1-('Invoer gegevens'!$F$20/12))*R26*MIN(Reeksen!B26,Reeksen!D26)</f>
        <v>0</v>
      </c>
      <c r="U26" s="84">
        <f>IF(Reeksen!D26&gt;=Reeksen!B26,0,IF(Reeksen!AK26&lt;=Reeksen!AE26,(Reeksen!B26-Reeksen!D26)*R26,0))</f>
        <v>0</v>
      </c>
      <c r="V26" s="86">
        <f>IF(Reeksen!D26&gt;=Reeksen!B26,0,IF(Reeksen!AK26&gt;Reeksen!AE26,(Reeksen!B26-Reeksen!D26)*R26,0))</f>
        <v>0</v>
      </c>
      <c r="W26" s="97">
        <f t="shared" ca="1" si="3"/>
        <v>0</v>
      </c>
      <c r="X26" s="98">
        <f ca="1">IF('Invoer gegevens'!$C$17=E26,'Invoer gegevens'!$C$10-'Invoer gegevens'!$C$11,IF(C26=1,AC25,0))</f>
        <v>0</v>
      </c>
      <c r="Y26" s="98">
        <f ca="1">IF(C26&gt;=1,X26*VLOOKUP(E26,Reeksen!$A$5:$B$76,2),0)</f>
        <v>0</v>
      </c>
      <c r="Z26" s="98">
        <f ca="1">(1-('Invoer gegevens'!$F$20/12))*X26*MIN(Reeksen!B26,Reeksen!D26)</f>
        <v>0</v>
      </c>
      <c r="AA26" s="98">
        <f>IF(Reeksen!D26&gt;=Reeksen!B26,0,IF(Reeksen!AK26&lt;=Reeksen!AE26,(Reeksen!B26-Reeksen!D26)*X26,0))</f>
        <v>0</v>
      </c>
      <c r="AB26" s="98">
        <f>IF(Reeksen!D26&gt;=Reeksen!B26,0,IF(Reeksen!AK26&gt;Reeksen!AE26,(Reeksen!B26-Reeksen!D26)*X26,0))</f>
        <v>0</v>
      </c>
      <c r="AC26" s="99">
        <f t="shared" ca="1" si="4"/>
        <v>0</v>
      </c>
      <c r="AD26" s="98">
        <f ca="1">IF('Invoer gegevens'!$C$17=E26,R26,IF(C26=0,0,AE25))</f>
        <v>0</v>
      </c>
      <c r="AE26" s="98">
        <f t="shared" ca="1" si="5"/>
        <v>0</v>
      </c>
      <c r="AF26" s="98">
        <f ca="1">IF('Invoer gegevens'!$C$17=E26,X26,IF(C26=0,0,AG25))</f>
        <v>0</v>
      </c>
      <c r="AG26" s="98">
        <f t="shared" ca="1" si="6"/>
        <v>0</v>
      </c>
      <c r="AH26" s="68"/>
      <c r="AI26" s="71">
        <f ca="1">IF(C26=1,Reeksen!AJ26*((F26-G26+F26)/2)*12+Reeksen!AK26*((L26-M26+L26)/2)*12,0)</f>
        <v>0</v>
      </c>
      <c r="AJ26" s="71">
        <f ca="1">-AI26*'Invoer gegevens'!$F$28</f>
        <v>0</v>
      </c>
      <c r="AK26" s="71">
        <f t="shared" ca="1" si="0"/>
        <v>0</v>
      </c>
      <c r="AL26" s="71">
        <f ca="1">IF(C26=1,Reeksen!AL26*((F26-G26+F26)/2)*12+Reeksen!AM26*((L26-M26+L26)/2)*12,0)</f>
        <v>0</v>
      </c>
      <c r="AM26" s="71">
        <f ca="1">-AL26*'Invoer gegevens'!$F$31</f>
        <v>0</v>
      </c>
      <c r="AN26" s="71">
        <f t="shared" ca="1" si="7"/>
        <v>0</v>
      </c>
      <c r="AO26" s="71">
        <f ca="1">IF(C26=1,(H26+J26+N26+P26)*Reeksen!AN26,0)</f>
        <v>0</v>
      </c>
      <c r="AP26" s="71">
        <f ca="1">-IF(C26=1,(H26+J26+N26+P26)*'Hulp - basis'!$G$550*Reeksen!H26,0)</f>
        <v>0</v>
      </c>
      <c r="AQ26" s="71">
        <f ca="1">-IF(C26=1,(F26+K26+L26+Q26)/2*'Invoer gegevens'!$I$33*Reeksen!J26,0)*2</f>
        <v>0</v>
      </c>
      <c r="AR26" s="71">
        <f ca="1">-IF(C26=1,(I26*'Invoer gegevens'!$I$34)*Reeksen!J26,0)</f>
        <v>0</v>
      </c>
      <c r="AS26" s="71">
        <f ca="1">-IF(C26=1,(F26+K26+L26+Q26)/2*'Invoer gegevens'!$I$35*Reeksen!L26,0)</f>
        <v>0</v>
      </c>
      <c r="AT26" s="71">
        <f ca="1">-IF(C26=1,IF(E26='Invoer gegevens'!$C$17,'Invoer gegevens'!$C$11,AD26)*Reeksen!S26*'Invoer gegevens'!$C$18*Reeksen!P26,0)</f>
        <v>0</v>
      </c>
      <c r="AU26" s="71">
        <f ca="1">-IF(C26=1,(F26+K26+L26+Q26)/2*'Invoer gegevens'!$I$36*Reeksen!H26,0)</f>
        <v>0</v>
      </c>
      <c r="AV26" s="71">
        <f>IF('Invoer gegevens'!$C$3="Basis",0,#REF!)</f>
        <v>0</v>
      </c>
      <c r="AW26" s="71">
        <f t="shared" ca="1" si="8"/>
        <v>0</v>
      </c>
      <c r="AX26" s="71">
        <f ca="1">IF(E26&lt;'Invoer gegevens'!$C$17+15,0,IF(E26&gt;'Invoer gegevens'!$C$17+215,0,AW26))</f>
        <v>0</v>
      </c>
      <c r="AY26" s="71">
        <f ca="1">AX26/(1+'Invoer gegevens'!$F$18)^($AZ26-('Invoer gegevens'!$C$17-'Invoer gegevens'!$C$16))/(1+'Invoer gegevens'!$C$39)^('Invoer gegevens'!$C$17-'Invoer gegevens'!$C$16)</f>
        <v>0</v>
      </c>
      <c r="AZ26" s="68">
        <f ca="1">IF(E26-'Invoer gegevens'!$C$17-14.5&lt;0,0,E26-'Invoer gegevens'!$C$17-14.5)</f>
        <v>6.5</v>
      </c>
    </row>
    <row r="27" spans="1:52" x14ac:dyDescent="0.25">
      <c r="A27" s="59"/>
      <c r="B27" s="70">
        <f t="shared" si="9"/>
        <v>23</v>
      </c>
      <c r="C27" s="67">
        <f ca="1">IF(E27-'Invoer gegevens'!$C$17&lt;0,0,1)</f>
        <v>1</v>
      </c>
      <c r="D27" s="68">
        <f t="shared" si="10"/>
        <v>22.5</v>
      </c>
      <c r="E27" s="108">
        <f ca="1">IF('Invoer gegevens'!$C$16="","",E26+1)</f>
        <v>2041</v>
      </c>
      <c r="F27" s="84">
        <f ca="1">IF('Invoer gegevens'!$C$17=E27,'Invoer gegevens'!$C$10,IF(C27=1,K26,0))</f>
        <v>0</v>
      </c>
      <c r="G27" s="96">
        <f ca="1">IF(C27&gt;=1,F27*VLOOKUP(E27,Reeksen!$A$5:$B$76,2),0)</f>
        <v>0</v>
      </c>
      <c r="H27" s="84">
        <f ca="1">(1-('Invoer gegevens'!$F$20/12))*F27*MIN(Reeksen!B27,Reeksen!D27)</f>
        <v>0</v>
      </c>
      <c r="I27" s="84">
        <f>IF(Reeksen!D27&lt;Reeksen!B27,(Reeksen!B27-Reeksen!D27)*F27,0)</f>
        <v>0</v>
      </c>
      <c r="J27" s="84">
        <f ca="1">('Invoer gegevens'!$F$20/12)*F26*MIN(Reeksen!B26,Reeksen!D26)</f>
        <v>0</v>
      </c>
      <c r="K27" s="97">
        <f t="shared" ca="1" si="1"/>
        <v>0</v>
      </c>
      <c r="L27" s="84">
        <f ca="1">IF('Invoer gegevens'!$C$17=E27,0,IF(C27=1,Q26,0))</f>
        <v>0</v>
      </c>
      <c r="M27" s="96">
        <f ca="1">IF(C27&gt;=1,L27*VLOOKUP(E27,Reeksen!$A$5:$B$76,2),0)</f>
        <v>0</v>
      </c>
      <c r="N27" s="84">
        <f ca="1">(1-('Invoer gegevens'!$F$20/12))*L27*MIN(Reeksen!B27,Reeksen!D27)</f>
        <v>0</v>
      </c>
      <c r="O27" s="84">
        <f>IF(Reeksen!D27&lt;Reeksen!B27,(Reeksen!B27-Reeksen!D27)*L27,0)</f>
        <v>0</v>
      </c>
      <c r="P27" s="84">
        <f ca="1">('Invoer gegevens'!$F$20/12)*L26*MIN(Reeksen!B26,Reeksen!D26)</f>
        <v>0</v>
      </c>
      <c r="Q27" s="84">
        <f t="shared" ca="1" si="2"/>
        <v>0</v>
      </c>
      <c r="R27" s="82">
        <f ca="1">IF('Invoer gegevens'!$C$17=E27,'Invoer gegevens'!$C$11,IF(C27=1,W26,0))</f>
        <v>0</v>
      </c>
      <c r="S27" s="86">
        <f ca="1">IF(C27&gt;=1,R27*VLOOKUP(E27,Reeksen!$A$5:$B$76,2),0)</f>
        <v>0</v>
      </c>
      <c r="T27" s="84">
        <f ca="1">(1-('Invoer gegevens'!$F$20/12))*R27*MIN(Reeksen!B27,Reeksen!D27)</f>
        <v>0</v>
      </c>
      <c r="U27" s="84">
        <f>IF(Reeksen!D27&gt;=Reeksen!B27,0,IF(Reeksen!AK27&lt;=Reeksen!AE27,(Reeksen!B27-Reeksen!D27)*R27,0))</f>
        <v>0</v>
      </c>
      <c r="V27" s="86">
        <f>IF(Reeksen!D27&gt;=Reeksen!B27,0,IF(Reeksen!AK27&gt;Reeksen!AE27,(Reeksen!B27-Reeksen!D27)*R27,0))</f>
        <v>0</v>
      </c>
      <c r="W27" s="97">
        <f t="shared" ca="1" si="3"/>
        <v>0</v>
      </c>
      <c r="X27" s="98">
        <f ca="1">IF('Invoer gegevens'!$C$17=E27,'Invoer gegevens'!$C$10-'Invoer gegevens'!$C$11,IF(C27=1,AC26,0))</f>
        <v>0</v>
      </c>
      <c r="Y27" s="98">
        <f ca="1">IF(C27&gt;=1,X27*VLOOKUP(E27,Reeksen!$A$5:$B$76,2),0)</f>
        <v>0</v>
      </c>
      <c r="Z27" s="98">
        <f ca="1">(1-('Invoer gegevens'!$F$20/12))*X27*MIN(Reeksen!B27,Reeksen!D27)</f>
        <v>0</v>
      </c>
      <c r="AA27" s="98">
        <f>IF(Reeksen!D27&gt;=Reeksen!B27,0,IF(Reeksen!AK27&lt;=Reeksen!AE27,(Reeksen!B27-Reeksen!D27)*X27,0))</f>
        <v>0</v>
      </c>
      <c r="AB27" s="98">
        <f>IF(Reeksen!D27&gt;=Reeksen!B27,0,IF(Reeksen!AK27&gt;Reeksen!AE27,(Reeksen!B27-Reeksen!D27)*X27,0))</f>
        <v>0</v>
      </c>
      <c r="AC27" s="99">
        <f t="shared" ca="1" si="4"/>
        <v>0</v>
      </c>
      <c r="AD27" s="98">
        <f ca="1">IF('Invoer gegevens'!$C$17=E27,R27,IF(C27=0,0,AE26))</f>
        <v>0</v>
      </c>
      <c r="AE27" s="98">
        <f t="shared" ca="1" si="5"/>
        <v>0</v>
      </c>
      <c r="AF27" s="98">
        <f ca="1">IF('Invoer gegevens'!$C$17=E27,X27,IF(C27=0,0,AG26))</f>
        <v>0</v>
      </c>
      <c r="AG27" s="98">
        <f t="shared" ca="1" si="6"/>
        <v>0</v>
      </c>
      <c r="AH27" s="68"/>
      <c r="AI27" s="71">
        <f ca="1">IF(C27=1,Reeksen!AJ27*((F27-G27+F27)/2)*12+Reeksen!AK27*((L27-M27+L27)/2)*12,0)</f>
        <v>0</v>
      </c>
      <c r="AJ27" s="71">
        <f ca="1">-AI27*'Invoer gegevens'!$F$28</f>
        <v>0</v>
      </c>
      <c r="AK27" s="71">
        <f t="shared" ca="1" si="0"/>
        <v>0</v>
      </c>
      <c r="AL27" s="71">
        <f ca="1">IF(C27=1,Reeksen!AL27*((F27-G27+F27)/2)*12+Reeksen!AM27*((L27-M27+L27)/2)*12,0)</f>
        <v>0</v>
      </c>
      <c r="AM27" s="71">
        <f ca="1">-AL27*'Invoer gegevens'!$F$31</f>
        <v>0</v>
      </c>
      <c r="AN27" s="71">
        <f t="shared" ca="1" si="7"/>
        <v>0</v>
      </c>
      <c r="AO27" s="71">
        <f ca="1">IF(C27=1,(H27+J27+N27+P27)*Reeksen!AN27,0)</f>
        <v>0</v>
      </c>
      <c r="AP27" s="71">
        <f ca="1">-IF(C27=1,(H27+J27+N27+P27)*'Hulp - basis'!$G$550*Reeksen!H27,0)</f>
        <v>0</v>
      </c>
      <c r="AQ27" s="71">
        <f ca="1">-IF(C27=1,(F27+K27+L27+Q27)/2*'Invoer gegevens'!$I$33*Reeksen!J27,0)*2</f>
        <v>0</v>
      </c>
      <c r="AR27" s="71">
        <f ca="1">-IF(C27=1,(I27*'Invoer gegevens'!$I$34)*Reeksen!J27,0)</f>
        <v>0</v>
      </c>
      <c r="AS27" s="71">
        <f ca="1">-IF(C27=1,(F27+K27+L27+Q27)/2*'Invoer gegevens'!$I$35*Reeksen!L27,0)</f>
        <v>0</v>
      </c>
      <c r="AT27" s="71">
        <f ca="1">-IF(C27=1,IF(E27='Invoer gegevens'!$C$17,'Invoer gegevens'!$C$11,AD27)*Reeksen!S27*'Invoer gegevens'!$C$18*Reeksen!P27,0)</f>
        <v>0</v>
      </c>
      <c r="AU27" s="71">
        <f ca="1">-IF(C27=1,(F27+K27+L27+Q27)/2*'Invoer gegevens'!$I$36*Reeksen!H27,0)</f>
        <v>0</v>
      </c>
      <c r="AV27" s="71">
        <f>IF('Invoer gegevens'!$C$3="Basis",0,#REF!)</f>
        <v>0</v>
      </c>
      <c r="AW27" s="71">
        <f t="shared" ca="1" si="8"/>
        <v>0</v>
      </c>
      <c r="AX27" s="71">
        <f ca="1">IF(E27&lt;'Invoer gegevens'!$C$17+15,0,IF(E27&gt;'Invoer gegevens'!$C$17+215,0,AW27))</f>
        <v>0</v>
      </c>
      <c r="AY27" s="71">
        <f ca="1">AX27/(1+'Invoer gegevens'!$F$18)^($AZ27-('Invoer gegevens'!$C$17-'Invoer gegevens'!$C$16))/(1+'Invoer gegevens'!$C$39)^('Invoer gegevens'!$C$17-'Invoer gegevens'!$C$16)</f>
        <v>0</v>
      </c>
      <c r="AZ27" s="68">
        <f ca="1">IF(E27-'Invoer gegevens'!$C$17-14.5&lt;0,0,E27-'Invoer gegevens'!$C$17-14.5)</f>
        <v>7.5</v>
      </c>
    </row>
    <row r="28" spans="1:52" x14ac:dyDescent="0.25">
      <c r="A28" s="59"/>
      <c r="B28" s="70">
        <f t="shared" si="9"/>
        <v>24</v>
      </c>
      <c r="C28" s="67">
        <f ca="1">IF(E28-'Invoer gegevens'!$C$17&lt;0,0,1)</f>
        <v>1</v>
      </c>
      <c r="D28" s="68">
        <f t="shared" si="10"/>
        <v>23.5</v>
      </c>
      <c r="E28" s="108">
        <f ca="1">IF('Invoer gegevens'!$C$16="","",E27+1)</f>
        <v>2042</v>
      </c>
      <c r="F28" s="84">
        <f ca="1">IF('Invoer gegevens'!$C$17=E28,'Invoer gegevens'!$C$10,IF(C28=1,K27,0))</f>
        <v>0</v>
      </c>
      <c r="G28" s="96">
        <f ca="1">IF(C28&gt;=1,F28*VLOOKUP(E28,Reeksen!$A$5:$B$76,2),0)</f>
        <v>0</v>
      </c>
      <c r="H28" s="84">
        <f ca="1">(1-('Invoer gegevens'!$F$20/12))*F28*MIN(Reeksen!B28,Reeksen!D28)</f>
        <v>0</v>
      </c>
      <c r="I28" s="84">
        <f>IF(Reeksen!D28&lt;Reeksen!B28,(Reeksen!B28-Reeksen!D28)*F28,0)</f>
        <v>0</v>
      </c>
      <c r="J28" s="84">
        <f ca="1">('Invoer gegevens'!$F$20/12)*F27*MIN(Reeksen!B27,Reeksen!D27)</f>
        <v>0</v>
      </c>
      <c r="K28" s="97">
        <f t="shared" ca="1" si="1"/>
        <v>0</v>
      </c>
      <c r="L28" s="84">
        <f ca="1">IF('Invoer gegevens'!$C$17=E28,0,IF(C28=1,Q27,0))</f>
        <v>0</v>
      </c>
      <c r="M28" s="96">
        <f ca="1">IF(C28&gt;=1,L28*VLOOKUP(E28,Reeksen!$A$5:$B$76,2),0)</f>
        <v>0</v>
      </c>
      <c r="N28" s="84">
        <f ca="1">(1-('Invoer gegevens'!$F$20/12))*L28*MIN(Reeksen!B28,Reeksen!D28)</f>
        <v>0</v>
      </c>
      <c r="O28" s="84">
        <f>IF(Reeksen!D28&lt;Reeksen!B28,(Reeksen!B28-Reeksen!D28)*L28,0)</f>
        <v>0</v>
      </c>
      <c r="P28" s="84">
        <f ca="1">('Invoer gegevens'!$F$20/12)*L27*MIN(Reeksen!B27,Reeksen!D27)</f>
        <v>0</v>
      </c>
      <c r="Q28" s="84">
        <f t="shared" ca="1" si="2"/>
        <v>0</v>
      </c>
      <c r="R28" s="82">
        <f ca="1">IF('Invoer gegevens'!$C$17=E28,'Invoer gegevens'!$C$11,IF(C28=1,W27,0))</f>
        <v>0</v>
      </c>
      <c r="S28" s="86">
        <f ca="1">IF(C28&gt;=1,R28*VLOOKUP(E28,Reeksen!$A$5:$B$76,2),0)</f>
        <v>0</v>
      </c>
      <c r="T28" s="84">
        <f ca="1">(1-('Invoer gegevens'!$F$20/12))*R28*MIN(Reeksen!B28,Reeksen!D28)</f>
        <v>0</v>
      </c>
      <c r="U28" s="84">
        <f>IF(Reeksen!D28&gt;=Reeksen!B28,0,IF(Reeksen!AK28&lt;=Reeksen!AE28,(Reeksen!B28-Reeksen!D28)*R28,0))</f>
        <v>0</v>
      </c>
      <c r="V28" s="86">
        <f>IF(Reeksen!D28&gt;=Reeksen!B28,0,IF(Reeksen!AK28&gt;Reeksen!AE28,(Reeksen!B28-Reeksen!D28)*R28,0))</f>
        <v>0</v>
      </c>
      <c r="W28" s="97">
        <f t="shared" ca="1" si="3"/>
        <v>0</v>
      </c>
      <c r="X28" s="98">
        <f ca="1">IF('Invoer gegevens'!$C$17=E28,'Invoer gegevens'!$C$10-'Invoer gegevens'!$C$11,IF(C28=1,AC27,0))</f>
        <v>0</v>
      </c>
      <c r="Y28" s="98">
        <f ca="1">IF(C28&gt;=1,X28*VLOOKUP(E28,Reeksen!$A$5:$B$76,2),0)</f>
        <v>0</v>
      </c>
      <c r="Z28" s="98">
        <f ca="1">(1-('Invoer gegevens'!$F$20/12))*X28*MIN(Reeksen!B28,Reeksen!D28)</f>
        <v>0</v>
      </c>
      <c r="AA28" s="98">
        <f>IF(Reeksen!D28&gt;=Reeksen!B28,0,IF(Reeksen!AK28&lt;=Reeksen!AE28,(Reeksen!B28-Reeksen!D28)*X28,0))</f>
        <v>0</v>
      </c>
      <c r="AB28" s="98">
        <f>IF(Reeksen!D28&gt;=Reeksen!B28,0,IF(Reeksen!AK28&gt;Reeksen!AE28,(Reeksen!B28-Reeksen!D28)*X28,0))</f>
        <v>0</v>
      </c>
      <c r="AC28" s="99">
        <f t="shared" ca="1" si="4"/>
        <v>0</v>
      </c>
      <c r="AD28" s="98">
        <f ca="1">IF('Invoer gegevens'!$C$17=E28,R28,IF(C28=0,0,AE27))</f>
        <v>0</v>
      </c>
      <c r="AE28" s="98">
        <f t="shared" ca="1" si="5"/>
        <v>0</v>
      </c>
      <c r="AF28" s="98">
        <f ca="1">IF('Invoer gegevens'!$C$17=E28,X28,IF(C28=0,0,AG27))</f>
        <v>0</v>
      </c>
      <c r="AG28" s="98">
        <f t="shared" ca="1" si="6"/>
        <v>0</v>
      </c>
      <c r="AH28" s="68"/>
      <c r="AI28" s="71">
        <f ca="1">IF(C28=1,Reeksen!AJ28*((F28-G28+F28)/2)*12+Reeksen!AK28*((L28-M28+L28)/2)*12,0)</f>
        <v>0</v>
      </c>
      <c r="AJ28" s="71">
        <f ca="1">-AI28*'Invoer gegevens'!$F$28</f>
        <v>0</v>
      </c>
      <c r="AK28" s="71">
        <f t="shared" ca="1" si="0"/>
        <v>0</v>
      </c>
      <c r="AL28" s="71">
        <f ca="1">IF(C28=1,Reeksen!AL28*((F28-G28+F28)/2)*12+Reeksen!AM28*((L28-M28+L28)/2)*12,0)</f>
        <v>0</v>
      </c>
      <c r="AM28" s="71">
        <f ca="1">-AL28*'Invoer gegevens'!$F$31</f>
        <v>0</v>
      </c>
      <c r="AN28" s="71">
        <f t="shared" ca="1" si="7"/>
        <v>0</v>
      </c>
      <c r="AO28" s="71">
        <f ca="1">IF(C28=1,(H28+J28+N28+P28)*Reeksen!AN28,0)</f>
        <v>0</v>
      </c>
      <c r="AP28" s="71">
        <f ca="1">-IF(C28=1,(H28+J28+N28+P28)*'Hulp - basis'!$G$550*Reeksen!H28,0)</f>
        <v>0</v>
      </c>
      <c r="AQ28" s="71">
        <f ca="1">-IF(C28=1,(F28+K28+L28+Q28)/2*'Invoer gegevens'!$I$33*Reeksen!J28,0)*2</f>
        <v>0</v>
      </c>
      <c r="AR28" s="71">
        <f ca="1">-IF(C28=1,(I28*'Invoer gegevens'!$I$34)*Reeksen!J28,0)</f>
        <v>0</v>
      </c>
      <c r="AS28" s="71">
        <f ca="1">-IF(C28=1,(F28+K28+L28+Q28)/2*'Invoer gegevens'!$I$35*Reeksen!L28,0)</f>
        <v>0</v>
      </c>
      <c r="AT28" s="71">
        <f ca="1">-IF(C28=1,IF(E28='Invoer gegevens'!$C$17,'Invoer gegevens'!$C$11,AD28)*Reeksen!S28*'Invoer gegevens'!$C$18*Reeksen!P28,0)</f>
        <v>0</v>
      </c>
      <c r="AU28" s="71">
        <f ca="1">-IF(C28=1,(F28+K28+L28+Q28)/2*'Invoer gegevens'!$I$36*Reeksen!H28,0)</f>
        <v>0</v>
      </c>
      <c r="AV28" s="71">
        <f>IF('Invoer gegevens'!$C$3="Basis",0,#REF!)</f>
        <v>0</v>
      </c>
      <c r="AW28" s="71">
        <f t="shared" ca="1" si="8"/>
        <v>0</v>
      </c>
      <c r="AX28" s="71">
        <f ca="1">IF(E28&lt;'Invoer gegevens'!$C$17+15,0,IF(E28&gt;'Invoer gegevens'!$C$17+215,0,AW28))</f>
        <v>0</v>
      </c>
      <c r="AY28" s="71">
        <f ca="1">AX28/(1+'Invoer gegevens'!$F$18)^($AZ28-('Invoer gegevens'!$C$17-'Invoer gegevens'!$C$16))/(1+'Invoer gegevens'!$C$39)^('Invoer gegevens'!$C$17-'Invoer gegevens'!$C$16)</f>
        <v>0</v>
      </c>
      <c r="AZ28" s="68">
        <f ca="1">IF(E28-'Invoer gegevens'!$C$17-14.5&lt;0,0,E28-'Invoer gegevens'!$C$17-14.5)</f>
        <v>8.5</v>
      </c>
    </row>
    <row r="29" spans="1:52" x14ac:dyDescent="0.25">
      <c r="A29" s="59"/>
      <c r="B29" s="70">
        <f t="shared" si="9"/>
        <v>25</v>
      </c>
      <c r="C29" s="67">
        <f ca="1">IF(E29-'Invoer gegevens'!$C$17&lt;0,0,1)</f>
        <v>1</v>
      </c>
      <c r="D29" s="68">
        <f t="shared" si="10"/>
        <v>24.5</v>
      </c>
      <c r="E29" s="108">
        <f ca="1">IF('Invoer gegevens'!$C$16="","",E28+1)</f>
        <v>2043</v>
      </c>
      <c r="F29" s="84">
        <f ca="1">IF('Invoer gegevens'!$C$17=E29,'Invoer gegevens'!$C$10,IF(C29=1,K28,0))</f>
        <v>0</v>
      </c>
      <c r="G29" s="96">
        <f ca="1">IF(C29&gt;=1,F29*VLOOKUP(E29,Reeksen!$A$5:$B$76,2),0)</f>
        <v>0</v>
      </c>
      <c r="H29" s="84">
        <f ca="1">(1-('Invoer gegevens'!$F$20/12))*F29*MIN(Reeksen!B29,Reeksen!D29)</f>
        <v>0</v>
      </c>
      <c r="I29" s="84">
        <f>IF(Reeksen!D29&lt;Reeksen!B29,(Reeksen!B29-Reeksen!D29)*F29,0)</f>
        <v>0</v>
      </c>
      <c r="J29" s="84">
        <f ca="1">('Invoer gegevens'!$F$20/12)*F28*MIN(Reeksen!B28,Reeksen!D28)</f>
        <v>0</v>
      </c>
      <c r="K29" s="97">
        <f t="shared" ca="1" si="1"/>
        <v>0</v>
      </c>
      <c r="L29" s="84">
        <f ca="1">IF('Invoer gegevens'!$C$17=E29,0,IF(C29=1,Q28,0))</f>
        <v>0</v>
      </c>
      <c r="M29" s="96">
        <f ca="1">IF(C29&gt;=1,L29*VLOOKUP(E29,Reeksen!$A$5:$B$76,2),0)</f>
        <v>0</v>
      </c>
      <c r="N29" s="84">
        <f ca="1">(1-('Invoer gegevens'!$F$20/12))*L29*MIN(Reeksen!B29,Reeksen!D29)</f>
        <v>0</v>
      </c>
      <c r="O29" s="84">
        <f>IF(Reeksen!D29&lt;Reeksen!B29,(Reeksen!B29-Reeksen!D29)*L29,0)</f>
        <v>0</v>
      </c>
      <c r="P29" s="84">
        <f ca="1">('Invoer gegevens'!$F$20/12)*L28*MIN(Reeksen!B28,Reeksen!D28)</f>
        <v>0</v>
      </c>
      <c r="Q29" s="84">
        <f t="shared" ca="1" si="2"/>
        <v>0</v>
      </c>
      <c r="R29" s="82">
        <f ca="1">IF('Invoer gegevens'!$C$17=E29,'Invoer gegevens'!$C$11,IF(C29=1,W28,0))</f>
        <v>0</v>
      </c>
      <c r="S29" s="86">
        <f ca="1">IF(C29&gt;=1,R29*VLOOKUP(E29,Reeksen!$A$5:$B$76,2),0)</f>
        <v>0</v>
      </c>
      <c r="T29" s="84">
        <f ca="1">(1-('Invoer gegevens'!$F$20/12))*R29*MIN(Reeksen!B29,Reeksen!D29)</f>
        <v>0</v>
      </c>
      <c r="U29" s="84">
        <f>IF(Reeksen!D29&gt;=Reeksen!B29,0,IF(Reeksen!AK29&lt;=Reeksen!AE29,(Reeksen!B29-Reeksen!D29)*R29,0))</f>
        <v>0</v>
      </c>
      <c r="V29" s="86">
        <f>IF(Reeksen!D29&gt;=Reeksen!B29,0,IF(Reeksen!AK29&gt;Reeksen!AE29,(Reeksen!B29-Reeksen!D29)*R29,0))</f>
        <v>0</v>
      </c>
      <c r="W29" s="97">
        <f t="shared" ca="1" si="3"/>
        <v>0</v>
      </c>
      <c r="X29" s="98">
        <f ca="1">IF('Invoer gegevens'!$C$17=E29,'Invoer gegevens'!$C$10-'Invoer gegevens'!$C$11,IF(C29=1,AC28,0))</f>
        <v>0</v>
      </c>
      <c r="Y29" s="98">
        <f ca="1">IF(C29&gt;=1,X29*VLOOKUP(E29,Reeksen!$A$5:$B$76,2),0)</f>
        <v>0</v>
      </c>
      <c r="Z29" s="98">
        <f ca="1">(1-('Invoer gegevens'!$F$20/12))*X29*MIN(Reeksen!B29,Reeksen!D29)</f>
        <v>0</v>
      </c>
      <c r="AA29" s="98">
        <f>IF(Reeksen!D29&gt;=Reeksen!B29,0,IF(Reeksen!AK29&lt;=Reeksen!AE29,(Reeksen!B29-Reeksen!D29)*X29,0))</f>
        <v>0</v>
      </c>
      <c r="AB29" s="98">
        <f>IF(Reeksen!D29&gt;=Reeksen!B29,0,IF(Reeksen!AK29&gt;Reeksen!AE29,(Reeksen!B29-Reeksen!D29)*X29,0))</f>
        <v>0</v>
      </c>
      <c r="AC29" s="99">
        <f t="shared" ca="1" si="4"/>
        <v>0</v>
      </c>
      <c r="AD29" s="98">
        <f ca="1">IF('Invoer gegevens'!$C$17=E29,R29,IF(C29=0,0,AE28))</f>
        <v>0</v>
      </c>
      <c r="AE29" s="98">
        <f t="shared" ca="1" si="5"/>
        <v>0</v>
      </c>
      <c r="AF29" s="98">
        <f ca="1">IF('Invoer gegevens'!$C$17=E29,X29,IF(C29=0,0,AG28))</f>
        <v>0</v>
      </c>
      <c r="AG29" s="98">
        <f t="shared" ca="1" si="6"/>
        <v>0</v>
      </c>
      <c r="AH29" s="68"/>
      <c r="AI29" s="71">
        <f ca="1">IF(C29=1,Reeksen!AJ29*((F29-G29+F29)/2)*12+Reeksen!AK29*((L29-M29+L29)/2)*12,0)</f>
        <v>0</v>
      </c>
      <c r="AJ29" s="71">
        <f ca="1">-AI29*'Invoer gegevens'!$F$28</f>
        <v>0</v>
      </c>
      <c r="AK29" s="71">
        <f t="shared" ca="1" si="0"/>
        <v>0</v>
      </c>
      <c r="AL29" s="71">
        <f ca="1">IF(C29=1,Reeksen!AL29*((F29-G29+F29)/2)*12+Reeksen!AM29*((L29-M29+L29)/2)*12,0)</f>
        <v>0</v>
      </c>
      <c r="AM29" s="71">
        <f ca="1">-AL29*'Invoer gegevens'!$F$31</f>
        <v>0</v>
      </c>
      <c r="AN29" s="71">
        <f t="shared" ca="1" si="7"/>
        <v>0</v>
      </c>
      <c r="AO29" s="71">
        <f ca="1">IF(C29=1,(H29+J29+N29+P29)*Reeksen!AN29,0)</f>
        <v>0</v>
      </c>
      <c r="AP29" s="71">
        <f ca="1">-IF(C29=1,(H29+J29+N29+P29)*'Hulp - basis'!$G$550*Reeksen!H29,0)</f>
        <v>0</v>
      </c>
      <c r="AQ29" s="71">
        <f ca="1">-IF(C29=1,(F29+K29+L29+Q29)/2*'Invoer gegevens'!$I$33*Reeksen!J29,0)*2</f>
        <v>0</v>
      </c>
      <c r="AR29" s="71">
        <f ca="1">-IF(C29=1,(I29*'Invoer gegevens'!$I$34)*Reeksen!J29,0)</f>
        <v>0</v>
      </c>
      <c r="AS29" s="71">
        <f ca="1">-IF(C29=1,(F29+K29+L29+Q29)/2*'Invoer gegevens'!$I$35*Reeksen!L29,0)</f>
        <v>0</v>
      </c>
      <c r="AT29" s="71">
        <f ca="1">-IF(C29=1,IF(E29='Invoer gegevens'!$C$17,'Invoer gegevens'!$C$11,AD29)*Reeksen!S29*'Invoer gegevens'!$C$18*Reeksen!P29,0)</f>
        <v>0</v>
      </c>
      <c r="AU29" s="71">
        <f ca="1">-IF(C29=1,(F29+K29+L29+Q29)/2*'Invoer gegevens'!$I$36*Reeksen!H29,0)</f>
        <v>0</v>
      </c>
      <c r="AV29" s="71">
        <f>IF('Invoer gegevens'!$C$3="Basis",0,#REF!)</f>
        <v>0</v>
      </c>
      <c r="AW29" s="71">
        <f t="shared" ca="1" si="8"/>
        <v>0</v>
      </c>
      <c r="AX29" s="71">
        <f ca="1">IF(E29&lt;'Invoer gegevens'!$C$17+15,0,IF(E29&gt;'Invoer gegevens'!$C$17+215,0,AW29))</f>
        <v>0</v>
      </c>
      <c r="AY29" s="71">
        <f ca="1">AX29/(1+'Invoer gegevens'!$F$18)^($AZ29-('Invoer gegevens'!$C$17-'Invoer gegevens'!$C$16))/(1+'Invoer gegevens'!$C$39)^('Invoer gegevens'!$C$17-'Invoer gegevens'!$C$16)</f>
        <v>0</v>
      </c>
      <c r="AZ29" s="68">
        <f ca="1">IF(E29-'Invoer gegevens'!$C$17-14.5&lt;0,0,E29-'Invoer gegevens'!$C$17-14.5)</f>
        <v>9.5</v>
      </c>
    </row>
    <row r="30" spans="1:52" x14ac:dyDescent="0.25">
      <c r="A30" s="59"/>
      <c r="B30" s="70">
        <f t="shared" si="9"/>
        <v>26</v>
      </c>
      <c r="C30" s="67">
        <f ca="1">IF(E30-'Invoer gegevens'!$C$17&lt;0,0,1)</f>
        <v>1</v>
      </c>
      <c r="D30" s="68">
        <f t="shared" si="10"/>
        <v>25.5</v>
      </c>
      <c r="E30" s="108">
        <f ca="1">IF('Invoer gegevens'!$C$16="","",E29+1)</f>
        <v>2044</v>
      </c>
      <c r="F30" s="84">
        <f ca="1">IF('Invoer gegevens'!$C$17=E30,'Invoer gegevens'!$C$10,IF(C30=1,K29,0))</f>
        <v>0</v>
      </c>
      <c r="G30" s="96">
        <f ca="1">IF(C30&gt;=1,F30*VLOOKUP(E30,Reeksen!$A$5:$B$76,2),0)</f>
        <v>0</v>
      </c>
      <c r="H30" s="84">
        <f ca="1">(1-('Invoer gegevens'!$F$20/12))*F30*MIN(Reeksen!B30,Reeksen!D30)</f>
        <v>0</v>
      </c>
      <c r="I30" s="84">
        <f>IF(Reeksen!D30&lt;Reeksen!B30,(Reeksen!B30-Reeksen!D30)*F30,0)</f>
        <v>0</v>
      </c>
      <c r="J30" s="84">
        <f ca="1">('Invoer gegevens'!$F$20/12)*F29*MIN(Reeksen!B29,Reeksen!D29)</f>
        <v>0</v>
      </c>
      <c r="K30" s="97">
        <f t="shared" ca="1" si="1"/>
        <v>0</v>
      </c>
      <c r="L30" s="84">
        <f ca="1">IF('Invoer gegevens'!$C$17=E30,0,IF(C30=1,Q29,0))</f>
        <v>0</v>
      </c>
      <c r="M30" s="96">
        <f ca="1">IF(C30&gt;=1,L30*VLOOKUP(E30,Reeksen!$A$5:$B$76,2),0)</f>
        <v>0</v>
      </c>
      <c r="N30" s="84">
        <f ca="1">(1-('Invoer gegevens'!$F$20/12))*L30*MIN(Reeksen!B30,Reeksen!D30)</f>
        <v>0</v>
      </c>
      <c r="O30" s="84">
        <f>IF(Reeksen!D30&lt;Reeksen!B30,(Reeksen!B30-Reeksen!D30)*L30,0)</f>
        <v>0</v>
      </c>
      <c r="P30" s="84">
        <f ca="1">('Invoer gegevens'!$F$20/12)*L29*MIN(Reeksen!B29,Reeksen!D29)</f>
        <v>0</v>
      </c>
      <c r="Q30" s="84">
        <f t="shared" ca="1" si="2"/>
        <v>0</v>
      </c>
      <c r="R30" s="82">
        <f ca="1">IF('Invoer gegevens'!$C$17=E30,'Invoer gegevens'!$C$11,IF(C30=1,W29,0))</f>
        <v>0</v>
      </c>
      <c r="S30" s="86">
        <f ca="1">IF(C30&gt;=1,R30*VLOOKUP(E30,Reeksen!$A$5:$B$76,2),0)</f>
        <v>0</v>
      </c>
      <c r="T30" s="84">
        <f ca="1">(1-('Invoer gegevens'!$F$20/12))*R30*MIN(Reeksen!B30,Reeksen!D30)</f>
        <v>0</v>
      </c>
      <c r="U30" s="84">
        <f>IF(Reeksen!D30&gt;=Reeksen!B30,0,IF(Reeksen!AK30&lt;=Reeksen!AE30,(Reeksen!B30-Reeksen!D30)*R30,0))</f>
        <v>0</v>
      </c>
      <c r="V30" s="86">
        <f>IF(Reeksen!D30&gt;=Reeksen!B30,0,IF(Reeksen!AK30&gt;Reeksen!AE30,(Reeksen!B30-Reeksen!D30)*R30,0))</f>
        <v>0</v>
      </c>
      <c r="W30" s="97">
        <f t="shared" ca="1" si="3"/>
        <v>0</v>
      </c>
      <c r="X30" s="98">
        <f ca="1">IF('Invoer gegevens'!$C$17=E30,'Invoer gegevens'!$C$10-'Invoer gegevens'!$C$11,IF(C30=1,AC29,0))</f>
        <v>0</v>
      </c>
      <c r="Y30" s="98">
        <f ca="1">IF(C30&gt;=1,X30*VLOOKUP(E30,Reeksen!$A$5:$B$76,2),0)</f>
        <v>0</v>
      </c>
      <c r="Z30" s="98">
        <f ca="1">(1-('Invoer gegevens'!$F$20/12))*X30*MIN(Reeksen!B30,Reeksen!D30)</f>
        <v>0</v>
      </c>
      <c r="AA30" s="98">
        <f>IF(Reeksen!D30&gt;=Reeksen!B30,0,IF(Reeksen!AK30&lt;=Reeksen!AE30,(Reeksen!B30-Reeksen!D30)*X30,0))</f>
        <v>0</v>
      </c>
      <c r="AB30" s="98">
        <f>IF(Reeksen!D30&gt;=Reeksen!B30,0,IF(Reeksen!AK30&gt;Reeksen!AE30,(Reeksen!B30-Reeksen!D30)*X30,0))</f>
        <v>0</v>
      </c>
      <c r="AC30" s="99">
        <f t="shared" ca="1" si="4"/>
        <v>0</v>
      </c>
      <c r="AD30" s="98">
        <f ca="1">IF('Invoer gegevens'!$C$17=E30,R30,IF(C30=0,0,AE29))</f>
        <v>0</v>
      </c>
      <c r="AE30" s="98">
        <f t="shared" ca="1" si="5"/>
        <v>0</v>
      </c>
      <c r="AF30" s="98">
        <f ca="1">IF('Invoer gegevens'!$C$17=E30,X30,IF(C30=0,0,AG29))</f>
        <v>0</v>
      </c>
      <c r="AG30" s="98">
        <f t="shared" ca="1" si="6"/>
        <v>0</v>
      </c>
      <c r="AH30" s="68"/>
      <c r="AI30" s="71">
        <f ca="1">IF(C30=1,Reeksen!AJ30*((F30-G30+F30)/2)*12+Reeksen!AK30*((L30-M30+L30)/2)*12,0)</f>
        <v>0</v>
      </c>
      <c r="AJ30" s="71">
        <f ca="1">-AI30*'Invoer gegevens'!$F$28</f>
        <v>0</v>
      </c>
      <c r="AK30" s="71">
        <f t="shared" ca="1" si="0"/>
        <v>0</v>
      </c>
      <c r="AL30" s="71">
        <f ca="1">IF(C30=1,Reeksen!AL30*((F30-G30+F30)/2)*12+Reeksen!AM30*((L30-M30+L30)/2)*12,0)</f>
        <v>0</v>
      </c>
      <c r="AM30" s="71">
        <f ca="1">-AL30*'Invoer gegevens'!$F$31</f>
        <v>0</v>
      </c>
      <c r="AN30" s="71">
        <f t="shared" ca="1" si="7"/>
        <v>0</v>
      </c>
      <c r="AO30" s="71">
        <f ca="1">IF(C30=1,(H30+J30+N30+P30)*Reeksen!AN30,0)</f>
        <v>0</v>
      </c>
      <c r="AP30" s="71">
        <f ca="1">-IF(C30=1,(H30+J30+N30+P30)*'Hulp - basis'!$G$550*Reeksen!H30,0)</f>
        <v>0</v>
      </c>
      <c r="AQ30" s="71">
        <f ca="1">-IF(C30=1,(F30+K30+L30+Q30)/2*'Invoer gegevens'!$I$33*Reeksen!J30,0)*2</f>
        <v>0</v>
      </c>
      <c r="AR30" s="71">
        <f ca="1">-IF(C30=1,(I30*'Invoer gegevens'!$I$34)*Reeksen!J30,0)</f>
        <v>0</v>
      </c>
      <c r="AS30" s="71">
        <f ca="1">-IF(C30=1,(F30+K30+L30+Q30)/2*'Invoer gegevens'!$I$35*Reeksen!L30,0)</f>
        <v>0</v>
      </c>
      <c r="AT30" s="71">
        <f ca="1">-IF(C30=1,IF(E30='Invoer gegevens'!$C$17,'Invoer gegevens'!$C$11,AD30)*Reeksen!S30*'Invoer gegevens'!$C$18*Reeksen!P30,0)</f>
        <v>0</v>
      </c>
      <c r="AU30" s="71">
        <f ca="1">-IF(C30=1,(F30+K30+L30+Q30)/2*'Invoer gegevens'!$I$36*Reeksen!H30,0)</f>
        <v>0</v>
      </c>
      <c r="AV30" s="71">
        <f>IF('Invoer gegevens'!$C$3="Basis",0,#REF!)</f>
        <v>0</v>
      </c>
      <c r="AW30" s="71">
        <f t="shared" ca="1" si="8"/>
        <v>0</v>
      </c>
      <c r="AX30" s="71">
        <f ca="1">IF(E30&lt;'Invoer gegevens'!$C$17+15,0,IF(E30&gt;'Invoer gegevens'!$C$17+215,0,AW30))</f>
        <v>0</v>
      </c>
      <c r="AY30" s="71">
        <f ca="1">AX30/(1+'Invoer gegevens'!$F$18)^($AZ30-('Invoer gegevens'!$C$17-'Invoer gegevens'!$C$16))/(1+'Invoer gegevens'!$C$39)^('Invoer gegevens'!$C$17-'Invoer gegevens'!$C$16)</f>
        <v>0</v>
      </c>
      <c r="AZ30" s="68">
        <f ca="1">IF(E30-'Invoer gegevens'!$C$17-14.5&lt;0,0,E30-'Invoer gegevens'!$C$17-14.5)</f>
        <v>10.5</v>
      </c>
    </row>
    <row r="31" spans="1:52" x14ac:dyDescent="0.25">
      <c r="A31" s="59"/>
      <c r="B31" s="70">
        <f t="shared" si="9"/>
        <v>27</v>
      </c>
      <c r="C31" s="67">
        <f ca="1">IF(E31-'Invoer gegevens'!$C$17&lt;0,0,1)</f>
        <v>1</v>
      </c>
      <c r="D31" s="68">
        <f t="shared" si="10"/>
        <v>26.5</v>
      </c>
      <c r="E31" s="108">
        <f ca="1">IF('Invoer gegevens'!$C$16="","",E30+1)</f>
        <v>2045</v>
      </c>
      <c r="F31" s="84">
        <f ca="1">IF('Invoer gegevens'!$C$17=E31,'Invoer gegevens'!$C$10,IF(C31=1,K30,0))</f>
        <v>0</v>
      </c>
      <c r="G31" s="96">
        <f ca="1">IF(C31&gt;=1,F31*VLOOKUP(E31,Reeksen!$A$5:$B$76,2),0)</f>
        <v>0</v>
      </c>
      <c r="H31" s="84">
        <f ca="1">(1-('Invoer gegevens'!$F$20/12))*F31*MIN(Reeksen!B31,Reeksen!D31)</f>
        <v>0</v>
      </c>
      <c r="I31" s="84">
        <f>IF(Reeksen!D31&lt;Reeksen!B31,(Reeksen!B31-Reeksen!D31)*F31,0)</f>
        <v>0</v>
      </c>
      <c r="J31" s="84">
        <f ca="1">('Invoer gegevens'!$F$20/12)*F30*MIN(Reeksen!B30,Reeksen!D30)</f>
        <v>0</v>
      </c>
      <c r="K31" s="97">
        <f t="shared" ca="1" si="1"/>
        <v>0</v>
      </c>
      <c r="L31" s="84">
        <f ca="1">IF('Invoer gegevens'!$C$17=E31,0,IF(C31=1,Q30,0))</f>
        <v>0</v>
      </c>
      <c r="M31" s="96">
        <f ca="1">IF(C31&gt;=1,L31*VLOOKUP(E31,Reeksen!$A$5:$B$76,2),0)</f>
        <v>0</v>
      </c>
      <c r="N31" s="84">
        <f ca="1">(1-('Invoer gegevens'!$F$20/12))*L31*MIN(Reeksen!B31,Reeksen!D31)</f>
        <v>0</v>
      </c>
      <c r="O31" s="84">
        <f>IF(Reeksen!D31&lt;Reeksen!B31,(Reeksen!B31-Reeksen!D31)*L31,0)</f>
        <v>0</v>
      </c>
      <c r="P31" s="84">
        <f ca="1">('Invoer gegevens'!$F$20/12)*L30*MIN(Reeksen!B30,Reeksen!D30)</f>
        <v>0</v>
      </c>
      <c r="Q31" s="84">
        <f t="shared" ca="1" si="2"/>
        <v>0</v>
      </c>
      <c r="R31" s="82">
        <f ca="1">IF('Invoer gegevens'!$C$17=E31,'Invoer gegevens'!$C$11,IF(C31=1,W30,0))</f>
        <v>0</v>
      </c>
      <c r="S31" s="86">
        <f ca="1">IF(C31&gt;=1,R31*VLOOKUP(E31,Reeksen!$A$5:$B$76,2),0)</f>
        <v>0</v>
      </c>
      <c r="T31" s="84">
        <f ca="1">(1-('Invoer gegevens'!$F$20/12))*R31*MIN(Reeksen!B31,Reeksen!D31)</f>
        <v>0</v>
      </c>
      <c r="U31" s="84">
        <f>IF(Reeksen!D31&gt;=Reeksen!B31,0,IF(Reeksen!AK31&lt;=Reeksen!AE31,(Reeksen!B31-Reeksen!D31)*R31,0))</f>
        <v>0</v>
      </c>
      <c r="V31" s="86">
        <f>IF(Reeksen!D31&gt;=Reeksen!B31,0,IF(Reeksen!AK31&gt;Reeksen!AE31,(Reeksen!B31-Reeksen!D31)*R31,0))</f>
        <v>0</v>
      </c>
      <c r="W31" s="97">
        <f t="shared" ca="1" si="3"/>
        <v>0</v>
      </c>
      <c r="X31" s="98">
        <f ca="1">IF('Invoer gegevens'!$C$17=E31,'Invoer gegevens'!$C$10-'Invoer gegevens'!$C$11,IF(C31=1,AC30,0))</f>
        <v>0</v>
      </c>
      <c r="Y31" s="98">
        <f ca="1">IF(C31&gt;=1,X31*VLOOKUP(E31,Reeksen!$A$5:$B$76,2),0)</f>
        <v>0</v>
      </c>
      <c r="Z31" s="98">
        <f ca="1">(1-('Invoer gegevens'!$F$20/12))*X31*MIN(Reeksen!B31,Reeksen!D31)</f>
        <v>0</v>
      </c>
      <c r="AA31" s="98">
        <f>IF(Reeksen!D31&gt;=Reeksen!B31,0,IF(Reeksen!AK31&lt;=Reeksen!AE31,(Reeksen!B31-Reeksen!D31)*X31,0))</f>
        <v>0</v>
      </c>
      <c r="AB31" s="98">
        <f>IF(Reeksen!D31&gt;=Reeksen!B31,0,IF(Reeksen!AK31&gt;Reeksen!AE31,(Reeksen!B31-Reeksen!D31)*X31,0))</f>
        <v>0</v>
      </c>
      <c r="AC31" s="99">
        <f t="shared" ca="1" si="4"/>
        <v>0</v>
      </c>
      <c r="AD31" s="98">
        <f ca="1">IF('Invoer gegevens'!$C$17=E31,R31,IF(C31=0,0,AE30))</f>
        <v>0</v>
      </c>
      <c r="AE31" s="98">
        <f t="shared" ca="1" si="5"/>
        <v>0</v>
      </c>
      <c r="AF31" s="98">
        <f ca="1">IF('Invoer gegevens'!$C$17=E31,X31,IF(C31=0,0,AG30))</f>
        <v>0</v>
      </c>
      <c r="AG31" s="98">
        <f t="shared" ca="1" si="6"/>
        <v>0</v>
      </c>
      <c r="AH31" s="68"/>
      <c r="AI31" s="71">
        <f ca="1">IF(C31=1,Reeksen!AJ31*((F31-G31+F31)/2)*12+Reeksen!AK31*((L31-M31+L31)/2)*12,0)</f>
        <v>0</v>
      </c>
      <c r="AJ31" s="71">
        <f ca="1">-AI31*'Invoer gegevens'!$F$28</f>
        <v>0</v>
      </c>
      <c r="AK31" s="71">
        <f t="shared" ca="1" si="0"/>
        <v>0</v>
      </c>
      <c r="AL31" s="71">
        <f ca="1">IF(C31=1,Reeksen!AL31*((F31-G31+F31)/2)*12+Reeksen!AM31*((L31-M31+L31)/2)*12,0)</f>
        <v>0</v>
      </c>
      <c r="AM31" s="71">
        <f ca="1">-AL31*'Invoer gegevens'!$F$31</f>
        <v>0</v>
      </c>
      <c r="AN31" s="71">
        <f t="shared" ca="1" si="7"/>
        <v>0</v>
      </c>
      <c r="AO31" s="71">
        <f ca="1">IF(C31=1,(H31+J31+N31+P31)*Reeksen!AN31,0)</f>
        <v>0</v>
      </c>
      <c r="AP31" s="71">
        <f ca="1">-IF(C31=1,(H31+J31+N31+P31)*'Hulp - basis'!$G$550*Reeksen!H31,0)</f>
        <v>0</v>
      </c>
      <c r="AQ31" s="71">
        <f ca="1">-IF(C31=1,(F31+K31+L31+Q31)/2*'Invoer gegevens'!$I$33*Reeksen!J31,0)*2</f>
        <v>0</v>
      </c>
      <c r="AR31" s="71">
        <f ca="1">-IF(C31=1,(I31*'Invoer gegevens'!$I$34)*Reeksen!J31,0)</f>
        <v>0</v>
      </c>
      <c r="AS31" s="71">
        <f ca="1">-IF(C31=1,(F31+K31+L31+Q31)/2*'Invoer gegevens'!$I$35*Reeksen!L31,0)</f>
        <v>0</v>
      </c>
      <c r="AT31" s="71">
        <f ca="1">-IF(C31=1,IF(E31='Invoer gegevens'!$C$17,'Invoer gegevens'!$C$11,AD31)*Reeksen!S31*'Invoer gegevens'!$C$18*Reeksen!P31,0)</f>
        <v>0</v>
      </c>
      <c r="AU31" s="71">
        <f ca="1">-IF(C31=1,(F31+K31+L31+Q31)/2*'Invoer gegevens'!$I$36*Reeksen!H31,0)</f>
        <v>0</v>
      </c>
      <c r="AV31" s="71">
        <f>IF('Invoer gegevens'!$C$3="Basis",0,#REF!)</f>
        <v>0</v>
      </c>
      <c r="AW31" s="71">
        <f t="shared" ca="1" si="8"/>
        <v>0</v>
      </c>
      <c r="AX31" s="71">
        <f ca="1">IF(E31&lt;'Invoer gegevens'!$C$17+15,0,IF(E31&gt;'Invoer gegevens'!$C$17+215,0,AW31))</f>
        <v>0</v>
      </c>
      <c r="AY31" s="71">
        <f ca="1">AX31/(1+'Invoer gegevens'!$F$18)^($AZ31-('Invoer gegevens'!$C$17-'Invoer gegevens'!$C$16))/(1+'Invoer gegevens'!$C$39)^('Invoer gegevens'!$C$17-'Invoer gegevens'!$C$16)</f>
        <v>0</v>
      </c>
      <c r="AZ31" s="68">
        <f ca="1">IF(E31-'Invoer gegevens'!$C$17-14.5&lt;0,0,E31-'Invoer gegevens'!$C$17-14.5)</f>
        <v>11.5</v>
      </c>
    </row>
    <row r="32" spans="1:52" x14ac:dyDescent="0.25">
      <c r="A32" s="59"/>
      <c r="B32" s="70">
        <f t="shared" si="9"/>
        <v>28</v>
      </c>
      <c r="C32" s="67">
        <f ca="1">IF(E32-'Invoer gegevens'!$C$17&lt;0,0,1)</f>
        <v>1</v>
      </c>
      <c r="D32" s="68">
        <f t="shared" si="10"/>
        <v>27.5</v>
      </c>
      <c r="E32" s="108">
        <f ca="1">IF('Invoer gegevens'!$C$16="","",E31+1)</f>
        <v>2046</v>
      </c>
      <c r="F32" s="84">
        <f ca="1">IF('Invoer gegevens'!$C$17=E32,'Invoer gegevens'!$C$10,IF(C32=1,K31,0))</f>
        <v>0</v>
      </c>
      <c r="G32" s="96">
        <f ca="1">IF(C32&gt;=1,F32*VLOOKUP(E32,Reeksen!$A$5:$B$76,2),0)</f>
        <v>0</v>
      </c>
      <c r="H32" s="84">
        <f ca="1">(1-('Invoer gegevens'!$F$20/12))*F32*MIN(Reeksen!B32,Reeksen!D32)</f>
        <v>0</v>
      </c>
      <c r="I32" s="84">
        <f>IF(Reeksen!D32&lt;Reeksen!B32,(Reeksen!B32-Reeksen!D32)*F32,0)</f>
        <v>0</v>
      </c>
      <c r="J32" s="84">
        <f ca="1">('Invoer gegevens'!$F$20/12)*F31*MIN(Reeksen!B31,Reeksen!D31)</f>
        <v>0</v>
      </c>
      <c r="K32" s="97">
        <f t="shared" ca="1" si="1"/>
        <v>0</v>
      </c>
      <c r="L32" s="84">
        <f ca="1">IF('Invoer gegevens'!$C$17=E32,0,IF(C32=1,Q31,0))</f>
        <v>0</v>
      </c>
      <c r="M32" s="96">
        <f ca="1">IF(C32&gt;=1,L32*VLOOKUP(E32,Reeksen!$A$5:$B$76,2),0)</f>
        <v>0</v>
      </c>
      <c r="N32" s="84">
        <f ca="1">(1-('Invoer gegevens'!$F$20/12))*L32*MIN(Reeksen!B32,Reeksen!D32)</f>
        <v>0</v>
      </c>
      <c r="O32" s="84">
        <f>IF(Reeksen!D32&lt;Reeksen!B32,(Reeksen!B32-Reeksen!D32)*L32,0)</f>
        <v>0</v>
      </c>
      <c r="P32" s="84">
        <f ca="1">('Invoer gegevens'!$F$20/12)*L31*MIN(Reeksen!B31,Reeksen!D31)</f>
        <v>0</v>
      </c>
      <c r="Q32" s="84">
        <f t="shared" ca="1" si="2"/>
        <v>0</v>
      </c>
      <c r="R32" s="82">
        <f ca="1">IF('Invoer gegevens'!$C$17=E32,'Invoer gegevens'!$C$11,IF(C32=1,W31,0))</f>
        <v>0</v>
      </c>
      <c r="S32" s="86">
        <f ca="1">IF(C32&gt;=1,R32*VLOOKUP(E32,Reeksen!$A$5:$B$76,2),0)</f>
        <v>0</v>
      </c>
      <c r="T32" s="84">
        <f ca="1">(1-('Invoer gegevens'!$F$20/12))*R32*MIN(Reeksen!B32,Reeksen!D32)</f>
        <v>0</v>
      </c>
      <c r="U32" s="84">
        <f>IF(Reeksen!D32&gt;=Reeksen!B32,0,IF(Reeksen!AK32&lt;=Reeksen!AE32,(Reeksen!B32-Reeksen!D32)*R32,0))</f>
        <v>0</v>
      </c>
      <c r="V32" s="86">
        <f>IF(Reeksen!D32&gt;=Reeksen!B32,0,IF(Reeksen!AK32&gt;Reeksen!AE32,(Reeksen!B32-Reeksen!D32)*R32,0))</f>
        <v>0</v>
      </c>
      <c r="W32" s="97">
        <f t="shared" ca="1" si="3"/>
        <v>0</v>
      </c>
      <c r="X32" s="98">
        <f ca="1">IF('Invoer gegevens'!$C$17=E32,'Invoer gegevens'!$C$10-'Invoer gegevens'!$C$11,IF(C32=1,AC31,0))</f>
        <v>0</v>
      </c>
      <c r="Y32" s="98">
        <f ca="1">IF(C32&gt;=1,X32*VLOOKUP(E32,Reeksen!$A$5:$B$76,2),0)</f>
        <v>0</v>
      </c>
      <c r="Z32" s="98">
        <f ca="1">(1-('Invoer gegevens'!$F$20/12))*X32*MIN(Reeksen!B32,Reeksen!D32)</f>
        <v>0</v>
      </c>
      <c r="AA32" s="98">
        <f>IF(Reeksen!D32&gt;=Reeksen!B32,0,IF(Reeksen!AK32&lt;=Reeksen!AE32,(Reeksen!B32-Reeksen!D32)*X32,0))</f>
        <v>0</v>
      </c>
      <c r="AB32" s="98">
        <f>IF(Reeksen!D32&gt;=Reeksen!B32,0,IF(Reeksen!AK32&gt;Reeksen!AE32,(Reeksen!B32-Reeksen!D32)*X32,0))</f>
        <v>0</v>
      </c>
      <c r="AC32" s="99">
        <f t="shared" ca="1" si="4"/>
        <v>0</v>
      </c>
      <c r="AD32" s="98">
        <f ca="1">IF('Invoer gegevens'!$C$17=E32,R32,IF(C32=0,0,AE31))</f>
        <v>0</v>
      </c>
      <c r="AE32" s="98">
        <f t="shared" ca="1" si="5"/>
        <v>0</v>
      </c>
      <c r="AF32" s="98">
        <f ca="1">IF('Invoer gegevens'!$C$17=E32,X32,IF(C32=0,0,AG31))</f>
        <v>0</v>
      </c>
      <c r="AG32" s="98">
        <f t="shared" ca="1" si="6"/>
        <v>0</v>
      </c>
      <c r="AH32" s="68"/>
      <c r="AI32" s="71">
        <f ca="1">IF(C32=1,Reeksen!AJ32*((F32-G32+F32)/2)*12+Reeksen!AK32*((L32-M32+L32)/2)*12,0)</f>
        <v>0</v>
      </c>
      <c r="AJ32" s="71">
        <f ca="1">-AI32*'Invoer gegevens'!$F$28</f>
        <v>0</v>
      </c>
      <c r="AK32" s="71">
        <f t="shared" ca="1" si="0"/>
        <v>0</v>
      </c>
      <c r="AL32" s="71">
        <f ca="1">IF(C32=1,Reeksen!AL32*((F32-G32+F32)/2)*12+Reeksen!AM32*((L32-M32+L32)/2)*12,0)</f>
        <v>0</v>
      </c>
      <c r="AM32" s="71">
        <f ca="1">-AL32*'Invoer gegevens'!$F$31</f>
        <v>0</v>
      </c>
      <c r="AN32" s="71">
        <f t="shared" ca="1" si="7"/>
        <v>0</v>
      </c>
      <c r="AO32" s="71">
        <f ca="1">IF(C32=1,(H32+J32+N32+P32)*Reeksen!AN32,0)</f>
        <v>0</v>
      </c>
      <c r="AP32" s="71">
        <f ca="1">-IF(C32=1,(H32+J32+N32+P32)*'Hulp - basis'!$G$550*Reeksen!H32,0)</f>
        <v>0</v>
      </c>
      <c r="AQ32" s="71">
        <f ca="1">-IF(C32=1,(F32+K32+L32+Q32)/2*'Invoer gegevens'!$I$33*Reeksen!J32,0)*2</f>
        <v>0</v>
      </c>
      <c r="AR32" s="71">
        <f ca="1">-IF(C32=1,(I32*'Invoer gegevens'!$I$34)*Reeksen!J32,0)</f>
        <v>0</v>
      </c>
      <c r="AS32" s="71">
        <f ca="1">-IF(C32=1,(F32+K32+L32+Q32)/2*'Invoer gegevens'!$I$35*Reeksen!L32,0)</f>
        <v>0</v>
      </c>
      <c r="AT32" s="71">
        <f ca="1">-IF(C32=1,IF(E32='Invoer gegevens'!$C$17,'Invoer gegevens'!$C$11,AD32)*Reeksen!S32*'Invoer gegevens'!$C$18*Reeksen!P32,0)</f>
        <v>0</v>
      </c>
      <c r="AU32" s="71">
        <f ca="1">-IF(C32=1,(F32+K32+L32+Q32)/2*'Invoer gegevens'!$I$36*Reeksen!H32,0)</f>
        <v>0</v>
      </c>
      <c r="AV32" s="71">
        <f>IF('Invoer gegevens'!$C$3="Basis",0,#REF!)</f>
        <v>0</v>
      </c>
      <c r="AW32" s="71">
        <f t="shared" ca="1" si="8"/>
        <v>0</v>
      </c>
      <c r="AX32" s="71">
        <f ca="1">IF(E32&lt;'Invoer gegevens'!$C$17+15,0,IF(E32&gt;'Invoer gegevens'!$C$17+215,0,AW32))</f>
        <v>0</v>
      </c>
      <c r="AY32" s="71">
        <f ca="1">AX32/(1+'Invoer gegevens'!$F$18)^($AZ32-('Invoer gegevens'!$C$17-'Invoer gegevens'!$C$16))/(1+'Invoer gegevens'!$C$39)^('Invoer gegevens'!$C$17-'Invoer gegevens'!$C$16)</f>
        <v>0</v>
      </c>
      <c r="AZ32" s="68">
        <f ca="1">IF(E32-'Invoer gegevens'!$C$17-14.5&lt;0,0,E32-'Invoer gegevens'!$C$17-14.5)</f>
        <v>12.5</v>
      </c>
    </row>
    <row r="33" spans="2:52" x14ac:dyDescent="0.25">
      <c r="B33" s="70">
        <f t="shared" si="9"/>
        <v>29</v>
      </c>
      <c r="C33" s="67">
        <f ca="1">IF(E33-'Invoer gegevens'!$C$17&lt;0,0,1)</f>
        <v>1</v>
      </c>
      <c r="D33" s="68">
        <f t="shared" si="10"/>
        <v>28.5</v>
      </c>
      <c r="E33" s="108">
        <f ca="1">IF('Invoer gegevens'!$C$16="","",E32+1)</f>
        <v>2047</v>
      </c>
      <c r="F33" s="84">
        <f ca="1">IF('Invoer gegevens'!$C$17=E33,'Invoer gegevens'!$C$10,IF(C33=1,K32,0))</f>
        <v>0</v>
      </c>
      <c r="G33" s="96">
        <f ca="1">IF(C33&gt;=1,F33*VLOOKUP(E33,Reeksen!$A$5:$B$76,2),0)</f>
        <v>0</v>
      </c>
      <c r="H33" s="84">
        <f ca="1">(1-('Invoer gegevens'!$F$20/12))*F33*MIN(Reeksen!B33,Reeksen!D33)</f>
        <v>0</v>
      </c>
      <c r="I33" s="84">
        <f>IF(Reeksen!D33&lt;Reeksen!B33,(Reeksen!B33-Reeksen!D33)*F33,0)</f>
        <v>0</v>
      </c>
      <c r="J33" s="84">
        <f ca="1">('Invoer gegevens'!$F$20/12)*F32*MIN(Reeksen!B32,Reeksen!D32)</f>
        <v>0</v>
      </c>
      <c r="K33" s="97">
        <f t="shared" ca="1" si="1"/>
        <v>0</v>
      </c>
      <c r="L33" s="84">
        <f ca="1">IF('Invoer gegevens'!$C$17=E33,0,IF(C33=1,Q32,0))</f>
        <v>0</v>
      </c>
      <c r="M33" s="96">
        <f ca="1">IF(C33&gt;=1,L33*VLOOKUP(E33,Reeksen!$A$5:$B$76,2),0)</f>
        <v>0</v>
      </c>
      <c r="N33" s="84">
        <f ca="1">(1-('Invoer gegevens'!$F$20/12))*L33*MIN(Reeksen!B33,Reeksen!D33)</f>
        <v>0</v>
      </c>
      <c r="O33" s="84">
        <f>IF(Reeksen!D33&lt;Reeksen!B33,(Reeksen!B33-Reeksen!D33)*L33,0)</f>
        <v>0</v>
      </c>
      <c r="P33" s="84">
        <f ca="1">('Invoer gegevens'!$F$20/12)*L32*MIN(Reeksen!B32,Reeksen!D32)</f>
        <v>0</v>
      </c>
      <c r="Q33" s="84">
        <f t="shared" ca="1" si="2"/>
        <v>0</v>
      </c>
      <c r="R33" s="82">
        <f ca="1">IF('Invoer gegevens'!$C$17=E33,'Invoer gegevens'!$C$11,IF(C33=1,W32,0))</f>
        <v>0</v>
      </c>
      <c r="S33" s="86">
        <f ca="1">IF(C33&gt;=1,R33*VLOOKUP(E33,Reeksen!$A$5:$B$76,2),0)</f>
        <v>0</v>
      </c>
      <c r="T33" s="84">
        <f ca="1">(1-('Invoer gegevens'!$F$20/12))*R33*MIN(Reeksen!B33,Reeksen!D33)</f>
        <v>0</v>
      </c>
      <c r="U33" s="84">
        <f>IF(Reeksen!D33&gt;=Reeksen!B33,0,IF(Reeksen!AK33&lt;=Reeksen!AE33,(Reeksen!B33-Reeksen!D33)*R33,0))</f>
        <v>0</v>
      </c>
      <c r="V33" s="86">
        <f>IF(Reeksen!D33&gt;=Reeksen!B33,0,IF(Reeksen!AK33&gt;Reeksen!AE33,(Reeksen!B33-Reeksen!D33)*R33,0))</f>
        <v>0</v>
      </c>
      <c r="W33" s="97">
        <f t="shared" ca="1" si="3"/>
        <v>0</v>
      </c>
      <c r="X33" s="98">
        <f ca="1">IF('Invoer gegevens'!$C$17=E33,'Invoer gegevens'!$C$10-'Invoer gegevens'!$C$11,IF(C33=1,AC32,0))</f>
        <v>0</v>
      </c>
      <c r="Y33" s="98">
        <f ca="1">IF(C33&gt;=1,X33*VLOOKUP(E33,Reeksen!$A$5:$B$76,2),0)</f>
        <v>0</v>
      </c>
      <c r="Z33" s="98">
        <f ca="1">(1-('Invoer gegevens'!$F$20/12))*X33*MIN(Reeksen!B33,Reeksen!D33)</f>
        <v>0</v>
      </c>
      <c r="AA33" s="98">
        <f>IF(Reeksen!D33&gt;=Reeksen!B33,0,IF(Reeksen!AK33&lt;=Reeksen!AE33,(Reeksen!B33-Reeksen!D33)*X33,0))</f>
        <v>0</v>
      </c>
      <c r="AB33" s="98">
        <f>IF(Reeksen!D33&gt;=Reeksen!B33,0,IF(Reeksen!AK33&gt;Reeksen!AE33,(Reeksen!B33-Reeksen!D33)*X33,0))</f>
        <v>0</v>
      </c>
      <c r="AC33" s="99">
        <f t="shared" ca="1" si="4"/>
        <v>0</v>
      </c>
      <c r="AD33" s="98">
        <f ca="1">IF('Invoer gegevens'!$C$17=E33,R33,IF(C33=0,0,AE32))</f>
        <v>0</v>
      </c>
      <c r="AE33" s="98">
        <f t="shared" ca="1" si="5"/>
        <v>0</v>
      </c>
      <c r="AF33" s="98">
        <f ca="1">IF('Invoer gegevens'!$C$17=E33,X33,IF(C33=0,0,AG32))</f>
        <v>0</v>
      </c>
      <c r="AG33" s="98">
        <f t="shared" ca="1" si="6"/>
        <v>0</v>
      </c>
      <c r="AH33" s="68"/>
      <c r="AI33" s="71">
        <f ca="1">IF(C33=1,Reeksen!AJ33*((F33-G33+F33)/2)*12+Reeksen!AK33*((L33-M33+L33)/2)*12,0)</f>
        <v>0</v>
      </c>
      <c r="AJ33" s="71">
        <f ca="1">-AI33*'Invoer gegevens'!$F$28</f>
        <v>0</v>
      </c>
      <c r="AK33" s="71">
        <f t="shared" ca="1" si="0"/>
        <v>0</v>
      </c>
      <c r="AL33" s="71">
        <f ca="1">IF(C33=1,Reeksen!AL33*((F33-G33+F33)/2)*12+Reeksen!AM33*((L33-M33+L33)/2)*12,0)</f>
        <v>0</v>
      </c>
      <c r="AM33" s="71">
        <f ca="1">-AL33*'Invoer gegevens'!$F$31</f>
        <v>0</v>
      </c>
      <c r="AN33" s="71">
        <f t="shared" ca="1" si="7"/>
        <v>0</v>
      </c>
      <c r="AO33" s="71">
        <f ca="1">IF(C33=1,(H33+J33+N33+P33)*Reeksen!AN33,0)</f>
        <v>0</v>
      </c>
      <c r="AP33" s="71">
        <f ca="1">-IF(C33=1,(H33+J33+N33+P33)*'Hulp - basis'!$G$550*Reeksen!H33,0)</f>
        <v>0</v>
      </c>
      <c r="AQ33" s="71">
        <f ca="1">-IF(C33=1,(F33+K33+L33+Q33)/2*'Invoer gegevens'!$I$33*Reeksen!J33,0)*2</f>
        <v>0</v>
      </c>
      <c r="AR33" s="71">
        <f ca="1">-IF(C33=1,(I33*'Invoer gegevens'!$I$34)*Reeksen!J33,0)</f>
        <v>0</v>
      </c>
      <c r="AS33" s="71">
        <f ca="1">-IF(C33=1,(F33+K33+L33+Q33)/2*'Invoer gegevens'!$I$35*Reeksen!L33,0)</f>
        <v>0</v>
      </c>
      <c r="AT33" s="71">
        <f ca="1">-IF(C33=1,IF(E33='Invoer gegevens'!$C$17,'Invoer gegevens'!$C$11,AD33)*Reeksen!S33*'Invoer gegevens'!$C$18*Reeksen!P33,0)</f>
        <v>0</v>
      </c>
      <c r="AU33" s="71">
        <f ca="1">-IF(C33=1,(F33+K33+L33+Q33)/2*'Invoer gegevens'!$I$36*Reeksen!H33,0)</f>
        <v>0</v>
      </c>
      <c r="AV33" s="71">
        <f>IF('Invoer gegevens'!$C$3="Basis",0,#REF!)</f>
        <v>0</v>
      </c>
      <c r="AW33" s="71">
        <f t="shared" ca="1" si="8"/>
        <v>0</v>
      </c>
      <c r="AX33" s="71">
        <f ca="1">IF(E33&lt;'Invoer gegevens'!$C$17+15,0,IF(E33&gt;'Invoer gegevens'!$C$17+215,0,AW33))</f>
        <v>0</v>
      </c>
      <c r="AY33" s="71">
        <f ca="1">AX33/(1+'Invoer gegevens'!$F$18)^($AZ33-('Invoer gegevens'!$C$17-'Invoer gegevens'!$C$16))/(1+'Invoer gegevens'!$C$39)^('Invoer gegevens'!$C$17-'Invoer gegevens'!$C$16)</f>
        <v>0</v>
      </c>
      <c r="AZ33" s="68">
        <f ca="1">IF(E33-'Invoer gegevens'!$C$17-14.5&lt;0,0,E33-'Invoer gegevens'!$C$17-14.5)</f>
        <v>13.5</v>
      </c>
    </row>
    <row r="34" spans="2:52" x14ac:dyDescent="0.25">
      <c r="B34" s="70">
        <f t="shared" si="9"/>
        <v>30</v>
      </c>
      <c r="C34" s="67">
        <f ca="1">IF(E34-'Invoer gegevens'!$C$17&lt;0,0,1)</f>
        <v>1</v>
      </c>
      <c r="D34" s="68">
        <f t="shared" si="10"/>
        <v>29.5</v>
      </c>
      <c r="E34" s="108">
        <f ca="1">IF('Invoer gegevens'!$C$16="","",E33+1)</f>
        <v>2048</v>
      </c>
      <c r="F34" s="84">
        <f ca="1">IF('Invoer gegevens'!$C$17=E34,'Invoer gegevens'!$C$10,IF(C34=1,K33,0))</f>
        <v>0</v>
      </c>
      <c r="G34" s="96">
        <f ca="1">IF(C34&gt;=1,F34*VLOOKUP(E34,Reeksen!$A$5:$B$76,2),0)</f>
        <v>0</v>
      </c>
      <c r="H34" s="84">
        <f ca="1">(1-('Invoer gegevens'!$F$20/12))*F34*MIN(Reeksen!B34,Reeksen!D34)</f>
        <v>0</v>
      </c>
      <c r="I34" s="84">
        <f>IF(Reeksen!D34&lt;Reeksen!B34,(Reeksen!B34-Reeksen!D34)*F34,0)</f>
        <v>0</v>
      </c>
      <c r="J34" s="84">
        <f ca="1">('Invoer gegevens'!$F$20/12)*F33*MIN(Reeksen!B33,Reeksen!D33)</f>
        <v>0</v>
      </c>
      <c r="K34" s="97">
        <f t="shared" ca="1" si="1"/>
        <v>0</v>
      </c>
      <c r="L34" s="84">
        <f ca="1">IF('Invoer gegevens'!$C$17=E34,0,IF(C34=1,Q33,0))</f>
        <v>0</v>
      </c>
      <c r="M34" s="96">
        <f ca="1">IF(C34&gt;=1,L34*VLOOKUP(E34,Reeksen!$A$5:$B$76,2),0)</f>
        <v>0</v>
      </c>
      <c r="N34" s="84">
        <f ca="1">(1-('Invoer gegevens'!$F$20/12))*L34*MIN(Reeksen!B34,Reeksen!D34)</f>
        <v>0</v>
      </c>
      <c r="O34" s="84">
        <f>IF(Reeksen!D34&lt;Reeksen!B34,(Reeksen!B34-Reeksen!D34)*L34,0)</f>
        <v>0</v>
      </c>
      <c r="P34" s="84">
        <f ca="1">('Invoer gegevens'!$F$20/12)*L33*MIN(Reeksen!B33,Reeksen!D33)</f>
        <v>0</v>
      </c>
      <c r="Q34" s="84">
        <f t="shared" ca="1" si="2"/>
        <v>0</v>
      </c>
      <c r="R34" s="82">
        <f ca="1">IF('Invoer gegevens'!$C$17=E34,'Invoer gegevens'!$C$11,IF(C34=1,W33,0))</f>
        <v>0</v>
      </c>
      <c r="S34" s="86">
        <f ca="1">IF(C34&gt;=1,R34*VLOOKUP(E34,Reeksen!$A$5:$B$76,2),0)</f>
        <v>0</v>
      </c>
      <c r="T34" s="84">
        <f ca="1">(1-('Invoer gegevens'!$F$20/12))*R34*MIN(Reeksen!B34,Reeksen!D34)</f>
        <v>0</v>
      </c>
      <c r="U34" s="84">
        <f>IF(Reeksen!D34&gt;=Reeksen!B34,0,IF(Reeksen!AK34&lt;=Reeksen!AE34,(Reeksen!B34-Reeksen!D34)*R34,0))</f>
        <v>0</v>
      </c>
      <c r="V34" s="86">
        <f>IF(Reeksen!D34&gt;=Reeksen!B34,0,IF(Reeksen!AK34&gt;Reeksen!AE34,(Reeksen!B34-Reeksen!D34)*R34,0))</f>
        <v>0</v>
      </c>
      <c r="W34" s="97">
        <f t="shared" ca="1" si="3"/>
        <v>0</v>
      </c>
      <c r="X34" s="98">
        <f ca="1">IF('Invoer gegevens'!$C$17=E34,'Invoer gegevens'!$C$10-'Invoer gegevens'!$C$11,IF(C34=1,AC33,0))</f>
        <v>0</v>
      </c>
      <c r="Y34" s="98">
        <f ca="1">IF(C34&gt;=1,X34*VLOOKUP(E34,Reeksen!$A$5:$B$76,2),0)</f>
        <v>0</v>
      </c>
      <c r="Z34" s="98">
        <f ca="1">(1-('Invoer gegevens'!$F$20/12))*X34*MIN(Reeksen!B34,Reeksen!D34)</f>
        <v>0</v>
      </c>
      <c r="AA34" s="98">
        <f>IF(Reeksen!D34&gt;=Reeksen!B34,0,IF(Reeksen!AK34&lt;=Reeksen!AE34,(Reeksen!B34-Reeksen!D34)*X34,0))</f>
        <v>0</v>
      </c>
      <c r="AB34" s="98">
        <f>IF(Reeksen!D34&gt;=Reeksen!B34,0,IF(Reeksen!AK34&gt;Reeksen!AE34,(Reeksen!B34-Reeksen!D34)*X34,0))</f>
        <v>0</v>
      </c>
      <c r="AC34" s="99">
        <f t="shared" ca="1" si="4"/>
        <v>0</v>
      </c>
      <c r="AD34" s="98">
        <f ca="1">IF('Invoer gegevens'!$C$17=E34,R34,IF(C34=0,0,AE33))</f>
        <v>0</v>
      </c>
      <c r="AE34" s="98">
        <f t="shared" ca="1" si="5"/>
        <v>0</v>
      </c>
      <c r="AF34" s="98">
        <f ca="1">IF('Invoer gegevens'!$C$17=E34,X34,IF(C34=0,0,AG33))</f>
        <v>0</v>
      </c>
      <c r="AG34" s="98">
        <f t="shared" ca="1" si="6"/>
        <v>0</v>
      </c>
      <c r="AH34" s="68"/>
      <c r="AI34" s="71">
        <f ca="1">IF(C34=1,Reeksen!AJ34*((F34-G34+F34)/2)*12+Reeksen!AK34*((L34-M34+L34)/2)*12,0)</f>
        <v>0</v>
      </c>
      <c r="AJ34" s="71">
        <f ca="1">-AI34*'Invoer gegevens'!$F$28</f>
        <v>0</v>
      </c>
      <c r="AK34" s="71">
        <f t="shared" ca="1" si="0"/>
        <v>0</v>
      </c>
      <c r="AL34" s="71">
        <f ca="1">IF(C34=1,Reeksen!AL34*((F34-G34+F34)/2)*12+Reeksen!AM34*((L34-M34+L34)/2)*12,0)</f>
        <v>0</v>
      </c>
      <c r="AM34" s="71">
        <f ca="1">-AL34*'Invoer gegevens'!$F$31</f>
        <v>0</v>
      </c>
      <c r="AN34" s="71">
        <f t="shared" ca="1" si="7"/>
        <v>0</v>
      </c>
      <c r="AO34" s="71">
        <f ca="1">IF(C34=1,(H34+J34+N34+P34)*Reeksen!AN34,0)</f>
        <v>0</v>
      </c>
      <c r="AP34" s="71">
        <f ca="1">-IF(C34=1,(H34+J34+N34+P34)*'Hulp - basis'!$G$550*Reeksen!H34,0)</f>
        <v>0</v>
      </c>
      <c r="AQ34" s="71">
        <f ca="1">-IF(C34=1,(F34+K34+L34+Q34)/2*'Invoer gegevens'!$I$33*Reeksen!J34,0)*2</f>
        <v>0</v>
      </c>
      <c r="AR34" s="71">
        <f ca="1">-IF(C34=1,(I34*'Invoer gegevens'!$I$34)*Reeksen!J34,0)</f>
        <v>0</v>
      </c>
      <c r="AS34" s="71">
        <f ca="1">-IF(C34=1,(F34+K34+L34+Q34)/2*'Invoer gegevens'!$I$35*Reeksen!L34,0)</f>
        <v>0</v>
      </c>
      <c r="AT34" s="71">
        <f ca="1">-IF(C34=1,IF(E34='Invoer gegevens'!$C$17,'Invoer gegevens'!$C$11,AD34)*Reeksen!S34*'Invoer gegevens'!$C$18*Reeksen!P34,0)</f>
        <v>0</v>
      </c>
      <c r="AU34" s="71">
        <f ca="1">-IF(C34=1,(F34+K34+L34+Q34)/2*'Invoer gegevens'!$I$36*Reeksen!H34,0)</f>
        <v>0</v>
      </c>
      <c r="AV34" s="71">
        <f>IF('Invoer gegevens'!$C$3="Basis",0,#REF!)</f>
        <v>0</v>
      </c>
      <c r="AW34" s="71">
        <f t="shared" ca="1" si="8"/>
        <v>0</v>
      </c>
      <c r="AX34" s="71">
        <f ca="1">IF(E34&lt;'Invoer gegevens'!$C$17+15,0,IF(E34&gt;'Invoer gegevens'!$C$17+215,0,AW34))</f>
        <v>0</v>
      </c>
      <c r="AY34" s="71">
        <f ca="1">AX34/(1+'Invoer gegevens'!$F$18)^($AZ34-('Invoer gegevens'!$C$17-'Invoer gegevens'!$C$16))/(1+'Invoer gegevens'!$C$39)^('Invoer gegevens'!$C$17-'Invoer gegevens'!$C$16)</f>
        <v>0</v>
      </c>
      <c r="AZ34" s="68">
        <f ca="1">IF(E34-'Invoer gegevens'!$C$17-14.5&lt;0,0,E34-'Invoer gegevens'!$C$17-14.5)</f>
        <v>14.5</v>
      </c>
    </row>
    <row r="35" spans="2:52" x14ac:dyDescent="0.25">
      <c r="B35" s="70">
        <f t="shared" si="9"/>
        <v>31</v>
      </c>
      <c r="C35" s="67">
        <f ca="1">IF(E35-'Invoer gegevens'!$C$17&lt;0,0,1)</f>
        <v>1</v>
      </c>
      <c r="D35" s="68">
        <f t="shared" si="10"/>
        <v>30.5</v>
      </c>
      <c r="E35" s="108">
        <f ca="1">IF('Invoer gegevens'!$C$16="","",E34+1)</f>
        <v>2049</v>
      </c>
      <c r="F35" s="84">
        <f ca="1">IF('Invoer gegevens'!$C$17=E35,'Invoer gegevens'!$C$10,IF(C35=1,K34,0))</f>
        <v>0</v>
      </c>
      <c r="G35" s="96">
        <f ca="1">IF(C35&gt;=1,F35*VLOOKUP(E35,Reeksen!$A$5:$B$76,2),0)</f>
        <v>0</v>
      </c>
      <c r="H35" s="84">
        <f ca="1">(1-('Invoer gegevens'!$F$20/12))*F35*MIN(Reeksen!B35,Reeksen!D35)</f>
        <v>0</v>
      </c>
      <c r="I35" s="84">
        <f>IF(Reeksen!D35&lt;Reeksen!B35,(Reeksen!B35-Reeksen!D35)*F35,0)</f>
        <v>0</v>
      </c>
      <c r="J35" s="84">
        <f ca="1">('Invoer gegevens'!$F$20/12)*F34*MIN(Reeksen!B34,Reeksen!D34)</f>
        <v>0</v>
      </c>
      <c r="K35" s="97">
        <f t="shared" ca="1" si="1"/>
        <v>0</v>
      </c>
      <c r="L35" s="84">
        <f ca="1">IF('Invoer gegevens'!$C$17=E35,0,IF(C35=1,Q34,0))</f>
        <v>0</v>
      </c>
      <c r="M35" s="96">
        <f ca="1">IF(C35&gt;=1,L35*VLOOKUP(E35,Reeksen!$A$5:$B$76,2),0)</f>
        <v>0</v>
      </c>
      <c r="N35" s="84">
        <f ca="1">(1-('Invoer gegevens'!$F$20/12))*L35*MIN(Reeksen!B35,Reeksen!D35)</f>
        <v>0</v>
      </c>
      <c r="O35" s="84">
        <f>IF(Reeksen!D35&lt;Reeksen!B35,(Reeksen!B35-Reeksen!D35)*L35,0)</f>
        <v>0</v>
      </c>
      <c r="P35" s="84">
        <f ca="1">('Invoer gegevens'!$F$20/12)*L34*MIN(Reeksen!B34,Reeksen!D34)</f>
        <v>0</v>
      </c>
      <c r="Q35" s="84">
        <f t="shared" ca="1" si="2"/>
        <v>0</v>
      </c>
      <c r="R35" s="82">
        <f ca="1">IF('Invoer gegevens'!$C$17=E35,'Invoer gegevens'!$C$11,IF(C35=1,W34,0))</f>
        <v>0</v>
      </c>
      <c r="S35" s="86">
        <f ca="1">IF(C35&gt;=1,R35*VLOOKUP(E35,Reeksen!$A$5:$B$76,2),0)</f>
        <v>0</v>
      </c>
      <c r="T35" s="84">
        <f ca="1">(1-('Invoer gegevens'!$F$20/12))*R35*MIN(Reeksen!B35,Reeksen!D35)</f>
        <v>0</v>
      </c>
      <c r="U35" s="84">
        <f>IF(Reeksen!D35&gt;=Reeksen!B35,0,IF(Reeksen!AK35&lt;=Reeksen!AE35,(Reeksen!B35-Reeksen!D35)*R35,0))</f>
        <v>0</v>
      </c>
      <c r="V35" s="86">
        <f>IF(Reeksen!D35&gt;=Reeksen!B35,0,IF(Reeksen!AK35&gt;Reeksen!AE35,(Reeksen!B35-Reeksen!D35)*R35,0))</f>
        <v>0</v>
      </c>
      <c r="W35" s="97">
        <f t="shared" ca="1" si="3"/>
        <v>0</v>
      </c>
      <c r="X35" s="98">
        <f ca="1">IF('Invoer gegevens'!$C$17=E35,'Invoer gegevens'!$C$10-'Invoer gegevens'!$C$11,IF(C35=1,AC34,0))</f>
        <v>0</v>
      </c>
      <c r="Y35" s="98">
        <f ca="1">IF(C35&gt;=1,X35*VLOOKUP(E35,Reeksen!$A$5:$B$76,2),0)</f>
        <v>0</v>
      </c>
      <c r="Z35" s="98">
        <f ca="1">(1-('Invoer gegevens'!$F$20/12))*X35*MIN(Reeksen!B35,Reeksen!D35)</f>
        <v>0</v>
      </c>
      <c r="AA35" s="98">
        <f>IF(Reeksen!D35&gt;=Reeksen!B35,0,IF(Reeksen!AK35&lt;=Reeksen!AE35,(Reeksen!B35-Reeksen!D35)*X35,0))</f>
        <v>0</v>
      </c>
      <c r="AB35" s="98">
        <f>IF(Reeksen!D35&gt;=Reeksen!B35,0,IF(Reeksen!AK35&gt;Reeksen!AE35,(Reeksen!B35-Reeksen!D35)*X35,0))</f>
        <v>0</v>
      </c>
      <c r="AC35" s="99">
        <f t="shared" ca="1" si="4"/>
        <v>0</v>
      </c>
      <c r="AD35" s="98">
        <f ca="1">IF('Invoer gegevens'!$C$17=E35,R35,IF(C35=0,0,AE34))</f>
        <v>0</v>
      </c>
      <c r="AE35" s="98">
        <f t="shared" ca="1" si="5"/>
        <v>0</v>
      </c>
      <c r="AF35" s="98">
        <f ca="1">IF('Invoer gegevens'!$C$17=E35,X35,IF(C35=0,0,AG34))</f>
        <v>0</v>
      </c>
      <c r="AG35" s="98">
        <f t="shared" ca="1" si="6"/>
        <v>0</v>
      </c>
      <c r="AH35" s="68"/>
      <c r="AI35" s="71">
        <f ca="1">IF(C35=1,Reeksen!AJ35*((F35-G35+F35)/2)*12+Reeksen!AK35*((L35-M35+L35)/2)*12,0)</f>
        <v>0</v>
      </c>
      <c r="AJ35" s="71">
        <f ca="1">-AI35*'Invoer gegevens'!$F$28</f>
        <v>0</v>
      </c>
      <c r="AK35" s="71">
        <f t="shared" ca="1" si="0"/>
        <v>0</v>
      </c>
      <c r="AL35" s="71">
        <f ca="1">IF(C35=1,Reeksen!AL35*((F35-G35+F35)/2)*12+Reeksen!AM35*((L35-M35+L35)/2)*12,0)</f>
        <v>0</v>
      </c>
      <c r="AM35" s="71">
        <f ca="1">-AL35*'Invoer gegevens'!$F$31</f>
        <v>0</v>
      </c>
      <c r="AN35" s="71">
        <f t="shared" ca="1" si="7"/>
        <v>0</v>
      </c>
      <c r="AO35" s="71">
        <f ca="1">IF(C35=1,(H35+J35+N35+P35)*Reeksen!AN35,0)</f>
        <v>0</v>
      </c>
      <c r="AP35" s="71">
        <f ca="1">-IF(C35=1,(H35+J35+N35+P35)*'Hulp - basis'!$G$550*Reeksen!H35,0)</f>
        <v>0</v>
      </c>
      <c r="AQ35" s="71">
        <f ca="1">-IF(C35=1,(F35+K35+L35+Q35)/2*'Invoer gegevens'!$I$33*Reeksen!J35,0)*2</f>
        <v>0</v>
      </c>
      <c r="AR35" s="71">
        <f ca="1">-IF(C35=1,(I35*'Invoer gegevens'!$I$34)*Reeksen!J35,0)</f>
        <v>0</v>
      </c>
      <c r="AS35" s="71">
        <f ca="1">-IF(C35=1,(F35+K35+L35+Q35)/2*'Invoer gegevens'!$I$35*Reeksen!L35,0)</f>
        <v>0</v>
      </c>
      <c r="AT35" s="71">
        <f ca="1">-IF(C35=1,IF(E35='Invoer gegevens'!$C$17,'Invoer gegevens'!$C$11,AD35)*Reeksen!S35*'Invoer gegevens'!$C$18*Reeksen!P35,0)</f>
        <v>0</v>
      </c>
      <c r="AU35" s="71">
        <f ca="1">-IF(C35=1,(F35+K35+L35+Q35)/2*'Invoer gegevens'!$I$36*Reeksen!H35,0)</f>
        <v>0</v>
      </c>
      <c r="AV35" s="71">
        <f>IF('Invoer gegevens'!$C$3="Basis",0,#REF!)</f>
        <v>0</v>
      </c>
      <c r="AW35" s="71">
        <f t="shared" ca="1" si="8"/>
        <v>0</v>
      </c>
      <c r="AX35" s="71">
        <f ca="1">IF(E35&lt;'Invoer gegevens'!$C$17+15,0,IF(E35&gt;'Invoer gegevens'!$C$17+215,0,AW35))</f>
        <v>0</v>
      </c>
      <c r="AY35" s="71">
        <f ca="1">AX35/(1+'Invoer gegevens'!$F$18)^($AZ35-('Invoer gegevens'!$C$17-'Invoer gegevens'!$C$16))/(1+'Invoer gegevens'!$C$39)^('Invoer gegevens'!$C$17-'Invoer gegevens'!$C$16)</f>
        <v>0</v>
      </c>
      <c r="AZ35" s="68">
        <f ca="1">IF(E35-'Invoer gegevens'!$C$17-14.5&lt;0,0,E35-'Invoer gegevens'!$C$17-14.5)</f>
        <v>15.5</v>
      </c>
    </row>
    <row r="36" spans="2:52" x14ac:dyDescent="0.25">
      <c r="B36" s="70">
        <f t="shared" si="9"/>
        <v>32</v>
      </c>
      <c r="C36" s="67">
        <f ca="1">IF(E36-'Invoer gegevens'!$C$17&lt;0,0,1)</f>
        <v>1</v>
      </c>
      <c r="D36" s="68">
        <f t="shared" si="10"/>
        <v>31.5</v>
      </c>
      <c r="E36" s="108">
        <f ca="1">IF('Invoer gegevens'!$C$16="","",E35+1)</f>
        <v>2050</v>
      </c>
      <c r="F36" s="84">
        <f ca="1">IF('Invoer gegevens'!$C$17=E36,'Invoer gegevens'!$C$10,IF(C36=1,K35,0))</f>
        <v>0</v>
      </c>
      <c r="G36" s="96">
        <f ca="1">IF(C36&gt;=1,F36*VLOOKUP(E36,Reeksen!$A$5:$B$76,2),0)</f>
        <v>0</v>
      </c>
      <c r="H36" s="84">
        <f ca="1">(1-('Invoer gegevens'!$F$20/12))*F36*MIN(Reeksen!B36,Reeksen!D36)</f>
        <v>0</v>
      </c>
      <c r="I36" s="84">
        <f>IF(Reeksen!D36&lt;Reeksen!B36,(Reeksen!B36-Reeksen!D36)*F36,0)</f>
        <v>0</v>
      </c>
      <c r="J36" s="84">
        <f ca="1">('Invoer gegevens'!$F$20/12)*F35*MIN(Reeksen!B35,Reeksen!D35)</f>
        <v>0</v>
      </c>
      <c r="K36" s="97">
        <f t="shared" ca="1" si="1"/>
        <v>0</v>
      </c>
      <c r="L36" s="84">
        <f ca="1">IF('Invoer gegevens'!$C$17=E36,0,IF(C36=1,Q35,0))</f>
        <v>0</v>
      </c>
      <c r="M36" s="96">
        <f ca="1">IF(C36&gt;=1,L36*VLOOKUP(E36,Reeksen!$A$5:$B$76,2),0)</f>
        <v>0</v>
      </c>
      <c r="N36" s="84">
        <f ca="1">(1-('Invoer gegevens'!$F$20/12))*L36*MIN(Reeksen!B36,Reeksen!D36)</f>
        <v>0</v>
      </c>
      <c r="O36" s="84">
        <f>IF(Reeksen!D36&lt;Reeksen!B36,(Reeksen!B36-Reeksen!D36)*L36,0)</f>
        <v>0</v>
      </c>
      <c r="P36" s="84">
        <f ca="1">('Invoer gegevens'!$F$20/12)*L35*MIN(Reeksen!B35,Reeksen!D35)</f>
        <v>0</v>
      </c>
      <c r="Q36" s="84">
        <f t="shared" ca="1" si="2"/>
        <v>0</v>
      </c>
      <c r="R36" s="82">
        <f ca="1">IF('Invoer gegevens'!$C$17=E36,'Invoer gegevens'!$C$11,IF(C36=1,W35,0))</f>
        <v>0</v>
      </c>
      <c r="S36" s="86">
        <f ca="1">IF(C36&gt;=1,R36*VLOOKUP(E36,Reeksen!$A$5:$B$76,2),0)</f>
        <v>0</v>
      </c>
      <c r="T36" s="84">
        <f ca="1">(1-('Invoer gegevens'!$F$20/12))*R36*MIN(Reeksen!B36,Reeksen!D36)</f>
        <v>0</v>
      </c>
      <c r="U36" s="84">
        <f>IF(Reeksen!D36&gt;=Reeksen!B36,0,IF(Reeksen!AK36&lt;=Reeksen!AE36,(Reeksen!B36-Reeksen!D36)*R36,0))</f>
        <v>0</v>
      </c>
      <c r="V36" s="86">
        <f>IF(Reeksen!D36&gt;=Reeksen!B36,0,IF(Reeksen!AK36&gt;Reeksen!AE36,(Reeksen!B36-Reeksen!D36)*R36,0))</f>
        <v>0</v>
      </c>
      <c r="W36" s="97">
        <f t="shared" ca="1" si="3"/>
        <v>0</v>
      </c>
      <c r="X36" s="98">
        <f ca="1">IF('Invoer gegevens'!$C$17=E36,'Invoer gegevens'!$C$10-'Invoer gegevens'!$C$11,IF(C36=1,AC35,0))</f>
        <v>0</v>
      </c>
      <c r="Y36" s="98">
        <f ca="1">IF(C36&gt;=1,X36*VLOOKUP(E36,Reeksen!$A$5:$B$76,2),0)</f>
        <v>0</v>
      </c>
      <c r="Z36" s="98">
        <f ca="1">(1-('Invoer gegevens'!$F$20/12))*X36*MIN(Reeksen!B36,Reeksen!D36)</f>
        <v>0</v>
      </c>
      <c r="AA36" s="98">
        <f>IF(Reeksen!D36&gt;=Reeksen!B36,0,IF(Reeksen!AK36&lt;=Reeksen!AE36,(Reeksen!B36-Reeksen!D36)*X36,0))</f>
        <v>0</v>
      </c>
      <c r="AB36" s="98">
        <f>IF(Reeksen!D36&gt;=Reeksen!B36,0,IF(Reeksen!AK36&gt;Reeksen!AE36,(Reeksen!B36-Reeksen!D36)*X36,0))</f>
        <v>0</v>
      </c>
      <c r="AC36" s="99">
        <f t="shared" ca="1" si="4"/>
        <v>0</v>
      </c>
      <c r="AD36" s="98">
        <f ca="1">IF('Invoer gegevens'!$C$17=E36,R36,IF(C36=0,0,AE35))</f>
        <v>0</v>
      </c>
      <c r="AE36" s="98">
        <f t="shared" ca="1" si="5"/>
        <v>0</v>
      </c>
      <c r="AF36" s="98">
        <f ca="1">IF('Invoer gegevens'!$C$17=E36,X36,IF(C36=0,0,AG35))</f>
        <v>0</v>
      </c>
      <c r="AG36" s="98">
        <f t="shared" ca="1" si="6"/>
        <v>0</v>
      </c>
      <c r="AH36" s="68"/>
      <c r="AI36" s="71">
        <f ca="1">IF(C36=1,Reeksen!AJ36*((F36-G36+F36)/2)*12+Reeksen!AK36*((L36-M36+L36)/2)*12,0)</f>
        <v>0</v>
      </c>
      <c r="AJ36" s="71">
        <f ca="1">-AI36*'Invoer gegevens'!$F$28</f>
        <v>0</v>
      </c>
      <c r="AK36" s="71">
        <f t="shared" ca="1" si="0"/>
        <v>0</v>
      </c>
      <c r="AL36" s="71">
        <f ca="1">IF(C36=1,Reeksen!AL36*((F36-G36+F36)/2)*12+Reeksen!AM36*((L36-M36+L36)/2)*12,0)</f>
        <v>0</v>
      </c>
      <c r="AM36" s="71">
        <f ca="1">-AL36*'Invoer gegevens'!$F$31</f>
        <v>0</v>
      </c>
      <c r="AN36" s="71">
        <f t="shared" ca="1" si="7"/>
        <v>0</v>
      </c>
      <c r="AO36" s="71">
        <f ca="1">IF(C36=1,(H36+J36+N36+P36)*Reeksen!AN36,0)</f>
        <v>0</v>
      </c>
      <c r="AP36" s="71">
        <f ca="1">-IF(C36=1,(H36+J36+N36+P36)*'Hulp - basis'!$G$550*Reeksen!H36,0)</f>
        <v>0</v>
      </c>
      <c r="AQ36" s="71">
        <f ca="1">-IF(C36=1,(F36+K36+L36+Q36)/2*'Invoer gegevens'!$I$33*Reeksen!J36,0)*2</f>
        <v>0</v>
      </c>
      <c r="AR36" s="71">
        <f ca="1">-IF(C36=1,(I36*'Invoer gegevens'!$I$34)*Reeksen!J36,0)</f>
        <v>0</v>
      </c>
      <c r="AS36" s="71">
        <f ca="1">-IF(C36=1,(F36+K36+L36+Q36)/2*'Invoer gegevens'!$I$35*Reeksen!L36,0)</f>
        <v>0</v>
      </c>
      <c r="AT36" s="71">
        <f ca="1">-IF(C36=1,IF(E36='Invoer gegevens'!$C$17,'Invoer gegevens'!$C$11,AD36)*Reeksen!S36*'Invoer gegevens'!$C$18*Reeksen!P36,0)</f>
        <v>0</v>
      </c>
      <c r="AU36" s="71">
        <f ca="1">-IF(C36=1,(F36+K36+L36+Q36)/2*'Invoer gegevens'!$I$36*Reeksen!H36,0)</f>
        <v>0</v>
      </c>
      <c r="AV36" s="71">
        <f>IF('Invoer gegevens'!$C$3="Basis",0,#REF!)</f>
        <v>0</v>
      </c>
      <c r="AW36" s="71">
        <f t="shared" ca="1" si="8"/>
        <v>0</v>
      </c>
      <c r="AX36" s="71">
        <f ca="1">IF(E36&lt;'Invoer gegevens'!$C$17+15,0,IF(E36&gt;'Invoer gegevens'!$C$17+215,0,AW36))</f>
        <v>0</v>
      </c>
      <c r="AY36" s="71">
        <f ca="1">AX36/(1+'Invoer gegevens'!$F$18)^($AZ36-('Invoer gegevens'!$C$17-'Invoer gegevens'!$C$16))/(1+'Invoer gegevens'!$C$39)^('Invoer gegevens'!$C$17-'Invoer gegevens'!$C$16)</f>
        <v>0</v>
      </c>
      <c r="AZ36" s="68">
        <f ca="1">IF(E36-'Invoer gegevens'!$C$17-14.5&lt;0,0,E36-'Invoer gegevens'!$C$17-14.5)</f>
        <v>16.5</v>
      </c>
    </row>
    <row r="37" spans="2:52" x14ac:dyDescent="0.25">
      <c r="B37" s="70">
        <f t="shared" si="9"/>
        <v>33</v>
      </c>
      <c r="C37" s="67">
        <f ca="1">IF(E37-'Invoer gegevens'!$C$17&lt;0,0,1)</f>
        <v>1</v>
      </c>
      <c r="D37" s="68">
        <f t="shared" si="10"/>
        <v>32.5</v>
      </c>
      <c r="E37" s="108">
        <f ca="1">IF('Invoer gegevens'!$C$16="","",E36+1)</f>
        <v>2051</v>
      </c>
      <c r="F37" s="84">
        <f ca="1">IF('Invoer gegevens'!$C$17=E37,'Invoer gegevens'!$C$10,IF(C37=1,K36,0))</f>
        <v>0</v>
      </c>
      <c r="G37" s="96">
        <f ca="1">IF(C37&gt;=1,F37*VLOOKUP(E37,Reeksen!$A$5:$B$76,2),0)</f>
        <v>0</v>
      </c>
      <c r="H37" s="84">
        <f ca="1">(1-('Invoer gegevens'!$F$20/12))*F37*MIN(Reeksen!B37,Reeksen!D37)</f>
        <v>0</v>
      </c>
      <c r="I37" s="84">
        <f>IF(Reeksen!D37&lt;Reeksen!B37,(Reeksen!B37-Reeksen!D37)*F37,0)</f>
        <v>0</v>
      </c>
      <c r="J37" s="84">
        <f ca="1">('Invoer gegevens'!$F$20/12)*F36*MIN(Reeksen!B36,Reeksen!D36)</f>
        <v>0</v>
      </c>
      <c r="K37" s="97">
        <f t="shared" ca="1" si="1"/>
        <v>0</v>
      </c>
      <c r="L37" s="84">
        <f ca="1">IF('Invoer gegevens'!$C$17=E37,0,IF(C37=1,Q36,0))</f>
        <v>0</v>
      </c>
      <c r="M37" s="96">
        <f ca="1">IF(C37&gt;=1,L37*VLOOKUP(E37,Reeksen!$A$5:$B$76,2),0)</f>
        <v>0</v>
      </c>
      <c r="N37" s="84">
        <f ca="1">(1-('Invoer gegevens'!$F$20/12))*L37*MIN(Reeksen!B37,Reeksen!D37)</f>
        <v>0</v>
      </c>
      <c r="O37" s="84">
        <f>IF(Reeksen!D37&lt;Reeksen!B37,(Reeksen!B37-Reeksen!D37)*L37,0)</f>
        <v>0</v>
      </c>
      <c r="P37" s="84">
        <f ca="1">('Invoer gegevens'!$F$20/12)*L36*MIN(Reeksen!B36,Reeksen!D36)</f>
        <v>0</v>
      </c>
      <c r="Q37" s="84">
        <f t="shared" ca="1" si="2"/>
        <v>0</v>
      </c>
      <c r="R37" s="82">
        <f ca="1">IF('Invoer gegevens'!$C$17=E37,'Invoer gegevens'!$C$11,IF(C37=1,W36,0))</f>
        <v>0</v>
      </c>
      <c r="S37" s="86">
        <f ca="1">IF(C37&gt;=1,R37*VLOOKUP(E37,Reeksen!$A$5:$B$76,2),0)</f>
        <v>0</v>
      </c>
      <c r="T37" s="84">
        <f ca="1">(1-('Invoer gegevens'!$F$20/12))*R37*MIN(Reeksen!B37,Reeksen!D37)</f>
        <v>0</v>
      </c>
      <c r="U37" s="84">
        <f>IF(Reeksen!D37&gt;=Reeksen!B37,0,IF(Reeksen!AK37&lt;=Reeksen!AE37,(Reeksen!B37-Reeksen!D37)*R37,0))</f>
        <v>0</v>
      </c>
      <c r="V37" s="86">
        <f>IF(Reeksen!D37&gt;=Reeksen!B37,0,IF(Reeksen!AK37&gt;Reeksen!AE37,(Reeksen!B37-Reeksen!D37)*R37,0))</f>
        <v>0</v>
      </c>
      <c r="W37" s="97">
        <f t="shared" ca="1" si="3"/>
        <v>0</v>
      </c>
      <c r="X37" s="98">
        <f ca="1">IF('Invoer gegevens'!$C$17=E37,'Invoer gegevens'!$C$10-'Invoer gegevens'!$C$11,IF(C37=1,AC36,0))</f>
        <v>0</v>
      </c>
      <c r="Y37" s="98">
        <f ca="1">IF(C37&gt;=1,X37*VLOOKUP(E37,Reeksen!$A$5:$B$76,2),0)</f>
        <v>0</v>
      </c>
      <c r="Z37" s="98">
        <f ca="1">(1-('Invoer gegevens'!$F$20/12))*X37*MIN(Reeksen!B37,Reeksen!D37)</f>
        <v>0</v>
      </c>
      <c r="AA37" s="98">
        <f>IF(Reeksen!D37&gt;=Reeksen!B37,0,IF(Reeksen!AK37&lt;=Reeksen!AE37,(Reeksen!B37-Reeksen!D37)*X37,0))</f>
        <v>0</v>
      </c>
      <c r="AB37" s="98">
        <f>IF(Reeksen!D37&gt;=Reeksen!B37,0,IF(Reeksen!AK37&gt;Reeksen!AE37,(Reeksen!B37-Reeksen!D37)*X37,0))</f>
        <v>0</v>
      </c>
      <c r="AC37" s="99">
        <f t="shared" ca="1" si="4"/>
        <v>0</v>
      </c>
      <c r="AD37" s="98">
        <f ca="1">IF('Invoer gegevens'!$C$17=E37,R37,IF(C37=0,0,AE36))</f>
        <v>0</v>
      </c>
      <c r="AE37" s="98">
        <f t="shared" ca="1" si="5"/>
        <v>0</v>
      </c>
      <c r="AF37" s="98">
        <f ca="1">IF('Invoer gegevens'!$C$17=E37,X37,IF(C37=0,0,AG36))</f>
        <v>0</v>
      </c>
      <c r="AG37" s="98">
        <f t="shared" ca="1" si="6"/>
        <v>0</v>
      </c>
      <c r="AH37" s="68"/>
      <c r="AI37" s="71">
        <f ca="1">IF(C37=1,Reeksen!AJ37*((F37-G37+F37)/2)*12+Reeksen!AK37*((L37-M37+L37)/2)*12,0)</f>
        <v>0</v>
      </c>
      <c r="AJ37" s="71">
        <f ca="1">-AI37*'Invoer gegevens'!$F$28</f>
        <v>0</v>
      </c>
      <c r="AK37" s="71">
        <f t="shared" ca="1" si="0"/>
        <v>0</v>
      </c>
      <c r="AL37" s="71">
        <f ca="1">IF(C37=1,Reeksen!AL37*((F37-G37+F37)/2)*12+Reeksen!AM37*((L37-M37+L37)/2)*12,0)</f>
        <v>0</v>
      </c>
      <c r="AM37" s="71">
        <f ca="1">-AL37*'Invoer gegevens'!$F$31</f>
        <v>0</v>
      </c>
      <c r="AN37" s="71">
        <f t="shared" ca="1" si="7"/>
        <v>0</v>
      </c>
      <c r="AO37" s="71">
        <f ca="1">IF(C37=1,(H37+J37+N37+P37)*Reeksen!AN37,0)</f>
        <v>0</v>
      </c>
      <c r="AP37" s="71">
        <f ca="1">-IF(C37=1,(H37+J37+N37+P37)*'Hulp - basis'!$G$550*Reeksen!H37,0)</f>
        <v>0</v>
      </c>
      <c r="AQ37" s="71">
        <f ca="1">-IF(C37=1,(F37+K37+L37+Q37)/2*'Invoer gegevens'!$I$33*Reeksen!J37,0)*2</f>
        <v>0</v>
      </c>
      <c r="AR37" s="71">
        <f ca="1">-IF(C37=1,(I37*'Invoer gegevens'!$I$34)*Reeksen!J37,0)</f>
        <v>0</v>
      </c>
      <c r="AS37" s="71">
        <f ca="1">-IF(C37=1,(F37+K37+L37+Q37)/2*'Invoer gegevens'!$I$35*Reeksen!L37,0)</f>
        <v>0</v>
      </c>
      <c r="AT37" s="71">
        <f ca="1">-IF(C37=1,IF(E37='Invoer gegevens'!$C$17,'Invoer gegevens'!$C$11,AD37)*Reeksen!S37*'Invoer gegevens'!$C$18*Reeksen!P37,0)</f>
        <v>0</v>
      </c>
      <c r="AU37" s="71">
        <f ca="1">-IF(C37=1,(F37+K37+L37+Q37)/2*'Invoer gegevens'!$I$36*Reeksen!H37,0)</f>
        <v>0</v>
      </c>
      <c r="AV37" s="71">
        <f>IF('Invoer gegevens'!$C$3="Basis",0,#REF!)</f>
        <v>0</v>
      </c>
      <c r="AW37" s="71">
        <f t="shared" ca="1" si="8"/>
        <v>0</v>
      </c>
      <c r="AX37" s="71">
        <f ca="1">IF(E37&lt;'Invoer gegevens'!$C$17+15,0,IF(E37&gt;'Invoer gegevens'!$C$17+215,0,AW37))</f>
        <v>0</v>
      </c>
      <c r="AY37" s="71">
        <f ca="1">AX37/(1+'Invoer gegevens'!$F$18)^($AZ37-('Invoer gegevens'!$C$17-'Invoer gegevens'!$C$16))/(1+'Invoer gegevens'!$C$39)^('Invoer gegevens'!$C$17-'Invoer gegevens'!$C$16)</f>
        <v>0</v>
      </c>
      <c r="AZ37" s="68">
        <f ca="1">IF(E37-'Invoer gegevens'!$C$17-14.5&lt;0,0,E37-'Invoer gegevens'!$C$17-14.5)</f>
        <v>17.5</v>
      </c>
    </row>
    <row r="38" spans="2:52" x14ac:dyDescent="0.25">
      <c r="B38" s="70">
        <f t="shared" si="9"/>
        <v>34</v>
      </c>
      <c r="C38" s="67">
        <f ca="1">IF(E38-'Invoer gegevens'!$C$17&lt;0,0,1)</f>
        <v>1</v>
      </c>
      <c r="D38" s="68">
        <f t="shared" si="10"/>
        <v>33.5</v>
      </c>
      <c r="E38" s="108">
        <f ca="1">IF('Invoer gegevens'!$C$16="","",E37+1)</f>
        <v>2052</v>
      </c>
      <c r="F38" s="84">
        <f ca="1">IF('Invoer gegevens'!$C$17=E38,'Invoer gegevens'!$C$10,IF(C38=1,K37,0))</f>
        <v>0</v>
      </c>
      <c r="G38" s="96">
        <f ca="1">IF(C38&gt;=1,F38*VLOOKUP(E38,Reeksen!$A$5:$B$76,2),0)</f>
        <v>0</v>
      </c>
      <c r="H38" s="84">
        <f ca="1">(1-('Invoer gegevens'!$F$20/12))*F38*MIN(Reeksen!B38,Reeksen!D38)</f>
        <v>0</v>
      </c>
      <c r="I38" s="84">
        <f>IF(Reeksen!D38&lt;Reeksen!B38,(Reeksen!B38-Reeksen!D38)*F38,0)</f>
        <v>0</v>
      </c>
      <c r="J38" s="84">
        <f ca="1">('Invoer gegevens'!$F$20/12)*F37*MIN(Reeksen!B37,Reeksen!D37)</f>
        <v>0</v>
      </c>
      <c r="K38" s="97">
        <f t="shared" ca="1" si="1"/>
        <v>0</v>
      </c>
      <c r="L38" s="84">
        <f ca="1">IF('Invoer gegevens'!$C$17=E38,0,IF(C38=1,Q37,0))</f>
        <v>0</v>
      </c>
      <c r="M38" s="96">
        <f ca="1">IF(C38&gt;=1,L38*VLOOKUP(E38,Reeksen!$A$5:$B$76,2),0)</f>
        <v>0</v>
      </c>
      <c r="N38" s="84">
        <f ca="1">(1-('Invoer gegevens'!$F$20/12))*L38*MIN(Reeksen!B38,Reeksen!D38)</f>
        <v>0</v>
      </c>
      <c r="O38" s="84">
        <f>IF(Reeksen!D38&lt;Reeksen!B38,(Reeksen!B38-Reeksen!D38)*L38,0)</f>
        <v>0</v>
      </c>
      <c r="P38" s="84">
        <f ca="1">('Invoer gegevens'!$F$20/12)*L37*MIN(Reeksen!B37,Reeksen!D37)</f>
        <v>0</v>
      </c>
      <c r="Q38" s="84">
        <f t="shared" ca="1" si="2"/>
        <v>0</v>
      </c>
      <c r="R38" s="82">
        <f ca="1">IF('Invoer gegevens'!$C$17=E38,'Invoer gegevens'!$C$11,IF(C38=1,W37,0))</f>
        <v>0</v>
      </c>
      <c r="S38" s="86">
        <f ca="1">IF(C38&gt;=1,R38*VLOOKUP(E38,Reeksen!$A$5:$B$76,2),0)</f>
        <v>0</v>
      </c>
      <c r="T38" s="84">
        <f ca="1">(1-('Invoer gegevens'!$F$20/12))*R38*MIN(Reeksen!B38,Reeksen!D38)</f>
        <v>0</v>
      </c>
      <c r="U38" s="84">
        <f>IF(Reeksen!D38&gt;=Reeksen!B38,0,IF(Reeksen!AK38&lt;=Reeksen!AE38,(Reeksen!B38-Reeksen!D38)*R38,0))</f>
        <v>0</v>
      </c>
      <c r="V38" s="86">
        <f>IF(Reeksen!D38&gt;=Reeksen!B38,0,IF(Reeksen!AK38&gt;Reeksen!AE38,(Reeksen!B38-Reeksen!D38)*R38,0))</f>
        <v>0</v>
      </c>
      <c r="W38" s="97">
        <f t="shared" ca="1" si="3"/>
        <v>0</v>
      </c>
      <c r="X38" s="98">
        <f ca="1">IF('Invoer gegevens'!$C$17=E38,'Invoer gegevens'!$C$10-'Invoer gegevens'!$C$11,IF(C38=1,AC37,0))</f>
        <v>0</v>
      </c>
      <c r="Y38" s="98">
        <f ca="1">IF(C38&gt;=1,X38*VLOOKUP(E38,Reeksen!$A$5:$B$76,2),0)</f>
        <v>0</v>
      </c>
      <c r="Z38" s="98">
        <f ca="1">(1-('Invoer gegevens'!$F$20/12))*X38*MIN(Reeksen!B38,Reeksen!D38)</f>
        <v>0</v>
      </c>
      <c r="AA38" s="98">
        <f>IF(Reeksen!D38&gt;=Reeksen!B38,0,IF(Reeksen!AK38&lt;=Reeksen!AE38,(Reeksen!B38-Reeksen!D38)*X38,0))</f>
        <v>0</v>
      </c>
      <c r="AB38" s="98">
        <f>IF(Reeksen!D38&gt;=Reeksen!B38,0,IF(Reeksen!AK38&gt;Reeksen!AE38,(Reeksen!B38-Reeksen!D38)*X38,0))</f>
        <v>0</v>
      </c>
      <c r="AC38" s="99">
        <f t="shared" ca="1" si="4"/>
        <v>0</v>
      </c>
      <c r="AD38" s="98">
        <f ca="1">IF('Invoer gegevens'!$C$17=E38,R38,IF(C38=0,0,AE37))</f>
        <v>0</v>
      </c>
      <c r="AE38" s="98">
        <f t="shared" ca="1" si="5"/>
        <v>0</v>
      </c>
      <c r="AF38" s="98">
        <f ca="1">IF('Invoer gegevens'!$C$17=E38,X38,IF(C38=0,0,AG37))</f>
        <v>0</v>
      </c>
      <c r="AG38" s="98">
        <f t="shared" ca="1" si="6"/>
        <v>0</v>
      </c>
      <c r="AH38" s="68"/>
      <c r="AI38" s="71">
        <f ca="1">IF(C38=1,Reeksen!AJ38*((F38-G38+F38)/2)*12+Reeksen!AK38*((L38-M38+L38)/2)*12,0)</f>
        <v>0</v>
      </c>
      <c r="AJ38" s="71">
        <f ca="1">-AI38*'Invoer gegevens'!$F$28</f>
        <v>0</v>
      </c>
      <c r="AK38" s="71">
        <f t="shared" ca="1" si="0"/>
        <v>0</v>
      </c>
      <c r="AL38" s="71">
        <f ca="1">IF(C38=1,Reeksen!AL38*((F38-G38+F38)/2)*12+Reeksen!AM38*((L38-M38+L38)/2)*12,0)</f>
        <v>0</v>
      </c>
      <c r="AM38" s="71">
        <f ca="1">-AL38*'Invoer gegevens'!$F$31</f>
        <v>0</v>
      </c>
      <c r="AN38" s="71">
        <f t="shared" ca="1" si="7"/>
        <v>0</v>
      </c>
      <c r="AO38" s="71">
        <f ca="1">IF(C38=1,(H38+J38+N38+P38)*Reeksen!AN38,0)</f>
        <v>0</v>
      </c>
      <c r="AP38" s="71">
        <f ca="1">-IF(C38=1,(H38+J38+N38+P38)*'Hulp - basis'!$G$550*Reeksen!H38,0)</f>
        <v>0</v>
      </c>
      <c r="AQ38" s="71">
        <f ca="1">-IF(C38=1,(F38+K38+L38+Q38)/2*'Invoer gegevens'!$I$33*Reeksen!J38,0)*2</f>
        <v>0</v>
      </c>
      <c r="AR38" s="71">
        <f ca="1">-IF(C38=1,(I38*'Invoer gegevens'!$I$34)*Reeksen!J38,0)</f>
        <v>0</v>
      </c>
      <c r="AS38" s="71">
        <f ca="1">-IF(C38=1,(F38+K38+L38+Q38)/2*'Invoer gegevens'!$I$35*Reeksen!L38,0)</f>
        <v>0</v>
      </c>
      <c r="AT38" s="71">
        <f ca="1">-IF(C38=1,IF(E38='Invoer gegevens'!$C$17,'Invoer gegevens'!$C$11,AD38)*Reeksen!S38*'Invoer gegevens'!$C$18*Reeksen!P38,0)</f>
        <v>0</v>
      </c>
      <c r="AU38" s="71">
        <f ca="1">-IF(C38=1,(F38+K38+L38+Q38)/2*'Invoer gegevens'!$I$36*Reeksen!H38,0)</f>
        <v>0</v>
      </c>
      <c r="AV38" s="71">
        <f>IF('Invoer gegevens'!$C$3="Basis",0,#REF!)</f>
        <v>0</v>
      </c>
      <c r="AW38" s="71">
        <f t="shared" ca="1" si="8"/>
        <v>0</v>
      </c>
      <c r="AX38" s="71">
        <f ca="1">IF(E38&lt;'Invoer gegevens'!$C$17+15,0,IF(E38&gt;'Invoer gegevens'!$C$17+215,0,AW38))</f>
        <v>0</v>
      </c>
      <c r="AY38" s="71">
        <f ca="1">AX38/(1+'Invoer gegevens'!$F$18)^($AZ38-('Invoer gegevens'!$C$17-'Invoer gegevens'!$C$16))/(1+'Invoer gegevens'!$C$39)^('Invoer gegevens'!$C$17-'Invoer gegevens'!$C$16)</f>
        <v>0</v>
      </c>
      <c r="AZ38" s="68">
        <f ca="1">IF(E38-'Invoer gegevens'!$C$17-14.5&lt;0,0,E38-'Invoer gegevens'!$C$17-14.5)</f>
        <v>18.5</v>
      </c>
    </row>
    <row r="39" spans="2:52" x14ac:dyDescent="0.25">
      <c r="B39" s="70">
        <f t="shared" si="9"/>
        <v>35</v>
      </c>
      <c r="C39" s="67">
        <f ca="1">IF(E39-'Invoer gegevens'!$C$17&lt;0,0,1)</f>
        <v>1</v>
      </c>
      <c r="D39" s="68">
        <f t="shared" si="10"/>
        <v>34.5</v>
      </c>
      <c r="E39" s="108">
        <f ca="1">IF('Invoer gegevens'!$C$16="","",E38+1)</f>
        <v>2053</v>
      </c>
      <c r="F39" s="84">
        <f ca="1">IF('Invoer gegevens'!$C$17=E39,'Invoer gegevens'!$C$10,IF(C39=1,K38,0))</f>
        <v>0</v>
      </c>
      <c r="G39" s="96">
        <f ca="1">IF(C39&gt;=1,F39*VLOOKUP(E39,Reeksen!$A$5:$B$76,2),0)</f>
        <v>0</v>
      </c>
      <c r="H39" s="84">
        <f ca="1">(1-('Invoer gegevens'!$F$20/12))*F39*MIN(Reeksen!B39,Reeksen!D39)</f>
        <v>0</v>
      </c>
      <c r="I39" s="84">
        <f>IF(Reeksen!D39&lt;Reeksen!B39,(Reeksen!B39-Reeksen!D39)*F39,0)</f>
        <v>0</v>
      </c>
      <c r="J39" s="84">
        <f ca="1">('Invoer gegevens'!$F$20/12)*F38*MIN(Reeksen!B38,Reeksen!D38)</f>
        <v>0</v>
      </c>
      <c r="K39" s="97">
        <f t="shared" ca="1" si="1"/>
        <v>0</v>
      </c>
      <c r="L39" s="84">
        <f ca="1">IF('Invoer gegevens'!$C$17=E39,0,IF(C39=1,Q38,0))</f>
        <v>0</v>
      </c>
      <c r="M39" s="96">
        <f ca="1">IF(C39&gt;=1,L39*VLOOKUP(E39,Reeksen!$A$5:$B$76,2),0)</f>
        <v>0</v>
      </c>
      <c r="N39" s="84">
        <f ca="1">(1-('Invoer gegevens'!$F$20/12))*L39*MIN(Reeksen!B39,Reeksen!D39)</f>
        <v>0</v>
      </c>
      <c r="O39" s="84">
        <f>IF(Reeksen!D39&lt;Reeksen!B39,(Reeksen!B39-Reeksen!D39)*L39,0)</f>
        <v>0</v>
      </c>
      <c r="P39" s="84">
        <f ca="1">('Invoer gegevens'!$F$20/12)*L38*MIN(Reeksen!B38,Reeksen!D38)</f>
        <v>0</v>
      </c>
      <c r="Q39" s="84">
        <f t="shared" ca="1" si="2"/>
        <v>0</v>
      </c>
      <c r="R39" s="82">
        <f ca="1">IF('Invoer gegevens'!$C$17=E39,'Invoer gegevens'!$C$11,IF(C39=1,W38,0))</f>
        <v>0</v>
      </c>
      <c r="S39" s="86">
        <f ca="1">IF(C39&gt;=1,R39*VLOOKUP(E39,Reeksen!$A$5:$B$76,2),0)</f>
        <v>0</v>
      </c>
      <c r="T39" s="84">
        <f ca="1">(1-('Invoer gegevens'!$F$20/12))*R39*MIN(Reeksen!B39,Reeksen!D39)</f>
        <v>0</v>
      </c>
      <c r="U39" s="84">
        <f>IF(Reeksen!D39&gt;=Reeksen!B39,0,IF(Reeksen!AK39&lt;=Reeksen!AE39,(Reeksen!B39-Reeksen!D39)*R39,0))</f>
        <v>0</v>
      </c>
      <c r="V39" s="86">
        <f>IF(Reeksen!D39&gt;=Reeksen!B39,0,IF(Reeksen!AK39&gt;Reeksen!AE39,(Reeksen!B39-Reeksen!D39)*R39,0))</f>
        <v>0</v>
      </c>
      <c r="W39" s="97">
        <f t="shared" ca="1" si="3"/>
        <v>0</v>
      </c>
      <c r="X39" s="98">
        <f ca="1">IF('Invoer gegevens'!$C$17=E39,'Invoer gegevens'!$C$10-'Invoer gegevens'!$C$11,IF(C39=1,AC38,0))</f>
        <v>0</v>
      </c>
      <c r="Y39" s="98">
        <f ca="1">IF(C39&gt;=1,X39*VLOOKUP(E39,Reeksen!$A$5:$B$76,2),0)</f>
        <v>0</v>
      </c>
      <c r="Z39" s="98">
        <f ca="1">(1-('Invoer gegevens'!$F$20/12))*X39*MIN(Reeksen!B39,Reeksen!D39)</f>
        <v>0</v>
      </c>
      <c r="AA39" s="98">
        <f>IF(Reeksen!D39&gt;=Reeksen!B39,0,IF(Reeksen!AK39&lt;=Reeksen!AE39,(Reeksen!B39-Reeksen!D39)*X39,0))</f>
        <v>0</v>
      </c>
      <c r="AB39" s="98">
        <f>IF(Reeksen!D39&gt;=Reeksen!B39,0,IF(Reeksen!AK39&gt;Reeksen!AE39,(Reeksen!B39-Reeksen!D39)*X39,0))</f>
        <v>0</v>
      </c>
      <c r="AC39" s="99">
        <f t="shared" ca="1" si="4"/>
        <v>0</v>
      </c>
      <c r="AD39" s="98">
        <f ca="1">IF('Invoer gegevens'!$C$17=E39,R39,IF(C39=0,0,AE38))</f>
        <v>0</v>
      </c>
      <c r="AE39" s="98">
        <f t="shared" ca="1" si="5"/>
        <v>0</v>
      </c>
      <c r="AF39" s="98">
        <f ca="1">IF('Invoer gegevens'!$C$17=E39,X39,IF(C39=0,0,AG38))</f>
        <v>0</v>
      </c>
      <c r="AG39" s="98">
        <f t="shared" ca="1" si="6"/>
        <v>0</v>
      </c>
      <c r="AH39" s="68"/>
      <c r="AI39" s="71">
        <f ca="1">IF(C39=1,Reeksen!AJ39*((F39-G39+F39)/2)*12+Reeksen!AK39*((L39-M39+L39)/2)*12,0)</f>
        <v>0</v>
      </c>
      <c r="AJ39" s="71">
        <f ca="1">-AI39*'Invoer gegevens'!$F$28</f>
        <v>0</v>
      </c>
      <c r="AK39" s="71">
        <f t="shared" ca="1" si="0"/>
        <v>0</v>
      </c>
      <c r="AL39" s="71">
        <f ca="1">IF(C39=1,Reeksen!AL39*((F39-G39+F39)/2)*12+Reeksen!AM39*((L39-M39+L39)/2)*12,0)</f>
        <v>0</v>
      </c>
      <c r="AM39" s="71">
        <f ca="1">-AL39*'Invoer gegevens'!$F$31</f>
        <v>0</v>
      </c>
      <c r="AN39" s="71">
        <f t="shared" ca="1" si="7"/>
        <v>0</v>
      </c>
      <c r="AO39" s="71">
        <f ca="1">IF(C39=1,(H39+J39+N39+P39)*Reeksen!AN39,0)</f>
        <v>0</v>
      </c>
      <c r="AP39" s="71">
        <f ca="1">-IF(C39=1,(H39+J39+N39+P39)*'Hulp - basis'!$G$550*Reeksen!H39,0)</f>
        <v>0</v>
      </c>
      <c r="AQ39" s="71">
        <f ca="1">-IF(C39=1,(F39+K39+L39+Q39)/2*'Invoer gegevens'!$I$33*Reeksen!J39,0)*2</f>
        <v>0</v>
      </c>
      <c r="AR39" s="71">
        <f ca="1">-IF(C39=1,(I39*'Invoer gegevens'!$I$34)*Reeksen!J39,0)</f>
        <v>0</v>
      </c>
      <c r="AS39" s="71">
        <f ca="1">-IF(C39=1,(F39+K39+L39+Q39)/2*'Invoer gegevens'!$I$35*Reeksen!L39,0)</f>
        <v>0</v>
      </c>
      <c r="AT39" s="71">
        <f ca="1">-IF(C39=1,IF(E39='Invoer gegevens'!$C$17,'Invoer gegevens'!$C$11,AD39)*Reeksen!S39*'Invoer gegevens'!$C$18*Reeksen!P39,0)</f>
        <v>0</v>
      </c>
      <c r="AU39" s="71">
        <f ca="1">-IF(C39=1,(F39+K39+L39+Q39)/2*'Invoer gegevens'!$I$36*Reeksen!H39,0)</f>
        <v>0</v>
      </c>
      <c r="AV39" s="71">
        <f>IF('Invoer gegevens'!$C$3="Basis",0,#REF!)</f>
        <v>0</v>
      </c>
      <c r="AW39" s="71">
        <f t="shared" ca="1" si="8"/>
        <v>0</v>
      </c>
      <c r="AX39" s="71">
        <f ca="1">IF(E39&lt;'Invoer gegevens'!$C$17+15,0,IF(E39&gt;'Invoer gegevens'!$C$17+215,0,AW39))</f>
        <v>0</v>
      </c>
      <c r="AY39" s="71">
        <f ca="1">AX39/(1+'Invoer gegevens'!$F$18)^($AZ39-('Invoer gegevens'!$C$17-'Invoer gegevens'!$C$16))/(1+'Invoer gegevens'!$C$39)^('Invoer gegevens'!$C$17-'Invoer gegevens'!$C$16)</f>
        <v>0</v>
      </c>
      <c r="AZ39" s="68">
        <f ca="1">IF(E39-'Invoer gegevens'!$C$17-14.5&lt;0,0,E39-'Invoer gegevens'!$C$17-14.5)</f>
        <v>19.5</v>
      </c>
    </row>
    <row r="40" spans="2:52" x14ac:dyDescent="0.25">
      <c r="B40" s="70">
        <f t="shared" si="9"/>
        <v>36</v>
      </c>
      <c r="C40" s="67">
        <f ca="1">IF(E40-'Invoer gegevens'!$C$17&lt;0,0,1)</f>
        <v>1</v>
      </c>
      <c r="D40" s="68">
        <f t="shared" si="10"/>
        <v>35.5</v>
      </c>
      <c r="E40" s="108">
        <f ca="1">IF('Invoer gegevens'!$C$16="","",E39+1)</f>
        <v>2054</v>
      </c>
      <c r="F40" s="84">
        <f ca="1">IF('Invoer gegevens'!$C$17=E40,'Invoer gegevens'!$C$10,IF(C40=1,K39,0))</f>
        <v>0</v>
      </c>
      <c r="G40" s="96">
        <f ca="1">IF(C40&gt;=1,F40*VLOOKUP(E40,Reeksen!$A$5:$B$76,2),0)</f>
        <v>0</v>
      </c>
      <c r="H40" s="84">
        <f ca="1">(1-('Invoer gegevens'!$F$20/12))*F40*MIN(Reeksen!B40,Reeksen!D40)</f>
        <v>0</v>
      </c>
      <c r="I40" s="84">
        <f>IF(Reeksen!D40&lt;Reeksen!B40,(Reeksen!B40-Reeksen!D40)*F40,0)</f>
        <v>0</v>
      </c>
      <c r="J40" s="84">
        <f ca="1">('Invoer gegevens'!$F$20/12)*F39*MIN(Reeksen!B39,Reeksen!D39)</f>
        <v>0</v>
      </c>
      <c r="K40" s="97">
        <f t="shared" ca="1" si="1"/>
        <v>0</v>
      </c>
      <c r="L40" s="84">
        <f ca="1">IF('Invoer gegevens'!$C$17=E40,0,IF(C40=1,Q39,0))</f>
        <v>0</v>
      </c>
      <c r="M40" s="96">
        <f ca="1">IF(C40&gt;=1,L40*VLOOKUP(E40,Reeksen!$A$5:$B$76,2),0)</f>
        <v>0</v>
      </c>
      <c r="N40" s="84">
        <f ca="1">(1-('Invoer gegevens'!$F$20/12))*L40*MIN(Reeksen!B40,Reeksen!D40)</f>
        <v>0</v>
      </c>
      <c r="O40" s="84">
        <f>IF(Reeksen!D40&lt;Reeksen!B40,(Reeksen!B40-Reeksen!D40)*L40,0)</f>
        <v>0</v>
      </c>
      <c r="P40" s="84">
        <f ca="1">('Invoer gegevens'!$F$20/12)*L39*MIN(Reeksen!B39,Reeksen!D39)</f>
        <v>0</v>
      </c>
      <c r="Q40" s="84">
        <f t="shared" ca="1" si="2"/>
        <v>0</v>
      </c>
      <c r="R40" s="82">
        <f ca="1">IF('Invoer gegevens'!$C$17=E40,'Invoer gegevens'!$C$11,IF(C40=1,W39,0))</f>
        <v>0</v>
      </c>
      <c r="S40" s="86">
        <f ca="1">IF(C40&gt;=1,R40*VLOOKUP(E40,Reeksen!$A$5:$B$76,2),0)</f>
        <v>0</v>
      </c>
      <c r="T40" s="84">
        <f ca="1">(1-('Invoer gegevens'!$F$20/12))*R40*MIN(Reeksen!B40,Reeksen!D40)</f>
        <v>0</v>
      </c>
      <c r="U40" s="84">
        <f>IF(Reeksen!D40&gt;=Reeksen!B40,0,IF(Reeksen!AK40&lt;=Reeksen!AE40,(Reeksen!B40-Reeksen!D40)*R40,0))</f>
        <v>0</v>
      </c>
      <c r="V40" s="86">
        <f>IF(Reeksen!D40&gt;=Reeksen!B40,0,IF(Reeksen!AK40&gt;Reeksen!AE40,(Reeksen!B40-Reeksen!D40)*R40,0))</f>
        <v>0</v>
      </c>
      <c r="W40" s="97">
        <f t="shared" ca="1" si="3"/>
        <v>0</v>
      </c>
      <c r="X40" s="98">
        <f ca="1">IF('Invoer gegevens'!$C$17=E40,'Invoer gegevens'!$C$10-'Invoer gegevens'!$C$11,IF(C40=1,AC39,0))</f>
        <v>0</v>
      </c>
      <c r="Y40" s="98">
        <f ca="1">IF(C40&gt;=1,X40*VLOOKUP(E40,Reeksen!$A$5:$B$76,2),0)</f>
        <v>0</v>
      </c>
      <c r="Z40" s="98">
        <f ca="1">(1-('Invoer gegevens'!$F$20/12))*X40*MIN(Reeksen!B40,Reeksen!D40)</f>
        <v>0</v>
      </c>
      <c r="AA40" s="98">
        <f>IF(Reeksen!D40&gt;=Reeksen!B40,0,IF(Reeksen!AK40&lt;=Reeksen!AE40,(Reeksen!B40-Reeksen!D40)*X40,0))</f>
        <v>0</v>
      </c>
      <c r="AB40" s="98">
        <f>IF(Reeksen!D40&gt;=Reeksen!B40,0,IF(Reeksen!AK40&gt;Reeksen!AE40,(Reeksen!B40-Reeksen!D40)*X40,0))</f>
        <v>0</v>
      </c>
      <c r="AC40" s="99">
        <f t="shared" ca="1" si="4"/>
        <v>0</v>
      </c>
      <c r="AD40" s="98">
        <f ca="1">IF('Invoer gegevens'!$C$17=E40,R40,IF(C40=0,0,AE39))</f>
        <v>0</v>
      </c>
      <c r="AE40" s="98">
        <f t="shared" ca="1" si="5"/>
        <v>0</v>
      </c>
      <c r="AF40" s="98">
        <f ca="1">IF('Invoer gegevens'!$C$17=E40,X40,IF(C40=0,0,AG39))</f>
        <v>0</v>
      </c>
      <c r="AG40" s="98">
        <f t="shared" ca="1" si="6"/>
        <v>0</v>
      </c>
      <c r="AH40" s="68"/>
      <c r="AI40" s="71">
        <f ca="1">IF(C40=1,Reeksen!AJ40*((F40-G40+F40)/2)*12+Reeksen!AK40*((L40-M40+L40)/2)*12,0)</f>
        <v>0</v>
      </c>
      <c r="AJ40" s="71">
        <f ca="1">-AI40*'Invoer gegevens'!$F$28</f>
        <v>0</v>
      </c>
      <c r="AK40" s="71">
        <f t="shared" ca="1" si="0"/>
        <v>0</v>
      </c>
      <c r="AL40" s="71">
        <f ca="1">IF(C40=1,Reeksen!AL40*((F40-G40+F40)/2)*12+Reeksen!AM40*((L40-M40+L40)/2)*12,0)</f>
        <v>0</v>
      </c>
      <c r="AM40" s="71">
        <f ca="1">-AL40*'Invoer gegevens'!$F$31</f>
        <v>0</v>
      </c>
      <c r="AN40" s="71">
        <f t="shared" ca="1" si="7"/>
        <v>0</v>
      </c>
      <c r="AO40" s="71">
        <f ca="1">IF(C40=1,(H40+J40+N40+P40)*Reeksen!AN40,0)</f>
        <v>0</v>
      </c>
      <c r="AP40" s="71">
        <f ca="1">-IF(C40=1,(H40+J40+N40+P40)*'Hulp - basis'!$G$550*Reeksen!H40,0)</f>
        <v>0</v>
      </c>
      <c r="AQ40" s="71">
        <f ca="1">-IF(C40=1,(F40+K40+L40+Q40)/2*'Invoer gegevens'!$I$33*Reeksen!J40,0)*2</f>
        <v>0</v>
      </c>
      <c r="AR40" s="71">
        <f ca="1">-IF(C40=1,(I40*'Invoer gegevens'!$I$34)*Reeksen!J40,0)</f>
        <v>0</v>
      </c>
      <c r="AS40" s="71">
        <f ca="1">-IF(C40=1,(F40+K40+L40+Q40)/2*'Invoer gegevens'!$I$35*Reeksen!L40,0)</f>
        <v>0</v>
      </c>
      <c r="AT40" s="71">
        <f ca="1">-IF(C40=1,IF(E40='Invoer gegevens'!$C$17,'Invoer gegevens'!$C$11,AD40)*Reeksen!S40*'Invoer gegevens'!$C$18*Reeksen!P40,0)</f>
        <v>0</v>
      </c>
      <c r="AU40" s="71">
        <f ca="1">-IF(C40=1,(F40+K40+L40+Q40)/2*'Invoer gegevens'!$I$36*Reeksen!H40,0)</f>
        <v>0</v>
      </c>
      <c r="AV40" s="71">
        <f>IF('Invoer gegevens'!$C$3="Basis",0,#REF!)</f>
        <v>0</v>
      </c>
      <c r="AW40" s="71">
        <f t="shared" ca="1" si="8"/>
        <v>0</v>
      </c>
      <c r="AX40" s="71">
        <f ca="1">IF(E40&lt;'Invoer gegevens'!$C$17+15,0,IF(E40&gt;'Invoer gegevens'!$C$17+215,0,AW40))</f>
        <v>0</v>
      </c>
      <c r="AY40" s="71">
        <f ca="1">AX40/(1+'Invoer gegevens'!$F$18)^($AZ40-('Invoer gegevens'!$C$17-'Invoer gegevens'!$C$16))/(1+'Invoer gegevens'!$C$39)^('Invoer gegevens'!$C$17-'Invoer gegevens'!$C$16)</f>
        <v>0</v>
      </c>
      <c r="AZ40" s="68">
        <f ca="1">IF(E40-'Invoer gegevens'!$C$17-14.5&lt;0,0,E40-'Invoer gegevens'!$C$17-14.5)</f>
        <v>20.5</v>
      </c>
    </row>
    <row r="41" spans="2:52" x14ac:dyDescent="0.25">
      <c r="B41" s="70">
        <f t="shared" si="9"/>
        <v>37</v>
      </c>
      <c r="C41" s="67">
        <f ca="1">IF(E41-'Invoer gegevens'!$C$17&lt;0,0,1)</f>
        <v>1</v>
      </c>
      <c r="D41" s="68">
        <f t="shared" si="10"/>
        <v>36.5</v>
      </c>
      <c r="E41" s="108">
        <f ca="1">IF('Invoer gegevens'!$C$16="","",E40+1)</f>
        <v>2055</v>
      </c>
      <c r="F41" s="84">
        <f ca="1">IF('Invoer gegevens'!$C$17=E41,'Invoer gegevens'!$C$10,IF(C41=1,K40,0))</f>
        <v>0</v>
      </c>
      <c r="G41" s="96">
        <f ca="1">IF(C41&gt;=1,F41*VLOOKUP(E41,Reeksen!$A$5:$B$76,2),0)</f>
        <v>0</v>
      </c>
      <c r="H41" s="84">
        <f ca="1">(1-('Invoer gegevens'!$F$20/12))*F41*MIN(Reeksen!B41,Reeksen!D41)</f>
        <v>0</v>
      </c>
      <c r="I41" s="84">
        <f>IF(Reeksen!D41&lt;Reeksen!B41,(Reeksen!B41-Reeksen!D41)*F41,0)</f>
        <v>0</v>
      </c>
      <c r="J41" s="84">
        <f ca="1">('Invoer gegevens'!$F$20/12)*F40*MIN(Reeksen!B40,Reeksen!D40)</f>
        <v>0</v>
      </c>
      <c r="K41" s="97">
        <f t="shared" ca="1" si="1"/>
        <v>0</v>
      </c>
      <c r="L41" s="84">
        <f ca="1">IF('Invoer gegevens'!$C$17=E41,0,IF(C41=1,Q40,0))</f>
        <v>0</v>
      </c>
      <c r="M41" s="96">
        <f ca="1">IF(C41&gt;=1,L41*VLOOKUP(E41,Reeksen!$A$5:$B$76,2),0)</f>
        <v>0</v>
      </c>
      <c r="N41" s="84">
        <f ca="1">(1-('Invoer gegevens'!$F$20/12))*L41*MIN(Reeksen!B41,Reeksen!D41)</f>
        <v>0</v>
      </c>
      <c r="O41" s="84">
        <f>IF(Reeksen!D41&lt;Reeksen!B41,(Reeksen!B41-Reeksen!D41)*L41,0)</f>
        <v>0</v>
      </c>
      <c r="P41" s="84">
        <f ca="1">('Invoer gegevens'!$F$20/12)*L40*MIN(Reeksen!B40,Reeksen!D40)</f>
        <v>0</v>
      </c>
      <c r="Q41" s="84">
        <f t="shared" ca="1" si="2"/>
        <v>0</v>
      </c>
      <c r="R41" s="82">
        <f ca="1">IF('Invoer gegevens'!$C$17=E41,'Invoer gegevens'!$C$11,IF(C41=1,W40,0))</f>
        <v>0</v>
      </c>
      <c r="S41" s="86">
        <f ca="1">IF(C41&gt;=1,R41*VLOOKUP(E41,Reeksen!$A$5:$B$76,2),0)</f>
        <v>0</v>
      </c>
      <c r="T41" s="84">
        <f ca="1">(1-('Invoer gegevens'!$F$20/12))*R41*MIN(Reeksen!B41,Reeksen!D41)</f>
        <v>0</v>
      </c>
      <c r="U41" s="84">
        <f>IF(Reeksen!D41&gt;=Reeksen!B41,0,IF(Reeksen!AK41&lt;=Reeksen!AE41,(Reeksen!B41-Reeksen!D41)*R41,0))</f>
        <v>0</v>
      </c>
      <c r="V41" s="86">
        <f>IF(Reeksen!D41&gt;=Reeksen!B41,0,IF(Reeksen!AK41&gt;Reeksen!AE41,(Reeksen!B41-Reeksen!D41)*R41,0))</f>
        <v>0</v>
      </c>
      <c r="W41" s="97">
        <f t="shared" ca="1" si="3"/>
        <v>0</v>
      </c>
      <c r="X41" s="98">
        <f ca="1">IF('Invoer gegevens'!$C$17=E41,'Invoer gegevens'!$C$10-'Invoer gegevens'!$C$11,IF(C41=1,AC40,0))</f>
        <v>0</v>
      </c>
      <c r="Y41" s="98">
        <f ca="1">IF(C41&gt;=1,X41*VLOOKUP(E41,Reeksen!$A$5:$B$76,2),0)</f>
        <v>0</v>
      </c>
      <c r="Z41" s="98">
        <f ca="1">(1-('Invoer gegevens'!$F$20/12))*X41*MIN(Reeksen!B41,Reeksen!D41)</f>
        <v>0</v>
      </c>
      <c r="AA41" s="98">
        <f>IF(Reeksen!D41&gt;=Reeksen!B41,0,IF(Reeksen!AK41&lt;=Reeksen!AE41,(Reeksen!B41-Reeksen!D41)*X41,0))</f>
        <v>0</v>
      </c>
      <c r="AB41" s="98">
        <f>IF(Reeksen!D41&gt;=Reeksen!B41,0,IF(Reeksen!AK41&gt;Reeksen!AE41,(Reeksen!B41-Reeksen!D41)*X41,0))</f>
        <v>0</v>
      </c>
      <c r="AC41" s="99">
        <f t="shared" ca="1" si="4"/>
        <v>0</v>
      </c>
      <c r="AD41" s="98">
        <f ca="1">IF('Invoer gegevens'!$C$17=E41,R41,IF(C41=0,0,AE40))</f>
        <v>0</v>
      </c>
      <c r="AE41" s="98">
        <f t="shared" ca="1" si="5"/>
        <v>0</v>
      </c>
      <c r="AF41" s="98">
        <f ca="1">IF('Invoer gegevens'!$C$17=E41,X41,IF(C41=0,0,AG40))</f>
        <v>0</v>
      </c>
      <c r="AG41" s="98">
        <f t="shared" ca="1" si="6"/>
        <v>0</v>
      </c>
      <c r="AH41" s="68"/>
      <c r="AI41" s="71">
        <f ca="1">IF(C41=1,Reeksen!AJ41*((F41-G41+F41)/2)*12+Reeksen!AK41*((L41-M41+L41)/2)*12,0)</f>
        <v>0</v>
      </c>
      <c r="AJ41" s="71">
        <f ca="1">-AI41*'Invoer gegevens'!$F$28</f>
        <v>0</v>
      </c>
      <c r="AK41" s="71">
        <f t="shared" ca="1" si="0"/>
        <v>0</v>
      </c>
      <c r="AL41" s="71">
        <f ca="1">IF(C41=1,Reeksen!AL41*((F41-G41+F41)/2)*12+Reeksen!AM41*((L41-M41+L41)/2)*12,0)</f>
        <v>0</v>
      </c>
      <c r="AM41" s="71">
        <f ca="1">-AL41*'Invoer gegevens'!$F$31</f>
        <v>0</v>
      </c>
      <c r="AN41" s="71">
        <f t="shared" ca="1" si="7"/>
        <v>0</v>
      </c>
      <c r="AO41" s="71">
        <f ca="1">IF(C41=1,(H41+J41+N41+P41)*Reeksen!AN41,0)</f>
        <v>0</v>
      </c>
      <c r="AP41" s="71">
        <f ca="1">-IF(C41=1,(H41+J41+N41+P41)*'Hulp - basis'!$G$550*Reeksen!H41,0)</f>
        <v>0</v>
      </c>
      <c r="AQ41" s="71">
        <f ca="1">-IF(C41=1,(F41+K41+L41+Q41)/2*'Invoer gegevens'!$I$33*Reeksen!J41,0)*2</f>
        <v>0</v>
      </c>
      <c r="AR41" s="71">
        <f ca="1">-IF(C41=1,(I41*'Invoer gegevens'!$I$34)*Reeksen!J41,0)</f>
        <v>0</v>
      </c>
      <c r="AS41" s="71">
        <f ca="1">-IF(C41=1,(F41+K41+L41+Q41)/2*'Invoer gegevens'!$I$35*Reeksen!L41,0)</f>
        <v>0</v>
      </c>
      <c r="AT41" s="71">
        <f ca="1">-IF(C41=1,IF(E41='Invoer gegevens'!$C$17,'Invoer gegevens'!$C$11,AD41)*Reeksen!S41*'Invoer gegevens'!$C$18*Reeksen!P41,0)</f>
        <v>0</v>
      </c>
      <c r="AU41" s="71">
        <f ca="1">-IF(C41=1,(F41+K41+L41+Q41)/2*'Invoer gegevens'!$I$36*Reeksen!H41,0)</f>
        <v>0</v>
      </c>
      <c r="AV41" s="71">
        <f>IF('Invoer gegevens'!$C$3="Basis",0,#REF!)</f>
        <v>0</v>
      </c>
      <c r="AW41" s="71">
        <f t="shared" ca="1" si="8"/>
        <v>0</v>
      </c>
      <c r="AX41" s="71">
        <f ca="1">IF(E41&lt;'Invoer gegevens'!$C$17+15,0,IF(E41&gt;'Invoer gegevens'!$C$17+215,0,AW41))</f>
        <v>0</v>
      </c>
      <c r="AY41" s="71">
        <f ca="1">AX41/(1+'Invoer gegevens'!$F$18)^($AZ41-('Invoer gegevens'!$C$17-'Invoer gegevens'!$C$16))/(1+'Invoer gegevens'!$C$39)^('Invoer gegevens'!$C$17-'Invoer gegevens'!$C$16)</f>
        <v>0</v>
      </c>
      <c r="AZ41" s="68">
        <f ca="1">IF(E41-'Invoer gegevens'!$C$17-14.5&lt;0,0,E41-'Invoer gegevens'!$C$17-14.5)</f>
        <v>21.5</v>
      </c>
    </row>
    <row r="42" spans="2:52" x14ac:dyDescent="0.25">
      <c r="B42" s="70">
        <f t="shared" si="9"/>
        <v>38</v>
      </c>
      <c r="C42" s="67">
        <f ca="1">IF(E42-'Invoer gegevens'!$C$17&lt;0,0,1)</f>
        <v>1</v>
      </c>
      <c r="D42" s="68">
        <f t="shared" si="10"/>
        <v>37.5</v>
      </c>
      <c r="E42" s="108">
        <f ca="1">IF('Invoer gegevens'!$C$16="","",E41+1)</f>
        <v>2056</v>
      </c>
      <c r="F42" s="84">
        <f ca="1">IF('Invoer gegevens'!$C$17=E42,'Invoer gegevens'!$C$10,IF(C42=1,K41,0))</f>
        <v>0</v>
      </c>
      <c r="G42" s="96">
        <f ca="1">IF(C42&gt;=1,F42*VLOOKUP(E42,Reeksen!$A$5:$B$76,2),0)</f>
        <v>0</v>
      </c>
      <c r="H42" s="84">
        <f ca="1">(1-('Invoer gegevens'!$F$20/12))*F42*MIN(Reeksen!B42,Reeksen!D42)</f>
        <v>0</v>
      </c>
      <c r="I42" s="84">
        <f>IF(Reeksen!D42&lt;Reeksen!B42,(Reeksen!B42-Reeksen!D42)*F42,0)</f>
        <v>0</v>
      </c>
      <c r="J42" s="84">
        <f ca="1">('Invoer gegevens'!$F$20/12)*F41*MIN(Reeksen!B41,Reeksen!D41)</f>
        <v>0</v>
      </c>
      <c r="K42" s="97">
        <f t="shared" ca="1" si="1"/>
        <v>0</v>
      </c>
      <c r="L42" s="84">
        <f ca="1">IF('Invoer gegevens'!$C$17=E42,0,IF(C42=1,Q41,0))</f>
        <v>0</v>
      </c>
      <c r="M42" s="96">
        <f ca="1">IF(C42&gt;=1,L42*VLOOKUP(E42,Reeksen!$A$5:$B$76,2),0)</f>
        <v>0</v>
      </c>
      <c r="N42" s="84">
        <f ca="1">(1-('Invoer gegevens'!$F$20/12))*L42*MIN(Reeksen!B42,Reeksen!D42)</f>
        <v>0</v>
      </c>
      <c r="O42" s="84">
        <f>IF(Reeksen!D42&lt;Reeksen!B42,(Reeksen!B42-Reeksen!D42)*L42,0)</f>
        <v>0</v>
      </c>
      <c r="P42" s="84">
        <f ca="1">('Invoer gegevens'!$F$20/12)*L41*MIN(Reeksen!B41,Reeksen!D41)</f>
        <v>0</v>
      </c>
      <c r="Q42" s="84">
        <f t="shared" ca="1" si="2"/>
        <v>0</v>
      </c>
      <c r="R42" s="82">
        <f ca="1">IF('Invoer gegevens'!$C$17=E42,'Invoer gegevens'!$C$11,IF(C42=1,W41,0))</f>
        <v>0</v>
      </c>
      <c r="S42" s="86">
        <f ca="1">IF(C42&gt;=1,R42*VLOOKUP(E42,Reeksen!$A$5:$B$76,2),0)</f>
        <v>0</v>
      </c>
      <c r="T42" s="84">
        <f ca="1">(1-('Invoer gegevens'!$F$20/12))*R42*MIN(Reeksen!B42,Reeksen!D42)</f>
        <v>0</v>
      </c>
      <c r="U42" s="84">
        <f>IF(Reeksen!D42&gt;=Reeksen!B42,0,IF(Reeksen!AK42&lt;=Reeksen!AE42,(Reeksen!B42-Reeksen!D42)*R42,0))</f>
        <v>0</v>
      </c>
      <c r="V42" s="86">
        <f>IF(Reeksen!D42&gt;=Reeksen!B42,0,IF(Reeksen!AK42&gt;Reeksen!AE42,(Reeksen!B42-Reeksen!D42)*R42,0))</f>
        <v>0</v>
      </c>
      <c r="W42" s="97">
        <f t="shared" ca="1" si="3"/>
        <v>0</v>
      </c>
      <c r="X42" s="98">
        <f ca="1">IF('Invoer gegevens'!$C$17=E42,'Invoer gegevens'!$C$10-'Invoer gegevens'!$C$11,IF(C42=1,AC41,0))</f>
        <v>0</v>
      </c>
      <c r="Y42" s="98">
        <f ca="1">IF(C42&gt;=1,X42*VLOOKUP(E42,Reeksen!$A$5:$B$76,2),0)</f>
        <v>0</v>
      </c>
      <c r="Z42" s="98">
        <f ca="1">(1-('Invoer gegevens'!$F$20/12))*X42*MIN(Reeksen!B42,Reeksen!D42)</f>
        <v>0</v>
      </c>
      <c r="AA42" s="98">
        <f>IF(Reeksen!D42&gt;=Reeksen!B42,0,IF(Reeksen!AK42&lt;=Reeksen!AE42,(Reeksen!B42-Reeksen!D42)*X42,0))</f>
        <v>0</v>
      </c>
      <c r="AB42" s="98">
        <f>IF(Reeksen!D42&gt;=Reeksen!B42,0,IF(Reeksen!AK42&gt;Reeksen!AE42,(Reeksen!B42-Reeksen!D42)*X42,0))</f>
        <v>0</v>
      </c>
      <c r="AC42" s="99">
        <f t="shared" ca="1" si="4"/>
        <v>0</v>
      </c>
      <c r="AD42" s="98">
        <f ca="1">IF('Invoer gegevens'!$C$17=E42,R42,IF(C42=0,0,AE41))</f>
        <v>0</v>
      </c>
      <c r="AE42" s="98">
        <f t="shared" ca="1" si="5"/>
        <v>0</v>
      </c>
      <c r="AF42" s="98">
        <f ca="1">IF('Invoer gegevens'!$C$17=E42,X42,IF(C42=0,0,AG41))</f>
        <v>0</v>
      </c>
      <c r="AG42" s="98">
        <f t="shared" ca="1" si="6"/>
        <v>0</v>
      </c>
      <c r="AH42" s="68"/>
      <c r="AI42" s="71">
        <f ca="1">IF(C42=1,Reeksen!AJ42*((F42-G42+F42)/2)*12+Reeksen!AK42*((L42-M42+L42)/2)*12,0)</f>
        <v>0</v>
      </c>
      <c r="AJ42" s="71">
        <f ca="1">-AI42*'Invoer gegevens'!$F$28</f>
        <v>0</v>
      </c>
      <c r="AK42" s="71">
        <f t="shared" ca="1" si="0"/>
        <v>0</v>
      </c>
      <c r="AL42" s="71">
        <f ca="1">IF(C42=1,Reeksen!AL42*((F42-G42+F42)/2)*12+Reeksen!AM42*((L42-M42+L42)/2)*12,0)</f>
        <v>0</v>
      </c>
      <c r="AM42" s="71">
        <f ca="1">-AL42*'Invoer gegevens'!$F$31</f>
        <v>0</v>
      </c>
      <c r="AN42" s="71">
        <f t="shared" ca="1" si="7"/>
        <v>0</v>
      </c>
      <c r="AO42" s="71">
        <f ca="1">IF(C42=1,(H42+J42+N42+P42)*Reeksen!AN42,0)</f>
        <v>0</v>
      </c>
      <c r="AP42" s="71">
        <f ca="1">-IF(C42=1,(H42+J42+N42+P42)*'Hulp - basis'!$G$550*Reeksen!H42,0)</f>
        <v>0</v>
      </c>
      <c r="AQ42" s="71">
        <f ca="1">-IF(C42=1,(F42+K42+L42+Q42)/2*'Invoer gegevens'!$I$33*Reeksen!J42,0)*2</f>
        <v>0</v>
      </c>
      <c r="AR42" s="71">
        <f ca="1">-IF(C42=1,(I42*'Invoer gegevens'!$I$34)*Reeksen!J42,0)</f>
        <v>0</v>
      </c>
      <c r="AS42" s="71">
        <f ca="1">-IF(C42=1,(F42+K42+L42+Q42)/2*'Invoer gegevens'!$I$35*Reeksen!L42,0)</f>
        <v>0</v>
      </c>
      <c r="AT42" s="71">
        <f ca="1">-IF(C42=1,IF(E42='Invoer gegevens'!$C$17,'Invoer gegevens'!$C$11,AD42)*Reeksen!S42*'Invoer gegevens'!$C$18*Reeksen!P42,0)</f>
        <v>0</v>
      </c>
      <c r="AU42" s="71">
        <f ca="1">-IF(C42=1,(F42+K42+L42+Q42)/2*'Invoer gegevens'!$I$36*Reeksen!H42,0)</f>
        <v>0</v>
      </c>
      <c r="AV42" s="71">
        <f>IF('Invoer gegevens'!$C$3="Basis",0,#REF!)</f>
        <v>0</v>
      </c>
      <c r="AW42" s="71">
        <f t="shared" ca="1" si="8"/>
        <v>0</v>
      </c>
      <c r="AX42" s="71">
        <f ca="1">IF(E42&lt;'Invoer gegevens'!$C$17+15,0,IF(E42&gt;'Invoer gegevens'!$C$17+215,0,AW42))</f>
        <v>0</v>
      </c>
      <c r="AY42" s="71">
        <f ca="1">AX42/(1+'Invoer gegevens'!$F$18)^($AZ42-('Invoer gegevens'!$C$17-'Invoer gegevens'!$C$16))/(1+'Invoer gegevens'!$C$39)^('Invoer gegevens'!$C$17-'Invoer gegevens'!$C$16)</f>
        <v>0</v>
      </c>
      <c r="AZ42" s="68">
        <f ca="1">IF(E42-'Invoer gegevens'!$C$17-14.5&lt;0,0,E42-'Invoer gegevens'!$C$17-14.5)</f>
        <v>22.5</v>
      </c>
    </row>
    <row r="43" spans="2:52" x14ac:dyDescent="0.25">
      <c r="B43" s="70">
        <f t="shared" si="9"/>
        <v>39</v>
      </c>
      <c r="C43" s="67">
        <f ca="1">IF(E43-'Invoer gegevens'!$C$17&lt;0,0,1)</f>
        <v>1</v>
      </c>
      <c r="D43" s="68">
        <f t="shared" si="10"/>
        <v>38.5</v>
      </c>
      <c r="E43" s="108">
        <f ca="1">IF('Invoer gegevens'!$C$16="","",E42+1)</f>
        <v>2057</v>
      </c>
      <c r="F43" s="84">
        <f ca="1">IF('Invoer gegevens'!$C$17=E43,'Invoer gegevens'!$C$10,IF(C43=1,K42,0))</f>
        <v>0</v>
      </c>
      <c r="G43" s="96">
        <f ca="1">IF(C43&gt;=1,F43*VLOOKUP(E43,Reeksen!$A$5:$B$76,2),0)</f>
        <v>0</v>
      </c>
      <c r="H43" s="84">
        <f ca="1">(1-('Invoer gegevens'!$F$20/12))*F43*MIN(Reeksen!B43,Reeksen!D43)</f>
        <v>0</v>
      </c>
      <c r="I43" s="84">
        <f>IF(Reeksen!D43&lt;Reeksen!B43,(Reeksen!B43-Reeksen!D43)*F43,0)</f>
        <v>0</v>
      </c>
      <c r="J43" s="84">
        <f ca="1">('Invoer gegevens'!$F$20/12)*F42*MIN(Reeksen!B42,Reeksen!D42)</f>
        <v>0</v>
      </c>
      <c r="K43" s="97">
        <f t="shared" ca="1" si="1"/>
        <v>0</v>
      </c>
      <c r="L43" s="84">
        <f ca="1">IF('Invoer gegevens'!$C$17=E43,0,IF(C43=1,Q42,0))</f>
        <v>0</v>
      </c>
      <c r="M43" s="96">
        <f ca="1">IF(C43&gt;=1,L43*VLOOKUP(E43,Reeksen!$A$5:$B$76,2),0)</f>
        <v>0</v>
      </c>
      <c r="N43" s="84">
        <f ca="1">(1-('Invoer gegevens'!$F$20/12))*L43*MIN(Reeksen!B43,Reeksen!D43)</f>
        <v>0</v>
      </c>
      <c r="O43" s="84">
        <f>IF(Reeksen!D43&lt;Reeksen!B43,(Reeksen!B43-Reeksen!D43)*L43,0)</f>
        <v>0</v>
      </c>
      <c r="P43" s="84">
        <f ca="1">('Invoer gegevens'!$F$20/12)*L42*MIN(Reeksen!B42,Reeksen!D42)</f>
        <v>0</v>
      </c>
      <c r="Q43" s="84">
        <f t="shared" ca="1" si="2"/>
        <v>0</v>
      </c>
      <c r="R43" s="82">
        <f ca="1">IF('Invoer gegevens'!$C$17=E43,'Invoer gegevens'!$C$11,IF(C43=1,W42,0))</f>
        <v>0</v>
      </c>
      <c r="S43" s="86">
        <f ca="1">IF(C43&gt;=1,R43*VLOOKUP(E43,Reeksen!$A$5:$B$76,2),0)</f>
        <v>0</v>
      </c>
      <c r="T43" s="84">
        <f ca="1">(1-('Invoer gegevens'!$F$20/12))*R43*MIN(Reeksen!B43,Reeksen!D43)</f>
        <v>0</v>
      </c>
      <c r="U43" s="84">
        <f>IF(Reeksen!D43&gt;=Reeksen!B43,0,IF(Reeksen!AK43&lt;=Reeksen!AE43,(Reeksen!B43-Reeksen!D43)*R43,0))</f>
        <v>0</v>
      </c>
      <c r="V43" s="86">
        <f>IF(Reeksen!D43&gt;=Reeksen!B43,0,IF(Reeksen!AK43&gt;Reeksen!AE43,(Reeksen!B43-Reeksen!D43)*R43,0))</f>
        <v>0</v>
      </c>
      <c r="W43" s="97">
        <f t="shared" ca="1" si="3"/>
        <v>0</v>
      </c>
      <c r="X43" s="98">
        <f ca="1">IF('Invoer gegevens'!$C$17=E43,'Invoer gegevens'!$C$10-'Invoer gegevens'!$C$11,IF(C43=1,AC42,0))</f>
        <v>0</v>
      </c>
      <c r="Y43" s="98">
        <f ca="1">IF(C43&gt;=1,X43*VLOOKUP(E43,Reeksen!$A$5:$B$76,2),0)</f>
        <v>0</v>
      </c>
      <c r="Z43" s="98">
        <f ca="1">(1-('Invoer gegevens'!$F$20/12))*X43*MIN(Reeksen!B43,Reeksen!D43)</f>
        <v>0</v>
      </c>
      <c r="AA43" s="98">
        <f>IF(Reeksen!D43&gt;=Reeksen!B43,0,IF(Reeksen!AK43&lt;=Reeksen!AE43,(Reeksen!B43-Reeksen!D43)*X43,0))</f>
        <v>0</v>
      </c>
      <c r="AB43" s="98">
        <f>IF(Reeksen!D43&gt;=Reeksen!B43,0,IF(Reeksen!AK43&gt;Reeksen!AE43,(Reeksen!B43-Reeksen!D43)*X43,0))</f>
        <v>0</v>
      </c>
      <c r="AC43" s="99">
        <f t="shared" ca="1" si="4"/>
        <v>0</v>
      </c>
      <c r="AD43" s="98">
        <f ca="1">IF('Invoer gegevens'!$C$17=E43,R43,IF(C43=0,0,AE42))</f>
        <v>0</v>
      </c>
      <c r="AE43" s="98">
        <f t="shared" ca="1" si="5"/>
        <v>0</v>
      </c>
      <c r="AF43" s="98">
        <f ca="1">IF('Invoer gegevens'!$C$17=E43,X43,IF(C43=0,0,AG42))</f>
        <v>0</v>
      </c>
      <c r="AG43" s="98">
        <f t="shared" ca="1" si="6"/>
        <v>0</v>
      </c>
      <c r="AH43" s="68"/>
      <c r="AI43" s="71">
        <f ca="1">IF(C43=1,Reeksen!AJ43*((F43-G43+F43)/2)*12+Reeksen!AK43*((L43-M43+L43)/2)*12,0)</f>
        <v>0</v>
      </c>
      <c r="AJ43" s="71">
        <f ca="1">-AI43*'Invoer gegevens'!$F$28</f>
        <v>0</v>
      </c>
      <c r="AK43" s="71">
        <f t="shared" ca="1" si="0"/>
        <v>0</v>
      </c>
      <c r="AL43" s="71">
        <f ca="1">IF(C43=1,Reeksen!AL43*((F43-G43+F43)/2)*12+Reeksen!AM43*((L43-M43+L43)/2)*12,0)</f>
        <v>0</v>
      </c>
      <c r="AM43" s="71">
        <f ca="1">-AL43*'Invoer gegevens'!$F$31</f>
        <v>0</v>
      </c>
      <c r="AN43" s="71">
        <f t="shared" ca="1" si="7"/>
        <v>0</v>
      </c>
      <c r="AO43" s="71">
        <f ca="1">IF(C43=1,(H43+J43+N43+P43)*Reeksen!AN43,0)</f>
        <v>0</v>
      </c>
      <c r="AP43" s="71">
        <f ca="1">-IF(C43=1,(H43+J43+N43+P43)*'Hulp - basis'!$G$550*Reeksen!H43,0)</f>
        <v>0</v>
      </c>
      <c r="AQ43" s="71">
        <f ca="1">-IF(C43=1,(F43+K43+L43+Q43)/2*'Invoer gegevens'!$I$33*Reeksen!J43,0)*2</f>
        <v>0</v>
      </c>
      <c r="AR43" s="71">
        <f ca="1">-IF(C43=1,(I43*'Invoer gegevens'!$I$34)*Reeksen!J43,0)</f>
        <v>0</v>
      </c>
      <c r="AS43" s="71">
        <f ca="1">-IF(C43=1,(F43+K43+L43+Q43)/2*'Invoer gegevens'!$I$35*Reeksen!L43,0)</f>
        <v>0</v>
      </c>
      <c r="AT43" s="71">
        <f ca="1">-IF(C43=1,IF(E43='Invoer gegevens'!$C$17,'Invoer gegevens'!$C$11,AD43)*Reeksen!S43*'Invoer gegevens'!$C$18*Reeksen!P43,0)</f>
        <v>0</v>
      </c>
      <c r="AU43" s="71">
        <f ca="1">-IF(C43=1,(F43+K43+L43+Q43)/2*'Invoer gegevens'!$I$36*Reeksen!H43,0)</f>
        <v>0</v>
      </c>
      <c r="AV43" s="71">
        <f>IF('Invoer gegevens'!$C$3="Basis",0,#REF!)</f>
        <v>0</v>
      </c>
      <c r="AW43" s="71">
        <f t="shared" ca="1" si="8"/>
        <v>0</v>
      </c>
      <c r="AX43" s="71">
        <f ca="1">IF(E43&lt;'Invoer gegevens'!$C$17+15,0,IF(E43&gt;'Invoer gegevens'!$C$17+215,0,AW43))</f>
        <v>0</v>
      </c>
      <c r="AY43" s="71">
        <f ca="1">AX43/(1+'Invoer gegevens'!$F$18)^($AZ43-('Invoer gegevens'!$C$17-'Invoer gegevens'!$C$16))/(1+'Invoer gegevens'!$C$39)^('Invoer gegevens'!$C$17-'Invoer gegevens'!$C$16)</f>
        <v>0</v>
      </c>
      <c r="AZ43" s="68">
        <f ca="1">IF(E43-'Invoer gegevens'!$C$17-14.5&lt;0,0,E43-'Invoer gegevens'!$C$17-14.5)</f>
        <v>23.5</v>
      </c>
    </row>
    <row r="44" spans="2:52" x14ac:dyDescent="0.25">
      <c r="B44" s="70">
        <f t="shared" si="9"/>
        <v>40</v>
      </c>
      <c r="C44" s="67">
        <f ca="1">IF(E44-'Invoer gegevens'!$C$17&lt;0,0,1)</f>
        <v>1</v>
      </c>
      <c r="D44" s="68">
        <f t="shared" si="10"/>
        <v>39.5</v>
      </c>
      <c r="E44" s="108">
        <f ca="1">IF('Invoer gegevens'!$C$16="","",E43+1)</f>
        <v>2058</v>
      </c>
      <c r="F44" s="84">
        <f ca="1">IF('Invoer gegevens'!$C$17=E44,'Invoer gegevens'!$C$10,IF(C44=1,K43,0))</f>
        <v>0</v>
      </c>
      <c r="G44" s="96">
        <f ca="1">IF(C44&gt;=1,F44*VLOOKUP(E44,Reeksen!$A$5:$B$76,2),0)</f>
        <v>0</v>
      </c>
      <c r="H44" s="84">
        <f ca="1">(1-('Invoer gegevens'!$F$20/12))*F44*MIN(Reeksen!B44,Reeksen!D44)</f>
        <v>0</v>
      </c>
      <c r="I44" s="84">
        <f>IF(Reeksen!D44&lt;Reeksen!B44,(Reeksen!B44-Reeksen!D44)*F44,0)</f>
        <v>0</v>
      </c>
      <c r="J44" s="84">
        <f ca="1">('Invoer gegevens'!$F$20/12)*F43*MIN(Reeksen!B43,Reeksen!D43)</f>
        <v>0</v>
      </c>
      <c r="K44" s="97">
        <f t="shared" ca="1" si="1"/>
        <v>0</v>
      </c>
      <c r="L44" s="84">
        <f ca="1">IF('Invoer gegevens'!$C$17=E44,0,IF(C44=1,Q43,0))</f>
        <v>0</v>
      </c>
      <c r="M44" s="96">
        <f ca="1">IF(C44&gt;=1,L44*VLOOKUP(E44,Reeksen!$A$5:$B$76,2),0)</f>
        <v>0</v>
      </c>
      <c r="N44" s="84">
        <f ca="1">(1-('Invoer gegevens'!$F$20/12))*L44*MIN(Reeksen!B44,Reeksen!D44)</f>
        <v>0</v>
      </c>
      <c r="O44" s="84">
        <f>IF(Reeksen!D44&lt;Reeksen!B44,(Reeksen!B44-Reeksen!D44)*L44,0)</f>
        <v>0</v>
      </c>
      <c r="P44" s="84">
        <f ca="1">('Invoer gegevens'!$F$20/12)*L43*MIN(Reeksen!B43,Reeksen!D43)</f>
        <v>0</v>
      </c>
      <c r="Q44" s="84">
        <f t="shared" ca="1" si="2"/>
        <v>0</v>
      </c>
      <c r="R44" s="82">
        <f ca="1">IF('Invoer gegevens'!$C$17=E44,'Invoer gegevens'!$C$11,IF(C44=1,W43,0))</f>
        <v>0</v>
      </c>
      <c r="S44" s="86">
        <f ca="1">IF(C44&gt;=1,R44*VLOOKUP(E44,Reeksen!$A$5:$B$76,2),0)</f>
        <v>0</v>
      </c>
      <c r="T44" s="84">
        <f ca="1">(1-('Invoer gegevens'!$F$20/12))*R44*MIN(Reeksen!B44,Reeksen!D44)</f>
        <v>0</v>
      </c>
      <c r="U44" s="84">
        <f>IF(Reeksen!D44&gt;=Reeksen!B44,0,IF(Reeksen!AK44&lt;=Reeksen!AE44,(Reeksen!B44-Reeksen!D44)*R44,0))</f>
        <v>0</v>
      </c>
      <c r="V44" s="86">
        <f>IF(Reeksen!D44&gt;=Reeksen!B44,0,IF(Reeksen!AK44&gt;Reeksen!AE44,(Reeksen!B44-Reeksen!D44)*R44,0))</f>
        <v>0</v>
      </c>
      <c r="W44" s="97">
        <f t="shared" ca="1" si="3"/>
        <v>0</v>
      </c>
      <c r="X44" s="98">
        <f ca="1">IF('Invoer gegevens'!$C$17=E44,'Invoer gegevens'!$C$10-'Invoer gegevens'!$C$11,IF(C44=1,AC43,0))</f>
        <v>0</v>
      </c>
      <c r="Y44" s="98">
        <f ca="1">IF(C44&gt;=1,X44*VLOOKUP(E44,Reeksen!$A$5:$B$76,2),0)</f>
        <v>0</v>
      </c>
      <c r="Z44" s="98">
        <f ca="1">(1-('Invoer gegevens'!$F$20/12))*X44*MIN(Reeksen!B44,Reeksen!D44)</f>
        <v>0</v>
      </c>
      <c r="AA44" s="98">
        <f>IF(Reeksen!D44&gt;=Reeksen!B44,0,IF(Reeksen!AK44&lt;=Reeksen!AE44,(Reeksen!B44-Reeksen!D44)*X44,0))</f>
        <v>0</v>
      </c>
      <c r="AB44" s="98">
        <f>IF(Reeksen!D44&gt;=Reeksen!B44,0,IF(Reeksen!AK44&gt;Reeksen!AE44,(Reeksen!B44-Reeksen!D44)*X44,0))</f>
        <v>0</v>
      </c>
      <c r="AC44" s="99">
        <f t="shared" ca="1" si="4"/>
        <v>0</v>
      </c>
      <c r="AD44" s="98">
        <f ca="1">IF('Invoer gegevens'!$C$17=E44,R44,IF(C44=0,0,AE43))</f>
        <v>0</v>
      </c>
      <c r="AE44" s="98">
        <f t="shared" ca="1" si="5"/>
        <v>0</v>
      </c>
      <c r="AF44" s="98">
        <f ca="1">IF('Invoer gegevens'!$C$17=E44,X44,IF(C44=0,0,AG43))</f>
        <v>0</v>
      </c>
      <c r="AG44" s="98">
        <f t="shared" ca="1" si="6"/>
        <v>0</v>
      </c>
      <c r="AH44" s="68"/>
      <c r="AI44" s="71">
        <f ca="1">IF(C44=1,Reeksen!AJ44*((F44-G44+F44)/2)*12+Reeksen!AK44*((L44-M44+L44)/2)*12,0)</f>
        <v>0</v>
      </c>
      <c r="AJ44" s="71">
        <f ca="1">-AI44*'Invoer gegevens'!$F$28</f>
        <v>0</v>
      </c>
      <c r="AK44" s="71">
        <f t="shared" ca="1" si="0"/>
        <v>0</v>
      </c>
      <c r="AL44" s="71">
        <f ca="1">IF(C44=1,Reeksen!AL44*((F44-G44+F44)/2)*12+Reeksen!AM44*((L44-M44+L44)/2)*12,0)</f>
        <v>0</v>
      </c>
      <c r="AM44" s="71">
        <f ca="1">-AL44*'Invoer gegevens'!$F$31</f>
        <v>0</v>
      </c>
      <c r="AN44" s="71">
        <f t="shared" ca="1" si="7"/>
        <v>0</v>
      </c>
      <c r="AO44" s="71">
        <f ca="1">IF(C44=1,(H44+J44+N44+P44)*Reeksen!AN44,0)</f>
        <v>0</v>
      </c>
      <c r="AP44" s="71">
        <f ca="1">-IF(C44=1,(H44+J44+N44+P44)*'Hulp - basis'!$G$550*Reeksen!H44,0)</f>
        <v>0</v>
      </c>
      <c r="AQ44" s="71">
        <f ca="1">-IF(C44=1,(F44+K44+L44+Q44)/2*'Invoer gegevens'!$I$33*Reeksen!J44,0)*2</f>
        <v>0</v>
      </c>
      <c r="AR44" s="71">
        <f ca="1">-IF(C44=1,(I44*'Invoer gegevens'!$I$34)*Reeksen!J44,0)</f>
        <v>0</v>
      </c>
      <c r="AS44" s="71">
        <f ca="1">-IF(C44=1,(F44+K44+L44+Q44)/2*'Invoer gegevens'!$I$35*Reeksen!L44,0)</f>
        <v>0</v>
      </c>
      <c r="AT44" s="71">
        <f ca="1">-IF(C44=1,IF(E44='Invoer gegevens'!$C$17,'Invoer gegevens'!$C$11,AD44)*Reeksen!S44*'Invoer gegevens'!$C$18*Reeksen!P44,0)</f>
        <v>0</v>
      </c>
      <c r="AU44" s="71">
        <f ca="1">-IF(C44=1,(F44+K44+L44+Q44)/2*'Invoer gegevens'!$I$36*Reeksen!H44,0)</f>
        <v>0</v>
      </c>
      <c r="AV44" s="71">
        <f>IF('Invoer gegevens'!$C$3="Basis",0,#REF!)</f>
        <v>0</v>
      </c>
      <c r="AW44" s="71">
        <f t="shared" ca="1" si="8"/>
        <v>0</v>
      </c>
      <c r="AX44" s="71">
        <f ca="1">IF(E44&lt;'Invoer gegevens'!$C$17+15,0,IF(E44&gt;'Invoer gegevens'!$C$17+215,0,AW44))</f>
        <v>0</v>
      </c>
      <c r="AY44" s="71">
        <f ca="1">AX44/(1+'Invoer gegevens'!$F$18)^($AZ44-('Invoer gegevens'!$C$17-'Invoer gegevens'!$C$16))/(1+'Invoer gegevens'!$C$39)^('Invoer gegevens'!$C$17-'Invoer gegevens'!$C$16)</f>
        <v>0</v>
      </c>
      <c r="AZ44" s="68">
        <f ca="1">IF(E44-'Invoer gegevens'!$C$17-14.5&lt;0,0,E44-'Invoer gegevens'!$C$17-14.5)</f>
        <v>24.5</v>
      </c>
    </row>
    <row r="45" spans="2:52" x14ac:dyDescent="0.25">
      <c r="B45" s="70">
        <f t="shared" si="9"/>
        <v>41</v>
      </c>
      <c r="C45" s="67">
        <f ca="1">IF(E45-'Invoer gegevens'!$C$17&lt;0,0,1)</f>
        <v>1</v>
      </c>
      <c r="D45" s="68">
        <f t="shared" si="10"/>
        <v>40.5</v>
      </c>
      <c r="E45" s="108">
        <f ca="1">IF('Invoer gegevens'!$C$16="","",E44+1)</f>
        <v>2059</v>
      </c>
      <c r="F45" s="84">
        <f ca="1">IF('Invoer gegevens'!$C$17=E45,'Invoer gegevens'!$C$10,IF(C45=1,K44,0))</f>
        <v>0</v>
      </c>
      <c r="G45" s="96">
        <f ca="1">IF(C45&gt;=1,F45*VLOOKUP(E45,Reeksen!$A$5:$B$76,2),0)</f>
        <v>0</v>
      </c>
      <c r="H45" s="84">
        <f ca="1">(1-('Invoer gegevens'!$F$20/12))*F45*MIN(Reeksen!B45,Reeksen!D45)</f>
        <v>0</v>
      </c>
      <c r="I45" s="84">
        <f>IF(Reeksen!D45&lt;Reeksen!B45,(Reeksen!B45-Reeksen!D45)*F45,0)</f>
        <v>0</v>
      </c>
      <c r="J45" s="84">
        <f ca="1">('Invoer gegevens'!$F$20/12)*F44*MIN(Reeksen!B44,Reeksen!D44)</f>
        <v>0</v>
      </c>
      <c r="K45" s="97">
        <f t="shared" ca="1" si="1"/>
        <v>0</v>
      </c>
      <c r="L45" s="84">
        <f ca="1">IF('Invoer gegevens'!$C$17=E45,0,IF(C45=1,Q44,0))</f>
        <v>0</v>
      </c>
      <c r="M45" s="96">
        <f ca="1">IF(C45&gt;=1,L45*VLOOKUP(E45,Reeksen!$A$5:$B$76,2),0)</f>
        <v>0</v>
      </c>
      <c r="N45" s="84">
        <f ca="1">(1-('Invoer gegevens'!$F$20/12))*L45*MIN(Reeksen!B45,Reeksen!D45)</f>
        <v>0</v>
      </c>
      <c r="O45" s="84">
        <f>IF(Reeksen!D45&lt;Reeksen!B45,(Reeksen!B45-Reeksen!D45)*L45,0)</f>
        <v>0</v>
      </c>
      <c r="P45" s="84">
        <f ca="1">('Invoer gegevens'!$F$20/12)*L44*MIN(Reeksen!B44,Reeksen!D44)</f>
        <v>0</v>
      </c>
      <c r="Q45" s="84">
        <f t="shared" ca="1" si="2"/>
        <v>0</v>
      </c>
      <c r="R45" s="82">
        <f ca="1">IF('Invoer gegevens'!$C$17=E45,'Invoer gegevens'!$C$11,IF(C45=1,W44,0))</f>
        <v>0</v>
      </c>
      <c r="S45" s="86">
        <f ca="1">IF(C45&gt;=1,R45*VLOOKUP(E45,Reeksen!$A$5:$B$76,2),0)</f>
        <v>0</v>
      </c>
      <c r="T45" s="84">
        <f ca="1">(1-('Invoer gegevens'!$F$20/12))*R45*MIN(Reeksen!B45,Reeksen!D45)</f>
        <v>0</v>
      </c>
      <c r="U45" s="84">
        <f>IF(Reeksen!D45&gt;=Reeksen!B45,0,IF(Reeksen!AK45&lt;=Reeksen!AE45,(Reeksen!B45-Reeksen!D45)*R45,0))</f>
        <v>0</v>
      </c>
      <c r="V45" s="86">
        <f>IF(Reeksen!D45&gt;=Reeksen!B45,0,IF(Reeksen!AK45&gt;Reeksen!AE45,(Reeksen!B45-Reeksen!D45)*R45,0))</f>
        <v>0</v>
      </c>
      <c r="W45" s="97">
        <f t="shared" ca="1" si="3"/>
        <v>0</v>
      </c>
      <c r="X45" s="98">
        <f ca="1">IF('Invoer gegevens'!$C$17=E45,'Invoer gegevens'!$C$10-'Invoer gegevens'!$C$11,IF(C45=1,AC44,0))</f>
        <v>0</v>
      </c>
      <c r="Y45" s="98">
        <f ca="1">IF(C45&gt;=1,X45*VLOOKUP(E45,Reeksen!$A$5:$B$76,2),0)</f>
        <v>0</v>
      </c>
      <c r="Z45" s="98">
        <f ca="1">(1-('Invoer gegevens'!$F$20/12))*X45*MIN(Reeksen!B45,Reeksen!D45)</f>
        <v>0</v>
      </c>
      <c r="AA45" s="98">
        <f>IF(Reeksen!D45&gt;=Reeksen!B45,0,IF(Reeksen!AK45&lt;=Reeksen!AE45,(Reeksen!B45-Reeksen!D45)*X45,0))</f>
        <v>0</v>
      </c>
      <c r="AB45" s="98">
        <f>IF(Reeksen!D45&gt;=Reeksen!B45,0,IF(Reeksen!AK45&gt;Reeksen!AE45,(Reeksen!B45-Reeksen!D45)*X45,0))</f>
        <v>0</v>
      </c>
      <c r="AC45" s="99">
        <f t="shared" ca="1" si="4"/>
        <v>0</v>
      </c>
      <c r="AD45" s="98">
        <f ca="1">IF('Invoer gegevens'!$C$17=E45,R45,IF(C45=0,0,AE44))</f>
        <v>0</v>
      </c>
      <c r="AE45" s="98">
        <f t="shared" ca="1" si="5"/>
        <v>0</v>
      </c>
      <c r="AF45" s="98">
        <f ca="1">IF('Invoer gegevens'!$C$17=E45,X45,IF(C45=0,0,AG44))</f>
        <v>0</v>
      </c>
      <c r="AG45" s="98">
        <f t="shared" ca="1" si="6"/>
        <v>0</v>
      </c>
      <c r="AH45" s="68"/>
      <c r="AI45" s="71">
        <f ca="1">IF(C45=1,Reeksen!AJ45*((F45-G45+F45)/2)*12+Reeksen!AK45*((L45-M45+L45)/2)*12,0)</f>
        <v>0</v>
      </c>
      <c r="AJ45" s="71">
        <f ca="1">-AI45*'Invoer gegevens'!$F$28</f>
        <v>0</v>
      </c>
      <c r="AK45" s="71">
        <f t="shared" ca="1" si="0"/>
        <v>0</v>
      </c>
      <c r="AL45" s="71">
        <f ca="1">IF(C45=1,Reeksen!AL45*((F45-G45+F45)/2)*12+Reeksen!AM45*((L45-M45+L45)/2)*12,0)</f>
        <v>0</v>
      </c>
      <c r="AM45" s="71">
        <f ca="1">-AL45*'Invoer gegevens'!$F$31</f>
        <v>0</v>
      </c>
      <c r="AN45" s="71">
        <f t="shared" ca="1" si="7"/>
        <v>0</v>
      </c>
      <c r="AO45" s="71">
        <f ca="1">IF(C45=1,(H45+J45+N45+P45)*Reeksen!AN45,0)</f>
        <v>0</v>
      </c>
      <c r="AP45" s="71">
        <f ca="1">-IF(C45=1,(H45+J45+N45+P45)*'Hulp - basis'!$G$550*Reeksen!H45,0)</f>
        <v>0</v>
      </c>
      <c r="AQ45" s="71">
        <f ca="1">-IF(C45=1,(F45+K45+L45+Q45)/2*'Invoer gegevens'!$I$33*Reeksen!J45,0)*2</f>
        <v>0</v>
      </c>
      <c r="AR45" s="71">
        <f ca="1">-IF(C45=1,(I45*'Invoer gegevens'!$I$34)*Reeksen!J45,0)</f>
        <v>0</v>
      </c>
      <c r="AS45" s="71">
        <f ca="1">-IF(C45=1,(F45+K45+L45+Q45)/2*'Invoer gegevens'!$I$35*Reeksen!L45,0)</f>
        <v>0</v>
      </c>
      <c r="AT45" s="71">
        <f ca="1">-IF(C45=1,IF(E45='Invoer gegevens'!$C$17,'Invoer gegevens'!$C$11,AD45)*Reeksen!S45*'Invoer gegevens'!$C$18*Reeksen!P45,0)</f>
        <v>0</v>
      </c>
      <c r="AU45" s="71">
        <f ca="1">-IF(C45=1,(F45+K45+L45+Q45)/2*'Invoer gegevens'!$I$36*Reeksen!H45,0)</f>
        <v>0</v>
      </c>
      <c r="AV45" s="71">
        <f>IF('Invoer gegevens'!$C$3="Basis",0,#REF!)</f>
        <v>0</v>
      </c>
      <c r="AW45" s="71">
        <f t="shared" ca="1" si="8"/>
        <v>0</v>
      </c>
      <c r="AX45" s="71">
        <f ca="1">IF(E45&lt;'Invoer gegevens'!$C$17+15,0,IF(E45&gt;'Invoer gegevens'!$C$17+215,0,AW45))</f>
        <v>0</v>
      </c>
      <c r="AY45" s="71">
        <f ca="1">AX45/(1+'Invoer gegevens'!$F$18)^($AZ45-('Invoer gegevens'!$C$17-'Invoer gegevens'!$C$16))/(1+'Invoer gegevens'!$C$39)^('Invoer gegevens'!$C$17-'Invoer gegevens'!$C$16)</f>
        <v>0</v>
      </c>
      <c r="AZ45" s="68">
        <f ca="1">IF(E45-'Invoer gegevens'!$C$17-14.5&lt;0,0,E45-'Invoer gegevens'!$C$17-14.5)</f>
        <v>25.5</v>
      </c>
    </row>
    <row r="46" spans="2:52" x14ac:dyDescent="0.25">
      <c r="B46" s="70">
        <f t="shared" si="9"/>
        <v>42</v>
      </c>
      <c r="C46" s="67">
        <f ca="1">IF(E46-'Invoer gegevens'!$C$17&lt;0,0,1)</f>
        <v>1</v>
      </c>
      <c r="D46" s="68">
        <f t="shared" si="10"/>
        <v>41.5</v>
      </c>
      <c r="E46" s="108">
        <f ca="1">IF('Invoer gegevens'!$C$16="","",E45+1)</f>
        <v>2060</v>
      </c>
      <c r="F46" s="84">
        <f ca="1">IF('Invoer gegevens'!$C$17=E46,'Invoer gegevens'!$C$10,IF(C46=1,K45,0))</f>
        <v>0</v>
      </c>
      <c r="G46" s="96">
        <f ca="1">IF(C46&gt;=1,F46*VLOOKUP(E46,Reeksen!$A$5:$B$76,2),0)</f>
        <v>0</v>
      </c>
      <c r="H46" s="84">
        <f ca="1">(1-('Invoer gegevens'!$F$20/12))*F46*MIN(Reeksen!B46,Reeksen!D46)</f>
        <v>0</v>
      </c>
      <c r="I46" s="84">
        <f>IF(Reeksen!D46&lt;Reeksen!B46,(Reeksen!B46-Reeksen!D46)*F46,0)</f>
        <v>0</v>
      </c>
      <c r="J46" s="84">
        <f ca="1">('Invoer gegevens'!$F$20/12)*F45*MIN(Reeksen!B45,Reeksen!D45)</f>
        <v>0</v>
      </c>
      <c r="K46" s="97">
        <f t="shared" ca="1" si="1"/>
        <v>0</v>
      </c>
      <c r="L46" s="84">
        <f ca="1">IF('Invoer gegevens'!$C$17=E46,0,IF(C46=1,Q45,0))</f>
        <v>0</v>
      </c>
      <c r="M46" s="96">
        <f ca="1">IF(C46&gt;=1,L46*VLOOKUP(E46,Reeksen!$A$5:$B$76,2),0)</f>
        <v>0</v>
      </c>
      <c r="N46" s="84">
        <f ca="1">(1-('Invoer gegevens'!$F$20/12))*L46*MIN(Reeksen!B46,Reeksen!D46)</f>
        <v>0</v>
      </c>
      <c r="O46" s="84">
        <f>IF(Reeksen!D46&lt;Reeksen!B46,(Reeksen!B46-Reeksen!D46)*L46,0)</f>
        <v>0</v>
      </c>
      <c r="P46" s="84">
        <f ca="1">('Invoer gegevens'!$F$20/12)*L45*MIN(Reeksen!B45,Reeksen!D45)</f>
        <v>0</v>
      </c>
      <c r="Q46" s="84">
        <f t="shared" ca="1" si="2"/>
        <v>0</v>
      </c>
      <c r="R46" s="82">
        <f ca="1">IF('Invoer gegevens'!$C$17=E46,'Invoer gegevens'!$C$11,IF(C46=1,W45,0))</f>
        <v>0</v>
      </c>
      <c r="S46" s="86">
        <f ca="1">IF(C46&gt;=1,R46*VLOOKUP(E46,Reeksen!$A$5:$B$76,2),0)</f>
        <v>0</v>
      </c>
      <c r="T46" s="84">
        <f ca="1">(1-('Invoer gegevens'!$F$20/12))*R46*MIN(Reeksen!B46,Reeksen!D46)</f>
        <v>0</v>
      </c>
      <c r="U46" s="84">
        <f>IF(Reeksen!D46&gt;=Reeksen!B46,0,IF(Reeksen!AK46&lt;=Reeksen!AE46,(Reeksen!B46-Reeksen!D46)*R46,0))</f>
        <v>0</v>
      </c>
      <c r="V46" s="86">
        <f>IF(Reeksen!D46&gt;=Reeksen!B46,0,IF(Reeksen!AK46&gt;Reeksen!AE46,(Reeksen!B46-Reeksen!D46)*R46,0))</f>
        <v>0</v>
      </c>
      <c r="W46" s="97">
        <f t="shared" ca="1" si="3"/>
        <v>0</v>
      </c>
      <c r="X46" s="98">
        <f ca="1">IF('Invoer gegevens'!$C$17=E46,'Invoer gegevens'!$C$10-'Invoer gegevens'!$C$11,IF(C46=1,AC45,0))</f>
        <v>0</v>
      </c>
      <c r="Y46" s="98">
        <f ca="1">IF(C46&gt;=1,X46*VLOOKUP(E46,Reeksen!$A$5:$B$76,2),0)</f>
        <v>0</v>
      </c>
      <c r="Z46" s="98">
        <f ca="1">(1-('Invoer gegevens'!$F$20/12))*X46*MIN(Reeksen!B46,Reeksen!D46)</f>
        <v>0</v>
      </c>
      <c r="AA46" s="98">
        <f>IF(Reeksen!D46&gt;=Reeksen!B46,0,IF(Reeksen!AK46&lt;=Reeksen!AE46,(Reeksen!B46-Reeksen!D46)*X46,0))</f>
        <v>0</v>
      </c>
      <c r="AB46" s="98">
        <f>IF(Reeksen!D46&gt;=Reeksen!B46,0,IF(Reeksen!AK46&gt;Reeksen!AE46,(Reeksen!B46-Reeksen!D46)*X46,0))</f>
        <v>0</v>
      </c>
      <c r="AC46" s="99">
        <f t="shared" ca="1" si="4"/>
        <v>0</v>
      </c>
      <c r="AD46" s="98">
        <f ca="1">IF('Invoer gegevens'!$C$17=E46,R46,IF(C46=0,0,AE45))</f>
        <v>0</v>
      </c>
      <c r="AE46" s="98">
        <f t="shared" ca="1" si="5"/>
        <v>0</v>
      </c>
      <c r="AF46" s="98">
        <f ca="1">IF('Invoer gegevens'!$C$17=E46,X46,IF(C46=0,0,AG45))</f>
        <v>0</v>
      </c>
      <c r="AG46" s="98">
        <f t="shared" ca="1" si="6"/>
        <v>0</v>
      </c>
      <c r="AH46" s="68"/>
      <c r="AI46" s="71">
        <f ca="1">IF(C46=1,Reeksen!AJ46*((F46-G46+F46)/2)*12+Reeksen!AK46*((L46-M46+L46)/2)*12,0)</f>
        <v>0</v>
      </c>
      <c r="AJ46" s="71">
        <f ca="1">-AI46*'Invoer gegevens'!$F$28</f>
        <v>0</v>
      </c>
      <c r="AK46" s="71">
        <f t="shared" ca="1" si="0"/>
        <v>0</v>
      </c>
      <c r="AL46" s="71">
        <f ca="1">IF(C46=1,Reeksen!AL46*((F46-G46+F46)/2)*12+Reeksen!AM46*((L46-M46+L46)/2)*12,0)</f>
        <v>0</v>
      </c>
      <c r="AM46" s="71">
        <f ca="1">-AL46*'Invoer gegevens'!$F$31</f>
        <v>0</v>
      </c>
      <c r="AN46" s="71">
        <f t="shared" ca="1" si="7"/>
        <v>0</v>
      </c>
      <c r="AO46" s="71">
        <f ca="1">IF(C46=1,(H46+J46+N46+P46)*Reeksen!AN46,0)</f>
        <v>0</v>
      </c>
      <c r="AP46" s="71">
        <f ca="1">-IF(C46=1,(H46+J46+N46+P46)*'Hulp - basis'!$G$550*Reeksen!H46,0)</f>
        <v>0</v>
      </c>
      <c r="AQ46" s="71">
        <f ca="1">-IF(C46=1,(F46+K46+L46+Q46)/2*'Invoer gegevens'!$I$33*Reeksen!J46,0)*2</f>
        <v>0</v>
      </c>
      <c r="AR46" s="71">
        <f ca="1">-IF(C46=1,(I46*'Invoer gegevens'!$I$34)*Reeksen!J46,0)</f>
        <v>0</v>
      </c>
      <c r="AS46" s="71">
        <f ca="1">-IF(C46=1,(F46+K46+L46+Q46)/2*'Invoer gegevens'!$I$35*Reeksen!L46,0)</f>
        <v>0</v>
      </c>
      <c r="AT46" s="71">
        <f ca="1">-IF(C46=1,IF(E46='Invoer gegevens'!$C$17,'Invoer gegevens'!$C$11,AD46)*Reeksen!S46*'Invoer gegevens'!$C$18*Reeksen!P46,0)</f>
        <v>0</v>
      </c>
      <c r="AU46" s="71">
        <f ca="1">-IF(C46=1,(F46+K46+L46+Q46)/2*'Invoer gegevens'!$I$36*Reeksen!H46,0)</f>
        <v>0</v>
      </c>
      <c r="AV46" s="71">
        <f>IF('Invoer gegevens'!$C$3="Basis",0,#REF!)</f>
        <v>0</v>
      </c>
      <c r="AW46" s="71">
        <f t="shared" ca="1" si="8"/>
        <v>0</v>
      </c>
      <c r="AX46" s="71">
        <f ca="1">IF(E46&lt;'Invoer gegevens'!$C$17+15,0,IF(E46&gt;'Invoer gegevens'!$C$17+215,0,AW46))</f>
        <v>0</v>
      </c>
      <c r="AY46" s="71">
        <f ca="1">AX46/(1+'Invoer gegevens'!$F$18)^($AZ46-('Invoer gegevens'!$C$17-'Invoer gegevens'!$C$16))/(1+'Invoer gegevens'!$C$39)^('Invoer gegevens'!$C$17-'Invoer gegevens'!$C$16)</f>
        <v>0</v>
      </c>
      <c r="AZ46" s="68">
        <f ca="1">IF(E46-'Invoer gegevens'!$C$17-14.5&lt;0,0,E46-'Invoer gegevens'!$C$17-14.5)</f>
        <v>26.5</v>
      </c>
    </row>
    <row r="47" spans="2:52" x14ac:dyDescent="0.25">
      <c r="B47" s="70">
        <f t="shared" si="9"/>
        <v>43</v>
      </c>
      <c r="C47" s="67">
        <f ca="1">IF(E47-'Invoer gegevens'!$C$17&lt;0,0,1)</f>
        <v>1</v>
      </c>
      <c r="D47" s="68">
        <f t="shared" si="10"/>
        <v>42.5</v>
      </c>
      <c r="E47" s="108">
        <f ca="1">IF('Invoer gegevens'!$C$16="","",E46+1)</f>
        <v>2061</v>
      </c>
      <c r="F47" s="84">
        <f ca="1">IF('Invoer gegevens'!$C$17=E47,'Invoer gegevens'!$C$10,IF(C47=1,K46,0))</f>
        <v>0</v>
      </c>
      <c r="G47" s="96">
        <f ca="1">IF(C47&gt;=1,F47*VLOOKUP(E47,Reeksen!$A$5:$B$76,2),0)</f>
        <v>0</v>
      </c>
      <c r="H47" s="84">
        <f ca="1">(1-('Invoer gegevens'!$F$20/12))*F47*MIN(Reeksen!B47,Reeksen!D47)</f>
        <v>0</v>
      </c>
      <c r="I47" s="84">
        <f>IF(Reeksen!D47&lt;Reeksen!B47,(Reeksen!B47-Reeksen!D47)*F47,0)</f>
        <v>0</v>
      </c>
      <c r="J47" s="84">
        <f ca="1">('Invoer gegevens'!$F$20/12)*F46*MIN(Reeksen!B46,Reeksen!D46)</f>
        <v>0</v>
      </c>
      <c r="K47" s="97">
        <f t="shared" ca="1" si="1"/>
        <v>0</v>
      </c>
      <c r="L47" s="84">
        <f ca="1">IF('Invoer gegevens'!$C$17=E47,0,IF(C47=1,Q46,0))</f>
        <v>0</v>
      </c>
      <c r="M47" s="96">
        <f ca="1">IF(C47&gt;=1,L47*VLOOKUP(E47,Reeksen!$A$5:$B$76,2),0)</f>
        <v>0</v>
      </c>
      <c r="N47" s="84">
        <f ca="1">(1-('Invoer gegevens'!$F$20/12))*L47*MIN(Reeksen!B47,Reeksen!D47)</f>
        <v>0</v>
      </c>
      <c r="O47" s="84">
        <f>IF(Reeksen!D47&lt;Reeksen!B47,(Reeksen!B47-Reeksen!D47)*L47,0)</f>
        <v>0</v>
      </c>
      <c r="P47" s="84">
        <f ca="1">('Invoer gegevens'!$F$20/12)*L46*MIN(Reeksen!B46,Reeksen!D46)</f>
        <v>0</v>
      </c>
      <c r="Q47" s="84">
        <f t="shared" ca="1" si="2"/>
        <v>0</v>
      </c>
      <c r="R47" s="82">
        <f ca="1">IF('Invoer gegevens'!$C$17=E47,'Invoer gegevens'!$C$11,IF(C47=1,W46,0))</f>
        <v>0</v>
      </c>
      <c r="S47" s="86">
        <f ca="1">IF(C47&gt;=1,R47*VLOOKUP(E47,Reeksen!$A$5:$B$76,2),0)</f>
        <v>0</v>
      </c>
      <c r="T47" s="84">
        <f ca="1">(1-('Invoer gegevens'!$F$20/12))*R47*MIN(Reeksen!B47,Reeksen!D47)</f>
        <v>0</v>
      </c>
      <c r="U47" s="84">
        <f>IF(Reeksen!D47&gt;=Reeksen!B47,0,IF(Reeksen!AK47&lt;=Reeksen!AE47,(Reeksen!B47-Reeksen!D47)*R47,0))</f>
        <v>0</v>
      </c>
      <c r="V47" s="86">
        <f>IF(Reeksen!D47&gt;=Reeksen!B47,0,IF(Reeksen!AK47&gt;Reeksen!AE47,(Reeksen!B47-Reeksen!D47)*R47,0))</f>
        <v>0</v>
      </c>
      <c r="W47" s="97">
        <f t="shared" ca="1" si="3"/>
        <v>0</v>
      </c>
      <c r="X47" s="98">
        <f ca="1">IF('Invoer gegevens'!$C$17=E47,'Invoer gegevens'!$C$10-'Invoer gegevens'!$C$11,IF(C47=1,AC46,0))</f>
        <v>0</v>
      </c>
      <c r="Y47" s="98">
        <f ca="1">IF(C47&gt;=1,X47*VLOOKUP(E47,Reeksen!$A$5:$B$76,2),0)</f>
        <v>0</v>
      </c>
      <c r="Z47" s="98">
        <f ca="1">(1-('Invoer gegevens'!$F$20/12))*X47*MIN(Reeksen!B47,Reeksen!D47)</f>
        <v>0</v>
      </c>
      <c r="AA47" s="98">
        <f>IF(Reeksen!D47&gt;=Reeksen!B47,0,IF(Reeksen!AK47&lt;=Reeksen!AE47,(Reeksen!B47-Reeksen!D47)*X47,0))</f>
        <v>0</v>
      </c>
      <c r="AB47" s="98">
        <f>IF(Reeksen!D47&gt;=Reeksen!B47,0,IF(Reeksen!AK47&gt;Reeksen!AE47,(Reeksen!B47-Reeksen!D47)*X47,0))</f>
        <v>0</v>
      </c>
      <c r="AC47" s="99">
        <f t="shared" ca="1" si="4"/>
        <v>0</v>
      </c>
      <c r="AD47" s="98">
        <f ca="1">IF('Invoer gegevens'!$C$17=E47,R47,IF(C47=0,0,AE46))</f>
        <v>0</v>
      </c>
      <c r="AE47" s="98">
        <f t="shared" ca="1" si="5"/>
        <v>0</v>
      </c>
      <c r="AF47" s="98">
        <f ca="1">IF('Invoer gegevens'!$C$17=E47,X47,IF(C47=0,0,AG46))</f>
        <v>0</v>
      </c>
      <c r="AG47" s="98">
        <f t="shared" ca="1" si="6"/>
        <v>0</v>
      </c>
      <c r="AH47" s="68"/>
      <c r="AI47" s="71">
        <f ca="1">IF(C47=1,Reeksen!AJ47*((F47-G47+F47)/2)*12+Reeksen!AK47*((L47-M47+L47)/2)*12,0)</f>
        <v>0</v>
      </c>
      <c r="AJ47" s="71">
        <f ca="1">-AI47*'Invoer gegevens'!$F$28</f>
        <v>0</v>
      </c>
      <c r="AK47" s="71">
        <f t="shared" ca="1" si="0"/>
        <v>0</v>
      </c>
      <c r="AL47" s="71">
        <f ca="1">IF(C47=1,Reeksen!AL47*((F47-G47+F47)/2)*12+Reeksen!AM47*((L47-M47+L47)/2)*12,0)</f>
        <v>0</v>
      </c>
      <c r="AM47" s="71">
        <f ca="1">-AL47*'Invoer gegevens'!$F$31</f>
        <v>0</v>
      </c>
      <c r="AN47" s="71">
        <f t="shared" ca="1" si="7"/>
        <v>0</v>
      </c>
      <c r="AO47" s="71">
        <f ca="1">IF(C47=1,(H47+J47+N47+P47)*Reeksen!AN47,0)</f>
        <v>0</v>
      </c>
      <c r="AP47" s="71">
        <f ca="1">-IF(C47=1,(H47+J47+N47+P47)*'Hulp - basis'!$G$550*Reeksen!H47,0)</f>
        <v>0</v>
      </c>
      <c r="AQ47" s="71">
        <f ca="1">-IF(C47=1,(F47+K47+L47+Q47)/2*'Invoer gegevens'!$I$33*Reeksen!J47,0)*2</f>
        <v>0</v>
      </c>
      <c r="AR47" s="71">
        <f ca="1">-IF(C47=1,(I47*'Invoer gegevens'!$I$34)*Reeksen!J47,0)</f>
        <v>0</v>
      </c>
      <c r="AS47" s="71">
        <f ca="1">-IF(C47=1,(F47+K47+L47+Q47)/2*'Invoer gegevens'!$I$35*Reeksen!L47,0)</f>
        <v>0</v>
      </c>
      <c r="AT47" s="71">
        <f ca="1">-IF(C47=1,IF(E47='Invoer gegevens'!$C$17,'Invoer gegevens'!$C$11,AD47)*Reeksen!S47*'Invoer gegevens'!$C$18*Reeksen!P47,0)</f>
        <v>0</v>
      </c>
      <c r="AU47" s="71">
        <f ca="1">-IF(C47=1,(F47+K47+L47+Q47)/2*'Invoer gegevens'!$I$36*Reeksen!H47,0)</f>
        <v>0</v>
      </c>
      <c r="AV47" s="71">
        <f>IF('Invoer gegevens'!$C$3="Basis",0,#REF!)</f>
        <v>0</v>
      </c>
      <c r="AW47" s="71">
        <f t="shared" ca="1" si="8"/>
        <v>0</v>
      </c>
      <c r="AX47" s="71">
        <f ca="1">IF(E47&lt;'Invoer gegevens'!$C$17+15,0,IF(E47&gt;'Invoer gegevens'!$C$17+215,0,AW47))</f>
        <v>0</v>
      </c>
      <c r="AY47" s="71">
        <f ca="1">AX47/(1+'Invoer gegevens'!$F$18)^($AZ47-('Invoer gegevens'!$C$17-'Invoer gegevens'!$C$16))/(1+'Invoer gegevens'!$C$39)^('Invoer gegevens'!$C$17-'Invoer gegevens'!$C$16)</f>
        <v>0</v>
      </c>
      <c r="AZ47" s="68">
        <f ca="1">IF(E47-'Invoer gegevens'!$C$17-14.5&lt;0,0,E47-'Invoer gegevens'!$C$17-14.5)</f>
        <v>27.5</v>
      </c>
    </row>
    <row r="48" spans="2:52" x14ac:dyDescent="0.25">
      <c r="B48" s="70">
        <f t="shared" si="9"/>
        <v>44</v>
      </c>
      <c r="C48" s="67">
        <f ca="1">IF(E48-'Invoer gegevens'!$C$17&lt;0,0,1)</f>
        <v>1</v>
      </c>
      <c r="D48" s="68">
        <f t="shared" si="10"/>
        <v>43.5</v>
      </c>
      <c r="E48" s="108">
        <f ca="1">IF('Invoer gegevens'!$C$16="","",E47+1)</f>
        <v>2062</v>
      </c>
      <c r="F48" s="84">
        <f ca="1">IF('Invoer gegevens'!$C$17=E48,'Invoer gegevens'!$C$10,IF(C48=1,K47,0))</f>
        <v>0</v>
      </c>
      <c r="G48" s="96">
        <f ca="1">IF(C48&gt;=1,F48*VLOOKUP(E48,Reeksen!$A$5:$B$76,2),0)</f>
        <v>0</v>
      </c>
      <c r="H48" s="84">
        <f ca="1">(1-('Invoer gegevens'!$F$20/12))*F48*MIN(Reeksen!B48,Reeksen!D48)</f>
        <v>0</v>
      </c>
      <c r="I48" s="84">
        <f>IF(Reeksen!D48&lt;Reeksen!B48,(Reeksen!B48-Reeksen!D48)*F48,0)</f>
        <v>0</v>
      </c>
      <c r="J48" s="84">
        <f ca="1">('Invoer gegevens'!$F$20/12)*F47*MIN(Reeksen!B47,Reeksen!D47)</f>
        <v>0</v>
      </c>
      <c r="K48" s="97">
        <f t="shared" ca="1" si="1"/>
        <v>0</v>
      </c>
      <c r="L48" s="84">
        <f ca="1">IF('Invoer gegevens'!$C$17=E48,0,IF(C48=1,Q47,0))</f>
        <v>0</v>
      </c>
      <c r="M48" s="96">
        <f ca="1">IF(C48&gt;=1,L48*VLOOKUP(E48,Reeksen!$A$5:$B$76,2),0)</f>
        <v>0</v>
      </c>
      <c r="N48" s="84">
        <f ca="1">(1-('Invoer gegevens'!$F$20/12))*L48*MIN(Reeksen!B48,Reeksen!D48)</f>
        <v>0</v>
      </c>
      <c r="O48" s="84">
        <f>IF(Reeksen!D48&lt;Reeksen!B48,(Reeksen!B48-Reeksen!D48)*L48,0)</f>
        <v>0</v>
      </c>
      <c r="P48" s="84">
        <f ca="1">('Invoer gegevens'!$F$20/12)*L47*MIN(Reeksen!B47,Reeksen!D47)</f>
        <v>0</v>
      </c>
      <c r="Q48" s="84">
        <f t="shared" ca="1" si="2"/>
        <v>0</v>
      </c>
      <c r="R48" s="82">
        <f ca="1">IF('Invoer gegevens'!$C$17=E48,'Invoer gegevens'!$C$11,IF(C48=1,W47,0))</f>
        <v>0</v>
      </c>
      <c r="S48" s="86">
        <f ca="1">IF(C48&gt;=1,R48*VLOOKUP(E48,Reeksen!$A$5:$B$76,2),0)</f>
        <v>0</v>
      </c>
      <c r="T48" s="84">
        <f ca="1">(1-('Invoer gegevens'!$F$20/12))*R48*MIN(Reeksen!B48,Reeksen!D48)</f>
        <v>0</v>
      </c>
      <c r="U48" s="84">
        <f>IF(Reeksen!D48&gt;=Reeksen!B48,0,IF(Reeksen!AK48&lt;=Reeksen!AE48,(Reeksen!B48-Reeksen!D48)*R48,0))</f>
        <v>0</v>
      </c>
      <c r="V48" s="86">
        <f>IF(Reeksen!D48&gt;=Reeksen!B48,0,IF(Reeksen!AK48&gt;Reeksen!AE48,(Reeksen!B48-Reeksen!D48)*R48,0))</f>
        <v>0</v>
      </c>
      <c r="W48" s="97">
        <f t="shared" ca="1" si="3"/>
        <v>0</v>
      </c>
      <c r="X48" s="98">
        <f ca="1">IF('Invoer gegevens'!$C$17=E48,'Invoer gegevens'!$C$10-'Invoer gegevens'!$C$11,IF(C48=1,AC47,0))</f>
        <v>0</v>
      </c>
      <c r="Y48" s="98">
        <f ca="1">IF(C48&gt;=1,X48*VLOOKUP(E48,Reeksen!$A$5:$B$76,2),0)</f>
        <v>0</v>
      </c>
      <c r="Z48" s="98">
        <f ca="1">(1-('Invoer gegevens'!$F$20/12))*X48*MIN(Reeksen!B48,Reeksen!D48)</f>
        <v>0</v>
      </c>
      <c r="AA48" s="98">
        <f>IF(Reeksen!D48&gt;=Reeksen!B48,0,IF(Reeksen!AK48&lt;=Reeksen!AE48,(Reeksen!B48-Reeksen!D48)*X48,0))</f>
        <v>0</v>
      </c>
      <c r="AB48" s="98">
        <f>IF(Reeksen!D48&gt;=Reeksen!B48,0,IF(Reeksen!AK48&gt;Reeksen!AE48,(Reeksen!B48-Reeksen!D48)*X48,0))</f>
        <v>0</v>
      </c>
      <c r="AC48" s="99">
        <f t="shared" ca="1" si="4"/>
        <v>0</v>
      </c>
      <c r="AD48" s="98">
        <f ca="1">IF('Invoer gegevens'!$C$17=E48,R48,IF(C48=0,0,AE47))</f>
        <v>0</v>
      </c>
      <c r="AE48" s="98">
        <f t="shared" ca="1" si="5"/>
        <v>0</v>
      </c>
      <c r="AF48" s="98">
        <f ca="1">IF('Invoer gegevens'!$C$17=E48,X48,IF(C48=0,0,AG47))</f>
        <v>0</v>
      </c>
      <c r="AG48" s="98">
        <f t="shared" ca="1" si="6"/>
        <v>0</v>
      </c>
      <c r="AH48" s="68"/>
      <c r="AI48" s="71">
        <f ca="1">IF(C48=1,Reeksen!AJ48*((F48-G48+F48)/2)*12+Reeksen!AK48*((L48-M48+L48)/2)*12,0)</f>
        <v>0</v>
      </c>
      <c r="AJ48" s="71">
        <f ca="1">-AI48*'Invoer gegevens'!$F$28</f>
        <v>0</v>
      </c>
      <c r="AK48" s="71">
        <f t="shared" ca="1" si="0"/>
        <v>0</v>
      </c>
      <c r="AL48" s="71">
        <f ca="1">IF(C48=1,Reeksen!AL48*((F48-G48+F48)/2)*12+Reeksen!AM48*((L48-M48+L48)/2)*12,0)</f>
        <v>0</v>
      </c>
      <c r="AM48" s="71">
        <f ca="1">-AL48*'Invoer gegevens'!$F$31</f>
        <v>0</v>
      </c>
      <c r="AN48" s="71">
        <f t="shared" ca="1" si="7"/>
        <v>0</v>
      </c>
      <c r="AO48" s="71">
        <f ca="1">IF(C48=1,(H48+J48+N48+P48)*Reeksen!AN48,0)</f>
        <v>0</v>
      </c>
      <c r="AP48" s="71">
        <f ca="1">-IF(C48=1,(H48+J48+N48+P48)*'Hulp - basis'!$G$550*Reeksen!H48,0)</f>
        <v>0</v>
      </c>
      <c r="AQ48" s="71">
        <f ca="1">-IF(C48=1,(F48+K48+L48+Q48)/2*'Invoer gegevens'!$I$33*Reeksen!J48,0)*2</f>
        <v>0</v>
      </c>
      <c r="AR48" s="71">
        <f ca="1">-IF(C48=1,(I48*'Invoer gegevens'!$I$34)*Reeksen!J48,0)</f>
        <v>0</v>
      </c>
      <c r="AS48" s="71">
        <f ca="1">-IF(C48=1,(F48+K48+L48+Q48)/2*'Invoer gegevens'!$I$35*Reeksen!L48,0)</f>
        <v>0</v>
      </c>
      <c r="AT48" s="71">
        <f ca="1">-IF(C48=1,IF(E48='Invoer gegevens'!$C$17,'Invoer gegevens'!$C$11,AD48)*Reeksen!S48*'Invoer gegevens'!$C$18*Reeksen!P48,0)</f>
        <v>0</v>
      </c>
      <c r="AU48" s="71">
        <f ca="1">-IF(C48=1,(F48+K48+L48+Q48)/2*'Invoer gegevens'!$I$36*Reeksen!H48,0)</f>
        <v>0</v>
      </c>
      <c r="AV48" s="71">
        <f>IF('Invoer gegevens'!$C$3="Basis",0,#REF!)</f>
        <v>0</v>
      </c>
      <c r="AW48" s="71">
        <f t="shared" ca="1" si="8"/>
        <v>0</v>
      </c>
      <c r="AX48" s="71">
        <f ca="1">IF(E48&lt;'Invoer gegevens'!$C$17+15,0,IF(E48&gt;'Invoer gegevens'!$C$17+215,0,AW48))</f>
        <v>0</v>
      </c>
      <c r="AY48" s="71">
        <f ca="1">AX48/(1+'Invoer gegevens'!$F$18)^($AZ48-('Invoer gegevens'!$C$17-'Invoer gegevens'!$C$16))/(1+'Invoer gegevens'!$C$39)^('Invoer gegevens'!$C$17-'Invoer gegevens'!$C$16)</f>
        <v>0</v>
      </c>
      <c r="AZ48" s="68">
        <f ca="1">IF(E48-'Invoer gegevens'!$C$17-14.5&lt;0,0,E48-'Invoer gegevens'!$C$17-14.5)</f>
        <v>28.5</v>
      </c>
    </row>
    <row r="49" spans="2:52" x14ac:dyDescent="0.25">
      <c r="B49" s="70">
        <f t="shared" si="9"/>
        <v>45</v>
      </c>
      <c r="C49" s="67">
        <f ca="1">IF(E49-'Invoer gegevens'!$C$17&lt;0,0,1)</f>
        <v>1</v>
      </c>
      <c r="D49" s="68">
        <f t="shared" si="10"/>
        <v>44.5</v>
      </c>
      <c r="E49" s="108">
        <f ca="1">IF('Invoer gegevens'!$C$16="","",E48+1)</f>
        <v>2063</v>
      </c>
      <c r="F49" s="84">
        <f ca="1">IF('Invoer gegevens'!$C$17=E49,'Invoer gegevens'!$C$10,IF(C49=1,K48,0))</f>
        <v>0</v>
      </c>
      <c r="G49" s="96">
        <f ca="1">IF(C49&gt;=1,F49*VLOOKUP(E49,Reeksen!$A$5:$B$76,2),0)</f>
        <v>0</v>
      </c>
      <c r="H49" s="84">
        <f ca="1">(1-('Invoer gegevens'!$F$20/12))*F49*MIN(Reeksen!B49,Reeksen!D49)</f>
        <v>0</v>
      </c>
      <c r="I49" s="84">
        <f>IF(Reeksen!D49&lt;Reeksen!B49,(Reeksen!B49-Reeksen!D49)*F49,0)</f>
        <v>0</v>
      </c>
      <c r="J49" s="84">
        <f ca="1">('Invoer gegevens'!$F$20/12)*F48*MIN(Reeksen!B48,Reeksen!D48)</f>
        <v>0</v>
      </c>
      <c r="K49" s="97">
        <f t="shared" ca="1" si="1"/>
        <v>0</v>
      </c>
      <c r="L49" s="84">
        <f ca="1">IF('Invoer gegevens'!$C$17=E49,0,IF(C49=1,Q48,0))</f>
        <v>0</v>
      </c>
      <c r="M49" s="96">
        <f ca="1">IF(C49&gt;=1,L49*VLOOKUP(E49,Reeksen!$A$5:$B$76,2),0)</f>
        <v>0</v>
      </c>
      <c r="N49" s="84">
        <f ca="1">(1-('Invoer gegevens'!$F$20/12))*L49*MIN(Reeksen!B49,Reeksen!D49)</f>
        <v>0</v>
      </c>
      <c r="O49" s="84">
        <f>IF(Reeksen!D49&lt;Reeksen!B49,(Reeksen!B49-Reeksen!D49)*L49,0)</f>
        <v>0</v>
      </c>
      <c r="P49" s="84">
        <f ca="1">('Invoer gegevens'!$F$20/12)*L48*MIN(Reeksen!B48,Reeksen!D48)</f>
        <v>0</v>
      </c>
      <c r="Q49" s="84">
        <f t="shared" ca="1" si="2"/>
        <v>0</v>
      </c>
      <c r="R49" s="82">
        <f ca="1">IF('Invoer gegevens'!$C$17=E49,'Invoer gegevens'!$C$11,IF(C49=1,W48,0))</f>
        <v>0</v>
      </c>
      <c r="S49" s="86">
        <f ca="1">IF(C49&gt;=1,R49*VLOOKUP(E49,Reeksen!$A$5:$B$76,2),0)</f>
        <v>0</v>
      </c>
      <c r="T49" s="84">
        <f ca="1">(1-('Invoer gegevens'!$F$20/12))*R49*MIN(Reeksen!B49,Reeksen!D49)</f>
        <v>0</v>
      </c>
      <c r="U49" s="84">
        <f>IF(Reeksen!D49&gt;=Reeksen!B49,0,IF(Reeksen!AK49&lt;=Reeksen!AE49,(Reeksen!B49-Reeksen!D49)*R49,0))</f>
        <v>0</v>
      </c>
      <c r="V49" s="86">
        <f>IF(Reeksen!D49&gt;=Reeksen!B49,0,IF(Reeksen!AK49&gt;Reeksen!AE49,(Reeksen!B49-Reeksen!D49)*R49,0))</f>
        <v>0</v>
      </c>
      <c r="W49" s="97">
        <f t="shared" ca="1" si="3"/>
        <v>0</v>
      </c>
      <c r="X49" s="98">
        <f ca="1">IF('Invoer gegevens'!$C$17=E49,'Invoer gegevens'!$C$10-'Invoer gegevens'!$C$11,IF(C49=1,AC48,0))</f>
        <v>0</v>
      </c>
      <c r="Y49" s="98">
        <f ca="1">IF(C49&gt;=1,X49*VLOOKUP(E49,Reeksen!$A$5:$B$76,2),0)</f>
        <v>0</v>
      </c>
      <c r="Z49" s="98">
        <f ca="1">(1-('Invoer gegevens'!$F$20/12))*X49*MIN(Reeksen!B49,Reeksen!D49)</f>
        <v>0</v>
      </c>
      <c r="AA49" s="98">
        <f>IF(Reeksen!D49&gt;=Reeksen!B49,0,IF(Reeksen!AK49&lt;=Reeksen!AE49,(Reeksen!B49-Reeksen!D49)*X49,0))</f>
        <v>0</v>
      </c>
      <c r="AB49" s="98">
        <f>IF(Reeksen!D49&gt;=Reeksen!B49,0,IF(Reeksen!AK49&gt;Reeksen!AE49,(Reeksen!B49-Reeksen!D49)*X49,0))</f>
        <v>0</v>
      </c>
      <c r="AC49" s="99">
        <f t="shared" ca="1" si="4"/>
        <v>0</v>
      </c>
      <c r="AD49" s="98">
        <f ca="1">IF('Invoer gegevens'!$C$17=E49,R49,IF(C49=0,0,AE48))</f>
        <v>0</v>
      </c>
      <c r="AE49" s="98">
        <f t="shared" ca="1" si="5"/>
        <v>0</v>
      </c>
      <c r="AF49" s="98">
        <f ca="1">IF('Invoer gegevens'!$C$17=E49,X49,IF(C49=0,0,AG48))</f>
        <v>0</v>
      </c>
      <c r="AG49" s="98">
        <f t="shared" ca="1" si="6"/>
        <v>0</v>
      </c>
      <c r="AH49" s="68"/>
      <c r="AI49" s="71">
        <f ca="1">IF(C49=1,Reeksen!AJ49*((F49-G49+F49)/2)*12+Reeksen!AK49*((L49-M49+L49)/2)*12,0)</f>
        <v>0</v>
      </c>
      <c r="AJ49" s="71">
        <f ca="1">-AI49*'Invoer gegevens'!$F$28</f>
        <v>0</v>
      </c>
      <c r="AK49" s="71">
        <f t="shared" ca="1" si="0"/>
        <v>0</v>
      </c>
      <c r="AL49" s="71">
        <f ca="1">IF(C49=1,Reeksen!AL49*((F49-G49+F49)/2)*12+Reeksen!AM49*((L49-M49+L49)/2)*12,0)</f>
        <v>0</v>
      </c>
      <c r="AM49" s="71">
        <f ca="1">-AL49*'Invoer gegevens'!$F$31</f>
        <v>0</v>
      </c>
      <c r="AN49" s="71">
        <f t="shared" ca="1" si="7"/>
        <v>0</v>
      </c>
      <c r="AO49" s="71">
        <f ca="1">IF(C49=1,(H49+J49+N49+P49)*Reeksen!AN49,0)</f>
        <v>0</v>
      </c>
      <c r="AP49" s="71">
        <f ca="1">-IF(C49=1,(H49+J49+N49+P49)*'Hulp - basis'!$G$550*Reeksen!H49,0)</f>
        <v>0</v>
      </c>
      <c r="AQ49" s="71">
        <f ca="1">-IF(C49=1,(F49+K49+L49+Q49)/2*'Invoer gegevens'!$I$33*Reeksen!J49,0)*2</f>
        <v>0</v>
      </c>
      <c r="AR49" s="71">
        <f ca="1">-IF(C49=1,(I49*'Invoer gegevens'!$I$34)*Reeksen!J49,0)</f>
        <v>0</v>
      </c>
      <c r="AS49" s="71">
        <f ca="1">-IF(C49=1,(F49+K49+L49+Q49)/2*'Invoer gegevens'!$I$35*Reeksen!L49,0)</f>
        <v>0</v>
      </c>
      <c r="AT49" s="71">
        <f ca="1">-IF(C49=1,IF(E49='Invoer gegevens'!$C$17,'Invoer gegevens'!$C$11,AD49)*Reeksen!S49*'Invoer gegevens'!$C$18*Reeksen!P49,0)</f>
        <v>0</v>
      </c>
      <c r="AU49" s="71">
        <f ca="1">-IF(C49=1,(F49+K49+L49+Q49)/2*'Invoer gegevens'!$I$36*Reeksen!H49,0)</f>
        <v>0</v>
      </c>
      <c r="AV49" s="71">
        <f>IF('Invoer gegevens'!$C$3="Basis",0,#REF!)</f>
        <v>0</v>
      </c>
      <c r="AW49" s="71">
        <f t="shared" ca="1" si="8"/>
        <v>0</v>
      </c>
      <c r="AX49" s="71">
        <f ca="1">IF(E49&lt;'Invoer gegevens'!$C$17+15,0,IF(E49&gt;'Invoer gegevens'!$C$17+215,0,AW49))</f>
        <v>0</v>
      </c>
      <c r="AY49" s="71">
        <f ca="1">AX49/(1+'Invoer gegevens'!$F$18)^($AZ49-('Invoer gegevens'!$C$17-'Invoer gegevens'!$C$16))/(1+'Invoer gegevens'!$C$39)^('Invoer gegevens'!$C$17-'Invoer gegevens'!$C$16)</f>
        <v>0</v>
      </c>
      <c r="AZ49" s="68">
        <f ca="1">IF(E49-'Invoer gegevens'!$C$17-14.5&lt;0,0,E49-'Invoer gegevens'!$C$17-14.5)</f>
        <v>29.5</v>
      </c>
    </row>
    <row r="50" spans="2:52" x14ac:dyDescent="0.25">
      <c r="B50" s="70">
        <f t="shared" si="9"/>
        <v>46</v>
      </c>
      <c r="C50" s="67">
        <f ca="1">IF(E50-'Invoer gegevens'!$C$17&lt;0,0,1)</f>
        <v>1</v>
      </c>
      <c r="D50" s="68">
        <f t="shared" si="10"/>
        <v>45.5</v>
      </c>
      <c r="E50" s="108">
        <f ca="1">IF('Invoer gegevens'!$C$16="","",E49+1)</f>
        <v>2064</v>
      </c>
      <c r="F50" s="84">
        <f ca="1">IF('Invoer gegevens'!$C$17=E50,'Invoer gegevens'!$C$10,IF(C50=1,K49,0))</f>
        <v>0</v>
      </c>
      <c r="G50" s="96">
        <f ca="1">IF(C50&gt;=1,F50*VLOOKUP(E50,Reeksen!$A$5:$B$76,2),0)</f>
        <v>0</v>
      </c>
      <c r="H50" s="84">
        <f ca="1">(1-('Invoer gegevens'!$F$20/12))*F50*MIN(Reeksen!B50,Reeksen!D50)</f>
        <v>0</v>
      </c>
      <c r="I50" s="84">
        <f>IF(Reeksen!D50&lt;Reeksen!B50,(Reeksen!B50-Reeksen!D50)*F50,0)</f>
        <v>0</v>
      </c>
      <c r="J50" s="84">
        <f ca="1">('Invoer gegevens'!$F$20/12)*F49*MIN(Reeksen!B49,Reeksen!D49)</f>
        <v>0</v>
      </c>
      <c r="K50" s="97">
        <f t="shared" ca="1" si="1"/>
        <v>0</v>
      </c>
      <c r="L50" s="84">
        <f ca="1">IF('Invoer gegevens'!$C$17=E50,0,IF(C50=1,Q49,0))</f>
        <v>0</v>
      </c>
      <c r="M50" s="96">
        <f ca="1">IF(C50&gt;=1,L50*VLOOKUP(E50,Reeksen!$A$5:$B$76,2),0)</f>
        <v>0</v>
      </c>
      <c r="N50" s="84">
        <f ca="1">(1-('Invoer gegevens'!$F$20/12))*L50*MIN(Reeksen!B50,Reeksen!D50)</f>
        <v>0</v>
      </c>
      <c r="O50" s="84">
        <f>IF(Reeksen!D50&lt;Reeksen!B50,(Reeksen!B50-Reeksen!D50)*L50,0)</f>
        <v>0</v>
      </c>
      <c r="P50" s="84">
        <f ca="1">('Invoer gegevens'!$F$20/12)*L49*MIN(Reeksen!B49,Reeksen!D49)</f>
        <v>0</v>
      </c>
      <c r="Q50" s="84">
        <f t="shared" ca="1" si="2"/>
        <v>0</v>
      </c>
      <c r="R50" s="82">
        <f ca="1">IF('Invoer gegevens'!$C$17=E50,'Invoer gegevens'!$C$11,IF(C50=1,W49,0))</f>
        <v>0</v>
      </c>
      <c r="S50" s="86">
        <f ca="1">IF(C50&gt;=1,R50*VLOOKUP(E50,Reeksen!$A$5:$B$76,2),0)</f>
        <v>0</v>
      </c>
      <c r="T50" s="84">
        <f ca="1">(1-('Invoer gegevens'!$F$20/12))*R50*MIN(Reeksen!B50,Reeksen!D50)</f>
        <v>0</v>
      </c>
      <c r="U50" s="84">
        <f>IF(Reeksen!D50&gt;=Reeksen!B50,0,IF(Reeksen!AK50&lt;=Reeksen!AE50,(Reeksen!B50-Reeksen!D50)*R50,0))</f>
        <v>0</v>
      </c>
      <c r="V50" s="86">
        <f>IF(Reeksen!D50&gt;=Reeksen!B50,0,IF(Reeksen!AK50&gt;Reeksen!AE50,(Reeksen!B50-Reeksen!D50)*R50,0))</f>
        <v>0</v>
      </c>
      <c r="W50" s="97">
        <f t="shared" ca="1" si="3"/>
        <v>0</v>
      </c>
      <c r="X50" s="98">
        <f ca="1">IF('Invoer gegevens'!$C$17=E50,'Invoer gegevens'!$C$10-'Invoer gegevens'!$C$11,IF(C50=1,AC49,0))</f>
        <v>0</v>
      </c>
      <c r="Y50" s="98">
        <f ca="1">IF(C50&gt;=1,X50*VLOOKUP(E50,Reeksen!$A$5:$B$76,2),0)</f>
        <v>0</v>
      </c>
      <c r="Z50" s="98">
        <f ca="1">(1-('Invoer gegevens'!$F$20/12))*X50*MIN(Reeksen!B50,Reeksen!D50)</f>
        <v>0</v>
      </c>
      <c r="AA50" s="98">
        <f>IF(Reeksen!D50&gt;=Reeksen!B50,0,IF(Reeksen!AK50&lt;=Reeksen!AE50,(Reeksen!B50-Reeksen!D50)*X50,0))</f>
        <v>0</v>
      </c>
      <c r="AB50" s="98">
        <f>IF(Reeksen!D50&gt;=Reeksen!B50,0,IF(Reeksen!AK50&gt;Reeksen!AE50,(Reeksen!B50-Reeksen!D50)*X50,0))</f>
        <v>0</v>
      </c>
      <c r="AC50" s="99">
        <f t="shared" ca="1" si="4"/>
        <v>0</v>
      </c>
      <c r="AD50" s="98">
        <f ca="1">IF('Invoer gegevens'!$C$17=E50,R50,IF(C50=0,0,AE49))</f>
        <v>0</v>
      </c>
      <c r="AE50" s="98">
        <f t="shared" ca="1" si="5"/>
        <v>0</v>
      </c>
      <c r="AF50" s="98">
        <f ca="1">IF('Invoer gegevens'!$C$17=E50,X50,IF(C50=0,0,AG49))</f>
        <v>0</v>
      </c>
      <c r="AG50" s="98">
        <f t="shared" ca="1" si="6"/>
        <v>0</v>
      </c>
      <c r="AH50" s="68"/>
      <c r="AI50" s="71">
        <f ca="1">IF(C50=1,Reeksen!AJ50*((F50-G50+F50)/2)*12+Reeksen!AK50*((L50-M50+L50)/2)*12,0)</f>
        <v>0</v>
      </c>
      <c r="AJ50" s="71">
        <f ca="1">-AI50*'Invoer gegevens'!$F$28</f>
        <v>0</v>
      </c>
      <c r="AK50" s="71">
        <f t="shared" ca="1" si="0"/>
        <v>0</v>
      </c>
      <c r="AL50" s="71">
        <f ca="1">IF(C50=1,Reeksen!AL50*((F50-G50+F50)/2)*12+Reeksen!AM50*((L50-M50+L50)/2)*12,0)</f>
        <v>0</v>
      </c>
      <c r="AM50" s="71">
        <f ca="1">-AL50*'Invoer gegevens'!$F$31</f>
        <v>0</v>
      </c>
      <c r="AN50" s="71">
        <f t="shared" ca="1" si="7"/>
        <v>0</v>
      </c>
      <c r="AO50" s="71">
        <f ca="1">IF(C50=1,(H50+J50+N50+P50)*Reeksen!AN50,0)</f>
        <v>0</v>
      </c>
      <c r="AP50" s="71">
        <f ca="1">-IF(C50=1,(H50+J50+N50+P50)*'Hulp - basis'!$G$550*Reeksen!H50,0)</f>
        <v>0</v>
      </c>
      <c r="AQ50" s="71">
        <f ca="1">-IF(C50=1,(F50+K50+L50+Q50)/2*'Invoer gegevens'!$I$33*Reeksen!J50,0)*2</f>
        <v>0</v>
      </c>
      <c r="AR50" s="71">
        <f ca="1">-IF(C50=1,(I50*'Invoer gegevens'!$I$34)*Reeksen!J50,0)</f>
        <v>0</v>
      </c>
      <c r="AS50" s="71">
        <f ca="1">-IF(C50=1,(F50+K50+L50+Q50)/2*'Invoer gegevens'!$I$35*Reeksen!L50,0)</f>
        <v>0</v>
      </c>
      <c r="AT50" s="71">
        <f ca="1">-IF(C50=1,IF(E50='Invoer gegevens'!$C$17,'Invoer gegevens'!$C$11,AD50)*Reeksen!S50*'Invoer gegevens'!$C$18*Reeksen!P50,0)</f>
        <v>0</v>
      </c>
      <c r="AU50" s="71">
        <f ca="1">-IF(C50=1,(F50+K50+L50+Q50)/2*'Invoer gegevens'!$I$36*Reeksen!H50,0)</f>
        <v>0</v>
      </c>
      <c r="AV50" s="71">
        <f>IF('Invoer gegevens'!$C$3="Basis",0,#REF!)</f>
        <v>0</v>
      </c>
      <c r="AW50" s="71">
        <f t="shared" ca="1" si="8"/>
        <v>0</v>
      </c>
      <c r="AX50" s="71">
        <f ca="1">IF(E50&lt;'Invoer gegevens'!$C$17+15,0,IF(E50&gt;'Invoer gegevens'!$C$17+215,0,AW50))</f>
        <v>0</v>
      </c>
      <c r="AY50" s="71">
        <f ca="1">AX50/(1+'Invoer gegevens'!$F$18)^($AZ50-('Invoer gegevens'!$C$17-'Invoer gegevens'!$C$16))/(1+'Invoer gegevens'!$C$39)^('Invoer gegevens'!$C$17-'Invoer gegevens'!$C$16)</f>
        <v>0</v>
      </c>
      <c r="AZ50" s="68">
        <f ca="1">IF(E50-'Invoer gegevens'!$C$17-14.5&lt;0,0,E50-'Invoer gegevens'!$C$17-14.5)</f>
        <v>30.5</v>
      </c>
    </row>
    <row r="51" spans="2:52" x14ac:dyDescent="0.25">
      <c r="B51" s="70">
        <f t="shared" si="9"/>
        <v>47</v>
      </c>
      <c r="C51" s="67">
        <f ca="1">IF(E51-'Invoer gegevens'!$C$17&lt;0,0,1)</f>
        <v>1</v>
      </c>
      <c r="D51" s="68">
        <f t="shared" si="10"/>
        <v>46.5</v>
      </c>
      <c r="E51" s="108">
        <f ca="1">IF('Invoer gegevens'!$C$16="","",E50+1)</f>
        <v>2065</v>
      </c>
      <c r="F51" s="84">
        <f ca="1">IF('Invoer gegevens'!$C$17=E51,'Invoer gegevens'!$C$10,IF(C51=1,K50,0))</f>
        <v>0</v>
      </c>
      <c r="G51" s="96">
        <f ca="1">IF(C51&gt;=1,F51*VLOOKUP(E51,Reeksen!$A$5:$B$76,2),0)</f>
        <v>0</v>
      </c>
      <c r="H51" s="84">
        <f ca="1">(1-('Invoer gegevens'!$F$20/12))*F51*MIN(Reeksen!B51,Reeksen!D51)</f>
        <v>0</v>
      </c>
      <c r="I51" s="84">
        <f>IF(Reeksen!D51&lt;Reeksen!B51,(Reeksen!B51-Reeksen!D51)*F51,0)</f>
        <v>0</v>
      </c>
      <c r="J51" s="84">
        <f ca="1">('Invoer gegevens'!$F$20/12)*F50*MIN(Reeksen!B50,Reeksen!D50)</f>
        <v>0</v>
      </c>
      <c r="K51" s="97">
        <f t="shared" ca="1" si="1"/>
        <v>0</v>
      </c>
      <c r="L51" s="84">
        <f ca="1">IF('Invoer gegevens'!$C$17=E51,0,IF(C51=1,Q50,0))</f>
        <v>0</v>
      </c>
      <c r="M51" s="96">
        <f ca="1">IF(C51&gt;=1,L51*VLOOKUP(E51,Reeksen!$A$5:$B$76,2),0)</f>
        <v>0</v>
      </c>
      <c r="N51" s="84">
        <f ca="1">(1-('Invoer gegevens'!$F$20/12))*L51*MIN(Reeksen!B51,Reeksen!D51)</f>
        <v>0</v>
      </c>
      <c r="O51" s="84">
        <f>IF(Reeksen!D51&lt;Reeksen!B51,(Reeksen!B51-Reeksen!D51)*L51,0)</f>
        <v>0</v>
      </c>
      <c r="P51" s="84">
        <f ca="1">('Invoer gegevens'!$F$20/12)*L50*MIN(Reeksen!B50,Reeksen!D50)</f>
        <v>0</v>
      </c>
      <c r="Q51" s="84">
        <f t="shared" ca="1" si="2"/>
        <v>0</v>
      </c>
      <c r="R51" s="82">
        <f ca="1">IF('Invoer gegevens'!$C$17=E51,'Invoer gegevens'!$C$11,IF(C51=1,W50,0))</f>
        <v>0</v>
      </c>
      <c r="S51" s="86">
        <f ca="1">IF(C51&gt;=1,R51*VLOOKUP(E51,Reeksen!$A$5:$B$76,2),0)</f>
        <v>0</v>
      </c>
      <c r="T51" s="84">
        <f ca="1">(1-('Invoer gegevens'!$F$20/12))*R51*MIN(Reeksen!B51,Reeksen!D51)</f>
        <v>0</v>
      </c>
      <c r="U51" s="84">
        <f>IF(Reeksen!D51&gt;=Reeksen!B51,0,IF(Reeksen!AK51&lt;=Reeksen!AE51,(Reeksen!B51-Reeksen!D51)*R51,0))</f>
        <v>0</v>
      </c>
      <c r="V51" s="86">
        <f>IF(Reeksen!D51&gt;=Reeksen!B51,0,IF(Reeksen!AK51&gt;Reeksen!AE51,(Reeksen!B51-Reeksen!D51)*R51,0))</f>
        <v>0</v>
      </c>
      <c r="W51" s="97">
        <f t="shared" ca="1" si="3"/>
        <v>0</v>
      </c>
      <c r="X51" s="98">
        <f ca="1">IF('Invoer gegevens'!$C$17=E51,'Invoer gegevens'!$C$10-'Invoer gegevens'!$C$11,IF(C51=1,AC50,0))</f>
        <v>0</v>
      </c>
      <c r="Y51" s="98">
        <f ca="1">IF(C51&gt;=1,X51*VLOOKUP(E51,Reeksen!$A$5:$B$76,2),0)</f>
        <v>0</v>
      </c>
      <c r="Z51" s="98">
        <f ca="1">(1-('Invoer gegevens'!$F$20/12))*X51*MIN(Reeksen!B51,Reeksen!D51)</f>
        <v>0</v>
      </c>
      <c r="AA51" s="98">
        <f>IF(Reeksen!D51&gt;=Reeksen!B51,0,IF(Reeksen!AK51&lt;=Reeksen!AE51,(Reeksen!B51-Reeksen!D51)*X51,0))</f>
        <v>0</v>
      </c>
      <c r="AB51" s="98">
        <f>IF(Reeksen!D51&gt;=Reeksen!B51,0,IF(Reeksen!AK51&gt;Reeksen!AE51,(Reeksen!B51-Reeksen!D51)*X51,0))</f>
        <v>0</v>
      </c>
      <c r="AC51" s="99">
        <f t="shared" ca="1" si="4"/>
        <v>0</v>
      </c>
      <c r="AD51" s="98">
        <f ca="1">IF('Invoer gegevens'!$C$17=E51,R51,IF(C51=0,0,AE50))</f>
        <v>0</v>
      </c>
      <c r="AE51" s="98">
        <f t="shared" ca="1" si="5"/>
        <v>0</v>
      </c>
      <c r="AF51" s="98">
        <f ca="1">IF('Invoer gegevens'!$C$17=E51,X51,IF(C51=0,0,AG50))</f>
        <v>0</v>
      </c>
      <c r="AG51" s="98">
        <f t="shared" ca="1" si="6"/>
        <v>0</v>
      </c>
      <c r="AH51" s="68"/>
      <c r="AI51" s="71">
        <f ca="1">IF(C51=1,Reeksen!AJ51*((F51-G51+F51)/2)*12+Reeksen!AK51*((L51-M51+L51)/2)*12,0)</f>
        <v>0</v>
      </c>
      <c r="AJ51" s="71">
        <f ca="1">-AI51*'Invoer gegevens'!$F$28</f>
        <v>0</v>
      </c>
      <c r="AK51" s="71">
        <f t="shared" ca="1" si="0"/>
        <v>0</v>
      </c>
      <c r="AL51" s="71">
        <f ca="1">IF(C51=1,Reeksen!AL51*((F51-G51+F51)/2)*12+Reeksen!AM51*((L51-M51+L51)/2)*12,0)</f>
        <v>0</v>
      </c>
      <c r="AM51" s="71">
        <f ca="1">-AL51*'Invoer gegevens'!$F$31</f>
        <v>0</v>
      </c>
      <c r="AN51" s="71">
        <f t="shared" ca="1" si="7"/>
        <v>0</v>
      </c>
      <c r="AO51" s="71">
        <f ca="1">IF(C51=1,(H51+J51+N51+P51)*Reeksen!AN51,0)</f>
        <v>0</v>
      </c>
      <c r="AP51" s="71">
        <f ca="1">-IF(C51=1,(H51+J51+N51+P51)*'Hulp - basis'!$G$550*Reeksen!H51,0)</f>
        <v>0</v>
      </c>
      <c r="AQ51" s="71">
        <f ca="1">-IF(C51=1,(F51+K51+L51+Q51)/2*'Invoer gegevens'!$I$33*Reeksen!J51,0)*2</f>
        <v>0</v>
      </c>
      <c r="AR51" s="71">
        <f ca="1">-IF(C51=1,(I51*'Invoer gegevens'!$I$34)*Reeksen!J51,0)</f>
        <v>0</v>
      </c>
      <c r="AS51" s="71">
        <f ca="1">-IF(C51=1,(F51+K51+L51+Q51)/2*'Invoer gegevens'!$I$35*Reeksen!L51,0)</f>
        <v>0</v>
      </c>
      <c r="AT51" s="71">
        <f ca="1">-IF(C51=1,IF(E51='Invoer gegevens'!$C$17,'Invoer gegevens'!$C$11,AD51)*Reeksen!S51*'Invoer gegevens'!$C$18*Reeksen!P51,0)</f>
        <v>0</v>
      </c>
      <c r="AU51" s="71">
        <f ca="1">-IF(C51=1,(F51+K51+L51+Q51)/2*'Invoer gegevens'!$I$36*Reeksen!H51,0)</f>
        <v>0</v>
      </c>
      <c r="AV51" s="71">
        <f>IF('Invoer gegevens'!$C$3="Basis",0,#REF!)</f>
        <v>0</v>
      </c>
      <c r="AW51" s="71">
        <f t="shared" ca="1" si="8"/>
        <v>0</v>
      </c>
      <c r="AX51" s="71">
        <f ca="1">IF(E51&lt;'Invoer gegevens'!$C$17+15,0,IF(E51&gt;'Invoer gegevens'!$C$17+215,0,AW51))</f>
        <v>0</v>
      </c>
      <c r="AY51" s="71">
        <f ca="1">AX51/(1+'Invoer gegevens'!$F$18)^($AZ51-('Invoer gegevens'!$C$17-'Invoer gegevens'!$C$16))/(1+'Invoer gegevens'!$C$39)^('Invoer gegevens'!$C$17-'Invoer gegevens'!$C$16)</f>
        <v>0</v>
      </c>
      <c r="AZ51" s="68">
        <f ca="1">IF(E51-'Invoer gegevens'!$C$17-14.5&lt;0,0,E51-'Invoer gegevens'!$C$17-14.5)</f>
        <v>31.5</v>
      </c>
    </row>
    <row r="52" spans="2:52" x14ac:dyDescent="0.25">
      <c r="B52" s="70">
        <f t="shared" si="9"/>
        <v>48</v>
      </c>
      <c r="C52" s="67">
        <f ca="1">IF(E52-'Invoer gegevens'!$C$17&lt;0,0,1)</f>
        <v>1</v>
      </c>
      <c r="D52" s="68">
        <f t="shared" si="10"/>
        <v>47.5</v>
      </c>
      <c r="E52" s="108">
        <f ca="1">IF('Invoer gegevens'!$C$16="","",E51+1)</f>
        <v>2066</v>
      </c>
      <c r="F52" s="84">
        <f ca="1">IF('Invoer gegevens'!$C$17=E52,'Invoer gegevens'!$C$10,IF(C52=1,K51,0))</f>
        <v>0</v>
      </c>
      <c r="G52" s="96">
        <f ca="1">IF(C52&gt;=1,F52*VLOOKUP(E52,Reeksen!$A$5:$B$76,2),0)</f>
        <v>0</v>
      </c>
      <c r="H52" s="84">
        <f ca="1">(1-('Invoer gegevens'!$F$20/12))*F52*MIN(Reeksen!B52,Reeksen!D52)</f>
        <v>0</v>
      </c>
      <c r="I52" s="84">
        <f>IF(Reeksen!D52&lt;Reeksen!B52,(Reeksen!B52-Reeksen!D52)*F52,0)</f>
        <v>0</v>
      </c>
      <c r="J52" s="84">
        <f ca="1">('Invoer gegevens'!$F$20/12)*F51*MIN(Reeksen!B51,Reeksen!D51)</f>
        <v>0</v>
      </c>
      <c r="K52" s="97">
        <f t="shared" ca="1" si="1"/>
        <v>0</v>
      </c>
      <c r="L52" s="84">
        <f ca="1">IF('Invoer gegevens'!$C$17=E52,0,IF(C52=1,Q51,0))</f>
        <v>0</v>
      </c>
      <c r="M52" s="96">
        <f ca="1">IF(C52&gt;=1,L52*VLOOKUP(E52,Reeksen!$A$5:$B$76,2),0)</f>
        <v>0</v>
      </c>
      <c r="N52" s="84">
        <f ca="1">(1-('Invoer gegevens'!$F$20/12))*L52*MIN(Reeksen!B52,Reeksen!D52)</f>
        <v>0</v>
      </c>
      <c r="O52" s="84">
        <f>IF(Reeksen!D52&lt;Reeksen!B52,(Reeksen!B52-Reeksen!D52)*L52,0)</f>
        <v>0</v>
      </c>
      <c r="P52" s="84">
        <f ca="1">('Invoer gegevens'!$F$20/12)*L51*MIN(Reeksen!B51,Reeksen!D51)</f>
        <v>0</v>
      </c>
      <c r="Q52" s="84">
        <f t="shared" ca="1" si="2"/>
        <v>0</v>
      </c>
      <c r="R52" s="82">
        <f ca="1">IF('Invoer gegevens'!$C$17=E52,'Invoer gegevens'!$C$11,IF(C52=1,W51,0))</f>
        <v>0</v>
      </c>
      <c r="S52" s="86">
        <f ca="1">IF(C52&gt;=1,R52*VLOOKUP(E52,Reeksen!$A$5:$B$76,2),0)</f>
        <v>0</v>
      </c>
      <c r="T52" s="84">
        <f ca="1">(1-('Invoer gegevens'!$F$20/12))*R52*MIN(Reeksen!B52,Reeksen!D52)</f>
        <v>0</v>
      </c>
      <c r="U52" s="84">
        <f>IF(Reeksen!D52&gt;=Reeksen!B52,0,IF(Reeksen!AK52&lt;=Reeksen!AE52,(Reeksen!B52-Reeksen!D52)*R52,0))</f>
        <v>0</v>
      </c>
      <c r="V52" s="86">
        <f>IF(Reeksen!D52&gt;=Reeksen!B52,0,IF(Reeksen!AK52&gt;Reeksen!AE52,(Reeksen!B52-Reeksen!D52)*R52,0))</f>
        <v>0</v>
      </c>
      <c r="W52" s="97">
        <f t="shared" ca="1" si="3"/>
        <v>0</v>
      </c>
      <c r="X52" s="98">
        <f ca="1">IF('Invoer gegevens'!$C$17=E52,'Invoer gegevens'!$C$10-'Invoer gegevens'!$C$11,IF(C52=1,AC51,0))</f>
        <v>0</v>
      </c>
      <c r="Y52" s="98">
        <f ca="1">IF(C52&gt;=1,X52*VLOOKUP(E52,Reeksen!$A$5:$B$76,2),0)</f>
        <v>0</v>
      </c>
      <c r="Z52" s="98">
        <f ca="1">(1-('Invoer gegevens'!$F$20/12))*X52*MIN(Reeksen!B52,Reeksen!D52)</f>
        <v>0</v>
      </c>
      <c r="AA52" s="98">
        <f>IF(Reeksen!D52&gt;=Reeksen!B52,0,IF(Reeksen!AK52&lt;=Reeksen!AE52,(Reeksen!B52-Reeksen!D52)*X52,0))</f>
        <v>0</v>
      </c>
      <c r="AB52" s="98">
        <f>IF(Reeksen!D52&gt;=Reeksen!B52,0,IF(Reeksen!AK52&gt;Reeksen!AE52,(Reeksen!B52-Reeksen!D52)*X52,0))</f>
        <v>0</v>
      </c>
      <c r="AC52" s="99">
        <f t="shared" ca="1" si="4"/>
        <v>0</v>
      </c>
      <c r="AD52" s="98">
        <f ca="1">IF('Invoer gegevens'!$C$17=E52,R52,IF(C52=0,0,AE51))</f>
        <v>0</v>
      </c>
      <c r="AE52" s="98">
        <f t="shared" ca="1" si="5"/>
        <v>0</v>
      </c>
      <c r="AF52" s="98">
        <f ca="1">IF('Invoer gegevens'!$C$17=E52,X52,IF(C52=0,0,AG51))</f>
        <v>0</v>
      </c>
      <c r="AG52" s="98">
        <f t="shared" ca="1" si="6"/>
        <v>0</v>
      </c>
      <c r="AH52" s="68"/>
      <c r="AI52" s="71">
        <f ca="1">IF(C52=1,Reeksen!AJ52*((F52-G52+F52)/2)*12+Reeksen!AK52*((L52-M52+L52)/2)*12,0)</f>
        <v>0</v>
      </c>
      <c r="AJ52" s="71">
        <f ca="1">-AI52*'Invoer gegevens'!$F$28</f>
        <v>0</v>
      </c>
      <c r="AK52" s="71">
        <f t="shared" ca="1" si="0"/>
        <v>0</v>
      </c>
      <c r="AL52" s="71">
        <f ca="1">IF(C52=1,Reeksen!AL52*((F52-G52+F52)/2)*12+Reeksen!AM52*((L52-M52+L52)/2)*12,0)</f>
        <v>0</v>
      </c>
      <c r="AM52" s="71">
        <f ca="1">-AL52*'Invoer gegevens'!$F$31</f>
        <v>0</v>
      </c>
      <c r="AN52" s="71">
        <f t="shared" ca="1" si="7"/>
        <v>0</v>
      </c>
      <c r="AO52" s="71">
        <f ca="1">IF(C52=1,(H52+J52+N52+P52)*Reeksen!AN52,0)</f>
        <v>0</v>
      </c>
      <c r="AP52" s="71">
        <f ca="1">-IF(C52=1,(H52+J52+N52+P52)*'Hulp - basis'!$G$550*Reeksen!H52,0)</f>
        <v>0</v>
      </c>
      <c r="AQ52" s="71">
        <f ca="1">-IF(C52=1,(F52+K52+L52+Q52)/2*'Invoer gegevens'!$I$33*Reeksen!J52,0)*2</f>
        <v>0</v>
      </c>
      <c r="AR52" s="71">
        <f ca="1">-IF(C52=1,(I52*'Invoer gegevens'!$I$34)*Reeksen!J52,0)</f>
        <v>0</v>
      </c>
      <c r="AS52" s="71">
        <f ca="1">-IF(C52=1,(F52+K52+L52+Q52)/2*'Invoer gegevens'!$I$35*Reeksen!L52,0)</f>
        <v>0</v>
      </c>
      <c r="AT52" s="71">
        <f ca="1">-IF(C52=1,IF(E52='Invoer gegevens'!$C$17,'Invoer gegevens'!$C$11,AD52)*Reeksen!S52*'Invoer gegevens'!$C$18*Reeksen!P52,0)</f>
        <v>0</v>
      </c>
      <c r="AU52" s="71">
        <f ca="1">-IF(C52=1,(F52+K52+L52+Q52)/2*'Invoer gegevens'!$I$36*Reeksen!H52,0)</f>
        <v>0</v>
      </c>
      <c r="AV52" s="71">
        <f>IF('Invoer gegevens'!$C$3="Basis",0,#REF!)</f>
        <v>0</v>
      </c>
      <c r="AW52" s="71">
        <f t="shared" ca="1" si="8"/>
        <v>0</v>
      </c>
      <c r="AX52" s="71">
        <f ca="1">IF(E52&lt;'Invoer gegevens'!$C$17+15,0,IF(E52&gt;'Invoer gegevens'!$C$17+215,0,AW52))</f>
        <v>0</v>
      </c>
      <c r="AY52" s="71">
        <f ca="1">AX52/(1+'Invoer gegevens'!$F$18)^($AZ52-('Invoer gegevens'!$C$17-'Invoer gegevens'!$C$16))/(1+'Invoer gegevens'!$C$39)^('Invoer gegevens'!$C$17-'Invoer gegevens'!$C$16)</f>
        <v>0</v>
      </c>
      <c r="AZ52" s="68">
        <f ca="1">IF(E52-'Invoer gegevens'!$C$17-14.5&lt;0,0,E52-'Invoer gegevens'!$C$17-14.5)</f>
        <v>32.5</v>
      </c>
    </row>
    <row r="53" spans="2:52" x14ac:dyDescent="0.25">
      <c r="B53" s="70">
        <f t="shared" si="9"/>
        <v>49</v>
      </c>
      <c r="C53" s="67">
        <f ca="1">IF(E53-'Invoer gegevens'!$C$17&lt;0,0,1)</f>
        <v>1</v>
      </c>
      <c r="D53" s="68">
        <f t="shared" si="10"/>
        <v>48.5</v>
      </c>
      <c r="E53" s="108">
        <f ca="1">IF('Invoer gegevens'!$C$16="","",E52+1)</f>
        <v>2067</v>
      </c>
      <c r="F53" s="84">
        <f ca="1">IF('Invoer gegevens'!$C$17=E53,'Invoer gegevens'!$C$10,IF(C53=1,K52,0))</f>
        <v>0</v>
      </c>
      <c r="G53" s="96">
        <f ca="1">IF(C53&gt;=1,F53*VLOOKUP(E53,Reeksen!$A$5:$B$76,2),0)</f>
        <v>0</v>
      </c>
      <c r="H53" s="84">
        <f ca="1">(1-('Invoer gegevens'!$F$20/12))*F53*MIN(Reeksen!B53,Reeksen!D53)</f>
        <v>0</v>
      </c>
      <c r="I53" s="84">
        <f>IF(Reeksen!D53&lt;Reeksen!B53,(Reeksen!B53-Reeksen!D53)*F53,0)</f>
        <v>0</v>
      </c>
      <c r="J53" s="84">
        <f ca="1">('Invoer gegevens'!$F$20/12)*F52*MIN(Reeksen!B52,Reeksen!D52)</f>
        <v>0</v>
      </c>
      <c r="K53" s="97">
        <f t="shared" ca="1" si="1"/>
        <v>0</v>
      </c>
      <c r="L53" s="84">
        <f ca="1">IF('Invoer gegevens'!$C$17=E53,0,IF(C53=1,Q52,0))</f>
        <v>0</v>
      </c>
      <c r="M53" s="96">
        <f ca="1">IF(C53&gt;=1,L53*VLOOKUP(E53,Reeksen!$A$5:$B$76,2),0)</f>
        <v>0</v>
      </c>
      <c r="N53" s="84">
        <f ca="1">(1-('Invoer gegevens'!$F$20/12))*L53*MIN(Reeksen!B53,Reeksen!D53)</f>
        <v>0</v>
      </c>
      <c r="O53" s="84">
        <f>IF(Reeksen!D53&lt;Reeksen!B53,(Reeksen!B53-Reeksen!D53)*L53,0)</f>
        <v>0</v>
      </c>
      <c r="P53" s="84">
        <f ca="1">('Invoer gegevens'!$F$20/12)*L52*MIN(Reeksen!B52,Reeksen!D52)</f>
        <v>0</v>
      </c>
      <c r="Q53" s="84">
        <f t="shared" ca="1" si="2"/>
        <v>0</v>
      </c>
      <c r="R53" s="82">
        <f ca="1">IF('Invoer gegevens'!$C$17=E53,'Invoer gegevens'!$C$11,IF(C53=1,W52,0))</f>
        <v>0</v>
      </c>
      <c r="S53" s="86">
        <f ca="1">IF(C53&gt;=1,R53*VLOOKUP(E53,Reeksen!$A$5:$B$76,2),0)</f>
        <v>0</v>
      </c>
      <c r="T53" s="84">
        <f ca="1">(1-('Invoer gegevens'!$F$20/12))*R53*MIN(Reeksen!B53,Reeksen!D53)</f>
        <v>0</v>
      </c>
      <c r="U53" s="84">
        <f>IF(Reeksen!D53&gt;=Reeksen!B53,0,IF(Reeksen!AK53&lt;=Reeksen!AE53,(Reeksen!B53-Reeksen!D53)*R53,0))</f>
        <v>0</v>
      </c>
      <c r="V53" s="86">
        <f>IF(Reeksen!D53&gt;=Reeksen!B53,0,IF(Reeksen!AK53&gt;Reeksen!AE53,(Reeksen!B53-Reeksen!D53)*R53,0))</f>
        <v>0</v>
      </c>
      <c r="W53" s="97">
        <f t="shared" ca="1" si="3"/>
        <v>0</v>
      </c>
      <c r="X53" s="98">
        <f ca="1">IF('Invoer gegevens'!$C$17=E53,'Invoer gegevens'!$C$10-'Invoer gegevens'!$C$11,IF(C53=1,AC52,0))</f>
        <v>0</v>
      </c>
      <c r="Y53" s="98">
        <f ca="1">IF(C53&gt;=1,X53*VLOOKUP(E53,Reeksen!$A$5:$B$76,2),0)</f>
        <v>0</v>
      </c>
      <c r="Z53" s="98">
        <f ca="1">(1-('Invoer gegevens'!$F$20/12))*X53*MIN(Reeksen!B53,Reeksen!D53)</f>
        <v>0</v>
      </c>
      <c r="AA53" s="98">
        <f>IF(Reeksen!D53&gt;=Reeksen!B53,0,IF(Reeksen!AK53&lt;=Reeksen!AE53,(Reeksen!B53-Reeksen!D53)*X53,0))</f>
        <v>0</v>
      </c>
      <c r="AB53" s="98">
        <f>IF(Reeksen!D53&gt;=Reeksen!B53,0,IF(Reeksen!AK53&gt;Reeksen!AE53,(Reeksen!B53-Reeksen!D53)*X53,0))</f>
        <v>0</v>
      </c>
      <c r="AC53" s="99">
        <f t="shared" ca="1" si="4"/>
        <v>0</v>
      </c>
      <c r="AD53" s="98">
        <f ca="1">IF('Invoer gegevens'!$C$17=E53,R53,IF(C53=0,0,AE52))</f>
        <v>0</v>
      </c>
      <c r="AE53" s="98">
        <f t="shared" ca="1" si="5"/>
        <v>0</v>
      </c>
      <c r="AF53" s="98">
        <f ca="1">IF('Invoer gegevens'!$C$17=E53,X53,IF(C53=0,0,AG52))</f>
        <v>0</v>
      </c>
      <c r="AG53" s="98">
        <f t="shared" ca="1" si="6"/>
        <v>0</v>
      </c>
      <c r="AH53" s="68"/>
      <c r="AI53" s="71">
        <f ca="1">IF(C53=1,Reeksen!AJ53*((F53-G53+F53)/2)*12+Reeksen!AK53*((L53-M53+L53)/2)*12,0)</f>
        <v>0</v>
      </c>
      <c r="AJ53" s="71">
        <f ca="1">-AI53*'Invoer gegevens'!$F$28</f>
        <v>0</v>
      </c>
      <c r="AK53" s="71">
        <f t="shared" ca="1" si="0"/>
        <v>0</v>
      </c>
      <c r="AL53" s="71">
        <f ca="1">IF(C53=1,Reeksen!AL53*((F53-G53+F53)/2)*12+Reeksen!AM53*((L53-M53+L53)/2)*12,0)</f>
        <v>0</v>
      </c>
      <c r="AM53" s="71">
        <f ca="1">-AL53*'Invoer gegevens'!$F$31</f>
        <v>0</v>
      </c>
      <c r="AN53" s="71">
        <f t="shared" ca="1" si="7"/>
        <v>0</v>
      </c>
      <c r="AO53" s="71">
        <f ca="1">IF(C53=1,(H53+J53+N53+P53)*Reeksen!AN53,0)</f>
        <v>0</v>
      </c>
      <c r="AP53" s="71">
        <f ca="1">-IF(C53=1,(H53+J53+N53+P53)*'Hulp - basis'!$G$550*Reeksen!H53,0)</f>
        <v>0</v>
      </c>
      <c r="AQ53" s="71">
        <f ca="1">-IF(C53=1,(F53+K53+L53+Q53)/2*'Invoer gegevens'!$I$33*Reeksen!J53,0)*2</f>
        <v>0</v>
      </c>
      <c r="AR53" s="71">
        <f ca="1">-IF(C53=1,(I53*'Invoer gegevens'!$I$34)*Reeksen!J53,0)</f>
        <v>0</v>
      </c>
      <c r="AS53" s="71">
        <f ca="1">-IF(C53=1,(F53+K53+L53+Q53)/2*'Invoer gegevens'!$I$35*Reeksen!L53,0)</f>
        <v>0</v>
      </c>
      <c r="AT53" s="71">
        <f ca="1">-IF(C53=1,IF(E53='Invoer gegevens'!$C$17,'Invoer gegevens'!$C$11,AD53)*Reeksen!S53*'Invoer gegevens'!$C$18*Reeksen!P53,0)</f>
        <v>0</v>
      </c>
      <c r="AU53" s="71">
        <f ca="1">-IF(C53=1,(F53+K53+L53+Q53)/2*'Invoer gegevens'!$I$36*Reeksen!H53,0)</f>
        <v>0</v>
      </c>
      <c r="AV53" s="71">
        <f>IF('Invoer gegevens'!$C$3="Basis",0,#REF!)</f>
        <v>0</v>
      </c>
      <c r="AW53" s="71">
        <f t="shared" ca="1" si="8"/>
        <v>0</v>
      </c>
      <c r="AX53" s="71">
        <f ca="1">IF(E53&lt;'Invoer gegevens'!$C$17+15,0,IF(E53&gt;'Invoer gegevens'!$C$17+215,0,AW53))</f>
        <v>0</v>
      </c>
      <c r="AY53" s="71">
        <f ca="1">AX53/(1+'Invoer gegevens'!$F$18)^($AZ53-('Invoer gegevens'!$C$17-'Invoer gegevens'!$C$16))/(1+'Invoer gegevens'!$C$39)^('Invoer gegevens'!$C$17-'Invoer gegevens'!$C$16)</f>
        <v>0</v>
      </c>
      <c r="AZ53" s="68">
        <f ca="1">IF(E53-'Invoer gegevens'!$C$17-14.5&lt;0,0,E53-'Invoer gegevens'!$C$17-14.5)</f>
        <v>33.5</v>
      </c>
    </row>
    <row r="54" spans="2:52" x14ac:dyDescent="0.25">
      <c r="B54" s="70">
        <f t="shared" si="9"/>
        <v>50</v>
      </c>
      <c r="C54" s="67">
        <f ca="1">IF(E54-'Invoer gegevens'!$C$17&lt;0,0,1)</f>
        <v>1</v>
      </c>
      <c r="D54" s="68">
        <f t="shared" si="10"/>
        <v>49.5</v>
      </c>
      <c r="E54" s="108">
        <f ca="1">IF('Invoer gegevens'!$C$16="","",E53+1)</f>
        <v>2068</v>
      </c>
      <c r="F54" s="84">
        <f ca="1">IF('Invoer gegevens'!$C$17=E54,'Invoer gegevens'!$C$10,IF(C54=1,K53,0))</f>
        <v>0</v>
      </c>
      <c r="G54" s="96">
        <f ca="1">IF(C54&gt;=1,F54*VLOOKUP(E54,Reeksen!$A$5:$B$76,2),0)</f>
        <v>0</v>
      </c>
      <c r="H54" s="84">
        <f ca="1">(1-('Invoer gegevens'!$F$20/12))*F54*MIN(Reeksen!B54,Reeksen!D54)</f>
        <v>0</v>
      </c>
      <c r="I54" s="84">
        <f>IF(Reeksen!D54&lt;Reeksen!B54,(Reeksen!B54-Reeksen!D54)*F54,0)</f>
        <v>0</v>
      </c>
      <c r="J54" s="84">
        <f ca="1">('Invoer gegevens'!$F$20/12)*F53*MIN(Reeksen!B53,Reeksen!D53)</f>
        <v>0</v>
      </c>
      <c r="K54" s="97">
        <f t="shared" ca="1" si="1"/>
        <v>0</v>
      </c>
      <c r="L54" s="84">
        <f ca="1">IF('Invoer gegevens'!$C$17=E54,0,IF(C54=1,Q53,0))</f>
        <v>0</v>
      </c>
      <c r="M54" s="96">
        <f ca="1">IF(C54&gt;=1,L54*VLOOKUP(E54,Reeksen!$A$5:$B$76,2),0)</f>
        <v>0</v>
      </c>
      <c r="N54" s="84">
        <f ca="1">(1-('Invoer gegevens'!$F$20/12))*L54*MIN(Reeksen!B54,Reeksen!D54)</f>
        <v>0</v>
      </c>
      <c r="O54" s="84">
        <f>IF(Reeksen!D54&lt;Reeksen!B54,(Reeksen!B54-Reeksen!D54)*L54,0)</f>
        <v>0</v>
      </c>
      <c r="P54" s="84">
        <f ca="1">('Invoer gegevens'!$F$20/12)*L53*MIN(Reeksen!B53,Reeksen!D53)</f>
        <v>0</v>
      </c>
      <c r="Q54" s="84">
        <f t="shared" ca="1" si="2"/>
        <v>0</v>
      </c>
      <c r="R54" s="82">
        <f ca="1">IF('Invoer gegevens'!$C$17=E54,'Invoer gegevens'!$C$11,IF(C54=1,W53,0))</f>
        <v>0</v>
      </c>
      <c r="S54" s="86">
        <f ca="1">IF(C54&gt;=1,R54*VLOOKUP(E54,Reeksen!$A$5:$B$76,2),0)</f>
        <v>0</v>
      </c>
      <c r="T54" s="84">
        <f ca="1">(1-('Invoer gegevens'!$F$20/12))*R54*MIN(Reeksen!B54,Reeksen!D54)</f>
        <v>0</v>
      </c>
      <c r="U54" s="84">
        <f>IF(Reeksen!D54&gt;=Reeksen!B54,0,IF(Reeksen!AK54&lt;=Reeksen!AE54,(Reeksen!B54-Reeksen!D54)*R54,0))</f>
        <v>0</v>
      </c>
      <c r="V54" s="86">
        <f>IF(Reeksen!D54&gt;=Reeksen!B54,0,IF(Reeksen!AK54&gt;Reeksen!AE54,(Reeksen!B54-Reeksen!D54)*R54,0))</f>
        <v>0</v>
      </c>
      <c r="W54" s="97">
        <f t="shared" ca="1" si="3"/>
        <v>0</v>
      </c>
      <c r="X54" s="98">
        <f ca="1">IF('Invoer gegevens'!$C$17=E54,'Invoer gegevens'!$C$10-'Invoer gegevens'!$C$11,IF(C54=1,AC53,0))</f>
        <v>0</v>
      </c>
      <c r="Y54" s="98">
        <f ca="1">IF(C54&gt;=1,X54*VLOOKUP(E54,Reeksen!$A$5:$B$76,2),0)</f>
        <v>0</v>
      </c>
      <c r="Z54" s="98">
        <f ca="1">(1-('Invoer gegevens'!$F$20/12))*X54*MIN(Reeksen!B54,Reeksen!D54)</f>
        <v>0</v>
      </c>
      <c r="AA54" s="98">
        <f>IF(Reeksen!D54&gt;=Reeksen!B54,0,IF(Reeksen!AK54&lt;=Reeksen!AE54,(Reeksen!B54-Reeksen!D54)*X54,0))</f>
        <v>0</v>
      </c>
      <c r="AB54" s="98">
        <f>IF(Reeksen!D54&gt;=Reeksen!B54,0,IF(Reeksen!AK54&gt;Reeksen!AE54,(Reeksen!B54-Reeksen!D54)*X54,0))</f>
        <v>0</v>
      </c>
      <c r="AC54" s="99">
        <f t="shared" ca="1" si="4"/>
        <v>0</v>
      </c>
      <c r="AD54" s="98">
        <f ca="1">IF('Invoer gegevens'!$C$17=E54,R54,IF(C54=0,0,AE53))</f>
        <v>0</v>
      </c>
      <c r="AE54" s="98">
        <f t="shared" ca="1" si="5"/>
        <v>0</v>
      </c>
      <c r="AF54" s="98">
        <f ca="1">IF('Invoer gegevens'!$C$17=E54,X54,IF(C54=0,0,AG53))</f>
        <v>0</v>
      </c>
      <c r="AG54" s="98">
        <f t="shared" ca="1" si="6"/>
        <v>0</v>
      </c>
      <c r="AH54" s="68"/>
      <c r="AI54" s="71">
        <f ca="1">IF(C54=1,Reeksen!AJ54*((F54-G54+F54)/2)*12+Reeksen!AK54*((L54-M54+L54)/2)*12,0)</f>
        <v>0</v>
      </c>
      <c r="AJ54" s="71">
        <f ca="1">-AI54*'Invoer gegevens'!$F$28</f>
        <v>0</v>
      </c>
      <c r="AK54" s="71">
        <f t="shared" ca="1" si="0"/>
        <v>0</v>
      </c>
      <c r="AL54" s="71">
        <f ca="1">IF(C54=1,Reeksen!AL54*((F54-G54+F54)/2)*12+Reeksen!AM54*((L54-M54+L54)/2)*12,0)</f>
        <v>0</v>
      </c>
      <c r="AM54" s="71">
        <f ca="1">-AL54*'Invoer gegevens'!$F$31</f>
        <v>0</v>
      </c>
      <c r="AN54" s="71">
        <f t="shared" ca="1" si="7"/>
        <v>0</v>
      </c>
      <c r="AO54" s="71">
        <f ca="1">IF(C54=1,(H54+J54+N54+P54)*Reeksen!AN54,0)</f>
        <v>0</v>
      </c>
      <c r="AP54" s="71">
        <f ca="1">-IF(C54=1,(H54+J54+N54+P54)*'Hulp - basis'!$G$550*Reeksen!H54,0)</f>
        <v>0</v>
      </c>
      <c r="AQ54" s="71">
        <f ca="1">-IF(C54=1,(F54+K54+L54+Q54)/2*'Invoer gegevens'!$I$33*Reeksen!J54,0)*2</f>
        <v>0</v>
      </c>
      <c r="AR54" s="71">
        <f ca="1">-IF(C54=1,(I54*'Invoer gegevens'!$I$34)*Reeksen!J54,0)</f>
        <v>0</v>
      </c>
      <c r="AS54" s="71">
        <f ca="1">-IF(C54=1,(F54+K54+L54+Q54)/2*'Invoer gegevens'!$I$35*Reeksen!L54,0)</f>
        <v>0</v>
      </c>
      <c r="AT54" s="71">
        <f ca="1">-IF(C54=1,IF(E54='Invoer gegevens'!$C$17,'Invoer gegevens'!$C$11,AD54)*Reeksen!S54*'Invoer gegevens'!$C$18*Reeksen!P54,0)</f>
        <v>0</v>
      </c>
      <c r="AU54" s="71">
        <f ca="1">-IF(C54=1,(F54+K54+L54+Q54)/2*'Invoer gegevens'!$I$36*Reeksen!H54,0)</f>
        <v>0</v>
      </c>
      <c r="AV54" s="71">
        <f>IF('Invoer gegevens'!$C$3="Basis",0,#REF!)</f>
        <v>0</v>
      </c>
      <c r="AW54" s="71">
        <f t="shared" ca="1" si="8"/>
        <v>0</v>
      </c>
      <c r="AX54" s="71">
        <f ca="1">IF(E54&lt;'Invoer gegevens'!$C$17+15,0,IF(E54&gt;'Invoer gegevens'!$C$17+215,0,AW54))</f>
        <v>0</v>
      </c>
      <c r="AY54" s="71">
        <f ca="1">AX54/(1+'Invoer gegevens'!$F$18)^($AZ54-('Invoer gegevens'!$C$17-'Invoer gegevens'!$C$16))/(1+'Invoer gegevens'!$C$39)^('Invoer gegevens'!$C$17-'Invoer gegevens'!$C$16)</f>
        <v>0</v>
      </c>
      <c r="AZ54" s="68">
        <f ca="1">IF(E54-'Invoer gegevens'!$C$17-14.5&lt;0,0,E54-'Invoer gegevens'!$C$17-14.5)</f>
        <v>34.5</v>
      </c>
    </row>
    <row r="55" spans="2:52" x14ac:dyDescent="0.25">
      <c r="B55" s="70">
        <f t="shared" si="9"/>
        <v>51</v>
      </c>
      <c r="C55" s="67">
        <f ca="1">IF(E55-'Invoer gegevens'!$C$17&lt;0,0,1)</f>
        <v>1</v>
      </c>
      <c r="D55" s="68">
        <f t="shared" si="10"/>
        <v>50.5</v>
      </c>
      <c r="E55" s="108">
        <f ca="1">IF('Invoer gegevens'!$C$16="","",E54+1)</f>
        <v>2069</v>
      </c>
      <c r="F55" s="84">
        <f ca="1">IF('Invoer gegevens'!$C$17=E55,'Invoer gegevens'!$C$10,IF(C55=1,K54,0))</f>
        <v>0</v>
      </c>
      <c r="G55" s="96">
        <f ca="1">IF(C55&gt;=1,F55*VLOOKUP(E55,Reeksen!$A$5:$B$76,2),0)</f>
        <v>0</v>
      </c>
      <c r="H55" s="84">
        <f ca="1">(1-('Invoer gegevens'!$F$20/12))*F55*MIN(Reeksen!B55,Reeksen!D55)</f>
        <v>0</v>
      </c>
      <c r="I55" s="84">
        <f>IF(Reeksen!D55&lt;Reeksen!B55,(Reeksen!B55-Reeksen!D55)*F55,0)</f>
        <v>0</v>
      </c>
      <c r="J55" s="84">
        <f ca="1">('Invoer gegevens'!$F$20/12)*F54*MIN(Reeksen!B54,Reeksen!D54)</f>
        <v>0</v>
      </c>
      <c r="K55" s="97">
        <f t="shared" ca="1" si="1"/>
        <v>0</v>
      </c>
      <c r="L55" s="84">
        <f ca="1">IF('Invoer gegevens'!$C$17=E55,0,IF(C55=1,Q54,0))</f>
        <v>0</v>
      </c>
      <c r="M55" s="96">
        <f ca="1">IF(C55&gt;=1,L55*VLOOKUP(E55,Reeksen!$A$5:$B$76,2),0)</f>
        <v>0</v>
      </c>
      <c r="N55" s="84">
        <f ca="1">(1-('Invoer gegevens'!$F$20/12))*L55*MIN(Reeksen!B55,Reeksen!D55)</f>
        <v>0</v>
      </c>
      <c r="O55" s="84">
        <f>IF(Reeksen!D55&lt;Reeksen!B55,(Reeksen!B55-Reeksen!D55)*L55,0)</f>
        <v>0</v>
      </c>
      <c r="P55" s="84">
        <f ca="1">('Invoer gegevens'!$F$20/12)*L54*MIN(Reeksen!B54,Reeksen!D54)</f>
        <v>0</v>
      </c>
      <c r="Q55" s="84">
        <f t="shared" ca="1" si="2"/>
        <v>0</v>
      </c>
      <c r="R55" s="82">
        <f ca="1">IF('Invoer gegevens'!$C$17=E55,'Invoer gegevens'!$C$11,IF(C55=1,W54,0))</f>
        <v>0</v>
      </c>
      <c r="S55" s="86">
        <f ca="1">IF(C55&gt;=1,R55*VLOOKUP(E55,Reeksen!$A$5:$B$76,2),0)</f>
        <v>0</v>
      </c>
      <c r="T55" s="84">
        <f ca="1">(1-('Invoer gegevens'!$F$20/12))*R55*MIN(Reeksen!B55,Reeksen!D55)</f>
        <v>0</v>
      </c>
      <c r="U55" s="84">
        <f>IF(Reeksen!D55&gt;=Reeksen!B55,0,IF(Reeksen!AK55&lt;=Reeksen!AE55,(Reeksen!B55-Reeksen!D55)*R55,0))</f>
        <v>0</v>
      </c>
      <c r="V55" s="86">
        <f>IF(Reeksen!D55&gt;=Reeksen!B55,0,IF(Reeksen!AK55&gt;Reeksen!AE55,(Reeksen!B55-Reeksen!D55)*R55,0))</f>
        <v>0</v>
      </c>
      <c r="W55" s="97">
        <f t="shared" ca="1" si="3"/>
        <v>0</v>
      </c>
      <c r="X55" s="98">
        <f ca="1">IF('Invoer gegevens'!$C$17=E55,'Invoer gegevens'!$C$10-'Invoer gegevens'!$C$11,IF(C55=1,AC54,0))</f>
        <v>0</v>
      </c>
      <c r="Y55" s="98">
        <f ca="1">IF(C55&gt;=1,X55*VLOOKUP(E55,Reeksen!$A$5:$B$76,2),0)</f>
        <v>0</v>
      </c>
      <c r="Z55" s="98">
        <f ca="1">(1-('Invoer gegevens'!$F$20/12))*X55*MIN(Reeksen!B55,Reeksen!D55)</f>
        <v>0</v>
      </c>
      <c r="AA55" s="98">
        <f>IF(Reeksen!D55&gt;=Reeksen!B55,0,IF(Reeksen!AK55&lt;=Reeksen!AE55,(Reeksen!B55-Reeksen!D55)*X55,0))</f>
        <v>0</v>
      </c>
      <c r="AB55" s="98">
        <f>IF(Reeksen!D55&gt;=Reeksen!B55,0,IF(Reeksen!AK55&gt;Reeksen!AE55,(Reeksen!B55-Reeksen!D55)*X55,0))</f>
        <v>0</v>
      </c>
      <c r="AC55" s="99">
        <f t="shared" ca="1" si="4"/>
        <v>0</v>
      </c>
      <c r="AD55" s="98">
        <f ca="1">IF('Invoer gegevens'!$C$17=E55,R55,IF(C55=0,0,AE54))</f>
        <v>0</v>
      </c>
      <c r="AE55" s="98">
        <f t="shared" ca="1" si="5"/>
        <v>0</v>
      </c>
      <c r="AF55" s="98">
        <f ca="1">IF('Invoer gegevens'!$C$17=E55,X55,IF(C55=0,0,AG54))</f>
        <v>0</v>
      </c>
      <c r="AG55" s="98">
        <f t="shared" ca="1" si="6"/>
        <v>0</v>
      </c>
      <c r="AH55" s="68"/>
      <c r="AI55" s="71">
        <f ca="1">IF(C55=1,Reeksen!AJ55*((F55-G55+F55)/2)*12+Reeksen!AK55*((L55-M55+L55)/2)*12,0)</f>
        <v>0</v>
      </c>
      <c r="AJ55" s="71">
        <f ca="1">-AI55*'Invoer gegevens'!$F$28</f>
        <v>0</v>
      </c>
      <c r="AK55" s="71">
        <f t="shared" ca="1" si="0"/>
        <v>0</v>
      </c>
      <c r="AL55" s="71">
        <f ca="1">IF(C55=1,Reeksen!AL55*((F55-G55+F55)/2)*12+Reeksen!AM55*((L55-M55+L55)/2)*12,0)</f>
        <v>0</v>
      </c>
      <c r="AM55" s="71">
        <f ca="1">-AL55*'Invoer gegevens'!$F$31</f>
        <v>0</v>
      </c>
      <c r="AN55" s="71">
        <f t="shared" ca="1" si="7"/>
        <v>0</v>
      </c>
      <c r="AO55" s="71">
        <f ca="1">IF(C55=1,(H55+J55+N55+P55)*Reeksen!AN55,0)</f>
        <v>0</v>
      </c>
      <c r="AP55" s="71">
        <f ca="1">-IF(C55=1,(H55+J55+N55+P55)*'Hulp - basis'!$G$550*Reeksen!H55,0)</f>
        <v>0</v>
      </c>
      <c r="AQ55" s="71">
        <f ca="1">-IF(C55=1,(F55+K55+L55+Q55)/2*'Invoer gegevens'!$I$33*Reeksen!J55,0)*2</f>
        <v>0</v>
      </c>
      <c r="AR55" s="71">
        <f ca="1">-IF(C55=1,(I55*'Invoer gegevens'!$I$34)*Reeksen!J55,0)</f>
        <v>0</v>
      </c>
      <c r="AS55" s="71">
        <f ca="1">-IF(C55=1,(F55+K55+L55+Q55)/2*'Invoer gegevens'!$I$35*Reeksen!L55,0)</f>
        <v>0</v>
      </c>
      <c r="AT55" s="71">
        <f ca="1">-IF(C55=1,IF(E55='Invoer gegevens'!$C$17,'Invoer gegevens'!$C$11,AD55)*Reeksen!S55*'Invoer gegevens'!$C$18*Reeksen!P55,0)</f>
        <v>0</v>
      </c>
      <c r="AU55" s="71">
        <f ca="1">-IF(C55=1,(F55+K55+L55+Q55)/2*'Invoer gegevens'!$I$36*Reeksen!H55,0)</f>
        <v>0</v>
      </c>
      <c r="AV55" s="71">
        <f>IF('Invoer gegevens'!$C$3="Basis",0,#REF!)</f>
        <v>0</v>
      </c>
      <c r="AW55" s="71">
        <f t="shared" ca="1" si="8"/>
        <v>0</v>
      </c>
      <c r="AX55" s="71">
        <f ca="1">IF(E55&lt;'Invoer gegevens'!$C$17+15,0,IF(E55&gt;'Invoer gegevens'!$C$17+215,0,AW55))</f>
        <v>0</v>
      </c>
      <c r="AY55" s="71">
        <f ca="1">AX55/(1+'Invoer gegevens'!$F$18)^($AZ55-('Invoer gegevens'!$C$17-'Invoer gegevens'!$C$16))/(1+'Invoer gegevens'!$C$39)^('Invoer gegevens'!$C$17-'Invoer gegevens'!$C$16)</f>
        <v>0</v>
      </c>
      <c r="AZ55" s="68">
        <f ca="1">IF(E55-'Invoer gegevens'!$C$17-14.5&lt;0,0,E55-'Invoer gegevens'!$C$17-14.5)</f>
        <v>35.5</v>
      </c>
    </row>
    <row r="56" spans="2:52" x14ac:dyDescent="0.25">
      <c r="B56" s="70">
        <f t="shared" si="9"/>
        <v>52</v>
      </c>
      <c r="C56" s="67">
        <f ca="1">IF(E56-'Invoer gegevens'!$C$17&lt;0,0,1)</f>
        <v>1</v>
      </c>
      <c r="D56" s="68">
        <f t="shared" si="10"/>
        <v>51.5</v>
      </c>
      <c r="E56" s="108">
        <f ca="1">IF('Invoer gegevens'!$C$16="","",E55+1)</f>
        <v>2070</v>
      </c>
      <c r="F56" s="84">
        <f ca="1">IF('Invoer gegevens'!$C$17=E56,'Invoer gegevens'!$C$10,IF(C56=1,K55,0))</f>
        <v>0</v>
      </c>
      <c r="G56" s="96">
        <f ca="1">IF(C56&gt;=1,F56*VLOOKUP(E56,Reeksen!$A$5:$B$76,2),0)</f>
        <v>0</v>
      </c>
      <c r="H56" s="84">
        <f ca="1">(1-('Invoer gegevens'!$F$20/12))*F56*MIN(Reeksen!B56,Reeksen!D56)</f>
        <v>0</v>
      </c>
      <c r="I56" s="84">
        <f>IF(Reeksen!D56&lt;Reeksen!B56,(Reeksen!B56-Reeksen!D56)*F56,0)</f>
        <v>0</v>
      </c>
      <c r="J56" s="84">
        <f ca="1">('Invoer gegevens'!$F$20/12)*F55*MIN(Reeksen!B55,Reeksen!D55)</f>
        <v>0</v>
      </c>
      <c r="K56" s="97">
        <f t="shared" ca="1" si="1"/>
        <v>0</v>
      </c>
      <c r="L56" s="84">
        <f ca="1">IF('Invoer gegevens'!$C$17=E56,0,IF(C56=1,Q55,0))</f>
        <v>0</v>
      </c>
      <c r="M56" s="96">
        <f ca="1">IF(C56&gt;=1,L56*VLOOKUP(E56,Reeksen!$A$5:$B$76,2),0)</f>
        <v>0</v>
      </c>
      <c r="N56" s="84">
        <f ca="1">(1-('Invoer gegevens'!$F$20/12))*L56*MIN(Reeksen!B56,Reeksen!D56)</f>
        <v>0</v>
      </c>
      <c r="O56" s="84">
        <f>IF(Reeksen!D56&lt;Reeksen!B56,(Reeksen!B56-Reeksen!D56)*L56,0)</f>
        <v>0</v>
      </c>
      <c r="P56" s="84">
        <f ca="1">('Invoer gegevens'!$F$20/12)*L55*MIN(Reeksen!B55,Reeksen!D55)</f>
        <v>0</v>
      </c>
      <c r="Q56" s="84">
        <f t="shared" ca="1" si="2"/>
        <v>0</v>
      </c>
      <c r="R56" s="82">
        <f ca="1">IF('Invoer gegevens'!$C$17=E56,'Invoer gegevens'!$C$11,IF(C56=1,W55,0))</f>
        <v>0</v>
      </c>
      <c r="S56" s="86">
        <f ca="1">IF(C56&gt;=1,R56*VLOOKUP(E56,Reeksen!$A$5:$B$76,2),0)</f>
        <v>0</v>
      </c>
      <c r="T56" s="84">
        <f ca="1">(1-('Invoer gegevens'!$F$20/12))*R56*MIN(Reeksen!B56,Reeksen!D56)</f>
        <v>0</v>
      </c>
      <c r="U56" s="84">
        <f>IF(Reeksen!D56&gt;=Reeksen!B56,0,IF(Reeksen!AK56&lt;=Reeksen!AE56,(Reeksen!B56-Reeksen!D56)*R56,0))</f>
        <v>0</v>
      </c>
      <c r="V56" s="86">
        <f>IF(Reeksen!D56&gt;=Reeksen!B56,0,IF(Reeksen!AK56&gt;Reeksen!AE56,(Reeksen!B56-Reeksen!D56)*R56,0))</f>
        <v>0</v>
      </c>
      <c r="W56" s="97">
        <f t="shared" ca="1" si="3"/>
        <v>0</v>
      </c>
      <c r="X56" s="98">
        <f ca="1">IF('Invoer gegevens'!$C$17=E56,'Invoer gegevens'!$C$10-'Invoer gegevens'!$C$11,IF(C56=1,AC55,0))</f>
        <v>0</v>
      </c>
      <c r="Y56" s="98">
        <f ca="1">IF(C56&gt;=1,X56*VLOOKUP(E56,Reeksen!$A$5:$B$76,2),0)</f>
        <v>0</v>
      </c>
      <c r="Z56" s="98">
        <f ca="1">(1-('Invoer gegevens'!$F$20/12))*X56*MIN(Reeksen!B56,Reeksen!D56)</f>
        <v>0</v>
      </c>
      <c r="AA56" s="98">
        <f>IF(Reeksen!D56&gt;=Reeksen!B56,0,IF(Reeksen!AK56&lt;=Reeksen!AE56,(Reeksen!B56-Reeksen!D56)*X56,0))</f>
        <v>0</v>
      </c>
      <c r="AB56" s="98">
        <f>IF(Reeksen!D56&gt;=Reeksen!B56,0,IF(Reeksen!AK56&gt;Reeksen!AE56,(Reeksen!B56-Reeksen!D56)*X56,0))</f>
        <v>0</v>
      </c>
      <c r="AC56" s="99">
        <f t="shared" ca="1" si="4"/>
        <v>0</v>
      </c>
      <c r="AD56" s="98">
        <f ca="1">IF('Invoer gegevens'!$C$17=E56,R56,IF(C56=0,0,AE55))</f>
        <v>0</v>
      </c>
      <c r="AE56" s="98">
        <f t="shared" ca="1" si="5"/>
        <v>0</v>
      </c>
      <c r="AF56" s="98">
        <f ca="1">IF('Invoer gegevens'!$C$17=E56,X56,IF(C56=0,0,AG55))</f>
        <v>0</v>
      </c>
      <c r="AG56" s="98">
        <f t="shared" ca="1" si="6"/>
        <v>0</v>
      </c>
      <c r="AH56" s="68"/>
      <c r="AI56" s="71">
        <f ca="1">IF(C56=1,Reeksen!AJ56*((F56-G56+F56)/2)*12+Reeksen!AK56*((L56-M56+L56)/2)*12,0)</f>
        <v>0</v>
      </c>
      <c r="AJ56" s="71">
        <f ca="1">-AI56*'Invoer gegevens'!$F$28</f>
        <v>0</v>
      </c>
      <c r="AK56" s="71">
        <f t="shared" ca="1" si="0"/>
        <v>0</v>
      </c>
      <c r="AL56" s="71">
        <f ca="1">IF(C56=1,Reeksen!AL56*((F56-G56+F56)/2)*12+Reeksen!AM56*((L56-M56+L56)/2)*12,0)</f>
        <v>0</v>
      </c>
      <c r="AM56" s="71">
        <f ca="1">-AL56*'Invoer gegevens'!$F$31</f>
        <v>0</v>
      </c>
      <c r="AN56" s="71">
        <f t="shared" ca="1" si="7"/>
        <v>0</v>
      </c>
      <c r="AO56" s="71">
        <f ca="1">IF(C56=1,(H56+J56+N56+P56)*Reeksen!AN56,0)</f>
        <v>0</v>
      </c>
      <c r="AP56" s="71">
        <f ca="1">-IF(C56=1,(H56+J56+N56+P56)*'Hulp - basis'!$G$550*Reeksen!H56,0)</f>
        <v>0</v>
      </c>
      <c r="AQ56" s="71">
        <f ca="1">-IF(C56=1,(F56+K56+L56+Q56)/2*'Invoer gegevens'!$I$33*Reeksen!J56,0)*2</f>
        <v>0</v>
      </c>
      <c r="AR56" s="71">
        <f ca="1">-IF(C56=1,(I56*'Invoer gegevens'!$I$34)*Reeksen!J56,0)</f>
        <v>0</v>
      </c>
      <c r="AS56" s="71">
        <f ca="1">-IF(C56=1,(F56+K56+L56+Q56)/2*'Invoer gegevens'!$I$35*Reeksen!L56,0)</f>
        <v>0</v>
      </c>
      <c r="AT56" s="71">
        <f ca="1">-IF(C56=1,IF(E56='Invoer gegevens'!$C$17,'Invoer gegevens'!$C$11,AD56)*Reeksen!S56*'Invoer gegevens'!$C$18*Reeksen!P56,0)</f>
        <v>0</v>
      </c>
      <c r="AU56" s="71">
        <f ca="1">-IF(C56=1,(F56+K56+L56+Q56)/2*'Invoer gegevens'!$I$36*Reeksen!H56,0)</f>
        <v>0</v>
      </c>
      <c r="AV56" s="71">
        <f>IF('Invoer gegevens'!$C$3="Basis",0,#REF!)</f>
        <v>0</v>
      </c>
      <c r="AW56" s="71">
        <f t="shared" ca="1" si="8"/>
        <v>0</v>
      </c>
      <c r="AX56" s="71">
        <f ca="1">IF(E56&lt;'Invoer gegevens'!$C$17+15,0,IF(E56&gt;'Invoer gegevens'!$C$17+215,0,AW56))</f>
        <v>0</v>
      </c>
      <c r="AY56" s="71">
        <f ca="1">AX56/(1+'Invoer gegevens'!$F$18)^($AZ56-('Invoer gegevens'!$C$17-'Invoer gegevens'!$C$16))/(1+'Invoer gegevens'!$C$39)^('Invoer gegevens'!$C$17-'Invoer gegevens'!$C$16)</f>
        <v>0</v>
      </c>
      <c r="AZ56" s="68">
        <f ca="1">IF(E56-'Invoer gegevens'!$C$17-14.5&lt;0,0,E56-'Invoer gegevens'!$C$17-14.5)</f>
        <v>36.5</v>
      </c>
    </row>
    <row r="57" spans="2:52" x14ac:dyDescent="0.25">
      <c r="B57" s="70">
        <f t="shared" si="9"/>
        <v>53</v>
      </c>
      <c r="C57" s="67">
        <f ca="1">IF(E57-'Invoer gegevens'!$C$17&lt;0,0,1)</f>
        <v>1</v>
      </c>
      <c r="D57" s="68">
        <f t="shared" si="10"/>
        <v>52.5</v>
      </c>
      <c r="E57" s="108">
        <f ca="1">IF('Invoer gegevens'!$C$16="","",E56+1)</f>
        <v>2071</v>
      </c>
      <c r="F57" s="84">
        <f ca="1">IF('Invoer gegevens'!$C$17=E57,'Invoer gegevens'!$C$10,IF(C57=1,K56,0))</f>
        <v>0</v>
      </c>
      <c r="G57" s="96">
        <f ca="1">IF(C57&gt;=1,F57*VLOOKUP(E57,Reeksen!$A$5:$B$76,2),0)</f>
        <v>0</v>
      </c>
      <c r="H57" s="84">
        <f ca="1">(1-('Invoer gegevens'!$F$20/12))*F57*MIN(Reeksen!B57,Reeksen!D57)</f>
        <v>0</v>
      </c>
      <c r="I57" s="84">
        <f>IF(Reeksen!D57&lt;Reeksen!B57,(Reeksen!B57-Reeksen!D57)*F57,0)</f>
        <v>0</v>
      </c>
      <c r="J57" s="84">
        <f ca="1">('Invoer gegevens'!$F$20/12)*F56*MIN(Reeksen!B56,Reeksen!D56)</f>
        <v>0</v>
      </c>
      <c r="K57" s="97">
        <f t="shared" ca="1" si="1"/>
        <v>0</v>
      </c>
      <c r="L57" s="84">
        <f ca="1">IF('Invoer gegevens'!$C$17=E57,0,IF(C57=1,Q56,0))</f>
        <v>0</v>
      </c>
      <c r="M57" s="96">
        <f ca="1">IF(C57&gt;=1,L57*VLOOKUP(E57,Reeksen!$A$5:$B$76,2),0)</f>
        <v>0</v>
      </c>
      <c r="N57" s="84">
        <f ca="1">(1-('Invoer gegevens'!$F$20/12))*L57*MIN(Reeksen!B57,Reeksen!D57)</f>
        <v>0</v>
      </c>
      <c r="O57" s="84">
        <f>IF(Reeksen!D57&lt;Reeksen!B57,(Reeksen!B57-Reeksen!D57)*L57,0)</f>
        <v>0</v>
      </c>
      <c r="P57" s="84">
        <f ca="1">('Invoer gegevens'!$F$20/12)*L56*MIN(Reeksen!B56,Reeksen!D56)</f>
        <v>0</v>
      </c>
      <c r="Q57" s="84">
        <f t="shared" ca="1" si="2"/>
        <v>0</v>
      </c>
      <c r="R57" s="82">
        <f ca="1">IF('Invoer gegevens'!$C$17=E57,'Invoer gegevens'!$C$11,IF(C57=1,W56,0))</f>
        <v>0</v>
      </c>
      <c r="S57" s="86">
        <f ca="1">IF(C57&gt;=1,R57*VLOOKUP(E57,Reeksen!$A$5:$B$76,2),0)</f>
        <v>0</v>
      </c>
      <c r="T57" s="84">
        <f ca="1">(1-('Invoer gegevens'!$F$20/12))*R57*MIN(Reeksen!B57,Reeksen!D57)</f>
        <v>0</v>
      </c>
      <c r="U57" s="84">
        <f>IF(Reeksen!D57&gt;=Reeksen!B57,0,IF(Reeksen!AK57&lt;=Reeksen!AE57,(Reeksen!B57-Reeksen!D57)*R57,0))</f>
        <v>0</v>
      </c>
      <c r="V57" s="86">
        <f>IF(Reeksen!D57&gt;=Reeksen!B57,0,IF(Reeksen!AK57&gt;Reeksen!AE57,(Reeksen!B57-Reeksen!D57)*R57,0))</f>
        <v>0</v>
      </c>
      <c r="W57" s="97">
        <f t="shared" ca="1" si="3"/>
        <v>0</v>
      </c>
      <c r="X57" s="98">
        <f ca="1">IF('Invoer gegevens'!$C$17=E57,'Invoer gegevens'!$C$10-'Invoer gegevens'!$C$11,IF(C57=1,AC56,0))</f>
        <v>0</v>
      </c>
      <c r="Y57" s="98">
        <f ca="1">IF(C57&gt;=1,X57*VLOOKUP(E57,Reeksen!$A$5:$B$76,2),0)</f>
        <v>0</v>
      </c>
      <c r="Z57" s="98">
        <f ca="1">(1-('Invoer gegevens'!$F$20/12))*X57*MIN(Reeksen!B57,Reeksen!D57)</f>
        <v>0</v>
      </c>
      <c r="AA57" s="98">
        <f>IF(Reeksen!D57&gt;=Reeksen!B57,0,IF(Reeksen!AK57&lt;=Reeksen!AE57,(Reeksen!B57-Reeksen!D57)*X57,0))</f>
        <v>0</v>
      </c>
      <c r="AB57" s="98">
        <f>IF(Reeksen!D57&gt;=Reeksen!B57,0,IF(Reeksen!AK57&gt;Reeksen!AE57,(Reeksen!B57-Reeksen!D57)*X57,0))</f>
        <v>0</v>
      </c>
      <c r="AC57" s="99">
        <f t="shared" ca="1" si="4"/>
        <v>0</v>
      </c>
      <c r="AD57" s="98">
        <f ca="1">IF('Invoer gegevens'!$C$17=E57,R57,IF(C57=0,0,AE56))</f>
        <v>0</v>
      </c>
      <c r="AE57" s="98">
        <f t="shared" ca="1" si="5"/>
        <v>0</v>
      </c>
      <c r="AF57" s="98">
        <f ca="1">IF('Invoer gegevens'!$C$17=E57,X57,IF(C57=0,0,AG56))</f>
        <v>0</v>
      </c>
      <c r="AG57" s="98">
        <f t="shared" ca="1" si="6"/>
        <v>0</v>
      </c>
      <c r="AH57" s="68"/>
      <c r="AI57" s="71">
        <f ca="1">IF(C57=1,Reeksen!AJ57*((F57-G57+F57)/2)*12+Reeksen!AK57*((L57-M57+L57)/2)*12,0)</f>
        <v>0</v>
      </c>
      <c r="AJ57" s="71">
        <f ca="1">-AI57*'Invoer gegevens'!$F$28</f>
        <v>0</v>
      </c>
      <c r="AK57" s="71">
        <f t="shared" ca="1" si="0"/>
        <v>0</v>
      </c>
      <c r="AL57" s="71">
        <f ca="1">IF(C57=1,Reeksen!AL57*((F57-G57+F57)/2)*12+Reeksen!AM57*((L57-M57+L57)/2)*12,0)</f>
        <v>0</v>
      </c>
      <c r="AM57" s="71">
        <f ca="1">-AL57*'Invoer gegevens'!$F$31</f>
        <v>0</v>
      </c>
      <c r="AN57" s="71">
        <f t="shared" ca="1" si="7"/>
        <v>0</v>
      </c>
      <c r="AO57" s="71">
        <f ca="1">IF(C57=1,(H57+J57+N57+P57)*Reeksen!AN57,0)</f>
        <v>0</v>
      </c>
      <c r="AP57" s="71">
        <f ca="1">-IF(C57=1,(H57+J57+N57+P57)*'Hulp - basis'!$G$550*Reeksen!H57,0)</f>
        <v>0</v>
      </c>
      <c r="AQ57" s="71">
        <f ca="1">-IF(C57=1,(F57+K57+L57+Q57)/2*'Invoer gegevens'!$I$33*Reeksen!J57,0)*2</f>
        <v>0</v>
      </c>
      <c r="AR57" s="71">
        <f ca="1">-IF(C57=1,(I57*'Invoer gegevens'!$I$34)*Reeksen!J57,0)</f>
        <v>0</v>
      </c>
      <c r="AS57" s="71">
        <f ca="1">-IF(C57=1,(F57+K57+L57+Q57)/2*'Invoer gegevens'!$I$35*Reeksen!L57,0)</f>
        <v>0</v>
      </c>
      <c r="AT57" s="71">
        <f ca="1">-IF(C57=1,IF(E57='Invoer gegevens'!$C$17,'Invoer gegevens'!$C$11,AD57)*Reeksen!S57*'Invoer gegevens'!$C$18*Reeksen!P57,0)</f>
        <v>0</v>
      </c>
      <c r="AU57" s="71">
        <f ca="1">-IF(C57=1,(F57+K57+L57+Q57)/2*'Invoer gegevens'!$I$36*Reeksen!H57,0)</f>
        <v>0</v>
      </c>
      <c r="AV57" s="71">
        <f>IF('Invoer gegevens'!$C$3="Basis",0,#REF!)</f>
        <v>0</v>
      </c>
      <c r="AW57" s="71">
        <f t="shared" ca="1" si="8"/>
        <v>0</v>
      </c>
      <c r="AX57" s="71">
        <f ca="1">IF(E57&lt;'Invoer gegevens'!$C$17+15,0,IF(E57&gt;'Invoer gegevens'!$C$17+215,0,AW57))</f>
        <v>0</v>
      </c>
      <c r="AY57" s="71">
        <f ca="1">AX57/(1+'Invoer gegevens'!$F$18)^($AZ57-('Invoer gegevens'!$C$17-'Invoer gegevens'!$C$16))/(1+'Invoer gegevens'!$C$39)^('Invoer gegevens'!$C$17-'Invoer gegevens'!$C$16)</f>
        <v>0</v>
      </c>
      <c r="AZ57" s="68">
        <f ca="1">IF(E57-'Invoer gegevens'!$C$17-14.5&lt;0,0,E57-'Invoer gegevens'!$C$17-14.5)</f>
        <v>37.5</v>
      </c>
    </row>
    <row r="58" spans="2:52" x14ac:dyDescent="0.25">
      <c r="B58" s="70">
        <f t="shared" si="9"/>
        <v>54</v>
      </c>
      <c r="C58" s="67">
        <f ca="1">IF(E58-'Invoer gegevens'!$C$17&lt;0,0,1)</f>
        <v>1</v>
      </c>
      <c r="D58" s="68">
        <f t="shared" si="10"/>
        <v>53.5</v>
      </c>
      <c r="E58" s="108">
        <f ca="1">IF('Invoer gegevens'!$C$16="","",E57+1)</f>
        <v>2072</v>
      </c>
      <c r="F58" s="84">
        <f ca="1">IF('Invoer gegevens'!$C$17=E58,'Invoer gegevens'!$C$10,IF(C58=1,K57,0))</f>
        <v>0</v>
      </c>
      <c r="G58" s="96">
        <f ca="1">IF(C58&gt;=1,F58*VLOOKUP(E58,Reeksen!$A$5:$B$76,2),0)</f>
        <v>0</v>
      </c>
      <c r="H58" s="84">
        <f ca="1">(1-('Invoer gegevens'!$F$20/12))*F58*MIN(Reeksen!B58,Reeksen!D58)</f>
        <v>0</v>
      </c>
      <c r="I58" s="84">
        <f>IF(Reeksen!D58&lt;Reeksen!B58,(Reeksen!B58-Reeksen!D58)*F58,0)</f>
        <v>0</v>
      </c>
      <c r="J58" s="84">
        <f ca="1">('Invoer gegevens'!$F$20/12)*F57*MIN(Reeksen!B57,Reeksen!D57)</f>
        <v>0</v>
      </c>
      <c r="K58" s="97">
        <f t="shared" ca="1" si="1"/>
        <v>0</v>
      </c>
      <c r="L58" s="84">
        <f ca="1">IF('Invoer gegevens'!$C$17=E58,0,IF(C58=1,Q57,0))</f>
        <v>0</v>
      </c>
      <c r="M58" s="96">
        <f ca="1">IF(C58&gt;=1,L58*VLOOKUP(E58,Reeksen!$A$5:$B$76,2),0)</f>
        <v>0</v>
      </c>
      <c r="N58" s="84">
        <f ca="1">(1-('Invoer gegevens'!$F$20/12))*L58*MIN(Reeksen!B58,Reeksen!D58)</f>
        <v>0</v>
      </c>
      <c r="O58" s="84">
        <f>IF(Reeksen!D58&lt;Reeksen!B58,(Reeksen!B58-Reeksen!D58)*L58,0)</f>
        <v>0</v>
      </c>
      <c r="P58" s="84">
        <f ca="1">('Invoer gegevens'!$F$20/12)*L57*MIN(Reeksen!B57,Reeksen!D57)</f>
        <v>0</v>
      </c>
      <c r="Q58" s="84">
        <f t="shared" ca="1" si="2"/>
        <v>0</v>
      </c>
      <c r="R58" s="82">
        <f ca="1">IF('Invoer gegevens'!$C$17=E58,'Invoer gegevens'!$C$11,IF(C58=1,W57,0))</f>
        <v>0</v>
      </c>
      <c r="S58" s="86">
        <f ca="1">IF(C58&gt;=1,R58*VLOOKUP(E58,Reeksen!$A$5:$B$76,2),0)</f>
        <v>0</v>
      </c>
      <c r="T58" s="84">
        <f ca="1">(1-('Invoer gegevens'!$F$20/12))*R58*MIN(Reeksen!B58,Reeksen!D58)</f>
        <v>0</v>
      </c>
      <c r="U58" s="84">
        <f>IF(Reeksen!D58&gt;=Reeksen!B58,0,IF(Reeksen!AK58&lt;=Reeksen!AE58,(Reeksen!B58-Reeksen!D58)*R58,0))</f>
        <v>0</v>
      </c>
      <c r="V58" s="86">
        <f>IF(Reeksen!D58&gt;=Reeksen!B58,0,IF(Reeksen!AK58&gt;Reeksen!AE58,(Reeksen!B58-Reeksen!D58)*R58,0))</f>
        <v>0</v>
      </c>
      <c r="W58" s="97">
        <f t="shared" ca="1" si="3"/>
        <v>0</v>
      </c>
      <c r="X58" s="98">
        <f ca="1">IF('Invoer gegevens'!$C$17=E58,'Invoer gegevens'!$C$10-'Invoer gegevens'!$C$11,IF(C58=1,AC57,0))</f>
        <v>0</v>
      </c>
      <c r="Y58" s="98">
        <f ca="1">IF(C58&gt;=1,X58*VLOOKUP(E58,Reeksen!$A$5:$B$76,2),0)</f>
        <v>0</v>
      </c>
      <c r="Z58" s="98">
        <f ca="1">(1-('Invoer gegevens'!$F$20/12))*X58*MIN(Reeksen!B58,Reeksen!D58)</f>
        <v>0</v>
      </c>
      <c r="AA58" s="98">
        <f>IF(Reeksen!D58&gt;=Reeksen!B58,0,IF(Reeksen!AK58&lt;=Reeksen!AE58,(Reeksen!B58-Reeksen!D58)*X58,0))</f>
        <v>0</v>
      </c>
      <c r="AB58" s="98">
        <f>IF(Reeksen!D58&gt;=Reeksen!B58,0,IF(Reeksen!AK58&gt;Reeksen!AE58,(Reeksen!B58-Reeksen!D58)*X58,0))</f>
        <v>0</v>
      </c>
      <c r="AC58" s="99">
        <f t="shared" ca="1" si="4"/>
        <v>0</v>
      </c>
      <c r="AD58" s="98">
        <f ca="1">IF('Invoer gegevens'!$C$17=E58,R58,IF(C58=0,0,AE57))</f>
        <v>0</v>
      </c>
      <c r="AE58" s="98">
        <f t="shared" ca="1" si="5"/>
        <v>0</v>
      </c>
      <c r="AF58" s="98">
        <f ca="1">IF('Invoer gegevens'!$C$17=E58,X58,IF(C58=0,0,AG57))</f>
        <v>0</v>
      </c>
      <c r="AG58" s="98">
        <f t="shared" ca="1" si="6"/>
        <v>0</v>
      </c>
      <c r="AH58" s="68"/>
      <c r="AI58" s="71">
        <f ca="1">IF(C58=1,Reeksen!AJ58*((F58-G58+F58)/2)*12+Reeksen!AK58*((L58-M58+L58)/2)*12,0)</f>
        <v>0</v>
      </c>
      <c r="AJ58" s="71">
        <f ca="1">-AI58*'Invoer gegevens'!$F$28</f>
        <v>0</v>
      </c>
      <c r="AK58" s="71">
        <f t="shared" ca="1" si="0"/>
        <v>0</v>
      </c>
      <c r="AL58" s="71">
        <f ca="1">IF(C58=1,Reeksen!AL58*((F58-G58+F58)/2)*12+Reeksen!AM58*((L58-M58+L58)/2)*12,0)</f>
        <v>0</v>
      </c>
      <c r="AM58" s="71">
        <f ca="1">-AL58*'Invoer gegevens'!$F$31</f>
        <v>0</v>
      </c>
      <c r="AN58" s="71">
        <f t="shared" ca="1" si="7"/>
        <v>0</v>
      </c>
      <c r="AO58" s="71">
        <f ca="1">IF(C58=1,(H58+J58+N58+P58)*Reeksen!AN58,0)</f>
        <v>0</v>
      </c>
      <c r="AP58" s="71">
        <f ca="1">-IF(C58=1,(H58+J58+N58+P58)*'Hulp - basis'!$G$550*Reeksen!H58,0)</f>
        <v>0</v>
      </c>
      <c r="AQ58" s="71">
        <f ca="1">-IF(C58=1,(F58+K58+L58+Q58)/2*'Invoer gegevens'!$I$33*Reeksen!J58,0)*2</f>
        <v>0</v>
      </c>
      <c r="AR58" s="71">
        <f ca="1">-IF(C58=1,(I58*'Invoer gegevens'!$I$34)*Reeksen!J58,0)</f>
        <v>0</v>
      </c>
      <c r="AS58" s="71">
        <f ca="1">-IF(C58=1,(F58+K58+L58+Q58)/2*'Invoer gegevens'!$I$35*Reeksen!L58,0)</f>
        <v>0</v>
      </c>
      <c r="AT58" s="71">
        <f ca="1">-IF(C58=1,IF(E58='Invoer gegevens'!$C$17,'Invoer gegevens'!$C$11,AD58)*Reeksen!S58*'Invoer gegevens'!$C$18*Reeksen!P58,0)</f>
        <v>0</v>
      </c>
      <c r="AU58" s="71">
        <f ca="1">-IF(C58=1,(F58+K58+L58+Q58)/2*'Invoer gegevens'!$I$36*Reeksen!H58,0)</f>
        <v>0</v>
      </c>
      <c r="AV58" s="71">
        <f>IF('Invoer gegevens'!$C$3="Basis",0,#REF!)</f>
        <v>0</v>
      </c>
      <c r="AW58" s="71">
        <f t="shared" ca="1" si="8"/>
        <v>0</v>
      </c>
      <c r="AX58" s="71">
        <f ca="1">IF(E58&lt;'Invoer gegevens'!$C$17+15,0,IF(E58&gt;'Invoer gegevens'!$C$17+215,0,AW58))</f>
        <v>0</v>
      </c>
      <c r="AY58" s="71">
        <f ca="1">AX58/(1+'Invoer gegevens'!$F$18)^($AZ58-('Invoer gegevens'!$C$17-'Invoer gegevens'!$C$16))/(1+'Invoer gegevens'!$C$39)^('Invoer gegevens'!$C$17-'Invoer gegevens'!$C$16)</f>
        <v>0</v>
      </c>
      <c r="AZ58" s="68">
        <f ca="1">IF(E58-'Invoer gegevens'!$C$17-14.5&lt;0,0,E58-'Invoer gegevens'!$C$17-14.5)</f>
        <v>38.5</v>
      </c>
    </row>
    <row r="59" spans="2:52" x14ac:dyDescent="0.25">
      <c r="B59" s="70">
        <f t="shared" si="9"/>
        <v>55</v>
      </c>
      <c r="C59" s="67">
        <f ca="1">IF(E59-'Invoer gegevens'!$C$17&lt;0,0,1)</f>
        <v>1</v>
      </c>
      <c r="D59" s="68">
        <f t="shared" si="10"/>
        <v>54.5</v>
      </c>
      <c r="E59" s="108">
        <f ca="1">IF('Invoer gegevens'!$C$16="","",E58+1)</f>
        <v>2073</v>
      </c>
      <c r="F59" s="84">
        <f ca="1">IF('Invoer gegevens'!$C$17=E59,'Invoer gegevens'!$C$10,IF(C59=1,K58,0))</f>
        <v>0</v>
      </c>
      <c r="G59" s="96">
        <f ca="1">IF(C59&gt;=1,F59*VLOOKUP(E59,Reeksen!$A$5:$B$76,2),0)</f>
        <v>0</v>
      </c>
      <c r="H59" s="84">
        <f ca="1">(1-('Invoer gegevens'!$F$20/12))*F59*MIN(Reeksen!B59,Reeksen!D59)</f>
        <v>0</v>
      </c>
      <c r="I59" s="84">
        <f>IF(Reeksen!D59&lt;Reeksen!B59,(Reeksen!B59-Reeksen!D59)*F59,0)</f>
        <v>0</v>
      </c>
      <c r="J59" s="84">
        <f ca="1">('Invoer gegevens'!$F$20/12)*F58*MIN(Reeksen!B58,Reeksen!D58)</f>
        <v>0</v>
      </c>
      <c r="K59" s="97">
        <f t="shared" ca="1" si="1"/>
        <v>0</v>
      </c>
      <c r="L59" s="84">
        <f ca="1">IF('Invoer gegevens'!$C$17=E59,0,IF(C59=1,Q58,0))</f>
        <v>0</v>
      </c>
      <c r="M59" s="96">
        <f ca="1">IF(C59&gt;=1,L59*VLOOKUP(E59,Reeksen!$A$5:$B$76,2),0)</f>
        <v>0</v>
      </c>
      <c r="N59" s="84">
        <f ca="1">(1-('Invoer gegevens'!$F$20/12))*L59*MIN(Reeksen!B59,Reeksen!D59)</f>
        <v>0</v>
      </c>
      <c r="O59" s="84">
        <f>IF(Reeksen!D59&lt;Reeksen!B59,(Reeksen!B59-Reeksen!D59)*L59,0)</f>
        <v>0</v>
      </c>
      <c r="P59" s="84">
        <f ca="1">('Invoer gegevens'!$F$20/12)*L58*MIN(Reeksen!B58,Reeksen!D58)</f>
        <v>0</v>
      </c>
      <c r="Q59" s="84">
        <f t="shared" ca="1" si="2"/>
        <v>0</v>
      </c>
      <c r="R59" s="82">
        <f ca="1">IF('Invoer gegevens'!$C$17=E59,'Invoer gegevens'!$C$11,IF(C59=1,W58,0))</f>
        <v>0</v>
      </c>
      <c r="S59" s="86">
        <f ca="1">IF(C59&gt;=1,R59*VLOOKUP(E59,Reeksen!$A$5:$B$76,2),0)</f>
        <v>0</v>
      </c>
      <c r="T59" s="84">
        <f ca="1">(1-('Invoer gegevens'!$F$20/12))*R59*MIN(Reeksen!B59,Reeksen!D59)</f>
        <v>0</v>
      </c>
      <c r="U59" s="84">
        <f>IF(Reeksen!D59&gt;=Reeksen!B59,0,IF(Reeksen!AK59&lt;=Reeksen!AE59,(Reeksen!B59-Reeksen!D59)*R59,0))</f>
        <v>0</v>
      </c>
      <c r="V59" s="86">
        <f>IF(Reeksen!D59&gt;=Reeksen!B59,0,IF(Reeksen!AK59&gt;Reeksen!AE59,(Reeksen!B59-Reeksen!D59)*R59,0))</f>
        <v>0</v>
      </c>
      <c r="W59" s="97">
        <f t="shared" ca="1" si="3"/>
        <v>0</v>
      </c>
      <c r="X59" s="98">
        <f ca="1">IF('Invoer gegevens'!$C$17=E59,'Invoer gegevens'!$C$10-'Invoer gegevens'!$C$11,IF(C59=1,AC58,0))</f>
        <v>0</v>
      </c>
      <c r="Y59" s="98">
        <f ca="1">IF(C59&gt;=1,X59*VLOOKUP(E59,Reeksen!$A$5:$B$76,2),0)</f>
        <v>0</v>
      </c>
      <c r="Z59" s="98">
        <f ca="1">(1-('Invoer gegevens'!$F$20/12))*X59*MIN(Reeksen!B59,Reeksen!D59)</f>
        <v>0</v>
      </c>
      <c r="AA59" s="98">
        <f>IF(Reeksen!D59&gt;=Reeksen!B59,0,IF(Reeksen!AK59&lt;=Reeksen!AE59,(Reeksen!B59-Reeksen!D59)*X59,0))</f>
        <v>0</v>
      </c>
      <c r="AB59" s="98">
        <f>IF(Reeksen!D59&gt;=Reeksen!B59,0,IF(Reeksen!AK59&gt;Reeksen!AE59,(Reeksen!B59-Reeksen!D59)*X59,0))</f>
        <v>0</v>
      </c>
      <c r="AC59" s="99">
        <f t="shared" ca="1" si="4"/>
        <v>0</v>
      </c>
      <c r="AD59" s="98">
        <f ca="1">IF('Invoer gegevens'!$C$17=E59,R59,IF(C59=0,0,AE58))</f>
        <v>0</v>
      </c>
      <c r="AE59" s="98">
        <f t="shared" ca="1" si="5"/>
        <v>0</v>
      </c>
      <c r="AF59" s="98">
        <f ca="1">IF('Invoer gegevens'!$C$17=E59,X59,IF(C59=0,0,AG58))</f>
        <v>0</v>
      </c>
      <c r="AG59" s="98">
        <f t="shared" ca="1" si="6"/>
        <v>0</v>
      </c>
      <c r="AH59" s="68"/>
      <c r="AI59" s="71">
        <f ca="1">IF(C59=1,Reeksen!AJ59*((F59-G59+F59)/2)*12+Reeksen!AK59*((L59-M59+L59)/2)*12,0)</f>
        <v>0</v>
      </c>
      <c r="AJ59" s="71">
        <f ca="1">-AI59*'Invoer gegevens'!$F$28</f>
        <v>0</v>
      </c>
      <c r="AK59" s="71">
        <f t="shared" ca="1" si="0"/>
        <v>0</v>
      </c>
      <c r="AL59" s="71">
        <f ca="1">IF(C59=1,Reeksen!AL59*((F59-G59+F59)/2)*12+Reeksen!AM59*((L59-M59+L59)/2)*12,0)</f>
        <v>0</v>
      </c>
      <c r="AM59" s="71">
        <f ca="1">-AL59*'Invoer gegevens'!$F$31</f>
        <v>0</v>
      </c>
      <c r="AN59" s="71">
        <f t="shared" ca="1" si="7"/>
        <v>0</v>
      </c>
      <c r="AO59" s="71">
        <f ca="1">IF(C59=1,(H59+J59+N59+P59)*Reeksen!AN59,0)</f>
        <v>0</v>
      </c>
      <c r="AP59" s="71">
        <f ca="1">-IF(C59=1,(H59+J59+N59+P59)*'Hulp - basis'!$G$550*Reeksen!H59,0)</f>
        <v>0</v>
      </c>
      <c r="AQ59" s="71">
        <f ca="1">-IF(C59=1,(F59+K59+L59+Q59)/2*'Invoer gegevens'!$I$33*Reeksen!J59,0)*2</f>
        <v>0</v>
      </c>
      <c r="AR59" s="71">
        <f ca="1">-IF(C59=1,(I59*'Invoer gegevens'!$I$34)*Reeksen!J59,0)</f>
        <v>0</v>
      </c>
      <c r="AS59" s="71">
        <f ca="1">-IF(C59=1,(F59+K59+L59+Q59)/2*'Invoer gegevens'!$I$35*Reeksen!L59,0)</f>
        <v>0</v>
      </c>
      <c r="AT59" s="71">
        <f ca="1">-IF(C59=1,IF(E59='Invoer gegevens'!$C$17,'Invoer gegevens'!$C$11,AD59)*Reeksen!S59*'Invoer gegevens'!$C$18*Reeksen!P59,0)</f>
        <v>0</v>
      </c>
      <c r="AU59" s="71">
        <f ca="1">-IF(C59=1,(F59+K59+L59+Q59)/2*'Invoer gegevens'!$I$36*Reeksen!H59,0)</f>
        <v>0</v>
      </c>
      <c r="AV59" s="71">
        <f>IF('Invoer gegevens'!$C$3="Basis",0,#REF!)</f>
        <v>0</v>
      </c>
      <c r="AW59" s="71">
        <f t="shared" ca="1" si="8"/>
        <v>0</v>
      </c>
      <c r="AX59" s="71">
        <f ca="1">IF(E59&lt;'Invoer gegevens'!$C$17+15,0,IF(E59&gt;'Invoer gegevens'!$C$17+215,0,AW59))</f>
        <v>0</v>
      </c>
      <c r="AY59" s="71">
        <f ca="1">AX59/(1+'Invoer gegevens'!$F$18)^($AZ59-('Invoer gegevens'!$C$17-'Invoer gegevens'!$C$16))/(1+'Invoer gegevens'!$C$39)^('Invoer gegevens'!$C$17-'Invoer gegevens'!$C$16)</f>
        <v>0</v>
      </c>
      <c r="AZ59" s="68">
        <f ca="1">IF(E59-'Invoer gegevens'!$C$17-14.5&lt;0,0,E59-'Invoer gegevens'!$C$17-14.5)</f>
        <v>39.5</v>
      </c>
    </row>
    <row r="60" spans="2:52" x14ac:dyDescent="0.25">
      <c r="B60" s="70">
        <f t="shared" si="9"/>
        <v>56</v>
      </c>
      <c r="C60" s="67">
        <f ca="1">IF(E60-'Invoer gegevens'!$C$17&lt;0,0,1)</f>
        <v>1</v>
      </c>
      <c r="D60" s="68">
        <f t="shared" si="10"/>
        <v>55.5</v>
      </c>
      <c r="E60" s="108">
        <f ca="1">IF('Invoer gegevens'!$C$16="","",E59+1)</f>
        <v>2074</v>
      </c>
      <c r="F60" s="84">
        <f ca="1">IF('Invoer gegevens'!$C$17=E60,'Invoer gegevens'!$C$10,IF(C60=1,K59,0))</f>
        <v>0</v>
      </c>
      <c r="G60" s="96">
        <f ca="1">IF(C60&gt;=1,F60*VLOOKUP(E60,Reeksen!$A$5:$B$76,2),0)</f>
        <v>0</v>
      </c>
      <c r="H60" s="84">
        <f ca="1">(1-('Invoer gegevens'!$F$20/12))*F60*MIN(Reeksen!B60,Reeksen!D60)</f>
        <v>0</v>
      </c>
      <c r="I60" s="84">
        <f>IF(Reeksen!D60&lt;Reeksen!B60,(Reeksen!B60-Reeksen!D60)*F60,0)</f>
        <v>0</v>
      </c>
      <c r="J60" s="84">
        <f ca="1">('Invoer gegevens'!$F$20/12)*F59*MIN(Reeksen!B59,Reeksen!D59)</f>
        <v>0</v>
      </c>
      <c r="K60" s="97">
        <f t="shared" ca="1" si="1"/>
        <v>0</v>
      </c>
      <c r="L60" s="84">
        <f ca="1">IF('Invoer gegevens'!$C$17=E60,0,IF(C60=1,Q59,0))</f>
        <v>0</v>
      </c>
      <c r="M60" s="96">
        <f ca="1">IF(C60&gt;=1,L60*VLOOKUP(E60,Reeksen!$A$5:$B$76,2),0)</f>
        <v>0</v>
      </c>
      <c r="N60" s="84">
        <f ca="1">(1-('Invoer gegevens'!$F$20/12))*L60*MIN(Reeksen!B60,Reeksen!D60)</f>
        <v>0</v>
      </c>
      <c r="O60" s="84">
        <f>IF(Reeksen!D60&lt;Reeksen!B60,(Reeksen!B60-Reeksen!D60)*L60,0)</f>
        <v>0</v>
      </c>
      <c r="P60" s="84">
        <f ca="1">('Invoer gegevens'!$F$20/12)*L59*MIN(Reeksen!B59,Reeksen!D59)</f>
        <v>0</v>
      </c>
      <c r="Q60" s="84">
        <f t="shared" ca="1" si="2"/>
        <v>0</v>
      </c>
      <c r="R60" s="82">
        <f ca="1">IF('Invoer gegevens'!$C$17=E60,'Invoer gegevens'!$C$11,IF(C60=1,W59,0))</f>
        <v>0</v>
      </c>
      <c r="S60" s="86">
        <f ca="1">IF(C60&gt;=1,R60*VLOOKUP(E60,Reeksen!$A$5:$B$76,2),0)</f>
        <v>0</v>
      </c>
      <c r="T60" s="84">
        <f ca="1">(1-('Invoer gegevens'!$F$20/12))*R60*MIN(Reeksen!B60,Reeksen!D60)</f>
        <v>0</v>
      </c>
      <c r="U60" s="84">
        <f>IF(Reeksen!D60&gt;=Reeksen!B60,0,IF(Reeksen!AK60&lt;=Reeksen!AE60,(Reeksen!B60-Reeksen!D60)*R60,0))</f>
        <v>0</v>
      </c>
      <c r="V60" s="86">
        <f>IF(Reeksen!D60&gt;=Reeksen!B60,0,IF(Reeksen!AK60&gt;Reeksen!AE60,(Reeksen!B60-Reeksen!D60)*R60,0))</f>
        <v>0</v>
      </c>
      <c r="W60" s="97">
        <f t="shared" ca="1" si="3"/>
        <v>0</v>
      </c>
      <c r="X60" s="98">
        <f ca="1">IF('Invoer gegevens'!$C$17=E60,'Invoer gegevens'!$C$10-'Invoer gegevens'!$C$11,IF(C60=1,AC59,0))</f>
        <v>0</v>
      </c>
      <c r="Y60" s="98">
        <f ca="1">IF(C60&gt;=1,X60*VLOOKUP(E60,Reeksen!$A$5:$B$76,2),0)</f>
        <v>0</v>
      </c>
      <c r="Z60" s="98">
        <f ca="1">(1-('Invoer gegevens'!$F$20/12))*X60*MIN(Reeksen!B60,Reeksen!D60)</f>
        <v>0</v>
      </c>
      <c r="AA60" s="98">
        <f>IF(Reeksen!D60&gt;=Reeksen!B60,0,IF(Reeksen!AK60&lt;=Reeksen!AE60,(Reeksen!B60-Reeksen!D60)*X60,0))</f>
        <v>0</v>
      </c>
      <c r="AB60" s="98">
        <f>IF(Reeksen!D60&gt;=Reeksen!B60,0,IF(Reeksen!AK60&gt;Reeksen!AE60,(Reeksen!B60-Reeksen!D60)*X60,0))</f>
        <v>0</v>
      </c>
      <c r="AC60" s="99">
        <f t="shared" ca="1" si="4"/>
        <v>0</v>
      </c>
      <c r="AD60" s="98">
        <f ca="1">IF('Invoer gegevens'!$C$17=E60,R60,IF(C60=0,0,AE59))</f>
        <v>0</v>
      </c>
      <c r="AE60" s="98">
        <f t="shared" ca="1" si="5"/>
        <v>0</v>
      </c>
      <c r="AF60" s="98">
        <f ca="1">IF('Invoer gegevens'!$C$17=E60,X60,IF(C60=0,0,AG59))</f>
        <v>0</v>
      </c>
      <c r="AG60" s="98">
        <f t="shared" ca="1" si="6"/>
        <v>0</v>
      </c>
      <c r="AH60" s="68"/>
      <c r="AI60" s="71">
        <f ca="1">IF(C60=1,Reeksen!AJ60*((F60-G60+F60)/2)*12+Reeksen!AK60*((L60-M60+L60)/2)*12,0)</f>
        <v>0</v>
      </c>
      <c r="AJ60" s="71">
        <f ca="1">-AI60*'Invoer gegevens'!$F$28</f>
        <v>0</v>
      </c>
      <c r="AK60" s="71">
        <f t="shared" ca="1" si="0"/>
        <v>0</v>
      </c>
      <c r="AL60" s="71">
        <f ca="1">IF(C60=1,Reeksen!AL60*((F60-G60+F60)/2)*12+Reeksen!AM60*((L60-M60+L60)/2)*12,0)</f>
        <v>0</v>
      </c>
      <c r="AM60" s="71">
        <f ca="1">-AL60*'Invoer gegevens'!$F$31</f>
        <v>0</v>
      </c>
      <c r="AN60" s="71">
        <f t="shared" ca="1" si="7"/>
        <v>0</v>
      </c>
      <c r="AO60" s="71">
        <f ca="1">IF(C60=1,(H60+J60+N60+P60)*Reeksen!AN60,0)</f>
        <v>0</v>
      </c>
      <c r="AP60" s="71">
        <f ca="1">-IF(C60=1,(H60+J60+N60+P60)*'Hulp - basis'!$G$550*Reeksen!H60,0)</f>
        <v>0</v>
      </c>
      <c r="AQ60" s="71">
        <f ca="1">-IF(C60=1,(F60+K60+L60+Q60)/2*'Invoer gegevens'!$I$33*Reeksen!J60,0)*2</f>
        <v>0</v>
      </c>
      <c r="AR60" s="71">
        <f ca="1">-IF(C60=1,(I60*'Invoer gegevens'!$I$34)*Reeksen!J60,0)</f>
        <v>0</v>
      </c>
      <c r="AS60" s="71">
        <f ca="1">-IF(C60=1,(F60+K60+L60+Q60)/2*'Invoer gegevens'!$I$35*Reeksen!L60,0)</f>
        <v>0</v>
      </c>
      <c r="AT60" s="71">
        <f ca="1">-IF(C60=1,IF(E60='Invoer gegevens'!$C$17,'Invoer gegevens'!$C$11,AD60)*Reeksen!S60*'Invoer gegevens'!$C$18*Reeksen!P60,0)</f>
        <v>0</v>
      </c>
      <c r="AU60" s="71">
        <f ca="1">-IF(C60=1,(F60+K60+L60+Q60)/2*'Invoer gegevens'!$I$36*Reeksen!H60,0)</f>
        <v>0</v>
      </c>
      <c r="AV60" s="71">
        <f>IF('Invoer gegevens'!$C$3="Basis",0,#REF!)</f>
        <v>0</v>
      </c>
      <c r="AW60" s="71">
        <f t="shared" ca="1" si="8"/>
        <v>0</v>
      </c>
      <c r="AX60" s="71">
        <f ca="1">IF(E60&lt;'Invoer gegevens'!$C$17+15,0,IF(E60&gt;'Invoer gegevens'!$C$17+215,0,AW60))</f>
        <v>0</v>
      </c>
      <c r="AY60" s="71">
        <f ca="1">AX60/(1+'Invoer gegevens'!$F$18)^($AZ60-('Invoer gegevens'!$C$17-'Invoer gegevens'!$C$16))/(1+'Invoer gegevens'!$C$39)^('Invoer gegevens'!$C$17-'Invoer gegevens'!$C$16)</f>
        <v>0</v>
      </c>
      <c r="AZ60" s="68">
        <f ca="1">IF(E60-'Invoer gegevens'!$C$17-14.5&lt;0,0,E60-'Invoer gegevens'!$C$17-14.5)</f>
        <v>40.5</v>
      </c>
    </row>
    <row r="61" spans="2:52" x14ac:dyDescent="0.25">
      <c r="B61" s="70">
        <f t="shared" si="9"/>
        <v>57</v>
      </c>
      <c r="C61" s="67">
        <f ca="1">IF(E61-'Invoer gegevens'!$C$17&lt;0,0,1)</f>
        <v>1</v>
      </c>
      <c r="D61" s="68">
        <f t="shared" si="10"/>
        <v>56.5</v>
      </c>
      <c r="E61" s="108">
        <f ca="1">IF('Invoer gegevens'!$C$16="","",E60+1)</f>
        <v>2075</v>
      </c>
      <c r="F61" s="84">
        <f ca="1">IF('Invoer gegevens'!$C$17=E61,'Invoer gegevens'!$C$10,IF(C61=1,K60,0))</f>
        <v>0</v>
      </c>
      <c r="G61" s="96">
        <f ca="1">IF(C61&gt;=1,F61*VLOOKUP(E61,Reeksen!$A$5:$B$76,2),0)</f>
        <v>0</v>
      </c>
      <c r="H61" s="84">
        <f ca="1">(1-('Invoer gegevens'!$F$20/12))*F61*MIN(Reeksen!B61,Reeksen!D61)</f>
        <v>0</v>
      </c>
      <c r="I61" s="84">
        <f>IF(Reeksen!D61&lt;Reeksen!B61,(Reeksen!B61-Reeksen!D61)*F61,0)</f>
        <v>0</v>
      </c>
      <c r="J61" s="84">
        <f ca="1">('Invoer gegevens'!$F$20/12)*F60*MIN(Reeksen!B60,Reeksen!D60)</f>
        <v>0</v>
      </c>
      <c r="K61" s="97">
        <f t="shared" ca="1" si="1"/>
        <v>0</v>
      </c>
      <c r="L61" s="84">
        <f ca="1">IF('Invoer gegevens'!$C$17=E61,0,IF(C61=1,Q60,0))</f>
        <v>0</v>
      </c>
      <c r="M61" s="96">
        <f ca="1">IF(C61&gt;=1,L61*VLOOKUP(E61,Reeksen!$A$5:$B$76,2),0)</f>
        <v>0</v>
      </c>
      <c r="N61" s="84">
        <f ca="1">(1-('Invoer gegevens'!$F$20/12))*L61*MIN(Reeksen!B61,Reeksen!D61)</f>
        <v>0</v>
      </c>
      <c r="O61" s="84">
        <f>IF(Reeksen!D61&lt;Reeksen!B61,(Reeksen!B61-Reeksen!D61)*L61,0)</f>
        <v>0</v>
      </c>
      <c r="P61" s="84">
        <f ca="1">('Invoer gegevens'!$F$20/12)*L60*MIN(Reeksen!B60,Reeksen!D60)</f>
        <v>0</v>
      </c>
      <c r="Q61" s="84">
        <f t="shared" ca="1" si="2"/>
        <v>0</v>
      </c>
      <c r="R61" s="82">
        <f ca="1">IF('Invoer gegevens'!$C$17=E61,'Invoer gegevens'!$C$11,IF(C61=1,W60,0))</f>
        <v>0</v>
      </c>
      <c r="S61" s="86">
        <f ca="1">IF(C61&gt;=1,R61*VLOOKUP(E61,Reeksen!$A$5:$B$76,2),0)</f>
        <v>0</v>
      </c>
      <c r="T61" s="84">
        <f ca="1">(1-('Invoer gegevens'!$F$20/12))*R61*MIN(Reeksen!B61,Reeksen!D61)</f>
        <v>0</v>
      </c>
      <c r="U61" s="84">
        <f>IF(Reeksen!D61&gt;=Reeksen!B61,0,IF(Reeksen!AK61&lt;=Reeksen!AE61,(Reeksen!B61-Reeksen!D61)*R61,0))</f>
        <v>0</v>
      </c>
      <c r="V61" s="86">
        <f>IF(Reeksen!D61&gt;=Reeksen!B61,0,IF(Reeksen!AK61&gt;Reeksen!AE61,(Reeksen!B61-Reeksen!D61)*R61,0))</f>
        <v>0</v>
      </c>
      <c r="W61" s="97">
        <f t="shared" ca="1" si="3"/>
        <v>0</v>
      </c>
      <c r="X61" s="98">
        <f ca="1">IF('Invoer gegevens'!$C$17=E61,'Invoer gegevens'!$C$10-'Invoer gegevens'!$C$11,IF(C61=1,AC60,0))</f>
        <v>0</v>
      </c>
      <c r="Y61" s="98">
        <f ca="1">IF(C61&gt;=1,X61*VLOOKUP(E61,Reeksen!$A$5:$B$76,2),0)</f>
        <v>0</v>
      </c>
      <c r="Z61" s="98">
        <f ca="1">(1-('Invoer gegevens'!$F$20/12))*X61*MIN(Reeksen!B61,Reeksen!D61)</f>
        <v>0</v>
      </c>
      <c r="AA61" s="98">
        <f>IF(Reeksen!D61&gt;=Reeksen!B61,0,IF(Reeksen!AK61&lt;=Reeksen!AE61,(Reeksen!B61-Reeksen!D61)*X61,0))</f>
        <v>0</v>
      </c>
      <c r="AB61" s="98">
        <f>IF(Reeksen!D61&gt;=Reeksen!B61,0,IF(Reeksen!AK61&gt;Reeksen!AE61,(Reeksen!B61-Reeksen!D61)*X61,0))</f>
        <v>0</v>
      </c>
      <c r="AC61" s="99">
        <f t="shared" ca="1" si="4"/>
        <v>0</v>
      </c>
      <c r="AD61" s="98">
        <f ca="1">IF('Invoer gegevens'!$C$17=E61,R61,IF(C61=0,0,AE60))</f>
        <v>0</v>
      </c>
      <c r="AE61" s="98">
        <f t="shared" ca="1" si="5"/>
        <v>0</v>
      </c>
      <c r="AF61" s="98">
        <f ca="1">IF('Invoer gegevens'!$C$17=E61,X61,IF(C61=0,0,AG60))</f>
        <v>0</v>
      </c>
      <c r="AG61" s="98">
        <f t="shared" ca="1" si="6"/>
        <v>0</v>
      </c>
      <c r="AH61" s="68"/>
      <c r="AI61" s="71">
        <f ca="1">IF(C61=1,Reeksen!AJ61*((F61-G61+F61)/2)*12+Reeksen!AK61*((L61-M61+L61)/2)*12,0)</f>
        <v>0</v>
      </c>
      <c r="AJ61" s="71">
        <f ca="1">-AI61*'Invoer gegevens'!$F$28</f>
        <v>0</v>
      </c>
      <c r="AK61" s="71">
        <f t="shared" ca="1" si="0"/>
        <v>0</v>
      </c>
      <c r="AL61" s="71">
        <f ca="1">IF(C61=1,Reeksen!AL61*((F61-G61+F61)/2)*12+Reeksen!AM61*((L61-M61+L61)/2)*12,0)</f>
        <v>0</v>
      </c>
      <c r="AM61" s="71">
        <f ca="1">-AL61*'Invoer gegevens'!$F$31</f>
        <v>0</v>
      </c>
      <c r="AN61" s="71">
        <f t="shared" ca="1" si="7"/>
        <v>0</v>
      </c>
      <c r="AO61" s="71">
        <f ca="1">IF(C61=1,(H61+J61+N61+P61)*Reeksen!AN61,0)</f>
        <v>0</v>
      </c>
      <c r="AP61" s="71">
        <f ca="1">-IF(C61=1,(H61+J61+N61+P61)*'Hulp - basis'!$G$550*Reeksen!H61,0)</f>
        <v>0</v>
      </c>
      <c r="AQ61" s="71">
        <f ca="1">-IF(C61=1,(F61+K61+L61+Q61)/2*'Invoer gegevens'!$I$33*Reeksen!J61,0)*2</f>
        <v>0</v>
      </c>
      <c r="AR61" s="71">
        <f ca="1">-IF(C61=1,(I61*'Invoer gegevens'!$I$34)*Reeksen!J61,0)</f>
        <v>0</v>
      </c>
      <c r="AS61" s="71">
        <f ca="1">-IF(C61=1,(F61+K61+L61+Q61)/2*'Invoer gegevens'!$I$35*Reeksen!L61,0)</f>
        <v>0</v>
      </c>
      <c r="AT61" s="71">
        <f ca="1">-IF(C61=1,IF(E61='Invoer gegevens'!$C$17,'Invoer gegevens'!$C$11,AD61)*Reeksen!S61*'Invoer gegevens'!$C$18*Reeksen!P61,0)</f>
        <v>0</v>
      </c>
      <c r="AU61" s="71">
        <f ca="1">-IF(C61=1,(F61+K61+L61+Q61)/2*'Invoer gegevens'!$I$36*Reeksen!H61,0)</f>
        <v>0</v>
      </c>
      <c r="AV61" s="71">
        <f>IF('Invoer gegevens'!$C$3="Basis",0,#REF!)</f>
        <v>0</v>
      </c>
      <c r="AW61" s="71">
        <f t="shared" ca="1" si="8"/>
        <v>0</v>
      </c>
      <c r="AX61" s="71">
        <f ca="1">IF(E61&lt;'Invoer gegevens'!$C$17+15,0,IF(E61&gt;'Invoer gegevens'!$C$17+215,0,AW61))</f>
        <v>0</v>
      </c>
      <c r="AY61" s="71">
        <f ca="1">AX61/(1+'Invoer gegevens'!$F$18)^($AZ61-('Invoer gegevens'!$C$17-'Invoer gegevens'!$C$16))/(1+'Invoer gegevens'!$C$39)^('Invoer gegevens'!$C$17-'Invoer gegevens'!$C$16)</f>
        <v>0</v>
      </c>
      <c r="AZ61" s="68">
        <f ca="1">IF(E61-'Invoer gegevens'!$C$17-14.5&lt;0,0,E61-'Invoer gegevens'!$C$17-14.5)</f>
        <v>41.5</v>
      </c>
    </row>
    <row r="62" spans="2:52" x14ac:dyDescent="0.25">
      <c r="B62" s="70">
        <f t="shared" si="9"/>
        <v>58</v>
      </c>
      <c r="C62" s="67">
        <f ca="1">IF(E62-'Invoer gegevens'!$C$17&lt;0,0,1)</f>
        <v>1</v>
      </c>
      <c r="D62" s="68">
        <f t="shared" si="10"/>
        <v>57.5</v>
      </c>
      <c r="E62" s="108">
        <f ca="1">IF('Invoer gegevens'!$C$16="","",E61+1)</f>
        <v>2076</v>
      </c>
      <c r="F62" s="84">
        <f ca="1">IF('Invoer gegevens'!$C$17=E62,'Invoer gegevens'!$C$10,IF(C62=1,K61,0))</f>
        <v>0</v>
      </c>
      <c r="G62" s="96">
        <f ca="1">IF(C62&gt;=1,F62*VLOOKUP(E62,Reeksen!$A$5:$B$76,2),0)</f>
        <v>0</v>
      </c>
      <c r="H62" s="84">
        <f ca="1">(1-('Invoer gegevens'!$F$20/12))*F62*MIN(Reeksen!B62,Reeksen!D62)</f>
        <v>0</v>
      </c>
      <c r="I62" s="84">
        <f>IF(Reeksen!D62&lt;Reeksen!B62,(Reeksen!B62-Reeksen!D62)*F62,0)</f>
        <v>0</v>
      </c>
      <c r="J62" s="84">
        <f ca="1">('Invoer gegevens'!$F$20/12)*F61*MIN(Reeksen!B61,Reeksen!D61)</f>
        <v>0</v>
      </c>
      <c r="K62" s="97">
        <f t="shared" ca="1" si="1"/>
        <v>0</v>
      </c>
      <c r="L62" s="84">
        <f ca="1">IF('Invoer gegevens'!$C$17=E62,0,IF(C62=1,Q61,0))</f>
        <v>0</v>
      </c>
      <c r="M62" s="96">
        <f ca="1">IF(C62&gt;=1,L62*VLOOKUP(E62,Reeksen!$A$5:$B$76,2),0)</f>
        <v>0</v>
      </c>
      <c r="N62" s="84">
        <f ca="1">(1-('Invoer gegevens'!$F$20/12))*L62*MIN(Reeksen!B62,Reeksen!D62)</f>
        <v>0</v>
      </c>
      <c r="O62" s="84">
        <f>IF(Reeksen!D62&lt;Reeksen!B62,(Reeksen!B62-Reeksen!D62)*L62,0)</f>
        <v>0</v>
      </c>
      <c r="P62" s="84">
        <f ca="1">('Invoer gegevens'!$F$20/12)*L61*MIN(Reeksen!B61,Reeksen!D61)</f>
        <v>0</v>
      </c>
      <c r="Q62" s="84">
        <f t="shared" ca="1" si="2"/>
        <v>0</v>
      </c>
      <c r="R62" s="82">
        <f ca="1">IF('Invoer gegevens'!$C$17=E62,'Invoer gegevens'!$C$11,IF(C62=1,W61,0))</f>
        <v>0</v>
      </c>
      <c r="S62" s="86">
        <f ca="1">IF(C62&gt;=1,R62*VLOOKUP(E62,Reeksen!$A$5:$B$76,2),0)</f>
        <v>0</v>
      </c>
      <c r="T62" s="84">
        <f ca="1">(1-('Invoer gegevens'!$F$20/12))*R62*MIN(Reeksen!B62,Reeksen!D62)</f>
        <v>0</v>
      </c>
      <c r="U62" s="84">
        <f>IF(Reeksen!D62&gt;=Reeksen!B62,0,IF(Reeksen!AK62&lt;=Reeksen!AE62,(Reeksen!B62-Reeksen!D62)*R62,0))</f>
        <v>0</v>
      </c>
      <c r="V62" s="86">
        <f>IF(Reeksen!D62&gt;=Reeksen!B62,0,IF(Reeksen!AK62&gt;Reeksen!AE62,(Reeksen!B62-Reeksen!D62)*R62,0))</f>
        <v>0</v>
      </c>
      <c r="W62" s="97">
        <f t="shared" ca="1" si="3"/>
        <v>0</v>
      </c>
      <c r="X62" s="98">
        <f ca="1">IF('Invoer gegevens'!$C$17=E62,'Invoer gegevens'!$C$10-'Invoer gegevens'!$C$11,IF(C62=1,AC61,0))</f>
        <v>0</v>
      </c>
      <c r="Y62" s="98">
        <f ca="1">IF(C62&gt;=1,X62*VLOOKUP(E62,Reeksen!$A$5:$B$76,2),0)</f>
        <v>0</v>
      </c>
      <c r="Z62" s="98">
        <f ca="1">(1-('Invoer gegevens'!$F$20/12))*X62*MIN(Reeksen!B62,Reeksen!D62)</f>
        <v>0</v>
      </c>
      <c r="AA62" s="98">
        <f>IF(Reeksen!D62&gt;=Reeksen!B62,0,IF(Reeksen!AK62&lt;=Reeksen!AE62,(Reeksen!B62-Reeksen!D62)*X62,0))</f>
        <v>0</v>
      </c>
      <c r="AB62" s="98">
        <f>IF(Reeksen!D62&gt;=Reeksen!B62,0,IF(Reeksen!AK62&gt;Reeksen!AE62,(Reeksen!B62-Reeksen!D62)*X62,0))</f>
        <v>0</v>
      </c>
      <c r="AC62" s="99">
        <f t="shared" ca="1" si="4"/>
        <v>0</v>
      </c>
      <c r="AD62" s="98">
        <f ca="1">IF('Invoer gegevens'!$C$17=E62,R62,IF(C62=0,0,AE61))</f>
        <v>0</v>
      </c>
      <c r="AE62" s="98">
        <f t="shared" ca="1" si="5"/>
        <v>0</v>
      </c>
      <c r="AF62" s="98">
        <f ca="1">IF('Invoer gegevens'!$C$17=E62,X62,IF(C62=0,0,AG61))</f>
        <v>0</v>
      </c>
      <c r="AG62" s="98">
        <f t="shared" ca="1" si="6"/>
        <v>0</v>
      </c>
      <c r="AH62" s="68"/>
      <c r="AI62" s="71">
        <f ca="1">IF(C62=1,Reeksen!AJ62*((F62-G62+F62)/2)*12+Reeksen!AK62*((L62-M62+L62)/2)*12,0)</f>
        <v>0</v>
      </c>
      <c r="AJ62" s="71">
        <f ca="1">-AI62*'Invoer gegevens'!$F$28</f>
        <v>0</v>
      </c>
      <c r="AK62" s="71">
        <f t="shared" ca="1" si="0"/>
        <v>0</v>
      </c>
      <c r="AL62" s="71">
        <f ca="1">IF(C62=1,Reeksen!AL62*((F62-G62+F62)/2)*12+Reeksen!AM62*((L62-M62+L62)/2)*12,0)</f>
        <v>0</v>
      </c>
      <c r="AM62" s="71">
        <f ca="1">-AL62*'Invoer gegevens'!$F$31</f>
        <v>0</v>
      </c>
      <c r="AN62" s="71">
        <f t="shared" ca="1" si="7"/>
        <v>0</v>
      </c>
      <c r="AO62" s="71">
        <f ca="1">IF(C62=1,(H62+J62+N62+P62)*Reeksen!AN62,0)</f>
        <v>0</v>
      </c>
      <c r="AP62" s="71">
        <f ca="1">-IF(C62=1,(H62+J62+N62+P62)*'Hulp - basis'!$G$550*Reeksen!H62,0)</f>
        <v>0</v>
      </c>
      <c r="AQ62" s="71">
        <f ca="1">-IF(C62=1,(F62+K62+L62+Q62)/2*'Invoer gegevens'!$I$33*Reeksen!J62,0)*2</f>
        <v>0</v>
      </c>
      <c r="AR62" s="71">
        <f ca="1">-IF(C62=1,(I62*'Invoer gegevens'!$I$34)*Reeksen!J62,0)</f>
        <v>0</v>
      </c>
      <c r="AS62" s="71">
        <f ca="1">-IF(C62=1,(F62+K62+L62+Q62)/2*'Invoer gegevens'!$I$35*Reeksen!L62,0)</f>
        <v>0</v>
      </c>
      <c r="AT62" s="71">
        <f ca="1">-IF(C62=1,IF(E62='Invoer gegevens'!$C$17,'Invoer gegevens'!$C$11,AD62)*Reeksen!S62*'Invoer gegevens'!$C$18*Reeksen!P62,0)</f>
        <v>0</v>
      </c>
      <c r="AU62" s="71">
        <f ca="1">-IF(C62=1,(F62+K62+L62+Q62)/2*'Invoer gegevens'!$I$36*Reeksen!H62,0)</f>
        <v>0</v>
      </c>
      <c r="AV62" s="71">
        <f>IF('Invoer gegevens'!$C$3="Basis",0,#REF!)</f>
        <v>0</v>
      </c>
      <c r="AW62" s="71">
        <f t="shared" ca="1" si="8"/>
        <v>0</v>
      </c>
      <c r="AX62" s="71">
        <f ca="1">IF(E62&lt;'Invoer gegevens'!$C$17+15,0,IF(E62&gt;'Invoer gegevens'!$C$17+215,0,AW62))</f>
        <v>0</v>
      </c>
      <c r="AY62" s="71">
        <f ca="1">AX62/(1+'Invoer gegevens'!$F$18)^($AZ62-('Invoer gegevens'!$C$17-'Invoer gegevens'!$C$16))/(1+'Invoer gegevens'!$C$39)^('Invoer gegevens'!$C$17-'Invoer gegevens'!$C$16)</f>
        <v>0</v>
      </c>
      <c r="AZ62" s="68">
        <f ca="1">IF(E62-'Invoer gegevens'!$C$17-14.5&lt;0,0,E62-'Invoer gegevens'!$C$17-14.5)</f>
        <v>42.5</v>
      </c>
    </row>
    <row r="63" spans="2:52" x14ac:dyDescent="0.25">
      <c r="B63" s="70">
        <f t="shared" si="9"/>
        <v>59</v>
      </c>
      <c r="C63" s="67">
        <f ca="1">IF(E63-'Invoer gegevens'!$C$17&lt;0,0,1)</f>
        <v>1</v>
      </c>
      <c r="D63" s="68">
        <f t="shared" si="10"/>
        <v>58.5</v>
      </c>
      <c r="E63" s="108">
        <f ca="1">IF('Invoer gegevens'!$C$16="","",E62+1)</f>
        <v>2077</v>
      </c>
      <c r="F63" s="84">
        <f ca="1">IF('Invoer gegevens'!$C$17=E63,'Invoer gegevens'!$C$10,IF(C63=1,K62,0))</f>
        <v>0</v>
      </c>
      <c r="G63" s="96">
        <f ca="1">IF(C63&gt;=1,F63*VLOOKUP(E63,Reeksen!$A$5:$B$76,2),0)</f>
        <v>0</v>
      </c>
      <c r="H63" s="84">
        <f ca="1">(1-('Invoer gegevens'!$F$20/12))*F63*MIN(Reeksen!B63,Reeksen!D63)</f>
        <v>0</v>
      </c>
      <c r="I63" s="84">
        <f>IF(Reeksen!D63&lt;Reeksen!B63,(Reeksen!B63-Reeksen!D63)*F63,0)</f>
        <v>0</v>
      </c>
      <c r="J63" s="84">
        <f ca="1">('Invoer gegevens'!$F$20/12)*F62*MIN(Reeksen!B62,Reeksen!D62)</f>
        <v>0</v>
      </c>
      <c r="K63" s="97">
        <f t="shared" ca="1" si="1"/>
        <v>0</v>
      </c>
      <c r="L63" s="84">
        <f ca="1">IF('Invoer gegevens'!$C$17=E63,0,IF(C63=1,Q62,0))</f>
        <v>0</v>
      </c>
      <c r="M63" s="96">
        <f ca="1">IF(C63&gt;=1,L63*VLOOKUP(E63,Reeksen!$A$5:$B$76,2),0)</f>
        <v>0</v>
      </c>
      <c r="N63" s="84">
        <f ca="1">(1-('Invoer gegevens'!$F$20/12))*L63*MIN(Reeksen!B63,Reeksen!D63)</f>
        <v>0</v>
      </c>
      <c r="O63" s="84">
        <f>IF(Reeksen!D63&lt;Reeksen!B63,(Reeksen!B63-Reeksen!D63)*L63,0)</f>
        <v>0</v>
      </c>
      <c r="P63" s="84">
        <f ca="1">('Invoer gegevens'!$F$20/12)*L62*MIN(Reeksen!B62,Reeksen!D62)</f>
        <v>0</v>
      </c>
      <c r="Q63" s="84">
        <f t="shared" ca="1" si="2"/>
        <v>0</v>
      </c>
      <c r="R63" s="82">
        <f ca="1">IF('Invoer gegevens'!$C$17=E63,'Invoer gegevens'!$C$11,IF(C63=1,W62,0))</f>
        <v>0</v>
      </c>
      <c r="S63" s="86">
        <f ca="1">IF(C63&gt;=1,R63*VLOOKUP(E63,Reeksen!$A$5:$B$76,2),0)</f>
        <v>0</v>
      </c>
      <c r="T63" s="84">
        <f ca="1">(1-('Invoer gegevens'!$F$20/12))*R63*MIN(Reeksen!B63,Reeksen!D63)</f>
        <v>0</v>
      </c>
      <c r="U63" s="84">
        <f>IF(Reeksen!D63&gt;=Reeksen!B63,0,IF(Reeksen!AK63&lt;=Reeksen!AE63,(Reeksen!B63-Reeksen!D63)*R63,0))</f>
        <v>0</v>
      </c>
      <c r="V63" s="86">
        <f>IF(Reeksen!D63&gt;=Reeksen!B63,0,IF(Reeksen!AK63&gt;Reeksen!AE63,(Reeksen!B63-Reeksen!D63)*R63,0))</f>
        <v>0</v>
      </c>
      <c r="W63" s="97">
        <f t="shared" ca="1" si="3"/>
        <v>0</v>
      </c>
      <c r="X63" s="98">
        <f ca="1">IF('Invoer gegevens'!$C$17=E63,'Invoer gegevens'!$C$10-'Invoer gegevens'!$C$11,IF(C63=1,AC62,0))</f>
        <v>0</v>
      </c>
      <c r="Y63" s="98">
        <f ca="1">IF(C63&gt;=1,X63*VLOOKUP(E63,Reeksen!$A$5:$B$76,2),0)</f>
        <v>0</v>
      </c>
      <c r="Z63" s="98">
        <f ca="1">(1-('Invoer gegevens'!$F$20/12))*X63*MIN(Reeksen!B63,Reeksen!D63)</f>
        <v>0</v>
      </c>
      <c r="AA63" s="98">
        <f>IF(Reeksen!D63&gt;=Reeksen!B63,0,IF(Reeksen!AK63&lt;=Reeksen!AE63,(Reeksen!B63-Reeksen!D63)*X63,0))</f>
        <v>0</v>
      </c>
      <c r="AB63" s="98">
        <f>IF(Reeksen!D63&gt;=Reeksen!B63,0,IF(Reeksen!AK63&gt;Reeksen!AE63,(Reeksen!B63-Reeksen!D63)*X63,0))</f>
        <v>0</v>
      </c>
      <c r="AC63" s="99">
        <f t="shared" ca="1" si="4"/>
        <v>0</v>
      </c>
      <c r="AD63" s="98">
        <f ca="1">IF('Invoer gegevens'!$C$17=E63,R63,IF(C63=0,0,AE62))</f>
        <v>0</v>
      </c>
      <c r="AE63" s="98">
        <f t="shared" ca="1" si="5"/>
        <v>0</v>
      </c>
      <c r="AF63" s="98">
        <f ca="1">IF('Invoer gegevens'!$C$17=E63,X63,IF(C63=0,0,AG62))</f>
        <v>0</v>
      </c>
      <c r="AG63" s="98">
        <f t="shared" ca="1" si="6"/>
        <v>0</v>
      </c>
      <c r="AH63" s="68"/>
      <c r="AI63" s="71">
        <f ca="1">IF(C63=1,Reeksen!AJ63*((F63-G63+F63)/2)*12+Reeksen!AK63*((L63-M63+L63)/2)*12,0)</f>
        <v>0</v>
      </c>
      <c r="AJ63" s="71">
        <f ca="1">-AI63*'Invoer gegevens'!$F$28</f>
        <v>0</v>
      </c>
      <c r="AK63" s="71">
        <f t="shared" ca="1" si="0"/>
        <v>0</v>
      </c>
      <c r="AL63" s="71">
        <f ca="1">IF(C63=1,Reeksen!AL63*((F63-G63+F63)/2)*12+Reeksen!AM63*((L63-M63+L63)/2)*12,0)</f>
        <v>0</v>
      </c>
      <c r="AM63" s="71">
        <f ca="1">-AL63*'Invoer gegevens'!$F$31</f>
        <v>0</v>
      </c>
      <c r="AN63" s="71">
        <f t="shared" ca="1" si="7"/>
        <v>0</v>
      </c>
      <c r="AO63" s="71">
        <f ca="1">IF(C63=1,(H63+J63+N63+P63)*Reeksen!AN63,0)</f>
        <v>0</v>
      </c>
      <c r="AP63" s="71">
        <f ca="1">-IF(C63=1,(H63+J63+N63+P63)*'Hulp - basis'!$G$550*Reeksen!H63,0)</f>
        <v>0</v>
      </c>
      <c r="AQ63" s="71">
        <f ca="1">-IF(C63=1,(F63+K63+L63+Q63)/2*'Invoer gegevens'!$I$33*Reeksen!J63,0)*2</f>
        <v>0</v>
      </c>
      <c r="AR63" s="71">
        <f ca="1">-IF(C63=1,(I63*'Invoer gegevens'!$I$34)*Reeksen!J63,0)</f>
        <v>0</v>
      </c>
      <c r="AS63" s="71">
        <f ca="1">-IF(C63=1,(F63+K63+L63+Q63)/2*'Invoer gegevens'!$I$35*Reeksen!L63,0)</f>
        <v>0</v>
      </c>
      <c r="AT63" s="71">
        <f ca="1">-IF(C63=1,IF(E63='Invoer gegevens'!$C$17,'Invoer gegevens'!$C$11,AD63)*Reeksen!S63*'Invoer gegevens'!$C$18*Reeksen!P63,0)</f>
        <v>0</v>
      </c>
      <c r="AU63" s="71">
        <f ca="1">-IF(C63=1,(F63+K63+L63+Q63)/2*'Invoer gegevens'!$I$36*Reeksen!H63,0)</f>
        <v>0</v>
      </c>
      <c r="AV63" s="71">
        <f>IF('Invoer gegevens'!$C$3="Basis",0,#REF!)</f>
        <v>0</v>
      </c>
      <c r="AW63" s="71">
        <f t="shared" ca="1" si="8"/>
        <v>0</v>
      </c>
      <c r="AX63" s="71">
        <f ca="1">IF(E63&lt;'Invoer gegevens'!$C$17+15,0,IF(E63&gt;'Invoer gegevens'!$C$17+215,0,AW63))</f>
        <v>0</v>
      </c>
      <c r="AY63" s="71">
        <f ca="1">AX63/(1+'Invoer gegevens'!$F$18)^($AZ63-('Invoer gegevens'!$C$17-'Invoer gegevens'!$C$16))/(1+'Invoer gegevens'!$C$39)^('Invoer gegevens'!$C$17-'Invoer gegevens'!$C$16)</f>
        <v>0</v>
      </c>
      <c r="AZ63" s="68">
        <f ca="1">IF(E63-'Invoer gegevens'!$C$17-14.5&lt;0,0,E63-'Invoer gegevens'!$C$17-14.5)</f>
        <v>43.5</v>
      </c>
    </row>
    <row r="64" spans="2:52" x14ac:dyDescent="0.25">
      <c r="B64" s="70">
        <f t="shared" si="9"/>
        <v>60</v>
      </c>
      <c r="C64" s="67">
        <f ca="1">IF(E64-'Invoer gegevens'!$C$17&lt;0,0,1)</f>
        <v>1</v>
      </c>
      <c r="D64" s="68">
        <f t="shared" si="10"/>
        <v>59.5</v>
      </c>
      <c r="E64" s="108">
        <f ca="1">IF('Invoer gegevens'!$C$16="","",E63+1)</f>
        <v>2078</v>
      </c>
      <c r="F64" s="84">
        <f ca="1">IF('Invoer gegevens'!$C$17=E64,'Invoer gegevens'!$C$10,IF(C64=1,K63,0))</f>
        <v>0</v>
      </c>
      <c r="G64" s="96">
        <f ca="1">IF(C64&gt;=1,F64*VLOOKUP(E64,Reeksen!$A$5:$B$76,2),0)</f>
        <v>0</v>
      </c>
      <c r="H64" s="84">
        <f ca="1">(1-('Invoer gegevens'!$F$20/12))*F64*MIN(Reeksen!B64,Reeksen!D64)</f>
        <v>0</v>
      </c>
      <c r="I64" s="84">
        <f>IF(Reeksen!D64&lt;Reeksen!B64,(Reeksen!B64-Reeksen!D64)*F64,0)</f>
        <v>0</v>
      </c>
      <c r="J64" s="84">
        <f ca="1">('Invoer gegevens'!$F$20/12)*F63*MIN(Reeksen!B63,Reeksen!D63)</f>
        <v>0</v>
      </c>
      <c r="K64" s="97">
        <f t="shared" ca="1" si="1"/>
        <v>0</v>
      </c>
      <c r="L64" s="84">
        <f ca="1">IF('Invoer gegevens'!$C$17=E64,0,IF(C64=1,Q63,0))</f>
        <v>0</v>
      </c>
      <c r="M64" s="96">
        <f ca="1">IF(C64&gt;=1,L64*VLOOKUP(E64,Reeksen!$A$5:$B$76,2),0)</f>
        <v>0</v>
      </c>
      <c r="N64" s="84">
        <f ca="1">(1-('Invoer gegevens'!$F$20/12))*L64*MIN(Reeksen!B64,Reeksen!D64)</f>
        <v>0</v>
      </c>
      <c r="O64" s="84">
        <f>IF(Reeksen!D64&lt;Reeksen!B64,(Reeksen!B64-Reeksen!D64)*L64,0)</f>
        <v>0</v>
      </c>
      <c r="P64" s="84">
        <f ca="1">('Invoer gegevens'!$F$20/12)*L63*MIN(Reeksen!B63,Reeksen!D63)</f>
        <v>0</v>
      </c>
      <c r="Q64" s="84">
        <f t="shared" ca="1" si="2"/>
        <v>0</v>
      </c>
      <c r="R64" s="82">
        <f ca="1">IF('Invoer gegevens'!$C$17=E64,'Invoer gegevens'!$C$11,IF(C64=1,W63,0))</f>
        <v>0</v>
      </c>
      <c r="S64" s="86">
        <f ca="1">IF(C64&gt;=1,R64*VLOOKUP(E64,Reeksen!$A$5:$B$76,2),0)</f>
        <v>0</v>
      </c>
      <c r="T64" s="84">
        <f ca="1">(1-('Invoer gegevens'!$F$20/12))*R64*MIN(Reeksen!B64,Reeksen!D64)</f>
        <v>0</v>
      </c>
      <c r="U64" s="84">
        <f>IF(Reeksen!D64&gt;=Reeksen!B64,0,IF(Reeksen!AK64&lt;=Reeksen!AE64,(Reeksen!B64-Reeksen!D64)*R64,0))</f>
        <v>0</v>
      </c>
      <c r="V64" s="86">
        <f>IF(Reeksen!D64&gt;=Reeksen!B64,0,IF(Reeksen!AK64&gt;Reeksen!AE64,(Reeksen!B64-Reeksen!D64)*R64,0))</f>
        <v>0</v>
      </c>
      <c r="W64" s="97">
        <f t="shared" ca="1" si="3"/>
        <v>0</v>
      </c>
      <c r="X64" s="98">
        <f ca="1">IF('Invoer gegevens'!$C$17=E64,'Invoer gegevens'!$C$10-'Invoer gegevens'!$C$11,IF(C64=1,AC63,0))</f>
        <v>0</v>
      </c>
      <c r="Y64" s="98">
        <f ca="1">IF(C64&gt;=1,X64*VLOOKUP(E64,Reeksen!$A$5:$B$76,2),0)</f>
        <v>0</v>
      </c>
      <c r="Z64" s="98">
        <f ca="1">(1-('Invoer gegevens'!$F$20/12))*X64*MIN(Reeksen!B64,Reeksen!D64)</f>
        <v>0</v>
      </c>
      <c r="AA64" s="98">
        <f>IF(Reeksen!D64&gt;=Reeksen!B64,0,IF(Reeksen!AK64&lt;=Reeksen!AE64,(Reeksen!B64-Reeksen!D64)*X64,0))</f>
        <v>0</v>
      </c>
      <c r="AB64" s="98">
        <f>IF(Reeksen!D64&gt;=Reeksen!B64,0,IF(Reeksen!AK64&gt;Reeksen!AE64,(Reeksen!B64-Reeksen!D64)*X64,0))</f>
        <v>0</v>
      </c>
      <c r="AC64" s="99">
        <f t="shared" ca="1" si="4"/>
        <v>0</v>
      </c>
      <c r="AD64" s="98">
        <f ca="1">IF('Invoer gegevens'!$C$17=E64,R64,IF(C64=0,0,AE63))</f>
        <v>0</v>
      </c>
      <c r="AE64" s="98">
        <f t="shared" ca="1" si="5"/>
        <v>0</v>
      </c>
      <c r="AF64" s="98">
        <f ca="1">IF('Invoer gegevens'!$C$17=E64,X64,IF(C64=0,0,AG63))</f>
        <v>0</v>
      </c>
      <c r="AG64" s="98">
        <f t="shared" ca="1" si="6"/>
        <v>0</v>
      </c>
      <c r="AH64" s="68"/>
      <c r="AI64" s="71">
        <f ca="1">IF(C64=1,Reeksen!AJ64*((F64-G64+F64)/2)*12+Reeksen!AK64*((L64-M64+L64)/2)*12,0)</f>
        <v>0</v>
      </c>
      <c r="AJ64" s="71">
        <f ca="1">-AI64*'Invoer gegevens'!$F$28</f>
        <v>0</v>
      </c>
      <c r="AK64" s="71">
        <f t="shared" ca="1" si="0"/>
        <v>0</v>
      </c>
      <c r="AL64" s="71">
        <f ca="1">IF(C64=1,Reeksen!AL64*((F64-G64+F64)/2)*12+Reeksen!AM64*((L64-M64+L64)/2)*12,0)</f>
        <v>0</v>
      </c>
      <c r="AM64" s="71">
        <f ca="1">-AL64*'Invoer gegevens'!$F$31</f>
        <v>0</v>
      </c>
      <c r="AN64" s="71">
        <f t="shared" ca="1" si="7"/>
        <v>0</v>
      </c>
      <c r="AO64" s="71">
        <f ca="1">IF(C64=1,(H64+J64+N64+P64)*Reeksen!AN64,0)</f>
        <v>0</v>
      </c>
      <c r="AP64" s="71">
        <f ca="1">-IF(C64=1,(H64+J64+N64+P64)*'Hulp - basis'!$G$550*Reeksen!H64,0)</f>
        <v>0</v>
      </c>
      <c r="AQ64" s="71">
        <f ca="1">-IF(C64=1,(F64+K64+L64+Q64)/2*'Invoer gegevens'!$I$33*Reeksen!J64,0)*2</f>
        <v>0</v>
      </c>
      <c r="AR64" s="71">
        <f ca="1">-IF(C64=1,(I64*'Invoer gegevens'!$I$34)*Reeksen!J64,0)</f>
        <v>0</v>
      </c>
      <c r="AS64" s="71">
        <f ca="1">-IF(C64=1,(F64+K64+L64+Q64)/2*'Invoer gegevens'!$I$35*Reeksen!L64,0)</f>
        <v>0</v>
      </c>
      <c r="AT64" s="71">
        <f ca="1">-IF(C64=1,IF(E64='Invoer gegevens'!$C$17,'Invoer gegevens'!$C$11,AD64)*Reeksen!S64*'Invoer gegevens'!$C$18*Reeksen!P64,0)</f>
        <v>0</v>
      </c>
      <c r="AU64" s="71">
        <f ca="1">-IF(C64=1,(F64+K64+L64+Q64)/2*'Invoer gegevens'!$I$36*Reeksen!H64,0)</f>
        <v>0</v>
      </c>
      <c r="AV64" s="71">
        <f>IF('Invoer gegevens'!$C$3="Basis",0,#REF!)</f>
        <v>0</v>
      </c>
      <c r="AW64" s="71">
        <f t="shared" ca="1" si="8"/>
        <v>0</v>
      </c>
      <c r="AX64" s="71">
        <f ca="1">IF(E64&lt;'Invoer gegevens'!$C$17+15,0,IF(E64&gt;'Invoer gegevens'!$C$17+215,0,AW64))</f>
        <v>0</v>
      </c>
      <c r="AY64" s="71">
        <f ca="1">AX64/(1+'Invoer gegevens'!$F$18)^($AZ64-('Invoer gegevens'!$C$17-'Invoer gegevens'!$C$16))/(1+'Invoer gegevens'!$C$39)^('Invoer gegevens'!$C$17-'Invoer gegevens'!$C$16)</f>
        <v>0</v>
      </c>
      <c r="AZ64" s="68">
        <f ca="1">IF(E64-'Invoer gegevens'!$C$17-14.5&lt;0,0,E64-'Invoer gegevens'!$C$17-14.5)</f>
        <v>44.5</v>
      </c>
    </row>
    <row r="65" spans="2:52" x14ac:dyDescent="0.25">
      <c r="B65" s="70">
        <f t="shared" si="9"/>
        <v>61</v>
      </c>
      <c r="C65" s="67">
        <f ca="1">IF(E65-'Invoer gegevens'!$C$17&lt;0,0,1)</f>
        <v>1</v>
      </c>
      <c r="D65" s="68">
        <f t="shared" si="10"/>
        <v>60.5</v>
      </c>
      <c r="E65" s="108">
        <f ca="1">IF('Invoer gegevens'!$C$16="","",E64+1)</f>
        <v>2079</v>
      </c>
      <c r="F65" s="84">
        <f ca="1">IF('Invoer gegevens'!$C$17=E65,'Invoer gegevens'!$C$10,IF(C65=1,K64,0))</f>
        <v>0</v>
      </c>
      <c r="G65" s="96">
        <f ca="1">IF(C65&gt;=1,F65*VLOOKUP(E65,Reeksen!$A$5:$B$76,2),0)</f>
        <v>0</v>
      </c>
      <c r="H65" s="84">
        <f ca="1">(1-('Invoer gegevens'!$F$20/12))*F65*MIN(Reeksen!B65,Reeksen!D65)</f>
        <v>0</v>
      </c>
      <c r="I65" s="84">
        <f>IF(Reeksen!D65&lt;Reeksen!B65,(Reeksen!B65-Reeksen!D65)*F65,0)</f>
        <v>0</v>
      </c>
      <c r="J65" s="84">
        <f ca="1">('Invoer gegevens'!$F$20/12)*F64*MIN(Reeksen!B64,Reeksen!D64)</f>
        <v>0</v>
      </c>
      <c r="K65" s="97">
        <f t="shared" ca="1" si="1"/>
        <v>0</v>
      </c>
      <c r="L65" s="84">
        <f ca="1">IF('Invoer gegevens'!$C$17=E65,0,IF(C65=1,Q64,0))</f>
        <v>0</v>
      </c>
      <c r="M65" s="96">
        <f ca="1">IF(C65&gt;=1,L65*VLOOKUP(E65,Reeksen!$A$5:$B$76,2),0)</f>
        <v>0</v>
      </c>
      <c r="N65" s="84">
        <f ca="1">(1-('Invoer gegevens'!$F$20/12))*L65*MIN(Reeksen!B65,Reeksen!D65)</f>
        <v>0</v>
      </c>
      <c r="O65" s="84">
        <f>IF(Reeksen!D65&lt;Reeksen!B65,(Reeksen!B65-Reeksen!D65)*L65,0)</f>
        <v>0</v>
      </c>
      <c r="P65" s="84">
        <f ca="1">('Invoer gegevens'!$F$20/12)*L64*MIN(Reeksen!B64,Reeksen!D64)</f>
        <v>0</v>
      </c>
      <c r="Q65" s="84">
        <f t="shared" ca="1" si="2"/>
        <v>0</v>
      </c>
      <c r="R65" s="82">
        <f ca="1">IF('Invoer gegevens'!$C$17=E65,'Invoer gegevens'!$C$11,IF(C65=1,W64,0))</f>
        <v>0</v>
      </c>
      <c r="S65" s="86">
        <f ca="1">IF(C65&gt;=1,R65*VLOOKUP(E65,Reeksen!$A$5:$B$76,2),0)</f>
        <v>0</v>
      </c>
      <c r="T65" s="84">
        <f ca="1">(1-('Invoer gegevens'!$F$20/12))*R65*MIN(Reeksen!B65,Reeksen!D65)</f>
        <v>0</v>
      </c>
      <c r="U65" s="84">
        <f>IF(Reeksen!D65&gt;=Reeksen!B65,0,IF(Reeksen!AK65&lt;=Reeksen!AE65,(Reeksen!B65-Reeksen!D65)*R65,0))</f>
        <v>0</v>
      </c>
      <c r="V65" s="86">
        <f>IF(Reeksen!D65&gt;=Reeksen!B65,0,IF(Reeksen!AK65&gt;Reeksen!AE65,(Reeksen!B65-Reeksen!D65)*R65,0))</f>
        <v>0</v>
      </c>
      <c r="W65" s="97">
        <f t="shared" ca="1" si="3"/>
        <v>0</v>
      </c>
      <c r="X65" s="98">
        <f ca="1">IF('Invoer gegevens'!$C$17=E65,'Invoer gegevens'!$C$10-'Invoer gegevens'!$C$11,IF(C65=1,AC64,0))</f>
        <v>0</v>
      </c>
      <c r="Y65" s="98">
        <f ca="1">IF(C65&gt;=1,X65*VLOOKUP(E65,Reeksen!$A$5:$B$76,2),0)</f>
        <v>0</v>
      </c>
      <c r="Z65" s="98">
        <f ca="1">(1-('Invoer gegevens'!$F$20/12))*X65*MIN(Reeksen!B65,Reeksen!D65)</f>
        <v>0</v>
      </c>
      <c r="AA65" s="98">
        <f>IF(Reeksen!D65&gt;=Reeksen!B65,0,IF(Reeksen!AK65&lt;=Reeksen!AE65,(Reeksen!B65-Reeksen!D65)*X65,0))</f>
        <v>0</v>
      </c>
      <c r="AB65" s="98">
        <f>IF(Reeksen!D65&gt;=Reeksen!B65,0,IF(Reeksen!AK65&gt;Reeksen!AE65,(Reeksen!B65-Reeksen!D65)*X65,0))</f>
        <v>0</v>
      </c>
      <c r="AC65" s="99">
        <f t="shared" ca="1" si="4"/>
        <v>0</v>
      </c>
      <c r="AD65" s="98">
        <f ca="1">IF('Invoer gegevens'!$C$17=E65,R65,IF(C65=0,0,AE64))</f>
        <v>0</v>
      </c>
      <c r="AE65" s="98">
        <f t="shared" ca="1" si="5"/>
        <v>0</v>
      </c>
      <c r="AF65" s="98">
        <f ca="1">IF('Invoer gegevens'!$C$17=E65,X65,IF(C65=0,0,AG64))</f>
        <v>0</v>
      </c>
      <c r="AG65" s="98">
        <f t="shared" ca="1" si="6"/>
        <v>0</v>
      </c>
      <c r="AH65" s="68"/>
      <c r="AI65" s="71">
        <f ca="1">IF(C65=1,Reeksen!AJ65*((F65-G65+F65)/2)*12+Reeksen!AK65*((L65-M65+L65)/2)*12,0)</f>
        <v>0</v>
      </c>
      <c r="AJ65" s="71">
        <f ca="1">-AI65*'Invoer gegevens'!$F$28</f>
        <v>0</v>
      </c>
      <c r="AK65" s="71">
        <f t="shared" ca="1" si="0"/>
        <v>0</v>
      </c>
      <c r="AL65" s="71">
        <f ca="1">IF(C65=1,Reeksen!AL65*((F65-G65+F65)/2)*12+Reeksen!AM65*((L65-M65+L65)/2)*12,0)</f>
        <v>0</v>
      </c>
      <c r="AM65" s="71">
        <f ca="1">-AL65*'Invoer gegevens'!$F$31</f>
        <v>0</v>
      </c>
      <c r="AN65" s="71">
        <f t="shared" ca="1" si="7"/>
        <v>0</v>
      </c>
      <c r="AO65" s="71">
        <f ca="1">IF(C65=1,(H65+J65+N65+P65)*Reeksen!AN65,0)</f>
        <v>0</v>
      </c>
      <c r="AP65" s="71">
        <f ca="1">-IF(C65=1,(H65+J65+N65+P65)*'Hulp - basis'!$G$550*Reeksen!H65,0)</f>
        <v>0</v>
      </c>
      <c r="AQ65" s="71">
        <f ca="1">-IF(C65=1,(F65+K65+L65+Q65)/2*'Invoer gegevens'!$I$33*Reeksen!J65,0)*2</f>
        <v>0</v>
      </c>
      <c r="AR65" s="71">
        <f ca="1">-IF(C65=1,(I65*'Invoer gegevens'!$I$34)*Reeksen!J65,0)</f>
        <v>0</v>
      </c>
      <c r="AS65" s="71">
        <f ca="1">-IF(C65=1,(F65+K65+L65+Q65)/2*'Invoer gegevens'!$I$35*Reeksen!L65,0)</f>
        <v>0</v>
      </c>
      <c r="AT65" s="71">
        <f ca="1">-IF(C65=1,IF(E65='Invoer gegevens'!$C$17,'Invoer gegevens'!$C$11,AD65)*Reeksen!S65*'Invoer gegevens'!$C$18*Reeksen!P65,0)</f>
        <v>0</v>
      </c>
      <c r="AU65" s="71">
        <f ca="1">-IF(C65=1,(F65+K65+L65+Q65)/2*'Invoer gegevens'!$I$36*Reeksen!H65,0)</f>
        <v>0</v>
      </c>
      <c r="AV65" s="71">
        <f>IF('Invoer gegevens'!$C$3="Basis",0,#REF!)</f>
        <v>0</v>
      </c>
      <c r="AW65" s="71">
        <f t="shared" ca="1" si="8"/>
        <v>0</v>
      </c>
      <c r="AX65" s="71">
        <f ca="1">IF(E65&lt;'Invoer gegevens'!$C$17+15,0,IF(E65&gt;'Invoer gegevens'!$C$17+215,0,AW65))</f>
        <v>0</v>
      </c>
      <c r="AY65" s="71">
        <f ca="1">AX65/(1+'Invoer gegevens'!$F$18)^($AZ65-('Invoer gegevens'!$C$17-'Invoer gegevens'!$C$16))/(1+'Invoer gegevens'!$C$39)^('Invoer gegevens'!$C$17-'Invoer gegevens'!$C$16)</f>
        <v>0</v>
      </c>
      <c r="AZ65" s="68">
        <f ca="1">IF(E65-'Invoer gegevens'!$C$17-14.5&lt;0,0,E65-'Invoer gegevens'!$C$17-14.5)</f>
        <v>45.5</v>
      </c>
    </row>
    <row r="66" spans="2:52" x14ac:dyDescent="0.25">
      <c r="B66" s="70">
        <f t="shared" si="9"/>
        <v>62</v>
      </c>
      <c r="C66" s="67">
        <f ca="1">IF(E66-'Invoer gegevens'!$C$17&lt;0,0,1)</f>
        <v>1</v>
      </c>
      <c r="D66" s="68">
        <f t="shared" si="10"/>
        <v>61.5</v>
      </c>
      <c r="E66" s="108">
        <f ca="1">IF('Invoer gegevens'!$C$16="","",E65+1)</f>
        <v>2080</v>
      </c>
      <c r="F66" s="84">
        <f ca="1">IF('Invoer gegevens'!$C$17=E66,'Invoer gegevens'!$C$10,IF(C66=1,K65,0))</f>
        <v>0</v>
      </c>
      <c r="G66" s="96">
        <f ca="1">IF(C66&gt;=1,F66*VLOOKUP(E66,Reeksen!$A$5:$B$76,2),0)</f>
        <v>0</v>
      </c>
      <c r="H66" s="84">
        <f ca="1">(1-('Invoer gegevens'!$F$20/12))*F66*MIN(Reeksen!B66,Reeksen!D66)</f>
        <v>0</v>
      </c>
      <c r="I66" s="84">
        <f>IF(Reeksen!D66&lt;Reeksen!B66,(Reeksen!B66-Reeksen!D66)*F66,0)</f>
        <v>0</v>
      </c>
      <c r="J66" s="84">
        <f ca="1">('Invoer gegevens'!$F$20/12)*F65*MIN(Reeksen!B65,Reeksen!D65)</f>
        <v>0</v>
      </c>
      <c r="K66" s="97">
        <f t="shared" ca="1" si="1"/>
        <v>0</v>
      </c>
      <c r="L66" s="84">
        <f ca="1">IF('Invoer gegevens'!$C$17=E66,0,IF(C66=1,Q65,0))</f>
        <v>0</v>
      </c>
      <c r="M66" s="96">
        <f ca="1">IF(C66&gt;=1,L66*VLOOKUP(E66,Reeksen!$A$5:$B$76,2),0)</f>
        <v>0</v>
      </c>
      <c r="N66" s="84">
        <f ca="1">(1-('Invoer gegevens'!$F$20/12))*L66*MIN(Reeksen!B66,Reeksen!D66)</f>
        <v>0</v>
      </c>
      <c r="O66" s="84">
        <f>IF(Reeksen!D66&lt;Reeksen!B66,(Reeksen!B66-Reeksen!D66)*L66,0)</f>
        <v>0</v>
      </c>
      <c r="P66" s="84">
        <f ca="1">('Invoer gegevens'!$F$20/12)*L65*MIN(Reeksen!B65,Reeksen!D65)</f>
        <v>0</v>
      </c>
      <c r="Q66" s="84">
        <f t="shared" ca="1" si="2"/>
        <v>0</v>
      </c>
      <c r="R66" s="82">
        <f ca="1">IF('Invoer gegevens'!$C$17=E66,'Invoer gegevens'!$C$11,IF(C66=1,W65,0))</f>
        <v>0</v>
      </c>
      <c r="S66" s="86">
        <f ca="1">IF(C66&gt;=1,R66*VLOOKUP(E66,Reeksen!$A$5:$B$76,2),0)</f>
        <v>0</v>
      </c>
      <c r="T66" s="84">
        <f ca="1">(1-('Invoer gegevens'!$F$20/12))*R66*MIN(Reeksen!B66,Reeksen!D66)</f>
        <v>0</v>
      </c>
      <c r="U66" s="84">
        <f>IF(Reeksen!D66&gt;=Reeksen!B66,0,IF(Reeksen!AK66&lt;=Reeksen!AE66,(Reeksen!B66-Reeksen!D66)*R66,0))</f>
        <v>0</v>
      </c>
      <c r="V66" s="86">
        <f>IF(Reeksen!D66&gt;=Reeksen!B66,0,IF(Reeksen!AK66&gt;Reeksen!AE66,(Reeksen!B66-Reeksen!D66)*R66,0))</f>
        <v>0</v>
      </c>
      <c r="W66" s="97">
        <f t="shared" ca="1" si="3"/>
        <v>0</v>
      </c>
      <c r="X66" s="98">
        <f ca="1">IF('Invoer gegevens'!$C$17=E66,'Invoer gegevens'!$C$10-'Invoer gegevens'!$C$11,IF(C66=1,AC65,0))</f>
        <v>0</v>
      </c>
      <c r="Y66" s="98">
        <f ca="1">IF(C66&gt;=1,X66*VLOOKUP(E66,Reeksen!$A$5:$B$76,2),0)</f>
        <v>0</v>
      </c>
      <c r="Z66" s="98">
        <f ca="1">(1-('Invoer gegevens'!$F$20/12))*X66*MIN(Reeksen!B66,Reeksen!D66)</f>
        <v>0</v>
      </c>
      <c r="AA66" s="98">
        <f>IF(Reeksen!D66&gt;=Reeksen!B66,0,IF(Reeksen!AK66&lt;=Reeksen!AE66,(Reeksen!B66-Reeksen!D66)*X66,0))</f>
        <v>0</v>
      </c>
      <c r="AB66" s="98">
        <f>IF(Reeksen!D66&gt;=Reeksen!B66,0,IF(Reeksen!AK66&gt;Reeksen!AE66,(Reeksen!B66-Reeksen!D66)*X66,0))</f>
        <v>0</v>
      </c>
      <c r="AC66" s="99">
        <f t="shared" ca="1" si="4"/>
        <v>0</v>
      </c>
      <c r="AD66" s="98">
        <f ca="1">IF('Invoer gegevens'!$C$17=E66,R66,IF(C66=0,0,AE65))</f>
        <v>0</v>
      </c>
      <c r="AE66" s="98">
        <f t="shared" ca="1" si="5"/>
        <v>0</v>
      </c>
      <c r="AF66" s="98">
        <f ca="1">IF('Invoer gegevens'!$C$17=E66,X66,IF(C66=0,0,AG65))</f>
        <v>0</v>
      </c>
      <c r="AG66" s="98">
        <f t="shared" ca="1" si="6"/>
        <v>0</v>
      </c>
      <c r="AH66" s="68"/>
      <c r="AI66" s="71">
        <f ca="1">IF(C66=1,Reeksen!AJ66*((F66-G66+F66)/2)*12+Reeksen!AK66*((L66-M66+L66)/2)*12,0)</f>
        <v>0</v>
      </c>
      <c r="AJ66" s="71">
        <f ca="1">-AI66*'Invoer gegevens'!$F$28</f>
        <v>0</v>
      </c>
      <c r="AK66" s="71">
        <f t="shared" ca="1" si="0"/>
        <v>0</v>
      </c>
      <c r="AL66" s="71">
        <f ca="1">IF(C66=1,Reeksen!AL66*((F66-G66+F66)/2)*12+Reeksen!AM66*((L66-M66+L66)/2)*12,0)</f>
        <v>0</v>
      </c>
      <c r="AM66" s="71">
        <f ca="1">-AL66*'Invoer gegevens'!$F$31</f>
        <v>0</v>
      </c>
      <c r="AN66" s="71">
        <f t="shared" ca="1" si="7"/>
        <v>0</v>
      </c>
      <c r="AO66" s="71">
        <f ca="1">IF(C66=1,(H66+J66+N66+P66)*Reeksen!AN66,0)</f>
        <v>0</v>
      </c>
      <c r="AP66" s="71">
        <f ca="1">-IF(C66=1,(H66+J66+N66+P66)*'Hulp - basis'!$G$550*Reeksen!H66,0)</f>
        <v>0</v>
      </c>
      <c r="AQ66" s="71">
        <f ca="1">-IF(C66=1,(F66+K66+L66+Q66)/2*'Invoer gegevens'!$I$33*Reeksen!J66,0)*2</f>
        <v>0</v>
      </c>
      <c r="AR66" s="71">
        <f ca="1">-IF(C66=1,(I66*'Invoer gegevens'!$I$34)*Reeksen!J66,0)</f>
        <v>0</v>
      </c>
      <c r="AS66" s="71">
        <f ca="1">-IF(C66=1,(F66+K66+L66+Q66)/2*'Invoer gegevens'!$I$35*Reeksen!L66,0)</f>
        <v>0</v>
      </c>
      <c r="AT66" s="71">
        <f ca="1">-IF(C66=1,IF(E66='Invoer gegevens'!$C$17,'Invoer gegevens'!$C$11,AD66)*Reeksen!S66*'Invoer gegevens'!$C$18*Reeksen!P66,0)</f>
        <v>0</v>
      </c>
      <c r="AU66" s="71">
        <f ca="1">-IF(C66=1,(F66+K66+L66+Q66)/2*'Invoer gegevens'!$I$36*Reeksen!H66,0)</f>
        <v>0</v>
      </c>
      <c r="AV66" s="71">
        <f>IF('Invoer gegevens'!$C$3="Basis",0,#REF!)</f>
        <v>0</v>
      </c>
      <c r="AW66" s="71">
        <f t="shared" ca="1" si="8"/>
        <v>0</v>
      </c>
      <c r="AX66" s="71">
        <f ca="1">IF(E66&lt;'Invoer gegevens'!$C$17+15,0,IF(E66&gt;'Invoer gegevens'!$C$17+215,0,AW66))</f>
        <v>0</v>
      </c>
      <c r="AY66" s="71">
        <f ca="1">AX66/(1+'Invoer gegevens'!$F$18)^($AZ66-('Invoer gegevens'!$C$17-'Invoer gegevens'!$C$16))/(1+'Invoer gegevens'!$C$39)^('Invoer gegevens'!$C$17-'Invoer gegevens'!$C$16)</f>
        <v>0</v>
      </c>
      <c r="AZ66" s="68">
        <f ca="1">IF(E66-'Invoer gegevens'!$C$17-14.5&lt;0,0,E66-'Invoer gegevens'!$C$17-14.5)</f>
        <v>46.5</v>
      </c>
    </row>
    <row r="67" spans="2:52" x14ac:dyDescent="0.25">
      <c r="B67" s="70">
        <f t="shared" si="9"/>
        <v>63</v>
      </c>
      <c r="C67" s="67">
        <f ca="1">IF(E67-'Invoer gegevens'!$C$17&lt;0,0,1)</f>
        <v>1</v>
      </c>
      <c r="D67" s="68">
        <f t="shared" si="10"/>
        <v>62.5</v>
      </c>
      <c r="E67" s="108">
        <f ca="1">IF('Invoer gegevens'!$C$16="","",E66+1)</f>
        <v>2081</v>
      </c>
      <c r="F67" s="84">
        <f ca="1">IF('Invoer gegevens'!$C$17=E67,'Invoer gegevens'!$C$10,IF(C67=1,K66,0))</f>
        <v>0</v>
      </c>
      <c r="G67" s="96">
        <f ca="1">IF(C67&gt;=1,F67*VLOOKUP(E67,Reeksen!$A$5:$B$76,2),0)</f>
        <v>0</v>
      </c>
      <c r="H67" s="84">
        <f ca="1">(1-('Invoer gegevens'!$F$20/12))*F67*MIN(Reeksen!B67,Reeksen!D67)</f>
        <v>0</v>
      </c>
      <c r="I67" s="84">
        <f>IF(Reeksen!D67&lt;Reeksen!B67,(Reeksen!B67-Reeksen!D67)*F67,0)</f>
        <v>0</v>
      </c>
      <c r="J67" s="84">
        <f ca="1">('Invoer gegevens'!$F$20/12)*F66*MIN(Reeksen!B66,Reeksen!D66)</f>
        <v>0</v>
      </c>
      <c r="K67" s="97">
        <f t="shared" ca="1" si="1"/>
        <v>0</v>
      </c>
      <c r="L67" s="84">
        <f ca="1">IF('Invoer gegevens'!$C$17=E67,0,IF(C67=1,Q66,0))</f>
        <v>0</v>
      </c>
      <c r="M67" s="96">
        <f ca="1">IF(C67&gt;=1,L67*VLOOKUP(E67,Reeksen!$A$5:$B$76,2),0)</f>
        <v>0</v>
      </c>
      <c r="N67" s="84">
        <f ca="1">(1-('Invoer gegevens'!$F$20/12))*L67*MIN(Reeksen!B67,Reeksen!D67)</f>
        <v>0</v>
      </c>
      <c r="O67" s="84">
        <f>IF(Reeksen!D67&lt;Reeksen!B67,(Reeksen!B67-Reeksen!D67)*L67,0)</f>
        <v>0</v>
      </c>
      <c r="P67" s="84">
        <f ca="1">('Invoer gegevens'!$F$20/12)*L66*MIN(Reeksen!B66,Reeksen!D66)</f>
        <v>0</v>
      </c>
      <c r="Q67" s="84">
        <f t="shared" ca="1" si="2"/>
        <v>0</v>
      </c>
      <c r="R67" s="82">
        <f ca="1">IF('Invoer gegevens'!$C$17=E67,'Invoer gegevens'!$C$11,IF(C67=1,W66,0))</f>
        <v>0</v>
      </c>
      <c r="S67" s="86">
        <f ca="1">IF(C67&gt;=1,R67*VLOOKUP(E67,Reeksen!$A$5:$B$76,2),0)</f>
        <v>0</v>
      </c>
      <c r="T67" s="84">
        <f ca="1">(1-('Invoer gegevens'!$F$20/12))*R67*MIN(Reeksen!B67,Reeksen!D67)</f>
        <v>0</v>
      </c>
      <c r="U67" s="84">
        <f>IF(Reeksen!D67&gt;=Reeksen!B67,0,IF(Reeksen!AK67&lt;=Reeksen!AE67,(Reeksen!B67-Reeksen!D67)*R67,0))</f>
        <v>0</v>
      </c>
      <c r="V67" s="86">
        <f>IF(Reeksen!D67&gt;=Reeksen!B67,0,IF(Reeksen!AK67&gt;Reeksen!AE67,(Reeksen!B67-Reeksen!D67)*R67,0))</f>
        <v>0</v>
      </c>
      <c r="W67" s="97">
        <f t="shared" ca="1" si="3"/>
        <v>0</v>
      </c>
      <c r="X67" s="98">
        <f ca="1">IF('Invoer gegevens'!$C$17=E67,'Invoer gegevens'!$C$10-'Invoer gegevens'!$C$11,IF(C67=1,AC66,0))</f>
        <v>0</v>
      </c>
      <c r="Y67" s="98">
        <f ca="1">IF(C67&gt;=1,X67*VLOOKUP(E67,Reeksen!$A$5:$B$76,2),0)</f>
        <v>0</v>
      </c>
      <c r="Z67" s="98">
        <f ca="1">(1-('Invoer gegevens'!$F$20/12))*X67*MIN(Reeksen!B67,Reeksen!D67)</f>
        <v>0</v>
      </c>
      <c r="AA67" s="98">
        <f>IF(Reeksen!D67&gt;=Reeksen!B67,0,IF(Reeksen!AK67&lt;=Reeksen!AE67,(Reeksen!B67-Reeksen!D67)*X67,0))</f>
        <v>0</v>
      </c>
      <c r="AB67" s="98">
        <f>IF(Reeksen!D67&gt;=Reeksen!B67,0,IF(Reeksen!AK67&gt;Reeksen!AE67,(Reeksen!B67-Reeksen!D67)*X67,0))</f>
        <v>0</v>
      </c>
      <c r="AC67" s="99">
        <f t="shared" ca="1" si="4"/>
        <v>0</v>
      </c>
      <c r="AD67" s="98">
        <f ca="1">IF('Invoer gegevens'!$C$17=E67,R67,IF(C67=0,0,AE66))</f>
        <v>0</v>
      </c>
      <c r="AE67" s="98">
        <f t="shared" ca="1" si="5"/>
        <v>0</v>
      </c>
      <c r="AF67" s="98">
        <f ca="1">IF('Invoer gegevens'!$C$17=E67,X67,IF(C67=0,0,AG66))</f>
        <v>0</v>
      </c>
      <c r="AG67" s="98">
        <f t="shared" ca="1" si="6"/>
        <v>0</v>
      </c>
      <c r="AH67" s="68"/>
      <c r="AI67" s="71">
        <f ca="1">IF(C67=1,Reeksen!AJ67*((F67-G67+F67)/2)*12+Reeksen!AK67*((L67-M67+L67)/2)*12,0)</f>
        <v>0</v>
      </c>
      <c r="AJ67" s="71">
        <f ca="1">-AI67*'Invoer gegevens'!$F$28</f>
        <v>0</v>
      </c>
      <c r="AK67" s="71">
        <f t="shared" ca="1" si="0"/>
        <v>0</v>
      </c>
      <c r="AL67" s="71">
        <f ca="1">IF(C67=1,Reeksen!AL67*((F67-G67+F67)/2)*12+Reeksen!AM67*((L67-M67+L67)/2)*12,0)</f>
        <v>0</v>
      </c>
      <c r="AM67" s="71">
        <f ca="1">-AL67*'Invoer gegevens'!$F$31</f>
        <v>0</v>
      </c>
      <c r="AN67" s="71">
        <f t="shared" ca="1" si="7"/>
        <v>0</v>
      </c>
      <c r="AO67" s="71">
        <f ca="1">IF(C67=1,(H67+J67+N67+P67)*Reeksen!AN67,0)</f>
        <v>0</v>
      </c>
      <c r="AP67" s="71">
        <f ca="1">-IF(C67=1,(H67+J67+N67+P67)*'Hulp - basis'!$G$550*Reeksen!H67,0)</f>
        <v>0</v>
      </c>
      <c r="AQ67" s="71">
        <f ca="1">-IF(C67=1,(F67+K67+L67+Q67)/2*'Invoer gegevens'!$I$33*Reeksen!J67,0)*2</f>
        <v>0</v>
      </c>
      <c r="AR67" s="71">
        <f ca="1">-IF(C67=1,(I67*'Invoer gegevens'!$I$34)*Reeksen!J67,0)</f>
        <v>0</v>
      </c>
      <c r="AS67" s="71">
        <f ca="1">-IF(C67=1,(F67+K67+L67+Q67)/2*'Invoer gegevens'!$I$35*Reeksen!L67,0)</f>
        <v>0</v>
      </c>
      <c r="AT67" s="71">
        <f ca="1">-IF(C67=1,IF(E67='Invoer gegevens'!$C$17,'Invoer gegevens'!$C$11,AD67)*Reeksen!S67*'Invoer gegevens'!$C$18*Reeksen!P67,0)</f>
        <v>0</v>
      </c>
      <c r="AU67" s="71">
        <f ca="1">-IF(C67=1,(F67+K67+L67+Q67)/2*'Invoer gegevens'!$I$36*Reeksen!H67,0)</f>
        <v>0</v>
      </c>
      <c r="AV67" s="71">
        <f>IF('Invoer gegevens'!$C$3="Basis",0,#REF!)</f>
        <v>0</v>
      </c>
      <c r="AW67" s="71">
        <f t="shared" ca="1" si="8"/>
        <v>0</v>
      </c>
      <c r="AX67" s="71">
        <f ca="1">IF(E67&lt;'Invoer gegevens'!$C$17+15,0,IF(E67&gt;'Invoer gegevens'!$C$17+215,0,AW67))</f>
        <v>0</v>
      </c>
      <c r="AY67" s="71">
        <f ca="1">AX67/(1+'Invoer gegevens'!$F$18)^($AZ67-('Invoer gegevens'!$C$17-'Invoer gegevens'!$C$16))/(1+'Invoer gegevens'!$C$39)^('Invoer gegevens'!$C$17-'Invoer gegevens'!$C$16)</f>
        <v>0</v>
      </c>
      <c r="AZ67" s="68">
        <f ca="1">IF(E67-'Invoer gegevens'!$C$17-14.5&lt;0,0,E67-'Invoer gegevens'!$C$17-14.5)</f>
        <v>47.5</v>
      </c>
    </row>
    <row r="68" spans="2:52" x14ac:dyDescent="0.25">
      <c r="B68" s="70">
        <f t="shared" si="9"/>
        <v>64</v>
      </c>
      <c r="C68" s="67">
        <f ca="1">IF(E68-'Invoer gegevens'!$C$17&lt;0,0,1)</f>
        <v>1</v>
      </c>
      <c r="D68" s="68">
        <f t="shared" si="10"/>
        <v>63.5</v>
      </c>
      <c r="E68" s="108">
        <f ca="1">IF('Invoer gegevens'!$C$16="","",E67+1)</f>
        <v>2082</v>
      </c>
      <c r="F68" s="84">
        <f ca="1">IF('Invoer gegevens'!$C$17=E68,'Invoer gegevens'!$C$10,IF(C68=1,K67,0))</f>
        <v>0</v>
      </c>
      <c r="G68" s="96">
        <f ca="1">IF(C68&gt;=1,F68*VLOOKUP(E68,Reeksen!$A$5:$B$76,2),0)</f>
        <v>0</v>
      </c>
      <c r="H68" s="84">
        <f ca="1">(1-('Invoer gegevens'!$F$20/12))*F68*MIN(Reeksen!B68,Reeksen!D68)</f>
        <v>0</v>
      </c>
      <c r="I68" s="84">
        <f>IF(Reeksen!D68&lt;Reeksen!B68,(Reeksen!B68-Reeksen!D68)*F68,0)</f>
        <v>0</v>
      </c>
      <c r="J68" s="84">
        <f ca="1">('Invoer gegevens'!$F$20/12)*F67*MIN(Reeksen!B67,Reeksen!D67)</f>
        <v>0</v>
      </c>
      <c r="K68" s="97">
        <f t="shared" ca="1" si="1"/>
        <v>0</v>
      </c>
      <c r="L68" s="84">
        <f ca="1">IF('Invoer gegevens'!$C$17=E68,0,IF(C68=1,Q67,0))</f>
        <v>0</v>
      </c>
      <c r="M68" s="96">
        <f ca="1">IF(C68&gt;=1,L68*VLOOKUP(E68,Reeksen!$A$5:$B$76,2),0)</f>
        <v>0</v>
      </c>
      <c r="N68" s="84">
        <f ca="1">(1-('Invoer gegevens'!$F$20/12))*L68*MIN(Reeksen!B68,Reeksen!D68)</f>
        <v>0</v>
      </c>
      <c r="O68" s="84">
        <f>IF(Reeksen!D68&lt;Reeksen!B68,(Reeksen!B68-Reeksen!D68)*L68,0)</f>
        <v>0</v>
      </c>
      <c r="P68" s="84">
        <f ca="1">('Invoer gegevens'!$F$20/12)*L67*MIN(Reeksen!B67,Reeksen!D67)</f>
        <v>0</v>
      </c>
      <c r="Q68" s="84">
        <f t="shared" ca="1" si="2"/>
        <v>0</v>
      </c>
      <c r="R68" s="82">
        <f ca="1">IF('Invoer gegevens'!$C$17=E68,'Invoer gegevens'!$C$11,IF(C68=1,W67,0))</f>
        <v>0</v>
      </c>
      <c r="S68" s="86">
        <f ca="1">IF(C68&gt;=1,R68*VLOOKUP(E68,Reeksen!$A$5:$B$76,2),0)</f>
        <v>0</v>
      </c>
      <c r="T68" s="84">
        <f ca="1">(1-('Invoer gegevens'!$F$20/12))*R68*MIN(Reeksen!B68,Reeksen!D68)</f>
        <v>0</v>
      </c>
      <c r="U68" s="84">
        <f>IF(Reeksen!D68&gt;=Reeksen!B68,0,IF(Reeksen!AK68&lt;=Reeksen!AE68,(Reeksen!B68-Reeksen!D68)*R68,0))</f>
        <v>0</v>
      </c>
      <c r="V68" s="86">
        <f>IF(Reeksen!D68&gt;=Reeksen!B68,0,IF(Reeksen!AK68&gt;Reeksen!AE68,(Reeksen!B68-Reeksen!D68)*R68,0))</f>
        <v>0</v>
      </c>
      <c r="W68" s="97">
        <f t="shared" ca="1" si="3"/>
        <v>0</v>
      </c>
      <c r="X68" s="98">
        <f ca="1">IF('Invoer gegevens'!$C$17=E68,'Invoer gegevens'!$C$10-'Invoer gegevens'!$C$11,IF(C68=1,AC67,0))</f>
        <v>0</v>
      </c>
      <c r="Y68" s="98">
        <f ca="1">IF(C68&gt;=1,X68*VLOOKUP(E68,Reeksen!$A$5:$B$76,2),0)</f>
        <v>0</v>
      </c>
      <c r="Z68" s="98">
        <f ca="1">(1-('Invoer gegevens'!$F$20/12))*X68*MIN(Reeksen!B68,Reeksen!D68)</f>
        <v>0</v>
      </c>
      <c r="AA68" s="98">
        <f>IF(Reeksen!D68&gt;=Reeksen!B68,0,IF(Reeksen!AK68&lt;=Reeksen!AE68,(Reeksen!B68-Reeksen!D68)*X68,0))</f>
        <v>0</v>
      </c>
      <c r="AB68" s="98">
        <f>IF(Reeksen!D68&gt;=Reeksen!B68,0,IF(Reeksen!AK68&gt;Reeksen!AE68,(Reeksen!B68-Reeksen!D68)*X68,0))</f>
        <v>0</v>
      </c>
      <c r="AC68" s="99">
        <f t="shared" ca="1" si="4"/>
        <v>0</v>
      </c>
      <c r="AD68" s="98">
        <f ca="1">IF('Invoer gegevens'!$C$17=E68,R68,IF(C68=0,0,AE67))</f>
        <v>0</v>
      </c>
      <c r="AE68" s="98">
        <f t="shared" ca="1" si="5"/>
        <v>0</v>
      </c>
      <c r="AF68" s="98">
        <f ca="1">IF('Invoer gegevens'!$C$17=E68,X68,IF(C68=0,0,AG67))</f>
        <v>0</v>
      </c>
      <c r="AG68" s="98">
        <f t="shared" ca="1" si="6"/>
        <v>0</v>
      </c>
      <c r="AH68" s="68"/>
      <c r="AI68" s="71">
        <f ca="1">IF(C68=1,Reeksen!AJ68*((F68-G68+F68)/2)*12+Reeksen!AK68*((L68-M68+L68)/2)*12,0)</f>
        <v>0</v>
      </c>
      <c r="AJ68" s="71">
        <f ca="1">-AI68*'Invoer gegevens'!$F$28</f>
        <v>0</v>
      </c>
      <c r="AK68" s="71">
        <f t="shared" ca="1" si="0"/>
        <v>0</v>
      </c>
      <c r="AL68" s="71">
        <f ca="1">IF(C68=1,Reeksen!AL68*((F68-G68+F68)/2)*12+Reeksen!AM68*((L68-M68+L68)/2)*12,0)</f>
        <v>0</v>
      </c>
      <c r="AM68" s="71">
        <f ca="1">-AL68*'Invoer gegevens'!$F$31</f>
        <v>0</v>
      </c>
      <c r="AN68" s="71">
        <f t="shared" ca="1" si="7"/>
        <v>0</v>
      </c>
      <c r="AO68" s="71">
        <f ca="1">IF(C68=1,(H68+J68+N68+P68)*Reeksen!AN68,0)</f>
        <v>0</v>
      </c>
      <c r="AP68" s="71">
        <f ca="1">-IF(C68=1,(H68+J68+N68+P68)*'Hulp - basis'!$G$550*Reeksen!H68,0)</f>
        <v>0</v>
      </c>
      <c r="AQ68" s="71">
        <f ca="1">-IF(C68=1,(F68+K68+L68+Q68)/2*'Invoer gegevens'!$I$33*Reeksen!J68,0)*2</f>
        <v>0</v>
      </c>
      <c r="AR68" s="71">
        <f ca="1">-IF(C68=1,(I68*'Invoer gegevens'!$I$34)*Reeksen!J68,0)</f>
        <v>0</v>
      </c>
      <c r="AS68" s="71">
        <f ca="1">-IF(C68=1,(F68+K68+L68+Q68)/2*'Invoer gegevens'!$I$35*Reeksen!L68,0)</f>
        <v>0</v>
      </c>
      <c r="AT68" s="71">
        <f ca="1">-IF(C68=1,IF(E68='Invoer gegevens'!$C$17,'Invoer gegevens'!$C$11,AD68)*Reeksen!S68*'Invoer gegevens'!$C$18*Reeksen!P68,0)</f>
        <v>0</v>
      </c>
      <c r="AU68" s="71">
        <f ca="1">-IF(C68=1,(F68+K68+L68+Q68)/2*'Invoer gegevens'!$I$36*Reeksen!H68,0)</f>
        <v>0</v>
      </c>
      <c r="AV68" s="71">
        <f>IF('Invoer gegevens'!$C$3="Basis",0,#REF!)</f>
        <v>0</v>
      </c>
      <c r="AW68" s="71">
        <f t="shared" ca="1" si="8"/>
        <v>0</v>
      </c>
      <c r="AX68" s="71">
        <f ca="1">IF(E68&lt;'Invoer gegevens'!$C$17+15,0,IF(E68&gt;'Invoer gegevens'!$C$17+215,0,AW68))</f>
        <v>0</v>
      </c>
      <c r="AY68" s="71">
        <f ca="1">AX68/(1+'Invoer gegevens'!$F$18)^($AZ68-('Invoer gegevens'!$C$17-'Invoer gegevens'!$C$16))/(1+'Invoer gegevens'!$C$39)^('Invoer gegevens'!$C$17-'Invoer gegevens'!$C$16)</f>
        <v>0</v>
      </c>
      <c r="AZ68" s="68">
        <f ca="1">IF(E68-'Invoer gegevens'!$C$17-14.5&lt;0,0,E68-'Invoer gegevens'!$C$17-14.5)</f>
        <v>48.5</v>
      </c>
    </row>
    <row r="69" spans="2:52" x14ac:dyDescent="0.25">
      <c r="B69" s="70">
        <f t="shared" si="9"/>
        <v>65</v>
      </c>
      <c r="C69" s="67">
        <f ca="1">IF(E69-'Invoer gegevens'!$C$17&lt;0,0,1)</f>
        <v>1</v>
      </c>
      <c r="D69" s="68">
        <f t="shared" si="10"/>
        <v>64.5</v>
      </c>
      <c r="E69" s="108">
        <f ca="1">IF('Invoer gegevens'!$C$16="","",E68+1)</f>
        <v>2083</v>
      </c>
      <c r="F69" s="84">
        <f ca="1">IF('Invoer gegevens'!$C$17=E69,'Invoer gegevens'!$C$10,IF(C69=1,K68,0))</f>
        <v>0</v>
      </c>
      <c r="G69" s="96">
        <f ca="1">IF(C69&gt;=1,F69*VLOOKUP(E69,Reeksen!$A$5:$B$76,2),0)</f>
        <v>0</v>
      </c>
      <c r="H69" s="84">
        <f ca="1">(1-('Invoer gegevens'!$F$20/12))*F69*MIN(Reeksen!B69,Reeksen!D69)</f>
        <v>0</v>
      </c>
      <c r="I69" s="84">
        <f>IF(Reeksen!D69&lt;Reeksen!B69,(Reeksen!B69-Reeksen!D69)*F69,0)</f>
        <v>0</v>
      </c>
      <c r="J69" s="84">
        <f ca="1">('Invoer gegevens'!$F$20/12)*F68*MIN(Reeksen!B68,Reeksen!D68)</f>
        <v>0</v>
      </c>
      <c r="K69" s="97">
        <f t="shared" ca="1" si="1"/>
        <v>0</v>
      </c>
      <c r="L69" s="84">
        <f ca="1">IF('Invoer gegevens'!$C$17=E69,0,IF(C69=1,Q68,0))</f>
        <v>0</v>
      </c>
      <c r="M69" s="96">
        <f ca="1">IF(C69&gt;=1,L69*VLOOKUP(E69,Reeksen!$A$5:$B$76,2),0)</f>
        <v>0</v>
      </c>
      <c r="N69" s="84">
        <f ca="1">(1-('Invoer gegevens'!$F$20/12))*L69*MIN(Reeksen!B69,Reeksen!D69)</f>
        <v>0</v>
      </c>
      <c r="O69" s="84">
        <f>IF(Reeksen!D69&lt;Reeksen!B69,(Reeksen!B69-Reeksen!D69)*L69,0)</f>
        <v>0</v>
      </c>
      <c r="P69" s="84">
        <f ca="1">('Invoer gegevens'!$F$20/12)*L68*MIN(Reeksen!B68,Reeksen!D68)</f>
        <v>0</v>
      </c>
      <c r="Q69" s="84">
        <f t="shared" ca="1" si="2"/>
        <v>0</v>
      </c>
      <c r="R69" s="82">
        <f ca="1">IF('Invoer gegevens'!$C$17=E69,'Invoer gegevens'!$C$11,IF(C69=1,W68,0))</f>
        <v>0</v>
      </c>
      <c r="S69" s="86">
        <f ca="1">IF(C69&gt;=1,R69*VLOOKUP(E69,Reeksen!$A$5:$B$76,2),0)</f>
        <v>0</v>
      </c>
      <c r="T69" s="84">
        <f ca="1">(1-('Invoer gegevens'!$F$20/12))*R69*MIN(Reeksen!B69,Reeksen!D69)</f>
        <v>0</v>
      </c>
      <c r="U69" s="84">
        <f>IF(Reeksen!D69&gt;=Reeksen!B69,0,IF(Reeksen!AK69&lt;=Reeksen!AE69,(Reeksen!B69-Reeksen!D69)*R69,0))</f>
        <v>0</v>
      </c>
      <c r="V69" s="86">
        <f>IF(Reeksen!D69&gt;=Reeksen!B69,0,IF(Reeksen!AK69&gt;Reeksen!AE69,(Reeksen!B69-Reeksen!D69)*R69,0))</f>
        <v>0</v>
      </c>
      <c r="W69" s="97">
        <f t="shared" ca="1" si="3"/>
        <v>0</v>
      </c>
      <c r="X69" s="98">
        <f ca="1">IF('Invoer gegevens'!$C$17=E69,'Invoer gegevens'!$C$10-'Invoer gegevens'!$C$11,IF(C69=1,AC68,0))</f>
        <v>0</v>
      </c>
      <c r="Y69" s="98">
        <f ca="1">IF(C69&gt;=1,X69*VLOOKUP(E69,Reeksen!$A$5:$B$76,2),0)</f>
        <v>0</v>
      </c>
      <c r="Z69" s="98">
        <f ca="1">(1-('Invoer gegevens'!$F$20/12))*X69*MIN(Reeksen!B69,Reeksen!D69)</f>
        <v>0</v>
      </c>
      <c r="AA69" s="98">
        <f>IF(Reeksen!D69&gt;=Reeksen!B69,0,IF(Reeksen!AK69&lt;=Reeksen!AE69,(Reeksen!B69-Reeksen!D69)*X69,0))</f>
        <v>0</v>
      </c>
      <c r="AB69" s="98">
        <f>IF(Reeksen!D69&gt;=Reeksen!B69,0,IF(Reeksen!AK69&gt;Reeksen!AE69,(Reeksen!B69-Reeksen!D69)*X69,0))</f>
        <v>0</v>
      </c>
      <c r="AC69" s="99">
        <f t="shared" ca="1" si="4"/>
        <v>0</v>
      </c>
      <c r="AD69" s="98">
        <f ca="1">IF('Invoer gegevens'!$C$17=E69,R69,IF(C69=0,0,AE68))</f>
        <v>0</v>
      </c>
      <c r="AE69" s="98">
        <f t="shared" ca="1" si="5"/>
        <v>0</v>
      </c>
      <c r="AF69" s="98">
        <f ca="1">IF('Invoer gegevens'!$C$17=E69,X69,IF(C69=0,0,AG68))</f>
        <v>0</v>
      </c>
      <c r="AG69" s="98">
        <f t="shared" ca="1" si="6"/>
        <v>0</v>
      </c>
      <c r="AH69" s="68"/>
      <c r="AI69" s="71">
        <f ca="1">IF(C69=1,Reeksen!AJ69*((F69-G69+F69)/2)*12+Reeksen!AK69*((L69-M69+L69)/2)*12,0)</f>
        <v>0</v>
      </c>
      <c r="AJ69" s="71">
        <f ca="1">-AI69*'Invoer gegevens'!$F$28</f>
        <v>0</v>
      </c>
      <c r="AK69" s="71">
        <f t="shared" ref="AK69:AK132" ca="1" si="11">AI69+AJ69</f>
        <v>0</v>
      </c>
      <c r="AL69" s="71">
        <f ca="1">IF(C69=1,Reeksen!AL69*((F69-G69+F69)/2)*12+Reeksen!AM69*((L69-M69+L69)/2)*12,0)</f>
        <v>0</v>
      </c>
      <c r="AM69" s="71">
        <f ca="1">-AL69*'Invoer gegevens'!$F$31</f>
        <v>0</v>
      </c>
      <c r="AN69" s="71">
        <f t="shared" ca="1" si="7"/>
        <v>0</v>
      </c>
      <c r="AO69" s="71">
        <f ca="1">IF(C69=1,(H69+J69+N69+P69)*Reeksen!AN69,0)</f>
        <v>0</v>
      </c>
      <c r="AP69" s="71">
        <f ca="1">-IF(C69=1,(H69+J69+N69+P69)*'Hulp - basis'!$G$550*Reeksen!H69,0)</f>
        <v>0</v>
      </c>
      <c r="AQ69" s="71">
        <f ca="1">-IF(C69=1,(F69+K69+L69+Q69)/2*'Invoer gegevens'!$I$33*Reeksen!J69,0)*2</f>
        <v>0</v>
      </c>
      <c r="AR69" s="71">
        <f ca="1">-IF(C69=1,(I69*'Invoer gegevens'!$I$34)*Reeksen!J69,0)</f>
        <v>0</v>
      </c>
      <c r="AS69" s="71">
        <f ca="1">-IF(C69=1,(F69+K69+L69+Q69)/2*'Invoer gegevens'!$I$35*Reeksen!L69,0)</f>
        <v>0</v>
      </c>
      <c r="AT69" s="71">
        <f ca="1">-IF(C69=1,IF(E69='Invoer gegevens'!$C$17,'Invoer gegevens'!$C$11,AD69)*Reeksen!S69*'Invoer gegevens'!$C$18*Reeksen!P69,0)</f>
        <v>0</v>
      </c>
      <c r="AU69" s="71">
        <f ca="1">-IF(C69=1,(F69+K69+L69+Q69)/2*'Invoer gegevens'!$I$36*Reeksen!H69,0)</f>
        <v>0</v>
      </c>
      <c r="AV69" s="71">
        <f>IF('Invoer gegevens'!$C$3="Basis",0,#REF!)</f>
        <v>0</v>
      </c>
      <c r="AW69" s="71">
        <f t="shared" ca="1" si="8"/>
        <v>0</v>
      </c>
      <c r="AX69" s="71">
        <f ca="1">IF(E69&lt;'Invoer gegevens'!$C$17+15,0,IF(E69&gt;'Invoer gegevens'!$C$17+215,0,AW69))</f>
        <v>0</v>
      </c>
      <c r="AY69" s="71">
        <f ca="1">AX69/(1+'Invoer gegevens'!$F$18)^($AZ69-('Invoer gegevens'!$C$17-'Invoer gegevens'!$C$16))/(1+'Invoer gegevens'!$C$39)^('Invoer gegevens'!$C$17-'Invoer gegevens'!$C$16)</f>
        <v>0</v>
      </c>
      <c r="AZ69" s="68">
        <f ca="1">IF(E69-'Invoer gegevens'!$C$17-14.5&lt;0,0,E69-'Invoer gegevens'!$C$17-14.5)</f>
        <v>49.5</v>
      </c>
    </row>
    <row r="70" spans="2:52" x14ac:dyDescent="0.25">
      <c r="B70" s="70">
        <f t="shared" si="9"/>
        <v>66</v>
      </c>
      <c r="C70" s="67">
        <f ca="1">IF(E70-'Invoer gegevens'!$C$17&lt;0,0,1)</f>
        <v>1</v>
      </c>
      <c r="D70" s="68">
        <f t="shared" si="10"/>
        <v>65.5</v>
      </c>
      <c r="E70" s="108">
        <f ca="1">IF('Invoer gegevens'!$C$16="","",E69+1)</f>
        <v>2084</v>
      </c>
      <c r="F70" s="84">
        <f ca="1">IF('Invoer gegevens'!$C$17=E70,'Invoer gegevens'!$C$10,IF(C70=1,K69,0))</f>
        <v>0</v>
      </c>
      <c r="G70" s="96">
        <f ca="1">IF(C70&gt;=1,F70*VLOOKUP(E70,Reeksen!$A$5:$B$76,2),0)</f>
        <v>0</v>
      </c>
      <c r="H70" s="84">
        <f ca="1">(1-('Invoer gegevens'!$F$20/12))*F70*MIN(Reeksen!B70,Reeksen!D70)</f>
        <v>0</v>
      </c>
      <c r="I70" s="84">
        <f>IF(Reeksen!D70&lt;Reeksen!B70,(Reeksen!B70-Reeksen!D70)*F70,0)</f>
        <v>0</v>
      </c>
      <c r="J70" s="84">
        <f ca="1">('Invoer gegevens'!$F$20/12)*F69*MIN(Reeksen!B69,Reeksen!D69)</f>
        <v>0</v>
      </c>
      <c r="K70" s="97">
        <f t="shared" ref="K70:K133" ca="1" si="12">F70-G70</f>
        <v>0</v>
      </c>
      <c r="L70" s="84">
        <f ca="1">IF('Invoer gegevens'!$C$17=E70,0,IF(C70=1,Q69,0))</f>
        <v>0</v>
      </c>
      <c r="M70" s="96">
        <f ca="1">IF(C70&gt;=1,L70*VLOOKUP(E70,Reeksen!$A$5:$B$76,2),0)</f>
        <v>0</v>
      </c>
      <c r="N70" s="84">
        <f ca="1">(1-('Invoer gegevens'!$F$20/12))*L70*MIN(Reeksen!B70,Reeksen!D70)</f>
        <v>0</v>
      </c>
      <c r="O70" s="84">
        <f>IF(Reeksen!D70&lt;Reeksen!B70,(Reeksen!B70-Reeksen!D70)*L70,0)</f>
        <v>0</v>
      </c>
      <c r="P70" s="84">
        <f ca="1">('Invoer gegevens'!$F$20/12)*L69*MIN(Reeksen!B69,Reeksen!D69)</f>
        <v>0</v>
      </c>
      <c r="Q70" s="84">
        <f t="shared" ref="Q70:Q133" ca="1" si="13">L70-M70+I70+O70</f>
        <v>0</v>
      </c>
      <c r="R70" s="82">
        <f ca="1">IF('Invoer gegevens'!$C$17=E70,'Invoer gegevens'!$C$11,IF(C70=1,W69,0))</f>
        <v>0</v>
      </c>
      <c r="S70" s="86">
        <f ca="1">IF(C70&gt;=1,R70*VLOOKUP(E70,Reeksen!$A$5:$B$76,2),0)</f>
        <v>0</v>
      </c>
      <c r="T70" s="84">
        <f ca="1">(1-('Invoer gegevens'!$F$20/12))*R70*MIN(Reeksen!B70,Reeksen!D70)</f>
        <v>0</v>
      </c>
      <c r="U70" s="84">
        <f>IF(Reeksen!D70&gt;=Reeksen!B70,0,IF(Reeksen!AK70&lt;=Reeksen!AE70,(Reeksen!B70-Reeksen!D70)*R70,0))</f>
        <v>0</v>
      </c>
      <c r="V70" s="86">
        <f>IF(Reeksen!D70&gt;=Reeksen!B70,0,IF(Reeksen!AK70&gt;Reeksen!AE70,(Reeksen!B70-Reeksen!D70)*R70,0))</f>
        <v>0</v>
      </c>
      <c r="W70" s="97">
        <f t="shared" ref="W70:W133" ca="1" si="14">R70-S70</f>
        <v>0</v>
      </c>
      <c r="X70" s="98">
        <f ca="1">IF('Invoer gegevens'!$C$17=E70,'Invoer gegevens'!$C$10-'Invoer gegevens'!$C$11,IF(C70=1,AC69,0))</f>
        <v>0</v>
      </c>
      <c r="Y70" s="98">
        <f ca="1">IF(C70&gt;=1,X70*VLOOKUP(E70,Reeksen!$A$5:$B$76,2),0)</f>
        <v>0</v>
      </c>
      <c r="Z70" s="98">
        <f ca="1">(1-('Invoer gegevens'!$F$20/12))*X70*MIN(Reeksen!B70,Reeksen!D70)</f>
        <v>0</v>
      </c>
      <c r="AA70" s="98">
        <f>IF(Reeksen!D70&gt;=Reeksen!B70,0,IF(Reeksen!AK70&lt;=Reeksen!AE70,(Reeksen!B70-Reeksen!D70)*X70,0))</f>
        <v>0</v>
      </c>
      <c r="AB70" s="98">
        <f>IF(Reeksen!D70&gt;=Reeksen!B70,0,IF(Reeksen!AK70&gt;Reeksen!AE70,(Reeksen!B70-Reeksen!D70)*X70,0))</f>
        <v>0</v>
      </c>
      <c r="AC70" s="99">
        <f t="shared" ref="AC70:AC133" ca="1" si="15">X70-Y70</f>
        <v>0</v>
      </c>
      <c r="AD70" s="98">
        <f ca="1">IF('Invoer gegevens'!$C$17=E70,R70,IF(C70=0,0,AE69))</f>
        <v>0</v>
      </c>
      <c r="AE70" s="98">
        <f t="shared" ref="AE70:AE133" ca="1" si="16">IF(C70=0,0,AD70-S70-V70+AA70)</f>
        <v>0</v>
      </c>
      <c r="AF70" s="98">
        <f ca="1">IF('Invoer gegevens'!$C$17=E70,X70,IF(C70=0,0,AG69))</f>
        <v>0</v>
      </c>
      <c r="AG70" s="98">
        <f t="shared" ref="AG70:AG133" ca="1" si="17">IF(C70=0,0,AF70-Y70-AA70+V70)</f>
        <v>0</v>
      </c>
      <c r="AH70" s="68"/>
      <c r="AI70" s="71">
        <f ca="1">IF(C70=1,Reeksen!AJ70*((F70-G70+F70)/2)*12+Reeksen!AK70*((L70-M70+L70)/2)*12,0)</f>
        <v>0</v>
      </c>
      <c r="AJ70" s="71">
        <f ca="1">-AI70*'Invoer gegevens'!$F$28</f>
        <v>0</v>
      </c>
      <c r="AK70" s="71">
        <f t="shared" ca="1" si="11"/>
        <v>0</v>
      </c>
      <c r="AL70" s="71">
        <f ca="1">IF(C70=1,Reeksen!AL70*((F70-G70+F70)/2)*12+Reeksen!AM70*((L70-M70+L70)/2)*12,0)</f>
        <v>0</v>
      </c>
      <c r="AM70" s="71">
        <f ca="1">-AL70*'Invoer gegevens'!$F$31</f>
        <v>0</v>
      </c>
      <c r="AN70" s="71">
        <f t="shared" ref="AN70:AN133" ca="1" si="18">AL70+AM70</f>
        <v>0</v>
      </c>
      <c r="AO70" s="71">
        <f ca="1">IF(C70=1,(H70+J70+N70+P70)*Reeksen!AN70,0)</f>
        <v>0</v>
      </c>
      <c r="AP70" s="71">
        <f ca="1">-IF(C70=1,(H70+J70+N70+P70)*'Hulp - basis'!$G$550*Reeksen!H70,0)</f>
        <v>0</v>
      </c>
      <c r="AQ70" s="71">
        <f ca="1">-IF(C70=1,(F70+K70+L70+Q70)/2*'Invoer gegevens'!$I$33*Reeksen!J70,0)*2</f>
        <v>0</v>
      </c>
      <c r="AR70" s="71">
        <f ca="1">-IF(C70=1,(I70*'Invoer gegevens'!$I$34)*Reeksen!J70,0)</f>
        <v>0</v>
      </c>
      <c r="AS70" s="71">
        <f ca="1">-IF(C70=1,(F70+K70+L70+Q70)/2*'Invoer gegevens'!$I$35*Reeksen!L70,0)</f>
        <v>0</v>
      </c>
      <c r="AT70" s="71">
        <f ca="1">-IF(C70=1,IF(E70='Invoer gegevens'!$C$17,'Invoer gegevens'!$C$11,AD70)*Reeksen!S70*'Invoer gegevens'!$C$18*Reeksen!P70,0)</f>
        <v>0</v>
      </c>
      <c r="AU70" s="71">
        <f ca="1">-IF(C70=1,(F70+K70+L70+Q70)/2*'Invoer gegevens'!$I$36*Reeksen!H70,0)</f>
        <v>0</v>
      </c>
      <c r="AV70" s="71">
        <f>IF('Invoer gegevens'!$C$3="Basis",0,#REF!)</f>
        <v>0</v>
      </c>
      <c r="AW70" s="71">
        <f t="shared" ref="AW70:AW133" ca="1" si="19">SUM(AK70,AN70:AV70)</f>
        <v>0</v>
      </c>
      <c r="AX70" s="71">
        <f ca="1">IF(E70&lt;'Invoer gegevens'!$C$17+15,0,IF(E70&gt;'Invoer gegevens'!$C$17+215,0,AW70))</f>
        <v>0</v>
      </c>
      <c r="AY70" s="71">
        <f ca="1">AX70/(1+'Invoer gegevens'!$F$18)^($AZ70-('Invoer gegevens'!$C$17-'Invoer gegevens'!$C$16))/(1+'Invoer gegevens'!$C$39)^('Invoer gegevens'!$C$17-'Invoer gegevens'!$C$16)</f>
        <v>0</v>
      </c>
      <c r="AZ70" s="68">
        <f ca="1">IF(E70-'Invoer gegevens'!$C$17-14.5&lt;0,0,E70-'Invoer gegevens'!$C$17-14.5)</f>
        <v>50.5</v>
      </c>
    </row>
    <row r="71" spans="2:52" x14ac:dyDescent="0.25">
      <c r="B71" s="70">
        <f t="shared" si="9"/>
        <v>67</v>
      </c>
      <c r="C71" s="67">
        <f ca="1">IF(E71-'Invoer gegevens'!$C$17&lt;0,0,1)</f>
        <v>1</v>
      </c>
      <c r="D71" s="68">
        <f t="shared" si="10"/>
        <v>66.5</v>
      </c>
      <c r="E71" s="108">
        <f ca="1">IF('Invoer gegevens'!$C$16="","",E70+1)</f>
        <v>2085</v>
      </c>
      <c r="F71" s="84">
        <f ca="1">IF('Invoer gegevens'!$C$17=E71,'Invoer gegevens'!$C$10,IF(C71=1,K70,0))</f>
        <v>0</v>
      </c>
      <c r="G71" s="96">
        <f ca="1">IF(C71&gt;=1,F71*VLOOKUP(E71,Reeksen!$A$5:$B$76,2),0)</f>
        <v>0</v>
      </c>
      <c r="H71" s="84">
        <f ca="1">(1-('Invoer gegevens'!$F$20/12))*F71*MIN(Reeksen!B71,Reeksen!D71)</f>
        <v>0</v>
      </c>
      <c r="I71" s="84">
        <f>IF(Reeksen!D71&lt;Reeksen!B71,(Reeksen!B71-Reeksen!D71)*F71,0)</f>
        <v>0</v>
      </c>
      <c r="J71" s="84">
        <f ca="1">('Invoer gegevens'!$F$20/12)*F70*MIN(Reeksen!B70,Reeksen!D70)</f>
        <v>0</v>
      </c>
      <c r="K71" s="97">
        <f t="shared" ca="1" si="12"/>
        <v>0</v>
      </c>
      <c r="L71" s="84">
        <f ca="1">IF('Invoer gegevens'!$C$17=E71,0,IF(C71=1,Q70,0))</f>
        <v>0</v>
      </c>
      <c r="M71" s="96">
        <f ca="1">IF(C71&gt;=1,L71*VLOOKUP(E71,Reeksen!$A$5:$B$76,2),0)</f>
        <v>0</v>
      </c>
      <c r="N71" s="84">
        <f ca="1">(1-('Invoer gegevens'!$F$20/12))*L71*MIN(Reeksen!B71,Reeksen!D71)</f>
        <v>0</v>
      </c>
      <c r="O71" s="84">
        <f>IF(Reeksen!D71&lt;Reeksen!B71,(Reeksen!B71-Reeksen!D71)*L71,0)</f>
        <v>0</v>
      </c>
      <c r="P71" s="84">
        <f ca="1">('Invoer gegevens'!$F$20/12)*L70*MIN(Reeksen!B70,Reeksen!D70)</f>
        <v>0</v>
      </c>
      <c r="Q71" s="84">
        <f t="shared" ca="1" si="13"/>
        <v>0</v>
      </c>
      <c r="R71" s="82">
        <f ca="1">IF('Invoer gegevens'!$C$17=E71,'Invoer gegevens'!$C$11,IF(C71=1,W70,0))</f>
        <v>0</v>
      </c>
      <c r="S71" s="86">
        <f ca="1">IF(C71&gt;=1,R71*VLOOKUP(E71,Reeksen!$A$5:$B$76,2),0)</f>
        <v>0</v>
      </c>
      <c r="T71" s="84">
        <f ca="1">(1-('Invoer gegevens'!$F$20/12))*R71*MIN(Reeksen!B71,Reeksen!D71)</f>
        <v>0</v>
      </c>
      <c r="U71" s="84">
        <f>IF(Reeksen!D71&gt;=Reeksen!B71,0,IF(Reeksen!AK71&lt;=Reeksen!AE71,(Reeksen!B71-Reeksen!D71)*R71,0))</f>
        <v>0</v>
      </c>
      <c r="V71" s="86">
        <f>IF(Reeksen!D71&gt;=Reeksen!B71,0,IF(Reeksen!AK71&gt;Reeksen!AE71,(Reeksen!B71-Reeksen!D71)*R71,0))</f>
        <v>0</v>
      </c>
      <c r="W71" s="97">
        <f t="shared" ca="1" si="14"/>
        <v>0</v>
      </c>
      <c r="X71" s="98">
        <f ca="1">IF('Invoer gegevens'!$C$17=E71,'Invoer gegevens'!$C$10-'Invoer gegevens'!$C$11,IF(C71=1,AC70,0))</f>
        <v>0</v>
      </c>
      <c r="Y71" s="98">
        <f ca="1">IF(C71&gt;=1,X71*VLOOKUP(E71,Reeksen!$A$5:$B$76,2),0)</f>
        <v>0</v>
      </c>
      <c r="Z71" s="98">
        <f ca="1">(1-('Invoer gegevens'!$F$20/12))*X71*MIN(Reeksen!B71,Reeksen!D71)</f>
        <v>0</v>
      </c>
      <c r="AA71" s="98">
        <f>IF(Reeksen!D71&gt;=Reeksen!B71,0,IF(Reeksen!AK71&lt;=Reeksen!AE71,(Reeksen!B71-Reeksen!D71)*X71,0))</f>
        <v>0</v>
      </c>
      <c r="AB71" s="98">
        <f>IF(Reeksen!D71&gt;=Reeksen!B71,0,IF(Reeksen!AK71&gt;Reeksen!AE71,(Reeksen!B71-Reeksen!D71)*X71,0))</f>
        <v>0</v>
      </c>
      <c r="AC71" s="99">
        <f t="shared" ca="1" si="15"/>
        <v>0</v>
      </c>
      <c r="AD71" s="98">
        <f ca="1">IF('Invoer gegevens'!$C$17=E71,R71,IF(C71=0,0,AE70))</f>
        <v>0</v>
      </c>
      <c r="AE71" s="98">
        <f t="shared" ca="1" si="16"/>
        <v>0</v>
      </c>
      <c r="AF71" s="98">
        <f ca="1">IF('Invoer gegevens'!$C$17=E71,X71,IF(C71=0,0,AG70))</f>
        <v>0</v>
      </c>
      <c r="AG71" s="98">
        <f t="shared" ca="1" si="17"/>
        <v>0</v>
      </c>
      <c r="AH71" s="68"/>
      <c r="AI71" s="71">
        <f ca="1">IF(C71=1,Reeksen!AJ71*((F71-G71+F71)/2)*12+Reeksen!AK71*((L71-M71+L71)/2)*12,0)</f>
        <v>0</v>
      </c>
      <c r="AJ71" s="71">
        <f ca="1">-AI71*'Invoer gegevens'!$F$28</f>
        <v>0</v>
      </c>
      <c r="AK71" s="71">
        <f t="shared" ca="1" si="11"/>
        <v>0</v>
      </c>
      <c r="AL71" s="71">
        <f ca="1">IF(C71=1,Reeksen!AL71*((F71-G71+F71)/2)*12+Reeksen!AM71*((L71-M71+L71)/2)*12,0)</f>
        <v>0</v>
      </c>
      <c r="AM71" s="71">
        <f ca="1">-AL71*'Invoer gegevens'!$F$31</f>
        <v>0</v>
      </c>
      <c r="AN71" s="71">
        <f t="shared" ca="1" si="18"/>
        <v>0</v>
      </c>
      <c r="AO71" s="71">
        <f ca="1">IF(C71=1,(H71+J71+N71+P71)*Reeksen!AN71,0)</f>
        <v>0</v>
      </c>
      <c r="AP71" s="71">
        <f ca="1">-IF(C71=1,(H71+J71+N71+P71)*'Hulp - basis'!$G$550*Reeksen!H71,0)</f>
        <v>0</v>
      </c>
      <c r="AQ71" s="71">
        <f ca="1">-IF(C71=1,(F71+K71+L71+Q71)/2*'Invoer gegevens'!$I$33*Reeksen!J71,0)*2</f>
        <v>0</v>
      </c>
      <c r="AR71" s="71">
        <f ca="1">-IF(C71=1,(I71*'Invoer gegevens'!$I$34)*Reeksen!J71,0)</f>
        <v>0</v>
      </c>
      <c r="AS71" s="71">
        <f ca="1">-IF(C71=1,(F71+K71+L71+Q71)/2*'Invoer gegevens'!$I$35*Reeksen!L71,0)</f>
        <v>0</v>
      </c>
      <c r="AT71" s="71">
        <f ca="1">-IF(C71=1,IF(E71='Invoer gegevens'!$C$17,'Invoer gegevens'!$C$11,AD71)*Reeksen!S71*'Invoer gegevens'!$C$18*Reeksen!P71,0)</f>
        <v>0</v>
      </c>
      <c r="AU71" s="71">
        <f ca="1">-IF(C71=1,(F71+K71+L71+Q71)/2*'Invoer gegevens'!$I$36*Reeksen!H71,0)</f>
        <v>0</v>
      </c>
      <c r="AV71" s="71">
        <f>IF('Invoer gegevens'!$C$3="Basis",0,#REF!)</f>
        <v>0</v>
      </c>
      <c r="AW71" s="71">
        <f t="shared" ca="1" si="19"/>
        <v>0</v>
      </c>
      <c r="AX71" s="71">
        <f ca="1">IF(E71&lt;'Invoer gegevens'!$C$17+15,0,IF(E71&gt;'Invoer gegevens'!$C$17+215,0,AW71))</f>
        <v>0</v>
      </c>
      <c r="AY71" s="71">
        <f ca="1">AX71/(1+'Invoer gegevens'!$F$18)^($AZ71-('Invoer gegevens'!$C$17-'Invoer gegevens'!$C$16))/(1+'Invoer gegevens'!$C$39)^('Invoer gegevens'!$C$17-'Invoer gegevens'!$C$16)</f>
        <v>0</v>
      </c>
      <c r="AZ71" s="68">
        <f ca="1">IF(E71-'Invoer gegevens'!$C$17-14.5&lt;0,0,E71-'Invoer gegevens'!$C$17-14.5)</f>
        <v>51.5</v>
      </c>
    </row>
    <row r="72" spans="2:52" x14ac:dyDescent="0.25">
      <c r="B72" s="70">
        <f t="shared" ref="B72:B135" si="20">B71+1</f>
        <v>68</v>
      </c>
      <c r="C72" s="67">
        <f ca="1">IF(E72-'Invoer gegevens'!$C$17&lt;0,0,1)</f>
        <v>1</v>
      </c>
      <c r="D72" s="68">
        <f t="shared" ref="D72:D135" si="21">D71+1</f>
        <v>67.5</v>
      </c>
      <c r="E72" s="108">
        <f ca="1">IF('Invoer gegevens'!$C$16="","",E71+1)</f>
        <v>2086</v>
      </c>
      <c r="F72" s="84">
        <f ca="1">IF('Invoer gegevens'!$C$17=E72,'Invoer gegevens'!$C$10,IF(C72=1,K71,0))</f>
        <v>0</v>
      </c>
      <c r="G72" s="96">
        <f ca="1">IF(C72&gt;=1,F72*VLOOKUP(E72,Reeksen!$A$5:$B$76,2),0)</f>
        <v>0</v>
      </c>
      <c r="H72" s="84">
        <f ca="1">(1-('Invoer gegevens'!$F$20/12))*F72*MIN(Reeksen!B72,Reeksen!D72)</f>
        <v>0</v>
      </c>
      <c r="I72" s="84">
        <f>IF(Reeksen!D72&lt;Reeksen!B72,(Reeksen!B72-Reeksen!D72)*F72,0)</f>
        <v>0</v>
      </c>
      <c r="J72" s="84">
        <f ca="1">('Invoer gegevens'!$F$20/12)*F71*MIN(Reeksen!B71,Reeksen!D71)</f>
        <v>0</v>
      </c>
      <c r="K72" s="97">
        <f t="shared" ca="1" si="12"/>
        <v>0</v>
      </c>
      <c r="L72" s="84">
        <f ca="1">IF('Invoer gegevens'!$C$17=E72,0,IF(C72=1,Q71,0))</f>
        <v>0</v>
      </c>
      <c r="M72" s="96">
        <f ca="1">IF(C72&gt;=1,L72*VLOOKUP(E72,Reeksen!$A$5:$B$76,2),0)</f>
        <v>0</v>
      </c>
      <c r="N72" s="84">
        <f ca="1">(1-('Invoer gegevens'!$F$20/12))*L72*MIN(Reeksen!B72,Reeksen!D72)</f>
        <v>0</v>
      </c>
      <c r="O72" s="84">
        <f>IF(Reeksen!D72&lt;Reeksen!B72,(Reeksen!B72-Reeksen!D72)*L72,0)</f>
        <v>0</v>
      </c>
      <c r="P72" s="84">
        <f ca="1">('Invoer gegevens'!$F$20/12)*L71*MIN(Reeksen!B71,Reeksen!D71)</f>
        <v>0</v>
      </c>
      <c r="Q72" s="84">
        <f t="shared" ca="1" si="13"/>
        <v>0</v>
      </c>
      <c r="R72" s="82">
        <f ca="1">IF('Invoer gegevens'!$C$17=E72,'Invoer gegevens'!$C$11,IF(C72=1,W71,0))</f>
        <v>0</v>
      </c>
      <c r="S72" s="86">
        <f ca="1">IF(C72&gt;=1,R72*VLOOKUP(E72,Reeksen!$A$5:$B$76,2),0)</f>
        <v>0</v>
      </c>
      <c r="T72" s="84">
        <f ca="1">(1-('Invoer gegevens'!$F$20/12))*R72*MIN(Reeksen!B72,Reeksen!D72)</f>
        <v>0</v>
      </c>
      <c r="U72" s="84">
        <f>IF(Reeksen!D72&gt;=Reeksen!B72,0,IF(Reeksen!AK72&lt;=Reeksen!AE72,(Reeksen!B72-Reeksen!D72)*R72,0))</f>
        <v>0</v>
      </c>
      <c r="V72" s="86">
        <f>IF(Reeksen!D72&gt;=Reeksen!B72,0,IF(Reeksen!AK72&gt;Reeksen!AE72,(Reeksen!B72-Reeksen!D72)*R72,0))</f>
        <v>0</v>
      </c>
      <c r="W72" s="97">
        <f t="shared" ca="1" si="14"/>
        <v>0</v>
      </c>
      <c r="X72" s="98">
        <f ca="1">IF('Invoer gegevens'!$C$17=E72,'Invoer gegevens'!$C$10-'Invoer gegevens'!$C$11,IF(C72=1,AC71,0))</f>
        <v>0</v>
      </c>
      <c r="Y72" s="98">
        <f ca="1">IF(C72&gt;=1,X72*VLOOKUP(E72,Reeksen!$A$5:$B$76,2),0)</f>
        <v>0</v>
      </c>
      <c r="Z72" s="98">
        <f ca="1">(1-('Invoer gegevens'!$F$20/12))*X72*MIN(Reeksen!B72,Reeksen!D72)</f>
        <v>0</v>
      </c>
      <c r="AA72" s="98">
        <f>IF(Reeksen!D72&gt;=Reeksen!B72,0,IF(Reeksen!AK72&lt;=Reeksen!AE72,(Reeksen!B72-Reeksen!D72)*X72,0))</f>
        <v>0</v>
      </c>
      <c r="AB72" s="98">
        <f>IF(Reeksen!D72&gt;=Reeksen!B72,0,IF(Reeksen!AK72&gt;Reeksen!AE72,(Reeksen!B72-Reeksen!D72)*X72,0))</f>
        <v>0</v>
      </c>
      <c r="AC72" s="99">
        <f t="shared" ca="1" si="15"/>
        <v>0</v>
      </c>
      <c r="AD72" s="98">
        <f ca="1">IF('Invoer gegevens'!$C$17=E72,R72,IF(C72=0,0,AE71))</f>
        <v>0</v>
      </c>
      <c r="AE72" s="98">
        <f t="shared" ca="1" si="16"/>
        <v>0</v>
      </c>
      <c r="AF72" s="98">
        <f ca="1">IF('Invoer gegevens'!$C$17=E72,X72,IF(C72=0,0,AG71))</f>
        <v>0</v>
      </c>
      <c r="AG72" s="98">
        <f t="shared" ca="1" si="17"/>
        <v>0</v>
      </c>
      <c r="AH72" s="68"/>
      <c r="AI72" s="71">
        <f ca="1">IF(C72=1,Reeksen!AJ72*((F72-G72+F72)/2)*12+Reeksen!AK72*((L72-M72+L72)/2)*12,0)</f>
        <v>0</v>
      </c>
      <c r="AJ72" s="71">
        <f ca="1">-AI72*'Invoer gegevens'!$F$28</f>
        <v>0</v>
      </c>
      <c r="AK72" s="71">
        <f t="shared" ca="1" si="11"/>
        <v>0</v>
      </c>
      <c r="AL72" s="71">
        <f ca="1">IF(C72=1,Reeksen!AL72*((F72-G72+F72)/2)*12+Reeksen!AM72*((L72-M72+L72)/2)*12,0)</f>
        <v>0</v>
      </c>
      <c r="AM72" s="71">
        <f ca="1">-AL72*'Invoer gegevens'!$F$31</f>
        <v>0</v>
      </c>
      <c r="AN72" s="71">
        <f t="shared" ca="1" si="18"/>
        <v>0</v>
      </c>
      <c r="AO72" s="71">
        <f ca="1">IF(C72=1,(H72+J72+N72+P72)*Reeksen!AN72,0)</f>
        <v>0</v>
      </c>
      <c r="AP72" s="71">
        <f ca="1">-IF(C72=1,(H72+J72+N72+P72)*'Hulp - basis'!$G$550*Reeksen!H72,0)</f>
        <v>0</v>
      </c>
      <c r="AQ72" s="71">
        <f ca="1">-IF(C72=1,(F72+K72+L72+Q72)/2*'Invoer gegevens'!$I$33*Reeksen!J72,0)*2</f>
        <v>0</v>
      </c>
      <c r="AR72" s="71">
        <f ca="1">-IF(C72=1,(I72*'Invoer gegevens'!$I$34)*Reeksen!J72,0)</f>
        <v>0</v>
      </c>
      <c r="AS72" s="71">
        <f ca="1">-IF(C72=1,(F72+K72+L72+Q72)/2*'Invoer gegevens'!$I$35*Reeksen!L72,0)</f>
        <v>0</v>
      </c>
      <c r="AT72" s="71">
        <f ca="1">-IF(C72=1,IF(E72='Invoer gegevens'!$C$17,'Invoer gegevens'!$C$11,AD72)*Reeksen!S72*'Invoer gegevens'!$C$18*Reeksen!P72,0)</f>
        <v>0</v>
      </c>
      <c r="AU72" s="71">
        <f ca="1">-IF(C72=1,(F72+K72+L72+Q72)/2*'Invoer gegevens'!$I$36*Reeksen!H72,0)</f>
        <v>0</v>
      </c>
      <c r="AV72" s="71">
        <f>IF('Invoer gegevens'!$C$3="Basis",0,#REF!)</f>
        <v>0</v>
      </c>
      <c r="AW72" s="71">
        <f t="shared" ca="1" si="19"/>
        <v>0</v>
      </c>
      <c r="AX72" s="71">
        <f ca="1">IF(E72&lt;'Invoer gegevens'!$C$17+15,0,IF(E72&gt;'Invoer gegevens'!$C$17+215,0,AW72))</f>
        <v>0</v>
      </c>
      <c r="AY72" s="71">
        <f ca="1">AX72/(1+'Invoer gegevens'!$F$18)^($AZ72-('Invoer gegevens'!$C$17-'Invoer gegevens'!$C$16))/(1+'Invoer gegevens'!$C$39)^('Invoer gegevens'!$C$17-'Invoer gegevens'!$C$16)</f>
        <v>0</v>
      </c>
      <c r="AZ72" s="68">
        <f ca="1">IF(E72-'Invoer gegevens'!$C$17-14.5&lt;0,0,E72-'Invoer gegevens'!$C$17-14.5)</f>
        <v>52.5</v>
      </c>
    </row>
    <row r="73" spans="2:52" x14ac:dyDescent="0.25">
      <c r="B73" s="70">
        <f t="shared" si="20"/>
        <v>69</v>
      </c>
      <c r="C73" s="67">
        <f ca="1">IF(E73-'Invoer gegevens'!$C$17&lt;0,0,1)</f>
        <v>1</v>
      </c>
      <c r="D73" s="68">
        <f t="shared" si="21"/>
        <v>68.5</v>
      </c>
      <c r="E73" s="108">
        <f ca="1">IF('Invoer gegevens'!$C$16="","",E72+1)</f>
        <v>2087</v>
      </c>
      <c r="F73" s="84">
        <f ca="1">IF('Invoer gegevens'!$C$17=E73,'Invoer gegevens'!$C$10,IF(C73=1,K72,0))</f>
        <v>0</v>
      </c>
      <c r="G73" s="96">
        <f ca="1">IF(C73&gt;=1,F73*VLOOKUP(E73,Reeksen!$A$5:$B$76,2),0)</f>
        <v>0</v>
      </c>
      <c r="H73" s="84">
        <f ca="1">(1-('Invoer gegevens'!$F$20/12))*F73*MIN(Reeksen!B73,Reeksen!D73)</f>
        <v>0</v>
      </c>
      <c r="I73" s="84">
        <f>IF(Reeksen!D73&lt;Reeksen!B73,(Reeksen!B73-Reeksen!D73)*F73,0)</f>
        <v>0</v>
      </c>
      <c r="J73" s="84">
        <f ca="1">('Invoer gegevens'!$F$20/12)*F72*MIN(Reeksen!B72,Reeksen!D72)</f>
        <v>0</v>
      </c>
      <c r="K73" s="97">
        <f t="shared" ca="1" si="12"/>
        <v>0</v>
      </c>
      <c r="L73" s="84">
        <f ca="1">IF('Invoer gegevens'!$C$17=E73,0,IF(C73=1,Q72,0))</f>
        <v>0</v>
      </c>
      <c r="M73" s="96">
        <f ca="1">IF(C73&gt;=1,L73*VLOOKUP(E73,Reeksen!$A$5:$B$76,2),0)</f>
        <v>0</v>
      </c>
      <c r="N73" s="84">
        <f ca="1">(1-('Invoer gegevens'!$F$20/12))*L73*MIN(Reeksen!B73,Reeksen!D73)</f>
        <v>0</v>
      </c>
      <c r="O73" s="84">
        <f>IF(Reeksen!D73&lt;Reeksen!B73,(Reeksen!B73-Reeksen!D73)*L73,0)</f>
        <v>0</v>
      </c>
      <c r="P73" s="84">
        <f ca="1">('Invoer gegevens'!$F$20/12)*L72*MIN(Reeksen!B72,Reeksen!D72)</f>
        <v>0</v>
      </c>
      <c r="Q73" s="84">
        <f t="shared" ca="1" si="13"/>
        <v>0</v>
      </c>
      <c r="R73" s="82">
        <f ca="1">IF('Invoer gegevens'!$C$17=E73,'Invoer gegevens'!$C$11,IF(C73=1,W72,0))</f>
        <v>0</v>
      </c>
      <c r="S73" s="86">
        <f ca="1">IF(C73&gt;=1,R73*VLOOKUP(E73,Reeksen!$A$5:$B$76,2),0)</f>
        <v>0</v>
      </c>
      <c r="T73" s="84">
        <f ca="1">(1-('Invoer gegevens'!$F$20/12))*R73*MIN(Reeksen!B73,Reeksen!D73)</f>
        <v>0</v>
      </c>
      <c r="U73" s="84">
        <f>IF(Reeksen!D73&gt;=Reeksen!B73,0,IF(Reeksen!AK73&lt;=Reeksen!AE73,(Reeksen!B73-Reeksen!D73)*R73,0))</f>
        <v>0</v>
      </c>
      <c r="V73" s="86">
        <f>IF(Reeksen!D73&gt;=Reeksen!B73,0,IF(Reeksen!AK73&gt;Reeksen!AE73,(Reeksen!B73-Reeksen!D73)*R73,0))</f>
        <v>0</v>
      </c>
      <c r="W73" s="97">
        <f t="shared" ca="1" si="14"/>
        <v>0</v>
      </c>
      <c r="X73" s="98">
        <f ca="1">IF('Invoer gegevens'!$C$17=E73,'Invoer gegevens'!$C$10-'Invoer gegevens'!$C$11,IF(C73=1,AC72,0))</f>
        <v>0</v>
      </c>
      <c r="Y73" s="98">
        <f ca="1">IF(C73&gt;=1,X73*VLOOKUP(E73,Reeksen!$A$5:$B$76,2),0)</f>
        <v>0</v>
      </c>
      <c r="Z73" s="98">
        <f ca="1">(1-('Invoer gegevens'!$F$20/12))*X73*MIN(Reeksen!B73,Reeksen!D73)</f>
        <v>0</v>
      </c>
      <c r="AA73" s="98">
        <f>IF(Reeksen!D73&gt;=Reeksen!B73,0,IF(Reeksen!AK73&lt;=Reeksen!AE73,(Reeksen!B73-Reeksen!D73)*X73,0))</f>
        <v>0</v>
      </c>
      <c r="AB73" s="98">
        <f>IF(Reeksen!D73&gt;=Reeksen!B73,0,IF(Reeksen!AK73&gt;Reeksen!AE73,(Reeksen!B73-Reeksen!D73)*X73,0))</f>
        <v>0</v>
      </c>
      <c r="AC73" s="99">
        <f t="shared" ca="1" si="15"/>
        <v>0</v>
      </c>
      <c r="AD73" s="98">
        <f ca="1">IF('Invoer gegevens'!$C$17=E73,R73,IF(C73=0,0,AE72))</f>
        <v>0</v>
      </c>
      <c r="AE73" s="98">
        <f t="shared" ca="1" si="16"/>
        <v>0</v>
      </c>
      <c r="AF73" s="98">
        <f ca="1">IF('Invoer gegevens'!$C$17=E73,X73,IF(C73=0,0,AG72))</f>
        <v>0</v>
      </c>
      <c r="AG73" s="98">
        <f t="shared" ca="1" si="17"/>
        <v>0</v>
      </c>
      <c r="AH73" s="68"/>
      <c r="AI73" s="71">
        <f ca="1">IF(C73=1,Reeksen!AJ73*((F73-G73+F73)/2)*12+Reeksen!AK73*((L73-M73+L73)/2)*12,0)</f>
        <v>0</v>
      </c>
      <c r="AJ73" s="71">
        <f ca="1">-AI73*'Invoer gegevens'!$F$28</f>
        <v>0</v>
      </c>
      <c r="AK73" s="71">
        <f t="shared" ca="1" si="11"/>
        <v>0</v>
      </c>
      <c r="AL73" s="71">
        <f ca="1">IF(C73=1,Reeksen!AL73*((F73-G73+F73)/2)*12+Reeksen!AM73*((L73-M73+L73)/2)*12,0)</f>
        <v>0</v>
      </c>
      <c r="AM73" s="71">
        <f ca="1">-AL73*'Invoer gegevens'!$F$31</f>
        <v>0</v>
      </c>
      <c r="AN73" s="71">
        <f t="shared" ca="1" si="18"/>
        <v>0</v>
      </c>
      <c r="AO73" s="71">
        <f ca="1">IF(C73=1,(H73+J73+N73+P73)*Reeksen!AN73,0)</f>
        <v>0</v>
      </c>
      <c r="AP73" s="71">
        <f ca="1">-IF(C73=1,(H73+J73+N73+P73)*'Hulp - basis'!$G$550*Reeksen!H73,0)</f>
        <v>0</v>
      </c>
      <c r="AQ73" s="71">
        <f ca="1">-IF(C73=1,(F73+K73+L73+Q73)/2*'Invoer gegevens'!$I$33*Reeksen!J73,0)*2</f>
        <v>0</v>
      </c>
      <c r="AR73" s="71">
        <f ca="1">-IF(C73=1,(I73*'Invoer gegevens'!$I$34)*Reeksen!J73,0)</f>
        <v>0</v>
      </c>
      <c r="AS73" s="71">
        <f ca="1">-IF(C73=1,(F73+K73+L73+Q73)/2*'Invoer gegevens'!$I$35*Reeksen!L73,0)</f>
        <v>0</v>
      </c>
      <c r="AT73" s="71">
        <f ca="1">-IF(C73=1,IF(E73='Invoer gegevens'!$C$17,'Invoer gegevens'!$C$11,AD73)*Reeksen!S73*'Invoer gegevens'!$C$18*Reeksen!P73,0)</f>
        <v>0</v>
      </c>
      <c r="AU73" s="71">
        <f ca="1">-IF(C73=1,(F73+K73+L73+Q73)/2*'Invoer gegevens'!$I$36*Reeksen!H73,0)</f>
        <v>0</v>
      </c>
      <c r="AV73" s="71">
        <f>IF('Invoer gegevens'!$C$3="Basis",0,#REF!)</f>
        <v>0</v>
      </c>
      <c r="AW73" s="71">
        <f t="shared" ca="1" si="19"/>
        <v>0</v>
      </c>
      <c r="AX73" s="71">
        <f ca="1">IF(E73&lt;'Invoer gegevens'!$C$17+15,0,IF(E73&gt;'Invoer gegevens'!$C$17+215,0,AW73))</f>
        <v>0</v>
      </c>
      <c r="AY73" s="71">
        <f ca="1">AX73/(1+'Invoer gegevens'!$F$18)^($AZ73-('Invoer gegevens'!$C$17-'Invoer gegevens'!$C$16))/(1+'Invoer gegevens'!$C$39)^('Invoer gegevens'!$C$17-'Invoer gegevens'!$C$16)</f>
        <v>0</v>
      </c>
      <c r="AZ73" s="68">
        <f ca="1">IF(E73-'Invoer gegevens'!$C$17-14.5&lt;0,0,E73-'Invoer gegevens'!$C$17-14.5)</f>
        <v>53.5</v>
      </c>
    </row>
    <row r="74" spans="2:52" x14ac:dyDescent="0.25">
      <c r="B74" s="70">
        <f t="shared" si="20"/>
        <v>70</v>
      </c>
      <c r="C74" s="67">
        <f ca="1">IF(E74-'Invoer gegevens'!$C$17&lt;0,0,1)</f>
        <v>1</v>
      </c>
      <c r="D74" s="68">
        <f t="shared" si="21"/>
        <v>69.5</v>
      </c>
      <c r="E74" s="108">
        <f ca="1">IF('Invoer gegevens'!$C$16="","",E73+1)</f>
        <v>2088</v>
      </c>
      <c r="F74" s="84">
        <f ca="1">IF('Invoer gegevens'!$C$17=E74,'Invoer gegevens'!$C$10,IF(C74=1,K73,0))</f>
        <v>0</v>
      </c>
      <c r="G74" s="96">
        <f ca="1">IF(C74&gt;=1,F74*VLOOKUP(E74,Reeksen!$A$5:$B$76,2),0)</f>
        <v>0</v>
      </c>
      <c r="H74" s="84">
        <f ca="1">(1-('Invoer gegevens'!$F$20/12))*F74*MIN(Reeksen!B74,Reeksen!D74)</f>
        <v>0</v>
      </c>
      <c r="I74" s="84">
        <f>IF(Reeksen!D74&lt;Reeksen!B74,(Reeksen!B74-Reeksen!D74)*F74,0)</f>
        <v>0</v>
      </c>
      <c r="J74" s="84">
        <f ca="1">('Invoer gegevens'!$F$20/12)*F73*MIN(Reeksen!B73,Reeksen!D73)</f>
        <v>0</v>
      </c>
      <c r="K74" s="97">
        <f t="shared" ca="1" si="12"/>
        <v>0</v>
      </c>
      <c r="L74" s="84">
        <f ca="1">IF('Invoer gegevens'!$C$17=E74,0,IF(C74=1,Q73,0))</f>
        <v>0</v>
      </c>
      <c r="M74" s="96">
        <f ca="1">IF(C74&gt;=1,L74*VLOOKUP(E74,Reeksen!$A$5:$B$76,2),0)</f>
        <v>0</v>
      </c>
      <c r="N74" s="84">
        <f ca="1">(1-('Invoer gegevens'!$F$20/12))*L74*MIN(Reeksen!B74,Reeksen!D74)</f>
        <v>0</v>
      </c>
      <c r="O74" s="84">
        <f>IF(Reeksen!D74&lt;Reeksen!B74,(Reeksen!B74-Reeksen!D74)*L74,0)</f>
        <v>0</v>
      </c>
      <c r="P74" s="84">
        <f ca="1">('Invoer gegevens'!$F$20/12)*L73*MIN(Reeksen!B73,Reeksen!D73)</f>
        <v>0</v>
      </c>
      <c r="Q74" s="84">
        <f t="shared" ca="1" si="13"/>
        <v>0</v>
      </c>
      <c r="R74" s="82">
        <f ca="1">IF('Invoer gegevens'!$C$17=E74,'Invoer gegevens'!$C$11,IF(C74=1,W73,0))</f>
        <v>0</v>
      </c>
      <c r="S74" s="86">
        <f ca="1">IF(C74&gt;=1,R74*VLOOKUP(E74,Reeksen!$A$5:$B$76,2),0)</f>
        <v>0</v>
      </c>
      <c r="T74" s="84">
        <f ca="1">(1-('Invoer gegevens'!$F$20/12))*R74*MIN(Reeksen!B74,Reeksen!D74)</f>
        <v>0</v>
      </c>
      <c r="U74" s="84">
        <f>IF(Reeksen!D74&gt;=Reeksen!B74,0,IF(Reeksen!AK74&lt;=Reeksen!AE74,(Reeksen!B74-Reeksen!D74)*R74,0))</f>
        <v>0</v>
      </c>
      <c r="V74" s="86">
        <f>IF(Reeksen!D74&gt;=Reeksen!B74,0,IF(Reeksen!AK74&gt;Reeksen!AE74,(Reeksen!B74-Reeksen!D74)*R74,0))</f>
        <v>0</v>
      </c>
      <c r="W74" s="97">
        <f t="shared" ca="1" si="14"/>
        <v>0</v>
      </c>
      <c r="X74" s="98">
        <f ca="1">IF('Invoer gegevens'!$C$17=E74,'Invoer gegevens'!$C$10-'Invoer gegevens'!$C$11,IF(C74=1,AC73,0))</f>
        <v>0</v>
      </c>
      <c r="Y74" s="98">
        <f ca="1">IF(C74&gt;=1,X74*VLOOKUP(E74,Reeksen!$A$5:$B$76,2),0)</f>
        <v>0</v>
      </c>
      <c r="Z74" s="98">
        <f ca="1">(1-('Invoer gegevens'!$F$20/12))*X74*MIN(Reeksen!B74,Reeksen!D74)</f>
        <v>0</v>
      </c>
      <c r="AA74" s="98">
        <f>IF(Reeksen!D74&gt;=Reeksen!B74,0,IF(Reeksen!AK74&lt;=Reeksen!AE74,(Reeksen!B74-Reeksen!D74)*X74,0))</f>
        <v>0</v>
      </c>
      <c r="AB74" s="98">
        <f>IF(Reeksen!D74&gt;=Reeksen!B74,0,IF(Reeksen!AK74&gt;Reeksen!AE74,(Reeksen!B74-Reeksen!D74)*X74,0))</f>
        <v>0</v>
      </c>
      <c r="AC74" s="99">
        <f t="shared" ca="1" si="15"/>
        <v>0</v>
      </c>
      <c r="AD74" s="98">
        <f ca="1">IF('Invoer gegevens'!$C$17=E74,R74,IF(C74=0,0,AE73))</f>
        <v>0</v>
      </c>
      <c r="AE74" s="98">
        <f t="shared" ca="1" si="16"/>
        <v>0</v>
      </c>
      <c r="AF74" s="98">
        <f ca="1">IF('Invoer gegevens'!$C$17=E74,X74,IF(C74=0,0,AG73))</f>
        <v>0</v>
      </c>
      <c r="AG74" s="98">
        <f t="shared" ca="1" si="17"/>
        <v>0</v>
      </c>
      <c r="AH74" s="68"/>
      <c r="AI74" s="71">
        <f ca="1">IF(C74=1,Reeksen!AJ74*((F74-G74+F74)/2)*12+Reeksen!AK74*((L74-M74+L74)/2)*12,0)</f>
        <v>0</v>
      </c>
      <c r="AJ74" s="71">
        <f ca="1">-AI74*'Invoer gegevens'!$F$28</f>
        <v>0</v>
      </c>
      <c r="AK74" s="71">
        <f t="shared" ca="1" si="11"/>
        <v>0</v>
      </c>
      <c r="AL74" s="71">
        <f ca="1">IF(C74=1,Reeksen!AL74*((F74-G74+F74)/2)*12+Reeksen!AM74*((L74-M74+L74)/2)*12,0)</f>
        <v>0</v>
      </c>
      <c r="AM74" s="71">
        <f ca="1">-AL74*'Invoer gegevens'!$F$31</f>
        <v>0</v>
      </c>
      <c r="AN74" s="71">
        <f t="shared" ca="1" si="18"/>
        <v>0</v>
      </c>
      <c r="AO74" s="71">
        <f ca="1">IF(C74=1,(H74+J74+N74+P74)*Reeksen!AN74,0)</f>
        <v>0</v>
      </c>
      <c r="AP74" s="71">
        <f ca="1">-IF(C74=1,(H74+J74+N74+P74)*'Hulp - basis'!$G$550*Reeksen!H74,0)</f>
        <v>0</v>
      </c>
      <c r="AQ74" s="71">
        <f ca="1">-IF(C74=1,(F74+K74+L74+Q74)/2*'Invoer gegevens'!$I$33*Reeksen!J74,0)*2</f>
        <v>0</v>
      </c>
      <c r="AR74" s="71">
        <f ca="1">-IF(C74=1,(I74*'Invoer gegevens'!$I$34)*Reeksen!J74,0)</f>
        <v>0</v>
      </c>
      <c r="AS74" s="71">
        <f ca="1">-IF(C74=1,(F74+K74+L74+Q74)/2*'Invoer gegevens'!$I$35*Reeksen!L74,0)</f>
        <v>0</v>
      </c>
      <c r="AT74" s="71">
        <f ca="1">-IF(C74=1,IF(E74='Invoer gegevens'!$C$17,'Invoer gegevens'!$C$11,AD74)*Reeksen!S74*'Invoer gegevens'!$C$18*Reeksen!P74,0)</f>
        <v>0</v>
      </c>
      <c r="AU74" s="71">
        <f ca="1">-IF(C74=1,(F74+K74+L74+Q74)/2*'Invoer gegevens'!$I$36*Reeksen!H74,0)</f>
        <v>0</v>
      </c>
      <c r="AV74" s="71">
        <f>IF('Invoer gegevens'!$C$3="Basis",0,#REF!)</f>
        <v>0</v>
      </c>
      <c r="AW74" s="71">
        <f t="shared" ca="1" si="19"/>
        <v>0</v>
      </c>
      <c r="AX74" s="71">
        <f ca="1">IF(E74&lt;'Invoer gegevens'!$C$17+15,0,IF(E74&gt;'Invoer gegevens'!$C$17+215,0,AW74))</f>
        <v>0</v>
      </c>
      <c r="AY74" s="71">
        <f ca="1">AX74/(1+'Invoer gegevens'!$F$18)^($AZ74-('Invoer gegevens'!$C$17-'Invoer gegevens'!$C$16))/(1+'Invoer gegevens'!$C$39)^('Invoer gegevens'!$C$17-'Invoer gegevens'!$C$16)</f>
        <v>0</v>
      </c>
      <c r="AZ74" s="68">
        <f ca="1">IF(E74-'Invoer gegevens'!$C$17-14.5&lt;0,0,E74-'Invoer gegevens'!$C$17-14.5)</f>
        <v>54.5</v>
      </c>
    </row>
    <row r="75" spans="2:52" x14ac:dyDescent="0.25">
      <c r="B75" s="70">
        <f t="shared" si="20"/>
        <v>71</v>
      </c>
      <c r="C75" s="67">
        <f ca="1">IF(E75-'Invoer gegevens'!$C$17&lt;0,0,1)</f>
        <v>1</v>
      </c>
      <c r="D75" s="68">
        <f t="shared" si="21"/>
        <v>70.5</v>
      </c>
      <c r="E75" s="108">
        <f ca="1">IF('Invoer gegevens'!$C$16="","",E74+1)</f>
        <v>2089</v>
      </c>
      <c r="F75" s="84">
        <f ca="1">IF('Invoer gegevens'!$C$17=E75,'Invoer gegevens'!$C$10,IF(C75=1,K74,0))</f>
        <v>0</v>
      </c>
      <c r="G75" s="96">
        <f ca="1">IF(C75&gt;=1,F75*VLOOKUP(E75,Reeksen!$A$5:$B$76,2),0)</f>
        <v>0</v>
      </c>
      <c r="H75" s="84">
        <f ca="1">(1-('Invoer gegevens'!$F$20/12))*F75*MIN(Reeksen!B75,Reeksen!D75)</f>
        <v>0</v>
      </c>
      <c r="I75" s="84">
        <f>IF(Reeksen!D75&lt;Reeksen!B75,(Reeksen!B75-Reeksen!D75)*F75,0)</f>
        <v>0</v>
      </c>
      <c r="J75" s="84">
        <f ca="1">('Invoer gegevens'!$F$20/12)*F74*MIN(Reeksen!B74,Reeksen!D74)</f>
        <v>0</v>
      </c>
      <c r="K75" s="97">
        <f t="shared" ca="1" si="12"/>
        <v>0</v>
      </c>
      <c r="L75" s="84">
        <f ca="1">IF('Invoer gegevens'!$C$17=E75,0,IF(C75=1,Q74,0))</f>
        <v>0</v>
      </c>
      <c r="M75" s="96">
        <f ca="1">IF(C75&gt;=1,L75*VLOOKUP(E75,Reeksen!$A$5:$B$76,2),0)</f>
        <v>0</v>
      </c>
      <c r="N75" s="84">
        <f ca="1">(1-('Invoer gegevens'!$F$20/12))*L75*MIN(Reeksen!B75,Reeksen!D75)</f>
        <v>0</v>
      </c>
      <c r="O75" s="84">
        <f>IF(Reeksen!D75&lt;Reeksen!B75,(Reeksen!B75-Reeksen!D75)*L75,0)</f>
        <v>0</v>
      </c>
      <c r="P75" s="84">
        <f ca="1">('Invoer gegevens'!$F$20/12)*L74*MIN(Reeksen!B74,Reeksen!D74)</f>
        <v>0</v>
      </c>
      <c r="Q75" s="84">
        <f t="shared" ca="1" si="13"/>
        <v>0</v>
      </c>
      <c r="R75" s="82">
        <f ca="1">IF('Invoer gegevens'!$C$17=E75,'Invoer gegevens'!$C$11,IF(C75=1,W74,0))</f>
        <v>0</v>
      </c>
      <c r="S75" s="86">
        <f ca="1">IF(C75&gt;=1,R75*VLOOKUP(E75,Reeksen!$A$5:$B$76,2),0)</f>
        <v>0</v>
      </c>
      <c r="T75" s="84">
        <f ca="1">(1-('Invoer gegevens'!$F$20/12))*R75*MIN(Reeksen!B75,Reeksen!D75)</f>
        <v>0</v>
      </c>
      <c r="U75" s="84">
        <f>IF(Reeksen!D75&gt;=Reeksen!B75,0,IF(Reeksen!AK75&lt;=Reeksen!AE75,(Reeksen!B75-Reeksen!D75)*R75,0))</f>
        <v>0</v>
      </c>
      <c r="V75" s="86">
        <f>IF(Reeksen!D75&gt;=Reeksen!B75,0,IF(Reeksen!AK75&gt;Reeksen!AE75,(Reeksen!B75-Reeksen!D75)*R75,0))</f>
        <v>0</v>
      </c>
      <c r="W75" s="97">
        <f t="shared" ca="1" si="14"/>
        <v>0</v>
      </c>
      <c r="X75" s="98">
        <f ca="1">IF('Invoer gegevens'!$C$17=E75,'Invoer gegevens'!$C$10-'Invoer gegevens'!$C$11,IF(C75=1,AC74,0))</f>
        <v>0</v>
      </c>
      <c r="Y75" s="98">
        <f ca="1">IF(C75&gt;=1,X75*VLOOKUP(E75,Reeksen!$A$5:$B$76,2),0)</f>
        <v>0</v>
      </c>
      <c r="Z75" s="98">
        <f ca="1">(1-('Invoer gegevens'!$F$20/12))*X75*MIN(Reeksen!B75,Reeksen!D75)</f>
        <v>0</v>
      </c>
      <c r="AA75" s="98">
        <f>IF(Reeksen!D75&gt;=Reeksen!B75,0,IF(Reeksen!AK75&lt;=Reeksen!AE75,(Reeksen!B75-Reeksen!D75)*X75,0))</f>
        <v>0</v>
      </c>
      <c r="AB75" s="98">
        <f>IF(Reeksen!D75&gt;=Reeksen!B75,0,IF(Reeksen!AK75&gt;Reeksen!AE75,(Reeksen!B75-Reeksen!D75)*X75,0))</f>
        <v>0</v>
      </c>
      <c r="AC75" s="99">
        <f t="shared" ca="1" si="15"/>
        <v>0</v>
      </c>
      <c r="AD75" s="98">
        <f ca="1">IF('Invoer gegevens'!$C$17=E75,R75,IF(C75=0,0,AE74))</f>
        <v>0</v>
      </c>
      <c r="AE75" s="98">
        <f t="shared" ca="1" si="16"/>
        <v>0</v>
      </c>
      <c r="AF75" s="98">
        <f ca="1">IF('Invoer gegevens'!$C$17=E75,X75,IF(C75=0,0,AG74))</f>
        <v>0</v>
      </c>
      <c r="AG75" s="98">
        <f t="shared" ca="1" si="17"/>
        <v>0</v>
      </c>
      <c r="AH75" s="68"/>
      <c r="AI75" s="71">
        <f ca="1">IF(C75=1,Reeksen!AJ75*((F75-G75+F75)/2)*12+Reeksen!AK75*((L75-M75+L75)/2)*12,0)</f>
        <v>0</v>
      </c>
      <c r="AJ75" s="71">
        <f ca="1">-AI75*'Invoer gegevens'!$F$28</f>
        <v>0</v>
      </c>
      <c r="AK75" s="71">
        <f t="shared" ca="1" si="11"/>
        <v>0</v>
      </c>
      <c r="AL75" s="71">
        <f ca="1">IF(C75=1,Reeksen!AL75*((F75-G75+F75)/2)*12+Reeksen!AM75*((L75-M75+L75)/2)*12,0)</f>
        <v>0</v>
      </c>
      <c r="AM75" s="71">
        <f ca="1">-AL75*'Invoer gegevens'!$F$31</f>
        <v>0</v>
      </c>
      <c r="AN75" s="71">
        <f t="shared" ca="1" si="18"/>
        <v>0</v>
      </c>
      <c r="AO75" s="71">
        <f ca="1">IF(C75=1,(H75+J75+N75+P75)*Reeksen!AN75,0)</f>
        <v>0</v>
      </c>
      <c r="AP75" s="71">
        <f ca="1">-IF(C75=1,(H75+J75+N75+P75)*'Hulp - basis'!$G$550*Reeksen!H75,0)</f>
        <v>0</v>
      </c>
      <c r="AQ75" s="71">
        <f ca="1">-IF(C75=1,(F75+K75+L75+Q75)/2*'Invoer gegevens'!$I$33*Reeksen!J75,0)*2</f>
        <v>0</v>
      </c>
      <c r="AR75" s="71">
        <f ca="1">-IF(C75=1,(I75*'Invoer gegevens'!$I$34)*Reeksen!J75,0)</f>
        <v>0</v>
      </c>
      <c r="AS75" s="71">
        <f ca="1">-IF(C75=1,(F75+K75+L75+Q75)/2*'Invoer gegevens'!$I$35*Reeksen!L75,0)</f>
        <v>0</v>
      </c>
      <c r="AT75" s="71">
        <f ca="1">-IF(C75=1,IF(E75='Invoer gegevens'!$C$17,'Invoer gegevens'!$C$11,AD75)*Reeksen!S75*'Invoer gegevens'!$C$18*Reeksen!P75,0)</f>
        <v>0</v>
      </c>
      <c r="AU75" s="71">
        <f ca="1">-IF(C75=1,(F75+K75+L75+Q75)/2*'Invoer gegevens'!$I$36*Reeksen!H75,0)</f>
        <v>0</v>
      </c>
      <c r="AV75" s="71">
        <f>IF('Invoer gegevens'!$C$3="Basis",0,#REF!)</f>
        <v>0</v>
      </c>
      <c r="AW75" s="71">
        <f t="shared" ca="1" si="19"/>
        <v>0</v>
      </c>
      <c r="AX75" s="71">
        <f ca="1">IF(E75&lt;'Invoer gegevens'!$C$17+15,0,IF(E75&gt;'Invoer gegevens'!$C$17+215,0,AW75))</f>
        <v>0</v>
      </c>
      <c r="AY75" s="71">
        <f ca="1">AX75/(1+'Invoer gegevens'!$F$18)^($AZ75-('Invoer gegevens'!$C$17-'Invoer gegevens'!$C$16))/(1+'Invoer gegevens'!$C$39)^('Invoer gegevens'!$C$17-'Invoer gegevens'!$C$16)</f>
        <v>0</v>
      </c>
      <c r="AZ75" s="68">
        <f ca="1">IF(E75-'Invoer gegevens'!$C$17-14.5&lt;0,0,E75-'Invoer gegevens'!$C$17-14.5)</f>
        <v>55.5</v>
      </c>
    </row>
    <row r="76" spans="2:52" x14ac:dyDescent="0.25">
      <c r="B76" s="70">
        <f t="shared" si="20"/>
        <v>72</v>
      </c>
      <c r="C76" s="67">
        <f ca="1">IF(E76-'Invoer gegevens'!$C$17&lt;0,0,1)</f>
        <v>1</v>
      </c>
      <c r="D76" s="68">
        <f t="shared" si="21"/>
        <v>71.5</v>
      </c>
      <c r="E76" s="108">
        <f ca="1">IF('Invoer gegevens'!$C$16="","",E75+1)</f>
        <v>2090</v>
      </c>
      <c r="F76" s="84">
        <f ca="1">IF('Invoer gegevens'!$C$17=E76,'Invoer gegevens'!$C$10,IF(C76=1,K75,0))</f>
        <v>0</v>
      </c>
      <c r="G76" s="96">
        <f ca="1">IF(C76&gt;=1,F76*VLOOKUP(E76,Reeksen!$A$5:$B$76,2),0)</f>
        <v>0</v>
      </c>
      <c r="H76" s="84">
        <f ca="1">(1-('Invoer gegevens'!$F$20/12))*F76*MIN(Reeksen!B76,Reeksen!D76)</f>
        <v>0</v>
      </c>
      <c r="I76" s="84">
        <f>IF(Reeksen!D76&lt;Reeksen!B76,(Reeksen!B76-Reeksen!D76)*F76,0)</f>
        <v>0</v>
      </c>
      <c r="J76" s="84">
        <f ca="1">('Invoer gegevens'!$F$20/12)*F75*MIN(Reeksen!B75,Reeksen!D75)</f>
        <v>0</v>
      </c>
      <c r="K76" s="97">
        <f t="shared" ca="1" si="12"/>
        <v>0</v>
      </c>
      <c r="L76" s="84">
        <f ca="1">IF('Invoer gegevens'!$C$17=E76,0,IF(C76=1,Q75,0))</f>
        <v>0</v>
      </c>
      <c r="M76" s="96">
        <f ca="1">IF(C76&gt;=1,L76*VLOOKUP(E76,Reeksen!$A$5:$B$76,2),0)</f>
        <v>0</v>
      </c>
      <c r="N76" s="84">
        <f ca="1">(1-('Invoer gegevens'!$F$20/12))*L76*MIN(Reeksen!B76,Reeksen!D76)</f>
        <v>0</v>
      </c>
      <c r="O76" s="84">
        <f>IF(Reeksen!D76&lt;Reeksen!B76,(Reeksen!B76-Reeksen!D76)*L76,0)</f>
        <v>0</v>
      </c>
      <c r="P76" s="84">
        <f ca="1">('Invoer gegevens'!$F$20/12)*L75*MIN(Reeksen!B75,Reeksen!D75)</f>
        <v>0</v>
      </c>
      <c r="Q76" s="84">
        <f t="shared" ca="1" si="13"/>
        <v>0</v>
      </c>
      <c r="R76" s="82">
        <f ca="1">IF('Invoer gegevens'!$C$17=E76,'Invoer gegevens'!$C$11,IF(C76=1,W75,0))</f>
        <v>0</v>
      </c>
      <c r="S76" s="86">
        <f ca="1">IF(C76&gt;=1,R76*VLOOKUP(E76,Reeksen!$A$5:$B$76,2),0)</f>
        <v>0</v>
      </c>
      <c r="T76" s="84">
        <f ca="1">(1-('Invoer gegevens'!$F$20/12))*R76*MIN(Reeksen!B76,Reeksen!D76)</f>
        <v>0</v>
      </c>
      <c r="U76" s="84">
        <f>IF(Reeksen!D76&gt;=Reeksen!B76,0,IF(Reeksen!AK76&lt;=Reeksen!AE76,(Reeksen!B76-Reeksen!D76)*R76,0))</f>
        <v>0</v>
      </c>
      <c r="V76" s="86">
        <f>IF(Reeksen!D76&gt;=Reeksen!B76,0,IF(Reeksen!AK76&gt;Reeksen!AE76,(Reeksen!B76-Reeksen!D76)*R76,0))</f>
        <v>0</v>
      </c>
      <c r="W76" s="97">
        <f t="shared" ca="1" si="14"/>
        <v>0</v>
      </c>
      <c r="X76" s="98">
        <f ca="1">IF('Invoer gegevens'!$C$17=E76,'Invoer gegevens'!$C$10-'Invoer gegevens'!$C$11,IF(C76=1,AC75,0))</f>
        <v>0</v>
      </c>
      <c r="Y76" s="98">
        <f ca="1">IF(C76&gt;=1,X76*VLOOKUP(E76,Reeksen!$A$5:$B$76,2),0)</f>
        <v>0</v>
      </c>
      <c r="Z76" s="98">
        <f ca="1">(1-('Invoer gegevens'!$F$20/12))*X76*MIN(Reeksen!B76,Reeksen!D76)</f>
        <v>0</v>
      </c>
      <c r="AA76" s="98">
        <f>IF(Reeksen!D76&gt;=Reeksen!B76,0,IF(Reeksen!AK76&lt;=Reeksen!AE76,(Reeksen!B76-Reeksen!D76)*X76,0))</f>
        <v>0</v>
      </c>
      <c r="AB76" s="98">
        <f>IF(Reeksen!D76&gt;=Reeksen!B76,0,IF(Reeksen!AK76&gt;Reeksen!AE76,(Reeksen!B76-Reeksen!D76)*X76,0))</f>
        <v>0</v>
      </c>
      <c r="AC76" s="99">
        <f t="shared" ca="1" si="15"/>
        <v>0</v>
      </c>
      <c r="AD76" s="98">
        <f ca="1">IF('Invoer gegevens'!$C$17=E76,R76,IF(C76=0,0,AE75))</f>
        <v>0</v>
      </c>
      <c r="AE76" s="98">
        <f t="shared" ca="1" si="16"/>
        <v>0</v>
      </c>
      <c r="AF76" s="98">
        <f ca="1">IF('Invoer gegevens'!$C$17=E76,X76,IF(C76=0,0,AG75))</f>
        <v>0</v>
      </c>
      <c r="AG76" s="98">
        <f t="shared" ca="1" si="17"/>
        <v>0</v>
      </c>
      <c r="AH76" s="68"/>
      <c r="AI76" s="71">
        <f ca="1">IF(C76=1,Reeksen!AJ76*((F76-G76+F76)/2)*12+Reeksen!AK76*((L76-M76+L76)/2)*12,0)</f>
        <v>0</v>
      </c>
      <c r="AJ76" s="71">
        <f ca="1">-AI76*'Invoer gegevens'!$F$28</f>
        <v>0</v>
      </c>
      <c r="AK76" s="71">
        <f t="shared" ca="1" si="11"/>
        <v>0</v>
      </c>
      <c r="AL76" s="71">
        <f ca="1">IF(C76=1,Reeksen!AL76*((F76-G76+F76)/2)*12+Reeksen!AM76*((L76-M76+L76)/2)*12,0)</f>
        <v>0</v>
      </c>
      <c r="AM76" s="71">
        <f ca="1">-AL76*'Invoer gegevens'!$F$31</f>
        <v>0</v>
      </c>
      <c r="AN76" s="71">
        <f t="shared" ca="1" si="18"/>
        <v>0</v>
      </c>
      <c r="AO76" s="71">
        <f ca="1">IF(C76=1,(H76+J76+N76+P76)*Reeksen!AN76,0)</f>
        <v>0</v>
      </c>
      <c r="AP76" s="71">
        <f ca="1">-IF(C76=1,(H76+J76+N76+P76)*'Hulp - basis'!$G$550*Reeksen!H76,0)</f>
        <v>0</v>
      </c>
      <c r="AQ76" s="71">
        <f ca="1">-IF(C76=1,(F76+K76+L76+Q76)/2*'Invoer gegevens'!$I$33*Reeksen!J76,0)*2</f>
        <v>0</v>
      </c>
      <c r="AR76" s="71">
        <f ca="1">-IF(C76=1,(I76*'Invoer gegevens'!$I$34)*Reeksen!J76,0)</f>
        <v>0</v>
      </c>
      <c r="AS76" s="71">
        <f ca="1">-IF(C76=1,(F76+K76+L76+Q76)/2*'Invoer gegevens'!$I$35*Reeksen!L76,0)</f>
        <v>0</v>
      </c>
      <c r="AT76" s="71">
        <f ca="1">-IF(C76=1,IF(E76='Invoer gegevens'!$C$17,'Invoer gegevens'!$C$11,AD76)*Reeksen!S76*'Invoer gegevens'!$C$18*Reeksen!P76,0)</f>
        <v>0</v>
      </c>
      <c r="AU76" s="71">
        <f ca="1">-IF(C76=1,(F76+K76+L76+Q76)/2*'Invoer gegevens'!$I$36*Reeksen!H76,0)</f>
        <v>0</v>
      </c>
      <c r="AV76" s="71">
        <f>IF('Invoer gegevens'!$C$3="Basis",0,#REF!)</f>
        <v>0</v>
      </c>
      <c r="AW76" s="71">
        <f t="shared" ca="1" si="19"/>
        <v>0</v>
      </c>
      <c r="AX76" s="71">
        <f ca="1">IF(E76&lt;'Invoer gegevens'!$C$17+15,0,IF(E76&gt;'Invoer gegevens'!$C$17+215,0,AW76))</f>
        <v>0</v>
      </c>
      <c r="AY76" s="71">
        <f ca="1">AX76/(1+'Invoer gegevens'!$F$18)^($AZ76-('Invoer gegevens'!$C$17-'Invoer gegevens'!$C$16))/(1+'Invoer gegevens'!$C$39)^('Invoer gegevens'!$C$17-'Invoer gegevens'!$C$16)</f>
        <v>0</v>
      </c>
      <c r="AZ76" s="68">
        <f ca="1">IF(E76-'Invoer gegevens'!$C$17-14.5&lt;0,0,E76-'Invoer gegevens'!$C$17-14.5)</f>
        <v>56.5</v>
      </c>
    </row>
    <row r="77" spans="2:52" x14ac:dyDescent="0.25">
      <c r="B77" s="70">
        <f t="shared" si="20"/>
        <v>73</v>
      </c>
      <c r="C77" s="67">
        <f ca="1">IF(E77-'Invoer gegevens'!$C$17&lt;0,0,1)</f>
        <v>1</v>
      </c>
      <c r="D77" s="68">
        <f t="shared" si="21"/>
        <v>72.5</v>
      </c>
      <c r="E77" s="108">
        <f ca="1">IF('Invoer gegevens'!$C$16="","",E76+1)</f>
        <v>2091</v>
      </c>
      <c r="F77" s="84">
        <f ca="1">IF('Invoer gegevens'!$C$17=E77,'Invoer gegevens'!$C$10,IF(C77=1,K76,0))</f>
        <v>0</v>
      </c>
      <c r="G77" s="96">
        <f ca="1">IF(C77&gt;=1,F77*VLOOKUP(E77,Reeksen!$A$5:$B$76,2),0)</f>
        <v>0</v>
      </c>
      <c r="H77" s="84">
        <f ca="1">(1-('Invoer gegevens'!$F$20/12))*F77*MIN(Reeksen!B77,Reeksen!D77)</f>
        <v>0</v>
      </c>
      <c r="I77" s="84">
        <f>IF(Reeksen!D77&lt;Reeksen!B77,(Reeksen!B77-Reeksen!D77)*F77,0)</f>
        <v>0</v>
      </c>
      <c r="J77" s="84">
        <f ca="1">('Invoer gegevens'!$F$20/12)*F76*MIN(Reeksen!B76,Reeksen!D76)</f>
        <v>0</v>
      </c>
      <c r="K77" s="97">
        <f t="shared" ca="1" si="12"/>
        <v>0</v>
      </c>
      <c r="L77" s="84">
        <f ca="1">IF('Invoer gegevens'!$C$17=E77,0,IF(C77=1,Q76,0))</f>
        <v>0</v>
      </c>
      <c r="M77" s="96">
        <f ca="1">IF(C77&gt;=1,L77*VLOOKUP(E77,Reeksen!$A$5:$B$76,2),0)</f>
        <v>0</v>
      </c>
      <c r="N77" s="84">
        <f ca="1">(1-('Invoer gegevens'!$F$20/12))*L77*MIN(Reeksen!B77,Reeksen!D77)</f>
        <v>0</v>
      </c>
      <c r="O77" s="84">
        <f>IF(Reeksen!D77&lt;Reeksen!B77,(Reeksen!B77-Reeksen!D77)*L77,0)</f>
        <v>0</v>
      </c>
      <c r="P77" s="84">
        <f ca="1">('Invoer gegevens'!$F$20/12)*L76*MIN(Reeksen!B76,Reeksen!D76)</f>
        <v>0</v>
      </c>
      <c r="Q77" s="84">
        <f t="shared" ca="1" si="13"/>
        <v>0</v>
      </c>
      <c r="R77" s="82">
        <f ca="1">IF('Invoer gegevens'!$C$17=E77,'Invoer gegevens'!$C$11,IF(C77=1,W76,0))</f>
        <v>0</v>
      </c>
      <c r="S77" s="86">
        <f ca="1">IF(C77&gt;=1,R77*VLOOKUP(E77,Reeksen!$A$5:$B$76,2),0)</f>
        <v>0</v>
      </c>
      <c r="T77" s="84">
        <f ca="1">(1-('Invoer gegevens'!$F$20/12))*R77*MIN(Reeksen!B77,Reeksen!D77)</f>
        <v>0</v>
      </c>
      <c r="U77" s="84">
        <f>IF(Reeksen!D77&gt;=Reeksen!B77,0,IF(Reeksen!AK77&lt;=Reeksen!AE77,(Reeksen!B77-Reeksen!D77)*R77,0))</f>
        <v>0</v>
      </c>
      <c r="V77" s="86">
        <f>IF(Reeksen!D77&gt;=Reeksen!B77,0,IF(Reeksen!AK77&gt;Reeksen!AE77,(Reeksen!B77-Reeksen!D77)*R77,0))</f>
        <v>0</v>
      </c>
      <c r="W77" s="97">
        <f t="shared" ca="1" si="14"/>
        <v>0</v>
      </c>
      <c r="X77" s="98">
        <f ca="1">IF('Invoer gegevens'!$C$17=E77,'Invoer gegevens'!$C$10-'Invoer gegevens'!$C$11,IF(C77=1,AC76,0))</f>
        <v>0</v>
      </c>
      <c r="Y77" s="98">
        <f ca="1">IF(C77&gt;=1,X77*VLOOKUP(E77,Reeksen!$A$5:$B$76,2),0)</f>
        <v>0</v>
      </c>
      <c r="Z77" s="98">
        <f ca="1">(1-('Invoer gegevens'!$F$20/12))*X77*MIN(Reeksen!B77,Reeksen!D77)</f>
        <v>0</v>
      </c>
      <c r="AA77" s="98">
        <f>IF(Reeksen!D77&gt;=Reeksen!B77,0,IF(Reeksen!AK77&lt;=Reeksen!AE77,(Reeksen!B77-Reeksen!D77)*X77,0))</f>
        <v>0</v>
      </c>
      <c r="AB77" s="98">
        <f>IF(Reeksen!D77&gt;=Reeksen!B77,0,IF(Reeksen!AK77&gt;Reeksen!AE77,(Reeksen!B77-Reeksen!D77)*X77,0))</f>
        <v>0</v>
      </c>
      <c r="AC77" s="99">
        <f t="shared" ca="1" si="15"/>
        <v>0</v>
      </c>
      <c r="AD77" s="98">
        <f ca="1">IF('Invoer gegevens'!$C$17=E77,R77,IF(C77=0,0,AE76))</f>
        <v>0</v>
      </c>
      <c r="AE77" s="98">
        <f t="shared" ca="1" si="16"/>
        <v>0</v>
      </c>
      <c r="AF77" s="98">
        <f ca="1">IF('Invoer gegevens'!$C$17=E77,X77,IF(C77=0,0,AG76))</f>
        <v>0</v>
      </c>
      <c r="AG77" s="98">
        <f t="shared" ca="1" si="17"/>
        <v>0</v>
      </c>
      <c r="AH77" s="68"/>
      <c r="AI77" s="71">
        <f ca="1">IF(C77=1,Reeksen!AJ77*((F77-G77+F77)/2)*12+Reeksen!AK77*((L77-M77+L77)/2)*12,0)</f>
        <v>0</v>
      </c>
      <c r="AJ77" s="71">
        <f ca="1">-AI77*'Invoer gegevens'!$F$28</f>
        <v>0</v>
      </c>
      <c r="AK77" s="71">
        <f t="shared" ca="1" si="11"/>
        <v>0</v>
      </c>
      <c r="AL77" s="71">
        <f ca="1">IF(C77=1,Reeksen!AL77*((F77-G77+F77)/2)*12+Reeksen!AM77*((L77-M77+L77)/2)*12,0)</f>
        <v>0</v>
      </c>
      <c r="AM77" s="71">
        <f ca="1">-AL77*'Invoer gegevens'!$F$31</f>
        <v>0</v>
      </c>
      <c r="AN77" s="71">
        <f t="shared" ca="1" si="18"/>
        <v>0</v>
      </c>
      <c r="AO77" s="71">
        <f ca="1">IF(C77=1,(H77+J77+N77+P77)*Reeksen!AN77,0)</f>
        <v>0</v>
      </c>
      <c r="AP77" s="71">
        <f ca="1">-IF(C77=1,(H77+J77+N77+P77)*'Hulp - basis'!$G$550*Reeksen!H77,0)</f>
        <v>0</v>
      </c>
      <c r="AQ77" s="71">
        <f ca="1">-IF(C77=1,(F77+K77+L77+Q77)/2*'Invoer gegevens'!$I$33*Reeksen!J77,0)*2</f>
        <v>0</v>
      </c>
      <c r="AR77" s="71">
        <f ca="1">-IF(C77=1,(I77*'Invoer gegevens'!$I$34)*Reeksen!J77,0)</f>
        <v>0</v>
      </c>
      <c r="AS77" s="71">
        <f ca="1">-IF(C77=1,(F77+K77+L77+Q77)/2*'Invoer gegevens'!$I$35*Reeksen!L77,0)</f>
        <v>0</v>
      </c>
      <c r="AT77" s="71">
        <f ca="1">-IF(C77=1,IF(E77='Invoer gegevens'!$C$17,'Invoer gegevens'!$C$11,AD77)*Reeksen!S77*'Invoer gegevens'!$C$18*Reeksen!P77,0)</f>
        <v>0</v>
      </c>
      <c r="AU77" s="71">
        <f ca="1">-IF(C77=1,(F77+K77+L77+Q77)/2*'Invoer gegevens'!$I$36*Reeksen!H77,0)</f>
        <v>0</v>
      </c>
      <c r="AV77" s="71">
        <f>IF('Invoer gegevens'!$C$3="Basis",0,#REF!)</f>
        <v>0</v>
      </c>
      <c r="AW77" s="71">
        <f t="shared" ca="1" si="19"/>
        <v>0</v>
      </c>
      <c r="AX77" s="71">
        <f ca="1">IF(E77&lt;'Invoer gegevens'!$C$17+15,0,IF(E77&gt;'Invoer gegevens'!$C$17+215,0,AW77))</f>
        <v>0</v>
      </c>
      <c r="AY77" s="71">
        <f ca="1">AX77/(1+'Invoer gegevens'!$F$18)^($AZ77-('Invoer gegevens'!$C$17-'Invoer gegevens'!$C$16))/(1+'Invoer gegevens'!$C$39)^('Invoer gegevens'!$C$17-'Invoer gegevens'!$C$16)</f>
        <v>0</v>
      </c>
      <c r="AZ77" s="68">
        <f ca="1">IF(E77-'Invoer gegevens'!$C$17-14.5&lt;0,0,E77-'Invoer gegevens'!$C$17-14.5)</f>
        <v>57.5</v>
      </c>
    </row>
    <row r="78" spans="2:52" x14ac:dyDescent="0.25">
      <c r="B78" s="70">
        <f t="shared" si="20"/>
        <v>74</v>
      </c>
      <c r="C78" s="67">
        <f ca="1">IF(E78-'Invoer gegevens'!$C$17&lt;0,0,1)</f>
        <v>1</v>
      </c>
      <c r="D78" s="68">
        <f t="shared" si="21"/>
        <v>73.5</v>
      </c>
      <c r="E78" s="108">
        <f ca="1">IF('Invoer gegevens'!$C$16="","",E77+1)</f>
        <v>2092</v>
      </c>
      <c r="F78" s="84">
        <f ca="1">IF('Invoer gegevens'!$C$17=E78,'Invoer gegevens'!$C$10,IF(C78=1,K77,0))</f>
        <v>0</v>
      </c>
      <c r="G78" s="96">
        <f ca="1">IF(C78&gt;=1,F78*VLOOKUP(E78,Reeksen!$A$5:$B$76,2),0)</f>
        <v>0</v>
      </c>
      <c r="H78" s="84">
        <f ca="1">(1-('Invoer gegevens'!$F$20/12))*F78*MIN(Reeksen!B78,Reeksen!D78)</f>
        <v>0</v>
      </c>
      <c r="I78" s="84">
        <f>IF(Reeksen!D78&lt;Reeksen!B78,(Reeksen!B78-Reeksen!D78)*F78,0)</f>
        <v>0</v>
      </c>
      <c r="J78" s="84">
        <f ca="1">('Invoer gegevens'!$F$20/12)*F77*MIN(Reeksen!B77,Reeksen!D77)</f>
        <v>0</v>
      </c>
      <c r="K78" s="97">
        <f t="shared" ca="1" si="12"/>
        <v>0</v>
      </c>
      <c r="L78" s="84">
        <f ca="1">IF('Invoer gegevens'!$C$17=E78,0,IF(C78=1,Q77,0))</f>
        <v>0</v>
      </c>
      <c r="M78" s="96">
        <f ca="1">IF(C78&gt;=1,L78*VLOOKUP(E78,Reeksen!$A$5:$B$76,2),0)</f>
        <v>0</v>
      </c>
      <c r="N78" s="84">
        <f ca="1">(1-('Invoer gegevens'!$F$20/12))*L78*MIN(Reeksen!B78,Reeksen!D78)</f>
        <v>0</v>
      </c>
      <c r="O78" s="84">
        <f>IF(Reeksen!D78&lt;Reeksen!B78,(Reeksen!B78-Reeksen!D78)*L78,0)</f>
        <v>0</v>
      </c>
      <c r="P78" s="84">
        <f ca="1">('Invoer gegevens'!$F$20/12)*L77*MIN(Reeksen!B77,Reeksen!D77)</f>
        <v>0</v>
      </c>
      <c r="Q78" s="84">
        <f t="shared" ca="1" si="13"/>
        <v>0</v>
      </c>
      <c r="R78" s="82">
        <f ca="1">IF('Invoer gegevens'!$C$17=E78,'Invoer gegevens'!$C$11,IF(C78=1,W77,0))</f>
        <v>0</v>
      </c>
      <c r="S78" s="86">
        <f ca="1">IF(C78&gt;=1,R78*VLOOKUP(E78,Reeksen!$A$5:$B$76,2),0)</f>
        <v>0</v>
      </c>
      <c r="T78" s="84">
        <f ca="1">(1-('Invoer gegevens'!$F$20/12))*R78*MIN(Reeksen!B78,Reeksen!D78)</f>
        <v>0</v>
      </c>
      <c r="U78" s="84">
        <f>IF(Reeksen!D78&gt;=Reeksen!B78,0,IF(Reeksen!AK78&lt;=Reeksen!AE78,(Reeksen!B78-Reeksen!D78)*R78,0))</f>
        <v>0</v>
      </c>
      <c r="V78" s="86">
        <f>IF(Reeksen!D78&gt;=Reeksen!B78,0,IF(Reeksen!AK78&gt;Reeksen!AE78,(Reeksen!B78-Reeksen!D78)*R78,0))</f>
        <v>0</v>
      </c>
      <c r="W78" s="97">
        <f t="shared" ca="1" si="14"/>
        <v>0</v>
      </c>
      <c r="X78" s="98">
        <f ca="1">IF('Invoer gegevens'!$C$17=E78,'Invoer gegevens'!$C$10-'Invoer gegevens'!$C$11,IF(C78=1,AC77,0))</f>
        <v>0</v>
      </c>
      <c r="Y78" s="98">
        <f ca="1">IF(C78&gt;=1,X78*VLOOKUP(E78,Reeksen!$A$5:$B$76,2),0)</f>
        <v>0</v>
      </c>
      <c r="Z78" s="98">
        <f ca="1">(1-('Invoer gegevens'!$F$20/12))*X78*MIN(Reeksen!B78,Reeksen!D78)</f>
        <v>0</v>
      </c>
      <c r="AA78" s="98">
        <f>IF(Reeksen!D78&gt;=Reeksen!B78,0,IF(Reeksen!AK78&lt;=Reeksen!AE78,(Reeksen!B78-Reeksen!D78)*X78,0))</f>
        <v>0</v>
      </c>
      <c r="AB78" s="98">
        <f>IF(Reeksen!D78&gt;=Reeksen!B78,0,IF(Reeksen!AK78&gt;Reeksen!AE78,(Reeksen!B78-Reeksen!D78)*X78,0))</f>
        <v>0</v>
      </c>
      <c r="AC78" s="99">
        <f t="shared" ca="1" si="15"/>
        <v>0</v>
      </c>
      <c r="AD78" s="98">
        <f ca="1">IF('Invoer gegevens'!$C$17=E78,R78,IF(C78=0,0,AE77))</f>
        <v>0</v>
      </c>
      <c r="AE78" s="98">
        <f t="shared" ca="1" si="16"/>
        <v>0</v>
      </c>
      <c r="AF78" s="98">
        <f ca="1">IF('Invoer gegevens'!$C$17=E78,X78,IF(C78=0,0,AG77))</f>
        <v>0</v>
      </c>
      <c r="AG78" s="98">
        <f t="shared" ca="1" si="17"/>
        <v>0</v>
      </c>
      <c r="AH78" s="68"/>
      <c r="AI78" s="71">
        <f ca="1">IF(C78=1,Reeksen!AJ78*((F78-G78+F78)/2)*12+Reeksen!AK78*((L78-M78+L78)/2)*12,0)</f>
        <v>0</v>
      </c>
      <c r="AJ78" s="71">
        <f ca="1">-AI78*'Invoer gegevens'!$F$28</f>
        <v>0</v>
      </c>
      <c r="AK78" s="71">
        <f t="shared" ca="1" si="11"/>
        <v>0</v>
      </c>
      <c r="AL78" s="71">
        <f ca="1">IF(C78=1,Reeksen!AL78*((F78-G78+F78)/2)*12+Reeksen!AM78*((L78-M78+L78)/2)*12,0)</f>
        <v>0</v>
      </c>
      <c r="AM78" s="71">
        <f ca="1">-AL78*'Invoer gegevens'!$F$31</f>
        <v>0</v>
      </c>
      <c r="AN78" s="71">
        <f t="shared" ca="1" si="18"/>
        <v>0</v>
      </c>
      <c r="AO78" s="71">
        <f ca="1">IF(C78=1,(H78+J78+N78+P78)*Reeksen!AN78,0)</f>
        <v>0</v>
      </c>
      <c r="AP78" s="71">
        <f ca="1">-IF(C78=1,(H78+J78+N78+P78)*'Hulp - basis'!$G$550*Reeksen!H78,0)</f>
        <v>0</v>
      </c>
      <c r="AQ78" s="71">
        <f ca="1">-IF(C78=1,(F78+K78+L78+Q78)/2*'Invoer gegevens'!$I$33*Reeksen!J78,0)*2</f>
        <v>0</v>
      </c>
      <c r="AR78" s="71">
        <f ca="1">-IF(C78=1,(I78*'Invoer gegevens'!$I$34)*Reeksen!J78,0)</f>
        <v>0</v>
      </c>
      <c r="AS78" s="71">
        <f ca="1">-IF(C78=1,(F78+K78+L78+Q78)/2*'Invoer gegevens'!$I$35*Reeksen!L78,0)</f>
        <v>0</v>
      </c>
      <c r="AT78" s="71">
        <f ca="1">-IF(C78=1,IF(E78='Invoer gegevens'!$C$17,'Invoer gegevens'!$C$11,AD78)*Reeksen!S78*'Invoer gegevens'!$C$18*Reeksen!P78,0)</f>
        <v>0</v>
      </c>
      <c r="AU78" s="71">
        <f ca="1">-IF(C78=1,(F78+K78+L78+Q78)/2*'Invoer gegevens'!$I$36*Reeksen!H78,0)</f>
        <v>0</v>
      </c>
      <c r="AV78" s="71">
        <f>IF('Invoer gegevens'!$C$3="Basis",0,#REF!)</f>
        <v>0</v>
      </c>
      <c r="AW78" s="71">
        <f t="shared" ca="1" si="19"/>
        <v>0</v>
      </c>
      <c r="AX78" s="71">
        <f ca="1">IF(E78&lt;'Invoer gegevens'!$C$17+15,0,IF(E78&gt;'Invoer gegevens'!$C$17+215,0,AW78))</f>
        <v>0</v>
      </c>
      <c r="AY78" s="71">
        <f ca="1">AX78/(1+'Invoer gegevens'!$F$18)^($AZ78-('Invoer gegevens'!$C$17-'Invoer gegevens'!$C$16))/(1+'Invoer gegevens'!$C$39)^('Invoer gegevens'!$C$17-'Invoer gegevens'!$C$16)</f>
        <v>0</v>
      </c>
      <c r="AZ78" s="68">
        <f ca="1">IF(E78-'Invoer gegevens'!$C$17-14.5&lt;0,0,E78-'Invoer gegevens'!$C$17-14.5)</f>
        <v>58.5</v>
      </c>
    </row>
    <row r="79" spans="2:52" x14ac:dyDescent="0.25">
      <c r="B79" s="70">
        <f t="shared" si="20"/>
        <v>75</v>
      </c>
      <c r="C79" s="67">
        <f ca="1">IF(E79-'Invoer gegevens'!$C$17&lt;0,0,1)</f>
        <v>1</v>
      </c>
      <c r="D79" s="68">
        <f t="shared" si="21"/>
        <v>74.5</v>
      </c>
      <c r="E79" s="108">
        <f ca="1">IF('Invoer gegevens'!$C$16="","",E78+1)</f>
        <v>2093</v>
      </c>
      <c r="F79" s="84">
        <f ca="1">IF('Invoer gegevens'!$C$17=E79,'Invoer gegevens'!$C$10,IF(C79=1,K78,0))</f>
        <v>0</v>
      </c>
      <c r="G79" s="96">
        <f ca="1">IF(C79&gt;=1,F79*VLOOKUP(E79,Reeksen!$A$5:$B$76,2),0)</f>
        <v>0</v>
      </c>
      <c r="H79" s="84">
        <f ca="1">(1-('Invoer gegevens'!$F$20/12))*F79*MIN(Reeksen!B79,Reeksen!D79)</f>
        <v>0</v>
      </c>
      <c r="I79" s="84">
        <f>IF(Reeksen!D79&lt;Reeksen!B79,(Reeksen!B79-Reeksen!D79)*F79,0)</f>
        <v>0</v>
      </c>
      <c r="J79" s="84">
        <f ca="1">('Invoer gegevens'!$F$20/12)*F78*MIN(Reeksen!B78,Reeksen!D78)</f>
        <v>0</v>
      </c>
      <c r="K79" s="97">
        <f t="shared" ca="1" si="12"/>
        <v>0</v>
      </c>
      <c r="L79" s="84">
        <f ca="1">IF('Invoer gegevens'!$C$17=E79,0,IF(C79=1,Q78,0))</f>
        <v>0</v>
      </c>
      <c r="M79" s="96">
        <f ca="1">IF(C79&gt;=1,L79*VLOOKUP(E79,Reeksen!$A$5:$B$76,2),0)</f>
        <v>0</v>
      </c>
      <c r="N79" s="84">
        <f ca="1">(1-('Invoer gegevens'!$F$20/12))*L79*MIN(Reeksen!B79,Reeksen!D79)</f>
        <v>0</v>
      </c>
      <c r="O79" s="84">
        <f>IF(Reeksen!D79&lt;Reeksen!B79,(Reeksen!B79-Reeksen!D79)*L79,0)</f>
        <v>0</v>
      </c>
      <c r="P79" s="84">
        <f ca="1">('Invoer gegevens'!$F$20/12)*L78*MIN(Reeksen!B78,Reeksen!D78)</f>
        <v>0</v>
      </c>
      <c r="Q79" s="84">
        <f t="shared" ca="1" si="13"/>
        <v>0</v>
      </c>
      <c r="R79" s="82">
        <f ca="1">IF('Invoer gegevens'!$C$17=E79,'Invoer gegevens'!$C$11,IF(C79=1,W78,0))</f>
        <v>0</v>
      </c>
      <c r="S79" s="86">
        <f ca="1">IF(C79&gt;=1,R79*VLOOKUP(E79,Reeksen!$A$5:$B$76,2),0)</f>
        <v>0</v>
      </c>
      <c r="T79" s="84">
        <f ca="1">(1-('Invoer gegevens'!$F$20/12))*R79*MIN(Reeksen!B79,Reeksen!D79)</f>
        <v>0</v>
      </c>
      <c r="U79" s="84">
        <f>IF(Reeksen!D79&gt;=Reeksen!B79,0,IF(Reeksen!AK79&lt;=Reeksen!AE79,(Reeksen!B79-Reeksen!D79)*R79,0))</f>
        <v>0</v>
      </c>
      <c r="V79" s="86">
        <f>IF(Reeksen!D79&gt;=Reeksen!B79,0,IF(Reeksen!AK79&gt;Reeksen!AE79,(Reeksen!B79-Reeksen!D79)*R79,0))</f>
        <v>0</v>
      </c>
      <c r="W79" s="97">
        <f t="shared" ca="1" si="14"/>
        <v>0</v>
      </c>
      <c r="X79" s="98">
        <f ca="1">IF('Invoer gegevens'!$C$17=E79,'Invoer gegevens'!$C$10-'Invoer gegevens'!$C$11,IF(C79=1,AC78,0))</f>
        <v>0</v>
      </c>
      <c r="Y79" s="98">
        <f ca="1">IF(C79&gt;=1,X79*VLOOKUP(E79,Reeksen!$A$5:$B$76,2),0)</f>
        <v>0</v>
      </c>
      <c r="Z79" s="98">
        <f ca="1">(1-('Invoer gegevens'!$F$20/12))*X79*MIN(Reeksen!B79,Reeksen!D79)</f>
        <v>0</v>
      </c>
      <c r="AA79" s="98">
        <f>IF(Reeksen!D79&gt;=Reeksen!B79,0,IF(Reeksen!AK79&lt;=Reeksen!AE79,(Reeksen!B79-Reeksen!D79)*X79,0))</f>
        <v>0</v>
      </c>
      <c r="AB79" s="98">
        <f>IF(Reeksen!D79&gt;=Reeksen!B79,0,IF(Reeksen!AK79&gt;Reeksen!AE79,(Reeksen!B79-Reeksen!D79)*X79,0))</f>
        <v>0</v>
      </c>
      <c r="AC79" s="99">
        <f t="shared" ca="1" si="15"/>
        <v>0</v>
      </c>
      <c r="AD79" s="98">
        <f ca="1">IF('Invoer gegevens'!$C$17=E79,R79,IF(C79=0,0,AE78))</f>
        <v>0</v>
      </c>
      <c r="AE79" s="98">
        <f t="shared" ca="1" si="16"/>
        <v>0</v>
      </c>
      <c r="AF79" s="98">
        <f ca="1">IF('Invoer gegevens'!$C$17=E79,X79,IF(C79=0,0,AG78))</f>
        <v>0</v>
      </c>
      <c r="AG79" s="98">
        <f t="shared" ca="1" si="17"/>
        <v>0</v>
      </c>
      <c r="AH79" s="68"/>
      <c r="AI79" s="71">
        <f ca="1">IF(C79=1,Reeksen!AJ79*((F79-G79+F79)/2)*12+Reeksen!AK79*((L79-M79+L79)/2)*12,0)</f>
        <v>0</v>
      </c>
      <c r="AJ79" s="71">
        <f ca="1">-AI79*'Invoer gegevens'!$F$28</f>
        <v>0</v>
      </c>
      <c r="AK79" s="71">
        <f t="shared" ca="1" si="11"/>
        <v>0</v>
      </c>
      <c r="AL79" s="71">
        <f ca="1">IF(C79=1,Reeksen!AL79*((F79-G79+F79)/2)*12+Reeksen!AM79*((L79-M79+L79)/2)*12,0)</f>
        <v>0</v>
      </c>
      <c r="AM79" s="71">
        <f ca="1">-AL79*'Invoer gegevens'!$F$31</f>
        <v>0</v>
      </c>
      <c r="AN79" s="71">
        <f t="shared" ca="1" si="18"/>
        <v>0</v>
      </c>
      <c r="AO79" s="71">
        <f ca="1">IF(C79=1,(H79+J79+N79+P79)*Reeksen!AN79,0)</f>
        <v>0</v>
      </c>
      <c r="AP79" s="71">
        <f ca="1">-IF(C79=1,(H79+J79+N79+P79)*'Hulp - basis'!$G$550*Reeksen!H79,0)</f>
        <v>0</v>
      </c>
      <c r="AQ79" s="71">
        <f ca="1">-IF(C79=1,(F79+K79+L79+Q79)/2*'Invoer gegevens'!$I$33*Reeksen!J79,0)*2</f>
        <v>0</v>
      </c>
      <c r="AR79" s="71">
        <f ca="1">-IF(C79=1,(I79*'Invoer gegevens'!$I$34)*Reeksen!J79,0)</f>
        <v>0</v>
      </c>
      <c r="AS79" s="71">
        <f ca="1">-IF(C79=1,(F79+K79+L79+Q79)/2*'Invoer gegevens'!$I$35*Reeksen!L79,0)</f>
        <v>0</v>
      </c>
      <c r="AT79" s="71">
        <f ca="1">-IF(C79=1,IF(E79='Invoer gegevens'!$C$17,'Invoer gegevens'!$C$11,AD79)*Reeksen!S79*'Invoer gegevens'!$C$18*Reeksen!P79,0)</f>
        <v>0</v>
      </c>
      <c r="AU79" s="71">
        <f ca="1">-IF(C79=1,(F79+K79+L79+Q79)/2*'Invoer gegevens'!$I$36*Reeksen!H79,0)</f>
        <v>0</v>
      </c>
      <c r="AV79" s="71">
        <f>IF('Invoer gegevens'!$C$3="Basis",0,#REF!)</f>
        <v>0</v>
      </c>
      <c r="AW79" s="71">
        <f t="shared" ca="1" si="19"/>
        <v>0</v>
      </c>
      <c r="AX79" s="71">
        <f ca="1">IF(E79&lt;'Invoer gegevens'!$C$17+15,0,IF(E79&gt;'Invoer gegevens'!$C$17+215,0,AW79))</f>
        <v>0</v>
      </c>
      <c r="AY79" s="71">
        <f ca="1">AX79/(1+'Invoer gegevens'!$F$18)^($AZ79-('Invoer gegevens'!$C$17-'Invoer gegevens'!$C$16))/(1+'Invoer gegevens'!$C$39)^('Invoer gegevens'!$C$17-'Invoer gegevens'!$C$16)</f>
        <v>0</v>
      </c>
      <c r="AZ79" s="68">
        <f ca="1">IF(E79-'Invoer gegevens'!$C$17-14.5&lt;0,0,E79-'Invoer gegevens'!$C$17-14.5)</f>
        <v>59.5</v>
      </c>
    </row>
    <row r="80" spans="2:52" x14ac:dyDescent="0.25">
      <c r="B80" s="70">
        <f t="shared" si="20"/>
        <v>76</v>
      </c>
      <c r="C80" s="67">
        <f ca="1">IF(E80-'Invoer gegevens'!$C$17&lt;0,0,1)</f>
        <v>1</v>
      </c>
      <c r="D80" s="68">
        <f t="shared" si="21"/>
        <v>75.5</v>
      </c>
      <c r="E80" s="108">
        <f ca="1">IF('Invoer gegevens'!$C$16="","",E79+1)</f>
        <v>2094</v>
      </c>
      <c r="F80" s="84">
        <f ca="1">IF('Invoer gegevens'!$C$17=E80,'Invoer gegevens'!$C$10,IF(C80=1,K79,0))</f>
        <v>0</v>
      </c>
      <c r="G80" s="96">
        <f ca="1">IF(C80&gt;=1,F80*VLOOKUP(E80,Reeksen!$A$5:$B$76,2),0)</f>
        <v>0</v>
      </c>
      <c r="H80" s="84">
        <f ca="1">(1-('Invoer gegevens'!$F$20/12))*F80*MIN(Reeksen!B80,Reeksen!D80)</f>
        <v>0</v>
      </c>
      <c r="I80" s="84">
        <f>IF(Reeksen!D80&lt;Reeksen!B80,(Reeksen!B80-Reeksen!D80)*F80,0)</f>
        <v>0</v>
      </c>
      <c r="J80" s="84">
        <f ca="1">('Invoer gegevens'!$F$20/12)*F79*MIN(Reeksen!B79,Reeksen!D79)</f>
        <v>0</v>
      </c>
      <c r="K80" s="97">
        <f t="shared" ca="1" si="12"/>
        <v>0</v>
      </c>
      <c r="L80" s="84">
        <f ca="1">IF('Invoer gegevens'!$C$17=E80,0,IF(C80=1,Q79,0))</f>
        <v>0</v>
      </c>
      <c r="M80" s="96">
        <f ca="1">IF(C80&gt;=1,L80*VLOOKUP(E80,Reeksen!$A$5:$B$76,2),0)</f>
        <v>0</v>
      </c>
      <c r="N80" s="84">
        <f ca="1">(1-('Invoer gegevens'!$F$20/12))*L80*MIN(Reeksen!B80,Reeksen!D80)</f>
        <v>0</v>
      </c>
      <c r="O80" s="84">
        <f>IF(Reeksen!D80&lt;Reeksen!B80,(Reeksen!B80-Reeksen!D80)*L80,0)</f>
        <v>0</v>
      </c>
      <c r="P80" s="84">
        <f ca="1">('Invoer gegevens'!$F$20/12)*L79*MIN(Reeksen!B79,Reeksen!D79)</f>
        <v>0</v>
      </c>
      <c r="Q80" s="84">
        <f t="shared" ca="1" si="13"/>
        <v>0</v>
      </c>
      <c r="R80" s="82">
        <f ca="1">IF('Invoer gegevens'!$C$17=E80,'Invoer gegevens'!$C$11,IF(C80=1,W79,0))</f>
        <v>0</v>
      </c>
      <c r="S80" s="86">
        <f ca="1">IF(C80&gt;=1,R80*VLOOKUP(E80,Reeksen!$A$5:$B$76,2),0)</f>
        <v>0</v>
      </c>
      <c r="T80" s="84">
        <f ca="1">(1-('Invoer gegevens'!$F$20/12))*R80*MIN(Reeksen!B80,Reeksen!D80)</f>
        <v>0</v>
      </c>
      <c r="U80" s="84">
        <f>IF(Reeksen!D80&gt;=Reeksen!B80,0,IF(Reeksen!AK80&lt;=Reeksen!AE80,(Reeksen!B80-Reeksen!D80)*R80,0))</f>
        <v>0</v>
      </c>
      <c r="V80" s="86">
        <f>IF(Reeksen!D80&gt;=Reeksen!B80,0,IF(Reeksen!AK80&gt;Reeksen!AE80,(Reeksen!B80-Reeksen!D80)*R80,0))</f>
        <v>0</v>
      </c>
      <c r="W80" s="97">
        <f t="shared" ca="1" si="14"/>
        <v>0</v>
      </c>
      <c r="X80" s="98">
        <f ca="1">IF('Invoer gegevens'!$C$17=E80,'Invoer gegevens'!$C$10-'Invoer gegevens'!$C$11,IF(C80=1,AC79,0))</f>
        <v>0</v>
      </c>
      <c r="Y80" s="98">
        <f ca="1">IF(C80&gt;=1,X80*VLOOKUP(E80,Reeksen!$A$5:$B$76,2),0)</f>
        <v>0</v>
      </c>
      <c r="Z80" s="98">
        <f ca="1">(1-('Invoer gegevens'!$F$20/12))*X80*MIN(Reeksen!B80,Reeksen!D80)</f>
        <v>0</v>
      </c>
      <c r="AA80" s="98">
        <f>IF(Reeksen!D80&gt;=Reeksen!B80,0,IF(Reeksen!AK80&lt;=Reeksen!AE80,(Reeksen!B80-Reeksen!D80)*X80,0))</f>
        <v>0</v>
      </c>
      <c r="AB80" s="98">
        <f>IF(Reeksen!D80&gt;=Reeksen!B80,0,IF(Reeksen!AK80&gt;Reeksen!AE80,(Reeksen!B80-Reeksen!D80)*X80,0))</f>
        <v>0</v>
      </c>
      <c r="AC80" s="99">
        <f t="shared" ca="1" si="15"/>
        <v>0</v>
      </c>
      <c r="AD80" s="98">
        <f ca="1">IF('Invoer gegevens'!$C$17=E80,R80,IF(C80=0,0,AE79))</f>
        <v>0</v>
      </c>
      <c r="AE80" s="98">
        <f t="shared" ca="1" si="16"/>
        <v>0</v>
      </c>
      <c r="AF80" s="98">
        <f ca="1">IF('Invoer gegevens'!$C$17=E80,X80,IF(C80=0,0,AG79))</f>
        <v>0</v>
      </c>
      <c r="AG80" s="98">
        <f t="shared" ca="1" si="17"/>
        <v>0</v>
      </c>
      <c r="AH80" s="68"/>
      <c r="AI80" s="71">
        <f ca="1">IF(C80=1,Reeksen!AJ80*((F80-G80+F80)/2)*12+Reeksen!AK80*((L80-M80+L80)/2)*12,0)</f>
        <v>0</v>
      </c>
      <c r="AJ80" s="71">
        <f ca="1">-AI80*'Invoer gegevens'!$F$28</f>
        <v>0</v>
      </c>
      <c r="AK80" s="71">
        <f t="shared" ca="1" si="11"/>
        <v>0</v>
      </c>
      <c r="AL80" s="71">
        <f ca="1">IF(C80=1,Reeksen!AL80*((F80-G80+F80)/2)*12+Reeksen!AM80*((L80-M80+L80)/2)*12,0)</f>
        <v>0</v>
      </c>
      <c r="AM80" s="71">
        <f ca="1">-AL80*'Invoer gegevens'!$F$31</f>
        <v>0</v>
      </c>
      <c r="AN80" s="71">
        <f t="shared" ca="1" si="18"/>
        <v>0</v>
      </c>
      <c r="AO80" s="71">
        <f ca="1">IF(C80=1,(H80+J80+N80+P80)*Reeksen!AN80,0)</f>
        <v>0</v>
      </c>
      <c r="AP80" s="71">
        <f ca="1">-IF(C80=1,(H80+J80+N80+P80)*'Hulp - basis'!$G$550*Reeksen!H80,0)</f>
        <v>0</v>
      </c>
      <c r="AQ80" s="71">
        <f ca="1">-IF(C80=1,(F80+K80+L80+Q80)/2*'Invoer gegevens'!$I$33*Reeksen!J80,0)*2</f>
        <v>0</v>
      </c>
      <c r="AR80" s="71">
        <f ca="1">-IF(C80=1,(I80*'Invoer gegevens'!$I$34)*Reeksen!J80,0)</f>
        <v>0</v>
      </c>
      <c r="AS80" s="71">
        <f ca="1">-IF(C80=1,(F80+K80+L80+Q80)/2*'Invoer gegevens'!$I$35*Reeksen!L80,0)</f>
        <v>0</v>
      </c>
      <c r="AT80" s="71">
        <f ca="1">-IF(C80=1,IF(E80='Invoer gegevens'!$C$17,'Invoer gegevens'!$C$11,AD80)*Reeksen!S80*'Invoer gegevens'!$C$18*Reeksen!P80,0)</f>
        <v>0</v>
      </c>
      <c r="AU80" s="71">
        <f ca="1">-IF(C80=1,(F80+K80+L80+Q80)/2*'Invoer gegevens'!$I$36*Reeksen!H80,0)</f>
        <v>0</v>
      </c>
      <c r="AV80" s="71">
        <f>IF('Invoer gegevens'!$C$3="Basis",0,#REF!)</f>
        <v>0</v>
      </c>
      <c r="AW80" s="71">
        <f t="shared" ca="1" si="19"/>
        <v>0</v>
      </c>
      <c r="AX80" s="71">
        <f ca="1">IF(E80&lt;'Invoer gegevens'!$C$17+15,0,IF(E80&gt;'Invoer gegevens'!$C$17+215,0,AW80))</f>
        <v>0</v>
      </c>
      <c r="AY80" s="71">
        <f ca="1">AX80/(1+'Invoer gegevens'!$F$18)^($AZ80-('Invoer gegevens'!$C$17-'Invoer gegevens'!$C$16))/(1+'Invoer gegevens'!$C$39)^('Invoer gegevens'!$C$17-'Invoer gegevens'!$C$16)</f>
        <v>0</v>
      </c>
      <c r="AZ80" s="68">
        <f ca="1">IF(E80-'Invoer gegevens'!$C$17-14.5&lt;0,0,E80-'Invoer gegevens'!$C$17-14.5)</f>
        <v>60.5</v>
      </c>
    </row>
    <row r="81" spans="2:52" x14ac:dyDescent="0.25">
      <c r="B81" s="70">
        <f t="shared" si="20"/>
        <v>77</v>
      </c>
      <c r="C81" s="67">
        <f ca="1">IF(E81-'Invoer gegevens'!$C$17&lt;0,0,1)</f>
        <v>1</v>
      </c>
      <c r="D81" s="68">
        <f t="shared" si="21"/>
        <v>76.5</v>
      </c>
      <c r="E81" s="108">
        <f ca="1">IF('Invoer gegevens'!$C$16="","",E80+1)</f>
        <v>2095</v>
      </c>
      <c r="F81" s="84">
        <f ca="1">IF('Invoer gegevens'!$C$17=E81,'Invoer gegevens'!$C$10,IF(C81=1,K80,0))</f>
        <v>0</v>
      </c>
      <c r="G81" s="96">
        <f ca="1">IF(C81&gt;=1,F81*VLOOKUP(E81,Reeksen!$A$5:$B$76,2),0)</f>
        <v>0</v>
      </c>
      <c r="H81" s="84">
        <f ca="1">(1-('Invoer gegevens'!$F$20/12))*F81*MIN(Reeksen!B81,Reeksen!D81)</f>
        <v>0</v>
      </c>
      <c r="I81" s="84">
        <f>IF(Reeksen!D81&lt;Reeksen!B81,(Reeksen!B81-Reeksen!D81)*F81,0)</f>
        <v>0</v>
      </c>
      <c r="J81" s="84">
        <f ca="1">('Invoer gegevens'!$F$20/12)*F80*MIN(Reeksen!B80,Reeksen!D80)</f>
        <v>0</v>
      </c>
      <c r="K81" s="97">
        <f t="shared" ca="1" si="12"/>
        <v>0</v>
      </c>
      <c r="L81" s="84">
        <f ca="1">IF('Invoer gegevens'!$C$17=E81,0,IF(C81=1,Q80,0))</f>
        <v>0</v>
      </c>
      <c r="M81" s="96">
        <f ca="1">IF(C81&gt;=1,L81*VLOOKUP(E81,Reeksen!$A$5:$B$76,2),0)</f>
        <v>0</v>
      </c>
      <c r="N81" s="84">
        <f ca="1">(1-('Invoer gegevens'!$F$20/12))*L81*MIN(Reeksen!B81,Reeksen!D81)</f>
        <v>0</v>
      </c>
      <c r="O81" s="84">
        <f>IF(Reeksen!D81&lt;Reeksen!B81,(Reeksen!B81-Reeksen!D81)*L81,0)</f>
        <v>0</v>
      </c>
      <c r="P81" s="84">
        <f ca="1">('Invoer gegevens'!$F$20/12)*L80*MIN(Reeksen!B80,Reeksen!D80)</f>
        <v>0</v>
      </c>
      <c r="Q81" s="84">
        <f t="shared" ca="1" si="13"/>
        <v>0</v>
      </c>
      <c r="R81" s="82">
        <f ca="1">IF('Invoer gegevens'!$C$17=E81,'Invoer gegevens'!$C$11,IF(C81=1,W80,0))</f>
        <v>0</v>
      </c>
      <c r="S81" s="86">
        <f ca="1">IF(C81&gt;=1,R81*VLOOKUP(E81,Reeksen!$A$5:$B$76,2),0)</f>
        <v>0</v>
      </c>
      <c r="T81" s="84">
        <f ca="1">(1-('Invoer gegevens'!$F$20/12))*R81*MIN(Reeksen!B81,Reeksen!D81)</f>
        <v>0</v>
      </c>
      <c r="U81" s="84">
        <f>IF(Reeksen!D81&gt;=Reeksen!B81,0,IF(Reeksen!AK81&lt;=Reeksen!AE81,(Reeksen!B81-Reeksen!D81)*R81,0))</f>
        <v>0</v>
      </c>
      <c r="V81" s="86">
        <f>IF(Reeksen!D81&gt;=Reeksen!B81,0,IF(Reeksen!AK81&gt;Reeksen!AE81,(Reeksen!B81-Reeksen!D81)*R81,0))</f>
        <v>0</v>
      </c>
      <c r="W81" s="97">
        <f t="shared" ca="1" si="14"/>
        <v>0</v>
      </c>
      <c r="X81" s="98">
        <f ca="1">IF('Invoer gegevens'!$C$17=E81,'Invoer gegevens'!$C$10-'Invoer gegevens'!$C$11,IF(C81=1,AC80,0))</f>
        <v>0</v>
      </c>
      <c r="Y81" s="98">
        <f ca="1">IF(C81&gt;=1,X81*VLOOKUP(E81,Reeksen!$A$5:$B$76,2),0)</f>
        <v>0</v>
      </c>
      <c r="Z81" s="98">
        <f ca="1">(1-('Invoer gegevens'!$F$20/12))*X81*MIN(Reeksen!B81,Reeksen!D81)</f>
        <v>0</v>
      </c>
      <c r="AA81" s="98">
        <f>IF(Reeksen!D81&gt;=Reeksen!B81,0,IF(Reeksen!AK81&lt;=Reeksen!AE81,(Reeksen!B81-Reeksen!D81)*X81,0))</f>
        <v>0</v>
      </c>
      <c r="AB81" s="98">
        <f>IF(Reeksen!D81&gt;=Reeksen!B81,0,IF(Reeksen!AK81&gt;Reeksen!AE81,(Reeksen!B81-Reeksen!D81)*X81,0))</f>
        <v>0</v>
      </c>
      <c r="AC81" s="99">
        <f t="shared" ca="1" si="15"/>
        <v>0</v>
      </c>
      <c r="AD81" s="98">
        <f ca="1">IF('Invoer gegevens'!$C$17=E81,R81,IF(C81=0,0,AE80))</f>
        <v>0</v>
      </c>
      <c r="AE81" s="98">
        <f t="shared" ca="1" si="16"/>
        <v>0</v>
      </c>
      <c r="AF81" s="98">
        <f ca="1">IF('Invoer gegevens'!$C$17=E81,X81,IF(C81=0,0,AG80))</f>
        <v>0</v>
      </c>
      <c r="AG81" s="98">
        <f t="shared" ca="1" si="17"/>
        <v>0</v>
      </c>
      <c r="AH81" s="68"/>
      <c r="AI81" s="71">
        <f ca="1">IF(C81=1,Reeksen!AJ81*((F81-G81+F81)/2)*12+Reeksen!AK81*((L81-M81+L81)/2)*12,0)</f>
        <v>0</v>
      </c>
      <c r="AJ81" s="71">
        <f ca="1">-AI81*'Invoer gegevens'!$F$28</f>
        <v>0</v>
      </c>
      <c r="AK81" s="71">
        <f t="shared" ca="1" si="11"/>
        <v>0</v>
      </c>
      <c r="AL81" s="71">
        <f ca="1">IF(C81=1,Reeksen!AL81*((F81-G81+F81)/2)*12+Reeksen!AM81*((L81-M81+L81)/2)*12,0)</f>
        <v>0</v>
      </c>
      <c r="AM81" s="71">
        <f ca="1">-AL81*'Invoer gegevens'!$F$31</f>
        <v>0</v>
      </c>
      <c r="AN81" s="71">
        <f t="shared" ca="1" si="18"/>
        <v>0</v>
      </c>
      <c r="AO81" s="71">
        <f ca="1">IF(C81=1,(H81+J81+N81+P81)*Reeksen!AN81,0)</f>
        <v>0</v>
      </c>
      <c r="AP81" s="71">
        <f ca="1">-IF(C81=1,(H81+J81+N81+P81)*'Hulp - basis'!$G$550*Reeksen!H81,0)</f>
        <v>0</v>
      </c>
      <c r="AQ81" s="71">
        <f ca="1">-IF(C81=1,(F81+K81+L81+Q81)/2*'Invoer gegevens'!$I$33*Reeksen!J81,0)*2</f>
        <v>0</v>
      </c>
      <c r="AR81" s="71">
        <f ca="1">-IF(C81=1,(I81*'Invoer gegevens'!$I$34)*Reeksen!J81,0)</f>
        <v>0</v>
      </c>
      <c r="AS81" s="71">
        <f ca="1">-IF(C81=1,(F81+K81+L81+Q81)/2*'Invoer gegevens'!$I$35*Reeksen!L81,0)</f>
        <v>0</v>
      </c>
      <c r="AT81" s="71">
        <f ca="1">-IF(C81=1,IF(E81='Invoer gegevens'!$C$17,'Invoer gegevens'!$C$11,AD81)*Reeksen!S81*'Invoer gegevens'!$C$18*Reeksen!P81,0)</f>
        <v>0</v>
      </c>
      <c r="AU81" s="71">
        <f ca="1">-IF(C81=1,(F81+K81+L81+Q81)/2*'Invoer gegevens'!$I$36*Reeksen!H81,0)</f>
        <v>0</v>
      </c>
      <c r="AV81" s="71">
        <f>IF('Invoer gegevens'!$C$3="Basis",0,#REF!)</f>
        <v>0</v>
      </c>
      <c r="AW81" s="71">
        <f t="shared" ca="1" si="19"/>
        <v>0</v>
      </c>
      <c r="AX81" s="71">
        <f ca="1">IF(E81&lt;'Invoer gegevens'!$C$17+15,0,IF(E81&gt;'Invoer gegevens'!$C$17+215,0,AW81))</f>
        <v>0</v>
      </c>
      <c r="AY81" s="71">
        <f ca="1">AX81/(1+'Invoer gegevens'!$F$18)^($AZ81-('Invoer gegevens'!$C$17-'Invoer gegevens'!$C$16))/(1+'Invoer gegevens'!$C$39)^('Invoer gegevens'!$C$17-'Invoer gegevens'!$C$16)</f>
        <v>0</v>
      </c>
      <c r="AZ81" s="68">
        <f ca="1">IF(E81-'Invoer gegevens'!$C$17-14.5&lt;0,0,E81-'Invoer gegevens'!$C$17-14.5)</f>
        <v>61.5</v>
      </c>
    </row>
    <row r="82" spans="2:52" x14ac:dyDescent="0.25">
      <c r="B82" s="70">
        <f t="shared" si="20"/>
        <v>78</v>
      </c>
      <c r="C82" s="67">
        <f ca="1">IF(E82-'Invoer gegevens'!$C$17&lt;0,0,1)</f>
        <v>1</v>
      </c>
      <c r="D82" s="68">
        <f t="shared" si="21"/>
        <v>77.5</v>
      </c>
      <c r="E82" s="108">
        <f ca="1">IF('Invoer gegevens'!$C$16="","",E81+1)</f>
        <v>2096</v>
      </c>
      <c r="F82" s="84">
        <f ca="1">IF('Invoer gegevens'!$C$17=E82,'Invoer gegevens'!$C$10,IF(C82=1,K81,0))</f>
        <v>0</v>
      </c>
      <c r="G82" s="96">
        <f ca="1">IF(C82&gt;=1,F82*VLOOKUP(E82,Reeksen!$A$5:$B$76,2),0)</f>
        <v>0</v>
      </c>
      <c r="H82" s="84">
        <f ca="1">(1-('Invoer gegevens'!$F$20/12))*F82*MIN(Reeksen!B82,Reeksen!D82)</f>
        <v>0</v>
      </c>
      <c r="I82" s="84">
        <f>IF(Reeksen!D82&lt;Reeksen!B82,(Reeksen!B82-Reeksen!D82)*F82,0)</f>
        <v>0</v>
      </c>
      <c r="J82" s="84">
        <f ca="1">('Invoer gegevens'!$F$20/12)*F81*MIN(Reeksen!B81,Reeksen!D81)</f>
        <v>0</v>
      </c>
      <c r="K82" s="97">
        <f t="shared" ca="1" si="12"/>
        <v>0</v>
      </c>
      <c r="L82" s="84">
        <f ca="1">IF('Invoer gegevens'!$C$17=E82,0,IF(C82=1,Q81,0))</f>
        <v>0</v>
      </c>
      <c r="M82" s="96">
        <f ca="1">IF(C82&gt;=1,L82*VLOOKUP(E82,Reeksen!$A$5:$B$76,2),0)</f>
        <v>0</v>
      </c>
      <c r="N82" s="84">
        <f ca="1">(1-('Invoer gegevens'!$F$20/12))*L82*MIN(Reeksen!B82,Reeksen!D82)</f>
        <v>0</v>
      </c>
      <c r="O82" s="84">
        <f>IF(Reeksen!D82&lt;Reeksen!B82,(Reeksen!B82-Reeksen!D82)*L82,0)</f>
        <v>0</v>
      </c>
      <c r="P82" s="84">
        <f ca="1">('Invoer gegevens'!$F$20/12)*L81*MIN(Reeksen!B81,Reeksen!D81)</f>
        <v>0</v>
      </c>
      <c r="Q82" s="84">
        <f t="shared" ca="1" si="13"/>
        <v>0</v>
      </c>
      <c r="R82" s="82">
        <f ca="1">IF('Invoer gegevens'!$C$17=E82,'Invoer gegevens'!$C$11,IF(C82=1,W81,0))</f>
        <v>0</v>
      </c>
      <c r="S82" s="86">
        <f ca="1">IF(C82&gt;=1,R82*VLOOKUP(E82,Reeksen!$A$5:$B$76,2),0)</f>
        <v>0</v>
      </c>
      <c r="T82" s="84">
        <f ca="1">(1-('Invoer gegevens'!$F$20/12))*R82*MIN(Reeksen!B82,Reeksen!D82)</f>
        <v>0</v>
      </c>
      <c r="U82" s="84">
        <f>IF(Reeksen!D82&gt;=Reeksen!B82,0,IF(Reeksen!AK82&lt;=Reeksen!AE82,(Reeksen!B82-Reeksen!D82)*R82,0))</f>
        <v>0</v>
      </c>
      <c r="V82" s="86">
        <f>IF(Reeksen!D82&gt;=Reeksen!B82,0,IF(Reeksen!AK82&gt;Reeksen!AE82,(Reeksen!B82-Reeksen!D82)*R82,0))</f>
        <v>0</v>
      </c>
      <c r="W82" s="97">
        <f t="shared" ca="1" si="14"/>
        <v>0</v>
      </c>
      <c r="X82" s="98">
        <f ca="1">IF('Invoer gegevens'!$C$17=E82,'Invoer gegevens'!$C$10-'Invoer gegevens'!$C$11,IF(C82=1,AC81,0))</f>
        <v>0</v>
      </c>
      <c r="Y82" s="98">
        <f ca="1">IF(C82&gt;=1,X82*VLOOKUP(E82,Reeksen!$A$5:$B$76,2),0)</f>
        <v>0</v>
      </c>
      <c r="Z82" s="98">
        <f ca="1">(1-('Invoer gegevens'!$F$20/12))*X82*MIN(Reeksen!B82,Reeksen!D82)</f>
        <v>0</v>
      </c>
      <c r="AA82" s="98">
        <f>IF(Reeksen!D82&gt;=Reeksen!B82,0,IF(Reeksen!AK82&lt;=Reeksen!AE82,(Reeksen!B82-Reeksen!D82)*X82,0))</f>
        <v>0</v>
      </c>
      <c r="AB82" s="98">
        <f>IF(Reeksen!D82&gt;=Reeksen!B82,0,IF(Reeksen!AK82&gt;Reeksen!AE82,(Reeksen!B82-Reeksen!D82)*X82,0))</f>
        <v>0</v>
      </c>
      <c r="AC82" s="99">
        <f t="shared" ca="1" si="15"/>
        <v>0</v>
      </c>
      <c r="AD82" s="98">
        <f ca="1">IF('Invoer gegevens'!$C$17=E82,R82,IF(C82=0,0,AE81))</f>
        <v>0</v>
      </c>
      <c r="AE82" s="98">
        <f t="shared" ca="1" si="16"/>
        <v>0</v>
      </c>
      <c r="AF82" s="98">
        <f ca="1">IF('Invoer gegevens'!$C$17=E82,X82,IF(C82=0,0,AG81))</f>
        <v>0</v>
      </c>
      <c r="AG82" s="98">
        <f t="shared" ca="1" si="17"/>
        <v>0</v>
      </c>
      <c r="AH82" s="68"/>
      <c r="AI82" s="71">
        <f ca="1">IF(C82=1,Reeksen!AJ82*((F82-G82+F82)/2)*12+Reeksen!AK82*((L82-M82+L82)/2)*12,0)</f>
        <v>0</v>
      </c>
      <c r="AJ82" s="71">
        <f ca="1">-AI82*'Invoer gegevens'!$F$28</f>
        <v>0</v>
      </c>
      <c r="AK82" s="71">
        <f t="shared" ca="1" si="11"/>
        <v>0</v>
      </c>
      <c r="AL82" s="71">
        <f ca="1">IF(C82=1,Reeksen!AL82*((F82-G82+F82)/2)*12+Reeksen!AM82*((L82-M82+L82)/2)*12,0)</f>
        <v>0</v>
      </c>
      <c r="AM82" s="71">
        <f ca="1">-AL82*'Invoer gegevens'!$F$31</f>
        <v>0</v>
      </c>
      <c r="AN82" s="71">
        <f t="shared" ca="1" si="18"/>
        <v>0</v>
      </c>
      <c r="AO82" s="71">
        <f ca="1">IF(C82=1,(H82+J82+N82+P82)*Reeksen!AN82,0)</f>
        <v>0</v>
      </c>
      <c r="AP82" s="71">
        <f ca="1">-IF(C82=1,(H82+J82+N82+P82)*'Hulp - basis'!$G$550*Reeksen!H82,0)</f>
        <v>0</v>
      </c>
      <c r="AQ82" s="71">
        <f ca="1">-IF(C82=1,(F82+K82+L82+Q82)/2*'Invoer gegevens'!$I$33*Reeksen!J82,0)*2</f>
        <v>0</v>
      </c>
      <c r="AR82" s="71">
        <f ca="1">-IF(C82=1,(I82*'Invoer gegevens'!$I$34)*Reeksen!J82,0)</f>
        <v>0</v>
      </c>
      <c r="AS82" s="71">
        <f ca="1">-IF(C82=1,(F82+K82+L82+Q82)/2*'Invoer gegevens'!$I$35*Reeksen!L82,0)</f>
        <v>0</v>
      </c>
      <c r="AT82" s="71">
        <f ca="1">-IF(C82=1,IF(E82='Invoer gegevens'!$C$17,'Invoer gegevens'!$C$11,AD82)*Reeksen!S82*'Invoer gegevens'!$C$18*Reeksen!P82,0)</f>
        <v>0</v>
      </c>
      <c r="AU82" s="71">
        <f ca="1">-IF(C82=1,(F82+K82+L82+Q82)/2*'Invoer gegevens'!$I$36*Reeksen!H82,0)</f>
        <v>0</v>
      </c>
      <c r="AV82" s="71">
        <f>IF('Invoer gegevens'!$C$3="Basis",0,#REF!)</f>
        <v>0</v>
      </c>
      <c r="AW82" s="71">
        <f t="shared" ca="1" si="19"/>
        <v>0</v>
      </c>
      <c r="AX82" s="71">
        <f ca="1">IF(E82&lt;'Invoer gegevens'!$C$17+15,0,IF(E82&gt;'Invoer gegevens'!$C$17+215,0,AW82))</f>
        <v>0</v>
      </c>
      <c r="AY82" s="71">
        <f ca="1">AX82/(1+'Invoer gegevens'!$F$18)^($AZ82-('Invoer gegevens'!$C$17-'Invoer gegevens'!$C$16))/(1+'Invoer gegevens'!$C$39)^('Invoer gegevens'!$C$17-'Invoer gegevens'!$C$16)</f>
        <v>0</v>
      </c>
      <c r="AZ82" s="68">
        <f ca="1">IF(E82-'Invoer gegevens'!$C$17-14.5&lt;0,0,E82-'Invoer gegevens'!$C$17-14.5)</f>
        <v>62.5</v>
      </c>
    </row>
    <row r="83" spans="2:52" x14ac:dyDescent="0.25">
      <c r="B83" s="70">
        <f t="shared" si="20"/>
        <v>79</v>
      </c>
      <c r="C83" s="67">
        <f ca="1">IF(E83-'Invoer gegevens'!$C$17&lt;0,0,1)</f>
        <v>1</v>
      </c>
      <c r="D83" s="68">
        <f t="shared" si="21"/>
        <v>78.5</v>
      </c>
      <c r="E83" s="108">
        <f ca="1">IF('Invoer gegevens'!$C$16="","",E82+1)</f>
        <v>2097</v>
      </c>
      <c r="F83" s="84">
        <f ca="1">IF('Invoer gegevens'!$C$17=E83,'Invoer gegevens'!$C$10,IF(C83=1,K82,0))</f>
        <v>0</v>
      </c>
      <c r="G83" s="96">
        <f ca="1">IF(C83&gt;=1,F83*VLOOKUP(E83,Reeksen!$A$5:$B$76,2),0)</f>
        <v>0</v>
      </c>
      <c r="H83" s="84">
        <f ca="1">(1-('Invoer gegevens'!$F$20/12))*F83*MIN(Reeksen!B83,Reeksen!D83)</f>
        <v>0</v>
      </c>
      <c r="I83" s="84">
        <f>IF(Reeksen!D83&lt;Reeksen!B83,(Reeksen!B83-Reeksen!D83)*F83,0)</f>
        <v>0</v>
      </c>
      <c r="J83" s="84">
        <f ca="1">('Invoer gegevens'!$F$20/12)*F82*MIN(Reeksen!B82,Reeksen!D82)</f>
        <v>0</v>
      </c>
      <c r="K83" s="97">
        <f t="shared" ca="1" si="12"/>
        <v>0</v>
      </c>
      <c r="L83" s="84">
        <f ca="1">IF('Invoer gegevens'!$C$17=E83,0,IF(C83=1,Q82,0))</f>
        <v>0</v>
      </c>
      <c r="M83" s="96">
        <f ca="1">IF(C83&gt;=1,L83*VLOOKUP(E83,Reeksen!$A$5:$B$76,2),0)</f>
        <v>0</v>
      </c>
      <c r="N83" s="84">
        <f ca="1">(1-('Invoer gegevens'!$F$20/12))*L83*MIN(Reeksen!B83,Reeksen!D83)</f>
        <v>0</v>
      </c>
      <c r="O83" s="84">
        <f>IF(Reeksen!D83&lt;Reeksen!B83,(Reeksen!B83-Reeksen!D83)*L83,0)</f>
        <v>0</v>
      </c>
      <c r="P83" s="84">
        <f ca="1">('Invoer gegevens'!$F$20/12)*L82*MIN(Reeksen!B82,Reeksen!D82)</f>
        <v>0</v>
      </c>
      <c r="Q83" s="84">
        <f t="shared" ca="1" si="13"/>
        <v>0</v>
      </c>
      <c r="R83" s="82">
        <f ca="1">IF('Invoer gegevens'!$C$17=E83,'Invoer gegevens'!$C$11,IF(C83=1,W82,0))</f>
        <v>0</v>
      </c>
      <c r="S83" s="86">
        <f ca="1">IF(C83&gt;=1,R83*VLOOKUP(E83,Reeksen!$A$5:$B$76,2),0)</f>
        <v>0</v>
      </c>
      <c r="T83" s="84">
        <f ca="1">(1-('Invoer gegevens'!$F$20/12))*R83*MIN(Reeksen!B83,Reeksen!D83)</f>
        <v>0</v>
      </c>
      <c r="U83" s="84">
        <f>IF(Reeksen!D83&gt;=Reeksen!B83,0,IF(Reeksen!AK83&lt;=Reeksen!AE83,(Reeksen!B83-Reeksen!D83)*R83,0))</f>
        <v>0</v>
      </c>
      <c r="V83" s="86">
        <f>IF(Reeksen!D83&gt;=Reeksen!B83,0,IF(Reeksen!AK83&gt;Reeksen!AE83,(Reeksen!B83-Reeksen!D83)*R83,0))</f>
        <v>0</v>
      </c>
      <c r="W83" s="97">
        <f t="shared" ca="1" si="14"/>
        <v>0</v>
      </c>
      <c r="X83" s="98">
        <f ca="1">IF('Invoer gegevens'!$C$17=E83,'Invoer gegevens'!$C$10-'Invoer gegevens'!$C$11,IF(C83=1,AC82,0))</f>
        <v>0</v>
      </c>
      <c r="Y83" s="98">
        <f ca="1">IF(C83&gt;=1,X83*VLOOKUP(E83,Reeksen!$A$5:$B$76,2),0)</f>
        <v>0</v>
      </c>
      <c r="Z83" s="98">
        <f ca="1">(1-('Invoer gegevens'!$F$20/12))*X83*MIN(Reeksen!B83,Reeksen!D83)</f>
        <v>0</v>
      </c>
      <c r="AA83" s="98">
        <f>IF(Reeksen!D83&gt;=Reeksen!B83,0,IF(Reeksen!AK83&lt;=Reeksen!AE83,(Reeksen!B83-Reeksen!D83)*X83,0))</f>
        <v>0</v>
      </c>
      <c r="AB83" s="98">
        <f>IF(Reeksen!D83&gt;=Reeksen!B83,0,IF(Reeksen!AK83&gt;Reeksen!AE83,(Reeksen!B83-Reeksen!D83)*X83,0))</f>
        <v>0</v>
      </c>
      <c r="AC83" s="99">
        <f t="shared" ca="1" si="15"/>
        <v>0</v>
      </c>
      <c r="AD83" s="98">
        <f ca="1">IF('Invoer gegevens'!$C$17=E83,R83,IF(C83=0,0,AE82))</f>
        <v>0</v>
      </c>
      <c r="AE83" s="98">
        <f t="shared" ca="1" si="16"/>
        <v>0</v>
      </c>
      <c r="AF83" s="98">
        <f ca="1">IF('Invoer gegevens'!$C$17=E83,X83,IF(C83=0,0,AG82))</f>
        <v>0</v>
      </c>
      <c r="AG83" s="98">
        <f t="shared" ca="1" si="17"/>
        <v>0</v>
      </c>
      <c r="AH83" s="68"/>
      <c r="AI83" s="71">
        <f ca="1">IF(C83=1,Reeksen!AJ83*((F83-G83+F83)/2)*12+Reeksen!AK83*((L83-M83+L83)/2)*12,0)</f>
        <v>0</v>
      </c>
      <c r="AJ83" s="71">
        <f ca="1">-AI83*'Invoer gegevens'!$F$28</f>
        <v>0</v>
      </c>
      <c r="AK83" s="71">
        <f t="shared" ca="1" si="11"/>
        <v>0</v>
      </c>
      <c r="AL83" s="71">
        <f ca="1">IF(C83=1,Reeksen!AL83*((F83-G83+F83)/2)*12+Reeksen!AM83*((L83-M83+L83)/2)*12,0)</f>
        <v>0</v>
      </c>
      <c r="AM83" s="71">
        <f ca="1">-AL83*'Invoer gegevens'!$F$31</f>
        <v>0</v>
      </c>
      <c r="AN83" s="71">
        <f t="shared" ca="1" si="18"/>
        <v>0</v>
      </c>
      <c r="AO83" s="71">
        <f ca="1">IF(C83=1,(H83+J83+N83+P83)*Reeksen!AN83,0)</f>
        <v>0</v>
      </c>
      <c r="AP83" s="71">
        <f ca="1">-IF(C83=1,(H83+J83+N83+P83)*'Hulp - basis'!$G$550*Reeksen!H83,0)</f>
        <v>0</v>
      </c>
      <c r="AQ83" s="71">
        <f ca="1">-IF(C83=1,(F83+K83+L83+Q83)/2*'Invoer gegevens'!$I$33*Reeksen!J83,0)*2</f>
        <v>0</v>
      </c>
      <c r="AR83" s="71">
        <f ca="1">-IF(C83=1,(I83*'Invoer gegevens'!$I$34)*Reeksen!J83,0)</f>
        <v>0</v>
      </c>
      <c r="AS83" s="71">
        <f ca="1">-IF(C83=1,(F83+K83+L83+Q83)/2*'Invoer gegevens'!$I$35*Reeksen!L83,0)</f>
        <v>0</v>
      </c>
      <c r="AT83" s="71">
        <f ca="1">-IF(C83=1,IF(E83='Invoer gegevens'!$C$17,'Invoer gegevens'!$C$11,AD83)*Reeksen!S83*'Invoer gegevens'!$C$18*Reeksen!P83,0)</f>
        <v>0</v>
      </c>
      <c r="AU83" s="71">
        <f ca="1">-IF(C83=1,(F83+K83+L83+Q83)/2*'Invoer gegevens'!$I$36*Reeksen!H83,0)</f>
        <v>0</v>
      </c>
      <c r="AV83" s="71">
        <f>IF('Invoer gegevens'!$C$3="Basis",0,#REF!)</f>
        <v>0</v>
      </c>
      <c r="AW83" s="71">
        <f t="shared" ca="1" si="19"/>
        <v>0</v>
      </c>
      <c r="AX83" s="71">
        <f ca="1">IF(E83&lt;'Invoer gegevens'!$C$17+15,0,IF(E83&gt;'Invoer gegevens'!$C$17+215,0,AW83))</f>
        <v>0</v>
      </c>
      <c r="AY83" s="71">
        <f ca="1">AX83/(1+'Invoer gegevens'!$F$18)^($AZ83-('Invoer gegevens'!$C$17-'Invoer gegevens'!$C$16))/(1+'Invoer gegevens'!$C$39)^('Invoer gegevens'!$C$17-'Invoer gegevens'!$C$16)</f>
        <v>0</v>
      </c>
      <c r="AZ83" s="68">
        <f ca="1">IF(E83-'Invoer gegevens'!$C$17-14.5&lt;0,0,E83-'Invoer gegevens'!$C$17-14.5)</f>
        <v>63.5</v>
      </c>
    </row>
    <row r="84" spans="2:52" x14ac:dyDescent="0.25">
      <c r="B84" s="70">
        <f t="shared" si="20"/>
        <v>80</v>
      </c>
      <c r="C84" s="67">
        <f ca="1">IF(E84-'Invoer gegevens'!$C$17&lt;0,0,1)</f>
        <v>1</v>
      </c>
      <c r="D84" s="68">
        <f t="shared" si="21"/>
        <v>79.5</v>
      </c>
      <c r="E84" s="108">
        <f ca="1">IF('Invoer gegevens'!$C$16="","",E83+1)</f>
        <v>2098</v>
      </c>
      <c r="F84" s="84">
        <f ca="1">IF('Invoer gegevens'!$C$17=E84,'Invoer gegevens'!$C$10,IF(C84=1,K83,0))</f>
        <v>0</v>
      </c>
      <c r="G84" s="96">
        <f ca="1">IF(C84&gt;=1,F84*VLOOKUP(E84,Reeksen!$A$5:$B$76,2),0)</f>
        <v>0</v>
      </c>
      <c r="H84" s="84">
        <f ca="1">(1-('Invoer gegevens'!$F$20/12))*F84*MIN(Reeksen!B84,Reeksen!D84)</f>
        <v>0</v>
      </c>
      <c r="I84" s="84">
        <f>IF(Reeksen!D84&lt;Reeksen!B84,(Reeksen!B84-Reeksen!D84)*F84,0)</f>
        <v>0</v>
      </c>
      <c r="J84" s="84">
        <f ca="1">('Invoer gegevens'!$F$20/12)*F83*MIN(Reeksen!B83,Reeksen!D83)</f>
        <v>0</v>
      </c>
      <c r="K84" s="97">
        <f t="shared" ca="1" si="12"/>
        <v>0</v>
      </c>
      <c r="L84" s="84">
        <f ca="1">IF('Invoer gegevens'!$C$17=E84,0,IF(C84=1,Q83,0))</f>
        <v>0</v>
      </c>
      <c r="M84" s="96">
        <f ca="1">IF(C84&gt;=1,L84*VLOOKUP(E84,Reeksen!$A$5:$B$76,2),0)</f>
        <v>0</v>
      </c>
      <c r="N84" s="84">
        <f ca="1">(1-('Invoer gegevens'!$F$20/12))*L84*MIN(Reeksen!B84,Reeksen!D84)</f>
        <v>0</v>
      </c>
      <c r="O84" s="84">
        <f>IF(Reeksen!D84&lt;Reeksen!B84,(Reeksen!B84-Reeksen!D84)*L84,0)</f>
        <v>0</v>
      </c>
      <c r="P84" s="84">
        <f ca="1">('Invoer gegevens'!$F$20/12)*L83*MIN(Reeksen!B83,Reeksen!D83)</f>
        <v>0</v>
      </c>
      <c r="Q84" s="84">
        <f t="shared" ca="1" si="13"/>
        <v>0</v>
      </c>
      <c r="R84" s="82">
        <f ca="1">IF('Invoer gegevens'!$C$17=E84,'Invoer gegevens'!$C$11,IF(C84=1,W83,0))</f>
        <v>0</v>
      </c>
      <c r="S84" s="86">
        <f ca="1">IF(C84&gt;=1,R84*VLOOKUP(E84,Reeksen!$A$5:$B$76,2),0)</f>
        <v>0</v>
      </c>
      <c r="T84" s="84">
        <f ca="1">(1-('Invoer gegevens'!$F$20/12))*R84*MIN(Reeksen!B84,Reeksen!D84)</f>
        <v>0</v>
      </c>
      <c r="U84" s="84">
        <f>IF(Reeksen!D84&gt;=Reeksen!B84,0,IF(Reeksen!AK84&lt;=Reeksen!AE84,(Reeksen!B84-Reeksen!D84)*R84,0))</f>
        <v>0</v>
      </c>
      <c r="V84" s="86">
        <f>IF(Reeksen!D84&gt;=Reeksen!B84,0,IF(Reeksen!AK84&gt;Reeksen!AE84,(Reeksen!B84-Reeksen!D84)*R84,0))</f>
        <v>0</v>
      </c>
      <c r="W84" s="97">
        <f t="shared" ca="1" si="14"/>
        <v>0</v>
      </c>
      <c r="X84" s="98">
        <f ca="1">IF('Invoer gegevens'!$C$17=E84,'Invoer gegevens'!$C$10-'Invoer gegevens'!$C$11,IF(C84=1,AC83,0))</f>
        <v>0</v>
      </c>
      <c r="Y84" s="98">
        <f ca="1">IF(C84&gt;=1,X84*VLOOKUP(E84,Reeksen!$A$5:$B$76,2),0)</f>
        <v>0</v>
      </c>
      <c r="Z84" s="98">
        <f ca="1">(1-('Invoer gegevens'!$F$20/12))*X84*MIN(Reeksen!B84,Reeksen!D84)</f>
        <v>0</v>
      </c>
      <c r="AA84" s="98">
        <f>IF(Reeksen!D84&gt;=Reeksen!B84,0,IF(Reeksen!AK84&lt;=Reeksen!AE84,(Reeksen!B84-Reeksen!D84)*X84,0))</f>
        <v>0</v>
      </c>
      <c r="AB84" s="98">
        <f>IF(Reeksen!D84&gt;=Reeksen!B84,0,IF(Reeksen!AK84&gt;Reeksen!AE84,(Reeksen!B84-Reeksen!D84)*X84,0))</f>
        <v>0</v>
      </c>
      <c r="AC84" s="99">
        <f t="shared" ca="1" si="15"/>
        <v>0</v>
      </c>
      <c r="AD84" s="98">
        <f ca="1">IF('Invoer gegevens'!$C$17=E84,R84,IF(C84=0,0,AE83))</f>
        <v>0</v>
      </c>
      <c r="AE84" s="98">
        <f t="shared" ca="1" si="16"/>
        <v>0</v>
      </c>
      <c r="AF84" s="98">
        <f ca="1">IF('Invoer gegevens'!$C$17=E84,X84,IF(C84=0,0,AG83))</f>
        <v>0</v>
      </c>
      <c r="AG84" s="98">
        <f t="shared" ca="1" si="17"/>
        <v>0</v>
      </c>
      <c r="AH84" s="68"/>
      <c r="AI84" s="71">
        <f ca="1">IF(C84=1,Reeksen!AJ84*((F84-G84+F84)/2)*12+Reeksen!AK84*((L84-M84+L84)/2)*12,0)</f>
        <v>0</v>
      </c>
      <c r="AJ84" s="71">
        <f ca="1">-AI84*'Invoer gegevens'!$F$28</f>
        <v>0</v>
      </c>
      <c r="AK84" s="71">
        <f t="shared" ca="1" si="11"/>
        <v>0</v>
      </c>
      <c r="AL84" s="71">
        <f ca="1">IF(C84=1,Reeksen!AL84*((F84-G84+F84)/2)*12+Reeksen!AM84*((L84-M84+L84)/2)*12,0)</f>
        <v>0</v>
      </c>
      <c r="AM84" s="71">
        <f ca="1">-AL84*'Invoer gegevens'!$F$31</f>
        <v>0</v>
      </c>
      <c r="AN84" s="71">
        <f t="shared" ca="1" si="18"/>
        <v>0</v>
      </c>
      <c r="AO84" s="71">
        <f ca="1">IF(C84=1,(H84+J84+N84+P84)*Reeksen!AN84,0)</f>
        <v>0</v>
      </c>
      <c r="AP84" s="71">
        <f ca="1">-IF(C84=1,(H84+J84+N84+P84)*'Hulp - basis'!$G$550*Reeksen!H84,0)</f>
        <v>0</v>
      </c>
      <c r="AQ84" s="71">
        <f ca="1">-IF(C84=1,(F84+K84+L84+Q84)/2*'Invoer gegevens'!$I$33*Reeksen!J84,0)*2</f>
        <v>0</v>
      </c>
      <c r="AR84" s="71">
        <f ca="1">-IF(C84=1,(I84*'Invoer gegevens'!$I$34)*Reeksen!J84,0)</f>
        <v>0</v>
      </c>
      <c r="AS84" s="71">
        <f ca="1">-IF(C84=1,(F84+K84+L84+Q84)/2*'Invoer gegevens'!$I$35*Reeksen!L84,0)</f>
        <v>0</v>
      </c>
      <c r="AT84" s="71">
        <f ca="1">-IF(C84=1,IF(E84='Invoer gegevens'!$C$17,'Invoer gegevens'!$C$11,AD84)*Reeksen!S84*'Invoer gegevens'!$C$18*Reeksen!P84,0)</f>
        <v>0</v>
      </c>
      <c r="AU84" s="71">
        <f ca="1">-IF(C84=1,(F84+K84+L84+Q84)/2*'Invoer gegevens'!$I$36*Reeksen!H84,0)</f>
        <v>0</v>
      </c>
      <c r="AV84" s="71">
        <f>IF('Invoer gegevens'!$C$3="Basis",0,#REF!)</f>
        <v>0</v>
      </c>
      <c r="AW84" s="71">
        <f t="shared" ca="1" si="19"/>
        <v>0</v>
      </c>
      <c r="AX84" s="71">
        <f ca="1">IF(E84&lt;'Invoer gegevens'!$C$17+15,0,IF(E84&gt;'Invoer gegevens'!$C$17+215,0,AW84))</f>
        <v>0</v>
      </c>
      <c r="AY84" s="71">
        <f ca="1">AX84/(1+'Invoer gegevens'!$F$18)^($AZ84-('Invoer gegevens'!$C$17-'Invoer gegevens'!$C$16))/(1+'Invoer gegevens'!$C$39)^('Invoer gegevens'!$C$17-'Invoer gegevens'!$C$16)</f>
        <v>0</v>
      </c>
      <c r="AZ84" s="68">
        <f ca="1">IF(E84-'Invoer gegevens'!$C$17-14.5&lt;0,0,E84-'Invoer gegevens'!$C$17-14.5)</f>
        <v>64.5</v>
      </c>
    </row>
    <row r="85" spans="2:52" x14ac:dyDescent="0.25">
      <c r="B85" s="70">
        <f t="shared" si="20"/>
        <v>81</v>
      </c>
      <c r="C85" s="67">
        <f ca="1">IF(E85-'Invoer gegevens'!$C$17&lt;0,0,1)</f>
        <v>1</v>
      </c>
      <c r="D85" s="68">
        <f t="shared" si="21"/>
        <v>80.5</v>
      </c>
      <c r="E85" s="108">
        <f ca="1">IF('Invoer gegevens'!$C$16="","",E84+1)</f>
        <v>2099</v>
      </c>
      <c r="F85" s="84">
        <f ca="1">IF('Invoer gegevens'!$C$17=E85,'Invoer gegevens'!$C$10,IF(C85=1,K84,0))</f>
        <v>0</v>
      </c>
      <c r="G85" s="96">
        <f ca="1">IF(C85&gt;=1,F85*VLOOKUP(E85,Reeksen!$A$5:$B$76,2),0)</f>
        <v>0</v>
      </c>
      <c r="H85" s="84">
        <f ca="1">(1-('Invoer gegevens'!$F$20/12))*F85*MIN(Reeksen!B85,Reeksen!D85)</f>
        <v>0</v>
      </c>
      <c r="I85" s="84">
        <f>IF(Reeksen!D85&lt;Reeksen!B85,(Reeksen!B85-Reeksen!D85)*F85,0)</f>
        <v>0</v>
      </c>
      <c r="J85" s="84">
        <f ca="1">('Invoer gegevens'!$F$20/12)*F84*MIN(Reeksen!B84,Reeksen!D84)</f>
        <v>0</v>
      </c>
      <c r="K85" s="97">
        <f t="shared" ca="1" si="12"/>
        <v>0</v>
      </c>
      <c r="L85" s="84">
        <f ca="1">IF('Invoer gegevens'!$C$17=E85,0,IF(C85=1,Q84,0))</f>
        <v>0</v>
      </c>
      <c r="M85" s="96">
        <f ca="1">IF(C85&gt;=1,L85*VLOOKUP(E85,Reeksen!$A$5:$B$76,2),0)</f>
        <v>0</v>
      </c>
      <c r="N85" s="84">
        <f ca="1">(1-('Invoer gegevens'!$F$20/12))*L85*MIN(Reeksen!B85,Reeksen!D85)</f>
        <v>0</v>
      </c>
      <c r="O85" s="84">
        <f>IF(Reeksen!D85&lt;Reeksen!B85,(Reeksen!B85-Reeksen!D85)*L85,0)</f>
        <v>0</v>
      </c>
      <c r="P85" s="84">
        <f ca="1">('Invoer gegevens'!$F$20/12)*L84*MIN(Reeksen!B84,Reeksen!D84)</f>
        <v>0</v>
      </c>
      <c r="Q85" s="84">
        <f t="shared" ca="1" si="13"/>
        <v>0</v>
      </c>
      <c r="R85" s="82">
        <f ca="1">IF('Invoer gegevens'!$C$17=E85,'Invoer gegevens'!$C$11,IF(C85=1,W84,0))</f>
        <v>0</v>
      </c>
      <c r="S85" s="86">
        <f ca="1">IF(C85&gt;=1,R85*VLOOKUP(E85,Reeksen!$A$5:$B$76,2),0)</f>
        <v>0</v>
      </c>
      <c r="T85" s="84">
        <f ca="1">(1-('Invoer gegevens'!$F$20/12))*R85*MIN(Reeksen!B85,Reeksen!D85)</f>
        <v>0</v>
      </c>
      <c r="U85" s="84">
        <f>IF(Reeksen!D85&gt;=Reeksen!B85,0,IF(Reeksen!AK85&lt;=Reeksen!AE85,(Reeksen!B85-Reeksen!D85)*R85,0))</f>
        <v>0</v>
      </c>
      <c r="V85" s="86">
        <f>IF(Reeksen!D85&gt;=Reeksen!B85,0,IF(Reeksen!AK85&gt;Reeksen!AE85,(Reeksen!B85-Reeksen!D85)*R85,0))</f>
        <v>0</v>
      </c>
      <c r="W85" s="97">
        <f t="shared" ca="1" si="14"/>
        <v>0</v>
      </c>
      <c r="X85" s="98">
        <f ca="1">IF('Invoer gegevens'!$C$17=E85,'Invoer gegevens'!$C$10-'Invoer gegevens'!$C$11,IF(C85=1,AC84,0))</f>
        <v>0</v>
      </c>
      <c r="Y85" s="98">
        <f ca="1">IF(C85&gt;=1,X85*VLOOKUP(E85,Reeksen!$A$5:$B$76,2),0)</f>
        <v>0</v>
      </c>
      <c r="Z85" s="98">
        <f ca="1">(1-('Invoer gegevens'!$F$20/12))*X85*MIN(Reeksen!B85,Reeksen!D85)</f>
        <v>0</v>
      </c>
      <c r="AA85" s="98">
        <f>IF(Reeksen!D85&gt;=Reeksen!B85,0,IF(Reeksen!AK85&lt;=Reeksen!AE85,(Reeksen!B85-Reeksen!D85)*X85,0))</f>
        <v>0</v>
      </c>
      <c r="AB85" s="98">
        <f>IF(Reeksen!D85&gt;=Reeksen!B85,0,IF(Reeksen!AK85&gt;Reeksen!AE85,(Reeksen!B85-Reeksen!D85)*X85,0))</f>
        <v>0</v>
      </c>
      <c r="AC85" s="99">
        <f t="shared" ca="1" si="15"/>
        <v>0</v>
      </c>
      <c r="AD85" s="98">
        <f ca="1">IF('Invoer gegevens'!$C$17=E85,R85,IF(C85=0,0,AE84))</f>
        <v>0</v>
      </c>
      <c r="AE85" s="98">
        <f t="shared" ca="1" si="16"/>
        <v>0</v>
      </c>
      <c r="AF85" s="98">
        <f ca="1">IF('Invoer gegevens'!$C$17=E85,X85,IF(C85=0,0,AG84))</f>
        <v>0</v>
      </c>
      <c r="AG85" s="98">
        <f t="shared" ca="1" si="17"/>
        <v>0</v>
      </c>
      <c r="AH85" s="68"/>
      <c r="AI85" s="71">
        <f ca="1">IF(C85=1,Reeksen!AJ85*((F85-G85+F85)/2)*12+Reeksen!AK85*((L85-M85+L85)/2)*12,0)</f>
        <v>0</v>
      </c>
      <c r="AJ85" s="71">
        <f ca="1">-AI85*'Invoer gegevens'!$F$28</f>
        <v>0</v>
      </c>
      <c r="AK85" s="71">
        <f t="shared" ca="1" si="11"/>
        <v>0</v>
      </c>
      <c r="AL85" s="71">
        <f ca="1">IF(C85=1,Reeksen!AL85*((F85-G85+F85)/2)*12+Reeksen!AM85*((L85-M85+L85)/2)*12,0)</f>
        <v>0</v>
      </c>
      <c r="AM85" s="71">
        <f ca="1">-AL85*'Invoer gegevens'!$F$31</f>
        <v>0</v>
      </c>
      <c r="AN85" s="71">
        <f t="shared" ca="1" si="18"/>
        <v>0</v>
      </c>
      <c r="AO85" s="71">
        <f ca="1">IF(C85=1,(H85+J85+N85+P85)*Reeksen!AN85,0)</f>
        <v>0</v>
      </c>
      <c r="AP85" s="71">
        <f ca="1">-IF(C85=1,(H85+J85+N85+P85)*'Hulp - basis'!$G$550*Reeksen!H85,0)</f>
        <v>0</v>
      </c>
      <c r="AQ85" s="71">
        <f ca="1">-IF(C85=1,(F85+K85+L85+Q85)/2*'Invoer gegevens'!$I$33*Reeksen!J85,0)*2</f>
        <v>0</v>
      </c>
      <c r="AR85" s="71">
        <f ca="1">-IF(C85=1,(I85*'Invoer gegevens'!$I$34)*Reeksen!J85,0)</f>
        <v>0</v>
      </c>
      <c r="AS85" s="71">
        <f ca="1">-IF(C85=1,(F85+K85+L85+Q85)/2*'Invoer gegevens'!$I$35*Reeksen!L85,0)</f>
        <v>0</v>
      </c>
      <c r="AT85" s="71">
        <f ca="1">-IF(C85=1,IF(E85='Invoer gegevens'!$C$17,'Invoer gegevens'!$C$11,AD85)*Reeksen!S85*'Invoer gegevens'!$C$18*Reeksen!P85,0)</f>
        <v>0</v>
      </c>
      <c r="AU85" s="71">
        <f ca="1">-IF(C85=1,(F85+K85+L85+Q85)/2*'Invoer gegevens'!$I$36*Reeksen!H85,0)</f>
        <v>0</v>
      </c>
      <c r="AV85" s="71">
        <f>IF('Invoer gegevens'!$C$3="Basis",0,#REF!)</f>
        <v>0</v>
      </c>
      <c r="AW85" s="71">
        <f t="shared" ca="1" si="19"/>
        <v>0</v>
      </c>
      <c r="AX85" s="71">
        <f ca="1">IF(E85&lt;'Invoer gegevens'!$C$17+15,0,IF(E85&gt;'Invoer gegevens'!$C$17+215,0,AW85))</f>
        <v>0</v>
      </c>
      <c r="AY85" s="71">
        <f ca="1">AX85/(1+'Invoer gegevens'!$F$18)^($AZ85-('Invoer gegevens'!$C$17-'Invoer gegevens'!$C$16))/(1+'Invoer gegevens'!$C$39)^('Invoer gegevens'!$C$17-'Invoer gegevens'!$C$16)</f>
        <v>0</v>
      </c>
      <c r="AZ85" s="68">
        <f ca="1">IF(E85-'Invoer gegevens'!$C$17-14.5&lt;0,0,E85-'Invoer gegevens'!$C$17-14.5)</f>
        <v>65.5</v>
      </c>
    </row>
    <row r="86" spans="2:52" x14ac:dyDescent="0.25">
      <c r="B86" s="70">
        <f t="shared" si="20"/>
        <v>82</v>
      </c>
      <c r="C86" s="67">
        <f ca="1">IF(E86-'Invoer gegevens'!$C$17&lt;0,0,1)</f>
        <v>1</v>
      </c>
      <c r="D86" s="68">
        <f t="shared" si="21"/>
        <v>81.5</v>
      </c>
      <c r="E86" s="108">
        <f ca="1">IF('Invoer gegevens'!$C$16="","",E85+1)</f>
        <v>2100</v>
      </c>
      <c r="F86" s="84">
        <f ca="1">IF('Invoer gegevens'!$C$17=E86,'Invoer gegevens'!$C$10,IF(C86=1,K85,0))</f>
        <v>0</v>
      </c>
      <c r="G86" s="96">
        <f ca="1">IF(C86&gt;=1,F86*VLOOKUP(E86,Reeksen!$A$5:$B$76,2),0)</f>
        <v>0</v>
      </c>
      <c r="H86" s="84">
        <f ca="1">(1-('Invoer gegevens'!$F$20/12))*F86*MIN(Reeksen!B86,Reeksen!D86)</f>
        <v>0</v>
      </c>
      <c r="I86" s="84">
        <f>IF(Reeksen!D86&lt;Reeksen!B86,(Reeksen!B86-Reeksen!D86)*F86,0)</f>
        <v>0</v>
      </c>
      <c r="J86" s="84">
        <f ca="1">('Invoer gegevens'!$F$20/12)*F85*MIN(Reeksen!B85,Reeksen!D85)</f>
        <v>0</v>
      </c>
      <c r="K86" s="97">
        <f t="shared" ca="1" si="12"/>
        <v>0</v>
      </c>
      <c r="L86" s="84">
        <f ca="1">IF('Invoer gegevens'!$C$17=E86,0,IF(C86=1,Q85,0))</f>
        <v>0</v>
      </c>
      <c r="M86" s="96">
        <f ca="1">IF(C86&gt;=1,L86*VLOOKUP(E86,Reeksen!$A$5:$B$76,2),0)</f>
        <v>0</v>
      </c>
      <c r="N86" s="84">
        <f ca="1">(1-('Invoer gegevens'!$F$20/12))*L86*MIN(Reeksen!B86,Reeksen!D86)</f>
        <v>0</v>
      </c>
      <c r="O86" s="84">
        <f>IF(Reeksen!D86&lt;Reeksen!B86,(Reeksen!B86-Reeksen!D86)*L86,0)</f>
        <v>0</v>
      </c>
      <c r="P86" s="84">
        <f ca="1">('Invoer gegevens'!$F$20/12)*L85*MIN(Reeksen!B85,Reeksen!D85)</f>
        <v>0</v>
      </c>
      <c r="Q86" s="84">
        <f t="shared" ca="1" si="13"/>
        <v>0</v>
      </c>
      <c r="R86" s="82">
        <f ca="1">IF('Invoer gegevens'!$C$17=E86,'Invoer gegevens'!$C$11,IF(C86=1,W85,0))</f>
        <v>0</v>
      </c>
      <c r="S86" s="86">
        <f ca="1">IF(C86&gt;=1,R86*VLOOKUP(E86,Reeksen!$A$5:$B$76,2),0)</f>
        <v>0</v>
      </c>
      <c r="T86" s="84">
        <f ca="1">(1-('Invoer gegevens'!$F$20/12))*R86*MIN(Reeksen!B86,Reeksen!D86)</f>
        <v>0</v>
      </c>
      <c r="U86" s="84">
        <f>IF(Reeksen!D86&gt;=Reeksen!B86,0,IF(Reeksen!AK86&lt;=Reeksen!AE86,(Reeksen!B86-Reeksen!D86)*R86,0))</f>
        <v>0</v>
      </c>
      <c r="V86" s="86">
        <f>IF(Reeksen!D86&gt;=Reeksen!B86,0,IF(Reeksen!AK86&gt;Reeksen!AE86,(Reeksen!B86-Reeksen!D86)*R86,0))</f>
        <v>0</v>
      </c>
      <c r="W86" s="97">
        <f t="shared" ca="1" si="14"/>
        <v>0</v>
      </c>
      <c r="X86" s="98">
        <f ca="1">IF('Invoer gegevens'!$C$17=E86,'Invoer gegevens'!$C$10-'Invoer gegevens'!$C$11,IF(C86=1,AC85,0))</f>
        <v>0</v>
      </c>
      <c r="Y86" s="98">
        <f ca="1">IF(C86&gt;=1,X86*VLOOKUP(E86,Reeksen!$A$5:$B$76,2),0)</f>
        <v>0</v>
      </c>
      <c r="Z86" s="98">
        <f ca="1">(1-('Invoer gegevens'!$F$20/12))*X86*MIN(Reeksen!B86,Reeksen!D86)</f>
        <v>0</v>
      </c>
      <c r="AA86" s="98">
        <f>IF(Reeksen!D86&gt;=Reeksen!B86,0,IF(Reeksen!AK86&lt;=Reeksen!AE86,(Reeksen!B86-Reeksen!D86)*X86,0))</f>
        <v>0</v>
      </c>
      <c r="AB86" s="98">
        <f>IF(Reeksen!D86&gt;=Reeksen!B86,0,IF(Reeksen!AK86&gt;Reeksen!AE86,(Reeksen!B86-Reeksen!D86)*X86,0))</f>
        <v>0</v>
      </c>
      <c r="AC86" s="99">
        <f t="shared" ca="1" si="15"/>
        <v>0</v>
      </c>
      <c r="AD86" s="98">
        <f ca="1">IF('Invoer gegevens'!$C$17=E86,R86,IF(C86=0,0,AE85))</f>
        <v>0</v>
      </c>
      <c r="AE86" s="98">
        <f t="shared" ca="1" si="16"/>
        <v>0</v>
      </c>
      <c r="AF86" s="98">
        <f ca="1">IF('Invoer gegevens'!$C$17=E86,X86,IF(C86=0,0,AG85))</f>
        <v>0</v>
      </c>
      <c r="AG86" s="98">
        <f t="shared" ca="1" si="17"/>
        <v>0</v>
      </c>
      <c r="AH86" s="68"/>
      <c r="AI86" s="71">
        <f ca="1">IF(C86=1,Reeksen!AJ86*((F86-G86+F86)/2)*12+Reeksen!AK86*((L86-M86+L86)/2)*12,0)</f>
        <v>0</v>
      </c>
      <c r="AJ86" s="71">
        <f ca="1">-AI86*'Invoer gegevens'!$F$28</f>
        <v>0</v>
      </c>
      <c r="AK86" s="71">
        <f t="shared" ca="1" si="11"/>
        <v>0</v>
      </c>
      <c r="AL86" s="71">
        <f ca="1">IF(C86=1,Reeksen!AL86*((F86-G86+F86)/2)*12+Reeksen!AM86*((L86-M86+L86)/2)*12,0)</f>
        <v>0</v>
      </c>
      <c r="AM86" s="71">
        <f ca="1">-AL86*'Invoer gegevens'!$F$31</f>
        <v>0</v>
      </c>
      <c r="AN86" s="71">
        <f t="shared" ca="1" si="18"/>
        <v>0</v>
      </c>
      <c r="AO86" s="71">
        <f ca="1">IF(C86=1,(H86+J86+N86+P86)*Reeksen!AN86,0)</f>
        <v>0</v>
      </c>
      <c r="AP86" s="71">
        <f ca="1">-IF(C86=1,(H86+J86+N86+P86)*'Hulp - basis'!$G$550*Reeksen!H86,0)</f>
        <v>0</v>
      </c>
      <c r="AQ86" s="71">
        <f ca="1">-IF(C86=1,(F86+K86+L86+Q86)/2*'Invoer gegevens'!$I$33*Reeksen!J86,0)*2</f>
        <v>0</v>
      </c>
      <c r="AR86" s="71">
        <f ca="1">-IF(C86=1,(I86*'Invoer gegevens'!$I$34)*Reeksen!J86,0)</f>
        <v>0</v>
      </c>
      <c r="AS86" s="71">
        <f ca="1">-IF(C86=1,(F86+K86+L86+Q86)/2*'Invoer gegevens'!$I$35*Reeksen!L86,0)</f>
        <v>0</v>
      </c>
      <c r="AT86" s="71">
        <f ca="1">-IF(C86=1,IF(E86='Invoer gegevens'!$C$17,'Invoer gegevens'!$C$11,AD86)*Reeksen!S86*'Invoer gegevens'!$C$18*Reeksen!P86,0)</f>
        <v>0</v>
      </c>
      <c r="AU86" s="71">
        <f ca="1">-IF(C86=1,(F86+K86+L86+Q86)/2*'Invoer gegevens'!$I$36*Reeksen!H86,0)</f>
        <v>0</v>
      </c>
      <c r="AV86" s="71">
        <f>IF('Invoer gegevens'!$C$3="Basis",0,#REF!)</f>
        <v>0</v>
      </c>
      <c r="AW86" s="71">
        <f t="shared" ca="1" si="19"/>
        <v>0</v>
      </c>
      <c r="AX86" s="71">
        <f ca="1">IF(E86&lt;'Invoer gegevens'!$C$17+15,0,IF(E86&gt;'Invoer gegevens'!$C$17+215,0,AW86))</f>
        <v>0</v>
      </c>
      <c r="AY86" s="71">
        <f ca="1">AX86/(1+'Invoer gegevens'!$F$18)^($AZ86-('Invoer gegevens'!$C$17-'Invoer gegevens'!$C$16))/(1+'Invoer gegevens'!$C$39)^('Invoer gegevens'!$C$17-'Invoer gegevens'!$C$16)</f>
        <v>0</v>
      </c>
      <c r="AZ86" s="68">
        <f ca="1">IF(E86-'Invoer gegevens'!$C$17-14.5&lt;0,0,E86-'Invoer gegevens'!$C$17-14.5)</f>
        <v>66.5</v>
      </c>
    </row>
    <row r="87" spans="2:52" x14ac:dyDescent="0.25">
      <c r="B87" s="70">
        <f t="shared" si="20"/>
        <v>83</v>
      </c>
      <c r="C87" s="67">
        <f ca="1">IF(E87-'Invoer gegevens'!$C$17&lt;0,0,1)</f>
        <v>1</v>
      </c>
      <c r="D87" s="68">
        <f t="shared" si="21"/>
        <v>82.5</v>
      </c>
      <c r="E87" s="108">
        <f ca="1">IF('Invoer gegevens'!$C$16="","",E86+1)</f>
        <v>2101</v>
      </c>
      <c r="F87" s="84">
        <f ca="1">IF('Invoer gegevens'!$C$17=E87,'Invoer gegevens'!$C$10,IF(C87=1,K86,0))</f>
        <v>0</v>
      </c>
      <c r="G87" s="96">
        <f ca="1">IF(C87&gt;=1,F87*VLOOKUP(E87,Reeksen!$A$5:$B$76,2),0)</f>
        <v>0</v>
      </c>
      <c r="H87" s="84">
        <f ca="1">(1-('Invoer gegevens'!$F$20/12))*F87*MIN(Reeksen!B87,Reeksen!D87)</f>
        <v>0</v>
      </c>
      <c r="I87" s="84">
        <f>IF(Reeksen!D87&lt;Reeksen!B87,(Reeksen!B87-Reeksen!D87)*F87,0)</f>
        <v>0</v>
      </c>
      <c r="J87" s="84">
        <f ca="1">('Invoer gegevens'!$F$20/12)*F86*MIN(Reeksen!B86,Reeksen!D86)</f>
        <v>0</v>
      </c>
      <c r="K87" s="97">
        <f t="shared" ca="1" si="12"/>
        <v>0</v>
      </c>
      <c r="L87" s="84">
        <f ca="1">IF('Invoer gegevens'!$C$17=E87,0,IF(C87=1,Q86,0))</f>
        <v>0</v>
      </c>
      <c r="M87" s="96">
        <f ca="1">IF(C87&gt;=1,L87*VLOOKUP(E87,Reeksen!$A$5:$B$76,2),0)</f>
        <v>0</v>
      </c>
      <c r="N87" s="84">
        <f ca="1">(1-('Invoer gegevens'!$F$20/12))*L87*MIN(Reeksen!B87,Reeksen!D87)</f>
        <v>0</v>
      </c>
      <c r="O87" s="84">
        <f>IF(Reeksen!D87&lt;Reeksen!B87,(Reeksen!B87-Reeksen!D87)*L87,0)</f>
        <v>0</v>
      </c>
      <c r="P87" s="84">
        <f ca="1">('Invoer gegevens'!$F$20/12)*L86*MIN(Reeksen!B86,Reeksen!D86)</f>
        <v>0</v>
      </c>
      <c r="Q87" s="84">
        <f t="shared" ca="1" si="13"/>
        <v>0</v>
      </c>
      <c r="R87" s="82">
        <f ca="1">IF('Invoer gegevens'!$C$17=E87,'Invoer gegevens'!$C$11,IF(C87=1,W86,0))</f>
        <v>0</v>
      </c>
      <c r="S87" s="86">
        <f ca="1">IF(C87&gt;=1,R87*VLOOKUP(E87,Reeksen!$A$5:$B$76,2),0)</f>
        <v>0</v>
      </c>
      <c r="T87" s="84">
        <f ca="1">(1-('Invoer gegevens'!$F$20/12))*R87*MIN(Reeksen!B87,Reeksen!D87)</f>
        <v>0</v>
      </c>
      <c r="U87" s="84">
        <f>IF(Reeksen!D87&gt;=Reeksen!B87,0,IF(Reeksen!AK87&lt;=Reeksen!AE87,(Reeksen!B87-Reeksen!D87)*R87,0))</f>
        <v>0</v>
      </c>
      <c r="V87" s="86">
        <f>IF(Reeksen!D87&gt;=Reeksen!B87,0,IF(Reeksen!AK87&gt;Reeksen!AE87,(Reeksen!B87-Reeksen!D87)*R87,0))</f>
        <v>0</v>
      </c>
      <c r="W87" s="97">
        <f t="shared" ca="1" si="14"/>
        <v>0</v>
      </c>
      <c r="X87" s="98">
        <f ca="1">IF('Invoer gegevens'!$C$17=E87,'Invoer gegevens'!$C$10-'Invoer gegevens'!$C$11,IF(C87=1,AC86,0))</f>
        <v>0</v>
      </c>
      <c r="Y87" s="98">
        <f ca="1">IF(C87&gt;=1,X87*VLOOKUP(E87,Reeksen!$A$5:$B$76,2),0)</f>
        <v>0</v>
      </c>
      <c r="Z87" s="98">
        <f ca="1">(1-('Invoer gegevens'!$F$20/12))*X87*MIN(Reeksen!B87,Reeksen!D87)</f>
        <v>0</v>
      </c>
      <c r="AA87" s="98">
        <f>IF(Reeksen!D87&gt;=Reeksen!B87,0,IF(Reeksen!AK87&lt;=Reeksen!AE87,(Reeksen!B87-Reeksen!D87)*X87,0))</f>
        <v>0</v>
      </c>
      <c r="AB87" s="98">
        <f>IF(Reeksen!D87&gt;=Reeksen!B87,0,IF(Reeksen!AK87&gt;Reeksen!AE87,(Reeksen!B87-Reeksen!D87)*X87,0))</f>
        <v>0</v>
      </c>
      <c r="AC87" s="99">
        <f t="shared" ca="1" si="15"/>
        <v>0</v>
      </c>
      <c r="AD87" s="98">
        <f ca="1">IF('Invoer gegevens'!$C$17=E87,R87,IF(C87=0,0,AE86))</f>
        <v>0</v>
      </c>
      <c r="AE87" s="98">
        <f t="shared" ca="1" si="16"/>
        <v>0</v>
      </c>
      <c r="AF87" s="98">
        <f ca="1">IF('Invoer gegevens'!$C$17=E87,X87,IF(C87=0,0,AG86))</f>
        <v>0</v>
      </c>
      <c r="AG87" s="98">
        <f t="shared" ca="1" si="17"/>
        <v>0</v>
      </c>
      <c r="AH87" s="68"/>
      <c r="AI87" s="71">
        <f ca="1">IF(C87=1,Reeksen!AJ87*((F87-G87+F87)/2)*12+Reeksen!AK87*((L87-M87+L87)/2)*12,0)</f>
        <v>0</v>
      </c>
      <c r="AJ87" s="71">
        <f ca="1">-AI87*'Invoer gegevens'!$F$28</f>
        <v>0</v>
      </c>
      <c r="AK87" s="71">
        <f t="shared" ca="1" si="11"/>
        <v>0</v>
      </c>
      <c r="AL87" s="71">
        <f ca="1">IF(C87=1,Reeksen!AL87*((F87-G87+F87)/2)*12+Reeksen!AM87*((L87-M87+L87)/2)*12,0)</f>
        <v>0</v>
      </c>
      <c r="AM87" s="71">
        <f ca="1">-AL87*'Invoer gegevens'!$F$31</f>
        <v>0</v>
      </c>
      <c r="AN87" s="71">
        <f t="shared" ca="1" si="18"/>
        <v>0</v>
      </c>
      <c r="AO87" s="71">
        <f ca="1">IF(C87=1,(H87+J87+N87+P87)*Reeksen!AN87,0)</f>
        <v>0</v>
      </c>
      <c r="AP87" s="71">
        <f ca="1">-IF(C87=1,(H87+J87+N87+P87)*'Hulp - basis'!$G$550*Reeksen!H87,0)</f>
        <v>0</v>
      </c>
      <c r="AQ87" s="71">
        <f ca="1">-IF(C87=1,(F87+K87+L87+Q87)/2*'Invoer gegevens'!$I$33*Reeksen!J87,0)*2</f>
        <v>0</v>
      </c>
      <c r="AR87" s="71">
        <f ca="1">-IF(C87=1,(I87*'Invoer gegevens'!$I$34)*Reeksen!J87,0)</f>
        <v>0</v>
      </c>
      <c r="AS87" s="71">
        <f ca="1">-IF(C87=1,(F87+K87+L87+Q87)/2*'Invoer gegevens'!$I$35*Reeksen!L87,0)</f>
        <v>0</v>
      </c>
      <c r="AT87" s="71">
        <f ca="1">-IF(C87=1,IF(E87='Invoer gegevens'!$C$17,'Invoer gegevens'!$C$11,AD87)*Reeksen!S87*'Invoer gegevens'!$C$18*Reeksen!P87,0)</f>
        <v>0</v>
      </c>
      <c r="AU87" s="71">
        <f ca="1">-IF(C87=1,(F87+K87+L87+Q87)/2*'Invoer gegevens'!$I$36*Reeksen!H87,0)</f>
        <v>0</v>
      </c>
      <c r="AV87" s="71">
        <f>IF('Invoer gegevens'!$C$3="Basis",0,#REF!)</f>
        <v>0</v>
      </c>
      <c r="AW87" s="71">
        <f t="shared" ca="1" si="19"/>
        <v>0</v>
      </c>
      <c r="AX87" s="71">
        <f ca="1">IF(E87&lt;'Invoer gegevens'!$C$17+15,0,IF(E87&gt;'Invoer gegevens'!$C$17+215,0,AW87))</f>
        <v>0</v>
      </c>
      <c r="AY87" s="71">
        <f ca="1">AX87/(1+'Invoer gegevens'!$F$18)^($AZ87-('Invoer gegevens'!$C$17-'Invoer gegevens'!$C$16))/(1+'Invoer gegevens'!$C$39)^('Invoer gegevens'!$C$17-'Invoer gegevens'!$C$16)</f>
        <v>0</v>
      </c>
      <c r="AZ87" s="68">
        <f ca="1">IF(E87-'Invoer gegevens'!$C$17-14.5&lt;0,0,E87-'Invoer gegevens'!$C$17-14.5)</f>
        <v>67.5</v>
      </c>
    </row>
    <row r="88" spans="2:52" x14ac:dyDescent="0.25">
      <c r="B88" s="70">
        <f t="shared" si="20"/>
        <v>84</v>
      </c>
      <c r="C88" s="67">
        <f ca="1">IF(E88-'Invoer gegevens'!$C$17&lt;0,0,1)</f>
        <v>1</v>
      </c>
      <c r="D88" s="68">
        <f t="shared" si="21"/>
        <v>83.5</v>
      </c>
      <c r="E88" s="108">
        <f ca="1">IF('Invoer gegevens'!$C$16="","",E87+1)</f>
        <v>2102</v>
      </c>
      <c r="F88" s="84">
        <f ca="1">IF('Invoer gegevens'!$C$17=E88,'Invoer gegevens'!$C$10,IF(C88=1,K87,0))</f>
        <v>0</v>
      </c>
      <c r="G88" s="96">
        <f ca="1">IF(C88&gt;=1,F88*VLOOKUP(E88,Reeksen!$A$5:$B$76,2),0)</f>
        <v>0</v>
      </c>
      <c r="H88" s="84">
        <f ca="1">(1-('Invoer gegevens'!$F$20/12))*F88*MIN(Reeksen!B88,Reeksen!D88)</f>
        <v>0</v>
      </c>
      <c r="I88" s="84">
        <f>IF(Reeksen!D88&lt;Reeksen!B88,(Reeksen!B88-Reeksen!D88)*F88,0)</f>
        <v>0</v>
      </c>
      <c r="J88" s="84">
        <f ca="1">('Invoer gegevens'!$F$20/12)*F87*MIN(Reeksen!B87,Reeksen!D87)</f>
        <v>0</v>
      </c>
      <c r="K88" s="97">
        <f t="shared" ca="1" si="12"/>
        <v>0</v>
      </c>
      <c r="L88" s="84">
        <f ca="1">IF('Invoer gegevens'!$C$17=E88,0,IF(C88=1,Q87,0))</f>
        <v>0</v>
      </c>
      <c r="M88" s="96">
        <f ca="1">IF(C88&gt;=1,L88*VLOOKUP(E88,Reeksen!$A$5:$B$76,2),0)</f>
        <v>0</v>
      </c>
      <c r="N88" s="84">
        <f ca="1">(1-('Invoer gegevens'!$F$20/12))*L88*MIN(Reeksen!B88,Reeksen!D88)</f>
        <v>0</v>
      </c>
      <c r="O88" s="84">
        <f>IF(Reeksen!D88&lt;Reeksen!B88,(Reeksen!B88-Reeksen!D88)*L88,0)</f>
        <v>0</v>
      </c>
      <c r="P88" s="84">
        <f ca="1">('Invoer gegevens'!$F$20/12)*L87*MIN(Reeksen!B87,Reeksen!D87)</f>
        <v>0</v>
      </c>
      <c r="Q88" s="84">
        <f t="shared" ca="1" si="13"/>
        <v>0</v>
      </c>
      <c r="R88" s="82">
        <f ca="1">IF('Invoer gegevens'!$C$17=E88,'Invoer gegevens'!$C$11,IF(C88=1,W87,0))</f>
        <v>0</v>
      </c>
      <c r="S88" s="86">
        <f ca="1">IF(C88&gt;=1,R88*VLOOKUP(E88,Reeksen!$A$5:$B$76,2),0)</f>
        <v>0</v>
      </c>
      <c r="T88" s="84">
        <f ca="1">(1-('Invoer gegevens'!$F$20/12))*R88*MIN(Reeksen!B88,Reeksen!D88)</f>
        <v>0</v>
      </c>
      <c r="U88" s="84">
        <f>IF(Reeksen!D88&gt;=Reeksen!B88,0,IF(Reeksen!AK88&lt;=Reeksen!AE88,(Reeksen!B88-Reeksen!D88)*R88,0))</f>
        <v>0</v>
      </c>
      <c r="V88" s="86">
        <f>IF(Reeksen!D88&gt;=Reeksen!B88,0,IF(Reeksen!AK88&gt;Reeksen!AE88,(Reeksen!B88-Reeksen!D88)*R88,0))</f>
        <v>0</v>
      </c>
      <c r="W88" s="97">
        <f t="shared" ca="1" si="14"/>
        <v>0</v>
      </c>
      <c r="X88" s="98">
        <f ca="1">IF('Invoer gegevens'!$C$17=E88,'Invoer gegevens'!$C$10-'Invoer gegevens'!$C$11,IF(C88=1,AC87,0))</f>
        <v>0</v>
      </c>
      <c r="Y88" s="98">
        <f ca="1">IF(C88&gt;=1,X88*VLOOKUP(E88,Reeksen!$A$5:$B$76,2),0)</f>
        <v>0</v>
      </c>
      <c r="Z88" s="98">
        <f ca="1">(1-('Invoer gegevens'!$F$20/12))*X88*MIN(Reeksen!B88,Reeksen!D88)</f>
        <v>0</v>
      </c>
      <c r="AA88" s="98">
        <f>IF(Reeksen!D88&gt;=Reeksen!B88,0,IF(Reeksen!AK88&lt;=Reeksen!AE88,(Reeksen!B88-Reeksen!D88)*X88,0))</f>
        <v>0</v>
      </c>
      <c r="AB88" s="98">
        <f>IF(Reeksen!D88&gt;=Reeksen!B88,0,IF(Reeksen!AK88&gt;Reeksen!AE88,(Reeksen!B88-Reeksen!D88)*X88,0))</f>
        <v>0</v>
      </c>
      <c r="AC88" s="99">
        <f t="shared" ca="1" si="15"/>
        <v>0</v>
      </c>
      <c r="AD88" s="98">
        <f ca="1">IF('Invoer gegevens'!$C$17=E88,R88,IF(C88=0,0,AE87))</f>
        <v>0</v>
      </c>
      <c r="AE88" s="98">
        <f t="shared" ca="1" si="16"/>
        <v>0</v>
      </c>
      <c r="AF88" s="98">
        <f ca="1">IF('Invoer gegevens'!$C$17=E88,X88,IF(C88=0,0,AG87))</f>
        <v>0</v>
      </c>
      <c r="AG88" s="98">
        <f t="shared" ca="1" si="17"/>
        <v>0</v>
      </c>
      <c r="AH88" s="68"/>
      <c r="AI88" s="71">
        <f ca="1">IF(C88=1,Reeksen!AJ88*((F88-G88+F88)/2)*12+Reeksen!AK88*((L88-M88+L88)/2)*12,0)</f>
        <v>0</v>
      </c>
      <c r="AJ88" s="71">
        <f ca="1">-AI88*'Invoer gegevens'!$F$28</f>
        <v>0</v>
      </c>
      <c r="AK88" s="71">
        <f t="shared" ca="1" si="11"/>
        <v>0</v>
      </c>
      <c r="AL88" s="71">
        <f ca="1">IF(C88=1,Reeksen!AL88*((F88-G88+F88)/2)*12+Reeksen!AM88*((L88-M88+L88)/2)*12,0)</f>
        <v>0</v>
      </c>
      <c r="AM88" s="71">
        <f ca="1">-AL88*'Invoer gegevens'!$F$31</f>
        <v>0</v>
      </c>
      <c r="AN88" s="71">
        <f t="shared" ca="1" si="18"/>
        <v>0</v>
      </c>
      <c r="AO88" s="71">
        <f ca="1">IF(C88=1,(H88+J88+N88+P88)*Reeksen!AN88,0)</f>
        <v>0</v>
      </c>
      <c r="AP88" s="71">
        <f ca="1">-IF(C88=1,(H88+J88+N88+P88)*'Hulp - basis'!$G$550*Reeksen!H88,0)</f>
        <v>0</v>
      </c>
      <c r="AQ88" s="71">
        <f ca="1">-IF(C88=1,(F88+K88+L88+Q88)/2*'Invoer gegevens'!$I$33*Reeksen!J88,0)*2</f>
        <v>0</v>
      </c>
      <c r="AR88" s="71">
        <f ca="1">-IF(C88=1,(I88*'Invoer gegevens'!$I$34)*Reeksen!J88,0)</f>
        <v>0</v>
      </c>
      <c r="AS88" s="71">
        <f ca="1">-IF(C88=1,(F88+K88+L88+Q88)/2*'Invoer gegevens'!$I$35*Reeksen!L88,0)</f>
        <v>0</v>
      </c>
      <c r="AT88" s="71">
        <f ca="1">-IF(C88=1,IF(E88='Invoer gegevens'!$C$17,'Invoer gegevens'!$C$11,AD88)*Reeksen!S88*'Invoer gegevens'!$C$18*Reeksen!P88,0)</f>
        <v>0</v>
      </c>
      <c r="AU88" s="71">
        <f ca="1">-IF(C88=1,(F88+K88+L88+Q88)/2*'Invoer gegevens'!$I$36*Reeksen!H88,0)</f>
        <v>0</v>
      </c>
      <c r="AV88" s="71">
        <f>IF('Invoer gegevens'!$C$3="Basis",0,#REF!)</f>
        <v>0</v>
      </c>
      <c r="AW88" s="71">
        <f t="shared" ca="1" si="19"/>
        <v>0</v>
      </c>
      <c r="AX88" s="71">
        <f ca="1">IF(E88&lt;'Invoer gegevens'!$C$17+15,0,IF(E88&gt;'Invoer gegevens'!$C$17+215,0,AW88))</f>
        <v>0</v>
      </c>
      <c r="AY88" s="71">
        <f ca="1">AX88/(1+'Invoer gegevens'!$F$18)^($AZ88-('Invoer gegevens'!$C$17-'Invoer gegevens'!$C$16))/(1+'Invoer gegevens'!$C$39)^('Invoer gegevens'!$C$17-'Invoer gegevens'!$C$16)</f>
        <v>0</v>
      </c>
      <c r="AZ88" s="68">
        <f ca="1">IF(E88-'Invoer gegevens'!$C$17-14.5&lt;0,0,E88-'Invoer gegevens'!$C$17-14.5)</f>
        <v>68.5</v>
      </c>
    </row>
    <row r="89" spans="2:52" x14ac:dyDescent="0.25">
      <c r="B89" s="70">
        <f t="shared" si="20"/>
        <v>85</v>
      </c>
      <c r="C89" s="67">
        <f ca="1">IF(E89-'Invoer gegevens'!$C$17&lt;0,0,1)</f>
        <v>1</v>
      </c>
      <c r="D89" s="68">
        <f t="shared" si="21"/>
        <v>84.5</v>
      </c>
      <c r="E89" s="108">
        <f ca="1">IF('Invoer gegevens'!$C$16="","",E88+1)</f>
        <v>2103</v>
      </c>
      <c r="F89" s="84">
        <f ca="1">IF('Invoer gegevens'!$C$17=E89,'Invoer gegevens'!$C$10,IF(C89=1,K88,0))</f>
        <v>0</v>
      </c>
      <c r="G89" s="96">
        <f ca="1">IF(C89&gt;=1,F89*VLOOKUP(E89,Reeksen!$A$5:$B$76,2),0)</f>
        <v>0</v>
      </c>
      <c r="H89" s="84">
        <f ca="1">(1-('Invoer gegevens'!$F$20/12))*F89*MIN(Reeksen!B89,Reeksen!D89)</f>
        <v>0</v>
      </c>
      <c r="I89" s="84">
        <f>IF(Reeksen!D89&lt;Reeksen!B89,(Reeksen!B89-Reeksen!D89)*F89,0)</f>
        <v>0</v>
      </c>
      <c r="J89" s="84">
        <f ca="1">('Invoer gegevens'!$F$20/12)*F88*MIN(Reeksen!B88,Reeksen!D88)</f>
        <v>0</v>
      </c>
      <c r="K89" s="97">
        <f t="shared" ca="1" si="12"/>
        <v>0</v>
      </c>
      <c r="L89" s="84">
        <f ca="1">IF('Invoer gegevens'!$C$17=E89,0,IF(C89=1,Q88,0))</f>
        <v>0</v>
      </c>
      <c r="M89" s="96">
        <f ca="1">IF(C89&gt;=1,L89*VLOOKUP(E89,Reeksen!$A$5:$B$76,2),0)</f>
        <v>0</v>
      </c>
      <c r="N89" s="84">
        <f ca="1">(1-('Invoer gegevens'!$F$20/12))*L89*MIN(Reeksen!B89,Reeksen!D89)</f>
        <v>0</v>
      </c>
      <c r="O89" s="84">
        <f>IF(Reeksen!D89&lt;Reeksen!B89,(Reeksen!B89-Reeksen!D89)*L89,0)</f>
        <v>0</v>
      </c>
      <c r="P89" s="84">
        <f ca="1">('Invoer gegevens'!$F$20/12)*L88*MIN(Reeksen!B88,Reeksen!D88)</f>
        <v>0</v>
      </c>
      <c r="Q89" s="84">
        <f t="shared" ca="1" si="13"/>
        <v>0</v>
      </c>
      <c r="R89" s="82">
        <f ca="1">IF('Invoer gegevens'!$C$17=E89,'Invoer gegevens'!$C$11,IF(C89=1,W88,0))</f>
        <v>0</v>
      </c>
      <c r="S89" s="86">
        <f ca="1">IF(C89&gt;=1,R89*VLOOKUP(E89,Reeksen!$A$5:$B$76,2),0)</f>
        <v>0</v>
      </c>
      <c r="T89" s="84">
        <f ca="1">(1-('Invoer gegevens'!$F$20/12))*R89*MIN(Reeksen!B89,Reeksen!D89)</f>
        <v>0</v>
      </c>
      <c r="U89" s="84">
        <f>IF(Reeksen!D89&gt;=Reeksen!B89,0,IF(Reeksen!AK89&lt;=Reeksen!AE89,(Reeksen!B89-Reeksen!D89)*R89,0))</f>
        <v>0</v>
      </c>
      <c r="V89" s="86">
        <f>IF(Reeksen!D89&gt;=Reeksen!B89,0,IF(Reeksen!AK89&gt;Reeksen!AE89,(Reeksen!B89-Reeksen!D89)*R89,0))</f>
        <v>0</v>
      </c>
      <c r="W89" s="97">
        <f t="shared" ca="1" si="14"/>
        <v>0</v>
      </c>
      <c r="X89" s="98">
        <f ca="1">IF('Invoer gegevens'!$C$17=E89,'Invoer gegevens'!$C$10-'Invoer gegevens'!$C$11,IF(C89=1,AC88,0))</f>
        <v>0</v>
      </c>
      <c r="Y89" s="98">
        <f ca="1">IF(C89&gt;=1,X89*VLOOKUP(E89,Reeksen!$A$5:$B$76,2),0)</f>
        <v>0</v>
      </c>
      <c r="Z89" s="98">
        <f ca="1">(1-('Invoer gegevens'!$F$20/12))*X89*MIN(Reeksen!B89,Reeksen!D89)</f>
        <v>0</v>
      </c>
      <c r="AA89" s="98">
        <f>IF(Reeksen!D89&gt;=Reeksen!B89,0,IF(Reeksen!AK89&lt;=Reeksen!AE89,(Reeksen!B89-Reeksen!D89)*X89,0))</f>
        <v>0</v>
      </c>
      <c r="AB89" s="98">
        <f>IF(Reeksen!D89&gt;=Reeksen!B89,0,IF(Reeksen!AK89&gt;Reeksen!AE89,(Reeksen!B89-Reeksen!D89)*X89,0))</f>
        <v>0</v>
      </c>
      <c r="AC89" s="99">
        <f t="shared" ca="1" si="15"/>
        <v>0</v>
      </c>
      <c r="AD89" s="98">
        <f ca="1">IF('Invoer gegevens'!$C$17=E89,R89,IF(C89=0,0,AE88))</f>
        <v>0</v>
      </c>
      <c r="AE89" s="98">
        <f t="shared" ca="1" si="16"/>
        <v>0</v>
      </c>
      <c r="AF89" s="98">
        <f ca="1">IF('Invoer gegevens'!$C$17=E89,X89,IF(C89=0,0,AG88))</f>
        <v>0</v>
      </c>
      <c r="AG89" s="98">
        <f t="shared" ca="1" si="17"/>
        <v>0</v>
      </c>
      <c r="AH89" s="68"/>
      <c r="AI89" s="71">
        <f ca="1">IF(C89=1,Reeksen!AJ89*((F89-G89+F89)/2)*12+Reeksen!AK89*((L89-M89+L89)/2)*12,0)</f>
        <v>0</v>
      </c>
      <c r="AJ89" s="71">
        <f ca="1">-AI89*'Invoer gegevens'!$F$28</f>
        <v>0</v>
      </c>
      <c r="AK89" s="71">
        <f t="shared" ca="1" si="11"/>
        <v>0</v>
      </c>
      <c r="AL89" s="71">
        <f ca="1">IF(C89=1,Reeksen!AL89*((F89-G89+F89)/2)*12+Reeksen!AM89*((L89-M89+L89)/2)*12,0)</f>
        <v>0</v>
      </c>
      <c r="AM89" s="71">
        <f ca="1">-AL89*'Invoer gegevens'!$F$31</f>
        <v>0</v>
      </c>
      <c r="AN89" s="71">
        <f t="shared" ca="1" si="18"/>
        <v>0</v>
      </c>
      <c r="AO89" s="71">
        <f ca="1">IF(C89=1,(H89+J89+N89+P89)*Reeksen!AN89,0)</f>
        <v>0</v>
      </c>
      <c r="AP89" s="71">
        <f ca="1">-IF(C89=1,(H89+J89+N89+P89)*'Hulp - basis'!$G$550*Reeksen!H89,0)</f>
        <v>0</v>
      </c>
      <c r="AQ89" s="71">
        <f ca="1">-IF(C89=1,(F89+K89+L89+Q89)/2*'Invoer gegevens'!$I$33*Reeksen!J89,0)*2</f>
        <v>0</v>
      </c>
      <c r="AR89" s="71">
        <f ca="1">-IF(C89=1,(I89*'Invoer gegevens'!$I$34)*Reeksen!J89,0)</f>
        <v>0</v>
      </c>
      <c r="AS89" s="71">
        <f ca="1">-IF(C89=1,(F89+K89+L89+Q89)/2*'Invoer gegevens'!$I$35*Reeksen!L89,0)</f>
        <v>0</v>
      </c>
      <c r="AT89" s="71">
        <f ca="1">-IF(C89=1,IF(E89='Invoer gegevens'!$C$17,'Invoer gegevens'!$C$11,AD89)*Reeksen!S89*'Invoer gegevens'!$C$18*Reeksen!P89,0)</f>
        <v>0</v>
      </c>
      <c r="AU89" s="71">
        <f ca="1">-IF(C89=1,(F89+K89+L89+Q89)/2*'Invoer gegevens'!$I$36*Reeksen!H89,0)</f>
        <v>0</v>
      </c>
      <c r="AV89" s="71">
        <f>IF('Invoer gegevens'!$C$3="Basis",0,#REF!)</f>
        <v>0</v>
      </c>
      <c r="AW89" s="71">
        <f t="shared" ca="1" si="19"/>
        <v>0</v>
      </c>
      <c r="AX89" s="71">
        <f ca="1">IF(E89&lt;'Invoer gegevens'!$C$17+15,0,IF(E89&gt;'Invoer gegevens'!$C$17+215,0,AW89))</f>
        <v>0</v>
      </c>
      <c r="AY89" s="71">
        <f ca="1">AX89/(1+'Invoer gegevens'!$F$18)^($AZ89-('Invoer gegevens'!$C$17-'Invoer gegevens'!$C$16))/(1+'Invoer gegevens'!$C$39)^('Invoer gegevens'!$C$17-'Invoer gegevens'!$C$16)</f>
        <v>0</v>
      </c>
      <c r="AZ89" s="68">
        <f ca="1">IF(E89-'Invoer gegevens'!$C$17-14.5&lt;0,0,E89-'Invoer gegevens'!$C$17-14.5)</f>
        <v>69.5</v>
      </c>
    </row>
    <row r="90" spans="2:52" x14ac:dyDescent="0.25">
      <c r="B90" s="70">
        <f t="shared" si="20"/>
        <v>86</v>
      </c>
      <c r="C90" s="67">
        <f ca="1">IF(E90-'Invoer gegevens'!$C$17&lt;0,0,1)</f>
        <v>1</v>
      </c>
      <c r="D90" s="68">
        <f t="shared" si="21"/>
        <v>85.5</v>
      </c>
      <c r="E90" s="108">
        <f ca="1">IF('Invoer gegevens'!$C$16="","",E89+1)</f>
        <v>2104</v>
      </c>
      <c r="F90" s="84">
        <f ca="1">IF('Invoer gegevens'!$C$17=E90,'Invoer gegevens'!$C$10,IF(C90=1,K89,0))</f>
        <v>0</v>
      </c>
      <c r="G90" s="96">
        <f ca="1">IF(C90&gt;=1,F90*VLOOKUP(E90,Reeksen!$A$5:$B$76,2),0)</f>
        <v>0</v>
      </c>
      <c r="H90" s="84">
        <f ca="1">(1-('Invoer gegevens'!$F$20/12))*F90*MIN(Reeksen!B90,Reeksen!D90)</f>
        <v>0</v>
      </c>
      <c r="I90" s="84">
        <f>IF(Reeksen!D90&lt;Reeksen!B90,(Reeksen!B90-Reeksen!D90)*F90,0)</f>
        <v>0</v>
      </c>
      <c r="J90" s="84">
        <f ca="1">('Invoer gegevens'!$F$20/12)*F89*MIN(Reeksen!B89,Reeksen!D89)</f>
        <v>0</v>
      </c>
      <c r="K90" s="97">
        <f t="shared" ca="1" si="12"/>
        <v>0</v>
      </c>
      <c r="L90" s="84">
        <f ca="1">IF('Invoer gegevens'!$C$17=E90,0,IF(C90=1,Q89,0))</f>
        <v>0</v>
      </c>
      <c r="M90" s="96">
        <f ca="1">IF(C90&gt;=1,L90*VLOOKUP(E90,Reeksen!$A$5:$B$76,2),0)</f>
        <v>0</v>
      </c>
      <c r="N90" s="84">
        <f ca="1">(1-('Invoer gegevens'!$F$20/12))*L90*MIN(Reeksen!B90,Reeksen!D90)</f>
        <v>0</v>
      </c>
      <c r="O90" s="84">
        <f>IF(Reeksen!D90&lt;Reeksen!B90,(Reeksen!B90-Reeksen!D90)*L90,0)</f>
        <v>0</v>
      </c>
      <c r="P90" s="84">
        <f ca="1">('Invoer gegevens'!$F$20/12)*L89*MIN(Reeksen!B89,Reeksen!D89)</f>
        <v>0</v>
      </c>
      <c r="Q90" s="84">
        <f t="shared" ca="1" si="13"/>
        <v>0</v>
      </c>
      <c r="R90" s="82">
        <f ca="1">IF('Invoer gegevens'!$C$17=E90,'Invoer gegevens'!$C$11,IF(C90=1,W89,0))</f>
        <v>0</v>
      </c>
      <c r="S90" s="86">
        <f ca="1">IF(C90&gt;=1,R90*VLOOKUP(E90,Reeksen!$A$5:$B$76,2),0)</f>
        <v>0</v>
      </c>
      <c r="T90" s="84">
        <f ca="1">(1-('Invoer gegevens'!$F$20/12))*R90*MIN(Reeksen!B90,Reeksen!D90)</f>
        <v>0</v>
      </c>
      <c r="U90" s="84">
        <f>IF(Reeksen!D90&gt;=Reeksen!B90,0,IF(Reeksen!AK90&lt;=Reeksen!AE90,(Reeksen!B90-Reeksen!D90)*R90,0))</f>
        <v>0</v>
      </c>
      <c r="V90" s="86">
        <f>IF(Reeksen!D90&gt;=Reeksen!B90,0,IF(Reeksen!AK90&gt;Reeksen!AE90,(Reeksen!B90-Reeksen!D90)*R90,0))</f>
        <v>0</v>
      </c>
      <c r="W90" s="97">
        <f t="shared" ca="1" si="14"/>
        <v>0</v>
      </c>
      <c r="X90" s="98">
        <f ca="1">IF('Invoer gegevens'!$C$17=E90,'Invoer gegevens'!$C$10-'Invoer gegevens'!$C$11,IF(C90=1,AC89,0))</f>
        <v>0</v>
      </c>
      <c r="Y90" s="98">
        <f ca="1">IF(C90&gt;=1,X90*VLOOKUP(E90,Reeksen!$A$5:$B$76,2),0)</f>
        <v>0</v>
      </c>
      <c r="Z90" s="98">
        <f ca="1">(1-('Invoer gegevens'!$F$20/12))*X90*MIN(Reeksen!B90,Reeksen!D90)</f>
        <v>0</v>
      </c>
      <c r="AA90" s="98">
        <f>IF(Reeksen!D90&gt;=Reeksen!B90,0,IF(Reeksen!AK90&lt;=Reeksen!AE90,(Reeksen!B90-Reeksen!D90)*X90,0))</f>
        <v>0</v>
      </c>
      <c r="AB90" s="98">
        <f>IF(Reeksen!D90&gt;=Reeksen!B90,0,IF(Reeksen!AK90&gt;Reeksen!AE90,(Reeksen!B90-Reeksen!D90)*X90,0))</f>
        <v>0</v>
      </c>
      <c r="AC90" s="99">
        <f t="shared" ca="1" si="15"/>
        <v>0</v>
      </c>
      <c r="AD90" s="98">
        <f ca="1">IF('Invoer gegevens'!$C$17=E90,R90,IF(C90=0,0,AE89))</f>
        <v>0</v>
      </c>
      <c r="AE90" s="98">
        <f t="shared" ca="1" si="16"/>
        <v>0</v>
      </c>
      <c r="AF90" s="98">
        <f ca="1">IF('Invoer gegevens'!$C$17=E90,X90,IF(C90=0,0,AG89))</f>
        <v>0</v>
      </c>
      <c r="AG90" s="98">
        <f t="shared" ca="1" si="17"/>
        <v>0</v>
      </c>
      <c r="AH90" s="68"/>
      <c r="AI90" s="71">
        <f ca="1">IF(C90=1,Reeksen!AJ90*((F90-G90+F90)/2)*12+Reeksen!AK90*((L90-M90+L90)/2)*12,0)</f>
        <v>0</v>
      </c>
      <c r="AJ90" s="71">
        <f ca="1">-AI90*'Invoer gegevens'!$F$28</f>
        <v>0</v>
      </c>
      <c r="AK90" s="71">
        <f t="shared" ca="1" si="11"/>
        <v>0</v>
      </c>
      <c r="AL90" s="71">
        <f ca="1">IF(C90=1,Reeksen!AL90*((F90-G90+F90)/2)*12+Reeksen!AM90*((L90-M90+L90)/2)*12,0)</f>
        <v>0</v>
      </c>
      <c r="AM90" s="71">
        <f ca="1">-AL90*'Invoer gegevens'!$F$31</f>
        <v>0</v>
      </c>
      <c r="AN90" s="71">
        <f t="shared" ca="1" si="18"/>
        <v>0</v>
      </c>
      <c r="AO90" s="71">
        <f ca="1">IF(C90=1,(H90+J90+N90+P90)*Reeksen!AN90,0)</f>
        <v>0</v>
      </c>
      <c r="AP90" s="71">
        <f ca="1">-IF(C90=1,(H90+J90+N90+P90)*'Hulp - basis'!$G$550*Reeksen!H90,0)</f>
        <v>0</v>
      </c>
      <c r="AQ90" s="71">
        <f ca="1">-IF(C90=1,(F90+K90+L90+Q90)/2*'Invoer gegevens'!$I$33*Reeksen!J90,0)*2</f>
        <v>0</v>
      </c>
      <c r="AR90" s="71">
        <f ca="1">-IF(C90=1,(I90*'Invoer gegevens'!$I$34)*Reeksen!J90,0)</f>
        <v>0</v>
      </c>
      <c r="AS90" s="71">
        <f ca="1">-IF(C90=1,(F90+K90+L90+Q90)/2*'Invoer gegevens'!$I$35*Reeksen!L90,0)</f>
        <v>0</v>
      </c>
      <c r="AT90" s="71">
        <f ca="1">-IF(C90=1,IF(E90='Invoer gegevens'!$C$17,'Invoer gegevens'!$C$11,AD90)*Reeksen!S90*'Invoer gegevens'!$C$18*Reeksen!P90,0)</f>
        <v>0</v>
      </c>
      <c r="AU90" s="71">
        <f ca="1">-IF(C90=1,(F90+K90+L90+Q90)/2*'Invoer gegevens'!$I$36*Reeksen!H90,0)</f>
        <v>0</v>
      </c>
      <c r="AV90" s="71">
        <f>IF('Invoer gegevens'!$C$3="Basis",0,#REF!)</f>
        <v>0</v>
      </c>
      <c r="AW90" s="71">
        <f t="shared" ca="1" si="19"/>
        <v>0</v>
      </c>
      <c r="AX90" s="71">
        <f ca="1">IF(E90&lt;'Invoer gegevens'!$C$17+15,0,IF(E90&gt;'Invoer gegevens'!$C$17+215,0,AW90))</f>
        <v>0</v>
      </c>
      <c r="AY90" s="71">
        <f ca="1">AX90/(1+'Invoer gegevens'!$F$18)^($AZ90-('Invoer gegevens'!$C$17-'Invoer gegevens'!$C$16))/(1+'Invoer gegevens'!$C$39)^('Invoer gegevens'!$C$17-'Invoer gegevens'!$C$16)</f>
        <v>0</v>
      </c>
      <c r="AZ90" s="68">
        <f ca="1">IF(E90-'Invoer gegevens'!$C$17-14.5&lt;0,0,E90-'Invoer gegevens'!$C$17-14.5)</f>
        <v>70.5</v>
      </c>
    </row>
    <row r="91" spans="2:52" x14ac:dyDescent="0.25">
      <c r="B91" s="70">
        <f t="shared" si="20"/>
        <v>87</v>
      </c>
      <c r="C91" s="67">
        <f ca="1">IF(E91-'Invoer gegevens'!$C$17&lt;0,0,1)</f>
        <v>1</v>
      </c>
      <c r="D91" s="68">
        <f t="shared" si="21"/>
        <v>86.5</v>
      </c>
      <c r="E91" s="108">
        <f ca="1">IF('Invoer gegevens'!$C$16="","",E90+1)</f>
        <v>2105</v>
      </c>
      <c r="F91" s="84">
        <f ca="1">IF('Invoer gegevens'!$C$17=E91,'Invoer gegevens'!$C$10,IF(C91=1,K90,0))</f>
        <v>0</v>
      </c>
      <c r="G91" s="96">
        <f ca="1">IF(C91&gt;=1,F91*VLOOKUP(E91,Reeksen!$A$5:$B$76,2),0)</f>
        <v>0</v>
      </c>
      <c r="H91" s="84">
        <f ca="1">(1-('Invoer gegevens'!$F$20/12))*F91*MIN(Reeksen!B91,Reeksen!D91)</f>
        <v>0</v>
      </c>
      <c r="I91" s="84">
        <f>IF(Reeksen!D91&lt;Reeksen!B91,(Reeksen!B91-Reeksen!D91)*F91,0)</f>
        <v>0</v>
      </c>
      <c r="J91" s="84">
        <f ca="1">('Invoer gegevens'!$F$20/12)*F90*MIN(Reeksen!B90,Reeksen!D90)</f>
        <v>0</v>
      </c>
      <c r="K91" s="97">
        <f t="shared" ca="1" si="12"/>
        <v>0</v>
      </c>
      <c r="L91" s="84">
        <f ca="1">IF('Invoer gegevens'!$C$17=E91,0,IF(C91=1,Q90,0))</f>
        <v>0</v>
      </c>
      <c r="M91" s="96">
        <f ca="1">IF(C91&gt;=1,L91*VLOOKUP(E91,Reeksen!$A$5:$B$76,2),0)</f>
        <v>0</v>
      </c>
      <c r="N91" s="84">
        <f ca="1">(1-('Invoer gegevens'!$F$20/12))*L91*MIN(Reeksen!B91,Reeksen!D91)</f>
        <v>0</v>
      </c>
      <c r="O91" s="84">
        <f>IF(Reeksen!D91&lt;Reeksen!B91,(Reeksen!B91-Reeksen!D91)*L91,0)</f>
        <v>0</v>
      </c>
      <c r="P91" s="84">
        <f ca="1">('Invoer gegevens'!$F$20/12)*L90*MIN(Reeksen!B90,Reeksen!D90)</f>
        <v>0</v>
      </c>
      <c r="Q91" s="84">
        <f t="shared" ca="1" si="13"/>
        <v>0</v>
      </c>
      <c r="R91" s="82">
        <f ca="1">IF('Invoer gegevens'!$C$17=E91,'Invoer gegevens'!$C$11,IF(C91=1,W90,0))</f>
        <v>0</v>
      </c>
      <c r="S91" s="86">
        <f ca="1">IF(C91&gt;=1,R91*VLOOKUP(E91,Reeksen!$A$5:$B$76,2),0)</f>
        <v>0</v>
      </c>
      <c r="T91" s="84">
        <f ca="1">(1-('Invoer gegevens'!$F$20/12))*R91*MIN(Reeksen!B91,Reeksen!D91)</f>
        <v>0</v>
      </c>
      <c r="U91" s="84">
        <f>IF(Reeksen!D91&gt;=Reeksen!B91,0,IF(Reeksen!AK91&lt;=Reeksen!AE91,(Reeksen!B91-Reeksen!D91)*R91,0))</f>
        <v>0</v>
      </c>
      <c r="V91" s="86">
        <f>IF(Reeksen!D91&gt;=Reeksen!B91,0,IF(Reeksen!AK91&gt;Reeksen!AE91,(Reeksen!B91-Reeksen!D91)*R91,0))</f>
        <v>0</v>
      </c>
      <c r="W91" s="97">
        <f t="shared" ca="1" si="14"/>
        <v>0</v>
      </c>
      <c r="X91" s="98">
        <f ca="1">IF('Invoer gegevens'!$C$17=E91,'Invoer gegevens'!$C$10-'Invoer gegevens'!$C$11,IF(C91=1,AC90,0))</f>
        <v>0</v>
      </c>
      <c r="Y91" s="98">
        <f ca="1">IF(C91&gt;=1,X91*VLOOKUP(E91,Reeksen!$A$5:$B$76,2),0)</f>
        <v>0</v>
      </c>
      <c r="Z91" s="98">
        <f ca="1">(1-('Invoer gegevens'!$F$20/12))*X91*MIN(Reeksen!B91,Reeksen!D91)</f>
        <v>0</v>
      </c>
      <c r="AA91" s="98">
        <f>IF(Reeksen!D91&gt;=Reeksen!B91,0,IF(Reeksen!AK91&lt;=Reeksen!AE91,(Reeksen!B91-Reeksen!D91)*X91,0))</f>
        <v>0</v>
      </c>
      <c r="AB91" s="98">
        <f>IF(Reeksen!D91&gt;=Reeksen!B91,0,IF(Reeksen!AK91&gt;Reeksen!AE91,(Reeksen!B91-Reeksen!D91)*X91,0))</f>
        <v>0</v>
      </c>
      <c r="AC91" s="99">
        <f t="shared" ca="1" si="15"/>
        <v>0</v>
      </c>
      <c r="AD91" s="98">
        <f ca="1">IF('Invoer gegevens'!$C$17=E91,R91,IF(C91=0,0,AE90))</f>
        <v>0</v>
      </c>
      <c r="AE91" s="98">
        <f t="shared" ca="1" si="16"/>
        <v>0</v>
      </c>
      <c r="AF91" s="98">
        <f ca="1">IF('Invoer gegevens'!$C$17=E91,X91,IF(C91=0,0,AG90))</f>
        <v>0</v>
      </c>
      <c r="AG91" s="98">
        <f t="shared" ca="1" si="17"/>
        <v>0</v>
      </c>
      <c r="AH91" s="68"/>
      <c r="AI91" s="71">
        <f ca="1">IF(C91=1,Reeksen!AJ91*((F91-G91+F91)/2)*12+Reeksen!AK91*((L91-M91+L91)/2)*12,0)</f>
        <v>0</v>
      </c>
      <c r="AJ91" s="71">
        <f ca="1">-AI91*'Invoer gegevens'!$F$28</f>
        <v>0</v>
      </c>
      <c r="AK91" s="71">
        <f t="shared" ca="1" si="11"/>
        <v>0</v>
      </c>
      <c r="AL91" s="71">
        <f ca="1">IF(C91=1,Reeksen!AL91*((F91-G91+F91)/2)*12+Reeksen!AM91*((L91-M91+L91)/2)*12,0)</f>
        <v>0</v>
      </c>
      <c r="AM91" s="71">
        <f ca="1">-AL91*'Invoer gegevens'!$F$31</f>
        <v>0</v>
      </c>
      <c r="AN91" s="71">
        <f t="shared" ca="1" si="18"/>
        <v>0</v>
      </c>
      <c r="AO91" s="71">
        <f ca="1">IF(C91=1,(H91+J91+N91+P91)*Reeksen!AN91,0)</f>
        <v>0</v>
      </c>
      <c r="AP91" s="71">
        <f ca="1">-IF(C91=1,(H91+J91+N91+P91)*'Hulp - basis'!$G$550*Reeksen!H91,0)</f>
        <v>0</v>
      </c>
      <c r="AQ91" s="71">
        <f ca="1">-IF(C91=1,(F91+K91+L91+Q91)/2*'Invoer gegevens'!$I$33*Reeksen!J91,0)*2</f>
        <v>0</v>
      </c>
      <c r="AR91" s="71">
        <f ca="1">-IF(C91=1,(I91*'Invoer gegevens'!$I$34)*Reeksen!J91,0)</f>
        <v>0</v>
      </c>
      <c r="AS91" s="71">
        <f ca="1">-IF(C91=1,(F91+K91+L91+Q91)/2*'Invoer gegevens'!$I$35*Reeksen!L91,0)</f>
        <v>0</v>
      </c>
      <c r="AT91" s="71">
        <f ca="1">-IF(C91=1,IF(E91='Invoer gegevens'!$C$17,'Invoer gegevens'!$C$11,AD91)*Reeksen!S91*'Invoer gegevens'!$C$18*Reeksen!P91,0)</f>
        <v>0</v>
      </c>
      <c r="AU91" s="71">
        <f ca="1">-IF(C91=1,(F91+K91+L91+Q91)/2*'Invoer gegevens'!$I$36*Reeksen!H91,0)</f>
        <v>0</v>
      </c>
      <c r="AV91" s="71">
        <f>IF('Invoer gegevens'!$C$3="Basis",0,#REF!)</f>
        <v>0</v>
      </c>
      <c r="AW91" s="71">
        <f t="shared" ca="1" si="19"/>
        <v>0</v>
      </c>
      <c r="AX91" s="71">
        <f ca="1">IF(E91&lt;'Invoer gegevens'!$C$17+15,0,IF(E91&gt;'Invoer gegevens'!$C$17+215,0,AW91))</f>
        <v>0</v>
      </c>
      <c r="AY91" s="71">
        <f ca="1">AX91/(1+'Invoer gegevens'!$F$18)^($AZ91-('Invoer gegevens'!$C$17-'Invoer gegevens'!$C$16))/(1+'Invoer gegevens'!$C$39)^('Invoer gegevens'!$C$17-'Invoer gegevens'!$C$16)</f>
        <v>0</v>
      </c>
      <c r="AZ91" s="68">
        <f ca="1">IF(E91-'Invoer gegevens'!$C$17-14.5&lt;0,0,E91-'Invoer gegevens'!$C$17-14.5)</f>
        <v>71.5</v>
      </c>
    </row>
    <row r="92" spans="2:52" x14ac:dyDescent="0.25">
      <c r="B92" s="70">
        <f t="shared" si="20"/>
        <v>88</v>
      </c>
      <c r="C92" s="67">
        <f ca="1">IF(E92-'Invoer gegevens'!$C$17&lt;0,0,1)</f>
        <v>1</v>
      </c>
      <c r="D92" s="68">
        <f t="shared" si="21"/>
        <v>87.5</v>
      </c>
      <c r="E92" s="108">
        <f ca="1">IF('Invoer gegevens'!$C$16="","",E91+1)</f>
        <v>2106</v>
      </c>
      <c r="F92" s="84">
        <f ca="1">IF('Invoer gegevens'!$C$17=E92,'Invoer gegevens'!$C$10,IF(C92=1,K91,0))</f>
        <v>0</v>
      </c>
      <c r="G92" s="96">
        <f ca="1">IF(C92&gt;=1,F92*VLOOKUP(E92,Reeksen!$A$5:$B$76,2),0)</f>
        <v>0</v>
      </c>
      <c r="H92" s="84">
        <f ca="1">(1-('Invoer gegevens'!$F$20/12))*F92*MIN(Reeksen!B92,Reeksen!D92)</f>
        <v>0</v>
      </c>
      <c r="I92" s="84">
        <f>IF(Reeksen!D92&lt;Reeksen!B92,(Reeksen!B92-Reeksen!D92)*F92,0)</f>
        <v>0</v>
      </c>
      <c r="J92" s="84">
        <f ca="1">('Invoer gegevens'!$F$20/12)*F91*MIN(Reeksen!B91,Reeksen!D91)</f>
        <v>0</v>
      </c>
      <c r="K92" s="97">
        <f t="shared" ca="1" si="12"/>
        <v>0</v>
      </c>
      <c r="L92" s="84">
        <f ca="1">IF('Invoer gegevens'!$C$17=E92,0,IF(C92=1,Q91,0))</f>
        <v>0</v>
      </c>
      <c r="M92" s="96">
        <f ca="1">IF(C92&gt;=1,L92*VLOOKUP(E92,Reeksen!$A$5:$B$76,2),0)</f>
        <v>0</v>
      </c>
      <c r="N92" s="84">
        <f ca="1">(1-('Invoer gegevens'!$F$20/12))*L92*MIN(Reeksen!B92,Reeksen!D92)</f>
        <v>0</v>
      </c>
      <c r="O92" s="84">
        <f>IF(Reeksen!D92&lt;Reeksen!B92,(Reeksen!B92-Reeksen!D92)*L92,0)</f>
        <v>0</v>
      </c>
      <c r="P92" s="84">
        <f ca="1">('Invoer gegevens'!$F$20/12)*L91*MIN(Reeksen!B91,Reeksen!D91)</f>
        <v>0</v>
      </c>
      <c r="Q92" s="84">
        <f t="shared" ca="1" si="13"/>
        <v>0</v>
      </c>
      <c r="R92" s="82">
        <f ca="1">IF('Invoer gegevens'!$C$17=E92,'Invoer gegevens'!$C$11,IF(C92=1,W91,0))</f>
        <v>0</v>
      </c>
      <c r="S92" s="86">
        <f ca="1">IF(C92&gt;=1,R92*VLOOKUP(E92,Reeksen!$A$5:$B$76,2),0)</f>
        <v>0</v>
      </c>
      <c r="T92" s="84">
        <f ca="1">(1-('Invoer gegevens'!$F$20/12))*R92*MIN(Reeksen!B92,Reeksen!D92)</f>
        <v>0</v>
      </c>
      <c r="U92" s="84">
        <f>IF(Reeksen!D92&gt;=Reeksen!B92,0,IF(Reeksen!AK92&lt;=Reeksen!AE92,(Reeksen!B92-Reeksen!D92)*R92,0))</f>
        <v>0</v>
      </c>
      <c r="V92" s="86">
        <f>IF(Reeksen!D92&gt;=Reeksen!B92,0,IF(Reeksen!AK92&gt;Reeksen!AE92,(Reeksen!B92-Reeksen!D92)*R92,0))</f>
        <v>0</v>
      </c>
      <c r="W92" s="97">
        <f t="shared" ca="1" si="14"/>
        <v>0</v>
      </c>
      <c r="X92" s="98">
        <f ca="1">IF('Invoer gegevens'!$C$17=E92,'Invoer gegevens'!$C$10-'Invoer gegevens'!$C$11,IF(C92=1,AC91,0))</f>
        <v>0</v>
      </c>
      <c r="Y92" s="98">
        <f ca="1">IF(C92&gt;=1,X92*VLOOKUP(E92,Reeksen!$A$5:$B$76,2),0)</f>
        <v>0</v>
      </c>
      <c r="Z92" s="98">
        <f ca="1">(1-('Invoer gegevens'!$F$20/12))*X92*MIN(Reeksen!B92,Reeksen!D92)</f>
        <v>0</v>
      </c>
      <c r="AA92" s="98">
        <f>IF(Reeksen!D92&gt;=Reeksen!B92,0,IF(Reeksen!AK92&lt;=Reeksen!AE92,(Reeksen!B92-Reeksen!D92)*X92,0))</f>
        <v>0</v>
      </c>
      <c r="AB92" s="98">
        <f>IF(Reeksen!D92&gt;=Reeksen!B92,0,IF(Reeksen!AK92&gt;Reeksen!AE92,(Reeksen!B92-Reeksen!D92)*X92,0))</f>
        <v>0</v>
      </c>
      <c r="AC92" s="99">
        <f t="shared" ca="1" si="15"/>
        <v>0</v>
      </c>
      <c r="AD92" s="98">
        <f ca="1">IF('Invoer gegevens'!$C$17=E92,R92,IF(C92=0,0,AE91))</f>
        <v>0</v>
      </c>
      <c r="AE92" s="98">
        <f t="shared" ca="1" si="16"/>
        <v>0</v>
      </c>
      <c r="AF92" s="98">
        <f ca="1">IF('Invoer gegevens'!$C$17=E92,X92,IF(C92=0,0,AG91))</f>
        <v>0</v>
      </c>
      <c r="AG92" s="98">
        <f t="shared" ca="1" si="17"/>
        <v>0</v>
      </c>
      <c r="AH92" s="68"/>
      <c r="AI92" s="71">
        <f ca="1">IF(C92=1,Reeksen!AJ92*((F92-G92+F92)/2)*12+Reeksen!AK92*((L92-M92+L92)/2)*12,0)</f>
        <v>0</v>
      </c>
      <c r="AJ92" s="71">
        <f ca="1">-AI92*'Invoer gegevens'!$F$28</f>
        <v>0</v>
      </c>
      <c r="AK92" s="71">
        <f t="shared" ca="1" si="11"/>
        <v>0</v>
      </c>
      <c r="AL92" s="71">
        <f ca="1">IF(C92=1,Reeksen!AL92*((F92-G92+F92)/2)*12+Reeksen!AM92*((L92-M92+L92)/2)*12,0)</f>
        <v>0</v>
      </c>
      <c r="AM92" s="71">
        <f ca="1">-AL92*'Invoer gegevens'!$F$31</f>
        <v>0</v>
      </c>
      <c r="AN92" s="71">
        <f t="shared" ca="1" si="18"/>
        <v>0</v>
      </c>
      <c r="AO92" s="71">
        <f ca="1">IF(C92=1,(H92+J92+N92+P92)*Reeksen!AN92,0)</f>
        <v>0</v>
      </c>
      <c r="AP92" s="71">
        <f ca="1">-IF(C92=1,(H92+J92+N92+P92)*'Hulp - basis'!$G$550*Reeksen!H92,0)</f>
        <v>0</v>
      </c>
      <c r="AQ92" s="71">
        <f ca="1">-IF(C92=1,(F92+K92+L92+Q92)/2*'Invoer gegevens'!$I$33*Reeksen!J92,0)*2</f>
        <v>0</v>
      </c>
      <c r="AR92" s="71">
        <f ca="1">-IF(C92=1,(I92*'Invoer gegevens'!$I$34)*Reeksen!J92,0)</f>
        <v>0</v>
      </c>
      <c r="AS92" s="71">
        <f ca="1">-IF(C92=1,(F92+K92+L92+Q92)/2*'Invoer gegevens'!$I$35*Reeksen!L92,0)</f>
        <v>0</v>
      </c>
      <c r="AT92" s="71">
        <f ca="1">-IF(C92=1,IF(E92='Invoer gegevens'!$C$17,'Invoer gegevens'!$C$11,AD92)*Reeksen!S92*'Invoer gegevens'!$C$18*Reeksen!P92,0)</f>
        <v>0</v>
      </c>
      <c r="AU92" s="71">
        <f ca="1">-IF(C92=1,(F92+K92+L92+Q92)/2*'Invoer gegevens'!$I$36*Reeksen!H92,0)</f>
        <v>0</v>
      </c>
      <c r="AV92" s="71">
        <f>IF('Invoer gegevens'!$C$3="Basis",0,#REF!)</f>
        <v>0</v>
      </c>
      <c r="AW92" s="71">
        <f t="shared" ca="1" si="19"/>
        <v>0</v>
      </c>
      <c r="AX92" s="71">
        <f ca="1">IF(E92&lt;'Invoer gegevens'!$C$17+15,0,IF(E92&gt;'Invoer gegevens'!$C$17+215,0,AW92))</f>
        <v>0</v>
      </c>
      <c r="AY92" s="71">
        <f ca="1">AX92/(1+'Invoer gegevens'!$F$18)^($AZ92-('Invoer gegevens'!$C$17-'Invoer gegevens'!$C$16))/(1+'Invoer gegevens'!$C$39)^('Invoer gegevens'!$C$17-'Invoer gegevens'!$C$16)</f>
        <v>0</v>
      </c>
      <c r="AZ92" s="68">
        <f ca="1">IF(E92-'Invoer gegevens'!$C$17-14.5&lt;0,0,E92-'Invoer gegevens'!$C$17-14.5)</f>
        <v>72.5</v>
      </c>
    </row>
    <row r="93" spans="2:52" x14ac:dyDescent="0.25">
      <c r="B93" s="70">
        <f t="shared" si="20"/>
        <v>89</v>
      </c>
      <c r="C93" s="67">
        <f ca="1">IF(E93-'Invoer gegevens'!$C$17&lt;0,0,1)</f>
        <v>1</v>
      </c>
      <c r="D93" s="68">
        <f t="shared" si="21"/>
        <v>88.5</v>
      </c>
      <c r="E93" s="108">
        <f ca="1">IF('Invoer gegevens'!$C$16="","",E92+1)</f>
        <v>2107</v>
      </c>
      <c r="F93" s="84">
        <f ca="1">IF('Invoer gegevens'!$C$17=E93,'Invoer gegevens'!$C$10,IF(C93=1,K92,0))</f>
        <v>0</v>
      </c>
      <c r="G93" s="96">
        <f ca="1">IF(C93&gt;=1,F93*VLOOKUP(E93,Reeksen!$A$5:$B$76,2),0)</f>
        <v>0</v>
      </c>
      <c r="H93" s="84">
        <f ca="1">(1-('Invoer gegevens'!$F$20/12))*F93*MIN(Reeksen!B93,Reeksen!D93)</f>
        <v>0</v>
      </c>
      <c r="I93" s="84">
        <f>IF(Reeksen!D93&lt;Reeksen!B93,(Reeksen!B93-Reeksen!D93)*F93,0)</f>
        <v>0</v>
      </c>
      <c r="J93" s="84">
        <f ca="1">('Invoer gegevens'!$F$20/12)*F92*MIN(Reeksen!B92,Reeksen!D92)</f>
        <v>0</v>
      </c>
      <c r="K93" s="97">
        <f t="shared" ca="1" si="12"/>
        <v>0</v>
      </c>
      <c r="L93" s="84">
        <f ca="1">IF('Invoer gegevens'!$C$17=E93,0,IF(C93=1,Q92,0))</f>
        <v>0</v>
      </c>
      <c r="M93" s="96">
        <f ca="1">IF(C93&gt;=1,L93*VLOOKUP(E93,Reeksen!$A$5:$B$76,2),0)</f>
        <v>0</v>
      </c>
      <c r="N93" s="84">
        <f ca="1">(1-('Invoer gegevens'!$F$20/12))*L93*MIN(Reeksen!B93,Reeksen!D93)</f>
        <v>0</v>
      </c>
      <c r="O93" s="84">
        <f>IF(Reeksen!D93&lt;Reeksen!B93,(Reeksen!B93-Reeksen!D93)*L93,0)</f>
        <v>0</v>
      </c>
      <c r="P93" s="84">
        <f ca="1">('Invoer gegevens'!$F$20/12)*L92*MIN(Reeksen!B92,Reeksen!D92)</f>
        <v>0</v>
      </c>
      <c r="Q93" s="84">
        <f t="shared" ca="1" si="13"/>
        <v>0</v>
      </c>
      <c r="R93" s="82">
        <f ca="1">IF('Invoer gegevens'!$C$17=E93,'Invoer gegevens'!$C$11,IF(C93=1,W92,0))</f>
        <v>0</v>
      </c>
      <c r="S93" s="86">
        <f ca="1">IF(C93&gt;=1,R93*VLOOKUP(E93,Reeksen!$A$5:$B$76,2),0)</f>
        <v>0</v>
      </c>
      <c r="T93" s="84">
        <f ca="1">(1-('Invoer gegevens'!$F$20/12))*R93*MIN(Reeksen!B93,Reeksen!D93)</f>
        <v>0</v>
      </c>
      <c r="U93" s="84">
        <f>IF(Reeksen!D93&gt;=Reeksen!B93,0,IF(Reeksen!AK93&lt;=Reeksen!AE93,(Reeksen!B93-Reeksen!D93)*R93,0))</f>
        <v>0</v>
      </c>
      <c r="V93" s="86">
        <f>IF(Reeksen!D93&gt;=Reeksen!B93,0,IF(Reeksen!AK93&gt;Reeksen!AE93,(Reeksen!B93-Reeksen!D93)*R93,0))</f>
        <v>0</v>
      </c>
      <c r="W93" s="97">
        <f t="shared" ca="1" si="14"/>
        <v>0</v>
      </c>
      <c r="X93" s="98">
        <f ca="1">IF('Invoer gegevens'!$C$17=E93,'Invoer gegevens'!$C$10-'Invoer gegevens'!$C$11,IF(C93=1,AC92,0))</f>
        <v>0</v>
      </c>
      <c r="Y93" s="98">
        <f ca="1">IF(C93&gt;=1,X93*VLOOKUP(E93,Reeksen!$A$5:$B$76,2),0)</f>
        <v>0</v>
      </c>
      <c r="Z93" s="98">
        <f ca="1">(1-('Invoer gegevens'!$F$20/12))*X93*MIN(Reeksen!B93,Reeksen!D93)</f>
        <v>0</v>
      </c>
      <c r="AA93" s="98">
        <f>IF(Reeksen!D93&gt;=Reeksen!B93,0,IF(Reeksen!AK93&lt;=Reeksen!AE93,(Reeksen!B93-Reeksen!D93)*X93,0))</f>
        <v>0</v>
      </c>
      <c r="AB93" s="98">
        <f>IF(Reeksen!D93&gt;=Reeksen!B93,0,IF(Reeksen!AK93&gt;Reeksen!AE93,(Reeksen!B93-Reeksen!D93)*X93,0))</f>
        <v>0</v>
      </c>
      <c r="AC93" s="99">
        <f t="shared" ca="1" si="15"/>
        <v>0</v>
      </c>
      <c r="AD93" s="98">
        <f ca="1">IF('Invoer gegevens'!$C$17=E93,R93,IF(C93=0,0,AE92))</f>
        <v>0</v>
      </c>
      <c r="AE93" s="98">
        <f t="shared" ca="1" si="16"/>
        <v>0</v>
      </c>
      <c r="AF93" s="98">
        <f ca="1">IF('Invoer gegevens'!$C$17=E93,X93,IF(C93=0,0,AG92))</f>
        <v>0</v>
      </c>
      <c r="AG93" s="98">
        <f t="shared" ca="1" si="17"/>
        <v>0</v>
      </c>
      <c r="AH93" s="68"/>
      <c r="AI93" s="71">
        <f ca="1">IF(C93=1,Reeksen!AJ93*((F93-G93+F93)/2)*12+Reeksen!AK93*((L93-M93+L93)/2)*12,0)</f>
        <v>0</v>
      </c>
      <c r="AJ93" s="71">
        <f ca="1">-AI93*'Invoer gegevens'!$F$28</f>
        <v>0</v>
      </c>
      <c r="AK93" s="71">
        <f t="shared" ca="1" si="11"/>
        <v>0</v>
      </c>
      <c r="AL93" s="71">
        <f ca="1">IF(C93=1,Reeksen!AL93*((F93-G93+F93)/2)*12+Reeksen!AM93*((L93-M93+L93)/2)*12,0)</f>
        <v>0</v>
      </c>
      <c r="AM93" s="71">
        <f ca="1">-AL93*'Invoer gegevens'!$F$31</f>
        <v>0</v>
      </c>
      <c r="AN93" s="71">
        <f t="shared" ca="1" si="18"/>
        <v>0</v>
      </c>
      <c r="AO93" s="71">
        <f ca="1">IF(C93=1,(H93+J93+N93+P93)*Reeksen!AN93,0)</f>
        <v>0</v>
      </c>
      <c r="AP93" s="71">
        <f ca="1">-IF(C93=1,(H93+J93+N93+P93)*'Hulp - basis'!$G$550*Reeksen!H93,0)</f>
        <v>0</v>
      </c>
      <c r="AQ93" s="71">
        <f ca="1">-IF(C93=1,(F93+K93+L93+Q93)/2*'Invoer gegevens'!$I$33*Reeksen!J93,0)*2</f>
        <v>0</v>
      </c>
      <c r="AR93" s="71">
        <f ca="1">-IF(C93=1,(I93*'Invoer gegevens'!$I$34)*Reeksen!J93,0)</f>
        <v>0</v>
      </c>
      <c r="AS93" s="71">
        <f ca="1">-IF(C93=1,(F93+K93+L93+Q93)/2*'Invoer gegevens'!$I$35*Reeksen!L93,0)</f>
        <v>0</v>
      </c>
      <c r="AT93" s="71">
        <f ca="1">-IF(C93=1,IF(E93='Invoer gegevens'!$C$17,'Invoer gegevens'!$C$11,AD93)*Reeksen!S93*'Invoer gegevens'!$C$18*Reeksen!P93,0)</f>
        <v>0</v>
      </c>
      <c r="AU93" s="71">
        <f ca="1">-IF(C93=1,(F93+K93+L93+Q93)/2*'Invoer gegevens'!$I$36*Reeksen!H93,0)</f>
        <v>0</v>
      </c>
      <c r="AV93" s="71">
        <f>IF('Invoer gegevens'!$C$3="Basis",0,#REF!)</f>
        <v>0</v>
      </c>
      <c r="AW93" s="71">
        <f t="shared" ca="1" si="19"/>
        <v>0</v>
      </c>
      <c r="AX93" s="71">
        <f ca="1">IF(E93&lt;'Invoer gegevens'!$C$17+15,0,IF(E93&gt;'Invoer gegevens'!$C$17+215,0,AW93))</f>
        <v>0</v>
      </c>
      <c r="AY93" s="71">
        <f ca="1">AX93/(1+'Invoer gegevens'!$F$18)^($AZ93-('Invoer gegevens'!$C$17-'Invoer gegevens'!$C$16))/(1+'Invoer gegevens'!$C$39)^('Invoer gegevens'!$C$17-'Invoer gegevens'!$C$16)</f>
        <v>0</v>
      </c>
      <c r="AZ93" s="68">
        <f ca="1">IF(E93-'Invoer gegevens'!$C$17-14.5&lt;0,0,E93-'Invoer gegevens'!$C$17-14.5)</f>
        <v>73.5</v>
      </c>
    </row>
    <row r="94" spans="2:52" x14ac:dyDescent="0.25">
      <c r="B94" s="70">
        <f t="shared" si="20"/>
        <v>90</v>
      </c>
      <c r="C94" s="67">
        <f ca="1">IF(E94-'Invoer gegevens'!$C$17&lt;0,0,1)</f>
        <v>1</v>
      </c>
      <c r="D94" s="68">
        <f t="shared" si="21"/>
        <v>89.5</v>
      </c>
      <c r="E94" s="108">
        <f ca="1">IF('Invoer gegevens'!$C$16="","",E93+1)</f>
        <v>2108</v>
      </c>
      <c r="F94" s="84">
        <f ca="1">IF('Invoer gegevens'!$C$17=E94,'Invoer gegevens'!$C$10,IF(C94=1,K93,0))</f>
        <v>0</v>
      </c>
      <c r="G94" s="96">
        <f ca="1">IF(C94&gt;=1,F94*VLOOKUP(E94,Reeksen!$A$5:$B$76,2),0)</f>
        <v>0</v>
      </c>
      <c r="H94" s="84">
        <f ca="1">(1-('Invoer gegevens'!$F$20/12))*F94*MIN(Reeksen!B94,Reeksen!D94)</f>
        <v>0</v>
      </c>
      <c r="I94" s="84">
        <f>IF(Reeksen!D94&lt;Reeksen!B94,(Reeksen!B94-Reeksen!D94)*F94,0)</f>
        <v>0</v>
      </c>
      <c r="J94" s="84">
        <f ca="1">('Invoer gegevens'!$F$20/12)*F93*MIN(Reeksen!B93,Reeksen!D93)</f>
        <v>0</v>
      </c>
      <c r="K94" s="97">
        <f t="shared" ca="1" si="12"/>
        <v>0</v>
      </c>
      <c r="L94" s="84">
        <f ca="1">IF('Invoer gegevens'!$C$17=E94,0,IF(C94=1,Q93,0))</f>
        <v>0</v>
      </c>
      <c r="M94" s="96">
        <f ca="1">IF(C94&gt;=1,L94*VLOOKUP(E94,Reeksen!$A$5:$B$76,2),0)</f>
        <v>0</v>
      </c>
      <c r="N94" s="84">
        <f ca="1">(1-('Invoer gegevens'!$F$20/12))*L94*MIN(Reeksen!B94,Reeksen!D94)</f>
        <v>0</v>
      </c>
      <c r="O94" s="84">
        <f>IF(Reeksen!D94&lt;Reeksen!B94,(Reeksen!B94-Reeksen!D94)*L94,0)</f>
        <v>0</v>
      </c>
      <c r="P94" s="84">
        <f ca="1">('Invoer gegevens'!$F$20/12)*L93*MIN(Reeksen!B93,Reeksen!D93)</f>
        <v>0</v>
      </c>
      <c r="Q94" s="84">
        <f t="shared" ca="1" si="13"/>
        <v>0</v>
      </c>
      <c r="R94" s="82">
        <f ca="1">IF('Invoer gegevens'!$C$17=E94,'Invoer gegevens'!$C$11,IF(C94=1,W93,0))</f>
        <v>0</v>
      </c>
      <c r="S94" s="86">
        <f ca="1">IF(C94&gt;=1,R94*VLOOKUP(E94,Reeksen!$A$5:$B$76,2),0)</f>
        <v>0</v>
      </c>
      <c r="T94" s="84">
        <f ca="1">(1-('Invoer gegevens'!$F$20/12))*R94*MIN(Reeksen!B94,Reeksen!D94)</f>
        <v>0</v>
      </c>
      <c r="U94" s="84">
        <f>IF(Reeksen!D94&gt;=Reeksen!B94,0,IF(Reeksen!AK94&lt;=Reeksen!AE94,(Reeksen!B94-Reeksen!D94)*R94,0))</f>
        <v>0</v>
      </c>
      <c r="V94" s="86">
        <f>IF(Reeksen!D94&gt;=Reeksen!B94,0,IF(Reeksen!AK94&gt;Reeksen!AE94,(Reeksen!B94-Reeksen!D94)*R94,0))</f>
        <v>0</v>
      </c>
      <c r="W94" s="97">
        <f t="shared" ca="1" si="14"/>
        <v>0</v>
      </c>
      <c r="X94" s="98">
        <f ca="1">IF('Invoer gegevens'!$C$17=E94,'Invoer gegevens'!$C$10-'Invoer gegevens'!$C$11,IF(C94=1,AC93,0))</f>
        <v>0</v>
      </c>
      <c r="Y94" s="98">
        <f ca="1">IF(C94&gt;=1,X94*VLOOKUP(E94,Reeksen!$A$5:$B$76,2),0)</f>
        <v>0</v>
      </c>
      <c r="Z94" s="98">
        <f ca="1">(1-('Invoer gegevens'!$F$20/12))*X94*MIN(Reeksen!B94,Reeksen!D94)</f>
        <v>0</v>
      </c>
      <c r="AA94" s="98">
        <f>IF(Reeksen!D94&gt;=Reeksen!B94,0,IF(Reeksen!AK94&lt;=Reeksen!AE94,(Reeksen!B94-Reeksen!D94)*X94,0))</f>
        <v>0</v>
      </c>
      <c r="AB94" s="98">
        <f>IF(Reeksen!D94&gt;=Reeksen!B94,0,IF(Reeksen!AK94&gt;Reeksen!AE94,(Reeksen!B94-Reeksen!D94)*X94,0))</f>
        <v>0</v>
      </c>
      <c r="AC94" s="99">
        <f t="shared" ca="1" si="15"/>
        <v>0</v>
      </c>
      <c r="AD94" s="98">
        <f ca="1">IF('Invoer gegevens'!$C$17=E94,R94,IF(C94=0,0,AE93))</f>
        <v>0</v>
      </c>
      <c r="AE94" s="98">
        <f t="shared" ca="1" si="16"/>
        <v>0</v>
      </c>
      <c r="AF94" s="98">
        <f ca="1">IF('Invoer gegevens'!$C$17=E94,X94,IF(C94=0,0,AG93))</f>
        <v>0</v>
      </c>
      <c r="AG94" s="98">
        <f t="shared" ca="1" si="17"/>
        <v>0</v>
      </c>
      <c r="AH94" s="68"/>
      <c r="AI94" s="71">
        <f ca="1">IF(C94=1,Reeksen!AJ94*((F94-G94+F94)/2)*12+Reeksen!AK94*((L94-M94+L94)/2)*12,0)</f>
        <v>0</v>
      </c>
      <c r="AJ94" s="71">
        <f ca="1">-AI94*'Invoer gegevens'!$F$28</f>
        <v>0</v>
      </c>
      <c r="AK94" s="71">
        <f t="shared" ca="1" si="11"/>
        <v>0</v>
      </c>
      <c r="AL94" s="71">
        <f ca="1">IF(C94=1,Reeksen!AL94*((F94-G94+F94)/2)*12+Reeksen!AM94*((L94-M94+L94)/2)*12,0)</f>
        <v>0</v>
      </c>
      <c r="AM94" s="71">
        <f ca="1">-AL94*'Invoer gegevens'!$F$31</f>
        <v>0</v>
      </c>
      <c r="AN94" s="71">
        <f t="shared" ca="1" si="18"/>
        <v>0</v>
      </c>
      <c r="AO94" s="71">
        <f ca="1">IF(C94=1,(H94+J94+N94+P94)*Reeksen!AN94,0)</f>
        <v>0</v>
      </c>
      <c r="AP94" s="71">
        <f ca="1">-IF(C94=1,(H94+J94+N94+P94)*'Hulp - basis'!$G$550*Reeksen!H94,0)</f>
        <v>0</v>
      </c>
      <c r="AQ94" s="71">
        <f ca="1">-IF(C94=1,(F94+K94+L94+Q94)/2*'Invoer gegevens'!$I$33*Reeksen!J94,0)*2</f>
        <v>0</v>
      </c>
      <c r="AR94" s="71">
        <f ca="1">-IF(C94=1,(I94*'Invoer gegevens'!$I$34)*Reeksen!J94,0)</f>
        <v>0</v>
      </c>
      <c r="AS94" s="71">
        <f ca="1">-IF(C94=1,(F94+K94+L94+Q94)/2*'Invoer gegevens'!$I$35*Reeksen!L94,0)</f>
        <v>0</v>
      </c>
      <c r="AT94" s="71">
        <f ca="1">-IF(C94=1,IF(E94='Invoer gegevens'!$C$17,'Invoer gegevens'!$C$11,AD94)*Reeksen!S94*'Invoer gegevens'!$C$18*Reeksen!P94,0)</f>
        <v>0</v>
      </c>
      <c r="AU94" s="71">
        <f ca="1">-IF(C94=1,(F94+K94+L94+Q94)/2*'Invoer gegevens'!$I$36*Reeksen!H94,0)</f>
        <v>0</v>
      </c>
      <c r="AV94" s="71">
        <f>IF('Invoer gegevens'!$C$3="Basis",0,#REF!)</f>
        <v>0</v>
      </c>
      <c r="AW94" s="71">
        <f t="shared" ca="1" si="19"/>
        <v>0</v>
      </c>
      <c r="AX94" s="71">
        <f ca="1">IF(E94&lt;'Invoer gegevens'!$C$17+15,0,IF(E94&gt;'Invoer gegevens'!$C$17+215,0,AW94))</f>
        <v>0</v>
      </c>
      <c r="AY94" s="71">
        <f ca="1">AX94/(1+'Invoer gegevens'!$F$18)^($AZ94-('Invoer gegevens'!$C$17-'Invoer gegevens'!$C$16))/(1+'Invoer gegevens'!$C$39)^('Invoer gegevens'!$C$17-'Invoer gegevens'!$C$16)</f>
        <v>0</v>
      </c>
      <c r="AZ94" s="68">
        <f ca="1">IF(E94-'Invoer gegevens'!$C$17-14.5&lt;0,0,E94-'Invoer gegevens'!$C$17-14.5)</f>
        <v>74.5</v>
      </c>
    </row>
    <row r="95" spans="2:52" x14ac:dyDescent="0.25">
      <c r="B95" s="70">
        <f t="shared" si="20"/>
        <v>91</v>
      </c>
      <c r="C95" s="67">
        <f ca="1">IF(E95-'Invoer gegevens'!$C$17&lt;0,0,1)</f>
        <v>1</v>
      </c>
      <c r="D95" s="68">
        <f t="shared" si="21"/>
        <v>90.5</v>
      </c>
      <c r="E95" s="108">
        <f ca="1">IF('Invoer gegevens'!$C$16="","",E94+1)</f>
        <v>2109</v>
      </c>
      <c r="F95" s="84">
        <f ca="1">IF('Invoer gegevens'!$C$17=E95,'Invoer gegevens'!$C$10,IF(C95=1,K94,0))</f>
        <v>0</v>
      </c>
      <c r="G95" s="96">
        <f ca="1">IF(C95&gt;=1,F95*VLOOKUP(E95,Reeksen!$A$5:$B$76,2),0)</f>
        <v>0</v>
      </c>
      <c r="H95" s="84">
        <f ca="1">(1-('Invoer gegevens'!$F$20/12))*F95*MIN(Reeksen!B95,Reeksen!D95)</f>
        <v>0</v>
      </c>
      <c r="I95" s="84">
        <f>IF(Reeksen!D95&lt;Reeksen!B95,(Reeksen!B95-Reeksen!D95)*F95,0)</f>
        <v>0</v>
      </c>
      <c r="J95" s="84">
        <f ca="1">('Invoer gegevens'!$F$20/12)*F94*MIN(Reeksen!B94,Reeksen!D94)</f>
        <v>0</v>
      </c>
      <c r="K95" s="97">
        <f t="shared" ca="1" si="12"/>
        <v>0</v>
      </c>
      <c r="L95" s="84">
        <f ca="1">IF('Invoer gegevens'!$C$17=E95,0,IF(C95=1,Q94,0))</f>
        <v>0</v>
      </c>
      <c r="M95" s="96">
        <f ca="1">IF(C95&gt;=1,L95*VLOOKUP(E95,Reeksen!$A$5:$B$76,2),0)</f>
        <v>0</v>
      </c>
      <c r="N95" s="84">
        <f ca="1">(1-('Invoer gegevens'!$F$20/12))*L95*MIN(Reeksen!B95,Reeksen!D95)</f>
        <v>0</v>
      </c>
      <c r="O95" s="84">
        <f>IF(Reeksen!D95&lt;Reeksen!B95,(Reeksen!B95-Reeksen!D95)*L95,0)</f>
        <v>0</v>
      </c>
      <c r="P95" s="84">
        <f ca="1">('Invoer gegevens'!$F$20/12)*L94*MIN(Reeksen!B94,Reeksen!D94)</f>
        <v>0</v>
      </c>
      <c r="Q95" s="84">
        <f t="shared" ca="1" si="13"/>
        <v>0</v>
      </c>
      <c r="R95" s="82">
        <f ca="1">IF('Invoer gegevens'!$C$17=E95,'Invoer gegevens'!$C$11,IF(C95=1,W94,0))</f>
        <v>0</v>
      </c>
      <c r="S95" s="86">
        <f ca="1">IF(C95&gt;=1,R95*VLOOKUP(E95,Reeksen!$A$5:$B$76,2),0)</f>
        <v>0</v>
      </c>
      <c r="T95" s="84">
        <f ca="1">(1-('Invoer gegevens'!$F$20/12))*R95*MIN(Reeksen!B95,Reeksen!D95)</f>
        <v>0</v>
      </c>
      <c r="U95" s="84">
        <f>IF(Reeksen!D95&gt;=Reeksen!B95,0,IF(Reeksen!AK95&lt;=Reeksen!AE95,(Reeksen!B95-Reeksen!D95)*R95,0))</f>
        <v>0</v>
      </c>
      <c r="V95" s="86">
        <f>IF(Reeksen!D95&gt;=Reeksen!B95,0,IF(Reeksen!AK95&gt;Reeksen!AE95,(Reeksen!B95-Reeksen!D95)*R95,0))</f>
        <v>0</v>
      </c>
      <c r="W95" s="97">
        <f t="shared" ca="1" si="14"/>
        <v>0</v>
      </c>
      <c r="X95" s="98">
        <f ca="1">IF('Invoer gegevens'!$C$17=E95,'Invoer gegevens'!$C$10-'Invoer gegevens'!$C$11,IF(C95=1,AC94,0))</f>
        <v>0</v>
      </c>
      <c r="Y95" s="98">
        <f ca="1">IF(C95&gt;=1,X95*VLOOKUP(E95,Reeksen!$A$5:$B$76,2),0)</f>
        <v>0</v>
      </c>
      <c r="Z95" s="98">
        <f ca="1">(1-('Invoer gegevens'!$F$20/12))*X95*MIN(Reeksen!B95,Reeksen!D95)</f>
        <v>0</v>
      </c>
      <c r="AA95" s="98">
        <f>IF(Reeksen!D95&gt;=Reeksen!B95,0,IF(Reeksen!AK95&lt;=Reeksen!AE95,(Reeksen!B95-Reeksen!D95)*X95,0))</f>
        <v>0</v>
      </c>
      <c r="AB95" s="98">
        <f>IF(Reeksen!D95&gt;=Reeksen!B95,0,IF(Reeksen!AK95&gt;Reeksen!AE95,(Reeksen!B95-Reeksen!D95)*X95,0))</f>
        <v>0</v>
      </c>
      <c r="AC95" s="99">
        <f t="shared" ca="1" si="15"/>
        <v>0</v>
      </c>
      <c r="AD95" s="98">
        <f ca="1">IF('Invoer gegevens'!$C$17=E95,R95,IF(C95=0,0,AE94))</f>
        <v>0</v>
      </c>
      <c r="AE95" s="98">
        <f t="shared" ca="1" si="16"/>
        <v>0</v>
      </c>
      <c r="AF95" s="98">
        <f ca="1">IF('Invoer gegevens'!$C$17=E95,X95,IF(C95=0,0,AG94))</f>
        <v>0</v>
      </c>
      <c r="AG95" s="98">
        <f t="shared" ca="1" si="17"/>
        <v>0</v>
      </c>
      <c r="AH95" s="68"/>
      <c r="AI95" s="71">
        <f ca="1">IF(C95=1,Reeksen!AJ95*((F95-G95+F95)/2)*12+Reeksen!AK95*((L95-M95+L95)/2)*12,0)</f>
        <v>0</v>
      </c>
      <c r="AJ95" s="71">
        <f ca="1">-AI95*'Invoer gegevens'!$F$28</f>
        <v>0</v>
      </c>
      <c r="AK95" s="71">
        <f t="shared" ca="1" si="11"/>
        <v>0</v>
      </c>
      <c r="AL95" s="71">
        <f ca="1">IF(C95=1,Reeksen!AL95*((F95-G95+F95)/2)*12+Reeksen!AM95*((L95-M95+L95)/2)*12,0)</f>
        <v>0</v>
      </c>
      <c r="AM95" s="71">
        <f ca="1">-AL95*'Invoer gegevens'!$F$31</f>
        <v>0</v>
      </c>
      <c r="AN95" s="71">
        <f t="shared" ca="1" si="18"/>
        <v>0</v>
      </c>
      <c r="AO95" s="71">
        <f ca="1">IF(C95=1,(H95+J95+N95+P95)*Reeksen!AN95,0)</f>
        <v>0</v>
      </c>
      <c r="AP95" s="71">
        <f ca="1">-IF(C95=1,(H95+J95+N95+P95)*'Hulp - basis'!$G$550*Reeksen!H95,0)</f>
        <v>0</v>
      </c>
      <c r="AQ95" s="71">
        <f ca="1">-IF(C95=1,(F95+K95+L95+Q95)/2*'Invoer gegevens'!$I$33*Reeksen!J95,0)*2</f>
        <v>0</v>
      </c>
      <c r="AR95" s="71">
        <f ca="1">-IF(C95=1,(I95*'Invoer gegevens'!$I$34)*Reeksen!J95,0)</f>
        <v>0</v>
      </c>
      <c r="AS95" s="71">
        <f ca="1">-IF(C95=1,(F95+K95+L95+Q95)/2*'Invoer gegevens'!$I$35*Reeksen!L95,0)</f>
        <v>0</v>
      </c>
      <c r="AT95" s="71">
        <f ca="1">-IF(C95=1,IF(E95='Invoer gegevens'!$C$17,'Invoer gegevens'!$C$11,AD95)*Reeksen!S95*'Invoer gegevens'!$C$18*Reeksen!P95,0)</f>
        <v>0</v>
      </c>
      <c r="AU95" s="71">
        <f ca="1">-IF(C95=1,(F95+K95+L95+Q95)/2*'Invoer gegevens'!$I$36*Reeksen!H95,0)</f>
        <v>0</v>
      </c>
      <c r="AV95" s="71">
        <f>IF('Invoer gegevens'!$C$3="Basis",0,#REF!)</f>
        <v>0</v>
      </c>
      <c r="AW95" s="71">
        <f t="shared" ca="1" si="19"/>
        <v>0</v>
      </c>
      <c r="AX95" s="71">
        <f ca="1">IF(E95&lt;'Invoer gegevens'!$C$17+15,0,IF(E95&gt;'Invoer gegevens'!$C$17+215,0,AW95))</f>
        <v>0</v>
      </c>
      <c r="AY95" s="71">
        <f ca="1">AX95/(1+'Invoer gegevens'!$F$18)^($AZ95-('Invoer gegevens'!$C$17-'Invoer gegevens'!$C$16))/(1+'Invoer gegevens'!$C$39)^('Invoer gegevens'!$C$17-'Invoer gegevens'!$C$16)</f>
        <v>0</v>
      </c>
      <c r="AZ95" s="68">
        <f ca="1">IF(E95-'Invoer gegevens'!$C$17-14.5&lt;0,0,E95-'Invoer gegevens'!$C$17-14.5)</f>
        <v>75.5</v>
      </c>
    </row>
    <row r="96" spans="2:52" x14ac:dyDescent="0.25">
      <c r="B96" s="70">
        <f t="shared" si="20"/>
        <v>92</v>
      </c>
      <c r="C96" s="67">
        <f ca="1">IF(E96-'Invoer gegevens'!$C$17&lt;0,0,1)</f>
        <v>1</v>
      </c>
      <c r="D96" s="68">
        <f t="shared" si="21"/>
        <v>91.5</v>
      </c>
      <c r="E96" s="108">
        <f ca="1">IF('Invoer gegevens'!$C$16="","",E95+1)</f>
        <v>2110</v>
      </c>
      <c r="F96" s="84">
        <f ca="1">IF('Invoer gegevens'!$C$17=E96,'Invoer gegevens'!$C$10,IF(C96=1,K95,0))</f>
        <v>0</v>
      </c>
      <c r="G96" s="96">
        <f ca="1">IF(C96&gt;=1,F96*VLOOKUP(E96,Reeksen!$A$5:$B$76,2),0)</f>
        <v>0</v>
      </c>
      <c r="H96" s="84">
        <f ca="1">(1-('Invoer gegevens'!$F$20/12))*F96*MIN(Reeksen!B96,Reeksen!D96)</f>
        <v>0</v>
      </c>
      <c r="I96" s="84">
        <f>IF(Reeksen!D96&lt;Reeksen!B96,(Reeksen!B96-Reeksen!D96)*F96,0)</f>
        <v>0</v>
      </c>
      <c r="J96" s="84">
        <f ca="1">('Invoer gegevens'!$F$20/12)*F95*MIN(Reeksen!B95,Reeksen!D95)</f>
        <v>0</v>
      </c>
      <c r="K96" s="97">
        <f t="shared" ca="1" si="12"/>
        <v>0</v>
      </c>
      <c r="L96" s="84">
        <f ca="1">IF('Invoer gegevens'!$C$17=E96,0,IF(C96=1,Q95,0))</f>
        <v>0</v>
      </c>
      <c r="M96" s="96">
        <f ca="1">IF(C96&gt;=1,L96*VLOOKUP(E96,Reeksen!$A$5:$B$76,2),0)</f>
        <v>0</v>
      </c>
      <c r="N96" s="84">
        <f ca="1">(1-('Invoer gegevens'!$F$20/12))*L96*MIN(Reeksen!B96,Reeksen!D96)</f>
        <v>0</v>
      </c>
      <c r="O96" s="84">
        <f>IF(Reeksen!D96&lt;Reeksen!B96,(Reeksen!B96-Reeksen!D96)*L96,0)</f>
        <v>0</v>
      </c>
      <c r="P96" s="84">
        <f ca="1">('Invoer gegevens'!$F$20/12)*L95*MIN(Reeksen!B95,Reeksen!D95)</f>
        <v>0</v>
      </c>
      <c r="Q96" s="84">
        <f t="shared" ca="1" si="13"/>
        <v>0</v>
      </c>
      <c r="R96" s="82">
        <f ca="1">IF('Invoer gegevens'!$C$17=E96,'Invoer gegevens'!$C$11,IF(C96=1,W95,0))</f>
        <v>0</v>
      </c>
      <c r="S96" s="86">
        <f ca="1">IF(C96&gt;=1,R96*VLOOKUP(E96,Reeksen!$A$5:$B$76,2),0)</f>
        <v>0</v>
      </c>
      <c r="T96" s="84">
        <f ca="1">(1-('Invoer gegevens'!$F$20/12))*R96*MIN(Reeksen!B96,Reeksen!D96)</f>
        <v>0</v>
      </c>
      <c r="U96" s="84">
        <f>IF(Reeksen!D96&gt;=Reeksen!B96,0,IF(Reeksen!AK96&lt;=Reeksen!AE96,(Reeksen!B96-Reeksen!D96)*R96,0))</f>
        <v>0</v>
      </c>
      <c r="V96" s="86">
        <f>IF(Reeksen!D96&gt;=Reeksen!B96,0,IF(Reeksen!AK96&gt;Reeksen!AE96,(Reeksen!B96-Reeksen!D96)*R96,0))</f>
        <v>0</v>
      </c>
      <c r="W96" s="97">
        <f t="shared" ca="1" si="14"/>
        <v>0</v>
      </c>
      <c r="X96" s="98">
        <f ca="1">IF('Invoer gegevens'!$C$17=E96,'Invoer gegevens'!$C$10-'Invoer gegevens'!$C$11,IF(C96=1,AC95,0))</f>
        <v>0</v>
      </c>
      <c r="Y96" s="98">
        <f ca="1">IF(C96&gt;=1,X96*VLOOKUP(E96,Reeksen!$A$5:$B$76,2),0)</f>
        <v>0</v>
      </c>
      <c r="Z96" s="98">
        <f ca="1">(1-('Invoer gegevens'!$F$20/12))*X96*MIN(Reeksen!B96,Reeksen!D96)</f>
        <v>0</v>
      </c>
      <c r="AA96" s="98">
        <f>IF(Reeksen!D96&gt;=Reeksen!B96,0,IF(Reeksen!AK96&lt;=Reeksen!AE96,(Reeksen!B96-Reeksen!D96)*X96,0))</f>
        <v>0</v>
      </c>
      <c r="AB96" s="98">
        <f>IF(Reeksen!D96&gt;=Reeksen!B96,0,IF(Reeksen!AK96&gt;Reeksen!AE96,(Reeksen!B96-Reeksen!D96)*X96,0))</f>
        <v>0</v>
      </c>
      <c r="AC96" s="99">
        <f t="shared" ca="1" si="15"/>
        <v>0</v>
      </c>
      <c r="AD96" s="98">
        <f ca="1">IF('Invoer gegevens'!$C$17=E96,R96,IF(C96=0,0,AE95))</f>
        <v>0</v>
      </c>
      <c r="AE96" s="98">
        <f t="shared" ca="1" si="16"/>
        <v>0</v>
      </c>
      <c r="AF96" s="98">
        <f ca="1">IF('Invoer gegevens'!$C$17=E96,X96,IF(C96=0,0,AG95))</f>
        <v>0</v>
      </c>
      <c r="AG96" s="98">
        <f t="shared" ca="1" si="17"/>
        <v>0</v>
      </c>
      <c r="AH96" s="68"/>
      <c r="AI96" s="71">
        <f ca="1">IF(C96=1,Reeksen!AJ96*((F96-G96+F96)/2)*12+Reeksen!AK96*((L96-M96+L96)/2)*12,0)</f>
        <v>0</v>
      </c>
      <c r="AJ96" s="71">
        <f ca="1">-AI96*'Invoer gegevens'!$F$28</f>
        <v>0</v>
      </c>
      <c r="AK96" s="71">
        <f t="shared" ca="1" si="11"/>
        <v>0</v>
      </c>
      <c r="AL96" s="71">
        <f ca="1">IF(C96=1,Reeksen!AL96*((F96-G96+F96)/2)*12+Reeksen!AM96*((L96-M96+L96)/2)*12,0)</f>
        <v>0</v>
      </c>
      <c r="AM96" s="71">
        <f ca="1">-AL96*'Invoer gegevens'!$F$31</f>
        <v>0</v>
      </c>
      <c r="AN96" s="71">
        <f t="shared" ca="1" si="18"/>
        <v>0</v>
      </c>
      <c r="AO96" s="71">
        <f ca="1">IF(C96=1,(H96+J96+N96+P96)*Reeksen!AN96,0)</f>
        <v>0</v>
      </c>
      <c r="AP96" s="71">
        <f ca="1">-IF(C96=1,(H96+J96+N96+P96)*'Hulp - basis'!$G$550*Reeksen!H96,0)</f>
        <v>0</v>
      </c>
      <c r="AQ96" s="71">
        <f ca="1">-IF(C96=1,(F96+K96+L96+Q96)/2*'Invoer gegevens'!$I$33*Reeksen!J96,0)*2</f>
        <v>0</v>
      </c>
      <c r="AR96" s="71">
        <f ca="1">-IF(C96=1,(I96*'Invoer gegevens'!$I$34)*Reeksen!J96,0)</f>
        <v>0</v>
      </c>
      <c r="AS96" s="71">
        <f ca="1">-IF(C96=1,(F96+K96+L96+Q96)/2*'Invoer gegevens'!$I$35*Reeksen!L96,0)</f>
        <v>0</v>
      </c>
      <c r="AT96" s="71">
        <f ca="1">-IF(C96=1,IF(E96='Invoer gegevens'!$C$17,'Invoer gegevens'!$C$11,AD96)*Reeksen!S96*'Invoer gegevens'!$C$18*Reeksen!P96,0)</f>
        <v>0</v>
      </c>
      <c r="AU96" s="71">
        <f ca="1">-IF(C96=1,(F96+K96+L96+Q96)/2*'Invoer gegevens'!$I$36*Reeksen!H96,0)</f>
        <v>0</v>
      </c>
      <c r="AV96" s="71">
        <f>IF('Invoer gegevens'!$C$3="Basis",0,#REF!)</f>
        <v>0</v>
      </c>
      <c r="AW96" s="71">
        <f t="shared" ca="1" si="19"/>
        <v>0</v>
      </c>
      <c r="AX96" s="71">
        <f ca="1">IF(E96&lt;'Invoer gegevens'!$C$17+15,0,IF(E96&gt;'Invoer gegevens'!$C$17+215,0,AW96))</f>
        <v>0</v>
      </c>
      <c r="AY96" s="71">
        <f ca="1">AX96/(1+'Invoer gegevens'!$F$18)^($AZ96-('Invoer gegevens'!$C$17-'Invoer gegevens'!$C$16))/(1+'Invoer gegevens'!$C$39)^('Invoer gegevens'!$C$17-'Invoer gegevens'!$C$16)</f>
        <v>0</v>
      </c>
      <c r="AZ96" s="68">
        <f ca="1">IF(E96-'Invoer gegevens'!$C$17-14.5&lt;0,0,E96-'Invoer gegevens'!$C$17-14.5)</f>
        <v>76.5</v>
      </c>
    </row>
    <row r="97" spans="2:52" x14ac:dyDescent="0.25">
      <c r="B97" s="70">
        <f t="shared" si="20"/>
        <v>93</v>
      </c>
      <c r="C97" s="67">
        <f ca="1">IF(E97-'Invoer gegevens'!$C$17&lt;0,0,1)</f>
        <v>1</v>
      </c>
      <c r="D97" s="68">
        <f t="shared" si="21"/>
        <v>92.5</v>
      </c>
      <c r="E97" s="108">
        <f ca="1">IF('Invoer gegevens'!$C$16="","",E96+1)</f>
        <v>2111</v>
      </c>
      <c r="F97" s="84">
        <f ca="1">IF('Invoer gegevens'!$C$17=E97,'Invoer gegevens'!$C$10,IF(C97=1,K96,0))</f>
        <v>0</v>
      </c>
      <c r="G97" s="96">
        <f ca="1">IF(C97&gt;=1,F97*VLOOKUP(E97,Reeksen!$A$5:$B$76,2),0)</f>
        <v>0</v>
      </c>
      <c r="H97" s="84">
        <f ca="1">(1-('Invoer gegevens'!$F$20/12))*F97*MIN(Reeksen!B97,Reeksen!D97)</f>
        <v>0</v>
      </c>
      <c r="I97" s="84">
        <f>IF(Reeksen!D97&lt;Reeksen!B97,(Reeksen!B97-Reeksen!D97)*F97,0)</f>
        <v>0</v>
      </c>
      <c r="J97" s="84">
        <f ca="1">('Invoer gegevens'!$F$20/12)*F96*MIN(Reeksen!B96,Reeksen!D96)</f>
        <v>0</v>
      </c>
      <c r="K97" s="97">
        <f t="shared" ca="1" si="12"/>
        <v>0</v>
      </c>
      <c r="L97" s="84">
        <f ca="1">IF('Invoer gegevens'!$C$17=E97,0,IF(C97=1,Q96,0))</f>
        <v>0</v>
      </c>
      <c r="M97" s="96">
        <f ca="1">IF(C97&gt;=1,L97*VLOOKUP(E97,Reeksen!$A$5:$B$76,2),0)</f>
        <v>0</v>
      </c>
      <c r="N97" s="84">
        <f ca="1">(1-('Invoer gegevens'!$F$20/12))*L97*MIN(Reeksen!B97,Reeksen!D97)</f>
        <v>0</v>
      </c>
      <c r="O97" s="84">
        <f>IF(Reeksen!D97&lt;Reeksen!B97,(Reeksen!B97-Reeksen!D97)*L97,0)</f>
        <v>0</v>
      </c>
      <c r="P97" s="84">
        <f ca="1">('Invoer gegevens'!$F$20/12)*L96*MIN(Reeksen!B96,Reeksen!D96)</f>
        <v>0</v>
      </c>
      <c r="Q97" s="84">
        <f t="shared" ca="1" si="13"/>
        <v>0</v>
      </c>
      <c r="R97" s="82">
        <f ca="1">IF('Invoer gegevens'!$C$17=E97,'Invoer gegevens'!$C$11,IF(C97=1,W96,0))</f>
        <v>0</v>
      </c>
      <c r="S97" s="86">
        <f ca="1">IF(C97&gt;=1,R97*VLOOKUP(E97,Reeksen!$A$5:$B$76,2),0)</f>
        <v>0</v>
      </c>
      <c r="T97" s="84">
        <f ca="1">(1-('Invoer gegevens'!$F$20/12))*R97*MIN(Reeksen!B97,Reeksen!D97)</f>
        <v>0</v>
      </c>
      <c r="U97" s="84">
        <f>IF(Reeksen!D97&gt;=Reeksen!B97,0,IF(Reeksen!AK97&lt;=Reeksen!AE97,(Reeksen!B97-Reeksen!D97)*R97,0))</f>
        <v>0</v>
      </c>
      <c r="V97" s="86">
        <f>IF(Reeksen!D97&gt;=Reeksen!B97,0,IF(Reeksen!AK97&gt;Reeksen!AE97,(Reeksen!B97-Reeksen!D97)*R97,0))</f>
        <v>0</v>
      </c>
      <c r="W97" s="97">
        <f t="shared" ca="1" si="14"/>
        <v>0</v>
      </c>
      <c r="X97" s="98">
        <f ca="1">IF('Invoer gegevens'!$C$17=E97,'Invoer gegevens'!$C$10-'Invoer gegevens'!$C$11,IF(C97=1,AC96,0))</f>
        <v>0</v>
      </c>
      <c r="Y97" s="98">
        <f ca="1">IF(C97&gt;=1,X97*VLOOKUP(E97,Reeksen!$A$5:$B$76,2),0)</f>
        <v>0</v>
      </c>
      <c r="Z97" s="98">
        <f ca="1">(1-('Invoer gegevens'!$F$20/12))*X97*MIN(Reeksen!B97,Reeksen!D97)</f>
        <v>0</v>
      </c>
      <c r="AA97" s="98">
        <f>IF(Reeksen!D97&gt;=Reeksen!B97,0,IF(Reeksen!AK97&lt;=Reeksen!AE97,(Reeksen!B97-Reeksen!D97)*X97,0))</f>
        <v>0</v>
      </c>
      <c r="AB97" s="98">
        <f>IF(Reeksen!D97&gt;=Reeksen!B97,0,IF(Reeksen!AK97&gt;Reeksen!AE97,(Reeksen!B97-Reeksen!D97)*X97,0))</f>
        <v>0</v>
      </c>
      <c r="AC97" s="99">
        <f t="shared" ca="1" si="15"/>
        <v>0</v>
      </c>
      <c r="AD97" s="98">
        <f ca="1">IF('Invoer gegevens'!$C$17=E97,R97,IF(C97=0,0,AE96))</f>
        <v>0</v>
      </c>
      <c r="AE97" s="98">
        <f t="shared" ca="1" si="16"/>
        <v>0</v>
      </c>
      <c r="AF97" s="98">
        <f ca="1">IF('Invoer gegevens'!$C$17=E97,X97,IF(C97=0,0,AG96))</f>
        <v>0</v>
      </c>
      <c r="AG97" s="98">
        <f t="shared" ca="1" si="17"/>
        <v>0</v>
      </c>
      <c r="AH97" s="68"/>
      <c r="AI97" s="71">
        <f ca="1">IF(C97=1,Reeksen!AJ97*((F97-G97+F97)/2)*12+Reeksen!AK97*((L97-M97+L97)/2)*12,0)</f>
        <v>0</v>
      </c>
      <c r="AJ97" s="71">
        <f ca="1">-AI97*'Invoer gegevens'!$F$28</f>
        <v>0</v>
      </c>
      <c r="AK97" s="71">
        <f t="shared" ca="1" si="11"/>
        <v>0</v>
      </c>
      <c r="AL97" s="71">
        <f ca="1">IF(C97=1,Reeksen!AL97*((F97-G97+F97)/2)*12+Reeksen!AM97*((L97-M97+L97)/2)*12,0)</f>
        <v>0</v>
      </c>
      <c r="AM97" s="71">
        <f ca="1">-AL97*'Invoer gegevens'!$F$31</f>
        <v>0</v>
      </c>
      <c r="AN97" s="71">
        <f t="shared" ca="1" si="18"/>
        <v>0</v>
      </c>
      <c r="AO97" s="71">
        <f ca="1">IF(C97=1,(H97+J97+N97+P97)*Reeksen!AN97,0)</f>
        <v>0</v>
      </c>
      <c r="AP97" s="71">
        <f ca="1">-IF(C97=1,(H97+J97+N97+P97)*'Hulp - basis'!$G$550*Reeksen!H97,0)</f>
        <v>0</v>
      </c>
      <c r="AQ97" s="71">
        <f ca="1">-IF(C97=1,(F97+K97+L97+Q97)/2*'Invoer gegevens'!$I$33*Reeksen!J97,0)*2</f>
        <v>0</v>
      </c>
      <c r="AR97" s="71">
        <f ca="1">-IF(C97=1,(I97*'Invoer gegevens'!$I$34)*Reeksen!J97,0)</f>
        <v>0</v>
      </c>
      <c r="AS97" s="71">
        <f ca="1">-IF(C97=1,(F97+K97+L97+Q97)/2*'Invoer gegevens'!$I$35*Reeksen!L97,0)</f>
        <v>0</v>
      </c>
      <c r="AT97" s="71">
        <f ca="1">-IF(C97=1,IF(E97='Invoer gegevens'!$C$17,'Invoer gegevens'!$C$11,AD97)*Reeksen!S97*'Invoer gegevens'!$C$18*Reeksen!P97,0)</f>
        <v>0</v>
      </c>
      <c r="AU97" s="71">
        <f ca="1">-IF(C97=1,(F97+K97+L97+Q97)/2*'Invoer gegevens'!$I$36*Reeksen!H97,0)</f>
        <v>0</v>
      </c>
      <c r="AV97" s="71">
        <f>IF('Invoer gegevens'!$C$3="Basis",0,#REF!)</f>
        <v>0</v>
      </c>
      <c r="AW97" s="71">
        <f t="shared" ca="1" si="19"/>
        <v>0</v>
      </c>
      <c r="AX97" s="71">
        <f ca="1">IF(E97&lt;'Invoer gegevens'!$C$17+15,0,IF(E97&gt;'Invoer gegevens'!$C$17+215,0,AW97))</f>
        <v>0</v>
      </c>
      <c r="AY97" s="71">
        <f ca="1">AX97/(1+'Invoer gegevens'!$F$18)^($AZ97-('Invoer gegevens'!$C$17-'Invoer gegevens'!$C$16))/(1+'Invoer gegevens'!$C$39)^('Invoer gegevens'!$C$17-'Invoer gegevens'!$C$16)</f>
        <v>0</v>
      </c>
      <c r="AZ97" s="68">
        <f ca="1">IF(E97-'Invoer gegevens'!$C$17-14.5&lt;0,0,E97-'Invoer gegevens'!$C$17-14.5)</f>
        <v>77.5</v>
      </c>
    </row>
    <row r="98" spans="2:52" x14ac:dyDescent="0.25">
      <c r="B98" s="70">
        <f t="shared" si="20"/>
        <v>94</v>
      </c>
      <c r="C98" s="67">
        <f ca="1">IF(E98-'Invoer gegevens'!$C$17&lt;0,0,1)</f>
        <v>1</v>
      </c>
      <c r="D98" s="68">
        <f t="shared" si="21"/>
        <v>93.5</v>
      </c>
      <c r="E98" s="108">
        <f ca="1">IF('Invoer gegevens'!$C$16="","",E97+1)</f>
        <v>2112</v>
      </c>
      <c r="F98" s="84">
        <f ca="1">IF('Invoer gegevens'!$C$17=E98,'Invoer gegevens'!$C$10,IF(C98=1,K97,0))</f>
        <v>0</v>
      </c>
      <c r="G98" s="96">
        <f ca="1">IF(C98&gt;=1,F98*VLOOKUP(E98,Reeksen!$A$5:$B$76,2),0)</f>
        <v>0</v>
      </c>
      <c r="H98" s="84">
        <f ca="1">(1-('Invoer gegevens'!$F$20/12))*F98*MIN(Reeksen!B98,Reeksen!D98)</f>
        <v>0</v>
      </c>
      <c r="I98" s="84">
        <f>IF(Reeksen!D98&lt;Reeksen!B98,(Reeksen!B98-Reeksen!D98)*F98,0)</f>
        <v>0</v>
      </c>
      <c r="J98" s="84">
        <f ca="1">('Invoer gegevens'!$F$20/12)*F97*MIN(Reeksen!B97,Reeksen!D97)</f>
        <v>0</v>
      </c>
      <c r="K98" s="97">
        <f t="shared" ca="1" si="12"/>
        <v>0</v>
      </c>
      <c r="L98" s="84">
        <f ca="1">IF('Invoer gegevens'!$C$17=E98,0,IF(C98=1,Q97,0))</f>
        <v>0</v>
      </c>
      <c r="M98" s="96">
        <f ca="1">IF(C98&gt;=1,L98*VLOOKUP(E98,Reeksen!$A$5:$B$76,2),0)</f>
        <v>0</v>
      </c>
      <c r="N98" s="84">
        <f ca="1">(1-('Invoer gegevens'!$F$20/12))*L98*MIN(Reeksen!B98,Reeksen!D98)</f>
        <v>0</v>
      </c>
      <c r="O98" s="84">
        <f>IF(Reeksen!D98&lt;Reeksen!B98,(Reeksen!B98-Reeksen!D98)*L98,0)</f>
        <v>0</v>
      </c>
      <c r="P98" s="84">
        <f ca="1">('Invoer gegevens'!$F$20/12)*L97*MIN(Reeksen!B97,Reeksen!D97)</f>
        <v>0</v>
      </c>
      <c r="Q98" s="84">
        <f t="shared" ca="1" si="13"/>
        <v>0</v>
      </c>
      <c r="R98" s="82">
        <f ca="1">IF('Invoer gegevens'!$C$17=E98,'Invoer gegevens'!$C$11,IF(C98=1,W97,0))</f>
        <v>0</v>
      </c>
      <c r="S98" s="86">
        <f ca="1">IF(C98&gt;=1,R98*VLOOKUP(E98,Reeksen!$A$5:$B$76,2),0)</f>
        <v>0</v>
      </c>
      <c r="T98" s="84">
        <f ca="1">(1-('Invoer gegevens'!$F$20/12))*R98*MIN(Reeksen!B98,Reeksen!D98)</f>
        <v>0</v>
      </c>
      <c r="U98" s="84">
        <f>IF(Reeksen!D98&gt;=Reeksen!B98,0,IF(Reeksen!AK98&lt;=Reeksen!AE98,(Reeksen!B98-Reeksen!D98)*R98,0))</f>
        <v>0</v>
      </c>
      <c r="V98" s="86">
        <f>IF(Reeksen!D98&gt;=Reeksen!B98,0,IF(Reeksen!AK98&gt;Reeksen!AE98,(Reeksen!B98-Reeksen!D98)*R98,0))</f>
        <v>0</v>
      </c>
      <c r="W98" s="97">
        <f t="shared" ca="1" si="14"/>
        <v>0</v>
      </c>
      <c r="X98" s="98">
        <f ca="1">IF('Invoer gegevens'!$C$17=E98,'Invoer gegevens'!$C$10-'Invoer gegevens'!$C$11,IF(C98=1,AC97,0))</f>
        <v>0</v>
      </c>
      <c r="Y98" s="98">
        <f ca="1">IF(C98&gt;=1,X98*VLOOKUP(E98,Reeksen!$A$5:$B$76,2),0)</f>
        <v>0</v>
      </c>
      <c r="Z98" s="98">
        <f ca="1">(1-('Invoer gegevens'!$F$20/12))*X98*MIN(Reeksen!B98,Reeksen!D98)</f>
        <v>0</v>
      </c>
      <c r="AA98" s="98">
        <f>IF(Reeksen!D98&gt;=Reeksen!B98,0,IF(Reeksen!AK98&lt;=Reeksen!AE98,(Reeksen!B98-Reeksen!D98)*X98,0))</f>
        <v>0</v>
      </c>
      <c r="AB98" s="98">
        <f>IF(Reeksen!D98&gt;=Reeksen!B98,0,IF(Reeksen!AK98&gt;Reeksen!AE98,(Reeksen!B98-Reeksen!D98)*X98,0))</f>
        <v>0</v>
      </c>
      <c r="AC98" s="99">
        <f t="shared" ca="1" si="15"/>
        <v>0</v>
      </c>
      <c r="AD98" s="98">
        <f ca="1">IF('Invoer gegevens'!$C$17=E98,R98,IF(C98=0,0,AE97))</f>
        <v>0</v>
      </c>
      <c r="AE98" s="98">
        <f t="shared" ca="1" si="16"/>
        <v>0</v>
      </c>
      <c r="AF98" s="98">
        <f ca="1">IF('Invoer gegevens'!$C$17=E98,X98,IF(C98=0,0,AG97))</f>
        <v>0</v>
      </c>
      <c r="AG98" s="98">
        <f t="shared" ca="1" si="17"/>
        <v>0</v>
      </c>
      <c r="AH98" s="68"/>
      <c r="AI98" s="71">
        <f ca="1">IF(C98=1,Reeksen!AJ98*((F98-G98+F98)/2)*12+Reeksen!AK98*((L98-M98+L98)/2)*12,0)</f>
        <v>0</v>
      </c>
      <c r="AJ98" s="71">
        <f ca="1">-AI98*'Invoer gegevens'!$F$28</f>
        <v>0</v>
      </c>
      <c r="AK98" s="71">
        <f t="shared" ca="1" si="11"/>
        <v>0</v>
      </c>
      <c r="AL98" s="71">
        <f ca="1">IF(C98=1,Reeksen!AL98*((F98-G98+F98)/2)*12+Reeksen!AM98*((L98-M98+L98)/2)*12,0)</f>
        <v>0</v>
      </c>
      <c r="AM98" s="71">
        <f ca="1">-AL98*'Invoer gegevens'!$F$31</f>
        <v>0</v>
      </c>
      <c r="AN98" s="71">
        <f t="shared" ca="1" si="18"/>
        <v>0</v>
      </c>
      <c r="AO98" s="71">
        <f ca="1">IF(C98=1,(H98+J98+N98+P98)*Reeksen!AN98,0)</f>
        <v>0</v>
      </c>
      <c r="AP98" s="71">
        <f ca="1">-IF(C98=1,(H98+J98+N98+P98)*'Hulp - basis'!$G$550*Reeksen!H98,0)</f>
        <v>0</v>
      </c>
      <c r="AQ98" s="71">
        <f ca="1">-IF(C98=1,(F98+K98+L98+Q98)/2*'Invoer gegevens'!$I$33*Reeksen!J98,0)*2</f>
        <v>0</v>
      </c>
      <c r="AR98" s="71">
        <f ca="1">-IF(C98=1,(I98*'Invoer gegevens'!$I$34)*Reeksen!J98,0)</f>
        <v>0</v>
      </c>
      <c r="AS98" s="71">
        <f ca="1">-IF(C98=1,(F98+K98+L98+Q98)/2*'Invoer gegevens'!$I$35*Reeksen!L98,0)</f>
        <v>0</v>
      </c>
      <c r="AT98" s="71">
        <f ca="1">-IF(C98=1,IF(E98='Invoer gegevens'!$C$17,'Invoer gegevens'!$C$11,AD98)*Reeksen!S98*'Invoer gegevens'!$C$18*Reeksen!P98,0)</f>
        <v>0</v>
      </c>
      <c r="AU98" s="71">
        <f ca="1">-IF(C98=1,(F98+K98+L98+Q98)/2*'Invoer gegevens'!$I$36*Reeksen!H98,0)</f>
        <v>0</v>
      </c>
      <c r="AV98" s="71">
        <f>IF('Invoer gegevens'!$C$3="Basis",0,#REF!)</f>
        <v>0</v>
      </c>
      <c r="AW98" s="71">
        <f t="shared" ca="1" si="19"/>
        <v>0</v>
      </c>
      <c r="AX98" s="71">
        <f ca="1">IF(E98&lt;'Invoer gegevens'!$C$17+15,0,IF(E98&gt;'Invoer gegevens'!$C$17+215,0,AW98))</f>
        <v>0</v>
      </c>
      <c r="AY98" s="71">
        <f ca="1">AX98/(1+'Invoer gegevens'!$F$18)^($AZ98-('Invoer gegevens'!$C$17-'Invoer gegevens'!$C$16))/(1+'Invoer gegevens'!$C$39)^('Invoer gegevens'!$C$17-'Invoer gegevens'!$C$16)</f>
        <v>0</v>
      </c>
      <c r="AZ98" s="68">
        <f ca="1">IF(E98-'Invoer gegevens'!$C$17-14.5&lt;0,0,E98-'Invoer gegevens'!$C$17-14.5)</f>
        <v>78.5</v>
      </c>
    </row>
    <row r="99" spans="2:52" x14ac:dyDescent="0.25">
      <c r="B99" s="70">
        <f t="shared" si="20"/>
        <v>95</v>
      </c>
      <c r="C99" s="67">
        <f ca="1">IF(E99-'Invoer gegevens'!$C$17&lt;0,0,1)</f>
        <v>1</v>
      </c>
      <c r="D99" s="68">
        <f t="shared" si="21"/>
        <v>94.5</v>
      </c>
      <c r="E99" s="108">
        <f ca="1">IF('Invoer gegevens'!$C$16="","",E98+1)</f>
        <v>2113</v>
      </c>
      <c r="F99" s="84">
        <f ca="1">IF('Invoer gegevens'!$C$17=E99,'Invoer gegevens'!$C$10,IF(C99=1,K98,0))</f>
        <v>0</v>
      </c>
      <c r="G99" s="96">
        <f ca="1">IF(C99&gt;=1,F99*VLOOKUP(E99,Reeksen!$A$5:$B$76,2),0)</f>
        <v>0</v>
      </c>
      <c r="H99" s="84">
        <f ca="1">(1-('Invoer gegevens'!$F$20/12))*F99*MIN(Reeksen!B99,Reeksen!D99)</f>
        <v>0</v>
      </c>
      <c r="I99" s="84">
        <f>IF(Reeksen!D99&lt;Reeksen!B99,(Reeksen!B99-Reeksen!D99)*F99,0)</f>
        <v>0</v>
      </c>
      <c r="J99" s="84">
        <f ca="1">('Invoer gegevens'!$F$20/12)*F98*MIN(Reeksen!B98,Reeksen!D98)</f>
        <v>0</v>
      </c>
      <c r="K99" s="97">
        <f t="shared" ca="1" si="12"/>
        <v>0</v>
      </c>
      <c r="L99" s="84">
        <f ca="1">IF('Invoer gegevens'!$C$17=E99,0,IF(C99=1,Q98,0))</f>
        <v>0</v>
      </c>
      <c r="M99" s="96">
        <f ca="1">IF(C99&gt;=1,L99*VLOOKUP(E99,Reeksen!$A$5:$B$76,2),0)</f>
        <v>0</v>
      </c>
      <c r="N99" s="84">
        <f ca="1">(1-('Invoer gegevens'!$F$20/12))*L99*MIN(Reeksen!B99,Reeksen!D99)</f>
        <v>0</v>
      </c>
      <c r="O99" s="84">
        <f>IF(Reeksen!D99&lt;Reeksen!B99,(Reeksen!B99-Reeksen!D99)*L99,0)</f>
        <v>0</v>
      </c>
      <c r="P99" s="84">
        <f ca="1">('Invoer gegevens'!$F$20/12)*L98*MIN(Reeksen!B98,Reeksen!D98)</f>
        <v>0</v>
      </c>
      <c r="Q99" s="84">
        <f t="shared" ca="1" si="13"/>
        <v>0</v>
      </c>
      <c r="R99" s="82">
        <f ca="1">IF('Invoer gegevens'!$C$17=E99,'Invoer gegevens'!$C$11,IF(C99=1,W98,0))</f>
        <v>0</v>
      </c>
      <c r="S99" s="86">
        <f ca="1">IF(C99&gt;=1,R99*VLOOKUP(E99,Reeksen!$A$5:$B$76,2),0)</f>
        <v>0</v>
      </c>
      <c r="T99" s="84">
        <f ca="1">(1-('Invoer gegevens'!$F$20/12))*R99*MIN(Reeksen!B99,Reeksen!D99)</f>
        <v>0</v>
      </c>
      <c r="U99" s="84">
        <f>IF(Reeksen!D99&gt;=Reeksen!B99,0,IF(Reeksen!AK99&lt;=Reeksen!AE99,(Reeksen!B99-Reeksen!D99)*R99,0))</f>
        <v>0</v>
      </c>
      <c r="V99" s="86">
        <f>IF(Reeksen!D99&gt;=Reeksen!B99,0,IF(Reeksen!AK99&gt;Reeksen!AE99,(Reeksen!B99-Reeksen!D99)*R99,0))</f>
        <v>0</v>
      </c>
      <c r="W99" s="97">
        <f t="shared" ca="1" si="14"/>
        <v>0</v>
      </c>
      <c r="X99" s="98">
        <f ca="1">IF('Invoer gegevens'!$C$17=E99,'Invoer gegevens'!$C$10-'Invoer gegevens'!$C$11,IF(C99=1,AC98,0))</f>
        <v>0</v>
      </c>
      <c r="Y99" s="98">
        <f ca="1">IF(C99&gt;=1,X99*VLOOKUP(E99,Reeksen!$A$5:$B$76,2),0)</f>
        <v>0</v>
      </c>
      <c r="Z99" s="98">
        <f ca="1">(1-('Invoer gegevens'!$F$20/12))*X99*MIN(Reeksen!B99,Reeksen!D99)</f>
        <v>0</v>
      </c>
      <c r="AA99" s="98">
        <f>IF(Reeksen!D99&gt;=Reeksen!B99,0,IF(Reeksen!AK99&lt;=Reeksen!AE99,(Reeksen!B99-Reeksen!D99)*X99,0))</f>
        <v>0</v>
      </c>
      <c r="AB99" s="98">
        <f>IF(Reeksen!D99&gt;=Reeksen!B99,0,IF(Reeksen!AK99&gt;Reeksen!AE99,(Reeksen!B99-Reeksen!D99)*X99,0))</f>
        <v>0</v>
      </c>
      <c r="AC99" s="99">
        <f t="shared" ca="1" si="15"/>
        <v>0</v>
      </c>
      <c r="AD99" s="98">
        <f ca="1">IF('Invoer gegevens'!$C$17=E99,R99,IF(C99=0,0,AE98))</f>
        <v>0</v>
      </c>
      <c r="AE99" s="98">
        <f t="shared" ca="1" si="16"/>
        <v>0</v>
      </c>
      <c r="AF99" s="98">
        <f ca="1">IF('Invoer gegevens'!$C$17=E99,X99,IF(C99=0,0,AG98))</f>
        <v>0</v>
      </c>
      <c r="AG99" s="98">
        <f t="shared" ca="1" si="17"/>
        <v>0</v>
      </c>
      <c r="AH99" s="68"/>
      <c r="AI99" s="71">
        <f ca="1">IF(C99=1,Reeksen!AJ99*((F99-G99+F99)/2)*12+Reeksen!AK99*((L99-M99+L99)/2)*12,0)</f>
        <v>0</v>
      </c>
      <c r="AJ99" s="71">
        <f ca="1">-AI99*'Invoer gegevens'!$F$28</f>
        <v>0</v>
      </c>
      <c r="AK99" s="71">
        <f t="shared" ca="1" si="11"/>
        <v>0</v>
      </c>
      <c r="AL99" s="71">
        <f ca="1">IF(C99=1,Reeksen!AL99*((F99-G99+F99)/2)*12+Reeksen!AM99*((L99-M99+L99)/2)*12,0)</f>
        <v>0</v>
      </c>
      <c r="AM99" s="71">
        <f ca="1">-AL99*'Invoer gegevens'!$F$31</f>
        <v>0</v>
      </c>
      <c r="AN99" s="71">
        <f t="shared" ca="1" si="18"/>
        <v>0</v>
      </c>
      <c r="AO99" s="71">
        <f ca="1">IF(C99=1,(H99+J99+N99+P99)*Reeksen!AN99,0)</f>
        <v>0</v>
      </c>
      <c r="AP99" s="71">
        <f ca="1">-IF(C99=1,(H99+J99+N99+P99)*'Hulp - basis'!$G$550*Reeksen!H99,0)</f>
        <v>0</v>
      </c>
      <c r="AQ99" s="71">
        <f ca="1">-IF(C99=1,(F99+K99+L99+Q99)/2*'Invoer gegevens'!$I$33*Reeksen!J99,0)*2</f>
        <v>0</v>
      </c>
      <c r="AR99" s="71">
        <f ca="1">-IF(C99=1,(I99*'Invoer gegevens'!$I$34)*Reeksen!J99,0)</f>
        <v>0</v>
      </c>
      <c r="AS99" s="71">
        <f ca="1">-IF(C99=1,(F99+K99+L99+Q99)/2*'Invoer gegevens'!$I$35*Reeksen!L99,0)</f>
        <v>0</v>
      </c>
      <c r="AT99" s="71">
        <f ca="1">-IF(C99=1,IF(E99='Invoer gegevens'!$C$17,'Invoer gegevens'!$C$11,AD99)*Reeksen!S99*'Invoer gegevens'!$C$18*Reeksen!P99,0)</f>
        <v>0</v>
      </c>
      <c r="AU99" s="71">
        <f ca="1">-IF(C99=1,(F99+K99+L99+Q99)/2*'Invoer gegevens'!$I$36*Reeksen!H99,0)</f>
        <v>0</v>
      </c>
      <c r="AV99" s="71">
        <f>IF('Invoer gegevens'!$C$3="Basis",0,#REF!)</f>
        <v>0</v>
      </c>
      <c r="AW99" s="71">
        <f t="shared" ca="1" si="19"/>
        <v>0</v>
      </c>
      <c r="AX99" s="71">
        <f ca="1">IF(E99&lt;'Invoer gegevens'!$C$17+15,0,IF(E99&gt;'Invoer gegevens'!$C$17+215,0,AW99))</f>
        <v>0</v>
      </c>
      <c r="AY99" s="71">
        <f ca="1">AX99/(1+'Invoer gegevens'!$F$18)^($AZ99-('Invoer gegevens'!$C$17-'Invoer gegevens'!$C$16))/(1+'Invoer gegevens'!$C$39)^('Invoer gegevens'!$C$17-'Invoer gegevens'!$C$16)</f>
        <v>0</v>
      </c>
      <c r="AZ99" s="68">
        <f ca="1">IF(E99-'Invoer gegevens'!$C$17-14.5&lt;0,0,E99-'Invoer gegevens'!$C$17-14.5)</f>
        <v>79.5</v>
      </c>
    </row>
    <row r="100" spans="2:52" x14ac:dyDescent="0.25">
      <c r="B100" s="70">
        <f t="shared" si="20"/>
        <v>96</v>
      </c>
      <c r="C100" s="67">
        <f ca="1">IF(E100-'Invoer gegevens'!$C$17&lt;0,0,1)</f>
        <v>1</v>
      </c>
      <c r="D100" s="68">
        <f t="shared" si="21"/>
        <v>95.5</v>
      </c>
      <c r="E100" s="108">
        <f ca="1">IF('Invoer gegevens'!$C$16="","",E99+1)</f>
        <v>2114</v>
      </c>
      <c r="F100" s="84">
        <f ca="1">IF('Invoer gegevens'!$C$17=E100,'Invoer gegevens'!$C$10,IF(C100=1,K99,0))</f>
        <v>0</v>
      </c>
      <c r="G100" s="96">
        <f ca="1">IF(C100&gt;=1,F100*VLOOKUP(E100,Reeksen!$A$5:$B$76,2),0)</f>
        <v>0</v>
      </c>
      <c r="H100" s="84">
        <f ca="1">(1-('Invoer gegevens'!$F$20/12))*F100*MIN(Reeksen!B100,Reeksen!D100)</f>
        <v>0</v>
      </c>
      <c r="I100" s="84">
        <f>IF(Reeksen!D100&lt;Reeksen!B100,(Reeksen!B100-Reeksen!D100)*F100,0)</f>
        <v>0</v>
      </c>
      <c r="J100" s="84">
        <f ca="1">('Invoer gegevens'!$F$20/12)*F99*MIN(Reeksen!B99,Reeksen!D99)</f>
        <v>0</v>
      </c>
      <c r="K100" s="97">
        <f t="shared" ca="1" si="12"/>
        <v>0</v>
      </c>
      <c r="L100" s="84">
        <f ca="1">IF('Invoer gegevens'!$C$17=E100,0,IF(C100=1,Q99,0))</f>
        <v>0</v>
      </c>
      <c r="M100" s="96">
        <f ca="1">IF(C100&gt;=1,L100*VLOOKUP(E100,Reeksen!$A$5:$B$76,2),0)</f>
        <v>0</v>
      </c>
      <c r="N100" s="84">
        <f ca="1">(1-('Invoer gegevens'!$F$20/12))*L100*MIN(Reeksen!B100,Reeksen!D100)</f>
        <v>0</v>
      </c>
      <c r="O100" s="84">
        <f>IF(Reeksen!D100&lt;Reeksen!B100,(Reeksen!B100-Reeksen!D100)*L100,0)</f>
        <v>0</v>
      </c>
      <c r="P100" s="84">
        <f ca="1">('Invoer gegevens'!$F$20/12)*L99*MIN(Reeksen!B99,Reeksen!D99)</f>
        <v>0</v>
      </c>
      <c r="Q100" s="84">
        <f t="shared" ca="1" si="13"/>
        <v>0</v>
      </c>
      <c r="R100" s="82">
        <f ca="1">IF('Invoer gegevens'!$C$17=E100,'Invoer gegevens'!$C$11,IF(C100=1,W99,0))</f>
        <v>0</v>
      </c>
      <c r="S100" s="86">
        <f ca="1">IF(C100&gt;=1,R100*VLOOKUP(E100,Reeksen!$A$5:$B$76,2),0)</f>
        <v>0</v>
      </c>
      <c r="T100" s="84">
        <f ca="1">(1-('Invoer gegevens'!$F$20/12))*R100*MIN(Reeksen!B100,Reeksen!D100)</f>
        <v>0</v>
      </c>
      <c r="U100" s="84">
        <f>IF(Reeksen!D100&gt;=Reeksen!B100,0,IF(Reeksen!AK100&lt;=Reeksen!AE100,(Reeksen!B100-Reeksen!D100)*R100,0))</f>
        <v>0</v>
      </c>
      <c r="V100" s="86">
        <f>IF(Reeksen!D100&gt;=Reeksen!B100,0,IF(Reeksen!AK100&gt;Reeksen!AE100,(Reeksen!B100-Reeksen!D100)*R100,0))</f>
        <v>0</v>
      </c>
      <c r="W100" s="97">
        <f t="shared" ca="1" si="14"/>
        <v>0</v>
      </c>
      <c r="X100" s="98">
        <f ca="1">IF('Invoer gegevens'!$C$17=E100,'Invoer gegevens'!$C$10-'Invoer gegevens'!$C$11,IF(C100=1,AC99,0))</f>
        <v>0</v>
      </c>
      <c r="Y100" s="98">
        <f ca="1">IF(C100&gt;=1,X100*VLOOKUP(E100,Reeksen!$A$5:$B$76,2),0)</f>
        <v>0</v>
      </c>
      <c r="Z100" s="98">
        <f ca="1">(1-('Invoer gegevens'!$F$20/12))*X100*MIN(Reeksen!B100,Reeksen!D100)</f>
        <v>0</v>
      </c>
      <c r="AA100" s="98">
        <f>IF(Reeksen!D100&gt;=Reeksen!B100,0,IF(Reeksen!AK100&lt;=Reeksen!AE100,(Reeksen!B100-Reeksen!D100)*X100,0))</f>
        <v>0</v>
      </c>
      <c r="AB100" s="98">
        <f>IF(Reeksen!D100&gt;=Reeksen!B100,0,IF(Reeksen!AK100&gt;Reeksen!AE100,(Reeksen!B100-Reeksen!D100)*X100,0))</f>
        <v>0</v>
      </c>
      <c r="AC100" s="99">
        <f t="shared" ca="1" si="15"/>
        <v>0</v>
      </c>
      <c r="AD100" s="98">
        <f ca="1">IF('Invoer gegevens'!$C$17=E100,R100,IF(C100=0,0,AE99))</f>
        <v>0</v>
      </c>
      <c r="AE100" s="98">
        <f t="shared" ca="1" si="16"/>
        <v>0</v>
      </c>
      <c r="AF100" s="98">
        <f ca="1">IF('Invoer gegevens'!$C$17=E100,X100,IF(C100=0,0,AG99))</f>
        <v>0</v>
      </c>
      <c r="AG100" s="98">
        <f t="shared" ca="1" si="17"/>
        <v>0</v>
      </c>
      <c r="AH100" s="68"/>
      <c r="AI100" s="71">
        <f ca="1">IF(C100=1,Reeksen!AJ100*((F100-G100+F100)/2)*12+Reeksen!AK100*((L100-M100+L100)/2)*12,0)</f>
        <v>0</v>
      </c>
      <c r="AJ100" s="71">
        <f ca="1">-AI100*'Invoer gegevens'!$F$28</f>
        <v>0</v>
      </c>
      <c r="AK100" s="71">
        <f t="shared" ca="1" si="11"/>
        <v>0</v>
      </c>
      <c r="AL100" s="71">
        <f ca="1">IF(C100=1,Reeksen!AL100*((F100-G100+F100)/2)*12+Reeksen!AM100*((L100-M100+L100)/2)*12,0)</f>
        <v>0</v>
      </c>
      <c r="AM100" s="71">
        <f ca="1">-AL100*'Invoer gegevens'!$F$31</f>
        <v>0</v>
      </c>
      <c r="AN100" s="71">
        <f t="shared" ca="1" si="18"/>
        <v>0</v>
      </c>
      <c r="AO100" s="71">
        <f ca="1">IF(C100=1,(H100+J100+N100+P100)*Reeksen!AN100,0)</f>
        <v>0</v>
      </c>
      <c r="AP100" s="71">
        <f ca="1">-IF(C100=1,(H100+J100+N100+P100)*'Hulp - basis'!$G$550*Reeksen!H100,0)</f>
        <v>0</v>
      </c>
      <c r="AQ100" s="71">
        <f ca="1">-IF(C100=1,(F100+K100+L100+Q100)/2*'Invoer gegevens'!$I$33*Reeksen!J100,0)*2</f>
        <v>0</v>
      </c>
      <c r="AR100" s="71">
        <f ca="1">-IF(C100=1,(I100*'Invoer gegevens'!$I$34)*Reeksen!J100,0)</f>
        <v>0</v>
      </c>
      <c r="AS100" s="71">
        <f ca="1">-IF(C100=1,(F100+K100+L100+Q100)/2*'Invoer gegevens'!$I$35*Reeksen!L100,0)</f>
        <v>0</v>
      </c>
      <c r="AT100" s="71">
        <f ca="1">-IF(C100=1,IF(E100='Invoer gegevens'!$C$17,'Invoer gegevens'!$C$11,AD100)*Reeksen!S100*'Invoer gegevens'!$C$18*Reeksen!P100,0)</f>
        <v>0</v>
      </c>
      <c r="AU100" s="71">
        <f ca="1">-IF(C100=1,(F100+K100+L100+Q100)/2*'Invoer gegevens'!$I$36*Reeksen!H100,0)</f>
        <v>0</v>
      </c>
      <c r="AV100" s="71">
        <f>IF('Invoer gegevens'!$C$3="Basis",0,#REF!)</f>
        <v>0</v>
      </c>
      <c r="AW100" s="71">
        <f t="shared" ca="1" si="19"/>
        <v>0</v>
      </c>
      <c r="AX100" s="71">
        <f ca="1">IF(E100&lt;'Invoer gegevens'!$C$17+15,0,IF(E100&gt;'Invoer gegevens'!$C$17+215,0,AW100))</f>
        <v>0</v>
      </c>
      <c r="AY100" s="71">
        <f ca="1">AX100/(1+'Invoer gegevens'!$F$18)^($AZ100-('Invoer gegevens'!$C$17-'Invoer gegevens'!$C$16))/(1+'Invoer gegevens'!$C$39)^('Invoer gegevens'!$C$17-'Invoer gegevens'!$C$16)</f>
        <v>0</v>
      </c>
      <c r="AZ100" s="68">
        <f ca="1">IF(E100-'Invoer gegevens'!$C$17-14.5&lt;0,0,E100-'Invoer gegevens'!$C$17-14.5)</f>
        <v>80.5</v>
      </c>
    </row>
    <row r="101" spans="2:52" x14ac:dyDescent="0.25">
      <c r="B101" s="70">
        <f t="shared" si="20"/>
        <v>97</v>
      </c>
      <c r="C101" s="67">
        <f ca="1">IF(E101-'Invoer gegevens'!$C$17&lt;0,0,1)</f>
        <v>1</v>
      </c>
      <c r="D101" s="68">
        <f t="shared" si="21"/>
        <v>96.5</v>
      </c>
      <c r="E101" s="108">
        <f ca="1">IF('Invoer gegevens'!$C$16="","",E100+1)</f>
        <v>2115</v>
      </c>
      <c r="F101" s="84">
        <f ca="1">IF('Invoer gegevens'!$C$17=E101,'Invoer gegevens'!$C$10,IF(C101=1,K100,0))</f>
        <v>0</v>
      </c>
      <c r="G101" s="96">
        <f ca="1">IF(C101&gt;=1,F101*VLOOKUP(E101,Reeksen!$A$5:$B$76,2),0)</f>
        <v>0</v>
      </c>
      <c r="H101" s="84">
        <f ca="1">(1-('Invoer gegevens'!$F$20/12))*F101*MIN(Reeksen!B101,Reeksen!D101)</f>
        <v>0</v>
      </c>
      <c r="I101" s="84">
        <f>IF(Reeksen!D101&lt;Reeksen!B101,(Reeksen!B101-Reeksen!D101)*F101,0)</f>
        <v>0</v>
      </c>
      <c r="J101" s="84">
        <f ca="1">('Invoer gegevens'!$F$20/12)*F100*MIN(Reeksen!B100,Reeksen!D100)</f>
        <v>0</v>
      </c>
      <c r="K101" s="97">
        <f t="shared" ca="1" si="12"/>
        <v>0</v>
      </c>
      <c r="L101" s="84">
        <f ca="1">IF('Invoer gegevens'!$C$17=E101,0,IF(C101=1,Q100,0))</f>
        <v>0</v>
      </c>
      <c r="M101" s="96">
        <f ca="1">IF(C101&gt;=1,L101*VLOOKUP(E101,Reeksen!$A$5:$B$76,2),0)</f>
        <v>0</v>
      </c>
      <c r="N101" s="84">
        <f ca="1">(1-('Invoer gegevens'!$F$20/12))*L101*MIN(Reeksen!B101,Reeksen!D101)</f>
        <v>0</v>
      </c>
      <c r="O101" s="84">
        <f>IF(Reeksen!D101&lt;Reeksen!B101,(Reeksen!B101-Reeksen!D101)*L101,0)</f>
        <v>0</v>
      </c>
      <c r="P101" s="84">
        <f ca="1">('Invoer gegevens'!$F$20/12)*L100*MIN(Reeksen!B100,Reeksen!D100)</f>
        <v>0</v>
      </c>
      <c r="Q101" s="84">
        <f t="shared" ca="1" si="13"/>
        <v>0</v>
      </c>
      <c r="R101" s="82">
        <f ca="1">IF('Invoer gegevens'!$C$17=E101,'Invoer gegevens'!$C$11,IF(C101=1,W100,0))</f>
        <v>0</v>
      </c>
      <c r="S101" s="86">
        <f ca="1">IF(C101&gt;=1,R101*VLOOKUP(E101,Reeksen!$A$5:$B$76,2),0)</f>
        <v>0</v>
      </c>
      <c r="T101" s="84">
        <f ca="1">(1-('Invoer gegevens'!$F$20/12))*R101*MIN(Reeksen!B101,Reeksen!D101)</f>
        <v>0</v>
      </c>
      <c r="U101" s="84">
        <f>IF(Reeksen!D101&gt;=Reeksen!B101,0,IF(Reeksen!AK101&lt;=Reeksen!AE101,(Reeksen!B101-Reeksen!D101)*R101,0))</f>
        <v>0</v>
      </c>
      <c r="V101" s="86">
        <f>IF(Reeksen!D101&gt;=Reeksen!B101,0,IF(Reeksen!AK101&gt;Reeksen!AE101,(Reeksen!B101-Reeksen!D101)*R101,0))</f>
        <v>0</v>
      </c>
      <c r="W101" s="97">
        <f t="shared" ca="1" si="14"/>
        <v>0</v>
      </c>
      <c r="X101" s="98">
        <f ca="1">IF('Invoer gegevens'!$C$17=E101,'Invoer gegevens'!$C$10-'Invoer gegevens'!$C$11,IF(C101=1,AC100,0))</f>
        <v>0</v>
      </c>
      <c r="Y101" s="98">
        <f ca="1">IF(C101&gt;=1,X101*VLOOKUP(E101,Reeksen!$A$5:$B$76,2),0)</f>
        <v>0</v>
      </c>
      <c r="Z101" s="98">
        <f ca="1">(1-('Invoer gegevens'!$F$20/12))*X101*MIN(Reeksen!B101,Reeksen!D101)</f>
        <v>0</v>
      </c>
      <c r="AA101" s="98">
        <f>IF(Reeksen!D101&gt;=Reeksen!B101,0,IF(Reeksen!AK101&lt;=Reeksen!AE101,(Reeksen!B101-Reeksen!D101)*X101,0))</f>
        <v>0</v>
      </c>
      <c r="AB101" s="98">
        <f>IF(Reeksen!D101&gt;=Reeksen!B101,0,IF(Reeksen!AK101&gt;Reeksen!AE101,(Reeksen!B101-Reeksen!D101)*X101,0))</f>
        <v>0</v>
      </c>
      <c r="AC101" s="99">
        <f t="shared" ca="1" si="15"/>
        <v>0</v>
      </c>
      <c r="AD101" s="98">
        <f ca="1">IF('Invoer gegevens'!$C$17=E101,R101,IF(C101=0,0,AE100))</f>
        <v>0</v>
      </c>
      <c r="AE101" s="98">
        <f t="shared" ca="1" si="16"/>
        <v>0</v>
      </c>
      <c r="AF101" s="98">
        <f ca="1">IF('Invoer gegevens'!$C$17=E101,X101,IF(C101=0,0,AG100))</f>
        <v>0</v>
      </c>
      <c r="AG101" s="98">
        <f t="shared" ca="1" si="17"/>
        <v>0</v>
      </c>
      <c r="AH101" s="68"/>
      <c r="AI101" s="71">
        <f ca="1">IF(C101=1,Reeksen!AJ101*((F101-G101+F101)/2)*12+Reeksen!AK101*((L101-M101+L101)/2)*12,0)</f>
        <v>0</v>
      </c>
      <c r="AJ101" s="71">
        <f ca="1">-AI101*'Invoer gegevens'!$F$28</f>
        <v>0</v>
      </c>
      <c r="AK101" s="71">
        <f t="shared" ca="1" si="11"/>
        <v>0</v>
      </c>
      <c r="AL101" s="71">
        <f ca="1">IF(C101=1,Reeksen!AL101*((F101-G101+F101)/2)*12+Reeksen!AM101*((L101-M101+L101)/2)*12,0)</f>
        <v>0</v>
      </c>
      <c r="AM101" s="71">
        <f ca="1">-AL101*'Invoer gegevens'!$F$31</f>
        <v>0</v>
      </c>
      <c r="AN101" s="71">
        <f t="shared" ca="1" si="18"/>
        <v>0</v>
      </c>
      <c r="AO101" s="71">
        <f ca="1">IF(C101=1,(H101+J101+N101+P101)*Reeksen!AN101,0)</f>
        <v>0</v>
      </c>
      <c r="AP101" s="71">
        <f ca="1">-IF(C101=1,(H101+J101+N101+P101)*'Hulp - basis'!$G$550*Reeksen!H101,0)</f>
        <v>0</v>
      </c>
      <c r="AQ101" s="71">
        <f ca="1">-IF(C101=1,(F101+K101+L101+Q101)/2*'Invoer gegevens'!$I$33*Reeksen!J101,0)*2</f>
        <v>0</v>
      </c>
      <c r="AR101" s="71">
        <f ca="1">-IF(C101=1,(I101*'Invoer gegevens'!$I$34)*Reeksen!J101,0)</f>
        <v>0</v>
      </c>
      <c r="AS101" s="71">
        <f ca="1">-IF(C101=1,(F101+K101+L101+Q101)/2*'Invoer gegevens'!$I$35*Reeksen!L101,0)</f>
        <v>0</v>
      </c>
      <c r="AT101" s="71">
        <f ca="1">-IF(C101=1,IF(E101='Invoer gegevens'!$C$17,'Invoer gegevens'!$C$11,AD101)*Reeksen!S101*'Invoer gegevens'!$C$18*Reeksen!P101,0)</f>
        <v>0</v>
      </c>
      <c r="AU101" s="71">
        <f ca="1">-IF(C101=1,(F101+K101+L101+Q101)/2*'Invoer gegevens'!$I$36*Reeksen!H101,0)</f>
        <v>0</v>
      </c>
      <c r="AV101" s="71">
        <f>IF('Invoer gegevens'!$C$3="Basis",0,#REF!)</f>
        <v>0</v>
      </c>
      <c r="AW101" s="71">
        <f t="shared" ca="1" si="19"/>
        <v>0</v>
      </c>
      <c r="AX101" s="71">
        <f ca="1">IF(E101&lt;'Invoer gegevens'!$C$17+15,0,IF(E101&gt;'Invoer gegevens'!$C$17+215,0,AW101))</f>
        <v>0</v>
      </c>
      <c r="AY101" s="71">
        <f ca="1">AX101/(1+'Invoer gegevens'!$F$18)^($AZ101-('Invoer gegevens'!$C$17-'Invoer gegevens'!$C$16))/(1+'Invoer gegevens'!$C$39)^('Invoer gegevens'!$C$17-'Invoer gegevens'!$C$16)</f>
        <v>0</v>
      </c>
      <c r="AZ101" s="68">
        <f ca="1">IF(E101-'Invoer gegevens'!$C$17-14.5&lt;0,0,E101-'Invoer gegevens'!$C$17-14.5)</f>
        <v>81.5</v>
      </c>
    </row>
    <row r="102" spans="2:52" x14ac:dyDescent="0.25">
      <c r="B102" s="70">
        <f t="shared" si="20"/>
        <v>98</v>
      </c>
      <c r="C102" s="67">
        <f ca="1">IF(E102-'Invoer gegevens'!$C$17&lt;0,0,1)</f>
        <v>1</v>
      </c>
      <c r="D102" s="68">
        <f t="shared" si="21"/>
        <v>97.5</v>
      </c>
      <c r="E102" s="108">
        <f ca="1">IF('Invoer gegevens'!$C$16="","",E101+1)</f>
        <v>2116</v>
      </c>
      <c r="F102" s="84">
        <f ca="1">IF('Invoer gegevens'!$C$17=E102,'Invoer gegevens'!$C$10,IF(C102=1,K101,0))</f>
        <v>0</v>
      </c>
      <c r="G102" s="96">
        <f ca="1">IF(C102&gt;=1,F102*VLOOKUP(E102,Reeksen!$A$5:$B$76,2),0)</f>
        <v>0</v>
      </c>
      <c r="H102" s="84">
        <f ca="1">(1-('Invoer gegevens'!$F$20/12))*F102*MIN(Reeksen!B102,Reeksen!D102)</f>
        <v>0</v>
      </c>
      <c r="I102" s="84">
        <f>IF(Reeksen!D102&lt;Reeksen!B102,(Reeksen!B102-Reeksen!D102)*F102,0)</f>
        <v>0</v>
      </c>
      <c r="J102" s="84">
        <f ca="1">('Invoer gegevens'!$F$20/12)*F101*MIN(Reeksen!B101,Reeksen!D101)</f>
        <v>0</v>
      </c>
      <c r="K102" s="97">
        <f t="shared" ca="1" si="12"/>
        <v>0</v>
      </c>
      <c r="L102" s="84">
        <f ca="1">IF('Invoer gegevens'!$C$17=E102,0,IF(C102=1,Q101,0))</f>
        <v>0</v>
      </c>
      <c r="M102" s="96">
        <f ca="1">IF(C102&gt;=1,L102*VLOOKUP(E102,Reeksen!$A$5:$B$76,2),0)</f>
        <v>0</v>
      </c>
      <c r="N102" s="84">
        <f ca="1">(1-('Invoer gegevens'!$F$20/12))*L102*MIN(Reeksen!B102,Reeksen!D102)</f>
        <v>0</v>
      </c>
      <c r="O102" s="84">
        <f>IF(Reeksen!D102&lt;Reeksen!B102,(Reeksen!B102-Reeksen!D102)*L102,0)</f>
        <v>0</v>
      </c>
      <c r="P102" s="84">
        <f ca="1">('Invoer gegevens'!$F$20/12)*L101*MIN(Reeksen!B101,Reeksen!D101)</f>
        <v>0</v>
      </c>
      <c r="Q102" s="84">
        <f t="shared" ca="1" si="13"/>
        <v>0</v>
      </c>
      <c r="R102" s="82">
        <f ca="1">IF('Invoer gegevens'!$C$17=E102,'Invoer gegevens'!$C$11,IF(C102=1,W101,0))</f>
        <v>0</v>
      </c>
      <c r="S102" s="86">
        <f ca="1">IF(C102&gt;=1,R102*VLOOKUP(E102,Reeksen!$A$5:$B$76,2),0)</f>
        <v>0</v>
      </c>
      <c r="T102" s="84">
        <f ca="1">(1-('Invoer gegevens'!$F$20/12))*R102*MIN(Reeksen!B102,Reeksen!D102)</f>
        <v>0</v>
      </c>
      <c r="U102" s="84">
        <f>IF(Reeksen!D102&gt;=Reeksen!B102,0,IF(Reeksen!AK102&lt;=Reeksen!AE102,(Reeksen!B102-Reeksen!D102)*R102,0))</f>
        <v>0</v>
      </c>
      <c r="V102" s="86">
        <f>IF(Reeksen!D102&gt;=Reeksen!B102,0,IF(Reeksen!AK102&gt;Reeksen!AE102,(Reeksen!B102-Reeksen!D102)*R102,0))</f>
        <v>0</v>
      </c>
      <c r="W102" s="97">
        <f t="shared" ca="1" si="14"/>
        <v>0</v>
      </c>
      <c r="X102" s="98">
        <f ca="1">IF('Invoer gegevens'!$C$17=E102,'Invoer gegevens'!$C$10-'Invoer gegevens'!$C$11,IF(C102=1,AC101,0))</f>
        <v>0</v>
      </c>
      <c r="Y102" s="98">
        <f ca="1">IF(C102&gt;=1,X102*VLOOKUP(E102,Reeksen!$A$5:$B$76,2),0)</f>
        <v>0</v>
      </c>
      <c r="Z102" s="98">
        <f ca="1">(1-('Invoer gegevens'!$F$20/12))*X102*MIN(Reeksen!B102,Reeksen!D102)</f>
        <v>0</v>
      </c>
      <c r="AA102" s="98">
        <f>IF(Reeksen!D102&gt;=Reeksen!B102,0,IF(Reeksen!AK102&lt;=Reeksen!AE102,(Reeksen!B102-Reeksen!D102)*X102,0))</f>
        <v>0</v>
      </c>
      <c r="AB102" s="98">
        <f>IF(Reeksen!D102&gt;=Reeksen!B102,0,IF(Reeksen!AK102&gt;Reeksen!AE102,(Reeksen!B102-Reeksen!D102)*X102,0))</f>
        <v>0</v>
      </c>
      <c r="AC102" s="99">
        <f t="shared" ca="1" si="15"/>
        <v>0</v>
      </c>
      <c r="AD102" s="98">
        <f ca="1">IF('Invoer gegevens'!$C$17=E102,R102,IF(C102=0,0,AE101))</f>
        <v>0</v>
      </c>
      <c r="AE102" s="98">
        <f t="shared" ca="1" si="16"/>
        <v>0</v>
      </c>
      <c r="AF102" s="98">
        <f ca="1">IF('Invoer gegevens'!$C$17=E102,X102,IF(C102=0,0,AG101))</f>
        <v>0</v>
      </c>
      <c r="AG102" s="98">
        <f t="shared" ca="1" si="17"/>
        <v>0</v>
      </c>
      <c r="AH102" s="68"/>
      <c r="AI102" s="71">
        <f ca="1">IF(C102=1,Reeksen!AJ102*((F102-G102+F102)/2)*12+Reeksen!AK102*((L102-M102+L102)/2)*12,0)</f>
        <v>0</v>
      </c>
      <c r="AJ102" s="71">
        <f ca="1">-AI102*'Invoer gegevens'!$F$28</f>
        <v>0</v>
      </c>
      <c r="AK102" s="71">
        <f t="shared" ca="1" si="11"/>
        <v>0</v>
      </c>
      <c r="AL102" s="71">
        <f ca="1">IF(C102=1,Reeksen!AL102*((F102-G102+F102)/2)*12+Reeksen!AM102*((L102-M102+L102)/2)*12,0)</f>
        <v>0</v>
      </c>
      <c r="AM102" s="71">
        <f ca="1">-AL102*'Invoer gegevens'!$F$31</f>
        <v>0</v>
      </c>
      <c r="AN102" s="71">
        <f t="shared" ca="1" si="18"/>
        <v>0</v>
      </c>
      <c r="AO102" s="71">
        <f ca="1">IF(C102=1,(H102+J102+N102+P102)*Reeksen!AN102,0)</f>
        <v>0</v>
      </c>
      <c r="AP102" s="71">
        <f ca="1">-IF(C102=1,(H102+J102+N102+P102)*'Hulp - basis'!$G$550*Reeksen!H102,0)</f>
        <v>0</v>
      </c>
      <c r="AQ102" s="71">
        <f ca="1">-IF(C102=1,(F102+K102+L102+Q102)/2*'Invoer gegevens'!$I$33*Reeksen!J102,0)*2</f>
        <v>0</v>
      </c>
      <c r="AR102" s="71">
        <f ca="1">-IF(C102=1,(I102*'Invoer gegevens'!$I$34)*Reeksen!J102,0)</f>
        <v>0</v>
      </c>
      <c r="AS102" s="71">
        <f ca="1">-IF(C102=1,(F102+K102+L102+Q102)/2*'Invoer gegevens'!$I$35*Reeksen!L102,0)</f>
        <v>0</v>
      </c>
      <c r="AT102" s="71">
        <f ca="1">-IF(C102=1,IF(E102='Invoer gegevens'!$C$17,'Invoer gegevens'!$C$11,AD102)*Reeksen!S102*'Invoer gegevens'!$C$18*Reeksen!P102,0)</f>
        <v>0</v>
      </c>
      <c r="AU102" s="71">
        <f ca="1">-IF(C102=1,(F102+K102+L102+Q102)/2*'Invoer gegevens'!$I$36*Reeksen!H102,0)</f>
        <v>0</v>
      </c>
      <c r="AV102" s="71">
        <f>IF('Invoer gegevens'!$C$3="Basis",0,#REF!)</f>
        <v>0</v>
      </c>
      <c r="AW102" s="71">
        <f t="shared" ca="1" si="19"/>
        <v>0</v>
      </c>
      <c r="AX102" s="71">
        <f ca="1">IF(E102&lt;'Invoer gegevens'!$C$17+15,0,IF(E102&gt;'Invoer gegevens'!$C$17+215,0,AW102))</f>
        <v>0</v>
      </c>
      <c r="AY102" s="71">
        <f ca="1">AX102/(1+'Invoer gegevens'!$F$18)^($AZ102-('Invoer gegevens'!$C$17-'Invoer gegevens'!$C$16))/(1+'Invoer gegevens'!$C$39)^('Invoer gegevens'!$C$17-'Invoer gegevens'!$C$16)</f>
        <v>0</v>
      </c>
      <c r="AZ102" s="68">
        <f ca="1">IF(E102-'Invoer gegevens'!$C$17-14.5&lt;0,0,E102-'Invoer gegevens'!$C$17-14.5)</f>
        <v>82.5</v>
      </c>
    </row>
    <row r="103" spans="2:52" x14ac:dyDescent="0.25">
      <c r="B103" s="70">
        <f t="shared" si="20"/>
        <v>99</v>
      </c>
      <c r="C103" s="67">
        <f ca="1">IF(E103-'Invoer gegevens'!$C$17&lt;0,0,1)</f>
        <v>1</v>
      </c>
      <c r="D103" s="68">
        <f t="shared" si="21"/>
        <v>98.5</v>
      </c>
      <c r="E103" s="108">
        <f ca="1">IF('Invoer gegevens'!$C$16="","",E102+1)</f>
        <v>2117</v>
      </c>
      <c r="F103" s="84">
        <f ca="1">IF('Invoer gegevens'!$C$17=E103,'Invoer gegevens'!$C$10,IF(C103=1,K102,0))</f>
        <v>0</v>
      </c>
      <c r="G103" s="96">
        <f ca="1">IF(C103&gt;=1,F103*VLOOKUP(E103,Reeksen!$A$5:$B$76,2),0)</f>
        <v>0</v>
      </c>
      <c r="H103" s="84">
        <f ca="1">(1-('Invoer gegevens'!$F$20/12))*F103*MIN(Reeksen!B103,Reeksen!D103)</f>
        <v>0</v>
      </c>
      <c r="I103" s="84">
        <f>IF(Reeksen!D103&lt;Reeksen!B103,(Reeksen!B103-Reeksen!D103)*F103,0)</f>
        <v>0</v>
      </c>
      <c r="J103" s="84">
        <f ca="1">('Invoer gegevens'!$F$20/12)*F102*MIN(Reeksen!B102,Reeksen!D102)</f>
        <v>0</v>
      </c>
      <c r="K103" s="97">
        <f t="shared" ca="1" si="12"/>
        <v>0</v>
      </c>
      <c r="L103" s="84">
        <f ca="1">IF('Invoer gegevens'!$C$17=E103,0,IF(C103=1,Q102,0))</f>
        <v>0</v>
      </c>
      <c r="M103" s="96">
        <f ca="1">IF(C103&gt;=1,L103*VLOOKUP(E103,Reeksen!$A$5:$B$76,2),0)</f>
        <v>0</v>
      </c>
      <c r="N103" s="84">
        <f ca="1">(1-('Invoer gegevens'!$F$20/12))*L103*MIN(Reeksen!B103,Reeksen!D103)</f>
        <v>0</v>
      </c>
      <c r="O103" s="84">
        <f>IF(Reeksen!D103&lt;Reeksen!B103,(Reeksen!B103-Reeksen!D103)*L103,0)</f>
        <v>0</v>
      </c>
      <c r="P103" s="84">
        <f ca="1">('Invoer gegevens'!$F$20/12)*L102*MIN(Reeksen!B102,Reeksen!D102)</f>
        <v>0</v>
      </c>
      <c r="Q103" s="84">
        <f t="shared" ca="1" si="13"/>
        <v>0</v>
      </c>
      <c r="R103" s="82">
        <f ca="1">IF('Invoer gegevens'!$C$17=E103,'Invoer gegevens'!$C$11,IF(C103=1,W102,0))</f>
        <v>0</v>
      </c>
      <c r="S103" s="86">
        <f ca="1">IF(C103&gt;=1,R103*VLOOKUP(E103,Reeksen!$A$5:$B$76,2),0)</f>
        <v>0</v>
      </c>
      <c r="T103" s="84">
        <f ca="1">(1-('Invoer gegevens'!$F$20/12))*R103*MIN(Reeksen!B103,Reeksen!D103)</f>
        <v>0</v>
      </c>
      <c r="U103" s="84">
        <f>IF(Reeksen!D103&gt;=Reeksen!B103,0,IF(Reeksen!AK103&lt;=Reeksen!AE103,(Reeksen!B103-Reeksen!D103)*R103,0))</f>
        <v>0</v>
      </c>
      <c r="V103" s="86">
        <f>IF(Reeksen!D103&gt;=Reeksen!B103,0,IF(Reeksen!AK103&gt;Reeksen!AE103,(Reeksen!B103-Reeksen!D103)*R103,0))</f>
        <v>0</v>
      </c>
      <c r="W103" s="97">
        <f t="shared" ca="1" si="14"/>
        <v>0</v>
      </c>
      <c r="X103" s="98">
        <f ca="1">IF('Invoer gegevens'!$C$17=E103,'Invoer gegevens'!$C$10-'Invoer gegevens'!$C$11,IF(C103=1,AC102,0))</f>
        <v>0</v>
      </c>
      <c r="Y103" s="98">
        <f ca="1">IF(C103&gt;=1,X103*VLOOKUP(E103,Reeksen!$A$5:$B$76,2),0)</f>
        <v>0</v>
      </c>
      <c r="Z103" s="98">
        <f ca="1">(1-('Invoer gegevens'!$F$20/12))*X103*MIN(Reeksen!B103,Reeksen!D103)</f>
        <v>0</v>
      </c>
      <c r="AA103" s="98">
        <f>IF(Reeksen!D103&gt;=Reeksen!B103,0,IF(Reeksen!AK103&lt;=Reeksen!AE103,(Reeksen!B103-Reeksen!D103)*X103,0))</f>
        <v>0</v>
      </c>
      <c r="AB103" s="98">
        <f>IF(Reeksen!D103&gt;=Reeksen!B103,0,IF(Reeksen!AK103&gt;Reeksen!AE103,(Reeksen!B103-Reeksen!D103)*X103,0))</f>
        <v>0</v>
      </c>
      <c r="AC103" s="99">
        <f t="shared" ca="1" si="15"/>
        <v>0</v>
      </c>
      <c r="AD103" s="98">
        <f ca="1">IF('Invoer gegevens'!$C$17=E103,R103,IF(C103=0,0,AE102))</f>
        <v>0</v>
      </c>
      <c r="AE103" s="98">
        <f t="shared" ca="1" si="16"/>
        <v>0</v>
      </c>
      <c r="AF103" s="98">
        <f ca="1">IF('Invoer gegevens'!$C$17=E103,X103,IF(C103=0,0,AG102))</f>
        <v>0</v>
      </c>
      <c r="AG103" s="98">
        <f t="shared" ca="1" si="17"/>
        <v>0</v>
      </c>
      <c r="AH103" s="68"/>
      <c r="AI103" s="71">
        <f ca="1">IF(C103=1,Reeksen!AJ103*((F103-G103+F103)/2)*12+Reeksen!AK103*((L103-M103+L103)/2)*12,0)</f>
        <v>0</v>
      </c>
      <c r="AJ103" s="71">
        <f ca="1">-AI103*'Invoer gegevens'!$F$28</f>
        <v>0</v>
      </c>
      <c r="AK103" s="71">
        <f t="shared" ca="1" si="11"/>
        <v>0</v>
      </c>
      <c r="AL103" s="71">
        <f ca="1">IF(C103=1,Reeksen!AL103*((F103-G103+F103)/2)*12+Reeksen!AM103*((L103-M103+L103)/2)*12,0)</f>
        <v>0</v>
      </c>
      <c r="AM103" s="71">
        <f ca="1">-AL103*'Invoer gegevens'!$F$31</f>
        <v>0</v>
      </c>
      <c r="AN103" s="71">
        <f t="shared" ca="1" si="18"/>
        <v>0</v>
      </c>
      <c r="AO103" s="71">
        <f ca="1">IF(C103=1,(H103+J103+N103+P103)*Reeksen!AN103,0)</f>
        <v>0</v>
      </c>
      <c r="AP103" s="71">
        <f ca="1">-IF(C103=1,(H103+J103+N103+P103)*'Hulp - basis'!$G$550*Reeksen!H103,0)</f>
        <v>0</v>
      </c>
      <c r="AQ103" s="71">
        <f ca="1">-IF(C103=1,(F103+K103+L103+Q103)/2*'Invoer gegevens'!$I$33*Reeksen!J103,0)*2</f>
        <v>0</v>
      </c>
      <c r="AR103" s="71">
        <f ca="1">-IF(C103=1,(I103*'Invoer gegevens'!$I$34)*Reeksen!J103,0)</f>
        <v>0</v>
      </c>
      <c r="AS103" s="71">
        <f ca="1">-IF(C103=1,(F103+K103+L103+Q103)/2*'Invoer gegevens'!$I$35*Reeksen!L103,0)</f>
        <v>0</v>
      </c>
      <c r="AT103" s="71">
        <f ca="1">-IF(C103=1,IF(E103='Invoer gegevens'!$C$17,'Invoer gegevens'!$C$11,AD103)*Reeksen!S103*'Invoer gegevens'!$C$18*Reeksen!P103,0)</f>
        <v>0</v>
      </c>
      <c r="AU103" s="71">
        <f ca="1">-IF(C103=1,(F103+K103+L103+Q103)/2*'Invoer gegevens'!$I$36*Reeksen!H103,0)</f>
        <v>0</v>
      </c>
      <c r="AV103" s="71">
        <f>IF('Invoer gegevens'!$C$3="Basis",0,#REF!)</f>
        <v>0</v>
      </c>
      <c r="AW103" s="71">
        <f t="shared" ca="1" si="19"/>
        <v>0</v>
      </c>
      <c r="AX103" s="71">
        <f ca="1">IF(E103&lt;'Invoer gegevens'!$C$17+15,0,IF(E103&gt;'Invoer gegevens'!$C$17+215,0,AW103))</f>
        <v>0</v>
      </c>
      <c r="AY103" s="71">
        <f ca="1">AX103/(1+'Invoer gegevens'!$F$18)^($AZ103-('Invoer gegevens'!$C$17-'Invoer gegevens'!$C$16))/(1+'Invoer gegevens'!$C$39)^('Invoer gegevens'!$C$17-'Invoer gegevens'!$C$16)</f>
        <v>0</v>
      </c>
      <c r="AZ103" s="68">
        <f ca="1">IF(E103-'Invoer gegevens'!$C$17-14.5&lt;0,0,E103-'Invoer gegevens'!$C$17-14.5)</f>
        <v>83.5</v>
      </c>
    </row>
    <row r="104" spans="2:52" x14ac:dyDescent="0.25">
      <c r="B104" s="70">
        <f t="shared" si="20"/>
        <v>100</v>
      </c>
      <c r="C104" s="67">
        <f ca="1">IF(E104-'Invoer gegevens'!$C$17&lt;0,0,1)</f>
        <v>1</v>
      </c>
      <c r="D104" s="68">
        <f t="shared" si="21"/>
        <v>99.5</v>
      </c>
      <c r="E104" s="108">
        <f ca="1">IF('Invoer gegevens'!$C$16="","",E103+1)</f>
        <v>2118</v>
      </c>
      <c r="F104" s="84">
        <f ca="1">IF('Invoer gegevens'!$C$17=E104,'Invoer gegevens'!$C$10,IF(C104=1,K103,0))</f>
        <v>0</v>
      </c>
      <c r="G104" s="96">
        <f ca="1">IF(C104&gt;=1,F104*VLOOKUP(E104,Reeksen!$A$5:$B$76,2),0)</f>
        <v>0</v>
      </c>
      <c r="H104" s="84">
        <f ca="1">(1-('Invoer gegevens'!$F$20/12))*F104*MIN(Reeksen!B104,Reeksen!D104)</f>
        <v>0</v>
      </c>
      <c r="I104" s="84">
        <f>IF(Reeksen!D104&lt;Reeksen!B104,(Reeksen!B104-Reeksen!D104)*F104,0)</f>
        <v>0</v>
      </c>
      <c r="J104" s="84">
        <f ca="1">('Invoer gegevens'!$F$20/12)*F103*MIN(Reeksen!B103,Reeksen!D103)</f>
        <v>0</v>
      </c>
      <c r="K104" s="97">
        <f t="shared" ca="1" si="12"/>
        <v>0</v>
      </c>
      <c r="L104" s="84">
        <f ca="1">IF('Invoer gegevens'!$C$17=E104,0,IF(C104=1,Q103,0))</f>
        <v>0</v>
      </c>
      <c r="M104" s="96">
        <f ca="1">IF(C104&gt;=1,L104*VLOOKUP(E104,Reeksen!$A$5:$B$76,2),0)</f>
        <v>0</v>
      </c>
      <c r="N104" s="84">
        <f ca="1">(1-('Invoer gegevens'!$F$20/12))*L104*MIN(Reeksen!B104,Reeksen!D104)</f>
        <v>0</v>
      </c>
      <c r="O104" s="84">
        <f>IF(Reeksen!D104&lt;Reeksen!B104,(Reeksen!B104-Reeksen!D104)*L104,0)</f>
        <v>0</v>
      </c>
      <c r="P104" s="84">
        <f ca="1">('Invoer gegevens'!$F$20/12)*L103*MIN(Reeksen!B103,Reeksen!D103)</f>
        <v>0</v>
      </c>
      <c r="Q104" s="84">
        <f t="shared" ca="1" si="13"/>
        <v>0</v>
      </c>
      <c r="R104" s="82">
        <f ca="1">IF('Invoer gegevens'!$C$17=E104,'Invoer gegevens'!$C$11,IF(C104=1,W103,0))</f>
        <v>0</v>
      </c>
      <c r="S104" s="86">
        <f ca="1">IF(C104&gt;=1,R104*VLOOKUP(E104,Reeksen!$A$5:$B$76,2),0)</f>
        <v>0</v>
      </c>
      <c r="T104" s="84">
        <f ca="1">(1-('Invoer gegevens'!$F$20/12))*R104*MIN(Reeksen!B104,Reeksen!D104)</f>
        <v>0</v>
      </c>
      <c r="U104" s="84">
        <f>IF(Reeksen!D104&gt;=Reeksen!B104,0,IF(Reeksen!AK104&lt;=Reeksen!AE104,(Reeksen!B104-Reeksen!D104)*R104,0))</f>
        <v>0</v>
      </c>
      <c r="V104" s="86">
        <f>IF(Reeksen!D104&gt;=Reeksen!B104,0,IF(Reeksen!AK104&gt;Reeksen!AE104,(Reeksen!B104-Reeksen!D104)*R104,0))</f>
        <v>0</v>
      </c>
      <c r="W104" s="97">
        <f t="shared" ca="1" si="14"/>
        <v>0</v>
      </c>
      <c r="X104" s="98">
        <f ca="1">IF('Invoer gegevens'!$C$17=E104,'Invoer gegevens'!$C$10-'Invoer gegevens'!$C$11,IF(C104=1,AC103,0))</f>
        <v>0</v>
      </c>
      <c r="Y104" s="98">
        <f ca="1">IF(C104&gt;=1,X104*VLOOKUP(E104,Reeksen!$A$5:$B$76,2),0)</f>
        <v>0</v>
      </c>
      <c r="Z104" s="98">
        <f ca="1">(1-('Invoer gegevens'!$F$20/12))*X104*MIN(Reeksen!B104,Reeksen!D104)</f>
        <v>0</v>
      </c>
      <c r="AA104" s="98">
        <f>IF(Reeksen!D104&gt;=Reeksen!B104,0,IF(Reeksen!AK104&lt;=Reeksen!AE104,(Reeksen!B104-Reeksen!D104)*X104,0))</f>
        <v>0</v>
      </c>
      <c r="AB104" s="98">
        <f>IF(Reeksen!D104&gt;=Reeksen!B104,0,IF(Reeksen!AK104&gt;Reeksen!AE104,(Reeksen!B104-Reeksen!D104)*X104,0))</f>
        <v>0</v>
      </c>
      <c r="AC104" s="99">
        <f t="shared" ca="1" si="15"/>
        <v>0</v>
      </c>
      <c r="AD104" s="98">
        <f ca="1">IF('Invoer gegevens'!$C$17=E104,R104,IF(C104=0,0,AE103))</f>
        <v>0</v>
      </c>
      <c r="AE104" s="98">
        <f t="shared" ca="1" si="16"/>
        <v>0</v>
      </c>
      <c r="AF104" s="98">
        <f ca="1">IF('Invoer gegevens'!$C$17=E104,X104,IF(C104=0,0,AG103))</f>
        <v>0</v>
      </c>
      <c r="AG104" s="98">
        <f t="shared" ca="1" si="17"/>
        <v>0</v>
      </c>
      <c r="AH104" s="68"/>
      <c r="AI104" s="71">
        <f ca="1">IF(C104=1,Reeksen!AJ104*((F104-G104+F104)/2)*12+Reeksen!AK104*((L104-M104+L104)/2)*12,0)</f>
        <v>0</v>
      </c>
      <c r="AJ104" s="71">
        <f ca="1">-AI104*'Invoer gegevens'!$F$28</f>
        <v>0</v>
      </c>
      <c r="AK104" s="71">
        <f t="shared" ca="1" si="11"/>
        <v>0</v>
      </c>
      <c r="AL104" s="71">
        <f ca="1">IF(C104=1,Reeksen!AL104*((F104-G104+F104)/2)*12+Reeksen!AM104*((L104-M104+L104)/2)*12,0)</f>
        <v>0</v>
      </c>
      <c r="AM104" s="71">
        <f ca="1">-AL104*'Invoer gegevens'!$F$31</f>
        <v>0</v>
      </c>
      <c r="AN104" s="71">
        <f t="shared" ca="1" si="18"/>
        <v>0</v>
      </c>
      <c r="AO104" s="71">
        <f ca="1">IF(C104=1,(H104+J104+N104+P104)*Reeksen!AN104,0)</f>
        <v>0</v>
      </c>
      <c r="AP104" s="71">
        <f ca="1">-IF(C104=1,(H104+J104+N104+P104)*'Hulp - basis'!$G$550*Reeksen!H104,0)</f>
        <v>0</v>
      </c>
      <c r="AQ104" s="71">
        <f ca="1">-IF(C104=1,(F104+K104+L104+Q104)/2*'Invoer gegevens'!$I$33*Reeksen!J104,0)*2</f>
        <v>0</v>
      </c>
      <c r="AR104" s="71">
        <f ca="1">-IF(C104=1,(I104*'Invoer gegevens'!$I$34)*Reeksen!J104,0)</f>
        <v>0</v>
      </c>
      <c r="AS104" s="71">
        <f ca="1">-IF(C104=1,(F104+K104+L104+Q104)/2*'Invoer gegevens'!$I$35*Reeksen!L104,0)</f>
        <v>0</v>
      </c>
      <c r="AT104" s="71">
        <f ca="1">-IF(C104=1,IF(E104='Invoer gegevens'!$C$17,'Invoer gegevens'!$C$11,AD104)*Reeksen!S104*'Invoer gegevens'!$C$18*Reeksen!P104,0)</f>
        <v>0</v>
      </c>
      <c r="AU104" s="71">
        <f ca="1">-IF(C104=1,(F104+K104+L104+Q104)/2*'Invoer gegevens'!$I$36*Reeksen!H104,0)</f>
        <v>0</v>
      </c>
      <c r="AV104" s="71">
        <f>IF('Invoer gegevens'!$C$3="Basis",0,#REF!)</f>
        <v>0</v>
      </c>
      <c r="AW104" s="71">
        <f t="shared" ca="1" si="19"/>
        <v>0</v>
      </c>
      <c r="AX104" s="71">
        <f ca="1">IF(E104&lt;'Invoer gegevens'!$C$17+15,0,IF(E104&gt;'Invoer gegevens'!$C$17+215,0,AW104))</f>
        <v>0</v>
      </c>
      <c r="AY104" s="71">
        <f ca="1">AX104/(1+'Invoer gegevens'!$F$18)^($AZ104-('Invoer gegevens'!$C$17-'Invoer gegevens'!$C$16))/(1+'Invoer gegevens'!$C$39)^('Invoer gegevens'!$C$17-'Invoer gegevens'!$C$16)</f>
        <v>0</v>
      </c>
      <c r="AZ104" s="68">
        <f ca="1">IF(E104-'Invoer gegevens'!$C$17-14.5&lt;0,0,E104-'Invoer gegevens'!$C$17-14.5)</f>
        <v>84.5</v>
      </c>
    </row>
    <row r="105" spans="2:52" x14ac:dyDescent="0.25">
      <c r="B105" s="70">
        <f t="shared" si="20"/>
        <v>101</v>
      </c>
      <c r="C105" s="67">
        <f ca="1">IF(E105-'Invoer gegevens'!$C$17&lt;0,0,1)</f>
        <v>1</v>
      </c>
      <c r="D105" s="68">
        <f t="shared" si="21"/>
        <v>100.5</v>
      </c>
      <c r="E105" s="108">
        <f ca="1">IF('Invoer gegevens'!$C$16="","",E104+1)</f>
        <v>2119</v>
      </c>
      <c r="F105" s="84">
        <f ca="1">IF('Invoer gegevens'!$C$17=E105,'Invoer gegevens'!$C$10,IF(C105=1,K104,0))</f>
        <v>0</v>
      </c>
      <c r="G105" s="96">
        <f ca="1">IF(C105&gt;=1,F105*VLOOKUP(E105,Reeksen!$A$5:$B$76,2),0)</f>
        <v>0</v>
      </c>
      <c r="H105" s="84">
        <f ca="1">(1-('Invoer gegevens'!$F$20/12))*F105*MIN(Reeksen!B105,Reeksen!D105)</f>
        <v>0</v>
      </c>
      <c r="I105" s="84">
        <f>IF(Reeksen!D105&lt;Reeksen!B105,(Reeksen!B105-Reeksen!D105)*F105,0)</f>
        <v>0</v>
      </c>
      <c r="J105" s="84">
        <f ca="1">('Invoer gegevens'!$F$20/12)*F104*MIN(Reeksen!B104,Reeksen!D104)</f>
        <v>0</v>
      </c>
      <c r="K105" s="97">
        <f t="shared" ca="1" si="12"/>
        <v>0</v>
      </c>
      <c r="L105" s="84">
        <f ca="1">IF('Invoer gegevens'!$C$17=E105,0,IF(C105=1,Q104,0))</f>
        <v>0</v>
      </c>
      <c r="M105" s="96">
        <f ca="1">IF(C105&gt;=1,L105*VLOOKUP(E105,Reeksen!$A$5:$B$76,2),0)</f>
        <v>0</v>
      </c>
      <c r="N105" s="84">
        <f ca="1">(1-('Invoer gegevens'!$F$20/12))*L105*MIN(Reeksen!B105,Reeksen!D105)</f>
        <v>0</v>
      </c>
      <c r="O105" s="84">
        <f>IF(Reeksen!D105&lt;Reeksen!B105,(Reeksen!B105-Reeksen!D105)*L105,0)</f>
        <v>0</v>
      </c>
      <c r="P105" s="84">
        <f ca="1">('Invoer gegevens'!$F$20/12)*L104*MIN(Reeksen!B104,Reeksen!D104)</f>
        <v>0</v>
      </c>
      <c r="Q105" s="84">
        <f t="shared" ca="1" si="13"/>
        <v>0</v>
      </c>
      <c r="R105" s="82">
        <f ca="1">IF('Invoer gegevens'!$C$17=E105,'Invoer gegevens'!$C$11,IF(C105=1,W104,0))</f>
        <v>0</v>
      </c>
      <c r="S105" s="86">
        <f ca="1">IF(C105&gt;=1,R105*VLOOKUP(E105,Reeksen!$A$5:$B$76,2),0)</f>
        <v>0</v>
      </c>
      <c r="T105" s="84">
        <f ca="1">(1-('Invoer gegevens'!$F$20/12))*R105*MIN(Reeksen!B105,Reeksen!D105)</f>
        <v>0</v>
      </c>
      <c r="U105" s="84">
        <f>IF(Reeksen!D105&gt;=Reeksen!B105,0,IF(Reeksen!AK105&lt;=Reeksen!AE105,(Reeksen!B105-Reeksen!D105)*R105,0))</f>
        <v>0</v>
      </c>
      <c r="V105" s="86">
        <f>IF(Reeksen!D105&gt;=Reeksen!B105,0,IF(Reeksen!AK105&gt;Reeksen!AE105,(Reeksen!B105-Reeksen!D105)*R105,0))</f>
        <v>0</v>
      </c>
      <c r="W105" s="97">
        <f t="shared" ca="1" si="14"/>
        <v>0</v>
      </c>
      <c r="X105" s="98">
        <f ca="1">IF('Invoer gegevens'!$C$17=E105,'Invoer gegevens'!$C$10-'Invoer gegevens'!$C$11,IF(C105=1,AC104,0))</f>
        <v>0</v>
      </c>
      <c r="Y105" s="98">
        <f ca="1">IF(C105&gt;=1,X105*VLOOKUP(E105,Reeksen!$A$5:$B$76,2),0)</f>
        <v>0</v>
      </c>
      <c r="Z105" s="98">
        <f ca="1">(1-('Invoer gegevens'!$F$20/12))*X105*MIN(Reeksen!B105,Reeksen!D105)</f>
        <v>0</v>
      </c>
      <c r="AA105" s="98">
        <f>IF(Reeksen!D105&gt;=Reeksen!B105,0,IF(Reeksen!AK105&lt;=Reeksen!AE105,(Reeksen!B105-Reeksen!D105)*X105,0))</f>
        <v>0</v>
      </c>
      <c r="AB105" s="98">
        <f>IF(Reeksen!D105&gt;=Reeksen!B105,0,IF(Reeksen!AK105&gt;Reeksen!AE105,(Reeksen!B105-Reeksen!D105)*X105,0))</f>
        <v>0</v>
      </c>
      <c r="AC105" s="99">
        <f t="shared" ca="1" si="15"/>
        <v>0</v>
      </c>
      <c r="AD105" s="98">
        <f ca="1">IF('Invoer gegevens'!$C$17=E105,R105,IF(C105=0,0,AE104))</f>
        <v>0</v>
      </c>
      <c r="AE105" s="98">
        <f t="shared" ca="1" si="16"/>
        <v>0</v>
      </c>
      <c r="AF105" s="98">
        <f ca="1">IF('Invoer gegevens'!$C$17=E105,X105,IF(C105=0,0,AG104))</f>
        <v>0</v>
      </c>
      <c r="AG105" s="98">
        <f t="shared" ca="1" si="17"/>
        <v>0</v>
      </c>
      <c r="AH105" s="68"/>
      <c r="AI105" s="71">
        <f ca="1">IF(C105=1,Reeksen!AJ105*((F105-G105+F105)/2)*12+Reeksen!AK105*((L105-M105+L105)/2)*12,0)</f>
        <v>0</v>
      </c>
      <c r="AJ105" s="71">
        <f ca="1">-AI105*'Invoer gegevens'!$F$28</f>
        <v>0</v>
      </c>
      <c r="AK105" s="71">
        <f t="shared" ca="1" si="11"/>
        <v>0</v>
      </c>
      <c r="AL105" s="71">
        <f ca="1">IF(C105=1,Reeksen!AL105*((F105-G105+F105)/2)*12+Reeksen!AM105*((L105-M105+L105)/2)*12,0)</f>
        <v>0</v>
      </c>
      <c r="AM105" s="71">
        <f ca="1">-AL105*'Invoer gegevens'!$F$31</f>
        <v>0</v>
      </c>
      <c r="AN105" s="71">
        <f t="shared" ca="1" si="18"/>
        <v>0</v>
      </c>
      <c r="AO105" s="71">
        <f ca="1">IF(C105=1,(H105+J105+N105+P105)*Reeksen!AN105,0)</f>
        <v>0</v>
      </c>
      <c r="AP105" s="71">
        <f ca="1">-IF(C105=1,(H105+J105+N105+P105)*'Hulp - basis'!$G$550*Reeksen!H105,0)</f>
        <v>0</v>
      </c>
      <c r="AQ105" s="71">
        <f ca="1">-IF(C105=1,(F105+K105+L105+Q105)/2*'Invoer gegevens'!$I$33*Reeksen!J105,0)*2</f>
        <v>0</v>
      </c>
      <c r="AR105" s="71">
        <f ca="1">-IF(C105=1,(I105*'Invoer gegevens'!$I$34)*Reeksen!J105,0)</f>
        <v>0</v>
      </c>
      <c r="AS105" s="71">
        <f ca="1">-IF(C105=1,(F105+K105+L105+Q105)/2*'Invoer gegevens'!$I$35*Reeksen!L105,0)</f>
        <v>0</v>
      </c>
      <c r="AT105" s="71">
        <f ca="1">-IF(C105=1,IF(E105='Invoer gegevens'!$C$17,'Invoer gegevens'!$C$11,AD105)*Reeksen!S105*'Invoer gegevens'!$C$18*Reeksen!P105,0)</f>
        <v>0</v>
      </c>
      <c r="AU105" s="71">
        <f ca="1">-IF(C105=1,(F105+K105+L105+Q105)/2*'Invoer gegevens'!$I$36*Reeksen!H105,0)</f>
        <v>0</v>
      </c>
      <c r="AV105" s="71">
        <f>IF('Invoer gegevens'!$C$3="Basis",0,#REF!)</f>
        <v>0</v>
      </c>
      <c r="AW105" s="71">
        <f t="shared" ca="1" si="19"/>
        <v>0</v>
      </c>
      <c r="AX105" s="71">
        <f ca="1">IF(E105&lt;'Invoer gegevens'!$C$17+15,0,IF(E105&gt;'Invoer gegevens'!$C$17+215,0,AW105))</f>
        <v>0</v>
      </c>
      <c r="AY105" s="71">
        <f ca="1">AX105/(1+'Invoer gegevens'!$F$18)^($AZ105-('Invoer gegevens'!$C$17-'Invoer gegevens'!$C$16))/(1+'Invoer gegevens'!$C$39)^('Invoer gegevens'!$C$17-'Invoer gegevens'!$C$16)</f>
        <v>0</v>
      </c>
      <c r="AZ105" s="68">
        <f ca="1">IF(E105-'Invoer gegevens'!$C$17-14.5&lt;0,0,E105-'Invoer gegevens'!$C$17-14.5)</f>
        <v>85.5</v>
      </c>
    </row>
    <row r="106" spans="2:52" x14ac:dyDescent="0.25">
      <c r="B106" s="70">
        <f t="shared" si="20"/>
        <v>102</v>
      </c>
      <c r="C106" s="67">
        <f ca="1">IF(E106-'Invoer gegevens'!$C$17&lt;0,0,1)</f>
        <v>1</v>
      </c>
      <c r="D106" s="68">
        <f t="shared" si="21"/>
        <v>101.5</v>
      </c>
      <c r="E106" s="108">
        <f ca="1">IF('Invoer gegevens'!$C$16="","",E105+1)</f>
        <v>2120</v>
      </c>
      <c r="F106" s="84">
        <f ca="1">IF('Invoer gegevens'!$C$17=E106,'Invoer gegevens'!$C$10,IF(C106=1,K105,0))</f>
        <v>0</v>
      </c>
      <c r="G106" s="96">
        <f ca="1">IF(C106&gt;=1,F106*VLOOKUP(E106,Reeksen!$A$5:$B$76,2),0)</f>
        <v>0</v>
      </c>
      <c r="H106" s="84">
        <f ca="1">(1-('Invoer gegevens'!$F$20/12))*F106*MIN(Reeksen!B106,Reeksen!D106)</f>
        <v>0</v>
      </c>
      <c r="I106" s="84">
        <f>IF(Reeksen!D106&lt;Reeksen!B106,(Reeksen!B106-Reeksen!D106)*F106,0)</f>
        <v>0</v>
      </c>
      <c r="J106" s="84">
        <f ca="1">('Invoer gegevens'!$F$20/12)*F105*MIN(Reeksen!B105,Reeksen!D105)</f>
        <v>0</v>
      </c>
      <c r="K106" s="97">
        <f t="shared" ca="1" si="12"/>
        <v>0</v>
      </c>
      <c r="L106" s="84">
        <f ca="1">IF('Invoer gegevens'!$C$17=E106,0,IF(C106=1,Q105,0))</f>
        <v>0</v>
      </c>
      <c r="M106" s="96">
        <f ca="1">IF(C106&gt;=1,L106*VLOOKUP(E106,Reeksen!$A$5:$B$76,2),0)</f>
        <v>0</v>
      </c>
      <c r="N106" s="84">
        <f ca="1">(1-('Invoer gegevens'!$F$20/12))*L106*MIN(Reeksen!B106,Reeksen!D106)</f>
        <v>0</v>
      </c>
      <c r="O106" s="84">
        <f>IF(Reeksen!D106&lt;Reeksen!B106,(Reeksen!B106-Reeksen!D106)*L106,0)</f>
        <v>0</v>
      </c>
      <c r="P106" s="84">
        <f ca="1">('Invoer gegevens'!$F$20/12)*L105*MIN(Reeksen!B105,Reeksen!D105)</f>
        <v>0</v>
      </c>
      <c r="Q106" s="84">
        <f t="shared" ca="1" si="13"/>
        <v>0</v>
      </c>
      <c r="R106" s="82">
        <f ca="1">IF('Invoer gegevens'!$C$17=E106,'Invoer gegevens'!$C$11,IF(C106=1,W105,0))</f>
        <v>0</v>
      </c>
      <c r="S106" s="86">
        <f ca="1">IF(C106&gt;=1,R106*VLOOKUP(E106,Reeksen!$A$5:$B$76,2),0)</f>
        <v>0</v>
      </c>
      <c r="T106" s="84">
        <f ca="1">(1-('Invoer gegevens'!$F$20/12))*R106*MIN(Reeksen!B106,Reeksen!D106)</f>
        <v>0</v>
      </c>
      <c r="U106" s="84">
        <f>IF(Reeksen!D106&gt;=Reeksen!B106,0,IF(Reeksen!AK106&lt;=Reeksen!AE106,(Reeksen!B106-Reeksen!D106)*R106,0))</f>
        <v>0</v>
      </c>
      <c r="V106" s="86">
        <f>IF(Reeksen!D106&gt;=Reeksen!B106,0,IF(Reeksen!AK106&gt;Reeksen!AE106,(Reeksen!B106-Reeksen!D106)*R106,0))</f>
        <v>0</v>
      </c>
      <c r="W106" s="97">
        <f t="shared" ca="1" si="14"/>
        <v>0</v>
      </c>
      <c r="X106" s="98">
        <f ca="1">IF('Invoer gegevens'!$C$17=E106,'Invoer gegevens'!$C$10-'Invoer gegevens'!$C$11,IF(C106=1,AC105,0))</f>
        <v>0</v>
      </c>
      <c r="Y106" s="98">
        <f ca="1">IF(C106&gt;=1,X106*VLOOKUP(E106,Reeksen!$A$5:$B$76,2),0)</f>
        <v>0</v>
      </c>
      <c r="Z106" s="98">
        <f ca="1">(1-('Invoer gegevens'!$F$20/12))*X106*MIN(Reeksen!B106,Reeksen!D106)</f>
        <v>0</v>
      </c>
      <c r="AA106" s="98">
        <f>IF(Reeksen!D106&gt;=Reeksen!B106,0,IF(Reeksen!AK106&lt;=Reeksen!AE106,(Reeksen!B106-Reeksen!D106)*X106,0))</f>
        <v>0</v>
      </c>
      <c r="AB106" s="98">
        <f>IF(Reeksen!D106&gt;=Reeksen!B106,0,IF(Reeksen!AK106&gt;Reeksen!AE106,(Reeksen!B106-Reeksen!D106)*X106,0))</f>
        <v>0</v>
      </c>
      <c r="AC106" s="99">
        <f t="shared" ca="1" si="15"/>
        <v>0</v>
      </c>
      <c r="AD106" s="98">
        <f ca="1">IF('Invoer gegevens'!$C$17=E106,R106,IF(C106=0,0,AE105))</f>
        <v>0</v>
      </c>
      <c r="AE106" s="98">
        <f t="shared" ca="1" si="16"/>
        <v>0</v>
      </c>
      <c r="AF106" s="98">
        <f ca="1">IF('Invoer gegevens'!$C$17=E106,X106,IF(C106=0,0,AG105))</f>
        <v>0</v>
      </c>
      <c r="AG106" s="98">
        <f t="shared" ca="1" si="17"/>
        <v>0</v>
      </c>
      <c r="AH106" s="68"/>
      <c r="AI106" s="71">
        <f ca="1">IF(C106=1,Reeksen!AJ106*((F106-G106+F106)/2)*12+Reeksen!AK106*((L106-M106+L106)/2)*12,0)</f>
        <v>0</v>
      </c>
      <c r="AJ106" s="71">
        <f ca="1">-AI106*'Invoer gegevens'!$F$28</f>
        <v>0</v>
      </c>
      <c r="AK106" s="71">
        <f t="shared" ca="1" si="11"/>
        <v>0</v>
      </c>
      <c r="AL106" s="71">
        <f ca="1">IF(C106=1,Reeksen!AL106*((F106-G106+F106)/2)*12+Reeksen!AM106*((L106-M106+L106)/2)*12,0)</f>
        <v>0</v>
      </c>
      <c r="AM106" s="71">
        <f ca="1">-AL106*'Invoer gegevens'!$F$31</f>
        <v>0</v>
      </c>
      <c r="AN106" s="71">
        <f t="shared" ca="1" si="18"/>
        <v>0</v>
      </c>
      <c r="AO106" s="71">
        <f ca="1">IF(C106=1,(H106+J106+N106+P106)*Reeksen!AN106,0)</f>
        <v>0</v>
      </c>
      <c r="AP106" s="71">
        <f ca="1">-IF(C106=1,(H106+J106+N106+P106)*'Hulp - basis'!$G$550*Reeksen!H106,0)</f>
        <v>0</v>
      </c>
      <c r="AQ106" s="71">
        <f ca="1">-IF(C106=1,(F106+K106+L106+Q106)/2*'Invoer gegevens'!$I$33*Reeksen!J106,0)*2</f>
        <v>0</v>
      </c>
      <c r="AR106" s="71">
        <f ca="1">-IF(C106=1,(I106*'Invoer gegevens'!$I$34)*Reeksen!J106,0)</f>
        <v>0</v>
      </c>
      <c r="AS106" s="71">
        <f ca="1">-IF(C106=1,(F106+K106+L106+Q106)/2*'Invoer gegevens'!$I$35*Reeksen!L106,0)</f>
        <v>0</v>
      </c>
      <c r="AT106" s="71">
        <f ca="1">-IF(C106=1,IF(E106='Invoer gegevens'!$C$17,'Invoer gegevens'!$C$11,AD106)*Reeksen!S106*'Invoer gegevens'!$C$18*Reeksen!P106,0)</f>
        <v>0</v>
      </c>
      <c r="AU106" s="71">
        <f ca="1">-IF(C106=1,(F106+K106+L106+Q106)/2*'Invoer gegevens'!$I$36*Reeksen!H106,0)</f>
        <v>0</v>
      </c>
      <c r="AV106" s="71">
        <f>IF('Invoer gegevens'!$C$3="Basis",0,#REF!)</f>
        <v>0</v>
      </c>
      <c r="AW106" s="71">
        <f t="shared" ca="1" si="19"/>
        <v>0</v>
      </c>
      <c r="AX106" s="71">
        <f ca="1">IF(E106&lt;'Invoer gegevens'!$C$17+15,0,IF(E106&gt;'Invoer gegevens'!$C$17+215,0,AW106))</f>
        <v>0</v>
      </c>
      <c r="AY106" s="71">
        <f ca="1">AX106/(1+'Invoer gegevens'!$F$18)^($AZ106-('Invoer gegevens'!$C$17-'Invoer gegevens'!$C$16))/(1+'Invoer gegevens'!$C$39)^('Invoer gegevens'!$C$17-'Invoer gegevens'!$C$16)</f>
        <v>0</v>
      </c>
      <c r="AZ106" s="68">
        <f ca="1">IF(E106-'Invoer gegevens'!$C$17-14.5&lt;0,0,E106-'Invoer gegevens'!$C$17-14.5)</f>
        <v>86.5</v>
      </c>
    </row>
    <row r="107" spans="2:52" x14ac:dyDescent="0.25">
      <c r="B107" s="70">
        <f t="shared" si="20"/>
        <v>103</v>
      </c>
      <c r="C107" s="67">
        <f ca="1">IF(E107-'Invoer gegevens'!$C$17&lt;0,0,1)</f>
        <v>1</v>
      </c>
      <c r="D107" s="68">
        <f t="shared" si="21"/>
        <v>102.5</v>
      </c>
      <c r="E107" s="108">
        <f ca="1">IF('Invoer gegevens'!$C$16="","",E106+1)</f>
        <v>2121</v>
      </c>
      <c r="F107" s="84">
        <f ca="1">IF('Invoer gegevens'!$C$17=E107,'Invoer gegevens'!$C$10,IF(C107=1,K106,0))</f>
        <v>0</v>
      </c>
      <c r="G107" s="96">
        <f ca="1">IF(C107&gt;=1,F107*VLOOKUP(E107,Reeksen!$A$5:$B$76,2),0)</f>
        <v>0</v>
      </c>
      <c r="H107" s="84">
        <f ca="1">(1-('Invoer gegevens'!$F$20/12))*F107*MIN(Reeksen!B107,Reeksen!D107)</f>
        <v>0</v>
      </c>
      <c r="I107" s="84">
        <f>IF(Reeksen!D107&lt;Reeksen!B107,(Reeksen!B107-Reeksen!D107)*F107,0)</f>
        <v>0</v>
      </c>
      <c r="J107" s="84">
        <f ca="1">('Invoer gegevens'!$F$20/12)*F106*MIN(Reeksen!B106,Reeksen!D106)</f>
        <v>0</v>
      </c>
      <c r="K107" s="97">
        <f t="shared" ca="1" si="12"/>
        <v>0</v>
      </c>
      <c r="L107" s="84">
        <f ca="1">IF('Invoer gegevens'!$C$17=E107,0,IF(C107=1,Q106,0))</f>
        <v>0</v>
      </c>
      <c r="M107" s="96">
        <f ca="1">IF(C107&gt;=1,L107*VLOOKUP(E107,Reeksen!$A$5:$B$76,2),0)</f>
        <v>0</v>
      </c>
      <c r="N107" s="84">
        <f ca="1">(1-('Invoer gegevens'!$F$20/12))*L107*MIN(Reeksen!B107,Reeksen!D107)</f>
        <v>0</v>
      </c>
      <c r="O107" s="84">
        <f>IF(Reeksen!D107&lt;Reeksen!B107,(Reeksen!B107-Reeksen!D107)*L107,0)</f>
        <v>0</v>
      </c>
      <c r="P107" s="84">
        <f ca="1">('Invoer gegevens'!$F$20/12)*L106*MIN(Reeksen!B106,Reeksen!D106)</f>
        <v>0</v>
      </c>
      <c r="Q107" s="84">
        <f t="shared" ca="1" si="13"/>
        <v>0</v>
      </c>
      <c r="R107" s="82">
        <f ca="1">IF('Invoer gegevens'!$C$17=E107,'Invoer gegevens'!$C$11,IF(C107=1,W106,0))</f>
        <v>0</v>
      </c>
      <c r="S107" s="86">
        <f ca="1">IF(C107&gt;=1,R107*VLOOKUP(E107,Reeksen!$A$5:$B$76,2),0)</f>
        <v>0</v>
      </c>
      <c r="T107" s="84">
        <f ca="1">(1-('Invoer gegevens'!$F$20/12))*R107*MIN(Reeksen!B107,Reeksen!D107)</f>
        <v>0</v>
      </c>
      <c r="U107" s="84">
        <f>IF(Reeksen!D107&gt;=Reeksen!B107,0,IF(Reeksen!AK107&lt;=Reeksen!AE107,(Reeksen!B107-Reeksen!D107)*R107,0))</f>
        <v>0</v>
      </c>
      <c r="V107" s="86">
        <f>IF(Reeksen!D107&gt;=Reeksen!B107,0,IF(Reeksen!AK107&gt;Reeksen!AE107,(Reeksen!B107-Reeksen!D107)*R107,0))</f>
        <v>0</v>
      </c>
      <c r="W107" s="97">
        <f t="shared" ca="1" si="14"/>
        <v>0</v>
      </c>
      <c r="X107" s="98">
        <f ca="1">IF('Invoer gegevens'!$C$17=E107,'Invoer gegevens'!$C$10-'Invoer gegevens'!$C$11,IF(C107=1,AC106,0))</f>
        <v>0</v>
      </c>
      <c r="Y107" s="98">
        <f ca="1">IF(C107&gt;=1,X107*VLOOKUP(E107,Reeksen!$A$5:$B$76,2),0)</f>
        <v>0</v>
      </c>
      <c r="Z107" s="98">
        <f ca="1">(1-('Invoer gegevens'!$F$20/12))*X107*MIN(Reeksen!B107,Reeksen!D107)</f>
        <v>0</v>
      </c>
      <c r="AA107" s="98">
        <f>IF(Reeksen!D107&gt;=Reeksen!B107,0,IF(Reeksen!AK107&lt;=Reeksen!AE107,(Reeksen!B107-Reeksen!D107)*X107,0))</f>
        <v>0</v>
      </c>
      <c r="AB107" s="98">
        <f>IF(Reeksen!D107&gt;=Reeksen!B107,0,IF(Reeksen!AK107&gt;Reeksen!AE107,(Reeksen!B107-Reeksen!D107)*X107,0))</f>
        <v>0</v>
      </c>
      <c r="AC107" s="99">
        <f t="shared" ca="1" si="15"/>
        <v>0</v>
      </c>
      <c r="AD107" s="98">
        <f ca="1">IF('Invoer gegevens'!$C$17=E107,R107,IF(C107=0,0,AE106))</f>
        <v>0</v>
      </c>
      <c r="AE107" s="98">
        <f t="shared" ca="1" si="16"/>
        <v>0</v>
      </c>
      <c r="AF107" s="98">
        <f ca="1">IF('Invoer gegevens'!$C$17=E107,X107,IF(C107=0,0,AG106))</f>
        <v>0</v>
      </c>
      <c r="AG107" s="98">
        <f t="shared" ca="1" si="17"/>
        <v>0</v>
      </c>
      <c r="AH107" s="68"/>
      <c r="AI107" s="71">
        <f ca="1">IF(C107=1,Reeksen!AJ107*((F107-G107+F107)/2)*12+Reeksen!AK107*((L107-M107+L107)/2)*12,0)</f>
        <v>0</v>
      </c>
      <c r="AJ107" s="71">
        <f ca="1">-AI107*'Invoer gegevens'!$F$28</f>
        <v>0</v>
      </c>
      <c r="AK107" s="71">
        <f t="shared" ca="1" si="11"/>
        <v>0</v>
      </c>
      <c r="AL107" s="71">
        <f ca="1">IF(C107=1,Reeksen!AL107*((F107-G107+F107)/2)*12+Reeksen!AM107*((L107-M107+L107)/2)*12,0)</f>
        <v>0</v>
      </c>
      <c r="AM107" s="71">
        <f ca="1">-AL107*'Invoer gegevens'!$F$31</f>
        <v>0</v>
      </c>
      <c r="AN107" s="71">
        <f t="shared" ca="1" si="18"/>
        <v>0</v>
      </c>
      <c r="AO107" s="71">
        <f ca="1">IF(C107=1,(H107+J107+N107+P107)*Reeksen!AN107,0)</f>
        <v>0</v>
      </c>
      <c r="AP107" s="71">
        <f ca="1">-IF(C107=1,(H107+J107+N107+P107)*'Hulp - basis'!$G$550*Reeksen!H107,0)</f>
        <v>0</v>
      </c>
      <c r="AQ107" s="71">
        <f ca="1">-IF(C107=1,(F107+K107+L107+Q107)/2*'Invoer gegevens'!$I$33*Reeksen!J107,0)*2</f>
        <v>0</v>
      </c>
      <c r="AR107" s="71">
        <f ca="1">-IF(C107=1,(I107*'Invoer gegevens'!$I$34)*Reeksen!J107,0)</f>
        <v>0</v>
      </c>
      <c r="AS107" s="71">
        <f ca="1">-IF(C107=1,(F107+K107+L107+Q107)/2*'Invoer gegevens'!$I$35*Reeksen!L107,0)</f>
        <v>0</v>
      </c>
      <c r="AT107" s="71">
        <f ca="1">-IF(C107=1,IF(E107='Invoer gegevens'!$C$17,'Invoer gegevens'!$C$11,AD107)*Reeksen!S107*'Invoer gegevens'!$C$18*Reeksen!P107,0)</f>
        <v>0</v>
      </c>
      <c r="AU107" s="71">
        <f ca="1">-IF(C107=1,(F107+K107+L107+Q107)/2*'Invoer gegevens'!$I$36*Reeksen!H107,0)</f>
        <v>0</v>
      </c>
      <c r="AV107" s="71">
        <f>IF('Invoer gegevens'!$C$3="Basis",0,#REF!)</f>
        <v>0</v>
      </c>
      <c r="AW107" s="71">
        <f t="shared" ca="1" si="19"/>
        <v>0</v>
      </c>
      <c r="AX107" s="71">
        <f ca="1">IF(E107&lt;'Invoer gegevens'!$C$17+15,0,IF(E107&gt;'Invoer gegevens'!$C$17+215,0,AW107))</f>
        <v>0</v>
      </c>
      <c r="AY107" s="71">
        <f ca="1">AX107/(1+'Invoer gegevens'!$F$18)^($AZ107-('Invoer gegevens'!$C$17-'Invoer gegevens'!$C$16))/(1+'Invoer gegevens'!$C$39)^('Invoer gegevens'!$C$17-'Invoer gegevens'!$C$16)</f>
        <v>0</v>
      </c>
      <c r="AZ107" s="68">
        <f ca="1">IF(E107-'Invoer gegevens'!$C$17-14.5&lt;0,0,E107-'Invoer gegevens'!$C$17-14.5)</f>
        <v>87.5</v>
      </c>
    </row>
    <row r="108" spans="2:52" x14ac:dyDescent="0.25">
      <c r="B108" s="70">
        <f t="shared" si="20"/>
        <v>104</v>
      </c>
      <c r="C108" s="67">
        <f ca="1">IF(E108-'Invoer gegevens'!$C$17&lt;0,0,1)</f>
        <v>1</v>
      </c>
      <c r="D108" s="68">
        <f t="shared" si="21"/>
        <v>103.5</v>
      </c>
      <c r="E108" s="108">
        <f ca="1">IF('Invoer gegevens'!$C$16="","",E107+1)</f>
        <v>2122</v>
      </c>
      <c r="F108" s="84">
        <f ca="1">IF('Invoer gegevens'!$C$17=E108,'Invoer gegevens'!$C$10,IF(C108=1,K107,0))</f>
        <v>0</v>
      </c>
      <c r="G108" s="96">
        <f ca="1">IF(C108&gt;=1,F108*VLOOKUP(E108,Reeksen!$A$5:$B$76,2),0)</f>
        <v>0</v>
      </c>
      <c r="H108" s="84">
        <f ca="1">(1-('Invoer gegevens'!$F$20/12))*F108*MIN(Reeksen!B108,Reeksen!D108)</f>
        <v>0</v>
      </c>
      <c r="I108" s="84">
        <f>IF(Reeksen!D108&lt;Reeksen!B108,(Reeksen!B108-Reeksen!D108)*F108,0)</f>
        <v>0</v>
      </c>
      <c r="J108" s="84">
        <f ca="1">('Invoer gegevens'!$F$20/12)*F107*MIN(Reeksen!B107,Reeksen!D107)</f>
        <v>0</v>
      </c>
      <c r="K108" s="97">
        <f t="shared" ca="1" si="12"/>
        <v>0</v>
      </c>
      <c r="L108" s="84">
        <f ca="1">IF('Invoer gegevens'!$C$17=E108,0,IF(C108=1,Q107,0))</f>
        <v>0</v>
      </c>
      <c r="M108" s="96">
        <f ca="1">IF(C108&gt;=1,L108*VLOOKUP(E108,Reeksen!$A$5:$B$76,2),0)</f>
        <v>0</v>
      </c>
      <c r="N108" s="84">
        <f ca="1">(1-('Invoer gegevens'!$F$20/12))*L108*MIN(Reeksen!B108,Reeksen!D108)</f>
        <v>0</v>
      </c>
      <c r="O108" s="84">
        <f>IF(Reeksen!D108&lt;Reeksen!B108,(Reeksen!B108-Reeksen!D108)*L108,0)</f>
        <v>0</v>
      </c>
      <c r="P108" s="84">
        <f ca="1">('Invoer gegevens'!$F$20/12)*L107*MIN(Reeksen!B107,Reeksen!D107)</f>
        <v>0</v>
      </c>
      <c r="Q108" s="84">
        <f t="shared" ca="1" si="13"/>
        <v>0</v>
      </c>
      <c r="R108" s="82">
        <f ca="1">IF('Invoer gegevens'!$C$17=E108,'Invoer gegevens'!$C$11,IF(C108=1,W107,0))</f>
        <v>0</v>
      </c>
      <c r="S108" s="86">
        <f ca="1">IF(C108&gt;=1,R108*VLOOKUP(E108,Reeksen!$A$5:$B$76,2),0)</f>
        <v>0</v>
      </c>
      <c r="T108" s="84">
        <f ca="1">(1-('Invoer gegevens'!$F$20/12))*R108*MIN(Reeksen!B108,Reeksen!D108)</f>
        <v>0</v>
      </c>
      <c r="U108" s="84">
        <f>IF(Reeksen!D108&gt;=Reeksen!B108,0,IF(Reeksen!AK108&lt;=Reeksen!AE108,(Reeksen!B108-Reeksen!D108)*R108,0))</f>
        <v>0</v>
      </c>
      <c r="V108" s="86">
        <f>IF(Reeksen!D108&gt;=Reeksen!B108,0,IF(Reeksen!AK108&gt;Reeksen!AE108,(Reeksen!B108-Reeksen!D108)*R108,0))</f>
        <v>0</v>
      </c>
      <c r="W108" s="97">
        <f t="shared" ca="1" si="14"/>
        <v>0</v>
      </c>
      <c r="X108" s="98">
        <f ca="1">IF('Invoer gegevens'!$C$17=E108,'Invoer gegevens'!$C$10-'Invoer gegevens'!$C$11,IF(C108=1,AC107,0))</f>
        <v>0</v>
      </c>
      <c r="Y108" s="98">
        <f ca="1">IF(C108&gt;=1,X108*VLOOKUP(E108,Reeksen!$A$5:$B$76,2),0)</f>
        <v>0</v>
      </c>
      <c r="Z108" s="98">
        <f ca="1">(1-('Invoer gegevens'!$F$20/12))*X108*MIN(Reeksen!B108,Reeksen!D108)</f>
        <v>0</v>
      </c>
      <c r="AA108" s="98">
        <f>IF(Reeksen!D108&gt;=Reeksen!B108,0,IF(Reeksen!AK108&lt;=Reeksen!AE108,(Reeksen!B108-Reeksen!D108)*X108,0))</f>
        <v>0</v>
      </c>
      <c r="AB108" s="98">
        <f>IF(Reeksen!D108&gt;=Reeksen!B108,0,IF(Reeksen!AK108&gt;Reeksen!AE108,(Reeksen!B108-Reeksen!D108)*X108,0))</f>
        <v>0</v>
      </c>
      <c r="AC108" s="99">
        <f t="shared" ca="1" si="15"/>
        <v>0</v>
      </c>
      <c r="AD108" s="98">
        <f ca="1">IF('Invoer gegevens'!$C$17=E108,R108,IF(C108=0,0,AE107))</f>
        <v>0</v>
      </c>
      <c r="AE108" s="98">
        <f t="shared" ca="1" si="16"/>
        <v>0</v>
      </c>
      <c r="AF108" s="98">
        <f ca="1">IF('Invoer gegevens'!$C$17=E108,X108,IF(C108=0,0,AG107))</f>
        <v>0</v>
      </c>
      <c r="AG108" s="98">
        <f t="shared" ca="1" si="17"/>
        <v>0</v>
      </c>
      <c r="AH108" s="68"/>
      <c r="AI108" s="71">
        <f ca="1">IF(C108=1,Reeksen!AJ108*((F108-G108+F108)/2)*12+Reeksen!AK108*((L108-M108+L108)/2)*12,0)</f>
        <v>0</v>
      </c>
      <c r="AJ108" s="71">
        <f ca="1">-AI108*'Invoer gegevens'!$F$28</f>
        <v>0</v>
      </c>
      <c r="AK108" s="71">
        <f t="shared" ca="1" si="11"/>
        <v>0</v>
      </c>
      <c r="AL108" s="71">
        <f ca="1">IF(C108=1,Reeksen!AL108*((F108-G108+F108)/2)*12+Reeksen!AM108*((L108-M108+L108)/2)*12,0)</f>
        <v>0</v>
      </c>
      <c r="AM108" s="71">
        <f ca="1">-AL108*'Invoer gegevens'!$F$31</f>
        <v>0</v>
      </c>
      <c r="AN108" s="71">
        <f t="shared" ca="1" si="18"/>
        <v>0</v>
      </c>
      <c r="AO108" s="71">
        <f ca="1">IF(C108=1,(H108+J108+N108+P108)*Reeksen!AN108,0)</f>
        <v>0</v>
      </c>
      <c r="AP108" s="71">
        <f ca="1">-IF(C108=1,(H108+J108+N108+P108)*'Hulp - basis'!$G$550*Reeksen!H108,0)</f>
        <v>0</v>
      </c>
      <c r="AQ108" s="71">
        <f ca="1">-IF(C108=1,(F108+K108+L108+Q108)/2*'Invoer gegevens'!$I$33*Reeksen!J108,0)*2</f>
        <v>0</v>
      </c>
      <c r="AR108" s="71">
        <f ca="1">-IF(C108=1,(I108*'Invoer gegevens'!$I$34)*Reeksen!J108,0)</f>
        <v>0</v>
      </c>
      <c r="AS108" s="71">
        <f ca="1">-IF(C108=1,(F108+K108+L108+Q108)/2*'Invoer gegevens'!$I$35*Reeksen!L108,0)</f>
        <v>0</v>
      </c>
      <c r="AT108" s="71">
        <f ca="1">-IF(C108=1,IF(E108='Invoer gegevens'!$C$17,'Invoer gegevens'!$C$11,AD108)*Reeksen!S108*'Invoer gegevens'!$C$18*Reeksen!P108,0)</f>
        <v>0</v>
      </c>
      <c r="AU108" s="71">
        <f ca="1">-IF(C108=1,(F108+K108+L108+Q108)/2*'Invoer gegevens'!$I$36*Reeksen!H108,0)</f>
        <v>0</v>
      </c>
      <c r="AV108" s="71">
        <f>IF('Invoer gegevens'!$C$3="Basis",0,#REF!)</f>
        <v>0</v>
      </c>
      <c r="AW108" s="71">
        <f t="shared" ca="1" si="19"/>
        <v>0</v>
      </c>
      <c r="AX108" s="71">
        <f ca="1">IF(E108&lt;'Invoer gegevens'!$C$17+15,0,IF(E108&gt;'Invoer gegevens'!$C$17+215,0,AW108))</f>
        <v>0</v>
      </c>
      <c r="AY108" s="71">
        <f ca="1">AX108/(1+'Invoer gegevens'!$F$18)^($AZ108-('Invoer gegevens'!$C$17-'Invoer gegevens'!$C$16))/(1+'Invoer gegevens'!$C$39)^('Invoer gegevens'!$C$17-'Invoer gegevens'!$C$16)</f>
        <v>0</v>
      </c>
      <c r="AZ108" s="68">
        <f ca="1">IF(E108-'Invoer gegevens'!$C$17-14.5&lt;0,0,E108-'Invoer gegevens'!$C$17-14.5)</f>
        <v>88.5</v>
      </c>
    </row>
    <row r="109" spans="2:52" x14ac:dyDescent="0.25">
      <c r="B109" s="70">
        <f t="shared" si="20"/>
        <v>105</v>
      </c>
      <c r="C109" s="67">
        <f ca="1">IF(E109-'Invoer gegevens'!$C$17&lt;0,0,1)</f>
        <v>1</v>
      </c>
      <c r="D109" s="68">
        <f t="shared" si="21"/>
        <v>104.5</v>
      </c>
      <c r="E109" s="108">
        <f ca="1">IF('Invoer gegevens'!$C$16="","",E108+1)</f>
        <v>2123</v>
      </c>
      <c r="F109" s="84">
        <f ca="1">IF('Invoer gegevens'!$C$17=E109,'Invoer gegevens'!$C$10,IF(C109=1,K108,0))</f>
        <v>0</v>
      </c>
      <c r="G109" s="96">
        <f ca="1">IF(C109&gt;=1,F109*VLOOKUP(E109,Reeksen!$A$5:$B$76,2),0)</f>
        <v>0</v>
      </c>
      <c r="H109" s="84">
        <f ca="1">(1-('Invoer gegevens'!$F$20/12))*F109*MIN(Reeksen!B109,Reeksen!D109)</f>
        <v>0</v>
      </c>
      <c r="I109" s="84">
        <f>IF(Reeksen!D109&lt;Reeksen!B109,(Reeksen!B109-Reeksen!D109)*F109,0)</f>
        <v>0</v>
      </c>
      <c r="J109" s="84">
        <f ca="1">('Invoer gegevens'!$F$20/12)*F108*MIN(Reeksen!B108,Reeksen!D108)</f>
        <v>0</v>
      </c>
      <c r="K109" s="97">
        <f t="shared" ca="1" si="12"/>
        <v>0</v>
      </c>
      <c r="L109" s="84">
        <f ca="1">IF('Invoer gegevens'!$C$17=E109,0,IF(C109=1,Q108,0))</f>
        <v>0</v>
      </c>
      <c r="M109" s="96">
        <f ca="1">IF(C109&gt;=1,L109*VLOOKUP(E109,Reeksen!$A$5:$B$76,2),0)</f>
        <v>0</v>
      </c>
      <c r="N109" s="84">
        <f ca="1">(1-('Invoer gegevens'!$F$20/12))*L109*MIN(Reeksen!B109,Reeksen!D109)</f>
        <v>0</v>
      </c>
      <c r="O109" s="84">
        <f>IF(Reeksen!D109&lt;Reeksen!B109,(Reeksen!B109-Reeksen!D109)*L109,0)</f>
        <v>0</v>
      </c>
      <c r="P109" s="84">
        <f ca="1">('Invoer gegevens'!$F$20/12)*L108*MIN(Reeksen!B108,Reeksen!D108)</f>
        <v>0</v>
      </c>
      <c r="Q109" s="84">
        <f t="shared" ca="1" si="13"/>
        <v>0</v>
      </c>
      <c r="R109" s="82">
        <f ca="1">IF('Invoer gegevens'!$C$17=E109,'Invoer gegevens'!$C$11,IF(C109=1,W108,0))</f>
        <v>0</v>
      </c>
      <c r="S109" s="86">
        <f ca="1">IF(C109&gt;=1,R109*VLOOKUP(E109,Reeksen!$A$5:$B$76,2),0)</f>
        <v>0</v>
      </c>
      <c r="T109" s="84">
        <f ca="1">(1-('Invoer gegevens'!$F$20/12))*R109*MIN(Reeksen!B109,Reeksen!D109)</f>
        <v>0</v>
      </c>
      <c r="U109" s="84">
        <f>IF(Reeksen!D109&gt;=Reeksen!B109,0,IF(Reeksen!AK109&lt;=Reeksen!AE109,(Reeksen!B109-Reeksen!D109)*R109,0))</f>
        <v>0</v>
      </c>
      <c r="V109" s="86">
        <f>IF(Reeksen!D109&gt;=Reeksen!B109,0,IF(Reeksen!AK109&gt;Reeksen!AE109,(Reeksen!B109-Reeksen!D109)*R109,0))</f>
        <v>0</v>
      </c>
      <c r="W109" s="97">
        <f t="shared" ca="1" si="14"/>
        <v>0</v>
      </c>
      <c r="X109" s="98">
        <f ca="1">IF('Invoer gegevens'!$C$17=E109,'Invoer gegevens'!$C$10-'Invoer gegevens'!$C$11,IF(C109=1,AC108,0))</f>
        <v>0</v>
      </c>
      <c r="Y109" s="98">
        <f ca="1">IF(C109&gt;=1,X109*VLOOKUP(E109,Reeksen!$A$5:$B$76,2),0)</f>
        <v>0</v>
      </c>
      <c r="Z109" s="98">
        <f ca="1">(1-('Invoer gegevens'!$F$20/12))*X109*MIN(Reeksen!B109,Reeksen!D109)</f>
        <v>0</v>
      </c>
      <c r="AA109" s="98">
        <f>IF(Reeksen!D109&gt;=Reeksen!B109,0,IF(Reeksen!AK109&lt;=Reeksen!AE109,(Reeksen!B109-Reeksen!D109)*X109,0))</f>
        <v>0</v>
      </c>
      <c r="AB109" s="98">
        <f>IF(Reeksen!D109&gt;=Reeksen!B109,0,IF(Reeksen!AK109&gt;Reeksen!AE109,(Reeksen!B109-Reeksen!D109)*X109,0))</f>
        <v>0</v>
      </c>
      <c r="AC109" s="99">
        <f t="shared" ca="1" si="15"/>
        <v>0</v>
      </c>
      <c r="AD109" s="98">
        <f ca="1">IF('Invoer gegevens'!$C$17=E109,R109,IF(C109=0,0,AE108))</f>
        <v>0</v>
      </c>
      <c r="AE109" s="98">
        <f t="shared" ca="1" si="16"/>
        <v>0</v>
      </c>
      <c r="AF109" s="98">
        <f ca="1">IF('Invoer gegevens'!$C$17=E109,X109,IF(C109=0,0,AG108))</f>
        <v>0</v>
      </c>
      <c r="AG109" s="98">
        <f t="shared" ca="1" si="17"/>
        <v>0</v>
      </c>
      <c r="AH109" s="68"/>
      <c r="AI109" s="71">
        <f ca="1">IF(C109=1,Reeksen!AJ109*((F109-G109+F109)/2)*12+Reeksen!AK109*((L109-M109+L109)/2)*12,0)</f>
        <v>0</v>
      </c>
      <c r="AJ109" s="71">
        <f ca="1">-AI109*'Invoer gegevens'!$F$28</f>
        <v>0</v>
      </c>
      <c r="AK109" s="71">
        <f t="shared" ca="1" si="11"/>
        <v>0</v>
      </c>
      <c r="AL109" s="71">
        <f ca="1">IF(C109=1,Reeksen!AL109*((F109-G109+F109)/2)*12+Reeksen!AM109*((L109-M109+L109)/2)*12,0)</f>
        <v>0</v>
      </c>
      <c r="AM109" s="71">
        <f ca="1">-AL109*'Invoer gegevens'!$F$31</f>
        <v>0</v>
      </c>
      <c r="AN109" s="71">
        <f t="shared" ca="1" si="18"/>
        <v>0</v>
      </c>
      <c r="AO109" s="71">
        <f ca="1">IF(C109=1,(H109+J109+N109+P109)*Reeksen!AN109,0)</f>
        <v>0</v>
      </c>
      <c r="AP109" s="71">
        <f ca="1">-IF(C109=1,(H109+J109+N109+P109)*'Hulp - basis'!$G$550*Reeksen!H109,0)</f>
        <v>0</v>
      </c>
      <c r="AQ109" s="71">
        <f ca="1">-IF(C109=1,(F109+K109+L109+Q109)/2*'Invoer gegevens'!$I$33*Reeksen!J109,0)*2</f>
        <v>0</v>
      </c>
      <c r="AR109" s="71">
        <f ca="1">-IF(C109=1,(I109*'Invoer gegevens'!$I$34)*Reeksen!J109,0)</f>
        <v>0</v>
      </c>
      <c r="AS109" s="71">
        <f ca="1">-IF(C109=1,(F109+K109+L109+Q109)/2*'Invoer gegevens'!$I$35*Reeksen!L109,0)</f>
        <v>0</v>
      </c>
      <c r="AT109" s="71">
        <f ca="1">-IF(C109=1,IF(E109='Invoer gegevens'!$C$17,'Invoer gegevens'!$C$11,AD109)*Reeksen!S109*'Invoer gegevens'!$C$18*Reeksen!P109,0)</f>
        <v>0</v>
      </c>
      <c r="AU109" s="71">
        <f ca="1">-IF(C109=1,(F109+K109+L109+Q109)/2*'Invoer gegevens'!$I$36*Reeksen!H109,0)</f>
        <v>0</v>
      </c>
      <c r="AV109" s="71">
        <f>IF('Invoer gegevens'!$C$3="Basis",0,#REF!)</f>
        <v>0</v>
      </c>
      <c r="AW109" s="71">
        <f t="shared" ca="1" si="19"/>
        <v>0</v>
      </c>
      <c r="AX109" s="71">
        <f ca="1">IF(E109&lt;'Invoer gegevens'!$C$17+15,0,IF(E109&gt;'Invoer gegevens'!$C$17+215,0,AW109))</f>
        <v>0</v>
      </c>
      <c r="AY109" s="71">
        <f ca="1">AX109/(1+'Invoer gegevens'!$F$18)^($AZ109-('Invoer gegevens'!$C$17-'Invoer gegevens'!$C$16))/(1+'Invoer gegevens'!$C$39)^('Invoer gegevens'!$C$17-'Invoer gegevens'!$C$16)</f>
        <v>0</v>
      </c>
      <c r="AZ109" s="68">
        <f ca="1">IF(E109-'Invoer gegevens'!$C$17-14.5&lt;0,0,E109-'Invoer gegevens'!$C$17-14.5)</f>
        <v>89.5</v>
      </c>
    </row>
    <row r="110" spans="2:52" x14ac:dyDescent="0.25">
      <c r="B110" s="70">
        <f t="shared" si="20"/>
        <v>106</v>
      </c>
      <c r="C110" s="67">
        <f ca="1">IF(E110-'Invoer gegevens'!$C$17&lt;0,0,1)</f>
        <v>1</v>
      </c>
      <c r="D110" s="68">
        <f t="shared" si="21"/>
        <v>105.5</v>
      </c>
      <c r="E110" s="108">
        <f ca="1">IF('Invoer gegevens'!$C$16="","",E109+1)</f>
        <v>2124</v>
      </c>
      <c r="F110" s="84">
        <f ca="1">IF('Invoer gegevens'!$C$17=E110,'Invoer gegevens'!$C$10,IF(C110=1,K109,0))</f>
        <v>0</v>
      </c>
      <c r="G110" s="96">
        <f ca="1">IF(C110&gt;=1,F110*VLOOKUP(E110,Reeksen!$A$5:$B$76,2),0)</f>
        <v>0</v>
      </c>
      <c r="H110" s="84">
        <f ca="1">(1-('Invoer gegevens'!$F$20/12))*F110*MIN(Reeksen!B110,Reeksen!D110)</f>
        <v>0</v>
      </c>
      <c r="I110" s="84">
        <f>IF(Reeksen!D110&lt;Reeksen!B110,(Reeksen!B110-Reeksen!D110)*F110,0)</f>
        <v>0</v>
      </c>
      <c r="J110" s="84">
        <f ca="1">('Invoer gegevens'!$F$20/12)*F109*MIN(Reeksen!B109,Reeksen!D109)</f>
        <v>0</v>
      </c>
      <c r="K110" s="97">
        <f t="shared" ca="1" si="12"/>
        <v>0</v>
      </c>
      <c r="L110" s="84">
        <f ca="1">IF('Invoer gegevens'!$C$17=E110,0,IF(C110=1,Q109,0))</f>
        <v>0</v>
      </c>
      <c r="M110" s="96">
        <f ca="1">IF(C110&gt;=1,L110*VLOOKUP(E110,Reeksen!$A$5:$B$76,2),0)</f>
        <v>0</v>
      </c>
      <c r="N110" s="84">
        <f ca="1">(1-('Invoer gegevens'!$F$20/12))*L110*MIN(Reeksen!B110,Reeksen!D110)</f>
        <v>0</v>
      </c>
      <c r="O110" s="84">
        <f>IF(Reeksen!D110&lt;Reeksen!B110,(Reeksen!B110-Reeksen!D110)*L110,0)</f>
        <v>0</v>
      </c>
      <c r="P110" s="84">
        <f ca="1">('Invoer gegevens'!$F$20/12)*L109*MIN(Reeksen!B109,Reeksen!D109)</f>
        <v>0</v>
      </c>
      <c r="Q110" s="84">
        <f t="shared" ca="1" si="13"/>
        <v>0</v>
      </c>
      <c r="R110" s="82">
        <f ca="1">IF('Invoer gegevens'!$C$17=E110,'Invoer gegevens'!$C$11,IF(C110=1,W109,0))</f>
        <v>0</v>
      </c>
      <c r="S110" s="86">
        <f ca="1">IF(C110&gt;=1,R110*VLOOKUP(E110,Reeksen!$A$5:$B$76,2),0)</f>
        <v>0</v>
      </c>
      <c r="T110" s="84">
        <f ca="1">(1-('Invoer gegevens'!$F$20/12))*R110*MIN(Reeksen!B110,Reeksen!D110)</f>
        <v>0</v>
      </c>
      <c r="U110" s="84">
        <f>IF(Reeksen!D110&gt;=Reeksen!B110,0,IF(Reeksen!AK110&lt;=Reeksen!AE110,(Reeksen!B110-Reeksen!D110)*R110,0))</f>
        <v>0</v>
      </c>
      <c r="V110" s="86">
        <f>IF(Reeksen!D110&gt;=Reeksen!B110,0,IF(Reeksen!AK110&gt;Reeksen!AE110,(Reeksen!B110-Reeksen!D110)*R110,0))</f>
        <v>0</v>
      </c>
      <c r="W110" s="97">
        <f t="shared" ca="1" si="14"/>
        <v>0</v>
      </c>
      <c r="X110" s="98">
        <f ca="1">IF('Invoer gegevens'!$C$17=E110,'Invoer gegevens'!$C$10-'Invoer gegevens'!$C$11,IF(C110=1,AC109,0))</f>
        <v>0</v>
      </c>
      <c r="Y110" s="98">
        <f ca="1">IF(C110&gt;=1,X110*VLOOKUP(E110,Reeksen!$A$5:$B$76,2),0)</f>
        <v>0</v>
      </c>
      <c r="Z110" s="98">
        <f ca="1">(1-('Invoer gegevens'!$F$20/12))*X110*MIN(Reeksen!B110,Reeksen!D110)</f>
        <v>0</v>
      </c>
      <c r="AA110" s="98">
        <f>IF(Reeksen!D110&gt;=Reeksen!B110,0,IF(Reeksen!AK110&lt;=Reeksen!AE110,(Reeksen!B110-Reeksen!D110)*X110,0))</f>
        <v>0</v>
      </c>
      <c r="AB110" s="98">
        <f>IF(Reeksen!D110&gt;=Reeksen!B110,0,IF(Reeksen!AK110&gt;Reeksen!AE110,(Reeksen!B110-Reeksen!D110)*X110,0))</f>
        <v>0</v>
      </c>
      <c r="AC110" s="99">
        <f t="shared" ca="1" si="15"/>
        <v>0</v>
      </c>
      <c r="AD110" s="98">
        <f ca="1">IF('Invoer gegevens'!$C$17=E110,R110,IF(C110=0,0,AE109))</f>
        <v>0</v>
      </c>
      <c r="AE110" s="98">
        <f t="shared" ca="1" si="16"/>
        <v>0</v>
      </c>
      <c r="AF110" s="98">
        <f ca="1">IF('Invoer gegevens'!$C$17=E110,X110,IF(C110=0,0,AG109))</f>
        <v>0</v>
      </c>
      <c r="AG110" s="98">
        <f t="shared" ca="1" si="17"/>
        <v>0</v>
      </c>
      <c r="AH110" s="68"/>
      <c r="AI110" s="71">
        <f ca="1">IF(C110=1,Reeksen!AJ110*((F110-G110+F110)/2)*12+Reeksen!AK110*((L110-M110+L110)/2)*12,0)</f>
        <v>0</v>
      </c>
      <c r="AJ110" s="71">
        <f ca="1">-AI110*'Invoer gegevens'!$F$28</f>
        <v>0</v>
      </c>
      <c r="AK110" s="71">
        <f t="shared" ca="1" si="11"/>
        <v>0</v>
      </c>
      <c r="AL110" s="71">
        <f ca="1">IF(C110=1,Reeksen!AL110*((F110-G110+F110)/2)*12+Reeksen!AM110*((L110-M110+L110)/2)*12,0)</f>
        <v>0</v>
      </c>
      <c r="AM110" s="71">
        <f ca="1">-AL110*'Invoer gegevens'!$F$31</f>
        <v>0</v>
      </c>
      <c r="AN110" s="71">
        <f t="shared" ca="1" si="18"/>
        <v>0</v>
      </c>
      <c r="AO110" s="71">
        <f ca="1">IF(C110=1,(H110+J110+N110+P110)*Reeksen!AN110,0)</f>
        <v>0</v>
      </c>
      <c r="AP110" s="71">
        <f ca="1">-IF(C110=1,(H110+J110+N110+P110)*'Hulp - basis'!$G$550*Reeksen!H110,0)</f>
        <v>0</v>
      </c>
      <c r="AQ110" s="71">
        <f ca="1">-IF(C110=1,(F110+K110+L110+Q110)/2*'Invoer gegevens'!$I$33*Reeksen!J110,0)*2</f>
        <v>0</v>
      </c>
      <c r="AR110" s="71">
        <f ca="1">-IF(C110=1,(I110*'Invoer gegevens'!$I$34)*Reeksen!J110,0)</f>
        <v>0</v>
      </c>
      <c r="AS110" s="71">
        <f ca="1">-IF(C110=1,(F110+K110+L110+Q110)/2*'Invoer gegevens'!$I$35*Reeksen!L110,0)</f>
        <v>0</v>
      </c>
      <c r="AT110" s="71">
        <f ca="1">-IF(C110=1,IF(E110='Invoer gegevens'!$C$17,'Invoer gegevens'!$C$11,AD110)*Reeksen!S110*'Invoer gegevens'!$C$18*Reeksen!P110,0)</f>
        <v>0</v>
      </c>
      <c r="AU110" s="71">
        <f ca="1">-IF(C110=1,(F110+K110+L110+Q110)/2*'Invoer gegevens'!$I$36*Reeksen!H110,0)</f>
        <v>0</v>
      </c>
      <c r="AV110" s="71">
        <f>IF('Invoer gegevens'!$C$3="Basis",0,#REF!)</f>
        <v>0</v>
      </c>
      <c r="AW110" s="71">
        <f t="shared" ca="1" si="19"/>
        <v>0</v>
      </c>
      <c r="AX110" s="71">
        <f ca="1">IF(E110&lt;'Invoer gegevens'!$C$17+15,0,IF(E110&gt;'Invoer gegevens'!$C$17+215,0,AW110))</f>
        <v>0</v>
      </c>
      <c r="AY110" s="71">
        <f ca="1">AX110/(1+'Invoer gegevens'!$F$18)^($AZ110-('Invoer gegevens'!$C$17-'Invoer gegevens'!$C$16))/(1+'Invoer gegevens'!$C$39)^('Invoer gegevens'!$C$17-'Invoer gegevens'!$C$16)</f>
        <v>0</v>
      </c>
      <c r="AZ110" s="68">
        <f ca="1">IF(E110-'Invoer gegevens'!$C$17-14.5&lt;0,0,E110-'Invoer gegevens'!$C$17-14.5)</f>
        <v>90.5</v>
      </c>
    </row>
    <row r="111" spans="2:52" x14ac:dyDescent="0.25">
      <c r="B111" s="70">
        <f t="shared" si="20"/>
        <v>107</v>
      </c>
      <c r="C111" s="67">
        <f ca="1">IF(E111-'Invoer gegevens'!$C$17&lt;0,0,1)</f>
        <v>1</v>
      </c>
      <c r="D111" s="68">
        <f t="shared" si="21"/>
        <v>106.5</v>
      </c>
      <c r="E111" s="108">
        <f ca="1">IF('Invoer gegevens'!$C$16="","",E110+1)</f>
        <v>2125</v>
      </c>
      <c r="F111" s="84">
        <f ca="1">IF('Invoer gegevens'!$C$17=E111,'Invoer gegevens'!$C$10,IF(C111=1,K110,0))</f>
        <v>0</v>
      </c>
      <c r="G111" s="96">
        <f ca="1">IF(C111&gt;=1,F111*VLOOKUP(E111,Reeksen!$A$5:$B$76,2),0)</f>
        <v>0</v>
      </c>
      <c r="H111" s="84">
        <f ca="1">(1-('Invoer gegevens'!$F$20/12))*F111*MIN(Reeksen!B111,Reeksen!D111)</f>
        <v>0</v>
      </c>
      <c r="I111" s="84">
        <f>IF(Reeksen!D111&lt;Reeksen!B111,(Reeksen!B111-Reeksen!D111)*F111,0)</f>
        <v>0</v>
      </c>
      <c r="J111" s="84">
        <f ca="1">('Invoer gegevens'!$F$20/12)*F110*MIN(Reeksen!B110,Reeksen!D110)</f>
        <v>0</v>
      </c>
      <c r="K111" s="97">
        <f t="shared" ca="1" si="12"/>
        <v>0</v>
      </c>
      <c r="L111" s="84">
        <f ca="1">IF('Invoer gegevens'!$C$17=E111,0,IF(C111=1,Q110,0))</f>
        <v>0</v>
      </c>
      <c r="M111" s="96">
        <f ca="1">IF(C111&gt;=1,L111*VLOOKUP(E111,Reeksen!$A$5:$B$76,2),0)</f>
        <v>0</v>
      </c>
      <c r="N111" s="84">
        <f ca="1">(1-('Invoer gegevens'!$F$20/12))*L111*MIN(Reeksen!B111,Reeksen!D111)</f>
        <v>0</v>
      </c>
      <c r="O111" s="84">
        <f>IF(Reeksen!D111&lt;Reeksen!B111,(Reeksen!B111-Reeksen!D111)*L111,0)</f>
        <v>0</v>
      </c>
      <c r="P111" s="84">
        <f ca="1">('Invoer gegevens'!$F$20/12)*L110*MIN(Reeksen!B110,Reeksen!D110)</f>
        <v>0</v>
      </c>
      <c r="Q111" s="84">
        <f t="shared" ca="1" si="13"/>
        <v>0</v>
      </c>
      <c r="R111" s="82">
        <f ca="1">IF('Invoer gegevens'!$C$17=E111,'Invoer gegevens'!$C$11,IF(C111=1,W110,0))</f>
        <v>0</v>
      </c>
      <c r="S111" s="86">
        <f ca="1">IF(C111&gt;=1,R111*VLOOKUP(E111,Reeksen!$A$5:$B$76,2),0)</f>
        <v>0</v>
      </c>
      <c r="T111" s="84">
        <f ca="1">(1-('Invoer gegevens'!$F$20/12))*R111*MIN(Reeksen!B111,Reeksen!D111)</f>
        <v>0</v>
      </c>
      <c r="U111" s="84">
        <f>IF(Reeksen!D111&gt;=Reeksen!B111,0,IF(Reeksen!AK111&lt;=Reeksen!AE111,(Reeksen!B111-Reeksen!D111)*R111,0))</f>
        <v>0</v>
      </c>
      <c r="V111" s="86">
        <f>IF(Reeksen!D111&gt;=Reeksen!B111,0,IF(Reeksen!AK111&gt;Reeksen!AE111,(Reeksen!B111-Reeksen!D111)*R111,0))</f>
        <v>0</v>
      </c>
      <c r="W111" s="97">
        <f t="shared" ca="1" si="14"/>
        <v>0</v>
      </c>
      <c r="X111" s="98">
        <f ca="1">IF('Invoer gegevens'!$C$17=E111,'Invoer gegevens'!$C$10-'Invoer gegevens'!$C$11,IF(C111=1,AC110,0))</f>
        <v>0</v>
      </c>
      <c r="Y111" s="98">
        <f ca="1">IF(C111&gt;=1,X111*VLOOKUP(E111,Reeksen!$A$5:$B$76,2),0)</f>
        <v>0</v>
      </c>
      <c r="Z111" s="98">
        <f ca="1">(1-('Invoer gegevens'!$F$20/12))*X111*MIN(Reeksen!B111,Reeksen!D111)</f>
        <v>0</v>
      </c>
      <c r="AA111" s="98">
        <f>IF(Reeksen!D111&gt;=Reeksen!B111,0,IF(Reeksen!AK111&lt;=Reeksen!AE111,(Reeksen!B111-Reeksen!D111)*X111,0))</f>
        <v>0</v>
      </c>
      <c r="AB111" s="98">
        <f>IF(Reeksen!D111&gt;=Reeksen!B111,0,IF(Reeksen!AK111&gt;Reeksen!AE111,(Reeksen!B111-Reeksen!D111)*X111,0))</f>
        <v>0</v>
      </c>
      <c r="AC111" s="99">
        <f t="shared" ca="1" si="15"/>
        <v>0</v>
      </c>
      <c r="AD111" s="98">
        <f ca="1">IF('Invoer gegevens'!$C$17=E111,R111,IF(C111=0,0,AE110))</f>
        <v>0</v>
      </c>
      <c r="AE111" s="98">
        <f t="shared" ca="1" si="16"/>
        <v>0</v>
      </c>
      <c r="AF111" s="98">
        <f ca="1">IF('Invoer gegevens'!$C$17=E111,X111,IF(C111=0,0,AG110))</f>
        <v>0</v>
      </c>
      <c r="AG111" s="98">
        <f t="shared" ca="1" si="17"/>
        <v>0</v>
      </c>
      <c r="AH111" s="68"/>
      <c r="AI111" s="71">
        <f ca="1">IF(C111=1,Reeksen!AJ111*((F111-G111+F111)/2)*12+Reeksen!AK111*((L111-M111+L111)/2)*12,0)</f>
        <v>0</v>
      </c>
      <c r="AJ111" s="71">
        <f ca="1">-AI111*'Invoer gegevens'!$F$28</f>
        <v>0</v>
      </c>
      <c r="AK111" s="71">
        <f t="shared" ca="1" si="11"/>
        <v>0</v>
      </c>
      <c r="AL111" s="71">
        <f ca="1">IF(C111=1,Reeksen!AL111*((F111-G111+F111)/2)*12+Reeksen!AM111*((L111-M111+L111)/2)*12,0)</f>
        <v>0</v>
      </c>
      <c r="AM111" s="71">
        <f ca="1">-AL111*'Invoer gegevens'!$F$31</f>
        <v>0</v>
      </c>
      <c r="AN111" s="71">
        <f t="shared" ca="1" si="18"/>
        <v>0</v>
      </c>
      <c r="AO111" s="71">
        <f ca="1">IF(C111=1,(H111+J111+N111+P111)*Reeksen!AN111,0)</f>
        <v>0</v>
      </c>
      <c r="AP111" s="71">
        <f ca="1">-IF(C111=1,(H111+J111+N111+P111)*'Hulp - basis'!$G$550*Reeksen!H111,0)</f>
        <v>0</v>
      </c>
      <c r="AQ111" s="71">
        <f ca="1">-IF(C111=1,(F111+K111+L111+Q111)/2*'Invoer gegevens'!$I$33*Reeksen!J111,0)*2</f>
        <v>0</v>
      </c>
      <c r="AR111" s="71">
        <f ca="1">-IF(C111=1,(I111*'Invoer gegevens'!$I$34)*Reeksen!J111,0)</f>
        <v>0</v>
      </c>
      <c r="AS111" s="71">
        <f ca="1">-IF(C111=1,(F111+K111+L111+Q111)/2*'Invoer gegevens'!$I$35*Reeksen!L111,0)</f>
        <v>0</v>
      </c>
      <c r="AT111" s="71">
        <f ca="1">-IF(C111=1,IF(E111='Invoer gegevens'!$C$17,'Invoer gegevens'!$C$11,AD111)*Reeksen!S111*'Invoer gegevens'!$C$18*Reeksen!P111,0)</f>
        <v>0</v>
      </c>
      <c r="AU111" s="71">
        <f ca="1">-IF(C111=1,(F111+K111+L111+Q111)/2*'Invoer gegevens'!$I$36*Reeksen!H111,0)</f>
        <v>0</v>
      </c>
      <c r="AV111" s="71">
        <f>IF('Invoer gegevens'!$C$3="Basis",0,#REF!)</f>
        <v>0</v>
      </c>
      <c r="AW111" s="71">
        <f t="shared" ca="1" si="19"/>
        <v>0</v>
      </c>
      <c r="AX111" s="71">
        <f ca="1">IF(E111&lt;'Invoer gegevens'!$C$17+15,0,IF(E111&gt;'Invoer gegevens'!$C$17+215,0,AW111))</f>
        <v>0</v>
      </c>
      <c r="AY111" s="71">
        <f ca="1">AX111/(1+'Invoer gegevens'!$F$18)^($AZ111-('Invoer gegevens'!$C$17-'Invoer gegevens'!$C$16))/(1+'Invoer gegevens'!$C$39)^('Invoer gegevens'!$C$17-'Invoer gegevens'!$C$16)</f>
        <v>0</v>
      </c>
      <c r="AZ111" s="68">
        <f ca="1">IF(E111-'Invoer gegevens'!$C$17-14.5&lt;0,0,E111-'Invoer gegevens'!$C$17-14.5)</f>
        <v>91.5</v>
      </c>
    </row>
    <row r="112" spans="2:52" x14ac:dyDescent="0.25">
      <c r="B112" s="70">
        <f t="shared" si="20"/>
        <v>108</v>
      </c>
      <c r="C112" s="67">
        <f ca="1">IF(E112-'Invoer gegevens'!$C$17&lt;0,0,1)</f>
        <v>1</v>
      </c>
      <c r="D112" s="68">
        <f t="shared" si="21"/>
        <v>107.5</v>
      </c>
      <c r="E112" s="108">
        <f ca="1">IF('Invoer gegevens'!$C$16="","",E111+1)</f>
        <v>2126</v>
      </c>
      <c r="F112" s="84">
        <f ca="1">IF('Invoer gegevens'!$C$17=E112,'Invoer gegevens'!$C$10,IF(C112=1,K111,0))</f>
        <v>0</v>
      </c>
      <c r="G112" s="96">
        <f ca="1">IF(C112&gt;=1,F112*VLOOKUP(E112,Reeksen!$A$5:$B$76,2),0)</f>
        <v>0</v>
      </c>
      <c r="H112" s="84">
        <f ca="1">(1-('Invoer gegevens'!$F$20/12))*F112*MIN(Reeksen!B112,Reeksen!D112)</f>
        <v>0</v>
      </c>
      <c r="I112" s="84">
        <f>IF(Reeksen!D112&lt;Reeksen!B112,(Reeksen!B112-Reeksen!D112)*F112,0)</f>
        <v>0</v>
      </c>
      <c r="J112" s="84">
        <f ca="1">('Invoer gegevens'!$F$20/12)*F111*MIN(Reeksen!B111,Reeksen!D111)</f>
        <v>0</v>
      </c>
      <c r="K112" s="97">
        <f t="shared" ca="1" si="12"/>
        <v>0</v>
      </c>
      <c r="L112" s="84">
        <f ca="1">IF('Invoer gegevens'!$C$17=E112,0,IF(C112=1,Q111,0))</f>
        <v>0</v>
      </c>
      <c r="M112" s="96">
        <f ca="1">IF(C112&gt;=1,L112*VLOOKUP(E112,Reeksen!$A$5:$B$76,2),0)</f>
        <v>0</v>
      </c>
      <c r="N112" s="84">
        <f ca="1">(1-('Invoer gegevens'!$F$20/12))*L112*MIN(Reeksen!B112,Reeksen!D112)</f>
        <v>0</v>
      </c>
      <c r="O112" s="84">
        <f>IF(Reeksen!D112&lt;Reeksen!B112,(Reeksen!B112-Reeksen!D112)*L112,0)</f>
        <v>0</v>
      </c>
      <c r="P112" s="84">
        <f ca="1">('Invoer gegevens'!$F$20/12)*L111*MIN(Reeksen!B111,Reeksen!D111)</f>
        <v>0</v>
      </c>
      <c r="Q112" s="84">
        <f t="shared" ca="1" si="13"/>
        <v>0</v>
      </c>
      <c r="R112" s="82">
        <f ca="1">IF('Invoer gegevens'!$C$17=E112,'Invoer gegevens'!$C$11,IF(C112=1,W111,0))</f>
        <v>0</v>
      </c>
      <c r="S112" s="86">
        <f ca="1">IF(C112&gt;=1,R112*VLOOKUP(E112,Reeksen!$A$5:$B$76,2),0)</f>
        <v>0</v>
      </c>
      <c r="T112" s="84">
        <f ca="1">(1-('Invoer gegevens'!$F$20/12))*R112*MIN(Reeksen!B112,Reeksen!D112)</f>
        <v>0</v>
      </c>
      <c r="U112" s="84">
        <f>IF(Reeksen!D112&gt;=Reeksen!B112,0,IF(Reeksen!AK112&lt;=Reeksen!AE112,(Reeksen!B112-Reeksen!D112)*R112,0))</f>
        <v>0</v>
      </c>
      <c r="V112" s="86">
        <f>IF(Reeksen!D112&gt;=Reeksen!B112,0,IF(Reeksen!AK112&gt;Reeksen!AE112,(Reeksen!B112-Reeksen!D112)*R112,0))</f>
        <v>0</v>
      </c>
      <c r="W112" s="97">
        <f t="shared" ca="1" si="14"/>
        <v>0</v>
      </c>
      <c r="X112" s="98">
        <f ca="1">IF('Invoer gegevens'!$C$17=E112,'Invoer gegevens'!$C$10-'Invoer gegevens'!$C$11,IF(C112=1,AC111,0))</f>
        <v>0</v>
      </c>
      <c r="Y112" s="98">
        <f ca="1">IF(C112&gt;=1,X112*VLOOKUP(E112,Reeksen!$A$5:$B$76,2),0)</f>
        <v>0</v>
      </c>
      <c r="Z112" s="98">
        <f ca="1">(1-('Invoer gegevens'!$F$20/12))*X112*MIN(Reeksen!B112,Reeksen!D112)</f>
        <v>0</v>
      </c>
      <c r="AA112" s="98">
        <f>IF(Reeksen!D112&gt;=Reeksen!B112,0,IF(Reeksen!AK112&lt;=Reeksen!AE112,(Reeksen!B112-Reeksen!D112)*X112,0))</f>
        <v>0</v>
      </c>
      <c r="AB112" s="98">
        <f>IF(Reeksen!D112&gt;=Reeksen!B112,0,IF(Reeksen!AK112&gt;Reeksen!AE112,(Reeksen!B112-Reeksen!D112)*X112,0))</f>
        <v>0</v>
      </c>
      <c r="AC112" s="99">
        <f t="shared" ca="1" si="15"/>
        <v>0</v>
      </c>
      <c r="AD112" s="98">
        <f ca="1">IF('Invoer gegevens'!$C$17=E112,R112,IF(C112=0,0,AE111))</f>
        <v>0</v>
      </c>
      <c r="AE112" s="98">
        <f t="shared" ca="1" si="16"/>
        <v>0</v>
      </c>
      <c r="AF112" s="98">
        <f ca="1">IF('Invoer gegevens'!$C$17=E112,X112,IF(C112=0,0,AG111))</f>
        <v>0</v>
      </c>
      <c r="AG112" s="98">
        <f t="shared" ca="1" si="17"/>
        <v>0</v>
      </c>
      <c r="AH112" s="68"/>
      <c r="AI112" s="71">
        <f ca="1">IF(C112=1,Reeksen!AJ112*((F112-G112+F112)/2)*12+Reeksen!AK112*((L112-M112+L112)/2)*12,0)</f>
        <v>0</v>
      </c>
      <c r="AJ112" s="71">
        <f ca="1">-AI112*'Invoer gegevens'!$F$28</f>
        <v>0</v>
      </c>
      <c r="AK112" s="71">
        <f t="shared" ca="1" si="11"/>
        <v>0</v>
      </c>
      <c r="AL112" s="71">
        <f ca="1">IF(C112=1,Reeksen!AL112*((F112-G112+F112)/2)*12+Reeksen!AM112*((L112-M112+L112)/2)*12,0)</f>
        <v>0</v>
      </c>
      <c r="AM112" s="71">
        <f ca="1">-AL112*'Invoer gegevens'!$F$31</f>
        <v>0</v>
      </c>
      <c r="AN112" s="71">
        <f t="shared" ca="1" si="18"/>
        <v>0</v>
      </c>
      <c r="AO112" s="71">
        <f ca="1">IF(C112=1,(H112+J112+N112+P112)*Reeksen!AN112,0)</f>
        <v>0</v>
      </c>
      <c r="AP112" s="71">
        <f ca="1">-IF(C112=1,(H112+J112+N112+P112)*'Hulp - basis'!$G$550*Reeksen!H112,0)</f>
        <v>0</v>
      </c>
      <c r="AQ112" s="71">
        <f ca="1">-IF(C112=1,(F112+K112+L112+Q112)/2*'Invoer gegevens'!$I$33*Reeksen!J112,0)*2</f>
        <v>0</v>
      </c>
      <c r="AR112" s="71">
        <f ca="1">-IF(C112=1,(I112*'Invoer gegevens'!$I$34)*Reeksen!J112,0)</f>
        <v>0</v>
      </c>
      <c r="AS112" s="71">
        <f ca="1">-IF(C112=1,(F112+K112+L112+Q112)/2*'Invoer gegevens'!$I$35*Reeksen!L112,0)</f>
        <v>0</v>
      </c>
      <c r="AT112" s="71">
        <f ca="1">-IF(C112=1,IF(E112='Invoer gegevens'!$C$17,'Invoer gegevens'!$C$11,AD112)*Reeksen!S112*'Invoer gegevens'!$C$18*Reeksen!P112,0)</f>
        <v>0</v>
      </c>
      <c r="AU112" s="71">
        <f ca="1">-IF(C112=1,(F112+K112+L112+Q112)/2*'Invoer gegevens'!$I$36*Reeksen!H112,0)</f>
        <v>0</v>
      </c>
      <c r="AV112" s="71">
        <f>IF('Invoer gegevens'!$C$3="Basis",0,#REF!)</f>
        <v>0</v>
      </c>
      <c r="AW112" s="71">
        <f t="shared" ca="1" si="19"/>
        <v>0</v>
      </c>
      <c r="AX112" s="71">
        <f ca="1">IF(E112&lt;'Invoer gegevens'!$C$17+15,0,IF(E112&gt;'Invoer gegevens'!$C$17+215,0,AW112))</f>
        <v>0</v>
      </c>
      <c r="AY112" s="71">
        <f ca="1">AX112/(1+'Invoer gegevens'!$F$18)^($AZ112-('Invoer gegevens'!$C$17-'Invoer gegevens'!$C$16))/(1+'Invoer gegevens'!$C$39)^('Invoer gegevens'!$C$17-'Invoer gegevens'!$C$16)</f>
        <v>0</v>
      </c>
      <c r="AZ112" s="68">
        <f ca="1">IF(E112-'Invoer gegevens'!$C$17-14.5&lt;0,0,E112-'Invoer gegevens'!$C$17-14.5)</f>
        <v>92.5</v>
      </c>
    </row>
    <row r="113" spans="2:52" x14ac:dyDescent="0.25">
      <c r="B113" s="70">
        <f t="shared" si="20"/>
        <v>109</v>
      </c>
      <c r="C113" s="67">
        <f ca="1">IF(E113-'Invoer gegevens'!$C$17&lt;0,0,1)</f>
        <v>1</v>
      </c>
      <c r="D113" s="68">
        <f t="shared" si="21"/>
        <v>108.5</v>
      </c>
      <c r="E113" s="108">
        <f ca="1">IF('Invoer gegevens'!$C$16="","",E112+1)</f>
        <v>2127</v>
      </c>
      <c r="F113" s="84">
        <f ca="1">IF('Invoer gegevens'!$C$17=E113,'Invoer gegevens'!$C$10,IF(C113=1,K112,0))</f>
        <v>0</v>
      </c>
      <c r="G113" s="96">
        <f ca="1">IF(C113&gt;=1,F113*VLOOKUP(E113,Reeksen!$A$5:$B$76,2),0)</f>
        <v>0</v>
      </c>
      <c r="H113" s="84">
        <f ca="1">(1-('Invoer gegevens'!$F$20/12))*F113*MIN(Reeksen!B113,Reeksen!D113)</f>
        <v>0</v>
      </c>
      <c r="I113" s="84">
        <f>IF(Reeksen!D113&lt;Reeksen!B113,(Reeksen!B113-Reeksen!D113)*F113,0)</f>
        <v>0</v>
      </c>
      <c r="J113" s="84">
        <f ca="1">('Invoer gegevens'!$F$20/12)*F112*MIN(Reeksen!B112,Reeksen!D112)</f>
        <v>0</v>
      </c>
      <c r="K113" s="97">
        <f t="shared" ca="1" si="12"/>
        <v>0</v>
      </c>
      <c r="L113" s="84">
        <f ca="1">IF('Invoer gegevens'!$C$17=E113,0,IF(C113=1,Q112,0))</f>
        <v>0</v>
      </c>
      <c r="M113" s="96">
        <f ca="1">IF(C113&gt;=1,L113*VLOOKUP(E113,Reeksen!$A$5:$B$76,2),0)</f>
        <v>0</v>
      </c>
      <c r="N113" s="84">
        <f ca="1">(1-('Invoer gegevens'!$F$20/12))*L113*MIN(Reeksen!B113,Reeksen!D113)</f>
        <v>0</v>
      </c>
      <c r="O113" s="84">
        <f>IF(Reeksen!D113&lt;Reeksen!B113,(Reeksen!B113-Reeksen!D113)*L113,0)</f>
        <v>0</v>
      </c>
      <c r="P113" s="84">
        <f ca="1">('Invoer gegevens'!$F$20/12)*L112*MIN(Reeksen!B112,Reeksen!D112)</f>
        <v>0</v>
      </c>
      <c r="Q113" s="84">
        <f t="shared" ca="1" si="13"/>
        <v>0</v>
      </c>
      <c r="R113" s="82">
        <f ca="1">IF('Invoer gegevens'!$C$17=E113,'Invoer gegevens'!$C$11,IF(C113=1,W112,0))</f>
        <v>0</v>
      </c>
      <c r="S113" s="86">
        <f ca="1">IF(C113&gt;=1,R113*VLOOKUP(E113,Reeksen!$A$5:$B$76,2),0)</f>
        <v>0</v>
      </c>
      <c r="T113" s="84">
        <f ca="1">(1-('Invoer gegevens'!$F$20/12))*R113*MIN(Reeksen!B113,Reeksen!D113)</f>
        <v>0</v>
      </c>
      <c r="U113" s="84">
        <f>IF(Reeksen!D113&gt;=Reeksen!B113,0,IF(Reeksen!AK113&lt;=Reeksen!AE113,(Reeksen!B113-Reeksen!D113)*R113,0))</f>
        <v>0</v>
      </c>
      <c r="V113" s="86">
        <f>IF(Reeksen!D113&gt;=Reeksen!B113,0,IF(Reeksen!AK113&gt;Reeksen!AE113,(Reeksen!B113-Reeksen!D113)*R113,0))</f>
        <v>0</v>
      </c>
      <c r="W113" s="97">
        <f t="shared" ca="1" si="14"/>
        <v>0</v>
      </c>
      <c r="X113" s="98">
        <f ca="1">IF('Invoer gegevens'!$C$17=E113,'Invoer gegevens'!$C$10-'Invoer gegevens'!$C$11,IF(C113=1,AC112,0))</f>
        <v>0</v>
      </c>
      <c r="Y113" s="98">
        <f ca="1">IF(C113&gt;=1,X113*VLOOKUP(E113,Reeksen!$A$5:$B$76,2),0)</f>
        <v>0</v>
      </c>
      <c r="Z113" s="98">
        <f ca="1">(1-('Invoer gegevens'!$F$20/12))*X113*MIN(Reeksen!B113,Reeksen!D113)</f>
        <v>0</v>
      </c>
      <c r="AA113" s="98">
        <f>IF(Reeksen!D113&gt;=Reeksen!B113,0,IF(Reeksen!AK113&lt;=Reeksen!AE113,(Reeksen!B113-Reeksen!D113)*X113,0))</f>
        <v>0</v>
      </c>
      <c r="AB113" s="98">
        <f>IF(Reeksen!D113&gt;=Reeksen!B113,0,IF(Reeksen!AK113&gt;Reeksen!AE113,(Reeksen!B113-Reeksen!D113)*X113,0))</f>
        <v>0</v>
      </c>
      <c r="AC113" s="99">
        <f t="shared" ca="1" si="15"/>
        <v>0</v>
      </c>
      <c r="AD113" s="98">
        <f ca="1">IF('Invoer gegevens'!$C$17=E113,R113,IF(C113=0,0,AE112))</f>
        <v>0</v>
      </c>
      <c r="AE113" s="98">
        <f t="shared" ca="1" si="16"/>
        <v>0</v>
      </c>
      <c r="AF113" s="98">
        <f ca="1">IF('Invoer gegevens'!$C$17=E113,X113,IF(C113=0,0,AG112))</f>
        <v>0</v>
      </c>
      <c r="AG113" s="98">
        <f t="shared" ca="1" si="17"/>
        <v>0</v>
      </c>
      <c r="AH113" s="68"/>
      <c r="AI113" s="71">
        <f ca="1">IF(C113=1,Reeksen!AJ113*((F113-G113+F113)/2)*12+Reeksen!AK113*((L113-M113+L113)/2)*12,0)</f>
        <v>0</v>
      </c>
      <c r="AJ113" s="71">
        <f ca="1">-AI113*'Invoer gegevens'!$F$28</f>
        <v>0</v>
      </c>
      <c r="AK113" s="71">
        <f t="shared" ca="1" si="11"/>
        <v>0</v>
      </c>
      <c r="AL113" s="71">
        <f ca="1">IF(C113=1,Reeksen!AL113*((F113-G113+F113)/2)*12+Reeksen!AM113*((L113-M113+L113)/2)*12,0)</f>
        <v>0</v>
      </c>
      <c r="AM113" s="71">
        <f ca="1">-AL113*'Invoer gegevens'!$F$31</f>
        <v>0</v>
      </c>
      <c r="AN113" s="71">
        <f t="shared" ca="1" si="18"/>
        <v>0</v>
      </c>
      <c r="AO113" s="71">
        <f ca="1">IF(C113=1,(H113+J113+N113+P113)*Reeksen!AN113,0)</f>
        <v>0</v>
      </c>
      <c r="AP113" s="71">
        <f ca="1">-IF(C113=1,(H113+J113+N113+P113)*'Hulp - basis'!$G$550*Reeksen!H113,0)</f>
        <v>0</v>
      </c>
      <c r="AQ113" s="71">
        <f ca="1">-IF(C113=1,(F113+K113+L113+Q113)/2*'Invoer gegevens'!$I$33*Reeksen!J113,0)*2</f>
        <v>0</v>
      </c>
      <c r="AR113" s="71">
        <f ca="1">-IF(C113=1,(I113*'Invoer gegevens'!$I$34)*Reeksen!J113,0)</f>
        <v>0</v>
      </c>
      <c r="AS113" s="71">
        <f ca="1">-IF(C113=1,(F113+K113+L113+Q113)/2*'Invoer gegevens'!$I$35*Reeksen!L113,0)</f>
        <v>0</v>
      </c>
      <c r="AT113" s="71">
        <f ca="1">-IF(C113=1,IF(E113='Invoer gegevens'!$C$17,'Invoer gegevens'!$C$11,AD113)*Reeksen!S113*'Invoer gegevens'!$C$18*Reeksen!P113,0)</f>
        <v>0</v>
      </c>
      <c r="AU113" s="71">
        <f ca="1">-IF(C113=1,(F113+K113+L113+Q113)/2*'Invoer gegevens'!$I$36*Reeksen!H113,0)</f>
        <v>0</v>
      </c>
      <c r="AV113" s="71">
        <f>IF('Invoer gegevens'!$C$3="Basis",0,#REF!)</f>
        <v>0</v>
      </c>
      <c r="AW113" s="71">
        <f t="shared" ca="1" si="19"/>
        <v>0</v>
      </c>
      <c r="AX113" s="71">
        <f ca="1">IF(E113&lt;'Invoer gegevens'!$C$17+15,0,IF(E113&gt;'Invoer gegevens'!$C$17+215,0,AW113))</f>
        <v>0</v>
      </c>
      <c r="AY113" s="71">
        <f ca="1">AX113/(1+'Invoer gegevens'!$F$18)^($AZ113-('Invoer gegevens'!$C$17-'Invoer gegevens'!$C$16))/(1+'Invoer gegevens'!$C$39)^('Invoer gegevens'!$C$17-'Invoer gegevens'!$C$16)</f>
        <v>0</v>
      </c>
      <c r="AZ113" s="68">
        <f ca="1">IF(E113-'Invoer gegevens'!$C$17-14.5&lt;0,0,E113-'Invoer gegevens'!$C$17-14.5)</f>
        <v>93.5</v>
      </c>
    </row>
    <row r="114" spans="2:52" x14ac:dyDescent="0.25">
      <c r="B114" s="70">
        <f t="shared" si="20"/>
        <v>110</v>
      </c>
      <c r="C114" s="67">
        <f ca="1">IF(E114-'Invoer gegevens'!$C$17&lt;0,0,1)</f>
        <v>1</v>
      </c>
      <c r="D114" s="68">
        <f t="shared" si="21"/>
        <v>109.5</v>
      </c>
      <c r="E114" s="108">
        <f ca="1">IF('Invoer gegevens'!$C$16="","",E113+1)</f>
        <v>2128</v>
      </c>
      <c r="F114" s="84">
        <f ca="1">IF('Invoer gegevens'!$C$17=E114,'Invoer gegevens'!$C$10,IF(C114=1,K113,0))</f>
        <v>0</v>
      </c>
      <c r="G114" s="96">
        <f ca="1">IF(C114&gt;=1,F114*VLOOKUP(E114,Reeksen!$A$5:$B$76,2),0)</f>
        <v>0</v>
      </c>
      <c r="H114" s="84">
        <f ca="1">(1-('Invoer gegevens'!$F$20/12))*F114*MIN(Reeksen!B114,Reeksen!D114)</f>
        <v>0</v>
      </c>
      <c r="I114" s="84">
        <f>IF(Reeksen!D114&lt;Reeksen!B114,(Reeksen!B114-Reeksen!D114)*F114,0)</f>
        <v>0</v>
      </c>
      <c r="J114" s="84">
        <f ca="1">('Invoer gegevens'!$F$20/12)*F113*MIN(Reeksen!B113,Reeksen!D113)</f>
        <v>0</v>
      </c>
      <c r="K114" s="97">
        <f t="shared" ca="1" si="12"/>
        <v>0</v>
      </c>
      <c r="L114" s="84">
        <f ca="1">IF('Invoer gegevens'!$C$17=E114,0,IF(C114=1,Q113,0))</f>
        <v>0</v>
      </c>
      <c r="M114" s="96">
        <f ca="1">IF(C114&gt;=1,L114*VLOOKUP(E114,Reeksen!$A$5:$B$76,2),0)</f>
        <v>0</v>
      </c>
      <c r="N114" s="84">
        <f ca="1">(1-('Invoer gegevens'!$F$20/12))*L114*MIN(Reeksen!B114,Reeksen!D114)</f>
        <v>0</v>
      </c>
      <c r="O114" s="84">
        <f>IF(Reeksen!D114&lt;Reeksen!B114,(Reeksen!B114-Reeksen!D114)*L114,0)</f>
        <v>0</v>
      </c>
      <c r="P114" s="84">
        <f ca="1">('Invoer gegevens'!$F$20/12)*L113*MIN(Reeksen!B113,Reeksen!D113)</f>
        <v>0</v>
      </c>
      <c r="Q114" s="84">
        <f t="shared" ca="1" si="13"/>
        <v>0</v>
      </c>
      <c r="R114" s="82">
        <f ca="1">IF('Invoer gegevens'!$C$17=E114,'Invoer gegevens'!$C$11,IF(C114=1,W113,0))</f>
        <v>0</v>
      </c>
      <c r="S114" s="86">
        <f ca="1">IF(C114&gt;=1,R114*VLOOKUP(E114,Reeksen!$A$5:$B$76,2),0)</f>
        <v>0</v>
      </c>
      <c r="T114" s="84">
        <f ca="1">(1-('Invoer gegevens'!$F$20/12))*R114*MIN(Reeksen!B114,Reeksen!D114)</f>
        <v>0</v>
      </c>
      <c r="U114" s="84">
        <f>IF(Reeksen!D114&gt;=Reeksen!B114,0,IF(Reeksen!AK114&lt;=Reeksen!AE114,(Reeksen!B114-Reeksen!D114)*R114,0))</f>
        <v>0</v>
      </c>
      <c r="V114" s="86">
        <f>IF(Reeksen!D114&gt;=Reeksen!B114,0,IF(Reeksen!AK114&gt;Reeksen!AE114,(Reeksen!B114-Reeksen!D114)*R114,0))</f>
        <v>0</v>
      </c>
      <c r="W114" s="97">
        <f t="shared" ca="1" si="14"/>
        <v>0</v>
      </c>
      <c r="X114" s="98">
        <f ca="1">IF('Invoer gegevens'!$C$17=E114,'Invoer gegevens'!$C$10-'Invoer gegevens'!$C$11,IF(C114=1,AC113,0))</f>
        <v>0</v>
      </c>
      <c r="Y114" s="98">
        <f ca="1">IF(C114&gt;=1,X114*VLOOKUP(E114,Reeksen!$A$5:$B$76,2),0)</f>
        <v>0</v>
      </c>
      <c r="Z114" s="98">
        <f ca="1">(1-('Invoer gegevens'!$F$20/12))*X114*MIN(Reeksen!B114,Reeksen!D114)</f>
        <v>0</v>
      </c>
      <c r="AA114" s="98">
        <f>IF(Reeksen!D114&gt;=Reeksen!B114,0,IF(Reeksen!AK114&lt;=Reeksen!AE114,(Reeksen!B114-Reeksen!D114)*X114,0))</f>
        <v>0</v>
      </c>
      <c r="AB114" s="98">
        <f>IF(Reeksen!D114&gt;=Reeksen!B114,0,IF(Reeksen!AK114&gt;Reeksen!AE114,(Reeksen!B114-Reeksen!D114)*X114,0))</f>
        <v>0</v>
      </c>
      <c r="AC114" s="99">
        <f t="shared" ca="1" si="15"/>
        <v>0</v>
      </c>
      <c r="AD114" s="98">
        <f ca="1">IF('Invoer gegevens'!$C$17=E114,R114,IF(C114=0,0,AE113))</f>
        <v>0</v>
      </c>
      <c r="AE114" s="98">
        <f t="shared" ca="1" si="16"/>
        <v>0</v>
      </c>
      <c r="AF114" s="98">
        <f ca="1">IF('Invoer gegevens'!$C$17=E114,X114,IF(C114=0,0,AG113))</f>
        <v>0</v>
      </c>
      <c r="AG114" s="98">
        <f t="shared" ca="1" si="17"/>
        <v>0</v>
      </c>
      <c r="AH114" s="68"/>
      <c r="AI114" s="71">
        <f ca="1">IF(C114=1,Reeksen!AJ114*((F114-G114+F114)/2)*12+Reeksen!AK114*((L114-M114+L114)/2)*12,0)</f>
        <v>0</v>
      </c>
      <c r="AJ114" s="71">
        <f ca="1">-AI114*'Invoer gegevens'!$F$28</f>
        <v>0</v>
      </c>
      <c r="AK114" s="71">
        <f t="shared" ca="1" si="11"/>
        <v>0</v>
      </c>
      <c r="AL114" s="71">
        <f ca="1">IF(C114=1,Reeksen!AL114*((F114-G114+F114)/2)*12+Reeksen!AM114*((L114-M114+L114)/2)*12,0)</f>
        <v>0</v>
      </c>
      <c r="AM114" s="71">
        <f ca="1">-AL114*'Invoer gegevens'!$F$31</f>
        <v>0</v>
      </c>
      <c r="AN114" s="71">
        <f t="shared" ca="1" si="18"/>
        <v>0</v>
      </c>
      <c r="AO114" s="71">
        <f ca="1">IF(C114=1,(H114+J114+N114+P114)*Reeksen!AN114,0)</f>
        <v>0</v>
      </c>
      <c r="AP114" s="71">
        <f ca="1">-IF(C114=1,(H114+J114+N114+P114)*'Hulp - basis'!$G$550*Reeksen!H114,0)</f>
        <v>0</v>
      </c>
      <c r="AQ114" s="71">
        <f ca="1">-IF(C114=1,(F114+K114+L114+Q114)/2*'Invoer gegevens'!$I$33*Reeksen!J114,0)*2</f>
        <v>0</v>
      </c>
      <c r="AR114" s="71">
        <f ca="1">-IF(C114=1,(I114*'Invoer gegevens'!$I$34)*Reeksen!J114,0)</f>
        <v>0</v>
      </c>
      <c r="AS114" s="71">
        <f ca="1">-IF(C114=1,(F114+K114+L114+Q114)/2*'Invoer gegevens'!$I$35*Reeksen!L114,0)</f>
        <v>0</v>
      </c>
      <c r="AT114" s="71">
        <f ca="1">-IF(C114=1,IF(E114='Invoer gegevens'!$C$17,'Invoer gegevens'!$C$11,AD114)*Reeksen!S114*'Invoer gegevens'!$C$18*Reeksen!P114,0)</f>
        <v>0</v>
      </c>
      <c r="AU114" s="71">
        <f ca="1">-IF(C114=1,(F114+K114+L114+Q114)/2*'Invoer gegevens'!$I$36*Reeksen!H114,0)</f>
        <v>0</v>
      </c>
      <c r="AV114" s="71">
        <f>IF('Invoer gegevens'!$C$3="Basis",0,#REF!)</f>
        <v>0</v>
      </c>
      <c r="AW114" s="71">
        <f t="shared" ca="1" si="19"/>
        <v>0</v>
      </c>
      <c r="AX114" s="71">
        <f ca="1">IF(E114&lt;'Invoer gegevens'!$C$17+15,0,IF(E114&gt;'Invoer gegevens'!$C$17+215,0,AW114))</f>
        <v>0</v>
      </c>
      <c r="AY114" s="71">
        <f ca="1">AX114/(1+'Invoer gegevens'!$F$18)^($AZ114-('Invoer gegevens'!$C$17-'Invoer gegevens'!$C$16))/(1+'Invoer gegevens'!$C$39)^('Invoer gegevens'!$C$17-'Invoer gegevens'!$C$16)</f>
        <v>0</v>
      </c>
      <c r="AZ114" s="68">
        <f ca="1">IF(E114-'Invoer gegevens'!$C$17-14.5&lt;0,0,E114-'Invoer gegevens'!$C$17-14.5)</f>
        <v>94.5</v>
      </c>
    </row>
    <row r="115" spans="2:52" x14ac:dyDescent="0.25">
      <c r="B115" s="70">
        <f t="shared" si="20"/>
        <v>111</v>
      </c>
      <c r="C115" s="67">
        <f ca="1">IF(E115-'Invoer gegevens'!$C$17&lt;0,0,1)</f>
        <v>1</v>
      </c>
      <c r="D115" s="68">
        <f t="shared" si="21"/>
        <v>110.5</v>
      </c>
      <c r="E115" s="108">
        <f ca="1">IF('Invoer gegevens'!$C$16="","",E114+1)</f>
        <v>2129</v>
      </c>
      <c r="F115" s="84">
        <f ca="1">IF('Invoer gegevens'!$C$17=E115,'Invoer gegevens'!$C$10,IF(C115=1,K114,0))</f>
        <v>0</v>
      </c>
      <c r="G115" s="96">
        <f ca="1">IF(C115&gt;=1,F115*VLOOKUP(E115,Reeksen!$A$5:$B$76,2),0)</f>
        <v>0</v>
      </c>
      <c r="H115" s="84">
        <f ca="1">(1-('Invoer gegevens'!$F$20/12))*F115*MIN(Reeksen!B115,Reeksen!D115)</f>
        <v>0</v>
      </c>
      <c r="I115" s="84">
        <f>IF(Reeksen!D115&lt;Reeksen!B115,(Reeksen!B115-Reeksen!D115)*F115,0)</f>
        <v>0</v>
      </c>
      <c r="J115" s="84">
        <f ca="1">('Invoer gegevens'!$F$20/12)*F114*MIN(Reeksen!B114,Reeksen!D114)</f>
        <v>0</v>
      </c>
      <c r="K115" s="97">
        <f t="shared" ca="1" si="12"/>
        <v>0</v>
      </c>
      <c r="L115" s="84">
        <f ca="1">IF('Invoer gegevens'!$C$17=E115,0,IF(C115=1,Q114,0))</f>
        <v>0</v>
      </c>
      <c r="M115" s="96">
        <f ca="1">IF(C115&gt;=1,L115*VLOOKUP(E115,Reeksen!$A$5:$B$76,2),0)</f>
        <v>0</v>
      </c>
      <c r="N115" s="84">
        <f ca="1">(1-('Invoer gegevens'!$F$20/12))*L115*MIN(Reeksen!B115,Reeksen!D115)</f>
        <v>0</v>
      </c>
      <c r="O115" s="84">
        <f>IF(Reeksen!D115&lt;Reeksen!B115,(Reeksen!B115-Reeksen!D115)*L115,0)</f>
        <v>0</v>
      </c>
      <c r="P115" s="84">
        <f ca="1">('Invoer gegevens'!$F$20/12)*L114*MIN(Reeksen!B114,Reeksen!D114)</f>
        <v>0</v>
      </c>
      <c r="Q115" s="84">
        <f t="shared" ca="1" si="13"/>
        <v>0</v>
      </c>
      <c r="R115" s="82">
        <f ca="1">IF('Invoer gegevens'!$C$17=E115,'Invoer gegevens'!$C$11,IF(C115=1,W114,0))</f>
        <v>0</v>
      </c>
      <c r="S115" s="86">
        <f ca="1">IF(C115&gt;=1,R115*VLOOKUP(E115,Reeksen!$A$5:$B$76,2),0)</f>
        <v>0</v>
      </c>
      <c r="T115" s="84">
        <f ca="1">(1-('Invoer gegevens'!$F$20/12))*R115*MIN(Reeksen!B115,Reeksen!D115)</f>
        <v>0</v>
      </c>
      <c r="U115" s="84">
        <f>IF(Reeksen!D115&gt;=Reeksen!B115,0,IF(Reeksen!AK115&lt;=Reeksen!AE115,(Reeksen!B115-Reeksen!D115)*R115,0))</f>
        <v>0</v>
      </c>
      <c r="V115" s="86">
        <f>IF(Reeksen!D115&gt;=Reeksen!B115,0,IF(Reeksen!AK115&gt;Reeksen!AE115,(Reeksen!B115-Reeksen!D115)*R115,0))</f>
        <v>0</v>
      </c>
      <c r="W115" s="97">
        <f t="shared" ca="1" si="14"/>
        <v>0</v>
      </c>
      <c r="X115" s="98">
        <f ca="1">IF('Invoer gegevens'!$C$17=E115,'Invoer gegevens'!$C$10-'Invoer gegevens'!$C$11,IF(C115=1,AC114,0))</f>
        <v>0</v>
      </c>
      <c r="Y115" s="98">
        <f ca="1">IF(C115&gt;=1,X115*VLOOKUP(E115,Reeksen!$A$5:$B$76,2),0)</f>
        <v>0</v>
      </c>
      <c r="Z115" s="98">
        <f ca="1">(1-('Invoer gegevens'!$F$20/12))*X115*MIN(Reeksen!B115,Reeksen!D115)</f>
        <v>0</v>
      </c>
      <c r="AA115" s="98">
        <f>IF(Reeksen!D115&gt;=Reeksen!B115,0,IF(Reeksen!AK115&lt;=Reeksen!AE115,(Reeksen!B115-Reeksen!D115)*X115,0))</f>
        <v>0</v>
      </c>
      <c r="AB115" s="98">
        <f>IF(Reeksen!D115&gt;=Reeksen!B115,0,IF(Reeksen!AK115&gt;Reeksen!AE115,(Reeksen!B115-Reeksen!D115)*X115,0))</f>
        <v>0</v>
      </c>
      <c r="AC115" s="99">
        <f t="shared" ca="1" si="15"/>
        <v>0</v>
      </c>
      <c r="AD115" s="98">
        <f ca="1">IF('Invoer gegevens'!$C$17=E115,R115,IF(C115=0,0,AE114))</f>
        <v>0</v>
      </c>
      <c r="AE115" s="98">
        <f t="shared" ca="1" si="16"/>
        <v>0</v>
      </c>
      <c r="AF115" s="98">
        <f ca="1">IF('Invoer gegevens'!$C$17=E115,X115,IF(C115=0,0,AG114))</f>
        <v>0</v>
      </c>
      <c r="AG115" s="98">
        <f t="shared" ca="1" si="17"/>
        <v>0</v>
      </c>
      <c r="AH115" s="68"/>
      <c r="AI115" s="71">
        <f ca="1">IF(C115=1,Reeksen!AJ115*((F115-G115+F115)/2)*12+Reeksen!AK115*((L115-M115+L115)/2)*12,0)</f>
        <v>0</v>
      </c>
      <c r="AJ115" s="71">
        <f ca="1">-AI115*'Invoer gegevens'!$F$28</f>
        <v>0</v>
      </c>
      <c r="AK115" s="71">
        <f t="shared" ca="1" si="11"/>
        <v>0</v>
      </c>
      <c r="AL115" s="71">
        <f ca="1">IF(C115=1,Reeksen!AL115*((F115-G115+F115)/2)*12+Reeksen!AM115*((L115-M115+L115)/2)*12,0)</f>
        <v>0</v>
      </c>
      <c r="AM115" s="71">
        <f ca="1">-AL115*'Invoer gegevens'!$F$31</f>
        <v>0</v>
      </c>
      <c r="AN115" s="71">
        <f t="shared" ca="1" si="18"/>
        <v>0</v>
      </c>
      <c r="AO115" s="71">
        <f ca="1">IF(C115=1,(H115+J115+N115+P115)*Reeksen!AN115,0)</f>
        <v>0</v>
      </c>
      <c r="AP115" s="71">
        <f ca="1">-IF(C115=1,(H115+J115+N115+P115)*'Hulp - basis'!$G$550*Reeksen!H115,0)</f>
        <v>0</v>
      </c>
      <c r="AQ115" s="71">
        <f ca="1">-IF(C115=1,(F115+K115+L115+Q115)/2*'Invoer gegevens'!$I$33*Reeksen!J115,0)*2</f>
        <v>0</v>
      </c>
      <c r="AR115" s="71">
        <f ca="1">-IF(C115=1,(I115*'Invoer gegevens'!$I$34)*Reeksen!J115,0)</f>
        <v>0</v>
      </c>
      <c r="AS115" s="71">
        <f ca="1">-IF(C115=1,(F115+K115+L115+Q115)/2*'Invoer gegevens'!$I$35*Reeksen!L115,0)</f>
        <v>0</v>
      </c>
      <c r="AT115" s="71">
        <f ca="1">-IF(C115=1,IF(E115='Invoer gegevens'!$C$17,'Invoer gegevens'!$C$11,AD115)*Reeksen!S115*'Invoer gegevens'!$C$18*Reeksen!P115,0)</f>
        <v>0</v>
      </c>
      <c r="AU115" s="71">
        <f ca="1">-IF(C115=1,(F115+K115+L115+Q115)/2*'Invoer gegevens'!$I$36*Reeksen!H115,0)</f>
        <v>0</v>
      </c>
      <c r="AV115" s="71">
        <f>IF('Invoer gegevens'!$C$3="Basis",0,#REF!)</f>
        <v>0</v>
      </c>
      <c r="AW115" s="71">
        <f t="shared" ca="1" si="19"/>
        <v>0</v>
      </c>
      <c r="AX115" s="71">
        <f ca="1">IF(E115&lt;'Invoer gegevens'!$C$17+15,0,IF(E115&gt;'Invoer gegevens'!$C$17+215,0,AW115))</f>
        <v>0</v>
      </c>
      <c r="AY115" s="71">
        <f ca="1">AX115/(1+'Invoer gegevens'!$F$18)^($AZ115-('Invoer gegevens'!$C$17-'Invoer gegevens'!$C$16))/(1+'Invoer gegevens'!$C$39)^('Invoer gegevens'!$C$17-'Invoer gegevens'!$C$16)</f>
        <v>0</v>
      </c>
      <c r="AZ115" s="68">
        <f ca="1">IF(E115-'Invoer gegevens'!$C$17-14.5&lt;0,0,E115-'Invoer gegevens'!$C$17-14.5)</f>
        <v>95.5</v>
      </c>
    </row>
    <row r="116" spans="2:52" x14ac:dyDescent="0.25">
      <c r="B116" s="70">
        <f t="shared" si="20"/>
        <v>112</v>
      </c>
      <c r="C116" s="67">
        <f ca="1">IF(E116-'Invoer gegevens'!$C$17&lt;0,0,1)</f>
        <v>1</v>
      </c>
      <c r="D116" s="68">
        <f t="shared" si="21"/>
        <v>111.5</v>
      </c>
      <c r="E116" s="108">
        <f ca="1">IF('Invoer gegevens'!$C$16="","",E115+1)</f>
        <v>2130</v>
      </c>
      <c r="F116" s="84">
        <f ca="1">IF('Invoer gegevens'!$C$17=E116,'Invoer gegevens'!$C$10,IF(C116=1,K115,0))</f>
        <v>0</v>
      </c>
      <c r="G116" s="96">
        <f ca="1">IF(C116&gt;=1,F116*VLOOKUP(E116,Reeksen!$A$5:$B$76,2),0)</f>
        <v>0</v>
      </c>
      <c r="H116" s="84">
        <f ca="1">(1-('Invoer gegevens'!$F$20/12))*F116*MIN(Reeksen!B116,Reeksen!D116)</f>
        <v>0</v>
      </c>
      <c r="I116" s="84">
        <f>IF(Reeksen!D116&lt;Reeksen!B116,(Reeksen!B116-Reeksen!D116)*F116,0)</f>
        <v>0</v>
      </c>
      <c r="J116" s="84">
        <f ca="1">('Invoer gegevens'!$F$20/12)*F115*MIN(Reeksen!B115,Reeksen!D115)</f>
        <v>0</v>
      </c>
      <c r="K116" s="97">
        <f t="shared" ca="1" si="12"/>
        <v>0</v>
      </c>
      <c r="L116" s="84">
        <f ca="1">IF('Invoer gegevens'!$C$17=E116,0,IF(C116=1,Q115,0))</f>
        <v>0</v>
      </c>
      <c r="M116" s="96">
        <f ca="1">IF(C116&gt;=1,L116*VLOOKUP(E116,Reeksen!$A$5:$B$76,2),0)</f>
        <v>0</v>
      </c>
      <c r="N116" s="84">
        <f ca="1">(1-('Invoer gegevens'!$F$20/12))*L116*MIN(Reeksen!B116,Reeksen!D116)</f>
        <v>0</v>
      </c>
      <c r="O116" s="84">
        <f>IF(Reeksen!D116&lt;Reeksen!B116,(Reeksen!B116-Reeksen!D116)*L116,0)</f>
        <v>0</v>
      </c>
      <c r="P116" s="84">
        <f ca="1">('Invoer gegevens'!$F$20/12)*L115*MIN(Reeksen!B115,Reeksen!D115)</f>
        <v>0</v>
      </c>
      <c r="Q116" s="84">
        <f t="shared" ca="1" si="13"/>
        <v>0</v>
      </c>
      <c r="R116" s="82">
        <f ca="1">IF('Invoer gegevens'!$C$17=E116,'Invoer gegevens'!$C$11,IF(C116=1,W115,0))</f>
        <v>0</v>
      </c>
      <c r="S116" s="86">
        <f ca="1">IF(C116&gt;=1,R116*VLOOKUP(E116,Reeksen!$A$5:$B$76,2),0)</f>
        <v>0</v>
      </c>
      <c r="T116" s="84">
        <f ca="1">(1-('Invoer gegevens'!$F$20/12))*R116*MIN(Reeksen!B116,Reeksen!D116)</f>
        <v>0</v>
      </c>
      <c r="U116" s="84">
        <f>IF(Reeksen!D116&gt;=Reeksen!B116,0,IF(Reeksen!AK116&lt;=Reeksen!AE116,(Reeksen!B116-Reeksen!D116)*R116,0))</f>
        <v>0</v>
      </c>
      <c r="V116" s="86">
        <f>IF(Reeksen!D116&gt;=Reeksen!B116,0,IF(Reeksen!AK116&gt;Reeksen!AE116,(Reeksen!B116-Reeksen!D116)*R116,0))</f>
        <v>0</v>
      </c>
      <c r="W116" s="97">
        <f t="shared" ca="1" si="14"/>
        <v>0</v>
      </c>
      <c r="X116" s="98">
        <f ca="1">IF('Invoer gegevens'!$C$17=E116,'Invoer gegevens'!$C$10-'Invoer gegevens'!$C$11,IF(C116=1,AC115,0))</f>
        <v>0</v>
      </c>
      <c r="Y116" s="98">
        <f ca="1">IF(C116&gt;=1,X116*VLOOKUP(E116,Reeksen!$A$5:$B$76,2),0)</f>
        <v>0</v>
      </c>
      <c r="Z116" s="98">
        <f ca="1">(1-('Invoer gegevens'!$F$20/12))*X116*MIN(Reeksen!B116,Reeksen!D116)</f>
        <v>0</v>
      </c>
      <c r="AA116" s="98">
        <f>IF(Reeksen!D116&gt;=Reeksen!B116,0,IF(Reeksen!AK116&lt;=Reeksen!AE116,(Reeksen!B116-Reeksen!D116)*X116,0))</f>
        <v>0</v>
      </c>
      <c r="AB116" s="98">
        <f>IF(Reeksen!D116&gt;=Reeksen!B116,0,IF(Reeksen!AK116&gt;Reeksen!AE116,(Reeksen!B116-Reeksen!D116)*X116,0))</f>
        <v>0</v>
      </c>
      <c r="AC116" s="99">
        <f t="shared" ca="1" si="15"/>
        <v>0</v>
      </c>
      <c r="AD116" s="98">
        <f ca="1">IF('Invoer gegevens'!$C$17=E116,R116,IF(C116=0,0,AE115))</f>
        <v>0</v>
      </c>
      <c r="AE116" s="98">
        <f t="shared" ca="1" si="16"/>
        <v>0</v>
      </c>
      <c r="AF116" s="98">
        <f ca="1">IF('Invoer gegevens'!$C$17=E116,X116,IF(C116=0,0,AG115))</f>
        <v>0</v>
      </c>
      <c r="AG116" s="98">
        <f t="shared" ca="1" si="17"/>
        <v>0</v>
      </c>
      <c r="AH116" s="68"/>
      <c r="AI116" s="71">
        <f ca="1">IF(C116=1,Reeksen!AJ116*((F116-G116+F116)/2)*12+Reeksen!AK116*((L116-M116+L116)/2)*12,0)</f>
        <v>0</v>
      </c>
      <c r="AJ116" s="71">
        <f ca="1">-AI116*'Invoer gegevens'!$F$28</f>
        <v>0</v>
      </c>
      <c r="AK116" s="71">
        <f t="shared" ca="1" si="11"/>
        <v>0</v>
      </c>
      <c r="AL116" s="71">
        <f ca="1">IF(C116=1,Reeksen!AL116*((F116-G116+F116)/2)*12+Reeksen!AM116*((L116-M116+L116)/2)*12,0)</f>
        <v>0</v>
      </c>
      <c r="AM116" s="71">
        <f ca="1">-AL116*'Invoer gegevens'!$F$31</f>
        <v>0</v>
      </c>
      <c r="AN116" s="71">
        <f t="shared" ca="1" si="18"/>
        <v>0</v>
      </c>
      <c r="AO116" s="71">
        <f ca="1">IF(C116=1,(H116+J116+N116+P116)*Reeksen!AN116,0)</f>
        <v>0</v>
      </c>
      <c r="AP116" s="71">
        <f ca="1">-IF(C116=1,(H116+J116+N116+P116)*'Hulp - basis'!$G$550*Reeksen!H116,0)</f>
        <v>0</v>
      </c>
      <c r="AQ116" s="71">
        <f ca="1">-IF(C116=1,(F116+K116+L116+Q116)/2*'Invoer gegevens'!$I$33*Reeksen!J116,0)*2</f>
        <v>0</v>
      </c>
      <c r="AR116" s="71">
        <f ca="1">-IF(C116=1,(I116*'Invoer gegevens'!$I$34)*Reeksen!J116,0)</f>
        <v>0</v>
      </c>
      <c r="AS116" s="71">
        <f ca="1">-IF(C116=1,(F116+K116+L116+Q116)/2*'Invoer gegevens'!$I$35*Reeksen!L116,0)</f>
        <v>0</v>
      </c>
      <c r="AT116" s="71">
        <f ca="1">-IF(C116=1,IF(E116='Invoer gegevens'!$C$17,'Invoer gegevens'!$C$11,AD116)*Reeksen!S116*'Invoer gegevens'!$C$18*Reeksen!P116,0)</f>
        <v>0</v>
      </c>
      <c r="AU116" s="71">
        <f ca="1">-IF(C116=1,(F116+K116+L116+Q116)/2*'Invoer gegevens'!$I$36*Reeksen!H116,0)</f>
        <v>0</v>
      </c>
      <c r="AV116" s="71">
        <f>IF('Invoer gegevens'!$C$3="Basis",0,#REF!)</f>
        <v>0</v>
      </c>
      <c r="AW116" s="71">
        <f t="shared" ca="1" si="19"/>
        <v>0</v>
      </c>
      <c r="AX116" s="71">
        <f ca="1">IF(E116&lt;'Invoer gegevens'!$C$17+15,0,IF(E116&gt;'Invoer gegevens'!$C$17+215,0,AW116))</f>
        <v>0</v>
      </c>
      <c r="AY116" s="71">
        <f ca="1">AX116/(1+'Invoer gegevens'!$F$18)^($AZ116-('Invoer gegevens'!$C$17-'Invoer gegevens'!$C$16))/(1+'Invoer gegevens'!$C$39)^('Invoer gegevens'!$C$17-'Invoer gegevens'!$C$16)</f>
        <v>0</v>
      </c>
      <c r="AZ116" s="68">
        <f ca="1">IF(E116-'Invoer gegevens'!$C$17-14.5&lt;0,0,E116-'Invoer gegevens'!$C$17-14.5)</f>
        <v>96.5</v>
      </c>
    </row>
    <row r="117" spans="2:52" x14ac:dyDescent="0.25">
      <c r="B117" s="70">
        <f t="shared" si="20"/>
        <v>113</v>
      </c>
      <c r="C117" s="67">
        <f ca="1">IF(E117-'Invoer gegevens'!$C$17&lt;0,0,1)</f>
        <v>1</v>
      </c>
      <c r="D117" s="68">
        <f t="shared" si="21"/>
        <v>112.5</v>
      </c>
      <c r="E117" s="108">
        <f ca="1">IF('Invoer gegevens'!$C$16="","",E116+1)</f>
        <v>2131</v>
      </c>
      <c r="F117" s="84">
        <f ca="1">IF('Invoer gegevens'!$C$17=E117,'Invoer gegevens'!$C$10,IF(C117=1,K116,0))</f>
        <v>0</v>
      </c>
      <c r="G117" s="96">
        <f ca="1">IF(C117&gt;=1,F117*VLOOKUP(E117,Reeksen!$A$5:$B$76,2),0)</f>
        <v>0</v>
      </c>
      <c r="H117" s="84">
        <f ca="1">(1-('Invoer gegevens'!$F$20/12))*F117*MIN(Reeksen!B117,Reeksen!D117)</f>
        <v>0</v>
      </c>
      <c r="I117" s="84">
        <f>IF(Reeksen!D117&lt;Reeksen!B117,(Reeksen!B117-Reeksen!D117)*F117,0)</f>
        <v>0</v>
      </c>
      <c r="J117" s="84">
        <f ca="1">('Invoer gegevens'!$F$20/12)*F116*MIN(Reeksen!B116,Reeksen!D116)</f>
        <v>0</v>
      </c>
      <c r="K117" s="97">
        <f t="shared" ca="1" si="12"/>
        <v>0</v>
      </c>
      <c r="L117" s="84">
        <f ca="1">IF('Invoer gegevens'!$C$17=E117,0,IF(C117=1,Q116,0))</f>
        <v>0</v>
      </c>
      <c r="M117" s="96">
        <f ca="1">IF(C117&gt;=1,L117*VLOOKUP(E117,Reeksen!$A$5:$B$76,2),0)</f>
        <v>0</v>
      </c>
      <c r="N117" s="84">
        <f ca="1">(1-('Invoer gegevens'!$F$20/12))*L117*MIN(Reeksen!B117,Reeksen!D117)</f>
        <v>0</v>
      </c>
      <c r="O117" s="84">
        <f>IF(Reeksen!D117&lt;Reeksen!B117,(Reeksen!B117-Reeksen!D117)*L117,0)</f>
        <v>0</v>
      </c>
      <c r="P117" s="84">
        <f ca="1">('Invoer gegevens'!$F$20/12)*L116*MIN(Reeksen!B116,Reeksen!D116)</f>
        <v>0</v>
      </c>
      <c r="Q117" s="84">
        <f t="shared" ca="1" si="13"/>
        <v>0</v>
      </c>
      <c r="R117" s="82">
        <f ca="1">IF('Invoer gegevens'!$C$17=E117,'Invoer gegevens'!$C$11,IF(C117=1,W116,0))</f>
        <v>0</v>
      </c>
      <c r="S117" s="86">
        <f ca="1">IF(C117&gt;=1,R117*VLOOKUP(E117,Reeksen!$A$5:$B$76,2),0)</f>
        <v>0</v>
      </c>
      <c r="T117" s="84">
        <f ca="1">(1-('Invoer gegevens'!$F$20/12))*R117*MIN(Reeksen!B117,Reeksen!D117)</f>
        <v>0</v>
      </c>
      <c r="U117" s="84">
        <f>IF(Reeksen!D117&gt;=Reeksen!B117,0,IF(Reeksen!AK117&lt;=Reeksen!AE117,(Reeksen!B117-Reeksen!D117)*R117,0))</f>
        <v>0</v>
      </c>
      <c r="V117" s="86">
        <f>IF(Reeksen!D117&gt;=Reeksen!B117,0,IF(Reeksen!AK117&gt;Reeksen!AE117,(Reeksen!B117-Reeksen!D117)*R117,0))</f>
        <v>0</v>
      </c>
      <c r="W117" s="97">
        <f t="shared" ca="1" si="14"/>
        <v>0</v>
      </c>
      <c r="X117" s="98">
        <f ca="1">IF('Invoer gegevens'!$C$17=E117,'Invoer gegevens'!$C$10-'Invoer gegevens'!$C$11,IF(C117=1,AC116,0))</f>
        <v>0</v>
      </c>
      <c r="Y117" s="98">
        <f ca="1">IF(C117&gt;=1,X117*VLOOKUP(E117,Reeksen!$A$5:$B$76,2),0)</f>
        <v>0</v>
      </c>
      <c r="Z117" s="98">
        <f ca="1">(1-('Invoer gegevens'!$F$20/12))*X117*MIN(Reeksen!B117,Reeksen!D117)</f>
        <v>0</v>
      </c>
      <c r="AA117" s="98">
        <f>IF(Reeksen!D117&gt;=Reeksen!B117,0,IF(Reeksen!AK117&lt;=Reeksen!AE117,(Reeksen!B117-Reeksen!D117)*X117,0))</f>
        <v>0</v>
      </c>
      <c r="AB117" s="98">
        <f>IF(Reeksen!D117&gt;=Reeksen!B117,0,IF(Reeksen!AK117&gt;Reeksen!AE117,(Reeksen!B117-Reeksen!D117)*X117,0))</f>
        <v>0</v>
      </c>
      <c r="AC117" s="99">
        <f t="shared" ca="1" si="15"/>
        <v>0</v>
      </c>
      <c r="AD117" s="98">
        <f ca="1">IF('Invoer gegevens'!$C$17=E117,R117,IF(C117=0,0,AE116))</f>
        <v>0</v>
      </c>
      <c r="AE117" s="98">
        <f t="shared" ca="1" si="16"/>
        <v>0</v>
      </c>
      <c r="AF117" s="98">
        <f ca="1">IF('Invoer gegevens'!$C$17=E117,X117,IF(C117=0,0,AG116))</f>
        <v>0</v>
      </c>
      <c r="AG117" s="98">
        <f t="shared" ca="1" si="17"/>
        <v>0</v>
      </c>
      <c r="AH117" s="68"/>
      <c r="AI117" s="71">
        <f ca="1">IF(C117=1,Reeksen!AJ117*((F117-G117+F117)/2)*12+Reeksen!AK117*((L117-M117+L117)/2)*12,0)</f>
        <v>0</v>
      </c>
      <c r="AJ117" s="71">
        <f ca="1">-AI117*'Invoer gegevens'!$F$28</f>
        <v>0</v>
      </c>
      <c r="AK117" s="71">
        <f t="shared" ca="1" si="11"/>
        <v>0</v>
      </c>
      <c r="AL117" s="71">
        <f ca="1">IF(C117=1,Reeksen!AL117*((F117-G117+F117)/2)*12+Reeksen!AM117*((L117-M117+L117)/2)*12,0)</f>
        <v>0</v>
      </c>
      <c r="AM117" s="71">
        <f ca="1">-AL117*'Invoer gegevens'!$F$31</f>
        <v>0</v>
      </c>
      <c r="AN117" s="71">
        <f t="shared" ca="1" si="18"/>
        <v>0</v>
      </c>
      <c r="AO117" s="71">
        <f ca="1">IF(C117=1,(H117+J117+N117+P117)*Reeksen!AN117,0)</f>
        <v>0</v>
      </c>
      <c r="AP117" s="71">
        <f ca="1">-IF(C117=1,(H117+J117+N117+P117)*'Hulp - basis'!$G$550*Reeksen!H117,0)</f>
        <v>0</v>
      </c>
      <c r="AQ117" s="71">
        <f ca="1">-IF(C117=1,(F117+K117+L117+Q117)/2*'Invoer gegevens'!$I$33*Reeksen!J117,0)*2</f>
        <v>0</v>
      </c>
      <c r="AR117" s="71">
        <f ca="1">-IF(C117=1,(I117*'Invoer gegevens'!$I$34)*Reeksen!J117,0)</f>
        <v>0</v>
      </c>
      <c r="AS117" s="71">
        <f ca="1">-IF(C117=1,(F117+K117+L117+Q117)/2*'Invoer gegevens'!$I$35*Reeksen!L117,0)</f>
        <v>0</v>
      </c>
      <c r="AT117" s="71">
        <f ca="1">-IF(C117=1,IF(E117='Invoer gegevens'!$C$17,'Invoer gegevens'!$C$11,AD117)*Reeksen!S117*'Invoer gegevens'!$C$18*Reeksen!P117,0)</f>
        <v>0</v>
      </c>
      <c r="AU117" s="71">
        <f ca="1">-IF(C117=1,(F117+K117+L117+Q117)/2*'Invoer gegevens'!$I$36*Reeksen!H117,0)</f>
        <v>0</v>
      </c>
      <c r="AV117" s="71">
        <f>IF('Invoer gegevens'!$C$3="Basis",0,#REF!)</f>
        <v>0</v>
      </c>
      <c r="AW117" s="71">
        <f t="shared" ca="1" si="19"/>
        <v>0</v>
      </c>
      <c r="AX117" s="71">
        <f ca="1">IF(E117&lt;'Invoer gegevens'!$C$17+15,0,IF(E117&gt;'Invoer gegevens'!$C$17+215,0,AW117))</f>
        <v>0</v>
      </c>
      <c r="AY117" s="71">
        <f ca="1">AX117/(1+'Invoer gegevens'!$F$18)^($AZ117-('Invoer gegevens'!$C$17-'Invoer gegevens'!$C$16))/(1+'Invoer gegevens'!$C$39)^('Invoer gegevens'!$C$17-'Invoer gegevens'!$C$16)</f>
        <v>0</v>
      </c>
      <c r="AZ117" s="68">
        <f ca="1">IF(E117-'Invoer gegevens'!$C$17-14.5&lt;0,0,E117-'Invoer gegevens'!$C$17-14.5)</f>
        <v>97.5</v>
      </c>
    </row>
    <row r="118" spans="2:52" x14ac:dyDescent="0.25">
      <c r="B118" s="70">
        <f t="shared" si="20"/>
        <v>114</v>
      </c>
      <c r="C118" s="67">
        <f ca="1">IF(E118-'Invoer gegevens'!$C$17&lt;0,0,1)</f>
        <v>1</v>
      </c>
      <c r="D118" s="68">
        <f t="shared" si="21"/>
        <v>113.5</v>
      </c>
      <c r="E118" s="108">
        <f ca="1">IF('Invoer gegevens'!$C$16="","",E117+1)</f>
        <v>2132</v>
      </c>
      <c r="F118" s="84">
        <f ca="1">IF('Invoer gegevens'!$C$17=E118,'Invoer gegevens'!$C$10,IF(C118=1,K117,0))</f>
        <v>0</v>
      </c>
      <c r="G118" s="96">
        <f ca="1">IF(C118&gt;=1,F118*VLOOKUP(E118,Reeksen!$A$5:$B$76,2),0)</f>
        <v>0</v>
      </c>
      <c r="H118" s="84">
        <f ca="1">(1-('Invoer gegevens'!$F$20/12))*F118*MIN(Reeksen!B118,Reeksen!D118)</f>
        <v>0</v>
      </c>
      <c r="I118" s="84">
        <f>IF(Reeksen!D118&lt;Reeksen!B118,(Reeksen!B118-Reeksen!D118)*F118,0)</f>
        <v>0</v>
      </c>
      <c r="J118" s="84">
        <f ca="1">('Invoer gegevens'!$F$20/12)*F117*MIN(Reeksen!B117,Reeksen!D117)</f>
        <v>0</v>
      </c>
      <c r="K118" s="97">
        <f t="shared" ca="1" si="12"/>
        <v>0</v>
      </c>
      <c r="L118" s="84">
        <f ca="1">IF('Invoer gegevens'!$C$17=E118,0,IF(C118=1,Q117,0))</f>
        <v>0</v>
      </c>
      <c r="M118" s="96">
        <f ca="1">IF(C118&gt;=1,L118*VLOOKUP(E118,Reeksen!$A$5:$B$76,2),0)</f>
        <v>0</v>
      </c>
      <c r="N118" s="84">
        <f ca="1">(1-('Invoer gegevens'!$F$20/12))*L118*MIN(Reeksen!B118,Reeksen!D118)</f>
        <v>0</v>
      </c>
      <c r="O118" s="84">
        <f>IF(Reeksen!D118&lt;Reeksen!B118,(Reeksen!B118-Reeksen!D118)*L118,0)</f>
        <v>0</v>
      </c>
      <c r="P118" s="84">
        <f ca="1">('Invoer gegevens'!$F$20/12)*L117*MIN(Reeksen!B117,Reeksen!D117)</f>
        <v>0</v>
      </c>
      <c r="Q118" s="84">
        <f t="shared" ca="1" si="13"/>
        <v>0</v>
      </c>
      <c r="R118" s="82">
        <f ca="1">IF('Invoer gegevens'!$C$17=E118,'Invoer gegevens'!$C$11,IF(C118=1,W117,0))</f>
        <v>0</v>
      </c>
      <c r="S118" s="86">
        <f ca="1">IF(C118&gt;=1,R118*VLOOKUP(E118,Reeksen!$A$5:$B$76,2),0)</f>
        <v>0</v>
      </c>
      <c r="T118" s="84">
        <f ca="1">(1-('Invoer gegevens'!$F$20/12))*R118*MIN(Reeksen!B118,Reeksen!D118)</f>
        <v>0</v>
      </c>
      <c r="U118" s="84">
        <f>IF(Reeksen!D118&gt;=Reeksen!B118,0,IF(Reeksen!AK118&lt;=Reeksen!AE118,(Reeksen!B118-Reeksen!D118)*R118,0))</f>
        <v>0</v>
      </c>
      <c r="V118" s="86">
        <f>IF(Reeksen!D118&gt;=Reeksen!B118,0,IF(Reeksen!AK118&gt;Reeksen!AE118,(Reeksen!B118-Reeksen!D118)*R118,0))</f>
        <v>0</v>
      </c>
      <c r="W118" s="97">
        <f t="shared" ca="1" si="14"/>
        <v>0</v>
      </c>
      <c r="X118" s="98">
        <f ca="1">IF('Invoer gegevens'!$C$17=E118,'Invoer gegevens'!$C$10-'Invoer gegevens'!$C$11,IF(C118=1,AC117,0))</f>
        <v>0</v>
      </c>
      <c r="Y118" s="98">
        <f ca="1">IF(C118&gt;=1,X118*VLOOKUP(E118,Reeksen!$A$5:$B$76,2),0)</f>
        <v>0</v>
      </c>
      <c r="Z118" s="98">
        <f ca="1">(1-('Invoer gegevens'!$F$20/12))*X118*MIN(Reeksen!B118,Reeksen!D118)</f>
        <v>0</v>
      </c>
      <c r="AA118" s="98">
        <f>IF(Reeksen!D118&gt;=Reeksen!B118,0,IF(Reeksen!AK118&lt;=Reeksen!AE118,(Reeksen!B118-Reeksen!D118)*X118,0))</f>
        <v>0</v>
      </c>
      <c r="AB118" s="98">
        <f>IF(Reeksen!D118&gt;=Reeksen!B118,0,IF(Reeksen!AK118&gt;Reeksen!AE118,(Reeksen!B118-Reeksen!D118)*X118,0))</f>
        <v>0</v>
      </c>
      <c r="AC118" s="99">
        <f t="shared" ca="1" si="15"/>
        <v>0</v>
      </c>
      <c r="AD118" s="98">
        <f ca="1">IF('Invoer gegevens'!$C$17=E118,R118,IF(C118=0,0,AE117))</f>
        <v>0</v>
      </c>
      <c r="AE118" s="98">
        <f t="shared" ca="1" si="16"/>
        <v>0</v>
      </c>
      <c r="AF118" s="98">
        <f ca="1">IF('Invoer gegevens'!$C$17=E118,X118,IF(C118=0,0,AG117))</f>
        <v>0</v>
      </c>
      <c r="AG118" s="98">
        <f t="shared" ca="1" si="17"/>
        <v>0</v>
      </c>
      <c r="AH118" s="68"/>
      <c r="AI118" s="71">
        <f ca="1">IF(C118=1,Reeksen!AJ118*((F118-G118+F118)/2)*12+Reeksen!AK118*((L118-M118+L118)/2)*12,0)</f>
        <v>0</v>
      </c>
      <c r="AJ118" s="71">
        <f ca="1">-AI118*'Invoer gegevens'!$F$28</f>
        <v>0</v>
      </c>
      <c r="AK118" s="71">
        <f t="shared" ca="1" si="11"/>
        <v>0</v>
      </c>
      <c r="AL118" s="71">
        <f ca="1">IF(C118=1,Reeksen!AL118*((F118-G118+F118)/2)*12+Reeksen!AM118*((L118-M118+L118)/2)*12,0)</f>
        <v>0</v>
      </c>
      <c r="AM118" s="71">
        <f ca="1">-AL118*'Invoer gegevens'!$F$31</f>
        <v>0</v>
      </c>
      <c r="AN118" s="71">
        <f t="shared" ca="1" si="18"/>
        <v>0</v>
      </c>
      <c r="AO118" s="71">
        <f ca="1">IF(C118=1,(H118+J118+N118+P118)*Reeksen!AN118,0)</f>
        <v>0</v>
      </c>
      <c r="AP118" s="71">
        <f ca="1">-IF(C118=1,(H118+J118+N118+P118)*'Hulp - basis'!$G$550*Reeksen!H118,0)</f>
        <v>0</v>
      </c>
      <c r="AQ118" s="71">
        <f ca="1">-IF(C118=1,(F118+K118+L118+Q118)/2*'Invoer gegevens'!$I$33*Reeksen!J118,0)*2</f>
        <v>0</v>
      </c>
      <c r="AR118" s="71">
        <f ca="1">-IF(C118=1,(I118*'Invoer gegevens'!$I$34)*Reeksen!J118,0)</f>
        <v>0</v>
      </c>
      <c r="AS118" s="71">
        <f ca="1">-IF(C118=1,(F118+K118+L118+Q118)/2*'Invoer gegevens'!$I$35*Reeksen!L118,0)</f>
        <v>0</v>
      </c>
      <c r="AT118" s="71">
        <f ca="1">-IF(C118=1,IF(E118='Invoer gegevens'!$C$17,'Invoer gegevens'!$C$11,AD118)*Reeksen!S118*'Invoer gegevens'!$C$18*Reeksen!P118,0)</f>
        <v>0</v>
      </c>
      <c r="AU118" s="71">
        <f ca="1">-IF(C118=1,(F118+K118+L118+Q118)/2*'Invoer gegevens'!$I$36*Reeksen!H118,0)</f>
        <v>0</v>
      </c>
      <c r="AV118" s="71">
        <f>IF('Invoer gegevens'!$C$3="Basis",0,#REF!)</f>
        <v>0</v>
      </c>
      <c r="AW118" s="71">
        <f t="shared" ca="1" si="19"/>
        <v>0</v>
      </c>
      <c r="AX118" s="71">
        <f ca="1">IF(E118&lt;'Invoer gegevens'!$C$17+15,0,IF(E118&gt;'Invoer gegevens'!$C$17+215,0,AW118))</f>
        <v>0</v>
      </c>
      <c r="AY118" s="71">
        <f ca="1">AX118/(1+'Invoer gegevens'!$F$18)^($AZ118-('Invoer gegevens'!$C$17-'Invoer gegevens'!$C$16))/(1+'Invoer gegevens'!$C$39)^('Invoer gegevens'!$C$17-'Invoer gegevens'!$C$16)</f>
        <v>0</v>
      </c>
      <c r="AZ118" s="68">
        <f ca="1">IF(E118-'Invoer gegevens'!$C$17-14.5&lt;0,0,E118-'Invoer gegevens'!$C$17-14.5)</f>
        <v>98.5</v>
      </c>
    </row>
    <row r="119" spans="2:52" x14ac:dyDescent="0.25">
      <c r="B119" s="70">
        <f t="shared" si="20"/>
        <v>115</v>
      </c>
      <c r="C119" s="67">
        <f ca="1">IF(E119-'Invoer gegevens'!$C$17&lt;0,0,1)</f>
        <v>1</v>
      </c>
      <c r="D119" s="68">
        <f t="shared" si="21"/>
        <v>114.5</v>
      </c>
      <c r="E119" s="108">
        <f ca="1">IF('Invoer gegevens'!$C$16="","",E118+1)</f>
        <v>2133</v>
      </c>
      <c r="F119" s="84">
        <f ca="1">IF('Invoer gegevens'!$C$17=E119,'Invoer gegevens'!$C$10,IF(C119=1,K118,0))</f>
        <v>0</v>
      </c>
      <c r="G119" s="96">
        <f ca="1">IF(C119&gt;=1,F119*VLOOKUP(E119,Reeksen!$A$5:$B$76,2),0)</f>
        <v>0</v>
      </c>
      <c r="H119" s="84">
        <f ca="1">(1-('Invoer gegevens'!$F$20/12))*F119*MIN(Reeksen!B119,Reeksen!D119)</f>
        <v>0</v>
      </c>
      <c r="I119" s="84">
        <f>IF(Reeksen!D119&lt;Reeksen!B119,(Reeksen!B119-Reeksen!D119)*F119,0)</f>
        <v>0</v>
      </c>
      <c r="J119" s="84">
        <f ca="1">('Invoer gegevens'!$F$20/12)*F118*MIN(Reeksen!B118,Reeksen!D118)</f>
        <v>0</v>
      </c>
      <c r="K119" s="97">
        <f t="shared" ca="1" si="12"/>
        <v>0</v>
      </c>
      <c r="L119" s="84">
        <f ca="1">IF('Invoer gegevens'!$C$17=E119,0,IF(C119=1,Q118,0))</f>
        <v>0</v>
      </c>
      <c r="M119" s="96">
        <f ca="1">IF(C119&gt;=1,L119*VLOOKUP(E119,Reeksen!$A$5:$B$76,2),0)</f>
        <v>0</v>
      </c>
      <c r="N119" s="84">
        <f ca="1">(1-('Invoer gegevens'!$F$20/12))*L119*MIN(Reeksen!B119,Reeksen!D119)</f>
        <v>0</v>
      </c>
      <c r="O119" s="84">
        <f>IF(Reeksen!D119&lt;Reeksen!B119,(Reeksen!B119-Reeksen!D119)*L119,0)</f>
        <v>0</v>
      </c>
      <c r="P119" s="84">
        <f ca="1">('Invoer gegevens'!$F$20/12)*L118*MIN(Reeksen!B118,Reeksen!D118)</f>
        <v>0</v>
      </c>
      <c r="Q119" s="84">
        <f t="shared" ca="1" si="13"/>
        <v>0</v>
      </c>
      <c r="R119" s="82">
        <f ca="1">IF('Invoer gegevens'!$C$17=E119,'Invoer gegevens'!$C$11,IF(C119=1,W118,0))</f>
        <v>0</v>
      </c>
      <c r="S119" s="86">
        <f ca="1">IF(C119&gt;=1,R119*VLOOKUP(E119,Reeksen!$A$5:$B$76,2),0)</f>
        <v>0</v>
      </c>
      <c r="T119" s="84">
        <f ca="1">(1-('Invoer gegevens'!$F$20/12))*R119*MIN(Reeksen!B119,Reeksen!D119)</f>
        <v>0</v>
      </c>
      <c r="U119" s="84">
        <f>IF(Reeksen!D119&gt;=Reeksen!B119,0,IF(Reeksen!AK119&lt;=Reeksen!AE119,(Reeksen!B119-Reeksen!D119)*R119,0))</f>
        <v>0</v>
      </c>
      <c r="V119" s="86">
        <f>IF(Reeksen!D119&gt;=Reeksen!B119,0,IF(Reeksen!AK119&gt;Reeksen!AE119,(Reeksen!B119-Reeksen!D119)*R119,0))</f>
        <v>0</v>
      </c>
      <c r="W119" s="97">
        <f t="shared" ca="1" si="14"/>
        <v>0</v>
      </c>
      <c r="X119" s="98">
        <f ca="1">IF('Invoer gegevens'!$C$17=E119,'Invoer gegevens'!$C$10-'Invoer gegevens'!$C$11,IF(C119=1,AC118,0))</f>
        <v>0</v>
      </c>
      <c r="Y119" s="98">
        <f ca="1">IF(C119&gt;=1,X119*VLOOKUP(E119,Reeksen!$A$5:$B$76,2),0)</f>
        <v>0</v>
      </c>
      <c r="Z119" s="98">
        <f ca="1">(1-('Invoer gegevens'!$F$20/12))*X119*MIN(Reeksen!B119,Reeksen!D119)</f>
        <v>0</v>
      </c>
      <c r="AA119" s="98">
        <f>IF(Reeksen!D119&gt;=Reeksen!B119,0,IF(Reeksen!AK119&lt;=Reeksen!AE119,(Reeksen!B119-Reeksen!D119)*X119,0))</f>
        <v>0</v>
      </c>
      <c r="AB119" s="98">
        <f>IF(Reeksen!D119&gt;=Reeksen!B119,0,IF(Reeksen!AK119&gt;Reeksen!AE119,(Reeksen!B119-Reeksen!D119)*X119,0))</f>
        <v>0</v>
      </c>
      <c r="AC119" s="99">
        <f t="shared" ca="1" si="15"/>
        <v>0</v>
      </c>
      <c r="AD119" s="98">
        <f ca="1">IF('Invoer gegevens'!$C$17=E119,R119,IF(C119=0,0,AE118))</f>
        <v>0</v>
      </c>
      <c r="AE119" s="98">
        <f t="shared" ca="1" si="16"/>
        <v>0</v>
      </c>
      <c r="AF119" s="98">
        <f ca="1">IF('Invoer gegevens'!$C$17=E119,X119,IF(C119=0,0,AG118))</f>
        <v>0</v>
      </c>
      <c r="AG119" s="98">
        <f t="shared" ca="1" si="17"/>
        <v>0</v>
      </c>
      <c r="AH119" s="68"/>
      <c r="AI119" s="71">
        <f ca="1">IF(C119=1,Reeksen!AJ119*((F119-G119+F119)/2)*12+Reeksen!AK119*((L119-M119+L119)/2)*12,0)</f>
        <v>0</v>
      </c>
      <c r="AJ119" s="71">
        <f ca="1">-AI119*'Invoer gegevens'!$F$28</f>
        <v>0</v>
      </c>
      <c r="AK119" s="71">
        <f t="shared" ca="1" si="11"/>
        <v>0</v>
      </c>
      <c r="AL119" s="71">
        <f ca="1">IF(C119=1,Reeksen!AL119*((F119-G119+F119)/2)*12+Reeksen!AM119*((L119-M119+L119)/2)*12,0)</f>
        <v>0</v>
      </c>
      <c r="AM119" s="71">
        <f ca="1">-AL119*'Invoer gegevens'!$F$31</f>
        <v>0</v>
      </c>
      <c r="AN119" s="71">
        <f t="shared" ca="1" si="18"/>
        <v>0</v>
      </c>
      <c r="AO119" s="71">
        <f ca="1">IF(C119=1,(H119+J119+N119+P119)*Reeksen!AN119,0)</f>
        <v>0</v>
      </c>
      <c r="AP119" s="71">
        <f ca="1">-IF(C119=1,(H119+J119+N119+P119)*'Hulp - basis'!$G$550*Reeksen!H119,0)</f>
        <v>0</v>
      </c>
      <c r="AQ119" s="71">
        <f ca="1">-IF(C119=1,(F119+K119+L119+Q119)/2*'Invoer gegevens'!$I$33*Reeksen!J119,0)*2</f>
        <v>0</v>
      </c>
      <c r="AR119" s="71">
        <f ca="1">-IF(C119=1,(I119*'Invoer gegevens'!$I$34)*Reeksen!J119,0)</f>
        <v>0</v>
      </c>
      <c r="AS119" s="71">
        <f ca="1">-IF(C119=1,(F119+K119+L119+Q119)/2*'Invoer gegevens'!$I$35*Reeksen!L119,0)</f>
        <v>0</v>
      </c>
      <c r="AT119" s="71">
        <f ca="1">-IF(C119=1,IF(E119='Invoer gegevens'!$C$17,'Invoer gegevens'!$C$11,AD119)*Reeksen!S119*'Invoer gegevens'!$C$18*Reeksen!P119,0)</f>
        <v>0</v>
      </c>
      <c r="AU119" s="71">
        <f ca="1">-IF(C119=1,(F119+K119+L119+Q119)/2*'Invoer gegevens'!$I$36*Reeksen!H119,0)</f>
        <v>0</v>
      </c>
      <c r="AV119" s="71">
        <f>IF('Invoer gegevens'!$C$3="Basis",0,#REF!)</f>
        <v>0</v>
      </c>
      <c r="AW119" s="71">
        <f t="shared" ca="1" si="19"/>
        <v>0</v>
      </c>
      <c r="AX119" s="71">
        <f ca="1">IF(E119&lt;'Invoer gegevens'!$C$17+15,0,IF(E119&gt;'Invoer gegevens'!$C$17+215,0,AW119))</f>
        <v>0</v>
      </c>
      <c r="AY119" s="71">
        <f ca="1">AX119/(1+'Invoer gegevens'!$F$18)^($AZ119-('Invoer gegevens'!$C$17-'Invoer gegevens'!$C$16))/(1+'Invoer gegevens'!$C$39)^('Invoer gegevens'!$C$17-'Invoer gegevens'!$C$16)</f>
        <v>0</v>
      </c>
      <c r="AZ119" s="68">
        <f ca="1">IF(E119-'Invoer gegevens'!$C$17-14.5&lt;0,0,E119-'Invoer gegevens'!$C$17-14.5)</f>
        <v>99.5</v>
      </c>
    </row>
    <row r="120" spans="2:52" x14ac:dyDescent="0.25">
      <c r="B120" s="70">
        <f t="shared" si="20"/>
        <v>116</v>
      </c>
      <c r="C120" s="67">
        <f ca="1">IF(E120-'Invoer gegevens'!$C$17&lt;0,0,1)</f>
        <v>1</v>
      </c>
      <c r="D120" s="68">
        <f t="shared" si="21"/>
        <v>115.5</v>
      </c>
      <c r="E120" s="108">
        <f ca="1">IF('Invoer gegevens'!$C$16="","",E119+1)</f>
        <v>2134</v>
      </c>
      <c r="F120" s="84">
        <f ca="1">IF('Invoer gegevens'!$C$17=E120,'Invoer gegevens'!$C$10,IF(C120=1,K119,0))</f>
        <v>0</v>
      </c>
      <c r="G120" s="96">
        <f ca="1">IF(C120&gt;=1,F120*VLOOKUP(E120,Reeksen!$A$5:$B$76,2),0)</f>
        <v>0</v>
      </c>
      <c r="H120" s="84">
        <f ca="1">(1-('Invoer gegevens'!$F$20/12))*F120*MIN(Reeksen!B120,Reeksen!D120)</f>
        <v>0</v>
      </c>
      <c r="I120" s="84">
        <f>IF(Reeksen!D120&lt;Reeksen!B120,(Reeksen!B120-Reeksen!D120)*F120,0)</f>
        <v>0</v>
      </c>
      <c r="J120" s="84">
        <f ca="1">('Invoer gegevens'!$F$20/12)*F119*MIN(Reeksen!B119,Reeksen!D119)</f>
        <v>0</v>
      </c>
      <c r="K120" s="97">
        <f t="shared" ca="1" si="12"/>
        <v>0</v>
      </c>
      <c r="L120" s="84">
        <f ca="1">IF('Invoer gegevens'!$C$17=E120,0,IF(C120=1,Q119,0))</f>
        <v>0</v>
      </c>
      <c r="M120" s="96">
        <f ca="1">IF(C120&gt;=1,L120*VLOOKUP(E120,Reeksen!$A$5:$B$76,2),0)</f>
        <v>0</v>
      </c>
      <c r="N120" s="84">
        <f ca="1">(1-('Invoer gegevens'!$F$20/12))*L120*MIN(Reeksen!B120,Reeksen!D120)</f>
        <v>0</v>
      </c>
      <c r="O120" s="84">
        <f>IF(Reeksen!D120&lt;Reeksen!B120,(Reeksen!B120-Reeksen!D120)*L120,0)</f>
        <v>0</v>
      </c>
      <c r="P120" s="84">
        <f ca="1">('Invoer gegevens'!$F$20/12)*L119*MIN(Reeksen!B119,Reeksen!D119)</f>
        <v>0</v>
      </c>
      <c r="Q120" s="84">
        <f t="shared" ca="1" si="13"/>
        <v>0</v>
      </c>
      <c r="R120" s="82">
        <f ca="1">IF('Invoer gegevens'!$C$17=E120,'Invoer gegevens'!$C$11,IF(C120=1,W119,0))</f>
        <v>0</v>
      </c>
      <c r="S120" s="86">
        <f ca="1">IF(C120&gt;=1,R120*VLOOKUP(E120,Reeksen!$A$5:$B$76,2),0)</f>
        <v>0</v>
      </c>
      <c r="T120" s="84">
        <f ca="1">(1-('Invoer gegevens'!$F$20/12))*R120*MIN(Reeksen!B120,Reeksen!D120)</f>
        <v>0</v>
      </c>
      <c r="U120" s="84">
        <f>IF(Reeksen!D120&gt;=Reeksen!B120,0,IF(Reeksen!AK120&lt;=Reeksen!AE120,(Reeksen!B120-Reeksen!D120)*R120,0))</f>
        <v>0</v>
      </c>
      <c r="V120" s="86">
        <f>IF(Reeksen!D120&gt;=Reeksen!B120,0,IF(Reeksen!AK120&gt;Reeksen!AE120,(Reeksen!B120-Reeksen!D120)*R120,0))</f>
        <v>0</v>
      </c>
      <c r="W120" s="97">
        <f t="shared" ca="1" si="14"/>
        <v>0</v>
      </c>
      <c r="X120" s="98">
        <f ca="1">IF('Invoer gegevens'!$C$17=E120,'Invoer gegevens'!$C$10-'Invoer gegevens'!$C$11,IF(C120=1,AC119,0))</f>
        <v>0</v>
      </c>
      <c r="Y120" s="98">
        <f ca="1">IF(C120&gt;=1,X120*VLOOKUP(E120,Reeksen!$A$5:$B$76,2),0)</f>
        <v>0</v>
      </c>
      <c r="Z120" s="98">
        <f ca="1">(1-('Invoer gegevens'!$F$20/12))*X120*MIN(Reeksen!B120,Reeksen!D120)</f>
        <v>0</v>
      </c>
      <c r="AA120" s="98">
        <f>IF(Reeksen!D120&gt;=Reeksen!B120,0,IF(Reeksen!AK120&lt;=Reeksen!AE120,(Reeksen!B120-Reeksen!D120)*X120,0))</f>
        <v>0</v>
      </c>
      <c r="AB120" s="98">
        <f>IF(Reeksen!D120&gt;=Reeksen!B120,0,IF(Reeksen!AK120&gt;Reeksen!AE120,(Reeksen!B120-Reeksen!D120)*X120,0))</f>
        <v>0</v>
      </c>
      <c r="AC120" s="99">
        <f t="shared" ca="1" si="15"/>
        <v>0</v>
      </c>
      <c r="AD120" s="98">
        <f ca="1">IF('Invoer gegevens'!$C$17=E120,R120,IF(C120=0,0,AE119))</f>
        <v>0</v>
      </c>
      <c r="AE120" s="98">
        <f t="shared" ca="1" si="16"/>
        <v>0</v>
      </c>
      <c r="AF120" s="98">
        <f ca="1">IF('Invoer gegevens'!$C$17=E120,X120,IF(C120=0,0,AG119))</f>
        <v>0</v>
      </c>
      <c r="AG120" s="98">
        <f t="shared" ca="1" si="17"/>
        <v>0</v>
      </c>
      <c r="AH120" s="68"/>
      <c r="AI120" s="71">
        <f ca="1">IF(C120=1,Reeksen!AJ120*((F120-G120+F120)/2)*12+Reeksen!AK120*((L120-M120+L120)/2)*12,0)</f>
        <v>0</v>
      </c>
      <c r="AJ120" s="71">
        <f ca="1">-AI120*'Invoer gegevens'!$F$28</f>
        <v>0</v>
      </c>
      <c r="AK120" s="71">
        <f t="shared" ca="1" si="11"/>
        <v>0</v>
      </c>
      <c r="AL120" s="71">
        <f ca="1">IF(C120=1,Reeksen!AL120*((F120-G120+F120)/2)*12+Reeksen!AM120*((L120-M120+L120)/2)*12,0)</f>
        <v>0</v>
      </c>
      <c r="AM120" s="71">
        <f ca="1">-AL120*'Invoer gegevens'!$F$31</f>
        <v>0</v>
      </c>
      <c r="AN120" s="71">
        <f t="shared" ca="1" si="18"/>
        <v>0</v>
      </c>
      <c r="AO120" s="71">
        <f ca="1">IF(C120=1,(H120+J120+N120+P120)*Reeksen!AN120,0)</f>
        <v>0</v>
      </c>
      <c r="AP120" s="71">
        <f ca="1">-IF(C120=1,(H120+J120+N120+P120)*'Hulp - basis'!$G$550*Reeksen!H120,0)</f>
        <v>0</v>
      </c>
      <c r="AQ120" s="71">
        <f ca="1">-IF(C120=1,(F120+K120+L120+Q120)/2*'Invoer gegevens'!$I$33*Reeksen!J120,0)*2</f>
        <v>0</v>
      </c>
      <c r="AR120" s="71">
        <f ca="1">-IF(C120=1,(I120*'Invoer gegevens'!$I$34)*Reeksen!J120,0)</f>
        <v>0</v>
      </c>
      <c r="AS120" s="71">
        <f ca="1">-IF(C120=1,(F120+K120+L120+Q120)/2*'Invoer gegevens'!$I$35*Reeksen!L120,0)</f>
        <v>0</v>
      </c>
      <c r="AT120" s="71">
        <f ca="1">-IF(C120=1,IF(E120='Invoer gegevens'!$C$17,'Invoer gegevens'!$C$11,AD120)*Reeksen!S120*'Invoer gegevens'!$C$18*Reeksen!P120,0)</f>
        <v>0</v>
      </c>
      <c r="AU120" s="71">
        <f ca="1">-IF(C120=1,(F120+K120+L120+Q120)/2*'Invoer gegevens'!$I$36*Reeksen!H120,0)</f>
        <v>0</v>
      </c>
      <c r="AV120" s="71">
        <f>IF('Invoer gegevens'!$C$3="Basis",0,#REF!)</f>
        <v>0</v>
      </c>
      <c r="AW120" s="71">
        <f t="shared" ca="1" si="19"/>
        <v>0</v>
      </c>
      <c r="AX120" s="71">
        <f ca="1">IF(E120&lt;'Invoer gegevens'!$C$17+15,0,IF(E120&gt;'Invoer gegevens'!$C$17+215,0,AW120))</f>
        <v>0</v>
      </c>
      <c r="AY120" s="71">
        <f ca="1">AX120/(1+'Invoer gegevens'!$F$18)^($AZ120-('Invoer gegevens'!$C$17-'Invoer gegevens'!$C$16))/(1+'Invoer gegevens'!$C$39)^('Invoer gegevens'!$C$17-'Invoer gegevens'!$C$16)</f>
        <v>0</v>
      </c>
      <c r="AZ120" s="68">
        <f ca="1">IF(E120-'Invoer gegevens'!$C$17-14.5&lt;0,0,E120-'Invoer gegevens'!$C$17-14.5)</f>
        <v>100.5</v>
      </c>
    </row>
    <row r="121" spans="2:52" x14ac:dyDescent="0.25">
      <c r="B121" s="70">
        <f t="shared" si="20"/>
        <v>117</v>
      </c>
      <c r="C121" s="67">
        <f ca="1">IF(E121-'Invoer gegevens'!$C$17&lt;0,0,1)</f>
        <v>1</v>
      </c>
      <c r="D121" s="68">
        <f t="shared" si="21"/>
        <v>116.5</v>
      </c>
      <c r="E121" s="108">
        <f ca="1">IF('Invoer gegevens'!$C$16="","",E120+1)</f>
        <v>2135</v>
      </c>
      <c r="F121" s="84">
        <f ca="1">IF('Invoer gegevens'!$C$17=E121,'Invoer gegevens'!$C$10,IF(C121=1,K120,0))</f>
        <v>0</v>
      </c>
      <c r="G121" s="96">
        <f ca="1">IF(C121&gt;=1,F121*VLOOKUP(E121,Reeksen!$A$5:$B$76,2),0)</f>
        <v>0</v>
      </c>
      <c r="H121" s="84">
        <f ca="1">(1-('Invoer gegevens'!$F$20/12))*F121*MIN(Reeksen!B121,Reeksen!D121)</f>
        <v>0</v>
      </c>
      <c r="I121" s="84">
        <f>IF(Reeksen!D121&lt;Reeksen!B121,(Reeksen!B121-Reeksen!D121)*F121,0)</f>
        <v>0</v>
      </c>
      <c r="J121" s="84">
        <f ca="1">('Invoer gegevens'!$F$20/12)*F120*MIN(Reeksen!B120,Reeksen!D120)</f>
        <v>0</v>
      </c>
      <c r="K121" s="97">
        <f t="shared" ca="1" si="12"/>
        <v>0</v>
      </c>
      <c r="L121" s="84">
        <f ca="1">IF('Invoer gegevens'!$C$17=E121,0,IF(C121=1,Q120,0))</f>
        <v>0</v>
      </c>
      <c r="M121" s="96">
        <f ca="1">IF(C121&gt;=1,L121*VLOOKUP(E121,Reeksen!$A$5:$B$76,2),0)</f>
        <v>0</v>
      </c>
      <c r="N121" s="84">
        <f ca="1">(1-('Invoer gegevens'!$F$20/12))*L121*MIN(Reeksen!B121,Reeksen!D121)</f>
        <v>0</v>
      </c>
      <c r="O121" s="84">
        <f>IF(Reeksen!D121&lt;Reeksen!B121,(Reeksen!B121-Reeksen!D121)*L121,0)</f>
        <v>0</v>
      </c>
      <c r="P121" s="84">
        <f ca="1">('Invoer gegevens'!$F$20/12)*L120*MIN(Reeksen!B120,Reeksen!D120)</f>
        <v>0</v>
      </c>
      <c r="Q121" s="84">
        <f t="shared" ca="1" si="13"/>
        <v>0</v>
      </c>
      <c r="R121" s="82">
        <f ca="1">IF('Invoer gegevens'!$C$17=E121,'Invoer gegevens'!$C$11,IF(C121=1,W120,0))</f>
        <v>0</v>
      </c>
      <c r="S121" s="86">
        <f ca="1">IF(C121&gt;=1,R121*VLOOKUP(E121,Reeksen!$A$5:$B$76,2),0)</f>
        <v>0</v>
      </c>
      <c r="T121" s="84">
        <f ca="1">(1-('Invoer gegevens'!$F$20/12))*R121*MIN(Reeksen!B121,Reeksen!D121)</f>
        <v>0</v>
      </c>
      <c r="U121" s="84">
        <f>IF(Reeksen!D121&gt;=Reeksen!B121,0,IF(Reeksen!AK121&lt;=Reeksen!AE121,(Reeksen!B121-Reeksen!D121)*R121,0))</f>
        <v>0</v>
      </c>
      <c r="V121" s="86">
        <f>IF(Reeksen!D121&gt;=Reeksen!B121,0,IF(Reeksen!AK121&gt;Reeksen!AE121,(Reeksen!B121-Reeksen!D121)*R121,0))</f>
        <v>0</v>
      </c>
      <c r="W121" s="97">
        <f t="shared" ca="1" si="14"/>
        <v>0</v>
      </c>
      <c r="X121" s="98">
        <f ca="1">IF('Invoer gegevens'!$C$17=E121,'Invoer gegevens'!$C$10-'Invoer gegevens'!$C$11,IF(C121=1,AC120,0))</f>
        <v>0</v>
      </c>
      <c r="Y121" s="98">
        <f ca="1">IF(C121&gt;=1,X121*VLOOKUP(E121,Reeksen!$A$5:$B$76,2),0)</f>
        <v>0</v>
      </c>
      <c r="Z121" s="98">
        <f ca="1">(1-('Invoer gegevens'!$F$20/12))*X121*MIN(Reeksen!B121,Reeksen!D121)</f>
        <v>0</v>
      </c>
      <c r="AA121" s="98">
        <f>IF(Reeksen!D121&gt;=Reeksen!B121,0,IF(Reeksen!AK121&lt;=Reeksen!AE121,(Reeksen!B121-Reeksen!D121)*X121,0))</f>
        <v>0</v>
      </c>
      <c r="AB121" s="98">
        <f>IF(Reeksen!D121&gt;=Reeksen!B121,0,IF(Reeksen!AK121&gt;Reeksen!AE121,(Reeksen!B121-Reeksen!D121)*X121,0))</f>
        <v>0</v>
      </c>
      <c r="AC121" s="99">
        <f t="shared" ca="1" si="15"/>
        <v>0</v>
      </c>
      <c r="AD121" s="98">
        <f ca="1">IF('Invoer gegevens'!$C$17=E121,R121,IF(C121=0,0,AE120))</f>
        <v>0</v>
      </c>
      <c r="AE121" s="98">
        <f t="shared" ca="1" si="16"/>
        <v>0</v>
      </c>
      <c r="AF121" s="98">
        <f ca="1">IF('Invoer gegevens'!$C$17=E121,X121,IF(C121=0,0,AG120))</f>
        <v>0</v>
      </c>
      <c r="AG121" s="98">
        <f t="shared" ca="1" si="17"/>
        <v>0</v>
      </c>
      <c r="AH121" s="68"/>
      <c r="AI121" s="71">
        <f ca="1">IF(C121=1,Reeksen!AJ121*((F121-G121+F121)/2)*12+Reeksen!AK121*((L121-M121+L121)/2)*12,0)</f>
        <v>0</v>
      </c>
      <c r="AJ121" s="71">
        <f ca="1">-AI121*'Invoer gegevens'!$F$28</f>
        <v>0</v>
      </c>
      <c r="AK121" s="71">
        <f t="shared" ca="1" si="11"/>
        <v>0</v>
      </c>
      <c r="AL121" s="71">
        <f ca="1">IF(C121=1,Reeksen!AL121*((F121-G121+F121)/2)*12+Reeksen!AM121*((L121-M121+L121)/2)*12,0)</f>
        <v>0</v>
      </c>
      <c r="AM121" s="71">
        <f ca="1">-AL121*'Invoer gegevens'!$F$31</f>
        <v>0</v>
      </c>
      <c r="AN121" s="71">
        <f t="shared" ca="1" si="18"/>
        <v>0</v>
      </c>
      <c r="AO121" s="71">
        <f ca="1">IF(C121=1,(H121+J121+N121+P121)*Reeksen!AN121,0)</f>
        <v>0</v>
      </c>
      <c r="AP121" s="71">
        <f ca="1">-IF(C121=1,(H121+J121+N121+P121)*'Hulp - basis'!$G$550*Reeksen!H121,0)</f>
        <v>0</v>
      </c>
      <c r="AQ121" s="71">
        <f ca="1">-IF(C121=1,(F121+K121+L121+Q121)/2*'Invoer gegevens'!$I$33*Reeksen!J121,0)*2</f>
        <v>0</v>
      </c>
      <c r="AR121" s="71">
        <f ca="1">-IF(C121=1,(I121*'Invoer gegevens'!$I$34)*Reeksen!J121,0)</f>
        <v>0</v>
      </c>
      <c r="AS121" s="71">
        <f ca="1">-IF(C121=1,(F121+K121+L121+Q121)/2*'Invoer gegevens'!$I$35*Reeksen!L121,0)</f>
        <v>0</v>
      </c>
      <c r="AT121" s="71">
        <f ca="1">-IF(C121=1,IF(E121='Invoer gegevens'!$C$17,'Invoer gegevens'!$C$11,AD121)*Reeksen!S121*'Invoer gegevens'!$C$18*Reeksen!P121,0)</f>
        <v>0</v>
      </c>
      <c r="AU121" s="71">
        <f ca="1">-IF(C121=1,(F121+K121+L121+Q121)/2*'Invoer gegevens'!$I$36*Reeksen!H121,0)</f>
        <v>0</v>
      </c>
      <c r="AV121" s="71">
        <f>IF('Invoer gegevens'!$C$3="Basis",0,#REF!)</f>
        <v>0</v>
      </c>
      <c r="AW121" s="71">
        <f t="shared" ca="1" si="19"/>
        <v>0</v>
      </c>
      <c r="AX121" s="71">
        <f ca="1">IF(E121&lt;'Invoer gegevens'!$C$17+15,0,IF(E121&gt;'Invoer gegevens'!$C$17+215,0,AW121))</f>
        <v>0</v>
      </c>
      <c r="AY121" s="71">
        <f ca="1">AX121/(1+'Invoer gegevens'!$F$18)^($AZ121-('Invoer gegevens'!$C$17-'Invoer gegevens'!$C$16))/(1+'Invoer gegevens'!$C$39)^('Invoer gegevens'!$C$17-'Invoer gegevens'!$C$16)</f>
        <v>0</v>
      </c>
      <c r="AZ121" s="68">
        <f ca="1">IF(E121-'Invoer gegevens'!$C$17-14.5&lt;0,0,E121-'Invoer gegevens'!$C$17-14.5)</f>
        <v>101.5</v>
      </c>
    </row>
    <row r="122" spans="2:52" x14ac:dyDescent="0.25">
      <c r="B122" s="70">
        <f t="shared" si="20"/>
        <v>118</v>
      </c>
      <c r="C122" s="67">
        <f ca="1">IF(E122-'Invoer gegevens'!$C$17&lt;0,0,1)</f>
        <v>1</v>
      </c>
      <c r="D122" s="68">
        <f t="shared" si="21"/>
        <v>117.5</v>
      </c>
      <c r="E122" s="108">
        <f ca="1">IF('Invoer gegevens'!$C$16="","",E121+1)</f>
        <v>2136</v>
      </c>
      <c r="F122" s="84">
        <f ca="1">IF('Invoer gegevens'!$C$17=E122,'Invoer gegevens'!$C$10,IF(C122=1,K121,0))</f>
        <v>0</v>
      </c>
      <c r="G122" s="96">
        <f ca="1">IF(C122&gt;=1,F122*VLOOKUP(E122,Reeksen!$A$5:$B$76,2),0)</f>
        <v>0</v>
      </c>
      <c r="H122" s="84">
        <f ca="1">(1-('Invoer gegevens'!$F$20/12))*F122*MIN(Reeksen!B122,Reeksen!D122)</f>
        <v>0</v>
      </c>
      <c r="I122" s="84">
        <f>IF(Reeksen!D122&lt;Reeksen!B122,(Reeksen!B122-Reeksen!D122)*F122,0)</f>
        <v>0</v>
      </c>
      <c r="J122" s="84">
        <f ca="1">('Invoer gegevens'!$F$20/12)*F121*MIN(Reeksen!B121,Reeksen!D121)</f>
        <v>0</v>
      </c>
      <c r="K122" s="97">
        <f t="shared" ca="1" si="12"/>
        <v>0</v>
      </c>
      <c r="L122" s="84">
        <f ca="1">IF('Invoer gegevens'!$C$17=E122,0,IF(C122=1,Q121,0))</f>
        <v>0</v>
      </c>
      <c r="M122" s="96">
        <f ca="1">IF(C122&gt;=1,L122*VLOOKUP(E122,Reeksen!$A$5:$B$76,2),0)</f>
        <v>0</v>
      </c>
      <c r="N122" s="84">
        <f ca="1">(1-('Invoer gegevens'!$F$20/12))*L122*MIN(Reeksen!B122,Reeksen!D122)</f>
        <v>0</v>
      </c>
      <c r="O122" s="84">
        <f>IF(Reeksen!D122&lt;Reeksen!B122,(Reeksen!B122-Reeksen!D122)*L122,0)</f>
        <v>0</v>
      </c>
      <c r="P122" s="84">
        <f ca="1">('Invoer gegevens'!$F$20/12)*L121*MIN(Reeksen!B121,Reeksen!D121)</f>
        <v>0</v>
      </c>
      <c r="Q122" s="84">
        <f t="shared" ca="1" si="13"/>
        <v>0</v>
      </c>
      <c r="R122" s="82">
        <f ca="1">IF('Invoer gegevens'!$C$17=E122,'Invoer gegevens'!$C$11,IF(C122=1,W121,0))</f>
        <v>0</v>
      </c>
      <c r="S122" s="86">
        <f ca="1">IF(C122&gt;=1,R122*VLOOKUP(E122,Reeksen!$A$5:$B$76,2),0)</f>
        <v>0</v>
      </c>
      <c r="T122" s="84">
        <f ca="1">(1-('Invoer gegevens'!$F$20/12))*R122*MIN(Reeksen!B122,Reeksen!D122)</f>
        <v>0</v>
      </c>
      <c r="U122" s="84">
        <f>IF(Reeksen!D122&gt;=Reeksen!B122,0,IF(Reeksen!AK122&lt;=Reeksen!AE122,(Reeksen!B122-Reeksen!D122)*R122,0))</f>
        <v>0</v>
      </c>
      <c r="V122" s="86">
        <f>IF(Reeksen!D122&gt;=Reeksen!B122,0,IF(Reeksen!AK122&gt;Reeksen!AE122,(Reeksen!B122-Reeksen!D122)*R122,0))</f>
        <v>0</v>
      </c>
      <c r="W122" s="97">
        <f t="shared" ca="1" si="14"/>
        <v>0</v>
      </c>
      <c r="X122" s="98">
        <f ca="1">IF('Invoer gegevens'!$C$17=E122,'Invoer gegevens'!$C$10-'Invoer gegevens'!$C$11,IF(C122=1,AC121,0))</f>
        <v>0</v>
      </c>
      <c r="Y122" s="98">
        <f ca="1">IF(C122&gt;=1,X122*VLOOKUP(E122,Reeksen!$A$5:$B$76,2),0)</f>
        <v>0</v>
      </c>
      <c r="Z122" s="98">
        <f ca="1">(1-('Invoer gegevens'!$F$20/12))*X122*MIN(Reeksen!B122,Reeksen!D122)</f>
        <v>0</v>
      </c>
      <c r="AA122" s="98">
        <f>IF(Reeksen!D122&gt;=Reeksen!B122,0,IF(Reeksen!AK122&lt;=Reeksen!AE122,(Reeksen!B122-Reeksen!D122)*X122,0))</f>
        <v>0</v>
      </c>
      <c r="AB122" s="98">
        <f>IF(Reeksen!D122&gt;=Reeksen!B122,0,IF(Reeksen!AK122&gt;Reeksen!AE122,(Reeksen!B122-Reeksen!D122)*X122,0))</f>
        <v>0</v>
      </c>
      <c r="AC122" s="99">
        <f t="shared" ca="1" si="15"/>
        <v>0</v>
      </c>
      <c r="AD122" s="98">
        <f ca="1">IF('Invoer gegevens'!$C$17=E122,R122,IF(C122=0,0,AE121))</f>
        <v>0</v>
      </c>
      <c r="AE122" s="98">
        <f t="shared" ca="1" si="16"/>
        <v>0</v>
      </c>
      <c r="AF122" s="98">
        <f ca="1">IF('Invoer gegevens'!$C$17=E122,X122,IF(C122=0,0,AG121))</f>
        <v>0</v>
      </c>
      <c r="AG122" s="98">
        <f t="shared" ca="1" si="17"/>
        <v>0</v>
      </c>
      <c r="AH122" s="68"/>
      <c r="AI122" s="71">
        <f ca="1">IF(C122=1,Reeksen!AJ122*((F122-G122+F122)/2)*12+Reeksen!AK122*((L122-M122+L122)/2)*12,0)</f>
        <v>0</v>
      </c>
      <c r="AJ122" s="71">
        <f ca="1">-AI122*'Invoer gegevens'!$F$28</f>
        <v>0</v>
      </c>
      <c r="AK122" s="71">
        <f t="shared" ca="1" si="11"/>
        <v>0</v>
      </c>
      <c r="AL122" s="71">
        <f ca="1">IF(C122=1,Reeksen!AL122*((F122-G122+F122)/2)*12+Reeksen!AM122*((L122-M122+L122)/2)*12,0)</f>
        <v>0</v>
      </c>
      <c r="AM122" s="71">
        <f ca="1">-AL122*'Invoer gegevens'!$F$31</f>
        <v>0</v>
      </c>
      <c r="AN122" s="71">
        <f t="shared" ca="1" si="18"/>
        <v>0</v>
      </c>
      <c r="AO122" s="71">
        <f ca="1">IF(C122=1,(H122+J122+N122+P122)*Reeksen!AN122,0)</f>
        <v>0</v>
      </c>
      <c r="AP122" s="71">
        <f ca="1">-IF(C122=1,(H122+J122+N122+P122)*'Hulp - basis'!$G$550*Reeksen!H122,0)</f>
        <v>0</v>
      </c>
      <c r="AQ122" s="71">
        <f ca="1">-IF(C122=1,(F122+K122+L122+Q122)/2*'Invoer gegevens'!$I$33*Reeksen!J122,0)*2</f>
        <v>0</v>
      </c>
      <c r="AR122" s="71">
        <f ca="1">-IF(C122=1,(I122*'Invoer gegevens'!$I$34)*Reeksen!J122,0)</f>
        <v>0</v>
      </c>
      <c r="AS122" s="71">
        <f ca="1">-IF(C122=1,(F122+K122+L122+Q122)/2*'Invoer gegevens'!$I$35*Reeksen!L122,0)</f>
        <v>0</v>
      </c>
      <c r="AT122" s="71">
        <f ca="1">-IF(C122=1,IF(E122='Invoer gegevens'!$C$17,'Invoer gegevens'!$C$11,AD122)*Reeksen!S122*'Invoer gegevens'!$C$18*Reeksen!P122,0)</f>
        <v>0</v>
      </c>
      <c r="AU122" s="71">
        <f ca="1">-IF(C122=1,(F122+K122+L122+Q122)/2*'Invoer gegevens'!$I$36*Reeksen!H122,0)</f>
        <v>0</v>
      </c>
      <c r="AV122" s="71">
        <f>IF('Invoer gegevens'!$C$3="Basis",0,#REF!)</f>
        <v>0</v>
      </c>
      <c r="AW122" s="71">
        <f t="shared" ca="1" si="19"/>
        <v>0</v>
      </c>
      <c r="AX122" s="71">
        <f ca="1">IF(E122&lt;'Invoer gegevens'!$C$17+15,0,IF(E122&gt;'Invoer gegevens'!$C$17+215,0,AW122))</f>
        <v>0</v>
      </c>
      <c r="AY122" s="71">
        <f ca="1">AX122/(1+'Invoer gegevens'!$F$18)^($AZ122-('Invoer gegevens'!$C$17-'Invoer gegevens'!$C$16))/(1+'Invoer gegevens'!$C$39)^('Invoer gegevens'!$C$17-'Invoer gegevens'!$C$16)</f>
        <v>0</v>
      </c>
      <c r="AZ122" s="68">
        <f ca="1">IF(E122-'Invoer gegevens'!$C$17-14.5&lt;0,0,E122-'Invoer gegevens'!$C$17-14.5)</f>
        <v>102.5</v>
      </c>
    </row>
    <row r="123" spans="2:52" x14ac:dyDescent="0.25">
      <c r="B123" s="70">
        <f t="shared" si="20"/>
        <v>119</v>
      </c>
      <c r="C123" s="67">
        <f ca="1">IF(E123-'Invoer gegevens'!$C$17&lt;0,0,1)</f>
        <v>1</v>
      </c>
      <c r="D123" s="68">
        <f t="shared" si="21"/>
        <v>118.5</v>
      </c>
      <c r="E123" s="108">
        <f ca="1">IF('Invoer gegevens'!$C$16="","",E122+1)</f>
        <v>2137</v>
      </c>
      <c r="F123" s="84">
        <f ca="1">IF('Invoer gegevens'!$C$17=E123,'Invoer gegevens'!$C$10,IF(C123=1,K122,0))</f>
        <v>0</v>
      </c>
      <c r="G123" s="96">
        <f ca="1">IF(C123&gt;=1,F123*VLOOKUP(E123,Reeksen!$A$5:$B$76,2),0)</f>
        <v>0</v>
      </c>
      <c r="H123" s="84">
        <f ca="1">(1-('Invoer gegevens'!$F$20/12))*F123*MIN(Reeksen!B123,Reeksen!D123)</f>
        <v>0</v>
      </c>
      <c r="I123" s="84">
        <f>IF(Reeksen!D123&lt;Reeksen!B123,(Reeksen!B123-Reeksen!D123)*F123,0)</f>
        <v>0</v>
      </c>
      <c r="J123" s="84">
        <f ca="1">('Invoer gegevens'!$F$20/12)*F122*MIN(Reeksen!B122,Reeksen!D122)</f>
        <v>0</v>
      </c>
      <c r="K123" s="97">
        <f t="shared" ca="1" si="12"/>
        <v>0</v>
      </c>
      <c r="L123" s="84">
        <f ca="1">IF('Invoer gegevens'!$C$17=E123,0,IF(C123=1,Q122,0))</f>
        <v>0</v>
      </c>
      <c r="M123" s="96">
        <f ca="1">IF(C123&gt;=1,L123*VLOOKUP(E123,Reeksen!$A$5:$B$76,2),0)</f>
        <v>0</v>
      </c>
      <c r="N123" s="84">
        <f ca="1">(1-('Invoer gegevens'!$F$20/12))*L123*MIN(Reeksen!B123,Reeksen!D123)</f>
        <v>0</v>
      </c>
      <c r="O123" s="84">
        <f>IF(Reeksen!D123&lt;Reeksen!B123,(Reeksen!B123-Reeksen!D123)*L123,0)</f>
        <v>0</v>
      </c>
      <c r="P123" s="84">
        <f ca="1">('Invoer gegevens'!$F$20/12)*L122*MIN(Reeksen!B122,Reeksen!D122)</f>
        <v>0</v>
      </c>
      <c r="Q123" s="84">
        <f t="shared" ca="1" si="13"/>
        <v>0</v>
      </c>
      <c r="R123" s="82">
        <f ca="1">IF('Invoer gegevens'!$C$17=E123,'Invoer gegevens'!$C$11,IF(C123=1,W122,0))</f>
        <v>0</v>
      </c>
      <c r="S123" s="86">
        <f ca="1">IF(C123&gt;=1,R123*VLOOKUP(E123,Reeksen!$A$5:$B$76,2),0)</f>
        <v>0</v>
      </c>
      <c r="T123" s="84">
        <f ca="1">(1-('Invoer gegevens'!$F$20/12))*R123*MIN(Reeksen!B123,Reeksen!D123)</f>
        <v>0</v>
      </c>
      <c r="U123" s="84">
        <f>IF(Reeksen!D123&gt;=Reeksen!B123,0,IF(Reeksen!AK123&lt;=Reeksen!AE123,(Reeksen!B123-Reeksen!D123)*R123,0))</f>
        <v>0</v>
      </c>
      <c r="V123" s="86">
        <f>IF(Reeksen!D123&gt;=Reeksen!B123,0,IF(Reeksen!AK123&gt;Reeksen!AE123,(Reeksen!B123-Reeksen!D123)*R123,0))</f>
        <v>0</v>
      </c>
      <c r="W123" s="97">
        <f t="shared" ca="1" si="14"/>
        <v>0</v>
      </c>
      <c r="X123" s="98">
        <f ca="1">IF('Invoer gegevens'!$C$17=E123,'Invoer gegevens'!$C$10-'Invoer gegevens'!$C$11,IF(C123=1,AC122,0))</f>
        <v>0</v>
      </c>
      <c r="Y123" s="98">
        <f ca="1">IF(C123&gt;=1,X123*VLOOKUP(E123,Reeksen!$A$5:$B$76,2),0)</f>
        <v>0</v>
      </c>
      <c r="Z123" s="98">
        <f ca="1">(1-('Invoer gegevens'!$F$20/12))*X123*MIN(Reeksen!B123,Reeksen!D123)</f>
        <v>0</v>
      </c>
      <c r="AA123" s="98">
        <f>IF(Reeksen!D123&gt;=Reeksen!B123,0,IF(Reeksen!AK123&lt;=Reeksen!AE123,(Reeksen!B123-Reeksen!D123)*X123,0))</f>
        <v>0</v>
      </c>
      <c r="AB123" s="98">
        <f>IF(Reeksen!D123&gt;=Reeksen!B123,0,IF(Reeksen!AK123&gt;Reeksen!AE123,(Reeksen!B123-Reeksen!D123)*X123,0))</f>
        <v>0</v>
      </c>
      <c r="AC123" s="99">
        <f t="shared" ca="1" si="15"/>
        <v>0</v>
      </c>
      <c r="AD123" s="98">
        <f ca="1">IF('Invoer gegevens'!$C$17=E123,R123,IF(C123=0,0,AE122))</f>
        <v>0</v>
      </c>
      <c r="AE123" s="98">
        <f t="shared" ca="1" si="16"/>
        <v>0</v>
      </c>
      <c r="AF123" s="98">
        <f ca="1">IF('Invoer gegevens'!$C$17=E123,X123,IF(C123=0,0,AG122))</f>
        <v>0</v>
      </c>
      <c r="AG123" s="98">
        <f t="shared" ca="1" si="17"/>
        <v>0</v>
      </c>
      <c r="AH123" s="68"/>
      <c r="AI123" s="71">
        <f ca="1">IF(C123=1,Reeksen!AJ123*((F123-G123+F123)/2)*12+Reeksen!AK123*((L123-M123+L123)/2)*12,0)</f>
        <v>0</v>
      </c>
      <c r="AJ123" s="71">
        <f ca="1">-AI123*'Invoer gegevens'!$F$28</f>
        <v>0</v>
      </c>
      <c r="AK123" s="71">
        <f t="shared" ca="1" si="11"/>
        <v>0</v>
      </c>
      <c r="AL123" s="71">
        <f ca="1">IF(C123=1,Reeksen!AL123*((F123-G123+F123)/2)*12+Reeksen!AM123*((L123-M123+L123)/2)*12,0)</f>
        <v>0</v>
      </c>
      <c r="AM123" s="71">
        <f ca="1">-AL123*'Invoer gegevens'!$F$31</f>
        <v>0</v>
      </c>
      <c r="AN123" s="71">
        <f t="shared" ca="1" si="18"/>
        <v>0</v>
      </c>
      <c r="AO123" s="71">
        <f ca="1">IF(C123=1,(H123+J123+N123+P123)*Reeksen!AN123,0)</f>
        <v>0</v>
      </c>
      <c r="AP123" s="71">
        <f ca="1">-IF(C123=1,(H123+J123+N123+P123)*'Hulp - basis'!$G$550*Reeksen!H123,0)</f>
        <v>0</v>
      </c>
      <c r="AQ123" s="71">
        <f ca="1">-IF(C123=1,(F123+K123+L123+Q123)/2*'Invoer gegevens'!$I$33*Reeksen!J123,0)*2</f>
        <v>0</v>
      </c>
      <c r="AR123" s="71">
        <f ca="1">-IF(C123=1,(I123*'Invoer gegevens'!$I$34)*Reeksen!J123,0)</f>
        <v>0</v>
      </c>
      <c r="AS123" s="71">
        <f ca="1">-IF(C123=1,(F123+K123+L123+Q123)/2*'Invoer gegevens'!$I$35*Reeksen!L123,0)</f>
        <v>0</v>
      </c>
      <c r="AT123" s="71">
        <f ca="1">-IF(C123=1,IF(E123='Invoer gegevens'!$C$17,'Invoer gegevens'!$C$11,AD123)*Reeksen!S123*'Invoer gegevens'!$C$18*Reeksen!P123,0)</f>
        <v>0</v>
      </c>
      <c r="AU123" s="71">
        <f ca="1">-IF(C123=1,(F123+K123+L123+Q123)/2*'Invoer gegevens'!$I$36*Reeksen!H123,0)</f>
        <v>0</v>
      </c>
      <c r="AV123" s="71">
        <f>IF('Invoer gegevens'!$C$3="Basis",0,#REF!)</f>
        <v>0</v>
      </c>
      <c r="AW123" s="71">
        <f t="shared" ca="1" si="19"/>
        <v>0</v>
      </c>
      <c r="AX123" s="71">
        <f ca="1">IF(E123&lt;'Invoer gegevens'!$C$17+15,0,IF(E123&gt;'Invoer gegevens'!$C$17+215,0,AW123))</f>
        <v>0</v>
      </c>
      <c r="AY123" s="71">
        <f ca="1">AX123/(1+'Invoer gegevens'!$F$18)^($AZ123-('Invoer gegevens'!$C$17-'Invoer gegevens'!$C$16))/(1+'Invoer gegevens'!$C$39)^('Invoer gegevens'!$C$17-'Invoer gegevens'!$C$16)</f>
        <v>0</v>
      </c>
      <c r="AZ123" s="68">
        <f ca="1">IF(E123-'Invoer gegevens'!$C$17-14.5&lt;0,0,E123-'Invoer gegevens'!$C$17-14.5)</f>
        <v>103.5</v>
      </c>
    </row>
    <row r="124" spans="2:52" x14ac:dyDescent="0.25">
      <c r="B124" s="70">
        <f t="shared" si="20"/>
        <v>120</v>
      </c>
      <c r="C124" s="67">
        <f ca="1">IF(E124-'Invoer gegevens'!$C$17&lt;0,0,1)</f>
        <v>1</v>
      </c>
      <c r="D124" s="68">
        <f t="shared" si="21"/>
        <v>119.5</v>
      </c>
      <c r="E124" s="108">
        <f ca="1">IF('Invoer gegevens'!$C$16="","",E123+1)</f>
        <v>2138</v>
      </c>
      <c r="F124" s="84">
        <f ca="1">IF('Invoer gegevens'!$C$17=E124,'Invoer gegevens'!$C$10,IF(C124=1,K123,0))</f>
        <v>0</v>
      </c>
      <c r="G124" s="96">
        <f ca="1">IF(C124&gt;=1,F124*VLOOKUP(E124,Reeksen!$A$5:$B$76,2),0)</f>
        <v>0</v>
      </c>
      <c r="H124" s="84">
        <f ca="1">(1-('Invoer gegevens'!$F$20/12))*F124*MIN(Reeksen!B124,Reeksen!D124)</f>
        <v>0</v>
      </c>
      <c r="I124" s="84">
        <f>IF(Reeksen!D124&lt;Reeksen!B124,(Reeksen!B124-Reeksen!D124)*F124,0)</f>
        <v>0</v>
      </c>
      <c r="J124" s="84">
        <f ca="1">('Invoer gegevens'!$F$20/12)*F123*MIN(Reeksen!B123,Reeksen!D123)</f>
        <v>0</v>
      </c>
      <c r="K124" s="97">
        <f t="shared" ca="1" si="12"/>
        <v>0</v>
      </c>
      <c r="L124" s="84">
        <f ca="1">IF('Invoer gegevens'!$C$17=E124,0,IF(C124=1,Q123,0))</f>
        <v>0</v>
      </c>
      <c r="M124" s="96">
        <f ca="1">IF(C124&gt;=1,L124*VLOOKUP(E124,Reeksen!$A$5:$B$76,2),0)</f>
        <v>0</v>
      </c>
      <c r="N124" s="84">
        <f ca="1">(1-('Invoer gegevens'!$F$20/12))*L124*MIN(Reeksen!B124,Reeksen!D124)</f>
        <v>0</v>
      </c>
      <c r="O124" s="84">
        <f>IF(Reeksen!D124&lt;Reeksen!B124,(Reeksen!B124-Reeksen!D124)*L124,0)</f>
        <v>0</v>
      </c>
      <c r="P124" s="84">
        <f ca="1">('Invoer gegevens'!$F$20/12)*L123*MIN(Reeksen!B123,Reeksen!D123)</f>
        <v>0</v>
      </c>
      <c r="Q124" s="84">
        <f t="shared" ca="1" si="13"/>
        <v>0</v>
      </c>
      <c r="R124" s="82">
        <f ca="1">IF('Invoer gegevens'!$C$17=E124,'Invoer gegevens'!$C$11,IF(C124=1,W123,0))</f>
        <v>0</v>
      </c>
      <c r="S124" s="86">
        <f ca="1">IF(C124&gt;=1,R124*VLOOKUP(E124,Reeksen!$A$5:$B$76,2),0)</f>
        <v>0</v>
      </c>
      <c r="T124" s="84">
        <f ca="1">(1-('Invoer gegevens'!$F$20/12))*R124*MIN(Reeksen!B124,Reeksen!D124)</f>
        <v>0</v>
      </c>
      <c r="U124" s="84">
        <f>IF(Reeksen!D124&gt;=Reeksen!B124,0,IF(Reeksen!AK124&lt;=Reeksen!AE124,(Reeksen!B124-Reeksen!D124)*R124,0))</f>
        <v>0</v>
      </c>
      <c r="V124" s="86">
        <f>IF(Reeksen!D124&gt;=Reeksen!B124,0,IF(Reeksen!AK124&gt;Reeksen!AE124,(Reeksen!B124-Reeksen!D124)*R124,0))</f>
        <v>0</v>
      </c>
      <c r="W124" s="97">
        <f t="shared" ca="1" si="14"/>
        <v>0</v>
      </c>
      <c r="X124" s="98">
        <f ca="1">IF('Invoer gegevens'!$C$17=E124,'Invoer gegevens'!$C$10-'Invoer gegevens'!$C$11,IF(C124=1,AC123,0))</f>
        <v>0</v>
      </c>
      <c r="Y124" s="98">
        <f ca="1">IF(C124&gt;=1,X124*VLOOKUP(E124,Reeksen!$A$5:$B$76,2),0)</f>
        <v>0</v>
      </c>
      <c r="Z124" s="98">
        <f ca="1">(1-('Invoer gegevens'!$F$20/12))*X124*MIN(Reeksen!B124,Reeksen!D124)</f>
        <v>0</v>
      </c>
      <c r="AA124" s="98">
        <f>IF(Reeksen!D124&gt;=Reeksen!B124,0,IF(Reeksen!AK124&lt;=Reeksen!AE124,(Reeksen!B124-Reeksen!D124)*X124,0))</f>
        <v>0</v>
      </c>
      <c r="AB124" s="98">
        <f>IF(Reeksen!D124&gt;=Reeksen!B124,0,IF(Reeksen!AK124&gt;Reeksen!AE124,(Reeksen!B124-Reeksen!D124)*X124,0))</f>
        <v>0</v>
      </c>
      <c r="AC124" s="99">
        <f t="shared" ca="1" si="15"/>
        <v>0</v>
      </c>
      <c r="AD124" s="98">
        <f ca="1">IF('Invoer gegevens'!$C$17=E124,R124,IF(C124=0,0,AE123))</f>
        <v>0</v>
      </c>
      <c r="AE124" s="98">
        <f t="shared" ca="1" si="16"/>
        <v>0</v>
      </c>
      <c r="AF124" s="98">
        <f ca="1">IF('Invoer gegevens'!$C$17=E124,X124,IF(C124=0,0,AG123))</f>
        <v>0</v>
      </c>
      <c r="AG124" s="98">
        <f t="shared" ca="1" si="17"/>
        <v>0</v>
      </c>
      <c r="AH124" s="68"/>
      <c r="AI124" s="71">
        <f ca="1">IF(C124=1,Reeksen!AJ124*((F124-G124+F124)/2)*12+Reeksen!AK124*((L124-M124+L124)/2)*12,0)</f>
        <v>0</v>
      </c>
      <c r="AJ124" s="71">
        <f ca="1">-AI124*'Invoer gegevens'!$F$28</f>
        <v>0</v>
      </c>
      <c r="AK124" s="71">
        <f t="shared" ca="1" si="11"/>
        <v>0</v>
      </c>
      <c r="AL124" s="71">
        <f ca="1">IF(C124=1,Reeksen!AL124*((F124-G124+F124)/2)*12+Reeksen!AM124*((L124-M124+L124)/2)*12,0)</f>
        <v>0</v>
      </c>
      <c r="AM124" s="71">
        <f ca="1">-AL124*'Invoer gegevens'!$F$31</f>
        <v>0</v>
      </c>
      <c r="AN124" s="71">
        <f t="shared" ca="1" si="18"/>
        <v>0</v>
      </c>
      <c r="AO124" s="71">
        <f ca="1">IF(C124=1,(H124+J124+N124+P124)*Reeksen!AN124,0)</f>
        <v>0</v>
      </c>
      <c r="AP124" s="71">
        <f ca="1">-IF(C124=1,(H124+J124+N124+P124)*'Hulp - basis'!$G$550*Reeksen!H124,0)</f>
        <v>0</v>
      </c>
      <c r="AQ124" s="71">
        <f ca="1">-IF(C124=1,(F124+K124+L124+Q124)/2*'Invoer gegevens'!$I$33*Reeksen!J124,0)*2</f>
        <v>0</v>
      </c>
      <c r="AR124" s="71">
        <f ca="1">-IF(C124=1,(I124*'Invoer gegevens'!$I$34)*Reeksen!J124,0)</f>
        <v>0</v>
      </c>
      <c r="AS124" s="71">
        <f ca="1">-IF(C124=1,(F124+K124+L124+Q124)/2*'Invoer gegevens'!$I$35*Reeksen!L124,0)</f>
        <v>0</v>
      </c>
      <c r="AT124" s="71">
        <f ca="1">-IF(C124=1,IF(E124='Invoer gegevens'!$C$17,'Invoer gegevens'!$C$11,AD124)*Reeksen!S124*'Invoer gegevens'!$C$18*Reeksen!P124,0)</f>
        <v>0</v>
      </c>
      <c r="AU124" s="71">
        <f ca="1">-IF(C124=1,(F124+K124+L124+Q124)/2*'Invoer gegevens'!$I$36*Reeksen!H124,0)</f>
        <v>0</v>
      </c>
      <c r="AV124" s="71">
        <f>IF('Invoer gegevens'!$C$3="Basis",0,#REF!)</f>
        <v>0</v>
      </c>
      <c r="AW124" s="71">
        <f t="shared" ca="1" si="19"/>
        <v>0</v>
      </c>
      <c r="AX124" s="71">
        <f ca="1">IF(E124&lt;'Invoer gegevens'!$C$17+15,0,IF(E124&gt;'Invoer gegevens'!$C$17+215,0,AW124))</f>
        <v>0</v>
      </c>
      <c r="AY124" s="71">
        <f ca="1">AX124/(1+'Invoer gegevens'!$F$18)^($AZ124-('Invoer gegevens'!$C$17-'Invoer gegevens'!$C$16))/(1+'Invoer gegevens'!$C$39)^('Invoer gegevens'!$C$17-'Invoer gegevens'!$C$16)</f>
        <v>0</v>
      </c>
      <c r="AZ124" s="68">
        <f ca="1">IF(E124-'Invoer gegevens'!$C$17-14.5&lt;0,0,E124-'Invoer gegevens'!$C$17-14.5)</f>
        <v>104.5</v>
      </c>
    </row>
    <row r="125" spans="2:52" x14ac:dyDescent="0.25">
      <c r="B125" s="70">
        <f t="shared" si="20"/>
        <v>121</v>
      </c>
      <c r="C125" s="67">
        <f ca="1">IF(E125-'Invoer gegevens'!$C$17&lt;0,0,1)</f>
        <v>1</v>
      </c>
      <c r="D125" s="68">
        <f t="shared" si="21"/>
        <v>120.5</v>
      </c>
      <c r="E125" s="108">
        <f ca="1">IF('Invoer gegevens'!$C$16="","",E124+1)</f>
        <v>2139</v>
      </c>
      <c r="F125" s="84">
        <f ca="1">IF('Invoer gegevens'!$C$17=E125,'Invoer gegevens'!$C$10,IF(C125=1,K124,0))</f>
        <v>0</v>
      </c>
      <c r="G125" s="96">
        <f ca="1">IF(C125&gt;=1,F125*VLOOKUP(E125,Reeksen!$A$5:$B$76,2),0)</f>
        <v>0</v>
      </c>
      <c r="H125" s="84">
        <f ca="1">(1-('Invoer gegevens'!$F$20/12))*F125*MIN(Reeksen!B125,Reeksen!D125)</f>
        <v>0</v>
      </c>
      <c r="I125" s="84">
        <f>IF(Reeksen!D125&lt;Reeksen!B125,(Reeksen!B125-Reeksen!D125)*F125,0)</f>
        <v>0</v>
      </c>
      <c r="J125" s="84">
        <f ca="1">('Invoer gegevens'!$F$20/12)*F124*MIN(Reeksen!B124,Reeksen!D124)</f>
        <v>0</v>
      </c>
      <c r="K125" s="97">
        <f t="shared" ca="1" si="12"/>
        <v>0</v>
      </c>
      <c r="L125" s="84">
        <f ca="1">IF('Invoer gegevens'!$C$17=E125,0,IF(C125=1,Q124,0))</f>
        <v>0</v>
      </c>
      <c r="M125" s="96">
        <f ca="1">IF(C125&gt;=1,L125*VLOOKUP(E125,Reeksen!$A$5:$B$76,2),0)</f>
        <v>0</v>
      </c>
      <c r="N125" s="84">
        <f ca="1">(1-('Invoer gegevens'!$F$20/12))*L125*MIN(Reeksen!B125,Reeksen!D125)</f>
        <v>0</v>
      </c>
      <c r="O125" s="84">
        <f>IF(Reeksen!D125&lt;Reeksen!B125,(Reeksen!B125-Reeksen!D125)*L125,0)</f>
        <v>0</v>
      </c>
      <c r="P125" s="84">
        <f ca="1">('Invoer gegevens'!$F$20/12)*L124*MIN(Reeksen!B124,Reeksen!D124)</f>
        <v>0</v>
      </c>
      <c r="Q125" s="84">
        <f t="shared" ca="1" si="13"/>
        <v>0</v>
      </c>
      <c r="R125" s="82">
        <f ca="1">IF('Invoer gegevens'!$C$17=E125,'Invoer gegevens'!$C$11,IF(C125=1,W124,0))</f>
        <v>0</v>
      </c>
      <c r="S125" s="86">
        <f ca="1">IF(C125&gt;=1,R125*VLOOKUP(E125,Reeksen!$A$5:$B$76,2),0)</f>
        <v>0</v>
      </c>
      <c r="T125" s="84">
        <f ca="1">(1-('Invoer gegevens'!$F$20/12))*R125*MIN(Reeksen!B125,Reeksen!D125)</f>
        <v>0</v>
      </c>
      <c r="U125" s="84">
        <f>IF(Reeksen!D125&gt;=Reeksen!B125,0,IF(Reeksen!AK125&lt;=Reeksen!AE125,(Reeksen!B125-Reeksen!D125)*R125,0))</f>
        <v>0</v>
      </c>
      <c r="V125" s="86">
        <f>IF(Reeksen!D125&gt;=Reeksen!B125,0,IF(Reeksen!AK125&gt;Reeksen!AE125,(Reeksen!B125-Reeksen!D125)*R125,0))</f>
        <v>0</v>
      </c>
      <c r="W125" s="97">
        <f t="shared" ca="1" si="14"/>
        <v>0</v>
      </c>
      <c r="X125" s="98">
        <f ca="1">IF('Invoer gegevens'!$C$17=E125,'Invoer gegevens'!$C$10-'Invoer gegevens'!$C$11,IF(C125=1,AC124,0))</f>
        <v>0</v>
      </c>
      <c r="Y125" s="98">
        <f ca="1">IF(C125&gt;=1,X125*VLOOKUP(E125,Reeksen!$A$5:$B$76,2),0)</f>
        <v>0</v>
      </c>
      <c r="Z125" s="98">
        <f ca="1">(1-('Invoer gegevens'!$F$20/12))*X125*MIN(Reeksen!B125,Reeksen!D125)</f>
        <v>0</v>
      </c>
      <c r="AA125" s="98">
        <f>IF(Reeksen!D125&gt;=Reeksen!B125,0,IF(Reeksen!AK125&lt;=Reeksen!AE125,(Reeksen!B125-Reeksen!D125)*X125,0))</f>
        <v>0</v>
      </c>
      <c r="AB125" s="98">
        <f>IF(Reeksen!D125&gt;=Reeksen!B125,0,IF(Reeksen!AK125&gt;Reeksen!AE125,(Reeksen!B125-Reeksen!D125)*X125,0))</f>
        <v>0</v>
      </c>
      <c r="AC125" s="99">
        <f t="shared" ca="1" si="15"/>
        <v>0</v>
      </c>
      <c r="AD125" s="98">
        <f ca="1">IF('Invoer gegevens'!$C$17=E125,R125,IF(C125=0,0,AE124))</f>
        <v>0</v>
      </c>
      <c r="AE125" s="98">
        <f t="shared" ca="1" si="16"/>
        <v>0</v>
      </c>
      <c r="AF125" s="98">
        <f ca="1">IF('Invoer gegevens'!$C$17=E125,X125,IF(C125=0,0,AG124))</f>
        <v>0</v>
      </c>
      <c r="AG125" s="98">
        <f t="shared" ca="1" si="17"/>
        <v>0</v>
      </c>
      <c r="AH125" s="68"/>
      <c r="AI125" s="71">
        <f ca="1">IF(C125=1,Reeksen!AJ125*((F125-G125+F125)/2)*12+Reeksen!AK125*((L125-M125+L125)/2)*12,0)</f>
        <v>0</v>
      </c>
      <c r="AJ125" s="71">
        <f ca="1">-AI125*'Invoer gegevens'!$F$28</f>
        <v>0</v>
      </c>
      <c r="AK125" s="71">
        <f t="shared" ca="1" si="11"/>
        <v>0</v>
      </c>
      <c r="AL125" s="71">
        <f ca="1">IF(C125=1,Reeksen!AL125*((F125-G125+F125)/2)*12+Reeksen!AM125*((L125-M125+L125)/2)*12,0)</f>
        <v>0</v>
      </c>
      <c r="AM125" s="71">
        <f ca="1">-AL125*'Invoer gegevens'!$F$31</f>
        <v>0</v>
      </c>
      <c r="AN125" s="71">
        <f t="shared" ca="1" si="18"/>
        <v>0</v>
      </c>
      <c r="AO125" s="71">
        <f ca="1">IF(C125=1,(H125+J125+N125+P125)*Reeksen!AN125,0)</f>
        <v>0</v>
      </c>
      <c r="AP125" s="71">
        <f ca="1">-IF(C125=1,(H125+J125+N125+P125)*'Hulp - basis'!$G$550*Reeksen!H125,0)</f>
        <v>0</v>
      </c>
      <c r="AQ125" s="71">
        <f ca="1">-IF(C125=1,(F125+K125+L125+Q125)/2*'Invoer gegevens'!$I$33*Reeksen!J125,0)*2</f>
        <v>0</v>
      </c>
      <c r="AR125" s="71">
        <f ca="1">-IF(C125=1,(I125*'Invoer gegevens'!$I$34)*Reeksen!J125,0)</f>
        <v>0</v>
      </c>
      <c r="AS125" s="71">
        <f ca="1">-IF(C125=1,(F125+K125+L125+Q125)/2*'Invoer gegevens'!$I$35*Reeksen!L125,0)</f>
        <v>0</v>
      </c>
      <c r="AT125" s="71">
        <f ca="1">-IF(C125=1,IF(E125='Invoer gegevens'!$C$17,'Invoer gegevens'!$C$11,AD125)*Reeksen!S125*'Invoer gegevens'!$C$18*Reeksen!P125,0)</f>
        <v>0</v>
      </c>
      <c r="AU125" s="71">
        <f ca="1">-IF(C125=1,(F125+K125+L125+Q125)/2*'Invoer gegevens'!$I$36*Reeksen!H125,0)</f>
        <v>0</v>
      </c>
      <c r="AV125" s="71">
        <f>IF('Invoer gegevens'!$C$3="Basis",0,#REF!)</f>
        <v>0</v>
      </c>
      <c r="AW125" s="71">
        <f t="shared" ca="1" si="19"/>
        <v>0</v>
      </c>
      <c r="AX125" s="71">
        <f ca="1">IF(E125&lt;'Invoer gegevens'!$C$17+15,0,IF(E125&gt;'Invoer gegevens'!$C$17+215,0,AW125))</f>
        <v>0</v>
      </c>
      <c r="AY125" s="71">
        <f ca="1">AX125/(1+'Invoer gegevens'!$F$18)^($AZ125-('Invoer gegevens'!$C$17-'Invoer gegevens'!$C$16))/(1+'Invoer gegevens'!$C$39)^('Invoer gegevens'!$C$17-'Invoer gegevens'!$C$16)</f>
        <v>0</v>
      </c>
      <c r="AZ125" s="68">
        <f ca="1">IF(E125-'Invoer gegevens'!$C$17-14.5&lt;0,0,E125-'Invoer gegevens'!$C$17-14.5)</f>
        <v>105.5</v>
      </c>
    </row>
    <row r="126" spans="2:52" x14ac:dyDescent="0.25">
      <c r="B126" s="70">
        <f t="shared" si="20"/>
        <v>122</v>
      </c>
      <c r="C126" s="67">
        <f ca="1">IF(E126-'Invoer gegevens'!$C$17&lt;0,0,1)</f>
        <v>1</v>
      </c>
      <c r="D126" s="68">
        <f t="shared" si="21"/>
        <v>121.5</v>
      </c>
      <c r="E126" s="108">
        <f ca="1">IF('Invoer gegevens'!$C$16="","",E125+1)</f>
        <v>2140</v>
      </c>
      <c r="F126" s="84">
        <f ca="1">IF('Invoer gegevens'!$C$17=E126,'Invoer gegevens'!$C$10,IF(C126=1,K125,0))</f>
        <v>0</v>
      </c>
      <c r="G126" s="96">
        <f ca="1">IF(C126&gt;=1,F126*VLOOKUP(E126,Reeksen!$A$5:$B$76,2),0)</f>
        <v>0</v>
      </c>
      <c r="H126" s="84">
        <f ca="1">(1-('Invoer gegevens'!$F$20/12))*F126*MIN(Reeksen!B126,Reeksen!D126)</f>
        <v>0</v>
      </c>
      <c r="I126" s="84">
        <f>IF(Reeksen!D126&lt;Reeksen!B126,(Reeksen!B126-Reeksen!D126)*F126,0)</f>
        <v>0</v>
      </c>
      <c r="J126" s="84">
        <f ca="1">('Invoer gegevens'!$F$20/12)*F125*MIN(Reeksen!B125,Reeksen!D125)</f>
        <v>0</v>
      </c>
      <c r="K126" s="97">
        <f t="shared" ca="1" si="12"/>
        <v>0</v>
      </c>
      <c r="L126" s="84">
        <f ca="1">IF('Invoer gegevens'!$C$17=E126,0,IF(C126=1,Q125,0))</f>
        <v>0</v>
      </c>
      <c r="M126" s="96">
        <f ca="1">IF(C126&gt;=1,L126*VLOOKUP(E126,Reeksen!$A$5:$B$76,2),0)</f>
        <v>0</v>
      </c>
      <c r="N126" s="84">
        <f ca="1">(1-('Invoer gegevens'!$F$20/12))*L126*MIN(Reeksen!B126,Reeksen!D126)</f>
        <v>0</v>
      </c>
      <c r="O126" s="84">
        <f>IF(Reeksen!D126&lt;Reeksen!B126,(Reeksen!B126-Reeksen!D126)*L126,0)</f>
        <v>0</v>
      </c>
      <c r="P126" s="84">
        <f ca="1">('Invoer gegevens'!$F$20/12)*L125*MIN(Reeksen!B125,Reeksen!D125)</f>
        <v>0</v>
      </c>
      <c r="Q126" s="84">
        <f t="shared" ca="1" si="13"/>
        <v>0</v>
      </c>
      <c r="R126" s="82">
        <f ca="1">IF('Invoer gegevens'!$C$17=E126,'Invoer gegevens'!$C$11,IF(C126=1,W125,0))</f>
        <v>0</v>
      </c>
      <c r="S126" s="86">
        <f ca="1">IF(C126&gt;=1,R126*VLOOKUP(E126,Reeksen!$A$5:$B$76,2),0)</f>
        <v>0</v>
      </c>
      <c r="T126" s="84">
        <f ca="1">(1-('Invoer gegevens'!$F$20/12))*R126*MIN(Reeksen!B126,Reeksen!D126)</f>
        <v>0</v>
      </c>
      <c r="U126" s="84">
        <f>IF(Reeksen!D126&gt;=Reeksen!B126,0,IF(Reeksen!AK126&lt;=Reeksen!AE126,(Reeksen!B126-Reeksen!D126)*R126,0))</f>
        <v>0</v>
      </c>
      <c r="V126" s="86">
        <f>IF(Reeksen!D126&gt;=Reeksen!B126,0,IF(Reeksen!AK126&gt;Reeksen!AE126,(Reeksen!B126-Reeksen!D126)*R126,0))</f>
        <v>0</v>
      </c>
      <c r="W126" s="97">
        <f t="shared" ca="1" si="14"/>
        <v>0</v>
      </c>
      <c r="X126" s="98">
        <f ca="1">IF('Invoer gegevens'!$C$17=E126,'Invoer gegevens'!$C$10-'Invoer gegevens'!$C$11,IF(C126=1,AC125,0))</f>
        <v>0</v>
      </c>
      <c r="Y126" s="98">
        <f ca="1">IF(C126&gt;=1,X126*VLOOKUP(E126,Reeksen!$A$5:$B$76,2),0)</f>
        <v>0</v>
      </c>
      <c r="Z126" s="98">
        <f ca="1">(1-('Invoer gegevens'!$F$20/12))*X126*MIN(Reeksen!B126,Reeksen!D126)</f>
        <v>0</v>
      </c>
      <c r="AA126" s="98">
        <f>IF(Reeksen!D126&gt;=Reeksen!B126,0,IF(Reeksen!AK126&lt;=Reeksen!AE126,(Reeksen!B126-Reeksen!D126)*X126,0))</f>
        <v>0</v>
      </c>
      <c r="AB126" s="98">
        <f>IF(Reeksen!D126&gt;=Reeksen!B126,0,IF(Reeksen!AK126&gt;Reeksen!AE126,(Reeksen!B126-Reeksen!D126)*X126,0))</f>
        <v>0</v>
      </c>
      <c r="AC126" s="99">
        <f t="shared" ca="1" si="15"/>
        <v>0</v>
      </c>
      <c r="AD126" s="98">
        <f ca="1">IF('Invoer gegevens'!$C$17=E126,R126,IF(C126=0,0,AE125))</f>
        <v>0</v>
      </c>
      <c r="AE126" s="98">
        <f t="shared" ca="1" si="16"/>
        <v>0</v>
      </c>
      <c r="AF126" s="98">
        <f ca="1">IF('Invoer gegevens'!$C$17=E126,X126,IF(C126=0,0,AG125))</f>
        <v>0</v>
      </c>
      <c r="AG126" s="98">
        <f t="shared" ca="1" si="17"/>
        <v>0</v>
      </c>
      <c r="AH126" s="68"/>
      <c r="AI126" s="71">
        <f ca="1">IF(C126=1,Reeksen!AJ126*((F126-G126+F126)/2)*12+Reeksen!AK126*((L126-M126+L126)/2)*12,0)</f>
        <v>0</v>
      </c>
      <c r="AJ126" s="71">
        <f ca="1">-AI126*'Invoer gegevens'!$F$28</f>
        <v>0</v>
      </c>
      <c r="AK126" s="71">
        <f t="shared" ca="1" si="11"/>
        <v>0</v>
      </c>
      <c r="AL126" s="71">
        <f ca="1">IF(C126=1,Reeksen!AL126*((F126-G126+F126)/2)*12+Reeksen!AM126*((L126-M126+L126)/2)*12,0)</f>
        <v>0</v>
      </c>
      <c r="AM126" s="71">
        <f ca="1">-AL126*'Invoer gegevens'!$F$31</f>
        <v>0</v>
      </c>
      <c r="AN126" s="71">
        <f t="shared" ca="1" si="18"/>
        <v>0</v>
      </c>
      <c r="AO126" s="71">
        <f ca="1">IF(C126=1,(H126+J126+N126+P126)*Reeksen!AN126,0)</f>
        <v>0</v>
      </c>
      <c r="AP126" s="71">
        <f ca="1">-IF(C126=1,(H126+J126+N126+P126)*'Hulp - basis'!$G$550*Reeksen!H126,0)</f>
        <v>0</v>
      </c>
      <c r="AQ126" s="71">
        <f ca="1">-IF(C126=1,(F126+K126+L126+Q126)/2*'Invoer gegevens'!$I$33*Reeksen!J126,0)*2</f>
        <v>0</v>
      </c>
      <c r="AR126" s="71">
        <f ca="1">-IF(C126=1,(I126*'Invoer gegevens'!$I$34)*Reeksen!J126,0)</f>
        <v>0</v>
      </c>
      <c r="AS126" s="71">
        <f ca="1">-IF(C126=1,(F126+K126+L126+Q126)/2*'Invoer gegevens'!$I$35*Reeksen!L126,0)</f>
        <v>0</v>
      </c>
      <c r="AT126" s="71">
        <f ca="1">-IF(C126=1,IF(E126='Invoer gegevens'!$C$17,'Invoer gegevens'!$C$11,AD126)*Reeksen!S126*'Invoer gegevens'!$C$18*Reeksen!P126,0)</f>
        <v>0</v>
      </c>
      <c r="AU126" s="71">
        <f ca="1">-IF(C126=1,(F126+K126+L126+Q126)/2*'Invoer gegevens'!$I$36*Reeksen!H126,0)</f>
        <v>0</v>
      </c>
      <c r="AV126" s="71">
        <f>IF('Invoer gegevens'!$C$3="Basis",0,#REF!)</f>
        <v>0</v>
      </c>
      <c r="AW126" s="71">
        <f t="shared" ca="1" si="19"/>
        <v>0</v>
      </c>
      <c r="AX126" s="71">
        <f ca="1">IF(E126&lt;'Invoer gegevens'!$C$17+15,0,IF(E126&gt;'Invoer gegevens'!$C$17+215,0,AW126))</f>
        <v>0</v>
      </c>
      <c r="AY126" s="71">
        <f ca="1">AX126/(1+'Invoer gegevens'!$F$18)^($AZ126-('Invoer gegevens'!$C$17-'Invoer gegevens'!$C$16))/(1+'Invoer gegevens'!$C$39)^('Invoer gegevens'!$C$17-'Invoer gegevens'!$C$16)</f>
        <v>0</v>
      </c>
      <c r="AZ126" s="68">
        <f ca="1">IF(E126-'Invoer gegevens'!$C$17-14.5&lt;0,0,E126-'Invoer gegevens'!$C$17-14.5)</f>
        <v>106.5</v>
      </c>
    </row>
    <row r="127" spans="2:52" x14ac:dyDescent="0.25">
      <c r="B127" s="70">
        <f t="shared" si="20"/>
        <v>123</v>
      </c>
      <c r="C127" s="67">
        <f ca="1">IF(E127-'Invoer gegevens'!$C$17&lt;0,0,1)</f>
        <v>1</v>
      </c>
      <c r="D127" s="68">
        <f t="shared" si="21"/>
        <v>122.5</v>
      </c>
      <c r="E127" s="108">
        <f ca="1">IF('Invoer gegevens'!$C$16="","",E126+1)</f>
        <v>2141</v>
      </c>
      <c r="F127" s="84">
        <f ca="1">IF('Invoer gegevens'!$C$17=E127,'Invoer gegevens'!$C$10,IF(C127=1,K126,0))</f>
        <v>0</v>
      </c>
      <c r="G127" s="96">
        <f ca="1">IF(C127&gt;=1,F127*VLOOKUP(E127,Reeksen!$A$5:$B$76,2),0)</f>
        <v>0</v>
      </c>
      <c r="H127" s="84">
        <f ca="1">(1-('Invoer gegevens'!$F$20/12))*F127*MIN(Reeksen!B127,Reeksen!D127)</f>
        <v>0</v>
      </c>
      <c r="I127" s="84">
        <f>IF(Reeksen!D127&lt;Reeksen!B127,(Reeksen!B127-Reeksen!D127)*F127,0)</f>
        <v>0</v>
      </c>
      <c r="J127" s="84">
        <f ca="1">('Invoer gegevens'!$F$20/12)*F126*MIN(Reeksen!B126,Reeksen!D126)</f>
        <v>0</v>
      </c>
      <c r="K127" s="97">
        <f t="shared" ca="1" si="12"/>
        <v>0</v>
      </c>
      <c r="L127" s="84">
        <f ca="1">IF('Invoer gegevens'!$C$17=E127,0,IF(C127=1,Q126,0))</f>
        <v>0</v>
      </c>
      <c r="M127" s="96">
        <f ca="1">IF(C127&gt;=1,L127*VLOOKUP(E127,Reeksen!$A$5:$B$76,2),0)</f>
        <v>0</v>
      </c>
      <c r="N127" s="84">
        <f ca="1">(1-('Invoer gegevens'!$F$20/12))*L127*MIN(Reeksen!B127,Reeksen!D127)</f>
        <v>0</v>
      </c>
      <c r="O127" s="84">
        <f>IF(Reeksen!D127&lt;Reeksen!B127,(Reeksen!B127-Reeksen!D127)*L127,0)</f>
        <v>0</v>
      </c>
      <c r="P127" s="84">
        <f ca="1">('Invoer gegevens'!$F$20/12)*L126*MIN(Reeksen!B126,Reeksen!D126)</f>
        <v>0</v>
      </c>
      <c r="Q127" s="84">
        <f t="shared" ca="1" si="13"/>
        <v>0</v>
      </c>
      <c r="R127" s="82">
        <f ca="1">IF('Invoer gegevens'!$C$17=E127,'Invoer gegevens'!$C$11,IF(C127=1,W126,0))</f>
        <v>0</v>
      </c>
      <c r="S127" s="86">
        <f ca="1">IF(C127&gt;=1,R127*VLOOKUP(E127,Reeksen!$A$5:$B$76,2),0)</f>
        <v>0</v>
      </c>
      <c r="T127" s="84">
        <f ca="1">(1-('Invoer gegevens'!$F$20/12))*R127*MIN(Reeksen!B127,Reeksen!D127)</f>
        <v>0</v>
      </c>
      <c r="U127" s="84">
        <f>IF(Reeksen!D127&gt;=Reeksen!B127,0,IF(Reeksen!AK127&lt;=Reeksen!AE127,(Reeksen!B127-Reeksen!D127)*R127,0))</f>
        <v>0</v>
      </c>
      <c r="V127" s="86">
        <f>IF(Reeksen!D127&gt;=Reeksen!B127,0,IF(Reeksen!AK127&gt;Reeksen!AE127,(Reeksen!B127-Reeksen!D127)*R127,0))</f>
        <v>0</v>
      </c>
      <c r="W127" s="97">
        <f t="shared" ca="1" si="14"/>
        <v>0</v>
      </c>
      <c r="X127" s="98">
        <f ca="1">IF('Invoer gegevens'!$C$17=E127,'Invoer gegevens'!$C$10-'Invoer gegevens'!$C$11,IF(C127=1,AC126,0))</f>
        <v>0</v>
      </c>
      <c r="Y127" s="98">
        <f ca="1">IF(C127&gt;=1,X127*VLOOKUP(E127,Reeksen!$A$5:$B$76,2),0)</f>
        <v>0</v>
      </c>
      <c r="Z127" s="98">
        <f ca="1">(1-('Invoer gegevens'!$F$20/12))*X127*MIN(Reeksen!B127,Reeksen!D127)</f>
        <v>0</v>
      </c>
      <c r="AA127" s="98">
        <f>IF(Reeksen!D127&gt;=Reeksen!B127,0,IF(Reeksen!AK127&lt;=Reeksen!AE127,(Reeksen!B127-Reeksen!D127)*X127,0))</f>
        <v>0</v>
      </c>
      <c r="AB127" s="98">
        <f>IF(Reeksen!D127&gt;=Reeksen!B127,0,IF(Reeksen!AK127&gt;Reeksen!AE127,(Reeksen!B127-Reeksen!D127)*X127,0))</f>
        <v>0</v>
      </c>
      <c r="AC127" s="99">
        <f t="shared" ca="1" si="15"/>
        <v>0</v>
      </c>
      <c r="AD127" s="98">
        <f ca="1">IF('Invoer gegevens'!$C$17=E127,R127,IF(C127=0,0,AE126))</f>
        <v>0</v>
      </c>
      <c r="AE127" s="98">
        <f t="shared" ca="1" si="16"/>
        <v>0</v>
      </c>
      <c r="AF127" s="98">
        <f ca="1">IF('Invoer gegevens'!$C$17=E127,X127,IF(C127=0,0,AG126))</f>
        <v>0</v>
      </c>
      <c r="AG127" s="98">
        <f t="shared" ca="1" si="17"/>
        <v>0</v>
      </c>
      <c r="AH127" s="68"/>
      <c r="AI127" s="71">
        <f ca="1">IF(C127=1,Reeksen!AJ127*((F127-G127+F127)/2)*12+Reeksen!AK127*((L127-M127+L127)/2)*12,0)</f>
        <v>0</v>
      </c>
      <c r="AJ127" s="71">
        <f ca="1">-AI127*'Invoer gegevens'!$F$28</f>
        <v>0</v>
      </c>
      <c r="AK127" s="71">
        <f t="shared" ca="1" si="11"/>
        <v>0</v>
      </c>
      <c r="AL127" s="71">
        <f ca="1">IF(C127=1,Reeksen!AL127*((F127-G127+F127)/2)*12+Reeksen!AM127*((L127-M127+L127)/2)*12,0)</f>
        <v>0</v>
      </c>
      <c r="AM127" s="71">
        <f ca="1">-AL127*'Invoer gegevens'!$F$31</f>
        <v>0</v>
      </c>
      <c r="AN127" s="71">
        <f t="shared" ca="1" si="18"/>
        <v>0</v>
      </c>
      <c r="AO127" s="71">
        <f ca="1">IF(C127=1,(H127+J127+N127+P127)*Reeksen!AN127,0)</f>
        <v>0</v>
      </c>
      <c r="AP127" s="71">
        <f ca="1">-IF(C127=1,(H127+J127+N127+P127)*'Hulp - basis'!$G$550*Reeksen!H127,0)</f>
        <v>0</v>
      </c>
      <c r="AQ127" s="71">
        <f ca="1">-IF(C127=1,(F127+K127+L127+Q127)/2*'Invoer gegevens'!$I$33*Reeksen!J127,0)*2</f>
        <v>0</v>
      </c>
      <c r="AR127" s="71">
        <f ca="1">-IF(C127=1,(I127*'Invoer gegevens'!$I$34)*Reeksen!J127,0)</f>
        <v>0</v>
      </c>
      <c r="AS127" s="71">
        <f ca="1">-IF(C127=1,(F127+K127+L127+Q127)/2*'Invoer gegevens'!$I$35*Reeksen!L127,0)</f>
        <v>0</v>
      </c>
      <c r="AT127" s="71">
        <f ca="1">-IF(C127=1,IF(E127='Invoer gegevens'!$C$17,'Invoer gegevens'!$C$11,AD127)*Reeksen!S127*'Invoer gegevens'!$C$18*Reeksen!P127,0)</f>
        <v>0</v>
      </c>
      <c r="AU127" s="71">
        <f ca="1">-IF(C127=1,(F127+K127+L127+Q127)/2*'Invoer gegevens'!$I$36*Reeksen!H127,0)</f>
        <v>0</v>
      </c>
      <c r="AV127" s="71">
        <f>IF('Invoer gegevens'!$C$3="Basis",0,#REF!)</f>
        <v>0</v>
      </c>
      <c r="AW127" s="71">
        <f t="shared" ca="1" si="19"/>
        <v>0</v>
      </c>
      <c r="AX127" s="71">
        <f ca="1">IF(E127&lt;'Invoer gegevens'!$C$17+15,0,IF(E127&gt;'Invoer gegevens'!$C$17+215,0,AW127))</f>
        <v>0</v>
      </c>
      <c r="AY127" s="71">
        <f ca="1">AX127/(1+'Invoer gegevens'!$F$18)^($AZ127-('Invoer gegevens'!$C$17-'Invoer gegevens'!$C$16))/(1+'Invoer gegevens'!$C$39)^('Invoer gegevens'!$C$17-'Invoer gegevens'!$C$16)</f>
        <v>0</v>
      </c>
      <c r="AZ127" s="68">
        <f ca="1">IF(E127-'Invoer gegevens'!$C$17-14.5&lt;0,0,E127-'Invoer gegevens'!$C$17-14.5)</f>
        <v>107.5</v>
      </c>
    </row>
    <row r="128" spans="2:52" x14ac:dyDescent="0.25">
      <c r="B128" s="70">
        <f t="shared" si="20"/>
        <v>124</v>
      </c>
      <c r="C128" s="67">
        <f ca="1">IF(E128-'Invoer gegevens'!$C$17&lt;0,0,1)</f>
        <v>1</v>
      </c>
      <c r="D128" s="68">
        <f t="shared" si="21"/>
        <v>123.5</v>
      </c>
      <c r="E128" s="108">
        <f ca="1">IF('Invoer gegevens'!$C$16="","",E127+1)</f>
        <v>2142</v>
      </c>
      <c r="F128" s="84">
        <f ca="1">IF('Invoer gegevens'!$C$17=E128,'Invoer gegevens'!$C$10,IF(C128=1,K127,0))</f>
        <v>0</v>
      </c>
      <c r="G128" s="96">
        <f ca="1">IF(C128&gt;=1,F128*VLOOKUP(E128,Reeksen!$A$5:$B$76,2),0)</f>
        <v>0</v>
      </c>
      <c r="H128" s="84">
        <f ca="1">(1-('Invoer gegevens'!$F$20/12))*F128*MIN(Reeksen!B128,Reeksen!D128)</f>
        <v>0</v>
      </c>
      <c r="I128" s="84">
        <f>IF(Reeksen!D128&lt;Reeksen!B128,(Reeksen!B128-Reeksen!D128)*F128,0)</f>
        <v>0</v>
      </c>
      <c r="J128" s="84">
        <f ca="1">('Invoer gegevens'!$F$20/12)*F127*MIN(Reeksen!B127,Reeksen!D127)</f>
        <v>0</v>
      </c>
      <c r="K128" s="97">
        <f t="shared" ca="1" si="12"/>
        <v>0</v>
      </c>
      <c r="L128" s="84">
        <f ca="1">IF('Invoer gegevens'!$C$17=E128,0,IF(C128=1,Q127,0))</f>
        <v>0</v>
      </c>
      <c r="M128" s="96">
        <f ca="1">IF(C128&gt;=1,L128*VLOOKUP(E128,Reeksen!$A$5:$B$76,2),0)</f>
        <v>0</v>
      </c>
      <c r="N128" s="84">
        <f ca="1">(1-('Invoer gegevens'!$F$20/12))*L128*MIN(Reeksen!B128,Reeksen!D128)</f>
        <v>0</v>
      </c>
      <c r="O128" s="84">
        <f>IF(Reeksen!D128&lt;Reeksen!B128,(Reeksen!B128-Reeksen!D128)*L128,0)</f>
        <v>0</v>
      </c>
      <c r="P128" s="84">
        <f ca="1">('Invoer gegevens'!$F$20/12)*L127*MIN(Reeksen!B127,Reeksen!D127)</f>
        <v>0</v>
      </c>
      <c r="Q128" s="84">
        <f t="shared" ca="1" si="13"/>
        <v>0</v>
      </c>
      <c r="R128" s="82">
        <f ca="1">IF('Invoer gegevens'!$C$17=E128,'Invoer gegevens'!$C$11,IF(C128=1,W127,0))</f>
        <v>0</v>
      </c>
      <c r="S128" s="86">
        <f ca="1">IF(C128&gt;=1,R128*VLOOKUP(E128,Reeksen!$A$5:$B$76,2),0)</f>
        <v>0</v>
      </c>
      <c r="T128" s="84">
        <f ca="1">(1-('Invoer gegevens'!$F$20/12))*R128*MIN(Reeksen!B128,Reeksen!D128)</f>
        <v>0</v>
      </c>
      <c r="U128" s="84">
        <f>IF(Reeksen!D128&gt;=Reeksen!B128,0,IF(Reeksen!AK128&lt;=Reeksen!AE128,(Reeksen!B128-Reeksen!D128)*R128,0))</f>
        <v>0</v>
      </c>
      <c r="V128" s="86">
        <f>IF(Reeksen!D128&gt;=Reeksen!B128,0,IF(Reeksen!AK128&gt;Reeksen!AE128,(Reeksen!B128-Reeksen!D128)*R128,0))</f>
        <v>0</v>
      </c>
      <c r="W128" s="97">
        <f t="shared" ca="1" si="14"/>
        <v>0</v>
      </c>
      <c r="X128" s="98">
        <f ca="1">IF('Invoer gegevens'!$C$17=E128,'Invoer gegevens'!$C$10-'Invoer gegevens'!$C$11,IF(C128=1,AC127,0))</f>
        <v>0</v>
      </c>
      <c r="Y128" s="98">
        <f ca="1">IF(C128&gt;=1,X128*VLOOKUP(E128,Reeksen!$A$5:$B$76,2),0)</f>
        <v>0</v>
      </c>
      <c r="Z128" s="98">
        <f ca="1">(1-('Invoer gegevens'!$F$20/12))*X128*MIN(Reeksen!B128,Reeksen!D128)</f>
        <v>0</v>
      </c>
      <c r="AA128" s="98">
        <f>IF(Reeksen!D128&gt;=Reeksen!B128,0,IF(Reeksen!AK128&lt;=Reeksen!AE128,(Reeksen!B128-Reeksen!D128)*X128,0))</f>
        <v>0</v>
      </c>
      <c r="AB128" s="98">
        <f>IF(Reeksen!D128&gt;=Reeksen!B128,0,IF(Reeksen!AK128&gt;Reeksen!AE128,(Reeksen!B128-Reeksen!D128)*X128,0))</f>
        <v>0</v>
      </c>
      <c r="AC128" s="99">
        <f t="shared" ca="1" si="15"/>
        <v>0</v>
      </c>
      <c r="AD128" s="98">
        <f ca="1">IF('Invoer gegevens'!$C$17=E128,R128,IF(C128=0,0,AE127))</f>
        <v>0</v>
      </c>
      <c r="AE128" s="98">
        <f t="shared" ca="1" si="16"/>
        <v>0</v>
      </c>
      <c r="AF128" s="98">
        <f ca="1">IF('Invoer gegevens'!$C$17=E128,X128,IF(C128=0,0,AG127))</f>
        <v>0</v>
      </c>
      <c r="AG128" s="98">
        <f t="shared" ca="1" si="17"/>
        <v>0</v>
      </c>
      <c r="AH128" s="68"/>
      <c r="AI128" s="71">
        <f ca="1">IF(C128=1,Reeksen!AJ128*((F128-G128+F128)/2)*12+Reeksen!AK128*((L128-M128+L128)/2)*12,0)</f>
        <v>0</v>
      </c>
      <c r="AJ128" s="71">
        <f ca="1">-AI128*'Invoer gegevens'!$F$28</f>
        <v>0</v>
      </c>
      <c r="AK128" s="71">
        <f t="shared" ca="1" si="11"/>
        <v>0</v>
      </c>
      <c r="AL128" s="71">
        <f ca="1">IF(C128=1,Reeksen!AL128*((F128-G128+F128)/2)*12+Reeksen!AM128*((L128-M128+L128)/2)*12,0)</f>
        <v>0</v>
      </c>
      <c r="AM128" s="71">
        <f ca="1">-AL128*'Invoer gegevens'!$F$31</f>
        <v>0</v>
      </c>
      <c r="AN128" s="71">
        <f t="shared" ca="1" si="18"/>
        <v>0</v>
      </c>
      <c r="AO128" s="71">
        <f ca="1">IF(C128=1,(H128+J128+N128+P128)*Reeksen!AN128,0)</f>
        <v>0</v>
      </c>
      <c r="AP128" s="71">
        <f ca="1">-IF(C128=1,(H128+J128+N128+P128)*'Hulp - basis'!$G$550*Reeksen!H128,0)</f>
        <v>0</v>
      </c>
      <c r="AQ128" s="71">
        <f ca="1">-IF(C128=1,(F128+K128+L128+Q128)/2*'Invoer gegevens'!$I$33*Reeksen!J128,0)*2</f>
        <v>0</v>
      </c>
      <c r="AR128" s="71">
        <f ca="1">-IF(C128=1,(I128*'Invoer gegevens'!$I$34)*Reeksen!J128,0)</f>
        <v>0</v>
      </c>
      <c r="AS128" s="71">
        <f ca="1">-IF(C128=1,(F128+K128+L128+Q128)/2*'Invoer gegevens'!$I$35*Reeksen!L128,0)</f>
        <v>0</v>
      </c>
      <c r="AT128" s="71">
        <f ca="1">-IF(C128=1,IF(E128='Invoer gegevens'!$C$17,'Invoer gegevens'!$C$11,AD128)*Reeksen!S128*'Invoer gegevens'!$C$18*Reeksen!P128,0)</f>
        <v>0</v>
      </c>
      <c r="AU128" s="71">
        <f ca="1">-IF(C128=1,(F128+K128+L128+Q128)/2*'Invoer gegevens'!$I$36*Reeksen!H128,0)</f>
        <v>0</v>
      </c>
      <c r="AV128" s="71">
        <f>IF('Invoer gegevens'!$C$3="Basis",0,#REF!)</f>
        <v>0</v>
      </c>
      <c r="AW128" s="71">
        <f t="shared" ca="1" si="19"/>
        <v>0</v>
      </c>
      <c r="AX128" s="71">
        <f ca="1">IF(E128&lt;'Invoer gegevens'!$C$17+15,0,IF(E128&gt;'Invoer gegevens'!$C$17+215,0,AW128))</f>
        <v>0</v>
      </c>
      <c r="AY128" s="71">
        <f ca="1">AX128/(1+'Invoer gegevens'!$F$18)^($AZ128-('Invoer gegevens'!$C$17-'Invoer gegevens'!$C$16))/(1+'Invoer gegevens'!$C$39)^('Invoer gegevens'!$C$17-'Invoer gegevens'!$C$16)</f>
        <v>0</v>
      </c>
      <c r="AZ128" s="68">
        <f ca="1">IF(E128-'Invoer gegevens'!$C$17-14.5&lt;0,0,E128-'Invoer gegevens'!$C$17-14.5)</f>
        <v>108.5</v>
      </c>
    </row>
    <row r="129" spans="2:52" x14ac:dyDescent="0.25">
      <c r="B129" s="70">
        <f t="shared" si="20"/>
        <v>125</v>
      </c>
      <c r="C129" s="67">
        <f ca="1">IF(E129-'Invoer gegevens'!$C$17&lt;0,0,1)</f>
        <v>1</v>
      </c>
      <c r="D129" s="68">
        <f t="shared" si="21"/>
        <v>124.5</v>
      </c>
      <c r="E129" s="108">
        <f ca="1">IF('Invoer gegevens'!$C$16="","",E128+1)</f>
        <v>2143</v>
      </c>
      <c r="F129" s="84">
        <f ca="1">IF('Invoer gegevens'!$C$17=E129,'Invoer gegevens'!$C$10,IF(C129=1,K128,0))</f>
        <v>0</v>
      </c>
      <c r="G129" s="96">
        <f ca="1">IF(C129&gt;=1,F129*VLOOKUP(E129,Reeksen!$A$5:$B$76,2),0)</f>
        <v>0</v>
      </c>
      <c r="H129" s="84">
        <f ca="1">(1-('Invoer gegevens'!$F$20/12))*F129*MIN(Reeksen!B129,Reeksen!D129)</f>
        <v>0</v>
      </c>
      <c r="I129" s="84">
        <f>IF(Reeksen!D129&lt;Reeksen!B129,(Reeksen!B129-Reeksen!D129)*F129,0)</f>
        <v>0</v>
      </c>
      <c r="J129" s="84">
        <f ca="1">('Invoer gegevens'!$F$20/12)*F128*MIN(Reeksen!B128,Reeksen!D128)</f>
        <v>0</v>
      </c>
      <c r="K129" s="97">
        <f t="shared" ca="1" si="12"/>
        <v>0</v>
      </c>
      <c r="L129" s="84">
        <f ca="1">IF('Invoer gegevens'!$C$17=E129,0,IF(C129=1,Q128,0))</f>
        <v>0</v>
      </c>
      <c r="M129" s="96">
        <f ca="1">IF(C129&gt;=1,L129*VLOOKUP(E129,Reeksen!$A$5:$B$76,2),0)</f>
        <v>0</v>
      </c>
      <c r="N129" s="84">
        <f ca="1">(1-('Invoer gegevens'!$F$20/12))*L129*MIN(Reeksen!B129,Reeksen!D129)</f>
        <v>0</v>
      </c>
      <c r="O129" s="84">
        <f>IF(Reeksen!D129&lt;Reeksen!B129,(Reeksen!B129-Reeksen!D129)*L129,0)</f>
        <v>0</v>
      </c>
      <c r="P129" s="84">
        <f ca="1">('Invoer gegevens'!$F$20/12)*L128*MIN(Reeksen!B128,Reeksen!D128)</f>
        <v>0</v>
      </c>
      <c r="Q129" s="84">
        <f t="shared" ca="1" si="13"/>
        <v>0</v>
      </c>
      <c r="R129" s="82">
        <f ca="1">IF('Invoer gegevens'!$C$17=E129,'Invoer gegevens'!$C$11,IF(C129=1,W128,0))</f>
        <v>0</v>
      </c>
      <c r="S129" s="86">
        <f ca="1">IF(C129&gt;=1,R129*VLOOKUP(E129,Reeksen!$A$5:$B$76,2),0)</f>
        <v>0</v>
      </c>
      <c r="T129" s="84">
        <f ca="1">(1-('Invoer gegevens'!$F$20/12))*R129*MIN(Reeksen!B129,Reeksen!D129)</f>
        <v>0</v>
      </c>
      <c r="U129" s="84">
        <f>IF(Reeksen!D129&gt;=Reeksen!B129,0,IF(Reeksen!AK129&lt;=Reeksen!AE129,(Reeksen!B129-Reeksen!D129)*R129,0))</f>
        <v>0</v>
      </c>
      <c r="V129" s="86">
        <f>IF(Reeksen!D129&gt;=Reeksen!B129,0,IF(Reeksen!AK129&gt;Reeksen!AE129,(Reeksen!B129-Reeksen!D129)*R129,0))</f>
        <v>0</v>
      </c>
      <c r="W129" s="97">
        <f t="shared" ca="1" si="14"/>
        <v>0</v>
      </c>
      <c r="X129" s="98">
        <f ca="1">IF('Invoer gegevens'!$C$17=E129,'Invoer gegevens'!$C$10-'Invoer gegevens'!$C$11,IF(C129=1,AC128,0))</f>
        <v>0</v>
      </c>
      <c r="Y129" s="98">
        <f ca="1">IF(C129&gt;=1,X129*VLOOKUP(E129,Reeksen!$A$5:$B$76,2),0)</f>
        <v>0</v>
      </c>
      <c r="Z129" s="98">
        <f ca="1">(1-('Invoer gegevens'!$F$20/12))*X129*MIN(Reeksen!B129,Reeksen!D129)</f>
        <v>0</v>
      </c>
      <c r="AA129" s="98">
        <f>IF(Reeksen!D129&gt;=Reeksen!B129,0,IF(Reeksen!AK129&lt;=Reeksen!AE129,(Reeksen!B129-Reeksen!D129)*X129,0))</f>
        <v>0</v>
      </c>
      <c r="AB129" s="98">
        <f>IF(Reeksen!D129&gt;=Reeksen!B129,0,IF(Reeksen!AK129&gt;Reeksen!AE129,(Reeksen!B129-Reeksen!D129)*X129,0))</f>
        <v>0</v>
      </c>
      <c r="AC129" s="99">
        <f t="shared" ca="1" si="15"/>
        <v>0</v>
      </c>
      <c r="AD129" s="98">
        <f ca="1">IF('Invoer gegevens'!$C$17=E129,R129,IF(C129=0,0,AE128))</f>
        <v>0</v>
      </c>
      <c r="AE129" s="98">
        <f t="shared" ca="1" si="16"/>
        <v>0</v>
      </c>
      <c r="AF129" s="98">
        <f ca="1">IF('Invoer gegevens'!$C$17=E129,X129,IF(C129=0,0,AG128))</f>
        <v>0</v>
      </c>
      <c r="AG129" s="98">
        <f t="shared" ca="1" si="17"/>
        <v>0</v>
      </c>
      <c r="AH129" s="68"/>
      <c r="AI129" s="71">
        <f ca="1">IF(C129=1,Reeksen!AJ129*((F129-G129+F129)/2)*12+Reeksen!AK129*((L129-M129+L129)/2)*12,0)</f>
        <v>0</v>
      </c>
      <c r="AJ129" s="71">
        <f ca="1">-AI129*'Invoer gegevens'!$F$28</f>
        <v>0</v>
      </c>
      <c r="AK129" s="71">
        <f t="shared" ca="1" si="11"/>
        <v>0</v>
      </c>
      <c r="AL129" s="71">
        <f ca="1">IF(C129=1,Reeksen!AL129*((F129-G129+F129)/2)*12+Reeksen!AM129*((L129-M129+L129)/2)*12,0)</f>
        <v>0</v>
      </c>
      <c r="AM129" s="71">
        <f ca="1">-AL129*'Invoer gegevens'!$F$31</f>
        <v>0</v>
      </c>
      <c r="AN129" s="71">
        <f t="shared" ca="1" si="18"/>
        <v>0</v>
      </c>
      <c r="AO129" s="71">
        <f ca="1">IF(C129=1,(H129+J129+N129+P129)*Reeksen!AN129,0)</f>
        <v>0</v>
      </c>
      <c r="AP129" s="71">
        <f ca="1">-IF(C129=1,(H129+J129+N129+P129)*'Hulp - basis'!$G$550*Reeksen!H129,0)</f>
        <v>0</v>
      </c>
      <c r="AQ129" s="71">
        <f ca="1">-IF(C129=1,(F129+K129+L129+Q129)/2*'Invoer gegevens'!$I$33*Reeksen!J129,0)*2</f>
        <v>0</v>
      </c>
      <c r="AR129" s="71">
        <f ca="1">-IF(C129=1,(I129*'Invoer gegevens'!$I$34)*Reeksen!J129,0)</f>
        <v>0</v>
      </c>
      <c r="AS129" s="71">
        <f ca="1">-IF(C129=1,(F129+K129+L129+Q129)/2*'Invoer gegevens'!$I$35*Reeksen!L129,0)</f>
        <v>0</v>
      </c>
      <c r="AT129" s="71">
        <f ca="1">-IF(C129=1,IF(E129='Invoer gegevens'!$C$17,'Invoer gegevens'!$C$11,AD129)*Reeksen!S129*'Invoer gegevens'!$C$18*Reeksen!P129,0)</f>
        <v>0</v>
      </c>
      <c r="AU129" s="71">
        <f ca="1">-IF(C129=1,(F129+K129+L129+Q129)/2*'Invoer gegevens'!$I$36*Reeksen!H129,0)</f>
        <v>0</v>
      </c>
      <c r="AV129" s="71">
        <f>IF('Invoer gegevens'!$C$3="Basis",0,#REF!)</f>
        <v>0</v>
      </c>
      <c r="AW129" s="71">
        <f t="shared" ca="1" si="19"/>
        <v>0</v>
      </c>
      <c r="AX129" s="71">
        <f ca="1">IF(E129&lt;'Invoer gegevens'!$C$17+15,0,IF(E129&gt;'Invoer gegevens'!$C$17+215,0,AW129))</f>
        <v>0</v>
      </c>
      <c r="AY129" s="71">
        <f ca="1">AX129/(1+'Invoer gegevens'!$F$18)^($AZ129-('Invoer gegevens'!$C$17-'Invoer gegevens'!$C$16))/(1+'Invoer gegevens'!$C$39)^('Invoer gegevens'!$C$17-'Invoer gegevens'!$C$16)</f>
        <v>0</v>
      </c>
      <c r="AZ129" s="68">
        <f ca="1">IF(E129-'Invoer gegevens'!$C$17-14.5&lt;0,0,E129-'Invoer gegevens'!$C$17-14.5)</f>
        <v>109.5</v>
      </c>
    </row>
    <row r="130" spans="2:52" x14ac:dyDescent="0.25">
      <c r="B130" s="70">
        <f t="shared" si="20"/>
        <v>126</v>
      </c>
      <c r="C130" s="67">
        <f ca="1">IF(E130-'Invoer gegevens'!$C$17&lt;0,0,1)</f>
        <v>1</v>
      </c>
      <c r="D130" s="68">
        <f t="shared" si="21"/>
        <v>125.5</v>
      </c>
      <c r="E130" s="108">
        <f ca="1">IF('Invoer gegevens'!$C$16="","",E129+1)</f>
        <v>2144</v>
      </c>
      <c r="F130" s="84">
        <f ca="1">IF('Invoer gegevens'!$C$17=E130,'Invoer gegevens'!$C$10,IF(C130=1,K129,0))</f>
        <v>0</v>
      </c>
      <c r="G130" s="96">
        <f ca="1">IF(C130&gt;=1,F130*VLOOKUP(E130,Reeksen!$A$5:$B$76,2),0)</f>
        <v>0</v>
      </c>
      <c r="H130" s="84">
        <f ca="1">(1-('Invoer gegevens'!$F$20/12))*F130*MIN(Reeksen!B130,Reeksen!D130)</f>
        <v>0</v>
      </c>
      <c r="I130" s="84">
        <f>IF(Reeksen!D130&lt;Reeksen!B130,(Reeksen!B130-Reeksen!D130)*F130,0)</f>
        <v>0</v>
      </c>
      <c r="J130" s="84">
        <f ca="1">('Invoer gegevens'!$F$20/12)*F129*MIN(Reeksen!B129,Reeksen!D129)</f>
        <v>0</v>
      </c>
      <c r="K130" s="97">
        <f t="shared" ca="1" si="12"/>
        <v>0</v>
      </c>
      <c r="L130" s="84">
        <f ca="1">IF('Invoer gegevens'!$C$17=E130,0,IF(C130=1,Q129,0))</f>
        <v>0</v>
      </c>
      <c r="M130" s="96">
        <f ca="1">IF(C130&gt;=1,L130*VLOOKUP(E130,Reeksen!$A$5:$B$76,2),0)</f>
        <v>0</v>
      </c>
      <c r="N130" s="84">
        <f ca="1">(1-('Invoer gegevens'!$F$20/12))*L130*MIN(Reeksen!B130,Reeksen!D130)</f>
        <v>0</v>
      </c>
      <c r="O130" s="84">
        <f>IF(Reeksen!D130&lt;Reeksen!B130,(Reeksen!B130-Reeksen!D130)*L130,0)</f>
        <v>0</v>
      </c>
      <c r="P130" s="84">
        <f ca="1">('Invoer gegevens'!$F$20/12)*L129*MIN(Reeksen!B129,Reeksen!D129)</f>
        <v>0</v>
      </c>
      <c r="Q130" s="84">
        <f t="shared" ca="1" si="13"/>
        <v>0</v>
      </c>
      <c r="R130" s="82">
        <f ca="1">IF('Invoer gegevens'!$C$17=E130,'Invoer gegevens'!$C$11,IF(C130=1,W129,0))</f>
        <v>0</v>
      </c>
      <c r="S130" s="86">
        <f ca="1">IF(C130&gt;=1,R130*VLOOKUP(E130,Reeksen!$A$5:$B$76,2),0)</f>
        <v>0</v>
      </c>
      <c r="T130" s="84">
        <f ca="1">(1-('Invoer gegevens'!$F$20/12))*R130*MIN(Reeksen!B130,Reeksen!D130)</f>
        <v>0</v>
      </c>
      <c r="U130" s="84">
        <f>IF(Reeksen!D130&gt;=Reeksen!B130,0,IF(Reeksen!AK130&lt;=Reeksen!AE130,(Reeksen!B130-Reeksen!D130)*R130,0))</f>
        <v>0</v>
      </c>
      <c r="V130" s="86">
        <f>IF(Reeksen!D130&gt;=Reeksen!B130,0,IF(Reeksen!AK130&gt;Reeksen!AE130,(Reeksen!B130-Reeksen!D130)*R130,0))</f>
        <v>0</v>
      </c>
      <c r="W130" s="97">
        <f t="shared" ca="1" si="14"/>
        <v>0</v>
      </c>
      <c r="X130" s="98">
        <f ca="1">IF('Invoer gegevens'!$C$17=E130,'Invoer gegevens'!$C$10-'Invoer gegevens'!$C$11,IF(C130=1,AC129,0))</f>
        <v>0</v>
      </c>
      <c r="Y130" s="98">
        <f ca="1">IF(C130&gt;=1,X130*VLOOKUP(E130,Reeksen!$A$5:$B$76,2),0)</f>
        <v>0</v>
      </c>
      <c r="Z130" s="98">
        <f ca="1">(1-('Invoer gegevens'!$F$20/12))*X130*MIN(Reeksen!B130,Reeksen!D130)</f>
        <v>0</v>
      </c>
      <c r="AA130" s="98">
        <f>IF(Reeksen!D130&gt;=Reeksen!B130,0,IF(Reeksen!AK130&lt;=Reeksen!AE130,(Reeksen!B130-Reeksen!D130)*X130,0))</f>
        <v>0</v>
      </c>
      <c r="AB130" s="98">
        <f>IF(Reeksen!D130&gt;=Reeksen!B130,0,IF(Reeksen!AK130&gt;Reeksen!AE130,(Reeksen!B130-Reeksen!D130)*X130,0))</f>
        <v>0</v>
      </c>
      <c r="AC130" s="99">
        <f t="shared" ca="1" si="15"/>
        <v>0</v>
      </c>
      <c r="AD130" s="98">
        <f ca="1">IF('Invoer gegevens'!$C$17=E130,R130,IF(C130=0,0,AE129))</f>
        <v>0</v>
      </c>
      <c r="AE130" s="98">
        <f t="shared" ca="1" si="16"/>
        <v>0</v>
      </c>
      <c r="AF130" s="98">
        <f ca="1">IF('Invoer gegevens'!$C$17=E130,X130,IF(C130=0,0,AG129))</f>
        <v>0</v>
      </c>
      <c r="AG130" s="98">
        <f t="shared" ca="1" si="17"/>
        <v>0</v>
      </c>
      <c r="AH130" s="68"/>
      <c r="AI130" s="71">
        <f ca="1">IF(C130=1,Reeksen!AJ130*((F130-G130+F130)/2)*12+Reeksen!AK130*((L130-M130+L130)/2)*12,0)</f>
        <v>0</v>
      </c>
      <c r="AJ130" s="71">
        <f ca="1">-AI130*'Invoer gegevens'!$F$28</f>
        <v>0</v>
      </c>
      <c r="AK130" s="71">
        <f t="shared" ca="1" si="11"/>
        <v>0</v>
      </c>
      <c r="AL130" s="71">
        <f ca="1">IF(C130=1,Reeksen!AL130*((F130-G130+F130)/2)*12+Reeksen!AM130*((L130-M130+L130)/2)*12,0)</f>
        <v>0</v>
      </c>
      <c r="AM130" s="71">
        <f ca="1">-AL130*'Invoer gegevens'!$F$31</f>
        <v>0</v>
      </c>
      <c r="AN130" s="71">
        <f t="shared" ca="1" si="18"/>
        <v>0</v>
      </c>
      <c r="AO130" s="71">
        <f ca="1">IF(C130=1,(H130+J130+N130+P130)*Reeksen!AN130,0)</f>
        <v>0</v>
      </c>
      <c r="AP130" s="71">
        <f ca="1">-IF(C130=1,(H130+J130+N130+P130)*'Hulp - basis'!$G$550*Reeksen!H130,0)</f>
        <v>0</v>
      </c>
      <c r="AQ130" s="71">
        <f ca="1">-IF(C130=1,(F130+K130+L130+Q130)/2*'Invoer gegevens'!$I$33*Reeksen!J130,0)*2</f>
        <v>0</v>
      </c>
      <c r="AR130" s="71">
        <f ca="1">-IF(C130=1,(I130*'Invoer gegevens'!$I$34)*Reeksen!J130,0)</f>
        <v>0</v>
      </c>
      <c r="AS130" s="71">
        <f ca="1">-IF(C130=1,(F130+K130+L130+Q130)/2*'Invoer gegevens'!$I$35*Reeksen!L130,0)</f>
        <v>0</v>
      </c>
      <c r="AT130" s="71">
        <f ca="1">-IF(C130=1,IF(E130='Invoer gegevens'!$C$17,'Invoer gegevens'!$C$11,AD130)*Reeksen!S130*'Invoer gegevens'!$C$18*Reeksen!P130,0)</f>
        <v>0</v>
      </c>
      <c r="AU130" s="71">
        <f ca="1">-IF(C130=1,(F130+K130+L130+Q130)/2*'Invoer gegevens'!$I$36*Reeksen!H130,0)</f>
        <v>0</v>
      </c>
      <c r="AV130" s="71">
        <f>IF('Invoer gegevens'!$C$3="Basis",0,#REF!)</f>
        <v>0</v>
      </c>
      <c r="AW130" s="71">
        <f t="shared" ca="1" si="19"/>
        <v>0</v>
      </c>
      <c r="AX130" s="71">
        <f ca="1">IF(E130&lt;'Invoer gegevens'!$C$17+15,0,IF(E130&gt;'Invoer gegevens'!$C$17+215,0,AW130))</f>
        <v>0</v>
      </c>
      <c r="AY130" s="71">
        <f ca="1">AX130/(1+'Invoer gegevens'!$F$18)^($AZ130-('Invoer gegevens'!$C$17-'Invoer gegevens'!$C$16))/(1+'Invoer gegevens'!$C$39)^('Invoer gegevens'!$C$17-'Invoer gegevens'!$C$16)</f>
        <v>0</v>
      </c>
      <c r="AZ130" s="68">
        <f ca="1">IF(E130-'Invoer gegevens'!$C$17-14.5&lt;0,0,E130-'Invoer gegevens'!$C$17-14.5)</f>
        <v>110.5</v>
      </c>
    </row>
    <row r="131" spans="2:52" x14ac:dyDescent="0.25">
      <c r="B131" s="70">
        <f t="shared" si="20"/>
        <v>127</v>
      </c>
      <c r="C131" s="67">
        <f ca="1">IF(E131-'Invoer gegevens'!$C$17&lt;0,0,1)</f>
        <v>1</v>
      </c>
      <c r="D131" s="68">
        <f t="shared" si="21"/>
        <v>126.5</v>
      </c>
      <c r="E131" s="108">
        <f ca="1">IF('Invoer gegevens'!$C$16="","",E130+1)</f>
        <v>2145</v>
      </c>
      <c r="F131" s="84">
        <f ca="1">IF('Invoer gegevens'!$C$17=E131,'Invoer gegevens'!$C$10,IF(C131=1,K130,0))</f>
        <v>0</v>
      </c>
      <c r="G131" s="96">
        <f ca="1">IF(C131&gt;=1,F131*VLOOKUP(E131,Reeksen!$A$5:$B$76,2),0)</f>
        <v>0</v>
      </c>
      <c r="H131" s="84">
        <f ca="1">(1-('Invoer gegevens'!$F$20/12))*F131*MIN(Reeksen!B131,Reeksen!D131)</f>
        <v>0</v>
      </c>
      <c r="I131" s="84">
        <f>IF(Reeksen!D131&lt;Reeksen!B131,(Reeksen!B131-Reeksen!D131)*F131,0)</f>
        <v>0</v>
      </c>
      <c r="J131" s="84">
        <f ca="1">('Invoer gegevens'!$F$20/12)*F130*MIN(Reeksen!B130,Reeksen!D130)</f>
        <v>0</v>
      </c>
      <c r="K131" s="97">
        <f t="shared" ca="1" si="12"/>
        <v>0</v>
      </c>
      <c r="L131" s="84">
        <f ca="1">IF('Invoer gegevens'!$C$17=E131,0,IF(C131=1,Q130,0))</f>
        <v>0</v>
      </c>
      <c r="M131" s="96">
        <f ca="1">IF(C131&gt;=1,L131*VLOOKUP(E131,Reeksen!$A$5:$B$76,2),0)</f>
        <v>0</v>
      </c>
      <c r="N131" s="84">
        <f ca="1">(1-('Invoer gegevens'!$F$20/12))*L131*MIN(Reeksen!B131,Reeksen!D131)</f>
        <v>0</v>
      </c>
      <c r="O131" s="84">
        <f>IF(Reeksen!D131&lt;Reeksen!B131,(Reeksen!B131-Reeksen!D131)*L131,0)</f>
        <v>0</v>
      </c>
      <c r="P131" s="84">
        <f ca="1">('Invoer gegevens'!$F$20/12)*L130*MIN(Reeksen!B130,Reeksen!D130)</f>
        <v>0</v>
      </c>
      <c r="Q131" s="84">
        <f t="shared" ca="1" si="13"/>
        <v>0</v>
      </c>
      <c r="R131" s="82">
        <f ca="1">IF('Invoer gegevens'!$C$17=E131,'Invoer gegevens'!$C$11,IF(C131=1,W130,0))</f>
        <v>0</v>
      </c>
      <c r="S131" s="86">
        <f ca="1">IF(C131&gt;=1,R131*VLOOKUP(E131,Reeksen!$A$5:$B$76,2),0)</f>
        <v>0</v>
      </c>
      <c r="T131" s="84">
        <f ca="1">(1-('Invoer gegevens'!$F$20/12))*R131*MIN(Reeksen!B131,Reeksen!D131)</f>
        <v>0</v>
      </c>
      <c r="U131" s="84">
        <f>IF(Reeksen!D131&gt;=Reeksen!B131,0,IF(Reeksen!AK131&lt;=Reeksen!AE131,(Reeksen!B131-Reeksen!D131)*R131,0))</f>
        <v>0</v>
      </c>
      <c r="V131" s="86">
        <f>IF(Reeksen!D131&gt;=Reeksen!B131,0,IF(Reeksen!AK131&gt;Reeksen!AE131,(Reeksen!B131-Reeksen!D131)*R131,0))</f>
        <v>0</v>
      </c>
      <c r="W131" s="97">
        <f t="shared" ca="1" si="14"/>
        <v>0</v>
      </c>
      <c r="X131" s="98">
        <f ca="1">IF('Invoer gegevens'!$C$17=E131,'Invoer gegevens'!$C$10-'Invoer gegevens'!$C$11,IF(C131=1,AC130,0))</f>
        <v>0</v>
      </c>
      <c r="Y131" s="98">
        <f ca="1">IF(C131&gt;=1,X131*VLOOKUP(E131,Reeksen!$A$5:$B$76,2),0)</f>
        <v>0</v>
      </c>
      <c r="Z131" s="98">
        <f ca="1">(1-('Invoer gegevens'!$F$20/12))*X131*MIN(Reeksen!B131,Reeksen!D131)</f>
        <v>0</v>
      </c>
      <c r="AA131" s="98">
        <f>IF(Reeksen!D131&gt;=Reeksen!B131,0,IF(Reeksen!AK131&lt;=Reeksen!AE131,(Reeksen!B131-Reeksen!D131)*X131,0))</f>
        <v>0</v>
      </c>
      <c r="AB131" s="98">
        <f>IF(Reeksen!D131&gt;=Reeksen!B131,0,IF(Reeksen!AK131&gt;Reeksen!AE131,(Reeksen!B131-Reeksen!D131)*X131,0))</f>
        <v>0</v>
      </c>
      <c r="AC131" s="99">
        <f t="shared" ca="1" si="15"/>
        <v>0</v>
      </c>
      <c r="AD131" s="98">
        <f ca="1">IF('Invoer gegevens'!$C$17=E131,R131,IF(C131=0,0,AE130))</f>
        <v>0</v>
      </c>
      <c r="AE131" s="98">
        <f t="shared" ca="1" si="16"/>
        <v>0</v>
      </c>
      <c r="AF131" s="98">
        <f ca="1">IF('Invoer gegevens'!$C$17=E131,X131,IF(C131=0,0,AG130))</f>
        <v>0</v>
      </c>
      <c r="AG131" s="98">
        <f t="shared" ca="1" si="17"/>
        <v>0</v>
      </c>
      <c r="AH131" s="68"/>
      <c r="AI131" s="71">
        <f ca="1">IF(C131=1,Reeksen!AJ131*((F131-G131+F131)/2)*12+Reeksen!AK131*((L131-M131+L131)/2)*12,0)</f>
        <v>0</v>
      </c>
      <c r="AJ131" s="71">
        <f ca="1">-AI131*'Invoer gegevens'!$F$28</f>
        <v>0</v>
      </c>
      <c r="AK131" s="71">
        <f t="shared" ca="1" si="11"/>
        <v>0</v>
      </c>
      <c r="AL131" s="71">
        <f ca="1">IF(C131=1,Reeksen!AL131*((F131-G131+F131)/2)*12+Reeksen!AM131*((L131-M131+L131)/2)*12,0)</f>
        <v>0</v>
      </c>
      <c r="AM131" s="71">
        <f ca="1">-AL131*'Invoer gegevens'!$F$31</f>
        <v>0</v>
      </c>
      <c r="AN131" s="71">
        <f t="shared" ca="1" si="18"/>
        <v>0</v>
      </c>
      <c r="AO131" s="71">
        <f ca="1">IF(C131=1,(H131+J131+N131+P131)*Reeksen!AN131,0)</f>
        <v>0</v>
      </c>
      <c r="AP131" s="71">
        <f ca="1">-IF(C131=1,(H131+J131+N131+P131)*'Hulp - basis'!$G$550*Reeksen!H131,0)</f>
        <v>0</v>
      </c>
      <c r="AQ131" s="71">
        <f ca="1">-IF(C131=1,(F131+K131+L131+Q131)/2*'Invoer gegevens'!$I$33*Reeksen!J131,0)*2</f>
        <v>0</v>
      </c>
      <c r="AR131" s="71">
        <f ca="1">-IF(C131=1,(I131*'Invoer gegevens'!$I$34)*Reeksen!J131,0)</f>
        <v>0</v>
      </c>
      <c r="AS131" s="71">
        <f ca="1">-IF(C131=1,(F131+K131+L131+Q131)/2*'Invoer gegevens'!$I$35*Reeksen!L131,0)</f>
        <v>0</v>
      </c>
      <c r="AT131" s="71">
        <f ca="1">-IF(C131=1,IF(E131='Invoer gegevens'!$C$17,'Invoer gegevens'!$C$11,AD131)*Reeksen!S131*'Invoer gegevens'!$C$18*Reeksen!P131,0)</f>
        <v>0</v>
      </c>
      <c r="AU131" s="71">
        <f ca="1">-IF(C131=1,(F131+K131+L131+Q131)/2*'Invoer gegevens'!$I$36*Reeksen!H131,0)</f>
        <v>0</v>
      </c>
      <c r="AV131" s="71">
        <f>IF('Invoer gegevens'!$C$3="Basis",0,#REF!)</f>
        <v>0</v>
      </c>
      <c r="AW131" s="71">
        <f t="shared" ca="1" si="19"/>
        <v>0</v>
      </c>
      <c r="AX131" s="71">
        <f ca="1">IF(E131&lt;'Invoer gegevens'!$C$17+15,0,IF(E131&gt;'Invoer gegevens'!$C$17+215,0,AW131))</f>
        <v>0</v>
      </c>
      <c r="AY131" s="71">
        <f ca="1">AX131/(1+'Invoer gegevens'!$F$18)^($AZ131-('Invoer gegevens'!$C$17-'Invoer gegevens'!$C$16))/(1+'Invoer gegevens'!$C$39)^('Invoer gegevens'!$C$17-'Invoer gegevens'!$C$16)</f>
        <v>0</v>
      </c>
      <c r="AZ131" s="68">
        <f ca="1">IF(E131-'Invoer gegevens'!$C$17-14.5&lt;0,0,E131-'Invoer gegevens'!$C$17-14.5)</f>
        <v>111.5</v>
      </c>
    </row>
    <row r="132" spans="2:52" x14ac:dyDescent="0.25">
      <c r="B132" s="70">
        <f t="shared" si="20"/>
        <v>128</v>
      </c>
      <c r="C132" s="67">
        <f ca="1">IF(E132-'Invoer gegevens'!$C$17&lt;0,0,1)</f>
        <v>1</v>
      </c>
      <c r="D132" s="68">
        <f t="shared" si="21"/>
        <v>127.5</v>
      </c>
      <c r="E132" s="108">
        <f ca="1">IF('Invoer gegevens'!$C$16="","",E131+1)</f>
        <v>2146</v>
      </c>
      <c r="F132" s="84">
        <f ca="1">IF('Invoer gegevens'!$C$17=E132,'Invoer gegevens'!$C$10,IF(C132=1,K131,0))</f>
        <v>0</v>
      </c>
      <c r="G132" s="96">
        <f ca="1">IF(C132&gt;=1,F132*VLOOKUP(E132,Reeksen!$A$5:$B$76,2),0)</f>
        <v>0</v>
      </c>
      <c r="H132" s="84">
        <f ca="1">(1-('Invoer gegevens'!$F$20/12))*F132*MIN(Reeksen!B132,Reeksen!D132)</f>
        <v>0</v>
      </c>
      <c r="I132" s="84">
        <f>IF(Reeksen!D132&lt;Reeksen!B132,(Reeksen!B132-Reeksen!D132)*F132,0)</f>
        <v>0</v>
      </c>
      <c r="J132" s="84">
        <f ca="1">('Invoer gegevens'!$F$20/12)*F131*MIN(Reeksen!B131,Reeksen!D131)</f>
        <v>0</v>
      </c>
      <c r="K132" s="97">
        <f t="shared" ca="1" si="12"/>
        <v>0</v>
      </c>
      <c r="L132" s="84">
        <f ca="1">IF('Invoer gegevens'!$C$17=E132,0,IF(C132=1,Q131,0))</f>
        <v>0</v>
      </c>
      <c r="M132" s="96">
        <f ca="1">IF(C132&gt;=1,L132*VLOOKUP(E132,Reeksen!$A$5:$B$76,2),0)</f>
        <v>0</v>
      </c>
      <c r="N132" s="84">
        <f ca="1">(1-('Invoer gegevens'!$F$20/12))*L132*MIN(Reeksen!B132,Reeksen!D132)</f>
        <v>0</v>
      </c>
      <c r="O132" s="84">
        <f>IF(Reeksen!D132&lt;Reeksen!B132,(Reeksen!B132-Reeksen!D132)*L132,0)</f>
        <v>0</v>
      </c>
      <c r="P132" s="84">
        <f ca="1">('Invoer gegevens'!$F$20/12)*L131*MIN(Reeksen!B131,Reeksen!D131)</f>
        <v>0</v>
      </c>
      <c r="Q132" s="84">
        <f t="shared" ca="1" si="13"/>
        <v>0</v>
      </c>
      <c r="R132" s="82">
        <f ca="1">IF('Invoer gegevens'!$C$17=E132,'Invoer gegevens'!$C$11,IF(C132=1,W131,0))</f>
        <v>0</v>
      </c>
      <c r="S132" s="86">
        <f ca="1">IF(C132&gt;=1,R132*VLOOKUP(E132,Reeksen!$A$5:$B$76,2),0)</f>
        <v>0</v>
      </c>
      <c r="T132" s="84">
        <f ca="1">(1-('Invoer gegevens'!$F$20/12))*R132*MIN(Reeksen!B132,Reeksen!D132)</f>
        <v>0</v>
      </c>
      <c r="U132" s="84">
        <f>IF(Reeksen!D132&gt;=Reeksen!B132,0,IF(Reeksen!AK132&lt;=Reeksen!AE132,(Reeksen!B132-Reeksen!D132)*R132,0))</f>
        <v>0</v>
      </c>
      <c r="V132" s="86">
        <f>IF(Reeksen!D132&gt;=Reeksen!B132,0,IF(Reeksen!AK132&gt;Reeksen!AE132,(Reeksen!B132-Reeksen!D132)*R132,0))</f>
        <v>0</v>
      </c>
      <c r="W132" s="97">
        <f t="shared" ca="1" si="14"/>
        <v>0</v>
      </c>
      <c r="X132" s="98">
        <f ca="1">IF('Invoer gegevens'!$C$17=E132,'Invoer gegevens'!$C$10-'Invoer gegevens'!$C$11,IF(C132=1,AC131,0))</f>
        <v>0</v>
      </c>
      <c r="Y132" s="98">
        <f ca="1">IF(C132&gt;=1,X132*VLOOKUP(E132,Reeksen!$A$5:$B$76,2),0)</f>
        <v>0</v>
      </c>
      <c r="Z132" s="98">
        <f ca="1">(1-('Invoer gegevens'!$F$20/12))*X132*MIN(Reeksen!B132,Reeksen!D132)</f>
        <v>0</v>
      </c>
      <c r="AA132" s="98">
        <f>IF(Reeksen!D132&gt;=Reeksen!B132,0,IF(Reeksen!AK132&lt;=Reeksen!AE132,(Reeksen!B132-Reeksen!D132)*X132,0))</f>
        <v>0</v>
      </c>
      <c r="AB132" s="98">
        <f>IF(Reeksen!D132&gt;=Reeksen!B132,0,IF(Reeksen!AK132&gt;Reeksen!AE132,(Reeksen!B132-Reeksen!D132)*X132,0))</f>
        <v>0</v>
      </c>
      <c r="AC132" s="99">
        <f t="shared" ca="1" si="15"/>
        <v>0</v>
      </c>
      <c r="AD132" s="98">
        <f ca="1">IF('Invoer gegevens'!$C$17=E132,R132,IF(C132=0,0,AE131))</f>
        <v>0</v>
      </c>
      <c r="AE132" s="98">
        <f t="shared" ca="1" si="16"/>
        <v>0</v>
      </c>
      <c r="AF132" s="98">
        <f ca="1">IF('Invoer gegevens'!$C$17=E132,X132,IF(C132=0,0,AG131))</f>
        <v>0</v>
      </c>
      <c r="AG132" s="98">
        <f t="shared" ca="1" si="17"/>
        <v>0</v>
      </c>
      <c r="AH132" s="68"/>
      <c r="AI132" s="71">
        <f ca="1">IF(C132=1,Reeksen!AJ132*((F132-G132+F132)/2)*12+Reeksen!AK132*((L132-M132+L132)/2)*12,0)</f>
        <v>0</v>
      </c>
      <c r="AJ132" s="71">
        <f ca="1">-AI132*'Invoer gegevens'!$F$28</f>
        <v>0</v>
      </c>
      <c r="AK132" s="71">
        <f t="shared" ca="1" si="11"/>
        <v>0</v>
      </c>
      <c r="AL132" s="71">
        <f ca="1">IF(C132=1,Reeksen!AL132*((F132-G132+F132)/2)*12+Reeksen!AM132*((L132-M132+L132)/2)*12,0)</f>
        <v>0</v>
      </c>
      <c r="AM132" s="71">
        <f ca="1">-AL132*'Invoer gegevens'!$F$31</f>
        <v>0</v>
      </c>
      <c r="AN132" s="71">
        <f t="shared" ca="1" si="18"/>
        <v>0</v>
      </c>
      <c r="AO132" s="71">
        <f ca="1">IF(C132=1,(H132+J132+N132+P132)*Reeksen!AN132,0)</f>
        <v>0</v>
      </c>
      <c r="AP132" s="71">
        <f ca="1">-IF(C132=1,(H132+J132+N132+P132)*'Hulp - basis'!$G$550*Reeksen!H132,0)</f>
        <v>0</v>
      </c>
      <c r="AQ132" s="71">
        <f ca="1">-IF(C132=1,(F132+K132+L132+Q132)/2*'Invoer gegevens'!$I$33*Reeksen!J132,0)*2</f>
        <v>0</v>
      </c>
      <c r="AR132" s="71">
        <f ca="1">-IF(C132=1,(I132*'Invoer gegevens'!$I$34)*Reeksen!J132,0)</f>
        <v>0</v>
      </c>
      <c r="AS132" s="71">
        <f ca="1">-IF(C132=1,(F132+K132+L132+Q132)/2*'Invoer gegevens'!$I$35*Reeksen!L132,0)</f>
        <v>0</v>
      </c>
      <c r="AT132" s="71">
        <f ca="1">-IF(C132=1,IF(E132='Invoer gegevens'!$C$17,'Invoer gegevens'!$C$11,AD132)*Reeksen!S132*'Invoer gegevens'!$C$18*Reeksen!P132,0)</f>
        <v>0</v>
      </c>
      <c r="AU132" s="71">
        <f ca="1">-IF(C132=1,(F132+K132+L132+Q132)/2*'Invoer gegevens'!$I$36*Reeksen!H132,0)</f>
        <v>0</v>
      </c>
      <c r="AV132" s="71">
        <f>IF('Invoer gegevens'!$C$3="Basis",0,#REF!)</f>
        <v>0</v>
      </c>
      <c r="AW132" s="71">
        <f t="shared" ca="1" si="19"/>
        <v>0</v>
      </c>
      <c r="AX132" s="71">
        <f ca="1">IF(E132&lt;'Invoer gegevens'!$C$17+15,0,IF(E132&gt;'Invoer gegevens'!$C$17+215,0,AW132))</f>
        <v>0</v>
      </c>
      <c r="AY132" s="71">
        <f ca="1">AX132/(1+'Invoer gegevens'!$F$18)^($AZ132-('Invoer gegevens'!$C$17-'Invoer gegevens'!$C$16))/(1+'Invoer gegevens'!$C$39)^('Invoer gegevens'!$C$17-'Invoer gegevens'!$C$16)</f>
        <v>0</v>
      </c>
      <c r="AZ132" s="68">
        <f ca="1">IF(E132-'Invoer gegevens'!$C$17-14.5&lt;0,0,E132-'Invoer gegevens'!$C$17-14.5)</f>
        <v>112.5</v>
      </c>
    </row>
    <row r="133" spans="2:52" x14ac:dyDescent="0.25">
      <c r="B133" s="70">
        <f t="shared" si="20"/>
        <v>129</v>
      </c>
      <c r="C133" s="67">
        <f ca="1">IF(E133-'Invoer gegevens'!$C$17&lt;0,0,1)</f>
        <v>1</v>
      </c>
      <c r="D133" s="68">
        <f t="shared" si="21"/>
        <v>128.5</v>
      </c>
      <c r="E133" s="108">
        <f ca="1">IF('Invoer gegevens'!$C$16="","",E132+1)</f>
        <v>2147</v>
      </c>
      <c r="F133" s="84">
        <f ca="1">IF('Invoer gegevens'!$C$17=E133,'Invoer gegevens'!$C$10,IF(C133=1,K132,0))</f>
        <v>0</v>
      </c>
      <c r="G133" s="96">
        <f ca="1">IF(C133&gt;=1,F133*VLOOKUP(E133,Reeksen!$A$5:$B$76,2),0)</f>
        <v>0</v>
      </c>
      <c r="H133" s="84">
        <f ca="1">(1-('Invoer gegevens'!$F$20/12))*F133*MIN(Reeksen!B133,Reeksen!D133)</f>
        <v>0</v>
      </c>
      <c r="I133" s="84">
        <f>IF(Reeksen!D133&lt;Reeksen!B133,(Reeksen!B133-Reeksen!D133)*F133,0)</f>
        <v>0</v>
      </c>
      <c r="J133" s="84">
        <f ca="1">('Invoer gegevens'!$F$20/12)*F132*MIN(Reeksen!B132,Reeksen!D132)</f>
        <v>0</v>
      </c>
      <c r="K133" s="97">
        <f t="shared" ca="1" si="12"/>
        <v>0</v>
      </c>
      <c r="L133" s="84">
        <f ca="1">IF('Invoer gegevens'!$C$17=E133,0,IF(C133=1,Q132,0))</f>
        <v>0</v>
      </c>
      <c r="M133" s="96">
        <f ca="1">IF(C133&gt;=1,L133*VLOOKUP(E133,Reeksen!$A$5:$B$76,2),0)</f>
        <v>0</v>
      </c>
      <c r="N133" s="84">
        <f ca="1">(1-('Invoer gegevens'!$F$20/12))*L133*MIN(Reeksen!B133,Reeksen!D133)</f>
        <v>0</v>
      </c>
      <c r="O133" s="84">
        <f>IF(Reeksen!D133&lt;Reeksen!B133,(Reeksen!B133-Reeksen!D133)*L133,0)</f>
        <v>0</v>
      </c>
      <c r="P133" s="84">
        <f ca="1">('Invoer gegevens'!$F$20/12)*L132*MIN(Reeksen!B132,Reeksen!D132)</f>
        <v>0</v>
      </c>
      <c r="Q133" s="84">
        <f t="shared" ca="1" si="13"/>
        <v>0</v>
      </c>
      <c r="R133" s="82">
        <f ca="1">IF('Invoer gegevens'!$C$17=E133,'Invoer gegevens'!$C$11,IF(C133=1,W132,0))</f>
        <v>0</v>
      </c>
      <c r="S133" s="86">
        <f ca="1">IF(C133&gt;=1,R133*VLOOKUP(E133,Reeksen!$A$5:$B$76,2),0)</f>
        <v>0</v>
      </c>
      <c r="T133" s="84">
        <f ca="1">(1-('Invoer gegevens'!$F$20/12))*R133*MIN(Reeksen!B133,Reeksen!D133)</f>
        <v>0</v>
      </c>
      <c r="U133" s="84">
        <f>IF(Reeksen!D133&gt;=Reeksen!B133,0,IF(Reeksen!AK133&lt;=Reeksen!AE133,(Reeksen!B133-Reeksen!D133)*R133,0))</f>
        <v>0</v>
      </c>
      <c r="V133" s="86">
        <f>IF(Reeksen!D133&gt;=Reeksen!B133,0,IF(Reeksen!AK133&gt;Reeksen!AE133,(Reeksen!B133-Reeksen!D133)*R133,0))</f>
        <v>0</v>
      </c>
      <c r="W133" s="97">
        <f t="shared" ca="1" si="14"/>
        <v>0</v>
      </c>
      <c r="X133" s="98">
        <f ca="1">IF('Invoer gegevens'!$C$17=E133,'Invoer gegevens'!$C$10-'Invoer gegevens'!$C$11,IF(C133=1,AC132,0))</f>
        <v>0</v>
      </c>
      <c r="Y133" s="98">
        <f ca="1">IF(C133&gt;=1,X133*VLOOKUP(E133,Reeksen!$A$5:$B$76,2),0)</f>
        <v>0</v>
      </c>
      <c r="Z133" s="98">
        <f ca="1">(1-('Invoer gegevens'!$F$20/12))*X133*MIN(Reeksen!B133,Reeksen!D133)</f>
        <v>0</v>
      </c>
      <c r="AA133" s="98">
        <f>IF(Reeksen!D133&gt;=Reeksen!B133,0,IF(Reeksen!AK133&lt;=Reeksen!AE133,(Reeksen!B133-Reeksen!D133)*X133,0))</f>
        <v>0</v>
      </c>
      <c r="AB133" s="98">
        <f>IF(Reeksen!D133&gt;=Reeksen!B133,0,IF(Reeksen!AK133&gt;Reeksen!AE133,(Reeksen!B133-Reeksen!D133)*X133,0))</f>
        <v>0</v>
      </c>
      <c r="AC133" s="99">
        <f t="shared" ca="1" si="15"/>
        <v>0</v>
      </c>
      <c r="AD133" s="98">
        <f ca="1">IF('Invoer gegevens'!$C$17=E133,R133,IF(C133=0,0,AE132))</f>
        <v>0</v>
      </c>
      <c r="AE133" s="98">
        <f t="shared" ca="1" si="16"/>
        <v>0</v>
      </c>
      <c r="AF133" s="98">
        <f ca="1">IF('Invoer gegevens'!$C$17=E133,X133,IF(C133=0,0,AG132))</f>
        <v>0</v>
      </c>
      <c r="AG133" s="98">
        <f t="shared" ca="1" si="17"/>
        <v>0</v>
      </c>
      <c r="AH133" s="68"/>
      <c r="AI133" s="71">
        <f ca="1">IF(C133=1,Reeksen!AJ133*((F133-G133+F133)/2)*12+Reeksen!AK133*((L133-M133+L133)/2)*12,0)</f>
        <v>0</v>
      </c>
      <c r="AJ133" s="71">
        <f ca="1">-AI133*'Invoer gegevens'!$F$28</f>
        <v>0</v>
      </c>
      <c r="AK133" s="71">
        <f t="shared" ref="AK133:AK196" ca="1" si="22">AI133+AJ133</f>
        <v>0</v>
      </c>
      <c r="AL133" s="71">
        <f ca="1">IF(C133=1,Reeksen!AL133*((F133-G133+F133)/2)*12+Reeksen!AM133*((L133-M133+L133)/2)*12,0)</f>
        <v>0</v>
      </c>
      <c r="AM133" s="71">
        <f ca="1">-AL133*'Invoer gegevens'!$F$31</f>
        <v>0</v>
      </c>
      <c r="AN133" s="71">
        <f t="shared" ca="1" si="18"/>
        <v>0</v>
      </c>
      <c r="AO133" s="71">
        <f ca="1">IF(C133=1,(H133+J133+N133+P133)*Reeksen!AN133,0)</f>
        <v>0</v>
      </c>
      <c r="AP133" s="71">
        <f ca="1">-IF(C133=1,(H133+J133+N133+P133)*'Hulp - basis'!$G$550*Reeksen!H133,0)</f>
        <v>0</v>
      </c>
      <c r="AQ133" s="71">
        <f ca="1">-IF(C133=1,(F133+K133+L133+Q133)/2*'Invoer gegevens'!$I$33*Reeksen!J133,0)*2</f>
        <v>0</v>
      </c>
      <c r="AR133" s="71">
        <f ca="1">-IF(C133=1,(I133*'Invoer gegevens'!$I$34)*Reeksen!J133,0)</f>
        <v>0</v>
      </c>
      <c r="AS133" s="71">
        <f ca="1">-IF(C133=1,(F133+K133+L133+Q133)/2*'Invoer gegevens'!$I$35*Reeksen!L133,0)</f>
        <v>0</v>
      </c>
      <c r="AT133" s="71">
        <f ca="1">-IF(C133=1,IF(E133='Invoer gegevens'!$C$17,'Invoer gegevens'!$C$11,AD133)*Reeksen!S133*'Invoer gegevens'!$C$18*Reeksen!P133,0)</f>
        <v>0</v>
      </c>
      <c r="AU133" s="71">
        <f ca="1">-IF(C133=1,(F133+K133+L133+Q133)/2*'Invoer gegevens'!$I$36*Reeksen!H133,0)</f>
        <v>0</v>
      </c>
      <c r="AV133" s="71">
        <f>IF('Invoer gegevens'!$C$3="Basis",0,#REF!)</f>
        <v>0</v>
      </c>
      <c r="AW133" s="71">
        <f t="shared" ca="1" si="19"/>
        <v>0</v>
      </c>
      <c r="AX133" s="71">
        <f ca="1">IF(E133&lt;'Invoer gegevens'!$C$17+15,0,IF(E133&gt;'Invoer gegevens'!$C$17+215,0,AW133))</f>
        <v>0</v>
      </c>
      <c r="AY133" s="71">
        <f ca="1">AX133/(1+'Invoer gegevens'!$F$18)^($AZ133-('Invoer gegevens'!$C$17-'Invoer gegevens'!$C$16))/(1+'Invoer gegevens'!$C$39)^('Invoer gegevens'!$C$17-'Invoer gegevens'!$C$16)</f>
        <v>0</v>
      </c>
      <c r="AZ133" s="68">
        <f ca="1">IF(E133-'Invoer gegevens'!$C$17-14.5&lt;0,0,E133-'Invoer gegevens'!$C$17-14.5)</f>
        <v>113.5</v>
      </c>
    </row>
    <row r="134" spans="2:52" x14ac:dyDescent="0.25">
      <c r="B134" s="70">
        <f t="shared" si="20"/>
        <v>130</v>
      </c>
      <c r="C134" s="67">
        <f ca="1">IF(E134-'Invoer gegevens'!$C$17&lt;0,0,1)</f>
        <v>1</v>
      </c>
      <c r="D134" s="68">
        <f t="shared" si="21"/>
        <v>129.5</v>
      </c>
      <c r="E134" s="108">
        <f ca="1">IF('Invoer gegevens'!$C$16="","",E133+1)</f>
        <v>2148</v>
      </c>
      <c r="F134" s="84">
        <f ca="1">IF('Invoer gegevens'!$C$17=E134,'Invoer gegevens'!$C$10,IF(C134=1,K133,0))</f>
        <v>0</v>
      </c>
      <c r="G134" s="96">
        <f ca="1">IF(C134&gt;=1,F134*VLOOKUP(E134,Reeksen!$A$5:$B$76,2),0)</f>
        <v>0</v>
      </c>
      <c r="H134" s="84">
        <f ca="1">(1-('Invoer gegevens'!$F$20/12))*F134*MIN(Reeksen!B134,Reeksen!D134)</f>
        <v>0</v>
      </c>
      <c r="I134" s="84">
        <f>IF(Reeksen!D134&lt;Reeksen!B134,(Reeksen!B134-Reeksen!D134)*F134,0)</f>
        <v>0</v>
      </c>
      <c r="J134" s="84">
        <f ca="1">('Invoer gegevens'!$F$20/12)*F133*MIN(Reeksen!B133,Reeksen!D133)</f>
        <v>0</v>
      </c>
      <c r="K134" s="97">
        <f t="shared" ref="K134:K197" ca="1" si="23">F134-G134</f>
        <v>0</v>
      </c>
      <c r="L134" s="84">
        <f ca="1">IF('Invoer gegevens'!$C$17=E134,0,IF(C134=1,Q133,0))</f>
        <v>0</v>
      </c>
      <c r="M134" s="96">
        <f ca="1">IF(C134&gt;=1,L134*VLOOKUP(E134,Reeksen!$A$5:$B$76,2),0)</f>
        <v>0</v>
      </c>
      <c r="N134" s="84">
        <f ca="1">(1-('Invoer gegevens'!$F$20/12))*L134*MIN(Reeksen!B134,Reeksen!D134)</f>
        <v>0</v>
      </c>
      <c r="O134" s="84">
        <f>IF(Reeksen!D134&lt;Reeksen!B134,(Reeksen!B134-Reeksen!D134)*L134,0)</f>
        <v>0</v>
      </c>
      <c r="P134" s="84">
        <f ca="1">('Invoer gegevens'!$F$20/12)*L133*MIN(Reeksen!B133,Reeksen!D133)</f>
        <v>0</v>
      </c>
      <c r="Q134" s="84">
        <f t="shared" ref="Q134:Q197" ca="1" si="24">L134-M134+I134+O134</f>
        <v>0</v>
      </c>
      <c r="R134" s="82">
        <f ca="1">IF('Invoer gegevens'!$C$17=E134,'Invoer gegevens'!$C$11,IF(C134=1,W133,0))</f>
        <v>0</v>
      </c>
      <c r="S134" s="86">
        <f ca="1">IF(C134&gt;=1,R134*VLOOKUP(E134,Reeksen!$A$5:$B$76,2),0)</f>
        <v>0</v>
      </c>
      <c r="T134" s="84">
        <f ca="1">(1-('Invoer gegevens'!$F$20/12))*R134*MIN(Reeksen!B134,Reeksen!D134)</f>
        <v>0</v>
      </c>
      <c r="U134" s="84">
        <f>IF(Reeksen!D134&gt;=Reeksen!B134,0,IF(Reeksen!AK134&lt;=Reeksen!AE134,(Reeksen!B134-Reeksen!D134)*R134,0))</f>
        <v>0</v>
      </c>
      <c r="V134" s="86">
        <f>IF(Reeksen!D134&gt;=Reeksen!B134,0,IF(Reeksen!AK134&gt;Reeksen!AE134,(Reeksen!B134-Reeksen!D134)*R134,0))</f>
        <v>0</v>
      </c>
      <c r="W134" s="97">
        <f t="shared" ref="W134:W197" ca="1" si="25">R134-S134</f>
        <v>0</v>
      </c>
      <c r="X134" s="98">
        <f ca="1">IF('Invoer gegevens'!$C$17=E134,'Invoer gegevens'!$C$10-'Invoer gegevens'!$C$11,IF(C134=1,AC133,0))</f>
        <v>0</v>
      </c>
      <c r="Y134" s="98">
        <f ca="1">IF(C134&gt;=1,X134*VLOOKUP(E134,Reeksen!$A$5:$B$76,2),0)</f>
        <v>0</v>
      </c>
      <c r="Z134" s="98">
        <f ca="1">(1-('Invoer gegevens'!$F$20/12))*X134*MIN(Reeksen!B134,Reeksen!D134)</f>
        <v>0</v>
      </c>
      <c r="AA134" s="98">
        <f>IF(Reeksen!D134&gt;=Reeksen!B134,0,IF(Reeksen!AK134&lt;=Reeksen!AE134,(Reeksen!B134-Reeksen!D134)*X134,0))</f>
        <v>0</v>
      </c>
      <c r="AB134" s="98">
        <f>IF(Reeksen!D134&gt;=Reeksen!B134,0,IF(Reeksen!AK134&gt;Reeksen!AE134,(Reeksen!B134-Reeksen!D134)*X134,0))</f>
        <v>0</v>
      </c>
      <c r="AC134" s="99">
        <f t="shared" ref="AC134:AC197" ca="1" si="26">X134-Y134</f>
        <v>0</v>
      </c>
      <c r="AD134" s="98">
        <f ca="1">IF('Invoer gegevens'!$C$17=E134,R134,IF(C134=0,0,AE133))</f>
        <v>0</v>
      </c>
      <c r="AE134" s="98">
        <f t="shared" ref="AE134:AE197" ca="1" si="27">IF(C134=0,0,AD134-S134-V134+AA134)</f>
        <v>0</v>
      </c>
      <c r="AF134" s="98">
        <f ca="1">IF('Invoer gegevens'!$C$17=E134,X134,IF(C134=0,0,AG133))</f>
        <v>0</v>
      </c>
      <c r="AG134" s="98">
        <f t="shared" ref="AG134:AG197" ca="1" si="28">IF(C134=0,0,AF134-Y134-AA134+V134)</f>
        <v>0</v>
      </c>
      <c r="AH134" s="68"/>
      <c r="AI134" s="71">
        <f ca="1">IF(C134=1,Reeksen!AJ134*((F134-G134+F134)/2)*12+Reeksen!AK134*((L134-M134+L134)/2)*12,0)</f>
        <v>0</v>
      </c>
      <c r="AJ134" s="71">
        <f ca="1">-AI134*'Invoer gegevens'!$F$28</f>
        <v>0</v>
      </c>
      <c r="AK134" s="71">
        <f t="shared" ca="1" si="22"/>
        <v>0</v>
      </c>
      <c r="AL134" s="71">
        <f ca="1">IF(C134=1,Reeksen!AL134*((F134-G134+F134)/2)*12+Reeksen!AM134*((L134-M134+L134)/2)*12,0)</f>
        <v>0</v>
      </c>
      <c r="AM134" s="71">
        <f ca="1">-AL134*'Invoer gegevens'!$F$31</f>
        <v>0</v>
      </c>
      <c r="AN134" s="71">
        <f t="shared" ref="AN134:AN197" ca="1" si="29">AL134+AM134</f>
        <v>0</v>
      </c>
      <c r="AO134" s="71">
        <f ca="1">IF(C134=1,(H134+J134+N134+P134)*Reeksen!AN134,0)</f>
        <v>0</v>
      </c>
      <c r="AP134" s="71">
        <f ca="1">-IF(C134=1,(H134+J134+N134+P134)*'Hulp - basis'!$G$550*Reeksen!H134,0)</f>
        <v>0</v>
      </c>
      <c r="AQ134" s="71">
        <f ca="1">-IF(C134=1,(F134+K134+L134+Q134)/2*'Invoer gegevens'!$I$33*Reeksen!J134,0)*2</f>
        <v>0</v>
      </c>
      <c r="AR134" s="71">
        <f ca="1">-IF(C134=1,(I134*'Invoer gegevens'!$I$34)*Reeksen!J134,0)</f>
        <v>0</v>
      </c>
      <c r="AS134" s="71">
        <f ca="1">-IF(C134=1,(F134+K134+L134+Q134)/2*'Invoer gegevens'!$I$35*Reeksen!L134,0)</f>
        <v>0</v>
      </c>
      <c r="AT134" s="71">
        <f ca="1">-IF(C134=1,IF(E134='Invoer gegevens'!$C$17,'Invoer gegevens'!$C$11,AD134)*Reeksen!S134*'Invoer gegevens'!$C$18*Reeksen!P134,0)</f>
        <v>0</v>
      </c>
      <c r="AU134" s="71">
        <f ca="1">-IF(C134=1,(F134+K134+L134+Q134)/2*'Invoer gegevens'!$I$36*Reeksen!H134,0)</f>
        <v>0</v>
      </c>
      <c r="AV134" s="71">
        <f>IF('Invoer gegevens'!$C$3="Basis",0,#REF!)</f>
        <v>0</v>
      </c>
      <c r="AW134" s="71">
        <f t="shared" ref="AW134:AW197" ca="1" si="30">SUM(AK134,AN134:AV134)</f>
        <v>0</v>
      </c>
      <c r="AX134" s="71">
        <f ca="1">IF(E134&lt;'Invoer gegevens'!$C$17+15,0,IF(E134&gt;'Invoer gegevens'!$C$17+215,0,AW134))</f>
        <v>0</v>
      </c>
      <c r="AY134" s="71">
        <f ca="1">AX134/(1+'Invoer gegevens'!$F$18)^($AZ134-('Invoer gegevens'!$C$17-'Invoer gegevens'!$C$16))/(1+'Invoer gegevens'!$C$39)^('Invoer gegevens'!$C$17-'Invoer gegevens'!$C$16)</f>
        <v>0</v>
      </c>
      <c r="AZ134" s="68">
        <f ca="1">IF(E134-'Invoer gegevens'!$C$17-14.5&lt;0,0,E134-'Invoer gegevens'!$C$17-14.5)</f>
        <v>114.5</v>
      </c>
    </row>
    <row r="135" spans="2:52" x14ac:dyDescent="0.25">
      <c r="B135" s="70">
        <f t="shared" si="20"/>
        <v>131</v>
      </c>
      <c r="C135" s="67">
        <f ca="1">IF(E135-'Invoer gegevens'!$C$17&lt;0,0,1)</f>
        <v>1</v>
      </c>
      <c r="D135" s="68">
        <f t="shared" si="21"/>
        <v>130.5</v>
      </c>
      <c r="E135" s="108">
        <f ca="1">IF('Invoer gegevens'!$C$16="","",E134+1)</f>
        <v>2149</v>
      </c>
      <c r="F135" s="84">
        <f ca="1">IF('Invoer gegevens'!$C$17=E135,'Invoer gegevens'!$C$10,IF(C135=1,K134,0))</f>
        <v>0</v>
      </c>
      <c r="G135" s="96">
        <f ca="1">IF(C135&gt;=1,F135*VLOOKUP(E135,Reeksen!$A$5:$B$76,2),0)</f>
        <v>0</v>
      </c>
      <c r="H135" s="84">
        <f ca="1">(1-('Invoer gegevens'!$F$20/12))*F135*MIN(Reeksen!B135,Reeksen!D135)</f>
        <v>0</v>
      </c>
      <c r="I135" s="84">
        <f>IF(Reeksen!D135&lt;Reeksen!B135,(Reeksen!B135-Reeksen!D135)*F135,0)</f>
        <v>0</v>
      </c>
      <c r="J135" s="84">
        <f ca="1">('Invoer gegevens'!$F$20/12)*F134*MIN(Reeksen!B134,Reeksen!D134)</f>
        <v>0</v>
      </c>
      <c r="K135" s="97">
        <f t="shared" ca="1" si="23"/>
        <v>0</v>
      </c>
      <c r="L135" s="84">
        <f ca="1">IF('Invoer gegevens'!$C$17=E135,0,IF(C135=1,Q134,0))</f>
        <v>0</v>
      </c>
      <c r="M135" s="96">
        <f ca="1">IF(C135&gt;=1,L135*VLOOKUP(E135,Reeksen!$A$5:$B$76,2),0)</f>
        <v>0</v>
      </c>
      <c r="N135" s="84">
        <f ca="1">(1-('Invoer gegevens'!$F$20/12))*L135*MIN(Reeksen!B135,Reeksen!D135)</f>
        <v>0</v>
      </c>
      <c r="O135" s="84">
        <f>IF(Reeksen!D135&lt;Reeksen!B135,(Reeksen!B135-Reeksen!D135)*L135,0)</f>
        <v>0</v>
      </c>
      <c r="P135" s="84">
        <f ca="1">('Invoer gegevens'!$F$20/12)*L134*MIN(Reeksen!B134,Reeksen!D134)</f>
        <v>0</v>
      </c>
      <c r="Q135" s="84">
        <f t="shared" ca="1" si="24"/>
        <v>0</v>
      </c>
      <c r="R135" s="82">
        <f ca="1">IF('Invoer gegevens'!$C$17=E135,'Invoer gegevens'!$C$11,IF(C135=1,W134,0))</f>
        <v>0</v>
      </c>
      <c r="S135" s="86">
        <f ca="1">IF(C135&gt;=1,R135*VLOOKUP(E135,Reeksen!$A$5:$B$76,2),0)</f>
        <v>0</v>
      </c>
      <c r="T135" s="84">
        <f ca="1">(1-('Invoer gegevens'!$F$20/12))*R135*MIN(Reeksen!B135,Reeksen!D135)</f>
        <v>0</v>
      </c>
      <c r="U135" s="84">
        <f>IF(Reeksen!D135&gt;=Reeksen!B135,0,IF(Reeksen!AK135&lt;=Reeksen!AE135,(Reeksen!B135-Reeksen!D135)*R135,0))</f>
        <v>0</v>
      </c>
      <c r="V135" s="86">
        <f>IF(Reeksen!D135&gt;=Reeksen!B135,0,IF(Reeksen!AK135&gt;Reeksen!AE135,(Reeksen!B135-Reeksen!D135)*R135,0))</f>
        <v>0</v>
      </c>
      <c r="W135" s="97">
        <f t="shared" ca="1" si="25"/>
        <v>0</v>
      </c>
      <c r="X135" s="98">
        <f ca="1">IF('Invoer gegevens'!$C$17=E135,'Invoer gegevens'!$C$10-'Invoer gegevens'!$C$11,IF(C135=1,AC134,0))</f>
        <v>0</v>
      </c>
      <c r="Y135" s="98">
        <f ca="1">IF(C135&gt;=1,X135*VLOOKUP(E135,Reeksen!$A$5:$B$76,2),0)</f>
        <v>0</v>
      </c>
      <c r="Z135" s="98">
        <f ca="1">(1-('Invoer gegevens'!$F$20/12))*X135*MIN(Reeksen!B135,Reeksen!D135)</f>
        <v>0</v>
      </c>
      <c r="AA135" s="98">
        <f>IF(Reeksen!D135&gt;=Reeksen!B135,0,IF(Reeksen!AK135&lt;=Reeksen!AE135,(Reeksen!B135-Reeksen!D135)*X135,0))</f>
        <v>0</v>
      </c>
      <c r="AB135" s="98">
        <f>IF(Reeksen!D135&gt;=Reeksen!B135,0,IF(Reeksen!AK135&gt;Reeksen!AE135,(Reeksen!B135-Reeksen!D135)*X135,0))</f>
        <v>0</v>
      </c>
      <c r="AC135" s="99">
        <f t="shared" ca="1" si="26"/>
        <v>0</v>
      </c>
      <c r="AD135" s="98">
        <f ca="1">IF('Invoer gegevens'!$C$17=E135,R135,IF(C135=0,0,AE134))</f>
        <v>0</v>
      </c>
      <c r="AE135" s="98">
        <f t="shared" ca="1" si="27"/>
        <v>0</v>
      </c>
      <c r="AF135" s="98">
        <f ca="1">IF('Invoer gegevens'!$C$17=E135,X135,IF(C135=0,0,AG134))</f>
        <v>0</v>
      </c>
      <c r="AG135" s="98">
        <f t="shared" ca="1" si="28"/>
        <v>0</v>
      </c>
      <c r="AH135" s="68"/>
      <c r="AI135" s="71">
        <f ca="1">IF(C135=1,Reeksen!AJ135*((F135-G135+F135)/2)*12+Reeksen!AK135*((L135-M135+L135)/2)*12,0)</f>
        <v>0</v>
      </c>
      <c r="AJ135" s="71">
        <f ca="1">-AI135*'Invoer gegevens'!$F$28</f>
        <v>0</v>
      </c>
      <c r="AK135" s="71">
        <f t="shared" ca="1" si="22"/>
        <v>0</v>
      </c>
      <c r="AL135" s="71">
        <f ca="1">IF(C135=1,Reeksen!AL135*((F135-G135+F135)/2)*12+Reeksen!AM135*((L135-M135+L135)/2)*12,0)</f>
        <v>0</v>
      </c>
      <c r="AM135" s="71">
        <f ca="1">-AL135*'Invoer gegevens'!$F$31</f>
        <v>0</v>
      </c>
      <c r="AN135" s="71">
        <f t="shared" ca="1" si="29"/>
        <v>0</v>
      </c>
      <c r="AO135" s="71">
        <f ca="1">IF(C135=1,(H135+J135+N135+P135)*Reeksen!AN135,0)</f>
        <v>0</v>
      </c>
      <c r="AP135" s="71">
        <f ca="1">-IF(C135=1,(H135+J135+N135+P135)*'Hulp - basis'!$G$550*Reeksen!H135,0)</f>
        <v>0</v>
      </c>
      <c r="AQ135" s="71">
        <f ca="1">-IF(C135=1,(F135+K135+L135+Q135)/2*'Invoer gegevens'!$I$33*Reeksen!J135,0)*2</f>
        <v>0</v>
      </c>
      <c r="AR135" s="71">
        <f ca="1">-IF(C135=1,(I135*'Invoer gegevens'!$I$34)*Reeksen!J135,0)</f>
        <v>0</v>
      </c>
      <c r="AS135" s="71">
        <f ca="1">-IF(C135=1,(F135+K135+L135+Q135)/2*'Invoer gegevens'!$I$35*Reeksen!L135,0)</f>
        <v>0</v>
      </c>
      <c r="AT135" s="71">
        <f ca="1">-IF(C135=1,IF(E135='Invoer gegevens'!$C$17,'Invoer gegevens'!$C$11,AD135)*Reeksen!S135*'Invoer gegevens'!$C$18*Reeksen!P135,0)</f>
        <v>0</v>
      </c>
      <c r="AU135" s="71">
        <f ca="1">-IF(C135=1,(F135+K135+L135+Q135)/2*'Invoer gegevens'!$I$36*Reeksen!H135,0)</f>
        <v>0</v>
      </c>
      <c r="AV135" s="71">
        <f>IF('Invoer gegevens'!$C$3="Basis",0,#REF!)</f>
        <v>0</v>
      </c>
      <c r="AW135" s="71">
        <f t="shared" ca="1" si="30"/>
        <v>0</v>
      </c>
      <c r="AX135" s="71">
        <f ca="1">IF(E135&lt;'Invoer gegevens'!$C$17+15,0,IF(E135&gt;'Invoer gegevens'!$C$17+215,0,AW135))</f>
        <v>0</v>
      </c>
      <c r="AY135" s="71">
        <f ca="1">AX135/(1+'Invoer gegevens'!$F$18)^($AZ135-('Invoer gegevens'!$C$17-'Invoer gegevens'!$C$16))/(1+'Invoer gegevens'!$C$39)^('Invoer gegevens'!$C$17-'Invoer gegevens'!$C$16)</f>
        <v>0</v>
      </c>
      <c r="AZ135" s="68">
        <f ca="1">IF(E135-'Invoer gegevens'!$C$17-14.5&lt;0,0,E135-'Invoer gegevens'!$C$17-14.5)</f>
        <v>115.5</v>
      </c>
    </row>
    <row r="136" spans="2:52" x14ac:dyDescent="0.25">
      <c r="B136" s="70">
        <f t="shared" ref="B136:B199" si="31">B135+1</f>
        <v>132</v>
      </c>
      <c r="C136" s="67">
        <f ca="1">IF(E136-'Invoer gegevens'!$C$17&lt;0,0,1)</f>
        <v>1</v>
      </c>
      <c r="D136" s="68">
        <f t="shared" ref="D136:D199" si="32">D135+1</f>
        <v>131.5</v>
      </c>
      <c r="E136" s="108">
        <f ca="1">IF('Invoer gegevens'!$C$16="","",E135+1)</f>
        <v>2150</v>
      </c>
      <c r="F136" s="84">
        <f ca="1">IF('Invoer gegevens'!$C$17=E136,'Invoer gegevens'!$C$10,IF(C136=1,K135,0))</f>
        <v>0</v>
      </c>
      <c r="G136" s="96">
        <f ca="1">IF(C136&gt;=1,F136*VLOOKUP(E136,Reeksen!$A$5:$B$76,2),0)</f>
        <v>0</v>
      </c>
      <c r="H136" s="84">
        <f ca="1">(1-('Invoer gegevens'!$F$20/12))*F136*MIN(Reeksen!B136,Reeksen!D136)</f>
        <v>0</v>
      </c>
      <c r="I136" s="84">
        <f>IF(Reeksen!D136&lt;Reeksen!B136,(Reeksen!B136-Reeksen!D136)*F136,0)</f>
        <v>0</v>
      </c>
      <c r="J136" s="84">
        <f ca="1">('Invoer gegevens'!$F$20/12)*F135*MIN(Reeksen!B135,Reeksen!D135)</f>
        <v>0</v>
      </c>
      <c r="K136" s="97">
        <f t="shared" ca="1" si="23"/>
        <v>0</v>
      </c>
      <c r="L136" s="84">
        <f ca="1">IF('Invoer gegevens'!$C$17=E136,0,IF(C136=1,Q135,0))</f>
        <v>0</v>
      </c>
      <c r="M136" s="96">
        <f ca="1">IF(C136&gt;=1,L136*VLOOKUP(E136,Reeksen!$A$5:$B$76,2),0)</f>
        <v>0</v>
      </c>
      <c r="N136" s="84">
        <f ca="1">(1-('Invoer gegevens'!$F$20/12))*L136*MIN(Reeksen!B136,Reeksen!D136)</f>
        <v>0</v>
      </c>
      <c r="O136" s="84">
        <f>IF(Reeksen!D136&lt;Reeksen!B136,(Reeksen!B136-Reeksen!D136)*L136,0)</f>
        <v>0</v>
      </c>
      <c r="P136" s="84">
        <f ca="1">('Invoer gegevens'!$F$20/12)*L135*MIN(Reeksen!B135,Reeksen!D135)</f>
        <v>0</v>
      </c>
      <c r="Q136" s="84">
        <f t="shared" ca="1" si="24"/>
        <v>0</v>
      </c>
      <c r="R136" s="82">
        <f ca="1">IF('Invoer gegevens'!$C$17=E136,'Invoer gegevens'!$C$11,IF(C136=1,W135,0))</f>
        <v>0</v>
      </c>
      <c r="S136" s="86">
        <f ca="1">IF(C136&gt;=1,R136*VLOOKUP(E136,Reeksen!$A$5:$B$76,2),0)</f>
        <v>0</v>
      </c>
      <c r="T136" s="84">
        <f ca="1">(1-('Invoer gegevens'!$F$20/12))*R136*MIN(Reeksen!B136,Reeksen!D136)</f>
        <v>0</v>
      </c>
      <c r="U136" s="84">
        <f>IF(Reeksen!D136&gt;=Reeksen!B136,0,IF(Reeksen!AK136&lt;=Reeksen!AE136,(Reeksen!B136-Reeksen!D136)*R136,0))</f>
        <v>0</v>
      </c>
      <c r="V136" s="86">
        <f>IF(Reeksen!D136&gt;=Reeksen!B136,0,IF(Reeksen!AK136&gt;Reeksen!AE136,(Reeksen!B136-Reeksen!D136)*R136,0))</f>
        <v>0</v>
      </c>
      <c r="W136" s="97">
        <f t="shared" ca="1" si="25"/>
        <v>0</v>
      </c>
      <c r="X136" s="98">
        <f ca="1">IF('Invoer gegevens'!$C$17=E136,'Invoer gegevens'!$C$10-'Invoer gegevens'!$C$11,IF(C136=1,AC135,0))</f>
        <v>0</v>
      </c>
      <c r="Y136" s="98">
        <f ca="1">IF(C136&gt;=1,X136*VLOOKUP(E136,Reeksen!$A$5:$B$76,2),0)</f>
        <v>0</v>
      </c>
      <c r="Z136" s="98">
        <f ca="1">(1-('Invoer gegevens'!$F$20/12))*X136*MIN(Reeksen!B136,Reeksen!D136)</f>
        <v>0</v>
      </c>
      <c r="AA136" s="98">
        <f>IF(Reeksen!D136&gt;=Reeksen!B136,0,IF(Reeksen!AK136&lt;=Reeksen!AE136,(Reeksen!B136-Reeksen!D136)*X136,0))</f>
        <v>0</v>
      </c>
      <c r="AB136" s="98">
        <f>IF(Reeksen!D136&gt;=Reeksen!B136,0,IF(Reeksen!AK136&gt;Reeksen!AE136,(Reeksen!B136-Reeksen!D136)*X136,0))</f>
        <v>0</v>
      </c>
      <c r="AC136" s="99">
        <f t="shared" ca="1" si="26"/>
        <v>0</v>
      </c>
      <c r="AD136" s="98">
        <f ca="1">IF('Invoer gegevens'!$C$17=E136,R136,IF(C136=0,0,AE135))</f>
        <v>0</v>
      </c>
      <c r="AE136" s="98">
        <f t="shared" ca="1" si="27"/>
        <v>0</v>
      </c>
      <c r="AF136" s="98">
        <f ca="1">IF('Invoer gegevens'!$C$17=E136,X136,IF(C136=0,0,AG135))</f>
        <v>0</v>
      </c>
      <c r="AG136" s="98">
        <f t="shared" ca="1" si="28"/>
        <v>0</v>
      </c>
      <c r="AH136" s="68"/>
      <c r="AI136" s="71">
        <f ca="1">IF(C136=1,Reeksen!AJ136*((F136-G136+F136)/2)*12+Reeksen!AK136*((L136-M136+L136)/2)*12,0)</f>
        <v>0</v>
      </c>
      <c r="AJ136" s="71">
        <f ca="1">-AI136*'Invoer gegevens'!$F$28</f>
        <v>0</v>
      </c>
      <c r="AK136" s="71">
        <f t="shared" ca="1" si="22"/>
        <v>0</v>
      </c>
      <c r="AL136" s="71">
        <f ca="1">IF(C136=1,Reeksen!AL136*((F136-G136+F136)/2)*12+Reeksen!AM136*((L136-M136+L136)/2)*12,0)</f>
        <v>0</v>
      </c>
      <c r="AM136" s="71">
        <f ca="1">-AL136*'Invoer gegevens'!$F$31</f>
        <v>0</v>
      </c>
      <c r="AN136" s="71">
        <f t="shared" ca="1" si="29"/>
        <v>0</v>
      </c>
      <c r="AO136" s="71">
        <f ca="1">IF(C136=1,(H136+J136+N136+P136)*Reeksen!AN136,0)</f>
        <v>0</v>
      </c>
      <c r="AP136" s="71">
        <f ca="1">-IF(C136=1,(H136+J136+N136+P136)*'Hulp - basis'!$G$550*Reeksen!H136,0)</f>
        <v>0</v>
      </c>
      <c r="AQ136" s="71">
        <f ca="1">-IF(C136=1,(F136+K136+L136+Q136)/2*'Invoer gegevens'!$I$33*Reeksen!J136,0)*2</f>
        <v>0</v>
      </c>
      <c r="AR136" s="71">
        <f ca="1">-IF(C136=1,(I136*'Invoer gegevens'!$I$34)*Reeksen!J136,0)</f>
        <v>0</v>
      </c>
      <c r="AS136" s="71">
        <f ca="1">-IF(C136=1,(F136+K136+L136+Q136)/2*'Invoer gegevens'!$I$35*Reeksen!L136,0)</f>
        <v>0</v>
      </c>
      <c r="AT136" s="71">
        <f ca="1">-IF(C136=1,IF(E136='Invoer gegevens'!$C$17,'Invoer gegevens'!$C$11,AD136)*Reeksen!S136*'Invoer gegevens'!$C$18*Reeksen!P136,0)</f>
        <v>0</v>
      </c>
      <c r="AU136" s="71">
        <f ca="1">-IF(C136=1,(F136+K136+L136+Q136)/2*'Invoer gegevens'!$I$36*Reeksen!H136,0)</f>
        <v>0</v>
      </c>
      <c r="AV136" s="71">
        <f>IF('Invoer gegevens'!$C$3="Basis",0,#REF!)</f>
        <v>0</v>
      </c>
      <c r="AW136" s="71">
        <f t="shared" ca="1" si="30"/>
        <v>0</v>
      </c>
      <c r="AX136" s="71">
        <f ca="1">IF(E136&lt;'Invoer gegevens'!$C$17+15,0,IF(E136&gt;'Invoer gegevens'!$C$17+215,0,AW136))</f>
        <v>0</v>
      </c>
      <c r="AY136" s="71">
        <f ca="1">AX136/(1+'Invoer gegevens'!$F$18)^($AZ136-('Invoer gegevens'!$C$17-'Invoer gegevens'!$C$16))/(1+'Invoer gegevens'!$C$39)^('Invoer gegevens'!$C$17-'Invoer gegevens'!$C$16)</f>
        <v>0</v>
      </c>
      <c r="AZ136" s="68">
        <f ca="1">IF(E136-'Invoer gegevens'!$C$17-14.5&lt;0,0,E136-'Invoer gegevens'!$C$17-14.5)</f>
        <v>116.5</v>
      </c>
    </row>
    <row r="137" spans="2:52" x14ac:dyDescent="0.25">
      <c r="B137" s="70">
        <f t="shared" si="31"/>
        <v>133</v>
      </c>
      <c r="C137" s="67">
        <f ca="1">IF(E137-'Invoer gegevens'!$C$17&lt;0,0,1)</f>
        <v>1</v>
      </c>
      <c r="D137" s="68">
        <f t="shared" si="32"/>
        <v>132.5</v>
      </c>
      <c r="E137" s="108">
        <f ca="1">IF('Invoer gegevens'!$C$16="","",E136+1)</f>
        <v>2151</v>
      </c>
      <c r="F137" s="84">
        <f ca="1">IF('Invoer gegevens'!$C$17=E137,'Invoer gegevens'!$C$10,IF(C137=1,K136,0))</f>
        <v>0</v>
      </c>
      <c r="G137" s="96">
        <f ca="1">IF(C137&gt;=1,F137*VLOOKUP(E137,Reeksen!$A$5:$B$76,2),0)</f>
        <v>0</v>
      </c>
      <c r="H137" s="84">
        <f ca="1">(1-('Invoer gegevens'!$F$20/12))*F137*MIN(Reeksen!B137,Reeksen!D137)</f>
        <v>0</v>
      </c>
      <c r="I137" s="84">
        <f>IF(Reeksen!D137&lt;Reeksen!B137,(Reeksen!B137-Reeksen!D137)*F137,0)</f>
        <v>0</v>
      </c>
      <c r="J137" s="84">
        <f ca="1">('Invoer gegevens'!$F$20/12)*F136*MIN(Reeksen!B136,Reeksen!D136)</f>
        <v>0</v>
      </c>
      <c r="K137" s="97">
        <f t="shared" ca="1" si="23"/>
        <v>0</v>
      </c>
      <c r="L137" s="84">
        <f ca="1">IF('Invoer gegevens'!$C$17=E137,0,IF(C137=1,Q136,0))</f>
        <v>0</v>
      </c>
      <c r="M137" s="96">
        <f ca="1">IF(C137&gt;=1,L137*VLOOKUP(E137,Reeksen!$A$5:$B$76,2),0)</f>
        <v>0</v>
      </c>
      <c r="N137" s="84">
        <f ca="1">(1-('Invoer gegevens'!$F$20/12))*L137*MIN(Reeksen!B137,Reeksen!D137)</f>
        <v>0</v>
      </c>
      <c r="O137" s="84">
        <f>IF(Reeksen!D137&lt;Reeksen!B137,(Reeksen!B137-Reeksen!D137)*L137,0)</f>
        <v>0</v>
      </c>
      <c r="P137" s="84">
        <f ca="1">('Invoer gegevens'!$F$20/12)*L136*MIN(Reeksen!B136,Reeksen!D136)</f>
        <v>0</v>
      </c>
      <c r="Q137" s="84">
        <f t="shared" ca="1" si="24"/>
        <v>0</v>
      </c>
      <c r="R137" s="82">
        <f ca="1">IF('Invoer gegevens'!$C$17=E137,'Invoer gegevens'!$C$11,IF(C137=1,W136,0))</f>
        <v>0</v>
      </c>
      <c r="S137" s="86">
        <f ca="1">IF(C137&gt;=1,R137*VLOOKUP(E137,Reeksen!$A$5:$B$76,2),0)</f>
        <v>0</v>
      </c>
      <c r="T137" s="84">
        <f ca="1">(1-('Invoer gegevens'!$F$20/12))*R137*MIN(Reeksen!B137,Reeksen!D137)</f>
        <v>0</v>
      </c>
      <c r="U137" s="84">
        <f>IF(Reeksen!D137&gt;=Reeksen!B137,0,IF(Reeksen!AK137&lt;=Reeksen!AE137,(Reeksen!B137-Reeksen!D137)*R137,0))</f>
        <v>0</v>
      </c>
      <c r="V137" s="86">
        <f>IF(Reeksen!D137&gt;=Reeksen!B137,0,IF(Reeksen!AK137&gt;Reeksen!AE137,(Reeksen!B137-Reeksen!D137)*R137,0))</f>
        <v>0</v>
      </c>
      <c r="W137" s="97">
        <f t="shared" ca="1" si="25"/>
        <v>0</v>
      </c>
      <c r="X137" s="98">
        <f ca="1">IF('Invoer gegevens'!$C$17=E137,'Invoer gegevens'!$C$10-'Invoer gegevens'!$C$11,IF(C137=1,AC136,0))</f>
        <v>0</v>
      </c>
      <c r="Y137" s="98">
        <f ca="1">IF(C137&gt;=1,X137*VLOOKUP(E137,Reeksen!$A$5:$B$76,2),0)</f>
        <v>0</v>
      </c>
      <c r="Z137" s="98">
        <f ca="1">(1-('Invoer gegevens'!$F$20/12))*X137*MIN(Reeksen!B137,Reeksen!D137)</f>
        <v>0</v>
      </c>
      <c r="AA137" s="98">
        <f>IF(Reeksen!D137&gt;=Reeksen!B137,0,IF(Reeksen!AK137&lt;=Reeksen!AE137,(Reeksen!B137-Reeksen!D137)*X137,0))</f>
        <v>0</v>
      </c>
      <c r="AB137" s="98">
        <f>IF(Reeksen!D137&gt;=Reeksen!B137,0,IF(Reeksen!AK137&gt;Reeksen!AE137,(Reeksen!B137-Reeksen!D137)*X137,0))</f>
        <v>0</v>
      </c>
      <c r="AC137" s="99">
        <f t="shared" ca="1" si="26"/>
        <v>0</v>
      </c>
      <c r="AD137" s="98">
        <f ca="1">IF('Invoer gegevens'!$C$17=E137,R137,IF(C137=0,0,AE136))</f>
        <v>0</v>
      </c>
      <c r="AE137" s="98">
        <f t="shared" ca="1" si="27"/>
        <v>0</v>
      </c>
      <c r="AF137" s="98">
        <f ca="1">IF('Invoer gegevens'!$C$17=E137,X137,IF(C137=0,0,AG136))</f>
        <v>0</v>
      </c>
      <c r="AG137" s="98">
        <f t="shared" ca="1" si="28"/>
        <v>0</v>
      </c>
      <c r="AH137" s="68"/>
      <c r="AI137" s="71">
        <f ca="1">IF(C137=1,Reeksen!AJ137*((F137-G137+F137)/2)*12+Reeksen!AK137*((L137-M137+L137)/2)*12,0)</f>
        <v>0</v>
      </c>
      <c r="AJ137" s="71">
        <f ca="1">-AI137*'Invoer gegevens'!$F$28</f>
        <v>0</v>
      </c>
      <c r="AK137" s="71">
        <f t="shared" ca="1" si="22"/>
        <v>0</v>
      </c>
      <c r="AL137" s="71">
        <f ca="1">IF(C137=1,Reeksen!AL137*((F137-G137+F137)/2)*12+Reeksen!AM137*((L137-M137+L137)/2)*12,0)</f>
        <v>0</v>
      </c>
      <c r="AM137" s="71">
        <f ca="1">-AL137*'Invoer gegevens'!$F$31</f>
        <v>0</v>
      </c>
      <c r="AN137" s="71">
        <f t="shared" ca="1" si="29"/>
        <v>0</v>
      </c>
      <c r="AO137" s="71">
        <f ca="1">IF(C137=1,(H137+J137+N137+P137)*Reeksen!AN137,0)</f>
        <v>0</v>
      </c>
      <c r="AP137" s="71">
        <f ca="1">-IF(C137=1,(H137+J137+N137+P137)*'Hulp - basis'!$G$550*Reeksen!H137,0)</f>
        <v>0</v>
      </c>
      <c r="AQ137" s="71">
        <f ca="1">-IF(C137=1,(F137+K137+L137+Q137)/2*'Invoer gegevens'!$I$33*Reeksen!J137,0)*2</f>
        <v>0</v>
      </c>
      <c r="AR137" s="71">
        <f ca="1">-IF(C137=1,(I137*'Invoer gegevens'!$I$34)*Reeksen!J137,0)</f>
        <v>0</v>
      </c>
      <c r="AS137" s="71">
        <f ca="1">-IF(C137=1,(F137+K137+L137+Q137)/2*'Invoer gegevens'!$I$35*Reeksen!L137,0)</f>
        <v>0</v>
      </c>
      <c r="AT137" s="71">
        <f ca="1">-IF(C137=1,IF(E137='Invoer gegevens'!$C$17,'Invoer gegevens'!$C$11,AD137)*Reeksen!S137*'Invoer gegevens'!$C$18*Reeksen!P137,0)</f>
        <v>0</v>
      </c>
      <c r="AU137" s="71">
        <f ca="1">-IF(C137=1,(F137+K137+L137+Q137)/2*'Invoer gegevens'!$I$36*Reeksen!H137,0)</f>
        <v>0</v>
      </c>
      <c r="AV137" s="71">
        <f>IF('Invoer gegevens'!$C$3="Basis",0,#REF!)</f>
        <v>0</v>
      </c>
      <c r="AW137" s="71">
        <f t="shared" ca="1" si="30"/>
        <v>0</v>
      </c>
      <c r="AX137" s="71">
        <f ca="1">IF(E137&lt;'Invoer gegevens'!$C$17+15,0,IF(E137&gt;'Invoer gegevens'!$C$17+215,0,AW137))</f>
        <v>0</v>
      </c>
      <c r="AY137" s="71">
        <f ca="1">AX137/(1+'Invoer gegevens'!$F$18)^($AZ137-('Invoer gegevens'!$C$17-'Invoer gegevens'!$C$16))/(1+'Invoer gegevens'!$C$39)^('Invoer gegevens'!$C$17-'Invoer gegevens'!$C$16)</f>
        <v>0</v>
      </c>
      <c r="AZ137" s="68">
        <f ca="1">IF(E137-'Invoer gegevens'!$C$17-14.5&lt;0,0,E137-'Invoer gegevens'!$C$17-14.5)</f>
        <v>117.5</v>
      </c>
    </row>
    <row r="138" spans="2:52" x14ac:dyDescent="0.25">
      <c r="B138" s="70">
        <f t="shared" si="31"/>
        <v>134</v>
      </c>
      <c r="C138" s="67">
        <f ca="1">IF(E138-'Invoer gegevens'!$C$17&lt;0,0,1)</f>
        <v>1</v>
      </c>
      <c r="D138" s="68">
        <f t="shared" si="32"/>
        <v>133.5</v>
      </c>
      <c r="E138" s="108">
        <f ca="1">IF('Invoer gegevens'!$C$16="","",E137+1)</f>
        <v>2152</v>
      </c>
      <c r="F138" s="84">
        <f ca="1">IF('Invoer gegevens'!$C$17=E138,'Invoer gegevens'!$C$10,IF(C138=1,K137,0))</f>
        <v>0</v>
      </c>
      <c r="G138" s="96">
        <f ca="1">IF(C138&gt;=1,F138*VLOOKUP(E138,Reeksen!$A$5:$B$76,2),0)</f>
        <v>0</v>
      </c>
      <c r="H138" s="84">
        <f ca="1">(1-('Invoer gegevens'!$F$20/12))*F138*MIN(Reeksen!B138,Reeksen!D138)</f>
        <v>0</v>
      </c>
      <c r="I138" s="84">
        <f>IF(Reeksen!D138&lt;Reeksen!B138,(Reeksen!B138-Reeksen!D138)*F138,0)</f>
        <v>0</v>
      </c>
      <c r="J138" s="84">
        <f ca="1">('Invoer gegevens'!$F$20/12)*F137*MIN(Reeksen!B137,Reeksen!D137)</f>
        <v>0</v>
      </c>
      <c r="K138" s="97">
        <f t="shared" ca="1" si="23"/>
        <v>0</v>
      </c>
      <c r="L138" s="84">
        <f ca="1">IF('Invoer gegevens'!$C$17=E138,0,IF(C138=1,Q137,0))</f>
        <v>0</v>
      </c>
      <c r="M138" s="96">
        <f ca="1">IF(C138&gt;=1,L138*VLOOKUP(E138,Reeksen!$A$5:$B$76,2),0)</f>
        <v>0</v>
      </c>
      <c r="N138" s="84">
        <f ca="1">(1-('Invoer gegevens'!$F$20/12))*L138*MIN(Reeksen!B138,Reeksen!D138)</f>
        <v>0</v>
      </c>
      <c r="O138" s="84">
        <f>IF(Reeksen!D138&lt;Reeksen!B138,(Reeksen!B138-Reeksen!D138)*L138,0)</f>
        <v>0</v>
      </c>
      <c r="P138" s="84">
        <f ca="1">('Invoer gegevens'!$F$20/12)*L137*MIN(Reeksen!B137,Reeksen!D137)</f>
        <v>0</v>
      </c>
      <c r="Q138" s="84">
        <f t="shared" ca="1" si="24"/>
        <v>0</v>
      </c>
      <c r="R138" s="82">
        <f ca="1">IF('Invoer gegevens'!$C$17=E138,'Invoer gegevens'!$C$11,IF(C138=1,W137,0))</f>
        <v>0</v>
      </c>
      <c r="S138" s="86">
        <f ca="1">IF(C138&gt;=1,R138*VLOOKUP(E138,Reeksen!$A$5:$B$76,2),0)</f>
        <v>0</v>
      </c>
      <c r="T138" s="84">
        <f ca="1">(1-('Invoer gegevens'!$F$20/12))*R138*MIN(Reeksen!B138,Reeksen!D138)</f>
        <v>0</v>
      </c>
      <c r="U138" s="84">
        <f>IF(Reeksen!D138&gt;=Reeksen!B138,0,IF(Reeksen!AK138&lt;=Reeksen!AE138,(Reeksen!B138-Reeksen!D138)*R138,0))</f>
        <v>0</v>
      </c>
      <c r="V138" s="86">
        <f>IF(Reeksen!D138&gt;=Reeksen!B138,0,IF(Reeksen!AK138&gt;Reeksen!AE138,(Reeksen!B138-Reeksen!D138)*R138,0))</f>
        <v>0</v>
      </c>
      <c r="W138" s="97">
        <f t="shared" ca="1" si="25"/>
        <v>0</v>
      </c>
      <c r="X138" s="98">
        <f ca="1">IF('Invoer gegevens'!$C$17=E138,'Invoer gegevens'!$C$10-'Invoer gegevens'!$C$11,IF(C138=1,AC137,0))</f>
        <v>0</v>
      </c>
      <c r="Y138" s="98">
        <f ca="1">IF(C138&gt;=1,X138*VLOOKUP(E138,Reeksen!$A$5:$B$76,2),0)</f>
        <v>0</v>
      </c>
      <c r="Z138" s="98">
        <f ca="1">(1-('Invoer gegevens'!$F$20/12))*X138*MIN(Reeksen!B138,Reeksen!D138)</f>
        <v>0</v>
      </c>
      <c r="AA138" s="98">
        <f>IF(Reeksen!D138&gt;=Reeksen!B138,0,IF(Reeksen!AK138&lt;=Reeksen!AE138,(Reeksen!B138-Reeksen!D138)*X138,0))</f>
        <v>0</v>
      </c>
      <c r="AB138" s="98">
        <f>IF(Reeksen!D138&gt;=Reeksen!B138,0,IF(Reeksen!AK138&gt;Reeksen!AE138,(Reeksen!B138-Reeksen!D138)*X138,0))</f>
        <v>0</v>
      </c>
      <c r="AC138" s="99">
        <f t="shared" ca="1" si="26"/>
        <v>0</v>
      </c>
      <c r="AD138" s="98">
        <f ca="1">IF('Invoer gegevens'!$C$17=E138,R138,IF(C138=0,0,AE137))</f>
        <v>0</v>
      </c>
      <c r="AE138" s="98">
        <f t="shared" ca="1" si="27"/>
        <v>0</v>
      </c>
      <c r="AF138" s="98">
        <f ca="1">IF('Invoer gegevens'!$C$17=E138,X138,IF(C138=0,0,AG137))</f>
        <v>0</v>
      </c>
      <c r="AG138" s="98">
        <f t="shared" ca="1" si="28"/>
        <v>0</v>
      </c>
      <c r="AH138" s="68"/>
      <c r="AI138" s="71">
        <f ca="1">IF(C138=1,Reeksen!AJ138*((F138-G138+F138)/2)*12+Reeksen!AK138*((L138-M138+L138)/2)*12,0)</f>
        <v>0</v>
      </c>
      <c r="AJ138" s="71">
        <f ca="1">-AI138*'Invoer gegevens'!$F$28</f>
        <v>0</v>
      </c>
      <c r="AK138" s="71">
        <f t="shared" ca="1" si="22"/>
        <v>0</v>
      </c>
      <c r="AL138" s="71">
        <f ca="1">IF(C138=1,Reeksen!AL138*((F138-G138+F138)/2)*12+Reeksen!AM138*((L138-M138+L138)/2)*12,0)</f>
        <v>0</v>
      </c>
      <c r="AM138" s="71">
        <f ca="1">-AL138*'Invoer gegevens'!$F$31</f>
        <v>0</v>
      </c>
      <c r="AN138" s="71">
        <f t="shared" ca="1" si="29"/>
        <v>0</v>
      </c>
      <c r="AO138" s="71">
        <f ca="1">IF(C138=1,(H138+J138+N138+P138)*Reeksen!AN138,0)</f>
        <v>0</v>
      </c>
      <c r="AP138" s="71">
        <f ca="1">-IF(C138=1,(H138+J138+N138+P138)*'Hulp - basis'!$G$550*Reeksen!H138,0)</f>
        <v>0</v>
      </c>
      <c r="AQ138" s="71">
        <f ca="1">-IF(C138=1,(F138+K138+L138+Q138)/2*'Invoer gegevens'!$I$33*Reeksen!J138,0)*2</f>
        <v>0</v>
      </c>
      <c r="AR138" s="71">
        <f ca="1">-IF(C138=1,(I138*'Invoer gegevens'!$I$34)*Reeksen!J138,0)</f>
        <v>0</v>
      </c>
      <c r="AS138" s="71">
        <f ca="1">-IF(C138=1,(F138+K138+L138+Q138)/2*'Invoer gegevens'!$I$35*Reeksen!L138,0)</f>
        <v>0</v>
      </c>
      <c r="AT138" s="71">
        <f ca="1">-IF(C138=1,IF(E138='Invoer gegevens'!$C$17,'Invoer gegevens'!$C$11,AD138)*Reeksen!S138*'Invoer gegevens'!$C$18*Reeksen!P138,0)</f>
        <v>0</v>
      </c>
      <c r="AU138" s="71">
        <f ca="1">-IF(C138=1,(F138+K138+L138+Q138)/2*'Invoer gegevens'!$I$36*Reeksen!H138,0)</f>
        <v>0</v>
      </c>
      <c r="AV138" s="71">
        <f>IF('Invoer gegevens'!$C$3="Basis",0,#REF!)</f>
        <v>0</v>
      </c>
      <c r="AW138" s="71">
        <f t="shared" ca="1" si="30"/>
        <v>0</v>
      </c>
      <c r="AX138" s="71">
        <f ca="1">IF(E138&lt;'Invoer gegevens'!$C$17+15,0,IF(E138&gt;'Invoer gegevens'!$C$17+215,0,AW138))</f>
        <v>0</v>
      </c>
      <c r="AY138" s="71">
        <f ca="1">AX138/(1+'Invoer gegevens'!$F$18)^($AZ138-('Invoer gegevens'!$C$17-'Invoer gegevens'!$C$16))/(1+'Invoer gegevens'!$C$39)^('Invoer gegevens'!$C$17-'Invoer gegevens'!$C$16)</f>
        <v>0</v>
      </c>
      <c r="AZ138" s="68">
        <f ca="1">IF(E138-'Invoer gegevens'!$C$17-14.5&lt;0,0,E138-'Invoer gegevens'!$C$17-14.5)</f>
        <v>118.5</v>
      </c>
    </row>
    <row r="139" spans="2:52" x14ac:dyDescent="0.25">
      <c r="B139" s="70">
        <f t="shared" si="31"/>
        <v>135</v>
      </c>
      <c r="C139" s="67">
        <f ca="1">IF(E139-'Invoer gegevens'!$C$17&lt;0,0,1)</f>
        <v>1</v>
      </c>
      <c r="D139" s="68">
        <f t="shared" si="32"/>
        <v>134.5</v>
      </c>
      <c r="E139" s="108">
        <f ca="1">IF('Invoer gegevens'!$C$16="","",E138+1)</f>
        <v>2153</v>
      </c>
      <c r="F139" s="84">
        <f ca="1">IF('Invoer gegevens'!$C$17=E139,'Invoer gegevens'!$C$10,IF(C139=1,K138,0))</f>
        <v>0</v>
      </c>
      <c r="G139" s="96">
        <f ca="1">IF(C139&gt;=1,F139*VLOOKUP(E139,Reeksen!$A$5:$B$76,2),0)</f>
        <v>0</v>
      </c>
      <c r="H139" s="84">
        <f ca="1">(1-('Invoer gegevens'!$F$20/12))*F139*MIN(Reeksen!B139,Reeksen!D139)</f>
        <v>0</v>
      </c>
      <c r="I139" s="84">
        <f>IF(Reeksen!D139&lt;Reeksen!B139,(Reeksen!B139-Reeksen!D139)*F139,0)</f>
        <v>0</v>
      </c>
      <c r="J139" s="84">
        <f ca="1">('Invoer gegevens'!$F$20/12)*F138*MIN(Reeksen!B138,Reeksen!D138)</f>
        <v>0</v>
      </c>
      <c r="K139" s="97">
        <f t="shared" ca="1" si="23"/>
        <v>0</v>
      </c>
      <c r="L139" s="84">
        <f ca="1">IF('Invoer gegevens'!$C$17=E139,0,IF(C139=1,Q138,0))</f>
        <v>0</v>
      </c>
      <c r="M139" s="96">
        <f ca="1">IF(C139&gt;=1,L139*VLOOKUP(E139,Reeksen!$A$5:$B$76,2),0)</f>
        <v>0</v>
      </c>
      <c r="N139" s="84">
        <f ca="1">(1-('Invoer gegevens'!$F$20/12))*L139*MIN(Reeksen!B139,Reeksen!D139)</f>
        <v>0</v>
      </c>
      <c r="O139" s="84">
        <f>IF(Reeksen!D139&lt;Reeksen!B139,(Reeksen!B139-Reeksen!D139)*L139,0)</f>
        <v>0</v>
      </c>
      <c r="P139" s="84">
        <f ca="1">('Invoer gegevens'!$F$20/12)*L138*MIN(Reeksen!B138,Reeksen!D138)</f>
        <v>0</v>
      </c>
      <c r="Q139" s="84">
        <f t="shared" ca="1" si="24"/>
        <v>0</v>
      </c>
      <c r="R139" s="82">
        <f ca="1">IF('Invoer gegevens'!$C$17=E139,'Invoer gegevens'!$C$11,IF(C139=1,W138,0))</f>
        <v>0</v>
      </c>
      <c r="S139" s="86">
        <f ca="1">IF(C139&gt;=1,R139*VLOOKUP(E139,Reeksen!$A$5:$B$76,2),0)</f>
        <v>0</v>
      </c>
      <c r="T139" s="84">
        <f ca="1">(1-('Invoer gegevens'!$F$20/12))*R139*MIN(Reeksen!B139,Reeksen!D139)</f>
        <v>0</v>
      </c>
      <c r="U139" s="84">
        <f>IF(Reeksen!D139&gt;=Reeksen!B139,0,IF(Reeksen!AK139&lt;=Reeksen!AE139,(Reeksen!B139-Reeksen!D139)*R139,0))</f>
        <v>0</v>
      </c>
      <c r="V139" s="86">
        <f>IF(Reeksen!D139&gt;=Reeksen!B139,0,IF(Reeksen!AK139&gt;Reeksen!AE139,(Reeksen!B139-Reeksen!D139)*R139,0))</f>
        <v>0</v>
      </c>
      <c r="W139" s="97">
        <f t="shared" ca="1" si="25"/>
        <v>0</v>
      </c>
      <c r="X139" s="98">
        <f ca="1">IF('Invoer gegevens'!$C$17=E139,'Invoer gegevens'!$C$10-'Invoer gegevens'!$C$11,IF(C139=1,AC138,0))</f>
        <v>0</v>
      </c>
      <c r="Y139" s="98">
        <f ca="1">IF(C139&gt;=1,X139*VLOOKUP(E139,Reeksen!$A$5:$B$76,2),0)</f>
        <v>0</v>
      </c>
      <c r="Z139" s="98">
        <f ca="1">(1-('Invoer gegevens'!$F$20/12))*X139*MIN(Reeksen!B139,Reeksen!D139)</f>
        <v>0</v>
      </c>
      <c r="AA139" s="98">
        <f>IF(Reeksen!D139&gt;=Reeksen!B139,0,IF(Reeksen!AK139&lt;=Reeksen!AE139,(Reeksen!B139-Reeksen!D139)*X139,0))</f>
        <v>0</v>
      </c>
      <c r="AB139" s="98">
        <f>IF(Reeksen!D139&gt;=Reeksen!B139,0,IF(Reeksen!AK139&gt;Reeksen!AE139,(Reeksen!B139-Reeksen!D139)*X139,0))</f>
        <v>0</v>
      </c>
      <c r="AC139" s="99">
        <f t="shared" ca="1" si="26"/>
        <v>0</v>
      </c>
      <c r="AD139" s="98">
        <f ca="1">IF('Invoer gegevens'!$C$17=E139,R139,IF(C139=0,0,AE138))</f>
        <v>0</v>
      </c>
      <c r="AE139" s="98">
        <f t="shared" ca="1" si="27"/>
        <v>0</v>
      </c>
      <c r="AF139" s="98">
        <f ca="1">IF('Invoer gegevens'!$C$17=E139,X139,IF(C139=0,0,AG138))</f>
        <v>0</v>
      </c>
      <c r="AG139" s="98">
        <f t="shared" ca="1" si="28"/>
        <v>0</v>
      </c>
      <c r="AH139" s="68"/>
      <c r="AI139" s="71">
        <f ca="1">IF(C139=1,Reeksen!AJ139*((F139-G139+F139)/2)*12+Reeksen!AK139*((L139-M139+L139)/2)*12,0)</f>
        <v>0</v>
      </c>
      <c r="AJ139" s="71">
        <f ca="1">-AI139*'Invoer gegevens'!$F$28</f>
        <v>0</v>
      </c>
      <c r="AK139" s="71">
        <f t="shared" ca="1" si="22"/>
        <v>0</v>
      </c>
      <c r="AL139" s="71">
        <f ca="1">IF(C139=1,Reeksen!AL139*((F139-G139+F139)/2)*12+Reeksen!AM139*((L139-M139+L139)/2)*12,0)</f>
        <v>0</v>
      </c>
      <c r="AM139" s="71">
        <f ca="1">-AL139*'Invoer gegevens'!$F$31</f>
        <v>0</v>
      </c>
      <c r="AN139" s="71">
        <f t="shared" ca="1" si="29"/>
        <v>0</v>
      </c>
      <c r="AO139" s="71">
        <f ca="1">IF(C139=1,(H139+J139+N139+P139)*Reeksen!AN139,0)</f>
        <v>0</v>
      </c>
      <c r="AP139" s="71">
        <f ca="1">-IF(C139=1,(H139+J139+N139+P139)*'Hulp - basis'!$G$550*Reeksen!H139,0)</f>
        <v>0</v>
      </c>
      <c r="AQ139" s="71">
        <f ca="1">-IF(C139=1,(F139+K139+L139+Q139)/2*'Invoer gegevens'!$I$33*Reeksen!J139,0)*2</f>
        <v>0</v>
      </c>
      <c r="AR139" s="71">
        <f ca="1">-IF(C139=1,(I139*'Invoer gegevens'!$I$34)*Reeksen!J139,0)</f>
        <v>0</v>
      </c>
      <c r="AS139" s="71">
        <f ca="1">-IF(C139=1,(F139+K139+L139+Q139)/2*'Invoer gegevens'!$I$35*Reeksen!L139,0)</f>
        <v>0</v>
      </c>
      <c r="AT139" s="71">
        <f ca="1">-IF(C139=1,IF(E139='Invoer gegevens'!$C$17,'Invoer gegevens'!$C$11,AD139)*Reeksen!S139*'Invoer gegevens'!$C$18*Reeksen!P139,0)</f>
        <v>0</v>
      </c>
      <c r="AU139" s="71">
        <f ca="1">-IF(C139=1,(F139+K139+L139+Q139)/2*'Invoer gegevens'!$I$36*Reeksen!H139,0)</f>
        <v>0</v>
      </c>
      <c r="AV139" s="71">
        <f>IF('Invoer gegevens'!$C$3="Basis",0,#REF!)</f>
        <v>0</v>
      </c>
      <c r="AW139" s="71">
        <f t="shared" ca="1" si="30"/>
        <v>0</v>
      </c>
      <c r="AX139" s="71">
        <f ca="1">IF(E139&lt;'Invoer gegevens'!$C$17+15,0,IF(E139&gt;'Invoer gegevens'!$C$17+215,0,AW139))</f>
        <v>0</v>
      </c>
      <c r="AY139" s="71">
        <f ca="1">AX139/(1+'Invoer gegevens'!$F$18)^($AZ139-('Invoer gegevens'!$C$17-'Invoer gegevens'!$C$16))/(1+'Invoer gegevens'!$C$39)^('Invoer gegevens'!$C$17-'Invoer gegevens'!$C$16)</f>
        <v>0</v>
      </c>
      <c r="AZ139" s="68">
        <f ca="1">IF(E139-'Invoer gegevens'!$C$17-14.5&lt;0,0,E139-'Invoer gegevens'!$C$17-14.5)</f>
        <v>119.5</v>
      </c>
    </row>
    <row r="140" spans="2:52" x14ac:dyDescent="0.25">
      <c r="B140" s="70">
        <f t="shared" si="31"/>
        <v>136</v>
      </c>
      <c r="C140" s="67">
        <f ca="1">IF(E140-'Invoer gegevens'!$C$17&lt;0,0,1)</f>
        <v>1</v>
      </c>
      <c r="D140" s="68">
        <f t="shared" si="32"/>
        <v>135.5</v>
      </c>
      <c r="E140" s="108">
        <f ca="1">IF('Invoer gegevens'!$C$16="","",E139+1)</f>
        <v>2154</v>
      </c>
      <c r="F140" s="84">
        <f ca="1">IF('Invoer gegevens'!$C$17=E140,'Invoer gegevens'!$C$10,IF(C140=1,K139,0))</f>
        <v>0</v>
      </c>
      <c r="G140" s="96">
        <f ca="1">IF(C140&gt;=1,F140*VLOOKUP(E140,Reeksen!$A$5:$B$76,2),0)</f>
        <v>0</v>
      </c>
      <c r="H140" s="84">
        <f ca="1">(1-('Invoer gegevens'!$F$20/12))*F140*MIN(Reeksen!B140,Reeksen!D140)</f>
        <v>0</v>
      </c>
      <c r="I140" s="84">
        <f>IF(Reeksen!D140&lt;Reeksen!B140,(Reeksen!B140-Reeksen!D140)*F140,0)</f>
        <v>0</v>
      </c>
      <c r="J140" s="84">
        <f ca="1">('Invoer gegevens'!$F$20/12)*F139*MIN(Reeksen!B139,Reeksen!D139)</f>
        <v>0</v>
      </c>
      <c r="K140" s="97">
        <f t="shared" ca="1" si="23"/>
        <v>0</v>
      </c>
      <c r="L140" s="84">
        <f ca="1">IF('Invoer gegevens'!$C$17=E140,0,IF(C140=1,Q139,0))</f>
        <v>0</v>
      </c>
      <c r="M140" s="96">
        <f ca="1">IF(C140&gt;=1,L140*VLOOKUP(E140,Reeksen!$A$5:$B$76,2),0)</f>
        <v>0</v>
      </c>
      <c r="N140" s="84">
        <f ca="1">(1-('Invoer gegevens'!$F$20/12))*L140*MIN(Reeksen!B140,Reeksen!D140)</f>
        <v>0</v>
      </c>
      <c r="O140" s="84">
        <f>IF(Reeksen!D140&lt;Reeksen!B140,(Reeksen!B140-Reeksen!D140)*L140,0)</f>
        <v>0</v>
      </c>
      <c r="P140" s="84">
        <f ca="1">('Invoer gegevens'!$F$20/12)*L139*MIN(Reeksen!B139,Reeksen!D139)</f>
        <v>0</v>
      </c>
      <c r="Q140" s="84">
        <f t="shared" ca="1" si="24"/>
        <v>0</v>
      </c>
      <c r="R140" s="82">
        <f ca="1">IF('Invoer gegevens'!$C$17=E140,'Invoer gegevens'!$C$11,IF(C140=1,W139,0))</f>
        <v>0</v>
      </c>
      <c r="S140" s="86">
        <f ca="1">IF(C140&gt;=1,R140*VLOOKUP(E140,Reeksen!$A$5:$B$76,2),0)</f>
        <v>0</v>
      </c>
      <c r="T140" s="84">
        <f ca="1">(1-('Invoer gegevens'!$F$20/12))*R140*MIN(Reeksen!B140,Reeksen!D140)</f>
        <v>0</v>
      </c>
      <c r="U140" s="84">
        <f>IF(Reeksen!D140&gt;=Reeksen!B140,0,IF(Reeksen!AK140&lt;=Reeksen!AE140,(Reeksen!B140-Reeksen!D140)*R140,0))</f>
        <v>0</v>
      </c>
      <c r="V140" s="86">
        <f>IF(Reeksen!D140&gt;=Reeksen!B140,0,IF(Reeksen!AK140&gt;Reeksen!AE140,(Reeksen!B140-Reeksen!D140)*R140,0))</f>
        <v>0</v>
      </c>
      <c r="W140" s="97">
        <f t="shared" ca="1" si="25"/>
        <v>0</v>
      </c>
      <c r="X140" s="98">
        <f ca="1">IF('Invoer gegevens'!$C$17=E140,'Invoer gegevens'!$C$10-'Invoer gegevens'!$C$11,IF(C140=1,AC139,0))</f>
        <v>0</v>
      </c>
      <c r="Y140" s="98">
        <f ca="1">IF(C140&gt;=1,X140*VLOOKUP(E140,Reeksen!$A$5:$B$76,2),0)</f>
        <v>0</v>
      </c>
      <c r="Z140" s="98">
        <f ca="1">(1-('Invoer gegevens'!$F$20/12))*X140*MIN(Reeksen!B140,Reeksen!D140)</f>
        <v>0</v>
      </c>
      <c r="AA140" s="98">
        <f>IF(Reeksen!D140&gt;=Reeksen!B140,0,IF(Reeksen!AK140&lt;=Reeksen!AE140,(Reeksen!B140-Reeksen!D140)*X140,0))</f>
        <v>0</v>
      </c>
      <c r="AB140" s="98">
        <f>IF(Reeksen!D140&gt;=Reeksen!B140,0,IF(Reeksen!AK140&gt;Reeksen!AE140,(Reeksen!B140-Reeksen!D140)*X140,0))</f>
        <v>0</v>
      </c>
      <c r="AC140" s="99">
        <f t="shared" ca="1" si="26"/>
        <v>0</v>
      </c>
      <c r="AD140" s="98">
        <f ca="1">IF('Invoer gegevens'!$C$17=E140,R140,IF(C140=0,0,AE139))</f>
        <v>0</v>
      </c>
      <c r="AE140" s="98">
        <f t="shared" ca="1" si="27"/>
        <v>0</v>
      </c>
      <c r="AF140" s="98">
        <f ca="1">IF('Invoer gegevens'!$C$17=E140,X140,IF(C140=0,0,AG139))</f>
        <v>0</v>
      </c>
      <c r="AG140" s="98">
        <f t="shared" ca="1" si="28"/>
        <v>0</v>
      </c>
      <c r="AH140" s="68"/>
      <c r="AI140" s="71">
        <f ca="1">IF(C140=1,Reeksen!AJ140*((F140-G140+F140)/2)*12+Reeksen!AK140*((L140-M140+L140)/2)*12,0)</f>
        <v>0</v>
      </c>
      <c r="AJ140" s="71">
        <f ca="1">-AI140*'Invoer gegevens'!$F$28</f>
        <v>0</v>
      </c>
      <c r="AK140" s="71">
        <f t="shared" ca="1" si="22"/>
        <v>0</v>
      </c>
      <c r="AL140" s="71">
        <f ca="1">IF(C140=1,Reeksen!AL140*((F140-G140+F140)/2)*12+Reeksen!AM140*((L140-M140+L140)/2)*12,0)</f>
        <v>0</v>
      </c>
      <c r="AM140" s="71">
        <f ca="1">-AL140*'Invoer gegevens'!$F$31</f>
        <v>0</v>
      </c>
      <c r="AN140" s="71">
        <f t="shared" ca="1" si="29"/>
        <v>0</v>
      </c>
      <c r="AO140" s="71">
        <f ca="1">IF(C140=1,(H140+J140+N140+P140)*Reeksen!AN140,0)</f>
        <v>0</v>
      </c>
      <c r="AP140" s="71">
        <f ca="1">-IF(C140=1,(H140+J140+N140+P140)*'Hulp - basis'!$G$550*Reeksen!H140,0)</f>
        <v>0</v>
      </c>
      <c r="AQ140" s="71">
        <f ca="1">-IF(C140=1,(F140+K140+L140+Q140)/2*'Invoer gegevens'!$I$33*Reeksen!J140,0)*2</f>
        <v>0</v>
      </c>
      <c r="AR140" s="71">
        <f ca="1">-IF(C140=1,(I140*'Invoer gegevens'!$I$34)*Reeksen!J140,0)</f>
        <v>0</v>
      </c>
      <c r="AS140" s="71">
        <f ca="1">-IF(C140=1,(F140+K140+L140+Q140)/2*'Invoer gegevens'!$I$35*Reeksen!L140,0)</f>
        <v>0</v>
      </c>
      <c r="AT140" s="71">
        <f ca="1">-IF(C140=1,IF(E140='Invoer gegevens'!$C$17,'Invoer gegevens'!$C$11,AD140)*Reeksen!S140*'Invoer gegevens'!$C$18*Reeksen!P140,0)</f>
        <v>0</v>
      </c>
      <c r="AU140" s="71">
        <f ca="1">-IF(C140=1,(F140+K140+L140+Q140)/2*'Invoer gegevens'!$I$36*Reeksen!H140,0)</f>
        <v>0</v>
      </c>
      <c r="AV140" s="71">
        <f>IF('Invoer gegevens'!$C$3="Basis",0,#REF!)</f>
        <v>0</v>
      </c>
      <c r="AW140" s="71">
        <f t="shared" ca="1" si="30"/>
        <v>0</v>
      </c>
      <c r="AX140" s="71">
        <f ca="1">IF(E140&lt;'Invoer gegevens'!$C$17+15,0,IF(E140&gt;'Invoer gegevens'!$C$17+215,0,AW140))</f>
        <v>0</v>
      </c>
      <c r="AY140" s="71">
        <f ca="1">AX140/(1+'Invoer gegevens'!$F$18)^($AZ140-('Invoer gegevens'!$C$17-'Invoer gegevens'!$C$16))/(1+'Invoer gegevens'!$C$39)^('Invoer gegevens'!$C$17-'Invoer gegevens'!$C$16)</f>
        <v>0</v>
      </c>
      <c r="AZ140" s="68">
        <f ca="1">IF(E140-'Invoer gegevens'!$C$17-14.5&lt;0,0,E140-'Invoer gegevens'!$C$17-14.5)</f>
        <v>120.5</v>
      </c>
    </row>
    <row r="141" spans="2:52" x14ac:dyDescent="0.25">
      <c r="B141" s="70">
        <f t="shared" si="31"/>
        <v>137</v>
      </c>
      <c r="C141" s="67">
        <f ca="1">IF(E141-'Invoer gegevens'!$C$17&lt;0,0,1)</f>
        <v>1</v>
      </c>
      <c r="D141" s="68">
        <f t="shared" si="32"/>
        <v>136.5</v>
      </c>
      <c r="E141" s="108">
        <f ca="1">IF('Invoer gegevens'!$C$16="","",E140+1)</f>
        <v>2155</v>
      </c>
      <c r="F141" s="84">
        <f ca="1">IF('Invoer gegevens'!$C$17=E141,'Invoer gegevens'!$C$10,IF(C141=1,K140,0))</f>
        <v>0</v>
      </c>
      <c r="G141" s="96">
        <f ca="1">IF(C141&gt;=1,F141*VLOOKUP(E141,Reeksen!$A$5:$B$76,2),0)</f>
        <v>0</v>
      </c>
      <c r="H141" s="84">
        <f ca="1">(1-('Invoer gegevens'!$F$20/12))*F141*MIN(Reeksen!B141,Reeksen!D141)</f>
        <v>0</v>
      </c>
      <c r="I141" s="84">
        <f>IF(Reeksen!D141&lt;Reeksen!B141,(Reeksen!B141-Reeksen!D141)*F141,0)</f>
        <v>0</v>
      </c>
      <c r="J141" s="84">
        <f ca="1">('Invoer gegevens'!$F$20/12)*F140*MIN(Reeksen!B140,Reeksen!D140)</f>
        <v>0</v>
      </c>
      <c r="K141" s="97">
        <f t="shared" ca="1" si="23"/>
        <v>0</v>
      </c>
      <c r="L141" s="84">
        <f ca="1">IF('Invoer gegevens'!$C$17=E141,0,IF(C141=1,Q140,0))</f>
        <v>0</v>
      </c>
      <c r="M141" s="96">
        <f ca="1">IF(C141&gt;=1,L141*VLOOKUP(E141,Reeksen!$A$5:$B$76,2),0)</f>
        <v>0</v>
      </c>
      <c r="N141" s="84">
        <f ca="1">(1-('Invoer gegevens'!$F$20/12))*L141*MIN(Reeksen!B141,Reeksen!D141)</f>
        <v>0</v>
      </c>
      <c r="O141" s="84">
        <f>IF(Reeksen!D141&lt;Reeksen!B141,(Reeksen!B141-Reeksen!D141)*L141,0)</f>
        <v>0</v>
      </c>
      <c r="P141" s="84">
        <f ca="1">('Invoer gegevens'!$F$20/12)*L140*MIN(Reeksen!B140,Reeksen!D140)</f>
        <v>0</v>
      </c>
      <c r="Q141" s="84">
        <f t="shared" ca="1" si="24"/>
        <v>0</v>
      </c>
      <c r="R141" s="82">
        <f ca="1">IF('Invoer gegevens'!$C$17=E141,'Invoer gegevens'!$C$11,IF(C141=1,W140,0))</f>
        <v>0</v>
      </c>
      <c r="S141" s="86">
        <f ca="1">IF(C141&gt;=1,R141*VLOOKUP(E141,Reeksen!$A$5:$B$76,2),0)</f>
        <v>0</v>
      </c>
      <c r="T141" s="84">
        <f ca="1">(1-('Invoer gegevens'!$F$20/12))*R141*MIN(Reeksen!B141,Reeksen!D141)</f>
        <v>0</v>
      </c>
      <c r="U141" s="84">
        <f>IF(Reeksen!D141&gt;=Reeksen!B141,0,IF(Reeksen!AK141&lt;=Reeksen!AE141,(Reeksen!B141-Reeksen!D141)*R141,0))</f>
        <v>0</v>
      </c>
      <c r="V141" s="86">
        <f>IF(Reeksen!D141&gt;=Reeksen!B141,0,IF(Reeksen!AK141&gt;Reeksen!AE141,(Reeksen!B141-Reeksen!D141)*R141,0))</f>
        <v>0</v>
      </c>
      <c r="W141" s="97">
        <f t="shared" ca="1" si="25"/>
        <v>0</v>
      </c>
      <c r="X141" s="98">
        <f ca="1">IF('Invoer gegevens'!$C$17=E141,'Invoer gegevens'!$C$10-'Invoer gegevens'!$C$11,IF(C141=1,AC140,0))</f>
        <v>0</v>
      </c>
      <c r="Y141" s="98">
        <f ca="1">IF(C141&gt;=1,X141*VLOOKUP(E141,Reeksen!$A$5:$B$76,2),0)</f>
        <v>0</v>
      </c>
      <c r="Z141" s="98">
        <f ca="1">(1-('Invoer gegevens'!$F$20/12))*X141*MIN(Reeksen!B141,Reeksen!D141)</f>
        <v>0</v>
      </c>
      <c r="AA141" s="98">
        <f>IF(Reeksen!D141&gt;=Reeksen!B141,0,IF(Reeksen!AK141&lt;=Reeksen!AE141,(Reeksen!B141-Reeksen!D141)*X141,0))</f>
        <v>0</v>
      </c>
      <c r="AB141" s="98">
        <f>IF(Reeksen!D141&gt;=Reeksen!B141,0,IF(Reeksen!AK141&gt;Reeksen!AE141,(Reeksen!B141-Reeksen!D141)*X141,0))</f>
        <v>0</v>
      </c>
      <c r="AC141" s="99">
        <f t="shared" ca="1" si="26"/>
        <v>0</v>
      </c>
      <c r="AD141" s="98">
        <f ca="1">IF('Invoer gegevens'!$C$17=E141,R141,IF(C141=0,0,AE140))</f>
        <v>0</v>
      </c>
      <c r="AE141" s="98">
        <f t="shared" ca="1" si="27"/>
        <v>0</v>
      </c>
      <c r="AF141" s="98">
        <f ca="1">IF('Invoer gegevens'!$C$17=E141,X141,IF(C141=0,0,AG140))</f>
        <v>0</v>
      </c>
      <c r="AG141" s="98">
        <f t="shared" ca="1" si="28"/>
        <v>0</v>
      </c>
      <c r="AH141" s="68"/>
      <c r="AI141" s="71">
        <f ca="1">IF(C141=1,Reeksen!AJ141*((F141-G141+F141)/2)*12+Reeksen!AK141*((L141-M141+L141)/2)*12,0)</f>
        <v>0</v>
      </c>
      <c r="AJ141" s="71">
        <f ca="1">-AI141*'Invoer gegevens'!$F$28</f>
        <v>0</v>
      </c>
      <c r="AK141" s="71">
        <f t="shared" ca="1" si="22"/>
        <v>0</v>
      </c>
      <c r="AL141" s="71">
        <f ca="1">IF(C141=1,Reeksen!AL141*((F141-G141+F141)/2)*12+Reeksen!AM141*((L141-M141+L141)/2)*12,0)</f>
        <v>0</v>
      </c>
      <c r="AM141" s="71">
        <f ca="1">-AL141*'Invoer gegevens'!$F$31</f>
        <v>0</v>
      </c>
      <c r="AN141" s="71">
        <f t="shared" ca="1" si="29"/>
        <v>0</v>
      </c>
      <c r="AO141" s="71">
        <f ca="1">IF(C141=1,(H141+J141+N141+P141)*Reeksen!AN141,0)</f>
        <v>0</v>
      </c>
      <c r="AP141" s="71">
        <f ca="1">-IF(C141=1,(H141+J141+N141+P141)*'Hulp - basis'!$G$550*Reeksen!H141,0)</f>
        <v>0</v>
      </c>
      <c r="AQ141" s="71">
        <f ca="1">-IF(C141=1,(F141+K141+L141+Q141)/2*'Invoer gegevens'!$I$33*Reeksen!J141,0)*2</f>
        <v>0</v>
      </c>
      <c r="AR141" s="71">
        <f ca="1">-IF(C141=1,(I141*'Invoer gegevens'!$I$34)*Reeksen!J141,0)</f>
        <v>0</v>
      </c>
      <c r="AS141" s="71">
        <f ca="1">-IF(C141=1,(F141+K141+L141+Q141)/2*'Invoer gegevens'!$I$35*Reeksen!L141,0)</f>
        <v>0</v>
      </c>
      <c r="AT141" s="71">
        <f ca="1">-IF(C141=1,IF(E141='Invoer gegevens'!$C$17,'Invoer gegevens'!$C$11,AD141)*Reeksen!S141*'Invoer gegevens'!$C$18*Reeksen!P141,0)</f>
        <v>0</v>
      </c>
      <c r="AU141" s="71">
        <f ca="1">-IF(C141=1,(F141+K141+L141+Q141)/2*'Invoer gegevens'!$I$36*Reeksen!H141,0)</f>
        <v>0</v>
      </c>
      <c r="AV141" s="71">
        <f>IF('Invoer gegevens'!$C$3="Basis",0,#REF!)</f>
        <v>0</v>
      </c>
      <c r="AW141" s="71">
        <f t="shared" ca="1" si="30"/>
        <v>0</v>
      </c>
      <c r="AX141" s="71">
        <f ca="1">IF(E141&lt;'Invoer gegevens'!$C$17+15,0,IF(E141&gt;'Invoer gegevens'!$C$17+215,0,AW141))</f>
        <v>0</v>
      </c>
      <c r="AY141" s="71">
        <f ca="1">AX141/(1+'Invoer gegevens'!$F$18)^($AZ141-('Invoer gegevens'!$C$17-'Invoer gegevens'!$C$16))/(1+'Invoer gegevens'!$C$39)^('Invoer gegevens'!$C$17-'Invoer gegevens'!$C$16)</f>
        <v>0</v>
      </c>
      <c r="AZ141" s="68">
        <f ca="1">IF(E141-'Invoer gegevens'!$C$17-14.5&lt;0,0,E141-'Invoer gegevens'!$C$17-14.5)</f>
        <v>121.5</v>
      </c>
    </row>
    <row r="142" spans="2:52" x14ac:dyDescent="0.25">
      <c r="B142" s="70">
        <f t="shared" si="31"/>
        <v>138</v>
      </c>
      <c r="C142" s="67">
        <f ca="1">IF(E142-'Invoer gegevens'!$C$17&lt;0,0,1)</f>
        <v>1</v>
      </c>
      <c r="D142" s="68">
        <f t="shared" si="32"/>
        <v>137.5</v>
      </c>
      <c r="E142" s="108">
        <f ca="1">IF('Invoer gegevens'!$C$16="","",E141+1)</f>
        <v>2156</v>
      </c>
      <c r="F142" s="84">
        <f ca="1">IF('Invoer gegevens'!$C$17=E142,'Invoer gegevens'!$C$10,IF(C142=1,K141,0))</f>
        <v>0</v>
      </c>
      <c r="G142" s="96">
        <f ca="1">IF(C142&gt;=1,F142*VLOOKUP(E142,Reeksen!$A$5:$B$76,2),0)</f>
        <v>0</v>
      </c>
      <c r="H142" s="84">
        <f ca="1">(1-('Invoer gegevens'!$F$20/12))*F142*MIN(Reeksen!B142,Reeksen!D142)</f>
        <v>0</v>
      </c>
      <c r="I142" s="84">
        <f>IF(Reeksen!D142&lt;Reeksen!B142,(Reeksen!B142-Reeksen!D142)*F142,0)</f>
        <v>0</v>
      </c>
      <c r="J142" s="84">
        <f ca="1">('Invoer gegevens'!$F$20/12)*F141*MIN(Reeksen!B141,Reeksen!D141)</f>
        <v>0</v>
      </c>
      <c r="K142" s="97">
        <f t="shared" ca="1" si="23"/>
        <v>0</v>
      </c>
      <c r="L142" s="84">
        <f ca="1">IF('Invoer gegevens'!$C$17=E142,0,IF(C142=1,Q141,0))</f>
        <v>0</v>
      </c>
      <c r="M142" s="96">
        <f ca="1">IF(C142&gt;=1,L142*VLOOKUP(E142,Reeksen!$A$5:$B$76,2),0)</f>
        <v>0</v>
      </c>
      <c r="N142" s="84">
        <f ca="1">(1-('Invoer gegevens'!$F$20/12))*L142*MIN(Reeksen!B142,Reeksen!D142)</f>
        <v>0</v>
      </c>
      <c r="O142" s="84">
        <f>IF(Reeksen!D142&lt;Reeksen!B142,(Reeksen!B142-Reeksen!D142)*L142,0)</f>
        <v>0</v>
      </c>
      <c r="P142" s="84">
        <f ca="1">('Invoer gegevens'!$F$20/12)*L141*MIN(Reeksen!B141,Reeksen!D141)</f>
        <v>0</v>
      </c>
      <c r="Q142" s="84">
        <f t="shared" ca="1" si="24"/>
        <v>0</v>
      </c>
      <c r="R142" s="82">
        <f ca="1">IF('Invoer gegevens'!$C$17=E142,'Invoer gegevens'!$C$11,IF(C142=1,W141,0))</f>
        <v>0</v>
      </c>
      <c r="S142" s="86">
        <f ca="1">IF(C142&gt;=1,R142*VLOOKUP(E142,Reeksen!$A$5:$B$76,2),0)</f>
        <v>0</v>
      </c>
      <c r="T142" s="84">
        <f ca="1">(1-('Invoer gegevens'!$F$20/12))*R142*MIN(Reeksen!B142,Reeksen!D142)</f>
        <v>0</v>
      </c>
      <c r="U142" s="84">
        <f>IF(Reeksen!D142&gt;=Reeksen!B142,0,IF(Reeksen!AK142&lt;=Reeksen!AE142,(Reeksen!B142-Reeksen!D142)*R142,0))</f>
        <v>0</v>
      </c>
      <c r="V142" s="86">
        <f>IF(Reeksen!D142&gt;=Reeksen!B142,0,IF(Reeksen!AK142&gt;Reeksen!AE142,(Reeksen!B142-Reeksen!D142)*R142,0))</f>
        <v>0</v>
      </c>
      <c r="W142" s="97">
        <f t="shared" ca="1" si="25"/>
        <v>0</v>
      </c>
      <c r="X142" s="98">
        <f ca="1">IF('Invoer gegevens'!$C$17=E142,'Invoer gegevens'!$C$10-'Invoer gegevens'!$C$11,IF(C142=1,AC141,0))</f>
        <v>0</v>
      </c>
      <c r="Y142" s="98">
        <f ca="1">IF(C142&gt;=1,X142*VLOOKUP(E142,Reeksen!$A$5:$B$76,2),0)</f>
        <v>0</v>
      </c>
      <c r="Z142" s="98">
        <f ca="1">(1-('Invoer gegevens'!$F$20/12))*X142*MIN(Reeksen!B142,Reeksen!D142)</f>
        <v>0</v>
      </c>
      <c r="AA142" s="98">
        <f>IF(Reeksen!D142&gt;=Reeksen!B142,0,IF(Reeksen!AK142&lt;=Reeksen!AE142,(Reeksen!B142-Reeksen!D142)*X142,0))</f>
        <v>0</v>
      </c>
      <c r="AB142" s="98">
        <f>IF(Reeksen!D142&gt;=Reeksen!B142,0,IF(Reeksen!AK142&gt;Reeksen!AE142,(Reeksen!B142-Reeksen!D142)*X142,0))</f>
        <v>0</v>
      </c>
      <c r="AC142" s="99">
        <f t="shared" ca="1" si="26"/>
        <v>0</v>
      </c>
      <c r="AD142" s="98">
        <f ca="1">IF('Invoer gegevens'!$C$17=E142,R142,IF(C142=0,0,AE141))</f>
        <v>0</v>
      </c>
      <c r="AE142" s="98">
        <f t="shared" ca="1" si="27"/>
        <v>0</v>
      </c>
      <c r="AF142" s="98">
        <f ca="1">IF('Invoer gegevens'!$C$17=E142,X142,IF(C142=0,0,AG141))</f>
        <v>0</v>
      </c>
      <c r="AG142" s="98">
        <f t="shared" ca="1" si="28"/>
        <v>0</v>
      </c>
      <c r="AH142" s="68"/>
      <c r="AI142" s="71">
        <f ca="1">IF(C142=1,Reeksen!AJ142*((F142-G142+F142)/2)*12+Reeksen!AK142*((L142-M142+L142)/2)*12,0)</f>
        <v>0</v>
      </c>
      <c r="AJ142" s="71">
        <f ca="1">-AI142*'Invoer gegevens'!$F$28</f>
        <v>0</v>
      </c>
      <c r="AK142" s="71">
        <f t="shared" ca="1" si="22"/>
        <v>0</v>
      </c>
      <c r="AL142" s="71">
        <f ca="1">IF(C142=1,Reeksen!AL142*((F142-G142+F142)/2)*12+Reeksen!AM142*((L142-M142+L142)/2)*12,0)</f>
        <v>0</v>
      </c>
      <c r="AM142" s="71">
        <f ca="1">-AL142*'Invoer gegevens'!$F$31</f>
        <v>0</v>
      </c>
      <c r="AN142" s="71">
        <f t="shared" ca="1" si="29"/>
        <v>0</v>
      </c>
      <c r="AO142" s="71">
        <f ca="1">IF(C142=1,(H142+J142+N142+P142)*Reeksen!AN142,0)</f>
        <v>0</v>
      </c>
      <c r="AP142" s="71">
        <f ca="1">-IF(C142=1,(H142+J142+N142+P142)*'Hulp - basis'!$G$550*Reeksen!H142,0)</f>
        <v>0</v>
      </c>
      <c r="AQ142" s="71">
        <f ca="1">-IF(C142=1,(F142+K142+L142+Q142)/2*'Invoer gegevens'!$I$33*Reeksen!J142,0)*2</f>
        <v>0</v>
      </c>
      <c r="AR142" s="71">
        <f ca="1">-IF(C142=1,(I142*'Invoer gegevens'!$I$34)*Reeksen!J142,0)</f>
        <v>0</v>
      </c>
      <c r="AS142" s="71">
        <f ca="1">-IF(C142=1,(F142+K142+L142+Q142)/2*'Invoer gegevens'!$I$35*Reeksen!L142,0)</f>
        <v>0</v>
      </c>
      <c r="AT142" s="71">
        <f ca="1">-IF(C142=1,IF(E142='Invoer gegevens'!$C$17,'Invoer gegevens'!$C$11,AD142)*Reeksen!S142*'Invoer gegevens'!$C$18*Reeksen!P142,0)</f>
        <v>0</v>
      </c>
      <c r="AU142" s="71">
        <f ca="1">-IF(C142=1,(F142+K142+L142+Q142)/2*'Invoer gegevens'!$I$36*Reeksen!H142,0)</f>
        <v>0</v>
      </c>
      <c r="AV142" s="71">
        <f>IF('Invoer gegevens'!$C$3="Basis",0,#REF!)</f>
        <v>0</v>
      </c>
      <c r="AW142" s="71">
        <f t="shared" ca="1" si="30"/>
        <v>0</v>
      </c>
      <c r="AX142" s="71">
        <f ca="1">IF(E142&lt;'Invoer gegevens'!$C$17+15,0,IF(E142&gt;'Invoer gegevens'!$C$17+215,0,AW142))</f>
        <v>0</v>
      </c>
      <c r="AY142" s="71">
        <f ca="1">AX142/(1+'Invoer gegevens'!$F$18)^($AZ142-('Invoer gegevens'!$C$17-'Invoer gegevens'!$C$16))/(1+'Invoer gegevens'!$C$39)^('Invoer gegevens'!$C$17-'Invoer gegevens'!$C$16)</f>
        <v>0</v>
      </c>
      <c r="AZ142" s="68">
        <f ca="1">IF(E142-'Invoer gegevens'!$C$17-14.5&lt;0,0,E142-'Invoer gegevens'!$C$17-14.5)</f>
        <v>122.5</v>
      </c>
    </row>
    <row r="143" spans="2:52" x14ac:dyDescent="0.25">
      <c r="B143" s="70">
        <f t="shared" si="31"/>
        <v>139</v>
      </c>
      <c r="C143" s="67">
        <f ca="1">IF(E143-'Invoer gegevens'!$C$17&lt;0,0,1)</f>
        <v>1</v>
      </c>
      <c r="D143" s="68">
        <f t="shared" si="32"/>
        <v>138.5</v>
      </c>
      <c r="E143" s="108">
        <f ca="1">IF('Invoer gegevens'!$C$16="","",E142+1)</f>
        <v>2157</v>
      </c>
      <c r="F143" s="84">
        <f ca="1">IF('Invoer gegevens'!$C$17=E143,'Invoer gegevens'!$C$10,IF(C143=1,K142,0))</f>
        <v>0</v>
      </c>
      <c r="G143" s="96">
        <f ca="1">IF(C143&gt;=1,F143*VLOOKUP(E143,Reeksen!$A$5:$B$76,2),0)</f>
        <v>0</v>
      </c>
      <c r="H143" s="84">
        <f ca="1">(1-('Invoer gegevens'!$F$20/12))*F143*MIN(Reeksen!B143,Reeksen!D143)</f>
        <v>0</v>
      </c>
      <c r="I143" s="84">
        <f>IF(Reeksen!D143&lt;Reeksen!B143,(Reeksen!B143-Reeksen!D143)*F143,0)</f>
        <v>0</v>
      </c>
      <c r="J143" s="84">
        <f ca="1">('Invoer gegevens'!$F$20/12)*F142*MIN(Reeksen!B142,Reeksen!D142)</f>
        <v>0</v>
      </c>
      <c r="K143" s="97">
        <f t="shared" ca="1" si="23"/>
        <v>0</v>
      </c>
      <c r="L143" s="84">
        <f ca="1">IF('Invoer gegevens'!$C$17=E143,0,IF(C143=1,Q142,0))</f>
        <v>0</v>
      </c>
      <c r="M143" s="96">
        <f ca="1">IF(C143&gt;=1,L143*VLOOKUP(E143,Reeksen!$A$5:$B$76,2),0)</f>
        <v>0</v>
      </c>
      <c r="N143" s="84">
        <f ca="1">(1-('Invoer gegevens'!$F$20/12))*L143*MIN(Reeksen!B143,Reeksen!D143)</f>
        <v>0</v>
      </c>
      <c r="O143" s="84">
        <f>IF(Reeksen!D143&lt;Reeksen!B143,(Reeksen!B143-Reeksen!D143)*L143,0)</f>
        <v>0</v>
      </c>
      <c r="P143" s="84">
        <f ca="1">('Invoer gegevens'!$F$20/12)*L142*MIN(Reeksen!B142,Reeksen!D142)</f>
        <v>0</v>
      </c>
      <c r="Q143" s="84">
        <f t="shared" ca="1" si="24"/>
        <v>0</v>
      </c>
      <c r="R143" s="82">
        <f ca="1">IF('Invoer gegevens'!$C$17=E143,'Invoer gegevens'!$C$11,IF(C143=1,W142,0))</f>
        <v>0</v>
      </c>
      <c r="S143" s="86">
        <f ca="1">IF(C143&gt;=1,R143*VLOOKUP(E143,Reeksen!$A$5:$B$76,2),0)</f>
        <v>0</v>
      </c>
      <c r="T143" s="84">
        <f ca="1">(1-('Invoer gegevens'!$F$20/12))*R143*MIN(Reeksen!B143,Reeksen!D143)</f>
        <v>0</v>
      </c>
      <c r="U143" s="84">
        <f>IF(Reeksen!D143&gt;=Reeksen!B143,0,IF(Reeksen!AK143&lt;=Reeksen!AE143,(Reeksen!B143-Reeksen!D143)*R143,0))</f>
        <v>0</v>
      </c>
      <c r="V143" s="86">
        <f>IF(Reeksen!D143&gt;=Reeksen!B143,0,IF(Reeksen!AK143&gt;Reeksen!AE143,(Reeksen!B143-Reeksen!D143)*R143,0))</f>
        <v>0</v>
      </c>
      <c r="W143" s="97">
        <f t="shared" ca="1" si="25"/>
        <v>0</v>
      </c>
      <c r="X143" s="98">
        <f ca="1">IF('Invoer gegevens'!$C$17=E143,'Invoer gegevens'!$C$10-'Invoer gegevens'!$C$11,IF(C143=1,AC142,0))</f>
        <v>0</v>
      </c>
      <c r="Y143" s="98">
        <f ca="1">IF(C143&gt;=1,X143*VLOOKUP(E143,Reeksen!$A$5:$B$76,2),0)</f>
        <v>0</v>
      </c>
      <c r="Z143" s="98">
        <f ca="1">(1-('Invoer gegevens'!$F$20/12))*X143*MIN(Reeksen!B143,Reeksen!D143)</f>
        <v>0</v>
      </c>
      <c r="AA143" s="98">
        <f>IF(Reeksen!D143&gt;=Reeksen!B143,0,IF(Reeksen!AK143&lt;=Reeksen!AE143,(Reeksen!B143-Reeksen!D143)*X143,0))</f>
        <v>0</v>
      </c>
      <c r="AB143" s="98">
        <f>IF(Reeksen!D143&gt;=Reeksen!B143,0,IF(Reeksen!AK143&gt;Reeksen!AE143,(Reeksen!B143-Reeksen!D143)*X143,0))</f>
        <v>0</v>
      </c>
      <c r="AC143" s="99">
        <f t="shared" ca="1" si="26"/>
        <v>0</v>
      </c>
      <c r="AD143" s="98">
        <f ca="1">IF('Invoer gegevens'!$C$17=E143,R143,IF(C143=0,0,AE142))</f>
        <v>0</v>
      </c>
      <c r="AE143" s="98">
        <f t="shared" ca="1" si="27"/>
        <v>0</v>
      </c>
      <c r="AF143" s="98">
        <f ca="1">IF('Invoer gegevens'!$C$17=E143,X143,IF(C143=0,0,AG142))</f>
        <v>0</v>
      </c>
      <c r="AG143" s="98">
        <f t="shared" ca="1" si="28"/>
        <v>0</v>
      </c>
      <c r="AH143" s="68"/>
      <c r="AI143" s="71">
        <f ca="1">IF(C143=1,Reeksen!AJ143*((F143-G143+F143)/2)*12+Reeksen!AK143*((L143-M143+L143)/2)*12,0)</f>
        <v>0</v>
      </c>
      <c r="AJ143" s="71">
        <f ca="1">-AI143*'Invoer gegevens'!$F$28</f>
        <v>0</v>
      </c>
      <c r="AK143" s="71">
        <f t="shared" ca="1" si="22"/>
        <v>0</v>
      </c>
      <c r="AL143" s="71">
        <f ca="1">IF(C143=1,Reeksen!AL143*((F143-G143+F143)/2)*12+Reeksen!AM143*((L143-M143+L143)/2)*12,0)</f>
        <v>0</v>
      </c>
      <c r="AM143" s="71">
        <f ca="1">-AL143*'Invoer gegevens'!$F$31</f>
        <v>0</v>
      </c>
      <c r="AN143" s="71">
        <f t="shared" ca="1" si="29"/>
        <v>0</v>
      </c>
      <c r="AO143" s="71">
        <f ca="1">IF(C143=1,(H143+J143+N143+P143)*Reeksen!AN143,0)</f>
        <v>0</v>
      </c>
      <c r="AP143" s="71">
        <f ca="1">-IF(C143=1,(H143+J143+N143+P143)*'Hulp - basis'!$G$550*Reeksen!H143,0)</f>
        <v>0</v>
      </c>
      <c r="AQ143" s="71">
        <f ca="1">-IF(C143=1,(F143+K143+L143+Q143)/2*'Invoer gegevens'!$I$33*Reeksen!J143,0)*2</f>
        <v>0</v>
      </c>
      <c r="AR143" s="71">
        <f ca="1">-IF(C143=1,(I143*'Invoer gegevens'!$I$34)*Reeksen!J143,0)</f>
        <v>0</v>
      </c>
      <c r="AS143" s="71">
        <f ca="1">-IF(C143=1,(F143+K143+L143+Q143)/2*'Invoer gegevens'!$I$35*Reeksen!L143,0)</f>
        <v>0</v>
      </c>
      <c r="AT143" s="71">
        <f ca="1">-IF(C143=1,IF(E143='Invoer gegevens'!$C$17,'Invoer gegevens'!$C$11,AD143)*Reeksen!S143*'Invoer gegevens'!$C$18*Reeksen!P143,0)</f>
        <v>0</v>
      </c>
      <c r="AU143" s="71">
        <f ca="1">-IF(C143=1,(F143+K143+L143+Q143)/2*'Invoer gegevens'!$I$36*Reeksen!H143,0)</f>
        <v>0</v>
      </c>
      <c r="AV143" s="71">
        <f>IF('Invoer gegevens'!$C$3="Basis",0,#REF!)</f>
        <v>0</v>
      </c>
      <c r="AW143" s="71">
        <f t="shared" ca="1" si="30"/>
        <v>0</v>
      </c>
      <c r="AX143" s="71">
        <f ca="1">IF(E143&lt;'Invoer gegevens'!$C$17+15,0,IF(E143&gt;'Invoer gegevens'!$C$17+215,0,AW143))</f>
        <v>0</v>
      </c>
      <c r="AY143" s="71">
        <f ca="1">AX143/(1+'Invoer gegevens'!$F$18)^($AZ143-('Invoer gegevens'!$C$17-'Invoer gegevens'!$C$16))/(1+'Invoer gegevens'!$C$39)^('Invoer gegevens'!$C$17-'Invoer gegevens'!$C$16)</f>
        <v>0</v>
      </c>
      <c r="AZ143" s="68">
        <f ca="1">IF(E143-'Invoer gegevens'!$C$17-14.5&lt;0,0,E143-'Invoer gegevens'!$C$17-14.5)</f>
        <v>123.5</v>
      </c>
    </row>
    <row r="144" spans="2:52" x14ac:dyDescent="0.25">
      <c r="B144" s="70">
        <f t="shared" si="31"/>
        <v>140</v>
      </c>
      <c r="C144" s="67">
        <f ca="1">IF(E144-'Invoer gegevens'!$C$17&lt;0,0,1)</f>
        <v>1</v>
      </c>
      <c r="D144" s="68">
        <f t="shared" si="32"/>
        <v>139.5</v>
      </c>
      <c r="E144" s="108">
        <f ca="1">IF('Invoer gegevens'!$C$16="","",E143+1)</f>
        <v>2158</v>
      </c>
      <c r="F144" s="84">
        <f ca="1">IF('Invoer gegevens'!$C$17=E144,'Invoer gegevens'!$C$10,IF(C144=1,K143,0))</f>
        <v>0</v>
      </c>
      <c r="G144" s="96">
        <f ca="1">IF(C144&gt;=1,F144*VLOOKUP(E144,Reeksen!$A$5:$B$76,2),0)</f>
        <v>0</v>
      </c>
      <c r="H144" s="84">
        <f ca="1">(1-('Invoer gegevens'!$F$20/12))*F144*MIN(Reeksen!B144,Reeksen!D144)</f>
        <v>0</v>
      </c>
      <c r="I144" s="84">
        <f>IF(Reeksen!D144&lt;Reeksen!B144,(Reeksen!B144-Reeksen!D144)*F144,0)</f>
        <v>0</v>
      </c>
      <c r="J144" s="84">
        <f ca="1">('Invoer gegevens'!$F$20/12)*F143*MIN(Reeksen!B143,Reeksen!D143)</f>
        <v>0</v>
      </c>
      <c r="K144" s="97">
        <f t="shared" ca="1" si="23"/>
        <v>0</v>
      </c>
      <c r="L144" s="84">
        <f ca="1">IF('Invoer gegevens'!$C$17=E144,0,IF(C144=1,Q143,0))</f>
        <v>0</v>
      </c>
      <c r="M144" s="96">
        <f ca="1">IF(C144&gt;=1,L144*VLOOKUP(E144,Reeksen!$A$5:$B$76,2),0)</f>
        <v>0</v>
      </c>
      <c r="N144" s="84">
        <f ca="1">(1-('Invoer gegevens'!$F$20/12))*L144*MIN(Reeksen!B144,Reeksen!D144)</f>
        <v>0</v>
      </c>
      <c r="O144" s="84">
        <f>IF(Reeksen!D144&lt;Reeksen!B144,(Reeksen!B144-Reeksen!D144)*L144,0)</f>
        <v>0</v>
      </c>
      <c r="P144" s="84">
        <f ca="1">('Invoer gegevens'!$F$20/12)*L143*MIN(Reeksen!B143,Reeksen!D143)</f>
        <v>0</v>
      </c>
      <c r="Q144" s="84">
        <f t="shared" ca="1" si="24"/>
        <v>0</v>
      </c>
      <c r="R144" s="82">
        <f ca="1">IF('Invoer gegevens'!$C$17=E144,'Invoer gegevens'!$C$11,IF(C144=1,W143,0))</f>
        <v>0</v>
      </c>
      <c r="S144" s="86">
        <f ca="1">IF(C144&gt;=1,R144*VLOOKUP(E144,Reeksen!$A$5:$B$76,2),0)</f>
        <v>0</v>
      </c>
      <c r="T144" s="84">
        <f ca="1">(1-('Invoer gegevens'!$F$20/12))*R144*MIN(Reeksen!B144,Reeksen!D144)</f>
        <v>0</v>
      </c>
      <c r="U144" s="84">
        <f>IF(Reeksen!D144&gt;=Reeksen!B144,0,IF(Reeksen!AK144&lt;=Reeksen!AE144,(Reeksen!B144-Reeksen!D144)*R144,0))</f>
        <v>0</v>
      </c>
      <c r="V144" s="86">
        <f>IF(Reeksen!D144&gt;=Reeksen!B144,0,IF(Reeksen!AK144&gt;Reeksen!AE144,(Reeksen!B144-Reeksen!D144)*R144,0))</f>
        <v>0</v>
      </c>
      <c r="W144" s="97">
        <f t="shared" ca="1" si="25"/>
        <v>0</v>
      </c>
      <c r="X144" s="98">
        <f ca="1">IF('Invoer gegevens'!$C$17=E144,'Invoer gegevens'!$C$10-'Invoer gegevens'!$C$11,IF(C144=1,AC143,0))</f>
        <v>0</v>
      </c>
      <c r="Y144" s="98">
        <f ca="1">IF(C144&gt;=1,X144*VLOOKUP(E144,Reeksen!$A$5:$B$76,2),0)</f>
        <v>0</v>
      </c>
      <c r="Z144" s="98">
        <f ca="1">(1-('Invoer gegevens'!$F$20/12))*X144*MIN(Reeksen!B144,Reeksen!D144)</f>
        <v>0</v>
      </c>
      <c r="AA144" s="98">
        <f>IF(Reeksen!D144&gt;=Reeksen!B144,0,IF(Reeksen!AK144&lt;=Reeksen!AE144,(Reeksen!B144-Reeksen!D144)*X144,0))</f>
        <v>0</v>
      </c>
      <c r="AB144" s="98">
        <f>IF(Reeksen!D144&gt;=Reeksen!B144,0,IF(Reeksen!AK144&gt;Reeksen!AE144,(Reeksen!B144-Reeksen!D144)*X144,0))</f>
        <v>0</v>
      </c>
      <c r="AC144" s="99">
        <f t="shared" ca="1" si="26"/>
        <v>0</v>
      </c>
      <c r="AD144" s="98">
        <f ca="1">IF('Invoer gegevens'!$C$17=E144,R144,IF(C144=0,0,AE143))</f>
        <v>0</v>
      </c>
      <c r="AE144" s="98">
        <f t="shared" ca="1" si="27"/>
        <v>0</v>
      </c>
      <c r="AF144" s="98">
        <f ca="1">IF('Invoer gegevens'!$C$17=E144,X144,IF(C144=0,0,AG143))</f>
        <v>0</v>
      </c>
      <c r="AG144" s="98">
        <f t="shared" ca="1" si="28"/>
        <v>0</v>
      </c>
      <c r="AH144" s="68"/>
      <c r="AI144" s="71">
        <f ca="1">IF(C144=1,Reeksen!AJ144*((F144-G144+F144)/2)*12+Reeksen!AK144*((L144-M144+L144)/2)*12,0)</f>
        <v>0</v>
      </c>
      <c r="AJ144" s="71">
        <f ca="1">-AI144*'Invoer gegevens'!$F$28</f>
        <v>0</v>
      </c>
      <c r="AK144" s="71">
        <f t="shared" ca="1" si="22"/>
        <v>0</v>
      </c>
      <c r="AL144" s="71">
        <f ca="1">IF(C144=1,Reeksen!AL144*((F144-G144+F144)/2)*12+Reeksen!AM144*((L144-M144+L144)/2)*12,0)</f>
        <v>0</v>
      </c>
      <c r="AM144" s="71">
        <f ca="1">-AL144*'Invoer gegevens'!$F$31</f>
        <v>0</v>
      </c>
      <c r="AN144" s="71">
        <f t="shared" ca="1" si="29"/>
        <v>0</v>
      </c>
      <c r="AO144" s="71">
        <f ca="1">IF(C144=1,(H144+J144+N144+P144)*Reeksen!AN144,0)</f>
        <v>0</v>
      </c>
      <c r="AP144" s="71">
        <f ca="1">-IF(C144=1,(H144+J144+N144+P144)*'Hulp - basis'!$G$550*Reeksen!H144,0)</f>
        <v>0</v>
      </c>
      <c r="AQ144" s="71">
        <f ca="1">-IF(C144=1,(F144+K144+L144+Q144)/2*'Invoer gegevens'!$I$33*Reeksen!J144,0)*2</f>
        <v>0</v>
      </c>
      <c r="AR144" s="71">
        <f ca="1">-IF(C144=1,(I144*'Invoer gegevens'!$I$34)*Reeksen!J144,0)</f>
        <v>0</v>
      </c>
      <c r="AS144" s="71">
        <f ca="1">-IF(C144=1,(F144+K144+L144+Q144)/2*'Invoer gegevens'!$I$35*Reeksen!L144,0)</f>
        <v>0</v>
      </c>
      <c r="AT144" s="71">
        <f ca="1">-IF(C144=1,IF(E144='Invoer gegevens'!$C$17,'Invoer gegevens'!$C$11,AD144)*Reeksen!S144*'Invoer gegevens'!$C$18*Reeksen!P144,0)</f>
        <v>0</v>
      </c>
      <c r="AU144" s="71">
        <f ca="1">-IF(C144=1,(F144+K144+L144+Q144)/2*'Invoer gegevens'!$I$36*Reeksen!H144,0)</f>
        <v>0</v>
      </c>
      <c r="AV144" s="71">
        <f>IF('Invoer gegevens'!$C$3="Basis",0,#REF!)</f>
        <v>0</v>
      </c>
      <c r="AW144" s="71">
        <f t="shared" ca="1" si="30"/>
        <v>0</v>
      </c>
      <c r="AX144" s="71">
        <f ca="1">IF(E144&lt;'Invoer gegevens'!$C$17+15,0,IF(E144&gt;'Invoer gegevens'!$C$17+215,0,AW144))</f>
        <v>0</v>
      </c>
      <c r="AY144" s="71">
        <f ca="1">AX144/(1+'Invoer gegevens'!$F$18)^($AZ144-('Invoer gegevens'!$C$17-'Invoer gegevens'!$C$16))/(1+'Invoer gegevens'!$C$39)^('Invoer gegevens'!$C$17-'Invoer gegevens'!$C$16)</f>
        <v>0</v>
      </c>
      <c r="AZ144" s="68">
        <f ca="1">IF(E144-'Invoer gegevens'!$C$17-14.5&lt;0,0,E144-'Invoer gegevens'!$C$17-14.5)</f>
        <v>124.5</v>
      </c>
    </row>
    <row r="145" spans="2:52" x14ac:dyDescent="0.25">
      <c r="B145" s="70">
        <f t="shared" si="31"/>
        <v>141</v>
      </c>
      <c r="C145" s="67">
        <f ca="1">IF(E145-'Invoer gegevens'!$C$17&lt;0,0,1)</f>
        <v>1</v>
      </c>
      <c r="D145" s="68">
        <f t="shared" si="32"/>
        <v>140.5</v>
      </c>
      <c r="E145" s="108">
        <f ca="1">IF('Invoer gegevens'!$C$16="","",E144+1)</f>
        <v>2159</v>
      </c>
      <c r="F145" s="84">
        <f ca="1">IF('Invoer gegevens'!$C$17=E145,'Invoer gegevens'!$C$10,IF(C145=1,K144,0))</f>
        <v>0</v>
      </c>
      <c r="G145" s="96">
        <f ca="1">IF(C145&gt;=1,F145*VLOOKUP(E145,Reeksen!$A$5:$B$76,2),0)</f>
        <v>0</v>
      </c>
      <c r="H145" s="84">
        <f ca="1">(1-('Invoer gegevens'!$F$20/12))*F145*MIN(Reeksen!B145,Reeksen!D145)</f>
        <v>0</v>
      </c>
      <c r="I145" s="84">
        <f>IF(Reeksen!D145&lt;Reeksen!B145,(Reeksen!B145-Reeksen!D145)*F145,0)</f>
        <v>0</v>
      </c>
      <c r="J145" s="84">
        <f ca="1">('Invoer gegevens'!$F$20/12)*F144*MIN(Reeksen!B144,Reeksen!D144)</f>
        <v>0</v>
      </c>
      <c r="K145" s="97">
        <f t="shared" ca="1" si="23"/>
        <v>0</v>
      </c>
      <c r="L145" s="84">
        <f ca="1">IF('Invoer gegevens'!$C$17=E145,0,IF(C145=1,Q144,0))</f>
        <v>0</v>
      </c>
      <c r="M145" s="96">
        <f ca="1">IF(C145&gt;=1,L145*VLOOKUP(E145,Reeksen!$A$5:$B$76,2),0)</f>
        <v>0</v>
      </c>
      <c r="N145" s="84">
        <f ca="1">(1-('Invoer gegevens'!$F$20/12))*L145*MIN(Reeksen!B145,Reeksen!D145)</f>
        <v>0</v>
      </c>
      <c r="O145" s="84">
        <f>IF(Reeksen!D145&lt;Reeksen!B145,(Reeksen!B145-Reeksen!D145)*L145,0)</f>
        <v>0</v>
      </c>
      <c r="P145" s="84">
        <f ca="1">('Invoer gegevens'!$F$20/12)*L144*MIN(Reeksen!B144,Reeksen!D144)</f>
        <v>0</v>
      </c>
      <c r="Q145" s="84">
        <f t="shared" ca="1" si="24"/>
        <v>0</v>
      </c>
      <c r="R145" s="82">
        <f ca="1">IF('Invoer gegevens'!$C$17=E145,'Invoer gegevens'!$C$11,IF(C145=1,W144,0))</f>
        <v>0</v>
      </c>
      <c r="S145" s="86">
        <f ca="1">IF(C145&gt;=1,R145*VLOOKUP(E145,Reeksen!$A$5:$B$76,2),0)</f>
        <v>0</v>
      </c>
      <c r="T145" s="84">
        <f ca="1">(1-('Invoer gegevens'!$F$20/12))*R145*MIN(Reeksen!B145,Reeksen!D145)</f>
        <v>0</v>
      </c>
      <c r="U145" s="84">
        <f>IF(Reeksen!D145&gt;=Reeksen!B145,0,IF(Reeksen!AK145&lt;=Reeksen!AE145,(Reeksen!B145-Reeksen!D145)*R145,0))</f>
        <v>0</v>
      </c>
      <c r="V145" s="86">
        <f>IF(Reeksen!D145&gt;=Reeksen!B145,0,IF(Reeksen!AK145&gt;Reeksen!AE145,(Reeksen!B145-Reeksen!D145)*R145,0))</f>
        <v>0</v>
      </c>
      <c r="W145" s="97">
        <f t="shared" ca="1" si="25"/>
        <v>0</v>
      </c>
      <c r="X145" s="98">
        <f ca="1">IF('Invoer gegevens'!$C$17=E145,'Invoer gegevens'!$C$10-'Invoer gegevens'!$C$11,IF(C145=1,AC144,0))</f>
        <v>0</v>
      </c>
      <c r="Y145" s="98">
        <f ca="1">IF(C145&gt;=1,X145*VLOOKUP(E145,Reeksen!$A$5:$B$76,2),0)</f>
        <v>0</v>
      </c>
      <c r="Z145" s="98">
        <f ca="1">(1-('Invoer gegevens'!$F$20/12))*X145*MIN(Reeksen!B145,Reeksen!D145)</f>
        <v>0</v>
      </c>
      <c r="AA145" s="98">
        <f>IF(Reeksen!D145&gt;=Reeksen!B145,0,IF(Reeksen!AK145&lt;=Reeksen!AE145,(Reeksen!B145-Reeksen!D145)*X145,0))</f>
        <v>0</v>
      </c>
      <c r="AB145" s="98">
        <f>IF(Reeksen!D145&gt;=Reeksen!B145,0,IF(Reeksen!AK145&gt;Reeksen!AE145,(Reeksen!B145-Reeksen!D145)*X145,0))</f>
        <v>0</v>
      </c>
      <c r="AC145" s="99">
        <f t="shared" ca="1" si="26"/>
        <v>0</v>
      </c>
      <c r="AD145" s="98">
        <f ca="1">IF('Invoer gegevens'!$C$17=E145,R145,IF(C145=0,0,AE144))</f>
        <v>0</v>
      </c>
      <c r="AE145" s="98">
        <f t="shared" ca="1" si="27"/>
        <v>0</v>
      </c>
      <c r="AF145" s="98">
        <f ca="1">IF('Invoer gegevens'!$C$17=E145,X145,IF(C145=0,0,AG144))</f>
        <v>0</v>
      </c>
      <c r="AG145" s="98">
        <f t="shared" ca="1" si="28"/>
        <v>0</v>
      </c>
      <c r="AH145" s="68"/>
      <c r="AI145" s="71">
        <f ca="1">IF(C145=1,Reeksen!AJ145*((F145-G145+F145)/2)*12+Reeksen!AK145*((L145-M145+L145)/2)*12,0)</f>
        <v>0</v>
      </c>
      <c r="AJ145" s="71">
        <f ca="1">-AI145*'Invoer gegevens'!$F$28</f>
        <v>0</v>
      </c>
      <c r="AK145" s="71">
        <f t="shared" ca="1" si="22"/>
        <v>0</v>
      </c>
      <c r="AL145" s="71">
        <f ca="1">IF(C145=1,Reeksen!AL145*((F145-G145+F145)/2)*12+Reeksen!AM145*((L145-M145+L145)/2)*12,0)</f>
        <v>0</v>
      </c>
      <c r="AM145" s="71">
        <f ca="1">-AL145*'Invoer gegevens'!$F$31</f>
        <v>0</v>
      </c>
      <c r="AN145" s="71">
        <f t="shared" ca="1" si="29"/>
        <v>0</v>
      </c>
      <c r="AO145" s="71">
        <f ca="1">IF(C145=1,(H145+J145+N145+P145)*Reeksen!AN145,0)</f>
        <v>0</v>
      </c>
      <c r="AP145" s="71">
        <f ca="1">-IF(C145=1,(H145+J145+N145+P145)*'Hulp - basis'!$G$550*Reeksen!H145,0)</f>
        <v>0</v>
      </c>
      <c r="AQ145" s="71">
        <f ca="1">-IF(C145=1,(F145+K145+L145+Q145)/2*'Invoer gegevens'!$I$33*Reeksen!J145,0)*2</f>
        <v>0</v>
      </c>
      <c r="AR145" s="71">
        <f ca="1">-IF(C145=1,(I145*'Invoer gegevens'!$I$34)*Reeksen!J145,0)</f>
        <v>0</v>
      </c>
      <c r="AS145" s="71">
        <f ca="1">-IF(C145=1,(F145+K145+L145+Q145)/2*'Invoer gegevens'!$I$35*Reeksen!L145,0)</f>
        <v>0</v>
      </c>
      <c r="AT145" s="71">
        <f ca="1">-IF(C145=1,IF(E145='Invoer gegevens'!$C$17,'Invoer gegevens'!$C$11,AD145)*Reeksen!S145*'Invoer gegevens'!$C$18*Reeksen!P145,0)</f>
        <v>0</v>
      </c>
      <c r="AU145" s="71">
        <f ca="1">-IF(C145=1,(F145+K145+L145+Q145)/2*'Invoer gegevens'!$I$36*Reeksen!H145,0)</f>
        <v>0</v>
      </c>
      <c r="AV145" s="71">
        <f>IF('Invoer gegevens'!$C$3="Basis",0,#REF!)</f>
        <v>0</v>
      </c>
      <c r="AW145" s="71">
        <f t="shared" ca="1" si="30"/>
        <v>0</v>
      </c>
      <c r="AX145" s="71">
        <f ca="1">IF(E145&lt;'Invoer gegevens'!$C$17+15,0,IF(E145&gt;'Invoer gegevens'!$C$17+215,0,AW145))</f>
        <v>0</v>
      </c>
      <c r="AY145" s="71">
        <f ca="1">AX145/(1+'Invoer gegevens'!$F$18)^($AZ145-('Invoer gegevens'!$C$17-'Invoer gegevens'!$C$16))/(1+'Invoer gegevens'!$C$39)^('Invoer gegevens'!$C$17-'Invoer gegevens'!$C$16)</f>
        <v>0</v>
      </c>
      <c r="AZ145" s="68">
        <f ca="1">IF(E145-'Invoer gegevens'!$C$17-14.5&lt;0,0,E145-'Invoer gegevens'!$C$17-14.5)</f>
        <v>125.5</v>
      </c>
    </row>
    <row r="146" spans="2:52" x14ac:dyDescent="0.25">
      <c r="B146" s="70">
        <f t="shared" si="31"/>
        <v>142</v>
      </c>
      <c r="C146" s="67">
        <f ca="1">IF(E146-'Invoer gegevens'!$C$17&lt;0,0,1)</f>
        <v>1</v>
      </c>
      <c r="D146" s="68">
        <f t="shared" si="32"/>
        <v>141.5</v>
      </c>
      <c r="E146" s="108">
        <f ca="1">IF('Invoer gegevens'!$C$16="","",E145+1)</f>
        <v>2160</v>
      </c>
      <c r="F146" s="84">
        <f ca="1">IF('Invoer gegevens'!$C$17=E146,'Invoer gegevens'!$C$10,IF(C146=1,K145,0))</f>
        <v>0</v>
      </c>
      <c r="G146" s="96">
        <f ca="1">IF(C146&gt;=1,F146*VLOOKUP(E146,Reeksen!$A$5:$B$76,2),0)</f>
        <v>0</v>
      </c>
      <c r="H146" s="84">
        <f ca="1">(1-('Invoer gegevens'!$F$20/12))*F146*MIN(Reeksen!B146,Reeksen!D146)</f>
        <v>0</v>
      </c>
      <c r="I146" s="84">
        <f>IF(Reeksen!D146&lt;Reeksen!B146,(Reeksen!B146-Reeksen!D146)*F146,0)</f>
        <v>0</v>
      </c>
      <c r="J146" s="84">
        <f ca="1">('Invoer gegevens'!$F$20/12)*F145*MIN(Reeksen!B145,Reeksen!D145)</f>
        <v>0</v>
      </c>
      <c r="K146" s="97">
        <f t="shared" ca="1" si="23"/>
        <v>0</v>
      </c>
      <c r="L146" s="84">
        <f ca="1">IF('Invoer gegevens'!$C$17=E146,0,IF(C146=1,Q145,0))</f>
        <v>0</v>
      </c>
      <c r="M146" s="96">
        <f ca="1">IF(C146&gt;=1,L146*VLOOKUP(E146,Reeksen!$A$5:$B$76,2),0)</f>
        <v>0</v>
      </c>
      <c r="N146" s="84">
        <f ca="1">(1-('Invoer gegevens'!$F$20/12))*L146*MIN(Reeksen!B146,Reeksen!D146)</f>
        <v>0</v>
      </c>
      <c r="O146" s="84">
        <f>IF(Reeksen!D146&lt;Reeksen!B146,(Reeksen!B146-Reeksen!D146)*L146,0)</f>
        <v>0</v>
      </c>
      <c r="P146" s="84">
        <f ca="1">('Invoer gegevens'!$F$20/12)*L145*MIN(Reeksen!B145,Reeksen!D145)</f>
        <v>0</v>
      </c>
      <c r="Q146" s="84">
        <f t="shared" ca="1" si="24"/>
        <v>0</v>
      </c>
      <c r="R146" s="82">
        <f ca="1">IF('Invoer gegevens'!$C$17=E146,'Invoer gegevens'!$C$11,IF(C146=1,W145,0))</f>
        <v>0</v>
      </c>
      <c r="S146" s="86">
        <f ca="1">IF(C146&gt;=1,R146*VLOOKUP(E146,Reeksen!$A$5:$B$76,2),0)</f>
        <v>0</v>
      </c>
      <c r="T146" s="84">
        <f ca="1">(1-('Invoer gegevens'!$F$20/12))*R146*MIN(Reeksen!B146,Reeksen!D146)</f>
        <v>0</v>
      </c>
      <c r="U146" s="84">
        <f>IF(Reeksen!D146&gt;=Reeksen!B146,0,IF(Reeksen!AK146&lt;=Reeksen!AE146,(Reeksen!B146-Reeksen!D146)*R146,0))</f>
        <v>0</v>
      </c>
      <c r="V146" s="86">
        <f>IF(Reeksen!D146&gt;=Reeksen!B146,0,IF(Reeksen!AK146&gt;Reeksen!AE146,(Reeksen!B146-Reeksen!D146)*R146,0))</f>
        <v>0</v>
      </c>
      <c r="W146" s="97">
        <f t="shared" ca="1" si="25"/>
        <v>0</v>
      </c>
      <c r="X146" s="98">
        <f ca="1">IF('Invoer gegevens'!$C$17=E146,'Invoer gegevens'!$C$10-'Invoer gegevens'!$C$11,IF(C146=1,AC145,0))</f>
        <v>0</v>
      </c>
      <c r="Y146" s="98">
        <f ca="1">IF(C146&gt;=1,X146*VLOOKUP(E146,Reeksen!$A$5:$B$76,2),0)</f>
        <v>0</v>
      </c>
      <c r="Z146" s="98">
        <f ca="1">(1-('Invoer gegevens'!$F$20/12))*X146*MIN(Reeksen!B146,Reeksen!D146)</f>
        <v>0</v>
      </c>
      <c r="AA146" s="98">
        <f>IF(Reeksen!D146&gt;=Reeksen!B146,0,IF(Reeksen!AK146&lt;=Reeksen!AE146,(Reeksen!B146-Reeksen!D146)*X146,0))</f>
        <v>0</v>
      </c>
      <c r="AB146" s="98">
        <f>IF(Reeksen!D146&gt;=Reeksen!B146,0,IF(Reeksen!AK146&gt;Reeksen!AE146,(Reeksen!B146-Reeksen!D146)*X146,0))</f>
        <v>0</v>
      </c>
      <c r="AC146" s="99">
        <f t="shared" ca="1" si="26"/>
        <v>0</v>
      </c>
      <c r="AD146" s="98">
        <f ca="1">IF('Invoer gegevens'!$C$17=E146,R146,IF(C146=0,0,AE145))</f>
        <v>0</v>
      </c>
      <c r="AE146" s="98">
        <f t="shared" ca="1" si="27"/>
        <v>0</v>
      </c>
      <c r="AF146" s="98">
        <f ca="1">IF('Invoer gegevens'!$C$17=E146,X146,IF(C146=0,0,AG145))</f>
        <v>0</v>
      </c>
      <c r="AG146" s="98">
        <f t="shared" ca="1" si="28"/>
        <v>0</v>
      </c>
      <c r="AH146" s="68"/>
      <c r="AI146" s="71">
        <f ca="1">IF(C146=1,Reeksen!AJ146*((F146-G146+F146)/2)*12+Reeksen!AK146*((L146-M146+L146)/2)*12,0)</f>
        <v>0</v>
      </c>
      <c r="AJ146" s="71">
        <f ca="1">-AI146*'Invoer gegevens'!$F$28</f>
        <v>0</v>
      </c>
      <c r="AK146" s="71">
        <f t="shared" ca="1" si="22"/>
        <v>0</v>
      </c>
      <c r="AL146" s="71">
        <f ca="1">IF(C146=1,Reeksen!AL146*((F146-G146+F146)/2)*12+Reeksen!AM146*((L146-M146+L146)/2)*12,0)</f>
        <v>0</v>
      </c>
      <c r="AM146" s="71">
        <f ca="1">-AL146*'Invoer gegevens'!$F$31</f>
        <v>0</v>
      </c>
      <c r="AN146" s="71">
        <f t="shared" ca="1" si="29"/>
        <v>0</v>
      </c>
      <c r="AO146" s="71">
        <f ca="1">IF(C146=1,(H146+J146+N146+P146)*Reeksen!AN146,0)</f>
        <v>0</v>
      </c>
      <c r="AP146" s="71">
        <f ca="1">-IF(C146=1,(H146+J146+N146+P146)*'Hulp - basis'!$G$550*Reeksen!H146,0)</f>
        <v>0</v>
      </c>
      <c r="AQ146" s="71">
        <f ca="1">-IF(C146=1,(F146+K146+L146+Q146)/2*'Invoer gegevens'!$I$33*Reeksen!J146,0)*2</f>
        <v>0</v>
      </c>
      <c r="AR146" s="71">
        <f ca="1">-IF(C146=1,(I146*'Invoer gegevens'!$I$34)*Reeksen!J146,0)</f>
        <v>0</v>
      </c>
      <c r="AS146" s="71">
        <f ca="1">-IF(C146=1,(F146+K146+L146+Q146)/2*'Invoer gegevens'!$I$35*Reeksen!L146,0)</f>
        <v>0</v>
      </c>
      <c r="AT146" s="71">
        <f ca="1">-IF(C146=1,IF(E146='Invoer gegevens'!$C$17,'Invoer gegevens'!$C$11,AD146)*Reeksen!S146*'Invoer gegevens'!$C$18*Reeksen!P146,0)</f>
        <v>0</v>
      </c>
      <c r="AU146" s="71">
        <f ca="1">-IF(C146=1,(F146+K146+L146+Q146)/2*'Invoer gegevens'!$I$36*Reeksen!H146,0)</f>
        <v>0</v>
      </c>
      <c r="AV146" s="71">
        <f>IF('Invoer gegevens'!$C$3="Basis",0,#REF!)</f>
        <v>0</v>
      </c>
      <c r="AW146" s="71">
        <f t="shared" ca="1" si="30"/>
        <v>0</v>
      </c>
      <c r="AX146" s="71">
        <f ca="1">IF(E146&lt;'Invoer gegevens'!$C$17+15,0,IF(E146&gt;'Invoer gegevens'!$C$17+215,0,AW146))</f>
        <v>0</v>
      </c>
      <c r="AY146" s="71">
        <f ca="1">AX146/(1+'Invoer gegevens'!$F$18)^($AZ146-('Invoer gegevens'!$C$17-'Invoer gegevens'!$C$16))/(1+'Invoer gegevens'!$C$39)^('Invoer gegevens'!$C$17-'Invoer gegevens'!$C$16)</f>
        <v>0</v>
      </c>
      <c r="AZ146" s="68">
        <f ca="1">IF(E146-'Invoer gegevens'!$C$17-14.5&lt;0,0,E146-'Invoer gegevens'!$C$17-14.5)</f>
        <v>126.5</v>
      </c>
    </row>
    <row r="147" spans="2:52" x14ac:dyDescent="0.25">
      <c r="B147" s="70">
        <f t="shared" si="31"/>
        <v>143</v>
      </c>
      <c r="C147" s="67">
        <f ca="1">IF(E147-'Invoer gegevens'!$C$17&lt;0,0,1)</f>
        <v>1</v>
      </c>
      <c r="D147" s="68">
        <f t="shared" si="32"/>
        <v>142.5</v>
      </c>
      <c r="E147" s="108">
        <f ca="1">IF('Invoer gegevens'!$C$16="","",E146+1)</f>
        <v>2161</v>
      </c>
      <c r="F147" s="84">
        <f ca="1">IF('Invoer gegevens'!$C$17=E147,'Invoer gegevens'!$C$10,IF(C147=1,K146,0))</f>
        <v>0</v>
      </c>
      <c r="G147" s="96">
        <f ca="1">IF(C147&gt;=1,F147*VLOOKUP(E147,Reeksen!$A$5:$B$76,2),0)</f>
        <v>0</v>
      </c>
      <c r="H147" s="84">
        <f ca="1">(1-('Invoer gegevens'!$F$20/12))*F147*MIN(Reeksen!B147,Reeksen!D147)</f>
        <v>0</v>
      </c>
      <c r="I147" s="84">
        <f>IF(Reeksen!D147&lt;Reeksen!B147,(Reeksen!B147-Reeksen!D147)*F147,0)</f>
        <v>0</v>
      </c>
      <c r="J147" s="84">
        <f ca="1">('Invoer gegevens'!$F$20/12)*F146*MIN(Reeksen!B146,Reeksen!D146)</f>
        <v>0</v>
      </c>
      <c r="K147" s="97">
        <f t="shared" ca="1" si="23"/>
        <v>0</v>
      </c>
      <c r="L147" s="84">
        <f ca="1">IF('Invoer gegevens'!$C$17=E147,0,IF(C147=1,Q146,0))</f>
        <v>0</v>
      </c>
      <c r="M147" s="96">
        <f ca="1">IF(C147&gt;=1,L147*VLOOKUP(E147,Reeksen!$A$5:$B$76,2),0)</f>
        <v>0</v>
      </c>
      <c r="N147" s="84">
        <f ca="1">(1-('Invoer gegevens'!$F$20/12))*L147*MIN(Reeksen!B147,Reeksen!D147)</f>
        <v>0</v>
      </c>
      <c r="O147" s="84">
        <f>IF(Reeksen!D147&lt;Reeksen!B147,(Reeksen!B147-Reeksen!D147)*L147,0)</f>
        <v>0</v>
      </c>
      <c r="P147" s="84">
        <f ca="1">('Invoer gegevens'!$F$20/12)*L146*MIN(Reeksen!B146,Reeksen!D146)</f>
        <v>0</v>
      </c>
      <c r="Q147" s="84">
        <f t="shared" ca="1" si="24"/>
        <v>0</v>
      </c>
      <c r="R147" s="82">
        <f ca="1">IF('Invoer gegevens'!$C$17=E147,'Invoer gegevens'!$C$11,IF(C147=1,W146,0))</f>
        <v>0</v>
      </c>
      <c r="S147" s="86">
        <f ca="1">IF(C147&gt;=1,R147*VLOOKUP(E147,Reeksen!$A$5:$B$76,2),0)</f>
        <v>0</v>
      </c>
      <c r="T147" s="84">
        <f ca="1">(1-('Invoer gegevens'!$F$20/12))*R147*MIN(Reeksen!B147,Reeksen!D147)</f>
        <v>0</v>
      </c>
      <c r="U147" s="84">
        <f>IF(Reeksen!D147&gt;=Reeksen!B147,0,IF(Reeksen!AK147&lt;=Reeksen!AE147,(Reeksen!B147-Reeksen!D147)*R147,0))</f>
        <v>0</v>
      </c>
      <c r="V147" s="86">
        <f>IF(Reeksen!D147&gt;=Reeksen!B147,0,IF(Reeksen!AK147&gt;Reeksen!AE147,(Reeksen!B147-Reeksen!D147)*R147,0))</f>
        <v>0</v>
      </c>
      <c r="W147" s="97">
        <f t="shared" ca="1" si="25"/>
        <v>0</v>
      </c>
      <c r="X147" s="98">
        <f ca="1">IF('Invoer gegevens'!$C$17=E147,'Invoer gegevens'!$C$10-'Invoer gegevens'!$C$11,IF(C147=1,AC146,0))</f>
        <v>0</v>
      </c>
      <c r="Y147" s="98">
        <f ca="1">IF(C147&gt;=1,X147*VLOOKUP(E147,Reeksen!$A$5:$B$76,2),0)</f>
        <v>0</v>
      </c>
      <c r="Z147" s="98">
        <f ca="1">(1-('Invoer gegevens'!$F$20/12))*X147*MIN(Reeksen!B147,Reeksen!D147)</f>
        <v>0</v>
      </c>
      <c r="AA147" s="98">
        <f>IF(Reeksen!D147&gt;=Reeksen!B147,0,IF(Reeksen!AK147&lt;=Reeksen!AE147,(Reeksen!B147-Reeksen!D147)*X147,0))</f>
        <v>0</v>
      </c>
      <c r="AB147" s="98">
        <f>IF(Reeksen!D147&gt;=Reeksen!B147,0,IF(Reeksen!AK147&gt;Reeksen!AE147,(Reeksen!B147-Reeksen!D147)*X147,0))</f>
        <v>0</v>
      </c>
      <c r="AC147" s="99">
        <f t="shared" ca="1" si="26"/>
        <v>0</v>
      </c>
      <c r="AD147" s="98">
        <f ca="1">IF('Invoer gegevens'!$C$17=E147,R147,IF(C147=0,0,AE146))</f>
        <v>0</v>
      </c>
      <c r="AE147" s="98">
        <f t="shared" ca="1" si="27"/>
        <v>0</v>
      </c>
      <c r="AF147" s="98">
        <f ca="1">IF('Invoer gegevens'!$C$17=E147,X147,IF(C147=0,0,AG146))</f>
        <v>0</v>
      </c>
      <c r="AG147" s="98">
        <f t="shared" ca="1" si="28"/>
        <v>0</v>
      </c>
      <c r="AH147" s="68"/>
      <c r="AI147" s="71">
        <f ca="1">IF(C147=1,Reeksen!AJ147*((F147-G147+F147)/2)*12+Reeksen!AK147*((L147-M147+L147)/2)*12,0)</f>
        <v>0</v>
      </c>
      <c r="AJ147" s="71">
        <f ca="1">-AI147*'Invoer gegevens'!$F$28</f>
        <v>0</v>
      </c>
      <c r="AK147" s="71">
        <f t="shared" ca="1" si="22"/>
        <v>0</v>
      </c>
      <c r="AL147" s="71">
        <f ca="1">IF(C147=1,Reeksen!AL147*((F147-G147+F147)/2)*12+Reeksen!AM147*((L147-M147+L147)/2)*12,0)</f>
        <v>0</v>
      </c>
      <c r="AM147" s="71">
        <f ca="1">-AL147*'Invoer gegevens'!$F$31</f>
        <v>0</v>
      </c>
      <c r="AN147" s="71">
        <f t="shared" ca="1" si="29"/>
        <v>0</v>
      </c>
      <c r="AO147" s="71">
        <f ca="1">IF(C147=1,(H147+J147+N147+P147)*Reeksen!AN147,0)</f>
        <v>0</v>
      </c>
      <c r="AP147" s="71">
        <f ca="1">-IF(C147=1,(H147+J147+N147+P147)*'Hulp - basis'!$G$550*Reeksen!H147,0)</f>
        <v>0</v>
      </c>
      <c r="AQ147" s="71">
        <f ca="1">-IF(C147=1,(F147+K147+L147+Q147)/2*'Invoer gegevens'!$I$33*Reeksen!J147,0)*2</f>
        <v>0</v>
      </c>
      <c r="AR147" s="71">
        <f ca="1">-IF(C147=1,(I147*'Invoer gegevens'!$I$34)*Reeksen!J147,0)</f>
        <v>0</v>
      </c>
      <c r="AS147" s="71">
        <f ca="1">-IF(C147=1,(F147+K147+L147+Q147)/2*'Invoer gegevens'!$I$35*Reeksen!L147,0)</f>
        <v>0</v>
      </c>
      <c r="AT147" s="71">
        <f ca="1">-IF(C147=1,IF(E147='Invoer gegevens'!$C$17,'Invoer gegevens'!$C$11,AD147)*Reeksen!S147*'Invoer gegevens'!$C$18*Reeksen!P147,0)</f>
        <v>0</v>
      </c>
      <c r="AU147" s="71">
        <f ca="1">-IF(C147=1,(F147+K147+L147+Q147)/2*'Invoer gegevens'!$I$36*Reeksen!H147,0)</f>
        <v>0</v>
      </c>
      <c r="AV147" s="71">
        <f>IF('Invoer gegevens'!$C$3="Basis",0,#REF!)</f>
        <v>0</v>
      </c>
      <c r="AW147" s="71">
        <f t="shared" ca="1" si="30"/>
        <v>0</v>
      </c>
      <c r="AX147" s="71">
        <f ca="1">IF(E147&lt;'Invoer gegevens'!$C$17+15,0,IF(E147&gt;'Invoer gegevens'!$C$17+215,0,AW147))</f>
        <v>0</v>
      </c>
      <c r="AY147" s="71">
        <f ca="1">AX147/(1+'Invoer gegevens'!$F$18)^($AZ147-('Invoer gegevens'!$C$17-'Invoer gegevens'!$C$16))/(1+'Invoer gegevens'!$C$39)^('Invoer gegevens'!$C$17-'Invoer gegevens'!$C$16)</f>
        <v>0</v>
      </c>
      <c r="AZ147" s="68">
        <f ca="1">IF(E147-'Invoer gegevens'!$C$17-14.5&lt;0,0,E147-'Invoer gegevens'!$C$17-14.5)</f>
        <v>127.5</v>
      </c>
    </row>
    <row r="148" spans="2:52" x14ac:dyDescent="0.25">
      <c r="B148" s="70">
        <f t="shared" si="31"/>
        <v>144</v>
      </c>
      <c r="C148" s="67">
        <f ca="1">IF(E148-'Invoer gegevens'!$C$17&lt;0,0,1)</f>
        <v>1</v>
      </c>
      <c r="D148" s="68">
        <f t="shared" si="32"/>
        <v>143.5</v>
      </c>
      <c r="E148" s="108">
        <f ca="1">IF('Invoer gegevens'!$C$16="","",E147+1)</f>
        <v>2162</v>
      </c>
      <c r="F148" s="84">
        <f ca="1">IF('Invoer gegevens'!$C$17=E148,'Invoer gegevens'!$C$10,IF(C148=1,K147,0))</f>
        <v>0</v>
      </c>
      <c r="G148" s="96">
        <f ca="1">IF(C148&gt;=1,F148*VLOOKUP(E148,Reeksen!$A$5:$B$76,2),0)</f>
        <v>0</v>
      </c>
      <c r="H148" s="84">
        <f ca="1">(1-('Invoer gegevens'!$F$20/12))*F148*MIN(Reeksen!B148,Reeksen!D148)</f>
        <v>0</v>
      </c>
      <c r="I148" s="84">
        <f>IF(Reeksen!D148&lt;Reeksen!B148,(Reeksen!B148-Reeksen!D148)*F148,0)</f>
        <v>0</v>
      </c>
      <c r="J148" s="84">
        <f ca="1">('Invoer gegevens'!$F$20/12)*F147*MIN(Reeksen!B147,Reeksen!D147)</f>
        <v>0</v>
      </c>
      <c r="K148" s="97">
        <f t="shared" ca="1" si="23"/>
        <v>0</v>
      </c>
      <c r="L148" s="84">
        <f ca="1">IF('Invoer gegevens'!$C$17=E148,0,IF(C148=1,Q147,0))</f>
        <v>0</v>
      </c>
      <c r="M148" s="96">
        <f ca="1">IF(C148&gt;=1,L148*VLOOKUP(E148,Reeksen!$A$5:$B$76,2),0)</f>
        <v>0</v>
      </c>
      <c r="N148" s="84">
        <f ca="1">(1-('Invoer gegevens'!$F$20/12))*L148*MIN(Reeksen!B148,Reeksen!D148)</f>
        <v>0</v>
      </c>
      <c r="O148" s="84">
        <f>IF(Reeksen!D148&lt;Reeksen!B148,(Reeksen!B148-Reeksen!D148)*L148,0)</f>
        <v>0</v>
      </c>
      <c r="P148" s="84">
        <f ca="1">('Invoer gegevens'!$F$20/12)*L147*MIN(Reeksen!B147,Reeksen!D147)</f>
        <v>0</v>
      </c>
      <c r="Q148" s="84">
        <f t="shared" ca="1" si="24"/>
        <v>0</v>
      </c>
      <c r="R148" s="82">
        <f ca="1">IF('Invoer gegevens'!$C$17=E148,'Invoer gegevens'!$C$11,IF(C148=1,W147,0))</f>
        <v>0</v>
      </c>
      <c r="S148" s="86">
        <f ca="1">IF(C148&gt;=1,R148*VLOOKUP(E148,Reeksen!$A$5:$B$76,2),0)</f>
        <v>0</v>
      </c>
      <c r="T148" s="84">
        <f ca="1">(1-('Invoer gegevens'!$F$20/12))*R148*MIN(Reeksen!B148,Reeksen!D148)</f>
        <v>0</v>
      </c>
      <c r="U148" s="84">
        <f>IF(Reeksen!D148&gt;=Reeksen!B148,0,IF(Reeksen!AK148&lt;=Reeksen!AE148,(Reeksen!B148-Reeksen!D148)*R148,0))</f>
        <v>0</v>
      </c>
      <c r="V148" s="86">
        <f>IF(Reeksen!D148&gt;=Reeksen!B148,0,IF(Reeksen!AK148&gt;Reeksen!AE148,(Reeksen!B148-Reeksen!D148)*R148,0))</f>
        <v>0</v>
      </c>
      <c r="W148" s="97">
        <f t="shared" ca="1" si="25"/>
        <v>0</v>
      </c>
      <c r="X148" s="98">
        <f ca="1">IF('Invoer gegevens'!$C$17=E148,'Invoer gegevens'!$C$10-'Invoer gegevens'!$C$11,IF(C148=1,AC147,0))</f>
        <v>0</v>
      </c>
      <c r="Y148" s="98">
        <f ca="1">IF(C148&gt;=1,X148*VLOOKUP(E148,Reeksen!$A$5:$B$76,2),0)</f>
        <v>0</v>
      </c>
      <c r="Z148" s="98">
        <f ca="1">(1-('Invoer gegevens'!$F$20/12))*X148*MIN(Reeksen!B148,Reeksen!D148)</f>
        <v>0</v>
      </c>
      <c r="AA148" s="98">
        <f>IF(Reeksen!D148&gt;=Reeksen!B148,0,IF(Reeksen!AK148&lt;=Reeksen!AE148,(Reeksen!B148-Reeksen!D148)*X148,0))</f>
        <v>0</v>
      </c>
      <c r="AB148" s="98">
        <f>IF(Reeksen!D148&gt;=Reeksen!B148,0,IF(Reeksen!AK148&gt;Reeksen!AE148,(Reeksen!B148-Reeksen!D148)*X148,0))</f>
        <v>0</v>
      </c>
      <c r="AC148" s="99">
        <f t="shared" ca="1" si="26"/>
        <v>0</v>
      </c>
      <c r="AD148" s="98">
        <f ca="1">IF('Invoer gegevens'!$C$17=E148,R148,IF(C148=0,0,AE147))</f>
        <v>0</v>
      </c>
      <c r="AE148" s="98">
        <f t="shared" ca="1" si="27"/>
        <v>0</v>
      </c>
      <c r="AF148" s="98">
        <f ca="1">IF('Invoer gegevens'!$C$17=E148,X148,IF(C148=0,0,AG147))</f>
        <v>0</v>
      </c>
      <c r="AG148" s="98">
        <f t="shared" ca="1" si="28"/>
        <v>0</v>
      </c>
      <c r="AH148" s="68"/>
      <c r="AI148" s="71">
        <f ca="1">IF(C148=1,Reeksen!AJ148*((F148-G148+F148)/2)*12+Reeksen!AK148*((L148-M148+L148)/2)*12,0)</f>
        <v>0</v>
      </c>
      <c r="AJ148" s="71">
        <f ca="1">-AI148*'Invoer gegevens'!$F$28</f>
        <v>0</v>
      </c>
      <c r="AK148" s="71">
        <f t="shared" ca="1" si="22"/>
        <v>0</v>
      </c>
      <c r="AL148" s="71">
        <f ca="1">IF(C148=1,Reeksen!AL148*((F148-G148+F148)/2)*12+Reeksen!AM148*((L148-M148+L148)/2)*12,0)</f>
        <v>0</v>
      </c>
      <c r="AM148" s="71">
        <f ca="1">-AL148*'Invoer gegevens'!$F$31</f>
        <v>0</v>
      </c>
      <c r="AN148" s="71">
        <f t="shared" ca="1" si="29"/>
        <v>0</v>
      </c>
      <c r="AO148" s="71">
        <f ca="1">IF(C148=1,(H148+J148+N148+P148)*Reeksen!AN148,0)</f>
        <v>0</v>
      </c>
      <c r="AP148" s="71">
        <f ca="1">-IF(C148=1,(H148+J148+N148+P148)*'Hulp - basis'!$G$550*Reeksen!H148,0)</f>
        <v>0</v>
      </c>
      <c r="AQ148" s="71">
        <f ca="1">-IF(C148=1,(F148+K148+L148+Q148)/2*'Invoer gegevens'!$I$33*Reeksen!J148,0)*2</f>
        <v>0</v>
      </c>
      <c r="AR148" s="71">
        <f ca="1">-IF(C148=1,(I148*'Invoer gegevens'!$I$34)*Reeksen!J148,0)</f>
        <v>0</v>
      </c>
      <c r="AS148" s="71">
        <f ca="1">-IF(C148=1,(F148+K148+L148+Q148)/2*'Invoer gegevens'!$I$35*Reeksen!L148,0)</f>
        <v>0</v>
      </c>
      <c r="AT148" s="71">
        <f ca="1">-IF(C148=1,IF(E148='Invoer gegevens'!$C$17,'Invoer gegevens'!$C$11,AD148)*Reeksen!S148*'Invoer gegevens'!$C$18*Reeksen!P148,0)</f>
        <v>0</v>
      </c>
      <c r="AU148" s="71">
        <f ca="1">-IF(C148=1,(F148+K148+L148+Q148)/2*'Invoer gegevens'!$I$36*Reeksen!H148,0)</f>
        <v>0</v>
      </c>
      <c r="AV148" s="71">
        <f>IF('Invoer gegevens'!$C$3="Basis",0,#REF!)</f>
        <v>0</v>
      </c>
      <c r="AW148" s="71">
        <f t="shared" ca="1" si="30"/>
        <v>0</v>
      </c>
      <c r="AX148" s="71">
        <f ca="1">IF(E148&lt;'Invoer gegevens'!$C$17+15,0,IF(E148&gt;'Invoer gegevens'!$C$17+215,0,AW148))</f>
        <v>0</v>
      </c>
      <c r="AY148" s="71">
        <f ca="1">AX148/(1+'Invoer gegevens'!$F$18)^($AZ148-('Invoer gegevens'!$C$17-'Invoer gegevens'!$C$16))/(1+'Invoer gegevens'!$C$39)^('Invoer gegevens'!$C$17-'Invoer gegevens'!$C$16)</f>
        <v>0</v>
      </c>
      <c r="AZ148" s="68">
        <f ca="1">IF(E148-'Invoer gegevens'!$C$17-14.5&lt;0,0,E148-'Invoer gegevens'!$C$17-14.5)</f>
        <v>128.5</v>
      </c>
    </row>
    <row r="149" spans="2:52" x14ac:dyDescent="0.25">
      <c r="B149" s="70">
        <f t="shared" si="31"/>
        <v>145</v>
      </c>
      <c r="C149" s="67">
        <f ca="1">IF(E149-'Invoer gegevens'!$C$17&lt;0,0,1)</f>
        <v>1</v>
      </c>
      <c r="D149" s="68">
        <f t="shared" si="32"/>
        <v>144.5</v>
      </c>
      <c r="E149" s="108">
        <f ca="1">IF('Invoer gegevens'!$C$16="","",E148+1)</f>
        <v>2163</v>
      </c>
      <c r="F149" s="84">
        <f ca="1">IF('Invoer gegevens'!$C$17=E149,'Invoer gegevens'!$C$10,IF(C149=1,K148,0))</f>
        <v>0</v>
      </c>
      <c r="G149" s="96">
        <f ca="1">IF(C149&gt;=1,F149*VLOOKUP(E149,Reeksen!$A$5:$B$76,2),0)</f>
        <v>0</v>
      </c>
      <c r="H149" s="84">
        <f ca="1">(1-('Invoer gegevens'!$F$20/12))*F149*MIN(Reeksen!B149,Reeksen!D149)</f>
        <v>0</v>
      </c>
      <c r="I149" s="84">
        <f>IF(Reeksen!D149&lt;Reeksen!B149,(Reeksen!B149-Reeksen!D149)*F149,0)</f>
        <v>0</v>
      </c>
      <c r="J149" s="84">
        <f ca="1">('Invoer gegevens'!$F$20/12)*F148*MIN(Reeksen!B148,Reeksen!D148)</f>
        <v>0</v>
      </c>
      <c r="K149" s="97">
        <f t="shared" ca="1" si="23"/>
        <v>0</v>
      </c>
      <c r="L149" s="84">
        <f ca="1">IF('Invoer gegevens'!$C$17=E149,0,IF(C149=1,Q148,0))</f>
        <v>0</v>
      </c>
      <c r="M149" s="96">
        <f ca="1">IF(C149&gt;=1,L149*VLOOKUP(E149,Reeksen!$A$5:$B$76,2),0)</f>
        <v>0</v>
      </c>
      <c r="N149" s="84">
        <f ca="1">(1-('Invoer gegevens'!$F$20/12))*L149*MIN(Reeksen!B149,Reeksen!D149)</f>
        <v>0</v>
      </c>
      <c r="O149" s="84">
        <f>IF(Reeksen!D149&lt;Reeksen!B149,(Reeksen!B149-Reeksen!D149)*L149,0)</f>
        <v>0</v>
      </c>
      <c r="P149" s="84">
        <f ca="1">('Invoer gegevens'!$F$20/12)*L148*MIN(Reeksen!B148,Reeksen!D148)</f>
        <v>0</v>
      </c>
      <c r="Q149" s="84">
        <f t="shared" ca="1" si="24"/>
        <v>0</v>
      </c>
      <c r="R149" s="82">
        <f ca="1">IF('Invoer gegevens'!$C$17=E149,'Invoer gegevens'!$C$11,IF(C149=1,W148,0))</f>
        <v>0</v>
      </c>
      <c r="S149" s="86">
        <f ca="1">IF(C149&gt;=1,R149*VLOOKUP(E149,Reeksen!$A$5:$B$76,2),0)</f>
        <v>0</v>
      </c>
      <c r="T149" s="84">
        <f ca="1">(1-('Invoer gegevens'!$F$20/12))*R149*MIN(Reeksen!B149,Reeksen!D149)</f>
        <v>0</v>
      </c>
      <c r="U149" s="84">
        <f>IF(Reeksen!D149&gt;=Reeksen!B149,0,IF(Reeksen!AK149&lt;=Reeksen!AE149,(Reeksen!B149-Reeksen!D149)*R149,0))</f>
        <v>0</v>
      </c>
      <c r="V149" s="86">
        <f>IF(Reeksen!D149&gt;=Reeksen!B149,0,IF(Reeksen!AK149&gt;Reeksen!AE149,(Reeksen!B149-Reeksen!D149)*R149,0))</f>
        <v>0</v>
      </c>
      <c r="W149" s="97">
        <f t="shared" ca="1" si="25"/>
        <v>0</v>
      </c>
      <c r="X149" s="98">
        <f ca="1">IF('Invoer gegevens'!$C$17=E149,'Invoer gegevens'!$C$10-'Invoer gegevens'!$C$11,IF(C149=1,AC148,0))</f>
        <v>0</v>
      </c>
      <c r="Y149" s="98">
        <f ca="1">IF(C149&gt;=1,X149*VLOOKUP(E149,Reeksen!$A$5:$B$76,2),0)</f>
        <v>0</v>
      </c>
      <c r="Z149" s="98">
        <f ca="1">(1-('Invoer gegevens'!$F$20/12))*X149*MIN(Reeksen!B149,Reeksen!D149)</f>
        <v>0</v>
      </c>
      <c r="AA149" s="98">
        <f>IF(Reeksen!D149&gt;=Reeksen!B149,0,IF(Reeksen!AK149&lt;=Reeksen!AE149,(Reeksen!B149-Reeksen!D149)*X149,0))</f>
        <v>0</v>
      </c>
      <c r="AB149" s="98">
        <f>IF(Reeksen!D149&gt;=Reeksen!B149,0,IF(Reeksen!AK149&gt;Reeksen!AE149,(Reeksen!B149-Reeksen!D149)*X149,0))</f>
        <v>0</v>
      </c>
      <c r="AC149" s="99">
        <f t="shared" ca="1" si="26"/>
        <v>0</v>
      </c>
      <c r="AD149" s="98">
        <f ca="1">IF('Invoer gegevens'!$C$17=E149,R149,IF(C149=0,0,AE148))</f>
        <v>0</v>
      </c>
      <c r="AE149" s="98">
        <f t="shared" ca="1" si="27"/>
        <v>0</v>
      </c>
      <c r="AF149" s="98">
        <f ca="1">IF('Invoer gegevens'!$C$17=E149,X149,IF(C149=0,0,AG148))</f>
        <v>0</v>
      </c>
      <c r="AG149" s="98">
        <f t="shared" ca="1" si="28"/>
        <v>0</v>
      </c>
      <c r="AH149" s="68"/>
      <c r="AI149" s="71">
        <f ca="1">IF(C149=1,Reeksen!AJ149*((F149-G149+F149)/2)*12+Reeksen!AK149*((L149-M149+L149)/2)*12,0)</f>
        <v>0</v>
      </c>
      <c r="AJ149" s="71">
        <f ca="1">-AI149*'Invoer gegevens'!$F$28</f>
        <v>0</v>
      </c>
      <c r="AK149" s="71">
        <f t="shared" ca="1" si="22"/>
        <v>0</v>
      </c>
      <c r="AL149" s="71">
        <f ca="1">IF(C149=1,Reeksen!AL149*((F149-G149+F149)/2)*12+Reeksen!AM149*((L149-M149+L149)/2)*12,0)</f>
        <v>0</v>
      </c>
      <c r="AM149" s="71">
        <f ca="1">-AL149*'Invoer gegevens'!$F$31</f>
        <v>0</v>
      </c>
      <c r="AN149" s="71">
        <f t="shared" ca="1" si="29"/>
        <v>0</v>
      </c>
      <c r="AO149" s="71">
        <f ca="1">IF(C149=1,(H149+J149+N149+P149)*Reeksen!AN149,0)</f>
        <v>0</v>
      </c>
      <c r="AP149" s="71">
        <f ca="1">-IF(C149=1,(H149+J149+N149+P149)*'Hulp - basis'!$G$550*Reeksen!H149,0)</f>
        <v>0</v>
      </c>
      <c r="AQ149" s="71">
        <f ca="1">-IF(C149=1,(F149+K149+L149+Q149)/2*'Invoer gegevens'!$I$33*Reeksen!J149,0)*2</f>
        <v>0</v>
      </c>
      <c r="AR149" s="71">
        <f ca="1">-IF(C149=1,(I149*'Invoer gegevens'!$I$34)*Reeksen!J149,0)</f>
        <v>0</v>
      </c>
      <c r="AS149" s="71">
        <f ca="1">-IF(C149=1,(F149+K149+L149+Q149)/2*'Invoer gegevens'!$I$35*Reeksen!L149,0)</f>
        <v>0</v>
      </c>
      <c r="AT149" s="71">
        <f ca="1">-IF(C149=1,IF(E149='Invoer gegevens'!$C$17,'Invoer gegevens'!$C$11,AD149)*Reeksen!S149*'Invoer gegevens'!$C$18*Reeksen!P149,0)</f>
        <v>0</v>
      </c>
      <c r="AU149" s="71">
        <f ca="1">-IF(C149=1,(F149+K149+L149+Q149)/2*'Invoer gegevens'!$I$36*Reeksen!H149,0)</f>
        <v>0</v>
      </c>
      <c r="AV149" s="71">
        <f>IF('Invoer gegevens'!$C$3="Basis",0,#REF!)</f>
        <v>0</v>
      </c>
      <c r="AW149" s="71">
        <f t="shared" ca="1" si="30"/>
        <v>0</v>
      </c>
      <c r="AX149" s="71">
        <f ca="1">IF(E149&lt;'Invoer gegevens'!$C$17+15,0,IF(E149&gt;'Invoer gegevens'!$C$17+215,0,AW149))</f>
        <v>0</v>
      </c>
      <c r="AY149" s="71">
        <f ca="1">AX149/(1+'Invoer gegevens'!$F$18)^($AZ149-('Invoer gegevens'!$C$17-'Invoer gegevens'!$C$16))/(1+'Invoer gegevens'!$C$39)^('Invoer gegevens'!$C$17-'Invoer gegevens'!$C$16)</f>
        <v>0</v>
      </c>
      <c r="AZ149" s="68">
        <f ca="1">IF(E149-'Invoer gegevens'!$C$17-14.5&lt;0,0,E149-'Invoer gegevens'!$C$17-14.5)</f>
        <v>129.5</v>
      </c>
    </row>
    <row r="150" spans="2:52" x14ac:dyDescent="0.25">
      <c r="B150" s="70">
        <f t="shared" si="31"/>
        <v>146</v>
      </c>
      <c r="C150" s="67">
        <f ca="1">IF(E150-'Invoer gegevens'!$C$17&lt;0,0,1)</f>
        <v>1</v>
      </c>
      <c r="D150" s="68">
        <f t="shared" si="32"/>
        <v>145.5</v>
      </c>
      <c r="E150" s="108">
        <f ca="1">IF('Invoer gegevens'!$C$16="","",E149+1)</f>
        <v>2164</v>
      </c>
      <c r="F150" s="84">
        <f ca="1">IF('Invoer gegevens'!$C$17=E150,'Invoer gegevens'!$C$10,IF(C150=1,K149,0))</f>
        <v>0</v>
      </c>
      <c r="G150" s="96">
        <f ca="1">IF(C150&gt;=1,F150*VLOOKUP(E150,Reeksen!$A$5:$B$76,2),0)</f>
        <v>0</v>
      </c>
      <c r="H150" s="84">
        <f ca="1">(1-('Invoer gegevens'!$F$20/12))*F150*MIN(Reeksen!B150,Reeksen!D150)</f>
        <v>0</v>
      </c>
      <c r="I150" s="84">
        <f>IF(Reeksen!D150&lt;Reeksen!B150,(Reeksen!B150-Reeksen!D150)*F150,0)</f>
        <v>0</v>
      </c>
      <c r="J150" s="84">
        <f ca="1">('Invoer gegevens'!$F$20/12)*F149*MIN(Reeksen!B149,Reeksen!D149)</f>
        <v>0</v>
      </c>
      <c r="K150" s="97">
        <f t="shared" ca="1" si="23"/>
        <v>0</v>
      </c>
      <c r="L150" s="84">
        <f ca="1">IF('Invoer gegevens'!$C$17=E150,0,IF(C150=1,Q149,0))</f>
        <v>0</v>
      </c>
      <c r="M150" s="96">
        <f ca="1">IF(C150&gt;=1,L150*VLOOKUP(E150,Reeksen!$A$5:$B$76,2),0)</f>
        <v>0</v>
      </c>
      <c r="N150" s="84">
        <f ca="1">(1-('Invoer gegevens'!$F$20/12))*L150*MIN(Reeksen!B150,Reeksen!D150)</f>
        <v>0</v>
      </c>
      <c r="O150" s="84">
        <f>IF(Reeksen!D150&lt;Reeksen!B150,(Reeksen!B150-Reeksen!D150)*L150,0)</f>
        <v>0</v>
      </c>
      <c r="P150" s="84">
        <f ca="1">('Invoer gegevens'!$F$20/12)*L149*MIN(Reeksen!B149,Reeksen!D149)</f>
        <v>0</v>
      </c>
      <c r="Q150" s="84">
        <f t="shared" ca="1" si="24"/>
        <v>0</v>
      </c>
      <c r="R150" s="82">
        <f ca="1">IF('Invoer gegevens'!$C$17=E150,'Invoer gegevens'!$C$11,IF(C150=1,W149,0))</f>
        <v>0</v>
      </c>
      <c r="S150" s="86">
        <f ca="1">IF(C150&gt;=1,R150*VLOOKUP(E150,Reeksen!$A$5:$B$76,2),0)</f>
        <v>0</v>
      </c>
      <c r="T150" s="84">
        <f ca="1">(1-('Invoer gegevens'!$F$20/12))*R150*MIN(Reeksen!B150,Reeksen!D150)</f>
        <v>0</v>
      </c>
      <c r="U150" s="84">
        <f>IF(Reeksen!D150&gt;=Reeksen!B150,0,IF(Reeksen!AK150&lt;=Reeksen!AE150,(Reeksen!B150-Reeksen!D150)*R150,0))</f>
        <v>0</v>
      </c>
      <c r="V150" s="86">
        <f>IF(Reeksen!D150&gt;=Reeksen!B150,0,IF(Reeksen!AK150&gt;Reeksen!AE150,(Reeksen!B150-Reeksen!D150)*R150,0))</f>
        <v>0</v>
      </c>
      <c r="W150" s="97">
        <f t="shared" ca="1" si="25"/>
        <v>0</v>
      </c>
      <c r="X150" s="98">
        <f ca="1">IF('Invoer gegevens'!$C$17=E150,'Invoer gegevens'!$C$10-'Invoer gegevens'!$C$11,IF(C150=1,AC149,0))</f>
        <v>0</v>
      </c>
      <c r="Y150" s="98">
        <f ca="1">IF(C150&gt;=1,X150*VLOOKUP(E150,Reeksen!$A$5:$B$76,2),0)</f>
        <v>0</v>
      </c>
      <c r="Z150" s="98">
        <f ca="1">(1-('Invoer gegevens'!$F$20/12))*X150*MIN(Reeksen!B150,Reeksen!D150)</f>
        <v>0</v>
      </c>
      <c r="AA150" s="98">
        <f>IF(Reeksen!D150&gt;=Reeksen!B150,0,IF(Reeksen!AK150&lt;=Reeksen!AE150,(Reeksen!B150-Reeksen!D150)*X150,0))</f>
        <v>0</v>
      </c>
      <c r="AB150" s="98">
        <f>IF(Reeksen!D150&gt;=Reeksen!B150,0,IF(Reeksen!AK150&gt;Reeksen!AE150,(Reeksen!B150-Reeksen!D150)*X150,0))</f>
        <v>0</v>
      </c>
      <c r="AC150" s="99">
        <f t="shared" ca="1" si="26"/>
        <v>0</v>
      </c>
      <c r="AD150" s="98">
        <f ca="1">IF('Invoer gegevens'!$C$17=E150,R150,IF(C150=0,0,AE149))</f>
        <v>0</v>
      </c>
      <c r="AE150" s="98">
        <f t="shared" ca="1" si="27"/>
        <v>0</v>
      </c>
      <c r="AF150" s="98">
        <f ca="1">IF('Invoer gegevens'!$C$17=E150,X150,IF(C150=0,0,AG149))</f>
        <v>0</v>
      </c>
      <c r="AG150" s="98">
        <f t="shared" ca="1" si="28"/>
        <v>0</v>
      </c>
      <c r="AH150" s="68"/>
      <c r="AI150" s="71">
        <f ca="1">IF(C150=1,Reeksen!AJ150*((F150-G150+F150)/2)*12+Reeksen!AK150*((L150-M150+L150)/2)*12,0)</f>
        <v>0</v>
      </c>
      <c r="AJ150" s="71">
        <f ca="1">-AI150*'Invoer gegevens'!$F$28</f>
        <v>0</v>
      </c>
      <c r="AK150" s="71">
        <f t="shared" ca="1" si="22"/>
        <v>0</v>
      </c>
      <c r="AL150" s="71">
        <f ca="1">IF(C150=1,Reeksen!AL150*((F150-G150+F150)/2)*12+Reeksen!AM150*((L150-M150+L150)/2)*12,0)</f>
        <v>0</v>
      </c>
      <c r="AM150" s="71">
        <f ca="1">-AL150*'Invoer gegevens'!$F$31</f>
        <v>0</v>
      </c>
      <c r="AN150" s="71">
        <f t="shared" ca="1" si="29"/>
        <v>0</v>
      </c>
      <c r="AO150" s="71">
        <f ca="1">IF(C150=1,(H150+J150+N150+P150)*Reeksen!AN150,0)</f>
        <v>0</v>
      </c>
      <c r="AP150" s="71">
        <f ca="1">-IF(C150=1,(H150+J150+N150+P150)*'Hulp - basis'!$G$550*Reeksen!H150,0)</f>
        <v>0</v>
      </c>
      <c r="AQ150" s="71">
        <f ca="1">-IF(C150=1,(F150+K150+L150+Q150)/2*'Invoer gegevens'!$I$33*Reeksen!J150,0)*2</f>
        <v>0</v>
      </c>
      <c r="AR150" s="71">
        <f ca="1">-IF(C150=1,(I150*'Invoer gegevens'!$I$34)*Reeksen!J150,0)</f>
        <v>0</v>
      </c>
      <c r="AS150" s="71">
        <f ca="1">-IF(C150=1,(F150+K150+L150+Q150)/2*'Invoer gegevens'!$I$35*Reeksen!L150,0)</f>
        <v>0</v>
      </c>
      <c r="AT150" s="71">
        <f ca="1">-IF(C150=1,IF(E150='Invoer gegevens'!$C$17,'Invoer gegevens'!$C$11,AD150)*Reeksen!S150*'Invoer gegevens'!$C$18*Reeksen!P150,0)</f>
        <v>0</v>
      </c>
      <c r="AU150" s="71">
        <f ca="1">-IF(C150=1,(F150+K150+L150+Q150)/2*'Invoer gegevens'!$I$36*Reeksen!H150,0)</f>
        <v>0</v>
      </c>
      <c r="AV150" s="71">
        <f>IF('Invoer gegevens'!$C$3="Basis",0,#REF!)</f>
        <v>0</v>
      </c>
      <c r="AW150" s="71">
        <f t="shared" ca="1" si="30"/>
        <v>0</v>
      </c>
      <c r="AX150" s="71">
        <f ca="1">IF(E150&lt;'Invoer gegevens'!$C$17+15,0,IF(E150&gt;'Invoer gegevens'!$C$17+215,0,AW150))</f>
        <v>0</v>
      </c>
      <c r="AY150" s="71">
        <f ca="1">AX150/(1+'Invoer gegevens'!$F$18)^($AZ150-('Invoer gegevens'!$C$17-'Invoer gegevens'!$C$16))/(1+'Invoer gegevens'!$C$39)^('Invoer gegevens'!$C$17-'Invoer gegevens'!$C$16)</f>
        <v>0</v>
      </c>
      <c r="AZ150" s="68">
        <f ca="1">IF(E150-'Invoer gegevens'!$C$17-14.5&lt;0,0,E150-'Invoer gegevens'!$C$17-14.5)</f>
        <v>130.5</v>
      </c>
    </row>
    <row r="151" spans="2:52" x14ac:dyDescent="0.25">
      <c r="B151" s="70">
        <f t="shared" si="31"/>
        <v>147</v>
      </c>
      <c r="C151" s="67">
        <f ca="1">IF(E151-'Invoer gegevens'!$C$17&lt;0,0,1)</f>
        <v>1</v>
      </c>
      <c r="D151" s="68">
        <f t="shared" si="32"/>
        <v>146.5</v>
      </c>
      <c r="E151" s="108">
        <f ca="1">IF('Invoer gegevens'!$C$16="","",E150+1)</f>
        <v>2165</v>
      </c>
      <c r="F151" s="84">
        <f ca="1">IF('Invoer gegevens'!$C$17=E151,'Invoer gegevens'!$C$10,IF(C151=1,K150,0))</f>
        <v>0</v>
      </c>
      <c r="G151" s="96">
        <f ca="1">IF(C151&gt;=1,F151*VLOOKUP(E151,Reeksen!$A$5:$B$76,2),0)</f>
        <v>0</v>
      </c>
      <c r="H151" s="84">
        <f ca="1">(1-('Invoer gegevens'!$F$20/12))*F151*MIN(Reeksen!B151,Reeksen!D151)</f>
        <v>0</v>
      </c>
      <c r="I151" s="84">
        <f>IF(Reeksen!D151&lt;Reeksen!B151,(Reeksen!B151-Reeksen!D151)*F151,0)</f>
        <v>0</v>
      </c>
      <c r="J151" s="84">
        <f ca="1">('Invoer gegevens'!$F$20/12)*F150*MIN(Reeksen!B150,Reeksen!D150)</f>
        <v>0</v>
      </c>
      <c r="K151" s="97">
        <f t="shared" ca="1" si="23"/>
        <v>0</v>
      </c>
      <c r="L151" s="84">
        <f ca="1">IF('Invoer gegevens'!$C$17=E151,0,IF(C151=1,Q150,0))</f>
        <v>0</v>
      </c>
      <c r="M151" s="96">
        <f ca="1">IF(C151&gt;=1,L151*VLOOKUP(E151,Reeksen!$A$5:$B$76,2),0)</f>
        <v>0</v>
      </c>
      <c r="N151" s="84">
        <f ca="1">(1-('Invoer gegevens'!$F$20/12))*L151*MIN(Reeksen!B151,Reeksen!D151)</f>
        <v>0</v>
      </c>
      <c r="O151" s="84">
        <f>IF(Reeksen!D151&lt;Reeksen!B151,(Reeksen!B151-Reeksen!D151)*L151,0)</f>
        <v>0</v>
      </c>
      <c r="P151" s="84">
        <f ca="1">('Invoer gegevens'!$F$20/12)*L150*MIN(Reeksen!B150,Reeksen!D150)</f>
        <v>0</v>
      </c>
      <c r="Q151" s="84">
        <f t="shared" ca="1" si="24"/>
        <v>0</v>
      </c>
      <c r="R151" s="82">
        <f ca="1">IF('Invoer gegevens'!$C$17=E151,'Invoer gegevens'!$C$11,IF(C151=1,W150,0))</f>
        <v>0</v>
      </c>
      <c r="S151" s="86">
        <f ca="1">IF(C151&gt;=1,R151*VLOOKUP(E151,Reeksen!$A$5:$B$76,2),0)</f>
        <v>0</v>
      </c>
      <c r="T151" s="84">
        <f ca="1">(1-('Invoer gegevens'!$F$20/12))*R151*MIN(Reeksen!B151,Reeksen!D151)</f>
        <v>0</v>
      </c>
      <c r="U151" s="84">
        <f>IF(Reeksen!D151&gt;=Reeksen!B151,0,IF(Reeksen!AK151&lt;=Reeksen!AE151,(Reeksen!B151-Reeksen!D151)*R151,0))</f>
        <v>0</v>
      </c>
      <c r="V151" s="86">
        <f>IF(Reeksen!D151&gt;=Reeksen!B151,0,IF(Reeksen!AK151&gt;Reeksen!AE151,(Reeksen!B151-Reeksen!D151)*R151,0))</f>
        <v>0</v>
      </c>
      <c r="W151" s="97">
        <f t="shared" ca="1" si="25"/>
        <v>0</v>
      </c>
      <c r="X151" s="98">
        <f ca="1">IF('Invoer gegevens'!$C$17=E151,'Invoer gegevens'!$C$10-'Invoer gegevens'!$C$11,IF(C151=1,AC150,0))</f>
        <v>0</v>
      </c>
      <c r="Y151" s="98">
        <f ca="1">IF(C151&gt;=1,X151*VLOOKUP(E151,Reeksen!$A$5:$B$76,2),0)</f>
        <v>0</v>
      </c>
      <c r="Z151" s="98">
        <f ca="1">(1-('Invoer gegevens'!$F$20/12))*X151*MIN(Reeksen!B151,Reeksen!D151)</f>
        <v>0</v>
      </c>
      <c r="AA151" s="98">
        <f>IF(Reeksen!D151&gt;=Reeksen!B151,0,IF(Reeksen!AK151&lt;=Reeksen!AE151,(Reeksen!B151-Reeksen!D151)*X151,0))</f>
        <v>0</v>
      </c>
      <c r="AB151" s="98">
        <f>IF(Reeksen!D151&gt;=Reeksen!B151,0,IF(Reeksen!AK151&gt;Reeksen!AE151,(Reeksen!B151-Reeksen!D151)*X151,0))</f>
        <v>0</v>
      </c>
      <c r="AC151" s="99">
        <f t="shared" ca="1" si="26"/>
        <v>0</v>
      </c>
      <c r="AD151" s="98">
        <f ca="1">IF('Invoer gegevens'!$C$17=E151,R151,IF(C151=0,0,AE150))</f>
        <v>0</v>
      </c>
      <c r="AE151" s="98">
        <f t="shared" ca="1" si="27"/>
        <v>0</v>
      </c>
      <c r="AF151" s="98">
        <f ca="1">IF('Invoer gegevens'!$C$17=E151,X151,IF(C151=0,0,AG150))</f>
        <v>0</v>
      </c>
      <c r="AG151" s="98">
        <f t="shared" ca="1" si="28"/>
        <v>0</v>
      </c>
      <c r="AH151" s="68"/>
      <c r="AI151" s="71">
        <f ca="1">IF(C151=1,Reeksen!AJ151*((F151-G151+F151)/2)*12+Reeksen!AK151*((L151-M151+L151)/2)*12,0)</f>
        <v>0</v>
      </c>
      <c r="AJ151" s="71">
        <f ca="1">-AI151*'Invoer gegevens'!$F$28</f>
        <v>0</v>
      </c>
      <c r="AK151" s="71">
        <f t="shared" ca="1" si="22"/>
        <v>0</v>
      </c>
      <c r="AL151" s="71">
        <f ca="1">IF(C151=1,Reeksen!AL151*((F151-G151+F151)/2)*12+Reeksen!AM151*((L151-M151+L151)/2)*12,0)</f>
        <v>0</v>
      </c>
      <c r="AM151" s="71">
        <f ca="1">-AL151*'Invoer gegevens'!$F$31</f>
        <v>0</v>
      </c>
      <c r="AN151" s="71">
        <f t="shared" ca="1" si="29"/>
        <v>0</v>
      </c>
      <c r="AO151" s="71">
        <f ca="1">IF(C151=1,(H151+J151+N151+P151)*Reeksen!AN151,0)</f>
        <v>0</v>
      </c>
      <c r="AP151" s="71">
        <f ca="1">-IF(C151=1,(H151+J151+N151+P151)*'Hulp - basis'!$G$550*Reeksen!H151,0)</f>
        <v>0</v>
      </c>
      <c r="AQ151" s="71">
        <f ca="1">-IF(C151=1,(F151+K151+L151+Q151)/2*'Invoer gegevens'!$I$33*Reeksen!J151,0)*2</f>
        <v>0</v>
      </c>
      <c r="AR151" s="71">
        <f ca="1">-IF(C151=1,(I151*'Invoer gegevens'!$I$34)*Reeksen!J151,0)</f>
        <v>0</v>
      </c>
      <c r="AS151" s="71">
        <f ca="1">-IF(C151=1,(F151+K151+L151+Q151)/2*'Invoer gegevens'!$I$35*Reeksen!L151,0)</f>
        <v>0</v>
      </c>
      <c r="AT151" s="71">
        <f ca="1">-IF(C151=1,IF(E151='Invoer gegevens'!$C$17,'Invoer gegevens'!$C$11,AD151)*Reeksen!S151*'Invoer gegevens'!$C$18*Reeksen!P151,0)</f>
        <v>0</v>
      </c>
      <c r="AU151" s="71">
        <f ca="1">-IF(C151=1,(F151+K151+L151+Q151)/2*'Invoer gegevens'!$I$36*Reeksen!H151,0)</f>
        <v>0</v>
      </c>
      <c r="AV151" s="71">
        <f>IF('Invoer gegevens'!$C$3="Basis",0,#REF!)</f>
        <v>0</v>
      </c>
      <c r="AW151" s="71">
        <f t="shared" ca="1" si="30"/>
        <v>0</v>
      </c>
      <c r="AX151" s="71">
        <f ca="1">IF(E151&lt;'Invoer gegevens'!$C$17+15,0,IF(E151&gt;'Invoer gegevens'!$C$17+215,0,AW151))</f>
        <v>0</v>
      </c>
      <c r="AY151" s="71">
        <f ca="1">AX151/(1+'Invoer gegevens'!$F$18)^($AZ151-('Invoer gegevens'!$C$17-'Invoer gegevens'!$C$16))/(1+'Invoer gegevens'!$C$39)^('Invoer gegevens'!$C$17-'Invoer gegevens'!$C$16)</f>
        <v>0</v>
      </c>
      <c r="AZ151" s="68">
        <f ca="1">IF(E151-'Invoer gegevens'!$C$17-14.5&lt;0,0,E151-'Invoer gegevens'!$C$17-14.5)</f>
        <v>131.5</v>
      </c>
    </row>
    <row r="152" spans="2:52" x14ac:dyDescent="0.25">
      <c r="B152" s="70">
        <f t="shared" si="31"/>
        <v>148</v>
      </c>
      <c r="C152" s="67">
        <f ca="1">IF(E152-'Invoer gegevens'!$C$17&lt;0,0,1)</f>
        <v>1</v>
      </c>
      <c r="D152" s="68">
        <f t="shared" si="32"/>
        <v>147.5</v>
      </c>
      <c r="E152" s="108">
        <f ca="1">IF('Invoer gegevens'!$C$16="","",E151+1)</f>
        <v>2166</v>
      </c>
      <c r="F152" s="84">
        <f ca="1">IF('Invoer gegevens'!$C$17=E152,'Invoer gegevens'!$C$10,IF(C152=1,K151,0))</f>
        <v>0</v>
      </c>
      <c r="G152" s="96">
        <f ca="1">IF(C152&gt;=1,F152*VLOOKUP(E152,Reeksen!$A$5:$B$76,2),0)</f>
        <v>0</v>
      </c>
      <c r="H152" s="84">
        <f ca="1">(1-('Invoer gegevens'!$F$20/12))*F152*MIN(Reeksen!B152,Reeksen!D152)</f>
        <v>0</v>
      </c>
      <c r="I152" s="84">
        <f>IF(Reeksen!D152&lt;Reeksen!B152,(Reeksen!B152-Reeksen!D152)*F152,0)</f>
        <v>0</v>
      </c>
      <c r="J152" s="84">
        <f ca="1">('Invoer gegevens'!$F$20/12)*F151*MIN(Reeksen!B151,Reeksen!D151)</f>
        <v>0</v>
      </c>
      <c r="K152" s="97">
        <f t="shared" ca="1" si="23"/>
        <v>0</v>
      </c>
      <c r="L152" s="84">
        <f ca="1">IF('Invoer gegevens'!$C$17=E152,0,IF(C152=1,Q151,0))</f>
        <v>0</v>
      </c>
      <c r="M152" s="96">
        <f ca="1">IF(C152&gt;=1,L152*VLOOKUP(E152,Reeksen!$A$5:$B$76,2),0)</f>
        <v>0</v>
      </c>
      <c r="N152" s="84">
        <f ca="1">(1-('Invoer gegevens'!$F$20/12))*L152*MIN(Reeksen!B152,Reeksen!D152)</f>
        <v>0</v>
      </c>
      <c r="O152" s="84">
        <f>IF(Reeksen!D152&lt;Reeksen!B152,(Reeksen!B152-Reeksen!D152)*L152,0)</f>
        <v>0</v>
      </c>
      <c r="P152" s="84">
        <f ca="1">('Invoer gegevens'!$F$20/12)*L151*MIN(Reeksen!B151,Reeksen!D151)</f>
        <v>0</v>
      </c>
      <c r="Q152" s="84">
        <f t="shared" ca="1" si="24"/>
        <v>0</v>
      </c>
      <c r="R152" s="82">
        <f ca="1">IF('Invoer gegevens'!$C$17=E152,'Invoer gegevens'!$C$11,IF(C152=1,W151,0))</f>
        <v>0</v>
      </c>
      <c r="S152" s="86">
        <f ca="1">IF(C152&gt;=1,R152*VLOOKUP(E152,Reeksen!$A$5:$B$76,2),0)</f>
        <v>0</v>
      </c>
      <c r="T152" s="84">
        <f ca="1">(1-('Invoer gegevens'!$F$20/12))*R152*MIN(Reeksen!B152,Reeksen!D152)</f>
        <v>0</v>
      </c>
      <c r="U152" s="84">
        <f>IF(Reeksen!D152&gt;=Reeksen!B152,0,IF(Reeksen!AK152&lt;=Reeksen!AE152,(Reeksen!B152-Reeksen!D152)*R152,0))</f>
        <v>0</v>
      </c>
      <c r="V152" s="86">
        <f>IF(Reeksen!D152&gt;=Reeksen!B152,0,IF(Reeksen!AK152&gt;Reeksen!AE152,(Reeksen!B152-Reeksen!D152)*R152,0))</f>
        <v>0</v>
      </c>
      <c r="W152" s="97">
        <f t="shared" ca="1" si="25"/>
        <v>0</v>
      </c>
      <c r="X152" s="98">
        <f ca="1">IF('Invoer gegevens'!$C$17=E152,'Invoer gegevens'!$C$10-'Invoer gegevens'!$C$11,IF(C152=1,AC151,0))</f>
        <v>0</v>
      </c>
      <c r="Y152" s="98">
        <f ca="1">IF(C152&gt;=1,X152*VLOOKUP(E152,Reeksen!$A$5:$B$76,2),0)</f>
        <v>0</v>
      </c>
      <c r="Z152" s="98">
        <f ca="1">(1-('Invoer gegevens'!$F$20/12))*X152*MIN(Reeksen!B152,Reeksen!D152)</f>
        <v>0</v>
      </c>
      <c r="AA152" s="98">
        <f>IF(Reeksen!D152&gt;=Reeksen!B152,0,IF(Reeksen!AK152&lt;=Reeksen!AE152,(Reeksen!B152-Reeksen!D152)*X152,0))</f>
        <v>0</v>
      </c>
      <c r="AB152" s="98">
        <f>IF(Reeksen!D152&gt;=Reeksen!B152,0,IF(Reeksen!AK152&gt;Reeksen!AE152,(Reeksen!B152-Reeksen!D152)*X152,0))</f>
        <v>0</v>
      </c>
      <c r="AC152" s="99">
        <f t="shared" ca="1" si="26"/>
        <v>0</v>
      </c>
      <c r="AD152" s="98">
        <f ca="1">IF('Invoer gegevens'!$C$17=E152,R152,IF(C152=0,0,AE151))</f>
        <v>0</v>
      </c>
      <c r="AE152" s="98">
        <f t="shared" ca="1" si="27"/>
        <v>0</v>
      </c>
      <c r="AF152" s="98">
        <f ca="1">IF('Invoer gegevens'!$C$17=E152,X152,IF(C152=0,0,AG151))</f>
        <v>0</v>
      </c>
      <c r="AG152" s="98">
        <f t="shared" ca="1" si="28"/>
        <v>0</v>
      </c>
      <c r="AH152" s="68"/>
      <c r="AI152" s="71">
        <f ca="1">IF(C152=1,Reeksen!AJ152*((F152-G152+F152)/2)*12+Reeksen!AK152*((L152-M152+L152)/2)*12,0)</f>
        <v>0</v>
      </c>
      <c r="AJ152" s="71">
        <f ca="1">-AI152*'Invoer gegevens'!$F$28</f>
        <v>0</v>
      </c>
      <c r="AK152" s="71">
        <f t="shared" ca="1" si="22"/>
        <v>0</v>
      </c>
      <c r="AL152" s="71">
        <f ca="1">IF(C152=1,Reeksen!AL152*((F152-G152+F152)/2)*12+Reeksen!AM152*((L152-M152+L152)/2)*12,0)</f>
        <v>0</v>
      </c>
      <c r="AM152" s="71">
        <f ca="1">-AL152*'Invoer gegevens'!$F$31</f>
        <v>0</v>
      </c>
      <c r="AN152" s="71">
        <f t="shared" ca="1" si="29"/>
        <v>0</v>
      </c>
      <c r="AO152" s="71">
        <f ca="1">IF(C152=1,(H152+J152+N152+P152)*Reeksen!AN152,0)</f>
        <v>0</v>
      </c>
      <c r="AP152" s="71">
        <f ca="1">-IF(C152=1,(H152+J152+N152+P152)*'Hulp - basis'!$G$550*Reeksen!H152,0)</f>
        <v>0</v>
      </c>
      <c r="AQ152" s="71">
        <f ca="1">-IF(C152=1,(F152+K152+L152+Q152)/2*'Invoer gegevens'!$I$33*Reeksen!J152,0)*2</f>
        <v>0</v>
      </c>
      <c r="AR152" s="71">
        <f ca="1">-IF(C152=1,(I152*'Invoer gegevens'!$I$34)*Reeksen!J152,0)</f>
        <v>0</v>
      </c>
      <c r="AS152" s="71">
        <f ca="1">-IF(C152=1,(F152+K152+L152+Q152)/2*'Invoer gegevens'!$I$35*Reeksen!L152,0)</f>
        <v>0</v>
      </c>
      <c r="AT152" s="71">
        <f ca="1">-IF(C152=1,IF(E152='Invoer gegevens'!$C$17,'Invoer gegevens'!$C$11,AD152)*Reeksen!S152*'Invoer gegevens'!$C$18*Reeksen!P152,0)</f>
        <v>0</v>
      </c>
      <c r="AU152" s="71">
        <f ca="1">-IF(C152=1,(F152+K152+L152+Q152)/2*'Invoer gegevens'!$I$36*Reeksen!H152,0)</f>
        <v>0</v>
      </c>
      <c r="AV152" s="71">
        <f>IF('Invoer gegevens'!$C$3="Basis",0,#REF!)</f>
        <v>0</v>
      </c>
      <c r="AW152" s="71">
        <f t="shared" ca="1" si="30"/>
        <v>0</v>
      </c>
      <c r="AX152" s="71">
        <f ca="1">IF(E152&lt;'Invoer gegevens'!$C$17+15,0,IF(E152&gt;'Invoer gegevens'!$C$17+215,0,AW152))</f>
        <v>0</v>
      </c>
      <c r="AY152" s="71">
        <f ca="1">AX152/(1+'Invoer gegevens'!$F$18)^($AZ152-('Invoer gegevens'!$C$17-'Invoer gegevens'!$C$16))/(1+'Invoer gegevens'!$C$39)^('Invoer gegevens'!$C$17-'Invoer gegevens'!$C$16)</f>
        <v>0</v>
      </c>
      <c r="AZ152" s="68">
        <f ca="1">IF(E152-'Invoer gegevens'!$C$17-14.5&lt;0,0,E152-'Invoer gegevens'!$C$17-14.5)</f>
        <v>132.5</v>
      </c>
    </row>
    <row r="153" spans="2:52" x14ac:dyDescent="0.25">
      <c r="B153" s="70">
        <f t="shared" si="31"/>
        <v>149</v>
      </c>
      <c r="C153" s="67">
        <f ca="1">IF(E153-'Invoer gegevens'!$C$17&lt;0,0,1)</f>
        <v>1</v>
      </c>
      <c r="D153" s="68">
        <f t="shared" si="32"/>
        <v>148.5</v>
      </c>
      <c r="E153" s="108">
        <f ca="1">IF('Invoer gegevens'!$C$16="","",E152+1)</f>
        <v>2167</v>
      </c>
      <c r="F153" s="84">
        <f ca="1">IF('Invoer gegevens'!$C$17=E153,'Invoer gegevens'!$C$10,IF(C153=1,K152,0))</f>
        <v>0</v>
      </c>
      <c r="G153" s="96">
        <f ca="1">IF(C153&gt;=1,F153*VLOOKUP(E153,Reeksen!$A$5:$B$76,2),0)</f>
        <v>0</v>
      </c>
      <c r="H153" s="84">
        <f ca="1">(1-('Invoer gegevens'!$F$20/12))*F153*MIN(Reeksen!B153,Reeksen!D153)</f>
        <v>0</v>
      </c>
      <c r="I153" s="84">
        <f>IF(Reeksen!D153&lt;Reeksen!B153,(Reeksen!B153-Reeksen!D153)*F153,0)</f>
        <v>0</v>
      </c>
      <c r="J153" s="84">
        <f ca="1">('Invoer gegevens'!$F$20/12)*F152*MIN(Reeksen!B152,Reeksen!D152)</f>
        <v>0</v>
      </c>
      <c r="K153" s="97">
        <f t="shared" ca="1" si="23"/>
        <v>0</v>
      </c>
      <c r="L153" s="84">
        <f ca="1">IF('Invoer gegevens'!$C$17=E153,0,IF(C153=1,Q152,0))</f>
        <v>0</v>
      </c>
      <c r="M153" s="96">
        <f ca="1">IF(C153&gt;=1,L153*VLOOKUP(E153,Reeksen!$A$5:$B$76,2),0)</f>
        <v>0</v>
      </c>
      <c r="N153" s="84">
        <f ca="1">(1-('Invoer gegevens'!$F$20/12))*L153*MIN(Reeksen!B153,Reeksen!D153)</f>
        <v>0</v>
      </c>
      <c r="O153" s="84">
        <f>IF(Reeksen!D153&lt;Reeksen!B153,(Reeksen!B153-Reeksen!D153)*L153,0)</f>
        <v>0</v>
      </c>
      <c r="P153" s="84">
        <f ca="1">('Invoer gegevens'!$F$20/12)*L152*MIN(Reeksen!B152,Reeksen!D152)</f>
        <v>0</v>
      </c>
      <c r="Q153" s="84">
        <f t="shared" ca="1" si="24"/>
        <v>0</v>
      </c>
      <c r="R153" s="82">
        <f ca="1">IF('Invoer gegevens'!$C$17=E153,'Invoer gegevens'!$C$11,IF(C153=1,W152,0))</f>
        <v>0</v>
      </c>
      <c r="S153" s="86">
        <f ca="1">IF(C153&gt;=1,R153*VLOOKUP(E153,Reeksen!$A$5:$B$76,2),0)</f>
        <v>0</v>
      </c>
      <c r="T153" s="84">
        <f ca="1">(1-('Invoer gegevens'!$F$20/12))*R153*MIN(Reeksen!B153,Reeksen!D153)</f>
        <v>0</v>
      </c>
      <c r="U153" s="84">
        <f>IF(Reeksen!D153&gt;=Reeksen!B153,0,IF(Reeksen!AK153&lt;=Reeksen!AE153,(Reeksen!B153-Reeksen!D153)*R153,0))</f>
        <v>0</v>
      </c>
      <c r="V153" s="86">
        <f>IF(Reeksen!D153&gt;=Reeksen!B153,0,IF(Reeksen!AK153&gt;Reeksen!AE153,(Reeksen!B153-Reeksen!D153)*R153,0))</f>
        <v>0</v>
      </c>
      <c r="W153" s="97">
        <f t="shared" ca="1" si="25"/>
        <v>0</v>
      </c>
      <c r="X153" s="98">
        <f ca="1">IF('Invoer gegevens'!$C$17=E153,'Invoer gegevens'!$C$10-'Invoer gegevens'!$C$11,IF(C153=1,AC152,0))</f>
        <v>0</v>
      </c>
      <c r="Y153" s="98">
        <f ca="1">IF(C153&gt;=1,X153*VLOOKUP(E153,Reeksen!$A$5:$B$76,2),0)</f>
        <v>0</v>
      </c>
      <c r="Z153" s="98">
        <f ca="1">(1-('Invoer gegevens'!$F$20/12))*X153*MIN(Reeksen!B153,Reeksen!D153)</f>
        <v>0</v>
      </c>
      <c r="AA153" s="98">
        <f>IF(Reeksen!D153&gt;=Reeksen!B153,0,IF(Reeksen!AK153&lt;=Reeksen!AE153,(Reeksen!B153-Reeksen!D153)*X153,0))</f>
        <v>0</v>
      </c>
      <c r="AB153" s="98">
        <f>IF(Reeksen!D153&gt;=Reeksen!B153,0,IF(Reeksen!AK153&gt;Reeksen!AE153,(Reeksen!B153-Reeksen!D153)*X153,0))</f>
        <v>0</v>
      </c>
      <c r="AC153" s="99">
        <f t="shared" ca="1" si="26"/>
        <v>0</v>
      </c>
      <c r="AD153" s="98">
        <f ca="1">IF('Invoer gegevens'!$C$17=E153,R153,IF(C153=0,0,AE152))</f>
        <v>0</v>
      </c>
      <c r="AE153" s="98">
        <f t="shared" ca="1" si="27"/>
        <v>0</v>
      </c>
      <c r="AF153" s="98">
        <f ca="1">IF('Invoer gegevens'!$C$17=E153,X153,IF(C153=0,0,AG152))</f>
        <v>0</v>
      </c>
      <c r="AG153" s="98">
        <f t="shared" ca="1" si="28"/>
        <v>0</v>
      </c>
      <c r="AH153" s="68"/>
      <c r="AI153" s="71">
        <f ca="1">IF(C153=1,Reeksen!AJ153*((F153-G153+F153)/2)*12+Reeksen!AK153*((L153-M153+L153)/2)*12,0)</f>
        <v>0</v>
      </c>
      <c r="AJ153" s="71">
        <f ca="1">-AI153*'Invoer gegevens'!$F$28</f>
        <v>0</v>
      </c>
      <c r="AK153" s="71">
        <f t="shared" ca="1" si="22"/>
        <v>0</v>
      </c>
      <c r="AL153" s="71">
        <f ca="1">IF(C153=1,Reeksen!AL153*((F153-G153+F153)/2)*12+Reeksen!AM153*((L153-M153+L153)/2)*12,0)</f>
        <v>0</v>
      </c>
      <c r="AM153" s="71">
        <f ca="1">-AL153*'Invoer gegevens'!$F$31</f>
        <v>0</v>
      </c>
      <c r="AN153" s="71">
        <f t="shared" ca="1" si="29"/>
        <v>0</v>
      </c>
      <c r="AO153" s="71">
        <f ca="1">IF(C153=1,(H153+J153+N153+P153)*Reeksen!AN153,0)</f>
        <v>0</v>
      </c>
      <c r="AP153" s="71">
        <f ca="1">-IF(C153=1,(H153+J153+N153+P153)*'Hulp - basis'!$G$550*Reeksen!H153,0)</f>
        <v>0</v>
      </c>
      <c r="AQ153" s="71">
        <f ca="1">-IF(C153=1,(F153+K153+L153+Q153)/2*'Invoer gegevens'!$I$33*Reeksen!J153,0)*2</f>
        <v>0</v>
      </c>
      <c r="AR153" s="71">
        <f ca="1">-IF(C153=1,(I153*'Invoer gegevens'!$I$34)*Reeksen!J153,0)</f>
        <v>0</v>
      </c>
      <c r="AS153" s="71">
        <f ca="1">-IF(C153=1,(F153+K153+L153+Q153)/2*'Invoer gegevens'!$I$35*Reeksen!L153,0)</f>
        <v>0</v>
      </c>
      <c r="AT153" s="71">
        <f ca="1">-IF(C153=1,IF(E153='Invoer gegevens'!$C$17,'Invoer gegevens'!$C$11,AD153)*Reeksen!S153*'Invoer gegevens'!$C$18*Reeksen!P153,0)</f>
        <v>0</v>
      </c>
      <c r="AU153" s="71">
        <f ca="1">-IF(C153=1,(F153+K153+L153+Q153)/2*'Invoer gegevens'!$I$36*Reeksen!H153,0)</f>
        <v>0</v>
      </c>
      <c r="AV153" s="71">
        <f>IF('Invoer gegevens'!$C$3="Basis",0,#REF!)</f>
        <v>0</v>
      </c>
      <c r="AW153" s="71">
        <f t="shared" ca="1" si="30"/>
        <v>0</v>
      </c>
      <c r="AX153" s="71">
        <f ca="1">IF(E153&lt;'Invoer gegevens'!$C$17+15,0,IF(E153&gt;'Invoer gegevens'!$C$17+215,0,AW153))</f>
        <v>0</v>
      </c>
      <c r="AY153" s="71">
        <f ca="1">AX153/(1+'Invoer gegevens'!$F$18)^($AZ153-('Invoer gegevens'!$C$17-'Invoer gegevens'!$C$16))/(1+'Invoer gegevens'!$C$39)^('Invoer gegevens'!$C$17-'Invoer gegevens'!$C$16)</f>
        <v>0</v>
      </c>
      <c r="AZ153" s="68">
        <f ca="1">IF(E153-'Invoer gegevens'!$C$17-14.5&lt;0,0,E153-'Invoer gegevens'!$C$17-14.5)</f>
        <v>133.5</v>
      </c>
    </row>
    <row r="154" spans="2:52" x14ac:dyDescent="0.25">
      <c r="B154" s="70">
        <f t="shared" si="31"/>
        <v>150</v>
      </c>
      <c r="C154" s="67">
        <f ca="1">IF(E154-'Invoer gegevens'!$C$17&lt;0,0,1)</f>
        <v>1</v>
      </c>
      <c r="D154" s="68">
        <f t="shared" si="32"/>
        <v>149.5</v>
      </c>
      <c r="E154" s="108">
        <f ca="1">IF('Invoer gegevens'!$C$16="","",E153+1)</f>
        <v>2168</v>
      </c>
      <c r="F154" s="84">
        <f ca="1">IF('Invoer gegevens'!$C$17=E154,'Invoer gegevens'!$C$10,IF(C154=1,K153,0))</f>
        <v>0</v>
      </c>
      <c r="G154" s="96">
        <f ca="1">IF(C154&gt;=1,F154*VLOOKUP(E154,Reeksen!$A$5:$B$76,2),0)</f>
        <v>0</v>
      </c>
      <c r="H154" s="84">
        <f ca="1">(1-('Invoer gegevens'!$F$20/12))*F154*MIN(Reeksen!B154,Reeksen!D154)</f>
        <v>0</v>
      </c>
      <c r="I154" s="84">
        <f>IF(Reeksen!D154&lt;Reeksen!B154,(Reeksen!B154-Reeksen!D154)*F154,0)</f>
        <v>0</v>
      </c>
      <c r="J154" s="84">
        <f ca="1">('Invoer gegevens'!$F$20/12)*F153*MIN(Reeksen!B153,Reeksen!D153)</f>
        <v>0</v>
      </c>
      <c r="K154" s="97">
        <f t="shared" ca="1" si="23"/>
        <v>0</v>
      </c>
      <c r="L154" s="84">
        <f ca="1">IF('Invoer gegevens'!$C$17=E154,0,IF(C154=1,Q153,0))</f>
        <v>0</v>
      </c>
      <c r="M154" s="96">
        <f ca="1">IF(C154&gt;=1,L154*VLOOKUP(E154,Reeksen!$A$5:$B$76,2),0)</f>
        <v>0</v>
      </c>
      <c r="N154" s="84">
        <f ca="1">(1-('Invoer gegevens'!$F$20/12))*L154*MIN(Reeksen!B154,Reeksen!D154)</f>
        <v>0</v>
      </c>
      <c r="O154" s="84">
        <f>IF(Reeksen!D154&lt;Reeksen!B154,(Reeksen!B154-Reeksen!D154)*L154,0)</f>
        <v>0</v>
      </c>
      <c r="P154" s="84">
        <f ca="1">('Invoer gegevens'!$F$20/12)*L153*MIN(Reeksen!B153,Reeksen!D153)</f>
        <v>0</v>
      </c>
      <c r="Q154" s="84">
        <f t="shared" ca="1" si="24"/>
        <v>0</v>
      </c>
      <c r="R154" s="82">
        <f ca="1">IF('Invoer gegevens'!$C$17=E154,'Invoer gegevens'!$C$11,IF(C154=1,W153,0))</f>
        <v>0</v>
      </c>
      <c r="S154" s="86">
        <f ca="1">IF(C154&gt;=1,R154*VLOOKUP(E154,Reeksen!$A$5:$B$76,2),0)</f>
        <v>0</v>
      </c>
      <c r="T154" s="84">
        <f ca="1">(1-('Invoer gegevens'!$F$20/12))*R154*MIN(Reeksen!B154,Reeksen!D154)</f>
        <v>0</v>
      </c>
      <c r="U154" s="84">
        <f>IF(Reeksen!D154&gt;=Reeksen!B154,0,IF(Reeksen!AK154&lt;=Reeksen!AE154,(Reeksen!B154-Reeksen!D154)*R154,0))</f>
        <v>0</v>
      </c>
      <c r="V154" s="86">
        <f>IF(Reeksen!D154&gt;=Reeksen!B154,0,IF(Reeksen!AK154&gt;Reeksen!AE154,(Reeksen!B154-Reeksen!D154)*R154,0))</f>
        <v>0</v>
      </c>
      <c r="W154" s="97">
        <f t="shared" ca="1" si="25"/>
        <v>0</v>
      </c>
      <c r="X154" s="98">
        <f ca="1">IF('Invoer gegevens'!$C$17=E154,'Invoer gegevens'!$C$10-'Invoer gegevens'!$C$11,IF(C154=1,AC153,0))</f>
        <v>0</v>
      </c>
      <c r="Y154" s="98">
        <f ca="1">IF(C154&gt;=1,X154*VLOOKUP(E154,Reeksen!$A$5:$B$76,2),0)</f>
        <v>0</v>
      </c>
      <c r="Z154" s="98">
        <f ca="1">(1-('Invoer gegevens'!$F$20/12))*X154*MIN(Reeksen!B154,Reeksen!D154)</f>
        <v>0</v>
      </c>
      <c r="AA154" s="98">
        <f>IF(Reeksen!D154&gt;=Reeksen!B154,0,IF(Reeksen!AK154&lt;=Reeksen!AE154,(Reeksen!B154-Reeksen!D154)*X154,0))</f>
        <v>0</v>
      </c>
      <c r="AB154" s="98">
        <f>IF(Reeksen!D154&gt;=Reeksen!B154,0,IF(Reeksen!AK154&gt;Reeksen!AE154,(Reeksen!B154-Reeksen!D154)*X154,0))</f>
        <v>0</v>
      </c>
      <c r="AC154" s="99">
        <f t="shared" ca="1" si="26"/>
        <v>0</v>
      </c>
      <c r="AD154" s="98">
        <f ca="1">IF('Invoer gegevens'!$C$17=E154,R154,IF(C154=0,0,AE153))</f>
        <v>0</v>
      </c>
      <c r="AE154" s="98">
        <f t="shared" ca="1" si="27"/>
        <v>0</v>
      </c>
      <c r="AF154" s="98">
        <f ca="1">IF('Invoer gegevens'!$C$17=E154,X154,IF(C154=0,0,AG153))</f>
        <v>0</v>
      </c>
      <c r="AG154" s="98">
        <f t="shared" ca="1" si="28"/>
        <v>0</v>
      </c>
      <c r="AH154" s="68"/>
      <c r="AI154" s="71">
        <f ca="1">IF(C154=1,Reeksen!AJ154*((F154-G154+F154)/2)*12+Reeksen!AK154*((L154-M154+L154)/2)*12,0)</f>
        <v>0</v>
      </c>
      <c r="AJ154" s="71">
        <f ca="1">-AI154*'Invoer gegevens'!$F$28</f>
        <v>0</v>
      </c>
      <c r="AK154" s="71">
        <f t="shared" ca="1" si="22"/>
        <v>0</v>
      </c>
      <c r="AL154" s="71">
        <f ca="1">IF(C154=1,Reeksen!AL154*((F154-G154+F154)/2)*12+Reeksen!AM154*((L154-M154+L154)/2)*12,0)</f>
        <v>0</v>
      </c>
      <c r="AM154" s="71">
        <f ca="1">-AL154*'Invoer gegevens'!$F$31</f>
        <v>0</v>
      </c>
      <c r="AN154" s="71">
        <f t="shared" ca="1" si="29"/>
        <v>0</v>
      </c>
      <c r="AO154" s="71">
        <f ca="1">IF(C154=1,(H154+J154+N154+P154)*Reeksen!AN154,0)</f>
        <v>0</v>
      </c>
      <c r="AP154" s="71">
        <f ca="1">-IF(C154=1,(H154+J154+N154+P154)*'Hulp - basis'!$G$550*Reeksen!H154,0)</f>
        <v>0</v>
      </c>
      <c r="AQ154" s="71">
        <f ca="1">-IF(C154=1,(F154+K154+L154+Q154)/2*'Invoer gegevens'!$I$33*Reeksen!J154,0)*2</f>
        <v>0</v>
      </c>
      <c r="AR154" s="71">
        <f ca="1">-IF(C154=1,(I154*'Invoer gegevens'!$I$34)*Reeksen!J154,0)</f>
        <v>0</v>
      </c>
      <c r="AS154" s="71">
        <f ca="1">-IF(C154=1,(F154+K154+L154+Q154)/2*'Invoer gegevens'!$I$35*Reeksen!L154,0)</f>
        <v>0</v>
      </c>
      <c r="AT154" s="71">
        <f ca="1">-IF(C154=1,IF(E154='Invoer gegevens'!$C$17,'Invoer gegevens'!$C$11,AD154)*Reeksen!S154*'Invoer gegevens'!$C$18*Reeksen!P154,0)</f>
        <v>0</v>
      </c>
      <c r="AU154" s="71">
        <f ca="1">-IF(C154=1,(F154+K154+L154+Q154)/2*'Invoer gegevens'!$I$36*Reeksen!H154,0)</f>
        <v>0</v>
      </c>
      <c r="AV154" s="71">
        <f>IF('Invoer gegevens'!$C$3="Basis",0,#REF!)</f>
        <v>0</v>
      </c>
      <c r="AW154" s="71">
        <f t="shared" ca="1" si="30"/>
        <v>0</v>
      </c>
      <c r="AX154" s="71">
        <f ca="1">IF(E154&lt;'Invoer gegevens'!$C$17+15,0,IF(E154&gt;'Invoer gegevens'!$C$17+215,0,AW154))</f>
        <v>0</v>
      </c>
      <c r="AY154" s="71">
        <f ca="1">AX154/(1+'Invoer gegevens'!$F$18)^($AZ154-('Invoer gegevens'!$C$17-'Invoer gegevens'!$C$16))/(1+'Invoer gegevens'!$C$39)^('Invoer gegevens'!$C$17-'Invoer gegevens'!$C$16)</f>
        <v>0</v>
      </c>
      <c r="AZ154" s="68">
        <f ca="1">IF(E154-'Invoer gegevens'!$C$17-14.5&lt;0,0,E154-'Invoer gegevens'!$C$17-14.5)</f>
        <v>134.5</v>
      </c>
    </row>
    <row r="155" spans="2:52" x14ac:dyDescent="0.25">
      <c r="B155" s="70">
        <f t="shared" si="31"/>
        <v>151</v>
      </c>
      <c r="C155" s="67">
        <f ca="1">IF(E155-'Invoer gegevens'!$C$17&lt;0,0,1)</f>
        <v>1</v>
      </c>
      <c r="D155" s="68">
        <f t="shared" si="32"/>
        <v>150.5</v>
      </c>
      <c r="E155" s="108">
        <f ca="1">IF('Invoer gegevens'!$C$16="","",E154+1)</f>
        <v>2169</v>
      </c>
      <c r="F155" s="84">
        <f ca="1">IF('Invoer gegevens'!$C$17=E155,'Invoer gegevens'!$C$10,IF(C155=1,K154,0))</f>
        <v>0</v>
      </c>
      <c r="G155" s="96">
        <f ca="1">IF(C155&gt;=1,F155*VLOOKUP(E155,Reeksen!$A$5:$B$76,2),0)</f>
        <v>0</v>
      </c>
      <c r="H155" s="84">
        <f ca="1">(1-('Invoer gegevens'!$F$20/12))*F155*MIN(Reeksen!B155,Reeksen!D155)</f>
        <v>0</v>
      </c>
      <c r="I155" s="84">
        <f>IF(Reeksen!D155&lt;Reeksen!B155,(Reeksen!B155-Reeksen!D155)*F155,0)</f>
        <v>0</v>
      </c>
      <c r="J155" s="84">
        <f ca="1">('Invoer gegevens'!$F$20/12)*F154*MIN(Reeksen!B154,Reeksen!D154)</f>
        <v>0</v>
      </c>
      <c r="K155" s="97">
        <f t="shared" ca="1" si="23"/>
        <v>0</v>
      </c>
      <c r="L155" s="84">
        <f ca="1">IF('Invoer gegevens'!$C$17=E155,0,IF(C155=1,Q154,0))</f>
        <v>0</v>
      </c>
      <c r="M155" s="96">
        <f ca="1">IF(C155&gt;=1,L155*VLOOKUP(E155,Reeksen!$A$5:$B$76,2),0)</f>
        <v>0</v>
      </c>
      <c r="N155" s="84">
        <f ca="1">(1-('Invoer gegevens'!$F$20/12))*L155*MIN(Reeksen!B155,Reeksen!D155)</f>
        <v>0</v>
      </c>
      <c r="O155" s="84">
        <f>IF(Reeksen!D155&lt;Reeksen!B155,(Reeksen!B155-Reeksen!D155)*L155,0)</f>
        <v>0</v>
      </c>
      <c r="P155" s="84">
        <f ca="1">('Invoer gegevens'!$F$20/12)*L154*MIN(Reeksen!B154,Reeksen!D154)</f>
        <v>0</v>
      </c>
      <c r="Q155" s="84">
        <f t="shared" ca="1" si="24"/>
        <v>0</v>
      </c>
      <c r="R155" s="82">
        <f ca="1">IF('Invoer gegevens'!$C$17=E155,'Invoer gegevens'!$C$11,IF(C155=1,W154,0))</f>
        <v>0</v>
      </c>
      <c r="S155" s="86">
        <f ca="1">IF(C155&gt;=1,R155*VLOOKUP(E155,Reeksen!$A$5:$B$76,2),0)</f>
        <v>0</v>
      </c>
      <c r="T155" s="84">
        <f ca="1">(1-('Invoer gegevens'!$F$20/12))*R155*MIN(Reeksen!B155,Reeksen!D155)</f>
        <v>0</v>
      </c>
      <c r="U155" s="84">
        <f>IF(Reeksen!D155&gt;=Reeksen!B155,0,IF(Reeksen!AK155&lt;=Reeksen!AE155,(Reeksen!B155-Reeksen!D155)*R155,0))</f>
        <v>0</v>
      </c>
      <c r="V155" s="86">
        <f>IF(Reeksen!D155&gt;=Reeksen!B155,0,IF(Reeksen!AK155&gt;Reeksen!AE155,(Reeksen!B155-Reeksen!D155)*R155,0))</f>
        <v>0</v>
      </c>
      <c r="W155" s="97">
        <f t="shared" ca="1" si="25"/>
        <v>0</v>
      </c>
      <c r="X155" s="98">
        <f ca="1">IF('Invoer gegevens'!$C$17=E155,'Invoer gegevens'!$C$10-'Invoer gegevens'!$C$11,IF(C155=1,AC154,0))</f>
        <v>0</v>
      </c>
      <c r="Y155" s="98">
        <f ca="1">IF(C155&gt;=1,X155*VLOOKUP(E155,Reeksen!$A$5:$B$76,2),0)</f>
        <v>0</v>
      </c>
      <c r="Z155" s="98">
        <f ca="1">(1-('Invoer gegevens'!$F$20/12))*X155*MIN(Reeksen!B155,Reeksen!D155)</f>
        <v>0</v>
      </c>
      <c r="AA155" s="98">
        <f>IF(Reeksen!D155&gt;=Reeksen!B155,0,IF(Reeksen!AK155&lt;=Reeksen!AE155,(Reeksen!B155-Reeksen!D155)*X155,0))</f>
        <v>0</v>
      </c>
      <c r="AB155" s="98">
        <f>IF(Reeksen!D155&gt;=Reeksen!B155,0,IF(Reeksen!AK155&gt;Reeksen!AE155,(Reeksen!B155-Reeksen!D155)*X155,0))</f>
        <v>0</v>
      </c>
      <c r="AC155" s="99">
        <f t="shared" ca="1" si="26"/>
        <v>0</v>
      </c>
      <c r="AD155" s="98">
        <f ca="1">IF('Invoer gegevens'!$C$17=E155,R155,IF(C155=0,0,AE154))</f>
        <v>0</v>
      </c>
      <c r="AE155" s="98">
        <f t="shared" ca="1" si="27"/>
        <v>0</v>
      </c>
      <c r="AF155" s="98">
        <f ca="1">IF('Invoer gegevens'!$C$17=E155,X155,IF(C155=0,0,AG154))</f>
        <v>0</v>
      </c>
      <c r="AG155" s="98">
        <f t="shared" ca="1" si="28"/>
        <v>0</v>
      </c>
      <c r="AH155" s="68"/>
      <c r="AI155" s="71">
        <f ca="1">IF(C155=1,Reeksen!AJ155*((F155-G155+F155)/2)*12+Reeksen!AK155*((L155-M155+L155)/2)*12,0)</f>
        <v>0</v>
      </c>
      <c r="AJ155" s="71">
        <f ca="1">-AI155*'Invoer gegevens'!$F$28</f>
        <v>0</v>
      </c>
      <c r="AK155" s="71">
        <f t="shared" ca="1" si="22"/>
        <v>0</v>
      </c>
      <c r="AL155" s="71">
        <f ca="1">IF(C155=1,Reeksen!AL155*((F155-G155+F155)/2)*12+Reeksen!AM155*((L155-M155+L155)/2)*12,0)</f>
        <v>0</v>
      </c>
      <c r="AM155" s="71">
        <f ca="1">-AL155*'Invoer gegevens'!$F$31</f>
        <v>0</v>
      </c>
      <c r="AN155" s="71">
        <f t="shared" ca="1" si="29"/>
        <v>0</v>
      </c>
      <c r="AO155" s="71">
        <f ca="1">IF(C155=1,(H155+J155+N155+P155)*Reeksen!AN155,0)</f>
        <v>0</v>
      </c>
      <c r="AP155" s="71">
        <f ca="1">-IF(C155=1,(H155+J155+N155+P155)*'Hulp - basis'!$G$550*Reeksen!H155,0)</f>
        <v>0</v>
      </c>
      <c r="AQ155" s="71">
        <f ca="1">-IF(C155=1,(F155+K155+L155+Q155)/2*'Invoer gegevens'!$I$33*Reeksen!J155,0)*2</f>
        <v>0</v>
      </c>
      <c r="AR155" s="71">
        <f ca="1">-IF(C155=1,(I155*'Invoer gegevens'!$I$34)*Reeksen!J155,0)</f>
        <v>0</v>
      </c>
      <c r="AS155" s="71">
        <f ca="1">-IF(C155=1,(F155+K155+L155+Q155)/2*'Invoer gegevens'!$I$35*Reeksen!L155,0)</f>
        <v>0</v>
      </c>
      <c r="AT155" s="71">
        <f ca="1">-IF(C155=1,IF(E155='Invoer gegevens'!$C$17,'Invoer gegevens'!$C$11,AD155)*Reeksen!S155*'Invoer gegevens'!$C$18*Reeksen!P155,0)</f>
        <v>0</v>
      </c>
      <c r="AU155" s="71">
        <f ca="1">-IF(C155=1,(F155+K155+L155+Q155)/2*'Invoer gegevens'!$I$36*Reeksen!H155,0)</f>
        <v>0</v>
      </c>
      <c r="AV155" s="71">
        <f>IF('Invoer gegevens'!$C$3="Basis",0,#REF!)</f>
        <v>0</v>
      </c>
      <c r="AW155" s="71">
        <f t="shared" ca="1" si="30"/>
        <v>0</v>
      </c>
      <c r="AX155" s="71">
        <f ca="1">IF(E155&lt;'Invoer gegevens'!$C$17+15,0,IF(E155&gt;'Invoer gegevens'!$C$17+215,0,AW155))</f>
        <v>0</v>
      </c>
      <c r="AY155" s="71">
        <f ca="1">AX155/(1+'Invoer gegevens'!$F$18)^($AZ155-('Invoer gegevens'!$C$17-'Invoer gegevens'!$C$16))/(1+'Invoer gegevens'!$C$39)^('Invoer gegevens'!$C$17-'Invoer gegevens'!$C$16)</f>
        <v>0</v>
      </c>
      <c r="AZ155" s="68">
        <f ca="1">IF(E155-'Invoer gegevens'!$C$17-14.5&lt;0,0,E155-'Invoer gegevens'!$C$17-14.5)</f>
        <v>135.5</v>
      </c>
    </row>
    <row r="156" spans="2:52" x14ac:dyDescent="0.25">
      <c r="B156" s="70">
        <f t="shared" si="31"/>
        <v>152</v>
      </c>
      <c r="C156" s="67">
        <f ca="1">IF(E156-'Invoer gegevens'!$C$17&lt;0,0,1)</f>
        <v>1</v>
      </c>
      <c r="D156" s="68">
        <f t="shared" si="32"/>
        <v>151.5</v>
      </c>
      <c r="E156" s="108">
        <f ca="1">IF('Invoer gegevens'!$C$16="","",E155+1)</f>
        <v>2170</v>
      </c>
      <c r="F156" s="84">
        <f ca="1">IF('Invoer gegevens'!$C$17=E156,'Invoer gegevens'!$C$10,IF(C156=1,K155,0))</f>
        <v>0</v>
      </c>
      <c r="G156" s="96">
        <f ca="1">IF(C156&gt;=1,F156*VLOOKUP(E156,Reeksen!$A$5:$B$76,2),0)</f>
        <v>0</v>
      </c>
      <c r="H156" s="84">
        <f ca="1">(1-('Invoer gegevens'!$F$20/12))*F156*MIN(Reeksen!B156,Reeksen!D156)</f>
        <v>0</v>
      </c>
      <c r="I156" s="84">
        <f>IF(Reeksen!D156&lt;Reeksen!B156,(Reeksen!B156-Reeksen!D156)*F156,0)</f>
        <v>0</v>
      </c>
      <c r="J156" s="84">
        <f ca="1">('Invoer gegevens'!$F$20/12)*F155*MIN(Reeksen!B155,Reeksen!D155)</f>
        <v>0</v>
      </c>
      <c r="K156" s="97">
        <f t="shared" ca="1" si="23"/>
        <v>0</v>
      </c>
      <c r="L156" s="84">
        <f ca="1">IF('Invoer gegevens'!$C$17=E156,0,IF(C156=1,Q155,0))</f>
        <v>0</v>
      </c>
      <c r="M156" s="96">
        <f ca="1">IF(C156&gt;=1,L156*VLOOKUP(E156,Reeksen!$A$5:$B$76,2),0)</f>
        <v>0</v>
      </c>
      <c r="N156" s="84">
        <f ca="1">(1-('Invoer gegevens'!$F$20/12))*L156*MIN(Reeksen!B156,Reeksen!D156)</f>
        <v>0</v>
      </c>
      <c r="O156" s="84">
        <f>IF(Reeksen!D156&lt;Reeksen!B156,(Reeksen!B156-Reeksen!D156)*L156,0)</f>
        <v>0</v>
      </c>
      <c r="P156" s="84">
        <f ca="1">('Invoer gegevens'!$F$20/12)*L155*MIN(Reeksen!B155,Reeksen!D155)</f>
        <v>0</v>
      </c>
      <c r="Q156" s="84">
        <f t="shared" ca="1" si="24"/>
        <v>0</v>
      </c>
      <c r="R156" s="82">
        <f ca="1">IF('Invoer gegevens'!$C$17=E156,'Invoer gegevens'!$C$11,IF(C156=1,W155,0))</f>
        <v>0</v>
      </c>
      <c r="S156" s="86">
        <f ca="1">IF(C156&gt;=1,R156*VLOOKUP(E156,Reeksen!$A$5:$B$76,2),0)</f>
        <v>0</v>
      </c>
      <c r="T156" s="84">
        <f ca="1">(1-('Invoer gegevens'!$F$20/12))*R156*MIN(Reeksen!B156,Reeksen!D156)</f>
        <v>0</v>
      </c>
      <c r="U156" s="84">
        <f>IF(Reeksen!D156&gt;=Reeksen!B156,0,IF(Reeksen!AK156&lt;=Reeksen!AE156,(Reeksen!B156-Reeksen!D156)*R156,0))</f>
        <v>0</v>
      </c>
      <c r="V156" s="86">
        <f>IF(Reeksen!D156&gt;=Reeksen!B156,0,IF(Reeksen!AK156&gt;Reeksen!AE156,(Reeksen!B156-Reeksen!D156)*R156,0))</f>
        <v>0</v>
      </c>
      <c r="W156" s="97">
        <f t="shared" ca="1" si="25"/>
        <v>0</v>
      </c>
      <c r="X156" s="98">
        <f ca="1">IF('Invoer gegevens'!$C$17=E156,'Invoer gegevens'!$C$10-'Invoer gegevens'!$C$11,IF(C156=1,AC155,0))</f>
        <v>0</v>
      </c>
      <c r="Y156" s="98">
        <f ca="1">IF(C156&gt;=1,X156*VLOOKUP(E156,Reeksen!$A$5:$B$76,2),0)</f>
        <v>0</v>
      </c>
      <c r="Z156" s="98">
        <f ca="1">(1-('Invoer gegevens'!$F$20/12))*X156*MIN(Reeksen!B156,Reeksen!D156)</f>
        <v>0</v>
      </c>
      <c r="AA156" s="98">
        <f>IF(Reeksen!D156&gt;=Reeksen!B156,0,IF(Reeksen!AK156&lt;=Reeksen!AE156,(Reeksen!B156-Reeksen!D156)*X156,0))</f>
        <v>0</v>
      </c>
      <c r="AB156" s="98">
        <f>IF(Reeksen!D156&gt;=Reeksen!B156,0,IF(Reeksen!AK156&gt;Reeksen!AE156,(Reeksen!B156-Reeksen!D156)*X156,0))</f>
        <v>0</v>
      </c>
      <c r="AC156" s="99">
        <f t="shared" ca="1" si="26"/>
        <v>0</v>
      </c>
      <c r="AD156" s="98">
        <f ca="1">IF('Invoer gegevens'!$C$17=E156,R156,IF(C156=0,0,AE155))</f>
        <v>0</v>
      </c>
      <c r="AE156" s="98">
        <f t="shared" ca="1" si="27"/>
        <v>0</v>
      </c>
      <c r="AF156" s="98">
        <f ca="1">IF('Invoer gegevens'!$C$17=E156,X156,IF(C156=0,0,AG155))</f>
        <v>0</v>
      </c>
      <c r="AG156" s="98">
        <f t="shared" ca="1" si="28"/>
        <v>0</v>
      </c>
      <c r="AH156" s="68"/>
      <c r="AI156" s="71">
        <f ca="1">IF(C156=1,Reeksen!AJ156*((F156-G156+F156)/2)*12+Reeksen!AK156*((L156-M156+L156)/2)*12,0)</f>
        <v>0</v>
      </c>
      <c r="AJ156" s="71">
        <f ca="1">-AI156*'Invoer gegevens'!$F$28</f>
        <v>0</v>
      </c>
      <c r="AK156" s="71">
        <f t="shared" ca="1" si="22"/>
        <v>0</v>
      </c>
      <c r="AL156" s="71">
        <f ca="1">IF(C156=1,Reeksen!AL156*((F156-G156+F156)/2)*12+Reeksen!AM156*((L156-M156+L156)/2)*12,0)</f>
        <v>0</v>
      </c>
      <c r="AM156" s="71">
        <f ca="1">-AL156*'Invoer gegevens'!$F$31</f>
        <v>0</v>
      </c>
      <c r="AN156" s="71">
        <f t="shared" ca="1" si="29"/>
        <v>0</v>
      </c>
      <c r="AO156" s="71">
        <f ca="1">IF(C156=1,(H156+J156+N156+P156)*Reeksen!AN156,0)</f>
        <v>0</v>
      </c>
      <c r="AP156" s="71">
        <f ca="1">-IF(C156=1,(H156+J156+N156+P156)*'Hulp - basis'!$G$550*Reeksen!H156,0)</f>
        <v>0</v>
      </c>
      <c r="AQ156" s="71">
        <f ca="1">-IF(C156=1,(F156+K156+L156+Q156)/2*'Invoer gegevens'!$I$33*Reeksen!J156,0)*2</f>
        <v>0</v>
      </c>
      <c r="AR156" s="71">
        <f ca="1">-IF(C156=1,(I156*'Invoer gegevens'!$I$34)*Reeksen!J156,0)</f>
        <v>0</v>
      </c>
      <c r="AS156" s="71">
        <f ca="1">-IF(C156=1,(F156+K156+L156+Q156)/2*'Invoer gegevens'!$I$35*Reeksen!L156,0)</f>
        <v>0</v>
      </c>
      <c r="AT156" s="71">
        <f ca="1">-IF(C156=1,IF(E156='Invoer gegevens'!$C$17,'Invoer gegevens'!$C$11,AD156)*Reeksen!S156*'Invoer gegevens'!$C$18*Reeksen!P156,0)</f>
        <v>0</v>
      </c>
      <c r="AU156" s="71">
        <f ca="1">-IF(C156=1,(F156+K156+L156+Q156)/2*'Invoer gegevens'!$I$36*Reeksen!H156,0)</f>
        <v>0</v>
      </c>
      <c r="AV156" s="71">
        <f>IF('Invoer gegevens'!$C$3="Basis",0,#REF!)</f>
        <v>0</v>
      </c>
      <c r="AW156" s="71">
        <f t="shared" ca="1" si="30"/>
        <v>0</v>
      </c>
      <c r="AX156" s="71">
        <f ca="1">IF(E156&lt;'Invoer gegevens'!$C$17+15,0,IF(E156&gt;'Invoer gegevens'!$C$17+215,0,AW156))</f>
        <v>0</v>
      </c>
      <c r="AY156" s="71">
        <f ca="1">AX156/(1+'Invoer gegevens'!$F$18)^($AZ156-('Invoer gegevens'!$C$17-'Invoer gegevens'!$C$16))/(1+'Invoer gegevens'!$C$39)^('Invoer gegevens'!$C$17-'Invoer gegevens'!$C$16)</f>
        <v>0</v>
      </c>
      <c r="AZ156" s="68">
        <f ca="1">IF(E156-'Invoer gegevens'!$C$17-14.5&lt;0,0,E156-'Invoer gegevens'!$C$17-14.5)</f>
        <v>136.5</v>
      </c>
    </row>
    <row r="157" spans="2:52" x14ac:dyDescent="0.25">
      <c r="B157" s="70">
        <f t="shared" si="31"/>
        <v>153</v>
      </c>
      <c r="C157" s="67">
        <f ca="1">IF(E157-'Invoer gegevens'!$C$17&lt;0,0,1)</f>
        <v>1</v>
      </c>
      <c r="D157" s="68">
        <f t="shared" si="32"/>
        <v>152.5</v>
      </c>
      <c r="E157" s="108">
        <f ca="1">IF('Invoer gegevens'!$C$16="","",E156+1)</f>
        <v>2171</v>
      </c>
      <c r="F157" s="84">
        <f ca="1">IF('Invoer gegevens'!$C$17=E157,'Invoer gegevens'!$C$10,IF(C157=1,K156,0))</f>
        <v>0</v>
      </c>
      <c r="G157" s="96">
        <f ca="1">IF(C157&gt;=1,F157*VLOOKUP(E157,Reeksen!$A$5:$B$76,2),0)</f>
        <v>0</v>
      </c>
      <c r="H157" s="84">
        <f ca="1">(1-('Invoer gegevens'!$F$20/12))*F157*MIN(Reeksen!B157,Reeksen!D157)</f>
        <v>0</v>
      </c>
      <c r="I157" s="84">
        <f>IF(Reeksen!D157&lt;Reeksen!B157,(Reeksen!B157-Reeksen!D157)*F157,0)</f>
        <v>0</v>
      </c>
      <c r="J157" s="84">
        <f ca="1">('Invoer gegevens'!$F$20/12)*F156*MIN(Reeksen!B156,Reeksen!D156)</f>
        <v>0</v>
      </c>
      <c r="K157" s="97">
        <f t="shared" ca="1" si="23"/>
        <v>0</v>
      </c>
      <c r="L157" s="84">
        <f ca="1">IF('Invoer gegevens'!$C$17=E157,0,IF(C157=1,Q156,0))</f>
        <v>0</v>
      </c>
      <c r="M157" s="96">
        <f ca="1">IF(C157&gt;=1,L157*VLOOKUP(E157,Reeksen!$A$5:$B$76,2),0)</f>
        <v>0</v>
      </c>
      <c r="N157" s="84">
        <f ca="1">(1-('Invoer gegevens'!$F$20/12))*L157*MIN(Reeksen!B157,Reeksen!D157)</f>
        <v>0</v>
      </c>
      <c r="O157" s="84">
        <f>IF(Reeksen!D157&lt;Reeksen!B157,(Reeksen!B157-Reeksen!D157)*L157,0)</f>
        <v>0</v>
      </c>
      <c r="P157" s="84">
        <f ca="1">('Invoer gegevens'!$F$20/12)*L156*MIN(Reeksen!B156,Reeksen!D156)</f>
        <v>0</v>
      </c>
      <c r="Q157" s="84">
        <f t="shared" ca="1" si="24"/>
        <v>0</v>
      </c>
      <c r="R157" s="82">
        <f ca="1">IF('Invoer gegevens'!$C$17=E157,'Invoer gegevens'!$C$11,IF(C157=1,W156,0))</f>
        <v>0</v>
      </c>
      <c r="S157" s="86">
        <f ca="1">IF(C157&gt;=1,R157*VLOOKUP(E157,Reeksen!$A$5:$B$76,2),0)</f>
        <v>0</v>
      </c>
      <c r="T157" s="84">
        <f ca="1">(1-('Invoer gegevens'!$F$20/12))*R157*MIN(Reeksen!B157,Reeksen!D157)</f>
        <v>0</v>
      </c>
      <c r="U157" s="84">
        <f>IF(Reeksen!D157&gt;=Reeksen!B157,0,IF(Reeksen!AK157&lt;=Reeksen!AE157,(Reeksen!B157-Reeksen!D157)*R157,0))</f>
        <v>0</v>
      </c>
      <c r="V157" s="86">
        <f>IF(Reeksen!D157&gt;=Reeksen!B157,0,IF(Reeksen!AK157&gt;Reeksen!AE157,(Reeksen!B157-Reeksen!D157)*R157,0))</f>
        <v>0</v>
      </c>
      <c r="W157" s="97">
        <f t="shared" ca="1" si="25"/>
        <v>0</v>
      </c>
      <c r="X157" s="98">
        <f ca="1">IF('Invoer gegevens'!$C$17=E157,'Invoer gegevens'!$C$10-'Invoer gegevens'!$C$11,IF(C157=1,AC156,0))</f>
        <v>0</v>
      </c>
      <c r="Y157" s="98">
        <f ca="1">IF(C157&gt;=1,X157*VLOOKUP(E157,Reeksen!$A$5:$B$76,2),0)</f>
        <v>0</v>
      </c>
      <c r="Z157" s="98">
        <f ca="1">(1-('Invoer gegevens'!$F$20/12))*X157*MIN(Reeksen!B157,Reeksen!D157)</f>
        <v>0</v>
      </c>
      <c r="AA157" s="98">
        <f>IF(Reeksen!D157&gt;=Reeksen!B157,0,IF(Reeksen!AK157&lt;=Reeksen!AE157,(Reeksen!B157-Reeksen!D157)*X157,0))</f>
        <v>0</v>
      </c>
      <c r="AB157" s="98">
        <f>IF(Reeksen!D157&gt;=Reeksen!B157,0,IF(Reeksen!AK157&gt;Reeksen!AE157,(Reeksen!B157-Reeksen!D157)*X157,0))</f>
        <v>0</v>
      </c>
      <c r="AC157" s="99">
        <f t="shared" ca="1" si="26"/>
        <v>0</v>
      </c>
      <c r="AD157" s="98">
        <f ca="1">IF('Invoer gegevens'!$C$17=E157,R157,IF(C157=0,0,AE156))</f>
        <v>0</v>
      </c>
      <c r="AE157" s="98">
        <f t="shared" ca="1" si="27"/>
        <v>0</v>
      </c>
      <c r="AF157" s="98">
        <f ca="1">IF('Invoer gegevens'!$C$17=E157,X157,IF(C157=0,0,AG156))</f>
        <v>0</v>
      </c>
      <c r="AG157" s="98">
        <f t="shared" ca="1" si="28"/>
        <v>0</v>
      </c>
      <c r="AH157" s="68"/>
      <c r="AI157" s="71">
        <f ca="1">IF(C157=1,Reeksen!AJ157*((F157-G157+F157)/2)*12+Reeksen!AK157*((L157-M157+L157)/2)*12,0)</f>
        <v>0</v>
      </c>
      <c r="AJ157" s="71">
        <f ca="1">-AI157*'Invoer gegevens'!$F$28</f>
        <v>0</v>
      </c>
      <c r="AK157" s="71">
        <f t="shared" ca="1" si="22"/>
        <v>0</v>
      </c>
      <c r="AL157" s="71">
        <f ca="1">IF(C157=1,Reeksen!AL157*((F157-G157+F157)/2)*12+Reeksen!AM157*((L157-M157+L157)/2)*12,0)</f>
        <v>0</v>
      </c>
      <c r="AM157" s="71">
        <f ca="1">-AL157*'Invoer gegevens'!$F$31</f>
        <v>0</v>
      </c>
      <c r="AN157" s="71">
        <f t="shared" ca="1" si="29"/>
        <v>0</v>
      </c>
      <c r="AO157" s="71">
        <f ca="1">IF(C157=1,(H157+J157+N157+P157)*Reeksen!AN157,0)</f>
        <v>0</v>
      </c>
      <c r="AP157" s="71">
        <f ca="1">-IF(C157=1,(H157+J157+N157+P157)*'Hulp - basis'!$G$550*Reeksen!H157,0)</f>
        <v>0</v>
      </c>
      <c r="AQ157" s="71">
        <f ca="1">-IF(C157=1,(F157+K157+L157+Q157)/2*'Invoer gegevens'!$I$33*Reeksen!J157,0)*2</f>
        <v>0</v>
      </c>
      <c r="AR157" s="71">
        <f ca="1">-IF(C157=1,(I157*'Invoer gegevens'!$I$34)*Reeksen!J157,0)</f>
        <v>0</v>
      </c>
      <c r="AS157" s="71">
        <f ca="1">-IF(C157=1,(F157+K157+L157+Q157)/2*'Invoer gegevens'!$I$35*Reeksen!L157,0)</f>
        <v>0</v>
      </c>
      <c r="AT157" s="71">
        <f ca="1">-IF(C157=1,IF(E157='Invoer gegevens'!$C$17,'Invoer gegevens'!$C$11,AD157)*Reeksen!S157*'Invoer gegevens'!$C$18*Reeksen!P157,0)</f>
        <v>0</v>
      </c>
      <c r="AU157" s="71">
        <f ca="1">-IF(C157=1,(F157+K157+L157+Q157)/2*'Invoer gegevens'!$I$36*Reeksen!H157,0)</f>
        <v>0</v>
      </c>
      <c r="AV157" s="71">
        <f>IF('Invoer gegevens'!$C$3="Basis",0,#REF!)</f>
        <v>0</v>
      </c>
      <c r="AW157" s="71">
        <f t="shared" ca="1" si="30"/>
        <v>0</v>
      </c>
      <c r="AX157" s="71">
        <f ca="1">IF(E157&lt;'Invoer gegevens'!$C$17+15,0,IF(E157&gt;'Invoer gegevens'!$C$17+215,0,AW157))</f>
        <v>0</v>
      </c>
      <c r="AY157" s="71">
        <f ca="1">AX157/(1+'Invoer gegevens'!$F$18)^($AZ157-('Invoer gegevens'!$C$17-'Invoer gegevens'!$C$16))/(1+'Invoer gegevens'!$C$39)^('Invoer gegevens'!$C$17-'Invoer gegevens'!$C$16)</f>
        <v>0</v>
      </c>
      <c r="AZ157" s="68">
        <f ca="1">IF(E157-'Invoer gegevens'!$C$17-14.5&lt;0,0,E157-'Invoer gegevens'!$C$17-14.5)</f>
        <v>137.5</v>
      </c>
    </row>
    <row r="158" spans="2:52" x14ac:dyDescent="0.25">
      <c r="B158" s="70">
        <f t="shared" si="31"/>
        <v>154</v>
      </c>
      <c r="C158" s="67">
        <f ca="1">IF(E158-'Invoer gegevens'!$C$17&lt;0,0,1)</f>
        <v>1</v>
      </c>
      <c r="D158" s="68">
        <f t="shared" si="32"/>
        <v>153.5</v>
      </c>
      <c r="E158" s="108">
        <f ca="1">IF('Invoer gegevens'!$C$16="","",E157+1)</f>
        <v>2172</v>
      </c>
      <c r="F158" s="84">
        <f ca="1">IF('Invoer gegevens'!$C$17=E158,'Invoer gegevens'!$C$10,IF(C158=1,K157,0))</f>
        <v>0</v>
      </c>
      <c r="G158" s="96">
        <f ca="1">IF(C158&gt;=1,F158*VLOOKUP(E158,Reeksen!$A$5:$B$76,2),0)</f>
        <v>0</v>
      </c>
      <c r="H158" s="84">
        <f ca="1">(1-('Invoer gegevens'!$F$20/12))*F158*MIN(Reeksen!B158,Reeksen!D158)</f>
        <v>0</v>
      </c>
      <c r="I158" s="84">
        <f>IF(Reeksen!D158&lt;Reeksen!B158,(Reeksen!B158-Reeksen!D158)*F158,0)</f>
        <v>0</v>
      </c>
      <c r="J158" s="84">
        <f ca="1">('Invoer gegevens'!$F$20/12)*F157*MIN(Reeksen!B157,Reeksen!D157)</f>
        <v>0</v>
      </c>
      <c r="K158" s="97">
        <f t="shared" ca="1" si="23"/>
        <v>0</v>
      </c>
      <c r="L158" s="84">
        <f ca="1">IF('Invoer gegevens'!$C$17=E158,0,IF(C158=1,Q157,0))</f>
        <v>0</v>
      </c>
      <c r="M158" s="96">
        <f ca="1">IF(C158&gt;=1,L158*VLOOKUP(E158,Reeksen!$A$5:$B$76,2),0)</f>
        <v>0</v>
      </c>
      <c r="N158" s="84">
        <f ca="1">(1-('Invoer gegevens'!$F$20/12))*L158*MIN(Reeksen!B158,Reeksen!D158)</f>
        <v>0</v>
      </c>
      <c r="O158" s="84">
        <f>IF(Reeksen!D158&lt;Reeksen!B158,(Reeksen!B158-Reeksen!D158)*L158,0)</f>
        <v>0</v>
      </c>
      <c r="P158" s="84">
        <f ca="1">('Invoer gegevens'!$F$20/12)*L157*MIN(Reeksen!B157,Reeksen!D157)</f>
        <v>0</v>
      </c>
      <c r="Q158" s="84">
        <f t="shared" ca="1" si="24"/>
        <v>0</v>
      </c>
      <c r="R158" s="82">
        <f ca="1">IF('Invoer gegevens'!$C$17=E158,'Invoer gegevens'!$C$11,IF(C158=1,W157,0))</f>
        <v>0</v>
      </c>
      <c r="S158" s="86">
        <f ca="1">IF(C158&gt;=1,R158*VLOOKUP(E158,Reeksen!$A$5:$B$76,2),0)</f>
        <v>0</v>
      </c>
      <c r="T158" s="84">
        <f ca="1">(1-('Invoer gegevens'!$F$20/12))*R158*MIN(Reeksen!B158,Reeksen!D158)</f>
        <v>0</v>
      </c>
      <c r="U158" s="84">
        <f>IF(Reeksen!D158&gt;=Reeksen!B158,0,IF(Reeksen!AK158&lt;=Reeksen!AE158,(Reeksen!B158-Reeksen!D158)*R158,0))</f>
        <v>0</v>
      </c>
      <c r="V158" s="86">
        <f>IF(Reeksen!D158&gt;=Reeksen!B158,0,IF(Reeksen!AK158&gt;Reeksen!AE158,(Reeksen!B158-Reeksen!D158)*R158,0))</f>
        <v>0</v>
      </c>
      <c r="W158" s="97">
        <f t="shared" ca="1" si="25"/>
        <v>0</v>
      </c>
      <c r="X158" s="98">
        <f ca="1">IF('Invoer gegevens'!$C$17=E158,'Invoer gegevens'!$C$10-'Invoer gegevens'!$C$11,IF(C158=1,AC157,0))</f>
        <v>0</v>
      </c>
      <c r="Y158" s="98">
        <f ca="1">IF(C158&gt;=1,X158*VLOOKUP(E158,Reeksen!$A$5:$B$76,2),0)</f>
        <v>0</v>
      </c>
      <c r="Z158" s="98">
        <f ca="1">(1-('Invoer gegevens'!$F$20/12))*X158*MIN(Reeksen!B158,Reeksen!D158)</f>
        <v>0</v>
      </c>
      <c r="AA158" s="98">
        <f>IF(Reeksen!D158&gt;=Reeksen!B158,0,IF(Reeksen!AK158&lt;=Reeksen!AE158,(Reeksen!B158-Reeksen!D158)*X158,0))</f>
        <v>0</v>
      </c>
      <c r="AB158" s="98">
        <f>IF(Reeksen!D158&gt;=Reeksen!B158,0,IF(Reeksen!AK158&gt;Reeksen!AE158,(Reeksen!B158-Reeksen!D158)*X158,0))</f>
        <v>0</v>
      </c>
      <c r="AC158" s="99">
        <f t="shared" ca="1" si="26"/>
        <v>0</v>
      </c>
      <c r="AD158" s="98">
        <f ca="1">IF('Invoer gegevens'!$C$17=E158,R158,IF(C158=0,0,AE157))</f>
        <v>0</v>
      </c>
      <c r="AE158" s="98">
        <f t="shared" ca="1" si="27"/>
        <v>0</v>
      </c>
      <c r="AF158" s="98">
        <f ca="1">IF('Invoer gegevens'!$C$17=E158,X158,IF(C158=0,0,AG157))</f>
        <v>0</v>
      </c>
      <c r="AG158" s="98">
        <f t="shared" ca="1" si="28"/>
        <v>0</v>
      </c>
      <c r="AH158" s="68"/>
      <c r="AI158" s="71">
        <f ca="1">IF(C158=1,Reeksen!AJ158*((F158-G158+F158)/2)*12+Reeksen!AK158*((L158-M158+L158)/2)*12,0)</f>
        <v>0</v>
      </c>
      <c r="AJ158" s="71">
        <f ca="1">-AI158*'Invoer gegevens'!$F$28</f>
        <v>0</v>
      </c>
      <c r="AK158" s="71">
        <f t="shared" ca="1" si="22"/>
        <v>0</v>
      </c>
      <c r="AL158" s="71">
        <f ca="1">IF(C158=1,Reeksen!AL158*((F158-G158+F158)/2)*12+Reeksen!AM158*((L158-M158+L158)/2)*12,0)</f>
        <v>0</v>
      </c>
      <c r="AM158" s="71">
        <f ca="1">-AL158*'Invoer gegevens'!$F$31</f>
        <v>0</v>
      </c>
      <c r="AN158" s="71">
        <f t="shared" ca="1" si="29"/>
        <v>0</v>
      </c>
      <c r="AO158" s="71">
        <f ca="1">IF(C158=1,(H158+J158+N158+P158)*Reeksen!AN158,0)</f>
        <v>0</v>
      </c>
      <c r="AP158" s="71">
        <f ca="1">-IF(C158=1,(H158+J158+N158+P158)*'Hulp - basis'!$G$550*Reeksen!H158,0)</f>
        <v>0</v>
      </c>
      <c r="AQ158" s="71">
        <f ca="1">-IF(C158=1,(F158+K158+L158+Q158)/2*'Invoer gegevens'!$I$33*Reeksen!J158,0)*2</f>
        <v>0</v>
      </c>
      <c r="AR158" s="71">
        <f ca="1">-IF(C158=1,(I158*'Invoer gegevens'!$I$34)*Reeksen!J158,0)</f>
        <v>0</v>
      </c>
      <c r="AS158" s="71">
        <f ca="1">-IF(C158=1,(F158+K158+L158+Q158)/2*'Invoer gegevens'!$I$35*Reeksen!L158,0)</f>
        <v>0</v>
      </c>
      <c r="AT158" s="71">
        <f ca="1">-IF(C158=1,IF(E158='Invoer gegevens'!$C$17,'Invoer gegevens'!$C$11,AD158)*Reeksen!S158*'Invoer gegevens'!$C$18*Reeksen!P158,0)</f>
        <v>0</v>
      </c>
      <c r="AU158" s="71">
        <f ca="1">-IF(C158=1,(F158+K158+L158+Q158)/2*'Invoer gegevens'!$I$36*Reeksen!H158,0)</f>
        <v>0</v>
      </c>
      <c r="AV158" s="71">
        <f>IF('Invoer gegevens'!$C$3="Basis",0,#REF!)</f>
        <v>0</v>
      </c>
      <c r="AW158" s="71">
        <f t="shared" ca="1" si="30"/>
        <v>0</v>
      </c>
      <c r="AX158" s="71">
        <f ca="1">IF(E158&lt;'Invoer gegevens'!$C$17+15,0,IF(E158&gt;'Invoer gegevens'!$C$17+215,0,AW158))</f>
        <v>0</v>
      </c>
      <c r="AY158" s="71">
        <f ca="1">AX158/(1+'Invoer gegevens'!$F$18)^($AZ158-('Invoer gegevens'!$C$17-'Invoer gegevens'!$C$16))/(1+'Invoer gegevens'!$C$39)^('Invoer gegevens'!$C$17-'Invoer gegevens'!$C$16)</f>
        <v>0</v>
      </c>
      <c r="AZ158" s="68">
        <f ca="1">IF(E158-'Invoer gegevens'!$C$17-14.5&lt;0,0,E158-'Invoer gegevens'!$C$17-14.5)</f>
        <v>138.5</v>
      </c>
    </row>
    <row r="159" spans="2:52" x14ac:dyDescent="0.25">
      <c r="B159" s="70">
        <f t="shared" si="31"/>
        <v>155</v>
      </c>
      <c r="C159" s="67">
        <f ca="1">IF(E159-'Invoer gegevens'!$C$17&lt;0,0,1)</f>
        <v>1</v>
      </c>
      <c r="D159" s="68">
        <f t="shared" si="32"/>
        <v>154.5</v>
      </c>
      <c r="E159" s="108">
        <f ca="1">IF('Invoer gegevens'!$C$16="","",E158+1)</f>
        <v>2173</v>
      </c>
      <c r="F159" s="84">
        <f ca="1">IF('Invoer gegevens'!$C$17=E159,'Invoer gegevens'!$C$10,IF(C159=1,K158,0))</f>
        <v>0</v>
      </c>
      <c r="G159" s="96">
        <f ca="1">IF(C159&gt;=1,F159*VLOOKUP(E159,Reeksen!$A$5:$B$76,2),0)</f>
        <v>0</v>
      </c>
      <c r="H159" s="84">
        <f ca="1">(1-('Invoer gegevens'!$F$20/12))*F159*MIN(Reeksen!B159,Reeksen!D159)</f>
        <v>0</v>
      </c>
      <c r="I159" s="84">
        <f>IF(Reeksen!D159&lt;Reeksen!B159,(Reeksen!B159-Reeksen!D159)*F159,0)</f>
        <v>0</v>
      </c>
      <c r="J159" s="84">
        <f ca="1">('Invoer gegevens'!$F$20/12)*F158*MIN(Reeksen!B158,Reeksen!D158)</f>
        <v>0</v>
      </c>
      <c r="K159" s="97">
        <f t="shared" ca="1" si="23"/>
        <v>0</v>
      </c>
      <c r="L159" s="84">
        <f ca="1">IF('Invoer gegevens'!$C$17=E159,0,IF(C159=1,Q158,0))</f>
        <v>0</v>
      </c>
      <c r="M159" s="96">
        <f ca="1">IF(C159&gt;=1,L159*VLOOKUP(E159,Reeksen!$A$5:$B$76,2),0)</f>
        <v>0</v>
      </c>
      <c r="N159" s="84">
        <f ca="1">(1-('Invoer gegevens'!$F$20/12))*L159*MIN(Reeksen!B159,Reeksen!D159)</f>
        <v>0</v>
      </c>
      <c r="O159" s="84">
        <f>IF(Reeksen!D159&lt;Reeksen!B159,(Reeksen!B159-Reeksen!D159)*L159,0)</f>
        <v>0</v>
      </c>
      <c r="P159" s="84">
        <f ca="1">('Invoer gegevens'!$F$20/12)*L158*MIN(Reeksen!B158,Reeksen!D158)</f>
        <v>0</v>
      </c>
      <c r="Q159" s="84">
        <f t="shared" ca="1" si="24"/>
        <v>0</v>
      </c>
      <c r="R159" s="82">
        <f ca="1">IF('Invoer gegevens'!$C$17=E159,'Invoer gegevens'!$C$11,IF(C159=1,W158,0))</f>
        <v>0</v>
      </c>
      <c r="S159" s="86">
        <f ca="1">IF(C159&gt;=1,R159*VLOOKUP(E159,Reeksen!$A$5:$B$76,2),0)</f>
        <v>0</v>
      </c>
      <c r="T159" s="84">
        <f ca="1">(1-('Invoer gegevens'!$F$20/12))*R159*MIN(Reeksen!B159,Reeksen!D159)</f>
        <v>0</v>
      </c>
      <c r="U159" s="84">
        <f>IF(Reeksen!D159&gt;=Reeksen!B159,0,IF(Reeksen!AK159&lt;=Reeksen!AE159,(Reeksen!B159-Reeksen!D159)*R159,0))</f>
        <v>0</v>
      </c>
      <c r="V159" s="86">
        <f>IF(Reeksen!D159&gt;=Reeksen!B159,0,IF(Reeksen!AK159&gt;Reeksen!AE159,(Reeksen!B159-Reeksen!D159)*R159,0))</f>
        <v>0</v>
      </c>
      <c r="W159" s="97">
        <f t="shared" ca="1" si="25"/>
        <v>0</v>
      </c>
      <c r="X159" s="98">
        <f ca="1">IF('Invoer gegevens'!$C$17=E159,'Invoer gegevens'!$C$10-'Invoer gegevens'!$C$11,IF(C159=1,AC158,0))</f>
        <v>0</v>
      </c>
      <c r="Y159" s="98">
        <f ca="1">IF(C159&gt;=1,X159*VLOOKUP(E159,Reeksen!$A$5:$B$76,2),0)</f>
        <v>0</v>
      </c>
      <c r="Z159" s="98">
        <f ca="1">(1-('Invoer gegevens'!$F$20/12))*X159*MIN(Reeksen!B159,Reeksen!D159)</f>
        <v>0</v>
      </c>
      <c r="AA159" s="98">
        <f>IF(Reeksen!D159&gt;=Reeksen!B159,0,IF(Reeksen!AK159&lt;=Reeksen!AE159,(Reeksen!B159-Reeksen!D159)*X159,0))</f>
        <v>0</v>
      </c>
      <c r="AB159" s="98">
        <f>IF(Reeksen!D159&gt;=Reeksen!B159,0,IF(Reeksen!AK159&gt;Reeksen!AE159,(Reeksen!B159-Reeksen!D159)*X159,0))</f>
        <v>0</v>
      </c>
      <c r="AC159" s="99">
        <f t="shared" ca="1" si="26"/>
        <v>0</v>
      </c>
      <c r="AD159" s="98">
        <f ca="1">IF('Invoer gegevens'!$C$17=E159,R159,IF(C159=0,0,AE158))</f>
        <v>0</v>
      </c>
      <c r="AE159" s="98">
        <f t="shared" ca="1" si="27"/>
        <v>0</v>
      </c>
      <c r="AF159" s="98">
        <f ca="1">IF('Invoer gegevens'!$C$17=E159,X159,IF(C159=0,0,AG158))</f>
        <v>0</v>
      </c>
      <c r="AG159" s="98">
        <f t="shared" ca="1" si="28"/>
        <v>0</v>
      </c>
      <c r="AH159" s="68"/>
      <c r="AI159" s="71">
        <f ca="1">IF(C159=1,Reeksen!AJ159*((F159-G159+F159)/2)*12+Reeksen!AK159*((L159-M159+L159)/2)*12,0)</f>
        <v>0</v>
      </c>
      <c r="AJ159" s="71">
        <f ca="1">-AI159*'Invoer gegevens'!$F$28</f>
        <v>0</v>
      </c>
      <c r="AK159" s="71">
        <f t="shared" ca="1" si="22"/>
        <v>0</v>
      </c>
      <c r="AL159" s="71">
        <f ca="1">IF(C159=1,Reeksen!AL159*((F159-G159+F159)/2)*12+Reeksen!AM159*((L159-M159+L159)/2)*12,0)</f>
        <v>0</v>
      </c>
      <c r="AM159" s="71">
        <f ca="1">-AL159*'Invoer gegevens'!$F$31</f>
        <v>0</v>
      </c>
      <c r="AN159" s="71">
        <f t="shared" ca="1" si="29"/>
        <v>0</v>
      </c>
      <c r="AO159" s="71">
        <f ca="1">IF(C159=1,(H159+J159+N159+P159)*Reeksen!AN159,0)</f>
        <v>0</v>
      </c>
      <c r="AP159" s="71">
        <f ca="1">-IF(C159=1,(H159+J159+N159+P159)*'Hulp - basis'!$G$550*Reeksen!H159,0)</f>
        <v>0</v>
      </c>
      <c r="AQ159" s="71">
        <f ca="1">-IF(C159=1,(F159+K159+L159+Q159)/2*'Invoer gegevens'!$I$33*Reeksen!J159,0)*2</f>
        <v>0</v>
      </c>
      <c r="AR159" s="71">
        <f ca="1">-IF(C159=1,(I159*'Invoer gegevens'!$I$34)*Reeksen!J159,0)</f>
        <v>0</v>
      </c>
      <c r="AS159" s="71">
        <f ca="1">-IF(C159=1,(F159+K159+L159+Q159)/2*'Invoer gegevens'!$I$35*Reeksen!L159,0)</f>
        <v>0</v>
      </c>
      <c r="AT159" s="71">
        <f ca="1">-IF(C159=1,IF(E159='Invoer gegevens'!$C$17,'Invoer gegevens'!$C$11,AD159)*Reeksen!S159*'Invoer gegevens'!$C$18*Reeksen!P159,0)</f>
        <v>0</v>
      </c>
      <c r="AU159" s="71">
        <f ca="1">-IF(C159=1,(F159+K159+L159+Q159)/2*'Invoer gegevens'!$I$36*Reeksen!H159,0)</f>
        <v>0</v>
      </c>
      <c r="AV159" s="71">
        <f>IF('Invoer gegevens'!$C$3="Basis",0,#REF!)</f>
        <v>0</v>
      </c>
      <c r="AW159" s="71">
        <f t="shared" ca="1" si="30"/>
        <v>0</v>
      </c>
      <c r="AX159" s="71">
        <f ca="1">IF(E159&lt;'Invoer gegevens'!$C$17+15,0,IF(E159&gt;'Invoer gegevens'!$C$17+215,0,AW159))</f>
        <v>0</v>
      </c>
      <c r="AY159" s="71">
        <f ca="1">AX159/(1+'Invoer gegevens'!$F$18)^($AZ159-('Invoer gegevens'!$C$17-'Invoer gegevens'!$C$16))/(1+'Invoer gegevens'!$C$39)^('Invoer gegevens'!$C$17-'Invoer gegevens'!$C$16)</f>
        <v>0</v>
      </c>
      <c r="AZ159" s="68">
        <f ca="1">IF(E159-'Invoer gegevens'!$C$17-14.5&lt;0,0,E159-'Invoer gegevens'!$C$17-14.5)</f>
        <v>139.5</v>
      </c>
    </row>
    <row r="160" spans="2:52" x14ac:dyDescent="0.25">
      <c r="B160" s="70">
        <f t="shared" si="31"/>
        <v>156</v>
      </c>
      <c r="C160" s="67">
        <f ca="1">IF(E160-'Invoer gegevens'!$C$17&lt;0,0,1)</f>
        <v>1</v>
      </c>
      <c r="D160" s="68">
        <f t="shared" si="32"/>
        <v>155.5</v>
      </c>
      <c r="E160" s="108">
        <f ca="1">IF('Invoer gegevens'!$C$16="","",E159+1)</f>
        <v>2174</v>
      </c>
      <c r="F160" s="84">
        <f ca="1">IF('Invoer gegevens'!$C$17=E160,'Invoer gegevens'!$C$10,IF(C160=1,K159,0))</f>
        <v>0</v>
      </c>
      <c r="G160" s="96">
        <f ca="1">IF(C160&gt;=1,F160*VLOOKUP(E160,Reeksen!$A$5:$B$76,2),0)</f>
        <v>0</v>
      </c>
      <c r="H160" s="84">
        <f ca="1">(1-('Invoer gegevens'!$F$20/12))*F160*MIN(Reeksen!B160,Reeksen!D160)</f>
        <v>0</v>
      </c>
      <c r="I160" s="84">
        <f>IF(Reeksen!D160&lt;Reeksen!B160,(Reeksen!B160-Reeksen!D160)*F160,0)</f>
        <v>0</v>
      </c>
      <c r="J160" s="84">
        <f ca="1">('Invoer gegevens'!$F$20/12)*F159*MIN(Reeksen!B159,Reeksen!D159)</f>
        <v>0</v>
      </c>
      <c r="K160" s="97">
        <f t="shared" ca="1" si="23"/>
        <v>0</v>
      </c>
      <c r="L160" s="84">
        <f ca="1">IF('Invoer gegevens'!$C$17=E160,0,IF(C160=1,Q159,0))</f>
        <v>0</v>
      </c>
      <c r="M160" s="96">
        <f ca="1">IF(C160&gt;=1,L160*VLOOKUP(E160,Reeksen!$A$5:$B$76,2),0)</f>
        <v>0</v>
      </c>
      <c r="N160" s="84">
        <f ca="1">(1-('Invoer gegevens'!$F$20/12))*L160*MIN(Reeksen!B160,Reeksen!D160)</f>
        <v>0</v>
      </c>
      <c r="O160" s="84">
        <f>IF(Reeksen!D160&lt;Reeksen!B160,(Reeksen!B160-Reeksen!D160)*L160,0)</f>
        <v>0</v>
      </c>
      <c r="P160" s="84">
        <f ca="1">('Invoer gegevens'!$F$20/12)*L159*MIN(Reeksen!B159,Reeksen!D159)</f>
        <v>0</v>
      </c>
      <c r="Q160" s="84">
        <f t="shared" ca="1" si="24"/>
        <v>0</v>
      </c>
      <c r="R160" s="82">
        <f ca="1">IF('Invoer gegevens'!$C$17=E160,'Invoer gegevens'!$C$11,IF(C160=1,W159,0))</f>
        <v>0</v>
      </c>
      <c r="S160" s="86">
        <f ca="1">IF(C160&gt;=1,R160*VLOOKUP(E160,Reeksen!$A$5:$B$76,2),0)</f>
        <v>0</v>
      </c>
      <c r="T160" s="84">
        <f ca="1">(1-('Invoer gegevens'!$F$20/12))*R160*MIN(Reeksen!B160,Reeksen!D160)</f>
        <v>0</v>
      </c>
      <c r="U160" s="84">
        <f>IF(Reeksen!D160&gt;=Reeksen!B160,0,IF(Reeksen!AK160&lt;=Reeksen!AE160,(Reeksen!B160-Reeksen!D160)*R160,0))</f>
        <v>0</v>
      </c>
      <c r="V160" s="86">
        <f>IF(Reeksen!D160&gt;=Reeksen!B160,0,IF(Reeksen!AK160&gt;Reeksen!AE160,(Reeksen!B160-Reeksen!D160)*R160,0))</f>
        <v>0</v>
      </c>
      <c r="W160" s="97">
        <f t="shared" ca="1" si="25"/>
        <v>0</v>
      </c>
      <c r="X160" s="98">
        <f ca="1">IF('Invoer gegevens'!$C$17=E160,'Invoer gegevens'!$C$10-'Invoer gegevens'!$C$11,IF(C160=1,AC159,0))</f>
        <v>0</v>
      </c>
      <c r="Y160" s="98">
        <f ca="1">IF(C160&gt;=1,X160*VLOOKUP(E160,Reeksen!$A$5:$B$76,2),0)</f>
        <v>0</v>
      </c>
      <c r="Z160" s="98">
        <f ca="1">(1-('Invoer gegevens'!$F$20/12))*X160*MIN(Reeksen!B160,Reeksen!D160)</f>
        <v>0</v>
      </c>
      <c r="AA160" s="98">
        <f>IF(Reeksen!D160&gt;=Reeksen!B160,0,IF(Reeksen!AK160&lt;=Reeksen!AE160,(Reeksen!B160-Reeksen!D160)*X160,0))</f>
        <v>0</v>
      </c>
      <c r="AB160" s="98">
        <f>IF(Reeksen!D160&gt;=Reeksen!B160,0,IF(Reeksen!AK160&gt;Reeksen!AE160,(Reeksen!B160-Reeksen!D160)*X160,0))</f>
        <v>0</v>
      </c>
      <c r="AC160" s="99">
        <f t="shared" ca="1" si="26"/>
        <v>0</v>
      </c>
      <c r="AD160" s="98">
        <f ca="1">IF('Invoer gegevens'!$C$17=E160,R160,IF(C160=0,0,AE159))</f>
        <v>0</v>
      </c>
      <c r="AE160" s="98">
        <f t="shared" ca="1" si="27"/>
        <v>0</v>
      </c>
      <c r="AF160" s="98">
        <f ca="1">IF('Invoer gegevens'!$C$17=E160,X160,IF(C160=0,0,AG159))</f>
        <v>0</v>
      </c>
      <c r="AG160" s="98">
        <f t="shared" ca="1" si="28"/>
        <v>0</v>
      </c>
      <c r="AH160" s="68"/>
      <c r="AI160" s="71">
        <f ca="1">IF(C160=1,Reeksen!AJ160*((F160-G160+F160)/2)*12+Reeksen!AK160*((L160-M160+L160)/2)*12,0)</f>
        <v>0</v>
      </c>
      <c r="AJ160" s="71">
        <f ca="1">-AI160*'Invoer gegevens'!$F$28</f>
        <v>0</v>
      </c>
      <c r="AK160" s="71">
        <f t="shared" ca="1" si="22"/>
        <v>0</v>
      </c>
      <c r="AL160" s="71">
        <f ca="1">IF(C160=1,Reeksen!AL160*((F160-G160+F160)/2)*12+Reeksen!AM160*((L160-M160+L160)/2)*12,0)</f>
        <v>0</v>
      </c>
      <c r="AM160" s="71">
        <f ca="1">-AL160*'Invoer gegevens'!$F$31</f>
        <v>0</v>
      </c>
      <c r="AN160" s="71">
        <f t="shared" ca="1" si="29"/>
        <v>0</v>
      </c>
      <c r="AO160" s="71">
        <f ca="1">IF(C160=1,(H160+J160+N160+P160)*Reeksen!AN160,0)</f>
        <v>0</v>
      </c>
      <c r="AP160" s="71">
        <f ca="1">-IF(C160=1,(H160+J160+N160+P160)*'Hulp - basis'!$G$550*Reeksen!H160,0)</f>
        <v>0</v>
      </c>
      <c r="AQ160" s="71">
        <f ca="1">-IF(C160=1,(F160+K160+L160+Q160)/2*'Invoer gegevens'!$I$33*Reeksen!J160,0)*2</f>
        <v>0</v>
      </c>
      <c r="AR160" s="71">
        <f ca="1">-IF(C160=1,(I160*'Invoer gegevens'!$I$34)*Reeksen!J160,0)</f>
        <v>0</v>
      </c>
      <c r="AS160" s="71">
        <f ca="1">-IF(C160=1,(F160+K160+L160+Q160)/2*'Invoer gegevens'!$I$35*Reeksen!L160,0)</f>
        <v>0</v>
      </c>
      <c r="AT160" s="71">
        <f ca="1">-IF(C160=1,IF(E160='Invoer gegevens'!$C$17,'Invoer gegevens'!$C$11,AD160)*Reeksen!S160*'Invoer gegevens'!$C$18*Reeksen!P160,0)</f>
        <v>0</v>
      </c>
      <c r="AU160" s="71">
        <f ca="1">-IF(C160=1,(F160+K160+L160+Q160)/2*'Invoer gegevens'!$I$36*Reeksen!H160,0)</f>
        <v>0</v>
      </c>
      <c r="AV160" s="71">
        <f>IF('Invoer gegevens'!$C$3="Basis",0,#REF!)</f>
        <v>0</v>
      </c>
      <c r="AW160" s="71">
        <f t="shared" ca="1" si="30"/>
        <v>0</v>
      </c>
      <c r="AX160" s="71">
        <f ca="1">IF(E160&lt;'Invoer gegevens'!$C$17+15,0,IF(E160&gt;'Invoer gegevens'!$C$17+215,0,AW160))</f>
        <v>0</v>
      </c>
      <c r="AY160" s="71">
        <f ca="1">AX160/(1+'Invoer gegevens'!$F$18)^($AZ160-('Invoer gegevens'!$C$17-'Invoer gegevens'!$C$16))/(1+'Invoer gegevens'!$C$39)^('Invoer gegevens'!$C$17-'Invoer gegevens'!$C$16)</f>
        <v>0</v>
      </c>
      <c r="AZ160" s="68">
        <f ca="1">IF(E160-'Invoer gegevens'!$C$17-14.5&lt;0,0,E160-'Invoer gegevens'!$C$17-14.5)</f>
        <v>140.5</v>
      </c>
    </row>
    <row r="161" spans="2:52" x14ac:dyDescent="0.25">
      <c r="B161" s="70">
        <f t="shared" si="31"/>
        <v>157</v>
      </c>
      <c r="C161" s="67">
        <f ca="1">IF(E161-'Invoer gegevens'!$C$17&lt;0,0,1)</f>
        <v>1</v>
      </c>
      <c r="D161" s="68">
        <f t="shared" si="32"/>
        <v>156.5</v>
      </c>
      <c r="E161" s="108">
        <f ca="1">IF('Invoer gegevens'!$C$16="","",E160+1)</f>
        <v>2175</v>
      </c>
      <c r="F161" s="84">
        <f ca="1">IF('Invoer gegevens'!$C$17=E161,'Invoer gegevens'!$C$10,IF(C161=1,K160,0))</f>
        <v>0</v>
      </c>
      <c r="G161" s="96">
        <f ca="1">IF(C161&gt;=1,F161*VLOOKUP(E161,Reeksen!$A$5:$B$76,2),0)</f>
        <v>0</v>
      </c>
      <c r="H161" s="84">
        <f ca="1">(1-('Invoer gegevens'!$F$20/12))*F161*MIN(Reeksen!B161,Reeksen!D161)</f>
        <v>0</v>
      </c>
      <c r="I161" s="84">
        <f>IF(Reeksen!D161&lt;Reeksen!B161,(Reeksen!B161-Reeksen!D161)*F161,0)</f>
        <v>0</v>
      </c>
      <c r="J161" s="84">
        <f ca="1">('Invoer gegevens'!$F$20/12)*F160*MIN(Reeksen!B160,Reeksen!D160)</f>
        <v>0</v>
      </c>
      <c r="K161" s="97">
        <f t="shared" ca="1" si="23"/>
        <v>0</v>
      </c>
      <c r="L161" s="84">
        <f ca="1">IF('Invoer gegevens'!$C$17=E161,0,IF(C161=1,Q160,0))</f>
        <v>0</v>
      </c>
      <c r="M161" s="96">
        <f ca="1">IF(C161&gt;=1,L161*VLOOKUP(E161,Reeksen!$A$5:$B$76,2),0)</f>
        <v>0</v>
      </c>
      <c r="N161" s="84">
        <f ca="1">(1-('Invoer gegevens'!$F$20/12))*L161*MIN(Reeksen!B161,Reeksen!D161)</f>
        <v>0</v>
      </c>
      <c r="O161" s="84">
        <f>IF(Reeksen!D161&lt;Reeksen!B161,(Reeksen!B161-Reeksen!D161)*L161,0)</f>
        <v>0</v>
      </c>
      <c r="P161" s="84">
        <f ca="1">('Invoer gegevens'!$F$20/12)*L160*MIN(Reeksen!B160,Reeksen!D160)</f>
        <v>0</v>
      </c>
      <c r="Q161" s="84">
        <f t="shared" ca="1" si="24"/>
        <v>0</v>
      </c>
      <c r="R161" s="82">
        <f ca="1">IF('Invoer gegevens'!$C$17=E161,'Invoer gegevens'!$C$11,IF(C161=1,W160,0))</f>
        <v>0</v>
      </c>
      <c r="S161" s="86">
        <f ca="1">IF(C161&gt;=1,R161*VLOOKUP(E161,Reeksen!$A$5:$B$76,2),0)</f>
        <v>0</v>
      </c>
      <c r="T161" s="84">
        <f ca="1">(1-('Invoer gegevens'!$F$20/12))*R161*MIN(Reeksen!B161,Reeksen!D161)</f>
        <v>0</v>
      </c>
      <c r="U161" s="84">
        <f>IF(Reeksen!D161&gt;=Reeksen!B161,0,IF(Reeksen!AK161&lt;=Reeksen!AE161,(Reeksen!B161-Reeksen!D161)*R161,0))</f>
        <v>0</v>
      </c>
      <c r="V161" s="86">
        <f>IF(Reeksen!D161&gt;=Reeksen!B161,0,IF(Reeksen!AK161&gt;Reeksen!AE161,(Reeksen!B161-Reeksen!D161)*R161,0))</f>
        <v>0</v>
      </c>
      <c r="W161" s="97">
        <f t="shared" ca="1" si="25"/>
        <v>0</v>
      </c>
      <c r="X161" s="98">
        <f ca="1">IF('Invoer gegevens'!$C$17=E161,'Invoer gegevens'!$C$10-'Invoer gegevens'!$C$11,IF(C161=1,AC160,0))</f>
        <v>0</v>
      </c>
      <c r="Y161" s="98">
        <f ca="1">IF(C161&gt;=1,X161*VLOOKUP(E161,Reeksen!$A$5:$B$76,2),0)</f>
        <v>0</v>
      </c>
      <c r="Z161" s="98">
        <f ca="1">(1-('Invoer gegevens'!$F$20/12))*X161*MIN(Reeksen!B161,Reeksen!D161)</f>
        <v>0</v>
      </c>
      <c r="AA161" s="98">
        <f>IF(Reeksen!D161&gt;=Reeksen!B161,0,IF(Reeksen!AK161&lt;=Reeksen!AE161,(Reeksen!B161-Reeksen!D161)*X161,0))</f>
        <v>0</v>
      </c>
      <c r="AB161" s="98">
        <f>IF(Reeksen!D161&gt;=Reeksen!B161,0,IF(Reeksen!AK161&gt;Reeksen!AE161,(Reeksen!B161-Reeksen!D161)*X161,0))</f>
        <v>0</v>
      </c>
      <c r="AC161" s="99">
        <f t="shared" ca="1" si="26"/>
        <v>0</v>
      </c>
      <c r="AD161" s="98">
        <f ca="1">IF('Invoer gegevens'!$C$17=E161,R161,IF(C161=0,0,AE160))</f>
        <v>0</v>
      </c>
      <c r="AE161" s="98">
        <f t="shared" ca="1" si="27"/>
        <v>0</v>
      </c>
      <c r="AF161" s="98">
        <f ca="1">IF('Invoer gegevens'!$C$17=E161,X161,IF(C161=0,0,AG160))</f>
        <v>0</v>
      </c>
      <c r="AG161" s="98">
        <f t="shared" ca="1" si="28"/>
        <v>0</v>
      </c>
      <c r="AH161" s="68"/>
      <c r="AI161" s="71">
        <f ca="1">IF(C161=1,Reeksen!AJ161*((F161-G161+F161)/2)*12+Reeksen!AK161*((L161-M161+L161)/2)*12,0)</f>
        <v>0</v>
      </c>
      <c r="AJ161" s="71">
        <f ca="1">-AI161*'Invoer gegevens'!$F$28</f>
        <v>0</v>
      </c>
      <c r="AK161" s="71">
        <f t="shared" ca="1" si="22"/>
        <v>0</v>
      </c>
      <c r="AL161" s="71">
        <f ca="1">IF(C161=1,Reeksen!AL161*((F161-G161+F161)/2)*12+Reeksen!AM161*((L161-M161+L161)/2)*12,0)</f>
        <v>0</v>
      </c>
      <c r="AM161" s="71">
        <f ca="1">-AL161*'Invoer gegevens'!$F$31</f>
        <v>0</v>
      </c>
      <c r="AN161" s="71">
        <f t="shared" ca="1" si="29"/>
        <v>0</v>
      </c>
      <c r="AO161" s="71">
        <f ca="1">IF(C161=1,(H161+J161+N161+P161)*Reeksen!AN161,0)</f>
        <v>0</v>
      </c>
      <c r="AP161" s="71">
        <f ca="1">-IF(C161=1,(H161+J161+N161+P161)*'Hulp - basis'!$G$550*Reeksen!H161,0)</f>
        <v>0</v>
      </c>
      <c r="AQ161" s="71">
        <f ca="1">-IF(C161=1,(F161+K161+L161+Q161)/2*'Invoer gegevens'!$I$33*Reeksen!J161,0)*2</f>
        <v>0</v>
      </c>
      <c r="AR161" s="71">
        <f ca="1">-IF(C161=1,(I161*'Invoer gegevens'!$I$34)*Reeksen!J161,0)</f>
        <v>0</v>
      </c>
      <c r="AS161" s="71">
        <f ca="1">-IF(C161=1,(F161+K161+L161+Q161)/2*'Invoer gegevens'!$I$35*Reeksen!L161,0)</f>
        <v>0</v>
      </c>
      <c r="AT161" s="71">
        <f ca="1">-IF(C161=1,IF(E161='Invoer gegevens'!$C$17,'Invoer gegevens'!$C$11,AD161)*Reeksen!S161*'Invoer gegevens'!$C$18*Reeksen!P161,0)</f>
        <v>0</v>
      </c>
      <c r="AU161" s="71">
        <f ca="1">-IF(C161=1,(F161+K161+L161+Q161)/2*'Invoer gegevens'!$I$36*Reeksen!H161,0)</f>
        <v>0</v>
      </c>
      <c r="AV161" s="71">
        <f>IF('Invoer gegevens'!$C$3="Basis",0,#REF!)</f>
        <v>0</v>
      </c>
      <c r="AW161" s="71">
        <f t="shared" ca="1" si="30"/>
        <v>0</v>
      </c>
      <c r="AX161" s="71">
        <f ca="1">IF(E161&lt;'Invoer gegevens'!$C$17+15,0,IF(E161&gt;'Invoer gegevens'!$C$17+215,0,AW161))</f>
        <v>0</v>
      </c>
      <c r="AY161" s="71">
        <f ca="1">AX161/(1+'Invoer gegevens'!$F$18)^($AZ161-('Invoer gegevens'!$C$17-'Invoer gegevens'!$C$16))/(1+'Invoer gegevens'!$C$39)^('Invoer gegevens'!$C$17-'Invoer gegevens'!$C$16)</f>
        <v>0</v>
      </c>
      <c r="AZ161" s="68">
        <f ca="1">IF(E161-'Invoer gegevens'!$C$17-14.5&lt;0,0,E161-'Invoer gegevens'!$C$17-14.5)</f>
        <v>141.5</v>
      </c>
    </row>
    <row r="162" spans="2:52" x14ac:dyDescent="0.25">
      <c r="B162" s="70">
        <f t="shared" si="31"/>
        <v>158</v>
      </c>
      <c r="C162" s="67">
        <f ca="1">IF(E162-'Invoer gegevens'!$C$17&lt;0,0,1)</f>
        <v>1</v>
      </c>
      <c r="D162" s="68">
        <f t="shared" si="32"/>
        <v>157.5</v>
      </c>
      <c r="E162" s="108">
        <f ca="1">IF('Invoer gegevens'!$C$16="","",E161+1)</f>
        <v>2176</v>
      </c>
      <c r="F162" s="84">
        <f ca="1">IF('Invoer gegevens'!$C$17=E162,'Invoer gegevens'!$C$10,IF(C162=1,K161,0))</f>
        <v>0</v>
      </c>
      <c r="G162" s="96">
        <f ca="1">IF(C162&gt;=1,F162*VLOOKUP(E162,Reeksen!$A$5:$B$76,2),0)</f>
        <v>0</v>
      </c>
      <c r="H162" s="84">
        <f ca="1">(1-('Invoer gegevens'!$F$20/12))*F162*MIN(Reeksen!B162,Reeksen!D162)</f>
        <v>0</v>
      </c>
      <c r="I162" s="84">
        <f>IF(Reeksen!D162&lt;Reeksen!B162,(Reeksen!B162-Reeksen!D162)*F162,0)</f>
        <v>0</v>
      </c>
      <c r="J162" s="84">
        <f ca="1">('Invoer gegevens'!$F$20/12)*F161*MIN(Reeksen!B161,Reeksen!D161)</f>
        <v>0</v>
      </c>
      <c r="K162" s="97">
        <f t="shared" ca="1" si="23"/>
        <v>0</v>
      </c>
      <c r="L162" s="84">
        <f ca="1">IF('Invoer gegevens'!$C$17=E162,0,IF(C162=1,Q161,0))</f>
        <v>0</v>
      </c>
      <c r="M162" s="96">
        <f ca="1">IF(C162&gt;=1,L162*VLOOKUP(E162,Reeksen!$A$5:$B$76,2),0)</f>
        <v>0</v>
      </c>
      <c r="N162" s="84">
        <f ca="1">(1-('Invoer gegevens'!$F$20/12))*L162*MIN(Reeksen!B162,Reeksen!D162)</f>
        <v>0</v>
      </c>
      <c r="O162" s="84">
        <f>IF(Reeksen!D162&lt;Reeksen!B162,(Reeksen!B162-Reeksen!D162)*L162,0)</f>
        <v>0</v>
      </c>
      <c r="P162" s="84">
        <f ca="1">('Invoer gegevens'!$F$20/12)*L161*MIN(Reeksen!B161,Reeksen!D161)</f>
        <v>0</v>
      </c>
      <c r="Q162" s="84">
        <f t="shared" ca="1" si="24"/>
        <v>0</v>
      </c>
      <c r="R162" s="82">
        <f ca="1">IF('Invoer gegevens'!$C$17=E162,'Invoer gegevens'!$C$11,IF(C162=1,W161,0))</f>
        <v>0</v>
      </c>
      <c r="S162" s="86">
        <f ca="1">IF(C162&gt;=1,R162*VLOOKUP(E162,Reeksen!$A$5:$B$76,2),0)</f>
        <v>0</v>
      </c>
      <c r="T162" s="84">
        <f ca="1">(1-('Invoer gegevens'!$F$20/12))*R162*MIN(Reeksen!B162,Reeksen!D162)</f>
        <v>0</v>
      </c>
      <c r="U162" s="84">
        <f>IF(Reeksen!D162&gt;=Reeksen!B162,0,IF(Reeksen!AK162&lt;=Reeksen!AE162,(Reeksen!B162-Reeksen!D162)*R162,0))</f>
        <v>0</v>
      </c>
      <c r="V162" s="86">
        <f>IF(Reeksen!D162&gt;=Reeksen!B162,0,IF(Reeksen!AK162&gt;Reeksen!AE162,(Reeksen!B162-Reeksen!D162)*R162,0))</f>
        <v>0</v>
      </c>
      <c r="W162" s="97">
        <f t="shared" ca="1" si="25"/>
        <v>0</v>
      </c>
      <c r="X162" s="98">
        <f ca="1">IF('Invoer gegevens'!$C$17=E162,'Invoer gegevens'!$C$10-'Invoer gegevens'!$C$11,IF(C162=1,AC161,0))</f>
        <v>0</v>
      </c>
      <c r="Y162" s="98">
        <f ca="1">IF(C162&gt;=1,X162*VLOOKUP(E162,Reeksen!$A$5:$B$76,2),0)</f>
        <v>0</v>
      </c>
      <c r="Z162" s="98">
        <f ca="1">(1-('Invoer gegevens'!$F$20/12))*X162*MIN(Reeksen!B162,Reeksen!D162)</f>
        <v>0</v>
      </c>
      <c r="AA162" s="98">
        <f>IF(Reeksen!D162&gt;=Reeksen!B162,0,IF(Reeksen!AK162&lt;=Reeksen!AE162,(Reeksen!B162-Reeksen!D162)*X162,0))</f>
        <v>0</v>
      </c>
      <c r="AB162" s="98">
        <f>IF(Reeksen!D162&gt;=Reeksen!B162,0,IF(Reeksen!AK162&gt;Reeksen!AE162,(Reeksen!B162-Reeksen!D162)*X162,0))</f>
        <v>0</v>
      </c>
      <c r="AC162" s="99">
        <f t="shared" ca="1" si="26"/>
        <v>0</v>
      </c>
      <c r="AD162" s="98">
        <f ca="1">IF('Invoer gegevens'!$C$17=E162,R162,IF(C162=0,0,AE161))</f>
        <v>0</v>
      </c>
      <c r="AE162" s="98">
        <f t="shared" ca="1" si="27"/>
        <v>0</v>
      </c>
      <c r="AF162" s="98">
        <f ca="1">IF('Invoer gegevens'!$C$17=E162,X162,IF(C162=0,0,AG161))</f>
        <v>0</v>
      </c>
      <c r="AG162" s="98">
        <f t="shared" ca="1" si="28"/>
        <v>0</v>
      </c>
      <c r="AH162" s="68"/>
      <c r="AI162" s="71">
        <f ca="1">IF(C162=1,Reeksen!AJ162*((F162-G162+F162)/2)*12+Reeksen!AK162*((L162-M162+L162)/2)*12,0)</f>
        <v>0</v>
      </c>
      <c r="AJ162" s="71">
        <f ca="1">-AI162*'Invoer gegevens'!$F$28</f>
        <v>0</v>
      </c>
      <c r="AK162" s="71">
        <f t="shared" ca="1" si="22"/>
        <v>0</v>
      </c>
      <c r="AL162" s="71">
        <f ca="1">IF(C162=1,Reeksen!AL162*((F162-G162+F162)/2)*12+Reeksen!AM162*((L162-M162+L162)/2)*12,0)</f>
        <v>0</v>
      </c>
      <c r="AM162" s="71">
        <f ca="1">-AL162*'Invoer gegevens'!$F$31</f>
        <v>0</v>
      </c>
      <c r="AN162" s="71">
        <f t="shared" ca="1" si="29"/>
        <v>0</v>
      </c>
      <c r="AO162" s="71">
        <f ca="1">IF(C162=1,(H162+J162+N162+P162)*Reeksen!AN162,0)</f>
        <v>0</v>
      </c>
      <c r="AP162" s="71">
        <f ca="1">-IF(C162=1,(H162+J162+N162+P162)*'Hulp - basis'!$G$550*Reeksen!H162,0)</f>
        <v>0</v>
      </c>
      <c r="AQ162" s="71">
        <f ca="1">-IF(C162=1,(F162+K162+L162+Q162)/2*'Invoer gegevens'!$I$33*Reeksen!J162,0)*2</f>
        <v>0</v>
      </c>
      <c r="AR162" s="71">
        <f ca="1">-IF(C162=1,(I162*'Invoer gegevens'!$I$34)*Reeksen!J162,0)</f>
        <v>0</v>
      </c>
      <c r="AS162" s="71">
        <f ca="1">-IF(C162=1,(F162+K162+L162+Q162)/2*'Invoer gegevens'!$I$35*Reeksen!L162,0)</f>
        <v>0</v>
      </c>
      <c r="AT162" s="71">
        <f ca="1">-IF(C162=1,IF(E162='Invoer gegevens'!$C$17,'Invoer gegevens'!$C$11,AD162)*Reeksen!S162*'Invoer gegevens'!$C$18*Reeksen!P162,0)</f>
        <v>0</v>
      </c>
      <c r="AU162" s="71">
        <f ca="1">-IF(C162=1,(F162+K162+L162+Q162)/2*'Invoer gegevens'!$I$36*Reeksen!H162,0)</f>
        <v>0</v>
      </c>
      <c r="AV162" s="71">
        <f>IF('Invoer gegevens'!$C$3="Basis",0,#REF!)</f>
        <v>0</v>
      </c>
      <c r="AW162" s="71">
        <f t="shared" ca="1" si="30"/>
        <v>0</v>
      </c>
      <c r="AX162" s="71">
        <f ca="1">IF(E162&lt;'Invoer gegevens'!$C$17+15,0,IF(E162&gt;'Invoer gegevens'!$C$17+215,0,AW162))</f>
        <v>0</v>
      </c>
      <c r="AY162" s="71">
        <f ca="1">AX162/(1+'Invoer gegevens'!$F$18)^($AZ162-('Invoer gegevens'!$C$17-'Invoer gegevens'!$C$16))/(1+'Invoer gegevens'!$C$39)^('Invoer gegevens'!$C$17-'Invoer gegevens'!$C$16)</f>
        <v>0</v>
      </c>
      <c r="AZ162" s="68">
        <f ca="1">IF(E162-'Invoer gegevens'!$C$17-14.5&lt;0,0,E162-'Invoer gegevens'!$C$17-14.5)</f>
        <v>142.5</v>
      </c>
    </row>
    <row r="163" spans="2:52" x14ac:dyDescent="0.25">
      <c r="B163" s="70">
        <f t="shared" si="31"/>
        <v>159</v>
      </c>
      <c r="C163" s="67">
        <f ca="1">IF(E163-'Invoer gegevens'!$C$17&lt;0,0,1)</f>
        <v>1</v>
      </c>
      <c r="D163" s="68">
        <f t="shared" si="32"/>
        <v>158.5</v>
      </c>
      <c r="E163" s="108">
        <f ca="1">IF('Invoer gegevens'!$C$16="","",E162+1)</f>
        <v>2177</v>
      </c>
      <c r="F163" s="84">
        <f ca="1">IF('Invoer gegevens'!$C$17=E163,'Invoer gegevens'!$C$10,IF(C163=1,K162,0))</f>
        <v>0</v>
      </c>
      <c r="G163" s="96">
        <f ca="1">IF(C163&gt;=1,F163*VLOOKUP(E163,Reeksen!$A$5:$B$76,2),0)</f>
        <v>0</v>
      </c>
      <c r="H163" s="84">
        <f ca="1">(1-('Invoer gegevens'!$F$20/12))*F163*MIN(Reeksen!B163,Reeksen!D163)</f>
        <v>0</v>
      </c>
      <c r="I163" s="84">
        <f>IF(Reeksen!D163&lt;Reeksen!B163,(Reeksen!B163-Reeksen!D163)*F163,0)</f>
        <v>0</v>
      </c>
      <c r="J163" s="84">
        <f ca="1">('Invoer gegevens'!$F$20/12)*F162*MIN(Reeksen!B162,Reeksen!D162)</f>
        <v>0</v>
      </c>
      <c r="K163" s="97">
        <f t="shared" ca="1" si="23"/>
        <v>0</v>
      </c>
      <c r="L163" s="84">
        <f ca="1">IF('Invoer gegevens'!$C$17=E163,0,IF(C163=1,Q162,0))</f>
        <v>0</v>
      </c>
      <c r="M163" s="96">
        <f ca="1">IF(C163&gt;=1,L163*VLOOKUP(E163,Reeksen!$A$5:$B$76,2),0)</f>
        <v>0</v>
      </c>
      <c r="N163" s="84">
        <f ca="1">(1-('Invoer gegevens'!$F$20/12))*L163*MIN(Reeksen!B163,Reeksen!D163)</f>
        <v>0</v>
      </c>
      <c r="O163" s="84">
        <f>IF(Reeksen!D163&lt;Reeksen!B163,(Reeksen!B163-Reeksen!D163)*L163,0)</f>
        <v>0</v>
      </c>
      <c r="P163" s="84">
        <f ca="1">('Invoer gegevens'!$F$20/12)*L162*MIN(Reeksen!B162,Reeksen!D162)</f>
        <v>0</v>
      </c>
      <c r="Q163" s="84">
        <f t="shared" ca="1" si="24"/>
        <v>0</v>
      </c>
      <c r="R163" s="82">
        <f ca="1">IF('Invoer gegevens'!$C$17=E163,'Invoer gegevens'!$C$11,IF(C163=1,W162,0))</f>
        <v>0</v>
      </c>
      <c r="S163" s="86">
        <f ca="1">IF(C163&gt;=1,R163*VLOOKUP(E163,Reeksen!$A$5:$B$76,2),0)</f>
        <v>0</v>
      </c>
      <c r="T163" s="84">
        <f ca="1">(1-('Invoer gegevens'!$F$20/12))*R163*MIN(Reeksen!B163,Reeksen!D163)</f>
        <v>0</v>
      </c>
      <c r="U163" s="84">
        <f>IF(Reeksen!D163&gt;=Reeksen!B163,0,IF(Reeksen!AK163&lt;=Reeksen!AE163,(Reeksen!B163-Reeksen!D163)*R163,0))</f>
        <v>0</v>
      </c>
      <c r="V163" s="86">
        <f>IF(Reeksen!D163&gt;=Reeksen!B163,0,IF(Reeksen!AK163&gt;Reeksen!AE163,(Reeksen!B163-Reeksen!D163)*R163,0))</f>
        <v>0</v>
      </c>
      <c r="W163" s="97">
        <f t="shared" ca="1" si="25"/>
        <v>0</v>
      </c>
      <c r="X163" s="98">
        <f ca="1">IF('Invoer gegevens'!$C$17=E163,'Invoer gegevens'!$C$10-'Invoer gegevens'!$C$11,IF(C163=1,AC162,0))</f>
        <v>0</v>
      </c>
      <c r="Y163" s="98">
        <f ca="1">IF(C163&gt;=1,X163*VLOOKUP(E163,Reeksen!$A$5:$B$76,2),0)</f>
        <v>0</v>
      </c>
      <c r="Z163" s="98">
        <f ca="1">(1-('Invoer gegevens'!$F$20/12))*X163*MIN(Reeksen!B163,Reeksen!D163)</f>
        <v>0</v>
      </c>
      <c r="AA163" s="98">
        <f>IF(Reeksen!D163&gt;=Reeksen!B163,0,IF(Reeksen!AK163&lt;=Reeksen!AE163,(Reeksen!B163-Reeksen!D163)*X163,0))</f>
        <v>0</v>
      </c>
      <c r="AB163" s="98">
        <f>IF(Reeksen!D163&gt;=Reeksen!B163,0,IF(Reeksen!AK163&gt;Reeksen!AE163,(Reeksen!B163-Reeksen!D163)*X163,0))</f>
        <v>0</v>
      </c>
      <c r="AC163" s="99">
        <f t="shared" ca="1" si="26"/>
        <v>0</v>
      </c>
      <c r="AD163" s="98">
        <f ca="1">IF('Invoer gegevens'!$C$17=E163,R163,IF(C163=0,0,AE162))</f>
        <v>0</v>
      </c>
      <c r="AE163" s="98">
        <f t="shared" ca="1" si="27"/>
        <v>0</v>
      </c>
      <c r="AF163" s="98">
        <f ca="1">IF('Invoer gegevens'!$C$17=E163,X163,IF(C163=0,0,AG162))</f>
        <v>0</v>
      </c>
      <c r="AG163" s="98">
        <f t="shared" ca="1" si="28"/>
        <v>0</v>
      </c>
      <c r="AH163" s="68"/>
      <c r="AI163" s="71">
        <f ca="1">IF(C163=1,Reeksen!AJ163*((F163-G163+F163)/2)*12+Reeksen!AK163*((L163-M163+L163)/2)*12,0)</f>
        <v>0</v>
      </c>
      <c r="AJ163" s="71">
        <f ca="1">-AI163*'Invoer gegevens'!$F$28</f>
        <v>0</v>
      </c>
      <c r="AK163" s="71">
        <f t="shared" ca="1" si="22"/>
        <v>0</v>
      </c>
      <c r="AL163" s="71">
        <f ca="1">IF(C163=1,Reeksen!AL163*((F163-G163+F163)/2)*12+Reeksen!AM163*((L163-M163+L163)/2)*12,0)</f>
        <v>0</v>
      </c>
      <c r="AM163" s="71">
        <f ca="1">-AL163*'Invoer gegevens'!$F$31</f>
        <v>0</v>
      </c>
      <c r="AN163" s="71">
        <f t="shared" ca="1" si="29"/>
        <v>0</v>
      </c>
      <c r="AO163" s="71">
        <f ca="1">IF(C163=1,(H163+J163+N163+P163)*Reeksen!AN163,0)</f>
        <v>0</v>
      </c>
      <c r="AP163" s="71">
        <f ca="1">-IF(C163=1,(H163+J163+N163+P163)*'Hulp - basis'!$G$550*Reeksen!H163,0)</f>
        <v>0</v>
      </c>
      <c r="AQ163" s="71">
        <f ca="1">-IF(C163=1,(F163+K163+L163+Q163)/2*'Invoer gegevens'!$I$33*Reeksen!J163,0)*2</f>
        <v>0</v>
      </c>
      <c r="AR163" s="71">
        <f ca="1">-IF(C163=1,(I163*'Invoer gegevens'!$I$34)*Reeksen!J163,0)</f>
        <v>0</v>
      </c>
      <c r="AS163" s="71">
        <f ca="1">-IF(C163=1,(F163+K163+L163+Q163)/2*'Invoer gegevens'!$I$35*Reeksen!L163,0)</f>
        <v>0</v>
      </c>
      <c r="AT163" s="71">
        <f ca="1">-IF(C163=1,IF(E163='Invoer gegevens'!$C$17,'Invoer gegevens'!$C$11,AD163)*Reeksen!S163*'Invoer gegevens'!$C$18*Reeksen!P163,0)</f>
        <v>0</v>
      </c>
      <c r="AU163" s="71">
        <f ca="1">-IF(C163=1,(F163+K163+L163+Q163)/2*'Invoer gegevens'!$I$36*Reeksen!H163,0)</f>
        <v>0</v>
      </c>
      <c r="AV163" s="71">
        <f>IF('Invoer gegevens'!$C$3="Basis",0,#REF!)</f>
        <v>0</v>
      </c>
      <c r="AW163" s="71">
        <f t="shared" ca="1" si="30"/>
        <v>0</v>
      </c>
      <c r="AX163" s="71">
        <f ca="1">IF(E163&lt;'Invoer gegevens'!$C$17+15,0,IF(E163&gt;'Invoer gegevens'!$C$17+215,0,AW163))</f>
        <v>0</v>
      </c>
      <c r="AY163" s="71">
        <f ca="1">AX163/(1+'Invoer gegevens'!$F$18)^($AZ163-('Invoer gegevens'!$C$17-'Invoer gegevens'!$C$16))/(1+'Invoer gegevens'!$C$39)^('Invoer gegevens'!$C$17-'Invoer gegevens'!$C$16)</f>
        <v>0</v>
      </c>
      <c r="AZ163" s="68">
        <f ca="1">IF(E163-'Invoer gegevens'!$C$17-14.5&lt;0,0,E163-'Invoer gegevens'!$C$17-14.5)</f>
        <v>143.5</v>
      </c>
    </row>
    <row r="164" spans="2:52" x14ac:dyDescent="0.25">
      <c r="B164" s="70">
        <f t="shared" si="31"/>
        <v>160</v>
      </c>
      <c r="C164" s="67">
        <f ca="1">IF(E164-'Invoer gegevens'!$C$17&lt;0,0,1)</f>
        <v>1</v>
      </c>
      <c r="D164" s="68">
        <f t="shared" si="32"/>
        <v>159.5</v>
      </c>
      <c r="E164" s="108">
        <f ca="1">IF('Invoer gegevens'!$C$16="","",E163+1)</f>
        <v>2178</v>
      </c>
      <c r="F164" s="84">
        <f ca="1">IF('Invoer gegevens'!$C$17=E164,'Invoer gegevens'!$C$10,IF(C164=1,K163,0))</f>
        <v>0</v>
      </c>
      <c r="G164" s="96">
        <f ca="1">IF(C164&gt;=1,F164*VLOOKUP(E164,Reeksen!$A$5:$B$76,2),0)</f>
        <v>0</v>
      </c>
      <c r="H164" s="84">
        <f ca="1">(1-('Invoer gegevens'!$F$20/12))*F164*MIN(Reeksen!B164,Reeksen!D164)</f>
        <v>0</v>
      </c>
      <c r="I164" s="84">
        <f>IF(Reeksen!D164&lt;Reeksen!B164,(Reeksen!B164-Reeksen!D164)*F164,0)</f>
        <v>0</v>
      </c>
      <c r="J164" s="84">
        <f ca="1">('Invoer gegevens'!$F$20/12)*F163*MIN(Reeksen!B163,Reeksen!D163)</f>
        <v>0</v>
      </c>
      <c r="K164" s="97">
        <f t="shared" ca="1" si="23"/>
        <v>0</v>
      </c>
      <c r="L164" s="84">
        <f ca="1">IF('Invoer gegevens'!$C$17=E164,0,IF(C164=1,Q163,0))</f>
        <v>0</v>
      </c>
      <c r="M164" s="96">
        <f ca="1">IF(C164&gt;=1,L164*VLOOKUP(E164,Reeksen!$A$5:$B$76,2),0)</f>
        <v>0</v>
      </c>
      <c r="N164" s="84">
        <f ca="1">(1-('Invoer gegevens'!$F$20/12))*L164*MIN(Reeksen!B164,Reeksen!D164)</f>
        <v>0</v>
      </c>
      <c r="O164" s="84">
        <f>IF(Reeksen!D164&lt;Reeksen!B164,(Reeksen!B164-Reeksen!D164)*L164,0)</f>
        <v>0</v>
      </c>
      <c r="P164" s="84">
        <f ca="1">('Invoer gegevens'!$F$20/12)*L163*MIN(Reeksen!B163,Reeksen!D163)</f>
        <v>0</v>
      </c>
      <c r="Q164" s="84">
        <f t="shared" ca="1" si="24"/>
        <v>0</v>
      </c>
      <c r="R164" s="82">
        <f ca="1">IF('Invoer gegevens'!$C$17=E164,'Invoer gegevens'!$C$11,IF(C164=1,W163,0))</f>
        <v>0</v>
      </c>
      <c r="S164" s="86">
        <f ca="1">IF(C164&gt;=1,R164*VLOOKUP(E164,Reeksen!$A$5:$B$76,2),0)</f>
        <v>0</v>
      </c>
      <c r="T164" s="84">
        <f ca="1">(1-('Invoer gegevens'!$F$20/12))*R164*MIN(Reeksen!B164,Reeksen!D164)</f>
        <v>0</v>
      </c>
      <c r="U164" s="84">
        <f>IF(Reeksen!D164&gt;=Reeksen!B164,0,IF(Reeksen!AK164&lt;=Reeksen!AE164,(Reeksen!B164-Reeksen!D164)*R164,0))</f>
        <v>0</v>
      </c>
      <c r="V164" s="86">
        <f>IF(Reeksen!D164&gt;=Reeksen!B164,0,IF(Reeksen!AK164&gt;Reeksen!AE164,(Reeksen!B164-Reeksen!D164)*R164,0))</f>
        <v>0</v>
      </c>
      <c r="W164" s="97">
        <f t="shared" ca="1" si="25"/>
        <v>0</v>
      </c>
      <c r="X164" s="98">
        <f ca="1">IF('Invoer gegevens'!$C$17=E164,'Invoer gegevens'!$C$10-'Invoer gegevens'!$C$11,IF(C164=1,AC163,0))</f>
        <v>0</v>
      </c>
      <c r="Y164" s="98">
        <f ca="1">IF(C164&gt;=1,X164*VLOOKUP(E164,Reeksen!$A$5:$B$76,2),0)</f>
        <v>0</v>
      </c>
      <c r="Z164" s="98">
        <f ca="1">(1-('Invoer gegevens'!$F$20/12))*X164*MIN(Reeksen!B164,Reeksen!D164)</f>
        <v>0</v>
      </c>
      <c r="AA164" s="98">
        <f>IF(Reeksen!D164&gt;=Reeksen!B164,0,IF(Reeksen!AK164&lt;=Reeksen!AE164,(Reeksen!B164-Reeksen!D164)*X164,0))</f>
        <v>0</v>
      </c>
      <c r="AB164" s="98">
        <f>IF(Reeksen!D164&gt;=Reeksen!B164,0,IF(Reeksen!AK164&gt;Reeksen!AE164,(Reeksen!B164-Reeksen!D164)*X164,0))</f>
        <v>0</v>
      </c>
      <c r="AC164" s="99">
        <f t="shared" ca="1" si="26"/>
        <v>0</v>
      </c>
      <c r="AD164" s="98">
        <f ca="1">IF('Invoer gegevens'!$C$17=E164,R164,IF(C164=0,0,AE163))</f>
        <v>0</v>
      </c>
      <c r="AE164" s="98">
        <f t="shared" ca="1" si="27"/>
        <v>0</v>
      </c>
      <c r="AF164" s="98">
        <f ca="1">IF('Invoer gegevens'!$C$17=E164,X164,IF(C164=0,0,AG163))</f>
        <v>0</v>
      </c>
      <c r="AG164" s="98">
        <f t="shared" ca="1" si="28"/>
        <v>0</v>
      </c>
      <c r="AH164" s="68"/>
      <c r="AI164" s="71">
        <f ca="1">IF(C164=1,Reeksen!AJ164*((F164-G164+F164)/2)*12+Reeksen!AK164*((L164-M164+L164)/2)*12,0)</f>
        <v>0</v>
      </c>
      <c r="AJ164" s="71">
        <f ca="1">-AI164*'Invoer gegevens'!$F$28</f>
        <v>0</v>
      </c>
      <c r="AK164" s="71">
        <f t="shared" ca="1" si="22"/>
        <v>0</v>
      </c>
      <c r="AL164" s="71">
        <f ca="1">IF(C164=1,Reeksen!AL164*((F164-G164+F164)/2)*12+Reeksen!AM164*((L164-M164+L164)/2)*12,0)</f>
        <v>0</v>
      </c>
      <c r="AM164" s="71">
        <f ca="1">-AL164*'Invoer gegevens'!$F$31</f>
        <v>0</v>
      </c>
      <c r="AN164" s="71">
        <f t="shared" ca="1" si="29"/>
        <v>0</v>
      </c>
      <c r="AO164" s="71">
        <f ca="1">IF(C164=1,(H164+J164+N164+P164)*Reeksen!AN164,0)</f>
        <v>0</v>
      </c>
      <c r="AP164" s="71">
        <f ca="1">-IF(C164=1,(H164+J164+N164+P164)*'Hulp - basis'!$G$550*Reeksen!H164,0)</f>
        <v>0</v>
      </c>
      <c r="AQ164" s="71">
        <f ca="1">-IF(C164=1,(F164+K164+L164+Q164)/2*'Invoer gegevens'!$I$33*Reeksen!J164,0)*2</f>
        <v>0</v>
      </c>
      <c r="AR164" s="71">
        <f ca="1">-IF(C164=1,(I164*'Invoer gegevens'!$I$34)*Reeksen!J164,0)</f>
        <v>0</v>
      </c>
      <c r="AS164" s="71">
        <f ca="1">-IF(C164=1,(F164+K164+L164+Q164)/2*'Invoer gegevens'!$I$35*Reeksen!L164,0)</f>
        <v>0</v>
      </c>
      <c r="AT164" s="71">
        <f ca="1">-IF(C164=1,IF(E164='Invoer gegevens'!$C$17,'Invoer gegevens'!$C$11,AD164)*Reeksen!S164*'Invoer gegevens'!$C$18*Reeksen!P164,0)</f>
        <v>0</v>
      </c>
      <c r="AU164" s="71">
        <f ca="1">-IF(C164=1,(F164+K164+L164+Q164)/2*'Invoer gegevens'!$I$36*Reeksen!H164,0)</f>
        <v>0</v>
      </c>
      <c r="AV164" s="71">
        <f>IF('Invoer gegevens'!$C$3="Basis",0,#REF!)</f>
        <v>0</v>
      </c>
      <c r="AW164" s="71">
        <f t="shared" ca="1" si="30"/>
        <v>0</v>
      </c>
      <c r="AX164" s="71">
        <f ca="1">IF(E164&lt;'Invoer gegevens'!$C$17+15,0,IF(E164&gt;'Invoer gegevens'!$C$17+215,0,AW164))</f>
        <v>0</v>
      </c>
      <c r="AY164" s="71">
        <f ca="1">AX164/(1+'Invoer gegevens'!$F$18)^($AZ164-('Invoer gegevens'!$C$17-'Invoer gegevens'!$C$16))/(1+'Invoer gegevens'!$C$39)^('Invoer gegevens'!$C$17-'Invoer gegevens'!$C$16)</f>
        <v>0</v>
      </c>
      <c r="AZ164" s="68">
        <f ca="1">IF(E164-'Invoer gegevens'!$C$17-14.5&lt;0,0,E164-'Invoer gegevens'!$C$17-14.5)</f>
        <v>144.5</v>
      </c>
    </row>
    <row r="165" spans="2:52" x14ac:dyDescent="0.25">
      <c r="B165" s="70">
        <f t="shared" si="31"/>
        <v>161</v>
      </c>
      <c r="C165" s="67">
        <f ca="1">IF(E165-'Invoer gegevens'!$C$17&lt;0,0,1)</f>
        <v>1</v>
      </c>
      <c r="D165" s="68">
        <f t="shared" si="32"/>
        <v>160.5</v>
      </c>
      <c r="E165" s="108">
        <f ca="1">IF('Invoer gegevens'!$C$16="","",E164+1)</f>
        <v>2179</v>
      </c>
      <c r="F165" s="84">
        <f ca="1">IF('Invoer gegevens'!$C$17=E165,'Invoer gegevens'!$C$10,IF(C165=1,K164,0))</f>
        <v>0</v>
      </c>
      <c r="G165" s="96">
        <f ca="1">IF(C165&gt;=1,F165*VLOOKUP(E165,Reeksen!$A$5:$B$76,2),0)</f>
        <v>0</v>
      </c>
      <c r="H165" s="84">
        <f ca="1">(1-('Invoer gegevens'!$F$20/12))*F165*MIN(Reeksen!B165,Reeksen!D165)</f>
        <v>0</v>
      </c>
      <c r="I165" s="84">
        <f>IF(Reeksen!D165&lt;Reeksen!B165,(Reeksen!B165-Reeksen!D165)*F165,0)</f>
        <v>0</v>
      </c>
      <c r="J165" s="84">
        <f ca="1">('Invoer gegevens'!$F$20/12)*F164*MIN(Reeksen!B164,Reeksen!D164)</f>
        <v>0</v>
      </c>
      <c r="K165" s="97">
        <f t="shared" ca="1" si="23"/>
        <v>0</v>
      </c>
      <c r="L165" s="84">
        <f ca="1">IF('Invoer gegevens'!$C$17=E165,0,IF(C165=1,Q164,0))</f>
        <v>0</v>
      </c>
      <c r="M165" s="96">
        <f ca="1">IF(C165&gt;=1,L165*VLOOKUP(E165,Reeksen!$A$5:$B$76,2),0)</f>
        <v>0</v>
      </c>
      <c r="N165" s="84">
        <f ca="1">(1-('Invoer gegevens'!$F$20/12))*L165*MIN(Reeksen!B165,Reeksen!D165)</f>
        <v>0</v>
      </c>
      <c r="O165" s="84">
        <f>IF(Reeksen!D165&lt;Reeksen!B165,(Reeksen!B165-Reeksen!D165)*L165,0)</f>
        <v>0</v>
      </c>
      <c r="P165" s="84">
        <f ca="1">('Invoer gegevens'!$F$20/12)*L164*MIN(Reeksen!B164,Reeksen!D164)</f>
        <v>0</v>
      </c>
      <c r="Q165" s="84">
        <f t="shared" ca="1" si="24"/>
        <v>0</v>
      </c>
      <c r="R165" s="82">
        <f ca="1">IF('Invoer gegevens'!$C$17=E165,'Invoer gegevens'!$C$11,IF(C165=1,W164,0))</f>
        <v>0</v>
      </c>
      <c r="S165" s="86">
        <f ca="1">IF(C165&gt;=1,R165*VLOOKUP(E165,Reeksen!$A$5:$B$76,2),0)</f>
        <v>0</v>
      </c>
      <c r="T165" s="84">
        <f ca="1">(1-('Invoer gegevens'!$F$20/12))*R165*MIN(Reeksen!B165,Reeksen!D165)</f>
        <v>0</v>
      </c>
      <c r="U165" s="84">
        <f>IF(Reeksen!D165&gt;=Reeksen!B165,0,IF(Reeksen!AK165&lt;=Reeksen!AE165,(Reeksen!B165-Reeksen!D165)*R165,0))</f>
        <v>0</v>
      </c>
      <c r="V165" s="86">
        <f>IF(Reeksen!D165&gt;=Reeksen!B165,0,IF(Reeksen!AK165&gt;Reeksen!AE165,(Reeksen!B165-Reeksen!D165)*R165,0))</f>
        <v>0</v>
      </c>
      <c r="W165" s="97">
        <f t="shared" ca="1" si="25"/>
        <v>0</v>
      </c>
      <c r="X165" s="98">
        <f ca="1">IF('Invoer gegevens'!$C$17=E165,'Invoer gegevens'!$C$10-'Invoer gegevens'!$C$11,IF(C165=1,AC164,0))</f>
        <v>0</v>
      </c>
      <c r="Y165" s="98">
        <f ca="1">IF(C165&gt;=1,X165*VLOOKUP(E165,Reeksen!$A$5:$B$76,2),0)</f>
        <v>0</v>
      </c>
      <c r="Z165" s="98">
        <f ca="1">(1-('Invoer gegevens'!$F$20/12))*X165*MIN(Reeksen!B165,Reeksen!D165)</f>
        <v>0</v>
      </c>
      <c r="AA165" s="98">
        <f>IF(Reeksen!D165&gt;=Reeksen!B165,0,IF(Reeksen!AK165&lt;=Reeksen!AE165,(Reeksen!B165-Reeksen!D165)*X165,0))</f>
        <v>0</v>
      </c>
      <c r="AB165" s="98">
        <f>IF(Reeksen!D165&gt;=Reeksen!B165,0,IF(Reeksen!AK165&gt;Reeksen!AE165,(Reeksen!B165-Reeksen!D165)*X165,0))</f>
        <v>0</v>
      </c>
      <c r="AC165" s="99">
        <f t="shared" ca="1" si="26"/>
        <v>0</v>
      </c>
      <c r="AD165" s="98">
        <f ca="1">IF('Invoer gegevens'!$C$17=E165,R165,IF(C165=0,0,AE164))</f>
        <v>0</v>
      </c>
      <c r="AE165" s="98">
        <f t="shared" ca="1" si="27"/>
        <v>0</v>
      </c>
      <c r="AF165" s="98">
        <f ca="1">IF('Invoer gegevens'!$C$17=E165,X165,IF(C165=0,0,AG164))</f>
        <v>0</v>
      </c>
      <c r="AG165" s="98">
        <f t="shared" ca="1" si="28"/>
        <v>0</v>
      </c>
      <c r="AH165" s="68"/>
      <c r="AI165" s="71">
        <f ca="1">IF(C165=1,Reeksen!AJ165*((F165-G165+F165)/2)*12+Reeksen!AK165*((L165-M165+L165)/2)*12,0)</f>
        <v>0</v>
      </c>
      <c r="AJ165" s="71">
        <f ca="1">-AI165*'Invoer gegevens'!$F$28</f>
        <v>0</v>
      </c>
      <c r="AK165" s="71">
        <f t="shared" ca="1" si="22"/>
        <v>0</v>
      </c>
      <c r="AL165" s="71">
        <f ca="1">IF(C165=1,Reeksen!AL165*((F165-G165+F165)/2)*12+Reeksen!AM165*((L165-M165+L165)/2)*12,0)</f>
        <v>0</v>
      </c>
      <c r="AM165" s="71">
        <f ca="1">-AL165*'Invoer gegevens'!$F$31</f>
        <v>0</v>
      </c>
      <c r="AN165" s="71">
        <f t="shared" ca="1" si="29"/>
        <v>0</v>
      </c>
      <c r="AO165" s="71">
        <f ca="1">IF(C165=1,(H165+J165+N165+P165)*Reeksen!AN165,0)</f>
        <v>0</v>
      </c>
      <c r="AP165" s="71">
        <f ca="1">-IF(C165=1,(H165+J165+N165+P165)*'Hulp - basis'!$G$550*Reeksen!H165,0)</f>
        <v>0</v>
      </c>
      <c r="AQ165" s="71">
        <f ca="1">-IF(C165=1,(F165+K165+L165+Q165)/2*'Invoer gegevens'!$I$33*Reeksen!J165,0)*2</f>
        <v>0</v>
      </c>
      <c r="AR165" s="71">
        <f ca="1">-IF(C165=1,(I165*'Invoer gegevens'!$I$34)*Reeksen!J165,0)</f>
        <v>0</v>
      </c>
      <c r="AS165" s="71">
        <f ca="1">-IF(C165=1,(F165+K165+L165+Q165)/2*'Invoer gegevens'!$I$35*Reeksen!L165,0)</f>
        <v>0</v>
      </c>
      <c r="AT165" s="71">
        <f ca="1">-IF(C165=1,IF(E165='Invoer gegevens'!$C$17,'Invoer gegevens'!$C$11,AD165)*Reeksen!S165*'Invoer gegevens'!$C$18*Reeksen!P165,0)</f>
        <v>0</v>
      </c>
      <c r="AU165" s="71">
        <f ca="1">-IF(C165=1,(F165+K165+L165+Q165)/2*'Invoer gegevens'!$I$36*Reeksen!H165,0)</f>
        <v>0</v>
      </c>
      <c r="AV165" s="71">
        <f>IF('Invoer gegevens'!$C$3="Basis",0,#REF!)</f>
        <v>0</v>
      </c>
      <c r="AW165" s="71">
        <f t="shared" ca="1" si="30"/>
        <v>0</v>
      </c>
      <c r="AX165" s="71">
        <f ca="1">IF(E165&lt;'Invoer gegevens'!$C$17+15,0,IF(E165&gt;'Invoer gegevens'!$C$17+215,0,AW165))</f>
        <v>0</v>
      </c>
      <c r="AY165" s="71">
        <f ca="1">AX165/(1+'Invoer gegevens'!$F$18)^($AZ165-('Invoer gegevens'!$C$17-'Invoer gegevens'!$C$16))/(1+'Invoer gegevens'!$C$39)^('Invoer gegevens'!$C$17-'Invoer gegevens'!$C$16)</f>
        <v>0</v>
      </c>
      <c r="AZ165" s="68">
        <f ca="1">IF(E165-'Invoer gegevens'!$C$17-14.5&lt;0,0,E165-'Invoer gegevens'!$C$17-14.5)</f>
        <v>145.5</v>
      </c>
    </row>
    <row r="166" spans="2:52" x14ac:dyDescent="0.25">
      <c r="B166" s="70">
        <f t="shared" si="31"/>
        <v>162</v>
      </c>
      <c r="C166" s="67">
        <f ca="1">IF(E166-'Invoer gegevens'!$C$17&lt;0,0,1)</f>
        <v>1</v>
      </c>
      <c r="D166" s="68">
        <f t="shared" si="32"/>
        <v>161.5</v>
      </c>
      <c r="E166" s="108">
        <f ca="1">IF('Invoer gegevens'!$C$16="","",E165+1)</f>
        <v>2180</v>
      </c>
      <c r="F166" s="84">
        <f ca="1">IF('Invoer gegevens'!$C$17=E166,'Invoer gegevens'!$C$10,IF(C166=1,K165,0))</f>
        <v>0</v>
      </c>
      <c r="G166" s="96">
        <f ca="1">IF(C166&gt;=1,F166*VLOOKUP(E166,Reeksen!$A$5:$B$76,2),0)</f>
        <v>0</v>
      </c>
      <c r="H166" s="84">
        <f ca="1">(1-('Invoer gegevens'!$F$20/12))*F166*MIN(Reeksen!B166,Reeksen!D166)</f>
        <v>0</v>
      </c>
      <c r="I166" s="84">
        <f>IF(Reeksen!D166&lt;Reeksen!B166,(Reeksen!B166-Reeksen!D166)*F166,0)</f>
        <v>0</v>
      </c>
      <c r="J166" s="84">
        <f ca="1">('Invoer gegevens'!$F$20/12)*F165*MIN(Reeksen!B165,Reeksen!D165)</f>
        <v>0</v>
      </c>
      <c r="K166" s="97">
        <f t="shared" ca="1" si="23"/>
        <v>0</v>
      </c>
      <c r="L166" s="84">
        <f ca="1">IF('Invoer gegevens'!$C$17=E166,0,IF(C166=1,Q165,0))</f>
        <v>0</v>
      </c>
      <c r="M166" s="96">
        <f ca="1">IF(C166&gt;=1,L166*VLOOKUP(E166,Reeksen!$A$5:$B$76,2),0)</f>
        <v>0</v>
      </c>
      <c r="N166" s="84">
        <f ca="1">(1-('Invoer gegevens'!$F$20/12))*L166*MIN(Reeksen!B166,Reeksen!D166)</f>
        <v>0</v>
      </c>
      <c r="O166" s="84">
        <f>IF(Reeksen!D166&lt;Reeksen!B166,(Reeksen!B166-Reeksen!D166)*L166,0)</f>
        <v>0</v>
      </c>
      <c r="P166" s="84">
        <f ca="1">('Invoer gegevens'!$F$20/12)*L165*MIN(Reeksen!B165,Reeksen!D165)</f>
        <v>0</v>
      </c>
      <c r="Q166" s="84">
        <f t="shared" ca="1" si="24"/>
        <v>0</v>
      </c>
      <c r="R166" s="82">
        <f ca="1">IF('Invoer gegevens'!$C$17=E166,'Invoer gegevens'!$C$11,IF(C166=1,W165,0))</f>
        <v>0</v>
      </c>
      <c r="S166" s="86">
        <f ca="1">IF(C166&gt;=1,R166*VLOOKUP(E166,Reeksen!$A$5:$B$76,2),0)</f>
        <v>0</v>
      </c>
      <c r="T166" s="84">
        <f ca="1">(1-('Invoer gegevens'!$F$20/12))*R166*MIN(Reeksen!B166,Reeksen!D166)</f>
        <v>0</v>
      </c>
      <c r="U166" s="84">
        <f>IF(Reeksen!D166&gt;=Reeksen!B166,0,IF(Reeksen!AK166&lt;=Reeksen!AE166,(Reeksen!B166-Reeksen!D166)*R166,0))</f>
        <v>0</v>
      </c>
      <c r="V166" s="86">
        <f>IF(Reeksen!D166&gt;=Reeksen!B166,0,IF(Reeksen!AK166&gt;Reeksen!AE166,(Reeksen!B166-Reeksen!D166)*R166,0))</f>
        <v>0</v>
      </c>
      <c r="W166" s="97">
        <f t="shared" ca="1" si="25"/>
        <v>0</v>
      </c>
      <c r="X166" s="98">
        <f ca="1">IF('Invoer gegevens'!$C$17=E166,'Invoer gegevens'!$C$10-'Invoer gegevens'!$C$11,IF(C166=1,AC165,0))</f>
        <v>0</v>
      </c>
      <c r="Y166" s="98">
        <f ca="1">IF(C166&gt;=1,X166*VLOOKUP(E166,Reeksen!$A$5:$B$76,2),0)</f>
        <v>0</v>
      </c>
      <c r="Z166" s="98">
        <f ca="1">(1-('Invoer gegevens'!$F$20/12))*X166*MIN(Reeksen!B166,Reeksen!D166)</f>
        <v>0</v>
      </c>
      <c r="AA166" s="98">
        <f>IF(Reeksen!D166&gt;=Reeksen!B166,0,IF(Reeksen!AK166&lt;=Reeksen!AE166,(Reeksen!B166-Reeksen!D166)*X166,0))</f>
        <v>0</v>
      </c>
      <c r="AB166" s="98">
        <f>IF(Reeksen!D166&gt;=Reeksen!B166,0,IF(Reeksen!AK166&gt;Reeksen!AE166,(Reeksen!B166-Reeksen!D166)*X166,0))</f>
        <v>0</v>
      </c>
      <c r="AC166" s="99">
        <f t="shared" ca="1" si="26"/>
        <v>0</v>
      </c>
      <c r="AD166" s="98">
        <f ca="1">IF('Invoer gegevens'!$C$17=E166,R166,IF(C166=0,0,AE165))</f>
        <v>0</v>
      </c>
      <c r="AE166" s="98">
        <f t="shared" ca="1" si="27"/>
        <v>0</v>
      </c>
      <c r="AF166" s="98">
        <f ca="1">IF('Invoer gegevens'!$C$17=E166,X166,IF(C166=0,0,AG165))</f>
        <v>0</v>
      </c>
      <c r="AG166" s="98">
        <f t="shared" ca="1" si="28"/>
        <v>0</v>
      </c>
      <c r="AH166" s="68"/>
      <c r="AI166" s="71">
        <f ca="1">IF(C166=1,Reeksen!AJ166*((F166-G166+F166)/2)*12+Reeksen!AK166*((L166-M166+L166)/2)*12,0)</f>
        <v>0</v>
      </c>
      <c r="AJ166" s="71">
        <f ca="1">-AI166*'Invoer gegevens'!$F$28</f>
        <v>0</v>
      </c>
      <c r="AK166" s="71">
        <f t="shared" ca="1" si="22"/>
        <v>0</v>
      </c>
      <c r="AL166" s="71">
        <f ca="1">IF(C166=1,Reeksen!AL166*((F166-G166+F166)/2)*12+Reeksen!AM166*((L166-M166+L166)/2)*12,0)</f>
        <v>0</v>
      </c>
      <c r="AM166" s="71">
        <f ca="1">-AL166*'Invoer gegevens'!$F$31</f>
        <v>0</v>
      </c>
      <c r="AN166" s="71">
        <f t="shared" ca="1" si="29"/>
        <v>0</v>
      </c>
      <c r="AO166" s="71">
        <f ca="1">IF(C166=1,(H166+J166+N166+P166)*Reeksen!AN166,0)</f>
        <v>0</v>
      </c>
      <c r="AP166" s="71">
        <f ca="1">-IF(C166=1,(H166+J166+N166+P166)*'Hulp - basis'!$G$550*Reeksen!H166,0)</f>
        <v>0</v>
      </c>
      <c r="AQ166" s="71">
        <f ca="1">-IF(C166=1,(F166+K166+L166+Q166)/2*'Invoer gegevens'!$I$33*Reeksen!J166,0)*2</f>
        <v>0</v>
      </c>
      <c r="AR166" s="71">
        <f ca="1">-IF(C166=1,(I166*'Invoer gegevens'!$I$34)*Reeksen!J166,0)</f>
        <v>0</v>
      </c>
      <c r="AS166" s="71">
        <f ca="1">-IF(C166=1,(F166+K166+L166+Q166)/2*'Invoer gegevens'!$I$35*Reeksen!L166,0)</f>
        <v>0</v>
      </c>
      <c r="AT166" s="71">
        <f ca="1">-IF(C166=1,IF(E166='Invoer gegevens'!$C$17,'Invoer gegevens'!$C$11,AD166)*Reeksen!S166*'Invoer gegevens'!$C$18*Reeksen!P166,0)</f>
        <v>0</v>
      </c>
      <c r="AU166" s="71">
        <f ca="1">-IF(C166=1,(F166+K166+L166+Q166)/2*'Invoer gegevens'!$I$36*Reeksen!H166,0)</f>
        <v>0</v>
      </c>
      <c r="AV166" s="71">
        <f>IF('Invoer gegevens'!$C$3="Basis",0,#REF!)</f>
        <v>0</v>
      </c>
      <c r="AW166" s="71">
        <f t="shared" ca="1" si="30"/>
        <v>0</v>
      </c>
      <c r="AX166" s="71">
        <f ca="1">IF(E166&lt;'Invoer gegevens'!$C$17+15,0,IF(E166&gt;'Invoer gegevens'!$C$17+215,0,AW166))</f>
        <v>0</v>
      </c>
      <c r="AY166" s="71">
        <f ca="1">AX166/(1+'Invoer gegevens'!$F$18)^($AZ166-('Invoer gegevens'!$C$17-'Invoer gegevens'!$C$16))/(1+'Invoer gegevens'!$C$39)^('Invoer gegevens'!$C$17-'Invoer gegevens'!$C$16)</f>
        <v>0</v>
      </c>
      <c r="AZ166" s="68">
        <f ca="1">IF(E166-'Invoer gegevens'!$C$17-14.5&lt;0,0,E166-'Invoer gegevens'!$C$17-14.5)</f>
        <v>146.5</v>
      </c>
    </row>
    <row r="167" spans="2:52" x14ac:dyDescent="0.25">
      <c r="B167" s="70">
        <f t="shared" si="31"/>
        <v>163</v>
      </c>
      <c r="C167" s="67">
        <f ca="1">IF(E167-'Invoer gegevens'!$C$17&lt;0,0,1)</f>
        <v>1</v>
      </c>
      <c r="D167" s="68">
        <f t="shared" si="32"/>
        <v>162.5</v>
      </c>
      <c r="E167" s="108">
        <f ca="1">IF('Invoer gegevens'!$C$16="","",E166+1)</f>
        <v>2181</v>
      </c>
      <c r="F167" s="84">
        <f ca="1">IF('Invoer gegevens'!$C$17=E167,'Invoer gegevens'!$C$10,IF(C167=1,K166,0))</f>
        <v>0</v>
      </c>
      <c r="G167" s="96">
        <f ca="1">IF(C167&gt;=1,F167*VLOOKUP(E167,Reeksen!$A$5:$B$76,2),0)</f>
        <v>0</v>
      </c>
      <c r="H167" s="84">
        <f ca="1">(1-('Invoer gegevens'!$F$20/12))*F167*MIN(Reeksen!B167,Reeksen!D167)</f>
        <v>0</v>
      </c>
      <c r="I167" s="84">
        <f>IF(Reeksen!D167&lt;Reeksen!B167,(Reeksen!B167-Reeksen!D167)*F167,0)</f>
        <v>0</v>
      </c>
      <c r="J167" s="84">
        <f ca="1">('Invoer gegevens'!$F$20/12)*F166*MIN(Reeksen!B166,Reeksen!D166)</f>
        <v>0</v>
      </c>
      <c r="K167" s="97">
        <f t="shared" ca="1" si="23"/>
        <v>0</v>
      </c>
      <c r="L167" s="84">
        <f ca="1">IF('Invoer gegevens'!$C$17=E167,0,IF(C167=1,Q166,0))</f>
        <v>0</v>
      </c>
      <c r="M167" s="96">
        <f ca="1">IF(C167&gt;=1,L167*VLOOKUP(E167,Reeksen!$A$5:$B$76,2),0)</f>
        <v>0</v>
      </c>
      <c r="N167" s="84">
        <f ca="1">(1-('Invoer gegevens'!$F$20/12))*L167*MIN(Reeksen!B167,Reeksen!D167)</f>
        <v>0</v>
      </c>
      <c r="O167" s="84">
        <f>IF(Reeksen!D167&lt;Reeksen!B167,(Reeksen!B167-Reeksen!D167)*L167,0)</f>
        <v>0</v>
      </c>
      <c r="P167" s="84">
        <f ca="1">('Invoer gegevens'!$F$20/12)*L166*MIN(Reeksen!B166,Reeksen!D166)</f>
        <v>0</v>
      </c>
      <c r="Q167" s="84">
        <f t="shared" ca="1" si="24"/>
        <v>0</v>
      </c>
      <c r="R167" s="82">
        <f ca="1">IF('Invoer gegevens'!$C$17=E167,'Invoer gegevens'!$C$11,IF(C167=1,W166,0))</f>
        <v>0</v>
      </c>
      <c r="S167" s="86">
        <f ca="1">IF(C167&gt;=1,R167*VLOOKUP(E167,Reeksen!$A$5:$B$76,2),0)</f>
        <v>0</v>
      </c>
      <c r="T167" s="84">
        <f ca="1">(1-('Invoer gegevens'!$F$20/12))*R167*MIN(Reeksen!B167,Reeksen!D167)</f>
        <v>0</v>
      </c>
      <c r="U167" s="84">
        <f>IF(Reeksen!D167&gt;=Reeksen!B167,0,IF(Reeksen!AK167&lt;=Reeksen!AE167,(Reeksen!B167-Reeksen!D167)*R167,0))</f>
        <v>0</v>
      </c>
      <c r="V167" s="86">
        <f>IF(Reeksen!D167&gt;=Reeksen!B167,0,IF(Reeksen!AK167&gt;Reeksen!AE167,(Reeksen!B167-Reeksen!D167)*R167,0))</f>
        <v>0</v>
      </c>
      <c r="W167" s="97">
        <f t="shared" ca="1" si="25"/>
        <v>0</v>
      </c>
      <c r="X167" s="98">
        <f ca="1">IF('Invoer gegevens'!$C$17=E167,'Invoer gegevens'!$C$10-'Invoer gegevens'!$C$11,IF(C167=1,AC166,0))</f>
        <v>0</v>
      </c>
      <c r="Y167" s="98">
        <f ca="1">IF(C167&gt;=1,X167*VLOOKUP(E167,Reeksen!$A$5:$B$76,2),0)</f>
        <v>0</v>
      </c>
      <c r="Z167" s="98">
        <f ca="1">(1-('Invoer gegevens'!$F$20/12))*X167*MIN(Reeksen!B167,Reeksen!D167)</f>
        <v>0</v>
      </c>
      <c r="AA167" s="98">
        <f>IF(Reeksen!D167&gt;=Reeksen!B167,0,IF(Reeksen!AK167&lt;=Reeksen!AE167,(Reeksen!B167-Reeksen!D167)*X167,0))</f>
        <v>0</v>
      </c>
      <c r="AB167" s="98">
        <f>IF(Reeksen!D167&gt;=Reeksen!B167,0,IF(Reeksen!AK167&gt;Reeksen!AE167,(Reeksen!B167-Reeksen!D167)*X167,0))</f>
        <v>0</v>
      </c>
      <c r="AC167" s="99">
        <f t="shared" ca="1" si="26"/>
        <v>0</v>
      </c>
      <c r="AD167" s="98">
        <f ca="1">IF('Invoer gegevens'!$C$17=E167,R167,IF(C167=0,0,AE166))</f>
        <v>0</v>
      </c>
      <c r="AE167" s="98">
        <f t="shared" ca="1" si="27"/>
        <v>0</v>
      </c>
      <c r="AF167" s="98">
        <f ca="1">IF('Invoer gegevens'!$C$17=E167,X167,IF(C167=0,0,AG166))</f>
        <v>0</v>
      </c>
      <c r="AG167" s="98">
        <f t="shared" ca="1" si="28"/>
        <v>0</v>
      </c>
      <c r="AH167" s="68"/>
      <c r="AI167" s="71">
        <f ca="1">IF(C167=1,Reeksen!AJ167*((F167-G167+F167)/2)*12+Reeksen!AK167*((L167-M167+L167)/2)*12,0)</f>
        <v>0</v>
      </c>
      <c r="AJ167" s="71">
        <f ca="1">-AI167*'Invoer gegevens'!$F$28</f>
        <v>0</v>
      </c>
      <c r="AK167" s="71">
        <f t="shared" ca="1" si="22"/>
        <v>0</v>
      </c>
      <c r="AL167" s="71">
        <f ca="1">IF(C167=1,Reeksen!AL167*((F167-G167+F167)/2)*12+Reeksen!AM167*((L167-M167+L167)/2)*12,0)</f>
        <v>0</v>
      </c>
      <c r="AM167" s="71">
        <f ca="1">-AL167*'Invoer gegevens'!$F$31</f>
        <v>0</v>
      </c>
      <c r="AN167" s="71">
        <f t="shared" ca="1" si="29"/>
        <v>0</v>
      </c>
      <c r="AO167" s="71">
        <f ca="1">IF(C167=1,(H167+J167+N167+P167)*Reeksen!AN167,0)</f>
        <v>0</v>
      </c>
      <c r="AP167" s="71">
        <f ca="1">-IF(C167=1,(H167+J167+N167+P167)*'Hulp - basis'!$G$550*Reeksen!H167,0)</f>
        <v>0</v>
      </c>
      <c r="AQ167" s="71">
        <f ca="1">-IF(C167=1,(F167+K167+L167+Q167)/2*'Invoer gegevens'!$I$33*Reeksen!J167,0)*2</f>
        <v>0</v>
      </c>
      <c r="AR167" s="71">
        <f ca="1">-IF(C167=1,(I167*'Invoer gegevens'!$I$34)*Reeksen!J167,0)</f>
        <v>0</v>
      </c>
      <c r="AS167" s="71">
        <f ca="1">-IF(C167=1,(F167+K167+L167+Q167)/2*'Invoer gegevens'!$I$35*Reeksen!L167,0)</f>
        <v>0</v>
      </c>
      <c r="AT167" s="71">
        <f ca="1">-IF(C167=1,IF(E167='Invoer gegevens'!$C$17,'Invoer gegevens'!$C$11,AD167)*Reeksen!S167*'Invoer gegevens'!$C$18*Reeksen!P167,0)</f>
        <v>0</v>
      </c>
      <c r="AU167" s="71">
        <f ca="1">-IF(C167=1,(F167+K167+L167+Q167)/2*'Invoer gegevens'!$I$36*Reeksen!H167,0)</f>
        <v>0</v>
      </c>
      <c r="AV167" s="71">
        <f>IF('Invoer gegevens'!$C$3="Basis",0,#REF!)</f>
        <v>0</v>
      </c>
      <c r="AW167" s="71">
        <f t="shared" ca="1" si="30"/>
        <v>0</v>
      </c>
      <c r="AX167" s="71">
        <f ca="1">IF(E167&lt;'Invoer gegevens'!$C$17+15,0,IF(E167&gt;'Invoer gegevens'!$C$17+215,0,AW167))</f>
        <v>0</v>
      </c>
      <c r="AY167" s="71">
        <f ca="1">AX167/(1+'Invoer gegevens'!$F$18)^($AZ167-('Invoer gegevens'!$C$17-'Invoer gegevens'!$C$16))/(1+'Invoer gegevens'!$C$39)^('Invoer gegevens'!$C$17-'Invoer gegevens'!$C$16)</f>
        <v>0</v>
      </c>
      <c r="AZ167" s="68">
        <f ca="1">IF(E167-'Invoer gegevens'!$C$17-14.5&lt;0,0,E167-'Invoer gegevens'!$C$17-14.5)</f>
        <v>147.5</v>
      </c>
    </row>
    <row r="168" spans="2:52" x14ac:dyDescent="0.25">
      <c r="B168" s="70">
        <f t="shared" si="31"/>
        <v>164</v>
      </c>
      <c r="C168" s="67">
        <f ca="1">IF(E168-'Invoer gegevens'!$C$17&lt;0,0,1)</f>
        <v>1</v>
      </c>
      <c r="D168" s="68">
        <f t="shared" si="32"/>
        <v>163.5</v>
      </c>
      <c r="E168" s="108">
        <f ca="1">IF('Invoer gegevens'!$C$16="","",E167+1)</f>
        <v>2182</v>
      </c>
      <c r="F168" s="84">
        <f ca="1">IF('Invoer gegevens'!$C$17=E168,'Invoer gegevens'!$C$10,IF(C168=1,K167,0))</f>
        <v>0</v>
      </c>
      <c r="G168" s="96">
        <f ca="1">IF(C168&gt;=1,F168*VLOOKUP(E168,Reeksen!$A$5:$B$76,2),0)</f>
        <v>0</v>
      </c>
      <c r="H168" s="84">
        <f ca="1">(1-('Invoer gegevens'!$F$20/12))*F168*MIN(Reeksen!B168,Reeksen!D168)</f>
        <v>0</v>
      </c>
      <c r="I168" s="84">
        <f>IF(Reeksen!D168&lt;Reeksen!B168,(Reeksen!B168-Reeksen!D168)*F168,0)</f>
        <v>0</v>
      </c>
      <c r="J168" s="84">
        <f ca="1">('Invoer gegevens'!$F$20/12)*F167*MIN(Reeksen!B167,Reeksen!D167)</f>
        <v>0</v>
      </c>
      <c r="K168" s="97">
        <f t="shared" ca="1" si="23"/>
        <v>0</v>
      </c>
      <c r="L168" s="84">
        <f ca="1">IF('Invoer gegevens'!$C$17=E168,0,IF(C168=1,Q167,0))</f>
        <v>0</v>
      </c>
      <c r="M168" s="96">
        <f ca="1">IF(C168&gt;=1,L168*VLOOKUP(E168,Reeksen!$A$5:$B$76,2),0)</f>
        <v>0</v>
      </c>
      <c r="N168" s="84">
        <f ca="1">(1-('Invoer gegevens'!$F$20/12))*L168*MIN(Reeksen!B168,Reeksen!D168)</f>
        <v>0</v>
      </c>
      <c r="O168" s="84">
        <f>IF(Reeksen!D168&lt;Reeksen!B168,(Reeksen!B168-Reeksen!D168)*L168,0)</f>
        <v>0</v>
      </c>
      <c r="P168" s="84">
        <f ca="1">('Invoer gegevens'!$F$20/12)*L167*MIN(Reeksen!B167,Reeksen!D167)</f>
        <v>0</v>
      </c>
      <c r="Q168" s="84">
        <f t="shared" ca="1" si="24"/>
        <v>0</v>
      </c>
      <c r="R168" s="82">
        <f ca="1">IF('Invoer gegevens'!$C$17=E168,'Invoer gegevens'!$C$11,IF(C168=1,W167,0))</f>
        <v>0</v>
      </c>
      <c r="S168" s="86">
        <f ca="1">IF(C168&gt;=1,R168*VLOOKUP(E168,Reeksen!$A$5:$B$76,2),0)</f>
        <v>0</v>
      </c>
      <c r="T168" s="84">
        <f ca="1">(1-('Invoer gegevens'!$F$20/12))*R168*MIN(Reeksen!B168,Reeksen!D168)</f>
        <v>0</v>
      </c>
      <c r="U168" s="84">
        <f>IF(Reeksen!D168&gt;=Reeksen!B168,0,IF(Reeksen!AK168&lt;=Reeksen!AE168,(Reeksen!B168-Reeksen!D168)*R168,0))</f>
        <v>0</v>
      </c>
      <c r="V168" s="86">
        <f>IF(Reeksen!D168&gt;=Reeksen!B168,0,IF(Reeksen!AK168&gt;Reeksen!AE168,(Reeksen!B168-Reeksen!D168)*R168,0))</f>
        <v>0</v>
      </c>
      <c r="W168" s="97">
        <f t="shared" ca="1" si="25"/>
        <v>0</v>
      </c>
      <c r="X168" s="98">
        <f ca="1">IF('Invoer gegevens'!$C$17=E168,'Invoer gegevens'!$C$10-'Invoer gegevens'!$C$11,IF(C168=1,AC167,0))</f>
        <v>0</v>
      </c>
      <c r="Y168" s="98">
        <f ca="1">IF(C168&gt;=1,X168*VLOOKUP(E168,Reeksen!$A$5:$B$76,2),0)</f>
        <v>0</v>
      </c>
      <c r="Z168" s="98">
        <f ca="1">(1-('Invoer gegevens'!$F$20/12))*X168*MIN(Reeksen!B168,Reeksen!D168)</f>
        <v>0</v>
      </c>
      <c r="AA168" s="98">
        <f>IF(Reeksen!D168&gt;=Reeksen!B168,0,IF(Reeksen!AK168&lt;=Reeksen!AE168,(Reeksen!B168-Reeksen!D168)*X168,0))</f>
        <v>0</v>
      </c>
      <c r="AB168" s="98">
        <f>IF(Reeksen!D168&gt;=Reeksen!B168,0,IF(Reeksen!AK168&gt;Reeksen!AE168,(Reeksen!B168-Reeksen!D168)*X168,0))</f>
        <v>0</v>
      </c>
      <c r="AC168" s="99">
        <f t="shared" ca="1" si="26"/>
        <v>0</v>
      </c>
      <c r="AD168" s="98">
        <f ca="1">IF('Invoer gegevens'!$C$17=E168,R168,IF(C168=0,0,AE167))</f>
        <v>0</v>
      </c>
      <c r="AE168" s="98">
        <f t="shared" ca="1" si="27"/>
        <v>0</v>
      </c>
      <c r="AF168" s="98">
        <f ca="1">IF('Invoer gegevens'!$C$17=E168,X168,IF(C168=0,0,AG167))</f>
        <v>0</v>
      </c>
      <c r="AG168" s="98">
        <f t="shared" ca="1" si="28"/>
        <v>0</v>
      </c>
      <c r="AH168" s="68"/>
      <c r="AI168" s="71">
        <f ca="1">IF(C168=1,Reeksen!AJ168*((F168-G168+F168)/2)*12+Reeksen!AK168*((L168-M168+L168)/2)*12,0)</f>
        <v>0</v>
      </c>
      <c r="AJ168" s="71">
        <f ca="1">-AI168*'Invoer gegevens'!$F$28</f>
        <v>0</v>
      </c>
      <c r="AK168" s="71">
        <f t="shared" ca="1" si="22"/>
        <v>0</v>
      </c>
      <c r="AL168" s="71">
        <f ca="1">IF(C168=1,Reeksen!AL168*((F168-G168+F168)/2)*12+Reeksen!AM168*((L168-M168+L168)/2)*12,0)</f>
        <v>0</v>
      </c>
      <c r="AM168" s="71">
        <f ca="1">-AL168*'Invoer gegevens'!$F$31</f>
        <v>0</v>
      </c>
      <c r="AN168" s="71">
        <f t="shared" ca="1" si="29"/>
        <v>0</v>
      </c>
      <c r="AO168" s="71">
        <f ca="1">IF(C168=1,(H168+J168+N168+P168)*Reeksen!AN168,0)</f>
        <v>0</v>
      </c>
      <c r="AP168" s="71">
        <f ca="1">-IF(C168=1,(H168+J168+N168+P168)*'Hulp - basis'!$G$550*Reeksen!H168,0)</f>
        <v>0</v>
      </c>
      <c r="AQ168" s="71">
        <f ca="1">-IF(C168=1,(F168+K168+L168+Q168)/2*'Invoer gegevens'!$I$33*Reeksen!J168,0)*2</f>
        <v>0</v>
      </c>
      <c r="AR168" s="71">
        <f ca="1">-IF(C168=1,(I168*'Invoer gegevens'!$I$34)*Reeksen!J168,0)</f>
        <v>0</v>
      </c>
      <c r="AS168" s="71">
        <f ca="1">-IF(C168=1,(F168+K168+L168+Q168)/2*'Invoer gegevens'!$I$35*Reeksen!L168,0)</f>
        <v>0</v>
      </c>
      <c r="AT168" s="71">
        <f ca="1">-IF(C168=1,IF(E168='Invoer gegevens'!$C$17,'Invoer gegevens'!$C$11,AD168)*Reeksen!S168*'Invoer gegevens'!$C$18*Reeksen!P168,0)</f>
        <v>0</v>
      </c>
      <c r="AU168" s="71">
        <f ca="1">-IF(C168=1,(F168+K168+L168+Q168)/2*'Invoer gegevens'!$I$36*Reeksen!H168,0)</f>
        <v>0</v>
      </c>
      <c r="AV168" s="71">
        <f>IF('Invoer gegevens'!$C$3="Basis",0,#REF!)</f>
        <v>0</v>
      </c>
      <c r="AW168" s="71">
        <f t="shared" ca="1" si="30"/>
        <v>0</v>
      </c>
      <c r="AX168" s="71">
        <f ca="1">IF(E168&lt;'Invoer gegevens'!$C$17+15,0,IF(E168&gt;'Invoer gegevens'!$C$17+215,0,AW168))</f>
        <v>0</v>
      </c>
      <c r="AY168" s="71">
        <f ca="1">AX168/(1+'Invoer gegevens'!$F$18)^($AZ168-('Invoer gegevens'!$C$17-'Invoer gegevens'!$C$16))/(1+'Invoer gegevens'!$C$39)^('Invoer gegevens'!$C$17-'Invoer gegevens'!$C$16)</f>
        <v>0</v>
      </c>
      <c r="AZ168" s="68">
        <f ca="1">IF(E168-'Invoer gegevens'!$C$17-14.5&lt;0,0,E168-'Invoer gegevens'!$C$17-14.5)</f>
        <v>148.5</v>
      </c>
    </row>
    <row r="169" spans="2:52" x14ac:dyDescent="0.25">
      <c r="B169" s="70">
        <f t="shared" si="31"/>
        <v>165</v>
      </c>
      <c r="C169" s="67">
        <f ca="1">IF(E169-'Invoer gegevens'!$C$17&lt;0,0,1)</f>
        <v>1</v>
      </c>
      <c r="D169" s="68">
        <f t="shared" si="32"/>
        <v>164.5</v>
      </c>
      <c r="E169" s="108">
        <f ca="1">IF('Invoer gegevens'!$C$16="","",E168+1)</f>
        <v>2183</v>
      </c>
      <c r="F169" s="84">
        <f ca="1">IF('Invoer gegevens'!$C$17=E169,'Invoer gegevens'!$C$10,IF(C169=1,K168,0))</f>
        <v>0</v>
      </c>
      <c r="G169" s="96">
        <f ca="1">IF(C169&gt;=1,F169*VLOOKUP(E169,Reeksen!$A$5:$B$76,2),0)</f>
        <v>0</v>
      </c>
      <c r="H169" s="84">
        <f ca="1">(1-('Invoer gegevens'!$F$20/12))*F169*MIN(Reeksen!B169,Reeksen!D169)</f>
        <v>0</v>
      </c>
      <c r="I169" s="84">
        <f>IF(Reeksen!D169&lt;Reeksen!B169,(Reeksen!B169-Reeksen!D169)*F169,0)</f>
        <v>0</v>
      </c>
      <c r="J169" s="84">
        <f ca="1">('Invoer gegevens'!$F$20/12)*F168*MIN(Reeksen!B168,Reeksen!D168)</f>
        <v>0</v>
      </c>
      <c r="K169" s="97">
        <f t="shared" ca="1" si="23"/>
        <v>0</v>
      </c>
      <c r="L169" s="84">
        <f ca="1">IF('Invoer gegevens'!$C$17=E169,0,IF(C169=1,Q168,0))</f>
        <v>0</v>
      </c>
      <c r="M169" s="96">
        <f ca="1">IF(C169&gt;=1,L169*VLOOKUP(E169,Reeksen!$A$5:$B$76,2),0)</f>
        <v>0</v>
      </c>
      <c r="N169" s="84">
        <f ca="1">(1-('Invoer gegevens'!$F$20/12))*L169*MIN(Reeksen!B169,Reeksen!D169)</f>
        <v>0</v>
      </c>
      <c r="O169" s="84">
        <f>IF(Reeksen!D169&lt;Reeksen!B169,(Reeksen!B169-Reeksen!D169)*L169,0)</f>
        <v>0</v>
      </c>
      <c r="P169" s="84">
        <f ca="1">('Invoer gegevens'!$F$20/12)*L168*MIN(Reeksen!B168,Reeksen!D168)</f>
        <v>0</v>
      </c>
      <c r="Q169" s="84">
        <f t="shared" ca="1" si="24"/>
        <v>0</v>
      </c>
      <c r="R169" s="82">
        <f ca="1">IF('Invoer gegevens'!$C$17=E169,'Invoer gegevens'!$C$11,IF(C169=1,W168,0))</f>
        <v>0</v>
      </c>
      <c r="S169" s="86">
        <f ca="1">IF(C169&gt;=1,R169*VLOOKUP(E169,Reeksen!$A$5:$B$76,2),0)</f>
        <v>0</v>
      </c>
      <c r="T169" s="84">
        <f ca="1">(1-('Invoer gegevens'!$F$20/12))*R169*MIN(Reeksen!B169,Reeksen!D169)</f>
        <v>0</v>
      </c>
      <c r="U169" s="84">
        <f>IF(Reeksen!D169&gt;=Reeksen!B169,0,IF(Reeksen!AK169&lt;=Reeksen!AE169,(Reeksen!B169-Reeksen!D169)*R169,0))</f>
        <v>0</v>
      </c>
      <c r="V169" s="86">
        <f>IF(Reeksen!D169&gt;=Reeksen!B169,0,IF(Reeksen!AK169&gt;Reeksen!AE169,(Reeksen!B169-Reeksen!D169)*R169,0))</f>
        <v>0</v>
      </c>
      <c r="W169" s="97">
        <f t="shared" ca="1" si="25"/>
        <v>0</v>
      </c>
      <c r="X169" s="98">
        <f ca="1">IF('Invoer gegevens'!$C$17=E169,'Invoer gegevens'!$C$10-'Invoer gegevens'!$C$11,IF(C169=1,AC168,0))</f>
        <v>0</v>
      </c>
      <c r="Y169" s="98">
        <f ca="1">IF(C169&gt;=1,X169*VLOOKUP(E169,Reeksen!$A$5:$B$76,2),0)</f>
        <v>0</v>
      </c>
      <c r="Z169" s="98">
        <f ca="1">(1-('Invoer gegevens'!$F$20/12))*X169*MIN(Reeksen!B169,Reeksen!D169)</f>
        <v>0</v>
      </c>
      <c r="AA169" s="98">
        <f>IF(Reeksen!D169&gt;=Reeksen!B169,0,IF(Reeksen!AK169&lt;=Reeksen!AE169,(Reeksen!B169-Reeksen!D169)*X169,0))</f>
        <v>0</v>
      </c>
      <c r="AB169" s="98">
        <f>IF(Reeksen!D169&gt;=Reeksen!B169,0,IF(Reeksen!AK169&gt;Reeksen!AE169,(Reeksen!B169-Reeksen!D169)*X169,0))</f>
        <v>0</v>
      </c>
      <c r="AC169" s="99">
        <f t="shared" ca="1" si="26"/>
        <v>0</v>
      </c>
      <c r="AD169" s="98">
        <f ca="1">IF('Invoer gegevens'!$C$17=E169,R169,IF(C169=0,0,AE168))</f>
        <v>0</v>
      </c>
      <c r="AE169" s="98">
        <f t="shared" ca="1" si="27"/>
        <v>0</v>
      </c>
      <c r="AF169" s="98">
        <f ca="1">IF('Invoer gegevens'!$C$17=E169,X169,IF(C169=0,0,AG168))</f>
        <v>0</v>
      </c>
      <c r="AG169" s="98">
        <f t="shared" ca="1" si="28"/>
        <v>0</v>
      </c>
      <c r="AH169" s="68"/>
      <c r="AI169" s="71">
        <f ca="1">IF(C169=1,Reeksen!AJ169*((F169-G169+F169)/2)*12+Reeksen!AK169*((L169-M169+L169)/2)*12,0)</f>
        <v>0</v>
      </c>
      <c r="AJ169" s="71">
        <f ca="1">-AI169*'Invoer gegevens'!$F$28</f>
        <v>0</v>
      </c>
      <c r="AK169" s="71">
        <f t="shared" ca="1" si="22"/>
        <v>0</v>
      </c>
      <c r="AL169" s="71">
        <f ca="1">IF(C169=1,Reeksen!AL169*((F169-G169+F169)/2)*12+Reeksen!AM169*((L169-M169+L169)/2)*12,0)</f>
        <v>0</v>
      </c>
      <c r="AM169" s="71">
        <f ca="1">-AL169*'Invoer gegevens'!$F$31</f>
        <v>0</v>
      </c>
      <c r="AN169" s="71">
        <f t="shared" ca="1" si="29"/>
        <v>0</v>
      </c>
      <c r="AO169" s="71">
        <f ca="1">IF(C169=1,(H169+J169+N169+P169)*Reeksen!AN169,0)</f>
        <v>0</v>
      </c>
      <c r="AP169" s="71">
        <f ca="1">-IF(C169=1,(H169+J169+N169+P169)*'Hulp - basis'!$G$550*Reeksen!H169,0)</f>
        <v>0</v>
      </c>
      <c r="AQ169" s="71">
        <f ca="1">-IF(C169=1,(F169+K169+L169+Q169)/2*'Invoer gegevens'!$I$33*Reeksen!J169,0)*2</f>
        <v>0</v>
      </c>
      <c r="AR169" s="71">
        <f ca="1">-IF(C169=1,(I169*'Invoer gegevens'!$I$34)*Reeksen!J169,0)</f>
        <v>0</v>
      </c>
      <c r="AS169" s="71">
        <f ca="1">-IF(C169=1,(F169+K169+L169+Q169)/2*'Invoer gegevens'!$I$35*Reeksen!L169,0)</f>
        <v>0</v>
      </c>
      <c r="AT169" s="71">
        <f ca="1">-IF(C169=1,IF(E169='Invoer gegevens'!$C$17,'Invoer gegevens'!$C$11,AD169)*Reeksen!S169*'Invoer gegevens'!$C$18*Reeksen!P169,0)</f>
        <v>0</v>
      </c>
      <c r="AU169" s="71">
        <f ca="1">-IF(C169=1,(F169+K169+L169+Q169)/2*'Invoer gegevens'!$I$36*Reeksen!H169,0)</f>
        <v>0</v>
      </c>
      <c r="AV169" s="71">
        <f>IF('Invoer gegevens'!$C$3="Basis",0,#REF!)</f>
        <v>0</v>
      </c>
      <c r="AW169" s="71">
        <f t="shared" ca="1" si="30"/>
        <v>0</v>
      </c>
      <c r="AX169" s="71">
        <f ca="1">IF(E169&lt;'Invoer gegevens'!$C$17+15,0,IF(E169&gt;'Invoer gegevens'!$C$17+215,0,AW169))</f>
        <v>0</v>
      </c>
      <c r="AY169" s="71">
        <f ca="1">AX169/(1+'Invoer gegevens'!$F$18)^($AZ169-('Invoer gegevens'!$C$17-'Invoer gegevens'!$C$16))/(1+'Invoer gegevens'!$C$39)^('Invoer gegevens'!$C$17-'Invoer gegevens'!$C$16)</f>
        <v>0</v>
      </c>
      <c r="AZ169" s="68">
        <f ca="1">IF(E169-'Invoer gegevens'!$C$17-14.5&lt;0,0,E169-'Invoer gegevens'!$C$17-14.5)</f>
        <v>149.5</v>
      </c>
    </row>
    <row r="170" spans="2:52" x14ac:dyDescent="0.25">
      <c r="B170" s="70">
        <f t="shared" si="31"/>
        <v>166</v>
      </c>
      <c r="C170" s="67">
        <f ca="1">IF(E170-'Invoer gegevens'!$C$17&lt;0,0,1)</f>
        <v>1</v>
      </c>
      <c r="D170" s="68">
        <f t="shared" si="32"/>
        <v>165.5</v>
      </c>
      <c r="E170" s="108">
        <f ca="1">IF('Invoer gegevens'!$C$16="","",E169+1)</f>
        <v>2184</v>
      </c>
      <c r="F170" s="84">
        <f ca="1">IF('Invoer gegevens'!$C$17=E170,'Invoer gegevens'!$C$10,IF(C170=1,K169,0))</f>
        <v>0</v>
      </c>
      <c r="G170" s="96">
        <f ca="1">IF(C170&gt;=1,F170*VLOOKUP(E170,Reeksen!$A$5:$B$76,2),0)</f>
        <v>0</v>
      </c>
      <c r="H170" s="84">
        <f ca="1">(1-('Invoer gegevens'!$F$20/12))*F170*MIN(Reeksen!B170,Reeksen!D170)</f>
        <v>0</v>
      </c>
      <c r="I170" s="84">
        <f>IF(Reeksen!D170&lt;Reeksen!B170,(Reeksen!B170-Reeksen!D170)*F170,0)</f>
        <v>0</v>
      </c>
      <c r="J170" s="84">
        <f ca="1">('Invoer gegevens'!$F$20/12)*F169*MIN(Reeksen!B169,Reeksen!D169)</f>
        <v>0</v>
      </c>
      <c r="K170" s="97">
        <f t="shared" ca="1" si="23"/>
        <v>0</v>
      </c>
      <c r="L170" s="84">
        <f ca="1">IF('Invoer gegevens'!$C$17=E170,0,IF(C170=1,Q169,0))</f>
        <v>0</v>
      </c>
      <c r="M170" s="96">
        <f ca="1">IF(C170&gt;=1,L170*VLOOKUP(E170,Reeksen!$A$5:$B$76,2),0)</f>
        <v>0</v>
      </c>
      <c r="N170" s="84">
        <f ca="1">(1-('Invoer gegevens'!$F$20/12))*L170*MIN(Reeksen!B170,Reeksen!D170)</f>
        <v>0</v>
      </c>
      <c r="O170" s="84">
        <f>IF(Reeksen!D170&lt;Reeksen!B170,(Reeksen!B170-Reeksen!D170)*L170,0)</f>
        <v>0</v>
      </c>
      <c r="P170" s="84">
        <f ca="1">('Invoer gegevens'!$F$20/12)*L169*MIN(Reeksen!B169,Reeksen!D169)</f>
        <v>0</v>
      </c>
      <c r="Q170" s="84">
        <f t="shared" ca="1" si="24"/>
        <v>0</v>
      </c>
      <c r="R170" s="82">
        <f ca="1">IF('Invoer gegevens'!$C$17=E170,'Invoer gegevens'!$C$11,IF(C170=1,W169,0))</f>
        <v>0</v>
      </c>
      <c r="S170" s="86">
        <f ca="1">IF(C170&gt;=1,R170*VLOOKUP(E170,Reeksen!$A$5:$B$76,2),0)</f>
        <v>0</v>
      </c>
      <c r="T170" s="84">
        <f ca="1">(1-('Invoer gegevens'!$F$20/12))*R170*MIN(Reeksen!B170,Reeksen!D170)</f>
        <v>0</v>
      </c>
      <c r="U170" s="84">
        <f>IF(Reeksen!D170&gt;=Reeksen!B170,0,IF(Reeksen!AK170&lt;=Reeksen!AE170,(Reeksen!B170-Reeksen!D170)*R170,0))</f>
        <v>0</v>
      </c>
      <c r="V170" s="86">
        <f>IF(Reeksen!D170&gt;=Reeksen!B170,0,IF(Reeksen!AK170&gt;Reeksen!AE170,(Reeksen!B170-Reeksen!D170)*R170,0))</f>
        <v>0</v>
      </c>
      <c r="W170" s="97">
        <f t="shared" ca="1" si="25"/>
        <v>0</v>
      </c>
      <c r="X170" s="98">
        <f ca="1">IF('Invoer gegevens'!$C$17=E170,'Invoer gegevens'!$C$10-'Invoer gegevens'!$C$11,IF(C170=1,AC169,0))</f>
        <v>0</v>
      </c>
      <c r="Y170" s="98">
        <f ca="1">IF(C170&gt;=1,X170*VLOOKUP(E170,Reeksen!$A$5:$B$76,2),0)</f>
        <v>0</v>
      </c>
      <c r="Z170" s="98">
        <f ca="1">(1-('Invoer gegevens'!$F$20/12))*X170*MIN(Reeksen!B170,Reeksen!D170)</f>
        <v>0</v>
      </c>
      <c r="AA170" s="98">
        <f>IF(Reeksen!D170&gt;=Reeksen!B170,0,IF(Reeksen!AK170&lt;=Reeksen!AE170,(Reeksen!B170-Reeksen!D170)*X170,0))</f>
        <v>0</v>
      </c>
      <c r="AB170" s="98">
        <f>IF(Reeksen!D170&gt;=Reeksen!B170,0,IF(Reeksen!AK170&gt;Reeksen!AE170,(Reeksen!B170-Reeksen!D170)*X170,0))</f>
        <v>0</v>
      </c>
      <c r="AC170" s="99">
        <f t="shared" ca="1" si="26"/>
        <v>0</v>
      </c>
      <c r="AD170" s="98">
        <f ca="1">IF('Invoer gegevens'!$C$17=E170,R170,IF(C170=0,0,AE169))</f>
        <v>0</v>
      </c>
      <c r="AE170" s="98">
        <f t="shared" ca="1" si="27"/>
        <v>0</v>
      </c>
      <c r="AF170" s="98">
        <f ca="1">IF('Invoer gegevens'!$C$17=E170,X170,IF(C170=0,0,AG169))</f>
        <v>0</v>
      </c>
      <c r="AG170" s="98">
        <f t="shared" ca="1" si="28"/>
        <v>0</v>
      </c>
      <c r="AH170" s="68"/>
      <c r="AI170" s="71">
        <f ca="1">IF(C170=1,Reeksen!AJ170*((F170-G170+F170)/2)*12+Reeksen!AK170*((L170-M170+L170)/2)*12,0)</f>
        <v>0</v>
      </c>
      <c r="AJ170" s="71">
        <f ca="1">-AI170*'Invoer gegevens'!$F$28</f>
        <v>0</v>
      </c>
      <c r="AK170" s="71">
        <f t="shared" ca="1" si="22"/>
        <v>0</v>
      </c>
      <c r="AL170" s="71">
        <f ca="1">IF(C170=1,Reeksen!AL170*((F170-G170+F170)/2)*12+Reeksen!AM170*((L170-M170+L170)/2)*12,0)</f>
        <v>0</v>
      </c>
      <c r="AM170" s="71">
        <f ca="1">-AL170*'Invoer gegevens'!$F$31</f>
        <v>0</v>
      </c>
      <c r="AN170" s="71">
        <f t="shared" ca="1" si="29"/>
        <v>0</v>
      </c>
      <c r="AO170" s="71">
        <f ca="1">IF(C170=1,(H170+J170+N170+P170)*Reeksen!AN170,0)</f>
        <v>0</v>
      </c>
      <c r="AP170" s="71">
        <f ca="1">-IF(C170=1,(H170+J170+N170+P170)*'Hulp - basis'!$G$550*Reeksen!H170,0)</f>
        <v>0</v>
      </c>
      <c r="AQ170" s="71">
        <f ca="1">-IF(C170=1,(F170+K170+L170+Q170)/2*'Invoer gegevens'!$I$33*Reeksen!J170,0)*2</f>
        <v>0</v>
      </c>
      <c r="AR170" s="71">
        <f ca="1">-IF(C170=1,(I170*'Invoer gegevens'!$I$34)*Reeksen!J170,0)</f>
        <v>0</v>
      </c>
      <c r="AS170" s="71">
        <f ca="1">-IF(C170=1,(F170+K170+L170+Q170)/2*'Invoer gegevens'!$I$35*Reeksen!L170,0)</f>
        <v>0</v>
      </c>
      <c r="AT170" s="71">
        <f ca="1">-IF(C170=1,IF(E170='Invoer gegevens'!$C$17,'Invoer gegevens'!$C$11,AD170)*Reeksen!S170*'Invoer gegevens'!$C$18*Reeksen!P170,0)</f>
        <v>0</v>
      </c>
      <c r="AU170" s="71">
        <f ca="1">-IF(C170=1,(F170+K170+L170+Q170)/2*'Invoer gegevens'!$I$36*Reeksen!H170,0)</f>
        <v>0</v>
      </c>
      <c r="AV170" s="71">
        <f>IF('Invoer gegevens'!$C$3="Basis",0,#REF!)</f>
        <v>0</v>
      </c>
      <c r="AW170" s="71">
        <f t="shared" ca="1" si="30"/>
        <v>0</v>
      </c>
      <c r="AX170" s="71">
        <f ca="1">IF(E170&lt;'Invoer gegevens'!$C$17+15,0,IF(E170&gt;'Invoer gegevens'!$C$17+215,0,AW170))</f>
        <v>0</v>
      </c>
      <c r="AY170" s="71">
        <f ca="1">AX170/(1+'Invoer gegevens'!$F$18)^($AZ170-('Invoer gegevens'!$C$17-'Invoer gegevens'!$C$16))/(1+'Invoer gegevens'!$C$39)^('Invoer gegevens'!$C$17-'Invoer gegevens'!$C$16)</f>
        <v>0</v>
      </c>
      <c r="AZ170" s="68">
        <f ca="1">IF(E170-'Invoer gegevens'!$C$17-14.5&lt;0,0,E170-'Invoer gegevens'!$C$17-14.5)</f>
        <v>150.5</v>
      </c>
    </row>
    <row r="171" spans="2:52" x14ac:dyDescent="0.25">
      <c r="B171" s="70">
        <f t="shared" si="31"/>
        <v>167</v>
      </c>
      <c r="C171" s="67">
        <f ca="1">IF(E171-'Invoer gegevens'!$C$17&lt;0,0,1)</f>
        <v>1</v>
      </c>
      <c r="D171" s="68">
        <f t="shared" si="32"/>
        <v>166.5</v>
      </c>
      <c r="E171" s="108">
        <f ca="1">IF('Invoer gegevens'!$C$16="","",E170+1)</f>
        <v>2185</v>
      </c>
      <c r="F171" s="84">
        <f ca="1">IF('Invoer gegevens'!$C$17=E171,'Invoer gegevens'!$C$10,IF(C171=1,K170,0))</f>
        <v>0</v>
      </c>
      <c r="G171" s="96">
        <f ca="1">IF(C171&gt;=1,F171*VLOOKUP(E171,Reeksen!$A$5:$B$76,2),0)</f>
        <v>0</v>
      </c>
      <c r="H171" s="84">
        <f ca="1">(1-('Invoer gegevens'!$F$20/12))*F171*MIN(Reeksen!B171,Reeksen!D171)</f>
        <v>0</v>
      </c>
      <c r="I171" s="84">
        <f>IF(Reeksen!D171&lt;Reeksen!B171,(Reeksen!B171-Reeksen!D171)*F171,0)</f>
        <v>0</v>
      </c>
      <c r="J171" s="84">
        <f ca="1">('Invoer gegevens'!$F$20/12)*F170*MIN(Reeksen!B170,Reeksen!D170)</f>
        <v>0</v>
      </c>
      <c r="K171" s="97">
        <f t="shared" ca="1" si="23"/>
        <v>0</v>
      </c>
      <c r="L171" s="84">
        <f ca="1">IF('Invoer gegevens'!$C$17=E171,0,IF(C171=1,Q170,0))</f>
        <v>0</v>
      </c>
      <c r="M171" s="96">
        <f ca="1">IF(C171&gt;=1,L171*VLOOKUP(E171,Reeksen!$A$5:$B$76,2),0)</f>
        <v>0</v>
      </c>
      <c r="N171" s="84">
        <f ca="1">(1-('Invoer gegevens'!$F$20/12))*L171*MIN(Reeksen!B171,Reeksen!D171)</f>
        <v>0</v>
      </c>
      <c r="O171" s="84">
        <f>IF(Reeksen!D171&lt;Reeksen!B171,(Reeksen!B171-Reeksen!D171)*L171,0)</f>
        <v>0</v>
      </c>
      <c r="P171" s="84">
        <f ca="1">('Invoer gegevens'!$F$20/12)*L170*MIN(Reeksen!B170,Reeksen!D170)</f>
        <v>0</v>
      </c>
      <c r="Q171" s="84">
        <f t="shared" ca="1" si="24"/>
        <v>0</v>
      </c>
      <c r="R171" s="82">
        <f ca="1">IF('Invoer gegevens'!$C$17=E171,'Invoer gegevens'!$C$11,IF(C171=1,W170,0))</f>
        <v>0</v>
      </c>
      <c r="S171" s="86">
        <f ca="1">IF(C171&gt;=1,R171*VLOOKUP(E171,Reeksen!$A$5:$B$76,2),0)</f>
        <v>0</v>
      </c>
      <c r="T171" s="84">
        <f ca="1">(1-('Invoer gegevens'!$F$20/12))*R171*MIN(Reeksen!B171,Reeksen!D171)</f>
        <v>0</v>
      </c>
      <c r="U171" s="84">
        <f>IF(Reeksen!D171&gt;=Reeksen!B171,0,IF(Reeksen!AK171&lt;=Reeksen!AE171,(Reeksen!B171-Reeksen!D171)*R171,0))</f>
        <v>0</v>
      </c>
      <c r="V171" s="86">
        <f>IF(Reeksen!D171&gt;=Reeksen!B171,0,IF(Reeksen!AK171&gt;Reeksen!AE171,(Reeksen!B171-Reeksen!D171)*R171,0))</f>
        <v>0</v>
      </c>
      <c r="W171" s="97">
        <f t="shared" ca="1" si="25"/>
        <v>0</v>
      </c>
      <c r="X171" s="98">
        <f ca="1">IF('Invoer gegevens'!$C$17=E171,'Invoer gegevens'!$C$10-'Invoer gegevens'!$C$11,IF(C171=1,AC170,0))</f>
        <v>0</v>
      </c>
      <c r="Y171" s="98">
        <f ca="1">IF(C171&gt;=1,X171*VLOOKUP(E171,Reeksen!$A$5:$B$76,2),0)</f>
        <v>0</v>
      </c>
      <c r="Z171" s="98">
        <f ca="1">(1-('Invoer gegevens'!$F$20/12))*X171*MIN(Reeksen!B171,Reeksen!D171)</f>
        <v>0</v>
      </c>
      <c r="AA171" s="98">
        <f>IF(Reeksen!D171&gt;=Reeksen!B171,0,IF(Reeksen!AK171&lt;=Reeksen!AE171,(Reeksen!B171-Reeksen!D171)*X171,0))</f>
        <v>0</v>
      </c>
      <c r="AB171" s="98">
        <f>IF(Reeksen!D171&gt;=Reeksen!B171,0,IF(Reeksen!AK171&gt;Reeksen!AE171,(Reeksen!B171-Reeksen!D171)*X171,0))</f>
        <v>0</v>
      </c>
      <c r="AC171" s="99">
        <f t="shared" ca="1" si="26"/>
        <v>0</v>
      </c>
      <c r="AD171" s="98">
        <f ca="1">IF('Invoer gegevens'!$C$17=E171,R171,IF(C171=0,0,AE170))</f>
        <v>0</v>
      </c>
      <c r="AE171" s="98">
        <f t="shared" ca="1" si="27"/>
        <v>0</v>
      </c>
      <c r="AF171" s="98">
        <f ca="1">IF('Invoer gegevens'!$C$17=E171,X171,IF(C171=0,0,AG170))</f>
        <v>0</v>
      </c>
      <c r="AG171" s="98">
        <f t="shared" ca="1" si="28"/>
        <v>0</v>
      </c>
      <c r="AH171" s="68"/>
      <c r="AI171" s="71">
        <f ca="1">IF(C171=1,Reeksen!AJ171*((F171-G171+F171)/2)*12+Reeksen!AK171*((L171-M171+L171)/2)*12,0)</f>
        <v>0</v>
      </c>
      <c r="AJ171" s="71">
        <f ca="1">-AI171*'Invoer gegevens'!$F$28</f>
        <v>0</v>
      </c>
      <c r="AK171" s="71">
        <f t="shared" ca="1" si="22"/>
        <v>0</v>
      </c>
      <c r="AL171" s="71">
        <f ca="1">IF(C171=1,Reeksen!AL171*((F171-G171+F171)/2)*12+Reeksen!AM171*((L171-M171+L171)/2)*12,0)</f>
        <v>0</v>
      </c>
      <c r="AM171" s="71">
        <f ca="1">-AL171*'Invoer gegevens'!$F$31</f>
        <v>0</v>
      </c>
      <c r="AN171" s="71">
        <f t="shared" ca="1" si="29"/>
        <v>0</v>
      </c>
      <c r="AO171" s="71">
        <f ca="1">IF(C171=1,(H171+J171+N171+P171)*Reeksen!AN171,0)</f>
        <v>0</v>
      </c>
      <c r="AP171" s="71">
        <f ca="1">-IF(C171=1,(H171+J171+N171+P171)*'Hulp - basis'!$G$550*Reeksen!H171,0)</f>
        <v>0</v>
      </c>
      <c r="AQ171" s="71">
        <f ca="1">-IF(C171=1,(F171+K171+L171+Q171)/2*'Invoer gegevens'!$I$33*Reeksen!J171,0)*2</f>
        <v>0</v>
      </c>
      <c r="AR171" s="71">
        <f ca="1">-IF(C171=1,(I171*'Invoer gegevens'!$I$34)*Reeksen!J171,0)</f>
        <v>0</v>
      </c>
      <c r="AS171" s="71">
        <f ca="1">-IF(C171=1,(F171+K171+L171+Q171)/2*'Invoer gegevens'!$I$35*Reeksen!L171,0)</f>
        <v>0</v>
      </c>
      <c r="AT171" s="71">
        <f ca="1">-IF(C171=1,IF(E171='Invoer gegevens'!$C$17,'Invoer gegevens'!$C$11,AD171)*Reeksen!S171*'Invoer gegevens'!$C$18*Reeksen!P171,0)</f>
        <v>0</v>
      </c>
      <c r="AU171" s="71">
        <f ca="1">-IF(C171=1,(F171+K171+L171+Q171)/2*'Invoer gegevens'!$I$36*Reeksen!H171,0)</f>
        <v>0</v>
      </c>
      <c r="AV171" s="71">
        <f>IF('Invoer gegevens'!$C$3="Basis",0,#REF!)</f>
        <v>0</v>
      </c>
      <c r="AW171" s="71">
        <f t="shared" ca="1" si="30"/>
        <v>0</v>
      </c>
      <c r="AX171" s="71">
        <f ca="1">IF(E171&lt;'Invoer gegevens'!$C$17+15,0,IF(E171&gt;'Invoer gegevens'!$C$17+215,0,AW171))</f>
        <v>0</v>
      </c>
      <c r="AY171" s="71">
        <f ca="1">AX171/(1+'Invoer gegevens'!$F$18)^($AZ171-('Invoer gegevens'!$C$17-'Invoer gegevens'!$C$16))/(1+'Invoer gegevens'!$C$39)^('Invoer gegevens'!$C$17-'Invoer gegevens'!$C$16)</f>
        <v>0</v>
      </c>
      <c r="AZ171" s="68">
        <f ca="1">IF(E171-'Invoer gegevens'!$C$17-14.5&lt;0,0,E171-'Invoer gegevens'!$C$17-14.5)</f>
        <v>151.5</v>
      </c>
    </row>
    <row r="172" spans="2:52" x14ac:dyDescent="0.25">
      <c r="B172" s="70">
        <f t="shared" si="31"/>
        <v>168</v>
      </c>
      <c r="C172" s="67">
        <f ca="1">IF(E172-'Invoer gegevens'!$C$17&lt;0,0,1)</f>
        <v>1</v>
      </c>
      <c r="D172" s="68">
        <f t="shared" si="32"/>
        <v>167.5</v>
      </c>
      <c r="E172" s="108">
        <f ca="1">IF('Invoer gegevens'!$C$16="","",E171+1)</f>
        <v>2186</v>
      </c>
      <c r="F172" s="84">
        <f ca="1">IF('Invoer gegevens'!$C$17=E172,'Invoer gegevens'!$C$10,IF(C172=1,K171,0))</f>
        <v>0</v>
      </c>
      <c r="G172" s="96">
        <f ca="1">IF(C172&gt;=1,F172*VLOOKUP(E172,Reeksen!$A$5:$B$76,2),0)</f>
        <v>0</v>
      </c>
      <c r="H172" s="84">
        <f ca="1">(1-('Invoer gegevens'!$F$20/12))*F172*MIN(Reeksen!B172,Reeksen!D172)</f>
        <v>0</v>
      </c>
      <c r="I172" s="84">
        <f>IF(Reeksen!D172&lt;Reeksen!B172,(Reeksen!B172-Reeksen!D172)*F172,0)</f>
        <v>0</v>
      </c>
      <c r="J172" s="84">
        <f ca="1">('Invoer gegevens'!$F$20/12)*F171*MIN(Reeksen!B171,Reeksen!D171)</f>
        <v>0</v>
      </c>
      <c r="K172" s="97">
        <f t="shared" ca="1" si="23"/>
        <v>0</v>
      </c>
      <c r="L172" s="84">
        <f ca="1">IF('Invoer gegevens'!$C$17=E172,0,IF(C172=1,Q171,0))</f>
        <v>0</v>
      </c>
      <c r="M172" s="96">
        <f ca="1">IF(C172&gt;=1,L172*VLOOKUP(E172,Reeksen!$A$5:$B$76,2),0)</f>
        <v>0</v>
      </c>
      <c r="N172" s="84">
        <f ca="1">(1-('Invoer gegevens'!$F$20/12))*L172*MIN(Reeksen!B172,Reeksen!D172)</f>
        <v>0</v>
      </c>
      <c r="O172" s="84">
        <f>IF(Reeksen!D172&lt;Reeksen!B172,(Reeksen!B172-Reeksen!D172)*L172,0)</f>
        <v>0</v>
      </c>
      <c r="P172" s="84">
        <f ca="1">('Invoer gegevens'!$F$20/12)*L171*MIN(Reeksen!B171,Reeksen!D171)</f>
        <v>0</v>
      </c>
      <c r="Q172" s="84">
        <f t="shared" ca="1" si="24"/>
        <v>0</v>
      </c>
      <c r="R172" s="82">
        <f ca="1">IF('Invoer gegevens'!$C$17=E172,'Invoer gegevens'!$C$11,IF(C172=1,W171,0))</f>
        <v>0</v>
      </c>
      <c r="S172" s="86">
        <f ca="1">IF(C172&gt;=1,R172*VLOOKUP(E172,Reeksen!$A$5:$B$76,2),0)</f>
        <v>0</v>
      </c>
      <c r="T172" s="84">
        <f ca="1">(1-('Invoer gegevens'!$F$20/12))*R172*MIN(Reeksen!B172,Reeksen!D172)</f>
        <v>0</v>
      </c>
      <c r="U172" s="84">
        <f>IF(Reeksen!D172&gt;=Reeksen!B172,0,IF(Reeksen!AK172&lt;=Reeksen!AE172,(Reeksen!B172-Reeksen!D172)*R172,0))</f>
        <v>0</v>
      </c>
      <c r="V172" s="86">
        <f>IF(Reeksen!D172&gt;=Reeksen!B172,0,IF(Reeksen!AK172&gt;Reeksen!AE172,(Reeksen!B172-Reeksen!D172)*R172,0))</f>
        <v>0</v>
      </c>
      <c r="W172" s="97">
        <f t="shared" ca="1" si="25"/>
        <v>0</v>
      </c>
      <c r="X172" s="98">
        <f ca="1">IF('Invoer gegevens'!$C$17=E172,'Invoer gegevens'!$C$10-'Invoer gegevens'!$C$11,IF(C172=1,AC171,0))</f>
        <v>0</v>
      </c>
      <c r="Y172" s="98">
        <f ca="1">IF(C172&gt;=1,X172*VLOOKUP(E172,Reeksen!$A$5:$B$76,2),0)</f>
        <v>0</v>
      </c>
      <c r="Z172" s="98">
        <f ca="1">(1-('Invoer gegevens'!$F$20/12))*X172*MIN(Reeksen!B172,Reeksen!D172)</f>
        <v>0</v>
      </c>
      <c r="AA172" s="98">
        <f>IF(Reeksen!D172&gt;=Reeksen!B172,0,IF(Reeksen!AK172&lt;=Reeksen!AE172,(Reeksen!B172-Reeksen!D172)*X172,0))</f>
        <v>0</v>
      </c>
      <c r="AB172" s="98">
        <f>IF(Reeksen!D172&gt;=Reeksen!B172,0,IF(Reeksen!AK172&gt;Reeksen!AE172,(Reeksen!B172-Reeksen!D172)*X172,0))</f>
        <v>0</v>
      </c>
      <c r="AC172" s="99">
        <f t="shared" ca="1" si="26"/>
        <v>0</v>
      </c>
      <c r="AD172" s="98">
        <f ca="1">IF('Invoer gegevens'!$C$17=E172,R172,IF(C172=0,0,AE171))</f>
        <v>0</v>
      </c>
      <c r="AE172" s="98">
        <f t="shared" ca="1" si="27"/>
        <v>0</v>
      </c>
      <c r="AF172" s="98">
        <f ca="1">IF('Invoer gegevens'!$C$17=E172,X172,IF(C172=0,0,AG171))</f>
        <v>0</v>
      </c>
      <c r="AG172" s="98">
        <f t="shared" ca="1" si="28"/>
        <v>0</v>
      </c>
      <c r="AH172" s="68"/>
      <c r="AI172" s="71">
        <f ca="1">IF(C172=1,Reeksen!AJ172*((F172-G172+F172)/2)*12+Reeksen!AK172*((L172-M172+L172)/2)*12,0)</f>
        <v>0</v>
      </c>
      <c r="AJ172" s="71">
        <f ca="1">-AI172*'Invoer gegevens'!$F$28</f>
        <v>0</v>
      </c>
      <c r="AK172" s="71">
        <f t="shared" ca="1" si="22"/>
        <v>0</v>
      </c>
      <c r="AL172" s="71">
        <f ca="1">IF(C172=1,Reeksen!AL172*((F172-G172+F172)/2)*12+Reeksen!AM172*((L172-M172+L172)/2)*12,0)</f>
        <v>0</v>
      </c>
      <c r="AM172" s="71">
        <f ca="1">-AL172*'Invoer gegevens'!$F$31</f>
        <v>0</v>
      </c>
      <c r="AN172" s="71">
        <f t="shared" ca="1" si="29"/>
        <v>0</v>
      </c>
      <c r="AO172" s="71">
        <f ca="1">IF(C172=1,(H172+J172+N172+P172)*Reeksen!AN172,0)</f>
        <v>0</v>
      </c>
      <c r="AP172" s="71">
        <f ca="1">-IF(C172=1,(H172+J172+N172+P172)*'Hulp - basis'!$G$550*Reeksen!H172,0)</f>
        <v>0</v>
      </c>
      <c r="AQ172" s="71">
        <f ca="1">-IF(C172=1,(F172+K172+L172+Q172)/2*'Invoer gegevens'!$I$33*Reeksen!J172,0)*2</f>
        <v>0</v>
      </c>
      <c r="AR172" s="71">
        <f ca="1">-IF(C172=1,(I172*'Invoer gegevens'!$I$34)*Reeksen!J172,0)</f>
        <v>0</v>
      </c>
      <c r="AS172" s="71">
        <f ca="1">-IF(C172=1,(F172+K172+L172+Q172)/2*'Invoer gegevens'!$I$35*Reeksen!L172,0)</f>
        <v>0</v>
      </c>
      <c r="AT172" s="71">
        <f ca="1">-IF(C172=1,IF(E172='Invoer gegevens'!$C$17,'Invoer gegevens'!$C$11,AD172)*Reeksen!S172*'Invoer gegevens'!$C$18*Reeksen!P172,0)</f>
        <v>0</v>
      </c>
      <c r="AU172" s="71">
        <f ca="1">-IF(C172=1,(F172+K172+L172+Q172)/2*'Invoer gegevens'!$I$36*Reeksen!H172,0)</f>
        <v>0</v>
      </c>
      <c r="AV172" s="71">
        <f>IF('Invoer gegevens'!$C$3="Basis",0,#REF!)</f>
        <v>0</v>
      </c>
      <c r="AW172" s="71">
        <f t="shared" ca="1" si="30"/>
        <v>0</v>
      </c>
      <c r="AX172" s="71">
        <f ca="1">IF(E172&lt;'Invoer gegevens'!$C$17+15,0,IF(E172&gt;'Invoer gegevens'!$C$17+215,0,AW172))</f>
        <v>0</v>
      </c>
      <c r="AY172" s="71">
        <f ca="1">AX172/(1+'Invoer gegevens'!$F$18)^($AZ172-('Invoer gegevens'!$C$17-'Invoer gegevens'!$C$16))/(1+'Invoer gegevens'!$C$39)^('Invoer gegevens'!$C$17-'Invoer gegevens'!$C$16)</f>
        <v>0</v>
      </c>
      <c r="AZ172" s="68">
        <f ca="1">IF(E172-'Invoer gegevens'!$C$17-14.5&lt;0,0,E172-'Invoer gegevens'!$C$17-14.5)</f>
        <v>152.5</v>
      </c>
    </row>
    <row r="173" spans="2:52" x14ac:dyDescent="0.25">
      <c r="B173" s="70">
        <f t="shared" si="31"/>
        <v>169</v>
      </c>
      <c r="C173" s="67">
        <f ca="1">IF(E173-'Invoer gegevens'!$C$17&lt;0,0,1)</f>
        <v>1</v>
      </c>
      <c r="D173" s="68">
        <f t="shared" si="32"/>
        <v>168.5</v>
      </c>
      <c r="E173" s="108">
        <f ca="1">IF('Invoer gegevens'!$C$16="","",E172+1)</f>
        <v>2187</v>
      </c>
      <c r="F173" s="84">
        <f ca="1">IF('Invoer gegevens'!$C$17=E173,'Invoer gegevens'!$C$10,IF(C173=1,K172,0))</f>
        <v>0</v>
      </c>
      <c r="G173" s="96">
        <f ca="1">IF(C173&gt;=1,F173*VLOOKUP(E173,Reeksen!$A$5:$B$76,2),0)</f>
        <v>0</v>
      </c>
      <c r="H173" s="84">
        <f ca="1">(1-('Invoer gegevens'!$F$20/12))*F173*MIN(Reeksen!B173,Reeksen!D173)</f>
        <v>0</v>
      </c>
      <c r="I173" s="84">
        <f>IF(Reeksen!D173&lt;Reeksen!B173,(Reeksen!B173-Reeksen!D173)*F173,0)</f>
        <v>0</v>
      </c>
      <c r="J173" s="84">
        <f ca="1">('Invoer gegevens'!$F$20/12)*F172*MIN(Reeksen!B172,Reeksen!D172)</f>
        <v>0</v>
      </c>
      <c r="K173" s="97">
        <f t="shared" ca="1" si="23"/>
        <v>0</v>
      </c>
      <c r="L173" s="84">
        <f ca="1">IF('Invoer gegevens'!$C$17=E173,0,IF(C173=1,Q172,0))</f>
        <v>0</v>
      </c>
      <c r="M173" s="96">
        <f ca="1">IF(C173&gt;=1,L173*VLOOKUP(E173,Reeksen!$A$5:$B$76,2),0)</f>
        <v>0</v>
      </c>
      <c r="N173" s="84">
        <f ca="1">(1-('Invoer gegevens'!$F$20/12))*L173*MIN(Reeksen!B173,Reeksen!D173)</f>
        <v>0</v>
      </c>
      <c r="O173" s="84">
        <f>IF(Reeksen!D173&lt;Reeksen!B173,(Reeksen!B173-Reeksen!D173)*L173,0)</f>
        <v>0</v>
      </c>
      <c r="P173" s="84">
        <f ca="1">('Invoer gegevens'!$F$20/12)*L172*MIN(Reeksen!B172,Reeksen!D172)</f>
        <v>0</v>
      </c>
      <c r="Q173" s="84">
        <f t="shared" ca="1" si="24"/>
        <v>0</v>
      </c>
      <c r="R173" s="82">
        <f ca="1">IF('Invoer gegevens'!$C$17=E173,'Invoer gegevens'!$C$11,IF(C173=1,W172,0))</f>
        <v>0</v>
      </c>
      <c r="S173" s="86">
        <f ca="1">IF(C173&gt;=1,R173*VLOOKUP(E173,Reeksen!$A$5:$B$76,2),0)</f>
        <v>0</v>
      </c>
      <c r="T173" s="84">
        <f ca="1">(1-('Invoer gegevens'!$F$20/12))*R173*MIN(Reeksen!B173,Reeksen!D173)</f>
        <v>0</v>
      </c>
      <c r="U173" s="84">
        <f>IF(Reeksen!D173&gt;=Reeksen!B173,0,IF(Reeksen!AK173&lt;=Reeksen!AE173,(Reeksen!B173-Reeksen!D173)*R173,0))</f>
        <v>0</v>
      </c>
      <c r="V173" s="86">
        <f>IF(Reeksen!D173&gt;=Reeksen!B173,0,IF(Reeksen!AK173&gt;Reeksen!AE173,(Reeksen!B173-Reeksen!D173)*R173,0))</f>
        <v>0</v>
      </c>
      <c r="W173" s="97">
        <f t="shared" ca="1" si="25"/>
        <v>0</v>
      </c>
      <c r="X173" s="98">
        <f ca="1">IF('Invoer gegevens'!$C$17=E173,'Invoer gegevens'!$C$10-'Invoer gegevens'!$C$11,IF(C173=1,AC172,0))</f>
        <v>0</v>
      </c>
      <c r="Y173" s="98">
        <f ca="1">IF(C173&gt;=1,X173*VLOOKUP(E173,Reeksen!$A$5:$B$76,2),0)</f>
        <v>0</v>
      </c>
      <c r="Z173" s="98">
        <f ca="1">(1-('Invoer gegevens'!$F$20/12))*X173*MIN(Reeksen!B173,Reeksen!D173)</f>
        <v>0</v>
      </c>
      <c r="AA173" s="98">
        <f>IF(Reeksen!D173&gt;=Reeksen!B173,0,IF(Reeksen!AK173&lt;=Reeksen!AE173,(Reeksen!B173-Reeksen!D173)*X173,0))</f>
        <v>0</v>
      </c>
      <c r="AB173" s="98">
        <f>IF(Reeksen!D173&gt;=Reeksen!B173,0,IF(Reeksen!AK173&gt;Reeksen!AE173,(Reeksen!B173-Reeksen!D173)*X173,0))</f>
        <v>0</v>
      </c>
      <c r="AC173" s="99">
        <f t="shared" ca="1" si="26"/>
        <v>0</v>
      </c>
      <c r="AD173" s="98">
        <f ca="1">IF('Invoer gegevens'!$C$17=E173,R173,IF(C173=0,0,AE172))</f>
        <v>0</v>
      </c>
      <c r="AE173" s="98">
        <f t="shared" ca="1" si="27"/>
        <v>0</v>
      </c>
      <c r="AF173" s="98">
        <f ca="1">IF('Invoer gegevens'!$C$17=E173,X173,IF(C173=0,0,AG172))</f>
        <v>0</v>
      </c>
      <c r="AG173" s="98">
        <f t="shared" ca="1" si="28"/>
        <v>0</v>
      </c>
      <c r="AH173" s="68"/>
      <c r="AI173" s="71">
        <f ca="1">IF(C173=1,Reeksen!AJ173*((F173-G173+F173)/2)*12+Reeksen!AK173*((L173-M173+L173)/2)*12,0)</f>
        <v>0</v>
      </c>
      <c r="AJ173" s="71">
        <f ca="1">-AI173*'Invoer gegevens'!$F$28</f>
        <v>0</v>
      </c>
      <c r="AK173" s="71">
        <f t="shared" ca="1" si="22"/>
        <v>0</v>
      </c>
      <c r="AL173" s="71">
        <f ca="1">IF(C173=1,Reeksen!AL173*((F173-G173+F173)/2)*12+Reeksen!AM173*((L173-M173+L173)/2)*12,0)</f>
        <v>0</v>
      </c>
      <c r="AM173" s="71">
        <f ca="1">-AL173*'Invoer gegevens'!$F$31</f>
        <v>0</v>
      </c>
      <c r="AN173" s="71">
        <f t="shared" ca="1" si="29"/>
        <v>0</v>
      </c>
      <c r="AO173" s="71">
        <f ca="1">IF(C173=1,(H173+J173+N173+P173)*Reeksen!AN173,0)</f>
        <v>0</v>
      </c>
      <c r="AP173" s="71">
        <f ca="1">-IF(C173=1,(H173+J173+N173+P173)*'Hulp - basis'!$G$550*Reeksen!H173,0)</f>
        <v>0</v>
      </c>
      <c r="AQ173" s="71">
        <f ca="1">-IF(C173=1,(F173+K173+L173+Q173)/2*'Invoer gegevens'!$I$33*Reeksen!J173,0)*2</f>
        <v>0</v>
      </c>
      <c r="AR173" s="71">
        <f ca="1">-IF(C173=1,(I173*'Invoer gegevens'!$I$34)*Reeksen!J173,0)</f>
        <v>0</v>
      </c>
      <c r="AS173" s="71">
        <f ca="1">-IF(C173=1,(F173+K173+L173+Q173)/2*'Invoer gegevens'!$I$35*Reeksen!L173,0)</f>
        <v>0</v>
      </c>
      <c r="AT173" s="71">
        <f ca="1">-IF(C173=1,IF(E173='Invoer gegevens'!$C$17,'Invoer gegevens'!$C$11,AD173)*Reeksen!S173*'Invoer gegevens'!$C$18*Reeksen!P173,0)</f>
        <v>0</v>
      </c>
      <c r="AU173" s="71">
        <f ca="1">-IF(C173=1,(F173+K173+L173+Q173)/2*'Invoer gegevens'!$I$36*Reeksen!H173,0)</f>
        <v>0</v>
      </c>
      <c r="AV173" s="71">
        <f>IF('Invoer gegevens'!$C$3="Basis",0,#REF!)</f>
        <v>0</v>
      </c>
      <c r="AW173" s="71">
        <f t="shared" ca="1" si="30"/>
        <v>0</v>
      </c>
      <c r="AX173" s="71">
        <f ca="1">IF(E173&lt;'Invoer gegevens'!$C$17+15,0,IF(E173&gt;'Invoer gegevens'!$C$17+215,0,AW173))</f>
        <v>0</v>
      </c>
      <c r="AY173" s="71">
        <f ca="1">AX173/(1+'Invoer gegevens'!$F$18)^($AZ173-('Invoer gegevens'!$C$17-'Invoer gegevens'!$C$16))/(1+'Invoer gegevens'!$C$39)^('Invoer gegevens'!$C$17-'Invoer gegevens'!$C$16)</f>
        <v>0</v>
      </c>
      <c r="AZ173" s="68">
        <f ca="1">IF(E173-'Invoer gegevens'!$C$17-14.5&lt;0,0,E173-'Invoer gegevens'!$C$17-14.5)</f>
        <v>153.5</v>
      </c>
    </row>
    <row r="174" spans="2:52" x14ac:dyDescent="0.25">
      <c r="B174" s="70">
        <f t="shared" si="31"/>
        <v>170</v>
      </c>
      <c r="C174" s="67">
        <f ca="1">IF(E174-'Invoer gegevens'!$C$17&lt;0,0,1)</f>
        <v>1</v>
      </c>
      <c r="D174" s="68">
        <f t="shared" si="32"/>
        <v>169.5</v>
      </c>
      <c r="E174" s="108">
        <f ca="1">IF('Invoer gegevens'!$C$16="","",E173+1)</f>
        <v>2188</v>
      </c>
      <c r="F174" s="84">
        <f ca="1">IF('Invoer gegevens'!$C$17=E174,'Invoer gegevens'!$C$10,IF(C174=1,K173,0))</f>
        <v>0</v>
      </c>
      <c r="G174" s="96">
        <f ca="1">IF(C174&gt;=1,F174*VLOOKUP(E174,Reeksen!$A$5:$B$76,2),0)</f>
        <v>0</v>
      </c>
      <c r="H174" s="84">
        <f ca="1">(1-('Invoer gegevens'!$F$20/12))*F174*MIN(Reeksen!B174,Reeksen!D174)</f>
        <v>0</v>
      </c>
      <c r="I174" s="84">
        <f>IF(Reeksen!D174&lt;Reeksen!B174,(Reeksen!B174-Reeksen!D174)*F174,0)</f>
        <v>0</v>
      </c>
      <c r="J174" s="84">
        <f ca="1">('Invoer gegevens'!$F$20/12)*F173*MIN(Reeksen!B173,Reeksen!D173)</f>
        <v>0</v>
      </c>
      <c r="K174" s="97">
        <f t="shared" ca="1" si="23"/>
        <v>0</v>
      </c>
      <c r="L174" s="84">
        <f ca="1">IF('Invoer gegevens'!$C$17=E174,0,IF(C174=1,Q173,0))</f>
        <v>0</v>
      </c>
      <c r="M174" s="96">
        <f ca="1">IF(C174&gt;=1,L174*VLOOKUP(E174,Reeksen!$A$5:$B$76,2),0)</f>
        <v>0</v>
      </c>
      <c r="N174" s="84">
        <f ca="1">(1-('Invoer gegevens'!$F$20/12))*L174*MIN(Reeksen!B174,Reeksen!D174)</f>
        <v>0</v>
      </c>
      <c r="O174" s="84">
        <f>IF(Reeksen!D174&lt;Reeksen!B174,(Reeksen!B174-Reeksen!D174)*L174,0)</f>
        <v>0</v>
      </c>
      <c r="P174" s="84">
        <f ca="1">('Invoer gegevens'!$F$20/12)*L173*MIN(Reeksen!B173,Reeksen!D173)</f>
        <v>0</v>
      </c>
      <c r="Q174" s="84">
        <f t="shared" ca="1" si="24"/>
        <v>0</v>
      </c>
      <c r="R174" s="82">
        <f ca="1">IF('Invoer gegevens'!$C$17=E174,'Invoer gegevens'!$C$11,IF(C174=1,W173,0))</f>
        <v>0</v>
      </c>
      <c r="S174" s="86">
        <f ca="1">IF(C174&gt;=1,R174*VLOOKUP(E174,Reeksen!$A$5:$B$76,2),0)</f>
        <v>0</v>
      </c>
      <c r="T174" s="84">
        <f ca="1">(1-('Invoer gegevens'!$F$20/12))*R174*MIN(Reeksen!B174,Reeksen!D174)</f>
        <v>0</v>
      </c>
      <c r="U174" s="84">
        <f>IF(Reeksen!D174&gt;=Reeksen!B174,0,IF(Reeksen!AK174&lt;=Reeksen!AE174,(Reeksen!B174-Reeksen!D174)*R174,0))</f>
        <v>0</v>
      </c>
      <c r="V174" s="86">
        <f>IF(Reeksen!D174&gt;=Reeksen!B174,0,IF(Reeksen!AK174&gt;Reeksen!AE174,(Reeksen!B174-Reeksen!D174)*R174,0))</f>
        <v>0</v>
      </c>
      <c r="W174" s="97">
        <f t="shared" ca="1" si="25"/>
        <v>0</v>
      </c>
      <c r="X174" s="98">
        <f ca="1">IF('Invoer gegevens'!$C$17=E174,'Invoer gegevens'!$C$10-'Invoer gegevens'!$C$11,IF(C174=1,AC173,0))</f>
        <v>0</v>
      </c>
      <c r="Y174" s="98">
        <f ca="1">IF(C174&gt;=1,X174*VLOOKUP(E174,Reeksen!$A$5:$B$76,2),0)</f>
        <v>0</v>
      </c>
      <c r="Z174" s="98">
        <f ca="1">(1-('Invoer gegevens'!$F$20/12))*X174*MIN(Reeksen!B174,Reeksen!D174)</f>
        <v>0</v>
      </c>
      <c r="AA174" s="98">
        <f>IF(Reeksen!D174&gt;=Reeksen!B174,0,IF(Reeksen!AK174&lt;=Reeksen!AE174,(Reeksen!B174-Reeksen!D174)*X174,0))</f>
        <v>0</v>
      </c>
      <c r="AB174" s="98">
        <f>IF(Reeksen!D174&gt;=Reeksen!B174,0,IF(Reeksen!AK174&gt;Reeksen!AE174,(Reeksen!B174-Reeksen!D174)*X174,0))</f>
        <v>0</v>
      </c>
      <c r="AC174" s="99">
        <f t="shared" ca="1" si="26"/>
        <v>0</v>
      </c>
      <c r="AD174" s="98">
        <f ca="1">IF('Invoer gegevens'!$C$17=E174,R174,IF(C174=0,0,AE173))</f>
        <v>0</v>
      </c>
      <c r="AE174" s="98">
        <f t="shared" ca="1" si="27"/>
        <v>0</v>
      </c>
      <c r="AF174" s="98">
        <f ca="1">IF('Invoer gegevens'!$C$17=E174,X174,IF(C174=0,0,AG173))</f>
        <v>0</v>
      </c>
      <c r="AG174" s="98">
        <f t="shared" ca="1" si="28"/>
        <v>0</v>
      </c>
      <c r="AH174" s="68"/>
      <c r="AI174" s="71">
        <f ca="1">IF(C174=1,Reeksen!AJ174*((F174-G174+F174)/2)*12+Reeksen!AK174*((L174-M174+L174)/2)*12,0)</f>
        <v>0</v>
      </c>
      <c r="AJ174" s="71">
        <f ca="1">-AI174*'Invoer gegevens'!$F$28</f>
        <v>0</v>
      </c>
      <c r="AK174" s="71">
        <f t="shared" ca="1" si="22"/>
        <v>0</v>
      </c>
      <c r="AL174" s="71">
        <f ca="1">IF(C174=1,Reeksen!AL174*((F174-G174+F174)/2)*12+Reeksen!AM174*((L174-M174+L174)/2)*12,0)</f>
        <v>0</v>
      </c>
      <c r="AM174" s="71">
        <f ca="1">-AL174*'Invoer gegevens'!$F$31</f>
        <v>0</v>
      </c>
      <c r="AN174" s="71">
        <f t="shared" ca="1" si="29"/>
        <v>0</v>
      </c>
      <c r="AO174" s="71">
        <f ca="1">IF(C174=1,(H174+J174+N174+P174)*Reeksen!AN174,0)</f>
        <v>0</v>
      </c>
      <c r="AP174" s="71">
        <f ca="1">-IF(C174=1,(H174+J174+N174+P174)*'Hulp - basis'!$G$550*Reeksen!H174,0)</f>
        <v>0</v>
      </c>
      <c r="AQ174" s="71">
        <f ca="1">-IF(C174=1,(F174+K174+L174+Q174)/2*'Invoer gegevens'!$I$33*Reeksen!J174,0)*2</f>
        <v>0</v>
      </c>
      <c r="AR174" s="71">
        <f ca="1">-IF(C174=1,(I174*'Invoer gegevens'!$I$34)*Reeksen!J174,0)</f>
        <v>0</v>
      </c>
      <c r="AS174" s="71">
        <f ca="1">-IF(C174=1,(F174+K174+L174+Q174)/2*'Invoer gegevens'!$I$35*Reeksen!L174,0)</f>
        <v>0</v>
      </c>
      <c r="AT174" s="71">
        <f ca="1">-IF(C174=1,IF(E174='Invoer gegevens'!$C$17,'Invoer gegevens'!$C$11,AD174)*Reeksen!S174*'Invoer gegevens'!$C$18*Reeksen!P174,0)</f>
        <v>0</v>
      </c>
      <c r="AU174" s="71">
        <f ca="1">-IF(C174=1,(F174+K174+L174+Q174)/2*'Invoer gegevens'!$I$36*Reeksen!H174,0)</f>
        <v>0</v>
      </c>
      <c r="AV174" s="71">
        <f>IF('Invoer gegevens'!$C$3="Basis",0,#REF!)</f>
        <v>0</v>
      </c>
      <c r="AW174" s="71">
        <f t="shared" ca="1" si="30"/>
        <v>0</v>
      </c>
      <c r="AX174" s="71">
        <f ca="1">IF(E174&lt;'Invoer gegevens'!$C$17+15,0,IF(E174&gt;'Invoer gegevens'!$C$17+215,0,AW174))</f>
        <v>0</v>
      </c>
      <c r="AY174" s="71">
        <f ca="1">AX174/(1+'Invoer gegevens'!$F$18)^($AZ174-('Invoer gegevens'!$C$17-'Invoer gegevens'!$C$16))/(1+'Invoer gegevens'!$C$39)^('Invoer gegevens'!$C$17-'Invoer gegevens'!$C$16)</f>
        <v>0</v>
      </c>
      <c r="AZ174" s="68">
        <f ca="1">IF(E174-'Invoer gegevens'!$C$17-14.5&lt;0,0,E174-'Invoer gegevens'!$C$17-14.5)</f>
        <v>154.5</v>
      </c>
    </row>
    <row r="175" spans="2:52" x14ac:dyDescent="0.25">
      <c r="B175" s="70">
        <f t="shared" si="31"/>
        <v>171</v>
      </c>
      <c r="C175" s="67">
        <f ca="1">IF(E175-'Invoer gegevens'!$C$17&lt;0,0,1)</f>
        <v>1</v>
      </c>
      <c r="D175" s="68">
        <f t="shared" si="32"/>
        <v>170.5</v>
      </c>
      <c r="E175" s="108">
        <f ca="1">IF('Invoer gegevens'!$C$16="","",E174+1)</f>
        <v>2189</v>
      </c>
      <c r="F175" s="84">
        <f ca="1">IF('Invoer gegevens'!$C$17=E175,'Invoer gegevens'!$C$10,IF(C175=1,K174,0))</f>
        <v>0</v>
      </c>
      <c r="G175" s="96">
        <f ca="1">IF(C175&gt;=1,F175*VLOOKUP(E175,Reeksen!$A$5:$B$76,2),0)</f>
        <v>0</v>
      </c>
      <c r="H175" s="84">
        <f ca="1">(1-('Invoer gegevens'!$F$20/12))*F175*MIN(Reeksen!B175,Reeksen!D175)</f>
        <v>0</v>
      </c>
      <c r="I175" s="84">
        <f>IF(Reeksen!D175&lt;Reeksen!B175,(Reeksen!B175-Reeksen!D175)*F175,0)</f>
        <v>0</v>
      </c>
      <c r="J175" s="84">
        <f ca="1">('Invoer gegevens'!$F$20/12)*F174*MIN(Reeksen!B174,Reeksen!D174)</f>
        <v>0</v>
      </c>
      <c r="K175" s="97">
        <f t="shared" ca="1" si="23"/>
        <v>0</v>
      </c>
      <c r="L175" s="84">
        <f ca="1">IF('Invoer gegevens'!$C$17=E175,0,IF(C175=1,Q174,0))</f>
        <v>0</v>
      </c>
      <c r="M175" s="96">
        <f ca="1">IF(C175&gt;=1,L175*VLOOKUP(E175,Reeksen!$A$5:$B$76,2),0)</f>
        <v>0</v>
      </c>
      <c r="N175" s="84">
        <f ca="1">(1-('Invoer gegevens'!$F$20/12))*L175*MIN(Reeksen!B175,Reeksen!D175)</f>
        <v>0</v>
      </c>
      <c r="O175" s="84">
        <f>IF(Reeksen!D175&lt;Reeksen!B175,(Reeksen!B175-Reeksen!D175)*L175,0)</f>
        <v>0</v>
      </c>
      <c r="P175" s="84">
        <f ca="1">('Invoer gegevens'!$F$20/12)*L174*MIN(Reeksen!B174,Reeksen!D174)</f>
        <v>0</v>
      </c>
      <c r="Q175" s="84">
        <f t="shared" ca="1" si="24"/>
        <v>0</v>
      </c>
      <c r="R175" s="82">
        <f ca="1">IF('Invoer gegevens'!$C$17=E175,'Invoer gegevens'!$C$11,IF(C175=1,W174,0))</f>
        <v>0</v>
      </c>
      <c r="S175" s="86">
        <f ca="1">IF(C175&gt;=1,R175*VLOOKUP(E175,Reeksen!$A$5:$B$76,2),0)</f>
        <v>0</v>
      </c>
      <c r="T175" s="84">
        <f ca="1">(1-('Invoer gegevens'!$F$20/12))*R175*MIN(Reeksen!B175,Reeksen!D175)</f>
        <v>0</v>
      </c>
      <c r="U175" s="84">
        <f>IF(Reeksen!D175&gt;=Reeksen!B175,0,IF(Reeksen!AK175&lt;=Reeksen!AE175,(Reeksen!B175-Reeksen!D175)*R175,0))</f>
        <v>0</v>
      </c>
      <c r="V175" s="86">
        <f>IF(Reeksen!D175&gt;=Reeksen!B175,0,IF(Reeksen!AK175&gt;Reeksen!AE175,(Reeksen!B175-Reeksen!D175)*R175,0))</f>
        <v>0</v>
      </c>
      <c r="W175" s="97">
        <f t="shared" ca="1" si="25"/>
        <v>0</v>
      </c>
      <c r="X175" s="98">
        <f ca="1">IF('Invoer gegevens'!$C$17=E175,'Invoer gegevens'!$C$10-'Invoer gegevens'!$C$11,IF(C175=1,AC174,0))</f>
        <v>0</v>
      </c>
      <c r="Y175" s="98">
        <f ca="1">IF(C175&gt;=1,X175*VLOOKUP(E175,Reeksen!$A$5:$B$76,2),0)</f>
        <v>0</v>
      </c>
      <c r="Z175" s="98">
        <f ca="1">(1-('Invoer gegevens'!$F$20/12))*X175*MIN(Reeksen!B175,Reeksen!D175)</f>
        <v>0</v>
      </c>
      <c r="AA175" s="98">
        <f>IF(Reeksen!D175&gt;=Reeksen!B175,0,IF(Reeksen!AK175&lt;=Reeksen!AE175,(Reeksen!B175-Reeksen!D175)*X175,0))</f>
        <v>0</v>
      </c>
      <c r="AB175" s="98">
        <f>IF(Reeksen!D175&gt;=Reeksen!B175,0,IF(Reeksen!AK175&gt;Reeksen!AE175,(Reeksen!B175-Reeksen!D175)*X175,0))</f>
        <v>0</v>
      </c>
      <c r="AC175" s="99">
        <f t="shared" ca="1" si="26"/>
        <v>0</v>
      </c>
      <c r="AD175" s="98">
        <f ca="1">IF('Invoer gegevens'!$C$17=E175,R175,IF(C175=0,0,AE174))</f>
        <v>0</v>
      </c>
      <c r="AE175" s="98">
        <f t="shared" ca="1" si="27"/>
        <v>0</v>
      </c>
      <c r="AF175" s="98">
        <f ca="1">IF('Invoer gegevens'!$C$17=E175,X175,IF(C175=0,0,AG174))</f>
        <v>0</v>
      </c>
      <c r="AG175" s="98">
        <f t="shared" ca="1" si="28"/>
        <v>0</v>
      </c>
      <c r="AH175" s="68"/>
      <c r="AI175" s="71">
        <f ca="1">IF(C175=1,Reeksen!AJ175*((F175-G175+F175)/2)*12+Reeksen!AK175*((L175-M175+L175)/2)*12,0)</f>
        <v>0</v>
      </c>
      <c r="AJ175" s="71">
        <f ca="1">-AI175*'Invoer gegevens'!$F$28</f>
        <v>0</v>
      </c>
      <c r="AK175" s="71">
        <f t="shared" ca="1" si="22"/>
        <v>0</v>
      </c>
      <c r="AL175" s="71">
        <f ca="1">IF(C175=1,Reeksen!AL175*((F175-G175+F175)/2)*12+Reeksen!AM175*((L175-M175+L175)/2)*12,0)</f>
        <v>0</v>
      </c>
      <c r="AM175" s="71">
        <f ca="1">-AL175*'Invoer gegevens'!$F$31</f>
        <v>0</v>
      </c>
      <c r="AN175" s="71">
        <f t="shared" ca="1" si="29"/>
        <v>0</v>
      </c>
      <c r="AO175" s="71">
        <f ca="1">IF(C175=1,(H175+J175+N175+P175)*Reeksen!AN175,0)</f>
        <v>0</v>
      </c>
      <c r="AP175" s="71">
        <f ca="1">-IF(C175=1,(H175+J175+N175+P175)*'Hulp - basis'!$G$550*Reeksen!H175,0)</f>
        <v>0</v>
      </c>
      <c r="AQ175" s="71">
        <f ca="1">-IF(C175=1,(F175+K175+L175+Q175)/2*'Invoer gegevens'!$I$33*Reeksen!J175,0)*2</f>
        <v>0</v>
      </c>
      <c r="AR175" s="71">
        <f ca="1">-IF(C175=1,(I175*'Invoer gegevens'!$I$34)*Reeksen!J175,0)</f>
        <v>0</v>
      </c>
      <c r="AS175" s="71">
        <f ca="1">-IF(C175=1,(F175+K175+L175+Q175)/2*'Invoer gegevens'!$I$35*Reeksen!L175,0)</f>
        <v>0</v>
      </c>
      <c r="AT175" s="71">
        <f ca="1">-IF(C175=1,IF(E175='Invoer gegevens'!$C$17,'Invoer gegevens'!$C$11,AD175)*Reeksen!S175*'Invoer gegevens'!$C$18*Reeksen!P175,0)</f>
        <v>0</v>
      </c>
      <c r="AU175" s="71">
        <f ca="1">-IF(C175=1,(F175+K175+L175+Q175)/2*'Invoer gegevens'!$I$36*Reeksen!H175,0)</f>
        <v>0</v>
      </c>
      <c r="AV175" s="71">
        <f>IF('Invoer gegevens'!$C$3="Basis",0,#REF!)</f>
        <v>0</v>
      </c>
      <c r="AW175" s="71">
        <f t="shared" ca="1" si="30"/>
        <v>0</v>
      </c>
      <c r="AX175" s="71">
        <f ca="1">IF(E175&lt;'Invoer gegevens'!$C$17+15,0,IF(E175&gt;'Invoer gegevens'!$C$17+215,0,AW175))</f>
        <v>0</v>
      </c>
      <c r="AY175" s="71">
        <f ca="1">AX175/(1+'Invoer gegevens'!$F$18)^($AZ175-('Invoer gegevens'!$C$17-'Invoer gegevens'!$C$16))/(1+'Invoer gegevens'!$C$39)^('Invoer gegevens'!$C$17-'Invoer gegevens'!$C$16)</f>
        <v>0</v>
      </c>
      <c r="AZ175" s="68">
        <f ca="1">IF(E175-'Invoer gegevens'!$C$17-14.5&lt;0,0,E175-'Invoer gegevens'!$C$17-14.5)</f>
        <v>155.5</v>
      </c>
    </row>
    <row r="176" spans="2:52" x14ac:dyDescent="0.25">
      <c r="B176" s="70">
        <f t="shared" si="31"/>
        <v>172</v>
      </c>
      <c r="C176" s="67">
        <f ca="1">IF(E176-'Invoer gegevens'!$C$17&lt;0,0,1)</f>
        <v>1</v>
      </c>
      <c r="D176" s="68">
        <f t="shared" si="32"/>
        <v>171.5</v>
      </c>
      <c r="E176" s="108">
        <f ca="1">IF('Invoer gegevens'!$C$16="","",E175+1)</f>
        <v>2190</v>
      </c>
      <c r="F176" s="84">
        <f ca="1">IF('Invoer gegevens'!$C$17=E176,'Invoer gegevens'!$C$10,IF(C176=1,K175,0))</f>
        <v>0</v>
      </c>
      <c r="G176" s="96">
        <f ca="1">IF(C176&gt;=1,F176*VLOOKUP(E176,Reeksen!$A$5:$B$76,2),0)</f>
        <v>0</v>
      </c>
      <c r="H176" s="84">
        <f ca="1">(1-('Invoer gegevens'!$F$20/12))*F176*MIN(Reeksen!B176,Reeksen!D176)</f>
        <v>0</v>
      </c>
      <c r="I176" s="84">
        <f>IF(Reeksen!D176&lt;Reeksen!B176,(Reeksen!B176-Reeksen!D176)*F176,0)</f>
        <v>0</v>
      </c>
      <c r="J176" s="84">
        <f ca="1">('Invoer gegevens'!$F$20/12)*F175*MIN(Reeksen!B175,Reeksen!D175)</f>
        <v>0</v>
      </c>
      <c r="K176" s="97">
        <f t="shared" ca="1" si="23"/>
        <v>0</v>
      </c>
      <c r="L176" s="84">
        <f ca="1">IF('Invoer gegevens'!$C$17=E176,0,IF(C176=1,Q175,0))</f>
        <v>0</v>
      </c>
      <c r="M176" s="96">
        <f ca="1">IF(C176&gt;=1,L176*VLOOKUP(E176,Reeksen!$A$5:$B$76,2),0)</f>
        <v>0</v>
      </c>
      <c r="N176" s="84">
        <f ca="1">(1-('Invoer gegevens'!$F$20/12))*L176*MIN(Reeksen!B176,Reeksen!D176)</f>
        <v>0</v>
      </c>
      <c r="O176" s="84">
        <f>IF(Reeksen!D176&lt;Reeksen!B176,(Reeksen!B176-Reeksen!D176)*L176,0)</f>
        <v>0</v>
      </c>
      <c r="P176" s="84">
        <f ca="1">('Invoer gegevens'!$F$20/12)*L175*MIN(Reeksen!B175,Reeksen!D175)</f>
        <v>0</v>
      </c>
      <c r="Q176" s="84">
        <f t="shared" ca="1" si="24"/>
        <v>0</v>
      </c>
      <c r="R176" s="82">
        <f ca="1">IF('Invoer gegevens'!$C$17=E176,'Invoer gegevens'!$C$11,IF(C176=1,W175,0))</f>
        <v>0</v>
      </c>
      <c r="S176" s="86">
        <f ca="1">IF(C176&gt;=1,R176*VLOOKUP(E176,Reeksen!$A$5:$B$76,2),0)</f>
        <v>0</v>
      </c>
      <c r="T176" s="84">
        <f ca="1">(1-('Invoer gegevens'!$F$20/12))*R176*MIN(Reeksen!B176,Reeksen!D176)</f>
        <v>0</v>
      </c>
      <c r="U176" s="84">
        <f>IF(Reeksen!D176&gt;=Reeksen!B176,0,IF(Reeksen!AK176&lt;=Reeksen!AE176,(Reeksen!B176-Reeksen!D176)*R176,0))</f>
        <v>0</v>
      </c>
      <c r="V176" s="86">
        <f>IF(Reeksen!D176&gt;=Reeksen!B176,0,IF(Reeksen!AK176&gt;Reeksen!AE176,(Reeksen!B176-Reeksen!D176)*R176,0))</f>
        <v>0</v>
      </c>
      <c r="W176" s="97">
        <f t="shared" ca="1" si="25"/>
        <v>0</v>
      </c>
      <c r="X176" s="98">
        <f ca="1">IF('Invoer gegevens'!$C$17=E176,'Invoer gegevens'!$C$10-'Invoer gegevens'!$C$11,IF(C176=1,AC175,0))</f>
        <v>0</v>
      </c>
      <c r="Y176" s="98">
        <f ca="1">IF(C176&gt;=1,X176*VLOOKUP(E176,Reeksen!$A$5:$B$76,2),0)</f>
        <v>0</v>
      </c>
      <c r="Z176" s="98">
        <f ca="1">(1-('Invoer gegevens'!$F$20/12))*X176*MIN(Reeksen!B176,Reeksen!D176)</f>
        <v>0</v>
      </c>
      <c r="AA176" s="98">
        <f>IF(Reeksen!D176&gt;=Reeksen!B176,0,IF(Reeksen!AK176&lt;=Reeksen!AE176,(Reeksen!B176-Reeksen!D176)*X176,0))</f>
        <v>0</v>
      </c>
      <c r="AB176" s="98">
        <f>IF(Reeksen!D176&gt;=Reeksen!B176,0,IF(Reeksen!AK176&gt;Reeksen!AE176,(Reeksen!B176-Reeksen!D176)*X176,0))</f>
        <v>0</v>
      </c>
      <c r="AC176" s="99">
        <f t="shared" ca="1" si="26"/>
        <v>0</v>
      </c>
      <c r="AD176" s="98">
        <f ca="1">IF('Invoer gegevens'!$C$17=E176,R176,IF(C176=0,0,AE175))</f>
        <v>0</v>
      </c>
      <c r="AE176" s="98">
        <f t="shared" ca="1" si="27"/>
        <v>0</v>
      </c>
      <c r="AF176" s="98">
        <f ca="1">IF('Invoer gegevens'!$C$17=E176,X176,IF(C176=0,0,AG175))</f>
        <v>0</v>
      </c>
      <c r="AG176" s="98">
        <f t="shared" ca="1" si="28"/>
        <v>0</v>
      </c>
      <c r="AH176" s="68"/>
      <c r="AI176" s="71">
        <f ca="1">IF(C176=1,Reeksen!AJ176*((F176-G176+F176)/2)*12+Reeksen!AK176*((L176-M176+L176)/2)*12,0)</f>
        <v>0</v>
      </c>
      <c r="AJ176" s="71">
        <f ca="1">-AI176*'Invoer gegevens'!$F$28</f>
        <v>0</v>
      </c>
      <c r="AK176" s="71">
        <f t="shared" ca="1" si="22"/>
        <v>0</v>
      </c>
      <c r="AL176" s="71">
        <f ca="1">IF(C176=1,Reeksen!AL176*((F176-G176+F176)/2)*12+Reeksen!AM176*((L176-M176+L176)/2)*12,0)</f>
        <v>0</v>
      </c>
      <c r="AM176" s="71">
        <f ca="1">-AL176*'Invoer gegevens'!$F$31</f>
        <v>0</v>
      </c>
      <c r="AN176" s="71">
        <f t="shared" ca="1" si="29"/>
        <v>0</v>
      </c>
      <c r="AO176" s="71">
        <f ca="1">IF(C176=1,(H176+J176+N176+P176)*Reeksen!AN176,0)</f>
        <v>0</v>
      </c>
      <c r="AP176" s="71">
        <f ca="1">-IF(C176=1,(H176+J176+N176+P176)*'Hulp - basis'!$G$550*Reeksen!H176,0)</f>
        <v>0</v>
      </c>
      <c r="AQ176" s="71">
        <f ca="1">-IF(C176=1,(F176+K176+L176+Q176)/2*'Invoer gegevens'!$I$33*Reeksen!J176,0)*2</f>
        <v>0</v>
      </c>
      <c r="AR176" s="71">
        <f ca="1">-IF(C176=1,(I176*'Invoer gegevens'!$I$34)*Reeksen!J176,0)</f>
        <v>0</v>
      </c>
      <c r="AS176" s="71">
        <f ca="1">-IF(C176=1,(F176+K176+L176+Q176)/2*'Invoer gegevens'!$I$35*Reeksen!L176,0)</f>
        <v>0</v>
      </c>
      <c r="AT176" s="71">
        <f ca="1">-IF(C176=1,IF(E176='Invoer gegevens'!$C$17,'Invoer gegevens'!$C$11,AD176)*Reeksen!S176*'Invoer gegevens'!$C$18*Reeksen!P176,0)</f>
        <v>0</v>
      </c>
      <c r="AU176" s="71">
        <f ca="1">-IF(C176=1,(F176+K176+L176+Q176)/2*'Invoer gegevens'!$I$36*Reeksen!H176,0)</f>
        <v>0</v>
      </c>
      <c r="AV176" s="71">
        <f>IF('Invoer gegevens'!$C$3="Basis",0,#REF!)</f>
        <v>0</v>
      </c>
      <c r="AW176" s="71">
        <f t="shared" ca="1" si="30"/>
        <v>0</v>
      </c>
      <c r="AX176" s="71">
        <f ca="1">IF(E176&lt;'Invoer gegevens'!$C$17+15,0,IF(E176&gt;'Invoer gegevens'!$C$17+215,0,AW176))</f>
        <v>0</v>
      </c>
      <c r="AY176" s="71">
        <f ca="1">AX176/(1+'Invoer gegevens'!$F$18)^($AZ176-('Invoer gegevens'!$C$17-'Invoer gegevens'!$C$16))/(1+'Invoer gegevens'!$C$39)^('Invoer gegevens'!$C$17-'Invoer gegevens'!$C$16)</f>
        <v>0</v>
      </c>
      <c r="AZ176" s="68">
        <f ca="1">IF(E176-'Invoer gegevens'!$C$17-14.5&lt;0,0,E176-'Invoer gegevens'!$C$17-14.5)</f>
        <v>156.5</v>
      </c>
    </row>
    <row r="177" spans="2:52" x14ac:dyDescent="0.25">
      <c r="B177" s="70">
        <f t="shared" si="31"/>
        <v>173</v>
      </c>
      <c r="C177" s="67">
        <f ca="1">IF(E177-'Invoer gegevens'!$C$17&lt;0,0,1)</f>
        <v>1</v>
      </c>
      <c r="D177" s="68">
        <f t="shared" si="32"/>
        <v>172.5</v>
      </c>
      <c r="E177" s="108">
        <f ca="1">IF('Invoer gegevens'!$C$16="","",E176+1)</f>
        <v>2191</v>
      </c>
      <c r="F177" s="84">
        <f ca="1">IF('Invoer gegevens'!$C$17=E177,'Invoer gegevens'!$C$10,IF(C177=1,K176,0))</f>
        <v>0</v>
      </c>
      <c r="G177" s="96">
        <f ca="1">IF(C177&gt;=1,F177*VLOOKUP(E177,Reeksen!$A$5:$B$76,2),0)</f>
        <v>0</v>
      </c>
      <c r="H177" s="84">
        <f ca="1">(1-('Invoer gegevens'!$F$20/12))*F177*MIN(Reeksen!B177,Reeksen!D177)</f>
        <v>0</v>
      </c>
      <c r="I177" s="84">
        <f>IF(Reeksen!D177&lt;Reeksen!B177,(Reeksen!B177-Reeksen!D177)*F177,0)</f>
        <v>0</v>
      </c>
      <c r="J177" s="84">
        <f ca="1">('Invoer gegevens'!$F$20/12)*F176*MIN(Reeksen!B176,Reeksen!D176)</f>
        <v>0</v>
      </c>
      <c r="K177" s="97">
        <f t="shared" ca="1" si="23"/>
        <v>0</v>
      </c>
      <c r="L177" s="84">
        <f ca="1">IF('Invoer gegevens'!$C$17=E177,0,IF(C177=1,Q176,0))</f>
        <v>0</v>
      </c>
      <c r="M177" s="96">
        <f ca="1">IF(C177&gt;=1,L177*VLOOKUP(E177,Reeksen!$A$5:$B$76,2),0)</f>
        <v>0</v>
      </c>
      <c r="N177" s="84">
        <f ca="1">(1-('Invoer gegevens'!$F$20/12))*L177*MIN(Reeksen!B177,Reeksen!D177)</f>
        <v>0</v>
      </c>
      <c r="O177" s="84">
        <f>IF(Reeksen!D177&lt;Reeksen!B177,(Reeksen!B177-Reeksen!D177)*L177,0)</f>
        <v>0</v>
      </c>
      <c r="P177" s="84">
        <f ca="1">('Invoer gegevens'!$F$20/12)*L176*MIN(Reeksen!B176,Reeksen!D176)</f>
        <v>0</v>
      </c>
      <c r="Q177" s="84">
        <f t="shared" ca="1" si="24"/>
        <v>0</v>
      </c>
      <c r="R177" s="82">
        <f ca="1">IF('Invoer gegevens'!$C$17=E177,'Invoer gegevens'!$C$11,IF(C177=1,W176,0))</f>
        <v>0</v>
      </c>
      <c r="S177" s="86">
        <f ca="1">IF(C177&gt;=1,R177*VLOOKUP(E177,Reeksen!$A$5:$B$76,2),0)</f>
        <v>0</v>
      </c>
      <c r="T177" s="84">
        <f ca="1">(1-('Invoer gegevens'!$F$20/12))*R177*MIN(Reeksen!B177,Reeksen!D177)</f>
        <v>0</v>
      </c>
      <c r="U177" s="84">
        <f>IF(Reeksen!D177&gt;=Reeksen!B177,0,IF(Reeksen!AK177&lt;=Reeksen!AE177,(Reeksen!B177-Reeksen!D177)*R177,0))</f>
        <v>0</v>
      </c>
      <c r="V177" s="86">
        <f>IF(Reeksen!D177&gt;=Reeksen!B177,0,IF(Reeksen!AK177&gt;Reeksen!AE177,(Reeksen!B177-Reeksen!D177)*R177,0))</f>
        <v>0</v>
      </c>
      <c r="W177" s="97">
        <f t="shared" ca="1" si="25"/>
        <v>0</v>
      </c>
      <c r="X177" s="98">
        <f ca="1">IF('Invoer gegevens'!$C$17=E177,'Invoer gegevens'!$C$10-'Invoer gegevens'!$C$11,IF(C177=1,AC176,0))</f>
        <v>0</v>
      </c>
      <c r="Y177" s="98">
        <f ca="1">IF(C177&gt;=1,X177*VLOOKUP(E177,Reeksen!$A$5:$B$76,2),0)</f>
        <v>0</v>
      </c>
      <c r="Z177" s="98">
        <f ca="1">(1-('Invoer gegevens'!$F$20/12))*X177*MIN(Reeksen!B177,Reeksen!D177)</f>
        <v>0</v>
      </c>
      <c r="AA177" s="98">
        <f>IF(Reeksen!D177&gt;=Reeksen!B177,0,IF(Reeksen!AK177&lt;=Reeksen!AE177,(Reeksen!B177-Reeksen!D177)*X177,0))</f>
        <v>0</v>
      </c>
      <c r="AB177" s="98">
        <f>IF(Reeksen!D177&gt;=Reeksen!B177,0,IF(Reeksen!AK177&gt;Reeksen!AE177,(Reeksen!B177-Reeksen!D177)*X177,0))</f>
        <v>0</v>
      </c>
      <c r="AC177" s="99">
        <f t="shared" ca="1" si="26"/>
        <v>0</v>
      </c>
      <c r="AD177" s="98">
        <f ca="1">IF('Invoer gegevens'!$C$17=E177,R177,IF(C177=0,0,AE176))</f>
        <v>0</v>
      </c>
      <c r="AE177" s="98">
        <f t="shared" ca="1" si="27"/>
        <v>0</v>
      </c>
      <c r="AF177" s="98">
        <f ca="1">IF('Invoer gegevens'!$C$17=E177,X177,IF(C177=0,0,AG176))</f>
        <v>0</v>
      </c>
      <c r="AG177" s="98">
        <f t="shared" ca="1" si="28"/>
        <v>0</v>
      </c>
      <c r="AH177" s="68"/>
      <c r="AI177" s="71">
        <f ca="1">IF(C177=1,Reeksen!AJ177*((F177-G177+F177)/2)*12+Reeksen!AK177*((L177-M177+L177)/2)*12,0)</f>
        <v>0</v>
      </c>
      <c r="AJ177" s="71">
        <f ca="1">-AI177*'Invoer gegevens'!$F$28</f>
        <v>0</v>
      </c>
      <c r="AK177" s="71">
        <f t="shared" ca="1" si="22"/>
        <v>0</v>
      </c>
      <c r="AL177" s="71">
        <f ca="1">IF(C177=1,Reeksen!AL177*((F177-G177+F177)/2)*12+Reeksen!AM177*((L177-M177+L177)/2)*12,0)</f>
        <v>0</v>
      </c>
      <c r="AM177" s="71">
        <f ca="1">-AL177*'Invoer gegevens'!$F$31</f>
        <v>0</v>
      </c>
      <c r="AN177" s="71">
        <f t="shared" ca="1" si="29"/>
        <v>0</v>
      </c>
      <c r="AO177" s="71">
        <f ca="1">IF(C177=1,(H177+J177+N177+P177)*Reeksen!AN177,0)</f>
        <v>0</v>
      </c>
      <c r="AP177" s="71">
        <f ca="1">-IF(C177=1,(H177+J177+N177+P177)*'Hulp - basis'!$G$550*Reeksen!H177,0)</f>
        <v>0</v>
      </c>
      <c r="AQ177" s="71">
        <f ca="1">-IF(C177=1,(F177+K177+L177+Q177)/2*'Invoer gegevens'!$I$33*Reeksen!J177,0)*2</f>
        <v>0</v>
      </c>
      <c r="AR177" s="71">
        <f ca="1">-IF(C177=1,(I177*'Invoer gegevens'!$I$34)*Reeksen!J177,0)</f>
        <v>0</v>
      </c>
      <c r="AS177" s="71">
        <f ca="1">-IF(C177=1,(F177+K177+L177+Q177)/2*'Invoer gegevens'!$I$35*Reeksen!L177,0)</f>
        <v>0</v>
      </c>
      <c r="AT177" s="71">
        <f ca="1">-IF(C177=1,IF(E177='Invoer gegevens'!$C$17,'Invoer gegevens'!$C$11,AD177)*Reeksen!S177*'Invoer gegevens'!$C$18*Reeksen!P177,0)</f>
        <v>0</v>
      </c>
      <c r="AU177" s="71">
        <f ca="1">-IF(C177=1,(F177+K177+L177+Q177)/2*'Invoer gegevens'!$I$36*Reeksen!H177,0)</f>
        <v>0</v>
      </c>
      <c r="AV177" s="71">
        <f>IF('Invoer gegevens'!$C$3="Basis",0,#REF!)</f>
        <v>0</v>
      </c>
      <c r="AW177" s="71">
        <f t="shared" ca="1" si="30"/>
        <v>0</v>
      </c>
      <c r="AX177" s="71">
        <f ca="1">IF(E177&lt;'Invoer gegevens'!$C$17+15,0,IF(E177&gt;'Invoer gegevens'!$C$17+215,0,AW177))</f>
        <v>0</v>
      </c>
      <c r="AY177" s="71">
        <f ca="1">AX177/(1+'Invoer gegevens'!$F$18)^($AZ177-('Invoer gegevens'!$C$17-'Invoer gegevens'!$C$16))/(1+'Invoer gegevens'!$C$39)^('Invoer gegevens'!$C$17-'Invoer gegevens'!$C$16)</f>
        <v>0</v>
      </c>
      <c r="AZ177" s="68">
        <f ca="1">IF(E177-'Invoer gegevens'!$C$17-14.5&lt;0,0,E177-'Invoer gegevens'!$C$17-14.5)</f>
        <v>157.5</v>
      </c>
    </row>
    <row r="178" spans="2:52" x14ac:dyDescent="0.25">
      <c r="B178" s="70">
        <f t="shared" si="31"/>
        <v>174</v>
      </c>
      <c r="C178" s="67">
        <f ca="1">IF(E178-'Invoer gegevens'!$C$17&lt;0,0,1)</f>
        <v>1</v>
      </c>
      <c r="D178" s="68">
        <f t="shared" si="32"/>
        <v>173.5</v>
      </c>
      <c r="E178" s="108">
        <f ca="1">IF('Invoer gegevens'!$C$16="","",E177+1)</f>
        <v>2192</v>
      </c>
      <c r="F178" s="84">
        <f ca="1">IF('Invoer gegevens'!$C$17=E178,'Invoer gegevens'!$C$10,IF(C178=1,K177,0))</f>
        <v>0</v>
      </c>
      <c r="G178" s="96">
        <f ca="1">IF(C178&gt;=1,F178*VLOOKUP(E178,Reeksen!$A$5:$B$76,2),0)</f>
        <v>0</v>
      </c>
      <c r="H178" s="84">
        <f ca="1">(1-('Invoer gegevens'!$F$20/12))*F178*MIN(Reeksen!B178,Reeksen!D178)</f>
        <v>0</v>
      </c>
      <c r="I178" s="84">
        <f>IF(Reeksen!D178&lt;Reeksen!B178,(Reeksen!B178-Reeksen!D178)*F178,0)</f>
        <v>0</v>
      </c>
      <c r="J178" s="84">
        <f ca="1">('Invoer gegevens'!$F$20/12)*F177*MIN(Reeksen!B177,Reeksen!D177)</f>
        <v>0</v>
      </c>
      <c r="K178" s="97">
        <f t="shared" ca="1" si="23"/>
        <v>0</v>
      </c>
      <c r="L178" s="84">
        <f ca="1">IF('Invoer gegevens'!$C$17=E178,0,IF(C178=1,Q177,0))</f>
        <v>0</v>
      </c>
      <c r="M178" s="96">
        <f ca="1">IF(C178&gt;=1,L178*VLOOKUP(E178,Reeksen!$A$5:$B$76,2),0)</f>
        <v>0</v>
      </c>
      <c r="N178" s="84">
        <f ca="1">(1-('Invoer gegevens'!$F$20/12))*L178*MIN(Reeksen!B178,Reeksen!D178)</f>
        <v>0</v>
      </c>
      <c r="O178" s="84">
        <f>IF(Reeksen!D178&lt;Reeksen!B178,(Reeksen!B178-Reeksen!D178)*L178,0)</f>
        <v>0</v>
      </c>
      <c r="P178" s="84">
        <f ca="1">('Invoer gegevens'!$F$20/12)*L177*MIN(Reeksen!B177,Reeksen!D177)</f>
        <v>0</v>
      </c>
      <c r="Q178" s="84">
        <f t="shared" ca="1" si="24"/>
        <v>0</v>
      </c>
      <c r="R178" s="82">
        <f ca="1">IF('Invoer gegevens'!$C$17=E178,'Invoer gegevens'!$C$11,IF(C178=1,W177,0))</f>
        <v>0</v>
      </c>
      <c r="S178" s="86">
        <f ca="1">IF(C178&gt;=1,R178*VLOOKUP(E178,Reeksen!$A$5:$B$76,2),0)</f>
        <v>0</v>
      </c>
      <c r="T178" s="84">
        <f ca="1">(1-('Invoer gegevens'!$F$20/12))*R178*MIN(Reeksen!B178,Reeksen!D178)</f>
        <v>0</v>
      </c>
      <c r="U178" s="84">
        <f>IF(Reeksen!D178&gt;=Reeksen!B178,0,IF(Reeksen!AK178&lt;=Reeksen!AE178,(Reeksen!B178-Reeksen!D178)*R178,0))</f>
        <v>0</v>
      </c>
      <c r="V178" s="86">
        <f>IF(Reeksen!D178&gt;=Reeksen!B178,0,IF(Reeksen!AK178&gt;Reeksen!AE178,(Reeksen!B178-Reeksen!D178)*R178,0))</f>
        <v>0</v>
      </c>
      <c r="W178" s="97">
        <f t="shared" ca="1" si="25"/>
        <v>0</v>
      </c>
      <c r="X178" s="98">
        <f ca="1">IF('Invoer gegevens'!$C$17=E178,'Invoer gegevens'!$C$10-'Invoer gegevens'!$C$11,IF(C178=1,AC177,0))</f>
        <v>0</v>
      </c>
      <c r="Y178" s="98">
        <f ca="1">IF(C178&gt;=1,X178*VLOOKUP(E178,Reeksen!$A$5:$B$76,2),0)</f>
        <v>0</v>
      </c>
      <c r="Z178" s="98">
        <f ca="1">(1-('Invoer gegevens'!$F$20/12))*X178*MIN(Reeksen!B178,Reeksen!D178)</f>
        <v>0</v>
      </c>
      <c r="AA178" s="98">
        <f>IF(Reeksen!D178&gt;=Reeksen!B178,0,IF(Reeksen!AK178&lt;=Reeksen!AE178,(Reeksen!B178-Reeksen!D178)*X178,0))</f>
        <v>0</v>
      </c>
      <c r="AB178" s="98">
        <f>IF(Reeksen!D178&gt;=Reeksen!B178,0,IF(Reeksen!AK178&gt;Reeksen!AE178,(Reeksen!B178-Reeksen!D178)*X178,0))</f>
        <v>0</v>
      </c>
      <c r="AC178" s="99">
        <f t="shared" ca="1" si="26"/>
        <v>0</v>
      </c>
      <c r="AD178" s="98">
        <f ca="1">IF('Invoer gegevens'!$C$17=E178,R178,IF(C178=0,0,AE177))</f>
        <v>0</v>
      </c>
      <c r="AE178" s="98">
        <f t="shared" ca="1" si="27"/>
        <v>0</v>
      </c>
      <c r="AF178" s="98">
        <f ca="1">IF('Invoer gegevens'!$C$17=E178,X178,IF(C178=0,0,AG177))</f>
        <v>0</v>
      </c>
      <c r="AG178" s="98">
        <f t="shared" ca="1" si="28"/>
        <v>0</v>
      </c>
      <c r="AH178" s="68"/>
      <c r="AI178" s="71">
        <f ca="1">IF(C178=1,Reeksen!AJ178*((F178-G178+F178)/2)*12+Reeksen!AK178*((L178-M178+L178)/2)*12,0)</f>
        <v>0</v>
      </c>
      <c r="AJ178" s="71">
        <f ca="1">-AI178*'Invoer gegevens'!$F$28</f>
        <v>0</v>
      </c>
      <c r="AK178" s="71">
        <f t="shared" ca="1" si="22"/>
        <v>0</v>
      </c>
      <c r="AL178" s="71">
        <f ca="1">IF(C178=1,Reeksen!AL178*((F178-G178+F178)/2)*12+Reeksen!AM178*((L178-M178+L178)/2)*12,0)</f>
        <v>0</v>
      </c>
      <c r="AM178" s="71">
        <f ca="1">-AL178*'Invoer gegevens'!$F$31</f>
        <v>0</v>
      </c>
      <c r="AN178" s="71">
        <f t="shared" ca="1" si="29"/>
        <v>0</v>
      </c>
      <c r="AO178" s="71">
        <f ca="1">IF(C178=1,(H178+J178+N178+P178)*Reeksen!AN178,0)</f>
        <v>0</v>
      </c>
      <c r="AP178" s="71">
        <f ca="1">-IF(C178=1,(H178+J178+N178+P178)*'Hulp - basis'!$G$550*Reeksen!H178,0)</f>
        <v>0</v>
      </c>
      <c r="AQ178" s="71">
        <f ca="1">-IF(C178=1,(F178+K178+L178+Q178)/2*'Invoer gegevens'!$I$33*Reeksen!J178,0)*2</f>
        <v>0</v>
      </c>
      <c r="AR178" s="71">
        <f ca="1">-IF(C178=1,(I178*'Invoer gegevens'!$I$34)*Reeksen!J178,0)</f>
        <v>0</v>
      </c>
      <c r="AS178" s="71">
        <f ca="1">-IF(C178=1,(F178+K178+L178+Q178)/2*'Invoer gegevens'!$I$35*Reeksen!L178,0)</f>
        <v>0</v>
      </c>
      <c r="AT178" s="71">
        <f ca="1">-IF(C178=1,IF(E178='Invoer gegevens'!$C$17,'Invoer gegevens'!$C$11,AD178)*Reeksen!S178*'Invoer gegevens'!$C$18*Reeksen!P178,0)</f>
        <v>0</v>
      </c>
      <c r="AU178" s="71">
        <f ca="1">-IF(C178=1,(F178+K178+L178+Q178)/2*'Invoer gegevens'!$I$36*Reeksen!H178,0)</f>
        <v>0</v>
      </c>
      <c r="AV178" s="71">
        <f>IF('Invoer gegevens'!$C$3="Basis",0,#REF!)</f>
        <v>0</v>
      </c>
      <c r="AW178" s="71">
        <f t="shared" ca="1" si="30"/>
        <v>0</v>
      </c>
      <c r="AX178" s="71">
        <f ca="1">IF(E178&lt;'Invoer gegevens'!$C$17+15,0,IF(E178&gt;'Invoer gegevens'!$C$17+215,0,AW178))</f>
        <v>0</v>
      </c>
      <c r="AY178" s="71">
        <f ca="1">AX178/(1+'Invoer gegevens'!$F$18)^($AZ178-('Invoer gegevens'!$C$17-'Invoer gegevens'!$C$16))/(1+'Invoer gegevens'!$C$39)^('Invoer gegevens'!$C$17-'Invoer gegevens'!$C$16)</f>
        <v>0</v>
      </c>
      <c r="AZ178" s="68">
        <f ca="1">IF(E178-'Invoer gegevens'!$C$17-14.5&lt;0,0,E178-'Invoer gegevens'!$C$17-14.5)</f>
        <v>158.5</v>
      </c>
    </row>
    <row r="179" spans="2:52" x14ac:dyDescent="0.25">
      <c r="B179" s="70">
        <f t="shared" si="31"/>
        <v>175</v>
      </c>
      <c r="C179" s="67">
        <f ca="1">IF(E179-'Invoer gegevens'!$C$17&lt;0,0,1)</f>
        <v>1</v>
      </c>
      <c r="D179" s="68">
        <f t="shared" si="32"/>
        <v>174.5</v>
      </c>
      <c r="E179" s="108">
        <f ca="1">IF('Invoer gegevens'!$C$16="","",E178+1)</f>
        <v>2193</v>
      </c>
      <c r="F179" s="84">
        <f ca="1">IF('Invoer gegevens'!$C$17=E179,'Invoer gegevens'!$C$10,IF(C179=1,K178,0))</f>
        <v>0</v>
      </c>
      <c r="G179" s="96">
        <f ca="1">IF(C179&gt;=1,F179*VLOOKUP(E179,Reeksen!$A$5:$B$76,2),0)</f>
        <v>0</v>
      </c>
      <c r="H179" s="84">
        <f ca="1">(1-('Invoer gegevens'!$F$20/12))*F179*MIN(Reeksen!B179,Reeksen!D179)</f>
        <v>0</v>
      </c>
      <c r="I179" s="84">
        <f>IF(Reeksen!D179&lt;Reeksen!B179,(Reeksen!B179-Reeksen!D179)*F179,0)</f>
        <v>0</v>
      </c>
      <c r="J179" s="84">
        <f ca="1">('Invoer gegevens'!$F$20/12)*F178*MIN(Reeksen!B178,Reeksen!D178)</f>
        <v>0</v>
      </c>
      <c r="K179" s="97">
        <f t="shared" ca="1" si="23"/>
        <v>0</v>
      </c>
      <c r="L179" s="84">
        <f ca="1">IF('Invoer gegevens'!$C$17=E179,0,IF(C179=1,Q178,0))</f>
        <v>0</v>
      </c>
      <c r="M179" s="96">
        <f ca="1">IF(C179&gt;=1,L179*VLOOKUP(E179,Reeksen!$A$5:$B$76,2),0)</f>
        <v>0</v>
      </c>
      <c r="N179" s="84">
        <f ca="1">(1-('Invoer gegevens'!$F$20/12))*L179*MIN(Reeksen!B179,Reeksen!D179)</f>
        <v>0</v>
      </c>
      <c r="O179" s="84">
        <f>IF(Reeksen!D179&lt;Reeksen!B179,(Reeksen!B179-Reeksen!D179)*L179,0)</f>
        <v>0</v>
      </c>
      <c r="P179" s="84">
        <f ca="1">('Invoer gegevens'!$F$20/12)*L178*MIN(Reeksen!B178,Reeksen!D178)</f>
        <v>0</v>
      </c>
      <c r="Q179" s="84">
        <f t="shared" ca="1" si="24"/>
        <v>0</v>
      </c>
      <c r="R179" s="82">
        <f ca="1">IF('Invoer gegevens'!$C$17=E179,'Invoer gegevens'!$C$11,IF(C179=1,W178,0))</f>
        <v>0</v>
      </c>
      <c r="S179" s="86">
        <f ca="1">IF(C179&gt;=1,R179*VLOOKUP(E179,Reeksen!$A$5:$B$76,2),0)</f>
        <v>0</v>
      </c>
      <c r="T179" s="84">
        <f ca="1">(1-('Invoer gegevens'!$F$20/12))*R179*MIN(Reeksen!B179,Reeksen!D179)</f>
        <v>0</v>
      </c>
      <c r="U179" s="84">
        <f>IF(Reeksen!D179&gt;=Reeksen!B179,0,IF(Reeksen!AK179&lt;=Reeksen!AE179,(Reeksen!B179-Reeksen!D179)*R179,0))</f>
        <v>0</v>
      </c>
      <c r="V179" s="86">
        <f>IF(Reeksen!D179&gt;=Reeksen!B179,0,IF(Reeksen!AK179&gt;Reeksen!AE179,(Reeksen!B179-Reeksen!D179)*R179,0))</f>
        <v>0</v>
      </c>
      <c r="W179" s="97">
        <f t="shared" ca="1" si="25"/>
        <v>0</v>
      </c>
      <c r="X179" s="98">
        <f ca="1">IF('Invoer gegevens'!$C$17=E179,'Invoer gegevens'!$C$10-'Invoer gegevens'!$C$11,IF(C179=1,AC178,0))</f>
        <v>0</v>
      </c>
      <c r="Y179" s="98">
        <f ca="1">IF(C179&gt;=1,X179*VLOOKUP(E179,Reeksen!$A$5:$B$76,2),0)</f>
        <v>0</v>
      </c>
      <c r="Z179" s="98">
        <f ca="1">(1-('Invoer gegevens'!$F$20/12))*X179*MIN(Reeksen!B179,Reeksen!D179)</f>
        <v>0</v>
      </c>
      <c r="AA179" s="98">
        <f>IF(Reeksen!D179&gt;=Reeksen!B179,0,IF(Reeksen!AK179&lt;=Reeksen!AE179,(Reeksen!B179-Reeksen!D179)*X179,0))</f>
        <v>0</v>
      </c>
      <c r="AB179" s="98">
        <f>IF(Reeksen!D179&gt;=Reeksen!B179,0,IF(Reeksen!AK179&gt;Reeksen!AE179,(Reeksen!B179-Reeksen!D179)*X179,0))</f>
        <v>0</v>
      </c>
      <c r="AC179" s="99">
        <f t="shared" ca="1" si="26"/>
        <v>0</v>
      </c>
      <c r="AD179" s="98">
        <f ca="1">IF('Invoer gegevens'!$C$17=E179,R179,IF(C179=0,0,AE178))</f>
        <v>0</v>
      </c>
      <c r="AE179" s="98">
        <f t="shared" ca="1" si="27"/>
        <v>0</v>
      </c>
      <c r="AF179" s="98">
        <f ca="1">IF('Invoer gegevens'!$C$17=E179,X179,IF(C179=0,0,AG178))</f>
        <v>0</v>
      </c>
      <c r="AG179" s="98">
        <f t="shared" ca="1" si="28"/>
        <v>0</v>
      </c>
      <c r="AH179" s="68"/>
      <c r="AI179" s="71">
        <f ca="1">IF(C179=1,Reeksen!AJ179*((F179-G179+F179)/2)*12+Reeksen!AK179*((L179-M179+L179)/2)*12,0)</f>
        <v>0</v>
      </c>
      <c r="AJ179" s="71">
        <f ca="1">-AI179*'Invoer gegevens'!$F$28</f>
        <v>0</v>
      </c>
      <c r="AK179" s="71">
        <f t="shared" ca="1" si="22"/>
        <v>0</v>
      </c>
      <c r="AL179" s="71">
        <f ca="1">IF(C179=1,Reeksen!AL179*((F179-G179+F179)/2)*12+Reeksen!AM179*((L179-M179+L179)/2)*12,0)</f>
        <v>0</v>
      </c>
      <c r="AM179" s="71">
        <f ca="1">-AL179*'Invoer gegevens'!$F$31</f>
        <v>0</v>
      </c>
      <c r="AN179" s="71">
        <f t="shared" ca="1" si="29"/>
        <v>0</v>
      </c>
      <c r="AO179" s="71">
        <f ca="1">IF(C179=1,(H179+J179+N179+P179)*Reeksen!AN179,0)</f>
        <v>0</v>
      </c>
      <c r="AP179" s="71">
        <f ca="1">-IF(C179=1,(H179+J179+N179+P179)*'Hulp - basis'!$G$550*Reeksen!H179,0)</f>
        <v>0</v>
      </c>
      <c r="AQ179" s="71">
        <f ca="1">-IF(C179=1,(F179+K179+L179+Q179)/2*'Invoer gegevens'!$I$33*Reeksen!J179,0)*2</f>
        <v>0</v>
      </c>
      <c r="AR179" s="71">
        <f ca="1">-IF(C179=1,(I179*'Invoer gegevens'!$I$34)*Reeksen!J179,0)</f>
        <v>0</v>
      </c>
      <c r="AS179" s="71">
        <f ca="1">-IF(C179=1,(F179+K179+L179+Q179)/2*'Invoer gegevens'!$I$35*Reeksen!L179,0)</f>
        <v>0</v>
      </c>
      <c r="AT179" s="71">
        <f ca="1">-IF(C179=1,IF(E179='Invoer gegevens'!$C$17,'Invoer gegevens'!$C$11,AD179)*Reeksen!S179*'Invoer gegevens'!$C$18*Reeksen!P179,0)</f>
        <v>0</v>
      </c>
      <c r="AU179" s="71">
        <f ca="1">-IF(C179=1,(F179+K179+L179+Q179)/2*'Invoer gegevens'!$I$36*Reeksen!H179,0)</f>
        <v>0</v>
      </c>
      <c r="AV179" s="71">
        <f>IF('Invoer gegevens'!$C$3="Basis",0,#REF!)</f>
        <v>0</v>
      </c>
      <c r="AW179" s="71">
        <f t="shared" ca="1" si="30"/>
        <v>0</v>
      </c>
      <c r="AX179" s="71">
        <f ca="1">IF(E179&lt;'Invoer gegevens'!$C$17+15,0,IF(E179&gt;'Invoer gegevens'!$C$17+215,0,AW179))</f>
        <v>0</v>
      </c>
      <c r="AY179" s="71">
        <f ca="1">AX179/(1+'Invoer gegevens'!$F$18)^($AZ179-('Invoer gegevens'!$C$17-'Invoer gegevens'!$C$16))/(1+'Invoer gegevens'!$C$39)^('Invoer gegevens'!$C$17-'Invoer gegevens'!$C$16)</f>
        <v>0</v>
      </c>
      <c r="AZ179" s="68">
        <f ca="1">IF(E179-'Invoer gegevens'!$C$17-14.5&lt;0,0,E179-'Invoer gegevens'!$C$17-14.5)</f>
        <v>159.5</v>
      </c>
    </row>
    <row r="180" spans="2:52" x14ac:dyDescent="0.25">
      <c r="B180" s="70">
        <f t="shared" si="31"/>
        <v>176</v>
      </c>
      <c r="C180" s="67">
        <f ca="1">IF(E180-'Invoer gegevens'!$C$17&lt;0,0,1)</f>
        <v>1</v>
      </c>
      <c r="D180" s="68">
        <f t="shared" si="32"/>
        <v>175.5</v>
      </c>
      <c r="E180" s="108">
        <f ca="1">IF('Invoer gegevens'!$C$16="","",E179+1)</f>
        <v>2194</v>
      </c>
      <c r="F180" s="84">
        <f ca="1">IF('Invoer gegevens'!$C$17=E180,'Invoer gegevens'!$C$10,IF(C180=1,K179,0))</f>
        <v>0</v>
      </c>
      <c r="G180" s="96">
        <f ca="1">IF(C180&gt;=1,F180*VLOOKUP(E180,Reeksen!$A$5:$B$76,2),0)</f>
        <v>0</v>
      </c>
      <c r="H180" s="84">
        <f ca="1">(1-('Invoer gegevens'!$F$20/12))*F180*MIN(Reeksen!B180,Reeksen!D180)</f>
        <v>0</v>
      </c>
      <c r="I180" s="84">
        <f>IF(Reeksen!D180&lt;Reeksen!B180,(Reeksen!B180-Reeksen!D180)*F180,0)</f>
        <v>0</v>
      </c>
      <c r="J180" s="84">
        <f ca="1">('Invoer gegevens'!$F$20/12)*F179*MIN(Reeksen!B179,Reeksen!D179)</f>
        <v>0</v>
      </c>
      <c r="K180" s="97">
        <f t="shared" ca="1" si="23"/>
        <v>0</v>
      </c>
      <c r="L180" s="84">
        <f ca="1">IF('Invoer gegevens'!$C$17=E180,0,IF(C180=1,Q179,0))</f>
        <v>0</v>
      </c>
      <c r="M180" s="96">
        <f ca="1">IF(C180&gt;=1,L180*VLOOKUP(E180,Reeksen!$A$5:$B$76,2),0)</f>
        <v>0</v>
      </c>
      <c r="N180" s="84">
        <f ca="1">(1-('Invoer gegevens'!$F$20/12))*L180*MIN(Reeksen!B180,Reeksen!D180)</f>
        <v>0</v>
      </c>
      <c r="O180" s="84">
        <f>IF(Reeksen!D180&lt;Reeksen!B180,(Reeksen!B180-Reeksen!D180)*L180,0)</f>
        <v>0</v>
      </c>
      <c r="P180" s="84">
        <f ca="1">('Invoer gegevens'!$F$20/12)*L179*MIN(Reeksen!B179,Reeksen!D179)</f>
        <v>0</v>
      </c>
      <c r="Q180" s="84">
        <f t="shared" ca="1" si="24"/>
        <v>0</v>
      </c>
      <c r="R180" s="82">
        <f ca="1">IF('Invoer gegevens'!$C$17=E180,'Invoer gegevens'!$C$11,IF(C180=1,W179,0))</f>
        <v>0</v>
      </c>
      <c r="S180" s="86">
        <f ca="1">IF(C180&gt;=1,R180*VLOOKUP(E180,Reeksen!$A$5:$B$76,2),0)</f>
        <v>0</v>
      </c>
      <c r="T180" s="84">
        <f ca="1">(1-('Invoer gegevens'!$F$20/12))*R180*MIN(Reeksen!B180,Reeksen!D180)</f>
        <v>0</v>
      </c>
      <c r="U180" s="84">
        <f>IF(Reeksen!D180&gt;=Reeksen!B180,0,IF(Reeksen!AK180&lt;=Reeksen!AE180,(Reeksen!B180-Reeksen!D180)*R180,0))</f>
        <v>0</v>
      </c>
      <c r="V180" s="86">
        <f>IF(Reeksen!D180&gt;=Reeksen!B180,0,IF(Reeksen!AK180&gt;Reeksen!AE180,(Reeksen!B180-Reeksen!D180)*R180,0))</f>
        <v>0</v>
      </c>
      <c r="W180" s="97">
        <f t="shared" ca="1" si="25"/>
        <v>0</v>
      </c>
      <c r="X180" s="98">
        <f ca="1">IF('Invoer gegevens'!$C$17=E180,'Invoer gegevens'!$C$10-'Invoer gegevens'!$C$11,IF(C180=1,AC179,0))</f>
        <v>0</v>
      </c>
      <c r="Y180" s="98">
        <f ca="1">IF(C180&gt;=1,X180*VLOOKUP(E180,Reeksen!$A$5:$B$76,2),0)</f>
        <v>0</v>
      </c>
      <c r="Z180" s="98">
        <f ca="1">(1-('Invoer gegevens'!$F$20/12))*X180*MIN(Reeksen!B180,Reeksen!D180)</f>
        <v>0</v>
      </c>
      <c r="AA180" s="98">
        <f>IF(Reeksen!D180&gt;=Reeksen!B180,0,IF(Reeksen!AK180&lt;=Reeksen!AE180,(Reeksen!B180-Reeksen!D180)*X180,0))</f>
        <v>0</v>
      </c>
      <c r="AB180" s="98">
        <f>IF(Reeksen!D180&gt;=Reeksen!B180,0,IF(Reeksen!AK180&gt;Reeksen!AE180,(Reeksen!B180-Reeksen!D180)*X180,0))</f>
        <v>0</v>
      </c>
      <c r="AC180" s="99">
        <f t="shared" ca="1" si="26"/>
        <v>0</v>
      </c>
      <c r="AD180" s="98">
        <f ca="1">IF('Invoer gegevens'!$C$17=E180,R180,IF(C180=0,0,AE179))</f>
        <v>0</v>
      </c>
      <c r="AE180" s="98">
        <f t="shared" ca="1" si="27"/>
        <v>0</v>
      </c>
      <c r="AF180" s="98">
        <f ca="1">IF('Invoer gegevens'!$C$17=E180,X180,IF(C180=0,0,AG179))</f>
        <v>0</v>
      </c>
      <c r="AG180" s="98">
        <f t="shared" ca="1" si="28"/>
        <v>0</v>
      </c>
      <c r="AH180" s="68"/>
      <c r="AI180" s="71">
        <f ca="1">IF(C180=1,Reeksen!AJ180*((F180-G180+F180)/2)*12+Reeksen!AK180*((L180-M180+L180)/2)*12,0)</f>
        <v>0</v>
      </c>
      <c r="AJ180" s="71">
        <f ca="1">-AI180*'Invoer gegevens'!$F$28</f>
        <v>0</v>
      </c>
      <c r="AK180" s="71">
        <f t="shared" ca="1" si="22"/>
        <v>0</v>
      </c>
      <c r="AL180" s="71">
        <f ca="1">IF(C180=1,Reeksen!AL180*((F180-G180+F180)/2)*12+Reeksen!AM180*((L180-M180+L180)/2)*12,0)</f>
        <v>0</v>
      </c>
      <c r="AM180" s="71">
        <f ca="1">-AL180*'Invoer gegevens'!$F$31</f>
        <v>0</v>
      </c>
      <c r="AN180" s="71">
        <f t="shared" ca="1" si="29"/>
        <v>0</v>
      </c>
      <c r="AO180" s="71">
        <f ca="1">IF(C180=1,(H180+J180+N180+P180)*Reeksen!AN180,0)</f>
        <v>0</v>
      </c>
      <c r="AP180" s="71">
        <f ca="1">-IF(C180=1,(H180+J180+N180+P180)*'Hulp - basis'!$G$550*Reeksen!H180,0)</f>
        <v>0</v>
      </c>
      <c r="AQ180" s="71">
        <f ca="1">-IF(C180=1,(F180+K180+L180+Q180)/2*'Invoer gegevens'!$I$33*Reeksen!J180,0)*2</f>
        <v>0</v>
      </c>
      <c r="AR180" s="71">
        <f ca="1">-IF(C180=1,(I180*'Invoer gegevens'!$I$34)*Reeksen!J180,0)</f>
        <v>0</v>
      </c>
      <c r="AS180" s="71">
        <f ca="1">-IF(C180=1,(F180+K180+L180+Q180)/2*'Invoer gegevens'!$I$35*Reeksen!L180,0)</f>
        <v>0</v>
      </c>
      <c r="AT180" s="71">
        <f ca="1">-IF(C180=1,IF(E180='Invoer gegevens'!$C$17,'Invoer gegevens'!$C$11,AD180)*Reeksen!S180*'Invoer gegevens'!$C$18*Reeksen!P180,0)</f>
        <v>0</v>
      </c>
      <c r="AU180" s="71">
        <f ca="1">-IF(C180=1,(F180+K180+L180+Q180)/2*'Invoer gegevens'!$I$36*Reeksen!H180,0)</f>
        <v>0</v>
      </c>
      <c r="AV180" s="71">
        <f>IF('Invoer gegevens'!$C$3="Basis",0,#REF!)</f>
        <v>0</v>
      </c>
      <c r="AW180" s="71">
        <f t="shared" ca="1" si="30"/>
        <v>0</v>
      </c>
      <c r="AX180" s="71">
        <f ca="1">IF(E180&lt;'Invoer gegevens'!$C$17+15,0,IF(E180&gt;'Invoer gegevens'!$C$17+215,0,AW180))</f>
        <v>0</v>
      </c>
      <c r="AY180" s="71">
        <f ca="1">AX180/(1+'Invoer gegevens'!$F$18)^($AZ180-('Invoer gegevens'!$C$17-'Invoer gegevens'!$C$16))/(1+'Invoer gegevens'!$C$39)^('Invoer gegevens'!$C$17-'Invoer gegevens'!$C$16)</f>
        <v>0</v>
      </c>
      <c r="AZ180" s="68">
        <f ca="1">IF(E180-'Invoer gegevens'!$C$17-14.5&lt;0,0,E180-'Invoer gegevens'!$C$17-14.5)</f>
        <v>160.5</v>
      </c>
    </row>
    <row r="181" spans="2:52" x14ac:dyDescent="0.25">
      <c r="B181" s="70">
        <f t="shared" si="31"/>
        <v>177</v>
      </c>
      <c r="C181" s="67">
        <f ca="1">IF(E181-'Invoer gegevens'!$C$17&lt;0,0,1)</f>
        <v>1</v>
      </c>
      <c r="D181" s="68">
        <f t="shared" si="32"/>
        <v>176.5</v>
      </c>
      <c r="E181" s="108">
        <f ca="1">IF('Invoer gegevens'!$C$16="","",E180+1)</f>
        <v>2195</v>
      </c>
      <c r="F181" s="84">
        <f ca="1">IF('Invoer gegevens'!$C$17=E181,'Invoer gegevens'!$C$10,IF(C181=1,K180,0))</f>
        <v>0</v>
      </c>
      <c r="G181" s="96">
        <f ca="1">IF(C181&gt;=1,F181*VLOOKUP(E181,Reeksen!$A$5:$B$76,2),0)</f>
        <v>0</v>
      </c>
      <c r="H181" s="84">
        <f ca="1">(1-('Invoer gegevens'!$F$20/12))*F181*MIN(Reeksen!B181,Reeksen!D181)</f>
        <v>0</v>
      </c>
      <c r="I181" s="84">
        <f>IF(Reeksen!D181&lt;Reeksen!B181,(Reeksen!B181-Reeksen!D181)*F181,0)</f>
        <v>0</v>
      </c>
      <c r="J181" s="84">
        <f ca="1">('Invoer gegevens'!$F$20/12)*F180*MIN(Reeksen!B180,Reeksen!D180)</f>
        <v>0</v>
      </c>
      <c r="K181" s="97">
        <f t="shared" ca="1" si="23"/>
        <v>0</v>
      </c>
      <c r="L181" s="84">
        <f ca="1">IF('Invoer gegevens'!$C$17=E181,0,IF(C181=1,Q180,0))</f>
        <v>0</v>
      </c>
      <c r="M181" s="96">
        <f ca="1">IF(C181&gt;=1,L181*VLOOKUP(E181,Reeksen!$A$5:$B$76,2),0)</f>
        <v>0</v>
      </c>
      <c r="N181" s="84">
        <f ca="1">(1-('Invoer gegevens'!$F$20/12))*L181*MIN(Reeksen!B181,Reeksen!D181)</f>
        <v>0</v>
      </c>
      <c r="O181" s="84">
        <f>IF(Reeksen!D181&lt;Reeksen!B181,(Reeksen!B181-Reeksen!D181)*L181,0)</f>
        <v>0</v>
      </c>
      <c r="P181" s="84">
        <f ca="1">('Invoer gegevens'!$F$20/12)*L180*MIN(Reeksen!B180,Reeksen!D180)</f>
        <v>0</v>
      </c>
      <c r="Q181" s="84">
        <f t="shared" ca="1" si="24"/>
        <v>0</v>
      </c>
      <c r="R181" s="82">
        <f ca="1">IF('Invoer gegevens'!$C$17=E181,'Invoer gegevens'!$C$11,IF(C181=1,W180,0))</f>
        <v>0</v>
      </c>
      <c r="S181" s="86">
        <f ca="1">IF(C181&gt;=1,R181*VLOOKUP(E181,Reeksen!$A$5:$B$76,2),0)</f>
        <v>0</v>
      </c>
      <c r="T181" s="84">
        <f ca="1">(1-('Invoer gegevens'!$F$20/12))*R181*MIN(Reeksen!B181,Reeksen!D181)</f>
        <v>0</v>
      </c>
      <c r="U181" s="84">
        <f>IF(Reeksen!D181&gt;=Reeksen!B181,0,IF(Reeksen!AK181&lt;=Reeksen!AE181,(Reeksen!B181-Reeksen!D181)*R181,0))</f>
        <v>0</v>
      </c>
      <c r="V181" s="86">
        <f>IF(Reeksen!D181&gt;=Reeksen!B181,0,IF(Reeksen!AK181&gt;Reeksen!AE181,(Reeksen!B181-Reeksen!D181)*R181,0))</f>
        <v>0</v>
      </c>
      <c r="W181" s="97">
        <f t="shared" ca="1" si="25"/>
        <v>0</v>
      </c>
      <c r="X181" s="98">
        <f ca="1">IF('Invoer gegevens'!$C$17=E181,'Invoer gegevens'!$C$10-'Invoer gegevens'!$C$11,IF(C181=1,AC180,0))</f>
        <v>0</v>
      </c>
      <c r="Y181" s="98">
        <f ca="1">IF(C181&gt;=1,X181*VLOOKUP(E181,Reeksen!$A$5:$B$76,2),0)</f>
        <v>0</v>
      </c>
      <c r="Z181" s="98">
        <f ca="1">(1-('Invoer gegevens'!$F$20/12))*X181*MIN(Reeksen!B181,Reeksen!D181)</f>
        <v>0</v>
      </c>
      <c r="AA181" s="98">
        <f>IF(Reeksen!D181&gt;=Reeksen!B181,0,IF(Reeksen!AK181&lt;=Reeksen!AE181,(Reeksen!B181-Reeksen!D181)*X181,0))</f>
        <v>0</v>
      </c>
      <c r="AB181" s="98">
        <f>IF(Reeksen!D181&gt;=Reeksen!B181,0,IF(Reeksen!AK181&gt;Reeksen!AE181,(Reeksen!B181-Reeksen!D181)*X181,0))</f>
        <v>0</v>
      </c>
      <c r="AC181" s="99">
        <f t="shared" ca="1" si="26"/>
        <v>0</v>
      </c>
      <c r="AD181" s="98">
        <f ca="1">IF('Invoer gegevens'!$C$17=E181,R181,IF(C181=0,0,AE180))</f>
        <v>0</v>
      </c>
      <c r="AE181" s="98">
        <f t="shared" ca="1" si="27"/>
        <v>0</v>
      </c>
      <c r="AF181" s="98">
        <f ca="1">IF('Invoer gegevens'!$C$17=E181,X181,IF(C181=0,0,AG180))</f>
        <v>0</v>
      </c>
      <c r="AG181" s="98">
        <f t="shared" ca="1" si="28"/>
        <v>0</v>
      </c>
      <c r="AH181" s="68"/>
      <c r="AI181" s="71">
        <f ca="1">IF(C181=1,Reeksen!AJ181*((F181-G181+F181)/2)*12+Reeksen!AK181*((L181-M181+L181)/2)*12,0)</f>
        <v>0</v>
      </c>
      <c r="AJ181" s="71">
        <f ca="1">-AI181*'Invoer gegevens'!$F$28</f>
        <v>0</v>
      </c>
      <c r="AK181" s="71">
        <f t="shared" ca="1" si="22"/>
        <v>0</v>
      </c>
      <c r="AL181" s="71">
        <f ca="1">IF(C181=1,Reeksen!AL181*((F181-G181+F181)/2)*12+Reeksen!AM181*((L181-M181+L181)/2)*12,0)</f>
        <v>0</v>
      </c>
      <c r="AM181" s="71">
        <f ca="1">-AL181*'Invoer gegevens'!$F$31</f>
        <v>0</v>
      </c>
      <c r="AN181" s="71">
        <f t="shared" ca="1" si="29"/>
        <v>0</v>
      </c>
      <c r="AO181" s="71">
        <f ca="1">IF(C181=1,(H181+J181+N181+P181)*Reeksen!AN181,0)</f>
        <v>0</v>
      </c>
      <c r="AP181" s="71">
        <f ca="1">-IF(C181=1,(H181+J181+N181+P181)*'Hulp - basis'!$G$550*Reeksen!H181,0)</f>
        <v>0</v>
      </c>
      <c r="AQ181" s="71">
        <f ca="1">-IF(C181=1,(F181+K181+L181+Q181)/2*'Invoer gegevens'!$I$33*Reeksen!J181,0)*2</f>
        <v>0</v>
      </c>
      <c r="AR181" s="71">
        <f ca="1">-IF(C181=1,(I181*'Invoer gegevens'!$I$34)*Reeksen!J181,0)</f>
        <v>0</v>
      </c>
      <c r="AS181" s="71">
        <f ca="1">-IF(C181=1,(F181+K181+L181+Q181)/2*'Invoer gegevens'!$I$35*Reeksen!L181,0)</f>
        <v>0</v>
      </c>
      <c r="AT181" s="71">
        <f ca="1">-IF(C181=1,IF(E181='Invoer gegevens'!$C$17,'Invoer gegevens'!$C$11,AD181)*Reeksen!S181*'Invoer gegevens'!$C$18*Reeksen!P181,0)</f>
        <v>0</v>
      </c>
      <c r="AU181" s="71">
        <f ca="1">-IF(C181=1,(F181+K181+L181+Q181)/2*'Invoer gegevens'!$I$36*Reeksen!H181,0)</f>
        <v>0</v>
      </c>
      <c r="AV181" s="71">
        <f>IF('Invoer gegevens'!$C$3="Basis",0,#REF!)</f>
        <v>0</v>
      </c>
      <c r="AW181" s="71">
        <f t="shared" ca="1" si="30"/>
        <v>0</v>
      </c>
      <c r="AX181" s="71">
        <f ca="1">IF(E181&lt;'Invoer gegevens'!$C$17+15,0,IF(E181&gt;'Invoer gegevens'!$C$17+215,0,AW181))</f>
        <v>0</v>
      </c>
      <c r="AY181" s="71">
        <f ca="1">AX181/(1+'Invoer gegevens'!$F$18)^($AZ181-('Invoer gegevens'!$C$17-'Invoer gegevens'!$C$16))/(1+'Invoer gegevens'!$C$39)^('Invoer gegevens'!$C$17-'Invoer gegevens'!$C$16)</f>
        <v>0</v>
      </c>
      <c r="AZ181" s="68">
        <f ca="1">IF(E181-'Invoer gegevens'!$C$17-14.5&lt;0,0,E181-'Invoer gegevens'!$C$17-14.5)</f>
        <v>161.5</v>
      </c>
    </row>
    <row r="182" spans="2:52" x14ac:dyDescent="0.25">
      <c r="B182" s="70">
        <f t="shared" si="31"/>
        <v>178</v>
      </c>
      <c r="C182" s="67">
        <f ca="1">IF(E182-'Invoer gegevens'!$C$17&lt;0,0,1)</f>
        <v>1</v>
      </c>
      <c r="D182" s="68">
        <f t="shared" si="32"/>
        <v>177.5</v>
      </c>
      <c r="E182" s="108">
        <f ca="1">IF('Invoer gegevens'!$C$16="","",E181+1)</f>
        <v>2196</v>
      </c>
      <c r="F182" s="84">
        <f ca="1">IF('Invoer gegevens'!$C$17=E182,'Invoer gegevens'!$C$10,IF(C182=1,K181,0))</f>
        <v>0</v>
      </c>
      <c r="G182" s="96">
        <f ca="1">IF(C182&gt;=1,F182*VLOOKUP(E182,Reeksen!$A$5:$B$76,2),0)</f>
        <v>0</v>
      </c>
      <c r="H182" s="84">
        <f ca="1">(1-('Invoer gegevens'!$F$20/12))*F182*MIN(Reeksen!B182,Reeksen!D182)</f>
        <v>0</v>
      </c>
      <c r="I182" s="84">
        <f>IF(Reeksen!D182&lt;Reeksen!B182,(Reeksen!B182-Reeksen!D182)*F182,0)</f>
        <v>0</v>
      </c>
      <c r="J182" s="84">
        <f ca="1">('Invoer gegevens'!$F$20/12)*F181*MIN(Reeksen!B181,Reeksen!D181)</f>
        <v>0</v>
      </c>
      <c r="K182" s="97">
        <f t="shared" ca="1" si="23"/>
        <v>0</v>
      </c>
      <c r="L182" s="84">
        <f ca="1">IF('Invoer gegevens'!$C$17=E182,0,IF(C182=1,Q181,0))</f>
        <v>0</v>
      </c>
      <c r="M182" s="96">
        <f ca="1">IF(C182&gt;=1,L182*VLOOKUP(E182,Reeksen!$A$5:$B$76,2),0)</f>
        <v>0</v>
      </c>
      <c r="N182" s="84">
        <f ca="1">(1-('Invoer gegevens'!$F$20/12))*L182*MIN(Reeksen!B182,Reeksen!D182)</f>
        <v>0</v>
      </c>
      <c r="O182" s="84">
        <f>IF(Reeksen!D182&lt;Reeksen!B182,(Reeksen!B182-Reeksen!D182)*L182,0)</f>
        <v>0</v>
      </c>
      <c r="P182" s="84">
        <f ca="1">('Invoer gegevens'!$F$20/12)*L181*MIN(Reeksen!B181,Reeksen!D181)</f>
        <v>0</v>
      </c>
      <c r="Q182" s="84">
        <f t="shared" ca="1" si="24"/>
        <v>0</v>
      </c>
      <c r="R182" s="82">
        <f ca="1">IF('Invoer gegevens'!$C$17=E182,'Invoer gegevens'!$C$11,IF(C182=1,W181,0))</f>
        <v>0</v>
      </c>
      <c r="S182" s="86">
        <f ca="1">IF(C182&gt;=1,R182*VLOOKUP(E182,Reeksen!$A$5:$B$76,2),0)</f>
        <v>0</v>
      </c>
      <c r="T182" s="84">
        <f ca="1">(1-('Invoer gegevens'!$F$20/12))*R182*MIN(Reeksen!B182,Reeksen!D182)</f>
        <v>0</v>
      </c>
      <c r="U182" s="84">
        <f>IF(Reeksen!D182&gt;=Reeksen!B182,0,IF(Reeksen!AK182&lt;=Reeksen!AE182,(Reeksen!B182-Reeksen!D182)*R182,0))</f>
        <v>0</v>
      </c>
      <c r="V182" s="86">
        <f>IF(Reeksen!D182&gt;=Reeksen!B182,0,IF(Reeksen!AK182&gt;Reeksen!AE182,(Reeksen!B182-Reeksen!D182)*R182,0))</f>
        <v>0</v>
      </c>
      <c r="W182" s="97">
        <f t="shared" ca="1" si="25"/>
        <v>0</v>
      </c>
      <c r="X182" s="98">
        <f ca="1">IF('Invoer gegevens'!$C$17=E182,'Invoer gegevens'!$C$10-'Invoer gegevens'!$C$11,IF(C182=1,AC181,0))</f>
        <v>0</v>
      </c>
      <c r="Y182" s="98">
        <f ca="1">IF(C182&gt;=1,X182*VLOOKUP(E182,Reeksen!$A$5:$B$76,2),0)</f>
        <v>0</v>
      </c>
      <c r="Z182" s="98">
        <f ca="1">(1-('Invoer gegevens'!$F$20/12))*X182*MIN(Reeksen!B182,Reeksen!D182)</f>
        <v>0</v>
      </c>
      <c r="AA182" s="98">
        <f>IF(Reeksen!D182&gt;=Reeksen!B182,0,IF(Reeksen!AK182&lt;=Reeksen!AE182,(Reeksen!B182-Reeksen!D182)*X182,0))</f>
        <v>0</v>
      </c>
      <c r="AB182" s="98">
        <f>IF(Reeksen!D182&gt;=Reeksen!B182,0,IF(Reeksen!AK182&gt;Reeksen!AE182,(Reeksen!B182-Reeksen!D182)*X182,0))</f>
        <v>0</v>
      </c>
      <c r="AC182" s="99">
        <f t="shared" ca="1" si="26"/>
        <v>0</v>
      </c>
      <c r="AD182" s="98">
        <f ca="1">IF('Invoer gegevens'!$C$17=E182,R182,IF(C182=0,0,AE181))</f>
        <v>0</v>
      </c>
      <c r="AE182" s="98">
        <f t="shared" ca="1" si="27"/>
        <v>0</v>
      </c>
      <c r="AF182" s="98">
        <f ca="1">IF('Invoer gegevens'!$C$17=E182,X182,IF(C182=0,0,AG181))</f>
        <v>0</v>
      </c>
      <c r="AG182" s="98">
        <f t="shared" ca="1" si="28"/>
        <v>0</v>
      </c>
      <c r="AH182" s="68"/>
      <c r="AI182" s="71">
        <f ca="1">IF(C182=1,Reeksen!AJ182*((F182-G182+F182)/2)*12+Reeksen!AK182*((L182-M182+L182)/2)*12,0)</f>
        <v>0</v>
      </c>
      <c r="AJ182" s="71">
        <f ca="1">-AI182*'Invoer gegevens'!$F$28</f>
        <v>0</v>
      </c>
      <c r="AK182" s="71">
        <f t="shared" ca="1" si="22"/>
        <v>0</v>
      </c>
      <c r="AL182" s="71">
        <f ca="1">IF(C182=1,Reeksen!AL182*((F182-G182+F182)/2)*12+Reeksen!AM182*((L182-M182+L182)/2)*12,0)</f>
        <v>0</v>
      </c>
      <c r="AM182" s="71">
        <f ca="1">-AL182*'Invoer gegevens'!$F$31</f>
        <v>0</v>
      </c>
      <c r="AN182" s="71">
        <f t="shared" ca="1" si="29"/>
        <v>0</v>
      </c>
      <c r="AO182" s="71">
        <f ca="1">IF(C182=1,(H182+J182+N182+P182)*Reeksen!AN182,0)</f>
        <v>0</v>
      </c>
      <c r="AP182" s="71">
        <f ca="1">-IF(C182=1,(H182+J182+N182+P182)*'Hulp - basis'!$G$550*Reeksen!H182,0)</f>
        <v>0</v>
      </c>
      <c r="AQ182" s="71">
        <f ca="1">-IF(C182=1,(F182+K182+L182+Q182)/2*'Invoer gegevens'!$I$33*Reeksen!J182,0)*2</f>
        <v>0</v>
      </c>
      <c r="AR182" s="71">
        <f ca="1">-IF(C182=1,(I182*'Invoer gegevens'!$I$34)*Reeksen!J182,0)</f>
        <v>0</v>
      </c>
      <c r="AS182" s="71">
        <f ca="1">-IF(C182=1,(F182+K182+L182+Q182)/2*'Invoer gegevens'!$I$35*Reeksen!L182,0)</f>
        <v>0</v>
      </c>
      <c r="AT182" s="71">
        <f ca="1">-IF(C182=1,IF(E182='Invoer gegevens'!$C$17,'Invoer gegevens'!$C$11,AD182)*Reeksen!S182*'Invoer gegevens'!$C$18*Reeksen!P182,0)</f>
        <v>0</v>
      </c>
      <c r="AU182" s="71">
        <f ca="1">-IF(C182=1,(F182+K182+L182+Q182)/2*'Invoer gegevens'!$I$36*Reeksen!H182,0)</f>
        <v>0</v>
      </c>
      <c r="AV182" s="71">
        <f>IF('Invoer gegevens'!$C$3="Basis",0,#REF!)</f>
        <v>0</v>
      </c>
      <c r="AW182" s="71">
        <f t="shared" ca="1" si="30"/>
        <v>0</v>
      </c>
      <c r="AX182" s="71">
        <f ca="1">IF(E182&lt;'Invoer gegevens'!$C$17+15,0,IF(E182&gt;'Invoer gegevens'!$C$17+215,0,AW182))</f>
        <v>0</v>
      </c>
      <c r="AY182" s="71">
        <f ca="1">AX182/(1+'Invoer gegevens'!$F$18)^($AZ182-('Invoer gegevens'!$C$17-'Invoer gegevens'!$C$16))/(1+'Invoer gegevens'!$C$39)^('Invoer gegevens'!$C$17-'Invoer gegevens'!$C$16)</f>
        <v>0</v>
      </c>
      <c r="AZ182" s="68">
        <f ca="1">IF(E182-'Invoer gegevens'!$C$17-14.5&lt;0,0,E182-'Invoer gegevens'!$C$17-14.5)</f>
        <v>162.5</v>
      </c>
    </row>
    <row r="183" spans="2:52" x14ac:dyDescent="0.25">
      <c r="B183" s="70">
        <f t="shared" si="31"/>
        <v>179</v>
      </c>
      <c r="C183" s="67">
        <f ca="1">IF(E183-'Invoer gegevens'!$C$17&lt;0,0,1)</f>
        <v>1</v>
      </c>
      <c r="D183" s="68">
        <f t="shared" si="32"/>
        <v>178.5</v>
      </c>
      <c r="E183" s="108">
        <f ca="1">IF('Invoer gegevens'!$C$16="","",E182+1)</f>
        <v>2197</v>
      </c>
      <c r="F183" s="84">
        <f ca="1">IF('Invoer gegevens'!$C$17=E183,'Invoer gegevens'!$C$10,IF(C183=1,K182,0))</f>
        <v>0</v>
      </c>
      <c r="G183" s="96">
        <f ca="1">IF(C183&gt;=1,F183*VLOOKUP(E183,Reeksen!$A$5:$B$76,2),0)</f>
        <v>0</v>
      </c>
      <c r="H183" s="84">
        <f ca="1">(1-('Invoer gegevens'!$F$20/12))*F183*MIN(Reeksen!B183,Reeksen!D183)</f>
        <v>0</v>
      </c>
      <c r="I183" s="84">
        <f>IF(Reeksen!D183&lt;Reeksen!B183,(Reeksen!B183-Reeksen!D183)*F183,0)</f>
        <v>0</v>
      </c>
      <c r="J183" s="84">
        <f ca="1">('Invoer gegevens'!$F$20/12)*F182*MIN(Reeksen!B182,Reeksen!D182)</f>
        <v>0</v>
      </c>
      <c r="K183" s="97">
        <f t="shared" ca="1" si="23"/>
        <v>0</v>
      </c>
      <c r="L183" s="84">
        <f ca="1">IF('Invoer gegevens'!$C$17=E183,0,IF(C183=1,Q182,0))</f>
        <v>0</v>
      </c>
      <c r="M183" s="96">
        <f ca="1">IF(C183&gt;=1,L183*VLOOKUP(E183,Reeksen!$A$5:$B$76,2),0)</f>
        <v>0</v>
      </c>
      <c r="N183" s="84">
        <f ca="1">(1-('Invoer gegevens'!$F$20/12))*L183*MIN(Reeksen!B183,Reeksen!D183)</f>
        <v>0</v>
      </c>
      <c r="O183" s="84">
        <f>IF(Reeksen!D183&lt;Reeksen!B183,(Reeksen!B183-Reeksen!D183)*L183,0)</f>
        <v>0</v>
      </c>
      <c r="P183" s="84">
        <f ca="1">('Invoer gegevens'!$F$20/12)*L182*MIN(Reeksen!B182,Reeksen!D182)</f>
        <v>0</v>
      </c>
      <c r="Q183" s="84">
        <f t="shared" ca="1" si="24"/>
        <v>0</v>
      </c>
      <c r="R183" s="82">
        <f ca="1">IF('Invoer gegevens'!$C$17=E183,'Invoer gegevens'!$C$11,IF(C183=1,W182,0))</f>
        <v>0</v>
      </c>
      <c r="S183" s="86">
        <f ca="1">IF(C183&gt;=1,R183*VLOOKUP(E183,Reeksen!$A$5:$B$76,2),0)</f>
        <v>0</v>
      </c>
      <c r="T183" s="84">
        <f ca="1">(1-('Invoer gegevens'!$F$20/12))*R183*MIN(Reeksen!B183,Reeksen!D183)</f>
        <v>0</v>
      </c>
      <c r="U183" s="84">
        <f>IF(Reeksen!D183&gt;=Reeksen!B183,0,IF(Reeksen!AK183&lt;=Reeksen!AE183,(Reeksen!B183-Reeksen!D183)*R183,0))</f>
        <v>0</v>
      </c>
      <c r="V183" s="86">
        <f>IF(Reeksen!D183&gt;=Reeksen!B183,0,IF(Reeksen!AK183&gt;Reeksen!AE183,(Reeksen!B183-Reeksen!D183)*R183,0))</f>
        <v>0</v>
      </c>
      <c r="W183" s="97">
        <f t="shared" ca="1" si="25"/>
        <v>0</v>
      </c>
      <c r="X183" s="98">
        <f ca="1">IF('Invoer gegevens'!$C$17=E183,'Invoer gegevens'!$C$10-'Invoer gegevens'!$C$11,IF(C183=1,AC182,0))</f>
        <v>0</v>
      </c>
      <c r="Y183" s="98">
        <f ca="1">IF(C183&gt;=1,X183*VLOOKUP(E183,Reeksen!$A$5:$B$76,2),0)</f>
        <v>0</v>
      </c>
      <c r="Z183" s="98">
        <f ca="1">(1-('Invoer gegevens'!$F$20/12))*X183*MIN(Reeksen!B183,Reeksen!D183)</f>
        <v>0</v>
      </c>
      <c r="AA183" s="98">
        <f>IF(Reeksen!D183&gt;=Reeksen!B183,0,IF(Reeksen!AK183&lt;=Reeksen!AE183,(Reeksen!B183-Reeksen!D183)*X183,0))</f>
        <v>0</v>
      </c>
      <c r="AB183" s="98">
        <f>IF(Reeksen!D183&gt;=Reeksen!B183,0,IF(Reeksen!AK183&gt;Reeksen!AE183,(Reeksen!B183-Reeksen!D183)*X183,0))</f>
        <v>0</v>
      </c>
      <c r="AC183" s="99">
        <f t="shared" ca="1" si="26"/>
        <v>0</v>
      </c>
      <c r="AD183" s="98">
        <f ca="1">IF('Invoer gegevens'!$C$17=E183,R183,IF(C183=0,0,AE182))</f>
        <v>0</v>
      </c>
      <c r="AE183" s="98">
        <f t="shared" ca="1" si="27"/>
        <v>0</v>
      </c>
      <c r="AF183" s="98">
        <f ca="1">IF('Invoer gegevens'!$C$17=E183,X183,IF(C183=0,0,AG182))</f>
        <v>0</v>
      </c>
      <c r="AG183" s="98">
        <f t="shared" ca="1" si="28"/>
        <v>0</v>
      </c>
      <c r="AH183" s="68"/>
      <c r="AI183" s="71">
        <f ca="1">IF(C183=1,Reeksen!AJ183*((F183-G183+F183)/2)*12+Reeksen!AK183*((L183-M183+L183)/2)*12,0)</f>
        <v>0</v>
      </c>
      <c r="AJ183" s="71">
        <f ca="1">-AI183*'Invoer gegevens'!$F$28</f>
        <v>0</v>
      </c>
      <c r="AK183" s="71">
        <f t="shared" ca="1" si="22"/>
        <v>0</v>
      </c>
      <c r="AL183" s="71">
        <f ca="1">IF(C183=1,Reeksen!AL183*((F183-G183+F183)/2)*12+Reeksen!AM183*((L183-M183+L183)/2)*12,0)</f>
        <v>0</v>
      </c>
      <c r="AM183" s="71">
        <f ca="1">-AL183*'Invoer gegevens'!$F$31</f>
        <v>0</v>
      </c>
      <c r="AN183" s="71">
        <f t="shared" ca="1" si="29"/>
        <v>0</v>
      </c>
      <c r="AO183" s="71">
        <f ca="1">IF(C183=1,(H183+J183+N183+P183)*Reeksen!AN183,0)</f>
        <v>0</v>
      </c>
      <c r="AP183" s="71">
        <f ca="1">-IF(C183=1,(H183+J183+N183+P183)*'Hulp - basis'!$G$550*Reeksen!H183,0)</f>
        <v>0</v>
      </c>
      <c r="AQ183" s="71">
        <f ca="1">-IF(C183=1,(F183+K183+L183+Q183)/2*'Invoer gegevens'!$I$33*Reeksen!J183,0)*2</f>
        <v>0</v>
      </c>
      <c r="AR183" s="71">
        <f ca="1">-IF(C183=1,(I183*'Invoer gegevens'!$I$34)*Reeksen!J183,0)</f>
        <v>0</v>
      </c>
      <c r="AS183" s="71">
        <f ca="1">-IF(C183=1,(F183+K183+L183+Q183)/2*'Invoer gegevens'!$I$35*Reeksen!L183,0)</f>
        <v>0</v>
      </c>
      <c r="AT183" s="71">
        <f ca="1">-IF(C183=1,IF(E183='Invoer gegevens'!$C$17,'Invoer gegevens'!$C$11,AD183)*Reeksen!S183*'Invoer gegevens'!$C$18*Reeksen!P183,0)</f>
        <v>0</v>
      </c>
      <c r="AU183" s="71">
        <f ca="1">-IF(C183=1,(F183+K183+L183+Q183)/2*'Invoer gegevens'!$I$36*Reeksen!H183,0)</f>
        <v>0</v>
      </c>
      <c r="AV183" s="71">
        <f>IF('Invoer gegevens'!$C$3="Basis",0,#REF!)</f>
        <v>0</v>
      </c>
      <c r="AW183" s="71">
        <f t="shared" ca="1" si="30"/>
        <v>0</v>
      </c>
      <c r="AX183" s="71">
        <f ca="1">IF(E183&lt;'Invoer gegevens'!$C$17+15,0,IF(E183&gt;'Invoer gegevens'!$C$17+215,0,AW183))</f>
        <v>0</v>
      </c>
      <c r="AY183" s="71">
        <f ca="1">AX183/(1+'Invoer gegevens'!$F$18)^($AZ183-('Invoer gegevens'!$C$17-'Invoer gegevens'!$C$16))/(1+'Invoer gegevens'!$C$39)^('Invoer gegevens'!$C$17-'Invoer gegevens'!$C$16)</f>
        <v>0</v>
      </c>
      <c r="AZ183" s="68">
        <f ca="1">IF(E183-'Invoer gegevens'!$C$17-14.5&lt;0,0,E183-'Invoer gegevens'!$C$17-14.5)</f>
        <v>163.5</v>
      </c>
    </row>
    <row r="184" spans="2:52" x14ac:dyDescent="0.25">
      <c r="B184" s="70">
        <f t="shared" si="31"/>
        <v>180</v>
      </c>
      <c r="C184" s="67">
        <f ca="1">IF(E184-'Invoer gegevens'!$C$17&lt;0,0,1)</f>
        <v>1</v>
      </c>
      <c r="D184" s="68">
        <f t="shared" si="32"/>
        <v>179.5</v>
      </c>
      <c r="E184" s="108">
        <f ca="1">IF('Invoer gegevens'!$C$16="","",E183+1)</f>
        <v>2198</v>
      </c>
      <c r="F184" s="84">
        <f ca="1">IF('Invoer gegevens'!$C$17=E184,'Invoer gegevens'!$C$10,IF(C184=1,K183,0))</f>
        <v>0</v>
      </c>
      <c r="G184" s="96">
        <f ca="1">IF(C184&gt;=1,F184*VLOOKUP(E184,Reeksen!$A$5:$B$76,2),0)</f>
        <v>0</v>
      </c>
      <c r="H184" s="84">
        <f ca="1">(1-('Invoer gegevens'!$F$20/12))*F184*MIN(Reeksen!B184,Reeksen!D184)</f>
        <v>0</v>
      </c>
      <c r="I184" s="84">
        <f>IF(Reeksen!D184&lt;Reeksen!B184,(Reeksen!B184-Reeksen!D184)*F184,0)</f>
        <v>0</v>
      </c>
      <c r="J184" s="84">
        <f ca="1">('Invoer gegevens'!$F$20/12)*F183*MIN(Reeksen!B183,Reeksen!D183)</f>
        <v>0</v>
      </c>
      <c r="K184" s="97">
        <f t="shared" ca="1" si="23"/>
        <v>0</v>
      </c>
      <c r="L184" s="84">
        <f ca="1">IF('Invoer gegevens'!$C$17=E184,0,IF(C184=1,Q183,0))</f>
        <v>0</v>
      </c>
      <c r="M184" s="96">
        <f ca="1">IF(C184&gt;=1,L184*VLOOKUP(E184,Reeksen!$A$5:$B$76,2),0)</f>
        <v>0</v>
      </c>
      <c r="N184" s="84">
        <f ca="1">(1-('Invoer gegevens'!$F$20/12))*L184*MIN(Reeksen!B184,Reeksen!D184)</f>
        <v>0</v>
      </c>
      <c r="O184" s="84">
        <f>IF(Reeksen!D184&lt;Reeksen!B184,(Reeksen!B184-Reeksen!D184)*L184,0)</f>
        <v>0</v>
      </c>
      <c r="P184" s="84">
        <f ca="1">('Invoer gegevens'!$F$20/12)*L183*MIN(Reeksen!B183,Reeksen!D183)</f>
        <v>0</v>
      </c>
      <c r="Q184" s="84">
        <f t="shared" ca="1" si="24"/>
        <v>0</v>
      </c>
      <c r="R184" s="82">
        <f ca="1">IF('Invoer gegevens'!$C$17=E184,'Invoer gegevens'!$C$11,IF(C184=1,W183,0))</f>
        <v>0</v>
      </c>
      <c r="S184" s="86">
        <f ca="1">IF(C184&gt;=1,R184*VLOOKUP(E184,Reeksen!$A$5:$B$76,2),0)</f>
        <v>0</v>
      </c>
      <c r="T184" s="84">
        <f ca="1">(1-('Invoer gegevens'!$F$20/12))*R184*MIN(Reeksen!B184,Reeksen!D184)</f>
        <v>0</v>
      </c>
      <c r="U184" s="84">
        <f>IF(Reeksen!D184&gt;=Reeksen!B184,0,IF(Reeksen!AK184&lt;=Reeksen!AE184,(Reeksen!B184-Reeksen!D184)*R184,0))</f>
        <v>0</v>
      </c>
      <c r="V184" s="86">
        <f>IF(Reeksen!D184&gt;=Reeksen!B184,0,IF(Reeksen!AK184&gt;Reeksen!AE184,(Reeksen!B184-Reeksen!D184)*R184,0))</f>
        <v>0</v>
      </c>
      <c r="W184" s="97">
        <f t="shared" ca="1" si="25"/>
        <v>0</v>
      </c>
      <c r="X184" s="98">
        <f ca="1">IF('Invoer gegevens'!$C$17=E184,'Invoer gegevens'!$C$10-'Invoer gegevens'!$C$11,IF(C184=1,AC183,0))</f>
        <v>0</v>
      </c>
      <c r="Y184" s="98">
        <f ca="1">IF(C184&gt;=1,X184*VLOOKUP(E184,Reeksen!$A$5:$B$76,2),0)</f>
        <v>0</v>
      </c>
      <c r="Z184" s="98">
        <f ca="1">(1-('Invoer gegevens'!$F$20/12))*X184*MIN(Reeksen!B184,Reeksen!D184)</f>
        <v>0</v>
      </c>
      <c r="AA184" s="98">
        <f>IF(Reeksen!D184&gt;=Reeksen!B184,0,IF(Reeksen!AK184&lt;=Reeksen!AE184,(Reeksen!B184-Reeksen!D184)*X184,0))</f>
        <v>0</v>
      </c>
      <c r="AB184" s="98">
        <f>IF(Reeksen!D184&gt;=Reeksen!B184,0,IF(Reeksen!AK184&gt;Reeksen!AE184,(Reeksen!B184-Reeksen!D184)*X184,0))</f>
        <v>0</v>
      </c>
      <c r="AC184" s="99">
        <f t="shared" ca="1" si="26"/>
        <v>0</v>
      </c>
      <c r="AD184" s="98">
        <f ca="1">IF('Invoer gegevens'!$C$17=E184,R184,IF(C184=0,0,AE183))</f>
        <v>0</v>
      </c>
      <c r="AE184" s="98">
        <f t="shared" ca="1" si="27"/>
        <v>0</v>
      </c>
      <c r="AF184" s="98">
        <f ca="1">IF('Invoer gegevens'!$C$17=E184,X184,IF(C184=0,0,AG183))</f>
        <v>0</v>
      </c>
      <c r="AG184" s="98">
        <f t="shared" ca="1" si="28"/>
        <v>0</v>
      </c>
      <c r="AH184" s="68"/>
      <c r="AI184" s="71">
        <f ca="1">IF(C184=1,Reeksen!AJ184*((F184-G184+F184)/2)*12+Reeksen!AK184*((L184-M184+L184)/2)*12,0)</f>
        <v>0</v>
      </c>
      <c r="AJ184" s="71">
        <f ca="1">-AI184*'Invoer gegevens'!$F$28</f>
        <v>0</v>
      </c>
      <c r="AK184" s="71">
        <f t="shared" ca="1" si="22"/>
        <v>0</v>
      </c>
      <c r="AL184" s="71">
        <f ca="1">IF(C184=1,Reeksen!AL184*((F184-G184+F184)/2)*12+Reeksen!AM184*((L184-M184+L184)/2)*12,0)</f>
        <v>0</v>
      </c>
      <c r="AM184" s="71">
        <f ca="1">-AL184*'Invoer gegevens'!$F$31</f>
        <v>0</v>
      </c>
      <c r="AN184" s="71">
        <f t="shared" ca="1" si="29"/>
        <v>0</v>
      </c>
      <c r="AO184" s="71">
        <f ca="1">IF(C184=1,(H184+J184+N184+P184)*Reeksen!AN184,0)</f>
        <v>0</v>
      </c>
      <c r="AP184" s="71">
        <f ca="1">-IF(C184=1,(H184+J184+N184+P184)*'Hulp - basis'!$G$550*Reeksen!H184,0)</f>
        <v>0</v>
      </c>
      <c r="AQ184" s="71">
        <f ca="1">-IF(C184=1,(F184+K184+L184+Q184)/2*'Invoer gegevens'!$I$33*Reeksen!J184,0)*2</f>
        <v>0</v>
      </c>
      <c r="AR184" s="71">
        <f ca="1">-IF(C184=1,(I184*'Invoer gegevens'!$I$34)*Reeksen!J184,0)</f>
        <v>0</v>
      </c>
      <c r="AS184" s="71">
        <f ca="1">-IF(C184=1,(F184+K184+L184+Q184)/2*'Invoer gegevens'!$I$35*Reeksen!L184,0)</f>
        <v>0</v>
      </c>
      <c r="AT184" s="71">
        <f ca="1">-IF(C184=1,IF(E184='Invoer gegevens'!$C$17,'Invoer gegevens'!$C$11,AD184)*Reeksen!S184*'Invoer gegevens'!$C$18*Reeksen!P184,0)</f>
        <v>0</v>
      </c>
      <c r="AU184" s="71">
        <f ca="1">-IF(C184=1,(F184+K184+L184+Q184)/2*'Invoer gegevens'!$I$36*Reeksen!H184,0)</f>
        <v>0</v>
      </c>
      <c r="AV184" s="71">
        <f>IF('Invoer gegevens'!$C$3="Basis",0,#REF!)</f>
        <v>0</v>
      </c>
      <c r="AW184" s="71">
        <f t="shared" ca="1" si="30"/>
        <v>0</v>
      </c>
      <c r="AX184" s="71">
        <f ca="1">IF(E184&lt;'Invoer gegevens'!$C$17+15,0,IF(E184&gt;'Invoer gegevens'!$C$17+215,0,AW184))</f>
        <v>0</v>
      </c>
      <c r="AY184" s="71">
        <f ca="1">AX184/(1+'Invoer gegevens'!$F$18)^($AZ184-('Invoer gegevens'!$C$17-'Invoer gegevens'!$C$16))/(1+'Invoer gegevens'!$C$39)^('Invoer gegevens'!$C$17-'Invoer gegevens'!$C$16)</f>
        <v>0</v>
      </c>
      <c r="AZ184" s="68">
        <f ca="1">IF(E184-'Invoer gegevens'!$C$17-14.5&lt;0,0,E184-'Invoer gegevens'!$C$17-14.5)</f>
        <v>164.5</v>
      </c>
    </row>
    <row r="185" spans="2:52" x14ac:dyDescent="0.25">
      <c r="B185" s="70">
        <f t="shared" si="31"/>
        <v>181</v>
      </c>
      <c r="C185" s="67">
        <f ca="1">IF(E185-'Invoer gegevens'!$C$17&lt;0,0,1)</f>
        <v>1</v>
      </c>
      <c r="D185" s="68">
        <f t="shared" si="32"/>
        <v>180.5</v>
      </c>
      <c r="E185" s="108">
        <f ca="1">IF('Invoer gegevens'!$C$16="","",E184+1)</f>
        <v>2199</v>
      </c>
      <c r="F185" s="84">
        <f ca="1">IF('Invoer gegevens'!$C$17=E185,'Invoer gegevens'!$C$10,IF(C185=1,K184,0))</f>
        <v>0</v>
      </c>
      <c r="G185" s="96">
        <f ca="1">IF(C185&gt;=1,F185*VLOOKUP(E185,Reeksen!$A$5:$B$76,2),0)</f>
        <v>0</v>
      </c>
      <c r="H185" s="84">
        <f ca="1">(1-('Invoer gegevens'!$F$20/12))*F185*MIN(Reeksen!B185,Reeksen!D185)</f>
        <v>0</v>
      </c>
      <c r="I185" s="84">
        <f>IF(Reeksen!D185&lt;Reeksen!B185,(Reeksen!B185-Reeksen!D185)*F185,0)</f>
        <v>0</v>
      </c>
      <c r="J185" s="84">
        <f ca="1">('Invoer gegevens'!$F$20/12)*F184*MIN(Reeksen!B184,Reeksen!D184)</f>
        <v>0</v>
      </c>
      <c r="K185" s="97">
        <f t="shared" ca="1" si="23"/>
        <v>0</v>
      </c>
      <c r="L185" s="84">
        <f ca="1">IF('Invoer gegevens'!$C$17=E185,0,IF(C185=1,Q184,0))</f>
        <v>0</v>
      </c>
      <c r="M185" s="96">
        <f ca="1">IF(C185&gt;=1,L185*VLOOKUP(E185,Reeksen!$A$5:$B$76,2),0)</f>
        <v>0</v>
      </c>
      <c r="N185" s="84">
        <f ca="1">(1-('Invoer gegevens'!$F$20/12))*L185*MIN(Reeksen!B185,Reeksen!D185)</f>
        <v>0</v>
      </c>
      <c r="O185" s="84">
        <f>IF(Reeksen!D185&lt;Reeksen!B185,(Reeksen!B185-Reeksen!D185)*L185,0)</f>
        <v>0</v>
      </c>
      <c r="P185" s="84">
        <f ca="1">('Invoer gegevens'!$F$20/12)*L184*MIN(Reeksen!B184,Reeksen!D184)</f>
        <v>0</v>
      </c>
      <c r="Q185" s="84">
        <f t="shared" ca="1" si="24"/>
        <v>0</v>
      </c>
      <c r="R185" s="82">
        <f ca="1">IF('Invoer gegevens'!$C$17=E185,'Invoer gegevens'!$C$11,IF(C185=1,W184,0))</f>
        <v>0</v>
      </c>
      <c r="S185" s="86">
        <f ca="1">IF(C185&gt;=1,R185*VLOOKUP(E185,Reeksen!$A$5:$B$76,2),0)</f>
        <v>0</v>
      </c>
      <c r="T185" s="84">
        <f ca="1">(1-('Invoer gegevens'!$F$20/12))*R185*MIN(Reeksen!B185,Reeksen!D185)</f>
        <v>0</v>
      </c>
      <c r="U185" s="84">
        <f>IF(Reeksen!D185&gt;=Reeksen!B185,0,IF(Reeksen!AK185&lt;=Reeksen!AE185,(Reeksen!B185-Reeksen!D185)*R185,0))</f>
        <v>0</v>
      </c>
      <c r="V185" s="86">
        <f>IF(Reeksen!D185&gt;=Reeksen!B185,0,IF(Reeksen!AK185&gt;Reeksen!AE185,(Reeksen!B185-Reeksen!D185)*R185,0))</f>
        <v>0</v>
      </c>
      <c r="W185" s="97">
        <f t="shared" ca="1" si="25"/>
        <v>0</v>
      </c>
      <c r="X185" s="98">
        <f ca="1">IF('Invoer gegevens'!$C$17=E185,'Invoer gegevens'!$C$10-'Invoer gegevens'!$C$11,IF(C185=1,AC184,0))</f>
        <v>0</v>
      </c>
      <c r="Y185" s="98">
        <f ca="1">IF(C185&gt;=1,X185*VLOOKUP(E185,Reeksen!$A$5:$B$76,2),0)</f>
        <v>0</v>
      </c>
      <c r="Z185" s="98">
        <f ca="1">(1-('Invoer gegevens'!$F$20/12))*X185*MIN(Reeksen!B185,Reeksen!D185)</f>
        <v>0</v>
      </c>
      <c r="AA185" s="98">
        <f>IF(Reeksen!D185&gt;=Reeksen!B185,0,IF(Reeksen!AK185&lt;=Reeksen!AE185,(Reeksen!B185-Reeksen!D185)*X185,0))</f>
        <v>0</v>
      </c>
      <c r="AB185" s="98">
        <f>IF(Reeksen!D185&gt;=Reeksen!B185,0,IF(Reeksen!AK185&gt;Reeksen!AE185,(Reeksen!B185-Reeksen!D185)*X185,0))</f>
        <v>0</v>
      </c>
      <c r="AC185" s="99">
        <f t="shared" ca="1" si="26"/>
        <v>0</v>
      </c>
      <c r="AD185" s="98">
        <f ca="1">IF('Invoer gegevens'!$C$17=E185,R185,IF(C185=0,0,AE184))</f>
        <v>0</v>
      </c>
      <c r="AE185" s="98">
        <f t="shared" ca="1" si="27"/>
        <v>0</v>
      </c>
      <c r="AF185" s="98">
        <f ca="1">IF('Invoer gegevens'!$C$17=E185,X185,IF(C185=0,0,AG184))</f>
        <v>0</v>
      </c>
      <c r="AG185" s="98">
        <f t="shared" ca="1" si="28"/>
        <v>0</v>
      </c>
      <c r="AH185" s="68"/>
      <c r="AI185" s="71">
        <f ca="1">IF(C185=1,Reeksen!AJ185*((F185-G185+F185)/2)*12+Reeksen!AK185*((L185-M185+L185)/2)*12,0)</f>
        <v>0</v>
      </c>
      <c r="AJ185" s="71">
        <f ca="1">-AI185*'Invoer gegevens'!$F$28</f>
        <v>0</v>
      </c>
      <c r="AK185" s="71">
        <f t="shared" ca="1" si="22"/>
        <v>0</v>
      </c>
      <c r="AL185" s="71">
        <f ca="1">IF(C185=1,Reeksen!AL185*((F185-G185+F185)/2)*12+Reeksen!AM185*((L185-M185+L185)/2)*12,0)</f>
        <v>0</v>
      </c>
      <c r="AM185" s="71">
        <f ca="1">-AL185*'Invoer gegevens'!$F$31</f>
        <v>0</v>
      </c>
      <c r="AN185" s="71">
        <f t="shared" ca="1" si="29"/>
        <v>0</v>
      </c>
      <c r="AO185" s="71">
        <f ca="1">IF(C185=1,(H185+J185+N185+P185)*Reeksen!AN185,0)</f>
        <v>0</v>
      </c>
      <c r="AP185" s="71">
        <f ca="1">-IF(C185=1,(H185+J185+N185+P185)*'Hulp - basis'!$G$550*Reeksen!H185,0)</f>
        <v>0</v>
      </c>
      <c r="AQ185" s="71">
        <f ca="1">-IF(C185=1,(F185+K185+L185+Q185)/2*'Invoer gegevens'!$I$33*Reeksen!J185,0)*2</f>
        <v>0</v>
      </c>
      <c r="AR185" s="71">
        <f ca="1">-IF(C185=1,(I185*'Invoer gegevens'!$I$34)*Reeksen!J185,0)</f>
        <v>0</v>
      </c>
      <c r="AS185" s="71">
        <f ca="1">-IF(C185=1,(F185+K185+L185+Q185)/2*'Invoer gegevens'!$I$35*Reeksen!L185,0)</f>
        <v>0</v>
      </c>
      <c r="AT185" s="71">
        <f ca="1">-IF(C185=1,IF(E185='Invoer gegevens'!$C$17,'Invoer gegevens'!$C$11,AD185)*Reeksen!S185*'Invoer gegevens'!$C$18*Reeksen!P185,0)</f>
        <v>0</v>
      </c>
      <c r="AU185" s="71">
        <f ca="1">-IF(C185=1,(F185+K185+L185+Q185)/2*'Invoer gegevens'!$I$36*Reeksen!H185,0)</f>
        <v>0</v>
      </c>
      <c r="AV185" s="71">
        <f>IF('Invoer gegevens'!$C$3="Basis",0,#REF!)</f>
        <v>0</v>
      </c>
      <c r="AW185" s="71">
        <f t="shared" ca="1" si="30"/>
        <v>0</v>
      </c>
      <c r="AX185" s="71">
        <f ca="1">IF(E185&lt;'Invoer gegevens'!$C$17+15,0,IF(E185&gt;'Invoer gegevens'!$C$17+215,0,AW185))</f>
        <v>0</v>
      </c>
      <c r="AY185" s="71">
        <f ca="1">AX185/(1+'Invoer gegevens'!$F$18)^($AZ185-('Invoer gegevens'!$C$17-'Invoer gegevens'!$C$16))/(1+'Invoer gegevens'!$C$39)^('Invoer gegevens'!$C$17-'Invoer gegevens'!$C$16)</f>
        <v>0</v>
      </c>
      <c r="AZ185" s="68">
        <f ca="1">IF(E185-'Invoer gegevens'!$C$17-14.5&lt;0,0,E185-'Invoer gegevens'!$C$17-14.5)</f>
        <v>165.5</v>
      </c>
    </row>
    <row r="186" spans="2:52" x14ac:dyDescent="0.25">
      <c r="B186" s="70">
        <f t="shared" si="31"/>
        <v>182</v>
      </c>
      <c r="C186" s="67">
        <f ca="1">IF(E186-'Invoer gegevens'!$C$17&lt;0,0,1)</f>
        <v>1</v>
      </c>
      <c r="D186" s="68">
        <f t="shared" si="32"/>
        <v>181.5</v>
      </c>
      <c r="E186" s="108">
        <f ca="1">IF('Invoer gegevens'!$C$16="","",E185+1)</f>
        <v>2200</v>
      </c>
      <c r="F186" s="84">
        <f ca="1">IF('Invoer gegevens'!$C$17=E186,'Invoer gegevens'!$C$10,IF(C186=1,K185,0))</f>
        <v>0</v>
      </c>
      <c r="G186" s="96">
        <f ca="1">IF(C186&gt;=1,F186*VLOOKUP(E186,Reeksen!$A$5:$B$76,2),0)</f>
        <v>0</v>
      </c>
      <c r="H186" s="84">
        <f ca="1">(1-('Invoer gegevens'!$F$20/12))*F186*MIN(Reeksen!B186,Reeksen!D186)</f>
        <v>0</v>
      </c>
      <c r="I186" s="84">
        <f>IF(Reeksen!D186&lt;Reeksen!B186,(Reeksen!B186-Reeksen!D186)*F186,0)</f>
        <v>0</v>
      </c>
      <c r="J186" s="84">
        <f ca="1">('Invoer gegevens'!$F$20/12)*F185*MIN(Reeksen!B185,Reeksen!D185)</f>
        <v>0</v>
      </c>
      <c r="K186" s="97">
        <f t="shared" ca="1" si="23"/>
        <v>0</v>
      </c>
      <c r="L186" s="84">
        <f ca="1">IF('Invoer gegevens'!$C$17=E186,0,IF(C186=1,Q185,0))</f>
        <v>0</v>
      </c>
      <c r="M186" s="96">
        <f ca="1">IF(C186&gt;=1,L186*VLOOKUP(E186,Reeksen!$A$5:$B$76,2),0)</f>
        <v>0</v>
      </c>
      <c r="N186" s="84">
        <f ca="1">(1-('Invoer gegevens'!$F$20/12))*L186*MIN(Reeksen!B186,Reeksen!D186)</f>
        <v>0</v>
      </c>
      <c r="O186" s="84">
        <f>IF(Reeksen!D186&lt;Reeksen!B186,(Reeksen!B186-Reeksen!D186)*L186,0)</f>
        <v>0</v>
      </c>
      <c r="P186" s="84">
        <f ca="1">('Invoer gegevens'!$F$20/12)*L185*MIN(Reeksen!B185,Reeksen!D185)</f>
        <v>0</v>
      </c>
      <c r="Q186" s="84">
        <f t="shared" ca="1" si="24"/>
        <v>0</v>
      </c>
      <c r="R186" s="82">
        <f ca="1">IF('Invoer gegevens'!$C$17=E186,'Invoer gegevens'!$C$11,IF(C186=1,W185,0))</f>
        <v>0</v>
      </c>
      <c r="S186" s="86">
        <f ca="1">IF(C186&gt;=1,R186*VLOOKUP(E186,Reeksen!$A$5:$B$76,2),0)</f>
        <v>0</v>
      </c>
      <c r="T186" s="84">
        <f ca="1">(1-('Invoer gegevens'!$F$20/12))*R186*MIN(Reeksen!B186,Reeksen!D186)</f>
        <v>0</v>
      </c>
      <c r="U186" s="84">
        <f>IF(Reeksen!D186&gt;=Reeksen!B186,0,IF(Reeksen!AK186&lt;=Reeksen!AE186,(Reeksen!B186-Reeksen!D186)*R186,0))</f>
        <v>0</v>
      </c>
      <c r="V186" s="86">
        <f>IF(Reeksen!D186&gt;=Reeksen!B186,0,IF(Reeksen!AK186&gt;Reeksen!AE186,(Reeksen!B186-Reeksen!D186)*R186,0))</f>
        <v>0</v>
      </c>
      <c r="W186" s="97">
        <f t="shared" ca="1" si="25"/>
        <v>0</v>
      </c>
      <c r="X186" s="98">
        <f ca="1">IF('Invoer gegevens'!$C$17=E186,'Invoer gegevens'!$C$10-'Invoer gegevens'!$C$11,IF(C186=1,AC185,0))</f>
        <v>0</v>
      </c>
      <c r="Y186" s="98">
        <f ca="1">IF(C186&gt;=1,X186*VLOOKUP(E186,Reeksen!$A$5:$B$76,2),0)</f>
        <v>0</v>
      </c>
      <c r="Z186" s="98">
        <f ca="1">(1-('Invoer gegevens'!$F$20/12))*X186*MIN(Reeksen!B186,Reeksen!D186)</f>
        <v>0</v>
      </c>
      <c r="AA186" s="98">
        <f>IF(Reeksen!D186&gt;=Reeksen!B186,0,IF(Reeksen!AK186&lt;=Reeksen!AE186,(Reeksen!B186-Reeksen!D186)*X186,0))</f>
        <v>0</v>
      </c>
      <c r="AB186" s="98">
        <f>IF(Reeksen!D186&gt;=Reeksen!B186,0,IF(Reeksen!AK186&gt;Reeksen!AE186,(Reeksen!B186-Reeksen!D186)*X186,0))</f>
        <v>0</v>
      </c>
      <c r="AC186" s="99">
        <f t="shared" ca="1" si="26"/>
        <v>0</v>
      </c>
      <c r="AD186" s="98">
        <f ca="1">IF('Invoer gegevens'!$C$17=E186,R186,IF(C186=0,0,AE185))</f>
        <v>0</v>
      </c>
      <c r="AE186" s="98">
        <f t="shared" ca="1" si="27"/>
        <v>0</v>
      </c>
      <c r="AF186" s="98">
        <f ca="1">IF('Invoer gegevens'!$C$17=E186,X186,IF(C186=0,0,AG185))</f>
        <v>0</v>
      </c>
      <c r="AG186" s="98">
        <f t="shared" ca="1" si="28"/>
        <v>0</v>
      </c>
      <c r="AH186" s="68"/>
      <c r="AI186" s="71">
        <f ca="1">IF(C186=1,Reeksen!AJ186*((F186-G186+F186)/2)*12+Reeksen!AK186*((L186-M186+L186)/2)*12,0)</f>
        <v>0</v>
      </c>
      <c r="AJ186" s="71">
        <f ca="1">-AI186*'Invoer gegevens'!$F$28</f>
        <v>0</v>
      </c>
      <c r="AK186" s="71">
        <f t="shared" ca="1" si="22"/>
        <v>0</v>
      </c>
      <c r="AL186" s="71">
        <f ca="1">IF(C186=1,Reeksen!AL186*((F186-G186+F186)/2)*12+Reeksen!AM186*((L186-M186+L186)/2)*12,0)</f>
        <v>0</v>
      </c>
      <c r="AM186" s="71">
        <f ca="1">-AL186*'Invoer gegevens'!$F$31</f>
        <v>0</v>
      </c>
      <c r="AN186" s="71">
        <f t="shared" ca="1" si="29"/>
        <v>0</v>
      </c>
      <c r="AO186" s="71">
        <f ca="1">IF(C186=1,(H186+J186+N186+P186)*Reeksen!AN186,0)</f>
        <v>0</v>
      </c>
      <c r="AP186" s="71">
        <f ca="1">-IF(C186=1,(H186+J186+N186+P186)*'Hulp - basis'!$G$550*Reeksen!H186,0)</f>
        <v>0</v>
      </c>
      <c r="AQ186" s="71">
        <f ca="1">-IF(C186=1,(F186+K186+L186+Q186)/2*'Invoer gegevens'!$I$33*Reeksen!J186,0)*2</f>
        <v>0</v>
      </c>
      <c r="AR186" s="71">
        <f ca="1">-IF(C186=1,(I186*'Invoer gegevens'!$I$34)*Reeksen!J186,0)</f>
        <v>0</v>
      </c>
      <c r="AS186" s="71">
        <f ca="1">-IF(C186=1,(F186+K186+L186+Q186)/2*'Invoer gegevens'!$I$35*Reeksen!L186,0)</f>
        <v>0</v>
      </c>
      <c r="AT186" s="71">
        <f ca="1">-IF(C186=1,IF(E186='Invoer gegevens'!$C$17,'Invoer gegevens'!$C$11,AD186)*Reeksen!S186*'Invoer gegevens'!$C$18*Reeksen!P186,0)</f>
        <v>0</v>
      </c>
      <c r="AU186" s="71">
        <f ca="1">-IF(C186=1,(F186+K186+L186+Q186)/2*'Invoer gegevens'!$I$36*Reeksen!H186,0)</f>
        <v>0</v>
      </c>
      <c r="AV186" s="71">
        <f>IF('Invoer gegevens'!$C$3="Basis",0,#REF!)</f>
        <v>0</v>
      </c>
      <c r="AW186" s="71">
        <f t="shared" ca="1" si="30"/>
        <v>0</v>
      </c>
      <c r="AX186" s="71">
        <f ca="1">IF(E186&lt;'Invoer gegevens'!$C$17+15,0,IF(E186&gt;'Invoer gegevens'!$C$17+215,0,AW186))</f>
        <v>0</v>
      </c>
      <c r="AY186" s="71">
        <f ca="1">AX186/(1+'Invoer gegevens'!$F$18)^($AZ186-('Invoer gegevens'!$C$17-'Invoer gegevens'!$C$16))/(1+'Invoer gegevens'!$C$39)^('Invoer gegevens'!$C$17-'Invoer gegevens'!$C$16)</f>
        <v>0</v>
      </c>
      <c r="AZ186" s="68">
        <f ca="1">IF(E186-'Invoer gegevens'!$C$17-14.5&lt;0,0,E186-'Invoer gegevens'!$C$17-14.5)</f>
        <v>166.5</v>
      </c>
    </row>
    <row r="187" spans="2:52" x14ac:dyDescent="0.25">
      <c r="B187" s="70">
        <f t="shared" si="31"/>
        <v>183</v>
      </c>
      <c r="C187" s="67">
        <f ca="1">IF(E187-'Invoer gegevens'!$C$17&lt;0,0,1)</f>
        <v>1</v>
      </c>
      <c r="D187" s="68">
        <f t="shared" si="32"/>
        <v>182.5</v>
      </c>
      <c r="E187" s="108">
        <f ca="1">IF('Invoer gegevens'!$C$16="","",E186+1)</f>
        <v>2201</v>
      </c>
      <c r="F187" s="84">
        <f ca="1">IF('Invoer gegevens'!$C$17=E187,'Invoer gegevens'!$C$10,IF(C187=1,K186,0))</f>
        <v>0</v>
      </c>
      <c r="G187" s="96">
        <f ca="1">IF(C187&gt;=1,F187*VLOOKUP(E187,Reeksen!$A$5:$B$76,2),0)</f>
        <v>0</v>
      </c>
      <c r="H187" s="84">
        <f ca="1">(1-('Invoer gegevens'!$F$20/12))*F187*MIN(Reeksen!B187,Reeksen!D187)</f>
        <v>0</v>
      </c>
      <c r="I187" s="84">
        <f>IF(Reeksen!D187&lt;Reeksen!B187,(Reeksen!B187-Reeksen!D187)*F187,0)</f>
        <v>0</v>
      </c>
      <c r="J187" s="84">
        <f ca="1">('Invoer gegevens'!$F$20/12)*F186*MIN(Reeksen!B186,Reeksen!D186)</f>
        <v>0</v>
      </c>
      <c r="K187" s="97">
        <f t="shared" ca="1" si="23"/>
        <v>0</v>
      </c>
      <c r="L187" s="84">
        <f ca="1">IF('Invoer gegevens'!$C$17=E187,0,IF(C187=1,Q186,0))</f>
        <v>0</v>
      </c>
      <c r="M187" s="96">
        <f ca="1">IF(C187&gt;=1,L187*VLOOKUP(E187,Reeksen!$A$5:$B$76,2),0)</f>
        <v>0</v>
      </c>
      <c r="N187" s="84">
        <f ca="1">(1-('Invoer gegevens'!$F$20/12))*L187*MIN(Reeksen!B187,Reeksen!D187)</f>
        <v>0</v>
      </c>
      <c r="O187" s="84">
        <f>IF(Reeksen!D187&lt;Reeksen!B187,(Reeksen!B187-Reeksen!D187)*L187,0)</f>
        <v>0</v>
      </c>
      <c r="P187" s="84">
        <f ca="1">('Invoer gegevens'!$F$20/12)*L186*MIN(Reeksen!B186,Reeksen!D186)</f>
        <v>0</v>
      </c>
      <c r="Q187" s="84">
        <f t="shared" ca="1" si="24"/>
        <v>0</v>
      </c>
      <c r="R187" s="82">
        <f ca="1">IF('Invoer gegevens'!$C$17=E187,'Invoer gegevens'!$C$11,IF(C187=1,W186,0))</f>
        <v>0</v>
      </c>
      <c r="S187" s="86">
        <f ca="1">IF(C187&gt;=1,R187*VLOOKUP(E187,Reeksen!$A$5:$B$76,2),0)</f>
        <v>0</v>
      </c>
      <c r="T187" s="84">
        <f ca="1">(1-('Invoer gegevens'!$F$20/12))*R187*MIN(Reeksen!B187,Reeksen!D187)</f>
        <v>0</v>
      </c>
      <c r="U187" s="84">
        <f>IF(Reeksen!D187&gt;=Reeksen!B187,0,IF(Reeksen!AK187&lt;=Reeksen!AE187,(Reeksen!B187-Reeksen!D187)*R187,0))</f>
        <v>0</v>
      </c>
      <c r="V187" s="86">
        <f>IF(Reeksen!D187&gt;=Reeksen!B187,0,IF(Reeksen!AK187&gt;Reeksen!AE187,(Reeksen!B187-Reeksen!D187)*R187,0))</f>
        <v>0</v>
      </c>
      <c r="W187" s="97">
        <f t="shared" ca="1" si="25"/>
        <v>0</v>
      </c>
      <c r="X187" s="98">
        <f ca="1">IF('Invoer gegevens'!$C$17=E187,'Invoer gegevens'!$C$10-'Invoer gegevens'!$C$11,IF(C187=1,AC186,0))</f>
        <v>0</v>
      </c>
      <c r="Y187" s="98">
        <f ca="1">IF(C187&gt;=1,X187*VLOOKUP(E187,Reeksen!$A$5:$B$76,2),0)</f>
        <v>0</v>
      </c>
      <c r="Z187" s="98">
        <f ca="1">(1-('Invoer gegevens'!$F$20/12))*X187*MIN(Reeksen!B187,Reeksen!D187)</f>
        <v>0</v>
      </c>
      <c r="AA187" s="98">
        <f>IF(Reeksen!D187&gt;=Reeksen!B187,0,IF(Reeksen!AK187&lt;=Reeksen!AE187,(Reeksen!B187-Reeksen!D187)*X187,0))</f>
        <v>0</v>
      </c>
      <c r="AB187" s="98">
        <f>IF(Reeksen!D187&gt;=Reeksen!B187,0,IF(Reeksen!AK187&gt;Reeksen!AE187,(Reeksen!B187-Reeksen!D187)*X187,0))</f>
        <v>0</v>
      </c>
      <c r="AC187" s="99">
        <f t="shared" ca="1" si="26"/>
        <v>0</v>
      </c>
      <c r="AD187" s="98">
        <f ca="1">IF('Invoer gegevens'!$C$17=E187,R187,IF(C187=0,0,AE186))</f>
        <v>0</v>
      </c>
      <c r="AE187" s="98">
        <f t="shared" ca="1" si="27"/>
        <v>0</v>
      </c>
      <c r="AF187" s="98">
        <f ca="1">IF('Invoer gegevens'!$C$17=E187,X187,IF(C187=0,0,AG186))</f>
        <v>0</v>
      </c>
      <c r="AG187" s="98">
        <f t="shared" ca="1" si="28"/>
        <v>0</v>
      </c>
      <c r="AH187" s="68"/>
      <c r="AI187" s="71">
        <f ca="1">IF(C187=1,Reeksen!AJ187*((F187-G187+F187)/2)*12+Reeksen!AK187*((L187-M187+L187)/2)*12,0)</f>
        <v>0</v>
      </c>
      <c r="AJ187" s="71">
        <f ca="1">-AI187*'Invoer gegevens'!$F$28</f>
        <v>0</v>
      </c>
      <c r="AK187" s="71">
        <f t="shared" ca="1" si="22"/>
        <v>0</v>
      </c>
      <c r="AL187" s="71">
        <f ca="1">IF(C187=1,Reeksen!AL187*((F187-G187+F187)/2)*12+Reeksen!AM187*((L187-M187+L187)/2)*12,0)</f>
        <v>0</v>
      </c>
      <c r="AM187" s="71">
        <f ca="1">-AL187*'Invoer gegevens'!$F$31</f>
        <v>0</v>
      </c>
      <c r="AN187" s="71">
        <f t="shared" ca="1" si="29"/>
        <v>0</v>
      </c>
      <c r="AO187" s="71">
        <f ca="1">IF(C187=1,(H187+J187+N187+P187)*Reeksen!AN187,0)</f>
        <v>0</v>
      </c>
      <c r="AP187" s="71">
        <f ca="1">-IF(C187=1,(H187+J187+N187+P187)*'Hulp - basis'!$G$550*Reeksen!H187,0)</f>
        <v>0</v>
      </c>
      <c r="AQ187" s="71">
        <f ca="1">-IF(C187=1,(F187+K187+L187+Q187)/2*'Invoer gegevens'!$I$33*Reeksen!J187,0)*2</f>
        <v>0</v>
      </c>
      <c r="AR187" s="71">
        <f ca="1">-IF(C187=1,(I187*'Invoer gegevens'!$I$34)*Reeksen!J187,0)</f>
        <v>0</v>
      </c>
      <c r="AS187" s="71">
        <f ca="1">-IF(C187=1,(F187+K187+L187+Q187)/2*'Invoer gegevens'!$I$35*Reeksen!L187,0)</f>
        <v>0</v>
      </c>
      <c r="AT187" s="71">
        <f ca="1">-IF(C187=1,IF(E187='Invoer gegevens'!$C$17,'Invoer gegevens'!$C$11,AD187)*Reeksen!S187*'Invoer gegevens'!$C$18*Reeksen!P187,0)</f>
        <v>0</v>
      </c>
      <c r="AU187" s="71">
        <f ca="1">-IF(C187=1,(F187+K187+L187+Q187)/2*'Invoer gegevens'!$I$36*Reeksen!H187,0)</f>
        <v>0</v>
      </c>
      <c r="AV187" s="71">
        <f>IF('Invoer gegevens'!$C$3="Basis",0,#REF!)</f>
        <v>0</v>
      </c>
      <c r="AW187" s="71">
        <f t="shared" ca="1" si="30"/>
        <v>0</v>
      </c>
      <c r="AX187" s="71">
        <f ca="1">IF(E187&lt;'Invoer gegevens'!$C$17+15,0,IF(E187&gt;'Invoer gegevens'!$C$17+215,0,AW187))</f>
        <v>0</v>
      </c>
      <c r="AY187" s="71">
        <f ca="1">AX187/(1+'Invoer gegevens'!$F$18)^($AZ187-('Invoer gegevens'!$C$17-'Invoer gegevens'!$C$16))/(1+'Invoer gegevens'!$C$39)^('Invoer gegevens'!$C$17-'Invoer gegevens'!$C$16)</f>
        <v>0</v>
      </c>
      <c r="AZ187" s="68">
        <f ca="1">IF(E187-'Invoer gegevens'!$C$17-14.5&lt;0,0,E187-'Invoer gegevens'!$C$17-14.5)</f>
        <v>167.5</v>
      </c>
    </row>
    <row r="188" spans="2:52" x14ac:dyDescent="0.25">
      <c r="B188" s="70">
        <f t="shared" si="31"/>
        <v>184</v>
      </c>
      <c r="C188" s="67">
        <f ca="1">IF(E188-'Invoer gegevens'!$C$17&lt;0,0,1)</f>
        <v>1</v>
      </c>
      <c r="D188" s="68">
        <f t="shared" si="32"/>
        <v>183.5</v>
      </c>
      <c r="E188" s="108">
        <f ca="1">IF('Invoer gegevens'!$C$16="","",E187+1)</f>
        <v>2202</v>
      </c>
      <c r="F188" s="84">
        <f ca="1">IF('Invoer gegevens'!$C$17=E188,'Invoer gegevens'!$C$10,IF(C188=1,K187,0))</f>
        <v>0</v>
      </c>
      <c r="G188" s="96">
        <f ca="1">IF(C188&gt;=1,F188*VLOOKUP(E188,Reeksen!$A$5:$B$76,2),0)</f>
        <v>0</v>
      </c>
      <c r="H188" s="84">
        <f ca="1">(1-('Invoer gegevens'!$F$20/12))*F188*MIN(Reeksen!B188,Reeksen!D188)</f>
        <v>0</v>
      </c>
      <c r="I188" s="84">
        <f>IF(Reeksen!D188&lt;Reeksen!B188,(Reeksen!B188-Reeksen!D188)*F188,0)</f>
        <v>0</v>
      </c>
      <c r="J188" s="84">
        <f ca="1">('Invoer gegevens'!$F$20/12)*F187*MIN(Reeksen!B187,Reeksen!D187)</f>
        <v>0</v>
      </c>
      <c r="K188" s="97">
        <f t="shared" ca="1" si="23"/>
        <v>0</v>
      </c>
      <c r="L188" s="84">
        <f ca="1">IF('Invoer gegevens'!$C$17=E188,0,IF(C188=1,Q187,0))</f>
        <v>0</v>
      </c>
      <c r="M188" s="96">
        <f ca="1">IF(C188&gt;=1,L188*VLOOKUP(E188,Reeksen!$A$5:$B$76,2),0)</f>
        <v>0</v>
      </c>
      <c r="N188" s="84">
        <f ca="1">(1-('Invoer gegevens'!$F$20/12))*L188*MIN(Reeksen!B188,Reeksen!D188)</f>
        <v>0</v>
      </c>
      <c r="O188" s="84">
        <f>IF(Reeksen!D188&lt;Reeksen!B188,(Reeksen!B188-Reeksen!D188)*L188,0)</f>
        <v>0</v>
      </c>
      <c r="P188" s="84">
        <f ca="1">('Invoer gegevens'!$F$20/12)*L187*MIN(Reeksen!B187,Reeksen!D187)</f>
        <v>0</v>
      </c>
      <c r="Q188" s="84">
        <f t="shared" ca="1" si="24"/>
        <v>0</v>
      </c>
      <c r="R188" s="82">
        <f ca="1">IF('Invoer gegevens'!$C$17=E188,'Invoer gegevens'!$C$11,IF(C188=1,W187,0))</f>
        <v>0</v>
      </c>
      <c r="S188" s="86">
        <f ca="1">IF(C188&gt;=1,R188*VLOOKUP(E188,Reeksen!$A$5:$B$76,2),0)</f>
        <v>0</v>
      </c>
      <c r="T188" s="84">
        <f ca="1">(1-('Invoer gegevens'!$F$20/12))*R188*MIN(Reeksen!B188,Reeksen!D188)</f>
        <v>0</v>
      </c>
      <c r="U188" s="84">
        <f>IF(Reeksen!D188&gt;=Reeksen!B188,0,IF(Reeksen!AK188&lt;=Reeksen!AE188,(Reeksen!B188-Reeksen!D188)*R188,0))</f>
        <v>0</v>
      </c>
      <c r="V188" s="86">
        <f>IF(Reeksen!D188&gt;=Reeksen!B188,0,IF(Reeksen!AK188&gt;Reeksen!AE188,(Reeksen!B188-Reeksen!D188)*R188,0))</f>
        <v>0</v>
      </c>
      <c r="W188" s="97">
        <f t="shared" ca="1" si="25"/>
        <v>0</v>
      </c>
      <c r="X188" s="98">
        <f ca="1">IF('Invoer gegevens'!$C$17=E188,'Invoer gegevens'!$C$10-'Invoer gegevens'!$C$11,IF(C188=1,AC187,0))</f>
        <v>0</v>
      </c>
      <c r="Y188" s="98">
        <f ca="1">IF(C188&gt;=1,X188*VLOOKUP(E188,Reeksen!$A$5:$B$76,2),0)</f>
        <v>0</v>
      </c>
      <c r="Z188" s="98">
        <f ca="1">(1-('Invoer gegevens'!$F$20/12))*X188*MIN(Reeksen!B188,Reeksen!D188)</f>
        <v>0</v>
      </c>
      <c r="AA188" s="98">
        <f>IF(Reeksen!D188&gt;=Reeksen!B188,0,IF(Reeksen!AK188&lt;=Reeksen!AE188,(Reeksen!B188-Reeksen!D188)*X188,0))</f>
        <v>0</v>
      </c>
      <c r="AB188" s="98">
        <f>IF(Reeksen!D188&gt;=Reeksen!B188,0,IF(Reeksen!AK188&gt;Reeksen!AE188,(Reeksen!B188-Reeksen!D188)*X188,0))</f>
        <v>0</v>
      </c>
      <c r="AC188" s="99">
        <f t="shared" ca="1" si="26"/>
        <v>0</v>
      </c>
      <c r="AD188" s="98">
        <f ca="1">IF('Invoer gegevens'!$C$17=E188,R188,IF(C188=0,0,AE187))</f>
        <v>0</v>
      </c>
      <c r="AE188" s="98">
        <f t="shared" ca="1" si="27"/>
        <v>0</v>
      </c>
      <c r="AF188" s="98">
        <f ca="1">IF('Invoer gegevens'!$C$17=E188,X188,IF(C188=0,0,AG187))</f>
        <v>0</v>
      </c>
      <c r="AG188" s="98">
        <f t="shared" ca="1" si="28"/>
        <v>0</v>
      </c>
      <c r="AH188" s="68"/>
      <c r="AI188" s="71">
        <f ca="1">IF(C188=1,Reeksen!AJ188*((F188-G188+F188)/2)*12+Reeksen!AK188*((L188-M188+L188)/2)*12,0)</f>
        <v>0</v>
      </c>
      <c r="AJ188" s="71">
        <f ca="1">-AI188*'Invoer gegevens'!$F$28</f>
        <v>0</v>
      </c>
      <c r="AK188" s="71">
        <f t="shared" ca="1" si="22"/>
        <v>0</v>
      </c>
      <c r="AL188" s="71">
        <f ca="1">IF(C188=1,Reeksen!AL188*((F188-G188+F188)/2)*12+Reeksen!AM188*((L188-M188+L188)/2)*12,0)</f>
        <v>0</v>
      </c>
      <c r="AM188" s="71">
        <f ca="1">-AL188*'Invoer gegevens'!$F$31</f>
        <v>0</v>
      </c>
      <c r="AN188" s="71">
        <f t="shared" ca="1" si="29"/>
        <v>0</v>
      </c>
      <c r="AO188" s="71">
        <f ca="1">IF(C188=1,(H188+J188+N188+P188)*Reeksen!AN188,0)</f>
        <v>0</v>
      </c>
      <c r="AP188" s="71">
        <f ca="1">-IF(C188=1,(H188+J188+N188+P188)*'Hulp - basis'!$G$550*Reeksen!H188,0)</f>
        <v>0</v>
      </c>
      <c r="AQ188" s="71">
        <f ca="1">-IF(C188=1,(F188+K188+L188+Q188)/2*'Invoer gegevens'!$I$33*Reeksen!J188,0)*2</f>
        <v>0</v>
      </c>
      <c r="AR188" s="71">
        <f ca="1">-IF(C188=1,(I188*'Invoer gegevens'!$I$34)*Reeksen!J188,0)</f>
        <v>0</v>
      </c>
      <c r="AS188" s="71">
        <f ca="1">-IF(C188=1,(F188+K188+L188+Q188)/2*'Invoer gegevens'!$I$35*Reeksen!L188,0)</f>
        <v>0</v>
      </c>
      <c r="AT188" s="71">
        <f ca="1">-IF(C188=1,IF(E188='Invoer gegevens'!$C$17,'Invoer gegevens'!$C$11,AD188)*Reeksen!S188*'Invoer gegevens'!$C$18*Reeksen!P188,0)</f>
        <v>0</v>
      </c>
      <c r="AU188" s="71">
        <f ca="1">-IF(C188=1,(F188+K188+L188+Q188)/2*'Invoer gegevens'!$I$36*Reeksen!H188,0)</f>
        <v>0</v>
      </c>
      <c r="AV188" s="71">
        <f>IF('Invoer gegevens'!$C$3="Basis",0,#REF!)</f>
        <v>0</v>
      </c>
      <c r="AW188" s="71">
        <f t="shared" ca="1" si="30"/>
        <v>0</v>
      </c>
      <c r="AX188" s="71">
        <f ca="1">IF(E188&lt;'Invoer gegevens'!$C$17+15,0,IF(E188&gt;'Invoer gegevens'!$C$17+215,0,AW188))</f>
        <v>0</v>
      </c>
      <c r="AY188" s="71">
        <f ca="1">AX188/(1+'Invoer gegevens'!$F$18)^($AZ188-('Invoer gegevens'!$C$17-'Invoer gegevens'!$C$16))/(1+'Invoer gegevens'!$C$39)^('Invoer gegevens'!$C$17-'Invoer gegevens'!$C$16)</f>
        <v>0</v>
      </c>
      <c r="AZ188" s="68">
        <f ca="1">IF(E188-'Invoer gegevens'!$C$17-14.5&lt;0,0,E188-'Invoer gegevens'!$C$17-14.5)</f>
        <v>168.5</v>
      </c>
    </row>
    <row r="189" spans="2:52" x14ac:dyDescent="0.25">
      <c r="B189" s="70">
        <f t="shared" si="31"/>
        <v>185</v>
      </c>
      <c r="C189" s="67">
        <f ca="1">IF(E189-'Invoer gegevens'!$C$17&lt;0,0,1)</f>
        <v>1</v>
      </c>
      <c r="D189" s="68">
        <f t="shared" si="32"/>
        <v>184.5</v>
      </c>
      <c r="E189" s="108">
        <f ca="1">IF('Invoer gegevens'!$C$16="","",E188+1)</f>
        <v>2203</v>
      </c>
      <c r="F189" s="84">
        <f ca="1">IF('Invoer gegevens'!$C$17=E189,'Invoer gegevens'!$C$10,IF(C189=1,K188,0))</f>
        <v>0</v>
      </c>
      <c r="G189" s="96">
        <f ca="1">IF(C189&gt;=1,F189*VLOOKUP(E189,Reeksen!$A$5:$B$76,2),0)</f>
        <v>0</v>
      </c>
      <c r="H189" s="84">
        <f ca="1">(1-('Invoer gegevens'!$F$20/12))*F189*MIN(Reeksen!B189,Reeksen!D189)</f>
        <v>0</v>
      </c>
      <c r="I189" s="84">
        <f>IF(Reeksen!D189&lt;Reeksen!B189,(Reeksen!B189-Reeksen!D189)*F189,0)</f>
        <v>0</v>
      </c>
      <c r="J189" s="84">
        <f ca="1">('Invoer gegevens'!$F$20/12)*F188*MIN(Reeksen!B188,Reeksen!D188)</f>
        <v>0</v>
      </c>
      <c r="K189" s="97">
        <f t="shared" ca="1" si="23"/>
        <v>0</v>
      </c>
      <c r="L189" s="84">
        <f ca="1">IF('Invoer gegevens'!$C$17=E189,0,IF(C189=1,Q188,0))</f>
        <v>0</v>
      </c>
      <c r="M189" s="96">
        <f ca="1">IF(C189&gt;=1,L189*VLOOKUP(E189,Reeksen!$A$5:$B$76,2),0)</f>
        <v>0</v>
      </c>
      <c r="N189" s="84">
        <f ca="1">(1-('Invoer gegevens'!$F$20/12))*L189*MIN(Reeksen!B189,Reeksen!D189)</f>
        <v>0</v>
      </c>
      <c r="O189" s="84">
        <f>IF(Reeksen!D189&lt;Reeksen!B189,(Reeksen!B189-Reeksen!D189)*L189,0)</f>
        <v>0</v>
      </c>
      <c r="P189" s="84">
        <f ca="1">('Invoer gegevens'!$F$20/12)*L188*MIN(Reeksen!B188,Reeksen!D188)</f>
        <v>0</v>
      </c>
      <c r="Q189" s="84">
        <f t="shared" ca="1" si="24"/>
        <v>0</v>
      </c>
      <c r="R189" s="82">
        <f ca="1">IF('Invoer gegevens'!$C$17=E189,'Invoer gegevens'!$C$11,IF(C189=1,W188,0))</f>
        <v>0</v>
      </c>
      <c r="S189" s="86">
        <f ca="1">IF(C189&gt;=1,R189*VLOOKUP(E189,Reeksen!$A$5:$B$76,2),0)</f>
        <v>0</v>
      </c>
      <c r="T189" s="84">
        <f ca="1">(1-('Invoer gegevens'!$F$20/12))*R189*MIN(Reeksen!B189,Reeksen!D189)</f>
        <v>0</v>
      </c>
      <c r="U189" s="84">
        <f>IF(Reeksen!D189&gt;=Reeksen!B189,0,IF(Reeksen!AK189&lt;=Reeksen!AE189,(Reeksen!B189-Reeksen!D189)*R189,0))</f>
        <v>0</v>
      </c>
      <c r="V189" s="86">
        <f>IF(Reeksen!D189&gt;=Reeksen!B189,0,IF(Reeksen!AK189&gt;Reeksen!AE189,(Reeksen!B189-Reeksen!D189)*R189,0))</f>
        <v>0</v>
      </c>
      <c r="W189" s="97">
        <f t="shared" ca="1" si="25"/>
        <v>0</v>
      </c>
      <c r="X189" s="98">
        <f ca="1">IF('Invoer gegevens'!$C$17=E189,'Invoer gegevens'!$C$10-'Invoer gegevens'!$C$11,IF(C189=1,AC188,0))</f>
        <v>0</v>
      </c>
      <c r="Y189" s="98">
        <f ca="1">IF(C189&gt;=1,X189*VLOOKUP(E189,Reeksen!$A$5:$B$76,2),0)</f>
        <v>0</v>
      </c>
      <c r="Z189" s="98">
        <f ca="1">(1-('Invoer gegevens'!$F$20/12))*X189*MIN(Reeksen!B189,Reeksen!D189)</f>
        <v>0</v>
      </c>
      <c r="AA189" s="98">
        <f>IF(Reeksen!D189&gt;=Reeksen!B189,0,IF(Reeksen!AK189&lt;=Reeksen!AE189,(Reeksen!B189-Reeksen!D189)*X189,0))</f>
        <v>0</v>
      </c>
      <c r="AB189" s="98">
        <f>IF(Reeksen!D189&gt;=Reeksen!B189,0,IF(Reeksen!AK189&gt;Reeksen!AE189,(Reeksen!B189-Reeksen!D189)*X189,0))</f>
        <v>0</v>
      </c>
      <c r="AC189" s="99">
        <f t="shared" ca="1" si="26"/>
        <v>0</v>
      </c>
      <c r="AD189" s="98">
        <f ca="1">IF('Invoer gegevens'!$C$17=E189,R189,IF(C189=0,0,AE188))</f>
        <v>0</v>
      </c>
      <c r="AE189" s="98">
        <f t="shared" ca="1" si="27"/>
        <v>0</v>
      </c>
      <c r="AF189" s="98">
        <f ca="1">IF('Invoer gegevens'!$C$17=E189,X189,IF(C189=0,0,AG188))</f>
        <v>0</v>
      </c>
      <c r="AG189" s="98">
        <f t="shared" ca="1" si="28"/>
        <v>0</v>
      </c>
      <c r="AH189" s="68"/>
      <c r="AI189" s="71">
        <f ca="1">IF(C189=1,Reeksen!AJ189*((F189-G189+F189)/2)*12+Reeksen!AK189*((L189-M189+L189)/2)*12,0)</f>
        <v>0</v>
      </c>
      <c r="AJ189" s="71">
        <f ca="1">-AI189*'Invoer gegevens'!$F$28</f>
        <v>0</v>
      </c>
      <c r="AK189" s="71">
        <f t="shared" ca="1" si="22"/>
        <v>0</v>
      </c>
      <c r="AL189" s="71">
        <f ca="1">IF(C189=1,Reeksen!AL189*((F189-G189+F189)/2)*12+Reeksen!AM189*((L189-M189+L189)/2)*12,0)</f>
        <v>0</v>
      </c>
      <c r="AM189" s="71">
        <f ca="1">-AL189*'Invoer gegevens'!$F$31</f>
        <v>0</v>
      </c>
      <c r="AN189" s="71">
        <f t="shared" ca="1" si="29"/>
        <v>0</v>
      </c>
      <c r="AO189" s="71">
        <f ca="1">IF(C189=1,(H189+J189+N189+P189)*Reeksen!AN189,0)</f>
        <v>0</v>
      </c>
      <c r="AP189" s="71">
        <f ca="1">-IF(C189=1,(H189+J189+N189+P189)*'Hulp - basis'!$G$550*Reeksen!H189,0)</f>
        <v>0</v>
      </c>
      <c r="AQ189" s="71">
        <f ca="1">-IF(C189=1,(F189+K189+L189+Q189)/2*'Invoer gegevens'!$I$33*Reeksen!J189,0)*2</f>
        <v>0</v>
      </c>
      <c r="AR189" s="71">
        <f ca="1">-IF(C189=1,(I189*'Invoer gegevens'!$I$34)*Reeksen!J189,0)</f>
        <v>0</v>
      </c>
      <c r="AS189" s="71">
        <f ca="1">-IF(C189=1,(F189+K189+L189+Q189)/2*'Invoer gegevens'!$I$35*Reeksen!L189,0)</f>
        <v>0</v>
      </c>
      <c r="AT189" s="71">
        <f ca="1">-IF(C189=1,IF(E189='Invoer gegevens'!$C$17,'Invoer gegevens'!$C$11,AD189)*Reeksen!S189*'Invoer gegevens'!$C$18*Reeksen!P189,0)</f>
        <v>0</v>
      </c>
      <c r="AU189" s="71">
        <f ca="1">-IF(C189=1,(F189+K189+L189+Q189)/2*'Invoer gegevens'!$I$36*Reeksen!H189,0)</f>
        <v>0</v>
      </c>
      <c r="AV189" s="71">
        <f>IF('Invoer gegevens'!$C$3="Basis",0,#REF!)</f>
        <v>0</v>
      </c>
      <c r="AW189" s="71">
        <f t="shared" ca="1" si="30"/>
        <v>0</v>
      </c>
      <c r="AX189" s="71">
        <f ca="1">IF(E189&lt;'Invoer gegevens'!$C$17+15,0,IF(E189&gt;'Invoer gegevens'!$C$17+215,0,AW189))</f>
        <v>0</v>
      </c>
      <c r="AY189" s="71">
        <f ca="1">AX189/(1+'Invoer gegevens'!$F$18)^($AZ189-('Invoer gegevens'!$C$17-'Invoer gegevens'!$C$16))/(1+'Invoer gegevens'!$C$39)^('Invoer gegevens'!$C$17-'Invoer gegevens'!$C$16)</f>
        <v>0</v>
      </c>
      <c r="AZ189" s="68">
        <f ca="1">IF(E189-'Invoer gegevens'!$C$17-14.5&lt;0,0,E189-'Invoer gegevens'!$C$17-14.5)</f>
        <v>169.5</v>
      </c>
    </row>
    <row r="190" spans="2:52" x14ac:dyDescent="0.25">
      <c r="B190" s="70">
        <f t="shared" si="31"/>
        <v>186</v>
      </c>
      <c r="C190" s="67">
        <f ca="1">IF(E190-'Invoer gegevens'!$C$17&lt;0,0,1)</f>
        <v>1</v>
      </c>
      <c r="D190" s="68">
        <f t="shared" si="32"/>
        <v>185.5</v>
      </c>
      <c r="E190" s="108">
        <f ca="1">IF('Invoer gegevens'!$C$16="","",E189+1)</f>
        <v>2204</v>
      </c>
      <c r="F190" s="84">
        <f ca="1">IF('Invoer gegevens'!$C$17=E190,'Invoer gegevens'!$C$10,IF(C190=1,K189,0))</f>
        <v>0</v>
      </c>
      <c r="G190" s="96">
        <f ca="1">IF(C190&gt;=1,F190*VLOOKUP(E190,Reeksen!$A$5:$B$76,2),0)</f>
        <v>0</v>
      </c>
      <c r="H190" s="84">
        <f ca="1">(1-('Invoer gegevens'!$F$20/12))*F190*MIN(Reeksen!B190,Reeksen!D190)</f>
        <v>0</v>
      </c>
      <c r="I190" s="84">
        <f>IF(Reeksen!D190&lt;Reeksen!B190,(Reeksen!B190-Reeksen!D190)*F190,0)</f>
        <v>0</v>
      </c>
      <c r="J190" s="84">
        <f ca="1">('Invoer gegevens'!$F$20/12)*F189*MIN(Reeksen!B189,Reeksen!D189)</f>
        <v>0</v>
      </c>
      <c r="K190" s="97">
        <f t="shared" ca="1" si="23"/>
        <v>0</v>
      </c>
      <c r="L190" s="84">
        <f ca="1">IF('Invoer gegevens'!$C$17=E190,0,IF(C190=1,Q189,0))</f>
        <v>0</v>
      </c>
      <c r="M190" s="96">
        <f ca="1">IF(C190&gt;=1,L190*VLOOKUP(E190,Reeksen!$A$5:$B$76,2),0)</f>
        <v>0</v>
      </c>
      <c r="N190" s="84">
        <f ca="1">(1-('Invoer gegevens'!$F$20/12))*L190*MIN(Reeksen!B190,Reeksen!D190)</f>
        <v>0</v>
      </c>
      <c r="O190" s="84">
        <f>IF(Reeksen!D190&lt;Reeksen!B190,(Reeksen!B190-Reeksen!D190)*L190,0)</f>
        <v>0</v>
      </c>
      <c r="P190" s="84">
        <f ca="1">('Invoer gegevens'!$F$20/12)*L189*MIN(Reeksen!B189,Reeksen!D189)</f>
        <v>0</v>
      </c>
      <c r="Q190" s="84">
        <f t="shared" ca="1" si="24"/>
        <v>0</v>
      </c>
      <c r="R190" s="82">
        <f ca="1">IF('Invoer gegevens'!$C$17=E190,'Invoer gegevens'!$C$11,IF(C190=1,W189,0))</f>
        <v>0</v>
      </c>
      <c r="S190" s="86">
        <f ca="1">IF(C190&gt;=1,R190*VLOOKUP(E190,Reeksen!$A$5:$B$76,2),0)</f>
        <v>0</v>
      </c>
      <c r="T190" s="84">
        <f ca="1">(1-('Invoer gegevens'!$F$20/12))*R190*MIN(Reeksen!B190,Reeksen!D190)</f>
        <v>0</v>
      </c>
      <c r="U190" s="84">
        <f>IF(Reeksen!D190&gt;=Reeksen!B190,0,IF(Reeksen!AK190&lt;=Reeksen!AE190,(Reeksen!B190-Reeksen!D190)*R190,0))</f>
        <v>0</v>
      </c>
      <c r="V190" s="86">
        <f>IF(Reeksen!D190&gt;=Reeksen!B190,0,IF(Reeksen!AK190&gt;Reeksen!AE190,(Reeksen!B190-Reeksen!D190)*R190,0))</f>
        <v>0</v>
      </c>
      <c r="W190" s="97">
        <f t="shared" ca="1" si="25"/>
        <v>0</v>
      </c>
      <c r="X190" s="98">
        <f ca="1">IF('Invoer gegevens'!$C$17=E190,'Invoer gegevens'!$C$10-'Invoer gegevens'!$C$11,IF(C190=1,AC189,0))</f>
        <v>0</v>
      </c>
      <c r="Y190" s="98">
        <f ca="1">IF(C190&gt;=1,X190*VLOOKUP(E190,Reeksen!$A$5:$B$76,2),0)</f>
        <v>0</v>
      </c>
      <c r="Z190" s="98">
        <f ca="1">(1-('Invoer gegevens'!$F$20/12))*X190*MIN(Reeksen!B190,Reeksen!D190)</f>
        <v>0</v>
      </c>
      <c r="AA190" s="98">
        <f>IF(Reeksen!D190&gt;=Reeksen!B190,0,IF(Reeksen!AK190&lt;=Reeksen!AE190,(Reeksen!B190-Reeksen!D190)*X190,0))</f>
        <v>0</v>
      </c>
      <c r="AB190" s="98">
        <f>IF(Reeksen!D190&gt;=Reeksen!B190,0,IF(Reeksen!AK190&gt;Reeksen!AE190,(Reeksen!B190-Reeksen!D190)*X190,0))</f>
        <v>0</v>
      </c>
      <c r="AC190" s="99">
        <f t="shared" ca="1" si="26"/>
        <v>0</v>
      </c>
      <c r="AD190" s="98">
        <f ca="1">IF('Invoer gegevens'!$C$17=E190,R190,IF(C190=0,0,AE189))</f>
        <v>0</v>
      </c>
      <c r="AE190" s="98">
        <f t="shared" ca="1" si="27"/>
        <v>0</v>
      </c>
      <c r="AF190" s="98">
        <f ca="1">IF('Invoer gegevens'!$C$17=E190,X190,IF(C190=0,0,AG189))</f>
        <v>0</v>
      </c>
      <c r="AG190" s="98">
        <f t="shared" ca="1" si="28"/>
        <v>0</v>
      </c>
      <c r="AH190" s="68"/>
      <c r="AI190" s="71">
        <f ca="1">IF(C190=1,Reeksen!AJ190*((F190-G190+F190)/2)*12+Reeksen!AK190*((L190-M190+L190)/2)*12,0)</f>
        <v>0</v>
      </c>
      <c r="AJ190" s="71">
        <f ca="1">-AI190*'Invoer gegevens'!$F$28</f>
        <v>0</v>
      </c>
      <c r="AK190" s="71">
        <f t="shared" ca="1" si="22"/>
        <v>0</v>
      </c>
      <c r="AL190" s="71">
        <f ca="1">IF(C190=1,Reeksen!AL190*((F190-G190+F190)/2)*12+Reeksen!AM190*((L190-M190+L190)/2)*12,0)</f>
        <v>0</v>
      </c>
      <c r="AM190" s="71">
        <f ca="1">-AL190*'Invoer gegevens'!$F$31</f>
        <v>0</v>
      </c>
      <c r="AN190" s="71">
        <f t="shared" ca="1" si="29"/>
        <v>0</v>
      </c>
      <c r="AO190" s="71">
        <f ca="1">IF(C190=1,(H190+J190+N190+P190)*Reeksen!AN190,0)</f>
        <v>0</v>
      </c>
      <c r="AP190" s="71">
        <f ca="1">-IF(C190=1,(H190+J190+N190+P190)*'Hulp - basis'!$G$550*Reeksen!H190,0)</f>
        <v>0</v>
      </c>
      <c r="AQ190" s="71">
        <f ca="1">-IF(C190=1,(F190+K190+L190+Q190)/2*'Invoer gegevens'!$I$33*Reeksen!J190,0)*2</f>
        <v>0</v>
      </c>
      <c r="AR190" s="71">
        <f ca="1">-IF(C190=1,(I190*'Invoer gegevens'!$I$34)*Reeksen!J190,0)</f>
        <v>0</v>
      </c>
      <c r="AS190" s="71">
        <f ca="1">-IF(C190=1,(F190+K190+L190+Q190)/2*'Invoer gegevens'!$I$35*Reeksen!L190,0)</f>
        <v>0</v>
      </c>
      <c r="AT190" s="71">
        <f ca="1">-IF(C190=1,IF(E190='Invoer gegevens'!$C$17,'Invoer gegevens'!$C$11,AD190)*Reeksen!S190*'Invoer gegevens'!$C$18*Reeksen!P190,0)</f>
        <v>0</v>
      </c>
      <c r="AU190" s="71">
        <f ca="1">-IF(C190=1,(F190+K190+L190+Q190)/2*'Invoer gegevens'!$I$36*Reeksen!H190,0)</f>
        <v>0</v>
      </c>
      <c r="AV190" s="71">
        <f>IF('Invoer gegevens'!$C$3="Basis",0,#REF!)</f>
        <v>0</v>
      </c>
      <c r="AW190" s="71">
        <f t="shared" ca="1" si="30"/>
        <v>0</v>
      </c>
      <c r="AX190" s="71">
        <f ca="1">IF(E190&lt;'Invoer gegevens'!$C$17+15,0,IF(E190&gt;'Invoer gegevens'!$C$17+215,0,AW190))</f>
        <v>0</v>
      </c>
      <c r="AY190" s="71">
        <f ca="1">AX190/(1+'Invoer gegevens'!$F$18)^($AZ190-('Invoer gegevens'!$C$17-'Invoer gegevens'!$C$16))/(1+'Invoer gegevens'!$C$39)^('Invoer gegevens'!$C$17-'Invoer gegevens'!$C$16)</f>
        <v>0</v>
      </c>
      <c r="AZ190" s="68">
        <f ca="1">IF(E190-'Invoer gegevens'!$C$17-14.5&lt;0,0,E190-'Invoer gegevens'!$C$17-14.5)</f>
        <v>170.5</v>
      </c>
    </row>
    <row r="191" spans="2:52" x14ac:dyDescent="0.25">
      <c r="B191" s="70">
        <f t="shared" si="31"/>
        <v>187</v>
      </c>
      <c r="C191" s="67">
        <f ca="1">IF(E191-'Invoer gegevens'!$C$17&lt;0,0,1)</f>
        <v>1</v>
      </c>
      <c r="D191" s="68">
        <f t="shared" si="32"/>
        <v>186.5</v>
      </c>
      <c r="E191" s="108">
        <f ca="1">IF('Invoer gegevens'!$C$16="","",E190+1)</f>
        <v>2205</v>
      </c>
      <c r="F191" s="84">
        <f ca="1">IF('Invoer gegevens'!$C$17=E191,'Invoer gegevens'!$C$10,IF(C191=1,K190,0))</f>
        <v>0</v>
      </c>
      <c r="G191" s="96">
        <f ca="1">IF(C191&gt;=1,F191*VLOOKUP(E191,Reeksen!$A$5:$B$76,2),0)</f>
        <v>0</v>
      </c>
      <c r="H191" s="84">
        <f ca="1">(1-('Invoer gegevens'!$F$20/12))*F191*MIN(Reeksen!B191,Reeksen!D191)</f>
        <v>0</v>
      </c>
      <c r="I191" s="84">
        <f>IF(Reeksen!D191&lt;Reeksen!B191,(Reeksen!B191-Reeksen!D191)*F191,0)</f>
        <v>0</v>
      </c>
      <c r="J191" s="84">
        <f ca="1">('Invoer gegevens'!$F$20/12)*F190*MIN(Reeksen!B190,Reeksen!D190)</f>
        <v>0</v>
      </c>
      <c r="K191" s="97">
        <f t="shared" ca="1" si="23"/>
        <v>0</v>
      </c>
      <c r="L191" s="84">
        <f ca="1">IF('Invoer gegevens'!$C$17=E191,0,IF(C191=1,Q190,0))</f>
        <v>0</v>
      </c>
      <c r="M191" s="96">
        <f ca="1">IF(C191&gt;=1,L191*VLOOKUP(E191,Reeksen!$A$5:$B$76,2),0)</f>
        <v>0</v>
      </c>
      <c r="N191" s="84">
        <f ca="1">(1-('Invoer gegevens'!$F$20/12))*L191*MIN(Reeksen!B191,Reeksen!D191)</f>
        <v>0</v>
      </c>
      <c r="O191" s="84">
        <f>IF(Reeksen!D191&lt;Reeksen!B191,(Reeksen!B191-Reeksen!D191)*L191,0)</f>
        <v>0</v>
      </c>
      <c r="P191" s="84">
        <f ca="1">('Invoer gegevens'!$F$20/12)*L190*MIN(Reeksen!B190,Reeksen!D190)</f>
        <v>0</v>
      </c>
      <c r="Q191" s="84">
        <f t="shared" ca="1" si="24"/>
        <v>0</v>
      </c>
      <c r="R191" s="82">
        <f ca="1">IF('Invoer gegevens'!$C$17=E191,'Invoer gegevens'!$C$11,IF(C191=1,W190,0))</f>
        <v>0</v>
      </c>
      <c r="S191" s="86">
        <f ca="1">IF(C191&gt;=1,R191*VLOOKUP(E191,Reeksen!$A$5:$B$76,2),0)</f>
        <v>0</v>
      </c>
      <c r="T191" s="84">
        <f ca="1">(1-('Invoer gegevens'!$F$20/12))*R191*MIN(Reeksen!B191,Reeksen!D191)</f>
        <v>0</v>
      </c>
      <c r="U191" s="84">
        <f>IF(Reeksen!D191&gt;=Reeksen!B191,0,IF(Reeksen!AK191&lt;=Reeksen!AE191,(Reeksen!B191-Reeksen!D191)*R191,0))</f>
        <v>0</v>
      </c>
      <c r="V191" s="86">
        <f>IF(Reeksen!D191&gt;=Reeksen!B191,0,IF(Reeksen!AK191&gt;Reeksen!AE191,(Reeksen!B191-Reeksen!D191)*R191,0))</f>
        <v>0</v>
      </c>
      <c r="W191" s="97">
        <f t="shared" ca="1" si="25"/>
        <v>0</v>
      </c>
      <c r="X191" s="98">
        <f ca="1">IF('Invoer gegevens'!$C$17=E191,'Invoer gegevens'!$C$10-'Invoer gegevens'!$C$11,IF(C191=1,AC190,0))</f>
        <v>0</v>
      </c>
      <c r="Y191" s="98">
        <f ca="1">IF(C191&gt;=1,X191*VLOOKUP(E191,Reeksen!$A$5:$B$76,2),0)</f>
        <v>0</v>
      </c>
      <c r="Z191" s="98">
        <f ca="1">(1-('Invoer gegevens'!$F$20/12))*X191*MIN(Reeksen!B191,Reeksen!D191)</f>
        <v>0</v>
      </c>
      <c r="AA191" s="98">
        <f>IF(Reeksen!D191&gt;=Reeksen!B191,0,IF(Reeksen!AK191&lt;=Reeksen!AE191,(Reeksen!B191-Reeksen!D191)*X191,0))</f>
        <v>0</v>
      </c>
      <c r="AB191" s="98">
        <f>IF(Reeksen!D191&gt;=Reeksen!B191,0,IF(Reeksen!AK191&gt;Reeksen!AE191,(Reeksen!B191-Reeksen!D191)*X191,0))</f>
        <v>0</v>
      </c>
      <c r="AC191" s="99">
        <f t="shared" ca="1" si="26"/>
        <v>0</v>
      </c>
      <c r="AD191" s="98">
        <f ca="1">IF('Invoer gegevens'!$C$17=E191,R191,IF(C191=0,0,AE190))</f>
        <v>0</v>
      </c>
      <c r="AE191" s="98">
        <f t="shared" ca="1" si="27"/>
        <v>0</v>
      </c>
      <c r="AF191" s="98">
        <f ca="1">IF('Invoer gegevens'!$C$17=E191,X191,IF(C191=0,0,AG190))</f>
        <v>0</v>
      </c>
      <c r="AG191" s="98">
        <f t="shared" ca="1" si="28"/>
        <v>0</v>
      </c>
      <c r="AH191" s="68"/>
      <c r="AI191" s="71">
        <f ca="1">IF(C191=1,Reeksen!AJ191*((F191-G191+F191)/2)*12+Reeksen!AK191*((L191-M191+L191)/2)*12,0)</f>
        <v>0</v>
      </c>
      <c r="AJ191" s="71">
        <f ca="1">-AI191*'Invoer gegevens'!$F$28</f>
        <v>0</v>
      </c>
      <c r="AK191" s="71">
        <f t="shared" ca="1" si="22"/>
        <v>0</v>
      </c>
      <c r="AL191" s="71">
        <f ca="1">IF(C191=1,Reeksen!AL191*((F191-G191+F191)/2)*12+Reeksen!AM191*((L191-M191+L191)/2)*12,0)</f>
        <v>0</v>
      </c>
      <c r="AM191" s="71">
        <f ca="1">-AL191*'Invoer gegevens'!$F$31</f>
        <v>0</v>
      </c>
      <c r="AN191" s="71">
        <f t="shared" ca="1" si="29"/>
        <v>0</v>
      </c>
      <c r="AO191" s="71">
        <f ca="1">IF(C191=1,(H191+J191+N191+P191)*Reeksen!AN191,0)</f>
        <v>0</v>
      </c>
      <c r="AP191" s="71">
        <f ca="1">-IF(C191=1,(H191+J191+N191+P191)*'Hulp - basis'!$G$550*Reeksen!H191,0)</f>
        <v>0</v>
      </c>
      <c r="AQ191" s="71">
        <f ca="1">-IF(C191=1,(F191+K191+L191+Q191)/2*'Invoer gegevens'!$I$33*Reeksen!J191,0)*2</f>
        <v>0</v>
      </c>
      <c r="AR191" s="71">
        <f ca="1">-IF(C191=1,(I191*'Invoer gegevens'!$I$34)*Reeksen!J191,0)</f>
        <v>0</v>
      </c>
      <c r="AS191" s="71">
        <f ca="1">-IF(C191=1,(F191+K191+L191+Q191)/2*'Invoer gegevens'!$I$35*Reeksen!L191,0)</f>
        <v>0</v>
      </c>
      <c r="AT191" s="71">
        <f ca="1">-IF(C191=1,IF(E191='Invoer gegevens'!$C$17,'Invoer gegevens'!$C$11,AD191)*Reeksen!S191*'Invoer gegevens'!$C$18*Reeksen!P191,0)</f>
        <v>0</v>
      </c>
      <c r="AU191" s="71">
        <f ca="1">-IF(C191=1,(F191+K191+L191+Q191)/2*'Invoer gegevens'!$I$36*Reeksen!H191,0)</f>
        <v>0</v>
      </c>
      <c r="AV191" s="71">
        <f>IF('Invoer gegevens'!$C$3="Basis",0,#REF!)</f>
        <v>0</v>
      </c>
      <c r="AW191" s="71">
        <f t="shared" ca="1" si="30"/>
        <v>0</v>
      </c>
      <c r="AX191" s="71">
        <f ca="1">IF(E191&lt;'Invoer gegevens'!$C$17+15,0,IF(E191&gt;'Invoer gegevens'!$C$17+215,0,AW191))</f>
        <v>0</v>
      </c>
      <c r="AY191" s="71">
        <f ca="1">AX191/(1+'Invoer gegevens'!$F$18)^($AZ191-('Invoer gegevens'!$C$17-'Invoer gegevens'!$C$16))/(1+'Invoer gegevens'!$C$39)^('Invoer gegevens'!$C$17-'Invoer gegevens'!$C$16)</f>
        <v>0</v>
      </c>
      <c r="AZ191" s="68">
        <f ca="1">IF(E191-'Invoer gegevens'!$C$17-14.5&lt;0,0,E191-'Invoer gegevens'!$C$17-14.5)</f>
        <v>171.5</v>
      </c>
    </row>
    <row r="192" spans="2:52" x14ac:dyDescent="0.25">
      <c r="B192" s="70">
        <f t="shared" si="31"/>
        <v>188</v>
      </c>
      <c r="C192" s="67">
        <f ca="1">IF(E192-'Invoer gegevens'!$C$17&lt;0,0,1)</f>
        <v>1</v>
      </c>
      <c r="D192" s="68">
        <f t="shared" si="32"/>
        <v>187.5</v>
      </c>
      <c r="E192" s="108">
        <f ca="1">IF('Invoer gegevens'!$C$16="","",E191+1)</f>
        <v>2206</v>
      </c>
      <c r="F192" s="84">
        <f ca="1">IF('Invoer gegevens'!$C$17=E192,'Invoer gegevens'!$C$10,IF(C192=1,K191,0))</f>
        <v>0</v>
      </c>
      <c r="G192" s="96">
        <f ca="1">IF(C192&gt;=1,F192*VLOOKUP(E192,Reeksen!$A$5:$B$76,2),0)</f>
        <v>0</v>
      </c>
      <c r="H192" s="84">
        <f ca="1">(1-('Invoer gegevens'!$F$20/12))*F192*MIN(Reeksen!B192,Reeksen!D192)</f>
        <v>0</v>
      </c>
      <c r="I192" s="84">
        <f>IF(Reeksen!D192&lt;Reeksen!B192,(Reeksen!B192-Reeksen!D192)*F192,0)</f>
        <v>0</v>
      </c>
      <c r="J192" s="84">
        <f ca="1">('Invoer gegevens'!$F$20/12)*F191*MIN(Reeksen!B191,Reeksen!D191)</f>
        <v>0</v>
      </c>
      <c r="K192" s="97">
        <f t="shared" ca="1" si="23"/>
        <v>0</v>
      </c>
      <c r="L192" s="84">
        <f ca="1">IF('Invoer gegevens'!$C$17=E192,0,IF(C192=1,Q191,0))</f>
        <v>0</v>
      </c>
      <c r="M192" s="96">
        <f ca="1">IF(C192&gt;=1,L192*VLOOKUP(E192,Reeksen!$A$5:$B$76,2),0)</f>
        <v>0</v>
      </c>
      <c r="N192" s="84">
        <f ca="1">(1-('Invoer gegevens'!$F$20/12))*L192*MIN(Reeksen!B192,Reeksen!D192)</f>
        <v>0</v>
      </c>
      <c r="O192" s="84">
        <f>IF(Reeksen!D192&lt;Reeksen!B192,(Reeksen!B192-Reeksen!D192)*L192,0)</f>
        <v>0</v>
      </c>
      <c r="P192" s="84">
        <f ca="1">('Invoer gegevens'!$F$20/12)*L191*MIN(Reeksen!B191,Reeksen!D191)</f>
        <v>0</v>
      </c>
      <c r="Q192" s="84">
        <f t="shared" ca="1" si="24"/>
        <v>0</v>
      </c>
      <c r="R192" s="82">
        <f ca="1">IF('Invoer gegevens'!$C$17=E192,'Invoer gegevens'!$C$11,IF(C192=1,W191,0))</f>
        <v>0</v>
      </c>
      <c r="S192" s="86">
        <f ca="1">IF(C192&gt;=1,R192*VLOOKUP(E192,Reeksen!$A$5:$B$76,2),0)</f>
        <v>0</v>
      </c>
      <c r="T192" s="84">
        <f ca="1">(1-('Invoer gegevens'!$F$20/12))*R192*MIN(Reeksen!B192,Reeksen!D192)</f>
        <v>0</v>
      </c>
      <c r="U192" s="84">
        <f>IF(Reeksen!D192&gt;=Reeksen!B192,0,IF(Reeksen!AK192&lt;=Reeksen!AE192,(Reeksen!B192-Reeksen!D192)*R192,0))</f>
        <v>0</v>
      </c>
      <c r="V192" s="86">
        <f>IF(Reeksen!D192&gt;=Reeksen!B192,0,IF(Reeksen!AK192&gt;Reeksen!AE192,(Reeksen!B192-Reeksen!D192)*R192,0))</f>
        <v>0</v>
      </c>
      <c r="W192" s="97">
        <f t="shared" ca="1" si="25"/>
        <v>0</v>
      </c>
      <c r="X192" s="98">
        <f ca="1">IF('Invoer gegevens'!$C$17=E192,'Invoer gegevens'!$C$10-'Invoer gegevens'!$C$11,IF(C192=1,AC191,0))</f>
        <v>0</v>
      </c>
      <c r="Y192" s="98">
        <f ca="1">IF(C192&gt;=1,X192*VLOOKUP(E192,Reeksen!$A$5:$B$76,2),0)</f>
        <v>0</v>
      </c>
      <c r="Z192" s="98">
        <f ca="1">(1-('Invoer gegevens'!$F$20/12))*X192*MIN(Reeksen!B192,Reeksen!D192)</f>
        <v>0</v>
      </c>
      <c r="AA192" s="98">
        <f>IF(Reeksen!D192&gt;=Reeksen!B192,0,IF(Reeksen!AK192&lt;=Reeksen!AE192,(Reeksen!B192-Reeksen!D192)*X192,0))</f>
        <v>0</v>
      </c>
      <c r="AB192" s="98">
        <f>IF(Reeksen!D192&gt;=Reeksen!B192,0,IF(Reeksen!AK192&gt;Reeksen!AE192,(Reeksen!B192-Reeksen!D192)*X192,0))</f>
        <v>0</v>
      </c>
      <c r="AC192" s="99">
        <f t="shared" ca="1" si="26"/>
        <v>0</v>
      </c>
      <c r="AD192" s="98">
        <f ca="1">IF('Invoer gegevens'!$C$17=E192,R192,IF(C192=0,0,AE191))</f>
        <v>0</v>
      </c>
      <c r="AE192" s="98">
        <f t="shared" ca="1" si="27"/>
        <v>0</v>
      </c>
      <c r="AF192" s="98">
        <f ca="1">IF('Invoer gegevens'!$C$17=E192,X192,IF(C192=0,0,AG191))</f>
        <v>0</v>
      </c>
      <c r="AG192" s="98">
        <f t="shared" ca="1" si="28"/>
        <v>0</v>
      </c>
      <c r="AH192" s="68"/>
      <c r="AI192" s="71">
        <f ca="1">IF(C192=1,Reeksen!AJ192*((F192-G192+F192)/2)*12+Reeksen!AK192*((L192-M192+L192)/2)*12,0)</f>
        <v>0</v>
      </c>
      <c r="AJ192" s="71">
        <f ca="1">-AI192*'Invoer gegevens'!$F$28</f>
        <v>0</v>
      </c>
      <c r="AK192" s="71">
        <f t="shared" ca="1" si="22"/>
        <v>0</v>
      </c>
      <c r="AL192" s="71">
        <f ca="1">IF(C192=1,Reeksen!AL192*((F192-G192+F192)/2)*12+Reeksen!AM192*((L192-M192+L192)/2)*12,0)</f>
        <v>0</v>
      </c>
      <c r="AM192" s="71">
        <f ca="1">-AL192*'Invoer gegevens'!$F$31</f>
        <v>0</v>
      </c>
      <c r="AN192" s="71">
        <f t="shared" ca="1" si="29"/>
        <v>0</v>
      </c>
      <c r="AO192" s="71">
        <f ca="1">IF(C192=1,(H192+J192+N192+P192)*Reeksen!AN192,0)</f>
        <v>0</v>
      </c>
      <c r="AP192" s="71">
        <f ca="1">-IF(C192=1,(H192+J192+N192+P192)*'Hulp - basis'!$G$550*Reeksen!H192,0)</f>
        <v>0</v>
      </c>
      <c r="AQ192" s="71">
        <f ca="1">-IF(C192=1,(F192+K192+L192+Q192)/2*'Invoer gegevens'!$I$33*Reeksen!J192,0)*2</f>
        <v>0</v>
      </c>
      <c r="AR192" s="71">
        <f ca="1">-IF(C192=1,(I192*'Invoer gegevens'!$I$34)*Reeksen!J192,0)</f>
        <v>0</v>
      </c>
      <c r="AS192" s="71">
        <f ca="1">-IF(C192=1,(F192+K192+L192+Q192)/2*'Invoer gegevens'!$I$35*Reeksen!L192,0)</f>
        <v>0</v>
      </c>
      <c r="AT192" s="71">
        <f ca="1">-IF(C192=1,IF(E192='Invoer gegevens'!$C$17,'Invoer gegevens'!$C$11,AD192)*Reeksen!S192*'Invoer gegevens'!$C$18*Reeksen!P192,0)</f>
        <v>0</v>
      </c>
      <c r="AU192" s="71">
        <f ca="1">-IF(C192=1,(F192+K192+L192+Q192)/2*'Invoer gegevens'!$I$36*Reeksen!H192,0)</f>
        <v>0</v>
      </c>
      <c r="AV192" s="71">
        <f>IF('Invoer gegevens'!$C$3="Basis",0,#REF!)</f>
        <v>0</v>
      </c>
      <c r="AW192" s="71">
        <f t="shared" ca="1" si="30"/>
        <v>0</v>
      </c>
      <c r="AX192" s="71">
        <f ca="1">IF(E192&lt;'Invoer gegevens'!$C$17+15,0,IF(E192&gt;'Invoer gegevens'!$C$17+215,0,AW192))</f>
        <v>0</v>
      </c>
      <c r="AY192" s="71">
        <f ca="1">AX192/(1+'Invoer gegevens'!$F$18)^($AZ192-('Invoer gegevens'!$C$17-'Invoer gegevens'!$C$16))/(1+'Invoer gegevens'!$C$39)^('Invoer gegevens'!$C$17-'Invoer gegevens'!$C$16)</f>
        <v>0</v>
      </c>
      <c r="AZ192" s="68">
        <f ca="1">IF(E192-'Invoer gegevens'!$C$17-14.5&lt;0,0,E192-'Invoer gegevens'!$C$17-14.5)</f>
        <v>172.5</v>
      </c>
    </row>
    <row r="193" spans="2:52" x14ac:dyDescent="0.25">
      <c r="B193" s="70">
        <f t="shared" si="31"/>
        <v>189</v>
      </c>
      <c r="C193" s="67">
        <f ca="1">IF(E193-'Invoer gegevens'!$C$17&lt;0,0,1)</f>
        <v>1</v>
      </c>
      <c r="D193" s="68">
        <f t="shared" si="32"/>
        <v>188.5</v>
      </c>
      <c r="E193" s="108">
        <f ca="1">IF('Invoer gegevens'!$C$16="","",E192+1)</f>
        <v>2207</v>
      </c>
      <c r="F193" s="84">
        <f ca="1">IF('Invoer gegevens'!$C$17=E193,'Invoer gegevens'!$C$10,IF(C193=1,K192,0))</f>
        <v>0</v>
      </c>
      <c r="G193" s="96">
        <f ca="1">IF(C193&gt;=1,F193*VLOOKUP(E193,Reeksen!$A$5:$B$76,2),0)</f>
        <v>0</v>
      </c>
      <c r="H193" s="84">
        <f ca="1">(1-('Invoer gegevens'!$F$20/12))*F193*MIN(Reeksen!B193,Reeksen!D193)</f>
        <v>0</v>
      </c>
      <c r="I193" s="84">
        <f>IF(Reeksen!D193&lt;Reeksen!B193,(Reeksen!B193-Reeksen!D193)*F193,0)</f>
        <v>0</v>
      </c>
      <c r="J193" s="84">
        <f ca="1">('Invoer gegevens'!$F$20/12)*F192*MIN(Reeksen!B192,Reeksen!D192)</f>
        <v>0</v>
      </c>
      <c r="K193" s="97">
        <f t="shared" ca="1" si="23"/>
        <v>0</v>
      </c>
      <c r="L193" s="84">
        <f ca="1">IF('Invoer gegevens'!$C$17=E193,0,IF(C193=1,Q192,0))</f>
        <v>0</v>
      </c>
      <c r="M193" s="96">
        <f ca="1">IF(C193&gt;=1,L193*VLOOKUP(E193,Reeksen!$A$5:$B$76,2),0)</f>
        <v>0</v>
      </c>
      <c r="N193" s="84">
        <f ca="1">(1-('Invoer gegevens'!$F$20/12))*L193*MIN(Reeksen!B193,Reeksen!D193)</f>
        <v>0</v>
      </c>
      <c r="O193" s="84">
        <f>IF(Reeksen!D193&lt;Reeksen!B193,(Reeksen!B193-Reeksen!D193)*L193,0)</f>
        <v>0</v>
      </c>
      <c r="P193" s="84">
        <f ca="1">('Invoer gegevens'!$F$20/12)*L192*MIN(Reeksen!B192,Reeksen!D192)</f>
        <v>0</v>
      </c>
      <c r="Q193" s="84">
        <f t="shared" ca="1" si="24"/>
        <v>0</v>
      </c>
      <c r="R193" s="82">
        <f ca="1">IF('Invoer gegevens'!$C$17=E193,'Invoer gegevens'!$C$11,IF(C193=1,W192,0))</f>
        <v>0</v>
      </c>
      <c r="S193" s="86">
        <f ca="1">IF(C193&gt;=1,R193*VLOOKUP(E193,Reeksen!$A$5:$B$76,2),0)</f>
        <v>0</v>
      </c>
      <c r="T193" s="84">
        <f ca="1">(1-('Invoer gegevens'!$F$20/12))*R193*MIN(Reeksen!B193,Reeksen!D193)</f>
        <v>0</v>
      </c>
      <c r="U193" s="84">
        <f>IF(Reeksen!D193&gt;=Reeksen!B193,0,IF(Reeksen!AK193&lt;=Reeksen!AE193,(Reeksen!B193-Reeksen!D193)*R193,0))</f>
        <v>0</v>
      </c>
      <c r="V193" s="86">
        <f>IF(Reeksen!D193&gt;=Reeksen!B193,0,IF(Reeksen!AK193&gt;Reeksen!AE193,(Reeksen!B193-Reeksen!D193)*R193,0))</f>
        <v>0</v>
      </c>
      <c r="W193" s="97">
        <f t="shared" ca="1" si="25"/>
        <v>0</v>
      </c>
      <c r="X193" s="98">
        <f ca="1">IF('Invoer gegevens'!$C$17=E193,'Invoer gegevens'!$C$10-'Invoer gegevens'!$C$11,IF(C193=1,AC192,0))</f>
        <v>0</v>
      </c>
      <c r="Y193" s="98">
        <f ca="1">IF(C193&gt;=1,X193*VLOOKUP(E193,Reeksen!$A$5:$B$76,2),0)</f>
        <v>0</v>
      </c>
      <c r="Z193" s="98">
        <f ca="1">(1-('Invoer gegevens'!$F$20/12))*X193*MIN(Reeksen!B193,Reeksen!D193)</f>
        <v>0</v>
      </c>
      <c r="AA193" s="98">
        <f>IF(Reeksen!D193&gt;=Reeksen!B193,0,IF(Reeksen!AK193&lt;=Reeksen!AE193,(Reeksen!B193-Reeksen!D193)*X193,0))</f>
        <v>0</v>
      </c>
      <c r="AB193" s="98">
        <f>IF(Reeksen!D193&gt;=Reeksen!B193,0,IF(Reeksen!AK193&gt;Reeksen!AE193,(Reeksen!B193-Reeksen!D193)*X193,0))</f>
        <v>0</v>
      </c>
      <c r="AC193" s="99">
        <f t="shared" ca="1" si="26"/>
        <v>0</v>
      </c>
      <c r="AD193" s="98">
        <f ca="1">IF('Invoer gegevens'!$C$17=E193,R193,IF(C193=0,0,AE192))</f>
        <v>0</v>
      </c>
      <c r="AE193" s="98">
        <f t="shared" ca="1" si="27"/>
        <v>0</v>
      </c>
      <c r="AF193" s="98">
        <f ca="1">IF('Invoer gegevens'!$C$17=E193,X193,IF(C193=0,0,AG192))</f>
        <v>0</v>
      </c>
      <c r="AG193" s="98">
        <f t="shared" ca="1" si="28"/>
        <v>0</v>
      </c>
      <c r="AH193" s="68"/>
      <c r="AI193" s="71">
        <f ca="1">IF(C193=1,Reeksen!AJ193*((F193-G193+F193)/2)*12+Reeksen!AK193*((L193-M193+L193)/2)*12,0)</f>
        <v>0</v>
      </c>
      <c r="AJ193" s="71">
        <f ca="1">-AI193*'Invoer gegevens'!$F$28</f>
        <v>0</v>
      </c>
      <c r="AK193" s="71">
        <f t="shared" ca="1" si="22"/>
        <v>0</v>
      </c>
      <c r="AL193" s="71">
        <f ca="1">IF(C193=1,Reeksen!AL193*((F193-G193+F193)/2)*12+Reeksen!AM193*((L193-M193+L193)/2)*12,0)</f>
        <v>0</v>
      </c>
      <c r="AM193" s="71">
        <f ca="1">-AL193*'Invoer gegevens'!$F$31</f>
        <v>0</v>
      </c>
      <c r="AN193" s="71">
        <f t="shared" ca="1" si="29"/>
        <v>0</v>
      </c>
      <c r="AO193" s="71">
        <f ca="1">IF(C193=1,(H193+J193+N193+P193)*Reeksen!AN193,0)</f>
        <v>0</v>
      </c>
      <c r="AP193" s="71">
        <f ca="1">-IF(C193=1,(H193+J193+N193+P193)*'Hulp - basis'!$G$550*Reeksen!H193,0)</f>
        <v>0</v>
      </c>
      <c r="AQ193" s="71">
        <f ca="1">-IF(C193=1,(F193+K193+L193+Q193)/2*'Invoer gegevens'!$I$33*Reeksen!J193,0)*2</f>
        <v>0</v>
      </c>
      <c r="AR193" s="71">
        <f ca="1">-IF(C193=1,(I193*'Invoer gegevens'!$I$34)*Reeksen!J193,0)</f>
        <v>0</v>
      </c>
      <c r="AS193" s="71">
        <f ca="1">-IF(C193=1,(F193+K193+L193+Q193)/2*'Invoer gegevens'!$I$35*Reeksen!L193,0)</f>
        <v>0</v>
      </c>
      <c r="AT193" s="71">
        <f ca="1">-IF(C193=1,IF(E193='Invoer gegevens'!$C$17,'Invoer gegevens'!$C$11,AD193)*Reeksen!S193*'Invoer gegevens'!$C$18*Reeksen!P193,0)</f>
        <v>0</v>
      </c>
      <c r="AU193" s="71">
        <f ca="1">-IF(C193=1,(F193+K193+L193+Q193)/2*'Invoer gegevens'!$I$36*Reeksen!H193,0)</f>
        <v>0</v>
      </c>
      <c r="AV193" s="71">
        <f>IF('Invoer gegevens'!$C$3="Basis",0,#REF!)</f>
        <v>0</v>
      </c>
      <c r="AW193" s="71">
        <f t="shared" ca="1" si="30"/>
        <v>0</v>
      </c>
      <c r="AX193" s="71">
        <f ca="1">IF(E193&lt;'Invoer gegevens'!$C$17+15,0,IF(E193&gt;'Invoer gegevens'!$C$17+215,0,AW193))</f>
        <v>0</v>
      </c>
      <c r="AY193" s="71">
        <f ca="1">AX193/(1+'Invoer gegevens'!$F$18)^($AZ193-('Invoer gegevens'!$C$17-'Invoer gegevens'!$C$16))/(1+'Invoer gegevens'!$C$39)^('Invoer gegevens'!$C$17-'Invoer gegevens'!$C$16)</f>
        <v>0</v>
      </c>
      <c r="AZ193" s="68">
        <f ca="1">IF(E193-'Invoer gegevens'!$C$17-14.5&lt;0,0,E193-'Invoer gegevens'!$C$17-14.5)</f>
        <v>173.5</v>
      </c>
    </row>
    <row r="194" spans="2:52" x14ac:dyDescent="0.25">
      <c r="B194" s="70">
        <f t="shared" si="31"/>
        <v>190</v>
      </c>
      <c r="C194" s="67">
        <f ca="1">IF(E194-'Invoer gegevens'!$C$17&lt;0,0,1)</f>
        <v>1</v>
      </c>
      <c r="D194" s="68">
        <f t="shared" si="32"/>
        <v>189.5</v>
      </c>
      <c r="E194" s="108">
        <f ca="1">IF('Invoer gegevens'!$C$16="","",E193+1)</f>
        <v>2208</v>
      </c>
      <c r="F194" s="84">
        <f ca="1">IF('Invoer gegevens'!$C$17=E194,'Invoer gegevens'!$C$10,IF(C194=1,K193,0))</f>
        <v>0</v>
      </c>
      <c r="G194" s="96">
        <f ca="1">IF(C194&gt;=1,F194*VLOOKUP(E194,Reeksen!$A$5:$B$76,2),0)</f>
        <v>0</v>
      </c>
      <c r="H194" s="84">
        <f ca="1">(1-('Invoer gegevens'!$F$20/12))*F194*MIN(Reeksen!B194,Reeksen!D194)</f>
        <v>0</v>
      </c>
      <c r="I194" s="84">
        <f>IF(Reeksen!D194&lt;Reeksen!B194,(Reeksen!B194-Reeksen!D194)*F194,0)</f>
        <v>0</v>
      </c>
      <c r="J194" s="84">
        <f ca="1">('Invoer gegevens'!$F$20/12)*F193*MIN(Reeksen!B193,Reeksen!D193)</f>
        <v>0</v>
      </c>
      <c r="K194" s="97">
        <f t="shared" ca="1" si="23"/>
        <v>0</v>
      </c>
      <c r="L194" s="84">
        <f ca="1">IF('Invoer gegevens'!$C$17=E194,0,IF(C194=1,Q193,0))</f>
        <v>0</v>
      </c>
      <c r="M194" s="96">
        <f ca="1">IF(C194&gt;=1,L194*VLOOKUP(E194,Reeksen!$A$5:$B$76,2),0)</f>
        <v>0</v>
      </c>
      <c r="N194" s="84">
        <f ca="1">(1-('Invoer gegevens'!$F$20/12))*L194*MIN(Reeksen!B194,Reeksen!D194)</f>
        <v>0</v>
      </c>
      <c r="O194" s="84">
        <f>IF(Reeksen!D194&lt;Reeksen!B194,(Reeksen!B194-Reeksen!D194)*L194,0)</f>
        <v>0</v>
      </c>
      <c r="P194" s="84">
        <f ca="1">('Invoer gegevens'!$F$20/12)*L193*MIN(Reeksen!B193,Reeksen!D193)</f>
        <v>0</v>
      </c>
      <c r="Q194" s="84">
        <f t="shared" ca="1" si="24"/>
        <v>0</v>
      </c>
      <c r="R194" s="82">
        <f ca="1">IF('Invoer gegevens'!$C$17=E194,'Invoer gegevens'!$C$11,IF(C194=1,W193,0))</f>
        <v>0</v>
      </c>
      <c r="S194" s="86">
        <f ca="1">IF(C194&gt;=1,R194*VLOOKUP(E194,Reeksen!$A$5:$B$76,2),0)</f>
        <v>0</v>
      </c>
      <c r="T194" s="84">
        <f ca="1">(1-('Invoer gegevens'!$F$20/12))*R194*MIN(Reeksen!B194,Reeksen!D194)</f>
        <v>0</v>
      </c>
      <c r="U194" s="84">
        <f>IF(Reeksen!D194&gt;=Reeksen!B194,0,IF(Reeksen!AK194&lt;=Reeksen!AE194,(Reeksen!B194-Reeksen!D194)*R194,0))</f>
        <v>0</v>
      </c>
      <c r="V194" s="86">
        <f>IF(Reeksen!D194&gt;=Reeksen!B194,0,IF(Reeksen!AK194&gt;Reeksen!AE194,(Reeksen!B194-Reeksen!D194)*R194,0))</f>
        <v>0</v>
      </c>
      <c r="W194" s="97">
        <f t="shared" ca="1" si="25"/>
        <v>0</v>
      </c>
      <c r="X194" s="98">
        <f ca="1">IF('Invoer gegevens'!$C$17=E194,'Invoer gegevens'!$C$10-'Invoer gegevens'!$C$11,IF(C194=1,AC193,0))</f>
        <v>0</v>
      </c>
      <c r="Y194" s="98">
        <f ca="1">IF(C194&gt;=1,X194*VLOOKUP(E194,Reeksen!$A$5:$B$76,2),0)</f>
        <v>0</v>
      </c>
      <c r="Z194" s="98">
        <f ca="1">(1-('Invoer gegevens'!$F$20/12))*X194*MIN(Reeksen!B194,Reeksen!D194)</f>
        <v>0</v>
      </c>
      <c r="AA194" s="98">
        <f>IF(Reeksen!D194&gt;=Reeksen!B194,0,IF(Reeksen!AK194&lt;=Reeksen!AE194,(Reeksen!B194-Reeksen!D194)*X194,0))</f>
        <v>0</v>
      </c>
      <c r="AB194" s="98">
        <f>IF(Reeksen!D194&gt;=Reeksen!B194,0,IF(Reeksen!AK194&gt;Reeksen!AE194,(Reeksen!B194-Reeksen!D194)*X194,0))</f>
        <v>0</v>
      </c>
      <c r="AC194" s="99">
        <f t="shared" ca="1" si="26"/>
        <v>0</v>
      </c>
      <c r="AD194" s="98">
        <f ca="1">IF('Invoer gegevens'!$C$17=E194,R194,IF(C194=0,0,AE193))</f>
        <v>0</v>
      </c>
      <c r="AE194" s="98">
        <f t="shared" ca="1" si="27"/>
        <v>0</v>
      </c>
      <c r="AF194" s="98">
        <f ca="1">IF('Invoer gegevens'!$C$17=E194,X194,IF(C194=0,0,AG193))</f>
        <v>0</v>
      </c>
      <c r="AG194" s="98">
        <f t="shared" ca="1" si="28"/>
        <v>0</v>
      </c>
      <c r="AH194" s="68"/>
      <c r="AI194" s="71">
        <f ca="1">IF(C194=1,Reeksen!AJ194*((F194-G194+F194)/2)*12+Reeksen!AK194*((L194-M194+L194)/2)*12,0)</f>
        <v>0</v>
      </c>
      <c r="AJ194" s="71">
        <f ca="1">-AI194*'Invoer gegevens'!$F$28</f>
        <v>0</v>
      </c>
      <c r="AK194" s="71">
        <f t="shared" ca="1" si="22"/>
        <v>0</v>
      </c>
      <c r="AL194" s="71">
        <f ca="1">IF(C194=1,Reeksen!AL194*((F194-G194+F194)/2)*12+Reeksen!AM194*((L194-M194+L194)/2)*12,0)</f>
        <v>0</v>
      </c>
      <c r="AM194" s="71">
        <f ca="1">-AL194*'Invoer gegevens'!$F$31</f>
        <v>0</v>
      </c>
      <c r="AN194" s="71">
        <f t="shared" ca="1" si="29"/>
        <v>0</v>
      </c>
      <c r="AO194" s="71">
        <f ca="1">IF(C194=1,(H194+J194+N194+P194)*Reeksen!AN194,0)</f>
        <v>0</v>
      </c>
      <c r="AP194" s="71">
        <f ca="1">-IF(C194=1,(H194+J194+N194+P194)*'Hulp - basis'!$G$550*Reeksen!H194,0)</f>
        <v>0</v>
      </c>
      <c r="AQ194" s="71">
        <f ca="1">-IF(C194=1,(F194+K194+L194+Q194)/2*'Invoer gegevens'!$I$33*Reeksen!J194,0)*2</f>
        <v>0</v>
      </c>
      <c r="AR194" s="71">
        <f ca="1">-IF(C194=1,(I194*'Invoer gegevens'!$I$34)*Reeksen!J194,0)</f>
        <v>0</v>
      </c>
      <c r="AS194" s="71">
        <f ca="1">-IF(C194=1,(F194+K194+L194+Q194)/2*'Invoer gegevens'!$I$35*Reeksen!L194,0)</f>
        <v>0</v>
      </c>
      <c r="AT194" s="71">
        <f ca="1">-IF(C194=1,IF(E194='Invoer gegevens'!$C$17,'Invoer gegevens'!$C$11,AD194)*Reeksen!S194*'Invoer gegevens'!$C$18*Reeksen!P194,0)</f>
        <v>0</v>
      </c>
      <c r="AU194" s="71">
        <f ca="1">-IF(C194=1,(F194+K194+L194+Q194)/2*'Invoer gegevens'!$I$36*Reeksen!H194,0)</f>
        <v>0</v>
      </c>
      <c r="AV194" s="71">
        <f>IF('Invoer gegevens'!$C$3="Basis",0,#REF!)</f>
        <v>0</v>
      </c>
      <c r="AW194" s="71">
        <f t="shared" ca="1" si="30"/>
        <v>0</v>
      </c>
      <c r="AX194" s="71">
        <f ca="1">IF(E194&lt;'Invoer gegevens'!$C$17+15,0,IF(E194&gt;'Invoer gegevens'!$C$17+215,0,AW194))</f>
        <v>0</v>
      </c>
      <c r="AY194" s="71">
        <f ca="1">AX194/(1+'Invoer gegevens'!$F$18)^($AZ194-('Invoer gegevens'!$C$17-'Invoer gegevens'!$C$16))/(1+'Invoer gegevens'!$C$39)^('Invoer gegevens'!$C$17-'Invoer gegevens'!$C$16)</f>
        <v>0</v>
      </c>
      <c r="AZ194" s="68">
        <f ca="1">IF(E194-'Invoer gegevens'!$C$17-14.5&lt;0,0,E194-'Invoer gegevens'!$C$17-14.5)</f>
        <v>174.5</v>
      </c>
    </row>
    <row r="195" spans="2:52" x14ac:dyDescent="0.25">
      <c r="B195" s="70">
        <f t="shared" si="31"/>
        <v>191</v>
      </c>
      <c r="C195" s="67">
        <f ca="1">IF(E195-'Invoer gegevens'!$C$17&lt;0,0,1)</f>
        <v>1</v>
      </c>
      <c r="D195" s="68">
        <f t="shared" si="32"/>
        <v>190.5</v>
      </c>
      <c r="E195" s="108">
        <f ca="1">IF('Invoer gegevens'!$C$16="","",E194+1)</f>
        <v>2209</v>
      </c>
      <c r="F195" s="84">
        <f ca="1">IF('Invoer gegevens'!$C$17=E195,'Invoer gegevens'!$C$10,IF(C195=1,K194,0))</f>
        <v>0</v>
      </c>
      <c r="G195" s="96">
        <f ca="1">IF(C195&gt;=1,F195*VLOOKUP(E195,Reeksen!$A$5:$B$76,2),0)</f>
        <v>0</v>
      </c>
      <c r="H195" s="84">
        <f ca="1">(1-('Invoer gegevens'!$F$20/12))*F195*MIN(Reeksen!B195,Reeksen!D195)</f>
        <v>0</v>
      </c>
      <c r="I195" s="84">
        <f>IF(Reeksen!D195&lt;Reeksen!B195,(Reeksen!B195-Reeksen!D195)*F195,0)</f>
        <v>0</v>
      </c>
      <c r="J195" s="84">
        <f ca="1">('Invoer gegevens'!$F$20/12)*F194*MIN(Reeksen!B194,Reeksen!D194)</f>
        <v>0</v>
      </c>
      <c r="K195" s="97">
        <f t="shared" ca="1" si="23"/>
        <v>0</v>
      </c>
      <c r="L195" s="84">
        <f ca="1">IF('Invoer gegevens'!$C$17=E195,0,IF(C195=1,Q194,0))</f>
        <v>0</v>
      </c>
      <c r="M195" s="96">
        <f ca="1">IF(C195&gt;=1,L195*VLOOKUP(E195,Reeksen!$A$5:$B$76,2),0)</f>
        <v>0</v>
      </c>
      <c r="N195" s="84">
        <f ca="1">(1-('Invoer gegevens'!$F$20/12))*L195*MIN(Reeksen!B195,Reeksen!D195)</f>
        <v>0</v>
      </c>
      <c r="O195" s="84">
        <f>IF(Reeksen!D195&lt;Reeksen!B195,(Reeksen!B195-Reeksen!D195)*L195,0)</f>
        <v>0</v>
      </c>
      <c r="P195" s="84">
        <f ca="1">('Invoer gegevens'!$F$20/12)*L194*MIN(Reeksen!B194,Reeksen!D194)</f>
        <v>0</v>
      </c>
      <c r="Q195" s="84">
        <f t="shared" ca="1" si="24"/>
        <v>0</v>
      </c>
      <c r="R195" s="82">
        <f ca="1">IF('Invoer gegevens'!$C$17=E195,'Invoer gegevens'!$C$11,IF(C195=1,W194,0))</f>
        <v>0</v>
      </c>
      <c r="S195" s="86">
        <f ca="1">IF(C195&gt;=1,R195*VLOOKUP(E195,Reeksen!$A$5:$B$76,2),0)</f>
        <v>0</v>
      </c>
      <c r="T195" s="84">
        <f ca="1">(1-('Invoer gegevens'!$F$20/12))*R195*MIN(Reeksen!B195,Reeksen!D195)</f>
        <v>0</v>
      </c>
      <c r="U195" s="84">
        <f>IF(Reeksen!D195&gt;=Reeksen!B195,0,IF(Reeksen!AK195&lt;=Reeksen!AE195,(Reeksen!B195-Reeksen!D195)*R195,0))</f>
        <v>0</v>
      </c>
      <c r="V195" s="86">
        <f>IF(Reeksen!D195&gt;=Reeksen!B195,0,IF(Reeksen!AK195&gt;Reeksen!AE195,(Reeksen!B195-Reeksen!D195)*R195,0))</f>
        <v>0</v>
      </c>
      <c r="W195" s="97">
        <f t="shared" ca="1" si="25"/>
        <v>0</v>
      </c>
      <c r="X195" s="98">
        <f ca="1">IF('Invoer gegevens'!$C$17=E195,'Invoer gegevens'!$C$10-'Invoer gegevens'!$C$11,IF(C195=1,AC194,0))</f>
        <v>0</v>
      </c>
      <c r="Y195" s="98">
        <f ca="1">IF(C195&gt;=1,X195*VLOOKUP(E195,Reeksen!$A$5:$B$76,2),0)</f>
        <v>0</v>
      </c>
      <c r="Z195" s="98">
        <f ca="1">(1-('Invoer gegevens'!$F$20/12))*X195*MIN(Reeksen!B195,Reeksen!D195)</f>
        <v>0</v>
      </c>
      <c r="AA195" s="98">
        <f>IF(Reeksen!D195&gt;=Reeksen!B195,0,IF(Reeksen!AK195&lt;=Reeksen!AE195,(Reeksen!B195-Reeksen!D195)*X195,0))</f>
        <v>0</v>
      </c>
      <c r="AB195" s="98">
        <f>IF(Reeksen!D195&gt;=Reeksen!B195,0,IF(Reeksen!AK195&gt;Reeksen!AE195,(Reeksen!B195-Reeksen!D195)*X195,0))</f>
        <v>0</v>
      </c>
      <c r="AC195" s="99">
        <f t="shared" ca="1" si="26"/>
        <v>0</v>
      </c>
      <c r="AD195" s="98">
        <f ca="1">IF('Invoer gegevens'!$C$17=E195,R195,IF(C195=0,0,AE194))</f>
        <v>0</v>
      </c>
      <c r="AE195" s="98">
        <f t="shared" ca="1" si="27"/>
        <v>0</v>
      </c>
      <c r="AF195" s="98">
        <f ca="1">IF('Invoer gegevens'!$C$17=E195,X195,IF(C195=0,0,AG194))</f>
        <v>0</v>
      </c>
      <c r="AG195" s="98">
        <f t="shared" ca="1" si="28"/>
        <v>0</v>
      </c>
      <c r="AH195" s="68"/>
      <c r="AI195" s="71">
        <f ca="1">IF(C195=1,Reeksen!AJ195*((F195-G195+F195)/2)*12+Reeksen!AK195*((L195-M195+L195)/2)*12,0)</f>
        <v>0</v>
      </c>
      <c r="AJ195" s="71">
        <f ca="1">-AI195*'Invoer gegevens'!$F$28</f>
        <v>0</v>
      </c>
      <c r="AK195" s="71">
        <f t="shared" ca="1" si="22"/>
        <v>0</v>
      </c>
      <c r="AL195" s="71">
        <f ca="1">IF(C195=1,Reeksen!AL195*((F195-G195+F195)/2)*12+Reeksen!AM195*((L195-M195+L195)/2)*12,0)</f>
        <v>0</v>
      </c>
      <c r="AM195" s="71">
        <f ca="1">-AL195*'Invoer gegevens'!$F$31</f>
        <v>0</v>
      </c>
      <c r="AN195" s="71">
        <f t="shared" ca="1" si="29"/>
        <v>0</v>
      </c>
      <c r="AO195" s="71">
        <f ca="1">IF(C195=1,(H195+J195+N195+P195)*Reeksen!AN195,0)</f>
        <v>0</v>
      </c>
      <c r="AP195" s="71">
        <f ca="1">-IF(C195=1,(H195+J195+N195+P195)*'Hulp - basis'!$G$550*Reeksen!H195,0)</f>
        <v>0</v>
      </c>
      <c r="AQ195" s="71">
        <f ca="1">-IF(C195=1,(F195+K195+L195+Q195)/2*'Invoer gegevens'!$I$33*Reeksen!J195,0)*2</f>
        <v>0</v>
      </c>
      <c r="AR195" s="71">
        <f ca="1">-IF(C195=1,(I195*'Invoer gegevens'!$I$34)*Reeksen!J195,0)</f>
        <v>0</v>
      </c>
      <c r="AS195" s="71">
        <f ca="1">-IF(C195=1,(F195+K195+L195+Q195)/2*'Invoer gegevens'!$I$35*Reeksen!L195,0)</f>
        <v>0</v>
      </c>
      <c r="AT195" s="71">
        <f ca="1">-IF(C195=1,IF(E195='Invoer gegevens'!$C$17,'Invoer gegevens'!$C$11,AD195)*Reeksen!S195*'Invoer gegevens'!$C$18*Reeksen!P195,0)</f>
        <v>0</v>
      </c>
      <c r="AU195" s="71">
        <f ca="1">-IF(C195=1,(F195+K195+L195+Q195)/2*'Invoer gegevens'!$I$36*Reeksen!H195,0)</f>
        <v>0</v>
      </c>
      <c r="AV195" s="71">
        <f>IF('Invoer gegevens'!$C$3="Basis",0,#REF!)</f>
        <v>0</v>
      </c>
      <c r="AW195" s="71">
        <f t="shared" ca="1" si="30"/>
        <v>0</v>
      </c>
      <c r="AX195" s="71">
        <f ca="1">IF(E195&lt;'Invoer gegevens'!$C$17+15,0,IF(E195&gt;'Invoer gegevens'!$C$17+215,0,AW195))</f>
        <v>0</v>
      </c>
      <c r="AY195" s="71">
        <f ca="1">AX195/(1+'Invoer gegevens'!$F$18)^($AZ195-('Invoer gegevens'!$C$17-'Invoer gegevens'!$C$16))/(1+'Invoer gegevens'!$C$39)^('Invoer gegevens'!$C$17-'Invoer gegevens'!$C$16)</f>
        <v>0</v>
      </c>
      <c r="AZ195" s="68">
        <f ca="1">IF(E195-'Invoer gegevens'!$C$17-14.5&lt;0,0,E195-'Invoer gegevens'!$C$17-14.5)</f>
        <v>175.5</v>
      </c>
    </row>
    <row r="196" spans="2:52" x14ac:dyDescent="0.25">
      <c r="B196" s="70">
        <f t="shared" si="31"/>
        <v>192</v>
      </c>
      <c r="C196" s="67">
        <f ca="1">IF(E196-'Invoer gegevens'!$C$17&lt;0,0,1)</f>
        <v>1</v>
      </c>
      <c r="D196" s="68">
        <f t="shared" si="32"/>
        <v>191.5</v>
      </c>
      <c r="E196" s="108">
        <f ca="1">IF('Invoer gegevens'!$C$16="","",E195+1)</f>
        <v>2210</v>
      </c>
      <c r="F196" s="84">
        <f ca="1">IF('Invoer gegevens'!$C$17=E196,'Invoer gegevens'!$C$10,IF(C196=1,K195,0))</f>
        <v>0</v>
      </c>
      <c r="G196" s="96">
        <f ca="1">IF(C196&gt;=1,F196*VLOOKUP(E196,Reeksen!$A$5:$B$76,2),0)</f>
        <v>0</v>
      </c>
      <c r="H196" s="84">
        <f ca="1">(1-('Invoer gegevens'!$F$20/12))*F196*MIN(Reeksen!B196,Reeksen!D196)</f>
        <v>0</v>
      </c>
      <c r="I196" s="84">
        <f>IF(Reeksen!D196&lt;Reeksen!B196,(Reeksen!B196-Reeksen!D196)*F196,0)</f>
        <v>0</v>
      </c>
      <c r="J196" s="84">
        <f ca="1">('Invoer gegevens'!$F$20/12)*F195*MIN(Reeksen!B195,Reeksen!D195)</f>
        <v>0</v>
      </c>
      <c r="K196" s="97">
        <f t="shared" ca="1" si="23"/>
        <v>0</v>
      </c>
      <c r="L196" s="84">
        <f ca="1">IF('Invoer gegevens'!$C$17=E196,0,IF(C196=1,Q195,0))</f>
        <v>0</v>
      </c>
      <c r="M196" s="96">
        <f ca="1">IF(C196&gt;=1,L196*VLOOKUP(E196,Reeksen!$A$5:$B$76,2),0)</f>
        <v>0</v>
      </c>
      <c r="N196" s="84">
        <f ca="1">(1-('Invoer gegevens'!$F$20/12))*L196*MIN(Reeksen!B196,Reeksen!D196)</f>
        <v>0</v>
      </c>
      <c r="O196" s="84">
        <f>IF(Reeksen!D196&lt;Reeksen!B196,(Reeksen!B196-Reeksen!D196)*L196,0)</f>
        <v>0</v>
      </c>
      <c r="P196" s="84">
        <f ca="1">('Invoer gegevens'!$F$20/12)*L195*MIN(Reeksen!B195,Reeksen!D195)</f>
        <v>0</v>
      </c>
      <c r="Q196" s="84">
        <f t="shared" ca="1" si="24"/>
        <v>0</v>
      </c>
      <c r="R196" s="82">
        <f ca="1">IF('Invoer gegevens'!$C$17=E196,'Invoer gegevens'!$C$11,IF(C196=1,W195,0))</f>
        <v>0</v>
      </c>
      <c r="S196" s="86">
        <f ca="1">IF(C196&gt;=1,R196*VLOOKUP(E196,Reeksen!$A$5:$B$76,2),0)</f>
        <v>0</v>
      </c>
      <c r="T196" s="84">
        <f ca="1">(1-('Invoer gegevens'!$F$20/12))*R196*MIN(Reeksen!B196,Reeksen!D196)</f>
        <v>0</v>
      </c>
      <c r="U196" s="84">
        <f>IF(Reeksen!D196&gt;=Reeksen!B196,0,IF(Reeksen!AK196&lt;=Reeksen!AE196,(Reeksen!B196-Reeksen!D196)*R196,0))</f>
        <v>0</v>
      </c>
      <c r="V196" s="86">
        <f>IF(Reeksen!D196&gt;=Reeksen!B196,0,IF(Reeksen!AK196&gt;Reeksen!AE196,(Reeksen!B196-Reeksen!D196)*R196,0))</f>
        <v>0</v>
      </c>
      <c r="W196" s="97">
        <f t="shared" ca="1" si="25"/>
        <v>0</v>
      </c>
      <c r="X196" s="98">
        <f ca="1">IF('Invoer gegevens'!$C$17=E196,'Invoer gegevens'!$C$10-'Invoer gegevens'!$C$11,IF(C196=1,AC195,0))</f>
        <v>0</v>
      </c>
      <c r="Y196" s="98">
        <f ca="1">IF(C196&gt;=1,X196*VLOOKUP(E196,Reeksen!$A$5:$B$76,2),0)</f>
        <v>0</v>
      </c>
      <c r="Z196" s="98">
        <f ca="1">(1-('Invoer gegevens'!$F$20/12))*X196*MIN(Reeksen!B196,Reeksen!D196)</f>
        <v>0</v>
      </c>
      <c r="AA196" s="98">
        <f>IF(Reeksen!D196&gt;=Reeksen!B196,0,IF(Reeksen!AK196&lt;=Reeksen!AE196,(Reeksen!B196-Reeksen!D196)*X196,0))</f>
        <v>0</v>
      </c>
      <c r="AB196" s="98">
        <f>IF(Reeksen!D196&gt;=Reeksen!B196,0,IF(Reeksen!AK196&gt;Reeksen!AE196,(Reeksen!B196-Reeksen!D196)*X196,0))</f>
        <v>0</v>
      </c>
      <c r="AC196" s="99">
        <f t="shared" ca="1" si="26"/>
        <v>0</v>
      </c>
      <c r="AD196" s="98">
        <f ca="1">IF('Invoer gegevens'!$C$17=E196,R196,IF(C196=0,0,AE195))</f>
        <v>0</v>
      </c>
      <c r="AE196" s="98">
        <f t="shared" ca="1" si="27"/>
        <v>0</v>
      </c>
      <c r="AF196" s="98">
        <f ca="1">IF('Invoer gegevens'!$C$17=E196,X196,IF(C196=0,0,AG195))</f>
        <v>0</v>
      </c>
      <c r="AG196" s="98">
        <f t="shared" ca="1" si="28"/>
        <v>0</v>
      </c>
      <c r="AH196" s="68"/>
      <c r="AI196" s="71">
        <f ca="1">IF(C196=1,Reeksen!AJ196*((F196-G196+F196)/2)*12+Reeksen!AK196*((L196-M196+L196)/2)*12,0)</f>
        <v>0</v>
      </c>
      <c r="AJ196" s="71">
        <f ca="1">-AI196*'Invoer gegevens'!$F$28</f>
        <v>0</v>
      </c>
      <c r="AK196" s="71">
        <f t="shared" ca="1" si="22"/>
        <v>0</v>
      </c>
      <c r="AL196" s="71">
        <f ca="1">IF(C196=1,Reeksen!AL196*((F196-G196+F196)/2)*12+Reeksen!AM196*((L196-M196+L196)/2)*12,0)</f>
        <v>0</v>
      </c>
      <c r="AM196" s="71">
        <f ca="1">-AL196*'Invoer gegevens'!$F$31</f>
        <v>0</v>
      </c>
      <c r="AN196" s="71">
        <f t="shared" ca="1" si="29"/>
        <v>0</v>
      </c>
      <c r="AO196" s="71">
        <f ca="1">IF(C196=1,(H196+J196+N196+P196)*Reeksen!AN196,0)</f>
        <v>0</v>
      </c>
      <c r="AP196" s="71">
        <f ca="1">-IF(C196=1,(H196+J196+N196+P196)*'Hulp - basis'!$G$550*Reeksen!H196,0)</f>
        <v>0</v>
      </c>
      <c r="AQ196" s="71">
        <f ca="1">-IF(C196=1,(F196+K196+L196+Q196)/2*'Invoer gegevens'!$I$33*Reeksen!J196,0)*2</f>
        <v>0</v>
      </c>
      <c r="AR196" s="71">
        <f ca="1">-IF(C196=1,(I196*'Invoer gegevens'!$I$34)*Reeksen!J196,0)</f>
        <v>0</v>
      </c>
      <c r="AS196" s="71">
        <f ca="1">-IF(C196=1,(F196+K196+L196+Q196)/2*'Invoer gegevens'!$I$35*Reeksen!L196,0)</f>
        <v>0</v>
      </c>
      <c r="AT196" s="71">
        <f ca="1">-IF(C196=1,IF(E196='Invoer gegevens'!$C$17,'Invoer gegevens'!$C$11,AD196)*Reeksen!S196*'Invoer gegevens'!$C$18*Reeksen!P196,0)</f>
        <v>0</v>
      </c>
      <c r="AU196" s="71">
        <f ca="1">-IF(C196=1,(F196+K196+L196+Q196)/2*'Invoer gegevens'!$I$36*Reeksen!H196,0)</f>
        <v>0</v>
      </c>
      <c r="AV196" s="71">
        <f>IF('Invoer gegevens'!$C$3="Basis",0,#REF!)</f>
        <v>0</v>
      </c>
      <c r="AW196" s="71">
        <f t="shared" ca="1" si="30"/>
        <v>0</v>
      </c>
      <c r="AX196" s="71">
        <f ca="1">IF(E196&lt;'Invoer gegevens'!$C$17+15,0,IF(E196&gt;'Invoer gegevens'!$C$17+215,0,AW196))</f>
        <v>0</v>
      </c>
      <c r="AY196" s="71">
        <f ca="1">AX196/(1+'Invoer gegevens'!$F$18)^($AZ196-('Invoer gegevens'!$C$17-'Invoer gegevens'!$C$16))/(1+'Invoer gegevens'!$C$39)^('Invoer gegevens'!$C$17-'Invoer gegevens'!$C$16)</f>
        <v>0</v>
      </c>
      <c r="AZ196" s="68">
        <f ca="1">IF(E196-'Invoer gegevens'!$C$17-14.5&lt;0,0,E196-'Invoer gegevens'!$C$17-14.5)</f>
        <v>176.5</v>
      </c>
    </row>
    <row r="197" spans="2:52" x14ac:dyDescent="0.25">
      <c r="B197" s="70">
        <f t="shared" si="31"/>
        <v>193</v>
      </c>
      <c r="C197" s="67">
        <f ca="1">IF(E197-'Invoer gegevens'!$C$17&lt;0,0,1)</f>
        <v>1</v>
      </c>
      <c r="D197" s="68">
        <f t="shared" si="32"/>
        <v>192.5</v>
      </c>
      <c r="E197" s="108">
        <f ca="1">IF('Invoer gegevens'!$C$16="","",E196+1)</f>
        <v>2211</v>
      </c>
      <c r="F197" s="84">
        <f ca="1">IF('Invoer gegevens'!$C$17=E197,'Invoer gegevens'!$C$10,IF(C197=1,K196,0))</f>
        <v>0</v>
      </c>
      <c r="G197" s="96">
        <f ca="1">IF(C197&gt;=1,F197*VLOOKUP(E197,Reeksen!$A$5:$B$76,2),0)</f>
        <v>0</v>
      </c>
      <c r="H197" s="84">
        <f ca="1">(1-('Invoer gegevens'!$F$20/12))*F197*MIN(Reeksen!B197,Reeksen!D197)</f>
        <v>0</v>
      </c>
      <c r="I197" s="84">
        <f>IF(Reeksen!D197&lt;Reeksen!B197,(Reeksen!B197-Reeksen!D197)*F197,0)</f>
        <v>0</v>
      </c>
      <c r="J197" s="84">
        <f ca="1">('Invoer gegevens'!$F$20/12)*F196*MIN(Reeksen!B196,Reeksen!D196)</f>
        <v>0</v>
      </c>
      <c r="K197" s="97">
        <f t="shared" ca="1" si="23"/>
        <v>0</v>
      </c>
      <c r="L197" s="84">
        <f ca="1">IF('Invoer gegevens'!$C$17=E197,0,IF(C197=1,Q196,0))</f>
        <v>0</v>
      </c>
      <c r="M197" s="96">
        <f ca="1">IF(C197&gt;=1,L197*VLOOKUP(E197,Reeksen!$A$5:$B$76,2),0)</f>
        <v>0</v>
      </c>
      <c r="N197" s="84">
        <f ca="1">(1-('Invoer gegevens'!$F$20/12))*L197*MIN(Reeksen!B197,Reeksen!D197)</f>
        <v>0</v>
      </c>
      <c r="O197" s="84">
        <f>IF(Reeksen!D197&lt;Reeksen!B197,(Reeksen!B197-Reeksen!D197)*L197,0)</f>
        <v>0</v>
      </c>
      <c r="P197" s="84">
        <f ca="1">('Invoer gegevens'!$F$20/12)*L196*MIN(Reeksen!B196,Reeksen!D196)</f>
        <v>0</v>
      </c>
      <c r="Q197" s="84">
        <f t="shared" ca="1" si="24"/>
        <v>0</v>
      </c>
      <c r="R197" s="82">
        <f ca="1">IF('Invoer gegevens'!$C$17=E197,'Invoer gegevens'!$C$11,IF(C197=1,W196,0))</f>
        <v>0</v>
      </c>
      <c r="S197" s="86">
        <f ca="1">IF(C197&gt;=1,R197*VLOOKUP(E197,Reeksen!$A$5:$B$76,2),0)</f>
        <v>0</v>
      </c>
      <c r="T197" s="84">
        <f ca="1">(1-('Invoer gegevens'!$F$20/12))*R197*MIN(Reeksen!B197,Reeksen!D197)</f>
        <v>0</v>
      </c>
      <c r="U197" s="84">
        <f>IF(Reeksen!D197&gt;=Reeksen!B197,0,IF(Reeksen!AK197&lt;=Reeksen!AE197,(Reeksen!B197-Reeksen!D197)*R197,0))</f>
        <v>0</v>
      </c>
      <c r="V197" s="86">
        <f>IF(Reeksen!D197&gt;=Reeksen!B197,0,IF(Reeksen!AK197&gt;Reeksen!AE197,(Reeksen!B197-Reeksen!D197)*R197,0))</f>
        <v>0</v>
      </c>
      <c r="W197" s="97">
        <f t="shared" ca="1" si="25"/>
        <v>0</v>
      </c>
      <c r="X197" s="98">
        <f ca="1">IF('Invoer gegevens'!$C$17=E197,'Invoer gegevens'!$C$10-'Invoer gegevens'!$C$11,IF(C197=1,AC196,0))</f>
        <v>0</v>
      </c>
      <c r="Y197" s="98">
        <f ca="1">IF(C197&gt;=1,X197*VLOOKUP(E197,Reeksen!$A$5:$B$76,2),0)</f>
        <v>0</v>
      </c>
      <c r="Z197" s="98">
        <f ca="1">(1-('Invoer gegevens'!$F$20/12))*X197*MIN(Reeksen!B197,Reeksen!D197)</f>
        <v>0</v>
      </c>
      <c r="AA197" s="98">
        <f>IF(Reeksen!D197&gt;=Reeksen!B197,0,IF(Reeksen!AK197&lt;=Reeksen!AE197,(Reeksen!B197-Reeksen!D197)*X197,0))</f>
        <v>0</v>
      </c>
      <c r="AB197" s="98">
        <f>IF(Reeksen!D197&gt;=Reeksen!B197,0,IF(Reeksen!AK197&gt;Reeksen!AE197,(Reeksen!B197-Reeksen!D197)*X197,0))</f>
        <v>0</v>
      </c>
      <c r="AC197" s="99">
        <f t="shared" ca="1" si="26"/>
        <v>0</v>
      </c>
      <c r="AD197" s="98">
        <f ca="1">IF('Invoer gegevens'!$C$17=E197,R197,IF(C197=0,0,AE196))</f>
        <v>0</v>
      </c>
      <c r="AE197" s="98">
        <f t="shared" ca="1" si="27"/>
        <v>0</v>
      </c>
      <c r="AF197" s="98">
        <f ca="1">IF('Invoer gegevens'!$C$17=E197,X197,IF(C197=0,0,AG196))</f>
        <v>0</v>
      </c>
      <c r="AG197" s="98">
        <f t="shared" ca="1" si="28"/>
        <v>0</v>
      </c>
      <c r="AH197" s="68"/>
      <c r="AI197" s="71">
        <f ca="1">IF(C197=1,Reeksen!AJ197*((F197-G197+F197)/2)*12+Reeksen!AK197*((L197-M197+L197)/2)*12,0)</f>
        <v>0</v>
      </c>
      <c r="AJ197" s="71">
        <f ca="1">-AI197*'Invoer gegevens'!$F$28</f>
        <v>0</v>
      </c>
      <c r="AK197" s="71">
        <f t="shared" ref="AK197:AK234" ca="1" si="33">AI197+AJ197</f>
        <v>0</v>
      </c>
      <c r="AL197" s="71">
        <f ca="1">IF(C197=1,Reeksen!AL197*((F197-G197+F197)/2)*12+Reeksen!AM197*((L197-M197+L197)/2)*12,0)</f>
        <v>0</v>
      </c>
      <c r="AM197" s="71">
        <f ca="1">-AL197*'Invoer gegevens'!$F$31</f>
        <v>0</v>
      </c>
      <c r="AN197" s="71">
        <f t="shared" ca="1" si="29"/>
        <v>0</v>
      </c>
      <c r="AO197" s="71">
        <f ca="1">IF(C197=1,(H197+J197+N197+P197)*Reeksen!AN197,0)</f>
        <v>0</v>
      </c>
      <c r="AP197" s="71">
        <f ca="1">-IF(C197=1,(H197+J197+N197+P197)*'Hulp - basis'!$G$550*Reeksen!H197,0)</f>
        <v>0</v>
      </c>
      <c r="AQ197" s="71">
        <f ca="1">-IF(C197=1,(F197+K197+L197+Q197)/2*'Invoer gegevens'!$I$33*Reeksen!J197,0)*2</f>
        <v>0</v>
      </c>
      <c r="AR197" s="71">
        <f ca="1">-IF(C197=1,(I197*'Invoer gegevens'!$I$34)*Reeksen!J197,0)</f>
        <v>0</v>
      </c>
      <c r="AS197" s="71">
        <f ca="1">-IF(C197=1,(F197+K197+L197+Q197)/2*'Invoer gegevens'!$I$35*Reeksen!L197,0)</f>
        <v>0</v>
      </c>
      <c r="AT197" s="71">
        <f ca="1">-IF(C197=1,IF(E197='Invoer gegevens'!$C$17,'Invoer gegevens'!$C$11,AD197)*Reeksen!S197*'Invoer gegevens'!$C$18*Reeksen!P197,0)</f>
        <v>0</v>
      </c>
      <c r="AU197" s="71">
        <f ca="1">-IF(C197=1,(F197+K197+L197+Q197)/2*'Invoer gegevens'!$I$36*Reeksen!H197,0)</f>
        <v>0</v>
      </c>
      <c r="AV197" s="71">
        <f>IF('Invoer gegevens'!$C$3="Basis",0,#REF!)</f>
        <v>0</v>
      </c>
      <c r="AW197" s="71">
        <f t="shared" ca="1" si="30"/>
        <v>0</v>
      </c>
      <c r="AX197" s="71">
        <f ca="1">IF(E197&lt;'Invoer gegevens'!$C$17+15,0,IF(E197&gt;'Invoer gegevens'!$C$17+215,0,AW197))</f>
        <v>0</v>
      </c>
      <c r="AY197" s="71">
        <f ca="1">AX197/(1+'Invoer gegevens'!$F$18)^($AZ197-('Invoer gegevens'!$C$17-'Invoer gegevens'!$C$16))/(1+'Invoer gegevens'!$C$39)^('Invoer gegevens'!$C$17-'Invoer gegevens'!$C$16)</f>
        <v>0</v>
      </c>
      <c r="AZ197" s="68">
        <f ca="1">IF(E197-'Invoer gegevens'!$C$17-14.5&lt;0,0,E197-'Invoer gegevens'!$C$17-14.5)</f>
        <v>177.5</v>
      </c>
    </row>
    <row r="198" spans="2:52" x14ac:dyDescent="0.25">
      <c r="B198" s="70">
        <f t="shared" si="31"/>
        <v>194</v>
      </c>
      <c r="C198" s="67">
        <f ca="1">IF(E198-'Invoer gegevens'!$C$17&lt;0,0,1)</f>
        <v>1</v>
      </c>
      <c r="D198" s="68">
        <f t="shared" si="32"/>
        <v>193.5</v>
      </c>
      <c r="E198" s="108">
        <f ca="1">IF('Invoer gegevens'!$C$16="","",E197+1)</f>
        <v>2212</v>
      </c>
      <c r="F198" s="84">
        <f ca="1">IF('Invoer gegevens'!$C$17=E198,'Invoer gegevens'!$C$10,IF(C198=1,K197,0))</f>
        <v>0</v>
      </c>
      <c r="G198" s="96">
        <f ca="1">IF(C198&gt;=1,F198*VLOOKUP(E198,Reeksen!$A$5:$B$76,2),0)</f>
        <v>0</v>
      </c>
      <c r="H198" s="84">
        <f ca="1">(1-('Invoer gegevens'!$F$20/12))*F198*MIN(Reeksen!B198,Reeksen!D198)</f>
        <v>0</v>
      </c>
      <c r="I198" s="84">
        <f>IF(Reeksen!D198&lt;Reeksen!B198,(Reeksen!B198-Reeksen!D198)*F198,0)</f>
        <v>0</v>
      </c>
      <c r="J198" s="84">
        <f ca="1">('Invoer gegevens'!$F$20/12)*F197*MIN(Reeksen!B197,Reeksen!D197)</f>
        <v>0</v>
      </c>
      <c r="K198" s="97">
        <f t="shared" ref="K198:K234" ca="1" si="34">F198-G198</f>
        <v>0</v>
      </c>
      <c r="L198" s="84">
        <f ca="1">IF('Invoer gegevens'!$C$17=E198,0,IF(C198=1,Q197,0))</f>
        <v>0</v>
      </c>
      <c r="M198" s="96">
        <f ca="1">IF(C198&gt;=1,L198*VLOOKUP(E198,Reeksen!$A$5:$B$76,2),0)</f>
        <v>0</v>
      </c>
      <c r="N198" s="84">
        <f ca="1">(1-('Invoer gegevens'!$F$20/12))*L198*MIN(Reeksen!B198,Reeksen!D198)</f>
        <v>0</v>
      </c>
      <c r="O198" s="84">
        <f>IF(Reeksen!D198&lt;Reeksen!B198,(Reeksen!B198-Reeksen!D198)*L198,0)</f>
        <v>0</v>
      </c>
      <c r="P198" s="84">
        <f ca="1">('Invoer gegevens'!$F$20/12)*L197*MIN(Reeksen!B197,Reeksen!D197)</f>
        <v>0</v>
      </c>
      <c r="Q198" s="84">
        <f t="shared" ref="Q198:Q234" ca="1" si="35">L198-M198+I198+O198</f>
        <v>0</v>
      </c>
      <c r="R198" s="82">
        <f ca="1">IF('Invoer gegevens'!$C$17=E198,'Invoer gegevens'!$C$11,IF(C198=1,W197,0))</f>
        <v>0</v>
      </c>
      <c r="S198" s="86">
        <f ca="1">IF(C198&gt;=1,R198*VLOOKUP(E198,Reeksen!$A$5:$B$76,2),0)</f>
        <v>0</v>
      </c>
      <c r="T198" s="84">
        <f ca="1">(1-('Invoer gegevens'!$F$20/12))*R198*MIN(Reeksen!B198,Reeksen!D198)</f>
        <v>0</v>
      </c>
      <c r="U198" s="84">
        <f>IF(Reeksen!D198&gt;=Reeksen!B198,0,IF(Reeksen!AK198&lt;=Reeksen!AE198,(Reeksen!B198-Reeksen!D198)*R198,0))</f>
        <v>0</v>
      </c>
      <c r="V198" s="86">
        <f>IF(Reeksen!D198&gt;=Reeksen!B198,0,IF(Reeksen!AK198&gt;Reeksen!AE198,(Reeksen!B198-Reeksen!D198)*R198,0))</f>
        <v>0</v>
      </c>
      <c r="W198" s="97">
        <f t="shared" ref="W198:W234" ca="1" si="36">R198-S198</f>
        <v>0</v>
      </c>
      <c r="X198" s="98">
        <f ca="1">IF('Invoer gegevens'!$C$17=E198,'Invoer gegevens'!$C$10-'Invoer gegevens'!$C$11,IF(C198=1,AC197,0))</f>
        <v>0</v>
      </c>
      <c r="Y198" s="98">
        <f ca="1">IF(C198&gt;=1,X198*VLOOKUP(E198,Reeksen!$A$5:$B$76,2),0)</f>
        <v>0</v>
      </c>
      <c r="Z198" s="98">
        <f ca="1">(1-('Invoer gegevens'!$F$20/12))*X198*MIN(Reeksen!B198,Reeksen!D198)</f>
        <v>0</v>
      </c>
      <c r="AA198" s="98">
        <f>IF(Reeksen!D198&gt;=Reeksen!B198,0,IF(Reeksen!AK198&lt;=Reeksen!AE198,(Reeksen!B198-Reeksen!D198)*X198,0))</f>
        <v>0</v>
      </c>
      <c r="AB198" s="98">
        <f>IF(Reeksen!D198&gt;=Reeksen!B198,0,IF(Reeksen!AK198&gt;Reeksen!AE198,(Reeksen!B198-Reeksen!D198)*X198,0))</f>
        <v>0</v>
      </c>
      <c r="AC198" s="99">
        <f t="shared" ref="AC198:AC234" ca="1" si="37">X198-Y198</f>
        <v>0</v>
      </c>
      <c r="AD198" s="98">
        <f ca="1">IF('Invoer gegevens'!$C$17=E198,R198,IF(C198=0,0,AE197))</f>
        <v>0</v>
      </c>
      <c r="AE198" s="98">
        <f t="shared" ref="AE198:AE234" ca="1" si="38">IF(C198=0,0,AD198-S198-V198+AA198)</f>
        <v>0</v>
      </c>
      <c r="AF198" s="98">
        <f ca="1">IF('Invoer gegevens'!$C$17=E198,X198,IF(C198=0,0,AG197))</f>
        <v>0</v>
      </c>
      <c r="AG198" s="98">
        <f t="shared" ref="AG198:AG234" ca="1" si="39">IF(C198=0,0,AF198-Y198-AA198+V198)</f>
        <v>0</v>
      </c>
      <c r="AH198" s="68"/>
      <c r="AI198" s="71">
        <f ca="1">IF(C198=1,Reeksen!AJ198*((F198-G198+F198)/2)*12+Reeksen!AK198*((L198-M198+L198)/2)*12,0)</f>
        <v>0</v>
      </c>
      <c r="AJ198" s="71">
        <f ca="1">-AI198*'Invoer gegevens'!$F$28</f>
        <v>0</v>
      </c>
      <c r="AK198" s="71">
        <f t="shared" ca="1" si="33"/>
        <v>0</v>
      </c>
      <c r="AL198" s="71">
        <f ca="1">IF(C198=1,Reeksen!AL198*((F198-G198+F198)/2)*12+Reeksen!AM198*((L198-M198+L198)/2)*12,0)</f>
        <v>0</v>
      </c>
      <c r="AM198" s="71">
        <f ca="1">-AL198*'Invoer gegevens'!$F$31</f>
        <v>0</v>
      </c>
      <c r="AN198" s="71">
        <f t="shared" ref="AN198:AN234" ca="1" si="40">AL198+AM198</f>
        <v>0</v>
      </c>
      <c r="AO198" s="71">
        <f ca="1">IF(C198=1,(H198+J198+N198+P198)*Reeksen!AN198,0)</f>
        <v>0</v>
      </c>
      <c r="AP198" s="71">
        <f ca="1">-IF(C198=1,(H198+J198+N198+P198)*'Hulp - basis'!$G$550*Reeksen!H198,0)</f>
        <v>0</v>
      </c>
      <c r="AQ198" s="71">
        <f ca="1">-IF(C198=1,(F198+K198+L198+Q198)/2*'Invoer gegevens'!$I$33*Reeksen!J198,0)*2</f>
        <v>0</v>
      </c>
      <c r="AR198" s="71">
        <f ca="1">-IF(C198=1,(I198*'Invoer gegevens'!$I$34)*Reeksen!J198,0)</f>
        <v>0</v>
      </c>
      <c r="AS198" s="71">
        <f ca="1">-IF(C198=1,(F198+K198+L198+Q198)/2*'Invoer gegevens'!$I$35*Reeksen!L198,0)</f>
        <v>0</v>
      </c>
      <c r="AT198" s="71">
        <f ca="1">-IF(C198=1,IF(E198='Invoer gegevens'!$C$17,'Invoer gegevens'!$C$11,AD198)*Reeksen!S198*'Invoer gegevens'!$C$18*Reeksen!P198,0)</f>
        <v>0</v>
      </c>
      <c r="AU198" s="71">
        <f ca="1">-IF(C198=1,(F198+K198+L198+Q198)/2*'Invoer gegevens'!$I$36*Reeksen!H198,0)</f>
        <v>0</v>
      </c>
      <c r="AV198" s="71">
        <f>IF('Invoer gegevens'!$C$3="Basis",0,#REF!)</f>
        <v>0</v>
      </c>
      <c r="AW198" s="71">
        <f t="shared" ref="AW198:AW234" ca="1" si="41">SUM(AK198,AN198:AV198)</f>
        <v>0</v>
      </c>
      <c r="AX198" s="71">
        <f ca="1">IF(E198&lt;'Invoer gegevens'!$C$17+15,0,IF(E198&gt;'Invoer gegevens'!$C$17+215,0,AW198))</f>
        <v>0</v>
      </c>
      <c r="AY198" s="71">
        <f ca="1">AX198/(1+'Invoer gegevens'!$F$18)^($AZ198-('Invoer gegevens'!$C$17-'Invoer gegevens'!$C$16))/(1+'Invoer gegevens'!$C$39)^('Invoer gegevens'!$C$17-'Invoer gegevens'!$C$16)</f>
        <v>0</v>
      </c>
      <c r="AZ198" s="68">
        <f ca="1">IF(E198-'Invoer gegevens'!$C$17-14.5&lt;0,0,E198-'Invoer gegevens'!$C$17-14.5)</f>
        <v>178.5</v>
      </c>
    </row>
    <row r="199" spans="2:52" x14ac:dyDescent="0.25">
      <c r="B199" s="70">
        <f t="shared" si="31"/>
        <v>195</v>
      </c>
      <c r="C199" s="67">
        <f ca="1">IF(E199-'Invoer gegevens'!$C$17&lt;0,0,1)</f>
        <v>1</v>
      </c>
      <c r="D199" s="68">
        <f t="shared" si="32"/>
        <v>194.5</v>
      </c>
      <c r="E199" s="108">
        <f ca="1">IF('Invoer gegevens'!$C$16="","",E198+1)</f>
        <v>2213</v>
      </c>
      <c r="F199" s="84">
        <f ca="1">IF('Invoer gegevens'!$C$17=E199,'Invoer gegevens'!$C$10,IF(C199=1,K198,0))</f>
        <v>0</v>
      </c>
      <c r="G199" s="96">
        <f ca="1">IF(C199&gt;=1,F199*VLOOKUP(E199,Reeksen!$A$5:$B$76,2),0)</f>
        <v>0</v>
      </c>
      <c r="H199" s="84">
        <f ca="1">(1-('Invoer gegevens'!$F$20/12))*F199*MIN(Reeksen!B199,Reeksen!D199)</f>
        <v>0</v>
      </c>
      <c r="I199" s="84">
        <f>IF(Reeksen!D199&lt;Reeksen!B199,(Reeksen!B199-Reeksen!D199)*F199,0)</f>
        <v>0</v>
      </c>
      <c r="J199" s="84">
        <f ca="1">('Invoer gegevens'!$F$20/12)*F198*MIN(Reeksen!B198,Reeksen!D198)</f>
        <v>0</v>
      </c>
      <c r="K199" s="97">
        <f t="shared" ca="1" si="34"/>
        <v>0</v>
      </c>
      <c r="L199" s="84">
        <f ca="1">IF('Invoer gegevens'!$C$17=E199,0,IF(C199=1,Q198,0))</f>
        <v>0</v>
      </c>
      <c r="M199" s="96">
        <f ca="1">IF(C199&gt;=1,L199*VLOOKUP(E199,Reeksen!$A$5:$B$76,2),0)</f>
        <v>0</v>
      </c>
      <c r="N199" s="84">
        <f ca="1">(1-('Invoer gegevens'!$F$20/12))*L199*MIN(Reeksen!B199,Reeksen!D199)</f>
        <v>0</v>
      </c>
      <c r="O199" s="84">
        <f>IF(Reeksen!D199&lt;Reeksen!B199,(Reeksen!B199-Reeksen!D199)*L199,0)</f>
        <v>0</v>
      </c>
      <c r="P199" s="84">
        <f ca="1">('Invoer gegevens'!$F$20/12)*L198*MIN(Reeksen!B198,Reeksen!D198)</f>
        <v>0</v>
      </c>
      <c r="Q199" s="84">
        <f t="shared" ca="1" si="35"/>
        <v>0</v>
      </c>
      <c r="R199" s="82">
        <f ca="1">IF('Invoer gegevens'!$C$17=E199,'Invoer gegevens'!$C$11,IF(C199=1,W198,0))</f>
        <v>0</v>
      </c>
      <c r="S199" s="86">
        <f ca="1">IF(C199&gt;=1,R199*VLOOKUP(E199,Reeksen!$A$5:$B$76,2),0)</f>
        <v>0</v>
      </c>
      <c r="T199" s="84">
        <f ca="1">(1-('Invoer gegevens'!$F$20/12))*R199*MIN(Reeksen!B199,Reeksen!D199)</f>
        <v>0</v>
      </c>
      <c r="U199" s="84">
        <f>IF(Reeksen!D199&gt;=Reeksen!B199,0,IF(Reeksen!AK199&lt;=Reeksen!AE199,(Reeksen!B199-Reeksen!D199)*R199,0))</f>
        <v>0</v>
      </c>
      <c r="V199" s="86">
        <f>IF(Reeksen!D199&gt;=Reeksen!B199,0,IF(Reeksen!AK199&gt;Reeksen!AE199,(Reeksen!B199-Reeksen!D199)*R199,0))</f>
        <v>0</v>
      </c>
      <c r="W199" s="97">
        <f t="shared" ca="1" si="36"/>
        <v>0</v>
      </c>
      <c r="X199" s="98">
        <f ca="1">IF('Invoer gegevens'!$C$17=E199,'Invoer gegevens'!$C$10-'Invoer gegevens'!$C$11,IF(C199=1,AC198,0))</f>
        <v>0</v>
      </c>
      <c r="Y199" s="98">
        <f ca="1">IF(C199&gt;=1,X199*VLOOKUP(E199,Reeksen!$A$5:$B$76,2),0)</f>
        <v>0</v>
      </c>
      <c r="Z199" s="98">
        <f ca="1">(1-('Invoer gegevens'!$F$20/12))*X199*MIN(Reeksen!B199,Reeksen!D199)</f>
        <v>0</v>
      </c>
      <c r="AA199" s="98">
        <f>IF(Reeksen!D199&gt;=Reeksen!B199,0,IF(Reeksen!AK199&lt;=Reeksen!AE199,(Reeksen!B199-Reeksen!D199)*X199,0))</f>
        <v>0</v>
      </c>
      <c r="AB199" s="98">
        <f>IF(Reeksen!D199&gt;=Reeksen!B199,0,IF(Reeksen!AK199&gt;Reeksen!AE199,(Reeksen!B199-Reeksen!D199)*X199,0))</f>
        <v>0</v>
      </c>
      <c r="AC199" s="99">
        <f t="shared" ca="1" si="37"/>
        <v>0</v>
      </c>
      <c r="AD199" s="98">
        <f ca="1">IF('Invoer gegevens'!$C$17=E199,R199,IF(C199=0,0,AE198))</f>
        <v>0</v>
      </c>
      <c r="AE199" s="98">
        <f t="shared" ca="1" si="38"/>
        <v>0</v>
      </c>
      <c r="AF199" s="98">
        <f ca="1">IF('Invoer gegevens'!$C$17=E199,X199,IF(C199=0,0,AG198))</f>
        <v>0</v>
      </c>
      <c r="AG199" s="98">
        <f t="shared" ca="1" si="39"/>
        <v>0</v>
      </c>
      <c r="AH199" s="68"/>
      <c r="AI199" s="71">
        <f ca="1">IF(C199=1,Reeksen!AJ199*((F199-G199+F199)/2)*12+Reeksen!AK199*((L199-M199+L199)/2)*12,0)</f>
        <v>0</v>
      </c>
      <c r="AJ199" s="71">
        <f ca="1">-AI199*'Invoer gegevens'!$F$28</f>
        <v>0</v>
      </c>
      <c r="AK199" s="71">
        <f t="shared" ca="1" si="33"/>
        <v>0</v>
      </c>
      <c r="AL199" s="71">
        <f ca="1">IF(C199=1,Reeksen!AL199*((F199-G199+F199)/2)*12+Reeksen!AM199*((L199-M199+L199)/2)*12,0)</f>
        <v>0</v>
      </c>
      <c r="AM199" s="71">
        <f ca="1">-AL199*'Invoer gegevens'!$F$31</f>
        <v>0</v>
      </c>
      <c r="AN199" s="71">
        <f t="shared" ca="1" si="40"/>
        <v>0</v>
      </c>
      <c r="AO199" s="71">
        <f ca="1">IF(C199=1,(H199+J199+N199+P199)*Reeksen!AN199,0)</f>
        <v>0</v>
      </c>
      <c r="AP199" s="71">
        <f ca="1">-IF(C199=1,(H199+J199+N199+P199)*'Hulp - basis'!$G$550*Reeksen!H199,0)</f>
        <v>0</v>
      </c>
      <c r="AQ199" s="71">
        <f ca="1">-IF(C199=1,(F199+K199+L199+Q199)/2*'Invoer gegevens'!$I$33*Reeksen!J199,0)*2</f>
        <v>0</v>
      </c>
      <c r="AR199" s="71">
        <f ca="1">-IF(C199=1,(I199*'Invoer gegevens'!$I$34)*Reeksen!J199,0)</f>
        <v>0</v>
      </c>
      <c r="AS199" s="71">
        <f ca="1">-IF(C199=1,(F199+K199+L199+Q199)/2*'Invoer gegevens'!$I$35*Reeksen!L199,0)</f>
        <v>0</v>
      </c>
      <c r="AT199" s="71">
        <f ca="1">-IF(C199=1,IF(E199='Invoer gegevens'!$C$17,'Invoer gegevens'!$C$11,AD199)*Reeksen!S199*'Invoer gegevens'!$C$18*Reeksen!P199,0)</f>
        <v>0</v>
      </c>
      <c r="AU199" s="71">
        <f ca="1">-IF(C199=1,(F199+K199+L199+Q199)/2*'Invoer gegevens'!$I$36*Reeksen!H199,0)</f>
        <v>0</v>
      </c>
      <c r="AV199" s="71">
        <f>IF('Invoer gegevens'!$C$3="Basis",0,#REF!)</f>
        <v>0</v>
      </c>
      <c r="AW199" s="71">
        <f t="shared" ca="1" si="41"/>
        <v>0</v>
      </c>
      <c r="AX199" s="71">
        <f ca="1">IF(E199&lt;'Invoer gegevens'!$C$17+15,0,IF(E199&gt;'Invoer gegevens'!$C$17+215,0,AW199))</f>
        <v>0</v>
      </c>
      <c r="AY199" s="71">
        <f ca="1">AX199/(1+'Invoer gegevens'!$F$18)^($AZ199-('Invoer gegevens'!$C$17-'Invoer gegevens'!$C$16))/(1+'Invoer gegevens'!$C$39)^('Invoer gegevens'!$C$17-'Invoer gegevens'!$C$16)</f>
        <v>0</v>
      </c>
      <c r="AZ199" s="68">
        <f ca="1">IF(E199-'Invoer gegevens'!$C$17-14.5&lt;0,0,E199-'Invoer gegevens'!$C$17-14.5)</f>
        <v>179.5</v>
      </c>
    </row>
    <row r="200" spans="2:52" x14ac:dyDescent="0.25">
      <c r="B200" s="70">
        <f t="shared" ref="B200:B234" si="42">B199+1</f>
        <v>196</v>
      </c>
      <c r="C200" s="67">
        <f ca="1">IF(E200-'Invoer gegevens'!$C$17&lt;0,0,1)</f>
        <v>1</v>
      </c>
      <c r="D200" s="68">
        <f t="shared" ref="D200:D234" si="43">D199+1</f>
        <v>195.5</v>
      </c>
      <c r="E200" s="108">
        <f ca="1">IF('Invoer gegevens'!$C$16="","",E199+1)</f>
        <v>2214</v>
      </c>
      <c r="F200" s="84">
        <f ca="1">IF('Invoer gegevens'!$C$17=E200,'Invoer gegevens'!$C$10,IF(C200=1,K199,0))</f>
        <v>0</v>
      </c>
      <c r="G200" s="96">
        <f ca="1">IF(C200&gt;=1,F200*VLOOKUP(E200,Reeksen!$A$5:$B$76,2),0)</f>
        <v>0</v>
      </c>
      <c r="H200" s="84">
        <f ca="1">(1-('Invoer gegevens'!$F$20/12))*F200*MIN(Reeksen!B200,Reeksen!D200)</f>
        <v>0</v>
      </c>
      <c r="I200" s="84">
        <f>IF(Reeksen!D200&lt;Reeksen!B200,(Reeksen!B200-Reeksen!D200)*F200,0)</f>
        <v>0</v>
      </c>
      <c r="J200" s="84">
        <f ca="1">('Invoer gegevens'!$F$20/12)*F199*MIN(Reeksen!B199,Reeksen!D199)</f>
        <v>0</v>
      </c>
      <c r="K200" s="97">
        <f t="shared" ca="1" si="34"/>
        <v>0</v>
      </c>
      <c r="L200" s="84">
        <f ca="1">IF('Invoer gegevens'!$C$17=E200,0,IF(C200=1,Q199,0))</f>
        <v>0</v>
      </c>
      <c r="M200" s="96">
        <f ca="1">IF(C200&gt;=1,L200*VLOOKUP(E200,Reeksen!$A$5:$B$76,2),0)</f>
        <v>0</v>
      </c>
      <c r="N200" s="84">
        <f ca="1">(1-('Invoer gegevens'!$F$20/12))*L200*MIN(Reeksen!B200,Reeksen!D200)</f>
        <v>0</v>
      </c>
      <c r="O200" s="84">
        <f>IF(Reeksen!D200&lt;Reeksen!B200,(Reeksen!B200-Reeksen!D200)*L200,0)</f>
        <v>0</v>
      </c>
      <c r="P200" s="84">
        <f ca="1">('Invoer gegevens'!$F$20/12)*L199*MIN(Reeksen!B199,Reeksen!D199)</f>
        <v>0</v>
      </c>
      <c r="Q200" s="84">
        <f t="shared" ca="1" si="35"/>
        <v>0</v>
      </c>
      <c r="R200" s="82">
        <f ca="1">IF('Invoer gegevens'!$C$17=E200,'Invoer gegevens'!$C$11,IF(C200=1,W199,0))</f>
        <v>0</v>
      </c>
      <c r="S200" s="86">
        <f ca="1">IF(C200&gt;=1,R200*VLOOKUP(E200,Reeksen!$A$5:$B$76,2),0)</f>
        <v>0</v>
      </c>
      <c r="T200" s="84">
        <f ca="1">(1-('Invoer gegevens'!$F$20/12))*R200*MIN(Reeksen!B200,Reeksen!D200)</f>
        <v>0</v>
      </c>
      <c r="U200" s="84">
        <f>IF(Reeksen!D200&gt;=Reeksen!B200,0,IF(Reeksen!AK200&lt;=Reeksen!AE200,(Reeksen!B200-Reeksen!D200)*R200,0))</f>
        <v>0</v>
      </c>
      <c r="V200" s="86">
        <f>IF(Reeksen!D200&gt;=Reeksen!B200,0,IF(Reeksen!AK200&gt;Reeksen!AE200,(Reeksen!B200-Reeksen!D200)*R200,0))</f>
        <v>0</v>
      </c>
      <c r="W200" s="97">
        <f t="shared" ca="1" si="36"/>
        <v>0</v>
      </c>
      <c r="X200" s="98">
        <f ca="1">IF('Invoer gegevens'!$C$17=E200,'Invoer gegevens'!$C$10-'Invoer gegevens'!$C$11,IF(C200=1,AC199,0))</f>
        <v>0</v>
      </c>
      <c r="Y200" s="98">
        <f ca="1">IF(C200&gt;=1,X200*VLOOKUP(E200,Reeksen!$A$5:$B$76,2),0)</f>
        <v>0</v>
      </c>
      <c r="Z200" s="98">
        <f ca="1">(1-('Invoer gegevens'!$F$20/12))*X200*MIN(Reeksen!B200,Reeksen!D200)</f>
        <v>0</v>
      </c>
      <c r="AA200" s="98">
        <f>IF(Reeksen!D200&gt;=Reeksen!B200,0,IF(Reeksen!AK200&lt;=Reeksen!AE200,(Reeksen!B200-Reeksen!D200)*X200,0))</f>
        <v>0</v>
      </c>
      <c r="AB200" s="98">
        <f>IF(Reeksen!D200&gt;=Reeksen!B200,0,IF(Reeksen!AK200&gt;Reeksen!AE200,(Reeksen!B200-Reeksen!D200)*X200,0))</f>
        <v>0</v>
      </c>
      <c r="AC200" s="99">
        <f t="shared" ca="1" si="37"/>
        <v>0</v>
      </c>
      <c r="AD200" s="98">
        <f ca="1">IF('Invoer gegevens'!$C$17=E200,R200,IF(C200=0,0,AE199))</f>
        <v>0</v>
      </c>
      <c r="AE200" s="98">
        <f t="shared" ca="1" si="38"/>
        <v>0</v>
      </c>
      <c r="AF200" s="98">
        <f ca="1">IF('Invoer gegevens'!$C$17=E200,X200,IF(C200=0,0,AG199))</f>
        <v>0</v>
      </c>
      <c r="AG200" s="98">
        <f t="shared" ca="1" si="39"/>
        <v>0</v>
      </c>
      <c r="AH200" s="68"/>
      <c r="AI200" s="71">
        <f ca="1">IF(C200=1,Reeksen!AJ200*((F200-G200+F200)/2)*12+Reeksen!AK200*((L200-M200+L200)/2)*12,0)</f>
        <v>0</v>
      </c>
      <c r="AJ200" s="71">
        <f ca="1">-AI200*'Invoer gegevens'!$F$28</f>
        <v>0</v>
      </c>
      <c r="AK200" s="71">
        <f t="shared" ca="1" si="33"/>
        <v>0</v>
      </c>
      <c r="AL200" s="71">
        <f ca="1">IF(C200=1,Reeksen!AL200*((F200-G200+F200)/2)*12+Reeksen!AM200*((L200-M200+L200)/2)*12,0)</f>
        <v>0</v>
      </c>
      <c r="AM200" s="71">
        <f ca="1">-AL200*'Invoer gegevens'!$F$31</f>
        <v>0</v>
      </c>
      <c r="AN200" s="71">
        <f t="shared" ca="1" si="40"/>
        <v>0</v>
      </c>
      <c r="AO200" s="71">
        <f ca="1">IF(C200=1,(H200+J200+N200+P200)*Reeksen!AN200,0)</f>
        <v>0</v>
      </c>
      <c r="AP200" s="71">
        <f ca="1">-IF(C200=1,(H200+J200+N200+P200)*'Hulp - basis'!$G$550*Reeksen!H200,0)</f>
        <v>0</v>
      </c>
      <c r="AQ200" s="71">
        <f ca="1">-IF(C200=1,(F200+K200+L200+Q200)/2*'Invoer gegevens'!$I$33*Reeksen!J200,0)*2</f>
        <v>0</v>
      </c>
      <c r="AR200" s="71">
        <f ca="1">-IF(C200=1,(I200*'Invoer gegevens'!$I$34)*Reeksen!J200,0)</f>
        <v>0</v>
      </c>
      <c r="AS200" s="71">
        <f ca="1">-IF(C200=1,(F200+K200+L200+Q200)/2*'Invoer gegevens'!$I$35*Reeksen!L200,0)</f>
        <v>0</v>
      </c>
      <c r="AT200" s="71">
        <f ca="1">-IF(C200=1,IF(E200='Invoer gegevens'!$C$17,'Invoer gegevens'!$C$11,AD200)*Reeksen!S200*'Invoer gegevens'!$C$18*Reeksen!P200,0)</f>
        <v>0</v>
      </c>
      <c r="AU200" s="71">
        <f ca="1">-IF(C200=1,(F200+K200+L200+Q200)/2*'Invoer gegevens'!$I$36*Reeksen!H200,0)</f>
        <v>0</v>
      </c>
      <c r="AV200" s="71">
        <f>IF('Invoer gegevens'!$C$3="Basis",0,#REF!)</f>
        <v>0</v>
      </c>
      <c r="AW200" s="71">
        <f t="shared" ca="1" si="41"/>
        <v>0</v>
      </c>
      <c r="AX200" s="71">
        <f ca="1">IF(E200&lt;'Invoer gegevens'!$C$17+15,0,IF(E200&gt;'Invoer gegevens'!$C$17+215,0,AW200))</f>
        <v>0</v>
      </c>
      <c r="AY200" s="71">
        <f ca="1">AX200/(1+'Invoer gegevens'!$F$18)^($AZ200-('Invoer gegevens'!$C$17-'Invoer gegevens'!$C$16))/(1+'Invoer gegevens'!$C$39)^('Invoer gegevens'!$C$17-'Invoer gegevens'!$C$16)</f>
        <v>0</v>
      </c>
      <c r="AZ200" s="68">
        <f ca="1">IF(E200-'Invoer gegevens'!$C$17-14.5&lt;0,0,E200-'Invoer gegevens'!$C$17-14.5)</f>
        <v>180.5</v>
      </c>
    </row>
    <row r="201" spans="2:52" x14ac:dyDescent="0.25">
      <c r="B201" s="70">
        <f t="shared" si="42"/>
        <v>197</v>
      </c>
      <c r="C201" s="67">
        <f ca="1">IF(E201-'Invoer gegevens'!$C$17&lt;0,0,1)</f>
        <v>1</v>
      </c>
      <c r="D201" s="68">
        <f t="shared" si="43"/>
        <v>196.5</v>
      </c>
      <c r="E201" s="108">
        <f ca="1">IF('Invoer gegevens'!$C$16="","",E200+1)</f>
        <v>2215</v>
      </c>
      <c r="F201" s="84">
        <f ca="1">IF('Invoer gegevens'!$C$17=E201,'Invoer gegevens'!$C$10,IF(C201=1,K200,0))</f>
        <v>0</v>
      </c>
      <c r="G201" s="96">
        <f ca="1">IF(C201&gt;=1,F201*VLOOKUP(E201,Reeksen!$A$5:$B$76,2),0)</f>
        <v>0</v>
      </c>
      <c r="H201" s="84">
        <f ca="1">(1-('Invoer gegevens'!$F$20/12))*F201*MIN(Reeksen!B201,Reeksen!D201)</f>
        <v>0</v>
      </c>
      <c r="I201" s="84">
        <f>IF(Reeksen!D201&lt;Reeksen!B201,(Reeksen!B201-Reeksen!D201)*F201,0)</f>
        <v>0</v>
      </c>
      <c r="J201" s="84">
        <f ca="1">('Invoer gegevens'!$F$20/12)*F200*MIN(Reeksen!B200,Reeksen!D200)</f>
        <v>0</v>
      </c>
      <c r="K201" s="97">
        <f t="shared" ca="1" si="34"/>
        <v>0</v>
      </c>
      <c r="L201" s="84">
        <f ca="1">IF('Invoer gegevens'!$C$17=E201,0,IF(C201=1,Q200,0))</f>
        <v>0</v>
      </c>
      <c r="M201" s="96">
        <f ca="1">IF(C201&gt;=1,L201*VLOOKUP(E201,Reeksen!$A$5:$B$76,2),0)</f>
        <v>0</v>
      </c>
      <c r="N201" s="84">
        <f ca="1">(1-('Invoer gegevens'!$F$20/12))*L201*MIN(Reeksen!B201,Reeksen!D201)</f>
        <v>0</v>
      </c>
      <c r="O201" s="84">
        <f>IF(Reeksen!D201&lt;Reeksen!B201,(Reeksen!B201-Reeksen!D201)*L201,0)</f>
        <v>0</v>
      </c>
      <c r="P201" s="84">
        <f ca="1">('Invoer gegevens'!$F$20/12)*L200*MIN(Reeksen!B200,Reeksen!D200)</f>
        <v>0</v>
      </c>
      <c r="Q201" s="84">
        <f t="shared" ca="1" si="35"/>
        <v>0</v>
      </c>
      <c r="R201" s="82">
        <f ca="1">IF('Invoer gegevens'!$C$17=E201,'Invoer gegevens'!$C$11,IF(C201=1,W200,0))</f>
        <v>0</v>
      </c>
      <c r="S201" s="86">
        <f ca="1">IF(C201&gt;=1,R201*VLOOKUP(E201,Reeksen!$A$5:$B$76,2),0)</f>
        <v>0</v>
      </c>
      <c r="T201" s="84">
        <f ca="1">(1-('Invoer gegevens'!$F$20/12))*R201*MIN(Reeksen!B201,Reeksen!D201)</f>
        <v>0</v>
      </c>
      <c r="U201" s="84">
        <f>IF(Reeksen!D201&gt;=Reeksen!B201,0,IF(Reeksen!AK201&lt;=Reeksen!AE201,(Reeksen!B201-Reeksen!D201)*R201,0))</f>
        <v>0</v>
      </c>
      <c r="V201" s="86">
        <f>IF(Reeksen!D201&gt;=Reeksen!B201,0,IF(Reeksen!AK201&gt;Reeksen!AE201,(Reeksen!B201-Reeksen!D201)*R201,0))</f>
        <v>0</v>
      </c>
      <c r="W201" s="97">
        <f t="shared" ca="1" si="36"/>
        <v>0</v>
      </c>
      <c r="X201" s="98">
        <f ca="1">IF('Invoer gegevens'!$C$17=E201,'Invoer gegevens'!$C$10-'Invoer gegevens'!$C$11,IF(C201=1,AC200,0))</f>
        <v>0</v>
      </c>
      <c r="Y201" s="98">
        <f ca="1">IF(C201&gt;=1,X201*VLOOKUP(E201,Reeksen!$A$5:$B$76,2),0)</f>
        <v>0</v>
      </c>
      <c r="Z201" s="98">
        <f ca="1">(1-('Invoer gegevens'!$F$20/12))*X201*MIN(Reeksen!B201,Reeksen!D201)</f>
        <v>0</v>
      </c>
      <c r="AA201" s="98">
        <f>IF(Reeksen!D201&gt;=Reeksen!B201,0,IF(Reeksen!AK201&lt;=Reeksen!AE201,(Reeksen!B201-Reeksen!D201)*X201,0))</f>
        <v>0</v>
      </c>
      <c r="AB201" s="98">
        <f>IF(Reeksen!D201&gt;=Reeksen!B201,0,IF(Reeksen!AK201&gt;Reeksen!AE201,(Reeksen!B201-Reeksen!D201)*X201,0))</f>
        <v>0</v>
      </c>
      <c r="AC201" s="99">
        <f t="shared" ca="1" si="37"/>
        <v>0</v>
      </c>
      <c r="AD201" s="98">
        <f ca="1">IF('Invoer gegevens'!$C$17=E201,R201,IF(C201=0,0,AE200))</f>
        <v>0</v>
      </c>
      <c r="AE201" s="98">
        <f t="shared" ca="1" si="38"/>
        <v>0</v>
      </c>
      <c r="AF201" s="98">
        <f ca="1">IF('Invoer gegevens'!$C$17=E201,X201,IF(C201=0,0,AG200))</f>
        <v>0</v>
      </c>
      <c r="AG201" s="98">
        <f t="shared" ca="1" si="39"/>
        <v>0</v>
      </c>
      <c r="AH201" s="68"/>
      <c r="AI201" s="71">
        <f ca="1">IF(C201=1,Reeksen!AJ201*((F201-G201+F201)/2)*12+Reeksen!AK201*((L201-M201+L201)/2)*12,0)</f>
        <v>0</v>
      </c>
      <c r="AJ201" s="71">
        <f ca="1">-AI201*'Invoer gegevens'!$F$28</f>
        <v>0</v>
      </c>
      <c r="AK201" s="71">
        <f t="shared" ca="1" si="33"/>
        <v>0</v>
      </c>
      <c r="AL201" s="71">
        <f ca="1">IF(C201=1,Reeksen!AL201*((F201-G201+F201)/2)*12+Reeksen!AM201*((L201-M201+L201)/2)*12,0)</f>
        <v>0</v>
      </c>
      <c r="AM201" s="71">
        <f ca="1">-AL201*'Invoer gegevens'!$F$31</f>
        <v>0</v>
      </c>
      <c r="AN201" s="71">
        <f t="shared" ca="1" si="40"/>
        <v>0</v>
      </c>
      <c r="AO201" s="71">
        <f ca="1">IF(C201=1,(H201+J201+N201+P201)*Reeksen!AN201,0)</f>
        <v>0</v>
      </c>
      <c r="AP201" s="71">
        <f ca="1">-IF(C201=1,(H201+J201+N201+P201)*'Hulp - basis'!$G$550*Reeksen!H201,0)</f>
        <v>0</v>
      </c>
      <c r="AQ201" s="71">
        <f ca="1">-IF(C201=1,(F201+K201+L201+Q201)/2*'Invoer gegevens'!$I$33*Reeksen!J201,0)*2</f>
        <v>0</v>
      </c>
      <c r="AR201" s="71">
        <f ca="1">-IF(C201=1,(I201*'Invoer gegevens'!$I$34)*Reeksen!J201,0)</f>
        <v>0</v>
      </c>
      <c r="AS201" s="71">
        <f ca="1">-IF(C201=1,(F201+K201+L201+Q201)/2*'Invoer gegevens'!$I$35*Reeksen!L201,0)</f>
        <v>0</v>
      </c>
      <c r="AT201" s="71">
        <f ca="1">-IF(C201=1,IF(E201='Invoer gegevens'!$C$17,'Invoer gegevens'!$C$11,AD201)*Reeksen!S201*'Invoer gegevens'!$C$18*Reeksen!P201,0)</f>
        <v>0</v>
      </c>
      <c r="AU201" s="71">
        <f ca="1">-IF(C201=1,(F201+K201+L201+Q201)/2*'Invoer gegevens'!$I$36*Reeksen!H201,0)</f>
        <v>0</v>
      </c>
      <c r="AV201" s="71">
        <f>IF('Invoer gegevens'!$C$3="Basis",0,#REF!)</f>
        <v>0</v>
      </c>
      <c r="AW201" s="71">
        <f t="shared" ca="1" si="41"/>
        <v>0</v>
      </c>
      <c r="AX201" s="71">
        <f ca="1">IF(E201&lt;'Invoer gegevens'!$C$17+15,0,IF(E201&gt;'Invoer gegevens'!$C$17+215,0,AW201))</f>
        <v>0</v>
      </c>
      <c r="AY201" s="71">
        <f ca="1">AX201/(1+'Invoer gegevens'!$F$18)^($AZ201-('Invoer gegevens'!$C$17-'Invoer gegevens'!$C$16))/(1+'Invoer gegevens'!$C$39)^('Invoer gegevens'!$C$17-'Invoer gegevens'!$C$16)</f>
        <v>0</v>
      </c>
      <c r="AZ201" s="68">
        <f ca="1">IF(E201-'Invoer gegevens'!$C$17-14.5&lt;0,0,E201-'Invoer gegevens'!$C$17-14.5)</f>
        <v>181.5</v>
      </c>
    </row>
    <row r="202" spans="2:52" x14ac:dyDescent="0.25">
      <c r="B202" s="70">
        <f t="shared" si="42"/>
        <v>198</v>
      </c>
      <c r="C202" s="67">
        <f ca="1">IF(E202-'Invoer gegevens'!$C$17&lt;0,0,1)</f>
        <v>1</v>
      </c>
      <c r="D202" s="68">
        <f t="shared" si="43"/>
        <v>197.5</v>
      </c>
      <c r="E202" s="108">
        <f ca="1">IF('Invoer gegevens'!$C$16="","",E201+1)</f>
        <v>2216</v>
      </c>
      <c r="F202" s="84">
        <f ca="1">IF('Invoer gegevens'!$C$17=E202,'Invoer gegevens'!$C$10,IF(C202=1,K201,0))</f>
        <v>0</v>
      </c>
      <c r="G202" s="96">
        <f ca="1">IF(C202&gt;=1,F202*VLOOKUP(E202,Reeksen!$A$5:$B$76,2),0)</f>
        <v>0</v>
      </c>
      <c r="H202" s="84">
        <f ca="1">(1-('Invoer gegevens'!$F$20/12))*F202*MIN(Reeksen!B202,Reeksen!D202)</f>
        <v>0</v>
      </c>
      <c r="I202" s="84">
        <f>IF(Reeksen!D202&lt;Reeksen!B202,(Reeksen!B202-Reeksen!D202)*F202,0)</f>
        <v>0</v>
      </c>
      <c r="J202" s="84">
        <f ca="1">('Invoer gegevens'!$F$20/12)*F201*MIN(Reeksen!B201,Reeksen!D201)</f>
        <v>0</v>
      </c>
      <c r="K202" s="97">
        <f t="shared" ca="1" si="34"/>
        <v>0</v>
      </c>
      <c r="L202" s="84">
        <f ca="1">IF('Invoer gegevens'!$C$17=E202,0,IF(C202=1,Q201,0))</f>
        <v>0</v>
      </c>
      <c r="M202" s="96">
        <f ca="1">IF(C202&gt;=1,L202*VLOOKUP(E202,Reeksen!$A$5:$B$76,2),0)</f>
        <v>0</v>
      </c>
      <c r="N202" s="84">
        <f ca="1">(1-('Invoer gegevens'!$F$20/12))*L202*MIN(Reeksen!B202,Reeksen!D202)</f>
        <v>0</v>
      </c>
      <c r="O202" s="84">
        <f>IF(Reeksen!D202&lt;Reeksen!B202,(Reeksen!B202-Reeksen!D202)*L202,0)</f>
        <v>0</v>
      </c>
      <c r="P202" s="84">
        <f ca="1">('Invoer gegevens'!$F$20/12)*L201*MIN(Reeksen!B201,Reeksen!D201)</f>
        <v>0</v>
      </c>
      <c r="Q202" s="84">
        <f t="shared" ca="1" si="35"/>
        <v>0</v>
      </c>
      <c r="R202" s="82">
        <f ca="1">IF('Invoer gegevens'!$C$17=E202,'Invoer gegevens'!$C$11,IF(C202=1,W201,0))</f>
        <v>0</v>
      </c>
      <c r="S202" s="86">
        <f ca="1">IF(C202&gt;=1,R202*VLOOKUP(E202,Reeksen!$A$5:$B$76,2),0)</f>
        <v>0</v>
      </c>
      <c r="T202" s="84">
        <f ca="1">(1-('Invoer gegevens'!$F$20/12))*R202*MIN(Reeksen!B202,Reeksen!D202)</f>
        <v>0</v>
      </c>
      <c r="U202" s="84">
        <f>IF(Reeksen!D202&gt;=Reeksen!B202,0,IF(Reeksen!AK202&lt;=Reeksen!AE202,(Reeksen!B202-Reeksen!D202)*R202,0))</f>
        <v>0</v>
      </c>
      <c r="V202" s="86">
        <f>IF(Reeksen!D202&gt;=Reeksen!B202,0,IF(Reeksen!AK202&gt;Reeksen!AE202,(Reeksen!B202-Reeksen!D202)*R202,0))</f>
        <v>0</v>
      </c>
      <c r="W202" s="97">
        <f t="shared" ca="1" si="36"/>
        <v>0</v>
      </c>
      <c r="X202" s="98">
        <f ca="1">IF('Invoer gegevens'!$C$17=E202,'Invoer gegevens'!$C$10-'Invoer gegevens'!$C$11,IF(C202=1,AC201,0))</f>
        <v>0</v>
      </c>
      <c r="Y202" s="98">
        <f ca="1">IF(C202&gt;=1,X202*VLOOKUP(E202,Reeksen!$A$5:$B$76,2),0)</f>
        <v>0</v>
      </c>
      <c r="Z202" s="98">
        <f ca="1">(1-('Invoer gegevens'!$F$20/12))*X202*MIN(Reeksen!B202,Reeksen!D202)</f>
        <v>0</v>
      </c>
      <c r="AA202" s="98">
        <f>IF(Reeksen!D202&gt;=Reeksen!B202,0,IF(Reeksen!AK202&lt;=Reeksen!AE202,(Reeksen!B202-Reeksen!D202)*X202,0))</f>
        <v>0</v>
      </c>
      <c r="AB202" s="98">
        <f>IF(Reeksen!D202&gt;=Reeksen!B202,0,IF(Reeksen!AK202&gt;Reeksen!AE202,(Reeksen!B202-Reeksen!D202)*X202,0))</f>
        <v>0</v>
      </c>
      <c r="AC202" s="99">
        <f t="shared" ca="1" si="37"/>
        <v>0</v>
      </c>
      <c r="AD202" s="98">
        <f ca="1">IF('Invoer gegevens'!$C$17=E202,R202,IF(C202=0,0,AE201))</f>
        <v>0</v>
      </c>
      <c r="AE202" s="98">
        <f t="shared" ca="1" si="38"/>
        <v>0</v>
      </c>
      <c r="AF202" s="98">
        <f ca="1">IF('Invoer gegevens'!$C$17=E202,X202,IF(C202=0,0,AG201))</f>
        <v>0</v>
      </c>
      <c r="AG202" s="98">
        <f t="shared" ca="1" si="39"/>
        <v>0</v>
      </c>
      <c r="AH202" s="68"/>
      <c r="AI202" s="71">
        <f ca="1">IF(C202=1,Reeksen!AJ202*((F202-G202+F202)/2)*12+Reeksen!AK202*((L202-M202+L202)/2)*12,0)</f>
        <v>0</v>
      </c>
      <c r="AJ202" s="71">
        <f ca="1">-AI202*'Invoer gegevens'!$F$28</f>
        <v>0</v>
      </c>
      <c r="AK202" s="71">
        <f t="shared" ca="1" si="33"/>
        <v>0</v>
      </c>
      <c r="AL202" s="71">
        <f ca="1">IF(C202=1,Reeksen!AL202*((F202-G202+F202)/2)*12+Reeksen!AM202*((L202-M202+L202)/2)*12,0)</f>
        <v>0</v>
      </c>
      <c r="AM202" s="71">
        <f ca="1">-AL202*'Invoer gegevens'!$F$31</f>
        <v>0</v>
      </c>
      <c r="AN202" s="71">
        <f t="shared" ca="1" si="40"/>
        <v>0</v>
      </c>
      <c r="AO202" s="71">
        <f ca="1">IF(C202=1,(H202+J202+N202+P202)*Reeksen!AN202,0)</f>
        <v>0</v>
      </c>
      <c r="AP202" s="71">
        <f ca="1">-IF(C202=1,(H202+J202+N202+P202)*'Hulp - basis'!$G$550*Reeksen!H202,0)</f>
        <v>0</v>
      </c>
      <c r="AQ202" s="71">
        <f ca="1">-IF(C202=1,(F202+K202+L202+Q202)/2*'Invoer gegevens'!$I$33*Reeksen!J202,0)*2</f>
        <v>0</v>
      </c>
      <c r="AR202" s="71">
        <f ca="1">-IF(C202=1,(I202*'Invoer gegevens'!$I$34)*Reeksen!J202,0)</f>
        <v>0</v>
      </c>
      <c r="AS202" s="71">
        <f ca="1">-IF(C202=1,(F202+K202+L202+Q202)/2*'Invoer gegevens'!$I$35*Reeksen!L202,0)</f>
        <v>0</v>
      </c>
      <c r="AT202" s="71">
        <f ca="1">-IF(C202=1,IF(E202='Invoer gegevens'!$C$17,'Invoer gegevens'!$C$11,AD202)*Reeksen!S202*'Invoer gegevens'!$C$18*Reeksen!P202,0)</f>
        <v>0</v>
      </c>
      <c r="AU202" s="71">
        <f ca="1">-IF(C202=1,(F202+K202+L202+Q202)/2*'Invoer gegevens'!$I$36*Reeksen!H202,0)</f>
        <v>0</v>
      </c>
      <c r="AV202" s="71">
        <f>IF('Invoer gegevens'!$C$3="Basis",0,#REF!)</f>
        <v>0</v>
      </c>
      <c r="AW202" s="71">
        <f t="shared" ca="1" si="41"/>
        <v>0</v>
      </c>
      <c r="AX202" s="71">
        <f ca="1">IF(E202&lt;'Invoer gegevens'!$C$17+15,0,IF(E202&gt;'Invoer gegevens'!$C$17+215,0,AW202))</f>
        <v>0</v>
      </c>
      <c r="AY202" s="71">
        <f ca="1">AX202/(1+'Invoer gegevens'!$F$18)^($AZ202-('Invoer gegevens'!$C$17-'Invoer gegevens'!$C$16))/(1+'Invoer gegevens'!$C$39)^('Invoer gegevens'!$C$17-'Invoer gegevens'!$C$16)</f>
        <v>0</v>
      </c>
      <c r="AZ202" s="68">
        <f ca="1">IF(E202-'Invoer gegevens'!$C$17-14.5&lt;0,0,E202-'Invoer gegevens'!$C$17-14.5)</f>
        <v>182.5</v>
      </c>
    </row>
    <row r="203" spans="2:52" x14ac:dyDescent="0.25">
      <c r="B203" s="70">
        <f t="shared" si="42"/>
        <v>199</v>
      </c>
      <c r="C203" s="67">
        <f ca="1">IF(E203-'Invoer gegevens'!$C$17&lt;0,0,1)</f>
        <v>1</v>
      </c>
      <c r="D203" s="68">
        <f t="shared" si="43"/>
        <v>198.5</v>
      </c>
      <c r="E203" s="108">
        <f ca="1">IF('Invoer gegevens'!$C$16="","",E202+1)</f>
        <v>2217</v>
      </c>
      <c r="F203" s="84">
        <f ca="1">IF('Invoer gegevens'!$C$17=E203,'Invoer gegevens'!$C$10,IF(C203=1,K202,0))</f>
        <v>0</v>
      </c>
      <c r="G203" s="96">
        <f ca="1">IF(C203&gt;=1,F203*VLOOKUP(E203,Reeksen!$A$5:$B$76,2),0)</f>
        <v>0</v>
      </c>
      <c r="H203" s="84">
        <f ca="1">(1-('Invoer gegevens'!$F$20/12))*F203*MIN(Reeksen!B203,Reeksen!D203)</f>
        <v>0</v>
      </c>
      <c r="I203" s="84">
        <f>IF(Reeksen!D203&lt;Reeksen!B203,(Reeksen!B203-Reeksen!D203)*F203,0)</f>
        <v>0</v>
      </c>
      <c r="J203" s="84">
        <f ca="1">('Invoer gegevens'!$F$20/12)*F202*MIN(Reeksen!B202,Reeksen!D202)</f>
        <v>0</v>
      </c>
      <c r="K203" s="97">
        <f t="shared" ca="1" si="34"/>
        <v>0</v>
      </c>
      <c r="L203" s="84">
        <f ca="1">IF('Invoer gegevens'!$C$17=E203,0,IF(C203=1,Q202,0))</f>
        <v>0</v>
      </c>
      <c r="M203" s="96">
        <f ca="1">IF(C203&gt;=1,L203*VLOOKUP(E203,Reeksen!$A$5:$B$76,2),0)</f>
        <v>0</v>
      </c>
      <c r="N203" s="84">
        <f ca="1">(1-('Invoer gegevens'!$F$20/12))*L203*MIN(Reeksen!B203,Reeksen!D203)</f>
        <v>0</v>
      </c>
      <c r="O203" s="84">
        <f>IF(Reeksen!D203&lt;Reeksen!B203,(Reeksen!B203-Reeksen!D203)*L203,0)</f>
        <v>0</v>
      </c>
      <c r="P203" s="84">
        <f ca="1">('Invoer gegevens'!$F$20/12)*L202*MIN(Reeksen!B202,Reeksen!D202)</f>
        <v>0</v>
      </c>
      <c r="Q203" s="84">
        <f t="shared" ca="1" si="35"/>
        <v>0</v>
      </c>
      <c r="R203" s="82">
        <f ca="1">IF('Invoer gegevens'!$C$17=E203,'Invoer gegevens'!$C$11,IF(C203=1,W202,0))</f>
        <v>0</v>
      </c>
      <c r="S203" s="86">
        <f ca="1">IF(C203&gt;=1,R203*VLOOKUP(E203,Reeksen!$A$5:$B$76,2),0)</f>
        <v>0</v>
      </c>
      <c r="T203" s="84">
        <f ca="1">(1-('Invoer gegevens'!$F$20/12))*R203*MIN(Reeksen!B203,Reeksen!D203)</f>
        <v>0</v>
      </c>
      <c r="U203" s="84">
        <f>IF(Reeksen!D203&gt;=Reeksen!B203,0,IF(Reeksen!AK203&lt;=Reeksen!AE203,(Reeksen!B203-Reeksen!D203)*R203,0))</f>
        <v>0</v>
      </c>
      <c r="V203" s="86">
        <f>IF(Reeksen!D203&gt;=Reeksen!B203,0,IF(Reeksen!AK203&gt;Reeksen!AE203,(Reeksen!B203-Reeksen!D203)*R203,0))</f>
        <v>0</v>
      </c>
      <c r="W203" s="97">
        <f t="shared" ca="1" si="36"/>
        <v>0</v>
      </c>
      <c r="X203" s="98">
        <f ca="1">IF('Invoer gegevens'!$C$17=E203,'Invoer gegevens'!$C$10-'Invoer gegevens'!$C$11,IF(C203=1,AC202,0))</f>
        <v>0</v>
      </c>
      <c r="Y203" s="98">
        <f ca="1">IF(C203&gt;=1,X203*VLOOKUP(E203,Reeksen!$A$5:$B$76,2),0)</f>
        <v>0</v>
      </c>
      <c r="Z203" s="98">
        <f ca="1">(1-('Invoer gegevens'!$F$20/12))*X203*MIN(Reeksen!B203,Reeksen!D203)</f>
        <v>0</v>
      </c>
      <c r="AA203" s="98">
        <f>IF(Reeksen!D203&gt;=Reeksen!B203,0,IF(Reeksen!AK203&lt;=Reeksen!AE203,(Reeksen!B203-Reeksen!D203)*X203,0))</f>
        <v>0</v>
      </c>
      <c r="AB203" s="98">
        <f>IF(Reeksen!D203&gt;=Reeksen!B203,0,IF(Reeksen!AK203&gt;Reeksen!AE203,(Reeksen!B203-Reeksen!D203)*X203,0))</f>
        <v>0</v>
      </c>
      <c r="AC203" s="99">
        <f t="shared" ca="1" si="37"/>
        <v>0</v>
      </c>
      <c r="AD203" s="98">
        <f ca="1">IF('Invoer gegevens'!$C$17=E203,R203,IF(C203=0,0,AE202))</f>
        <v>0</v>
      </c>
      <c r="AE203" s="98">
        <f t="shared" ca="1" si="38"/>
        <v>0</v>
      </c>
      <c r="AF203" s="98">
        <f ca="1">IF('Invoer gegevens'!$C$17=E203,X203,IF(C203=0,0,AG202))</f>
        <v>0</v>
      </c>
      <c r="AG203" s="98">
        <f t="shared" ca="1" si="39"/>
        <v>0</v>
      </c>
      <c r="AH203" s="68"/>
      <c r="AI203" s="71">
        <f ca="1">IF(C203=1,Reeksen!AJ203*((F203-G203+F203)/2)*12+Reeksen!AK203*((L203-M203+L203)/2)*12,0)</f>
        <v>0</v>
      </c>
      <c r="AJ203" s="71">
        <f ca="1">-AI203*'Invoer gegevens'!$F$28</f>
        <v>0</v>
      </c>
      <c r="AK203" s="71">
        <f t="shared" ca="1" si="33"/>
        <v>0</v>
      </c>
      <c r="AL203" s="71">
        <f ca="1">IF(C203=1,Reeksen!AL203*((F203-G203+F203)/2)*12+Reeksen!AM203*((L203-M203+L203)/2)*12,0)</f>
        <v>0</v>
      </c>
      <c r="AM203" s="71">
        <f ca="1">-AL203*'Invoer gegevens'!$F$31</f>
        <v>0</v>
      </c>
      <c r="AN203" s="71">
        <f t="shared" ca="1" si="40"/>
        <v>0</v>
      </c>
      <c r="AO203" s="71">
        <f ca="1">IF(C203=1,(H203+J203+N203+P203)*Reeksen!AN203,0)</f>
        <v>0</v>
      </c>
      <c r="AP203" s="71">
        <f ca="1">-IF(C203=1,(H203+J203+N203+P203)*'Hulp - basis'!$G$550*Reeksen!H203,0)</f>
        <v>0</v>
      </c>
      <c r="AQ203" s="71">
        <f ca="1">-IF(C203=1,(F203+K203+L203+Q203)/2*'Invoer gegevens'!$I$33*Reeksen!J203,0)*2</f>
        <v>0</v>
      </c>
      <c r="AR203" s="71">
        <f ca="1">-IF(C203=1,(I203*'Invoer gegevens'!$I$34)*Reeksen!J203,0)</f>
        <v>0</v>
      </c>
      <c r="AS203" s="71">
        <f ca="1">-IF(C203=1,(F203+K203+L203+Q203)/2*'Invoer gegevens'!$I$35*Reeksen!L203,0)</f>
        <v>0</v>
      </c>
      <c r="AT203" s="71">
        <f ca="1">-IF(C203=1,IF(E203='Invoer gegevens'!$C$17,'Invoer gegevens'!$C$11,AD203)*Reeksen!S203*'Invoer gegevens'!$C$18*Reeksen!P203,0)</f>
        <v>0</v>
      </c>
      <c r="AU203" s="71">
        <f ca="1">-IF(C203=1,(F203+K203+L203+Q203)/2*'Invoer gegevens'!$I$36*Reeksen!H203,0)</f>
        <v>0</v>
      </c>
      <c r="AV203" s="71">
        <f>IF('Invoer gegevens'!$C$3="Basis",0,#REF!)</f>
        <v>0</v>
      </c>
      <c r="AW203" s="71">
        <f t="shared" ca="1" si="41"/>
        <v>0</v>
      </c>
      <c r="AX203" s="71">
        <f ca="1">IF(E203&lt;'Invoer gegevens'!$C$17+15,0,IF(E203&gt;'Invoer gegevens'!$C$17+215,0,AW203))</f>
        <v>0</v>
      </c>
      <c r="AY203" s="71">
        <f ca="1">AX203/(1+'Invoer gegevens'!$F$18)^($AZ203-('Invoer gegevens'!$C$17-'Invoer gegevens'!$C$16))/(1+'Invoer gegevens'!$C$39)^('Invoer gegevens'!$C$17-'Invoer gegevens'!$C$16)</f>
        <v>0</v>
      </c>
      <c r="AZ203" s="68">
        <f ca="1">IF(E203-'Invoer gegevens'!$C$17-14.5&lt;0,0,E203-'Invoer gegevens'!$C$17-14.5)</f>
        <v>183.5</v>
      </c>
    </row>
    <row r="204" spans="2:52" x14ac:dyDescent="0.25">
      <c r="B204" s="70">
        <f t="shared" si="42"/>
        <v>200</v>
      </c>
      <c r="C204" s="67">
        <f ca="1">IF(E204-'Invoer gegevens'!$C$17&lt;0,0,1)</f>
        <v>1</v>
      </c>
      <c r="D204" s="68">
        <f t="shared" si="43"/>
        <v>199.5</v>
      </c>
      <c r="E204" s="108">
        <f ca="1">IF('Invoer gegevens'!$C$16="","",E203+1)</f>
        <v>2218</v>
      </c>
      <c r="F204" s="84">
        <f ca="1">IF('Invoer gegevens'!$C$17=E204,'Invoer gegevens'!$C$10,IF(C204=1,K203,0))</f>
        <v>0</v>
      </c>
      <c r="G204" s="96">
        <f ca="1">IF(C204&gt;=1,F204*VLOOKUP(E204,Reeksen!$A$5:$B$76,2),0)</f>
        <v>0</v>
      </c>
      <c r="H204" s="84">
        <f ca="1">(1-('Invoer gegevens'!$F$20/12))*F204*MIN(Reeksen!B204,Reeksen!D204)</f>
        <v>0</v>
      </c>
      <c r="I204" s="84">
        <f>IF(Reeksen!D204&lt;Reeksen!B204,(Reeksen!B204-Reeksen!D204)*F204,0)</f>
        <v>0</v>
      </c>
      <c r="J204" s="84">
        <f ca="1">('Invoer gegevens'!$F$20/12)*F203*MIN(Reeksen!B203,Reeksen!D203)</f>
        <v>0</v>
      </c>
      <c r="K204" s="97">
        <f t="shared" ca="1" si="34"/>
        <v>0</v>
      </c>
      <c r="L204" s="84">
        <f ca="1">IF('Invoer gegevens'!$C$17=E204,0,IF(C204=1,Q203,0))</f>
        <v>0</v>
      </c>
      <c r="M204" s="96">
        <f ca="1">IF(C204&gt;=1,L204*VLOOKUP(E204,Reeksen!$A$5:$B$76,2),0)</f>
        <v>0</v>
      </c>
      <c r="N204" s="84">
        <f ca="1">(1-('Invoer gegevens'!$F$20/12))*L204*MIN(Reeksen!B204,Reeksen!D204)</f>
        <v>0</v>
      </c>
      <c r="O204" s="84">
        <f>IF(Reeksen!D204&lt;Reeksen!B204,(Reeksen!B204-Reeksen!D204)*L204,0)</f>
        <v>0</v>
      </c>
      <c r="P204" s="84">
        <f ca="1">('Invoer gegevens'!$F$20/12)*L203*MIN(Reeksen!B203,Reeksen!D203)</f>
        <v>0</v>
      </c>
      <c r="Q204" s="84">
        <f t="shared" ca="1" si="35"/>
        <v>0</v>
      </c>
      <c r="R204" s="82">
        <f ca="1">IF('Invoer gegevens'!$C$17=E204,'Invoer gegevens'!$C$11,IF(C204=1,W203,0))</f>
        <v>0</v>
      </c>
      <c r="S204" s="86">
        <f ca="1">IF(C204&gt;=1,R204*VLOOKUP(E204,Reeksen!$A$5:$B$76,2),0)</f>
        <v>0</v>
      </c>
      <c r="T204" s="84">
        <f ca="1">(1-('Invoer gegevens'!$F$20/12))*R204*MIN(Reeksen!B204,Reeksen!D204)</f>
        <v>0</v>
      </c>
      <c r="U204" s="84">
        <f>IF(Reeksen!D204&gt;=Reeksen!B204,0,IF(Reeksen!AK204&lt;=Reeksen!AE204,(Reeksen!B204-Reeksen!D204)*R204,0))</f>
        <v>0</v>
      </c>
      <c r="V204" s="86">
        <f>IF(Reeksen!D204&gt;=Reeksen!B204,0,IF(Reeksen!AK204&gt;Reeksen!AE204,(Reeksen!B204-Reeksen!D204)*R204,0))</f>
        <v>0</v>
      </c>
      <c r="W204" s="97">
        <f t="shared" ca="1" si="36"/>
        <v>0</v>
      </c>
      <c r="X204" s="98">
        <f ca="1">IF('Invoer gegevens'!$C$17=E204,'Invoer gegevens'!$C$10-'Invoer gegevens'!$C$11,IF(C204=1,AC203,0))</f>
        <v>0</v>
      </c>
      <c r="Y204" s="98">
        <f ca="1">IF(C204&gt;=1,X204*VLOOKUP(E204,Reeksen!$A$5:$B$76,2),0)</f>
        <v>0</v>
      </c>
      <c r="Z204" s="98">
        <f ca="1">(1-('Invoer gegevens'!$F$20/12))*X204*MIN(Reeksen!B204,Reeksen!D204)</f>
        <v>0</v>
      </c>
      <c r="AA204" s="98">
        <f>IF(Reeksen!D204&gt;=Reeksen!B204,0,IF(Reeksen!AK204&lt;=Reeksen!AE204,(Reeksen!B204-Reeksen!D204)*X204,0))</f>
        <v>0</v>
      </c>
      <c r="AB204" s="98">
        <f>IF(Reeksen!D204&gt;=Reeksen!B204,0,IF(Reeksen!AK204&gt;Reeksen!AE204,(Reeksen!B204-Reeksen!D204)*X204,0))</f>
        <v>0</v>
      </c>
      <c r="AC204" s="99">
        <f t="shared" ca="1" si="37"/>
        <v>0</v>
      </c>
      <c r="AD204" s="98">
        <f ca="1">IF('Invoer gegevens'!$C$17=E204,R204,IF(C204=0,0,AE203))</f>
        <v>0</v>
      </c>
      <c r="AE204" s="98">
        <f t="shared" ca="1" si="38"/>
        <v>0</v>
      </c>
      <c r="AF204" s="98">
        <f ca="1">IF('Invoer gegevens'!$C$17=E204,X204,IF(C204=0,0,AG203))</f>
        <v>0</v>
      </c>
      <c r="AG204" s="98">
        <f t="shared" ca="1" si="39"/>
        <v>0</v>
      </c>
      <c r="AH204" s="68"/>
      <c r="AI204" s="71">
        <f ca="1">IF(C204=1,Reeksen!AJ204*((F204-G204+F204)/2)*12+Reeksen!AK204*((L204-M204+L204)/2)*12,0)</f>
        <v>0</v>
      </c>
      <c r="AJ204" s="71">
        <f ca="1">-AI204*'Invoer gegevens'!$F$28</f>
        <v>0</v>
      </c>
      <c r="AK204" s="71">
        <f t="shared" ca="1" si="33"/>
        <v>0</v>
      </c>
      <c r="AL204" s="71">
        <f ca="1">IF(C204=1,Reeksen!AL204*((F204-G204+F204)/2)*12+Reeksen!AM204*((L204-M204+L204)/2)*12,0)</f>
        <v>0</v>
      </c>
      <c r="AM204" s="71">
        <f ca="1">-AL204*'Invoer gegevens'!$F$31</f>
        <v>0</v>
      </c>
      <c r="AN204" s="71">
        <f t="shared" ca="1" si="40"/>
        <v>0</v>
      </c>
      <c r="AO204" s="71">
        <f ca="1">IF(C204=1,(H204+J204+N204+P204)*Reeksen!AN204,0)</f>
        <v>0</v>
      </c>
      <c r="AP204" s="71">
        <f ca="1">-IF(C204=1,(H204+J204+N204+P204)*'Hulp - basis'!$G$550*Reeksen!H204,0)</f>
        <v>0</v>
      </c>
      <c r="AQ204" s="71">
        <f ca="1">-IF(C204=1,(F204+K204+L204+Q204)/2*'Invoer gegevens'!$I$33*Reeksen!J204,0)*2</f>
        <v>0</v>
      </c>
      <c r="AR204" s="71">
        <f ca="1">-IF(C204=1,(I204*'Invoer gegevens'!$I$34)*Reeksen!J204,0)</f>
        <v>0</v>
      </c>
      <c r="AS204" s="71">
        <f ca="1">-IF(C204=1,(F204+K204+L204+Q204)/2*'Invoer gegevens'!$I$35*Reeksen!L204,0)</f>
        <v>0</v>
      </c>
      <c r="AT204" s="71">
        <f ca="1">-IF(C204=1,IF(E204='Invoer gegevens'!$C$17,'Invoer gegevens'!$C$11,AD204)*Reeksen!S204*'Invoer gegevens'!$C$18*Reeksen!P204,0)</f>
        <v>0</v>
      </c>
      <c r="AU204" s="71">
        <f ca="1">-IF(C204=1,(F204+K204+L204+Q204)/2*'Invoer gegevens'!$I$36*Reeksen!H204,0)</f>
        <v>0</v>
      </c>
      <c r="AV204" s="71">
        <f>IF('Invoer gegevens'!$C$3="Basis",0,#REF!)</f>
        <v>0</v>
      </c>
      <c r="AW204" s="71">
        <f t="shared" ca="1" si="41"/>
        <v>0</v>
      </c>
      <c r="AX204" s="71">
        <f ca="1">IF(E204&lt;'Invoer gegevens'!$C$17+15,0,IF(E204&gt;'Invoer gegevens'!$C$17+215,0,AW204))</f>
        <v>0</v>
      </c>
      <c r="AY204" s="71">
        <f ca="1">AX204/(1+'Invoer gegevens'!$F$18)^($AZ204-('Invoer gegevens'!$C$17-'Invoer gegevens'!$C$16))/(1+'Invoer gegevens'!$C$39)^('Invoer gegevens'!$C$17-'Invoer gegevens'!$C$16)</f>
        <v>0</v>
      </c>
      <c r="AZ204" s="68">
        <f ca="1">IF(E204-'Invoer gegevens'!$C$17-14.5&lt;0,0,E204-'Invoer gegevens'!$C$17-14.5)</f>
        <v>184.5</v>
      </c>
    </row>
    <row r="205" spans="2:52" x14ac:dyDescent="0.25">
      <c r="B205" s="70">
        <f t="shared" si="42"/>
        <v>201</v>
      </c>
      <c r="C205" s="67">
        <f ca="1">IF(E205-'Invoer gegevens'!$C$17&lt;0,0,1)</f>
        <v>1</v>
      </c>
      <c r="D205" s="68">
        <f t="shared" si="43"/>
        <v>200.5</v>
      </c>
      <c r="E205" s="108">
        <f ca="1">IF('Invoer gegevens'!$C$16="","",E204+1)</f>
        <v>2219</v>
      </c>
      <c r="F205" s="84">
        <f ca="1">IF('Invoer gegevens'!$C$17=E205,'Invoer gegevens'!$C$10,IF(C205=1,K204,0))</f>
        <v>0</v>
      </c>
      <c r="G205" s="96">
        <f ca="1">IF(C205&gt;=1,F205*VLOOKUP(E205,Reeksen!$A$5:$B$76,2),0)</f>
        <v>0</v>
      </c>
      <c r="H205" s="84">
        <f ca="1">(1-('Invoer gegevens'!$F$20/12))*F205*MIN(Reeksen!B205,Reeksen!D205)</f>
        <v>0</v>
      </c>
      <c r="I205" s="84">
        <f>IF(Reeksen!D205&lt;Reeksen!B205,(Reeksen!B205-Reeksen!D205)*F205,0)</f>
        <v>0</v>
      </c>
      <c r="J205" s="84">
        <f ca="1">('Invoer gegevens'!$F$20/12)*F204*MIN(Reeksen!B204,Reeksen!D204)</f>
        <v>0</v>
      </c>
      <c r="K205" s="97">
        <f t="shared" ca="1" si="34"/>
        <v>0</v>
      </c>
      <c r="L205" s="84">
        <f ca="1">IF('Invoer gegevens'!$C$17=E205,0,IF(C205=1,Q204,0))</f>
        <v>0</v>
      </c>
      <c r="M205" s="96">
        <f ca="1">IF(C205&gt;=1,L205*VLOOKUP(E205,Reeksen!$A$5:$B$76,2),0)</f>
        <v>0</v>
      </c>
      <c r="N205" s="84">
        <f ca="1">(1-('Invoer gegevens'!$F$20/12))*L205*MIN(Reeksen!B205,Reeksen!D205)</f>
        <v>0</v>
      </c>
      <c r="O205" s="84">
        <f>IF(Reeksen!D205&lt;Reeksen!B205,(Reeksen!B205-Reeksen!D205)*L205,0)</f>
        <v>0</v>
      </c>
      <c r="P205" s="84">
        <f ca="1">('Invoer gegevens'!$F$20/12)*L204*MIN(Reeksen!B204,Reeksen!D204)</f>
        <v>0</v>
      </c>
      <c r="Q205" s="84">
        <f t="shared" ca="1" si="35"/>
        <v>0</v>
      </c>
      <c r="R205" s="82">
        <f ca="1">IF('Invoer gegevens'!$C$17=E205,'Invoer gegevens'!$C$11,IF(C205=1,W204,0))</f>
        <v>0</v>
      </c>
      <c r="S205" s="86">
        <f ca="1">IF(C205&gt;=1,R205*VLOOKUP(E205,Reeksen!$A$5:$B$76,2),0)</f>
        <v>0</v>
      </c>
      <c r="T205" s="84">
        <f ca="1">(1-('Invoer gegevens'!$F$20/12))*R205*MIN(Reeksen!B205,Reeksen!D205)</f>
        <v>0</v>
      </c>
      <c r="U205" s="84">
        <f>IF(Reeksen!D205&gt;=Reeksen!B205,0,IF(Reeksen!AK205&lt;=Reeksen!AE205,(Reeksen!B205-Reeksen!D205)*R205,0))</f>
        <v>0</v>
      </c>
      <c r="V205" s="86">
        <f>IF(Reeksen!D205&gt;=Reeksen!B205,0,IF(Reeksen!AK205&gt;Reeksen!AE205,(Reeksen!B205-Reeksen!D205)*R205,0))</f>
        <v>0</v>
      </c>
      <c r="W205" s="97">
        <f t="shared" ca="1" si="36"/>
        <v>0</v>
      </c>
      <c r="X205" s="98">
        <f ca="1">IF('Invoer gegevens'!$C$17=E205,'Invoer gegevens'!$C$10-'Invoer gegevens'!$C$11,IF(C205=1,AC204,0))</f>
        <v>0</v>
      </c>
      <c r="Y205" s="98">
        <f ca="1">IF(C205&gt;=1,X205*VLOOKUP(E205,Reeksen!$A$5:$B$76,2),0)</f>
        <v>0</v>
      </c>
      <c r="Z205" s="98">
        <f ca="1">(1-('Invoer gegevens'!$F$20/12))*X205*MIN(Reeksen!B205,Reeksen!D205)</f>
        <v>0</v>
      </c>
      <c r="AA205" s="98">
        <f>IF(Reeksen!D205&gt;=Reeksen!B205,0,IF(Reeksen!AK205&lt;=Reeksen!AE205,(Reeksen!B205-Reeksen!D205)*X205,0))</f>
        <v>0</v>
      </c>
      <c r="AB205" s="98">
        <f>IF(Reeksen!D205&gt;=Reeksen!B205,0,IF(Reeksen!AK205&gt;Reeksen!AE205,(Reeksen!B205-Reeksen!D205)*X205,0))</f>
        <v>0</v>
      </c>
      <c r="AC205" s="99">
        <f t="shared" ca="1" si="37"/>
        <v>0</v>
      </c>
      <c r="AD205" s="98">
        <f ca="1">IF('Invoer gegevens'!$C$17=E205,R205,IF(C205=0,0,AE204))</f>
        <v>0</v>
      </c>
      <c r="AE205" s="98">
        <f t="shared" ca="1" si="38"/>
        <v>0</v>
      </c>
      <c r="AF205" s="98">
        <f ca="1">IF('Invoer gegevens'!$C$17=E205,X205,IF(C205=0,0,AG204))</f>
        <v>0</v>
      </c>
      <c r="AG205" s="98">
        <f t="shared" ca="1" si="39"/>
        <v>0</v>
      </c>
      <c r="AH205" s="68"/>
      <c r="AI205" s="71">
        <f ca="1">IF(C205=1,Reeksen!AJ205*((F205-G205+F205)/2)*12+Reeksen!AK205*((L205-M205+L205)/2)*12,0)</f>
        <v>0</v>
      </c>
      <c r="AJ205" s="71">
        <f ca="1">-AI205*'Invoer gegevens'!$F$28</f>
        <v>0</v>
      </c>
      <c r="AK205" s="71">
        <f t="shared" ca="1" si="33"/>
        <v>0</v>
      </c>
      <c r="AL205" s="71">
        <f ca="1">IF(C205=1,Reeksen!AL205*((F205-G205+F205)/2)*12+Reeksen!AM205*((L205-M205+L205)/2)*12,0)</f>
        <v>0</v>
      </c>
      <c r="AM205" s="71">
        <f ca="1">-AL205*'Invoer gegevens'!$F$31</f>
        <v>0</v>
      </c>
      <c r="AN205" s="71">
        <f t="shared" ca="1" si="40"/>
        <v>0</v>
      </c>
      <c r="AO205" s="71">
        <f ca="1">IF(C205=1,(H205+J205+N205+P205)*Reeksen!AN205,0)</f>
        <v>0</v>
      </c>
      <c r="AP205" s="71">
        <f ca="1">-IF(C205=1,(H205+J205+N205+P205)*'Hulp - basis'!$G$550*Reeksen!H205,0)</f>
        <v>0</v>
      </c>
      <c r="AQ205" s="71">
        <f ca="1">-IF(C205=1,(F205+K205+L205+Q205)/2*'Invoer gegevens'!$I$33*Reeksen!J205,0)*2</f>
        <v>0</v>
      </c>
      <c r="AR205" s="71">
        <f ca="1">-IF(C205=1,(I205*'Invoer gegevens'!$I$34)*Reeksen!J205,0)</f>
        <v>0</v>
      </c>
      <c r="AS205" s="71">
        <f ca="1">-IF(C205=1,(F205+K205+L205+Q205)/2*'Invoer gegevens'!$I$35*Reeksen!L205,0)</f>
        <v>0</v>
      </c>
      <c r="AT205" s="71">
        <f ca="1">-IF(C205=1,IF(E205='Invoer gegevens'!$C$17,'Invoer gegevens'!$C$11,AD205)*Reeksen!S205*'Invoer gegevens'!$C$18*Reeksen!P205,0)</f>
        <v>0</v>
      </c>
      <c r="AU205" s="71">
        <f ca="1">-IF(C205=1,(F205+K205+L205+Q205)/2*'Invoer gegevens'!$I$36*Reeksen!H205,0)</f>
        <v>0</v>
      </c>
      <c r="AV205" s="71">
        <f>IF('Invoer gegevens'!$C$3="Basis",0,#REF!)</f>
        <v>0</v>
      </c>
      <c r="AW205" s="71">
        <f t="shared" ca="1" si="41"/>
        <v>0</v>
      </c>
      <c r="AX205" s="71">
        <f ca="1">IF(E205&lt;'Invoer gegevens'!$C$17+15,0,IF(E205&gt;'Invoer gegevens'!$C$17+215,0,AW205))</f>
        <v>0</v>
      </c>
      <c r="AY205" s="71">
        <f ca="1">AX205/(1+'Invoer gegevens'!$F$18)^($AZ205-('Invoer gegevens'!$C$17-'Invoer gegevens'!$C$16))/(1+'Invoer gegevens'!$C$39)^('Invoer gegevens'!$C$17-'Invoer gegevens'!$C$16)</f>
        <v>0</v>
      </c>
      <c r="AZ205" s="68">
        <f ca="1">IF(E205-'Invoer gegevens'!$C$17-14.5&lt;0,0,E205-'Invoer gegevens'!$C$17-14.5)</f>
        <v>185.5</v>
      </c>
    </row>
    <row r="206" spans="2:52" x14ac:dyDescent="0.25">
      <c r="B206" s="70">
        <f t="shared" si="42"/>
        <v>202</v>
      </c>
      <c r="C206" s="67">
        <f ca="1">IF(E206-'Invoer gegevens'!$C$17&lt;0,0,1)</f>
        <v>1</v>
      </c>
      <c r="D206" s="68">
        <f t="shared" si="43"/>
        <v>201.5</v>
      </c>
      <c r="E206" s="108">
        <f ca="1">IF('Invoer gegevens'!$C$16="","",E205+1)</f>
        <v>2220</v>
      </c>
      <c r="F206" s="84">
        <f ca="1">IF('Invoer gegevens'!$C$17=E206,'Invoer gegevens'!$C$10,IF(C206=1,K205,0))</f>
        <v>0</v>
      </c>
      <c r="G206" s="96">
        <f ca="1">IF(C206&gt;=1,F206*VLOOKUP(E206,Reeksen!$A$5:$B$76,2),0)</f>
        <v>0</v>
      </c>
      <c r="H206" s="84">
        <f ca="1">(1-('Invoer gegevens'!$F$20/12))*F206*MIN(Reeksen!B206,Reeksen!D206)</f>
        <v>0</v>
      </c>
      <c r="I206" s="84">
        <f>IF(Reeksen!D206&lt;Reeksen!B206,(Reeksen!B206-Reeksen!D206)*F206,0)</f>
        <v>0</v>
      </c>
      <c r="J206" s="84">
        <f ca="1">('Invoer gegevens'!$F$20/12)*F205*MIN(Reeksen!B205,Reeksen!D205)</f>
        <v>0</v>
      </c>
      <c r="K206" s="97">
        <f t="shared" ca="1" si="34"/>
        <v>0</v>
      </c>
      <c r="L206" s="84">
        <f ca="1">IF('Invoer gegevens'!$C$17=E206,0,IF(C206=1,Q205,0))</f>
        <v>0</v>
      </c>
      <c r="M206" s="96">
        <f ca="1">IF(C206&gt;=1,L206*VLOOKUP(E206,Reeksen!$A$5:$B$76,2),0)</f>
        <v>0</v>
      </c>
      <c r="N206" s="84">
        <f ca="1">(1-('Invoer gegevens'!$F$20/12))*L206*MIN(Reeksen!B206,Reeksen!D206)</f>
        <v>0</v>
      </c>
      <c r="O206" s="84">
        <f>IF(Reeksen!D206&lt;Reeksen!B206,(Reeksen!B206-Reeksen!D206)*L206,0)</f>
        <v>0</v>
      </c>
      <c r="P206" s="84">
        <f ca="1">('Invoer gegevens'!$F$20/12)*L205*MIN(Reeksen!B205,Reeksen!D205)</f>
        <v>0</v>
      </c>
      <c r="Q206" s="84">
        <f t="shared" ca="1" si="35"/>
        <v>0</v>
      </c>
      <c r="R206" s="82">
        <f ca="1">IF('Invoer gegevens'!$C$17=E206,'Invoer gegevens'!$C$11,IF(C206=1,W205,0))</f>
        <v>0</v>
      </c>
      <c r="S206" s="86">
        <f ca="1">IF(C206&gt;=1,R206*VLOOKUP(E206,Reeksen!$A$5:$B$76,2),0)</f>
        <v>0</v>
      </c>
      <c r="T206" s="84">
        <f ca="1">(1-('Invoer gegevens'!$F$20/12))*R206*MIN(Reeksen!B206,Reeksen!D206)</f>
        <v>0</v>
      </c>
      <c r="U206" s="84">
        <f>IF(Reeksen!D206&gt;=Reeksen!B206,0,IF(Reeksen!AK206&lt;=Reeksen!AE206,(Reeksen!B206-Reeksen!D206)*R206,0))</f>
        <v>0</v>
      </c>
      <c r="V206" s="86">
        <f>IF(Reeksen!D206&gt;=Reeksen!B206,0,IF(Reeksen!AK206&gt;Reeksen!AE206,(Reeksen!B206-Reeksen!D206)*R206,0))</f>
        <v>0</v>
      </c>
      <c r="W206" s="97">
        <f t="shared" ca="1" si="36"/>
        <v>0</v>
      </c>
      <c r="X206" s="98">
        <f ca="1">IF('Invoer gegevens'!$C$17=E206,'Invoer gegevens'!$C$10-'Invoer gegevens'!$C$11,IF(C206=1,AC205,0))</f>
        <v>0</v>
      </c>
      <c r="Y206" s="98">
        <f ca="1">IF(C206&gt;=1,X206*VLOOKUP(E206,Reeksen!$A$5:$B$76,2),0)</f>
        <v>0</v>
      </c>
      <c r="Z206" s="98">
        <f ca="1">(1-('Invoer gegevens'!$F$20/12))*X206*MIN(Reeksen!B206,Reeksen!D206)</f>
        <v>0</v>
      </c>
      <c r="AA206" s="98">
        <f>IF(Reeksen!D206&gt;=Reeksen!B206,0,IF(Reeksen!AK206&lt;=Reeksen!AE206,(Reeksen!B206-Reeksen!D206)*X206,0))</f>
        <v>0</v>
      </c>
      <c r="AB206" s="98">
        <f>IF(Reeksen!D206&gt;=Reeksen!B206,0,IF(Reeksen!AK206&gt;Reeksen!AE206,(Reeksen!B206-Reeksen!D206)*X206,0))</f>
        <v>0</v>
      </c>
      <c r="AC206" s="99">
        <f t="shared" ca="1" si="37"/>
        <v>0</v>
      </c>
      <c r="AD206" s="98">
        <f ca="1">IF('Invoer gegevens'!$C$17=E206,R206,IF(C206=0,0,AE205))</f>
        <v>0</v>
      </c>
      <c r="AE206" s="98">
        <f t="shared" ca="1" si="38"/>
        <v>0</v>
      </c>
      <c r="AF206" s="98">
        <f ca="1">IF('Invoer gegevens'!$C$17=E206,X206,IF(C206=0,0,AG205))</f>
        <v>0</v>
      </c>
      <c r="AG206" s="98">
        <f t="shared" ca="1" si="39"/>
        <v>0</v>
      </c>
      <c r="AH206" s="68"/>
      <c r="AI206" s="71">
        <f ca="1">IF(C206=1,Reeksen!AJ206*((F206-G206+F206)/2)*12+Reeksen!AK206*((L206-M206+L206)/2)*12,0)</f>
        <v>0</v>
      </c>
      <c r="AJ206" s="71">
        <f ca="1">-AI206*'Invoer gegevens'!$F$28</f>
        <v>0</v>
      </c>
      <c r="AK206" s="71">
        <f t="shared" ca="1" si="33"/>
        <v>0</v>
      </c>
      <c r="AL206" s="71">
        <f ca="1">IF(C206=1,Reeksen!AL206*((F206-G206+F206)/2)*12+Reeksen!AM206*((L206-M206+L206)/2)*12,0)</f>
        <v>0</v>
      </c>
      <c r="AM206" s="71">
        <f ca="1">-AL206*'Invoer gegevens'!$F$31</f>
        <v>0</v>
      </c>
      <c r="AN206" s="71">
        <f t="shared" ca="1" si="40"/>
        <v>0</v>
      </c>
      <c r="AO206" s="71">
        <f ca="1">IF(C206=1,(H206+J206+N206+P206)*Reeksen!AN206,0)</f>
        <v>0</v>
      </c>
      <c r="AP206" s="71">
        <f ca="1">-IF(C206=1,(H206+J206+N206+P206)*'Hulp - basis'!$G$550*Reeksen!H206,0)</f>
        <v>0</v>
      </c>
      <c r="AQ206" s="71">
        <f ca="1">-IF(C206=1,(F206+K206+L206+Q206)/2*'Invoer gegevens'!$I$33*Reeksen!J206,0)*2</f>
        <v>0</v>
      </c>
      <c r="AR206" s="71">
        <f ca="1">-IF(C206=1,(I206*'Invoer gegevens'!$I$34)*Reeksen!J206,0)</f>
        <v>0</v>
      </c>
      <c r="AS206" s="71">
        <f ca="1">-IF(C206=1,(F206+K206+L206+Q206)/2*'Invoer gegevens'!$I$35*Reeksen!L206,0)</f>
        <v>0</v>
      </c>
      <c r="AT206" s="71">
        <f ca="1">-IF(C206=1,IF(E206='Invoer gegevens'!$C$17,'Invoer gegevens'!$C$11,AD206)*Reeksen!S206*'Invoer gegevens'!$C$18*Reeksen!P206,0)</f>
        <v>0</v>
      </c>
      <c r="AU206" s="71">
        <f ca="1">-IF(C206=1,(F206+K206+L206+Q206)/2*'Invoer gegevens'!$I$36*Reeksen!H206,0)</f>
        <v>0</v>
      </c>
      <c r="AV206" s="71">
        <f>IF('Invoer gegevens'!$C$3="Basis",0,#REF!)</f>
        <v>0</v>
      </c>
      <c r="AW206" s="71">
        <f t="shared" ca="1" si="41"/>
        <v>0</v>
      </c>
      <c r="AX206" s="71">
        <f ca="1">IF(E206&lt;'Invoer gegevens'!$C$17+15,0,IF(E206&gt;'Invoer gegevens'!$C$17+215,0,AW206))</f>
        <v>0</v>
      </c>
      <c r="AY206" s="71">
        <f ca="1">AX206/(1+'Invoer gegevens'!$F$18)^($AZ206-('Invoer gegevens'!$C$17-'Invoer gegevens'!$C$16))/(1+'Invoer gegevens'!$C$39)^('Invoer gegevens'!$C$17-'Invoer gegevens'!$C$16)</f>
        <v>0</v>
      </c>
      <c r="AZ206" s="68">
        <f ca="1">IF(E206-'Invoer gegevens'!$C$17-14.5&lt;0,0,E206-'Invoer gegevens'!$C$17-14.5)</f>
        <v>186.5</v>
      </c>
    </row>
    <row r="207" spans="2:52" x14ac:dyDescent="0.25">
      <c r="B207" s="70">
        <f t="shared" si="42"/>
        <v>203</v>
      </c>
      <c r="C207" s="67">
        <f ca="1">IF(E207-'Invoer gegevens'!$C$17&lt;0,0,1)</f>
        <v>1</v>
      </c>
      <c r="D207" s="68">
        <f t="shared" si="43"/>
        <v>202.5</v>
      </c>
      <c r="E207" s="108">
        <f ca="1">IF('Invoer gegevens'!$C$16="","",E206+1)</f>
        <v>2221</v>
      </c>
      <c r="F207" s="84">
        <f ca="1">IF('Invoer gegevens'!$C$17=E207,'Invoer gegevens'!$C$10,IF(C207=1,K206,0))</f>
        <v>0</v>
      </c>
      <c r="G207" s="96">
        <f ca="1">IF(C207&gt;=1,F207*VLOOKUP(E207,Reeksen!$A$5:$B$76,2),0)</f>
        <v>0</v>
      </c>
      <c r="H207" s="84">
        <f ca="1">(1-('Invoer gegevens'!$F$20/12))*F207*MIN(Reeksen!B207,Reeksen!D207)</f>
        <v>0</v>
      </c>
      <c r="I207" s="84">
        <f>IF(Reeksen!D207&lt;Reeksen!B207,(Reeksen!B207-Reeksen!D207)*F207,0)</f>
        <v>0</v>
      </c>
      <c r="J207" s="84">
        <f ca="1">('Invoer gegevens'!$F$20/12)*F206*MIN(Reeksen!B206,Reeksen!D206)</f>
        <v>0</v>
      </c>
      <c r="K207" s="97">
        <f t="shared" ca="1" si="34"/>
        <v>0</v>
      </c>
      <c r="L207" s="84">
        <f ca="1">IF('Invoer gegevens'!$C$17=E207,0,IF(C207=1,Q206,0))</f>
        <v>0</v>
      </c>
      <c r="M207" s="96">
        <f ca="1">IF(C207&gt;=1,L207*VLOOKUP(E207,Reeksen!$A$5:$B$76,2),0)</f>
        <v>0</v>
      </c>
      <c r="N207" s="84">
        <f ca="1">(1-('Invoer gegevens'!$F$20/12))*L207*MIN(Reeksen!B207,Reeksen!D207)</f>
        <v>0</v>
      </c>
      <c r="O207" s="84">
        <f>IF(Reeksen!D207&lt;Reeksen!B207,(Reeksen!B207-Reeksen!D207)*L207,0)</f>
        <v>0</v>
      </c>
      <c r="P207" s="84">
        <f ca="1">('Invoer gegevens'!$F$20/12)*L206*MIN(Reeksen!B206,Reeksen!D206)</f>
        <v>0</v>
      </c>
      <c r="Q207" s="84">
        <f t="shared" ca="1" si="35"/>
        <v>0</v>
      </c>
      <c r="R207" s="82">
        <f ca="1">IF('Invoer gegevens'!$C$17=E207,'Invoer gegevens'!$C$11,IF(C207=1,W206,0))</f>
        <v>0</v>
      </c>
      <c r="S207" s="86">
        <f ca="1">IF(C207&gt;=1,R207*VLOOKUP(E207,Reeksen!$A$5:$B$76,2),0)</f>
        <v>0</v>
      </c>
      <c r="T207" s="84">
        <f ca="1">(1-('Invoer gegevens'!$F$20/12))*R207*MIN(Reeksen!B207,Reeksen!D207)</f>
        <v>0</v>
      </c>
      <c r="U207" s="84">
        <f>IF(Reeksen!D207&gt;=Reeksen!B207,0,IF(Reeksen!AK207&lt;=Reeksen!AE207,(Reeksen!B207-Reeksen!D207)*R207,0))</f>
        <v>0</v>
      </c>
      <c r="V207" s="86">
        <f>IF(Reeksen!D207&gt;=Reeksen!B207,0,IF(Reeksen!AK207&gt;Reeksen!AE207,(Reeksen!B207-Reeksen!D207)*R207,0))</f>
        <v>0</v>
      </c>
      <c r="W207" s="97">
        <f t="shared" ca="1" si="36"/>
        <v>0</v>
      </c>
      <c r="X207" s="98">
        <f ca="1">IF('Invoer gegevens'!$C$17=E207,'Invoer gegevens'!$C$10-'Invoer gegevens'!$C$11,IF(C207=1,AC206,0))</f>
        <v>0</v>
      </c>
      <c r="Y207" s="98">
        <f ca="1">IF(C207&gt;=1,X207*VLOOKUP(E207,Reeksen!$A$5:$B$76,2),0)</f>
        <v>0</v>
      </c>
      <c r="Z207" s="98">
        <f ca="1">(1-('Invoer gegevens'!$F$20/12))*X207*MIN(Reeksen!B207,Reeksen!D207)</f>
        <v>0</v>
      </c>
      <c r="AA207" s="98">
        <f>IF(Reeksen!D207&gt;=Reeksen!B207,0,IF(Reeksen!AK207&lt;=Reeksen!AE207,(Reeksen!B207-Reeksen!D207)*X207,0))</f>
        <v>0</v>
      </c>
      <c r="AB207" s="98">
        <f>IF(Reeksen!D207&gt;=Reeksen!B207,0,IF(Reeksen!AK207&gt;Reeksen!AE207,(Reeksen!B207-Reeksen!D207)*X207,0))</f>
        <v>0</v>
      </c>
      <c r="AC207" s="99">
        <f t="shared" ca="1" si="37"/>
        <v>0</v>
      </c>
      <c r="AD207" s="98">
        <f ca="1">IF('Invoer gegevens'!$C$17=E207,R207,IF(C207=0,0,AE206))</f>
        <v>0</v>
      </c>
      <c r="AE207" s="98">
        <f t="shared" ca="1" si="38"/>
        <v>0</v>
      </c>
      <c r="AF207" s="98">
        <f ca="1">IF('Invoer gegevens'!$C$17=E207,X207,IF(C207=0,0,AG206))</f>
        <v>0</v>
      </c>
      <c r="AG207" s="98">
        <f t="shared" ca="1" si="39"/>
        <v>0</v>
      </c>
      <c r="AH207" s="68"/>
      <c r="AI207" s="71">
        <f ca="1">IF(C207=1,Reeksen!AJ207*((F207-G207+F207)/2)*12+Reeksen!AK207*((L207-M207+L207)/2)*12,0)</f>
        <v>0</v>
      </c>
      <c r="AJ207" s="71">
        <f ca="1">-AI207*'Invoer gegevens'!$F$28</f>
        <v>0</v>
      </c>
      <c r="AK207" s="71">
        <f t="shared" ca="1" si="33"/>
        <v>0</v>
      </c>
      <c r="AL207" s="71">
        <f ca="1">IF(C207=1,Reeksen!AL207*((F207-G207+F207)/2)*12+Reeksen!AM207*((L207-M207+L207)/2)*12,0)</f>
        <v>0</v>
      </c>
      <c r="AM207" s="71">
        <f ca="1">-AL207*'Invoer gegevens'!$F$31</f>
        <v>0</v>
      </c>
      <c r="AN207" s="71">
        <f t="shared" ca="1" si="40"/>
        <v>0</v>
      </c>
      <c r="AO207" s="71">
        <f ca="1">IF(C207=1,(H207+J207+N207+P207)*Reeksen!AN207,0)</f>
        <v>0</v>
      </c>
      <c r="AP207" s="71">
        <f ca="1">-IF(C207=1,(H207+J207+N207+P207)*'Hulp - basis'!$G$550*Reeksen!H207,0)</f>
        <v>0</v>
      </c>
      <c r="AQ207" s="71">
        <f ca="1">-IF(C207=1,(F207+K207+L207+Q207)/2*'Invoer gegevens'!$I$33*Reeksen!J207,0)*2</f>
        <v>0</v>
      </c>
      <c r="AR207" s="71">
        <f ca="1">-IF(C207=1,(I207*'Invoer gegevens'!$I$34)*Reeksen!J207,0)</f>
        <v>0</v>
      </c>
      <c r="AS207" s="71">
        <f ca="1">-IF(C207=1,(F207+K207+L207+Q207)/2*'Invoer gegevens'!$I$35*Reeksen!L207,0)</f>
        <v>0</v>
      </c>
      <c r="AT207" s="71">
        <f ca="1">-IF(C207=1,IF(E207='Invoer gegevens'!$C$17,'Invoer gegevens'!$C$11,AD207)*Reeksen!S207*'Invoer gegevens'!$C$18*Reeksen!P207,0)</f>
        <v>0</v>
      </c>
      <c r="AU207" s="71">
        <f ca="1">-IF(C207=1,(F207+K207+L207+Q207)/2*'Invoer gegevens'!$I$36*Reeksen!H207,0)</f>
        <v>0</v>
      </c>
      <c r="AV207" s="71">
        <f>IF('Invoer gegevens'!$C$3="Basis",0,#REF!)</f>
        <v>0</v>
      </c>
      <c r="AW207" s="71">
        <f t="shared" ca="1" si="41"/>
        <v>0</v>
      </c>
      <c r="AX207" s="71">
        <f ca="1">IF(E207&lt;'Invoer gegevens'!$C$17+15,0,IF(E207&gt;'Invoer gegevens'!$C$17+215,0,AW207))</f>
        <v>0</v>
      </c>
      <c r="AY207" s="71">
        <f ca="1">AX207/(1+'Invoer gegevens'!$F$18)^($AZ207-('Invoer gegevens'!$C$17-'Invoer gegevens'!$C$16))/(1+'Invoer gegevens'!$C$39)^('Invoer gegevens'!$C$17-'Invoer gegevens'!$C$16)</f>
        <v>0</v>
      </c>
      <c r="AZ207" s="68">
        <f ca="1">IF(E207-'Invoer gegevens'!$C$17-14.5&lt;0,0,E207-'Invoer gegevens'!$C$17-14.5)</f>
        <v>187.5</v>
      </c>
    </row>
    <row r="208" spans="2:52" x14ac:dyDescent="0.25">
      <c r="B208" s="70">
        <f t="shared" si="42"/>
        <v>204</v>
      </c>
      <c r="C208" s="67">
        <f ca="1">IF(E208-'Invoer gegevens'!$C$17&lt;0,0,1)</f>
        <v>1</v>
      </c>
      <c r="D208" s="68">
        <f t="shared" si="43"/>
        <v>203.5</v>
      </c>
      <c r="E208" s="108">
        <f ca="1">IF('Invoer gegevens'!$C$16="","",E207+1)</f>
        <v>2222</v>
      </c>
      <c r="F208" s="84">
        <f ca="1">IF('Invoer gegevens'!$C$17=E208,'Invoer gegevens'!$C$10,IF(C208=1,K207,0))</f>
        <v>0</v>
      </c>
      <c r="G208" s="96">
        <f ca="1">IF(C208&gt;=1,F208*VLOOKUP(E208,Reeksen!$A$5:$B$76,2),0)</f>
        <v>0</v>
      </c>
      <c r="H208" s="84">
        <f ca="1">(1-('Invoer gegevens'!$F$20/12))*F208*MIN(Reeksen!B208,Reeksen!D208)</f>
        <v>0</v>
      </c>
      <c r="I208" s="84">
        <f>IF(Reeksen!D208&lt;Reeksen!B208,(Reeksen!B208-Reeksen!D208)*F208,0)</f>
        <v>0</v>
      </c>
      <c r="J208" s="84">
        <f ca="1">('Invoer gegevens'!$F$20/12)*F207*MIN(Reeksen!B207,Reeksen!D207)</f>
        <v>0</v>
      </c>
      <c r="K208" s="97">
        <f t="shared" ca="1" si="34"/>
        <v>0</v>
      </c>
      <c r="L208" s="84">
        <f ca="1">IF('Invoer gegevens'!$C$17=E208,0,IF(C208=1,Q207,0))</f>
        <v>0</v>
      </c>
      <c r="M208" s="96">
        <f ca="1">IF(C208&gt;=1,L208*VLOOKUP(E208,Reeksen!$A$5:$B$76,2),0)</f>
        <v>0</v>
      </c>
      <c r="N208" s="84">
        <f ca="1">(1-('Invoer gegevens'!$F$20/12))*L208*MIN(Reeksen!B208,Reeksen!D208)</f>
        <v>0</v>
      </c>
      <c r="O208" s="84">
        <f>IF(Reeksen!D208&lt;Reeksen!B208,(Reeksen!B208-Reeksen!D208)*L208,0)</f>
        <v>0</v>
      </c>
      <c r="P208" s="84">
        <f ca="1">('Invoer gegevens'!$F$20/12)*L207*MIN(Reeksen!B207,Reeksen!D207)</f>
        <v>0</v>
      </c>
      <c r="Q208" s="84">
        <f t="shared" ca="1" si="35"/>
        <v>0</v>
      </c>
      <c r="R208" s="82">
        <f ca="1">IF('Invoer gegevens'!$C$17=E208,'Invoer gegevens'!$C$11,IF(C208=1,W207,0))</f>
        <v>0</v>
      </c>
      <c r="S208" s="86">
        <f ca="1">IF(C208&gt;=1,R208*VLOOKUP(E208,Reeksen!$A$5:$B$76,2),0)</f>
        <v>0</v>
      </c>
      <c r="T208" s="84">
        <f ca="1">(1-('Invoer gegevens'!$F$20/12))*R208*MIN(Reeksen!B208,Reeksen!D208)</f>
        <v>0</v>
      </c>
      <c r="U208" s="84">
        <f>IF(Reeksen!D208&gt;=Reeksen!B208,0,IF(Reeksen!AK208&lt;=Reeksen!AE208,(Reeksen!B208-Reeksen!D208)*R208,0))</f>
        <v>0</v>
      </c>
      <c r="V208" s="86">
        <f>IF(Reeksen!D208&gt;=Reeksen!B208,0,IF(Reeksen!AK208&gt;Reeksen!AE208,(Reeksen!B208-Reeksen!D208)*R208,0))</f>
        <v>0</v>
      </c>
      <c r="W208" s="97">
        <f t="shared" ca="1" si="36"/>
        <v>0</v>
      </c>
      <c r="X208" s="98">
        <f ca="1">IF('Invoer gegevens'!$C$17=E208,'Invoer gegevens'!$C$10-'Invoer gegevens'!$C$11,IF(C208=1,AC207,0))</f>
        <v>0</v>
      </c>
      <c r="Y208" s="98">
        <f ca="1">IF(C208&gt;=1,X208*VLOOKUP(E208,Reeksen!$A$5:$B$76,2),0)</f>
        <v>0</v>
      </c>
      <c r="Z208" s="98">
        <f ca="1">(1-('Invoer gegevens'!$F$20/12))*X208*MIN(Reeksen!B208,Reeksen!D208)</f>
        <v>0</v>
      </c>
      <c r="AA208" s="98">
        <f>IF(Reeksen!D208&gt;=Reeksen!B208,0,IF(Reeksen!AK208&lt;=Reeksen!AE208,(Reeksen!B208-Reeksen!D208)*X208,0))</f>
        <v>0</v>
      </c>
      <c r="AB208" s="98">
        <f>IF(Reeksen!D208&gt;=Reeksen!B208,0,IF(Reeksen!AK208&gt;Reeksen!AE208,(Reeksen!B208-Reeksen!D208)*X208,0))</f>
        <v>0</v>
      </c>
      <c r="AC208" s="99">
        <f t="shared" ca="1" si="37"/>
        <v>0</v>
      </c>
      <c r="AD208" s="98">
        <f ca="1">IF('Invoer gegevens'!$C$17=E208,R208,IF(C208=0,0,AE207))</f>
        <v>0</v>
      </c>
      <c r="AE208" s="98">
        <f t="shared" ca="1" si="38"/>
        <v>0</v>
      </c>
      <c r="AF208" s="98">
        <f ca="1">IF('Invoer gegevens'!$C$17=E208,X208,IF(C208=0,0,AG207))</f>
        <v>0</v>
      </c>
      <c r="AG208" s="98">
        <f t="shared" ca="1" si="39"/>
        <v>0</v>
      </c>
      <c r="AH208" s="68"/>
      <c r="AI208" s="71">
        <f ca="1">IF(C208=1,Reeksen!AJ208*((F208-G208+F208)/2)*12+Reeksen!AK208*((L208-M208+L208)/2)*12,0)</f>
        <v>0</v>
      </c>
      <c r="AJ208" s="71">
        <f ca="1">-AI208*'Invoer gegevens'!$F$28</f>
        <v>0</v>
      </c>
      <c r="AK208" s="71">
        <f t="shared" ca="1" si="33"/>
        <v>0</v>
      </c>
      <c r="AL208" s="71">
        <f ca="1">IF(C208=1,Reeksen!AL208*((F208-G208+F208)/2)*12+Reeksen!AM208*((L208-M208+L208)/2)*12,0)</f>
        <v>0</v>
      </c>
      <c r="AM208" s="71">
        <f ca="1">-AL208*'Invoer gegevens'!$F$31</f>
        <v>0</v>
      </c>
      <c r="AN208" s="71">
        <f t="shared" ca="1" si="40"/>
        <v>0</v>
      </c>
      <c r="AO208" s="71">
        <f ca="1">IF(C208=1,(H208+J208+N208+P208)*Reeksen!AN208,0)</f>
        <v>0</v>
      </c>
      <c r="AP208" s="71">
        <f ca="1">-IF(C208=1,(H208+J208+N208+P208)*'Hulp - basis'!$G$550*Reeksen!H208,0)</f>
        <v>0</v>
      </c>
      <c r="AQ208" s="71">
        <f ca="1">-IF(C208=1,(F208+K208+L208+Q208)/2*'Invoer gegevens'!$I$33*Reeksen!J208,0)*2</f>
        <v>0</v>
      </c>
      <c r="AR208" s="71">
        <f ca="1">-IF(C208=1,(I208*'Invoer gegevens'!$I$34)*Reeksen!J208,0)</f>
        <v>0</v>
      </c>
      <c r="AS208" s="71">
        <f ca="1">-IF(C208=1,(F208+K208+L208+Q208)/2*'Invoer gegevens'!$I$35*Reeksen!L208,0)</f>
        <v>0</v>
      </c>
      <c r="AT208" s="71">
        <f ca="1">-IF(C208=1,IF(E208='Invoer gegevens'!$C$17,'Invoer gegevens'!$C$11,AD208)*Reeksen!S208*'Invoer gegevens'!$C$18*Reeksen!P208,0)</f>
        <v>0</v>
      </c>
      <c r="AU208" s="71">
        <f ca="1">-IF(C208=1,(F208+K208+L208+Q208)/2*'Invoer gegevens'!$I$36*Reeksen!H208,0)</f>
        <v>0</v>
      </c>
      <c r="AV208" s="71">
        <f>IF('Invoer gegevens'!$C$3="Basis",0,#REF!)</f>
        <v>0</v>
      </c>
      <c r="AW208" s="71">
        <f t="shared" ca="1" si="41"/>
        <v>0</v>
      </c>
      <c r="AX208" s="71">
        <f ca="1">IF(E208&lt;'Invoer gegevens'!$C$17+15,0,IF(E208&gt;'Invoer gegevens'!$C$17+215,0,AW208))</f>
        <v>0</v>
      </c>
      <c r="AY208" s="71">
        <f ca="1">AX208/(1+'Invoer gegevens'!$F$18)^($AZ208-('Invoer gegevens'!$C$17-'Invoer gegevens'!$C$16))/(1+'Invoer gegevens'!$C$39)^('Invoer gegevens'!$C$17-'Invoer gegevens'!$C$16)</f>
        <v>0</v>
      </c>
      <c r="AZ208" s="68">
        <f ca="1">IF(E208-'Invoer gegevens'!$C$17-14.5&lt;0,0,E208-'Invoer gegevens'!$C$17-14.5)</f>
        <v>188.5</v>
      </c>
    </row>
    <row r="209" spans="2:52" x14ac:dyDescent="0.25">
      <c r="B209" s="70">
        <f t="shared" si="42"/>
        <v>205</v>
      </c>
      <c r="C209" s="67">
        <f ca="1">IF(E209-'Invoer gegevens'!$C$17&lt;0,0,1)</f>
        <v>1</v>
      </c>
      <c r="D209" s="68">
        <f t="shared" si="43"/>
        <v>204.5</v>
      </c>
      <c r="E209" s="108">
        <f ca="1">IF('Invoer gegevens'!$C$16="","",E208+1)</f>
        <v>2223</v>
      </c>
      <c r="F209" s="84">
        <f ca="1">IF('Invoer gegevens'!$C$17=E209,'Invoer gegevens'!$C$10,IF(C209=1,K208,0))</f>
        <v>0</v>
      </c>
      <c r="G209" s="96">
        <f ca="1">IF(C209&gt;=1,F209*VLOOKUP(E209,Reeksen!$A$5:$B$76,2),0)</f>
        <v>0</v>
      </c>
      <c r="H209" s="84">
        <f ca="1">(1-('Invoer gegevens'!$F$20/12))*F209*MIN(Reeksen!B209,Reeksen!D209)</f>
        <v>0</v>
      </c>
      <c r="I209" s="84">
        <f>IF(Reeksen!D209&lt;Reeksen!B209,(Reeksen!B209-Reeksen!D209)*F209,0)</f>
        <v>0</v>
      </c>
      <c r="J209" s="84">
        <f ca="1">('Invoer gegevens'!$F$20/12)*F208*MIN(Reeksen!B208,Reeksen!D208)</f>
        <v>0</v>
      </c>
      <c r="K209" s="97">
        <f t="shared" ca="1" si="34"/>
        <v>0</v>
      </c>
      <c r="L209" s="84">
        <f ca="1">IF('Invoer gegevens'!$C$17=E209,0,IF(C209=1,Q208,0))</f>
        <v>0</v>
      </c>
      <c r="M209" s="96">
        <f ca="1">IF(C209&gt;=1,L209*VLOOKUP(E209,Reeksen!$A$5:$B$76,2),0)</f>
        <v>0</v>
      </c>
      <c r="N209" s="84">
        <f ca="1">(1-('Invoer gegevens'!$F$20/12))*L209*MIN(Reeksen!B209,Reeksen!D209)</f>
        <v>0</v>
      </c>
      <c r="O209" s="84">
        <f>IF(Reeksen!D209&lt;Reeksen!B209,(Reeksen!B209-Reeksen!D209)*L209,0)</f>
        <v>0</v>
      </c>
      <c r="P209" s="84">
        <f ca="1">('Invoer gegevens'!$F$20/12)*L208*MIN(Reeksen!B208,Reeksen!D208)</f>
        <v>0</v>
      </c>
      <c r="Q209" s="84">
        <f t="shared" ca="1" si="35"/>
        <v>0</v>
      </c>
      <c r="R209" s="82">
        <f ca="1">IF('Invoer gegevens'!$C$17=E209,'Invoer gegevens'!$C$11,IF(C209=1,W208,0))</f>
        <v>0</v>
      </c>
      <c r="S209" s="86">
        <f ca="1">IF(C209&gt;=1,R209*VLOOKUP(E209,Reeksen!$A$5:$B$76,2),0)</f>
        <v>0</v>
      </c>
      <c r="T209" s="84">
        <f ca="1">(1-('Invoer gegevens'!$F$20/12))*R209*MIN(Reeksen!B209,Reeksen!D209)</f>
        <v>0</v>
      </c>
      <c r="U209" s="84">
        <f>IF(Reeksen!D209&gt;=Reeksen!B209,0,IF(Reeksen!AK209&lt;=Reeksen!AE209,(Reeksen!B209-Reeksen!D209)*R209,0))</f>
        <v>0</v>
      </c>
      <c r="V209" s="86">
        <f>IF(Reeksen!D209&gt;=Reeksen!B209,0,IF(Reeksen!AK209&gt;Reeksen!AE209,(Reeksen!B209-Reeksen!D209)*R209,0))</f>
        <v>0</v>
      </c>
      <c r="W209" s="97">
        <f t="shared" ca="1" si="36"/>
        <v>0</v>
      </c>
      <c r="X209" s="98">
        <f ca="1">IF('Invoer gegevens'!$C$17=E209,'Invoer gegevens'!$C$10-'Invoer gegevens'!$C$11,IF(C209=1,AC208,0))</f>
        <v>0</v>
      </c>
      <c r="Y209" s="98">
        <f ca="1">IF(C209&gt;=1,X209*VLOOKUP(E209,Reeksen!$A$5:$B$76,2),0)</f>
        <v>0</v>
      </c>
      <c r="Z209" s="98">
        <f ca="1">(1-('Invoer gegevens'!$F$20/12))*X209*MIN(Reeksen!B209,Reeksen!D209)</f>
        <v>0</v>
      </c>
      <c r="AA209" s="98">
        <f>IF(Reeksen!D209&gt;=Reeksen!B209,0,IF(Reeksen!AK209&lt;=Reeksen!AE209,(Reeksen!B209-Reeksen!D209)*X209,0))</f>
        <v>0</v>
      </c>
      <c r="AB209" s="98">
        <f>IF(Reeksen!D209&gt;=Reeksen!B209,0,IF(Reeksen!AK209&gt;Reeksen!AE209,(Reeksen!B209-Reeksen!D209)*X209,0))</f>
        <v>0</v>
      </c>
      <c r="AC209" s="99">
        <f t="shared" ca="1" si="37"/>
        <v>0</v>
      </c>
      <c r="AD209" s="98">
        <f ca="1">IF('Invoer gegevens'!$C$17=E209,R209,IF(C209=0,0,AE208))</f>
        <v>0</v>
      </c>
      <c r="AE209" s="98">
        <f t="shared" ca="1" si="38"/>
        <v>0</v>
      </c>
      <c r="AF209" s="98">
        <f ca="1">IF('Invoer gegevens'!$C$17=E209,X209,IF(C209=0,0,AG208))</f>
        <v>0</v>
      </c>
      <c r="AG209" s="98">
        <f t="shared" ca="1" si="39"/>
        <v>0</v>
      </c>
      <c r="AH209" s="68"/>
      <c r="AI209" s="71">
        <f ca="1">IF(C209=1,Reeksen!AJ209*((F209-G209+F209)/2)*12+Reeksen!AK209*((L209-M209+L209)/2)*12,0)</f>
        <v>0</v>
      </c>
      <c r="AJ209" s="71">
        <f ca="1">-AI209*'Invoer gegevens'!$F$28</f>
        <v>0</v>
      </c>
      <c r="AK209" s="71">
        <f t="shared" ca="1" si="33"/>
        <v>0</v>
      </c>
      <c r="AL209" s="71">
        <f ca="1">IF(C209=1,Reeksen!AL209*((F209-G209+F209)/2)*12+Reeksen!AM209*((L209-M209+L209)/2)*12,0)</f>
        <v>0</v>
      </c>
      <c r="AM209" s="71">
        <f ca="1">-AL209*'Invoer gegevens'!$F$31</f>
        <v>0</v>
      </c>
      <c r="AN209" s="71">
        <f t="shared" ca="1" si="40"/>
        <v>0</v>
      </c>
      <c r="AO209" s="71">
        <f ca="1">IF(C209=1,(H209+J209+N209+P209)*Reeksen!AN209,0)</f>
        <v>0</v>
      </c>
      <c r="AP209" s="71">
        <f ca="1">-IF(C209=1,(H209+J209+N209+P209)*'Hulp - basis'!$G$550*Reeksen!H209,0)</f>
        <v>0</v>
      </c>
      <c r="AQ209" s="71">
        <f ca="1">-IF(C209=1,(F209+K209+L209+Q209)/2*'Invoer gegevens'!$I$33*Reeksen!J209,0)*2</f>
        <v>0</v>
      </c>
      <c r="AR209" s="71">
        <f ca="1">-IF(C209=1,(I209*'Invoer gegevens'!$I$34)*Reeksen!J209,0)</f>
        <v>0</v>
      </c>
      <c r="AS209" s="71">
        <f ca="1">-IF(C209=1,(F209+K209+L209+Q209)/2*'Invoer gegevens'!$I$35*Reeksen!L209,0)</f>
        <v>0</v>
      </c>
      <c r="AT209" s="71">
        <f ca="1">-IF(C209=1,IF(E209='Invoer gegevens'!$C$17,'Invoer gegevens'!$C$11,AD209)*Reeksen!S209*'Invoer gegevens'!$C$18*Reeksen!P209,0)</f>
        <v>0</v>
      </c>
      <c r="AU209" s="71">
        <f ca="1">-IF(C209=1,(F209+K209+L209+Q209)/2*'Invoer gegevens'!$I$36*Reeksen!H209,0)</f>
        <v>0</v>
      </c>
      <c r="AV209" s="71">
        <f>IF('Invoer gegevens'!$C$3="Basis",0,#REF!)</f>
        <v>0</v>
      </c>
      <c r="AW209" s="71">
        <f t="shared" ca="1" si="41"/>
        <v>0</v>
      </c>
      <c r="AX209" s="71">
        <f ca="1">IF(E209&lt;'Invoer gegevens'!$C$17+15,0,IF(E209&gt;'Invoer gegevens'!$C$17+215,0,AW209))</f>
        <v>0</v>
      </c>
      <c r="AY209" s="71">
        <f ca="1">AX209/(1+'Invoer gegevens'!$F$18)^($AZ209-('Invoer gegevens'!$C$17-'Invoer gegevens'!$C$16))/(1+'Invoer gegevens'!$C$39)^('Invoer gegevens'!$C$17-'Invoer gegevens'!$C$16)</f>
        <v>0</v>
      </c>
      <c r="AZ209" s="68">
        <f ca="1">IF(E209-'Invoer gegevens'!$C$17-14.5&lt;0,0,E209-'Invoer gegevens'!$C$17-14.5)</f>
        <v>189.5</v>
      </c>
    </row>
    <row r="210" spans="2:52" x14ac:dyDescent="0.25">
      <c r="B210" s="70">
        <f t="shared" si="42"/>
        <v>206</v>
      </c>
      <c r="C210" s="67">
        <f ca="1">IF(E210-'Invoer gegevens'!$C$17&lt;0,0,1)</f>
        <v>1</v>
      </c>
      <c r="D210" s="68">
        <f t="shared" si="43"/>
        <v>205.5</v>
      </c>
      <c r="E210" s="108">
        <f ca="1">IF('Invoer gegevens'!$C$16="","",E209+1)</f>
        <v>2224</v>
      </c>
      <c r="F210" s="84">
        <f ca="1">IF('Invoer gegevens'!$C$17=E210,'Invoer gegevens'!$C$10,IF(C210=1,K209,0))</f>
        <v>0</v>
      </c>
      <c r="G210" s="96">
        <f ca="1">IF(C210&gt;=1,F210*VLOOKUP(E210,Reeksen!$A$5:$B$76,2),0)</f>
        <v>0</v>
      </c>
      <c r="H210" s="84">
        <f ca="1">(1-('Invoer gegevens'!$F$20/12))*F210*MIN(Reeksen!B210,Reeksen!D210)</f>
        <v>0</v>
      </c>
      <c r="I210" s="84">
        <f>IF(Reeksen!D210&lt;Reeksen!B210,(Reeksen!B210-Reeksen!D210)*F210,0)</f>
        <v>0</v>
      </c>
      <c r="J210" s="84">
        <f ca="1">('Invoer gegevens'!$F$20/12)*F209*MIN(Reeksen!B209,Reeksen!D209)</f>
        <v>0</v>
      </c>
      <c r="K210" s="97">
        <f t="shared" ca="1" si="34"/>
        <v>0</v>
      </c>
      <c r="L210" s="84">
        <f ca="1">IF('Invoer gegevens'!$C$17=E210,0,IF(C210=1,Q209,0))</f>
        <v>0</v>
      </c>
      <c r="M210" s="96">
        <f ca="1">IF(C210&gt;=1,L210*VLOOKUP(E210,Reeksen!$A$5:$B$76,2),0)</f>
        <v>0</v>
      </c>
      <c r="N210" s="84">
        <f ca="1">(1-('Invoer gegevens'!$F$20/12))*L210*MIN(Reeksen!B210,Reeksen!D210)</f>
        <v>0</v>
      </c>
      <c r="O210" s="84">
        <f>IF(Reeksen!D210&lt;Reeksen!B210,(Reeksen!B210-Reeksen!D210)*L210,0)</f>
        <v>0</v>
      </c>
      <c r="P210" s="84">
        <f ca="1">('Invoer gegevens'!$F$20/12)*L209*MIN(Reeksen!B209,Reeksen!D209)</f>
        <v>0</v>
      </c>
      <c r="Q210" s="84">
        <f t="shared" ca="1" si="35"/>
        <v>0</v>
      </c>
      <c r="R210" s="82">
        <f ca="1">IF('Invoer gegevens'!$C$17=E210,'Invoer gegevens'!$C$11,IF(C210=1,W209,0))</f>
        <v>0</v>
      </c>
      <c r="S210" s="86">
        <f ca="1">IF(C210&gt;=1,R210*VLOOKUP(E210,Reeksen!$A$5:$B$76,2),0)</f>
        <v>0</v>
      </c>
      <c r="T210" s="84">
        <f ca="1">(1-('Invoer gegevens'!$F$20/12))*R210*MIN(Reeksen!B210,Reeksen!D210)</f>
        <v>0</v>
      </c>
      <c r="U210" s="84">
        <f>IF(Reeksen!D210&gt;=Reeksen!B210,0,IF(Reeksen!AK210&lt;=Reeksen!AE210,(Reeksen!B210-Reeksen!D210)*R210,0))</f>
        <v>0</v>
      </c>
      <c r="V210" s="86">
        <f>IF(Reeksen!D210&gt;=Reeksen!B210,0,IF(Reeksen!AK210&gt;Reeksen!AE210,(Reeksen!B210-Reeksen!D210)*R210,0))</f>
        <v>0</v>
      </c>
      <c r="W210" s="97">
        <f t="shared" ca="1" si="36"/>
        <v>0</v>
      </c>
      <c r="X210" s="98">
        <f ca="1">IF('Invoer gegevens'!$C$17=E210,'Invoer gegevens'!$C$10-'Invoer gegevens'!$C$11,IF(C210=1,AC209,0))</f>
        <v>0</v>
      </c>
      <c r="Y210" s="98">
        <f ca="1">IF(C210&gt;=1,X210*VLOOKUP(E210,Reeksen!$A$5:$B$76,2),0)</f>
        <v>0</v>
      </c>
      <c r="Z210" s="98">
        <f ca="1">(1-('Invoer gegevens'!$F$20/12))*X210*MIN(Reeksen!B210,Reeksen!D210)</f>
        <v>0</v>
      </c>
      <c r="AA210" s="98">
        <f>IF(Reeksen!D210&gt;=Reeksen!B210,0,IF(Reeksen!AK210&lt;=Reeksen!AE210,(Reeksen!B210-Reeksen!D210)*X210,0))</f>
        <v>0</v>
      </c>
      <c r="AB210" s="98">
        <f>IF(Reeksen!D210&gt;=Reeksen!B210,0,IF(Reeksen!AK210&gt;Reeksen!AE210,(Reeksen!B210-Reeksen!D210)*X210,0))</f>
        <v>0</v>
      </c>
      <c r="AC210" s="99">
        <f t="shared" ca="1" si="37"/>
        <v>0</v>
      </c>
      <c r="AD210" s="98">
        <f ca="1">IF('Invoer gegevens'!$C$17=E210,R210,IF(C210=0,0,AE209))</f>
        <v>0</v>
      </c>
      <c r="AE210" s="98">
        <f t="shared" ca="1" si="38"/>
        <v>0</v>
      </c>
      <c r="AF210" s="98">
        <f ca="1">IF('Invoer gegevens'!$C$17=E210,X210,IF(C210=0,0,AG209))</f>
        <v>0</v>
      </c>
      <c r="AG210" s="98">
        <f t="shared" ca="1" si="39"/>
        <v>0</v>
      </c>
      <c r="AH210" s="68"/>
      <c r="AI210" s="71">
        <f ca="1">IF(C210=1,Reeksen!AJ210*((F210-G210+F210)/2)*12+Reeksen!AK210*((L210-M210+L210)/2)*12,0)</f>
        <v>0</v>
      </c>
      <c r="AJ210" s="71">
        <f ca="1">-AI210*'Invoer gegevens'!$F$28</f>
        <v>0</v>
      </c>
      <c r="AK210" s="71">
        <f t="shared" ca="1" si="33"/>
        <v>0</v>
      </c>
      <c r="AL210" s="71">
        <f ca="1">IF(C210=1,Reeksen!AL210*((F210-G210+F210)/2)*12+Reeksen!AM210*((L210-M210+L210)/2)*12,0)</f>
        <v>0</v>
      </c>
      <c r="AM210" s="71">
        <f ca="1">-AL210*'Invoer gegevens'!$F$31</f>
        <v>0</v>
      </c>
      <c r="AN210" s="71">
        <f t="shared" ca="1" si="40"/>
        <v>0</v>
      </c>
      <c r="AO210" s="71">
        <f ca="1">IF(C210=1,(H210+J210+N210+P210)*Reeksen!AN210,0)</f>
        <v>0</v>
      </c>
      <c r="AP210" s="71">
        <f ca="1">-IF(C210=1,(H210+J210+N210+P210)*'Hulp - basis'!$G$550*Reeksen!H210,0)</f>
        <v>0</v>
      </c>
      <c r="AQ210" s="71">
        <f ca="1">-IF(C210=1,(F210+K210+L210+Q210)/2*'Invoer gegevens'!$I$33*Reeksen!J210,0)*2</f>
        <v>0</v>
      </c>
      <c r="AR210" s="71">
        <f ca="1">-IF(C210=1,(I210*'Invoer gegevens'!$I$34)*Reeksen!J210,0)</f>
        <v>0</v>
      </c>
      <c r="AS210" s="71">
        <f ca="1">-IF(C210=1,(F210+K210+L210+Q210)/2*'Invoer gegevens'!$I$35*Reeksen!L210,0)</f>
        <v>0</v>
      </c>
      <c r="AT210" s="71">
        <f ca="1">-IF(C210=1,IF(E210='Invoer gegevens'!$C$17,'Invoer gegevens'!$C$11,AD210)*Reeksen!S210*'Invoer gegevens'!$C$18*Reeksen!P210,0)</f>
        <v>0</v>
      </c>
      <c r="AU210" s="71">
        <f ca="1">-IF(C210=1,(F210+K210+L210+Q210)/2*'Invoer gegevens'!$I$36*Reeksen!H210,0)</f>
        <v>0</v>
      </c>
      <c r="AV210" s="71">
        <f>IF('Invoer gegevens'!$C$3="Basis",0,#REF!)</f>
        <v>0</v>
      </c>
      <c r="AW210" s="71">
        <f t="shared" ca="1" si="41"/>
        <v>0</v>
      </c>
      <c r="AX210" s="71">
        <f ca="1">IF(E210&lt;'Invoer gegevens'!$C$17+15,0,IF(E210&gt;'Invoer gegevens'!$C$17+215,0,AW210))</f>
        <v>0</v>
      </c>
      <c r="AY210" s="71">
        <f ca="1">AX210/(1+'Invoer gegevens'!$F$18)^($AZ210-('Invoer gegevens'!$C$17-'Invoer gegevens'!$C$16))/(1+'Invoer gegevens'!$C$39)^('Invoer gegevens'!$C$17-'Invoer gegevens'!$C$16)</f>
        <v>0</v>
      </c>
      <c r="AZ210" s="68">
        <f ca="1">IF(E210-'Invoer gegevens'!$C$17-14.5&lt;0,0,E210-'Invoer gegevens'!$C$17-14.5)</f>
        <v>190.5</v>
      </c>
    </row>
    <row r="211" spans="2:52" x14ac:dyDescent="0.25">
      <c r="B211" s="70">
        <f t="shared" si="42"/>
        <v>207</v>
      </c>
      <c r="C211" s="67">
        <f ca="1">IF(E211-'Invoer gegevens'!$C$17&lt;0,0,1)</f>
        <v>1</v>
      </c>
      <c r="D211" s="68">
        <f t="shared" si="43"/>
        <v>206.5</v>
      </c>
      <c r="E211" s="108">
        <f ca="1">IF('Invoer gegevens'!$C$16="","",E210+1)</f>
        <v>2225</v>
      </c>
      <c r="F211" s="84">
        <f ca="1">IF('Invoer gegevens'!$C$17=E211,'Invoer gegevens'!$C$10,IF(C211=1,K210,0))</f>
        <v>0</v>
      </c>
      <c r="G211" s="96">
        <f ca="1">IF(C211&gt;=1,F211*VLOOKUP(E211,Reeksen!$A$5:$B$76,2),0)</f>
        <v>0</v>
      </c>
      <c r="H211" s="84">
        <f ca="1">(1-('Invoer gegevens'!$F$20/12))*F211*MIN(Reeksen!B211,Reeksen!D211)</f>
        <v>0</v>
      </c>
      <c r="I211" s="84">
        <f>IF(Reeksen!D211&lt;Reeksen!B211,(Reeksen!B211-Reeksen!D211)*F211,0)</f>
        <v>0</v>
      </c>
      <c r="J211" s="84">
        <f ca="1">('Invoer gegevens'!$F$20/12)*F210*MIN(Reeksen!B210,Reeksen!D210)</f>
        <v>0</v>
      </c>
      <c r="K211" s="97">
        <f t="shared" ca="1" si="34"/>
        <v>0</v>
      </c>
      <c r="L211" s="84">
        <f ca="1">IF('Invoer gegevens'!$C$17=E211,0,IF(C211=1,Q210,0))</f>
        <v>0</v>
      </c>
      <c r="M211" s="96">
        <f ca="1">IF(C211&gt;=1,L211*VLOOKUP(E211,Reeksen!$A$5:$B$76,2),0)</f>
        <v>0</v>
      </c>
      <c r="N211" s="84">
        <f ca="1">(1-('Invoer gegevens'!$F$20/12))*L211*MIN(Reeksen!B211,Reeksen!D211)</f>
        <v>0</v>
      </c>
      <c r="O211" s="84">
        <f>IF(Reeksen!D211&lt;Reeksen!B211,(Reeksen!B211-Reeksen!D211)*L211,0)</f>
        <v>0</v>
      </c>
      <c r="P211" s="84">
        <f ca="1">('Invoer gegevens'!$F$20/12)*L210*MIN(Reeksen!B210,Reeksen!D210)</f>
        <v>0</v>
      </c>
      <c r="Q211" s="84">
        <f t="shared" ca="1" si="35"/>
        <v>0</v>
      </c>
      <c r="R211" s="82">
        <f ca="1">IF('Invoer gegevens'!$C$17=E211,'Invoer gegevens'!$C$11,IF(C211=1,W210,0))</f>
        <v>0</v>
      </c>
      <c r="S211" s="86">
        <f ca="1">IF(C211&gt;=1,R211*VLOOKUP(E211,Reeksen!$A$5:$B$76,2),0)</f>
        <v>0</v>
      </c>
      <c r="T211" s="84">
        <f ca="1">(1-('Invoer gegevens'!$F$20/12))*R211*MIN(Reeksen!B211,Reeksen!D211)</f>
        <v>0</v>
      </c>
      <c r="U211" s="84">
        <f>IF(Reeksen!D211&gt;=Reeksen!B211,0,IF(Reeksen!AK211&lt;=Reeksen!AE211,(Reeksen!B211-Reeksen!D211)*R211,0))</f>
        <v>0</v>
      </c>
      <c r="V211" s="86">
        <f>IF(Reeksen!D211&gt;=Reeksen!B211,0,IF(Reeksen!AK211&gt;Reeksen!AE211,(Reeksen!B211-Reeksen!D211)*R211,0))</f>
        <v>0</v>
      </c>
      <c r="W211" s="97">
        <f t="shared" ca="1" si="36"/>
        <v>0</v>
      </c>
      <c r="X211" s="98">
        <f ca="1">IF('Invoer gegevens'!$C$17=E211,'Invoer gegevens'!$C$10-'Invoer gegevens'!$C$11,IF(C211=1,AC210,0))</f>
        <v>0</v>
      </c>
      <c r="Y211" s="98">
        <f ca="1">IF(C211&gt;=1,X211*VLOOKUP(E211,Reeksen!$A$5:$B$76,2),0)</f>
        <v>0</v>
      </c>
      <c r="Z211" s="98">
        <f ca="1">(1-('Invoer gegevens'!$F$20/12))*X211*MIN(Reeksen!B211,Reeksen!D211)</f>
        <v>0</v>
      </c>
      <c r="AA211" s="98">
        <f>IF(Reeksen!D211&gt;=Reeksen!B211,0,IF(Reeksen!AK211&lt;=Reeksen!AE211,(Reeksen!B211-Reeksen!D211)*X211,0))</f>
        <v>0</v>
      </c>
      <c r="AB211" s="98">
        <f>IF(Reeksen!D211&gt;=Reeksen!B211,0,IF(Reeksen!AK211&gt;Reeksen!AE211,(Reeksen!B211-Reeksen!D211)*X211,0))</f>
        <v>0</v>
      </c>
      <c r="AC211" s="99">
        <f t="shared" ca="1" si="37"/>
        <v>0</v>
      </c>
      <c r="AD211" s="98">
        <f ca="1">IF('Invoer gegevens'!$C$17=E211,R211,IF(C211=0,0,AE210))</f>
        <v>0</v>
      </c>
      <c r="AE211" s="98">
        <f t="shared" ca="1" si="38"/>
        <v>0</v>
      </c>
      <c r="AF211" s="98">
        <f ca="1">IF('Invoer gegevens'!$C$17=E211,X211,IF(C211=0,0,AG210))</f>
        <v>0</v>
      </c>
      <c r="AG211" s="98">
        <f t="shared" ca="1" si="39"/>
        <v>0</v>
      </c>
      <c r="AH211" s="68"/>
      <c r="AI211" s="71">
        <f ca="1">IF(C211=1,Reeksen!AJ211*((F211-G211+F211)/2)*12+Reeksen!AK211*((L211-M211+L211)/2)*12,0)</f>
        <v>0</v>
      </c>
      <c r="AJ211" s="71">
        <f ca="1">-AI211*'Invoer gegevens'!$F$28</f>
        <v>0</v>
      </c>
      <c r="AK211" s="71">
        <f t="shared" ca="1" si="33"/>
        <v>0</v>
      </c>
      <c r="AL211" s="71">
        <f ca="1">IF(C211=1,Reeksen!AL211*((F211-G211+F211)/2)*12+Reeksen!AM211*((L211-M211+L211)/2)*12,0)</f>
        <v>0</v>
      </c>
      <c r="AM211" s="71">
        <f ca="1">-AL211*'Invoer gegevens'!$F$31</f>
        <v>0</v>
      </c>
      <c r="AN211" s="71">
        <f t="shared" ca="1" si="40"/>
        <v>0</v>
      </c>
      <c r="AO211" s="71">
        <f ca="1">IF(C211=1,(H211+J211+N211+P211)*Reeksen!AN211,0)</f>
        <v>0</v>
      </c>
      <c r="AP211" s="71">
        <f ca="1">-IF(C211=1,(H211+J211+N211+P211)*'Hulp - basis'!$G$550*Reeksen!H211,0)</f>
        <v>0</v>
      </c>
      <c r="AQ211" s="71">
        <f ca="1">-IF(C211=1,(F211+K211+L211+Q211)/2*'Invoer gegevens'!$I$33*Reeksen!J211,0)*2</f>
        <v>0</v>
      </c>
      <c r="AR211" s="71">
        <f ca="1">-IF(C211=1,(I211*'Invoer gegevens'!$I$34)*Reeksen!J211,0)</f>
        <v>0</v>
      </c>
      <c r="AS211" s="71">
        <f ca="1">-IF(C211=1,(F211+K211+L211+Q211)/2*'Invoer gegevens'!$I$35*Reeksen!L211,0)</f>
        <v>0</v>
      </c>
      <c r="AT211" s="71">
        <f ca="1">-IF(C211=1,IF(E211='Invoer gegevens'!$C$17,'Invoer gegevens'!$C$11,AD211)*Reeksen!S211*'Invoer gegevens'!$C$18*Reeksen!P211,0)</f>
        <v>0</v>
      </c>
      <c r="AU211" s="71">
        <f ca="1">-IF(C211=1,(F211+K211+L211+Q211)/2*'Invoer gegevens'!$I$36*Reeksen!H211,0)</f>
        <v>0</v>
      </c>
      <c r="AV211" s="71">
        <f>IF('Invoer gegevens'!$C$3="Basis",0,#REF!)</f>
        <v>0</v>
      </c>
      <c r="AW211" s="71">
        <f t="shared" ca="1" si="41"/>
        <v>0</v>
      </c>
      <c r="AX211" s="71">
        <f ca="1">IF(E211&lt;'Invoer gegevens'!$C$17+15,0,IF(E211&gt;'Invoer gegevens'!$C$17+215,0,AW211))</f>
        <v>0</v>
      </c>
      <c r="AY211" s="71">
        <f ca="1">AX211/(1+'Invoer gegevens'!$F$18)^($AZ211-('Invoer gegevens'!$C$17-'Invoer gegevens'!$C$16))/(1+'Invoer gegevens'!$C$39)^('Invoer gegevens'!$C$17-'Invoer gegevens'!$C$16)</f>
        <v>0</v>
      </c>
      <c r="AZ211" s="68">
        <f ca="1">IF(E211-'Invoer gegevens'!$C$17-14.5&lt;0,0,E211-'Invoer gegevens'!$C$17-14.5)</f>
        <v>191.5</v>
      </c>
    </row>
    <row r="212" spans="2:52" x14ac:dyDescent="0.25">
      <c r="B212" s="70">
        <f t="shared" si="42"/>
        <v>208</v>
      </c>
      <c r="C212" s="67">
        <f ca="1">IF(E212-'Invoer gegevens'!$C$17&lt;0,0,1)</f>
        <v>1</v>
      </c>
      <c r="D212" s="68">
        <f t="shared" si="43"/>
        <v>207.5</v>
      </c>
      <c r="E212" s="108">
        <f ca="1">IF('Invoer gegevens'!$C$16="","",E211+1)</f>
        <v>2226</v>
      </c>
      <c r="F212" s="84">
        <f ca="1">IF('Invoer gegevens'!$C$17=E212,'Invoer gegevens'!$C$10,IF(C212=1,K211,0))</f>
        <v>0</v>
      </c>
      <c r="G212" s="96">
        <f ca="1">IF(C212&gt;=1,F212*VLOOKUP(E212,Reeksen!$A$5:$B$76,2),0)</f>
        <v>0</v>
      </c>
      <c r="H212" s="84">
        <f ca="1">(1-('Invoer gegevens'!$F$20/12))*F212*MIN(Reeksen!B212,Reeksen!D212)</f>
        <v>0</v>
      </c>
      <c r="I212" s="84">
        <f>IF(Reeksen!D212&lt;Reeksen!B212,(Reeksen!B212-Reeksen!D212)*F212,0)</f>
        <v>0</v>
      </c>
      <c r="J212" s="84">
        <f ca="1">('Invoer gegevens'!$F$20/12)*F211*MIN(Reeksen!B211,Reeksen!D211)</f>
        <v>0</v>
      </c>
      <c r="K212" s="97">
        <f t="shared" ca="1" si="34"/>
        <v>0</v>
      </c>
      <c r="L212" s="84">
        <f ca="1">IF('Invoer gegevens'!$C$17=E212,0,IF(C212=1,Q211,0))</f>
        <v>0</v>
      </c>
      <c r="M212" s="96">
        <f ca="1">IF(C212&gt;=1,L212*VLOOKUP(E212,Reeksen!$A$5:$B$76,2),0)</f>
        <v>0</v>
      </c>
      <c r="N212" s="84">
        <f ca="1">(1-('Invoer gegevens'!$F$20/12))*L212*MIN(Reeksen!B212,Reeksen!D212)</f>
        <v>0</v>
      </c>
      <c r="O212" s="84">
        <f>IF(Reeksen!D212&lt;Reeksen!B212,(Reeksen!B212-Reeksen!D212)*L212,0)</f>
        <v>0</v>
      </c>
      <c r="P212" s="84">
        <f ca="1">('Invoer gegevens'!$F$20/12)*L211*MIN(Reeksen!B211,Reeksen!D211)</f>
        <v>0</v>
      </c>
      <c r="Q212" s="84">
        <f t="shared" ca="1" si="35"/>
        <v>0</v>
      </c>
      <c r="R212" s="82">
        <f ca="1">IF('Invoer gegevens'!$C$17=E212,'Invoer gegevens'!$C$11,IF(C212=1,W211,0))</f>
        <v>0</v>
      </c>
      <c r="S212" s="86">
        <f ca="1">IF(C212&gt;=1,R212*VLOOKUP(E212,Reeksen!$A$5:$B$76,2),0)</f>
        <v>0</v>
      </c>
      <c r="T212" s="84">
        <f ca="1">(1-('Invoer gegevens'!$F$20/12))*R212*MIN(Reeksen!B212,Reeksen!D212)</f>
        <v>0</v>
      </c>
      <c r="U212" s="84">
        <f>IF(Reeksen!D212&gt;=Reeksen!B212,0,IF(Reeksen!AK212&lt;=Reeksen!AE212,(Reeksen!B212-Reeksen!D212)*R212,0))</f>
        <v>0</v>
      </c>
      <c r="V212" s="86">
        <f>IF(Reeksen!D212&gt;=Reeksen!B212,0,IF(Reeksen!AK212&gt;Reeksen!AE212,(Reeksen!B212-Reeksen!D212)*R212,0))</f>
        <v>0</v>
      </c>
      <c r="W212" s="97">
        <f t="shared" ca="1" si="36"/>
        <v>0</v>
      </c>
      <c r="X212" s="98">
        <f ca="1">IF('Invoer gegevens'!$C$17=E212,'Invoer gegevens'!$C$10-'Invoer gegevens'!$C$11,IF(C212=1,AC211,0))</f>
        <v>0</v>
      </c>
      <c r="Y212" s="98">
        <f ca="1">IF(C212&gt;=1,X212*VLOOKUP(E212,Reeksen!$A$5:$B$76,2),0)</f>
        <v>0</v>
      </c>
      <c r="Z212" s="98">
        <f ca="1">(1-('Invoer gegevens'!$F$20/12))*X212*MIN(Reeksen!B212,Reeksen!D212)</f>
        <v>0</v>
      </c>
      <c r="AA212" s="98">
        <f>IF(Reeksen!D212&gt;=Reeksen!B212,0,IF(Reeksen!AK212&lt;=Reeksen!AE212,(Reeksen!B212-Reeksen!D212)*X212,0))</f>
        <v>0</v>
      </c>
      <c r="AB212" s="98">
        <f>IF(Reeksen!D212&gt;=Reeksen!B212,0,IF(Reeksen!AK212&gt;Reeksen!AE212,(Reeksen!B212-Reeksen!D212)*X212,0))</f>
        <v>0</v>
      </c>
      <c r="AC212" s="99">
        <f t="shared" ca="1" si="37"/>
        <v>0</v>
      </c>
      <c r="AD212" s="98">
        <f ca="1">IF('Invoer gegevens'!$C$17=E212,R212,IF(C212=0,0,AE211))</f>
        <v>0</v>
      </c>
      <c r="AE212" s="98">
        <f t="shared" ca="1" si="38"/>
        <v>0</v>
      </c>
      <c r="AF212" s="98">
        <f ca="1">IF('Invoer gegevens'!$C$17=E212,X212,IF(C212=0,0,AG211))</f>
        <v>0</v>
      </c>
      <c r="AG212" s="98">
        <f t="shared" ca="1" si="39"/>
        <v>0</v>
      </c>
      <c r="AH212" s="68"/>
      <c r="AI212" s="71">
        <f ca="1">IF(C212=1,Reeksen!AJ212*((F212-G212+F212)/2)*12+Reeksen!AK212*((L212-M212+L212)/2)*12,0)</f>
        <v>0</v>
      </c>
      <c r="AJ212" s="71">
        <f ca="1">-AI212*'Invoer gegevens'!$F$28</f>
        <v>0</v>
      </c>
      <c r="AK212" s="71">
        <f t="shared" ca="1" si="33"/>
        <v>0</v>
      </c>
      <c r="AL212" s="71">
        <f ca="1">IF(C212=1,Reeksen!AL212*((F212-G212+F212)/2)*12+Reeksen!AM212*((L212-M212+L212)/2)*12,0)</f>
        <v>0</v>
      </c>
      <c r="AM212" s="71">
        <f ca="1">-AL212*'Invoer gegevens'!$F$31</f>
        <v>0</v>
      </c>
      <c r="AN212" s="71">
        <f t="shared" ca="1" si="40"/>
        <v>0</v>
      </c>
      <c r="AO212" s="71">
        <f ca="1">IF(C212=1,(H212+J212+N212+P212)*Reeksen!AN212,0)</f>
        <v>0</v>
      </c>
      <c r="AP212" s="71">
        <f ca="1">-IF(C212=1,(H212+J212+N212+P212)*'Hulp - basis'!$G$550*Reeksen!H212,0)</f>
        <v>0</v>
      </c>
      <c r="AQ212" s="71">
        <f ca="1">-IF(C212=1,(F212+K212+L212+Q212)/2*'Invoer gegevens'!$I$33*Reeksen!J212,0)*2</f>
        <v>0</v>
      </c>
      <c r="AR212" s="71">
        <f ca="1">-IF(C212=1,(I212*'Invoer gegevens'!$I$34)*Reeksen!J212,0)</f>
        <v>0</v>
      </c>
      <c r="AS212" s="71">
        <f ca="1">-IF(C212=1,(F212+K212+L212+Q212)/2*'Invoer gegevens'!$I$35*Reeksen!L212,0)</f>
        <v>0</v>
      </c>
      <c r="AT212" s="71">
        <f ca="1">-IF(C212=1,IF(E212='Invoer gegevens'!$C$17,'Invoer gegevens'!$C$11,AD212)*Reeksen!S212*'Invoer gegevens'!$C$18*Reeksen!P212,0)</f>
        <v>0</v>
      </c>
      <c r="AU212" s="71">
        <f ca="1">-IF(C212=1,(F212+K212+L212+Q212)/2*'Invoer gegevens'!$I$36*Reeksen!H212,0)</f>
        <v>0</v>
      </c>
      <c r="AV212" s="71">
        <f>IF('Invoer gegevens'!$C$3="Basis",0,#REF!)</f>
        <v>0</v>
      </c>
      <c r="AW212" s="71">
        <f t="shared" ca="1" si="41"/>
        <v>0</v>
      </c>
      <c r="AX212" s="71">
        <f ca="1">IF(E212&lt;'Invoer gegevens'!$C$17+15,0,IF(E212&gt;'Invoer gegevens'!$C$17+215,0,AW212))</f>
        <v>0</v>
      </c>
      <c r="AY212" s="71">
        <f ca="1">AX212/(1+'Invoer gegevens'!$F$18)^($AZ212-('Invoer gegevens'!$C$17-'Invoer gegevens'!$C$16))/(1+'Invoer gegevens'!$C$39)^('Invoer gegevens'!$C$17-'Invoer gegevens'!$C$16)</f>
        <v>0</v>
      </c>
      <c r="AZ212" s="68">
        <f ca="1">IF(E212-'Invoer gegevens'!$C$17-14.5&lt;0,0,E212-'Invoer gegevens'!$C$17-14.5)</f>
        <v>192.5</v>
      </c>
    </row>
    <row r="213" spans="2:52" x14ac:dyDescent="0.25">
      <c r="B213" s="70">
        <f t="shared" si="42"/>
        <v>209</v>
      </c>
      <c r="C213" s="67">
        <f ca="1">IF(E213-'Invoer gegevens'!$C$17&lt;0,0,1)</f>
        <v>1</v>
      </c>
      <c r="D213" s="68">
        <f t="shared" si="43"/>
        <v>208.5</v>
      </c>
      <c r="E213" s="108">
        <f ca="1">IF('Invoer gegevens'!$C$16="","",E212+1)</f>
        <v>2227</v>
      </c>
      <c r="F213" s="84">
        <f ca="1">IF('Invoer gegevens'!$C$17=E213,'Invoer gegevens'!$C$10,IF(C213=1,K212,0))</f>
        <v>0</v>
      </c>
      <c r="G213" s="96">
        <f ca="1">IF(C213&gt;=1,F213*VLOOKUP(E213,Reeksen!$A$5:$B$76,2),0)</f>
        <v>0</v>
      </c>
      <c r="H213" s="84">
        <f ca="1">(1-('Invoer gegevens'!$F$20/12))*F213*MIN(Reeksen!B213,Reeksen!D213)</f>
        <v>0</v>
      </c>
      <c r="I213" s="84">
        <f>IF(Reeksen!D213&lt;Reeksen!B213,(Reeksen!B213-Reeksen!D213)*F213,0)</f>
        <v>0</v>
      </c>
      <c r="J213" s="84">
        <f ca="1">('Invoer gegevens'!$F$20/12)*F212*MIN(Reeksen!B212,Reeksen!D212)</f>
        <v>0</v>
      </c>
      <c r="K213" s="97">
        <f t="shared" ca="1" si="34"/>
        <v>0</v>
      </c>
      <c r="L213" s="84">
        <f ca="1">IF('Invoer gegevens'!$C$17=E213,0,IF(C213=1,Q212,0))</f>
        <v>0</v>
      </c>
      <c r="M213" s="96">
        <f ca="1">IF(C213&gt;=1,L213*VLOOKUP(E213,Reeksen!$A$5:$B$76,2),0)</f>
        <v>0</v>
      </c>
      <c r="N213" s="84">
        <f ca="1">(1-('Invoer gegevens'!$F$20/12))*L213*MIN(Reeksen!B213,Reeksen!D213)</f>
        <v>0</v>
      </c>
      <c r="O213" s="84">
        <f>IF(Reeksen!D213&lt;Reeksen!B213,(Reeksen!B213-Reeksen!D213)*L213,0)</f>
        <v>0</v>
      </c>
      <c r="P213" s="84">
        <f ca="1">('Invoer gegevens'!$F$20/12)*L212*MIN(Reeksen!B212,Reeksen!D212)</f>
        <v>0</v>
      </c>
      <c r="Q213" s="84">
        <f t="shared" ca="1" si="35"/>
        <v>0</v>
      </c>
      <c r="R213" s="82">
        <f ca="1">IF('Invoer gegevens'!$C$17=E213,'Invoer gegevens'!$C$11,IF(C213=1,W212,0))</f>
        <v>0</v>
      </c>
      <c r="S213" s="86">
        <f ca="1">IF(C213&gt;=1,R213*VLOOKUP(E213,Reeksen!$A$5:$B$76,2),0)</f>
        <v>0</v>
      </c>
      <c r="T213" s="84">
        <f ca="1">(1-('Invoer gegevens'!$F$20/12))*R213*MIN(Reeksen!B213,Reeksen!D213)</f>
        <v>0</v>
      </c>
      <c r="U213" s="84">
        <f>IF(Reeksen!D213&gt;=Reeksen!B213,0,IF(Reeksen!AK213&lt;=Reeksen!AE213,(Reeksen!B213-Reeksen!D213)*R213,0))</f>
        <v>0</v>
      </c>
      <c r="V213" s="86">
        <f>IF(Reeksen!D213&gt;=Reeksen!B213,0,IF(Reeksen!AK213&gt;Reeksen!AE213,(Reeksen!B213-Reeksen!D213)*R213,0))</f>
        <v>0</v>
      </c>
      <c r="W213" s="97">
        <f t="shared" ca="1" si="36"/>
        <v>0</v>
      </c>
      <c r="X213" s="98">
        <f ca="1">IF('Invoer gegevens'!$C$17=E213,'Invoer gegevens'!$C$10-'Invoer gegevens'!$C$11,IF(C213=1,AC212,0))</f>
        <v>0</v>
      </c>
      <c r="Y213" s="98">
        <f ca="1">IF(C213&gt;=1,X213*VLOOKUP(E213,Reeksen!$A$5:$B$76,2),0)</f>
        <v>0</v>
      </c>
      <c r="Z213" s="98">
        <f ca="1">(1-('Invoer gegevens'!$F$20/12))*X213*MIN(Reeksen!B213,Reeksen!D213)</f>
        <v>0</v>
      </c>
      <c r="AA213" s="98">
        <f>IF(Reeksen!D213&gt;=Reeksen!B213,0,IF(Reeksen!AK213&lt;=Reeksen!AE213,(Reeksen!B213-Reeksen!D213)*X213,0))</f>
        <v>0</v>
      </c>
      <c r="AB213" s="98">
        <f>IF(Reeksen!D213&gt;=Reeksen!B213,0,IF(Reeksen!AK213&gt;Reeksen!AE213,(Reeksen!B213-Reeksen!D213)*X213,0))</f>
        <v>0</v>
      </c>
      <c r="AC213" s="99">
        <f t="shared" ca="1" si="37"/>
        <v>0</v>
      </c>
      <c r="AD213" s="98">
        <f ca="1">IF('Invoer gegevens'!$C$17=E213,R213,IF(C213=0,0,AE212))</f>
        <v>0</v>
      </c>
      <c r="AE213" s="98">
        <f t="shared" ca="1" si="38"/>
        <v>0</v>
      </c>
      <c r="AF213" s="98">
        <f ca="1">IF('Invoer gegevens'!$C$17=E213,X213,IF(C213=0,0,AG212))</f>
        <v>0</v>
      </c>
      <c r="AG213" s="98">
        <f t="shared" ca="1" si="39"/>
        <v>0</v>
      </c>
      <c r="AH213" s="68"/>
      <c r="AI213" s="71">
        <f ca="1">IF(C213=1,Reeksen!AJ213*((F213-G213+F213)/2)*12+Reeksen!AK213*((L213-M213+L213)/2)*12,0)</f>
        <v>0</v>
      </c>
      <c r="AJ213" s="71">
        <f ca="1">-AI213*'Invoer gegevens'!$F$28</f>
        <v>0</v>
      </c>
      <c r="AK213" s="71">
        <f t="shared" ca="1" si="33"/>
        <v>0</v>
      </c>
      <c r="AL213" s="71">
        <f ca="1">IF(C213=1,Reeksen!AL213*((F213-G213+F213)/2)*12+Reeksen!AM213*((L213-M213+L213)/2)*12,0)</f>
        <v>0</v>
      </c>
      <c r="AM213" s="71">
        <f ca="1">-AL213*'Invoer gegevens'!$F$31</f>
        <v>0</v>
      </c>
      <c r="AN213" s="71">
        <f t="shared" ca="1" si="40"/>
        <v>0</v>
      </c>
      <c r="AO213" s="71">
        <f ca="1">IF(C213=1,(H213+J213+N213+P213)*Reeksen!AN213,0)</f>
        <v>0</v>
      </c>
      <c r="AP213" s="71">
        <f ca="1">-IF(C213=1,(H213+J213+N213+P213)*'Hulp - basis'!$G$550*Reeksen!H213,0)</f>
        <v>0</v>
      </c>
      <c r="AQ213" s="71">
        <f ca="1">-IF(C213=1,(F213+K213+L213+Q213)/2*'Invoer gegevens'!$I$33*Reeksen!J213,0)*2</f>
        <v>0</v>
      </c>
      <c r="AR213" s="71">
        <f ca="1">-IF(C213=1,(I213*'Invoer gegevens'!$I$34)*Reeksen!J213,0)</f>
        <v>0</v>
      </c>
      <c r="AS213" s="71">
        <f ca="1">-IF(C213=1,(F213+K213+L213+Q213)/2*'Invoer gegevens'!$I$35*Reeksen!L213,0)</f>
        <v>0</v>
      </c>
      <c r="AT213" s="71">
        <f ca="1">-IF(C213=1,IF(E213='Invoer gegevens'!$C$17,'Invoer gegevens'!$C$11,AD213)*Reeksen!S213*'Invoer gegevens'!$C$18*Reeksen!P213,0)</f>
        <v>0</v>
      </c>
      <c r="AU213" s="71">
        <f ca="1">-IF(C213=1,(F213+K213+L213+Q213)/2*'Invoer gegevens'!$I$36*Reeksen!H213,0)</f>
        <v>0</v>
      </c>
      <c r="AV213" s="71">
        <f>IF('Invoer gegevens'!$C$3="Basis",0,#REF!)</f>
        <v>0</v>
      </c>
      <c r="AW213" s="71">
        <f t="shared" ca="1" si="41"/>
        <v>0</v>
      </c>
      <c r="AX213" s="71">
        <f ca="1">IF(E213&lt;'Invoer gegevens'!$C$17+15,0,IF(E213&gt;'Invoer gegevens'!$C$17+215,0,AW213))</f>
        <v>0</v>
      </c>
      <c r="AY213" s="71">
        <f ca="1">AX213/(1+'Invoer gegevens'!$F$18)^($AZ213-('Invoer gegevens'!$C$17-'Invoer gegevens'!$C$16))/(1+'Invoer gegevens'!$C$39)^('Invoer gegevens'!$C$17-'Invoer gegevens'!$C$16)</f>
        <v>0</v>
      </c>
      <c r="AZ213" s="68">
        <f ca="1">IF(E213-'Invoer gegevens'!$C$17-14.5&lt;0,0,E213-'Invoer gegevens'!$C$17-14.5)</f>
        <v>193.5</v>
      </c>
    </row>
    <row r="214" spans="2:52" x14ac:dyDescent="0.25">
      <c r="B214" s="70">
        <f t="shared" si="42"/>
        <v>210</v>
      </c>
      <c r="C214" s="67">
        <f ca="1">IF(E214-'Invoer gegevens'!$C$17&lt;0,0,1)</f>
        <v>1</v>
      </c>
      <c r="D214" s="68">
        <f t="shared" si="43"/>
        <v>209.5</v>
      </c>
      <c r="E214" s="108">
        <f ca="1">IF('Invoer gegevens'!$C$16="","",E213+1)</f>
        <v>2228</v>
      </c>
      <c r="F214" s="84">
        <f ca="1">IF('Invoer gegevens'!$C$17=E214,'Invoer gegevens'!$C$10,IF(C214=1,K213,0))</f>
        <v>0</v>
      </c>
      <c r="G214" s="96">
        <f ca="1">IF(C214&gt;=1,F214*VLOOKUP(E214,Reeksen!$A$5:$B$76,2),0)</f>
        <v>0</v>
      </c>
      <c r="H214" s="84">
        <f ca="1">(1-('Invoer gegevens'!$F$20/12))*F214*MIN(Reeksen!B214,Reeksen!D214)</f>
        <v>0</v>
      </c>
      <c r="I214" s="84">
        <f>IF(Reeksen!D214&lt;Reeksen!B214,(Reeksen!B214-Reeksen!D214)*F214,0)</f>
        <v>0</v>
      </c>
      <c r="J214" s="84">
        <f ca="1">('Invoer gegevens'!$F$20/12)*F213*MIN(Reeksen!B213,Reeksen!D213)</f>
        <v>0</v>
      </c>
      <c r="K214" s="97">
        <f t="shared" ca="1" si="34"/>
        <v>0</v>
      </c>
      <c r="L214" s="84">
        <f ca="1">IF('Invoer gegevens'!$C$17=E214,0,IF(C214=1,Q213,0))</f>
        <v>0</v>
      </c>
      <c r="M214" s="96">
        <f ca="1">IF(C214&gt;=1,L214*VLOOKUP(E214,Reeksen!$A$5:$B$76,2),0)</f>
        <v>0</v>
      </c>
      <c r="N214" s="84">
        <f ca="1">(1-('Invoer gegevens'!$F$20/12))*L214*MIN(Reeksen!B214,Reeksen!D214)</f>
        <v>0</v>
      </c>
      <c r="O214" s="84">
        <f>IF(Reeksen!D214&lt;Reeksen!B214,(Reeksen!B214-Reeksen!D214)*L214,0)</f>
        <v>0</v>
      </c>
      <c r="P214" s="84">
        <f ca="1">('Invoer gegevens'!$F$20/12)*L213*MIN(Reeksen!B213,Reeksen!D213)</f>
        <v>0</v>
      </c>
      <c r="Q214" s="84">
        <f t="shared" ca="1" si="35"/>
        <v>0</v>
      </c>
      <c r="R214" s="82">
        <f ca="1">IF('Invoer gegevens'!$C$17=E214,'Invoer gegevens'!$C$11,IF(C214=1,W213,0))</f>
        <v>0</v>
      </c>
      <c r="S214" s="86">
        <f ca="1">IF(C214&gt;=1,R214*VLOOKUP(E214,Reeksen!$A$5:$B$76,2),0)</f>
        <v>0</v>
      </c>
      <c r="T214" s="84">
        <f ca="1">(1-('Invoer gegevens'!$F$20/12))*R214*MIN(Reeksen!B214,Reeksen!D214)</f>
        <v>0</v>
      </c>
      <c r="U214" s="84">
        <f>IF(Reeksen!D214&gt;=Reeksen!B214,0,IF(Reeksen!AK214&lt;=Reeksen!AE214,(Reeksen!B214-Reeksen!D214)*R214,0))</f>
        <v>0</v>
      </c>
      <c r="V214" s="86">
        <f>IF(Reeksen!D214&gt;=Reeksen!B214,0,IF(Reeksen!AK214&gt;Reeksen!AE214,(Reeksen!B214-Reeksen!D214)*R214,0))</f>
        <v>0</v>
      </c>
      <c r="W214" s="97">
        <f t="shared" ca="1" si="36"/>
        <v>0</v>
      </c>
      <c r="X214" s="98">
        <f ca="1">IF('Invoer gegevens'!$C$17=E214,'Invoer gegevens'!$C$10-'Invoer gegevens'!$C$11,IF(C214=1,AC213,0))</f>
        <v>0</v>
      </c>
      <c r="Y214" s="98">
        <f ca="1">IF(C214&gt;=1,X214*VLOOKUP(E214,Reeksen!$A$5:$B$76,2),0)</f>
        <v>0</v>
      </c>
      <c r="Z214" s="98">
        <f ca="1">(1-('Invoer gegevens'!$F$20/12))*X214*MIN(Reeksen!B214,Reeksen!D214)</f>
        <v>0</v>
      </c>
      <c r="AA214" s="98">
        <f>IF(Reeksen!D214&gt;=Reeksen!B214,0,IF(Reeksen!AK214&lt;=Reeksen!AE214,(Reeksen!B214-Reeksen!D214)*X214,0))</f>
        <v>0</v>
      </c>
      <c r="AB214" s="98">
        <f>IF(Reeksen!D214&gt;=Reeksen!B214,0,IF(Reeksen!AK214&gt;Reeksen!AE214,(Reeksen!B214-Reeksen!D214)*X214,0))</f>
        <v>0</v>
      </c>
      <c r="AC214" s="99">
        <f t="shared" ca="1" si="37"/>
        <v>0</v>
      </c>
      <c r="AD214" s="98">
        <f ca="1">IF('Invoer gegevens'!$C$17=E214,R214,IF(C214=0,0,AE213))</f>
        <v>0</v>
      </c>
      <c r="AE214" s="98">
        <f t="shared" ca="1" si="38"/>
        <v>0</v>
      </c>
      <c r="AF214" s="98">
        <f ca="1">IF('Invoer gegevens'!$C$17=E214,X214,IF(C214=0,0,AG213))</f>
        <v>0</v>
      </c>
      <c r="AG214" s="98">
        <f t="shared" ca="1" si="39"/>
        <v>0</v>
      </c>
      <c r="AH214" s="68"/>
      <c r="AI214" s="71">
        <f ca="1">IF(C214=1,Reeksen!AJ214*((F214-G214+F214)/2)*12+Reeksen!AK214*((L214-M214+L214)/2)*12,0)</f>
        <v>0</v>
      </c>
      <c r="AJ214" s="71">
        <f ca="1">-AI214*'Invoer gegevens'!$F$28</f>
        <v>0</v>
      </c>
      <c r="AK214" s="71">
        <f t="shared" ca="1" si="33"/>
        <v>0</v>
      </c>
      <c r="AL214" s="71">
        <f ca="1">IF(C214=1,Reeksen!AL214*((F214-G214+F214)/2)*12+Reeksen!AM214*((L214-M214+L214)/2)*12,0)</f>
        <v>0</v>
      </c>
      <c r="AM214" s="71">
        <f ca="1">-AL214*'Invoer gegevens'!$F$31</f>
        <v>0</v>
      </c>
      <c r="AN214" s="71">
        <f t="shared" ca="1" si="40"/>
        <v>0</v>
      </c>
      <c r="AO214" s="71">
        <f ca="1">IF(C214=1,(H214+J214+N214+P214)*Reeksen!AN214,0)</f>
        <v>0</v>
      </c>
      <c r="AP214" s="71">
        <f ca="1">-IF(C214=1,(H214+J214+N214+P214)*'Hulp - basis'!$G$550*Reeksen!H214,0)</f>
        <v>0</v>
      </c>
      <c r="AQ214" s="71">
        <f ca="1">-IF(C214=1,(F214+K214+L214+Q214)/2*'Invoer gegevens'!$I$33*Reeksen!J214,0)*2</f>
        <v>0</v>
      </c>
      <c r="AR214" s="71">
        <f ca="1">-IF(C214=1,(I214*'Invoer gegevens'!$I$34)*Reeksen!J214,0)</f>
        <v>0</v>
      </c>
      <c r="AS214" s="71">
        <f ca="1">-IF(C214=1,(F214+K214+L214+Q214)/2*'Invoer gegevens'!$I$35*Reeksen!L214,0)</f>
        <v>0</v>
      </c>
      <c r="AT214" s="71">
        <f ca="1">-IF(C214=1,IF(E214='Invoer gegevens'!$C$17,'Invoer gegevens'!$C$11,AD214)*Reeksen!S214*'Invoer gegevens'!$C$18*Reeksen!P214,0)</f>
        <v>0</v>
      </c>
      <c r="AU214" s="71">
        <f ca="1">-IF(C214=1,(F214+K214+L214+Q214)/2*'Invoer gegevens'!$I$36*Reeksen!H214,0)</f>
        <v>0</v>
      </c>
      <c r="AV214" s="71">
        <f>IF('Invoer gegevens'!$C$3="Basis",0,#REF!)</f>
        <v>0</v>
      </c>
      <c r="AW214" s="71">
        <f t="shared" ca="1" si="41"/>
        <v>0</v>
      </c>
      <c r="AX214" s="71">
        <f ca="1">IF(E214&lt;'Invoer gegevens'!$C$17+15,0,IF(E214&gt;'Invoer gegevens'!$C$17+215,0,AW214))</f>
        <v>0</v>
      </c>
      <c r="AY214" s="71">
        <f ca="1">AX214/(1+'Invoer gegevens'!$F$18)^($AZ214-('Invoer gegevens'!$C$17-'Invoer gegevens'!$C$16))/(1+'Invoer gegevens'!$C$39)^('Invoer gegevens'!$C$17-'Invoer gegevens'!$C$16)</f>
        <v>0</v>
      </c>
      <c r="AZ214" s="68">
        <f ca="1">IF(E214-'Invoer gegevens'!$C$17-14.5&lt;0,0,E214-'Invoer gegevens'!$C$17-14.5)</f>
        <v>194.5</v>
      </c>
    </row>
    <row r="215" spans="2:52" x14ac:dyDescent="0.25">
      <c r="B215" s="70">
        <f t="shared" si="42"/>
        <v>211</v>
      </c>
      <c r="C215" s="67">
        <f ca="1">IF(E215-'Invoer gegevens'!$C$17&lt;0,0,1)</f>
        <v>1</v>
      </c>
      <c r="D215" s="68">
        <f t="shared" si="43"/>
        <v>210.5</v>
      </c>
      <c r="E215" s="108">
        <f ca="1">IF('Invoer gegevens'!$C$16="","",E214+1)</f>
        <v>2229</v>
      </c>
      <c r="F215" s="84">
        <f ca="1">IF('Invoer gegevens'!$C$17=E215,'Invoer gegevens'!$C$10,IF(C215=1,K214,0))</f>
        <v>0</v>
      </c>
      <c r="G215" s="96">
        <f ca="1">IF(C215&gt;=1,F215*VLOOKUP(E215,Reeksen!$A$5:$B$76,2),0)</f>
        <v>0</v>
      </c>
      <c r="H215" s="84">
        <f ca="1">(1-('Invoer gegevens'!$F$20/12))*F215*MIN(Reeksen!B215,Reeksen!D215)</f>
        <v>0</v>
      </c>
      <c r="I215" s="84">
        <f>IF(Reeksen!D215&lt;Reeksen!B215,(Reeksen!B215-Reeksen!D215)*F215,0)</f>
        <v>0</v>
      </c>
      <c r="J215" s="84">
        <f ca="1">('Invoer gegevens'!$F$20/12)*F214*MIN(Reeksen!B214,Reeksen!D214)</f>
        <v>0</v>
      </c>
      <c r="K215" s="97">
        <f t="shared" ca="1" si="34"/>
        <v>0</v>
      </c>
      <c r="L215" s="84">
        <f ca="1">IF('Invoer gegevens'!$C$17=E215,0,IF(C215=1,Q214,0))</f>
        <v>0</v>
      </c>
      <c r="M215" s="96">
        <f ca="1">IF(C215&gt;=1,L215*VLOOKUP(E215,Reeksen!$A$5:$B$76,2),0)</f>
        <v>0</v>
      </c>
      <c r="N215" s="84">
        <f ca="1">(1-('Invoer gegevens'!$F$20/12))*L215*MIN(Reeksen!B215,Reeksen!D215)</f>
        <v>0</v>
      </c>
      <c r="O215" s="84">
        <f>IF(Reeksen!D215&lt;Reeksen!B215,(Reeksen!B215-Reeksen!D215)*L215,0)</f>
        <v>0</v>
      </c>
      <c r="P215" s="84">
        <f ca="1">('Invoer gegevens'!$F$20/12)*L214*MIN(Reeksen!B214,Reeksen!D214)</f>
        <v>0</v>
      </c>
      <c r="Q215" s="84">
        <f t="shared" ca="1" si="35"/>
        <v>0</v>
      </c>
      <c r="R215" s="82">
        <f ca="1">IF('Invoer gegevens'!$C$17=E215,'Invoer gegevens'!$C$11,IF(C215=1,W214,0))</f>
        <v>0</v>
      </c>
      <c r="S215" s="86">
        <f ca="1">IF(C215&gt;=1,R215*VLOOKUP(E215,Reeksen!$A$5:$B$76,2),0)</f>
        <v>0</v>
      </c>
      <c r="T215" s="84">
        <f ca="1">(1-('Invoer gegevens'!$F$20/12))*R215*MIN(Reeksen!B215,Reeksen!D215)</f>
        <v>0</v>
      </c>
      <c r="U215" s="84">
        <f>IF(Reeksen!D215&gt;=Reeksen!B215,0,IF(Reeksen!AK215&lt;=Reeksen!AE215,(Reeksen!B215-Reeksen!D215)*R215,0))</f>
        <v>0</v>
      </c>
      <c r="V215" s="86">
        <f>IF(Reeksen!D215&gt;=Reeksen!B215,0,IF(Reeksen!AK215&gt;Reeksen!AE215,(Reeksen!B215-Reeksen!D215)*R215,0))</f>
        <v>0</v>
      </c>
      <c r="W215" s="97">
        <f t="shared" ca="1" si="36"/>
        <v>0</v>
      </c>
      <c r="X215" s="98">
        <f ca="1">IF('Invoer gegevens'!$C$17=E215,'Invoer gegevens'!$C$10-'Invoer gegevens'!$C$11,IF(C215=1,AC214,0))</f>
        <v>0</v>
      </c>
      <c r="Y215" s="98">
        <f ca="1">IF(C215&gt;=1,X215*VLOOKUP(E215,Reeksen!$A$5:$B$76,2),0)</f>
        <v>0</v>
      </c>
      <c r="Z215" s="98">
        <f ca="1">(1-('Invoer gegevens'!$F$20/12))*X215*MIN(Reeksen!B215,Reeksen!D215)</f>
        <v>0</v>
      </c>
      <c r="AA215" s="98">
        <f>IF(Reeksen!D215&gt;=Reeksen!B215,0,IF(Reeksen!AK215&lt;=Reeksen!AE215,(Reeksen!B215-Reeksen!D215)*X215,0))</f>
        <v>0</v>
      </c>
      <c r="AB215" s="98">
        <f>IF(Reeksen!D215&gt;=Reeksen!B215,0,IF(Reeksen!AK215&gt;Reeksen!AE215,(Reeksen!B215-Reeksen!D215)*X215,0))</f>
        <v>0</v>
      </c>
      <c r="AC215" s="99">
        <f t="shared" ca="1" si="37"/>
        <v>0</v>
      </c>
      <c r="AD215" s="98">
        <f ca="1">IF('Invoer gegevens'!$C$17=E215,R215,IF(C215=0,0,AE214))</f>
        <v>0</v>
      </c>
      <c r="AE215" s="98">
        <f t="shared" ca="1" si="38"/>
        <v>0</v>
      </c>
      <c r="AF215" s="98">
        <f ca="1">IF('Invoer gegevens'!$C$17=E215,X215,IF(C215=0,0,AG214))</f>
        <v>0</v>
      </c>
      <c r="AG215" s="98">
        <f t="shared" ca="1" si="39"/>
        <v>0</v>
      </c>
      <c r="AH215" s="68"/>
      <c r="AI215" s="71">
        <f ca="1">IF(C215=1,Reeksen!AJ215*((F215-G215+F215)/2)*12+Reeksen!AK215*((L215-M215+L215)/2)*12,0)</f>
        <v>0</v>
      </c>
      <c r="AJ215" s="71">
        <f ca="1">-AI215*'Invoer gegevens'!$F$28</f>
        <v>0</v>
      </c>
      <c r="AK215" s="71">
        <f t="shared" ca="1" si="33"/>
        <v>0</v>
      </c>
      <c r="AL215" s="71">
        <f ca="1">IF(C215=1,Reeksen!AL215*((F215-G215+F215)/2)*12+Reeksen!AM215*((L215-M215+L215)/2)*12,0)</f>
        <v>0</v>
      </c>
      <c r="AM215" s="71">
        <f ca="1">-AL215*'Invoer gegevens'!$F$31</f>
        <v>0</v>
      </c>
      <c r="AN215" s="71">
        <f t="shared" ca="1" si="40"/>
        <v>0</v>
      </c>
      <c r="AO215" s="71">
        <f ca="1">IF(C215=1,(H215+J215+N215+P215)*Reeksen!AN215,0)</f>
        <v>0</v>
      </c>
      <c r="AP215" s="71">
        <f ca="1">-IF(C215=1,(H215+J215+N215+P215)*'Hulp - basis'!$G$550*Reeksen!H215,0)</f>
        <v>0</v>
      </c>
      <c r="AQ215" s="71">
        <f ca="1">-IF(C215=1,(F215+K215+L215+Q215)/2*'Invoer gegevens'!$I$33*Reeksen!J215,0)*2</f>
        <v>0</v>
      </c>
      <c r="AR215" s="71">
        <f ca="1">-IF(C215=1,(I215*'Invoer gegevens'!$I$34)*Reeksen!J215,0)</f>
        <v>0</v>
      </c>
      <c r="AS215" s="71">
        <f ca="1">-IF(C215=1,(F215+K215+L215+Q215)/2*'Invoer gegevens'!$I$35*Reeksen!L215,0)</f>
        <v>0</v>
      </c>
      <c r="AT215" s="71">
        <f ca="1">-IF(C215=1,IF(E215='Invoer gegevens'!$C$17,'Invoer gegevens'!$C$11,AD215)*Reeksen!S215*'Invoer gegevens'!$C$18*Reeksen!P215,0)</f>
        <v>0</v>
      </c>
      <c r="AU215" s="71">
        <f ca="1">-IF(C215=1,(F215+K215+L215+Q215)/2*'Invoer gegevens'!$I$36*Reeksen!H215,0)</f>
        <v>0</v>
      </c>
      <c r="AV215" s="71">
        <f>IF('Invoer gegevens'!$C$3="Basis",0,#REF!)</f>
        <v>0</v>
      </c>
      <c r="AW215" s="71">
        <f t="shared" ca="1" si="41"/>
        <v>0</v>
      </c>
      <c r="AX215" s="71">
        <f ca="1">IF(E215&lt;'Invoer gegevens'!$C$17+15,0,IF(E215&gt;'Invoer gegevens'!$C$17+215,0,AW215))</f>
        <v>0</v>
      </c>
      <c r="AY215" s="71">
        <f ca="1">AX215/(1+'Invoer gegevens'!$F$18)^($AZ215-('Invoer gegevens'!$C$17-'Invoer gegevens'!$C$16))/(1+'Invoer gegevens'!$C$39)^('Invoer gegevens'!$C$17-'Invoer gegevens'!$C$16)</f>
        <v>0</v>
      </c>
      <c r="AZ215" s="68">
        <f ca="1">IF(E215-'Invoer gegevens'!$C$17-14.5&lt;0,0,E215-'Invoer gegevens'!$C$17-14.5)</f>
        <v>195.5</v>
      </c>
    </row>
    <row r="216" spans="2:52" x14ac:dyDescent="0.25">
      <c r="B216" s="70">
        <f t="shared" si="42"/>
        <v>212</v>
      </c>
      <c r="C216" s="67">
        <f ca="1">IF(E216-'Invoer gegevens'!$C$17&lt;0,0,1)</f>
        <v>1</v>
      </c>
      <c r="D216" s="68">
        <f t="shared" si="43"/>
        <v>211.5</v>
      </c>
      <c r="E216" s="108">
        <f ca="1">IF('Invoer gegevens'!$C$16="","",E215+1)</f>
        <v>2230</v>
      </c>
      <c r="F216" s="84">
        <f ca="1">IF('Invoer gegevens'!$C$17=E216,'Invoer gegevens'!$C$10,IF(C216=1,K215,0))</f>
        <v>0</v>
      </c>
      <c r="G216" s="96">
        <f ca="1">IF(C216&gt;=1,F216*VLOOKUP(E216,Reeksen!$A$5:$B$76,2),0)</f>
        <v>0</v>
      </c>
      <c r="H216" s="84">
        <f ca="1">(1-('Invoer gegevens'!$F$20/12))*F216*MIN(Reeksen!B216,Reeksen!D216)</f>
        <v>0</v>
      </c>
      <c r="I216" s="84">
        <f>IF(Reeksen!D216&lt;Reeksen!B216,(Reeksen!B216-Reeksen!D216)*F216,0)</f>
        <v>0</v>
      </c>
      <c r="J216" s="84">
        <f ca="1">('Invoer gegevens'!$F$20/12)*F215*MIN(Reeksen!B215,Reeksen!D215)</f>
        <v>0</v>
      </c>
      <c r="K216" s="97">
        <f t="shared" ca="1" si="34"/>
        <v>0</v>
      </c>
      <c r="L216" s="84">
        <f ca="1">IF('Invoer gegevens'!$C$17=E216,0,IF(C216=1,Q215,0))</f>
        <v>0</v>
      </c>
      <c r="M216" s="96">
        <f ca="1">IF(C216&gt;=1,L216*VLOOKUP(E216,Reeksen!$A$5:$B$76,2),0)</f>
        <v>0</v>
      </c>
      <c r="N216" s="84">
        <f ca="1">(1-('Invoer gegevens'!$F$20/12))*L216*MIN(Reeksen!B216,Reeksen!D216)</f>
        <v>0</v>
      </c>
      <c r="O216" s="84">
        <f>IF(Reeksen!D216&lt;Reeksen!B216,(Reeksen!B216-Reeksen!D216)*L216,0)</f>
        <v>0</v>
      </c>
      <c r="P216" s="84">
        <f ca="1">('Invoer gegevens'!$F$20/12)*L215*MIN(Reeksen!B215,Reeksen!D215)</f>
        <v>0</v>
      </c>
      <c r="Q216" s="84">
        <f t="shared" ca="1" si="35"/>
        <v>0</v>
      </c>
      <c r="R216" s="82">
        <f ca="1">IF('Invoer gegevens'!$C$17=E216,'Invoer gegevens'!$C$11,IF(C216=1,W215,0))</f>
        <v>0</v>
      </c>
      <c r="S216" s="86">
        <f ca="1">IF(C216&gt;=1,R216*VLOOKUP(E216,Reeksen!$A$5:$B$76,2),0)</f>
        <v>0</v>
      </c>
      <c r="T216" s="84">
        <f ca="1">(1-('Invoer gegevens'!$F$20/12))*R216*MIN(Reeksen!B216,Reeksen!D216)</f>
        <v>0</v>
      </c>
      <c r="U216" s="84">
        <f>IF(Reeksen!D216&gt;=Reeksen!B216,0,IF(Reeksen!AK216&lt;=Reeksen!AE216,(Reeksen!B216-Reeksen!D216)*R216,0))</f>
        <v>0</v>
      </c>
      <c r="V216" s="86">
        <f>IF(Reeksen!D216&gt;=Reeksen!B216,0,IF(Reeksen!AK216&gt;Reeksen!AE216,(Reeksen!B216-Reeksen!D216)*R216,0))</f>
        <v>0</v>
      </c>
      <c r="W216" s="97">
        <f t="shared" ca="1" si="36"/>
        <v>0</v>
      </c>
      <c r="X216" s="98">
        <f ca="1">IF('Invoer gegevens'!$C$17=E216,'Invoer gegevens'!$C$10-'Invoer gegevens'!$C$11,IF(C216=1,AC215,0))</f>
        <v>0</v>
      </c>
      <c r="Y216" s="98">
        <f ca="1">IF(C216&gt;=1,X216*VLOOKUP(E216,Reeksen!$A$5:$B$76,2),0)</f>
        <v>0</v>
      </c>
      <c r="Z216" s="98">
        <f ca="1">(1-('Invoer gegevens'!$F$20/12))*X216*MIN(Reeksen!B216,Reeksen!D216)</f>
        <v>0</v>
      </c>
      <c r="AA216" s="98">
        <f>IF(Reeksen!D216&gt;=Reeksen!B216,0,IF(Reeksen!AK216&lt;=Reeksen!AE216,(Reeksen!B216-Reeksen!D216)*X216,0))</f>
        <v>0</v>
      </c>
      <c r="AB216" s="98">
        <f>IF(Reeksen!D216&gt;=Reeksen!B216,0,IF(Reeksen!AK216&gt;Reeksen!AE216,(Reeksen!B216-Reeksen!D216)*X216,0))</f>
        <v>0</v>
      </c>
      <c r="AC216" s="99">
        <f t="shared" ca="1" si="37"/>
        <v>0</v>
      </c>
      <c r="AD216" s="98">
        <f ca="1">IF('Invoer gegevens'!$C$17=E216,R216,IF(C216=0,0,AE215))</f>
        <v>0</v>
      </c>
      <c r="AE216" s="98">
        <f t="shared" ca="1" si="38"/>
        <v>0</v>
      </c>
      <c r="AF216" s="98">
        <f ca="1">IF('Invoer gegevens'!$C$17=E216,X216,IF(C216=0,0,AG215))</f>
        <v>0</v>
      </c>
      <c r="AG216" s="98">
        <f t="shared" ca="1" si="39"/>
        <v>0</v>
      </c>
      <c r="AH216" s="68"/>
      <c r="AI216" s="71">
        <f ca="1">IF(C216=1,Reeksen!AJ216*((F216-G216+F216)/2)*12+Reeksen!AK216*((L216-M216+L216)/2)*12,0)</f>
        <v>0</v>
      </c>
      <c r="AJ216" s="71">
        <f ca="1">-AI216*'Invoer gegevens'!$F$28</f>
        <v>0</v>
      </c>
      <c r="AK216" s="71">
        <f t="shared" ca="1" si="33"/>
        <v>0</v>
      </c>
      <c r="AL216" s="71">
        <f ca="1">IF(C216=1,Reeksen!AL216*((F216-G216+F216)/2)*12+Reeksen!AM216*((L216-M216+L216)/2)*12,0)</f>
        <v>0</v>
      </c>
      <c r="AM216" s="71">
        <f ca="1">-AL216*'Invoer gegevens'!$F$31</f>
        <v>0</v>
      </c>
      <c r="AN216" s="71">
        <f t="shared" ca="1" si="40"/>
        <v>0</v>
      </c>
      <c r="AO216" s="71">
        <f ca="1">IF(C216=1,(H216+J216+N216+P216)*Reeksen!AN216,0)</f>
        <v>0</v>
      </c>
      <c r="AP216" s="71">
        <f ca="1">-IF(C216=1,(H216+J216+N216+P216)*'Hulp - basis'!$G$550*Reeksen!H216,0)</f>
        <v>0</v>
      </c>
      <c r="AQ216" s="71">
        <f ca="1">-IF(C216=1,(F216+K216+L216+Q216)/2*'Invoer gegevens'!$I$33*Reeksen!J216,0)*2</f>
        <v>0</v>
      </c>
      <c r="AR216" s="71">
        <f ca="1">-IF(C216=1,(I216*'Invoer gegevens'!$I$34)*Reeksen!J216,0)</f>
        <v>0</v>
      </c>
      <c r="AS216" s="71">
        <f ca="1">-IF(C216=1,(F216+K216+L216+Q216)/2*'Invoer gegevens'!$I$35*Reeksen!L216,0)</f>
        <v>0</v>
      </c>
      <c r="AT216" s="71">
        <f ca="1">-IF(C216=1,IF(E216='Invoer gegevens'!$C$17,'Invoer gegevens'!$C$11,AD216)*Reeksen!S216*'Invoer gegevens'!$C$18*Reeksen!P216,0)</f>
        <v>0</v>
      </c>
      <c r="AU216" s="71">
        <f ca="1">-IF(C216=1,(F216+K216+L216+Q216)/2*'Invoer gegevens'!$I$36*Reeksen!H216,0)</f>
        <v>0</v>
      </c>
      <c r="AV216" s="71">
        <f>IF('Invoer gegevens'!$C$3="Basis",0,#REF!)</f>
        <v>0</v>
      </c>
      <c r="AW216" s="71">
        <f t="shared" ca="1" si="41"/>
        <v>0</v>
      </c>
      <c r="AX216" s="71">
        <f ca="1">IF(E216&lt;'Invoer gegevens'!$C$17+15,0,IF(E216&gt;'Invoer gegevens'!$C$17+215,0,AW216))</f>
        <v>0</v>
      </c>
      <c r="AY216" s="71">
        <f ca="1">AX216/(1+'Invoer gegevens'!$F$18)^($AZ216-('Invoer gegevens'!$C$17-'Invoer gegevens'!$C$16))/(1+'Invoer gegevens'!$C$39)^('Invoer gegevens'!$C$17-'Invoer gegevens'!$C$16)</f>
        <v>0</v>
      </c>
      <c r="AZ216" s="68">
        <f ca="1">IF(E216-'Invoer gegevens'!$C$17-14.5&lt;0,0,E216-'Invoer gegevens'!$C$17-14.5)</f>
        <v>196.5</v>
      </c>
    </row>
    <row r="217" spans="2:52" x14ac:dyDescent="0.25">
      <c r="B217" s="70">
        <f t="shared" si="42"/>
        <v>213</v>
      </c>
      <c r="C217" s="67">
        <f ca="1">IF(E217-'Invoer gegevens'!$C$17&lt;0,0,1)</f>
        <v>1</v>
      </c>
      <c r="D217" s="68">
        <f t="shared" si="43"/>
        <v>212.5</v>
      </c>
      <c r="E217" s="108">
        <f ca="1">IF('Invoer gegevens'!$C$16="","",E216+1)</f>
        <v>2231</v>
      </c>
      <c r="F217" s="84">
        <f ca="1">IF('Invoer gegevens'!$C$17=E217,'Invoer gegevens'!$C$10,IF(C217=1,K216,0))</f>
        <v>0</v>
      </c>
      <c r="G217" s="96">
        <f ca="1">IF(C217&gt;=1,F217*VLOOKUP(E217,Reeksen!$A$5:$B$76,2),0)</f>
        <v>0</v>
      </c>
      <c r="H217" s="84">
        <f ca="1">(1-('Invoer gegevens'!$F$20/12))*F217*MIN(Reeksen!B217,Reeksen!D217)</f>
        <v>0</v>
      </c>
      <c r="I217" s="84">
        <f>IF(Reeksen!D217&lt;Reeksen!B217,(Reeksen!B217-Reeksen!D217)*F217,0)</f>
        <v>0</v>
      </c>
      <c r="J217" s="84">
        <f ca="1">('Invoer gegevens'!$F$20/12)*F216*MIN(Reeksen!B216,Reeksen!D216)</f>
        <v>0</v>
      </c>
      <c r="K217" s="97">
        <f t="shared" ca="1" si="34"/>
        <v>0</v>
      </c>
      <c r="L217" s="84">
        <f ca="1">IF('Invoer gegevens'!$C$17=E217,0,IF(C217=1,Q216,0))</f>
        <v>0</v>
      </c>
      <c r="M217" s="96">
        <f ca="1">IF(C217&gt;=1,L217*VLOOKUP(E217,Reeksen!$A$5:$B$76,2),0)</f>
        <v>0</v>
      </c>
      <c r="N217" s="84">
        <f ca="1">(1-('Invoer gegevens'!$F$20/12))*L217*MIN(Reeksen!B217,Reeksen!D217)</f>
        <v>0</v>
      </c>
      <c r="O217" s="84">
        <f>IF(Reeksen!D217&lt;Reeksen!B217,(Reeksen!B217-Reeksen!D217)*L217,0)</f>
        <v>0</v>
      </c>
      <c r="P217" s="84">
        <f ca="1">('Invoer gegevens'!$F$20/12)*L216*MIN(Reeksen!B216,Reeksen!D216)</f>
        <v>0</v>
      </c>
      <c r="Q217" s="84">
        <f t="shared" ca="1" si="35"/>
        <v>0</v>
      </c>
      <c r="R217" s="82">
        <f ca="1">IF('Invoer gegevens'!$C$17=E217,'Invoer gegevens'!$C$11,IF(C217=1,W216,0))</f>
        <v>0</v>
      </c>
      <c r="S217" s="86">
        <f ca="1">IF(C217&gt;=1,R217*VLOOKUP(E217,Reeksen!$A$5:$B$76,2),0)</f>
        <v>0</v>
      </c>
      <c r="T217" s="84">
        <f ca="1">(1-('Invoer gegevens'!$F$20/12))*R217*MIN(Reeksen!B217,Reeksen!D217)</f>
        <v>0</v>
      </c>
      <c r="U217" s="84">
        <f>IF(Reeksen!D217&gt;=Reeksen!B217,0,IF(Reeksen!AK217&lt;=Reeksen!AE217,(Reeksen!B217-Reeksen!D217)*R217,0))</f>
        <v>0</v>
      </c>
      <c r="V217" s="86">
        <f>IF(Reeksen!D217&gt;=Reeksen!B217,0,IF(Reeksen!AK217&gt;Reeksen!AE217,(Reeksen!B217-Reeksen!D217)*R217,0))</f>
        <v>0</v>
      </c>
      <c r="W217" s="97">
        <f t="shared" ca="1" si="36"/>
        <v>0</v>
      </c>
      <c r="X217" s="98">
        <f ca="1">IF('Invoer gegevens'!$C$17=E217,'Invoer gegevens'!$C$10-'Invoer gegevens'!$C$11,IF(C217=1,AC216,0))</f>
        <v>0</v>
      </c>
      <c r="Y217" s="98">
        <f ca="1">IF(C217&gt;=1,X217*VLOOKUP(E217,Reeksen!$A$5:$B$76,2),0)</f>
        <v>0</v>
      </c>
      <c r="Z217" s="98">
        <f ca="1">(1-('Invoer gegevens'!$F$20/12))*X217*MIN(Reeksen!B217,Reeksen!D217)</f>
        <v>0</v>
      </c>
      <c r="AA217" s="98">
        <f>IF(Reeksen!D217&gt;=Reeksen!B217,0,IF(Reeksen!AK217&lt;=Reeksen!AE217,(Reeksen!B217-Reeksen!D217)*X217,0))</f>
        <v>0</v>
      </c>
      <c r="AB217" s="98">
        <f>IF(Reeksen!D217&gt;=Reeksen!B217,0,IF(Reeksen!AK217&gt;Reeksen!AE217,(Reeksen!B217-Reeksen!D217)*X217,0))</f>
        <v>0</v>
      </c>
      <c r="AC217" s="99">
        <f t="shared" ca="1" si="37"/>
        <v>0</v>
      </c>
      <c r="AD217" s="98">
        <f ca="1">IF('Invoer gegevens'!$C$17=E217,R217,IF(C217=0,0,AE216))</f>
        <v>0</v>
      </c>
      <c r="AE217" s="98">
        <f t="shared" ca="1" si="38"/>
        <v>0</v>
      </c>
      <c r="AF217" s="98">
        <f ca="1">IF('Invoer gegevens'!$C$17=E217,X217,IF(C217=0,0,AG216))</f>
        <v>0</v>
      </c>
      <c r="AG217" s="98">
        <f t="shared" ca="1" si="39"/>
        <v>0</v>
      </c>
      <c r="AH217" s="68"/>
      <c r="AI217" s="71">
        <f ca="1">IF(C217=1,Reeksen!AJ217*((F217-G217+F217)/2)*12+Reeksen!AK217*((L217-M217+L217)/2)*12,0)</f>
        <v>0</v>
      </c>
      <c r="AJ217" s="71">
        <f ca="1">-AI217*'Invoer gegevens'!$F$28</f>
        <v>0</v>
      </c>
      <c r="AK217" s="71">
        <f t="shared" ca="1" si="33"/>
        <v>0</v>
      </c>
      <c r="AL217" s="71">
        <f ca="1">IF(C217=1,Reeksen!AL217*((F217-G217+F217)/2)*12+Reeksen!AM217*((L217-M217+L217)/2)*12,0)</f>
        <v>0</v>
      </c>
      <c r="AM217" s="71">
        <f ca="1">-AL217*'Invoer gegevens'!$F$31</f>
        <v>0</v>
      </c>
      <c r="AN217" s="71">
        <f t="shared" ca="1" si="40"/>
        <v>0</v>
      </c>
      <c r="AO217" s="71">
        <f ca="1">IF(C217=1,(H217+J217+N217+P217)*Reeksen!AN217,0)</f>
        <v>0</v>
      </c>
      <c r="AP217" s="71">
        <f ca="1">-IF(C217=1,(H217+J217+N217+P217)*'Hulp - basis'!$G$550*Reeksen!H217,0)</f>
        <v>0</v>
      </c>
      <c r="AQ217" s="71">
        <f ca="1">-IF(C217=1,(F217+K217+L217+Q217)/2*'Invoer gegevens'!$I$33*Reeksen!J217,0)*2</f>
        <v>0</v>
      </c>
      <c r="AR217" s="71">
        <f ca="1">-IF(C217=1,(I217*'Invoer gegevens'!$I$34)*Reeksen!J217,0)</f>
        <v>0</v>
      </c>
      <c r="AS217" s="71">
        <f ca="1">-IF(C217=1,(F217+K217+L217+Q217)/2*'Invoer gegevens'!$I$35*Reeksen!L217,0)</f>
        <v>0</v>
      </c>
      <c r="AT217" s="71">
        <f ca="1">-IF(C217=1,IF(E217='Invoer gegevens'!$C$17,'Invoer gegevens'!$C$11,AD217)*Reeksen!S217*'Invoer gegevens'!$C$18*Reeksen!P217,0)</f>
        <v>0</v>
      </c>
      <c r="AU217" s="71">
        <f ca="1">-IF(C217=1,(F217+K217+L217+Q217)/2*'Invoer gegevens'!$I$36*Reeksen!H217,0)</f>
        <v>0</v>
      </c>
      <c r="AV217" s="71">
        <f>IF('Invoer gegevens'!$C$3="Basis",0,#REF!)</f>
        <v>0</v>
      </c>
      <c r="AW217" s="71">
        <f t="shared" ca="1" si="41"/>
        <v>0</v>
      </c>
      <c r="AX217" s="71">
        <f ca="1">IF(E217&lt;'Invoer gegevens'!$C$17+15,0,IF(E217&gt;'Invoer gegevens'!$C$17+215,0,AW217))</f>
        <v>0</v>
      </c>
      <c r="AY217" s="71">
        <f ca="1">AX217/(1+'Invoer gegevens'!$F$18)^($AZ217-('Invoer gegevens'!$C$17-'Invoer gegevens'!$C$16))/(1+'Invoer gegevens'!$C$39)^('Invoer gegevens'!$C$17-'Invoer gegevens'!$C$16)</f>
        <v>0</v>
      </c>
      <c r="AZ217" s="68">
        <f ca="1">IF(E217-'Invoer gegevens'!$C$17-14.5&lt;0,0,E217-'Invoer gegevens'!$C$17-14.5)</f>
        <v>197.5</v>
      </c>
    </row>
    <row r="218" spans="2:52" x14ac:dyDescent="0.25">
      <c r="B218" s="70">
        <f t="shared" si="42"/>
        <v>214</v>
      </c>
      <c r="C218" s="67">
        <f ca="1">IF(E218-'Invoer gegevens'!$C$17&lt;0,0,1)</f>
        <v>1</v>
      </c>
      <c r="D218" s="68">
        <f t="shared" si="43"/>
        <v>213.5</v>
      </c>
      <c r="E218" s="108">
        <f ca="1">IF('Invoer gegevens'!$C$16="","",E217+1)</f>
        <v>2232</v>
      </c>
      <c r="F218" s="84">
        <f ca="1">IF('Invoer gegevens'!$C$17=E218,'Invoer gegevens'!$C$10,IF(C218=1,K217,0))</f>
        <v>0</v>
      </c>
      <c r="G218" s="96">
        <f ca="1">IF(C218&gt;=1,F218*VLOOKUP(E218,Reeksen!$A$5:$B$76,2),0)</f>
        <v>0</v>
      </c>
      <c r="H218" s="84">
        <f ca="1">(1-('Invoer gegevens'!$F$20/12))*F218*MIN(Reeksen!B218,Reeksen!D218)</f>
        <v>0</v>
      </c>
      <c r="I218" s="84">
        <f>IF(Reeksen!D218&lt;Reeksen!B218,(Reeksen!B218-Reeksen!D218)*F218,0)</f>
        <v>0</v>
      </c>
      <c r="J218" s="84">
        <f ca="1">('Invoer gegevens'!$F$20/12)*F217*MIN(Reeksen!B217,Reeksen!D217)</f>
        <v>0</v>
      </c>
      <c r="K218" s="97">
        <f t="shared" ca="1" si="34"/>
        <v>0</v>
      </c>
      <c r="L218" s="84">
        <f ca="1">IF('Invoer gegevens'!$C$17=E218,0,IF(C218=1,Q217,0))</f>
        <v>0</v>
      </c>
      <c r="M218" s="96">
        <f ca="1">IF(C218&gt;=1,L218*VLOOKUP(E218,Reeksen!$A$5:$B$76,2),0)</f>
        <v>0</v>
      </c>
      <c r="N218" s="84">
        <f ca="1">(1-('Invoer gegevens'!$F$20/12))*L218*MIN(Reeksen!B218,Reeksen!D218)</f>
        <v>0</v>
      </c>
      <c r="O218" s="84">
        <f>IF(Reeksen!D218&lt;Reeksen!B218,(Reeksen!B218-Reeksen!D218)*L218,0)</f>
        <v>0</v>
      </c>
      <c r="P218" s="84">
        <f ca="1">('Invoer gegevens'!$F$20/12)*L217*MIN(Reeksen!B217,Reeksen!D217)</f>
        <v>0</v>
      </c>
      <c r="Q218" s="84">
        <f t="shared" ca="1" si="35"/>
        <v>0</v>
      </c>
      <c r="R218" s="82">
        <f ca="1">IF('Invoer gegevens'!$C$17=E218,'Invoer gegevens'!$C$11,IF(C218=1,W217,0))</f>
        <v>0</v>
      </c>
      <c r="S218" s="86">
        <f ca="1">IF(C218&gt;=1,R218*VLOOKUP(E218,Reeksen!$A$5:$B$76,2),0)</f>
        <v>0</v>
      </c>
      <c r="T218" s="84">
        <f ca="1">(1-('Invoer gegevens'!$F$20/12))*R218*MIN(Reeksen!B218,Reeksen!D218)</f>
        <v>0</v>
      </c>
      <c r="U218" s="84">
        <f>IF(Reeksen!D218&gt;=Reeksen!B218,0,IF(Reeksen!AK218&lt;=Reeksen!AE218,(Reeksen!B218-Reeksen!D218)*R218,0))</f>
        <v>0</v>
      </c>
      <c r="V218" s="86">
        <f>IF(Reeksen!D218&gt;=Reeksen!B218,0,IF(Reeksen!AK218&gt;Reeksen!AE218,(Reeksen!B218-Reeksen!D218)*R218,0))</f>
        <v>0</v>
      </c>
      <c r="W218" s="97">
        <f t="shared" ca="1" si="36"/>
        <v>0</v>
      </c>
      <c r="X218" s="98">
        <f ca="1">IF('Invoer gegevens'!$C$17=E218,'Invoer gegevens'!$C$10-'Invoer gegevens'!$C$11,IF(C218=1,AC217,0))</f>
        <v>0</v>
      </c>
      <c r="Y218" s="98">
        <f ca="1">IF(C218&gt;=1,X218*VLOOKUP(E218,Reeksen!$A$5:$B$76,2),0)</f>
        <v>0</v>
      </c>
      <c r="Z218" s="98">
        <f ca="1">(1-('Invoer gegevens'!$F$20/12))*X218*MIN(Reeksen!B218,Reeksen!D218)</f>
        <v>0</v>
      </c>
      <c r="AA218" s="98">
        <f>IF(Reeksen!D218&gt;=Reeksen!B218,0,IF(Reeksen!AK218&lt;=Reeksen!AE218,(Reeksen!B218-Reeksen!D218)*X218,0))</f>
        <v>0</v>
      </c>
      <c r="AB218" s="98">
        <f>IF(Reeksen!D218&gt;=Reeksen!B218,0,IF(Reeksen!AK218&gt;Reeksen!AE218,(Reeksen!B218-Reeksen!D218)*X218,0))</f>
        <v>0</v>
      </c>
      <c r="AC218" s="99">
        <f t="shared" ca="1" si="37"/>
        <v>0</v>
      </c>
      <c r="AD218" s="98">
        <f ca="1">IF('Invoer gegevens'!$C$17=E218,R218,IF(C218=0,0,AE217))</f>
        <v>0</v>
      </c>
      <c r="AE218" s="98">
        <f t="shared" ca="1" si="38"/>
        <v>0</v>
      </c>
      <c r="AF218" s="98">
        <f ca="1">IF('Invoer gegevens'!$C$17=E218,X218,IF(C218=0,0,AG217))</f>
        <v>0</v>
      </c>
      <c r="AG218" s="98">
        <f t="shared" ca="1" si="39"/>
        <v>0</v>
      </c>
      <c r="AH218" s="68"/>
      <c r="AI218" s="71">
        <f ca="1">IF(C218=1,Reeksen!AJ218*((F218-G218+F218)/2)*12+Reeksen!AK218*((L218-M218+L218)/2)*12,0)</f>
        <v>0</v>
      </c>
      <c r="AJ218" s="71">
        <f ca="1">-AI218*'Invoer gegevens'!$F$28</f>
        <v>0</v>
      </c>
      <c r="AK218" s="71">
        <f t="shared" ca="1" si="33"/>
        <v>0</v>
      </c>
      <c r="AL218" s="71">
        <f ca="1">IF(C218=1,Reeksen!AL218*((F218-G218+F218)/2)*12+Reeksen!AM218*((L218-M218+L218)/2)*12,0)</f>
        <v>0</v>
      </c>
      <c r="AM218" s="71">
        <f ca="1">-AL218*'Invoer gegevens'!$F$31</f>
        <v>0</v>
      </c>
      <c r="AN218" s="71">
        <f t="shared" ca="1" si="40"/>
        <v>0</v>
      </c>
      <c r="AO218" s="71">
        <f ca="1">IF(C218=1,(H218+J218+N218+P218)*Reeksen!AN218,0)</f>
        <v>0</v>
      </c>
      <c r="AP218" s="71">
        <f ca="1">-IF(C218=1,(H218+J218+N218+P218)*'Hulp - basis'!$G$550*Reeksen!H218,0)</f>
        <v>0</v>
      </c>
      <c r="AQ218" s="71">
        <f ca="1">-IF(C218=1,(F218+K218+L218+Q218)/2*'Invoer gegevens'!$I$33*Reeksen!J218,0)*2</f>
        <v>0</v>
      </c>
      <c r="AR218" s="71">
        <f ca="1">-IF(C218=1,(I218*'Invoer gegevens'!$I$34)*Reeksen!J218,0)</f>
        <v>0</v>
      </c>
      <c r="AS218" s="71">
        <f ca="1">-IF(C218=1,(F218+K218+L218+Q218)/2*'Invoer gegevens'!$I$35*Reeksen!L218,0)</f>
        <v>0</v>
      </c>
      <c r="AT218" s="71">
        <f ca="1">-IF(C218=1,IF(E218='Invoer gegevens'!$C$17,'Invoer gegevens'!$C$11,AD218)*Reeksen!S218*'Invoer gegevens'!$C$18*Reeksen!P218,0)</f>
        <v>0</v>
      </c>
      <c r="AU218" s="71">
        <f ca="1">-IF(C218=1,(F218+K218+L218+Q218)/2*'Invoer gegevens'!$I$36*Reeksen!H218,0)</f>
        <v>0</v>
      </c>
      <c r="AV218" s="71">
        <f>IF('Invoer gegevens'!$C$3="Basis",0,#REF!)</f>
        <v>0</v>
      </c>
      <c r="AW218" s="71">
        <f t="shared" ca="1" si="41"/>
        <v>0</v>
      </c>
      <c r="AX218" s="71">
        <f ca="1">IF(E218&lt;'Invoer gegevens'!$C$17+15,0,IF(E218&gt;'Invoer gegevens'!$C$17+215,0,AW218))</f>
        <v>0</v>
      </c>
      <c r="AY218" s="71">
        <f ca="1">AX218/(1+'Invoer gegevens'!$F$18)^($AZ218-('Invoer gegevens'!$C$17-'Invoer gegevens'!$C$16))/(1+'Invoer gegevens'!$C$39)^('Invoer gegevens'!$C$17-'Invoer gegevens'!$C$16)</f>
        <v>0</v>
      </c>
      <c r="AZ218" s="68">
        <f ca="1">IF(E218-'Invoer gegevens'!$C$17-14.5&lt;0,0,E218-'Invoer gegevens'!$C$17-14.5)</f>
        <v>198.5</v>
      </c>
    </row>
    <row r="219" spans="2:52" x14ac:dyDescent="0.25">
      <c r="B219" s="70">
        <f t="shared" si="42"/>
        <v>215</v>
      </c>
      <c r="C219" s="67">
        <f ca="1">IF(E219-'Invoer gegevens'!$C$17&lt;0,0,1)</f>
        <v>1</v>
      </c>
      <c r="D219" s="68">
        <f t="shared" si="43"/>
        <v>214.5</v>
      </c>
      <c r="E219" s="108">
        <f ca="1">IF('Invoer gegevens'!$C$16="","",E218+1)</f>
        <v>2233</v>
      </c>
      <c r="F219" s="84">
        <f ca="1">IF('Invoer gegevens'!$C$17=E219,'Invoer gegevens'!$C$10,IF(C219=1,K218,0))</f>
        <v>0</v>
      </c>
      <c r="G219" s="96">
        <f ca="1">IF(C219&gt;=1,F219*VLOOKUP(E219,Reeksen!$A$5:$B$76,2),0)</f>
        <v>0</v>
      </c>
      <c r="H219" s="84">
        <f ca="1">(1-('Invoer gegevens'!$F$20/12))*F219*MIN(Reeksen!B219,Reeksen!D219)</f>
        <v>0</v>
      </c>
      <c r="I219" s="84">
        <f>IF(Reeksen!D219&lt;Reeksen!B219,(Reeksen!B219-Reeksen!D219)*F219,0)</f>
        <v>0</v>
      </c>
      <c r="J219" s="84">
        <f ca="1">('Invoer gegevens'!$F$20/12)*F218*MIN(Reeksen!B218,Reeksen!D218)</f>
        <v>0</v>
      </c>
      <c r="K219" s="97">
        <f t="shared" ca="1" si="34"/>
        <v>0</v>
      </c>
      <c r="L219" s="84">
        <f ca="1">IF('Invoer gegevens'!$C$17=E219,0,IF(C219=1,Q218,0))</f>
        <v>0</v>
      </c>
      <c r="M219" s="96">
        <f ca="1">IF(C219&gt;=1,L219*VLOOKUP(E219,Reeksen!$A$5:$B$76,2),0)</f>
        <v>0</v>
      </c>
      <c r="N219" s="84">
        <f ca="1">(1-('Invoer gegevens'!$F$20/12))*L219*MIN(Reeksen!B219,Reeksen!D219)</f>
        <v>0</v>
      </c>
      <c r="O219" s="84">
        <f>IF(Reeksen!D219&lt;Reeksen!B219,(Reeksen!B219-Reeksen!D219)*L219,0)</f>
        <v>0</v>
      </c>
      <c r="P219" s="84">
        <f ca="1">('Invoer gegevens'!$F$20/12)*L218*MIN(Reeksen!B218,Reeksen!D218)</f>
        <v>0</v>
      </c>
      <c r="Q219" s="84">
        <f t="shared" ca="1" si="35"/>
        <v>0</v>
      </c>
      <c r="R219" s="82">
        <f ca="1">IF('Invoer gegevens'!$C$17=E219,'Invoer gegevens'!$C$11,IF(C219=1,W218,0))</f>
        <v>0</v>
      </c>
      <c r="S219" s="86">
        <f ca="1">IF(C219&gt;=1,R219*VLOOKUP(E219,Reeksen!$A$5:$B$76,2),0)</f>
        <v>0</v>
      </c>
      <c r="T219" s="84">
        <f ca="1">(1-('Invoer gegevens'!$F$20/12))*R219*MIN(Reeksen!B219,Reeksen!D219)</f>
        <v>0</v>
      </c>
      <c r="U219" s="84">
        <f>IF(Reeksen!D219&gt;=Reeksen!B219,0,IF(Reeksen!AK219&lt;=Reeksen!AE219,(Reeksen!B219-Reeksen!D219)*R219,0))</f>
        <v>0</v>
      </c>
      <c r="V219" s="86">
        <f>IF(Reeksen!D219&gt;=Reeksen!B219,0,IF(Reeksen!AK219&gt;Reeksen!AE219,(Reeksen!B219-Reeksen!D219)*R219,0))</f>
        <v>0</v>
      </c>
      <c r="W219" s="97">
        <f t="shared" ca="1" si="36"/>
        <v>0</v>
      </c>
      <c r="X219" s="98">
        <f ca="1">IF('Invoer gegevens'!$C$17=E219,'Invoer gegevens'!$C$10-'Invoer gegevens'!$C$11,IF(C219=1,AC218,0))</f>
        <v>0</v>
      </c>
      <c r="Y219" s="98">
        <f ca="1">IF(C219&gt;=1,X219*VLOOKUP(E219,Reeksen!$A$5:$B$76,2),0)</f>
        <v>0</v>
      </c>
      <c r="Z219" s="98">
        <f ca="1">(1-('Invoer gegevens'!$F$20/12))*X219*MIN(Reeksen!B219,Reeksen!D219)</f>
        <v>0</v>
      </c>
      <c r="AA219" s="98">
        <f>IF(Reeksen!D219&gt;=Reeksen!B219,0,IF(Reeksen!AK219&lt;=Reeksen!AE219,(Reeksen!B219-Reeksen!D219)*X219,0))</f>
        <v>0</v>
      </c>
      <c r="AB219" s="98">
        <f>IF(Reeksen!D219&gt;=Reeksen!B219,0,IF(Reeksen!AK219&gt;Reeksen!AE219,(Reeksen!B219-Reeksen!D219)*X219,0))</f>
        <v>0</v>
      </c>
      <c r="AC219" s="99">
        <f t="shared" ca="1" si="37"/>
        <v>0</v>
      </c>
      <c r="AD219" s="98">
        <f ca="1">IF('Invoer gegevens'!$C$17=E219,R219,IF(C219=0,0,AE218))</f>
        <v>0</v>
      </c>
      <c r="AE219" s="98">
        <f t="shared" ca="1" si="38"/>
        <v>0</v>
      </c>
      <c r="AF219" s="98">
        <f ca="1">IF('Invoer gegevens'!$C$17=E219,X219,IF(C219=0,0,AG218))</f>
        <v>0</v>
      </c>
      <c r="AG219" s="98">
        <f t="shared" ca="1" si="39"/>
        <v>0</v>
      </c>
      <c r="AH219" s="68"/>
      <c r="AI219" s="71">
        <f ca="1">IF(C219=1,Reeksen!AJ219*((F219-G219+F219)/2)*12+Reeksen!AK219*((L219-M219+L219)/2)*12,0)</f>
        <v>0</v>
      </c>
      <c r="AJ219" s="71">
        <f ca="1">-AI219*'Invoer gegevens'!$F$28</f>
        <v>0</v>
      </c>
      <c r="AK219" s="71">
        <f t="shared" ca="1" si="33"/>
        <v>0</v>
      </c>
      <c r="AL219" s="71">
        <f ca="1">IF(C219=1,Reeksen!AL219*((F219-G219+F219)/2)*12+Reeksen!AM219*((L219-M219+L219)/2)*12,0)</f>
        <v>0</v>
      </c>
      <c r="AM219" s="71">
        <f ca="1">-AL219*'Invoer gegevens'!$F$31</f>
        <v>0</v>
      </c>
      <c r="AN219" s="71">
        <f t="shared" ca="1" si="40"/>
        <v>0</v>
      </c>
      <c r="AO219" s="71">
        <f ca="1">IF(C219=1,(H219+J219+N219+P219)*Reeksen!AN219,0)</f>
        <v>0</v>
      </c>
      <c r="AP219" s="71">
        <f ca="1">-IF(C219=1,(H219+J219+N219+P219)*'Hulp - basis'!$G$550*Reeksen!H219,0)</f>
        <v>0</v>
      </c>
      <c r="AQ219" s="71">
        <f ca="1">-IF(C219=1,(F219+K219+L219+Q219)/2*'Invoer gegevens'!$I$33*Reeksen!J219,0)*2</f>
        <v>0</v>
      </c>
      <c r="AR219" s="71">
        <f ca="1">-IF(C219=1,(I219*'Invoer gegevens'!$I$34)*Reeksen!J219,0)</f>
        <v>0</v>
      </c>
      <c r="AS219" s="71">
        <f ca="1">-IF(C219=1,(F219+K219+L219+Q219)/2*'Invoer gegevens'!$I$35*Reeksen!L219,0)</f>
        <v>0</v>
      </c>
      <c r="AT219" s="71">
        <f ca="1">-IF(C219=1,IF(E219='Invoer gegevens'!$C$17,'Invoer gegevens'!$C$11,AD219)*Reeksen!S219*'Invoer gegevens'!$C$18*Reeksen!P219,0)</f>
        <v>0</v>
      </c>
      <c r="AU219" s="71">
        <f ca="1">-IF(C219=1,(F219+K219+L219+Q219)/2*'Invoer gegevens'!$I$36*Reeksen!H219,0)</f>
        <v>0</v>
      </c>
      <c r="AV219" s="71">
        <f>IF('Invoer gegevens'!$C$3="Basis",0,#REF!)</f>
        <v>0</v>
      </c>
      <c r="AW219" s="71">
        <f t="shared" ca="1" si="41"/>
        <v>0</v>
      </c>
      <c r="AX219" s="71">
        <f ca="1">IF(E219&lt;'Invoer gegevens'!$C$17+15,0,IF(E219&gt;'Invoer gegevens'!$C$17+215,0,AW219))</f>
        <v>0</v>
      </c>
      <c r="AY219" s="71">
        <f ca="1">AX219/(1+'Invoer gegevens'!$F$18)^($AZ219-('Invoer gegevens'!$C$17-'Invoer gegevens'!$C$16))/(1+'Invoer gegevens'!$C$39)^('Invoer gegevens'!$C$17-'Invoer gegevens'!$C$16)</f>
        <v>0</v>
      </c>
      <c r="AZ219" s="68">
        <f ca="1">IF(E219-'Invoer gegevens'!$C$17-14.5&lt;0,0,E219-'Invoer gegevens'!$C$17-14.5)</f>
        <v>199.5</v>
      </c>
    </row>
    <row r="220" spans="2:52" x14ac:dyDescent="0.25">
      <c r="B220" s="70">
        <f t="shared" si="42"/>
        <v>216</v>
      </c>
      <c r="C220" s="67">
        <f ca="1">IF(E220-'Invoer gegevens'!$C$17&lt;0,0,1)</f>
        <v>1</v>
      </c>
      <c r="D220" s="68">
        <f t="shared" si="43"/>
        <v>215.5</v>
      </c>
      <c r="E220" s="108">
        <f ca="1">IF('Invoer gegevens'!$C$16="","",E219+1)</f>
        <v>2234</v>
      </c>
      <c r="F220" s="84">
        <f ca="1">IF('Invoer gegevens'!$C$17=E220,'Invoer gegevens'!$C$10,IF(C220=1,K219,0))</f>
        <v>0</v>
      </c>
      <c r="G220" s="96">
        <f ca="1">IF(C220&gt;=1,F220*VLOOKUP(E220,Reeksen!$A$5:$B$76,2),0)</f>
        <v>0</v>
      </c>
      <c r="H220" s="84">
        <f ca="1">(1-('Invoer gegevens'!$F$20/12))*F220*MIN(Reeksen!B220,Reeksen!D220)</f>
        <v>0</v>
      </c>
      <c r="I220" s="84">
        <f>IF(Reeksen!D220&lt;Reeksen!B220,(Reeksen!B220-Reeksen!D220)*F220,0)</f>
        <v>0</v>
      </c>
      <c r="J220" s="84">
        <f ca="1">('Invoer gegevens'!$F$20/12)*F219*MIN(Reeksen!B219,Reeksen!D219)</f>
        <v>0</v>
      </c>
      <c r="K220" s="97">
        <f t="shared" ca="1" si="34"/>
        <v>0</v>
      </c>
      <c r="L220" s="84">
        <f ca="1">IF('Invoer gegevens'!$C$17=E220,0,IF(C220=1,Q219,0))</f>
        <v>0</v>
      </c>
      <c r="M220" s="96">
        <f ca="1">IF(C220&gt;=1,L220*VLOOKUP(E220,Reeksen!$A$5:$B$76,2),0)</f>
        <v>0</v>
      </c>
      <c r="N220" s="84">
        <f ca="1">(1-('Invoer gegevens'!$F$20/12))*L220*MIN(Reeksen!B220,Reeksen!D220)</f>
        <v>0</v>
      </c>
      <c r="O220" s="84">
        <f>IF(Reeksen!D220&lt;Reeksen!B220,(Reeksen!B220-Reeksen!D220)*L220,0)</f>
        <v>0</v>
      </c>
      <c r="P220" s="84">
        <f ca="1">('Invoer gegevens'!$F$20/12)*L219*MIN(Reeksen!B219,Reeksen!D219)</f>
        <v>0</v>
      </c>
      <c r="Q220" s="84">
        <f t="shared" ca="1" si="35"/>
        <v>0</v>
      </c>
      <c r="R220" s="82">
        <f ca="1">IF('Invoer gegevens'!$C$17=E220,'Invoer gegevens'!$C$11,IF(C220=1,W219,0))</f>
        <v>0</v>
      </c>
      <c r="S220" s="86">
        <f ca="1">IF(C220&gt;=1,R220*VLOOKUP(E220,Reeksen!$A$5:$B$76,2),0)</f>
        <v>0</v>
      </c>
      <c r="T220" s="84">
        <f ca="1">(1-('Invoer gegevens'!$F$20/12))*R220*MIN(Reeksen!B220,Reeksen!D220)</f>
        <v>0</v>
      </c>
      <c r="U220" s="84">
        <f>IF(Reeksen!D220&gt;=Reeksen!B220,0,IF(Reeksen!AK220&lt;=Reeksen!AE220,(Reeksen!B220-Reeksen!D220)*R220,0))</f>
        <v>0</v>
      </c>
      <c r="V220" s="86">
        <f>IF(Reeksen!D220&gt;=Reeksen!B220,0,IF(Reeksen!AK220&gt;Reeksen!AE220,(Reeksen!B220-Reeksen!D220)*R220,0))</f>
        <v>0</v>
      </c>
      <c r="W220" s="97">
        <f t="shared" ca="1" si="36"/>
        <v>0</v>
      </c>
      <c r="X220" s="98">
        <f ca="1">IF('Invoer gegevens'!$C$17=E220,'Invoer gegevens'!$C$10-'Invoer gegevens'!$C$11,IF(C220=1,AC219,0))</f>
        <v>0</v>
      </c>
      <c r="Y220" s="98">
        <f ca="1">IF(C220&gt;=1,X220*VLOOKUP(E220,Reeksen!$A$5:$B$76,2),0)</f>
        <v>0</v>
      </c>
      <c r="Z220" s="98">
        <f ca="1">(1-('Invoer gegevens'!$F$20/12))*X220*MIN(Reeksen!B220,Reeksen!D220)</f>
        <v>0</v>
      </c>
      <c r="AA220" s="98">
        <f>IF(Reeksen!D220&gt;=Reeksen!B220,0,IF(Reeksen!AK220&lt;=Reeksen!AE220,(Reeksen!B220-Reeksen!D220)*X220,0))</f>
        <v>0</v>
      </c>
      <c r="AB220" s="98">
        <f>IF(Reeksen!D220&gt;=Reeksen!B220,0,IF(Reeksen!AK220&gt;Reeksen!AE220,(Reeksen!B220-Reeksen!D220)*X220,0))</f>
        <v>0</v>
      </c>
      <c r="AC220" s="99">
        <f t="shared" ca="1" si="37"/>
        <v>0</v>
      </c>
      <c r="AD220" s="98">
        <f ca="1">IF('Invoer gegevens'!$C$17=E220,R220,IF(C220=0,0,AE219))</f>
        <v>0</v>
      </c>
      <c r="AE220" s="98">
        <f t="shared" ca="1" si="38"/>
        <v>0</v>
      </c>
      <c r="AF220" s="98">
        <f ca="1">IF('Invoer gegevens'!$C$17=E220,X220,IF(C220=0,0,AG219))</f>
        <v>0</v>
      </c>
      <c r="AG220" s="98">
        <f t="shared" ca="1" si="39"/>
        <v>0</v>
      </c>
      <c r="AH220" s="68"/>
      <c r="AI220" s="71">
        <f ca="1">IF(C220=1,Reeksen!AJ220*((F220-G220+F220)/2)*12+Reeksen!AK220*((L220-M220+L220)/2)*12,0)</f>
        <v>0</v>
      </c>
      <c r="AJ220" s="71">
        <f ca="1">-AI220*'Invoer gegevens'!$F$28</f>
        <v>0</v>
      </c>
      <c r="AK220" s="71">
        <f t="shared" ca="1" si="33"/>
        <v>0</v>
      </c>
      <c r="AL220" s="71">
        <f ca="1">IF(C220=1,Reeksen!AL220*((F220-G220+F220)/2)*12+Reeksen!AM220*((L220-M220+L220)/2)*12,0)</f>
        <v>0</v>
      </c>
      <c r="AM220" s="71">
        <f ca="1">-AL220*'Invoer gegevens'!$F$31</f>
        <v>0</v>
      </c>
      <c r="AN220" s="71">
        <f t="shared" ca="1" si="40"/>
        <v>0</v>
      </c>
      <c r="AO220" s="71">
        <f ca="1">IF(C220=1,(H220+J220+N220+P220)*Reeksen!AN220,0)</f>
        <v>0</v>
      </c>
      <c r="AP220" s="71">
        <f ca="1">-IF(C220=1,(H220+J220+N220+P220)*'Hulp - basis'!$G$550*Reeksen!H220,0)</f>
        <v>0</v>
      </c>
      <c r="AQ220" s="71">
        <f ca="1">-IF(C220=1,(F220+K220+L220+Q220)/2*'Invoer gegevens'!$I$33*Reeksen!J220,0)*2</f>
        <v>0</v>
      </c>
      <c r="AR220" s="71">
        <f ca="1">-IF(C220=1,(I220*'Invoer gegevens'!$I$34)*Reeksen!J220,0)</f>
        <v>0</v>
      </c>
      <c r="AS220" s="71">
        <f ca="1">-IF(C220=1,(F220+K220+L220+Q220)/2*'Invoer gegevens'!$I$35*Reeksen!L220,0)</f>
        <v>0</v>
      </c>
      <c r="AT220" s="71">
        <f ca="1">-IF(C220=1,IF(E220='Invoer gegevens'!$C$17,'Invoer gegevens'!$C$11,AD220)*Reeksen!S220*'Invoer gegevens'!$C$18*Reeksen!P220,0)</f>
        <v>0</v>
      </c>
      <c r="AU220" s="71">
        <f ca="1">-IF(C220=1,(F220+K220+L220+Q220)/2*'Invoer gegevens'!$I$36*Reeksen!H220,0)</f>
        <v>0</v>
      </c>
      <c r="AV220" s="71">
        <f>IF('Invoer gegevens'!$C$3="Basis",0,#REF!)</f>
        <v>0</v>
      </c>
      <c r="AW220" s="71">
        <f t="shared" ca="1" si="41"/>
        <v>0</v>
      </c>
      <c r="AX220" s="71">
        <f ca="1">IF(E220&lt;'Invoer gegevens'!$C$17+15,0,IF(E220&gt;'Invoer gegevens'!$C$17+215,0,AW220))</f>
        <v>0</v>
      </c>
      <c r="AY220" s="71">
        <f ca="1">AX220/(1+'Invoer gegevens'!$F$18)^($AZ220-('Invoer gegevens'!$C$17-'Invoer gegevens'!$C$16))/(1+'Invoer gegevens'!$C$39)^('Invoer gegevens'!$C$17-'Invoer gegevens'!$C$16)</f>
        <v>0</v>
      </c>
      <c r="AZ220" s="68">
        <f ca="1">IF(E220-'Invoer gegevens'!$C$17-14.5&lt;0,0,E220-'Invoer gegevens'!$C$17-14.5)</f>
        <v>200.5</v>
      </c>
    </row>
    <row r="221" spans="2:52" x14ac:dyDescent="0.25">
      <c r="B221" s="70">
        <f t="shared" si="42"/>
        <v>217</v>
      </c>
      <c r="C221" s="67">
        <f ca="1">IF(E221-'Invoer gegevens'!$C$17&lt;0,0,1)</f>
        <v>1</v>
      </c>
      <c r="D221" s="68">
        <f t="shared" si="43"/>
        <v>216.5</v>
      </c>
      <c r="E221" s="108">
        <f ca="1">IF('Invoer gegevens'!$C$16="","",E220+1)</f>
        <v>2235</v>
      </c>
      <c r="F221" s="84">
        <f ca="1">IF('Invoer gegevens'!$C$17=E221,'Invoer gegevens'!$C$10,IF(C221=1,K220,0))</f>
        <v>0</v>
      </c>
      <c r="G221" s="96">
        <f ca="1">IF(C221&gt;=1,F221*VLOOKUP(E221,Reeksen!$A$5:$B$76,2),0)</f>
        <v>0</v>
      </c>
      <c r="H221" s="84">
        <f ca="1">(1-('Invoer gegevens'!$F$20/12))*F221*MIN(Reeksen!B221,Reeksen!D221)</f>
        <v>0</v>
      </c>
      <c r="I221" s="84">
        <f>IF(Reeksen!D221&lt;Reeksen!B221,(Reeksen!B221-Reeksen!D221)*F221,0)</f>
        <v>0</v>
      </c>
      <c r="J221" s="84">
        <f ca="1">('Invoer gegevens'!$F$20/12)*F220*MIN(Reeksen!B220,Reeksen!D220)</f>
        <v>0</v>
      </c>
      <c r="K221" s="97">
        <f t="shared" ca="1" si="34"/>
        <v>0</v>
      </c>
      <c r="L221" s="84">
        <f ca="1">IF('Invoer gegevens'!$C$17=E221,0,IF(C221=1,Q220,0))</f>
        <v>0</v>
      </c>
      <c r="M221" s="96">
        <f ca="1">IF(C221&gt;=1,L221*VLOOKUP(E221,Reeksen!$A$5:$B$76,2),0)</f>
        <v>0</v>
      </c>
      <c r="N221" s="84">
        <f ca="1">(1-('Invoer gegevens'!$F$20/12))*L221*MIN(Reeksen!B221,Reeksen!D221)</f>
        <v>0</v>
      </c>
      <c r="O221" s="84">
        <f>IF(Reeksen!D221&lt;Reeksen!B221,(Reeksen!B221-Reeksen!D221)*L221,0)</f>
        <v>0</v>
      </c>
      <c r="P221" s="84">
        <f ca="1">('Invoer gegevens'!$F$20/12)*L220*MIN(Reeksen!B220,Reeksen!D220)</f>
        <v>0</v>
      </c>
      <c r="Q221" s="84">
        <f t="shared" ca="1" si="35"/>
        <v>0</v>
      </c>
      <c r="R221" s="82">
        <f ca="1">IF('Invoer gegevens'!$C$17=E221,'Invoer gegevens'!$C$11,IF(C221=1,W220,0))</f>
        <v>0</v>
      </c>
      <c r="S221" s="86">
        <f ca="1">IF(C221&gt;=1,R221*VLOOKUP(E221,Reeksen!$A$5:$B$76,2),0)</f>
        <v>0</v>
      </c>
      <c r="T221" s="84">
        <f ca="1">(1-('Invoer gegevens'!$F$20/12))*R221*MIN(Reeksen!B221,Reeksen!D221)</f>
        <v>0</v>
      </c>
      <c r="U221" s="84">
        <f>IF(Reeksen!D221&gt;=Reeksen!B221,0,IF(Reeksen!AK221&lt;=Reeksen!AE221,(Reeksen!B221-Reeksen!D221)*R221,0))</f>
        <v>0</v>
      </c>
      <c r="V221" s="86">
        <f>IF(Reeksen!D221&gt;=Reeksen!B221,0,IF(Reeksen!AK221&gt;Reeksen!AE221,(Reeksen!B221-Reeksen!D221)*R221,0))</f>
        <v>0</v>
      </c>
      <c r="W221" s="97">
        <f t="shared" ca="1" si="36"/>
        <v>0</v>
      </c>
      <c r="X221" s="98">
        <f ca="1">IF('Invoer gegevens'!$C$17=E221,'Invoer gegevens'!$C$10-'Invoer gegevens'!$C$11,IF(C221=1,AC220,0))</f>
        <v>0</v>
      </c>
      <c r="Y221" s="98">
        <f ca="1">IF(C221&gt;=1,X221*VLOOKUP(E221,Reeksen!$A$5:$B$76,2),0)</f>
        <v>0</v>
      </c>
      <c r="Z221" s="98">
        <f ca="1">(1-('Invoer gegevens'!$F$20/12))*X221*MIN(Reeksen!B221,Reeksen!D221)</f>
        <v>0</v>
      </c>
      <c r="AA221" s="98">
        <f>IF(Reeksen!D221&gt;=Reeksen!B221,0,IF(Reeksen!AK221&lt;=Reeksen!AE221,(Reeksen!B221-Reeksen!D221)*X221,0))</f>
        <v>0</v>
      </c>
      <c r="AB221" s="98">
        <f>IF(Reeksen!D221&gt;=Reeksen!B221,0,IF(Reeksen!AK221&gt;Reeksen!AE221,(Reeksen!B221-Reeksen!D221)*X221,0))</f>
        <v>0</v>
      </c>
      <c r="AC221" s="99">
        <f t="shared" ca="1" si="37"/>
        <v>0</v>
      </c>
      <c r="AD221" s="98">
        <f ca="1">IF('Invoer gegevens'!$C$17=E221,R221,IF(C221=0,0,AE220))</f>
        <v>0</v>
      </c>
      <c r="AE221" s="98">
        <f t="shared" ca="1" si="38"/>
        <v>0</v>
      </c>
      <c r="AF221" s="98">
        <f ca="1">IF('Invoer gegevens'!$C$17=E221,X221,IF(C221=0,0,AG220))</f>
        <v>0</v>
      </c>
      <c r="AG221" s="98">
        <f t="shared" ca="1" si="39"/>
        <v>0</v>
      </c>
      <c r="AH221" s="68"/>
      <c r="AI221" s="71">
        <f ca="1">IF(C221=1,Reeksen!AJ221*((F221-G221+F221)/2)*12+Reeksen!AK221*((L221-M221+L221)/2)*12,0)</f>
        <v>0</v>
      </c>
      <c r="AJ221" s="71">
        <f ca="1">-AI221*'Invoer gegevens'!$F$28</f>
        <v>0</v>
      </c>
      <c r="AK221" s="71">
        <f t="shared" ca="1" si="33"/>
        <v>0</v>
      </c>
      <c r="AL221" s="71">
        <f ca="1">IF(C221=1,Reeksen!AL221*((F221-G221+F221)/2)*12+Reeksen!AM221*((L221-M221+L221)/2)*12,0)</f>
        <v>0</v>
      </c>
      <c r="AM221" s="71">
        <f ca="1">-AL221*'Invoer gegevens'!$F$31</f>
        <v>0</v>
      </c>
      <c r="AN221" s="71">
        <f t="shared" ca="1" si="40"/>
        <v>0</v>
      </c>
      <c r="AO221" s="71">
        <f ca="1">IF(C221=1,(H221+J221+N221+P221)*Reeksen!AN221,0)</f>
        <v>0</v>
      </c>
      <c r="AP221" s="71">
        <f ca="1">-IF(C221=1,(H221+J221+N221+P221)*'Hulp - basis'!$G$550*Reeksen!H221,0)</f>
        <v>0</v>
      </c>
      <c r="AQ221" s="71">
        <f ca="1">-IF(C221=1,(F221+K221+L221+Q221)/2*'Invoer gegevens'!$I$33*Reeksen!J221,0)*2</f>
        <v>0</v>
      </c>
      <c r="AR221" s="71">
        <f ca="1">-IF(C221=1,(I221*'Invoer gegevens'!$I$34)*Reeksen!J221,0)</f>
        <v>0</v>
      </c>
      <c r="AS221" s="71">
        <f ca="1">-IF(C221=1,(F221+K221+L221+Q221)/2*'Invoer gegevens'!$I$35*Reeksen!L221,0)</f>
        <v>0</v>
      </c>
      <c r="AT221" s="71">
        <f ca="1">-IF(C221=1,IF(E221='Invoer gegevens'!$C$17,'Invoer gegevens'!$C$11,AD221)*Reeksen!S221*'Invoer gegevens'!$C$18*Reeksen!P221,0)</f>
        <v>0</v>
      </c>
      <c r="AU221" s="71">
        <f ca="1">-IF(C221=1,(F221+K221+L221+Q221)/2*'Invoer gegevens'!$I$36*Reeksen!H221,0)</f>
        <v>0</v>
      </c>
      <c r="AV221" s="71">
        <f>IF('Invoer gegevens'!$C$3="Basis",0,#REF!)</f>
        <v>0</v>
      </c>
      <c r="AW221" s="71">
        <f t="shared" ca="1" si="41"/>
        <v>0</v>
      </c>
      <c r="AX221" s="71">
        <f ca="1">IF(E221&lt;'Invoer gegevens'!$C$17+15,0,IF(E221&gt;'Invoer gegevens'!$C$17+215,0,AW221))</f>
        <v>0</v>
      </c>
      <c r="AY221" s="71">
        <f ca="1">AX221/(1+'Invoer gegevens'!$F$18)^($AZ221-('Invoer gegevens'!$C$17-'Invoer gegevens'!$C$16))/(1+'Invoer gegevens'!$C$39)^('Invoer gegevens'!$C$17-'Invoer gegevens'!$C$16)</f>
        <v>0</v>
      </c>
      <c r="AZ221" s="68">
        <f ca="1">IF(E221-'Invoer gegevens'!$C$17-14.5&lt;0,0,E221-'Invoer gegevens'!$C$17-14.5)</f>
        <v>201.5</v>
      </c>
    </row>
    <row r="222" spans="2:52" x14ac:dyDescent="0.25">
      <c r="B222" s="70">
        <f t="shared" si="42"/>
        <v>218</v>
      </c>
      <c r="C222" s="67">
        <f ca="1">IF(E222-'Invoer gegevens'!$C$17&lt;0,0,1)</f>
        <v>1</v>
      </c>
      <c r="D222" s="68">
        <f t="shared" si="43"/>
        <v>217.5</v>
      </c>
      <c r="E222" s="108">
        <f ca="1">IF('Invoer gegevens'!$C$16="","",E221+1)</f>
        <v>2236</v>
      </c>
      <c r="F222" s="84">
        <f ca="1">IF('Invoer gegevens'!$C$17=E222,'Invoer gegevens'!$C$10,IF(C222=1,K221,0))</f>
        <v>0</v>
      </c>
      <c r="G222" s="96">
        <f ca="1">IF(C222&gt;=1,F222*VLOOKUP(E222,Reeksen!$A$5:$B$76,2),0)</f>
        <v>0</v>
      </c>
      <c r="H222" s="84">
        <f ca="1">(1-('Invoer gegevens'!$F$20/12))*F222*MIN(Reeksen!B222,Reeksen!D222)</f>
        <v>0</v>
      </c>
      <c r="I222" s="84">
        <f>IF(Reeksen!D222&lt;Reeksen!B222,(Reeksen!B222-Reeksen!D222)*F222,0)</f>
        <v>0</v>
      </c>
      <c r="J222" s="84">
        <f ca="1">('Invoer gegevens'!$F$20/12)*F221*MIN(Reeksen!B221,Reeksen!D221)</f>
        <v>0</v>
      </c>
      <c r="K222" s="97">
        <f t="shared" ca="1" si="34"/>
        <v>0</v>
      </c>
      <c r="L222" s="84">
        <f ca="1">IF('Invoer gegevens'!$C$17=E222,0,IF(C222=1,Q221,0))</f>
        <v>0</v>
      </c>
      <c r="M222" s="96">
        <f ca="1">IF(C222&gt;=1,L222*VLOOKUP(E222,Reeksen!$A$5:$B$76,2),0)</f>
        <v>0</v>
      </c>
      <c r="N222" s="84">
        <f ca="1">(1-('Invoer gegevens'!$F$20/12))*L222*MIN(Reeksen!B222,Reeksen!D222)</f>
        <v>0</v>
      </c>
      <c r="O222" s="84">
        <f>IF(Reeksen!D222&lt;Reeksen!B222,(Reeksen!B222-Reeksen!D222)*L222,0)</f>
        <v>0</v>
      </c>
      <c r="P222" s="84">
        <f ca="1">('Invoer gegevens'!$F$20/12)*L221*MIN(Reeksen!B221,Reeksen!D221)</f>
        <v>0</v>
      </c>
      <c r="Q222" s="84">
        <f t="shared" ca="1" si="35"/>
        <v>0</v>
      </c>
      <c r="R222" s="82">
        <f ca="1">IF('Invoer gegevens'!$C$17=E222,'Invoer gegevens'!$C$11,IF(C222=1,W221,0))</f>
        <v>0</v>
      </c>
      <c r="S222" s="86">
        <f ca="1">IF(C222&gt;=1,R222*VLOOKUP(E222,Reeksen!$A$5:$B$76,2),0)</f>
        <v>0</v>
      </c>
      <c r="T222" s="84">
        <f ca="1">(1-('Invoer gegevens'!$F$20/12))*R222*MIN(Reeksen!B222,Reeksen!D222)</f>
        <v>0</v>
      </c>
      <c r="U222" s="84">
        <f>IF(Reeksen!D222&gt;=Reeksen!B222,0,IF(Reeksen!AK222&lt;=Reeksen!AE222,(Reeksen!B222-Reeksen!D222)*R222,0))</f>
        <v>0</v>
      </c>
      <c r="V222" s="86">
        <f>IF(Reeksen!D222&gt;=Reeksen!B222,0,IF(Reeksen!AK222&gt;Reeksen!AE222,(Reeksen!B222-Reeksen!D222)*R222,0))</f>
        <v>0</v>
      </c>
      <c r="W222" s="97">
        <f t="shared" ca="1" si="36"/>
        <v>0</v>
      </c>
      <c r="X222" s="98">
        <f ca="1">IF('Invoer gegevens'!$C$17=E222,'Invoer gegevens'!$C$10-'Invoer gegevens'!$C$11,IF(C222=1,AC221,0))</f>
        <v>0</v>
      </c>
      <c r="Y222" s="98">
        <f ca="1">IF(C222&gt;=1,X222*VLOOKUP(E222,Reeksen!$A$5:$B$76,2),0)</f>
        <v>0</v>
      </c>
      <c r="Z222" s="98">
        <f ca="1">(1-('Invoer gegevens'!$F$20/12))*X222*MIN(Reeksen!B222,Reeksen!D222)</f>
        <v>0</v>
      </c>
      <c r="AA222" s="98">
        <f>IF(Reeksen!D222&gt;=Reeksen!B222,0,IF(Reeksen!AK222&lt;=Reeksen!AE222,(Reeksen!B222-Reeksen!D222)*X222,0))</f>
        <v>0</v>
      </c>
      <c r="AB222" s="98">
        <f>IF(Reeksen!D222&gt;=Reeksen!B222,0,IF(Reeksen!AK222&gt;Reeksen!AE222,(Reeksen!B222-Reeksen!D222)*X222,0))</f>
        <v>0</v>
      </c>
      <c r="AC222" s="99">
        <f t="shared" ca="1" si="37"/>
        <v>0</v>
      </c>
      <c r="AD222" s="98">
        <f ca="1">IF('Invoer gegevens'!$C$17=E222,R222,IF(C222=0,0,AE221))</f>
        <v>0</v>
      </c>
      <c r="AE222" s="98">
        <f t="shared" ca="1" si="38"/>
        <v>0</v>
      </c>
      <c r="AF222" s="98">
        <f ca="1">IF('Invoer gegevens'!$C$17=E222,X222,IF(C222=0,0,AG221))</f>
        <v>0</v>
      </c>
      <c r="AG222" s="98">
        <f t="shared" ca="1" si="39"/>
        <v>0</v>
      </c>
      <c r="AH222" s="68"/>
      <c r="AI222" s="71">
        <f ca="1">IF(C222=1,Reeksen!AJ222*((F222-G222+F222)/2)*12+Reeksen!AK222*((L222-M222+L222)/2)*12,0)</f>
        <v>0</v>
      </c>
      <c r="AJ222" s="71">
        <f ca="1">-AI222*'Invoer gegevens'!$F$28</f>
        <v>0</v>
      </c>
      <c r="AK222" s="71">
        <f t="shared" ca="1" si="33"/>
        <v>0</v>
      </c>
      <c r="AL222" s="71">
        <f ca="1">IF(C222=1,Reeksen!AL222*((F222-G222+F222)/2)*12+Reeksen!AM222*((L222-M222+L222)/2)*12,0)</f>
        <v>0</v>
      </c>
      <c r="AM222" s="71">
        <f ca="1">-AL222*'Invoer gegevens'!$F$31</f>
        <v>0</v>
      </c>
      <c r="AN222" s="71">
        <f t="shared" ca="1" si="40"/>
        <v>0</v>
      </c>
      <c r="AO222" s="71">
        <f ca="1">IF(C222=1,(H222+J222+N222+P222)*Reeksen!AN222,0)</f>
        <v>0</v>
      </c>
      <c r="AP222" s="71">
        <f ca="1">-IF(C222=1,(H222+J222+N222+P222)*'Hulp - basis'!$G$550*Reeksen!H222,0)</f>
        <v>0</v>
      </c>
      <c r="AQ222" s="71">
        <f ca="1">-IF(C222=1,(F222+K222+L222+Q222)/2*'Invoer gegevens'!$I$33*Reeksen!J222,0)*2</f>
        <v>0</v>
      </c>
      <c r="AR222" s="71">
        <f ca="1">-IF(C222=1,(I222*'Invoer gegevens'!$I$34)*Reeksen!J222,0)</f>
        <v>0</v>
      </c>
      <c r="AS222" s="71">
        <f ca="1">-IF(C222=1,(F222+K222+L222+Q222)/2*'Invoer gegevens'!$I$35*Reeksen!L222,0)</f>
        <v>0</v>
      </c>
      <c r="AT222" s="71">
        <f ca="1">-IF(C222=1,IF(E222='Invoer gegevens'!$C$17,'Invoer gegevens'!$C$11,AD222)*Reeksen!S222*'Invoer gegevens'!$C$18*Reeksen!P222,0)</f>
        <v>0</v>
      </c>
      <c r="AU222" s="71">
        <f ca="1">-IF(C222=1,(F222+K222+L222+Q222)/2*'Invoer gegevens'!$I$36*Reeksen!H222,0)</f>
        <v>0</v>
      </c>
      <c r="AV222" s="71">
        <f>IF('Invoer gegevens'!$C$3="Basis",0,#REF!)</f>
        <v>0</v>
      </c>
      <c r="AW222" s="71">
        <f t="shared" ca="1" si="41"/>
        <v>0</v>
      </c>
      <c r="AX222" s="71">
        <f ca="1">IF(E222&lt;'Invoer gegevens'!$C$17+15,0,IF(E222&gt;'Invoer gegevens'!$C$17+215,0,AW222))</f>
        <v>0</v>
      </c>
      <c r="AY222" s="71">
        <f ca="1">AX222/(1+'Invoer gegevens'!$F$18)^($AZ222-('Invoer gegevens'!$C$17-'Invoer gegevens'!$C$16))/(1+'Invoer gegevens'!$C$39)^('Invoer gegevens'!$C$17-'Invoer gegevens'!$C$16)</f>
        <v>0</v>
      </c>
      <c r="AZ222" s="68">
        <f ca="1">IF(E222-'Invoer gegevens'!$C$17-14.5&lt;0,0,E222-'Invoer gegevens'!$C$17-14.5)</f>
        <v>202.5</v>
      </c>
    </row>
    <row r="223" spans="2:52" x14ac:dyDescent="0.25">
      <c r="B223" s="70">
        <f t="shared" si="42"/>
        <v>219</v>
      </c>
      <c r="C223" s="67">
        <f ca="1">IF(E223-'Invoer gegevens'!$C$17&lt;0,0,1)</f>
        <v>1</v>
      </c>
      <c r="D223" s="68">
        <f t="shared" si="43"/>
        <v>218.5</v>
      </c>
      <c r="E223" s="108">
        <f ca="1">IF('Invoer gegevens'!$C$16="","",E222+1)</f>
        <v>2237</v>
      </c>
      <c r="F223" s="84">
        <f ca="1">IF('Invoer gegevens'!$C$17=E223,'Invoer gegevens'!$C$10,IF(C223=1,K222,0))</f>
        <v>0</v>
      </c>
      <c r="G223" s="96">
        <f ca="1">IF(C223&gt;=1,F223*VLOOKUP(E223,Reeksen!$A$5:$B$76,2),0)</f>
        <v>0</v>
      </c>
      <c r="H223" s="84">
        <f ca="1">(1-('Invoer gegevens'!$F$20/12))*F223*MIN(Reeksen!B223,Reeksen!D223)</f>
        <v>0</v>
      </c>
      <c r="I223" s="84">
        <f>IF(Reeksen!D223&lt;Reeksen!B223,(Reeksen!B223-Reeksen!D223)*F223,0)</f>
        <v>0</v>
      </c>
      <c r="J223" s="84">
        <f ca="1">('Invoer gegevens'!$F$20/12)*F222*MIN(Reeksen!B222,Reeksen!D222)</f>
        <v>0</v>
      </c>
      <c r="K223" s="97">
        <f t="shared" ca="1" si="34"/>
        <v>0</v>
      </c>
      <c r="L223" s="84">
        <f ca="1">IF('Invoer gegevens'!$C$17=E223,0,IF(C223=1,Q222,0))</f>
        <v>0</v>
      </c>
      <c r="M223" s="96">
        <f ca="1">IF(C223&gt;=1,L223*VLOOKUP(E223,Reeksen!$A$5:$B$76,2),0)</f>
        <v>0</v>
      </c>
      <c r="N223" s="84">
        <f ca="1">(1-('Invoer gegevens'!$F$20/12))*L223*MIN(Reeksen!B223,Reeksen!D223)</f>
        <v>0</v>
      </c>
      <c r="O223" s="84">
        <f>IF(Reeksen!D223&lt;Reeksen!B223,(Reeksen!B223-Reeksen!D223)*L223,0)</f>
        <v>0</v>
      </c>
      <c r="P223" s="84">
        <f ca="1">('Invoer gegevens'!$F$20/12)*L222*MIN(Reeksen!B222,Reeksen!D222)</f>
        <v>0</v>
      </c>
      <c r="Q223" s="84">
        <f t="shared" ca="1" si="35"/>
        <v>0</v>
      </c>
      <c r="R223" s="82">
        <f ca="1">IF('Invoer gegevens'!$C$17=E223,'Invoer gegevens'!$C$11,IF(C223=1,W222,0))</f>
        <v>0</v>
      </c>
      <c r="S223" s="86">
        <f ca="1">IF(C223&gt;=1,R223*VLOOKUP(E223,Reeksen!$A$5:$B$76,2),0)</f>
        <v>0</v>
      </c>
      <c r="T223" s="84">
        <f ca="1">(1-('Invoer gegevens'!$F$20/12))*R223*MIN(Reeksen!B223,Reeksen!D223)</f>
        <v>0</v>
      </c>
      <c r="U223" s="84">
        <f>IF(Reeksen!D223&gt;=Reeksen!B223,0,IF(Reeksen!AK223&lt;=Reeksen!AE223,(Reeksen!B223-Reeksen!D223)*R223,0))</f>
        <v>0</v>
      </c>
      <c r="V223" s="86">
        <f>IF(Reeksen!D223&gt;=Reeksen!B223,0,IF(Reeksen!AK223&gt;Reeksen!AE223,(Reeksen!B223-Reeksen!D223)*R223,0))</f>
        <v>0</v>
      </c>
      <c r="W223" s="97">
        <f t="shared" ca="1" si="36"/>
        <v>0</v>
      </c>
      <c r="X223" s="98">
        <f ca="1">IF('Invoer gegevens'!$C$17=E223,'Invoer gegevens'!$C$10-'Invoer gegevens'!$C$11,IF(C223=1,AC222,0))</f>
        <v>0</v>
      </c>
      <c r="Y223" s="98">
        <f ca="1">IF(C223&gt;=1,X223*VLOOKUP(E223,Reeksen!$A$5:$B$76,2),0)</f>
        <v>0</v>
      </c>
      <c r="Z223" s="98">
        <f ca="1">(1-('Invoer gegevens'!$F$20/12))*X223*MIN(Reeksen!B223,Reeksen!D223)</f>
        <v>0</v>
      </c>
      <c r="AA223" s="98">
        <f>IF(Reeksen!D223&gt;=Reeksen!B223,0,IF(Reeksen!AK223&lt;=Reeksen!AE223,(Reeksen!B223-Reeksen!D223)*X223,0))</f>
        <v>0</v>
      </c>
      <c r="AB223" s="98">
        <f>IF(Reeksen!D223&gt;=Reeksen!B223,0,IF(Reeksen!AK223&gt;Reeksen!AE223,(Reeksen!B223-Reeksen!D223)*X223,0))</f>
        <v>0</v>
      </c>
      <c r="AC223" s="99">
        <f t="shared" ca="1" si="37"/>
        <v>0</v>
      </c>
      <c r="AD223" s="98">
        <f ca="1">IF('Invoer gegevens'!$C$17=E223,R223,IF(C223=0,0,AE222))</f>
        <v>0</v>
      </c>
      <c r="AE223" s="98">
        <f t="shared" ca="1" si="38"/>
        <v>0</v>
      </c>
      <c r="AF223" s="98">
        <f ca="1">IF('Invoer gegevens'!$C$17=E223,X223,IF(C223=0,0,AG222))</f>
        <v>0</v>
      </c>
      <c r="AG223" s="98">
        <f t="shared" ca="1" si="39"/>
        <v>0</v>
      </c>
      <c r="AH223" s="68"/>
      <c r="AI223" s="71">
        <f ca="1">IF(C223=1,Reeksen!AJ223*((F223-G223+F223)/2)*12+Reeksen!AK223*((L223-M223+L223)/2)*12,0)</f>
        <v>0</v>
      </c>
      <c r="AJ223" s="71">
        <f ca="1">-AI223*'Invoer gegevens'!$F$28</f>
        <v>0</v>
      </c>
      <c r="AK223" s="71">
        <f t="shared" ca="1" si="33"/>
        <v>0</v>
      </c>
      <c r="AL223" s="71">
        <f ca="1">IF(C223=1,Reeksen!AL223*((F223-G223+F223)/2)*12+Reeksen!AM223*((L223-M223+L223)/2)*12,0)</f>
        <v>0</v>
      </c>
      <c r="AM223" s="71">
        <f ca="1">-AL223*'Invoer gegevens'!$F$31</f>
        <v>0</v>
      </c>
      <c r="AN223" s="71">
        <f t="shared" ca="1" si="40"/>
        <v>0</v>
      </c>
      <c r="AO223" s="71">
        <f ca="1">IF(C223=1,(H223+J223+N223+P223)*Reeksen!AN223,0)</f>
        <v>0</v>
      </c>
      <c r="AP223" s="71">
        <f ca="1">-IF(C223=1,(H223+J223+N223+P223)*'Hulp - basis'!$G$550*Reeksen!H223,0)</f>
        <v>0</v>
      </c>
      <c r="AQ223" s="71">
        <f ca="1">-IF(C223=1,(F223+K223+L223+Q223)/2*'Invoer gegevens'!$I$33*Reeksen!J223,0)*2</f>
        <v>0</v>
      </c>
      <c r="AR223" s="71">
        <f ca="1">-IF(C223=1,(I223*'Invoer gegevens'!$I$34)*Reeksen!J223,0)</f>
        <v>0</v>
      </c>
      <c r="AS223" s="71">
        <f ca="1">-IF(C223=1,(F223+K223+L223+Q223)/2*'Invoer gegevens'!$I$35*Reeksen!L223,0)</f>
        <v>0</v>
      </c>
      <c r="AT223" s="71">
        <f ca="1">-IF(C223=1,IF(E223='Invoer gegevens'!$C$17,'Invoer gegevens'!$C$11,AD223)*Reeksen!S223*'Invoer gegevens'!$C$18*Reeksen!P223,0)</f>
        <v>0</v>
      </c>
      <c r="AU223" s="71">
        <f ca="1">-IF(C223=1,(F223+K223+L223+Q223)/2*'Invoer gegevens'!$I$36*Reeksen!H223,0)</f>
        <v>0</v>
      </c>
      <c r="AV223" s="71">
        <f>IF('Invoer gegevens'!$C$3="Basis",0,#REF!)</f>
        <v>0</v>
      </c>
      <c r="AW223" s="71">
        <f t="shared" ca="1" si="41"/>
        <v>0</v>
      </c>
      <c r="AX223" s="71">
        <f ca="1">IF(E223&lt;'Invoer gegevens'!$C$17+15,0,IF(E223&gt;'Invoer gegevens'!$C$17+215,0,AW223))</f>
        <v>0</v>
      </c>
      <c r="AY223" s="71">
        <f ca="1">AX223/(1+'Invoer gegevens'!$F$18)^($AZ223-('Invoer gegevens'!$C$17-'Invoer gegevens'!$C$16))/(1+'Invoer gegevens'!$C$39)^('Invoer gegevens'!$C$17-'Invoer gegevens'!$C$16)</f>
        <v>0</v>
      </c>
      <c r="AZ223" s="68">
        <f ca="1">IF(E223-'Invoer gegevens'!$C$17-14.5&lt;0,0,E223-'Invoer gegevens'!$C$17-14.5)</f>
        <v>203.5</v>
      </c>
    </row>
    <row r="224" spans="2:52" x14ac:dyDescent="0.25">
      <c r="B224" s="70">
        <f t="shared" si="42"/>
        <v>220</v>
      </c>
      <c r="C224" s="67">
        <f ca="1">IF(E224-'Invoer gegevens'!$C$17&lt;0,0,1)</f>
        <v>1</v>
      </c>
      <c r="D224" s="68">
        <f t="shared" si="43"/>
        <v>219.5</v>
      </c>
      <c r="E224" s="108">
        <f ca="1">IF('Invoer gegevens'!$C$16="","",E223+1)</f>
        <v>2238</v>
      </c>
      <c r="F224" s="84">
        <f ca="1">IF('Invoer gegevens'!$C$17=E224,'Invoer gegevens'!$C$10,IF(C224=1,K223,0))</f>
        <v>0</v>
      </c>
      <c r="G224" s="96">
        <f ca="1">IF(C224&gt;=1,F224*VLOOKUP(E224,Reeksen!$A$5:$B$76,2),0)</f>
        <v>0</v>
      </c>
      <c r="H224" s="84">
        <f ca="1">(1-('Invoer gegevens'!$F$20/12))*F224*MIN(Reeksen!B224,Reeksen!D224)</f>
        <v>0</v>
      </c>
      <c r="I224" s="84">
        <f>IF(Reeksen!D224&lt;Reeksen!B224,(Reeksen!B224-Reeksen!D224)*F224,0)</f>
        <v>0</v>
      </c>
      <c r="J224" s="84">
        <f ca="1">('Invoer gegevens'!$F$20/12)*F223*MIN(Reeksen!B223,Reeksen!D223)</f>
        <v>0</v>
      </c>
      <c r="K224" s="97">
        <f t="shared" ca="1" si="34"/>
        <v>0</v>
      </c>
      <c r="L224" s="84">
        <f ca="1">IF('Invoer gegevens'!$C$17=E224,0,IF(C224=1,Q223,0))</f>
        <v>0</v>
      </c>
      <c r="M224" s="96">
        <f ca="1">IF(C224&gt;=1,L224*VLOOKUP(E224,Reeksen!$A$5:$B$76,2),0)</f>
        <v>0</v>
      </c>
      <c r="N224" s="84">
        <f ca="1">(1-('Invoer gegevens'!$F$20/12))*L224*MIN(Reeksen!B224,Reeksen!D224)</f>
        <v>0</v>
      </c>
      <c r="O224" s="84">
        <f>IF(Reeksen!D224&lt;Reeksen!B224,(Reeksen!B224-Reeksen!D224)*L224,0)</f>
        <v>0</v>
      </c>
      <c r="P224" s="84">
        <f ca="1">('Invoer gegevens'!$F$20/12)*L223*MIN(Reeksen!B223,Reeksen!D223)</f>
        <v>0</v>
      </c>
      <c r="Q224" s="84">
        <f t="shared" ca="1" si="35"/>
        <v>0</v>
      </c>
      <c r="R224" s="82">
        <f ca="1">IF('Invoer gegevens'!$C$17=E224,'Invoer gegevens'!$C$11,IF(C224=1,W223,0))</f>
        <v>0</v>
      </c>
      <c r="S224" s="86">
        <f ca="1">IF(C224&gt;=1,R224*VLOOKUP(E224,Reeksen!$A$5:$B$76,2),0)</f>
        <v>0</v>
      </c>
      <c r="T224" s="84">
        <f ca="1">(1-('Invoer gegevens'!$F$20/12))*R224*MIN(Reeksen!B224,Reeksen!D224)</f>
        <v>0</v>
      </c>
      <c r="U224" s="84">
        <f>IF(Reeksen!D224&gt;=Reeksen!B224,0,IF(Reeksen!AK224&lt;=Reeksen!AE224,(Reeksen!B224-Reeksen!D224)*R224,0))</f>
        <v>0</v>
      </c>
      <c r="V224" s="86">
        <f>IF(Reeksen!D224&gt;=Reeksen!B224,0,IF(Reeksen!AK224&gt;Reeksen!AE224,(Reeksen!B224-Reeksen!D224)*R224,0))</f>
        <v>0</v>
      </c>
      <c r="W224" s="97">
        <f t="shared" ca="1" si="36"/>
        <v>0</v>
      </c>
      <c r="X224" s="98">
        <f ca="1">IF('Invoer gegevens'!$C$17=E224,'Invoer gegevens'!$C$10-'Invoer gegevens'!$C$11,IF(C224=1,AC223,0))</f>
        <v>0</v>
      </c>
      <c r="Y224" s="98">
        <f ca="1">IF(C224&gt;=1,X224*VLOOKUP(E224,Reeksen!$A$5:$B$76,2),0)</f>
        <v>0</v>
      </c>
      <c r="Z224" s="98">
        <f ca="1">(1-('Invoer gegevens'!$F$20/12))*X224*MIN(Reeksen!B224,Reeksen!D224)</f>
        <v>0</v>
      </c>
      <c r="AA224" s="98">
        <f>IF(Reeksen!D224&gt;=Reeksen!B224,0,IF(Reeksen!AK224&lt;=Reeksen!AE224,(Reeksen!B224-Reeksen!D224)*X224,0))</f>
        <v>0</v>
      </c>
      <c r="AB224" s="98">
        <f>IF(Reeksen!D224&gt;=Reeksen!B224,0,IF(Reeksen!AK224&gt;Reeksen!AE224,(Reeksen!B224-Reeksen!D224)*X224,0))</f>
        <v>0</v>
      </c>
      <c r="AC224" s="99">
        <f t="shared" ca="1" si="37"/>
        <v>0</v>
      </c>
      <c r="AD224" s="98">
        <f ca="1">IF('Invoer gegevens'!$C$17=E224,R224,IF(C224=0,0,AE223))</f>
        <v>0</v>
      </c>
      <c r="AE224" s="98">
        <f t="shared" ca="1" si="38"/>
        <v>0</v>
      </c>
      <c r="AF224" s="98">
        <f ca="1">IF('Invoer gegevens'!$C$17=E224,X224,IF(C224=0,0,AG223))</f>
        <v>0</v>
      </c>
      <c r="AG224" s="98">
        <f t="shared" ca="1" si="39"/>
        <v>0</v>
      </c>
      <c r="AH224" s="68"/>
      <c r="AI224" s="71">
        <f ca="1">IF(C224=1,Reeksen!AJ224*((F224-G224+F224)/2)*12+Reeksen!AK224*((L224-M224+L224)/2)*12,0)</f>
        <v>0</v>
      </c>
      <c r="AJ224" s="71">
        <f ca="1">-AI224*'Invoer gegevens'!$F$28</f>
        <v>0</v>
      </c>
      <c r="AK224" s="71">
        <f t="shared" ca="1" si="33"/>
        <v>0</v>
      </c>
      <c r="AL224" s="71">
        <f ca="1">IF(C224=1,Reeksen!AL224*((F224-G224+F224)/2)*12+Reeksen!AM224*((L224-M224+L224)/2)*12,0)</f>
        <v>0</v>
      </c>
      <c r="AM224" s="71">
        <f ca="1">-AL224*'Invoer gegevens'!$F$31</f>
        <v>0</v>
      </c>
      <c r="AN224" s="71">
        <f t="shared" ca="1" si="40"/>
        <v>0</v>
      </c>
      <c r="AO224" s="71">
        <f ca="1">IF(C224=1,(H224+J224+N224+P224)*Reeksen!AN224,0)</f>
        <v>0</v>
      </c>
      <c r="AP224" s="71">
        <f ca="1">-IF(C224=1,(H224+J224+N224+P224)*'Hulp - basis'!$G$550*Reeksen!H224,0)</f>
        <v>0</v>
      </c>
      <c r="AQ224" s="71">
        <f ca="1">-IF(C224=1,(F224+K224+L224+Q224)/2*'Invoer gegevens'!$I$33*Reeksen!J224,0)*2</f>
        <v>0</v>
      </c>
      <c r="AR224" s="71">
        <f ca="1">-IF(C224=1,(I224*'Invoer gegevens'!$I$34)*Reeksen!J224,0)</f>
        <v>0</v>
      </c>
      <c r="AS224" s="71">
        <f ca="1">-IF(C224=1,(F224+K224+L224+Q224)/2*'Invoer gegevens'!$I$35*Reeksen!L224,0)</f>
        <v>0</v>
      </c>
      <c r="AT224" s="71">
        <f ca="1">-IF(C224=1,IF(E224='Invoer gegevens'!$C$17,'Invoer gegevens'!$C$11,AD224)*Reeksen!S224*'Invoer gegevens'!$C$18*Reeksen!P224,0)</f>
        <v>0</v>
      </c>
      <c r="AU224" s="71">
        <f ca="1">-IF(C224=1,(F224+K224+L224+Q224)/2*'Invoer gegevens'!$I$36*Reeksen!H224,0)</f>
        <v>0</v>
      </c>
      <c r="AV224" s="71">
        <f>IF('Invoer gegevens'!$C$3="Basis",0,#REF!)</f>
        <v>0</v>
      </c>
      <c r="AW224" s="71">
        <f t="shared" ca="1" si="41"/>
        <v>0</v>
      </c>
      <c r="AX224" s="71">
        <f ca="1">IF(E224&lt;'Invoer gegevens'!$C$17+15,0,IF(E224&gt;'Invoer gegevens'!$C$17+215,0,AW224))</f>
        <v>0</v>
      </c>
      <c r="AY224" s="71">
        <f ca="1">AX224/(1+'Invoer gegevens'!$F$18)^($AZ224-('Invoer gegevens'!$C$17-'Invoer gegevens'!$C$16))/(1+'Invoer gegevens'!$C$39)^('Invoer gegevens'!$C$17-'Invoer gegevens'!$C$16)</f>
        <v>0</v>
      </c>
      <c r="AZ224" s="68">
        <f ca="1">IF(E224-'Invoer gegevens'!$C$17-14.5&lt;0,0,E224-'Invoer gegevens'!$C$17-14.5)</f>
        <v>204.5</v>
      </c>
    </row>
    <row r="225" spans="1:52" x14ac:dyDescent="0.25">
      <c r="B225" s="70">
        <f t="shared" si="42"/>
        <v>221</v>
      </c>
      <c r="C225" s="67">
        <f ca="1">IF(E225-'Invoer gegevens'!$C$17&lt;0,0,1)</f>
        <v>1</v>
      </c>
      <c r="D225" s="68">
        <f t="shared" si="43"/>
        <v>220.5</v>
      </c>
      <c r="E225" s="108">
        <f ca="1">IF('Invoer gegevens'!$C$16="","",E224+1)</f>
        <v>2239</v>
      </c>
      <c r="F225" s="84">
        <f ca="1">IF('Invoer gegevens'!$C$17=E225,'Invoer gegevens'!$C$10,IF(C225=1,K224,0))</f>
        <v>0</v>
      </c>
      <c r="G225" s="96">
        <f ca="1">IF(C225&gt;=1,F225*VLOOKUP(E225,Reeksen!$A$5:$B$76,2),0)</f>
        <v>0</v>
      </c>
      <c r="H225" s="84">
        <f ca="1">(1-('Invoer gegevens'!$F$20/12))*F225*MIN(Reeksen!B225,Reeksen!D225)</f>
        <v>0</v>
      </c>
      <c r="I225" s="84">
        <f>IF(Reeksen!D225&lt;Reeksen!B225,(Reeksen!B225-Reeksen!D225)*F225,0)</f>
        <v>0</v>
      </c>
      <c r="J225" s="84">
        <f ca="1">('Invoer gegevens'!$F$20/12)*F224*MIN(Reeksen!B224,Reeksen!D224)</f>
        <v>0</v>
      </c>
      <c r="K225" s="97">
        <f t="shared" ca="1" si="34"/>
        <v>0</v>
      </c>
      <c r="L225" s="84">
        <f ca="1">IF('Invoer gegevens'!$C$17=E225,0,IF(C225=1,Q224,0))</f>
        <v>0</v>
      </c>
      <c r="M225" s="96">
        <f ca="1">IF(C225&gt;=1,L225*VLOOKUP(E225,Reeksen!$A$5:$B$76,2),0)</f>
        <v>0</v>
      </c>
      <c r="N225" s="84">
        <f ca="1">(1-('Invoer gegevens'!$F$20/12))*L225*MIN(Reeksen!B225,Reeksen!D225)</f>
        <v>0</v>
      </c>
      <c r="O225" s="84">
        <f>IF(Reeksen!D225&lt;Reeksen!B225,(Reeksen!B225-Reeksen!D225)*L225,0)</f>
        <v>0</v>
      </c>
      <c r="P225" s="84">
        <f ca="1">('Invoer gegevens'!$F$20/12)*L224*MIN(Reeksen!B224,Reeksen!D224)</f>
        <v>0</v>
      </c>
      <c r="Q225" s="84">
        <f t="shared" ca="1" si="35"/>
        <v>0</v>
      </c>
      <c r="R225" s="82">
        <f ca="1">IF('Invoer gegevens'!$C$17=E225,'Invoer gegevens'!$C$11,IF(C225=1,W224,0))</f>
        <v>0</v>
      </c>
      <c r="S225" s="86">
        <f ca="1">IF(C225&gt;=1,R225*VLOOKUP(E225,Reeksen!$A$5:$B$76,2),0)</f>
        <v>0</v>
      </c>
      <c r="T225" s="84">
        <f ca="1">(1-('Invoer gegevens'!$F$20/12))*R225*MIN(Reeksen!B225,Reeksen!D225)</f>
        <v>0</v>
      </c>
      <c r="U225" s="84">
        <f>IF(Reeksen!D225&gt;=Reeksen!B225,0,IF(Reeksen!AK225&lt;=Reeksen!AE225,(Reeksen!B225-Reeksen!D225)*R225,0))</f>
        <v>0</v>
      </c>
      <c r="V225" s="86">
        <f>IF(Reeksen!D225&gt;=Reeksen!B225,0,IF(Reeksen!AK225&gt;Reeksen!AE225,(Reeksen!B225-Reeksen!D225)*R225,0))</f>
        <v>0</v>
      </c>
      <c r="W225" s="97">
        <f t="shared" ca="1" si="36"/>
        <v>0</v>
      </c>
      <c r="X225" s="98">
        <f ca="1">IF('Invoer gegevens'!$C$17=E225,'Invoer gegevens'!$C$10-'Invoer gegevens'!$C$11,IF(C225=1,AC224,0))</f>
        <v>0</v>
      </c>
      <c r="Y225" s="98">
        <f ca="1">IF(C225&gt;=1,X225*VLOOKUP(E225,Reeksen!$A$5:$B$76,2),0)</f>
        <v>0</v>
      </c>
      <c r="Z225" s="98">
        <f ca="1">(1-('Invoer gegevens'!$F$20/12))*X225*MIN(Reeksen!B225,Reeksen!D225)</f>
        <v>0</v>
      </c>
      <c r="AA225" s="98">
        <f>IF(Reeksen!D225&gt;=Reeksen!B225,0,IF(Reeksen!AK225&lt;=Reeksen!AE225,(Reeksen!B225-Reeksen!D225)*X225,0))</f>
        <v>0</v>
      </c>
      <c r="AB225" s="98">
        <f>IF(Reeksen!D225&gt;=Reeksen!B225,0,IF(Reeksen!AK225&gt;Reeksen!AE225,(Reeksen!B225-Reeksen!D225)*X225,0))</f>
        <v>0</v>
      </c>
      <c r="AC225" s="99">
        <f t="shared" ca="1" si="37"/>
        <v>0</v>
      </c>
      <c r="AD225" s="98">
        <f ca="1">IF('Invoer gegevens'!$C$17=E225,R225,IF(C225=0,0,AE224))</f>
        <v>0</v>
      </c>
      <c r="AE225" s="98">
        <f t="shared" ca="1" si="38"/>
        <v>0</v>
      </c>
      <c r="AF225" s="98">
        <f ca="1">IF('Invoer gegevens'!$C$17=E225,X225,IF(C225=0,0,AG224))</f>
        <v>0</v>
      </c>
      <c r="AG225" s="98">
        <f t="shared" ca="1" si="39"/>
        <v>0</v>
      </c>
      <c r="AH225" s="68"/>
      <c r="AI225" s="71">
        <f ca="1">IF(C225=1,Reeksen!AJ225*((F225-G225+F225)/2)*12+Reeksen!AK225*((L225-M225+L225)/2)*12,0)</f>
        <v>0</v>
      </c>
      <c r="AJ225" s="71">
        <f ca="1">-AI225*'Invoer gegevens'!$F$28</f>
        <v>0</v>
      </c>
      <c r="AK225" s="71">
        <f t="shared" ca="1" si="33"/>
        <v>0</v>
      </c>
      <c r="AL225" s="71">
        <f ca="1">IF(C225=1,Reeksen!AL225*((F225-G225+F225)/2)*12+Reeksen!AM225*((L225-M225+L225)/2)*12,0)</f>
        <v>0</v>
      </c>
      <c r="AM225" s="71">
        <f ca="1">-AL225*'Invoer gegevens'!$F$31</f>
        <v>0</v>
      </c>
      <c r="AN225" s="71">
        <f t="shared" ca="1" si="40"/>
        <v>0</v>
      </c>
      <c r="AO225" s="71">
        <f ca="1">IF(C225=1,(H225+J225+N225+P225)*Reeksen!AN225,0)</f>
        <v>0</v>
      </c>
      <c r="AP225" s="71">
        <f ca="1">-IF(C225=1,(H225+J225+N225+P225)*'Hulp - basis'!$G$550*Reeksen!H225,0)</f>
        <v>0</v>
      </c>
      <c r="AQ225" s="71">
        <f ca="1">-IF(C225=1,(F225+K225+L225+Q225)/2*'Invoer gegevens'!$I$33*Reeksen!J225,0)*2</f>
        <v>0</v>
      </c>
      <c r="AR225" s="71">
        <f ca="1">-IF(C225=1,(I225*'Invoer gegevens'!$I$34)*Reeksen!J225,0)</f>
        <v>0</v>
      </c>
      <c r="AS225" s="71">
        <f ca="1">-IF(C225=1,(F225+K225+L225+Q225)/2*'Invoer gegevens'!$I$35*Reeksen!L225,0)</f>
        <v>0</v>
      </c>
      <c r="AT225" s="71">
        <f ca="1">-IF(C225=1,IF(E225='Invoer gegevens'!$C$17,'Invoer gegevens'!$C$11,AD225)*Reeksen!S225*'Invoer gegevens'!$C$18*Reeksen!P225,0)</f>
        <v>0</v>
      </c>
      <c r="AU225" s="71">
        <f ca="1">-IF(C225=1,(F225+K225+L225+Q225)/2*'Invoer gegevens'!$I$36*Reeksen!H225,0)</f>
        <v>0</v>
      </c>
      <c r="AV225" s="71">
        <f>IF('Invoer gegevens'!$C$3="Basis",0,#REF!)</f>
        <v>0</v>
      </c>
      <c r="AW225" s="71">
        <f t="shared" ca="1" si="41"/>
        <v>0</v>
      </c>
      <c r="AX225" s="71">
        <f ca="1">IF(E225&lt;'Invoer gegevens'!$C$17+15,0,IF(E225&gt;'Invoer gegevens'!$C$17+215,0,AW225))</f>
        <v>0</v>
      </c>
      <c r="AY225" s="71">
        <f ca="1">AX225/(1+'Invoer gegevens'!$F$18)^($AZ225-('Invoer gegevens'!$C$17-'Invoer gegevens'!$C$16))/(1+'Invoer gegevens'!$C$39)^('Invoer gegevens'!$C$17-'Invoer gegevens'!$C$16)</f>
        <v>0</v>
      </c>
      <c r="AZ225" s="68">
        <f ca="1">IF(E225-'Invoer gegevens'!$C$17-14.5&lt;0,0,E225-'Invoer gegevens'!$C$17-14.5)</f>
        <v>205.5</v>
      </c>
    </row>
    <row r="226" spans="1:52" x14ac:dyDescent="0.25">
      <c r="B226" s="70">
        <f t="shared" si="42"/>
        <v>222</v>
      </c>
      <c r="C226" s="67">
        <f ca="1">IF(E226-'Invoer gegevens'!$C$17&lt;0,0,1)</f>
        <v>1</v>
      </c>
      <c r="D226" s="68">
        <f t="shared" si="43"/>
        <v>221.5</v>
      </c>
      <c r="E226" s="108">
        <f ca="1">IF('Invoer gegevens'!$C$16="","",E225+1)</f>
        <v>2240</v>
      </c>
      <c r="F226" s="84">
        <f ca="1">IF('Invoer gegevens'!$C$17=E226,'Invoer gegevens'!$C$10,IF(C226=1,K225,0))</f>
        <v>0</v>
      </c>
      <c r="G226" s="96">
        <f ca="1">IF(C226&gt;=1,F226*VLOOKUP(E226,Reeksen!$A$5:$B$76,2),0)</f>
        <v>0</v>
      </c>
      <c r="H226" s="84">
        <f ca="1">(1-('Invoer gegevens'!$F$20/12))*F226*MIN(Reeksen!B226,Reeksen!D226)</f>
        <v>0</v>
      </c>
      <c r="I226" s="84">
        <f>IF(Reeksen!D226&lt;Reeksen!B226,(Reeksen!B226-Reeksen!D226)*F226,0)</f>
        <v>0</v>
      </c>
      <c r="J226" s="84">
        <f ca="1">('Invoer gegevens'!$F$20/12)*F225*MIN(Reeksen!B225,Reeksen!D225)</f>
        <v>0</v>
      </c>
      <c r="K226" s="97">
        <f t="shared" ca="1" si="34"/>
        <v>0</v>
      </c>
      <c r="L226" s="84">
        <f ca="1">IF('Invoer gegevens'!$C$17=E226,0,IF(C226=1,Q225,0))</f>
        <v>0</v>
      </c>
      <c r="M226" s="96">
        <f ca="1">IF(C226&gt;=1,L226*VLOOKUP(E226,Reeksen!$A$5:$B$76,2),0)</f>
        <v>0</v>
      </c>
      <c r="N226" s="84">
        <f ca="1">(1-('Invoer gegevens'!$F$20/12))*L226*MIN(Reeksen!B226,Reeksen!D226)</f>
        <v>0</v>
      </c>
      <c r="O226" s="84">
        <f>IF(Reeksen!D226&lt;Reeksen!B226,(Reeksen!B226-Reeksen!D226)*L226,0)</f>
        <v>0</v>
      </c>
      <c r="P226" s="84">
        <f ca="1">('Invoer gegevens'!$F$20/12)*L225*MIN(Reeksen!B225,Reeksen!D225)</f>
        <v>0</v>
      </c>
      <c r="Q226" s="84">
        <f t="shared" ca="1" si="35"/>
        <v>0</v>
      </c>
      <c r="R226" s="82">
        <f ca="1">IF('Invoer gegevens'!$C$17=E226,'Invoer gegevens'!$C$11,IF(C226=1,W225,0))</f>
        <v>0</v>
      </c>
      <c r="S226" s="86">
        <f ca="1">IF(C226&gt;=1,R226*VLOOKUP(E226,Reeksen!$A$5:$B$76,2),0)</f>
        <v>0</v>
      </c>
      <c r="T226" s="84">
        <f ca="1">(1-('Invoer gegevens'!$F$20/12))*R226*MIN(Reeksen!B226,Reeksen!D226)</f>
        <v>0</v>
      </c>
      <c r="U226" s="84">
        <f>IF(Reeksen!D226&gt;=Reeksen!B226,0,IF(Reeksen!AK226&lt;=Reeksen!AE226,(Reeksen!B226-Reeksen!D226)*R226,0))</f>
        <v>0</v>
      </c>
      <c r="V226" s="86">
        <f>IF(Reeksen!D226&gt;=Reeksen!B226,0,IF(Reeksen!AK226&gt;Reeksen!AE226,(Reeksen!B226-Reeksen!D226)*R226,0))</f>
        <v>0</v>
      </c>
      <c r="W226" s="97">
        <f t="shared" ca="1" si="36"/>
        <v>0</v>
      </c>
      <c r="X226" s="98">
        <f ca="1">IF('Invoer gegevens'!$C$17=E226,'Invoer gegevens'!$C$10-'Invoer gegevens'!$C$11,IF(C226=1,AC225,0))</f>
        <v>0</v>
      </c>
      <c r="Y226" s="98">
        <f ca="1">IF(C226&gt;=1,X226*VLOOKUP(E226,Reeksen!$A$5:$B$76,2),0)</f>
        <v>0</v>
      </c>
      <c r="Z226" s="98">
        <f ca="1">(1-('Invoer gegevens'!$F$20/12))*X226*MIN(Reeksen!B226,Reeksen!D226)</f>
        <v>0</v>
      </c>
      <c r="AA226" s="98">
        <f>IF(Reeksen!D226&gt;=Reeksen!B226,0,IF(Reeksen!AK226&lt;=Reeksen!AE226,(Reeksen!B226-Reeksen!D226)*X226,0))</f>
        <v>0</v>
      </c>
      <c r="AB226" s="98">
        <f>IF(Reeksen!D226&gt;=Reeksen!B226,0,IF(Reeksen!AK226&gt;Reeksen!AE226,(Reeksen!B226-Reeksen!D226)*X226,0))</f>
        <v>0</v>
      </c>
      <c r="AC226" s="99">
        <f t="shared" ca="1" si="37"/>
        <v>0</v>
      </c>
      <c r="AD226" s="98">
        <f ca="1">IF('Invoer gegevens'!$C$17=E226,R226,IF(C226=0,0,AE225))</f>
        <v>0</v>
      </c>
      <c r="AE226" s="98">
        <f t="shared" ca="1" si="38"/>
        <v>0</v>
      </c>
      <c r="AF226" s="98">
        <f ca="1">IF('Invoer gegevens'!$C$17=E226,X226,IF(C226=0,0,AG225))</f>
        <v>0</v>
      </c>
      <c r="AG226" s="98">
        <f t="shared" ca="1" si="39"/>
        <v>0</v>
      </c>
      <c r="AH226" s="68"/>
      <c r="AI226" s="71">
        <f ca="1">IF(C226=1,Reeksen!AJ226*((F226-G226+F226)/2)*12+Reeksen!AK226*((L226-M226+L226)/2)*12,0)</f>
        <v>0</v>
      </c>
      <c r="AJ226" s="71">
        <f ca="1">-AI226*'Invoer gegevens'!$F$28</f>
        <v>0</v>
      </c>
      <c r="AK226" s="71">
        <f t="shared" ca="1" si="33"/>
        <v>0</v>
      </c>
      <c r="AL226" s="71">
        <f ca="1">IF(C226=1,Reeksen!AL226*((F226-G226+F226)/2)*12+Reeksen!AM226*((L226-M226+L226)/2)*12,0)</f>
        <v>0</v>
      </c>
      <c r="AM226" s="71">
        <f ca="1">-AL226*'Invoer gegevens'!$F$31</f>
        <v>0</v>
      </c>
      <c r="AN226" s="71">
        <f t="shared" ca="1" si="40"/>
        <v>0</v>
      </c>
      <c r="AO226" s="71">
        <f ca="1">IF(C226=1,(H226+J226+N226+P226)*Reeksen!AN226,0)</f>
        <v>0</v>
      </c>
      <c r="AP226" s="71">
        <f ca="1">-IF(C226=1,(H226+J226+N226+P226)*'Hulp - basis'!$G$550*Reeksen!H226,0)</f>
        <v>0</v>
      </c>
      <c r="AQ226" s="71">
        <f ca="1">-IF(C226=1,(F226+K226+L226+Q226)/2*'Invoer gegevens'!$I$33*Reeksen!J226,0)*2</f>
        <v>0</v>
      </c>
      <c r="AR226" s="71">
        <f ca="1">-IF(C226=1,(I226*'Invoer gegevens'!$I$34)*Reeksen!J226,0)</f>
        <v>0</v>
      </c>
      <c r="AS226" s="71">
        <f ca="1">-IF(C226=1,(F226+K226+L226+Q226)/2*'Invoer gegevens'!$I$35*Reeksen!L226,0)</f>
        <v>0</v>
      </c>
      <c r="AT226" s="71">
        <f ca="1">-IF(C226=1,IF(E226='Invoer gegevens'!$C$17,'Invoer gegevens'!$C$11,AD226)*Reeksen!S226*'Invoer gegevens'!$C$18*Reeksen!P226,0)</f>
        <v>0</v>
      </c>
      <c r="AU226" s="71">
        <f ca="1">-IF(C226=1,(F226+K226+L226+Q226)/2*'Invoer gegevens'!$I$36*Reeksen!H226,0)</f>
        <v>0</v>
      </c>
      <c r="AV226" s="71">
        <f>IF('Invoer gegevens'!$C$3="Basis",0,#REF!)</f>
        <v>0</v>
      </c>
      <c r="AW226" s="71">
        <f t="shared" ca="1" si="41"/>
        <v>0</v>
      </c>
      <c r="AX226" s="71">
        <f ca="1">IF(E226&lt;'Invoer gegevens'!$C$17+15,0,IF(E226&gt;'Invoer gegevens'!$C$17+215,0,AW226))</f>
        <v>0</v>
      </c>
      <c r="AY226" s="71">
        <f ca="1">AX226/(1+'Invoer gegevens'!$F$18)^($AZ226-('Invoer gegevens'!$C$17-'Invoer gegevens'!$C$16))/(1+'Invoer gegevens'!$C$39)^('Invoer gegevens'!$C$17-'Invoer gegevens'!$C$16)</f>
        <v>0</v>
      </c>
      <c r="AZ226" s="68">
        <f ca="1">IF(E226-'Invoer gegevens'!$C$17-14.5&lt;0,0,E226-'Invoer gegevens'!$C$17-14.5)</f>
        <v>206.5</v>
      </c>
    </row>
    <row r="227" spans="1:52" x14ac:dyDescent="0.25">
      <c r="B227" s="70">
        <f t="shared" si="42"/>
        <v>223</v>
      </c>
      <c r="C227" s="67">
        <f ca="1">IF(E227-'Invoer gegevens'!$C$17&lt;0,0,1)</f>
        <v>1</v>
      </c>
      <c r="D227" s="68">
        <f t="shared" si="43"/>
        <v>222.5</v>
      </c>
      <c r="E227" s="108">
        <f ca="1">IF('Invoer gegevens'!$C$16="","",E226+1)</f>
        <v>2241</v>
      </c>
      <c r="F227" s="84">
        <f ca="1">IF('Invoer gegevens'!$C$17=E227,'Invoer gegevens'!$C$10,IF(C227=1,K226,0))</f>
        <v>0</v>
      </c>
      <c r="G227" s="96">
        <f ca="1">IF(C227&gt;=1,F227*VLOOKUP(E227,Reeksen!$A$5:$B$76,2),0)</f>
        <v>0</v>
      </c>
      <c r="H227" s="84">
        <f ca="1">(1-('Invoer gegevens'!$F$20/12))*F227*MIN(Reeksen!B227,Reeksen!D227)</f>
        <v>0</v>
      </c>
      <c r="I227" s="84">
        <f>IF(Reeksen!D227&lt;Reeksen!B227,(Reeksen!B227-Reeksen!D227)*F227,0)</f>
        <v>0</v>
      </c>
      <c r="J227" s="84">
        <f ca="1">('Invoer gegevens'!$F$20/12)*F226*MIN(Reeksen!B226,Reeksen!D226)</f>
        <v>0</v>
      </c>
      <c r="K227" s="97">
        <f t="shared" ca="1" si="34"/>
        <v>0</v>
      </c>
      <c r="L227" s="84">
        <f ca="1">IF('Invoer gegevens'!$C$17=E227,0,IF(C227=1,Q226,0))</f>
        <v>0</v>
      </c>
      <c r="M227" s="96">
        <f ca="1">IF(C227&gt;=1,L227*VLOOKUP(E227,Reeksen!$A$5:$B$76,2),0)</f>
        <v>0</v>
      </c>
      <c r="N227" s="84">
        <f ca="1">(1-('Invoer gegevens'!$F$20/12))*L227*MIN(Reeksen!B227,Reeksen!D227)</f>
        <v>0</v>
      </c>
      <c r="O227" s="84">
        <f>IF(Reeksen!D227&lt;Reeksen!B227,(Reeksen!B227-Reeksen!D227)*L227,0)</f>
        <v>0</v>
      </c>
      <c r="P227" s="84">
        <f ca="1">('Invoer gegevens'!$F$20/12)*L226*MIN(Reeksen!B226,Reeksen!D226)</f>
        <v>0</v>
      </c>
      <c r="Q227" s="84">
        <f t="shared" ca="1" si="35"/>
        <v>0</v>
      </c>
      <c r="R227" s="82">
        <f ca="1">IF('Invoer gegevens'!$C$17=E227,'Invoer gegevens'!$C$11,IF(C227=1,W226,0))</f>
        <v>0</v>
      </c>
      <c r="S227" s="86">
        <f ca="1">IF(C227&gt;=1,R227*VLOOKUP(E227,Reeksen!$A$5:$B$76,2),0)</f>
        <v>0</v>
      </c>
      <c r="T227" s="84">
        <f ca="1">(1-('Invoer gegevens'!$F$20/12))*R227*MIN(Reeksen!B227,Reeksen!D227)</f>
        <v>0</v>
      </c>
      <c r="U227" s="84">
        <f>IF(Reeksen!D227&gt;=Reeksen!B227,0,IF(Reeksen!AK227&lt;=Reeksen!AE227,(Reeksen!B227-Reeksen!D227)*R227,0))</f>
        <v>0</v>
      </c>
      <c r="V227" s="86">
        <f>IF(Reeksen!D227&gt;=Reeksen!B227,0,IF(Reeksen!AK227&gt;Reeksen!AE227,(Reeksen!B227-Reeksen!D227)*R227,0))</f>
        <v>0</v>
      </c>
      <c r="W227" s="97">
        <f t="shared" ca="1" si="36"/>
        <v>0</v>
      </c>
      <c r="X227" s="98">
        <f ca="1">IF('Invoer gegevens'!$C$17=E227,'Invoer gegevens'!$C$10-'Invoer gegevens'!$C$11,IF(C227=1,AC226,0))</f>
        <v>0</v>
      </c>
      <c r="Y227" s="98">
        <f ca="1">IF(C227&gt;=1,X227*VLOOKUP(E227,Reeksen!$A$5:$B$76,2),0)</f>
        <v>0</v>
      </c>
      <c r="Z227" s="98">
        <f ca="1">(1-('Invoer gegevens'!$F$20/12))*X227*MIN(Reeksen!B227,Reeksen!D227)</f>
        <v>0</v>
      </c>
      <c r="AA227" s="98">
        <f>IF(Reeksen!D227&gt;=Reeksen!B227,0,IF(Reeksen!AK227&lt;=Reeksen!AE227,(Reeksen!B227-Reeksen!D227)*X227,0))</f>
        <v>0</v>
      </c>
      <c r="AB227" s="98">
        <f>IF(Reeksen!D227&gt;=Reeksen!B227,0,IF(Reeksen!AK227&gt;Reeksen!AE227,(Reeksen!B227-Reeksen!D227)*X227,0))</f>
        <v>0</v>
      </c>
      <c r="AC227" s="99">
        <f t="shared" ca="1" si="37"/>
        <v>0</v>
      </c>
      <c r="AD227" s="98">
        <f ca="1">IF('Invoer gegevens'!$C$17=E227,R227,IF(C227=0,0,AE226))</f>
        <v>0</v>
      </c>
      <c r="AE227" s="98">
        <f t="shared" ca="1" si="38"/>
        <v>0</v>
      </c>
      <c r="AF227" s="98">
        <f ca="1">IF('Invoer gegevens'!$C$17=E227,X227,IF(C227=0,0,AG226))</f>
        <v>0</v>
      </c>
      <c r="AG227" s="98">
        <f t="shared" ca="1" si="39"/>
        <v>0</v>
      </c>
      <c r="AH227" s="68"/>
      <c r="AI227" s="71">
        <f ca="1">IF(C227=1,Reeksen!AJ227*((F227-G227+F227)/2)*12+Reeksen!AK227*((L227-M227+L227)/2)*12,0)</f>
        <v>0</v>
      </c>
      <c r="AJ227" s="71">
        <f ca="1">-AI227*'Invoer gegevens'!$F$28</f>
        <v>0</v>
      </c>
      <c r="AK227" s="71">
        <f t="shared" ca="1" si="33"/>
        <v>0</v>
      </c>
      <c r="AL227" s="71">
        <f ca="1">IF(C227=1,Reeksen!AL227*((F227-G227+F227)/2)*12+Reeksen!AM227*((L227-M227+L227)/2)*12,0)</f>
        <v>0</v>
      </c>
      <c r="AM227" s="71">
        <f ca="1">-AL227*'Invoer gegevens'!$F$31</f>
        <v>0</v>
      </c>
      <c r="AN227" s="71">
        <f t="shared" ca="1" si="40"/>
        <v>0</v>
      </c>
      <c r="AO227" s="71">
        <f ca="1">IF(C227=1,(H227+J227+N227+P227)*Reeksen!AN227,0)</f>
        <v>0</v>
      </c>
      <c r="AP227" s="71">
        <f ca="1">-IF(C227=1,(H227+J227+N227+P227)*'Hulp - basis'!$G$550*Reeksen!H227,0)</f>
        <v>0</v>
      </c>
      <c r="AQ227" s="71">
        <f ca="1">-IF(C227=1,(F227+K227+L227+Q227)/2*'Invoer gegevens'!$I$33*Reeksen!J227,0)*2</f>
        <v>0</v>
      </c>
      <c r="AR227" s="71">
        <f ca="1">-IF(C227=1,(I227*'Invoer gegevens'!$I$34)*Reeksen!J227,0)</f>
        <v>0</v>
      </c>
      <c r="AS227" s="71">
        <f ca="1">-IF(C227=1,(F227+K227+L227+Q227)/2*'Invoer gegevens'!$I$35*Reeksen!L227,0)</f>
        <v>0</v>
      </c>
      <c r="AT227" s="71">
        <f ca="1">-IF(C227=1,IF(E227='Invoer gegevens'!$C$17,'Invoer gegevens'!$C$11,AD227)*Reeksen!S227*'Invoer gegevens'!$C$18*Reeksen!P227,0)</f>
        <v>0</v>
      </c>
      <c r="AU227" s="71">
        <f ca="1">-IF(C227=1,(F227+K227+L227+Q227)/2*'Invoer gegevens'!$I$36*Reeksen!H227,0)</f>
        <v>0</v>
      </c>
      <c r="AV227" s="71">
        <f>IF('Invoer gegevens'!$C$3="Basis",0,#REF!)</f>
        <v>0</v>
      </c>
      <c r="AW227" s="71">
        <f t="shared" ca="1" si="41"/>
        <v>0</v>
      </c>
      <c r="AX227" s="71">
        <f ca="1">IF(E227&lt;'Invoer gegevens'!$C$17+15,0,IF(E227&gt;'Invoer gegevens'!$C$17+215,0,AW227))</f>
        <v>0</v>
      </c>
      <c r="AY227" s="71">
        <f ca="1">AX227/(1+'Invoer gegevens'!$F$18)^($AZ227-('Invoer gegevens'!$C$17-'Invoer gegevens'!$C$16))/(1+'Invoer gegevens'!$C$39)^('Invoer gegevens'!$C$17-'Invoer gegevens'!$C$16)</f>
        <v>0</v>
      </c>
      <c r="AZ227" s="68">
        <f ca="1">IF(E227-'Invoer gegevens'!$C$17-14.5&lt;0,0,E227-'Invoer gegevens'!$C$17-14.5)</f>
        <v>207.5</v>
      </c>
    </row>
    <row r="228" spans="1:52" x14ac:dyDescent="0.25">
      <c r="B228" s="70">
        <f t="shared" si="42"/>
        <v>224</v>
      </c>
      <c r="C228" s="67">
        <f ca="1">IF(E228-'Invoer gegevens'!$C$17&lt;0,0,1)</f>
        <v>1</v>
      </c>
      <c r="D228" s="68">
        <f t="shared" si="43"/>
        <v>223.5</v>
      </c>
      <c r="E228" s="108">
        <f ca="1">IF('Invoer gegevens'!$C$16="","",E227+1)</f>
        <v>2242</v>
      </c>
      <c r="F228" s="84">
        <f ca="1">IF('Invoer gegevens'!$C$17=E228,'Invoer gegevens'!$C$10,IF(C228=1,K227,0))</f>
        <v>0</v>
      </c>
      <c r="G228" s="96">
        <f ca="1">IF(C228&gt;=1,F228*VLOOKUP(E228,Reeksen!$A$5:$B$76,2),0)</f>
        <v>0</v>
      </c>
      <c r="H228" s="84">
        <f ca="1">(1-('Invoer gegevens'!$F$20/12))*F228*MIN(Reeksen!B228,Reeksen!D228)</f>
        <v>0</v>
      </c>
      <c r="I228" s="84">
        <f>IF(Reeksen!D228&lt;Reeksen!B228,(Reeksen!B228-Reeksen!D228)*F228,0)</f>
        <v>0</v>
      </c>
      <c r="J228" s="84">
        <f ca="1">('Invoer gegevens'!$F$20/12)*F227*MIN(Reeksen!B227,Reeksen!D227)</f>
        <v>0</v>
      </c>
      <c r="K228" s="97">
        <f t="shared" ca="1" si="34"/>
        <v>0</v>
      </c>
      <c r="L228" s="84">
        <f ca="1">IF('Invoer gegevens'!$C$17=E228,0,IF(C228=1,Q227,0))</f>
        <v>0</v>
      </c>
      <c r="M228" s="96">
        <f ca="1">IF(C228&gt;=1,L228*VLOOKUP(E228,Reeksen!$A$5:$B$76,2),0)</f>
        <v>0</v>
      </c>
      <c r="N228" s="84">
        <f ca="1">(1-('Invoer gegevens'!$F$20/12))*L228*MIN(Reeksen!B228,Reeksen!D228)</f>
        <v>0</v>
      </c>
      <c r="O228" s="84">
        <f>IF(Reeksen!D228&lt;Reeksen!B228,(Reeksen!B228-Reeksen!D228)*L228,0)</f>
        <v>0</v>
      </c>
      <c r="P228" s="84">
        <f ca="1">('Invoer gegevens'!$F$20/12)*L227*MIN(Reeksen!B227,Reeksen!D227)</f>
        <v>0</v>
      </c>
      <c r="Q228" s="84">
        <f t="shared" ca="1" si="35"/>
        <v>0</v>
      </c>
      <c r="R228" s="82">
        <f ca="1">IF('Invoer gegevens'!$C$17=E228,'Invoer gegevens'!$C$11,IF(C228=1,W227,0))</f>
        <v>0</v>
      </c>
      <c r="S228" s="86">
        <f ca="1">IF(C228&gt;=1,R228*VLOOKUP(E228,Reeksen!$A$5:$B$76,2),0)</f>
        <v>0</v>
      </c>
      <c r="T228" s="84">
        <f ca="1">(1-('Invoer gegevens'!$F$20/12))*R228*MIN(Reeksen!B228,Reeksen!D228)</f>
        <v>0</v>
      </c>
      <c r="U228" s="84">
        <f>IF(Reeksen!D228&gt;=Reeksen!B228,0,IF(Reeksen!AK228&lt;=Reeksen!AE228,(Reeksen!B228-Reeksen!D228)*R228,0))</f>
        <v>0</v>
      </c>
      <c r="V228" s="86">
        <f>IF(Reeksen!D228&gt;=Reeksen!B228,0,IF(Reeksen!AK228&gt;Reeksen!AE228,(Reeksen!B228-Reeksen!D228)*R228,0))</f>
        <v>0</v>
      </c>
      <c r="W228" s="97">
        <f t="shared" ca="1" si="36"/>
        <v>0</v>
      </c>
      <c r="X228" s="98">
        <f ca="1">IF('Invoer gegevens'!$C$17=E228,'Invoer gegevens'!$C$10-'Invoer gegevens'!$C$11,IF(C228=1,AC227,0))</f>
        <v>0</v>
      </c>
      <c r="Y228" s="98">
        <f ca="1">IF(C228&gt;=1,X228*VLOOKUP(E228,Reeksen!$A$5:$B$76,2),0)</f>
        <v>0</v>
      </c>
      <c r="Z228" s="98">
        <f ca="1">(1-('Invoer gegevens'!$F$20/12))*X228*MIN(Reeksen!B228,Reeksen!D228)</f>
        <v>0</v>
      </c>
      <c r="AA228" s="98">
        <f>IF(Reeksen!D228&gt;=Reeksen!B228,0,IF(Reeksen!AK228&lt;=Reeksen!AE228,(Reeksen!B228-Reeksen!D228)*X228,0))</f>
        <v>0</v>
      </c>
      <c r="AB228" s="98">
        <f>IF(Reeksen!D228&gt;=Reeksen!B228,0,IF(Reeksen!AK228&gt;Reeksen!AE228,(Reeksen!B228-Reeksen!D228)*X228,0))</f>
        <v>0</v>
      </c>
      <c r="AC228" s="99">
        <f t="shared" ca="1" si="37"/>
        <v>0</v>
      </c>
      <c r="AD228" s="98">
        <f ca="1">IF('Invoer gegevens'!$C$17=E228,R228,IF(C228=0,0,AE227))</f>
        <v>0</v>
      </c>
      <c r="AE228" s="98">
        <f t="shared" ca="1" si="38"/>
        <v>0</v>
      </c>
      <c r="AF228" s="98">
        <f ca="1">IF('Invoer gegevens'!$C$17=E228,X228,IF(C228=0,0,AG227))</f>
        <v>0</v>
      </c>
      <c r="AG228" s="98">
        <f t="shared" ca="1" si="39"/>
        <v>0</v>
      </c>
      <c r="AH228" s="68"/>
      <c r="AI228" s="71">
        <f ca="1">IF(C228=1,Reeksen!AJ228*((F228-G228+F228)/2)*12+Reeksen!AK228*((L228-M228+L228)/2)*12,0)</f>
        <v>0</v>
      </c>
      <c r="AJ228" s="71">
        <f ca="1">-AI228*'Invoer gegevens'!$F$28</f>
        <v>0</v>
      </c>
      <c r="AK228" s="71">
        <f t="shared" ca="1" si="33"/>
        <v>0</v>
      </c>
      <c r="AL228" s="71">
        <f ca="1">IF(C228=1,Reeksen!AL228*((F228-G228+F228)/2)*12+Reeksen!AM228*((L228-M228+L228)/2)*12,0)</f>
        <v>0</v>
      </c>
      <c r="AM228" s="71">
        <f ca="1">-AL228*'Invoer gegevens'!$F$31</f>
        <v>0</v>
      </c>
      <c r="AN228" s="71">
        <f t="shared" ca="1" si="40"/>
        <v>0</v>
      </c>
      <c r="AO228" s="71">
        <f ca="1">IF(C228=1,(H228+J228+N228+P228)*Reeksen!AN228,0)</f>
        <v>0</v>
      </c>
      <c r="AP228" s="71">
        <f ca="1">-IF(C228=1,(H228+J228+N228+P228)*'Hulp - basis'!$G$550*Reeksen!H228,0)</f>
        <v>0</v>
      </c>
      <c r="AQ228" s="71">
        <f ca="1">-IF(C228=1,(F228+K228+L228+Q228)/2*'Invoer gegevens'!$I$33*Reeksen!J228,0)*2</f>
        <v>0</v>
      </c>
      <c r="AR228" s="71">
        <f ca="1">-IF(C228=1,(I228*'Invoer gegevens'!$I$34)*Reeksen!J228,0)</f>
        <v>0</v>
      </c>
      <c r="AS228" s="71">
        <f ca="1">-IF(C228=1,(F228+K228+L228+Q228)/2*'Invoer gegevens'!$I$35*Reeksen!L228,0)</f>
        <v>0</v>
      </c>
      <c r="AT228" s="71">
        <f ca="1">-IF(C228=1,IF(E228='Invoer gegevens'!$C$17,'Invoer gegevens'!$C$11,AD228)*Reeksen!S228*'Invoer gegevens'!$C$18*Reeksen!P228,0)</f>
        <v>0</v>
      </c>
      <c r="AU228" s="71">
        <f ca="1">-IF(C228=1,(F228+K228+L228+Q228)/2*'Invoer gegevens'!$I$36*Reeksen!H228,0)</f>
        <v>0</v>
      </c>
      <c r="AV228" s="71">
        <f>IF('Invoer gegevens'!$C$3="Basis",0,#REF!)</f>
        <v>0</v>
      </c>
      <c r="AW228" s="71">
        <f t="shared" ca="1" si="41"/>
        <v>0</v>
      </c>
      <c r="AX228" s="71">
        <f ca="1">IF(E228&lt;'Invoer gegevens'!$C$17+15,0,IF(E228&gt;'Invoer gegevens'!$C$17+215,0,AW228))</f>
        <v>0</v>
      </c>
      <c r="AY228" s="71">
        <f ca="1">AX228/(1+'Invoer gegevens'!$F$18)^($AZ228-('Invoer gegevens'!$C$17-'Invoer gegevens'!$C$16))/(1+'Invoer gegevens'!$C$39)^('Invoer gegevens'!$C$17-'Invoer gegevens'!$C$16)</f>
        <v>0</v>
      </c>
      <c r="AZ228" s="68">
        <f ca="1">IF(E228-'Invoer gegevens'!$C$17-14.5&lt;0,0,E228-'Invoer gegevens'!$C$17-14.5)</f>
        <v>208.5</v>
      </c>
    </row>
    <row r="229" spans="1:52" x14ac:dyDescent="0.25">
      <c r="B229" s="70">
        <f t="shared" si="42"/>
        <v>225</v>
      </c>
      <c r="C229" s="67">
        <f ca="1">IF(E229-'Invoer gegevens'!$C$17&lt;0,0,1)</f>
        <v>1</v>
      </c>
      <c r="D229" s="68">
        <f t="shared" si="43"/>
        <v>224.5</v>
      </c>
      <c r="E229" s="108">
        <f ca="1">IF('Invoer gegevens'!$C$16="","",E228+1)</f>
        <v>2243</v>
      </c>
      <c r="F229" s="84">
        <f ca="1">IF('Invoer gegevens'!$C$17=E229,'Invoer gegevens'!$C$10,IF(C229=1,K228,0))</f>
        <v>0</v>
      </c>
      <c r="G229" s="96">
        <f ca="1">IF(C229&gt;=1,F229*VLOOKUP(E229,Reeksen!$A$5:$B$76,2),0)</f>
        <v>0</v>
      </c>
      <c r="H229" s="84">
        <f ca="1">(1-('Invoer gegevens'!$F$20/12))*F229*MIN(Reeksen!B229,Reeksen!D229)</f>
        <v>0</v>
      </c>
      <c r="I229" s="84">
        <f>IF(Reeksen!D229&lt;Reeksen!B229,(Reeksen!B229-Reeksen!D229)*F229,0)</f>
        <v>0</v>
      </c>
      <c r="J229" s="84">
        <f ca="1">('Invoer gegevens'!$F$20/12)*F228*MIN(Reeksen!B228,Reeksen!D228)</f>
        <v>0</v>
      </c>
      <c r="K229" s="97">
        <f t="shared" ca="1" si="34"/>
        <v>0</v>
      </c>
      <c r="L229" s="84">
        <f ca="1">IF('Invoer gegevens'!$C$17=E229,0,IF(C229=1,Q228,0))</f>
        <v>0</v>
      </c>
      <c r="M229" s="96">
        <f ca="1">IF(C229&gt;=1,L229*VLOOKUP(E229,Reeksen!$A$5:$B$76,2),0)</f>
        <v>0</v>
      </c>
      <c r="N229" s="84">
        <f ca="1">(1-('Invoer gegevens'!$F$20/12))*L229*MIN(Reeksen!B229,Reeksen!D229)</f>
        <v>0</v>
      </c>
      <c r="O229" s="84">
        <f>IF(Reeksen!D229&lt;Reeksen!B229,(Reeksen!B229-Reeksen!D229)*L229,0)</f>
        <v>0</v>
      </c>
      <c r="P229" s="84">
        <f ca="1">('Invoer gegevens'!$F$20/12)*L228*MIN(Reeksen!B228,Reeksen!D228)</f>
        <v>0</v>
      </c>
      <c r="Q229" s="84">
        <f t="shared" ca="1" si="35"/>
        <v>0</v>
      </c>
      <c r="R229" s="82">
        <f ca="1">IF('Invoer gegevens'!$C$17=E229,'Invoer gegevens'!$C$11,IF(C229=1,W228,0))</f>
        <v>0</v>
      </c>
      <c r="S229" s="86">
        <f ca="1">IF(C229&gt;=1,R229*VLOOKUP(E229,Reeksen!$A$5:$B$76,2),0)</f>
        <v>0</v>
      </c>
      <c r="T229" s="84">
        <f ca="1">(1-('Invoer gegevens'!$F$20/12))*R229*MIN(Reeksen!B229,Reeksen!D229)</f>
        <v>0</v>
      </c>
      <c r="U229" s="84">
        <f>IF(Reeksen!D229&gt;=Reeksen!B229,0,IF(Reeksen!AK229&lt;=Reeksen!AE229,(Reeksen!B229-Reeksen!D229)*R229,0))</f>
        <v>0</v>
      </c>
      <c r="V229" s="86">
        <f>IF(Reeksen!D229&gt;=Reeksen!B229,0,IF(Reeksen!AK229&gt;Reeksen!AE229,(Reeksen!B229-Reeksen!D229)*R229,0))</f>
        <v>0</v>
      </c>
      <c r="W229" s="97">
        <f t="shared" ca="1" si="36"/>
        <v>0</v>
      </c>
      <c r="X229" s="98">
        <f ca="1">IF('Invoer gegevens'!$C$17=E229,'Invoer gegevens'!$C$10-'Invoer gegevens'!$C$11,IF(C229=1,AC228,0))</f>
        <v>0</v>
      </c>
      <c r="Y229" s="98">
        <f ca="1">IF(C229&gt;=1,X229*VLOOKUP(E229,Reeksen!$A$5:$B$76,2),0)</f>
        <v>0</v>
      </c>
      <c r="Z229" s="98">
        <f ca="1">(1-('Invoer gegevens'!$F$20/12))*X229*MIN(Reeksen!B229,Reeksen!D229)</f>
        <v>0</v>
      </c>
      <c r="AA229" s="98">
        <f>IF(Reeksen!D229&gt;=Reeksen!B229,0,IF(Reeksen!AK229&lt;=Reeksen!AE229,(Reeksen!B229-Reeksen!D229)*X229,0))</f>
        <v>0</v>
      </c>
      <c r="AB229" s="98">
        <f>IF(Reeksen!D229&gt;=Reeksen!B229,0,IF(Reeksen!AK229&gt;Reeksen!AE229,(Reeksen!B229-Reeksen!D229)*X229,0))</f>
        <v>0</v>
      </c>
      <c r="AC229" s="99">
        <f t="shared" ca="1" si="37"/>
        <v>0</v>
      </c>
      <c r="AD229" s="98">
        <f ca="1">IF('Invoer gegevens'!$C$17=E229,R229,IF(C229=0,0,AE228))</f>
        <v>0</v>
      </c>
      <c r="AE229" s="98">
        <f t="shared" ca="1" si="38"/>
        <v>0</v>
      </c>
      <c r="AF229" s="98">
        <f ca="1">IF('Invoer gegevens'!$C$17=E229,X229,IF(C229=0,0,AG228))</f>
        <v>0</v>
      </c>
      <c r="AG229" s="98">
        <f t="shared" ca="1" si="39"/>
        <v>0</v>
      </c>
      <c r="AH229" s="68"/>
      <c r="AI229" s="71">
        <f ca="1">IF(C229=1,Reeksen!AJ229*((F229-G229+F229)/2)*12+Reeksen!AK229*((L229-M229+L229)/2)*12,0)</f>
        <v>0</v>
      </c>
      <c r="AJ229" s="71">
        <f ca="1">-AI229*'Invoer gegevens'!$F$28</f>
        <v>0</v>
      </c>
      <c r="AK229" s="71">
        <f t="shared" ca="1" si="33"/>
        <v>0</v>
      </c>
      <c r="AL229" s="71">
        <f ca="1">IF(C229=1,Reeksen!AL229*((F229-G229+F229)/2)*12+Reeksen!AM229*((L229-M229+L229)/2)*12,0)</f>
        <v>0</v>
      </c>
      <c r="AM229" s="71">
        <f ca="1">-AL229*'Invoer gegevens'!$F$31</f>
        <v>0</v>
      </c>
      <c r="AN229" s="71">
        <f t="shared" ca="1" si="40"/>
        <v>0</v>
      </c>
      <c r="AO229" s="71">
        <f ca="1">IF(C229=1,(H229+J229+N229+P229)*Reeksen!AN229,0)</f>
        <v>0</v>
      </c>
      <c r="AP229" s="71">
        <f ca="1">-IF(C229=1,(H229+J229+N229+P229)*'Hulp - basis'!$G$550*Reeksen!H229,0)</f>
        <v>0</v>
      </c>
      <c r="AQ229" s="71">
        <f ca="1">-IF(C229=1,(F229+K229+L229+Q229)/2*'Invoer gegevens'!$I$33*Reeksen!J229,0)*2</f>
        <v>0</v>
      </c>
      <c r="AR229" s="71">
        <f ca="1">-IF(C229=1,(I229*'Invoer gegevens'!$I$34)*Reeksen!J229,0)</f>
        <v>0</v>
      </c>
      <c r="AS229" s="71">
        <f ca="1">-IF(C229=1,(F229+K229+L229+Q229)/2*'Invoer gegevens'!$I$35*Reeksen!L229,0)</f>
        <v>0</v>
      </c>
      <c r="AT229" s="71">
        <f ca="1">-IF(C229=1,IF(E229='Invoer gegevens'!$C$17,'Invoer gegevens'!$C$11,AD229)*Reeksen!S229*'Invoer gegevens'!$C$18*Reeksen!P229,0)</f>
        <v>0</v>
      </c>
      <c r="AU229" s="71">
        <f ca="1">-IF(C229=1,(F229+K229+L229+Q229)/2*'Invoer gegevens'!$I$36*Reeksen!H229,0)</f>
        <v>0</v>
      </c>
      <c r="AV229" s="71">
        <f>IF('Invoer gegevens'!$C$3="Basis",0,#REF!)</f>
        <v>0</v>
      </c>
      <c r="AW229" s="71">
        <f t="shared" ca="1" si="41"/>
        <v>0</v>
      </c>
      <c r="AX229" s="71">
        <f ca="1">IF(E229&lt;'Invoer gegevens'!$C$17+15,0,IF(E229&gt;'Invoer gegevens'!$C$17+215,0,AW229))</f>
        <v>0</v>
      </c>
      <c r="AY229" s="71">
        <f ca="1">AX229/(1+'Invoer gegevens'!$F$18)^($AZ229-('Invoer gegevens'!$C$17-'Invoer gegevens'!$C$16))/(1+'Invoer gegevens'!$C$39)^('Invoer gegevens'!$C$17-'Invoer gegevens'!$C$16)</f>
        <v>0</v>
      </c>
      <c r="AZ229" s="68">
        <f ca="1">IF(E229-'Invoer gegevens'!$C$17-14.5&lt;0,0,E229-'Invoer gegevens'!$C$17-14.5)</f>
        <v>209.5</v>
      </c>
    </row>
    <row r="230" spans="1:52" x14ac:dyDescent="0.25">
      <c r="B230" s="70">
        <f t="shared" si="42"/>
        <v>226</v>
      </c>
      <c r="C230" s="67">
        <f ca="1">IF(E230-'Invoer gegevens'!$C$17&lt;0,0,1)</f>
        <v>1</v>
      </c>
      <c r="D230" s="68">
        <f t="shared" si="43"/>
        <v>225.5</v>
      </c>
      <c r="E230" s="108">
        <f ca="1">IF('Invoer gegevens'!$C$16="","",E229+1)</f>
        <v>2244</v>
      </c>
      <c r="F230" s="84">
        <f ca="1">IF('Invoer gegevens'!$C$17=E230,'Invoer gegevens'!$C$10,IF(C230=1,K229,0))</f>
        <v>0</v>
      </c>
      <c r="G230" s="96">
        <f ca="1">IF(C230&gt;=1,F230*VLOOKUP(E230,Reeksen!$A$5:$B$76,2),0)</f>
        <v>0</v>
      </c>
      <c r="H230" s="84">
        <f ca="1">(1-('Invoer gegevens'!$F$20/12))*F230*MIN(Reeksen!B230,Reeksen!D230)</f>
        <v>0</v>
      </c>
      <c r="I230" s="84">
        <f>IF(Reeksen!D230&lt;Reeksen!B230,(Reeksen!B230-Reeksen!D230)*F230,0)</f>
        <v>0</v>
      </c>
      <c r="J230" s="84">
        <f ca="1">('Invoer gegevens'!$F$20/12)*F229*MIN(Reeksen!B229,Reeksen!D229)</f>
        <v>0</v>
      </c>
      <c r="K230" s="97">
        <f t="shared" ca="1" si="34"/>
        <v>0</v>
      </c>
      <c r="L230" s="84">
        <f ca="1">IF('Invoer gegevens'!$C$17=E230,0,IF(C230=1,Q229,0))</f>
        <v>0</v>
      </c>
      <c r="M230" s="96">
        <f ca="1">IF(C230&gt;=1,L230*VLOOKUP(E230,Reeksen!$A$5:$B$76,2),0)</f>
        <v>0</v>
      </c>
      <c r="N230" s="84">
        <f ca="1">(1-('Invoer gegevens'!$F$20/12))*L230*MIN(Reeksen!B230,Reeksen!D230)</f>
        <v>0</v>
      </c>
      <c r="O230" s="84">
        <f>IF(Reeksen!D230&lt;Reeksen!B230,(Reeksen!B230-Reeksen!D230)*L230,0)</f>
        <v>0</v>
      </c>
      <c r="P230" s="84">
        <f ca="1">('Invoer gegevens'!$F$20/12)*L229*MIN(Reeksen!B229,Reeksen!D229)</f>
        <v>0</v>
      </c>
      <c r="Q230" s="84">
        <f t="shared" ca="1" si="35"/>
        <v>0</v>
      </c>
      <c r="R230" s="82">
        <f ca="1">IF('Invoer gegevens'!$C$17=E230,'Invoer gegevens'!$C$11,IF(C230=1,W229,0))</f>
        <v>0</v>
      </c>
      <c r="S230" s="86">
        <f ca="1">IF(C230&gt;=1,R230*VLOOKUP(E230,Reeksen!$A$5:$B$76,2),0)</f>
        <v>0</v>
      </c>
      <c r="T230" s="84">
        <f ca="1">(1-('Invoer gegevens'!$F$20/12))*R230*MIN(Reeksen!B230,Reeksen!D230)</f>
        <v>0</v>
      </c>
      <c r="U230" s="84">
        <f>IF(Reeksen!D230&gt;=Reeksen!B230,0,IF(Reeksen!AK230&lt;=Reeksen!AE230,(Reeksen!B230-Reeksen!D230)*R230,0))</f>
        <v>0</v>
      </c>
      <c r="V230" s="86">
        <f>IF(Reeksen!D230&gt;=Reeksen!B230,0,IF(Reeksen!AK230&gt;Reeksen!AE230,(Reeksen!B230-Reeksen!D230)*R230,0))</f>
        <v>0</v>
      </c>
      <c r="W230" s="97">
        <f t="shared" ca="1" si="36"/>
        <v>0</v>
      </c>
      <c r="X230" s="98">
        <f ca="1">IF('Invoer gegevens'!$C$17=E230,'Invoer gegevens'!$C$10-'Invoer gegevens'!$C$11,IF(C230=1,AC229,0))</f>
        <v>0</v>
      </c>
      <c r="Y230" s="98">
        <f ca="1">IF(C230&gt;=1,X230*VLOOKUP(E230,Reeksen!$A$5:$B$76,2),0)</f>
        <v>0</v>
      </c>
      <c r="Z230" s="98">
        <f ca="1">(1-('Invoer gegevens'!$F$20/12))*X230*MIN(Reeksen!B230,Reeksen!D230)</f>
        <v>0</v>
      </c>
      <c r="AA230" s="98">
        <f>IF(Reeksen!D230&gt;=Reeksen!B230,0,IF(Reeksen!AK230&lt;=Reeksen!AE230,(Reeksen!B230-Reeksen!D230)*X230,0))</f>
        <v>0</v>
      </c>
      <c r="AB230" s="98">
        <f>IF(Reeksen!D230&gt;=Reeksen!B230,0,IF(Reeksen!AK230&gt;Reeksen!AE230,(Reeksen!B230-Reeksen!D230)*X230,0))</f>
        <v>0</v>
      </c>
      <c r="AC230" s="99">
        <f t="shared" ca="1" si="37"/>
        <v>0</v>
      </c>
      <c r="AD230" s="98">
        <f ca="1">IF('Invoer gegevens'!$C$17=E230,R230,IF(C230=0,0,AE229))</f>
        <v>0</v>
      </c>
      <c r="AE230" s="98">
        <f t="shared" ca="1" si="38"/>
        <v>0</v>
      </c>
      <c r="AF230" s="98">
        <f ca="1">IF('Invoer gegevens'!$C$17=E230,X230,IF(C230=0,0,AG229))</f>
        <v>0</v>
      </c>
      <c r="AG230" s="98">
        <f t="shared" ca="1" si="39"/>
        <v>0</v>
      </c>
      <c r="AH230" s="68"/>
      <c r="AI230" s="71">
        <f ca="1">IF(C230=1,Reeksen!AJ230*((F230-G230+F230)/2)*12+Reeksen!AK230*((L230-M230+L230)/2)*12,0)</f>
        <v>0</v>
      </c>
      <c r="AJ230" s="71">
        <f ca="1">-AI230*'Invoer gegevens'!$F$28</f>
        <v>0</v>
      </c>
      <c r="AK230" s="71">
        <f t="shared" ca="1" si="33"/>
        <v>0</v>
      </c>
      <c r="AL230" s="71">
        <f ca="1">IF(C230=1,Reeksen!AL230*((F230-G230+F230)/2)*12+Reeksen!AM230*((L230-M230+L230)/2)*12,0)</f>
        <v>0</v>
      </c>
      <c r="AM230" s="71">
        <f ca="1">-AL230*'Invoer gegevens'!$F$31</f>
        <v>0</v>
      </c>
      <c r="AN230" s="71">
        <f t="shared" ca="1" si="40"/>
        <v>0</v>
      </c>
      <c r="AO230" s="71">
        <f ca="1">IF(C230=1,(H230+J230+N230+P230)*Reeksen!AN230,0)</f>
        <v>0</v>
      </c>
      <c r="AP230" s="71">
        <f ca="1">-IF(C230=1,(H230+J230+N230+P230)*'Hulp - basis'!$G$550*Reeksen!H230,0)</f>
        <v>0</v>
      </c>
      <c r="AQ230" s="71">
        <f ca="1">-IF(C230=1,(F230+K230+L230+Q230)/2*'Invoer gegevens'!$I$33*Reeksen!J230,0)*2</f>
        <v>0</v>
      </c>
      <c r="AR230" s="71">
        <f ca="1">-IF(C230=1,(I230*'Invoer gegevens'!$I$34)*Reeksen!J230,0)</f>
        <v>0</v>
      </c>
      <c r="AS230" s="71">
        <f ca="1">-IF(C230=1,(F230+K230+L230+Q230)/2*'Invoer gegevens'!$I$35*Reeksen!L230,0)</f>
        <v>0</v>
      </c>
      <c r="AT230" s="71">
        <f ca="1">-IF(C230=1,IF(E230='Invoer gegevens'!$C$17,'Invoer gegevens'!$C$11,AD230)*Reeksen!S230*'Invoer gegevens'!$C$18*Reeksen!P230,0)</f>
        <v>0</v>
      </c>
      <c r="AU230" s="71">
        <f ca="1">-IF(C230=1,(F230+K230+L230+Q230)/2*'Invoer gegevens'!$I$36*Reeksen!H230,0)</f>
        <v>0</v>
      </c>
      <c r="AV230" s="71">
        <f>IF('Invoer gegevens'!$C$3="Basis",0,#REF!)</f>
        <v>0</v>
      </c>
      <c r="AW230" s="71">
        <f t="shared" ca="1" si="41"/>
        <v>0</v>
      </c>
      <c r="AX230" s="71">
        <f ca="1">IF(E230&lt;'Invoer gegevens'!$C$17+15,0,IF(E230&gt;'Invoer gegevens'!$C$17+215,0,AW230))</f>
        <v>0</v>
      </c>
      <c r="AY230" s="71">
        <f ca="1">AX230/(1+'Invoer gegevens'!$F$18)^($AZ230-('Invoer gegevens'!$C$17-'Invoer gegevens'!$C$16))/(1+'Invoer gegevens'!$C$39)^('Invoer gegevens'!$C$17-'Invoer gegevens'!$C$16)</f>
        <v>0</v>
      </c>
      <c r="AZ230" s="68">
        <f ca="1">IF(E230-'Invoer gegevens'!$C$17-14.5&lt;0,0,E230-'Invoer gegevens'!$C$17-14.5)</f>
        <v>210.5</v>
      </c>
    </row>
    <row r="231" spans="1:52" x14ac:dyDescent="0.25">
      <c r="B231" s="70">
        <f t="shared" si="42"/>
        <v>227</v>
      </c>
      <c r="C231" s="67">
        <f ca="1">IF(E231-'Invoer gegevens'!$C$17&lt;0,0,1)</f>
        <v>1</v>
      </c>
      <c r="D231" s="68">
        <f t="shared" si="43"/>
        <v>226.5</v>
      </c>
      <c r="E231" s="108">
        <f ca="1">IF('Invoer gegevens'!$C$16="","",E230+1)</f>
        <v>2245</v>
      </c>
      <c r="F231" s="84">
        <f ca="1">IF('Invoer gegevens'!$C$17=E231,'Invoer gegevens'!$C$10,IF(C231=1,K230,0))</f>
        <v>0</v>
      </c>
      <c r="G231" s="96">
        <f ca="1">IF(C231&gt;=1,F231*VLOOKUP(E231,Reeksen!$A$5:$B$76,2),0)</f>
        <v>0</v>
      </c>
      <c r="H231" s="84">
        <f ca="1">(1-('Invoer gegevens'!$F$20/12))*F231*MIN(Reeksen!B231,Reeksen!D231)</f>
        <v>0</v>
      </c>
      <c r="I231" s="84">
        <f>IF(Reeksen!D231&lt;Reeksen!B231,(Reeksen!B231-Reeksen!D231)*F231,0)</f>
        <v>0</v>
      </c>
      <c r="J231" s="84">
        <f ca="1">('Invoer gegevens'!$F$20/12)*F230*MIN(Reeksen!B230,Reeksen!D230)</f>
        <v>0</v>
      </c>
      <c r="K231" s="97">
        <f t="shared" ca="1" si="34"/>
        <v>0</v>
      </c>
      <c r="L231" s="84">
        <f ca="1">IF('Invoer gegevens'!$C$17=E231,0,IF(C231=1,Q230,0))</f>
        <v>0</v>
      </c>
      <c r="M231" s="96">
        <f ca="1">IF(C231&gt;=1,L231*VLOOKUP(E231,Reeksen!$A$5:$B$76,2),0)</f>
        <v>0</v>
      </c>
      <c r="N231" s="84">
        <f ca="1">(1-('Invoer gegevens'!$F$20/12))*L231*MIN(Reeksen!B231,Reeksen!D231)</f>
        <v>0</v>
      </c>
      <c r="O231" s="84">
        <f>IF(Reeksen!D231&lt;Reeksen!B231,(Reeksen!B231-Reeksen!D231)*L231,0)</f>
        <v>0</v>
      </c>
      <c r="P231" s="84">
        <f ca="1">('Invoer gegevens'!$F$20/12)*L230*MIN(Reeksen!B230,Reeksen!D230)</f>
        <v>0</v>
      </c>
      <c r="Q231" s="84">
        <f t="shared" ca="1" si="35"/>
        <v>0</v>
      </c>
      <c r="R231" s="82">
        <f ca="1">IF('Invoer gegevens'!$C$17=E231,'Invoer gegevens'!$C$11,IF(C231=1,W230,0))</f>
        <v>0</v>
      </c>
      <c r="S231" s="86">
        <f ca="1">IF(C231&gt;=1,R231*VLOOKUP(E231,Reeksen!$A$5:$B$76,2),0)</f>
        <v>0</v>
      </c>
      <c r="T231" s="84">
        <f ca="1">(1-('Invoer gegevens'!$F$20/12))*R231*MIN(Reeksen!B231,Reeksen!D231)</f>
        <v>0</v>
      </c>
      <c r="U231" s="84">
        <f>IF(Reeksen!D231&gt;=Reeksen!B231,0,IF(Reeksen!AK231&lt;=Reeksen!AE231,(Reeksen!B231-Reeksen!D231)*R231,0))</f>
        <v>0</v>
      </c>
      <c r="V231" s="86">
        <f>IF(Reeksen!D231&gt;=Reeksen!B231,0,IF(Reeksen!AK231&gt;Reeksen!AE231,(Reeksen!B231-Reeksen!D231)*R231,0))</f>
        <v>0</v>
      </c>
      <c r="W231" s="97">
        <f t="shared" ca="1" si="36"/>
        <v>0</v>
      </c>
      <c r="X231" s="98">
        <f ca="1">IF('Invoer gegevens'!$C$17=E231,'Invoer gegevens'!$C$10-'Invoer gegevens'!$C$11,IF(C231=1,AC230,0))</f>
        <v>0</v>
      </c>
      <c r="Y231" s="98">
        <f ca="1">IF(C231&gt;=1,X231*VLOOKUP(E231,Reeksen!$A$5:$B$76,2),0)</f>
        <v>0</v>
      </c>
      <c r="Z231" s="98">
        <f ca="1">(1-('Invoer gegevens'!$F$20/12))*X231*MIN(Reeksen!B231,Reeksen!D231)</f>
        <v>0</v>
      </c>
      <c r="AA231" s="98">
        <f>IF(Reeksen!D231&gt;=Reeksen!B231,0,IF(Reeksen!AK231&lt;=Reeksen!AE231,(Reeksen!B231-Reeksen!D231)*X231,0))</f>
        <v>0</v>
      </c>
      <c r="AB231" s="98">
        <f>IF(Reeksen!D231&gt;=Reeksen!B231,0,IF(Reeksen!AK231&gt;Reeksen!AE231,(Reeksen!B231-Reeksen!D231)*X231,0))</f>
        <v>0</v>
      </c>
      <c r="AC231" s="99">
        <f t="shared" ca="1" si="37"/>
        <v>0</v>
      </c>
      <c r="AD231" s="98">
        <f ca="1">IF('Invoer gegevens'!$C$17=E231,R231,IF(C231=0,0,AE230))</f>
        <v>0</v>
      </c>
      <c r="AE231" s="98">
        <f t="shared" ca="1" si="38"/>
        <v>0</v>
      </c>
      <c r="AF231" s="98">
        <f ca="1">IF('Invoer gegevens'!$C$17=E231,X231,IF(C231=0,0,AG230))</f>
        <v>0</v>
      </c>
      <c r="AG231" s="98">
        <f t="shared" ca="1" si="39"/>
        <v>0</v>
      </c>
      <c r="AH231" s="68"/>
      <c r="AI231" s="71">
        <f ca="1">IF(C231=1,Reeksen!AJ231*((F231-G231+F231)/2)*12+Reeksen!AK231*((L231-M231+L231)/2)*12,0)</f>
        <v>0</v>
      </c>
      <c r="AJ231" s="71">
        <f ca="1">-AI231*'Invoer gegevens'!$F$28</f>
        <v>0</v>
      </c>
      <c r="AK231" s="71">
        <f t="shared" ca="1" si="33"/>
        <v>0</v>
      </c>
      <c r="AL231" s="71">
        <f ca="1">IF(C231=1,Reeksen!AL231*((F231-G231+F231)/2)*12+Reeksen!AM231*((L231-M231+L231)/2)*12,0)</f>
        <v>0</v>
      </c>
      <c r="AM231" s="71">
        <f ca="1">-AL231*'Invoer gegevens'!$F$31</f>
        <v>0</v>
      </c>
      <c r="AN231" s="71">
        <f t="shared" ca="1" si="40"/>
        <v>0</v>
      </c>
      <c r="AO231" s="71">
        <f ca="1">IF(C231=1,(H231+J231+N231+P231)*Reeksen!AN231,0)</f>
        <v>0</v>
      </c>
      <c r="AP231" s="71">
        <f ca="1">-IF(C231=1,(H231+J231+N231+P231)*'Hulp - basis'!$G$550*Reeksen!H231,0)</f>
        <v>0</v>
      </c>
      <c r="AQ231" s="71">
        <f ca="1">-IF(C231=1,(F231+K231+L231+Q231)/2*'Invoer gegevens'!$I$33*Reeksen!J231,0)*2</f>
        <v>0</v>
      </c>
      <c r="AR231" s="71">
        <f ca="1">-IF(C231=1,(I231*'Invoer gegevens'!$I$34)*Reeksen!J231,0)</f>
        <v>0</v>
      </c>
      <c r="AS231" s="71">
        <f ca="1">-IF(C231=1,(F231+K231+L231+Q231)/2*'Invoer gegevens'!$I$35*Reeksen!L231,0)</f>
        <v>0</v>
      </c>
      <c r="AT231" s="71">
        <f ca="1">-IF(C231=1,IF(E231='Invoer gegevens'!$C$17,'Invoer gegevens'!$C$11,AD231)*Reeksen!S231*'Invoer gegevens'!$C$18*Reeksen!P231,0)</f>
        <v>0</v>
      </c>
      <c r="AU231" s="71">
        <f ca="1">-IF(C231=1,(F231+K231+L231+Q231)/2*'Invoer gegevens'!$I$36*Reeksen!H231,0)</f>
        <v>0</v>
      </c>
      <c r="AV231" s="71">
        <f>IF('Invoer gegevens'!$C$3="Basis",0,#REF!)</f>
        <v>0</v>
      </c>
      <c r="AW231" s="71">
        <f t="shared" ca="1" si="41"/>
        <v>0</v>
      </c>
      <c r="AX231" s="71">
        <f ca="1">IF(E231&lt;'Invoer gegevens'!$C$17+15,0,IF(E231&gt;'Invoer gegevens'!$C$17+215,0,AW231))</f>
        <v>0</v>
      </c>
      <c r="AY231" s="71">
        <f ca="1">AX231/(1+'Invoer gegevens'!$F$18)^($AZ231-('Invoer gegevens'!$C$17-'Invoer gegevens'!$C$16))/(1+'Invoer gegevens'!$C$39)^('Invoer gegevens'!$C$17-'Invoer gegevens'!$C$16)</f>
        <v>0</v>
      </c>
      <c r="AZ231" s="68">
        <f ca="1">IF(E231-'Invoer gegevens'!$C$17-14.5&lt;0,0,E231-'Invoer gegevens'!$C$17-14.5)</f>
        <v>211.5</v>
      </c>
    </row>
    <row r="232" spans="1:52" x14ac:dyDescent="0.25">
      <c r="B232" s="70">
        <f t="shared" si="42"/>
        <v>228</v>
      </c>
      <c r="C232" s="67">
        <f ca="1">IF(E232-'Invoer gegevens'!$C$17&lt;0,0,1)</f>
        <v>1</v>
      </c>
      <c r="D232" s="68">
        <f t="shared" si="43"/>
        <v>227.5</v>
      </c>
      <c r="E232" s="108">
        <f ca="1">IF('Invoer gegevens'!$C$16="","",E231+1)</f>
        <v>2246</v>
      </c>
      <c r="F232" s="84">
        <f ca="1">IF('Invoer gegevens'!$C$17=E232,'Invoer gegevens'!$C$10,IF(C232=1,K231,0))</f>
        <v>0</v>
      </c>
      <c r="G232" s="96">
        <f ca="1">IF(C232&gt;=1,F232*VLOOKUP(E232,Reeksen!$A$5:$B$76,2),0)</f>
        <v>0</v>
      </c>
      <c r="H232" s="84">
        <f ca="1">(1-('Invoer gegevens'!$F$20/12))*F232*MIN(Reeksen!B232,Reeksen!D232)</f>
        <v>0</v>
      </c>
      <c r="I232" s="84">
        <f>IF(Reeksen!D232&lt;Reeksen!B232,(Reeksen!B232-Reeksen!D232)*F232,0)</f>
        <v>0</v>
      </c>
      <c r="J232" s="84">
        <f ca="1">('Invoer gegevens'!$F$20/12)*F231*MIN(Reeksen!B231,Reeksen!D231)</f>
        <v>0</v>
      </c>
      <c r="K232" s="97">
        <f t="shared" ca="1" si="34"/>
        <v>0</v>
      </c>
      <c r="L232" s="84">
        <f ca="1">IF('Invoer gegevens'!$C$17=E232,0,IF(C232=1,Q231,0))</f>
        <v>0</v>
      </c>
      <c r="M232" s="96">
        <f ca="1">IF(C232&gt;=1,L232*VLOOKUP(E232,Reeksen!$A$5:$B$76,2),0)</f>
        <v>0</v>
      </c>
      <c r="N232" s="84">
        <f ca="1">(1-('Invoer gegevens'!$F$20/12))*L232*MIN(Reeksen!B232,Reeksen!D232)</f>
        <v>0</v>
      </c>
      <c r="O232" s="84">
        <f>IF(Reeksen!D232&lt;Reeksen!B232,(Reeksen!B232-Reeksen!D232)*L232,0)</f>
        <v>0</v>
      </c>
      <c r="P232" s="84">
        <f ca="1">('Invoer gegevens'!$F$20/12)*L231*MIN(Reeksen!B231,Reeksen!D231)</f>
        <v>0</v>
      </c>
      <c r="Q232" s="84">
        <f t="shared" ca="1" si="35"/>
        <v>0</v>
      </c>
      <c r="R232" s="82">
        <f ca="1">IF('Invoer gegevens'!$C$17=E232,'Invoer gegevens'!$C$11,IF(C232=1,W231,0))</f>
        <v>0</v>
      </c>
      <c r="S232" s="86">
        <f ca="1">IF(C232&gt;=1,R232*VLOOKUP(E232,Reeksen!$A$5:$B$76,2),0)</f>
        <v>0</v>
      </c>
      <c r="T232" s="84">
        <f ca="1">(1-('Invoer gegevens'!$F$20/12))*R232*MIN(Reeksen!B232,Reeksen!D232)</f>
        <v>0</v>
      </c>
      <c r="U232" s="84">
        <f>IF(Reeksen!D232&gt;=Reeksen!B232,0,IF(Reeksen!AK232&lt;=Reeksen!AE232,(Reeksen!B232-Reeksen!D232)*R232,0))</f>
        <v>0</v>
      </c>
      <c r="V232" s="86">
        <f>IF(Reeksen!D232&gt;=Reeksen!B232,0,IF(Reeksen!AK232&gt;Reeksen!AE232,(Reeksen!B232-Reeksen!D232)*R232,0))</f>
        <v>0</v>
      </c>
      <c r="W232" s="97">
        <f t="shared" ca="1" si="36"/>
        <v>0</v>
      </c>
      <c r="X232" s="98">
        <f ca="1">IF('Invoer gegevens'!$C$17=E232,'Invoer gegevens'!$C$10-'Invoer gegevens'!$C$11,IF(C232=1,AC231,0))</f>
        <v>0</v>
      </c>
      <c r="Y232" s="98">
        <f ca="1">IF(C232&gt;=1,X232*VLOOKUP(E232,Reeksen!$A$5:$B$76,2),0)</f>
        <v>0</v>
      </c>
      <c r="Z232" s="98">
        <f ca="1">(1-('Invoer gegevens'!$F$20/12))*X232*MIN(Reeksen!B232,Reeksen!D232)</f>
        <v>0</v>
      </c>
      <c r="AA232" s="98">
        <f>IF(Reeksen!D232&gt;=Reeksen!B232,0,IF(Reeksen!AK232&lt;=Reeksen!AE232,(Reeksen!B232-Reeksen!D232)*X232,0))</f>
        <v>0</v>
      </c>
      <c r="AB232" s="98">
        <f>IF(Reeksen!D232&gt;=Reeksen!B232,0,IF(Reeksen!AK232&gt;Reeksen!AE232,(Reeksen!B232-Reeksen!D232)*X232,0))</f>
        <v>0</v>
      </c>
      <c r="AC232" s="99">
        <f t="shared" ca="1" si="37"/>
        <v>0</v>
      </c>
      <c r="AD232" s="98">
        <f ca="1">IF('Invoer gegevens'!$C$17=E232,R232,IF(C232=0,0,AE231))</f>
        <v>0</v>
      </c>
      <c r="AE232" s="98">
        <f t="shared" ca="1" si="38"/>
        <v>0</v>
      </c>
      <c r="AF232" s="98">
        <f ca="1">IF('Invoer gegevens'!$C$17=E232,X232,IF(C232=0,0,AG231))</f>
        <v>0</v>
      </c>
      <c r="AG232" s="98">
        <f t="shared" ca="1" si="39"/>
        <v>0</v>
      </c>
      <c r="AH232" s="68"/>
      <c r="AI232" s="71">
        <f ca="1">IF(C232=1,Reeksen!AJ232*((F232-G232+F232)/2)*12+Reeksen!AK232*((L232-M232+L232)/2)*12,0)</f>
        <v>0</v>
      </c>
      <c r="AJ232" s="71">
        <f ca="1">-AI232*'Invoer gegevens'!$F$28</f>
        <v>0</v>
      </c>
      <c r="AK232" s="71">
        <f t="shared" ca="1" si="33"/>
        <v>0</v>
      </c>
      <c r="AL232" s="71">
        <f ca="1">IF(C232=1,Reeksen!AL232*((F232-G232+F232)/2)*12+Reeksen!AM232*((L232-M232+L232)/2)*12,0)</f>
        <v>0</v>
      </c>
      <c r="AM232" s="71">
        <f ca="1">-AL232*'Invoer gegevens'!$F$31</f>
        <v>0</v>
      </c>
      <c r="AN232" s="71">
        <f t="shared" ca="1" si="40"/>
        <v>0</v>
      </c>
      <c r="AO232" s="71">
        <f ca="1">IF(C232=1,(H232+J232+N232+P232)*Reeksen!AN232,0)</f>
        <v>0</v>
      </c>
      <c r="AP232" s="71">
        <f ca="1">-IF(C232=1,(H232+J232+N232+P232)*'Hulp - basis'!$G$550*Reeksen!H232,0)</f>
        <v>0</v>
      </c>
      <c r="AQ232" s="71">
        <f ca="1">-IF(C232=1,(F232+K232+L232+Q232)/2*'Invoer gegevens'!$I$33*Reeksen!J232,0)*2</f>
        <v>0</v>
      </c>
      <c r="AR232" s="71">
        <f ca="1">-IF(C232=1,(I232*'Invoer gegevens'!$I$34)*Reeksen!J232,0)</f>
        <v>0</v>
      </c>
      <c r="AS232" s="71">
        <f ca="1">-IF(C232=1,(F232+K232+L232+Q232)/2*'Invoer gegevens'!$I$35*Reeksen!L232,0)</f>
        <v>0</v>
      </c>
      <c r="AT232" s="71">
        <f ca="1">-IF(C232=1,IF(E232='Invoer gegevens'!$C$17,'Invoer gegevens'!$C$11,AD232)*Reeksen!S232*'Invoer gegevens'!$C$18*Reeksen!P232,0)</f>
        <v>0</v>
      </c>
      <c r="AU232" s="71">
        <f ca="1">-IF(C232=1,(F232+K232+L232+Q232)/2*'Invoer gegevens'!$I$36*Reeksen!H232,0)</f>
        <v>0</v>
      </c>
      <c r="AV232" s="71">
        <f>IF('Invoer gegevens'!$C$3="Basis",0,#REF!)</f>
        <v>0</v>
      </c>
      <c r="AW232" s="71">
        <f t="shared" ca="1" si="41"/>
        <v>0</v>
      </c>
      <c r="AX232" s="71">
        <f ca="1">IF(E232&lt;'Invoer gegevens'!$C$17+15,0,IF(E232&gt;'Invoer gegevens'!$C$17+215,0,AW232))</f>
        <v>0</v>
      </c>
      <c r="AY232" s="71">
        <f ca="1">AX232/(1+'Invoer gegevens'!$F$18)^($AZ232-('Invoer gegevens'!$C$17-'Invoer gegevens'!$C$16))/(1+'Invoer gegevens'!$C$39)^('Invoer gegevens'!$C$17-'Invoer gegevens'!$C$16)</f>
        <v>0</v>
      </c>
      <c r="AZ232" s="68">
        <f ca="1">IF(E232-'Invoer gegevens'!$C$17-14.5&lt;0,0,E232-'Invoer gegevens'!$C$17-14.5)</f>
        <v>212.5</v>
      </c>
    </row>
    <row r="233" spans="1:52" x14ac:dyDescent="0.25">
      <c r="B233" s="70">
        <f t="shared" si="42"/>
        <v>229</v>
      </c>
      <c r="C233" s="67">
        <f ca="1">IF(E233-'Invoer gegevens'!$C$17&lt;0,0,1)</f>
        <v>1</v>
      </c>
      <c r="D233" s="68">
        <f t="shared" si="43"/>
        <v>228.5</v>
      </c>
      <c r="E233" s="108">
        <f ca="1">IF('Invoer gegevens'!$C$16="","",E232+1)</f>
        <v>2247</v>
      </c>
      <c r="F233" s="84">
        <f ca="1">IF('Invoer gegevens'!$C$17=E233,'Invoer gegevens'!$C$10,IF(C233=1,K232,0))</f>
        <v>0</v>
      </c>
      <c r="G233" s="96">
        <f ca="1">IF(C233&gt;=1,F233*VLOOKUP(E233,Reeksen!$A$5:$B$76,2),0)</f>
        <v>0</v>
      </c>
      <c r="H233" s="84">
        <f ca="1">(1-('Invoer gegevens'!$F$20/12))*F233*MIN(Reeksen!B233,Reeksen!D233)</f>
        <v>0</v>
      </c>
      <c r="I233" s="84">
        <f>IF(Reeksen!D233&lt;Reeksen!B233,(Reeksen!B233-Reeksen!D233)*F233,0)</f>
        <v>0</v>
      </c>
      <c r="J233" s="84">
        <f ca="1">('Invoer gegevens'!$F$20/12)*F232*MIN(Reeksen!B232,Reeksen!D232)</f>
        <v>0</v>
      </c>
      <c r="K233" s="97">
        <f t="shared" ca="1" si="34"/>
        <v>0</v>
      </c>
      <c r="L233" s="84">
        <f ca="1">IF('Invoer gegevens'!$C$17=E233,0,IF(C233=1,Q232,0))</f>
        <v>0</v>
      </c>
      <c r="M233" s="96">
        <f ca="1">IF(C233&gt;=1,L233*VLOOKUP(E233,Reeksen!$A$5:$B$76,2),0)</f>
        <v>0</v>
      </c>
      <c r="N233" s="84">
        <f ca="1">(1-('Invoer gegevens'!$F$20/12))*L233*MIN(Reeksen!B233,Reeksen!D233)</f>
        <v>0</v>
      </c>
      <c r="O233" s="84">
        <f>IF(Reeksen!D233&lt;Reeksen!B233,(Reeksen!B233-Reeksen!D233)*L233,0)</f>
        <v>0</v>
      </c>
      <c r="P233" s="84">
        <f ca="1">('Invoer gegevens'!$F$20/12)*L232*MIN(Reeksen!B232,Reeksen!D232)</f>
        <v>0</v>
      </c>
      <c r="Q233" s="84">
        <f t="shared" ca="1" si="35"/>
        <v>0</v>
      </c>
      <c r="R233" s="82">
        <f ca="1">IF('Invoer gegevens'!$C$17=E233,'Invoer gegevens'!$C$11,IF(C233=1,W232,0))</f>
        <v>0</v>
      </c>
      <c r="S233" s="86">
        <f ca="1">IF(C233&gt;=1,R233*VLOOKUP(E233,Reeksen!$A$5:$B$76,2),0)</f>
        <v>0</v>
      </c>
      <c r="T233" s="84">
        <f ca="1">(1-('Invoer gegevens'!$F$20/12))*R233*MIN(Reeksen!B233,Reeksen!D233)</f>
        <v>0</v>
      </c>
      <c r="U233" s="84">
        <f>IF(Reeksen!D233&gt;=Reeksen!B233,0,IF(Reeksen!AK233&lt;=Reeksen!AE233,(Reeksen!B233-Reeksen!D233)*R233,0))</f>
        <v>0</v>
      </c>
      <c r="V233" s="86">
        <f>IF(Reeksen!D233&gt;=Reeksen!B233,0,IF(Reeksen!AK233&gt;Reeksen!AE233,(Reeksen!B233-Reeksen!D233)*R233,0))</f>
        <v>0</v>
      </c>
      <c r="W233" s="97">
        <f t="shared" ca="1" si="36"/>
        <v>0</v>
      </c>
      <c r="X233" s="98">
        <f ca="1">IF('Invoer gegevens'!$C$17=E233,'Invoer gegevens'!$C$10-'Invoer gegevens'!$C$11,IF(C233=1,AC232,0))</f>
        <v>0</v>
      </c>
      <c r="Y233" s="98">
        <f ca="1">IF(C233&gt;=1,X233*VLOOKUP(E233,Reeksen!$A$5:$B$76,2),0)</f>
        <v>0</v>
      </c>
      <c r="Z233" s="98">
        <f ca="1">(1-('Invoer gegevens'!$F$20/12))*X233*MIN(Reeksen!B233,Reeksen!D233)</f>
        <v>0</v>
      </c>
      <c r="AA233" s="98">
        <f>IF(Reeksen!D233&gt;=Reeksen!B233,0,IF(Reeksen!AK233&lt;=Reeksen!AE233,(Reeksen!B233-Reeksen!D233)*X233,0))</f>
        <v>0</v>
      </c>
      <c r="AB233" s="98">
        <f>IF(Reeksen!D233&gt;=Reeksen!B233,0,IF(Reeksen!AK233&gt;Reeksen!AE233,(Reeksen!B233-Reeksen!D233)*X233,0))</f>
        <v>0</v>
      </c>
      <c r="AC233" s="99">
        <f t="shared" ca="1" si="37"/>
        <v>0</v>
      </c>
      <c r="AD233" s="98">
        <f ca="1">IF('Invoer gegevens'!$C$17=E233,R233,IF(C233=0,0,AE232))</f>
        <v>0</v>
      </c>
      <c r="AE233" s="98">
        <f t="shared" ca="1" si="38"/>
        <v>0</v>
      </c>
      <c r="AF233" s="98">
        <f ca="1">IF('Invoer gegevens'!$C$17=E233,X233,IF(C233=0,0,AG232))</f>
        <v>0</v>
      </c>
      <c r="AG233" s="98">
        <f t="shared" ca="1" si="39"/>
        <v>0</v>
      </c>
      <c r="AH233" s="68"/>
      <c r="AI233" s="71">
        <f ca="1">IF(C233=1,Reeksen!AJ233*((F233-G233+F233)/2)*12+Reeksen!AK233*((L233-M233+L233)/2)*12,0)</f>
        <v>0</v>
      </c>
      <c r="AJ233" s="71">
        <f ca="1">-AI233*'Invoer gegevens'!$F$28</f>
        <v>0</v>
      </c>
      <c r="AK233" s="71">
        <f t="shared" ca="1" si="33"/>
        <v>0</v>
      </c>
      <c r="AL233" s="71">
        <f ca="1">IF(C233=1,Reeksen!AL233*((F233-G233+F233)/2)*12+Reeksen!AM233*((L233-M233+L233)/2)*12,0)</f>
        <v>0</v>
      </c>
      <c r="AM233" s="71">
        <f ca="1">-AL233*'Invoer gegevens'!$F$31</f>
        <v>0</v>
      </c>
      <c r="AN233" s="71">
        <f t="shared" ca="1" si="40"/>
        <v>0</v>
      </c>
      <c r="AO233" s="71">
        <f ca="1">IF(C233=1,(H233+J233+N233+P233)*Reeksen!AN233,0)</f>
        <v>0</v>
      </c>
      <c r="AP233" s="71">
        <f ca="1">-IF(C233=1,(H233+J233+N233+P233)*'Hulp - basis'!$G$550*Reeksen!H233,0)</f>
        <v>0</v>
      </c>
      <c r="AQ233" s="71">
        <f ca="1">-IF(C233=1,(F233+K233+L233+Q233)/2*'Invoer gegevens'!$I$33*Reeksen!J233,0)*2</f>
        <v>0</v>
      </c>
      <c r="AR233" s="71">
        <f ca="1">-IF(C233=1,(I233*'Invoer gegevens'!$I$34)*Reeksen!J233,0)</f>
        <v>0</v>
      </c>
      <c r="AS233" s="71">
        <f ca="1">-IF(C233=1,(F233+K233+L233+Q233)/2*'Invoer gegevens'!$I$35*Reeksen!L233,0)</f>
        <v>0</v>
      </c>
      <c r="AT233" s="71">
        <f ca="1">-IF(C233=1,IF(E233='Invoer gegevens'!$C$17,'Invoer gegevens'!$C$11,AD233)*Reeksen!S233*'Invoer gegevens'!$C$18*Reeksen!P233,0)</f>
        <v>0</v>
      </c>
      <c r="AU233" s="71">
        <f ca="1">-IF(C233=1,(F233+K233+L233+Q233)/2*'Invoer gegevens'!$I$36*Reeksen!H233,0)</f>
        <v>0</v>
      </c>
      <c r="AV233" s="71">
        <f>IF('Invoer gegevens'!$C$3="Basis",0,#REF!)</f>
        <v>0</v>
      </c>
      <c r="AW233" s="71">
        <f t="shared" ca="1" si="41"/>
        <v>0</v>
      </c>
      <c r="AX233" s="71">
        <f ca="1">IF(E233&lt;'Invoer gegevens'!$C$17+15,0,IF(E233&gt;'Invoer gegevens'!$C$17+215,0,AW233))</f>
        <v>0</v>
      </c>
      <c r="AY233" s="71">
        <f ca="1">AX233/(1+'Invoer gegevens'!$F$18)^($AZ233-('Invoer gegevens'!$C$17-'Invoer gegevens'!$C$16))/(1+'Invoer gegevens'!$C$39)^('Invoer gegevens'!$C$17-'Invoer gegevens'!$C$16)</f>
        <v>0</v>
      </c>
      <c r="AZ233" s="68">
        <f ca="1">IF(E233-'Invoer gegevens'!$C$17-14.5&lt;0,0,E233-'Invoer gegevens'!$C$17-14.5)</f>
        <v>213.5</v>
      </c>
    </row>
    <row r="234" spans="1:52" x14ac:dyDescent="0.25">
      <c r="B234" s="70">
        <f t="shared" si="42"/>
        <v>230</v>
      </c>
      <c r="C234" s="67">
        <f ca="1">IF(E234-'Invoer gegevens'!$C$17&lt;0,0,1)</f>
        <v>1</v>
      </c>
      <c r="D234" s="68">
        <f t="shared" si="43"/>
        <v>229.5</v>
      </c>
      <c r="E234" s="108">
        <f ca="1">IF('Invoer gegevens'!$C$16="","",E233+1)</f>
        <v>2248</v>
      </c>
      <c r="F234" s="84">
        <f ca="1">IF('Invoer gegevens'!$C$17=E234,'Invoer gegevens'!$C$10,IF(C234=1,K233,0))</f>
        <v>0</v>
      </c>
      <c r="G234" s="96">
        <f ca="1">IF(C234&gt;=1,F234*VLOOKUP(E234,Reeksen!$A$5:$B$76,2),0)</f>
        <v>0</v>
      </c>
      <c r="H234" s="84">
        <f ca="1">(1-('Invoer gegevens'!$F$20/12))*F234*MIN(Reeksen!B234,Reeksen!D234)</f>
        <v>0</v>
      </c>
      <c r="I234" s="84">
        <f>IF(Reeksen!D234&lt;Reeksen!B234,(Reeksen!B234-Reeksen!D234)*F234,0)</f>
        <v>0</v>
      </c>
      <c r="J234" s="84">
        <f ca="1">('Invoer gegevens'!$F$20/12)*F233*MIN(Reeksen!B233,Reeksen!D233)</f>
        <v>0</v>
      </c>
      <c r="K234" s="97">
        <f t="shared" ca="1" si="34"/>
        <v>0</v>
      </c>
      <c r="L234" s="84">
        <f ca="1">IF('Invoer gegevens'!$C$17=E234,0,IF(C234=1,Q233,0))</f>
        <v>0</v>
      </c>
      <c r="M234" s="96">
        <f ca="1">IF(C234&gt;=1,L234*VLOOKUP(E234,Reeksen!$A$5:$B$76,2),0)</f>
        <v>0</v>
      </c>
      <c r="N234" s="84">
        <f ca="1">(1-('Invoer gegevens'!$F$20/12))*L234*MIN(Reeksen!B234,Reeksen!D234)</f>
        <v>0</v>
      </c>
      <c r="O234" s="84">
        <f>IF(Reeksen!D234&lt;Reeksen!B234,(Reeksen!B234-Reeksen!D234)*L234,0)</f>
        <v>0</v>
      </c>
      <c r="P234" s="84">
        <f ca="1">('Invoer gegevens'!$F$20/12)*L233*MIN(Reeksen!B233,Reeksen!D233)</f>
        <v>0</v>
      </c>
      <c r="Q234" s="84">
        <f t="shared" ca="1" si="35"/>
        <v>0</v>
      </c>
      <c r="R234" s="82">
        <f ca="1">IF('Invoer gegevens'!$C$17=E234,'Invoer gegevens'!$C$11,IF(C234=1,W233,0))</f>
        <v>0</v>
      </c>
      <c r="S234" s="86">
        <f ca="1">IF(C234&gt;=1,R234*VLOOKUP(E234,Reeksen!$A$5:$B$76,2),0)</f>
        <v>0</v>
      </c>
      <c r="T234" s="84">
        <f ca="1">(1-('Invoer gegevens'!$F$20/12))*R234*MIN(Reeksen!B234,Reeksen!D234)</f>
        <v>0</v>
      </c>
      <c r="U234" s="84">
        <f>IF(Reeksen!D234&gt;=Reeksen!B234,0,IF(Reeksen!AK234&lt;=Reeksen!AE234,(Reeksen!B234-Reeksen!D234)*R234,0))</f>
        <v>0</v>
      </c>
      <c r="V234" s="86">
        <f>IF(Reeksen!D234&gt;=Reeksen!B234,0,IF(Reeksen!AK234&gt;Reeksen!AE234,(Reeksen!B234-Reeksen!D234)*R234,0))</f>
        <v>0</v>
      </c>
      <c r="W234" s="97">
        <f t="shared" ca="1" si="36"/>
        <v>0</v>
      </c>
      <c r="X234" s="98">
        <f ca="1">IF('Invoer gegevens'!$C$17=E234,'Invoer gegevens'!$C$10-'Invoer gegevens'!$C$11,IF(C234=1,AC233,0))</f>
        <v>0</v>
      </c>
      <c r="Y234" s="98">
        <f ca="1">IF(C234&gt;=1,X234*VLOOKUP(E234,Reeksen!$A$5:$B$76,2),0)</f>
        <v>0</v>
      </c>
      <c r="Z234" s="98">
        <f ca="1">(1-('Invoer gegevens'!$F$20/12))*X234*MIN(Reeksen!B234,Reeksen!D234)</f>
        <v>0</v>
      </c>
      <c r="AA234" s="98">
        <f>IF(Reeksen!D234&gt;=Reeksen!B234,0,IF(Reeksen!AK234&lt;=Reeksen!AE234,(Reeksen!B234-Reeksen!D234)*X234,0))</f>
        <v>0</v>
      </c>
      <c r="AB234" s="98">
        <f>IF(Reeksen!D234&gt;=Reeksen!B234,0,IF(Reeksen!AK234&gt;Reeksen!AE234,(Reeksen!B234-Reeksen!D234)*X234,0))</f>
        <v>0</v>
      </c>
      <c r="AC234" s="99">
        <f t="shared" ca="1" si="37"/>
        <v>0</v>
      </c>
      <c r="AD234" s="98">
        <f ca="1">IF('Invoer gegevens'!$C$17=E234,R234,IF(C234=0,0,AE233))</f>
        <v>0</v>
      </c>
      <c r="AE234" s="98">
        <f t="shared" ca="1" si="38"/>
        <v>0</v>
      </c>
      <c r="AF234" s="98">
        <f ca="1">IF('Invoer gegevens'!$C$17=E234,X234,IF(C234=0,0,AG233))</f>
        <v>0</v>
      </c>
      <c r="AG234" s="98">
        <f t="shared" ca="1" si="39"/>
        <v>0</v>
      </c>
      <c r="AH234" s="68"/>
      <c r="AI234" s="71">
        <f ca="1">IF(C234=1,Reeksen!AJ234*((F234-G234+F234)/2)*12+Reeksen!AK234*((L234-M234+L234)/2)*12,0)</f>
        <v>0</v>
      </c>
      <c r="AJ234" s="71">
        <f ca="1">-AI234*'Invoer gegevens'!$F$28</f>
        <v>0</v>
      </c>
      <c r="AK234" s="71">
        <f t="shared" ca="1" si="33"/>
        <v>0</v>
      </c>
      <c r="AL234" s="71">
        <f ca="1">IF(C234=1,Reeksen!AL234*((F234-G234+F234)/2)*12+Reeksen!AM234*((L234-M234+L234)/2)*12,0)</f>
        <v>0</v>
      </c>
      <c r="AM234" s="71">
        <f ca="1">-AL234*'Invoer gegevens'!$F$31</f>
        <v>0</v>
      </c>
      <c r="AN234" s="71">
        <f t="shared" ca="1" si="40"/>
        <v>0</v>
      </c>
      <c r="AO234" s="71">
        <f ca="1">IF(C234=1,(H234+J234+N234+P234)*Reeksen!AN234,0)</f>
        <v>0</v>
      </c>
      <c r="AP234" s="71">
        <f ca="1">-IF(C234=1,(H234+J234+N234+P234)*'Hulp - basis'!$G$550*Reeksen!H234,0)</f>
        <v>0</v>
      </c>
      <c r="AQ234" s="71">
        <f ca="1">-IF(C234=1,(F234+K234+L234+Q234)/2*'Invoer gegevens'!$I$33*Reeksen!J234,0)*2</f>
        <v>0</v>
      </c>
      <c r="AR234" s="71">
        <f ca="1">-IF(C234=1,(I234*'Invoer gegevens'!$I$34)*Reeksen!J234,0)</f>
        <v>0</v>
      </c>
      <c r="AS234" s="71">
        <f ca="1">-IF(C234=1,(F234+K234+L234+Q234)/2*'Invoer gegevens'!$I$35*Reeksen!L234,0)</f>
        <v>0</v>
      </c>
      <c r="AT234" s="71">
        <f ca="1">-IF(C234=1,IF(E234='Invoer gegevens'!$C$17,'Invoer gegevens'!$C$11,AD234)*Reeksen!S234*'Invoer gegevens'!$C$18*Reeksen!P234,0)</f>
        <v>0</v>
      </c>
      <c r="AU234" s="71">
        <f ca="1">-IF(C234=1,(F234+K234+L234+Q234)/2*'Invoer gegevens'!$I$36*Reeksen!H234,0)</f>
        <v>0</v>
      </c>
      <c r="AV234" s="71">
        <f>IF('Invoer gegevens'!$C$3="Basis",0,#REF!)</f>
        <v>0</v>
      </c>
      <c r="AW234" s="71">
        <f t="shared" ca="1" si="41"/>
        <v>0</v>
      </c>
      <c r="AX234" s="71">
        <f ca="1">IF(E234&lt;'Invoer gegevens'!$C$17+15,0,IF(E234&gt;'Invoer gegevens'!$C$17+215,0,AW234))</f>
        <v>0</v>
      </c>
      <c r="AY234" s="71">
        <f ca="1">AX234/(1+'Invoer gegevens'!$F$18)^($AZ234-('Invoer gegevens'!$C$17-'Invoer gegevens'!$C$16))/(1+'Invoer gegevens'!$C$39)^('Invoer gegevens'!$C$17-'Invoer gegevens'!$C$16)</f>
        <v>0</v>
      </c>
      <c r="AZ234" s="68">
        <f ca="1">IF(E234-'Invoer gegevens'!$C$17-14.5&lt;0,0,E234-'Invoer gegevens'!$C$17-14.5)</f>
        <v>214.5</v>
      </c>
    </row>
    <row r="235" spans="1:52" s="105" customFormat="1" x14ac:dyDescent="0.25">
      <c r="A235"/>
      <c r="B235" s="70"/>
      <c r="C235" s="67"/>
      <c r="D235" s="68"/>
      <c r="E235" s="69"/>
      <c r="F235" s="84"/>
      <c r="G235" s="83"/>
      <c r="H235" s="84"/>
      <c r="I235" s="84"/>
      <c r="J235" s="84"/>
      <c r="K235" s="84"/>
      <c r="L235" s="84"/>
      <c r="M235" s="83"/>
      <c r="N235" s="84"/>
      <c r="O235" s="84"/>
      <c r="P235" s="84"/>
      <c r="Q235" s="84"/>
      <c r="R235" s="84"/>
      <c r="S235" s="86"/>
      <c r="T235" s="84"/>
      <c r="U235" s="84"/>
      <c r="V235" s="86"/>
      <c r="W235" s="84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68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</row>
    <row r="236" spans="1:52" s="105" customFormat="1" x14ac:dyDescent="0.25">
      <c r="A236"/>
      <c r="B236" s="70"/>
      <c r="C236" s="67"/>
      <c r="D236" s="68"/>
      <c r="E236" s="69"/>
      <c r="F236" s="84"/>
      <c r="G236" s="83"/>
      <c r="H236" s="84"/>
      <c r="I236" s="84"/>
      <c r="J236" s="84"/>
      <c r="K236" s="84"/>
      <c r="L236" s="84"/>
      <c r="M236" s="83"/>
      <c r="N236" s="84"/>
      <c r="O236" s="84"/>
      <c r="P236" s="84"/>
      <c r="Q236" s="84"/>
      <c r="R236" s="84"/>
      <c r="S236" s="86"/>
      <c r="T236" s="84"/>
      <c r="U236" s="84"/>
      <c r="V236" s="86"/>
      <c r="W236" s="84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68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</row>
    <row r="237" spans="1:52" s="105" customFormat="1" x14ac:dyDescent="0.25">
      <c r="A237"/>
      <c r="B237" s="70"/>
      <c r="C237" s="67"/>
      <c r="D237" s="68"/>
      <c r="E237" s="69"/>
      <c r="F237" s="84"/>
      <c r="G237" s="83"/>
      <c r="H237" s="84"/>
      <c r="I237" s="84"/>
      <c r="J237" s="84"/>
      <c r="K237" s="84"/>
      <c r="L237" s="84"/>
      <c r="M237" s="83"/>
      <c r="N237" s="84"/>
      <c r="O237" s="84"/>
      <c r="P237" s="84"/>
      <c r="Q237" s="84"/>
      <c r="R237" s="84"/>
      <c r="S237" s="86"/>
      <c r="T237" s="84"/>
      <c r="U237" s="84"/>
      <c r="V237" s="86"/>
      <c r="W237" s="84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68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</row>
  </sheetData>
  <mergeCells count="31"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W3:W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2:K2"/>
    <mergeCell ref="L2:Q2"/>
    <mergeCell ref="R2:W2"/>
    <mergeCell ref="X2:AC2"/>
    <mergeCell ref="AD2:AG2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0" orientation="portrait" horizontalDpi="0" verticalDpi="0" copies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/>
  <dimension ref="A1:AZ237"/>
  <sheetViews>
    <sheetView showGridLines="0" topLeftCell="AG3" workbookViewId="0">
      <selection activeCell="AO27" sqref="AO27"/>
    </sheetView>
  </sheetViews>
  <sheetFormatPr defaultRowHeight="15" x14ac:dyDescent="0.25"/>
  <cols>
    <col min="1" max="1" width="1.5703125" style="230" customWidth="1"/>
    <col min="2" max="2" width="4.85546875" style="230" customWidth="1"/>
    <col min="3" max="4" width="6" style="230" customWidth="1"/>
    <col min="5" max="6" width="6.5703125" style="230" customWidth="1"/>
    <col min="7" max="7" width="8.7109375" style="230" customWidth="1"/>
    <col min="8" max="8" width="11.5703125" style="230" customWidth="1"/>
    <col min="9" max="9" width="9.28515625" style="230" customWidth="1"/>
    <col min="10" max="10" width="9.7109375" style="230" customWidth="1"/>
    <col min="11" max="11" width="10.42578125" style="230" customWidth="1"/>
    <col min="12" max="12" width="8.7109375" style="230" customWidth="1"/>
    <col min="13" max="13" width="9.42578125" style="230" customWidth="1"/>
    <col min="14" max="14" width="8.7109375" style="230" customWidth="1"/>
    <col min="15" max="15" width="10.5703125" style="230" customWidth="1"/>
    <col min="16" max="16" width="9.85546875" style="230" customWidth="1"/>
    <col min="17" max="17" width="8.7109375" style="230" customWidth="1"/>
    <col min="18" max="18" width="10.28515625" style="230" customWidth="1"/>
    <col min="19" max="19" width="9.140625" style="230" customWidth="1"/>
    <col min="20" max="21" width="10.42578125" style="230" customWidth="1"/>
    <col min="22" max="22" width="14.140625" style="230" customWidth="1"/>
    <col min="23" max="28" width="8.85546875" style="230" customWidth="1"/>
    <col min="29" max="29" width="9.7109375" style="230" customWidth="1"/>
    <col min="30" max="31" width="9.5703125" style="230" customWidth="1"/>
    <col min="32" max="32" width="10.7109375" style="230" customWidth="1"/>
    <col min="33" max="33" width="9.5703125" style="230" customWidth="1"/>
    <col min="34" max="34" width="2.85546875" style="230" customWidth="1"/>
    <col min="35" max="35" width="12" style="230" bestFit="1" customWidth="1"/>
    <col min="36" max="36" width="9.85546875" style="230" bestFit="1" customWidth="1"/>
    <col min="37" max="37" width="12" style="230" bestFit="1" customWidth="1"/>
    <col min="38" max="40" width="12" style="230" customWidth="1"/>
    <col min="41" max="41" width="11.85546875" style="230" bestFit="1" customWidth="1"/>
    <col min="42" max="42" width="9.85546875" style="230" bestFit="1" customWidth="1"/>
    <col min="43" max="43" width="11.7109375" style="230" bestFit="1" customWidth="1"/>
    <col min="44" max="44" width="10.140625" style="230" bestFit="1" customWidth="1"/>
    <col min="45" max="45" width="11.7109375" style="230" bestFit="1" customWidth="1"/>
    <col min="46" max="46" width="11.85546875" style="230" bestFit="1" customWidth="1"/>
    <col min="47" max="47" width="16.42578125" style="230" bestFit="1" customWidth="1"/>
    <col min="48" max="48" width="16.42578125" style="230" customWidth="1"/>
    <col min="49" max="49" width="13" style="230" customWidth="1"/>
    <col min="50" max="50" width="14.42578125" style="230" bestFit="1" customWidth="1"/>
    <col min="51" max="51" width="14.5703125" style="230" bestFit="1" customWidth="1"/>
    <col min="52" max="16384" width="9.140625" style="230"/>
  </cols>
  <sheetData>
    <row r="1" spans="1:52" ht="15.75" x14ac:dyDescent="0.25">
      <c r="A1" s="89" t="s">
        <v>720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</row>
    <row r="2" spans="1:52" x14ac:dyDescent="0.25">
      <c r="A2" s="59"/>
      <c r="B2" s="70"/>
      <c r="C2" s="70"/>
      <c r="D2" s="70"/>
      <c r="E2" s="219"/>
      <c r="F2" s="398" t="s">
        <v>721</v>
      </c>
      <c r="G2" s="398"/>
      <c r="H2" s="398"/>
      <c r="I2" s="398"/>
      <c r="J2" s="398"/>
      <c r="K2" s="399"/>
      <c r="L2" s="400" t="s">
        <v>814</v>
      </c>
      <c r="M2" s="401"/>
      <c r="N2" s="401"/>
      <c r="O2" s="401"/>
      <c r="P2" s="401"/>
      <c r="Q2" s="402"/>
      <c r="R2" s="397" t="s">
        <v>666</v>
      </c>
      <c r="S2" s="398"/>
      <c r="T2" s="398"/>
      <c r="U2" s="398"/>
      <c r="V2" s="398"/>
      <c r="W2" s="399"/>
      <c r="X2" s="397" t="s">
        <v>667</v>
      </c>
      <c r="Y2" s="398"/>
      <c r="Z2" s="398"/>
      <c r="AA2" s="398"/>
      <c r="AB2" s="398"/>
      <c r="AC2" s="399"/>
      <c r="AD2" s="397" t="s">
        <v>700</v>
      </c>
      <c r="AE2" s="398"/>
      <c r="AF2" s="398"/>
      <c r="AG2" s="398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</row>
    <row r="3" spans="1:52" x14ac:dyDescent="0.25">
      <c r="A3" s="59"/>
      <c r="B3" s="91" t="s">
        <v>668</v>
      </c>
      <c r="C3" s="91" t="s">
        <v>669</v>
      </c>
      <c r="D3" s="91" t="s">
        <v>669</v>
      </c>
      <c r="E3" s="217" t="s">
        <v>670</v>
      </c>
      <c r="F3" s="403" t="s">
        <v>723</v>
      </c>
      <c r="G3" s="403" t="s">
        <v>724</v>
      </c>
      <c r="H3" s="403" t="s">
        <v>725</v>
      </c>
      <c r="I3" s="403" t="s">
        <v>726</v>
      </c>
      <c r="J3" s="403" t="s">
        <v>727</v>
      </c>
      <c r="K3" s="93" t="s">
        <v>671</v>
      </c>
      <c r="L3" s="405" t="s">
        <v>723</v>
      </c>
      <c r="M3" s="406" t="s">
        <v>724</v>
      </c>
      <c r="N3" s="406" t="s">
        <v>725</v>
      </c>
      <c r="O3" s="406" t="s">
        <v>726</v>
      </c>
      <c r="P3" s="406" t="s">
        <v>728</v>
      </c>
      <c r="Q3" s="407" t="s">
        <v>729</v>
      </c>
      <c r="R3" s="405" t="s">
        <v>730</v>
      </c>
      <c r="S3" s="403" t="s">
        <v>724</v>
      </c>
      <c r="T3" s="403" t="s">
        <v>731</v>
      </c>
      <c r="U3" s="403" t="s">
        <v>732</v>
      </c>
      <c r="V3" s="403" t="s">
        <v>733</v>
      </c>
      <c r="W3" s="407" t="s">
        <v>730</v>
      </c>
      <c r="X3" s="406" t="s">
        <v>734</v>
      </c>
      <c r="Y3" s="406" t="s">
        <v>724</v>
      </c>
      <c r="Z3" s="406" t="s">
        <v>731</v>
      </c>
      <c r="AA3" s="406" t="s">
        <v>732</v>
      </c>
      <c r="AB3" s="406" t="s">
        <v>733</v>
      </c>
      <c r="AC3" s="407" t="s">
        <v>734</v>
      </c>
      <c r="AD3" s="408" t="s">
        <v>703</v>
      </c>
      <c r="AE3" s="403" t="s">
        <v>735</v>
      </c>
      <c r="AF3" s="403" t="s">
        <v>736</v>
      </c>
      <c r="AG3" s="81" t="s">
        <v>667</v>
      </c>
      <c r="AH3" s="95"/>
      <c r="AI3" s="91" t="s">
        <v>16</v>
      </c>
      <c r="AJ3" s="91" t="s">
        <v>16</v>
      </c>
      <c r="AK3" s="91" t="s">
        <v>672</v>
      </c>
      <c r="AL3" s="27" t="s">
        <v>704</v>
      </c>
      <c r="AM3" s="27" t="s">
        <v>704</v>
      </c>
      <c r="AN3" s="27" t="s">
        <v>672</v>
      </c>
      <c r="AO3" s="91" t="s">
        <v>673</v>
      </c>
      <c r="AP3" s="91" t="s">
        <v>705</v>
      </c>
      <c r="AQ3" s="91" t="s">
        <v>674</v>
      </c>
      <c r="AR3" s="91" t="s">
        <v>706</v>
      </c>
      <c r="AS3" s="91" t="s">
        <v>675</v>
      </c>
      <c r="AT3" s="91" t="s">
        <v>676</v>
      </c>
      <c r="AU3" s="62" t="s">
        <v>588</v>
      </c>
      <c r="AV3" s="62" t="s">
        <v>707</v>
      </c>
      <c r="AW3" s="91" t="s">
        <v>677</v>
      </c>
      <c r="AX3" s="62" t="s">
        <v>677</v>
      </c>
      <c r="AY3" s="62" t="s">
        <v>679</v>
      </c>
      <c r="AZ3" s="62" t="s">
        <v>738</v>
      </c>
    </row>
    <row r="4" spans="1:52" x14ac:dyDescent="0.25">
      <c r="A4" s="59"/>
      <c r="B4" s="91"/>
      <c r="C4" s="91" t="s">
        <v>682</v>
      </c>
      <c r="D4" s="91" t="s">
        <v>682</v>
      </c>
      <c r="E4" s="217"/>
      <c r="F4" s="403"/>
      <c r="G4" s="403"/>
      <c r="H4" s="403"/>
      <c r="I4" s="403"/>
      <c r="J4" s="403"/>
      <c r="K4" s="93" t="s">
        <v>737</v>
      </c>
      <c r="L4" s="405"/>
      <c r="M4" s="406"/>
      <c r="N4" s="406"/>
      <c r="O4" s="406"/>
      <c r="P4" s="406"/>
      <c r="Q4" s="407"/>
      <c r="R4" s="405"/>
      <c r="S4" s="403"/>
      <c r="T4" s="403"/>
      <c r="U4" s="403"/>
      <c r="V4" s="403"/>
      <c r="W4" s="407"/>
      <c r="X4" s="406"/>
      <c r="Y4" s="406"/>
      <c r="Z4" s="406"/>
      <c r="AA4" s="406"/>
      <c r="AB4" s="406"/>
      <c r="AC4" s="407"/>
      <c r="AD4" s="408"/>
      <c r="AE4" s="403"/>
      <c r="AF4" s="403"/>
      <c r="AG4" s="81" t="s">
        <v>711</v>
      </c>
      <c r="AH4" s="95"/>
      <c r="AI4" s="91" t="s">
        <v>712</v>
      </c>
      <c r="AJ4" s="91" t="s">
        <v>683</v>
      </c>
      <c r="AK4" s="91" t="s">
        <v>684</v>
      </c>
      <c r="AL4" s="27" t="s">
        <v>713</v>
      </c>
      <c r="AM4" s="27" t="s">
        <v>683</v>
      </c>
      <c r="AN4" s="27" t="s">
        <v>714</v>
      </c>
      <c r="AO4" s="91" t="s">
        <v>715</v>
      </c>
      <c r="AP4" s="91" t="s">
        <v>685</v>
      </c>
      <c r="AQ4" s="91" t="s">
        <v>685</v>
      </c>
      <c r="AR4" s="91" t="s">
        <v>716</v>
      </c>
      <c r="AS4" s="91" t="s">
        <v>685</v>
      </c>
      <c r="AT4" s="91" t="s">
        <v>686</v>
      </c>
      <c r="AU4" s="62" t="s">
        <v>687</v>
      </c>
      <c r="AV4" s="62" t="s">
        <v>717</v>
      </c>
      <c r="AW4" s="91"/>
      <c r="AX4" s="62" t="s">
        <v>689</v>
      </c>
      <c r="AY4" s="62" t="s">
        <v>689</v>
      </c>
      <c r="AZ4" s="62" t="s">
        <v>689</v>
      </c>
    </row>
    <row r="5" spans="1:52" x14ac:dyDescent="0.25">
      <c r="A5" s="59"/>
      <c r="B5" s="66">
        <v>1</v>
      </c>
      <c r="C5" s="67">
        <f ca="1">IF(E5-'Invoer gegevens (N)'!$C$17&lt;0,0,1)</f>
        <v>1</v>
      </c>
      <c r="D5" s="68">
        <v>0.5</v>
      </c>
      <c r="E5" s="108">
        <f ca="1">IF('Invoer gegevens (N)'!$C$16="","",'Invoer gegevens (N)'!$C$16)</f>
        <v>2019</v>
      </c>
      <c r="F5" s="84">
        <f ca="1">IF('Invoer gegevens (N)'!$C$17=E5,'Invoer gegevens (N)'!$C$10,IF(C5=1,K4,0))</f>
        <v>0</v>
      </c>
      <c r="G5" s="96">
        <f ca="1">IF(C5&gt;=1,F5*VLOOKUP(E5,'Reeksen (N)'!$A$5:$B$76,2),0)</f>
        <v>0</v>
      </c>
      <c r="H5" s="84">
        <f ca="1">(1-('Invoer gegevens (N)'!$F$20/12))*F5*MIN('Reeksen (N)'!B5,'Reeksen (N)'!D5)</f>
        <v>0</v>
      </c>
      <c r="I5" s="84">
        <f>IF('Reeksen (N)'!D5&lt;'Reeksen (N)'!B5,('Reeksen (N)'!B5-'Reeksen (N)'!D5)*F5,0)</f>
        <v>0</v>
      </c>
      <c r="J5" s="84">
        <f>('Invoer gegevens (N)'!$F$20/12)*F4*MIN('Reeksen (N)'!B4,'Reeksen (N)'!D4)</f>
        <v>0</v>
      </c>
      <c r="K5" s="97">
        <f ca="1">F5-G5</f>
        <v>0</v>
      </c>
      <c r="L5" s="84">
        <f ca="1">IF('Invoer gegevens (N)'!$C$17=E5,0,IF(C5=1,Q4,0))</f>
        <v>0</v>
      </c>
      <c r="M5" s="96">
        <f ca="1">IF(C5&gt;=1,L5*VLOOKUP(E5,'Reeksen (N)'!$A$5:$B$76,2),0)</f>
        <v>0</v>
      </c>
      <c r="N5" s="84">
        <f ca="1">(1-('Invoer gegevens (N)'!$F$20/12))*L5*MIN('Reeksen (N)'!B5,'Reeksen (N)'!D5)</f>
        <v>0</v>
      </c>
      <c r="O5" s="84">
        <f>IF('Reeksen (N)'!D5&lt;'Reeksen (N)'!B5,('Reeksen (N)'!B5-'Reeksen (N)'!D5)*L5,0)</f>
        <v>0</v>
      </c>
      <c r="P5" s="84">
        <f>('Invoer gegevens (N)'!$F$20/12)*L4*MIN('Reeksen (N)'!B4,'Reeksen (N)'!D4)</f>
        <v>0</v>
      </c>
      <c r="Q5" s="84">
        <f ca="1">L5-M5+I5+O5</f>
        <v>0</v>
      </c>
      <c r="R5" s="82">
        <f ca="1">IF('Invoer gegevens (N)'!$C$17=E5,'Invoer gegevens (N)'!$C$11,IF(C5=1,W4,0))</f>
        <v>0</v>
      </c>
      <c r="S5" s="86">
        <f ca="1">IF(C5&gt;=1,R5*VLOOKUP(E5,'Reeksen (N)'!$A$5:$B$76,2),0)</f>
        <v>0</v>
      </c>
      <c r="T5" s="84">
        <f ca="1">(1-('Invoer gegevens (N)'!$F$20/12))*R5*MIN('Reeksen (N)'!B5,'Reeksen (N)'!D5)</f>
        <v>0</v>
      </c>
      <c r="U5" s="84">
        <f>IF('Reeksen (N)'!D5&gt;='Reeksen (N)'!B5,0,IF('Reeksen (N)'!AK5&lt;='Reeksen (N)'!AE5,('Reeksen (N)'!B5-'Reeksen (N)'!D5)*R5,0))</f>
        <v>0</v>
      </c>
      <c r="V5" s="86">
        <f>IF('Reeksen (N)'!D5&gt;='Reeksen (N)'!B5,0,IF('Reeksen (N)'!AK5&gt;'Reeksen (N)'!AE5,('Reeksen (N)'!B5-'Reeksen (N)'!D5)*R5,0))</f>
        <v>0</v>
      </c>
      <c r="W5" s="97">
        <f ca="1">R5-S5</f>
        <v>0</v>
      </c>
      <c r="X5" s="98">
        <f ca="1">IF('Invoer gegevens (N)'!$C$17=E5,'Invoer gegevens (N)'!$C$10-'Invoer gegevens (N)'!$C$11,IF(C5=1,AC4,0))</f>
        <v>0</v>
      </c>
      <c r="Y5" s="98">
        <f ca="1">IF(C5&gt;=1,X5*VLOOKUP(E5,'Reeksen (N)'!$A$5:$B$76,2),0)</f>
        <v>0</v>
      </c>
      <c r="Z5" s="98">
        <f ca="1">(1-('Invoer gegevens (N)'!$F$20/12))*X5*MIN('Reeksen (N)'!B5,'Reeksen (N)'!D5)</f>
        <v>0</v>
      </c>
      <c r="AA5" s="98">
        <f>IF('Reeksen (N)'!D5&gt;='Reeksen (N)'!B5,0,IF('Reeksen (N)'!AK5&lt;='Reeksen (N)'!AE5,('Reeksen (N)'!B5-'Reeksen (N)'!D5)*X5,0))</f>
        <v>0</v>
      </c>
      <c r="AB5" s="98">
        <f>IF('Reeksen (N)'!D5&gt;='Reeksen (N)'!B5,0,IF('Reeksen (N)'!AK5&gt;'Reeksen (N)'!AE5,('Reeksen (N)'!B5-'Reeksen (N)'!D5)*X5,0))</f>
        <v>0</v>
      </c>
      <c r="AC5" s="99">
        <f ca="1">X5-Y5</f>
        <v>0</v>
      </c>
      <c r="AD5" s="98">
        <f ca="1">IF('Invoer gegevens (N)'!$C$17=E5,R5,IF(C5=0,0,AE4))</f>
        <v>0</v>
      </c>
      <c r="AE5" s="98">
        <f ca="1">IF(C5=0,0,AD5-S5-V5+AA5)</f>
        <v>0</v>
      </c>
      <c r="AF5" s="98">
        <f ca="1">IF('Invoer gegevens (N)'!$C$17=E5,X5,IF(C5=0,0,AG4))</f>
        <v>0</v>
      </c>
      <c r="AG5" s="98">
        <f ca="1">IF(C5=0,0,AF5-Y5-AA5+V5)</f>
        <v>0</v>
      </c>
      <c r="AH5" s="68"/>
      <c r="AI5" s="71">
        <f ca="1">IF(C5=1,'Reeksen (N)'!AJ5*((F5-G5+F5)/2)*12+'Reeksen (N)'!AK5*((L5-M5+L5)/2)*12,0)</f>
        <v>0</v>
      </c>
      <c r="AJ5" s="71">
        <f ca="1">-AI5*'Invoer gegevens (N)'!$F$26</f>
        <v>0</v>
      </c>
      <c r="AK5" s="71">
        <f t="shared" ref="AK5:AK68" ca="1" si="0">AI5+AJ5</f>
        <v>0</v>
      </c>
      <c r="AL5" s="71">
        <f ca="1">IF(C5=1,'Reeksen (N)'!AL5*((F5-G5+F5)/2)*12+'Reeksen (N)'!AM5*((L5-M5+L5)/2)*12,0)</f>
        <v>0</v>
      </c>
      <c r="AM5" s="71">
        <f ca="1">-AL5*'Invoer gegevens (N)'!$F$31</f>
        <v>0</v>
      </c>
      <c r="AN5" s="71">
        <f ca="1">AL5+AM5</f>
        <v>0</v>
      </c>
      <c r="AO5" s="71">
        <f ca="1">IF(C5=1,(H5+J5+N5+P5)*'Reeksen (N)'!AN5,0)</f>
        <v>0</v>
      </c>
      <c r="AP5" s="71">
        <f ca="1">-IF(C5=1,(H5+J5+N5+P5)*'Hulp - basis'!$O$550*'Reeksen (N)'!H5,0)</f>
        <v>0</v>
      </c>
      <c r="AQ5" s="71">
        <f ca="1">-IF(C5=1,(F5+K5+L5+Q5)/2*'Invoer gegevens (N)'!$I$33*'Reeksen (N)'!J5,0)*2</f>
        <v>0</v>
      </c>
      <c r="AR5" s="71">
        <f ca="1">-IF(C5=1,(I5*'Invoer gegevens (N)'!$I$34)*'Reeksen (N)'!J5,0)</f>
        <v>0</v>
      </c>
      <c r="AS5" s="71">
        <f ca="1">-IF(C5=1,(F5+K5+L5+Q5)/2*'Invoer gegevens (N)'!$I$35*'Reeksen (N)'!L5,0)</f>
        <v>0</v>
      </c>
      <c r="AT5" s="71">
        <f ca="1">-IF(C5=1,IF(E5='Invoer gegevens (N)'!$C$17,'Invoer gegevens (N)'!$C$11,AD5)*'Reeksen (N)'!S5*'Invoer gegevens (N)'!$C$18*'Reeksen (N)'!P5,0)</f>
        <v>0</v>
      </c>
      <c r="AU5" s="71">
        <f ca="1">-IF(C5=1,(F5+K5+L5+Q5)/2*'Invoer gegevens (N)'!$I$36*'Reeksen (N)'!H5,0)</f>
        <v>0</v>
      </c>
      <c r="AV5" s="71">
        <v>0</v>
      </c>
      <c r="AW5" s="71">
        <f ca="1">SUM(AK5,AN5:AV5)</f>
        <v>0</v>
      </c>
      <c r="AX5" s="71">
        <f ca="1">IF(E5&lt;'Invoer gegevens (N)'!$C$17+15,0,IF(E5&gt;'Invoer gegevens (N)'!$C$17+215,0,AW5))</f>
        <v>0</v>
      </c>
      <c r="AY5" s="71">
        <f ca="1">AX5/(1+'Invoer gegevens (N)'!$F$18)^($AZ5-('Invoer gegevens (N)'!$C$17-'Invoer gegevens (N)'!$C$16))/(1+'Invoer gegevens (N)'!$C$39)^('Invoer gegevens (N)'!$C$17-'Invoer gegevens (N)'!$C$16)</f>
        <v>0</v>
      </c>
      <c r="AZ5" s="68">
        <f ca="1">IF(E5-'Invoer gegevens (N)'!$C$17-14.5&lt;0,0,E5-'Invoer gegevens (N)'!$C$17-14.5)</f>
        <v>0</v>
      </c>
    </row>
    <row r="6" spans="1:52" x14ac:dyDescent="0.25">
      <c r="A6" s="59"/>
      <c r="B6" s="70">
        <f>B5+1</f>
        <v>2</v>
      </c>
      <c r="C6" s="67">
        <f ca="1">IF(E6-'Invoer gegevens (N)'!$C$17&lt;0,0,1)</f>
        <v>1</v>
      </c>
      <c r="D6" s="68">
        <f>D5+1</f>
        <v>1.5</v>
      </c>
      <c r="E6" s="108">
        <f ca="1">IF('Invoer gegevens (N)'!$C$16="","",E5+1)</f>
        <v>2020</v>
      </c>
      <c r="F6" s="84">
        <f ca="1">IF('Invoer gegevens (N)'!$C$17=E6,'Invoer gegevens (N)'!$C$10,IF(C6=1,K5,0))</f>
        <v>0</v>
      </c>
      <c r="G6" s="96">
        <f ca="1">IF(C6&gt;=1,F6*VLOOKUP(E6,'Reeksen (N)'!$A$5:$B$76,2),0)</f>
        <v>0</v>
      </c>
      <c r="H6" s="84">
        <f ca="1">(1-('Invoer gegevens (N)'!$F$20/12))*F6*MIN('Reeksen (N)'!B6,'Reeksen (N)'!D6)</f>
        <v>0</v>
      </c>
      <c r="I6" s="84">
        <f>IF('Reeksen (N)'!D6&lt;'Reeksen (N)'!B6,('Reeksen (N)'!B6-'Reeksen (N)'!D6)*F6,0)</f>
        <v>0</v>
      </c>
      <c r="J6" s="84">
        <f ca="1">('Invoer gegevens (N)'!$F$20/12)*F5*MIN('Reeksen (N)'!B5,'Reeksen (N)'!D5)</f>
        <v>0</v>
      </c>
      <c r="K6" s="97">
        <f t="shared" ref="K6:K69" ca="1" si="1">F6-G6</f>
        <v>0</v>
      </c>
      <c r="L6" s="84">
        <f ca="1">IF('Invoer gegevens (N)'!$C$17=E6,0,IF(C6=1,Q5,0))</f>
        <v>0</v>
      </c>
      <c r="M6" s="96">
        <f ca="1">IF(C6&gt;=1,L6*VLOOKUP(E6,'Reeksen (N)'!$A$5:$B$76,2),0)</f>
        <v>0</v>
      </c>
      <c r="N6" s="84">
        <f ca="1">(1-('Invoer gegevens (N)'!$F$20/12))*L6*MIN('Reeksen (N)'!B6,'Reeksen (N)'!D6)</f>
        <v>0</v>
      </c>
      <c r="O6" s="84">
        <f>IF('Reeksen (N)'!D6&lt;'Reeksen (N)'!B6,('Reeksen (N)'!B6-'Reeksen (N)'!D6)*L6,0)</f>
        <v>0</v>
      </c>
      <c r="P6" s="84">
        <f ca="1">('Invoer gegevens (N)'!$F$20/12)*L5*MIN('Reeksen (N)'!B5,'Reeksen (N)'!D5)</f>
        <v>0</v>
      </c>
      <c r="Q6" s="84">
        <f t="shared" ref="Q6:Q69" ca="1" si="2">L6-M6+I6+O6</f>
        <v>0</v>
      </c>
      <c r="R6" s="82">
        <f ca="1">IF('Invoer gegevens (N)'!$C$17=E6,'Invoer gegevens (N)'!$C$11,IF(C6=1,W5,0))</f>
        <v>0</v>
      </c>
      <c r="S6" s="86">
        <f ca="1">IF(C6&gt;=1,R6*VLOOKUP(E6,'Reeksen (N)'!$A$5:$B$76,2),0)</f>
        <v>0</v>
      </c>
      <c r="T6" s="84">
        <f ca="1">(1-('Invoer gegevens (N)'!$F$20/12))*R6*MIN('Reeksen (N)'!B6,'Reeksen (N)'!D6)</f>
        <v>0</v>
      </c>
      <c r="U6" s="84">
        <f>IF('Reeksen (N)'!D6&gt;='Reeksen (N)'!B6,0,IF('Reeksen (N)'!AK6&lt;='Reeksen (N)'!AE6,('Reeksen (N)'!B6-'Reeksen (N)'!D6)*R6,0))</f>
        <v>0</v>
      </c>
      <c r="V6" s="86">
        <f>IF('Reeksen (N)'!D6&gt;='Reeksen (N)'!B6,0,IF('Reeksen (N)'!AK6&gt;'Reeksen (N)'!AE6,('Reeksen (N)'!B6-'Reeksen (N)'!D6)*R6,0))</f>
        <v>0</v>
      </c>
      <c r="W6" s="97">
        <f t="shared" ref="W6:W69" ca="1" si="3">R6-S6</f>
        <v>0</v>
      </c>
      <c r="X6" s="98">
        <f ca="1">IF('Invoer gegevens (N)'!$C$17=E6,'Invoer gegevens (N)'!$C$10-'Invoer gegevens (N)'!$C$11,IF(C6=1,AC5,0))</f>
        <v>0</v>
      </c>
      <c r="Y6" s="98">
        <f ca="1">IF(C6&gt;=1,X6*VLOOKUP(E6,'Reeksen (N)'!$A$5:$B$76,2),0)</f>
        <v>0</v>
      </c>
      <c r="Z6" s="98">
        <f ca="1">(1-('Invoer gegevens (N)'!$F$20/12))*X6*MIN('Reeksen (N)'!B6,'Reeksen (N)'!D6)</f>
        <v>0</v>
      </c>
      <c r="AA6" s="98">
        <f>IF('Reeksen (N)'!D6&gt;='Reeksen (N)'!B6,0,IF('Reeksen (N)'!AK6&lt;='Reeksen (N)'!AE6,('Reeksen (N)'!B6-'Reeksen (N)'!D6)*X6,0))</f>
        <v>0</v>
      </c>
      <c r="AB6" s="98">
        <f>IF('Reeksen (N)'!D6&gt;='Reeksen (N)'!B6,0,IF('Reeksen (N)'!AK6&gt;'Reeksen (N)'!AE6,('Reeksen (N)'!B6-'Reeksen (N)'!D6)*X6,0))</f>
        <v>0</v>
      </c>
      <c r="AC6" s="99">
        <f t="shared" ref="AC6:AC69" ca="1" si="4">X6-Y6</f>
        <v>0</v>
      </c>
      <c r="AD6" s="98">
        <f ca="1">IF('Invoer gegevens (N)'!$C$17=E6,R6,IF(C6=0,0,AE5))</f>
        <v>0</v>
      </c>
      <c r="AE6" s="98">
        <f t="shared" ref="AE6:AE69" ca="1" si="5">IF(C6=0,0,AD6-S6-V6+AA6)</f>
        <v>0</v>
      </c>
      <c r="AF6" s="98">
        <f ca="1">IF('Invoer gegevens (N)'!$C$17=E6,X6,IF(C6=0,0,AG5))</f>
        <v>0</v>
      </c>
      <c r="AG6" s="98">
        <f t="shared" ref="AG6:AG69" ca="1" si="6">IF(C6=0,0,AF6-Y6-AA6+V6)</f>
        <v>0</v>
      </c>
      <c r="AH6" s="68"/>
      <c r="AI6" s="71">
        <f ca="1">IF(C6=1,'Reeksen (N)'!AJ6*((F6-G6+F6)/2)*12+'Reeksen (N)'!AK6*((L6-M6+L6)/2)*12,0)</f>
        <v>0</v>
      </c>
      <c r="AJ6" s="71">
        <f ca="1">-AI6*'Invoer gegevens (N)'!$F$27</f>
        <v>0</v>
      </c>
      <c r="AK6" s="71">
        <f t="shared" ca="1" si="0"/>
        <v>0</v>
      </c>
      <c r="AL6" s="71">
        <f ca="1">IF(C6=1,'Reeksen (N)'!AL6*((F6-G6+F6)/2)*12+'Reeksen (N)'!AM6*((L6-M6+L6)/2)*12,0)</f>
        <v>0</v>
      </c>
      <c r="AM6" s="71">
        <f ca="1">-AL6*'Invoer gegevens (N)'!$F$31</f>
        <v>0</v>
      </c>
      <c r="AN6" s="71">
        <f t="shared" ref="AN6:AN69" ca="1" si="7">AL6+AM6</f>
        <v>0</v>
      </c>
      <c r="AO6" s="71">
        <f ca="1">IF(C6=1,(H6+J6+N6+P6)*'Reeksen (N)'!AN6,0)</f>
        <v>0</v>
      </c>
      <c r="AP6" s="71">
        <f ca="1">-IF(C6=1,(H6+J6+N6+P6)*'Hulp - basis'!$O$550*'Reeksen (N)'!H6,0)</f>
        <v>0</v>
      </c>
      <c r="AQ6" s="71">
        <f ca="1">-IF(C6=1,(F6+K6+L6+Q6)/2*'Invoer gegevens (N)'!$I$33*'Reeksen (N)'!J6,0)*2</f>
        <v>0</v>
      </c>
      <c r="AR6" s="71">
        <f ca="1">-IF(C6=1,(I6*'Invoer gegevens (N)'!$I$34)*'Reeksen (N)'!J6,0)</f>
        <v>0</v>
      </c>
      <c r="AS6" s="71">
        <f ca="1">-IF(C6=1,(F6+K6+L6+Q6)/2*'Invoer gegevens (N)'!$I$35*'Reeksen (N)'!L6,0)</f>
        <v>0</v>
      </c>
      <c r="AT6" s="71">
        <f ca="1">-IF(C6=1,IF(E6='Invoer gegevens (N)'!$C$17,'Invoer gegevens (N)'!$C$11,AD6)*'Reeksen (N)'!S6*'Invoer gegevens (N)'!$C$18*'Reeksen (N)'!P6,0)</f>
        <v>0</v>
      </c>
      <c r="AU6" s="71">
        <f ca="1">-IF(C6=1,(F6+K6+L6+Q6)/2*'Invoer gegevens (N)'!$I$36*'Reeksen (N)'!H6,0)</f>
        <v>0</v>
      </c>
      <c r="AV6" s="71">
        <v>0</v>
      </c>
      <c r="AW6" s="71">
        <f t="shared" ref="AW6:AW69" ca="1" si="8">SUM(AK6,AN6:AV6)</f>
        <v>0</v>
      </c>
      <c r="AX6" s="71">
        <f ca="1">IF(E6&lt;'Invoer gegevens (N)'!$C$17+15,0,IF(E6&gt;'Invoer gegevens (N)'!$C$17+215,0,AW6))</f>
        <v>0</v>
      </c>
      <c r="AY6" s="71">
        <f ca="1">AX6/(1+'Invoer gegevens (N)'!$F$18)^($AZ6-('Invoer gegevens (N)'!$C$17-'Invoer gegevens (N)'!$C$16))/(1+'Invoer gegevens (N)'!$C$39)^('Invoer gegevens (N)'!$C$17-'Invoer gegevens (N)'!$C$16)</f>
        <v>0</v>
      </c>
      <c r="AZ6" s="68">
        <f ca="1">IF(E6-'Invoer gegevens (N)'!$C$17-14.5&lt;0,0,E6-'Invoer gegevens (N)'!$C$17-14.5)</f>
        <v>0</v>
      </c>
    </row>
    <row r="7" spans="1:52" x14ac:dyDescent="0.25">
      <c r="A7" s="59"/>
      <c r="B7" s="70">
        <f>B6+1</f>
        <v>3</v>
      </c>
      <c r="C7" s="67">
        <f ca="1">IF(E7-'Invoer gegevens (N)'!$C$17&lt;0,0,1)</f>
        <v>1</v>
      </c>
      <c r="D7" s="68">
        <f>D6+1</f>
        <v>2.5</v>
      </c>
      <c r="E7" s="108">
        <f ca="1">IF('Invoer gegevens (N)'!$C$16="","",E6+1)</f>
        <v>2021</v>
      </c>
      <c r="F7" s="84">
        <f ca="1">IF('Invoer gegevens (N)'!$C$17=E7,'Invoer gegevens (N)'!$C$10,IF(C7=1,K6,0))</f>
        <v>0</v>
      </c>
      <c r="G7" s="96">
        <f ca="1">IF(C7&gt;=1,F7*VLOOKUP(E7,'Reeksen (N)'!$A$5:$B$76,2),0)</f>
        <v>0</v>
      </c>
      <c r="H7" s="84">
        <f ca="1">(1-('Invoer gegevens (N)'!$F$20/12))*F7*MIN('Reeksen (N)'!B7,'Reeksen (N)'!D7)</f>
        <v>0</v>
      </c>
      <c r="I7" s="84">
        <f>IF('Reeksen (N)'!D7&lt;'Reeksen (N)'!B7,('Reeksen (N)'!B7-'Reeksen (N)'!D7)*F7,0)</f>
        <v>0</v>
      </c>
      <c r="J7" s="84">
        <f ca="1">('Invoer gegevens (N)'!$F$20/12)*F6*MIN('Reeksen (N)'!B6,'Reeksen (N)'!D6)</f>
        <v>0</v>
      </c>
      <c r="K7" s="97">
        <f t="shared" ca="1" si="1"/>
        <v>0</v>
      </c>
      <c r="L7" s="84">
        <f ca="1">IF('Invoer gegevens (N)'!$C$17=E7,0,IF(C7=1,Q6,0))</f>
        <v>0</v>
      </c>
      <c r="M7" s="96">
        <f ca="1">IF(C7&gt;=1,L7*VLOOKUP(E7,'Reeksen (N)'!$A$5:$B$76,2),0)</f>
        <v>0</v>
      </c>
      <c r="N7" s="84">
        <f ca="1">(1-('Invoer gegevens (N)'!$F$20/12))*L7*MIN('Reeksen (N)'!B7,'Reeksen (N)'!D7)</f>
        <v>0</v>
      </c>
      <c r="O7" s="84">
        <f>IF('Reeksen (N)'!D7&lt;'Reeksen (N)'!B7,('Reeksen (N)'!B7-'Reeksen (N)'!D7)*L7,0)</f>
        <v>0</v>
      </c>
      <c r="P7" s="84">
        <f ca="1">('Invoer gegevens (N)'!$F$20/12)*L6*MIN('Reeksen (N)'!B6,'Reeksen (N)'!D6)</f>
        <v>0</v>
      </c>
      <c r="Q7" s="84">
        <f t="shared" ca="1" si="2"/>
        <v>0</v>
      </c>
      <c r="R7" s="82">
        <f ca="1">IF('Invoer gegevens (N)'!$C$17=E7,'Invoer gegevens (N)'!$C$11,IF(C7=1,W6,0))</f>
        <v>0</v>
      </c>
      <c r="S7" s="86">
        <f ca="1">IF(C7&gt;=1,R7*VLOOKUP(E7,'Reeksen (N)'!$A$5:$B$76,2),0)</f>
        <v>0</v>
      </c>
      <c r="T7" s="84">
        <f ca="1">(1-('Invoer gegevens (N)'!$F$20/12))*R7*MIN('Reeksen (N)'!B7,'Reeksen (N)'!D7)</f>
        <v>0</v>
      </c>
      <c r="U7" s="84">
        <f>IF('Reeksen (N)'!D7&gt;='Reeksen (N)'!B7,0,IF('Reeksen (N)'!AK7&lt;='Reeksen (N)'!AE7,('Reeksen (N)'!B7-'Reeksen (N)'!D7)*R7,0))</f>
        <v>0</v>
      </c>
      <c r="V7" s="86">
        <f>IF('Reeksen (N)'!D7&gt;='Reeksen (N)'!B7,0,IF('Reeksen (N)'!AK7&gt;'Reeksen (N)'!AE7,('Reeksen (N)'!B7-'Reeksen (N)'!D7)*R7,0))</f>
        <v>0</v>
      </c>
      <c r="W7" s="97">
        <f t="shared" ca="1" si="3"/>
        <v>0</v>
      </c>
      <c r="X7" s="98">
        <f ca="1">IF('Invoer gegevens (N)'!$C$17=E7,'Invoer gegevens (N)'!$C$10-'Invoer gegevens (N)'!$C$11,IF(C7=1,AC6,0))</f>
        <v>0</v>
      </c>
      <c r="Y7" s="98">
        <f ca="1">IF(C7&gt;=1,X7*VLOOKUP(E7,'Reeksen (N)'!$A$5:$B$76,2),0)</f>
        <v>0</v>
      </c>
      <c r="Z7" s="98">
        <f ca="1">(1-('Invoer gegevens (N)'!$F$20/12))*X7*MIN('Reeksen (N)'!B7,'Reeksen (N)'!D7)</f>
        <v>0</v>
      </c>
      <c r="AA7" s="98">
        <f>IF('Reeksen (N)'!D7&gt;='Reeksen (N)'!B7,0,IF('Reeksen (N)'!AK7&lt;='Reeksen (N)'!AE7,('Reeksen (N)'!B7-'Reeksen (N)'!D7)*X7,0))</f>
        <v>0</v>
      </c>
      <c r="AB7" s="98">
        <f>IF('Reeksen (N)'!D7&gt;='Reeksen (N)'!B7,0,IF('Reeksen (N)'!AK7&gt;'Reeksen (N)'!AE7,('Reeksen (N)'!B7-'Reeksen (N)'!D7)*X7,0))</f>
        <v>0</v>
      </c>
      <c r="AC7" s="99">
        <f t="shared" ca="1" si="4"/>
        <v>0</v>
      </c>
      <c r="AD7" s="98">
        <f ca="1">IF('Invoer gegevens (N)'!$C$17=E7,R7,IF(C7=0,0,AE6))</f>
        <v>0</v>
      </c>
      <c r="AE7" s="98">
        <f t="shared" ca="1" si="5"/>
        <v>0</v>
      </c>
      <c r="AF7" s="98">
        <f ca="1">IF('Invoer gegevens (N)'!$C$17=E7,X7,IF(C7=0,0,AG6))</f>
        <v>0</v>
      </c>
      <c r="AG7" s="98">
        <f t="shared" ca="1" si="6"/>
        <v>0</v>
      </c>
      <c r="AH7" s="68"/>
      <c r="AI7" s="71">
        <f ca="1">IF(C7=1,'Reeksen (N)'!AJ7*((F7-G7+F7)/2)*12+'Reeksen (N)'!AK7*((L7-M7+L7)/2)*12,0)</f>
        <v>0</v>
      </c>
      <c r="AJ7" s="71">
        <f ca="1">-AI7*'Invoer gegevens (N)'!$F$28</f>
        <v>0</v>
      </c>
      <c r="AK7" s="71">
        <f t="shared" ca="1" si="0"/>
        <v>0</v>
      </c>
      <c r="AL7" s="71">
        <f ca="1">IF(C7=1,'Reeksen (N)'!AL7*((F7-G7+F7)/2)*12+'Reeksen (N)'!AM7*((L7-M7+L7)/2)*12,0)</f>
        <v>0</v>
      </c>
      <c r="AM7" s="71">
        <f ca="1">-AL7*'Invoer gegevens (N)'!$F$31</f>
        <v>0</v>
      </c>
      <c r="AN7" s="71">
        <f t="shared" ca="1" si="7"/>
        <v>0</v>
      </c>
      <c r="AO7" s="71">
        <f ca="1">IF(C7=1,(H7+J7+N7+P7)*'Reeksen (N)'!AN7,0)</f>
        <v>0</v>
      </c>
      <c r="AP7" s="71">
        <f ca="1">-IF(C7=1,(H7+J7+N7+P7)*'Hulp - basis'!$O$550*'Reeksen (N)'!H7,0)</f>
        <v>0</v>
      </c>
      <c r="AQ7" s="71">
        <f ca="1">-IF(C7=1,(F7+K7+L7+Q7)/2*'Invoer gegevens (N)'!$I$33*'Reeksen (N)'!J7,0)*2</f>
        <v>0</v>
      </c>
      <c r="AR7" s="71">
        <f ca="1">-IF(C7=1,(I7*'Invoer gegevens (N)'!$I$34)*'Reeksen (N)'!J7,0)</f>
        <v>0</v>
      </c>
      <c r="AS7" s="71">
        <f ca="1">-IF(C7=1,(F7+K7+L7+Q7)/2*'Invoer gegevens (N)'!$I$35*'Reeksen (N)'!L7,0)</f>
        <v>0</v>
      </c>
      <c r="AT7" s="71">
        <f ca="1">-IF(C7=1,IF(E7='Invoer gegevens (N)'!$C$17,'Invoer gegevens (N)'!$C$11,AD7)*'Reeksen (N)'!S7*'Invoer gegevens (N)'!$C$18*'Reeksen (N)'!P7,0)</f>
        <v>0</v>
      </c>
      <c r="AU7" s="71">
        <f ca="1">-IF(C7=1,(F7+K7+L7+Q7)/2*'Invoer gegevens (N)'!$I$36*'Reeksen (N)'!H7,0)</f>
        <v>0</v>
      </c>
      <c r="AV7" s="71">
        <v>0</v>
      </c>
      <c r="AW7" s="71">
        <f t="shared" ca="1" si="8"/>
        <v>0</v>
      </c>
      <c r="AX7" s="71">
        <f ca="1">IF(E7&lt;'Invoer gegevens (N)'!$C$17+15,0,IF(E7&gt;'Invoer gegevens (N)'!$C$17+215,0,AW7))</f>
        <v>0</v>
      </c>
      <c r="AY7" s="71">
        <f ca="1">AX7/(1+'Invoer gegevens (N)'!$F$18)^($AZ7-('Invoer gegevens (N)'!$C$17-'Invoer gegevens (N)'!$C$16))/(1+'Invoer gegevens (N)'!$C$39)^('Invoer gegevens (N)'!$C$17-'Invoer gegevens (N)'!$C$16)</f>
        <v>0</v>
      </c>
      <c r="AZ7" s="68">
        <f ca="1">IF(E7-'Invoer gegevens (N)'!$C$17-14.5&lt;0,0,E7-'Invoer gegevens (N)'!$C$17-14.5)</f>
        <v>0</v>
      </c>
    </row>
    <row r="8" spans="1:52" x14ac:dyDescent="0.25">
      <c r="A8" s="59"/>
      <c r="B8" s="70">
        <f t="shared" ref="B8:B71" si="9">B7+1</f>
        <v>4</v>
      </c>
      <c r="C8" s="67">
        <f ca="1">IF(E8-'Invoer gegevens (N)'!$C$17&lt;0,0,1)</f>
        <v>1</v>
      </c>
      <c r="D8" s="68">
        <f t="shared" ref="D8:D71" si="10">D7+1</f>
        <v>3.5</v>
      </c>
      <c r="E8" s="108">
        <f ca="1">IF('Invoer gegevens (N)'!$C$16="","",E7+1)</f>
        <v>2022</v>
      </c>
      <c r="F8" s="84">
        <f ca="1">IF('Invoer gegevens (N)'!$C$17=E8,'Invoer gegevens (N)'!$C$10,IF(C8=1,K7,0))</f>
        <v>0</v>
      </c>
      <c r="G8" s="96">
        <f ca="1">IF(C8&gt;=1,F8*VLOOKUP(E8,'Reeksen (N)'!$A$5:$B$76,2),0)</f>
        <v>0</v>
      </c>
      <c r="H8" s="84">
        <f ca="1">(1-('Invoer gegevens (N)'!$F$20/12))*F8*MIN('Reeksen (N)'!B8,'Reeksen (N)'!D8)</f>
        <v>0</v>
      </c>
      <c r="I8" s="84">
        <f>IF('Reeksen (N)'!D8&lt;'Reeksen (N)'!B8,('Reeksen (N)'!B8-'Reeksen (N)'!D8)*F8,0)</f>
        <v>0</v>
      </c>
      <c r="J8" s="84">
        <f ca="1">('Invoer gegevens (N)'!$F$20/12)*F7*MIN('Reeksen (N)'!B7,'Reeksen (N)'!D7)</f>
        <v>0</v>
      </c>
      <c r="K8" s="97">
        <f t="shared" ca="1" si="1"/>
        <v>0</v>
      </c>
      <c r="L8" s="84">
        <f ca="1">IF('Invoer gegevens (N)'!$C$17=E8,0,IF(C8=1,Q7,0))</f>
        <v>0</v>
      </c>
      <c r="M8" s="96">
        <f ca="1">IF(C8&gt;=1,L8*VLOOKUP(E8,'Reeksen (N)'!$A$5:$B$76,2),0)</f>
        <v>0</v>
      </c>
      <c r="N8" s="84">
        <f ca="1">(1-('Invoer gegevens (N)'!$F$20/12))*L8*MIN('Reeksen (N)'!B8,'Reeksen (N)'!D8)</f>
        <v>0</v>
      </c>
      <c r="O8" s="84">
        <f>IF('Reeksen (N)'!D8&lt;'Reeksen (N)'!B8,('Reeksen (N)'!B8-'Reeksen (N)'!D8)*L8,0)</f>
        <v>0</v>
      </c>
      <c r="P8" s="84">
        <f ca="1">('Invoer gegevens (N)'!$F$20/12)*L7*MIN('Reeksen (N)'!B7,'Reeksen (N)'!D7)</f>
        <v>0</v>
      </c>
      <c r="Q8" s="84">
        <f t="shared" ca="1" si="2"/>
        <v>0</v>
      </c>
      <c r="R8" s="82">
        <f ca="1">IF('Invoer gegevens (N)'!$C$17=E8,'Invoer gegevens (N)'!$C$11,IF(C8=1,W7,0))</f>
        <v>0</v>
      </c>
      <c r="S8" s="86">
        <f ca="1">IF(C8&gt;=1,R8*VLOOKUP(E8,'Reeksen (N)'!$A$5:$B$76,2),0)</f>
        <v>0</v>
      </c>
      <c r="T8" s="84">
        <f ca="1">(1-('Invoer gegevens (N)'!$F$20/12))*R8*MIN('Reeksen (N)'!B8,'Reeksen (N)'!D8)</f>
        <v>0</v>
      </c>
      <c r="U8" s="84">
        <f>IF('Reeksen (N)'!D8&gt;='Reeksen (N)'!B8,0,IF('Reeksen (N)'!AK8&lt;='Reeksen (N)'!AE8,('Reeksen (N)'!B8-'Reeksen (N)'!D8)*R8,0))</f>
        <v>0</v>
      </c>
      <c r="V8" s="86">
        <f>IF('Reeksen (N)'!D8&gt;='Reeksen (N)'!B8,0,IF('Reeksen (N)'!AK8&gt;'Reeksen (N)'!AE8,('Reeksen (N)'!B8-'Reeksen (N)'!D8)*R8,0))</f>
        <v>0</v>
      </c>
      <c r="W8" s="97">
        <f t="shared" ca="1" si="3"/>
        <v>0</v>
      </c>
      <c r="X8" s="98">
        <f ca="1">IF('Invoer gegevens (N)'!$C$17=E8,'Invoer gegevens (N)'!$C$10-'Invoer gegevens (N)'!$C$11,IF(C8=1,AC7,0))</f>
        <v>0</v>
      </c>
      <c r="Y8" s="98">
        <f ca="1">IF(C8&gt;=1,X8*VLOOKUP(E8,'Reeksen (N)'!$A$5:$B$76,2),0)</f>
        <v>0</v>
      </c>
      <c r="Z8" s="98">
        <f ca="1">(1-('Invoer gegevens (N)'!$F$20/12))*X8*MIN('Reeksen (N)'!B8,'Reeksen (N)'!D8)</f>
        <v>0</v>
      </c>
      <c r="AA8" s="98">
        <f>IF('Reeksen (N)'!D8&gt;='Reeksen (N)'!B8,0,IF('Reeksen (N)'!AK8&lt;='Reeksen (N)'!AE8,('Reeksen (N)'!B8-'Reeksen (N)'!D8)*X8,0))</f>
        <v>0</v>
      </c>
      <c r="AB8" s="98">
        <f>IF('Reeksen (N)'!D8&gt;='Reeksen (N)'!B8,0,IF('Reeksen (N)'!AK8&gt;'Reeksen (N)'!AE8,('Reeksen (N)'!B8-'Reeksen (N)'!D8)*X8,0))</f>
        <v>0</v>
      </c>
      <c r="AC8" s="99">
        <f t="shared" ca="1" si="4"/>
        <v>0</v>
      </c>
      <c r="AD8" s="98">
        <f ca="1">IF('Invoer gegevens (N)'!$C$17=E8,R8,IF(C8=0,0,AE7))</f>
        <v>0</v>
      </c>
      <c r="AE8" s="98">
        <f t="shared" ca="1" si="5"/>
        <v>0</v>
      </c>
      <c r="AF8" s="98">
        <f ca="1">IF('Invoer gegevens (N)'!$C$17=E8,X8,IF(C8=0,0,AG7))</f>
        <v>0</v>
      </c>
      <c r="AG8" s="98">
        <f t="shared" ca="1" si="6"/>
        <v>0</v>
      </c>
      <c r="AH8" s="68"/>
      <c r="AI8" s="71">
        <f ca="1">IF(C8=1,'Reeksen (N)'!AJ8*((F8-G8+F8)/2)*12+'Reeksen (N)'!AK8*((L8-M8+L8)/2)*12,0)</f>
        <v>0</v>
      </c>
      <c r="AJ8" s="71">
        <f ca="1">-AI8*'Invoer gegevens (N)'!$F$28</f>
        <v>0</v>
      </c>
      <c r="AK8" s="71">
        <f t="shared" ca="1" si="0"/>
        <v>0</v>
      </c>
      <c r="AL8" s="71">
        <f ca="1">IF(C8=1,'Reeksen (N)'!AL8*((F8-G8+F8)/2)*12+'Reeksen (N)'!AM8*((L8-M8+L8)/2)*12,0)</f>
        <v>0</v>
      </c>
      <c r="AM8" s="71">
        <f ca="1">-AL8*'Invoer gegevens (N)'!$F$31</f>
        <v>0</v>
      </c>
      <c r="AN8" s="71">
        <f t="shared" ca="1" si="7"/>
        <v>0</v>
      </c>
      <c r="AO8" s="71">
        <f ca="1">IF(C8=1,(H8+J8+N8+P8)*'Reeksen (N)'!AN8,0)</f>
        <v>0</v>
      </c>
      <c r="AP8" s="71">
        <f ca="1">-IF(C8=1,(H8+J8+N8+P8)*'Hulp - basis'!$O$550*'Reeksen (N)'!H8,0)</f>
        <v>0</v>
      </c>
      <c r="AQ8" s="71">
        <f ca="1">-IF(C8=1,(F8+K8+L8+Q8)/2*'Invoer gegevens (N)'!$I$33*'Reeksen (N)'!J8,0)*2</f>
        <v>0</v>
      </c>
      <c r="AR8" s="71">
        <f ca="1">-IF(C8=1,(I8*'Invoer gegevens (N)'!$I$34)*'Reeksen (N)'!J8,0)</f>
        <v>0</v>
      </c>
      <c r="AS8" s="71">
        <f ca="1">-IF(C8=1,(F8+K8+L8+Q8)/2*'Invoer gegevens (N)'!$I$35*'Reeksen (N)'!L8,0)</f>
        <v>0</v>
      </c>
      <c r="AT8" s="71">
        <f ca="1">-IF(C8=1,IF(E8='Invoer gegevens (N)'!$C$17,'Invoer gegevens (N)'!$C$11,AD8)*'Reeksen (N)'!S8*'Invoer gegevens (N)'!$C$18*'Reeksen (N)'!P8,0)</f>
        <v>0</v>
      </c>
      <c r="AU8" s="71">
        <f ca="1">-IF(C8=1,(F8+K8+L8+Q8)/2*'Invoer gegevens (N)'!$I$36*'Reeksen (N)'!H8,0)</f>
        <v>0</v>
      </c>
      <c r="AV8" s="71">
        <v>0</v>
      </c>
      <c r="AW8" s="71">
        <f t="shared" ca="1" si="8"/>
        <v>0</v>
      </c>
      <c r="AX8" s="71">
        <f ca="1">IF(E8&lt;'Invoer gegevens (N)'!$C$17+15,0,IF(E8&gt;'Invoer gegevens (N)'!$C$17+215,0,AW8))</f>
        <v>0</v>
      </c>
      <c r="AY8" s="71">
        <f ca="1">AX8/(1+'Invoer gegevens (N)'!$F$18)^($AZ8-('Invoer gegevens (N)'!$C$17-'Invoer gegevens (N)'!$C$16))/(1+'Invoer gegevens (N)'!$C$39)^('Invoer gegevens (N)'!$C$17-'Invoer gegevens (N)'!$C$16)</f>
        <v>0</v>
      </c>
      <c r="AZ8" s="68">
        <f ca="1">IF(E8-'Invoer gegevens (N)'!$C$17-14.5&lt;0,0,E8-'Invoer gegevens (N)'!$C$17-14.5)</f>
        <v>0</v>
      </c>
    </row>
    <row r="9" spans="1:52" x14ac:dyDescent="0.25">
      <c r="A9" s="59"/>
      <c r="B9" s="70">
        <f t="shared" si="9"/>
        <v>5</v>
      </c>
      <c r="C9" s="67">
        <f ca="1">IF(E9-'Invoer gegevens (N)'!$C$17&lt;0,0,1)</f>
        <v>1</v>
      </c>
      <c r="D9" s="68">
        <f t="shared" si="10"/>
        <v>4.5</v>
      </c>
      <c r="E9" s="108">
        <f ca="1">IF('Invoer gegevens (N)'!$C$16="","",E8+1)</f>
        <v>2023</v>
      </c>
      <c r="F9" s="84">
        <f ca="1">IF('Invoer gegevens (N)'!$C$17=E9,'Invoer gegevens (N)'!$C$10,IF(C9=1,K8,0))</f>
        <v>0</v>
      </c>
      <c r="G9" s="96">
        <f ca="1">IF(C9&gt;=1,F9*VLOOKUP(E9,'Reeksen (N)'!$A$5:$B$76,2),0)</f>
        <v>0</v>
      </c>
      <c r="H9" s="84">
        <f ca="1">(1-('Invoer gegevens (N)'!$F$20/12))*F9*MIN('Reeksen (N)'!B9,'Reeksen (N)'!D9)</f>
        <v>0</v>
      </c>
      <c r="I9" s="84">
        <f>IF('Reeksen (N)'!D9&lt;'Reeksen (N)'!B9,('Reeksen (N)'!B9-'Reeksen (N)'!D9)*F9,0)</f>
        <v>0</v>
      </c>
      <c r="J9" s="84">
        <f ca="1">('Invoer gegevens (N)'!$F$20/12)*F8*MIN('Reeksen (N)'!B8,'Reeksen (N)'!D8)</f>
        <v>0</v>
      </c>
      <c r="K9" s="97">
        <f t="shared" ca="1" si="1"/>
        <v>0</v>
      </c>
      <c r="L9" s="84">
        <f ca="1">IF('Invoer gegevens (N)'!$C$17=E9,0,IF(C9=1,Q8,0))</f>
        <v>0</v>
      </c>
      <c r="M9" s="96">
        <f ca="1">IF(C9&gt;=1,L9*VLOOKUP(E9,'Reeksen (N)'!$A$5:$B$76,2),0)</f>
        <v>0</v>
      </c>
      <c r="N9" s="84">
        <f ca="1">(1-('Invoer gegevens (N)'!$F$20/12))*L9*MIN('Reeksen (N)'!B9,'Reeksen (N)'!D9)</f>
        <v>0</v>
      </c>
      <c r="O9" s="84">
        <f>IF('Reeksen (N)'!D9&lt;'Reeksen (N)'!B9,('Reeksen (N)'!B9-'Reeksen (N)'!D9)*L9,0)</f>
        <v>0</v>
      </c>
      <c r="P9" s="84">
        <f ca="1">('Invoer gegevens (N)'!$F$20/12)*L8*MIN('Reeksen (N)'!B8,'Reeksen (N)'!D8)</f>
        <v>0</v>
      </c>
      <c r="Q9" s="84">
        <f t="shared" ca="1" si="2"/>
        <v>0</v>
      </c>
      <c r="R9" s="82">
        <f ca="1">IF('Invoer gegevens (N)'!$C$17=E9,'Invoer gegevens (N)'!$C$11,IF(C9=1,W8,0))</f>
        <v>0</v>
      </c>
      <c r="S9" s="86">
        <f ca="1">IF(C9&gt;=1,R9*VLOOKUP(E9,'Reeksen (N)'!$A$5:$B$76,2),0)</f>
        <v>0</v>
      </c>
      <c r="T9" s="84">
        <f ca="1">(1-('Invoer gegevens (N)'!$F$20/12))*R9*MIN('Reeksen (N)'!B9,'Reeksen (N)'!D9)</f>
        <v>0</v>
      </c>
      <c r="U9" s="84">
        <f>IF('Reeksen (N)'!D9&gt;='Reeksen (N)'!B9,0,IF('Reeksen (N)'!AK9&lt;='Reeksen (N)'!AE9,('Reeksen (N)'!B9-'Reeksen (N)'!D9)*R9,0))</f>
        <v>0</v>
      </c>
      <c r="V9" s="86">
        <f>IF('Reeksen (N)'!D9&gt;='Reeksen (N)'!B9,0,IF('Reeksen (N)'!AK9&gt;'Reeksen (N)'!AE9,('Reeksen (N)'!B9-'Reeksen (N)'!D9)*R9,0))</f>
        <v>0</v>
      </c>
      <c r="W9" s="97">
        <f t="shared" ca="1" si="3"/>
        <v>0</v>
      </c>
      <c r="X9" s="98">
        <f ca="1">IF('Invoer gegevens (N)'!$C$17=E9,'Invoer gegevens (N)'!$C$10-'Invoer gegevens (N)'!$C$11,IF(C9=1,AC8,0))</f>
        <v>0</v>
      </c>
      <c r="Y9" s="98">
        <f ca="1">IF(C9&gt;=1,X9*VLOOKUP(E9,'Reeksen (N)'!$A$5:$B$76,2),0)</f>
        <v>0</v>
      </c>
      <c r="Z9" s="98">
        <f ca="1">(1-('Invoer gegevens (N)'!$F$20/12))*X9*MIN('Reeksen (N)'!B9,'Reeksen (N)'!D9)</f>
        <v>0</v>
      </c>
      <c r="AA9" s="98">
        <f>IF('Reeksen (N)'!D9&gt;='Reeksen (N)'!B9,0,IF('Reeksen (N)'!AK9&lt;='Reeksen (N)'!AE9,('Reeksen (N)'!B9-'Reeksen (N)'!D9)*X9,0))</f>
        <v>0</v>
      </c>
      <c r="AB9" s="98">
        <f>IF('Reeksen (N)'!D9&gt;='Reeksen (N)'!B9,0,IF('Reeksen (N)'!AK9&gt;'Reeksen (N)'!AE9,('Reeksen (N)'!B9-'Reeksen (N)'!D9)*X9,0))</f>
        <v>0</v>
      </c>
      <c r="AC9" s="99">
        <f t="shared" ca="1" si="4"/>
        <v>0</v>
      </c>
      <c r="AD9" s="98">
        <f ca="1">IF('Invoer gegevens (N)'!$C$17=E9,R9,IF(C9=0,0,AE8))</f>
        <v>0</v>
      </c>
      <c r="AE9" s="98">
        <f t="shared" ca="1" si="5"/>
        <v>0</v>
      </c>
      <c r="AF9" s="98">
        <f ca="1">IF('Invoer gegevens (N)'!$C$17=E9,X9,IF(C9=0,0,AG8))</f>
        <v>0</v>
      </c>
      <c r="AG9" s="98">
        <f t="shared" ca="1" si="6"/>
        <v>0</v>
      </c>
      <c r="AH9" s="68"/>
      <c r="AI9" s="71">
        <f ca="1">IF(C9=1,'Reeksen (N)'!AJ9*((F9-G9+F9)/2)*12+'Reeksen (N)'!AK9*((L9-M9+L9)/2)*12,0)</f>
        <v>0</v>
      </c>
      <c r="AJ9" s="71">
        <f ca="1">-AI9*'Invoer gegevens (N)'!$F$28</f>
        <v>0</v>
      </c>
      <c r="AK9" s="71">
        <f t="shared" ca="1" si="0"/>
        <v>0</v>
      </c>
      <c r="AL9" s="71">
        <f ca="1">IF(C9=1,'Reeksen (N)'!AL9*((F9-G9+F9)/2)*12+'Reeksen (N)'!AM9*((L9-M9+L9)/2)*12,0)</f>
        <v>0</v>
      </c>
      <c r="AM9" s="71">
        <f ca="1">-AL9*'Invoer gegevens (N)'!$F$31</f>
        <v>0</v>
      </c>
      <c r="AN9" s="71">
        <f t="shared" ca="1" si="7"/>
        <v>0</v>
      </c>
      <c r="AO9" s="71">
        <f ca="1">IF(C9=1,(H9+J9+N9+P9)*'Reeksen (N)'!AN9,0)</f>
        <v>0</v>
      </c>
      <c r="AP9" s="71">
        <f ca="1">-IF(C9=1,(H9+J9+N9+P9)*'Hulp - basis'!$O$550*'Reeksen (N)'!H9,0)</f>
        <v>0</v>
      </c>
      <c r="AQ9" s="71">
        <f ca="1">-IF(C9=1,(F9+K9+L9+Q9)/2*'Invoer gegevens (N)'!$I$33*'Reeksen (N)'!J9,0)*2</f>
        <v>0</v>
      </c>
      <c r="AR9" s="71">
        <f ca="1">-IF(C9=1,(I9*'Invoer gegevens (N)'!$I$34)*'Reeksen (N)'!J9,0)</f>
        <v>0</v>
      </c>
      <c r="AS9" s="71">
        <f ca="1">-IF(C9=1,(F9+K9+L9+Q9)/2*'Invoer gegevens (N)'!$I$35*'Reeksen (N)'!L9,0)</f>
        <v>0</v>
      </c>
      <c r="AT9" s="71">
        <f ca="1">-IF(C9=1,IF(E9='Invoer gegevens (N)'!$C$17,'Invoer gegevens (N)'!$C$11,AD9)*'Reeksen (N)'!S9*'Invoer gegevens (N)'!$C$18*'Reeksen (N)'!P9,0)</f>
        <v>0</v>
      </c>
      <c r="AU9" s="71">
        <f ca="1">-IF(C9=1,(F9+K9+L9+Q9)/2*'Invoer gegevens (N)'!$I$36*'Reeksen (N)'!H9,0)</f>
        <v>0</v>
      </c>
      <c r="AV9" s="71">
        <v>0</v>
      </c>
      <c r="AW9" s="71">
        <f t="shared" ca="1" si="8"/>
        <v>0</v>
      </c>
      <c r="AX9" s="71">
        <f ca="1">IF(E9&lt;'Invoer gegevens (N)'!$C$17+15,0,IF(E9&gt;'Invoer gegevens (N)'!$C$17+215,0,AW9))</f>
        <v>0</v>
      </c>
      <c r="AY9" s="71">
        <f ca="1">AX9/(1+'Invoer gegevens (N)'!$F$18)^($AZ9-('Invoer gegevens (N)'!$C$17-'Invoer gegevens (N)'!$C$16))/(1+'Invoer gegevens (N)'!$C$39)^('Invoer gegevens (N)'!$C$17-'Invoer gegevens (N)'!$C$16)</f>
        <v>0</v>
      </c>
      <c r="AZ9" s="68">
        <f ca="1">IF(E9-'Invoer gegevens (N)'!$C$17-14.5&lt;0,0,E9-'Invoer gegevens (N)'!$C$17-14.5)</f>
        <v>0</v>
      </c>
    </row>
    <row r="10" spans="1:52" x14ac:dyDescent="0.25">
      <c r="A10" s="59"/>
      <c r="B10" s="70">
        <f t="shared" si="9"/>
        <v>6</v>
      </c>
      <c r="C10" s="67">
        <f ca="1">IF(E10-'Invoer gegevens (N)'!$C$17&lt;0,0,1)</f>
        <v>1</v>
      </c>
      <c r="D10" s="68">
        <f t="shared" si="10"/>
        <v>5.5</v>
      </c>
      <c r="E10" s="108">
        <f ca="1">IF('Invoer gegevens (N)'!$C$16="","",E9+1)</f>
        <v>2024</v>
      </c>
      <c r="F10" s="84">
        <f ca="1">IF('Invoer gegevens (N)'!$C$17=E10,'Invoer gegevens (N)'!$C$10,IF(C10=1,K9,0))</f>
        <v>0</v>
      </c>
      <c r="G10" s="96">
        <f ca="1">IF(C10&gt;=1,F10*VLOOKUP(E10,'Reeksen (N)'!$A$5:$B$76,2),0)</f>
        <v>0</v>
      </c>
      <c r="H10" s="84">
        <f ca="1">(1-('Invoer gegevens (N)'!$F$20/12))*F10*MIN('Reeksen (N)'!B10,'Reeksen (N)'!D10)</f>
        <v>0</v>
      </c>
      <c r="I10" s="84">
        <f>IF('Reeksen (N)'!D10&lt;'Reeksen (N)'!B10,('Reeksen (N)'!B10-'Reeksen (N)'!D10)*F10,0)</f>
        <v>0</v>
      </c>
      <c r="J10" s="84">
        <f ca="1">('Invoer gegevens (N)'!$F$20/12)*F9*MIN('Reeksen (N)'!B9,'Reeksen (N)'!D9)</f>
        <v>0</v>
      </c>
      <c r="K10" s="97">
        <f t="shared" ca="1" si="1"/>
        <v>0</v>
      </c>
      <c r="L10" s="84">
        <f ca="1">IF('Invoer gegevens (N)'!$C$17=E10,0,IF(C10=1,Q9,0))</f>
        <v>0</v>
      </c>
      <c r="M10" s="96">
        <f ca="1">IF(C10&gt;=1,L10*VLOOKUP(E10,'Reeksen (N)'!$A$5:$B$76,2),0)</f>
        <v>0</v>
      </c>
      <c r="N10" s="84">
        <f ca="1">(1-('Invoer gegevens (N)'!$F$20/12))*L10*MIN('Reeksen (N)'!B10,'Reeksen (N)'!D10)</f>
        <v>0</v>
      </c>
      <c r="O10" s="84">
        <f>IF('Reeksen (N)'!D10&lt;'Reeksen (N)'!B10,('Reeksen (N)'!B10-'Reeksen (N)'!D10)*L10,0)</f>
        <v>0</v>
      </c>
      <c r="P10" s="84">
        <f ca="1">('Invoer gegevens (N)'!$F$20/12)*L9*MIN('Reeksen (N)'!B9,'Reeksen (N)'!D9)</f>
        <v>0</v>
      </c>
      <c r="Q10" s="84">
        <f t="shared" ca="1" si="2"/>
        <v>0</v>
      </c>
      <c r="R10" s="82">
        <f ca="1">IF('Invoer gegevens (N)'!$C$17=E10,'Invoer gegevens (N)'!$C$11,IF(C10=1,W9,0))</f>
        <v>0</v>
      </c>
      <c r="S10" s="86">
        <f ca="1">IF(C10&gt;=1,R10*VLOOKUP(E10,'Reeksen (N)'!$A$5:$B$76,2),0)</f>
        <v>0</v>
      </c>
      <c r="T10" s="84">
        <f ca="1">(1-('Invoer gegevens (N)'!$F$20/12))*R10*MIN('Reeksen (N)'!B10,'Reeksen (N)'!D10)</f>
        <v>0</v>
      </c>
      <c r="U10" s="84">
        <f>IF('Reeksen (N)'!D10&gt;='Reeksen (N)'!B10,0,IF('Reeksen (N)'!AK10&lt;='Reeksen (N)'!AE10,('Reeksen (N)'!B10-'Reeksen (N)'!D10)*R10,0))</f>
        <v>0</v>
      </c>
      <c r="V10" s="86">
        <f>IF('Reeksen (N)'!D10&gt;='Reeksen (N)'!B10,0,IF('Reeksen (N)'!AK10&gt;'Reeksen (N)'!AE10,('Reeksen (N)'!B10-'Reeksen (N)'!D10)*R10,0))</f>
        <v>0</v>
      </c>
      <c r="W10" s="97">
        <f t="shared" ca="1" si="3"/>
        <v>0</v>
      </c>
      <c r="X10" s="98">
        <f ca="1">IF('Invoer gegevens (N)'!$C$17=E10,'Invoer gegevens (N)'!$C$10-'Invoer gegevens (N)'!$C$11,IF(C10=1,AC9,0))</f>
        <v>0</v>
      </c>
      <c r="Y10" s="98">
        <f ca="1">IF(C10&gt;=1,X10*VLOOKUP(E10,'Reeksen (N)'!$A$5:$B$76,2),0)</f>
        <v>0</v>
      </c>
      <c r="Z10" s="98">
        <f ca="1">(1-('Invoer gegevens (N)'!$F$20/12))*X10*MIN('Reeksen (N)'!B10,'Reeksen (N)'!D10)</f>
        <v>0</v>
      </c>
      <c r="AA10" s="98">
        <f>IF('Reeksen (N)'!D10&gt;='Reeksen (N)'!B10,0,IF('Reeksen (N)'!AK10&lt;='Reeksen (N)'!AE10,('Reeksen (N)'!B10-'Reeksen (N)'!D10)*X10,0))</f>
        <v>0</v>
      </c>
      <c r="AB10" s="98">
        <f>IF('Reeksen (N)'!D10&gt;='Reeksen (N)'!B10,0,IF('Reeksen (N)'!AK10&gt;'Reeksen (N)'!AE10,('Reeksen (N)'!B10-'Reeksen (N)'!D10)*X10,0))</f>
        <v>0</v>
      </c>
      <c r="AC10" s="99">
        <f t="shared" ca="1" si="4"/>
        <v>0</v>
      </c>
      <c r="AD10" s="98">
        <f ca="1">IF('Invoer gegevens (N)'!$C$17=E10,R10,IF(C10=0,0,AE9))</f>
        <v>0</v>
      </c>
      <c r="AE10" s="98">
        <f t="shared" ca="1" si="5"/>
        <v>0</v>
      </c>
      <c r="AF10" s="98">
        <f ca="1">IF('Invoer gegevens (N)'!$C$17=E10,X10,IF(C10=0,0,AG9))</f>
        <v>0</v>
      </c>
      <c r="AG10" s="98">
        <f t="shared" ca="1" si="6"/>
        <v>0</v>
      </c>
      <c r="AH10" s="68"/>
      <c r="AI10" s="71">
        <f ca="1">IF(C10=1,'Reeksen (N)'!AJ10*((F10-G10+F10)/2)*12+'Reeksen (N)'!AK10*((L10-M10+L10)/2)*12,0)</f>
        <v>0</v>
      </c>
      <c r="AJ10" s="71">
        <f ca="1">-AI10*'Invoer gegevens (N)'!$F$28</f>
        <v>0</v>
      </c>
      <c r="AK10" s="71">
        <f t="shared" ca="1" si="0"/>
        <v>0</v>
      </c>
      <c r="AL10" s="71">
        <f ca="1">IF(C10=1,'Reeksen (N)'!AL10*((F10-G10+F10)/2)*12+'Reeksen (N)'!AM10*((L10-M10+L10)/2)*12,0)</f>
        <v>0</v>
      </c>
      <c r="AM10" s="71">
        <f ca="1">-AL10*'Invoer gegevens (N)'!$F$31</f>
        <v>0</v>
      </c>
      <c r="AN10" s="71">
        <f t="shared" ca="1" si="7"/>
        <v>0</v>
      </c>
      <c r="AO10" s="71">
        <f ca="1">IF(C10=1,(H10+J10+N10+P10)*'Reeksen (N)'!AN10,0)</f>
        <v>0</v>
      </c>
      <c r="AP10" s="71">
        <f ca="1">-IF(C10=1,(H10+J10+N10+P10)*'Hulp - basis'!$O$550*'Reeksen (N)'!H10,0)</f>
        <v>0</v>
      </c>
      <c r="AQ10" s="71">
        <f ca="1">-IF(C10=1,(F10+K10+L10+Q10)/2*'Invoer gegevens (N)'!$I$33*'Reeksen (N)'!J10,0)*2</f>
        <v>0</v>
      </c>
      <c r="AR10" s="71">
        <f ca="1">-IF(C10=1,(I10*'Invoer gegevens (N)'!$I$34)*'Reeksen (N)'!J10,0)</f>
        <v>0</v>
      </c>
      <c r="AS10" s="71">
        <f ca="1">-IF(C10=1,(F10+K10+L10+Q10)/2*'Invoer gegevens (N)'!$I$35*'Reeksen (N)'!L10,0)</f>
        <v>0</v>
      </c>
      <c r="AT10" s="71">
        <f ca="1">-IF(C10=1,IF(E10='Invoer gegevens (N)'!$C$17,'Invoer gegevens (N)'!$C$11,AD10)*'Reeksen (N)'!S10*'Invoer gegevens (N)'!$C$18*'Reeksen (N)'!P10,0)</f>
        <v>0</v>
      </c>
      <c r="AU10" s="71">
        <f ca="1">-IF(C10=1,(F10+K10+L10+Q10)/2*'Invoer gegevens (N)'!$I$36*'Reeksen (N)'!H10,0)</f>
        <v>0</v>
      </c>
      <c r="AV10" s="71">
        <v>0</v>
      </c>
      <c r="AW10" s="71">
        <f t="shared" ca="1" si="8"/>
        <v>0</v>
      </c>
      <c r="AX10" s="71">
        <f ca="1">IF(E10&lt;'Invoer gegevens (N)'!$C$17+15,0,IF(E10&gt;'Invoer gegevens (N)'!$C$17+215,0,AW10))</f>
        <v>0</v>
      </c>
      <c r="AY10" s="71">
        <f ca="1">AX10/(1+'Invoer gegevens (N)'!$F$18)^($AZ10-('Invoer gegevens (N)'!$C$17-'Invoer gegevens (N)'!$C$16))/(1+'Invoer gegevens (N)'!$C$39)^('Invoer gegevens (N)'!$C$17-'Invoer gegevens (N)'!$C$16)</f>
        <v>0</v>
      </c>
      <c r="AZ10" s="68">
        <f ca="1">IF(E10-'Invoer gegevens (N)'!$C$17-14.5&lt;0,0,E10-'Invoer gegevens (N)'!$C$17-14.5)</f>
        <v>0</v>
      </c>
    </row>
    <row r="11" spans="1:52" x14ac:dyDescent="0.25">
      <c r="A11" s="59"/>
      <c r="B11" s="70">
        <f t="shared" si="9"/>
        <v>7</v>
      </c>
      <c r="C11" s="67">
        <f ca="1">IF(E11-'Invoer gegevens (N)'!$C$17&lt;0,0,1)</f>
        <v>1</v>
      </c>
      <c r="D11" s="68">
        <f t="shared" si="10"/>
        <v>6.5</v>
      </c>
      <c r="E11" s="108">
        <f ca="1">IF('Invoer gegevens (N)'!$C$16="","",E10+1)</f>
        <v>2025</v>
      </c>
      <c r="F11" s="84">
        <f ca="1">IF('Invoer gegevens (N)'!$C$17=E11,'Invoer gegevens (N)'!$C$10,IF(C11=1,K10,0))</f>
        <v>0</v>
      </c>
      <c r="G11" s="96">
        <f ca="1">IF(C11&gt;=1,F11*VLOOKUP(E11,'Reeksen (N)'!$A$5:$B$76,2),0)</f>
        <v>0</v>
      </c>
      <c r="H11" s="84">
        <f ca="1">(1-('Invoer gegevens (N)'!$F$20/12))*F11*MIN('Reeksen (N)'!B11,'Reeksen (N)'!D11)</f>
        <v>0</v>
      </c>
      <c r="I11" s="84">
        <f>IF('Reeksen (N)'!D11&lt;'Reeksen (N)'!B11,('Reeksen (N)'!B11-'Reeksen (N)'!D11)*F11,0)</f>
        <v>0</v>
      </c>
      <c r="J11" s="84">
        <f ca="1">('Invoer gegevens (N)'!$F$20/12)*F10*MIN('Reeksen (N)'!B10,'Reeksen (N)'!D10)</f>
        <v>0</v>
      </c>
      <c r="K11" s="97">
        <f t="shared" ca="1" si="1"/>
        <v>0</v>
      </c>
      <c r="L11" s="84">
        <f ca="1">IF('Invoer gegevens (N)'!$C$17=E11,0,IF(C11=1,Q10,0))</f>
        <v>0</v>
      </c>
      <c r="M11" s="96">
        <f ca="1">IF(C11&gt;=1,L11*VLOOKUP(E11,'Reeksen (N)'!$A$5:$B$76,2),0)</f>
        <v>0</v>
      </c>
      <c r="N11" s="84">
        <f ca="1">(1-('Invoer gegevens (N)'!$F$20/12))*L11*MIN('Reeksen (N)'!B11,'Reeksen (N)'!D11)</f>
        <v>0</v>
      </c>
      <c r="O11" s="84">
        <f>IF('Reeksen (N)'!D11&lt;'Reeksen (N)'!B11,('Reeksen (N)'!B11-'Reeksen (N)'!D11)*L11,0)</f>
        <v>0</v>
      </c>
      <c r="P11" s="84">
        <f ca="1">('Invoer gegevens (N)'!$F$20/12)*L10*MIN('Reeksen (N)'!B10,'Reeksen (N)'!D10)</f>
        <v>0</v>
      </c>
      <c r="Q11" s="84">
        <f t="shared" ca="1" si="2"/>
        <v>0</v>
      </c>
      <c r="R11" s="82">
        <f ca="1">IF('Invoer gegevens (N)'!$C$17=E11,'Invoer gegevens (N)'!$C$11,IF(C11=1,W10,0))</f>
        <v>0</v>
      </c>
      <c r="S11" s="86">
        <f ca="1">IF(C11&gt;=1,R11*VLOOKUP(E11,'Reeksen (N)'!$A$5:$B$76,2),0)</f>
        <v>0</v>
      </c>
      <c r="T11" s="84">
        <f ca="1">(1-('Invoer gegevens (N)'!$F$20/12))*R11*MIN('Reeksen (N)'!B11,'Reeksen (N)'!D11)</f>
        <v>0</v>
      </c>
      <c r="U11" s="84">
        <f>IF('Reeksen (N)'!D11&gt;='Reeksen (N)'!B11,0,IF('Reeksen (N)'!AK11&lt;='Reeksen (N)'!AE11,('Reeksen (N)'!B11-'Reeksen (N)'!D11)*R11,0))</f>
        <v>0</v>
      </c>
      <c r="V11" s="86">
        <f>IF('Reeksen (N)'!D11&gt;='Reeksen (N)'!B11,0,IF('Reeksen (N)'!AK11&gt;'Reeksen (N)'!AE11,('Reeksen (N)'!B11-'Reeksen (N)'!D11)*R11,0))</f>
        <v>0</v>
      </c>
      <c r="W11" s="97">
        <f t="shared" ca="1" si="3"/>
        <v>0</v>
      </c>
      <c r="X11" s="98">
        <f ca="1">IF('Invoer gegevens (N)'!$C$17=E11,'Invoer gegevens (N)'!$C$10-'Invoer gegevens (N)'!$C$11,IF(C11=1,AC10,0))</f>
        <v>0</v>
      </c>
      <c r="Y11" s="98">
        <f ca="1">IF(C11&gt;=1,X11*VLOOKUP(E11,'Reeksen (N)'!$A$5:$B$76,2),0)</f>
        <v>0</v>
      </c>
      <c r="Z11" s="98">
        <f ca="1">(1-('Invoer gegevens (N)'!$F$20/12))*X11*MIN('Reeksen (N)'!B11,'Reeksen (N)'!D11)</f>
        <v>0</v>
      </c>
      <c r="AA11" s="98">
        <f>IF('Reeksen (N)'!D11&gt;='Reeksen (N)'!B11,0,IF('Reeksen (N)'!AK11&lt;='Reeksen (N)'!AE11,('Reeksen (N)'!B11-'Reeksen (N)'!D11)*X11,0))</f>
        <v>0</v>
      </c>
      <c r="AB11" s="98">
        <f>IF('Reeksen (N)'!D11&gt;='Reeksen (N)'!B11,0,IF('Reeksen (N)'!AK11&gt;'Reeksen (N)'!AE11,('Reeksen (N)'!B11-'Reeksen (N)'!D11)*X11,0))</f>
        <v>0</v>
      </c>
      <c r="AC11" s="99">
        <f t="shared" ca="1" si="4"/>
        <v>0</v>
      </c>
      <c r="AD11" s="98">
        <f ca="1">IF('Invoer gegevens (N)'!$C$17=E11,R11,IF(C11=0,0,AE10))</f>
        <v>0</v>
      </c>
      <c r="AE11" s="98">
        <f t="shared" ca="1" si="5"/>
        <v>0</v>
      </c>
      <c r="AF11" s="98">
        <f ca="1">IF('Invoer gegevens (N)'!$C$17=E11,X11,IF(C11=0,0,AG10))</f>
        <v>0</v>
      </c>
      <c r="AG11" s="98">
        <f t="shared" ca="1" si="6"/>
        <v>0</v>
      </c>
      <c r="AH11" s="68"/>
      <c r="AI11" s="71">
        <f ca="1">IF(C11=1,'Reeksen (N)'!AJ11*((F11-G11+F11)/2)*12+'Reeksen (N)'!AK11*((L11-M11+L11)/2)*12,0)</f>
        <v>0</v>
      </c>
      <c r="AJ11" s="71">
        <f ca="1">-AI11*'Invoer gegevens (N)'!$F$28</f>
        <v>0</v>
      </c>
      <c r="AK11" s="71">
        <f t="shared" ca="1" si="0"/>
        <v>0</v>
      </c>
      <c r="AL11" s="71">
        <f ca="1">IF(C11=1,'Reeksen (N)'!AL11*((F11-G11+F11)/2)*12+'Reeksen (N)'!AM11*((L11-M11+L11)/2)*12,0)</f>
        <v>0</v>
      </c>
      <c r="AM11" s="71">
        <f ca="1">-AL11*'Invoer gegevens (N)'!$F$31</f>
        <v>0</v>
      </c>
      <c r="AN11" s="71">
        <f t="shared" ca="1" si="7"/>
        <v>0</v>
      </c>
      <c r="AO11" s="71">
        <f ca="1">IF(C11=1,(H11+J11+N11+P11)*'Reeksen (N)'!AN11,0)</f>
        <v>0</v>
      </c>
      <c r="AP11" s="71">
        <f ca="1">-IF(C11=1,(H11+J11+N11+P11)*'Hulp - basis'!$O$550*'Reeksen (N)'!H11,0)</f>
        <v>0</v>
      </c>
      <c r="AQ11" s="71">
        <f ca="1">-IF(C11=1,(F11+K11+L11+Q11)/2*'Invoer gegevens (N)'!$I$33*'Reeksen (N)'!J11,0)*2</f>
        <v>0</v>
      </c>
      <c r="AR11" s="71">
        <f ca="1">-IF(C11=1,(I11*'Invoer gegevens (N)'!$I$34)*'Reeksen (N)'!J11,0)</f>
        <v>0</v>
      </c>
      <c r="AS11" s="71">
        <f ca="1">-IF(C11=1,(F11+K11+L11+Q11)/2*'Invoer gegevens (N)'!$I$35*'Reeksen (N)'!L11,0)</f>
        <v>0</v>
      </c>
      <c r="AT11" s="71">
        <f ca="1">-IF(C11=1,IF(E11='Invoer gegevens (N)'!$C$17,'Invoer gegevens (N)'!$C$11,AD11)*'Reeksen (N)'!S11*'Invoer gegevens (N)'!$C$18*'Reeksen (N)'!P11,0)</f>
        <v>0</v>
      </c>
      <c r="AU11" s="71">
        <f ca="1">-IF(C11=1,(F11+K11+L11+Q11)/2*'Invoer gegevens (N)'!$I$36*'Reeksen (N)'!H11,0)</f>
        <v>0</v>
      </c>
      <c r="AV11" s="71">
        <v>0</v>
      </c>
      <c r="AW11" s="71">
        <f t="shared" ca="1" si="8"/>
        <v>0</v>
      </c>
      <c r="AX11" s="71">
        <f ca="1">IF(E11&lt;'Invoer gegevens (N)'!$C$17+15,0,IF(E11&gt;'Invoer gegevens (N)'!$C$17+215,0,AW11))</f>
        <v>0</v>
      </c>
      <c r="AY11" s="71">
        <f ca="1">AX11/(1+'Invoer gegevens (N)'!$F$18)^($AZ11-('Invoer gegevens (N)'!$C$17-'Invoer gegevens (N)'!$C$16))/(1+'Invoer gegevens (N)'!$C$39)^('Invoer gegevens (N)'!$C$17-'Invoer gegevens (N)'!$C$16)</f>
        <v>0</v>
      </c>
      <c r="AZ11" s="68">
        <f ca="1">IF(E11-'Invoer gegevens (N)'!$C$17-14.5&lt;0,0,E11-'Invoer gegevens (N)'!$C$17-14.5)</f>
        <v>0</v>
      </c>
    </row>
    <row r="12" spans="1:52" x14ac:dyDescent="0.25">
      <c r="A12" s="59"/>
      <c r="B12" s="70">
        <f t="shared" si="9"/>
        <v>8</v>
      </c>
      <c r="C12" s="67">
        <f ca="1">IF(E12-'Invoer gegevens (N)'!$C$17&lt;0,0,1)</f>
        <v>1</v>
      </c>
      <c r="D12" s="68">
        <f t="shared" si="10"/>
        <v>7.5</v>
      </c>
      <c r="E12" s="108">
        <f ca="1">IF('Invoer gegevens (N)'!$C$16="","",E11+1)</f>
        <v>2026</v>
      </c>
      <c r="F12" s="84">
        <f ca="1">IF('Invoer gegevens (N)'!$C$17=E12,'Invoer gegevens (N)'!$C$10,IF(C12=1,K11,0))</f>
        <v>0</v>
      </c>
      <c r="G12" s="96">
        <f ca="1">IF(C12&gt;=1,F12*VLOOKUP(E12,'Reeksen (N)'!$A$5:$B$76,2),0)</f>
        <v>0</v>
      </c>
      <c r="H12" s="84">
        <f ca="1">(1-('Invoer gegevens (N)'!$F$20/12))*F12*MIN('Reeksen (N)'!B12,'Reeksen (N)'!D12)</f>
        <v>0</v>
      </c>
      <c r="I12" s="84">
        <f>IF('Reeksen (N)'!D12&lt;'Reeksen (N)'!B12,('Reeksen (N)'!B12-'Reeksen (N)'!D12)*F12,0)</f>
        <v>0</v>
      </c>
      <c r="J12" s="84">
        <f ca="1">('Invoer gegevens (N)'!$F$20/12)*F11*MIN('Reeksen (N)'!B11,'Reeksen (N)'!D11)</f>
        <v>0</v>
      </c>
      <c r="K12" s="97">
        <f t="shared" ca="1" si="1"/>
        <v>0</v>
      </c>
      <c r="L12" s="84">
        <f ca="1">IF('Invoer gegevens (N)'!$C$17=E12,0,IF(C12=1,Q11,0))</f>
        <v>0</v>
      </c>
      <c r="M12" s="96">
        <f ca="1">IF(C12&gt;=1,L12*VLOOKUP(E12,'Reeksen (N)'!$A$5:$B$76,2),0)</f>
        <v>0</v>
      </c>
      <c r="N12" s="84">
        <f ca="1">(1-('Invoer gegevens (N)'!$F$20/12))*L12*MIN('Reeksen (N)'!B12,'Reeksen (N)'!D12)</f>
        <v>0</v>
      </c>
      <c r="O12" s="84">
        <f>IF('Reeksen (N)'!D12&lt;'Reeksen (N)'!B12,('Reeksen (N)'!B12-'Reeksen (N)'!D12)*L12,0)</f>
        <v>0</v>
      </c>
      <c r="P12" s="84">
        <f ca="1">('Invoer gegevens (N)'!$F$20/12)*L11*MIN('Reeksen (N)'!B11,'Reeksen (N)'!D11)</f>
        <v>0</v>
      </c>
      <c r="Q12" s="84">
        <f t="shared" ca="1" si="2"/>
        <v>0</v>
      </c>
      <c r="R12" s="82">
        <f ca="1">IF('Invoer gegevens (N)'!$C$17=E12,'Invoer gegevens (N)'!$C$11,IF(C12=1,W11,0))</f>
        <v>0</v>
      </c>
      <c r="S12" s="86">
        <f ca="1">IF(C12&gt;=1,R12*VLOOKUP(E12,'Reeksen (N)'!$A$5:$B$76,2),0)</f>
        <v>0</v>
      </c>
      <c r="T12" s="84">
        <f ca="1">(1-('Invoer gegevens (N)'!$F$20/12))*R12*MIN('Reeksen (N)'!B12,'Reeksen (N)'!D12)</f>
        <v>0</v>
      </c>
      <c r="U12" s="84">
        <f>IF('Reeksen (N)'!D12&gt;='Reeksen (N)'!B12,0,IF('Reeksen (N)'!AK12&lt;='Reeksen (N)'!AE12,('Reeksen (N)'!B12-'Reeksen (N)'!D12)*R12,0))</f>
        <v>0</v>
      </c>
      <c r="V12" s="86">
        <f>IF('Reeksen (N)'!D12&gt;='Reeksen (N)'!B12,0,IF('Reeksen (N)'!AK12&gt;'Reeksen (N)'!AE12,('Reeksen (N)'!B12-'Reeksen (N)'!D12)*R12,0))</f>
        <v>0</v>
      </c>
      <c r="W12" s="97">
        <f t="shared" ca="1" si="3"/>
        <v>0</v>
      </c>
      <c r="X12" s="98">
        <f ca="1">IF('Invoer gegevens (N)'!$C$17=E12,'Invoer gegevens (N)'!$C$10-'Invoer gegevens (N)'!$C$11,IF(C12=1,AC11,0))</f>
        <v>0</v>
      </c>
      <c r="Y12" s="98">
        <f ca="1">IF(C12&gt;=1,X12*VLOOKUP(E12,'Reeksen (N)'!$A$5:$B$76,2),0)</f>
        <v>0</v>
      </c>
      <c r="Z12" s="98">
        <f ca="1">(1-('Invoer gegevens (N)'!$F$20/12))*X12*MIN('Reeksen (N)'!B12,'Reeksen (N)'!D12)</f>
        <v>0</v>
      </c>
      <c r="AA12" s="98">
        <f>IF('Reeksen (N)'!D12&gt;='Reeksen (N)'!B12,0,IF('Reeksen (N)'!AK12&lt;='Reeksen (N)'!AE12,('Reeksen (N)'!B12-'Reeksen (N)'!D12)*X12,0))</f>
        <v>0</v>
      </c>
      <c r="AB12" s="98">
        <f>IF('Reeksen (N)'!D12&gt;='Reeksen (N)'!B12,0,IF('Reeksen (N)'!AK12&gt;'Reeksen (N)'!AE12,('Reeksen (N)'!B12-'Reeksen (N)'!D12)*X12,0))</f>
        <v>0</v>
      </c>
      <c r="AC12" s="99">
        <f t="shared" ca="1" si="4"/>
        <v>0</v>
      </c>
      <c r="AD12" s="98">
        <f ca="1">IF('Invoer gegevens (N)'!$C$17=E12,R12,IF(C12=0,0,AE11))</f>
        <v>0</v>
      </c>
      <c r="AE12" s="98">
        <f t="shared" ca="1" si="5"/>
        <v>0</v>
      </c>
      <c r="AF12" s="98">
        <f ca="1">IF('Invoer gegevens (N)'!$C$17=E12,X12,IF(C12=0,0,AG11))</f>
        <v>0</v>
      </c>
      <c r="AG12" s="98">
        <f t="shared" ca="1" si="6"/>
        <v>0</v>
      </c>
      <c r="AH12" s="68"/>
      <c r="AI12" s="71">
        <f ca="1">IF(C12=1,'Reeksen (N)'!AJ12*((F12-G12+F12)/2)*12+'Reeksen (N)'!AK12*((L12-M12+L12)/2)*12,0)</f>
        <v>0</v>
      </c>
      <c r="AJ12" s="71">
        <f ca="1">-AI12*'Invoer gegevens (N)'!$F$28</f>
        <v>0</v>
      </c>
      <c r="AK12" s="71">
        <f t="shared" ca="1" si="0"/>
        <v>0</v>
      </c>
      <c r="AL12" s="71">
        <f ca="1">IF(C12=1,'Reeksen (N)'!AL12*((F12-G12+F12)/2)*12+'Reeksen (N)'!AM12*((L12-M12+L12)/2)*12,0)</f>
        <v>0</v>
      </c>
      <c r="AM12" s="71">
        <f ca="1">-AL12*'Invoer gegevens (N)'!$F$31</f>
        <v>0</v>
      </c>
      <c r="AN12" s="71">
        <f t="shared" ca="1" si="7"/>
        <v>0</v>
      </c>
      <c r="AO12" s="71">
        <f ca="1">IF(C12=1,(H12+J12+N12+P12)*'Reeksen (N)'!AN12,0)</f>
        <v>0</v>
      </c>
      <c r="AP12" s="71">
        <f ca="1">-IF(C12=1,(H12+J12+N12+P12)*'Hulp - basis'!$O$550*'Reeksen (N)'!H12,0)</f>
        <v>0</v>
      </c>
      <c r="AQ12" s="71">
        <f ca="1">-IF(C12=1,(F12+K12+L12+Q12)/2*'Invoer gegevens (N)'!$I$33*'Reeksen (N)'!J12,0)*2</f>
        <v>0</v>
      </c>
      <c r="AR12" s="71">
        <f ca="1">-IF(C12=1,(I12*'Invoer gegevens (N)'!$I$34)*'Reeksen (N)'!J12,0)</f>
        <v>0</v>
      </c>
      <c r="AS12" s="71">
        <f ca="1">-IF(C12=1,(F12+K12+L12+Q12)/2*'Invoer gegevens (N)'!$I$35*'Reeksen (N)'!L12,0)</f>
        <v>0</v>
      </c>
      <c r="AT12" s="71">
        <f ca="1">-IF(C12=1,IF(E12='Invoer gegevens (N)'!$C$17,'Invoer gegevens (N)'!$C$11,AD12)*'Reeksen (N)'!S12*'Invoer gegevens (N)'!$C$18*'Reeksen (N)'!P12,0)</f>
        <v>0</v>
      </c>
      <c r="AU12" s="71">
        <f ca="1">-IF(C12=1,(F12+K12+L12+Q12)/2*'Invoer gegevens (N)'!$I$36*'Reeksen (N)'!H12,0)</f>
        <v>0</v>
      </c>
      <c r="AV12" s="71">
        <v>0</v>
      </c>
      <c r="AW12" s="71">
        <f t="shared" ca="1" si="8"/>
        <v>0</v>
      </c>
      <c r="AX12" s="71">
        <f ca="1">IF(E12&lt;'Invoer gegevens (N)'!$C$17+15,0,IF(E12&gt;'Invoer gegevens (N)'!$C$17+215,0,AW12))</f>
        <v>0</v>
      </c>
      <c r="AY12" s="71">
        <f ca="1">AX12/(1+'Invoer gegevens (N)'!$F$18)^($AZ12-('Invoer gegevens (N)'!$C$17-'Invoer gegevens (N)'!$C$16))/(1+'Invoer gegevens (N)'!$C$39)^('Invoer gegevens (N)'!$C$17-'Invoer gegevens (N)'!$C$16)</f>
        <v>0</v>
      </c>
      <c r="AZ12" s="68">
        <f ca="1">IF(E12-'Invoer gegevens (N)'!$C$17-14.5&lt;0,0,E12-'Invoer gegevens (N)'!$C$17-14.5)</f>
        <v>0</v>
      </c>
    </row>
    <row r="13" spans="1:52" x14ac:dyDescent="0.25">
      <c r="A13" s="59"/>
      <c r="B13" s="70">
        <f t="shared" si="9"/>
        <v>9</v>
      </c>
      <c r="C13" s="67">
        <f ca="1">IF(E13-'Invoer gegevens (N)'!$C$17&lt;0,0,1)</f>
        <v>1</v>
      </c>
      <c r="D13" s="68">
        <f t="shared" si="10"/>
        <v>8.5</v>
      </c>
      <c r="E13" s="108">
        <f ca="1">IF('Invoer gegevens (N)'!$C$16="","",E12+1)</f>
        <v>2027</v>
      </c>
      <c r="F13" s="84">
        <f ca="1">IF('Invoer gegevens (N)'!$C$17=E13,'Invoer gegevens (N)'!$C$10,IF(C13=1,K12,0))</f>
        <v>0</v>
      </c>
      <c r="G13" s="96">
        <f ca="1">IF(C13&gt;=1,F13*VLOOKUP(E13,'Reeksen (N)'!$A$5:$B$76,2),0)</f>
        <v>0</v>
      </c>
      <c r="H13" s="84">
        <f ca="1">(1-('Invoer gegevens (N)'!$F$20/12))*F13*MIN('Reeksen (N)'!B13,'Reeksen (N)'!D13)</f>
        <v>0</v>
      </c>
      <c r="I13" s="84">
        <f>IF('Reeksen (N)'!D13&lt;'Reeksen (N)'!B13,('Reeksen (N)'!B13-'Reeksen (N)'!D13)*F13,0)</f>
        <v>0</v>
      </c>
      <c r="J13" s="84">
        <f ca="1">('Invoer gegevens (N)'!$F$20/12)*F12*MIN('Reeksen (N)'!B12,'Reeksen (N)'!D12)</f>
        <v>0</v>
      </c>
      <c r="K13" s="97">
        <f t="shared" ca="1" si="1"/>
        <v>0</v>
      </c>
      <c r="L13" s="84">
        <f ca="1">IF('Invoer gegevens (N)'!$C$17=E13,0,IF(C13=1,Q12,0))</f>
        <v>0</v>
      </c>
      <c r="M13" s="96">
        <f ca="1">IF(C13&gt;=1,L13*VLOOKUP(E13,'Reeksen (N)'!$A$5:$B$76,2),0)</f>
        <v>0</v>
      </c>
      <c r="N13" s="84">
        <f ca="1">(1-('Invoer gegevens (N)'!$F$20/12))*L13*MIN('Reeksen (N)'!B13,'Reeksen (N)'!D13)</f>
        <v>0</v>
      </c>
      <c r="O13" s="84">
        <f>IF('Reeksen (N)'!D13&lt;'Reeksen (N)'!B13,('Reeksen (N)'!B13-'Reeksen (N)'!D13)*L13,0)</f>
        <v>0</v>
      </c>
      <c r="P13" s="84">
        <f ca="1">('Invoer gegevens (N)'!$F$20/12)*L12*MIN('Reeksen (N)'!B12,'Reeksen (N)'!D12)</f>
        <v>0</v>
      </c>
      <c r="Q13" s="84">
        <f t="shared" ca="1" si="2"/>
        <v>0</v>
      </c>
      <c r="R13" s="82">
        <f ca="1">IF('Invoer gegevens (N)'!$C$17=E13,'Invoer gegevens (N)'!$C$11,IF(C13=1,W12,0))</f>
        <v>0</v>
      </c>
      <c r="S13" s="86">
        <f ca="1">IF(C13&gt;=1,R13*VLOOKUP(E13,'Reeksen (N)'!$A$5:$B$76,2),0)</f>
        <v>0</v>
      </c>
      <c r="T13" s="84">
        <f ca="1">(1-('Invoer gegevens (N)'!$F$20/12))*R13*MIN('Reeksen (N)'!B13,'Reeksen (N)'!D13)</f>
        <v>0</v>
      </c>
      <c r="U13" s="84">
        <f>IF('Reeksen (N)'!D13&gt;='Reeksen (N)'!B13,0,IF('Reeksen (N)'!AK13&lt;='Reeksen (N)'!AE13,('Reeksen (N)'!B13-'Reeksen (N)'!D13)*R13,0))</f>
        <v>0</v>
      </c>
      <c r="V13" s="86">
        <f>IF('Reeksen (N)'!D13&gt;='Reeksen (N)'!B13,0,IF('Reeksen (N)'!AK13&gt;'Reeksen (N)'!AE13,('Reeksen (N)'!B13-'Reeksen (N)'!D13)*R13,0))</f>
        <v>0</v>
      </c>
      <c r="W13" s="97">
        <f t="shared" ca="1" si="3"/>
        <v>0</v>
      </c>
      <c r="X13" s="98">
        <f ca="1">IF('Invoer gegevens (N)'!$C$17=E13,'Invoer gegevens (N)'!$C$10-'Invoer gegevens (N)'!$C$11,IF(C13=1,AC12,0))</f>
        <v>0</v>
      </c>
      <c r="Y13" s="98">
        <f ca="1">IF(C13&gt;=1,X13*VLOOKUP(E13,'Reeksen (N)'!$A$5:$B$76,2),0)</f>
        <v>0</v>
      </c>
      <c r="Z13" s="98">
        <f ca="1">(1-('Invoer gegevens (N)'!$F$20/12))*X13*MIN('Reeksen (N)'!B13,'Reeksen (N)'!D13)</f>
        <v>0</v>
      </c>
      <c r="AA13" s="98">
        <f>IF('Reeksen (N)'!D13&gt;='Reeksen (N)'!B13,0,IF('Reeksen (N)'!AK13&lt;='Reeksen (N)'!AE13,('Reeksen (N)'!B13-'Reeksen (N)'!D13)*X13,0))</f>
        <v>0</v>
      </c>
      <c r="AB13" s="98">
        <f>IF('Reeksen (N)'!D13&gt;='Reeksen (N)'!B13,0,IF('Reeksen (N)'!AK13&gt;'Reeksen (N)'!AE13,('Reeksen (N)'!B13-'Reeksen (N)'!D13)*X13,0))</f>
        <v>0</v>
      </c>
      <c r="AC13" s="99">
        <f t="shared" ca="1" si="4"/>
        <v>0</v>
      </c>
      <c r="AD13" s="98">
        <f ca="1">IF('Invoer gegevens (N)'!$C$17=E13,R13,IF(C13=0,0,AE12))</f>
        <v>0</v>
      </c>
      <c r="AE13" s="98">
        <f t="shared" ca="1" si="5"/>
        <v>0</v>
      </c>
      <c r="AF13" s="98">
        <f ca="1">IF('Invoer gegevens (N)'!$C$17=E13,X13,IF(C13=0,0,AG12))</f>
        <v>0</v>
      </c>
      <c r="AG13" s="98">
        <f t="shared" ca="1" si="6"/>
        <v>0</v>
      </c>
      <c r="AH13" s="68"/>
      <c r="AI13" s="71">
        <f ca="1">IF(C13=1,'Reeksen (N)'!AJ13*((F13-G13+F13)/2)*12+'Reeksen (N)'!AK13*((L13-M13+L13)/2)*12,0)</f>
        <v>0</v>
      </c>
      <c r="AJ13" s="71">
        <f ca="1">-AI13*'Invoer gegevens (N)'!$F$28</f>
        <v>0</v>
      </c>
      <c r="AK13" s="71">
        <f t="shared" ca="1" si="0"/>
        <v>0</v>
      </c>
      <c r="AL13" s="71">
        <f ca="1">IF(C13=1,'Reeksen (N)'!AL13*((F13-G13+F13)/2)*12+'Reeksen (N)'!AM13*((L13-M13+L13)/2)*12,0)</f>
        <v>0</v>
      </c>
      <c r="AM13" s="71">
        <f ca="1">-AL13*'Invoer gegevens (N)'!$F$31</f>
        <v>0</v>
      </c>
      <c r="AN13" s="71">
        <f t="shared" ca="1" si="7"/>
        <v>0</v>
      </c>
      <c r="AO13" s="71">
        <f ca="1">IF(C13=1,(H13+J13+N13+P13)*'Reeksen (N)'!AN13,0)</f>
        <v>0</v>
      </c>
      <c r="AP13" s="71">
        <f ca="1">-IF(C13=1,(H13+J13+N13+P13)*'Hulp - basis'!$O$550*'Reeksen (N)'!H13,0)</f>
        <v>0</v>
      </c>
      <c r="AQ13" s="71">
        <f ca="1">-IF(C13=1,(F13+K13+L13+Q13)/2*'Invoer gegevens (N)'!$I$33*'Reeksen (N)'!J13,0)*2</f>
        <v>0</v>
      </c>
      <c r="AR13" s="71">
        <f ca="1">-IF(C13=1,(I13*'Invoer gegevens (N)'!$I$34)*'Reeksen (N)'!J13,0)</f>
        <v>0</v>
      </c>
      <c r="AS13" s="71">
        <f ca="1">-IF(C13=1,(F13+K13+L13+Q13)/2*'Invoer gegevens (N)'!$I$35*'Reeksen (N)'!L13,0)</f>
        <v>0</v>
      </c>
      <c r="AT13" s="71">
        <f ca="1">-IF(C13=1,IF(E13='Invoer gegevens (N)'!$C$17,'Invoer gegevens (N)'!$C$11,AD13)*'Reeksen (N)'!S13*'Invoer gegevens (N)'!$C$18*'Reeksen (N)'!P13,0)</f>
        <v>0</v>
      </c>
      <c r="AU13" s="71">
        <f ca="1">-IF(C13=1,(F13+K13+L13+Q13)/2*'Invoer gegevens (N)'!$I$36*'Reeksen (N)'!H13,0)</f>
        <v>0</v>
      </c>
      <c r="AV13" s="71">
        <v>0</v>
      </c>
      <c r="AW13" s="71">
        <f t="shared" ca="1" si="8"/>
        <v>0</v>
      </c>
      <c r="AX13" s="71">
        <f ca="1">IF(E13&lt;'Invoer gegevens (N)'!$C$17+15,0,IF(E13&gt;'Invoer gegevens (N)'!$C$17+215,0,AW13))</f>
        <v>0</v>
      </c>
      <c r="AY13" s="71">
        <f ca="1">AX13/(1+'Invoer gegevens (N)'!$F$18)^($AZ13-('Invoer gegevens (N)'!$C$17-'Invoer gegevens (N)'!$C$16))/(1+'Invoer gegevens (N)'!$C$39)^('Invoer gegevens (N)'!$C$17-'Invoer gegevens (N)'!$C$16)</f>
        <v>0</v>
      </c>
      <c r="AZ13" s="68">
        <f ca="1">IF(E13-'Invoer gegevens (N)'!$C$17-14.5&lt;0,0,E13-'Invoer gegevens (N)'!$C$17-14.5)</f>
        <v>0</v>
      </c>
    </row>
    <row r="14" spans="1:52" x14ac:dyDescent="0.25">
      <c r="A14" s="59"/>
      <c r="B14" s="70">
        <f t="shared" si="9"/>
        <v>10</v>
      </c>
      <c r="C14" s="67">
        <f ca="1">IF(E14-'Invoer gegevens (N)'!$C$17&lt;0,0,1)</f>
        <v>1</v>
      </c>
      <c r="D14" s="68">
        <f t="shared" si="10"/>
        <v>9.5</v>
      </c>
      <c r="E14" s="108">
        <f ca="1">IF('Invoer gegevens (N)'!$C$16="","",E13+1)</f>
        <v>2028</v>
      </c>
      <c r="F14" s="84">
        <f ca="1">IF('Invoer gegevens (N)'!$C$17=E14,'Invoer gegevens (N)'!$C$10,IF(C14=1,K13,0))</f>
        <v>0</v>
      </c>
      <c r="G14" s="96">
        <f ca="1">IF(C14&gt;=1,F14*VLOOKUP(E14,'Reeksen (N)'!$A$5:$B$76,2),0)</f>
        <v>0</v>
      </c>
      <c r="H14" s="84">
        <f ca="1">(1-('Invoer gegevens (N)'!$F$20/12))*F14*MIN('Reeksen (N)'!B14,'Reeksen (N)'!D14)</f>
        <v>0</v>
      </c>
      <c r="I14" s="84">
        <f>IF('Reeksen (N)'!D14&lt;'Reeksen (N)'!B14,('Reeksen (N)'!B14-'Reeksen (N)'!D14)*F14,0)</f>
        <v>0</v>
      </c>
      <c r="J14" s="84">
        <f ca="1">('Invoer gegevens (N)'!$F$20/12)*F13*MIN('Reeksen (N)'!B13,'Reeksen (N)'!D13)</f>
        <v>0</v>
      </c>
      <c r="K14" s="97">
        <f t="shared" ca="1" si="1"/>
        <v>0</v>
      </c>
      <c r="L14" s="84">
        <f ca="1">IF('Invoer gegevens (N)'!$C$17=E14,0,IF(C14=1,Q13,0))</f>
        <v>0</v>
      </c>
      <c r="M14" s="96">
        <f ca="1">IF(C14&gt;=1,L14*VLOOKUP(E14,'Reeksen (N)'!$A$5:$B$76,2),0)</f>
        <v>0</v>
      </c>
      <c r="N14" s="84">
        <f ca="1">(1-('Invoer gegevens (N)'!$F$20/12))*L14*MIN('Reeksen (N)'!B14,'Reeksen (N)'!D14)</f>
        <v>0</v>
      </c>
      <c r="O14" s="84">
        <f>IF('Reeksen (N)'!D14&lt;'Reeksen (N)'!B14,('Reeksen (N)'!B14-'Reeksen (N)'!D14)*L14,0)</f>
        <v>0</v>
      </c>
      <c r="P14" s="84">
        <f ca="1">('Invoer gegevens (N)'!$F$20/12)*L13*MIN('Reeksen (N)'!B13,'Reeksen (N)'!D13)</f>
        <v>0</v>
      </c>
      <c r="Q14" s="84">
        <f t="shared" ca="1" si="2"/>
        <v>0</v>
      </c>
      <c r="R14" s="82">
        <f ca="1">IF('Invoer gegevens (N)'!$C$17=E14,'Invoer gegevens (N)'!$C$11,IF(C14=1,W13,0))</f>
        <v>0</v>
      </c>
      <c r="S14" s="86">
        <f ca="1">IF(C14&gt;=1,R14*VLOOKUP(E14,'Reeksen (N)'!$A$5:$B$76,2),0)</f>
        <v>0</v>
      </c>
      <c r="T14" s="84">
        <f ca="1">(1-('Invoer gegevens (N)'!$F$20/12))*R14*MIN('Reeksen (N)'!B14,'Reeksen (N)'!D14)</f>
        <v>0</v>
      </c>
      <c r="U14" s="84">
        <f>IF('Reeksen (N)'!D14&gt;='Reeksen (N)'!B14,0,IF('Reeksen (N)'!AK14&lt;='Reeksen (N)'!AE14,('Reeksen (N)'!B14-'Reeksen (N)'!D14)*R14,0))</f>
        <v>0</v>
      </c>
      <c r="V14" s="86">
        <f>IF('Reeksen (N)'!D14&gt;='Reeksen (N)'!B14,0,IF('Reeksen (N)'!AK14&gt;'Reeksen (N)'!AE14,('Reeksen (N)'!B14-'Reeksen (N)'!D14)*R14,0))</f>
        <v>0</v>
      </c>
      <c r="W14" s="97">
        <f t="shared" ca="1" si="3"/>
        <v>0</v>
      </c>
      <c r="X14" s="98">
        <f ca="1">IF('Invoer gegevens (N)'!$C$17=E14,'Invoer gegevens (N)'!$C$10-'Invoer gegevens (N)'!$C$11,IF(C14=1,AC13,0))</f>
        <v>0</v>
      </c>
      <c r="Y14" s="98">
        <f ca="1">IF(C14&gt;=1,X14*VLOOKUP(E14,'Reeksen (N)'!$A$5:$B$76,2),0)</f>
        <v>0</v>
      </c>
      <c r="Z14" s="98">
        <f ca="1">(1-('Invoer gegevens (N)'!$F$20/12))*X14*MIN('Reeksen (N)'!B14,'Reeksen (N)'!D14)</f>
        <v>0</v>
      </c>
      <c r="AA14" s="98">
        <f>IF('Reeksen (N)'!D14&gt;='Reeksen (N)'!B14,0,IF('Reeksen (N)'!AK14&lt;='Reeksen (N)'!AE14,('Reeksen (N)'!B14-'Reeksen (N)'!D14)*X14,0))</f>
        <v>0</v>
      </c>
      <c r="AB14" s="98">
        <f>IF('Reeksen (N)'!D14&gt;='Reeksen (N)'!B14,0,IF('Reeksen (N)'!AK14&gt;'Reeksen (N)'!AE14,('Reeksen (N)'!B14-'Reeksen (N)'!D14)*X14,0))</f>
        <v>0</v>
      </c>
      <c r="AC14" s="99">
        <f t="shared" ca="1" si="4"/>
        <v>0</v>
      </c>
      <c r="AD14" s="98">
        <f ca="1">IF('Invoer gegevens (N)'!$C$17=E14,R14,IF(C14=0,0,AE13))</f>
        <v>0</v>
      </c>
      <c r="AE14" s="98">
        <f t="shared" ca="1" si="5"/>
        <v>0</v>
      </c>
      <c r="AF14" s="98">
        <f ca="1">IF('Invoer gegevens (N)'!$C$17=E14,X14,IF(C14=0,0,AG13))</f>
        <v>0</v>
      </c>
      <c r="AG14" s="98">
        <f t="shared" ca="1" si="6"/>
        <v>0</v>
      </c>
      <c r="AH14" s="68"/>
      <c r="AI14" s="71">
        <f ca="1">IF(C14=1,'Reeksen (N)'!AJ14*((F14-G14+F14)/2)*12+'Reeksen (N)'!AK14*((L14-M14+L14)/2)*12,0)</f>
        <v>0</v>
      </c>
      <c r="AJ14" s="71">
        <f ca="1">-AI14*'Invoer gegevens (N)'!$F$28</f>
        <v>0</v>
      </c>
      <c r="AK14" s="71">
        <f t="shared" ca="1" si="0"/>
        <v>0</v>
      </c>
      <c r="AL14" s="71">
        <f ca="1">IF(C14=1,'Reeksen (N)'!AL14*((F14-G14+F14)/2)*12+'Reeksen (N)'!AM14*((L14-M14+L14)/2)*12,0)</f>
        <v>0</v>
      </c>
      <c r="AM14" s="71">
        <f ca="1">-AL14*'Invoer gegevens (N)'!$F$31</f>
        <v>0</v>
      </c>
      <c r="AN14" s="71">
        <f t="shared" ca="1" si="7"/>
        <v>0</v>
      </c>
      <c r="AO14" s="71">
        <f ca="1">IF(C14=1,(H14+J14+N14+P14)*'Reeksen (N)'!AN14,0)</f>
        <v>0</v>
      </c>
      <c r="AP14" s="71">
        <f ca="1">-IF(C14=1,(H14+J14+N14+P14)*'Hulp - basis'!$O$550*'Reeksen (N)'!H14,0)</f>
        <v>0</v>
      </c>
      <c r="AQ14" s="71">
        <f ca="1">-IF(C14=1,(F14+K14+L14+Q14)/2*'Invoer gegevens (N)'!$I$33*'Reeksen (N)'!J14,0)*2</f>
        <v>0</v>
      </c>
      <c r="AR14" s="71">
        <f ca="1">-IF(C14=1,(I14*'Invoer gegevens (N)'!$I$34)*'Reeksen (N)'!J14,0)</f>
        <v>0</v>
      </c>
      <c r="AS14" s="71">
        <f ca="1">-IF(C14=1,(F14+K14+L14+Q14)/2*'Invoer gegevens (N)'!$I$35*'Reeksen (N)'!L14,0)</f>
        <v>0</v>
      </c>
      <c r="AT14" s="71">
        <f ca="1">-IF(C14=1,IF(E14='Invoer gegevens (N)'!$C$17,'Invoer gegevens (N)'!$C$11,AD14)*'Reeksen (N)'!S14*'Invoer gegevens (N)'!$C$18*'Reeksen (N)'!P14,0)</f>
        <v>0</v>
      </c>
      <c r="AU14" s="71">
        <f ca="1">-IF(C14=1,(F14+K14+L14+Q14)/2*'Invoer gegevens (N)'!$I$36*'Reeksen (N)'!H14,0)</f>
        <v>0</v>
      </c>
      <c r="AV14" s="71">
        <v>0</v>
      </c>
      <c r="AW14" s="71">
        <f t="shared" ca="1" si="8"/>
        <v>0</v>
      </c>
      <c r="AX14" s="71">
        <f ca="1">IF(E14&lt;'Invoer gegevens (N)'!$C$17+15,0,IF(E14&gt;'Invoer gegevens (N)'!$C$17+215,0,AW14))</f>
        <v>0</v>
      </c>
      <c r="AY14" s="71">
        <f ca="1">AX14/(1+'Invoer gegevens (N)'!$F$18)^($AZ14-('Invoer gegevens (N)'!$C$17-'Invoer gegevens (N)'!$C$16))/(1+'Invoer gegevens (N)'!$C$39)^('Invoer gegevens (N)'!$C$17-'Invoer gegevens (N)'!$C$16)</f>
        <v>0</v>
      </c>
      <c r="AZ14" s="68">
        <f ca="1">IF(E14-'Invoer gegevens (N)'!$C$17-14.5&lt;0,0,E14-'Invoer gegevens (N)'!$C$17-14.5)</f>
        <v>0</v>
      </c>
    </row>
    <row r="15" spans="1:52" x14ac:dyDescent="0.25">
      <c r="A15" s="59"/>
      <c r="B15" s="70">
        <f t="shared" si="9"/>
        <v>11</v>
      </c>
      <c r="C15" s="67">
        <f ca="1">IF(E15-'Invoer gegevens (N)'!$C$17&lt;0,0,1)</f>
        <v>1</v>
      </c>
      <c r="D15" s="68">
        <f t="shared" si="10"/>
        <v>10.5</v>
      </c>
      <c r="E15" s="108">
        <f ca="1">IF('Invoer gegevens (N)'!$C$16="","",E14+1)</f>
        <v>2029</v>
      </c>
      <c r="F15" s="84">
        <f ca="1">IF('Invoer gegevens (N)'!$C$17=E15,'Invoer gegevens (N)'!$C$10,IF(C15=1,K14,0))</f>
        <v>0</v>
      </c>
      <c r="G15" s="96">
        <f ca="1">IF(C15&gt;=1,F15*VLOOKUP(E15,'Reeksen (N)'!$A$5:$B$76,2),0)</f>
        <v>0</v>
      </c>
      <c r="H15" s="84">
        <f ca="1">(1-('Invoer gegevens (N)'!$F$20/12))*F15*MIN('Reeksen (N)'!B15,'Reeksen (N)'!D15)</f>
        <v>0</v>
      </c>
      <c r="I15" s="84">
        <f>IF('Reeksen (N)'!D15&lt;'Reeksen (N)'!B15,('Reeksen (N)'!B15-'Reeksen (N)'!D15)*F15,0)</f>
        <v>0</v>
      </c>
      <c r="J15" s="84">
        <f ca="1">('Invoer gegevens (N)'!$F$20/12)*F14*MIN('Reeksen (N)'!B14,'Reeksen (N)'!D14)</f>
        <v>0</v>
      </c>
      <c r="K15" s="97">
        <f t="shared" ca="1" si="1"/>
        <v>0</v>
      </c>
      <c r="L15" s="84">
        <f ca="1">IF('Invoer gegevens (N)'!$C$17=E15,0,IF(C15=1,Q14,0))</f>
        <v>0</v>
      </c>
      <c r="M15" s="96">
        <f ca="1">IF(C15&gt;=1,L15*VLOOKUP(E15,'Reeksen (N)'!$A$5:$B$76,2),0)</f>
        <v>0</v>
      </c>
      <c r="N15" s="84">
        <f ca="1">(1-('Invoer gegevens (N)'!$F$20/12))*L15*MIN('Reeksen (N)'!B15,'Reeksen (N)'!D15)</f>
        <v>0</v>
      </c>
      <c r="O15" s="84">
        <f>IF('Reeksen (N)'!D15&lt;'Reeksen (N)'!B15,('Reeksen (N)'!B15-'Reeksen (N)'!D15)*L15,0)</f>
        <v>0</v>
      </c>
      <c r="P15" s="84">
        <f ca="1">('Invoer gegevens (N)'!$F$20/12)*L14*MIN('Reeksen (N)'!B14,'Reeksen (N)'!D14)</f>
        <v>0</v>
      </c>
      <c r="Q15" s="84">
        <f t="shared" ca="1" si="2"/>
        <v>0</v>
      </c>
      <c r="R15" s="82">
        <f ca="1">IF('Invoer gegevens (N)'!$C$17=E15,'Invoer gegevens (N)'!$C$11,IF(C15=1,W14,0))</f>
        <v>0</v>
      </c>
      <c r="S15" s="86">
        <f ca="1">IF(C15&gt;=1,R15*VLOOKUP(E15,'Reeksen (N)'!$A$5:$B$76,2),0)</f>
        <v>0</v>
      </c>
      <c r="T15" s="84">
        <f ca="1">(1-('Invoer gegevens (N)'!$F$20/12))*R15*MIN('Reeksen (N)'!B15,'Reeksen (N)'!D15)</f>
        <v>0</v>
      </c>
      <c r="U15" s="84">
        <f>IF('Reeksen (N)'!D15&gt;='Reeksen (N)'!B15,0,IF('Reeksen (N)'!AK15&lt;='Reeksen (N)'!AE15,('Reeksen (N)'!B15-'Reeksen (N)'!D15)*R15,0))</f>
        <v>0</v>
      </c>
      <c r="V15" s="86">
        <f>IF('Reeksen (N)'!D15&gt;='Reeksen (N)'!B15,0,IF('Reeksen (N)'!AK15&gt;'Reeksen (N)'!AE15,('Reeksen (N)'!B15-'Reeksen (N)'!D15)*R15,0))</f>
        <v>0</v>
      </c>
      <c r="W15" s="97">
        <f t="shared" ca="1" si="3"/>
        <v>0</v>
      </c>
      <c r="X15" s="98">
        <f ca="1">IF('Invoer gegevens (N)'!$C$17=E15,'Invoer gegevens (N)'!$C$10-'Invoer gegevens (N)'!$C$11,IF(C15=1,AC14,0))</f>
        <v>0</v>
      </c>
      <c r="Y15" s="98">
        <f ca="1">IF(C15&gt;=1,X15*VLOOKUP(E15,'Reeksen (N)'!$A$5:$B$76,2),0)</f>
        <v>0</v>
      </c>
      <c r="Z15" s="98">
        <f ca="1">(1-('Invoer gegevens (N)'!$F$20/12))*X15*MIN('Reeksen (N)'!B15,'Reeksen (N)'!D15)</f>
        <v>0</v>
      </c>
      <c r="AA15" s="98">
        <f>IF('Reeksen (N)'!D15&gt;='Reeksen (N)'!B15,0,IF('Reeksen (N)'!AK15&lt;='Reeksen (N)'!AE15,('Reeksen (N)'!B15-'Reeksen (N)'!D15)*X15,0))</f>
        <v>0</v>
      </c>
      <c r="AB15" s="98">
        <f>IF('Reeksen (N)'!D15&gt;='Reeksen (N)'!B15,0,IF('Reeksen (N)'!AK15&gt;'Reeksen (N)'!AE15,('Reeksen (N)'!B15-'Reeksen (N)'!D15)*X15,0))</f>
        <v>0</v>
      </c>
      <c r="AC15" s="99">
        <f t="shared" ca="1" si="4"/>
        <v>0</v>
      </c>
      <c r="AD15" s="98">
        <f ca="1">IF('Invoer gegevens (N)'!$C$17=E15,R15,IF(C15=0,0,AE14))</f>
        <v>0</v>
      </c>
      <c r="AE15" s="98">
        <f t="shared" ca="1" si="5"/>
        <v>0</v>
      </c>
      <c r="AF15" s="98">
        <f ca="1">IF('Invoer gegevens (N)'!$C$17=E15,X15,IF(C15=0,0,AG14))</f>
        <v>0</v>
      </c>
      <c r="AG15" s="98">
        <f t="shared" ca="1" si="6"/>
        <v>0</v>
      </c>
      <c r="AH15" s="68"/>
      <c r="AI15" s="71">
        <f ca="1">IF(C15=1,'Reeksen (N)'!AJ15*((F15-G15+F15)/2)*12+'Reeksen (N)'!AK15*((L15-M15+L15)/2)*12,0)</f>
        <v>0</v>
      </c>
      <c r="AJ15" s="71">
        <f ca="1">-AI15*'Invoer gegevens (N)'!$F$28</f>
        <v>0</v>
      </c>
      <c r="AK15" s="71">
        <f t="shared" ca="1" si="0"/>
        <v>0</v>
      </c>
      <c r="AL15" s="71">
        <f ca="1">IF(C15=1,'Reeksen (N)'!AL15*((F15-G15+F15)/2)*12+'Reeksen (N)'!AM15*((L15-M15+L15)/2)*12,0)</f>
        <v>0</v>
      </c>
      <c r="AM15" s="71">
        <f ca="1">-AL15*'Invoer gegevens (N)'!$F$31</f>
        <v>0</v>
      </c>
      <c r="AN15" s="71">
        <f t="shared" ca="1" si="7"/>
        <v>0</v>
      </c>
      <c r="AO15" s="71">
        <f ca="1">IF(C15=1,(H15+J15+N15+P15)*'Reeksen (N)'!AN15,0)</f>
        <v>0</v>
      </c>
      <c r="AP15" s="71">
        <f ca="1">-IF(C15=1,(H15+J15+N15+P15)*'Hulp - basis'!$O$550*'Reeksen (N)'!H15,0)</f>
        <v>0</v>
      </c>
      <c r="AQ15" s="71">
        <f ca="1">-IF(C15=1,(F15+K15+L15+Q15)/2*'Invoer gegevens (N)'!$I$33*'Reeksen (N)'!J15,0)*2</f>
        <v>0</v>
      </c>
      <c r="AR15" s="71">
        <f ca="1">-IF(C15=1,(I15*'Invoer gegevens (N)'!$I$34)*'Reeksen (N)'!J15,0)</f>
        <v>0</v>
      </c>
      <c r="AS15" s="71">
        <f ca="1">-IF(C15=1,(F15+K15+L15+Q15)/2*'Invoer gegevens (N)'!$I$35*'Reeksen (N)'!L15,0)</f>
        <v>0</v>
      </c>
      <c r="AT15" s="71">
        <f ca="1">-IF(C15=1,IF(E15='Invoer gegevens (N)'!$C$17,'Invoer gegevens (N)'!$C$11,AD15)*'Reeksen (N)'!S15*'Invoer gegevens (N)'!$C$18*'Reeksen (N)'!P15,0)</f>
        <v>0</v>
      </c>
      <c r="AU15" s="71">
        <f ca="1">-IF(C15=1,(F15+K15+L15+Q15)/2*'Invoer gegevens (N)'!$I$36*'Reeksen (N)'!H15,0)</f>
        <v>0</v>
      </c>
      <c r="AV15" s="71">
        <v>0</v>
      </c>
      <c r="AW15" s="71">
        <f t="shared" ca="1" si="8"/>
        <v>0</v>
      </c>
      <c r="AX15" s="71">
        <f ca="1">IF(E15&lt;'Invoer gegevens (N)'!$C$17+15,0,IF(E15&gt;'Invoer gegevens (N)'!$C$17+215,0,AW15))</f>
        <v>0</v>
      </c>
      <c r="AY15" s="71">
        <f ca="1">AX15/(1+'Invoer gegevens (N)'!$F$18)^($AZ15-('Invoer gegevens (N)'!$C$17-'Invoer gegevens (N)'!$C$16))/(1+'Invoer gegevens (N)'!$C$39)^('Invoer gegevens (N)'!$C$17-'Invoer gegevens (N)'!$C$16)</f>
        <v>0</v>
      </c>
      <c r="AZ15" s="68">
        <f ca="1">IF(E15-'Invoer gegevens (N)'!$C$17-14.5&lt;0,0,E15-'Invoer gegevens (N)'!$C$17-14.5)</f>
        <v>0</v>
      </c>
    </row>
    <row r="16" spans="1:52" x14ac:dyDescent="0.25">
      <c r="A16" s="59"/>
      <c r="B16" s="70">
        <f t="shared" si="9"/>
        <v>12</v>
      </c>
      <c r="C16" s="67">
        <f ca="1">IF(E16-'Invoer gegevens (N)'!$C$17&lt;0,0,1)</f>
        <v>1</v>
      </c>
      <c r="D16" s="68">
        <f t="shared" si="10"/>
        <v>11.5</v>
      </c>
      <c r="E16" s="108">
        <f ca="1">IF('Invoer gegevens (N)'!$C$16="","",E15+1)</f>
        <v>2030</v>
      </c>
      <c r="F16" s="84">
        <f ca="1">IF('Invoer gegevens (N)'!$C$17=E16,'Invoer gegevens (N)'!$C$10,IF(C16=1,K15,0))</f>
        <v>0</v>
      </c>
      <c r="G16" s="96">
        <f ca="1">IF(C16&gt;=1,F16*VLOOKUP(E16,'Reeksen (N)'!$A$5:$B$76,2),0)</f>
        <v>0</v>
      </c>
      <c r="H16" s="84">
        <f ca="1">(1-('Invoer gegevens (N)'!$F$20/12))*F16*MIN('Reeksen (N)'!B16,'Reeksen (N)'!D16)</f>
        <v>0</v>
      </c>
      <c r="I16" s="84">
        <f>IF('Reeksen (N)'!D16&lt;'Reeksen (N)'!B16,('Reeksen (N)'!B16-'Reeksen (N)'!D16)*F16,0)</f>
        <v>0</v>
      </c>
      <c r="J16" s="84">
        <f ca="1">('Invoer gegevens (N)'!$F$20/12)*F15*MIN('Reeksen (N)'!B15,'Reeksen (N)'!D15)</f>
        <v>0</v>
      </c>
      <c r="K16" s="97">
        <f t="shared" ca="1" si="1"/>
        <v>0</v>
      </c>
      <c r="L16" s="84">
        <f ca="1">IF('Invoer gegevens (N)'!$C$17=E16,0,IF(C16=1,Q15,0))</f>
        <v>0</v>
      </c>
      <c r="M16" s="96">
        <f ca="1">IF(C16&gt;=1,L16*VLOOKUP(E16,'Reeksen (N)'!$A$5:$B$76,2),0)</f>
        <v>0</v>
      </c>
      <c r="N16" s="84">
        <f ca="1">(1-('Invoer gegevens (N)'!$F$20/12))*L16*MIN('Reeksen (N)'!B16,'Reeksen (N)'!D16)</f>
        <v>0</v>
      </c>
      <c r="O16" s="84">
        <f>IF('Reeksen (N)'!D16&lt;'Reeksen (N)'!B16,('Reeksen (N)'!B16-'Reeksen (N)'!D16)*L16,0)</f>
        <v>0</v>
      </c>
      <c r="P16" s="84">
        <f ca="1">('Invoer gegevens (N)'!$F$20/12)*L15*MIN('Reeksen (N)'!B15,'Reeksen (N)'!D15)</f>
        <v>0</v>
      </c>
      <c r="Q16" s="84">
        <f t="shared" ca="1" si="2"/>
        <v>0</v>
      </c>
      <c r="R16" s="82">
        <f ca="1">IF('Invoer gegevens (N)'!$C$17=E16,'Invoer gegevens (N)'!$C$11,IF(C16=1,W15,0))</f>
        <v>0</v>
      </c>
      <c r="S16" s="86">
        <f ca="1">IF(C16&gt;=1,R16*VLOOKUP(E16,'Reeksen (N)'!$A$5:$B$76,2),0)</f>
        <v>0</v>
      </c>
      <c r="T16" s="84">
        <f ca="1">(1-('Invoer gegevens (N)'!$F$20/12))*R16*MIN('Reeksen (N)'!B16,'Reeksen (N)'!D16)</f>
        <v>0</v>
      </c>
      <c r="U16" s="84">
        <f>IF('Reeksen (N)'!D16&gt;='Reeksen (N)'!B16,0,IF('Reeksen (N)'!AK16&lt;='Reeksen (N)'!AE16,('Reeksen (N)'!B16-'Reeksen (N)'!D16)*R16,0))</f>
        <v>0</v>
      </c>
      <c r="V16" s="86">
        <f>IF('Reeksen (N)'!D16&gt;='Reeksen (N)'!B16,0,IF('Reeksen (N)'!AK16&gt;'Reeksen (N)'!AE16,('Reeksen (N)'!B16-'Reeksen (N)'!D16)*R16,0))</f>
        <v>0</v>
      </c>
      <c r="W16" s="97">
        <f t="shared" ca="1" si="3"/>
        <v>0</v>
      </c>
      <c r="X16" s="98">
        <f ca="1">IF('Invoer gegevens (N)'!$C$17=E16,'Invoer gegevens (N)'!$C$10-'Invoer gegevens (N)'!$C$11,IF(C16=1,AC15,0))</f>
        <v>0</v>
      </c>
      <c r="Y16" s="98">
        <f ca="1">IF(C16&gt;=1,X16*VLOOKUP(E16,'Reeksen (N)'!$A$5:$B$76,2),0)</f>
        <v>0</v>
      </c>
      <c r="Z16" s="98">
        <f ca="1">(1-('Invoer gegevens (N)'!$F$20/12))*X16*MIN('Reeksen (N)'!B16,'Reeksen (N)'!D16)</f>
        <v>0</v>
      </c>
      <c r="AA16" s="98">
        <f>IF('Reeksen (N)'!D16&gt;='Reeksen (N)'!B16,0,IF('Reeksen (N)'!AK16&lt;='Reeksen (N)'!AE16,('Reeksen (N)'!B16-'Reeksen (N)'!D16)*X16,0))</f>
        <v>0</v>
      </c>
      <c r="AB16" s="98">
        <f>IF('Reeksen (N)'!D16&gt;='Reeksen (N)'!B16,0,IF('Reeksen (N)'!AK16&gt;'Reeksen (N)'!AE16,('Reeksen (N)'!B16-'Reeksen (N)'!D16)*X16,0))</f>
        <v>0</v>
      </c>
      <c r="AC16" s="99">
        <f t="shared" ca="1" si="4"/>
        <v>0</v>
      </c>
      <c r="AD16" s="98">
        <f ca="1">IF('Invoer gegevens (N)'!$C$17=E16,R16,IF(C16=0,0,AE15))</f>
        <v>0</v>
      </c>
      <c r="AE16" s="98">
        <f t="shared" ca="1" si="5"/>
        <v>0</v>
      </c>
      <c r="AF16" s="98">
        <f ca="1">IF('Invoer gegevens (N)'!$C$17=E16,X16,IF(C16=0,0,AG15))</f>
        <v>0</v>
      </c>
      <c r="AG16" s="98">
        <f t="shared" ca="1" si="6"/>
        <v>0</v>
      </c>
      <c r="AH16" s="68"/>
      <c r="AI16" s="71">
        <f ca="1">IF(C16=1,'Reeksen (N)'!AJ16*((F16-G16+F16)/2)*12+'Reeksen (N)'!AK16*((L16-M16+L16)/2)*12,0)</f>
        <v>0</v>
      </c>
      <c r="AJ16" s="71">
        <f ca="1">-AI16*'Invoer gegevens (N)'!$F$28</f>
        <v>0</v>
      </c>
      <c r="AK16" s="71">
        <f t="shared" ca="1" si="0"/>
        <v>0</v>
      </c>
      <c r="AL16" s="71">
        <f ca="1">IF(C16=1,'Reeksen (N)'!AL16*((F16-G16+F16)/2)*12+'Reeksen (N)'!AM16*((L16-M16+L16)/2)*12,0)</f>
        <v>0</v>
      </c>
      <c r="AM16" s="71">
        <f ca="1">-AL16*'Invoer gegevens (N)'!$F$31</f>
        <v>0</v>
      </c>
      <c r="AN16" s="71">
        <f t="shared" ca="1" si="7"/>
        <v>0</v>
      </c>
      <c r="AO16" s="71">
        <f ca="1">IF(C16=1,(H16+J16+N16+P16)*'Reeksen (N)'!AN16,0)</f>
        <v>0</v>
      </c>
      <c r="AP16" s="71">
        <f ca="1">-IF(C16=1,(H16+J16+N16+P16)*'Hulp - basis'!$O$550*'Reeksen (N)'!H16,0)</f>
        <v>0</v>
      </c>
      <c r="AQ16" s="71">
        <f ca="1">-IF(C16=1,(F16+K16+L16+Q16)/2*'Invoer gegevens (N)'!$I$33*'Reeksen (N)'!J16,0)*2</f>
        <v>0</v>
      </c>
      <c r="AR16" s="71">
        <f ca="1">-IF(C16=1,(I16*'Invoer gegevens (N)'!$I$34)*'Reeksen (N)'!J16,0)</f>
        <v>0</v>
      </c>
      <c r="AS16" s="71">
        <f ca="1">-IF(C16=1,(F16+K16+L16+Q16)/2*'Invoer gegevens (N)'!$I$35*'Reeksen (N)'!L16,0)</f>
        <v>0</v>
      </c>
      <c r="AT16" s="71">
        <f ca="1">-IF(C16=1,IF(E16='Invoer gegevens (N)'!$C$17,'Invoer gegevens (N)'!$C$11,AD16)*'Reeksen (N)'!S16*'Invoer gegevens (N)'!$C$18*'Reeksen (N)'!P16,0)</f>
        <v>0</v>
      </c>
      <c r="AU16" s="71">
        <f ca="1">-IF(C16=1,(F16+K16+L16+Q16)/2*'Invoer gegevens (N)'!$I$36*'Reeksen (N)'!H16,0)</f>
        <v>0</v>
      </c>
      <c r="AV16" s="71">
        <v>0</v>
      </c>
      <c r="AW16" s="71">
        <f t="shared" ca="1" si="8"/>
        <v>0</v>
      </c>
      <c r="AX16" s="71">
        <f ca="1">IF(E16&lt;'Invoer gegevens (N)'!$C$17+15,0,IF(E16&gt;'Invoer gegevens (N)'!$C$17+215,0,AW16))</f>
        <v>0</v>
      </c>
      <c r="AY16" s="71">
        <f ca="1">AX16/(1+'Invoer gegevens (N)'!$F$18)^($AZ16-('Invoer gegevens (N)'!$C$17-'Invoer gegevens (N)'!$C$16))/(1+'Invoer gegevens (N)'!$C$39)^('Invoer gegevens (N)'!$C$17-'Invoer gegevens (N)'!$C$16)</f>
        <v>0</v>
      </c>
      <c r="AZ16" s="68">
        <f ca="1">IF(E16-'Invoer gegevens (N)'!$C$17-14.5&lt;0,0,E16-'Invoer gegevens (N)'!$C$17-14.5)</f>
        <v>0</v>
      </c>
    </row>
    <row r="17" spans="1:52" x14ac:dyDescent="0.25">
      <c r="A17" s="59"/>
      <c r="B17" s="70">
        <f t="shared" si="9"/>
        <v>13</v>
      </c>
      <c r="C17" s="67">
        <f ca="1">IF(E17-'Invoer gegevens (N)'!$C$17&lt;0,0,1)</f>
        <v>1</v>
      </c>
      <c r="D17" s="68">
        <f t="shared" si="10"/>
        <v>12.5</v>
      </c>
      <c r="E17" s="108">
        <f ca="1">IF('Invoer gegevens (N)'!$C$16="","",E16+1)</f>
        <v>2031</v>
      </c>
      <c r="F17" s="84">
        <f ca="1">IF('Invoer gegevens (N)'!$C$17=E17,'Invoer gegevens (N)'!$C$10,IF(C17=1,K16,0))</f>
        <v>0</v>
      </c>
      <c r="G17" s="96">
        <f ca="1">IF(C17&gt;=1,F17*VLOOKUP(E17,'Reeksen (N)'!$A$5:$B$76,2),0)</f>
        <v>0</v>
      </c>
      <c r="H17" s="84">
        <f ca="1">(1-('Invoer gegevens (N)'!$F$20/12))*F17*MIN('Reeksen (N)'!B17,'Reeksen (N)'!D17)</f>
        <v>0</v>
      </c>
      <c r="I17" s="84">
        <f>IF('Reeksen (N)'!D17&lt;'Reeksen (N)'!B17,('Reeksen (N)'!B17-'Reeksen (N)'!D17)*F17,0)</f>
        <v>0</v>
      </c>
      <c r="J17" s="84">
        <f ca="1">('Invoer gegevens (N)'!$F$20/12)*F16*MIN('Reeksen (N)'!B16,'Reeksen (N)'!D16)</f>
        <v>0</v>
      </c>
      <c r="K17" s="97">
        <f t="shared" ca="1" si="1"/>
        <v>0</v>
      </c>
      <c r="L17" s="84">
        <f ca="1">IF('Invoer gegevens (N)'!$C$17=E17,0,IF(C17=1,Q16,0))</f>
        <v>0</v>
      </c>
      <c r="M17" s="96">
        <f ca="1">IF(C17&gt;=1,L17*VLOOKUP(E17,'Reeksen (N)'!$A$5:$B$76,2),0)</f>
        <v>0</v>
      </c>
      <c r="N17" s="84">
        <f ca="1">(1-('Invoer gegevens (N)'!$F$20/12))*L17*MIN('Reeksen (N)'!B17,'Reeksen (N)'!D17)</f>
        <v>0</v>
      </c>
      <c r="O17" s="84">
        <f>IF('Reeksen (N)'!D17&lt;'Reeksen (N)'!B17,('Reeksen (N)'!B17-'Reeksen (N)'!D17)*L17,0)</f>
        <v>0</v>
      </c>
      <c r="P17" s="84">
        <f ca="1">('Invoer gegevens (N)'!$F$20/12)*L16*MIN('Reeksen (N)'!B16,'Reeksen (N)'!D16)</f>
        <v>0</v>
      </c>
      <c r="Q17" s="84">
        <f t="shared" ca="1" si="2"/>
        <v>0</v>
      </c>
      <c r="R17" s="82">
        <f ca="1">IF('Invoer gegevens (N)'!$C$17=E17,'Invoer gegevens (N)'!$C$11,IF(C17=1,W16,0))</f>
        <v>0</v>
      </c>
      <c r="S17" s="86">
        <f ca="1">IF(C17&gt;=1,R17*VLOOKUP(E17,'Reeksen (N)'!$A$5:$B$76,2),0)</f>
        <v>0</v>
      </c>
      <c r="T17" s="84">
        <f ca="1">(1-('Invoer gegevens (N)'!$F$20/12))*R17*MIN('Reeksen (N)'!B17,'Reeksen (N)'!D17)</f>
        <v>0</v>
      </c>
      <c r="U17" s="84">
        <f>IF('Reeksen (N)'!D17&gt;='Reeksen (N)'!B17,0,IF('Reeksen (N)'!AK17&lt;='Reeksen (N)'!AE17,('Reeksen (N)'!B17-'Reeksen (N)'!D17)*R17,0))</f>
        <v>0</v>
      </c>
      <c r="V17" s="86">
        <f>IF('Reeksen (N)'!D17&gt;='Reeksen (N)'!B17,0,IF('Reeksen (N)'!AK17&gt;'Reeksen (N)'!AE17,('Reeksen (N)'!B17-'Reeksen (N)'!D17)*R17,0))</f>
        <v>0</v>
      </c>
      <c r="W17" s="97">
        <f t="shared" ca="1" si="3"/>
        <v>0</v>
      </c>
      <c r="X17" s="98">
        <f ca="1">IF('Invoer gegevens (N)'!$C$17=E17,'Invoer gegevens (N)'!$C$10-'Invoer gegevens (N)'!$C$11,IF(C17=1,AC16,0))</f>
        <v>0</v>
      </c>
      <c r="Y17" s="98">
        <f ca="1">IF(C17&gt;=1,X17*VLOOKUP(E17,'Reeksen (N)'!$A$5:$B$76,2),0)</f>
        <v>0</v>
      </c>
      <c r="Z17" s="98">
        <f ca="1">(1-('Invoer gegevens (N)'!$F$20/12))*X17*MIN('Reeksen (N)'!B17,'Reeksen (N)'!D17)</f>
        <v>0</v>
      </c>
      <c r="AA17" s="98">
        <f>IF('Reeksen (N)'!D17&gt;='Reeksen (N)'!B17,0,IF('Reeksen (N)'!AK17&lt;='Reeksen (N)'!AE17,('Reeksen (N)'!B17-'Reeksen (N)'!D17)*X17,0))</f>
        <v>0</v>
      </c>
      <c r="AB17" s="98">
        <f>IF('Reeksen (N)'!D17&gt;='Reeksen (N)'!B17,0,IF('Reeksen (N)'!AK17&gt;'Reeksen (N)'!AE17,('Reeksen (N)'!B17-'Reeksen (N)'!D17)*X17,0))</f>
        <v>0</v>
      </c>
      <c r="AC17" s="99">
        <f t="shared" ca="1" si="4"/>
        <v>0</v>
      </c>
      <c r="AD17" s="98">
        <f ca="1">IF('Invoer gegevens (N)'!$C$17=E17,R17,IF(C17=0,0,AE16))</f>
        <v>0</v>
      </c>
      <c r="AE17" s="98">
        <f t="shared" ca="1" si="5"/>
        <v>0</v>
      </c>
      <c r="AF17" s="98">
        <f ca="1">IF('Invoer gegevens (N)'!$C$17=E17,X17,IF(C17=0,0,AG16))</f>
        <v>0</v>
      </c>
      <c r="AG17" s="98">
        <f t="shared" ca="1" si="6"/>
        <v>0</v>
      </c>
      <c r="AH17" s="68"/>
      <c r="AI17" s="71">
        <f ca="1">IF(C17=1,'Reeksen (N)'!AJ17*((F17-G17+F17)/2)*12+'Reeksen (N)'!AK17*((L17-M17+L17)/2)*12,0)</f>
        <v>0</v>
      </c>
      <c r="AJ17" s="71">
        <f ca="1">-AI17*'Invoer gegevens (N)'!$F$28</f>
        <v>0</v>
      </c>
      <c r="AK17" s="71">
        <f t="shared" ca="1" si="0"/>
        <v>0</v>
      </c>
      <c r="AL17" s="71">
        <f ca="1">IF(C17=1,'Reeksen (N)'!AL17*((F17-G17+F17)/2)*12+'Reeksen (N)'!AM17*((L17-M17+L17)/2)*12,0)</f>
        <v>0</v>
      </c>
      <c r="AM17" s="71">
        <f ca="1">-AL17*'Invoer gegevens (N)'!$F$31</f>
        <v>0</v>
      </c>
      <c r="AN17" s="71">
        <f t="shared" ca="1" si="7"/>
        <v>0</v>
      </c>
      <c r="AO17" s="71">
        <f ca="1">IF(C17=1,(H17+J17+N17+P17)*'Reeksen (N)'!AN17,0)</f>
        <v>0</v>
      </c>
      <c r="AP17" s="71">
        <f ca="1">-IF(C17=1,(H17+J17+N17+P17)*'Hulp - basis'!$O$550*'Reeksen (N)'!H17,0)</f>
        <v>0</v>
      </c>
      <c r="AQ17" s="71">
        <f ca="1">-IF(C17=1,(F17+K17+L17+Q17)/2*'Invoer gegevens (N)'!$I$33*'Reeksen (N)'!J17,0)*2</f>
        <v>0</v>
      </c>
      <c r="AR17" s="71">
        <f ca="1">-IF(C17=1,(I17*'Invoer gegevens (N)'!$I$34)*'Reeksen (N)'!J17,0)</f>
        <v>0</v>
      </c>
      <c r="AS17" s="71">
        <f ca="1">-IF(C17=1,(F17+K17+L17+Q17)/2*'Invoer gegevens (N)'!$I$35*'Reeksen (N)'!L17,0)</f>
        <v>0</v>
      </c>
      <c r="AT17" s="71">
        <f ca="1">-IF(C17=1,IF(E17='Invoer gegevens (N)'!$C$17,'Invoer gegevens (N)'!$C$11,AD17)*'Reeksen (N)'!S17*'Invoer gegevens (N)'!$C$18*'Reeksen (N)'!P17,0)</f>
        <v>0</v>
      </c>
      <c r="AU17" s="71">
        <f ca="1">-IF(C17=1,(F17+K17+L17+Q17)/2*'Invoer gegevens (N)'!$I$36*'Reeksen (N)'!H17,0)</f>
        <v>0</v>
      </c>
      <c r="AV17" s="71">
        <v>0</v>
      </c>
      <c r="AW17" s="71">
        <f t="shared" ca="1" si="8"/>
        <v>0</v>
      </c>
      <c r="AX17" s="71">
        <f ca="1">IF(E17&lt;'Invoer gegevens (N)'!$C$17+15,0,IF(E17&gt;'Invoer gegevens (N)'!$C$17+215,0,AW17))</f>
        <v>0</v>
      </c>
      <c r="AY17" s="71">
        <f ca="1">AX17/(1+'Invoer gegevens (N)'!$F$18)^($AZ17-('Invoer gegevens (N)'!$C$17-'Invoer gegevens (N)'!$C$16))/(1+'Invoer gegevens (N)'!$C$39)^('Invoer gegevens (N)'!$C$17-'Invoer gegevens (N)'!$C$16)</f>
        <v>0</v>
      </c>
      <c r="AZ17" s="68">
        <f ca="1">IF(E17-'Invoer gegevens (N)'!$C$17-14.5&lt;0,0,E17-'Invoer gegevens (N)'!$C$17-14.5)</f>
        <v>0</v>
      </c>
    </row>
    <row r="18" spans="1:52" x14ac:dyDescent="0.25">
      <c r="A18" s="59"/>
      <c r="B18" s="70">
        <f t="shared" si="9"/>
        <v>14</v>
      </c>
      <c r="C18" s="67">
        <f ca="1">IF(E18-'Invoer gegevens (N)'!$C$17&lt;0,0,1)</f>
        <v>1</v>
      </c>
      <c r="D18" s="68">
        <f t="shared" si="10"/>
        <v>13.5</v>
      </c>
      <c r="E18" s="108">
        <f ca="1">IF('Invoer gegevens (N)'!$C$16="","",E17+1)</f>
        <v>2032</v>
      </c>
      <c r="F18" s="84">
        <f ca="1">IF('Invoer gegevens (N)'!$C$17=E18,'Invoer gegevens (N)'!$C$10,IF(C18=1,K17,0))</f>
        <v>0</v>
      </c>
      <c r="G18" s="96">
        <f ca="1">IF(C18&gt;=1,F18*VLOOKUP(E18,'Reeksen (N)'!$A$5:$B$76,2),0)</f>
        <v>0</v>
      </c>
      <c r="H18" s="84">
        <f ca="1">(1-('Invoer gegevens (N)'!$F$20/12))*F18*MIN('Reeksen (N)'!B18,'Reeksen (N)'!D18)</f>
        <v>0</v>
      </c>
      <c r="I18" s="84">
        <f>IF('Reeksen (N)'!D18&lt;'Reeksen (N)'!B18,('Reeksen (N)'!B18-'Reeksen (N)'!D18)*F18,0)</f>
        <v>0</v>
      </c>
      <c r="J18" s="84">
        <f ca="1">('Invoer gegevens (N)'!$F$20/12)*F17*MIN('Reeksen (N)'!B17,'Reeksen (N)'!D17)</f>
        <v>0</v>
      </c>
      <c r="K18" s="97">
        <f t="shared" ca="1" si="1"/>
        <v>0</v>
      </c>
      <c r="L18" s="84">
        <f ca="1">IF('Invoer gegevens (N)'!$C$17=E18,0,IF(C18=1,Q17,0))</f>
        <v>0</v>
      </c>
      <c r="M18" s="96">
        <f ca="1">IF(C18&gt;=1,L18*VLOOKUP(E18,'Reeksen (N)'!$A$5:$B$76,2),0)</f>
        <v>0</v>
      </c>
      <c r="N18" s="84">
        <f ca="1">(1-('Invoer gegevens (N)'!$F$20/12))*L18*MIN('Reeksen (N)'!B18,'Reeksen (N)'!D18)</f>
        <v>0</v>
      </c>
      <c r="O18" s="84">
        <f>IF('Reeksen (N)'!D18&lt;'Reeksen (N)'!B18,('Reeksen (N)'!B18-'Reeksen (N)'!D18)*L18,0)</f>
        <v>0</v>
      </c>
      <c r="P18" s="84">
        <f ca="1">('Invoer gegevens (N)'!$F$20/12)*L17*MIN('Reeksen (N)'!B17,'Reeksen (N)'!D17)</f>
        <v>0</v>
      </c>
      <c r="Q18" s="84">
        <f t="shared" ca="1" si="2"/>
        <v>0</v>
      </c>
      <c r="R18" s="82">
        <f ca="1">IF('Invoer gegevens (N)'!$C$17=E18,'Invoer gegevens (N)'!$C$11,IF(C18=1,W17,0))</f>
        <v>0</v>
      </c>
      <c r="S18" s="86">
        <f ca="1">IF(C18&gt;=1,R18*VLOOKUP(E18,'Reeksen (N)'!$A$5:$B$76,2),0)</f>
        <v>0</v>
      </c>
      <c r="T18" s="84">
        <f ca="1">(1-('Invoer gegevens (N)'!$F$20/12))*R18*MIN('Reeksen (N)'!B18,'Reeksen (N)'!D18)</f>
        <v>0</v>
      </c>
      <c r="U18" s="84">
        <f>IF('Reeksen (N)'!D18&gt;='Reeksen (N)'!B18,0,IF('Reeksen (N)'!AK18&lt;='Reeksen (N)'!AE18,('Reeksen (N)'!B18-'Reeksen (N)'!D18)*R18,0))</f>
        <v>0</v>
      </c>
      <c r="V18" s="86">
        <f>IF('Reeksen (N)'!D18&gt;='Reeksen (N)'!B18,0,IF('Reeksen (N)'!AK18&gt;'Reeksen (N)'!AE18,('Reeksen (N)'!B18-'Reeksen (N)'!D18)*R18,0))</f>
        <v>0</v>
      </c>
      <c r="W18" s="97">
        <f t="shared" ca="1" si="3"/>
        <v>0</v>
      </c>
      <c r="X18" s="98">
        <f ca="1">IF('Invoer gegevens (N)'!$C$17=E18,'Invoer gegevens (N)'!$C$10-'Invoer gegevens (N)'!$C$11,IF(C18=1,AC17,0))</f>
        <v>0</v>
      </c>
      <c r="Y18" s="98">
        <f ca="1">IF(C18&gt;=1,X18*VLOOKUP(E18,'Reeksen (N)'!$A$5:$B$76,2),0)</f>
        <v>0</v>
      </c>
      <c r="Z18" s="98">
        <f ca="1">(1-('Invoer gegevens (N)'!$F$20/12))*X18*MIN('Reeksen (N)'!B18,'Reeksen (N)'!D18)</f>
        <v>0</v>
      </c>
      <c r="AA18" s="98">
        <f>IF('Reeksen (N)'!D18&gt;='Reeksen (N)'!B18,0,IF('Reeksen (N)'!AK18&lt;='Reeksen (N)'!AE18,('Reeksen (N)'!B18-'Reeksen (N)'!D18)*X18,0))</f>
        <v>0</v>
      </c>
      <c r="AB18" s="98">
        <f>IF('Reeksen (N)'!D18&gt;='Reeksen (N)'!B18,0,IF('Reeksen (N)'!AK18&gt;'Reeksen (N)'!AE18,('Reeksen (N)'!B18-'Reeksen (N)'!D18)*X18,0))</f>
        <v>0</v>
      </c>
      <c r="AC18" s="99">
        <f t="shared" ca="1" si="4"/>
        <v>0</v>
      </c>
      <c r="AD18" s="98">
        <f ca="1">IF('Invoer gegevens (N)'!$C$17=E18,R18,IF(C18=0,0,AE17))</f>
        <v>0</v>
      </c>
      <c r="AE18" s="98">
        <f t="shared" ca="1" si="5"/>
        <v>0</v>
      </c>
      <c r="AF18" s="98">
        <f ca="1">IF('Invoer gegevens (N)'!$C$17=E18,X18,IF(C18=0,0,AG17))</f>
        <v>0</v>
      </c>
      <c r="AG18" s="98">
        <f t="shared" ca="1" si="6"/>
        <v>0</v>
      </c>
      <c r="AH18" s="68"/>
      <c r="AI18" s="71">
        <f ca="1">IF(C18=1,'Reeksen (N)'!AJ18*((F18-G18+F18)/2)*12+'Reeksen (N)'!AK18*((L18-M18+L18)/2)*12,0)</f>
        <v>0</v>
      </c>
      <c r="AJ18" s="71">
        <f ca="1">-AI18*'Invoer gegevens (N)'!$F$28</f>
        <v>0</v>
      </c>
      <c r="AK18" s="71">
        <f t="shared" ca="1" si="0"/>
        <v>0</v>
      </c>
      <c r="AL18" s="71">
        <f ca="1">IF(C18=1,'Reeksen (N)'!AL18*((F18-G18+F18)/2)*12+'Reeksen (N)'!AM18*((L18-M18+L18)/2)*12,0)</f>
        <v>0</v>
      </c>
      <c r="AM18" s="71">
        <f ca="1">-AL18*'Invoer gegevens (N)'!$F$31</f>
        <v>0</v>
      </c>
      <c r="AN18" s="71">
        <f t="shared" ca="1" si="7"/>
        <v>0</v>
      </c>
      <c r="AO18" s="71">
        <f ca="1">IF(C18=1,(H18+J18+N18+P18)*'Reeksen (N)'!AN18,0)</f>
        <v>0</v>
      </c>
      <c r="AP18" s="71">
        <f ca="1">-IF(C18=1,(H18+J18+N18+P18)*'Hulp - basis'!$O$550*'Reeksen (N)'!H18,0)</f>
        <v>0</v>
      </c>
      <c r="AQ18" s="71">
        <f ca="1">-IF(C18=1,(F18+K18+L18+Q18)/2*'Invoer gegevens (N)'!$I$33*'Reeksen (N)'!J18,0)*2</f>
        <v>0</v>
      </c>
      <c r="AR18" s="71">
        <f ca="1">-IF(C18=1,(I18*'Invoer gegevens (N)'!$I$34)*'Reeksen (N)'!J18,0)</f>
        <v>0</v>
      </c>
      <c r="AS18" s="71">
        <f ca="1">-IF(C18=1,(F18+K18+L18+Q18)/2*'Invoer gegevens (N)'!$I$35*'Reeksen (N)'!L18,0)</f>
        <v>0</v>
      </c>
      <c r="AT18" s="71">
        <f ca="1">-IF(C18=1,IF(E18='Invoer gegevens (N)'!$C$17,'Invoer gegevens (N)'!$C$11,AD18)*'Reeksen (N)'!S18*'Invoer gegevens (N)'!$C$18*'Reeksen (N)'!P18,0)</f>
        <v>0</v>
      </c>
      <c r="AU18" s="71">
        <f ca="1">-IF(C18=1,(F18+K18+L18+Q18)/2*'Invoer gegevens (N)'!$I$36*'Reeksen (N)'!H18,0)</f>
        <v>0</v>
      </c>
      <c r="AV18" s="71">
        <v>0</v>
      </c>
      <c r="AW18" s="71">
        <f t="shared" ca="1" si="8"/>
        <v>0</v>
      </c>
      <c r="AX18" s="71">
        <f ca="1">IF(E18&lt;'Invoer gegevens (N)'!$C$17+15,0,IF(E18&gt;'Invoer gegevens (N)'!$C$17+215,0,AW18))</f>
        <v>0</v>
      </c>
      <c r="AY18" s="71">
        <f ca="1">AX18/(1+'Invoer gegevens (N)'!$F$18)^($AZ18-('Invoer gegevens (N)'!$C$17-'Invoer gegevens (N)'!$C$16))/(1+'Invoer gegevens (N)'!$C$39)^('Invoer gegevens (N)'!$C$17-'Invoer gegevens (N)'!$C$16)</f>
        <v>0</v>
      </c>
      <c r="AZ18" s="68">
        <f ca="1">IF(E18-'Invoer gegevens (N)'!$C$17-14.5&lt;0,0,E18-'Invoer gegevens (N)'!$C$17-14.5)</f>
        <v>0</v>
      </c>
    </row>
    <row r="19" spans="1:52" x14ac:dyDescent="0.25">
      <c r="A19" s="59"/>
      <c r="B19" s="70">
        <f t="shared" si="9"/>
        <v>15</v>
      </c>
      <c r="C19" s="67">
        <f ca="1">IF(E19-'Invoer gegevens (N)'!$C$17&lt;0,0,1)</f>
        <v>1</v>
      </c>
      <c r="D19" s="68">
        <f t="shared" si="10"/>
        <v>14.5</v>
      </c>
      <c r="E19" s="108">
        <f ca="1">IF('Invoer gegevens (N)'!$C$16="","",E18+1)</f>
        <v>2033</v>
      </c>
      <c r="F19" s="84">
        <f ca="1">IF('Invoer gegevens (N)'!$C$17=E19,'Invoer gegevens (N)'!$C$10,IF(C19=1,K18,0))</f>
        <v>0</v>
      </c>
      <c r="G19" s="96">
        <f ca="1">IF(C19&gt;=1,F19*VLOOKUP(E19,'Reeksen (N)'!$A$5:$B$76,2),0)</f>
        <v>0</v>
      </c>
      <c r="H19" s="84">
        <f ca="1">(1-('Invoer gegevens (N)'!$F$20/12))*F19*MIN('Reeksen (N)'!B19,'Reeksen (N)'!D19)</f>
        <v>0</v>
      </c>
      <c r="I19" s="84">
        <f>IF('Reeksen (N)'!D19&lt;'Reeksen (N)'!B19,('Reeksen (N)'!B19-'Reeksen (N)'!D19)*F19,0)</f>
        <v>0</v>
      </c>
      <c r="J19" s="84">
        <f ca="1">('Invoer gegevens (N)'!$F$20/12)*F18*MIN('Reeksen (N)'!B18,'Reeksen (N)'!D18)</f>
        <v>0</v>
      </c>
      <c r="K19" s="97">
        <f t="shared" ca="1" si="1"/>
        <v>0</v>
      </c>
      <c r="L19" s="84">
        <f ca="1">IF('Invoer gegevens (N)'!$C$17=E19,0,IF(C19=1,Q18,0))</f>
        <v>0</v>
      </c>
      <c r="M19" s="96">
        <f ca="1">IF(C19&gt;=1,L19*VLOOKUP(E19,'Reeksen (N)'!$A$5:$B$76,2),0)</f>
        <v>0</v>
      </c>
      <c r="N19" s="84">
        <f ca="1">(1-('Invoer gegevens (N)'!$F$20/12))*L19*MIN('Reeksen (N)'!B19,'Reeksen (N)'!D19)</f>
        <v>0</v>
      </c>
      <c r="O19" s="84">
        <f>IF('Reeksen (N)'!D19&lt;'Reeksen (N)'!B19,('Reeksen (N)'!B19-'Reeksen (N)'!D19)*L19,0)</f>
        <v>0</v>
      </c>
      <c r="P19" s="84">
        <f ca="1">('Invoer gegevens (N)'!$F$20/12)*L18*MIN('Reeksen (N)'!B18,'Reeksen (N)'!D18)</f>
        <v>0</v>
      </c>
      <c r="Q19" s="84">
        <f t="shared" ca="1" si="2"/>
        <v>0</v>
      </c>
      <c r="R19" s="82">
        <f ca="1">IF('Invoer gegevens (N)'!$C$17=E19,'Invoer gegevens (N)'!$C$11,IF(C19=1,W18,0))</f>
        <v>0</v>
      </c>
      <c r="S19" s="86">
        <f ca="1">IF(C19&gt;=1,R19*VLOOKUP(E19,'Reeksen (N)'!$A$5:$B$76,2),0)</f>
        <v>0</v>
      </c>
      <c r="T19" s="84">
        <f ca="1">(1-('Invoer gegevens (N)'!$F$20/12))*R19*MIN('Reeksen (N)'!B19,'Reeksen (N)'!D19)</f>
        <v>0</v>
      </c>
      <c r="U19" s="84">
        <f>IF('Reeksen (N)'!D19&gt;='Reeksen (N)'!B19,0,IF('Reeksen (N)'!AK19&lt;='Reeksen (N)'!AE19,('Reeksen (N)'!B19-'Reeksen (N)'!D19)*R19,0))</f>
        <v>0</v>
      </c>
      <c r="V19" s="86">
        <f>IF('Reeksen (N)'!D19&gt;='Reeksen (N)'!B19,0,IF('Reeksen (N)'!AK19&gt;'Reeksen (N)'!AE19,('Reeksen (N)'!B19-'Reeksen (N)'!D19)*R19,0))</f>
        <v>0</v>
      </c>
      <c r="W19" s="97">
        <f t="shared" ca="1" si="3"/>
        <v>0</v>
      </c>
      <c r="X19" s="98">
        <f ca="1">IF('Invoer gegevens (N)'!$C$17=E19,'Invoer gegevens (N)'!$C$10-'Invoer gegevens (N)'!$C$11,IF(C19=1,AC18,0))</f>
        <v>0</v>
      </c>
      <c r="Y19" s="98">
        <f ca="1">IF(C19&gt;=1,X19*VLOOKUP(E19,'Reeksen (N)'!$A$5:$B$76,2),0)</f>
        <v>0</v>
      </c>
      <c r="Z19" s="98">
        <f ca="1">(1-('Invoer gegevens (N)'!$F$20/12))*X19*MIN('Reeksen (N)'!B19,'Reeksen (N)'!D19)</f>
        <v>0</v>
      </c>
      <c r="AA19" s="98">
        <f>IF('Reeksen (N)'!D19&gt;='Reeksen (N)'!B19,0,IF('Reeksen (N)'!AK19&lt;='Reeksen (N)'!AE19,('Reeksen (N)'!B19-'Reeksen (N)'!D19)*X19,0))</f>
        <v>0</v>
      </c>
      <c r="AB19" s="98">
        <f>IF('Reeksen (N)'!D19&gt;='Reeksen (N)'!B19,0,IF('Reeksen (N)'!AK19&gt;'Reeksen (N)'!AE19,('Reeksen (N)'!B19-'Reeksen (N)'!D19)*X19,0))</f>
        <v>0</v>
      </c>
      <c r="AC19" s="99">
        <f t="shared" ca="1" si="4"/>
        <v>0</v>
      </c>
      <c r="AD19" s="98">
        <f ca="1">IF('Invoer gegevens (N)'!$C$17=E19,R19,IF(C19=0,0,AE18))</f>
        <v>0</v>
      </c>
      <c r="AE19" s="98">
        <f t="shared" ca="1" si="5"/>
        <v>0</v>
      </c>
      <c r="AF19" s="98">
        <f ca="1">IF('Invoer gegevens (N)'!$C$17=E19,X19,IF(C19=0,0,AG18))</f>
        <v>0</v>
      </c>
      <c r="AG19" s="98">
        <f t="shared" ca="1" si="6"/>
        <v>0</v>
      </c>
      <c r="AH19" s="68"/>
      <c r="AI19" s="71">
        <f ca="1">IF(C19=1,'Reeksen (N)'!AJ19*((F19-G19+F19)/2)*12+'Reeksen (N)'!AK19*((L19-M19+L19)/2)*12,0)</f>
        <v>0</v>
      </c>
      <c r="AJ19" s="71">
        <f ca="1">-AI19*'Invoer gegevens (N)'!$F$28</f>
        <v>0</v>
      </c>
      <c r="AK19" s="71">
        <f t="shared" ca="1" si="0"/>
        <v>0</v>
      </c>
      <c r="AL19" s="71">
        <f ca="1">IF(C19=1,'Reeksen (N)'!AL19*((F19-G19+F19)/2)*12+'Reeksen (N)'!AM19*((L19-M19+L19)/2)*12,0)</f>
        <v>0</v>
      </c>
      <c r="AM19" s="71">
        <f ca="1">-AL19*'Invoer gegevens (N)'!$F$31</f>
        <v>0</v>
      </c>
      <c r="AN19" s="71">
        <f t="shared" ca="1" si="7"/>
        <v>0</v>
      </c>
      <c r="AO19" s="71">
        <f ca="1">IF(C19=1,(H19+J19+N19+P19)*'Reeksen (N)'!AN19,0)</f>
        <v>0</v>
      </c>
      <c r="AP19" s="71">
        <f ca="1">-IF(C19=1,(H19+J19+N19+P19)*'Hulp - basis'!$O$550*'Reeksen (N)'!H19,0)</f>
        <v>0</v>
      </c>
      <c r="AQ19" s="71">
        <f ca="1">-IF(C19=1,(F19+K19+L19+Q19)/2*'Invoer gegevens (N)'!$I$33*'Reeksen (N)'!J19,0)*2</f>
        <v>0</v>
      </c>
      <c r="AR19" s="71">
        <f ca="1">-IF(C19=1,(I19*'Invoer gegevens (N)'!$I$34)*'Reeksen (N)'!J19,0)</f>
        <v>0</v>
      </c>
      <c r="AS19" s="71">
        <f ca="1">-IF(C19=1,(F19+K19+L19+Q19)/2*'Invoer gegevens (N)'!$I$35*'Reeksen (N)'!L19,0)</f>
        <v>0</v>
      </c>
      <c r="AT19" s="71">
        <f ca="1">-IF(C19=1,IF(E19='Invoer gegevens (N)'!$C$17,'Invoer gegevens (N)'!$C$11,AD19)*'Reeksen (N)'!S19*'Invoer gegevens (N)'!$C$18*'Reeksen (N)'!P19,0)</f>
        <v>0</v>
      </c>
      <c r="AU19" s="71">
        <f ca="1">-IF(C19=1,(F19+K19+L19+Q19)/2*'Invoer gegevens (N)'!$I$36*'Reeksen (N)'!H19,0)</f>
        <v>0</v>
      </c>
      <c r="AV19" s="71">
        <v>0</v>
      </c>
      <c r="AW19" s="71">
        <f t="shared" ca="1" si="8"/>
        <v>0</v>
      </c>
      <c r="AX19" s="71">
        <f ca="1">IF(E19&lt;'Invoer gegevens (N)'!$C$17+15,0,IF(E19&gt;'Invoer gegevens (N)'!$C$17+215,0,AW19))</f>
        <v>0</v>
      </c>
      <c r="AY19" s="71">
        <f ca="1">AX19/(1+'Invoer gegevens (N)'!$F$18)^($AZ19-('Invoer gegevens (N)'!$C$17-'Invoer gegevens (N)'!$C$16))/(1+'Invoer gegevens (N)'!$C$39)^('Invoer gegevens (N)'!$C$17-'Invoer gegevens (N)'!$C$16)</f>
        <v>0</v>
      </c>
      <c r="AZ19" s="68">
        <f ca="1">IF(E19-'Invoer gegevens (N)'!$C$17-14.5&lt;0,0,E19-'Invoer gegevens (N)'!$C$17-14.5)</f>
        <v>0</v>
      </c>
    </row>
    <row r="20" spans="1:52" x14ac:dyDescent="0.25">
      <c r="A20" s="59"/>
      <c r="B20" s="70">
        <f t="shared" si="9"/>
        <v>16</v>
      </c>
      <c r="C20" s="67">
        <f ca="1">IF(E20-'Invoer gegevens (N)'!$C$17&lt;0,0,1)</f>
        <v>1</v>
      </c>
      <c r="D20" s="68">
        <f t="shared" si="10"/>
        <v>15.5</v>
      </c>
      <c r="E20" s="108">
        <f ca="1">IF('Invoer gegevens (N)'!$C$16="","",E19+1)</f>
        <v>2034</v>
      </c>
      <c r="F20" s="84">
        <f ca="1">IF('Invoer gegevens (N)'!$C$17=E20,'Invoer gegevens (N)'!$C$10,IF(C20=1,K19,0))</f>
        <v>0</v>
      </c>
      <c r="G20" s="96">
        <f ca="1">IF(C20&gt;=1,F20*VLOOKUP(E20,'Reeksen (N)'!$A$5:$B$76,2),0)</f>
        <v>0</v>
      </c>
      <c r="H20" s="84">
        <f ca="1">(1-('Invoer gegevens (N)'!$F$20/12))*F20*MIN('Reeksen (N)'!B20,'Reeksen (N)'!D20)</f>
        <v>0</v>
      </c>
      <c r="I20" s="84">
        <f>IF('Reeksen (N)'!D20&lt;'Reeksen (N)'!B20,('Reeksen (N)'!B20-'Reeksen (N)'!D20)*F20,0)</f>
        <v>0</v>
      </c>
      <c r="J20" s="84">
        <f ca="1">('Invoer gegevens (N)'!$F$20/12)*F19*MIN('Reeksen (N)'!B19,'Reeksen (N)'!D19)</f>
        <v>0</v>
      </c>
      <c r="K20" s="97">
        <f t="shared" ca="1" si="1"/>
        <v>0</v>
      </c>
      <c r="L20" s="84">
        <f ca="1">IF('Invoer gegevens (N)'!$C$17=E20,0,IF(C20=1,Q19,0))</f>
        <v>0</v>
      </c>
      <c r="M20" s="96">
        <f ca="1">IF(C20&gt;=1,L20*VLOOKUP(E20,'Reeksen (N)'!$A$5:$B$76,2),0)</f>
        <v>0</v>
      </c>
      <c r="N20" s="84">
        <f ca="1">(1-('Invoer gegevens (N)'!$F$20/12))*L20*MIN('Reeksen (N)'!B20,'Reeksen (N)'!D20)</f>
        <v>0</v>
      </c>
      <c r="O20" s="84">
        <f>IF('Reeksen (N)'!D20&lt;'Reeksen (N)'!B20,('Reeksen (N)'!B20-'Reeksen (N)'!D20)*L20,0)</f>
        <v>0</v>
      </c>
      <c r="P20" s="84">
        <f ca="1">('Invoer gegevens (N)'!$F$20/12)*L19*MIN('Reeksen (N)'!B19,'Reeksen (N)'!D19)</f>
        <v>0</v>
      </c>
      <c r="Q20" s="84">
        <f t="shared" ca="1" si="2"/>
        <v>0</v>
      </c>
      <c r="R20" s="82">
        <f ca="1">IF('Invoer gegevens (N)'!$C$17=E20,'Invoer gegevens (N)'!$C$11,IF(C20=1,W19,0))</f>
        <v>0</v>
      </c>
      <c r="S20" s="86">
        <f ca="1">IF(C20&gt;=1,R20*VLOOKUP(E20,'Reeksen (N)'!$A$5:$B$76,2),0)</f>
        <v>0</v>
      </c>
      <c r="T20" s="84">
        <f ca="1">(1-('Invoer gegevens (N)'!$F$20/12))*R20*MIN('Reeksen (N)'!B20,'Reeksen (N)'!D20)</f>
        <v>0</v>
      </c>
      <c r="U20" s="84">
        <f>IF('Reeksen (N)'!D20&gt;='Reeksen (N)'!B20,0,IF('Reeksen (N)'!AK20&lt;='Reeksen (N)'!AE20,('Reeksen (N)'!B20-'Reeksen (N)'!D20)*R20,0))</f>
        <v>0</v>
      </c>
      <c r="V20" s="86">
        <f>IF('Reeksen (N)'!D20&gt;='Reeksen (N)'!B20,0,IF('Reeksen (N)'!AK20&gt;'Reeksen (N)'!AE20,('Reeksen (N)'!B20-'Reeksen (N)'!D20)*R20,0))</f>
        <v>0</v>
      </c>
      <c r="W20" s="97">
        <f t="shared" ca="1" si="3"/>
        <v>0</v>
      </c>
      <c r="X20" s="98">
        <f ca="1">IF('Invoer gegevens (N)'!$C$17=E20,'Invoer gegevens (N)'!$C$10-'Invoer gegevens (N)'!$C$11,IF(C20=1,AC19,0))</f>
        <v>0</v>
      </c>
      <c r="Y20" s="98">
        <f ca="1">IF(C20&gt;=1,X20*VLOOKUP(E20,'Reeksen (N)'!$A$5:$B$76,2),0)</f>
        <v>0</v>
      </c>
      <c r="Z20" s="98">
        <f ca="1">(1-('Invoer gegevens (N)'!$F$20/12))*X20*MIN('Reeksen (N)'!B20,'Reeksen (N)'!D20)</f>
        <v>0</v>
      </c>
      <c r="AA20" s="98">
        <f>IF('Reeksen (N)'!D20&gt;='Reeksen (N)'!B20,0,IF('Reeksen (N)'!AK20&lt;='Reeksen (N)'!AE20,('Reeksen (N)'!B20-'Reeksen (N)'!D20)*X20,0))</f>
        <v>0</v>
      </c>
      <c r="AB20" s="98">
        <f>IF('Reeksen (N)'!D20&gt;='Reeksen (N)'!B20,0,IF('Reeksen (N)'!AK20&gt;'Reeksen (N)'!AE20,('Reeksen (N)'!B20-'Reeksen (N)'!D20)*X20,0))</f>
        <v>0</v>
      </c>
      <c r="AC20" s="99">
        <f t="shared" ca="1" si="4"/>
        <v>0</v>
      </c>
      <c r="AD20" s="98">
        <f ca="1">IF('Invoer gegevens (N)'!$C$17=E20,R20,IF(C20=0,0,AE19))</f>
        <v>0</v>
      </c>
      <c r="AE20" s="98">
        <f t="shared" ca="1" si="5"/>
        <v>0</v>
      </c>
      <c r="AF20" s="98">
        <f ca="1">IF('Invoer gegevens (N)'!$C$17=E20,X20,IF(C20=0,0,AG19))</f>
        <v>0</v>
      </c>
      <c r="AG20" s="98">
        <f t="shared" ca="1" si="6"/>
        <v>0</v>
      </c>
      <c r="AH20" s="68"/>
      <c r="AI20" s="71">
        <f ca="1">IF(C20=1,'Reeksen (N)'!AJ20*((F20-G20+F20)/2)*12+'Reeksen (N)'!AK20*((L20-M20+L20)/2)*12,0)</f>
        <v>0</v>
      </c>
      <c r="AJ20" s="71">
        <f ca="1">-AI20*'Invoer gegevens (N)'!$F$28</f>
        <v>0</v>
      </c>
      <c r="AK20" s="71">
        <f t="shared" ca="1" si="0"/>
        <v>0</v>
      </c>
      <c r="AL20" s="71">
        <f ca="1">IF(C20=1,'Reeksen (N)'!AL20*((F20-G20+F20)/2)*12+'Reeksen (N)'!AM20*((L20-M20+L20)/2)*12,0)</f>
        <v>0</v>
      </c>
      <c r="AM20" s="71">
        <f ca="1">-AL20*'Invoer gegevens (N)'!$F$31</f>
        <v>0</v>
      </c>
      <c r="AN20" s="71">
        <f t="shared" ca="1" si="7"/>
        <v>0</v>
      </c>
      <c r="AO20" s="71">
        <f ca="1">IF(C20=1,(H20+J20+N20+P20)*'Reeksen (N)'!AN20,0)</f>
        <v>0</v>
      </c>
      <c r="AP20" s="71">
        <f ca="1">-IF(C20=1,(H20+J20+N20+P20)*'Hulp - basis'!$O$550*'Reeksen (N)'!H20,0)</f>
        <v>0</v>
      </c>
      <c r="AQ20" s="71">
        <f ca="1">-IF(C20=1,(F20+K20+L20+Q20)/2*'Invoer gegevens (N)'!$I$33*'Reeksen (N)'!J20,0)*2</f>
        <v>0</v>
      </c>
      <c r="AR20" s="71">
        <f ca="1">-IF(C20=1,(I20*'Invoer gegevens (N)'!$I$34)*'Reeksen (N)'!J20,0)</f>
        <v>0</v>
      </c>
      <c r="AS20" s="71">
        <f ca="1">-IF(C20=1,(F20+K20+L20+Q20)/2*'Invoer gegevens (N)'!$I$35*'Reeksen (N)'!L20,0)</f>
        <v>0</v>
      </c>
      <c r="AT20" s="71">
        <f ca="1">-IF(C20=1,IF(E20='Invoer gegevens (N)'!$C$17,'Invoer gegevens (N)'!$C$11,AD20)*'Reeksen (N)'!S20*'Invoer gegevens (N)'!$C$18*'Reeksen (N)'!P20,0)</f>
        <v>0</v>
      </c>
      <c r="AU20" s="71">
        <f ca="1">-IF(C20=1,(F20+K20+L20+Q20)/2*'Invoer gegevens (N)'!$I$36*'Reeksen (N)'!H20,0)</f>
        <v>0</v>
      </c>
      <c r="AV20" s="71">
        <v>0</v>
      </c>
      <c r="AW20" s="71">
        <f t="shared" ca="1" si="8"/>
        <v>0</v>
      </c>
      <c r="AX20" s="71">
        <f ca="1">IF(E20&lt;'Invoer gegevens (N)'!$C$17+15,0,IF(E20&gt;'Invoer gegevens (N)'!$C$17+215,0,AW20))</f>
        <v>0</v>
      </c>
      <c r="AY20" s="71">
        <f ca="1">AX20/(1+'Invoer gegevens (N)'!$F$18)^($AZ20-('Invoer gegevens (N)'!$C$17-'Invoer gegevens (N)'!$C$16))/(1+'Invoer gegevens (N)'!$C$39)^('Invoer gegevens (N)'!$C$17-'Invoer gegevens (N)'!$C$16)</f>
        <v>0</v>
      </c>
      <c r="AZ20" s="68">
        <f ca="1">IF(E20-'Invoer gegevens (N)'!$C$17-14.5&lt;0,0,E20-'Invoer gegevens (N)'!$C$17-14.5)</f>
        <v>0.5</v>
      </c>
    </row>
    <row r="21" spans="1:52" x14ac:dyDescent="0.25">
      <c r="A21" s="59"/>
      <c r="B21" s="70">
        <f t="shared" si="9"/>
        <v>17</v>
      </c>
      <c r="C21" s="67">
        <f ca="1">IF(E21-'Invoer gegevens (N)'!$C$17&lt;0,0,1)</f>
        <v>1</v>
      </c>
      <c r="D21" s="68">
        <f t="shared" si="10"/>
        <v>16.5</v>
      </c>
      <c r="E21" s="108">
        <f ca="1">IF('Invoer gegevens (N)'!$C$16="","",E20+1)</f>
        <v>2035</v>
      </c>
      <c r="F21" s="84">
        <f ca="1">IF('Invoer gegevens (N)'!$C$17=E21,'Invoer gegevens (N)'!$C$10,IF(C21=1,K20,0))</f>
        <v>0</v>
      </c>
      <c r="G21" s="96">
        <f ca="1">IF(C21&gt;=1,F21*VLOOKUP(E21,'Reeksen (N)'!$A$5:$B$76,2),0)</f>
        <v>0</v>
      </c>
      <c r="H21" s="84">
        <f ca="1">(1-('Invoer gegevens (N)'!$F$20/12))*F21*MIN('Reeksen (N)'!B21,'Reeksen (N)'!D21)</f>
        <v>0</v>
      </c>
      <c r="I21" s="84">
        <f>IF('Reeksen (N)'!D21&lt;'Reeksen (N)'!B21,('Reeksen (N)'!B21-'Reeksen (N)'!D21)*F21,0)</f>
        <v>0</v>
      </c>
      <c r="J21" s="84">
        <f ca="1">('Invoer gegevens (N)'!$F$20/12)*F20*MIN('Reeksen (N)'!B20,'Reeksen (N)'!D20)</f>
        <v>0</v>
      </c>
      <c r="K21" s="97">
        <f t="shared" ca="1" si="1"/>
        <v>0</v>
      </c>
      <c r="L21" s="84">
        <f ca="1">IF('Invoer gegevens (N)'!$C$17=E21,0,IF(C21=1,Q20,0))</f>
        <v>0</v>
      </c>
      <c r="M21" s="96">
        <f ca="1">IF(C21&gt;=1,L21*VLOOKUP(E21,'Reeksen (N)'!$A$5:$B$76,2),0)</f>
        <v>0</v>
      </c>
      <c r="N21" s="84">
        <f ca="1">(1-('Invoer gegevens (N)'!$F$20/12))*L21*MIN('Reeksen (N)'!B21,'Reeksen (N)'!D21)</f>
        <v>0</v>
      </c>
      <c r="O21" s="84">
        <f>IF('Reeksen (N)'!D21&lt;'Reeksen (N)'!B21,('Reeksen (N)'!B21-'Reeksen (N)'!D21)*L21,0)</f>
        <v>0</v>
      </c>
      <c r="P21" s="84">
        <f ca="1">('Invoer gegevens (N)'!$F$20/12)*L20*MIN('Reeksen (N)'!B20,'Reeksen (N)'!D20)</f>
        <v>0</v>
      </c>
      <c r="Q21" s="84">
        <f t="shared" ca="1" si="2"/>
        <v>0</v>
      </c>
      <c r="R21" s="82">
        <f ca="1">IF('Invoer gegevens (N)'!$C$17=E21,'Invoer gegevens (N)'!$C$11,IF(C21=1,W20,0))</f>
        <v>0</v>
      </c>
      <c r="S21" s="86">
        <f ca="1">IF(C21&gt;=1,R21*VLOOKUP(E21,'Reeksen (N)'!$A$5:$B$76,2),0)</f>
        <v>0</v>
      </c>
      <c r="T21" s="84">
        <f ca="1">(1-('Invoer gegevens (N)'!$F$20/12))*R21*MIN('Reeksen (N)'!B21,'Reeksen (N)'!D21)</f>
        <v>0</v>
      </c>
      <c r="U21" s="84">
        <f>IF('Reeksen (N)'!D21&gt;='Reeksen (N)'!B21,0,IF('Reeksen (N)'!AK21&lt;='Reeksen (N)'!AE21,('Reeksen (N)'!B21-'Reeksen (N)'!D21)*R21,0))</f>
        <v>0</v>
      </c>
      <c r="V21" s="86">
        <f>IF('Reeksen (N)'!D21&gt;='Reeksen (N)'!B21,0,IF('Reeksen (N)'!AK21&gt;'Reeksen (N)'!AE21,('Reeksen (N)'!B21-'Reeksen (N)'!D21)*R21,0))</f>
        <v>0</v>
      </c>
      <c r="W21" s="97">
        <f t="shared" ca="1" si="3"/>
        <v>0</v>
      </c>
      <c r="X21" s="98">
        <f ca="1">IF('Invoer gegevens (N)'!$C$17=E21,'Invoer gegevens (N)'!$C$10-'Invoer gegevens (N)'!$C$11,IF(C21=1,AC20,0))</f>
        <v>0</v>
      </c>
      <c r="Y21" s="98">
        <f ca="1">IF(C21&gt;=1,X21*VLOOKUP(E21,'Reeksen (N)'!$A$5:$B$76,2),0)</f>
        <v>0</v>
      </c>
      <c r="Z21" s="98">
        <f ca="1">(1-('Invoer gegevens (N)'!$F$20/12))*X21*MIN('Reeksen (N)'!B21,'Reeksen (N)'!D21)</f>
        <v>0</v>
      </c>
      <c r="AA21" s="98">
        <f>IF('Reeksen (N)'!D21&gt;='Reeksen (N)'!B21,0,IF('Reeksen (N)'!AK21&lt;='Reeksen (N)'!AE21,('Reeksen (N)'!B21-'Reeksen (N)'!D21)*X21,0))</f>
        <v>0</v>
      </c>
      <c r="AB21" s="98">
        <f>IF('Reeksen (N)'!D21&gt;='Reeksen (N)'!B21,0,IF('Reeksen (N)'!AK21&gt;'Reeksen (N)'!AE21,('Reeksen (N)'!B21-'Reeksen (N)'!D21)*X21,0))</f>
        <v>0</v>
      </c>
      <c r="AC21" s="99">
        <f t="shared" ca="1" si="4"/>
        <v>0</v>
      </c>
      <c r="AD21" s="98">
        <f ca="1">IF('Invoer gegevens (N)'!$C$17=E21,R21,IF(C21=0,0,AE20))</f>
        <v>0</v>
      </c>
      <c r="AE21" s="98">
        <f t="shared" ca="1" si="5"/>
        <v>0</v>
      </c>
      <c r="AF21" s="98">
        <f ca="1">IF('Invoer gegevens (N)'!$C$17=E21,X21,IF(C21=0,0,AG20))</f>
        <v>0</v>
      </c>
      <c r="AG21" s="98">
        <f t="shared" ca="1" si="6"/>
        <v>0</v>
      </c>
      <c r="AH21" s="68"/>
      <c r="AI21" s="71">
        <f ca="1">IF(C21=1,'Reeksen (N)'!AJ21*((F21-G21+F21)/2)*12+'Reeksen (N)'!AK21*((L21-M21+L21)/2)*12,0)</f>
        <v>0</v>
      </c>
      <c r="AJ21" s="71">
        <f ca="1">-AI21*'Invoer gegevens (N)'!$F$28</f>
        <v>0</v>
      </c>
      <c r="AK21" s="71">
        <f t="shared" ca="1" si="0"/>
        <v>0</v>
      </c>
      <c r="AL21" s="71">
        <f ca="1">IF(C21=1,'Reeksen (N)'!AL21*((F21-G21+F21)/2)*12+'Reeksen (N)'!AM21*((L21-M21+L21)/2)*12,0)</f>
        <v>0</v>
      </c>
      <c r="AM21" s="71">
        <f ca="1">-AL21*'Invoer gegevens (N)'!$F$31</f>
        <v>0</v>
      </c>
      <c r="AN21" s="71">
        <f t="shared" ca="1" si="7"/>
        <v>0</v>
      </c>
      <c r="AO21" s="71">
        <f ca="1">IF(C21=1,(H21+J21+N21+P21)*'Reeksen (N)'!AN21,0)</f>
        <v>0</v>
      </c>
      <c r="AP21" s="71">
        <f ca="1">-IF(C21=1,(H21+J21+N21+P21)*'Hulp - basis'!$O$550*'Reeksen (N)'!H21,0)</f>
        <v>0</v>
      </c>
      <c r="AQ21" s="71">
        <f ca="1">-IF(C21=1,(F21+K21+L21+Q21)/2*'Invoer gegevens (N)'!$I$33*'Reeksen (N)'!J21,0)*2</f>
        <v>0</v>
      </c>
      <c r="AR21" s="71">
        <f ca="1">-IF(C21=1,(I21*'Invoer gegevens (N)'!$I$34)*'Reeksen (N)'!J21,0)</f>
        <v>0</v>
      </c>
      <c r="AS21" s="71">
        <f ca="1">-IF(C21=1,(F21+K21+L21+Q21)/2*'Invoer gegevens (N)'!$I$35*'Reeksen (N)'!L21,0)</f>
        <v>0</v>
      </c>
      <c r="AT21" s="71">
        <f ca="1">-IF(C21=1,IF(E21='Invoer gegevens (N)'!$C$17,'Invoer gegevens (N)'!$C$11,AD21)*'Reeksen (N)'!S21*'Invoer gegevens (N)'!$C$18*'Reeksen (N)'!P21,0)</f>
        <v>0</v>
      </c>
      <c r="AU21" s="71">
        <f ca="1">-IF(C21=1,(F21+K21+L21+Q21)/2*'Invoer gegevens (N)'!$I$36*'Reeksen (N)'!H21,0)</f>
        <v>0</v>
      </c>
      <c r="AV21" s="71">
        <v>0</v>
      </c>
      <c r="AW21" s="71">
        <f t="shared" ca="1" si="8"/>
        <v>0</v>
      </c>
      <c r="AX21" s="71">
        <f ca="1">IF(E21&lt;'Invoer gegevens (N)'!$C$17+15,0,IF(E21&gt;'Invoer gegevens (N)'!$C$17+215,0,AW21))</f>
        <v>0</v>
      </c>
      <c r="AY21" s="71">
        <f ca="1">AX21/(1+'Invoer gegevens (N)'!$F$18)^($AZ21-('Invoer gegevens (N)'!$C$17-'Invoer gegevens (N)'!$C$16))/(1+'Invoer gegevens (N)'!$C$39)^('Invoer gegevens (N)'!$C$17-'Invoer gegevens (N)'!$C$16)</f>
        <v>0</v>
      </c>
      <c r="AZ21" s="68">
        <f ca="1">IF(E21-'Invoer gegevens (N)'!$C$17-14.5&lt;0,0,E21-'Invoer gegevens (N)'!$C$17-14.5)</f>
        <v>1.5</v>
      </c>
    </row>
    <row r="22" spans="1:52" x14ac:dyDescent="0.25">
      <c r="A22" s="59"/>
      <c r="B22" s="70">
        <f t="shared" si="9"/>
        <v>18</v>
      </c>
      <c r="C22" s="67">
        <f ca="1">IF(E22-'Invoer gegevens (N)'!$C$17&lt;0,0,1)</f>
        <v>1</v>
      </c>
      <c r="D22" s="68">
        <f t="shared" si="10"/>
        <v>17.5</v>
      </c>
      <c r="E22" s="108">
        <f ca="1">IF('Invoer gegevens (N)'!$C$16="","",E21+1)</f>
        <v>2036</v>
      </c>
      <c r="F22" s="84">
        <f ca="1">IF('Invoer gegevens (N)'!$C$17=E22,'Invoer gegevens (N)'!$C$10,IF(C22=1,K21,0))</f>
        <v>0</v>
      </c>
      <c r="G22" s="96">
        <f ca="1">IF(C22&gt;=1,F22*VLOOKUP(E22,'Reeksen (N)'!$A$5:$B$76,2),0)</f>
        <v>0</v>
      </c>
      <c r="H22" s="84">
        <f ca="1">(1-('Invoer gegevens (N)'!$F$20/12))*F22*MIN('Reeksen (N)'!B22,'Reeksen (N)'!D22)</f>
        <v>0</v>
      </c>
      <c r="I22" s="84">
        <f>IF('Reeksen (N)'!D22&lt;'Reeksen (N)'!B22,('Reeksen (N)'!B22-'Reeksen (N)'!D22)*F22,0)</f>
        <v>0</v>
      </c>
      <c r="J22" s="84">
        <f ca="1">('Invoer gegevens (N)'!$F$20/12)*F21*MIN('Reeksen (N)'!B21,'Reeksen (N)'!D21)</f>
        <v>0</v>
      </c>
      <c r="K22" s="97">
        <f t="shared" ca="1" si="1"/>
        <v>0</v>
      </c>
      <c r="L22" s="84">
        <f ca="1">IF('Invoer gegevens (N)'!$C$17=E22,0,IF(C22=1,Q21,0))</f>
        <v>0</v>
      </c>
      <c r="M22" s="96">
        <f ca="1">IF(C22&gt;=1,L22*VLOOKUP(E22,'Reeksen (N)'!$A$5:$B$76,2),0)</f>
        <v>0</v>
      </c>
      <c r="N22" s="84">
        <f ca="1">(1-('Invoer gegevens (N)'!$F$20/12))*L22*MIN('Reeksen (N)'!B22,'Reeksen (N)'!D22)</f>
        <v>0</v>
      </c>
      <c r="O22" s="84">
        <f>IF('Reeksen (N)'!D22&lt;'Reeksen (N)'!B22,('Reeksen (N)'!B22-'Reeksen (N)'!D22)*L22,0)</f>
        <v>0</v>
      </c>
      <c r="P22" s="84">
        <f ca="1">('Invoer gegevens (N)'!$F$20/12)*L21*MIN('Reeksen (N)'!B21,'Reeksen (N)'!D21)</f>
        <v>0</v>
      </c>
      <c r="Q22" s="84">
        <f t="shared" ca="1" si="2"/>
        <v>0</v>
      </c>
      <c r="R22" s="82">
        <f ca="1">IF('Invoer gegevens (N)'!$C$17=E22,'Invoer gegevens (N)'!$C$11,IF(C22=1,W21,0))</f>
        <v>0</v>
      </c>
      <c r="S22" s="86">
        <f ca="1">IF(C22&gt;=1,R22*VLOOKUP(E22,'Reeksen (N)'!$A$5:$B$76,2),0)</f>
        <v>0</v>
      </c>
      <c r="T22" s="84">
        <f ca="1">(1-('Invoer gegevens (N)'!$F$20/12))*R22*MIN('Reeksen (N)'!B22,'Reeksen (N)'!D22)</f>
        <v>0</v>
      </c>
      <c r="U22" s="84">
        <f>IF('Reeksen (N)'!D22&gt;='Reeksen (N)'!B22,0,IF('Reeksen (N)'!AK22&lt;='Reeksen (N)'!AE22,('Reeksen (N)'!B22-'Reeksen (N)'!D22)*R22,0))</f>
        <v>0</v>
      </c>
      <c r="V22" s="86">
        <f>IF('Reeksen (N)'!D22&gt;='Reeksen (N)'!B22,0,IF('Reeksen (N)'!AK22&gt;'Reeksen (N)'!AE22,('Reeksen (N)'!B22-'Reeksen (N)'!D22)*R22,0))</f>
        <v>0</v>
      </c>
      <c r="W22" s="97">
        <f t="shared" ca="1" si="3"/>
        <v>0</v>
      </c>
      <c r="X22" s="98">
        <f ca="1">IF('Invoer gegevens (N)'!$C$17=E22,'Invoer gegevens (N)'!$C$10-'Invoer gegevens (N)'!$C$11,IF(C22=1,AC21,0))</f>
        <v>0</v>
      </c>
      <c r="Y22" s="98">
        <f ca="1">IF(C22&gt;=1,X22*VLOOKUP(E22,'Reeksen (N)'!$A$5:$B$76,2),0)</f>
        <v>0</v>
      </c>
      <c r="Z22" s="98">
        <f ca="1">(1-('Invoer gegevens (N)'!$F$20/12))*X22*MIN('Reeksen (N)'!B22,'Reeksen (N)'!D22)</f>
        <v>0</v>
      </c>
      <c r="AA22" s="98">
        <f>IF('Reeksen (N)'!D22&gt;='Reeksen (N)'!B22,0,IF('Reeksen (N)'!AK22&lt;='Reeksen (N)'!AE22,('Reeksen (N)'!B22-'Reeksen (N)'!D22)*X22,0))</f>
        <v>0</v>
      </c>
      <c r="AB22" s="98">
        <f>IF('Reeksen (N)'!D22&gt;='Reeksen (N)'!B22,0,IF('Reeksen (N)'!AK22&gt;'Reeksen (N)'!AE22,('Reeksen (N)'!B22-'Reeksen (N)'!D22)*X22,0))</f>
        <v>0</v>
      </c>
      <c r="AC22" s="99">
        <f t="shared" ca="1" si="4"/>
        <v>0</v>
      </c>
      <c r="AD22" s="98">
        <f ca="1">IF('Invoer gegevens (N)'!$C$17=E22,R22,IF(C22=0,0,AE21))</f>
        <v>0</v>
      </c>
      <c r="AE22" s="98">
        <f t="shared" ca="1" si="5"/>
        <v>0</v>
      </c>
      <c r="AF22" s="98">
        <f ca="1">IF('Invoer gegevens (N)'!$C$17=E22,X22,IF(C22=0,0,AG21))</f>
        <v>0</v>
      </c>
      <c r="AG22" s="98">
        <f t="shared" ca="1" si="6"/>
        <v>0</v>
      </c>
      <c r="AH22" s="68"/>
      <c r="AI22" s="71">
        <f ca="1">IF(C22=1,'Reeksen (N)'!AJ22*((F22-G22+F22)/2)*12+'Reeksen (N)'!AK22*((L22-M22+L22)/2)*12,0)</f>
        <v>0</v>
      </c>
      <c r="AJ22" s="71">
        <f ca="1">-AI22*'Invoer gegevens (N)'!$F$28</f>
        <v>0</v>
      </c>
      <c r="AK22" s="71">
        <f t="shared" ca="1" si="0"/>
        <v>0</v>
      </c>
      <c r="AL22" s="71">
        <f ca="1">IF(C22=1,'Reeksen (N)'!AL22*((F22-G22+F22)/2)*12+'Reeksen (N)'!AM22*((L22-M22+L22)/2)*12,0)</f>
        <v>0</v>
      </c>
      <c r="AM22" s="71">
        <f ca="1">-AL22*'Invoer gegevens (N)'!$F$31</f>
        <v>0</v>
      </c>
      <c r="AN22" s="71">
        <f t="shared" ca="1" si="7"/>
        <v>0</v>
      </c>
      <c r="AO22" s="71">
        <f ca="1">IF(C22=1,(H22+J22+N22+P22)*'Reeksen (N)'!AN22,0)</f>
        <v>0</v>
      </c>
      <c r="AP22" s="71">
        <f ca="1">-IF(C22=1,(H22+J22+N22+P22)*'Hulp - basis'!$O$550*'Reeksen (N)'!H22,0)</f>
        <v>0</v>
      </c>
      <c r="AQ22" s="71">
        <f ca="1">-IF(C22=1,(F22+K22+L22+Q22)/2*'Invoer gegevens (N)'!$I$33*'Reeksen (N)'!J22,0)*2</f>
        <v>0</v>
      </c>
      <c r="AR22" s="71">
        <f ca="1">-IF(C22=1,(I22*'Invoer gegevens (N)'!$I$34)*'Reeksen (N)'!J22,0)</f>
        <v>0</v>
      </c>
      <c r="AS22" s="71">
        <f ca="1">-IF(C22=1,(F22+K22+L22+Q22)/2*'Invoer gegevens (N)'!$I$35*'Reeksen (N)'!L22,0)</f>
        <v>0</v>
      </c>
      <c r="AT22" s="71">
        <f ca="1">-IF(C22=1,IF(E22='Invoer gegevens (N)'!$C$17,'Invoer gegevens (N)'!$C$11,AD22)*'Reeksen (N)'!S22*'Invoer gegevens (N)'!$C$18*'Reeksen (N)'!P22,0)</f>
        <v>0</v>
      </c>
      <c r="AU22" s="71">
        <f ca="1">-IF(C22=1,(F22+K22+L22+Q22)/2*'Invoer gegevens (N)'!$I$36*'Reeksen (N)'!H22,0)</f>
        <v>0</v>
      </c>
      <c r="AV22" s="71">
        <v>0</v>
      </c>
      <c r="AW22" s="71">
        <f t="shared" ca="1" si="8"/>
        <v>0</v>
      </c>
      <c r="AX22" s="71">
        <f ca="1">IF(E22&lt;'Invoer gegevens (N)'!$C$17+15,0,IF(E22&gt;'Invoer gegevens (N)'!$C$17+215,0,AW22))</f>
        <v>0</v>
      </c>
      <c r="AY22" s="71">
        <f ca="1">AX22/(1+'Invoer gegevens (N)'!$F$18)^($AZ22-('Invoer gegevens (N)'!$C$17-'Invoer gegevens (N)'!$C$16))/(1+'Invoer gegevens (N)'!$C$39)^('Invoer gegevens (N)'!$C$17-'Invoer gegevens (N)'!$C$16)</f>
        <v>0</v>
      </c>
      <c r="AZ22" s="68">
        <f ca="1">IF(E22-'Invoer gegevens (N)'!$C$17-14.5&lt;0,0,E22-'Invoer gegevens (N)'!$C$17-14.5)</f>
        <v>2.5</v>
      </c>
    </row>
    <row r="23" spans="1:52" x14ac:dyDescent="0.25">
      <c r="A23" s="59"/>
      <c r="B23" s="70">
        <f t="shared" si="9"/>
        <v>19</v>
      </c>
      <c r="C23" s="67">
        <f ca="1">IF(E23-'Invoer gegevens (N)'!$C$17&lt;0,0,1)</f>
        <v>1</v>
      </c>
      <c r="D23" s="68">
        <f t="shared" si="10"/>
        <v>18.5</v>
      </c>
      <c r="E23" s="108">
        <f ca="1">IF('Invoer gegevens (N)'!$C$16="","",E22+1)</f>
        <v>2037</v>
      </c>
      <c r="F23" s="84">
        <f ca="1">IF('Invoer gegevens (N)'!$C$17=E23,'Invoer gegevens (N)'!$C$10,IF(C23=1,K22,0))</f>
        <v>0</v>
      </c>
      <c r="G23" s="96">
        <f ca="1">IF(C23&gt;=1,F23*VLOOKUP(E23,'Reeksen (N)'!$A$5:$B$76,2),0)</f>
        <v>0</v>
      </c>
      <c r="H23" s="84">
        <f ca="1">(1-('Invoer gegevens (N)'!$F$20/12))*F23*MIN('Reeksen (N)'!B23,'Reeksen (N)'!D23)</f>
        <v>0</v>
      </c>
      <c r="I23" s="84">
        <f>IF('Reeksen (N)'!D23&lt;'Reeksen (N)'!B23,('Reeksen (N)'!B23-'Reeksen (N)'!D23)*F23,0)</f>
        <v>0</v>
      </c>
      <c r="J23" s="84">
        <f ca="1">('Invoer gegevens (N)'!$F$20/12)*F22*MIN('Reeksen (N)'!B22,'Reeksen (N)'!D22)</f>
        <v>0</v>
      </c>
      <c r="K23" s="97">
        <f t="shared" ca="1" si="1"/>
        <v>0</v>
      </c>
      <c r="L23" s="84">
        <f ca="1">IF('Invoer gegevens (N)'!$C$17=E23,0,IF(C23=1,Q22,0))</f>
        <v>0</v>
      </c>
      <c r="M23" s="96">
        <f ca="1">IF(C23&gt;=1,L23*VLOOKUP(E23,'Reeksen (N)'!$A$5:$B$76,2),0)</f>
        <v>0</v>
      </c>
      <c r="N23" s="84">
        <f ca="1">(1-('Invoer gegevens (N)'!$F$20/12))*L23*MIN('Reeksen (N)'!B23,'Reeksen (N)'!D23)</f>
        <v>0</v>
      </c>
      <c r="O23" s="84">
        <f>IF('Reeksen (N)'!D23&lt;'Reeksen (N)'!B23,('Reeksen (N)'!B23-'Reeksen (N)'!D23)*L23,0)</f>
        <v>0</v>
      </c>
      <c r="P23" s="84">
        <f ca="1">('Invoer gegevens (N)'!$F$20/12)*L22*MIN('Reeksen (N)'!B22,'Reeksen (N)'!D22)</f>
        <v>0</v>
      </c>
      <c r="Q23" s="84">
        <f t="shared" ca="1" si="2"/>
        <v>0</v>
      </c>
      <c r="R23" s="82">
        <f ca="1">IF('Invoer gegevens (N)'!$C$17=E23,'Invoer gegevens (N)'!$C$11,IF(C23=1,W22,0))</f>
        <v>0</v>
      </c>
      <c r="S23" s="86">
        <f ca="1">IF(C23&gt;=1,R23*VLOOKUP(E23,'Reeksen (N)'!$A$5:$B$76,2),0)</f>
        <v>0</v>
      </c>
      <c r="T23" s="84">
        <f ca="1">(1-('Invoer gegevens (N)'!$F$20/12))*R23*MIN('Reeksen (N)'!B23,'Reeksen (N)'!D23)</f>
        <v>0</v>
      </c>
      <c r="U23" s="84">
        <f>IF('Reeksen (N)'!D23&gt;='Reeksen (N)'!B23,0,IF('Reeksen (N)'!AK23&lt;='Reeksen (N)'!AE23,('Reeksen (N)'!B23-'Reeksen (N)'!D23)*R23,0))</f>
        <v>0</v>
      </c>
      <c r="V23" s="86">
        <f>IF('Reeksen (N)'!D23&gt;='Reeksen (N)'!B23,0,IF('Reeksen (N)'!AK23&gt;'Reeksen (N)'!AE23,('Reeksen (N)'!B23-'Reeksen (N)'!D23)*R23,0))</f>
        <v>0</v>
      </c>
      <c r="W23" s="97">
        <f t="shared" ca="1" si="3"/>
        <v>0</v>
      </c>
      <c r="X23" s="98">
        <f ca="1">IF('Invoer gegevens (N)'!$C$17=E23,'Invoer gegevens (N)'!$C$10-'Invoer gegevens (N)'!$C$11,IF(C23=1,AC22,0))</f>
        <v>0</v>
      </c>
      <c r="Y23" s="98">
        <f ca="1">IF(C23&gt;=1,X23*VLOOKUP(E23,'Reeksen (N)'!$A$5:$B$76,2),0)</f>
        <v>0</v>
      </c>
      <c r="Z23" s="98">
        <f ca="1">(1-('Invoer gegevens (N)'!$F$20/12))*X23*MIN('Reeksen (N)'!B23,'Reeksen (N)'!D23)</f>
        <v>0</v>
      </c>
      <c r="AA23" s="98">
        <f>IF('Reeksen (N)'!D23&gt;='Reeksen (N)'!B23,0,IF('Reeksen (N)'!AK23&lt;='Reeksen (N)'!AE23,('Reeksen (N)'!B23-'Reeksen (N)'!D23)*X23,0))</f>
        <v>0</v>
      </c>
      <c r="AB23" s="98">
        <f>IF('Reeksen (N)'!D23&gt;='Reeksen (N)'!B23,0,IF('Reeksen (N)'!AK23&gt;'Reeksen (N)'!AE23,('Reeksen (N)'!B23-'Reeksen (N)'!D23)*X23,0))</f>
        <v>0</v>
      </c>
      <c r="AC23" s="99">
        <f t="shared" ca="1" si="4"/>
        <v>0</v>
      </c>
      <c r="AD23" s="98">
        <f ca="1">IF('Invoer gegevens (N)'!$C$17=E23,R23,IF(C23=0,0,AE22))</f>
        <v>0</v>
      </c>
      <c r="AE23" s="98">
        <f t="shared" ca="1" si="5"/>
        <v>0</v>
      </c>
      <c r="AF23" s="98">
        <f ca="1">IF('Invoer gegevens (N)'!$C$17=E23,X23,IF(C23=0,0,AG22))</f>
        <v>0</v>
      </c>
      <c r="AG23" s="98">
        <f t="shared" ca="1" si="6"/>
        <v>0</v>
      </c>
      <c r="AH23" s="68"/>
      <c r="AI23" s="71">
        <f ca="1">IF(C23=1,'Reeksen (N)'!AJ23*((F23-G23+F23)/2)*12+'Reeksen (N)'!AK23*((L23-M23+L23)/2)*12,0)</f>
        <v>0</v>
      </c>
      <c r="AJ23" s="71">
        <f ca="1">-AI23*'Invoer gegevens (N)'!$F$28</f>
        <v>0</v>
      </c>
      <c r="AK23" s="71">
        <f t="shared" ca="1" si="0"/>
        <v>0</v>
      </c>
      <c r="AL23" s="71">
        <f ca="1">IF(C23=1,'Reeksen (N)'!AL23*((F23-G23+F23)/2)*12+'Reeksen (N)'!AM23*((L23-M23+L23)/2)*12,0)</f>
        <v>0</v>
      </c>
      <c r="AM23" s="71">
        <f ca="1">-AL23*'Invoer gegevens (N)'!$F$31</f>
        <v>0</v>
      </c>
      <c r="AN23" s="71">
        <f t="shared" ca="1" si="7"/>
        <v>0</v>
      </c>
      <c r="AO23" s="71">
        <f ca="1">IF(C23=1,(H23+J23+N23+P23)*'Reeksen (N)'!AN23,0)</f>
        <v>0</v>
      </c>
      <c r="AP23" s="71">
        <f ca="1">-IF(C23=1,(H23+J23+N23+P23)*'Hulp - basis'!$O$550*'Reeksen (N)'!H23,0)</f>
        <v>0</v>
      </c>
      <c r="AQ23" s="71">
        <f ca="1">-IF(C23=1,(F23+K23+L23+Q23)/2*'Invoer gegevens (N)'!$I$33*'Reeksen (N)'!J23,0)*2</f>
        <v>0</v>
      </c>
      <c r="AR23" s="71">
        <f ca="1">-IF(C23=1,(I23*'Invoer gegevens (N)'!$I$34)*'Reeksen (N)'!J23,0)</f>
        <v>0</v>
      </c>
      <c r="AS23" s="71">
        <f ca="1">-IF(C23=1,(F23+K23+L23+Q23)/2*'Invoer gegevens (N)'!$I$35*'Reeksen (N)'!L23,0)</f>
        <v>0</v>
      </c>
      <c r="AT23" s="71">
        <f ca="1">-IF(C23=1,IF(E23='Invoer gegevens (N)'!$C$17,'Invoer gegevens (N)'!$C$11,AD23)*'Reeksen (N)'!S23*'Invoer gegevens (N)'!$C$18*'Reeksen (N)'!P23,0)</f>
        <v>0</v>
      </c>
      <c r="AU23" s="71">
        <f ca="1">-IF(C23=1,(F23+K23+L23+Q23)/2*'Invoer gegevens (N)'!$I$36*'Reeksen (N)'!H23,0)</f>
        <v>0</v>
      </c>
      <c r="AV23" s="71">
        <v>0</v>
      </c>
      <c r="AW23" s="71">
        <f t="shared" ca="1" si="8"/>
        <v>0</v>
      </c>
      <c r="AX23" s="71">
        <f ca="1">IF(E23&lt;'Invoer gegevens (N)'!$C$17+15,0,IF(E23&gt;'Invoer gegevens (N)'!$C$17+215,0,AW23))</f>
        <v>0</v>
      </c>
      <c r="AY23" s="71">
        <f ca="1">AX23/(1+'Invoer gegevens (N)'!$F$18)^($AZ23-('Invoer gegevens (N)'!$C$17-'Invoer gegevens (N)'!$C$16))/(1+'Invoer gegevens (N)'!$C$39)^('Invoer gegevens (N)'!$C$17-'Invoer gegevens (N)'!$C$16)</f>
        <v>0</v>
      </c>
      <c r="AZ23" s="68">
        <f ca="1">IF(E23-'Invoer gegevens (N)'!$C$17-14.5&lt;0,0,E23-'Invoer gegevens (N)'!$C$17-14.5)</f>
        <v>3.5</v>
      </c>
    </row>
    <row r="24" spans="1:52" x14ac:dyDescent="0.25">
      <c r="A24" s="59"/>
      <c r="B24" s="70">
        <f t="shared" si="9"/>
        <v>20</v>
      </c>
      <c r="C24" s="67">
        <f ca="1">IF(E24-'Invoer gegevens (N)'!$C$17&lt;0,0,1)</f>
        <v>1</v>
      </c>
      <c r="D24" s="68">
        <f t="shared" si="10"/>
        <v>19.5</v>
      </c>
      <c r="E24" s="108">
        <f ca="1">IF('Invoer gegevens (N)'!$C$16="","",E23+1)</f>
        <v>2038</v>
      </c>
      <c r="F24" s="84">
        <f ca="1">IF('Invoer gegevens (N)'!$C$17=E24,'Invoer gegevens (N)'!$C$10,IF(C24=1,K23,0))</f>
        <v>0</v>
      </c>
      <c r="G24" s="96">
        <f ca="1">IF(C24&gt;=1,F24*VLOOKUP(E24,'Reeksen (N)'!$A$5:$B$76,2),0)</f>
        <v>0</v>
      </c>
      <c r="H24" s="84">
        <f ca="1">(1-('Invoer gegevens (N)'!$F$20/12))*F24*MIN('Reeksen (N)'!B24,'Reeksen (N)'!D24)</f>
        <v>0</v>
      </c>
      <c r="I24" s="84">
        <f>IF('Reeksen (N)'!D24&lt;'Reeksen (N)'!B24,('Reeksen (N)'!B24-'Reeksen (N)'!D24)*F24,0)</f>
        <v>0</v>
      </c>
      <c r="J24" s="84">
        <f ca="1">('Invoer gegevens (N)'!$F$20/12)*F23*MIN('Reeksen (N)'!B23,'Reeksen (N)'!D23)</f>
        <v>0</v>
      </c>
      <c r="K24" s="97">
        <f t="shared" ca="1" si="1"/>
        <v>0</v>
      </c>
      <c r="L24" s="84">
        <f ca="1">IF('Invoer gegevens (N)'!$C$17=E24,0,IF(C24=1,Q23,0))</f>
        <v>0</v>
      </c>
      <c r="M24" s="96">
        <f ca="1">IF(C24&gt;=1,L24*VLOOKUP(E24,'Reeksen (N)'!$A$5:$B$76,2),0)</f>
        <v>0</v>
      </c>
      <c r="N24" s="84">
        <f ca="1">(1-('Invoer gegevens (N)'!$F$20/12))*L24*MIN('Reeksen (N)'!B24,'Reeksen (N)'!D24)</f>
        <v>0</v>
      </c>
      <c r="O24" s="84">
        <f>IF('Reeksen (N)'!D24&lt;'Reeksen (N)'!B24,('Reeksen (N)'!B24-'Reeksen (N)'!D24)*L24,0)</f>
        <v>0</v>
      </c>
      <c r="P24" s="84">
        <f ca="1">('Invoer gegevens (N)'!$F$20/12)*L23*MIN('Reeksen (N)'!B23,'Reeksen (N)'!D23)</f>
        <v>0</v>
      </c>
      <c r="Q24" s="84">
        <f t="shared" ca="1" si="2"/>
        <v>0</v>
      </c>
      <c r="R24" s="82">
        <f ca="1">IF('Invoer gegevens (N)'!$C$17=E24,'Invoer gegevens (N)'!$C$11,IF(C24=1,W23,0))</f>
        <v>0</v>
      </c>
      <c r="S24" s="86">
        <f ca="1">IF(C24&gt;=1,R24*VLOOKUP(E24,'Reeksen (N)'!$A$5:$B$76,2),0)</f>
        <v>0</v>
      </c>
      <c r="T24" s="84">
        <f ca="1">(1-('Invoer gegevens (N)'!$F$20/12))*R24*MIN('Reeksen (N)'!B24,'Reeksen (N)'!D24)</f>
        <v>0</v>
      </c>
      <c r="U24" s="84">
        <f>IF('Reeksen (N)'!D24&gt;='Reeksen (N)'!B24,0,IF('Reeksen (N)'!AK24&lt;='Reeksen (N)'!AE24,('Reeksen (N)'!B24-'Reeksen (N)'!D24)*R24,0))</f>
        <v>0</v>
      </c>
      <c r="V24" s="86">
        <f>IF('Reeksen (N)'!D24&gt;='Reeksen (N)'!B24,0,IF('Reeksen (N)'!AK24&gt;'Reeksen (N)'!AE24,('Reeksen (N)'!B24-'Reeksen (N)'!D24)*R24,0))</f>
        <v>0</v>
      </c>
      <c r="W24" s="97">
        <f t="shared" ca="1" si="3"/>
        <v>0</v>
      </c>
      <c r="X24" s="98">
        <f ca="1">IF('Invoer gegevens (N)'!$C$17=E24,'Invoer gegevens (N)'!$C$10-'Invoer gegevens (N)'!$C$11,IF(C24=1,AC23,0))</f>
        <v>0</v>
      </c>
      <c r="Y24" s="98">
        <f ca="1">IF(C24&gt;=1,X24*VLOOKUP(E24,'Reeksen (N)'!$A$5:$B$76,2),0)</f>
        <v>0</v>
      </c>
      <c r="Z24" s="98">
        <f ca="1">(1-('Invoer gegevens (N)'!$F$20/12))*X24*MIN('Reeksen (N)'!B24,'Reeksen (N)'!D24)</f>
        <v>0</v>
      </c>
      <c r="AA24" s="98">
        <f>IF('Reeksen (N)'!D24&gt;='Reeksen (N)'!B24,0,IF('Reeksen (N)'!AK24&lt;='Reeksen (N)'!AE24,('Reeksen (N)'!B24-'Reeksen (N)'!D24)*X24,0))</f>
        <v>0</v>
      </c>
      <c r="AB24" s="98">
        <f>IF('Reeksen (N)'!D24&gt;='Reeksen (N)'!B24,0,IF('Reeksen (N)'!AK24&gt;'Reeksen (N)'!AE24,('Reeksen (N)'!B24-'Reeksen (N)'!D24)*X24,0))</f>
        <v>0</v>
      </c>
      <c r="AC24" s="99">
        <f t="shared" ca="1" si="4"/>
        <v>0</v>
      </c>
      <c r="AD24" s="98">
        <f ca="1">IF('Invoer gegevens (N)'!$C$17=E24,R24,IF(C24=0,0,AE23))</f>
        <v>0</v>
      </c>
      <c r="AE24" s="98">
        <f t="shared" ca="1" si="5"/>
        <v>0</v>
      </c>
      <c r="AF24" s="98">
        <f ca="1">IF('Invoer gegevens (N)'!$C$17=E24,X24,IF(C24=0,0,AG23))</f>
        <v>0</v>
      </c>
      <c r="AG24" s="98">
        <f t="shared" ca="1" si="6"/>
        <v>0</v>
      </c>
      <c r="AH24" s="68"/>
      <c r="AI24" s="71">
        <f ca="1">IF(C24=1,'Reeksen (N)'!AJ24*((F24-G24+F24)/2)*12+'Reeksen (N)'!AK24*((L24-M24+L24)/2)*12,0)</f>
        <v>0</v>
      </c>
      <c r="AJ24" s="71">
        <f ca="1">-AI24*'Invoer gegevens (N)'!$F$28</f>
        <v>0</v>
      </c>
      <c r="AK24" s="71">
        <f t="shared" ca="1" si="0"/>
        <v>0</v>
      </c>
      <c r="AL24" s="71">
        <f ca="1">IF(C24=1,'Reeksen (N)'!AL24*((F24-G24+F24)/2)*12+'Reeksen (N)'!AM24*((L24-M24+L24)/2)*12,0)</f>
        <v>0</v>
      </c>
      <c r="AM24" s="71">
        <f ca="1">-AL24*'Invoer gegevens (N)'!$F$31</f>
        <v>0</v>
      </c>
      <c r="AN24" s="71">
        <f t="shared" ca="1" si="7"/>
        <v>0</v>
      </c>
      <c r="AO24" s="71">
        <f ca="1">IF(C24=1,(H24+J24+N24+P24)*'Reeksen (N)'!AN24,0)</f>
        <v>0</v>
      </c>
      <c r="AP24" s="71">
        <f ca="1">-IF(C24=1,(H24+J24+N24+P24)*'Hulp - basis'!$O$550*'Reeksen (N)'!H24,0)</f>
        <v>0</v>
      </c>
      <c r="AQ24" s="71">
        <f ca="1">-IF(C24=1,(F24+K24+L24+Q24)/2*'Invoer gegevens (N)'!$I$33*'Reeksen (N)'!J24,0)*2</f>
        <v>0</v>
      </c>
      <c r="AR24" s="71">
        <f ca="1">-IF(C24=1,(I24*'Invoer gegevens (N)'!$I$34)*'Reeksen (N)'!J24,0)</f>
        <v>0</v>
      </c>
      <c r="AS24" s="71">
        <f ca="1">-IF(C24=1,(F24+K24+L24+Q24)/2*'Invoer gegevens (N)'!$I$35*'Reeksen (N)'!L24,0)</f>
        <v>0</v>
      </c>
      <c r="AT24" s="71">
        <f ca="1">-IF(C24=1,IF(E24='Invoer gegevens (N)'!$C$17,'Invoer gegevens (N)'!$C$11,AD24)*'Reeksen (N)'!S24*'Invoer gegevens (N)'!$C$18*'Reeksen (N)'!P24,0)</f>
        <v>0</v>
      </c>
      <c r="AU24" s="71">
        <f ca="1">-IF(C24=1,(F24+K24+L24+Q24)/2*'Invoer gegevens (N)'!$I$36*'Reeksen (N)'!H24,0)</f>
        <v>0</v>
      </c>
      <c r="AV24" s="71">
        <v>0</v>
      </c>
      <c r="AW24" s="71">
        <f t="shared" ca="1" si="8"/>
        <v>0</v>
      </c>
      <c r="AX24" s="71">
        <f ca="1">IF(E24&lt;'Invoer gegevens (N)'!$C$17+15,0,IF(E24&gt;'Invoer gegevens (N)'!$C$17+215,0,AW24))</f>
        <v>0</v>
      </c>
      <c r="AY24" s="71">
        <f ca="1">AX24/(1+'Invoer gegevens (N)'!$F$18)^($AZ24-('Invoer gegevens (N)'!$C$17-'Invoer gegevens (N)'!$C$16))/(1+'Invoer gegevens (N)'!$C$39)^('Invoer gegevens (N)'!$C$17-'Invoer gegevens (N)'!$C$16)</f>
        <v>0</v>
      </c>
      <c r="AZ24" s="68">
        <f ca="1">IF(E24-'Invoer gegevens (N)'!$C$17-14.5&lt;0,0,E24-'Invoer gegevens (N)'!$C$17-14.5)</f>
        <v>4.5</v>
      </c>
    </row>
    <row r="25" spans="1:52" x14ac:dyDescent="0.25">
      <c r="A25" s="59"/>
      <c r="B25" s="70">
        <f t="shared" si="9"/>
        <v>21</v>
      </c>
      <c r="C25" s="67">
        <f ca="1">IF(E25-'Invoer gegevens (N)'!$C$17&lt;0,0,1)</f>
        <v>1</v>
      </c>
      <c r="D25" s="68">
        <f t="shared" si="10"/>
        <v>20.5</v>
      </c>
      <c r="E25" s="108">
        <f ca="1">IF('Invoer gegevens (N)'!$C$16="","",E24+1)</f>
        <v>2039</v>
      </c>
      <c r="F25" s="84">
        <f ca="1">IF('Invoer gegevens (N)'!$C$17=E25,'Invoer gegevens (N)'!$C$10,IF(C25=1,K24,0))</f>
        <v>0</v>
      </c>
      <c r="G25" s="96">
        <f ca="1">IF(C25&gt;=1,F25*VLOOKUP(E25,'Reeksen (N)'!$A$5:$B$76,2),0)</f>
        <v>0</v>
      </c>
      <c r="H25" s="84">
        <f ca="1">(1-('Invoer gegevens (N)'!$F$20/12))*F25*MIN('Reeksen (N)'!B25,'Reeksen (N)'!D25)</f>
        <v>0</v>
      </c>
      <c r="I25" s="84">
        <f>IF('Reeksen (N)'!D25&lt;'Reeksen (N)'!B25,('Reeksen (N)'!B25-'Reeksen (N)'!D25)*F25,0)</f>
        <v>0</v>
      </c>
      <c r="J25" s="84">
        <f ca="1">('Invoer gegevens (N)'!$F$20/12)*F24*MIN('Reeksen (N)'!B24,'Reeksen (N)'!D24)</f>
        <v>0</v>
      </c>
      <c r="K25" s="97">
        <f t="shared" ca="1" si="1"/>
        <v>0</v>
      </c>
      <c r="L25" s="84">
        <f ca="1">IF('Invoer gegevens (N)'!$C$17=E25,0,IF(C25=1,Q24,0))</f>
        <v>0</v>
      </c>
      <c r="M25" s="96">
        <f ca="1">IF(C25&gt;=1,L25*VLOOKUP(E25,'Reeksen (N)'!$A$5:$B$76,2),0)</f>
        <v>0</v>
      </c>
      <c r="N25" s="84">
        <f ca="1">(1-('Invoer gegevens (N)'!$F$20/12))*L25*MIN('Reeksen (N)'!B25,'Reeksen (N)'!D25)</f>
        <v>0</v>
      </c>
      <c r="O25" s="84">
        <f>IF('Reeksen (N)'!D25&lt;'Reeksen (N)'!B25,('Reeksen (N)'!B25-'Reeksen (N)'!D25)*L25,0)</f>
        <v>0</v>
      </c>
      <c r="P25" s="84">
        <f ca="1">('Invoer gegevens (N)'!$F$20/12)*L24*MIN('Reeksen (N)'!B24,'Reeksen (N)'!D24)</f>
        <v>0</v>
      </c>
      <c r="Q25" s="84">
        <f t="shared" ca="1" si="2"/>
        <v>0</v>
      </c>
      <c r="R25" s="82">
        <f ca="1">IF('Invoer gegevens (N)'!$C$17=E25,'Invoer gegevens (N)'!$C$11,IF(C25=1,W24,0))</f>
        <v>0</v>
      </c>
      <c r="S25" s="86">
        <f ca="1">IF(C25&gt;=1,R25*VLOOKUP(E25,'Reeksen (N)'!$A$5:$B$76,2),0)</f>
        <v>0</v>
      </c>
      <c r="T25" s="84">
        <f ca="1">(1-('Invoer gegevens (N)'!$F$20/12))*R25*MIN('Reeksen (N)'!B25,'Reeksen (N)'!D25)</f>
        <v>0</v>
      </c>
      <c r="U25" s="84">
        <f>IF('Reeksen (N)'!D25&gt;='Reeksen (N)'!B25,0,IF('Reeksen (N)'!AK25&lt;='Reeksen (N)'!AE25,('Reeksen (N)'!B25-'Reeksen (N)'!D25)*R25,0))</f>
        <v>0</v>
      </c>
      <c r="V25" s="86">
        <f>IF('Reeksen (N)'!D25&gt;='Reeksen (N)'!B25,0,IF('Reeksen (N)'!AK25&gt;'Reeksen (N)'!AE25,('Reeksen (N)'!B25-'Reeksen (N)'!D25)*R25,0))</f>
        <v>0</v>
      </c>
      <c r="W25" s="97">
        <f t="shared" ca="1" si="3"/>
        <v>0</v>
      </c>
      <c r="X25" s="98">
        <f ca="1">IF('Invoer gegevens (N)'!$C$17=E25,'Invoer gegevens (N)'!$C$10-'Invoer gegevens (N)'!$C$11,IF(C25=1,AC24,0))</f>
        <v>0</v>
      </c>
      <c r="Y25" s="98">
        <f ca="1">IF(C25&gt;=1,X25*VLOOKUP(E25,'Reeksen (N)'!$A$5:$B$76,2),0)</f>
        <v>0</v>
      </c>
      <c r="Z25" s="98">
        <f ca="1">(1-('Invoer gegevens (N)'!$F$20/12))*X25*MIN('Reeksen (N)'!B25,'Reeksen (N)'!D25)</f>
        <v>0</v>
      </c>
      <c r="AA25" s="98">
        <f>IF('Reeksen (N)'!D25&gt;='Reeksen (N)'!B25,0,IF('Reeksen (N)'!AK25&lt;='Reeksen (N)'!AE25,('Reeksen (N)'!B25-'Reeksen (N)'!D25)*X25,0))</f>
        <v>0</v>
      </c>
      <c r="AB25" s="98">
        <f>IF('Reeksen (N)'!D25&gt;='Reeksen (N)'!B25,0,IF('Reeksen (N)'!AK25&gt;'Reeksen (N)'!AE25,('Reeksen (N)'!B25-'Reeksen (N)'!D25)*X25,0))</f>
        <v>0</v>
      </c>
      <c r="AC25" s="99">
        <f t="shared" ca="1" si="4"/>
        <v>0</v>
      </c>
      <c r="AD25" s="98">
        <f ca="1">IF('Invoer gegevens (N)'!$C$17=E25,R25,IF(C25=0,0,AE24))</f>
        <v>0</v>
      </c>
      <c r="AE25" s="98">
        <f t="shared" ca="1" si="5"/>
        <v>0</v>
      </c>
      <c r="AF25" s="98">
        <f ca="1">IF('Invoer gegevens (N)'!$C$17=E25,X25,IF(C25=0,0,AG24))</f>
        <v>0</v>
      </c>
      <c r="AG25" s="98">
        <f t="shared" ca="1" si="6"/>
        <v>0</v>
      </c>
      <c r="AH25" s="68"/>
      <c r="AI25" s="71">
        <f ca="1">IF(C25=1,'Reeksen (N)'!AJ25*((F25-G25+F25)/2)*12+'Reeksen (N)'!AK25*((L25-M25+L25)/2)*12,0)</f>
        <v>0</v>
      </c>
      <c r="AJ25" s="71">
        <f ca="1">-AI25*'Invoer gegevens (N)'!$F$28</f>
        <v>0</v>
      </c>
      <c r="AK25" s="71">
        <f t="shared" ca="1" si="0"/>
        <v>0</v>
      </c>
      <c r="AL25" s="71">
        <f ca="1">IF(C25=1,'Reeksen (N)'!AL25*((F25-G25+F25)/2)*12+'Reeksen (N)'!AM25*((L25-M25+L25)/2)*12,0)</f>
        <v>0</v>
      </c>
      <c r="AM25" s="71">
        <f ca="1">-AL25*'Invoer gegevens (N)'!$F$31</f>
        <v>0</v>
      </c>
      <c r="AN25" s="71">
        <f t="shared" ca="1" si="7"/>
        <v>0</v>
      </c>
      <c r="AO25" s="71">
        <f ca="1">IF(C25=1,(H25+J25+N25+P25)*'Reeksen (N)'!AN25,0)</f>
        <v>0</v>
      </c>
      <c r="AP25" s="71">
        <f ca="1">-IF(C25=1,(H25+J25+N25+P25)*'Hulp - basis'!$O$550*'Reeksen (N)'!H25,0)</f>
        <v>0</v>
      </c>
      <c r="AQ25" s="71">
        <f ca="1">-IF(C25=1,(F25+K25+L25+Q25)/2*'Invoer gegevens (N)'!$I$33*'Reeksen (N)'!J25,0)*2</f>
        <v>0</v>
      </c>
      <c r="AR25" s="71">
        <f ca="1">-IF(C25=1,(I25*'Invoer gegevens (N)'!$I$34)*'Reeksen (N)'!J25,0)</f>
        <v>0</v>
      </c>
      <c r="AS25" s="71">
        <f ca="1">-IF(C25=1,(F25+K25+L25+Q25)/2*'Invoer gegevens (N)'!$I$35*'Reeksen (N)'!L25,0)</f>
        <v>0</v>
      </c>
      <c r="AT25" s="71">
        <f ca="1">-IF(C25=1,IF(E25='Invoer gegevens (N)'!$C$17,'Invoer gegevens (N)'!$C$11,AD25)*'Reeksen (N)'!S25*'Invoer gegevens (N)'!$C$18*'Reeksen (N)'!P25,0)</f>
        <v>0</v>
      </c>
      <c r="AU25" s="71">
        <f ca="1">-IF(C25=1,(F25+K25+L25+Q25)/2*'Invoer gegevens (N)'!$I$36*'Reeksen (N)'!H25,0)</f>
        <v>0</v>
      </c>
      <c r="AV25" s="71">
        <v>0</v>
      </c>
      <c r="AW25" s="71">
        <f t="shared" ca="1" si="8"/>
        <v>0</v>
      </c>
      <c r="AX25" s="71">
        <f ca="1">IF(E25&lt;'Invoer gegevens (N)'!$C$17+15,0,IF(E25&gt;'Invoer gegevens (N)'!$C$17+215,0,AW25))</f>
        <v>0</v>
      </c>
      <c r="AY25" s="71">
        <f ca="1">AX25/(1+'Invoer gegevens (N)'!$F$18)^($AZ25-('Invoer gegevens (N)'!$C$17-'Invoer gegevens (N)'!$C$16))/(1+'Invoer gegevens (N)'!$C$39)^('Invoer gegevens (N)'!$C$17-'Invoer gegevens (N)'!$C$16)</f>
        <v>0</v>
      </c>
      <c r="AZ25" s="68">
        <f ca="1">IF(E25-'Invoer gegevens (N)'!$C$17-14.5&lt;0,0,E25-'Invoer gegevens (N)'!$C$17-14.5)</f>
        <v>5.5</v>
      </c>
    </row>
    <row r="26" spans="1:52" x14ac:dyDescent="0.25">
      <c r="A26" s="59"/>
      <c r="B26" s="70">
        <f>B25+1</f>
        <v>22</v>
      </c>
      <c r="C26" s="67">
        <f ca="1">IF(E26-'Invoer gegevens (N)'!$C$17&lt;0,0,1)</f>
        <v>1</v>
      </c>
      <c r="D26" s="68">
        <f t="shared" si="10"/>
        <v>21.5</v>
      </c>
      <c r="E26" s="108">
        <f ca="1">IF('Invoer gegevens (N)'!$C$16="","",E25+1)</f>
        <v>2040</v>
      </c>
      <c r="F26" s="84">
        <f ca="1">IF('Invoer gegevens (N)'!$C$17=E26,'Invoer gegevens (N)'!$C$10,IF(C26=1,K25,0))</f>
        <v>0</v>
      </c>
      <c r="G26" s="96">
        <f ca="1">IF(C26&gt;=1,F26*VLOOKUP(E26,'Reeksen (N)'!$A$5:$B$76,2),0)</f>
        <v>0</v>
      </c>
      <c r="H26" s="84">
        <f ca="1">(1-('Invoer gegevens (N)'!$F$20/12))*F26*MIN('Reeksen (N)'!B26,'Reeksen (N)'!D26)</f>
        <v>0</v>
      </c>
      <c r="I26" s="84">
        <f>IF('Reeksen (N)'!D26&lt;'Reeksen (N)'!B26,('Reeksen (N)'!B26-'Reeksen (N)'!D26)*F26,0)</f>
        <v>0</v>
      </c>
      <c r="J26" s="84">
        <f ca="1">('Invoer gegevens (N)'!$F$20/12)*F25*MIN('Reeksen (N)'!B25,'Reeksen (N)'!D25)</f>
        <v>0</v>
      </c>
      <c r="K26" s="97">
        <f t="shared" ca="1" si="1"/>
        <v>0</v>
      </c>
      <c r="L26" s="84">
        <f ca="1">IF('Invoer gegevens (N)'!$C$17=E26,0,IF(C26=1,Q25,0))</f>
        <v>0</v>
      </c>
      <c r="M26" s="96">
        <f ca="1">IF(C26&gt;=1,L26*VLOOKUP(E26,'Reeksen (N)'!$A$5:$B$76,2),0)</f>
        <v>0</v>
      </c>
      <c r="N26" s="84">
        <f ca="1">(1-('Invoer gegevens (N)'!$F$20/12))*L26*MIN('Reeksen (N)'!B26,'Reeksen (N)'!D26)</f>
        <v>0</v>
      </c>
      <c r="O26" s="84">
        <f>IF('Reeksen (N)'!D26&lt;'Reeksen (N)'!B26,('Reeksen (N)'!B26-'Reeksen (N)'!D26)*L26,0)</f>
        <v>0</v>
      </c>
      <c r="P26" s="84">
        <f ca="1">('Invoer gegevens (N)'!$F$20/12)*L25*MIN('Reeksen (N)'!B25,'Reeksen (N)'!D25)</f>
        <v>0</v>
      </c>
      <c r="Q26" s="84">
        <f t="shared" ca="1" si="2"/>
        <v>0</v>
      </c>
      <c r="R26" s="82">
        <f ca="1">IF('Invoer gegevens (N)'!$C$17=E26,'Invoer gegevens (N)'!$C$11,IF(C26=1,W25,0))</f>
        <v>0</v>
      </c>
      <c r="S26" s="86">
        <f ca="1">IF(C26&gt;=1,R26*VLOOKUP(E26,'Reeksen (N)'!$A$5:$B$76,2),0)</f>
        <v>0</v>
      </c>
      <c r="T26" s="84">
        <f ca="1">(1-('Invoer gegevens (N)'!$F$20/12))*R26*MIN('Reeksen (N)'!B26,'Reeksen (N)'!D26)</f>
        <v>0</v>
      </c>
      <c r="U26" s="84">
        <f>IF('Reeksen (N)'!D26&gt;='Reeksen (N)'!B26,0,IF('Reeksen (N)'!AK26&lt;='Reeksen (N)'!AE26,('Reeksen (N)'!B26-'Reeksen (N)'!D26)*R26,0))</f>
        <v>0</v>
      </c>
      <c r="V26" s="86">
        <f>IF('Reeksen (N)'!D26&gt;='Reeksen (N)'!B26,0,IF('Reeksen (N)'!AK26&gt;'Reeksen (N)'!AE26,('Reeksen (N)'!B26-'Reeksen (N)'!D26)*R26,0))</f>
        <v>0</v>
      </c>
      <c r="W26" s="97">
        <f t="shared" ca="1" si="3"/>
        <v>0</v>
      </c>
      <c r="X26" s="98">
        <f ca="1">IF('Invoer gegevens (N)'!$C$17=E26,'Invoer gegevens (N)'!$C$10-'Invoer gegevens (N)'!$C$11,IF(C26=1,AC25,0))</f>
        <v>0</v>
      </c>
      <c r="Y26" s="98">
        <f ca="1">IF(C26&gt;=1,X26*VLOOKUP(E26,'Reeksen (N)'!$A$5:$B$76,2),0)</f>
        <v>0</v>
      </c>
      <c r="Z26" s="98">
        <f ca="1">(1-('Invoer gegevens (N)'!$F$20/12))*X26*MIN('Reeksen (N)'!B26,'Reeksen (N)'!D26)</f>
        <v>0</v>
      </c>
      <c r="AA26" s="98">
        <f>IF('Reeksen (N)'!D26&gt;='Reeksen (N)'!B26,0,IF('Reeksen (N)'!AK26&lt;='Reeksen (N)'!AE26,('Reeksen (N)'!B26-'Reeksen (N)'!D26)*X26,0))</f>
        <v>0</v>
      </c>
      <c r="AB26" s="98">
        <f>IF('Reeksen (N)'!D26&gt;='Reeksen (N)'!B26,0,IF('Reeksen (N)'!AK26&gt;'Reeksen (N)'!AE26,('Reeksen (N)'!B26-'Reeksen (N)'!D26)*X26,0))</f>
        <v>0</v>
      </c>
      <c r="AC26" s="99">
        <f t="shared" ca="1" si="4"/>
        <v>0</v>
      </c>
      <c r="AD26" s="98">
        <f ca="1">IF('Invoer gegevens (N)'!$C$17=E26,R26,IF(C26=0,0,AE25))</f>
        <v>0</v>
      </c>
      <c r="AE26" s="98">
        <f t="shared" ca="1" si="5"/>
        <v>0</v>
      </c>
      <c r="AF26" s="98">
        <f ca="1">IF('Invoer gegevens (N)'!$C$17=E26,X26,IF(C26=0,0,AG25))</f>
        <v>0</v>
      </c>
      <c r="AG26" s="98">
        <f t="shared" ca="1" si="6"/>
        <v>0</v>
      </c>
      <c r="AH26" s="68"/>
      <c r="AI26" s="71">
        <f ca="1">IF(C26=1,'Reeksen (N)'!AJ26*((F26-G26+F26)/2)*12+'Reeksen (N)'!AK26*((L26-M26+L26)/2)*12,0)</f>
        <v>0</v>
      </c>
      <c r="AJ26" s="71">
        <f ca="1">-AI26*'Invoer gegevens (N)'!$F$28</f>
        <v>0</v>
      </c>
      <c r="AK26" s="71">
        <f t="shared" ca="1" si="0"/>
        <v>0</v>
      </c>
      <c r="AL26" s="71">
        <f ca="1">IF(C26=1,'Reeksen (N)'!AL26*((F26-G26+F26)/2)*12+'Reeksen (N)'!AM26*((L26-M26+L26)/2)*12,0)</f>
        <v>0</v>
      </c>
      <c r="AM26" s="71">
        <f ca="1">-AL26*'Invoer gegevens (N)'!$F$31</f>
        <v>0</v>
      </c>
      <c r="AN26" s="71">
        <f t="shared" ca="1" si="7"/>
        <v>0</v>
      </c>
      <c r="AO26" s="71">
        <f ca="1">IF(C26=1,(H26+J26+N26+P26)*'Reeksen (N)'!AN26,0)</f>
        <v>0</v>
      </c>
      <c r="AP26" s="71">
        <f ca="1">-IF(C26=1,(H26+J26+N26+P26)*'Hulp - basis'!$O$550*'Reeksen (N)'!H26,0)</f>
        <v>0</v>
      </c>
      <c r="AQ26" s="71">
        <f ca="1">-IF(C26=1,(F26+K26+L26+Q26)/2*'Invoer gegevens (N)'!$I$33*'Reeksen (N)'!J26,0)*2</f>
        <v>0</v>
      </c>
      <c r="AR26" s="71">
        <f ca="1">-IF(C26=1,(I26*'Invoer gegevens (N)'!$I$34)*'Reeksen (N)'!J26,0)</f>
        <v>0</v>
      </c>
      <c r="AS26" s="71">
        <f ca="1">-IF(C26=1,(F26+K26+L26+Q26)/2*'Invoer gegevens (N)'!$I$35*'Reeksen (N)'!L26,0)</f>
        <v>0</v>
      </c>
      <c r="AT26" s="71">
        <f ca="1">-IF(C26=1,IF(E26='Invoer gegevens (N)'!$C$17,'Invoer gegevens (N)'!$C$11,AD26)*'Reeksen (N)'!S26*'Invoer gegevens (N)'!$C$18*'Reeksen (N)'!P26,0)</f>
        <v>0</v>
      </c>
      <c r="AU26" s="71">
        <f ca="1">-IF(C26=1,(F26+K26+L26+Q26)/2*'Invoer gegevens (N)'!$I$36*'Reeksen (N)'!H26,0)</f>
        <v>0</v>
      </c>
      <c r="AV26" s="71">
        <v>0</v>
      </c>
      <c r="AW26" s="71">
        <f t="shared" ca="1" si="8"/>
        <v>0</v>
      </c>
      <c r="AX26" s="71">
        <f ca="1">IF(E26&lt;'Invoer gegevens (N)'!$C$17+15,0,IF(E26&gt;'Invoer gegevens (N)'!$C$17+215,0,AW26))</f>
        <v>0</v>
      </c>
      <c r="AY26" s="71">
        <f ca="1">AX26/(1+'Invoer gegevens (N)'!$F$18)^($AZ26-('Invoer gegevens (N)'!$C$17-'Invoer gegevens (N)'!$C$16))/(1+'Invoer gegevens (N)'!$C$39)^('Invoer gegevens (N)'!$C$17-'Invoer gegevens (N)'!$C$16)</f>
        <v>0</v>
      </c>
      <c r="AZ26" s="68">
        <f ca="1">IF(E26-'Invoer gegevens (N)'!$C$17-14.5&lt;0,0,E26-'Invoer gegevens (N)'!$C$17-14.5)</f>
        <v>6.5</v>
      </c>
    </row>
    <row r="27" spans="1:52" x14ac:dyDescent="0.25">
      <c r="A27" s="59"/>
      <c r="B27" s="70">
        <f t="shared" si="9"/>
        <v>23</v>
      </c>
      <c r="C27" s="67">
        <f ca="1">IF(E27-'Invoer gegevens (N)'!$C$17&lt;0,0,1)</f>
        <v>1</v>
      </c>
      <c r="D27" s="68">
        <f t="shared" si="10"/>
        <v>22.5</v>
      </c>
      <c r="E27" s="108">
        <f ca="1">IF('Invoer gegevens (N)'!$C$16="","",E26+1)</f>
        <v>2041</v>
      </c>
      <c r="F27" s="84">
        <f ca="1">IF('Invoer gegevens (N)'!$C$17=E27,'Invoer gegevens (N)'!$C$10,IF(C27=1,K26,0))</f>
        <v>0</v>
      </c>
      <c r="G27" s="96">
        <f ca="1">IF(C27&gt;=1,F27*VLOOKUP(E27,'Reeksen (N)'!$A$5:$B$76,2),0)</f>
        <v>0</v>
      </c>
      <c r="H27" s="84">
        <f ca="1">(1-('Invoer gegevens (N)'!$F$20/12))*F27*MIN('Reeksen (N)'!B27,'Reeksen (N)'!D27)</f>
        <v>0</v>
      </c>
      <c r="I27" s="84">
        <f>IF('Reeksen (N)'!D27&lt;'Reeksen (N)'!B27,('Reeksen (N)'!B27-'Reeksen (N)'!D27)*F27,0)</f>
        <v>0</v>
      </c>
      <c r="J27" s="84">
        <f ca="1">('Invoer gegevens (N)'!$F$20/12)*F26*MIN('Reeksen (N)'!B26,'Reeksen (N)'!D26)</f>
        <v>0</v>
      </c>
      <c r="K27" s="97">
        <f t="shared" ca="1" si="1"/>
        <v>0</v>
      </c>
      <c r="L27" s="84">
        <f ca="1">IF('Invoer gegevens (N)'!$C$17=E27,0,IF(C27=1,Q26,0))</f>
        <v>0</v>
      </c>
      <c r="M27" s="96">
        <f ca="1">IF(C27&gt;=1,L27*VLOOKUP(E27,'Reeksen (N)'!$A$5:$B$76,2),0)</f>
        <v>0</v>
      </c>
      <c r="N27" s="84">
        <f ca="1">(1-('Invoer gegevens (N)'!$F$20/12))*L27*MIN('Reeksen (N)'!B27,'Reeksen (N)'!D27)</f>
        <v>0</v>
      </c>
      <c r="O27" s="84">
        <f>IF('Reeksen (N)'!D27&lt;'Reeksen (N)'!B27,('Reeksen (N)'!B27-'Reeksen (N)'!D27)*L27,0)</f>
        <v>0</v>
      </c>
      <c r="P27" s="84">
        <f ca="1">('Invoer gegevens (N)'!$F$20/12)*L26*MIN('Reeksen (N)'!B26,'Reeksen (N)'!D26)</f>
        <v>0</v>
      </c>
      <c r="Q27" s="84">
        <f t="shared" ca="1" si="2"/>
        <v>0</v>
      </c>
      <c r="R27" s="82">
        <f ca="1">IF('Invoer gegevens (N)'!$C$17=E27,'Invoer gegevens (N)'!$C$11,IF(C27=1,W26,0))</f>
        <v>0</v>
      </c>
      <c r="S27" s="86">
        <f ca="1">IF(C27&gt;=1,R27*VLOOKUP(E27,'Reeksen (N)'!$A$5:$B$76,2),0)</f>
        <v>0</v>
      </c>
      <c r="T27" s="84">
        <f ca="1">(1-('Invoer gegevens (N)'!$F$20/12))*R27*MIN('Reeksen (N)'!B27,'Reeksen (N)'!D27)</f>
        <v>0</v>
      </c>
      <c r="U27" s="84">
        <f>IF('Reeksen (N)'!D27&gt;='Reeksen (N)'!B27,0,IF('Reeksen (N)'!AK27&lt;='Reeksen (N)'!AE27,('Reeksen (N)'!B27-'Reeksen (N)'!D27)*R27,0))</f>
        <v>0</v>
      </c>
      <c r="V27" s="86">
        <f>IF('Reeksen (N)'!D27&gt;='Reeksen (N)'!B27,0,IF('Reeksen (N)'!AK27&gt;'Reeksen (N)'!AE27,('Reeksen (N)'!B27-'Reeksen (N)'!D27)*R27,0))</f>
        <v>0</v>
      </c>
      <c r="W27" s="97">
        <f t="shared" ca="1" si="3"/>
        <v>0</v>
      </c>
      <c r="X27" s="98">
        <f ca="1">IF('Invoer gegevens (N)'!$C$17=E27,'Invoer gegevens (N)'!$C$10-'Invoer gegevens (N)'!$C$11,IF(C27=1,AC26,0))</f>
        <v>0</v>
      </c>
      <c r="Y27" s="98">
        <f ca="1">IF(C27&gt;=1,X27*VLOOKUP(E27,'Reeksen (N)'!$A$5:$B$76,2),0)</f>
        <v>0</v>
      </c>
      <c r="Z27" s="98">
        <f ca="1">(1-('Invoer gegevens (N)'!$F$20/12))*X27*MIN('Reeksen (N)'!B27,'Reeksen (N)'!D27)</f>
        <v>0</v>
      </c>
      <c r="AA27" s="98">
        <f>IF('Reeksen (N)'!D27&gt;='Reeksen (N)'!B27,0,IF('Reeksen (N)'!AK27&lt;='Reeksen (N)'!AE27,('Reeksen (N)'!B27-'Reeksen (N)'!D27)*X27,0))</f>
        <v>0</v>
      </c>
      <c r="AB27" s="98">
        <f>IF('Reeksen (N)'!D27&gt;='Reeksen (N)'!B27,0,IF('Reeksen (N)'!AK27&gt;'Reeksen (N)'!AE27,('Reeksen (N)'!B27-'Reeksen (N)'!D27)*X27,0))</f>
        <v>0</v>
      </c>
      <c r="AC27" s="99">
        <f t="shared" ca="1" si="4"/>
        <v>0</v>
      </c>
      <c r="AD27" s="98">
        <f ca="1">IF('Invoer gegevens (N)'!$C$17=E27,R27,IF(C27=0,0,AE26))</f>
        <v>0</v>
      </c>
      <c r="AE27" s="98">
        <f t="shared" ca="1" si="5"/>
        <v>0</v>
      </c>
      <c r="AF27" s="98">
        <f ca="1">IF('Invoer gegevens (N)'!$C$17=E27,X27,IF(C27=0,0,AG26))</f>
        <v>0</v>
      </c>
      <c r="AG27" s="98">
        <f t="shared" ca="1" si="6"/>
        <v>0</v>
      </c>
      <c r="AH27" s="68"/>
      <c r="AI27" s="71">
        <f ca="1">IF(C27=1,'Reeksen (N)'!AJ27*((F27-G27+F27)/2)*12+'Reeksen (N)'!AK27*((L27-M27+L27)/2)*12,0)</f>
        <v>0</v>
      </c>
      <c r="AJ27" s="71">
        <f ca="1">-AI27*'Invoer gegevens (N)'!$F$28</f>
        <v>0</v>
      </c>
      <c r="AK27" s="71">
        <f t="shared" ca="1" si="0"/>
        <v>0</v>
      </c>
      <c r="AL27" s="71">
        <f ca="1">IF(C27=1,'Reeksen (N)'!AL27*((F27-G27+F27)/2)*12+'Reeksen (N)'!AM27*((L27-M27+L27)/2)*12,0)</f>
        <v>0</v>
      </c>
      <c r="AM27" s="71">
        <f ca="1">-AL27*'Invoer gegevens (N)'!$F$31</f>
        <v>0</v>
      </c>
      <c r="AN27" s="71">
        <f t="shared" ca="1" si="7"/>
        <v>0</v>
      </c>
      <c r="AO27" s="71">
        <f ca="1">IF(C27=1,(H27+J27+N27+P27)*'Reeksen (N)'!AN27,0)</f>
        <v>0</v>
      </c>
      <c r="AP27" s="71">
        <f ca="1">-IF(C27=1,(H27+J27+N27+P27)*'Hulp - basis'!$O$550*'Reeksen (N)'!H27,0)</f>
        <v>0</v>
      </c>
      <c r="AQ27" s="71">
        <f ca="1">-IF(C27=1,(F27+K27+L27+Q27)/2*'Invoer gegevens (N)'!$I$33*'Reeksen (N)'!J27,0)*2</f>
        <v>0</v>
      </c>
      <c r="AR27" s="71">
        <f ca="1">-IF(C27=1,(I27*'Invoer gegevens (N)'!$I$34)*'Reeksen (N)'!J27,0)</f>
        <v>0</v>
      </c>
      <c r="AS27" s="71">
        <f ca="1">-IF(C27=1,(F27+K27+L27+Q27)/2*'Invoer gegevens (N)'!$I$35*'Reeksen (N)'!L27,0)</f>
        <v>0</v>
      </c>
      <c r="AT27" s="71">
        <f ca="1">-IF(C27=1,IF(E27='Invoer gegevens (N)'!$C$17,'Invoer gegevens (N)'!$C$11,AD27)*'Reeksen (N)'!S27*'Invoer gegevens (N)'!$C$18*'Reeksen (N)'!P27,0)</f>
        <v>0</v>
      </c>
      <c r="AU27" s="71">
        <f ca="1">-IF(C27=1,(F27+K27+L27+Q27)/2*'Invoer gegevens (N)'!$I$36*'Reeksen (N)'!H27,0)</f>
        <v>0</v>
      </c>
      <c r="AV27" s="71">
        <v>0</v>
      </c>
      <c r="AW27" s="71">
        <f t="shared" ca="1" si="8"/>
        <v>0</v>
      </c>
      <c r="AX27" s="71">
        <f ca="1">IF(E27&lt;'Invoer gegevens (N)'!$C$17+15,0,IF(E27&gt;'Invoer gegevens (N)'!$C$17+215,0,AW27))</f>
        <v>0</v>
      </c>
      <c r="AY27" s="71">
        <f ca="1">AX27/(1+'Invoer gegevens (N)'!$F$18)^($AZ27-('Invoer gegevens (N)'!$C$17-'Invoer gegevens (N)'!$C$16))/(1+'Invoer gegevens (N)'!$C$39)^('Invoer gegevens (N)'!$C$17-'Invoer gegevens (N)'!$C$16)</f>
        <v>0</v>
      </c>
      <c r="AZ27" s="68">
        <f ca="1">IF(E27-'Invoer gegevens (N)'!$C$17-14.5&lt;0,0,E27-'Invoer gegevens (N)'!$C$17-14.5)</f>
        <v>7.5</v>
      </c>
    </row>
    <row r="28" spans="1:52" x14ac:dyDescent="0.25">
      <c r="A28" s="59"/>
      <c r="B28" s="70">
        <f t="shared" si="9"/>
        <v>24</v>
      </c>
      <c r="C28" s="67">
        <f ca="1">IF(E28-'Invoer gegevens (N)'!$C$17&lt;0,0,1)</f>
        <v>1</v>
      </c>
      <c r="D28" s="68">
        <f t="shared" si="10"/>
        <v>23.5</v>
      </c>
      <c r="E28" s="108">
        <f ca="1">IF('Invoer gegevens (N)'!$C$16="","",E27+1)</f>
        <v>2042</v>
      </c>
      <c r="F28" s="84">
        <f ca="1">IF('Invoer gegevens (N)'!$C$17=E28,'Invoer gegevens (N)'!$C$10,IF(C28=1,K27,0))</f>
        <v>0</v>
      </c>
      <c r="G28" s="96">
        <f ca="1">IF(C28&gt;=1,F28*VLOOKUP(E28,'Reeksen (N)'!$A$5:$B$76,2),0)</f>
        <v>0</v>
      </c>
      <c r="H28" s="84">
        <f ca="1">(1-('Invoer gegevens (N)'!$F$20/12))*F28*MIN('Reeksen (N)'!B28,'Reeksen (N)'!D28)</f>
        <v>0</v>
      </c>
      <c r="I28" s="84">
        <f>IF('Reeksen (N)'!D28&lt;'Reeksen (N)'!B28,('Reeksen (N)'!B28-'Reeksen (N)'!D28)*F28,0)</f>
        <v>0</v>
      </c>
      <c r="J28" s="84">
        <f ca="1">('Invoer gegevens (N)'!$F$20/12)*F27*MIN('Reeksen (N)'!B27,'Reeksen (N)'!D27)</f>
        <v>0</v>
      </c>
      <c r="K28" s="97">
        <f t="shared" ca="1" si="1"/>
        <v>0</v>
      </c>
      <c r="L28" s="84">
        <f ca="1">IF('Invoer gegevens (N)'!$C$17=E28,0,IF(C28=1,Q27,0))</f>
        <v>0</v>
      </c>
      <c r="M28" s="96">
        <f ca="1">IF(C28&gt;=1,L28*VLOOKUP(E28,'Reeksen (N)'!$A$5:$B$76,2),0)</f>
        <v>0</v>
      </c>
      <c r="N28" s="84">
        <f ca="1">(1-('Invoer gegevens (N)'!$F$20/12))*L28*MIN('Reeksen (N)'!B28,'Reeksen (N)'!D28)</f>
        <v>0</v>
      </c>
      <c r="O28" s="84">
        <f>IF('Reeksen (N)'!D28&lt;'Reeksen (N)'!B28,('Reeksen (N)'!B28-'Reeksen (N)'!D28)*L28,0)</f>
        <v>0</v>
      </c>
      <c r="P28" s="84">
        <f ca="1">('Invoer gegevens (N)'!$F$20/12)*L27*MIN('Reeksen (N)'!B27,'Reeksen (N)'!D27)</f>
        <v>0</v>
      </c>
      <c r="Q28" s="84">
        <f t="shared" ca="1" si="2"/>
        <v>0</v>
      </c>
      <c r="R28" s="82">
        <f ca="1">IF('Invoer gegevens (N)'!$C$17=E28,'Invoer gegevens (N)'!$C$11,IF(C28=1,W27,0))</f>
        <v>0</v>
      </c>
      <c r="S28" s="86">
        <f ca="1">IF(C28&gt;=1,R28*VLOOKUP(E28,'Reeksen (N)'!$A$5:$B$76,2),0)</f>
        <v>0</v>
      </c>
      <c r="T28" s="84">
        <f ca="1">(1-('Invoer gegevens (N)'!$F$20/12))*R28*MIN('Reeksen (N)'!B28,'Reeksen (N)'!D28)</f>
        <v>0</v>
      </c>
      <c r="U28" s="84">
        <f>IF('Reeksen (N)'!D28&gt;='Reeksen (N)'!B28,0,IF('Reeksen (N)'!AK28&lt;='Reeksen (N)'!AE28,('Reeksen (N)'!B28-'Reeksen (N)'!D28)*R28,0))</f>
        <v>0</v>
      </c>
      <c r="V28" s="86">
        <f>IF('Reeksen (N)'!D28&gt;='Reeksen (N)'!B28,0,IF('Reeksen (N)'!AK28&gt;'Reeksen (N)'!AE28,('Reeksen (N)'!B28-'Reeksen (N)'!D28)*R28,0))</f>
        <v>0</v>
      </c>
      <c r="W28" s="97">
        <f t="shared" ca="1" si="3"/>
        <v>0</v>
      </c>
      <c r="X28" s="98">
        <f ca="1">IF('Invoer gegevens (N)'!$C$17=E28,'Invoer gegevens (N)'!$C$10-'Invoer gegevens (N)'!$C$11,IF(C28=1,AC27,0))</f>
        <v>0</v>
      </c>
      <c r="Y28" s="98">
        <f ca="1">IF(C28&gt;=1,X28*VLOOKUP(E28,'Reeksen (N)'!$A$5:$B$76,2),0)</f>
        <v>0</v>
      </c>
      <c r="Z28" s="98">
        <f ca="1">(1-('Invoer gegevens (N)'!$F$20/12))*X28*MIN('Reeksen (N)'!B28,'Reeksen (N)'!D28)</f>
        <v>0</v>
      </c>
      <c r="AA28" s="98">
        <f>IF('Reeksen (N)'!D28&gt;='Reeksen (N)'!B28,0,IF('Reeksen (N)'!AK28&lt;='Reeksen (N)'!AE28,('Reeksen (N)'!B28-'Reeksen (N)'!D28)*X28,0))</f>
        <v>0</v>
      </c>
      <c r="AB28" s="98">
        <f>IF('Reeksen (N)'!D28&gt;='Reeksen (N)'!B28,0,IF('Reeksen (N)'!AK28&gt;'Reeksen (N)'!AE28,('Reeksen (N)'!B28-'Reeksen (N)'!D28)*X28,0))</f>
        <v>0</v>
      </c>
      <c r="AC28" s="99">
        <f t="shared" ca="1" si="4"/>
        <v>0</v>
      </c>
      <c r="AD28" s="98">
        <f ca="1">IF('Invoer gegevens (N)'!$C$17=E28,R28,IF(C28=0,0,AE27))</f>
        <v>0</v>
      </c>
      <c r="AE28" s="98">
        <f t="shared" ca="1" si="5"/>
        <v>0</v>
      </c>
      <c r="AF28" s="98">
        <f ca="1">IF('Invoer gegevens (N)'!$C$17=E28,X28,IF(C28=0,0,AG27))</f>
        <v>0</v>
      </c>
      <c r="AG28" s="98">
        <f t="shared" ca="1" si="6"/>
        <v>0</v>
      </c>
      <c r="AH28" s="68"/>
      <c r="AI28" s="71">
        <f ca="1">IF(C28=1,'Reeksen (N)'!AJ28*((F28-G28+F28)/2)*12+'Reeksen (N)'!AK28*((L28-M28+L28)/2)*12,0)</f>
        <v>0</v>
      </c>
      <c r="AJ28" s="71">
        <f ca="1">-AI28*'Invoer gegevens (N)'!$F$28</f>
        <v>0</v>
      </c>
      <c r="AK28" s="71">
        <f t="shared" ca="1" si="0"/>
        <v>0</v>
      </c>
      <c r="AL28" s="71">
        <f ca="1">IF(C28=1,'Reeksen (N)'!AL28*((F28-G28+F28)/2)*12+'Reeksen (N)'!AM28*((L28-M28+L28)/2)*12,0)</f>
        <v>0</v>
      </c>
      <c r="AM28" s="71">
        <f ca="1">-AL28*'Invoer gegevens (N)'!$F$31</f>
        <v>0</v>
      </c>
      <c r="AN28" s="71">
        <f t="shared" ca="1" si="7"/>
        <v>0</v>
      </c>
      <c r="AO28" s="71">
        <f ca="1">IF(C28=1,(H28+J28+N28+P28)*'Reeksen (N)'!AN28,0)</f>
        <v>0</v>
      </c>
      <c r="AP28" s="71">
        <f ca="1">-IF(C28=1,(H28+J28+N28+P28)*'Hulp - basis'!$O$550*'Reeksen (N)'!H28,0)</f>
        <v>0</v>
      </c>
      <c r="AQ28" s="71">
        <f ca="1">-IF(C28=1,(F28+K28+L28+Q28)/2*'Invoer gegevens (N)'!$I$33*'Reeksen (N)'!J28,0)*2</f>
        <v>0</v>
      </c>
      <c r="AR28" s="71">
        <f ca="1">-IF(C28=1,(I28*'Invoer gegevens (N)'!$I$34)*'Reeksen (N)'!J28,0)</f>
        <v>0</v>
      </c>
      <c r="AS28" s="71">
        <f ca="1">-IF(C28=1,(F28+K28+L28+Q28)/2*'Invoer gegevens (N)'!$I$35*'Reeksen (N)'!L28,0)</f>
        <v>0</v>
      </c>
      <c r="AT28" s="71">
        <f ca="1">-IF(C28=1,IF(E28='Invoer gegevens (N)'!$C$17,'Invoer gegevens (N)'!$C$11,AD28)*'Reeksen (N)'!S28*'Invoer gegevens (N)'!$C$18*'Reeksen (N)'!P28,0)</f>
        <v>0</v>
      </c>
      <c r="AU28" s="71">
        <f ca="1">-IF(C28=1,(F28+K28+L28+Q28)/2*'Invoer gegevens (N)'!$I$36*'Reeksen (N)'!H28,0)</f>
        <v>0</v>
      </c>
      <c r="AV28" s="71">
        <v>0</v>
      </c>
      <c r="AW28" s="71">
        <f t="shared" ca="1" si="8"/>
        <v>0</v>
      </c>
      <c r="AX28" s="71">
        <f ca="1">IF(E28&lt;'Invoer gegevens (N)'!$C$17+15,0,IF(E28&gt;'Invoer gegevens (N)'!$C$17+215,0,AW28))</f>
        <v>0</v>
      </c>
      <c r="AY28" s="71">
        <f ca="1">AX28/(1+'Invoer gegevens (N)'!$F$18)^($AZ28-('Invoer gegevens (N)'!$C$17-'Invoer gegevens (N)'!$C$16))/(1+'Invoer gegevens (N)'!$C$39)^('Invoer gegevens (N)'!$C$17-'Invoer gegevens (N)'!$C$16)</f>
        <v>0</v>
      </c>
      <c r="AZ28" s="68">
        <f ca="1">IF(E28-'Invoer gegevens (N)'!$C$17-14.5&lt;0,0,E28-'Invoer gegevens (N)'!$C$17-14.5)</f>
        <v>8.5</v>
      </c>
    </row>
    <row r="29" spans="1:52" x14ac:dyDescent="0.25">
      <c r="A29" s="59"/>
      <c r="B29" s="70">
        <f t="shared" si="9"/>
        <v>25</v>
      </c>
      <c r="C29" s="67">
        <f ca="1">IF(E29-'Invoer gegevens (N)'!$C$17&lt;0,0,1)</f>
        <v>1</v>
      </c>
      <c r="D29" s="68">
        <f t="shared" si="10"/>
        <v>24.5</v>
      </c>
      <c r="E29" s="108">
        <f ca="1">IF('Invoer gegevens (N)'!$C$16="","",E28+1)</f>
        <v>2043</v>
      </c>
      <c r="F29" s="84">
        <f ca="1">IF('Invoer gegevens (N)'!$C$17=E29,'Invoer gegevens (N)'!$C$10,IF(C29=1,K28,0))</f>
        <v>0</v>
      </c>
      <c r="G29" s="96">
        <f ca="1">IF(C29&gt;=1,F29*VLOOKUP(E29,'Reeksen (N)'!$A$5:$B$76,2),0)</f>
        <v>0</v>
      </c>
      <c r="H29" s="84">
        <f ca="1">(1-('Invoer gegevens (N)'!$F$20/12))*F29*MIN('Reeksen (N)'!B29,'Reeksen (N)'!D29)</f>
        <v>0</v>
      </c>
      <c r="I29" s="84">
        <f>IF('Reeksen (N)'!D29&lt;'Reeksen (N)'!B29,('Reeksen (N)'!B29-'Reeksen (N)'!D29)*F29,0)</f>
        <v>0</v>
      </c>
      <c r="J29" s="84">
        <f ca="1">('Invoer gegevens (N)'!$F$20/12)*F28*MIN('Reeksen (N)'!B28,'Reeksen (N)'!D28)</f>
        <v>0</v>
      </c>
      <c r="K29" s="97">
        <f t="shared" ca="1" si="1"/>
        <v>0</v>
      </c>
      <c r="L29" s="84">
        <f ca="1">IF('Invoer gegevens (N)'!$C$17=E29,0,IF(C29=1,Q28,0))</f>
        <v>0</v>
      </c>
      <c r="M29" s="96">
        <f ca="1">IF(C29&gt;=1,L29*VLOOKUP(E29,'Reeksen (N)'!$A$5:$B$76,2),0)</f>
        <v>0</v>
      </c>
      <c r="N29" s="84">
        <f ca="1">(1-('Invoer gegevens (N)'!$F$20/12))*L29*MIN('Reeksen (N)'!B29,'Reeksen (N)'!D29)</f>
        <v>0</v>
      </c>
      <c r="O29" s="84">
        <f>IF('Reeksen (N)'!D29&lt;'Reeksen (N)'!B29,('Reeksen (N)'!B29-'Reeksen (N)'!D29)*L29,0)</f>
        <v>0</v>
      </c>
      <c r="P29" s="84">
        <f ca="1">('Invoer gegevens (N)'!$F$20/12)*L28*MIN('Reeksen (N)'!B28,'Reeksen (N)'!D28)</f>
        <v>0</v>
      </c>
      <c r="Q29" s="84">
        <f t="shared" ca="1" si="2"/>
        <v>0</v>
      </c>
      <c r="R29" s="82">
        <f ca="1">IF('Invoer gegevens (N)'!$C$17=E29,'Invoer gegevens (N)'!$C$11,IF(C29=1,W28,0))</f>
        <v>0</v>
      </c>
      <c r="S29" s="86">
        <f ca="1">IF(C29&gt;=1,R29*VLOOKUP(E29,'Reeksen (N)'!$A$5:$B$76,2),0)</f>
        <v>0</v>
      </c>
      <c r="T29" s="84">
        <f ca="1">(1-('Invoer gegevens (N)'!$F$20/12))*R29*MIN('Reeksen (N)'!B29,'Reeksen (N)'!D29)</f>
        <v>0</v>
      </c>
      <c r="U29" s="84">
        <f>IF('Reeksen (N)'!D29&gt;='Reeksen (N)'!B29,0,IF('Reeksen (N)'!AK29&lt;='Reeksen (N)'!AE29,('Reeksen (N)'!B29-'Reeksen (N)'!D29)*R29,0))</f>
        <v>0</v>
      </c>
      <c r="V29" s="86">
        <f>IF('Reeksen (N)'!D29&gt;='Reeksen (N)'!B29,0,IF('Reeksen (N)'!AK29&gt;'Reeksen (N)'!AE29,('Reeksen (N)'!B29-'Reeksen (N)'!D29)*R29,0))</f>
        <v>0</v>
      </c>
      <c r="W29" s="97">
        <f t="shared" ca="1" si="3"/>
        <v>0</v>
      </c>
      <c r="X29" s="98">
        <f ca="1">IF('Invoer gegevens (N)'!$C$17=E29,'Invoer gegevens (N)'!$C$10-'Invoer gegevens (N)'!$C$11,IF(C29=1,AC28,0))</f>
        <v>0</v>
      </c>
      <c r="Y29" s="98">
        <f ca="1">IF(C29&gt;=1,X29*VLOOKUP(E29,'Reeksen (N)'!$A$5:$B$76,2),0)</f>
        <v>0</v>
      </c>
      <c r="Z29" s="98">
        <f ca="1">(1-('Invoer gegevens (N)'!$F$20/12))*X29*MIN('Reeksen (N)'!B29,'Reeksen (N)'!D29)</f>
        <v>0</v>
      </c>
      <c r="AA29" s="98">
        <f>IF('Reeksen (N)'!D29&gt;='Reeksen (N)'!B29,0,IF('Reeksen (N)'!AK29&lt;='Reeksen (N)'!AE29,('Reeksen (N)'!B29-'Reeksen (N)'!D29)*X29,0))</f>
        <v>0</v>
      </c>
      <c r="AB29" s="98">
        <f>IF('Reeksen (N)'!D29&gt;='Reeksen (N)'!B29,0,IF('Reeksen (N)'!AK29&gt;'Reeksen (N)'!AE29,('Reeksen (N)'!B29-'Reeksen (N)'!D29)*X29,0))</f>
        <v>0</v>
      </c>
      <c r="AC29" s="99">
        <f t="shared" ca="1" si="4"/>
        <v>0</v>
      </c>
      <c r="AD29" s="98">
        <f ca="1">IF('Invoer gegevens (N)'!$C$17=E29,R29,IF(C29=0,0,AE28))</f>
        <v>0</v>
      </c>
      <c r="AE29" s="98">
        <f t="shared" ca="1" si="5"/>
        <v>0</v>
      </c>
      <c r="AF29" s="98">
        <f ca="1">IF('Invoer gegevens (N)'!$C$17=E29,X29,IF(C29=0,0,AG28))</f>
        <v>0</v>
      </c>
      <c r="AG29" s="98">
        <f t="shared" ca="1" si="6"/>
        <v>0</v>
      </c>
      <c r="AH29" s="68"/>
      <c r="AI29" s="71">
        <f ca="1">IF(C29=1,'Reeksen (N)'!AJ29*((F29-G29+F29)/2)*12+'Reeksen (N)'!AK29*((L29-M29+L29)/2)*12,0)</f>
        <v>0</v>
      </c>
      <c r="AJ29" s="71">
        <f ca="1">-AI29*'Invoer gegevens (N)'!$F$28</f>
        <v>0</v>
      </c>
      <c r="AK29" s="71">
        <f t="shared" ca="1" si="0"/>
        <v>0</v>
      </c>
      <c r="AL29" s="71">
        <f ca="1">IF(C29=1,'Reeksen (N)'!AL29*((F29-G29+F29)/2)*12+'Reeksen (N)'!AM29*((L29-M29+L29)/2)*12,0)</f>
        <v>0</v>
      </c>
      <c r="AM29" s="71">
        <f ca="1">-AL29*'Invoer gegevens (N)'!$F$31</f>
        <v>0</v>
      </c>
      <c r="AN29" s="71">
        <f t="shared" ca="1" si="7"/>
        <v>0</v>
      </c>
      <c r="AO29" s="71">
        <f ca="1">IF(C29=1,(H29+J29+N29+P29)*'Reeksen (N)'!AN29,0)</f>
        <v>0</v>
      </c>
      <c r="AP29" s="71">
        <f ca="1">-IF(C29=1,(H29+J29+N29+P29)*'Hulp - basis'!$O$550*'Reeksen (N)'!H29,0)</f>
        <v>0</v>
      </c>
      <c r="AQ29" s="71">
        <f ca="1">-IF(C29=1,(F29+K29+L29+Q29)/2*'Invoer gegevens (N)'!$I$33*'Reeksen (N)'!J29,0)*2</f>
        <v>0</v>
      </c>
      <c r="AR29" s="71">
        <f ca="1">-IF(C29=1,(I29*'Invoer gegevens (N)'!$I$34)*'Reeksen (N)'!J29,0)</f>
        <v>0</v>
      </c>
      <c r="AS29" s="71">
        <f ca="1">-IF(C29=1,(F29+K29+L29+Q29)/2*'Invoer gegevens (N)'!$I$35*'Reeksen (N)'!L29,0)</f>
        <v>0</v>
      </c>
      <c r="AT29" s="71">
        <f ca="1">-IF(C29=1,IF(E29='Invoer gegevens (N)'!$C$17,'Invoer gegevens (N)'!$C$11,AD29)*'Reeksen (N)'!S29*'Invoer gegevens (N)'!$C$18*'Reeksen (N)'!P29,0)</f>
        <v>0</v>
      </c>
      <c r="AU29" s="71">
        <f ca="1">-IF(C29=1,(F29+K29+L29+Q29)/2*'Invoer gegevens (N)'!$I$36*'Reeksen (N)'!H29,0)</f>
        <v>0</v>
      </c>
      <c r="AV29" s="71">
        <v>0</v>
      </c>
      <c r="AW29" s="71">
        <f t="shared" ca="1" si="8"/>
        <v>0</v>
      </c>
      <c r="AX29" s="71">
        <f ca="1">IF(E29&lt;'Invoer gegevens (N)'!$C$17+15,0,IF(E29&gt;'Invoer gegevens (N)'!$C$17+215,0,AW29))</f>
        <v>0</v>
      </c>
      <c r="AY29" s="71">
        <f ca="1">AX29/(1+'Invoer gegevens (N)'!$F$18)^($AZ29-('Invoer gegevens (N)'!$C$17-'Invoer gegevens (N)'!$C$16))/(1+'Invoer gegevens (N)'!$C$39)^('Invoer gegevens (N)'!$C$17-'Invoer gegevens (N)'!$C$16)</f>
        <v>0</v>
      </c>
      <c r="AZ29" s="68">
        <f ca="1">IF(E29-'Invoer gegevens (N)'!$C$17-14.5&lt;0,0,E29-'Invoer gegevens (N)'!$C$17-14.5)</f>
        <v>9.5</v>
      </c>
    </row>
    <row r="30" spans="1:52" x14ac:dyDescent="0.25">
      <c r="A30" s="59"/>
      <c r="B30" s="70">
        <f t="shared" si="9"/>
        <v>26</v>
      </c>
      <c r="C30" s="67">
        <f ca="1">IF(E30-'Invoer gegevens (N)'!$C$17&lt;0,0,1)</f>
        <v>1</v>
      </c>
      <c r="D30" s="68">
        <f t="shared" si="10"/>
        <v>25.5</v>
      </c>
      <c r="E30" s="108">
        <f ca="1">IF('Invoer gegevens (N)'!$C$16="","",E29+1)</f>
        <v>2044</v>
      </c>
      <c r="F30" s="84">
        <f ca="1">IF('Invoer gegevens (N)'!$C$17=E30,'Invoer gegevens (N)'!$C$10,IF(C30=1,K29,0))</f>
        <v>0</v>
      </c>
      <c r="G30" s="96">
        <f ca="1">IF(C30&gt;=1,F30*VLOOKUP(E30,'Reeksen (N)'!$A$5:$B$76,2),0)</f>
        <v>0</v>
      </c>
      <c r="H30" s="84">
        <f ca="1">(1-('Invoer gegevens (N)'!$F$20/12))*F30*MIN('Reeksen (N)'!B30,'Reeksen (N)'!D30)</f>
        <v>0</v>
      </c>
      <c r="I30" s="84">
        <f>IF('Reeksen (N)'!D30&lt;'Reeksen (N)'!B30,('Reeksen (N)'!B30-'Reeksen (N)'!D30)*F30,0)</f>
        <v>0</v>
      </c>
      <c r="J30" s="84">
        <f ca="1">('Invoer gegevens (N)'!$F$20/12)*F29*MIN('Reeksen (N)'!B29,'Reeksen (N)'!D29)</f>
        <v>0</v>
      </c>
      <c r="K30" s="97">
        <f t="shared" ca="1" si="1"/>
        <v>0</v>
      </c>
      <c r="L30" s="84">
        <f ca="1">IF('Invoer gegevens (N)'!$C$17=E30,0,IF(C30=1,Q29,0))</f>
        <v>0</v>
      </c>
      <c r="M30" s="96">
        <f ca="1">IF(C30&gt;=1,L30*VLOOKUP(E30,'Reeksen (N)'!$A$5:$B$76,2),0)</f>
        <v>0</v>
      </c>
      <c r="N30" s="84">
        <f ca="1">(1-('Invoer gegevens (N)'!$F$20/12))*L30*MIN('Reeksen (N)'!B30,'Reeksen (N)'!D30)</f>
        <v>0</v>
      </c>
      <c r="O30" s="84">
        <f>IF('Reeksen (N)'!D30&lt;'Reeksen (N)'!B30,('Reeksen (N)'!B30-'Reeksen (N)'!D30)*L30,0)</f>
        <v>0</v>
      </c>
      <c r="P30" s="84">
        <f ca="1">('Invoer gegevens (N)'!$F$20/12)*L29*MIN('Reeksen (N)'!B29,'Reeksen (N)'!D29)</f>
        <v>0</v>
      </c>
      <c r="Q30" s="84">
        <f t="shared" ca="1" si="2"/>
        <v>0</v>
      </c>
      <c r="R30" s="82">
        <f ca="1">IF('Invoer gegevens (N)'!$C$17=E30,'Invoer gegevens (N)'!$C$11,IF(C30=1,W29,0))</f>
        <v>0</v>
      </c>
      <c r="S30" s="86">
        <f ca="1">IF(C30&gt;=1,R30*VLOOKUP(E30,'Reeksen (N)'!$A$5:$B$76,2),0)</f>
        <v>0</v>
      </c>
      <c r="T30" s="84">
        <f ca="1">(1-('Invoer gegevens (N)'!$F$20/12))*R30*MIN('Reeksen (N)'!B30,'Reeksen (N)'!D30)</f>
        <v>0</v>
      </c>
      <c r="U30" s="84">
        <f>IF('Reeksen (N)'!D30&gt;='Reeksen (N)'!B30,0,IF('Reeksen (N)'!AK30&lt;='Reeksen (N)'!AE30,('Reeksen (N)'!B30-'Reeksen (N)'!D30)*R30,0))</f>
        <v>0</v>
      </c>
      <c r="V30" s="86">
        <f>IF('Reeksen (N)'!D30&gt;='Reeksen (N)'!B30,0,IF('Reeksen (N)'!AK30&gt;'Reeksen (N)'!AE30,('Reeksen (N)'!B30-'Reeksen (N)'!D30)*R30,0))</f>
        <v>0</v>
      </c>
      <c r="W30" s="97">
        <f t="shared" ca="1" si="3"/>
        <v>0</v>
      </c>
      <c r="X30" s="98">
        <f ca="1">IF('Invoer gegevens (N)'!$C$17=E30,'Invoer gegevens (N)'!$C$10-'Invoer gegevens (N)'!$C$11,IF(C30=1,AC29,0))</f>
        <v>0</v>
      </c>
      <c r="Y30" s="98">
        <f ca="1">IF(C30&gt;=1,X30*VLOOKUP(E30,'Reeksen (N)'!$A$5:$B$76,2),0)</f>
        <v>0</v>
      </c>
      <c r="Z30" s="98">
        <f ca="1">(1-('Invoer gegevens (N)'!$F$20/12))*X30*MIN('Reeksen (N)'!B30,'Reeksen (N)'!D30)</f>
        <v>0</v>
      </c>
      <c r="AA30" s="98">
        <f>IF('Reeksen (N)'!D30&gt;='Reeksen (N)'!B30,0,IF('Reeksen (N)'!AK30&lt;='Reeksen (N)'!AE30,('Reeksen (N)'!B30-'Reeksen (N)'!D30)*X30,0))</f>
        <v>0</v>
      </c>
      <c r="AB30" s="98">
        <f>IF('Reeksen (N)'!D30&gt;='Reeksen (N)'!B30,0,IF('Reeksen (N)'!AK30&gt;'Reeksen (N)'!AE30,('Reeksen (N)'!B30-'Reeksen (N)'!D30)*X30,0))</f>
        <v>0</v>
      </c>
      <c r="AC30" s="99">
        <f t="shared" ca="1" si="4"/>
        <v>0</v>
      </c>
      <c r="AD30" s="98">
        <f ca="1">IF('Invoer gegevens (N)'!$C$17=E30,R30,IF(C30=0,0,AE29))</f>
        <v>0</v>
      </c>
      <c r="AE30" s="98">
        <f t="shared" ca="1" si="5"/>
        <v>0</v>
      </c>
      <c r="AF30" s="98">
        <f ca="1">IF('Invoer gegevens (N)'!$C$17=E30,X30,IF(C30=0,0,AG29))</f>
        <v>0</v>
      </c>
      <c r="AG30" s="98">
        <f t="shared" ca="1" si="6"/>
        <v>0</v>
      </c>
      <c r="AH30" s="68"/>
      <c r="AI30" s="71">
        <f ca="1">IF(C30=1,'Reeksen (N)'!AJ30*((F30-G30+F30)/2)*12+'Reeksen (N)'!AK30*((L30-M30+L30)/2)*12,0)</f>
        <v>0</v>
      </c>
      <c r="AJ30" s="71">
        <f ca="1">-AI30*'Invoer gegevens (N)'!$F$28</f>
        <v>0</v>
      </c>
      <c r="AK30" s="71">
        <f t="shared" ca="1" si="0"/>
        <v>0</v>
      </c>
      <c r="AL30" s="71">
        <f ca="1">IF(C30=1,'Reeksen (N)'!AL30*((F30-G30+F30)/2)*12+'Reeksen (N)'!AM30*((L30-M30+L30)/2)*12,0)</f>
        <v>0</v>
      </c>
      <c r="AM30" s="71">
        <f ca="1">-AL30*'Invoer gegevens (N)'!$F$31</f>
        <v>0</v>
      </c>
      <c r="AN30" s="71">
        <f t="shared" ca="1" si="7"/>
        <v>0</v>
      </c>
      <c r="AO30" s="71">
        <f ca="1">IF(C30=1,(H30+J30+N30+P30)*'Reeksen (N)'!AN30,0)</f>
        <v>0</v>
      </c>
      <c r="AP30" s="71">
        <f ca="1">-IF(C30=1,(H30+J30+N30+P30)*'Hulp - basis'!$O$550*'Reeksen (N)'!H30,0)</f>
        <v>0</v>
      </c>
      <c r="AQ30" s="71">
        <f ca="1">-IF(C30=1,(F30+K30+L30+Q30)/2*'Invoer gegevens (N)'!$I$33*'Reeksen (N)'!J30,0)*2</f>
        <v>0</v>
      </c>
      <c r="AR30" s="71">
        <f ca="1">-IF(C30=1,(I30*'Invoer gegevens (N)'!$I$34)*'Reeksen (N)'!J30,0)</f>
        <v>0</v>
      </c>
      <c r="AS30" s="71">
        <f ca="1">-IF(C30=1,(F30+K30+L30+Q30)/2*'Invoer gegevens (N)'!$I$35*'Reeksen (N)'!L30,0)</f>
        <v>0</v>
      </c>
      <c r="AT30" s="71">
        <f ca="1">-IF(C30=1,IF(E30='Invoer gegevens (N)'!$C$17,'Invoer gegevens (N)'!$C$11,AD30)*'Reeksen (N)'!S30*'Invoer gegevens (N)'!$C$18*'Reeksen (N)'!P30,0)</f>
        <v>0</v>
      </c>
      <c r="AU30" s="71">
        <f ca="1">-IF(C30=1,(F30+K30+L30+Q30)/2*'Invoer gegevens (N)'!$I$36*'Reeksen (N)'!H30,0)</f>
        <v>0</v>
      </c>
      <c r="AV30" s="71">
        <v>0</v>
      </c>
      <c r="AW30" s="71">
        <f t="shared" ca="1" si="8"/>
        <v>0</v>
      </c>
      <c r="AX30" s="71">
        <f ca="1">IF(E30&lt;'Invoer gegevens (N)'!$C$17+15,0,IF(E30&gt;'Invoer gegevens (N)'!$C$17+215,0,AW30))</f>
        <v>0</v>
      </c>
      <c r="AY30" s="71">
        <f ca="1">AX30/(1+'Invoer gegevens (N)'!$F$18)^($AZ30-('Invoer gegevens (N)'!$C$17-'Invoer gegevens (N)'!$C$16))/(1+'Invoer gegevens (N)'!$C$39)^('Invoer gegevens (N)'!$C$17-'Invoer gegevens (N)'!$C$16)</f>
        <v>0</v>
      </c>
      <c r="AZ30" s="68">
        <f ca="1">IF(E30-'Invoer gegevens (N)'!$C$17-14.5&lt;0,0,E30-'Invoer gegevens (N)'!$C$17-14.5)</f>
        <v>10.5</v>
      </c>
    </row>
    <row r="31" spans="1:52" x14ac:dyDescent="0.25">
      <c r="A31" s="59"/>
      <c r="B31" s="70">
        <f t="shared" si="9"/>
        <v>27</v>
      </c>
      <c r="C31" s="67">
        <f ca="1">IF(E31-'Invoer gegevens (N)'!$C$17&lt;0,0,1)</f>
        <v>1</v>
      </c>
      <c r="D31" s="68">
        <f t="shared" si="10"/>
        <v>26.5</v>
      </c>
      <c r="E31" s="108">
        <f ca="1">IF('Invoer gegevens (N)'!$C$16="","",E30+1)</f>
        <v>2045</v>
      </c>
      <c r="F31" s="84">
        <f ca="1">IF('Invoer gegevens (N)'!$C$17=E31,'Invoer gegevens (N)'!$C$10,IF(C31=1,K30,0))</f>
        <v>0</v>
      </c>
      <c r="G31" s="96">
        <f ca="1">IF(C31&gt;=1,F31*VLOOKUP(E31,'Reeksen (N)'!$A$5:$B$76,2),0)</f>
        <v>0</v>
      </c>
      <c r="H31" s="84">
        <f ca="1">(1-('Invoer gegevens (N)'!$F$20/12))*F31*MIN('Reeksen (N)'!B31,'Reeksen (N)'!D31)</f>
        <v>0</v>
      </c>
      <c r="I31" s="84">
        <f>IF('Reeksen (N)'!D31&lt;'Reeksen (N)'!B31,('Reeksen (N)'!B31-'Reeksen (N)'!D31)*F31,0)</f>
        <v>0</v>
      </c>
      <c r="J31" s="84">
        <f ca="1">('Invoer gegevens (N)'!$F$20/12)*F30*MIN('Reeksen (N)'!B30,'Reeksen (N)'!D30)</f>
        <v>0</v>
      </c>
      <c r="K31" s="97">
        <f t="shared" ca="1" si="1"/>
        <v>0</v>
      </c>
      <c r="L31" s="84">
        <f ca="1">IF('Invoer gegevens (N)'!$C$17=E31,0,IF(C31=1,Q30,0))</f>
        <v>0</v>
      </c>
      <c r="M31" s="96">
        <f ca="1">IF(C31&gt;=1,L31*VLOOKUP(E31,'Reeksen (N)'!$A$5:$B$76,2),0)</f>
        <v>0</v>
      </c>
      <c r="N31" s="84">
        <f ca="1">(1-('Invoer gegevens (N)'!$F$20/12))*L31*MIN('Reeksen (N)'!B31,'Reeksen (N)'!D31)</f>
        <v>0</v>
      </c>
      <c r="O31" s="84">
        <f>IF('Reeksen (N)'!D31&lt;'Reeksen (N)'!B31,('Reeksen (N)'!B31-'Reeksen (N)'!D31)*L31,0)</f>
        <v>0</v>
      </c>
      <c r="P31" s="84">
        <f ca="1">('Invoer gegevens (N)'!$F$20/12)*L30*MIN('Reeksen (N)'!B30,'Reeksen (N)'!D30)</f>
        <v>0</v>
      </c>
      <c r="Q31" s="84">
        <f t="shared" ca="1" si="2"/>
        <v>0</v>
      </c>
      <c r="R31" s="82">
        <f ca="1">IF('Invoer gegevens (N)'!$C$17=E31,'Invoer gegevens (N)'!$C$11,IF(C31=1,W30,0))</f>
        <v>0</v>
      </c>
      <c r="S31" s="86">
        <f ca="1">IF(C31&gt;=1,R31*VLOOKUP(E31,'Reeksen (N)'!$A$5:$B$76,2),0)</f>
        <v>0</v>
      </c>
      <c r="T31" s="84">
        <f ca="1">(1-('Invoer gegevens (N)'!$F$20/12))*R31*MIN('Reeksen (N)'!B31,'Reeksen (N)'!D31)</f>
        <v>0</v>
      </c>
      <c r="U31" s="84">
        <f>IF('Reeksen (N)'!D31&gt;='Reeksen (N)'!B31,0,IF('Reeksen (N)'!AK31&lt;='Reeksen (N)'!AE31,('Reeksen (N)'!B31-'Reeksen (N)'!D31)*R31,0))</f>
        <v>0</v>
      </c>
      <c r="V31" s="86">
        <f>IF('Reeksen (N)'!D31&gt;='Reeksen (N)'!B31,0,IF('Reeksen (N)'!AK31&gt;'Reeksen (N)'!AE31,('Reeksen (N)'!B31-'Reeksen (N)'!D31)*R31,0))</f>
        <v>0</v>
      </c>
      <c r="W31" s="97">
        <f t="shared" ca="1" si="3"/>
        <v>0</v>
      </c>
      <c r="X31" s="98">
        <f ca="1">IF('Invoer gegevens (N)'!$C$17=E31,'Invoer gegevens (N)'!$C$10-'Invoer gegevens (N)'!$C$11,IF(C31=1,AC30,0))</f>
        <v>0</v>
      </c>
      <c r="Y31" s="98">
        <f ca="1">IF(C31&gt;=1,X31*VLOOKUP(E31,'Reeksen (N)'!$A$5:$B$76,2),0)</f>
        <v>0</v>
      </c>
      <c r="Z31" s="98">
        <f ca="1">(1-('Invoer gegevens (N)'!$F$20/12))*X31*MIN('Reeksen (N)'!B31,'Reeksen (N)'!D31)</f>
        <v>0</v>
      </c>
      <c r="AA31" s="98">
        <f>IF('Reeksen (N)'!D31&gt;='Reeksen (N)'!B31,0,IF('Reeksen (N)'!AK31&lt;='Reeksen (N)'!AE31,('Reeksen (N)'!B31-'Reeksen (N)'!D31)*X31,0))</f>
        <v>0</v>
      </c>
      <c r="AB31" s="98">
        <f>IF('Reeksen (N)'!D31&gt;='Reeksen (N)'!B31,0,IF('Reeksen (N)'!AK31&gt;'Reeksen (N)'!AE31,('Reeksen (N)'!B31-'Reeksen (N)'!D31)*X31,0))</f>
        <v>0</v>
      </c>
      <c r="AC31" s="99">
        <f t="shared" ca="1" si="4"/>
        <v>0</v>
      </c>
      <c r="AD31" s="98">
        <f ca="1">IF('Invoer gegevens (N)'!$C$17=E31,R31,IF(C31=0,0,AE30))</f>
        <v>0</v>
      </c>
      <c r="AE31" s="98">
        <f t="shared" ca="1" si="5"/>
        <v>0</v>
      </c>
      <c r="AF31" s="98">
        <f ca="1">IF('Invoer gegevens (N)'!$C$17=E31,X31,IF(C31=0,0,AG30))</f>
        <v>0</v>
      </c>
      <c r="AG31" s="98">
        <f t="shared" ca="1" si="6"/>
        <v>0</v>
      </c>
      <c r="AH31" s="68"/>
      <c r="AI31" s="71">
        <f ca="1">IF(C31=1,'Reeksen (N)'!AJ31*((F31-G31+F31)/2)*12+'Reeksen (N)'!AK31*((L31-M31+L31)/2)*12,0)</f>
        <v>0</v>
      </c>
      <c r="AJ31" s="71">
        <f ca="1">-AI31*'Invoer gegevens (N)'!$F$28</f>
        <v>0</v>
      </c>
      <c r="AK31" s="71">
        <f t="shared" ca="1" si="0"/>
        <v>0</v>
      </c>
      <c r="AL31" s="71">
        <f ca="1">IF(C31=1,'Reeksen (N)'!AL31*((F31-G31+F31)/2)*12+'Reeksen (N)'!AM31*((L31-M31+L31)/2)*12,0)</f>
        <v>0</v>
      </c>
      <c r="AM31" s="71">
        <f ca="1">-AL31*'Invoer gegevens (N)'!$F$31</f>
        <v>0</v>
      </c>
      <c r="AN31" s="71">
        <f t="shared" ca="1" si="7"/>
        <v>0</v>
      </c>
      <c r="AO31" s="71">
        <f ca="1">IF(C31=1,(H31+J31+N31+P31)*'Reeksen (N)'!AN31,0)</f>
        <v>0</v>
      </c>
      <c r="AP31" s="71">
        <f ca="1">-IF(C31=1,(H31+J31+N31+P31)*'Hulp - basis'!$O$550*'Reeksen (N)'!H31,0)</f>
        <v>0</v>
      </c>
      <c r="AQ31" s="71">
        <f ca="1">-IF(C31=1,(F31+K31+L31+Q31)/2*'Invoer gegevens (N)'!$I$33*'Reeksen (N)'!J31,0)*2</f>
        <v>0</v>
      </c>
      <c r="AR31" s="71">
        <f ca="1">-IF(C31=1,(I31*'Invoer gegevens (N)'!$I$34)*'Reeksen (N)'!J31,0)</f>
        <v>0</v>
      </c>
      <c r="AS31" s="71">
        <f ca="1">-IF(C31=1,(F31+K31+L31+Q31)/2*'Invoer gegevens (N)'!$I$35*'Reeksen (N)'!L31,0)</f>
        <v>0</v>
      </c>
      <c r="AT31" s="71">
        <f ca="1">-IF(C31=1,IF(E31='Invoer gegevens (N)'!$C$17,'Invoer gegevens (N)'!$C$11,AD31)*'Reeksen (N)'!S31*'Invoer gegevens (N)'!$C$18*'Reeksen (N)'!P31,0)</f>
        <v>0</v>
      </c>
      <c r="AU31" s="71">
        <f ca="1">-IF(C31=1,(F31+K31+L31+Q31)/2*'Invoer gegevens (N)'!$I$36*'Reeksen (N)'!H31,0)</f>
        <v>0</v>
      </c>
      <c r="AV31" s="71">
        <v>0</v>
      </c>
      <c r="AW31" s="71">
        <f t="shared" ca="1" si="8"/>
        <v>0</v>
      </c>
      <c r="AX31" s="71">
        <f ca="1">IF(E31&lt;'Invoer gegevens (N)'!$C$17+15,0,IF(E31&gt;'Invoer gegevens (N)'!$C$17+215,0,AW31))</f>
        <v>0</v>
      </c>
      <c r="AY31" s="71">
        <f ca="1">AX31/(1+'Invoer gegevens (N)'!$F$18)^($AZ31-('Invoer gegevens (N)'!$C$17-'Invoer gegevens (N)'!$C$16))/(1+'Invoer gegevens (N)'!$C$39)^('Invoer gegevens (N)'!$C$17-'Invoer gegevens (N)'!$C$16)</f>
        <v>0</v>
      </c>
      <c r="AZ31" s="68">
        <f ca="1">IF(E31-'Invoer gegevens (N)'!$C$17-14.5&lt;0,0,E31-'Invoer gegevens (N)'!$C$17-14.5)</f>
        <v>11.5</v>
      </c>
    </row>
    <row r="32" spans="1:52" x14ac:dyDescent="0.25">
      <c r="A32" s="59"/>
      <c r="B32" s="70">
        <f t="shared" si="9"/>
        <v>28</v>
      </c>
      <c r="C32" s="67">
        <f ca="1">IF(E32-'Invoer gegevens (N)'!$C$17&lt;0,0,1)</f>
        <v>1</v>
      </c>
      <c r="D32" s="68">
        <f t="shared" si="10"/>
        <v>27.5</v>
      </c>
      <c r="E32" s="108">
        <f ca="1">IF('Invoer gegevens (N)'!$C$16="","",E31+1)</f>
        <v>2046</v>
      </c>
      <c r="F32" s="84">
        <f ca="1">IF('Invoer gegevens (N)'!$C$17=E32,'Invoer gegevens (N)'!$C$10,IF(C32=1,K31,0))</f>
        <v>0</v>
      </c>
      <c r="G32" s="96">
        <f ca="1">IF(C32&gt;=1,F32*VLOOKUP(E32,'Reeksen (N)'!$A$5:$B$76,2),0)</f>
        <v>0</v>
      </c>
      <c r="H32" s="84">
        <f ca="1">(1-('Invoer gegevens (N)'!$F$20/12))*F32*MIN('Reeksen (N)'!B32,'Reeksen (N)'!D32)</f>
        <v>0</v>
      </c>
      <c r="I32" s="84">
        <f>IF('Reeksen (N)'!D32&lt;'Reeksen (N)'!B32,('Reeksen (N)'!B32-'Reeksen (N)'!D32)*F32,0)</f>
        <v>0</v>
      </c>
      <c r="J32" s="84">
        <f ca="1">('Invoer gegevens (N)'!$F$20/12)*F31*MIN('Reeksen (N)'!B31,'Reeksen (N)'!D31)</f>
        <v>0</v>
      </c>
      <c r="K32" s="97">
        <f t="shared" ca="1" si="1"/>
        <v>0</v>
      </c>
      <c r="L32" s="84">
        <f ca="1">IF('Invoer gegevens (N)'!$C$17=E32,0,IF(C32=1,Q31,0))</f>
        <v>0</v>
      </c>
      <c r="M32" s="96">
        <f ca="1">IF(C32&gt;=1,L32*VLOOKUP(E32,'Reeksen (N)'!$A$5:$B$76,2),0)</f>
        <v>0</v>
      </c>
      <c r="N32" s="84">
        <f ca="1">(1-('Invoer gegevens (N)'!$F$20/12))*L32*MIN('Reeksen (N)'!B32,'Reeksen (N)'!D32)</f>
        <v>0</v>
      </c>
      <c r="O32" s="84">
        <f>IF('Reeksen (N)'!D32&lt;'Reeksen (N)'!B32,('Reeksen (N)'!B32-'Reeksen (N)'!D32)*L32,0)</f>
        <v>0</v>
      </c>
      <c r="P32" s="84">
        <f ca="1">('Invoer gegevens (N)'!$F$20/12)*L31*MIN('Reeksen (N)'!B31,'Reeksen (N)'!D31)</f>
        <v>0</v>
      </c>
      <c r="Q32" s="84">
        <f t="shared" ca="1" si="2"/>
        <v>0</v>
      </c>
      <c r="R32" s="82">
        <f ca="1">IF('Invoer gegevens (N)'!$C$17=E32,'Invoer gegevens (N)'!$C$11,IF(C32=1,W31,0))</f>
        <v>0</v>
      </c>
      <c r="S32" s="86">
        <f ca="1">IF(C32&gt;=1,R32*VLOOKUP(E32,'Reeksen (N)'!$A$5:$B$76,2),0)</f>
        <v>0</v>
      </c>
      <c r="T32" s="84">
        <f ca="1">(1-('Invoer gegevens (N)'!$F$20/12))*R32*MIN('Reeksen (N)'!B32,'Reeksen (N)'!D32)</f>
        <v>0</v>
      </c>
      <c r="U32" s="84">
        <f>IF('Reeksen (N)'!D32&gt;='Reeksen (N)'!B32,0,IF('Reeksen (N)'!AK32&lt;='Reeksen (N)'!AE32,('Reeksen (N)'!B32-'Reeksen (N)'!D32)*R32,0))</f>
        <v>0</v>
      </c>
      <c r="V32" s="86">
        <f>IF('Reeksen (N)'!D32&gt;='Reeksen (N)'!B32,0,IF('Reeksen (N)'!AK32&gt;'Reeksen (N)'!AE32,('Reeksen (N)'!B32-'Reeksen (N)'!D32)*R32,0))</f>
        <v>0</v>
      </c>
      <c r="W32" s="97">
        <f t="shared" ca="1" si="3"/>
        <v>0</v>
      </c>
      <c r="X32" s="98">
        <f ca="1">IF('Invoer gegevens (N)'!$C$17=E32,'Invoer gegevens (N)'!$C$10-'Invoer gegevens (N)'!$C$11,IF(C32=1,AC31,0))</f>
        <v>0</v>
      </c>
      <c r="Y32" s="98">
        <f ca="1">IF(C32&gt;=1,X32*VLOOKUP(E32,'Reeksen (N)'!$A$5:$B$76,2),0)</f>
        <v>0</v>
      </c>
      <c r="Z32" s="98">
        <f ca="1">(1-('Invoer gegevens (N)'!$F$20/12))*X32*MIN('Reeksen (N)'!B32,'Reeksen (N)'!D32)</f>
        <v>0</v>
      </c>
      <c r="AA32" s="98">
        <f>IF('Reeksen (N)'!D32&gt;='Reeksen (N)'!B32,0,IF('Reeksen (N)'!AK32&lt;='Reeksen (N)'!AE32,('Reeksen (N)'!B32-'Reeksen (N)'!D32)*X32,0))</f>
        <v>0</v>
      </c>
      <c r="AB32" s="98">
        <f>IF('Reeksen (N)'!D32&gt;='Reeksen (N)'!B32,0,IF('Reeksen (N)'!AK32&gt;'Reeksen (N)'!AE32,('Reeksen (N)'!B32-'Reeksen (N)'!D32)*X32,0))</f>
        <v>0</v>
      </c>
      <c r="AC32" s="99">
        <f t="shared" ca="1" si="4"/>
        <v>0</v>
      </c>
      <c r="AD32" s="98">
        <f ca="1">IF('Invoer gegevens (N)'!$C$17=E32,R32,IF(C32=0,0,AE31))</f>
        <v>0</v>
      </c>
      <c r="AE32" s="98">
        <f t="shared" ca="1" si="5"/>
        <v>0</v>
      </c>
      <c r="AF32" s="98">
        <f ca="1">IF('Invoer gegevens (N)'!$C$17=E32,X32,IF(C32=0,0,AG31))</f>
        <v>0</v>
      </c>
      <c r="AG32" s="98">
        <f t="shared" ca="1" si="6"/>
        <v>0</v>
      </c>
      <c r="AH32" s="68"/>
      <c r="AI32" s="71">
        <f ca="1">IF(C32=1,'Reeksen (N)'!AJ32*((F32-G32+F32)/2)*12+'Reeksen (N)'!AK32*((L32-M32+L32)/2)*12,0)</f>
        <v>0</v>
      </c>
      <c r="AJ32" s="71">
        <f ca="1">-AI32*'Invoer gegevens (N)'!$F$28</f>
        <v>0</v>
      </c>
      <c r="AK32" s="71">
        <f t="shared" ca="1" si="0"/>
        <v>0</v>
      </c>
      <c r="AL32" s="71">
        <f ca="1">IF(C32=1,'Reeksen (N)'!AL32*((F32-G32+F32)/2)*12+'Reeksen (N)'!AM32*((L32-M32+L32)/2)*12,0)</f>
        <v>0</v>
      </c>
      <c r="AM32" s="71">
        <f ca="1">-AL32*'Invoer gegevens (N)'!$F$31</f>
        <v>0</v>
      </c>
      <c r="AN32" s="71">
        <f t="shared" ca="1" si="7"/>
        <v>0</v>
      </c>
      <c r="AO32" s="71">
        <f ca="1">IF(C32=1,(H32+J32+N32+P32)*'Reeksen (N)'!AN32,0)</f>
        <v>0</v>
      </c>
      <c r="AP32" s="71">
        <f ca="1">-IF(C32=1,(H32+J32+N32+P32)*'Hulp - basis'!$O$550*'Reeksen (N)'!H32,0)</f>
        <v>0</v>
      </c>
      <c r="AQ32" s="71">
        <f ca="1">-IF(C32=1,(F32+K32+L32+Q32)/2*'Invoer gegevens (N)'!$I$33*'Reeksen (N)'!J32,0)*2</f>
        <v>0</v>
      </c>
      <c r="AR32" s="71">
        <f ca="1">-IF(C32=1,(I32*'Invoer gegevens (N)'!$I$34)*'Reeksen (N)'!J32,0)</f>
        <v>0</v>
      </c>
      <c r="AS32" s="71">
        <f ca="1">-IF(C32=1,(F32+K32+L32+Q32)/2*'Invoer gegevens (N)'!$I$35*'Reeksen (N)'!L32,0)</f>
        <v>0</v>
      </c>
      <c r="AT32" s="71">
        <f ca="1">-IF(C32=1,IF(E32='Invoer gegevens (N)'!$C$17,'Invoer gegevens (N)'!$C$11,AD32)*'Reeksen (N)'!S32*'Invoer gegevens (N)'!$C$18*'Reeksen (N)'!P32,0)</f>
        <v>0</v>
      </c>
      <c r="AU32" s="71">
        <f ca="1">-IF(C32=1,(F32+K32+L32+Q32)/2*'Invoer gegevens (N)'!$I$36*'Reeksen (N)'!H32,0)</f>
        <v>0</v>
      </c>
      <c r="AV32" s="71">
        <v>0</v>
      </c>
      <c r="AW32" s="71">
        <f t="shared" ca="1" si="8"/>
        <v>0</v>
      </c>
      <c r="AX32" s="71">
        <f ca="1">IF(E32&lt;'Invoer gegevens (N)'!$C$17+15,0,IF(E32&gt;'Invoer gegevens (N)'!$C$17+215,0,AW32))</f>
        <v>0</v>
      </c>
      <c r="AY32" s="71">
        <f ca="1">AX32/(1+'Invoer gegevens (N)'!$F$18)^($AZ32-('Invoer gegevens (N)'!$C$17-'Invoer gegevens (N)'!$C$16))/(1+'Invoer gegevens (N)'!$C$39)^('Invoer gegevens (N)'!$C$17-'Invoer gegevens (N)'!$C$16)</f>
        <v>0</v>
      </c>
      <c r="AZ32" s="68">
        <f ca="1">IF(E32-'Invoer gegevens (N)'!$C$17-14.5&lt;0,0,E32-'Invoer gegevens (N)'!$C$17-14.5)</f>
        <v>12.5</v>
      </c>
    </row>
    <row r="33" spans="2:52" x14ac:dyDescent="0.25">
      <c r="B33" s="70">
        <f t="shared" si="9"/>
        <v>29</v>
      </c>
      <c r="C33" s="67">
        <f ca="1">IF(E33-'Invoer gegevens (N)'!$C$17&lt;0,0,1)</f>
        <v>1</v>
      </c>
      <c r="D33" s="68">
        <f t="shared" si="10"/>
        <v>28.5</v>
      </c>
      <c r="E33" s="108">
        <f ca="1">IF('Invoer gegevens (N)'!$C$16="","",E32+1)</f>
        <v>2047</v>
      </c>
      <c r="F33" s="84">
        <f ca="1">IF('Invoer gegevens (N)'!$C$17=E33,'Invoer gegevens (N)'!$C$10,IF(C33=1,K32,0))</f>
        <v>0</v>
      </c>
      <c r="G33" s="96">
        <f ca="1">IF(C33&gt;=1,F33*VLOOKUP(E33,'Reeksen (N)'!$A$5:$B$76,2),0)</f>
        <v>0</v>
      </c>
      <c r="H33" s="84">
        <f ca="1">(1-('Invoer gegevens (N)'!$F$20/12))*F33*MIN('Reeksen (N)'!B33,'Reeksen (N)'!D33)</f>
        <v>0</v>
      </c>
      <c r="I33" s="84">
        <f>IF('Reeksen (N)'!D33&lt;'Reeksen (N)'!B33,('Reeksen (N)'!B33-'Reeksen (N)'!D33)*F33,0)</f>
        <v>0</v>
      </c>
      <c r="J33" s="84">
        <f ca="1">('Invoer gegevens (N)'!$F$20/12)*F32*MIN('Reeksen (N)'!B32,'Reeksen (N)'!D32)</f>
        <v>0</v>
      </c>
      <c r="K33" s="97">
        <f t="shared" ca="1" si="1"/>
        <v>0</v>
      </c>
      <c r="L33" s="84">
        <f ca="1">IF('Invoer gegevens (N)'!$C$17=E33,0,IF(C33=1,Q32,0))</f>
        <v>0</v>
      </c>
      <c r="M33" s="96">
        <f ca="1">IF(C33&gt;=1,L33*VLOOKUP(E33,'Reeksen (N)'!$A$5:$B$76,2),0)</f>
        <v>0</v>
      </c>
      <c r="N33" s="84">
        <f ca="1">(1-('Invoer gegevens (N)'!$F$20/12))*L33*MIN('Reeksen (N)'!B33,'Reeksen (N)'!D33)</f>
        <v>0</v>
      </c>
      <c r="O33" s="84">
        <f>IF('Reeksen (N)'!D33&lt;'Reeksen (N)'!B33,('Reeksen (N)'!B33-'Reeksen (N)'!D33)*L33,0)</f>
        <v>0</v>
      </c>
      <c r="P33" s="84">
        <f ca="1">('Invoer gegevens (N)'!$F$20/12)*L32*MIN('Reeksen (N)'!B32,'Reeksen (N)'!D32)</f>
        <v>0</v>
      </c>
      <c r="Q33" s="84">
        <f t="shared" ca="1" si="2"/>
        <v>0</v>
      </c>
      <c r="R33" s="82">
        <f ca="1">IF('Invoer gegevens (N)'!$C$17=E33,'Invoer gegevens (N)'!$C$11,IF(C33=1,W32,0))</f>
        <v>0</v>
      </c>
      <c r="S33" s="86">
        <f ca="1">IF(C33&gt;=1,R33*VLOOKUP(E33,'Reeksen (N)'!$A$5:$B$76,2),0)</f>
        <v>0</v>
      </c>
      <c r="T33" s="84">
        <f ca="1">(1-('Invoer gegevens (N)'!$F$20/12))*R33*MIN('Reeksen (N)'!B33,'Reeksen (N)'!D33)</f>
        <v>0</v>
      </c>
      <c r="U33" s="84">
        <f>IF('Reeksen (N)'!D33&gt;='Reeksen (N)'!B33,0,IF('Reeksen (N)'!AK33&lt;='Reeksen (N)'!AE33,('Reeksen (N)'!B33-'Reeksen (N)'!D33)*R33,0))</f>
        <v>0</v>
      </c>
      <c r="V33" s="86">
        <f>IF('Reeksen (N)'!D33&gt;='Reeksen (N)'!B33,0,IF('Reeksen (N)'!AK33&gt;'Reeksen (N)'!AE33,('Reeksen (N)'!B33-'Reeksen (N)'!D33)*R33,0))</f>
        <v>0</v>
      </c>
      <c r="W33" s="97">
        <f t="shared" ca="1" si="3"/>
        <v>0</v>
      </c>
      <c r="X33" s="98">
        <f ca="1">IF('Invoer gegevens (N)'!$C$17=E33,'Invoer gegevens (N)'!$C$10-'Invoer gegevens (N)'!$C$11,IF(C33=1,AC32,0))</f>
        <v>0</v>
      </c>
      <c r="Y33" s="98">
        <f ca="1">IF(C33&gt;=1,X33*VLOOKUP(E33,'Reeksen (N)'!$A$5:$B$76,2),0)</f>
        <v>0</v>
      </c>
      <c r="Z33" s="98">
        <f ca="1">(1-('Invoer gegevens (N)'!$F$20/12))*X33*MIN('Reeksen (N)'!B33,'Reeksen (N)'!D33)</f>
        <v>0</v>
      </c>
      <c r="AA33" s="98">
        <f>IF('Reeksen (N)'!D33&gt;='Reeksen (N)'!B33,0,IF('Reeksen (N)'!AK33&lt;='Reeksen (N)'!AE33,('Reeksen (N)'!B33-'Reeksen (N)'!D33)*X33,0))</f>
        <v>0</v>
      </c>
      <c r="AB33" s="98">
        <f>IF('Reeksen (N)'!D33&gt;='Reeksen (N)'!B33,0,IF('Reeksen (N)'!AK33&gt;'Reeksen (N)'!AE33,('Reeksen (N)'!B33-'Reeksen (N)'!D33)*X33,0))</f>
        <v>0</v>
      </c>
      <c r="AC33" s="99">
        <f t="shared" ca="1" si="4"/>
        <v>0</v>
      </c>
      <c r="AD33" s="98">
        <f ca="1">IF('Invoer gegevens (N)'!$C$17=E33,R33,IF(C33=0,0,AE32))</f>
        <v>0</v>
      </c>
      <c r="AE33" s="98">
        <f t="shared" ca="1" si="5"/>
        <v>0</v>
      </c>
      <c r="AF33" s="98">
        <f ca="1">IF('Invoer gegevens (N)'!$C$17=E33,X33,IF(C33=0,0,AG32))</f>
        <v>0</v>
      </c>
      <c r="AG33" s="98">
        <f t="shared" ca="1" si="6"/>
        <v>0</v>
      </c>
      <c r="AH33" s="68"/>
      <c r="AI33" s="71">
        <f ca="1">IF(C33=1,'Reeksen (N)'!AJ33*((F33-G33+F33)/2)*12+'Reeksen (N)'!AK33*((L33-M33+L33)/2)*12,0)</f>
        <v>0</v>
      </c>
      <c r="AJ33" s="71">
        <f ca="1">-AI33*'Invoer gegevens (N)'!$F$28</f>
        <v>0</v>
      </c>
      <c r="AK33" s="71">
        <f t="shared" ca="1" si="0"/>
        <v>0</v>
      </c>
      <c r="AL33" s="71">
        <f ca="1">IF(C33=1,'Reeksen (N)'!AL33*((F33-G33+F33)/2)*12+'Reeksen (N)'!AM33*((L33-M33+L33)/2)*12,0)</f>
        <v>0</v>
      </c>
      <c r="AM33" s="71">
        <f ca="1">-AL33*'Invoer gegevens (N)'!$F$31</f>
        <v>0</v>
      </c>
      <c r="AN33" s="71">
        <f t="shared" ca="1" si="7"/>
        <v>0</v>
      </c>
      <c r="AO33" s="71">
        <f ca="1">IF(C33=1,(H33+J33+N33+P33)*'Reeksen (N)'!AN33,0)</f>
        <v>0</v>
      </c>
      <c r="AP33" s="71">
        <f ca="1">-IF(C33=1,(H33+J33+N33+P33)*'Hulp - basis'!$O$550*'Reeksen (N)'!H33,0)</f>
        <v>0</v>
      </c>
      <c r="AQ33" s="71">
        <f ca="1">-IF(C33=1,(F33+K33+L33+Q33)/2*'Invoer gegevens (N)'!$I$33*'Reeksen (N)'!J33,0)*2</f>
        <v>0</v>
      </c>
      <c r="AR33" s="71">
        <f ca="1">-IF(C33=1,(I33*'Invoer gegevens (N)'!$I$34)*'Reeksen (N)'!J33,0)</f>
        <v>0</v>
      </c>
      <c r="AS33" s="71">
        <f ca="1">-IF(C33=1,(F33+K33+L33+Q33)/2*'Invoer gegevens (N)'!$I$35*'Reeksen (N)'!L33,0)</f>
        <v>0</v>
      </c>
      <c r="AT33" s="71">
        <f ca="1">-IF(C33=1,IF(E33='Invoer gegevens (N)'!$C$17,'Invoer gegevens (N)'!$C$11,AD33)*'Reeksen (N)'!S33*'Invoer gegevens (N)'!$C$18*'Reeksen (N)'!P33,0)</f>
        <v>0</v>
      </c>
      <c r="AU33" s="71">
        <f ca="1">-IF(C33=1,(F33+K33+L33+Q33)/2*'Invoer gegevens (N)'!$I$36*'Reeksen (N)'!H33,0)</f>
        <v>0</v>
      </c>
      <c r="AV33" s="71">
        <v>0</v>
      </c>
      <c r="AW33" s="71">
        <f t="shared" ca="1" si="8"/>
        <v>0</v>
      </c>
      <c r="AX33" s="71">
        <f ca="1">IF(E33&lt;'Invoer gegevens (N)'!$C$17+15,0,IF(E33&gt;'Invoer gegevens (N)'!$C$17+215,0,AW33))</f>
        <v>0</v>
      </c>
      <c r="AY33" s="71">
        <f ca="1">AX33/(1+'Invoer gegevens (N)'!$F$18)^($AZ33-('Invoer gegevens (N)'!$C$17-'Invoer gegevens (N)'!$C$16))/(1+'Invoer gegevens (N)'!$C$39)^('Invoer gegevens (N)'!$C$17-'Invoer gegevens (N)'!$C$16)</f>
        <v>0</v>
      </c>
      <c r="AZ33" s="68">
        <f ca="1">IF(E33-'Invoer gegevens (N)'!$C$17-14.5&lt;0,0,E33-'Invoer gegevens (N)'!$C$17-14.5)</f>
        <v>13.5</v>
      </c>
    </row>
    <row r="34" spans="2:52" x14ac:dyDescent="0.25">
      <c r="B34" s="70">
        <f t="shared" si="9"/>
        <v>30</v>
      </c>
      <c r="C34" s="67">
        <f ca="1">IF(E34-'Invoer gegevens (N)'!$C$17&lt;0,0,1)</f>
        <v>1</v>
      </c>
      <c r="D34" s="68">
        <f t="shared" si="10"/>
        <v>29.5</v>
      </c>
      <c r="E34" s="108">
        <f ca="1">IF('Invoer gegevens (N)'!$C$16="","",E33+1)</f>
        <v>2048</v>
      </c>
      <c r="F34" s="84">
        <f ca="1">IF('Invoer gegevens (N)'!$C$17=E34,'Invoer gegevens (N)'!$C$10,IF(C34=1,K33,0))</f>
        <v>0</v>
      </c>
      <c r="G34" s="96">
        <f ca="1">IF(C34&gt;=1,F34*VLOOKUP(E34,'Reeksen (N)'!$A$5:$B$76,2),0)</f>
        <v>0</v>
      </c>
      <c r="H34" s="84">
        <f ca="1">(1-('Invoer gegevens (N)'!$F$20/12))*F34*MIN('Reeksen (N)'!B34,'Reeksen (N)'!D34)</f>
        <v>0</v>
      </c>
      <c r="I34" s="84">
        <f>IF('Reeksen (N)'!D34&lt;'Reeksen (N)'!B34,('Reeksen (N)'!B34-'Reeksen (N)'!D34)*F34,0)</f>
        <v>0</v>
      </c>
      <c r="J34" s="84">
        <f ca="1">('Invoer gegevens (N)'!$F$20/12)*F33*MIN('Reeksen (N)'!B33,'Reeksen (N)'!D33)</f>
        <v>0</v>
      </c>
      <c r="K34" s="97">
        <f t="shared" ca="1" si="1"/>
        <v>0</v>
      </c>
      <c r="L34" s="84">
        <f ca="1">IF('Invoer gegevens (N)'!$C$17=E34,0,IF(C34=1,Q33,0))</f>
        <v>0</v>
      </c>
      <c r="M34" s="96">
        <f ca="1">IF(C34&gt;=1,L34*VLOOKUP(E34,'Reeksen (N)'!$A$5:$B$76,2),0)</f>
        <v>0</v>
      </c>
      <c r="N34" s="84">
        <f ca="1">(1-('Invoer gegevens (N)'!$F$20/12))*L34*MIN('Reeksen (N)'!B34,'Reeksen (N)'!D34)</f>
        <v>0</v>
      </c>
      <c r="O34" s="84">
        <f>IF('Reeksen (N)'!D34&lt;'Reeksen (N)'!B34,('Reeksen (N)'!B34-'Reeksen (N)'!D34)*L34,0)</f>
        <v>0</v>
      </c>
      <c r="P34" s="84">
        <f ca="1">('Invoer gegevens (N)'!$F$20/12)*L33*MIN('Reeksen (N)'!B33,'Reeksen (N)'!D33)</f>
        <v>0</v>
      </c>
      <c r="Q34" s="84">
        <f t="shared" ca="1" si="2"/>
        <v>0</v>
      </c>
      <c r="R34" s="82">
        <f ca="1">IF('Invoer gegevens (N)'!$C$17=E34,'Invoer gegevens (N)'!$C$11,IF(C34=1,W33,0))</f>
        <v>0</v>
      </c>
      <c r="S34" s="86">
        <f ca="1">IF(C34&gt;=1,R34*VLOOKUP(E34,'Reeksen (N)'!$A$5:$B$76,2),0)</f>
        <v>0</v>
      </c>
      <c r="T34" s="84">
        <f ca="1">(1-('Invoer gegevens (N)'!$F$20/12))*R34*MIN('Reeksen (N)'!B34,'Reeksen (N)'!D34)</f>
        <v>0</v>
      </c>
      <c r="U34" s="84">
        <f>IF('Reeksen (N)'!D34&gt;='Reeksen (N)'!B34,0,IF('Reeksen (N)'!AK34&lt;='Reeksen (N)'!AE34,('Reeksen (N)'!B34-'Reeksen (N)'!D34)*R34,0))</f>
        <v>0</v>
      </c>
      <c r="V34" s="86">
        <f>IF('Reeksen (N)'!D34&gt;='Reeksen (N)'!B34,0,IF('Reeksen (N)'!AK34&gt;'Reeksen (N)'!AE34,('Reeksen (N)'!B34-'Reeksen (N)'!D34)*R34,0))</f>
        <v>0</v>
      </c>
      <c r="W34" s="97">
        <f t="shared" ca="1" si="3"/>
        <v>0</v>
      </c>
      <c r="X34" s="98">
        <f ca="1">IF('Invoer gegevens (N)'!$C$17=E34,'Invoer gegevens (N)'!$C$10-'Invoer gegevens (N)'!$C$11,IF(C34=1,AC33,0))</f>
        <v>0</v>
      </c>
      <c r="Y34" s="98">
        <f ca="1">IF(C34&gt;=1,X34*VLOOKUP(E34,'Reeksen (N)'!$A$5:$B$76,2),0)</f>
        <v>0</v>
      </c>
      <c r="Z34" s="98">
        <f ca="1">(1-('Invoer gegevens (N)'!$F$20/12))*X34*MIN('Reeksen (N)'!B34,'Reeksen (N)'!D34)</f>
        <v>0</v>
      </c>
      <c r="AA34" s="98">
        <f>IF('Reeksen (N)'!D34&gt;='Reeksen (N)'!B34,0,IF('Reeksen (N)'!AK34&lt;='Reeksen (N)'!AE34,('Reeksen (N)'!B34-'Reeksen (N)'!D34)*X34,0))</f>
        <v>0</v>
      </c>
      <c r="AB34" s="98">
        <f>IF('Reeksen (N)'!D34&gt;='Reeksen (N)'!B34,0,IF('Reeksen (N)'!AK34&gt;'Reeksen (N)'!AE34,('Reeksen (N)'!B34-'Reeksen (N)'!D34)*X34,0))</f>
        <v>0</v>
      </c>
      <c r="AC34" s="99">
        <f t="shared" ca="1" si="4"/>
        <v>0</v>
      </c>
      <c r="AD34" s="98">
        <f ca="1">IF('Invoer gegevens (N)'!$C$17=E34,R34,IF(C34=0,0,AE33))</f>
        <v>0</v>
      </c>
      <c r="AE34" s="98">
        <f t="shared" ca="1" si="5"/>
        <v>0</v>
      </c>
      <c r="AF34" s="98">
        <f ca="1">IF('Invoer gegevens (N)'!$C$17=E34,X34,IF(C34=0,0,AG33))</f>
        <v>0</v>
      </c>
      <c r="AG34" s="98">
        <f t="shared" ca="1" si="6"/>
        <v>0</v>
      </c>
      <c r="AH34" s="68"/>
      <c r="AI34" s="71">
        <f ca="1">IF(C34=1,'Reeksen (N)'!AJ34*((F34-G34+F34)/2)*12+'Reeksen (N)'!AK34*((L34-M34+L34)/2)*12,0)</f>
        <v>0</v>
      </c>
      <c r="AJ34" s="71">
        <f ca="1">-AI34*'Invoer gegevens (N)'!$F$28</f>
        <v>0</v>
      </c>
      <c r="AK34" s="71">
        <f t="shared" ca="1" si="0"/>
        <v>0</v>
      </c>
      <c r="AL34" s="71">
        <f ca="1">IF(C34=1,'Reeksen (N)'!AL34*((F34-G34+F34)/2)*12+'Reeksen (N)'!AM34*((L34-M34+L34)/2)*12,0)</f>
        <v>0</v>
      </c>
      <c r="AM34" s="71">
        <f ca="1">-AL34*'Invoer gegevens (N)'!$F$31</f>
        <v>0</v>
      </c>
      <c r="AN34" s="71">
        <f t="shared" ca="1" si="7"/>
        <v>0</v>
      </c>
      <c r="AO34" s="71">
        <f ca="1">IF(C34=1,(H34+J34+N34+P34)*'Reeksen (N)'!AN34,0)</f>
        <v>0</v>
      </c>
      <c r="AP34" s="71">
        <f ca="1">-IF(C34=1,(H34+J34+N34+P34)*'Hulp - basis'!$O$550*'Reeksen (N)'!H34,0)</f>
        <v>0</v>
      </c>
      <c r="AQ34" s="71">
        <f ca="1">-IF(C34=1,(F34+K34+L34+Q34)/2*'Invoer gegevens (N)'!$I$33*'Reeksen (N)'!J34,0)*2</f>
        <v>0</v>
      </c>
      <c r="AR34" s="71">
        <f ca="1">-IF(C34=1,(I34*'Invoer gegevens (N)'!$I$34)*'Reeksen (N)'!J34,0)</f>
        <v>0</v>
      </c>
      <c r="AS34" s="71">
        <f ca="1">-IF(C34=1,(F34+K34+L34+Q34)/2*'Invoer gegevens (N)'!$I$35*'Reeksen (N)'!L34,0)</f>
        <v>0</v>
      </c>
      <c r="AT34" s="71">
        <f ca="1">-IF(C34=1,IF(E34='Invoer gegevens (N)'!$C$17,'Invoer gegevens (N)'!$C$11,AD34)*'Reeksen (N)'!S34*'Invoer gegevens (N)'!$C$18*'Reeksen (N)'!P34,0)</f>
        <v>0</v>
      </c>
      <c r="AU34" s="71">
        <f ca="1">-IF(C34=1,(F34+K34+L34+Q34)/2*'Invoer gegevens (N)'!$I$36*'Reeksen (N)'!H34,0)</f>
        <v>0</v>
      </c>
      <c r="AV34" s="71">
        <v>0</v>
      </c>
      <c r="AW34" s="71">
        <f t="shared" ca="1" si="8"/>
        <v>0</v>
      </c>
      <c r="AX34" s="71">
        <f ca="1">IF(E34&lt;'Invoer gegevens (N)'!$C$17+15,0,IF(E34&gt;'Invoer gegevens (N)'!$C$17+215,0,AW34))</f>
        <v>0</v>
      </c>
      <c r="AY34" s="71">
        <f ca="1">AX34/(1+'Invoer gegevens (N)'!$F$18)^($AZ34-('Invoer gegevens (N)'!$C$17-'Invoer gegevens (N)'!$C$16))/(1+'Invoer gegevens (N)'!$C$39)^('Invoer gegevens (N)'!$C$17-'Invoer gegevens (N)'!$C$16)</f>
        <v>0</v>
      </c>
      <c r="AZ34" s="68">
        <f ca="1">IF(E34-'Invoer gegevens (N)'!$C$17-14.5&lt;0,0,E34-'Invoer gegevens (N)'!$C$17-14.5)</f>
        <v>14.5</v>
      </c>
    </row>
    <row r="35" spans="2:52" x14ac:dyDescent="0.25">
      <c r="B35" s="70">
        <f t="shared" si="9"/>
        <v>31</v>
      </c>
      <c r="C35" s="67">
        <f ca="1">IF(E35-'Invoer gegevens (N)'!$C$17&lt;0,0,1)</f>
        <v>1</v>
      </c>
      <c r="D35" s="68">
        <f t="shared" si="10"/>
        <v>30.5</v>
      </c>
      <c r="E35" s="108">
        <f ca="1">IF('Invoer gegevens (N)'!$C$16="","",E34+1)</f>
        <v>2049</v>
      </c>
      <c r="F35" s="84">
        <f ca="1">IF('Invoer gegevens (N)'!$C$17=E35,'Invoer gegevens (N)'!$C$10,IF(C35=1,K34,0))</f>
        <v>0</v>
      </c>
      <c r="G35" s="96">
        <f ca="1">IF(C35&gt;=1,F35*VLOOKUP(E35,'Reeksen (N)'!$A$5:$B$76,2),0)</f>
        <v>0</v>
      </c>
      <c r="H35" s="84">
        <f ca="1">(1-('Invoer gegevens (N)'!$F$20/12))*F35*MIN('Reeksen (N)'!B35,'Reeksen (N)'!D35)</f>
        <v>0</v>
      </c>
      <c r="I35" s="84">
        <f>IF('Reeksen (N)'!D35&lt;'Reeksen (N)'!B35,('Reeksen (N)'!B35-'Reeksen (N)'!D35)*F35,0)</f>
        <v>0</v>
      </c>
      <c r="J35" s="84">
        <f ca="1">('Invoer gegevens (N)'!$F$20/12)*F34*MIN('Reeksen (N)'!B34,'Reeksen (N)'!D34)</f>
        <v>0</v>
      </c>
      <c r="K35" s="97">
        <f t="shared" ca="1" si="1"/>
        <v>0</v>
      </c>
      <c r="L35" s="84">
        <f ca="1">IF('Invoer gegevens (N)'!$C$17=E35,0,IF(C35=1,Q34,0))</f>
        <v>0</v>
      </c>
      <c r="M35" s="96">
        <f ca="1">IF(C35&gt;=1,L35*VLOOKUP(E35,'Reeksen (N)'!$A$5:$B$76,2),0)</f>
        <v>0</v>
      </c>
      <c r="N35" s="84">
        <f ca="1">(1-('Invoer gegevens (N)'!$F$20/12))*L35*MIN('Reeksen (N)'!B35,'Reeksen (N)'!D35)</f>
        <v>0</v>
      </c>
      <c r="O35" s="84">
        <f>IF('Reeksen (N)'!D35&lt;'Reeksen (N)'!B35,('Reeksen (N)'!B35-'Reeksen (N)'!D35)*L35,0)</f>
        <v>0</v>
      </c>
      <c r="P35" s="84">
        <f ca="1">('Invoer gegevens (N)'!$F$20/12)*L34*MIN('Reeksen (N)'!B34,'Reeksen (N)'!D34)</f>
        <v>0</v>
      </c>
      <c r="Q35" s="84">
        <f t="shared" ca="1" si="2"/>
        <v>0</v>
      </c>
      <c r="R35" s="82">
        <f ca="1">IF('Invoer gegevens (N)'!$C$17=E35,'Invoer gegevens (N)'!$C$11,IF(C35=1,W34,0))</f>
        <v>0</v>
      </c>
      <c r="S35" s="86">
        <f ca="1">IF(C35&gt;=1,R35*VLOOKUP(E35,'Reeksen (N)'!$A$5:$B$76,2),0)</f>
        <v>0</v>
      </c>
      <c r="T35" s="84">
        <f ca="1">(1-('Invoer gegevens (N)'!$F$20/12))*R35*MIN('Reeksen (N)'!B35,'Reeksen (N)'!D35)</f>
        <v>0</v>
      </c>
      <c r="U35" s="84">
        <f>IF('Reeksen (N)'!D35&gt;='Reeksen (N)'!B35,0,IF('Reeksen (N)'!AK35&lt;='Reeksen (N)'!AE35,('Reeksen (N)'!B35-'Reeksen (N)'!D35)*R35,0))</f>
        <v>0</v>
      </c>
      <c r="V35" s="86">
        <f>IF('Reeksen (N)'!D35&gt;='Reeksen (N)'!B35,0,IF('Reeksen (N)'!AK35&gt;'Reeksen (N)'!AE35,('Reeksen (N)'!B35-'Reeksen (N)'!D35)*R35,0))</f>
        <v>0</v>
      </c>
      <c r="W35" s="97">
        <f t="shared" ca="1" si="3"/>
        <v>0</v>
      </c>
      <c r="X35" s="98">
        <f ca="1">IF('Invoer gegevens (N)'!$C$17=E35,'Invoer gegevens (N)'!$C$10-'Invoer gegevens (N)'!$C$11,IF(C35=1,AC34,0))</f>
        <v>0</v>
      </c>
      <c r="Y35" s="98">
        <f ca="1">IF(C35&gt;=1,X35*VLOOKUP(E35,'Reeksen (N)'!$A$5:$B$76,2),0)</f>
        <v>0</v>
      </c>
      <c r="Z35" s="98">
        <f ca="1">(1-('Invoer gegevens (N)'!$F$20/12))*X35*MIN('Reeksen (N)'!B35,'Reeksen (N)'!D35)</f>
        <v>0</v>
      </c>
      <c r="AA35" s="98">
        <f>IF('Reeksen (N)'!D35&gt;='Reeksen (N)'!B35,0,IF('Reeksen (N)'!AK35&lt;='Reeksen (N)'!AE35,('Reeksen (N)'!B35-'Reeksen (N)'!D35)*X35,0))</f>
        <v>0</v>
      </c>
      <c r="AB35" s="98">
        <f>IF('Reeksen (N)'!D35&gt;='Reeksen (N)'!B35,0,IF('Reeksen (N)'!AK35&gt;'Reeksen (N)'!AE35,('Reeksen (N)'!B35-'Reeksen (N)'!D35)*X35,0))</f>
        <v>0</v>
      </c>
      <c r="AC35" s="99">
        <f t="shared" ca="1" si="4"/>
        <v>0</v>
      </c>
      <c r="AD35" s="98">
        <f ca="1">IF('Invoer gegevens (N)'!$C$17=E35,R35,IF(C35=0,0,AE34))</f>
        <v>0</v>
      </c>
      <c r="AE35" s="98">
        <f t="shared" ca="1" si="5"/>
        <v>0</v>
      </c>
      <c r="AF35" s="98">
        <f ca="1">IF('Invoer gegevens (N)'!$C$17=E35,X35,IF(C35=0,0,AG34))</f>
        <v>0</v>
      </c>
      <c r="AG35" s="98">
        <f t="shared" ca="1" si="6"/>
        <v>0</v>
      </c>
      <c r="AH35" s="68"/>
      <c r="AI35" s="71">
        <f ca="1">IF(C35=1,'Reeksen (N)'!AJ35*((F35-G35+F35)/2)*12+'Reeksen (N)'!AK35*((L35-M35+L35)/2)*12,0)</f>
        <v>0</v>
      </c>
      <c r="AJ35" s="71">
        <f ca="1">-AI35*'Invoer gegevens (N)'!$F$28</f>
        <v>0</v>
      </c>
      <c r="AK35" s="71">
        <f t="shared" ca="1" si="0"/>
        <v>0</v>
      </c>
      <c r="AL35" s="71">
        <f ca="1">IF(C35=1,'Reeksen (N)'!AL35*((F35-G35+F35)/2)*12+'Reeksen (N)'!AM35*((L35-M35+L35)/2)*12,0)</f>
        <v>0</v>
      </c>
      <c r="AM35" s="71">
        <f ca="1">-AL35*'Invoer gegevens (N)'!$F$31</f>
        <v>0</v>
      </c>
      <c r="AN35" s="71">
        <f t="shared" ca="1" si="7"/>
        <v>0</v>
      </c>
      <c r="AO35" s="71">
        <f ca="1">IF(C35=1,(H35+J35+N35+P35)*'Reeksen (N)'!AN35,0)</f>
        <v>0</v>
      </c>
      <c r="AP35" s="71">
        <f ca="1">-IF(C35=1,(H35+J35+N35+P35)*'Hulp - basis'!$O$550*'Reeksen (N)'!H35,0)</f>
        <v>0</v>
      </c>
      <c r="AQ35" s="71">
        <f ca="1">-IF(C35=1,(F35+K35+L35+Q35)/2*'Invoer gegevens (N)'!$I$33*'Reeksen (N)'!J35,0)*2</f>
        <v>0</v>
      </c>
      <c r="AR35" s="71">
        <f ca="1">-IF(C35=1,(I35*'Invoer gegevens (N)'!$I$34)*'Reeksen (N)'!J35,0)</f>
        <v>0</v>
      </c>
      <c r="AS35" s="71">
        <f ca="1">-IF(C35=1,(F35+K35+L35+Q35)/2*'Invoer gegevens (N)'!$I$35*'Reeksen (N)'!L35,0)</f>
        <v>0</v>
      </c>
      <c r="AT35" s="71">
        <f ca="1">-IF(C35=1,IF(E35='Invoer gegevens (N)'!$C$17,'Invoer gegevens (N)'!$C$11,AD35)*'Reeksen (N)'!S35*'Invoer gegevens (N)'!$C$18*'Reeksen (N)'!P35,0)</f>
        <v>0</v>
      </c>
      <c r="AU35" s="71">
        <f ca="1">-IF(C35=1,(F35+K35+L35+Q35)/2*'Invoer gegevens (N)'!$I$36*'Reeksen (N)'!H35,0)</f>
        <v>0</v>
      </c>
      <c r="AV35" s="71">
        <v>0</v>
      </c>
      <c r="AW35" s="71">
        <f t="shared" ca="1" si="8"/>
        <v>0</v>
      </c>
      <c r="AX35" s="71">
        <f ca="1">IF(E35&lt;'Invoer gegevens (N)'!$C$17+15,0,IF(E35&gt;'Invoer gegevens (N)'!$C$17+215,0,AW35))</f>
        <v>0</v>
      </c>
      <c r="AY35" s="71">
        <f ca="1">AX35/(1+'Invoer gegevens (N)'!$F$18)^($AZ35-('Invoer gegevens (N)'!$C$17-'Invoer gegevens (N)'!$C$16))/(1+'Invoer gegevens (N)'!$C$39)^('Invoer gegevens (N)'!$C$17-'Invoer gegevens (N)'!$C$16)</f>
        <v>0</v>
      </c>
      <c r="AZ35" s="68">
        <f ca="1">IF(E35-'Invoer gegevens (N)'!$C$17-14.5&lt;0,0,E35-'Invoer gegevens (N)'!$C$17-14.5)</f>
        <v>15.5</v>
      </c>
    </row>
    <row r="36" spans="2:52" x14ac:dyDescent="0.25">
      <c r="B36" s="70">
        <f t="shared" si="9"/>
        <v>32</v>
      </c>
      <c r="C36" s="67">
        <f ca="1">IF(E36-'Invoer gegevens (N)'!$C$17&lt;0,0,1)</f>
        <v>1</v>
      </c>
      <c r="D36" s="68">
        <f t="shared" si="10"/>
        <v>31.5</v>
      </c>
      <c r="E36" s="108">
        <f ca="1">IF('Invoer gegevens (N)'!$C$16="","",E35+1)</f>
        <v>2050</v>
      </c>
      <c r="F36" s="84">
        <f ca="1">IF('Invoer gegevens (N)'!$C$17=E36,'Invoer gegevens (N)'!$C$10,IF(C36=1,K35,0))</f>
        <v>0</v>
      </c>
      <c r="G36" s="96">
        <f ca="1">IF(C36&gt;=1,F36*VLOOKUP(E36,'Reeksen (N)'!$A$5:$B$76,2),0)</f>
        <v>0</v>
      </c>
      <c r="H36" s="84">
        <f ca="1">(1-('Invoer gegevens (N)'!$F$20/12))*F36*MIN('Reeksen (N)'!B36,'Reeksen (N)'!D36)</f>
        <v>0</v>
      </c>
      <c r="I36" s="84">
        <f>IF('Reeksen (N)'!D36&lt;'Reeksen (N)'!B36,('Reeksen (N)'!B36-'Reeksen (N)'!D36)*F36,0)</f>
        <v>0</v>
      </c>
      <c r="J36" s="84">
        <f ca="1">('Invoer gegevens (N)'!$F$20/12)*F35*MIN('Reeksen (N)'!B35,'Reeksen (N)'!D35)</f>
        <v>0</v>
      </c>
      <c r="K36" s="97">
        <f t="shared" ca="1" si="1"/>
        <v>0</v>
      </c>
      <c r="L36" s="84">
        <f ca="1">IF('Invoer gegevens (N)'!$C$17=E36,0,IF(C36=1,Q35,0))</f>
        <v>0</v>
      </c>
      <c r="M36" s="96">
        <f ca="1">IF(C36&gt;=1,L36*VLOOKUP(E36,'Reeksen (N)'!$A$5:$B$76,2),0)</f>
        <v>0</v>
      </c>
      <c r="N36" s="84">
        <f ca="1">(1-('Invoer gegevens (N)'!$F$20/12))*L36*MIN('Reeksen (N)'!B36,'Reeksen (N)'!D36)</f>
        <v>0</v>
      </c>
      <c r="O36" s="84">
        <f>IF('Reeksen (N)'!D36&lt;'Reeksen (N)'!B36,('Reeksen (N)'!B36-'Reeksen (N)'!D36)*L36,0)</f>
        <v>0</v>
      </c>
      <c r="P36" s="84">
        <f ca="1">('Invoer gegevens (N)'!$F$20/12)*L35*MIN('Reeksen (N)'!B35,'Reeksen (N)'!D35)</f>
        <v>0</v>
      </c>
      <c r="Q36" s="84">
        <f t="shared" ca="1" si="2"/>
        <v>0</v>
      </c>
      <c r="R36" s="82">
        <f ca="1">IF('Invoer gegevens (N)'!$C$17=E36,'Invoer gegevens (N)'!$C$11,IF(C36=1,W35,0))</f>
        <v>0</v>
      </c>
      <c r="S36" s="86">
        <f ca="1">IF(C36&gt;=1,R36*VLOOKUP(E36,'Reeksen (N)'!$A$5:$B$76,2),0)</f>
        <v>0</v>
      </c>
      <c r="T36" s="84">
        <f ca="1">(1-('Invoer gegevens (N)'!$F$20/12))*R36*MIN('Reeksen (N)'!B36,'Reeksen (N)'!D36)</f>
        <v>0</v>
      </c>
      <c r="U36" s="84">
        <f>IF('Reeksen (N)'!D36&gt;='Reeksen (N)'!B36,0,IF('Reeksen (N)'!AK36&lt;='Reeksen (N)'!AE36,('Reeksen (N)'!B36-'Reeksen (N)'!D36)*R36,0))</f>
        <v>0</v>
      </c>
      <c r="V36" s="86">
        <f>IF('Reeksen (N)'!D36&gt;='Reeksen (N)'!B36,0,IF('Reeksen (N)'!AK36&gt;'Reeksen (N)'!AE36,('Reeksen (N)'!B36-'Reeksen (N)'!D36)*R36,0))</f>
        <v>0</v>
      </c>
      <c r="W36" s="97">
        <f t="shared" ca="1" si="3"/>
        <v>0</v>
      </c>
      <c r="X36" s="98">
        <f ca="1">IF('Invoer gegevens (N)'!$C$17=E36,'Invoer gegevens (N)'!$C$10-'Invoer gegevens (N)'!$C$11,IF(C36=1,AC35,0))</f>
        <v>0</v>
      </c>
      <c r="Y36" s="98">
        <f ca="1">IF(C36&gt;=1,X36*VLOOKUP(E36,'Reeksen (N)'!$A$5:$B$76,2),0)</f>
        <v>0</v>
      </c>
      <c r="Z36" s="98">
        <f ca="1">(1-('Invoer gegevens (N)'!$F$20/12))*X36*MIN('Reeksen (N)'!B36,'Reeksen (N)'!D36)</f>
        <v>0</v>
      </c>
      <c r="AA36" s="98">
        <f>IF('Reeksen (N)'!D36&gt;='Reeksen (N)'!B36,0,IF('Reeksen (N)'!AK36&lt;='Reeksen (N)'!AE36,('Reeksen (N)'!B36-'Reeksen (N)'!D36)*X36,0))</f>
        <v>0</v>
      </c>
      <c r="AB36" s="98">
        <f>IF('Reeksen (N)'!D36&gt;='Reeksen (N)'!B36,0,IF('Reeksen (N)'!AK36&gt;'Reeksen (N)'!AE36,('Reeksen (N)'!B36-'Reeksen (N)'!D36)*X36,0))</f>
        <v>0</v>
      </c>
      <c r="AC36" s="99">
        <f t="shared" ca="1" si="4"/>
        <v>0</v>
      </c>
      <c r="AD36" s="98">
        <f ca="1">IF('Invoer gegevens (N)'!$C$17=E36,R36,IF(C36=0,0,AE35))</f>
        <v>0</v>
      </c>
      <c r="AE36" s="98">
        <f t="shared" ca="1" si="5"/>
        <v>0</v>
      </c>
      <c r="AF36" s="98">
        <f ca="1">IF('Invoer gegevens (N)'!$C$17=E36,X36,IF(C36=0,0,AG35))</f>
        <v>0</v>
      </c>
      <c r="AG36" s="98">
        <f t="shared" ca="1" si="6"/>
        <v>0</v>
      </c>
      <c r="AH36" s="68"/>
      <c r="AI36" s="71">
        <f ca="1">IF(C36=1,'Reeksen (N)'!AJ36*((F36-G36+F36)/2)*12+'Reeksen (N)'!AK36*((L36-M36+L36)/2)*12,0)</f>
        <v>0</v>
      </c>
      <c r="AJ36" s="71">
        <f ca="1">-AI36*'Invoer gegevens (N)'!$F$28</f>
        <v>0</v>
      </c>
      <c r="AK36" s="71">
        <f t="shared" ca="1" si="0"/>
        <v>0</v>
      </c>
      <c r="AL36" s="71">
        <f ca="1">IF(C36=1,'Reeksen (N)'!AL36*((F36-G36+F36)/2)*12+'Reeksen (N)'!AM36*((L36-M36+L36)/2)*12,0)</f>
        <v>0</v>
      </c>
      <c r="AM36" s="71">
        <f ca="1">-AL36*'Invoer gegevens (N)'!$F$31</f>
        <v>0</v>
      </c>
      <c r="AN36" s="71">
        <f t="shared" ca="1" si="7"/>
        <v>0</v>
      </c>
      <c r="AO36" s="71">
        <f ca="1">IF(C36=1,(H36+J36+N36+P36)*'Reeksen (N)'!AN36,0)</f>
        <v>0</v>
      </c>
      <c r="AP36" s="71">
        <f ca="1">-IF(C36=1,(H36+J36+N36+P36)*'Hulp - basis'!$O$550*'Reeksen (N)'!H36,0)</f>
        <v>0</v>
      </c>
      <c r="AQ36" s="71">
        <f ca="1">-IF(C36=1,(F36+K36+L36+Q36)/2*'Invoer gegevens (N)'!$I$33*'Reeksen (N)'!J36,0)*2</f>
        <v>0</v>
      </c>
      <c r="AR36" s="71">
        <f ca="1">-IF(C36=1,(I36*'Invoer gegevens (N)'!$I$34)*'Reeksen (N)'!J36,0)</f>
        <v>0</v>
      </c>
      <c r="AS36" s="71">
        <f ca="1">-IF(C36=1,(F36+K36+L36+Q36)/2*'Invoer gegevens (N)'!$I$35*'Reeksen (N)'!L36,0)</f>
        <v>0</v>
      </c>
      <c r="AT36" s="71">
        <f ca="1">-IF(C36=1,IF(E36='Invoer gegevens (N)'!$C$17,'Invoer gegevens (N)'!$C$11,AD36)*'Reeksen (N)'!S36*'Invoer gegevens (N)'!$C$18*'Reeksen (N)'!P36,0)</f>
        <v>0</v>
      </c>
      <c r="AU36" s="71">
        <f ca="1">-IF(C36=1,(F36+K36+L36+Q36)/2*'Invoer gegevens (N)'!$I$36*'Reeksen (N)'!H36,0)</f>
        <v>0</v>
      </c>
      <c r="AV36" s="71">
        <v>0</v>
      </c>
      <c r="AW36" s="71">
        <f t="shared" ca="1" si="8"/>
        <v>0</v>
      </c>
      <c r="AX36" s="71">
        <f ca="1">IF(E36&lt;'Invoer gegevens (N)'!$C$17+15,0,IF(E36&gt;'Invoer gegevens (N)'!$C$17+215,0,AW36))</f>
        <v>0</v>
      </c>
      <c r="AY36" s="71">
        <f ca="1">AX36/(1+'Invoer gegevens (N)'!$F$18)^($AZ36-('Invoer gegevens (N)'!$C$17-'Invoer gegevens (N)'!$C$16))/(1+'Invoer gegevens (N)'!$C$39)^('Invoer gegevens (N)'!$C$17-'Invoer gegevens (N)'!$C$16)</f>
        <v>0</v>
      </c>
      <c r="AZ36" s="68">
        <f ca="1">IF(E36-'Invoer gegevens (N)'!$C$17-14.5&lt;0,0,E36-'Invoer gegevens (N)'!$C$17-14.5)</f>
        <v>16.5</v>
      </c>
    </row>
    <row r="37" spans="2:52" x14ac:dyDescent="0.25">
      <c r="B37" s="70">
        <f t="shared" si="9"/>
        <v>33</v>
      </c>
      <c r="C37" s="67">
        <f ca="1">IF(E37-'Invoer gegevens (N)'!$C$17&lt;0,0,1)</f>
        <v>1</v>
      </c>
      <c r="D37" s="68">
        <f t="shared" si="10"/>
        <v>32.5</v>
      </c>
      <c r="E37" s="108">
        <f ca="1">IF('Invoer gegevens (N)'!$C$16="","",E36+1)</f>
        <v>2051</v>
      </c>
      <c r="F37" s="84">
        <f ca="1">IF('Invoer gegevens (N)'!$C$17=E37,'Invoer gegevens (N)'!$C$10,IF(C37=1,K36,0))</f>
        <v>0</v>
      </c>
      <c r="G37" s="96">
        <f ca="1">IF(C37&gt;=1,F37*VLOOKUP(E37,'Reeksen (N)'!$A$5:$B$76,2),0)</f>
        <v>0</v>
      </c>
      <c r="H37" s="84">
        <f ca="1">(1-('Invoer gegevens (N)'!$F$20/12))*F37*MIN('Reeksen (N)'!B37,'Reeksen (N)'!D37)</f>
        <v>0</v>
      </c>
      <c r="I37" s="84">
        <f>IF('Reeksen (N)'!D37&lt;'Reeksen (N)'!B37,('Reeksen (N)'!B37-'Reeksen (N)'!D37)*F37,0)</f>
        <v>0</v>
      </c>
      <c r="J37" s="84">
        <f ca="1">('Invoer gegevens (N)'!$F$20/12)*F36*MIN('Reeksen (N)'!B36,'Reeksen (N)'!D36)</f>
        <v>0</v>
      </c>
      <c r="K37" s="97">
        <f t="shared" ca="1" si="1"/>
        <v>0</v>
      </c>
      <c r="L37" s="84">
        <f ca="1">IF('Invoer gegevens (N)'!$C$17=E37,0,IF(C37=1,Q36,0))</f>
        <v>0</v>
      </c>
      <c r="M37" s="96">
        <f ca="1">IF(C37&gt;=1,L37*VLOOKUP(E37,'Reeksen (N)'!$A$5:$B$76,2),0)</f>
        <v>0</v>
      </c>
      <c r="N37" s="84">
        <f ca="1">(1-('Invoer gegevens (N)'!$F$20/12))*L37*MIN('Reeksen (N)'!B37,'Reeksen (N)'!D37)</f>
        <v>0</v>
      </c>
      <c r="O37" s="84">
        <f>IF('Reeksen (N)'!D37&lt;'Reeksen (N)'!B37,('Reeksen (N)'!B37-'Reeksen (N)'!D37)*L37,0)</f>
        <v>0</v>
      </c>
      <c r="P37" s="84">
        <f ca="1">('Invoer gegevens (N)'!$F$20/12)*L36*MIN('Reeksen (N)'!B36,'Reeksen (N)'!D36)</f>
        <v>0</v>
      </c>
      <c r="Q37" s="84">
        <f t="shared" ca="1" si="2"/>
        <v>0</v>
      </c>
      <c r="R37" s="82">
        <f ca="1">IF('Invoer gegevens (N)'!$C$17=E37,'Invoer gegevens (N)'!$C$11,IF(C37=1,W36,0))</f>
        <v>0</v>
      </c>
      <c r="S37" s="86">
        <f ca="1">IF(C37&gt;=1,R37*VLOOKUP(E37,'Reeksen (N)'!$A$5:$B$76,2),0)</f>
        <v>0</v>
      </c>
      <c r="T37" s="84">
        <f ca="1">(1-('Invoer gegevens (N)'!$F$20/12))*R37*MIN('Reeksen (N)'!B37,'Reeksen (N)'!D37)</f>
        <v>0</v>
      </c>
      <c r="U37" s="84">
        <f>IF('Reeksen (N)'!D37&gt;='Reeksen (N)'!B37,0,IF('Reeksen (N)'!AK37&lt;='Reeksen (N)'!AE37,('Reeksen (N)'!B37-'Reeksen (N)'!D37)*R37,0))</f>
        <v>0</v>
      </c>
      <c r="V37" s="86">
        <f>IF('Reeksen (N)'!D37&gt;='Reeksen (N)'!B37,0,IF('Reeksen (N)'!AK37&gt;'Reeksen (N)'!AE37,('Reeksen (N)'!B37-'Reeksen (N)'!D37)*R37,0))</f>
        <v>0</v>
      </c>
      <c r="W37" s="97">
        <f t="shared" ca="1" si="3"/>
        <v>0</v>
      </c>
      <c r="X37" s="98">
        <f ca="1">IF('Invoer gegevens (N)'!$C$17=E37,'Invoer gegevens (N)'!$C$10-'Invoer gegevens (N)'!$C$11,IF(C37=1,AC36,0))</f>
        <v>0</v>
      </c>
      <c r="Y37" s="98">
        <f ca="1">IF(C37&gt;=1,X37*VLOOKUP(E37,'Reeksen (N)'!$A$5:$B$76,2),0)</f>
        <v>0</v>
      </c>
      <c r="Z37" s="98">
        <f ca="1">(1-('Invoer gegevens (N)'!$F$20/12))*X37*MIN('Reeksen (N)'!B37,'Reeksen (N)'!D37)</f>
        <v>0</v>
      </c>
      <c r="AA37" s="98">
        <f>IF('Reeksen (N)'!D37&gt;='Reeksen (N)'!B37,0,IF('Reeksen (N)'!AK37&lt;='Reeksen (N)'!AE37,('Reeksen (N)'!B37-'Reeksen (N)'!D37)*X37,0))</f>
        <v>0</v>
      </c>
      <c r="AB37" s="98">
        <f>IF('Reeksen (N)'!D37&gt;='Reeksen (N)'!B37,0,IF('Reeksen (N)'!AK37&gt;'Reeksen (N)'!AE37,('Reeksen (N)'!B37-'Reeksen (N)'!D37)*X37,0))</f>
        <v>0</v>
      </c>
      <c r="AC37" s="99">
        <f t="shared" ca="1" si="4"/>
        <v>0</v>
      </c>
      <c r="AD37" s="98">
        <f ca="1">IF('Invoer gegevens (N)'!$C$17=E37,R37,IF(C37=0,0,AE36))</f>
        <v>0</v>
      </c>
      <c r="AE37" s="98">
        <f t="shared" ca="1" si="5"/>
        <v>0</v>
      </c>
      <c r="AF37" s="98">
        <f ca="1">IF('Invoer gegevens (N)'!$C$17=E37,X37,IF(C37=0,0,AG36))</f>
        <v>0</v>
      </c>
      <c r="AG37" s="98">
        <f t="shared" ca="1" si="6"/>
        <v>0</v>
      </c>
      <c r="AH37" s="68"/>
      <c r="AI37" s="71">
        <f ca="1">IF(C37=1,'Reeksen (N)'!AJ37*((F37-G37+F37)/2)*12+'Reeksen (N)'!AK37*((L37-M37+L37)/2)*12,0)</f>
        <v>0</v>
      </c>
      <c r="AJ37" s="71">
        <f ca="1">-AI37*'Invoer gegevens (N)'!$F$28</f>
        <v>0</v>
      </c>
      <c r="AK37" s="71">
        <f t="shared" ca="1" si="0"/>
        <v>0</v>
      </c>
      <c r="AL37" s="71">
        <f ca="1">IF(C37=1,'Reeksen (N)'!AL37*((F37-G37+F37)/2)*12+'Reeksen (N)'!AM37*((L37-M37+L37)/2)*12,0)</f>
        <v>0</v>
      </c>
      <c r="AM37" s="71">
        <f ca="1">-AL37*'Invoer gegevens (N)'!$F$31</f>
        <v>0</v>
      </c>
      <c r="AN37" s="71">
        <f t="shared" ca="1" si="7"/>
        <v>0</v>
      </c>
      <c r="AO37" s="71">
        <f ca="1">IF(C37=1,(H37+J37+N37+P37)*'Reeksen (N)'!AN37,0)</f>
        <v>0</v>
      </c>
      <c r="AP37" s="71">
        <f ca="1">-IF(C37=1,(H37+J37+N37+P37)*'Hulp - basis'!$O$550*'Reeksen (N)'!H37,0)</f>
        <v>0</v>
      </c>
      <c r="AQ37" s="71">
        <f ca="1">-IF(C37=1,(F37+K37+L37+Q37)/2*'Invoer gegevens (N)'!$I$33*'Reeksen (N)'!J37,0)*2</f>
        <v>0</v>
      </c>
      <c r="AR37" s="71">
        <f ca="1">-IF(C37=1,(I37*'Invoer gegevens (N)'!$I$34)*'Reeksen (N)'!J37,0)</f>
        <v>0</v>
      </c>
      <c r="AS37" s="71">
        <f ca="1">-IF(C37=1,(F37+K37+L37+Q37)/2*'Invoer gegevens (N)'!$I$35*'Reeksen (N)'!L37,0)</f>
        <v>0</v>
      </c>
      <c r="AT37" s="71">
        <f ca="1">-IF(C37=1,IF(E37='Invoer gegevens (N)'!$C$17,'Invoer gegevens (N)'!$C$11,AD37)*'Reeksen (N)'!S37*'Invoer gegevens (N)'!$C$18*'Reeksen (N)'!P37,0)</f>
        <v>0</v>
      </c>
      <c r="AU37" s="71">
        <f ca="1">-IF(C37=1,(F37+K37+L37+Q37)/2*'Invoer gegevens (N)'!$I$36*'Reeksen (N)'!H37,0)</f>
        <v>0</v>
      </c>
      <c r="AV37" s="71">
        <v>0</v>
      </c>
      <c r="AW37" s="71">
        <f t="shared" ca="1" si="8"/>
        <v>0</v>
      </c>
      <c r="AX37" s="71">
        <f ca="1">IF(E37&lt;'Invoer gegevens (N)'!$C$17+15,0,IF(E37&gt;'Invoer gegevens (N)'!$C$17+215,0,AW37))</f>
        <v>0</v>
      </c>
      <c r="AY37" s="71">
        <f ca="1">AX37/(1+'Invoer gegevens (N)'!$F$18)^($AZ37-('Invoer gegevens (N)'!$C$17-'Invoer gegevens (N)'!$C$16))/(1+'Invoer gegevens (N)'!$C$39)^('Invoer gegevens (N)'!$C$17-'Invoer gegevens (N)'!$C$16)</f>
        <v>0</v>
      </c>
      <c r="AZ37" s="68">
        <f ca="1">IF(E37-'Invoer gegevens (N)'!$C$17-14.5&lt;0,0,E37-'Invoer gegevens (N)'!$C$17-14.5)</f>
        <v>17.5</v>
      </c>
    </row>
    <row r="38" spans="2:52" x14ac:dyDescent="0.25">
      <c r="B38" s="70">
        <f t="shared" si="9"/>
        <v>34</v>
      </c>
      <c r="C38" s="67">
        <f ca="1">IF(E38-'Invoer gegevens (N)'!$C$17&lt;0,0,1)</f>
        <v>1</v>
      </c>
      <c r="D38" s="68">
        <f t="shared" si="10"/>
        <v>33.5</v>
      </c>
      <c r="E38" s="108">
        <f ca="1">IF('Invoer gegevens (N)'!$C$16="","",E37+1)</f>
        <v>2052</v>
      </c>
      <c r="F38" s="84">
        <f ca="1">IF('Invoer gegevens (N)'!$C$17=E38,'Invoer gegevens (N)'!$C$10,IF(C38=1,K37,0))</f>
        <v>0</v>
      </c>
      <c r="G38" s="96">
        <f ca="1">IF(C38&gt;=1,F38*VLOOKUP(E38,'Reeksen (N)'!$A$5:$B$76,2),0)</f>
        <v>0</v>
      </c>
      <c r="H38" s="84">
        <f ca="1">(1-('Invoer gegevens (N)'!$F$20/12))*F38*MIN('Reeksen (N)'!B38,'Reeksen (N)'!D38)</f>
        <v>0</v>
      </c>
      <c r="I38" s="84">
        <f>IF('Reeksen (N)'!D38&lt;'Reeksen (N)'!B38,('Reeksen (N)'!B38-'Reeksen (N)'!D38)*F38,0)</f>
        <v>0</v>
      </c>
      <c r="J38" s="84">
        <f ca="1">('Invoer gegevens (N)'!$F$20/12)*F37*MIN('Reeksen (N)'!B37,'Reeksen (N)'!D37)</f>
        <v>0</v>
      </c>
      <c r="K38" s="97">
        <f t="shared" ca="1" si="1"/>
        <v>0</v>
      </c>
      <c r="L38" s="84">
        <f ca="1">IF('Invoer gegevens (N)'!$C$17=E38,0,IF(C38=1,Q37,0))</f>
        <v>0</v>
      </c>
      <c r="M38" s="96">
        <f ca="1">IF(C38&gt;=1,L38*VLOOKUP(E38,'Reeksen (N)'!$A$5:$B$76,2),0)</f>
        <v>0</v>
      </c>
      <c r="N38" s="84">
        <f ca="1">(1-('Invoer gegevens (N)'!$F$20/12))*L38*MIN('Reeksen (N)'!B38,'Reeksen (N)'!D38)</f>
        <v>0</v>
      </c>
      <c r="O38" s="84">
        <f>IF('Reeksen (N)'!D38&lt;'Reeksen (N)'!B38,('Reeksen (N)'!B38-'Reeksen (N)'!D38)*L38,0)</f>
        <v>0</v>
      </c>
      <c r="P38" s="84">
        <f ca="1">('Invoer gegevens (N)'!$F$20/12)*L37*MIN('Reeksen (N)'!B37,'Reeksen (N)'!D37)</f>
        <v>0</v>
      </c>
      <c r="Q38" s="84">
        <f t="shared" ca="1" si="2"/>
        <v>0</v>
      </c>
      <c r="R38" s="82">
        <f ca="1">IF('Invoer gegevens (N)'!$C$17=E38,'Invoer gegevens (N)'!$C$11,IF(C38=1,W37,0))</f>
        <v>0</v>
      </c>
      <c r="S38" s="86">
        <f ca="1">IF(C38&gt;=1,R38*VLOOKUP(E38,'Reeksen (N)'!$A$5:$B$76,2),0)</f>
        <v>0</v>
      </c>
      <c r="T38" s="84">
        <f ca="1">(1-('Invoer gegevens (N)'!$F$20/12))*R38*MIN('Reeksen (N)'!B38,'Reeksen (N)'!D38)</f>
        <v>0</v>
      </c>
      <c r="U38" s="84">
        <f>IF('Reeksen (N)'!D38&gt;='Reeksen (N)'!B38,0,IF('Reeksen (N)'!AK38&lt;='Reeksen (N)'!AE38,('Reeksen (N)'!B38-'Reeksen (N)'!D38)*R38,0))</f>
        <v>0</v>
      </c>
      <c r="V38" s="86">
        <f>IF('Reeksen (N)'!D38&gt;='Reeksen (N)'!B38,0,IF('Reeksen (N)'!AK38&gt;'Reeksen (N)'!AE38,('Reeksen (N)'!B38-'Reeksen (N)'!D38)*R38,0))</f>
        <v>0</v>
      </c>
      <c r="W38" s="97">
        <f t="shared" ca="1" si="3"/>
        <v>0</v>
      </c>
      <c r="X38" s="98">
        <f ca="1">IF('Invoer gegevens (N)'!$C$17=E38,'Invoer gegevens (N)'!$C$10-'Invoer gegevens (N)'!$C$11,IF(C38=1,AC37,0))</f>
        <v>0</v>
      </c>
      <c r="Y38" s="98">
        <f ca="1">IF(C38&gt;=1,X38*VLOOKUP(E38,'Reeksen (N)'!$A$5:$B$76,2),0)</f>
        <v>0</v>
      </c>
      <c r="Z38" s="98">
        <f ca="1">(1-('Invoer gegevens (N)'!$F$20/12))*X38*MIN('Reeksen (N)'!B38,'Reeksen (N)'!D38)</f>
        <v>0</v>
      </c>
      <c r="AA38" s="98">
        <f>IF('Reeksen (N)'!D38&gt;='Reeksen (N)'!B38,0,IF('Reeksen (N)'!AK38&lt;='Reeksen (N)'!AE38,('Reeksen (N)'!B38-'Reeksen (N)'!D38)*X38,0))</f>
        <v>0</v>
      </c>
      <c r="AB38" s="98">
        <f>IF('Reeksen (N)'!D38&gt;='Reeksen (N)'!B38,0,IF('Reeksen (N)'!AK38&gt;'Reeksen (N)'!AE38,('Reeksen (N)'!B38-'Reeksen (N)'!D38)*X38,0))</f>
        <v>0</v>
      </c>
      <c r="AC38" s="99">
        <f t="shared" ca="1" si="4"/>
        <v>0</v>
      </c>
      <c r="AD38" s="98">
        <f ca="1">IF('Invoer gegevens (N)'!$C$17=E38,R38,IF(C38=0,0,AE37))</f>
        <v>0</v>
      </c>
      <c r="AE38" s="98">
        <f t="shared" ca="1" si="5"/>
        <v>0</v>
      </c>
      <c r="AF38" s="98">
        <f ca="1">IF('Invoer gegevens (N)'!$C$17=E38,X38,IF(C38=0,0,AG37))</f>
        <v>0</v>
      </c>
      <c r="AG38" s="98">
        <f t="shared" ca="1" si="6"/>
        <v>0</v>
      </c>
      <c r="AH38" s="68"/>
      <c r="AI38" s="71">
        <f ca="1">IF(C38=1,'Reeksen (N)'!AJ38*((F38-G38+F38)/2)*12+'Reeksen (N)'!AK38*((L38-M38+L38)/2)*12,0)</f>
        <v>0</v>
      </c>
      <c r="AJ38" s="71">
        <f ca="1">-AI38*'Invoer gegevens (N)'!$F$28</f>
        <v>0</v>
      </c>
      <c r="AK38" s="71">
        <f t="shared" ca="1" si="0"/>
        <v>0</v>
      </c>
      <c r="AL38" s="71">
        <f ca="1">IF(C38=1,'Reeksen (N)'!AL38*((F38-G38+F38)/2)*12+'Reeksen (N)'!AM38*((L38-M38+L38)/2)*12,0)</f>
        <v>0</v>
      </c>
      <c r="AM38" s="71">
        <f ca="1">-AL38*'Invoer gegevens (N)'!$F$31</f>
        <v>0</v>
      </c>
      <c r="AN38" s="71">
        <f t="shared" ca="1" si="7"/>
        <v>0</v>
      </c>
      <c r="AO38" s="71">
        <f ca="1">IF(C38=1,(H38+J38+N38+P38)*'Reeksen (N)'!AN38,0)</f>
        <v>0</v>
      </c>
      <c r="AP38" s="71">
        <f ca="1">-IF(C38=1,(H38+J38+N38+P38)*'Hulp - basis'!$O$550*'Reeksen (N)'!H38,0)</f>
        <v>0</v>
      </c>
      <c r="AQ38" s="71">
        <f ca="1">-IF(C38=1,(F38+K38+L38+Q38)/2*'Invoer gegevens (N)'!$I$33*'Reeksen (N)'!J38,0)*2</f>
        <v>0</v>
      </c>
      <c r="AR38" s="71">
        <f ca="1">-IF(C38=1,(I38*'Invoer gegevens (N)'!$I$34)*'Reeksen (N)'!J38,0)</f>
        <v>0</v>
      </c>
      <c r="AS38" s="71">
        <f ca="1">-IF(C38=1,(F38+K38+L38+Q38)/2*'Invoer gegevens (N)'!$I$35*'Reeksen (N)'!L38,0)</f>
        <v>0</v>
      </c>
      <c r="AT38" s="71">
        <f ca="1">-IF(C38=1,IF(E38='Invoer gegevens (N)'!$C$17,'Invoer gegevens (N)'!$C$11,AD38)*'Reeksen (N)'!S38*'Invoer gegevens (N)'!$C$18*'Reeksen (N)'!P38,0)</f>
        <v>0</v>
      </c>
      <c r="AU38" s="71">
        <f ca="1">-IF(C38=1,(F38+K38+L38+Q38)/2*'Invoer gegevens (N)'!$I$36*'Reeksen (N)'!H38,0)</f>
        <v>0</v>
      </c>
      <c r="AV38" s="71">
        <v>0</v>
      </c>
      <c r="AW38" s="71">
        <f t="shared" ca="1" si="8"/>
        <v>0</v>
      </c>
      <c r="AX38" s="71">
        <f ca="1">IF(E38&lt;'Invoer gegevens (N)'!$C$17+15,0,IF(E38&gt;'Invoer gegevens (N)'!$C$17+215,0,AW38))</f>
        <v>0</v>
      </c>
      <c r="AY38" s="71">
        <f ca="1">AX38/(1+'Invoer gegevens (N)'!$F$18)^($AZ38-('Invoer gegevens (N)'!$C$17-'Invoer gegevens (N)'!$C$16))/(1+'Invoer gegevens (N)'!$C$39)^('Invoer gegevens (N)'!$C$17-'Invoer gegevens (N)'!$C$16)</f>
        <v>0</v>
      </c>
      <c r="AZ38" s="68">
        <f ca="1">IF(E38-'Invoer gegevens (N)'!$C$17-14.5&lt;0,0,E38-'Invoer gegevens (N)'!$C$17-14.5)</f>
        <v>18.5</v>
      </c>
    </row>
    <row r="39" spans="2:52" x14ac:dyDescent="0.25">
      <c r="B39" s="70">
        <f t="shared" si="9"/>
        <v>35</v>
      </c>
      <c r="C39" s="67">
        <f ca="1">IF(E39-'Invoer gegevens (N)'!$C$17&lt;0,0,1)</f>
        <v>1</v>
      </c>
      <c r="D39" s="68">
        <f t="shared" si="10"/>
        <v>34.5</v>
      </c>
      <c r="E39" s="108">
        <f ca="1">IF('Invoer gegevens (N)'!$C$16="","",E38+1)</f>
        <v>2053</v>
      </c>
      <c r="F39" s="84">
        <f ca="1">IF('Invoer gegevens (N)'!$C$17=E39,'Invoer gegevens (N)'!$C$10,IF(C39=1,K38,0))</f>
        <v>0</v>
      </c>
      <c r="G39" s="96">
        <f ca="1">IF(C39&gt;=1,F39*VLOOKUP(E39,'Reeksen (N)'!$A$5:$B$76,2),0)</f>
        <v>0</v>
      </c>
      <c r="H39" s="84">
        <f ca="1">(1-('Invoer gegevens (N)'!$F$20/12))*F39*MIN('Reeksen (N)'!B39,'Reeksen (N)'!D39)</f>
        <v>0</v>
      </c>
      <c r="I39" s="84">
        <f>IF('Reeksen (N)'!D39&lt;'Reeksen (N)'!B39,('Reeksen (N)'!B39-'Reeksen (N)'!D39)*F39,0)</f>
        <v>0</v>
      </c>
      <c r="J39" s="84">
        <f ca="1">('Invoer gegevens (N)'!$F$20/12)*F38*MIN('Reeksen (N)'!B38,'Reeksen (N)'!D38)</f>
        <v>0</v>
      </c>
      <c r="K39" s="97">
        <f t="shared" ca="1" si="1"/>
        <v>0</v>
      </c>
      <c r="L39" s="84">
        <f ca="1">IF('Invoer gegevens (N)'!$C$17=E39,0,IF(C39=1,Q38,0))</f>
        <v>0</v>
      </c>
      <c r="M39" s="96">
        <f ca="1">IF(C39&gt;=1,L39*VLOOKUP(E39,'Reeksen (N)'!$A$5:$B$76,2),0)</f>
        <v>0</v>
      </c>
      <c r="N39" s="84">
        <f ca="1">(1-('Invoer gegevens (N)'!$F$20/12))*L39*MIN('Reeksen (N)'!B39,'Reeksen (N)'!D39)</f>
        <v>0</v>
      </c>
      <c r="O39" s="84">
        <f>IF('Reeksen (N)'!D39&lt;'Reeksen (N)'!B39,('Reeksen (N)'!B39-'Reeksen (N)'!D39)*L39,0)</f>
        <v>0</v>
      </c>
      <c r="P39" s="84">
        <f ca="1">('Invoer gegevens (N)'!$F$20/12)*L38*MIN('Reeksen (N)'!B38,'Reeksen (N)'!D38)</f>
        <v>0</v>
      </c>
      <c r="Q39" s="84">
        <f t="shared" ca="1" si="2"/>
        <v>0</v>
      </c>
      <c r="R39" s="82">
        <f ca="1">IF('Invoer gegevens (N)'!$C$17=E39,'Invoer gegevens (N)'!$C$11,IF(C39=1,W38,0))</f>
        <v>0</v>
      </c>
      <c r="S39" s="86">
        <f ca="1">IF(C39&gt;=1,R39*VLOOKUP(E39,'Reeksen (N)'!$A$5:$B$76,2),0)</f>
        <v>0</v>
      </c>
      <c r="T39" s="84">
        <f ca="1">(1-('Invoer gegevens (N)'!$F$20/12))*R39*MIN('Reeksen (N)'!B39,'Reeksen (N)'!D39)</f>
        <v>0</v>
      </c>
      <c r="U39" s="84">
        <f>IF('Reeksen (N)'!D39&gt;='Reeksen (N)'!B39,0,IF('Reeksen (N)'!AK39&lt;='Reeksen (N)'!AE39,('Reeksen (N)'!B39-'Reeksen (N)'!D39)*R39,0))</f>
        <v>0</v>
      </c>
      <c r="V39" s="86">
        <f>IF('Reeksen (N)'!D39&gt;='Reeksen (N)'!B39,0,IF('Reeksen (N)'!AK39&gt;'Reeksen (N)'!AE39,('Reeksen (N)'!B39-'Reeksen (N)'!D39)*R39,0))</f>
        <v>0</v>
      </c>
      <c r="W39" s="97">
        <f t="shared" ca="1" si="3"/>
        <v>0</v>
      </c>
      <c r="X39" s="98">
        <f ca="1">IF('Invoer gegevens (N)'!$C$17=E39,'Invoer gegevens (N)'!$C$10-'Invoer gegevens (N)'!$C$11,IF(C39=1,AC38,0))</f>
        <v>0</v>
      </c>
      <c r="Y39" s="98">
        <f ca="1">IF(C39&gt;=1,X39*VLOOKUP(E39,'Reeksen (N)'!$A$5:$B$76,2),0)</f>
        <v>0</v>
      </c>
      <c r="Z39" s="98">
        <f ca="1">(1-('Invoer gegevens (N)'!$F$20/12))*X39*MIN('Reeksen (N)'!B39,'Reeksen (N)'!D39)</f>
        <v>0</v>
      </c>
      <c r="AA39" s="98">
        <f>IF('Reeksen (N)'!D39&gt;='Reeksen (N)'!B39,0,IF('Reeksen (N)'!AK39&lt;='Reeksen (N)'!AE39,('Reeksen (N)'!B39-'Reeksen (N)'!D39)*X39,0))</f>
        <v>0</v>
      </c>
      <c r="AB39" s="98">
        <f>IF('Reeksen (N)'!D39&gt;='Reeksen (N)'!B39,0,IF('Reeksen (N)'!AK39&gt;'Reeksen (N)'!AE39,('Reeksen (N)'!B39-'Reeksen (N)'!D39)*X39,0))</f>
        <v>0</v>
      </c>
      <c r="AC39" s="99">
        <f t="shared" ca="1" si="4"/>
        <v>0</v>
      </c>
      <c r="AD39" s="98">
        <f ca="1">IF('Invoer gegevens (N)'!$C$17=E39,R39,IF(C39=0,0,AE38))</f>
        <v>0</v>
      </c>
      <c r="AE39" s="98">
        <f t="shared" ca="1" si="5"/>
        <v>0</v>
      </c>
      <c r="AF39" s="98">
        <f ca="1">IF('Invoer gegevens (N)'!$C$17=E39,X39,IF(C39=0,0,AG38))</f>
        <v>0</v>
      </c>
      <c r="AG39" s="98">
        <f t="shared" ca="1" si="6"/>
        <v>0</v>
      </c>
      <c r="AH39" s="68"/>
      <c r="AI39" s="71">
        <f ca="1">IF(C39=1,'Reeksen (N)'!AJ39*((F39-G39+F39)/2)*12+'Reeksen (N)'!AK39*((L39-M39+L39)/2)*12,0)</f>
        <v>0</v>
      </c>
      <c r="AJ39" s="71">
        <f ca="1">-AI39*'Invoer gegevens (N)'!$F$28</f>
        <v>0</v>
      </c>
      <c r="AK39" s="71">
        <f t="shared" ca="1" si="0"/>
        <v>0</v>
      </c>
      <c r="AL39" s="71">
        <f ca="1">IF(C39=1,'Reeksen (N)'!AL39*((F39-G39+F39)/2)*12+'Reeksen (N)'!AM39*((L39-M39+L39)/2)*12,0)</f>
        <v>0</v>
      </c>
      <c r="AM39" s="71">
        <f ca="1">-AL39*'Invoer gegevens (N)'!$F$31</f>
        <v>0</v>
      </c>
      <c r="AN39" s="71">
        <f t="shared" ca="1" si="7"/>
        <v>0</v>
      </c>
      <c r="AO39" s="71">
        <f ca="1">IF(C39=1,(H39+J39+N39+P39)*'Reeksen (N)'!AN39,0)</f>
        <v>0</v>
      </c>
      <c r="AP39" s="71">
        <f ca="1">-IF(C39=1,(H39+J39+N39+P39)*'Hulp - basis'!$O$550*'Reeksen (N)'!H39,0)</f>
        <v>0</v>
      </c>
      <c r="AQ39" s="71">
        <f ca="1">-IF(C39=1,(F39+K39+L39+Q39)/2*'Invoer gegevens (N)'!$I$33*'Reeksen (N)'!J39,0)*2</f>
        <v>0</v>
      </c>
      <c r="AR39" s="71">
        <f ca="1">-IF(C39=1,(I39*'Invoer gegevens (N)'!$I$34)*'Reeksen (N)'!J39,0)</f>
        <v>0</v>
      </c>
      <c r="AS39" s="71">
        <f ca="1">-IF(C39=1,(F39+K39+L39+Q39)/2*'Invoer gegevens (N)'!$I$35*'Reeksen (N)'!L39,0)</f>
        <v>0</v>
      </c>
      <c r="AT39" s="71">
        <f ca="1">-IF(C39=1,IF(E39='Invoer gegevens (N)'!$C$17,'Invoer gegevens (N)'!$C$11,AD39)*'Reeksen (N)'!S39*'Invoer gegevens (N)'!$C$18*'Reeksen (N)'!P39,0)</f>
        <v>0</v>
      </c>
      <c r="AU39" s="71">
        <f ca="1">-IF(C39=1,(F39+K39+L39+Q39)/2*'Invoer gegevens (N)'!$I$36*'Reeksen (N)'!H39,0)</f>
        <v>0</v>
      </c>
      <c r="AV39" s="71">
        <v>0</v>
      </c>
      <c r="AW39" s="71">
        <f t="shared" ca="1" si="8"/>
        <v>0</v>
      </c>
      <c r="AX39" s="71">
        <f ca="1">IF(E39&lt;'Invoer gegevens (N)'!$C$17+15,0,IF(E39&gt;'Invoer gegevens (N)'!$C$17+215,0,AW39))</f>
        <v>0</v>
      </c>
      <c r="AY39" s="71">
        <f ca="1">AX39/(1+'Invoer gegevens (N)'!$F$18)^($AZ39-('Invoer gegevens (N)'!$C$17-'Invoer gegevens (N)'!$C$16))/(1+'Invoer gegevens (N)'!$C$39)^('Invoer gegevens (N)'!$C$17-'Invoer gegevens (N)'!$C$16)</f>
        <v>0</v>
      </c>
      <c r="AZ39" s="68">
        <f ca="1">IF(E39-'Invoer gegevens (N)'!$C$17-14.5&lt;0,0,E39-'Invoer gegevens (N)'!$C$17-14.5)</f>
        <v>19.5</v>
      </c>
    </row>
    <row r="40" spans="2:52" x14ac:dyDescent="0.25">
      <c r="B40" s="70">
        <f t="shared" si="9"/>
        <v>36</v>
      </c>
      <c r="C40" s="67">
        <f ca="1">IF(E40-'Invoer gegevens (N)'!$C$17&lt;0,0,1)</f>
        <v>1</v>
      </c>
      <c r="D40" s="68">
        <f t="shared" si="10"/>
        <v>35.5</v>
      </c>
      <c r="E40" s="108">
        <f ca="1">IF('Invoer gegevens (N)'!$C$16="","",E39+1)</f>
        <v>2054</v>
      </c>
      <c r="F40" s="84">
        <f ca="1">IF('Invoer gegevens (N)'!$C$17=E40,'Invoer gegevens (N)'!$C$10,IF(C40=1,K39,0))</f>
        <v>0</v>
      </c>
      <c r="G40" s="96">
        <f ca="1">IF(C40&gt;=1,F40*VLOOKUP(E40,'Reeksen (N)'!$A$5:$B$76,2),0)</f>
        <v>0</v>
      </c>
      <c r="H40" s="84">
        <f ca="1">(1-('Invoer gegevens (N)'!$F$20/12))*F40*MIN('Reeksen (N)'!B40,'Reeksen (N)'!D40)</f>
        <v>0</v>
      </c>
      <c r="I40" s="84">
        <f>IF('Reeksen (N)'!D40&lt;'Reeksen (N)'!B40,('Reeksen (N)'!B40-'Reeksen (N)'!D40)*F40,0)</f>
        <v>0</v>
      </c>
      <c r="J40" s="84">
        <f ca="1">('Invoer gegevens (N)'!$F$20/12)*F39*MIN('Reeksen (N)'!B39,'Reeksen (N)'!D39)</f>
        <v>0</v>
      </c>
      <c r="K40" s="97">
        <f t="shared" ca="1" si="1"/>
        <v>0</v>
      </c>
      <c r="L40" s="84">
        <f ca="1">IF('Invoer gegevens (N)'!$C$17=E40,0,IF(C40=1,Q39,0))</f>
        <v>0</v>
      </c>
      <c r="M40" s="96">
        <f ca="1">IF(C40&gt;=1,L40*VLOOKUP(E40,'Reeksen (N)'!$A$5:$B$76,2),0)</f>
        <v>0</v>
      </c>
      <c r="N40" s="84">
        <f ca="1">(1-('Invoer gegevens (N)'!$F$20/12))*L40*MIN('Reeksen (N)'!B40,'Reeksen (N)'!D40)</f>
        <v>0</v>
      </c>
      <c r="O40" s="84">
        <f>IF('Reeksen (N)'!D40&lt;'Reeksen (N)'!B40,('Reeksen (N)'!B40-'Reeksen (N)'!D40)*L40,0)</f>
        <v>0</v>
      </c>
      <c r="P40" s="84">
        <f ca="1">('Invoer gegevens (N)'!$F$20/12)*L39*MIN('Reeksen (N)'!B39,'Reeksen (N)'!D39)</f>
        <v>0</v>
      </c>
      <c r="Q40" s="84">
        <f t="shared" ca="1" si="2"/>
        <v>0</v>
      </c>
      <c r="R40" s="82">
        <f ca="1">IF('Invoer gegevens (N)'!$C$17=E40,'Invoer gegevens (N)'!$C$11,IF(C40=1,W39,0))</f>
        <v>0</v>
      </c>
      <c r="S40" s="86">
        <f ca="1">IF(C40&gt;=1,R40*VLOOKUP(E40,'Reeksen (N)'!$A$5:$B$76,2),0)</f>
        <v>0</v>
      </c>
      <c r="T40" s="84">
        <f ca="1">(1-('Invoer gegevens (N)'!$F$20/12))*R40*MIN('Reeksen (N)'!B40,'Reeksen (N)'!D40)</f>
        <v>0</v>
      </c>
      <c r="U40" s="84">
        <f>IF('Reeksen (N)'!D40&gt;='Reeksen (N)'!B40,0,IF('Reeksen (N)'!AK40&lt;='Reeksen (N)'!AE40,('Reeksen (N)'!B40-'Reeksen (N)'!D40)*R40,0))</f>
        <v>0</v>
      </c>
      <c r="V40" s="86">
        <f>IF('Reeksen (N)'!D40&gt;='Reeksen (N)'!B40,0,IF('Reeksen (N)'!AK40&gt;'Reeksen (N)'!AE40,('Reeksen (N)'!B40-'Reeksen (N)'!D40)*R40,0))</f>
        <v>0</v>
      </c>
      <c r="W40" s="97">
        <f t="shared" ca="1" si="3"/>
        <v>0</v>
      </c>
      <c r="X40" s="98">
        <f ca="1">IF('Invoer gegevens (N)'!$C$17=E40,'Invoer gegevens (N)'!$C$10-'Invoer gegevens (N)'!$C$11,IF(C40=1,AC39,0))</f>
        <v>0</v>
      </c>
      <c r="Y40" s="98">
        <f ca="1">IF(C40&gt;=1,X40*VLOOKUP(E40,'Reeksen (N)'!$A$5:$B$76,2),0)</f>
        <v>0</v>
      </c>
      <c r="Z40" s="98">
        <f ca="1">(1-('Invoer gegevens (N)'!$F$20/12))*X40*MIN('Reeksen (N)'!B40,'Reeksen (N)'!D40)</f>
        <v>0</v>
      </c>
      <c r="AA40" s="98">
        <f>IF('Reeksen (N)'!D40&gt;='Reeksen (N)'!B40,0,IF('Reeksen (N)'!AK40&lt;='Reeksen (N)'!AE40,('Reeksen (N)'!B40-'Reeksen (N)'!D40)*X40,0))</f>
        <v>0</v>
      </c>
      <c r="AB40" s="98">
        <f>IF('Reeksen (N)'!D40&gt;='Reeksen (N)'!B40,0,IF('Reeksen (N)'!AK40&gt;'Reeksen (N)'!AE40,('Reeksen (N)'!B40-'Reeksen (N)'!D40)*X40,0))</f>
        <v>0</v>
      </c>
      <c r="AC40" s="99">
        <f t="shared" ca="1" si="4"/>
        <v>0</v>
      </c>
      <c r="AD40" s="98">
        <f ca="1">IF('Invoer gegevens (N)'!$C$17=E40,R40,IF(C40=0,0,AE39))</f>
        <v>0</v>
      </c>
      <c r="AE40" s="98">
        <f t="shared" ca="1" si="5"/>
        <v>0</v>
      </c>
      <c r="AF40" s="98">
        <f ca="1">IF('Invoer gegevens (N)'!$C$17=E40,X40,IF(C40=0,0,AG39))</f>
        <v>0</v>
      </c>
      <c r="AG40" s="98">
        <f t="shared" ca="1" si="6"/>
        <v>0</v>
      </c>
      <c r="AH40" s="68"/>
      <c r="AI40" s="71">
        <f ca="1">IF(C40=1,'Reeksen (N)'!AJ40*((F40-G40+F40)/2)*12+'Reeksen (N)'!AK40*((L40-M40+L40)/2)*12,0)</f>
        <v>0</v>
      </c>
      <c r="AJ40" s="71">
        <f ca="1">-AI40*'Invoer gegevens (N)'!$F$28</f>
        <v>0</v>
      </c>
      <c r="AK40" s="71">
        <f t="shared" ca="1" si="0"/>
        <v>0</v>
      </c>
      <c r="AL40" s="71">
        <f ca="1">IF(C40=1,'Reeksen (N)'!AL40*((F40-G40+F40)/2)*12+'Reeksen (N)'!AM40*((L40-M40+L40)/2)*12,0)</f>
        <v>0</v>
      </c>
      <c r="AM40" s="71">
        <f ca="1">-AL40*'Invoer gegevens (N)'!$F$31</f>
        <v>0</v>
      </c>
      <c r="AN40" s="71">
        <f t="shared" ca="1" si="7"/>
        <v>0</v>
      </c>
      <c r="AO40" s="71">
        <f ca="1">IF(C40=1,(H40+J40+N40+P40)*'Reeksen (N)'!AN40,0)</f>
        <v>0</v>
      </c>
      <c r="AP40" s="71">
        <f ca="1">-IF(C40=1,(H40+J40+N40+P40)*'Hulp - basis'!$O$550*'Reeksen (N)'!H40,0)</f>
        <v>0</v>
      </c>
      <c r="AQ40" s="71">
        <f ca="1">-IF(C40=1,(F40+K40+L40+Q40)/2*'Invoer gegevens (N)'!$I$33*'Reeksen (N)'!J40,0)*2</f>
        <v>0</v>
      </c>
      <c r="AR40" s="71">
        <f ca="1">-IF(C40=1,(I40*'Invoer gegevens (N)'!$I$34)*'Reeksen (N)'!J40,0)</f>
        <v>0</v>
      </c>
      <c r="AS40" s="71">
        <f ca="1">-IF(C40=1,(F40+K40+L40+Q40)/2*'Invoer gegevens (N)'!$I$35*'Reeksen (N)'!L40,0)</f>
        <v>0</v>
      </c>
      <c r="AT40" s="71">
        <f ca="1">-IF(C40=1,IF(E40='Invoer gegevens (N)'!$C$17,'Invoer gegevens (N)'!$C$11,AD40)*'Reeksen (N)'!S40*'Invoer gegevens (N)'!$C$18*'Reeksen (N)'!P40,0)</f>
        <v>0</v>
      </c>
      <c r="AU40" s="71">
        <f ca="1">-IF(C40=1,(F40+K40+L40+Q40)/2*'Invoer gegevens (N)'!$I$36*'Reeksen (N)'!H40,0)</f>
        <v>0</v>
      </c>
      <c r="AV40" s="71">
        <v>0</v>
      </c>
      <c r="AW40" s="71">
        <f t="shared" ca="1" si="8"/>
        <v>0</v>
      </c>
      <c r="AX40" s="71">
        <f ca="1">IF(E40&lt;'Invoer gegevens (N)'!$C$17+15,0,IF(E40&gt;'Invoer gegevens (N)'!$C$17+215,0,AW40))</f>
        <v>0</v>
      </c>
      <c r="AY40" s="71">
        <f ca="1">AX40/(1+'Invoer gegevens (N)'!$F$18)^($AZ40-('Invoer gegevens (N)'!$C$17-'Invoer gegevens (N)'!$C$16))/(1+'Invoer gegevens (N)'!$C$39)^('Invoer gegevens (N)'!$C$17-'Invoer gegevens (N)'!$C$16)</f>
        <v>0</v>
      </c>
      <c r="AZ40" s="68">
        <f ca="1">IF(E40-'Invoer gegevens (N)'!$C$17-14.5&lt;0,0,E40-'Invoer gegevens (N)'!$C$17-14.5)</f>
        <v>20.5</v>
      </c>
    </row>
    <row r="41" spans="2:52" x14ac:dyDescent="0.25">
      <c r="B41" s="70">
        <f t="shared" si="9"/>
        <v>37</v>
      </c>
      <c r="C41" s="67">
        <f ca="1">IF(E41-'Invoer gegevens (N)'!$C$17&lt;0,0,1)</f>
        <v>1</v>
      </c>
      <c r="D41" s="68">
        <f t="shared" si="10"/>
        <v>36.5</v>
      </c>
      <c r="E41" s="108">
        <f ca="1">IF('Invoer gegevens (N)'!$C$16="","",E40+1)</f>
        <v>2055</v>
      </c>
      <c r="F41" s="84">
        <f ca="1">IF('Invoer gegevens (N)'!$C$17=E41,'Invoer gegevens (N)'!$C$10,IF(C41=1,K40,0))</f>
        <v>0</v>
      </c>
      <c r="G41" s="96">
        <f ca="1">IF(C41&gt;=1,F41*VLOOKUP(E41,'Reeksen (N)'!$A$5:$B$76,2),0)</f>
        <v>0</v>
      </c>
      <c r="H41" s="84">
        <f ca="1">(1-('Invoer gegevens (N)'!$F$20/12))*F41*MIN('Reeksen (N)'!B41,'Reeksen (N)'!D41)</f>
        <v>0</v>
      </c>
      <c r="I41" s="84">
        <f>IF('Reeksen (N)'!D41&lt;'Reeksen (N)'!B41,('Reeksen (N)'!B41-'Reeksen (N)'!D41)*F41,0)</f>
        <v>0</v>
      </c>
      <c r="J41" s="84">
        <f ca="1">('Invoer gegevens (N)'!$F$20/12)*F40*MIN('Reeksen (N)'!B40,'Reeksen (N)'!D40)</f>
        <v>0</v>
      </c>
      <c r="K41" s="97">
        <f t="shared" ca="1" si="1"/>
        <v>0</v>
      </c>
      <c r="L41" s="84">
        <f ca="1">IF('Invoer gegevens (N)'!$C$17=E41,0,IF(C41=1,Q40,0))</f>
        <v>0</v>
      </c>
      <c r="M41" s="96">
        <f ca="1">IF(C41&gt;=1,L41*VLOOKUP(E41,'Reeksen (N)'!$A$5:$B$76,2),0)</f>
        <v>0</v>
      </c>
      <c r="N41" s="84">
        <f ca="1">(1-('Invoer gegevens (N)'!$F$20/12))*L41*MIN('Reeksen (N)'!B41,'Reeksen (N)'!D41)</f>
        <v>0</v>
      </c>
      <c r="O41" s="84">
        <f>IF('Reeksen (N)'!D41&lt;'Reeksen (N)'!B41,('Reeksen (N)'!B41-'Reeksen (N)'!D41)*L41,0)</f>
        <v>0</v>
      </c>
      <c r="P41" s="84">
        <f ca="1">('Invoer gegevens (N)'!$F$20/12)*L40*MIN('Reeksen (N)'!B40,'Reeksen (N)'!D40)</f>
        <v>0</v>
      </c>
      <c r="Q41" s="84">
        <f t="shared" ca="1" si="2"/>
        <v>0</v>
      </c>
      <c r="R41" s="82">
        <f ca="1">IF('Invoer gegevens (N)'!$C$17=E41,'Invoer gegevens (N)'!$C$11,IF(C41=1,W40,0))</f>
        <v>0</v>
      </c>
      <c r="S41" s="86">
        <f ca="1">IF(C41&gt;=1,R41*VLOOKUP(E41,'Reeksen (N)'!$A$5:$B$76,2),0)</f>
        <v>0</v>
      </c>
      <c r="T41" s="84">
        <f ca="1">(1-('Invoer gegevens (N)'!$F$20/12))*R41*MIN('Reeksen (N)'!B41,'Reeksen (N)'!D41)</f>
        <v>0</v>
      </c>
      <c r="U41" s="84">
        <f>IF('Reeksen (N)'!D41&gt;='Reeksen (N)'!B41,0,IF('Reeksen (N)'!AK41&lt;='Reeksen (N)'!AE41,('Reeksen (N)'!B41-'Reeksen (N)'!D41)*R41,0))</f>
        <v>0</v>
      </c>
      <c r="V41" s="86">
        <f>IF('Reeksen (N)'!D41&gt;='Reeksen (N)'!B41,0,IF('Reeksen (N)'!AK41&gt;'Reeksen (N)'!AE41,('Reeksen (N)'!B41-'Reeksen (N)'!D41)*R41,0))</f>
        <v>0</v>
      </c>
      <c r="W41" s="97">
        <f t="shared" ca="1" si="3"/>
        <v>0</v>
      </c>
      <c r="X41" s="98">
        <f ca="1">IF('Invoer gegevens (N)'!$C$17=E41,'Invoer gegevens (N)'!$C$10-'Invoer gegevens (N)'!$C$11,IF(C41=1,AC40,0))</f>
        <v>0</v>
      </c>
      <c r="Y41" s="98">
        <f ca="1">IF(C41&gt;=1,X41*VLOOKUP(E41,'Reeksen (N)'!$A$5:$B$76,2),0)</f>
        <v>0</v>
      </c>
      <c r="Z41" s="98">
        <f ca="1">(1-('Invoer gegevens (N)'!$F$20/12))*X41*MIN('Reeksen (N)'!B41,'Reeksen (N)'!D41)</f>
        <v>0</v>
      </c>
      <c r="AA41" s="98">
        <f>IF('Reeksen (N)'!D41&gt;='Reeksen (N)'!B41,0,IF('Reeksen (N)'!AK41&lt;='Reeksen (N)'!AE41,('Reeksen (N)'!B41-'Reeksen (N)'!D41)*X41,0))</f>
        <v>0</v>
      </c>
      <c r="AB41" s="98">
        <f>IF('Reeksen (N)'!D41&gt;='Reeksen (N)'!B41,0,IF('Reeksen (N)'!AK41&gt;'Reeksen (N)'!AE41,('Reeksen (N)'!B41-'Reeksen (N)'!D41)*X41,0))</f>
        <v>0</v>
      </c>
      <c r="AC41" s="99">
        <f t="shared" ca="1" si="4"/>
        <v>0</v>
      </c>
      <c r="AD41" s="98">
        <f ca="1">IF('Invoer gegevens (N)'!$C$17=E41,R41,IF(C41=0,0,AE40))</f>
        <v>0</v>
      </c>
      <c r="AE41" s="98">
        <f t="shared" ca="1" si="5"/>
        <v>0</v>
      </c>
      <c r="AF41" s="98">
        <f ca="1">IF('Invoer gegevens (N)'!$C$17=E41,X41,IF(C41=0,0,AG40))</f>
        <v>0</v>
      </c>
      <c r="AG41" s="98">
        <f t="shared" ca="1" si="6"/>
        <v>0</v>
      </c>
      <c r="AH41" s="68"/>
      <c r="AI41" s="71">
        <f ca="1">IF(C41=1,'Reeksen (N)'!AJ41*((F41-G41+F41)/2)*12+'Reeksen (N)'!AK41*((L41-M41+L41)/2)*12,0)</f>
        <v>0</v>
      </c>
      <c r="AJ41" s="71">
        <f ca="1">-AI41*'Invoer gegevens (N)'!$F$28</f>
        <v>0</v>
      </c>
      <c r="AK41" s="71">
        <f t="shared" ca="1" si="0"/>
        <v>0</v>
      </c>
      <c r="AL41" s="71">
        <f ca="1">IF(C41=1,'Reeksen (N)'!AL41*((F41-G41+F41)/2)*12+'Reeksen (N)'!AM41*((L41-M41+L41)/2)*12,0)</f>
        <v>0</v>
      </c>
      <c r="AM41" s="71">
        <f ca="1">-AL41*'Invoer gegevens (N)'!$F$31</f>
        <v>0</v>
      </c>
      <c r="AN41" s="71">
        <f t="shared" ca="1" si="7"/>
        <v>0</v>
      </c>
      <c r="AO41" s="71">
        <f ca="1">IF(C41=1,(H41+J41+N41+P41)*'Reeksen (N)'!AN41,0)</f>
        <v>0</v>
      </c>
      <c r="AP41" s="71">
        <f ca="1">-IF(C41=1,(H41+J41+N41+P41)*'Hulp - basis'!$O$550*'Reeksen (N)'!H41,0)</f>
        <v>0</v>
      </c>
      <c r="AQ41" s="71">
        <f ca="1">-IF(C41=1,(F41+K41+L41+Q41)/2*'Invoer gegevens (N)'!$I$33*'Reeksen (N)'!J41,0)*2</f>
        <v>0</v>
      </c>
      <c r="AR41" s="71">
        <f ca="1">-IF(C41=1,(I41*'Invoer gegevens (N)'!$I$34)*'Reeksen (N)'!J41,0)</f>
        <v>0</v>
      </c>
      <c r="AS41" s="71">
        <f ca="1">-IF(C41=1,(F41+K41+L41+Q41)/2*'Invoer gegevens (N)'!$I$35*'Reeksen (N)'!L41,0)</f>
        <v>0</v>
      </c>
      <c r="AT41" s="71">
        <f ca="1">-IF(C41=1,IF(E41='Invoer gegevens (N)'!$C$17,'Invoer gegevens (N)'!$C$11,AD41)*'Reeksen (N)'!S41*'Invoer gegevens (N)'!$C$18*'Reeksen (N)'!P41,0)</f>
        <v>0</v>
      </c>
      <c r="AU41" s="71">
        <f ca="1">-IF(C41=1,(F41+K41+L41+Q41)/2*'Invoer gegevens (N)'!$I$36*'Reeksen (N)'!H41,0)</f>
        <v>0</v>
      </c>
      <c r="AV41" s="71">
        <v>0</v>
      </c>
      <c r="AW41" s="71">
        <f t="shared" ca="1" si="8"/>
        <v>0</v>
      </c>
      <c r="AX41" s="71">
        <f ca="1">IF(E41&lt;'Invoer gegevens (N)'!$C$17+15,0,IF(E41&gt;'Invoer gegevens (N)'!$C$17+215,0,AW41))</f>
        <v>0</v>
      </c>
      <c r="AY41" s="71">
        <f ca="1">AX41/(1+'Invoer gegevens (N)'!$F$18)^($AZ41-('Invoer gegevens (N)'!$C$17-'Invoer gegevens (N)'!$C$16))/(1+'Invoer gegevens (N)'!$C$39)^('Invoer gegevens (N)'!$C$17-'Invoer gegevens (N)'!$C$16)</f>
        <v>0</v>
      </c>
      <c r="AZ41" s="68">
        <f ca="1">IF(E41-'Invoer gegevens (N)'!$C$17-14.5&lt;0,0,E41-'Invoer gegevens (N)'!$C$17-14.5)</f>
        <v>21.5</v>
      </c>
    </row>
    <row r="42" spans="2:52" x14ac:dyDescent="0.25">
      <c r="B42" s="70">
        <f t="shared" si="9"/>
        <v>38</v>
      </c>
      <c r="C42" s="67">
        <f ca="1">IF(E42-'Invoer gegevens (N)'!$C$17&lt;0,0,1)</f>
        <v>1</v>
      </c>
      <c r="D42" s="68">
        <f t="shared" si="10"/>
        <v>37.5</v>
      </c>
      <c r="E42" s="108">
        <f ca="1">IF('Invoer gegevens (N)'!$C$16="","",E41+1)</f>
        <v>2056</v>
      </c>
      <c r="F42" s="84">
        <f ca="1">IF('Invoer gegevens (N)'!$C$17=E42,'Invoer gegevens (N)'!$C$10,IF(C42=1,K41,0))</f>
        <v>0</v>
      </c>
      <c r="G42" s="96">
        <f ca="1">IF(C42&gt;=1,F42*VLOOKUP(E42,'Reeksen (N)'!$A$5:$B$76,2),0)</f>
        <v>0</v>
      </c>
      <c r="H42" s="84">
        <f ca="1">(1-('Invoer gegevens (N)'!$F$20/12))*F42*MIN('Reeksen (N)'!B42,'Reeksen (N)'!D42)</f>
        <v>0</v>
      </c>
      <c r="I42" s="84">
        <f>IF('Reeksen (N)'!D42&lt;'Reeksen (N)'!B42,('Reeksen (N)'!B42-'Reeksen (N)'!D42)*F42,0)</f>
        <v>0</v>
      </c>
      <c r="J42" s="84">
        <f ca="1">('Invoer gegevens (N)'!$F$20/12)*F41*MIN('Reeksen (N)'!B41,'Reeksen (N)'!D41)</f>
        <v>0</v>
      </c>
      <c r="K42" s="97">
        <f t="shared" ca="1" si="1"/>
        <v>0</v>
      </c>
      <c r="L42" s="84">
        <f ca="1">IF('Invoer gegevens (N)'!$C$17=E42,0,IF(C42=1,Q41,0))</f>
        <v>0</v>
      </c>
      <c r="M42" s="96">
        <f ca="1">IF(C42&gt;=1,L42*VLOOKUP(E42,'Reeksen (N)'!$A$5:$B$76,2),0)</f>
        <v>0</v>
      </c>
      <c r="N42" s="84">
        <f ca="1">(1-('Invoer gegevens (N)'!$F$20/12))*L42*MIN('Reeksen (N)'!B42,'Reeksen (N)'!D42)</f>
        <v>0</v>
      </c>
      <c r="O42" s="84">
        <f>IF('Reeksen (N)'!D42&lt;'Reeksen (N)'!B42,('Reeksen (N)'!B42-'Reeksen (N)'!D42)*L42,0)</f>
        <v>0</v>
      </c>
      <c r="P42" s="84">
        <f ca="1">('Invoer gegevens (N)'!$F$20/12)*L41*MIN('Reeksen (N)'!B41,'Reeksen (N)'!D41)</f>
        <v>0</v>
      </c>
      <c r="Q42" s="84">
        <f t="shared" ca="1" si="2"/>
        <v>0</v>
      </c>
      <c r="R42" s="82">
        <f ca="1">IF('Invoer gegevens (N)'!$C$17=E42,'Invoer gegevens (N)'!$C$11,IF(C42=1,W41,0))</f>
        <v>0</v>
      </c>
      <c r="S42" s="86">
        <f ca="1">IF(C42&gt;=1,R42*VLOOKUP(E42,'Reeksen (N)'!$A$5:$B$76,2),0)</f>
        <v>0</v>
      </c>
      <c r="T42" s="84">
        <f ca="1">(1-('Invoer gegevens (N)'!$F$20/12))*R42*MIN('Reeksen (N)'!B42,'Reeksen (N)'!D42)</f>
        <v>0</v>
      </c>
      <c r="U42" s="84">
        <f>IF('Reeksen (N)'!D42&gt;='Reeksen (N)'!B42,0,IF('Reeksen (N)'!AK42&lt;='Reeksen (N)'!AE42,('Reeksen (N)'!B42-'Reeksen (N)'!D42)*R42,0))</f>
        <v>0</v>
      </c>
      <c r="V42" s="86">
        <f>IF('Reeksen (N)'!D42&gt;='Reeksen (N)'!B42,0,IF('Reeksen (N)'!AK42&gt;'Reeksen (N)'!AE42,('Reeksen (N)'!B42-'Reeksen (N)'!D42)*R42,0))</f>
        <v>0</v>
      </c>
      <c r="W42" s="97">
        <f t="shared" ca="1" si="3"/>
        <v>0</v>
      </c>
      <c r="X42" s="98">
        <f ca="1">IF('Invoer gegevens (N)'!$C$17=E42,'Invoer gegevens (N)'!$C$10-'Invoer gegevens (N)'!$C$11,IF(C42=1,AC41,0))</f>
        <v>0</v>
      </c>
      <c r="Y42" s="98">
        <f ca="1">IF(C42&gt;=1,X42*VLOOKUP(E42,'Reeksen (N)'!$A$5:$B$76,2),0)</f>
        <v>0</v>
      </c>
      <c r="Z42" s="98">
        <f ca="1">(1-('Invoer gegevens (N)'!$F$20/12))*X42*MIN('Reeksen (N)'!B42,'Reeksen (N)'!D42)</f>
        <v>0</v>
      </c>
      <c r="AA42" s="98">
        <f>IF('Reeksen (N)'!D42&gt;='Reeksen (N)'!B42,0,IF('Reeksen (N)'!AK42&lt;='Reeksen (N)'!AE42,('Reeksen (N)'!B42-'Reeksen (N)'!D42)*X42,0))</f>
        <v>0</v>
      </c>
      <c r="AB42" s="98">
        <f>IF('Reeksen (N)'!D42&gt;='Reeksen (N)'!B42,0,IF('Reeksen (N)'!AK42&gt;'Reeksen (N)'!AE42,('Reeksen (N)'!B42-'Reeksen (N)'!D42)*X42,0))</f>
        <v>0</v>
      </c>
      <c r="AC42" s="99">
        <f t="shared" ca="1" si="4"/>
        <v>0</v>
      </c>
      <c r="AD42" s="98">
        <f ca="1">IF('Invoer gegevens (N)'!$C$17=E42,R42,IF(C42=0,0,AE41))</f>
        <v>0</v>
      </c>
      <c r="AE42" s="98">
        <f t="shared" ca="1" si="5"/>
        <v>0</v>
      </c>
      <c r="AF42" s="98">
        <f ca="1">IF('Invoer gegevens (N)'!$C$17=E42,X42,IF(C42=0,0,AG41))</f>
        <v>0</v>
      </c>
      <c r="AG42" s="98">
        <f t="shared" ca="1" si="6"/>
        <v>0</v>
      </c>
      <c r="AH42" s="68"/>
      <c r="AI42" s="71">
        <f ca="1">IF(C42=1,'Reeksen (N)'!AJ42*((F42-G42+F42)/2)*12+'Reeksen (N)'!AK42*((L42-M42+L42)/2)*12,0)</f>
        <v>0</v>
      </c>
      <c r="AJ42" s="71">
        <f ca="1">-AI42*'Invoer gegevens (N)'!$F$28</f>
        <v>0</v>
      </c>
      <c r="AK42" s="71">
        <f t="shared" ca="1" si="0"/>
        <v>0</v>
      </c>
      <c r="AL42" s="71">
        <f ca="1">IF(C42=1,'Reeksen (N)'!AL42*((F42-G42+F42)/2)*12+'Reeksen (N)'!AM42*((L42-M42+L42)/2)*12,0)</f>
        <v>0</v>
      </c>
      <c r="AM42" s="71">
        <f ca="1">-AL42*'Invoer gegevens (N)'!$F$31</f>
        <v>0</v>
      </c>
      <c r="AN42" s="71">
        <f t="shared" ca="1" si="7"/>
        <v>0</v>
      </c>
      <c r="AO42" s="71">
        <f ca="1">IF(C42=1,(H42+J42+N42+P42)*'Reeksen (N)'!AN42,0)</f>
        <v>0</v>
      </c>
      <c r="AP42" s="71">
        <f ca="1">-IF(C42=1,(H42+J42+N42+P42)*'Hulp - basis'!$O$550*'Reeksen (N)'!H42,0)</f>
        <v>0</v>
      </c>
      <c r="AQ42" s="71">
        <f ca="1">-IF(C42=1,(F42+K42+L42+Q42)/2*'Invoer gegevens (N)'!$I$33*'Reeksen (N)'!J42,0)*2</f>
        <v>0</v>
      </c>
      <c r="AR42" s="71">
        <f ca="1">-IF(C42=1,(I42*'Invoer gegevens (N)'!$I$34)*'Reeksen (N)'!J42,0)</f>
        <v>0</v>
      </c>
      <c r="AS42" s="71">
        <f ca="1">-IF(C42=1,(F42+K42+L42+Q42)/2*'Invoer gegevens (N)'!$I$35*'Reeksen (N)'!L42,0)</f>
        <v>0</v>
      </c>
      <c r="AT42" s="71">
        <f ca="1">-IF(C42=1,IF(E42='Invoer gegevens (N)'!$C$17,'Invoer gegevens (N)'!$C$11,AD42)*'Reeksen (N)'!S42*'Invoer gegevens (N)'!$C$18*'Reeksen (N)'!P42,0)</f>
        <v>0</v>
      </c>
      <c r="AU42" s="71">
        <f ca="1">-IF(C42=1,(F42+K42+L42+Q42)/2*'Invoer gegevens (N)'!$I$36*'Reeksen (N)'!H42,0)</f>
        <v>0</v>
      </c>
      <c r="AV42" s="71">
        <v>0</v>
      </c>
      <c r="AW42" s="71">
        <f t="shared" ca="1" si="8"/>
        <v>0</v>
      </c>
      <c r="AX42" s="71">
        <f ca="1">IF(E42&lt;'Invoer gegevens (N)'!$C$17+15,0,IF(E42&gt;'Invoer gegevens (N)'!$C$17+215,0,AW42))</f>
        <v>0</v>
      </c>
      <c r="AY42" s="71">
        <f ca="1">AX42/(1+'Invoer gegevens (N)'!$F$18)^($AZ42-('Invoer gegevens (N)'!$C$17-'Invoer gegevens (N)'!$C$16))/(1+'Invoer gegevens (N)'!$C$39)^('Invoer gegevens (N)'!$C$17-'Invoer gegevens (N)'!$C$16)</f>
        <v>0</v>
      </c>
      <c r="AZ42" s="68">
        <f ca="1">IF(E42-'Invoer gegevens (N)'!$C$17-14.5&lt;0,0,E42-'Invoer gegevens (N)'!$C$17-14.5)</f>
        <v>22.5</v>
      </c>
    </row>
    <row r="43" spans="2:52" x14ac:dyDescent="0.25">
      <c r="B43" s="70">
        <f t="shared" si="9"/>
        <v>39</v>
      </c>
      <c r="C43" s="67">
        <f ca="1">IF(E43-'Invoer gegevens (N)'!$C$17&lt;0,0,1)</f>
        <v>1</v>
      </c>
      <c r="D43" s="68">
        <f t="shared" si="10"/>
        <v>38.5</v>
      </c>
      <c r="E43" s="108">
        <f ca="1">IF('Invoer gegevens (N)'!$C$16="","",E42+1)</f>
        <v>2057</v>
      </c>
      <c r="F43" s="84">
        <f ca="1">IF('Invoer gegevens (N)'!$C$17=E43,'Invoer gegevens (N)'!$C$10,IF(C43=1,K42,0))</f>
        <v>0</v>
      </c>
      <c r="G43" s="96">
        <f ca="1">IF(C43&gt;=1,F43*VLOOKUP(E43,'Reeksen (N)'!$A$5:$B$76,2),0)</f>
        <v>0</v>
      </c>
      <c r="H43" s="84">
        <f ca="1">(1-('Invoer gegevens (N)'!$F$20/12))*F43*MIN('Reeksen (N)'!B43,'Reeksen (N)'!D43)</f>
        <v>0</v>
      </c>
      <c r="I43" s="84">
        <f>IF('Reeksen (N)'!D43&lt;'Reeksen (N)'!B43,('Reeksen (N)'!B43-'Reeksen (N)'!D43)*F43,0)</f>
        <v>0</v>
      </c>
      <c r="J43" s="84">
        <f ca="1">('Invoer gegevens (N)'!$F$20/12)*F42*MIN('Reeksen (N)'!B42,'Reeksen (N)'!D42)</f>
        <v>0</v>
      </c>
      <c r="K43" s="97">
        <f t="shared" ca="1" si="1"/>
        <v>0</v>
      </c>
      <c r="L43" s="84">
        <f ca="1">IF('Invoer gegevens (N)'!$C$17=E43,0,IF(C43=1,Q42,0))</f>
        <v>0</v>
      </c>
      <c r="M43" s="96">
        <f ca="1">IF(C43&gt;=1,L43*VLOOKUP(E43,'Reeksen (N)'!$A$5:$B$76,2),0)</f>
        <v>0</v>
      </c>
      <c r="N43" s="84">
        <f ca="1">(1-('Invoer gegevens (N)'!$F$20/12))*L43*MIN('Reeksen (N)'!B43,'Reeksen (N)'!D43)</f>
        <v>0</v>
      </c>
      <c r="O43" s="84">
        <f>IF('Reeksen (N)'!D43&lt;'Reeksen (N)'!B43,('Reeksen (N)'!B43-'Reeksen (N)'!D43)*L43,0)</f>
        <v>0</v>
      </c>
      <c r="P43" s="84">
        <f ca="1">('Invoer gegevens (N)'!$F$20/12)*L42*MIN('Reeksen (N)'!B42,'Reeksen (N)'!D42)</f>
        <v>0</v>
      </c>
      <c r="Q43" s="84">
        <f t="shared" ca="1" si="2"/>
        <v>0</v>
      </c>
      <c r="R43" s="82">
        <f ca="1">IF('Invoer gegevens (N)'!$C$17=E43,'Invoer gegevens (N)'!$C$11,IF(C43=1,W42,0))</f>
        <v>0</v>
      </c>
      <c r="S43" s="86">
        <f ca="1">IF(C43&gt;=1,R43*VLOOKUP(E43,'Reeksen (N)'!$A$5:$B$76,2),0)</f>
        <v>0</v>
      </c>
      <c r="T43" s="84">
        <f ca="1">(1-('Invoer gegevens (N)'!$F$20/12))*R43*MIN('Reeksen (N)'!B43,'Reeksen (N)'!D43)</f>
        <v>0</v>
      </c>
      <c r="U43" s="84">
        <f>IF('Reeksen (N)'!D43&gt;='Reeksen (N)'!B43,0,IF('Reeksen (N)'!AK43&lt;='Reeksen (N)'!AE43,('Reeksen (N)'!B43-'Reeksen (N)'!D43)*R43,0))</f>
        <v>0</v>
      </c>
      <c r="V43" s="86">
        <f>IF('Reeksen (N)'!D43&gt;='Reeksen (N)'!B43,0,IF('Reeksen (N)'!AK43&gt;'Reeksen (N)'!AE43,('Reeksen (N)'!B43-'Reeksen (N)'!D43)*R43,0))</f>
        <v>0</v>
      </c>
      <c r="W43" s="97">
        <f t="shared" ca="1" si="3"/>
        <v>0</v>
      </c>
      <c r="X43" s="98">
        <f ca="1">IF('Invoer gegevens (N)'!$C$17=E43,'Invoer gegevens (N)'!$C$10-'Invoer gegevens (N)'!$C$11,IF(C43=1,AC42,0))</f>
        <v>0</v>
      </c>
      <c r="Y43" s="98">
        <f ca="1">IF(C43&gt;=1,X43*VLOOKUP(E43,'Reeksen (N)'!$A$5:$B$76,2),0)</f>
        <v>0</v>
      </c>
      <c r="Z43" s="98">
        <f ca="1">(1-('Invoer gegevens (N)'!$F$20/12))*X43*MIN('Reeksen (N)'!B43,'Reeksen (N)'!D43)</f>
        <v>0</v>
      </c>
      <c r="AA43" s="98">
        <f>IF('Reeksen (N)'!D43&gt;='Reeksen (N)'!B43,0,IF('Reeksen (N)'!AK43&lt;='Reeksen (N)'!AE43,('Reeksen (N)'!B43-'Reeksen (N)'!D43)*X43,0))</f>
        <v>0</v>
      </c>
      <c r="AB43" s="98">
        <f>IF('Reeksen (N)'!D43&gt;='Reeksen (N)'!B43,0,IF('Reeksen (N)'!AK43&gt;'Reeksen (N)'!AE43,('Reeksen (N)'!B43-'Reeksen (N)'!D43)*X43,0))</f>
        <v>0</v>
      </c>
      <c r="AC43" s="99">
        <f t="shared" ca="1" si="4"/>
        <v>0</v>
      </c>
      <c r="AD43" s="98">
        <f ca="1">IF('Invoer gegevens (N)'!$C$17=E43,R43,IF(C43=0,0,AE42))</f>
        <v>0</v>
      </c>
      <c r="AE43" s="98">
        <f t="shared" ca="1" si="5"/>
        <v>0</v>
      </c>
      <c r="AF43" s="98">
        <f ca="1">IF('Invoer gegevens (N)'!$C$17=E43,X43,IF(C43=0,0,AG42))</f>
        <v>0</v>
      </c>
      <c r="AG43" s="98">
        <f t="shared" ca="1" si="6"/>
        <v>0</v>
      </c>
      <c r="AH43" s="68"/>
      <c r="AI43" s="71">
        <f ca="1">IF(C43=1,'Reeksen (N)'!AJ43*((F43-G43+F43)/2)*12+'Reeksen (N)'!AK43*((L43-M43+L43)/2)*12,0)</f>
        <v>0</v>
      </c>
      <c r="AJ43" s="71">
        <f ca="1">-AI43*'Invoer gegevens (N)'!$F$28</f>
        <v>0</v>
      </c>
      <c r="AK43" s="71">
        <f t="shared" ca="1" si="0"/>
        <v>0</v>
      </c>
      <c r="AL43" s="71">
        <f ca="1">IF(C43=1,'Reeksen (N)'!AL43*((F43-G43+F43)/2)*12+'Reeksen (N)'!AM43*((L43-M43+L43)/2)*12,0)</f>
        <v>0</v>
      </c>
      <c r="AM43" s="71">
        <f ca="1">-AL43*'Invoer gegevens (N)'!$F$31</f>
        <v>0</v>
      </c>
      <c r="AN43" s="71">
        <f t="shared" ca="1" si="7"/>
        <v>0</v>
      </c>
      <c r="AO43" s="71">
        <f ca="1">IF(C43=1,(H43+J43+N43+P43)*'Reeksen (N)'!AN43,0)</f>
        <v>0</v>
      </c>
      <c r="AP43" s="71">
        <f ca="1">-IF(C43=1,(H43+J43+N43+P43)*'Hulp - basis'!$O$550*'Reeksen (N)'!H43,0)</f>
        <v>0</v>
      </c>
      <c r="AQ43" s="71">
        <f ca="1">-IF(C43=1,(F43+K43+L43+Q43)/2*'Invoer gegevens (N)'!$I$33*'Reeksen (N)'!J43,0)*2</f>
        <v>0</v>
      </c>
      <c r="AR43" s="71">
        <f ca="1">-IF(C43=1,(I43*'Invoer gegevens (N)'!$I$34)*'Reeksen (N)'!J43,0)</f>
        <v>0</v>
      </c>
      <c r="AS43" s="71">
        <f ca="1">-IF(C43=1,(F43+K43+L43+Q43)/2*'Invoer gegevens (N)'!$I$35*'Reeksen (N)'!L43,0)</f>
        <v>0</v>
      </c>
      <c r="AT43" s="71">
        <f ca="1">-IF(C43=1,IF(E43='Invoer gegevens (N)'!$C$17,'Invoer gegevens (N)'!$C$11,AD43)*'Reeksen (N)'!S43*'Invoer gegevens (N)'!$C$18*'Reeksen (N)'!P43,0)</f>
        <v>0</v>
      </c>
      <c r="AU43" s="71">
        <f ca="1">-IF(C43=1,(F43+K43+L43+Q43)/2*'Invoer gegevens (N)'!$I$36*'Reeksen (N)'!H43,0)</f>
        <v>0</v>
      </c>
      <c r="AV43" s="71">
        <v>0</v>
      </c>
      <c r="AW43" s="71">
        <f t="shared" ca="1" si="8"/>
        <v>0</v>
      </c>
      <c r="AX43" s="71">
        <f ca="1">IF(E43&lt;'Invoer gegevens (N)'!$C$17+15,0,IF(E43&gt;'Invoer gegevens (N)'!$C$17+215,0,AW43))</f>
        <v>0</v>
      </c>
      <c r="AY43" s="71">
        <f ca="1">AX43/(1+'Invoer gegevens (N)'!$F$18)^($AZ43-('Invoer gegevens (N)'!$C$17-'Invoer gegevens (N)'!$C$16))/(1+'Invoer gegevens (N)'!$C$39)^('Invoer gegevens (N)'!$C$17-'Invoer gegevens (N)'!$C$16)</f>
        <v>0</v>
      </c>
      <c r="AZ43" s="68">
        <f ca="1">IF(E43-'Invoer gegevens (N)'!$C$17-14.5&lt;0,0,E43-'Invoer gegevens (N)'!$C$17-14.5)</f>
        <v>23.5</v>
      </c>
    </row>
    <row r="44" spans="2:52" x14ac:dyDescent="0.25">
      <c r="B44" s="70">
        <f t="shared" si="9"/>
        <v>40</v>
      </c>
      <c r="C44" s="67">
        <f ca="1">IF(E44-'Invoer gegevens (N)'!$C$17&lt;0,0,1)</f>
        <v>1</v>
      </c>
      <c r="D44" s="68">
        <f t="shared" si="10"/>
        <v>39.5</v>
      </c>
      <c r="E44" s="108">
        <f ca="1">IF('Invoer gegevens (N)'!$C$16="","",E43+1)</f>
        <v>2058</v>
      </c>
      <c r="F44" s="84">
        <f ca="1">IF('Invoer gegevens (N)'!$C$17=E44,'Invoer gegevens (N)'!$C$10,IF(C44=1,K43,0))</f>
        <v>0</v>
      </c>
      <c r="G44" s="96">
        <f ca="1">IF(C44&gt;=1,F44*VLOOKUP(E44,'Reeksen (N)'!$A$5:$B$76,2),0)</f>
        <v>0</v>
      </c>
      <c r="H44" s="84">
        <f ca="1">(1-('Invoer gegevens (N)'!$F$20/12))*F44*MIN('Reeksen (N)'!B44,'Reeksen (N)'!D44)</f>
        <v>0</v>
      </c>
      <c r="I44" s="84">
        <f>IF('Reeksen (N)'!D44&lt;'Reeksen (N)'!B44,('Reeksen (N)'!B44-'Reeksen (N)'!D44)*F44,0)</f>
        <v>0</v>
      </c>
      <c r="J44" s="84">
        <f ca="1">('Invoer gegevens (N)'!$F$20/12)*F43*MIN('Reeksen (N)'!B43,'Reeksen (N)'!D43)</f>
        <v>0</v>
      </c>
      <c r="K44" s="97">
        <f t="shared" ca="1" si="1"/>
        <v>0</v>
      </c>
      <c r="L44" s="84">
        <f ca="1">IF('Invoer gegevens (N)'!$C$17=E44,0,IF(C44=1,Q43,0))</f>
        <v>0</v>
      </c>
      <c r="M44" s="96">
        <f ca="1">IF(C44&gt;=1,L44*VLOOKUP(E44,'Reeksen (N)'!$A$5:$B$76,2),0)</f>
        <v>0</v>
      </c>
      <c r="N44" s="84">
        <f ca="1">(1-('Invoer gegevens (N)'!$F$20/12))*L44*MIN('Reeksen (N)'!B44,'Reeksen (N)'!D44)</f>
        <v>0</v>
      </c>
      <c r="O44" s="84">
        <f>IF('Reeksen (N)'!D44&lt;'Reeksen (N)'!B44,('Reeksen (N)'!B44-'Reeksen (N)'!D44)*L44,0)</f>
        <v>0</v>
      </c>
      <c r="P44" s="84">
        <f ca="1">('Invoer gegevens (N)'!$F$20/12)*L43*MIN('Reeksen (N)'!B43,'Reeksen (N)'!D43)</f>
        <v>0</v>
      </c>
      <c r="Q44" s="84">
        <f t="shared" ca="1" si="2"/>
        <v>0</v>
      </c>
      <c r="R44" s="82">
        <f ca="1">IF('Invoer gegevens (N)'!$C$17=E44,'Invoer gegevens (N)'!$C$11,IF(C44=1,W43,0))</f>
        <v>0</v>
      </c>
      <c r="S44" s="86">
        <f ca="1">IF(C44&gt;=1,R44*VLOOKUP(E44,'Reeksen (N)'!$A$5:$B$76,2),0)</f>
        <v>0</v>
      </c>
      <c r="T44" s="84">
        <f ca="1">(1-('Invoer gegevens (N)'!$F$20/12))*R44*MIN('Reeksen (N)'!B44,'Reeksen (N)'!D44)</f>
        <v>0</v>
      </c>
      <c r="U44" s="84">
        <f>IF('Reeksen (N)'!D44&gt;='Reeksen (N)'!B44,0,IF('Reeksen (N)'!AK44&lt;='Reeksen (N)'!AE44,('Reeksen (N)'!B44-'Reeksen (N)'!D44)*R44,0))</f>
        <v>0</v>
      </c>
      <c r="V44" s="86">
        <f>IF('Reeksen (N)'!D44&gt;='Reeksen (N)'!B44,0,IF('Reeksen (N)'!AK44&gt;'Reeksen (N)'!AE44,('Reeksen (N)'!B44-'Reeksen (N)'!D44)*R44,0))</f>
        <v>0</v>
      </c>
      <c r="W44" s="97">
        <f t="shared" ca="1" si="3"/>
        <v>0</v>
      </c>
      <c r="X44" s="98">
        <f ca="1">IF('Invoer gegevens (N)'!$C$17=E44,'Invoer gegevens (N)'!$C$10-'Invoer gegevens (N)'!$C$11,IF(C44=1,AC43,0))</f>
        <v>0</v>
      </c>
      <c r="Y44" s="98">
        <f ca="1">IF(C44&gt;=1,X44*VLOOKUP(E44,'Reeksen (N)'!$A$5:$B$76,2),0)</f>
        <v>0</v>
      </c>
      <c r="Z44" s="98">
        <f ca="1">(1-('Invoer gegevens (N)'!$F$20/12))*X44*MIN('Reeksen (N)'!B44,'Reeksen (N)'!D44)</f>
        <v>0</v>
      </c>
      <c r="AA44" s="98">
        <f>IF('Reeksen (N)'!D44&gt;='Reeksen (N)'!B44,0,IF('Reeksen (N)'!AK44&lt;='Reeksen (N)'!AE44,('Reeksen (N)'!B44-'Reeksen (N)'!D44)*X44,0))</f>
        <v>0</v>
      </c>
      <c r="AB44" s="98">
        <f>IF('Reeksen (N)'!D44&gt;='Reeksen (N)'!B44,0,IF('Reeksen (N)'!AK44&gt;'Reeksen (N)'!AE44,('Reeksen (N)'!B44-'Reeksen (N)'!D44)*X44,0))</f>
        <v>0</v>
      </c>
      <c r="AC44" s="99">
        <f t="shared" ca="1" si="4"/>
        <v>0</v>
      </c>
      <c r="AD44" s="98">
        <f ca="1">IF('Invoer gegevens (N)'!$C$17=E44,R44,IF(C44=0,0,AE43))</f>
        <v>0</v>
      </c>
      <c r="AE44" s="98">
        <f t="shared" ca="1" si="5"/>
        <v>0</v>
      </c>
      <c r="AF44" s="98">
        <f ca="1">IF('Invoer gegevens (N)'!$C$17=E44,X44,IF(C44=0,0,AG43))</f>
        <v>0</v>
      </c>
      <c r="AG44" s="98">
        <f t="shared" ca="1" si="6"/>
        <v>0</v>
      </c>
      <c r="AH44" s="68"/>
      <c r="AI44" s="71">
        <f ca="1">IF(C44=1,'Reeksen (N)'!AJ44*((F44-G44+F44)/2)*12+'Reeksen (N)'!AK44*((L44-M44+L44)/2)*12,0)</f>
        <v>0</v>
      </c>
      <c r="AJ44" s="71">
        <f ca="1">-AI44*'Invoer gegevens (N)'!$F$28</f>
        <v>0</v>
      </c>
      <c r="AK44" s="71">
        <f t="shared" ca="1" si="0"/>
        <v>0</v>
      </c>
      <c r="AL44" s="71">
        <f ca="1">IF(C44=1,'Reeksen (N)'!AL44*((F44-G44+F44)/2)*12+'Reeksen (N)'!AM44*((L44-M44+L44)/2)*12,0)</f>
        <v>0</v>
      </c>
      <c r="AM44" s="71">
        <f ca="1">-AL44*'Invoer gegevens (N)'!$F$31</f>
        <v>0</v>
      </c>
      <c r="AN44" s="71">
        <f t="shared" ca="1" si="7"/>
        <v>0</v>
      </c>
      <c r="AO44" s="71">
        <f ca="1">IF(C44=1,(H44+J44+N44+P44)*'Reeksen (N)'!AN44,0)</f>
        <v>0</v>
      </c>
      <c r="AP44" s="71">
        <f ca="1">-IF(C44=1,(H44+J44+N44+P44)*'Hulp - basis'!$O$550*'Reeksen (N)'!H44,0)</f>
        <v>0</v>
      </c>
      <c r="AQ44" s="71">
        <f ca="1">-IF(C44=1,(F44+K44+L44+Q44)/2*'Invoer gegevens (N)'!$I$33*'Reeksen (N)'!J44,0)*2</f>
        <v>0</v>
      </c>
      <c r="AR44" s="71">
        <f ca="1">-IF(C44=1,(I44*'Invoer gegevens (N)'!$I$34)*'Reeksen (N)'!J44,0)</f>
        <v>0</v>
      </c>
      <c r="AS44" s="71">
        <f ca="1">-IF(C44=1,(F44+K44+L44+Q44)/2*'Invoer gegevens (N)'!$I$35*'Reeksen (N)'!L44,0)</f>
        <v>0</v>
      </c>
      <c r="AT44" s="71">
        <f ca="1">-IF(C44=1,IF(E44='Invoer gegevens (N)'!$C$17,'Invoer gegevens (N)'!$C$11,AD44)*'Reeksen (N)'!S44*'Invoer gegevens (N)'!$C$18*'Reeksen (N)'!P44,0)</f>
        <v>0</v>
      </c>
      <c r="AU44" s="71">
        <f ca="1">-IF(C44=1,(F44+K44+L44+Q44)/2*'Invoer gegevens (N)'!$I$36*'Reeksen (N)'!H44,0)</f>
        <v>0</v>
      </c>
      <c r="AV44" s="71">
        <v>0</v>
      </c>
      <c r="AW44" s="71">
        <f t="shared" ca="1" si="8"/>
        <v>0</v>
      </c>
      <c r="AX44" s="71">
        <f ca="1">IF(E44&lt;'Invoer gegevens (N)'!$C$17+15,0,IF(E44&gt;'Invoer gegevens (N)'!$C$17+215,0,AW44))</f>
        <v>0</v>
      </c>
      <c r="AY44" s="71">
        <f ca="1">AX44/(1+'Invoer gegevens (N)'!$F$18)^($AZ44-('Invoer gegevens (N)'!$C$17-'Invoer gegevens (N)'!$C$16))/(1+'Invoer gegevens (N)'!$C$39)^('Invoer gegevens (N)'!$C$17-'Invoer gegevens (N)'!$C$16)</f>
        <v>0</v>
      </c>
      <c r="AZ44" s="68">
        <f ca="1">IF(E44-'Invoer gegevens (N)'!$C$17-14.5&lt;0,0,E44-'Invoer gegevens (N)'!$C$17-14.5)</f>
        <v>24.5</v>
      </c>
    </row>
    <row r="45" spans="2:52" x14ac:dyDescent="0.25">
      <c r="B45" s="70">
        <f t="shared" si="9"/>
        <v>41</v>
      </c>
      <c r="C45" s="67">
        <f ca="1">IF(E45-'Invoer gegevens (N)'!$C$17&lt;0,0,1)</f>
        <v>1</v>
      </c>
      <c r="D45" s="68">
        <f t="shared" si="10"/>
        <v>40.5</v>
      </c>
      <c r="E45" s="108">
        <f ca="1">IF('Invoer gegevens (N)'!$C$16="","",E44+1)</f>
        <v>2059</v>
      </c>
      <c r="F45" s="84">
        <f ca="1">IF('Invoer gegevens (N)'!$C$17=E45,'Invoer gegevens (N)'!$C$10,IF(C45=1,K44,0))</f>
        <v>0</v>
      </c>
      <c r="G45" s="96">
        <f ca="1">IF(C45&gt;=1,F45*VLOOKUP(E45,'Reeksen (N)'!$A$5:$B$76,2),0)</f>
        <v>0</v>
      </c>
      <c r="H45" s="84">
        <f ca="1">(1-('Invoer gegevens (N)'!$F$20/12))*F45*MIN('Reeksen (N)'!B45,'Reeksen (N)'!D45)</f>
        <v>0</v>
      </c>
      <c r="I45" s="84">
        <f>IF('Reeksen (N)'!D45&lt;'Reeksen (N)'!B45,('Reeksen (N)'!B45-'Reeksen (N)'!D45)*F45,0)</f>
        <v>0</v>
      </c>
      <c r="J45" s="84">
        <f ca="1">('Invoer gegevens (N)'!$F$20/12)*F44*MIN('Reeksen (N)'!B44,'Reeksen (N)'!D44)</f>
        <v>0</v>
      </c>
      <c r="K45" s="97">
        <f t="shared" ca="1" si="1"/>
        <v>0</v>
      </c>
      <c r="L45" s="84">
        <f ca="1">IF('Invoer gegevens (N)'!$C$17=E45,0,IF(C45=1,Q44,0))</f>
        <v>0</v>
      </c>
      <c r="M45" s="96">
        <f ca="1">IF(C45&gt;=1,L45*VLOOKUP(E45,'Reeksen (N)'!$A$5:$B$76,2),0)</f>
        <v>0</v>
      </c>
      <c r="N45" s="84">
        <f ca="1">(1-('Invoer gegevens (N)'!$F$20/12))*L45*MIN('Reeksen (N)'!B45,'Reeksen (N)'!D45)</f>
        <v>0</v>
      </c>
      <c r="O45" s="84">
        <f>IF('Reeksen (N)'!D45&lt;'Reeksen (N)'!B45,('Reeksen (N)'!B45-'Reeksen (N)'!D45)*L45,0)</f>
        <v>0</v>
      </c>
      <c r="P45" s="84">
        <f ca="1">('Invoer gegevens (N)'!$F$20/12)*L44*MIN('Reeksen (N)'!B44,'Reeksen (N)'!D44)</f>
        <v>0</v>
      </c>
      <c r="Q45" s="84">
        <f t="shared" ca="1" si="2"/>
        <v>0</v>
      </c>
      <c r="R45" s="82">
        <f ca="1">IF('Invoer gegevens (N)'!$C$17=E45,'Invoer gegevens (N)'!$C$11,IF(C45=1,W44,0))</f>
        <v>0</v>
      </c>
      <c r="S45" s="86">
        <f ca="1">IF(C45&gt;=1,R45*VLOOKUP(E45,'Reeksen (N)'!$A$5:$B$76,2),0)</f>
        <v>0</v>
      </c>
      <c r="T45" s="84">
        <f ca="1">(1-('Invoer gegevens (N)'!$F$20/12))*R45*MIN('Reeksen (N)'!B45,'Reeksen (N)'!D45)</f>
        <v>0</v>
      </c>
      <c r="U45" s="84">
        <f>IF('Reeksen (N)'!D45&gt;='Reeksen (N)'!B45,0,IF('Reeksen (N)'!AK45&lt;='Reeksen (N)'!AE45,('Reeksen (N)'!B45-'Reeksen (N)'!D45)*R45,0))</f>
        <v>0</v>
      </c>
      <c r="V45" s="86">
        <f>IF('Reeksen (N)'!D45&gt;='Reeksen (N)'!B45,0,IF('Reeksen (N)'!AK45&gt;'Reeksen (N)'!AE45,('Reeksen (N)'!B45-'Reeksen (N)'!D45)*R45,0))</f>
        <v>0</v>
      </c>
      <c r="W45" s="97">
        <f t="shared" ca="1" si="3"/>
        <v>0</v>
      </c>
      <c r="X45" s="98">
        <f ca="1">IF('Invoer gegevens (N)'!$C$17=E45,'Invoer gegevens (N)'!$C$10-'Invoer gegevens (N)'!$C$11,IF(C45=1,AC44,0))</f>
        <v>0</v>
      </c>
      <c r="Y45" s="98">
        <f ca="1">IF(C45&gt;=1,X45*VLOOKUP(E45,'Reeksen (N)'!$A$5:$B$76,2),0)</f>
        <v>0</v>
      </c>
      <c r="Z45" s="98">
        <f ca="1">(1-('Invoer gegevens (N)'!$F$20/12))*X45*MIN('Reeksen (N)'!B45,'Reeksen (N)'!D45)</f>
        <v>0</v>
      </c>
      <c r="AA45" s="98">
        <f>IF('Reeksen (N)'!D45&gt;='Reeksen (N)'!B45,0,IF('Reeksen (N)'!AK45&lt;='Reeksen (N)'!AE45,('Reeksen (N)'!B45-'Reeksen (N)'!D45)*X45,0))</f>
        <v>0</v>
      </c>
      <c r="AB45" s="98">
        <f>IF('Reeksen (N)'!D45&gt;='Reeksen (N)'!B45,0,IF('Reeksen (N)'!AK45&gt;'Reeksen (N)'!AE45,('Reeksen (N)'!B45-'Reeksen (N)'!D45)*X45,0))</f>
        <v>0</v>
      </c>
      <c r="AC45" s="99">
        <f t="shared" ca="1" si="4"/>
        <v>0</v>
      </c>
      <c r="AD45" s="98">
        <f ca="1">IF('Invoer gegevens (N)'!$C$17=E45,R45,IF(C45=0,0,AE44))</f>
        <v>0</v>
      </c>
      <c r="AE45" s="98">
        <f t="shared" ca="1" si="5"/>
        <v>0</v>
      </c>
      <c r="AF45" s="98">
        <f ca="1">IF('Invoer gegevens (N)'!$C$17=E45,X45,IF(C45=0,0,AG44))</f>
        <v>0</v>
      </c>
      <c r="AG45" s="98">
        <f t="shared" ca="1" si="6"/>
        <v>0</v>
      </c>
      <c r="AH45" s="68"/>
      <c r="AI45" s="71">
        <f ca="1">IF(C45=1,'Reeksen (N)'!AJ45*((F45-G45+F45)/2)*12+'Reeksen (N)'!AK45*((L45-M45+L45)/2)*12,0)</f>
        <v>0</v>
      </c>
      <c r="AJ45" s="71">
        <f ca="1">-AI45*'Invoer gegevens (N)'!$F$28</f>
        <v>0</v>
      </c>
      <c r="AK45" s="71">
        <f t="shared" ca="1" si="0"/>
        <v>0</v>
      </c>
      <c r="AL45" s="71">
        <f ca="1">IF(C45=1,'Reeksen (N)'!AL45*((F45-G45+F45)/2)*12+'Reeksen (N)'!AM45*((L45-M45+L45)/2)*12,0)</f>
        <v>0</v>
      </c>
      <c r="AM45" s="71">
        <f ca="1">-AL45*'Invoer gegevens (N)'!$F$31</f>
        <v>0</v>
      </c>
      <c r="AN45" s="71">
        <f t="shared" ca="1" si="7"/>
        <v>0</v>
      </c>
      <c r="AO45" s="71">
        <f ca="1">IF(C45=1,(H45+J45+N45+P45)*'Reeksen (N)'!AN45,0)</f>
        <v>0</v>
      </c>
      <c r="AP45" s="71">
        <f ca="1">-IF(C45=1,(H45+J45+N45+P45)*'Hulp - basis'!$O$550*'Reeksen (N)'!H45,0)</f>
        <v>0</v>
      </c>
      <c r="AQ45" s="71">
        <f ca="1">-IF(C45=1,(F45+K45+L45+Q45)/2*'Invoer gegevens (N)'!$I$33*'Reeksen (N)'!J45,0)*2</f>
        <v>0</v>
      </c>
      <c r="AR45" s="71">
        <f ca="1">-IF(C45=1,(I45*'Invoer gegevens (N)'!$I$34)*'Reeksen (N)'!J45,0)</f>
        <v>0</v>
      </c>
      <c r="AS45" s="71">
        <f ca="1">-IF(C45=1,(F45+K45+L45+Q45)/2*'Invoer gegevens (N)'!$I$35*'Reeksen (N)'!L45,0)</f>
        <v>0</v>
      </c>
      <c r="AT45" s="71">
        <f ca="1">-IF(C45=1,IF(E45='Invoer gegevens (N)'!$C$17,'Invoer gegevens (N)'!$C$11,AD45)*'Reeksen (N)'!S45*'Invoer gegevens (N)'!$C$18*'Reeksen (N)'!P45,0)</f>
        <v>0</v>
      </c>
      <c r="AU45" s="71">
        <f ca="1">-IF(C45=1,(F45+K45+L45+Q45)/2*'Invoer gegevens (N)'!$I$36*'Reeksen (N)'!H45,0)</f>
        <v>0</v>
      </c>
      <c r="AV45" s="71">
        <v>0</v>
      </c>
      <c r="AW45" s="71">
        <f t="shared" ca="1" si="8"/>
        <v>0</v>
      </c>
      <c r="AX45" s="71">
        <f ca="1">IF(E45&lt;'Invoer gegevens (N)'!$C$17+15,0,IF(E45&gt;'Invoer gegevens (N)'!$C$17+215,0,AW45))</f>
        <v>0</v>
      </c>
      <c r="AY45" s="71">
        <f ca="1">AX45/(1+'Invoer gegevens (N)'!$F$18)^($AZ45-('Invoer gegevens (N)'!$C$17-'Invoer gegevens (N)'!$C$16))/(1+'Invoer gegevens (N)'!$C$39)^('Invoer gegevens (N)'!$C$17-'Invoer gegevens (N)'!$C$16)</f>
        <v>0</v>
      </c>
      <c r="AZ45" s="68">
        <f ca="1">IF(E45-'Invoer gegevens (N)'!$C$17-14.5&lt;0,0,E45-'Invoer gegevens (N)'!$C$17-14.5)</f>
        <v>25.5</v>
      </c>
    </row>
    <row r="46" spans="2:52" x14ac:dyDescent="0.25">
      <c r="B46" s="70">
        <f t="shared" si="9"/>
        <v>42</v>
      </c>
      <c r="C46" s="67">
        <f ca="1">IF(E46-'Invoer gegevens (N)'!$C$17&lt;0,0,1)</f>
        <v>1</v>
      </c>
      <c r="D46" s="68">
        <f t="shared" si="10"/>
        <v>41.5</v>
      </c>
      <c r="E46" s="108">
        <f ca="1">IF('Invoer gegevens (N)'!$C$16="","",E45+1)</f>
        <v>2060</v>
      </c>
      <c r="F46" s="84">
        <f ca="1">IF('Invoer gegevens (N)'!$C$17=E46,'Invoer gegevens (N)'!$C$10,IF(C46=1,K45,0))</f>
        <v>0</v>
      </c>
      <c r="G46" s="96">
        <f ca="1">IF(C46&gt;=1,F46*VLOOKUP(E46,'Reeksen (N)'!$A$5:$B$76,2),0)</f>
        <v>0</v>
      </c>
      <c r="H46" s="84">
        <f ca="1">(1-('Invoer gegevens (N)'!$F$20/12))*F46*MIN('Reeksen (N)'!B46,'Reeksen (N)'!D46)</f>
        <v>0</v>
      </c>
      <c r="I46" s="84">
        <f>IF('Reeksen (N)'!D46&lt;'Reeksen (N)'!B46,('Reeksen (N)'!B46-'Reeksen (N)'!D46)*F46,0)</f>
        <v>0</v>
      </c>
      <c r="J46" s="84">
        <f ca="1">('Invoer gegevens (N)'!$F$20/12)*F45*MIN('Reeksen (N)'!B45,'Reeksen (N)'!D45)</f>
        <v>0</v>
      </c>
      <c r="K46" s="97">
        <f t="shared" ca="1" si="1"/>
        <v>0</v>
      </c>
      <c r="L46" s="84">
        <f ca="1">IF('Invoer gegevens (N)'!$C$17=E46,0,IF(C46=1,Q45,0))</f>
        <v>0</v>
      </c>
      <c r="M46" s="96">
        <f ca="1">IF(C46&gt;=1,L46*VLOOKUP(E46,'Reeksen (N)'!$A$5:$B$76,2),0)</f>
        <v>0</v>
      </c>
      <c r="N46" s="84">
        <f ca="1">(1-('Invoer gegevens (N)'!$F$20/12))*L46*MIN('Reeksen (N)'!B46,'Reeksen (N)'!D46)</f>
        <v>0</v>
      </c>
      <c r="O46" s="84">
        <f>IF('Reeksen (N)'!D46&lt;'Reeksen (N)'!B46,('Reeksen (N)'!B46-'Reeksen (N)'!D46)*L46,0)</f>
        <v>0</v>
      </c>
      <c r="P46" s="84">
        <f ca="1">('Invoer gegevens (N)'!$F$20/12)*L45*MIN('Reeksen (N)'!B45,'Reeksen (N)'!D45)</f>
        <v>0</v>
      </c>
      <c r="Q46" s="84">
        <f t="shared" ca="1" si="2"/>
        <v>0</v>
      </c>
      <c r="R46" s="82">
        <f ca="1">IF('Invoer gegevens (N)'!$C$17=E46,'Invoer gegevens (N)'!$C$11,IF(C46=1,W45,0))</f>
        <v>0</v>
      </c>
      <c r="S46" s="86">
        <f ca="1">IF(C46&gt;=1,R46*VLOOKUP(E46,'Reeksen (N)'!$A$5:$B$76,2),0)</f>
        <v>0</v>
      </c>
      <c r="T46" s="84">
        <f ca="1">(1-('Invoer gegevens (N)'!$F$20/12))*R46*MIN('Reeksen (N)'!B46,'Reeksen (N)'!D46)</f>
        <v>0</v>
      </c>
      <c r="U46" s="84">
        <f>IF('Reeksen (N)'!D46&gt;='Reeksen (N)'!B46,0,IF('Reeksen (N)'!AK46&lt;='Reeksen (N)'!AE46,('Reeksen (N)'!B46-'Reeksen (N)'!D46)*R46,0))</f>
        <v>0</v>
      </c>
      <c r="V46" s="86">
        <f>IF('Reeksen (N)'!D46&gt;='Reeksen (N)'!B46,0,IF('Reeksen (N)'!AK46&gt;'Reeksen (N)'!AE46,('Reeksen (N)'!B46-'Reeksen (N)'!D46)*R46,0))</f>
        <v>0</v>
      </c>
      <c r="W46" s="97">
        <f t="shared" ca="1" si="3"/>
        <v>0</v>
      </c>
      <c r="X46" s="98">
        <f ca="1">IF('Invoer gegevens (N)'!$C$17=E46,'Invoer gegevens (N)'!$C$10-'Invoer gegevens (N)'!$C$11,IF(C46=1,AC45,0))</f>
        <v>0</v>
      </c>
      <c r="Y46" s="98">
        <f ca="1">IF(C46&gt;=1,X46*VLOOKUP(E46,'Reeksen (N)'!$A$5:$B$76,2),0)</f>
        <v>0</v>
      </c>
      <c r="Z46" s="98">
        <f ca="1">(1-('Invoer gegevens (N)'!$F$20/12))*X46*MIN('Reeksen (N)'!B46,'Reeksen (N)'!D46)</f>
        <v>0</v>
      </c>
      <c r="AA46" s="98">
        <f>IF('Reeksen (N)'!D46&gt;='Reeksen (N)'!B46,0,IF('Reeksen (N)'!AK46&lt;='Reeksen (N)'!AE46,('Reeksen (N)'!B46-'Reeksen (N)'!D46)*X46,0))</f>
        <v>0</v>
      </c>
      <c r="AB46" s="98">
        <f>IF('Reeksen (N)'!D46&gt;='Reeksen (N)'!B46,0,IF('Reeksen (N)'!AK46&gt;'Reeksen (N)'!AE46,('Reeksen (N)'!B46-'Reeksen (N)'!D46)*X46,0))</f>
        <v>0</v>
      </c>
      <c r="AC46" s="99">
        <f t="shared" ca="1" si="4"/>
        <v>0</v>
      </c>
      <c r="AD46" s="98">
        <f ca="1">IF('Invoer gegevens (N)'!$C$17=E46,R46,IF(C46=0,0,AE45))</f>
        <v>0</v>
      </c>
      <c r="AE46" s="98">
        <f t="shared" ca="1" si="5"/>
        <v>0</v>
      </c>
      <c r="AF46" s="98">
        <f ca="1">IF('Invoer gegevens (N)'!$C$17=E46,X46,IF(C46=0,0,AG45))</f>
        <v>0</v>
      </c>
      <c r="AG46" s="98">
        <f t="shared" ca="1" si="6"/>
        <v>0</v>
      </c>
      <c r="AH46" s="68"/>
      <c r="AI46" s="71">
        <f ca="1">IF(C46=1,'Reeksen (N)'!AJ46*((F46-G46+F46)/2)*12+'Reeksen (N)'!AK46*((L46-M46+L46)/2)*12,0)</f>
        <v>0</v>
      </c>
      <c r="AJ46" s="71">
        <f ca="1">-AI46*'Invoer gegevens (N)'!$F$28</f>
        <v>0</v>
      </c>
      <c r="AK46" s="71">
        <f t="shared" ca="1" si="0"/>
        <v>0</v>
      </c>
      <c r="AL46" s="71">
        <f ca="1">IF(C46=1,'Reeksen (N)'!AL46*((F46-G46+F46)/2)*12+'Reeksen (N)'!AM46*((L46-M46+L46)/2)*12,0)</f>
        <v>0</v>
      </c>
      <c r="AM46" s="71">
        <f ca="1">-AL46*'Invoer gegevens (N)'!$F$31</f>
        <v>0</v>
      </c>
      <c r="AN46" s="71">
        <f t="shared" ca="1" si="7"/>
        <v>0</v>
      </c>
      <c r="AO46" s="71">
        <f ca="1">IF(C46=1,(H46+J46+N46+P46)*'Reeksen (N)'!AN46,0)</f>
        <v>0</v>
      </c>
      <c r="AP46" s="71">
        <f ca="1">-IF(C46=1,(H46+J46+N46+P46)*'Hulp - basis'!$O$550*'Reeksen (N)'!H46,0)</f>
        <v>0</v>
      </c>
      <c r="AQ46" s="71">
        <f ca="1">-IF(C46=1,(F46+K46+L46+Q46)/2*'Invoer gegevens (N)'!$I$33*'Reeksen (N)'!J46,0)*2</f>
        <v>0</v>
      </c>
      <c r="AR46" s="71">
        <f ca="1">-IF(C46=1,(I46*'Invoer gegevens (N)'!$I$34)*'Reeksen (N)'!J46,0)</f>
        <v>0</v>
      </c>
      <c r="AS46" s="71">
        <f ca="1">-IF(C46=1,(F46+K46+L46+Q46)/2*'Invoer gegevens (N)'!$I$35*'Reeksen (N)'!L46,0)</f>
        <v>0</v>
      </c>
      <c r="AT46" s="71">
        <f ca="1">-IF(C46=1,IF(E46='Invoer gegevens (N)'!$C$17,'Invoer gegevens (N)'!$C$11,AD46)*'Reeksen (N)'!S46*'Invoer gegevens (N)'!$C$18*'Reeksen (N)'!P46,0)</f>
        <v>0</v>
      </c>
      <c r="AU46" s="71">
        <f ca="1">-IF(C46=1,(F46+K46+L46+Q46)/2*'Invoer gegevens (N)'!$I$36*'Reeksen (N)'!H46,0)</f>
        <v>0</v>
      </c>
      <c r="AV46" s="71">
        <v>0</v>
      </c>
      <c r="AW46" s="71">
        <f t="shared" ca="1" si="8"/>
        <v>0</v>
      </c>
      <c r="AX46" s="71">
        <f ca="1">IF(E46&lt;'Invoer gegevens (N)'!$C$17+15,0,IF(E46&gt;'Invoer gegevens (N)'!$C$17+215,0,AW46))</f>
        <v>0</v>
      </c>
      <c r="AY46" s="71">
        <f ca="1">AX46/(1+'Invoer gegevens (N)'!$F$18)^($AZ46-('Invoer gegevens (N)'!$C$17-'Invoer gegevens (N)'!$C$16))/(1+'Invoer gegevens (N)'!$C$39)^('Invoer gegevens (N)'!$C$17-'Invoer gegevens (N)'!$C$16)</f>
        <v>0</v>
      </c>
      <c r="AZ46" s="68">
        <f ca="1">IF(E46-'Invoer gegevens (N)'!$C$17-14.5&lt;0,0,E46-'Invoer gegevens (N)'!$C$17-14.5)</f>
        <v>26.5</v>
      </c>
    </row>
    <row r="47" spans="2:52" x14ac:dyDescent="0.25">
      <c r="B47" s="70">
        <f t="shared" si="9"/>
        <v>43</v>
      </c>
      <c r="C47" s="67">
        <f ca="1">IF(E47-'Invoer gegevens (N)'!$C$17&lt;0,0,1)</f>
        <v>1</v>
      </c>
      <c r="D47" s="68">
        <f t="shared" si="10"/>
        <v>42.5</v>
      </c>
      <c r="E47" s="108">
        <f ca="1">IF('Invoer gegevens (N)'!$C$16="","",E46+1)</f>
        <v>2061</v>
      </c>
      <c r="F47" s="84">
        <f ca="1">IF('Invoer gegevens (N)'!$C$17=E47,'Invoer gegevens (N)'!$C$10,IF(C47=1,K46,0))</f>
        <v>0</v>
      </c>
      <c r="G47" s="96">
        <f ca="1">IF(C47&gt;=1,F47*VLOOKUP(E47,'Reeksen (N)'!$A$5:$B$76,2),0)</f>
        <v>0</v>
      </c>
      <c r="H47" s="84">
        <f ca="1">(1-('Invoer gegevens (N)'!$F$20/12))*F47*MIN('Reeksen (N)'!B47,'Reeksen (N)'!D47)</f>
        <v>0</v>
      </c>
      <c r="I47" s="84">
        <f>IF('Reeksen (N)'!D47&lt;'Reeksen (N)'!B47,('Reeksen (N)'!B47-'Reeksen (N)'!D47)*F47,0)</f>
        <v>0</v>
      </c>
      <c r="J47" s="84">
        <f ca="1">('Invoer gegevens (N)'!$F$20/12)*F46*MIN('Reeksen (N)'!B46,'Reeksen (N)'!D46)</f>
        <v>0</v>
      </c>
      <c r="K47" s="97">
        <f t="shared" ca="1" si="1"/>
        <v>0</v>
      </c>
      <c r="L47" s="84">
        <f ca="1">IF('Invoer gegevens (N)'!$C$17=E47,0,IF(C47=1,Q46,0))</f>
        <v>0</v>
      </c>
      <c r="M47" s="96">
        <f ca="1">IF(C47&gt;=1,L47*VLOOKUP(E47,'Reeksen (N)'!$A$5:$B$76,2),0)</f>
        <v>0</v>
      </c>
      <c r="N47" s="84">
        <f ca="1">(1-('Invoer gegevens (N)'!$F$20/12))*L47*MIN('Reeksen (N)'!B47,'Reeksen (N)'!D47)</f>
        <v>0</v>
      </c>
      <c r="O47" s="84">
        <f>IF('Reeksen (N)'!D47&lt;'Reeksen (N)'!B47,('Reeksen (N)'!B47-'Reeksen (N)'!D47)*L47,0)</f>
        <v>0</v>
      </c>
      <c r="P47" s="84">
        <f ca="1">('Invoer gegevens (N)'!$F$20/12)*L46*MIN('Reeksen (N)'!B46,'Reeksen (N)'!D46)</f>
        <v>0</v>
      </c>
      <c r="Q47" s="84">
        <f t="shared" ca="1" si="2"/>
        <v>0</v>
      </c>
      <c r="R47" s="82">
        <f ca="1">IF('Invoer gegevens (N)'!$C$17=E47,'Invoer gegevens (N)'!$C$11,IF(C47=1,W46,0))</f>
        <v>0</v>
      </c>
      <c r="S47" s="86">
        <f ca="1">IF(C47&gt;=1,R47*VLOOKUP(E47,'Reeksen (N)'!$A$5:$B$76,2),0)</f>
        <v>0</v>
      </c>
      <c r="T47" s="84">
        <f ca="1">(1-('Invoer gegevens (N)'!$F$20/12))*R47*MIN('Reeksen (N)'!B47,'Reeksen (N)'!D47)</f>
        <v>0</v>
      </c>
      <c r="U47" s="84">
        <f>IF('Reeksen (N)'!D47&gt;='Reeksen (N)'!B47,0,IF('Reeksen (N)'!AK47&lt;='Reeksen (N)'!AE47,('Reeksen (N)'!B47-'Reeksen (N)'!D47)*R47,0))</f>
        <v>0</v>
      </c>
      <c r="V47" s="86">
        <f>IF('Reeksen (N)'!D47&gt;='Reeksen (N)'!B47,0,IF('Reeksen (N)'!AK47&gt;'Reeksen (N)'!AE47,('Reeksen (N)'!B47-'Reeksen (N)'!D47)*R47,0))</f>
        <v>0</v>
      </c>
      <c r="W47" s="97">
        <f t="shared" ca="1" si="3"/>
        <v>0</v>
      </c>
      <c r="X47" s="98">
        <f ca="1">IF('Invoer gegevens (N)'!$C$17=E47,'Invoer gegevens (N)'!$C$10-'Invoer gegevens (N)'!$C$11,IF(C47=1,AC46,0))</f>
        <v>0</v>
      </c>
      <c r="Y47" s="98">
        <f ca="1">IF(C47&gt;=1,X47*VLOOKUP(E47,'Reeksen (N)'!$A$5:$B$76,2),0)</f>
        <v>0</v>
      </c>
      <c r="Z47" s="98">
        <f ca="1">(1-('Invoer gegevens (N)'!$F$20/12))*X47*MIN('Reeksen (N)'!B47,'Reeksen (N)'!D47)</f>
        <v>0</v>
      </c>
      <c r="AA47" s="98">
        <f>IF('Reeksen (N)'!D47&gt;='Reeksen (N)'!B47,0,IF('Reeksen (N)'!AK47&lt;='Reeksen (N)'!AE47,('Reeksen (N)'!B47-'Reeksen (N)'!D47)*X47,0))</f>
        <v>0</v>
      </c>
      <c r="AB47" s="98">
        <f>IF('Reeksen (N)'!D47&gt;='Reeksen (N)'!B47,0,IF('Reeksen (N)'!AK47&gt;'Reeksen (N)'!AE47,('Reeksen (N)'!B47-'Reeksen (N)'!D47)*X47,0))</f>
        <v>0</v>
      </c>
      <c r="AC47" s="99">
        <f t="shared" ca="1" si="4"/>
        <v>0</v>
      </c>
      <c r="AD47" s="98">
        <f ca="1">IF('Invoer gegevens (N)'!$C$17=E47,R47,IF(C47=0,0,AE46))</f>
        <v>0</v>
      </c>
      <c r="AE47" s="98">
        <f t="shared" ca="1" si="5"/>
        <v>0</v>
      </c>
      <c r="AF47" s="98">
        <f ca="1">IF('Invoer gegevens (N)'!$C$17=E47,X47,IF(C47=0,0,AG46))</f>
        <v>0</v>
      </c>
      <c r="AG47" s="98">
        <f t="shared" ca="1" si="6"/>
        <v>0</v>
      </c>
      <c r="AH47" s="68"/>
      <c r="AI47" s="71">
        <f ca="1">IF(C47=1,'Reeksen (N)'!AJ47*((F47-G47+F47)/2)*12+'Reeksen (N)'!AK47*((L47-M47+L47)/2)*12,0)</f>
        <v>0</v>
      </c>
      <c r="AJ47" s="71">
        <f ca="1">-AI47*'Invoer gegevens (N)'!$F$28</f>
        <v>0</v>
      </c>
      <c r="AK47" s="71">
        <f t="shared" ca="1" si="0"/>
        <v>0</v>
      </c>
      <c r="AL47" s="71">
        <f ca="1">IF(C47=1,'Reeksen (N)'!AL47*((F47-G47+F47)/2)*12+'Reeksen (N)'!AM47*((L47-M47+L47)/2)*12,0)</f>
        <v>0</v>
      </c>
      <c r="AM47" s="71">
        <f ca="1">-AL47*'Invoer gegevens (N)'!$F$31</f>
        <v>0</v>
      </c>
      <c r="AN47" s="71">
        <f t="shared" ca="1" si="7"/>
        <v>0</v>
      </c>
      <c r="AO47" s="71">
        <f ca="1">IF(C47=1,(H47+J47+N47+P47)*'Reeksen (N)'!AN47,0)</f>
        <v>0</v>
      </c>
      <c r="AP47" s="71">
        <f ca="1">-IF(C47=1,(H47+J47+N47+P47)*'Hulp - basis'!$O$550*'Reeksen (N)'!H47,0)</f>
        <v>0</v>
      </c>
      <c r="AQ47" s="71">
        <f ca="1">-IF(C47=1,(F47+K47+L47+Q47)/2*'Invoer gegevens (N)'!$I$33*'Reeksen (N)'!J47,0)*2</f>
        <v>0</v>
      </c>
      <c r="AR47" s="71">
        <f ca="1">-IF(C47=1,(I47*'Invoer gegevens (N)'!$I$34)*'Reeksen (N)'!J47,0)</f>
        <v>0</v>
      </c>
      <c r="AS47" s="71">
        <f ca="1">-IF(C47=1,(F47+K47+L47+Q47)/2*'Invoer gegevens (N)'!$I$35*'Reeksen (N)'!L47,0)</f>
        <v>0</v>
      </c>
      <c r="AT47" s="71">
        <f ca="1">-IF(C47=1,IF(E47='Invoer gegevens (N)'!$C$17,'Invoer gegevens (N)'!$C$11,AD47)*'Reeksen (N)'!S47*'Invoer gegevens (N)'!$C$18*'Reeksen (N)'!P47,0)</f>
        <v>0</v>
      </c>
      <c r="AU47" s="71">
        <f ca="1">-IF(C47=1,(F47+K47+L47+Q47)/2*'Invoer gegevens (N)'!$I$36*'Reeksen (N)'!H47,0)</f>
        <v>0</v>
      </c>
      <c r="AV47" s="71">
        <v>0</v>
      </c>
      <c r="AW47" s="71">
        <f t="shared" ca="1" si="8"/>
        <v>0</v>
      </c>
      <c r="AX47" s="71">
        <f ca="1">IF(E47&lt;'Invoer gegevens (N)'!$C$17+15,0,IF(E47&gt;'Invoer gegevens (N)'!$C$17+215,0,AW47))</f>
        <v>0</v>
      </c>
      <c r="AY47" s="71">
        <f ca="1">AX47/(1+'Invoer gegevens (N)'!$F$18)^($AZ47-('Invoer gegevens (N)'!$C$17-'Invoer gegevens (N)'!$C$16))/(1+'Invoer gegevens (N)'!$C$39)^('Invoer gegevens (N)'!$C$17-'Invoer gegevens (N)'!$C$16)</f>
        <v>0</v>
      </c>
      <c r="AZ47" s="68">
        <f ca="1">IF(E47-'Invoer gegevens (N)'!$C$17-14.5&lt;0,0,E47-'Invoer gegevens (N)'!$C$17-14.5)</f>
        <v>27.5</v>
      </c>
    </row>
    <row r="48" spans="2:52" x14ac:dyDescent="0.25">
      <c r="B48" s="70">
        <f t="shared" si="9"/>
        <v>44</v>
      </c>
      <c r="C48" s="67">
        <f ca="1">IF(E48-'Invoer gegevens (N)'!$C$17&lt;0,0,1)</f>
        <v>1</v>
      </c>
      <c r="D48" s="68">
        <f t="shared" si="10"/>
        <v>43.5</v>
      </c>
      <c r="E48" s="108">
        <f ca="1">IF('Invoer gegevens (N)'!$C$16="","",E47+1)</f>
        <v>2062</v>
      </c>
      <c r="F48" s="84">
        <f ca="1">IF('Invoer gegevens (N)'!$C$17=E48,'Invoer gegevens (N)'!$C$10,IF(C48=1,K47,0))</f>
        <v>0</v>
      </c>
      <c r="G48" s="96">
        <f ca="1">IF(C48&gt;=1,F48*VLOOKUP(E48,'Reeksen (N)'!$A$5:$B$76,2),0)</f>
        <v>0</v>
      </c>
      <c r="H48" s="84">
        <f ca="1">(1-('Invoer gegevens (N)'!$F$20/12))*F48*MIN('Reeksen (N)'!B48,'Reeksen (N)'!D48)</f>
        <v>0</v>
      </c>
      <c r="I48" s="84">
        <f>IF('Reeksen (N)'!D48&lt;'Reeksen (N)'!B48,('Reeksen (N)'!B48-'Reeksen (N)'!D48)*F48,0)</f>
        <v>0</v>
      </c>
      <c r="J48" s="84">
        <f ca="1">('Invoer gegevens (N)'!$F$20/12)*F47*MIN('Reeksen (N)'!B47,'Reeksen (N)'!D47)</f>
        <v>0</v>
      </c>
      <c r="K48" s="97">
        <f t="shared" ca="1" si="1"/>
        <v>0</v>
      </c>
      <c r="L48" s="84">
        <f ca="1">IF('Invoer gegevens (N)'!$C$17=E48,0,IF(C48=1,Q47,0))</f>
        <v>0</v>
      </c>
      <c r="M48" s="96">
        <f ca="1">IF(C48&gt;=1,L48*VLOOKUP(E48,'Reeksen (N)'!$A$5:$B$76,2),0)</f>
        <v>0</v>
      </c>
      <c r="N48" s="84">
        <f ca="1">(1-('Invoer gegevens (N)'!$F$20/12))*L48*MIN('Reeksen (N)'!B48,'Reeksen (N)'!D48)</f>
        <v>0</v>
      </c>
      <c r="O48" s="84">
        <f>IF('Reeksen (N)'!D48&lt;'Reeksen (N)'!B48,('Reeksen (N)'!B48-'Reeksen (N)'!D48)*L48,0)</f>
        <v>0</v>
      </c>
      <c r="P48" s="84">
        <f ca="1">('Invoer gegevens (N)'!$F$20/12)*L47*MIN('Reeksen (N)'!B47,'Reeksen (N)'!D47)</f>
        <v>0</v>
      </c>
      <c r="Q48" s="84">
        <f t="shared" ca="1" si="2"/>
        <v>0</v>
      </c>
      <c r="R48" s="82">
        <f ca="1">IF('Invoer gegevens (N)'!$C$17=E48,'Invoer gegevens (N)'!$C$11,IF(C48=1,W47,0))</f>
        <v>0</v>
      </c>
      <c r="S48" s="86">
        <f ca="1">IF(C48&gt;=1,R48*VLOOKUP(E48,'Reeksen (N)'!$A$5:$B$76,2),0)</f>
        <v>0</v>
      </c>
      <c r="T48" s="84">
        <f ca="1">(1-('Invoer gegevens (N)'!$F$20/12))*R48*MIN('Reeksen (N)'!B48,'Reeksen (N)'!D48)</f>
        <v>0</v>
      </c>
      <c r="U48" s="84">
        <f>IF('Reeksen (N)'!D48&gt;='Reeksen (N)'!B48,0,IF('Reeksen (N)'!AK48&lt;='Reeksen (N)'!AE48,('Reeksen (N)'!B48-'Reeksen (N)'!D48)*R48,0))</f>
        <v>0</v>
      </c>
      <c r="V48" s="86">
        <f>IF('Reeksen (N)'!D48&gt;='Reeksen (N)'!B48,0,IF('Reeksen (N)'!AK48&gt;'Reeksen (N)'!AE48,('Reeksen (N)'!B48-'Reeksen (N)'!D48)*R48,0))</f>
        <v>0</v>
      </c>
      <c r="W48" s="97">
        <f t="shared" ca="1" si="3"/>
        <v>0</v>
      </c>
      <c r="X48" s="98">
        <f ca="1">IF('Invoer gegevens (N)'!$C$17=E48,'Invoer gegevens (N)'!$C$10-'Invoer gegevens (N)'!$C$11,IF(C48=1,AC47,0))</f>
        <v>0</v>
      </c>
      <c r="Y48" s="98">
        <f ca="1">IF(C48&gt;=1,X48*VLOOKUP(E48,'Reeksen (N)'!$A$5:$B$76,2),0)</f>
        <v>0</v>
      </c>
      <c r="Z48" s="98">
        <f ca="1">(1-('Invoer gegevens (N)'!$F$20/12))*X48*MIN('Reeksen (N)'!B48,'Reeksen (N)'!D48)</f>
        <v>0</v>
      </c>
      <c r="AA48" s="98">
        <f>IF('Reeksen (N)'!D48&gt;='Reeksen (N)'!B48,0,IF('Reeksen (N)'!AK48&lt;='Reeksen (N)'!AE48,('Reeksen (N)'!B48-'Reeksen (N)'!D48)*X48,0))</f>
        <v>0</v>
      </c>
      <c r="AB48" s="98">
        <f>IF('Reeksen (N)'!D48&gt;='Reeksen (N)'!B48,0,IF('Reeksen (N)'!AK48&gt;'Reeksen (N)'!AE48,('Reeksen (N)'!B48-'Reeksen (N)'!D48)*X48,0))</f>
        <v>0</v>
      </c>
      <c r="AC48" s="99">
        <f t="shared" ca="1" si="4"/>
        <v>0</v>
      </c>
      <c r="AD48" s="98">
        <f ca="1">IF('Invoer gegevens (N)'!$C$17=E48,R48,IF(C48=0,0,AE47))</f>
        <v>0</v>
      </c>
      <c r="AE48" s="98">
        <f t="shared" ca="1" si="5"/>
        <v>0</v>
      </c>
      <c r="AF48" s="98">
        <f ca="1">IF('Invoer gegevens (N)'!$C$17=E48,X48,IF(C48=0,0,AG47))</f>
        <v>0</v>
      </c>
      <c r="AG48" s="98">
        <f t="shared" ca="1" si="6"/>
        <v>0</v>
      </c>
      <c r="AH48" s="68"/>
      <c r="AI48" s="71">
        <f ca="1">IF(C48=1,'Reeksen (N)'!AJ48*((F48-G48+F48)/2)*12+'Reeksen (N)'!AK48*((L48-M48+L48)/2)*12,0)</f>
        <v>0</v>
      </c>
      <c r="AJ48" s="71">
        <f ca="1">-AI48*'Invoer gegevens (N)'!$F$28</f>
        <v>0</v>
      </c>
      <c r="AK48" s="71">
        <f t="shared" ca="1" si="0"/>
        <v>0</v>
      </c>
      <c r="AL48" s="71">
        <f ca="1">IF(C48=1,'Reeksen (N)'!AL48*((F48-G48+F48)/2)*12+'Reeksen (N)'!AM48*((L48-M48+L48)/2)*12,0)</f>
        <v>0</v>
      </c>
      <c r="AM48" s="71">
        <f ca="1">-AL48*'Invoer gegevens (N)'!$F$31</f>
        <v>0</v>
      </c>
      <c r="AN48" s="71">
        <f t="shared" ca="1" si="7"/>
        <v>0</v>
      </c>
      <c r="AO48" s="71">
        <f ca="1">IF(C48=1,(H48+J48+N48+P48)*'Reeksen (N)'!AN48,0)</f>
        <v>0</v>
      </c>
      <c r="AP48" s="71">
        <f ca="1">-IF(C48=1,(H48+J48+N48+P48)*'Hulp - basis'!$O$550*'Reeksen (N)'!H48,0)</f>
        <v>0</v>
      </c>
      <c r="AQ48" s="71">
        <f ca="1">-IF(C48=1,(F48+K48+L48+Q48)/2*'Invoer gegevens (N)'!$I$33*'Reeksen (N)'!J48,0)*2</f>
        <v>0</v>
      </c>
      <c r="AR48" s="71">
        <f ca="1">-IF(C48=1,(I48*'Invoer gegevens (N)'!$I$34)*'Reeksen (N)'!J48,0)</f>
        <v>0</v>
      </c>
      <c r="AS48" s="71">
        <f ca="1">-IF(C48=1,(F48+K48+L48+Q48)/2*'Invoer gegevens (N)'!$I$35*'Reeksen (N)'!L48,0)</f>
        <v>0</v>
      </c>
      <c r="AT48" s="71">
        <f ca="1">-IF(C48=1,IF(E48='Invoer gegevens (N)'!$C$17,'Invoer gegevens (N)'!$C$11,AD48)*'Reeksen (N)'!S48*'Invoer gegevens (N)'!$C$18*'Reeksen (N)'!P48,0)</f>
        <v>0</v>
      </c>
      <c r="AU48" s="71">
        <f ca="1">-IF(C48=1,(F48+K48+L48+Q48)/2*'Invoer gegevens (N)'!$I$36*'Reeksen (N)'!H48,0)</f>
        <v>0</v>
      </c>
      <c r="AV48" s="71">
        <v>0</v>
      </c>
      <c r="AW48" s="71">
        <f t="shared" ca="1" si="8"/>
        <v>0</v>
      </c>
      <c r="AX48" s="71">
        <f ca="1">IF(E48&lt;'Invoer gegevens (N)'!$C$17+15,0,IF(E48&gt;'Invoer gegevens (N)'!$C$17+215,0,AW48))</f>
        <v>0</v>
      </c>
      <c r="AY48" s="71">
        <f ca="1">AX48/(1+'Invoer gegevens (N)'!$F$18)^($AZ48-('Invoer gegevens (N)'!$C$17-'Invoer gegevens (N)'!$C$16))/(1+'Invoer gegevens (N)'!$C$39)^('Invoer gegevens (N)'!$C$17-'Invoer gegevens (N)'!$C$16)</f>
        <v>0</v>
      </c>
      <c r="AZ48" s="68">
        <f ca="1">IF(E48-'Invoer gegevens (N)'!$C$17-14.5&lt;0,0,E48-'Invoer gegevens (N)'!$C$17-14.5)</f>
        <v>28.5</v>
      </c>
    </row>
    <row r="49" spans="2:52" x14ac:dyDescent="0.25">
      <c r="B49" s="70">
        <f t="shared" si="9"/>
        <v>45</v>
      </c>
      <c r="C49" s="67">
        <f ca="1">IF(E49-'Invoer gegevens (N)'!$C$17&lt;0,0,1)</f>
        <v>1</v>
      </c>
      <c r="D49" s="68">
        <f t="shared" si="10"/>
        <v>44.5</v>
      </c>
      <c r="E49" s="108">
        <f ca="1">IF('Invoer gegevens (N)'!$C$16="","",E48+1)</f>
        <v>2063</v>
      </c>
      <c r="F49" s="84">
        <f ca="1">IF('Invoer gegevens (N)'!$C$17=E49,'Invoer gegevens (N)'!$C$10,IF(C49=1,K48,0))</f>
        <v>0</v>
      </c>
      <c r="G49" s="96">
        <f ca="1">IF(C49&gt;=1,F49*VLOOKUP(E49,'Reeksen (N)'!$A$5:$B$76,2),0)</f>
        <v>0</v>
      </c>
      <c r="H49" s="84">
        <f ca="1">(1-('Invoer gegevens (N)'!$F$20/12))*F49*MIN('Reeksen (N)'!B49,'Reeksen (N)'!D49)</f>
        <v>0</v>
      </c>
      <c r="I49" s="84">
        <f>IF('Reeksen (N)'!D49&lt;'Reeksen (N)'!B49,('Reeksen (N)'!B49-'Reeksen (N)'!D49)*F49,0)</f>
        <v>0</v>
      </c>
      <c r="J49" s="84">
        <f ca="1">('Invoer gegevens (N)'!$F$20/12)*F48*MIN('Reeksen (N)'!B48,'Reeksen (N)'!D48)</f>
        <v>0</v>
      </c>
      <c r="K49" s="97">
        <f t="shared" ca="1" si="1"/>
        <v>0</v>
      </c>
      <c r="L49" s="84">
        <f ca="1">IF('Invoer gegevens (N)'!$C$17=E49,0,IF(C49=1,Q48,0))</f>
        <v>0</v>
      </c>
      <c r="M49" s="96">
        <f ca="1">IF(C49&gt;=1,L49*VLOOKUP(E49,'Reeksen (N)'!$A$5:$B$76,2),0)</f>
        <v>0</v>
      </c>
      <c r="N49" s="84">
        <f ca="1">(1-('Invoer gegevens (N)'!$F$20/12))*L49*MIN('Reeksen (N)'!B49,'Reeksen (N)'!D49)</f>
        <v>0</v>
      </c>
      <c r="O49" s="84">
        <f>IF('Reeksen (N)'!D49&lt;'Reeksen (N)'!B49,('Reeksen (N)'!B49-'Reeksen (N)'!D49)*L49,0)</f>
        <v>0</v>
      </c>
      <c r="P49" s="84">
        <f ca="1">('Invoer gegevens (N)'!$F$20/12)*L48*MIN('Reeksen (N)'!B48,'Reeksen (N)'!D48)</f>
        <v>0</v>
      </c>
      <c r="Q49" s="84">
        <f t="shared" ca="1" si="2"/>
        <v>0</v>
      </c>
      <c r="R49" s="82">
        <f ca="1">IF('Invoer gegevens (N)'!$C$17=E49,'Invoer gegevens (N)'!$C$11,IF(C49=1,W48,0))</f>
        <v>0</v>
      </c>
      <c r="S49" s="86">
        <f ca="1">IF(C49&gt;=1,R49*VLOOKUP(E49,'Reeksen (N)'!$A$5:$B$76,2),0)</f>
        <v>0</v>
      </c>
      <c r="T49" s="84">
        <f ca="1">(1-('Invoer gegevens (N)'!$F$20/12))*R49*MIN('Reeksen (N)'!B49,'Reeksen (N)'!D49)</f>
        <v>0</v>
      </c>
      <c r="U49" s="84">
        <f>IF('Reeksen (N)'!D49&gt;='Reeksen (N)'!B49,0,IF('Reeksen (N)'!AK49&lt;='Reeksen (N)'!AE49,('Reeksen (N)'!B49-'Reeksen (N)'!D49)*R49,0))</f>
        <v>0</v>
      </c>
      <c r="V49" s="86">
        <f>IF('Reeksen (N)'!D49&gt;='Reeksen (N)'!B49,0,IF('Reeksen (N)'!AK49&gt;'Reeksen (N)'!AE49,('Reeksen (N)'!B49-'Reeksen (N)'!D49)*R49,0))</f>
        <v>0</v>
      </c>
      <c r="W49" s="97">
        <f t="shared" ca="1" si="3"/>
        <v>0</v>
      </c>
      <c r="X49" s="98">
        <f ca="1">IF('Invoer gegevens (N)'!$C$17=E49,'Invoer gegevens (N)'!$C$10-'Invoer gegevens (N)'!$C$11,IF(C49=1,AC48,0))</f>
        <v>0</v>
      </c>
      <c r="Y49" s="98">
        <f ca="1">IF(C49&gt;=1,X49*VLOOKUP(E49,'Reeksen (N)'!$A$5:$B$76,2),0)</f>
        <v>0</v>
      </c>
      <c r="Z49" s="98">
        <f ca="1">(1-('Invoer gegevens (N)'!$F$20/12))*X49*MIN('Reeksen (N)'!B49,'Reeksen (N)'!D49)</f>
        <v>0</v>
      </c>
      <c r="AA49" s="98">
        <f>IF('Reeksen (N)'!D49&gt;='Reeksen (N)'!B49,0,IF('Reeksen (N)'!AK49&lt;='Reeksen (N)'!AE49,('Reeksen (N)'!B49-'Reeksen (N)'!D49)*X49,0))</f>
        <v>0</v>
      </c>
      <c r="AB49" s="98">
        <f>IF('Reeksen (N)'!D49&gt;='Reeksen (N)'!B49,0,IF('Reeksen (N)'!AK49&gt;'Reeksen (N)'!AE49,('Reeksen (N)'!B49-'Reeksen (N)'!D49)*X49,0))</f>
        <v>0</v>
      </c>
      <c r="AC49" s="99">
        <f t="shared" ca="1" si="4"/>
        <v>0</v>
      </c>
      <c r="AD49" s="98">
        <f ca="1">IF('Invoer gegevens (N)'!$C$17=E49,R49,IF(C49=0,0,AE48))</f>
        <v>0</v>
      </c>
      <c r="AE49" s="98">
        <f t="shared" ca="1" si="5"/>
        <v>0</v>
      </c>
      <c r="AF49" s="98">
        <f ca="1">IF('Invoer gegevens (N)'!$C$17=E49,X49,IF(C49=0,0,AG48))</f>
        <v>0</v>
      </c>
      <c r="AG49" s="98">
        <f t="shared" ca="1" si="6"/>
        <v>0</v>
      </c>
      <c r="AH49" s="68"/>
      <c r="AI49" s="71">
        <f ca="1">IF(C49=1,'Reeksen (N)'!AJ49*((F49-G49+F49)/2)*12+'Reeksen (N)'!AK49*((L49-M49+L49)/2)*12,0)</f>
        <v>0</v>
      </c>
      <c r="AJ49" s="71">
        <f ca="1">-AI49*'Invoer gegevens (N)'!$F$28</f>
        <v>0</v>
      </c>
      <c r="AK49" s="71">
        <f t="shared" ca="1" si="0"/>
        <v>0</v>
      </c>
      <c r="AL49" s="71">
        <f ca="1">IF(C49=1,'Reeksen (N)'!AL49*((F49-G49+F49)/2)*12+'Reeksen (N)'!AM49*((L49-M49+L49)/2)*12,0)</f>
        <v>0</v>
      </c>
      <c r="AM49" s="71">
        <f ca="1">-AL49*'Invoer gegevens (N)'!$F$31</f>
        <v>0</v>
      </c>
      <c r="AN49" s="71">
        <f t="shared" ca="1" si="7"/>
        <v>0</v>
      </c>
      <c r="AO49" s="71">
        <f ca="1">IF(C49=1,(H49+J49+N49+P49)*'Reeksen (N)'!AN49,0)</f>
        <v>0</v>
      </c>
      <c r="AP49" s="71">
        <f ca="1">-IF(C49=1,(H49+J49+N49+P49)*'Hulp - basis'!$O$550*'Reeksen (N)'!H49,0)</f>
        <v>0</v>
      </c>
      <c r="AQ49" s="71">
        <f ca="1">-IF(C49=1,(F49+K49+L49+Q49)/2*'Invoer gegevens (N)'!$I$33*'Reeksen (N)'!J49,0)*2</f>
        <v>0</v>
      </c>
      <c r="AR49" s="71">
        <f ca="1">-IF(C49=1,(I49*'Invoer gegevens (N)'!$I$34)*'Reeksen (N)'!J49,0)</f>
        <v>0</v>
      </c>
      <c r="AS49" s="71">
        <f ca="1">-IF(C49=1,(F49+K49+L49+Q49)/2*'Invoer gegevens (N)'!$I$35*'Reeksen (N)'!L49,0)</f>
        <v>0</v>
      </c>
      <c r="AT49" s="71">
        <f ca="1">-IF(C49=1,IF(E49='Invoer gegevens (N)'!$C$17,'Invoer gegevens (N)'!$C$11,AD49)*'Reeksen (N)'!S49*'Invoer gegevens (N)'!$C$18*'Reeksen (N)'!P49,0)</f>
        <v>0</v>
      </c>
      <c r="AU49" s="71">
        <f ca="1">-IF(C49=1,(F49+K49+L49+Q49)/2*'Invoer gegevens (N)'!$I$36*'Reeksen (N)'!H49,0)</f>
        <v>0</v>
      </c>
      <c r="AV49" s="71">
        <v>0</v>
      </c>
      <c r="AW49" s="71">
        <f t="shared" ca="1" si="8"/>
        <v>0</v>
      </c>
      <c r="AX49" s="71">
        <f ca="1">IF(E49&lt;'Invoer gegevens (N)'!$C$17+15,0,IF(E49&gt;'Invoer gegevens (N)'!$C$17+215,0,AW49))</f>
        <v>0</v>
      </c>
      <c r="AY49" s="71">
        <f ca="1">AX49/(1+'Invoer gegevens (N)'!$F$18)^($AZ49-('Invoer gegevens (N)'!$C$17-'Invoer gegevens (N)'!$C$16))/(1+'Invoer gegevens (N)'!$C$39)^('Invoer gegevens (N)'!$C$17-'Invoer gegevens (N)'!$C$16)</f>
        <v>0</v>
      </c>
      <c r="AZ49" s="68">
        <f ca="1">IF(E49-'Invoer gegevens (N)'!$C$17-14.5&lt;0,0,E49-'Invoer gegevens (N)'!$C$17-14.5)</f>
        <v>29.5</v>
      </c>
    </row>
    <row r="50" spans="2:52" x14ac:dyDescent="0.25">
      <c r="B50" s="70">
        <f t="shared" si="9"/>
        <v>46</v>
      </c>
      <c r="C50" s="67">
        <f ca="1">IF(E50-'Invoer gegevens (N)'!$C$17&lt;0,0,1)</f>
        <v>1</v>
      </c>
      <c r="D50" s="68">
        <f t="shared" si="10"/>
        <v>45.5</v>
      </c>
      <c r="E50" s="108">
        <f ca="1">IF('Invoer gegevens (N)'!$C$16="","",E49+1)</f>
        <v>2064</v>
      </c>
      <c r="F50" s="84">
        <f ca="1">IF('Invoer gegevens (N)'!$C$17=E50,'Invoer gegevens (N)'!$C$10,IF(C50=1,K49,0))</f>
        <v>0</v>
      </c>
      <c r="G50" s="96">
        <f ca="1">IF(C50&gt;=1,F50*VLOOKUP(E50,'Reeksen (N)'!$A$5:$B$76,2),0)</f>
        <v>0</v>
      </c>
      <c r="H50" s="84">
        <f ca="1">(1-('Invoer gegevens (N)'!$F$20/12))*F50*MIN('Reeksen (N)'!B50,'Reeksen (N)'!D50)</f>
        <v>0</v>
      </c>
      <c r="I50" s="84">
        <f>IF('Reeksen (N)'!D50&lt;'Reeksen (N)'!B50,('Reeksen (N)'!B50-'Reeksen (N)'!D50)*F50,0)</f>
        <v>0</v>
      </c>
      <c r="J50" s="84">
        <f ca="1">('Invoer gegevens (N)'!$F$20/12)*F49*MIN('Reeksen (N)'!B49,'Reeksen (N)'!D49)</f>
        <v>0</v>
      </c>
      <c r="K50" s="97">
        <f t="shared" ca="1" si="1"/>
        <v>0</v>
      </c>
      <c r="L50" s="84">
        <f ca="1">IF('Invoer gegevens (N)'!$C$17=E50,0,IF(C50=1,Q49,0))</f>
        <v>0</v>
      </c>
      <c r="M50" s="96">
        <f ca="1">IF(C50&gt;=1,L50*VLOOKUP(E50,'Reeksen (N)'!$A$5:$B$76,2),0)</f>
        <v>0</v>
      </c>
      <c r="N50" s="84">
        <f ca="1">(1-('Invoer gegevens (N)'!$F$20/12))*L50*MIN('Reeksen (N)'!B50,'Reeksen (N)'!D50)</f>
        <v>0</v>
      </c>
      <c r="O50" s="84">
        <f>IF('Reeksen (N)'!D50&lt;'Reeksen (N)'!B50,('Reeksen (N)'!B50-'Reeksen (N)'!D50)*L50,0)</f>
        <v>0</v>
      </c>
      <c r="P50" s="84">
        <f ca="1">('Invoer gegevens (N)'!$F$20/12)*L49*MIN('Reeksen (N)'!B49,'Reeksen (N)'!D49)</f>
        <v>0</v>
      </c>
      <c r="Q50" s="84">
        <f t="shared" ca="1" si="2"/>
        <v>0</v>
      </c>
      <c r="R50" s="82">
        <f ca="1">IF('Invoer gegevens (N)'!$C$17=E50,'Invoer gegevens (N)'!$C$11,IF(C50=1,W49,0))</f>
        <v>0</v>
      </c>
      <c r="S50" s="86">
        <f ca="1">IF(C50&gt;=1,R50*VLOOKUP(E50,'Reeksen (N)'!$A$5:$B$76,2),0)</f>
        <v>0</v>
      </c>
      <c r="T50" s="84">
        <f ca="1">(1-('Invoer gegevens (N)'!$F$20/12))*R50*MIN('Reeksen (N)'!B50,'Reeksen (N)'!D50)</f>
        <v>0</v>
      </c>
      <c r="U50" s="84">
        <f>IF('Reeksen (N)'!D50&gt;='Reeksen (N)'!B50,0,IF('Reeksen (N)'!AK50&lt;='Reeksen (N)'!AE50,('Reeksen (N)'!B50-'Reeksen (N)'!D50)*R50,0))</f>
        <v>0</v>
      </c>
      <c r="V50" s="86">
        <f>IF('Reeksen (N)'!D50&gt;='Reeksen (N)'!B50,0,IF('Reeksen (N)'!AK50&gt;'Reeksen (N)'!AE50,('Reeksen (N)'!B50-'Reeksen (N)'!D50)*R50,0))</f>
        <v>0</v>
      </c>
      <c r="W50" s="97">
        <f t="shared" ca="1" si="3"/>
        <v>0</v>
      </c>
      <c r="X50" s="98">
        <f ca="1">IF('Invoer gegevens (N)'!$C$17=E50,'Invoer gegevens (N)'!$C$10-'Invoer gegevens (N)'!$C$11,IF(C50=1,AC49,0))</f>
        <v>0</v>
      </c>
      <c r="Y50" s="98">
        <f ca="1">IF(C50&gt;=1,X50*VLOOKUP(E50,'Reeksen (N)'!$A$5:$B$76,2),0)</f>
        <v>0</v>
      </c>
      <c r="Z50" s="98">
        <f ca="1">(1-('Invoer gegevens (N)'!$F$20/12))*X50*MIN('Reeksen (N)'!B50,'Reeksen (N)'!D50)</f>
        <v>0</v>
      </c>
      <c r="AA50" s="98">
        <f>IF('Reeksen (N)'!D50&gt;='Reeksen (N)'!B50,0,IF('Reeksen (N)'!AK50&lt;='Reeksen (N)'!AE50,('Reeksen (N)'!B50-'Reeksen (N)'!D50)*X50,0))</f>
        <v>0</v>
      </c>
      <c r="AB50" s="98">
        <f>IF('Reeksen (N)'!D50&gt;='Reeksen (N)'!B50,0,IF('Reeksen (N)'!AK50&gt;'Reeksen (N)'!AE50,('Reeksen (N)'!B50-'Reeksen (N)'!D50)*X50,0))</f>
        <v>0</v>
      </c>
      <c r="AC50" s="99">
        <f t="shared" ca="1" si="4"/>
        <v>0</v>
      </c>
      <c r="AD50" s="98">
        <f ca="1">IF('Invoer gegevens (N)'!$C$17=E50,R50,IF(C50=0,0,AE49))</f>
        <v>0</v>
      </c>
      <c r="AE50" s="98">
        <f t="shared" ca="1" si="5"/>
        <v>0</v>
      </c>
      <c r="AF50" s="98">
        <f ca="1">IF('Invoer gegevens (N)'!$C$17=E50,X50,IF(C50=0,0,AG49))</f>
        <v>0</v>
      </c>
      <c r="AG50" s="98">
        <f t="shared" ca="1" si="6"/>
        <v>0</v>
      </c>
      <c r="AH50" s="68"/>
      <c r="AI50" s="71">
        <f ca="1">IF(C50=1,'Reeksen (N)'!AJ50*((F50-G50+F50)/2)*12+'Reeksen (N)'!AK50*((L50-M50+L50)/2)*12,0)</f>
        <v>0</v>
      </c>
      <c r="AJ50" s="71">
        <f ca="1">-AI50*'Invoer gegevens (N)'!$F$28</f>
        <v>0</v>
      </c>
      <c r="AK50" s="71">
        <f t="shared" ca="1" si="0"/>
        <v>0</v>
      </c>
      <c r="AL50" s="71">
        <f ca="1">IF(C50=1,'Reeksen (N)'!AL50*((F50-G50+F50)/2)*12+'Reeksen (N)'!AM50*((L50-M50+L50)/2)*12,0)</f>
        <v>0</v>
      </c>
      <c r="AM50" s="71">
        <f ca="1">-AL50*'Invoer gegevens (N)'!$F$31</f>
        <v>0</v>
      </c>
      <c r="AN50" s="71">
        <f t="shared" ca="1" si="7"/>
        <v>0</v>
      </c>
      <c r="AO50" s="71">
        <f ca="1">IF(C50=1,(H50+J50+N50+P50)*'Reeksen (N)'!AN50,0)</f>
        <v>0</v>
      </c>
      <c r="AP50" s="71">
        <f ca="1">-IF(C50=1,(H50+J50+N50+P50)*'Hulp - basis'!$O$550*'Reeksen (N)'!H50,0)</f>
        <v>0</v>
      </c>
      <c r="AQ50" s="71">
        <f ca="1">-IF(C50=1,(F50+K50+L50+Q50)/2*'Invoer gegevens (N)'!$I$33*'Reeksen (N)'!J50,0)*2</f>
        <v>0</v>
      </c>
      <c r="AR50" s="71">
        <f ca="1">-IF(C50=1,(I50*'Invoer gegevens (N)'!$I$34)*'Reeksen (N)'!J50,0)</f>
        <v>0</v>
      </c>
      <c r="AS50" s="71">
        <f ca="1">-IF(C50=1,(F50+K50+L50+Q50)/2*'Invoer gegevens (N)'!$I$35*'Reeksen (N)'!L50,0)</f>
        <v>0</v>
      </c>
      <c r="AT50" s="71">
        <f ca="1">-IF(C50=1,IF(E50='Invoer gegevens (N)'!$C$17,'Invoer gegevens (N)'!$C$11,AD50)*'Reeksen (N)'!S50*'Invoer gegevens (N)'!$C$18*'Reeksen (N)'!P50,0)</f>
        <v>0</v>
      </c>
      <c r="AU50" s="71">
        <f ca="1">-IF(C50=1,(F50+K50+L50+Q50)/2*'Invoer gegevens (N)'!$I$36*'Reeksen (N)'!H50,0)</f>
        <v>0</v>
      </c>
      <c r="AV50" s="71">
        <v>0</v>
      </c>
      <c r="AW50" s="71">
        <f t="shared" ca="1" si="8"/>
        <v>0</v>
      </c>
      <c r="AX50" s="71">
        <f ca="1">IF(E50&lt;'Invoer gegevens (N)'!$C$17+15,0,IF(E50&gt;'Invoer gegevens (N)'!$C$17+215,0,AW50))</f>
        <v>0</v>
      </c>
      <c r="AY50" s="71">
        <f ca="1">AX50/(1+'Invoer gegevens (N)'!$F$18)^($AZ50-('Invoer gegevens (N)'!$C$17-'Invoer gegevens (N)'!$C$16))/(1+'Invoer gegevens (N)'!$C$39)^('Invoer gegevens (N)'!$C$17-'Invoer gegevens (N)'!$C$16)</f>
        <v>0</v>
      </c>
      <c r="AZ50" s="68">
        <f ca="1">IF(E50-'Invoer gegevens (N)'!$C$17-14.5&lt;0,0,E50-'Invoer gegevens (N)'!$C$17-14.5)</f>
        <v>30.5</v>
      </c>
    </row>
    <row r="51" spans="2:52" x14ac:dyDescent="0.25">
      <c r="B51" s="70">
        <f t="shared" si="9"/>
        <v>47</v>
      </c>
      <c r="C51" s="67">
        <f ca="1">IF(E51-'Invoer gegevens (N)'!$C$17&lt;0,0,1)</f>
        <v>1</v>
      </c>
      <c r="D51" s="68">
        <f t="shared" si="10"/>
        <v>46.5</v>
      </c>
      <c r="E51" s="108">
        <f ca="1">IF('Invoer gegevens (N)'!$C$16="","",E50+1)</f>
        <v>2065</v>
      </c>
      <c r="F51" s="84">
        <f ca="1">IF('Invoer gegevens (N)'!$C$17=E51,'Invoer gegevens (N)'!$C$10,IF(C51=1,K50,0))</f>
        <v>0</v>
      </c>
      <c r="G51" s="96">
        <f ca="1">IF(C51&gt;=1,F51*VLOOKUP(E51,'Reeksen (N)'!$A$5:$B$76,2),0)</f>
        <v>0</v>
      </c>
      <c r="H51" s="84">
        <f ca="1">(1-('Invoer gegevens (N)'!$F$20/12))*F51*MIN('Reeksen (N)'!B51,'Reeksen (N)'!D51)</f>
        <v>0</v>
      </c>
      <c r="I51" s="84">
        <f>IF('Reeksen (N)'!D51&lt;'Reeksen (N)'!B51,('Reeksen (N)'!B51-'Reeksen (N)'!D51)*F51,0)</f>
        <v>0</v>
      </c>
      <c r="J51" s="84">
        <f ca="1">('Invoer gegevens (N)'!$F$20/12)*F50*MIN('Reeksen (N)'!B50,'Reeksen (N)'!D50)</f>
        <v>0</v>
      </c>
      <c r="K51" s="97">
        <f t="shared" ca="1" si="1"/>
        <v>0</v>
      </c>
      <c r="L51" s="84">
        <f ca="1">IF('Invoer gegevens (N)'!$C$17=E51,0,IF(C51=1,Q50,0))</f>
        <v>0</v>
      </c>
      <c r="M51" s="96">
        <f ca="1">IF(C51&gt;=1,L51*VLOOKUP(E51,'Reeksen (N)'!$A$5:$B$76,2),0)</f>
        <v>0</v>
      </c>
      <c r="N51" s="84">
        <f ca="1">(1-('Invoer gegevens (N)'!$F$20/12))*L51*MIN('Reeksen (N)'!B51,'Reeksen (N)'!D51)</f>
        <v>0</v>
      </c>
      <c r="O51" s="84">
        <f>IF('Reeksen (N)'!D51&lt;'Reeksen (N)'!B51,('Reeksen (N)'!B51-'Reeksen (N)'!D51)*L51,0)</f>
        <v>0</v>
      </c>
      <c r="P51" s="84">
        <f ca="1">('Invoer gegevens (N)'!$F$20/12)*L50*MIN('Reeksen (N)'!B50,'Reeksen (N)'!D50)</f>
        <v>0</v>
      </c>
      <c r="Q51" s="84">
        <f t="shared" ca="1" si="2"/>
        <v>0</v>
      </c>
      <c r="R51" s="82">
        <f ca="1">IF('Invoer gegevens (N)'!$C$17=E51,'Invoer gegevens (N)'!$C$11,IF(C51=1,W50,0))</f>
        <v>0</v>
      </c>
      <c r="S51" s="86">
        <f ca="1">IF(C51&gt;=1,R51*VLOOKUP(E51,'Reeksen (N)'!$A$5:$B$76,2),0)</f>
        <v>0</v>
      </c>
      <c r="T51" s="84">
        <f ca="1">(1-('Invoer gegevens (N)'!$F$20/12))*R51*MIN('Reeksen (N)'!B51,'Reeksen (N)'!D51)</f>
        <v>0</v>
      </c>
      <c r="U51" s="84">
        <f>IF('Reeksen (N)'!D51&gt;='Reeksen (N)'!B51,0,IF('Reeksen (N)'!AK51&lt;='Reeksen (N)'!AE51,('Reeksen (N)'!B51-'Reeksen (N)'!D51)*R51,0))</f>
        <v>0</v>
      </c>
      <c r="V51" s="86">
        <f>IF('Reeksen (N)'!D51&gt;='Reeksen (N)'!B51,0,IF('Reeksen (N)'!AK51&gt;'Reeksen (N)'!AE51,('Reeksen (N)'!B51-'Reeksen (N)'!D51)*R51,0))</f>
        <v>0</v>
      </c>
      <c r="W51" s="97">
        <f t="shared" ca="1" si="3"/>
        <v>0</v>
      </c>
      <c r="X51" s="98">
        <f ca="1">IF('Invoer gegevens (N)'!$C$17=E51,'Invoer gegevens (N)'!$C$10-'Invoer gegevens (N)'!$C$11,IF(C51=1,AC50,0))</f>
        <v>0</v>
      </c>
      <c r="Y51" s="98">
        <f ca="1">IF(C51&gt;=1,X51*VLOOKUP(E51,'Reeksen (N)'!$A$5:$B$76,2),0)</f>
        <v>0</v>
      </c>
      <c r="Z51" s="98">
        <f ca="1">(1-('Invoer gegevens (N)'!$F$20/12))*X51*MIN('Reeksen (N)'!B51,'Reeksen (N)'!D51)</f>
        <v>0</v>
      </c>
      <c r="AA51" s="98">
        <f>IF('Reeksen (N)'!D51&gt;='Reeksen (N)'!B51,0,IF('Reeksen (N)'!AK51&lt;='Reeksen (N)'!AE51,('Reeksen (N)'!B51-'Reeksen (N)'!D51)*X51,0))</f>
        <v>0</v>
      </c>
      <c r="AB51" s="98">
        <f>IF('Reeksen (N)'!D51&gt;='Reeksen (N)'!B51,0,IF('Reeksen (N)'!AK51&gt;'Reeksen (N)'!AE51,('Reeksen (N)'!B51-'Reeksen (N)'!D51)*X51,0))</f>
        <v>0</v>
      </c>
      <c r="AC51" s="99">
        <f t="shared" ca="1" si="4"/>
        <v>0</v>
      </c>
      <c r="AD51" s="98">
        <f ca="1">IF('Invoer gegevens (N)'!$C$17=E51,R51,IF(C51=0,0,AE50))</f>
        <v>0</v>
      </c>
      <c r="AE51" s="98">
        <f t="shared" ca="1" si="5"/>
        <v>0</v>
      </c>
      <c r="AF51" s="98">
        <f ca="1">IF('Invoer gegevens (N)'!$C$17=E51,X51,IF(C51=0,0,AG50))</f>
        <v>0</v>
      </c>
      <c r="AG51" s="98">
        <f t="shared" ca="1" si="6"/>
        <v>0</v>
      </c>
      <c r="AH51" s="68"/>
      <c r="AI51" s="71">
        <f ca="1">IF(C51=1,'Reeksen (N)'!AJ51*((F51-G51+F51)/2)*12+'Reeksen (N)'!AK51*((L51-M51+L51)/2)*12,0)</f>
        <v>0</v>
      </c>
      <c r="AJ51" s="71">
        <f ca="1">-AI51*'Invoer gegevens (N)'!$F$28</f>
        <v>0</v>
      </c>
      <c r="AK51" s="71">
        <f t="shared" ca="1" si="0"/>
        <v>0</v>
      </c>
      <c r="AL51" s="71">
        <f ca="1">IF(C51=1,'Reeksen (N)'!AL51*((F51-G51+F51)/2)*12+'Reeksen (N)'!AM51*((L51-M51+L51)/2)*12,0)</f>
        <v>0</v>
      </c>
      <c r="AM51" s="71">
        <f ca="1">-AL51*'Invoer gegevens (N)'!$F$31</f>
        <v>0</v>
      </c>
      <c r="AN51" s="71">
        <f t="shared" ca="1" si="7"/>
        <v>0</v>
      </c>
      <c r="AO51" s="71">
        <f ca="1">IF(C51=1,(H51+J51+N51+P51)*'Reeksen (N)'!AN51,0)</f>
        <v>0</v>
      </c>
      <c r="AP51" s="71">
        <f ca="1">-IF(C51=1,(H51+J51+N51+P51)*'Hulp - basis'!$O$550*'Reeksen (N)'!H51,0)</f>
        <v>0</v>
      </c>
      <c r="AQ51" s="71">
        <f ca="1">-IF(C51=1,(F51+K51+L51+Q51)/2*'Invoer gegevens (N)'!$I$33*'Reeksen (N)'!J51,0)*2</f>
        <v>0</v>
      </c>
      <c r="AR51" s="71">
        <f ca="1">-IF(C51=1,(I51*'Invoer gegevens (N)'!$I$34)*'Reeksen (N)'!J51,0)</f>
        <v>0</v>
      </c>
      <c r="AS51" s="71">
        <f ca="1">-IF(C51=1,(F51+K51+L51+Q51)/2*'Invoer gegevens (N)'!$I$35*'Reeksen (N)'!L51,0)</f>
        <v>0</v>
      </c>
      <c r="AT51" s="71">
        <f ca="1">-IF(C51=1,IF(E51='Invoer gegevens (N)'!$C$17,'Invoer gegevens (N)'!$C$11,AD51)*'Reeksen (N)'!S51*'Invoer gegevens (N)'!$C$18*'Reeksen (N)'!P51,0)</f>
        <v>0</v>
      </c>
      <c r="AU51" s="71">
        <f ca="1">-IF(C51=1,(F51+K51+L51+Q51)/2*'Invoer gegevens (N)'!$I$36*'Reeksen (N)'!H51,0)</f>
        <v>0</v>
      </c>
      <c r="AV51" s="71">
        <v>0</v>
      </c>
      <c r="AW51" s="71">
        <f t="shared" ca="1" si="8"/>
        <v>0</v>
      </c>
      <c r="AX51" s="71">
        <f ca="1">IF(E51&lt;'Invoer gegevens (N)'!$C$17+15,0,IF(E51&gt;'Invoer gegevens (N)'!$C$17+215,0,AW51))</f>
        <v>0</v>
      </c>
      <c r="AY51" s="71">
        <f ca="1">AX51/(1+'Invoer gegevens (N)'!$F$18)^($AZ51-('Invoer gegevens (N)'!$C$17-'Invoer gegevens (N)'!$C$16))/(1+'Invoer gegevens (N)'!$C$39)^('Invoer gegevens (N)'!$C$17-'Invoer gegevens (N)'!$C$16)</f>
        <v>0</v>
      </c>
      <c r="AZ51" s="68">
        <f ca="1">IF(E51-'Invoer gegevens (N)'!$C$17-14.5&lt;0,0,E51-'Invoer gegevens (N)'!$C$17-14.5)</f>
        <v>31.5</v>
      </c>
    </row>
    <row r="52" spans="2:52" x14ac:dyDescent="0.25">
      <c r="B52" s="70">
        <f t="shared" si="9"/>
        <v>48</v>
      </c>
      <c r="C52" s="67">
        <f ca="1">IF(E52-'Invoer gegevens (N)'!$C$17&lt;0,0,1)</f>
        <v>1</v>
      </c>
      <c r="D52" s="68">
        <f t="shared" si="10"/>
        <v>47.5</v>
      </c>
      <c r="E52" s="108">
        <f ca="1">IF('Invoer gegevens (N)'!$C$16="","",E51+1)</f>
        <v>2066</v>
      </c>
      <c r="F52" s="84">
        <f ca="1">IF('Invoer gegevens (N)'!$C$17=E52,'Invoer gegevens (N)'!$C$10,IF(C52=1,K51,0))</f>
        <v>0</v>
      </c>
      <c r="G52" s="96">
        <f ca="1">IF(C52&gt;=1,F52*VLOOKUP(E52,'Reeksen (N)'!$A$5:$B$76,2),0)</f>
        <v>0</v>
      </c>
      <c r="H52" s="84">
        <f ca="1">(1-('Invoer gegevens (N)'!$F$20/12))*F52*MIN('Reeksen (N)'!B52,'Reeksen (N)'!D52)</f>
        <v>0</v>
      </c>
      <c r="I52" s="84">
        <f>IF('Reeksen (N)'!D52&lt;'Reeksen (N)'!B52,('Reeksen (N)'!B52-'Reeksen (N)'!D52)*F52,0)</f>
        <v>0</v>
      </c>
      <c r="J52" s="84">
        <f ca="1">('Invoer gegevens (N)'!$F$20/12)*F51*MIN('Reeksen (N)'!B51,'Reeksen (N)'!D51)</f>
        <v>0</v>
      </c>
      <c r="K52" s="97">
        <f t="shared" ca="1" si="1"/>
        <v>0</v>
      </c>
      <c r="L52" s="84">
        <f ca="1">IF('Invoer gegevens (N)'!$C$17=E52,0,IF(C52=1,Q51,0))</f>
        <v>0</v>
      </c>
      <c r="M52" s="96">
        <f ca="1">IF(C52&gt;=1,L52*VLOOKUP(E52,'Reeksen (N)'!$A$5:$B$76,2),0)</f>
        <v>0</v>
      </c>
      <c r="N52" s="84">
        <f ca="1">(1-('Invoer gegevens (N)'!$F$20/12))*L52*MIN('Reeksen (N)'!B52,'Reeksen (N)'!D52)</f>
        <v>0</v>
      </c>
      <c r="O52" s="84">
        <f>IF('Reeksen (N)'!D52&lt;'Reeksen (N)'!B52,('Reeksen (N)'!B52-'Reeksen (N)'!D52)*L52,0)</f>
        <v>0</v>
      </c>
      <c r="P52" s="84">
        <f ca="1">('Invoer gegevens (N)'!$F$20/12)*L51*MIN('Reeksen (N)'!B51,'Reeksen (N)'!D51)</f>
        <v>0</v>
      </c>
      <c r="Q52" s="84">
        <f t="shared" ca="1" si="2"/>
        <v>0</v>
      </c>
      <c r="R52" s="82">
        <f ca="1">IF('Invoer gegevens (N)'!$C$17=E52,'Invoer gegevens (N)'!$C$11,IF(C52=1,W51,0))</f>
        <v>0</v>
      </c>
      <c r="S52" s="86">
        <f ca="1">IF(C52&gt;=1,R52*VLOOKUP(E52,'Reeksen (N)'!$A$5:$B$76,2),0)</f>
        <v>0</v>
      </c>
      <c r="T52" s="84">
        <f ca="1">(1-('Invoer gegevens (N)'!$F$20/12))*R52*MIN('Reeksen (N)'!B52,'Reeksen (N)'!D52)</f>
        <v>0</v>
      </c>
      <c r="U52" s="84">
        <f>IF('Reeksen (N)'!D52&gt;='Reeksen (N)'!B52,0,IF('Reeksen (N)'!AK52&lt;='Reeksen (N)'!AE52,('Reeksen (N)'!B52-'Reeksen (N)'!D52)*R52,0))</f>
        <v>0</v>
      </c>
      <c r="V52" s="86">
        <f>IF('Reeksen (N)'!D52&gt;='Reeksen (N)'!B52,0,IF('Reeksen (N)'!AK52&gt;'Reeksen (N)'!AE52,('Reeksen (N)'!B52-'Reeksen (N)'!D52)*R52,0))</f>
        <v>0</v>
      </c>
      <c r="W52" s="97">
        <f t="shared" ca="1" si="3"/>
        <v>0</v>
      </c>
      <c r="X52" s="98">
        <f ca="1">IF('Invoer gegevens (N)'!$C$17=E52,'Invoer gegevens (N)'!$C$10-'Invoer gegevens (N)'!$C$11,IF(C52=1,AC51,0))</f>
        <v>0</v>
      </c>
      <c r="Y52" s="98">
        <f ca="1">IF(C52&gt;=1,X52*VLOOKUP(E52,'Reeksen (N)'!$A$5:$B$76,2),0)</f>
        <v>0</v>
      </c>
      <c r="Z52" s="98">
        <f ca="1">(1-('Invoer gegevens (N)'!$F$20/12))*X52*MIN('Reeksen (N)'!B52,'Reeksen (N)'!D52)</f>
        <v>0</v>
      </c>
      <c r="AA52" s="98">
        <f>IF('Reeksen (N)'!D52&gt;='Reeksen (N)'!B52,0,IF('Reeksen (N)'!AK52&lt;='Reeksen (N)'!AE52,('Reeksen (N)'!B52-'Reeksen (N)'!D52)*X52,0))</f>
        <v>0</v>
      </c>
      <c r="AB52" s="98">
        <f>IF('Reeksen (N)'!D52&gt;='Reeksen (N)'!B52,0,IF('Reeksen (N)'!AK52&gt;'Reeksen (N)'!AE52,('Reeksen (N)'!B52-'Reeksen (N)'!D52)*X52,0))</f>
        <v>0</v>
      </c>
      <c r="AC52" s="99">
        <f t="shared" ca="1" si="4"/>
        <v>0</v>
      </c>
      <c r="AD52" s="98">
        <f ca="1">IF('Invoer gegevens (N)'!$C$17=E52,R52,IF(C52=0,0,AE51))</f>
        <v>0</v>
      </c>
      <c r="AE52" s="98">
        <f t="shared" ca="1" si="5"/>
        <v>0</v>
      </c>
      <c r="AF52" s="98">
        <f ca="1">IF('Invoer gegevens (N)'!$C$17=E52,X52,IF(C52=0,0,AG51))</f>
        <v>0</v>
      </c>
      <c r="AG52" s="98">
        <f t="shared" ca="1" si="6"/>
        <v>0</v>
      </c>
      <c r="AH52" s="68"/>
      <c r="AI52" s="71">
        <f ca="1">IF(C52=1,'Reeksen (N)'!AJ52*((F52-G52+F52)/2)*12+'Reeksen (N)'!AK52*((L52-M52+L52)/2)*12,0)</f>
        <v>0</v>
      </c>
      <c r="AJ52" s="71">
        <f ca="1">-AI52*'Invoer gegevens (N)'!$F$28</f>
        <v>0</v>
      </c>
      <c r="AK52" s="71">
        <f t="shared" ca="1" si="0"/>
        <v>0</v>
      </c>
      <c r="AL52" s="71">
        <f ca="1">IF(C52=1,'Reeksen (N)'!AL52*((F52-G52+F52)/2)*12+'Reeksen (N)'!AM52*((L52-M52+L52)/2)*12,0)</f>
        <v>0</v>
      </c>
      <c r="AM52" s="71">
        <f ca="1">-AL52*'Invoer gegevens (N)'!$F$31</f>
        <v>0</v>
      </c>
      <c r="AN52" s="71">
        <f t="shared" ca="1" si="7"/>
        <v>0</v>
      </c>
      <c r="AO52" s="71">
        <f ca="1">IF(C52=1,(H52+J52+N52+P52)*'Reeksen (N)'!AN52,0)</f>
        <v>0</v>
      </c>
      <c r="AP52" s="71">
        <f ca="1">-IF(C52=1,(H52+J52+N52+P52)*'Hulp - basis'!$O$550*'Reeksen (N)'!H52,0)</f>
        <v>0</v>
      </c>
      <c r="AQ52" s="71">
        <f ca="1">-IF(C52=1,(F52+K52+L52+Q52)/2*'Invoer gegevens (N)'!$I$33*'Reeksen (N)'!J52,0)*2</f>
        <v>0</v>
      </c>
      <c r="AR52" s="71">
        <f ca="1">-IF(C52=1,(I52*'Invoer gegevens (N)'!$I$34)*'Reeksen (N)'!J52,0)</f>
        <v>0</v>
      </c>
      <c r="AS52" s="71">
        <f ca="1">-IF(C52=1,(F52+K52+L52+Q52)/2*'Invoer gegevens (N)'!$I$35*'Reeksen (N)'!L52,0)</f>
        <v>0</v>
      </c>
      <c r="AT52" s="71">
        <f ca="1">-IF(C52=1,IF(E52='Invoer gegevens (N)'!$C$17,'Invoer gegevens (N)'!$C$11,AD52)*'Reeksen (N)'!S52*'Invoer gegevens (N)'!$C$18*'Reeksen (N)'!P52,0)</f>
        <v>0</v>
      </c>
      <c r="AU52" s="71">
        <f ca="1">-IF(C52=1,(F52+K52+L52+Q52)/2*'Invoer gegevens (N)'!$I$36*'Reeksen (N)'!H52,0)</f>
        <v>0</v>
      </c>
      <c r="AV52" s="71">
        <v>0</v>
      </c>
      <c r="AW52" s="71">
        <f t="shared" ca="1" si="8"/>
        <v>0</v>
      </c>
      <c r="AX52" s="71">
        <f ca="1">IF(E52&lt;'Invoer gegevens (N)'!$C$17+15,0,IF(E52&gt;'Invoer gegevens (N)'!$C$17+215,0,AW52))</f>
        <v>0</v>
      </c>
      <c r="AY52" s="71">
        <f ca="1">AX52/(1+'Invoer gegevens (N)'!$F$18)^($AZ52-('Invoer gegevens (N)'!$C$17-'Invoer gegevens (N)'!$C$16))/(1+'Invoer gegevens (N)'!$C$39)^('Invoer gegevens (N)'!$C$17-'Invoer gegevens (N)'!$C$16)</f>
        <v>0</v>
      </c>
      <c r="AZ52" s="68">
        <f ca="1">IF(E52-'Invoer gegevens (N)'!$C$17-14.5&lt;0,0,E52-'Invoer gegevens (N)'!$C$17-14.5)</f>
        <v>32.5</v>
      </c>
    </row>
    <row r="53" spans="2:52" x14ac:dyDescent="0.25">
      <c r="B53" s="70">
        <f t="shared" si="9"/>
        <v>49</v>
      </c>
      <c r="C53" s="67">
        <f ca="1">IF(E53-'Invoer gegevens (N)'!$C$17&lt;0,0,1)</f>
        <v>1</v>
      </c>
      <c r="D53" s="68">
        <f t="shared" si="10"/>
        <v>48.5</v>
      </c>
      <c r="E53" s="108">
        <f ca="1">IF('Invoer gegevens (N)'!$C$16="","",E52+1)</f>
        <v>2067</v>
      </c>
      <c r="F53" s="84">
        <f ca="1">IF('Invoer gegevens (N)'!$C$17=E53,'Invoer gegevens (N)'!$C$10,IF(C53=1,K52,0))</f>
        <v>0</v>
      </c>
      <c r="G53" s="96">
        <f ca="1">IF(C53&gt;=1,F53*VLOOKUP(E53,'Reeksen (N)'!$A$5:$B$76,2),0)</f>
        <v>0</v>
      </c>
      <c r="H53" s="84">
        <f ca="1">(1-('Invoer gegevens (N)'!$F$20/12))*F53*MIN('Reeksen (N)'!B53,'Reeksen (N)'!D53)</f>
        <v>0</v>
      </c>
      <c r="I53" s="84">
        <f>IF('Reeksen (N)'!D53&lt;'Reeksen (N)'!B53,('Reeksen (N)'!B53-'Reeksen (N)'!D53)*F53,0)</f>
        <v>0</v>
      </c>
      <c r="J53" s="84">
        <f ca="1">('Invoer gegevens (N)'!$F$20/12)*F52*MIN('Reeksen (N)'!B52,'Reeksen (N)'!D52)</f>
        <v>0</v>
      </c>
      <c r="K53" s="97">
        <f t="shared" ca="1" si="1"/>
        <v>0</v>
      </c>
      <c r="L53" s="84">
        <f ca="1">IF('Invoer gegevens (N)'!$C$17=E53,0,IF(C53=1,Q52,0))</f>
        <v>0</v>
      </c>
      <c r="M53" s="96">
        <f ca="1">IF(C53&gt;=1,L53*VLOOKUP(E53,'Reeksen (N)'!$A$5:$B$76,2),0)</f>
        <v>0</v>
      </c>
      <c r="N53" s="84">
        <f ca="1">(1-('Invoer gegevens (N)'!$F$20/12))*L53*MIN('Reeksen (N)'!B53,'Reeksen (N)'!D53)</f>
        <v>0</v>
      </c>
      <c r="O53" s="84">
        <f>IF('Reeksen (N)'!D53&lt;'Reeksen (N)'!B53,('Reeksen (N)'!B53-'Reeksen (N)'!D53)*L53,0)</f>
        <v>0</v>
      </c>
      <c r="P53" s="84">
        <f ca="1">('Invoer gegevens (N)'!$F$20/12)*L52*MIN('Reeksen (N)'!B52,'Reeksen (N)'!D52)</f>
        <v>0</v>
      </c>
      <c r="Q53" s="84">
        <f t="shared" ca="1" si="2"/>
        <v>0</v>
      </c>
      <c r="R53" s="82">
        <f ca="1">IF('Invoer gegevens (N)'!$C$17=E53,'Invoer gegevens (N)'!$C$11,IF(C53=1,W52,0))</f>
        <v>0</v>
      </c>
      <c r="S53" s="86">
        <f ca="1">IF(C53&gt;=1,R53*VLOOKUP(E53,'Reeksen (N)'!$A$5:$B$76,2),0)</f>
        <v>0</v>
      </c>
      <c r="T53" s="84">
        <f ca="1">(1-('Invoer gegevens (N)'!$F$20/12))*R53*MIN('Reeksen (N)'!B53,'Reeksen (N)'!D53)</f>
        <v>0</v>
      </c>
      <c r="U53" s="84">
        <f>IF('Reeksen (N)'!D53&gt;='Reeksen (N)'!B53,0,IF('Reeksen (N)'!AK53&lt;='Reeksen (N)'!AE53,('Reeksen (N)'!B53-'Reeksen (N)'!D53)*R53,0))</f>
        <v>0</v>
      </c>
      <c r="V53" s="86">
        <f>IF('Reeksen (N)'!D53&gt;='Reeksen (N)'!B53,0,IF('Reeksen (N)'!AK53&gt;'Reeksen (N)'!AE53,('Reeksen (N)'!B53-'Reeksen (N)'!D53)*R53,0))</f>
        <v>0</v>
      </c>
      <c r="W53" s="97">
        <f t="shared" ca="1" si="3"/>
        <v>0</v>
      </c>
      <c r="X53" s="98">
        <f ca="1">IF('Invoer gegevens (N)'!$C$17=E53,'Invoer gegevens (N)'!$C$10-'Invoer gegevens (N)'!$C$11,IF(C53=1,AC52,0))</f>
        <v>0</v>
      </c>
      <c r="Y53" s="98">
        <f ca="1">IF(C53&gt;=1,X53*VLOOKUP(E53,'Reeksen (N)'!$A$5:$B$76,2),0)</f>
        <v>0</v>
      </c>
      <c r="Z53" s="98">
        <f ca="1">(1-('Invoer gegevens (N)'!$F$20/12))*X53*MIN('Reeksen (N)'!B53,'Reeksen (N)'!D53)</f>
        <v>0</v>
      </c>
      <c r="AA53" s="98">
        <f>IF('Reeksen (N)'!D53&gt;='Reeksen (N)'!B53,0,IF('Reeksen (N)'!AK53&lt;='Reeksen (N)'!AE53,('Reeksen (N)'!B53-'Reeksen (N)'!D53)*X53,0))</f>
        <v>0</v>
      </c>
      <c r="AB53" s="98">
        <f>IF('Reeksen (N)'!D53&gt;='Reeksen (N)'!B53,0,IF('Reeksen (N)'!AK53&gt;'Reeksen (N)'!AE53,('Reeksen (N)'!B53-'Reeksen (N)'!D53)*X53,0))</f>
        <v>0</v>
      </c>
      <c r="AC53" s="99">
        <f t="shared" ca="1" si="4"/>
        <v>0</v>
      </c>
      <c r="AD53" s="98">
        <f ca="1">IF('Invoer gegevens (N)'!$C$17=E53,R53,IF(C53=0,0,AE52))</f>
        <v>0</v>
      </c>
      <c r="AE53" s="98">
        <f t="shared" ca="1" si="5"/>
        <v>0</v>
      </c>
      <c r="AF53" s="98">
        <f ca="1">IF('Invoer gegevens (N)'!$C$17=E53,X53,IF(C53=0,0,AG52))</f>
        <v>0</v>
      </c>
      <c r="AG53" s="98">
        <f t="shared" ca="1" si="6"/>
        <v>0</v>
      </c>
      <c r="AH53" s="68"/>
      <c r="AI53" s="71">
        <f ca="1">IF(C53=1,'Reeksen (N)'!AJ53*((F53-G53+F53)/2)*12+'Reeksen (N)'!AK53*((L53-M53+L53)/2)*12,0)</f>
        <v>0</v>
      </c>
      <c r="AJ53" s="71">
        <f ca="1">-AI53*'Invoer gegevens (N)'!$F$28</f>
        <v>0</v>
      </c>
      <c r="AK53" s="71">
        <f t="shared" ca="1" si="0"/>
        <v>0</v>
      </c>
      <c r="AL53" s="71">
        <f ca="1">IF(C53=1,'Reeksen (N)'!AL53*((F53-G53+F53)/2)*12+'Reeksen (N)'!AM53*((L53-M53+L53)/2)*12,0)</f>
        <v>0</v>
      </c>
      <c r="AM53" s="71">
        <f ca="1">-AL53*'Invoer gegevens (N)'!$F$31</f>
        <v>0</v>
      </c>
      <c r="AN53" s="71">
        <f t="shared" ca="1" si="7"/>
        <v>0</v>
      </c>
      <c r="AO53" s="71">
        <f ca="1">IF(C53=1,(H53+J53+N53+P53)*'Reeksen (N)'!AN53,0)</f>
        <v>0</v>
      </c>
      <c r="AP53" s="71">
        <f ca="1">-IF(C53=1,(H53+J53+N53+P53)*'Hulp - basis'!$O$550*'Reeksen (N)'!H53,0)</f>
        <v>0</v>
      </c>
      <c r="AQ53" s="71">
        <f ca="1">-IF(C53=1,(F53+K53+L53+Q53)/2*'Invoer gegevens (N)'!$I$33*'Reeksen (N)'!J53,0)*2</f>
        <v>0</v>
      </c>
      <c r="AR53" s="71">
        <f ca="1">-IF(C53=1,(I53*'Invoer gegevens (N)'!$I$34)*'Reeksen (N)'!J53,0)</f>
        <v>0</v>
      </c>
      <c r="AS53" s="71">
        <f ca="1">-IF(C53=1,(F53+K53+L53+Q53)/2*'Invoer gegevens (N)'!$I$35*'Reeksen (N)'!L53,0)</f>
        <v>0</v>
      </c>
      <c r="AT53" s="71">
        <f ca="1">-IF(C53=1,IF(E53='Invoer gegevens (N)'!$C$17,'Invoer gegevens (N)'!$C$11,AD53)*'Reeksen (N)'!S53*'Invoer gegevens (N)'!$C$18*'Reeksen (N)'!P53,0)</f>
        <v>0</v>
      </c>
      <c r="AU53" s="71">
        <f ca="1">-IF(C53=1,(F53+K53+L53+Q53)/2*'Invoer gegevens (N)'!$I$36*'Reeksen (N)'!H53,0)</f>
        <v>0</v>
      </c>
      <c r="AV53" s="71">
        <v>0</v>
      </c>
      <c r="AW53" s="71">
        <f t="shared" ca="1" si="8"/>
        <v>0</v>
      </c>
      <c r="AX53" s="71">
        <f ca="1">IF(E53&lt;'Invoer gegevens (N)'!$C$17+15,0,IF(E53&gt;'Invoer gegevens (N)'!$C$17+215,0,AW53))</f>
        <v>0</v>
      </c>
      <c r="AY53" s="71">
        <f ca="1">AX53/(1+'Invoer gegevens (N)'!$F$18)^($AZ53-('Invoer gegevens (N)'!$C$17-'Invoer gegevens (N)'!$C$16))/(1+'Invoer gegevens (N)'!$C$39)^('Invoer gegevens (N)'!$C$17-'Invoer gegevens (N)'!$C$16)</f>
        <v>0</v>
      </c>
      <c r="AZ53" s="68">
        <f ca="1">IF(E53-'Invoer gegevens (N)'!$C$17-14.5&lt;0,0,E53-'Invoer gegevens (N)'!$C$17-14.5)</f>
        <v>33.5</v>
      </c>
    </row>
    <row r="54" spans="2:52" x14ac:dyDescent="0.25">
      <c r="B54" s="70">
        <f t="shared" si="9"/>
        <v>50</v>
      </c>
      <c r="C54" s="67">
        <f ca="1">IF(E54-'Invoer gegevens (N)'!$C$17&lt;0,0,1)</f>
        <v>1</v>
      </c>
      <c r="D54" s="68">
        <f t="shared" si="10"/>
        <v>49.5</v>
      </c>
      <c r="E54" s="108">
        <f ca="1">IF('Invoer gegevens (N)'!$C$16="","",E53+1)</f>
        <v>2068</v>
      </c>
      <c r="F54" s="84">
        <f ca="1">IF('Invoer gegevens (N)'!$C$17=E54,'Invoer gegevens (N)'!$C$10,IF(C54=1,K53,0))</f>
        <v>0</v>
      </c>
      <c r="G54" s="96">
        <f ca="1">IF(C54&gt;=1,F54*VLOOKUP(E54,'Reeksen (N)'!$A$5:$B$76,2),0)</f>
        <v>0</v>
      </c>
      <c r="H54" s="84">
        <f ca="1">(1-('Invoer gegevens (N)'!$F$20/12))*F54*MIN('Reeksen (N)'!B54,'Reeksen (N)'!D54)</f>
        <v>0</v>
      </c>
      <c r="I54" s="84">
        <f>IF('Reeksen (N)'!D54&lt;'Reeksen (N)'!B54,('Reeksen (N)'!B54-'Reeksen (N)'!D54)*F54,0)</f>
        <v>0</v>
      </c>
      <c r="J54" s="84">
        <f ca="1">('Invoer gegevens (N)'!$F$20/12)*F53*MIN('Reeksen (N)'!B53,'Reeksen (N)'!D53)</f>
        <v>0</v>
      </c>
      <c r="K54" s="97">
        <f t="shared" ca="1" si="1"/>
        <v>0</v>
      </c>
      <c r="L54" s="84">
        <f ca="1">IF('Invoer gegevens (N)'!$C$17=E54,0,IF(C54=1,Q53,0))</f>
        <v>0</v>
      </c>
      <c r="M54" s="96">
        <f ca="1">IF(C54&gt;=1,L54*VLOOKUP(E54,'Reeksen (N)'!$A$5:$B$76,2),0)</f>
        <v>0</v>
      </c>
      <c r="N54" s="84">
        <f ca="1">(1-('Invoer gegevens (N)'!$F$20/12))*L54*MIN('Reeksen (N)'!B54,'Reeksen (N)'!D54)</f>
        <v>0</v>
      </c>
      <c r="O54" s="84">
        <f>IF('Reeksen (N)'!D54&lt;'Reeksen (N)'!B54,('Reeksen (N)'!B54-'Reeksen (N)'!D54)*L54,0)</f>
        <v>0</v>
      </c>
      <c r="P54" s="84">
        <f ca="1">('Invoer gegevens (N)'!$F$20/12)*L53*MIN('Reeksen (N)'!B53,'Reeksen (N)'!D53)</f>
        <v>0</v>
      </c>
      <c r="Q54" s="84">
        <f t="shared" ca="1" si="2"/>
        <v>0</v>
      </c>
      <c r="R54" s="82">
        <f ca="1">IF('Invoer gegevens (N)'!$C$17=E54,'Invoer gegevens (N)'!$C$11,IF(C54=1,W53,0))</f>
        <v>0</v>
      </c>
      <c r="S54" s="86">
        <f ca="1">IF(C54&gt;=1,R54*VLOOKUP(E54,'Reeksen (N)'!$A$5:$B$76,2),0)</f>
        <v>0</v>
      </c>
      <c r="T54" s="84">
        <f ca="1">(1-('Invoer gegevens (N)'!$F$20/12))*R54*MIN('Reeksen (N)'!B54,'Reeksen (N)'!D54)</f>
        <v>0</v>
      </c>
      <c r="U54" s="84">
        <f>IF('Reeksen (N)'!D54&gt;='Reeksen (N)'!B54,0,IF('Reeksen (N)'!AK54&lt;='Reeksen (N)'!AE54,('Reeksen (N)'!B54-'Reeksen (N)'!D54)*R54,0))</f>
        <v>0</v>
      </c>
      <c r="V54" s="86">
        <f>IF('Reeksen (N)'!D54&gt;='Reeksen (N)'!B54,0,IF('Reeksen (N)'!AK54&gt;'Reeksen (N)'!AE54,('Reeksen (N)'!B54-'Reeksen (N)'!D54)*R54,0))</f>
        <v>0</v>
      </c>
      <c r="W54" s="97">
        <f t="shared" ca="1" si="3"/>
        <v>0</v>
      </c>
      <c r="X54" s="98">
        <f ca="1">IF('Invoer gegevens (N)'!$C$17=E54,'Invoer gegevens (N)'!$C$10-'Invoer gegevens (N)'!$C$11,IF(C54=1,AC53,0))</f>
        <v>0</v>
      </c>
      <c r="Y54" s="98">
        <f ca="1">IF(C54&gt;=1,X54*VLOOKUP(E54,'Reeksen (N)'!$A$5:$B$76,2),0)</f>
        <v>0</v>
      </c>
      <c r="Z54" s="98">
        <f ca="1">(1-('Invoer gegevens (N)'!$F$20/12))*X54*MIN('Reeksen (N)'!B54,'Reeksen (N)'!D54)</f>
        <v>0</v>
      </c>
      <c r="AA54" s="98">
        <f>IF('Reeksen (N)'!D54&gt;='Reeksen (N)'!B54,0,IF('Reeksen (N)'!AK54&lt;='Reeksen (N)'!AE54,('Reeksen (N)'!B54-'Reeksen (N)'!D54)*X54,0))</f>
        <v>0</v>
      </c>
      <c r="AB54" s="98">
        <f>IF('Reeksen (N)'!D54&gt;='Reeksen (N)'!B54,0,IF('Reeksen (N)'!AK54&gt;'Reeksen (N)'!AE54,('Reeksen (N)'!B54-'Reeksen (N)'!D54)*X54,0))</f>
        <v>0</v>
      </c>
      <c r="AC54" s="99">
        <f t="shared" ca="1" si="4"/>
        <v>0</v>
      </c>
      <c r="AD54" s="98">
        <f ca="1">IF('Invoer gegevens (N)'!$C$17=E54,R54,IF(C54=0,0,AE53))</f>
        <v>0</v>
      </c>
      <c r="AE54" s="98">
        <f t="shared" ca="1" si="5"/>
        <v>0</v>
      </c>
      <c r="AF54" s="98">
        <f ca="1">IF('Invoer gegevens (N)'!$C$17=E54,X54,IF(C54=0,0,AG53))</f>
        <v>0</v>
      </c>
      <c r="AG54" s="98">
        <f t="shared" ca="1" si="6"/>
        <v>0</v>
      </c>
      <c r="AH54" s="68"/>
      <c r="AI54" s="71">
        <f ca="1">IF(C54=1,'Reeksen (N)'!AJ54*((F54-G54+F54)/2)*12+'Reeksen (N)'!AK54*((L54-M54+L54)/2)*12,0)</f>
        <v>0</v>
      </c>
      <c r="AJ54" s="71">
        <f ca="1">-AI54*'Invoer gegevens (N)'!$F$28</f>
        <v>0</v>
      </c>
      <c r="AK54" s="71">
        <f t="shared" ca="1" si="0"/>
        <v>0</v>
      </c>
      <c r="AL54" s="71">
        <f ca="1">IF(C54=1,'Reeksen (N)'!AL54*((F54-G54+F54)/2)*12+'Reeksen (N)'!AM54*((L54-M54+L54)/2)*12,0)</f>
        <v>0</v>
      </c>
      <c r="AM54" s="71">
        <f ca="1">-AL54*'Invoer gegevens (N)'!$F$31</f>
        <v>0</v>
      </c>
      <c r="AN54" s="71">
        <f t="shared" ca="1" si="7"/>
        <v>0</v>
      </c>
      <c r="AO54" s="71">
        <f ca="1">IF(C54=1,(H54+J54+N54+P54)*'Reeksen (N)'!AN54,0)</f>
        <v>0</v>
      </c>
      <c r="AP54" s="71">
        <f ca="1">-IF(C54=1,(H54+J54+N54+P54)*'Hulp - basis'!$O$550*'Reeksen (N)'!H54,0)</f>
        <v>0</v>
      </c>
      <c r="AQ54" s="71">
        <f ca="1">-IF(C54=1,(F54+K54+L54+Q54)/2*'Invoer gegevens (N)'!$I$33*'Reeksen (N)'!J54,0)*2</f>
        <v>0</v>
      </c>
      <c r="AR54" s="71">
        <f ca="1">-IF(C54=1,(I54*'Invoer gegevens (N)'!$I$34)*'Reeksen (N)'!J54,0)</f>
        <v>0</v>
      </c>
      <c r="AS54" s="71">
        <f ca="1">-IF(C54=1,(F54+K54+L54+Q54)/2*'Invoer gegevens (N)'!$I$35*'Reeksen (N)'!L54,0)</f>
        <v>0</v>
      </c>
      <c r="AT54" s="71">
        <f ca="1">-IF(C54=1,IF(E54='Invoer gegevens (N)'!$C$17,'Invoer gegevens (N)'!$C$11,AD54)*'Reeksen (N)'!S54*'Invoer gegevens (N)'!$C$18*'Reeksen (N)'!P54,0)</f>
        <v>0</v>
      </c>
      <c r="AU54" s="71">
        <f ca="1">-IF(C54=1,(F54+K54+L54+Q54)/2*'Invoer gegevens (N)'!$I$36*'Reeksen (N)'!H54,0)</f>
        <v>0</v>
      </c>
      <c r="AV54" s="71">
        <v>0</v>
      </c>
      <c r="AW54" s="71">
        <f t="shared" ca="1" si="8"/>
        <v>0</v>
      </c>
      <c r="AX54" s="71">
        <f ca="1">IF(E54&lt;'Invoer gegevens (N)'!$C$17+15,0,IF(E54&gt;'Invoer gegevens (N)'!$C$17+215,0,AW54))</f>
        <v>0</v>
      </c>
      <c r="AY54" s="71">
        <f ca="1">AX54/(1+'Invoer gegevens (N)'!$F$18)^($AZ54-('Invoer gegevens (N)'!$C$17-'Invoer gegevens (N)'!$C$16))/(1+'Invoer gegevens (N)'!$C$39)^('Invoer gegevens (N)'!$C$17-'Invoer gegevens (N)'!$C$16)</f>
        <v>0</v>
      </c>
      <c r="AZ54" s="68">
        <f ca="1">IF(E54-'Invoer gegevens (N)'!$C$17-14.5&lt;0,0,E54-'Invoer gegevens (N)'!$C$17-14.5)</f>
        <v>34.5</v>
      </c>
    </row>
    <row r="55" spans="2:52" x14ac:dyDescent="0.25">
      <c r="B55" s="70">
        <f t="shared" si="9"/>
        <v>51</v>
      </c>
      <c r="C55" s="67">
        <f ca="1">IF(E55-'Invoer gegevens (N)'!$C$17&lt;0,0,1)</f>
        <v>1</v>
      </c>
      <c r="D55" s="68">
        <f t="shared" si="10"/>
        <v>50.5</v>
      </c>
      <c r="E55" s="108">
        <f ca="1">IF('Invoer gegevens (N)'!$C$16="","",E54+1)</f>
        <v>2069</v>
      </c>
      <c r="F55" s="84">
        <f ca="1">IF('Invoer gegevens (N)'!$C$17=E55,'Invoer gegevens (N)'!$C$10,IF(C55=1,K54,0))</f>
        <v>0</v>
      </c>
      <c r="G55" s="96">
        <f ca="1">IF(C55&gt;=1,F55*VLOOKUP(E55,'Reeksen (N)'!$A$5:$B$76,2),0)</f>
        <v>0</v>
      </c>
      <c r="H55" s="84">
        <f ca="1">(1-('Invoer gegevens (N)'!$F$20/12))*F55*MIN('Reeksen (N)'!B55,'Reeksen (N)'!D55)</f>
        <v>0</v>
      </c>
      <c r="I55" s="84">
        <f>IF('Reeksen (N)'!D55&lt;'Reeksen (N)'!B55,('Reeksen (N)'!B55-'Reeksen (N)'!D55)*F55,0)</f>
        <v>0</v>
      </c>
      <c r="J55" s="84">
        <f ca="1">('Invoer gegevens (N)'!$F$20/12)*F54*MIN('Reeksen (N)'!B54,'Reeksen (N)'!D54)</f>
        <v>0</v>
      </c>
      <c r="K55" s="97">
        <f t="shared" ca="1" si="1"/>
        <v>0</v>
      </c>
      <c r="L55" s="84">
        <f ca="1">IF('Invoer gegevens (N)'!$C$17=E55,0,IF(C55=1,Q54,0))</f>
        <v>0</v>
      </c>
      <c r="M55" s="96">
        <f ca="1">IF(C55&gt;=1,L55*VLOOKUP(E55,'Reeksen (N)'!$A$5:$B$76,2),0)</f>
        <v>0</v>
      </c>
      <c r="N55" s="84">
        <f ca="1">(1-('Invoer gegevens (N)'!$F$20/12))*L55*MIN('Reeksen (N)'!B55,'Reeksen (N)'!D55)</f>
        <v>0</v>
      </c>
      <c r="O55" s="84">
        <f>IF('Reeksen (N)'!D55&lt;'Reeksen (N)'!B55,('Reeksen (N)'!B55-'Reeksen (N)'!D55)*L55,0)</f>
        <v>0</v>
      </c>
      <c r="P55" s="84">
        <f ca="1">('Invoer gegevens (N)'!$F$20/12)*L54*MIN('Reeksen (N)'!B54,'Reeksen (N)'!D54)</f>
        <v>0</v>
      </c>
      <c r="Q55" s="84">
        <f t="shared" ca="1" si="2"/>
        <v>0</v>
      </c>
      <c r="R55" s="82">
        <f ca="1">IF('Invoer gegevens (N)'!$C$17=E55,'Invoer gegevens (N)'!$C$11,IF(C55=1,W54,0))</f>
        <v>0</v>
      </c>
      <c r="S55" s="86">
        <f ca="1">IF(C55&gt;=1,R55*VLOOKUP(E55,'Reeksen (N)'!$A$5:$B$76,2),0)</f>
        <v>0</v>
      </c>
      <c r="T55" s="84">
        <f ca="1">(1-('Invoer gegevens (N)'!$F$20/12))*R55*MIN('Reeksen (N)'!B55,'Reeksen (N)'!D55)</f>
        <v>0</v>
      </c>
      <c r="U55" s="84">
        <f>IF('Reeksen (N)'!D55&gt;='Reeksen (N)'!B55,0,IF('Reeksen (N)'!AK55&lt;='Reeksen (N)'!AE55,('Reeksen (N)'!B55-'Reeksen (N)'!D55)*R55,0))</f>
        <v>0</v>
      </c>
      <c r="V55" s="86">
        <f>IF('Reeksen (N)'!D55&gt;='Reeksen (N)'!B55,0,IF('Reeksen (N)'!AK55&gt;'Reeksen (N)'!AE55,('Reeksen (N)'!B55-'Reeksen (N)'!D55)*R55,0))</f>
        <v>0</v>
      </c>
      <c r="W55" s="97">
        <f t="shared" ca="1" si="3"/>
        <v>0</v>
      </c>
      <c r="X55" s="98">
        <f ca="1">IF('Invoer gegevens (N)'!$C$17=E55,'Invoer gegevens (N)'!$C$10-'Invoer gegevens (N)'!$C$11,IF(C55=1,AC54,0))</f>
        <v>0</v>
      </c>
      <c r="Y55" s="98">
        <f ca="1">IF(C55&gt;=1,X55*VLOOKUP(E55,'Reeksen (N)'!$A$5:$B$76,2),0)</f>
        <v>0</v>
      </c>
      <c r="Z55" s="98">
        <f ca="1">(1-('Invoer gegevens (N)'!$F$20/12))*X55*MIN('Reeksen (N)'!B55,'Reeksen (N)'!D55)</f>
        <v>0</v>
      </c>
      <c r="AA55" s="98">
        <f>IF('Reeksen (N)'!D55&gt;='Reeksen (N)'!B55,0,IF('Reeksen (N)'!AK55&lt;='Reeksen (N)'!AE55,('Reeksen (N)'!B55-'Reeksen (N)'!D55)*X55,0))</f>
        <v>0</v>
      </c>
      <c r="AB55" s="98">
        <f>IF('Reeksen (N)'!D55&gt;='Reeksen (N)'!B55,0,IF('Reeksen (N)'!AK55&gt;'Reeksen (N)'!AE55,('Reeksen (N)'!B55-'Reeksen (N)'!D55)*X55,0))</f>
        <v>0</v>
      </c>
      <c r="AC55" s="99">
        <f t="shared" ca="1" si="4"/>
        <v>0</v>
      </c>
      <c r="AD55" s="98">
        <f ca="1">IF('Invoer gegevens (N)'!$C$17=E55,R55,IF(C55=0,0,AE54))</f>
        <v>0</v>
      </c>
      <c r="AE55" s="98">
        <f t="shared" ca="1" si="5"/>
        <v>0</v>
      </c>
      <c r="AF55" s="98">
        <f ca="1">IF('Invoer gegevens (N)'!$C$17=E55,X55,IF(C55=0,0,AG54))</f>
        <v>0</v>
      </c>
      <c r="AG55" s="98">
        <f t="shared" ca="1" si="6"/>
        <v>0</v>
      </c>
      <c r="AH55" s="68"/>
      <c r="AI55" s="71">
        <f ca="1">IF(C55=1,'Reeksen (N)'!AJ55*((F55-G55+F55)/2)*12+'Reeksen (N)'!AK55*((L55-M55+L55)/2)*12,0)</f>
        <v>0</v>
      </c>
      <c r="AJ55" s="71">
        <f ca="1">-AI55*'Invoer gegevens (N)'!$F$28</f>
        <v>0</v>
      </c>
      <c r="AK55" s="71">
        <f t="shared" ca="1" si="0"/>
        <v>0</v>
      </c>
      <c r="AL55" s="71">
        <f ca="1">IF(C55=1,'Reeksen (N)'!AL55*((F55-G55+F55)/2)*12+'Reeksen (N)'!AM55*((L55-M55+L55)/2)*12,0)</f>
        <v>0</v>
      </c>
      <c r="AM55" s="71">
        <f ca="1">-AL55*'Invoer gegevens (N)'!$F$31</f>
        <v>0</v>
      </c>
      <c r="AN55" s="71">
        <f t="shared" ca="1" si="7"/>
        <v>0</v>
      </c>
      <c r="AO55" s="71">
        <f ca="1">IF(C55=1,(H55+J55+N55+P55)*'Reeksen (N)'!AN55,0)</f>
        <v>0</v>
      </c>
      <c r="AP55" s="71">
        <f ca="1">-IF(C55=1,(H55+J55+N55+P55)*'Hulp - basis'!$O$550*'Reeksen (N)'!H55,0)</f>
        <v>0</v>
      </c>
      <c r="AQ55" s="71">
        <f ca="1">-IF(C55=1,(F55+K55+L55+Q55)/2*'Invoer gegevens (N)'!$I$33*'Reeksen (N)'!J55,0)*2</f>
        <v>0</v>
      </c>
      <c r="AR55" s="71">
        <f ca="1">-IF(C55=1,(I55*'Invoer gegevens (N)'!$I$34)*'Reeksen (N)'!J55,0)</f>
        <v>0</v>
      </c>
      <c r="AS55" s="71">
        <f ca="1">-IF(C55=1,(F55+K55+L55+Q55)/2*'Invoer gegevens (N)'!$I$35*'Reeksen (N)'!L55,0)</f>
        <v>0</v>
      </c>
      <c r="AT55" s="71">
        <f ca="1">-IF(C55=1,IF(E55='Invoer gegevens (N)'!$C$17,'Invoer gegevens (N)'!$C$11,AD55)*'Reeksen (N)'!S55*'Invoer gegevens (N)'!$C$18*'Reeksen (N)'!P55,0)</f>
        <v>0</v>
      </c>
      <c r="AU55" s="71">
        <f ca="1">-IF(C55=1,(F55+K55+L55+Q55)/2*'Invoer gegevens (N)'!$I$36*'Reeksen (N)'!H55,0)</f>
        <v>0</v>
      </c>
      <c r="AV55" s="71">
        <v>0</v>
      </c>
      <c r="AW55" s="71">
        <f t="shared" ca="1" si="8"/>
        <v>0</v>
      </c>
      <c r="AX55" s="71">
        <f ca="1">IF(E55&lt;'Invoer gegevens (N)'!$C$17+15,0,IF(E55&gt;'Invoer gegevens (N)'!$C$17+215,0,AW55))</f>
        <v>0</v>
      </c>
      <c r="AY55" s="71">
        <f ca="1">AX55/(1+'Invoer gegevens (N)'!$F$18)^($AZ55-('Invoer gegevens (N)'!$C$17-'Invoer gegevens (N)'!$C$16))/(1+'Invoer gegevens (N)'!$C$39)^('Invoer gegevens (N)'!$C$17-'Invoer gegevens (N)'!$C$16)</f>
        <v>0</v>
      </c>
      <c r="AZ55" s="68">
        <f ca="1">IF(E55-'Invoer gegevens (N)'!$C$17-14.5&lt;0,0,E55-'Invoer gegevens (N)'!$C$17-14.5)</f>
        <v>35.5</v>
      </c>
    </row>
    <row r="56" spans="2:52" x14ac:dyDescent="0.25">
      <c r="B56" s="70">
        <f t="shared" si="9"/>
        <v>52</v>
      </c>
      <c r="C56" s="67">
        <f ca="1">IF(E56-'Invoer gegevens (N)'!$C$17&lt;0,0,1)</f>
        <v>1</v>
      </c>
      <c r="D56" s="68">
        <f t="shared" si="10"/>
        <v>51.5</v>
      </c>
      <c r="E56" s="108">
        <f ca="1">IF('Invoer gegevens (N)'!$C$16="","",E55+1)</f>
        <v>2070</v>
      </c>
      <c r="F56" s="84">
        <f ca="1">IF('Invoer gegevens (N)'!$C$17=E56,'Invoer gegevens (N)'!$C$10,IF(C56=1,K55,0))</f>
        <v>0</v>
      </c>
      <c r="G56" s="96">
        <f ca="1">IF(C56&gt;=1,F56*VLOOKUP(E56,'Reeksen (N)'!$A$5:$B$76,2),0)</f>
        <v>0</v>
      </c>
      <c r="H56" s="84">
        <f ca="1">(1-('Invoer gegevens (N)'!$F$20/12))*F56*MIN('Reeksen (N)'!B56,'Reeksen (N)'!D56)</f>
        <v>0</v>
      </c>
      <c r="I56" s="84">
        <f>IF('Reeksen (N)'!D56&lt;'Reeksen (N)'!B56,('Reeksen (N)'!B56-'Reeksen (N)'!D56)*F56,0)</f>
        <v>0</v>
      </c>
      <c r="J56" s="84">
        <f ca="1">('Invoer gegevens (N)'!$F$20/12)*F55*MIN('Reeksen (N)'!B55,'Reeksen (N)'!D55)</f>
        <v>0</v>
      </c>
      <c r="K56" s="97">
        <f t="shared" ca="1" si="1"/>
        <v>0</v>
      </c>
      <c r="L56" s="84">
        <f ca="1">IF('Invoer gegevens (N)'!$C$17=E56,0,IF(C56=1,Q55,0))</f>
        <v>0</v>
      </c>
      <c r="M56" s="96">
        <f ca="1">IF(C56&gt;=1,L56*VLOOKUP(E56,'Reeksen (N)'!$A$5:$B$76,2),0)</f>
        <v>0</v>
      </c>
      <c r="N56" s="84">
        <f ca="1">(1-('Invoer gegevens (N)'!$F$20/12))*L56*MIN('Reeksen (N)'!B56,'Reeksen (N)'!D56)</f>
        <v>0</v>
      </c>
      <c r="O56" s="84">
        <f>IF('Reeksen (N)'!D56&lt;'Reeksen (N)'!B56,('Reeksen (N)'!B56-'Reeksen (N)'!D56)*L56,0)</f>
        <v>0</v>
      </c>
      <c r="P56" s="84">
        <f ca="1">('Invoer gegevens (N)'!$F$20/12)*L55*MIN('Reeksen (N)'!B55,'Reeksen (N)'!D55)</f>
        <v>0</v>
      </c>
      <c r="Q56" s="84">
        <f t="shared" ca="1" si="2"/>
        <v>0</v>
      </c>
      <c r="R56" s="82">
        <f ca="1">IF('Invoer gegevens (N)'!$C$17=E56,'Invoer gegevens (N)'!$C$11,IF(C56=1,W55,0))</f>
        <v>0</v>
      </c>
      <c r="S56" s="86">
        <f ca="1">IF(C56&gt;=1,R56*VLOOKUP(E56,'Reeksen (N)'!$A$5:$B$76,2),0)</f>
        <v>0</v>
      </c>
      <c r="T56" s="84">
        <f ca="1">(1-('Invoer gegevens (N)'!$F$20/12))*R56*MIN('Reeksen (N)'!B56,'Reeksen (N)'!D56)</f>
        <v>0</v>
      </c>
      <c r="U56" s="84">
        <f>IF('Reeksen (N)'!D56&gt;='Reeksen (N)'!B56,0,IF('Reeksen (N)'!AK56&lt;='Reeksen (N)'!AE56,('Reeksen (N)'!B56-'Reeksen (N)'!D56)*R56,0))</f>
        <v>0</v>
      </c>
      <c r="V56" s="86">
        <f>IF('Reeksen (N)'!D56&gt;='Reeksen (N)'!B56,0,IF('Reeksen (N)'!AK56&gt;'Reeksen (N)'!AE56,('Reeksen (N)'!B56-'Reeksen (N)'!D56)*R56,0))</f>
        <v>0</v>
      </c>
      <c r="W56" s="97">
        <f t="shared" ca="1" si="3"/>
        <v>0</v>
      </c>
      <c r="X56" s="98">
        <f ca="1">IF('Invoer gegevens (N)'!$C$17=E56,'Invoer gegevens (N)'!$C$10-'Invoer gegevens (N)'!$C$11,IF(C56=1,AC55,0))</f>
        <v>0</v>
      </c>
      <c r="Y56" s="98">
        <f ca="1">IF(C56&gt;=1,X56*VLOOKUP(E56,'Reeksen (N)'!$A$5:$B$76,2),0)</f>
        <v>0</v>
      </c>
      <c r="Z56" s="98">
        <f ca="1">(1-('Invoer gegevens (N)'!$F$20/12))*X56*MIN('Reeksen (N)'!B56,'Reeksen (N)'!D56)</f>
        <v>0</v>
      </c>
      <c r="AA56" s="98">
        <f>IF('Reeksen (N)'!D56&gt;='Reeksen (N)'!B56,0,IF('Reeksen (N)'!AK56&lt;='Reeksen (N)'!AE56,('Reeksen (N)'!B56-'Reeksen (N)'!D56)*X56,0))</f>
        <v>0</v>
      </c>
      <c r="AB56" s="98">
        <f>IF('Reeksen (N)'!D56&gt;='Reeksen (N)'!B56,0,IF('Reeksen (N)'!AK56&gt;'Reeksen (N)'!AE56,('Reeksen (N)'!B56-'Reeksen (N)'!D56)*X56,0))</f>
        <v>0</v>
      </c>
      <c r="AC56" s="99">
        <f t="shared" ca="1" si="4"/>
        <v>0</v>
      </c>
      <c r="AD56" s="98">
        <f ca="1">IF('Invoer gegevens (N)'!$C$17=E56,R56,IF(C56=0,0,AE55))</f>
        <v>0</v>
      </c>
      <c r="AE56" s="98">
        <f t="shared" ca="1" si="5"/>
        <v>0</v>
      </c>
      <c r="AF56" s="98">
        <f ca="1">IF('Invoer gegevens (N)'!$C$17=E56,X56,IF(C56=0,0,AG55))</f>
        <v>0</v>
      </c>
      <c r="AG56" s="98">
        <f t="shared" ca="1" si="6"/>
        <v>0</v>
      </c>
      <c r="AH56" s="68"/>
      <c r="AI56" s="71">
        <f ca="1">IF(C56=1,'Reeksen (N)'!AJ56*((F56-G56+F56)/2)*12+'Reeksen (N)'!AK56*((L56-M56+L56)/2)*12,0)</f>
        <v>0</v>
      </c>
      <c r="AJ56" s="71">
        <f ca="1">-AI56*'Invoer gegevens (N)'!$F$28</f>
        <v>0</v>
      </c>
      <c r="AK56" s="71">
        <f t="shared" ca="1" si="0"/>
        <v>0</v>
      </c>
      <c r="AL56" s="71">
        <f ca="1">IF(C56=1,'Reeksen (N)'!AL56*((F56-G56+F56)/2)*12+'Reeksen (N)'!AM56*((L56-M56+L56)/2)*12,0)</f>
        <v>0</v>
      </c>
      <c r="AM56" s="71">
        <f ca="1">-AL56*'Invoer gegevens (N)'!$F$31</f>
        <v>0</v>
      </c>
      <c r="AN56" s="71">
        <f t="shared" ca="1" si="7"/>
        <v>0</v>
      </c>
      <c r="AO56" s="71">
        <f ca="1">IF(C56=1,(H56+J56+N56+P56)*'Reeksen (N)'!AN56,0)</f>
        <v>0</v>
      </c>
      <c r="AP56" s="71">
        <f ca="1">-IF(C56=1,(H56+J56+N56+P56)*'Hulp - basis'!$O$550*'Reeksen (N)'!H56,0)</f>
        <v>0</v>
      </c>
      <c r="AQ56" s="71">
        <f ca="1">-IF(C56=1,(F56+K56+L56+Q56)/2*'Invoer gegevens (N)'!$I$33*'Reeksen (N)'!J56,0)*2</f>
        <v>0</v>
      </c>
      <c r="AR56" s="71">
        <f ca="1">-IF(C56=1,(I56*'Invoer gegevens (N)'!$I$34)*'Reeksen (N)'!J56,0)</f>
        <v>0</v>
      </c>
      <c r="AS56" s="71">
        <f ca="1">-IF(C56=1,(F56+K56+L56+Q56)/2*'Invoer gegevens (N)'!$I$35*'Reeksen (N)'!L56,0)</f>
        <v>0</v>
      </c>
      <c r="AT56" s="71">
        <f ca="1">-IF(C56=1,IF(E56='Invoer gegevens (N)'!$C$17,'Invoer gegevens (N)'!$C$11,AD56)*'Reeksen (N)'!S56*'Invoer gegevens (N)'!$C$18*'Reeksen (N)'!P56,0)</f>
        <v>0</v>
      </c>
      <c r="AU56" s="71">
        <f ca="1">-IF(C56=1,(F56+K56+L56+Q56)/2*'Invoer gegevens (N)'!$I$36*'Reeksen (N)'!H56,0)</f>
        <v>0</v>
      </c>
      <c r="AV56" s="71">
        <v>0</v>
      </c>
      <c r="AW56" s="71">
        <f t="shared" ca="1" si="8"/>
        <v>0</v>
      </c>
      <c r="AX56" s="71">
        <f ca="1">IF(E56&lt;'Invoer gegevens (N)'!$C$17+15,0,IF(E56&gt;'Invoer gegevens (N)'!$C$17+215,0,AW56))</f>
        <v>0</v>
      </c>
      <c r="AY56" s="71">
        <f ca="1">AX56/(1+'Invoer gegevens (N)'!$F$18)^($AZ56-('Invoer gegevens (N)'!$C$17-'Invoer gegevens (N)'!$C$16))/(1+'Invoer gegevens (N)'!$C$39)^('Invoer gegevens (N)'!$C$17-'Invoer gegevens (N)'!$C$16)</f>
        <v>0</v>
      </c>
      <c r="AZ56" s="68">
        <f ca="1">IF(E56-'Invoer gegevens (N)'!$C$17-14.5&lt;0,0,E56-'Invoer gegevens (N)'!$C$17-14.5)</f>
        <v>36.5</v>
      </c>
    </row>
    <row r="57" spans="2:52" x14ac:dyDescent="0.25">
      <c r="B57" s="70">
        <f t="shared" si="9"/>
        <v>53</v>
      </c>
      <c r="C57" s="67">
        <f ca="1">IF(E57-'Invoer gegevens (N)'!$C$17&lt;0,0,1)</f>
        <v>1</v>
      </c>
      <c r="D57" s="68">
        <f t="shared" si="10"/>
        <v>52.5</v>
      </c>
      <c r="E57" s="108">
        <f ca="1">IF('Invoer gegevens (N)'!$C$16="","",E56+1)</f>
        <v>2071</v>
      </c>
      <c r="F57" s="84">
        <f ca="1">IF('Invoer gegevens (N)'!$C$17=E57,'Invoer gegevens (N)'!$C$10,IF(C57=1,K56,0))</f>
        <v>0</v>
      </c>
      <c r="G57" s="96">
        <f ca="1">IF(C57&gt;=1,F57*VLOOKUP(E57,'Reeksen (N)'!$A$5:$B$76,2),0)</f>
        <v>0</v>
      </c>
      <c r="H57" s="84">
        <f ca="1">(1-('Invoer gegevens (N)'!$F$20/12))*F57*MIN('Reeksen (N)'!B57,'Reeksen (N)'!D57)</f>
        <v>0</v>
      </c>
      <c r="I57" s="84">
        <f>IF('Reeksen (N)'!D57&lt;'Reeksen (N)'!B57,('Reeksen (N)'!B57-'Reeksen (N)'!D57)*F57,0)</f>
        <v>0</v>
      </c>
      <c r="J57" s="84">
        <f ca="1">('Invoer gegevens (N)'!$F$20/12)*F56*MIN('Reeksen (N)'!B56,'Reeksen (N)'!D56)</f>
        <v>0</v>
      </c>
      <c r="K57" s="97">
        <f t="shared" ca="1" si="1"/>
        <v>0</v>
      </c>
      <c r="L57" s="84">
        <f ca="1">IF('Invoer gegevens (N)'!$C$17=E57,0,IF(C57=1,Q56,0))</f>
        <v>0</v>
      </c>
      <c r="M57" s="96">
        <f ca="1">IF(C57&gt;=1,L57*VLOOKUP(E57,'Reeksen (N)'!$A$5:$B$76,2),0)</f>
        <v>0</v>
      </c>
      <c r="N57" s="84">
        <f ca="1">(1-('Invoer gegevens (N)'!$F$20/12))*L57*MIN('Reeksen (N)'!B57,'Reeksen (N)'!D57)</f>
        <v>0</v>
      </c>
      <c r="O57" s="84">
        <f>IF('Reeksen (N)'!D57&lt;'Reeksen (N)'!B57,('Reeksen (N)'!B57-'Reeksen (N)'!D57)*L57,0)</f>
        <v>0</v>
      </c>
      <c r="P57" s="84">
        <f ca="1">('Invoer gegevens (N)'!$F$20/12)*L56*MIN('Reeksen (N)'!B56,'Reeksen (N)'!D56)</f>
        <v>0</v>
      </c>
      <c r="Q57" s="84">
        <f t="shared" ca="1" si="2"/>
        <v>0</v>
      </c>
      <c r="R57" s="82">
        <f ca="1">IF('Invoer gegevens (N)'!$C$17=E57,'Invoer gegevens (N)'!$C$11,IF(C57=1,W56,0))</f>
        <v>0</v>
      </c>
      <c r="S57" s="86">
        <f ca="1">IF(C57&gt;=1,R57*VLOOKUP(E57,'Reeksen (N)'!$A$5:$B$76,2),0)</f>
        <v>0</v>
      </c>
      <c r="T57" s="84">
        <f ca="1">(1-('Invoer gegevens (N)'!$F$20/12))*R57*MIN('Reeksen (N)'!B57,'Reeksen (N)'!D57)</f>
        <v>0</v>
      </c>
      <c r="U57" s="84">
        <f>IF('Reeksen (N)'!D57&gt;='Reeksen (N)'!B57,0,IF('Reeksen (N)'!AK57&lt;='Reeksen (N)'!AE57,('Reeksen (N)'!B57-'Reeksen (N)'!D57)*R57,0))</f>
        <v>0</v>
      </c>
      <c r="V57" s="86">
        <f>IF('Reeksen (N)'!D57&gt;='Reeksen (N)'!B57,0,IF('Reeksen (N)'!AK57&gt;'Reeksen (N)'!AE57,('Reeksen (N)'!B57-'Reeksen (N)'!D57)*R57,0))</f>
        <v>0</v>
      </c>
      <c r="W57" s="97">
        <f t="shared" ca="1" si="3"/>
        <v>0</v>
      </c>
      <c r="X57" s="98">
        <f ca="1">IF('Invoer gegevens (N)'!$C$17=E57,'Invoer gegevens (N)'!$C$10-'Invoer gegevens (N)'!$C$11,IF(C57=1,AC56,0))</f>
        <v>0</v>
      </c>
      <c r="Y57" s="98">
        <f ca="1">IF(C57&gt;=1,X57*VLOOKUP(E57,'Reeksen (N)'!$A$5:$B$76,2),0)</f>
        <v>0</v>
      </c>
      <c r="Z57" s="98">
        <f ca="1">(1-('Invoer gegevens (N)'!$F$20/12))*X57*MIN('Reeksen (N)'!B57,'Reeksen (N)'!D57)</f>
        <v>0</v>
      </c>
      <c r="AA57" s="98">
        <f>IF('Reeksen (N)'!D57&gt;='Reeksen (N)'!B57,0,IF('Reeksen (N)'!AK57&lt;='Reeksen (N)'!AE57,('Reeksen (N)'!B57-'Reeksen (N)'!D57)*X57,0))</f>
        <v>0</v>
      </c>
      <c r="AB57" s="98">
        <f>IF('Reeksen (N)'!D57&gt;='Reeksen (N)'!B57,0,IF('Reeksen (N)'!AK57&gt;'Reeksen (N)'!AE57,('Reeksen (N)'!B57-'Reeksen (N)'!D57)*X57,0))</f>
        <v>0</v>
      </c>
      <c r="AC57" s="99">
        <f t="shared" ca="1" si="4"/>
        <v>0</v>
      </c>
      <c r="AD57" s="98">
        <f ca="1">IF('Invoer gegevens (N)'!$C$17=E57,R57,IF(C57=0,0,AE56))</f>
        <v>0</v>
      </c>
      <c r="AE57" s="98">
        <f t="shared" ca="1" si="5"/>
        <v>0</v>
      </c>
      <c r="AF57" s="98">
        <f ca="1">IF('Invoer gegevens (N)'!$C$17=E57,X57,IF(C57=0,0,AG56))</f>
        <v>0</v>
      </c>
      <c r="AG57" s="98">
        <f t="shared" ca="1" si="6"/>
        <v>0</v>
      </c>
      <c r="AH57" s="68"/>
      <c r="AI57" s="71">
        <f ca="1">IF(C57=1,'Reeksen (N)'!AJ57*((F57-G57+F57)/2)*12+'Reeksen (N)'!AK57*((L57-M57+L57)/2)*12,0)</f>
        <v>0</v>
      </c>
      <c r="AJ57" s="71">
        <f ca="1">-AI57*'Invoer gegevens (N)'!$F$28</f>
        <v>0</v>
      </c>
      <c r="AK57" s="71">
        <f t="shared" ca="1" si="0"/>
        <v>0</v>
      </c>
      <c r="AL57" s="71">
        <f ca="1">IF(C57=1,'Reeksen (N)'!AL57*((F57-G57+F57)/2)*12+'Reeksen (N)'!AM57*((L57-M57+L57)/2)*12,0)</f>
        <v>0</v>
      </c>
      <c r="AM57" s="71">
        <f ca="1">-AL57*'Invoer gegevens (N)'!$F$31</f>
        <v>0</v>
      </c>
      <c r="AN57" s="71">
        <f t="shared" ca="1" si="7"/>
        <v>0</v>
      </c>
      <c r="AO57" s="71">
        <f ca="1">IF(C57=1,(H57+J57+N57+P57)*'Reeksen (N)'!AN57,0)</f>
        <v>0</v>
      </c>
      <c r="AP57" s="71">
        <f ca="1">-IF(C57=1,(H57+J57+N57+P57)*'Hulp - basis'!$O$550*'Reeksen (N)'!H57,0)</f>
        <v>0</v>
      </c>
      <c r="AQ57" s="71">
        <f ca="1">-IF(C57=1,(F57+K57+L57+Q57)/2*'Invoer gegevens (N)'!$I$33*'Reeksen (N)'!J57,0)*2</f>
        <v>0</v>
      </c>
      <c r="AR57" s="71">
        <f ca="1">-IF(C57=1,(I57*'Invoer gegevens (N)'!$I$34)*'Reeksen (N)'!J57,0)</f>
        <v>0</v>
      </c>
      <c r="AS57" s="71">
        <f ca="1">-IF(C57=1,(F57+K57+L57+Q57)/2*'Invoer gegevens (N)'!$I$35*'Reeksen (N)'!L57,0)</f>
        <v>0</v>
      </c>
      <c r="AT57" s="71">
        <f ca="1">-IF(C57=1,IF(E57='Invoer gegevens (N)'!$C$17,'Invoer gegevens (N)'!$C$11,AD57)*'Reeksen (N)'!S57*'Invoer gegevens (N)'!$C$18*'Reeksen (N)'!P57,0)</f>
        <v>0</v>
      </c>
      <c r="AU57" s="71">
        <f ca="1">-IF(C57=1,(F57+K57+L57+Q57)/2*'Invoer gegevens (N)'!$I$36*'Reeksen (N)'!H57,0)</f>
        <v>0</v>
      </c>
      <c r="AV57" s="71">
        <v>0</v>
      </c>
      <c r="AW57" s="71">
        <f t="shared" ca="1" si="8"/>
        <v>0</v>
      </c>
      <c r="AX57" s="71">
        <f ca="1">IF(E57&lt;'Invoer gegevens (N)'!$C$17+15,0,IF(E57&gt;'Invoer gegevens (N)'!$C$17+215,0,AW57))</f>
        <v>0</v>
      </c>
      <c r="AY57" s="71">
        <f ca="1">AX57/(1+'Invoer gegevens (N)'!$F$18)^($AZ57-('Invoer gegevens (N)'!$C$17-'Invoer gegevens (N)'!$C$16))/(1+'Invoer gegevens (N)'!$C$39)^('Invoer gegevens (N)'!$C$17-'Invoer gegevens (N)'!$C$16)</f>
        <v>0</v>
      </c>
      <c r="AZ57" s="68">
        <f ca="1">IF(E57-'Invoer gegevens (N)'!$C$17-14.5&lt;0,0,E57-'Invoer gegevens (N)'!$C$17-14.5)</f>
        <v>37.5</v>
      </c>
    </row>
    <row r="58" spans="2:52" x14ac:dyDescent="0.25">
      <c r="B58" s="70">
        <f t="shared" si="9"/>
        <v>54</v>
      </c>
      <c r="C58" s="67">
        <f ca="1">IF(E58-'Invoer gegevens (N)'!$C$17&lt;0,0,1)</f>
        <v>1</v>
      </c>
      <c r="D58" s="68">
        <f t="shared" si="10"/>
        <v>53.5</v>
      </c>
      <c r="E58" s="108">
        <f ca="1">IF('Invoer gegevens (N)'!$C$16="","",E57+1)</f>
        <v>2072</v>
      </c>
      <c r="F58" s="84">
        <f ca="1">IF('Invoer gegevens (N)'!$C$17=E58,'Invoer gegevens (N)'!$C$10,IF(C58=1,K57,0))</f>
        <v>0</v>
      </c>
      <c r="G58" s="96">
        <f ca="1">IF(C58&gt;=1,F58*VLOOKUP(E58,'Reeksen (N)'!$A$5:$B$76,2),0)</f>
        <v>0</v>
      </c>
      <c r="H58" s="84">
        <f ca="1">(1-('Invoer gegevens (N)'!$F$20/12))*F58*MIN('Reeksen (N)'!B58,'Reeksen (N)'!D58)</f>
        <v>0</v>
      </c>
      <c r="I58" s="84">
        <f>IF('Reeksen (N)'!D58&lt;'Reeksen (N)'!B58,('Reeksen (N)'!B58-'Reeksen (N)'!D58)*F58,0)</f>
        <v>0</v>
      </c>
      <c r="J58" s="84">
        <f ca="1">('Invoer gegevens (N)'!$F$20/12)*F57*MIN('Reeksen (N)'!B57,'Reeksen (N)'!D57)</f>
        <v>0</v>
      </c>
      <c r="K58" s="97">
        <f t="shared" ca="1" si="1"/>
        <v>0</v>
      </c>
      <c r="L58" s="84">
        <f ca="1">IF('Invoer gegevens (N)'!$C$17=E58,0,IF(C58=1,Q57,0))</f>
        <v>0</v>
      </c>
      <c r="M58" s="96">
        <f ca="1">IF(C58&gt;=1,L58*VLOOKUP(E58,'Reeksen (N)'!$A$5:$B$76,2),0)</f>
        <v>0</v>
      </c>
      <c r="N58" s="84">
        <f ca="1">(1-('Invoer gegevens (N)'!$F$20/12))*L58*MIN('Reeksen (N)'!B58,'Reeksen (N)'!D58)</f>
        <v>0</v>
      </c>
      <c r="O58" s="84">
        <f>IF('Reeksen (N)'!D58&lt;'Reeksen (N)'!B58,('Reeksen (N)'!B58-'Reeksen (N)'!D58)*L58,0)</f>
        <v>0</v>
      </c>
      <c r="P58" s="84">
        <f ca="1">('Invoer gegevens (N)'!$F$20/12)*L57*MIN('Reeksen (N)'!B57,'Reeksen (N)'!D57)</f>
        <v>0</v>
      </c>
      <c r="Q58" s="84">
        <f t="shared" ca="1" si="2"/>
        <v>0</v>
      </c>
      <c r="R58" s="82">
        <f ca="1">IF('Invoer gegevens (N)'!$C$17=E58,'Invoer gegevens (N)'!$C$11,IF(C58=1,W57,0))</f>
        <v>0</v>
      </c>
      <c r="S58" s="86">
        <f ca="1">IF(C58&gt;=1,R58*VLOOKUP(E58,'Reeksen (N)'!$A$5:$B$76,2),0)</f>
        <v>0</v>
      </c>
      <c r="T58" s="84">
        <f ca="1">(1-('Invoer gegevens (N)'!$F$20/12))*R58*MIN('Reeksen (N)'!B58,'Reeksen (N)'!D58)</f>
        <v>0</v>
      </c>
      <c r="U58" s="84">
        <f>IF('Reeksen (N)'!D58&gt;='Reeksen (N)'!B58,0,IF('Reeksen (N)'!AK58&lt;='Reeksen (N)'!AE58,('Reeksen (N)'!B58-'Reeksen (N)'!D58)*R58,0))</f>
        <v>0</v>
      </c>
      <c r="V58" s="86">
        <f>IF('Reeksen (N)'!D58&gt;='Reeksen (N)'!B58,0,IF('Reeksen (N)'!AK58&gt;'Reeksen (N)'!AE58,('Reeksen (N)'!B58-'Reeksen (N)'!D58)*R58,0))</f>
        <v>0</v>
      </c>
      <c r="W58" s="97">
        <f t="shared" ca="1" si="3"/>
        <v>0</v>
      </c>
      <c r="X58" s="98">
        <f ca="1">IF('Invoer gegevens (N)'!$C$17=E58,'Invoer gegevens (N)'!$C$10-'Invoer gegevens (N)'!$C$11,IF(C58=1,AC57,0))</f>
        <v>0</v>
      </c>
      <c r="Y58" s="98">
        <f ca="1">IF(C58&gt;=1,X58*VLOOKUP(E58,'Reeksen (N)'!$A$5:$B$76,2),0)</f>
        <v>0</v>
      </c>
      <c r="Z58" s="98">
        <f ca="1">(1-('Invoer gegevens (N)'!$F$20/12))*X58*MIN('Reeksen (N)'!B58,'Reeksen (N)'!D58)</f>
        <v>0</v>
      </c>
      <c r="AA58" s="98">
        <f>IF('Reeksen (N)'!D58&gt;='Reeksen (N)'!B58,0,IF('Reeksen (N)'!AK58&lt;='Reeksen (N)'!AE58,('Reeksen (N)'!B58-'Reeksen (N)'!D58)*X58,0))</f>
        <v>0</v>
      </c>
      <c r="AB58" s="98">
        <f>IF('Reeksen (N)'!D58&gt;='Reeksen (N)'!B58,0,IF('Reeksen (N)'!AK58&gt;'Reeksen (N)'!AE58,('Reeksen (N)'!B58-'Reeksen (N)'!D58)*X58,0))</f>
        <v>0</v>
      </c>
      <c r="AC58" s="99">
        <f t="shared" ca="1" si="4"/>
        <v>0</v>
      </c>
      <c r="AD58" s="98">
        <f ca="1">IF('Invoer gegevens (N)'!$C$17=E58,R58,IF(C58=0,0,AE57))</f>
        <v>0</v>
      </c>
      <c r="AE58" s="98">
        <f t="shared" ca="1" si="5"/>
        <v>0</v>
      </c>
      <c r="AF58" s="98">
        <f ca="1">IF('Invoer gegevens (N)'!$C$17=E58,X58,IF(C58=0,0,AG57))</f>
        <v>0</v>
      </c>
      <c r="AG58" s="98">
        <f t="shared" ca="1" si="6"/>
        <v>0</v>
      </c>
      <c r="AH58" s="68"/>
      <c r="AI58" s="71">
        <f ca="1">IF(C58=1,'Reeksen (N)'!AJ58*((F58-G58+F58)/2)*12+'Reeksen (N)'!AK58*((L58-M58+L58)/2)*12,0)</f>
        <v>0</v>
      </c>
      <c r="AJ58" s="71">
        <f ca="1">-AI58*'Invoer gegevens (N)'!$F$28</f>
        <v>0</v>
      </c>
      <c r="AK58" s="71">
        <f t="shared" ca="1" si="0"/>
        <v>0</v>
      </c>
      <c r="AL58" s="71">
        <f ca="1">IF(C58=1,'Reeksen (N)'!AL58*((F58-G58+F58)/2)*12+'Reeksen (N)'!AM58*((L58-M58+L58)/2)*12,0)</f>
        <v>0</v>
      </c>
      <c r="AM58" s="71">
        <f ca="1">-AL58*'Invoer gegevens (N)'!$F$31</f>
        <v>0</v>
      </c>
      <c r="AN58" s="71">
        <f t="shared" ca="1" si="7"/>
        <v>0</v>
      </c>
      <c r="AO58" s="71">
        <f ca="1">IF(C58=1,(H58+J58+N58+P58)*'Reeksen (N)'!AN58,0)</f>
        <v>0</v>
      </c>
      <c r="AP58" s="71">
        <f ca="1">-IF(C58=1,(H58+J58+N58+P58)*'Hulp - basis'!$O$550*'Reeksen (N)'!H58,0)</f>
        <v>0</v>
      </c>
      <c r="AQ58" s="71">
        <f ca="1">-IF(C58=1,(F58+K58+L58+Q58)/2*'Invoer gegevens (N)'!$I$33*'Reeksen (N)'!J58,0)*2</f>
        <v>0</v>
      </c>
      <c r="AR58" s="71">
        <f ca="1">-IF(C58=1,(I58*'Invoer gegevens (N)'!$I$34)*'Reeksen (N)'!J58,0)</f>
        <v>0</v>
      </c>
      <c r="AS58" s="71">
        <f ca="1">-IF(C58=1,(F58+K58+L58+Q58)/2*'Invoer gegevens (N)'!$I$35*'Reeksen (N)'!L58,0)</f>
        <v>0</v>
      </c>
      <c r="AT58" s="71">
        <f ca="1">-IF(C58=1,IF(E58='Invoer gegevens (N)'!$C$17,'Invoer gegevens (N)'!$C$11,AD58)*'Reeksen (N)'!S58*'Invoer gegevens (N)'!$C$18*'Reeksen (N)'!P58,0)</f>
        <v>0</v>
      </c>
      <c r="AU58" s="71">
        <f ca="1">-IF(C58=1,(F58+K58+L58+Q58)/2*'Invoer gegevens (N)'!$I$36*'Reeksen (N)'!H58,0)</f>
        <v>0</v>
      </c>
      <c r="AV58" s="71">
        <v>0</v>
      </c>
      <c r="AW58" s="71">
        <f t="shared" ca="1" si="8"/>
        <v>0</v>
      </c>
      <c r="AX58" s="71">
        <f ca="1">IF(E58&lt;'Invoer gegevens (N)'!$C$17+15,0,IF(E58&gt;'Invoer gegevens (N)'!$C$17+215,0,AW58))</f>
        <v>0</v>
      </c>
      <c r="AY58" s="71">
        <f ca="1">AX58/(1+'Invoer gegevens (N)'!$F$18)^($AZ58-('Invoer gegevens (N)'!$C$17-'Invoer gegevens (N)'!$C$16))/(1+'Invoer gegevens (N)'!$C$39)^('Invoer gegevens (N)'!$C$17-'Invoer gegevens (N)'!$C$16)</f>
        <v>0</v>
      </c>
      <c r="AZ58" s="68">
        <f ca="1">IF(E58-'Invoer gegevens (N)'!$C$17-14.5&lt;0,0,E58-'Invoer gegevens (N)'!$C$17-14.5)</f>
        <v>38.5</v>
      </c>
    </row>
    <row r="59" spans="2:52" x14ac:dyDescent="0.25">
      <c r="B59" s="70">
        <f t="shared" si="9"/>
        <v>55</v>
      </c>
      <c r="C59" s="67">
        <f ca="1">IF(E59-'Invoer gegevens (N)'!$C$17&lt;0,0,1)</f>
        <v>1</v>
      </c>
      <c r="D59" s="68">
        <f t="shared" si="10"/>
        <v>54.5</v>
      </c>
      <c r="E59" s="108">
        <f ca="1">IF('Invoer gegevens (N)'!$C$16="","",E58+1)</f>
        <v>2073</v>
      </c>
      <c r="F59" s="84">
        <f ca="1">IF('Invoer gegevens (N)'!$C$17=E59,'Invoer gegevens (N)'!$C$10,IF(C59=1,K58,0))</f>
        <v>0</v>
      </c>
      <c r="G59" s="96">
        <f ca="1">IF(C59&gt;=1,F59*VLOOKUP(E59,'Reeksen (N)'!$A$5:$B$76,2),0)</f>
        <v>0</v>
      </c>
      <c r="H59" s="84">
        <f ca="1">(1-('Invoer gegevens (N)'!$F$20/12))*F59*MIN('Reeksen (N)'!B59,'Reeksen (N)'!D59)</f>
        <v>0</v>
      </c>
      <c r="I59" s="84">
        <f>IF('Reeksen (N)'!D59&lt;'Reeksen (N)'!B59,('Reeksen (N)'!B59-'Reeksen (N)'!D59)*F59,0)</f>
        <v>0</v>
      </c>
      <c r="J59" s="84">
        <f ca="1">('Invoer gegevens (N)'!$F$20/12)*F58*MIN('Reeksen (N)'!B58,'Reeksen (N)'!D58)</f>
        <v>0</v>
      </c>
      <c r="K59" s="97">
        <f t="shared" ca="1" si="1"/>
        <v>0</v>
      </c>
      <c r="L59" s="84">
        <f ca="1">IF('Invoer gegevens (N)'!$C$17=E59,0,IF(C59=1,Q58,0))</f>
        <v>0</v>
      </c>
      <c r="M59" s="96">
        <f ca="1">IF(C59&gt;=1,L59*VLOOKUP(E59,'Reeksen (N)'!$A$5:$B$76,2),0)</f>
        <v>0</v>
      </c>
      <c r="N59" s="84">
        <f ca="1">(1-('Invoer gegevens (N)'!$F$20/12))*L59*MIN('Reeksen (N)'!B59,'Reeksen (N)'!D59)</f>
        <v>0</v>
      </c>
      <c r="O59" s="84">
        <f>IF('Reeksen (N)'!D59&lt;'Reeksen (N)'!B59,('Reeksen (N)'!B59-'Reeksen (N)'!D59)*L59,0)</f>
        <v>0</v>
      </c>
      <c r="P59" s="84">
        <f ca="1">('Invoer gegevens (N)'!$F$20/12)*L58*MIN('Reeksen (N)'!B58,'Reeksen (N)'!D58)</f>
        <v>0</v>
      </c>
      <c r="Q59" s="84">
        <f t="shared" ca="1" si="2"/>
        <v>0</v>
      </c>
      <c r="R59" s="82">
        <f ca="1">IF('Invoer gegevens (N)'!$C$17=E59,'Invoer gegevens (N)'!$C$11,IF(C59=1,W58,0))</f>
        <v>0</v>
      </c>
      <c r="S59" s="86">
        <f ca="1">IF(C59&gt;=1,R59*VLOOKUP(E59,'Reeksen (N)'!$A$5:$B$76,2),0)</f>
        <v>0</v>
      </c>
      <c r="T59" s="84">
        <f ca="1">(1-('Invoer gegevens (N)'!$F$20/12))*R59*MIN('Reeksen (N)'!B59,'Reeksen (N)'!D59)</f>
        <v>0</v>
      </c>
      <c r="U59" s="84">
        <f>IF('Reeksen (N)'!D59&gt;='Reeksen (N)'!B59,0,IF('Reeksen (N)'!AK59&lt;='Reeksen (N)'!AE59,('Reeksen (N)'!B59-'Reeksen (N)'!D59)*R59,0))</f>
        <v>0</v>
      </c>
      <c r="V59" s="86">
        <f>IF('Reeksen (N)'!D59&gt;='Reeksen (N)'!B59,0,IF('Reeksen (N)'!AK59&gt;'Reeksen (N)'!AE59,('Reeksen (N)'!B59-'Reeksen (N)'!D59)*R59,0))</f>
        <v>0</v>
      </c>
      <c r="W59" s="97">
        <f t="shared" ca="1" si="3"/>
        <v>0</v>
      </c>
      <c r="X59" s="98">
        <f ca="1">IF('Invoer gegevens (N)'!$C$17=E59,'Invoer gegevens (N)'!$C$10-'Invoer gegevens (N)'!$C$11,IF(C59=1,AC58,0))</f>
        <v>0</v>
      </c>
      <c r="Y59" s="98">
        <f ca="1">IF(C59&gt;=1,X59*VLOOKUP(E59,'Reeksen (N)'!$A$5:$B$76,2),0)</f>
        <v>0</v>
      </c>
      <c r="Z59" s="98">
        <f ca="1">(1-('Invoer gegevens (N)'!$F$20/12))*X59*MIN('Reeksen (N)'!B59,'Reeksen (N)'!D59)</f>
        <v>0</v>
      </c>
      <c r="AA59" s="98">
        <f>IF('Reeksen (N)'!D59&gt;='Reeksen (N)'!B59,0,IF('Reeksen (N)'!AK59&lt;='Reeksen (N)'!AE59,('Reeksen (N)'!B59-'Reeksen (N)'!D59)*X59,0))</f>
        <v>0</v>
      </c>
      <c r="AB59" s="98">
        <f>IF('Reeksen (N)'!D59&gt;='Reeksen (N)'!B59,0,IF('Reeksen (N)'!AK59&gt;'Reeksen (N)'!AE59,('Reeksen (N)'!B59-'Reeksen (N)'!D59)*X59,0))</f>
        <v>0</v>
      </c>
      <c r="AC59" s="99">
        <f t="shared" ca="1" si="4"/>
        <v>0</v>
      </c>
      <c r="AD59" s="98">
        <f ca="1">IF('Invoer gegevens (N)'!$C$17=E59,R59,IF(C59=0,0,AE58))</f>
        <v>0</v>
      </c>
      <c r="AE59" s="98">
        <f t="shared" ca="1" si="5"/>
        <v>0</v>
      </c>
      <c r="AF59" s="98">
        <f ca="1">IF('Invoer gegevens (N)'!$C$17=E59,X59,IF(C59=0,0,AG58))</f>
        <v>0</v>
      </c>
      <c r="AG59" s="98">
        <f t="shared" ca="1" si="6"/>
        <v>0</v>
      </c>
      <c r="AH59" s="68"/>
      <c r="AI59" s="71">
        <f ca="1">IF(C59=1,'Reeksen (N)'!AJ59*((F59-G59+F59)/2)*12+'Reeksen (N)'!AK59*((L59-M59+L59)/2)*12,0)</f>
        <v>0</v>
      </c>
      <c r="AJ59" s="71">
        <f ca="1">-AI59*'Invoer gegevens (N)'!$F$28</f>
        <v>0</v>
      </c>
      <c r="AK59" s="71">
        <f t="shared" ca="1" si="0"/>
        <v>0</v>
      </c>
      <c r="AL59" s="71">
        <f ca="1">IF(C59=1,'Reeksen (N)'!AL59*((F59-G59+F59)/2)*12+'Reeksen (N)'!AM59*((L59-M59+L59)/2)*12,0)</f>
        <v>0</v>
      </c>
      <c r="AM59" s="71">
        <f ca="1">-AL59*'Invoer gegevens (N)'!$F$31</f>
        <v>0</v>
      </c>
      <c r="AN59" s="71">
        <f t="shared" ca="1" si="7"/>
        <v>0</v>
      </c>
      <c r="AO59" s="71">
        <f ca="1">IF(C59=1,(H59+J59+N59+P59)*'Reeksen (N)'!AN59,0)</f>
        <v>0</v>
      </c>
      <c r="AP59" s="71">
        <f ca="1">-IF(C59=1,(H59+J59+N59+P59)*'Hulp - basis'!$O$550*'Reeksen (N)'!H59,0)</f>
        <v>0</v>
      </c>
      <c r="AQ59" s="71">
        <f ca="1">-IF(C59=1,(F59+K59+L59+Q59)/2*'Invoer gegevens (N)'!$I$33*'Reeksen (N)'!J59,0)*2</f>
        <v>0</v>
      </c>
      <c r="AR59" s="71">
        <f ca="1">-IF(C59=1,(I59*'Invoer gegevens (N)'!$I$34)*'Reeksen (N)'!J59,0)</f>
        <v>0</v>
      </c>
      <c r="AS59" s="71">
        <f ca="1">-IF(C59=1,(F59+K59+L59+Q59)/2*'Invoer gegevens (N)'!$I$35*'Reeksen (N)'!L59,0)</f>
        <v>0</v>
      </c>
      <c r="AT59" s="71">
        <f ca="1">-IF(C59=1,IF(E59='Invoer gegevens (N)'!$C$17,'Invoer gegevens (N)'!$C$11,AD59)*'Reeksen (N)'!S59*'Invoer gegevens (N)'!$C$18*'Reeksen (N)'!P59,0)</f>
        <v>0</v>
      </c>
      <c r="AU59" s="71">
        <f ca="1">-IF(C59=1,(F59+K59+L59+Q59)/2*'Invoer gegevens (N)'!$I$36*'Reeksen (N)'!H59,0)</f>
        <v>0</v>
      </c>
      <c r="AV59" s="71">
        <v>0</v>
      </c>
      <c r="AW59" s="71">
        <f t="shared" ca="1" si="8"/>
        <v>0</v>
      </c>
      <c r="AX59" s="71">
        <f ca="1">IF(E59&lt;'Invoer gegevens (N)'!$C$17+15,0,IF(E59&gt;'Invoer gegevens (N)'!$C$17+215,0,AW59))</f>
        <v>0</v>
      </c>
      <c r="AY59" s="71">
        <f ca="1">AX59/(1+'Invoer gegevens (N)'!$F$18)^($AZ59-('Invoer gegevens (N)'!$C$17-'Invoer gegevens (N)'!$C$16))/(1+'Invoer gegevens (N)'!$C$39)^('Invoer gegevens (N)'!$C$17-'Invoer gegevens (N)'!$C$16)</f>
        <v>0</v>
      </c>
      <c r="AZ59" s="68">
        <f ca="1">IF(E59-'Invoer gegevens (N)'!$C$17-14.5&lt;0,0,E59-'Invoer gegevens (N)'!$C$17-14.5)</f>
        <v>39.5</v>
      </c>
    </row>
    <row r="60" spans="2:52" x14ac:dyDescent="0.25">
      <c r="B60" s="70">
        <f t="shared" si="9"/>
        <v>56</v>
      </c>
      <c r="C60" s="67">
        <f ca="1">IF(E60-'Invoer gegevens (N)'!$C$17&lt;0,0,1)</f>
        <v>1</v>
      </c>
      <c r="D60" s="68">
        <f t="shared" si="10"/>
        <v>55.5</v>
      </c>
      <c r="E60" s="108">
        <f ca="1">IF('Invoer gegevens (N)'!$C$16="","",E59+1)</f>
        <v>2074</v>
      </c>
      <c r="F60" s="84">
        <f ca="1">IF('Invoer gegevens (N)'!$C$17=E60,'Invoer gegevens (N)'!$C$10,IF(C60=1,K59,0))</f>
        <v>0</v>
      </c>
      <c r="G60" s="96">
        <f ca="1">IF(C60&gt;=1,F60*VLOOKUP(E60,'Reeksen (N)'!$A$5:$B$76,2),0)</f>
        <v>0</v>
      </c>
      <c r="H60" s="84">
        <f ca="1">(1-('Invoer gegevens (N)'!$F$20/12))*F60*MIN('Reeksen (N)'!B60,'Reeksen (N)'!D60)</f>
        <v>0</v>
      </c>
      <c r="I60" s="84">
        <f>IF('Reeksen (N)'!D60&lt;'Reeksen (N)'!B60,('Reeksen (N)'!B60-'Reeksen (N)'!D60)*F60,0)</f>
        <v>0</v>
      </c>
      <c r="J60" s="84">
        <f ca="1">('Invoer gegevens (N)'!$F$20/12)*F59*MIN('Reeksen (N)'!B59,'Reeksen (N)'!D59)</f>
        <v>0</v>
      </c>
      <c r="K60" s="97">
        <f t="shared" ca="1" si="1"/>
        <v>0</v>
      </c>
      <c r="L60" s="84">
        <f ca="1">IF('Invoer gegevens (N)'!$C$17=E60,0,IF(C60=1,Q59,0))</f>
        <v>0</v>
      </c>
      <c r="M60" s="96">
        <f ca="1">IF(C60&gt;=1,L60*VLOOKUP(E60,'Reeksen (N)'!$A$5:$B$76,2),0)</f>
        <v>0</v>
      </c>
      <c r="N60" s="84">
        <f ca="1">(1-('Invoer gegevens (N)'!$F$20/12))*L60*MIN('Reeksen (N)'!B60,'Reeksen (N)'!D60)</f>
        <v>0</v>
      </c>
      <c r="O60" s="84">
        <f>IF('Reeksen (N)'!D60&lt;'Reeksen (N)'!B60,('Reeksen (N)'!B60-'Reeksen (N)'!D60)*L60,0)</f>
        <v>0</v>
      </c>
      <c r="P60" s="84">
        <f ca="1">('Invoer gegevens (N)'!$F$20/12)*L59*MIN('Reeksen (N)'!B59,'Reeksen (N)'!D59)</f>
        <v>0</v>
      </c>
      <c r="Q60" s="84">
        <f t="shared" ca="1" si="2"/>
        <v>0</v>
      </c>
      <c r="R60" s="82">
        <f ca="1">IF('Invoer gegevens (N)'!$C$17=E60,'Invoer gegevens (N)'!$C$11,IF(C60=1,W59,0))</f>
        <v>0</v>
      </c>
      <c r="S60" s="86">
        <f ca="1">IF(C60&gt;=1,R60*VLOOKUP(E60,'Reeksen (N)'!$A$5:$B$76,2),0)</f>
        <v>0</v>
      </c>
      <c r="T60" s="84">
        <f ca="1">(1-('Invoer gegevens (N)'!$F$20/12))*R60*MIN('Reeksen (N)'!B60,'Reeksen (N)'!D60)</f>
        <v>0</v>
      </c>
      <c r="U60" s="84">
        <f>IF('Reeksen (N)'!D60&gt;='Reeksen (N)'!B60,0,IF('Reeksen (N)'!AK60&lt;='Reeksen (N)'!AE60,('Reeksen (N)'!B60-'Reeksen (N)'!D60)*R60,0))</f>
        <v>0</v>
      </c>
      <c r="V60" s="86">
        <f>IF('Reeksen (N)'!D60&gt;='Reeksen (N)'!B60,0,IF('Reeksen (N)'!AK60&gt;'Reeksen (N)'!AE60,('Reeksen (N)'!B60-'Reeksen (N)'!D60)*R60,0))</f>
        <v>0</v>
      </c>
      <c r="W60" s="97">
        <f t="shared" ca="1" si="3"/>
        <v>0</v>
      </c>
      <c r="X60" s="98">
        <f ca="1">IF('Invoer gegevens (N)'!$C$17=E60,'Invoer gegevens (N)'!$C$10-'Invoer gegevens (N)'!$C$11,IF(C60=1,AC59,0))</f>
        <v>0</v>
      </c>
      <c r="Y60" s="98">
        <f ca="1">IF(C60&gt;=1,X60*VLOOKUP(E60,'Reeksen (N)'!$A$5:$B$76,2),0)</f>
        <v>0</v>
      </c>
      <c r="Z60" s="98">
        <f ca="1">(1-('Invoer gegevens (N)'!$F$20/12))*X60*MIN('Reeksen (N)'!B60,'Reeksen (N)'!D60)</f>
        <v>0</v>
      </c>
      <c r="AA60" s="98">
        <f>IF('Reeksen (N)'!D60&gt;='Reeksen (N)'!B60,0,IF('Reeksen (N)'!AK60&lt;='Reeksen (N)'!AE60,('Reeksen (N)'!B60-'Reeksen (N)'!D60)*X60,0))</f>
        <v>0</v>
      </c>
      <c r="AB60" s="98">
        <f>IF('Reeksen (N)'!D60&gt;='Reeksen (N)'!B60,0,IF('Reeksen (N)'!AK60&gt;'Reeksen (N)'!AE60,('Reeksen (N)'!B60-'Reeksen (N)'!D60)*X60,0))</f>
        <v>0</v>
      </c>
      <c r="AC60" s="99">
        <f t="shared" ca="1" si="4"/>
        <v>0</v>
      </c>
      <c r="AD60" s="98">
        <f ca="1">IF('Invoer gegevens (N)'!$C$17=E60,R60,IF(C60=0,0,AE59))</f>
        <v>0</v>
      </c>
      <c r="AE60" s="98">
        <f t="shared" ca="1" si="5"/>
        <v>0</v>
      </c>
      <c r="AF60" s="98">
        <f ca="1">IF('Invoer gegevens (N)'!$C$17=E60,X60,IF(C60=0,0,AG59))</f>
        <v>0</v>
      </c>
      <c r="AG60" s="98">
        <f t="shared" ca="1" si="6"/>
        <v>0</v>
      </c>
      <c r="AH60" s="68"/>
      <c r="AI60" s="71">
        <f ca="1">IF(C60=1,'Reeksen (N)'!AJ60*((F60-G60+F60)/2)*12+'Reeksen (N)'!AK60*((L60-M60+L60)/2)*12,0)</f>
        <v>0</v>
      </c>
      <c r="AJ60" s="71">
        <f ca="1">-AI60*'Invoer gegevens (N)'!$F$28</f>
        <v>0</v>
      </c>
      <c r="AK60" s="71">
        <f t="shared" ca="1" si="0"/>
        <v>0</v>
      </c>
      <c r="AL60" s="71">
        <f ca="1">IF(C60=1,'Reeksen (N)'!AL60*((F60-G60+F60)/2)*12+'Reeksen (N)'!AM60*((L60-M60+L60)/2)*12,0)</f>
        <v>0</v>
      </c>
      <c r="AM60" s="71">
        <f ca="1">-AL60*'Invoer gegevens (N)'!$F$31</f>
        <v>0</v>
      </c>
      <c r="AN60" s="71">
        <f t="shared" ca="1" si="7"/>
        <v>0</v>
      </c>
      <c r="AO60" s="71">
        <f ca="1">IF(C60=1,(H60+J60+N60+P60)*'Reeksen (N)'!AN60,0)</f>
        <v>0</v>
      </c>
      <c r="AP60" s="71">
        <f ca="1">-IF(C60=1,(H60+J60+N60+P60)*'Hulp - basis'!$O$550*'Reeksen (N)'!H60,0)</f>
        <v>0</v>
      </c>
      <c r="AQ60" s="71">
        <f ca="1">-IF(C60=1,(F60+K60+L60+Q60)/2*'Invoer gegevens (N)'!$I$33*'Reeksen (N)'!J60,0)*2</f>
        <v>0</v>
      </c>
      <c r="AR60" s="71">
        <f ca="1">-IF(C60=1,(I60*'Invoer gegevens (N)'!$I$34)*'Reeksen (N)'!J60,0)</f>
        <v>0</v>
      </c>
      <c r="AS60" s="71">
        <f ca="1">-IF(C60=1,(F60+K60+L60+Q60)/2*'Invoer gegevens (N)'!$I$35*'Reeksen (N)'!L60,0)</f>
        <v>0</v>
      </c>
      <c r="AT60" s="71">
        <f ca="1">-IF(C60=1,IF(E60='Invoer gegevens (N)'!$C$17,'Invoer gegevens (N)'!$C$11,AD60)*'Reeksen (N)'!S60*'Invoer gegevens (N)'!$C$18*'Reeksen (N)'!P60,0)</f>
        <v>0</v>
      </c>
      <c r="AU60" s="71">
        <f ca="1">-IF(C60=1,(F60+K60+L60+Q60)/2*'Invoer gegevens (N)'!$I$36*'Reeksen (N)'!H60,0)</f>
        <v>0</v>
      </c>
      <c r="AV60" s="71">
        <v>0</v>
      </c>
      <c r="AW60" s="71">
        <f t="shared" ca="1" si="8"/>
        <v>0</v>
      </c>
      <c r="AX60" s="71">
        <f ca="1">IF(E60&lt;'Invoer gegevens (N)'!$C$17+15,0,IF(E60&gt;'Invoer gegevens (N)'!$C$17+215,0,AW60))</f>
        <v>0</v>
      </c>
      <c r="AY60" s="71">
        <f ca="1">AX60/(1+'Invoer gegevens (N)'!$F$18)^($AZ60-('Invoer gegevens (N)'!$C$17-'Invoer gegevens (N)'!$C$16))/(1+'Invoer gegevens (N)'!$C$39)^('Invoer gegevens (N)'!$C$17-'Invoer gegevens (N)'!$C$16)</f>
        <v>0</v>
      </c>
      <c r="AZ60" s="68">
        <f ca="1">IF(E60-'Invoer gegevens (N)'!$C$17-14.5&lt;0,0,E60-'Invoer gegevens (N)'!$C$17-14.5)</f>
        <v>40.5</v>
      </c>
    </row>
    <row r="61" spans="2:52" x14ac:dyDescent="0.25">
      <c r="B61" s="70">
        <f t="shared" si="9"/>
        <v>57</v>
      </c>
      <c r="C61" s="67">
        <f ca="1">IF(E61-'Invoer gegevens (N)'!$C$17&lt;0,0,1)</f>
        <v>1</v>
      </c>
      <c r="D61" s="68">
        <f t="shared" si="10"/>
        <v>56.5</v>
      </c>
      <c r="E61" s="108">
        <f ca="1">IF('Invoer gegevens (N)'!$C$16="","",E60+1)</f>
        <v>2075</v>
      </c>
      <c r="F61" s="84">
        <f ca="1">IF('Invoer gegevens (N)'!$C$17=E61,'Invoer gegevens (N)'!$C$10,IF(C61=1,K60,0))</f>
        <v>0</v>
      </c>
      <c r="G61" s="96">
        <f ca="1">IF(C61&gt;=1,F61*VLOOKUP(E61,'Reeksen (N)'!$A$5:$B$76,2),0)</f>
        <v>0</v>
      </c>
      <c r="H61" s="84">
        <f ca="1">(1-('Invoer gegevens (N)'!$F$20/12))*F61*MIN('Reeksen (N)'!B61,'Reeksen (N)'!D61)</f>
        <v>0</v>
      </c>
      <c r="I61" s="84">
        <f>IF('Reeksen (N)'!D61&lt;'Reeksen (N)'!B61,('Reeksen (N)'!B61-'Reeksen (N)'!D61)*F61,0)</f>
        <v>0</v>
      </c>
      <c r="J61" s="84">
        <f ca="1">('Invoer gegevens (N)'!$F$20/12)*F60*MIN('Reeksen (N)'!B60,'Reeksen (N)'!D60)</f>
        <v>0</v>
      </c>
      <c r="K61" s="97">
        <f t="shared" ca="1" si="1"/>
        <v>0</v>
      </c>
      <c r="L61" s="84">
        <f ca="1">IF('Invoer gegevens (N)'!$C$17=E61,0,IF(C61=1,Q60,0))</f>
        <v>0</v>
      </c>
      <c r="M61" s="96">
        <f ca="1">IF(C61&gt;=1,L61*VLOOKUP(E61,'Reeksen (N)'!$A$5:$B$76,2),0)</f>
        <v>0</v>
      </c>
      <c r="N61" s="84">
        <f ca="1">(1-('Invoer gegevens (N)'!$F$20/12))*L61*MIN('Reeksen (N)'!B61,'Reeksen (N)'!D61)</f>
        <v>0</v>
      </c>
      <c r="O61" s="84">
        <f>IF('Reeksen (N)'!D61&lt;'Reeksen (N)'!B61,('Reeksen (N)'!B61-'Reeksen (N)'!D61)*L61,0)</f>
        <v>0</v>
      </c>
      <c r="P61" s="84">
        <f ca="1">('Invoer gegevens (N)'!$F$20/12)*L60*MIN('Reeksen (N)'!B60,'Reeksen (N)'!D60)</f>
        <v>0</v>
      </c>
      <c r="Q61" s="84">
        <f t="shared" ca="1" si="2"/>
        <v>0</v>
      </c>
      <c r="R61" s="82">
        <f ca="1">IF('Invoer gegevens (N)'!$C$17=E61,'Invoer gegevens (N)'!$C$11,IF(C61=1,W60,0))</f>
        <v>0</v>
      </c>
      <c r="S61" s="86">
        <f ca="1">IF(C61&gt;=1,R61*VLOOKUP(E61,'Reeksen (N)'!$A$5:$B$76,2),0)</f>
        <v>0</v>
      </c>
      <c r="T61" s="84">
        <f ca="1">(1-('Invoer gegevens (N)'!$F$20/12))*R61*MIN('Reeksen (N)'!B61,'Reeksen (N)'!D61)</f>
        <v>0</v>
      </c>
      <c r="U61" s="84">
        <f>IF('Reeksen (N)'!D61&gt;='Reeksen (N)'!B61,0,IF('Reeksen (N)'!AK61&lt;='Reeksen (N)'!AE61,('Reeksen (N)'!B61-'Reeksen (N)'!D61)*R61,0))</f>
        <v>0</v>
      </c>
      <c r="V61" s="86">
        <f>IF('Reeksen (N)'!D61&gt;='Reeksen (N)'!B61,0,IF('Reeksen (N)'!AK61&gt;'Reeksen (N)'!AE61,('Reeksen (N)'!B61-'Reeksen (N)'!D61)*R61,0))</f>
        <v>0</v>
      </c>
      <c r="W61" s="97">
        <f t="shared" ca="1" si="3"/>
        <v>0</v>
      </c>
      <c r="X61" s="98">
        <f ca="1">IF('Invoer gegevens (N)'!$C$17=E61,'Invoer gegevens (N)'!$C$10-'Invoer gegevens (N)'!$C$11,IF(C61=1,AC60,0))</f>
        <v>0</v>
      </c>
      <c r="Y61" s="98">
        <f ca="1">IF(C61&gt;=1,X61*VLOOKUP(E61,'Reeksen (N)'!$A$5:$B$76,2),0)</f>
        <v>0</v>
      </c>
      <c r="Z61" s="98">
        <f ca="1">(1-('Invoer gegevens (N)'!$F$20/12))*X61*MIN('Reeksen (N)'!B61,'Reeksen (N)'!D61)</f>
        <v>0</v>
      </c>
      <c r="AA61" s="98">
        <f>IF('Reeksen (N)'!D61&gt;='Reeksen (N)'!B61,0,IF('Reeksen (N)'!AK61&lt;='Reeksen (N)'!AE61,('Reeksen (N)'!B61-'Reeksen (N)'!D61)*X61,0))</f>
        <v>0</v>
      </c>
      <c r="AB61" s="98">
        <f>IF('Reeksen (N)'!D61&gt;='Reeksen (N)'!B61,0,IF('Reeksen (N)'!AK61&gt;'Reeksen (N)'!AE61,('Reeksen (N)'!B61-'Reeksen (N)'!D61)*X61,0))</f>
        <v>0</v>
      </c>
      <c r="AC61" s="99">
        <f t="shared" ca="1" si="4"/>
        <v>0</v>
      </c>
      <c r="AD61" s="98">
        <f ca="1">IF('Invoer gegevens (N)'!$C$17=E61,R61,IF(C61=0,0,AE60))</f>
        <v>0</v>
      </c>
      <c r="AE61" s="98">
        <f t="shared" ca="1" si="5"/>
        <v>0</v>
      </c>
      <c r="AF61" s="98">
        <f ca="1">IF('Invoer gegevens (N)'!$C$17=E61,X61,IF(C61=0,0,AG60))</f>
        <v>0</v>
      </c>
      <c r="AG61" s="98">
        <f t="shared" ca="1" si="6"/>
        <v>0</v>
      </c>
      <c r="AH61" s="68"/>
      <c r="AI61" s="71">
        <f ca="1">IF(C61=1,'Reeksen (N)'!AJ61*((F61-G61+F61)/2)*12+'Reeksen (N)'!AK61*((L61-M61+L61)/2)*12,0)</f>
        <v>0</v>
      </c>
      <c r="AJ61" s="71">
        <f ca="1">-AI61*'Invoer gegevens (N)'!$F$28</f>
        <v>0</v>
      </c>
      <c r="AK61" s="71">
        <f t="shared" ca="1" si="0"/>
        <v>0</v>
      </c>
      <c r="AL61" s="71">
        <f ca="1">IF(C61=1,'Reeksen (N)'!AL61*((F61-G61+F61)/2)*12+'Reeksen (N)'!AM61*((L61-M61+L61)/2)*12,0)</f>
        <v>0</v>
      </c>
      <c r="AM61" s="71">
        <f ca="1">-AL61*'Invoer gegevens (N)'!$F$31</f>
        <v>0</v>
      </c>
      <c r="AN61" s="71">
        <f t="shared" ca="1" si="7"/>
        <v>0</v>
      </c>
      <c r="AO61" s="71">
        <f ca="1">IF(C61=1,(H61+J61+N61+P61)*'Reeksen (N)'!AN61,0)</f>
        <v>0</v>
      </c>
      <c r="AP61" s="71">
        <f ca="1">-IF(C61=1,(H61+J61+N61+P61)*'Hulp - basis'!$O$550*'Reeksen (N)'!H61,0)</f>
        <v>0</v>
      </c>
      <c r="AQ61" s="71">
        <f ca="1">-IF(C61=1,(F61+K61+L61+Q61)/2*'Invoer gegevens (N)'!$I$33*'Reeksen (N)'!J61,0)*2</f>
        <v>0</v>
      </c>
      <c r="AR61" s="71">
        <f ca="1">-IF(C61=1,(I61*'Invoer gegevens (N)'!$I$34)*'Reeksen (N)'!J61,0)</f>
        <v>0</v>
      </c>
      <c r="AS61" s="71">
        <f ca="1">-IF(C61=1,(F61+K61+L61+Q61)/2*'Invoer gegevens (N)'!$I$35*'Reeksen (N)'!L61,0)</f>
        <v>0</v>
      </c>
      <c r="AT61" s="71">
        <f ca="1">-IF(C61=1,IF(E61='Invoer gegevens (N)'!$C$17,'Invoer gegevens (N)'!$C$11,AD61)*'Reeksen (N)'!S61*'Invoer gegevens (N)'!$C$18*'Reeksen (N)'!P61,0)</f>
        <v>0</v>
      </c>
      <c r="AU61" s="71">
        <f ca="1">-IF(C61=1,(F61+K61+L61+Q61)/2*'Invoer gegevens (N)'!$I$36*'Reeksen (N)'!H61,0)</f>
        <v>0</v>
      </c>
      <c r="AV61" s="71">
        <v>0</v>
      </c>
      <c r="AW61" s="71">
        <f t="shared" ca="1" si="8"/>
        <v>0</v>
      </c>
      <c r="AX61" s="71">
        <f ca="1">IF(E61&lt;'Invoer gegevens (N)'!$C$17+15,0,IF(E61&gt;'Invoer gegevens (N)'!$C$17+215,0,AW61))</f>
        <v>0</v>
      </c>
      <c r="AY61" s="71">
        <f ca="1">AX61/(1+'Invoer gegevens (N)'!$F$18)^($AZ61-('Invoer gegevens (N)'!$C$17-'Invoer gegevens (N)'!$C$16))/(1+'Invoer gegevens (N)'!$C$39)^('Invoer gegevens (N)'!$C$17-'Invoer gegevens (N)'!$C$16)</f>
        <v>0</v>
      </c>
      <c r="AZ61" s="68">
        <f ca="1">IF(E61-'Invoer gegevens (N)'!$C$17-14.5&lt;0,0,E61-'Invoer gegevens (N)'!$C$17-14.5)</f>
        <v>41.5</v>
      </c>
    </row>
    <row r="62" spans="2:52" x14ac:dyDescent="0.25">
      <c r="B62" s="70">
        <f t="shared" si="9"/>
        <v>58</v>
      </c>
      <c r="C62" s="67">
        <f ca="1">IF(E62-'Invoer gegevens (N)'!$C$17&lt;0,0,1)</f>
        <v>1</v>
      </c>
      <c r="D62" s="68">
        <f t="shared" si="10"/>
        <v>57.5</v>
      </c>
      <c r="E62" s="108">
        <f ca="1">IF('Invoer gegevens (N)'!$C$16="","",E61+1)</f>
        <v>2076</v>
      </c>
      <c r="F62" s="84">
        <f ca="1">IF('Invoer gegevens (N)'!$C$17=E62,'Invoer gegevens (N)'!$C$10,IF(C62=1,K61,0))</f>
        <v>0</v>
      </c>
      <c r="G62" s="96">
        <f ca="1">IF(C62&gt;=1,F62*VLOOKUP(E62,'Reeksen (N)'!$A$5:$B$76,2),0)</f>
        <v>0</v>
      </c>
      <c r="H62" s="84">
        <f ca="1">(1-('Invoer gegevens (N)'!$F$20/12))*F62*MIN('Reeksen (N)'!B62,'Reeksen (N)'!D62)</f>
        <v>0</v>
      </c>
      <c r="I62" s="84">
        <f>IF('Reeksen (N)'!D62&lt;'Reeksen (N)'!B62,('Reeksen (N)'!B62-'Reeksen (N)'!D62)*F62,0)</f>
        <v>0</v>
      </c>
      <c r="J62" s="84">
        <f ca="1">('Invoer gegevens (N)'!$F$20/12)*F61*MIN('Reeksen (N)'!B61,'Reeksen (N)'!D61)</f>
        <v>0</v>
      </c>
      <c r="K62" s="97">
        <f t="shared" ca="1" si="1"/>
        <v>0</v>
      </c>
      <c r="L62" s="84">
        <f ca="1">IF('Invoer gegevens (N)'!$C$17=E62,0,IF(C62=1,Q61,0))</f>
        <v>0</v>
      </c>
      <c r="M62" s="96">
        <f ca="1">IF(C62&gt;=1,L62*VLOOKUP(E62,'Reeksen (N)'!$A$5:$B$76,2),0)</f>
        <v>0</v>
      </c>
      <c r="N62" s="84">
        <f ca="1">(1-('Invoer gegevens (N)'!$F$20/12))*L62*MIN('Reeksen (N)'!B62,'Reeksen (N)'!D62)</f>
        <v>0</v>
      </c>
      <c r="O62" s="84">
        <f>IF('Reeksen (N)'!D62&lt;'Reeksen (N)'!B62,('Reeksen (N)'!B62-'Reeksen (N)'!D62)*L62,0)</f>
        <v>0</v>
      </c>
      <c r="P62" s="84">
        <f ca="1">('Invoer gegevens (N)'!$F$20/12)*L61*MIN('Reeksen (N)'!B61,'Reeksen (N)'!D61)</f>
        <v>0</v>
      </c>
      <c r="Q62" s="84">
        <f t="shared" ca="1" si="2"/>
        <v>0</v>
      </c>
      <c r="R62" s="82">
        <f ca="1">IF('Invoer gegevens (N)'!$C$17=E62,'Invoer gegevens (N)'!$C$11,IF(C62=1,W61,0))</f>
        <v>0</v>
      </c>
      <c r="S62" s="86">
        <f ca="1">IF(C62&gt;=1,R62*VLOOKUP(E62,'Reeksen (N)'!$A$5:$B$76,2),0)</f>
        <v>0</v>
      </c>
      <c r="T62" s="84">
        <f ca="1">(1-('Invoer gegevens (N)'!$F$20/12))*R62*MIN('Reeksen (N)'!B62,'Reeksen (N)'!D62)</f>
        <v>0</v>
      </c>
      <c r="U62" s="84">
        <f>IF('Reeksen (N)'!D62&gt;='Reeksen (N)'!B62,0,IF('Reeksen (N)'!AK62&lt;='Reeksen (N)'!AE62,('Reeksen (N)'!B62-'Reeksen (N)'!D62)*R62,0))</f>
        <v>0</v>
      </c>
      <c r="V62" s="86">
        <f>IF('Reeksen (N)'!D62&gt;='Reeksen (N)'!B62,0,IF('Reeksen (N)'!AK62&gt;'Reeksen (N)'!AE62,('Reeksen (N)'!B62-'Reeksen (N)'!D62)*R62,0))</f>
        <v>0</v>
      </c>
      <c r="W62" s="97">
        <f t="shared" ca="1" si="3"/>
        <v>0</v>
      </c>
      <c r="X62" s="98">
        <f ca="1">IF('Invoer gegevens (N)'!$C$17=E62,'Invoer gegevens (N)'!$C$10-'Invoer gegevens (N)'!$C$11,IF(C62=1,AC61,0))</f>
        <v>0</v>
      </c>
      <c r="Y62" s="98">
        <f ca="1">IF(C62&gt;=1,X62*VLOOKUP(E62,'Reeksen (N)'!$A$5:$B$76,2),0)</f>
        <v>0</v>
      </c>
      <c r="Z62" s="98">
        <f ca="1">(1-('Invoer gegevens (N)'!$F$20/12))*X62*MIN('Reeksen (N)'!B62,'Reeksen (N)'!D62)</f>
        <v>0</v>
      </c>
      <c r="AA62" s="98">
        <f>IF('Reeksen (N)'!D62&gt;='Reeksen (N)'!B62,0,IF('Reeksen (N)'!AK62&lt;='Reeksen (N)'!AE62,('Reeksen (N)'!B62-'Reeksen (N)'!D62)*X62,0))</f>
        <v>0</v>
      </c>
      <c r="AB62" s="98">
        <f>IF('Reeksen (N)'!D62&gt;='Reeksen (N)'!B62,0,IF('Reeksen (N)'!AK62&gt;'Reeksen (N)'!AE62,('Reeksen (N)'!B62-'Reeksen (N)'!D62)*X62,0))</f>
        <v>0</v>
      </c>
      <c r="AC62" s="99">
        <f t="shared" ca="1" si="4"/>
        <v>0</v>
      </c>
      <c r="AD62" s="98">
        <f ca="1">IF('Invoer gegevens (N)'!$C$17=E62,R62,IF(C62=0,0,AE61))</f>
        <v>0</v>
      </c>
      <c r="AE62" s="98">
        <f t="shared" ca="1" si="5"/>
        <v>0</v>
      </c>
      <c r="AF62" s="98">
        <f ca="1">IF('Invoer gegevens (N)'!$C$17=E62,X62,IF(C62=0,0,AG61))</f>
        <v>0</v>
      </c>
      <c r="AG62" s="98">
        <f t="shared" ca="1" si="6"/>
        <v>0</v>
      </c>
      <c r="AH62" s="68"/>
      <c r="AI62" s="71">
        <f ca="1">IF(C62=1,'Reeksen (N)'!AJ62*((F62-G62+F62)/2)*12+'Reeksen (N)'!AK62*((L62-M62+L62)/2)*12,0)</f>
        <v>0</v>
      </c>
      <c r="AJ62" s="71">
        <f ca="1">-AI62*'Invoer gegevens (N)'!$F$28</f>
        <v>0</v>
      </c>
      <c r="AK62" s="71">
        <f t="shared" ca="1" si="0"/>
        <v>0</v>
      </c>
      <c r="AL62" s="71">
        <f ca="1">IF(C62=1,'Reeksen (N)'!AL62*((F62-G62+F62)/2)*12+'Reeksen (N)'!AM62*((L62-M62+L62)/2)*12,0)</f>
        <v>0</v>
      </c>
      <c r="AM62" s="71">
        <f ca="1">-AL62*'Invoer gegevens (N)'!$F$31</f>
        <v>0</v>
      </c>
      <c r="AN62" s="71">
        <f t="shared" ca="1" si="7"/>
        <v>0</v>
      </c>
      <c r="AO62" s="71">
        <f ca="1">IF(C62=1,(H62+J62+N62+P62)*'Reeksen (N)'!AN62,0)</f>
        <v>0</v>
      </c>
      <c r="AP62" s="71">
        <f ca="1">-IF(C62=1,(H62+J62+N62+P62)*'Hulp - basis'!$O$550*'Reeksen (N)'!H62,0)</f>
        <v>0</v>
      </c>
      <c r="AQ62" s="71">
        <f ca="1">-IF(C62=1,(F62+K62+L62+Q62)/2*'Invoer gegevens (N)'!$I$33*'Reeksen (N)'!J62,0)*2</f>
        <v>0</v>
      </c>
      <c r="AR62" s="71">
        <f ca="1">-IF(C62=1,(I62*'Invoer gegevens (N)'!$I$34)*'Reeksen (N)'!J62,0)</f>
        <v>0</v>
      </c>
      <c r="AS62" s="71">
        <f ca="1">-IF(C62=1,(F62+K62+L62+Q62)/2*'Invoer gegevens (N)'!$I$35*'Reeksen (N)'!L62,0)</f>
        <v>0</v>
      </c>
      <c r="AT62" s="71">
        <f ca="1">-IF(C62=1,IF(E62='Invoer gegevens (N)'!$C$17,'Invoer gegevens (N)'!$C$11,AD62)*'Reeksen (N)'!S62*'Invoer gegevens (N)'!$C$18*'Reeksen (N)'!P62,0)</f>
        <v>0</v>
      </c>
      <c r="AU62" s="71">
        <f ca="1">-IF(C62=1,(F62+K62+L62+Q62)/2*'Invoer gegevens (N)'!$I$36*'Reeksen (N)'!H62,0)</f>
        <v>0</v>
      </c>
      <c r="AV62" s="71">
        <v>0</v>
      </c>
      <c r="AW62" s="71">
        <f t="shared" ca="1" si="8"/>
        <v>0</v>
      </c>
      <c r="AX62" s="71">
        <f ca="1">IF(E62&lt;'Invoer gegevens (N)'!$C$17+15,0,IF(E62&gt;'Invoer gegevens (N)'!$C$17+215,0,AW62))</f>
        <v>0</v>
      </c>
      <c r="AY62" s="71">
        <f ca="1">AX62/(1+'Invoer gegevens (N)'!$F$18)^($AZ62-('Invoer gegevens (N)'!$C$17-'Invoer gegevens (N)'!$C$16))/(1+'Invoer gegevens (N)'!$C$39)^('Invoer gegevens (N)'!$C$17-'Invoer gegevens (N)'!$C$16)</f>
        <v>0</v>
      </c>
      <c r="AZ62" s="68">
        <f ca="1">IF(E62-'Invoer gegevens (N)'!$C$17-14.5&lt;0,0,E62-'Invoer gegevens (N)'!$C$17-14.5)</f>
        <v>42.5</v>
      </c>
    </row>
    <row r="63" spans="2:52" x14ac:dyDescent="0.25">
      <c r="B63" s="70">
        <f t="shared" si="9"/>
        <v>59</v>
      </c>
      <c r="C63" s="67">
        <f ca="1">IF(E63-'Invoer gegevens (N)'!$C$17&lt;0,0,1)</f>
        <v>1</v>
      </c>
      <c r="D63" s="68">
        <f t="shared" si="10"/>
        <v>58.5</v>
      </c>
      <c r="E63" s="108">
        <f ca="1">IF('Invoer gegevens (N)'!$C$16="","",E62+1)</f>
        <v>2077</v>
      </c>
      <c r="F63" s="84">
        <f ca="1">IF('Invoer gegevens (N)'!$C$17=E63,'Invoer gegevens (N)'!$C$10,IF(C63=1,K62,0))</f>
        <v>0</v>
      </c>
      <c r="G63" s="96">
        <f ca="1">IF(C63&gt;=1,F63*VLOOKUP(E63,'Reeksen (N)'!$A$5:$B$76,2),0)</f>
        <v>0</v>
      </c>
      <c r="H63" s="84">
        <f ca="1">(1-('Invoer gegevens (N)'!$F$20/12))*F63*MIN('Reeksen (N)'!B63,'Reeksen (N)'!D63)</f>
        <v>0</v>
      </c>
      <c r="I63" s="84">
        <f>IF('Reeksen (N)'!D63&lt;'Reeksen (N)'!B63,('Reeksen (N)'!B63-'Reeksen (N)'!D63)*F63,0)</f>
        <v>0</v>
      </c>
      <c r="J63" s="84">
        <f ca="1">('Invoer gegevens (N)'!$F$20/12)*F62*MIN('Reeksen (N)'!B62,'Reeksen (N)'!D62)</f>
        <v>0</v>
      </c>
      <c r="K63" s="97">
        <f t="shared" ca="1" si="1"/>
        <v>0</v>
      </c>
      <c r="L63" s="84">
        <f ca="1">IF('Invoer gegevens (N)'!$C$17=E63,0,IF(C63=1,Q62,0))</f>
        <v>0</v>
      </c>
      <c r="M63" s="96">
        <f ca="1">IF(C63&gt;=1,L63*VLOOKUP(E63,'Reeksen (N)'!$A$5:$B$76,2),0)</f>
        <v>0</v>
      </c>
      <c r="N63" s="84">
        <f ca="1">(1-('Invoer gegevens (N)'!$F$20/12))*L63*MIN('Reeksen (N)'!B63,'Reeksen (N)'!D63)</f>
        <v>0</v>
      </c>
      <c r="O63" s="84">
        <f>IF('Reeksen (N)'!D63&lt;'Reeksen (N)'!B63,('Reeksen (N)'!B63-'Reeksen (N)'!D63)*L63,0)</f>
        <v>0</v>
      </c>
      <c r="P63" s="84">
        <f ca="1">('Invoer gegevens (N)'!$F$20/12)*L62*MIN('Reeksen (N)'!B62,'Reeksen (N)'!D62)</f>
        <v>0</v>
      </c>
      <c r="Q63" s="84">
        <f t="shared" ca="1" si="2"/>
        <v>0</v>
      </c>
      <c r="R63" s="82">
        <f ca="1">IF('Invoer gegevens (N)'!$C$17=E63,'Invoer gegevens (N)'!$C$11,IF(C63=1,W62,0))</f>
        <v>0</v>
      </c>
      <c r="S63" s="86">
        <f ca="1">IF(C63&gt;=1,R63*VLOOKUP(E63,'Reeksen (N)'!$A$5:$B$76,2),0)</f>
        <v>0</v>
      </c>
      <c r="T63" s="84">
        <f ca="1">(1-('Invoer gegevens (N)'!$F$20/12))*R63*MIN('Reeksen (N)'!B63,'Reeksen (N)'!D63)</f>
        <v>0</v>
      </c>
      <c r="U63" s="84">
        <f>IF('Reeksen (N)'!D63&gt;='Reeksen (N)'!B63,0,IF('Reeksen (N)'!AK63&lt;='Reeksen (N)'!AE63,('Reeksen (N)'!B63-'Reeksen (N)'!D63)*R63,0))</f>
        <v>0</v>
      </c>
      <c r="V63" s="86">
        <f>IF('Reeksen (N)'!D63&gt;='Reeksen (N)'!B63,0,IF('Reeksen (N)'!AK63&gt;'Reeksen (N)'!AE63,('Reeksen (N)'!B63-'Reeksen (N)'!D63)*R63,0))</f>
        <v>0</v>
      </c>
      <c r="W63" s="97">
        <f t="shared" ca="1" si="3"/>
        <v>0</v>
      </c>
      <c r="X63" s="98">
        <f ca="1">IF('Invoer gegevens (N)'!$C$17=E63,'Invoer gegevens (N)'!$C$10-'Invoer gegevens (N)'!$C$11,IF(C63=1,AC62,0))</f>
        <v>0</v>
      </c>
      <c r="Y63" s="98">
        <f ca="1">IF(C63&gt;=1,X63*VLOOKUP(E63,'Reeksen (N)'!$A$5:$B$76,2),0)</f>
        <v>0</v>
      </c>
      <c r="Z63" s="98">
        <f ca="1">(1-('Invoer gegevens (N)'!$F$20/12))*X63*MIN('Reeksen (N)'!B63,'Reeksen (N)'!D63)</f>
        <v>0</v>
      </c>
      <c r="AA63" s="98">
        <f>IF('Reeksen (N)'!D63&gt;='Reeksen (N)'!B63,0,IF('Reeksen (N)'!AK63&lt;='Reeksen (N)'!AE63,('Reeksen (N)'!B63-'Reeksen (N)'!D63)*X63,0))</f>
        <v>0</v>
      </c>
      <c r="AB63" s="98">
        <f>IF('Reeksen (N)'!D63&gt;='Reeksen (N)'!B63,0,IF('Reeksen (N)'!AK63&gt;'Reeksen (N)'!AE63,('Reeksen (N)'!B63-'Reeksen (N)'!D63)*X63,0))</f>
        <v>0</v>
      </c>
      <c r="AC63" s="99">
        <f t="shared" ca="1" si="4"/>
        <v>0</v>
      </c>
      <c r="AD63" s="98">
        <f ca="1">IF('Invoer gegevens (N)'!$C$17=E63,R63,IF(C63=0,0,AE62))</f>
        <v>0</v>
      </c>
      <c r="AE63" s="98">
        <f t="shared" ca="1" si="5"/>
        <v>0</v>
      </c>
      <c r="AF63" s="98">
        <f ca="1">IF('Invoer gegevens (N)'!$C$17=E63,X63,IF(C63=0,0,AG62))</f>
        <v>0</v>
      </c>
      <c r="AG63" s="98">
        <f t="shared" ca="1" si="6"/>
        <v>0</v>
      </c>
      <c r="AH63" s="68"/>
      <c r="AI63" s="71">
        <f ca="1">IF(C63=1,'Reeksen (N)'!AJ63*((F63-G63+F63)/2)*12+'Reeksen (N)'!AK63*((L63-M63+L63)/2)*12,0)</f>
        <v>0</v>
      </c>
      <c r="AJ63" s="71">
        <f ca="1">-AI63*'Invoer gegevens (N)'!$F$28</f>
        <v>0</v>
      </c>
      <c r="AK63" s="71">
        <f t="shared" ca="1" si="0"/>
        <v>0</v>
      </c>
      <c r="AL63" s="71">
        <f ca="1">IF(C63=1,'Reeksen (N)'!AL63*((F63-G63+F63)/2)*12+'Reeksen (N)'!AM63*((L63-M63+L63)/2)*12,0)</f>
        <v>0</v>
      </c>
      <c r="AM63" s="71">
        <f ca="1">-AL63*'Invoer gegevens (N)'!$F$31</f>
        <v>0</v>
      </c>
      <c r="AN63" s="71">
        <f t="shared" ca="1" si="7"/>
        <v>0</v>
      </c>
      <c r="AO63" s="71">
        <f ca="1">IF(C63=1,(H63+J63+N63+P63)*'Reeksen (N)'!AN63,0)</f>
        <v>0</v>
      </c>
      <c r="AP63" s="71">
        <f ca="1">-IF(C63=1,(H63+J63+N63+P63)*'Hulp - basis'!$O$550*'Reeksen (N)'!H63,0)</f>
        <v>0</v>
      </c>
      <c r="AQ63" s="71">
        <f ca="1">-IF(C63=1,(F63+K63+L63+Q63)/2*'Invoer gegevens (N)'!$I$33*'Reeksen (N)'!J63,0)*2</f>
        <v>0</v>
      </c>
      <c r="AR63" s="71">
        <f ca="1">-IF(C63=1,(I63*'Invoer gegevens (N)'!$I$34)*'Reeksen (N)'!J63,0)</f>
        <v>0</v>
      </c>
      <c r="AS63" s="71">
        <f ca="1">-IF(C63=1,(F63+K63+L63+Q63)/2*'Invoer gegevens (N)'!$I$35*'Reeksen (N)'!L63,0)</f>
        <v>0</v>
      </c>
      <c r="AT63" s="71">
        <f ca="1">-IF(C63=1,IF(E63='Invoer gegevens (N)'!$C$17,'Invoer gegevens (N)'!$C$11,AD63)*'Reeksen (N)'!S63*'Invoer gegevens (N)'!$C$18*'Reeksen (N)'!P63,0)</f>
        <v>0</v>
      </c>
      <c r="AU63" s="71">
        <f ca="1">-IF(C63=1,(F63+K63+L63+Q63)/2*'Invoer gegevens (N)'!$I$36*'Reeksen (N)'!H63,0)</f>
        <v>0</v>
      </c>
      <c r="AV63" s="71">
        <v>0</v>
      </c>
      <c r="AW63" s="71">
        <f t="shared" ca="1" si="8"/>
        <v>0</v>
      </c>
      <c r="AX63" s="71">
        <f ca="1">IF(E63&lt;'Invoer gegevens (N)'!$C$17+15,0,IF(E63&gt;'Invoer gegevens (N)'!$C$17+215,0,AW63))</f>
        <v>0</v>
      </c>
      <c r="AY63" s="71">
        <f ca="1">AX63/(1+'Invoer gegevens (N)'!$F$18)^($AZ63-('Invoer gegevens (N)'!$C$17-'Invoer gegevens (N)'!$C$16))/(1+'Invoer gegevens (N)'!$C$39)^('Invoer gegevens (N)'!$C$17-'Invoer gegevens (N)'!$C$16)</f>
        <v>0</v>
      </c>
      <c r="AZ63" s="68">
        <f ca="1">IF(E63-'Invoer gegevens (N)'!$C$17-14.5&lt;0,0,E63-'Invoer gegevens (N)'!$C$17-14.5)</f>
        <v>43.5</v>
      </c>
    </row>
    <row r="64" spans="2:52" x14ac:dyDescent="0.25">
      <c r="B64" s="70">
        <f t="shared" si="9"/>
        <v>60</v>
      </c>
      <c r="C64" s="67">
        <f ca="1">IF(E64-'Invoer gegevens (N)'!$C$17&lt;0,0,1)</f>
        <v>1</v>
      </c>
      <c r="D64" s="68">
        <f t="shared" si="10"/>
        <v>59.5</v>
      </c>
      <c r="E64" s="108">
        <f ca="1">IF('Invoer gegevens (N)'!$C$16="","",E63+1)</f>
        <v>2078</v>
      </c>
      <c r="F64" s="84">
        <f ca="1">IF('Invoer gegevens (N)'!$C$17=E64,'Invoer gegevens (N)'!$C$10,IF(C64=1,K63,0))</f>
        <v>0</v>
      </c>
      <c r="G64" s="96">
        <f ca="1">IF(C64&gt;=1,F64*VLOOKUP(E64,'Reeksen (N)'!$A$5:$B$76,2),0)</f>
        <v>0</v>
      </c>
      <c r="H64" s="84">
        <f ca="1">(1-('Invoer gegevens (N)'!$F$20/12))*F64*MIN('Reeksen (N)'!B64,'Reeksen (N)'!D64)</f>
        <v>0</v>
      </c>
      <c r="I64" s="84">
        <f>IF('Reeksen (N)'!D64&lt;'Reeksen (N)'!B64,('Reeksen (N)'!B64-'Reeksen (N)'!D64)*F64,0)</f>
        <v>0</v>
      </c>
      <c r="J64" s="84">
        <f ca="1">('Invoer gegevens (N)'!$F$20/12)*F63*MIN('Reeksen (N)'!B63,'Reeksen (N)'!D63)</f>
        <v>0</v>
      </c>
      <c r="K64" s="97">
        <f t="shared" ca="1" si="1"/>
        <v>0</v>
      </c>
      <c r="L64" s="84">
        <f ca="1">IF('Invoer gegevens (N)'!$C$17=E64,0,IF(C64=1,Q63,0))</f>
        <v>0</v>
      </c>
      <c r="M64" s="96">
        <f ca="1">IF(C64&gt;=1,L64*VLOOKUP(E64,'Reeksen (N)'!$A$5:$B$76,2),0)</f>
        <v>0</v>
      </c>
      <c r="N64" s="84">
        <f ca="1">(1-('Invoer gegevens (N)'!$F$20/12))*L64*MIN('Reeksen (N)'!B64,'Reeksen (N)'!D64)</f>
        <v>0</v>
      </c>
      <c r="O64" s="84">
        <f>IF('Reeksen (N)'!D64&lt;'Reeksen (N)'!B64,('Reeksen (N)'!B64-'Reeksen (N)'!D64)*L64,0)</f>
        <v>0</v>
      </c>
      <c r="P64" s="84">
        <f ca="1">('Invoer gegevens (N)'!$F$20/12)*L63*MIN('Reeksen (N)'!B63,'Reeksen (N)'!D63)</f>
        <v>0</v>
      </c>
      <c r="Q64" s="84">
        <f t="shared" ca="1" si="2"/>
        <v>0</v>
      </c>
      <c r="R64" s="82">
        <f ca="1">IF('Invoer gegevens (N)'!$C$17=E64,'Invoer gegevens (N)'!$C$11,IF(C64=1,W63,0))</f>
        <v>0</v>
      </c>
      <c r="S64" s="86">
        <f ca="1">IF(C64&gt;=1,R64*VLOOKUP(E64,'Reeksen (N)'!$A$5:$B$76,2),0)</f>
        <v>0</v>
      </c>
      <c r="T64" s="84">
        <f ca="1">(1-('Invoer gegevens (N)'!$F$20/12))*R64*MIN('Reeksen (N)'!B64,'Reeksen (N)'!D64)</f>
        <v>0</v>
      </c>
      <c r="U64" s="84">
        <f>IF('Reeksen (N)'!D64&gt;='Reeksen (N)'!B64,0,IF('Reeksen (N)'!AK64&lt;='Reeksen (N)'!AE64,('Reeksen (N)'!B64-'Reeksen (N)'!D64)*R64,0))</f>
        <v>0</v>
      </c>
      <c r="V64" s="86">
        <f>IF('Reeksen (N)'!D64&gt;='Reeksen (N)'!B64,0,IF('Reeksen (N)'!AK64&gt;'Reeksen (N)'!AE64,('Reeksen (N)'!B64-'Reeksen (N)'!D64)*R64,0))</f>
        <v>0</v>
      </c>
      <c r="W64" s="97">
        <f t="shared" ca="1" si="3"/>
        <v>0</v>
      </c>
      <c r="X64" s="98">
        <f ca="1">IF('Invoer gegevens (N)'!$C$17=E64,'Invoer gegevens (N)'!$C$10-'Invoer gegevens (N)'!$C$11,IF(C64=1,AC63,0))</f>
        <v>0</v>
      </c>
      <c r="Y64" s="98">
        <f ca="1">IF(C64&gt;=1,X64*VLOOKUP(E64,'Reeksen (N)'!$A$5:$B$76,2),0)</f>
        <v>0</v>
      </c>
      <c r="Z64" s="98">
        <f ca="1">(1-('Invoer gegevens (N)'!$F$20/12))*X64*MIN('Reeksen (N)'!B64,'Reeksen (N)'!D64)</f>
        <v>0</v>
      </c>
      <c r="AA64" s="98">
        <f>IF('Reeksen (N)'!D64&gt;='Reeksen (N)'!B64,0,IF('Reeksen (N)'!AK64&lt;='Reeksen (N)'!AE64,('Reeksen (N)'!B64-'Reeksen (N)'!D64)*X64,0))</f>
        <v>0</v>
      </c>
      <c r="AB64" s="98">
        <f>IF('Reeksen (N)'!D64&gt;='Reeksen (N)'!B64,0,IF('Reeksen (N)'!AK64&gt;'Reeksen (N)'!AE64,('Reeksen (N)'!B64-'Reeksen (N)'!D64)*X64,0))</f>
        <v>0</v>
      </c>
      <c r="AC64" s="99">
        <f t="shared" ca="1" si="4"/>
        <v>0</v>
      </c>
      <c r="AD64" s="98">
        <f ca="1">IF('Invoer gegevens (N)'!$C$17=E64,R64,IF(C64=0,0,AE63))</f>
        <v>0</v>
      </c>
      <c r="AE64" s="98">
        <f t="shared" ca="1" si="5"/>
        <v>0</v>
      </c>
      <c r="AF64" s="98">
        <f ca="1">IF('Invoer gegevens (N)'!$C$17=E64,X64,IF(C64=0,0,AG63))</f>
        <v>0</v>
      </c>
      <c r="AG64" s="98">
        <f t="shared" ca="1" si="6"/>
        <v>0</v>
      </c>
      <c r="AH64" s="68"/>
      <c r="AI64" s="71">
        <f ca="1">IF(C64=1,'Reeksen (N)'!AJ64*((F64-G64+F64)/2)*12+'Reeksen (N)'!AK64*((L64-M64+L64)/2)*12,0)</f>
        <v>0</v>
      </c>
      <c r="AJ64" s="71">
        <f ca="1">-AI64*'Invoer gegevens (N)'!$F$28</f>
        <v>0</v>
      </c>
      <c r="AK64" s="71">
        <f t="shared" ca="1" si="0"/>
        <v>0</v>
      </c>
      <c r="AL64" s="71">
        <f ca="1">IF(C64=1,'Reeksen (N)'!AL64*((F64-G64+F64)/2)*12+'Reeksen (N)'!AM64*((L64-M64+L64)/2)*12,0)</f>
        <v>0</v>
      </c>
      <c r="AM64" s="71">
        <f ca="1">-AL64*'Invoer gegevens (N)'!$F$31</f>
        <v>0</v>
      </c>
      <c r="AN64" s="71">
        <f t="shared" ca="1" si="7"/>
        <v>0</v>
      </c>
      <c r="AO64" s="71">
        <f ca="1">IF(C64=1,(H64+J64+N64+P64)*'Reeksen (N)'!AN64,0)</f>
        <v>0</v>
      </c>
      <c r="AP64" s="71">
        <f ca="1">-IF(C64=1,(H64+J64+N64+P64)*'Hulp - basis'!$O$550*'Reeksen (N)'!H64,0)</f>
        <v>0</v>
      </c>
      <c r="AQ64" s="71">
        <f ca="1">-IF(C64=1,(F64+K64+L64+Q64)/2*'Invoer gegevens (N)'!$I$33*'Reeksen (N)'!J64,0)*2</f>
        <v>0</v>
      </c>
      <c r="AR64" s="71">
        <f ca="1">-IF(C64=1,(I64*'Invoer gegevens (N)'!$I$34)*'Reeksen (N)'!J64,0)</f>
        <v>0</v>
      </c>
      <c r="AS64" s="71">
        <f ca="1">-IF(C64=1,(F64+K64+L64+Q64)/2*'Invoer gegevens (N)'!$I$35*'Reeksen (N)'!L64,0)</f>
        <v>0</v>
      </c>
      <c r="AT64" s="71">
        <f ca="1">-IF(C64=1,IF(E64='Invoer gegevens (N)'!$C$17,'Invoer gegevens (N)'!$C$11,AD64)*'Reeksen (N)'!S64*'Invoer gegevens (N)'!$C$18*'Reeksen (N)'!P64,0)</f>
        <v>0</v>
      </c>
      <c r="AU64" s="71">
        <f ca="1">-IF(C64=1,(F64+K64+L64+Q64)/2*'Invoer gegevens (N)'!$I$36*'Reeksen (N)'!H64,0)</f>
        <v>0</v>
      </c>
      <c r="AV64" s="71">
        <v>0</v>
      </c>
      <c r="AW64" s="71">
        <f t="shared" ca="1" si="8"/>
        <v>0</v>
      </c>
      <c r="AX64" s="71">
        <f ca="1">IF(E64&lt;'Invoer gegevens (N)'!$C$17+15,0,IF(E64&gt;'Invoer gegevens (N)'!$C$17+215,0,AW64))</f>
        <v>0</v>
      </c>
      <c r="AY64" s="71">
        <f ca="1">AX64/(1+'Invoer gegevens (N)'!$F$18)^($AZ64-('Invoer gegevens (N)'!$C$17-'Invoer gegevens (N)'!$C$16))/(1+'Invoer gegevens (N)'!$C$39)^('Invoer gegevens (N)'!$C$17-'Invoer gegevens (N)'!$C$16)</f>
        <v>0</v>
      </c>
      <c r="AZ64" s="68">
        <f ca="1">IF(E64-'Invoer gegevens (N)'!$C$17-14.5&lt;0,0,E64-'Invoer gegevens (N)'!$C$17-14.5)</f>
        <v>44.5</v>
      </c>
    </row>
    <row r="65" spans="2:52" x14ac:dyDescent="0.25">
      <c r="B65" s="70">
        <f t="shared" si="9"/>
        <v>61</v>
      </c>
      <c r="C65" s="67">
        <f ca="1">IF(E65-'Invoer gegevens (N)'!$C$17&lt;0,0,1)</f>
        <v>1</v>
      </c>
      <c r="D65" s="68">
        <f t="shared" si="10"/>
        <v>60.5</v>
      </c>
      <c r="E65" s="108">
        <f ca="1">IF('Invoer gegevens (N)'!$C$16="","",E64+1)</f>
        <v>2079</v>
      </c>
      <c r="F65" s="84">
        <f ca="1">IF('Invoer gegevens (N)'!$C$17=E65,'Invoer gegevens (N)'!$C$10,IF(C65=1,K64,0))</f>
        <v>0</v>
      </c>
      <c r="G65" s="96">
        <f ca="1">IF(C65&gt;=1,F65*VLOOKUP(E65,'Reeksen (N)'!$A$5:$B$76,2),0)</f>
        <v>0</v>
      </c>
      <c r="H65" s="84">
        <f ca="1">(1-('Invoer gegevens (N)'!$F$20/12))*F65*MIN('Reeksen (N)'!B65,'Reeksen (N)'!D65)</f>
        <v>0</v>
      </c>
      <c r="I65" s="84">
        <f>IF('Reeksen (N)'!D65&lt;'Reeksen (N)'!B65,('Reeksen (N)'!B65-'Reeksen (N)'!D65)*F65,0)</f>
        <v>0</v>
      </c>
      <c r="J65" s="84">
        <f ca="1">('Invoer gegevens (N)'!$F$20/12)*F64*MIN('Reeksen (N)'!B64,'Reeksen (N)'!D64)</f>
        <v>0</v>
      </c>
      <c r="K65" s="97">
        <f t="shared" ca="1" si="1"/>
        <v>0</v>
      </c>
      <c r="L65" s="84">
        <f ca="1">IF('Invoer gegevens (N)'!$C$17=E65,0,IF(C65=1,Q64,0))</f>
        <v>0</v>
      </c>
      <c r="M65" s="96">
        <f ca="1">IF(C65&gt;=1,L65*VLOOKUP(E65,'Reeksen (N)'!$A$5:$B$76,2),0)</f>
        <v>0</v>
      </c>
      <c r="N65" s="84">
        <f ca="1">(1-('Invoer gegevens (N)'!$F$20/12))*L65*MIN('Reeksen (N)'!B65,'Reeksen (N)'!D65)</f>
        <v>0</v>
      </c>
      <c r="O65" s="84">
        <f>IF('Reeksen (N)'!D65&lt;'Reeksen (N)'!B65,('Reeksen (N)'!B65-'Reeksen (N)'!D65)*L65,0)</f>
        <v>0</v>
      </c>
      <c r="P65" s="84">
        <f ca="1">('Invoer gegevens (N)'!$F$20/12)*L64*MIN('Reeksen (N)'!B64,'Reeksen (N)'!D64)</f>
        <v>0</v>
      </c>
      <c r="Q65" s="84">
        <f t="shared" ca="1" si="2"/>
        <v>0</v>
      </c>
      <c r="R65" s="82">
        <f ca="1">IF('Invoer gegevens (N)'!$C$17=E65,'Invoer gegevens (N)'!$C$11,IF(C65=1,W64,0))</f>
        <v>0</v>
      </c>
      <c r="S65" s="86">
        <f ca="1">IF(C65&gt;=1,R65*VLOOKUP(E65,'Reeksen (N)'!$A$5:$B$76,2),0)</f>
        <v>0</v>
      </c>
      <c r="T65" s="84">
        <f ca="1">(1-('Invoer gegevens (N)'!$F$20/12))*R65*MIN('Reeksen (N)'!B65,'Reeksen (N)'!D65)</f>
        <v>0</v>
      </c>
      <c r="U65" s="84">
        <f>IF('Reeksen (N)'!D65&gt;='Reeksen (N)'!B65,0,IF('Reeksen (N)'!AK65&lt;='Reeksen (N)'!AE65,('Reeksen (N)'!B65-'Reeksen (N)'!D65)*R65,0))</f>
        <v>0</v>
      </c>
      <c r="V65" s="86">
        <f>IF('Reeksen (N)'!D65&gt;='Reeksen (N)'!B65,0,IF('Reeksen (N)'!AK65&gt;'Reeksen (N)'!AE65,('Reeksen (N)'!B65-'Reeksen (N)'!D65)*R65,0))</f>
        <v>0</v>
      </c>
      <c r="W65" s="97">
        <f t="shared" ca="1" si="3"/>
        <v>0</v>
      </c>
      <c r="X65" s="98">
        <f ca="1">IF('Invoer gegevens (N)'!$C$17=E65,'Invoer gegevens (N)'!$C$10-'Invoer gegevens (N)'!$C$11,IF(C65=1,AC64,0))</f>
        <v>0</v>
      </c>
      <c r="Y65" s="98">
        <f ca="1">IF(C65&gt;=1,X65*VLOOKUP(E65,'Reeksen (N)'!$A$5:$B$76,2),0)</f>
        <v>0</v>
      </c>
      <c r="Z65" s="98">
        <f ca="1">(1-('Invoer gegevens (N)'!$F$20/12))*X65*MIN('Reeksen (N)'!B65,'Reeksen (N)'!D65)</f>
        <v>0</v>
      </c>
      <c r="AA65" s="98">
        <f>IF('Reeksen (N)'!D65&gt;='Reeksen (N)'!B65,0,IF('Reeksen (N)'!AK65&lt;='Reeksen (N)'!AE65,('Reeksen (N)'!B65-'Reeksen (N)'!D65)*X65,0))</f>
        <v>0</v>
      </c>
      <c r="AB65" s="98">
        <f>IF('Reeksen (N)'!D65&gt;='Reeksen (N)'!B65,0,IF('Reeksen (N)'!AK65&gt;'Reeksen (N)'!AE65,('Reeksen (N)'!B65-'Reeksen (N)'!D65)*X65,0))</f>
        <v>0</v>
      </c>
      <c r="AC65" s="99">
        <f t="shared" ca="1" si="4"/>
        <v>0</v>
      </c>
      <c r="AD65" s="98">
        <f ca="1">IF('Invoer gegevens (N)'!$C$17=E65,R65,IF(C65=0,0,AE64))</f>
        <v>0</v>
      </c>
      <c r="AE65" s="98">
        <f t="shared" ca="1" si="5"/>
        <v>0</v>
      </c>
      <c r="AF65" s="98">
        <f ca="1">IF('Invoer gegevens (N)'!$C$17=E65,X65,IF(C65=0,0,AG64))</f>
        <v>0</v>
      </c>
      <c r="AG65" s="98">
        <f t="shared" ca="1" si="6"/>
        <v>0</v>
      </c>
      <c r="AH65" s="68"/>
      <c r="AI65" s="71">
        <f ca="1">IF(C65=1,'Reeksen (N)'!AJ65*((F65-G65+F65)/2)*12+'Reeksen (N)'!AK65*((L65-M65+L65)/2)*12,0)</f>
        <v>0</v>
      </c>
      <c r="AJ65" s="71">
        <f ca="1">-AI65*'Invoer gegevens (N)'!$F$28</f>
        <v>0</v>
      </c>
      <c r="AK65" s="71">
        <f t="shared" ca="1" si="0"/>
        <v>0</v>
      </c>
      <c r="AL65" s="71">
        <f ca="1">IF(C65=1,'Reeksen (N)'!AL65*((F65-G65+F65)/2)*12+'Reeksen (N)'!AM65*((L65-M65+L65)/2)*12,0)</f>
        <v>0</v>
      </c>
      <c r="AM65" s="71">
        <f ca="1">-AL65*'Invoer gegevens (N)'!$F$31</f>
        <v>0</v>
      </c>
      <c r="AN65" s="71">
        <f t="shared" ca="1" si="7"/>
        <v>0</v>
      </c>
      <c r="AO65" s="71">
        <f ca="1">IF(C65=1,(H65+J65+N65+P65)*'Reeksen (N)'!AN65,0)</f>
        <v>0</v>
      </c>
      <c r="AP65" s="71">
        <f ca="1">-IF(C65=1,(H65+J65+N65+P65)*'Hulp - basis'!$O$550*'Reeksen (N)'!H65,0)</f>
        <v>0</v>
      </c>
      <c r="AQ65" s="71">
        <f ca="1">-IF(C65=1,(F65+K65+L65+Q65)/2*'Invoer gegevens (N)'!$I$33*'Reeksen (N)'!J65,0)*2</f>
        <v>0</v>
      </c>
      <c r="AR65" s="71">
        <f ca="1">-IF(C65=1,(I65*'Invoer gegevens (N)'!$I$34)*'Reeksen (N)'!J65,0)</f>
        <v>0</v>
      </c>
      <c r="AS65" s="71">
        <f ca="1">-IF(C65=1,(F65+K65+L65+Q65)/2*'Invoer gegevens (N)'!$I$35*'Reeksen (N)'!L65,0)</f>
        <v>0</v>
      </c>
      <c r="AT65" s="71">
        <f ca="1">-IF(C65=1,IF(E65='Invoer gegevens (N)'!$C$17,'Invoer gegevens (N)'!$C$11,AD65)*'Reeksen (N)'!S65*'Invoer gegevens (N)'!$C$18*'Reeksen (N)'!P65,0)</f>
        <v>0</v>
      </c>
      <c r="AU65" s="71">
        <f ca="1">-IF(C65=1,(F65+K65+L65+Q65)/2*'Invoer gegevens (N)'!$I$36*'Reeksen (N)'!H65,0)</f>
        <v>0</v>
      </c>
      <c r="AV65" s="71">
        <v>0</v>
      </c>
      <c r="AW65" s="71">
        <f t="shared" ca="1" si="8"/>
        <v>0</v>
      </c>
      <c r="AX65" s="71">
        <f ca="1">IF(E65&lt;'Invoer gegevens (N)'!$C$17+15,0,IF(E65&gt;'Invoer gegevens (N)'!$C$17+215,0,AW65))</f>
        <v>0</v>
      </c>
      <c r="AY65" s="71">
        <f ca="1">AX65/(1+'Invoer gegevens (N)'!$F$18)^($AZ65-('Invoer gegevens (N)'!$C$17-'Invoer gegevens (N)'!$C$16))/(1+'Invoer gegevens (N)'!$C$39)^('Invoer gegevens (N)'!$C$17-'Invoer gegevens (N)'!$C$16)</f>
        <v>0</v>
      </c>
      <c r="AZ65" s="68">
        <f ca="1">IF(E65-'Invoer gegevens (N)'!$C$17-14.5&lt;0,0,E65-'Invoer gegevens (N)'!$C$17-14.5)</f>
        <v>45.5</v>
      </c>
    </row>
    <row r="66" spans="2:52" x14ac:dyDescent="0.25">
      <c r="B66" s="70">
        <f t="shared" si="9"/>
        <v>62</v>
      </c>
      <c r="C66" s="67">
        <f ca="1">IF(E66-'Invoer gegevens (N)'!$C$17&lt;0,0,1)</f>
        <v>1</v>
      </c>
      <c r="D66" s="68">
        <f t="shared" si="10"/>
        <v>61.5</v>
      </c>
      <c r="E66" s="108">
        <f ca="1">IF('Invoer gegevens (N)'!$C$16="","",E65+1)</f>
        <v>2080</v>
      </c>
      <c r="F66" s="84">
        <f ca="1">IF('Invoer gegevens (N)'!$C$17=E66,'Invoer gegevens (N)'!$C$10,IF(C66=1,K65,0))</f>
        <v>0</v>
      </c>
      <c r="G66" s="96">
        <f ca="1">IF(C66&gt;=1,F66*VLOOKUP(E66,'Reeksen (N)'!$A$5:$B$76,2),0)</f>
        <v>0</v>
      </c>
      <c r="H66" s="84">
        <f ca="1">(1-('Invoer gegevens (N)'!$F$20/12))*F66*MIN('Reeksen (N)'!B66,'Reeksen (N)'!D66)</f>
        <v>0</v>
      </c>
      <c r="I66" s="84">
        <f>IF('Reeksen (N)'!D66&lt;'Reeksen (N)'!B66,('Reeksen (N)'!B66-'Reeksen (N)'!D66)*F66,0)</f>
        <v>0</v>
      </c>
      <c r="J66" s="84">
        <f ca="1">('Invoer gegevens (N)'!$F$20/12)*F65*MIN('Reeksen (N)'!B65,'Reeksen (N)'!D65)</f>
        <v>0</v>
      </c>
      <c r="K66" s="97">
        <f t="shared" ca="1" si="1"/>
        <v>0</v>
      </c>
      <c r="L66" s="84">
        <f ca="1">IF('Invoer gegevens (N)'!$C$17=E66,0,IF(C66=1,Q65,0))</f>
        <v>0</v>
      </c>
      <c r="M66" s="96">
        <f ca="1">IF(C66&gt;=1,L66*VLOOKUP(E66,'Reeksen (N)'!$A$5:$B$76,2),0)</f>
        <v>0</v>
      </c>
      <c r="N66" s="84">
        <f ca="1">(1-('Invoer gegevens (N)'!$F$20/12))*L66*MIN('Reeksen (N)'!B66,'Reeksen (N)'!D66)</f>
        <v>0</v>
      </c>
      <c r="O66" s="84">
        <f>IF('Reeksen (N)'!D66&lt;'Reeksen (N)'!B66,('Reeksen (N)'!B66-'Reeksen (N)'!D66)*L66,0)</f>
        <v>0</v>
      </c>
      <c r="P66" s="84">
        <f ca="1">('Invoer gegevens (N)'!$F$20/12)*L65*MIN('Reeksen (N)'!B65,'Reeksen (N)'!D65)</f>
        <v>0</v>
      </c>
      <c r="Q66" s="84">
        <f t="shared" ca="1" si="2"/>
        <v>0</v>
      </c>
      <c r="R66" s="82">
        <f ca="1">IF('Invoer gegevens (N)'!$C$17=E66,'Invoer gegevens (N)'!$C$11,IF(C66=1,W65,0))</f>
        <v>0</v>
      </c>
      <c r="S66" s="86">
        <f ca="1">IF(C66&gt;=1,R66*VLOOKUP(E66,'Reeksen (N)'!$A$5:$B$76,2),0)</f>
        <v>0</v>
      </c>
      <c r="T66" s="84">
        <f ca="1">(1-('Invoer gegevens (N)'!$F$20/12))*R66*MIN('Reeksen (N)'!B66,'Reeksen (N)'!D66)</f>
        <v>0</v>
      </c>
      <c r="U66" s="84">
        <f>IF('Reeksen (N)'!D66&gt;='Reeksen (N)'!B66,0,IF('Reeksen (N)'!AK66&lt;='Reeksen (N)'!AE66,('Reeksen (N)'!B66-'Reeksen (N)'!D66)*R66,0))</f>
        <v>0</v>
      </c>
      <c r="V66" s="86">
        <f>IF('Reeksen (N)'!D66&gt;='Reeksen (N)'!B66,0,IF('Reeksen (N)'!AK66&gt;'Reeksen (N)'!AE66,('Reeksen (N)'!B66-'Reeksen (N)'!D66)*R66,0))</f>
        <v>0</v>
      </c>
      <c r="W66" s="97">
        <f t="shared" ca="1" si="3"/>
        <v>0</v>
      </c>
      <c r="X66" s="98">
        <f ca="1">IF('Invoer gegevens (N)'!$C$17=E66,'Invoer gegevens (N)'!$C$10-'Invoer gegevens (N)'!$C$11,IF(C66=1,AC65,0))</f>
        <v>0</v>
      </c>
      <c r="Y66" s="98">
        <f ca="1">IF(C66&gt;=1,X66*VLOOKUP(E66,'Reeksen (N)'!$A$5:$B$76,2),0)</f>
        <v>0</v>
      </c>
      <c r="Z66" s="98">
        <f ca="1">(1-('Invoer gegevens (N)'!$F$20/12))*X66*MIN('Reeksen (N)'!B66,'Reeksen (N)'!D66)</f>
        <v>0</v>
      </c>
      <c r="AA66" s="98">
        <f>IF('Reeksen (N)'!D66&gt;='Reeksen (N)'!B66,0,IF('Reeksen (N)'!AK66&lt;='Reeksen (N)'!AE66,('Reeksen (N)'!B66-'Reeksen (N)'!D66)*X66,0))</f>
        <v>0</v>
      </c>
      <c r="AB66" s="98">
        <f>IF('Reeksen (N)'!D66&gt;='Reeksen (N)'!B66,0,IF('Reeksen (N)'!AK66&gt;'Reeksen (N)'!AE66,('Reeksen (N)'!B66-'Reeksen (N)'!D66)*X66,0))</f>
        <v>0</v>
      </c>
      <c r="AC66" s="99">
        <f t="shared" ca="1" si="4"/>
        <v>0</v>
      </c>
      <c r="AD66" s="98">
        <f ca="1">IF('Invoer gegevens (N)'!$C$17=E66,R66,IF(C66=0,0,AE65))</f>
        <v>0</v>
      </c>
      <c r="AE66" s="98">
        <f t="shared" ca="1" si="5"/>
        <v>0</v>
      </c>
      <c r="AF66" s="98">
        <f ca="1">IF('Invoer gegevens (N)'!$C$17=E66,X66,IF(C66=0,0,AG65))</f>
        <v>0</v>
      </c>
      <c r="AG66" s="98">
        <f t="shared" ca="1" si="6"/>
        <v>0</v>
      </c>
      <c r="AH66" s="68"/>
      <c r="AI66" s="71">
        <f ca="1">IF(C66=1,'Reeksen (N)'!AJ66*((F66-G66+F66)/2)*12+'Reeksen (N)'!AK66*((L66-M66+L66)/2)*12,0)</f>
        <v>0</v>
      </c>
      <c r="AJ66" s="71">
        <f ca="1">-AI66*'Invoer gegevens (N)'!$F$28</f>
        <v>0</v>
      </c>
      <c r="AK66" s="71">
        <f t="shared" ca="1" si="0"/>
        <v>0</v>
      </c>
      <c r="AL66" s="71">
        <f ca="1">IF(C66=1,'Reeksen (N)'!AL66*((F66-G66+F66)/2)*12+'Reeksen (N)'!AM66*((L66-M66+L66)/2)*12,0)</f>
        <v>0</v>
      </c>
      <c r="AM66" s="71">
        <f ca="1">-AL66*'Invoer gegevens (N)'!$F$31</f>
        <v>0</v>
      </c>
      <c r="AN66" s="71">
        <f t="shared" ca="1" si="7"/>
        <v>0</v>
      </c>
      <c r="AO66" s="71">
        <f ca="1">IF(C66=1,(H66+J66+N66+P66)*'Reeksen (N)'!AN66,0)</f>
        <v>0</v>
      </c>
      <c r="AP66" s="71">
        <f ca="1">-IF(C66=1,(H66+J66+N66+P66)*'Hulp - basis'!$O$550*'Reeksen (N)'!H66,0)</f>
        <v>0</v>
      </c>
      <c r="AQ66" s="71">
        <f ca="1">-IF(C66=1,(F66+K66+L66+Q66)/2*'Invoer gegevens (N)'!$I$33*'Reeksen (N)'!J66,0)*2</f>
        <v>0</v>
      </c>
      <c r="AR66" s="71">
        <f ca="1">-IF(C66=1,(I66*'Invoer gegevens (N)'!$I$34)*'Reeksen (N)'!J66,0)</f>
        <v>0</v>
      </c>
      <c r="AS66" s="71">
        <f ca="1">-IF(C66=1,(F66+K66+L66+Q66)/2*'Invoer gegevens (N)'!$I$35*'Reeksen (N)'!L66,0)</f>
        <v>0</v>
      </c>
      <c r="AT66" s="71">
        <f ca="1">-IF(C66=1,IF(E66='Invoer gegevens (N)'!$C$17,'Invoer gegevens (N)'!$C$11,AD66)*'Reeksen (N)'!S66*'Invoer gegevens (N)'!$C$18*'Reeksen (N)'!P66,0)</f>
        <v>0</v>
      </c>
      <c r="AU66" s="71">
        <f ca="1">-IF(C66=1,(F66+K66+L66+Q66)/2*'Invoer gegevens (N)'!$I$36*'Reeksen (N)'!H66,0)</f>
        <v>0</v>
      </c>
      <c r="AV66" s="71">
        <v>0</v>
      </c>
      <c r="AW66" s="71">
        <f t="shared" ca="1" si="8"/>
        <v>0</v>
      </c>
      <c r="AX66" s="71">
        <f ca="1">IF(E66&lt;'Invoer gegevens (N)'!$C$17+15,0,IF(E66&gt;'Invoer gegevens (N)'!$C$17+215,0,AW66))</f>
        <v>0</v>
      </c>
      <c r="AY66" s="71">
        <f ca="1">AX66/(1+'Invoer gegevens (N)'!$F$18)^($AZ66-('Invoer gegevens (N)'!$C$17-'Invoer gegevens (N)'!$C$16))/(1+'Invoer gegevens (N)'!$C$39)^('Invoer gegevens (N)'!$C$17-'Invoer gegevens (N)'!$C$16)</f>
        <v>0</v>
      </c>
      <c r="AZ66" s="68">
        <f ca="1">IF(E66-'Invoer gegevens (N)'!$C$17-14.5&lt;0,0,E66-'Invoer gegevens (N)'!$C$17-14.5)</f>
        <v>46.5</v>
      </c>
    </row>
    <row r="67" spans="2:52" x14ac:dyDescent="0.25">
      <c r="B67" s="70">
        <f t="shared" si="9"/>
        <v>63</v>
      </c>
      <c r="C67" s="67">
        <f ca="1">IF(E67-'Invoer gegevens (N)'!$C$17&lt;0,0,1)</f>
        <v>1</v>
      </c>
      <c r="D67" s="68">
        <f t="shared" si="10"/>
        <v>62.5</v>
      </c>
      <c r="E67" s="108">
        <f ca="1">IF('Invoer gegevens (N)'!$C$16="","",E66+1)</f>
        <v>2081</v>
      </c>
      <c r="F67" s="84">
        <f ca="1">IF('Invoer gegevens (N)'!$C$17=E67,'Invoer gegevens (N)'!$C$10,IF(C67=1,K66,0))</f>
        <v>0</v>
      </c>
      <c r="G67" s="96">
        <f ca="1">IF(C67&gt;=1,F67*VLOOKUP(E67,'Reeksen (N)'!$A$5:$B$76,2),0)</f>
        <v>0</v>
      </c>
      <c r="H67" s="84">
        <f ca="1">(1-('Invoer gegevens (N)'!$F$20/12))*F67*MIN('Reeksen (N)'!B67,'Reeksen (N)'!D67)</f>
        <v>0</v>
      </c>
      <c r="I67" s="84">
        <f>IF('Reeksen (N)'!D67&lt;'Reeksen (N)'!B67,('Reeksen (N)'!B67-'Reeksen (N)'!D67)*F67,0)</f>
        <v>0</v>
      </c>
      <c r="J67" s="84">
        <f ca="1">('Invoer gegevens (N)'!$F$20/12)*F66*MIN('Reeksen (N)'!B66,'Reeksen (N)'!D66)</f>
        <v>0</v>
      </c>
      <c r="K67" s="97">
        <f t="shared" ca="1" si="1"/>
        <v>0</v>
      </c>
      <c r="L67" s="84">
        <f ca="1">IF('Invoer gegevens (N)'!$C$17=E67,0,IF(C67=1,Q66,0))</f>
        <v>0</v>
      </c>
      <c r="M67" s="96">
        <f ca="1">IF(C67&gt;=1,L67*VLOOKUP(E67,'Reeksen (N)'!$A$5:$B$76,2),0)</f>
        <v>0</v>
      </c>
      <c r="N67" s="84">
        <f ca="1">(1-('Invoer gegevens (N)'!$F$20/12))*L67*MIN('Reeksen (N)'!B67,'Reeksen (N)'!D67)</f>
        <v>0</v>
      </c>
      <c r="O67" s="84">
        <f>IF('Reeksen (N)'!D67&lt;'Reeksen (N)'!B67,('Reeksen (N)'!B67-'Reeksen (N)'!D67)*L67,0)</f>
        <v>0</v>
      </c>
      <c r="P67" s="84">
        <f ca="1">('Invoer gegevens (N)'!$F$20/12)*L66*MIN('Reeksen (N)'!B66,'Reeksen (N)'!D66)</f>
        <v>0</v>
      </c>
      <c r="Q67" s="84">
        <f t="shared" ca="1" si="2"/>
        <v>0</v>
      </c>
      <c r="R67" s="82">
        <f ca="1">IF('Invoer gegevens (N)'!$C$17=E67,'Invoer gegevens (N)'!$C$11,IF(C67=1,W66,0))</f>
        <v>0</v>
      </c>
      <c r="S67" s="86">
        <f ca="1">IF(C67&gt;=1,R67*VLOOKUP(E67,'Reeksen (N)'!$A$5:$B$76,2),0)</f>
        <v>0</v>
      </c>
      <c r="T67" s="84">
        <f ca="1">(1-('Invoer gegevens (N)'!$F$20/12))*R67*MIN('Reeksen (N)'!B67,'Reeksen (N)'!D67)</f>
        <v>0</v>
      </c>
      <c r="U67" s="84">
        <f>IF('Reeksen (N)'!D67&gt;='Reeksen (N)'!B67,0,IF('Reeksen (N)'!AK67&lt;='Reeksen (N)'!AE67,('Reeksen (N)'!B67-'Reeksen (N)'!D67)*R67,0))</f>
        <v>0</v>
      </c>
      <c r="V67" s="86">
        <f>IF('Reeksen (N)'!D67&gt;='Reeksen (N)'!B67,0,IF('Reeksen (N)'!AK67&gt;'Reeksen (N)'!AE67,('Reeksen (N)'!B67-'Reeksen (N)'!D67)*R67,0))</f>
        <v>0</v>
      </c>
      <c r="W67" s="97">
        <f t="shared" ca="1" si="3"/>
        <v>0</v>
      </c>
      <c r="X67" s="98">
        <f ca="1">IF('Invoer gegevens (N)'!$C$17=E67,'Invoer gegevens (N)'!$C$10-'Invoer gegevens (N)'!$C$11,IF(C67=1,AC66,0))</f>
        <v>0</v>
      </c>
      <c r="Y67" s="98">
        <f ca="1">IF(C67&gt;=1,X67*VLOOKUP(E67,'Reeksen (N)'!$A$5:$B$76,2),0)</f>
        <v>0</v>
      </c>
      <c r="Z67" s="98">
        <f ca="1">(1-('Invoer gegevens (N)'!$F$20/12))*X67*MIN('Reeksen (N)'!B67,'Reeksen (N)'!D67)</f>
        <v>0</v>
      </c>
      <c r="AA67" s="98">
        <f>IF('Reeksen (N)'!D67&gt;='Reeksen (N)'!B67,0,IF('Reeksen (N)'!AK67&lt;='Reeksen (N)'!AE67,('Reeksen (N)'!B67-'Reeksen (N)'!D67)*X67,0))</f>
        <v>0</v>
      </c>
      <c r="AB67" s="98">
        <f>IF('Reeksen (N)'!D67&gt;='Reeksen (N)'!B67,0,IF('Reeksen (N)'!AK67&gt;'Reeksen (N)'!AE67,('Reeksen (N)'!B67-'Reeksen (N)'!D67)*X67,0))</f>
        <v>0</v>
      </c>
      <c r="AC67" s="99">
        <f t="shared" ca="1" si="4"/>
        <v>0</v>
      </c>
      <c r="AD67" s="98">
        <f ca="1">IF('Invoer gegevens (N)'!$C$17=E67,R67,IF(C67=0,0,AE66))</f>
        <v>0</v>
      </c>
      <c r="AE67" s="98">
        <f t="shared" ca="1" si="5"/>
        <v>0</v>
      </c>
      <c r="AF67" s="98">
        <f ca="1">IF('Invoer gegevens (N)'!$C$17=E67,X67,IF(C67=0,0,AG66))</f>
        <v>0</v>
      </c>
      <c r="AG67" s="98">
        <f t="shared" ca="1" si="6"/>
        <v>0</v>
      </c>
      <c r="AH67" s="68"/>
      <c r="AI67" s="71">
        <f ca="1">IF(C67=1,'Reeksen (N)'!AJ67*((F67-G67+F67)/2)*12+'Reeksen (N)'!AK67*((L67-M67+L67)/2)*12,0)</f>
        <v>0</v>
      </c>
      <c r="AJ67" s="71">
        <f ca="1">-AI67*'Invoer gegevens (N)'!$F$28</f>
        <v>0</v>
      </c>
      <c r="AK67" s="71">
        <f t="shared" ca="1" si="0"/>
        <v>0</v>
      </c>
      <c r="AL67" s="71">
        <f ca="1">IF(C67=1,'Reeksen (N)'!AL67*((F67-G67+F67)/2)*12+'Reeksen (N)'!AM67*((L67-M67+L67)/2)*12,0)</f>
        <v>0</v>
      </c>
      <c r="AM67" s="71">
        <f ca="1">-AL67*'Invoer gegevens (N)'!$F$31</f>
        <v>0</v>
      </c>
      <c r="AN67" s="71">
        <f t="shared" ca="1" si="7"/>
        <v>0</v>
      </c>
      <c r="AO67" s="71">
        <f ca="1">IF(C67=1,(H67+J67+N67+P67)*'Reeksen (N)'!AN67,0)</f>
        <v>0</v>
      </c>
      <c r="AP67" s="71">
        <f ca="1">-IF(C67=1,(H67+J67+N67+P67)*'Hulp - basis'!$O$550*'Reeksen (N)'!H67,0)</f>
        <v>0</v>
      </c>
      <c r="AQ67" s="71">
        <f ca="1">-IF(C67=1,(F67+K67+L67+Q67)/2*'Invoer gegevens (N)'!$I$33*'Reeksen (N)'!J67,0)*2</f>
        <v>0</v>
      </c>
      <c r="AR67" s="71">
        <f ca="1">-IF(C67=1,(I67*'Invoer gegevens (N)'!$I$34)*'Reeksen (N)'!J67,0)</f>
        <v>0</v>
      </c>
      <c r="AS67" s="71">
        <f ca="1">-IF(C67=1,(F67+K67+L67+Q67)/2*'Invoer gegevens (N)'!$I$35*'Reeksen (N)'!L67,0)</f>
        <v>0</v>
      </c>
      <c r="AT67" s="71">
        <f ca="1">-IF(C67=1,IF(E67='Invoer gegevens (N)'!$C$17,'Invoer gegevens (N)'!$C$11,AD67)*'Reeksen (N)'!S67*'Invoer gegevens (N)'!$C$18*'Reeksen (N)'!P67,0)</f>
        <v>0</v>
      </c>
      <c r="AU67" s="71">
        <f ca="1">-IF(C67=1,(F67+K67+L67+Q67)/2*'Invoer gegevens (N)'!$I$36*'Reeksen (N)'!H67,0)</f>
        <v>0</v>
      </c>
      <c r="AV67" s="71">
        <v>0</v>
      </c>
      <c r="AW67" s="71">
        <f t="shared" ca="1" si="8"/>
        <v>0</v>
      </c>
      <c r="AX67" s="71">
        <f ca="1">IF(E67&lt;'Invoer gegevens (N)'!$C$17+15,0,IF(E67&gt;'Invoer gegevens (N)'!$C$17+215,0,AW67))</f>
        <v>0</v>
      </c>
      <c r="AY67" s="71">
        <f ca="1">AX67/(1+'Invoer gegevens (N)'!$F$18)^($AZ67-('Invoer gegevens (N)'!$C$17-'Invoer gegevens (N)'!$C$16))/(1+'Invoer gegevens (N)'!$C$39)^('Invoer gegevens (N)'!$C$17-'Invoer gegevens (N)'!$C$16)</f>
        <v>0</v>
      </c>
      <c r="AZ67" s="68">
        <f ca="1">IF(E67-'Invoer gegevens (N)'!$C$17-14.5&lt;0,0,E67-'Invoer gegevens (N)'!$C$17-14.5)</f>
        <v>47.5</v>
      </c>
    </row>
    <row r="68" spans="2:52" x14ac:dyDescent="0.25">
      <c r="B68" s="70">
        <f t="shared" si="9"/>
        <v>64</v>
      </c>
      <c r="C68" s="67">
        <f ca="1">IF(E68-'Invoer gegevens (N)'!$C$17&lt;0,0,1)</f>
        <v>1</v>
      </c>
      <c r="D68" s="68">
        <f t="shared" si="10"/>
        <v>63.5</v>
      </c>
      <c r="E68" s="108">
        <f ca="1">IF('Invoer gegevens (N)'!$C$16="","",E67+1)</f>
        <v>2082</v>
      </c>
      <c r="F68" s="84">
        <f ca="1">IF('Invoer gegevens (N)'!$C$17=E68,'Invoer gegevens (N)'!$C$10,IF(C68=1,K67,0))</f>
        <v>0</v>
      </c>
      <c r="G68" s="96">
        <f ca="1">IF(C68&gt;=1,F68*VLOOKUP(E68,'Reeksen (N)'!$A$5:$B$76,2),0)</f>
        <v>0</v>
      </c>
      <c r="H68" s="84">
        <f ca="1">(1-('Invoer gegevens (N)'!$F$20/12))*F68*MIN('Reeksen (N)'!B68,'Reeksen (N)'!D68)</f>
        <v>0</v>
      </c>
      <c r="I68" s="84">
        <f>IF('Reeksen (N)'!D68&lt;'Reeksen (N)'!B68,('Reeksen (N)'!B68-'Reeksen (N)'!D68)*F68,0)</f>
        <v>0</v>
      </c>
      <c r="J68" s="84">
        <f ca="1">('Invoer gegevens (N)'!$F$20/12)*F67*MIN('Reeksen (N)'!B67,'Reeksen (N)'!D67)</f>
        <v>0</v>
      </c>
      <c r="K68" s="97">
        <f t="shared" ca="1" si="1"/>
        <v>0</v>
      </c>
      <c r="L68" s="84">
        <f ca="1">IF('Invoer gegevens (N)'!$C$17=E68,0,IF(C68=1,Q67,0))</f>
        <v>0</v>
      </c>
      <c r="M68" s="96">
        <f ca="1">IF(C68&gt;=1,L68*VLOOKUP(E68,'Reeksen (N)'!$A$5:$B$76,2),0)</f>
        <v>0</v>
      </c>
      <c r="N68" s="84">
        <f ca="1">(1-('Invoer gegevens (N)'!$F$20/12))*L68*MIN('Reeksen (N)'!B68,'Reeksen (N)'!D68)</f>
        <v>0</v>
      </c>
      <c r="O68" s="84">
        <f>IF('Reeksen (N)'!D68&lt;'Reeksen (N)'!B68,('Reeksen (N)'!B68-'Reeksen (N)'!D68)*L68,0)</f>
        <v>0</v>
      </c>
      <c r="P68" s="84">
        <f ca="1">('Invoer gegevens (N)'!$F$20/12)*L67*MIN('Reeksen (N)'!B67,'Reeksen (N)'!D67)</f>
        <v>0</v>
      </c>
      <c r="Q68" s="84">
        <f t="shared" ca="1" si="2"/>
        <v>0</v>
      </c>
      <c r="R68" s="82">
        <f ca="1">IF('Invoer gegevens (N)'!$C$17=E68,'Invoer gegevens (N)'!$C$11,IF(C68=1,W67,0))</f>
        <v>0</v>
      </c>
      <c r="S68" s="86">
        <f ca="1">IF(C68&gt;=1,R68*VLOOKUP(E68,'Reeksen (N)'!$A$5:$B$76,2),0)</f>
        <v>0</v>
      </c>
      <c r="T68" s="84">
        <f ca="1">(1-('Invoer gegevens (N)'!$F$20/12))*R68*MIN('Reeksen (N)'!B68,'Reeksen (N)'!D68)</f>
        <v>0</v>
      </c>
      <c r="U68" s="84">
        <f>IF('Reeksen (N)'!D68&gt;='Reeksen (N)'!B68,0,IF('Reeksen (N)'!AK68&lt;='Reeksen (N)'!AE68,('Reeksen (N)'!B68-'Reeksen (N)'!D68)*R68,0))</f>
        <v>0</v>
      </c>
      <c r="V68" s="86">
        <f>IF('Reeksen (N)'!D68&gt;='Reeksen (N)'!B68,0,IF('Reeksen (N)'!AK68&gt;'Reeksen (N)'!AE68,('Reeksen (N)'!B68-'Reeksen (N)'!D68)*R68,0))</f>
        <v>0</v>
      </c>
      <c r="W68" s="97">
        <f t="shared" ca="1" si="3"/>
        <v>0</v>
      </c>
      <c r="X68" s="98">
        <f ca="1">IF('Invoer gegevens (N)'!$C$17=E68,'Invoer gegevens (N)'!$C$10-'Invoer gegevens (N)'!$C$11,IF(C68=1,AC67,0))</f>
        <v>0</v>
      </c>
      <c r="Y68" s="98">
        <f ca="1">IF(C68&gt;=1,X68*VLOOKUP(E68,'Reeksen (N)'!$A$5:$B$76,2),0)</f>
        <v>0</v>
      </c>
      <c r="Z68" s="98">
        <f ca="1">(1-('Invoer gegevens (N)'!$F$20/12))*X68*MIN('Reeksen (N)'!B68,'Reeksen (N)'!D68)</f>
        <v>0</v>
      </c>
      <c r="AA68" s="98">
        <f>IF('Reeksen (N)'!D68&gt;='Reeksen (N)'!B68,0,IF('Reeksen (N)'!AK68&lt;='Reeksen (N)'!AE68,('Reeksen (N)'!B68-'Reeksen (N)'!D68)*X68,0))</f>
        <v>0</v>
      </c>
      <c r="AB68" s="98">
        <f>IF('Reeksen (N)'!D68&gt;='Reeksen (N)'!B68,0,IF('Reeksen (N)'!AK68&gt;'Reeksen (N)'!AE68,('Reeksen (N)'!B68-'Reeksen (N)'!D68)*X68,0))</f>
        <v>0</v>
      </c>
      <c r="AC68" s="99">
        <f t="shared" ca="1" si="4"/>
        <v>0</v>
      </c>
      <c r="AD68" s="98">
        <f ca="1">IF('Invoer gegevens (N)'!$C$17=E68,R68,IF(C68=0,0,AE67))</f>
        <v>0</v>
      </c>
      <c r="AE68" s="98">
        <f t="shared" ca="1" si="5"/>
        <v>0</v>
      </c>
      <c r="AF68" s="98">
        <f ca="1">IF('Invoer gegevens (N)'!$C$17=E68,X68,IF(C68=0,0,AG67))</f>
        <v>0</v>
      </c>
      <c r="AG68" s="98">
        <f t="shared" ca="1" si="6"/>
        <v>0</v>
      </c>
      <c r="AH68" s="68"/>
      <c r="AI68" s="71">
        <f ca="1">IF(C68=1,'Reeksen (N)'!AJ68*((F68-G68+F68)/2)*12+'Reeksen (N)'!AK68*((L68-M68+L68)/2)*12,0)</f>
        <v>0</v>
      </c>
      <c r="AJ68" s="71">
        <f ca="1">-AI68*'Invoer gegevens (N)'!$F$28</f>
        <v>0</v>
      </c>
      <c r="AK68" s="71">
        <f t="shared" ca="1" si="0"/>
        <v>0</v>
      </c>
      <c r="AL68" s="71">
        <f ca="1">IF(C68=1,'Reeksen (N)'!AL68*((F68-G68+F68)/2)*12+'Reeksen (N)'!AM68*((L68-M68+L68)/2)*12,0)</f>
        <v>0</v>
      </c>
      <c r="AM68" s="71">
        <f ca="1">-AL68*'Invoer gegevens (N)'!$F$31</f>
        <v>0</v>
      </c>
      <c r="AN68" s="71">
        <f t="shared" ca="1" si="7"/>
        <v>0</v>
      </c>
      <c r="AO68" s="71">
        <f ca="1">IF(C68=1,(H68+J68+N68+P68)*'Reeksen (N)'!AN68,0)</f>
        <v>0</v>
      </c>
      <c r="AP68" s="71">
        <f ca="1">-IF(C68=1,(H68+J68+N68+P68)*'Hulp - basis'!$O$550*'Reeksen (N)'!H68,0)</f>
        <v>0</v>
      </c>
      <c r="AQ68" s="71">
        <f ca="1">-IF(C68=1,(F68+K68+L68+Q68)/2*'Invoer gegevens (N)'!$I$33*'Reeksen (N)'!J68,0)*2</f>
        <v>0</v>
      </c>
      <c r="AR68" s="71">
        <f ca="1">-IF(C68=1,(I68*'Invoer gegevens (N)'!$I$34)*'Reeksen (N)'!J68,0)</f>
        <v>0</v>
      </c>
      <c r="AS68" s="71">
        <f ca="1">-IF(C68=1,(F68+K68+L68+Q68)/2*'Invoer gegevens (N)'!$I$35*'Reeksen (N)'!L68,0)</f>
        <v>0</v>
      </c>
      <c r="AT68" s="71">
        <f ca="1">-IF(C68=1,IF(E68='Invoer gegevens (N)'!$C$17,'Invoer gegevens (N)'!$C$11,AD68)*'Reeksen (N)'!S68*'Invoer gegevens (N)'!$C$18*'Reeksen (N)'!P68,0)</f>
        <v>0</v>
      </c>
      <c r="AU68" s="71">
        <f ca="1">-IF(C68=1,(F68+K68+L68+Q68)/2*'Invoer gegevens (N)'!$I$36*'Reeksen (N)'!H68,0)</f>
        <v>0</v>
      </c>
      <c r="AV68" s="71">
        <v>0</v>
      </c>
      <c r="AW68" s="71">
        <f t="shared" ca="1" si="8"/>
        <v>0</v>
      </c>
      <c r="AX68" s="71">
        <f ca="1">IF(E68&lt;'Invoer gegevens (N)'!$C$17+15,0,IF(E68&gt;'Invoer gegevens (N)'!$C$17+215,0,AW68))</f>
        <v>0</v>
      </c>
      <c r="AY68" s="71">
        <f ca="1">AX68/(1+'Invoer gegevens (N)'!$F$18)^($AZ68-('Invoer gegevens (N)'!$C$17-'Invoer gegevens (N)'!$C$16))/(1+'Invoer gegevens (N)'!$C$39)^('Invoer gegevens (N)'!$C$17-'Invoer gegevens (N)'!$C$16)</f>
        <v>0</v>
      </c>
      <c r="AZ68" s="68">
        <f ca="1">IF(E68-'Invoer gegevens (N)'!$C$17-14.5&lt;0,0,E68-'Invoer gegevens (N)'!$C$17-14.5)</f>
        <v>48.5</v>
      </c>
    </row>
    <row r="69" spans="2:52" x14ac:dyDescent="0.25">
      <c r="B69" s="70">
        <f t="shared" si="9"/>
        <v>65</v>
      </c>
      <c r="C69" s="67">
        <f ca="1">IF(E69-'Invoer gegevens (N)'!$C$17&lt;0,0,1)</f>
        <v>1</v>
      </c>
      <c r="D69" s="68">
        <f t="shared" si="10"/>
        <v>64.5</v>
      </c>
      <c r="E69" s="108">
        <f ca="1">IF('Invoer gegevens (N)'!$C$16="","",E68+1)</f>
        <v>2083</v>
      </c>
      <c r="F69" s="84">
        <f ca="1">IF('Invoer gegevens (N)'!$C$17=E69,'Invoer gegevens (N)'!$C$10,IF(C69=1,K68,0))</f>
        <v>0</v>
      </c>
      <c r="G69" s="96">
        <f ca="1">IF(C69&gt;=1,F69*VLOOKUP(E69,'Reeksen (N)'!$A$5:$B$76,2),0)</f>
        <v>0</v>
      </c>
      <c r="H69" s="84">
        <f ca="1">(1-('Invoer gegevens (N)'!$F$20/12))*F69*MIN('Reeksen (N)'!B69,'Reeksen (N)'!D69)</f>
        <v>0</v>
      </c>
      <c r="I69" s="84">
        <f>IF('Reeksen (N)'!D69&lt;'Reeksen (N)'!B69,('Reeksen (N)'!B69-'Reeksen (N)'!D69)*F69,0)</f>
        <v>0</v>
      </c>
      <c r="J69" s="84">
        <f ca="1">('Invoer gegevens (N)'!$F$20/12)*F68*MIN('Reeksen (N)'!B68,'Reeksen (N)'!D68)</f>
        <v>0</v>
      </c>
      <c r="K69" s="97">
        <f t="shared" ca="1" si="1"/>
        <v>0</v>
      </c>
      <c r="L69" s="84">
        <f ca="1">IF('Invoer gegevens (N)'!$C$17=E69,0,IF(C69=1,Q68,0))</f>
        <v>0</v>
      </c>
      <c r="M69" s="96">
        <f ca="1">IF(C69&gt;=1,L69*VLOOKUP(E69,'Reeksen (N)'!$A$5:$B$76,2),0)</f>
        <v>0</v>
      </c>
      <c r="N69" s="84">
        <f ca="1">(1-('Invoer gegevens (N)'!$F$20/12))*L69*MIN('Reeksen (N)'!B69,'Reeksen (N)'!D69)</f>
        <v>0</v>
      </c>
      <c r="O69" s="84">
        <f>IF('Reeksen (N)'!D69&lt;'Reeksen (N)'!B69,('Reeksen (N)'!B69-'Reeksen (N)'!D69)*L69,0)</f>
        <v>0</v>
      </c>
      <c r="P69" s="84">
        <f ca="1">('Invoer gegevens (N)'!$F$20/12)*L68*MIN('Reeksen (N)'!B68,'Reeksen (N)'!D68)</f>
        <v>0</v>
      </c>
      <c r="Q69" s="84">
        <f t="shared" ca="1" si="2"/>
        <v>0</v>
      </c>
      <c r="R69" s="82">
        <f ca="1">IF('Invoer gegevens (N)'!$C$17=E69,'Invoer gegevens (N)'!$C$11,IF(C69=1,W68,0))</f>
        <v>0</v>
      </c>
      <c r="S69" s="86">
        <f ca="1">IF(C69&gt;=1,R69*VLOOKUP(E69,'Reeksen (N)'!$A$5:$B$76,2),0)</f>
        <v>0</v>
      </c>
      <c r="T69" s="84">
        <f ca="1">(1-('Invoer gegevens (N)'!$F$20/12))*R69*MIN('Reeksen (N)'!B69,'Reeksen (N)'!D69)</f>
        <v>0</v>
      </c>
      <c r="U69" s="84">
        <f>IF('Reeksen (N)'!D69&gt;='Reeksen (N)'!B69,0,IF('Reeksen (N)'!AK69&lt;='Reeksen (N)'!AE69,('Reeksen (N)'!B69-'Reeksen (N)'!D69)*R69,0))</f>
        <v>0</v>
      </c>
      <c r="V69" s="86">
        <f>IF('Reeksen (N)'!D69&gt;='Reeksen (N)'!B69,0,IF('Reeksen (N)'!AK69&gt;'Reeksen (N)'!AE69,('Reeksen (N)'!B69-'Reeksen (N)'!D69)*R69,0))</f>
        <v>0</v>
      </c>
      <c r="W69" s="97">
        <f t="shared" ca="1" si="3"/>
        <v>0</v>
      </c>
      <c r="X69" s="98">
        <f ca="1">IF('Invoer gegevens (N)'!$C$17=E69,'Invoer gegevens (N)'!$C$10-'Invoer gegevens (N)'!$C$11,IF(C69=1,AC68,0))</f>
        <v>0</v>
      </c>
      <c r="Y69" s="98">
        <f ca="1">IF(C69&gt;=1,X69*VLOOKUP(E69,'Reeksen (N)'!$A$5:$B$76,2),0)</f>
        <v>0</v>
      </c>
      <c r="Z69" s="98">
        <f ca="1">(1-('Invoer gegevens (N)'!$F$20/12))*X69*MIN('Reeksen (N)'!B69,'Reeksen (N)'!D69)</f>
        <v>0</v>
      </c>
      <c r="AA69" s="98">
        <f>IF('Reeksen (N)'!D69&gt;='Reeksen (N)'!B69,0,IF('Reeksen (N)'!AK69&lt;='Reeksen (N)'!AE69,('Reeksen (N)'!B69-'Reeksen (N)'!D69)*X69,0))</f>
        <v>0</v>
      </c>
      <c r="AB69" s="98">
        <f>IF('Reeksen (N)'!D69&gt;='Reeksen (N)'!B69,0,IF('Reeksen (N)'!AK69&gt;'Reeksen (N)'!AE69,('Reeksen (N)'!B69-'Reeksen (N)'!D69)*X69,0))</f>
        <v>0</v>
      </c>
      <c r="AC69" s="99">
        <f t="shared" ca="1" si="4"/>
        <v>0</v>
      </c>
      <c r="AD69" s="98">
        <f ca="1">IF('Invoer gegevens (N)'!$C$17=E69,R69,IF(C69=0,0,AE68))</f>
        <v>0</v>
      </c>
      <c r="AE69" s="98">
        <f t="shared" ca="1" si="5"/>
        <v>0</v>
      </c>
      <c r="AF69" s="98">
        <f ca="1">IF('Invoer gegevens (N)'!$C$17=E69,X69,IF(C69=0,0,AG68))</f>
        <v>0</v>
      </c>
      <c r="AG69" s="98">
        <f t="shared" ca="1" si="6"/>
        <v>0</v>
      </c>
      <c r="AH69" s="68"/>
      <c r="AI69" s="71">
        <f ca="1">IF(C69=1,'Reeksen (N)'!AJ69*((F69-G69+F69)/2)*12+'Reeksen (N)'!AK69*((L69-M69+L69)/2)*12,0)</f>
        <v>0</v>
      </c>
      <c r="AJ69" s="71">
        <f ca="1">-AI69*'Invoer gegevens (N)'!$F$28</f>
        <v>0</v>
      </c>
      <c r="AK69" s="71">
        <f t="shared" ref="AK69:AK132" ca="1" si="11">AI69+AJ69</f>
        <v>0</v>
      </c>
      <c r="AL69" s="71">
        <f ca="1">IF(C69=1,'Reeksen (N)'!AL69*((F69-G69+F69)/2)*12+'Reeksen (N)'!AM69*((L69-M69+L69)/2)*12,0)</f>
        <v>0</v>
      </c>
      <c r="AM69" s="71">
        <f ca="1">-AL69*'Invoer gegevens (N)'!$F$31</f>
        <v>0</v>
      </c>
      <c r="AN69" s="71">
        <f t="shared" ca="1" si="7"/>
        <v>0</v>
      </c>
      <c r="AO69" s="71">
        <f ca="1">IF(C69=1,(H69+J69+N69+P69)*'Reeksen (N)'!AN69,0)</f>
        <v>0</v>
      </c>
      <c r="AP69" s="71">
        <f ca="1">-IF(C69=1,(H69+J69+N69+P69)*'Hulp - basis'!$O$550*'Reeksen (N)'!H69,0)</f>
        <v>0</v>
      </c>
      <c r="AQ69" s="71">
        <f ca="1">-IF(C69=1,(F69+K69+L69+Q69)/2*'Invoer gegevens (N)'!$I$33*'Reeksen (N)'!J69,0)*2</f>
        <v>0</v>
      </c>
      <c r="AR69" s="71">
        <f ca="1">-IF(C69=1,(I69*'Invoer gegevens (N)'!$I$34)*'Reeksen (N)'!J69,0)</f>
        <v>0</v>
      </c>
      <c r="AS69" s="71">
        <f ca="1">-IF(C69=1,(F69+K69+L69+Q69)/2*'Invoer gegevens (N)'!$I$35*'Reeksen (N)'!L69,0)</f>
        <v>0</v>
      </c>
      <c r="AT69" s="71">
        <f ca="1">-IF(C69=1,IF(E69='Invoer gegevens (N)'!$C$17,'Invoer gegevens (N)'!$C$11,AD69)*'Reeksen (N)'!S69*'Invoer gegevens (N)'!$C$18*'Reeksen (N)'!P69,0)</f>
        <v>0</v>
      </c>
      <c r="AU69" s="71">
        <f ca="1">-IF(C69=1,(F69+K69+L69+Q69)/2*'Invoer gegevens (N)'!$I$36*'Reeksen (N)'!H69,0)</f>
        <v>0</v>
      </c>
      <c r="AV69" s="71">
        <v>0</v>
      </c>
      <c r="AW69" s="71">
        <f t="shared" ca="1" si="8"/>
        <v>0</v>
      </c>
      <c r="AX69" s="71">
        <f ca="1">IF(E69&lt;'Invoer gegevens (N)'!$C$17+15,0,IF(E69&gt;'Invoer gegevens (N)'!$C$17+215,0,AW69))</f>
        <v>0</v>
      </c>
      <c r="AY69" s="71">
        <f ca="1">AX69/(1+'Invoer gegevens (N)'!$F$18)^($AZ69-('Invoer gegevens (N)'!$C$17-'Invoer gegevens (N)'!$C$16))/(1+'Invoer gegevens (N)'!$C$39)^('Invoer gegevens (N)'!$C$17-'Invoer gegevens (N)'!$C$16)</f>
        <v>0</v>
      </c>
      <c r="AZ69" s="68">
        <f ca="1">IF(E69-'Invoer gegevens (N)'!$C$17-14.5&lt;0,0,E69-'Invoer gegevens (N)'!$C$17-14.5)</f>
        <v>49.5</v>
      </c>
    </row>
    <row r="70" spans="2:52" x14ac:dyDescent="0.25">
      <c r="B70" s="70">
        <f t="shared" si="9"/>
        <v>66</v>
      </c>
      <c r="C70" s="67">
        <f ca="1">IF(E70-'Invoer gegevens (N)'!$C$17&lt;0,0,1)</f>
        <v>1</v>
      </c>
      <c r="D70" s="68">
        <f t="shared" si="10"/>
        <v>65.5</v>
      </c>
      <c r="E70" s="108">
        <f ca="1">IF('Invoer gegevens (N)'!$C$16="","",E69+1)</f>
        <v>2084</v>
      </c>
      <c r="F70" s="84">
        <f ca="1">IF('Invoer gegevens (N)'!$C$17=E70,'Invoer gegevens (N)'!$C$10,IF(C70=1,K69,0))</f>
        <v>0</v>
      </c>
      <c r="G70" s="96">
        <f ca="1">IF(C70&gt;=1,F70*VLOOKUP(E70,'Reeksen (N)'!$A$5:$B$76,2),0)</f>
        <v>0</v>
      </c>
      <c r="H70" s="84">
        <f ca="1">(1-('Invoer gegevens (N)'!$F$20/12))*F70*MIN('Reeksen (N)'!B70,'Reeksen (N)'!D70)</f>
        <v>0</v>
      </c>
      <c r="I70" s="84">
        <f>IF('Reeksen (N)'!D70&lt;'Reeksen (N)'!B70,('Reeksen (N)'!B70-'Reeksen (N)'!D70)*F70,0)</f>
        <v>0</v>
      </c>
      <c r="J70" s="84">
        <f ca="1">('Invoer gegevens (N)'!$F$20/12)*F69*MIN('Reeksen (N)'!B69,'Reeksen (N)'!D69)</f>
        <v>0</v>
      </c>
      <c r="K70" s="97">
        <f t="shared" ref="K70:K133" ca="1" si="12">F70-G70</f>
        <v>0</v>
      </c>
      <c r="L70" s="84">
        <f ca="1">IF('Invoer gegevens (N)'!$C$17=E70,0,IF(C70=1,Q69,0))</f>
        <v>0</v>
      </c>
      <c r="M70" s="96">
        <f ca="1">IF(C70&gt;=1,L70*VLOOKUP(E70,'Reeksen (N)'!$A$5:$B$76,2),0)</f>
        <v>0</v>
      </c>
      <c r="N70" s="84">
        <f ca="1">(1-('Invoer gegevens (N)'!$F$20/12))*L70*MIN('Reeksen (N)'!B70,'Reeksen (N)'!D70)</f>
        <v>0</v>
      </c>
      <c r="O70" s="84">
        <f>IF('Reeksen (N)'!D70&lt;'Reeksen (N)'!B70,('Reeksen (N)'!B70-'Reeksen (N)'!D70)*L70,0)</f>
        <v>0</v>
      </c>
      <c r="P70" s="84">
        <f ca="1">('Invoer gegevens (N)'!$F$20/12)*L69*MIN('Reeksen (N)'!B69,'Reeksen (N)'!D69)</f>
        <v>0</v>
      </c>
      <c r="Q70" s="84">
        <f t="shared" ref="Q70:Q133" ca="1" si="13">L70-M70+I70+O70</f>
        <v>0</v>
      </c>
      <c r="R70" s="82">
        <f ca="1">IF('Invoer gegevens (N)'!$C$17=E70,'Invoer gegevens (N)'!$C$11,IF(C70=1,W69,0))</f>
        <v>0</v>
      </c>
      <c r="S70" s="86">
        <f ca="1">IF(C70&gt;=1,R70*VLOOKUP(E70,'Reeksen (N)'!$A$5:$B$76,2),0)</f>
        <v>0</v>
      </c>
      <c r="T70" s="84">
        <f ca="1">(1-('Invoer gegevens (N)'!$F$20/12))*R70*MIN('Reeksen (N)'!B70,'Reeksen (N)'!D70)</f>
        <v>0</v>
      </c>
      <c r="U70" s="84">
        <f>IF('Reeksen (N)'!D70&gt;='Reeksen (N)'!B70,0,IF('Reeksen (N)'!AK70&lt;='Reeksen (N)'!AE70,('Reeksen (N)'!B70-'Reeksen (N)'!D70)*R70,0))</f>
        <v>0</v>
      </c>
      <c r="V70" s="86">
        <f>IF('Reeksen (N)'!D70&gt;='Reeksen (N)'!B70,0,IF('Reeksen (N)'!AK70&gt;'Reeksen (N)'!AE70,('Reeksen (N)'!B70-'Reeksen (N)'!D70)*R70,0))</f>
        <v>0</v>
      </c>
      <c r="W70" s="97">
        <f t="shared" ref="W70:W133" ca="1" si="14">R70-S70</f>
        <v>0</v>
      </c>
      <c r="X70" s="98">
        <f ca="1">IF('Invoer gegevens (N)'!$C$17=E70,'Invoer gegevens (N)'!$C$10-'Invoer gegevens (N)'!$C$11,IF(C70=1,AC69,0))</f>
        <v>0</v>
      </c>
      <c r="Y70" s="98">
        <f ca="1">IF(C70&gt;=1,X70*VLOOKUP(E70,'Reeksen (N)'!$A$5:$B$76,2),0)</f>
        <v>0</v>
      </c>
      <c r="Z70" s="98">
        <f ca="1">(1-('Invoer gegevens (N)'!$F$20/12))*X70*MIN('Reeksen (N)'!B70,'Reeksen (N)'!D70)</f>
        <v>0</v>
      </c>
      <c r="AA70" s="98">
        <f>IF('Reeksen (N)'!D70&gt;='Reeksen (N)'!B70,0,IF('Reeksen (N)'!AK70&lt;='Reeksen (N)'!AE70,('Reeksen (N)'!B70-'Reeksen (N)'!D70)*X70,0))</f>
        <v>0</v>
      </c>
      <c r="AB70" s="98">
        <f>IF('Reeksen (N)'!D70&gt;='Reeksen (N)'!B70,0,IF('Reeksen (N)'!AK70&gt;'Reeksen (N)'!AE70,('Reeksen (N)'!B70-'Reeksen (N)'!D70)*X70,0))</f>
        <v>0</v>
      </c>
      <c r="AC70" s="99">
        <f t="shared" ref="AC70:AC133" ca="1" si="15">X70-Y70</f>
        <v>0</v>
      </c>
      <c r="AD70" s="98">
        <f ca="1">IF('Invoer gegevens (N)'!$C$17=E70,R70,IF(C70=0,0,AE69))</f>
        <v>0</v>
      </c>
      <c r="AE70" s="98">
        <f t="shared" ref="AE70:AE133" ca="1" si="16">IF(C70=0,0,AD70-S70-V70+AA70)</f>
        <v>0</v>
      </c>
      <c r="AF70" s="98">
        <f ca="1">IF('Invoer gegevens (N)'!$C$17=E70,X70,IF(C70=0,0,AG69))</f>
        <v>0</v>
      </c>
      <c r="AG70" s="98">
        <f t="shared" ref="AG70:AG133" ca="1" si="17">IF(C70=0,0,AF70-Y70-AA70+V70)</f>
        <v>0</v>
      </c>
      <c r="AH70" s="68"/>
      <c r="AI70" s="71">
        <f ca="1">IF(C70=1,'Reeksen (N)'!AJ70*((F70-G70+F70)/2)*12+'Reeksen (N)'!AK70*((L70-M70+L70)/2)*12,0)</f>
        <v>0</v>
      </c>
      <c r="AJ70" s="71">
        <f ca="1">-AI70*'Invoer gegevens (N)'!$F$28</f>
        <v>0</v>
      </c>
      <c r="AK70" s="71">
        <f t="shared" ca="1" si="11"/>
        <v>0</v>
      </c>
      <c r="AL70" s="71">
        <f ca="1">IF(C70=1,'Reeksen (N)'!AL70*((F70-G70+F70)/2)*12+'Reeksen (N)'!AM70*((L70-M70+L70)/2)*12,0)</f>
        <v>0</v>
      </c>
      <c r="AM70" s="71">
        <f ca="1">-AL70*'Invoer gegevens (N)'!$F$31</f>
        <v>0</v>
      </c>
      <c r="AN70" s="71">
        <f t="shared" ref="AN70:AN133" ca="1" si="18">AL70+AM70</f>
        <v>0</v>
      </c>
      <c r="AO70" s="71">
        <f ca="1">IF(C70=1,(H70+J70+N70+P70)*'Reeksen (N)'!AN70,0)</f>
        <v>0</v>
      </c>
      <c r="AP70" s="71">
        <f ca="1">-IF(C70=1,(H70+J70+N70+P70)*'Hulp - basis'!$O$550*'Reeksen (N)'!H70,0)</f>
        <v>0</v>
      </c>
      <c r="AQ70" s="71">
        <f ca="1">-IF(C70=1,(F70+K70+L70+Q70)/2*'Invoer gegevens (N)'!$I$33*'Reeksen (N)'!J70,0)*2</f>
        <v>0</v>
      </c>
      <c r="AR70" s="71">
        <f ca="1">-IF(C70=1,(I70*'Invoer gegevens (N)'!$I$34)*'Reeksen (N)'!J70,0)</f>
        <v>0</v>
      </c>
      <c r="AS70" s="71">
        <f ca="1">-IF(C70=1,(F70+K70+L70+Q70)/2*'Invoer gegevens (N)'!$I$35*'Reeksen (N)'!L70,0)</f>
        <v>0</v>
      </c>
      <c r="AT70" s="71">
        <f ca="1">-IF(C70=1,IF(E70='Invoer gegevens (N)'!$C$17,'Invoer gegevens (N)'!$C$11,AD70)*'Reeksen (N)'!S70*'Invoer gegevens (N)'!$C$18*'Reeksen (N)'!P70,0)</f>
        <v>0</v>
      </c>
      <c r="AU70" s="71">
        <f ca="1">-IF(C70=1,(F70+K70+L70+Q70)/2*'Invoer gegevens (N)'!$I$36*'Reeksen (N)'!H70,0)</f>
        <v>0</v>
      </c>
      <c r="AV70" s="71">
        <v>0</v>
      </c>
      <c r="AW70" s="71">
        <f t="shared" ref="AW70:AW133" ca="1" si="19">SUM(AK70,AN70:AV70)</f>
        <v>0</v>
      </c>
      <c r="AX70" s="71">
        <f ca="1">IF(E70&lt;'Invoer gegevens (N)'!$C$17+15,0,IF(E70&gt;'Invoer gegevens (N)'!$C$17+215,0,AW70))</f>
        <v>0</v>
      </c>
      <c r="AY70" s="71">
        <f ca="1">AX70/(1+'Invoer gegevens (N)'!$F$18)^($AZ70-('Invoer gegevens (N)'!$C$17-'Invoer gegevens (N)'!$C$16))/(1+'Invoer gegevens (N)'!$C$39)^('Invoer gegevens (N)'!$C$17-'Invoer gegevens (N)'!$C$16)</f>
        <v>0</v>
      </c>
      <c r="AZ70" s="68">
        <f ca="1">IF(E70-'Invoer gegevens (N)'!$C$17-14.5&lt;0,0,E70-'Invoer gegevens (N)'!$C$17-14.5)</f>
        <v>50.5</v>
      </c>
    </row>
    <row r="71" spans="2:52" x14ac:dyDescent="0.25">
      <c r="B71" s="70">
        <f t="shared" si="9"/>
        <v>67</v>
      </c>
      <c r="C71" s="67">
        <f ca="1">IF(E71-'Invoer gegevens (N)'!$C$17&lt;0,0,1)</f>
        <v>1</v>
      </c>
      <c r="D71" s="68">
        <f t="shared" si="10"/>
        <v>66.5</v>
      </c>
      <c r="E71" s="108">
        <f ca="1">IF('Invoer gegevens (N)'!$C$16="","",E70+1)</f>
        <v>2085</v>
      </c>
      <c r="F71" s="84">
        <f ca="1">IF('Invoer gegevens (N)'!$C$17=E71,'Invoer gegevens (N)'!$C$10,IF(C71=1,K70,0))</f>
        <v>0</v>
      </c>
      <c r="G71" s="96">
        <f ca="1">IF(C71&gt;=1,F71*VLOOKUP(E71,'Reeksen (N)'!$A$5:$B$76,2),0)</f>
        <v>0</v>
      </c>
      <c r="H71" s="84">
        <f ca="1">(1-('Invoer gegevens (N)'!$F$20/12))*F71*MIN('Reeksen (N)'!B71,'Reeksen (N)'!D71)</f>
        <v>0</v>
      </c>
      <c r="I71" s="84">
        <f>IF('Reeksen (N)'!D71&lt;'Reeksen (N)'!B71,('Reeksen (N)'!B71-'Reeksen (N)'!D71)*F71,0)</f>
        <v>0</v>
      </c>
      <c r="J71" s="84">
        <f ca="1">('Invoer gegevens (N)'!$F$20/12)*F70*MIN('Reeksen (N)'!B70,'Reeksen (N)'!D70)</f>
        <v>0</v>
      </c>
      <c r="K71" s="97">
        <f t="shared" ca="1" si="12"/>
        <v>0</v>
      </c>
      <c r="L71" s="84">
        <f ca="1">IF('Invoer gegevens (N)'!$C$17=E71,0,IF(C71=1,Q70,0))</f>
        <v>0</v>
      </c>
      <c r="M71" s="96">
        <f ca="1">IF(C71&gt;=1,L71*VLOOKUP(E71,'Reeksen (N)'!$A$5:$B$76,2),0)</f>
        <v>0</v>
      </c>
      <c r="N71" s="84">
        <f ca="1">(1-('Invoer gegevens (N)'!$F$20/12))*L71*MIN('Reeksen (N)'!B71,'Reeksen (N)'!D71)</f>
        <v>0</v>
      </c>
      <c r="O71" s="84">
        <f>IF('Reeksen (N)'!D71&lt;'Reeksen (N)'!B71,('Reeksen (N)'!B71-'Reeksen (N)'!D71)*L71,0)</f>
        <v>0</v>
      </c>
      <c r="P71" s="84">
        <f ca="1">('Invoer gegevens (N)'!$F$20/12)*L70*MIN('Reeksen (N)'!B70,'Reeksen (N)'!D70)</f>
        <v>0</v>
      </c>
      <c r="Q71" s="84">
        <f t="shared" ca="1" si="13"/>
        <v>0</v>
      </c>
      <c r="R71" s="82">
        <f ca="1">IF('Invoer gegevens (N)'!$C$17=E71,'Invoer gegevens (N)'!$C$11,IF(C71=1,W70,0))</f>
        <v>0</v>
      </c>
      <c r="S71" s="86">
        <f ca="1">IF(C71&gt;=1,R71*VLOOKUP(E71,'Reeksen (N)'!$A$5:$B$76,2),0)</f>
        <v>0</v>
      </c>
      <c r="T71" s="84">
        <f ca="1">(1-('Invoer gegevens (N)'!$F$20/12))*R71*MIN('Reeksen (N)'!B71,'Reeksen (N)'!D71)</f>
        <v>0</v>
      </c>
      <c r="U71" s="84">
        <f>IF('Reeksen (N)'!D71&gt;='Reeksen (N)'!B71,0,IF('Reeksen (N)'!AK71&lt;='Reeksen (N)'!AE71,('Reeksen (N)'!B71-'Reeksen (N)'!D71)*R71,0))</f>
        <v>0</v>
      </c>
      <c r="V71" s="86">
        <f>IF('Reeksen (N)'!D71&gt;='Reeksen (N)'!B71,0,IF('Reeksen (N)'!AK71&gt;'Reeksen (N)'!AE71,('Reeksen (N)'!B71-'Reeksen (N)'!D71)*R71,0))</f>
        <v>0</v>
      </c>
      <c r="W71" s="97">
        <f t="shared" ca="1" si="14"/>
        <v>0</v>
      </c>
      <c r="X71" s="98">
        <f ca="1">IF('Invoer gegevens (N)'!$C$17=E71,'Invoer gegevens (N)'!$C$10-'Invoer gegevens (N)'!$C$11,IF(C71=1,AC70,0))</f>
        <v>0</v>
      </c>
      <c r="Y71" s="98">
        <f ca="1">IF(C71&gt;=1,X71*VLOOKUP(E71,'Reeksen (N)'!$A$5:$B$76,2),0)</f>
        <v>0</v>
      </c>
      <c r="Z71" s="98">
        <f ca="1">(1-('Invoer gegevens (N)'!$F$20/12))*X71*MIN('Reeksen (N)'!B71,'Reeksen (N)'!D71)</f>
        <v>0</v>
      </c>
      <c r="AA71" s="98">
        <f>IF('Reeksen (N)'!D71&gt;='Reeksen (N)'!B71,0,IF('Reeksen (N)'!AK71&lt;='Reeksen (N)'!AE71,('Reeksen (N)'!B71-'Reeksen (N)'!D71)*X71,0))</f>
        <v>0</v>
      </c>
      <c r="AB71" s="98">
        <f>IF('Reeksen (N)'!D71&gt;='Reeksen (N)'!B71,0,IF('Reeksen (N)'!AK71&gt;'Reeksen (N)'!AE71,('Reeksen (N)'!B71-'Reeksen (N)'!D71)*X71,0))</f>
        <v>0</v>
      </c>
      <c r="AC71" s="99">
        <f t="shared" ca="1" si="15"/>
        <v>0</v>
      </c>
      <c r="AD71" s="98">
        <f ca="1">IF('Invoer gegevens (N)'!$C$17=E71,R71,IF(C71=0,0,AE70))</f>
        <v>0</v>
      </c>
      <c r="AE71" s="98">
        <f t="shared" ca="1" si="16"/>
        <v>0</v>
      </c>
      <c r="AF71" s="98">
        <f ca="1">IF('Invoer gegevens (N)'!$C$17=E71,X71,IF(C71=0,0,AG70))</f>
        <v>0</v>
      </c>
      <c r="AG71" s="98">
        <f t="shared" ca="1" si="17"/>
        <v>0</v>
      </c>
      <c r="AH71" s="68"/>
      <c r="AI71" s="71">
        <f ca="1">IF(C71=1,'Reeksen (N)'!AJ71*((F71-G71+F71)/2)*12+'Reeksen (N)'!AK71*((L71-M71+L71)/2)*12,0)</f>
        <v>0</v>
      </c>
      <c r="AJ71" s="71">
        <f ca="1">-AI71*'Invoer gegevens (N)'!$F$28</f>
        <v>0</v>
      </c>
      <c r="AK71" s="71">
        <f t="shared" ca="1" si="11"/>
        <v>0</v>
      </c>
      <c r="AL71" s="71">
        <f ca="1">IF(C71=1,'Reeksen (N)'!AL71*((F71-G71+F71)/2)*12+'Reeksen (N)'!AM71*((L71-M71+L71)/2)*12,0)</f>
        <v>0</v>
      </c>
      <c r="AM71" s="71">
        <f ca="1">-AL71*'Invoer gegevens (N)'!$F$31</f>
        <v>0</v>
      </c>
      <c r="AN71" s="71">
        <f t="shared" ca="1" si="18"/>
        <v>0</v>
      </c>
      <c r="AO71" s="71">
        <f ca="1">IF(C71=1,(H71+J71+N71+P71)*'Reeksen (N)'!AN71,0)</f>
        <v>0</v>
      </c>
      <c r="AP71" s="71">
        <f ca="1">-IF(C71=1,(H71+J71+N71+P71)*'Hulp - basis'!$O$550*'Reeksen (N)'!H71,0)</f>
        <v>0</v>
      </c>
      <c r="AQ71" s="71">
        <f ca="1">-IF(C71=1,(F71+K71+L71+Q71)/2*'Invoer gegevens (N)'!$I$33*'Reeksen (N)'!J71,0)*2</f>
        <v>0</v>
      </c>
      <c r="AR71" s="71">
        <f ca="1">-IF(C71=1,(I71*'Invoer gegevens (N)'!$I$34)*'Reeksen (N)'!J71,0)</f>
        <v>0</v>
      </c>
      <c r="AS71" s="71">
        <f ca="1">-IF(C71=1,(F71+K71+L71+Q71)/2*'Invoer gegevens (N)'!$I$35*'Reeksen (N)'!L71,0)</f>
        <v>0</v>
      </c>
      <c r="AT71" s="71">
        <f ca="1">-IF(C71=1,IF(E71='Invoer gegevens (N)'!$C$17,'Invoer gegevens (N)'!$C$11,AD71)*'Reeksen (N)'!S71*'Invoer gegevens (N)'!$C$18*'Reeksen (N)'!P71,0)</f>
        <v>0</v>
      </c>
      <c r="AU71" s="71">
        <f ca="1">-IF(C71=1,(F71+K71+L71+Q71)/2*'Invoer gegevens (N)'!$I$36*'Reeksen (N)'!H71,0)</f>
        <v>0</v>
      </c>
      <c r="AV71" s="71">
        <v>0</v>
      </c>
      <c r="AW71" s="71">
        <f t="shared" ca="1" si="19"/>
        <v>0</v>
      </c>
      <c r="AX71" s="71">
        <f ca="1">IF(E71&lt;'Invoer gegevens (N)'!$C$17+15,0,IF(E71&gt;'Invoer gegevens (N)'!$C$17+215,0,AW71))</f>
        <v>0</v>
      </c>
      <c r="AY71" s="71">
        <f ca="1">AX71/(1+'Invoer gegevens (N)'!$F$18)^($AZ71-('Invoer gegevens (N)'!$C$17-'Invoer gegevens (N)'!$C$16))/(1+'Invoer gegevens (N)'!$C$39)^('Invoer gegevens (N)'!$C$17-'Invoer gegevens (N)'!$C$16)</f>
        <v>0</v>
      </c>
      <c r="AZ71" s="68">
        <f ca="1">IF(E71-'Invoer gegevens (N)'!$C$17-14.5&lt;0,0,E71-'Invoer gegevens (N)'!$C$17-14.5)</f>
        <v>51.5</v>
      </c>
    </row>
    <row r="72" spans="2:52" x14ac:dyDescent="0.25">
      <c r="B72" s="70">
        <f t="shared" ref="B72:B135" si="20">B71+1</f>
        <v>68</v>
      </c>
      <c r="C72" s="67">
        <f ca="1">IF(E72-'Invoer gegevens (N)'!$C$17&lt;0,0,1)</f>
        <v>1</v>
      </c>
      <c r="D72" s="68">
        <f t="shared" ref="D72:D135" si="21">D71+1</f>
        <v>67.5</v>
      </c>
      <c r="E72" s="108">
        <f ca="1">IF('Invoer gegevens (N)'!$C$16="","",E71+1)</f>
        <v>2086</v>
      </c>
      <c r="F72" s="84">
        <f ca="1">IF('Invoer gegevens (N)'!$C$17=E72,'Invoer gegevens (N)'!$C$10,IF(C72=1,K71,0))</f>
        <v>0</v>
      </c>
      <c r="G72" s="96">
        <f ca="1">IF(C72&gt;=1,F72*VLOOKUP(E72,'Reeksen (N)'!$A$5:$B$76,2),0)</f>
        <v>0</v>
      </c>
      <c r="H72" s="84">
        <f ca="1">(1-('Invoer gegevens (N)'!$F$20/12))*F72*MIN('Reeksen (N)'!B72,'Reeksen (N)'!D72)</f>
        <v>0</v>
      </c>
      <c r="I72" s="84">
        <f>IF('Reeksen (N)'!D72&lt;'Reeksen (N)'!B72,('Reeksen (N)'!B72-'Reeksen (N)'!D72)*F72,0)</f>
        <v>0</v>
      </c>
      <c r="J72" s="84">
        <f ca="1">('Invoer gegevens (N)'!$F$20/12)*F71*MIN('Reeksen (N)'!B71,'Reeksen (N)'!D71)</f>
        <v>0</v>
      </c>
      <c r="K72" s="97">
        <f t="shared" ca="1" si="12"/>
        <v>0</v>
      </c>
      <c r="L72" s="84">
        <f ca="1">IF('Invoer gegevens (N)'!$C$17=E72,0,IF(C72=1,Q71,0))</f>
        <v>0</v>
      </c>
      <c r="M72" s="96">
        <f ca="1">IF(C72&gt;=1,L72*VLOOKUP(E72,'Reeksen (N)'!$A$5:$B$76,2),0)</f>
        <v>0</v>
      </c>
      <c r="N72" s="84">
        <f ca="1">(1-('Invoer gegevens (N)'!$F$20/12))*L72*MIN('Reeksen (N)'!B72,'Reeksen (N)'!D72)</f>
        <v>0</v>
      </c>
      <c r="O72" s="84">
        <f>IF('Reeksen (N)'!D72&lt;'Reeksen (N)'!B72,('Reeksen (N)'!B72-'Reeksen (N)'!D72)*L72,0)</f>
        <v>0</v>
      </c>
      <c r="P72" s="84">
        <f ca="1">('Invoer gegevens (N)'!$F$20/12)*L71*MIN('Reeksen (N)'!B71,'Reeksen (N)'!D71)</f>
        <v>0</v>
      </c>
      <c r="Q72" s="84">
        <f t="shared" ca="1" si="13"/>
        <v>0</v>
      </c>
      <c r="R72" s="82">
        <f ca="1">IF('Invoer gegevens (N)'!$C$17=E72,'Invoer gegevens (N)'!$C$11,IF(C72=1,W71,0))</f>
        <v>0</v>
      </c>
      <c r="S72" s="86">
        <f ca="1">IF(C72&gt;=1,R72*VLOOKUP(E72,'Reeksen (N)'!$A$5:$B$76,2),0)</f>
        <v>0</v>
      </c>
      <c r="T72" s="84">
        <f ca="1">(1-('Invoer gegevens (N)'!$F$20/12))*R72*MIN('Reeksen (N)'!B72,'Reeksen (N)'!D72)</f>
        <v>0</v>
      </c>
      <c r="U72" s="84">
        <f>IF('Reeksen (N)'!D72&gt;='Reeksen (N)'!B72,0,IF('Reeksen (N)'!AK72&lt;='Reeksen (N)'!AE72,('Reeksen (N)'!B72-'Reeksen (N)'!D72)*R72,0))</f>
        <v>0</v>
      </c>
      <c r="V72" s="86">
        <f>IF('Reeksen (N)'!D72&gt;='Reeksen (N)'!B72,0,IF('Reeksen (N)'!AK72&gt;'Reeksen (N)'!AE72,('Reeksen (N)'!B72-'Reeksen (N)'!D72)*R72,0))</f>
        <v>0</v>
      </c>
      <c r="W72" s="97">
        <f t="shared" ca="1" si="14"/>
        <v>0</v>
      </c>
      <c r="X72" s="98">
        <f ca="1">IF('Invoer gegevens (N)'!$C$17=E72,'Invoer gegevens (N)'!$C$10-'Invoer gegevens (N)'!$C$11,IF(C72=1,AC71,0))</f>
        <v>0</v>
      </c>
      <c r="Y72" s="98">
        <f ca="1">IF(C72&gt;=1,X72*VLOOKUP(E72,'Reeksen (N)'!$A$5:$B$76,2),0)</f>
        <v>0</v>
      </c>
      <c r="Z72" s="98">
        <f ca="1">(1-('Invoer gegevens (N)'!$F$20/12))*X72*MIN('Reeksen (N)'!B72,'Reeksen (N)'!D72)</f>
        <v>0</v>
      </c>
      <c r="AA72" s="98">
        <f>IF('Reeksen (N)'!D72&gt;='Reeksen (N)'!B72,0,IF('Reeksen (N)'!AK72&lt;='Reeksen (N)'!AE72,('Reeksen (N)'!B72-'Reeksen (N)'!D72)*X72,0))</f>
        <v>0</v>
      </c>
      <c r="AB72" s="98">
        <f>IF('Reeksen (N)'!D72&gt;='Reeksen (N)'!B72,0,IF('Reeksen (N)'!AK72&gt;'Reeksen (N)'!AE72,('Reeksen (N)'!B72-'Reeksen (N)'!D72)*X72,0))</f>
        <v>0</v>
      </c>
      <c r="AC72" s="99">
        <f t="shared" ca="1" si="15"/>
        <v>0</v>
      </c>
      <c r="AD72" s="98">
        <f ca="1">IF('Invoer gegevens (N)'!$C$17=E72,R72,IF(C72=0,0,AE71))</f>
        <v>0</v>
      </c>
      <c r="AE72" s="98">
        <f t="shared" ca="1" si="16"/>
        <v>0</v>
      </c>
      <c r="AF72" s="98">
        <f ca="1">IF('Invoer gegevens (N)'!$C$17=E72,X72,IF(C72=0,0,AG71))</f>
        <v>0</v>
      </c>
      <c r="AG72" s="98">
        <f t="shared" ca="1" si="17"/>
        <v>0</v>
      </c>
      <c r="AH72" s="68"/>
      <c r="AI72" s="71">
        <f ca="1">IF(C72=1,'Reeksen (N)'!AJ72*((F72-G72+F72)/2)*12+'Reeksen (N)'!AK72*((L72-M72+L72)/2)*12,0)</f>
        <v>0</v>
      </c>
      <c r="AJ72" s="71">
        <f ca="1">-AI72*'Invoer gegevens (N)'!$F$28</f>
        <v>0</v>
      </c>
      <c r="AK72" s="71">
        <f t="shared" ca="1" si="11"/>
        <v>0</v>
      </c>
      <c r="AL72" s="71">
        <f ca="1">IF(C72=1,'Reeksen (N)'!AL72*((F72-G72+F72)/2)*12+'Reeksen (N)'!AM72*((L72-M72+L72)/2)*12,0)</f>
        <v>0</v>
      </c>
      <c r="AM72" s="71">
        <f ca="1">-AL72*'Invoer gegevens (N)'!$F$31</f>
        <v>0</v>
      </c>
      <c r="AN72" s="71">
        <f t="shared" ca="1" si="18"/>
        <v>0</v>
      </c>
      <c r="AO72" s="71">
        <f ca="1">IF(C72=1,(H72+J72+N72+P72)*'Reeksen (N)'!AN72,0)</f>
        <v>0</v>
      </c>
      <c r="AP72" s="71">
        <f ca="1">-IF(C72=1,(H72+J72+N72+P72)*'Hulp - basis'!$O$550*'Reeksen (N)'!H72,0)</f>
        <v>0</v>
      </c>
      <c r="AQ72" s="71">
        <f ca="1">-IF(C72=1,(F72+K72+L72+Q72)/2*'Invoer gegevens (N)'!$I$33*'Reeksen (N)'!J72,0)*2</f>
        <v>0</v>
      </c>
      <c r="AR72" s="71">
        <f ca="1">-IF(C72=1,(I72*'Invoer gegevens (N)'!$I$34)*'Reeksen (N)'!J72,0)</f>
        <v>0</v>
      </c>
      <c r="AS72" s="71">
        <f ca="1">-IF(C72=1,(F72+K72+L72+Q72)/2*'Invoer gegevens (N)'!$I$35*'Reeksen (N)'!L72,0)</f>
        <v>0</v>
      </c>
      <c r="AT72" s="71">
        <f ca="1">-IF(C72=1,IF(E72='Invoer gegevens (N)'!$C$17,'Invoer gegevens (N)'!$C$11,AD72)*'Reeksen (N)'!S72*'Invoer gegevens (N)'!$C$18*'Reeksen (N)'!P72,0)</f>
        <v>0</v>
      </c>
      <c r="AU72" s="71">
        <f ca="1">-IF(C72=1,(F72+K72+L72+Q72)/2*'Invoer gegevens (N)'!$I$36*'Reeksen (N)'!H72,0)</f>
        <v>0</v>
      </c>
      <c r="AV72" s="71">
        <v>0</v>
      </c>
      <c r="AW72" s="71">
        <f t="shared" ca="1" si="19"/>
        <v>0</v>
      </c>
      <c r="AX72" s="71">
        <f ca="1">IF(E72&lt;'Invoer gegevens (N)'!$C$17+15,0,IF(E72&gt;'Invoer gegevens (N)'!$C$17+215,0,AW72))</f>
        <v>0</v>
      </c>
      <c r="AY72" s="71">
        <f ca="1">AX72/(1+'Invoer gegevens (N)'!$F$18)^($AZ72-('Invoer gegevens (N)'!$C$17-'Invoer gegevens (N)'!$C$16))/(1+'Invoer gegevens (N)'!$C$39)^('Invoer gegevens (N)'!$C$17-'Invoer gegevens (N)'!$C$16)</f>
        <v>0</v>
      </c>
      <c r="AZ72" s="68">
        <f ca="1">IF(E72-'Invoer gegevens (N)'!$C$17-14.5&lt;0,0,E72-'Invoer gegevens (N)'!$C$17-14.5)</f>
        <v>52.5</v>
      </c>
    </row>
    <row r="73" spans="2:52" x14ac:dyDescent="0.25">
      <c r="B73" s="70">
        <f t="shared" si="20"/>
        <v>69</v>
      </c>
      <c r="C73" s="67">
        <f ca="1">IF(E73-'Invoer gegevens (N)'!$C$17&lt;0,0,1)</f>
        <v>1</v>
      </c>
      <c r="D73" s="68">
        <f t="shared" si="21"/>
        <v>68.5</v>
      </c>
      <c r="E73" s="108">
        <f ca="1">IF('Invoer gegevens (N)'!$C$16="","",E72+1)</f>
        <v>2087</v>
      </c>
      <c r="F73" s="84">
        <f ca="1">IF('Invoer gegevens (N)'!$C$17=E73,'Invoer gegevens (N)'!$C$10,IF(C73=1,K72,0))</f>
        <v>0</v>
      </c>
      <c r="G73" s="96">
        <f ca="1">IF(C73&gt;=1,F73*VLOOKUP(E73,'Reeksen (N)'!$A$5:$B$76,2),0)</f>
        <v>0</v>
      </c>
      <c r="H73" s="84">
        <f ca="1">(1-('Invoer gegevens (N)'!$F$20/12))*F73*MIN('Reeksen (N)'!B73,'Reeksen (N)'!D73)</f>
        <v>0</v>
      </c>
      <c r="I73" s="84">
        <f>IF('Reeksen (N)'!D73&lt;'Reeksen (N)'!B73,('Reeksen (N)'!B73-'Reeksen (N)'!D73)*F73,0)</f>
        <v>0</v>
      </c>
      <c r="J73" s="84">
        <f ca="1">('Invoer gegevens (N)'!$F$20/12)*F72*MIN('Reeksen (N)'!B72,'Reeksen (N)'!D72)</f>
        <v>0</v>
      </c>
      <c r="K73" s="97">
        <f t="shared" ca="1" si="12"/>
        <v>0</v>
      </c>
      <c r="L73" s="84">
        <f ca="1">IF('Invoer gegevens (N)'!$C$17=E73,0,IF(C73=1,Q72,0))</f>
        <v>0</v>
      </c>
      <c r="M73" s="96">
        <f ca="1">IF(C73&gt;=1,L73*VLOOKUP(E73,'Reeksen (N)'!$A$5:$B$76,2),0)</f>
        <v>0</v>
      </c>
      <c r="N73" s="84">
        <f ca="1">(1-('Invoer gegevens (N)'!$F$20/12))*L73*MIN('Reeksen (N)'!B73,'Reeksen (N)'!D73)</f>
        <v>0</v>
      </c>
      <c r="O73" s="84">
        <f>IF('Reeksen (N)'!D73&lt;'Reeksen (N)'!B73,('Reeksen (N)'!B73-'Reeksen (N)'!D73)*L73,0)</f>
        <v>0</v>
      </c>
      <c r="P73" s="84">
        <f ca="1">('Invoer gegevens (N)'!$F$20/12)*L72*MIN('Reeksen (N)'!B72,'Reeksen (N)'!D72)</f>
        <v>0</v>
      </c>
      <c r="Q73" s="84">
        <f t="shared" ca="1" si="13"/>
        <v>0</v>
      </c>
      <c r="R73" s="82">
        <f ca="1">IF('Invoer gegevens (N)'!$C$17=E73,'Invoer gegevens (N)'!$C$11,IF(C73=1,W72,0))</f>
        <v>0</v>
      </c>
      <c r="S73" s="86">
        <f ca="1">IF(C73&gt;=1,R73*VLOOKUP(E73,'Reeksen (N)'!$A$5:$B$76,2),0)</f>
        <v>0</v>
      </c>
      <c r="T73" s="84">
        <f ca="1">(1-('Invoer gegevens (N)'!$F$20/12))*R73*MIN('Reeksen (N)'!B73,'Reeksen (N)'!D73)</f>
        <v>0</v>
      </c>
      <c r="U73" s="84">
        <f>IF('Reeksen (N)'!D73&gt;='Reeksen (N)'!B73,0,IF('Reeksen (N)'!AK73&lt;='Reeksen (N)'!AE73,('Reeksen (N)'!B73-'Reeksen (N)'!D73)*R73,0))</f>
        <v>0</v>
      </c>
      <c r="V73" s="86">
        <f>IF('Reeksen (N)'!D73&gt;='Reeksen (N)'!B73,0,IF('Reeksen (N)'!AK73&gt;'Reeksen (N)'!AE73,('Reeksen (N)'!B73-'Reeksen (N)'!D73)*R73,0))</f>
        <v>0</v>
      </c>
      <c r="W73" s="97">
        <f t="shared" ca="1" si="14"/>
        <v>0</v>
      </c>
      <c r="X73" s="98">
        <f ca="1">IF('Invoer gegevens (N)'!$C$17=E73,'Invoer gegevens (N)'!$C$10-'Invoer gegevens (N)'!$C$11,IF(C73=1,AC72,0))</f>
        <v>0</v>
      </c>
      <c r="Y73" s="98">
        <f ca="1">IF(C73&gt;=1,X73*VLOOKUP(E73,'Reeksen (N)'!$A$5:$B$76,2),0)</f>
        <v>0</v>
      </c>
      <c r="Z73" s="98">
        <f ca="1">(1-('Invoer gegevens (N)'!$F$20/12))*X73*MIN('Reeksen (N)'!B73,'Reeksen (N)'!D73)</f>
        <v>0</v>
      </c>
      <c r="AA73" s="98">
        <f>IF('Reeksen (N)'!D73&gt;='Reeksen (N)'!B73,0,IF('Reeksen (N)'!AK73&lt;='Reeksen (N)'!AE73,('Reeksen (N)'!B73-'Reeksen (N)'!D73)*X73,0))</f>
        <v>0</v>
      </c>
      <c r="AB73" s="98">
        <f>IF('Reeksen (N)'!D73&gt;='Reeksen (N)'!B73,0,IF('Reeksen (N)'!AK73&gt;'Reeksen (N)'!AE73,('Reeksen (N)'!B73-'Reeksen (N)'!D73)*X73,0))</f>
        <v>0</v>
      </c>
      <c r="AC73" s="99">
        <f t="shared" ca="1" si="15"/>
        <v>0</v>
      </c>
      <c r="AD73" s="98">
        <f ca="1">IF('Invoer gegevens (N)'!$C$17=E73,R73,IF(C73=0,0,AE72))</f>
        <v>0</v>
      </c>
      <c r="AE73" s="98">
        <f t="shared" ca="1" si="16"/>
        <v>0</v>
      </c>
      <c r="AF73" s="98">
        <f ca="1">IF('Invoer gegevens (N)'!$C$17=E73,X73,IF(C73=0,0,AG72))</f>
        <v>0</v>
      </c>
      <c r="AG73" s="98">
        <f t="shared" ca="1" si="17"/>
        <v>0</v>
      </c>
      <c r="AH73" s="68"/>
      <c r="AI73" s="71">
        <f ca="1">IF(C73=1,'Reeksen (N)'!AJ73*((F73-G73+F73)/2)*12+'Reeksen (N)'!AK73*((L73-M73+L73)/2)*12,0)</f>
        <v>0</v>
      </c>
      <c r="AJ73" s="71">
        <f ca="1">-AI73*'Invoer gegevens (N)'!$F$28</f>
        <v>0</v>
      </c>
      <c r="AK73" s="71">
        <f t="shared" ca="1" si="11"/>
        <v>0</v>
      </c>
      <c r="AL73" s="71">
        <f ca="1">IF(C73=1,'Reeksen (N)'!AL73*((F73-G73+F73)/2)*12+'Reeksen (N)'!AM73*((L73-M73+L73)/2)*12,0)</f>
        <v>0</v>
      </c>
      <c r="AM73" s="71">
        <f ca="1">-AL73*'Invoer gegevens (N)'!$F$31</f>
        <v>0</v>
      </c>
      <c r="AN73" s="71">
        <f t="shared" ca="1" si="18"/>
        <v>0</v>
      </c>
      <c r="AO73" s="71">
        <f ca="1">IF(C73=1,(H73+J73+N73+P73)*'Reeksen (N)'!AN73,0)</f>
        <v>0</v>
      </c>
      <c r="AP73" s="71">
        <f ca="1">-IF(C73=1,(H73+J73+N73+P73)*'Hulp - basis'!$O$550*'Reeksen (N)'!H73,0)</f>
        <v>0</v>
      </c>
      <c r="AQ73" s="71">
        <f ca="1">-IF(C73=1,(F73+K73+L73+Q73)/2*'Invoer gegevens (N)'!$I$33*'Reeksen (N)'!J73,0)*2</f>
        <v>0</v>
      </c>
      <c r="AR73" s="71">
        <f ca="1">-IF(C73=1,(I73*'Invoer gegevens (N)'!$I$34)*'Reeksen (N)'!J73,0)</f>
        <v>0</v>
      </c>
      <c r="AS73" s="71">
        <f ca="1">-IF(C73=1,(F73+K73+L73+Q73)/2*'Invoer gegevens (N)'!$I$35*'Reeksen (N)'!L73,0)</f>
        <v>0</v>
      </c>
      <c r="AT73" s="71">
        <f ca="1">-IF(C73=1,IF(E73='Invoer gegevens (N)'!$C$17,'Invoer gegevens (N)'!$C$11,AD73)*'Reeksen (N)'!S73*'Invoer gegevens (N)'!$C$18*'Reeksen (N)'!P73,0)</f>
        <v>0</v>
      </c>
      <c r="AU73" s="71">
        <f ca="1">-IF(C73=1,(F73+K73+L73+Q73)/2*'Invoer gegevens (N)'!$I$36*'Reeksen (N)'!H73,0)</f>
        <v>0</v>
      </c>
      <c r="AV73" s="71">
        <v>0</v>
      </c>
      <c r="AW73" s="71">
        <f t="shared" ca="1" si="19"/>
        <v>0</v>
      </c>
      <c r="AX73" s="71">
        <f ca="1">IF(E73&lt;'Invoer gegevens (N)'!$C$17+15,0,IF(E73&gt;'Invoer gegevens (N)'!$C$17+215,0,AW73))</f>
        <v>0</v>
      </c>
      <c r="AY73" s="71">
        <f ca="1">AX73/(1+'Invoer gegevens (N)'!$F$18)^($AZ73-('Invoer gegevens (N)'!$C$17-'Invoer gegevens (N)'!$C$16))/(1+'Invoer gegevens (N)'!$C$39)^('Invoer gegevens (N)'!$C$17-'Invoer gegevens (N)'!$C$16)</f>
        <v>0</v>
      </c>
      <c r="AZ73" s="68">
        <f ca="1">IF(E73-'Invoer gegevens (N)'!$C$17-14.5&lt;0,0,E73-'Invoer gegevens (N)'!$C$17-14.5)</f>
        <v>53.5</v>
      </c>
    </row>
    <row r="74" spans="2:52" x14ac:dyDescent="0.25">
      <c r="B74" s="70">
        <f t="shared" si="20"/>
        <v>70</v>
      </c>
      <c r="C74" s="67">
        <f ca="1">IF(E74-'Invoer gegevens (N)'!$C$17&lt;0,0,1)</f>
        <v>1</v>
      </c>
      <c r="D74" s="68">
        <f t="shared" si="21"/>
        <v>69.5</v>
      </c>
      <c r="E74" s="108">
        <f ca="1">IF('Invoer gegevens (N)'!$C$16="","",E73+1)</f>
        <v>2088</v>
      </c>
      <c r="F74" s="84">
        <f ca="1">IF('Invoer gegevens (N)'!$C$17=E74,'Invoer gegevens (N)'!$C$10,IF(C74=1,K73,0))</f>
        <v>0</v>
      </c>
      <c r="G74" s="96">
        <f ca="1">IF(C74&gt;=1,F74*VLOOKUP(E74,'Reeksen (N)'!$A$5:$B$76,2),0)</f>
        <v>0</v>
      </c>
      <c r="H74" s="84">
        <f ca="1">(1-('Invoer gegevens (N)'!$F$20/12))*F74*MIN('Reeksen (N)'!B74,'Reeksen (N)'!D74)</f>
        <v>0</v>
      </c>
      <c r="I74" s="84">
        <f>IF('Reeksen (N)'!D74&lt;'Reeksen (N)'!B74,('Reeksen (N)'!B74-'Reeksen (N)'!D74)*F74,0)</f>
        <v>0</v>
      </c>
      <c r="J74" s="84">
        <f ca="1">('Invoer gegevens (N)'!$F$20/12)*F73*MIN('Reeksen (N)'!B73,'Reeksen (N)'!D73)</f>
        <v>0</v>
      </c>
      <c r="K74" s="97">
        <f t="shared" ca="1" si="12"/>
        <v>0</v>
      </c>
      <c r="L74" s="84">
        <f ca="1">IF('Invoer gegevens (N)'!$C$17=E74,0,IF(C74=1,Q73,0))</f>
        <v>0</v>
      </c>
      <c r="M74" s="96">
        <f ca="1">IF(C74&gt;=1,L74*VLOOKUP(E74,'Reeksen (N)'!$A$5:$B$76,2),0)</f>
        <v>0</v>
      </c>
      <c r="N74" s="84">
        <f ca="1">(1-('Invoer gegevens (N)'!$F$20/12))*L74*MIN('Reeksen (N)'!B74,'Reeksen (N)'!D74)</f>
        <v>0</v>
      </c>
      <c r="O74" s="84">
        <f>IF('Reeksen (N)'!D74&lt;'Reeksen (N)'!B74,('Reeksen (N)'!B74-'Reeksen (N)'!D74)*L74,0)</f>
        <v>0</v>
      </c>
      <c r="P74" s="84">
        <f ca="1">('Invoer gegevens (N)'!$F$20/12)*L73*MIN('Reeksen (N)'!B73,'Reeksen (N)'!D73)</f>
        <v>0</v>
      </c>
      <c r="Q74" s="84">
        <f t="shared" ca="1" si="13"/>
        <v>0</v>
      </c>
      <c r="R74" s="82">
        <f ca="1">IF('Invoer gegevens (N)'!$C$17=E74,'Invoer gegevens (N)'!$C$11,IF(C74=1,W73,0))</f>
        <v>0</v>
      </c>
      <c r="S74" s="86">
        <f ca="1">IF(C74&gt;=1,R74*VLOOKUP(E74,'Reeksen (N)'!$A$5:$B$76,2),0)</f>
        <v>0</v>
      </c>
      <c r="T74" s="84">
        <f ca="1">(1-('Invoer gegevens (N)'!$F$20/12))*R74*MIN('Reeksen (N)'!B74,'Reeksen (N)'!D74)</f>
        <v>0</v>
      </c>
      <c r="U74" s="84">
        <f>IF('Reeksen (N)'!D74&gt;='Reeksen (N)'!B74,0,IF('Reeksen (N)'!AK74&lt;='Reeksen (N)'!AE74,('Reeksen (N)'!B74-'Reeksen (N)'!D74)*R74,0))</f>
        <v>0</v>
      </c>
      <c r="V74" s="86">
        <f>IF('Reeksen (N)'!D74&gt;='Reeksen (N)'!B74,0,IF('Reeksen (N)'!AK74&gt;'Reeksen (N)'!AE74,('Reeksen (N)'!B74-'Reeksen (N)'!D74)*R74,0))</f>
        <v>0</v>
      </c>
      <c r="W74" s="97">
        <f t="shared" ca="1" si="14"/>
        <v>0</v>
      </c>
      <c r="X74" s="98">
        <f ca="1">IF('Invoer gegevens (N)'!$C$17=E74,'Invoer gegevens (N)'!$C$10-'Invoer gegevens (N)'!$C$11,IF(C74=1,AC73,0))</f>
        <v>0</v>
      </c>
      <c r="Y74" s="98">
        <f ca="1">IF(C74&gt;=1,X74*VLOOKUP(E74,'Reeksen (N)'!$A$5:$B$76,2),0)</f>
        <v>0</v>
      </c>
      <c r="Z74" s="98">
        <f ca="1">(1-('Invoer gegevens (N)'!$F$20/12))*X74*MIN('Reeksen (N)'!B74,'Reeksen (N)'!D74)</f>
        <v>0</v>
      </c>
      <c r="AA74" s="98">
        <f>IF('Reeksen (N)'!D74&gt;='Reeksen (N)'!B74,0,IF('Reeksen (N)'!AK74&lt;='Reeksen (N)'!AE74,('Reeksen (N)'!B74-'Reeksen (N)'!D74)*X74,0))</f>
        <v>0</v>
      </c>
      <c r="AB74" s="98">
        <f>IF('Reeksen (N)'!D74&gt;='Reeksen (N)'!B74,0,IF('Reeksen (N)'!AK74&gt;'Reeksen (N)'!AE74,('Reeksen (N)'!B74-'Reeksen (N)'!D74)*X74,0))</f>
        <v>0</v>
      </c>
      <c r="AC74" s="99">
        <f t="shared" ca="1" si="15"/>
        <v>0</v>
      </c>
      <c r="AD74" s="98">
        <f ca="1">IF('Invoer gegevens (N)'!$C$17=E74,R74,IF(C74=0,0,AE73))</f>
        <v>0</v>
      </c>
      <c r="AE74" s="98">
        <f t="shared" ca="1" si="16"/>
        <v>0</v>
      </c>
      <c r="AF74" s="98">
        <f ca="1">IF('Invoer gegevens (N)'!$C$17=E74,X74,IF(C74=0,0,AG73))</f>
        <v>0</v>
      </c>
      <c r="AG74" s="98">
        <f t="shared" ca="1" si="17"/>
        <v>0</v>
      </c>
      <c r="AH74" s="68"/>
      <c r="AI74" s="71">
        <f ca="1">IF(C74=1,'Reeksen (N)'!AJ74*((F74-G74+F74)/2)*12+'Reeksen (N)'!AK74*((L74-M74+L74)/2)*12,0)</f>
        <v>0</v>
      </c>
      <c r="AJ74" s="71">
        <f ca="1">-AI74*'Invoer gegevens (N)'!$F$28</f>
        <v>0</v>
      </c>
      <c r="AK74" s="71">
        <f t="shared" ca="1" si="11"/>
        <v>0</v>
      </c>
      <c r="AL74" s="71">
        <f ca="1">IF(C74=1,'Reeksen (N)'!AL74*((F74-G74+F74)/2)*12+'Reeksen (N)'!AM74*((L74-M74+L74)/2)*12,0)</f>
        <v>0</v>
      </c>
      <c r="AM74" s="71">
        <f ca="1">-AL74*'Invoer gegevens (N)'!$F$31</f>
        <v>0</v>
      </c>
      <c r="AN74" s="71">
        <f t="shared" ca="1" si="18"/>
        <v>0</v>
      </c>
      <c r="AO74" s="71">
        <f ca="1">IF(C74=1,(H74+J74+N74+P74)*'Reeksen (N)'!AN74,0)</f>
        <v>0</v>
      </c>
      <c r="AP74" s="71">
        <f ca="1">-IF(C74=1,(H74+J74+N74+P74)*'Hulp - basis'!$O$550*'Reeksen (N)'!H74,0)</f>
        <v>0</v>
      </c>
      <c r="AQ74" s="71">
        <f ca="1">-IF(C74=1,(F74+K74+L74+Q74)/2*'Invoer gegevens (N)'!$I$33*'Reeksen (N)'!J74,0)*2</f>
        <v>0</v>
      </c>
      <c r="AR74" s="71">
        <f ca="1">-IF(C74=1,(I74*'Invoer gegevens (N)'!$I$34)*'Reeksen (N)'!J74,0)</f>
        <v>0</v>
      </c>
      <c r="AS74" s="71">
        <f ca="1">-IF(C74=1,(F74+K74+L74+Q74)/2*'Invoer gegevens (N)'!$I$35*'Reeksen (N)'!L74,0)</f>
        <v>0</v>
      </c>
      <c r="AT74" s="71">
        <f ca="1">-IF(C74=1,IF(E74='Invoer gegevens (N)'!$C$17,'Invoer gegevens (N)'!$C$11,AD74)*'Reeksen (N)'!S74*'Invoer gegevens (N)'!$C$18*'Reeksen (N)'!P74,0)</f>
        <v>0</v>
      </c>
      <c r="AU74" s="71">
        <f ca="1">-IF(C74=1,(F74+K74+L74+Q74)/2*'Invoer gegevens (N)'!$I$36*'Reeksen (N)'!H74,0)</f>
        <v>0</v>
      </c>
      <c r="AV74" s="71">
        <v>0</v>
      </c>
      <c r="AW74" s="71">
        <f t="shared" ca="1" si="19"/>
        <v>0</v>
      </c>
      <c r="AX74" s="71">
        <f ca="1">IF(E74&lt;'Invoer gegevens (N)'!$C$17+15,0,IF(E74&gt;'Invoer gegevens (N)'!$C$17+215,0,AW74))</f>
        <v>0</v>
      </c>
      <c r="AY74" s="71">
        <f ca="1">AX74/(1+'Invoer gegevens (N)'!$F$18)^($AZ74-('Invoer gegevens (N)'!$C$17-'Invoer gegevens (N)'!$C$16))/(1+'Invoer gegevens (N)'!$C$39)^('Invoer gegevens (N)'!$C$17-'Invoer gegevens (N)'!$C$16)</f>
        <v>0</v>
      </c>
      <c r="AZ74" s="68">
        <f ca="1">IF(E74-'Invoer gegevens (N)'!$C$17-14.5&lt;0,0,E74-'Invoer gegevens (N)'!$C$17-14.5)</f>
        <v>54.5</v>
      </c>
    </row>
    <row r="75" spans="2:52" x14ac:dyDescent="0.25">
      <c r="B75" s="70">
        <f t="shared" si="20"/>
        <v>71</v>
      </c>
      <c r="C75" s="67">
        <f ca="1">IF(E75-'Invoer gegevens (N)'!$C$17&lt;0,0,1)</f>
        <v>1</v>
      </c>
      <c r="D75" s="68">
        <f t="shared" si="21"/>
        <v>70.5</v>
      </c>
      <c r="E75" s="108">
        <f ca="1">IF('Invoer gegevens (N)'!$C$16="","",E74+1)</f>
        <v>2089</v>
      </c>
      <c r="F75" s="84">
        <f ca="1">IF('Invoer gegevens (N)'!$C$17=E75,'Invoer gegevens (N)'!$C$10,IF(C75=1,K74,0))</f>
        <v>0</v>
      </c>
      <c r="G75" s="96">
        <f ca="1">IF(C75&gt;=1,F75*VLOOKUP(E75,'Reeksen (N)'!$A$5:$B$76,2),0)</f>
        <v>0</v>
      </c>
      <c r="H75" s="84">
        <f ca="1">(1-('Invoer gegevens (N)'!$F$20/12))*F75*MIN('Reeksen (N)'!B75,'Reeksen (N)'!D75)</f>
        <v>0</v>
      </c>
      <c r="I75" s="84">
        <f>IF('Reeksen (N)'!D75&lt;'Reeksen (N)'!B75,('Reeksen (N)'!B75-'Reeksen (N)'!D75)*F75,0)</f>
        <v>0</v>
      </c>
      <c r="J75" s="84">
        <f ca="1">('Invoer gegevens (N)'!$F$20/12)*F74*MIN('Reeksen (N)'!B74,'Reeksen (N)'!D74)</f>
        <v>0</v>
      </c>
      <c r="K75" s="97">
        <f t="shared" ca="1" si="12"/>
        <v>0</v>
      </c>
      <c r="L75" s="84">
        <f ca="1">IF('Invoer gegevens (N)'!$C$17=E75,0,IF(C75=1,Q74,0))</f>
        <v>0</v>
      </c>
      <c r="M75" s="96">
        <f ca="1">IF(C75&gt;=1,L75*VLOOKUP(E75,'Reeksen (N)'!$A$5:$B$76,2),0)</f>
        <v>0</v>
      </c>
      <c r="N75" s="84">
        <f ca="1">(1-('Invoer gegevens (N)'!$F$20/12))*L75*MIN('Reeksen (N)'!B75,'Reeksen (N)'!D75)</f>
        <v>0</v>
      </c>
      <c r="O75" s="84">
        <f>IF('Reeksen (N)'!D75&lt;'Reeksen (N)'!B75,('Reeksen (N)'!B75-'Reeksen (N)'!D75)*L75,0)</f>
        <v>0</v>
      </c>
      <c r="P75" s="84">
        <f ca="1">('Invoer gegevens (N)'!$F$20/12)*L74*MIN('Reeksen (N)'!B74,'Reeksen (N)'!D74)</f>
        <v>0</v>
      </c>
      <c r="Q75" s="84">
        <f t="shared" ca="1" si="13"/>
        <v>0</v>
      </c>
      <c r="R75" s="82">
        <f ca="1">IF('Invoer gegevens (N)'!$C$17=E75,'Invoer gegevens (N)'!$C$11,IF(C75=1,W74,0))</f>
        <v>0</v>
      </c>
      <c r="S75" s="86">
        <f ca="1">IF(C75&gt;=1,R75*VLOOKUP(E75,'Reeksen (N)'!$A$5:$B$76,2),0)</f>
        <v>0</v>
      </c>
      <c r="T75" s="84">
        <f ca="1">(1-('Invoer gegevens (N)'!$F$20/12))*R75*MIN('Reeksen (N)'!B75,'Reeksen (N)'!D75)</f>
        <v>0</v>
      </c>
      <c r="U75" s="84">
        <f>IF('Reeksen (N)'!D75&gt;='Reeksen (N)'!B75,0,IF('Reeksen (N)'!AK75&lt;='Reeksen (N)'!AE75,('Reeksen (N)'!B75-'Reeksen (N)'!D75)*R75,0))</f>
        <v>0</v>
      </c>
      <c r="V75" s="86">
        <f>IF('Reeksen (N)'!D75&gt;='Reeksen (N)'!B75,0,IF('Reeksen (N)'!AK75&gt;'Reeksen (N)'!AE75,('Reeksen (N)'!B75-'Reeksen (N)'!D75)*R75,0))</f>
        <v>0</v>
      </c>
      <c r="W75" s="97">
        <f t="shared" ca="1" si="14"/>
        <v>0</v>
      </c>
      <c r="X75" s="98">
        <f ca="1">IF('Invoer gegevens (N)'!$C$17=E75,'Invoer gegevens (N)'!$C$10-'Invoer gegevens (N)'!$C$11,IF(C75=1,AC74,0))</f>
        <v>0</v>
      </c>
      <c r="Y75" s="98">
        <f ca="1">IF(C75&gt;=1,X75*VLOOKUP(E75,'Reeksen (N)'!$A$5:$B$76,2),0)</f>
        <v>0</v>
      </c>
      <c r="Z75" s="98">
        <f ca="1">(1-('Invoer gegevens (N)'!$F$20/12))*X75*MIN('Reeksen (N)'!B75,'Reeksen (N)'!D75)</f>
        <v>0</v>
      </c>
      <c r="AA75" s="98">
        <f>IF('Reeksen (N)'!D75&gt;='Reeksen (N)'!B75,0,IF('Reeksen (N)'!AK75&lt;='Reeksen (N)'!AE75,('Reeksen (N)'!B75-'Reeksen (N)'!D75)*X75,0))</f>
        <v>0</v>
      </c>
      <c r="AB75" s="98">
        <f>IF('Reeksen (N)'!D75&gt;='Reeksen (N)'!B75,0,IF('Reeksen (N)'!AK75&gt;'Reeksen (N)'!AE75,('Reeksen (N)'!B75-'Reeksen (N)'!D75)*X75,0))</f>
        <v>0</v>
      </c>
      <c r="AC75" s="99">
        <f t="shared" ca="1" si="15"/>
        <v>0</v>
      </c>
      <c r="AD75" s="98">
        <f ca="1">IF('Invoer gegevens (N)'!$C$17=E75,R75,IF(C75=0,0,AE74))</f>
        <v>0</v>
      </c>
      <c r="AE75" s="98">
        <f t="shared" ca="1" si="16"/>
        <v>0</v>
      </c>
      <c r="AF75" s="98">
        <f ca="1">IF('Invoer gegevens (N)'!$C$17=E75,X75,IF(C75=0,0,AG74))</f>
        <v>0</v>
      </c>
      <c r="AG75" s="98">
        <f t="shared" ca="1" si="17"/>
        <v>0</v>
      </c>
      <c r="AH75" s="68"/>
      <c r="AI75" s="71">
        <f ca="1">IF(C75=1,'Reeksen (N)'!AJ75*((F75-G75+F75)/2)*12+'Reeksen (N)'!AK75*((L75-M75+L75)/2)*12,0)</f>
        <v>0</v>
      </c>
      <c r="AJ75" s="71">
        <f ca="1">-AI75*'Invoer gegevens (N)'!$F$28</f>
        <v>0</v>
      </c>
      <c r="AK75" s="71">
        <f t="shared" ca="1" si="11"/>
        <v>0</v>
      </c>
      <c r="AL75" s="71">
        <f ca="1">IF(C75=1,'Reeksen (N)'!AL75*((F75-G75+F75)/2)*12+'Reeksen (N)'!AM75*((L75-M75+L75)/2)*12,0)</f>
        <v>0</v>
      </c>
      <c r="AM75" s="71">
        <f ca="1">-AL75*'Invoer gegevens (N)'!$F$31</f>
        <v>0</v>
      </c>
      <c r="AN75" s="71">
        <f t="shared" ca="1" si="18"/>
        <v>0</v>
      </c>
      <c r="AO75" s="71">
        <f ca="1">IF(C75=1,(H75+J75+N75+P75)*'Reeksen (N)'!AN75,0)</f>
        <v>0</v>
      </c>
      <c r="AP75" s="71">
        <f ca="1">-IF(C75=1,(H75+J75+N75+P75)*'Hulp - basis'!$O$550*'Reeksen (N)'!H75,0)</f>
        <v>0</v>
      </c>
      <c r="AQ75" s="71">
        <f ca="1">-IF(C75=1,(F75+K75+L75+Q75)/2*'Invoer gegevens (N)'!$I$33*'Reeksen (N)'!J75,0)*2</f>
        <v>0</v>
      </c>
      <c r="AR75" s="71">
        <f ca="1">-IF(C75=1,(I75*'Invoer gegevens (N)'!$I$34)*'Reeksen (N)'!J75,0)</f>
        <v>0</v>
      </c>
      <c r="AS75" s="71">
        <f ca="1">-IF(C75=1,(F75+K75+L75+Q75)/2*'Invoer gegevens (N)'!$I$35*'Reeksen (N)'!L75,0)</f>
        <v>0</v>
      </c>
      <c r="AT75" s="71">
        <f ca="1">-IF(C75=1,IF(E75='Invoer gegevens (N)'!$C$17,'Invoer gegevens (N)'!$C$11,AD75)*'Reeksen (N)'!S75*'Invoer gegevens (N)'!$C$18*'Reeksen (N)'!P75,0)</f>
        <v>0</v>
      </c>
      <c r="AU75" s="71">
        <f ca="1">-IF(C75=1,(F75+K75+L75+Q75)/2*'Invoer gegevens (N)'!$I$36*'Reeksen (N)'!H75,0)</f>
        <v>0</v>
      </c>
      <c r="AV75" s="71">
        <v>0</v>
      </c>
      <c r="AW75" s="71">
        <f t="shared" ca="1" si="19"/>
        <v>0</v>
      </c>
      <c r="AX75" s="71">
        <f ca="1">IF(E75&lt;'Invoer gegevens (N)'!$C$17+15,0,IF(E75&gt;'Invoer gegevens (N)'!$C$17+215,0,AW75))</f>
        <v>0</v>
      </c>
      <c r="AY75" s="71">
        <f ca="1">AX75/(1+'Invoer gegevens (N)'!$F$18)^($AZ75-('Invoer gegevens (N)'!$C$17-'Invoer gegevens (N)'!$C$16))/(1+'Invoer gegevens (N)'!$C$39)^('Invoer gegevens (N)'!$C$17-'Invoer gegevens (N)'!$C$16)</f>
        <v>0</v>
      </c>
      <c r="AZ75" s="68">
        <f ca="1">IF(E75-'Invoer gegevens (N)'!$C$17-14.5&lt;0,0,E75-'Invoer gegevens (N)'!$C$17-14.5)</f>
        <v>55.5</v>
      </c>
    </row>
    <row r="76" spans="2:52" x14ac:dyDescent="0.25">
      <c r="B76" s="70">
        <f t="shared" si="20"/>
        <v>72</v>
      </c>
      <c r="C76" s="67">
        <f ca="1">IF(E76-'Invoer gegevens (N)'!$C$17&lt;0,0,1)</f>
        <v>1</v>
      </c>
      <c r="D76" s="68">
        <f t="shared" si="21"/>
        <v>71.5</v>
      </c>
      <c r="E76" s="108">
        <f ca="1">IF('Invoer gegevens (N)'!$C$16="","",E75+1)</f>
        <v>2090</v>
      </c>
      <c r="F76" s="84">
        <f ca="1">IF('Invoer gegevens (N)'!$C$17=E76,'Invoer gegevens (N)'!$C$10,IF(C76=1,K75,0))</f>
        <v>0</v>
      </c>
      <c r="G76" s="96">
        <f ca="1">IF(C76&gt;=1,F76*VLOOKUP(E76,'Reeksen (N)'!$A$5:$B$76,2),0)</f>
        <v>0</v>
      </c>
      <c r="H76" s="84">
        <f ca="1">(1-('Invoer gegevens (N)'!$F$20/12))*F76*MIN('Reeksen (N)'!B76,'Reeksen (N)'!D76)</f>
        <v>0</v>
      </c>
      <c r="I76" s="84">
        <f>IF('Reeksen (N)'!D76&lt;'Reeksen (N)'!B76,('Reeksen (N)'!B76-'Reeksen (N)'!D76)*F76,0)</f>
        <v>0</v>
      </c>
      <c r="J76" s="84">
        <f ca="1">('Invoer gegevens (N)'!$F$20/12)*F75*MIN('Reeksen (N)'!B75,'Reeksen (N)'!D75)</f>
        <v>0</v>
      </c>
      <c r="K76" s="97">
        <f t="shared" ca="1" si="12"/>
        <v>0</v>
      </c>
      <c r="L76" s="84">
        <f ca="1">IF('Invoer gegevens (N)'!$C$17=E76,0,IF(C76=1,Q75,0))</f>
        <v>0</v>
      </c>
      <c r="M76" s="96">
        <f ca="1">IF(C76&gt;=1,L76*VLOOKUP(E76,'Reeksen (N)'!$A$5:$B$76,2),0)</f>
        <v>0</v>
      </c>
      <c r="N76" s="84">
        <f ca="1">(1-('Invoer gegevens (N)'!$F$20/12))*L76*MIN('Reeksen (N)'!B76,'Reeksen (N)'!D76)</f>
        <v>0</v>
      </c>
      <c r="O76" s="84">
        <f>IF('Reeksen (N)'!D76&lt;'Reeksen (N)'!B76,('Reeksen (N)'!B76-'Reeksen (N)'!D76)*L76,0)</f>
        <v>0</v>
      </c>
      <c r="P76" s="84">
        <f ca="1">('Invoer gegevens (N)'!$F$20/12)*L75*MIN('Reeksen (N)'!B75,'Reeksen (N)'!D75)</f>
        <v>0</v>
      </c>
      <c r="Q76" s="84">
        <f t="shared" ca="1" si="13"/>
        <v>0</v>
      </c>
      <c r="R76" s="82">
        <f ca="1">IF('Invoer gegevens (N)'!$C$17=E76,'Invoer gegevens (N)'!$C$11,IF(C76=1,W75,0))</f>
        <v>0</v>
      </c>
      <c r="S76" s="86">
        <f ca="1">IF(C76&gt;=1,R76*VLOOKUP(E76,'Reeksen (N)'!$A$5:$B$76,2),0)</f>
        <v>0</v>
      </c>
      <c r="T76" s="84">
        <f ca="1">(1-('Invoer gegevens (N)'!$F$20/12))*R76*MIN('Reeksen (N)'!B76,'Reeksen (N)'!D76)</f>
        <v>0</v>
      </c>
      <c r="U76" s="84">
        <f>IF('Reeksen (N)'!D76&gt;='Reeksen (N)'!B76,0,IF('Reeksen (N)'!AK76&lt;='Reeksen (N)'!AE76,('Reeksen (N)'!B76-'Reeksen (N)'!D76)*R76,0))</f>
        <v>0</v>
      </c>
      <c r="V76" s="86">
        <f>IF('Reeksen (N)'!D76&gt;='Reeksen (N)'!B76,0,IF('Reeksen (N)'!AK76&gt;'Reeksen (N)'!AE76,('Reeksen (N)'!B76-'Reeksen (N)'!D76)*R76,0))</f>
        <v>0</v>
      </c>
      <c r="W76" s="97">
        <f t="shared" ca="1" si="14"/>
        <v>0</v>
      </c>
      <c r="X76" s="98">
        <f ca="1">IF('Invoer gegevens (N)'!$C$17=E76,'Invoer gegevens (N)'!$C$10-'Invoer gegevens (N)'!$C$11,IF(C76=1,AC75,0))</f>
        <v>0</v>
      </c>
      <c r="Y76" s="98">
        <f ca="1">IF(C76&gt;=1,X76*VLOOKUP(E76,'Reeksen (N)'!$A$5:$B$76,2),0)</f>
        <v>0</v>
      </c>
      <c r="Z76" s="98">
        <f ca="1">(1-('Invoer gegevens (N)'!$F$20/12))*X76*MIN('Reeksen (N)'!B76,'Reeksen (N)'!D76)</f>
        <v>0</v>
      </c>
      <c r="AA76" s="98">
        <f>IF('Reeksen (N)'!D76&gt;='Reeksen (N)'!B76,0,IF('Reeksen (N)'!AK76&lt;='Reeksen (N)'!AE76,('Reeksen (N)'!B76-'Reeksen (N)'!D76)*X76,0))</f>
        <v>0</v>
      </c>
      <c r="AB76" s="98">
        <f>IF('Reeksen (N)'!D76&gt;='Reeksen (N)'!B76,0,IF('Reeksen (N)'!AK76&gt;'Reeksen (N)'!AE76,('Reeksen (N)'!B76-'Reeksen (N)'!D76)*X76,0))</f>
        <v>0</v>
      </c>
      <c r="AC76" s="99">
        <f t="shared" ca="1" si="15"/>
        <v>0</v>
      </c>
      <c r="AD76" s="98">
        <f ca="1">IF('Invoer gegevens (N)'!$C$17=E76,R76,IF(C76=0,0,AE75))</f>
        <v>0</v>
      </c>
      <c r="AE76" s="98">
        <f t="shared" ca="1" si="16"/>
        <v>0</v>
      </c>
      <c r="AF76" s="98">
        <f ca="1">IF('Invoer gegevens (N)'!$C$17=E76,X76,IF(C76=0,0,AG75))</f>
        <v>0</v>
      </c>
      <c r="AG76" s="98">
        <f t="shared" ca="1" si="17"/>
        <v>0</v>
      </c>
      <c r="AH76" s="68"/>
      <c r="AI76" s="71">
        <f ca="1">IF(C76=1,'Reeksen (N)'!AJ76*((F76-G76+F76)/2)*12+'Reeksen (N)'!AK76*((L76-M76+L76)/2)*12,0)</f>
        <v>0</v>
      </c>
      <c r="AJ76" s="71">
        <f ca="1">-AI76*'Invoer gegevens (N)'!$F$28</f>
        <v>0</v>
      </c>
      <c r="AK76" s="71">
        <f t="shared" ca="1" si="11"/>
        <v>0</v>
      </c>
      <c r="AL76" s="71">
        <f ca="1">IF(C76=1,'Reeksen (N)'!AL76*((F76-G76+F76)/2)*12+'Reeksen (N)'!AM76*((L76-M76+L76)/2)*12,0)</f>
        <v>0</v>
      </c>
      <c r="AM76" s="71">
        <f ca="1">-AL76*'Invoer gegevens (N)'!$F$31</f>
        <v>0</v>
      </c>
      <c r="AN76" s="71">
        <f t="shared" ca="1" si="18"/>
        <v>0</v>
      </c>
      <c r="AO76" s="71">
        <f ca="1">IF(C76=1,(H76+J76+N76+P76)*'Reeksen (N)'!AN76,0)</f>
        <v>0</v>
      </c>
      <c r="AP76" s="71">
        <f ca="1">-IF(C76=1,(H76+J76+N76+P76)*'Hulp - basis'!$O$550*'Reeksen (N)'!H76,0)</f>
        <v>0</v>
      </c>
      <c r="AQ76" s="71">
        <f ca="1">-IF(C76=1,(F76+K76+L76+Q76)/2*'Invoer gegevens (N)'!$I$33*'Reeksen (N)'!J76,0)*2</f>
        <v>0</v>
      </c>
      <c r="AR76" s="71">
        <f ca="1">-IF(C76=1,(I76*'Invoer gegevens (N)'!$I$34)*'Reeksen (N)'!J76,0)</f>
        <v>0</v>
      </c>
      <c r="AS76" s="71">
        <f ca="1">-IF(C76=1,(F76+K76+L76+Q76)/2*'Invoer gegevens (N)'!$I$35*'Reeksen (N)'!L76,0)</f>
        <v>0</v>
      </c>
      <c r="AT76" s="71">
        <f ca="1">-IF(C76=1,IF(E76='Invoer gegevens (N)'!$C$17,'Invoer gegevens (N)'!$C$11,AD76)*'Reeksen (N)'!S76*'Invoer gegevens (N)'!$C$18*'Reeksen (N)'!P76,0)</f>
        <v>0</v>
      </c>
      <c r="AU76" s="71">
        <f ca="1">-IF(C76=1,(F76+K76+L76+Q76)/2*'Invoer gegevens (N)'!$I$36*'Reeksen (N)'!H76,0)</f>
        <v>0</v>
      </c>
      <c r="AV76" s="71">
        <v>0</v>
      </c>
      <c r="AW76" s="71">
        <f t="shared" ca="1" si="19"/>
        <v>0</v>
      </c>
      <c r="AX76" s="71">
        <f ca="1">IF(E76&lt;'Invoer gegevens (N)'!$C$17+15,0,IF(E76&gt;'Invoer gegevens (N)'!$C$17+215,0,AW76))</f>
        <v>0</v>
      </c>
      <c r="AY76" s="71">
        <f ca="1">AX76/(1+'Invoer gegevens (N)'!$F$18)^($AZ76-('Invoer gegevens (N)'!$C$17-'Invoer gegevens (N)'!$C$16))/(1+'Invoer gegevens (N)'!$C$39)^('Invoer gegevens (N)'!$C$17-'Invoer gegevens (N)'!$C$16)</f>
        <v>0</v>
      </c>
      <c r="AZ76" s="68">
        <f ca="1">IF(E76-'Invoer gegevens (N)'!$C$17-14.5&lt;0,0,E76-'Invoer gegevens (N)'!$C$17-14.5)</f>
        <v>56.5</v>
      </c>
    </row>
    <row r="77" spans="2:52" x14ac:dyDescent="0.25">
      <c r="B77" s="70">
        <f t="shared" si="20"/>
        <v>73</v>
      </c>
      <c r="C77" s="67">
        <f ca="1">IF(E77-'Invoer gegevens (N)'!$C$17&lt;0,0,1)</f>
        <v>1</v>
      </c>
      <c r="D77" s="68">
        <f t="shared" si="21"/>
        <v>72.5</v>
      </c>
      <c r="E77" s="108">
        <f ca="1">IF('Invoer gegevens (N)'!$C$16="","",E76+1)</f>
        <v>2091</v>
      </c>
      <c r="F77" s="84">
        <f ca="1">IF('Invoer gegevens (N)'!$C$17=E77,'Invoer gegevens (N)'!$C$10,IF(C77=1,K76,0))</f>
        <v>0</v>
      </c>
      <c r="G77" s="96">
        <f ca="1">IF(C77&gt;=1,F77*VLOOKUP(E77,'Reeksen (N)'!$A$5:$B$76,2),0)</f>
        <v>0</v>
      </c>
      <c r="H77" s="84">
        <f ca="1">(1-('Invoer gegevens (N)'!$F$20/12))*F77*MIN('Reeksen (N)'!B77,'Reeksen (N)'!D77)</f>
        <v>0</v>
      </c>
      <c r="I77" s="84">
        <f>IF('Reeksen (N)'!D77&lt;'Reeksen (N)'!B77,('Reeksen (N)'!B77-'Reeksen (N)'!D77)*F77,0)</f>
        <v>0</v>
      </c>
      <c r="J77" s="84">
        <f ca="1">('Invoer gegevens (N)'!$F$20/12)*F76*MIN('Reeksen (N)'!B76,'Reeksen (N)'!D76)</f>
        <v>0</v>
      </c>
      <c r="K77" s="97">
        <f t="shared" ca="1" si="12"/>
        <v>0</v>
      </c>
      <c r="L77" s="84">
        <f ca="1">IF('Invoer gegevens (N)'!$C$17=E77,0,IF(C77=1,Q76,0))</f>
        <v>0</v>
      </c>
      <c r="M77" s="96">
        <f ca="1">IF(C77&gt;=1,L77*VLOOKUP(E77,'Reeksen (N)'!$A$5:$B$76,2),0)</f>
        <v>0</v>
      </c>
      <c r="N77" s="84">
        <f ca="1">(1-('Invoer gegevens (N)'!$F$20/12))*L77*MIN('Reeksen (N)'!B77,'Reeksen (N)'!D77)</f>
        <v>0</v>
      </c>
      <c r="O77" s="84">
        <f>IF('Reeksen (N)'!D77&lt;'Reeksen (N)'!B77,('Reeksen (N)'!B77-'Reeksen (N)'!D77)*L77,0)</f>
        <v>0</v>
      </c>
      <c r="P77" s="84">
        <f ca="1">('Invoer gegevens (N)'!$F$20/12)*L76*MIN('Reeksen (N)'!B76,'Reeksen (N)'!D76)</f>
        <v>0</v>
      </c>
      <c r="Q77" s="84">
        <f t="shared" ca="1" si="13"/>
        <v>0</v>
      </c>
      <c r="R77" s="82">
        <f ca="1">IF('Invoer gegevens (N)'!$C$17=E77,'Invoer gegevens (N)'!$C$11,IF(C77=1,W76,0))</f>
        <v>0</v>
      </c>
      <c r="S77" s="86">
        <f ca="1">IF(C77&gt;=1,R77*VLOOKUP(E77,'Reeksen (N)'!$A$5:$B$76,2),0)</f>
        <v>0</v>
      </c>
      <c r="T77" s="84">
        <f ca="1">(1-('Invoer gegevens (N)'!$F$20/12))*R77*MIN('Reeksen (N)'!B77,'Reeksen (N)'!D77)</f>
        <v>0</v>
      </c>
      <c r="U77" s="84">
        <f>IF('Reeksen (N)'!D77&gt;='Reeksen (N)'!B77,0,IF('Reeksen (N)'!AK77&lt;='Reeksen (N)'!AE77,('Reeksen (N)'!B77-'Reeksen (N)'!D77)*R77,0))</f>
        <v>0</v>
      </c>
      <c r="V77" s="86">
        <f>IF('Reeksen (N)'!D77&gt;='Reeksen (N)'!B77,0,IF('Reeksen (N)'!AK77&gt;'Reeksen (N)'!AE77,('Reeksen (N)'!B77-'Reeksen (N)'!D77)*R77,0))</f>
        <v>0</v>
      </c>
      <c r="W77" s="97">
        <f t="shared" ca="1" si="14"/>
        <v>0</v>
      </c>
      <c r="X77" s="98">
        <f ca="1">IF('Invoer gegevens (N)'!$C$17=E77,'Invoer gegevens (N)'!$C$10-'Invoer gegevens (N)'!$C$11,IF(C77=1,AC76,0))</f>
        <v>0</v>
      </c>
      <c r="Y77" s="98">
        <f ca="1">IF(C77&gt;=1,X77*VLOOKUP(E77,'Reeksen (N)'!$A$5:$B$76,2),0)</f>
        <v>0</v>
      </c>
      <c r="Z77" s="98">
        <f ca="1">(1-('Invoer gegevens (N)'!$F$20/12))*X77*MIN('Reeksen (N)'!B77,'Reeksen (N)'!D77)</f>
        <v>0</v>
      </c>
      <c r="AA77" s="98">
        <f>IF('Reeksen (N)'!D77&gt;='Reeksen (N)'!B77,0,IF('Reeksen (N)'!AK77&lt;='Reeksen (N)'!AE77,('Reeksen (N)'!B77-'Reeksen (N)'!D77)*X77,0))</f>
        <v>0</v>
      </c>
      <c r="AB77" s="98">
        <f>IF('Reeksen (N)'!D77&gt;='Reeksen (N)'!B77,0,IF('Reeksen (N)'!AK77&gt;'Reeksen (N)'!AE77,('Reeksen (N)'!B77-'Reeksen (N)'!D77)*X77,0))</f>
        <v>0</v>
      </c>
      <c r="AC77" s="99">
        <f t="shared" ca="1" si="15"/>
        <v>0</v>
      </c>
      <c r="AD77" s="98">
        <f ca="1">IF('Invoer gegevens (N)'!$C$17=E77,R77,IF(C77=0,0,AE76))</f>
        <v>0</v>
      </c>
      <c r="AE77" s="98">
        <f t="shared" ca="1" si="16"/>
        <v>0</v>
      </c>
      <c r="AF77" s="98">
        <f ca="1">IF('Invoer gegevens (N)'!$C$17=E77,X77,IF(C77=0,0,AG76))</f>
        <v>0</v>
      </c>
      <c r="AG77" s="98">
        <f t="shared" ca="1" si="17"/>
        <v>0</v>
      </c>
      <c r="AH77" s="68"/>
      <c r="AI77" s="71">
        <f ca="1">IF(C77=1,'Reeksen (N)'!AJ77*((F77-G77+F77)/2)*12+'Reeksen (N)'!AK77*((L77-M77+L77)/2)*12,0)</f>
        <v>0</v>
      </c>
      <c r="AJ77" s="71">
        <f ca="1">-AI77*'Invoer gegevens (N)'!$F$28</f>
        <v>0</v>
      </c>
      <c r="AK77" s="71">
        <f t="shared" ca="1" si="11"/>
        <v>0</v>
      </c>
      <c r="AL77" s="71">
        <f ca="1">IF(C77=1,'Reeksen (N)'!AL77*((F77-G77+F77)/2)*12+'Reeksen (N)'!AM77*((L77-M77+L77)/2)*12,0)</f>
        <v>0</v>
      </c>
      <c r="AM77" s="71">
        <f ca="1">-AL77*'Invoer gegevens (N)'!$F$31</f>
        <v>0</v>
      </c>
      <c r="AN77" s="71">
        <f t="shared" ca="1" si="18"/>
        <v>0</v>
      </c>
      <c r="AO77" s="71">
        <f ca="1">IF(C77=1,(H77+J77+N77+P77)*'Reeksen (N)'!AN77,0)</f>
        <v>0</v>
      </c>
      <c r="AP77" s="71">
        <f ca="1">-IF(C77=1,(H77+J77+N77+P77)*'Hulp - basis'!$O$550*'Reeksen (N)'!H77,0)</f>
        <v>0</v>
      </c>
      <c r="AQ77" s="71">
        <f ca="1">-IF(C77=1,(F77+K77+L77+Q77)/2*'Invoer gegevens (N)'!$I$33*'Reeksen (N)'!J77,0)*2</f>
        <v>0</v>
      </c>
      <c r="AR77" s="71">
        <f ca="1">-IF(C77=1,(I77*'Invoer gegevens (N)'!$I$34)*'Reeksen (N)'!J77,0)</f>
        <v>0</v>
      </c>
      <c r="AS77" s="71">
        <f ca="1">-IF(C77=1,(F77+K77+L77+Q77)/2*'Invoer gegevens (N)'!$I$35*'Reeksen (N)'!L77,0)</f>
        <v>0</v>
      </c>
      <c r="AT77" s="71">
        <f ca="1">-IF(C77=1,IF(E77='Invoer gegevens (N)'!$C$17,'Invoer gegevens (N)'!$C$11,AD77)*'Reeksen (N)'!S77*'Invoer gegevens (N)'!$C$18*'Reeksen (N)'!P77,0)</f>
        <v>0</v>
      </c>
      <c r="AU77" s="71">
        <f ca="1">-IF(C77=1,(F77+K77+L77+Q77)/2*'Invoer gegevens (N)'!$I$36*'Reeksen (N)'!H77,0)</f>
        <v>0</v>
      </c>
      <c r="AV77" s="71">
        <v>0</v>
      </c>
      <c r="AW77" s="71">
        <f t="shared" ca="1" si="19"/>
        <v>0</v>
      </c>
      <c r="AX77" s="71">
        <f ca="1">IF(E77&lt;'Invoer gegevens (N)'!$C$17+15,0,IF(E77&gt;'Invoer gegevens (N)'!$C$17+215,0,AW77))</f>
        <v>0</v>
      </c>
      <c r="AY77" s="71">
        <f ca="1">AX77/(1+'Invoer gegevens (N)'!$F$18)^($AZ77-('Invoer gegevens (N)'!$C$17-'Invoer gegevens (N)'!$C$16))/(1+'Invoer gegevens (N)'!$C$39)^('Invoer gegevens (N)'!$C$17-'Invoer gegevens (N)'!$C$16)</f>
        <v>0</v>
      </c>
      <c r="AZ77" s="68">
        <f ca="1">IF(E77-'Invoer gegevens (N)'!$C$17-14.5&lt;0,0,E77-'Invoer gegevens (N)'!$C$17-14.5)</f>
        <v>57.5</v>
      </c>
    </row>
    <row r="78" spans="2:52" x14ac:dyDescent="0.25">
      <c r="B78" s="70">
        <f t="shared" si="20"/>
        <v>74</v>
      </c>
      <c r="C78" s="67">
        <f ca="1">IF(E78-'Invoer gegevens (N)'!$C$17&lt;0,0,1)</f>
        <v>1</v>
      </c>
      <c r="D78" s="68">
        <f t="shared" si="21"/>
        <v>73.5</v>
      </c>
      <c r="E78" s="108">
        <f ca="1">IF('Invoer gegevens (N)'!$C$16="","",E77+1)</f>
        <v>2092</v>
      </c>
      <c r="F78" s="84">
        <f ca="1">IF('Invoer gegevens (N)'!$C$17=E78,'Invoer gegevens (N)'!$C$10,IF(C78=1,K77,0))</f>
        <v>0</v>
      </c>
      <c r="G78" s="96">
        <f ca="1">IF(C78&gt;=1,F78*VLOOKUP(E78,'Reeksen (N)'!$A$5:$B$76,2),0)</f>
        <v>0</v>
      </c>
      <c r="H78" s="84">
        <f ca="1">(1-('Invoer gegevens (N)'!$F$20/12))*F78*MIN('Reeksen (N)'!B78,'Reeksen (N)'!D78)</f>
        <v>0</v>
      </c>
      <c r="I78" s="84">
        <f>IF('Reeksen (N)'!D78&lt;'Reeksen (N)'!B78,('Reeksen (N)'!B78-'Reeksen (N)'!D78)*F78,0)</f>
        <v>0</v>
      </c>
      <c r="J78" s="84">
        <f ca="1">('Invoer gegevens (N)'!$F$20/12)*F77*MIN('Reeksen (N)'!B77,'Reeksen (N)'!D77)</f>
        <v>0</v>
      </c>
      <c r="K78" s="97">
        <f t="shared" ca="1" si="12"/>
        <v>0</v>
      </c>
      <c r="L78" s="84">
        <f ca="1">IF('Invoer gegevens (N)'!$C$17=E78,0,IF(C78=1,Q77,0))</f>
        <v>0</v>
      </c>
      <c r="M78" s="96">
        <f ca="1">IF(C78&gt;=1,L78*VLOOKUP(E78,'Reeksen (N)'!$A$5:$B$76,2),0)</f>
        <v>0</v>
      </c>
      <c r="N78" s="84">
        <f ca="1">(1-('Invoer gegevens (N)'!$F$20/12))*L78*MIN('Reeksen (N)'!B78,'Reeksen (N)'!D78)</f>
        <v>0</v>
      </c>
      <c r="O78" s="84">
        <f>IF('Reeksen (N)'!D78&lt;'Reeksen (N)'!B78,('Reeksen (N)'!B78-'Reeksen (N)'!D78)*L78,0)</f>
        <v>0</v>
      </c>
      <c r="P78" s="84">
        <f ca="1">('Invoer gegevens (N)'!$F$20/12)*L77*MIN('Reeksen (N)'!B77,'Reeksen (N)'!D77)</f>
        <v>0</v>
      </c>
      <c r="Q78" s="84">
        <f t="shared" ca="1" si="13"/>
        <v>0</v>
      </c>
      <c r="R78" s="82">
        <f ca="1">IF('Invoer gegevens (N)'!$C$17=E78,'Invoer gegevens (N)'!$C$11,IF(C78=1,W77,0))</f>
        <v>0</v>
      </c>
      <c r="S78" s="86">
        <f ca="1">IF(C78&gt;=1,R78*VLOOKUP(E78,'Reeksen (N)'!$A$5:$B$76,2),0)</f>
        <v>0</v>
      </c>
      <c r="T78" s="84">
        <f ca="1">(1-('Invoer gegevens (N)'!$F$20/12))*R78*MIN('Reeksen (N)'!B78,'Reeksen (N)'!D78)</f>
        <v>0</v>
      </c>
      <c r="U78" s="84">
        <f>IF('Reeksen (N)'!D78&gt;='Reeksen (N)'!B78,0,IF('Reeksen (N)'!AK78&lt;='Reeksen (N)'!AE78,('Reeksen (N)'!B78-'Reeksen (N)'!D78)*R78,0))</f>
        <v>0</v>
      </c>
      <c r="V78" s="86">
        <f>IF('Reeksen (N)'!D78&gt;='Reeksen (N)'!B78,0,IF('Reeksen (N)'!AK78&gt;'Reeksen (N)'!AE78,('Reeksen (N)'!B78-'Reeksen (N)'!D78)*R78,0))</f>
        <v>0</v>
      </c>
      <c r="W78" s="97">
        <f t="shared" ca="1" si="14"/>
        <v>0</v>
      </c>
      <c r="X78" s="98">
        <f ca="1">IF('Invoer gegevens (N)'!$C$17=E78,'Invoer gegevens (N)'!$C$10-'Invoer gegevens (N)'!$C$11,IF(C78=1,AC77,0))</f>
        <v>0</v>
      </c>
      <c r="Y78" s="98">
        <f ca="1">IF(C78&gt;=1,X78*VLOOKUP(E78,'Reeksen (N)'!$A$5:$B$76,2),0)</f>
        <v>0</v>
      </c>
      <c r="Z78" s="98">
        <f ca="1">(1-('Invoer gegevens (N)'!$F$20/12))*X78*MIN('Reeksen (N)'!B78,'Reeksen (N)'!D78)</f>
        <v>0</v>
      </c>
      <c r="AA78" s="98">
        <f>IF('Reeksen (N)'!D78&gt;='Reeksen (N)'!B78,0,IF('Reeksen (N)'!AK78&lt;='Reeksen (N)'!AE78,('Reeksen (N)'!B78-'Reeksen (N)'!D78)*X78,0))</f>
        <v>0</v>
      </c>
      <c r="AB78" s="98">
        <f>IF('Reeksen (N)'!D78&gt;='Reeksen (N)'!B78,0,IF('Reeksen (N)'!AK78&gt;'Reeksen (N)'!AE78,('Reeksen (N)'!B78-'Reeksen (N)'!D78)*X78,0))</f>
        <v>0</v>
      </c>
      <c r="AC78" s="99">
        <f t="shared" ca="1" si="15"/>
        <v>0</v>
      </c>
      <c r="AD78" s="98">
        <f ca="1">IF('Invoer gegevens (N)'!$C$17=E78,R78,IF(C78=0,0,AE77))</f>
        <v>0</v>
      </c>
      <c r="AE78" s="98">
        <f t="shared" ca="1" si="16"/>
        <v>0</v>
      </c>
      <c r="AF78" s="98">
        <f ca="1">IF('Invoer gegevens (N)'!$C$17=E78,X78,IF(C78=0,0,AG77))</f>
        <v>0</v>
      </c>
      <c r="AG78" s="98">
        <f t="shared" ca="1" si="17"/>
        <v>0</v>
      </c>
      <c r="AH78" s="68"/>
      <c r="AI78" s="71">
        <f ca="1">IF(C78=1,'Reeksen (N)'!AJ78*((F78-G78+F78)/2)*12+'Reeksen (N)'!AK78*((L78-M78+L78)/2)*12,0)</f>
        <v>0</v>
      </c>
      <c r="AJ78" s="71">
        <f ca="1">-AI78*'Invoer gegevens (N)'!$F$28</f>
        <v>0</v>
      </c>
      <c r="AK78" s="71">
        <f t="shared" ca="1" si="11"/>
        <v>0</v>
      </c>
      <c r="AL78" s="71">
        <f ca="1">IF(C78=1,'Reeksen (N)'!AL78*((F78-G78+F78)/2)*12+'Reeksen (N)'!AM78*((L78-M78+L78)/2)*12,0)</f>
        <v>0</v>
      </c>
      <c r="AM78" s="71">
        <f ca="1">-AL78*'Invoer gegevens (N)'!$F$31</f>
        <v>0</v>
      </c>
      <c r="AN78" s="71">
        <f t="shared" ca="1" si="18"/>
        <v>0</v>
      </c>
      <c r="AO78" s="71">
        <f ca="1">IF(C78=1,(H78+J78+N78+P78)*'Reeksen (N)'!AN78,0)</f>
        <v>0</v>
      </c>
      <c r="AP78" s="71">
        <f ca="1">-IF(C78=1,(H78+J78+N78+P78)*'Hulp - basis'!$O$550*'Reeksen (N)'!H78,0)</f>
        <v>0</v>
      </c>
      <c r="AQ78" s="71">
        <f ca="1">-IF(C78=1,(F78+K78+L78+Q78)/2*'Invoer gegevens (N)'!$I$33*'Reeksen (N)'!J78,0)*2</f>
        <v>0</v>
      </c>
      <c r="AR78" s="71">
        <f ca="1">-IF(C78=1,(I78*'Invoer gegevens (N)'!$I$34)*'Reeksen (N)'!J78,0)</f>
        <v>0</v>
      </c>
      <c r="AS78" s="71">
        <f ca="1">-IF(C78=1,(F78+K78+L78+Q78)/2*'Invoer gegevens (N)'!$I$35*'Reeksen (N)'!L78,0)</f>
        <v>0</v>
      </c>
      <c r="AT78" s="71">
        <f ca="1">-IF(C78=1,IF(E78='Invoer gegevens (N)'!$C$17,'Invoer gegevens (N)'!$C$11,AD78)*'Reeksen (N)'!S78*'Invoer gegevens (N)'!$C$18*'Reeksen (N)'!P78,0)</f>
        <v>0</v>
      </c>
      <c r="AU78" s="71">
        <f ca="1">-IF(C78=1,(F78+K78+L78+Q78)/2*'Invoer gegevens (N)'!$I$36*'Reeksen (N)'!H78,0)</f>
        <v>0</v>
      </c>
      <c r="AV78" s="71">
        <v>0</v>
      </c>
      <c r="AW78" s="71">
        <f t="shared" ca="1" si="19"/>
        <v>0</v>
      </c>
      <c r="AX78" s="71">
        <f ca="1">IF(E78&lt;'Invoer gegevens (N)'!$C$17+15,0,IF(E78&gt;'Invoer gegevens (N)'!$C$17+215,0,AW78))</f>
        <v>0</v>
      </c>
      <c r="AY78" s="71">
        <f ca="1">AX78/(1+'Invoer gegevens (N)'!$F$18)^($AZ78-('Invoer gegevens (N)'!$C$17-'Invoer gegevens (N)'!$C$16))/(1+'Invoer gegevens (N)'!$C$39)^('Invoer gegevens (N)'!$C$17-'Invoer gegevens (N)'!$C$16)</f>
        <v>0</v>
      </c>
      <c r="AZ78" s="68">
        <f ca="1">IF(E78-'Invoer gegevens (N)'!$C$17-14.5&lt;0,0,E78-'Invoer gegevens (N)'!$C$17-14.5)</f>
        <v>58.5</v>
      </c>
    </row>
    <row r="79" spans="2:52" x14ac:dyDescent="0.25">
      <c r="B79" s="70">
        <f t="shared" si="20"/>
        <v>75</v>
      </c>
      <c r="C79" s="67">
        <f ca="1">IF(E79-'Invoer gegevens (N)'!$C$17&lt;0,0,1)</f>
        <v>1</v>
      </c>
      <c r="D79" s="68">
        <f t="shared" si="21"/>
        <v>74.5</v>
      </c>
      <c r="E79" s="108">
        <f ca="1">IF('Invoer gegevens (N)'!$C$16="","",E78+1)</f>
        <v>2093</v>
      </c>
      <c r="F79" s="84">
        <f ca="1">IF('Invoer gegevens (N)'!$C$17=E79,'Invoer gegevens (N)'!$C$10,IF(C79=1,K78,0))</f>
        <v>0</v>
      </c>
      <c r="G79" s="96">
        <f ca="1">IF(C79&gt;=1,F79*VLOOKUP(E79,'Reeksen (N)'!$A$5:$B$76,2),0)</f>
        <v>0</v>
      </c>
      <c r="H79" s="84">
        <f ca="1">(1-('Invoer gegevens (N)'!$F$20/12))*F79*MIN('Reeksen (N)'!B79,'Reeksen (N)'!D79)</f>
        <v>0</v>
      </c>
      <c r="I79" s="84">
        <f>IF('Reeksen (N)'!D79&lt;'Reeksen (N)'!B79,('Reeksen (N)'!B79-'Reeksen (N)'!D79)*F79,0)</f>
        <v>0</v>
      </c>
      <c r="J79" s="84">
        <f ca="1">('Invoer gegevens (N)'!$F$20/12)*F78*MIN('Reeksen (N)'!B78,'Reeksen (N)'!D78)</f>
        <v>0</v>
      </c>
      <c r="K79" s="97">
        <f t="shared" ca="1" si="12"/>
        <v>0</v>
      </c>
      <c r="L79" s="84">
        <f ca="1">IF('Invoer gegevens (N)'!$C$17=E79,0,IF(C79=1,Q78,0))</f>
        <v>0</v>
      </c>
      <c r="M79" s="96">
        <f ca="1">IF(C79&gt;=1,L79*VLOOKUP(E79,'Reeksen (N)'!$A$5:$B$76,2),0)</f>
        <v>0</v>
      </c>
      <c r="N79" s="84">
        <f ca="1">(1-('Invoer gegevens (N)'!$F$20/12))*L79*MIN('Reeksen (N)'!B79,'Reeksen (N)'!D79)</f>
        <v>0</v>
      </c>
      <c r="O79" s="84">
        <f>IF('Reeksen (N)'!D79&lt;'Reeksen (N)'!B79,('Reeksen (N)'!B79-'Reeksen (N)'!D79)*L79,0)</f>
        <v>0</v>
      </c>
      <c r="P79" s="84">
        <f ca="1">('Invoer gegevens (N)'!$F$20/12)*L78*MIN('Reeksen (N)'!B78,'Reeksen (N)'!D78)</f>
        <v>0</v>
      </c>
      <c r="Q79" s="84">
        <f t="shared" ca="1" si="13"/>
        <v>0</v>
      </c>
      <c r="R79" s="82">
        <f ca="1">IF('Invoer gegevens (N)'!$C$17=E79,'Invoer gegevens (N)'!$C$11,IF(C79=1,W78,0))</f>
        <v>0</v>
      </c>
      <c r="S79" s="86">
        <f ca="1">IF(C79&gt;=1,R79*VLOOKUP(E79,'Reeksen (N)'!$A$5:$B$76,2),0)</f>
        <v>0</v>
      </c>
      <c r="T79" s="84">
        <f ca="1">(1-('Invoer gegevens (N)'!$F$20/12))*R79*MIN('Reeksen (N)'!B79,'Reeksen (N)'!D79)</f>
        <v>0</v>
      </c>
      <c r="U79" s="84">
        <f>IF('Reeksen (N)'!D79&gt;='Reeksen (N)'!B79,0,IF('Reeksen (N)'!AK79&lt;='Reeksen (N)'!AE79,('Reeksen (N)'!B79-'Reeksen (N)'!D79)*R79,0))</f>
        <v>0</v>
      </c>
      <c r="V79" s="86">
        <f>IF('Reeksen (N)'!D79&gt;='Reeksen (N)'!B79,0,IF('Reeksen (N)'!AK79&gt;'Reeksen (N)'!AE79,('Reeksen (N)'!B79-'Reeksen (N)'!D79)*R79,0))</f>
        <v>0</v>
      </c>
      <c r="W79" s="97">
        <f t="shared" ca="1" si="14"/>
        <v>0</v>
      </c>
      <c r="X79" s="98">
        <f ca="1">IF('Invoer gegevens (N)'!$C$17=E79,'Invoer gegevens (N)'!$C$10-'Invoer gegevens (N)'!$C$11,IF(C79=1,AC78,0))</f>
        <v>0</v>
      </c>
      <c r="Y79" s="98">
        <f ca="1">IF(C79&gt;=1,X79*VLOOKUP(E79,'Reeksen (N)'!$A$5:$B$76,2),0)</f>
        <v>0</v>
      </c>
      <c r="Z79" s="98">
        <f ca="1">(1-('Invoer gegevens (N)'!$F$20/12))*X79*MIN('Reeksen (N)'!B79,'Reeksen (N)'!D79)</f>
        <v>0</v>
      </c>
      <c r="AA79" s="98">
        <f>IF('Reeksen (N)'!D79&gt;='Reeksen (N)'!B79,0,IF('Reeksen (N)'!AK79&lt;='Reeksen (N)'!AE79,('Reeksen (N)'!B79-'Reeksen (N)'!D79)*X79,0))</f>
        <v>0</v>
      </c>
      <c r="AB79" s="98">
        <f>IF('Reeksen (N)'!D79&gt;='Reeksen (N)'!B79,0,IF('Reeksen (N)'!AK79&gt;'Reeksen (N)'!AE79,('Reeksen (N)'!B79-'Reeksen (N)'!D79)*X79,0))</f>
        <v>0</v>
      </c>
      <c r="AC79" s="99">
        <f t="shared" ca="1" si="15"/>
        <v>0</v>
      </c>
      <c r="AD79" s="98">
        <f ca="1">IF('Invoer gegevens (N)'!$C$17=E79,R79,IF(C79=0,0,AE78))</f>
        <v>0</v>
      </c>
      <c r="AE79" s="98">
        <f t="shared" ca="1" si="16"/>
        <v>0</v>
      </c>
      <c r="AF79" s="98">
        <f ca="1">IF('Invoer gegevens (N)'!$C$17=E79,X79,IF(C79=0,0,AG78))</f>
        <v>0</v>
      </c>
      <c r="AG79" s="98">
        <f t="shared" ca="1" si="17"/>
        <v>0</v>
      </c>
      <c r="AH79" s="68"/>
      <c r="AI79" s="71">
        <f ca="1">IF(C79=1,'Reeksen (N)'!AJ79*((F79-G79+F79)/2)*12+'Reeksen (N)'!AK79*((L79-M79+L79)/2)*12,0)</f>
        <v>0</v>
      </c>
      <c r="AJ79" s="71">
        <f ca="1">-AI79*'Invoer gegevens (N)'!$F$28</f>
        <v>0</v>
      </c>
      <c r="AK79" s="71">
        <f t="shared" ca="1" si="11"/>
        <v>0</v>
      </c>
      <c r="AL79" s="71">
        <f ca="1">IF(C79=1,'Reeksen (N)'!AL79*((F79-G79+F79)/2)*12+'Reeksen (N)'!AM79*((L79-M79+L79)/2)*12,0)</f>
        <v>0</v>
      </c>
      <c r="AM79" s="71">
        <f ca="1">-AL79*'Invoer gegevens (N)'!$F$31</f>
        <v>0</v>
      </c>
      <c r="AN79" s="71">
        <f t="shared" ca="1" si="18"/>
        <v>0</v>
      </c>
      <c r="AO79" s="71">
        <f ca="1">IF(C79=1,(H79+J79+N79+P79)*'Reeksen (N)'!AN79,0)</f>
        <v>0</v>
      </c>
      <c r="AP79" s="71">
        <f ca="1">-IF(C79=1,(H79+J79+N79+P79)*'Hulp - basis'!$O$550*'Reeksen (N)'!H79,0)</f>
        <v>0</v>
      </c>
      <c r="AQ79" s="71">
        <f ca="1">-IF(C79=1,(F79+K79+L79+Q79)/2*'Invoer gegevens (N)'!$I$33*'Reeksen (N)'!J79,0)*2</f>
        <v>0</v>
      </c>
      <c r="AR79" s="71">
        <f ca="1">-IF(C79=1,(I79*'Invoer gegevens (N)'!$I$34)*'Reeksen (N)'!J79,0)</f>
        <v>0</v>
      </c>
      <c r="AS79" s="71">
        <f ca="1">-IF(C79=1,(F79+K79+L79+Q79)/2*'Invoer gegevens (N)'!$I$35*'Reeksen (N)'!L79,0)</f>
        <v>0</v>
      </c>
      <c r="AT79" s="71">
        <f ca="1">-IF(C79=1,IF(E79='Invoer gegevens (N)'!$C$17,'Invoer gegevens (N)'!$C$11,AD79)*'Reeksen (N)'!S79*'Invoer gegevens (N)'!$C$18*'Reeksen (N)'!P79,0)</f>
        <v>0</v>
      </c>
      <c r="AU79" s="71">
        <f ca="1">-IF(C79=1,(F79+K79+L79+Q79)/2*'Invoer gegevens (N)'!$I$36*'Reeksen (N)'!H79,0)</f>
        <v>0</v>
      </c>
      <c r="AV79" s="71">
        <v>0</v>
      </c>
      <c r="AW79" s="71">
        <f t="shared" ca="1" si="19"/>
        <v>0</v>
      </c>
      <c r="AX79" s="71">
        <f ca="1">IF(E79&lt;'Invoer gegevens (N)'!$C$17+15,0,IF(E79&gt;'Invoer gegevens (N)'!$C$17+215,0,AW79))</f>
        <v>0</v>
      </c>
      <c r="AY79" s="71">
        <f ca="1">AX79/(1+'Invoer gegevens (N)'!$F$18)^($AZ79-('Invoer gegevens (N)'!$C$17-'Invoer gegevens (N)'!$C$16))/(1+'Invoer gegevens (N)'!$C$39)^('Invoer gegevens (N)'!$C$17-'Invoer gegevens (N)'!$C$16)</f>
        <v>0</v>
      </c>
      <c r="AZ79" s="68">
        <f ca="1">IF(E79-'Invoer gegevens (N)'!$C$17-14.5&lt;0,0,E79-'Invoer gegevens (N)'!$C$17-14.5)</f>
        <v>59.5</v>
      </c>
    </row>
    <row r="80" spans="2:52" x14ac:dyDescent="0.25">
      <c r="B80" s="70">
        <f t="shared" si="20"/>
        <v>76</v>
      </c>
      <c r="C80" s="67">
        <f ca="1">IF(E80-'Invoer gegevens (N)'!$C$17&lt;0,0,1)</f>
        <v>1</v>
      </c>
      <c r="D80" s="68">
        <f t="shared" si="21"/>
        <v>75.5</v>
      </c>
      <c r="E80" s="108">
        <f ca="1">IF('Invoer gegevens (N)'!$C$16="","",E79+1)</f>
        <v>2094</v>
      </c>
      <c r="F80" s="84">
        <f ca="1">IF('Invoer gegevens (N)'!$C$17=E80,'Invoer gegevens (N)'!$C$10,IF(C80=1,K79,0))</f>
        <v>0</v>
      </c>
      <c r="G80" s="96">
        <f ca="1">IF(C80&gt;=1,F80*VLOOKUP(E80,'Reeksen (N)'!$A$5:$B$76,2),0)</f>
        <v>0</v>
      </c>
      <c r="H80" s="84">
        <f ca="1">(1-('Invoer gegevens (N)'!$F$20/12))*F80*MIN('Reeksen (N)'!B80,'Reeksen (N)'!D80)</f>
        <v>0</v>
      </c>
      <c r="I80" s="84">
        <f>IF('Reeksen (N)'!D80&lt;'Reeksen (N)'!B80,('Reeksen (N)'!B80-'Reeksen (N)'!D80)*F80,0)</f>
        <v>0</v>
      </c>
      <c r="J80" s="84">
        <f ca="1">('Invoer gegevens (N)'!$F$20/12)*F79*MIN('Reeksen (N)'!B79,'Reeksen (N)'!D79)</f>
        <v>0</v>
      </c>
      <c r="K80" s="97">
        <f t="shared" ca="1" si="12"/>
        <v>0</v>
      </c>
      <c r="L80" s="84">
        <f ca="1">IF('Invoer gegevens (N)'!$C$17=E80,0,IF(C80=1,Q79,0))</f>
        <v>0</v>
      </c>
      <c r="M80" s="96">
        <f ca="1">IF(C80&gt;=1,L80*VLOOKUP(E80,'Reeksen (N)'!$A$5:$B$76,2),0)</f>
        <v>0</v>
      </c>
      <c r="N80" s="84">
        <f ca="1">(1-('Invoer gegevens (N)'!$F$20/12))*L80*MIN('Reeksen (N)'!B80,'Reeksen (N)'!D80)</f>
        <v>0</v>
      </c>
      <c r="O80" s="84">
        <f>IF('Reeksen (N)'!D80&lt;'Reeksen (N)'!B80,('Reeksen (N)'!B80-'Reeksen (N)'!D80)*L80,0)</f>
        <v>0</v>
      </c>
      <c r="P80" s="84">
        <f ca="1">('Invoer gegevens (N)'!$F$20/12)*L79*MIN('Reeksen (N)'!B79,'Reeksen (N)'!D79)</f>
        <v>0</v>
      </c>
      <c r="Q80" s="84">
        <f t="shared" ca="1" si="13"/>
        <v>0</v>
      </c>
      <c r="R80" s="82">
        <f ca="1">IF('Invoer gegevens (N)'!$C$17=E80,'Invoer gegevens (N)'!$C$11,IF(C80=1,W79,0))</f>
        <v>0</v>
      </c>
      <c r="S80" s="86">
        <f ca="1">IF(C80&gt;=1,R80*VLOOKUP(E80,'Reeksen (N)'!$A$5:$B$76,2),0)</f>
        <v>0</v>
      </c>
      <c r="T80" s="84">
        <f ca="1">(1-('Invoer gegevens (N)'!$F$20/12))*R80*MIN('Reeksen (N)'!B80,'Reeksen (N)'!D80)</f>
        <v>0</v>
      </c>
      <c r="U80" s="84">
        <f>IF('Reeksen (N)'!D80&gt;='Reeksen (N)'!B80,0,IF('Reeksen (N)'!AK80&lt;='Reeksen (N)'!AE80,('Reeksen (N)'!B80-'Reeksen (N)'!D80)*R80,0))</f>
        <v>0</v>
      </c>
      <c r="V80" s="86">
        <f>IF('Reeksen (N)'!D80&gt;='Reeksen (N)'!B80,0,IF('Reeksen (N)'!AK80&gt;'Reeksen (N)'!AE80,('Reeksen (N)'!B80-'Reeksen (N)'!D80)*R80,0))</f>
        <v>0</v>
      </c>
      <c r="W80" s="97">
        <f t="shared" ca="1" si="14"/>
        <v>0</v>
      </c>
      <c r="X80" s="98">
        <f ca="1">IF('Invoer gegevens (N)'!$C$17=E80,'Invoer gegevens (N)'!$C$10-'Invoer gegevens (N)'!$C$11,IF(C80=1,AC79,0))</f>
        <v>0</v>
      </c>
      <c r="Y80" s="98">
        <f ca="1">IF(C80&gt;=1,X80*VLOOKUP(E80,'Reeksen (N)'!$A$5:$B$76,2),0)</f>
        <v>0</v>
      </c>
      <c r="Z80" s="98">
        <f ca="1">(1-('Invoer gegevens (N)'!$F$20/12))*X80*MIN('Reeksen (N)'!B80,'Reeksen (N)'!D80)</f>
        <v>0</v>
      </c>
      <c r="AA80" s="98">
        <f>IF('Reeksen (N)'!D80&gt;='Reeksen (N)'!B80,0,IF('Reeksen (N)'!AK80&lt;='Reeksen (N)'!AE80,('Reeksen (N)'!B80-'Reeksen (N)'!D80)*X80,0))</f>
        <v>0</v>
      </c>
      <c r="AB80" s="98">
        <f>IF('Reeksen (N)'!D80&gt;='Reeksen (N)'!B80,0,IF('Reeksen (N)'!AK80&gt;'Reeksen (N)'!AE80,('Reeksen (N)'!B80-'Reeksen (N)'!D80)*X80,0))</f>
        <v>0</v>
      </c>
      <c r="AC80" s="99">
        <f t="shared" ca="1" si="15"/>
        <v>0</v>
      </c>
      <c r="AD80" s="98">
        <f ca="1">IF('Invoer gegevens (N)'!$C$17=E80,R80,IF(C80=0,0,AE79))</f>
        <v>0</v>
      </c>
      <c r="AE80" s="98">
        <f t="shared" ca="1" si="16"/>
        <v>0</v>
      </c>
      <c r="AF80" s="98">
        <f ca="1">IF('Invoer gegevens (N)'!$C$17=E80,X80,IF(C80=0,0,AG79))</f>
        <v>0</v>
      </c>
      <c r="AG80" s="98">
        <f t="shared" ca="1" si="17"/>
        <v>0</v>
      </c>
      <c r="AH80" s="68"/>
      <c r="AI80" s="71">
        <f ca="1">IF(C80=1,'Reeksen (N)'!AJ80*((F80-G80+F80)/2)*12+'Reeksen (N)'!AK80*((L80-M80+L80)/2)*12,0)</f>
        <v>0</v>
      </c>
      <c r="AJ80" s="71">
        <f ca="1">-AI80*'Invoer gegevens (N)'!$F$28</f>
        <v>0</v>
      </c>
      <c r="AK80" s="71">
        <f t="shared" ca="1" si="11"/>
        <v>0</v>
      </c>
      <c r="AL80" s="71">
        <f ca="1">IF(C80=1,'Reeksen (N)'!AL80*((F80-G80+F80)/2)*12+'Reeksen (N)'!AM80*((L80-M80+L80)/2)*12,0)</f>
        <v>0</v>
      </c>
      <c r="AM80" s="71">
        <f ca="1">-AL80*'Invoer gegevens (N)'!$F$31</f>
        <v>0</v>
      </c>
      <c r="AN80" s="71">
        <f t="shared" ca="1" si="18"/>
        <v>0</v>
      </c>
      <c r="AO80" s="71">
        <f ca="1">IF(C80=1,(H80+J80+N80+P80)*'Reeksen (N)'!AN80,0)</f>
        <v>0</v>
      </c>
      <c r="AP80" s="71">
        <f ca="1">-IF(C80=1,(H80+J80+N80+P80)*'Hulp - basis'!$O$550*'Reeksen (N)'!H80,0)</f>
        <v>0</v>
      </c>
      <c r="AQ80" s="71">
        <f ca="1">-IF(C80=1,(F80+K80+L80+Q80)/2*'Invoer gegevens (N)'!$I$33*'Reeksen (N)'!J80,0)*2</f>
        <v>0</v>
      </c>
      <c r="AR80" s="71">
        <f ca="1">-IF(C80=1,(I80*'Invoer gegevens (N)'!$I$34)*'Reeksen (N)'!J80,0)</f>
        <v>0</v>
      </c>
      <c r="AS80" s="71">
        <f ca="1">-IF(C80=1,(F80+K80+L80+Q80)/2*'Invoer gegevens (N)'!$I$35*'Reeksen (N)'!L80,0)</f>
        <v>0</v>
      </c>
      <c r="AT80" s="71">
        <f ca="1">-IF(C80=1,IF(E80='Invoer gegevens (N)'!$C$17,'Invoer gegevens (N)'!$C$11,AD80)*'Reeksen (N)'!S80*'Invoer gegevens (N)'!$C$18*'Reeksen (N)'!P80,0)</f>
        <v>0</v>
      </c>
      <c r="AU80" s="71">
        <f ca="1">-IF(C80=1,(F80+K80+L80+Q80)/2*'Invoer gegevens (N)'!$I$36*'Reeksen (N)'!H80,0)</f>
        <v>0</v>
      </c>
      <c r="AV80" s="71">
        <v>0</v>
      </c>
      <c r="AW80" s="71">
        <f t="shared" ca="1" si="19"/>
        <v>0</v>
      </c>
      <c r="AX80" s="71">
        <f ca="1">IF(E80&lt;'Invoer gegevens (N)'!$C$17+15,0,IF(E80&gt;'Invoer gegevens (N)'!$C$17+215,0,AW80))</f>
        <v>0</v>
      </c>
      <c r="AY80" s="71">
        <f ca="1">AX80/(1+'Invoer gegevens (N)'!$F$18)^($AZ80-('Invoer gegevens (N)'!$C$17-'Invoer gegevens (N)'!$C$16))/(1+'Invoer gegevens (N)'!$C$39)^('Invoer gegevens (N)'!$C$17-'Invoer gegevens (N)'!$C$16)</f>
        <v>0</v>
      </c>
      <c r="AZ80" s="68">
        <f ca="1">IF(E80-'Invoer gegevens (N)'!$C$17-14.5&lt;0,0,E80-'Invoer gegevens (N)'!$C$17-14.5)</f>
        <v>60.5</v>
      </c>
    </row>
    <row r="81" spans="2:52" x14ac:dyDescent="0.25">
      <c r="B81" s="70">
        <f t="shared" si="20"/>
        <v>77</v>
      </c>
      <c r="C81" s="67">
        <f ca="1">IF(E81-'Invoer gegevens (N)'!$C$17&lt;0,0,1)</f>
        <v>1</v>
      </c>
      <c r="D81" s="68">
        <f t="shared" si="21"/>
        <v>76.5</v>
      </c>
      <c r="E81" s="108">
        <f ca="1">IF('Invoer gegevens (N)'!$C$16="","",E80+1)</f>
        <v>2095</v>
      </c>
      <c r="F81" s="84">
        <f ca="1">IF('Invoer gegevens (N)'!$C$17=E81,'Invoer gegevens (N)'!$C$10,IF(C81=1,K80,0))</f>
        <v>0</v>
      </c>
      <c r="G81" s="96">
        <f ca="1">IF(C81&gt;=1,F81*VLOOKUP(E81,'Reeksen (N)'!$A$5:$B$76,2),0)</f>
        <v>0</v>
      </c>
      <c r="H81" s="84">
        <f ca="1">(1-('Invoer gegevens (N)'!$F$20/12))*F81*MIN('Reeksen (N)'!B81,'Reeksen (N)'!D81)</f>
        <v>0</v>
      </c>
      <c r="I81" s="84">
        <f>IF('Reeksen (N)'!D81&lt;'Reeksen (N)'!B81,('Reeksen (N)'!B81-'Reeksen (N)'!D81)*F81,0)</f>
        <v>0</v>
      </c>
      <c r="J81" s="84">
        <f ca="1">('Invoer gegevens (N)'!$F$20/12)*F80*MIN('Reeksen (N)'!B80,'Reeksen (N)'!D80)</f>
        <v>0</v>
      </c>
      <c r="K81" s="97">
        <f t="shared" ca="1" si="12"/>
        <v>0</v>
      </c>
      <c r="L81" s="84">
        <f ca="1">IF('Invoer gegevens (N)'!$C$17=E81,0,IF(C81=1,Q80,0))</f>
        <v>0</v>
      </c>
      <c r="M81" s="96">
        <f ca="1">IF(C81&gt;=1,L81*VLOOKUP(E81,'Reeksen (N)'!$A$5:$B$76,2),0)</f>
        <v>0</v>
      </c>
      <c r="N81" s="84">
        <f ca="1">(1-('Invoer gegevens (N)'!$F$20/12))*L81*MIN('Reeksen (N)'!B81,'Reeksen (N)'!D81)</f>
        <v>0</v>
      </c>
      <c r="O81" s="84">
        <f>IF('Reeksen (N)'!D81&lt;'Reeksen (N)'!B81,('Reeksen (N)'!B81-'Reeksen (N)'!D81)*L81,0)</f>
        <v>0</v>
      </c>
      <c r="P81" s="84">
        <f ca="1">('Invoer gegevens (N)'!$F$20/12)*L80*MIN('Reeksen (N)'!B80,'Reeksen (N)'!D80)</f>
        <v>0</v>
      </c>
      <c r="Q81" s="84">
        <f t="shared" ca="1" si="13"/>
        <v>0</v>
      </c>
      <c r="R81" s="82">
        <f ca="1">IF('Invoer gegevens (N)'!$C$17=E81,'Invoer gegevens (N)'!$C$11,IF(C81=1,W80,0))</f>
        <v>0</v>
      </c>
      <c r="S81" s="86">
        <f ca="1">IF(C81&gt;=1,R81*VLOOKUP(E81,'Reeksen (N)'!$A$5:$B$76,2),0)</f>
        <v>0</v>
      </c>
      <c r="T81" s="84">
        <f ca="1">(1-('Invoer gegevens (N)'!$F$20/12))*R81*MIN('Reeksen (N)'!B81,'Reeksen (N)'!D81)</f>
        <v>0</v>
      </c>
      <c r="U81" s="84">
        <f>IF('Reeksen (N)'!D81&gt;='Reeksen (N)'!B81,0,IF('Reeksen (N)'!AK81&lt;='Reeksen (N)'!AE81,('Reeksen (N)'!B81-'Reeksen (N)'!D81)*R81,0))</f>
        <v>0</v>
      </c>
      <c r="V81" s="86">
        <f>IF('Reeksen (N)'!D81&gt;='Reeksen (N)'!B81,0,IF('Reeksen (N)'!AK81&gt;'Reeksen (N)'!AE81,('Reeksen (N)'!B81-'Reeksen (N)'!D81)*R81,0))</f>
        <v>0</v>
      </c>
      <c r="W81" s="97">
        <f t="shared" ca="1" si="14"/>
        <v>0</v>
      </c>
      <c r="X81" s="98">
        <f ca="1">IF('Invoer gegevens (N)'!$C$17=E81,'Invoer gegevens (N)'!$C$10-'Invoer gegevens (N)'!$C$11,IF(C81=1,AC80,0))</f>
        <v>0</v>
      </c>
      <c r="Y81" s="98">
        <f ca="1">IF(C81&gt;=1,X81*VLOOKUP(E81,'Reeksen (N)'!$A$5:$B$76,2),0)</f>
        <v>0</v>
      </c>
      <c r="Z81" s="98">
        <f ca="1">(1-('Invoer gegevens (N)'!$F$20/12))*X81*MIN('Reeksen (N)'!B81,'Reeksen (N)'!D81)</f>
        <v>0</v>
      </c>
      <c r="AA81" s="98">
        <f>IF('Reeksen (N)'!D81&gt;='Reeksen (N)'!B81,0,IF('Reeksen (N)'!AK81&lt;='Reeksen (N)'!AE81,('Reeksen (N)'!B81-'Reeksen (N)'!D81)*X81,0))</f>
        <v>0</v>
      </c>
      <c r="AB81" s="98">
        <f>IF('Reeksen (N)'!D81&gt;='Reeksen (N)'!B81,0,IF('Reeksen (N)'!AK81&gt;'Reeksen (N)'!AE81,('Reeksen (N)'!B81-'Reeksen (N)'!D81)*X81,0))</f>
        <v>0</v>
      </c>
      <c r="AC81" s="99">
        <f t="shared" ca="1" si="15"/>
        <v>0</v>
      </c>
      <c r="AD81" s="98">
        <f ca="1">IF('Invoer gegevens (N)'!$C$17=E81,R81,IF(C81=0,0,AE80))</f>
        <v>0</v>
      </c>
      <c r="AE81" s="98">
        <f t="shared" ca="1" si="16"/>
        <v>0</v>
      </c>
      <c r="AF81" s="98">
        <f ca="1">IF('Invoer gegevens (N)'!$C$17=E81,X81,IF(C81=0,0,AG80))</f>
        <v>0</v>
      </c>
      <c r="AG81" s="98">
        <f t="shared" ca="1" si="17"/>
        <v>0</v>
      </c>
      <c r="AH81" s="68"/>
      <c r="AI81" s="71">
        <f ca="1">IF(C81=1,'Reeksen (N)'!AJ81*((F81-G81+F81)/2)*12+'Reeksen (N)'!AK81*((L81-M81+L81)/2)*12,0)</f>
        <v>0</v>
      </c>
      <c r="AJ81" s="71">
        <f ca="1">-AI81*'Invoer gegevens (N)'!$F$28</f>
        <v>0</v>
      </c>
      <c r="AK81" s="71">
        <f t="shared" ca="1" si="11"/>
        <v>0</v>
      </c>
      <c r="AL81" s="71">
        <f ca="1">IF(C81=1,'Reeksen (N)'!AL81*((F81-G81+F81)/2)*12+'Reeksen (N)'!AM81*((L81-M81+L81)/2)*12,0)</f>
        <v>0</v>
      </c>
      <c r="AM81" s="71">
        <f ca="1">-AL81*'Invoer gegevens (N)'!$F$31</f>
        <v>0</v>
      </c>
      <c r="AN81" s="71">
        <f t="shared" ca="1" si="18"/>
        <v>0</v>
      </c>
      <c r="AO81" s="71">
        <f ca="1">IF(C81=1,(H81+J81+N81+P81)*'Reeksen (N)'!AN81,0)</f>
        <v>0</v>
      </c>
      <c r="AP81" s="71">
        <f ca="1">-IF(C81=1,(H81+J81+N81+P81)*'Hulp - basis'!$O$550*'Reeksen (N)'!H81,0)</f>
        <v>0</v>
      </c>
      <c r="AQ81" s="71">
        <f ca="1">-IF(C81=1,(F81+K81+L81+Q81)/2*'Invoer gegevens (N)'!$I$33*'Reeksen (N)'!J81,0)*2</f>
        <v>0</v>
      </c>
      <c r="AR81" s="71">
        <f ca="1">-IF(C81=1,(I81*'Invoer gegevens (N)'!$I$34)*'Reeksen (N)'!J81,0)</f>
        <v>0</v>
      </c>
      <c r="AS81" s="71">
        <f ca="1">-IF(C81=1,(F81+K81+L81+Q81)/2*'Invoer gegevens (N)'!$I$35*'Reeksen (N)'!L81,0)</f>
        <v>0</v>
      </c>
      <c r="AT81" s="71">
        <f ca="1">-IF(C81=1,IF(E81='Invoer gegevens (N)'!$C$17,'Invoer gegevens (N)'!$C$11,AD81)*'Reeksen (N)'!S81*'Invoer gegevens (N)'!$C$18*'Reeksen (N)'!P81,0)</f>
        <v>0</v>
      </c>
      <c r="AU81" s="71">
        <f ca="1">-IF(C81=1,(F81+K81+L81+Q81)/2*'Invoer gegevens (N)'!$I$36*'Reeksen (N)'!H81,0)</f>
        <v>0</v>
      </c>
      <c r="AV81" s="71">
        <v>0</v>
      </c>
      <c r="AW81" s="71">
        <f t="shared" ca="1" si="19"/>
        <v>0</v>
      </c>
      <c r="AX81" s="71">
        <f ca="1">IF(E81&lt;'Invoer gegevens (N)'!$C$17+15,0,IF(E81&gt;'Invoer gegevens (N)'!$C$17+215,0,AW81))</f>
        <v>0</v>
      </c>
      <c r="AY81" s="71">
        <f ca="1">AX81/(1+'Invoer gegevens (N)'!$F$18)^($AZ81-('Invoer gegevens (N)'!$C$17-'Invoer gegevens (N)'!$C$16))/(1+'Invoer gegevens (N)'!$C$39)^('Invoer gegevens (N)'!$C$17-'Invoer gegevens (N)'!$C$16)</f>
        <v>0</v>
      </c>
      <c r="AZ81" s="68">
        <f ca="1">IF(E81-'Invoer gegevens (N)'!$C$17-14.5&lt;0,0,E81-'Invoer gegevens (N)'!$C$17-14.5)</f>
        <v>61.5</v>
      </c>
    </row>
    <row r="82" spans="2:52" x14ac:dyDescent="0.25">
      <c r="B82" s="70">
        <f t="shared" si="20"/>
        <v>78</v>
      </c>
      <c r="C82" s="67">
        <f ca="1">IF(E82-'Invoer gegevens (N)'!$C$17&lt;0,0,1)</f>
        <v>1</v>
      </c>
      <c r="D82" s="68">
        <f t="shared" si="21"/>
        <v>77.5</v>
      </c>
      <c r="E82" s="108">
        <f ca="1">IF('Invoer gegevens (N)'!$C$16="","",E81+1)</f>
        <v>2096</v>
      </c>
      <c r="F82" s="84">
        <f ca="1">IF('Invoer gegevens (N)'!$C$17=E82,'Invoer gegevens (N)'!$C$10,IF(C82=1,K81,0))</f>
        <v>0</v>
      </c>
      <c r="G82" s="96">
        <f ca="1">IF(C82&gt;=1,F82*VLOOKUP(E82,'Reeksen (N)'!$A$5:$B$76,2),0)</f>
        <v>0</v>
      </c>
      <c r="H82" s="84">
        <f ca="1">(1-('Invoer gegevens (N)'!$F$20/12))*F82*MIN('Reeksen (N)'!B82,'Reeksen (N)'!D82)</f>
        <v>0</v>
      </c>
      <c r="I82" s="84">
        <f>IF('Reeksen (N)'!D82&lt;'Reeksen (N)'!B82,('Reeksen (N)'!B82-'Reeksen (N)'!D82)*F82,0)</f>
        <v>0</v>
      </c>
      <c r="J82" s="84">
        <f ca="1">('Invoer gegevens (N)'!$F$20/12)*F81*MIN('Reeksen (N)'!B81,'Reeksen (N)'!D81)</f>
        <v>0</v>
      </c>
      <c r="K82" s="97">
        <f t="shared" ca="1" si="12"/>
        <v>0</v>
      </c>
      <c r="L82" s="84">
        <f ca="1">IF('Invoer gegevens (N)'!$C$17=E82,0,IF(C82=1,Q81,0))</f>
        <v>0</v>
      </c>
      <c r="M82" s="96">
        <f ca="1">IF(C82&gt;=1,L82*VLOOKUP(E82,'Reeksen (N)'!$A$5:$B$76,2),0)</f>
        <v>0</v>
      </c>
      <c r="N82" s="84">
        <f ca="1">(1-('Invoer gegevens (N)'!$F$20/12))*L82*MIN('Reeksen (N)'!B82,'Reeksen (N)'!D82)</f>
        <v>0</v>
      </c>
      <c r="O82" s="84">
        <f>IF('Reeksen (N)'!D82&lt;'Reeksen (N)'!B82,('Reeksen (N)'!B82-'Reeksen (N)'!D82)*L82,0)</f>
        <v>0</v>
      </c>
      <c r="P82" s="84">
        <f ca="1">('Invoer gegevens (N)'!$F$20/12)*L81*MIN('Reeksen (N)'!B81,'Reeksen (N)'!D81)</f>
        <v>0</v>
      </c>
      <c r="Q82" s="84">
        <f t="shared" ca="1" si="13"/>
        <v>0</v>
      </c>
      <c r="R82" s="82">
        <f ca="1">IF('Invoer gegevens (N)'!$C$17=E82,'Invoer gegevens (N)'!$C$11,IF(C82=1,W81,0))</f>
        <v>0</v>
      </c>
      <c r="S82" s="86">
        <f ca="1">IF(C82&gt;=1,R82*VLOOKUP(E82,'Reeksen (N)'!$A$5:$B$76,2),0)</f>
        <v>0</v>
      </c>
      <c r="T82" s="84">
        <f ca="1">(1-('Invoer gegevens (N)'!$F$20/12))*R82*MIN('Reeksen (N)'!B82,'Reeksen (N)'!D82)</f>
        <v>0</v>
      </c>
      <c r="U82" s="84">
        <f>IF('Reeksen (N)'!D82&gt;='Reeksen (N)'!B82,0,IF('Reeksen (N)'!AK82&lt;='Reeksen (N)'!AE82,('Reeksen (N)'!B82-'Reeksen (N)'!D82)*R82,0))</f>
        <v>0</v>
      </c>
      <c r="V82" s="86">
        <f>IF('Reeksen (N)'!D82&gt;='Reeksen (N)'!B82,0,IF('Reeksen (N)'!AK82&gt;'Reeksen (N)'!AE82,('Reeksen (N)'!B82-'Reeksen (N)'!D82)*R82,0))</f>
        <v>0</v>
      </c>
      <c r="W82" s="97">
        <f t="shared" ca="1" si="14"/>
        <v>0</v>
      </c>
      <c r="X82" s="98">
        <f ca="1">IF('Invoer gegevens (N)'!$C$17=E82,'Invoer gegevens (N)'!$C$10-'Invoer gegevens (N)'!$C$11,IF(C82=1,AC81,0))</f>
        <v>0</v>
      </c>
      <c r="Y82" s="98">
        <f ca="1">IF(C82&gt;=1,X82*VLOOKUP(E82,'Reeksen (N)'!$A$5:$B$76,2),0)</f>
        <v>0</v>
      </c>
      <c r="Z82" s="98">
        <f ca="1">(1-('Invoer gegevens (N)'!$F$20/12))*X82*MIN('Reeksen (N)'!B82,'Reeksen (N)'!D82)</f>
        <v>0</v>
      </c>
      <c r="AA82" s="98">
        <f>IF('Reeksen (N)'!D82&gt;='Reeksen (N)'!B82,0,IF('Reeksen (N)'!AK82&lt;='Reeksen (N)'!AE82,('Reeksen (N)'!B82-'Reeksen (N)'!D82)*X82,0))</f>
        <v>0</v>
      </c>
      <c r="AB82" s="98">
        <f>IF('Reeksen (N)'!D82&gt;='Reeksen (N)'!B82,0,IF('Reeksen (N)'!AK82&gt;'Reeksen (N)'!AE82,('Reeksen (N)'!B82-'Reeksen (N)'!D82)*X82,0))</f>
        <v>0</v>
      </c>
      <c r="AC82" s="99">
        <f t="shared" ca="1" si="15"/>
        <v>0</v>
      </c>
      <c r="AD82" s="98">
        <f ca="1">IF('Invoer gegevens (N)'!$C$17=E82,R82,IF(C82=0,0,AE81))</f>
        <v>0</v>
      </c>
      <c r="AE82" s="98">
        <f t="shared" ca="1" si="16"/>
        <v>0</v>
      </c>
      <c r="AF82" s="98">
        <f ca="1">IF('Invoer gegevens (N)'!$C$17=E82,X82,IF(C82=0,0,AG81))</f>
        <v>0</v>
      </c>
      <c r="AG82" s="98">
        <f t="shared" ca="1" si="17"/>
        <v>0</v>
      </c>
      <c r="AH82" s="68"/>
      <c r="AI82" s="71">
        <f ca="1">IF(C82=1,'Reeksen (N)'!AJ82*((F82-G82+F82)/2)*12+'Reeksen (N)'!AK82*((L82-M82+L82)/2)*12,0)</f>
        <v>0</v>
      </c>
      <c r="AJ82" s="71">
        <f ca="1">-AI82*'Invoer gegevens (N)'!$F$28</f>
        <v>0</v>
      </c>
      <c r="AK82" s="71">
        <f t="shared" ca="1" si="11"/>
        <v>0</v>
      </c>
      <c r="AL82" s="71">
        <f ca="1">IF(C82=1,'Reeksen (N)'!AL82*((F82-G82+F82)/2)*12+'Reeksen (N)'!AM82*((L82-M82+L82)/2)*12,0)</f>
        <v>0</v>
      </c>
      <c r="AM82" s="71">
        <f ca="1">-AL82*'Invoer gegevens (N)'!$F$31</f>
        <v>0</v>
      </c>
      <c r="AN82" s="71">
        <f t="shared" ca="1" si="18"/>
        <v>0</v>
      </c>
      <c r="AO82" s="71">
        <f ca="1">IF(C82=1,(H82+J82+N82+P82)*'Reeksen (N)'!AN82,0)</f>
        <v>0</v>
      </c>
      <c r="AP82" s="71">
        <f ca="1">-IF(C82=1,(H82+J82+N82+P82)*'Hulp - basis'!$O$550*'Reeksen (N)'!H82,0)</f>
        <v>0</v>
      </c>
      <c r="AQ82" s="71">
        <f ca="1">-IF(C82=1,(F82+K82+L82+Q82)/2*'Invoer gegevens (N)'!$I$33*'Reeksen (N)'!J82,0)*2</f>
        <v>0</v>
      </c>
      <c r="AR82" s="71">
        <f ca="1">-IF(C82=1,(I82*'Invoer gegevens (N)'!$I$34)*'Reeksen (N)'!J82,0)</f>
        <v>0</v>
      </c>
      <c r="AS82" s="71">
        <f ca="1">-IF(C82=1,(F82+K82+L82+Q82)/2*'Invoer gegevens (N)'!$I$35*'Reeksen (N)'!L82,0)</f>
        <v>0</v>
      </c>
      <c r="AT82" s="71">
        <f ca="1">-IF(C82=1,IF(E82='Invoer gegevens (N)'!$C$17,'Invoer gegevens (N)'!$C$11,AD82)*'Reeksen (N)'!S82*'Invoer gegevens (N)'!$C$18*'Reeksen (N)'!P82,0)</f>
        <v>0</v>
      </c>
      <c r="AU82" s="71">
        <f ca="1">-IF(C82=1,(F82+K82+L82+Q82)/2*'Invoer gegevens (N)'!$I$36*'Reeksen (N)'!H82,0)</f>
        <v>0</v>
      </c>
      <c r="AV82" s="71">
        <v>0</v>
      </c>
      <c r="AW82" s="71">
        <f t="shared" ca="1" si="19"/>
        <v>0</v>
      </c>
      <c r="AX82" s="71">
        <f ca="1">IF(E82&lt;'Invoer gegevens (N)'!$C$17+15,0,IF(E82&gt;'Invoer gegevens (N)'!$C$17+215,0,AW82))</f>
        <v>0</v>
      </c>
      <c r="AY82" s="71">
        <f ca="1">AX82/(1+'Invoer gegevens (N)'!$F$18)^($AZ82-('Invoer gegevens (N)'!$C$17-'Invoer gegevens (N)'!$C$16))/(1+'Invoer gegevens (N)'!$C$39)^('Invoer gegevens (N)'!$C$17-'Invoer gegevens (N)'!$C$16)</f>
        <v>0</v>
      </c>
      <c r="AZ82" s="68">
        <f ca="1">IF(E82-'Invoer gegevens (N)'!$C$17-14.5&lt;0,0,E82-'Invoer gegevens (N)'!$C$17-14.5)</f>
        <v>62.5</v>
      </c>
    </row>
    <row r="83" spans="2:52" x14ac:dyDescent="0.25">
      <c r="B83" s="70">
        <f t="shared" si="20"/>
        <v>79</v>
      </c>
      <c r="C83" s="67">
        <f ca="1">IF(E83-'Invoer gegevens (N)'!$C$17&lt;0,0,1)</f>
        <v>1</v>
      </c>
      <c r="D83" s="68">
        <f t="shared" si="21"/>
        <v>78.5</v>
      </c>
      <c r="E83" s="108">
        <f ca="1">IF('Invoer gegevens (N)'!$C$16="","",E82+1)</f>
        <v>2097</v>
      </c>
      <c r="F83" s="84">
        <f ca="1">IF('Invoer gegevens (N)'!$C$17=E83,'Invoer gegevens (N)'!$C$10,IF(C83=1,K82,0))</f>
        <v>0</v>
      </c>
      <c r="G83" s="96">
        <f ca="1">IF(C83&gt;=1,F83*VLOOKUP(E83,'Reeksen (N)'!$A$5:$B$76,2),0)</f>
        <v>0</v>
      </c>
      <c r="H83" s="84">
        <f ca="1">(1-('Invoer gegevens (N)'!$F$20/12))*F83*MIN('Reeksen (N)'!B83,'Reeksen (N)'!D83)</f>
        <v>0</v>
      </c>
      <c r="I83" s="84">
        <f>IF('Reeksen (N)'!D83&lt;'Reeksen (N)'!B83,('Reeksen (N)'!B83-'Reeksen (N)'!D83)*F83,0)</f>
        <v>0</v>
      </c>
      <c r="J83" s="84">
        <f ca="1">('Invoer gegevens (N)'!$F$20/12)*F82*MIN('Reeksen (N)'!B82,'Reeksen (N)'!D82)</f>
        <v>0</v>
      </c>
      <c r="K83" s="97">
        <f t="shared" ca="1" si="12"/>
        <v>0</v>
      </c>
      <c r="L83" s="84">
        <f ca="1">IF('Invoer gegevens (N)'!$C$17=E83,0,IF(C83=1,Q82,0))</f>
        <v>0</v>
      </c>
      <c r="M83" s="96">
        <f ca="1">IF(C83&gt;=1,L83*VLOOKUP(E83,'Reeksen (N)'!$A$5:$B$76,2),0)</f>
        <v>0</v>
      </c>
      <c r="N83" s="84">
        <f ca="1">(1-('Invoer gegevens (N)'!$F$20/12))*L83*MIN('Reeksen (N)'!B83,'Reeksen (N)'!D83)</f>
        <v>0</v>
      </c>
      <c r="O83" s="84">
        <f>IF('Reeksen (N)'!D83&lt;'Reeksen (N)'!B83,('Reeksen (N)'!B83-'Reeksen (N)'!D83)*L83,0)</f>
        <v>0</v>
      </c>
      <c r="P83" s="84">
        <f ca="1">('Invoer gegevens (N)'!$F$20/12)*L82*MIN('Reeksen (N)'!B82,'Reeksen (N)'!D82)</f>
        <v>0</v>
      </c>
      <c r="Q83" s="84">
        <f t="shared" ca="1" si="13"/>
        <v>0</v>
      </c>
      <c r="R83" s="82">
        <f ca="1">IF('Invoer gegevens (N)'!$C$17=E83,'Invoer gegevens (N)'!$C$11,IF(C83=1,W82,0))</f>
        <v>0</v>
      </c>
      <c r="S83" s="86">
        <f ca="1">IF(C83&gt;=1,R83*VLOOKUP(E83,'Reeksen (N)'!$A$5:$B$76,2),0)</f>
        <v>0</v>
      </c>
      <c r="T83" s="84">
        <f ca="1">(1-('Invoer gegevens (N)'!$F$20/12))*R83*MIN('Reeksen (N)'!B83,'Reeksen (N)'!D83)</f>
        <v>0</v>
      </c>
      <c r="U83" s="84">
        <f>IF('Reeksen (N)'!D83&gt;='Reeksen (N)'!B83,0,IF('Reeksen (N)'!AK83&lt;='Reeksen (N)'!AE83,('Reeksen (N)'!B83-'Reeksen (N)'!D83)*R83,0))</f>
        <v>0</v>
      </c>
      <c r="V83" s="86">
        <f>IF('Reeksen (N)'!D83&gt;='Reeksen (N)'!B83,0,IF('Reeksen (N)'!AK83&gt;'Reeksen (N)'!AE83,('Reeksen (N)'!B83-'Reeksen (N)'!D83)*R83,0))</f>
        <v>0</v>
      </c>
      <c r="W83" s="97">
        <f t="shared" ca="1" si="14"/>
        <v>0</v>
      </c>
      <c r="X83" s="98">
        <f ca="1">IF('Invoer gegevens (N)'!$C$17=E83,'Invoer gegevens (N)'!$C$10-'Invoer gegevens (N)'!$C$11,IF(C83=1,AC82,0))</f>
        <v>0</v>
      </c>
      <c r="Y83" s="98">
        <f ca="1">IF(C83&gt;=1,X83*VLOOKUP(E83,'Reeksen (N)'!$A$5:$B$76,2),0)</f>
        <v>0</v>
      </c>
      <c r="Z83" s="98">
        <f ca="1">(1-('Invoer gegevens (N)'!$F$20/12))*X83*MIN('Reeksen (N)'!B83,'Reeksen (N)'!D83)</f>
        <v>0</v>
      </c>
      <c r="AA83" s="98">
        <f>IF('Reeksen (N)'!D83&gt;='Reeksen (N)'!B83,0,IF('Reeksen (N)'!AK83&lt;='Reeksen (N)'!AE83,('Reeksen (N)'!B83-'Reeksen (N)'!D83)*X83,0))</f>
        <v>0</v>
      </c>
      <c r="AB83" s="98">
        <f>IF('Reeksen (N)'!D83&gt;='Reeksen (N)'!B83,0,IF('Reeksen (N)'!AK83&gt;'Reeksen (N)'!AE83,('Reeksen (N)'!B83-'Reeksen (N)'!D83)*X83,0))</f>
        <v>0</v>
      </c>
      <c r="AC83" s="99">
        <f t="shared" ca="1" si="15"/>
        <v>0</v>
      </c>
      <c r="AD83" s="98">
        <f ca="1">IF('Invoer gegevens (N)'!$C$17=E83,R83,IF(C83=0,0,AE82))</f>
        <v>0</v>
      </c>
      <c r="AE83" s="98">
        <f t="shared" ca="1" si="16"/>
        <v>0</v>
      </c>
      <c r="AF83" s="98">
        <f ca="1">IF('Invoer gegevens (N)'!$C$17=E83,X83,IF(C83=0,0,AG82))</f>
        <v>0</v>
      </c>
      <c r="AG83" s="98">
        <f t="shared" ca="1" si="17"/>
        <v>0</v>
      </c>
      <c r="AH83" s="68"/>
      <c r="AI83" s="71">
        <f ca="1">IF(C83=1,'Reeksen (N)'!AJ83*((F83-G83+F83)/2)*12+'Reeksen (N)'!AK83*((L83-M83+L83)/2)*12,0)</f>
        <v>0</v>
      </c>
      <c r="AJ83" s="71">
        <f ca="1">-AI83*'Invoer gegevens (N)'!$F$28</f>
        <v>0</v>
      </c>
      <c r="AK83" s="71">
        <f t="shared" ca="1" si="11"/>
        <v>0</v>
      </c>
      <c r="AL83" s="71">
        <f ca="1">IF(C83=1,'Reeksen (N)'!AL83*((F83-G83+F83)/2)*12+'Reeksen (N)'!AM83*((L83-M83+L83)/2)*12,0)</f>
        <v>0</v>
      </c>
      <c r="AM83" s="71">
        <f ca="1">-AL83*'Invoer gegevens (N)'!$F$31</f>
        <v>0</v>
      </c>
      <c r="AN83" s="71">
        <f t="shared" ca="1" si="18"/>
        <v>0</v>
      </c>
      <c r="AO83" s="71">
        <f ca="1">IF(C83=1,(H83+J83+N83+P83)*'Reeksen (N)'!AN83,0)</f>
        <v>0</v>
      </c>
      <c r="AP83" s="71">
        <f ca="1">-IF(C83=1,(H83+J83+N83+P83)*'Hulp - basis'!$O$550*'Reeksen (N)'!H83,0)</f>
        <v>0</v>
      </c>
      <c r="AQ83" s="71">
        <f ca="1">-IF(C83=1,(F83+K83+L83+Q83)/2*'Invoer gegevens (N)'!$I$33*'Reeksen (N)'!J83,0)*2</f>
        <v>0</v>
      </c>
      <c r="AR83" s="71">
        <f ca="1">-IF(C83=1,(I83*'Invoer gegevens (N)'!$I$34)*'Reeksen (N)'!J83,0)</f>
        <v>0</v>
      </c>
      <c r="AS83" s="71">
        <f ca="1">-IF(C83=1,(F83+K83+L83+Q83)/2*'Invoer gegevens (N)'!$I$35*'Reeksen (N)'!L83,0)</f>
        <v>0</v>
      </c>
      <c r="AT83" s="71">
        <f ca="1">-IF(C83=1,IF(E83='Invoer gegevens (N)'!$C$17,'Invoer gegevens (N)'!$C$11,AD83)*'Reeksen (N)'!S83*'Invoer gegevens (N)'!$C$18*'Reeksen (N)'!P83,0)</f>
        <v>0</v>
      </c>
      <c r="AU83" s="71">
        <f ca="1">-IF(C83=1,(F83+K83+L83+Q83)/2*'Invoer gegevens (N)'!$I$36*'Reeksen (N)'!H83,0)</f>
        <v>0</v>
      </c>
      <c r="AV83" s="71">
        <v>0</v>
      </c>
      <c r="AW83" s="71">
        <f t="shared" ca="1" si="19"/>
        <v>0</v>
      </c>
      <c r="AX83" s="71">
        <f ca="1">IF(E83&lt;'Invoer gegevens (N)'!$C$17+15,0,IF(E83&gt;'Invoer gegevens (N)'!$C$17+215,0,AW83))</f>
        <v>0</v>
      </c>
      <c r="AY83" s="71">
        <f ca="1">AX83/(1+'Invoer gegevens (N)'!$F$18)^($AZ83-('Invoer gegevens (N)'!$C$17-'Invoer gegevens (N)'!$C$16))/(1+'Invoer gegevens (N)'!$C$39)^('Invoer gegevens (N)'!$C$17-'Invoer gegevens (N)'!$C$16)</f>
        <v>0</v>
      </c>
      <c r="AZ83" s="68">
        <f ca="1">IF(E83-'Invoer gegevens (N)'!$C$17-14.5&lt;0,0,E83-'Invoer gegevens (N)'!$C$17-14.5)</f>
        <v>63.5</v>
      </c>
    </row>
    <row r="84" spans="2:52" x14ac:dyDescent="0.25">
      <c r="B84" s="70">
        <f t="shared" si="20"/>
        <v>80</v>
      </c>
      <c r="C84" s="67">
        <f ca="1">IF(E84-'Invoer gegevens (N)'!$C$17&lt;0,0,1)</f>
        <v>1</v>
      </c>
      <c r="D84" s="68">
        <f t="shared" si="21"/>
        <v>79.5</v>
      </c>
      <c r="E84" s="108">
        <f ca="1">IF('Invoer gegevens (N)'!$C$16="","",E83+1)</f>
        <v>2098</v>
      </c>
      <c r="F84" s="84">
        <f ca="1">IF('Invoer gegevens (N)'!$C$17=E84,'Invoer gegevens (N)'!$C$10,IF(C84=1,K83,0))</f>
        <v>0</v>
      </c>
      <c r="G84" s="96">
        <f ca="1">IF(C84&gt;=1,F84*VLOOKUP(E84,'Reeksen (N)'!$A$5:$B$76,2),0)</f>
        <v>0</v>
      </c>
      <c r="H84" s="84">
        <f ca="1">(1-('Invoer gegevens (N)'!$F$20/12))*F84*MIN('Reeksen (N)'!B84,'Reeksen (N)'!D84)</f>
        <v>0</v>
      </c>
      <c r="I84" s="84">
        <f>IF('Reeksen (N)'!D84&lt;'Reeksen (N)'!B84,('Reeksen (N)'!B84-'Reeksen (N)'!D84)*F84,0)</f>
        <v>0</v>
      </c>
      <c r="J84" s="84">
        <f ca="1">('Invoer gegevens (N)'!$F$20/12)*F83*MIN('Reeksen (N)'!B83,'Reeksen (N)'!D83)</f>
        <v>0</v>
      </c>
      <c r="K84" s="97">
        <f t="shared" ca="1" si="12"/>
        <v>0</v>
      </c>
      <c r="L84" s="84">
        <f ca="1">IF('Invoer gegevens (N)'!$C$17=E84,0,IF(C84=1,Q83,0))</f>
        <v>0</v>
      </c>
      <c r="M84" s="96">
        <f ca="1">IF(C84&gt;=1,L84*VLOOKUP(E84,'Reeksen (N)'!$A$5:$B$76,2),0)</f>
        <v>0</v>
      </c>
      <c r="N84" s="84">
        <f ca="1">(1-('Invoer gegevens (N)'!$F$20/12))*L84*MIN('Reeksen (N)'!B84,'Reeksen (N)'!D84)</f>
        <v>0</v>
      </c>
      <c r="O84" s="84">
        <f>IF('Reeksen (N)'!D84&lt;'Reeksen (N)'!B84,('Reeksen (N)'!B84-'Reeksen (N)'!D84)*L84,0)</f>
        <v>0</v>
      </c>
      <c r="P84" s="84">
        <f ca="1">('Invoer gegevens (N)'!$F$20/12)*L83*MIN('Reeksen (N)'!B83,'Reeksen (N)'!D83)</f>
        <v>0</v>
      </c>
      <c r="Q84" s="84">
        <f t="shared" ca="1" si="13"/>
        <v>0</v>
      </c>
      <c r="R84" s="82">
        <f ca="1">IF('Invoer gegevens (N)'!$C$17=E84,'Invoer gegevens (N)'!$C$11,IF(C84=1,W83,0))</f>
        <v>0</v>
      </c>
      <c r="S84" s="86">
        <f ca="1">IF(C84&gt;=1,R84*VLOOKUP(E84,'Reeksen (N)'!$A$5:$B$76,2),0)</f>
        <v>0</v>
      </c>
      <c r="T84" s="84">
        <f ca="1">(1-('Invoer gegevens (N)'!$F$20/12))*R84*MIN('Reeksen (N)'!B84,'Reeksen (N)'!D84)</f>
        <v>0</v>
      </c>
      <c r="U84" s="84">
        <f>IF('Reeksen (N)'!D84&gt;='Reeksen (N)'!B84,0,IF('Reeksen (N)'!AK84&lt;='Reeksen (N)'!AE84,('Reeksen (N)'!B84-'Reeksen (N)'!D84)*R84,0))</f>
        <v>0</v>
      </c>
      <c r="V84" s="86">
        <f>IF('Reeksen (N)'!D84&gt;='Reeksen (N)'!B84,0,IF('Reeksen (N)'!AK84&gt;'Reeksen (N)'!AE84,('Reeksen (N)'!B84-'Reeksen (N)'!D84)*R84,0))</f>
        <v>0</v>
      </c>
      <c r="W84" s="97">
        <f t="shared" ca="1" si="14"/>
        <v>0</v>
      </c>
      <c r="X84" s="98">
        <f ca="1">IF('Invoer gegevens (N)'!$C$17=E84,'Invoer gegevens (N)'!$C$10-'Invoer gegevens (N)'!$C$11,IF(C84=1,AC83,0))</f>
        <v>0</v>
      </c>
      <c r="Y84" s="98">
        <f ca="1">IF(C84&gt;=1,X84*VLOOKUP(E84,'Reeksen (N)'!$A$5:$B$76,2),0)</f>
        <v>0</v>
      </c>
      <c r="Z84" s="98">
        <f ca="1">(1-('Invoer gegevens (N)'!$F$20/12))*X84*MIN('Reeksen (N)'!B84,'Reeksen (N)'!D84)</f>
        <v>0</v>
      </c>
      <c r="AA84" s="98">
        <f>IF('Reeksen (N)'!D84&gt;='Reeksen (N)'!B84,0,IF('Reeksen (N)'!AK84&lt;='Reeksen (N)'!AE84,('Reeksen (N)'!B84-'Reeksen (N)'!D84)*X84,0))</f>
        <v>0</v>
      </c>
      <c r="AB84" s="98">
        <f>IF('Reeksen (N)'!D84&gt;='Reeksen (N)'!B84,0,IF('Reeksen (N)'!AK84&gt;'Reeksen (N)'!AE84,('Reeksen (N)'!B84-'Reeksen (N)'!D84)*X84,0))</f>
        <v>0</v>
      </c>
      <c r="AC84" s="99">
        <f t="shared" ca="1" si="15"/>
        <v>0</v>
      </c>
      <c r="AD84" s="98">
        <f ca="1">IF('Invoer gegevens (N)'!$C$17=E84,R84,IF(C84=0,0,AE83))</f>
        <v>0</v>
      </c>
      <c r="AE84" s="98">
        <f t="shared" ca="1" si="16"/>
        <v>0</v>
      </c>
      <c r="AF84" s="98">
        <f ca="1">IF('Invoer gegevens (N)'!$C$17=E84,X84,IF(C84=0,0,AG83))</f>
        <v>0</v>
      </c>
      <c r="AG84" s="98">
        <f t="shared" ca="1" si="17"/>
        <v>0</v>
      </c>
      <c r="AH84" s="68"/>
      <c r="AI84" s="71">
        <f ca="1">IF(C84=1,'Reeksen (N)'!AJ84*((F84-G84+F84)/2)*12+'Reeksen (N)'!AK84*((L84-M84+L84)/2)*12,0)</f>
        <v>0</v>
      </c>
      <c r="AJ84" s="71">
        <f ca="1">-AI84*'Invoer gegevens (N)'!$F$28</f>
        <v>0</v>
      </c>
      <c r="AK84" s="71">
        <f t="shared" ca="1" si="11"/>
        <v>0</v>
      </c>
      <c r="AL84" s="71">
        <f ca="1">IF(C84=1,'Reeksen (N)'!AL84*((F84-G84+F84)/2)*12+'Reeksen (N)'!AM84*((L84-M84+L84)/2)*12,0)</f>
        <v>0</v>
      </c>
      <c r="AM84" s="71">
        <f ca="1">-AL84*'Invoer gegevens (N)'!$F$31</f>
        <v>0</v>
      </c>
      <c r="AN84" s="71">
        <f t="shared" ca="1" si="18"/>
        <v>0</v>
      </c>
      <c r="AO84" s="71">
        <f ca="1">IF(C84=1,(H84+J84+N84+P84)*'Reeksen (N)'!AN84,0)</f>
        <v>0</v>
      </c>
      <c r="AP84" s="71">
        <f ca="1">-IF(C84=1,(H84+J84+N84+P84)*'Hulp - basis'!$O$550*'Reeksen (N)'!H84,0)</f>
        <v>0</v>
      </c>
      <c r="AQ84" s="71">
        <f ca="1">-IF(C84=1,(F84+K84+L84+Q84)/2*'Invoer gegevens (N)'!$I$33*'Reeksen (N)'!J84,0)*2</f>
        <v>0</v>
      </c>
      <c r="AR84" s="71">
        <f ca="1">-IF(C84=1,(I84*'Invoer gegevens (N)'!$I$34)*'Reeksen (N)'!J84,0)</f>
        <v>0</v>
      </c>
      <c r="AS84" s="71">
        <f ca="1">-IF(C84=1,(F84+K84+L84+Q84)/2*'Invoer gegevens (N)'!$I$35*'Reeksen (N)'!L84,0)</f>
        <v>0</v>
      </c>
      <c r="AT84" s="71">
        <f ca="1">-IF(C84=1,IF(E84='Invoer gegevens (N)'!$C$17,'Invoer gegevens (N)'!$C$11,AD84)*'Reeksen (N)'!S84*'Invoer gegevens (N)'!$C$18*'Reeksen (N)'!P84,0)</f>
        <v>0</v>
      </c>
      <c r="AU84" s="71">
        <f ca="1">-IF(C84=1,(F84+K84+L84+Q84)/2*'Invoer gegevens (N)'!$I$36*'Reeksen (N)'!H84,0)</f>
        <v>0</v>
      </c>
      <c r="AV84" s="71">
        <v>0</v>
      </c>
      <c r="AW84" s="71">
        <f t="shared" ca="1" si="19"/>
        <v>0</v>
      </c>
      <c r="AX84" s="71">
        <f ca="1">IF(E84&lt;'Invoer gegevens (N)'!$C$17+15,0,IF(E84&gt;'Invoer gegevens (N)'!$C$17+215,0,AW84))</f>
        <v>0</v>
      </c>
      <c r="AY84" s="71">
        <f ca="1">AX84/(1+'Invoer gegevens (N)'!$F$18)^($AZ84-('Invoer gegevens (N)'!$C$17-'Invoer gegevens (N)'!$C$16))/(1+'Invoer gegevens (N)'!$C$39)^('Invoer gegevens (N)'!$C$17-'Invoer gegevens (N)'!$C$16)</f>
        <v>0</v>
      </c>
      <c r="AZ84" s="68">
        <f ca="1">IF(E84-'Invoer gegevens (N)'!$C$17-14.5&lt;0,0,E84-'Invoer gegevens (N)'!$C$17-14.5)</f>
        <v>64.5</v>
      </c>
    </row>
    <row r="85" spans="2:52" x14ac:dyDescent="0.25">
      <c r="B85" s="70">
        <f t="shared" si="20"/>
        <v>81</v>
      </c>
      <c r="C85" s="67">
        <f ca="1">IF(E85-'Invoer gegevens (N)'!$C$17&lt;0,0,1)</f>
        <v>1</v>
      </c>
      <c r="D85" s="68">
        <f t="shared" si="21"/>
        <v>80.5</v>
      </c>
      <c r="E85" s="108">
        <f ca="1">IF('Invoer gegevens (N)'!$C$16="","",E84+1)</f>
        <v>2099</v>
      </c>
      <c r="F85" s="84">
        <f ca="1">IF('Invoer gegevens (N)'!$C$17=E85,'Invoer gegevens (N)'!$C$10,IF(C85=1,K84,0))</f>
        <v>0</v>
      </c>
      <c r="G85" s="96">
        <f ca="1">IF(C85&gt;=1,F85*VLOOKUP(E85,'Reeksen (N)'!$A$5:$B$76,2),0)</f>
        <v>0</v>
      </c>
      <c r="H85" s="84">
        <f ca="1">(1-('Invoer gegevens (N)'!$F$20/12))*F85*MIN('Reeksen (N)'!B85,'Reeksen (N)'!D85)</f>
        <v>0</v>
      </c>
      <c r="I85" s="84">
        <f>IF('Reeksen (N)'!D85&lt;'Reeksen (N)'!B85,('Reeksen (N)'!B85-'Reeksen (N)'!D85)*F85,0)</f>
        <v>0</v>
      </c>
      <c r="J85" s="84">
        <f ca="1">('Invoer gegevens (N)'!$F$20/12)*F84*MIN('Reeksen (N)'!B84,'Reeksen (N)'!D84)</f>
        <v>0</v>
      </c>
      <c r="K85" s="97">
        <f t="shared" ca="1" si="12"/>
        <v>0</v>
      </c>
      <c r="L85" s="84">
        <f ca="1">IF('Invoer gegevens (N)'!$C$17=E85,0,IF(C85=1,Q84,0))</f>
        <v>0</v>
      </c>
      <c r="M85" s="96">
        <f ca="1">IF(C85&gt;=1,L85*VLOOKUP(E85,'Reeksen (N)'!$A$5:$B$76,2),0)</f>
        <v>0</v>
      </c>
      <c r="N85" s="84">
        <f ca="1">(1-('Invoer gegevens (N)'!$F$20/12))*L85*MIN('Reeksen (N)'!B85,'Reeksen (N)'!D85)</f>
        <v>0</v>
      </c>
      <c r="O85" s="84">
        <f>IF('Reeksen (N)'!D85&lt;'Reeksen (N)'!B85,('Reeksen (N)'!B85-'Reeksen (N)'!D85)*L85,0)</f>
        <v>0</v>
      </c>
      <c r="P85" s="84">
        <f ca="1">('Invoer gegevens (N)'!$F$20/12)*L84*MIN('Reeksen (N)'!B84,'Reeksen (N)'!D84)</f>
        <v>0</v>
      </c>
      <c r="Q85" s="84">
        <f t="shared" ca="1" si="13"/>
        <v>0</v>
      </c>
      <c r="R85" s="82">
        <f ca="1">IF('Invoer gegevens (N)'!$C$17=E85,'Invoer gegevens (N)'!$C$11,IF(C85=1,W84,0))</f>
        <v>0</v>
      </c>
      <c r="S85" s="86">
        <f ca="1">IF(C85&gt;=1,R85*VLOOKUP(E85,'Reeksen (N)'!$A$5:$B$76,2),0)</f>
        <v>0</v>
      </c>
      <c r="T85" s="84">
        <f ca="1">(1-('Invoer gegevens (N)'!$F$20/12))*R85*MIN('Reeksen (N)'!B85,'Reeksen (N)'!D85)</f>
        <v>0</v>
      </c>
      <c r="U85" s="84">
        <f>IF('Reeksen (N)'!D85&gt;='Reeksen (N)'!B85,0,IF('Reeksen (N)'!AK85&lt;='Reeksen (N)'!AE85,('Reeksen (N)'!B85-'Reeksen (N)'!D85)*R85,0))</f>
        <v>0</v>
      </c>
      <c r="V85" s="86">
        <f>IF('Reeksen (N)'!D85&gt;='Reeksen (N)'!B85,0,IF('Reeksen (N)'!AK85&gt;'Reeksen (N)'!AE85,('Reeksen (N)'!B85-'Reeksen (N)'!D85)*R85,0))</f>
        <v>0</v>
      </c>
      <c r="W85" s="97">
        <f t="shared" ca="1" si="14"/>
        <v>0</v>
      </c>
      <c r="X85" s="98">
        <f ca="1">IF('Invoer gegevens (N)'!$C$17=E85,'Invoer gegevens (N)'!$C$10-'Invoer gegevens (N)'!$C$11,IF(C85=1,AC84,0))</f>
        <v>0</v>
      </c>
      <c r="Y85" s="98">
        <f ca="1">IF(C85&gt;=1,X85*VLOOKUP(E85,'Reeksen (N)'!$A$5:$B$76,2),0)</f>
        <v>0</v>
      </c>
      <c r="Z85" s="98">
        <f ca="1">(1-('Invoer gegevens (N)'!$F$20/12))*X85*MIN('Reeksen (N)'!B85,'Reeksen (N)'!D85)</f>
        <v>0</v>
      </c>
      <c r="AA85" s="98">
        <f>IF('Reeksen (N)'!D85&gt;='Reeksen (N)'!B85,0,IF('Reeksen (N)'!AK85&lt;='Reeksen (N)'!AE85,('Reeksen (N)'!B85-'Reeksen (N)'!D85)*X85,0))</f>
        <v>0</v>
      </c>
      <c r="AB85" s="98">
        <f>IF('Reeksen (N)'!D85&gt;='Reeksen (N)'!B85,0,IF('Reeksen (N)'!AK85&gt;'Reeksen (N)'!AE85,('Reeksen (N)'!B85-'Reeksen (N)'!D85)*X85,0))</f>
        <v>0</v>
      </c>
      <c r="AC85" s="99">
        <f t="shared" ca="1" si="15"/>
        <v>0</v>
      </c>
      <c r="AD85" s="98">
        <f ca="1">IF('Invoer gegevens (N)'!$C$17=E85,R85,IF(C85=0,0,AE84))</f>
        <v>0</v>
      </c>
      <c r="AE85" s="98">
        <f t="shared" ca="1" si="16"/>
        <v>0</v>
      </c>
      <c r="AF85" s="98">
        <f ca="1">IF('Invoer gegevens (N)'!$C$17=E85,X85,IF(C85=0,0,AG84))</f>
        <v>0</v>
      </c>
      <c r="AG85" s="98">
        <f t="shared" ca="1" si="17"/>
        <v>0</v>
      </c>
      <c r="AH85" s="68"/>
      <c r="AI85" s="71">
        <f ca="1">IF(C85=1,'Reeksen (N)'!AJ85*((F85-G85+F85)/2)*12+'Reeksen (N)'!AK85*((L85-M85+L85)/2)*12,0)</f>
        <v>0</v>
      </c>
      <c r="AJ85" s="71">
        <f ca="1">-AI85*'Invoer gegevens (N)'!$F$28</f>
        <v>0</v>
      </c>
      <c r="AK85" s="71">
        <f t="shared" ca="1" si="11"/>
        <v>0</v>
      </c>
      <c r="AL85" s="71">
        <f ca="1">IF(C85=1,'Reeksen (N)'!AL85*((F85-G85+F85)/2)*12+'Reeksen (N)'!AM85*((L85-M85+L85)/2)*12,0)</f>
        <v>0</v>
      </c>
      <c r="AM85" s="71">
        <f ca="1">-AL85*'Invoer gegevens (N)'!$F$31</f>
        <v>0</v>
      </c>
      <c r="AN85" s="71">
        <f t="shared" ca="1" si="18"/>
        <v>0</v>
      </c>
      <c r="AO85" s="71">
        <f ca="1">IF(C85=1,(H85+J85+N85+P85)*'Reeksen (N)'!AN85,0)</f>
        <v>0</v>
      </c>
      <c r="AP85" s="71">
        <f ca="1">-IF(C85=1,(H85+J85+N85+P85)*'Hulp - basis'!$O$550*'Reeksen (N)'!H85,0)</f>
        <v>0</v>
      </c>
      <c r="AQ85" s="71">
        <f ca="1">-IF(C85=1,(F85+K85+L85+Q85)/2*'Invoer gegevens (N)'!$I$33*'Reeksen (N)'!J85,0)*2</f>
        <v>0</v>
      </c>
      <c r="AR85" s="71">
        <f ca="1">-IF(C85=1,(I85*'Invoer gegevens (N)'!$I$34)*'Reeksen (N)'!J85,0)</f>
        <v>0</v>
      </c>
      <c r="AS85" s="71">
        <f ca="1">-IF(C85=1,(F85+K85+L85+Q85)/2*'Invoer gegevens (N)'!$I$35*'Reeksen (N)'!L85,0)</f>
        <v>0</v>
      </c>
      <c r="AT85" s="71">
        <f ca="1">-IF(C85=1,IF(E85='Invoer gegevens (N)'!$C$17,'Invoer gegevens (N)'!$C$11,AD85)*'Reeksen (N)'!S85*'Invoer gegevens (N)'!$C$18*'Reeksen (N)'!P85,0)</f>
        <v>0</v>
      </c>
      <c r="AU85" s="71">
        <f ca="1">-IF(C85=1,(F85+K85+L85+Q85)/2*'Invoer gegevens (N)'!$I$36*'Reeksen (N)'!H85,0)</f>
        <v>0</v>
      </c>
      <c r="AV85" s="71">
        <v>0</v>
      </c>
      <c r="AW85" s="71">
        <f t="shared" ca="1" si="19"/>
        <v>0</v>
      </c>
      <c r="AX85" s="71">
        <f ca="1">IF(E85&lt;'Invoer gegevens (N)'!$C$17+15,0,IF(E85&gt;'Invoer gegevens (N)'!$C$17+215,0,AW85))</f>
        <v>0</v>
      </c>
      <c r="AY85" s="71">
        <f ca="1">AX85/(1+'Invoer gegevens (N)'!$F$18)^($AZ85-('Invoer gegevens (N)'!$C$17-'Invoer gegevens (N)'!$C$16))/(1+'Invoer gegevens (N)'!$C$39)^('Invoer gegevens (N)'!$C$17-'Invoer gegevens (N)'!$C$16)</f>
        <v>0</v>
      </c>
      <c r="AZ85" s="68">
        <f ca="1">IF(E85-'Invoer gegevens (N)'!$C$17-14.5&lt;0,0,E85-'Invoer gegevens (N)'!$C$17-14.5)</f>
        <v>65.5</v>
      </c>
    </row>
    <row r="86" spans="2:52" x14ac:dyDescent="0.25">
      <c r="B86" s="70">
        <f t="shared" si="20"/>
        <v>82</v>
      </c>
      <c r="C86" s="67">
        <f ca="1">IF(E86-'Invoer gegevens (N)'!$C$17&lt;0,0,1)</f>
        <v>1</v>
      </c>
      <c r="D86" s="68">
        <f t="shared" si="21"/>
        <v>81.5</v>
      </c>
      <c r="E86" s="108">
        <f ca="1">IF('Invoer gegevens (N)'!$C$16="","",E85+1)</f>
        <v>2100</v>
      </c>
      <c r="F86" s="84">
        <f ca="1">IF('Invoer gegevens (N)'!$C$17=E86,'Invoer gegevens (N)'!$C$10,IF(C86=1,K85,0))</f>
        <v>0</v>
      </c>
      <c r="G86" s="96">
        <f ca="1">IF(C86&gt;=1,F86*VLOOKUP(E86,'Reeksen (N)'!$A$5:$B$76,2),0)</f>
        <v>0</v>
      </c>
      <c r="H86" s="84">
        <f ca="1">(1-('Invoer gegevens (N)'!$F$20/12))*F86*MIN('Reeksen (N)'!B86,'Reeksen (N)'!D86)</f>
        <v>0</v>
      </c>
      <c r="I86" s="84">
        <f>IF('Reeksen (N)'!D86&lt;'Reeksen (N)'!B86,('Reeksen (N)'!B86-'Reeksen (N)'!D86)*F86,0)</f>
        <v>0</v>
      </c>
      <c r="J86" s="84">
        <f ca="1">('Invoer gegevens (N)'!$F$20/12)*F85*MIN('Reeksen (N)'!B85,'Reeksen (N)'!D85)</f>
        <v>0</v>
      </c>
      <c r="K86" s="97">
        <f t="shared" ca="1" si="12"/>
        <v>0</v>
      </c>
      <c r="L86" s="84">
        <f ca="1">IF('Invoer gegevens (N)'!$C$17=E86,0,IF(C86=1,Q85,0))</f>
        <v>0</v>
      </c>
      <c r="M86" s="96">
        <f ca="1">IF(C86&gt;=1,L86*VLOOKUP(E86,'Reeksen (N)'!$A$5:$B$76,2),0)</f>
        <v>0</v>
      </c>
      <c r="N86" s="84">
        <f ca="1">(1-('Invoer gegevens (N)'!$F$20/12))*L86*MIN('Reeksen (N)'!B86,'Reeksen (N)'!D86)</f>
        <v>0</v>
      </c>
      <c r="O86" s="84">
        <f>IF('Reeksen (N)'!D86&lt;'Reeksen (N)'!B86,('Reeksen (N)'!B86-'Reeksen (N)'!D86)*L86,0)</f>
        <v>0</v>
      </c>
      <c r="P86" s="84">
        <f ca="1">('Invoer gegevens (N)'!$F$20/12)*L85*MIN('Reeksen (N)'!B85,'Reeksen (N)'!D85)</f>
        <v>0</v>
      </c>
      <c r="Q86" s="84">
        <f t="shared" ca="1" si="13"/>
        <v>0</v>
      </c>
      <c r="R86" s="82">
        <f ca="1">IF('Invoer gegevens (N)'!$C$17=E86,'Invoer gegevens (N)'!$C$11,IF(C86=1,W85,0))</f>
        <v>0</v>
      </c>
      <c r="S86" s="86">
        <f ca="1">IF(C86&gt;=1,R86*VLOOKUP(E86,'Reeksen (N)'!$A$5:$B$76,2),0)</f>
        <v>0</v>
      </c>
      <c r="T86" s="84">
        <f ca="1">(1-('Invoer gegevens (N)'!$F$20/12))*R86*MIN('Reeksen (N)'!B86,'Reeksen (N)'!D86)</f>
        <v>0</v>
      </c>
      <c r="U86" s="84">
        <f>IF('Reeksen (N)'!D86&gt;='Reeksen (N)'!B86,0,IF('Reeksen (N)'!AK86&lt;='Reeksen (N)'!AE86,('Reeksen (N)'!B86-'Reeksen (N)'!D86)*R86,0))</f>
        <v>0</v>
      </c>
      <c r="V86" s="86">
        <f>IF('Reeksen (N)'!D86&gt;='Reeksen (N)'!B86,0,IF('Reeksen (N)'!AK86&gt;'Reeksen (N)'!AE86,('Reeksen (N)'!B86-'Reeksen (N)'!D86)*R86,0))</f>
        <v>0</v>
      </c>
      <c r="W86" s="97">
        <f t="shared" ca="1" si="14"/>
        <v>0</v>
      </c>
      <c r="X86" s="98">
        <f ca="1">IF('Invoer gegevens (N)'!$C$17=E86,'Invoer gegevens (N)'!$C$10-'Invoer gegevens (N)'!$C$11,IF(C86=1,AC85,0))</f>
        <v>0</v>
      </c>
      <c r="Y86" s="98">
        <f ca="1">IF(C86&gt;=1,X86*VLOOKUP(E86,'Reeksen (N)'!$A$5:$B$76,2),0)</f>
        <v>0</v>
      </c>
      <c r="Z86" s="98">
        <f ca="1">(1-('Invoer gegevens (N)'!$F$20/12))*X86*MIN('Reeksen (N)'!B86,'Reeksen (N)'!D86)</f>
        <v>0</v>
      </c>
      <c r="AA86" s="98">
        <f>IF('Reeksen (N)'!D86&gt;='Reeksen (N)'!B86,0,IF('Reeksen (N)'!AK86&lt;='Reeksen (N)'!AE86,('Reeksen (N)'!B86-'Reeksen (N)'!D86)*X86,0))</f>
        <v>0</v>
      </c>
      <c r="AB86" s="98">
        <f>IF('Reeksen (N)'!D86&gt;='Reeksen (N)'!B86,0,IF('Reeksen (N)'!AK86&gt;'Reeksen (N)'!AE86,('Reeksen (N)'!B86-'Reeksen (N)'!D86)*X86,0))</f>
        <v>0</v>
      </c>
      <c r="AC86" s="99">
        <f t="shared" ca="1" si="15"/>
        <v>0</v>
      </c>
      <c r="AD86" s="98">
        <f ca="1">IF('Invoer gegevens (N)'!$C$17=E86,R86,IF(C86=0,0,AE85))</f>
        <v>0</v>
      </c>
      <c r="AE86" s="98">
        <f t="shared" ca="1" si="16"/>
        <v>0</v>
      </c>
      <c r="AF86" s="98">
        <f ca="1">IF('Invoer gegevens (N)'!$C$17=E86,X86,IF(C86=0,0,AG85))</f>
        <v>0</v>
      </c>
      <c r="AG86" s="98">
        <f t="shared" ca="1" si="17"/>
        <v>0</v>
      </c>
      <c r="AH86" s="68"/>
      <c r="AI86" s="71">
        <f ca="1">IF(C86=1,'Reeksen (N)'!AJ86*((F86-G86+F86)/2)*12+'Reeksen (N)'!AK86*((L86-M86+L86)/2)*12,0)</f>
        <v>0</v>
      </c>
      <c r="AJ86" s="71">
        <f ca="1">-AI86*'Invoer gegevens (N)'!$F$28</f>
        <v>0</v>
      </c>
      <c r="AK86" s="71">
        <f t="shared" ca="1" si="11"/>
        <v>0</v>
      </c>
      <c r="AL86" s="71">
        <f ca="1">IF(C86=1,'Reeksen (N)'!AL86*((F86-G86+F86)/2)*12+'Reeksen (N)'!AM86*((L86-M86+L86)/2)*12,0)</f>
        <v>0</v>
      </c>
      <c r="AM86" s="71">
        <f ca="1">-AL86*'Invoer gegevens (N)'!$F$31</f>
        <v>0</v>
      </c>
      <c r="AN86" s="71">
        <f t="shared" ca="1" si="18"/>
        <v>0</v>
      </c>
      <c r="AO86" s="71">
        <f ca="1">IF(C86=1,(H86+J86+N86+P86)*'Reeksen (N)'!AN86,0)</f>
        <v>0</v>
      </c>
      <c r="AP86" s="71">
        <f ca="1">-IF(C86=1,(H86+J86+N86+P86)*'Hulp - basis'!$O$550*'Reeksen (N)'!H86,0)</f>
        <v>0</v>
      </c>
      <c r="AQ86" s="71">
        <f ca="1">-IF(C86=1,(F86+K86+L86+Q86)/2*'Invoer gegevens (N)'!$I$33*'Reeksen (N)'!J86,0)*2</f>
        <v>0</v>
      </c>
      <c r="AR86" s="71">
        <f ca="1">-IF(C86=1,(I86*'Invoer gegevens (N)'!$I$34)*'Reeksen (N)'!J86,0)</f>
        <v>0</v>
      </c>
      <c r="AS86" s="71">
        <f ca="1">-IF(C86=1,(F86+K86+L86+Q86)/2*'Invoer gegevens (N)'!$I$35*'Reeksen (N)'!L86,0)</f>
        <v>0</v>
      </c>
      <c r="AT86" s="71">
        <f ca="1">-IF(C86=1,IF(E86='Invoer gegevens (N)'!$C$17,'Invoer gegevens (N)'!$C$11,AD86)*'Reeksen (N)'!S86*'Invoer gegevens (N)'!$C$18*'Reeksen (N)'!P86,0)</f>
        <v>0</v>
      </c>
      <c r="AU86" s="71">
        <f ca="1">-IF(C86=1,(F86+K86+L86+Q86)/2*'Invoer gegevens (N)'!$I$36*'Reeksen (N)'!H86,0)</f>
        <v>0</v>
      </c>
      <c r="AV86" s="71">
        <v>0</v>
      </c>
      <c r="AW86" s="71">
        <f t="shared" ca="1" si="19"/>
        <v>0</v>
      </c>
      <c r="AX86" s="71">
        <f ca="1">IF(E86&lt;'Invoer gegevens (N)'!$C$17+15,0,IF(E86&gt;'Invoer gegevens (N)'!$C$17+215,0,AW86))</f>
        <v>0</v>
      </c>
      <c r="AY86" s="71">
        <f ca="1">AX86/(1+'Invoer gegevens (N)'!$F$18)^($AZ86-('Invoer gegevens (N)'!$C$17-'Invoer gegevens (N)'!$C$16))/(1+'Invoer gegevens (N)'!$C$39)^('Invoer gegevens (N)'!$C$17-'Invoer gegevens (N)'!$C$16)</f>
        <v>0</v>
      </c>
      <c r="AZ86" s="68">
        <f ca="1">IF(E86-'Invoer gegevens (N)'!$C$17-14.5&lt;0,0,E86-'Invoer gegevens (N)'!$C$17-14.5)</f>
        <v>66.5</v>
      </c>
    </row>
    <row r="87" spans="2:52" x14ac:dyDescent="0.25">
      <c r="B87" s="70">
        <f t="shared" si="20"/>
        <v>83</v>
      </c>
      <c r="C87" s="67">
        <f ca="1">IF(E87-'Invoer gegevens (N)'!$C$17&lt;0,0,1)</f>
        <v>1</v>
      </c>
      <c r="D87" s="68">
        <f t="shared" si="21"/>
        <v>82.5</v>
      </c>
      <c r="E87" s="108">
        <f ca="1">IF('Invoer gegevens (N)'!$C$16="","",E86+1)</f>
        <v>2101</v>
      </c>
      <c r="F87" s="84">
        <f ca="1">IF('Invoer gegevens (N)'!$C$17=E87,'Invoer gegevens (N)'!$C$10,IF(C87=1,K86,0))</f>
        <v>0</v>
      </c>
      <c r="G87" s="96">
        <f ca="1">IF(C87&gt;=1,F87*VLOOKUP(E87,'Reeksen (N)'!$A$5:$B$76,2),0)</f>
        <v>0</v>
      </c>
      <c r="H87" s="84">
        <f ca="1">(1-('Invoer gegevens (N)'!$F$20/12))*F87*MIN('Reeksen (N)'!B87,'Reeksen (N)'!D87)</f>
        <v>0</v>
      </c>
      <c r="I87" s="84">
        <f>IF('Reeksen (N)'!D87&lt;'Reeksen (N)'!B87,('Reeksen (N)'!B87-'Reeksen (N)'!D87)*F87,0)</f>
        <v>0</v>
      </c>
      <c r="J87" s="84">
        <f ca="1">('Invoer gegevens (N)'!$F$20/12)*F86*MIN('Reeksen (N)'!B86,'Reeksen (N)'!D86)</f>
        <v>0</v>
      </c>
      <c r="K87" s="97">
        <f t="shared" ca="1" si="12"/>
        <v>0</v>
      </c>
      <c r="L87" s="84">
        <f ca="1">IF('Invoer gegevens (N)'!$C$17=E87,0,IF(C87=1,Q86,0))</f>
        <v>0</v>
      </c>
      <c r="M87" s="96">
        <f ca="1">IF(C87&gt;=1,L87*VLOOKUP(E87,'Reeksen (N)'!$A$5:$B$76,2),0)</f>
        <v>0</v>
      </c>
      <c r="N87" s="84">
        <f ca="1">(1-('Invoer gegevens (N)'!$F$20/12))*L87*MIN('Reeksen (N)'!B87,'Reeksen (N)'!D87)</f>
        <v>0</v>
      </c>
      <c r="O87" s="84">
        <f>IF('Reeksen (N)'!D87&lt;'Reeksen (N)'!B87,('Reeksen (N)'!B87-'Reeksen (N)'!D87)*L87,0)</f>
        <v>0</v>
      </c>
      <c r="P87" s="84">
        <f ca="1">('Invoer gegevens (N)'!$F$20/12)*L86*MIN('Reeksen (N)'!B86,'Reeksen (N)'!D86)</f>
        <v>0</v>
      </c>
      <c r="Q87" s="84">
        <f t="shared" ca="1" si="13"/>
        <v>0</v>
      </c>
      <c r="R87" s="82">
        <f ca="1">IF('Invoer gegevens (N)'!$C$17=E87,'Invoer gegevens (N)'!$C$11,IF(C87=1,W86,0))</f>
        <v>0</v>
      </c>
      <c r="S87" s="86">
        <f ca="1">IF(C87&gt;=1,R87*VLOOKUP(E87,'Reeksen (N)'!$A$5:$B$76,2),0)</f>
        <v>0</v>
      </c>
      <c r="T87" s="84">
        <f ca="1">(1-('Invoer gegevens (N)'!$F$20/12))*R87*MIN('Reeksen (N)'!B87,'Reeksen (N)'!D87)</f>
        <v>0</v>
      </c>
      <c r="U87" s="84">
        <f>IF('Reeksen (N)'!D87&gt;='Reeksen (N)'!B87,0,IF('Reeksen (N)'!AK87&lt;='Reeksen (N)'!AE87,('Reeksen (N)'!B87-'Reeksen (N)'!D87)*R87,0))</f>
        <v>0</v>
      </c>
      <c r="V87" s="86">
        <f>IF('Reeksen (N)'!D87&gt;='Reeksen (N)'!B87,0,IF('Reeksen (N)'!AK87&gt;'Reeksen (N)'!AE87,('Reeksen (N)'!B87-'Reeksen (N)'!D87)*R87,0))</f>
        <v>0</v>
      </c>
      <c r="W87" s="97">
        <f t="shared" ca="1" si="14"/>
        <v>0</v>
      </c>
      <c r="X87" s="98">
        <f ca="1">IF('Invoer gegevens (N)'!$C$17=E87,'Invoer gegevens (N)'!$C$10-'Invoer gegevens (N)'!$C$11,IF(C87=1,AC86,0))</f>
        <v>0</v>
      </c>
      <c r="Y87" s="98">
        <f ca="1">IF(C87&gt;=1,X87*VLOOKUP(E87,'Reeksen (N)'!$A$5:$B$76,2),0)</f>
        <v>0</v>
      </c>
      <c r="Z87" s="98">
        <f ca="1">(1-('Invoer gegevens (N)'!$F$20/12))*X87*MIN('Reeksen (N)'!B87,'Reeksen (N)'!D87)</f>
        <v>0</v>
      </c>
      <c r="AA87" s="98">
        <f>IF('Reeksen (N)'!D87&gt;='Reeksen (N)'!B87,0,IF('Reeksen (N)'!AK87&lt;='Reeksen (N)'!AE87,('Reeksen (N)'!B87-'Reeksen (N)'!D87)*X87,0))</f>
        <v>0</v>
      </c>
      <c r="AB87" s="98">
        <f>IF('Reeksen (N)'!D87&gt;='Reeksen (N)'!B87,0,IF('Reeksen (N)'!AK87&gt;'Reeksen (N)'!AE87,('Reeksen (N)'!B87-'Reeksen (N)'!D87)*X87,0))</f>
        <v>0</v>
      </c>
      <c r="AC87" s="99">
        <f t="shared" ca="1" si="15"/>
        <v>0</v>
      </c>
      <c r="AD87" s="98">
        <f ca="1">IF('Invoer gegevens (N)'!$C$17=E87,R87,IF(C87=0,0,AE86))</f>
        <v>0</v>
      </c>
      <c r="AE87" s="98">
        <f t="shared" ca="1" si="16"/>
        <v>0</v>
      </c>
      <c r="AF87" s="98">
        <f ca="1">IF('Invoer gegevens (N)'!$C$17=E87,X87,IF(C87=0,0,AG86))</f>
        <v>0</v>
      </c>
      <c r="AG87" s="98">
        <f t="shared" ca="1" si="17"/>
        <v>0</v>
      </c>
      <c r="AH87" s="68"/>
      <c r="AI87" s="71">
        <f ca="1">IF(C87=1,'Reeksen (N)'!AJ87*((F87-G87+F87)/2)*12+'Reeksen (N)'!AK87*((L87-M87+L87)/2)*12,0)</f>
        <v>0</v>
      </c>
      <c r="AJ87" s="71">
        <f ca="1">-AI87*'Invoer gegevens (N)'!$F$28</f>
        <v>0</v>
      </c>
      <c r="AK87" s="71">
        <f t="shared" ca="1" si="11"/>
        <v>0</v>
      </c>
      <c r="AL87" s="71">
        <f ca="1">IF(C87=1,'Reeksen (N)'!AL87*((F87-G87+F87)/2)*12+'Reeksen (N)'!AM87*((L87-M87+L87)/2)*12,0)</f>
        <v>0</v>
      </c>
      <c r="AM87" s="71">
        <f ca="1">-AL87*'Invoer gegevens (N)'!$F$31</f>
        <v>0</v>
      </c>
      <c r="AN87" s="71">
        <f t="shared" ca="1" si="18"/>
        <v>0</v>
      </c>
      <c r="AO87" s="71">
        <f ca="1">IF(C87=1,(H87+J87+N87+P87)*'Reeksen (N)'!AN87,0)</f>
        <v>0</v>
      </c>
      <c r="AP87" s="71">
        <f ca="1">-IF(C87=1,(H87+J87+N87+P87)*'Hulp - basis'!$O$550*'Reeksen (N)'!H87,0)</f>
        <v>0</v>
      </c>
      <c r="AQ87" s="71">
        <f ca="1">-IF(C87=1,(F87+K87+L87+Q87)/2*'Invoer gegevens (N)'!$I$33*'Reeksen (N)'!J87,0)*2</f>
        <v>0</v>
      </c>
      <c r="AR87" s="71">
        <f ca="1">-IF(C87=1,(I87*'Invoer gegevens (N)'!$I$34)*'Reeksen (N)'!J87,0)</f>
        <v>0</v>
      </c>
      <c r="AS87" s="71">
        <f ca="1">-IF(C87=1,(F87+K87+L87+Q87)/2*'Invoer gegevens (N)'!$I$35*'Reeksen (N)'!L87,0)</f>
        <v>0</v>
      </c>
      <c r="AT87" s="71">
        <f ca="1">-IF(C87=1,IF(E87='Invoer gegevens (N)'!$C$17,'Invoer gegevens (N)'!$C$11,AD87)*'Reeksen (N)'!S87*'Invoer gegevens (N)'!$C$18*'Reeksen (N)'!P87,0)</f>
        <v>0</v>
      </c>
      <c r="AU87" s="71">
        <f ca="1">-IF(C87=1,(F87+K87+L87+Q87)/2*'Invoer gegevens (N)'!$I$36*'Reeksen (N)'!H87,0)</f>
        <v>0</v>
      </c>
      <c r="AV87" s="71">
        <v>0</v>
      </c>
      <c r="AW87" s="71">
        <f t="shared" ca="1" si="19"/>
        <v>0</v>
      </c>
      <c r="AX87" s="71">
        <f ca="1">IF(E87&lt;'Invoer gegevens (N)'!$C$17+15,0,IF(E87&gt;'Invoer gegevens (N)'!$C$17+215,0,AW87))</f>
        <v>0</v>
      </c>
      <c r="AY87" s="71">
        <f ca="1">AX87/(1+'Invoer gegevens (N)'!$F$18)^($AZ87-('Invoer gegevens (N)'!$C$17-'Invoer gegevens (N)'!$C$16))/(1+'Invoer gegevens (N)'!$C$39)^('Invoer gegevens (N)'!$C$17-'Invoer gegevens (N)'!$C$16)</f>
        <v>0</v>
      </c>
      <c r="AZ87" s="68">
        <f ca="1">IF(E87-'Invoer gegevens (N)'!$C$17-14.5&lt;0,0,E87-'Invoer gegevens (N)'!$C$17-14.5)</f>
        <v>67.5</v>
      </c>
    </row>
    <row r="88" spans="2:52" x14ac:dyDescent="0.25">
      <c r="B88" s="70">
        <f t="shared" si="20"/>
        <v>84</v>
      </c>
      <c r="C88" s="67">
        <f ca="1">IF(E88-'Invoer gegevens (N)'!$C$17&lt;0,0,1)</f>
        <v>1</v>
      </c>
      <c r="D88" s="68">
        <f t="shared" si="21"/>
        <v>83.5</v>
      </c>
      <c r="E88" s="108">
        <f ca="1">IF('Invoer gegevens (N)'!$C$16="","",E87+1)</f>
        <v>2102</v>
      </c>
      <c r="F88" s="84">
        <f ca="1">IF('Invoer gegevens (N)'!$C$17=E88,'Invoer gegevens (N)'!$C$10,IF(C88=1,K87,0))</f>
        <v>0</v>
      </c>
      <c r="G88" s="96">
        <f ca="1">IF(C88&gt;=1,F88*VLOOKUP(E88,'Reeksen (N)'!$A$5:$B$76,2),0)</f>
        <v>0</v>
      </c>
      <c r="H88" s="84">
        <f ca="1">(1-('Invoer gegevens (N)'!$F$20/12))*F88*MIN('Reeksen (N)'!B88,'Reeksen (N)'!D88)</f>
        <v>0</v>
      </c>
      <c r="I88" s="84">
        <f>IF('Reeksen (N)'!D88&lt;'Reeksen (N)'!B88,('Reeksen (N)'!B88-'Reeksen (N)'!D88)*F88,0)</f>
        <v>0</v>
      </c>
      <c r="J88" s="84">
        <f ca="1">('Invoer gegevens (N)'!$F$20/12)*F87*MIN('Reeksen (N)'!B87,'Reeksen (N)'!D87)</f>
        <v>0</v>
      </c>
      <c r="K88" s="97">
        <f t="shared" ca="1" si="12"/>
        <v>0</v>
      </c>
      <c r="L88" s="84">
        <f ca="1">IF('Invoer gegevens (N)'!$C$17=E88,0,IF(C88=1,Q87,0))</f>
        <v>0</v>
      </c>
      <c r="M88" s="96">
        <f ca="1">IF(C88&gt;=1,L88*VLOOKUP(E88,'Reeksen (N)'!$A$5:$B$76,2),0)</f>
        <v>0</v>
      </c>
      <c r="N88" s="84">
        <f ca="1">(1-('Invoer gegevens (N)'!$F$20/12))*L88*MIN('Reeksen (N)'!B88,'Reeksen (N)'!D88)</f>
        <v>0</v>
      </c>
      <c r="O88" s="84">
        <f>IF('Reeksen (N)'!D88&lt;'Reeksen (N)'!B88,('Reeksen (N)'!B88-'Reeksen (N)'!D88)*L88,0)</f>
        <v>0</v>
      </c>
      <c r="P88" s="84">
        <f ca="1">('Invoer gegevens (N)'!$F$20/12)*L87*MIN('Reeksen (N)'!B87,'Reeksen (N)'!D87)</f>
        <v>0</v>
      </c>
      <c r="Q88" s="84">
        <f t="shared" ca="1" si="13"/>
        <v>0</v>
      </c>
      <c r="R88" s="82">
        <f ca="1">IF('Invoer gegevens (N)'!$C$17=E88,'Invoer gegevens (N)'!$C$11,IF(C88=1,W87,0))</f>
        <v>0</v>
      </c>
      <c r="S88" s="86">
        <f ca="1">IF(C88&gt;=1,R88*VLOOKUP(E88,'Reeksen (N)'!$A$5:$B$76,2),0)</f>
        <v>0</v>
      </c>
      <c r="T88" s="84">
        <f ca="1">(1-('Invoer gegevens (N)'!$F$20/12))*R88*MIN('Reeksen (N)'!B88,'Reeksen (N)'!D88)</f>
        <v>0</v>
      </c>
      <c r="U88" s="84">
        <f>IF('Reeksen (N)'!D88&gt;='Reeksen (N)'!B88,0,IF('Reeksen (N)'!AK88&lt;='Reeksen (N)'!AE88,('Reeksen (N)'!B88-'Reeksen (N)'!D88)*R88,0))</f>
        <v>0</v>
      </c>
      <c r="V88" s="86">
        <f>IF('Reeksen (N)'!D88&gt;='Reeksen (N)'!B88,0,IF('Reeksen (N)'!AK88&gt;'Reeksen (N)'!AE88,('Reeksen (N)'!B88-'Reeksen (N)'!D88)*R88,0))</f>
        <v>0</v>
      </c>
      <c r="W88" s="97">
        <f t="shared" ca="1" si="14"/>
        <v>0</v>
      </c>
      <c r="X88" s="98">
        <f ca="1">IF('Invoer gegevens (N)'!$C$17=E88,'Invoer gegevens (N)'!$C$10-'Invoer gegevens (N)'!$C$11,IF(C88=1,AC87,0))</f>
        <v>0</v>
      </c>
      <c r="Y88" s="98">
        <f ca="1">IF(C88&gt;=1,X88*VLOOKUP(E88,'Reeksen (N)'!$A$5:$B$76,2),0)</f>
        <v>0</v>
      </c>
      <c r="Z88" s="98">
        <f ca="1">(1-('Invoer gegevens (N)'!$F$20/12))*X88*MIN('Reeksen (N)'!B88,'Reeksen (N)'!D88)</f>
        <v>0</v>
      </c>
      <c r="AA88" s="98">
        <f>IF('Reeksen (N)'!D88&gt;='Reeksen (N)'!B88,0,IF('Reeksen (N)'!AK88&lt;='Reeksen (N)'!AE88,('Reeksen (N)'!B88-'Reeksen (N)'!D88)*X88,0))</f>
        <v>0</v>
      </c>
      <c r="AB88" s="98">
        <f>IF('Reeksen (N)'!D88&gt;='Reeksen (N)'!B88,0,IF('Reeksen (N)'!AK88&gt;'Reeksen (N)'!AE88,('Reeksen (N)'!B88-'Reeksen (N)'!D88)*X88,0))</f>
        <v>0</v>
      </c>
      <c r="AC88" s="99">
        <f t="shared" ca="1" si="15"/>
        <v>0</v>
      </c>
      <c r="AD88" s="98">
        <f ca="1">IF('Invoer gegevens (N)'!$C$17=E88,R88,IF(C88=0,0,AE87))</f>
        <v>0</v>
      </c>
      <c r="AE88" s="98">
        <f t="shared" ca="1" si="16"/>
        <v>0</v>
      </c>
      <c r="AF88" s="98">
        <f ca="1">IF('Invoer gegevens (N)'!$C$17=E88,X88,IF(C88=0,0,AG87))</f>
        <v>0</v>
      </c>
      <c r="AG88" s="98">
        <f t="shared" ca="1" si="17"/>
        <v>0</v>
      </c>
      <c r="AH88" s="68"/>
      <c r="AI88" s="71">
        <f ca="1">IF(C88=1,'Reeksen (N)'!AJ88*((F88-G88+F88)/2)*12+'Reeksen (N)'!AK88*((L88-M88+L88)/2)*12,0)</f>
        <v>0</v>
      </c>
      <c r="AJ88" s="71">
        <f ca="1">-AI88*'Invoer gegevens (N)'!$F$28</f>
        <v>0</v>
      </c>
      <c r="AK88" s="71">
        <f t="shared" ca="1" si="11"/>
        <v>0</v>
      </c>
      <c r="AL88" s="71">
        <f ca="1">IF(C88=1,'Reeksen (N)'!AL88*((F88-G88+F88)/2)*12+'Reeksen (N)'!AM88*((L88-M88+L88)/2)*12,0)</f>
        <v>0</v>
      </c>
      <c r="AM88" s="71">
        <f ca="1">-AL88*'Invoer gegevens (N)'!$F$31</f>
        <v>0</v>
      </c>
      <c r="AN88" s="71">
        <f t="shared" ca="1" si="18"/>
        <v>0</v>
      </c>
      <c r="AO88" s="71">
        <f ca="1">IF(C88=1,(H88+J88+N88+P88)*'Reeksen (N)'!AN88,0)</f>
        <v>0</v>
      </c>
      <c r="AP88" s="71">
        <f ca="1">-IF(C88=1,(H88+J88+N88+P88)*'Hulp - basis'!$O$550*'Reeksen (N)'!H88,0)</f>
        <v>0</v>
      </c>
      <c r="AQ88" s="71">
        <f ca="1">-IF(C88=1,(F88+K88+L88+Q88)/2*'Invoer gegevens (N)'!$I$33*'Reeksen (N)'!J88,0)*2</f>
        <v>0</v>
      </c>
      <c r="AR88" s="71">
        <f ca="1">-IF(C88=1,(I88*'Invoer gegevens (N)'!$I$34)*'Reeksen (N)'!J88,0)</f>
        <v>0</v>
      </c>
      <c r="AS88" s="71">
        <f ca="1">-IF(C88=1,(F88+K88+L88+Q88)/2*'Invoer gegevens (N)'!$I$35*'Reeksen (N)'!L88,0)</f>
        <v>0</v>
      </c>
      <c r="AT88" s="71">
        <f ca="1">-IF(C88=1,IF(E88='Invoer gegevens (N)'!$C$17,'Invoer gegevens (N)'!$C$11,AD88)*'Reeksen (N)'!S88*'Invoer gegevens (N)'!$C$18*'Reeksen (N)'!P88,0)</f>
        <v>0</v>
      </c>
      <c r="AU88" s="71">
        <f ca="1">-IF(C88=1,(F88+K88+L88+Q88)/2*'Invoer gegevens (N)'!$I$36*'Reeksen (N)'!H88,0)</f>
        <v>0</v>
      </c>
      <c r="AV88" s="71">
        <v>0</v>
      </c>
      <c r="AW88" s="71">
        <f t="shared" ca="1" si="19"/>
        <v>0</v>
      </c>
      <c r="AX88" s="71">
        <f ca="1">IF(E88&lt;'Invoer gegevens (N)'!$C$17+15,0,IF(E88&gt;'Invoer gegevens (N)'!$C$17+215,0,AW88))</f>
        <v>0</v>
      </c>
      <c r="AY88" s="71">
        <f ca="1">AX88/(1+'Invoer gegevens (N)'!$F$18)^($AZ88-('Invoer gegevens (N)'!$C$17-'Invoer gegevens (N)'!$C$16))/(1+'Invoer gegevens (N)'!$C$39)^('Invoer gegevens (N)'!$C$17-'Invoer gegevens (N)'!$C$16)</f>
        <v>0</v>
      </c>
      <c r="AZ88" s="68">
        <f ca="1">IF(E88-'Invoer gegevens (N)'!$C$17-14.5&lt;0,0,E88-'Invoer gegevens (N)'!$C$17-14.5)</f>
        <v>68.5</v>
      </c>
    </row>
    <row r="89" spans="2:52" x14ac:dyDescent="0.25">
      <c r="B89" s="70">
        <f t="shared" si="20"/>
        <v>85</v>
      </c>
      <c r="C89" s="67">
        <f ca="1">IF(E89-'Invoer gegevens (N)'!$C$17&lt;0,0,1)</f>
        <v>1</v>
      </c>
      <c r="D89" s="68">
        <f t="shared" si="21"/>
        <v>84.5</v>
      </c>
      <c r="E89" s="108">
        <f ca="1">IF('Invoer gegevens (N)'!$C$16="","",E88+1)</f>
        <v>2103</v>
      </c>
      <c r="F89" s="84">
        <f ca="1">IF('Invoer gegevens (N)'!$C$17=E89,'Invoer gegevens (N)'!$C$10,IF(C89=1,K88,0))</f>
        <v>0</v>
      </c>
      <c r="G89" s="96">
        <f ca="1">IF(C89&gt;=1,F89*VLOOKUP(E89,'Reeksen (N)'!$A$5:$B$76,2),0)</f>
        <v>0</v>
      </c>
      <c r="H89" s="84">
        <f ca="1">(1-('Invoer gegevens (N)'!$F$20/12))*F89*MIN('Reeksen (N)'!B89,'Reeksen (N)'!D89)</f>
        <v>0</v>
      </c>
      <c r="I89" s="84">
        <f>IF('Reeksen (N)'!D89&lt;'Reeksen (N)'!B89,('Reeksen (N)'!B89-'Reeksen (N)'!D89)*F89,0)</f>
        <v>0</v>
      </c>
      <c r="J89" s="84">
        <f ca="1">('Invoer gegevens (N)'!$F$20/12)*F88*MIN('Reeksen (N)'!B88,'Reeksen (N)'!D88)</f>
        <v>0</v>
      </c>
      <c r="K89" s="97">
        <f t="shared" ca="1" si="12"/>
        <v>0</v>
      </c>
      <c r="L89" s="84">
        <f ca="1">IF('Invoer gegevens (N)'!$C$17=E89,0,IF(C89=1,Q88,0))</f>
        <v>0</v>
      </c>
      <c r="M89" s="96">
        <f ca="1">IF(C89&gt;=1,L89*VLOOKUP(E89,'Reeksen (N)'!$A$5:$B$76,2),0)</f>
        <v>0</v>
      </c>
      <c r="N89" s="84">
        <f ca="1">(1-('Invoer gegevens (N)'!$F$20/12))*L89*MIN('Reeksen (N)'!B89,'Reeksen (N)'!D89)</f>
        <v>0</v>
      </c>
      <c r="O89" s="84">
        <f>IF('Reeksen (N)'!D89&lt;'Reeksen (N)'!B89,('Reeksen (N)'!B89-'Reeksen (N)'!D89)*L89,0)</f>
        <v>0</v>
      </c>
      <c r="P89" s="84">
        <f ca="1">('Invoer gegevens (N)'!$F$20/12)*L88*MIN('Reeksen (N)'!B88,'Reeksen (N)'!D88)</f>
        <v>0</v>
      </c>
      <c r="Q89" s="84">
        <f t="shared" ca="1" si="13"/>
        <v>0</v>
      </c>
      <c r="R89" s="82">
        <f ca="1">IF('Invoer gegevens (N)'!$C$17=E89,'Invoer gegevens (N)'!$C$11,IF(C89=1,W88,0))</f>
        <v>0</v>
      </c>
      <c r="S89" s="86">
        <f ca="1">IF(C89&gt;=1,R89*VLOOKUP(E89,'Reeksen (N)'!$A$5:$B$76,2),0)</f>
        <v>0</v>
      </c>
      <c r="T89" s="84">
        <f ca="1">(1-('Invoer gegevens (N)'!$F$20/12))*R89*MIN('Reeksen (N)'!B89,'Reeksen (N)'!D89)</f>
        <v>0</v>
      </c>
      <c r="U89" s="84">
        <f>IF('Reeksen (N)'!D89&gt;='Reeksen (N)'!B89,0,IF('Reeksen (N)'!AK89&lt;='Reeksen (N)'!AE89,('Reeksen (N)'!B89-'Reeksen (N)'!D89)*R89,0))</f>
        <v>0</v>
      </c>
      <c r="V89" s="86">
        <f>IF('Reeksen (N)'!D89&gt;='Reeksen (N)'!B89,0,IF('Reeksen (N)'!AK89&gt;'Reeksen (N)'!AE89,('Reeksen (N)'!B89-'Reeksen (N)'!D89)*R89,0))</f>
        <v>0</v>
      </c>
      <c r="W89" s="97">
        <f t="shared" ca="1" si="14"/>
        <v>0</v>
      </c>
      <c r="X89" s="98">
        <f ca="1">IF('Invoer gegevens (N)'!$C$17=E89,'Invoer gegevens (N)'!$C$10-'Invoer gegevens (N)'!$C$11,IF(C89=1,AC88,0))</f>
        <v>0</v>
      </c>
      <c r="Y89" s="98">
        <f ca="1">IF(C89&gt;=1,X89*VLOOKUP(E89,'Reeksen (N)'!$A$5:$B$76,2),0)</f>
        <v>0</v>
      </c>
      <c r="Z89" s="98">
        <f ca="1">(1-('Invoer gegevens (N)'!$F$20/12))*X89*MIN('Reeksen (N)'!B89,'Reeksen (N)'!D89)</f>
        <v>0</v>
      </c>
      <c r="AA89" s="98">
        <f>IF('Reeksen (N)'!D89&gt;='Reeksen (N)'!B89,0,IF('Reeksen (N)'!AK89&lt;='Reeksen (N)'!AE89,('Reeksen (N)'!B89-'Reeksen (N)'!D89)*X89,0))</f>
        <v>0</v>
      </c>
      <c r="AB89" s="98">
        <f>IF('Reeksen (N)'!D89&gt;='Reeksen (N)'!B89,0,IF('Reeksen (N)'!AK89&gt;'Reeksen (N)'!AE89,('Reeksen (N)'!B89-'Reeksen (N)'!D89)*X89,0))</f>
        <v>0</v>
      </c>
      <c r="AC89" s="99">
        <f t="shared" ca="1" si="15"/>
        <v>0</v>
      </c>
      <c r="AD89" s="98">
        <f ca="1">IF('Invoer gegevens (N)'!$C$17=E89,R89,IF(C89=0,0,AE88))</f>
        <v>0</v>
      </c>
      <c r="AE89" s="98">
        <f t="shared" ca="1" si="16"/>
        <v>0</v>
      </c>
      <c r="AF89" s="98">
        <f ca="1">IF('Invoer gegevens (N)'!$C$17=E89,X89,IF(C89=0,0,AG88))</f>
        <v>0</v>
      </c>
      <c r="AG89" s="98">
        <f t="shared" ca="1" si="17"/>
        <v>0</v>
      </c>
      <c r="AH89" s="68"/>
      <c r="AI89" s="71">
        <f ca="1">IF(C89=1,'Reeksen (N)'!AJ89*((F89-G89+F89)/2)*12+'Reeksen (N)'!AK89*((L89-M89+L89)/2)*12,0)</f>
        <v>0</v>
      </c>
      <c r="AJ89" s="71">
        <f ca="1">-AI89*'Invoer gegevens (N)'!$F$28</f>
        <v>0</v>
      </c>
      <c r="AK89" s="71">
        <f t="shared" ca="1" si="11"/>
        <v>0</v>
      </c>
      <c r="AL89" s="71">
        <f ca="1">IF(C89=1,'Reeksen (N)'!AL89*((F89-G89+F89)/2)*12+'Reeksen (N)'!AM89*((L89-M89+L89)/2)*12,0)</f>
        <v>0</v>
      </c>
      <c r="AM89" s="71">
        <f ca="1">-AL89*'Invoer gegevens (N)'!$F$31</f>
        <v>0</v>
      </c>
      <c r="AN89" s="71">
        <f t="shared" ca="1" si="18"/>
        <v>0</v>
      </c>
      <c r="AO89" s="71">
        <f ca="1">IF(C89=1,(H89+J89+N89+P89)*'Reeksen (N)'!AN89,0)</f>
        <v>0</v>
      </c>
      <c r="AP89" s="71">
        <f ca="1">-IF(C89=1,(H89+J89+N89+P89)*'Hulp - basis'!$O$550*'Reeksen (N)'!H89,0)</f>
        <v>0</v>
      </c>
      <c r="AQ89" s="71">
        <f ca="1">-IF(C89=1,(F89+K89+L89+Q89)/2*'Invoer gegevens (N)'!$I$33*'Reeksen (N)'!J89,0)*2</f>
        <v>0</v>
      </c>
      <c r="AR89" s="71">
        <f ca="1">-IF(C89=1,(I89*'Invoer gegevens (N)'!$I$34)*'Reeksen (N)'!J89,0)</f>
        <v>0</v>
      </c>
      <c r="AS89" s="71">
        <f ca="1">-IF(C89=1,(F89+K89+L89+Q89)/2*'Invoer gegevens (N)'!$I$35*'Reeksen (N)'!L89,0)</f>
        <v>0</v>
      </c>
      <c r="AT89" s="71">
        <f ca="1">-IF(C89=1,IF(E89='Invoer gegevens (N)'!$C$17,'Invoer gegevens (N)'!$C$11,AD89)*'Reeksen (N)'!S89*'Invoer gegevens (N)'!$C$18*'Reeksen (N)'!P89,0)</f>
        <v>0</v>
      </c>
      <c r="AU89" s="71">
        <f ca="1">-IF(C89=1,(F89+K89+L89+Q89)/2*'Invoer gegevens (N)'!$I$36*'Reeksen (N)'!H89,0)</f>
        <v>0</v>
      </c>
      <c r="AV89" s="71">
        <v>0</v>
      </c>
      <c r="AW89" s="71">
        <f t="shared" ca="1" si="19"/>
        <v>0</v>
      </c>
      <c r="AX89" s="71">
        <f ca="1">IF(E89&lt;'Invoer gegevens (N)'!$C$17+15,0,IF(E89&gt;'Invoer gegevens (N)'!$C$17+215,0,AW89))</f>
        <v>0</v>
      </c>
      <c r="AY89" s="71">
        <f ca="1">AX89/(1+'Invoer gegevens (N)'!$F$18)^($AZ89-('Invoer gegevens (N)'!$C$17-'Invoer gegevens (N)'!$C$16))/(1+'Invoer gegevens (N)'!$C$39)^('Invoer gegevens (N)'!$C$17-'Invoer gegevens (N)'!$C$16)</f>
        <v>0</v>
      </c>
      <c r="AZ89" s="68">
        <f ca="1">IF(E89-'Invoer gegevens (N)'!$C$17-14.5&lt;0,0,E89-'Invoer gegevens (N)'!$C$17-14.5)</f>
        <v>69.5</v>
      </c>
    </row>
    <row r="90" spans="2:52" x14ac:dyDescent="0.25">
      <c r="B90" s="70">
        <f t="shared" si="20"/>
        <v>86</v>
      </c>
      <c r="C90" s="67">
        <f ca="1">IF(E90-'Invoer gegevens (N)'!$C$17&lt;0,0,1)</f>
        <v>1</v>
      </c>
      <c r="D90" s="68">
        <f t="shared" si="21"/>
        <v>85.5</v>
      </c>
      <c r="E90" s="108">
        <f ca="1">IF('Invoer gegevens (N)'!$C$16="","",E89+1)</f>
        <v>2104</v>
      </c>
      <c r="F90" s="84">
        <f ca="1">IF('Invoer gegevens (N)'!$C$17=E90,'Invoer gegevens (N)'!$C$10,IF(C90=1,K89,0))</f>
        <v>0</v>
      </c>
      <c r="G90" s="96">
        <f ca="1">IF(C90&gt;=1,F90*VLOOKUP(E90,'Reeksen (N)'!$A$5:$B$76,2),0)</f>
        <v>0</v>
      </c>
      <c r="H90" s="84">
        <f ca="1">(1-('Invoer gegevens (N)'!$F$20/12))*F90*MIN('Reeksen (N)'!B90,'Reeksen (N)'!D90)</f>
        <v>0</v>
      </c>
      <c r="I90" s="84">
        <f>IF('Reeksen (N)'!D90&lt;'Reeksen (N)'!B90,('Reeksen (N)'!B90-'Reeksen (N)'!D90)*F90,0)</f>
        <v>0</v>
      </c>
      <c r="J90" s="84">
        <f ca="1">('Invoer gegevens (N)'!$F$20/12)*F89*MIN('Reeksen (N)'!B89,'Reeksen (N)'!D89)</f>
        <v>0</v>
      </c>
      <c r="K90" s="97">
        <f t="shared" ca="1" si="12"/>
        <v>0</v>
      </c>
      <c r="L90" s="84">
        <f ca="1">IF('Invoer gegevens (N)'!$C$17=E90,0,IF(C90=1,Q89,0))</f>
        <v>0</v>
      </c>
      <c r="M90" s="96">
        <f ca="1">IF(C90&gt;=1,L90*VLOOKUP(E90,'Reeksen (N)'!$A$5:$B$76,2),0)</f>
        <v>0</v>
      </c>
      <c r="N90" s="84">
        <f ca="1">(1-('Invoer gegevens (N)'!$F$20/12))*L90*MIN('Reeksen (N)'!B90,'Reeksen (N)'!D90)</f>
        <v>0</v>
      </c>
      <c r="O90" s="84">
        <f>IF('Reeksen (N)'!D90&lt;'Reeksen (N)'!B90,('Reeksen (N)'!B90-'Reeksen (N)'!D90)*L90,0)</f>
        <v>0</v>
      </c>
      <c r="P90" s="84">
        <f ca="1">('Invoer gegevens (N)'!$F$20/12)*L89*MIN('Reeksen (N)'!B89,'Reeksen (N)'!D89)</f>
        <v>0</v>
      </c>
      <c r="Q90" s="84">
        <f t="shared" ca="1" si="13"/>
        <v>0</v>
      </c>
      <c r="R90" s="82">
        <f ca="1">IF('Invoer gegevens (N)'!$C$17=E90,'Invoer gegevens (N)'!$C$11,IF(C90=1,W89,0))</f>
        <v>0</v>
      </c>
      <c r="S90" s="86">
        <f ca="1">IF(C90&gt;=1,R90*VLOOKUP(E90,'Reeksen (N)'!$A$5:$B$76,2),0)</f>
        <v>0</v>
      </c>
      <c r="T90" s="84">
        <f ca="1">(1-('Invoer gegevens (N)'!$F$20/12))*R90*MIN('Reeksen (N)'!B90,'Reeksen (N)'!D90)</f>
        <v>0</v>
      </c>
      <c r="U90" s="84">
        <f>IF('Reeksen (N)'!D90&gt;='Reeksen (N)'!B90,0,IF('Reeksen (N)'!AK90&lt;='Reeksen (N)'!AE90,('Reeksen (N)'!B90-'Reeksen (N)'!D90)*R90,0))</f>
        <v>0</v>
      </c>
      <c r="V90" s="86">
        <f>IF('Reeksen (N)'!D90&gt;='Reeksen (N)'!B90,0,IF('Reeksen (N)'!AK90&gt;'Reeksen (N)'!AE90,('Reeksen (N)'!B90-'Reeksen (N)'!D90)*R90,0))</f>
        <v>0</v>
      </c>
      <c r="W90" s="97">
        <f t="shared" ca="1" si="14"/>
        <v>0</v>
      </c>
      <c r="X90" s="98">
        <f ca="1">IF('Invoer gegevens (N)'!$C$17=E90,'Invoer gegevens (N)'!$C$10-'Invoer gegevens (N)'!$C$11,IF(C90=1,AC89,0))</f>
        <v>0</v>
      </c>
      <c r="Y90" s="98">
        <f ca="1">IF(C90&gt;=1,X90*VLOOKUP(E90,'Reeksen (N)'!$A$5:$B$76,2),0)</f>
        <v>0</v>
      </c>
      <c r="Z90" s="98">
        <f ca="1">(1-('Invoer gegevens (N)'!$F$20/12))*X90*MIN('Reeksen (N)'!B90,'Reeksen (N)'!D90)</f>
        <v>0</v>
      </c>
      <c r="AA90" s="98">
        <f>IF('Reeksen (N)'!D90&gt;='Reeksen (N)'!B90,0,IF('Reeksen (N)'!AK90&lt;='Reeksen (N)'!AE90,('Reeksen (N)'!B90-'Reeksen (N)'!D90)*X90,0))</f>
        <v>0</v>
      </c>
      <c r="AB90" s="98">
        <f>IF('Reeksen (N)'!D90&gt;='Reeksen (N)'!B90,0,IF('Reeksen (N)'!AK90&gt;'Reeksen (N)'!AE90,('Reeksen (N)'!B90-'Reeksen (N)'!D90)*X90,0))</f>
        <v>0</v>
      </c>
      <c r="AC90" s="99">
        <f t="shared" ca="1" si="15"/>
        <v>0</v>
      </c>
      <c r="AD90" s="98">
        <f ca="1">IF('Invoer gegevens (N)'!$C$17=E90,R90,IF(C90=0,0,AE89))</f>
        <v>0</v>
      </c>
      <c r="AE90" s="98">
        <f t="shared" ca="1" si="16"/>
        <v>0</v>
      </c>
      <c r="AF90" s="98">
        <f ca="1">IF('Invoer gegevens (N)'!$C$17=E90,X90,IF(C90=0,0,AG89))</f>
        <v>0</v>
      </c>
      <c r="AG90" s="98">
        <f t="shared" ca="1" si="17"/>
        <v>0</v>
      </c>
      <c r="AH90" s="68"/>
      <c r="AI90" s="71">
        <f ca="1">IF(C90=1,'Reeksen (N)'!AJ90*((F90-G90+F90)/2)*12+'Reeksen (N)'!AK90*((L90-M90+L90)/2)*12,0)</f>
        <v>0</v>
      </c>
      <c r="AJ90" s="71">
        <f ca="1">-AI90*'Invoer gegevens (N)'!$F$28</f>
        <v>0</v>
      </c>
      <c r="AK90" s="71">
        <f t="shared" ca="1" si="11"/>
        <v>0</v>
      </c>
      <c r="AL90" s="71">
        <f ca="1">IF(C90=1,'Reeksen (N)'!AL90*((F90-G90+F90)/2)*12+'Reeksen (N)'!AM90*((L90-M90+L90)/2)*12,0)</f>
        <v>0</v>
      </c>
      <c r="AM90" s="71">
        <f ca="1">-AL90*'Invoer gegevens (N)'!$F$31</f>
        <v>0</v>
      </c>
      <c r="AN90" s="71">
        <f t="shared" ca="1" si="18"/>
        <v>0</v>
      </c>
      <c r="AO90" s="71">
        <f ca="1">IF(C90=1,(H90+J90+N90+P90)*'Reeksen (N)'!AN90,0)</f>
        <v>0</v>
      </c>
      <c r="AP90" s="71">
        <f ca="1">-IF(C90=1,(H90+J90+N90+P90)*'Hulp - basis'!$O$550*'Reeksen (N)'!H90,0)</f>
        <v>0</v>
      </c>
      <c r="AQ90" s="71">
        <f ca="1">-IF(C90=1,(F90+K90+L90+Q90)/2*'Invoer gegevens (N)'!$I$33*'Reeksen (N)'!J90,0)*2</f>
        <v>0</v>
      </c>
      <c r="AR90" s="71">
        <f ca="1">-IF(C90=1,(I90*'Invoer gegevens (N)'!$I$34)*'Reeksen (N)'!J90,0)</f>
        <v>0</v>
      </c>
      <c r="AS90" s="71">
        <f ca="1">-IF(C90=1,(F90+K90+L90+Q90)/2*'Invoer gegevens (N)'!$I$35*'Reeksen (N)'!L90,0)</f>
        <v>0</v>
      </c>
      <c r="AT90" s="71">
        <f ca="1">-IF(C90=1,IF(E90='Invoer gegevens (N)'!$C$17,'Invoer gegevens (N)'!$C$11,AD90)*'Reeksen (N)'!S90*'Invoer gegevens (N)'!$C$18*'Reeksen (N)'!P90,0)</f>
        <v>0</v>
      </c>
      <c r="AU90" s="71">
        <f ca="1">-IF(C90=1,(F90+K90+L90+Q90)/2*'Invoer gegevens (N)'!$I$36*'Reeksen (N)'!H90,0)</f>
        <v>0</v>
      </c>
      <c r="AV90" s="71">
        <v>0</v>
      </c>
      <c r="AW90" s="71">
        <f t="shared" ca="1" si="19"/>
        <v>0</v>
      </c>
      <c r="AX90" s="71">
        <f ca="1">IF(E90&lt;'Invoer gegevens (N)'!$C$17+15,0,IF(E90&gt;'Invoer gegevens (N)'!$C$17+215,0,AW90))</f>
        <v>0</v>
      </c>
      <c r="AY90" s="71">
        <f ca="1">AX90/(1+'Invoer gegevens (N)'!$F$18)^($AZ90-('Invoer gegevens (N)'!$C$17-'Invoer gegevens (N)'!$C$16))/(1+'Invoer gegevens (N)'!$C$39)^('Invoer gegevens (N)'!$C$17-'Invoer gegevens (N)'!$C$16)</f>
        <v>0</v>
      </c>
      <c r="AZ90" s="68">
        <f ca="1">IF(E90-'Invoer gegevens (N)'!$C$17-14.5&lt;0,0,E90-'Invoer gegevens (N)'!$C$17-14.5)</f>
        <v>70.5</v>
      </c>
    </row>
    <row r="91" spans="2:52" x14ac:dyDescent="0.25">
      <c r="B91" s="70">
        <f t="shared" si="20"/>
        <v>87</v>
      </c>
      <c r="C91" s="67">
        <f ca="1">IF(E91-'Invoer gegevens (N)'!$C$17&lt;0,0,1)</f>
        <v>1</v>
      </c>
      <c r="D91" s="68">
        <f t="shared" si="21"/>
        <v>86.5</v>
      </c>
      <c r="E91" s="108">
        <f ca="1">IF('Invoer gegevens (N)'!$C$16="","",E90+1)</f>
        <v>2105</v>
      </c>
      <c r="F91" s="84">
        <f ca="1">IF('Invoer gegevens (N)'!$C$17=E91,'Invoer gegevens (N)'!$C$10,IF(C91=1,K90,0))</f>
        <v>0</v>
      </c>
      <c r="G91" s="96">
        <f ca="1">IF(C91&gt;=1,F91*VLOOKUP(E91,'Reeksen (N)'!$A$5:$B$76,2),0)</f>
        <v>0</v>
      </c>
      <c r="H91" s="84">
        <f ca="1">(1-('Invoer gegevens (N)'!$F$20/12))*F91*MIN('Reeksen (N)'!B91,'Reeksen (N)'!D91)</f>
        <v>0</v>
      </c>
      <c r="I91" s="84">
        <f>IF('Reeksen (N)'!D91&lt;'Reeksen (N)'!B91,('Reeksen (N)'!B91-'Reeksen (N)'!D91)*F91,0)</f>
        <v>0</v>
      </c>
      <c r="J91" s="84">
        <f ca="1">('Invoer gegevens (N)'!$F$20/12)*F90*MIN('Reeksen (N)'!B90,'Reeksen (N)'!D90)</f>
        <v>0</v>
      </c>
      <c r="K91" s="97">
        <f t="shared" ca="1" si="12"/>
        <v>0</v>
      </c>
      <c r="L91" s="84">
        <f ca="1">IF('Invoer gegevens (N)'!$C$17=E91,0,IF(C91=1,Q90,0))</f>
        <v>0</v>
      </c>
      <c r="M91" s="96">
        <f ca="1">IF(C91&gt;=1,L91*VLOOKUP(E91,'Reeksen (N)'!$A$5:$B$76,2),0)</f>
        <v>0</v>
      </c>
      <c r="N91" s="84">
        <f ca="1">(1-('Invoer gegevens (N)'!$F$20/12))*L91*MIN('Reeksen (N)'!B91,'Reeksen (N)'!D91)</f>
        <v>0</v>
      </c>
      <c r="O91" s="84">
        <f>IF('Reeksen (N)'!D91&lt;'Reeksen (N)'!B91,('Reeksen (N)'!B91-'Reeksen (N)'!D91)*L91,0)</f>
        <v>0</v>
      </c>
      <c r="P91" s="84">
        <f ca="1">('Invoer gegevens (N)'!$F$20/12)*L90*MIN('Reeksen (N)'!B90,'Reeksen (N)'!D90)</f>
        <v>0</v>
      </c>
      <c r="Q91" s="84">
        <f t="shared" ca="1" si="13"/>
        <v>0</v>
      </c>
      <c r="R91" s="82">
        <f ca="1">IF('Invoer gegevens (N)'!$C$17=E91,'Invoer gegevens (N)'!$C$11,IF(C91=1,W90,0))</f>
        <v>0</v>
      </c>
      <c r="S91" s="86">
        <f ca="1">IF(C91&gt;=1,R91*VLOOKUP(E91,'Reeksen (N)'!$A$5:$B$76,2),0)</f>
        <v>0</v>
      </c>
      <c r="T91" s="84">
        <f ca="1">(1-('Invoer gegevens (N)'!$F$20/12))*R91*MIN('Reeksen (N)'!B91,'Reeksen (N)'!D91)</f>
        <v>0</v>
      </c>
      <c r="U91" s="84">
        <f>IF('Reeksen (N)'!D91&gt;='Reeksen (N)'!B91,0,IF('Reeksen (N)'!AK91&lt;='Reeksen (N)'!AE91,('Reeksen (N)'!B91-'Reeksen (N)'!D91)*R91,0))</f>
        <v>0</v>
      </c>
      <c r="V91" s="86">
        <f>IF('Reeksen (N)'!D91&gt;='Reeksen (N)'!B91,0,IF('Reeksen (N)'!AK91&gt;'Reeksen (N)'!AE91,('Reeksen (N)'!B91-'Reeksen (N)'!D91)*R91,0))</f>
        <v>0</v>
      </c>
      <c r="W91" s="97">
        <f t="shared" ca="1" si="14"/>
        <v>0</v>
      </c>
      <c r="X91" s="98">
        <f ca="1">IF('Invoer gegevens (N)'!$C$17=E91,'Invoer gegevens (N)'!$C$10-'Invoer gegevens (N)'!$C$11,IF(C91=1,AC90,0))</f>
        <v>0</v>
      </c>
      <c r="Y91" s="98">
        <f ca="1">IF(C91&gt;=1,X91*VLOOKUP(E91,'Reeksen (N)'!$A$5:$B$76,2),0)</f>
        <v>0</v>
      </c>
      <c r="Z91" s="98">
        <f ca="1">(1-('Invoer gegevens (N)'!$F$20/12))*X91*MIN('Reeksen (N)'!B91,'Reeksen (N)'!D91)</f>
        <v>0</v>
      </c>
      <c r="AA91" s="98">
        <f>IF('Reeksen (N)'!D91&gt;='Reeksen (N)'!B91,0,IF('Reeksen (N)'!AK91&lt;='Reeksen (N)'!AE91,('Reeksen (N)'!B91-'Reeksen (N)'!D91)*X91,0))</f>
        <v>0</v>
      </c>
      <c r="AB91" s="98">
        <f>IF('Reeksen (N)'!D91&gt;='Reeksen (N)'!B91,0,IF('Reeksen (N)'!AK91&gt;'Reeksen (N)'!AE91,('Reeksen (N)'!B91-'Reeksen (N)'!D91)*X91,0))</f>
        <v>0</v>
      </c>
      <c r="AC91" s="99">
        <f t="shared" ca="1" si="15"/>
        <v>0</v>
      </c>
      <c r="AD91" s="98">
        <f ca="1">IF('Invoer gegevens (N)'!$C$17=E91,R91,IF(C91=0,0,AE90))</f>
        <v>0</v>
      </c>
      <c r="AE91" s="98">
        <f t="shared" ca="1" si="16"/>
        <v>0</v>
      </c>
      <c r="AF91" s="98">
        <f ca="1">IF('Invoer gegevens (N)'!$C$17=E91,X91,IF(C91=0,0,AG90))</f>
        <v>0</v>
      </c>
      <c r="AG91" s="98">
        <f t="shared" ca="1" si="17"/>
        <v>0</v>
      </c>
      <c r="AH91" s="68"/>
      <c r="AI91" s="71">
        <f ca="1">IF(C91=1,'Reeksen (N)'!AJ91*((F91-G91+F91)/2)*12+'Reeksen (N)'!AK91*((L91-M91+L91)/2)*12,0)</f>
        <v>0</v>
      </c>
      <c r="AJ91" s="71">
        <f ca="1">-AI91*'Invoer gegevens (N)'!$F$28</f>
        <v>0</v>
      </c>
      <c r="AK91" s="71">
        <f t="shared" ca="1" si="11"/>
        <v>0</v>
      </c>
      <c r="AL91" s="71">
        <f ca="1">IF(C91=1,'Reeksen (N)'!AL91*((F91-G91+F91)/2)*12+'Reeksen (N)'!AM91*((L91-M91+L91)/2)*12,0)</f>
        <v>0</v>
      </c>
      <c r="AM91" s="71">
        <f ca="1">-AL91*'Invoer gegevens (N)'!$F$31</f>
        <v>0</v>
      </c>
      <c r="AN91" s="71">
        <f t="shared" ca="1" si="18"/>
        <v>0</v>
      </c>
      <c r="AO91" s="71">
        <f ca="1">IF(C91=1,(H91+J91+N91+P91)*'Reeksen (N)'!AN91,0)</f>
        <v>0</v>
      </c>
      <c r="AP91" s="71">
        <f ca="1">-IF(C91=1,(H91+J91+N91+P91)*'Hulp - basis'!$O$550*'Reeksen (N)'!H91,0)</f>
        <v>0</v>
      </c>
      <c r="AQ91" s="71">
        <f ca="1">-IF(C91=1,(F91+K91+L91+Q91)/2*'Invoer gegevens (N)'!$I$33*'Reeksen (N)'!J91,0)*2</f>
        <v>0</v>
      </c>
      <c r="AR91" s="71">
        <f ca="1">-IF(C91=1,(I91*'Invoer gegevens (N)'!$I$34)*'Reeksen (N)'!J91,0)</f>
        <v>0</v>
      </c>
      <c r="AS91" s="71">
        <f ca="1">-IF(C91=1,(F91+K91+L91+Q91)/2*'Invoer gegevens (N)'!$I$35*'Reeksen (N)'!L91,0)</f>
        <v>0</v>
      </c>
      <c r="AT91" s="71">
        <f ca="1">-IF(C91=1,IF(E91='Invoer gegevens (N)'!$C$17,'Invoer gegevens (N)'!$C$11,AD91)*'Reeksen (N)'!S91*'Invoer gegevens (N)'!$C$18*'Reeksen (N)'!P91,0)</f>
        <v>0</v>
      </c>
      <c r="AU91" s="71">
        <f ca="1">-IF(C91=1,(F91+K91+L91+Q91)/2*'Invoer gegevens (N)'!$I$36*'Reeksen (N)'!H91,0)</f>
        <v>0</v>
      </c>
      <c r="AV91" s="71">
        <v>0</v>
      </c>
      <c r="AW91" s="71">
        <f t="shared" ca="1" si="19"/>
        <v>0</v>
      </c>
      <c r="AX91" s="71">
        <f ca="1">IF(E91&lt;'Invoer gegevens (N)'!$C$17+15,0,IF(E91&gt;'Invoer gegevens (N)'!$C$17+215,0,AW91))</f>
        <v>0</v>
      </c>
      <c r="AY91" s="71">
        <f ca="1">AX91/(1+'Invoer gegevens (N)'!$F$18)^($AZ91-('Invoer gegevens (N)'!$C$17-'Invoer gegevens (N)'!$C$16))/(1+'Invoer gegevens (N)'!$C$39)^('Invoer gegevens (N)'!$C$17-'Invoer gegevens (N)'!$C$16)</f>
        <v>0</v>
      </c>
      <c r="AZ91" s="68">
        <f ca="1">IF(E91-'Invoer gegevens (N)'!$C$17-14.5&lt;0,0,E91-'Invoer gegevens (N)'!$C$17-14.5)</f>
        <v>71.5</v>
      </c>
    </row>
    <row r="92" spans="2:52" x14ac:dyDescent="0.25">
      <c r="B92" s="70">
        <f t="shared" si="20"/>
        <v>88</v>
      </c>
      <c r="C92" s="67">
        <f ca="1">IF(E92-'Invoer gegevens (N)'!$C$17&lt;0,0,1)</f>
        <v>1</v>
      </c>
      <c r="D92" s="68">
        <f t="shared" si="21"/>
        <v>87.5</v>
      </c>
      <c r="E92" s="108">
        <f ca="1">IF('Invoer gegevens (N)'!$C$16="","",E91+1)</f>
        <v>2106</v>
      </c>
      <c r="F92" s="84">
        <f ca="1">IF('Invoer gegevens (N)'!$C$17=E92,'Invoer gegevens (N)'!$C$10,IF(C92=1,K91,0))</f>
        <v>0</v>
      </c>
      <c r="G92" s="96">
        <f ca="1">IF(C92&gt;=1,F92*VLOOKUP(E92,'Reeksen (N)'!$A$5:$B$76,2),0)</f>
        <v>0</v>
      </c>
      <c r="H92" s="84">
        <f ca="1">(1-('Invoer gegevens (N)'!$F$20/12))*F92*MIN('Reeksen (N)'!B92,'Reeksen (N)'!D92)</f>
        <v>0</v>
      </c>
      <c r="I92" s="84">
        <f>IF('Reeksen (N)'!D92&lt;'Reeksen (N)'!B92,('Reeksen (N)'!B92-'Reeksen (N)'!D92)*F92,0)</f>
        <v>0</v>
      </c>
      <c r="J92" s="84">
        <f ca="1">('Invoer gegevens (N)'!$F$20/12)*F91*MIN('Reeksen (N)'!B91,'Reeksen (N)'!D91)</f>
        <v>0</v>
      </c>
      <c r="K92" s="97">
        <f t="shared" ca="1" si="12"/>
        <v>0</v>
      </c>
      <c r="L92" s="84">
        <f ca="1">IF('Invoer gegevens (N)'!$C$17=E92,0,IF(C92=1,Q91,0))</f>
        <v>0</v>
      </c>
      <c r="M92" s="96">
        <f ca="1">IF(C92&gt;=1,L92*VLOOKUP(E92,'Reeksen (N)'!$A$5:$B$76,2),0)</f>
        <v>0</v>
      </c>
      <c r="N92" s="84">
        <f ca="1">(1-('Invoer gegevens (N)'!$F$20/12))*L92*MIN('Reeksen (N)'!B92,'Reeksen (N)'!D92)</f>
        <v>0</v>
      </c>
      <c r="O92" s="84">
        <f>IF('Reeksen (N)'!D92&lt;'Reeksen (N)'!B92,('Reeksen (N)'!B92-'Reeksen (N)'!D92)*L92,0)</f>
        <v>0</v>
      </c>
      <c r="P92" s="84">
        <f ca="1">('Invoer gegevens (N)'!$F$20/12)*L91*MIN('Reeksen (N)'!B91,'Reeksen (N)'!D91)</f>
        <v>0</v>
      </c>
      <c r="Q92" s="84">
        <f t="shared" ca="1" si="13"/>
        <v>0</v>
      </c>
      <c r="R92" s="82">
        <f ca="1">IF('Invoer gegevens (N)'!$C$17=E92,'Invoer gegevens (N)'!$C$11,IF(C92=1,W91,0))</f>
        <v>0</v>
      </c>
      <c r="S92" s="86">
        <f ca="1">IF(C92&gt;=1,R92*VLOOKUP(E92,'Reeksen (N)'!$A$5:$B$76,2),0)</f>
        <v>0</v>
      </c>
      <c r="T92" s="84">
        <f ca="1">(1-('Invoer gegevens (N)'!$F$20/12))*R92*MIN('Reeksen (N)'!B92,'Reeksen (N)'!D92)</f>
        <v>0</v>
      </c>
      <c r="U92" s="84">
        <f>IF('Reeksen (N)'!D92&gt;='Reeksen (N)'!B92,0,IF('Reeksen (N)'!AK92&lt;='Reeksen (N)'!AE92,('Reeksen (N)'!B92-'Reeksen (N)'!D92)*R92,0))</f>
        <v>0</v>
      </c>
      <c r="V92" s="86">
        <f>IF('Reeksen (N)'!D92&gt;='Reeksen (N)'!B92,0,IF('Reeksen (N)'!AK92&gt;'Reeksen (N)'!AE92,('Reeksen (N)'!B92-'Reeksen (N)'!D92)*R92,0))</f>
        <v>0</v>
      </c>
      <c r="W92" s="97">
        <f t="shared" ca="1" si="14"/>
        <v>0</v>
      </c>
      <c r="X92" s="98">
        <f ca="1">IF('Invoer gegevens (N)'!$C$17=E92,'Invoer gegevens (N)'!$C$10-'Invoer gegevens (N)'!$C$11,IF(C92=1,AC91,0))</f>
        <v>0</v>
      </c>
      <c r="Y92" s="98">
        <f ca="1">IF(C92&gt;=1,X92*VLOOKUP(E92,'Reeksen (N)'!$A$5:$B$76,2),0)</f>
        <v>0</v>
      </c>
      <c r="Z92" s="98">
        <f ca="1">(1-('Invoer gegevens (N)'!$F$20/12))*X92*MIN('Reeksen (N)'!B92,'Reeksen (N)'!D92)</f>
        <v>0</v>
      </c>
      <c r="AA92" s="98">
        <f>IF('Reeksen (N)'!D92&gt;='Reeksen (N)'!B92,0,IF('Reeksen (N)'!AK92&lt;='Reeksen (N)'!AE92,('Reeksen (N)'!B92-'Reeksen (N)'!D92)*X92,0))</f>
        <v>0</v>
      </c>
      <c r="AB92" s="98">
        <f>IF('Reeksen (N)'!D92&gt;='Reeksen (N)'!B92,0,IF('Reeksen (N)'!AK92&gt;'Reeksen (N)'!AE92,('Reeksen (N)'!B92-'Reeksen (N)'!D92)*X92,0))</f>
        <v>0</v>
      </c>
      <c r="AC92" s="99">
        <f t="shared" ca="1" si="15"/>
        <v>0</v>
      </c>
      <c r="AD92" s="98">
        <f ca="1">IF('Invoer gegevens (N)'!$C$17=E92,R92,IF(C92=0,0,AE91))</f>
        <v>0</v>
      </c>
      <c r="AE92" s="98">
        <f t="shared" ca="1" si="16"/>
        <v>0</v>
      </c>
      <c r="AF92" s="98">
        <f ca="1">IF('Invoer gegevens (N)'!$C$17=E92,X92,IF(C92=0,0,AG91))</f>
        <v>0</v>
      </c>
      <c r="AG92" s="98">
        <f t="shared" ca="1" si="17"/>
        <v>0</v>
      </c>
      <c r="AH92" s="68"/>
      <c r="AI92" s="71">
        <f ca="1">IF(C92=1,'Reeksen (N)'!AJ92*((F92-G92+F92)/2)*12+'Reeksen (N)'!AK92*((L92-M92+L92)/2)*12,0)</f>
        <v>0</v>
      </c>
      <c r="AJ92" s="71">
        <f ca="1">-AI92*'Invoer gegevens (N)'!$F$28</f>
        <v>0</v>
      </c>
      <c r="AK92" s="71">
        <f t="shared" ca="1" si="11"/>
        <v>0</v>
      </c>
      <c r="AL92" s="71">
        <f ca="1">IF(C92=1,'Reeksen (N)'!AL92*((F92-G92+F92)/2)*12+'Reeksen (N)'!AM92*((L92-M92+L92)/2)*12,0)</f>
        <v>0</v>
      </c>
      <c r="AM92" s="71">
        <f ca="1">-AL92*'Invoer gegevens (N)'!$F$31</f>
        <v>0</v>
      </c>
      <c r="AN92" s="71">
        <f t="shared" ca="1" si="18"/>
        <v>0</v>
      </c>
      <c r="AO92" s="71">
        <f ca="1">IF(C92=1,(H92+J92+N92+P92)*'Reeksen (N)'!AN92,0)</f>
        <v>0</v>
      </c>
      <c r="AP92" s="71">
        <f ca="1">-IF(C92=1,(H92+J92+N92+P92)*'Hulp - basis'!$O$550*'Reeksen (N)'!H92,0)</f>
        <v>0</v>
      </c>
      <c r="AQ92" s="71">
        <f ca="1">-IF(C92=1,(F92+K92+L92+Q92)/2*'Invoer gegevens (N)'!$I$33*'Reeksen (N)'!J92,0)*2</f>
        <v>0</v>
      </c>
      <c r="AR92" s="71">
        <f ca="1">-IF(C92=1,(I92*'Invoer gegevens (N)'!$I$34)*'Reeksen (N)'!J92,0)</f>
        <v>0</v>
      </c>
      <c r="AS92" s="71">
        <f ca="1">-IF(C92=1,(F92+K92+L92+Q92)/2*'Invoer gegevens (N)'!$I$35*'Reeksen (N)'!L92,0)</f>
        <v>0</v>
      </c>
      <c r="AT92" s="71">
        <f ca="1">-IF(C92=1,IF(E92='Invoer gegevens (N)'!$C$17,'Invoer gegevens (N)'!$C$11,AD92)*'Reeksen (N)'!S92*'Invoer gegevens (N)'!$C$18*'Reeksen (N)'!P92,0)</f>
        <v>0</v>
      </c>
      <c r="AU92" s="71">
        <f ca="1">-IF(C92=1,(F92+K92+L92+Q92)/2*'Invoer gegevens (N)'!$I$36*'Reeksen (N)'!H92,0)</f>
        <v>0</v>
      </c>
      <c r="AV92" s="71">
        <v>0</v>
      </c>
      <c r="AW92" s="71">
        <f t="shared" ca="1" si="19"/>
        <v>0</v>
      </c>
      <c r="AX92" s="71">
        <f ca="1">IF(E92&lt;'Invoer gegevens (N)'!$C$17+15,0,IF(E92&gt;'Invoer gegevens (N)'!$C$17+215,0,AW92))</f>
        <v>0</v>
      </c>
      <c r="AY92" s="71">
        <f ca="1">AX92/(1+'Invoer gegevens (N)'!$F$18)^($AZ92-('Invoer gegevens (N)'!$C$17-'Invoer gegevens (N)'!$C$16))/(1+'Invoer gegevens (N)'!$C$39)^('Invoer gegevens (N)'!$C$17-'Invoer gegevens (N)'!$C$16)</f>
        <v>0</v>
      </c>
      <c r="AZ92" s="68">
        <f ca="1">IF(E92-'Invoer gegevens (N)'!$C$17-14.5&lt;0,0,E92-'Invoer gegevens (N)'!$C$17-14.5)</f>
        <v>72.5</v>
      </c>
    </row>
    <row r="93" spans="2:52" x14ac:dyDescent="0.25">
      <c r="B93" s="70">
        <f t="shared" si="20"/>
        <v>89</v>
      </c>
      <c r="C93" s="67">
        <f ca="1">IF(E93-'Invoer gegevens (N)'!$C$17&lt;0,0,1)</f>
        <v>1</v>
      </c>
      <c r="D93" s="68">
        <f t="shared" si="21"/>
        <v>88.5</v>
      </c>
      <c r="E93" s="108">
        <f ca="1">IF('Invoer gegevens (N)'!$C$16="","",E92+1)</f>
        <v>2107</v>
      </c>
      <c r="F93" s="84">
        <f ca="1">IF('Invoer gegevens (N)'!$C$17=E93,'Invoer gegevens (N)'!$C$10,IF(C93=1,K92,0))</f>
        <v>0</v>
      </c>
      <c r="G93" s="96">
        <f ca="1">IF(C93&gt;=1,F93*VLOOKUP(E93,'Reeksen (N)'!$A$5:$B$76,2),0)</f>
        <v>0</v>
      </c>
      <c r="H93" s="84">
        <f ca="1">(1-('Invoer gegevens (N)'!$F$20/12))*F93*MIN('Reeksen (N)'!B93,'Reeksen (N)'!D93)</f>
        <v>0</v>
      </c>
      <c r="I93" s="84">
        <f>IF('Reeksen (N)'!D93&lt;'Reeksen (N)'!B93,('Reeksen (N)'!B93-'Reeksen (N)'!D93)*F93,0)</f>
        <v>0</v>
      </c>
      <c r="J93" s="84">
        <f ca="1">('Invoer gegevens (N)'!$F$20/12)*F92*MIN('Reeksen (N)'!B92,'Reeksen (N)'!D92)</f>
        <v>0</v>
      </c>
      <c r="K93" s="97">
        <f t="shared" ca="1" si="12"/>
        <v>0</v>
      </c>
      <c r="L93" s="84">
        <f ca="1">IF('Invoer gegevens (N)'!$C$17=E93,0,IF(C93=1,Q92,0))</f>
        <v>0</v>
      </c>
      <c r="M93" s="96">
        <f ca="1">IF(C93&gt;=1,L93*VLOOKUP(E93,'Reeksen (N)'!$A$5:$B$76,2),0)</f>
        <v>0</v>
      </c>
      <c r="N93" s="84">
        <f ca="1">(1-('Invoer gegevens (N)'!$F$20/12))*L93*MIN('Reeksen (N)'!B93,'Reeksen (N)'!D93)</f>
        <v>0</v>
      </c>
      <c r="O93" s="84">
        <f>IF('Reeksen (N)'!D93&lt;'Reeksen (N)'!B93,('Reeksen (N)'!B93-'Reeksen (N)'!D93)*L93,0)</f>
        <v>0</v>
      </c>
      <c r="P93" s="84">
        <f ca="1">('Invoer gegevens (N)'!$F$20/12)*L92*MIN('Reeksen (N)'!B92,'Reeksen (N)'!D92)</f>
        <v>0</v>
      </c>
      <c r="Q93" s="84">
        <f t="shared" ca="1" si="13"/>
        <v>0</v>
      </c>
      <c r="R93" s="82">
        <f ca="1">IF('Invoer gegevens (N)'!$C$17=E93,'Invoer gegevens (N)'!$C$11,IF(C93=1,W92,0))</f>
        <v>0</v>
      </c>
      <c r="S93" s="86">
        <f ca="1">IF(C93&gt;=1,R93*VLOOKUP(E93,'Reeksen (N)'!$A$5:$B$76,2),0)</f>
        <v>0</v>
      </c>
      <c r="T93" s="84">
        <f ca="1">(1-('Invoer gegevens (N)'!$F$20/12))*R93*MIN('Reeksen (N)'!B93,'Reeksen (N)'!D93)</f>
        <v>0</v>
      </c>
      <c r="U93" s="84">
        <f>IF('Reeksen (N)'!D93&gt;='Reeksen (N)'!B93,0,IF('Reeksen (N)'!AK93&lt;='Reeksen (N)'!AE93,('Reeksen (N)'!B93-'Reeksen (N)'!D93)*R93,0))</f>
        <v>0</v>
      </c>
      <c r="V93" s="86">
        <f>IF('Reeksen (N)'!D93&gt;='Reeksen (N)'!B93,0,IF('Reeksen (N)'!AK93&gt;'Reeksen (N)'!AE93,('Reeksen (N)'!B93-'Reeksen (N)'!D93)*R93,0))</f>
        <v>0</v>
      </c>
      <c r="W93" s="97">
        <f t="shared" ca="1" si="14"/>
        <v>0</v>
      </c>
      <c r="X93" s="98">
        <f ca="1">IF('Invoer gegevens (N)'!$C$17=E93,'Invoer gegevens (N)'!$C$10-'Invoer gegevens (N)'!$C$11,IF(C93=1,AC92,0))</f>
        <v>0</v>
      </c>
      <c r="Y93" s="98">
        <f ca="1">IF(C93&gt;=1,X93*VLOOKUP(E93,'Reeksen (N)'!$A$5:$B$76,2),0)</f>
        <v>0</v>
      </c>
      <c r="Z93" s="98">
        <f ca="1">(1-('Invoer gegevens (N)'!$F$20/12))*X93*MIN('Reeksen (N)'!B93,'Reeksen (N)'!D93)</f>
        <v>0</v>
      </c>
      <c r="AA93" s="98">
        <f>IF('Reeksen (N)'!D93&gt;='Reeksen (N)'!B93,0,IF('Reeksen (N)'!AK93&lt;='Reeksen (N)'!AE93,('Reeksen (N)'!B93-'Reeksen (N)'!D93)*X93,0))</f>
        <v>0</v>
      </c>
      <c r="AB93" s="98">
        <f>IF('Reeksen (N)'!D93&gt;='Reeksen (N)'!B93,0,IF('Reeksen (N)'!AK93&gt;'Reeksen (N)'!AE93,('Reeksen (N)'!B93-'Reeksen (N)'!D93)*X93,0))</f>
        <v>0</v>
      </c>
      <c r="AC93" s="99">
        <f t="shared" ca="1" si="15"/>
        <v>0</v>
      </c>
      <c r="AD93" s="98">
        <f ca="1">IF('Invoer gegevens (N)'!$C$17=E93,R93,IF(C93=0,0,AE92))</f>
        <v>0</v>
      </c>
      <c r="AE93" s="98">
        <f t="shared" ca="1" si="16"/>
        <v>0</v>
      </c>
      <c r="AF93" s="98">
        <f ca="1">IF('Invoer gegevens (N)'!$C$17=E93,X93,IF(C93=0,0,AG92))</f>
        <v>0</v>
      </c>
      <c r="AG93" s="98">
        <f t="shared" ca="1" si="17"/>
        <v>0</v>
      </c>
      <c r="AH93" s="68"/>
      <c r="AI93" s="71">
        <f ca="1">IF(C93=1,'Reeksen (N)'!AJ93*((F93-G93+F93)/2)*12+'Reeksen (N)'!AK93*((L93-M93+L93)/2)*12,0)</f>
        <v>0</v>
      </c>
      <c r="AJ93" s="71">
        <f ca="1">-AI93*'Invoer gegevens (N)'!$F$28</f>
        <v>0</v>
      </c>
      <c r="AK93" s="71">
        <f t="shared" ca="1" si="11"/>
        <v>0</v>
      </c>
      <c r="AL93" s="71">
        <f ca="1">IF(C93=1,'Reeksen (N)'!AL93*((F93-G93+F93)/2)*12+'Reeksen (N)'!AM93*((L93-M93+L93)/2)*12,0)</f>
        <v>0</v>
      </c>
      <c r="AM93" s="71">
        <f ca="1">-AL93*'Invoer gegevens (N)'!$F$31</f>
        <v>0</v>
      </c>
      <c r="AN93" s="71">
        <f t="shared" ca="1" si="18"/>
        <v>0</v>
      </c>
      <c r="AO93" s="71">
        <f ca="1">IF(C93=1,(H93+J93+N93+P93)*'Reeksen (N)'!AN93,0)</f>
        <v>0</v>
      </c>
      <c r="AP93" s="71">
        <f ca="1">-IF(C93=1,(H93+J93+N93+P93)*'Hulp - basis'!$O$550*'Reeksen (N)'!H93,0)</f>
        <v>0</v>
      </c>
      <c r="AQ93" s="71">
        <f ca="1">-IF(C93=1,(F93+K93+L93+Q93)/2*'Invoer gegevens (N)'!$I$33*'Reeksen (N)'!J93,0)*2</f>
        <v>0</v>
      </c>
      <c r="AR93" s="71">
        <f ca="1">-IF(C93=1,(I93*'Invoer gegevens (N)'!$I$34)*'Reeksen (N)'!J93,0)</f>
        <v>0</v>
      </c>
      <c r="AS93" s="71">
        <f ca="1">-IF(C93=1,(F93+K93+L93+Q93)/2*'Invoer gegevens (N)'!$I$35*'Reeksen (N)'!L93,0)</f>
        <v>0</v>
      </c>
      <c r="AT93" s="71">
        <f ca="1">-IF(C93=1,IF(E93='Invoer gegevens (N)'!$C$17,'Invoer gegevens (N)'!$C$11,AD93)*'Reeksen (N)'!S93*'Invoer gegevens (N)'!$C$18*'Reeksen (N)'!P93,0)</f>
        <v>0</v>
      </c>
      <c r="AU93" s="71">
        <f ca="1">-IF(C93=1,(F93+K93+L93+Q93)/2*'Invoer gegevens (N)'!$I$36*'Reeksen (N)'!H93,0)</f>
        <v>0</v>
      </c>
      <c r="AV93" s="71">
        <v>0</v>
      </c>
      <c r="AW93" s="71">
        <f t="shared" ca="1" si="19"/>
        <v>0</v>
      </c>
      <c r="AX93" s="71">
        <f ca="1">IF(E93&lt;'Invoer gegevens (N)'!$C$17+15,0,IF(E93&gt;'Invoer gegevens (N)'!$C$17+215,0,AW93))</f>
        <v>0</v>
      </c>
      <c r="AY93" s="71">
        <f ca="1">AX93/(1+'Invoer gegevens (N)'!$F$18)^($AZ93-('Invoer gegevens (N)'!$C$17-'Invoer gegevens (N)'!$C$16))/(1+'Invoer gegevens (N)'!$C$39)^('Invoer gegevens (N)'!$C$17-'Invoer gegevens (N)'!$C$16)</f>
        <v>0</v>
      </c>
      <c r="AZ93" s="68">
        <f ca="1">IF(E93-'Invoer gegevens (N)'!$C$17-14.5&lt;0,0,E93-'Invoer gegevens (N)'!$C$17-14.5)</f>
        <v>73.5</v>
      </c>
    </row>
    <row r="94" spans="2:52" x14ac:dyDescent="0.25">
      <c r="B94" s="70">
        <f t="shared" si="20"/>
        <v>90</v>
      </c>
      <c r="C94" s="67">
        <f ca="1">IF(E94-'Invoer gegevens (N)'!$C$17&lt;0,0,1)</f>
        <v>1</v>
      </c>
      <c r="D94" s="68">
        <f t="shared" si="21"/>
        <v>89.5</v>
      </c>
      <c r="E94" s="108">
        <f ca="1">IF('Invoer gegevens (N)'!$C$16="","",E93+1)</f>
        <v>2108</v>
      </c>
      <c r="F94" s="84">
        <f ca="1">IF('Invoer gegevens (N)'!$C$17=E94,'Invoer gegevens (N)'!$C$10,IF(C94=1,K93,0))</f>
        <v>0</v>
      </c>
      <c r="G94" s="96">
        <f ca="1">IF(C94&gt;=1,F94*VLOOKUP(E94,'Reeksen (N)'!$A$5:$B$76,2),0)</f>
        <v>0</v>
      </c>
      <c r="H94" s="84">
        <f ca="1">(1-('Invoer gegevens (N)'!$F$20/12))*F94*MIN('Reeksen (N)'!B94,'Reeksen (N)'!D94)</f>
        <v>0</v>
      </c>
      <c r="I94" s="84">
        <f>IF('Reeksen (N)'!D94&lt;'Reeksen (N)'!B94,('Reeksen (N)'!B94-'Reeksen (N)'!D94)*F94,0)</f>
        <v>0</v>
      </c>
      <c r="J94" s="84">
        <f ca="1">('Invoer gegevens (N)'!$F$20/12)*F93*MIN('Reeksen (N)'!B93,'Reeksen (N)'!D93)</f>
        <v>0</v>
      </c>
      <c r="K94" s="97">
        <f t="shared" ca="1" si="12"/>
        <v>0</v>
      </c>
      <c r="L94" s="84">
        <f ca="1">IF('Invoer gegevens (N)'!$C$17=E94,0,IF(C94=1,Q93,0))</f>
        <v>0</v>
      </c>
      <c r="M94" s="96">
        <f ca="1">IF(C94&gt;=1,L94*VLOOKUP(E94,'Reeksen (N)'!$A$5:$B$76,2),0)</f>
        <v>0</v>
      </c>
      <c r="N94" s="84">
        <f ca="1">(1-('Invoer gegevens (N)'!$F$20/12))*L94*MIN('Reeksen (N)'!B94,'Reeksen (N)'!D94)</f>
        <v>0</v>
      </c>
      <c r="O94" s="84">
        <f>IF('Reeksen (N)'!D94&lt;'Reeksen (N)'!B94,('Reeksen (N)'!B94-'Reeksen (N)'!D94)*L94,0)</f>
        <v>0</v>
      </c>
      <c r="P94" s="84">
        <f ca="1">('Invoer gegevens (N)'!$F$20/12)*L93*MIN('Reeksen (N)'!B93,'Reeksen (N)'!D93)</f>
        <v>0</v>
      </c>
      <c r="Q94" s="84">
        <f t="shared" ca="1" si="13"/>
        <v>0</v>
      </c>
      <c r="R94" s="82">
        <f ca="1">IF('Invoer gegevens (N)'!$C$17=E94,'Invoer gegevens (N)'!$C$11,IF(C94=1,W93,0))</f>
        <v>0</v>
      </c>
      <c r="S94" s="86">
        <f ca="1">IF(C94&gt;=1,R94*VLOOKUP(E94,'Reeksen (N)'!$A$5:$B$76,2),0)</f>
        <v>0</v>
      </c>
      <c r="T94" s="84">
        <f ca="1">(1-('Invoer gegevens (N)'!$F$20/12))*R94*MIN('Reeksen (N)'!B94,'Reeksen (N)'!D94)</f>
        <v>0</v>
      </c>
      <c r="U94" s="84">
        <f>IF('Reeksen (N)'!D94&gt;='Reeksen (N)'!B94,0,IF('Reeksen (N)'!AK94&lt;='Reeksen (N)'!AE94,('Reeksen (N)'!B94-'Reeksen (N)'!D94)*R94,0))</f>
        <v>0</v>
      </c>
      <c r="V94" s="86">
        <f>IF('Reeksen (N)'!D94&gt;='Reeksen (N)'!B94,0,IF('Reeksen (N)'!AK94&gt;'Reeksen (N)'!AE94,('Reeksen (N)'!B94-'Reeksen (N)'!D94)*R94,0))</f>
        <v>0</v>
      </c>
      <c r="W94" s="97">
        <f t="shared" ca="1" si="14"/>
        <v>0</v>
      </c>
      <c r="X94" s="98">
        <f ca="1">IF('Invoer gegevens (N)'!$C$17=E94,'Invoer gegevens (N)'!$C$10-'Invoer gegevens (N)'!$C$11,IF(C94=1,AC93,0))</f>
        <v>0</v>
      </c>
      <c r="Y94" s="98">
        <f ca="1">IF(C94&gt;=1,X94*VLOOKUP(E94,'Reeksen (N)'!$A$5:$B$76,2),0)</f>
        <v>0</v>
      </c>
      <c r="Z94" s="98">
        <f ca="1">(1-('Invoer gegevens (N)'!$F$20/12))*X94*MIN('Reeksen (N)'!B94,'Reeksen (N)'!D94)</f>
        <v>0</v>
      </c>
      <c r="AA94" s="98">
        <f>IF('Reeksen (N)'!D94&gt;='Reeksen (N)'!B94,0,IF('Reeksen (N)'!AK94&lt;='Reeksen (N)'!AE94,('Reeksen (N)'!B94-'Reeksen (N)'!D94)*X94,0))</f>
        <v>0</v>
      </c>
      <c r="AB94" s="98">
        <f>IF('Reeksen (N)'!D94&gt;='Reeksen (N)'!B94,0,IF('Reeksen (N)'!AK94&gt;'Reeksen (N)'!AE94,('Reeksen (N)'!B94-'Reeksen (N)'!D94)*X94,0))</f>
        <v>0</v>
      </c>
      <c r="AC94" s="99">
        <f t="shared" ca="1" si="15"/>
        <v>0</v>
      </c>
      <c r="AD94" s="98">
        <f ca="1">IF('Invoer gegevens (N)'!$C$17=E94,R94,IF(C94=0,0,AE93))</f>
        <v>0</v>
      </c>
      <c r="AE94" s="98">
        <f t="shared" ca="1" si="16"/>
        <v>0</v>
      </c>
      <c r="AF94" s="98">
        <f ca="1">IF('Invoer gegevens (N)'!$C$17=E94,X94,IF(C94=0,0,AG93))</f>
        <v>0</v>
      </c>
      <c r="AG94" s="98">
        <f t="shared" ca="1" si="17"/>
        <v>0</v>
      </c>
      <c r="AH94" s="68"/>
      <c r="AI94" s="71">
        <f ca="1">IF(C94=1,'Reeksen (N)'!AJ94*((F94-G94+F94)/2)*12+'Reeksen (N)'!AK94*((L94-M94+L94)/2)*12,0)</f>
        <v>0</v>
      </c>
      <c r="AJ94" s="71">
        <f ca="1">-AI94*'Invoer gegevens (N)'!$F$28</f>
        <v>0</v>
      </c>
      <c r="AK94" s="71">
        <f t="shared" ca="1" si="11"/>
        <v>0</v>
      </c>
      <c r="AL94" s="71">
        <f ca="1">IF(C94=1,'Reeksen (N)'!AL94*((F94-G94+F94)/2)*12+'Reeksen (N)'!AM94*((L94-M94+L94)/2)*12,0)</f>
        <v>0</v>
      </c>
      <c r="AM94" s="71">
        <f ca="1">-AL94*'Invoer gegevens (N)'!$F$31</f>
        <v>0</v>
      </c>
      <c r="AN94" s="71">
        <f t="shared" ca="1" si="18"/>
        <v>0</v>
      </c>
      <c r="AO94" s="71">
        <f ca="1">IF(C94=1,(H94+J94+N94+P94)*'Reeksen (N)'!AN94,0)</f>
        <v>0</v>
      </c>
      <c r="AP94" s="71">
        <f ca="1">-IF(C94=1,(H94+J94+N94+P94)*'Hulp - basis'!$O$550*'Reeksen (N)'!H94,0)</f>
        <v>0</v>
      </c>
      <c r="AQ94" s="71">
        <f ca="1">-IF(C94=1,(F94+K94+L94+Q94)/2*'Invoer gegevens (N)'!$I$33*'Reeksen (N)'!J94,0)*2</f>
        <v>0</v>
      </c>
      <c r="AR94" s="71">
        <f ca="1">-IF(C94=1,(I94*'Invoer gegevens (N)'!$I$34)*'Reeksen (N)'!J94,0)</f>
        <v>0</v>
      </c>
      <c r="AS94" s="71">
        <f ca="1">-IF(C94=1,(F94+K94+L94+Q94)/2*'Invoer gegevens (N)'!$I$35*'Reeksen (N)'!L94,0)</f>
        <v>0</v>
      </c>
      <c r="AT94" s="71">
        <f ca="1">-IF(C94=1,IF(E94='Invoer gegevens (N)'!$C$17,'Invoer gegevens (N)'!$C$11,AD94)*'Reeksen (N)'!S94*'Invoer gegevens (N)'!$C$18*'Reeksen (N)'!P94,0)</f>
        <v>0</v>
      </c>
      <c r="AU94" s="71">
        <f ca="1">-IF(C94=1,(F94+K94+L94+Q94)/2*'Invoer gegevens (N)'!$I$36*'Reeksen (N)'!H94,0)</f>
        <v>0</v>
      </c>
      <c r="AV94" s="71">
        <v>0</v>
      </c>
      <c r="AW94" s="71">
        <f t="shared" ca="1" si="19"/>
        <v>0</v>
      </c>
      <c r="AX94" s="71">
        <f ca="1">IF(E94&lt;'Invoer gegevens (N)'!$C$17+15,0,IF(E94&gt;'Invoer gegevens (N)'!$C$17+215,0,AW94))</f>
        <v>0</v>
      </c>
      <c r="AY94" s="71">
        <f ca="1">AX94/(1+'Invoer gegevens (N)'!$F$18)^($AZ94-('Invoer gegevens (N)'!$C$17-'Invoer gegevens (N)'!$C$16))/(1+'Invoer gegevens (N)'!$C$39)^('Invoer gegevens (N)'!$C$17-'Invoer gegevens (N)'!$C$16)</f>
        <v>0</v>
      </c>
      <c r="AZ94" s="68">
        <f ca="1">IF(E94-'Invoer gegevens (N)'!$C$17-14.5&lt;0,0,E94-'Invoer gegevens (N)'!$C$17-14.5)</f>
        <v>74.5</v>
      </c>
    </row>
    <row r="95" spans="2:52" x14ac:dyDescent="0.25">
      <c r="B95" s="70">
        <f t="shared" si="20"/>
        <v>91</v>
      </c>
      <c r="C95" s="67">
        <f ca="1">IF(E95-'Invoer gegevens (N)'!$C$17&lt;0,0,1)</f>
        <v>1</v>
      </c>
      <c r="D95" s="68">
        <f t="shared" si="21"/>
        <v>90.5</v>
      </c>
      <c r="E95" s="108">
        <f ca="1">IF('Invoer gegevens (N)'!$C$16="","",E94+1)</f>
        <v>2109</v>
      </c>
      <c r="F95" s="84">
        <f ca="1">IF('Invoer gegevens (N)'!$C$17=E95,'Invoer gegevens (N)'!$C$10,IF(C95=1,K94,0))</f>
        <v>0</v>
      </c>
      <c r="G95" s="96">
        <f ca="1">IF(C95&gt;=1,F95*VLOOKUP(E95,'Reeksen (N)'!$A$5:$B$76,2),0)</f>
        <v>0</v>
      </c>
      <c r="H95" s="84">
        <f ca="1">(1-('Invoer gegevens (N)'!$F$20/12))*F95*MIN('Reeksen (N)'!B95,'Reeksen (N)'!D95)</f>
        <v>0</v>
      </c>
      <c r="I95" s="84">
        <f>IF('Reeksen (N)'!D95&lt;'Reeksen (N)'!B95,('Reeksen (N)'!B95-'Reeksen (N)'!D95)*F95,0)</f>
        <v>0</v>
      </c>
      <c r="J95" s="84">
        <f ca="1">('Invoer gegevens (N)'!$F$20/12)*F94*MIN('Reeksen (N)'!B94,'Reeksen (N)'!D94)</f>
        <v>0</v>
      </c>
      <c r="K95" s="97">
        <f t="shared" ca="1" si="12"/>
        <v>0</v>
      </c>
      <c r="L95" s="84">
        <f ca="1">IF('Invoer gegevens (N)'!$C$17=E95,0,IF(C95=1,Q94,0))</f>
        <v>0</v>
      </c>
      <c r="M95" s="96">
        <f ca="1">IF(C95&gt;=1,L95*VLOOKUP(E95,'Reeksen (N)'!$A$5:$B$76,2),0)</f>
        <v>0</v>
      </c>
      <c r="N95" s="84">
        <f ca="1">(1-('Invoer gegevens (N)'!$F$20/12))*L95*MIN('Reeksen (N)'!B95,'Reeksen (N)'!D95)</f>
        <v>0</v>
      </c>
      <c r="O95" s="84">
        <f>IF('Reeksen (N)'!D95&lt;'Reeksen (N)'!B95,('Reeksen (N)'!B95-'Reeksen (N)'!D95)*L95,0)</f>
        <v>0</v>
      </c>
      <c r="P95" s="84">
        <f ca="1">('Invoer gegevens (N)'!$F$20/12)*L94*MIN('Reeksen (N)'!B94,'Reeksen (N)'!D94)</f>
        <v>0</v>
      </c>
      <c r="Q95" s="84">
        <f t="shared" ca="1" si="13"/>
        <v>0</v>
      </c>
      <c r="R95" s="82">
        <f ca="1">IF('Invoer gegevens (N)'!$C$17=E95,'Invoer gegevens (N)'!$C$11,IF(C95=1,W94,0))</f>
        <v>0</v>
      </c>
      <c r="S95" s="86">
        <f ca="1">IF(C95&gt;=1,R95*VLOOKUP(E95,'Reeksen (N)'!$A$5:$B$76,2),0)</f>
        <v>0</v>
      </c>
      <c r="T95" s="84">
        <f ca="1">(1-('Invoer gegevens (N)'!$F$20/12))*R95*MIN('Reeksen (N)'!B95,'Reeksen (N)'!D95)</f>
        <v>0</v>
      </c>
      <c r="U95" s="84">
        <f>IF('Reeksen (N)'!D95&gt;='Reeksen (N)'!B95,0,IF('Reeksen (N)'!AK95&lt;='Reeksen (N)'!AE95,('Reeksen (N)'!B95-'Reeksen (N)'!D95)*R95,0))</f>
        <v>0</v>
      </c>
      <c r="V95" s="86">
        <f>IF('Reeksen (N)'!D95&gt;='Reeksen (N)'!B95,0,IF('Reeksen (N)'!AK95&gt;'Reeksen (N)'!AE95,('Reeksen (N)'!B95-'Reeksen (N)'!D95)*R95,0))</f>
        <v>0</v>
      </c>
      <c r="W95" s="97">
        <f t="shared" ca="1" si="14"/>
        <v>0</v>
      </c>
      <c r="X95" s="98">
        <f ca="1">IF('Invoer gegevens (N)'!$C$17=E95,'Invoer gegevens (N)'!$C$10-'Invoer gegevens (N)'!$C$11,IF(C95=1,AC94,0))</f>
        <v>0</v>
      </c>
      <c r="Y95" s="98">
        <f ca="1">IF(C95&gt;=1,X95*VLOOKUP(E95,'Reeksen (N)'!$A$5:$B$76,2),0)</f>
        <v>0</v>
      </c>
      <c r="Z95" s="98">
        <f ca="1">(1-('Invoer gegevens (N)'!$F$20/12))*X95*MIN('Reeksen (N)'!B95,'Reeksen (N)'!D95)</f>
        <v>0</v>
      </c>
      <c r="AA95" s="98">
        <f>IF('Reeksen (N)'!D95&gt;='Reeksen (N)'!B95,0,IF('Reeksen (N)'!AK95&lt;='Reeksen (N)'!AE95,('Reeksen (N)'!B95-'Reeksen (N)'!D95)*X95,0))</f>
        <v>0</v>
      </c>
      <c r="AB95" s="98">
        <f>IF('Reeksen (N)'!D95&gt;='Reeksen (N)'!B95,0,IF('Reeksen (N)'!AK95&gt;'Reeksen (N)'!AE95,('Reeksen (N)'!B95-'Reeksen (N)'!D95)*X95,0))</f>
        <v>0</v>
      </c>
      <c r="AC95" s="99">
        <f t="shared" ca="1" si="15"/>
        <v>0</v>
      </c>
      <c r="AD95" s="98">
        <f ca="1">IF('Invoer gegevens (N)'!$C$17=E95,R95,IF(C95=0,0,AE94))</f>
        <v>0</v>
      </c>
      <c r="AE95" s="98">
        <f t="shared" ca="1" si="16"/>
        <v>0</v>
      </c>
      <c r="AF95" s="98">
        <f ca="1">IF('Invoer gegevens (N)'!$C$17=E95,X95,IF(C95=0,0,AG94))</f>
        <v>0</v>
      </c>
      <c r="AG95" s="98">
        <f t="shared" ca="1" si="17"/>
        <v>0</v>
      </c>
      <c r="AH95" s="68"/>
      <c r="AI95" s="71">
        <f ca="1">IF(C95=1,'Reeksen (N)'!AJ95*((F95-G95+F95)/2)*12+'Reeksen (N)'!AK95*((L95-M95+L95)/2)*12,0)</f>
        <v>0</v>
      </c>
      <c r="AJ95" s="71">
        <f ca="1">-AI95*'Invoer gegevens (N)'!$F$28</f>
        <v>0</v>
      </c>
      <c r="AK95" s="71">
        <f t="shared" ca="1" si="11"/>
        <v>0</v>
      </c>
      <c r="AL95" s="71">
        <f ca="1">IF(C95=1,'Reeksen (N)'!AL95*((F95-G95+F95)/2)*12+'Reeksen (N)'!AM95*((L95-M95+L95)/2)*12,0)</f>
        <v>0</v>
      </c>
      <c r="AM95" s="71">
        <f ca="1">-AL95*'Invoer gegevens (N)'!$F$31</f>
        <v>0</v>
      </c>
      <c r="AN95" s="71">
        <f t="shared" ca="1" si="18"/>
        <v>0</v>
      </c>
      <c r="AO95" s="71">
        <f ca="1">IF(C95=1,(H95+J95+N95+P95)*'Reeksen (N)'!AN95,0)</f>
        <v>0</v>
      </c>
      <c r="AP95" s="71">
        <f ca="1">-IF(C95=1,(H95+J95+N95+P95)*'Hulp - basis'!$O$550*'Reeksen (N)'!H95,0)</f>
        <v>0</v>
      </c>
      <c r="AQ95" s="71">
        <f ca="1">-IF(C95=1,(F95+K95+L95+Q95)/2*'Invoer gegevens (N)'!$I$33*'Reeksen (N)'!J95,0)*2</f>
        <v>0</v>
      </c>
      <c r="AR95" s="71">
        <f ca="1">-IF(C95=1,(I95*'Invoer gegevens (N)'!$I$34)*'Reeksen (N)'!J95,0)</f>
        <v>0</v>
      </c>
      <c r="AS95" s="71">
        <f ca="1">-IF(C95=1,(F95+K95+L95+Q95)/2*'Invoer gegevens (N)'!$I$35*'Reeksen (N)'!L95,0)</f>
        <v>0</v>
      </c>
      <c r="AT95" s="71">
        <f ca="1">-IF(C95=1,IF(E95='Invoer gegevens (N)'!$C$17,'Invoer gegevens (N)'!$C$11,AD95)*'Reeksen (N)'!S95*'Invoer gegevens (N)'!$C$18*'Reeksen (N)'!P95,0)</f>
        <v>0</v>
      </c>
      <c r="AU95" s="71">
        <f ca="1">-IF(C95=1,(F95+K95+L95+Q95)/2*'Invoer gegevens (N)'!$I$36*'Reeksen (N)'!H95,0)</f>
        <v>0</v>
      </c>
      <c r="AV95" s="71">
        <v>0</v>
      </c>
      <c r="AW95" s="71">
        <f t="shared" ca="1" si="19"/>
        <v>0</v>
      </c>
      <c r="AX95" s="71">
        <f ca="1">IF(E95&lt;'Invoer gegevens (N)'!$C$17+15,0,IF(E95&gt;'Invoer gegevens (N)'!$C$17+215,0,AW95))</f>
        <v>0</v>
      </c>
      <c r="AY95" s="71">
        <f ca="1">AX95/(1+'Invoer gegevens (N)'!$F$18)^($AZ95-('Invoer gegevens (N)'!$C$17-'Invoer gegevens (N)'!$C$16))/(1+'Invoer gegevens (N)'!$C$39)^('Invoer gegevens (N)'!$C$17-'Invoer gegevens (N)'!$C$16)</f>
        <v>0</v>
      </c>
      <c r="AZ95" s="68">
        <f ca="1">IF(E95-'Invoer gegevens (N)'!$C$17-14.5&lt;0,0,E95-'Invoer gegevens (N)'!$C$17-14.5)</f>
        <v>75.5</v>
      </c>
    </row>
    <row r="96" spans="2:52" x14ac:dyDescent="0.25">
      <c r="B96" s="70">
        <f t="shared" si="20"/>
        <v>92</v>
      </c>
      <c r="C96" s="67">
        <f ca="1">IF(E96-'Invoer gegevens (N)'!$C$17&lt;0,0,1)</f>
        <v>1</v>
      </c>
      <c r="D96" s="68">
        <f t="shared" si="21"/>
        <v>91.5</v>
      </c>
      <c r="E96" s="108">
        <f ca="1">IF('Invoer gegevens (N)'!$C$16="","",E95+1)</f>
        <v>2110</v>
      </c>
      <c r="F96" s="84">
        <f ca="1">IF('Invoer gegevens (N)'!$C$17=E96,'Invoer gegevens (N)'!$C$10,IF(C96=1,K95,0))</f>
        <v>0</v>
      </c>
      <c r="G96" s="96">
        <f ca="1">IF(C96&gt;=1,F96*VLOOKUP(E96,'Reeksen (N)'!$A$5:$B$76,2),0)</f>
        <v>0</v>
      </c>
      <c r="H96" s="84">
        <f ca="1">(1-('Invoer gegevens (N)'!$F$20/12))*F96*MIN('Reeksen (N)'!B96,'Reeksen (N)'!D96)</f>
        <v>0</v>
      </c>
      <c r="I96" s="84">
        <f>IF('Reeksen (N)'!D96&lt;'Reeksen (N)'!B96,('Reeksen (N)'!B96-'Reeksen (N)'!D96)*F96,0)</f>
        <v>0</v>
      </c>
      <c r="J96" s="84">
        <f ca="1">('Invoer gegevens (N)'!$F$20/12)*F95*MIN('Reeksen (N)'!B95,'Reeksen (N)'!D95)</f>
        <v>0</v>
      </c>
      <c r="K96" s="97">
        <f t="shared" ca="1" si="12"/>
        <v>0</v>
      </c>
      <c r="L96" s="84">
        <f ca="1">IF('Invoer gegevens (N)'!$C$17=E96,0,IF(C96=1,Q95,0))</f>
        <v>0</v>
      </c>
      <c r="M96" s="96">
        <f ca="1">IF(C96&gt;=1,L96*VLOOKUP(E96,'Reeksen (N)'!$A$5:$B$76,2),0)</f>
        <v>0</v>
      </c>
      <c r="N96" s="84">
        <f ca="1">(1-('Invoer gegevens (N)'!$F$20/12))*L96*MIN('Reeksen (N)'!B96,'Reeksen (N)'!D96)</f>
        <v>0</v>
      </c>
      <c r="O96" s="84">
        <f>IF('Reeksen (N)'!D96&lt;'Reeksen (N)'!B96,('Reeksen (N)'!B96-'Reeksen (N)'!D96)*L96,0)</f>
        <v>0</v>
      </c>
      <c r="P96" s="84">
        <f ca="1">('Invoer gegevens (N)'!$F$20/12)*L95*MIN('Reeksen (N)'!B95,'Reeksen (N)'!D95)</f>
        <v>0</v>
      </c>
      <c r="Q96" s="84">
        <f t="shared" ca="1" si="13"/>
        <v>0</v>
      </c>
      <c r="R96" s="82">
        <f ca="1">IF('Invoer gegevens (N)'!$C$17=E96,'Invoer gegevens (N)'!$C$11,IF(C96=1,W95,0))</f>
        <v>0</v>
      </c>
      <c r="S96" s="86">
        <f ca="1">IF(C96&gt;=1,R96*VLOOKUP(E96,'Reeksen (N)'!$A$5:$B$76,2),0)</f>
        <v>0</v>
      </c>
      <c r="T96" s="84">
        <f ca="1">(1-('Invoer gegevens (N)'!$F$20/12))*R96*MIN('Reeksen (N)'!B96,'Reeksen (N)'!D96)</f>
        <v>0</v>
      </c>
      <c r="U96" s="84">
        <f>IF('Reeksen (N)'!D96&gt;='Reeksen (N)'!B96,0,IF('Reeksen (N)'!AK96&lt;='Reeksen (N)'!AE96,('Reeksen (N)'!B96-'Reeksen (N)'!D96)*R96,0))</f>
        <v>0</v>
      </c>
      <c r="V96" s="86">
        <f>IF('Reeksen (N)'!D96&gt;='Reeksen (N)'!B96,0,IF('Reeksen (N)'!AK96&gt;'Reeksen (N)'!AE96,('Reeksen (N)'!B96-'Reeksen (N)'!D96)*R96,0))</f>
        <v>0</v>
      </c>
      <c r="W96" s="97">
        <f t="shared" ca="1" si="14"/>
        <v>0</v>
      </c>
      <c r="X96" s="98">
        <f ca="1">IF('Invoer gegevens (N)'!$C$17=E96,'Invoer gegevens (N)'!$C$10-'Invoer gegevens (N)'!$C$11,IF(C96=1,AC95,0))</f>
        <v>0</v>
      </c>
      <c r="Y96" s="98">
        <f ca="1">IF(C96&gt;=1,X96*VLOOKUP(E96,'Reeksen (N)'!$A$5:$B$76,2),0)</f>
        <v>0</v>
      </c>
      <c r="Z96" s="98">
        <f ca="1">(1-('Invoer gegevens (N)'!$F$20/12))*X96*MIN('Reeksen (N)'!B96,'Reeksen (N)'!D96)</f>
        <v>0</v>
      </c>
      <c r="AA96" s="98">
        <f>IF('Reeksen (N)'!D96&gt;='Reeksen (N)'!B96,0,IF('Reeksen (N)'!AK96&lt;='Reeksen (N)'!AE96,('Reeksen (N)'!B96-'Reeksen (N)'!D96)*X96,0))</f>
        <v>0</v>
      </c>
      <c r="AB96" s="98">
        <f>IF('Reeksen (N)'!D96&gt;='Reeksen (N)'!B96,0,IF('Reeksen (N)'!AK96&gt;'Reeksen (N)'!AE96,('Reeksen (N)'!B96-'Reeksen (N)'!D96)*X96,0))</f>
        <v>0</v>
      </c>
      <c r="AC96" s="99">
        <f t="shared" ca="1" si="15"/>
        <v>0</v>
      </c>
      <c r="AD96" s="98">
        <f ca="1">IF('Invoer gegevens (N)'!$C$17=E96,R96,IF(C96=0,0,AE95))</f>
        <v>0</v>
      </c>
      <c r="AE96" s="98">
        <f t="shared" ca="1" si="16"/>
        <v>0</v>
      </c>
      <c r="AF96" s="98">
        <f ca="1">IF('Invoer gegevens (N)'!$C$17=E96,X96,IF(C96=0,0,AG95))</f>
        <v>0</v>
      </c>
      <c r="AG96" s="98">
        <f t="shared" ca="1" si="17"/>
        <v>0</v>
      </c>
      <c r="AH96" s="68"/>
      <c r="AI96" s="71">
        <f ca="1">IF(C96=1,'Reeksen (N)'!AJ96*((F96-G96+F96)/2)*12+'Reeksen (N)'!AK96*((L96-M96+L96)/2)*12,0)</f>
        <v>0</v>
      </c>
      <c r="AJ96" s="71">
        <f ca="1">-AI96*'Invoer gegevens (N)'!$F$28</f>
        <v>0</v>
      </c>
      <c r="AK96" s="71">
        <f t="shared" ca="1" si="11"/>
        <v>0</v>
      </c>
      <c r="AL96" s="71">
        <f ca="1">IF(C96=1,'Reeksen (N)'!AL96*((F96-G96+F96)/2)*12+'Reeksen (N)'!AM96*((L96-M96+L96)/2)*12,0)</f>
        <v>0</v>
      </c>
      <c r="AM96" s="71">
        <f ca="1">-AL96*'Invoer gegevens (N)'!$F$31</f>
        <v>0</v>
      </c>
      <c r="AN96" s="71">
        <f t="shared" ca="1" si="18"/>
        <v>0</v>
      </c>
      <c r="AO96" s="71">
        <f ca="1">IF(C96=1,(H96+J96+N96+P96)*'Reeksen (N)'!AN96,0)</f>
        <v>0</v>
      </c>
      <c r="AP96" s="71">
        <f ca="1">-IF(C96=1,(H96+J96+N96+P96)*'Hulp - basis'!$O$550*'Reeksen (N)'!H96,0)</f>
        <v>0</v>
      </c>
      <c r="AQ96" s="71">
        <f ca="1">-IF(C96=1,(F96+K96+L96+Q96)/2*'Invoer gegevens (N)'!$I$33*'Reeksen (N)'!J96,0)*2</f>
        <v>0</v>
      </c>
      <c r="AR96" s="71">
        <f ca="1">-IF(C96=1,(I96*'Invoer gegevens (N)'!$I$34)*'Reeksen (N)'!J96,0)</f>
        <v>0</v>
      </c>
      <c r="AS96" s="71">
        <f ca="1">-IF(C96=1,(F96+K96+L96+Q96)/2*'Invoer gegevens (N)'!$I$35*'Reeksen (N)'!L96,0)</f>
        <v>0</v>
      </c>
      <c r="AT96" s="71">
        <f ca="1">-IF(C96=1,IF(E96='Invoer gegevens (N)'!$C$17,'Invoer gegevens (N)'!$C$11,AD96)*'Reeksen (N)'!S96*'Invoer gegevens (N)'!$C$18*'Reeksen (N)'!P96,0)</f>
        <v>0</v>
      </c>
      <c r="AU96" s="71">
        <f ca="1">-IF(C96=1,(F96+K96+L96+Q96)/2*'Invoer gegevens (N)'!$I$36*'Reeksen (N)'!H96,0)</f>
        <v>0</v>
      </c>
      <c r="AV96" s="71">
        <v>0</v>
      </c>
      <c r="AW96" s="71">
        <f t="shared" ca="1" si="19"/>
        <v>0</v>
      </c>
      <c r="AX96" s="71">
        <f ca="1">IF(E96&lt;'Invoer gegevens (N)'!$C$17+15,0,IF(E96&gt;'Invoer gegevens (N)'!$C$17+215,0,AW96))</f>
        <v>0</v>
      </c>
      <c r="AY96" s="71">
        <f ca="1">AX96/(1+'Invoer gegevens (N)'!$F$18)^($AZ96-('Invoer gegevens (N)'!$C$17-'Invoer gegevens (N)'!$C$16))/(1+'Invoer gegevens (N)'!$C$39)^('Invoer gegevens (N)'!$C$17-'Invoer gegevens (N)'!$C$16)</f>
        <v>0</v>
      </c>
      <c r="AZ96" s="68">
        <f ca="1">IF(E96-'Invoer gegevens (N)'!$C$17-14.5&lt;0,0,E96-'Invoer gegevens (N)'!$C$17-14.5)</f>
        <v>76.5</v>
      </c>
    </row>
    <row r="97" spans="2:52" x14ac:dyDescent="0.25">
      <c r="B97" s="70">
        <f t="shared" si="20"/>
        <v>93</v>
      </c>
      <c r="C97" s="67">
        <f ca="1">IF(E97-'Invoer gegevens (N)'!$C$17&lt;0,0,1)</f>
        <v>1</v>
      </c>
      <c r="D97" s="68">
        <f t="shared" si="21"/>
        <v>92.5</v>
      </c>
      <c r="E97" s="108">
        <f ca="1">IF('Invoer gegevens (N)'!$C$16="","",E96+1)</f>
        <v>2111</v>
      </c>
      <c r="F97" s="84">
        <f ca="1">IF('Invoer gegevens (N)'!$C$17=E97,'Invoer gegevens (N)'!$C$10,IF(C97=1,K96,0))</f>
        <v>0</v>
      </c>
      <c r="G97" s="96">
        <f ca="1">IF(C97&gt;=1,F97*VLOOKUP(E97,'Reeksen (N)'!$A$5:$B$76,2),0)</f>
        <v>0</v>
      </c>
      <c r="H97" s="84">
        <f ca="1">(1-('Invoer gegevens (N)'!$F$20/12))*F97*MIN('Reeksen (N)'!B97,'Reeksen (N)'!D97)</f>
        <v>0</v>
      </c>
      <c r="I97" s="84">
        <f>IF('Reeksen (N)'!D97&lt;'Reeksen (N)'!B97,('Reeksen (N)'!B97-'Reeksen (N)'!D97)*F97,0)</f>
        <v>0</v>
      </c>
      <c r="J97" s="84">
        <f ca="1">('Invoer gegevens (N)'!$F$20/12)*F96*MIN('Reeksen (N)'!B96,'Reeksen (N)'!D96)</f>
        <v>0</v>
      </c>
      <c r="K97" s="97">
        <f t="shared" ca="1" si="12"/>
        <v>0</v>
      </c>
      <c r="L97" s="84">
        <f ca="1">IF('Invoer gegevens (N)'!$C$17=E97,0,IF(C97=1,Q96,0))</f>
        <v>0</v>
      </c>
      <c r="M97" s="96">
        <f ca="1">IF(C97&gt;=1,L97*VLOOKUP(E97,'Reeksen (N)'!$A$5:$B$76,2),0)</f>
        <v>0</v>
      </c>
      <c r="N97" s="84">
        <f ca="1">(1-('Invoer gegevens (N)'!$F$20/12))*L97*MIN('Reeksen (N)'!B97,'Reeksen (N)'!D97)</f>
        <v>0</v>
      </c>
      <c r="O97" s="84">
        <f>IF('Reeksen (N)'!D97&lt;'Reeksen (N)'!B97,('Reeksen (N)'!B97-'Reeksen (N)'!D97)*L97,0)</f>
        <v>0</v>
      </c>
      <c r="P97" s="84">
        <f ca="1">('Invoer gegevens (N)'!$F$20/12)*L96*MIN('Reeksen (N)'!B96,'Reeksen (N)'!D96)</f>
        <v>0</v>
      </c>
      <c r="Q97" s="84">
        <f t="shared" ca="1" si="13"/>
        <v>0</v>
      </c>
      <c r="R97" s="82">
        <f ca="1">IF('Invoer gegevens (N)'!$C$17=E97,'Invoer gegevens (N)'!$C$11,IF(C97=1,W96,0))</f>
        <v>0</v>
      </c>
      <c r="S97" s="86">
        <f ca="1">IF(C97&gt;=1,R97*VLOOKUP(E97,'Reeksen (N)'!$A$5:$B$76,2),0)</f>
        <v>0</v>
      </c>
      <c r="T97" s="84">
        <f ca="1">(1-('Invoer gegevens (N)'!$F$20/12))*R97*MIN('Reeksen (N)'!B97,'Reeksen (N)'!D97)</f>
        <v>0</v>
      </c>
      <c r="U97" s="84">
        <f>IF('Reeksen (N)'!D97&gt;='Reeksen (N)'!B97,0,IF('Reeksen (N)'!AK97&lt;='Reeksen (N)'!AE97,('Reeksen (N)'!B97-'Reeksen (N)'!D97)*R97,0))</f>
        <v>0</v>
      </c>
      <c r="V97" s="86">
        <f>IF('Reeksen (N)'!D97&gt;='Reeksen (N)'!B97,0,IF('Reeksen (N)'!AK97&gt;'Reeksen (N)'!AE97,('Reeksen (N)'!B97-'Reeksen (N)'!D97)*R97,0))</f>
        <v>0</v>
      </c>
      <c r="W97" s="97">
        <f t="shared" ca="1" si="14"/>
        <v>0</v>
      </c>
      <c r="X97" s="98">
        <f ca="1">IF('Invoer gegevens (N)'!$C$17=E97,'Invoer gegevens (N)'!$C$10-'Invoer gegevens (N)'!$C$11,IF(C97=1,AC96,0))</f>
        <v>0</v>
      </c>
      <c r="Y97" s="98">
        <f ca="1">IF(C97&gt;=1,X97*VLOOKUP(E97,'Reeksen (N)'!$A$5:$B$76,2),0)</f>
        <v>0</v>
      </c>
      <c r="Z97" s="98">
        <f ca="1">(1-('Invoer gegevens (N)'!$F$20/12))*X97*MIN('Reeksen (N)'!B97,'Reeksen (N)'!D97)</f>
        <v>0</v>
      </c>
      <c r="AA97" s="98">
        <f>IF('Reeksen (N)'!D97&gt;='Reeksen (N)'!B97,0,IF('Reeksen (N)'!AK97&lt;='Reeksen (N)'!AE97,('Reeksen (N)'!B97-'Reeksen (N)'!D97)*X97,0))</f>
        <v>0</v>
      </c>
      <c r="AB97" s="98">
        <f>IF('Reeksen (N)'!D97&gt;='Reeksen (N)'!B97,0,IF('Reeksen (N)'!AK97&gt;'Reeksen (N)'!AE97,('Reeksen (N)'!B97-'Reeksen (N)'!D97)*X97,0))</f>
        <v>0</v>
      </c>
      <c r="AC97" s="99">
        <f t="shared" ca="1" si="15"/>
        <v>0</v>
      </c>
      <c r="AD97" s="98">
        <f ca="1">IF('Invoer gegevens (N)'!$C$17=E97,R97,IF(C97=0,0,AE96))</f>
        <v>0</v>
      </c>
      <c r="AE97" s="98">
        <f t="shared" ca="1" si="16"/>
        <v>0</v>
      </c>
      <c r="AF97" s="98">
        <f ca="1">IF('Invoer gegevens (N)'!$C$17=E97,X97,IF(C97=0,0,AG96))</f>
        <v>0</v>
      </c>
      <c r="AG97" s="98">
        <f t="shared" ca="1" si="17"/>
        <v>0</v>
      </c>
      <c r="AH97" s="68"/>
      <c r="AI97" s="71">
        <f ca="1">IF(C97=1,'Reeksen (N)'!AJ97*((F97-G97+F97)/2)*12+'Reeksen (N)'!AK97*((L97-M97+L97)/2)*12,0)</f>
        <v>0</v>
      </c>
      <c r="AJ97" s="71">
        <f ca="1">-AI97*'Invoer gegevens (N)'!$F$28</f>
        <v>0</v>
      </c>
      <c r="AK97" s="71">
        <f t="shared" ca="1" si="11"/>
        <v>0</v>
      </c>
      <c r="AL97" s="71">
        <f ca="1">IF(C97=1,'Reeksen (N)'!AL97*((F97-G97+F97)/2)*12+'Reeksen (N)'!AM97*((L97-M97+L97)/2)*12,0)</f>
        <v>0</v>
      </c>
      <c r="AM97" s="71">
        <f ca="1">-AL97*'Invoer gegevens (N)'!$F$31</f>
        <v>0</v>
      </c>
      <c r="AN97" s="71">
        <f t="shared" ca="1" si="18"/>
        <v>0</v>
      </c>
      <c r="AO97" s="71">
        <f ca="1">IF(C97=1,(H97+J97+N97+P97)*'Reeksen (N)'!AN97,0)</f>
        <v>0</v>
      </c>
      <c r="AP97" s="71">
        <f ca="1">-IF(C97=1,(H97+J97+N97+P97)*'Hulp - basis'!$O$550*'Reeksen (N)'!H97,0)</f>
        <v>0</v>
      </c>
      <c r="AQ97" s="71">
        <f ca="1">-IF(C97=1,(F97+K97+L97+Q97)/2*'Invoer gegevens (N)'!$I$33*'Reeksen (N)'!J97,0)*2</f>
        <v>0</v>
      </c>
      <c r="AR97" s="71">
        <f ca="1">-IF(C97=1,(I97*'Invoer gegevens (N)'!$I$34)*'Reeksen (N)'!J97,0)</f>
        <v>0</v>
      </c>
      <c r="AS97" s="71">
        <f ca="1">-IF(C97=1,(F97+K97+L97+Q97)/2*'Invoer gegevens (N)'!$I$35*'Reeksen (N)'!L97,0)</f>
        <v>0</v>
      </c>
      <c r="AT97" s="71">
        <f ca="1">-IF(C97=1,IF(E97='Invoer gegevens (N)'!$C$17,'Invoer gegevens (N)'!$C$11,AD97)*'Reeksen (N)'!S97*'Invoer gegevens (N)'!$C$18*'Reeksen (N)'!P97,0)</f>
        <v>0</v>
      </c>
      <c r="AU97" s="71">
        <f ca="1">-IF(C97=1,(F97+K97+L97+Q97)/2*'Invoer gegevens (N)'!$I$36*'Reeksen (N)'!H97,0)</f>
        <v>0</v>
      </c>
      <c r="AV97" s="71">
        <v>0</v>
      </c>
      <c r="AW97" s="71">
        <f t="shared" ca="1" si="19"/>
        <v>0</v>
      </c>
      <c r="AX97" s="71">
        <f ca="1">IF(E97&lt;'Invoer gegevens (N)'!$C$17+15,0,IF(E97&gt;'Invoer gegevens (N)'!$C$17+215,0,AW97))</f>
        <v>0</v>
      </c>
      <c r="AY97" s="71">
        <f ca="1">AX97/(1+'Invoer gegevens (N)'!$F$18)^($AZ97-('Invoer gegevens (N)'!$C$17-'Invoer gegevens (N)'!$C$16))/(1+'Invoer gegevens (N)'!$C$39)^('Invoer gegevens (N)'!$C$17-'Invoer gegevens (N)'!$C$16)</f>
        <v>0</v>
      </c>
      <c r="AZ97" s="68">
        <f ca="1">IF(E97-'Invoer gegevens (N)'!$C$17-14.5&lt;0,0,E97-'Invoer gegevens (N)'!$C$17-14.5)</f>
        <v>77.5</v>
      </c>
    </row>
    <row r="98" spans="2:52" x14ac:dyDescent="0.25">
      <c r="B98" s="70">
        <f t="shared" si="20"/>
        <v>94</v>
      </c>
      <c r="C98" s="67">
        <f ca="1">IF(E98-'Invoer gegevens (N)'!$C$17&lt;0,0,1)</f>
        <v>1</v>
      </c>
      <c r="D98" s="68">
        <f t="shared" si="21"/>
        <v>93.5</v>
      </c>
      <c r="E98" s="108">
        <f ca="1">IF('Invoer gegevens (N)'!$C$16="","",E97+1)</f>
        <v>2112</v>
      </c>
      <c r="F98" s="84">
        <f ca="1">IF('Invoer gegevens (N)'!$C$17=E98,'Invoer gegevens (N)'!$C$10,IF(C98=1,K97,0))</f>
        <v>0</v>
      </c>
      <c r="G98" s="96">
        <f ca="1">IF(C98&gt;=1,F98*VLOOKUP(E98,'Reeksen (N)'!$A$5:$B$76,2),0)</f>
        <v>0</v>
      </c>
      <c r="H98" s="84">
        <f ca="1">(1-('Invoer gegevens (N)'!$F$20/12))*F98*MIN('Reeksen (N)'!B98,'Reeksen (N)'!D98)</f>
        <v>0</v>
      </c>
      <c r="I98" s="84">
        <f>IF('Reeksen (N)'!D98&lt;'Reeksen (N)'!B98,('Reeksen (N)'!B98-'Reeksen (N)'!D98)*F98,0)</f>
        <v>0</v>
      </c>
      <c r="J98" s="84">
        <f ca="1">('Invoer gegevens (N)'!$F$20/12)*F97*MIN('Reeksen (N)'!B97,'Reeksen (N)'!D97)</f>
        <v>0</v>
      </c>
      <c r="K98" s="97">
        <f t="shared" ca="1" si="12"/>
        <v>0</v>
      </c>
      <c r="L98" s="84">
        <f ca="1">IF('Invoer gegevens (N)'!$C$17=E98,0,IF(C98=1,Q97,0))</f>
        <v>0</v>
      </c>
      <c r="M98" s="96">
        <f ca="1">IF(C98&gt;=1,L98*VLOOKUP(E98,'Reeksen (N)'!$A$5:$B$76,2),0)</f>
        <v>0</v>
      </c>
      <c r="N98" s="84">
        <f ca="1">(1-('Invoer gegevens (N)'!$F$20/12))*L98*MIN('Reeksen (N)'!B98,'Reeksen (N)'!D98)</f>
        <v>0</v>
      </c>
      <c r="O98" s="84">
        <f>IF('Reeksen (N)'!D98&lt;'Reeksen (N)'!B98,('Reeksen (N)'!B98-'Reeksen (N)'!D98)*L98,0)</f>
        <v>0</v>
      </c>
      <c r="P98" s="84">
        <f ca="1">('Invoer gegevens (N)'!$F$20/12)*L97*MIN('Reeksen (N)'!B97,'Reeksen (N)'!D97)</f>
        <v>0</v>
      </c>
      <c r="Q98" s="84">
        <f t="shared" ca="1" si="13"/>
        <v>0</v>
      </c>
      <c r="R98" s="82">
        <f ca="1">IF('Invoer gegevens (N)'!$C$17=E98,'Invoer gegevens (N)'!$C$11,IF(C98=1,W97,0))</f>
        <v>0</v>
      </c>
      <c r="S98" s="86">
        <f ca="1">IF(C98&gt;=1,R98*VLOOKUP(E98,'Reeksen (N)'!$A$5:$B$76,2),0)</f>
        <v>0</v>
      </c>
      <c r="T98" s="84">
        <f ca="1">(1-('Invoer gegevens (N)'!$F$20/12))*R98*MIN('Reeksen (N)'!B98,'Reeksen (N)'!D98)</f>
        <v>0</v>
      </c>
      <c r="U98" s="84">
        <f>IF('Reeksen (N)'!D98&gt;='Reeksen (N)'!B98,0,IF('Reeksen (N)'!AK98&lt;='Reeksen (N)'!AE98,('Reeksen (N)'!B98-'Reeksen (N)'!D98)*R98,0))</f>
        <v>0</v>
      </c>
      <c r="V98" s="86">
        <f>IF('Reeksen (N)'!D98&gt;='Reeksen (N)'!B98,0,IF('Reeksen (N)'!AK98&gt;'Reeksen (N)'!AE98,('Reeksen (N)'!B98-'Reeksen (N)'!D98)*R98,0))</f>
        <v>0</v>
      </c>
      <c r="W98" s="97">
        <f t="shared" ca="1" si="14"/>
        <v>0</v>
      </c>
      <c r="X98" s="98">
        <f ca="1">IF('Invoer gegevens (N)'!$C$17=E98,'Invoer gegevens (N)'!$C$10-'Invoer gegevens (N)'!$C$11,IF(C98=1,AC97,0))</f>
        <v>0</v>
      </c>
      <c r="Y98" s="98">
        <f ca="1">IF(C98&gt;=1,X98*VLOOKUP(E98,'Reeksen (N)'!$A$5:$B$76,2),0)</f>
        <v>0</v>
      </c>
      <c r="Z98" s="98">
        <f ca="1">(1-('Invoer gegevens (N)'!$F$20/12))*X98*MIN('Reeksen (N)'!B98,'Reeksen (N)'!D98)</f>
        <v>0</v>
      </c>
      <c r="AA98" s="98">
        <f>IF('Reeksen (N)'!D98&gt;='Reeksen (N)'!B98,0,IF('Reeksen (N)'!AK98&lt;='Reeksen (N)'!AE98,('Reeksen (N)'!B98-'Reeksen (N)'!D98)*X98,0))</f>
        <v>0</v>
      </c>
      <c r="AB98" s="98">
        <f>IF('Reeksen (N)'!D98&gt;='Reeksen (N)'!B98,0,IF('Reeksen (N)'!AK98&gt;'Reeksen (N)'!AE98,('Reeksen (N)'!B98-'Reeksen (N)'!D98)*X98,0))</f>
        <v>0</v>
      </c>
      <c r="AC98" s="99">
        <f t="shared" ca="1" si="15"/>
        <v>0</v>
      </c>
      <c r="AD98" s="98">
        <f ca="1">IF('Invoer gegevens (N)'!$C$17=E98,R98,IF(C98=0,0,AE97))</f>
        <v>0</v>
      </c>
      <c r="AE98" s="98">
        <f t="shared" ca="1" si="16"/>
        <v>0</v>
      </c>
      <c r="AF98" s="98">
        <f ca="1">IF('Invoer gegevens (N)'!$C$17=E98,X98,IF(C98=0,0,AG97))</f>
        <v>0</v>
      </c>
      <c r="AG98" s="98">
        <f t="shared" ca="1" si="17"/>
        <v>0</v>
      </c>
      <c r="AH98" s="68"/>
      <c r="AI98" s="71">
        <f ca="1">IF(C98=1,'Reeksen (N)'!AJ98*((F98-G98+F98)/2)*12+'Reeksen (N)'!AK98*((L98-M98+L98)/2)*12,0)</f>
        <v>0</v>
      </c>
      <c r="AJ98" s="71">
        <f ca="1">-AI98*'Invoer gegevens (N)'!$F$28</f>
        <v>0</v>
      </c>
      <c r="AK98" s="71">
        <f t="shared" ca="1" si="11"/>
        <v>0</v>
      </c>
      <c r="AL98" s="71">
        <f ca="1">IF(C98=1,'Reeksen (N)'!AL98*((F98-G98+F98)/2)*12+'Reeksen (N)'!AM98*((L98-M98+L98)/2)*12,0)</f>
        <v>0</v>
      </c>
      <c r="AM98" s="71">
        <f ca="1">-AL98*'Invoer gegevens (N)'!$F$31</f>
        <v>0</v>
      </c>
      <c r="AN98" s="71">
        <f t="shared" ca="1" si="18"/>
        <v>0</v>
      </c>
      <c r="AO98" s="71">
        <f ca="1">IF(C98=1,(H98+J98+N98+P98)*'Reeksen (N)'!AN98,0)</f>
        <v>0</v>
      </c>
      <c r="AP98" s="71">
        <f ca="1">-IF(C98=1,(H98+J98+N98+P98)*'Hulp - basis'!$O$550*'Reeksen (N)'!H98,0)</f>
        <v>0</v>
      </c>
      <c r="AQ98" s="71">
        <f ca="1">-IF(C98=1,(F98+K98+L98+Q98)/2*'Invoer gegevens (N)'!$I$33*'Reeksen (N)'!J98,0)*2</f>
        <v>0</v>
      </c>
      <c r="AR98" s="71">
        <f ca="1">-IF(C98=1,(I98*'Invoer gegevens (N)'!$I$34)*'Reeksen (N)'!J98,0)</f>
        <v>0</v>
      </c>
      <c r="AS98" s="71">
        <f ca="1">-IF(C98=1,(F98+K98+L98+Q98)/2*'Invoer gegevens (N)'!$I$35*'Reeksen (N)'!L98,0)</f>
        <v>0</v>
      </c>
      <c r="AT98" s="71">
        <f ca="1">-IF(C98=1,IF(E98='Invoer gegevens (N)'!$C$17,'Invoer gegevens (N)'!$C$11,AD98)*'Reeksen (N)'!S98*'Invoer gegevens (N)'!$C$18*'Reeksen (N)'!P98,0)</f>
        <v>0</v>
      </c>
      <c r="AU98" s="71">
        <f ca="1">-IF(C98=1,(F98+K98+L98+Q98)/2*'Invoer gegevens (N)'!$I$36*'Reeksen (N)'!H98,0)</f>
        <v>0</v>
      </c>
      <c r="AV98" s="71">
        <v>0</v>
      </c>
      <c r="AW98" s="71">
        <f t="shared" ca="1" si="19"/>
        <v>0</v>
      </c>
      <c r="AX98" s="71">
        <f ca="1">IF(E98&lt;'Invoer gegevens (N)'!$C$17+15,0,IF(E98&gt;'Invoer gegevens (N)'!$C$17+215,0,AW98))</f>
        <v>0</v>
      </c>
      <c r="AY98" s="71">
        <f ca="1">AX98/(1+'Invoer gegevens (N)'!$F$18)^($AZ98-('Invoer gegevens (N)'!$C$17-'Invoer gegevens (N)'!$C$16))/(1+'Invoer gegevens (N)'!$C$39)^('Invoer gegevens (N)'!$C$17-'Invoer gegevens (N)'!$C$16)</f>
        <v>0</v>
      </c>
      <c r="AZ98" s="68">
        <f ca="1">IF(E98-'Invoer gegevens (N)'!$C$17-14.5&lt;0,0,E98-'Invoer gegevens (N)'!$C$17-14.5)</f>
        <v>78.5</v>
      </c>
    </row>
    <row r="99" spans="2:52" x14ac:dyDescent="0.25">
      <c r="B99" s="70">
        <f t="shared" si="20"/>
        <v>95</v>
      </c>
      <c r="C99" s="67">
        <f ca="1">IF(E99-'Invoer gegevens (N)'!$C$17&lt;0,0,1)</f>
        <v>1</v>
      </c>
      <c r="D99" s="68">
        <f t="shared" si="21"/>
        <v>94.5</v>
      </c>
      <c r="E99" s="108">
        <f ca="1">IF('Invoer gegevens (N)'!$C$16="","",E98+1)</f>
        <v>2113</v>
      </c>
      <c r="F99" s="84">
        <f ca="1">IF('Invoer gegevens (N)'!$C$17=E99,'Invoer gegevens (N)'!$C$10,IF(C99=1,K98,0))</f>
        <v>0</v>
      </c>
      <c r="G99" s="96">
        <f ca="1">IF(C99&gt;=1,F99*VLOOKUP(E99,'Reeksen (N)'!$A$5:$B$76,2),0)</f>
        <v>0</v>
      </c>
      <c r="H99" s="84">
        <f ca="1">(1-('Invoer gegevens (N)'!$F$20/12))*F99*MIN('Reeksen (N)'!B99,'Reeksen (N)'!D99)</f>
        <v>0</v>
      </c>
      <c r="I99" s="84">
        <f>IF('Reeksen (N)'!D99&lt;'Reeksen (N)'!B99,('Reeksen (N)'!B99-'Reeksen (N)'!D99)*F99,0)</f>
        <v>0</v>
      </c>
      <c r="J99" s="84">
        <f ca="1">('Invoer gegevens (N)'!$F$20/12)*F98*MIN('Reeksen (N)'!B98,'Reeksen (N)'!D98)</f>
        <v>0</v>
      </c>
      <c r="K99" s="97">
        <f t="shared" ca="1" si="12"/>
        <v>0</v>
      </c>
      <c r="L99" s="84">
        <f ca="1">IF('Invoer gegevens (N)'!$C$17=E99,0,IF(C99=1,Q98,0))</f>
        <v>0</v>
      </c>
      <c r="M99" s="96">
        <f ca="1">IF(C99&gt;=1,L99*VLOOKUP(E99,'Reeksen (N)'!$A$5:$B$76,2),0)</f>
        <v>0</v>
      </c>
      <c r="N99" s="84">
        <f ca="1">(1-('Invoer gegevens (N)'!$F$20/12))*L99*MIN('Reeksen (N)'!B99,'Reeksen (N)'!D99)</f>
        <v>0</v>
      </c>
      <c r="O99" s="84">
        <f>IF('Reeksen (N)'!D99&lt;'Reeksen (N)'!B99,('Reeksen (N)'!B99-'Reeksen (N)'!D99)*L99,0)</f>
        <v>0</v>
      </c>
      <c r="P99" s="84">
        <f ca="1">('Invoer gegevens (N)'!$F$20/12)*L98*MIN('Reeksen (N)'!B98,'Reeksen (N)'!D98)</f>
        <v>0</v>
      </c>
      <c r="Q99" s="84">
        <f t="shared" ca="1" si="13"/>
        <v>0</v>
      </c>
      <c r="R99" s="82">
        <f ca="1">IF('Invoer gegevens (N)'!$C$17=E99,'Invoer gegevens (N)'!$C$11,IF(C99=1,W98,0))</f>
        <v>0</v>
      </c>
      <c r="S99" s="86">
        <f ca="1">IF(C99&gt;=1,R99*VLOOKUP(E99,'Reeksen (N)'!$A$5:$B$76,2),0)</f>
        <v>0</v>
      </c>
      <c r="T99" s="84">
        <f ca="1">(1-('Invoer gegevens (N)'!$F$20/12))*R99*MIN('Reeksen (N)'!B99,'Reeksen (N)'!D99)</f>
        <v>0</v>
      </c>
      <c r="U99" s="84">
        <f>IF('Reeksen (N)'!D99&gt;='Reeksen (N)'!B99,0,IF('Reeksen (N)'!AK99&lt;='Reeksen (N)'!AE99,('Reeksen (N)'!B99-'Reeksen (N)'!D99)*R99,0))</f>
        <v>0</v>
      </c>
      <c r="V99" s="86">
        <f>IF('Reeksen (N)'!D99&gt;='Reeksen (N)'!B99,0,IF('Reeksen (N)'!AK99&gt;'Reeksen (N)'!AE99,('Reeksen (N)'!B99-'Reeksen (N)'!D99)*R99,0))</f>
        <v>0</v>
      </c>
      <c r="W99" s="97">
        <f t="shared" ca="1" si="14"/>
        <v>0</v>
      </c>
      <c r="X99" s="98">
        <f ca="1">IF('Invoer gegevens (N)'!$C$17=E99,'Invoer gegevens (N)'!$C$10-'Invoer gegevens (N)'!$C$11,IF(C99=1,AC98,0))</f>
        <v>0</v>
      </c>
      <c r="Y99" s="98">
        <f ca="1">IF(C99&gt;=1,X99*VLOOKUP(E99,'Reeksen (N)'!$A$5:$B$76,2),0)</f>
        <v>0</v>
      </c>
      <c r="Z99" s="98">
        <f ca="1">(1-('Invoer gegevens (N)'!$F$20/12))*X99*MIN('Reeksen (N)'!B99,'Reeksen (N)'!D99)</f>
        <v>0</v>
      </c>
      <c r="AA99" s="98">
        <f>IF('Reeksen (N)'!D99&gt;='Reeksen (N)'!B99,0,IF('Reeksen (N)'!AK99&lt;='Reeksen (N)'!AE99,('Reeksen (N)'!B99-'Reeksen (N)'!D99)*X99,0))</f>
        <v>0</v>
      </c>
      <c r="AB99" s="98">
        <f>IF('Reeksen (N)'!D99&gt;='Reeksen (N)'!B99,0,IF('Reeksen (N)'!AK99&gt;'Reeksen (N)'!AE99,('Reeksen (N)'!B99-'Reeksen (N)'!D99)*X99,0))</f>
        <v>0</v>
      </c>
      <c r="AC99" s="99">
        <f t="shared" ca="1" si="15"/>
        <v>0</v>
      </c>
      <c r="AD99" s="98">
        <f ca="1">IF('Invoer gegevens (N)'!$C$17=E99,R99,IF(C99=0,0,AE98))</f>
        <v>0</v>
      </c>
      <c r="AE99" s="98">
        <f t="shared" ca="1" si="16"/>
        <v>0</v>
      </c>
      <c r="AF99" s="98">
        <f ca="1">IF('Invoer gegevens (N)'!$C$17=E99,X99,IF(C99=0,0,AG98))</f>
        <v>0</v>
      </c>
      <c r="AG99" s="98">
        <f t="shared" ca="1" si="17"/>
        <v>0</v>
      </c>
      <c r="AH99" s="68"/>
      <c r="AI99" s="71">
        <f ca="1">IF(C99=1,'Reeksen (N)'!AJ99*((F99-G99+F99)/2)*12+'Reeksen (N)'!AK99*((L99-M99+L99)/2)*12,0)</f>
        <v>0</v>
      </c>
      <c r="AJ99" s="71">
        <f ca="1">-AI99*'Invoer gegevens (N)'!$F$28</f>
        <v>0</v>
      </c>
      <c r="AK99" s="71">
        <f t="shared" ca="1" si="11"/>
        <v>0</v>
      </c>
      <c r="AL99" s="71">
        <f ca="1">IF(C99=1,'Reeksen (N)'!AL99*((F99-G99+F99)/2)*12+'Reeksen (N)'!AM99*((L99-M99+L99)/2)*12,0)</f>
        <v>0</v>
      </c>
      <c r="AM99" s="71">
        <f ca="1">-AL99*'Invoer gegevens (N)'!$F$31</f>
        <v>0</v>
      </c>
      <c r="AN99" s="71">
        <f t="shared" ca="1" si="18"/>
        <v>0</v>
      </c>
      <c r="AO99" s="71">
        <f ca="1">IF(C99=1,(H99+J99+N99+P99)*'Reeksen (N)'!AN99,0)</f>
        <v>0</v>
      </c>
      <c r="AP99" s="71">
        <f ca="1">-IF(C99=1,(H99+J99+N99+P99)*'Hulp - basis'!$O$550*'Reeksen (N)'!H99,0)</f>
        <v>0</v>
      </c>
      <c r="AQ99" s="71">
        <f ca="1">-IF(C99=1,(F99+K99+L99+Q99)/2*'Invoer gegevens (N)'!$I$33*'Reeksen (N)'!J99,0)*2</f>
        <v>0</v>
      </c>
      <c r="AR99" s="71">
        <f ca="1">-IF(C99=1,(I99*'Invoer gegevens (N)'!$I$34)*'Reeksen (N)'!J99,0)</f>
        <v>0</v>
      </c>
      <c r="AS99" s="71">
        <f ca="1">-IF(C99=1,(F99+K99+L99+Q99)/2*'Invoer gegevens (N)'!$I$35*'Reeksen (N)'!L99,0)</f>
        <v>0</v>
      </c>
      <c r="AT99" s="71">
        <f ca="1">-IF(C99=1,IF(E99='Invoer gegevens (N)'!$C$17,'Invoer gegevens (N)'!$C$11,AD99)*'Reeksen (N)'!S99*'Invoer gegevens (N)'!$C$18*'Reeksen (N)'!P99,0)</f>
        <v>0</v>
      </c>
      <c r="AU99" s="71">
        <f ca="1">-IF(C99=1,(F99+K99+L99+Q99)/2*'Invoer gegevens (N)'!$I$36*'Reeksen (N)'!H99,0)</f>
        <v>0</v>
      </c>
      <c r="AV99" s="71">
        <v>0</v>
      </c>
      <c r="AW99" s="71">
        <f t="shared" ca="1" si="19"/>
        <v>0</v>
      </c>
      <c r="AX99" s="71">
        <f ca="1">IF(E99&lt;'Invoer gegevens (N)'!$C$17+15,0,IF(E99&gt;'Invoer gegevens (N)'!$C$17+215,0,AW99))</f>
        <v>0</v>
      </c>
      <c r="AY99" s="71">
        <f ca="1">AX99/(1+'Invoer gegevens (N)'!$F$18)^($AZ99-('Invoer gegevens (N)'!$C$17-'Invoer gegevens (N)'!$C$16))/(1+'Invoer gegevens (N)'!$C$39)^('Invoer gegevens (N)'!$C$17-'Invoer gegevens (N)'!$C$16)</f>
        <v>0</v>
      </c>
      <c r="AZ99" s="68">
        <f ca="1">IF(E99-'Invoer gegevens (N)'!$C$17-14.5&lt;0,0,E99-'Invoer gegevens (N)'!$C$17-14.5)</f>
        <v>79.5</v>
      </c>
    </row>
    <row r="100" spans="2:52" x14ac:dyDescent="0.25">
      <c r="B100" s="70">
        <f t="shared" si="20"/>
        <v>96</v>
      </c>
      <c r="C100" s="67">
        <f ca="1">IF(E100-'Invoer gegevens (N)'!$C$17&lt;0,0,1)</f>
        <v>1</v>
      </c>
      <c r="D100" s="68">
        <f t="shared" si="21"/>
        <v>95.5</v>
      </c>
      <c r="E100" s="108">
        <f ca="1">IF('Invoer gegevens (N)'!$C$16="","",E99+1)</f>
        <v>2114</v>
      </c>
      <c r="F100" s="84">
        <f ca="1">IF('Invoer gegevens (N)'!$C$17=E100,'Invoer gegevens (N)'!$C$10,IF(C100=1,K99,0))</f>
        <v>0</v>
      </c>
      <c r="G100" s="96">
        <f ca="1">IF(C100&gt;=1,F100*VLOOKUP(E100,'Reeksen (N)'!$A$5:$B$76,2),0)</f>
        <v>0</v>
      </c>
      <c r="H100" s="84">
        <f ca="1">(1-('Invoer gegevens (N)'!$F$20/12))*F100*MIN('Reeksen (N)'!B100,'Reeksen (N)'!D100)</f>
        <v>0</v>
      </c>
      <c r="I100" s="84">
        <f>IF('Reeksen (N)'!D100&lt;'Reeksen (N)'!B100,('Reeksen (N)'!B100-'Reeksen (N)'!D100)*F100,0)</f>
        <v>0</v>
      </c>
      <c r="J100" s="84">
        <f ca="1">('Invoer gegevens (N)'!$F$20/12)*F99*MIN('Reeksen (N)'!B99,'Reeksen (N)'!D99)</f>
        <v>0</v>
      </c>
      <c r="K100" s="97">
        <f t="shared" ca="1" si="12"/>
        <v>0</v>
      </c>
      <c r="L100" s="84">
        <f ca="1">IF('Invoer gegevens (N)'!$C$17=E100,0,IF(C100=1,Q99,0))</f>
        <v>0</v>
      </c>
      <c r="M100" s="96">
        <f ca="1">IF(C100&gt;=1,L100*VLOOKUP(E100,'Reeksen (N)'!$A$5:$B$76,2),0)</f>
        <v>0</v>
      </c>
      <c r="N100" s="84">
        <f ca="1">(1-('Invoer gegevens (N)'!$F$20/12))*L100*MIN('Reeksen (N)'!B100,'Reeksen (N)'!D100)</f>
        <v>0</v>
      </c>
      <c r="O100" s="84">
        <f>IF('Reeksen (N)'!D100&lt;'Reeksen (N)'!B100,('Reeksen (N)'!B100-'Reeksen (N)'!D100)*L100,0)</f>
        <v>0</v>
      </c>
      <c r="P100" s="84">
        <f ca="1">('Invoer gegevens (N)'!$F$20/12)*L99*MIN('Reeksen (N)'!B99,'Reeksen (N)'!D99)</f>
        <v>0</v>
      </c>
      <c r="Q100" s="84">
        <f t="shared" ca="1" si="13"/>
        <v>0</v>
      </c>
      <c r="R100" s="82">
        <f ca="1">IF('Invoer gegevens (N)'!$C$17=E100,'Invoer gegevens (N)'!$C$11,IF(C100=1,W99,0))</f>
        <v>0</v>
      </c>
      <c r="S100" s="86">
        <f ca="1">IF(C100&gt;=1,R100*VLOOKUP(E100,'Reeksen (N)'!$A$5:$B$76,2),0)</f>
        <v>0</v>
      </c>
      <c r="T100" s="84">
        <f ca="1">(1-('Invoer gegevens (N)'!$F$20/12))*R100*MIN('Reeksen (N)'!B100,'Reeksen (N)'!D100)</f>
        <v>0</v>
      </c>
      <c r="U100" s="84">
        <f>IF('Reeksen (N)'!D100&gt;='Reeksen (N)'!B100,0,IF('Reeksen (N)'!AK100&lt;='Reeksen (N)'!AE100,('Reeksen (N)'!B100-'Reeksen (N)'!D100)*R100,0))</f>
        <v>0</v>
      </c>
      <c r="V100" s="86">
        <f>IF('Reeksen (N)'!D100&gt;='Reeksen (N)'!B100,0,IF('Reeksen (N)'!AK100&gt;'Reeksen (N)'!AE100,('Reeksen (N)'!B100-'Reeksen (N)'!D100)*R100,0))</f>
        <v>0</v>
      </c>
      <c r="W100" s="97">
        <f t="shared" ca="1" si="14"/>
        <v>0</v>
      </c>
      <c r="X100" s="98">
        <f ca="1">IF('Invoer gegevens (N)'!$C$17=E100,'Invoer gegevens (N)'!$C$10-'Invoer gegevens (N)'!$C$11,IF(C100=1,AC99,0))</f>
        <v>0</v>
      </c>
      <c r="Y100" s="98">
        <f ca="1">IF(C100&gt;=1,X100*VLOOKUP(E100,'Reeksen (N)'!$A$5:$B$76,2),0)</f>
        <v>0</v>
      </c>
      <c r="Z100" s="98">
        <f ca="1">(1-('Invoer gegevens (N)'!$F$20/12))*X100*MIN('Reeksen (N)'!B100,'Reeksen (N)'!D100)</f>
        <v>0</v>
      </c>
      <c r="AA100" s="98">
        <f>IF('Reeksen (N)'!D100&gt;='Reeksen (N)'!B100,0,IF('Reeksen (N)'!AK100&lt;='Reeksen (N)'!AE100,('Reeksen (N)'!B100-'Reeksen (N)'!D100)*X100,0))</f>
        <v>0</v>
      </c>
      <c r="AB100" s="98">
        <f>IF('Reeksen (N)'!D100&gt;='Reeksen (N)'!B100,0,IF('Reeksen (N)'!AK100&gt;'Reeksen (N)'!AE100,('Reeksen (N)'!B100-'Reeksen (N)'!D100)*X100,0))</f>
        <v>0</v>
      </c>
      <c r="AC100" s="99">
        <f t="shared" ca="1" si="15"/>
        <v>0</v>
      </c>
      <c r="AD100" s="98">
        <f ca="1">IF('Invoer gegevens (N)'!$C$17=E100,R100,IF(C100=0,0,AE99))</f>
        <v>0</v>
      </c>
      <c r="AE100" s="98">
        <f t="shared" ca="1" si="16"/>
        <v>0</v>
      </c>
      <c r="AF100" s="98">
        <f ca="1">IF('Invoer gegevens (N)'!$C$17=E100,X100,IF(C100=0,0,AG99))</f>
        <v>0</v>
      </c>
      <c r="AG100" s="98">
        <f t="shared" ca="1" si="17"/>
        <v>0</v>
      </c>
      <c r="AH100" s="68"/>
      <c r="AI100" s="71">
        <f ca="1">IF(C100=1,'Reeksen (N)'!AJ100*((F100-G100+F100)/2)*12+'Reeksen (N)'!AK100*((L100-M100+L100)/2)*12,0)</f>
        <v>0</v>
      </c>
      <c r="AJ100" s="71">
        <f ca="1">-AI100*'Invoer gegevens (N)'!$F$28</f>
        <v>0</v>
      </c>
      <c r="AK100" s="71">
        <f t="shared" ca="1" si="11"/>
        <v>0</v>
      </c>
      <c r="AL100" s="71">
        <f ca="1">IF(C100=1,'Reeksen (N)'!AL100*((F100-G100+F100)/2)*12+'Reeksen (N)'!AM100*((L100-M100+L100)/2)*12,0)</f>
        <v>0</v>
      </c>
      <c r="AM100" s="71">
        <f ca="1">-AL100*'Invoer gegevens (N)'!$F$31</f>
        <v>0</v>
      </c>
      <c r="AN100" s="71">
        <f t="shared" ca="1" si="18"/>
        <v>0</v>
      </c>
      <c r="AO100" s="71">
        <f ca="1">IF(C100=1,(H100+J100+N100+P100)*'Reeksen (N)'!AN100,0)</f>
        <v>0</v>
      </c>
      <c r="AP100" s="71">
        <f ca="1">-IF(C100=1,(H100+J100+N100+P100)*'Hulp - basis'!$O$550*'Reeksen (N)'!H100,0)</f>
        <v>0</v>
      </c>
      <c r="AQ100" s="71">
        <f ca="1">-IF(C100=1,(F100+K100+L100+Q100)/2*'Invoer gegevens (N)'!$I$33*'Reeksen (N)'!J100,0)*2</f>
        <v>0</v>
      </c>
      <c r="AR100" s="71">
        <f ca="1">-IF(C100=1,(I100*'Invoer gegevens (N)'!$I$34)*'Reeksen (N)'!J100,0)</f>
        <v>0</v>
      </c>
      <c r="AS100" s="71">
        <f ca="1">-IF(C100=1,(F100+K100+L100+Q100)/2*'Invoer gegevens (N)'!$I$35*'Reeksen (N)'!L100,0)</f>
        <v>0</v>
      </c>
      <c r="AT100" s="71">
        <f ca="1">-IF(C100=1,IF(E100='Invoer gegevens (N)'!$C$17,'Invoer gegevens (N)'!$C$11,AD100)*'Reeksen (N)'!S100*'Invoer gegevens (N)'!$C$18*'Reeksen (N)'!P100,0)</f>
        <v>0</v>
      </c>
      <c r="AU100" s="71">
        <f ca="1">-IF(C100=1,(F100+K100+L100+Q100)/2*'Invoer gegevens (N)'!$I$36*'Reeksen (N)'!H100,0)</f>
        <v>0</v>
      </c>
      <c r="AV100" s="71">
        <v>0</v>
      </c>
      <c r="AW100" s="71">
        <f t="shared" ca="1" si="19"/>
        <v>0</v>
      </c>
      <c r="AX100" s="71">
        <f ca="1">IF(E100&lt;'Invoer gegevens (N)'!$C$17+15,0,IF(E100&gt;'Invoer gegevens (N)'!$C$17+215,0,AW100))</f>
        <v>0</v>
      </c>
      <c r="AY100" s="71">
        <f ca="1">AX100/(1+'Invoer gegevens (N)'!$F$18)^($AZ100-('Invoer gegevens (N)'!$C$17-'Invoer gegevens (N)'!$C$16))/(1+'Invoer gegevens (N)'!$C$39)^('Invoer gegevens (N)'!$C$17-'Invoer gegevens (N)'!$C$16)</f>
        <v>0</v>
      </c>
      <c r="AZ100" s="68">
        <f ca="1">IF(E100-'Invoer gegevens (N)'!$C$17-14.5&lt;0,0,E100-'Invoer gegevens (N)'!$C$17-14.5)</f>
        <v>80.5</v>
      </c>
    </row>
    <row r="101" spans="2:52" x14ac:dyDescent="0.25">
      <c r="B101" s="70">
        <f t="shared" si="20"/>
        <v>97</v>
      </c>
      <c r="C101" s="67">
        <f ca="1">IF(E101-'Invoer gegevens (N)'!$C$17&lt;0,0,1)</f>
        <v>1</v>
      </c>
      <c r="D101" s="68">
        <f t="shared" si="21"/>
        <v>96.5</v>
      </c>
      <c r="E101" s="108">
        <f ca="1">IF('Invoer gegevens (N)'!$C$16="","",E100+1)</f>
        <v>2115</v>
      </c>
      <c r="F101" s="84">
        <f ca="1">IF('Invoer gegevens (N)'!$C$17=E101,'Invoer gegevens (N)'!$C$10,IF(C101=1,K100,0))</f>
        <v>0</v>
      </c>
      <c r="G101" s="96">
        <f ca="1">IF(C101&gt;=1,F101*VLOOKUP(E101,'Reeksen (N)'!$A$5:$B$76,2),0)</f>
        <v>0</v>
      </c>
      <c r="H101" s="84">
        <f ca="1">(1-('Invoer gegevens (N)'!$F$20/12))*F101*MIN('Reeksen (N)'!B101,'Reeksen (N)'!D101)</f>
        <v>0</v>
      </c>
      <c r="I101" s="84">
        <f>IF('Reeksen (N)'!D101&lt;'Reeksen (N)'!B101,('Reeksen (N)'!B101-'Reeksen (N)'!D101)*F101,0)</f>
        <v>0</v>
      </c>
      <c r="J101" s="84">
        <f ca="1">('Invoer gegevens (N)'!$F$20/12)*F100*MIN('Reeksen (N)'!B100,'Reeksen (N)'!D100)</f>
        <v>0</v>
      </c>
      <c r="K101" s="97">
        <f t="shared" ca="1" si="12"/>
        <v>0</v>
      </c>
      <c r="L101" s="84">
        <f ca="1">IF('Invoer gegevens (N)'!$C$17=E101,0,IF(C101=1,Q100,0))</f>
        <v>0</v>
      </c>
      <c r="M101" s="96">
        <f ca="1">IF(C101&gt;=1,L101*VLOOKUP(E101,'Reeksen (N)'!$A$5:$B$76,2),0)</f>
        <v>0</v>
      </c>
      <c r="N101" s="84">
        <f ca="1">(1-('Invoer gegevens (N)'!$F$20/12))*L101*MIN('Reeksen (N)'!B101,'Reeksen (N)'!D101)</f>
        <v>0</v>
      </c>
      <c r="O101" s="84">
        <f>IF('Reeksen (N)'!D101&lt;'Reeksen (N)'!B101,('Reeksen (N)'!B101-'Reeksen (N)'!D101)*L101,0)</f>
        <v>0</v>
      </c>
      <c r="P101" s="84">
        <f ca="1">('Invoer gegevens (N)'!$F$20/12)*L100*MIN('Reeksen (N)'!B100,'Reeksen (N)'!D100)</f>
        <v>0</v>
      </c>
      <c r="Q101" s="84">
        <f t="shared" ca="1" si="13"/>
        <v>0</v>
      </c>
      <c r="R101" s="82">
        <f ca="1">IF('Invoer gegevens (N)'!$C$17=E101,'Invoer gegevens (N)'!$C$11,IF(C101=1,W100,0))</f>
        <v>0</v>
      </c>
      <c r="S101" s="86">
        <f ca="1">IF(C101&gt;=1,R101*VLOOKUP(E101,'Reeksen (N)'!$A$5:$B$76,2),0)</f>
        <v>0</v>
      </c>
      <c r="T101" s="84">
        <f ca="1">(1-('Invoer gegevens (N)'!$F$20/12))*R101*MIN('Reeksen (N)'!B101,'Reeksen (N)'!D101)</f>
        <v>0</v>
      </c>
      <c r="U101" s="84">
        <f>IF('Reeksen (N)'!D101&gt;='Reeksen (N)'!B101,0,IF('Reeksen (N)'!AK101&lt;='Reeksen (N)'!AE101,('Reeksen (N)'!B101-'Reeksen (N)'!D101)*R101,0))</f>
        <v>0</v>
      </c>
      <c r="V101" s="86">
        <f>IF('Reeksen (N)'!D101&gt;='Reeksen (N)'!B101,0,IF('Reeksen (N)'!AK101&gt;'Reeksen (N)'!AE101,('Reeksen (N)'!B101-'Reeksen (N)'!D101)*R101,0))</f>
        <v>0</v>
      </c>
      <c r="W101" s="97">
        <f t="shared" ca="1" si="14"/>
        <v>0</v>
      </c>
      <c r="X101" s="98">
        <f ca="1">IF('Invoer gegevens (N)'!$C$17=E101,'Invoer gegevens (N)'!$C$10-'Invoer gegevens (N)'!$C$11,IF(C101=1,AC100,0))</f>
        <v>0</v>
      </c>
      <c r="Y101" s="98">
        <f ca="1">IF(C101&gt;=1,X101*VLOOKUP(E101,'Reeksen (N)'!$A$5:$B$76,2),0)</f>
        <v>0</v>
      </c>
      <c r="Z101" s="98">
        <f ca="1">(1-('Invoer gegevens (N)'!$F$20/12))*X101*MIN('Reeksen (N)'!B101,'Reeksen (N)'!D101)</f>
        <v>0</v>
      </c>
      <c r="AA101" s="98">
        <f>IF('Reeksen (N)'!D101&gt;='Reeksen (N)'!B101,0,IF('Reeksen (N)'!AK101&lt;='Reeksen (N)'!AE101,('Reeksen (N)'!B101-'Reeksen (N)'!D101)*X101,0))</f>
        <v>0</v>
      </c>
      <c r="AB101" s="98">
        <f>IF('Reeksen (N)'!D101&gt;='Reeksen (N)'!B101,0,IF('Reeksen (N)'!AK101&gt;'Reeksen (N)'!AE101,('Reeksen (N)'!B101-'Reeksen (N)'!D101)*X101,0))</f>
        <v>0</v>
      </c>
      <c r="AC101" s="99">
        <f t="shared" ca="1" si="15"/>
        <v>0</v>
      </c>
      <c r="AD101" s="98">
        <f ca="1">IF('Invoer gegevens (N)'!$C$17=E101,R101,IF(C101=0,0,AE100))</f>
        <v>0</v>
      </c>
      <c r="AE101" s="98">
        <f t="shared" ca="1" si="16"/>
        <v>0</v>
      </c>
      <c r="AF101" s="98">
        <f ca="1">IF('Invoer gegevens (N)'!$C$17=E101,X101,IF(C101=0,0,AG100))</f>
        <v>0</v>
      </c>
      <c r="AG101" s="98">
        <f t="shared" ca="1" si="17"/>
        <v>0</v>
      </c>
      <c r="AH101" s="68"/>
      <c r="AI101" s="71">
        <f ca="1">IF(C101=1,'Reeksen (N)'!AJ101*((F101-G101+F101)/2)*12+'Reeksen (N)'!AK101*((L101-M101+L101)/2)*12,0)</f>
        <v>0</v>
      </c>
      <c r="AJ101" s="71">
        <f ca="1">-AI101*'Invoer gegevens (N)'!$F$28</f>
        <v>0</v>
      </c>
      <c r="AK101" s="71">
        <f t="shared" ca="1" si="11"/>
        <v>0</v>
      </c>
      <c r="AL101" s="71">
        <f ca="1">IF(C101=1,'Reeksen (N)'!AL101*((F101-G101+F101)/2)*12+'Reeksen (N)'!AM101*((L101-M101+L101)/2)*12,0)</f>
        <v>0</v>
      </c>
      <c r="AM101" s="71">
        <f ca="1">-AL101*'Invoer gegevens (N)'!$F$31</f>
        <v>0</v>
      </c>
      <c r="AN101" s="71">
        <f t="shared" ca="1" si="18"/>
        <v>0</v>
      </c>
      <c r="AO101" s="71">
        <f ca="1">IF(C101=1,(H101+J101+N101+P101)*'Reeksen (N)'!AN101,0)</f>
        <v>0</v>
      </c>
      <c r="AP101" s="71">
        <f ca="1">-IF(C101=1,(H101+J101+N101+P101)*'Hulp - basis'!$O$550*'Reeksen (N)'!H101,0)</f>
        <v>0</v>
      </c>
      <c r="AQ101" s="71">
        <f ca="1">-IF(C101=1,(F101+K101+L101+Q101)/2*'Invoer gegevens (N)'!$I$33*'Reeksen (N)'!J101,0)*2</f>
        <v>0</v>
      </c>
      <c r="AR101" s="71">
        <f ca="1">-IF(C101=1,(I101*'Invoer gegevens (N)'!$I$34)*'Reeksen (N)'!J101,0)</f>
        <v>0</v>
      </c>
      <c r="AS101" s="71">
        <f ca="1">-IF(C101=1,(F101+K101+L101+Q101)/2*'Invoer gegevens (N)'!$I$35*'Reeksen (N)'!L101,0)</f>
        <v>0</v>
      </c>
      <c r="AT101" s="71">
        <f ca="1">-IF(C101=1,IF(E101='Invoer gegevens (N)'!$C$17,'Invoer gegevens (N)'!$C$11,AD101)*'Reeksen (N)'!S101*'Invoer gegevens (N)'!$C$18*'Reeksen (N)'!P101,0)</f>
        <v>0</v>
      </c>
      <c r="AU101" s="71">
        <f ca="1">-IF(C101=1,(F101+K101+L101+Q101)/2*'Invoer gegevens (N)'!$I$36*'Reeksen (N)'!H101,0)</f>
        <v>0</v>
      </c>
      <c r="AV101" s="71">
        <v>0</v>
      </c>
      <c r="AW101" s="71">
        <f t="shared" ca="1" si="19"/>
        <v>0</v>
      </c>
      <c r="AX101" s="71">
        <f ca="1">IF(E101&lt;'Invoer gegevens (N)'!$C$17+15,0,IF(E101&gt;'Invoer gegevens (N)'!$C$17+215,0,AW101))</f>
        <v>0</v>
      </c>
      <c r="AY101" s="71">
        <f ca="1">AX101/(1+'Invoer gegevens (N)'!$F$18)^($AZ101-('Invoer gegevens (N)'!$C$17-'Invoer gegevens (N)'!$C$16))/(1+'Invoer gegevens (N)'!$C$39)^('Invoer gegevens (N)'!$C$17-'Invoer gegevens (N)'!$C$16)</f>
        <v>0</v>
      </c>
      <c r="AZ101" s="68">
        <f ca="1">IF(E101-'Invoer gegevens (N)'!$C$17-14.5&lt;0,0,E101-'Invoer gegevens (N)'!$C$17-14.5)</f>
        <v>81.5</v>
      </c>
    </row>
    <row r="102" spans="2:52" x14ac:dyDescent="0.25">
      <c r="B102" s="70">
        <f t="shared" si="20"/>
        <v>98</v>
      </c>
      <c r="C102" s="67">
        <f ca="1">IF(E102-'Invoer gegevens (N)'!$C$17&lt;0,0,1)</f>
        <v>1</v>
      </c>
      <c r="D102" s="68">
        <f t="shared" si="21"/>
        <v>97.5</v>
      </c>
      <c r="E102" s="108">
        <f ca="1">IF('Invoer gegevens (N)'!$C$16="","",E101+1)</f>
        <v>2116</v>
      </c>
      <c r="F102" s="84">
        <f ca="1">IF('Invoer gegevens (N)'!$C$17=E102,'Invoer gegevens (N)'!$C$10,IF(C102=1,K101,0))</f>
        <v>0</v>
      </c>
      <c r="G102" s="96">
        <f ca="1">IF(C102&gt;=1,F102*VLOOKUP(E102,'Reeksen (N)'!$A$5:$B$76,2),0)</f>
        <v>0</v>
      </c>
      <c r="H102" s="84">
        <f ca="1">(1-('Invoer gegevens (N)'!$F$20/12))*F102*MIN('Reeksen (N)'!B102,'Reeksen (N)'!D102)</f>
        <v>0</v>
      </c>
      <c r="I102" s="84">
        <f>IF('Reeksen (N)'!D102&lt;'Reeksen (N)'!B102,('Reeksen (N)'!B102-'Reeksen (N)'!D102)*F102,0)</f>
        <v>0</v>
      </c>
      <c r="J102" s="84">
        <f ca="1">('Invoer gegevens (N)'!$F$20/12)*F101*MIN('Reeksen (N)'!B101,'Reeksen (N)'!D101)</f>
        <v>0</v>
      </c>
      <c r="K102" s="97">
        <f t="shared" ca="1" si="12"/>
        <v>0</v>
      </c>
      <c r="L102" s="84">
        <f ca="1">IF('Invoer gegevens (N)'!$C$17=E102,0,IF(C102=1,Q101,0))</f>
        <v>0</v>
      </c>
      <c r="M102" s="96">
        <f ca="1">IF(C102&gt;=1,L102*VLOOKUP(E102,'Reeksen (N)'!$A$5:$B$76,2),0)</f>
        <v>0</v>
      </c>
      <c r="N102" s="84">
        <f ca="1">(1-('Invoer gegevens (N)'!$F$20/12))*L102*MIN('Reeksen (N)'!B102,'Reeksen (N)'!D102)</f>
        <v>0</v>
      </c>
      <c r="O102" s="84">
        <f>IF('Reeksen (N)'!D102&lt;'Reeksen (N)'!B102,('Reeksen (N)'!B102-'Reeksen (N)'!D102)*L102,0)</f>
        <v>0</v>
      </c>
      <c r="P102" s="84">
        <f ca="1">('Invoer gegevens (N)'!$F$20/12)*L101*MIN('Reeksen (N)'!B101,'Reeksen (N)'!D101)</f>
        <v>0</v>
      </c>
      <c r="Q102" s="84">
        <f t="shared" ca="1" si="13"/>
        <v>0</v>
      </c>
      <c r="R102" s="82">
        <f ca="1">IF('Invoer gegevens (N)'!$C$17=E102,'Invoer gegevens (N)'!$C$11,IF(C102=1,W101,0))</f>
        <v>0</v>
      </c>
      <c r="S102" s="86">
        <f ca="1">IF(C102&gt;=1,R102*VLOOKUP(E102,'Reeksen (N)'!$A$5:$B$76,2),0)</f>
        <v>0</v>
      </c>
      <c r="T102" s="84">
        <f ca="1">(1-('Invoer gegevens (N)'!$F$20/12))*R102*MIN('Reeksen (N)'!B102,'Reeksen (N)'!D102)</f>
        <v>0</v>
      </c>
      <c r="U102" s="84">
        <f>IF('Reeksen (N)'!D102&gt;='Reeksen (N)'!B102,0,IF('Reeksen (N)'!AK102&lt;='Reeksen (N)'!AE102,('Reeksen (N)'!B102-'Reeksen (N)'!D102)*R102,0))</f>
        <v>0</v>
      </c>
      <c r="V102" s="86">
        <f>IF('Reeksen (N)'!D102&gt;='Reeksen (N)'!B102,0,IF('Reeksen (N)'!AK102&gt;'Reeksen (N)'!AE102,('Reeksen (N)'!B102-'Reeksen (N)'!D102)*R102,0))</f>
        <v>0</v>
      </c>
      <c r="W102" s="97">
        <f t="shared" ca="1" si="14"/>
        <v>0</v>
      </c>
      <c r="X102" s="98">
        <f ca="1">IF('Invoer gegevens (N)'!$C$17=E102,'Invoer gegevens (N)'!$C$10-'Invoer gegevens (N)'!$C$11,IF(C102=1,AC101,0))</f>
        <v>0</v>
      </c>
      <c r="Y102" s="98">
        <f ca="1">IF(C102&gt;=1,X102*VLOOKUP(E102,'Reeksen (N)'!$A$5:$B$76,2),0)</f>
        <v>0</v>
      </c>
      <c r="Z102" s="98">
        <f ca="1">(1-('Invoer gegevens (N)'!$F$20/12))*X102*MIN('Reeksen (N)'!B102,'Reeksen (N)'!D102)</f>
        <v>0</v>
      </c>
      <c r="AA102" s="98">
        <f>IF('Reeksen (N)'!D102&gt;='Reeksen (N)'!B102,0,IF('Reeksen (N)'!AK102&lt;='Reeksen (N)'!AE102,('Reeksen (N)'!B102-'Reeksen (N)'!D102)*X102,0))</f>
        <v>0</v>
      </c>
      <c r="AB102" s="98">
        <f>IF('Reeksen (N)'!D102&gt;='Reeksen (N)'!B102,0,IF('Reeksen (N)'!AK102&gt;'Reeksen (N)'!AE102,('Reeksen (N)'!B102-'Reeksen (N)'!D102)*X102,0))</f>
        <v>0</v>
      </c>
      <c r="AC102" s="99">
        <f t="shared" ca="1" si="15"/>
        <v>0</v>
      </c>
      <c r="AD102" s="98">
        <f ca="1">IF('Invoer gegevens (N)'!$C$17=E102,R102,IF(C102=0,0,AE101))</f>
        <v>0</v>
      </c>
      <c r="AE102" s="98">
        <f t="shared" ca="1" si="16"/>
        <v>0</v>
      </c>
      <c r="AF102" s="98">
        <f ca="1">IF('Invoer gegevens (N)'!$C$17=E102,X102,IF(C102=0,0,AG101))</f>
        <v>0</v>
      </c>
      <c r="AG102" s="98">
        <f t="shared" ca="1" si="17"/>
        <v>0</v>
      </c>
      <c r="AH102" s="68"/>
      <c r="AI102" s="71">
        <f ca="1">IF(C102=1,'Reeksen (N)'!AJ102*((F102-G102+F102)/2)*12+'Reeksen (N)'!AK102*((L102-M102+L102)/2)*12,0)</f>
        <v>0</v>
      </c>
      <c r="AJ102" s="71">
        <f ca="1">-AI102*'Invoer gegevens (N)'!$F$28</f>
        <v>0</v>
      </c>
      <c r="AK102" s="71">
        <f t="shared" ca="1" si="11"/>
        <v>0</v>
      </c>
      <c r="AL102" s="71">
        <f ca="1">IF(C102=1,'Reeksen (N)'!AL102*((F102-G102+F102)/2)*12+'Reeksen (N)'!AM102*((L102-M102+L102)/2)*12,0)</f>
        <v>0</v>
      </c>
      <c r="AM102" s="71">
        <f ca="1">-AL102*'Invoer gegevens (N)'!$F$31</f>
        <v>0</v>
      </c>
      <c r="AN102" s="71">
        <f t="shared" ca="1" si="18"/>
        <v>0</v>
      </c>
      <c r="AO102" s="71">
        <f ca="1">IF(C102=1,(H102+J102+N102+P102)*'Reeksen (N)'!AN102,0)</f>
        <v>0</v>
      </c>
      <c r="AP102" s="71">
        <f ca="1">-IF(C102=1,(H102+J102+N102+P102)*'Hulp - basis'!$O$550*'Reeksen (N)'!H102,0)</f>
        <v>0</v>
      </c>
      <c r="AQ102" s="71">
        <f ca="1">-IF(C102=1,(F102+K102+L102+Q102)/2*'Invoer gegevens (N)'!$I$33*'Reeksen (N)'!J102,0)*2</f>
        <v>0</v>
      </c>
      <c r="AR102" s="71">
        <f ca="1">-IF(C102=1,(I102*'Invoer gegevens (N)'!$I$34)*'Reeksen (N)'!J102,0)</f>
        <v>0</v>
      </c>
      <c r="AS102" s="71">
        <f ca="1">-IF(C102=1,(F102+K102+L102+Q102)/2*'Invoer gegevens (N)'!$I$35*'Reeksen (N)'!L102,0)</f>
        <v>0</v>
      </c>
      <c r="AT102" s="71">
        <f ca="1">-IF(C102=1,IF(E102='Invoer gegevens (N)'!$C$17,'Invoer gegevens (N)'!$C$11,AD102)*'Reeksen (N)'!S102*'Invoer gegevens (N)'!$C$18*'Reeksen (N)'!P102,0)</f>
        <v>0</v>
      </c>
      <c r="AU102" s="71">
        <f ca="1">-IF(C102=1,(F102+K102+L102+Q102)/2*'Invoer gegevens (N)'!$I$36*'Reeksen (N)'!H102,0)</f>
        <v>0</v>
      </c>
      <c r="AV102" s="71">
        <v>0</v>
      </c>
      <c r="AW102" s="71">
        <f t="shared" ca="1" si="19"/>
        <v>0</v>
      </c>
      <c r="AX102" s="71">
        <f ca="1">IF(E102&lt;'Invoer gegevens (N)'!$C$17+15,0,IF(E102&gt;'Invoer gegevens (N)'!$C$17+215,0,AW102))</f>
        <v>0</v>
      </c>
      <c r="AY102" s="71">
        <f ca="1">AX102/(1+'Invoer gegevens (N)'!$F$18)^($AZ102-('Invoer gegevens (N)'!$C$17-'Invoer gegevens (N)'!$C$16))/(1+'Invoer gegevens (N)'!$C$39)^('Invoer gegevens (N)'!$C$17-'Invoer gegevens (N)'!$C$16)</f>
        <v>0</v>
      </c>
      <c r="AZ102" s="68">
        <f ca="1">IF(E102-'Invoer gegevens (N)'!$C$17-14.5&lt;0,0,E102-'Invoer gegevens (N)'!$C$17-14.5)</f>
        <v>82.5</v>
      </c>
    </row>
    <row r="103" spans="2:52" x14ac:dyDescent="0.25">
      <c r="B103" s="70">
        <f t="shared" si="20"/>
        <v>99</v>
      </c>
      <c r="C103" s="67">
        <f ca="1">IF(E103-'Invoer gegevens (N)'!$C$17&lt;0,0,1)</f>
        <v>1</v>
      </c>
      <c r="D103" s="68">
        <f t="shared" si="21"/>
        <v>98.5</v>
      </c>
      <c r="E103" s="108">
        <f ca="1">IF('Invoer gegevens (N)'!$C$16="","",E102+1)</f>
        <v>2117</v>
      </c>
      <c r="F103" s="84">
        <f ca="1">IF('Invoer gegevens (N)'!$C$17=E103,'Invoer gegevens (N)'!$C$10,IF(C103=1,K102,0))</f>
        <v>0</v>
      </c>
      <c r="G103" s="96">
        <f ca="1">IF(C103&gt;=1,F103*VLOOKUP(E103,'Reeksen (N)'!$A$5:$B$76,2),0)</f>
        <v>0</v>
      </c>
      <c r="H103" s="84">
        <f ca="1">(1-('Invoer gegevens (N)'!$F$20/12))*F103*MIN('Reeksen (N)'!B103,'Reeksen (N)'!D103)</f>
        <v>0</v>
      </c>
      <c r="I103" s="84">
        <f>IF('Reeksen (N)'!D103&lt;'Reeksen (N)'!B103,('Reeksen (N)'!B103-'Reeksen (N)'!D103)*F103,0)</f>
        <v>0</v>
      </c>
      <c r="J103" s="84">
        <f ca="1">('Invoer gegevens (N)'!$F$20/12)*F102*MIN('Reeksen (N)'!B102,'Reeksen (N)'!D102)</f>
        <v>0</v>
      </c>
      <c r="K103" s="97">
        <f t="shared" ca="1" si="12"/>
        <v>0</v>
      </c>
      <c r="L103" s="84">
        <f ca="1">IF('Invoer gegevens (N)'!$C$17=E103,0,IF(C103=1,Q102,0))</f>
        <v>0</v>
      </c>
      <c r="M103" s="96">
        <f ca="1">IF(C103&gt;=1,L103*VLOOKUP(E103,'Reeksen (N)'!$A$5:$B$76,2),0)</f>
        <v>0</v>
      </c>
      <c r="N103" s="84">
        <f ca="1">(1-('Invoer gegevens (N)'!$F$20/12))*L103*MIN('Reeksen (N)'!B103,'Reeksen (N)'!D103)</f>
        <v>0</v>
      </c>
      <c r="O103" s="84">
        <f>IF('Reeksen (N)'!D103&lt;'Reeksen (N)'!B103,('Reeksen (N)'!B103-'Reeksen (N)'!D103)*L103,0)</f>
        <v>0</v>
      </c>
      <c r="P103" s="84">
        <f ca="1">('Invoer gegevens (N)'!$F$20/12)*L102*MIN('Reeksen (N)'!B102,'Reeksen (N)'!D102)</f>
        <v>0</v>
      </c>
      <c r="Q103" s="84">
        <f t="shared" ca="1" si="13"/>
        <v>0</v>
      </c>
      <c r="R103" s="82">
        <f ca="1">IF('Invoer gegevens (N)'!$C$17=E103,'Invoer gegevens (N)'!$C$11,IF(C103=1,W102,0))</f>
        <v>0</v>
      </c>
      <c r="S103" s="86">
        <f ca="1">IF(C103&gt;=1,R103*VLOOKUP(E103,'Reeksen (N)'!$A$5:$B$76,2),0)</f>
        <v>0</v>
      </c>
      <c r="T103" s="84">
        <f ca="1">(1-('Invoer gegevens (N)'!$F$20/12))*R103*MIN('Reeksen (N)'!B103,'Reeksen (N)'!D103)</f>
        <v>0</v>
      </c>
      <c r="U103" s="84">
        <f>IF('Reeksen (N)'!D103&gt;='Reeksen (N)'!B103,0,IF('Reeksen (N)'!AK103&lt;='Reeksen (N)'!AE103,('Reeksen (N)'!B103-'Reeksen (N)'!D103)*R103,0))</f>
        <v>0</v>
      </c>
      <c r="V103" s="86">
        <f>IF('Reeksen (N)'!D103&gt;='Reeksen (N)'!B103,0,IF('Reeksen (N)'!AK103&gt;'Reeksen (N)'!AE103,('Reeksen (N)'!B103-'Reeksen (N)'!D103)*R103,0))</f>
        <v>0</v>
      </c>
      <c r="W103" s="97">
        <f t="shared" ca="1" si="14"/>
        <v>0</v>
      </c>
      <c r="X103" s="98">
        <f ca="1">IF('Invoer gegevens (N)'!$C$17=E103,'Invoer gegevens (N)'!$C$10-'Invoer gegevens (N)'!$C$11,IF(C103=1,AC102,0))</f>
        <v>0</v>
      </c>
      <c r="Y103" s="98">
        <f ca="1">IF(C103&gt;=1,X103*VLOOKUP(E103,'Reeksen (N)'!$A$5:$B$76,2),0)</f>
        <v>0</v>
      </c>
      <c r="Z103" s="98">
        <f ca="1">(1-('Invoer gegevens (N)'!$F$20/12))*X103*MIN('Reeksen (N)'!B103,'Reeksen (N)'!D103)</f>
        <v>0</v>
      </c>
      <c r="AA103" s="98">
        <f>IF('Reeksen (N)'!D103&gt;='Reeksen (N)'!B103,0,IF('Reeksen (N)'!AK103&lt;='Reeksen (N)'!AE103,('Reeksen (N)'!B103-'Reeksen (N)'!D103)*X103,0))</f>
        <v>0</v>
      </c>
      <c r="AB103" s="98">
        <f>IF('Reeksen (N)'!D103&gt;='Reeksen (N)'!B103,0,IF('Reeksen (N)'!AK103&gt;'Reeksen (N)'!AE103,('Reeksen (N)'!B103-'Reeksen (N)'!D103)*X103,0))</f>
        <v>0</v>
      </c>
      <c r="AC103" s="99">
        <f t="shared" ca="1" si="15"/>
        <v>0</v>
      </c>
      <c r="AD103" s="98">
        <f ca="1">IF('Invoer gegevens (N)'!$C$17=E103,R103,IF(C103=0,0,AE102))</f>
        <v>0</v>
      </c>
      <c r="AE103" s="98">
        <f t="shared" ca="1" si="16"/>
        <v>0</v>
      </c>
      <c r="AF103" s="98">
        <f ca="1">IF('Invoer gegevens (N)'!$C$17=E103,X103,IF(C103=0,0,AG102))</f>
        <v>0</v>
      </c>
      <c r="AG103" s="98">
        <f t="shared" ca="1" si="17"/>
        <v>0</v>
      </c>
      <c r="AH103" s="68"/>
      <c r="AI103" s="71">
        <f ca="1">IF(C103=1,'Reeksen (N)'!AJ103*((F103-G103+F103)/2)*12+'Reeksen (N)'!AK103*((L103-M103+L103)/2)*12,0)</f>
        <v>0</v>
      </c>
      <c r="AJ103" s="71">
        <f ca="1">-AI103*'Invoer gegevens (N)'!$F$28</f>
        <v>0</v>
      </c>
      <c r="AK103" s="71">
        <f t="shared" ca="1" si="11"/>
        <v>0</v>
      </c>
      <c r="AL103" s="71">
        <f ca="1">IF(C103=1,'Reeksen (N)'!AL103*((F103-G103+F103)/2)*12+'Reeksen (N)'!AM103*((L103-M103+L103)/2)*12,0)</f>
        <v>0</v>
      </c>
      <c r="AM103" s="71">
        <f ca="1">-AL103*'Invoer gegevens (N)'!$F$31</f>
        <v>0</v>
      </c>
      <c r="AN103" s="71">
        <f t="shared" ca="1" si="18"/>
        <v>0</v>
      </c>
      <c r="AO103" s="71">
        <f ca="1">IF(C103=1,(H103+J103+N103+P103)*'Reeksen (N)'!AN103,0)</f>
        <v>0</v>
      </c>
      <c r="AP103" s="71">
        <f ca="1">-IF(C103=1,(H103+J103+N103+P103)*'Hulp - basis'!$O$550*'Reeksen (N)'!H103,0)</f>
        <v>0</v>
      </c>
      <c r="AQ103" s="71">
        <f ca="1">-IF(C103=1,(F103+K103+L103+Q103)/2*'Invoer gegevens (N)'!$I$33*'Reeksen (N)'!J103,0)*2</f>
        <v>0</v>
      </c>
      <c r="AR103" s="71">
        <f ca="1">-IF(C103=1,(I103*'Invoer gegevens (N)'!$I$34)*'Reeksen (N)'!J103,0)</f>
        <v>0</v>
      </c>
      <c r="AS103" s="71">
        <f ca="1">-IF(C103=1,(F103+K103+L103+Q103)/2*'Invoer gegevens (N)'!$I$35*'Reeksen (N)'!L103,0)</f>
        <v>0</v>
      </c>
      <c r="AT103" s="71">
        <f ca="1">-IF(C103=1,IF(E103='Invoer gegevens (N)'!$C$17,'Invoer gegevens (N)'!$C$11,AD103)*'Reeksen (N)'!S103*'Invoer gegevens (N)'!$C$18*'Reeksen (N)'!P103,0)</f>
        <v>0</v>
      </c>
      <c r="AU103" s="71">
        <f ca="1">-IF(C103=1,(F103+K103+L103+Q103)/2*'Invoer gegevens (N)'!$I$36*'Reeksen (N)'!H103,0)</f>
        <v>0</v>
      </c>
      <c r="AV103" s="71">
        <v>0</v>
      </c>
      <c r="AW103" s="71">
        <f t="shared" ca="1" si="19"/>
        <v>0</v>
      </c>
      <c r="AX103" s="71">
        <f ca="1">IF(E103&lt;'Invoer gegevens (N)'!$C$17+15,0,IF(E103&gt;'Invoer gegevens (N)'!$C$17+215,0,AW103))</f>
        <v>0</v>
      </c>
      <c r="AY103" s="71">
        <f ca="1">AX103/(1+'Invoer gegevens (N)'!$F$18)^($AZ103-('Invoer gegevens (N)'!$C$17-'Invoer gegevens (N)'!$C$16))/(1+'Invoer gegevens (N)'!$C$39)^('Invoer gegevens (N)'!$C$17-'Invoer gegevens (N)'!$C$16)</f>
        <v>0</v>
      </c>
      <c r="AZ103" s="68">
        <f ca="1">IF(E103-'Invoer gegevens (N)'!$C$17-14.5&lt;0,0,E103-'Invoer gegevens (N)'!$C$17-14.5)</f>
        <v>83.5</v>
      </c>
    </row>
    <row r="104" spans="2:52" x14ac:dyDescent="0.25">
      <c r="B104" s="70">
        <f t="shared" si="20"/>
        <v>100</v>
      </c>
      <c r="C104" s="67">
        <f ca="1">IF(E104-'Invoer gegevens (N)'!$C$17&lt;0,0,1)</f>
        <v>1</v>
      </c>
      <c r="D104" s="68">
        <f t="shared" si="21"/>
        <v>99.5</v>
      </c>
      <c r="E104" s="108">
        <f ca="1">IF('Invoer gegevens (N)'!$C$16="","",E103+1)</f>
        <v>2118</v>
      </c>
      <c r="F104" s="84">
        <f ca="1">IF('Invoer gegevens (N)'!$C$17=E104,'Invoer gegevens (N)'!$C$10,IF(C104=1,K103,0))</f>
        <v>0</v>
      </c>
      <c r="G104" s="96">
        <f ca="1">IF(C104&gt;=1,F104*VLOOKUP(E104,'Reeksen (N)'!$A$5:$B$76,2),0)</f>
        <v>0</v>
      </c>
      <c r="H104" s="84">
        <f ca="1">(1-('Invoer gegevens (N)'!$F$20/12))*F104*MIN('Reeksen (N)'!B104,'Reeksen (N)'!D104)</f>
        <v>0</v>
      </c>
      <c r="I104" s="84">
        <f>IF('Reeksen (N)'!D104&lt;'Reeksen (N)'!B104,('Reeksen (N)'!B104-'Reeksen (N)'!D104)*F104,0)</f>
        <v>0</v>
      </c>
      <c r="J104" s="84">
        <f ca="1">('Invoer gegevens (N)'!$F$20/12)*F103*MIN('Reeksen (N)'!B103,'Reeksen (N)'!D103)</f>
        <v>0</v>
      </c>
      <c r="K104" s="97">
        <f t="shared" ca="1" si="12"/>
        <v>0</v>
      </c>
      <c r="L104" s="84">
        <f ca="1">IF('Invoer gegevens (N)'!$C$17=E104,0,IF(C104=1,Q103,0))</f>
        <v>0</v>
      </c>
      <c r="M104" s="96">
        <f ca="1">IF(C104&gt;=1,L104*VLOOKUP(E104,'Reeksen (N)'!$A$5:$B$76,2),0)</f>
        <v>0</v>
      </c>
      <c r="N104" s="84">
        <f ca="1">(1-('Invoer gegevens (N)'!$F$20/12))*L104*MIN('Reeksen (N)'!B104,'Reeksen (N)'!D104)</f>
        <v>0</v>
      </c>
      <c r="O104" s="84">
        <f>IF('Reeksen (N)'!D104&lt;'Reeksen (N)'!B104,('Reeksen (N)'!B104-'Reeksen (N)'!D104)*L104,0)</f>
        <v>0</v>
      </c>
      <c r="P104" s="84">
        <f ca="1">('Invoer gegevens (N)'!$F$20/12)*L103*MIN('Reeksen (N)'!B103,'Reeksen (N)'!D103)</f>
        <v>0</v>
      </c>
      <c r="Q104" s="84">
        <f t="shared" ca="1" si="13"/>
        <v>0</v>
      </c>
      <c r="R104" s="82">
        <f ca="1">IF('Invoer gegevens (N)'!$C$17=E104,'Invoer gegevens (N)'!$C$11,IF(C104=1,W103,0))</f>
        <v>0</v>
      </c>
      <c r="S104" s="86">
        <f ca="1">IF(C104&gt;=1,R104*VLOOKUP(E104,'Reeksen (N)'!$A$5:$B$76,2),0)</f>
        <v>0</v>
      </c>
      <c r="T104" s="84">
        <f ca="1">(1-('Invoer gegevens (N)'!$F$20/12))*R104*MIN('Reeksen (N)'!B104,'Reeksen (N)'!D104)</f>
        <v>0</v>
      </c>
      <c r="U104" s="84">
        <f>IF('Reeksen (N)'!D104&gt;='Reeksen (N)'!B104,0,IF('Reeksen (N)'!AK104&lt;='Reeksen (N)'!AE104,('Reeksen (N)'!B104-'Reeksen (N)'!D104)*R104,0))</f>
        <v>0</v>
      </c>
      <c r="V104" s="86">
        <f>IF('Reeksen (N)'!D104&gt;='Reeksen (N)'!B104,0,IF('Reeksen (N)'!AK104&gt;'Reeksen (N)'!AE104,('Reeksen (N)'!B104-'Reeksen (N)'!D104)*R104,0))</f>
        <v>0</v>
      </c>
      <c r="W104" s="97">
        <f t="shared" ca="1" si="14"/>
        <v>0</v>
      </c>
      <c r="X104" s="98">
        <f ca="1">IF('Invoer gegevens (N)'!$C$17=E104,'Invoer gegevens (N)'!$C$10-'Invoer gegevens (N)'!$C$11,IF(C104=1,AC103,0))</f>
        <v>0</v>
      </c>
      <c r="Y104" s="98">
        <f ca="1">IF(C104&gt;=1,X104*VLOOKUP(E104,'Reeksen (N)'!$A$5:$B$76,2),0)</f>
        <v>0</v>
      </c>
      <c r="Z104" s="98">
        <f ca="1">(1-('Invoer gegevens (N)'!$F$20/12))*X104*MIN('Reeksen (N)'!B104,'Reeksen (N)'!D104)</f>
        <v>0</v>
      </c>
      <c r="AA104" s="98">
        <f>IF('Reeksen (N)'!D104&gt;='Reeksen (N)'!B104,0,IF('Reeksen (N)'!AK104&lt;='Reeksen (N)'!AE104,('Reeksen (N)'!B104-'Reeksen (N)'!D104)*X104,0))</f>
        <v>0</v>
      </c>
      <c r="AB104" s="98">
        <f>IF('Reeksen (N)'!D104&gt;='Reeksen (N)'!B104,0,IF('Reeksen (N)'!AK104&gt;'Reeksen (N)'!AE104,('Reeksen (N)'!B104-'Reeksen (N)'!D104)*X104,0))</f>
        <v>0</v>
      </c>
      <c r="AC104" s="99">
        <f t="shared" ca="1" si="15"/>
        <v>0</v>
      </c>
      <c r="AD104" s="98">
        <f ca="1">IF('Invoer gegevens (N)'!$C$17=E104,R104,IF(C104=0,0,AE103))</f>
        <v>0</v>
      </c>
      <c r="AE104" s="98">
        <f t="shared" ca="1" si="16"/>
        <v>0</v>
      </c>
      <c r="AF104" s="98">
        <f ca="1">IF('Invoer gegevens (N)'!$C$17=E104,X104,IF(C104=0,0,AG103))</f>
        <v>0</v>
      </c>
      <c r="AG104" s="98">
        <f t="shared" ca="1" si="17"/>
        <v>0</v>
      </c>
      <c r="AH104" s="68"/>
      <c r="AI104" s="71">
        <f ca="1">IF(C104=1,'Reeksen (N)'!AJ104*((F104-G104+F104)/2)*12+'Reeksen (N)'!AK104*((L104-M104+L104)/2)*12,0)</f>
        <v>0</v>
      </c>
      <c r="AJ104" s="71">
        <f ca="1">-AI104*'Invoer gegevens (N)'!$F$28</f>
        <v>0</v>
      </c>
      <c r="AK104" s="71">
        <f t="shared" ca="1" si="11"/>
        <v>0</v>
      </c>
      <c r="AL104" s="71">
        <f ca="1">IF(C104=1,'Reeksen (N)'!AL104*((F104-G104+F104)/2)*12+'Reeksen (N)'!AM104*((L104-M104+L104)/2)*12,0)</f>
        <v>0</v>
      </c>
      <c r="AM104" s="71">
        <f ca="1">-AL104*'Invoer gegevens (N)'!$F$31</f>
        <v>0</v>
      </c>
      <c r="AN104" s="71">
        <f t="shared" ca="1" si="18"/>
        <v>0</v>
      </c>
      <c r="AO104" s="71">
        <f ca="1">IF(C104=1,(H104+J104+N104+P104)*'Reeksen (N)'!AN104,0)</f>
        <v>0</v>
      </c>
      <c r="AP104" s="71">
        <f ca="1">-IF(C104=1,(H104+J104+N104+P104)*'Hulp - basis'!$O$550*'Reeksen (N)'!H104,0)</f>
        <v>0</v>
      </c>
      <c r="AQ104" s="71">
        <f ca="1">-IF(C104=1,(F104+K104+L104+Q104)/2*'Invoer gegevens (N)'!$I$33*'Reeksen (N)'!J104,0)*2</f>
        <v>0</v>
      </c>
      <c r="AR104" s="71">
        <f ca="1">-IF(C104=1,(I104*'Invoer gegevens (N)'!$I$34)*'Reeksen (N)'!J104,0)</f>
        <v>0</v>
      </c>
      <c r="AS104" s="71">
        <f ca="1">-IF(C104=1,(F104+K104+L104+Q104)/2*'Invoer gegevens (N)'!$I$35*'Reeksen (N)'!L104,0)</f>
        <v>0</v>
      </c>
      <c r="AT104" s="71">
        <f ca="1">-IF(C104=1,IF(E104='Invoer gegevens (N)'!$C$17,'Invoer gegevens (N)'!$C$11,AD104)*'Reeksen (N)'!S104*'Invoer gegevens (N)'!$C$18*'Reeksen (N)'!P104,0)</f>
        <v>0</v>
      </c>
      <c r="AU104" s="71">
        <f ca="1">-IF(C104=1,(F104+K104+L104+Q104)/2*'Invoer gegevens (N)'!$I$36*'Reeksen (N)'!H104,0)</f>
        <v>0</v>
      </c>
      <c r="AV104" s="71">
        <v>0</v>
      </c>
      <c r="AW104" s="71">
        <f t="shared" ca="1" si="19"/>
        <v>0</v>
      </c>
      <c r="AX104" s="71">
        <f ca="1">IF(E104&lt;'Invoer gegevens (N)'!$C$17+15,0,IF(E104&gt;'Invoer gegevens (N)'!$C$17+215,0,AW104))</f>
        <v>0</v>
      </c>
      <c r="AY104" s="71">
        <f ca="1">AX104/(1+'Invoer gegevens (N)'!$F$18)^($AZ104-('Invoer gegevens (N)'!$C$17-'Invoer gegevens (N)'!$C$16))/(1+'Invoer gegevens (N)'!$C$39)^('Invoer gegevens (N)'!$C$17-'Invoer gegevens (N)'!$C$16)</f>
        <v>0</v>
      </c>
      <c r="AZ104" s="68">
        <f ca="1">IF(E104-'Invoer gegevens (N)'!$C$17-14.5&lt;0,0,E104-'Invoer gegevens (N)'!$C$17-14.5)</f>
        <v>84.5</v>
      </c>
    </row>
    <row r="105" spans="2:52" x14ac:dyDescent="0.25">
      <c r="B105" s="70">
        <f t="shared" si="20"/>
        <v>101</v>
      </c>
      <c r="C105" s="67">
        <f ca="1">IF(E105-'Invoer gegevens (N)'!$C$17&lt;0,0,1)</f>
        <v>1</v>
      </c>
      <c r="D105" s="68">
        <f t="shared" si="21"/>
        <v>100.5</v>
      </c>
      <c r="E105" s="108">
        <f ca="1">IF('Invoer gegevens (N)'!$C$16="","",E104+1)</f>
        <v>2119</v>
      </c>
      <c r="F105" s="84">
        <f ca="1">IF('Invoer gegevens (N)'!$C$17=E105,'Invoer gegevens (N)'!$C$10,IF(C105=1,K104,0))</f>
        <v>0</v>
      </c>
      <c r="G105" s="96">
        <f ca="1">IF(C105&gt;=1,F105*VLOOKUP(E105,'Reeksen (N)'!$A$5:$B$76,2),0)</f>
        <v>0</v>
      </c>
      <c r="H105" s="84">
        <f ca="1">(1-('Invoer gegevens (N)'!$F$20/12))*F105*MIN('Reeksen (N)'!B105,'Reeksen (N)'!D105)</f>
        <v>0</v>
      </c>
      <c r="I105" s="84">
        <f>IF('Reeksen (N)'!D105&lt;'Reeksen (N)'!B105,('Reeksen (N)'!B105-'Reeksen (N)'!D105)*F105,0)</f>
        <v>0</v>
      </c>
      <c r="J105" s="84">
        <f ca="1">('Invoer gegevens (N)'!$F$20/12)*F104*MIN('Reeksen (N)'!B104,'Reeksen (N)'!D104)</f>
        <v>0</v>
      </c>
      <c r="K105" s="97">
        <f t="shared" ca="1" si="12"/>
        <v>0</v>
      </c>
      <c r="L105" s="84">
        <f ca="1">IF('Invoer gegevens (N)'!$C$17=E105,0,IF(C105=1,Q104,0))</f>
        <v>0</v>
      </c>
      <c r="M105" s="96">
        <f ca="1">IF(C105&gt;=1,L105*VLOOKUP(E105,'Reeksen (N)'!$A$5:$B$76,2),0)</f>
        <v>0</v>
      </c>
      <c r="N105" s="84">
        <f ca="1">(1-('Invoer gegevens (N)'!$F$20/12))*L105*MIN('Reeksen (N)'!B105,'Reeksen (N)'!D105)</f>
        <v>0</v>
      </c>
      <c r="O105" s="84">
        <f>IF('Reeksen (N)'!D105&lt;'Reeksen (N)'!B105,('Reeksen (N)'!B105-'Reeksen (N)'!D105)*L105,0)</f>
        <v>0</v>
      </c>
      <c r="P105" s="84">
        <f ca="1">('Invoer gegevens (N)'!$F$20/12)*L104*MIN('Reeksen (N)'!B104,'Reeksen (N)'!D104)</f>
        <v>0</v>
      </c>
      <c r="Q105" s="84">
        <f t="shared" ca="1" si="13"/>
        <v>0</v>
      </c>
      <c r="R105" s="82">
        <f ca="1">IF('Invoer gegevens (N)'!$C$17=E105,'Invoer gegevens (N)'!$C$11,IF(C105=1,W104,0))</f>
        <v>0</v>
      </c>
      <c r="S105" s="86">
        <f ca="1">IF(C105&gt;=1,R105*VLOOKUP(E105,'Reeksen (N)'!$A$5:$B$76,2),0)</f>
        <v>0</v>
      </c>
      <c r="T105" s="84">
        <f ca="1">(1-('Invoer gegevens (N)'!$F$20/12))*R105*MIN('Reeksen (N)'!B105,'Reeksen (N)'!D105)</f>
        <v>0</v>
      </c>
      <c r="U105" s="84">
        <f>IF('Reeksen (N)'!D105&gt;='Reeksen (N)'!B105,0,IF('Reeksen (N)'!AK105&lt;='Reeksen (N)'!AE105,('Reeksen (N)'!B105-'Reeksen (N)'!D105)*R105,0))</f>
        <v>0</v>
      </c>
      <c r="V105" s="86">
        <f>IF('Reeksen (N)'!D105&gt;='Reeksen (N)'!B105,0,IF('Reeksen (N)'!AK105&gt;'Reeksen (N)'!AE105,('Reeksen (N)'!B105-'Reeksen (N)'!D105)*R105,0))</f>
        <v>0</v>
      </c>
      <c r="W105" s="97">
        <f t="shared" ca="1" si="14"/>
        <v>0</v>
      </c>
      <c r="X105" s="98">
        <f ca="1">IF('Invoer gegevens (N)'!$C$17=E105,'Invoer gegevens (N)'!$C$10-'Invoer gegevens (N)'!$C$11,IF(C105=1,AC104,0))</f>
        <v>0</v>
      </c>
      <c r="Y105" s="98">
        <f ca="1">IF(C105&gt;=1,X105*VLOOKUP(E105,'Reeksen (N)'!$A$5:$B$76,2),0)</f>
        <v>0</v>
      </c>
      <c r="Z105" s="98">
        <f ca="1">(1-('Invoer gegevens (N)'!$F$20/12))*X105*MIN('Reeksen (N)'!B105,'Reeksen (N)'!D105)</f>
        <v>0</v>
      </c>
      <c r="AA105" s="98">
        <f>IF('Reeksen (N)'!D105&gt;='Reeksen (N)'!B105,0,IF('Reeksen (N)'!AK105&lt;='Reeksen (N)'!AE105,('Reeksen (N)'!B105-'Reeksen (N)'!D105)*X105,0))</f>
        <v>0</v>
      </c>
      <c r="AB105" s="98">
        <f>IF('Reeksen (N)'!D105&gt;='Reeksen (N)'!B105,0,IF('Reeksen (N)'!AK105&gt;'Reeksen (N)'!AE105,('Reeksen (N)'!B105-'Reeksen (N)'!D105)*X105,0))</f>
        <v>0</v>
      </c>
      <c r="AC105" s="99">
        <f t="shared" ca="1" si="15"/>
        <v>0</v>
      </c>
      <c r="AD105" s="98">
        <f ca="1">IF('Invoer gegevens (N)'!$C$17=E105,R105,IF(C105=0,0,AE104))</f>
        <v>0</v>
      </c>
      <c r="AE105" s="98">
        <f t="shared" ca="1" si="16"/>
        <v>0</v>
      </c>
      <c r="AF105" s="98">
        <f ca="1">IF('Invoer gegevens (N)'!$C$17=E105,X105,IF(C105=0,0,AG104))</f>
        <v>0</v>
      </c>
      <c r="AG105" s="98">
        <f t="shared" ca="1" si="17"/>
        <v>0</v>
      </c>
      <c r="AH105" s="68"/>
      <c r="AI105" s="71">
        <f ca="1">IF(C105=1,'Reeksen (N)'!AJ105*((F105-G105+F105)/2)*12+'Reeksen (N)'!AK105*((L105-M105+L105)/2)*12,0)</f>
        <v>0</v>
      </c>
      <c r="AJ105" s="71">
        <f ca="1">-AI105*'Invoer gegevens (N)'!$F$28</f>
        <v>0</v>
      </c>
      <c r="AK105" s="71">
        <f t="shared" ca="1" si="11"/>
        <v>0</v>
      </c>
      <c r="AL105" s="71">
        <f ca="1">IF(C105=1,'Reeksen (N)'!AL105*((F105-G105+F105)/2)*12+'Reeksen (N)'!AM105*((L105-M105+L105)/2)*12,0)</f>
        <v>0</v>
      </c>
      <c r="AM105" s="71">
        <f ca="1">-AL105*'Invoer gegevens (N)'!$F$31</f>
        <v>0</v>
      </c>
      <c r="AN105" s="71">
        <f t="shared" ca="1" si="18"/>
        <v>0</v>
      </c>
      <c r="AO105" s="71">
        <f ca="1">IF(C105=1,(H105+J105+N105+P105)*'Reeksen (N)'!AN105,0)</f>
        <v>0</v>
      </c>
      <c r="AP105" s="71">
        <f ca="1">-IF(C105=1,(H105+J105+N105+P105)*'Hulp - basis'!$O$550*'Reeksen (N)'!H105,0)</f>
        <v>0</v>
      </c>
      <c r="AQ105" s="71">
        <f ca="1">-IF(C105=1,(F105+K105+L105+Q105)/2*'Invoer gegevens (N)'!$I$33*'Reeksen (N)'!J105,0)*2</f>
        <v>0</v>
      </c>
      <c r="AR105" s="71">
        <f ca="1">-IF(C105=1,(I105*'Invoer gegevens (N)'!$I$34)*'Reeksen (N)'!J105,0)</f>
        <v>0</v>
      </c>
      <c r="AS105" s="71">
        <f ca="1">-IF(C105=1,(F105+K105+L105+Q105)/2*'Invoer gegevens (N)'!$I$35*'Reeksen (N)'!L105,0)</f>
        <v>0</v>
      </c>
      <c r="AT105" s="71">
        <f ca="1">-IF(C105=1,IF(E105='Invoer gegevens (N)'!$C$17,'Invoer gegevens (N)'!$C$11,AD105)*'Reeksen (N)'!S105*'Invoer gegevens (N)'!$C$18*'Reeksen (N)'!P105,0)</f>
        <v>0</v>
      </c>
      <c r="AU105" s="71">
        <f ca="1">-IF(C105=1,(F105+K105+L105+Q105)/2*'Invoer gegevens (N)'!$I$36*'Reeksen (N)'!H105,0)</f>
        <v>0</v>
      </c>
      <c r="AV105" s="71">
        <v>0</v>
      </c>
      <c r="AW105" s="71">
        <f t="shared" ca="1" si="19"/>
        <v>0</v>
      </c>
      <c r="AX105" s="71">
        <f ca="1">IF(E105&lt;'Invoer gegevens (N)'!$C$17+15,0,IF(E105&gt;'Invoer gegevens (N)'!$C$17+215,0,AW105))</f>
        <v>0</v>
      </c>
      <c r="AY105" s="71">
        <f ca="1">AX105/(1+'Invoer gegevens (N)'!$F$18)^($AZ105-('Invoer gegevens (N)'!$C$17-'Invoer gegevens (N)'!$C$16))/(1+'Invoer gegevens (N)'!$C$39)^('Invoer gegevens (N)'!$C$17-'Invoer gegevens (N)'!$C$16)</f>
        <v>0</v>
      </c>
      <c r="AZ105" s="68">
        <f ca="1">IF(E105-'Invoer gegevens (N)'!$C$17-14.5&lt;0,0,E105-'Invoer gegevens (N)'!$C$17-14.5)</f>
        <v>85.5</v>
      </c>
    </row>
    <row r="106" spans="2:52" x14ac:dyDescent="0.25">
      <c r="B106" s="70">
        <f t="shared" si="20"/>
        <v>102</v>
      </c>
      <c r="C106" s="67">
        <f ca="1">IF(E106-'Invoer gegevens (N)'!$C$17&lt;0,0,1)</f>
        <v>1</v>
      </c>
      <c r="D106" s="68">
        <f t="shared" si="21"/>
        <v>101.5</v>
      </c>
      <c r="E106" s="108">
        <f ca="1">IF('Invoer gegevens (N)'!$C$16="","",E105+1)</f>
        <v>2120</v>
      </c>
      <c r="F106" s="84">
        <f ca="1">IF('Invoer gegevens (N)'!$C$17=E106,'Invoer gegevens (N)'!$C$10,IF(C106=1,K105,0))</f>
        <v>0</v>
      </c>
      <c r="G106" s="96">
        <f ca="1">IF(C106&gt;=1,F106*VLOOKUP(E106,'Reeksen (N)'!$A$5:$B$76,2),0)</f>
        <v>0</v>
      </c>
      <c r="H106" s="84">
        <f ca="1">(1-('Invoer gegevens (N)'!$F$20/12))*F106*MIN('Reeksen (N)'!B106,'Reeksen (N)'!D106)</f>
        <v>0</v>
      </c>
      <c r="I106" s="84">
        <f>IF('Reeksen (N)'!D106&lt;'Reeksen (N)'!B106,('Reeksen (N)'!B106-'Reeksen (N)'!D106)*F106,0)</f>
        <v>0</v>
      </c>
      <c r="J106" s="84">
        <f ca="1">('Invoer gegevens (N)'!$F$20/12)*F105*MIN('Reeksen (N)'!B105,'Reeksen (N)'!D105)</f>
        <v>0</v>
      </c>
      <c r="K106" s="97">
        <f t="shared" ca="1" si="12"/>
        <v>0</v>
      </c>
      <c r="L106" s="84">
        <f ca="1">IF('Invoer gegevens (N)'!$C$17=E106,0,IF(C106=1,Q105,0))</f>
        <v>0</v>
      </c>
      <c r="M106" s="96">
        <f ca="1">IF(C106&gt;=1,L106*VLOOKUP(E106,'Reeksen (N)'!$A$5:$B$76,2),0)</f>
        <v>0</v>
      </c>
      <c r="N106" s="84">
        <f ca="1">(1-('Invoer gegevens (N)'!$F$20/12))*L106*MIN('Reeksen (N)'!B106,'Reeksen (N)'!D106)</f>
        <v>0</v>
      </c>
      <c r="O106" s="84">
        <f>IF('Reeksen (N)'!D106&lt;'Reeksen (N)'!B106,('Reeksen (N)'!B106-'Reeksen (N)'!D106)*L106,0)</f>
        <v>0</v>
      </c>
      <c r="P106" s="84">
        <f ca="1">('Invoer gegevens (N)'!$F$20/12)*L105*MIN('Reeksen (N)'!B105,'Reeksen (N)'!D105)</f>
        <v>0</v>
      </c>
      <c r="Q106" s="84">
        <f t="shared" ca="1" si="13"/>
        <v>0</v>
      </c>
      <c r="R106" s="82">
        <f ca="1">IF('Invoer gegevens (N)'!$C$17=E106,'Invoer gegevens (N)'!$C$11,IF(C106=1,W105,0))</f>
        <v>0</v>
      </c>
      <c r="S106" s="86">
        <f ca="1">IF(C106&gt;=1,R106*VLOOKUP(E106,'Reeksen (N)'!$A$5:$B$76,2),0)</f>
        <v>0</v>
      </c>
      <c r="T106" s="84">
        <f ca="1">(1-('Invoer gegevens (N)'!$F$20/12))*R106*MIN('Reeksen (N)'!B106,'Reeksen (N)'!D106)</f>
        <v>0</v>
      </c>
      <c r="U106" s="84">
        <f>IF('Reeksen (N)'!D106&gt;='Reeksen (N)'!B106,0,IF('Reeksen (N)'!AK106&lt;='Reeksen (N)'!AE106,('Reeksen (N)'!B106-'Reeksen (N)'!D106)*R106,0))</f>
        <v>0</v>
      </c>
      <c r="V106" s="86">
        <f>IF('Reeksen (N)'!D106&gt;='Reeksen (N)'!B106,0,IF('Reeksen (N)'!AK106&gt;'Reeksen (N)'!AE106,('Reeksen (N)'!B106-'Reeksen (N)'!D106)*R106,0))</f>
        <v>0</v>
      </c>
      <c r="W106" s="97">
        <f t="shared" ca="1" si="14"/>
        <v>0</v>
      </c>
      <c r="X106" s="98">
        <f ca="1">IF('Invoer gegevens (N)'!$C$17=E106,'Invoer gegevens (N)'!$C$10-'Invoer gegevens (N)'!$C$11,IF(C106=1,AC105,0))</f>
        <v>0</v>
      </c>
      <c r="Y106" s="98">
        <f ca="1">IF(C106&gt;=1,X106*VLOOKUP(E106,'Reeksen (N)'!$A$5:$B$76,2),0)</f>
        <v>0</v>
      </c>
      <c r="Z106" s="98">
        <f ca="1">(1-('Invoer gegevens (N)'!$F$20/12))*X106*MIN('Reeksen (N)'!B106,'Reeksen (N)'!D106)</f>
        <v>0</v>
      </c>
      <c r="AA106" s="98">
        <f>IF('Reeksen (N)'!D106&gt;='Reeksen (N)'!B106,0,IF('Reeksen (N)'!AK106&lt;='Reeksen (N)'!AE106,('Reeksen (N)'!B106-'Reeksen (N)'!D106)*X106,0))</f>
        <v>0</v>
      </c>
      <c r="AB106" s="98">
        <f>IF('Reeksen (N)'!D106&gt;='Reeksen (N)'!B106,0,IF('Reeksen (N)'!AK106&gt;'Reeksen (N)'!AE106,('Reeksen (N)'!B106-'Reeksen (N)'!D106)*X106,0))</f>
        <v>0</v>
      </c>
      <c r="AC106" s="99">
        <f t="shared" ca="1" si="15"/>
        <v>0</v>
      </c>
      <c r="AD106" s="98">
        <f ca="1">IF('Invoer gegevens (N)'!$C$17=E106,R106,IF(C106=0,0,AE105))</f>
        <v>0</v>
      </c>
      <c r="AE106" s="98">
        <f t="shared" ca="1" si="16"/>
        <v>0</v>
      </c>
      <c r="AF106" s="98">
        <f ca="1">IF('Invoer gegevens (N)'!$C$17=E106,X106,IF(C106=0,0,AG105))</f>
        <v>0</v>
      </c>
      <c r="AG106" s="98">
        <f t="shared" ca="1" si="17"/>
        <v>0</v>
      </c>
      <c r="AH106" s="68"/>
      <c r="AI106" s="71">
        <f ca="1">IF(C106=1,'Reeksen (N)'!AJ106*((F106-G106+F106)/2)*12+'Reeksen (N)'!AK106*((L106-M106+L106)/2)*12,0)</f>
        <v>0</v>
      </c>
      <c r="AJ106" s="71">
        <f ca="1">-AI106*'Invoer gegevens (N)'!$F$28</f>
        <v>0</v>
      </c>
      <c r="AK106" s="71">
        <f t="shared" ca="1" si="11"/>
        <v>0</v>
      </c>
      <c r="AL106" s="71">
        <f ca="1">IF(C106=1,'Reeksen (N)'!AL106*((F106-G106+F106)/2)*12+'Reeksen (N)'!AM106*((L106-M106+L106)/2)*12,0)</f>
        <v>0</v>
      </c>
      <c r="AM106" s="71">
        <f ca="1">-AL106*'Invoer gegevens (N)'!$F$31</f>
        <v>0</v>
      </c>
      <c r="AN106" s="71">
        <f t="shared" ca="1" si="18"/>
        <v>0</v>
      </c>
      <c r="AO106" s="71">
        <f ca="1">IF(C106=1,(H106+J106+N106+P106)*'Reeksen (N)'!AN106,0)</f>
        <v>0</v>
      </c>
      <c r="AP106" s="71">
        <f ca="1">-IF(C106=1,(H106+J106+N106+P106)*'Hulp - basis'!$O$550*'Reeksen (N)'!H106,0)</f>
        <v>0</v>
      </c>
      <c r="AQ106" s="71">
        <f ca="1">-IF(C106=1,(F106+K106+L106+Q106)/2*'Invoer gegevens (N)'!$I$33*'Reeksen (N)'!J106,0)*2</f>
        <v>0</v>
      </c>
      <c r="AR106" s="71">
        <f ca="1">-IF(C106=1,(I106*'Invoer gegevens (N)'!$I$34)*'Reeksen (N)'!J106,0)</f>
        <v>0</v>
      </c>
      <c r="AS106" s="71">
        <f ca="1">-IF(C106=1,(F106+K106+L106+Q106)/2*'Invoer gegevens (N)'!$I$35*'Reeksen (N)'!L106,0)</f>
        <v>0</v>
      </c>
      <c r="AT106" s="71">
        <f ca="1">-IF(C106=1,IF(E106='Invoer gegevens (N)'!$C$17,'Invoer gegevens (N)'!$C$11,AD106)*'Reeksen (N)'!S106*'Invoer gegevens (N)'!$C$18*'Reeksen (N)'!P106,0)</f>
        <v>0</v>
      </c>
      <c r="AU106" s="71">
        <f ca="1">-IF(C106=1,(F106+K106+L106+Q106)/2*'Invoer gegevens (N)'!$I$36*'Reeksen (N)'!H106,0)</f>
        <v>0</v>
      </c>
      <c r="AV106" s="71">
        <v>0</v>
      </c>
      <c r="AW106" s="71">
        <f t="shared" ca="1" si="19"/>
        <v>0</v>
      </c>
      <c r="AX106" s="71">
        <f ca="1">IF(E106&lt;'Invoer gegevens (N)'!$C$17+15,0,IF(E106&gt;'Invoer gegevens (N)'!$C$17+215,0,AW106))</f>
        <v>0</v>
      </c>
      <c r="AY106" s="71">
        <f ca="1">AX106/(1+'Invoer gegevens (N)'!$F$18)^($AZ106-('Invoer gegevens (N)'!$C$17-'Invoer gegevens (N)'!$C$16))/(1+'Invoer gegevens (N)'!$C$39)^('Invoer gegevens (N)'!$C$17-'Invoer gegevens (N)'!$C$16)</f>
        <v>0</v>
      </c>
      <c r="AZ106" s="68">
        <f ca="1">IF(E106-'Invoer gegevens (N)'!$C$17-14.5&lt;0,0,E106-'Invoer gegevens (N)'!$C$17-14.5)</f>
        <v>86.5</v>
      </c>
    </row>
    <row r="107" spans="2:52" x14ac:dyDescent="0.25">
      <c r="B107" s="70">
        <f t="shared" si="20"/>
        <v>103</v>
      </c>
      <c r="C107" s="67">
        <f ca="1">IF(E107-'Invoer gegevens (N)'!$C$17&lt;0,0,1)</f>
        <v>1</v>
      </c>
      <c r="D107" s="68">
        <f t="shared" si="21"/>
        <v>102.5</v>
      </c>
      <c r="E107" s="108">
        <f ca="1">IF('Invoer gegevens (N)'!$C$16="","",E106+1)</f>
        <v>2121</v>
      </c>
      <c r="F107" s="84">
        <f ca="1">IF('Invoer gegevens (N)'!$C$17=E107,'Invoer gegevens (N)'!$C$10,IF(C107=1,K106,0))</f>
        <v>0</v>
      </c>
      <c r="G107" s="96">
        <f ca="1">IF(C107&gt;=1,F107*VLOOKUP(E107,'Reeksen (N)'!$A$5:$B$76,2),0)</f>
        <v>0</v>
      </c>
      <c r="H107" s="84">
        <f ca="1">(1-('Invoer gegevens (N)'!$F$20/12))*F107*MIN('Reeksen (N)'!B107,'Reeksen (N)'!D107)</f>
        <v>0</v>
      </c>
      <c r="I107" s="84">
        <f>IF('Reeksen (N)'!D107&lt;'Reeksen (N)'!B107,('Reeksen (N)'!B107-'Reeksen (N)'!D107)*F107,0)</f>
        <v>0</v>
      </c>
      <c r="J107" s="84">
        <f ca="1">('Invoer gegevens (N)'!$F$20/12)*F106*MIN('Reeksen (N)'!B106,'Reeksen (N)'!D106)</f>
        <v>0</v>
      </c>
      <c r="K107" s="97">
        <f t="shared" ca="1" si="12"/>
        <v>0</v>
      </c>
      <c r="L107" s="84">
        <f ca="1">IF('Invoer gegevens (N)'!$C$17=E107,0,IF(C107=1,Q106,0))</f>
        <v>0</v>
      </c>
      <c r="M107" s="96">
        <f ca="1">IF(C107&gt;=1,L107*VLOOKUP(E107,'Reeksen (N)'!$A$5:$B$76,2),0)</f>
        <v>0</v>
      </c>
      <c r="N107" s="84">
        <f ca="1">(1-('Invoer gegevens (N)'!$F$20/12))*L107*MIN('Reeksen (N)'!B107,'Reeksen (N)'!D107)</f>
        <v>0</v>
      </c>
      <c r="O107" s="84">
        <f>IF('Reeksen (N)'!D107&lt;'Reeksen (N)'!B107,('Reeksen (N)'!B107-'Reeksen (N)'!D107)*L107,0)</f>
        <v>0</v>
      </c>
      <c r="P107" s="84">
        <f ca="1">('Invoer gegevens (N)'!$F$20/12)*L106*MIN('Reeksen (N)'!B106,'Reeksen (N)'!D106)</f>
        <v>0</v>
      </c>
      <c r="Q107" s="84">
        <f t="shared" ca="1" si="13"/>
        <v>0</v>
      </c>
      <c r="R107" s="82">
        <f ca="1">IF('Invoer gegevens (N)'!$C$17=E107,'Invoer gegevens (N)'!$C$11,IF(C107=1,W106,0))</f>
        <v>0</v>
      </c>
      <c r="S107" s="86">
        <f ca="1">IF(C107&gt;=1,R107*VLOOKUP(E107,'Reeksen (N)'!$A$5:$B$76,2),0)</f>
        <v>0</v>
      </c>
      <c r="T107" s="84">
        <f ca="1">(1-('Invoer gegevens (N)'!$F$20/12))*R107*MIN('Reeksen (N)'!B107,'Reeksen (N)'!D107)</f>
        <v>0</v>
      </c>
      <c r="U107" s="84">
        <f>IF('Reeksen (N)'!D107&gt;='Reeksen (N)'!B107,0,IF('Reeksen (N)'!AK107&lt;='Reeksen (N)'!AE107,('Reeksen (N)'!B107-'Reeksen (N)'!D107)*R107,0))</f>
        <v>0</v>
      </c>
      <c r="V107" s="86">
        <f>IF('Reeksen (N)'!D107&gt;='Reeksen (N)'!B107,0,IF('Reeksen (N)'!AK107&gt;'Reeksen (N)'!AE107,('Reeksen (N)'!B107-'Reeksen (N)'!D107)*R107,0))</f>
        <v>0</v>
      </c>
      <c r="W107" s="97">
        <f t="shared" ca="1" si="14"/>
        <v>0</v>
      </c>
      <c r="X107" s="98">
        <f ca="1">IF('Invoer gegevens (N)'!$C$17=E107,'Invoer gegevens (N)'!$C$10-'Invoer gegevens (N)'!$C$11,IF(C107=1,AC106,0))</f>
        <v>0</v>
      </c>
      <c r="Y107" s="98">
        <f ca="1">IF(C107&gt;=1,X107*VLOOKUP(E107,'Reeksen (N)'!$A$5:$B$76,2),0)</f>
        <v>0</v>
      </c>
      <c r="Z107" s="98">
        <f ca="1">(1-('Invoer gegevens (N)'!$F$20/12))*X107*MIN('Reeksen (N)'!B107,'Reeksen (N)'!D107)</f>
        <v>0</v>
      </c>
      <c r="AA107" s="98">
        <f>IF('Reeksen (N)'!D107&gt;='Reeksen (N)'!B107,0,IF('Reeksen (N)'!AK107&lt;='Reeksen (N)'!AE107,('Reeksen (N)'!B107-'Reeksen (N)'!D107)*X107,0))</f>
        <v>0</v>
      </c>
      <c r="AB107" s="98">
        <f>IF('Reeksen (N)'!D107&gt;='Reeksen (N)'!B107,0,IF('Reeksen (N)'!AK107&gt;'Reeksen (N)'!AE107,('Reeksen (N)'!B107-'Reeksen (N)'!D107)*X107,0))</f>
        <v>0</v>
      </c>
      <c r="AC107" s="99">
        <f t="shared" ca="1" si="15"/>
        <v>0</v>
      </c>
      <c r="AD107" s="98">
        <f ca="1">IF('Invoer gegevens (N)'!$C$17=E107,R107,IF(C107=0,0,AE106))</f>
        <v>0</v>
      </c>
      <c r="AE107" s="98">
        <f t="shared" ca="1" si="16"/>
        <v>0</v>
      </c>
      <c r="AF107" s="98">
        <f ca="1">IF('Invoer gegevens (N)'!$C$17=E107,X107,IF(C107=0,0,AG106))</f>
        <v>0</v>
      </c>
      <c r="AG107" s="98">
        <f t="shared" ca="1" si="17"/>
        <v>0</v>
      </c>
      <c r="AH107" s="68"/>
      <c r="AI107" s="71">
        <f ca="1">IF(C107=1,'Reeksen (N)'!AJ107*((F107-G107+F107)/2)*12+'Reeksen (N)'!AK107*((L107-M107+L107)/2)*12,0)</f>
        <v>0</v>
      </c>
      <c r="AJ107" s="71">
        <f ca="1">-AI107*'Invoer gegevens (N)'!$F$28</f>
        <v>0</v>
      </c>
      <c r="AK107" s="71">
        <f t="shared" ca="1" si="11"/>
        <v>0</v>
      </c>
      <c r="AL107" s="71">
        <f ca="1">IF(C107=1,'Reeksen (N)'!AL107*((F107-G107+F107)/2)*12+'Reeksen (N)'!AM107*((L107-M107+L107)/2)*12,0)</f>
        <v>0</v>
      </c>
      <c r="AM107" s="71">
        <f ca="1">-AL107*'Invoer gegevens (N)'!$F$31</f>
        <v>0</v>
      </c>
      <c r="AN107" s="71">
        <f t="shared" ca="1" si="18"/>
        <v>0</v>
      </c>
      <c r="AO107" s="71">
        <f ca="1">IF(C107=1,(H107+J107+N107+P107)*'Reeksen (N)'!AN107,0)</f>
        <v>0</v>
      </c>
      <c r="AP107" s="71">
        <f ca="1">-IF(C107=1,(H107+J107+N107+P107)*'Hulp - basis'!$O$550*'Reeksen (N)'!H107,0)</f>
        <v>0</v>
      </c>
      <c r="AQ107" s="71">
        <f ca="1">-IF(C107=1,(F107+K107+L107+Q107)/2*'Invoer gegevens (N)'!$I$33*'Reeksen (N)'!J107,0)*2</f>
        <v>0</v>
      </c>
      <c r="AR107" s="71">
        <f ca="1">-IF(C107=1,(I107*'Invoer gegevens (N)'!$I$34)*'Reeksen (N)'!J107,0)</f>
        <v>0</v>
      </c>
      <c r="AS107" s="71">
        <f ca="1">-IF(C107=1,(F107+K107+L107+Q107)/2*'Invoer gegevens (N)'!$I$35*'Reeksen (N)'!L107,0)</f>
        <v>0</v>
      </c>
      <c r="AT107" s="71">
        <f ca="1">-IF(C107=1,IF(E107='Invoer gegevens (N)'!$C$17,'Invoer gegevens (N)'!$C$11,AD107)*'Reeksen (N)'!S107*'Invoer gegevens (N)'!$C$18*'Reeksen (N)'!P107,0)</f>
        <v>0</v>
      </c>
      <c r="AU107" s="71">
        <f ca="1">-IF(C107=1,(F107+K107+L107+Q107)/2*'Invoer gegevens (N)'!$I$36*'Reeksen (N)'!H107,0)</f>
        <v>0</v>
      </c>
      <c r="AV107" s="71">
        <v>0</v>
      </c>
      <c r="AW107" s="71">
        <f t="shared" ca="1" si="19"/>
        <v>0</v>
      </c>
      <c r="AX107" s="71">
        <f ca="1">IF(E107&lt;'Invoer gegevens (N)'!$C$17+15,0,IF(E107&gt;'Invoer gegevens (N)'!$C$17+215,0,AW107))</f>
        <v>0</v>
      </c>
      <c r="AY107" s="71">
        <f ca="1">AX107/(1+'Invoer gegevens (N)'!$F$18)^($AZ107-('Invoer gegevens (N)'!$C$17-'Invoer gegevens (N)'!$C$16))/(1+'Invoer gegevens (N)'!$C$39)^('Invoer gegevens (N)'!$C$17-'Invoer gegevens (N)'!$C$16)</f>
        <v>0</v>
      </c>
      <c r="AZ107" s="68">
        <f ca="1">IF(E107-'Invoer gegevens (N)'!$C$17-14.5&lt;0,0,E107-'Invoer gegevens (N)'!$C$17-14.5)</f>
        <v>87.5</v>
      </c>
    </row>
    <row r="108" spans="2:52" x14ac:dyDescent="0.25">
      <c r="B108" s="70">
        <f t="shared" si="20"/>
        <v>104</v>
      </c>
      <c r="C108" s="67">
        <f ca="1">IF(E108-'Invoer gegevens (N)'!$C$17&lt;0,0,1)</f>
        <v>1</v>
      </c>
      <c r="D108" s="68">
        <f t="shared" si="21"/>
        <v>103.5</v>
      </c>
      <c r="E108" s="108">
        <f ca="1">IF('Invoer gegevens (N)'!$C$16="","",E107+1)</f>
        <v>2122</v>
      </c>
      <c r="F108" s="84">
        <f ca="1">IF('Invoer gegevens (N)'!$C$17=E108,'Invoer gegevens (N)'!$C$10,IF(C108=1,K107,0))</f>
        <v>0</v>
      </c>
      <c r="G108" s="96">
        <f ca="1">IF(C108&gt;=1,F108*VLOOKUP(E108,'Reeksen (N)'!$A$5:$B$76,2),0)</f>
        <v>0</v>
      </c>
      <c r="H108" s="84">
        <f ca="1">(1-('Invoer gegevens (N)'!$F$20/12))*F108*MIN('Reeksen (N)'!B108,'Reeksen (N)'!D108)</f>
        <v>0</v>
      </c>
      <c r="I108" s="84">
        <f>IF('Reeksen (N)'!D108&lt;'Reeksen (N)'!B108,('Reeksen (N)'!B108-'Reeksen (N)'!D108)*F108,0)</f>
        <v>0</v>
      </c>
      <c r="J108" s="84">
        <f ca="1">('Invoer gegevens (N)'!$F$20/12)*F107*MIN('Reeksen (N)'!B107,'Reeksen (N)'!D107)</f>
        <v>0</v>
      </c>
      <c r="K108" s="97">
        <f t="shared" ca="1" si="12"/>
        <v>0</v>
      </c>
      <c r="L108" s="84">
        <f ca="1">IF('Invoer gegevens (N)'!$C$17=E108,0,IF(C108=1,Q107,0))</f>
        <v>0</v>
      </c>
      <c r="M108" s="96">
        <f ca="1">IF(C108&gt;=1,L108*VLOOKUP(E108,'Reeksen (N)'!$A$5:$B$76,2),0)</f>
        <v>0</v>
      </c>
      <c r="N108" s="84">
        <f ca="1">(1-('Invoer gegevens (N)'!$F$20/12))*L108*MIN('Reeksen (N)'!B108,'Reeksen (N)'!D108)</f>
        <v>0</v>
      </c>
      <c r="O108" s="84">
        <f>IF('Reeksen (N)'!D108&lt;'Reeksen (N)'!B108,('Reeksen (N)'!B108-'Reeksen (N)'!D108)*L108,0)</f>
        <v>0</v>
      </c>
      <c r="P108" s="84">
        <f ca="1">('Invoer gegevens (N)'!$F$20/12)*L107*MIN('Reeksen (N)'!B107,'Reeksen (N)'!D107)</f>
        <v>0</v>
      </c>
      <c r="Q108" s="84">
        <f t="shared" ca="1" si="13"/>
        <v>0</v>
      </c>
      <c r="R108" s="82">
        <f ca="1">IF('Invoer gegevens (N)'!$C$17=E108,'Invoer gegevens (N)'!$C$11,IF(C108=1,W107,0))</f>
        <v>0</v>
      </c>
      <c r="S108" s="86">
        <f ca="1">IF(C108&gt;=1,R108*VLOOKUP(E108,'Reeksen (N)'!$A$5:$B$76,2),0)</f>
        <v>0</v>
      </c>
      <c r="T108" s="84">
        <f ca="1">(1-('Invoer gegevens (N)'!$F$20/12))*R108*MIN('Reeksen (N)'!B108,'Reeksen (N)'!D108)</f>
        <v>0</v>
      </c>
      <c r="U108" s="84">
        <f>IF('Reeksen (N)'!D108&gt;='Reeksen (N)'!B108,0,IF('Reeksen (N)'!AK108&lt;='Reeksen (N)'!AE108,('Reeksen (N)'!B108-'Reeksen (N)'!D108)*R108,0))</f>
        <v>0</v>
      </c>
      <c r="V108" s="86">
        <f>IF('Reeksen (N)'!D108&gt;='Reeksen (N)'!B108,0,IF('Reeksen (N)'!AK108&gt;'Reeksen (N)'!AE108,('Reeksen (N)'!B108-'Reeksen (N)'!D108)*R108,0))</f>
        <v>0</v>
      </c>
      <c r="W108" s="97">
        <f t="shared" ca="1" si="14"/>
        <v>0</v>
      </c>
      <c r="X108" s="98">
        <f ca="1">IF('Invoer gegevens (N)'!$C$17=E108,'Invoer gegevens (N)'!$C$10-'Invoer gegevens (N)'!$C$11,IF(C108=1,AC107,0))</f>
        <v>0</v>
      </c>
      <c r="Y108" s="98">
        <f ca="1">IF(C108&gt;=1,X108*VLOOKUP(E108,'Reeksen (N)'!$A$5:$B$76,2),0)</f>
        <v>0</v>
      </c>
      <c r="Z108" s="98">
        <f ca="1">(1-('Invoer gegevens (N)'!$F$20/12))*X108*MIN('Reeksen (N)'!B108,'Reeksen (N)'!D108)</f>
        <v>0</v>
      </c>
      <c r="AA108" s="98">
        <f>IF('Reeksen (N)'!D108&gt;='Reeksen (N)'!B108,0,IF('Reeksen (N)'!AK108&lt;='Reeksen (N)'!AE108,('Reeksen (N)'!B108-'Reeksen (N)'!D108)*X108,0))</f>
        <v>0</v>
      </c>
      <c r="AB108" s="98">
        <f>IF('Reeksen (N)'!D108&gt;='Reeksen (N)'!B108,0,IF('Reeksen (N)'!AK108&gt;'Reeksen (N)'!AE108,('Reeksen (N)'!B108-'Reeksen (N)'!D108)*X108,0))</f>
        <v>0</v>
      </c>
      <c r="AC108" s="99">
        <f t="shared" ca="1" si="15"/>
        <v>0</v>
      </c>
      <c r="AD108" s="98">
        <f ca="1">IF('Invoer gegevens (N)'!$C$17=E108,R108,IF(C108=0,0,AE107))</f>
        <v>0</v>
      </c>
      <c r="AE108" s="98">
        <f t="shared" ca="1" si="16"/>
        <v>0</v>
      </c>
      <c r="AF108" s="98">
        <f ca="1">IF('Invoer gegevens (N)'!$C$17=E108,X108,IF(C108=0,0,AG107))</f>
        <v>0</v>
      </c>
      <c r="AG108" s="98">
        <f t="shared" ca="1" si="17"/>
        <v>0</v>
      </c>
      <c r="AH108" s="68"/>
      <c r="AI108" s="71">
        <f ca="1">IF(C108=1,'Reeksen (N)'!AJ108*((F108-G108+F108)/2)*12+'Reeksen (N)'!AK108*((L108-M108+L108)/2)*12,0)</f>
        <v>0</v>
      </c>
      <c r="AJ108" s="71">
        <f ca="1">-AI108*'Invoer gegevens (N)'!$F$28</f>
        <v>0</v>
      </c>
      <c r="AK108" s="71">
        <f t="shared" ca="1" si="11"/>
        <v>0</v>
      </c>
      <c r="AL108" s="71">
        <f ca="1">IF(C108=1,'Reeksen (N)'!AL108*((F108-G108+F108)/2)*12+'Reeksen (N)'!AM108*((L108-M108+L108)/2)*12,0)</f>
        <v>0</v>
      </c>
      <c r="AM108" s="71">
        <f ca="1">-AL108*'Invoer gegevens (N)'!$F$31</f>
        <v>0</v>
      </c>
      <c r="AN108" s="71">
        <f t="shared" ca="1" si="18"/>
        <v>0</v>
      </c>
      <c r="AO108" s="71">
        <f ca="1">IF(C108=1,(H108+J108+N108+P108)*'Reeksen (N)'!AN108,0)</f>
        <v>0</v>
      </c>
      <c r="AP108" s="71">
        <f ca="1">-IF(C108=1,(H108+J108+N108+P108)*'Hulp - basis'!$O$550*'Reeksen (N)'!H108,0)</f>
        <v>0</v>
      </c>
      <c r="AQ108" s="71">
        <f ca="1">-IF(C108=1,(F108+K108+L108+Q108)/2*'Invoer gegevens (N)'!$I$33*'Reeksen (N)'!J108,0)*2</f>
        <v>0</v>
      </c>
      <c r="AR108" s="71">
        <f ca="1">-IF(C108=1,(I108*'Invoer gegevens (N)'!$I$34)*'Reeksen (N)'!J108,0)</f>
        <v>0</v>
      </c>
      <c r="AS108" s="71">
        <f ca="1">-IF(C108=1,(F108+K108+L108+Q108)/2*'Invoer gegevens (N)'!$I$35*'Reeksen (N)'!L108,0)</f>
        <v>0</v>
      </c>
      <c r="AT108" s="71">
        <f ca="1">-IF(C108=1,IF(E108='Invoer gegevens (N)'!$C$17,'Invoer gegevens (N)'!$C$11,AD108)*'Reeksen (N)'!S108*'Invoer gegevens (N)'!$C$18*'Reeksen (N)'!P108,0)</f>
        <v>0</v>
      </c>
      <c r="AU108" s="71">
        <f ca="1">-IF(C108=1,(F108+K108+L108+Q108)/2*'Invoer gegevens (N)'!$I$36*'Reeksen (N)'!H108,0)</f>
        <v>0</v>
      </c>
      <c r="AV108" s="71">
        <v>0</v>
      </c>
      <c r="AW108" s="71">
        <f t="shared" ca="1" si="19"/>
        <v>0</v>
      </c>
      <c r="AX108" s="71">
        <f ca="1">IF(E108&lt;'Invoer gegevens (N)'!$C$17+15,0,IF(E108&gt;'Invoer gegevens (N)'!$C$17+215,0,AW108))</f>
        <v>0</v>
      </c>
      <c r="AY108" s="71">
        <f ca="1">AX108/(1+'Invoer gegevens (N)'!$F$18)^($AZ108-('Invoer gegevens (N)'!$C$17-'Invoer gegevens (N)'!$C$16))/(1+'Invoer gegevens (N)'!$C$39)^('Invoer gegevens (N)'!$C$17-'Invoer gegevens (N)'!$C$16)</f>
        <v>0</v>
      </c>
      <c r="AZ108" s="68">
        <f ca="1">IF(E108-'Invoer gegevens (N)'!$C$17-14.5&lt;0,0,E108-'Invoer gegevens (N)'!$C$17-14.5)</f>
        <v>88.5</v>
      </c>
    </row>
    <row r="109" spans="2:52" x14ac:dyDescent="0.25">
      <c r="B109" s="70">
        <f t="shared" si="20"/>
        <v>105</v>
      </c>
      <c r="C109" s="67">
        <f ca="1">IF(E109-'Invoer gegevens (N)'!$C$17&lt;0,0,1)</f>
        <v>1</v>
      </c>
      <c r="D109" s="68">
        <f t="shared" si="21"/>
        <v>104.5</v>
      </c>
      <c r="E109" s="108">
        <f ca="1">IF('Invoer gegevens (N)'!$C$16="","",E108+1)</f>
        <v>2123</v>
      </c>
      <c r="F109" s="84">
        <f ca="1">IF('Invoer gegevens (N)'!$C$17=E109,'Invoer gegevens (N)'!$C$10,IF(C109=1,K108,0))</f>
        <v>0</v>
      </c>
      <c r="G109" s="96">
        <f ca="1">IF(C109&gt;=1,F109*VLOOKUP(E109,'Reeksen (N)'!$A$5:$B$76,2),0)</f>
        <v>0</v>
      </c>
      <c r="H109" s="84">
        <f ca="1">(1-('Invoer gegevens (N)'!$F$20/12))*F109*MIN('Reeksen (N)'!B109,'Reeksen (N)'!D109)</f>
        <v>0</v>
      </c>
      <c r="I109" s="84">
        <f>IF('Reeksen (N)'!D109&lt;'Reeksen (N)'!B109,('Reeksen (N)'!B109-'Reeksen (N)'!D109)*F109,0)</f>
        <v>0</v>
      </c>
      <c r="J109" s="84">
        <f ca="1">('Invoer gegevens (N)'!$F$20/12)*F108*MIN('Reeksen (N)'!B108,'Reeksen (N)'!D108)</f>
        <v>0</v>
      </c>
      <c r="K109" s="97">
        <f t="shared" ca="1" si="12"/>
        <v>0</v>
      </c>
      <c r="L109" s="84">
        <f ca="1">IF('Invoer gegevens (N)'!$C$17=E109,0,IF(C109=1,Q108,0))</f>
        <v>0</v>
      </c>
      <c r="M109" s="96">
        <f ca="1">IF(C109&gt;=1,L109*VLOOKUP(E109,'Reeksen (N)'!$A$5:$B$76,2),0)</f>
        <v>0</v>
      </c>
      <c r="N109" s="84">
        <f ca="1">(1-('Invoer gegevens (N)'!$F$20/12))*L109*MIN('Reeksen (N)'!B109,'Reeksen (N)'!D109)</f>
        <v>0</v>
      </c>
      <c r="O109" s="84">
        <f>IF('Reeksen (N)'!D109&lt;'Reeksen (N)'!B109,('Reeksen (N)'!B109-'Reeksen (N)'!D109)*L109,0)</f>
        <v>0</v>
      </c>
      <c r="P109" s="84">
        <f ca="1">('Invoer gegevens (N)'!$F$20/12)*L108*MIN('Reeksen (N)'!B108,'Reeksen (N)'!D108)</f>
        <v>0</v>
      </c>
      <c r="Q109" s="84">
        <f t="shared" ca="1" si="13"/>
        <v>0</v>
      </c>
      <c r="R109" s="82">
        <f ca="1">IF('Invoer gegevens (N)'!$C$17=E109,'Invoer gegevens (N)'!$C$11,IF(C109=1,W108,0))</f>
        <v>0</v>
      </c>
      <c r="S109" s="86">
        <f ca="1">IF(C109&gt;=1,R109*VLOOKUP(E109,'Reeksen (N)'!$A$5:$B$76,2),0)</f>
        <v>0</v>
      </c>
      <c r="T109" s="84">
        <f ca="1">(1-('Invoer gegevens (N)'!$F$20/12))*R109*MIN('Reeksen (N)'!B109,'Reeksen (N)'!D109)</f>
        <v>0</v>
      </c>
      <c r="U109" s="84">
        <f>IF('Reeksen (N)'!D109&gt;='Reeksen (N)'!B109,0,IF('Reeksen (N)'!AK109&lt;='Reeksen (N)'!AE109,('Reeksen (N)'!B109-'Reeksen (N)'!D109)*R109,0))</f>
        <v>0</v>
      </c>
      <c r="V109" s="86">
        <f>IF('Reeksen (N)'!D109&gt;='Reeksen (N)'!B109,0,IF('Reeksen (N)'!AK109&gt;'Reeksen (N)'!AE109,('Reeksen (N)'!B109-'Reeksen (N)'!D109)*R109,0))</f>
        <v>0</v>
      </c>
      <c r="W109" s="97">
        <f t="shared" ca="1" si="14"/>
        <v>0</v>
      </c>
      <c r="X109" s="98">
        <f ca="1">IF('Invoer gegevens (N)'!$C$17=E109,'Invoer gegevens (N)'!$C$10-'Invoer gegevens (N)'!$C$11,IF(C109=1,AC108,0))</f>
        <v>0</v>
      </c>
      <c r="Y109" s="98">
        <f ca="1">IF(C109&gt;=1,X109*VLOOKUP(E109,'Reeksen (N)'!$A$5:$B$76,2),0)</f>
        <v>0</v>
      </c>
      <c r="Z109" s="98">
        <f ca="1">(1-('Invoer gegevens (N)'!$F$20/12))*X109*MIN('Reeksen (N)'!B109,'Reeksen (N)'!D109)</f>
        <v>0</v>
      </c>
      <c r="AA109" s="98">
        <f>IF('Reeksen (N)'!D109&gt;='Reeksen (N)'!B109,0,IF('Reeksen (N)'!AK109&lt;='Reeksen (N)'!AE109,('Reeksen (N)'!B109-'Reeksen (N)'!D109)*X109,0))</f>
        <v>0</v>
      </c>
      <c r="AB109" s="98">
        <f>IF('Reeksen (N)'!D109&gt;='Reeksen (N)'!B109,0,IF('Reeksen (N)'!AK109&gt;'Reeksen (N)'!AE109,('Reeksen (N)'!B109-'Reeksen (N)'!D109)*X109,0))</f>
        <v>0</v>
      </c>
      <c r="AC109" s="99">
        <f t="shared" ca="1" si="15"/>
        <v>0</v>
      </c>
      <c r="AD109" s="98">
        <f ca="1">IF('Invoer gegevens (N)'!$C$17=E109,R109,IF(C109=0,0,AE108))</f>
        <v>0</v>
      </c>
      <c r="AE109" s="98">
        <f t="shared" ca="1" si="16"/>
        <v>0</v>
      </c>
      <c r="AF109" s="98">
        <f ca="1">IF('Invoer gegevens (N)'!$C$17=E109,X109,IF(C109=0,0,AG108))</f>
        <v>0</v>
      </c>
      <c r="AG109" s="98">
        <f t="shared" ca="1" si="17"/>
        <v>0</v>
      </c>
      <c r="AH109" s="68"/>
      <c r="AI109" s="71">
        <f ca="1">IF(C109=1,'Reeksen (N)'!AJ109*((F109-G109+F109)/2)*12+'Reeksen (N)'!AK109*((L109-M109+L109)/2)*12,0)</f>
        <v>0</v>
      </c>
      <c r="AJ109" s="71">
        <f ca="1">-AI109*'Invoer gegevens (N)'!$F$28</f>
        <v>0</v>
      </c>
      <c r="AK109" s="71">
        <f t="shared" ca="1" si="11"/>
        <v>0</v>
      </c>
      <c r="AL109" s="71">
        <f ca="1">IF(C109=1,'Reeksen (N)'!AL109*((F109-G109+F109)/2)*12+'Reeksen (N)'!AM109*((L109-M109+L109)/2)*12,0)</f>
        <v>0</v>
      </c>
      <c r="AM109" s="71">
        <f ca="1">-AL109*'Invoer gegevens (N)'!$F$31</f>
        <v>0</v>
      </c>
      <c r="AN109" s="71">
        <f t="shared" ca="1" si="18"/>
        <v>0</v>
      </c>
      <c r="AO109" s="71">
        <f ca="1">IF(C109=1,(H109+J109+N109+P109)*'Reeksen (N)'!AN109,0)</f>
        <v>0</v>
      </c>
      <c r="AP109" s="71">
        <f ca="1">-IF(C109=1,(H109+J109+N109+P109)*'Hulp - basis'!$O$550*'Reeksen (N)'!H109,0)</f>
        <v>0</v>
      </c>
      <c r="AQ109" s="71">
        <f ca="1">-IF(C109=1,(F109+K109+L109+Q109)/2*'Invoer gegevens (N)'!$I$33*'Reeksen (N)'!J109,0)*2</f>
        <v>0</v>
      </c>
      <c r="AR109" s="71">
        <f ca="1">-IF(C109=1,(I109*'Invoer gegevens (N)'!$I$34)*'Reeksen (N)'!J109,0)</f>
        <v>0</v>
      </c>
      <c r="AS109" s="71">
        <f ca="1">-IF(C109=1,(F109+K109+L109+Q109)/2*'Invoer gegevens (N)'!$I$35*'Reeksen (N)'!L109,0)</f>
        <v>0</v>
      </c>
      <c r="AT109" s="71">
        <f ca="1">-IF(C109=1,IF(E109='Invoer gegevens (N)'!$C$17,'Invoer gegevens (N)'!$C$11,AD109)*'Reeksen (N)'!S109*'Invoer gegevens (N)'!$C$18*'Reeksen (N)'!P109,0)</f>
        <v>0</v>
      </c>
      <c r="AU109" s="71">
        <f ca="1">-IF(C109=1,(F109+K109+L109+Q109)/2*'Invoer gegevens (N)'!$I$36*'Reeksen (N)'!H109,0)</f>
        <v>0</v>
      </c>
      <c r="AV109" s="71">
        <v>0</v>
      </c>
      <c r="AW109" s="71">
        <f t="shared" ca="1" si="19"/>
        <v>0</v>
      </c>
      <c r="AX109" s="71">
        <f ca="1">IF(E109&lt;'Invoer gegevens (N)'!$C$17+15,0,IF(E109&gt;'Invoer gegevens (N)'!$C$17+215,0,AW109))</f>
        <v>0</v>
      </c>
      <c r="AY109" s="71">
        <f ca="1">AX109/(1+'Invoer gegevens (N)'!$F$18)^($AZ109-('Invoer gegevens (N)'!$C$17-'Invoer gegevens (N)'!$C$16))/(1+'Invoer gegevens (N)'!$C$39)^('Invoer gegevens (N)'!$C$17-'Invoer gegevens (N)'!$C$16)</f>
        <v>0</v>
      </c>
      <c r="AZ109" s="68">
        <f ca="1">IF(E109-'Invoer gegevens (N)'!$C$17-14.5&lt;0,0,E109-'Invoer gegevens (N)'!$C$17-14.5)</f>
        <v>89.5</v>
      </c>
    </row>
    <row r="110" spans="2:52" x14ac:dyDescent="0.25">
      <c r="B110" s="70">
        <f t="shared" si="20"/>
        <v>106</v>
      </c>
      <c r="C110" s="67">
        <f ca="1">IF(E110-'Invoer gegevens (N)'!$C$17&lt;0,0,1)</f>
        <v>1</v>
      </c>
      <c r="D110" s="68">
        <f t="shared" si="21"/>
        <v>105.5</v>
      </c>
      <c r="E110" s="108">
        <f ca="1">IF('Invoer gegevens (N)'!$C$16="","",E109+1)</f>
        <v>2124</v>
      </c>
      <c r="F110" s="84">
        <f ca="1">IF('Invoer gegevens (N)'!$C$17=E110,'Invoer gegevens (N)'!$C$10,IF(C110=1,K109,0))</f>
        <v>0</v>
      </c>
      <c r="G110" s="96">
        <f ca="1">IF(C110&gt;=1,F110*VLOOKUP(E110,'Reeksen (N)'!$A$5:$B$76,2),0)</f>
        <v>0</v>
      </c>
      <c r="H110" s="84">
        <f ca="1">(1-('Invoer gegevens (N)'!$F$20/12))*F110*MIN('Reeksen (N)'!B110,'Reeksen (N)'!D110)</f>
        <v>0</v>
      </c>
      <c r="I110" s="84">
        <f>IF('Reeksen (N)'!D110&lt;'Reeksen (N)'!B110,('Reeksen (N)'!B110-'Reeksen (N)'!D110)*F110,0)</f>
        <v>0</v>
      </c>
      <c r="J110" s="84">
        <f ca="1">('Invoer gegevens (N)'!$F$20/12)*F109*MIN('Reeksen (N)'!B109,'Reeksen (N)'!D109)</f>
        <v>0</v>
      </c>
      <c r="K110" s="97">
        <f t="shared" ca="1" si="12"/>
        <v>0</v>
      </c>
      <c r="L110" s="84">
        <f ca="1">IF('Invoer gegevens (N)'!$C$17=E110,0,IF(C110=1,Q109,0))</f>
        <v>0</v>
      </c>
      <c r="M110" s="96">
        <f ca="1">IF(C110&gt;=1,L110*VLOOKUP(E110,'Reeksen (N)'!$A$5:$B$76,2),0)</f>
        <v>0</v>
      </c>
      <c r="N110" s="84">
        <f ca="1">(1-('Invoer gegevens (N)'!$F$20/12))*L110*MIN('Reeksen (N)'!B110,'Reeksen (N)'!D110)</f>
        <v>0</v>
      </c>
      <c r="O110" s="84">
        <f>IF('Reeksen (N)'!D110&lt;'Reeksen (N)'!B110,('Reeksen (N)'!B110-'Reeksen (N)'!D110)*L110,0)</f>
        <v>0</v>
      </c>
      <c r="P110" s="84">
        <f ca="1">('Invoer gegevens (N)'!$F$20/12)*L109*MIN('Reeksen (N)'!B109,'Reeksen (N)'!D109)</f>
        <v>0</v>
      </c>
      <c r="Q110" s="84">
        <f t="shared" ca="1" si="13"/>
        <v>0</v>
      </c>
      <c r="R110" s="82">
        <f ca="1">IF('Invoer gegevens (N)'!$C$17=E110,'Invoer gegevens (N)'!$C$11,IF(C110=1,W109,0))</f>
        <v>0</v>
      </c>
      <c r="S110" s="86">
        <f ca="1">IF(C110&gt;=1,R110*VLOOKUP(E110,'Reeksen (N)'!$A$5:$B$76,2),0)</f>
        <v>0</v>
      </c>
      <c r="T110" s="84">
        <f ca="1">(1-('Invoer gegevens (N)'!$F$20/12))*R110*MIN('Reeksen (N)'!B110,'Reeksen (N)'!D110)</f>
        <v>0</v>
      </c>
      <c r="U110" s="84">
        <f>IF('Reeksen (N)'!D110&gt;='Reeksen (N)'!B110,0,IF('Reeksen (N)'!AK110&lt;='Reeksen (N)'!AE110,('Reeksen (N)'!B110-'Reeksen (N)'!D110)*R110,0))</f>
        <v>0</v>
      </c>
      <c r="V110" s="86">
        <f>IF('Reeksen (N)'!D110&gt;='Reeksen (N)'!B110,0,IF('Reeksen (N)'!AK110&gt;'Reeksen (N)'!AE110,('Reeksen (N)'!B110-'Reeksen (N)'!D110)*R110,0))</f>
        <v>0</v>
      </c>
      <c r="W110" s="97">
        <f t="shared" ca="1" si="14"/>
        <v>0</v>
      </c>
      <c r="X110" s="98">
        <f ca="1">IF('Invoer gegevens (N)'!$C$17=E110,'Invoer gegevens (N)'!$C$10-'Invoer gegevens (N)'!$C$11,IF(C110=1,AC109,0))</f>
        <v>0</v>
      </c>
      <c r="Y110" s="98">
        <f ca="1">IF(C110&gt;=1,X110*VLOOKUP(E110,'Reeksen (N)'!$A$5:$B$76,2),0)</f>
        <v>0</v>
      </c>
      <c r="Z110" s="98">
        <f ca="1">(1-('Invoer gegevens (N)'!$F$20/12))*X110*MIN('Reeksen (N)'!B110,'Reeksen (N)'!D110)</f>
        <v>0</v>
      </c>
      <c r="AA110" s="98">
        <f>IF('Reeksen (N)'!D110&gt;='Reeksen (N)'!B110,0,IF('Reeksen (N)'!AK110&lt;='Reeksen (N)'!AE110,('Reeksen (N)'!B110-'Reeksen (N)'!D110)*X110,0))</f>
        <v>0</v>
      </c>
      <c r="AB110" s="98">
        <f>IF('Reeksen (N)'!D110&gt;='Reeksen (N)'!B110,0,IF('Reeksen (N)'!AK110&gt;'Reeksen (N)'!AE110,('Reeksen (N)'!B110-'Reeksen (N)'!D110)*X110,0))</f>
        <v>0</v>
      </c>
      <c r="AC110" s="99">
        <f t="shared" ca="1" si="15"/>
        <v>0</v>
      </c>
      <c r="AD110" s="98">
        <f ca="1">IF('Invoer gegevens (N)'!$C$17=E110,R110,IF(C110=0,0,AE109))</f>
        <v>0</v>
      </c>
      <c r="AE110" s="98">
        <f t="shared" ca="1" si="16"/>
        <v>0</v>
      </c>
      <c r="AF110" s="98">
        <f ca="1">IF('Invoer gegevens (N)'!$C$17=E110,X110,IF(C110=0,0,AG109))</f>
        <v>0</v>
      </c>
      <c r="AG110" s="98">
        <f t="shared" ca="1" si="17"/>
        <v>0</v>
      </c>
      <c r="AH110" s="68"/>
      <c r="AI110" s="71">
        <f ca="1">IF(C110=1,'Reeksen (N)'!AJ110*((F110-G110+F110)/2)*12+'Reeksen (N)'!AK110*((L110-M110+L110)/2)*12,0)</f>
        <v>0</v>
      </c>
      <c r="AJ110" s="71">
        <f ca="1">-AI110*'Invoer gegevens (N)'!$F$28</f>
        <v>0</v>
      </c>
      <c r="AK110" s="71">
        <f t="shared" ca="1" si="11"/>
        <v>0</v>
      </c>
      <c r="AL110" s="71">
        <f ca="1">IF(C110=1,'Reeksen (N)'!AL110*((F110-G110+F110)/2)*12+'Reeksen (N)'!AM110*((L110-M110+L110)/2)*12,0)</f>
        <v>0</v>
      </c>
      <c r="AM110" s="71">
        <f ca="1">-AL110*'Invoer gegevens (N)'!$F$31</f>
        <v>0</v>
      </c>
      <c r="AN110" s="71">
        <f t="shared" ca="1" si="18"/>
        <v>0</v>
      </c>
      <c r="AO110" s="71">
        <f ca="1">IF(C110=1,(H110+J110+N110+P110)*'Reeksen (N)'!AN110,0)</f>
        <v>0</v>
      </c>
      <c r="AP110" s="71">
        <f ca="1">-IF(C110=1,(H110+J110+N110+P110)*'Hulp - basis'!$O$550*'Reeksen (N)'!H110,0)</f>
        <v>0</v>
      </c>
      <c r="AQ110" s="71">
        <f ca="1">-IF(C110=1,(F110+K110+L110+Q110)/2*'Invoer gegevens (N)'!$I$33*'Reeksen (N)'!J110,0)*2</f>
        <v>0</v>
      </c>
      <c r="AR110" s="71">
        <f ca="1">-IF(C110=1,(I110*'Invoer gegevens (N)'!$I$34)*'Reeksen (N)'!J110,0)</f>
        <v>0</v>
      </c>
      <c r="AS110" s="71">
        <f ca="1">-IF(C110=1,(F110+K110+L110+Q110)/2*'Invoer gegevens (N)'!$I$35*'Reeksen (N)'!L110,0)</f>
        <v>0</v>
      </c>
      <c r="AT110" s="71">
        <f ca="1">-IF(C110=1,IF(E110='Invoer gegevens (N)'!$C$17,'Invoer gegevens (N)'!$C$11,AD110)*'Reeksen (N)'!S110*'Invoer gegevens (N)'!$C$18*'Reeksen (N)'!P110,0)</f>
        <v>0</v>
      </c>
      <c r="AU110" s="71">
        <f ca="1">-IF(C110=1,(F110+K110+L110+Q110)/2*'Invoer gegevens (N)'!$I$36*'Reeksen (N)'!H110,0)</f>
        <v>0</v>
      </c>
      <c r="AV110" s="71">
        <v>0</v>
      </c>
      <c r="AW110" s="71">
        <f t="shared" ca="1" si="19"/>
        <v>0</v>
      </c>
      <c r="AX110" s="71">
        <f ca="1">IF(E110&lt;'Invoer gegevens (N)'!$C$17+15,0,IF(E110&gt;'Invoer gegevens (N)'!$C$17+215,0,AW110))</f>
        <v>0</v>
      </c>
      <c r="AY110" s="71">
        <f ca="1">AX110/(1+'Invoer gegevens (N)'!$F$18)^($AZ110-('Invoer gegevens (N)'!$C$17-'Invoer gegevens (N)'!$C$16))/(1+'Invoer gegevens (N)'!$C$39)^('Invoer gegevens (N)'!$C$17-'Invoer gegevens (N)'!$C$16)</f>
        <v>0</v>
      </c>
      <c r="AZ110" s="68">
        <f ca="1">IF(E110-'Invoer gegevens (N)'!$C$17-14.5&lt;0,0,E110-'Invoer gegevens (N)'!$C$17-14.5)</f>
        <v>90.5</v>
      </c>
    </row>
    <row r="111" spans="2:52" x14ac:dyDescent="0.25">
      <c r="B111" s="70">
        <f t="shared" si="20"/>
        <v>107</v>
      </c>
      <c r="C111" s="67">
        <f ca="1">IF(E111-'Invoer gegevens (N)'!$C$17&lt;0,0,1)</f>
        <v>1</v>
      </c>
      <c r="D111" s="68">
        <f t="shared" si="21"/>
        <v>106.5</v>
      </c>
      <c r="E111" s="108">
        <f ca="1">IF('Invoer gegevens (N)'!$C$16="","",E110+1)</f>
        <v>2125</v>
      </c>
      <c r="F111" s="84">
        <f ca="1">IF('Invoer gegevens (N)'!$C$17=E111,'Invoer gegevens (N)'!$C$10,IF(C111=1,K110,0))</f>
        <v>0</v>
      </c>
      <c r="G111" s="96">
        <f ca="1">IF(C111&gt;=1,F111*VLOOKUP(E111,'Reeksen (N)'!$A$5:$B$76,2),0)</f>
        <v>0</v>
      </c>
      <c r="H111" s="84">
        <f ca="1">(1-('Invoer gegevens (N)'!$F$20/12))*F111*MIN('Reeksen (N)'!B111,'Reeksen (N)'!D111)</f>
        <v>0</v>
      </c>
      <c r="I111" s="84">
        <f>IF('Reeksen (N)'!D111&lt;'Reeksen (N)'!B111,('Reeksen (N)'!B111-'Reeksen (N)'!D111)*F111,0)</f>
        <v>0</v>
      </c>
      <c r="J111" s="84">
        <f ca="1">('Invoer gegevens (N)'!$F$20/12)*F110*MIN('Reeksen (N)'!B110,'Reeksen (N)'!D110)</f>
        <v>0</v>
      </c>
      <c r="K111" s="97">
        <f t="shared" ca="1" si="12"/>
        <v>0</v>
      </c>
      <c r="L111" s="84">
        <f ca="1">IF('Invoer gegevens (N)'!$C$17=E111,0,IF(C111=1,Q110,0))</f>
        <v>0</v>
      </c>
      <c r="M111" s="96">
        <f ca="1">IF(C111&gt;=1,L111*VLOOKUP(E111,'Reeksen (N)'!$A$5:$B$76,2),0)</f>
        <v>0</v>
      </c>
      <c r="N111" s="84">
        <f ca="1">(1-('Invoer gegevens (N)'!$F$20/12))*L111*MIN('Reeksen (N)'!B111,'Reeksen (N)'!D111)</f>
        <v>0</v>
      </c>
      <c r="O111" s="84">
        <f>IF('Reeksen (N)'!D111&lt;'Reeksen (N)'!B111,('Reeksen (N)'!B111-'Reeksen (N)'!D111)*L111,0)</f>
        <v>0</v>
      </c>
      <c r="P111" s="84">
        <f ca="1">('Invoer gegevens (N)'!$F$20/12)*L110*MIN('Reeksen (N)'!B110,'Reeksen (N)'!D110)</f>
        <v>0</v>
      </c>
      <c r="Q111" s="84">
        <f t="shared" ca="1" si="13"/>
        <v>0</v>
      </c>
      <c r="R111" s="82">
        <f ca="1">IF('Invoer gegevens (N)'!$C$17=E111,'Invoer gegevens (N)'!$C$11,IF(C111=1,W110,0))</f>
        <v>0</v>
      </c>
      <c r="S111" s="86">
        <f ca="1">IF(C111&gt;=1,R111*VLOOKUP(E111,'Reeksen (N)'!$A$5:$B$76,2),0)</f>
        <v>0</v>
      </c>
      <c r="T111" s="84">
        <f ca="1">(1-('Invoer gegevens (N)'!$F$20/12))*R111*MIN('Reeksen (N)'!B111,'Reeksen (N)'!D111)</f>
        <v>0</v>
      </c>
      <c r="U111" s="84">
        <f>IF('Reeksen (N)'!D111&gt;='Reeksen (N)'!B111,0,IF('Reeksen (N)'!AK111&lt;='Reeksen (N)'!AE111,('Reeksen (N)'!B111-'Reeksen (N)'!D111)*R111,0))</f>
        <v>0</v>
      </c>
      <c r="V111" s="86">
        <f>IF('Reeksen (N)'!D111&gt;='Reeksen (N)'!B111,0,IF('Reeksen (N)'!AK111&gt;'Reeksen (N)'!AE111,('Reeksen (N)'!B111-'Reeksen (N)'!D111)*R111,0))</f>
        <v>0</v>
      </c>
      <c r="W111" s="97">
        <f t="shared" ca="1" si="14"/>
        <v>0</v>
      </c>
      <c r="X111" s="98">
        <f ca="1">IF('Invoer gegevens (N)'!$C$17=E111,'Invoer gegevens (N)'!$C$10-'Invoer gegevens (N)'!$C$11,IF(C111=1,AC110,0))</f>
        <v>0</v>
      </c>
      <c r="Y111" s="98">
        <f ca="1">IF(C111&gt;=1,X111*VLOOKUP(E111,'Reeksen (N)'!$A$5:$B$76,2),0)</f>
        <v>0</v>
      </c>
      <c r="Z111" s="98">
        <f ca="1">(1-('Invoer gegevens (N)'!$F$20/12))*X111*MIN('Reeksen (N)'!B111,'Reeksen (N)'!D111)</f>
        <v>0</v>
      </c>
      <c r="AA111" s="98">
        <f>IF('Reeksen (N)'!D111&gt;='Reeksen (N)'!B111,0,IF('Reeksen (N)'!AK111&lt;='Reeksen (N)'!AE111,('Reeksen (N)'!B111-'Reeksen (N)'!D111)*X111,0))</f>
        <v>0</v>
      </c>
      <c r="AB111" s="98">
        <f>IF('Reeksen (N)'!D111&gt;='Reeksen (N)'!B111,0,IF('Reeksen (N)'!AK111&gt;'Reeksen (N)'!AE111,('Reeksen (N)'!B111-'Reeksen (N)'!D111)*X111,0))</f>
        <v>0</v>
      </c>
      <c r="AC111" s="99">
        <f t="shared" ca="1" si="15"/>
        <v>0</v>
      </c>
      <c r="AD111" s="98">
        <f ca="1">IF('Invoer gegevens (N)'!$C$17=E111,R111,IF(C111=0,0,AE110))</f>
        <v>0</v>
      </c>
      <c r="AE111" s="98">
        <f t="shared" ca="1" si="16"/>
        <v>0</v>
      </c>
      <c r="AF111" s="98">
        <f ca="1">IF('Invoer gegevens (N)'!$C$17=E111,X111,IF(C111=0,0,AG110))</f>
        <v>0</v>
      </c>
      <c r="AG111" s="98">
        <f t="shared" ca="1" si="17"/>
        <v>0</v>
      </c>
      <c r="AH111" s="68"/>
      <c r="AI111" s="71">
        <f ca="1">IF(C111=1,'Reeksen (N)'!AJ111*((F111-G111+F111)/2)*12+'Reeksen (N)'!AK111*((L111-M111+L111)/2)*12,0)</f>
        <v>0</v>
      </c>
      <c r="AJ111" s="71">
        <f ca="1">-AI111*'Invoer gegevens (N)'!$F$28</f>
        <v>0</v>
      </c>
      <c r="AK111" s="71">
        <f t="shared" ca="1" si="11"/>
        <v>0</v>
      </c>
      <c r="AL111" s="71">
        <f ca="1">IF(C111=1,'Reeksen (N)'!AL111*((F111-G111+F111)/2)*12+'Reeksen (N)'!AM111*((L111-M111+L111)/2)*12,0)</f>
        <v>0</v>
      </c>
      <c r="AM111" s="71">
        <f ca="1">-AL111*'Invoer gegevens (N)'!$F$31</f>
        <v>0</v>
      </c>
      <c r="AN111" s="71">
        <f t="shared" ca="1" si="18"/>
        <v>0</v>
      </c>
      <c r="AO111" s="71">
        <f ca="1">IF(C111=1,(H111+J111+N111+P111)*'Reeksen (N)'!AN111,0)</f>
        <v>0</v>
      </c>
      <c r="AP111" s="71">
        <f ca="1">-IF(C111=1,(H111+J111+N111+P111)*'Hulp - basis'!$O$550*'Reeksen (N)'!H111,0)</f>
        <v>0</v>
      </c>
      <c r="AQ111" s="71">
        <f ca="1">-IF(C111=1,(F111+K111+L111+Q111)/2*'Invoer gegevens (N)'!$I$33*'Reeksen (N)'!J111,0)*2</f>
        <v>0</v>
      </c>
      <c r="AR111" s="71">
        <f ca="1">-IF(C111=1,(I111*'Invoer gegevens (N)'!$I$34)*'Reeksen (N)'!J111,0)</f>
        <v>0</v>
      </c>
      <c r="AS111" s="71">
        <f ca="1">-IF(C111=1,(F111+K111+L111+Q111)/2*'Invoer gegevens (N)'!$I$35*'Reeksen (N)'!L111,0)</f>
        <v>0</v>
      </c>
      <c r="AT111" s="71">
        <f ca="1">-IF(C111=1,IF(E111='Invoer gegevens (N)'!$C$17,'Invoer gegevens (N)'!$C$11,AD111)*'Reeksen (N)'!S111*'Invoer gegevens (N)'!$C$18*'Reeksen (N)'!P111,0)</f>
        <v>0</v>
      </c>
      <c r="AU111" s="71">
        <f ca="1">-IF(C111=1,(F111+K111+L111+Q111)/2*'Invoer gegevens (N)'!$I$36*'Reeksen (N)'!H111,0)</f>
        <v>0</v>
      </c>
      <c r="AV111" s="71">
        <v>0</v>
      </c>
      <c r="AW111" s="71">
        <f t="shared" ca="1" si="19"/>
        <v>0</v>
      </c>
      <c r="AX111" s="71">
        <f ca="1">IF(E111&lt;'Invoer gegevens (N)'!$C$17+15,0,IF(E111&gt;'Invoer gegevens (N)'!$C$17+215,0,AW111))</f>
        <v>0</v>
      </c>
      <c r="AY111" s="71">
        <f ca="1">AX111/(1+'Invoer gegevens (N)'!$F$18)^($AZ111-('Invoer gegevens (N)'!$C$17-'Invoer gegevens (N)'!$C$16))/(1+'Invoer gegevens (N)'!$C$39)^('Invoer gegevens (N)'!$C$17-'Invoer gegevens (N)'!$C$16)</f>
        <v>0</v>
      </c>
      <c r="AZ111" s="68">
        <f ca="1">IF(E111-'Invoer gegevens (N)'!$C$17-14.5&lt;0,0,E111-'Invoer gegevens (N)'!$C$17-14.5)</f>
        <v>91.5</v>
      </c>
    </row>
    <row r="112" spans="2:52" x14ac:dyDescent="0.25">
      <c r="B112" s="70">
        <f t="shared" si="20"/>
        <v>108</v>
      </c>
      <c r="C112" s="67">
        <f ca="1">IF(E112-'Invoer gegevens (N)'!$C$17&lt;0,0,1)</f>
        <v>1</v>
      </c>
      <c r="D112" s="68">
        <f t="shared" si="21"/>
        <v>107.5</v>
      </c>
      <c r="E112" s="108">
        <f ca="1">IF('Invoer gegevens (N)'!$C$16="","",E111+1)</f>
        <v>2126</v>
      </c>
      <c r="F112" s="84">
        <f ca="1">IF('Invoer gegevens (N)'!$C$17=E112,'Invoer gegevens (N)'!$C$10,IF(C112=1,K111,0))</f>
        <v>0</v>
      </c>
      <c r="G112" s="96">
        <f ca="1">IF(C112&gt;=1,F112*VLOOKUP(E112,'Reeksen (N)'!$A$5:$B$76,2),0)</f>
        <v>0</v>
      </c>
      <c r="H112" s="84">
        <f ca="1">(1-('Invoer gegevens (N)'!$F$20/12))*F112*MIN('Reeksen (N)'!B112,'Reeksen (N)'!D112)</f>
        <v>0</v>
      </c>
      <c r="I112" s="84">
        <f>IF('Reeksen (N)'!D112&lt;'Reeksen (N)'!B112,('Reeksen (N)'!B112-'Reeksen (N)'!D112)*F112,0)</f>
        <v>0</v>
      </c>
      <c r="J112" s="84">
        <f ca="1">('Invoer gegevens (N)'!$F$20/12)*F111*MIN('Reeksen (N)'!B111,'Reeksen (N)'!D111)</f>
        <v>0</v>
      </c>
      <c r="K112" s="97">
        <f t="shared" ca="1" si="12"/>
        <v>0</v>
      </c>
      <c r="L112" s="84">
        <f ca="1">IF('Invoer gegevens (N)'!$C$17=E112,0,IF(C112=1,Q111,0))</f>
        <v>0</v>
      </c>
      <c r="M112" s="96">
        <f ca="1">IF(C112&gt;=1,L112*VLOOKUP(E112,'Reeksen (N)'!$A$5:$B$76,2),0)</f>
        <v>0</v>
      </c>
      <c r="N112" s="84">
        <f ca="1">(1-('Invoer gegevens (N)'!$F$20/12))*L112*MIN('Reeksen (N)'!B112,'Reeksen (N)'!D112)</f>
        <v>0</v>
      </c>
      <c r="O112" s="84">
        <f>IF('Reeksen (N)'!D112&lt;'Reeksen (N)'!B112,('Reeksen (N)'!B112-'Reeksen (N)'!D112)*L112,0)</f>
        <v>0</v>
      </c>
      <c r="P112" s="84">
        <f ca="1">('Invoer gegevens (N)'!$F$20/12)*L111*MIN('Reeksen (N)'!B111,'Reeksen (N)'!D111)</f>
        <v>0</v>
      </c>
      <c r="Q112" s="84">
        <f t="shared" ca="1" si="13"/>
        <v>0</v>
      </c>
      <c r="R112" s="82">
        <f ca="1">IF('Invoer gegevens (N)'!$C$17=E112,'Invoer gegevens (N)'!$C$11,IF(C112=1,W111,0))</f>
        <v>0</v>
      </c>
      <c r="S112" s="86">
        <f ca="1">IF(C112&gt;=1,R112*VLOOKUP(E112,'Reeksen (N)'!$A$5:$B$76,2),0)</f>
        <v>0</v>
      </c>
      <c r="T112" s="84">
        <f ca="1">(1-('Invoer gegevens (N)'!$F$20/12))*R112*MIN('Reeksen (N)'!B112,'Reeksen (N)'!D112)</f>
        <v>0</v>
      </c>
      <c r="U112" s="84">
        <f>IF('Reeksen (N)'!D112&gt;='Reeksen (N)'!B112,0,IF('Reeksen (N)'!AK112&lt;='Reeksen (N)'!AE112,('Reeksen (N)'!B112-'Reeksen (N)'!D112)*R112,0))</f>
        <v>0</v>
      </c>
      <c r="V112" s="86">
        <f>IF('Reeksen (N)'!D112&gt;='Reeksen (N)'!B112,0,IF('Reeksen (N)'!AK112&gt;'Reeksen (N)'!AE112,('Reeksen (N)'!B112-'Reeksen (N)'!D112)*R112,0))</f>
        <v>0</v>
      </c>
      <c r="W112" s="97">
        <f t="shared" ca="1" si="14"/>
        <v>0</v>
      </c>
      <c r="X112" s="98">
        <f ca="1">IF('Invoer gegevens (N)'!$C$17=E112,'Invoer gegevens (N)'!$C$10-'Invoer gegevens (N)'!$C$11,IF(C112=1,AC111,0))</f>
        <v>0</v>
      </c>
      <c r="Y112" s="98">
        <f ca="1">IF(C112&gt;=1,X112*VLOOKUP(E112,'Reeksen (N)'!$A$5:$B$76,2),0)</f>
        <v>0</v>
      </c>
      <c r="Z112" s="98">
        <f ca="1">(1-('Invoer gegevens (N)'!$F$20/12))*X112*MIN('Reeksen (N)'!B112,'Reeksen (N)'!D112)</f>
        <v>0</v>
      </c>
      <c r="AA112" s="98">
        <f>IF('Reeksen (N)'!D112&gt;='Reeksen (N)'!B112,0,IF('Reeksen (N)'!AK112&lt;='Reeksen (N)'!AE112,('Reeksen (N)'!B112-'Reeksen (N)'!D112)*X112,0))</f>
        <v>0</v>
      </c>
      <c r="AB112" s="98">
        <f>IF('Reeksen (N)'!D112&gt;='Reeksen (N)'!B112,0,IF('Reeksen (N)'!AK112&gt;'Reeksen (N)'!AE112,('Reeksen (N)'!B112-'Reeksen (N)'!D112)*X112,0))</f>
        <v>0</v>
      </c>
      <c r="AC112" s="99">
        <f t="shared" ca="1" si="15"/>
        <v>0</v>
      </c>
      <c r="AD112" s="98">
        <f ca="1">IF('Invoer gegevens (N)'!$C$17=E112,R112,IF(C112=0,0,AE111))</f>
        <v>0</v>
      </c>
      <c r="AE112" s="98">
        <f t="shared" ca="1" si="16"/>
        <v>0</v>
      </c>
      <c r="AF112" s="98">
        <f ca="1">IF('Invoer gegevens (N)'!$C$17=E112,X112,IF(C112=0,0,AG111))</f>
        <v>0</v>
      </c>
      <c r="AG112" s="98">
        <f t="shared" ca="1" si="17"/>
        <v>0</v>
      </c>
      <c r="AH112" s="68"/>
      <c r="AI112" s="71">
        <f ca="1">IF(C112=1,'Reeksen (N)'!AJ112*((F112-G112+F112)/2)*12+'Reeksen (N)'!AK112*((L112-M112+L112)/2)*12,0)</f>
        <v>0</v>
      </c>
      <c r="AJ112" s="71">
        <f ca="1">-AI112*'Invoer gegevens (N)'!$F$28</f>
        <v>0</v>
      </c>
      <c r="AK112" s="71">
        <f t="shared" ca="1" si="11"/>
        <v>0</v>
      </c>
      <c r="AL112" s="71">
        <f ca="1">IF(C112=1,'Reeksen (N)'!AL112*((F112-G112+F112)/2)*12+'Reeksen (N)'!AM112*((L112-M112+L112)/2)*12,0)</f>
        <v>0</v>
      </c>
      <c r="AM112" s="71">
        <f ca="1">-AL112*'Invoer gegevens (N)'!$F$31</f>
        <v>0</v>
      </c>
      <c r="AN112" s="71">
        <f t="shared" ca="1" si="18"/>
        <v>0</v>
      </c>
      <c r="AO112" s="71">
        <f ca="1">IF(C112=1,(H112+J112+N112+P112)*'Reeksen (N)'!AN112,0)</f>
        <v>0</v>
      </c>
      <c r="AP112" s="71">
        <f ca="1">-IF(C112=1,(H112+J112+N112+P112)*'Hulp - basis'!$O$550*'Reeksen (N)'!H112,0)</f>
        <v>0</v>
      </c>
      <c r="AQ112" s="71">
        <f ca="1">-IF(C112=1,(F112+K112+L112+Q112)/2*'Invoer gegevens (N)'!$I$33*'Reeksen (N)'!J112,0)*2</f>
        <v>0</v>
      </c>
      <c r="AR112" s="71">
        <f ca="1">-IF(C112=1,(I112*'Invoer gegevens (N)'!$I$34)*'Reeksen (N)'!J112,0)</f>
        <v>0</v>
      </c>
      <c r="AS112" s="71">
        <f ca="1">-IF(C112=1,(F112+K112+L112+Q112)/2*'Invoer gegevens (N)'!$I$35*'Reeksen (N)'!L112,0)</f>
        <v>0</v>
      </c>
      <c r="AT112" s="71">
        <f ca="1">-IF(C112=1,IF(E112='Invoer gegevens (N)'!$C$17,'Invoer gegevens (N)'!$C$11,AD112)*'Reeksen (N)'!S112*'Invoer gegevens (N)'!$C$18*'Reeksen (N)'!P112,0)</f>
        <v>0</v>
      </c>
      <c r="AU112" s="71">
        <f ca="1">-IF(C112=1,(F112+K112+L112+Q112)/2*'Invoer gegevens (N)'!$I$36*'Reeksen (N)'!H112,0)</f>
        <v>0</v>
      </c>
      <c r="AV112" s="71">
        <v>0</v>
      </c>
      <c r="AW112" s="71">
        <f t="shared" ca="1" si="19"/>
        <v>0</v>
      </c>
      <c r="AX112" s="71">
        <f ca="1">IF(E112&lt;'Invoer gegevens (N)'!$C$17+15,0,IF(E112&gt;'Invoer gegevens (N)'!$C$17+215,0,AW112))</f>
        <v>0</v>
      </c>
      <c r="AY112" s="71">
        <f ca="1">AX112/(1+'Invoer gegevens (N)'!$F$18)^($AZ112-('Invoer gegevens (N)'!$C$17-'Invoer gegevens (N)'!$C$16))/(1+'Invoer gegevens (N)'!$C$39)^('Invoer gegevens (N)'!$C$17-'Invoer gegevens (N)'!$C$16)</f>
        <v>0</v>
      </c>
      <c r="AZ112" s="68">
        <f ca="1">IF(E112-'Invoer gegevens (N)'!$C$17-14.5&lt;0,0,E112-'Invoer gegevens (N)'!$C$17-14.5)</f>
        <v>92.5</v>
      </c>
    </row>
    <row r="113" spans="2:52" x14ac:dyDescent="0.25">
      <c r="B113" s="70">
        <f t="shared" si="20"/>
        <v>109</v>
      </c>
      <c r="C113" s="67">
        <f ca="1">IF(E113-'Invoer gegevens (N)'!$C$17&lt;0,0,1)</f>
        <v>1</v>
      </c>
      <c r="D113" s="68">
        <f t="shared" si="21"/>
        <v>108.5</v>
      </c>
      <c r="E113" s="108">
        <f ca="1">IF('Invoer gegevens (N)'!$C$16="","",E112+1)</f>
        <v>2127</v>
      </c>
      <c r="F113" s="84">
        <f ca="1">IF('Invoer gegevens (N)'!$C$17=E113,'Invoer gegevens (N)'!$C$10,IF(C113=1,K112,0))</f>
        <v>0</v>
      </c>
      <c r="G113" s="96">
        <f ca="1">IF(C113&gt;=1,F113*VLOOKUP(E113,'Reeksen (N)'!$A$5:$B$76,2),0)</f>
        <v>0</v>
      </c>
      <c r="H113" s="84">
        <f ca="1">(1-('Invoer gegevens (N)'!$F$20/12))*F113*MIN('Reeksen (N)'!B113,'Reeksen (N)'!D113)</f>
        <v>0</v>
      </c>
      <c r="I113" s="84">
        <f>IF('Reeksen (N)'!D113&lt;'Reeksen (N)'!B113,('Reeksen (N)'!B113-'Reeksen (N)'!D113)*F113,0)</f>
        <v>0</v>
      </c>
      <c r="J113" s="84">
        <f ca="1">('Invoer gegevens (N)'!$F$20/12)*F112*MIN('Reeksen (N)'!B112,'Reeksen (N)'!D112)</f>
        <v>0</v>
      </c>
      <c r="K113" s="97">
        <f t="shared" ca="1" si="12"/>
        <v>0</v>
      </c>
      <c r="L113" s="84">
        <f ca="1">IF('Invoer gegevens (N)'!$C$17=E113,0,IF(C113=1,Q112,0))</f>
        <v>0</v>
      </c>
      <c r="M113" s="96">
        <f ca="1">IF(C113&gt;=1,L113*VLOOKUP(E113,'Reeksen (N)'!$A$5:$B$76,2),0)</f>
        <v>0</v>
      </c>
      <c r="N113" s="84">
        <f ca="1">(1-('Invoer gegevens (N)'!$F$20/12))*L113*MIN('Reeksen (N)'!B113,'Reeksen (N)'!D113)</f>
        <v>0</v>
      </c>
      <c r="O113" s="84">
        <f>IF('Reeksen (N)'!D113&lt;'Reeksen (N)'!B113,('Reeksen (N)'!B113-'Reeksen (N)'!D113)*L113,0)</f>
        <v>0</v>
      </c>
      <c r="P113" s="84">
        <f ca="1">('Invoer gegevens (N)'!$F$20/12)*L112*MIN('Reeksen (N)'!B112,'Reeksen (N)'!D112)</f>
        <v>0</v>
      </c>
      <c r="Q113" s="84">
        <f t="shared" ca="1" si="13"/>
        <v>0</v>
      </c>
      <c r="R113" s="82">
        <f ca="1">IF('Invoer gegevens (N)'!$C$17=E113,'Invoer gegevens (N)'!$C$11,IF(C113=1,W112,0))</f>
        <v>0</v>
      </c>
      <c r="S113" s="86">
        <f ca="1">IF(C113&gt;=1,R113*VLOOKUP(E113,'Reeksen (N)'!$A$5:$B$76,2),0)</f>
        <v>0</v>
      </c>
      <c r="T113" s="84">
        <f ca="1">(1-('Invoer gegevens (N)'!$F$20/12))*R113*MIN('Reeksen (N)'!B113,'Reeksen (N)'!D113)</f>
        <v>0</v>
      </c>
      <c r="U113" s="84">
        <f>IF('Reeksen (N)'!D113&gt;='Reeksen (N)'!B113,0,IF('Reeksen (N)'!AK113&lt;='Reeksen (N)'!AE113,('Reeksen (N)'!B113-'Reeksen (N)'!D113)*R113,0))</f>
        <v>0</v>
      </c>
      <c r="V113" s="86">
        <f>IF('Reeksen (N)'!D113&gt;='Reeksen (N)'!B113,0,IF('Reeksen (N)'!AK113&gt;'Reeksen (N)'!AE113,('Reeksen (N)'!B113-'Reeksen (N)'!D113)*R113,0))</f>
        <v>0</v>
      </c>
      <c r="W113" s="97">
        <f t="shared" ca="1" si="14"/>
        <v>0</v>
      </c>
      <c r="X113" s="98">
        <f ca="1">IF('Invoer gegevens (N)'!$C$17=E113,'Invoer gegevens (N)'!$C$10-'Invoer gegevens (N)'!$C$11,IF(C113=1,AC112,0))</f>
        <v>0</v>
      </c>
      <c r="Y113" s="98">
        <f ca="1">IF(C113&gt;=1,X113*VLOOKUP(E113,'Reeksen (N)'!$A$5:$B$76,2),0)</f>
        <v>0</v>
      </c>
      <c r="Z113" s="98">
        <f ca="1">(1-('Invoer gegevens (N)'!$F$20/12))*X113*MIN('Reeksen (N)'!B113,'Reeksen (N)'!D113)</f>
        <v>0</v>
      </c>
      <c r="AA113" s="98">
        <f>IF('Reeksen (N)'!D113&gt;='Reeksen (N)'!B113,0,IF('Reeksen (N)'!AK113&lt;='Reeksen (N)'!AE113,('Reeksen (N)'!B113-'Reeksen (N)'!D113)*X113,0))</f>
        <v>0</v>
      </c>
      <c r="AB113" s="98">
        <f>IF('Reeksen (N)'!D113&gt;='Reeksen (N)'!B113,0,IF('Reeksen (N)'!AK113&gt;'Reeksen (N)'!AE113,('Reeksen (N)'!B113-'Reeksen (N)'!D113)*X113,0))</f>
        <v>0</v>
      </c>
      <c r="AC113" s="99">
        <f t="shared" ca="1" si="15"/>
        <v>0</v>
      </c>
      <c r="AD113" s="98">
        <f ca="1">IF('Invoer gegevens (N)'!$C$17=E113,R113,IF(C113=0,0,AE112))</f>
        <v>0</v>
      </c>
      <c r="AE113" s="98">
        <f t="shared" ca="1" si="16"/>
        <v>0</v>
      </c>
      <c r="AF113" s="98">
        <f ca="1">IF('Invoer gegevens (N)'!$C$17=E113,X113,IF(C113=0,0,AG112))</f>
        <v>0</v>
      </c>
      <c r="AG113" s="98">
        <f t="shared" ca="1" si="17"/>
        <v>0</v>
      </c>
      <c r="AH113" s="68"/>
      <c r="AI113" s="71">
        <f ca="1">IF(C113=1,'Reeksen (N)'!AJ113*((F113-G113+F113)/2)*12+'Reeksen (N)'!AK113*((L113-M113+L113)/2)*12,0)</f>
        <v>0</v>
      </c>
      <c r="AJ113" s="71">
        <f ca="1">-AI113*'Invoer gegevens (N)'!$F$28</f>
        <v>0</v>
      </c>
      <c r="AK113" s="71">
        <f t="shared" ca="1" si="11"/>
        <v>0</v>
      </c>
      <c r="AL113" s="71">
        <f ca="1">IF(C113=1,'Reeksen (N)'!AL113*((F113-G113+F113)/2)*12+'Reeksen (N)'!AM113*((L113-M113+L113)/2)*12,0)</f>
        <v>0</v>
      </c>
      <c r="AM113" s="71">
        <f ca="1">-AL113*'Invoer gegevens (N)'!$F$31</f>
        <v>0</v>
      </c>
      <c r="AN113" s="71">
        <f t="shared" ca="1" si="18"/>
        <v>0</v>
      </c>
      <c r="AO113" s="71">
        <f ca="1">IF(C113=1,(H113+J113+N113+P113)*'Reeksen (N)'!AN113,0)</f>
        <v>0</v>
      </c>
      <c r="AP113" s="71">
        <f ca="1">-IF(C113=1,(H113+J113+N113+P113)*'Hulp - basis'!$O$550*'Reeksen (N)'!H113,0)</f>
        <v>0</v>
      </c>
      <c r="AQ113" s="71">
        <f ca="1">-IF(C113=1,(F113+K113+L113+Q113)/2*'Invoer gegevens (N)'!$I$33*'Reeksen (N)'!J113,0)*2</f>
        <v>0</v>
      </c>
      <c r="AR113" s="71">
        <f ca="1">-IF(C113=1,(I113*'Invoer gegevens (N)'!$I$34)*'Reeksen (N)'!J113,0)</f>
        <v>0</v>
      </c>
      <c r="AS113" s="71">
        <f ca="1">-IF(C113=1,(F113+K113+L113+Q113)/2*'Invoer gegevens (N)'!$I$35*'Reeksen (N)'!L113,0)</f>
        <v>0</v>
      </c>
      <c r="AT113" s="71">
        <f ca="1">-IF(C113=1,IF(E113='Invoer gegevens (N)'!$C$17,'Invoer gegevens (N)'!$C$11,AD113)*'Reeksen (N)'!S113*'Invoer gegevens (N)'!$C$18*'Reeksen (N)'!P113,0)</f>
        <v>0</v>
      </c>
      <c r="AU113" s="71">
        <f ca="1">-IF(C113=1,(F113+K113+L113+Q113)/2*'Invoer gegevens (N)'!$I$36*'Reeksen (N)'!H113,0)</f>
        <v>0</v>
      </c>
      <c r="AV113" s="71">
        <v>0</v>
      </c>
      <c r="AW113" s="71">
        <f t="shared" ca="1" si="19"/>
        <v>0</v>
      </c>
      <c r="AX113" s="71">
        <f ca="1">IF(E113&lt;'Invoer gegevens (N)'!$C$17+15,0,IF(E113&gt;'Invoer gegevens (N)'!$C$17+215,0,AW113))</f>
        <v>0</v>
      </c>
      <c r="AY113" s="71">
        <f ca="1">AX113/(1+'Invoer gegevens (N)'!$F$18)^($AZ113-('Invoer gegevens (N)'!$C$17-'Invoer gegevens (N)'!$C$16))/(1+'Invoer gegevens (N)'!$C$39)^('Invoer gegevens (N)'!$C$17-'Invoer gegevens (N)'!$C$16)</f>
        <v>0</v>
      </c>
      <c r="AZ113" s="68">
        <f ca="1">IF(E113-'Invoer gegevens (N)'!$C$17-14.5&lt;0,0,E113-'Invoer gegevens (N)'!$C$17-14.5)</f>
        <v>93.5</v>
      </c>
    </row>
    <row r="114" spans="2:52" x14ac:dyDescent="0.25">
      <c r="B114" s="70">
        <f t="shared" si="20"/>
        <v>110</v>
      </c>
      <c r="C114" s="67">
        <f ca="1">IF(E114-'Invoer gegevens (N)'!$C$17&lt;0,0,1)</f>
        <v>1</v>
      </c>
      <c r="D114" s="68">
        <f t="shared" si="21"/>
        <v>109.5</v>
      </c>
      <c r="E114" s="108">
        <f ca="1">IF('Invoer gegevens (N)'!$C$16="","",E113+1)</f>
        <v>2128</v>
      </c>
      <c r="F114" s="84">
        <f ca="1">IF('Invoer gegevens (N)'!$C$17=E114,'Invoer gegevens (N)'!$C$10,IF(C114=1,K113,0))</f>
        <v>0</v>
      </c>
      <c r="G114" s="96">
        <f ca="1">IF(C114&gt;=1,F114*VLOOKUP(E114,'Reeksen (N)'!$A$5:$B$76,2),0)</f>
        <v>0</v>
      </c>
      <c r="H114" s="84">
        <f ca="1">(1-('Invoer gegevens (N)'!$F$20/12))*F114*MIN('Reeksen (N)'!B114,'Reeksen (N)'!D114)</f>
        <v>0</v>
      </c>
      <c r="I114" s="84">
        <f>IF('Reeksen (N)'!D114&lt;'Reeksen (N)'!B114,('Reeksen (N)'!B114-'Reeksen (N)'!D114)*F114,0)</f>
        <v>0</v>
      </c>
      <c r="J114" s="84">
        <f ca="1">('Invoer gegevens (N)'!$F$20/12)*F113*MIN('Reeksen (N)'!B113,'Reeksen (N)'!D113)</f>
        <v>0</v>
      </c>
      <c r="K114" s="97">
        <f t="shared" ca="1" si="12"/>
        <v>0</v>
      </c>
      <c r="L114" s="84">
        <f ca="1">IF('Invoer gegevens (N)'!$C$17=E114,0,IF(C114=1,Q113,0))</f>
        <v>0</v>
      </c>
      <c r="M114" s="96">
        <f ca="1">IF(C114&gt;=1,L114*VLOOKUP(E114,'Reeksen (N)'!$A$5:$B$76,2),0)</f>
        <v>0</v>
      </c>
      <c r="N114" s="84">
        <f ca="1">(1-('Invoer gegevens (N)'!$F$20/12))*L114*MIN('Reeksen (N)'!B114,'Reeksen (N)'!D114)</f>
        <v>0</v>
      </c>
      <c r="O114" s="84">
        <f>IF('Reeksen (N)'!D114&lt;'Reeksen (N)'!B114,('Reeksen (N)'!B114-'Reeksen (N)'!D114)*L114,0)</f>
        <v>0</v>
      </c>
      <c r="P114" s="84">
        <f ca="1">('Invoer gegevens (N)'!$F$20/12)*L113*MIN('Reeksen (N)'!B113,'Reeksen (N)'!D113)</f>
        <v>0</v>
      </c>
      <c r="Q114" s="84">
        <f t="shared" ca="1" si="13"/>
        <v>0</v>
      </c>
      <c r="R114" s="82">
        <f ca="1">IF('Invoer gegevens (N)'!$C$17=E114,'Invoer gegevens (N)'!$C$11,IF(C114=1,W113,0))</f>
        <v>0</v>
      </c>
      <c r="S114" s="86">
        <f ca="1">IF(C114&gt;=1,R114*VLOOKUP(E114,'Reeksen (N)'!$A$5:$B$76,2),0)</f>
        <v>0</v>
      </c>
      <c r="T114" s="84">
        <f ca="1">(1-('Invoer gegevens (N)'!$F$20/12))*R114*MIN('Reeksen (N)'!B114,'Reeksen (N)'!D114)</f>
        <v>0</v>
      </c>
      <c r="U114" s="84">
        <f>IF('Reeksen (N)'!D114&gt;='Reeksen (N)'!B114,0,IF('Reeksen (N)'!AK114&lt;='Reeksen (N)'!AE114,('Reeksen (N)'!B114-'Reeksen (N)'!D114)*R114,0))</f>
        <v>0</v>
      </c>
      <c r="V114" s="86">
        <f>IF('Reeksen (N)'!D114&gt;='Reeksen (N)'!B114,0,IF('Reeksen (N)'!AK114&gt;'Reeksen (N)'!AE114,('Reeksen (N)'!B114-'Reeksen (N)'!D114)*R114,0))</f>
        <v>0</v>
      </c>
      <c r="W114" s="97">
        <f t="shared" ca="1" si="14"/>
        <v>0</v>
      </c>
      <c r="X114" s="98">
        <f ca="1">IF('Invoer gegevens (N)'!$C$17=E114,'Invoer gegevens (N)'!$C$10-'Invoer gegevens (N)'!$C$11,IF(C114=1,AC113,0))</f>
        <v>0</v>
      </c>
      <c r="Y114" s="98">
        <f ca="1">IF(C114&gt;=1,X114*VLOOKUP(E114,'Reeksen (N)'!$A$5:$B$76,2),0)</f>
        <v>0</v>
      </c>
      <c r="Z114" s="98">
        <f ca="1">(1-('Invoer gegevens (N)'!$F$20/12))*X114*MIN('Reeksen (N)'!B114,'Reeksen (N)'!D114)</f>
        <v>0</v>
      </c>
      <c r="AA114" s="98">
        <f>IF('Reeksen (N)'!D114&gt;='Reeksen (N)'!B114,0,IF('Reeksen (N)'!AK114&lt;='Reeksen (N)'!AE114,('Reeksen (N)'!B114-'Reeksen (N)'!D114)*X114,0))</f>
        <v>0</v>
      </c>
      <c r="AB114" s="98">
        <f>IF('Reeksen (N)'!D114&gt;='Reeksen (N)'!B114,0,IF('Reeksen (N)'!AK114&gt;'Reeksen (N)'!AE114,('Reeksen (N)'!B114-'Reeksen (N)'!D114)*X114,0))</f>
        <v>0</v>
      </c>
      <c r="AC114" s="99">
        <f t="shared" ca="1" si="15"/>
        <v>0</v>
      </c>
      <c r="AD114" s="98">
        <f ca="1">IF('Invoer gegevens (N)'!$C$17=E114,R114,IF(C114=0,0,AE113))</f>
        <v>0</v>
      </c>
      <c r="AE114" s="98">
        <f t="shared" ca="1" si="16"/>
        <v>0</v>
      </c>
      <c r="AF114" s="98">
        <f ca="1">IF('Invoer gegevens (N)'!$C$17=E114,X114,IF(C114=0,0,AG113))</f>
        <v>0</v>
      </c>
      <c r="AG114" s="98">
        <f t="shared" ca="1" si="17"/>
        <v>0</v>
      </c>
      <c r="AH114" s="68"/>
      <c r="AI114" s="71">
        <f ca="1">IF(C114=1,'Reeksen (N)'!AJ114*((F114-G114+F114)/2)*12+'Reeksen (N)'!AK114*((L114-M114+L114)/2)*12,0)</f>
        <v>0</v>
      </c>
      <c r="AJ114" s="71">
        <f ca="1">-AI114*'Invoer gegevens (N)'!$F$28</f>
        <v>0</v>
      </c>
      <c r="AK114" s="71">
        <f t="shared" ca="1" si="11"/>
        <v>0</v>
      </c>
      <c r="AL114" s="71">
        <f ca="1">IF(C114=1,'Reeksen (N)'!AL114*((F114-G114+F114)/2)*12+'Reeksen (N)'!AM114*((L114-M114+L114)/2)*12,0)</f>
        <v>0</v>
      </c>
      <c r="AM114" s="71">
        <f ca="1">-AL114*'Invoer gegevens (N)'!$F$31</f>
        <v>0</v>
      </c>
      <c r="AN114" s="71">
        <f t="shared" ca="1" si="18"/>
        <v>0</v>
      </c>
      <c r="AO114" s="71">
        <f ca="1">IF(C114=1,(H114+J114+N114+P114)*'Reeksen (N)'!AN114,0)</f>
        <v>0</v>
      </c>
      <c r="AP114" s="71">
        <f ca="1">-IF(C114=1,(H114+J114+N114+P114)*'Hulp - basis'!$O$550*'Reeksen (N)'!H114,0)</f>
        <v>0</v>
      </c>
      <c r="AQ114" s="71">
        <f ca="1">-IF(C114=1,(F114+K114+L114+Q114)/2*'Invoer gegevens (N)'!$I$33*'Reeksen (N)'!J114,0)*2</f>
        <v>0</v>
      </c>
      <c r="AR114" s="71">
        <f ca="1">-IF(C114=1,(I114*'Invoer gegevens (N)'!$I$34)*'Reeksen (N)'!J114,0)</f>
        <v>0</v>
      </c>
      <c r="AS114" s="71">
        <f ca="1">-IF(C114=1,(F114+K114+L114+Q114)/2*'Invoer gegevens (N)'!$I$35*'Reeksen (N)'!L114,0)</f>
        <v>0</v>
      </c>
      <c r="AT114" s="71">
        <f ca="1">-IF(C114=1,IF(E114='Invoer gegevens (N)'!$C$17,'Invoer gegevens (N)'!$C$11,AD114)*'Reeksen (N)'!S114*'Invoer gegevens (N)'!$C$18*'Reeksen (N)'!P114,0)</f>
        <v>0</v>
      </c>
      <c r="AU114" s="71">
        <f ca="1">-IF(C114=1,(F114+K114+L114+Q114)/2*'Invoer gegevens (N)'!$I$36*'Reeksen (N)'!H114,0)</f>
        <v>0</v>
      </c>
      <c r="AV114" s="71">
        <v>0</v>
      </c>
      <c r="AW114" s="71">
        <f t="shared" ca="1" si="19"/>
        <v>0</v>
      </c>
      <c r="AX114" s="71">
        <f ca="1">IF(E114&lt;'Invoer gegevens (N)'!$C$17+15,0,IF(E114&gt;'Invoer gegevens (N)'!$C$17+215,0,AW114))</f>
        <v>0</v>
      </c>
      <c r="AY114" s="71">
        <f ca="1">AX114/(1+'Invoer gegevens (N)'!$F$18)^($AZ114-('Invoer gegevens (N)'!$C$17-'Invoer gegevens (N)'!$C$16))/(1+'Invoer gegevens (N)'!$C$39)^('Invoer gegevens (N)'!$C$17-'Invoer gegevens (N)'!$C$16)</f>
        <v>0</v>
      </c>
      <c r="AZ114" s="68">
        <f ca="1">IF(E114-'Invoer gegevens (N)'!$C$17-14.5&lt;0,0,E114-'Invoer gegevens (N)'!$C$17-14.5)</f>
        <v>94.5</v>
      </c>
    </row>
    <row r="115" spans="2:52" x14ac:dyDescent="0.25">
      <c r="B115" s="70">
        <f t="shared" si="20"/>
        <v>111</v>
      </c>
      <c r="C115" s="67">
        <f ca="1">IF(E115-'Invoer gegevens (N)'!$C$17&lt;0,0,1)</f>
        <v>1</v>
      </c>
      <c r="D115" s="68">
        <f t="shared" si="21"/>
        <v>110.5</v>
      </c>
      <c r="E115" s="108">
        <f ca="1">IF('Invoer gegevens (N)'!$C$16="","",E114+1)</f>
        <v>2129</v>
      </c>
      <c r="F115" s="84">
        <f ca="1">IF('Invoer gegevens (N)'!$C$17=E115,'Invoer gegevens (N)'!$C$10,IF(C115=1,K114,0))</f>
        <v>0</v>
      </c>
      <c r="G115" s="96">
        <f ca="1">IF(C115&gt;=1,F115*VLOOKUP(E115,'Reeksen (N)'!$A$5:$B$76,2),0)</f>
        <v>0</v>
      </c>
      <c r="H115" s="84">
        <f ca="1">(1-('Invoer gegevens (N)'!$F$20/12))*F115*MIN('Reeksen (N)'!B115,'Reeksen (N)'!D115)</f>
        <v>0</v>
      </c>
      <c r="I115" s="84">
        <f>IF('Reeksen (N)'!D115&lt;'Reeksen (N)'!B115,('Reeksen (N)'!B115-'Reeksen (N)'!D115)*F115,0)</f>
        <v>0</v>
      </c>
      <c r="J115" s="84">
        <f ca="1">('Invoer gegevens (N)'!$F$20/12)*F114*MIN('Reeksen (N)'!B114,'Reeksen (N)'!D114)</f>
        <v>0</v>
      </c>
      <c r="K115" s="97">
        <f t="shared" ca="1" si="12"/>
        <v>0</v>
      </c>
      <c r="L115" s="84">
        <f ca="1">IF('Invoer gegevens (N)'!$C$17=E115,0,IF(C115=1,Q114,0))</f>
        <v>0</v>
      </c>
      <c r="M115" s="96">
        <f ca="1">IF(C115&gt;=1,L115*VLOOKUP(E115,'Reeksen (N)'!$A$5:$B$76,2),0)</f>
        <v>0</v>
      </c>
      <c r="N115" s="84">
        <f ca="1">(1-('Invoer gegevens (N)'!$F$20/12))*L115*MIN('Reeksen (N)'!B115,'Reeksen (N)'!D115)</f>
        <v>0</v>
      </c>
      <c r="O115" s="84">
        <f>IF('Reeksen (N)'!D115&lt;'Reeksen (N)'!B115,('Reeksen (N)'!B115-'Reeksen (N)'!D115)*L115,0)</f>
        <v>0</v>
      </c>
      <c r="P115" s="84">
        <f ca="1">('Invoer gegevens (N)'!$F$20/12)*L114*MIN('Reeksen (N)'!B114,'Reeksen (N)'!D114)</f>
        <v>0</v>
      </c>
      <c r="Q115" s="84">
        <f t="shared" ca="1" si="13"/>
        <v>0</v>
      </c>
      <c r="R115" s="82">
        <f ca="1">IF('Invoer gegevens (N)'!$C$17=E115,'Invoer gegevens (N)'!$C$11,IF(C115=1,W114,0))</f>
        <v>0</v>
      </c>
      <c r="S115" s="86">
        <f ca="1">IF(C115&gt;=1,R115*VLOOKUP(E115,'Reeksen (N)'!$A$5:$B$76,2),0)</f>
        <v>0</v>
      </c>
      <c r="T115" s="84">
        <f ca="1">(1-('Invoer gegevens (N)'!$F$20/12))*R115*MIN('Reeksen (N)'!B115,'Reeksen (N)'!D115)</f>
        <v>0</v>
      </c>
      <c r="U115" s="84">
        <f>IF('Reeksen (N)'!D115&gt;='Reeksen (N)'!B115,0,IF('Reeksen (N)'!AK115&lt;='Reeksen (N)'!AE115,('Reeksen (N)'!B115-'Reeksen (N)'!D115)*R115,0))</f>
        <v>0</v>
      </c>
      <c r="V115" s="86">
        <f>IF('Reeksen (N)'!D115&gt;='Reeksen (N)'!B115,0,IF('Reeksen (N)'!AK115&gt;'Reeksen (N)'!AE115,('Reeksen (N)'!B115-'Reeksen (N)'!D115)*R115,0))</f>
        <v>0</v>
      </c>
      <c r="W115" s="97">
        <f t="shared" ca="1" si="14"/>
        <v>0</v>
      </c>
      <c r="X115" s="98">
        <f ca="1">IF('Invoer gegevens (N)'!$C$17=E115,'Invoer gegevens (N)'!$C$10-'Invoer gegevens (N)'!$C$11,IF(C115=1,AC114,0))</f>
        <v>0</v>
      </c>
      <c r="Y115" s="98">
        <f ca="1">IF(C115&gt;=1,X115*VLOOKUP(E115,'Reeksen (N)'!$A$5:$B$76,2),0)</f>
        <v>0</v>
      </c>
      <c r="Z115" s="98">
        <f ca="1">(1-('Invoer gegevens (N)'!$F$20/12))*X115*MIN('Reeksen (N)'!B115,'Reeksen (N)'!D115)</f>
        <v>0</v>
      </c>
      <c r="AA115" s="98">
        <f>IF('Reeksen (N)'!D115&gt;='Reeksen (N)'!B115,0,IF('Reeksen (N)'!AK115&lt;='Reeksen (N)'!AE115,('Reeksen (N)'!B115-'Reeksen (N)'!D115)*X115,0))</f>
        <v>0</v>
      </c>
      <c r="AB115" s="98">
        <f>IF('Reeksen (N)'!D115&gt;='Reeksen (N)'!B115,0,IF('Reeksen (N)'!AK115&gt;'Reeksen (N)'!AE115,('Reeksen (N)'!B115-'Reeksen (N)'!D115)*X115,0))</f>
        <v>0</v>
      </c>
      <c r="AC115" s="99">
        <f t="shared" ca="1" si="15"/>
        <v>0</v>
      </c>
      <c r="AD115" s="98">
        <f ca="1">IF('Invoer gegevens (N)'!$C$17=E115,R115,IF(C115=0,0,AE114))</f>
        <v>0</v>
      </c>
      <c r="AE115" s="98">
        <f t="shared" ca="1" si="16"/>
        <v>0</v>
      </c>
      <c r="AF115" s="98">
        <f ca="1">IF('Invoer gegevens (N)'!$C$17=E115,X115,IF(C115=0,0,AG114))</f>
        <v>0</v>
      </c>
      <c r="AG115" s="98">
        <f t="shared" ca="1" si="17"/>
        <v>0</v>
      </c>
      <c r="AH115" s="68"/>
      <c r="AI115" s="71">
        <f ca="1">IF(C115=1,'Reeksen (N)'!AJ115*((F115-G115+F115)/2)*12+'Reeksen (N)'!AK115*((L115-M115+L115)/2)*12,0)</f>
        <v>0</v>
      </c>
      <c r="AJ115" s="71">
        <f ca="1">-AI115*'Invoer gegevens (N)'!$F$28</f>
        <v>0</v>
      </c>
      <c r="AK115" s="71">
        <f t="shared" ca="1" si="11"/>
        <v>0</v>
      </c>
      <c r="AL115" s="71">
        <f ca="1">IF(C115=1,'Reeksen (N)'!AL115*((F115-G115+F115)/2)*12+'Reeksen (N)'!AM115*((L115-M115+L115)/2)*12,0)</f>
        <v>0</v>
      </c>
      <c r="AM115" s="71">
        <f ca="1">-AL115*'Invoer gegevens (N)'!$F$31</f>
        <v>0</v>
      </c>
      <c r="AN115" s="71">
        <f t="shared" ca="1" si="18"/>
        <v>0</v>
      </c>
      <c r="AO115" s="71">
        <f ca="1">IF(C115=1,(H115+J115+N115+P115)*'Reeksen (N)'!AN115,0)</f>
        <v>0</v>
      </c>
      <c r="AP115" s="71">
        <f ca="1">-IF(C115=1,(H115+J115+N115+P115)*'Hulp - basis'!$O$550*'Reeksen (N)'!H115,0)</f>
        <v>0</v>
      </c>
      <c r="AQ115" s="71">
        <f ca="1">-IF(C115=1,(F115+K115+L115+Q115)/2*'Invoer gegevens (N)'!$I$33*'Reeksen (N)'!J115,0)*2</f>
        <v>0</v>
      </c>
      <c r="AR115" s="71">
        <f ca="1">-IF(C115=1,(I115*'Invoer gegevens (N)'!$I$34)*'Reeksen (N)'!J115,0)</f>
        <v>0</v>
      </c>
      <c r="AS115" s="71">
        <f ca="1">-IF(C115=1,(F115+K115+L115+Q115)/2*'Invoer gegevens (N)'!$I$35*'Reeksen (N)'!L115,0)</f>
        <v>0</v>
      </c>
      <c r="AT115" s="71">
        <f ca="1">-IF(C115=1,IF(E115='Invoer gegevens (N)'!$C$17,'Invoer gegevens (N)'!$C$11,AD115)*'Reeksen (N)'!S115*'Invoer gegevens (N)'!$C$18*'Reeksen (N)'!P115,0)</f>
        <v>0</v>
      </c>
      <c r="AU115" s="71">
        <f ca="1">-IF(C115=1,(F115+K115+L115+Q115)/2*'Invoer gegevens (N)'!$I$36*'Reeksen (N)'!H115,0)</f>
        <v>0</v>
      </c>
      <c r="AV115" s="71">
        <v>0</v>
      </c>
      <c r="AW115" s="71">
        <f t="shared" ca="1" si="19"/>
        <v>0</v>
      </c>
      <c r="AX115" s="71">
        <f ca="1">IF(E115&lt;'Invoer gegevens (N)'!$C$17+15,0,IF(E115&gt;'Invoer gegevens (N)'!$C$17+215,0,AW115))</f>
        <v>0</v>
      </c>
      <c r="AY115" s="71">
        <f ca="1">AX115/(1+'Invoer gegevens (N)'!$F$18)^($AZ115-('Invoer gegevens (N)'!$C$17-'Invoer gegevens (N)'!$C$16))/(1+'Invoer gegevens (N)'!$C$39)^('Invoer gegevens (N)'!$C$17-'Invoer gegevens (N)'!$C$16)</f>
        <v>0</v>
      </c>
      <c r="AZ115" s="68">
        <f ca="1">IF(E115-'Invoer gegevens (N)'!$C$17-14.5&lt;0,0,E115-'Invoer gegevens (N)'!$C$17-14.5)</f>
        <v>95.5</v>
      </c>
    </row>
    <row r="116" spans="2:52" x14ac:dyDescent="0.25">
      <c r="B116" s="70">
        <f t="shared" si="20"/>
        <v>112</v>
      </c>
      <c r="C116" s="67">
        <f ca="1">IF(E116-'Invoer gegevens (N)'!$C$17&lt;0,0,1)</f>
        <v>1</v>
      </c>
      <c r="D116" s="68">
        <f t="shared" si="21"/>
        <v>111.5</v>
      </c>
      <c r="E116" s="108">
        <f ca="1">IF('Invoer gegevens (N)'!$C$16="","",E115+1)</f>
        <v>2130</v>
      </c>
      <c r="F116" s="84">
        <f ca="1">IF('Invoer gegevens (N)'!$C$17=E116,'Invoer gegevens (N)'!$C$10,IF(C116=1,K115,0))</f>
        <v>0</v>
      </c>
      <c r="G116" s="96">
        <f ca="1">IF(C116&gt;=1,F116*VLOOKUP(E116,'Reeksen (N)'!$A$5:$B$76,2),0)</f>
        <v>0</v>
      </c>
      <c r="H116" s="84">
        <f ca="1">(1-('Invoer gegevens (N)'!$F$20/12))*F116*MIN('Reeksen (N)'!B116,'Reeksen (N)'!D116)</f>
        <v>0</v>
      </c>
      <c r="I116" s="84">
        <f>IF('Reeksen (N)'!D116&lt;'Reeksen (N)'!B116,('Reeksen (N)'!B116-'Reeksen (N)'!D116)*F116,0)</f>
        <v>0</v>
      </c>
      <c r="J116" s="84">
        <f ca="1">('Invoer gegevens (N)'!$F$20/12)*F115*MIN('Reeksen (N)'!B115,'Reeksen (N)'!D115)</f>
        <v>0</v>
      </c>
      <c r="K116" s="97">
        <f t="shared" ca="1" si="12"/>
        <v>0</v>
      </c>
      <c r="L116" s="84">
        <f ca="1">IF('Invoer gegevens (N)'!$C$17=E116,0,IF(C116=1,Q115,0))</f>
        <v>0</v>
      </c>
      <c r="M116" s="96">
        <f ca="1">IF(C116&gt;=1,L116*VLOOKUP(E116,'Reeksen (N)'!$A$5:$B$76,2),0)</f>
        <v>0</v>
      </c>
      <c r="N116" s="84">
        <f ca="1">(1-('Invoer gegevens (N)'!$F$20/12))*L116*MIN('Reeksen (N)'!B116,'Reeksen (N)'!D116)</f>
        <v>0</v>
      </c>
      <c r="O116" s="84">
        <f>IF('Reeksen (N)'!D116&lt;'Reeksen (N)'!B116,('Reeksen (N)'!B116-'Reeksen (N)'!D116)*L116,0)</f>
        <v>0</v>
      </c>
      <c r="P116" s="84">
        <f ca="1">('Invoer gegevens (N)'!$F$20/12)*L115*MIN('Reeksen (N)'!B115,'Reeksen (N)'!D115)</f>
        <v>0</v>
      </c>
      <c r="Q116" s="84">
        <f t="shared" ca="1" si="13"/>
        <v>0</v>
      </c>
      <c r="R116" s="82">
        <f ca="1">IF('Invoer gegevens (N)'!$C$17=E116,'Invoer gegevens (N)'!$C$11,IF(C116=1,W115,0))</f>
        <v>0</v>
      </c>
      <c r="S116" s="86">
        <f ca="1">IF(C116&gt;=1,R116*VLOOKUP(E116,'Reeksen (N)'!$A$5:$B$76,2),0)</f>
        <v>0</v>
      </c>
      <c r="T116" s="84">
        <f ca="1">(1-('Invoer gegevens (N)'!$F$20/12))*R116*MIN('Reeksen (N)'!B116,'Reeksen (N)'!D116)</f>
        <v>0</v>
      </c>
      <c r="U116" s="84">
        <f>IF('Reeksen (N)'!D116&gt;='Reeksen (N)'!B116,0,IF('Reeksen (N)'!AK116&lt;='Reeksen (N)'!AE116,('Reeksen (N)'!B116-'Reeksen (N)'!D116)*R116,0))</f>
        <v>0</v>
      </c>
      <c r="V116" s="86">
        <f>IF('Reeksen (N)'!D116&gt;='Reeksen (N)'!B116,0,IF('Reeksen (N)'!AK116&gt;'Reeksen (N)'!AE116,('Reeksen (N)'!B116-'Reeksen (N)'!D116)*R116,0))</f>
        <v>0</v>
      </c>
      <c r="W116" s="97">
        <f t="shared" ca="1" si="14"/>
        <v>0</v>
      </c>
      <c r="X116" s="98">
        <f ca="1">IF('Invoer gegevens (N)'!$C$17=E116,'Invoer gegevens (N)'!$C$10-'Invoer gegevens (N)'!$C$11,IF(C116=1,AC115,0))</f>
        <v>0</v>
      </c>
      <c r="Y116" s="98">
        <f ca="1">IF(C116&gt;=1,X116*VLOOKUP(E116,'Reeksen (N)'!$A$5:$B$76,2),0)</f>
        <v>0</v>
      </c>
      <c r="Z116" s="98">
        <f ca="1">(1-('Invoer gegevens (N)'!$F$20/12))*X116*MIN('Reeksen (N)'!B116,'Reeksen (N)'!D116)</f>
        <v>0</v>
      </c>
      <c r="AA116" s="98">
        <f>IF('Reeksen (N)'!D116&gt;='Reeksen (N)'!B116,0,IF('Reeksen (N)'!AK116&lt;='Reeksen (N)'!AE116,('Reeksen (N)'!B116-'Reeksen (N)'!D116)*X116,0))</f>
        <v>0</v>
      </c>
      <c r="AB116" s="98">
        <f>IF('Reeksen (N)'!D116&gt;='Reeksen (N)'!B116,0,IF('Reeksen (N)'!AK116&gt;'Reeksen (N)'!AE116,('Reeksen (N)'!B116-'Reeksen (N)'!D116)*X116,0))</f>
        <v>0</v>
      </c>
      <c r="AC116" s="99">
        <f t="shared" ca="1" si="15"/>
        <v>0</v>
      </c>
      <c r="AD116" s="98">
        <f ca="1">IF('Invoer gegevens (N)'!$C$17=E116,R116,IF(C116=0,0,AE115))</f>
        <v>0</v>
      </c>
      <c r="AE116" s="98">
        <f t="shared" ca="1" si="16"/>
        <v>0</v>
      </c>
      <c r="AF116" s="98">
        <f ca="1">IF('Invoer gegevens (N)'!$C$17=E116,X116,IF(C116=0,0,AG115))</f>
        <v>0</v>
      </c>
      <c r="AG116" s="98">
        <f t="shared" ca="1" si="17"/>
        <v>0</v>
      </c>
      <c r="AH116" s="68"/>
      <c r="AI116" s="71">
        <f ca="1">IF(C116=1,'Reeksen (N)'!AJ116*((F116-G116+F116)/2)*12+'Reeksen (N)'!AK116*((L116-M116+L116)/2)*12,0)</f>
        <v>0</v>
      </c>
      <c r="AJ116" s="71">
        <f ca="1">-AI116*'Invoer gegevens (N)'!$F$28</f>
        <v>0</v>
      </c>
      <c r="AK116" s="71">
        <f t="shared" ca="1" si="11"/>
        <v>0</v>
      </c>
      <c r="AL116" s="71">
        <f ca="1">IF(C116=1,'Reeksen (N)'!AL116*((F116-G116+F116)/2)*12+'Reeksen (N)'!AM116*((L116-M116+L116)/2)*12,0)</f>
        <v>0</v>
      </c>
      <c r="AM116" s="71">
        <f ca="1">-AL116*'Invoer gegevens (N)'!$F$31</f>
        <v>0</v>
      </c>
      <c r="AN116" s="71">
        <f t="shared" ca="1" si="18"/>
        <v>0</v>
      </c>
      <c r="AO116" s="71">
        <f ca="1">IF(C116=1,(H116+J116+N116+P116)*'Reeksen (N)'!AN116,0)</f>
        <v>0</v>
      </c>
      <c r="AP116" s="71">
        <f ca="1">-IF(C116=1,(H116+J116+N116+P116)*'Hulp - basis'!$O$550*'Reeksen (N)'!H116,0)</f>
        <v>0</v>
      </c>
      <c r="AQ116" s="71">
        <f ca="1">-IF(C116=1,(F116+K116+L116+Q116)/2*'Invoer gegevens (N)'!$I$33*'Reeksen (N)'!J116,0)*2</f>
        <v>0</v>
      </c>
      <c r="AR116" s="71">
        <f ca="1">-IF(C116=1,(I116*'Invoer gegevens (N)'!$I$34)*'Reeksen (N)'!J116,0)</f>
        <v>0</v>
      </c>
      <c r="AS116" s="71">
        <f ca="1">-IF(C116=1,(F116+K116+L116+Q116)/2*'Invoer gegevens (N)'!$I$35*'Reeksen (N)'!L116,0)</f>
        <v>0</v>
      </c>
      <c r="AT116" s="71">
        <f ca="1">-IF(C116=1,IF(E116='Invoer gegevens (N)'!$C$17,'Invoer gegevens (N)'!$C$11,AD116)*'Reeksen (N)'!S116*'Invoer gegevens (N)'!$C$18*'Reeksen (N)'!P116,0)</f>
        <v>0</v>
      </c>
      <c r="AU116" s="71">
        <f ca="1">-IF(C116=1,(F116+K116+L116+Q116)/2*'Invoer gegevens (N)'!$I$36*'Reeksen (N)'!H116,0)</f>
        <v>0</v>
      </c>
      <c r="AV116" s="71">
        <v>0</v>
      </c>
      <c r="AW116" s="71">
        <f t="shared" ca="1" si="19"/>
        <v>0</v>
      </c>
      <c r="AX116" s="71">
        <f ca="1">IF(E116&lt;'Invoer gegevens (N)'!$C$17+15,0,IF(E116&gt;'Invoer gegevens (N)'!$C$17+215,0,AW116))</f>
        <v>0</v>
      </c>
      <c r="AY116" s="71">
        <f ca="1">AX116/(1+'Invoer gegevens (N)'!$F$18)^($AZ116-('Invoer gegevens (N)'!$C$17-'Invoer gegevens (N)'!$C$16))/(1+'Invoer gegevens (N)'!$C$39)^('Invoer gegevens (N)'!$C$17-'Invoer gegevens (N)'!$C$16)</f>
        <v>0</v>
      </c>
      <c r="AZ116" s="68">
        <f ca="1">IF(E116-'Invoer gegevens (N)'!$C$17-14.5&lt;0,0,E116-'Invoer gegevens (N)'!$C$17-14.5)</f>
        <v>96.5</v>
      </c>
    </row>
    <row r="117" spans="2:52" x14ac:dyDescent="0.25">
      <c r="B117" s="70">
        <f t="shared" si="20"/>
        <v>113</v>
      </c>
      <c r="C117" s="67">
        <f ca="1">IF(E117-'Invoer gegevens (N)'!$C$17&lt;0,0,1)</f>
        <v>1</v>
      </c>
      <c r="D117" s="68">
        <f t="shared" si="21"/>
        <v>112.5</v>
      </c>
      <c r="E117" s="108">
        <f ca="1">IF('Invoer gegevens (N)'!$C$16="","",E116+1)</f>
        <v>2131</v>
      </c>
      <c r="F117" s="84">
        <f ca="1">IF('Invoer gegevens (N)'!$C$17=E117,'Invoer gegevens (N)'!$C$10,IF(C117=1,K116,0))</f>
        <v>0</v>
      </c>
      <c r="G117" s="96">
        <f ca="1">IF(C117&gt;=1,F117*VLOOKUP(E117,'Reeksen (N)'!$A$5:$B$76,2),0)</f>
        <v>0</v>
      </c>
      <c r="H117" s="84">
        <f ca="1">(1-('Invoer gegevens (N)'!$F$20/12))*F117*MIN('Reeksen (N)'!B117,'Reeksen (N)'!D117)</f>
        <v>0</v>
      </c>
      <c r="I117" s="84">
        <f>IF('Reeksen (N)'!D117&lt;'Reeksen (N)'!B117,('Reeksen (N)'!B117-'Reeksen (N)'!D117)*F117,0)</f>
        <v>0</v>
      </c>
      <c r="J117" s="84">
        <f ca="1">('Invoer gegevens (N)'!$F$20/12)*F116*MIN('Reeksen (N)'!B116,'Reeksen (N)'!D116)</f>
        <v>0</v>
      </c>
      <c r="K117" s="97">
        <f t="shared" ca="1" si="12"/>
        <v>0</v>
      </c>
      <c r="L117" s="84">
        <f ca="1">IF('Invoer gegevens (N)'!$C$17=E117,0,IF(C117=1,Q116,0))</f>
        <v>0</v>
      </c>
      <c r="M117" s="96">
        <f ca="1">IF(C117&gt;=1,L117*VLOOKUP(E117,'Reeksen (N)'!$A$5:$B$76,2),0)</f>
        <v>0</v>
      </c>
      <c r="N117" s="84">
        <f ca="1">(1-('Invoer gegevens (N)'!$F$20/12))*L117*MIN('Reeksen (N)'!B117,'Reeksen (N)'!D117)</f>
        <v>0</v>
      </c>
      <c r="O117" s="84">
        <f>IF('Reeksen (N)'!D117&lt;'Reeksen (N)'!B117,('Reeksen (N)'!B117-'Reeksen (N)'!D117)*L117,0)</f>
        <v>0</v>
      </c>
      <c r="P117" s="84">
        <f ca="1">('Invoer gegevens (N)'!$F$20/12)*L116*MIN('Reeksen (N)'!B116,'Reeksen (N)'!D116)</f>
        <v>0</v>
      </c>
      <c r="Q117" s="84">
        <f t="shared" ca="1" si="13"/>
        <v>0</v>
      </c>
      <c r="R117" s="82">
        <f ca="1">IF('Invoer gegevens (N)'!$C$17=E117,'Invoer gegevens (N)'!$C$11,IF(C117=1,W116,0))</f>
        <v>0</v>
      </c>
      <c r="S117" s="86">
        <f ca="1">IF(C117&gt;=1,R117*VLOOKUP(E117,'Reeksen (N)'!$A$5:$B$76,2),0)</f>
        <v>0</v>
      </c>
      <c r="T117" s="84">
        <f ca="1">(1-('Invoer gegevens (N)'!$F$20/12))*R117*MIN('Reeksen (N)'!B117,'Reeksen (N)'!D117)</f>
        <v>0</v>
      </c>
      <c r="U117" s="84">
        <f>IF('Reeksen (N)'!D117&gt;='Reeksen (N)'!B117,0,IF('Reeksen (N)'!AK117&lt;='Reeksen (N)'!AE117,('Reeksen (N)'!B117-'Reeksen (N)'!D117)*R117,0))</f>
        <v>0</v>
      </c>
      <c r="V117" s="86">
        <f>IF('Reeksen (N)'!D117&gt;='Reeksen (N)'!B117,0,IF('Reeksen (N)'!AK117&gt;'Reeksen (N)'!AE117,('Reeksen (N)'!B117-'Reeksen (N)'!D117)*R117,0))</f>
        <v>0</v>
      </c>
      <c r="W117" s="97">
        <f t="shared" ca="1" si="14"/>
        <v>0</v>
      </c>
      <c r="X117" s="98">
        <f ca="1">IF('Invoer gegevens (N)'!$C$17=E117,'Invoer gegevens (N)'!$C$10-'Invoer gegevens (N)'!$C$11,IF(C117=1,AC116,0))</f>
        <v>0</v>
      </c>
      <c r="Y117" s="98">
        <f ca="1">IF(C117&gt;=1,X117*VLOOKUP(E117,'Reeksen (N)'!$A$5:$B$76,2),0)</f>
        <v>0</v>
      </c>
      <c r="Z117" s="98">
        <f ca="1">(1-('Invoer gegevens (N)'!$F$20/12))*X117*MIN('Reeksen (N)'!B117,'Reeksen (N)'!D117)</f>
        <v>0</v>
      </c>
      <c r="AA117" s="98">
        <f>IF('Reeksen (N)'!D117&gt;='Reeksen (N)'!B117,0,IF('Reeksen (N)'!AK117&lt;='Reeksen (N)'!AE117,('Reeksen (N)'!B117-'Reeksen (N)'!D117)*X117,0))</f>
        <v>0</v>
      </c>
      <c r="AB117" s="98">
        <f>IF('Reeksen (N)'!D117&gt;='Reeksen (N)'!B117,0,IF('Reeksen (N)'!AK117&gt;'Reeksen (N)'!AE117,('Reeksen (N)'!B117-'Reeksen (N)'!D117)*X117,0))</f>
        <v>0</v>
      </c>
      <c r="AC117" s="99">
        <f t="shared" ca="1" si="15"/>
        <v>0</v>
      </c>
      <c r="AD117" s="98">
        <f ca="1">IF('Invoer gegevens (N)'!$C$17=E117,R117,IF(C117=0,0,AE116))</f>
        <v>0</v>
      </c>
      <c r="AE117" s="98">
        <f t="shared" ca="1" si="16"/>
        <v>0</v>
      </c>
      <c r="AF117" s="98">
        <f ca="1">IF('Invoer gegevens (N)'!$C$17=E117,X117,IF(C117=0,0,AG116))</f>
        <v>0</v>
      </c>
      <c r="AG117" s="98">
        <f t="shared" ca="1" si="17"/>
        <v>0</v>
      </c>
      <c r="AH117" s="68"/>
      <c r="AI117" s="71">
        <f ca="1">IF(C117=1,'Reeksen (N)'!AJ117*((F117-G117+F117)/2)*12+'Reeksen (N)'!AK117*((L117-M117+L117)/2)*12,0)</f>
        <v>0</v>
      </c>
      <c r="AJ117" s="71">
        <f ca="1">-AI117*'Invoer gegevens (N)'!$F$28</f>
        <v>0</v>
      </c>
      <c r="AK117" s="71">
        <f t="shared" ca="1" si="11"/>
        <v>0</v>
      </c>
      <c r="AL117" s="71">
        <f ca="1">IF(C117=1,'Reeksen (N)'!AL117*((F117-G117+F117)/2)*12+'Reeksen (N)'!AM117*((L117-M117+L117)/2)*12,0)</f>
        <v>0</v>
      </c>
      <c r="AM117" s="71">
        <f ca="1">-AL117*'Invoer gegevens (N)'!$F$31</f>
        <v>0</v>
      </c>
      <c r="AN117" s="71">
        <f t="shared" ca="1" si="18"/>
        <v>0</v>
      </c>
      <c r="AO117" s="71">
        <f ca="1">IF(C117=1,(H117+J117+N117+P117)*'Reeksen (N)'!AN117,0)</f>
        <v>0</v>
      </c>
      <c r="AP117" s="71">
        <f ca="1">-IF(C117=1,(H117+J117+N117+P117)*'Hulp - basis'!$O$550*'Reeksen (N)'!H117,0)</f>
        <v>0</v>
      </c>
      <c r="AQ117" s="71">
        <f ca="1">-IF(C117=1,(F117+K117+L117+Q117)/2*'Invoer gegevens (N)'!$I$33*'Reeksen (N)'!J117,0)*2</f>
        <v>0</v>
      </c>
      <c r="AR117" s="71">
        <f ca="1">-IF(C117=1,(I117*'Invoer gegevens (N)'!$I$34)*'Reeksen (N)'!J117,0)</f>
        <v>0</v>
      </c>
      <c r="AS117" s="71">
        <f ca="1">-IF(C117=1,(F117+K117+L117+Q117)/2*'Invoer gegevens (N)'!$I$35*'Reeksen (N)'!L117,0)</f>
        <v>0</v>
      </c>
      <c r="AT117" s="71">
        <f ca="1">-IF(C117=1,IF(E117='Invoer gegevens (N)'!$C$17,'Invoer gegevens (N)'!$C$11,AD117)*'Reeksen (N)'!S117*'Invoer gegevens (N)'!$C$18*'Reeksen (N)'!P117,0)</f>
        <v>0</v>
      </c>
      <c r="AU117" s="71">
        <f ca="1">-IF(C117=1,(F117+K117+L117+Q117)/2*'Invoer gegevens (N)'!$I$36*'Reeksen (N)'!H117,0)</f>
        <v>0</v>
      </c>
      <c r="AV117" s="71">
        <v>0</v>
      </c>
      <c r="AW117" s="71">
        <f t="shared" ca="1" si="19"/>
        <v>0</v>
      </c>
      <c r="AX117" s="71">
        <f ca="1">IF(E117&lt;'Invoer gegevens (N)'!$C$17+15,0,IF(E117&gt;'Invoer gegevens (N)'!$C$17+215,0,AW117))</f>
        <v>0</v>
      </c>
      <c r="AY117" s="71">
        <f ca="1">AX117/(1+'Invoer gegevens (N)'!$F$18)^($AZ117-('Invoer gegevens (N)'!$C$17-'Invoer gegevens (N)'!$C$16))/(1+'Invoer gegevens (N)'!$C$39)^('Invoer gegevens (N)'!$C$17-'Invoer gegevens (N)'!$C$16)</f>
        <v>0</v>
      </c>
      <c r="AZ117" s="68">
        <f ca="1">IF(E117-'Invoer gegevens (N)'!$C$17-14.5&lt;0,0,E117-'Invoer gegevens (N)'!$C$17-14.5)</f>
        <v>97.5</v>
      </c>
    </row>
    <row r="118" spans="2:52" x14ac:dyDescent="0.25">
      <c r="B118" s="70">
        <f t="shared" si="20"/>
        <v>114</v>
      </c>
      <c r="C118" s="67">
        <f ca="1">IF(E118-'Invoer gegevens (N)'!$C$17&lt;0,0,1)</f>
        <v>1</v>
      </c>
      <c r="D118" s="68">
        <f t="shared" si="21"/>
        <v>113.5</v>
      </c>
      <c r="E118" s="108">
        <f ca="1">IF('Invoer gegevens (N)'!$C$16="","",E117+1)</f>
        <v>2132</v>
      </c>
      <c r="F118" s="84">
        <f ca="1">IF('Invoer gegevens (N)'!$C$17=E118,'Invoer gegevens (N)'!$C$10,IF(C118=1,K117,0))</f>
        <v>0</v>
      </c>
      <c r="G118" s="96">
        <f ca="1">IF(C118&gt;=1,F118*VLOOKUP(E118,'Reeksen (N)'!$A$5:$B$76,2),0)</f>
        <v>0</v>
      </c>
      <c r="H118" s="84">
        <f ca="1">(1-('Invoer gegevens (N)'!$F$20/12))*F118*MIN('Reeksen (N)'!B118,'Reeksen (N)'!D118)</f>
        <v>0</v>
      </c>
      <c r="I118" s="84">
        <f>IF('Reeksen (N)'!D118&lt;'Reeksen (N)'!B118,('Reeksen (N)'!B118-'Reeksen (N)'!D118)*F118,0)</f>
        <v>0</v>
      </c>
      <c r="J118" s="84">
        <f ca="1">('Invoer gegevens (N)'!$F$20/12)*F117*MIN('Reeksen (N)'!B117,'Reeksen (N)'!D117)</f>
        <v>0</v>
      </c>
      <c r="K118" s="97">
        <f t="shared" ca="1" si="12"/>
        <v>0</v>
      </c>
      <c r="L118" s="84">
        <f ca="1">IF('Invoer gegevens (N)'!$C$17=E118,0,IF(C118=1,Q117,0))</f>
        <v>0</v>
      </c>
      <c r="M118" s="96">
        <f ca="1">IF(C118&gt;=1,L118*VLOOKUP(E118,'Reeksen (N)'!$A$5:$B$76,2),0)</f>
        <v>0</v>
      </c>
      <c r="N118" s="84">
        <f ca="1">(1-('Invoer gegevens (N)'!$F$20/12))*L118*MIN('Reeksen (N)'!B118,'Reeksen (N)'!D118)</f>
        <v>0</v>
      </c>
      <c r="O118" s="84">
        <f>IF('Reeksen (N)'!D118&lt;'Reeksen (N)'!B118,('Reeksen (N)'!B118-'Reeksen (N)'!D118)*L118,0)</f>
        <v>0</v>
      </c>
      <c r="P118" s="84">
        <f ca="1">('Invoer gegevens (N)'!$F$20/12)*L117*MIN('Reeksen (N)'!B117,'Reeksen (N)'!D117)</f>
        <v>0</v>
      </c>
      <c r="Q118" s="84">
        <f t="shared" ca="1" si="13"/>
        <v>0</v>
      </c>
      <c r="R118" s="82">
        <f ca="1">IF('Invoer gegevens (N)'!$C$17=E118,'Invoer gegevens (N)'!$C$11,IF(C118=1,W117,0))</f>
        <v>0</v>
      </c>
      <c r="S118" s="86">
        <f ca="1">IF(C118&gt;=1,R118*VLOOKUP(E118,'Reeksen (N)'!$A$5:$B$76,2),0)</f>
        <v>0</v>
      </c>
      <c r="T118" s="84">
        <f ca="1">(1-('Invoer gegevens (N)'!$F$20/12))*R118*MIN('Reeksen (N)'!B118,'Reeksen (N)'!D118)</f>
        <v>0</v>
      </c>
      <c r="U118" s="84">
        <f>IF('Reeksen (N)'!D118&gt;='Reeksen (N)'!B118,0,IF('Reeksen (N)'!AK118&lt;='Reeksen (N)'!AE118,('Reeksen (N)'!B118-'Reeksen (N)'!D118)*R118,0))</f>
        <v>0</v>
      </c>
      <c r="V118" s="86">
        <f>IF('Reeksen (N)'!D118&gt;='Reeksen (N)'!B118,0,IF('Reeksen (N)'!AK118&gt;'Reeksen (N)'!AE118,('Reeksen (N)'!B118-'Reeksen (N)'!D118)*R118,0))</f>
        <v>0</v>
      </c>
      <c r="W118" s="97">
        <f t="shared" ca="1" si="14"/>
        <v>0</v>
      </c>
      <c r="X118" s="98">
        <f ca="1">IF('Invoer gegevens (N)'!$C$17=E118,'Invoer gegevens (N)'!$C$10-'Invoer gegevens (N)'!$C$11,IF(C118=1,AC117,0))</f>
        <v>0</v>
      </c>
      <c r="Y118" s="98">
        <f ca="1">IF(C118&gt;=1,X118*VLOOKUP(E118,'Reeksen (N)'!$A$5:$B$76,2),0)</f>
        <v>0</v>
      </c>
      <c r="Z118" s="98">
        <f ca="1">(1-('Invoer gegevens (N)'!$F$20/12))*X118*MIN('Reeksen (N)'!B118,'Reeksen (N)'!D118)</f>
        <v>0</v>
      </c>
      <c r="AA118" s="98">
        <f>IF('Reeksen (N)'!D118&gt;='Reeksen (N)'!B118,0,IF('Reeksen (N)'!AK118&lt;='Reeksen (N)'!AE118,('Reeksen (N)'!B118-'Reeksen (N)'!D118)*X118,0))</f>
        <v>0</v>
      </c>
      <c r="AB118" s="98">
        <f>IF('Reeksen (N)'!D118&gt;='Reeksen (N)'!B118,0,IF('Reeksen (N)'!AK118&gt;'Reeksen (N)'!AE118,('Reeksen (N)'!B118-'Reeksen (N)'!D118)*X118,0))</f>
        <v>0</v>
      </c>
      <c r="AC118" s="99">
        <f t="shared" ca="1" si="15"/>
        <v>0</v>
      </c>
      <c r="AD118" s="98">
        <f ca="1">IF('Invoer gegevens (N)'!$C$17=E118,R118,IF(C118=0,0,AE117))</f>
        <v>0</v>
      </c>
      <c r="AE118" s="98">
        <f t="shared" ca="1" si="16"/>
        <v>0</v>
      </c>
      <c r="AF118" s="98">
        <f ca="1">IF('Invoer gegevens (N)'!$C$17=E118,X118,IF(C118=0,0,AG117))</f>
        <v>0</v>
      </c>
      <c r="AG118" s="98">
        <f t="shared" ca="1" si="17"/>
        <v>0</v>
      </c>
      <c r="AH118" s="68"/>
      <c r="AI118" s="71">
        <f ca="1">IF(C118=1,'Reeksen (N)'!AJ118*((F118-G118+F118)/2)*12+'Reeksen (N)'!AK118*((L118-M118+L118)/2)*12,0)</f>
        <v>0</v>
      </c>
      <c r="AJ118" s="71">
        <f ca="1">-AI118*'Invoer gegevens (N)'!$F$28</f>
        <v>0</v>
      </c>
      <c r="AK118" s="71">
        <f t="shared" ca="1" si="11"/>
        <v>0</v>
      </c>
      <c r="AL118" s="71">
        <f ca="1">IF(C118=1,'Reeksen (N)'!AL118*((F118-G118+F118)/2)*12+'Reeksen (N)'!AM118*((L118-M118+L118)/2)*12,0)</f>
        <v>0</v>
      </c>
      <c r="AM118" s="71">
        <f ca="1">-AL118*'Invoer gegevens (N)'!$F$31</f>
        <v>0</v>
      </c>
      <c r="AN118" s="71">
        <f t="shared" ca="1" si="18"/>
        <v>0</v>
      </c>
      <c r="AO118" s="71">
        <f ca="1">IF(C118=1,(H118+J118+N118+P118)*'Reeksen (N)'!AN118,0)</f>
        <v>0</v>
      </c>
      <c r="AP118" s="71">
        <f ca="1">-IF(C118=1,(H118+J118+N118+P118)*'Hulp - basis'!$O$550*'Reeksen (N)'!H118,0)</f>
        <v>0</v>
      </c>
      <c r="AQ118" s="71">
        <f ca="1">-IF(C118=1,(F118+K118+L118+Q118)/2*'Invoer gegevens (N)'!$I$33*'Reeksen (N)'!J118,0)*2</f>
        <v>0</v>
      </c>
      <c r="AR118" s="71">
        <f ca="1">-IF(C118=1,(I118*'Invoer gegevens (N)'!$I$34)*'Reeksen (N)'!J118,0)</f>
        <v>0</v>
      </c>
      <c r="AS118" s="71">
        <f ca="1">-IF(C118=1,(F118+K118+L118+Q118)/2*'Invoer gegevens (N)'!$I$35*'Reeksen (N)'!L118,0)</f>
        <v>0</v>
      </c>
      <c r="AT118" s="71">
        <f ca="1">-IF(C118=1,IF(E118='Invoer gegevens (N)'!$C$17,'Invoer gegevens (N)'!$C$11,AD118)*'Reeksen (N)'!S118*'Invoer gegevens (N)'!$C$18*'Reeksen (N)'!P118,0)</f>
        <v>0</v>
      </c>
      <c r="AU118" s="71">
        <f ca="1">-IF(C118=1,(F118+K118+L118+Q118)/2*'Invoer gegevens (N)'!$I$36*'Reeksen (N)'!H118,0)</f>
        <v>0</v>
      </c>
      <c r="AV118" s="71">
        <v>0</v>
      </c>
      <c r="AW118" s="71">
        <f t="shared" ca="1" si="19"/>
        <v>0</v>
      </c>
      <c r="AX118" s="71">
        <f ca="1">IF(E118&lt;'Invoer gegevens (N)'!$C$17+15,0,IF(E118&gt;'Invoer gegevens (N)'!$C$17+215,0,AW118))</f>
        <v>0</v>
      </c>
      <c r="AY118" s="71">
        <f ca="1">AX118/(1+'Invoer gegevens (N)'!$F$18)^($AZ118-('Invoer gegevens (N)'!$C$17-'Invoer gegevens (N)'!$C$16))/(1+'Invoer gegevens (N)'!$C$39)^('Invoer gegevens (N)'!$C$17-'Invoer gegevens (N)'!$C$16)</f>
        <v>0</v>
      </c>
      <c r="AZ118" s="68">
        <f ca="1">IF(E118-'Invoer gegevens (N)'!$C$17-14.5&lt;0,0,E118-'Invoer gegevens (N)'!$C$17-14.5)</f>
        <v>98.5</v>
      </c>
    </row>
    <row r="119" spans="2:52" x14ac:dyDescent="0.25">
      <c r="B119" s="70">
        <f t="shared" si="20"/>
        <v>115</v>
      </c>
      <c r="C119" s="67">
        <f ca="1">IF(E119-'Invoer gegevens (N)'!$C$17&lt;0,0,1)</f>
        <v>1</v>
      </c>
      <c r="D119" s="68">
        <f t="shared" si="21"/>
        <v>114.5</v>
      </c>
      <c r="E119" s="108">
        <f ca="1">IF('Invoer gegevens (N)'!$C$16="","",E118+1)</f>
        <v>2133</v>
      </c>
      <c r="F119" s="84">
        <f ca="1">IF('Invoer gegevens (N)'!$C$17=E119,'Invoer gegevens (N)'!$C$10,IF(C119=1,K118,0))</f>
        <v>0</v>
      </c>
      <c r="G119" s="96">
        <f ca="1">IF(C119&gt;=1,F119*VLOOKUP(E119,'Reeksen (N)'!$A$5:$B$76,2),0)</f>
        <v>0</v>
      </c>
      <c r="H119" s="84">
        <f ca="1">(1-('Invoer gegevens (N)'!$F$20/12))*F119*MIN('Reeksen (N)'!B119,'Reeksen (N)'!D119)</f>
        <v>0</v>
      </c>
      <c r="I119" s="84">
        <f>IF('Reeksen (N)'!D119&lt;'Reeksen (N)'!B119,('Reeksen (N)'!B119-'Reeksen (N)'!D119)*F119,0)</f>
        <v>0</v>
      </c>
      <c r="J119" s="84">
        <f ca="1">('Invoer gegevens (N)'!$F$20/12)*F118*MIN('Reeksen (N)'!B118,'Reeksen (N)'!D118)</f>
        <v>0</v>
      </c>
      <c r="K119" s="97">
        <f t="shared" ca="1" si="12"/>
        <v>0</v>
      </c>
      <c r="L119" s="84">
        <f ca="1">IF('Invoer gegevens (N)'!$C$17=E119,0,IF(C119=1,Q118,0))</f>
        <v>0</v>
      </c>
      <c r="M119" s="96">
        <f ca="1">IF(C119&gt;=1,L119*VLOOKUP(E119,'Reeksen (N)'!$A$5:$B$76,2),0)</f>
        <v>0</v>
      </c>
      <c r="N119" s="84">
        <f ca="1">(1-('Invoer gegevens (N)'!$F$20/12))*L119*MIN('Reeksen (N)'!B119,'Reeksen (N)'!D119)</f>
        <v>0</v>
      </c>
      <c r="O119" s="84">
        <f>IF('Reeksen (N)'!D119&lt;'Reeksen (N)'!B119,('Reeksen (N)'!B119-'Reeksen (N)'!D119)*L119,0)</f>
        <v>0</v>
      </c>
      <c r="P119" s="84">
        <f ca="1">('Invoer gegevens (N)'!$F$20/12)*L118*MIN('Reeksen (N)'!B118,'Reeksen (N)'!D118)</f>
        <v>0</v>
      </c>
      <c r="Q119" s="84">
        <f t="shared" ca="1" si="13"/>
        <v>0</v>
      </c>
      <c r="R119" s="82">
        <f ca="1">IF('Invoer gegevens (N)'!$C$17=E119,'Invoer gegevens (N)'!$C$11,IF(C119=1,W118,0))</f>
        <v>0</v>
      </c>
      <c r="S119" s="86">
        <f ca="1">IF(C119&gt;=1,R119*VLOOKUP(E119,'Reeksen (N)'!$A$5:$B$76,2),0)</f>
        <v>0</v>
      </c>
      <c r="T119" s="84">
        <f ca="1">(1-('Invoer gegevens (N)'!$F$20/12))*R119*MIN('Reeksen (N)'!B119,'Reeksen (N)'!D119)</f>
        <v>0</v>
      </c>
      <c r="U119" s="84">
        <f>IF('Reeksen (N)'!D119&gt;='Reeksen (N)'!B119,0,IF('Reeksen (N)'!AK119&lt;='Reeksen (N)'!AE119,('Reeksen (N)'!B119-'Reeksen (N)'!D119)*R119,0))</f>
        <v>0</v>
      </c>
      <c r="V119" s="86">
        <f>IF('Reeksen (N)'!D119&gt;='Reeksen (N)'!B119,0,IF('Reeksen (N)'!AK119&gt;'Reeksen (N)'!AE119,('Reeksen (N)'!B119-'Reeksen (N)'!D119)*R119,0))</f>
        <v>0</v>
      </c>
      <c r="W119" s="97">
        <f t="shared" ca="1" si="14"/>
        <v>0</v>
      </c>
      <c r="X119" s="98">
        <f ca="1">IF('Invoer gegevens (N)'!$C$17=E119,'Invoer gegevens (N)'!$C$10-'Invoer gegevens (N)'!$C$11,IF(C119=1,AC118,0))</f>
        <v>0</v>
      </c>
      <c r="Y119" s="98">
        <f ca="1">IF(C119&gt;=1,X119*VLOOKUP(E119,'Reeksen (N)'!$A$5:$B$76,2),0)</f>
        <v>0</v>
      </c>
      <c r="Z119" s="98">
        <f ca="1">(1-('Invoer gegevens (N)'!$F$20/12))*X119*MIN('Reeksen (N)'!B119,'Reeksen (N)'!D119)</f>
        <v>0</v>
      </c>
      <c r="AA119" s="98">
        <f>IF('Reeksen (N)'!D119&gt;='Reeksen (N)'!B119,0,IF('Reeksen (N)'!AK119&lt;='Reeksen (N)'!AE119,('Reeksen (N)'!B119-'Reeksen (N)'!D119)*X119,0))</f>
        <v>0</v>
      </c>
      <c r="AB119" s="98">
        <f>IF('Reeksen (N)'!D119&gt;='Reeksen (N)'!B119,0,IF('Reeksen (N)'!AK119&gt;'Reeksen (N)'!AE119,('Reeksen (N)'!B119-'Reeksen (N)'!D119)*X119,0))</f>
        <v>0</v>
      </c>
      <c r="AC119" s="99">
        <f t="shared" ca="1" si="15"/>
        <v>0</v>
      </c>
      <c r="AD119" s="98">
        <f ca="1">IF('Invoer gegevens (N)'!$C$17=E119,R119,IF(C119=0,0,AE118))</f>
        <v>0</v>
      </c>
      <c r="AE119" s="98">
        <f t="shared" ca="1" si="16"/>
        <v>0</v>
      </c>
      <c r="AF119" s="98">
        <f ca="1">IF('Invoer gegevens (N)'!$C$17=E119,X119,IF(C119=0,0,AG118))</f>
        <v>0</v>
      </c>
      <c r="AG119" s="98">
        <f t="shared" ca="1" si="17"/>
        <v>0</v>
      </c>
      <c r="AH119" s="68"/>
      <c r="AI119" s="71">
        <f ca="1">IF(C119=1,'Reeksen (N)'!AJ119*((F119-G119+F119)/2)*12+'Reeksen (N)'!AK119*((L119-M119+L119)/2)*12,0)</f>
        <v>0</v>
      </c>
      <c r="AJ119" s="71">
        <f ca="1">-AI119*'Invoer gegevens (N)'!$F$28</f>
        <v>0</v>
      </c>
      <c r="AK119" s="71">
        <f t="shared" ca="1" si="11"/>
        <v>0</v>
      </c>
      <c r="AL119" s="71">
        <f ca="1">IF(C119=1,'Reeksen (N)'!AL119*((F119-G119+F119)/2)*12+'Reeksen (N)'!AM119*((L119-M119+L119)/2)*12,0)</f>
        <v>0</v>
      </c>
      <c r="AM119" s="71">
        <f ca="1">-AL119*'Invoer gegevens (N)'!$F$31</f>
        <v>0</v>
      </c>
      <c r="AN119" s="71">
        <f t="shared" ca="1" si="18"/>
        <v>0</v>
      </c>
      <c r="AO119" s="71">
        <f ca="1">IF(C119=1,(H119+J119+N119+P119)*'Reeksen (N)'!AN119,0)</f>
        <v>0</v>
      </c>
      <c r="AP119" s="71">
        <f ca="1">-IF(C119=1,(H119+J119+N119+P119)*'Hulp - basis'!$O$550*'Reeksen (N)'!H119,0)</f>
        <v>0</v>
      </c>
      <c r="AQ119" s="71">
        <f ca="1">-IF(C119=1,(F119+K119+L119+Q119)/2*'Invoer gegevens (N)'!$I$33*'Reeksen (N)'!J119,0)*2</f>
        <v>0</v>
      </c>
      <c r="AR119" s="71">
        <f ca="1">-IF(C119=1,(I119*'Invoer gegevens (N)'!$I$34)*'Reeksen (N)'!J119,0)</f>
        <v>0</v>
      </c>
      <c r="AS119" s="71">
        <f ca="1">-IF(C119=1,(F119+K119+L119+Q119)/2*'Invoer gegevens (N)'!$I$35*'Reeksen (N)'!L119,0)</f>
        <v>0</v>
      </c>
      <c r="AT119" s="71">
        <f ca="1">-IF(C119=1,IF(E119='Invoer gegevens (N)'!$C$17,'Invoer gegevens (N)'!$C$11,AD119)*'Reeksen (N)'!S119*'Invoer gegevens (N)'!$C$18*'Reeksen (N)'!P119,0)</f>
        <v>0</v>
      </c>
      <c r="AU119" s="71">
        <f ca="1">-IF(C119=1,(F119+K119+L119+Q119)/2*'Invoer gegevens (N)'!$I$36*'Reeksen (N)'!H119,0)</f>
        <v>0</v>
      </c>
      <c r="AV119" s="71">
        <v>0</v>
      </c>
      <c r="AW119" s="71">
        <f t="shared" ca="1" si="19"/>
        <v>0</v>
      </c>
      <c r="AX119" s="71">
        <f ca="1">IF(E119&lt;'Invoer gegevens (N)'!$C$17+15,0,IF(E119&gt;'Invoer gegevens (N)'!$C$17+215,0,AW119))</f>
        <v>0</v>
      </c>
      <c r="AY119" s="71">
        <f ca="1">AX119/(1+'Invoer gegevens (N)'!$F$18)^($AZ119-('Invoer gegevens (N)'!$C$17-'Invoer gegevens (N)'!$C$16))/(1+'Invoer gegevens (N)'!$C$39)^('Invoer gegevens (N)'!$C$17-'Invoer gegevens (N)'!$C$16)</f>
        <v>0</v>
      </c>
      <c r="AZ119" s="68">
        <f ca="1">IF(E119-'Invoer gegevens (N)'!$C$17-14.5&lt;0,0,E119-'Invoer gegevens (N)'!$C$17-14.5)</f>
        <v>99.5</v>
      </c>
    </row>
    <row r="120" spans="2:52" x14ac:dyDescent="0.25">
      <c r="B120" s="70">
        <f t="shared" si="20"/>
        <v>116</v>
      </c>
      <c r="C120" s="67">
        <f ca="1">IF(E120-'Invoer gegevens (N)'!$C$17&lt;0,0,1)</f>
        <v>1</v>
      </c>
      <c r="D120" s="68">
        <f t="shared" si="21"/>
        <v>115.5</v>
      </c>
      <c r="E120" s="108">
        <f ca="1">IF('Invoer gegevens (N)'!$C$16="","",E119+1)</f>
        <v>2134</v>
      </c>
      <c r="F120" s="84">
        <f ca="1">IF('Invoer gegevens (N)'!$C$17=E120,'Invoer gegevens (N)'!$C$10,IF(C120=1,K119,0))</f>
        <v>0</v>
      </c>
      <c r="G120" s="96">
        <f ca="1">IF(C120&gt;=1,F120*VLOOKUP(E120,'Reeksen (N)'!$A$5:$B$76,2),0)</f>
        <v>0</v>
      </c>
      <c r="H120" s="84">
        <f ca="1">(1-('Invoer gegevens (N)'!$F$20/12))*F120*MIN('Reeksen (N)'!B120,'Reeksen (N)'!D120)</f>
        <v>0</v>
      </c>
      <c r="I120" s="84">
        <f>IF('Reeksen (N)'!D120&lt;'Reeksen (N)'!B120,('Reeksen (N)'!B120-'Reeksen (N)'!D120)*F120,0)</f>
        <v>0</v>
      </c>
      <c r="J120" s="84">
        <f ca="1">('Invoer gegevens (N)'!$F$20/12)*F119*MIN('Reeksen (N)'!B119,'Reeksen (N)'!D119)</f>
        <v>0</v>
      </c>
      <c r="K120" s="97">
        <f t="shared" ca="1" si="12"/>
        <v>0</v>
      </c>
      <c r="L120" s="84">
        <f ca="1">IF('Invoer gegevens (N)'!$C$17=E120,0,IF(C120=1,Q119,0))</f>
        <v>0</v>
      </c>
      <c r="M120" s="96">
        <f ca="1">IF(C120&gt;=1,L120*VLOOKUP(E120,'Reeksen (N)'!$A$5:$B$76,2),0)</f>
        <v>0</v>
      </c>
      <c r="N120" s="84">
        <f ca="1">(1-('Invoer gegevens (N)'!$F$20/12))*L120*MIN('Reeksen (N)'!B120,'Reeksen (N)'!D120)</f>
        <v>0</v>
      </c>
      <c r="O120" s="84">
        <f>IF('Reeksen (N)'!D120&lt;'Reeksen (N)'!B120,('Reeksen (N)'!B120-'Reeksen (N)'!D120)*L120,0)</f>
        <v>0</v>
      </c>
      <c r="P120" s="84">
        <f ca="1">('Invoer gegevens (N)'!$F$20/12)*L119*MIN('Reeksen (N)'!B119,'Reeksen (N)'!D119)</f>
        <v>0</v>
      </c>
      <c r="Q120" s="84">
        <f t="shared" ca="1" si="13"/>
        <v>0</v>
      </c>
      <c r="R120" s="82">
        <f ca="1">IF('Invoer gegevens (N)'!$C$17=E120,'Invoer gegevens (N)'!$C$11,IF(C120=1,W119,0))</f>
        <v>0</v>
      </c>
      <c r="S120" s="86">
        <f ca="1">IF(C120&gt;=1,R120*VLOOKUP(E120,'Reeksen (N)'!$A$5:$B$76,2),0)</f>
        <v>0</v>
      </c>
      <c r="T120" s="84">
        <f ca="1">(1-('Invoer gegevens (N)'!$F$20/12))*R120*MIN('Reeksen (N)'!B120,'Reeksen (N)'!D120)</f>
        <v>0</v>
      </c>
      <c r="U120" s="84">
        <f>IF('Reeksen (N)'!D120&gt;='Reeksen (N)'!B120,0,IF('Reeksen (N)'!AK120&lt;='Reeksen (N)'!AE120,('Reeksen (N)'!B120-'Reeksen (N)'!D120)*R120,0))</f>
        <v>0</v>
      </c>
      <c r="V120" s="86">
        <f>IF('Reeksen (N)'!D120&gt;='Reeksen (N)'!B120,0,IF('Reeksen (N)'!AK120&gt;'Reeksen (N)'!AE120,('Reeksen (N)'!B120-'Reeksen (N)'!D120)*R120,0))</f>
        <v>0</v>
      </c>
      <c r="W120" s="97">
        <f t="shared" ca="1" si="14"/>
        <v>0</v>
      </c>
      <c r="X120" s="98">
        <f ca="1">IF('Invoer gegevens (N)'!$C$17=E120,'Invoer gegevens (N)'!$C$10-'Invoer gegevens (N)'!$C$11,IF(C120=1,AC119,0))</f>
        <v>0</v>
      </c>
      <c r="Y120" s="98">
        <f ca="1">IF(C120&gt;=1,X120*VLOOKUP(E120,'Reeksen (N)'!$A$5:$B$76,2),0)</f>
        <v>0</v>
      </c>
      <c r="Z120" s="98">
        <f ca="1">(1-('Invoer gegevens (N)'!$F$20/12))*X120*MIN('Reeksen (N)'!B120,'Reeksen (N)'!D120)</f>
        <v>0</v>
      </c>
      <c r="AA120" s="98">
        <f>IF('Reeksen (N)'!D120&gt;='Reeksen (N)'!B120,0,IF('Reeksen (N)'!AK120&lt;='Reeksen (N)'!AE120,('Reeksen (N)'!B120-'Reeksen (N)'!D120)*X120,0))</f>
        <v>0</v>
      </c>
      <c r="AB120" s="98">
        <f>IF('Reeksen (N)'!D120&gt;='Reeksen (N)'!B120,0,IF('Reeksen (N)'!AK120&gt;'Reeksen (N)'!AE120,('Reeksen (N)'!B120-'Reeksen (N)'!D120)*X120,0))</f>
        <v>0</v>
      </c>
      <c r="AC120" s="99">
        <f t="shared" ca="1" si="15"/>
        <v>0</v>
      </c>
      <c r="AD120" s="98">
        <f ca="1">IF('Invoer gegevens (N)'!$C$17=E120,R120,IF(C120=0,0,AE119))</f>
        <v>0</v>
      </c>
      <c r="AE120" s="98">
        <f t="shared" ca="1" si="16"/>
        <v>0</v>
      </c>
      <c r="AF120" s="98">
        <f ca="1">IF('Invoer gegevens (N)'!$C$17=E120,X120,IF(C120=0,0,AG119))</f>
        <v>0</v>
      </c>
      <c r="AG120" s="98">
        <f t="shared" ca="1" si="17"/>
        <v>0</v>
      </c>
      <c r="AH120" s="68"/>
      <c r="AI120" s="71">
        <f ca="1">IF(C120=1,'Reeksen (N)'!AJ120*((F120-G120+F120)/2)*12+'Reeksen (N)'!AK120*((L120-M120+L120)/2)*12,0)</f>
        <v>0</v>
      </c>
      <c r="AJ120" s="71">
        <f ca="1">-AI120*'Invoer gegevens (N)'!$F$28</f>
        <v>0</v>
      </c>
      <c r="AK120" s="71">
        <f t="shared" ca="1" si="11"/>
        <v>0</v>
      </c>
      <c r="AL120" s="71">
        <f ca="1">IF(C120=1,'Reeksen (N)'!AL120*((F120-G120+F120)/2)*12+'Reeksen (N)'!AM120*((L120-M120+L120)/2)*12,0)</f>
        <v>0</v>
      </c>
      <c r="AM120" s="71">
        <f ca="1">-AL120*'Invoer gegevens (N)'!$F$31</f>
        <v>0</v>
      </c>
      <c r="AN120" s="71">
        <f t="shared" ca="1" si="18"/>
        <v>0</v>
      </c>
      <c r="AO120" s="71">
        <f ca="1">IF(C120=1,(H120+J120+N120+P120)*'Reeksen (N)'!AN120,0)</f>
        <v>0</v>
      </c>
      <c r="AP120" s="71">
        <f ca="1">-IF(C120=1,(H120+J120+N120+P120)*'Hulp - basis'!$O$550*'Reeksen (N)'!H120,0)</f>
        <v>0</v>
      </c>
      <c r="AQ120" s="71">
        <f ca="1">-IF(C120=1,(F120+K120+L120+Q120)/2*'Invoer gegevens (N)'!$I$33*'Reeksen (N)'!J120,0)*2</f>
        <v>0</v>
      </c>
      <c r="AR120" s="71">
        <f ca="1">-IF(C120=1,(I120*'Invoer gegevens (N)'!$I$34)*'Reeksen (N)'!J120,0)</f>
        <v>0</v>
      </c>
      <c r="AS120" s="71">
        <f ca="1">-IF(C120=1,(F120+K120+L120+Q120)/2*'Invoer gegevens (N)'!$I$35*'Reeksen (N)'!L120,0)</f>
        <v>0</v>
      </c>
      <c r="AT120" s="71">
        <f ca="1">-IF(C120=1,IF(E120='Invoer gegevens (N)'!$C$17,'Invoer gegevens (N)'!$C$11,AD120)*'Reeksen (N)'!S120*'Invoer gegevens (N)'!$C$18*'Reeksen (N)'!P120,0)</f>
        <v>0</v>
      </c>
      <c r="AU120" s="71">
        <f ca="1">-IF(C120=1,(F120+K120+L120+Q120)/2*'Invoer gegevens (N)'!$I$36*'Reeksen (N)'!H120,0)</f>
        <v>0</v>
      </c>
      <c r="AV120" s="71">
        <v>0</v>
      </c>
      <c r="AW120" s="71">
        <f t="shared" ca="1" si="19"/>
        <v>0</v>
      </c>
      <c r="AX120" s="71">
        <f ca="1">IF(E120&lt;'Invoer gegevens (N)'!$C$17+15,0,IF(E120&gt;'Invoer gegevens (N)'!$C$17+215,0,AW120))</f>
        <v>0</v>
      </c>
      <c r="AY120" s="71">
        <f ca="1">AX120/(1+'Invoer gegevens (N)'!$F$18)^($AZ120-('Invoer gegevens (N)'!$C$17-'Invoer gegevens (N)'!$C$16))/(1+'Invoer gegevens (N)'!$C$39)^('Invoer gegevens (N)'!$C$17-'Invoer gegevens (N)'!$C$16)</f>
        <v>0</v>
      </c>
      <c r="AZ120" s="68">
        <f ca="1">IF(E120-'Invoer gegevens (N)'!$C$17-14.5&lt;0,0,E120-'Invoer gegevens (N)'!$C$17-14.5)</f>
        <v>100.5</v>
      </c>
    </row>
    <row r="121" spans="2:52" x14ac:dyDescent="0.25">
      <c r="B121" s="70">
        <f t="shared" si="20"/>
        <v>117</v>
      </c>
      <c r="C121" s="67">
        <f ca="1">IF(E121-'Invoer gegevens (N)'!$C$17&lt;0,0,1)</f>
        <v>1</v>
      </c>
      <c r="D121" s="68">
        <f t="shared" si="21"/>
        <v>116.5</v>
      </c>
      <c r="E121" s="108">
        <f ca="1">IF('Invoer gegevens (N)'!$C$16="","",E120+1)</f>
        <v>2135</v>
      </c>
      <c r="F121" s="84">
        <f ca="1">IF('Invoer gegevens (N)'!$C$17=E121,'Invoer gegevens (N)'!$C$10,IF(C121=1,K120,0))</f>
        <v>0</v>
      </c>
      <c r="G121" s="96">
        <f ca="1">IF(C121&gt;=1,F121*VLOOKUP(E121,'Reeksen (N)'!$A$5:$B$76,2),0)</f>
        <v>0</v>
      </c>
      <c r="H121" s="84">
        <f ca="1">(1-('Invoer gegevens (N)'!$F$20/12))*F121*MIN('Reeksen (N)'!B121,'Reeksen (N)'!D121)</f>
        <v>0</v>
      </c>
      <c r="I121" s="84">
        <f>IF('Reeksen (N)'!D121&lt;'Reeksen (N)'!B121,('Reeksen (N)'!B121-'Reeksen (N)'!D121)*F121,0)</f>
        <v>0</v>
      </c>
      <c r="J121" s="84">
        <f ca="1">('Invoer gegevens (N)'!$F$20/12)*F120*MIN('Reeksen (N)'!B120,'Reeksen (N)'!D120)</f>
        <v>0</v>
      </c>
      <c r="K121" s="97">
        <f t="shared" ca="1" si="12"/>
        <v>0</v>
      </c>
      <c r="L121" s="84">
        <f ca="1">IF('Invoer gegevens (N)'!$C$17=E121,0,IF(C121=1,Q120,0))</f>
        <v>0</v>
      </c>
      <c r="M121" s="96">
        <f ca="1">IF(C121&gt;=1,L121*VLOOKUP(E121,'Reeksen (N)'!$A$5:$B$76,2),0)</f>
        <v>0</v>
      </c>
      <c r="N121" s="84">
        <f ca="1">(1-('Invoer gegevens (N)'!$F$20/12))*L121*MIN('Reeksen (N)'!B121,'Reeksen (N)'!D121)</f>
        <v>0</v>
      </c>
      <c r="O121" s="84">
        <f>IF('Reeksen (N)'!D121&lt;'Reeksen (N)'!B121,('Reeksen (N)'!B121-'Reeksen (N)'!D121)*L121,0)</f>
        <v>0</v>
      </c>
      <c r="P121" s="84">
        <f ca="1">('Invoer gegevens (N)'!$F$20/12)*L120*MIN('Reeksen (N)'!B120,'Reeksen (N)'!D120)</f>
        <v>0</v>
      </c>
      <c r="Q121" s="84">
        <f t="shared" ca="1" si="13"/>
        <v>0</v>
      </c>
      <c r="R121" s="82">
        <f ca="1">IF('Invoer gegevens (N)'!$C$17=E121,'Invoer gegevens (N)'!$C$11,IF(C121=1,W120,0))</f>
        <v>0</v>
      </c>
      <c r="S121" s="86">
        <f ca="1">IF(C121&gt;=1,R121*VLOOKUP(E121,'Reeksen (N)'!$A$5:$B$76,2),0)</f>
        <v>0</v>
      </c>
      <c r="T121" s="84">
        <f ca="1">(1-('Invoer gegevens (N)'!$F$20/12))*R121*MIN('Reeksen (N)'!B121,'Reeksen (N)'!D121)</f>
        <v>0</v>
      </c>
      <c r="U121" s="84">
        <f>IF('Reeksen (N)'!D121&gt;='Reeksen (N)'!B121,0,IF('Reeksen (N)'!AK121&lt;='Reeksen (N)'!AE121,('Reeksen (N)'!B121-'Reeksen (N)'!D121)*R121,0))</f>
        <v>0</v>
      </c>
      <c r="V121" s="86">
        <f>IF('Reeksen (N)'!D121&gt;='Reeksen (N)'!B121,0,IF('Reeksen (N)'!AK121&gt;'Reeksen (N)'!AE121,('Reeksen (N)'!B121-'Reeksen (N)'!D121)*R121,0))</f>
        <v>0</v>
      </c>
      <c r="W121" s="97">
        <f t="shared" ca="1" si="14"/>
        <v>0</v>
      </c>
      <c r="X121" s="98">
        <f ca="1">IF('Invoer gegevens (N)'!$C$17=E121,'Invoer gegevens (N)'!$C$10-'Invoer gegevens (N)'!$C$11,IF(C121=1,AC120,0))</f>
        <v>0</v>
      </c>
      <c r="Y121" s="98">
        <f ca="1">IF(C121&gt;=1,X121*VLOOKUP(E121,'Reeksen (N)'!$A$5:$B$76,2),0)</f>
        <v>0</v>
      </c>
      <c r="Z121" s="98">
        <f ca="1">(1-('Invoer gegevens (N)'!$F$20/12))*X121*MIN('Reeksen (N)'!B121,'Reeksen (N)'!D121)</f>
        <v>0</v>
      </c>
      <c r="AA121" s="98">
        <f>IF('Reeksen (N)'!D121&gt;='Reeksen (N)'!B121,0,IF('Reeksen (N)'!AK121&lt;='Reeksen (N)'!AE121,('Reeksen (N)'!B121-'Reeksen (N)'!D121)*X121,0))</f>
        <v>0</v>
      </c>
      <c r="AB121" s="98">
        <f>IF('Reeksen (N)'!D121&gt;='Reeksen (N)'!B121,0,IF('Reeksen (N)'!AK121&gt;'Reeksen (N)'!AE121,('Reeksen (N)'!B121-'Reeksen (N)'!D121)*X121,0))</f>
        <v>0</v>
      </c>
      <c r="AC121" s="99">
        <f t="shared" ca="1" si="15"/>
        <v>0</v>
      </c>
      <c r="AD121" s="98">
        <f ca="1">IF('Invoer gegevens (N)'!$C$17=E121,R121,IF(C121=0,0,AE120))</f>
        <v>0</v>
      </c>
      <c r="AE121" s="98">
        <f t="shared" ca="1" si="16"/>
        <v>0</v>
      </c>
      <c r="AF121" s="98">
        <f ca="1">IF('Invoer gegevens (N)'!$C$17=E121,X121,IF(C121=0,0,AG120))</f>
        <v>0</v>
      </c>
      <c r="AG121" s="98">
        <f t="shared" ca="1" si="17"/>
        <v>0</v>
      </c>
      <c r="AH121" s="68"/>
      <c r="AI121" s="71">
        <f ca="1">IF(C121=1,'Reeksen (N)'!AJ121*((F121-G121+F121)/2)*12+'Reeksen (N)'!AK121*((L121-M121+L121)/2)*12,0)</f>
        <v>0</v>
      </c>
      <c r="AJ121" s="71">
        <f ca="1">-AI121*'Invoer gegevens (N)'!$F$28</f>
        <v>0</v>
      </c>
      <c r="AK121" s="71">
        <f t="shared" ca="1" si="11"/>
        <v>0</v>
      </c>
      <c r="AL121" s="71">
        <f ca="1">IF(C121=1,'Reeksen (N)'!AL121*((F121-G121+F121)/2)*12+'Reeksen (N)'!AM121*((L121-M121+L121)/2)*12,0)</f>
        <v>0</v>
      </c>
      <c r="AM121" s="71">
        <f ca="1">-AL121*'Invoer gegevens (N)'!$F$31</f>
        <v>0</v>
      </c>
      <c r="AN121" s="71">
        <f t="shared" ca="1" si="18"/>
        <v>0</v>
      </c>
      <c r="AO121" s="71">
        <f ca="1">IF(C121=1,(H121+J121+N121+P121)*'Reeksen (N)'!AN121,0)</f>
        <v>0</v>
      </c>
      <c r="AP121" s="71">
        <f ca="1">-IF(C121=1,(H121+J121+N121+P121)*'Hulp - basis'!$O$550*'Reeksen (N)'!H121,0)</f>
        <v>0</v>
      </c>
      <c r="AQ121" s="71">
        <f ca="1">-IF(C121=1,(F121+K121+L121+Q121)/2*'Invoer gegevens (N)'!$I$33*'Reeksen (N)'!J121,0)*2</f>
        <v>0</v>
      </c>
      <c r="AR121" s="71">
        <f ca="1">-IF(C121=1,(I121*'Invoer gegevens (N)'!$I$34)*'Reeksen (N)'!J121,0)</f>
        <v>0</v>
      </c>
      <c r="AS121" s="71">
        <f ca="1">-IF(C121=1,(F121+K121+L121+Q121)/2*'Invoer gegevens (N)'!$I$35*'Reeksen (N)'!L121,0)</f>
        <v>0</v>
      </c>
      <c r="AT121" s="71">
        <f ca="1">-IF(C121=1,IF(E121='Invoer gegevens (N)'!$C$17,'Invoer gegevens (N)'!$C$11,AD121)*'Reeksen (N)'!S121*'Invoer gegevens (N)'!$C$18*'Reeksen (N)'!P121,0)</f>
        <v>0</v>
      </c>
      <c r="AU121" s="71">
        <f ca="1">-IF(C121=1,(F121+K121+L121+Q121)/2*'Invoer gegevens (N)'!$I$36*'Reeksen (N)'!H121,0)</f>
        <v>0</v>
      </c>
      <c r="AV121" s="71">
        <v>0</v>
      </c>
      <c r="AW121" s="71">
        <f t="shared" ca="1" si="19"/>
        <v>0</v>
      </c>
      <c r="AX121" s="71">
        <f ca="1">IF(E121&lt;'Invoer gegevens (N)'!$C$17+15,0,IF(E121&gt;'Invoer gegevens (N)'!$C$17+215,0,AW121))</f>
        <v>0</v>
      </c>
      <c r="AY121" s="71">
        <f ca="1">AX121/(1+'Invoer gegevens (N)'!$F$18)^($AZ121-('Invoer gegevens (N)'!$C$17-'Invoer gegevens (N)'!$C$16))/(1+'Invoer gegevens (N)'!$C$39)^('Invoer gegevens (N)'!$C$17-'Invoer gegevens (N)'!$C$16)</f>
        <v>0</v>
      </c>
      <c r="AZ121" s="68">
        <f ca="1">IF(E121-'Invoer gegevens (N)'!$C$17-14.5&lt;0,0,E121-'Invoer gegevens (N)'!$C$17-14.5)</f>
        <v>101.5</v>
      </c>
    </row>
    <row r="122" spans="2:52" x14ac:dyDescent="0.25">
      <c r="B122" s="70">
        <f t="shared" si="20"/>
        <v>118</v>
      </c>
      <c r="C122" s="67">
        <f ca="1">IF(E122-'Invoer gegevens (N)'!$C$17&lt;0,0,1)</f>
        <v>1</v>
      </c>
      <c r="D122" s="68">
        <f t="shared" si="21"/>
        <v>117.5</v>
      </c>
      <c r="E122" s="108">
        <f ca="1">IF('Invoer gegevens (N)'!$C$16="","",E121+1)</f>
        <v>2136</v>
      </c>
      <c r="F122" s="84">
        <f ca="1">IF('Invoer gegevens (N)'!$C$17=E122,'Invoer gegevens (N)'!$C$10,IF(C122=1,K121,0))</f>
        <v>0</v>
      </c>
      <c r="G122" s="96">
        <f ca="1">IF(C122&gt;=1,F122*VLOOKUP(E122,'Reeksen (N)'!$A$5:$B$76,2),0)</f>
        <v>0</v>
      </c>
      <c r="H122" s="84">
        <f ca="1">(1-('Invoer gegevens (N)'!$F$20/12))*F122*MIN('Reeksen (N)'!B122,'Reeksen (N)'!D122)</f>
        <v>0</v>
      </c>
      <c r="I122" s="84">
        <f>IF('Reeksen (N)'!D122&lt;'Reeksen (N)'!B122,('Reeksen (N)'!B122-'Reeksen (N)'!D122)*F122,0)</f>
        <v>0</v>
      </c>
      <c r="J122" s="84">
        <f ca="1">('Invoer gegevens (N)'!$F$20/12)*F121*MIN('Reeksen (N)'!B121,'Reeksen (N)'!D121)</f>
        <v>0</v>
      </c>
      <c r="K122" s="97">
        <f t="shared" ca="1" si="12"/>
        <v>0</v>
      </c>
      <c r="L122" s="84">
        <f ca="1">IF('Invoer gegevens (N)'!$C$17=E122,0,IF(C122=1,Q121,0))</f>
        <v>0</v>
      </c>
      <c r="M122" s="96">
        <f ca="1">IF(C122&gt;=1,L122*VLOOKUP(E122,'Reeksen (N)'!$A$5:$B$76,2),0)</f>
        <v>0</v>
      </c>
      <c r="N122" s="84">
        <f ca="1">(1-('Invoer gegevens (N)'!$F$20/12))*L122*MIN('Reeksen (N)'!B122,'Reeksen (N)'!D122)</f>
        <v>0</v>
      </c>
      <c r="O122" s="84">
        <f>IF('Reeksen (N)'!D122&lt;'Reeksen (N)'!B122,('Reeksen (N)'!B122-'Reeksen (N)'!D122)*L122,0)</f>
        <v>0</v>
      </c>
      <c r="P122" s="84">
        <f ca="1">('Invoer gegevens (N)'!$F$20/12)*L121*MIN('Reeksen (N)'!B121,'Reeksen (N)'!D121)</f>
        <v>0</v>
      </c>
      <c r="Q122" s="84">
        <f t="shared" ca="1" si="13"/>
        <v>0</v>
      </c>
      <c r="R122" s="82">
        <f ca="1">IF('Invoer gegevens (N)'!$C$17=E122,'Invoer gegevens (N)'!$C$11,IF(C122=1,W121,0))</f>
        <v>0</v>
      </c>
      <c r="S122" s="86">
        <f ca="1">IF(C122&gt;=1,R122*VLOOKUP(E122,'Reeksen (N)'!$A$5:$B$76,2),0)</f>
        <v>0</v>
      </c>
      <c r="T122" s="84">
        <f ca="1">(1-('Invoer gegevens (N)'!$F$20/12))*R122*MIN('Reeksen (N)'!B122,'Reeksen (N)'!D122)</f>
        <v>0</v>
      </c>
      <c r="U122" s="84">
        <f>IF('Reeksen (N)'!D122&gt;='Reeksen (N)'!B122,0,IF('Reeksen (N)'!AK122&lt;='Reeksen (N)'!AE122,('Reeksen (N)'!B122-'Reeksen (N)'!D122)*R122,0))</f>
        <v>0</v>
      </c>
      <c r="V122" s="86">
        <f>IF('Reeksen (N)'!D122&gt;='Reeksen (N)'!B122,0,IF('Reeksen (N)'!AK122&gt;'Reeksen (N)'!AE122,('Reeksen (N)'!B122-'Reeksen (N)'!D122)*R122,0))</f>
        <v>0</v>
      </c>
      <c r="W122" s="97">
        <f t="shared" ca="1" si="14"/>
        <v>0</v>
      </c>
      <c r="X122" s="98">
        <f ca="1">IF('Invoer gegevens (N)'!$C$17=E122,'Invoer gegevens (N)'!$C$10-'Invoer gegevens (N)'!$C$11,IF(C122=1,AC121,0))</f>
        <v>0</v>
      </c>
      <c r="Y122" s="98">
        <f ca="1">IF(C122&gt;=1,X122*VLOOKUP(E122,'Reeksen (N)'!$A$5:$B$76,2),0)</f>
        <v>0</v>
      </c>
      <c r="Z122" s="98">
        <f ca="1">(1-('Invoer gegevens (N)'!$F$20/12))*X122*MIN('Reeksen (N)'!B122,'Reeksen (N)'!D122)</f>
        <v>0</v>
      </c>
      <c r="AA122" s="98">
        <f>IF('Reeksen (N)'!D122&gt;='Reeksen (N)'!B122,0,IF('Reeksen (N)'!AK122&lt;='Reeksen (N)'!AE122,('Reeksen (N)'!B122-'Reeksen (N)'!D122)*X122,0))</f>
        <v>0</v>
      </c>
      <c r="AB122" s="98">
        <f>IF('Reeksen (N)'!D122&gt;='Reeksen (N)'!B122,0,IF('Reeksen (N)'!AK122&gt;'Reeksen (N)'!AE122,('Reeksen (N)'!B122-'Reeksen (N)'!D122)*X122,0))</f>
        <v>0</v>
      </c>
      <c r="AC122" s="99">
        <f t="shared" ca="1" si="15"/>
        <v>0</v>
      </c>
      <c r="AD122" s="98">
        <f ca="1">IF('Invoer gegevens (N)'!$C$17=E122,R122,IF(C122=0,0,AE121))</f>
        <v>0</v>
      </c>
      <c r="AE122" s="98">
        <f t="shared" ca="1" si="16"/>
        <v>0</v>
      </c>
      <c r="AF122" s="98">
        <f ca="1">IF('Invoer gegevens (N)'!$C$17=E122,X122,IF(C122=0,0,AG121))</f>
        <v>0</v>
      </c>
      <c r="AG122" s="98">
        <f t="shared" ca="1" si="17"/>
        <v>0</v>
      </c>
      <c r="AH122" s="68"/>
      <c r="AI122" s="71">
        <f ca="1">IF(C122=1,'Reeksen (N)'!AJ122*((F122-G122+F122)/2)*12+'Reeksen (N)'!AK122*((L122-M122+L122)/2)*12,0)</f>
        <v>0</v>
      </c>
      <c r="AJ122" s="71">
        <f ca="1">-AI122*'Invoer gegevens (N)'!$F$28</f>
        <v>0</v>
      </c>
      <c r="AK122" s="71">
        <f t="shared" ca="1" si="11"/>
        <v>0</v>
      </c>
      <c r="AL122" s="71">
        <f ca="1">IF(C122=1,'Reeksen (N)'!AL122*((F122-G122+F122)/2)*12+'Reeksen (N)'!AM122*((L122-M122+L122)/2)*12,0)</f>
        <v>0</v>
      </c>
      <c r="AM122" s="71">
        <f ca="1">-AL122*'Invoer gegevens (N)'!$F$31</f>
        <v>0</v>
      </c>
      <c r="AN122" s="71">
        <f t="shared" ca="1" si="18"/>
        <v>0</v>
      </c>
      <c r="AO122" s="71">
        <f ca="1">IF(C122=1,(H122+J122+N122+P122)*'Reeksen (N)'!AN122,0)</f>
        <v>0</v>
      </c>
      <c r="AP122" s="71">
        <f ca="1">-IF(C122=1,(H122+J122+N122+P122)*'Hulp - basis'!$O$550*'Reeksen (N)'!H122,0)</f>
        <v>0</v>
      </c>
      <c r="AQ122" s="71">
        <f ca="1">-IF(C122=1,(F122+K122+L122+Q122)/2*'Invoer gegevens (N)'!$I$33*'Reeksen (N)'!J122,0)*2</f>
        <v>0</v>
      </c>
      <c r="AR122" s="71">
        <f ca="1">-IF(C122=1,(I122*'Invoer gegevens (N)'!$I$34)*'Reeksen (N)'!J122,0)</f>
        <v>0</v>
      </c>
      <c r="AS122" s="71">
        <f ca="1">-IF(C122=1,(F122+K122+L122+Q122)/2*'Invoer gegevens (N)'!$I$35*'Reeksen (N)'!L122,0)</f>
        <v>0</v>
      </c>
      <c r="AT122" s="71">
        <f ca="1">-IF(C122=1,IF(E122='Invoer gegevens (N)'!$C$17,'Invoer gegevens (N)'!$C$11,AD122)*'Reeksen (N)'!S122*'Invoer gegevens (N)'!$C$18*'Reeksen (N)'!P122,0)</f>
        <v>0</v>
      </c>
      <c r="AU122" s="71">
        <f ca="1">-IF(C122=1,(F122+K122+L122+Q122)/2*'Invoer gegevens (N)'!$I$36*'Reeksen (N)'!H122,0)</f>
        <v>0</v>
      </c>
      <c r="AV122" s="71">
        <v>0</v>
      </c>
      <c r="AW122" s="71">
        <f t="shared" ca="1" si="19"/>
        <v>0</v>
      </c>
      <c r="AX122" s="71">
        <f ca="1">IF(E122&lt;'Invoer gegevens (N)'!$C$17+15,0,IF(E122&gt;'Invoer gegevens (N)'!$C$17+215,0,AW122))</f>
        <v>0</v>
      </c>
      <c r="AY122" s="71">
        <f ca="1">AX122/(1+'Invoer gegevens (N)'!$F$18)^($AZ122-('Invoer gegevens (N)'!$C$17-'Invoer gegevens (N)'!$C$16))/(1+'Invoer gegevens (N)'!$C$39)^('Invoer gegevens (N)'!$C$17-'Invoer gegevens (N)'!$C$16)</f>
        <v>0</v>
      </c>
      <c r="AZ122" s="68">
        <f ca="1">IF(E122-'Invoer gegevens (N)'!$C$17-14.5&lt;0,0,E122-'Invoer gegevens (N)'!$C$17-14.5)</f>
        <v>102.5</v>
      </c>
    </row>
    <row r="123" spans="2:52" x14ac:dyDescent="0.25">
      <c r="B123" s="70">
        <f t="shared" si="20"/>
        <v>119</v>
      </c>
      <c r="C123" s="67">
        <f ca="1">IF(E123-'Invoer gegevens (N)'!$C$17&lt;0,0,1)</f>
        <v>1</v>
      </c>
      <c r="D123" s="68">
        <f t="shared" si="21"/>
        <v>118.5</v>
      </c>
      <c r="E123" s="108">
        <f ca="1">IF('Invoer gegevens (N)'!$C$16="","",E122+1)</f>
        <v>2137</v>
      </c>
      <c r="F123" s="84">
        <f ca="1">IF('Invoer gegevens (N)'!$C$17=E123,'Invoer gegevens (N)'!$C$10,IF(C123=1,K122,0))</f>
        <v>0</v>
      </c>
      <c r="G123" s="96">
        <f ca="1">IF(C123&gt;=1,F123*VLOOKUP(E123,'Reeksen (N)'!$A$5:$B$76,2),0)</f>
        <v>0</v>
      </c>
      <c r="H123" s="84">
        <f ca="1">(1-('Invoer gegevens (N)'!$F$20/12))*F123*MIN('Reeksen (N)'!B123,'Reeksen (N)'!D123)</f>
        <v>0</v>
      </c>
      <c r="I123" s="84">
        <f>IF('Reeksen (N)'!D123&lt;'Reeksen (N)'!B123,('Reeksen (N)'!B123-'Reeksen (N)'!D123)*F123,0)</f>
        <v>0</v>
      </c>
      <c r="J123" s="84">
        <f ca="1">('Invoer gegevens (N)'!$F$20/12)*F122*MIN('Reeksen (N)'!B122,'Reeksen (N)'!D122)</f>
        <v>0</v>
      </c>
      <c r="K123" s="97">
        <f t="shared" ca="1" si="12"/>
        <v>0</v>
      </c>
      <c r="L123" s="84">
        <f ca="1">IF('Invoer gegevens (N)'!$C$17=E123,0,IF(C123=1,Q122,0))</f>
        <v>0</v>
      </c>
      <c r="M123" s="96">
        <f ca="1">IF(C123&gt;=1,L123*VLOOKUP(E123,'Reeksen (N)'!$A$5:$B$76,2),0)</f>
        <v>0</v>
      </c>
      <c r="N123" s="84">
        <f ca="1">(1-('Invoer gegevens (N)'!$F$20/12))*L123*MIN('Reeksen (N)'!B123,'Reeksen (N)'!D123)</f>
        <v>0</v>
      </c>
      <c r="O123" s="84">
        <f>IF('Reeksen (N)'!D123&lt;'Reeksen (N)'!B123,('Reeksen (N)'!B123-'Reeksen (N)'!D123)*L123,0)</f>
        <v>0</v>
      </c>
      <c r="P123" s="84">
        <f ca="1">('Invoer gegevens (N)'!$F$20/12)*L122*MIN('Reeksen (N)'!B122,'Reeksen (N)'!D122)</f>
        <v>0</v>
      </c>
      <c r="Q123" s="84">
        <f t="shared" ca="1" si="13"/>
        <v>0</v>
      </c>
      <c r="R123" s="82">
        <f ca="1">IF('Invoer gegevens (N)'!$C$17=E123,'Invoer gegevens (N)'!$C$11,IF(C123=1,W122,0))</f>
        <v>0</v>
      </c>
      <c r="S123" s="86">
        <f ca="1">IF(C123&gt;=1,R123*VLOOKUP(E123,'Reeksen (N)'!$A$5:$B$76,2),0)</f>
        <v>0</v>
      </c>
      <c r="T123" s="84">
        <f ca="1">(1-('Invoer gegevens (N)'!$F$20/12))*R123*MIN('Reeksen (N)'!B123,'Reeksen (N)'!D123)</f>
        <v>0</v>
      </c>
      <c r="U123" s="84">
        <f>IF('Reeksen (N)'!D123&gt;='Reeksen (N)'!B123,0,IF('Reeksen (N)'!AK123&lt;='Reeksen (N)'!AE123,('Reeksen (N)'!B123-'Reeksen (N)'!D123)*R123,0))</f>
        <v>0</v>
      </c>
      <c r="V123" s="86">
        <f>IF('Reeksen (N)'!D123&gt;='Reeksen (N)'!B123,0,IF('Reeksen (N)'!AK123&gt;'Reeksen (N)'!AE123,('Reeksen (N)'!B123-'Reeksen (N)'!D123)*R123,0))</f>
        <v>0</v>
      </c>
      <c r="W123" s="97">
        <f t="shared" ca="1" si="14"/>
        <v>0</v>
      </c>
      <c r="X123" s="98">
        <f ca="1">IF('Invoer gegevens (N)'!$C$17=E123,'Invoer gegevens (N)'!$C$10-'Invoer gegevens (N)'!$C$11,IF(C123=1,AC122,0))</f>
        <v>0</v>
      </c>
      <c r="Y123" s="98">
        <f ca="1">IF(C123&gt;=1,X123*VLOOKUP(E123,'Reeksen (N)'!$A$5:$B$76,2),0)</f>
        <v>0</v>
      </c>
      <c r="Z123" s="98">
        <f ca="1">(1-('Invoer gegevens (N)'!$F$20/12))*X123*MIN('Reeksen (N)'!B123,'Reeksen (N)'!D123)</f>
        <v>0</v>
      </c>
      <c r="AA123" s="98">
        <f>IF('Reeksen (N)'!D123&gt;='Reeksen (N)'!B123,0,IF('Reeksen (N)'!AK123&lt;='Reeksen (N)'!AE123,('Reeksen (N)'!B123-'Reeksen (N)'!D123)*X123,0))</f>
        <v>0</v>
      </c>
      <c r="AB123" s="98">
        <f>IF('Reeksen (N)'!D123&gt;='Reeksen (N)'!B123,0,IF('Reeksen (N)'!AK123&gt;'Reeksen (N)'!AE123,('Reeksen (N)'!B123-'Reeksen (N)'!D123)*X123,0))</f>
        <v>0</v>
      </c>
      <c r="AC123" s="99">
        <f t="shared" ca="1" si="15"/>
        <v>0</v>
      </c>
      <c r="AD123" s="98">
        <f ca="1">IF('Invoer gegevens (N)'!$C$17=E123,R123,IF(C123=0,0,AE122))</f>
        <v>0</v>
      </c>
      <c r="AE123" s="98">
        <f t="shared" ca="1" si="16"/>
        <v>0</v>
      </c>
      <c r="AF123" s="98">
        <f ca="1">IF('Invoer gegevens (N)'!$C$17=E123,X123,IF(C123=0,0,AG122))</f>
        <v>0</v>
      </c>
      <c r="AG123" s="98">
        <f t="shared" ca="1" si="17"/>
        <v>0</v>
      </c>
      <c r="AH123" s="68"/>
      <c r="AI123" s="71">
        <f ca="1">IF(C123=1,'Reeksen (N)'!AJ123*((F123-G123+F123)/2)*12+'Reeksen (N)'!AK123*((L123-M123+L123)/2)*12,0)</f>
        <v>0</v>
      </c>
      <c r="AJ123" s="71">
        <f ca="1">-AI123*'Invoer gegevens (N)'!$F$28</f>
        <v>0</v>
      </c>
      <c r="AK123" s="71">
        <f t="shared" ca="1" si="11"/>
        <v>0</v>
      </c>
      <c r="AL123" s="71">
        <f ca="1">IF(C123=1,'Reeksen (N)'!AL123*((F123-G123+F123)/2)*12+'Reeksen (N)'!AM123*((L123-M123+L123)/2)*12,0)</f>
        <v>0</v>
      </c>
      <c r="AM123" s="71">
        <f ca="1">-AL123*'Invoer gegevens (N)'!$F$31</f>
        <v>0</v>
      </c>
      <c r="AN123" s="71">
        <f t="shared" ca="1" si="18"/>
        <v>0</v>
      </c>
      <c r="AO123" s="71">
        <f ca="1">IF(C123=1,(H123+J123+N123+P123)*'Reeksen (N)'!AN123,0)</f>
        <v>0</v>
      </c>
      <c r="AP123" s="71">
        <f ca="1">-IF(C123=1,(H123+J123+N123+P123)*'Hulp - basis'!$O$550*'Reeksen (N)'!H123,0)</f>
        <v>0</v>
      </c>
      <c r="AQ123" s="71">
        <f ca="1">-IF(C123=1,(F123+K123+L123+Q123)/2*'Invoer gegevens (N)'!$I$33*'Reeksen (N)'!J123,0)*2</f>
        <v>0</v>
      </c>
      <c r="AR123" s="71">
        <f ca="1">-IF(C123=1,(I123*'Invoer gegevens (N)'!$I$34)*'Reeksen (N)'!J123,0)</f>
        <v>0</v>
      </c>
      <c r="AS123" s="71">
        <f ca="1">-IF(C123=1,(F123+K123+L123+Q123)/2*'Invoer gegevens (N)'!$I$35*'Reeksen (N)'!L123,0)</f>
        <v>0</v>
      </c>
      <c r="AT123" s="71">
        <f ca="1">-IF(C123=1,IF(E123='Invoer gegevens (N)'!$C$17,'Invoer gegevens (N)'!$C$11,AD123)*'Reeksen (N)'!S123*'Invoer gegevens (N)'!$C$18*'Reeksen (N)'!P123,0)</f>
        <v>0</v>
      </c>
      <c r="AU123" s="71">
        <f ca="1">-IF(C123=1,(F123+K123+L123+Q123)/2*'Invoer gegevens (N)'!$I$36*'Reeksen (N)'!H123,0)</f>
        <v>0</v>
      </c>
      <c r="AV123" s="71">
        <v>0</v>
      </c>
      <c r="AW123" s="71">
        <f t="shared" ca="1" si="19"/>
        <v>0</v>
      </c>
      <c r="AX123" s="71">
        <f ca="1">IF(E123&lt;'Invoer gegevens (N)'!$C$17+15,0,IF(E123&gt;'Invoer gegevens (N)'!$C$17+215,0,AW123))</f>
        <v>0</v>
      </c>
      <c r="AY123" s="71">
        <f ca="1">AX123/(1+'Invoer gegevens (N)'!$F$18)^($AZ123-('Invoer gegevens (N)'!$C$17-'Invoer gegevens (N)'!$C$16))/(1+'Invoer gegevens (N)'!$C$39)^('Invoer gegevens (N)'!$C$17-'Invoer gegevens (N)'!$C$16)</f>
        <v>0</v>
      </c>
      <c r="AZ123" s="68">
        <f ca="1">IF(E123-'Invoer gegevens (N)'!$C$17-14.5&lt;0,0,E123-'Invoer gegevens (N)'!$C$17-14.5)</f>
        <v>103.5</v>
      </c>
    </row>
    <row r="124" spans="2:52" x14ac:dyDescent="0.25">
      <c r="B124" s="70">
        <f t="shared" si="20"/>
        <v>120</v>
      </c>
      <c r="C124" s="67">
        <f ca="1">IF(E124-'Invoer gegevens (N)'!$C$17&lt;0,0,1)</f>
        <v>1</v>
      </c>
      <c r="D124" s="68">
        <f t="shared" si="21"/>
        <v>119.5</v>
      </c>
      <c r="E124" s="108">
        <f ca="1">IF('Invoer gegevens (N)'!$C$16="","",E123+1)</f>
        <v>2138</v>
      </c>
      <c r="F124" s="84">
        <f ca="1">IF('Invoer gegevens (N)'!$C$17=E124,'Invoer gegevens (N)'!$C$10,IF(C124=1,K123,0))</f>
        <v>0</v>
      </c>
      <c r="G124" s="96">
        <f ca="1">IF(C124&gt;=1,F124*VLOOKUP(E124,'Reeksen (N)'!$A$5:$B$76,2),0)</f>
        <v>0</v>
      </c>
      <c r="H124" s="84">
        <f ca="1">(1-('Invoer gegevens (N)'!$F$20/12))*F124*MIN('Reeksen (N)'!B124,'Reeksen (N)'!D124)</f>
        <v>0</v>
      </c>
      <c r="I124" s="84">
        <f>IF('Reeksen (N)'!D124&lt;'Reeksen (N)'!B124,('Reeksen (N)'!B124-'Reeksen (N)'!D124)*F124,0)</f>
        <v>0</v>
      </c>
      <c r="J124" s="84">
        <f ca="1">('Invoer gegevens (N)'!$F$20/12)*F123*MIN('Reeksen (N)'!B123,'Reeksen (N)'!D123)</f>
        <v>0</v>
      </c>
      <c r="K124" s="97">
        <f t="shared" ca="1" si="12"/>
        <v>0</v>
      </c>
      <c r="L124" s="84">
        <f ca="1">IF('Invoer gegevens (N)'!$C$17=E124,0,IF(C124=1,Q123,0))</f>
        <v>0</v>
      </c>
      <c r="M124" s="96">
        <f ca="1">IF(C124&gt;=1,L124*VLOOKUP(E124,'Reeksen (N)'!$A$5:$B$76,2),0)</f>
        <v>0</v>
      </c>
      <c r="N124" s="84">
        <f ca="1">(1-('Invoer gegevens (N)'!$F$20/12))*L124*MIN('Reeksen (N)'!B124,'Reeksen (N)'!D124)</f>
        <v>0</v>
      </c>
      <c r="O124" s="84">
        <f>IF('Reeksen (N)'!D124&lt;'Reeksen (N)'!B124,('Reeksen (N)'!B124-'Reeksen (N)'!D124)*L124,0)</f>
        <v>0</v>
      </c>
      <c r="P124" s="84">
        <f ca="1">('Invoer gegevens (N)'!$F$20/12)*L123*MIN('Reeksen (N)'!B123,'Reeksen (N)'!D123)</f>
        <v>0</v>
      </c>
      <c r="Q124" s="84">
        <f t="shared" ca="1" si="13"/>
        <v>0</v>
      </c>
      <c r="R124" s="82">
        <f ca="1">IF('Invoer gegevens (N)'!$C$17=E124,'Invoer gegevens (N)'!$C$11,IF(C124=1,W123,0))</f>
        <v>0</v>
      </c>
      <c r="S124" s="86">
        <f ca="1">IF(C124&gt;=1,R124*VLOOKUP(E124,'Reeksen (N)'!$A$5:$B$76,2),0)</f>
        <v>0</v>
      </c>
      <c r="T124" s="84">
        <f ca="1">(1-('Invoer gegevens (N)'!$F$20/12))*R124*MIN('Reeksen (N)'!B124,'Reeksen (N)'!D124)</f>
        <v>0</v>
      </c>
      <c r="U124" s="84">
        <f>IF('Reeksen (N)'!D124&gt;='Reeksen (N)'!B124,0,IF('Reeksen (N)'!AK124&lt;='Reeksen (N)'!AE124,('Reeksen (N)'!B124-'Reeksen (N)'!D124)*R124,0))</f>
        <v>0</v>
      </c>
      <c r="V124" s="86">
        <f>IF('Reeksen (N)'!D124&gt;='Reeksen (N)'!B124,0,IF('Reeksen (N)'!AK124&gt;'Reeksen (N)'!AE124,('Reeksen (N)'!B124-'Reeksen (N)'!D124)*R124,0))</f>
        <v>0</v>
      </c>
      <c r="W124" s="97">
        <f t="shared" ca="1" si="14"/>
        <v>0</v>
      </c>
      <c r="X124" s="98">
        <f ca="1">IF('Invoer gegevens (N)'!$C$17=E124,'Invoer gegevens (N)'!$C$10-'Invoer gegevens (N)'!$C$11,IF(C124=1,AC123,0))</f>
        <v>0</v>
      </c>
      <c r="Y124" s="98">
        <f ca="1">IF(C124&gt;=1,X124*VLOOKUP(E124,'Reeksen (N)'!$A$5:$B$76,2),0)</f>
        <v>0</v>
      </c>
      <c r="Z124" s="98">
        <f ca="1">(1-('Invoer gegevens (N)'!$F$20/12))*X124*MIN('Reeksen (N)'!B124,'Reeksen (N)'!D124)</f>
        <v>0</v>
      </c>
      <c r="AA124" s="98">
        <f>IF('Reeksen (N)'!D124&gt;='Reeksen (N)'!B124,0,IF('Reeksen (N)'!AK124&lt;='Reeksen (N)'!AE124,('Reeksen (N)'!B124-'Reeksen (N)'!D124)*X124,0))</f>
        <v>0</v>
      </c>
      <c r="AB124" s="98">
        <f>IF('Reeksen (N)'!D124&gt;='Reeksen (N)'!B124,0,IF('Reeksen (N)'!AK124&gt;'Reeksen (N)'!AE124,('Reeksen (N)'!B124-'Reeksen (N)'!D124)*X124,0))</f>
        <v>0</v>
      </c>
      <c r="AC124" s="99">
        <f t="shared" ca="1" si="15"/>
        <v>0</v>
      </c>
      <c r="AD124" s="98">
        <f ca="1">IF('Invoer gegevens (N)'!$C$17=E124,R124,IF(C124=0,0,AE123))</f>
        <v>0</v>
      </c>
      <c r="AE124" s="98">
        <f t="shared" ca="1" si="16"/>
        <v>0</v>
      </c>
      <c r="AF124" s="98">
        <f ca="1">IF('Invoer gegevens (N)'!$C$17=E124,X124,IF(C124=0,0,AG123))</f>
        <v>0</v>
      </c>
      <c r="AG124" s="98">
        <f t="shared" ca="1" si="17"/>
        <v>0</v>
      </c>
      <c r="AH124" s="68"/>
      <c r="AI124" s="71">
        <f ca="1">IF(C124=1,'Reeksen (N)'!AJ124*((F124-G124+F124)/2)*12+'Reeksen (N)'!AK124*((L124-M124+L124)/2)*12,0)</f>
        <v>0</v>
      </c>
      <c r="AJ124" s="71">
        <f ca="1">-AI124*'Invoer gegevens (N)'!$F$28</f>
        <v>0</v>
      </c>
      <c r="AK124" s="71">
        <f t="shared" ca="1" si="11"/>
        <v>0</v>
      </c>
      <c r="AL124" s="71">
        <f ca="1">IF(C124=1,'Reeksen (N)'!AL124*((F124-G124+F124)/2)*12+'Reeksen (N)'!AM124*((L124-M124+L124)/2)*12,0)</f>
        <v>0</v>
      </c>
      <c r="AM124" s="71">
        <f ca="1">-AL124*'Invoer gegevens (N)'!$F$31</f>
        <v>0</v>
      </c>
      <c r="AN124" s="71">
        <f t="shared" ca="1" si="18"/>
        <v>0</v>
      </c>
      <c r="AO124" s="71">
        <f ca="1">IF(C124=1,(H124+J124+N124+P124)*'Reeksen (N)'!AN124,0)</f>
        <v>0</v>
      </c>
      <c r="AP124" s="71">
        <f ca="1">-IF(C124=1,(H124+J124+N124+P124)*'Hulp - basis'!$O$550*'Reeksen (N)'!H124,0)</f>
        <v>0</v>
      </c>
      <c r="AQ124" s="71">
        <f ca="1">-IF(C124=1,(F124+K124+L124+Q124)/2*'Invoer gegevens (N)'!$I$33*'Reeksen (N)'!J124,0)*2</f>
        <v>0</v>
      </c>
      <c r="AR124" s="71">
        <f ca="1">-IF(C124=1,(I124*'Invoer gegevens (N)'!$I$34)*'Reeksen (N)'!J124,0)</f>
        <v>0</v>
      </c>
      <c r="AS124" s="71">
        <f ca="1">-IF(C124=1,(F124+K124+L124+Q124)/2*'Invoer gegevens (N)'!$I$35*'Reeksen (N)'!L124,0)</f>
        <v>0</v>
      </c>
      <c r="AT124" s="71">
        <f ca="1">-IF(C124=1,IF(E124='Invoer gegevens (N)'!$C$17,'Invoer gegevens (N)'!$C$11,AD124)*'Reeksen (N)'!S124*'Invoer gegevens (N)'!$C$18*'Reeksen (N)'!P124,0)</f>
        <v>0</v>
      </c>
      <c r="AU124" s="71">
        <f ca="1">-IF(C124=1,(F124+K124+L124+Q124)/2*'Invoer gegevens (N)'!$I$36*'Reeksen (N)'!H124,0)</f>
        <v>0</v>
      </c>
      <c r="AV124" s="71">
        <v>0</v>
      </c>
      <c r="AW124" s="71">
        <f t="shared" ca="1" si="19"/>
        <v>0</v>
      </c>
      <c r="AX124" s="71">
        <f ca="1">IF(E124&lt;'Invoer gegevens (N)'!$C$17+15,0,IF(E124&gt;'Invoer gegevens (N)'!$C$17+215,0,AW124))</f>
        <v>0</v>
      </c>
      <c r="AY124" s="71">
        <f ca="1">AX124/(1+'Invoer gegevens (N)'!$F$18)^($AZ124-('Invoer gegevens (N)'!$C$17-'Invoer gegevens (N)'!$C$16))/(1+'Invoer gegevens (N)'!$C$39)^('Invoer gegevens (N)'!$C$17-'Invoer gegevens (N)'!$C$16)</f>
        <v>0</v>
      </c>
      <c r="AZ124" s="68">
        <f ca="1">IF(E124-'Invoer gegevens (N)'!$C$17-14.5&lt;0,0,E124-'Invoer gegevens (N)'!$C$17-14.5)</f>
        <v>104.5</v>
      </c>
    </row>
    <row r="125" spans="2:52" x14ac:dyDescent="0.25">
      <c r="B125" s="70">
        <f t="shared" si="20"/>
        <v>121</v>
      </c>
      <c r="C125" s="67">
        <f ca="1">IF(E125-'Invoer gegevens (N)'!$C$17&lt;0,0,1)</f>
        <v>1</v>
      </c>
      <c r="D125" s="68">
        <f t="shared" si="21"/>
        <v>120.5</v>
      </c>
      <c r="E125" s="108">
        <f ca="1">IF('Invoer gegevens (N)'!$C$16="","",E124+1)</f>
        <v>2139</v>
      </c>
      <c r="F125" s="84">
        <f ca="1">IF('Invoer gegevens (N)'!$C$17=E125,'Invoer gegevens (N)'!$C$10,IF(C125=1,K124,0))</f>
        <v>0</v>
      </c>
      <c r="G125" s="96">
        <f ca="1">IF(C125&gt;=1,F125*VLOOKUP(E125,'Reeksen (N)'!$A$5:$B$76,2),0)</f>
        <v>0</v>
      </c>
      <c r="H125" s="84">
        <f ca="1">(1-('Invoer gegevens (N)'!$F$20/12))*F125*MIN('Reeksen (N)'!B125,'Reeksen (N)'!D125)</f>
        <v>0</v>
      </c>
      <c r="I125" s="84">
        <f>IF('Reeksen (N)'!D125&lt;'Reeksen (N)'!B125,('Reeksen (N)'!B125-'Reeksen (N)'!D125)*F125,0)</f>
        <v>0</v>
      </c>
      <c r="J125" s="84">
        <f ca="1">('Invoer gegevens (N)'!$F$20/12)*F124*MIN('Reeksen (N)'!B124,'Reeksen (N)'!D124)</f>
        <v>0</v>
      </c>
      <c r="K125" s="97">
        <f t="shared" ca="1" si="12"/>
        <v>0</v>
      </c>
      <c r="L125" s="84">
        <f ca="1">IF('Invoer gegevens (N)'!$C$17=E125,0,IF(C125=1,Q124,0))</f>
        <v>0</v>
      </c>
      <c r="M125" s="96">
        <f ca="1">IF(C125&gt;=1,L125*VLOOKUP(E125,'Reeksen (N)'!$A$5:$B$76,2),0)</f>
        <v>0</v>
      </c>
      <c r="N125" s="84">
        <f ca="1">(1-('Invoer gegevens (N)'!$F$20/12))*L125*MIN('Reeksen (N)'!B125,'Reeksen (N)'!D125)</f>
        <v>0</v>
      </c>
      <c r="O125" s="84">
        <f>IF('Reeksen (N)'!D125&lt;'Reeksen (N)'!B125,('Reeksen (N)'!B125-'Reeksen (N)'!D125)*L125,0)</f>
        <v>0</v>
      </c>
      <c r="P125" s="84">
        <f ca="1">('Invoer gegevens (N)'!$F$20/12)*L124*MIN('Reeksen (N)'!B124,'Reeksen (N)'!D124)</f>
        <v>0</v>
      </c>
      <c r="Q125" s="84">
        <f t="shared" ca="1" si="13"/>
        <v>0</v>
      </c>
      <c r="R125" s="82">
        <f ca="1">IF('Invoer gegevens (N)'!$C$17=E125,'Invoer gegevens (N)'!$C$11,IF(C125=1,W124,0))</f>
        <v>0</v>
      </c>
      <c r="S125" s="86">
        <f ca="1">IF(C125&gt;=1,R125*VLOOKUP(E125,'Reeksen (N)'!$A$5:$B$76,2),0)</f>
        <v>0</v>
      </c>
      <c r="T125" s="84">
        <f ca="1">(1-('Invoer gegevens (N)'!$F$20/12))*R125*MIN('Reeksen (N)'!B125,'Reeksen (N)'!D125)</f>
        <v>0</v>
      </c>
      <c r="U125" s="84">
        <f>IF('Reeksen (N)'!D125&gt;='Reeksen (N)'!B125,0,IF('Reeksen (N)'!AK125&lt;='Reeksen (N)'!AE125,('Reeksen (N)'!B125-'Reeksen (N)'!D125)*R125,0))</f>
        <v>0</v>
      </c>
      <c r="V125" s="86">
        <f>IF('Reeksen (N)'!D125&gt;='Reeksen (N)'!B125,0,IF('Reeksen (N)'!AK125&gt;'Reeksen (N)'!AE125,('Reeksen (N)'!B125-'Reeksen (N)'!D125)*R125,0))</f>
        <v>0</v>
      </c>
      <c r="W125" s="97">
        <f t="shared" ca="1" si="14"/>
        <v>0</v>
      </c>
      <c r="X125" s="98">
        <f ca="1">IF('Invoer gegevens (N)'!$C$17=E125,'Invoer gegevens (N)'!$C$10-'Invoer gegevens (N)'!$C$11,IF(C125=1,AC124,0))</f>
        <v>0</v>
      </c>
      <c r="Y125" s="98">
        <f ca="1">IF(C125&gt;=1,X125*VLOOKUP(E125,'Reeksen (N)'!$A$5:$B$76,2),0)</f>
        <v>0</v>
      </c>
      <c r="Z125" s="98">
        <f ca="1">(1-('Invoer gegevens (N)'!$F$20/12))*X125*MIN('Reeksen (N)'!B125,'Reeksen (N)'!D125)</f>
        <v>0</v>
      </c>
      <c r="AA125" s="98">
        <f>IF('Reeksen (N)'!D125&gt;='Reeksen (N)'!B125,0,IF('Reeksen (N)'!AK125&lt;='Reeksen (N)'!AE125,('Reeksen (N)'!B125-'Reeksen (N)'!D125)*X125,0))</f>
        <v>0</v>
      </c>
      <c r="AB125" s="98">
        <f>IF('Reeksen (N)'!D125&gt;='Reeksen (N)'!B125,0,IF('Reeksen (N)'!AK125&gt;'Reeksen (N)'!AE125,('Reeksen (N)'!B125-'Reeksen (N)'!D125)*X125,0))</f>
        <v>0</v>
      </c>
      <c r="AC125" s="99">
        <f t="shared" ca="1" si="15"/>
        <v>0</v>
      </c>
      <c r="AD125" s="98">
        <f ca="1">IF('Invoer gegevens (N)'!$C$17=E125,R125,IF(C125=0,0,AE124))</f>
        <v>0</v>
      </c>
      <c r="AE125" s="98">
        <f t="shared" ca="1" si="16"/>
        <v>0</v>
      </c>
      <c r="AF125" s="98">
        <f ca="1">IF('Invoer gegevens (N)'!$C$17=E125,X125,IF(C125=0,0,AG124))</f>
        <v>0</v>
      </c>
      <c r="AG125" s="98">
        <f t="shared" ca="1" si="17"/>
        <v>0</v>
      </c>
      <c r="AH125" s="68"/>
      <c r="AI125" s="71">
        <f ca="1">IF(C125=1,'Reeksen (N)'!AJ125*((F125-G125+F125)/2)*12+'Reeksen (N)'!AK125*((L125-M125+L125)/2)*12,0)</f>
        <v>0</v>
      </c>
      <c r="AJ125" s="71">
        <f ca="1">-AI125*'Invoer gegevens (N)'!$F$28</f>
        <v>0</v>
      </c>
      <c r="AK125" s="71">
        <f t="shared" ca="1" si="11"/>
        <v>0</v>
      </c>
      <c r="AL125" s="71">
        <f ca="1">IF(C125=1,'Reeksen (N)'!AL125*((F125-G125+F125)/2)*12+'Reeksen (N)'!AM125*((L125-M125+L125)/2)*12,0)</f>
        <v>0</v>
      </c>
      <c r="AM125" s="71">
        <f ca="1">-AL125*'Invoer gegevens (N)'!$F$31</f>
        <v>0</v>
      </c>
      <c r="AN125" s="71">
        <f t="shared" ca="1" si="18"/>
        <v>0</v>
      </c>
      <c r="AO125" s="71">
        <f ca="1">IF(C125=1,(H125+J125+N125+P125)*'Reeksen (N)'!AN125,0)</f>
        <v>0</v>
      </c>
      <c r="AP125" s="71">
        <f ca="1">-IF(C125=1,(H125+J125+N125+P125)*'Hulp - basis'!$O$550*'Reeksen (N)'!H125,0)</f>
        <v>0</v>
      </c>
      <c r="AQ125" s="71">
        <f ca="1">-IF(C125=1,(F125+K125+L125+Q125)/2*'Invoer gegevens (N)'!$I$33*'Reeksen (N)'!J125,0)*2</f>
        <v>0</v>
      </c>
      <c r="AR125" s="71">
        <f ca="1">-IF(C125=1,(I125*'Invoer gegevens (N)'!$I$34)*'Reeksen (N)'!J125,0)</f>
        <v>0</v>
      </c>
      <c r="AS125" s="71">
        <f ca="1">-IF(C125=1,(F125+K125+L125+Q125)/2*'Invoer gegevens (N)'!$I$35*'Reeksen (N)'!L125,0)</f>
        <v>0</v>
      </c>
      <c r="AT125" s="71">
        <f ca="1">-IF(C125=1,IF(E125='Invoer gegevens (N)'!$C$17,'Invoer gegevens (N)'!$C$11,AD125)*'Reeksen (N)'!S125*'Invoer gegevens (N)'!$C$18*'Reeksen (N)'!P125,0)</f>
        <v>0</v>
      </c>
      <c r="AU125" s="71">
        <f ca="1">-IF(C125=1,(F125+K125+L125+Q125)/2*'Invoer gegevens (N)'!$I$36*'Reeksen (N)'!H125,0)</f>
        <v>0</v>
      </c>
      <c r="AV125" s="71">
        <v>0</v>
      </c>
      <c r="AW125" s="71">
        <f t="shared" ca="1" si="19"/>
        <v>0</v>
      </c>
      <c r="AX125" s="71">
        <f ca="1">IF(E125&lt;'Invoer gegevens (N)'!$C$17+15,0,IF(E125&gt;'Invoer gegevens (N)'!$C$17+215,0,AW125))</f>
        <v>0</v>
      </c>
      <c r="AY125" s="71">
        <f ca="1">AX125/(1+'Invoer gegevens (N)'!$F$18)^($AZ125-('Invoer gegevens (N)'!$C$17-'Invoer gegevens (N)'!$C$16))/(1+'Invoer gegevens (N)'!$C$39)^('Invoer gegevens (N)'!$C$17-'Invoer gegevens (N)'!$C$16)</f>
        <v>0</v>
      </c>
      <c r="AZ125" s="68">
        <f ca="1">IF(E125-'Invoer gegevens (N)'!$C$17-14.5&lt;0,0,E125-'Invoer gegevens (N)'!$C$17-14.5)</f>
        <v>105.5</v>
      </c>
    </row>
    <row r="126" spans="2:52" x14ac:dyDescent="0.25">
      <c r="B126" s="70">
        <f t="shared" si="20"/>
        <v>122</v>
      </c>
      <c r="C126" s="67">
        <f ca="1">IF(E126-'Invoer gegevens (N)'!$C$17&lt;0,0,1)</f>
        <v>1</v>
      </c>
      <c r="D126" s="68">
        <f t="shared" si="21"/>
        <v>121.5</v>
      </c>
      <c r="E126" s="108">
        <f ca="1">IF('Invoer gegevens (N)'!$C$16="","",E125+1)</f>
        <v>2140</v>
      </c>
      <c r="F126" s="84">
        <f ca="1">IF('Invoer gegevens (N)'!$C$17=E126,'Invoer gegevens (N)'!$C$10,IF(C126=1,K125,0))</f>
        <v>0</v>
      </c>
      <c r="G126" s="96">
        <f ca="1">IF(C126&gt;=1,F126*VLOOKUP(E126,'Reeksen (N)'!$A$5:$B$76,2),0)</f>
        <v>0</v>
      </c>
      <c r="H126" s="84">
        <f ca="1">(1-('Invoer gegevens (N)'!$F$20/12))*F126*MIN('Reeksen (N)'!B126,'Reeksen (N)'!D126)</f>
        <v>0</v>
      </c>
      <c r="I126" s="84">
        <f>IF('Reeksen (N)'!D126&lt;'Reeksen (N)'!B126,('Reeksen (N)'!B126-'Reeksen (N)'!D126)*F126,0)</f>
        <v>0</v>
      </c>
      <c r="J126" s="84">
        <f ca="1">('Invoer gegevens (N)'!$F$20/12)*F125*MIN('Reeksen (N)'!B125,'Reeksen (N)'!D125)</f>
        <v>0</v>
      </c>
      <c r="K126" s="97">
        <f t="shared" ca="1" si="12"/>
        <v>0</v>
      </c>
      <c r="L126" s="84">
        <f ca="1">IF('Invoer gegevens (N)'!$C$17=E126,0,IF(C126=1,Q125,0))</f>
        <v>0</v>
      </c>
      <c r="M126" s="96">
        <f ca="1">IF(C126&gt;=1,L126*VLOOKUP(E126,'Reeksen (N)'!$A$5:$B$76,2),0)</f>
        <v>0</v>
      </c>
      <c r="N126" s="84">
        <f ca="1">(1-('Invoer gegevens (N)'!$F$20/12))*L126*MIN('Reeksen (N)'!B126,'Reeksen (N)'!D126)</f>
        <v>0</v>
      </c>
      <c r="O126" s="84">
        <f>IF('Reeksen (N)'!D126&lt;'Reeksen (N)'!B126,('Reeksen (N)'!B126-'Reeksen (N)'!D126)*L126,0)</f>
        <v>0</v>
      </c>
      <c r="P126" s="84">
        <f ca="1">('Invoer gegevens (N)'!$F$20/12)*L125*MIN('Reeksen (N)'!B125,'Reeksen (N)'!D125)</f>
        <v>0</v>
      </c>
      <c r="Q126" s="84">
        <f t="shared" ca="1" si="13"/>
        <v>0</v>
      </c>
      <c r="R126" s="82">
        <f ca="1">IF('Invoer gegevens (N)'!$C$17=E126,'Invoer gegevens (N)'!$C$11,IF(C126=1,W125,0))</f>
        <v>0</v>
      </c>
      <c r="S126" s="86">
        <f ca="1">IF(C126&gt;=1,R126*VLOOKUP(E126,'Reeksen (N)'!$A$5:$B$76,2),0)</f>
        <v>0</v>
      </c>
      <c r="T126" s="84">
        <f ca="1">(1-('Invoer gegevens (N)'!$F$20/12))*R126*MIN('Reeksen (N)'!B126,'Reeksen (N)'!D126)</f>
        <v>0</v>
      </c>
      <c r="U126" s="84">
        <f>IF('Reeksen (N)'!D126&gt;='Reeksen (N)'!B126,0,IF('Reeksen (N)'!AK126&lt;='Reeksen (N)'!AE126,('Reeksen (N)'!B126-'Reeksen (N)'!D126)*R126,0))</f>
        <v>0</v>
      </c>
      <c r="V126" s="86">
        <f>IF('Reeksen (N)'!D126&gt;='Reeksen (N)'!B126,0,IF('Reeksen (N)'!AK126&gt;'Reeksen (N)'!AE126,('Reeksen (N)'!B126-'Reeksen (N)'!D126)*R126,0))</f>
        <v>0</v>
      </c>
      <c r="W126" s="97">
        <f t="shared" ca="1" si="14"/>
        <v>0</v>
      </c>
      <c r="X126" s="98">
        <f ca="1">IF('Invoer gegevens (N)'!$C$17=E126,'Invoer gegevens (N)'!$C$10-'Invoer gegevens (N)'!$C$11,IF(C126=1,AC125,0))</f>
        <v>0</v>
      </c>
      <c r="Y126" s="98">
        <f ca="1">IF(C126&gt;=1,X126*VLOOKUP(E126,'Reeksen (N)'!$A$5:$B$76,2),0)</f>
        <v>0</v>
      </c>
      <c r="Z126" s="98">
        <f ca="1">(1-('Invoer gegevens (N)'!$F$20/12))*X126*MIN('Reeksen (N)'!B126,'Reeksen (N)'!D126)</f>
        <v>0</v>
      </c>
      <c r="AA126" s="98">
        <f>IF('Reeksen (N)'!D126&gt;='Reeksen (N)'!B126,0,IF('Reeksen (N)'!AK126&lt;='Reeksen (N)'!AE126,('Reeksen (N)'!B126-'Reeksen (N)'!D126)*X126,0))</f>
        <v>0</v>
      </c>
      <c r="AB126" s="98">
        <f>IF('Reeksen (N)'!D126&gt;='Reeksen (N)'!B126,0,IF('Reeksen (N)'!AK126&gt;'Reeksen (N)'!AE126,('Reeksen (N)'!B126-'Reeksen (N)'!D126)*X126,0))</f>
        <v>0</v>
      </c>
      <c r="AC126" s="99">
        <f t="shared" ca="1" si="15"/>
        <v>0</v>
      </c>
      <c r="AD126" s="98">
        <f ca="1">IF('Invoer gegevens (N)'!$C$17=E126,R126,IF(C126=0,0,AE125))</f>
        <v>0</v>
      </c>
      <c r="AE126" s="98">
        <f t="shared" ca="1" si="16"/>
        <v>0</v>
      </c>
      <c r="AF126" s="98">
        <f ca="1">IF('Invoer gegevens (N)'!$C$17=E126,X126,IF(C126=0,0,AG125))</f>
        <v>0</v>
      </c>
      <c r="AG126" s="98">
        <f t="shared" ca="1" si="17"/>
        <v>0</v>
      </c>
      <c r="AH126" s="68"/>
      <c r="AI126" s="71">
        <f ca="1">IF(C126=1,'Reeksen (N)'!AJ126*((F126-G126+F126)/2)*12+'Reeksen (N)'!AK126*((L126-M126+L126)/2)*12,0)</f>
        <v>0</v>
      </c>
      <c r="AJ126" s="71">
        <f ca="1">-AI126*'Invoer gegevens (N)'!$F$28</f>
        <v>0</v>
      </c>
      <c r="AK126" s="71">
        <f t="shared" ca="1" si="11"/>
        <v>0</v>
      </c>
      <c r="AL126" s="71">
        <f ca="1">IF(C126=1,'Reeksen (N)'!AL126*((F126-G126+F126)/2)*12+'Reeksen (N)'!AM126*((L126-M126+L126)/2)*12,0)</f>
        <v>0</v>
      </c>
      <c r="AM126" s="71">
        <f ca="1">-AL126*'Invoer gegevens (N)'!$F$31</f>
        <v>0</v>
      </c>
      <c r="AN126" s="71">
        <f t="shared" ca="1" si="18"/>
        <v>0</v>
      </c>
      <c r="AO126" s="71">
        <f ca="1">IF(C126=1,(H126+J126+N126+P126)*'Reeksen (N)'!AN126,0)</f>
        <v>0</v>
      </c>
      <c r="AP126" s="71">
        <f ca="1">-IF(C126=1,(H126+J126+N126+P126)*'Hulp - basis'!$O$550*'Reeksen (N)'!H126,0)</f>
        <v>0</v>
      </c>
      <c r="AQ126" s="71">
        <f ca="1">-IF(C126=1,(F126+K126+L126+Q126)/2*'Invoer gegevens (N)'!$I$33*'Reeksen (N)'!J126,0)*2</f>
        <v>0</v>
      </c>
      <c r="AR126" s="71">
        <f ca="1">-IF(C126=1,(I126*'Invoer gegevens (N)'!$I$34)*'Reeksen (N)'!J126,0)</f>
        <v>0</v>
      </c>
      <c r="AS126" s="71">
        <f ca="1">-IF(C126=1,(F126+K126+L126+Q126)/2*'Invoer gegevens (N)'!$I$35*'Reeksen (N)'!L126,0)</f>
        <v>0</v>
      </c>
      <c r="AT126" s="71">
        <f ca="1">-IF(C126=1,IF(E126='Invoer gegevens (N)'!$C$17,'Invoer gegevens (N)'!$C$11,AD126)*'Reeksen (N)'!S126*'Invoer gegevens (N)'!$C$18*'Reeksen (N)'!P126,0)</f>
        <v>0</v>
      </c>
      <c r="AU126" s="71">
        <f ca="1">-IF(C126=1,(F126+K126+L126+Q126)/2*'Invoer gegevens (N)'!$I$36*'Reeksen (N)'!H126,0)</f>
        <v>0</v>
      </c>
      <c r="AV126" s="71">
        <v>0</v>
      </c>
      <c r="AW126" s="71">
        <f t="shared" ca="1" si="19"/>
        <v>0</v>
      </c>
      <c r="AX126" s="71">
        <f ca="1">IF(E126&lt;'Invoer gegevens (N)'!$C$17+15,0,IF(E126&gt;'Invoer gegevens (N)'!$C$17+215,0,AW126))</f>
        <v>0</v>
      </c>
      <c r="AY126" s="71">
        <f ca="1">AX126/(1+'Invoer gegevens (N)'!$F$18)^($AZ126-('Invoer gegevens (N)'!$C$17-'Invoer gegevens (N)'!$C$16))/(1+'Invoer gegevens (N)'!$C$39)^('Invoer gegevens (N)'!$C$17-'Invoer gegevens (N)'!$C$16)</f>
        <v>0</v>
      </c>
      <c r="AZ126" s="68">
        <f ca="1">IF(E126-'Invoer gegevens (N)'!$C$17-14.5&lt;0,0,E126-'Invoer gegevens (N)'!$C$17-14.5)</f>
        <v>106.5</v>
      </c>
    </row>
    <row r="127" spans="2:52" x14ac:dyDescent="0.25">
      <c r="B127" s="70">
        <f t="shared" si="20"/>
        <v>123</v>
      </c>
      <c r="C127" s="67">
        <f ca="1">IF(E127-'Invoer gegevens (N)'!$C$17&lt;0,0,1)</f>
        <v>1</v>
      </c>
      <c r="D127" s="68">
        <f t="shared" si="21"/>
        <v>122.5</v>
      </c>
      <c r="E127" s="108">
        <f ca="1">IF('Invoer gegevens (N)'!$C$16="","",E126+1)</f>
        <v>2141</v>
      </c>
      <c r="F127" s="84">
        <f ca="1">IF('Invoer gegevens (N)'!$C$17=E127,'Invoer gegevens (N)'!$C$10,IF(C127=1,K126,0))</f>
        <v>0</v>
      </c>
      <c r="G127" s="96">
        <f ca="1">IF(C127&gt;=1,F127*VLOOKUP(E127,'Reeksen (N)'!$A$5:$B$76,2),0)</f>
        <v>0</v>
      </c>
      <c r="H127" s="84">
        <f ca="1">(1-('Invoer gegevens (N)'!$F$20/12))*F127*MIN('Reeksen (N)'!B127,'Reeksen (N)'!D127)</f>
        <v>0</v>
      </c>
      <c r="I127" s="84">
        <f>IF('Reeksen (N)'!D127&lt;'Reeksen (N)'!B127,('Reeksen (N)'!B127-'Reeksen (N)'!D127)*F127,0)</f>
        <v>0</v>
      </c>
      <c r="J127" s="84">
        <f ca="1">('Invoer gegevens (N)'!$F$20/12)*F126*MIN('Reeksen (N)'!B126,'Reeksen (N)'!D126)</f>
        <v>0</v>
      </c>
      <c r="K127" s="97">
        <f t="shared" ca="1" si="12"/>
        <v>0</v>
      </c>
      <c r="L127" s="84">
        <f ca="1">IF('Invoer gegevens (N)'!$C$17=E127,0,IF(C127=1,Q126,0))</f>
        <v>0</v>
      </c>
      <c r="M127" s="96">
        <f ca="1">IF(C127&gt;=1,L127*VLOOKUP(E127,'Reeksen (N)'!$A$5:$B$76,2),0)</f>
        <v>0</v>
      </c>
      <c r="N127" s="84">
        <f ca="1">(1-('Invoer gegevens (N)'!$F$20/12))*L127*MIN('Reeksen (N)'!B127,'Reeksen (N)'!D127)</f>
        <v>0</v>
      </c>
      <c r="O127" s="84">
        <f>IF('Reeksen (N)'!D127&lt;'Reeksen (N)'!B127,('Reeksen (N)'!B127-'Reeksen (N)'!D127)*L127,0)</f>
        <v>0</v>
      </c>
      <c r="P127" s="84">
        <f ca="1">('Invoer gegevens (N)'!$F$20/12)*L126*MIN('Reeksen (N)'!B126,'Reeksen (N)'!D126)</f>
        <v>0</v>
      </c>
      <c r="Q127" s="84">
        <f t="shared" ca="1" si="13"/>
        <v>0</v>
      </c>
      <c r="R127" s="82">
        <f ca="1">IF('Invoer gegevens (N)'!$C$17=E127,'Invoer gegevens (N)'!$C$11,IF(C127=1,W126,0))</f>
        <v>0</v>
      </c>
      <c r="S127" s="86">
        <f ca="1">IF(C127&gt;=1,R127*VLOOKUP(E127,'Reeksen (N)'!$A$5:$B$76,2),0)</f>
        <v>0</v>
      </c>
      <c r="T127" s="84">
        <f ca="1">(1-('Invoer gegevens (N)'!$F$20/12))*R127*MIN('Reeksen (N)'!B127,'Reeksen (N)'!D127)</f>
        <v>0</v>
      </c>
      <c r="U127" s="84">
        <f>IF('Reeksen (N)'!D127&gt;='Reeksen (N)'!B127,0,IF('Reeksen (N)'!AK127&lt;='Reeksen (N)'!AE127,('Reeksen (N)'!B127-'Reeksen (N)'!D127)*R127,0))</f>
        <v>0</v>
      </c>
      <c r="V127" s="86">
        <f>IF('Reeksen (N)'!D127&gt;='Reeksen (N)'!B127,0,IF('Reeksen (N)'!AK127&gt;'Reeksen (N)'!AE127,('Reeksen (N)'!B127-'Reeksen (N)'!D127)*R127,0))</f>
        <v>0</v>
      </c>
      <c r="W127" s="97">
        <f t="shared" ca="1" si="14"/>
        <v>0</v>
      </c>
      <c r="X127" s="98">
        <f ca="1">IF('Invoer gegevens (N)'!$C$17=E127,'Invoer gegevens (N)'!$C$10-'Invoer gegevens (N)'!$C$11,IF(C127=1,AC126,0))</f>
        <v>0</v>
      </c>
      <c r="Y127" s="98">
        <f ca="1">IF(C127&gt;=1,X127*VLOOKUP(E127,'Reeksen (N)'!$A$5:$B$76,2),0)</f>
        <v>0</v>
      </c>
      <c r="Z127" s="98">
        <f ca="1">(1-('Invoer gegevens (N)'!$F$20/12))*X127*MIN('Reeksen (N)'!B127,'Reeksen (N)'!D127)</f>
        <v>0</v>
      </c>
      <c r="AA127" s="98">
        <f>IF('Reeksen (N)'!D127&gt;='Reeksen (N)'!B127,0,IF('Reeksen (N)'!AK127&lt;='Reeksen (N)'!AE127,('Reeksen (N)'!B127-'Reeksen (N)'!D127)*X127,0))</f>
        <v>0</v>
      </c>
      <c r="AB127" s="98">
        <f>IF('Reeksen (N)'!D127&gt;='Reeksen (N)'!B127,0,IF('Reeksen (N)'!AK127&gt;'Reeksen (N)'!AE127,('Reeksen (N)'!B127-'Reeksen (N)'!D127)*X127,0))</f>
        <v>0</v>
      </c>
      <c r="AC127" s="99">
        <f t="shared" ca="1" si="15"/>
        <v>0</v>
      </c>
      <c r="AD127" s="98">
        <f ca="1">IF('Invoer gegevens (N)'!$C$17=E127,R127,IF(C127=0,0,AE126))</f>
        <v>0</v>
      </c>
      <c r="AE127" s="98">
        <f t="shared" ca="1" si="16"/>
        <v>0</v>
      </c>
      <c r="AF127" s="98">
        <f ca="1">IF('Invoer gegevens (N)'!$C$17=E127,X127,IF(C127=0,0,AG126))</f>
        <v>0</v>
      </c>
      <c r="AG127" s="98">
        <f t="shared" ca="1" si="17"/>
        <v>0</v>
      </c>
      <c r="AH127" s="68"/>
      <c r="AI127" s="71">
        <f ca="1">IF(C127=1,'Reeksen (N)'!AJ127*((F127-G127+F127)/2)*12+'Reeksen (N)'!AK127*((L127-M127+L127)/2)*12,0)</f>
        <v>0</v>
      </c>
      <c r="AJ127" s="71">
        <f ca="1">-AI127*'Invoer gegevens (N)'!$F$28</f>
        <v>0</v>
      </c>
      <c r="AK127" s="71">
        <f t="shared" ca="1" si="11"/>
        <v>0</v>
      </c>
      <c r="AL127" s="71">
        <f ca="1">IF(C127=1,'Reeksen (N)'!AL127*((F127-G127+F127)/2)*12+'Reeksen (N)'!AM127*((L127-M127+L127)/2)*12,0)</f>
        <v>0</v>
      </c>
      <c r="AM127" s="71">
        <f ca="1">-AL127*'Invoer gegevens (N)'!$F$31</f>
        <v>0</v>
      </c>
      <c r="AN127" s="71">
        <f t="shared" ca="1" si="18"/>
        <v>0</v>
      </c>
      <c r="AO127" s="71">
        <f ca="1">IF(C127=1,(H127+J127+N127+P127)*'Reeksen (N)'!AN127,0)</f>
        <v>0</v>
      </c>
      <c r="AP127" s="71">
        <f ca="1">-IF(C127=1,(H127+J127+N127+P127)*'Hulp - basis'!$O$550*'Reeksen (N)'!H127,0)</f>
        <v>0</v>
      </c>
      <c r="AQ127" s="71">
        <f ca="1">-IF(C127=1,(F127+K127+L127+Q127)/2*'Invoer gegevens (N)'!$I$33*'Reeksen (N)'!J127,0)*2</f>
        <v>0</v>
      </c>
      <c r="AR127" s="71">
        <f ca="1">-IF(C127=1,(I127*'Invoer gegevens (N)'!$I$34)*'Reeksen (N)'!J127,0)</f>
        <v>0</v>
      </c>
      <c r="AS127" s="71">
        <f ca="1">-IF(C127=1,(F127+K127+L127+Q127)/2*'Invoer gegevens (N)'!$I$35*'Reeksen (N)'!L127,0)</f>
        <v>0</v>
      </c>
      <c r="AT127" s="71">
        <f ca="1">-IF(C127=1,IF(E127='Invoer gegevens (N)'!$C$17,'Invoer gegevens (N)'!$C$11,AD127)*'Reeksen (N)'!S127*'Invoer gegevens (N)'!$C$18*'Reeksen (N)'!P127,0)</f>
        <v>0</v>
      </c>
      <c r="AU127" s="71">
        <f ca="1">-IF(C127=1,(F127+K127+L127+Q127)/2*'Invoer gegevens (N)'!$I$36*'Reeksen (N)'!H127,0)</f>
        <v>0</v>
      </c>
      <c r="AV127" s="71">
        <v>0</v>
      </c>
      <c r="AW127" s="71">
        <f t="shared" ca="1" si="19"/>
        <v>0</v>
      </c>
      <c r="AX127" s="71">
        <f ca="1">IF(E127&lt;'Invoer gegevens (N)'!$C$17+15,0,IF(E127&gt;'Invoer gegevens (N)'!$C$17+215,0,AW127))</f>
        <v>0</v>
      </c>
      <c r="AY127" s="71">
        <f ca="1">AX127/(1+'Invoer gegevens (N)'!$F$18)^($AZ127-('Invoer gegevens (N)'!$C$17-'Invoer gegevens (N)'!$C$16))/(1+'Invoer gegevens (N)'!$C$39)^('Invoer gegevens (N)'!$C$17-'Invoer gegevens (N)'!$C$16)</f>
        <v>0</v>
      </c>
      <c r="AZ127" s="68">
        <f ca="1">IF(E127-'Invoer gegevens (N)'!$C$17-14.5&lt;0,0,E127-'Invoer gegevens (N)'!$C$17-14.5)</f>
        <v>107.5</v>
      </c>
    </row>
    <row r="128" spans="2:52" x14ac:dyDescent="0.25">
      <c r="B128" s="70">
        <f t="shared" si="20"/>
        <v>124</v>
      </c>
      <c r="C128" s="67">
        <f ca="1">IF(E128-'Invoer gegevens (N)'!$C$17&lt;0,0,1)</f>
        <v>1</v>
      </c>
      <c r="D128" s="68">
        <f t="shared" si="21"/>
        <v>123.5</v>
      </c>
      <c r="E128" s="108">
        <f ca="1">IF('Invoer gegevens (N)'!$C$16="","",E127+1)</f>
        <v>2142</v>
      </c>
      <c r="F128" s="84">
        <f ca="1">IF('Invoer gegevens (N)'!$C$17=E128,'Invoer gegevens (N)'!$C$10,IF(C128=1,K127,0))</f>
        <v>0</v>
      </c>
      <c r="G128" s="96">
        <f ca="1">IF(C128&gt;=1,F128*VLOOKUP(E128,'Reeksen (N)'!$A$5:$B$76,2),0)</f>
        <v>0</v>
      </c>
      <c r="H128" s="84">
        <f ca="1">(1-('Invoer gegevens (N)'!$F$20/12))*F128*MIN('Reeksen (N)'!B128,'Reeksen (N)'!D128)</f>
        <v>0</v>
      </c>
      <c r="I128" s="84">
        <f>IF('Reeksen (N)'!D128&lt;'Reeksen (N)'!B128,('Reeksen (N)'!B128-'Reeksen (N)'!D128)*F128,0)</f>
        <v>0</v>
      </c>
      <c r="J128" s="84">
        <f ca="1">('Invoer gegevens (N)'!$F$20/12)*F127*MIN('Reeksen (N)'!B127,'Reeksen (N)'!D127)</f>
        <v>0</v>
      </c>
      <c r="K128" s="97">
        <f t="shared" ca="1" si="12"/>
        <v>0</v>
      </c>
      <c r="L128" s="84">
        <f ca="1">IF('Invoer gegevens (N)'!$C$17=E128,0,IF(C128=1,Q127,0))</f>
        <v>0</v>
      </c>
      <c r="M128" s="96">
        <f ca="1">IF(C128&gt;=1,L128*VLOOKUP(E128,'Reeksen (N)'!$A$5:$B$76,2),0)</f>
        <v>0</v>
      </c>
      <c r="N128" s="84">
        <f ca="1">(1-('Invoer gegevens (N)'!$F$20/12))*L128*MIN('Reeksen (N)'!B128,'Reeksen (N)'!D128)</f>
        <v>0</v>
      </c>
      <c r="O128" s="84">
        <f>IF('Reeksen (N)'!D128&lt;'Reeksen (N)'!B128,('Reeksen (N)'!B128-'Reeksen (N)'!D128)*L128,0)</f>
        <v>0</v>
      </c>
      <c r="P128" s="84">
        <f ca="1">('Invoer gegevens (N)'!$F$20/12)*L127*MIN('Reeksen (N)'!B127,'Reeksen (N)'!D127)</f>
        <v>0</v>
      </c>
      <c r="Q128" s="84">
        <f t="shared" ca="1" si="13"/>
        <v>0</v>
      </c>
      <c r="R128" s="82">
        <f ca="1">IF('Invoer gegevens (N)'!$C$17=E128,'Invoer gegevens (N)'!$C$11,IF(C128=1,W127,0))</f>
        <v>0</v>
      </c>
      <c r="S128" s="86">
        <f ca="1">IF(C128&gt;=1,R128*VLOOKUP(E128,'Reeksen (N)'!$A$5:$B$76,2),0)</f>
        <v>0</v>
      </c>
      <c r="T128" s="84">
        <f ca="1">(1-('Invoer gegevens (N)'!$F$20/12))*R128*MIN('Reeksen (N)'!B128,'Reeksen (N)'!D128)</f>
        <v>0</v>
      </c>
      <c r="U128" s="84">
        <f>IF('Reeksen (N)'!D128&gt;='Reeksen (N)'!B128,0,IF('Reeksen (N)'!AK128&lt;='Reeksen (N)'!AE128,('Reeksen (N)'!B128-'Reeksen (N)'!D128)*R128,0))</f>
        <v>0</v>
      </c>
      <c r="V128" s="86">
        <f>IF('Reeksen (N)'!D128&gt;='Reeksen (N)'!B128,0,IF('Reeksen (N)'!AK128&gt;'Reeksen (N)'!AE128,('Reeksen (N)'!B128-'Reeksen (N)'!D128)*R128,0))</f>
        <v>0</v>
      </c>
      <c r="W128" s="97">
        <f t="shared" ca="1" si="14"/>
        <v>0</v>
      </c>
      <c r="X128" s="98">
        <f ca="1">IF('Invoer gegevens (N)'!$C$17=E128,'Invoer gegevens (N)'!$C$10-'Invoer gegevens (N)'!$C$11,IF(C128=1,AC127,0))</f>
        <v>0</v>
      </c>
      <c r="Y128" s="98">
        <f ca="1">IF(C128&gt;=1,X128*VLOOKUP(E128,'Reeksen (N)'!$A$5:$B$76,2),0)</f>
        <v>0</v>
      </c>
      <c r="Z128" s="98">
        <f ca="1">(1-('Invoer gegevens (N)'!$F$20/12))*X128*MIN('Reeksen (N)'!B128,'Reeksen (N)'!D128)</f>
        <v>0</v>
      </c>
      <c r="AA128" s="98">
        <f>IF('Reeksen (N)'!D128&gt;='Reeksen (N)'!B128,0,IF('Reeksen (N)'!AK128&lt;='Reeksen (N)'!AE128,('Reeksen (N)'!B128-'Reeksen (N)'!D128)*X128,0))</f>
        <v>0</v>
      </c>
      <c r="AB128" s="98">
        <f>IF('Reeksen (N)'!D128&gt;='Reeksen (N)'!B128,0,IF('Reeksen (N)'!AK128&gt;'Reeksen (N)'!AE128,('Reeksen (N)'!B128-'Reeksen (N)'!D128)*X128,0))</f>
        <v>0</v>
      </c>
      <c r="AC128" s="99">
        <f t="shared" ca="1" si="15"/>
        <v>0</v>
      </c>
      <c r="AD128" s="98">
        <f ca="1">IF('Invoer gegevens (N)'!$C$17=E128,R128,IF(C128=0,0,AE127))</f>
        <v>0</v>
      </c>
      <c r="AE128" s="98">
        <f t="shared" ca="1" si="16"/>
        <v>0</v>
      </c>
      <c r="AF128" s="98">
        <f ca="1">IF('Invoer gegevens (N)'!$C$17=E128,X128,IF(C128=0,0,AG127))</f>
        <v>0</v>
      </c>
      <c r="AG128" s="98">
        <f t="shared" ca="1" si="17"/>
        <v>0</v>
      </c>
      <c r="AH128" s="68"/>
      <c r="AI128" s="71">
        <f ca="1">IF(C128=1,'Reeksen (N)'!AJ128*((F128-G128+F128)/2)*12+'Reeksen (N)'!AK128*((L128-M128+L128)/2)*12,0)</f>
        <v>0</v>
      </c>
      <c r="AJ128" s="71">
        <f ca="1">-AI128*'Invoer gegevens (N)'!$F$28</f>
        <v>0</v>
      </c>
      <c r="AK128" s="71">
        <f t="shared" ca="1" si="11"/>
        <v>0</v>
      </c>
      <c r="AL128" s="71">
        <f ca="1">IF(C128=1,'Reeksen (N)'!AL128*((F128-G128+F128)/2)*12+'Reeksen (N)'!AM128*((L128-M128+L128)/2)*12,0)</f>
        <v>0</v>
      </c>
      <c r="AM128" s="71">
        <f ca="1">-AL128*'Invoer gegevens (N)'!$F$31</f>
        <v>0</v>
      </c>
      <c r="AN128" s="71">
        <f t="shared" ca="1" si="18"/>
        <v>0</v>
      </c>
      <c r="AO128" s="71">
        <f ca="1">IF(C128=1,(H128+J128+N128+P128)*'Reeksen (N)'!AN128,0)</f>
        <v>0</v>
      </c>
      <c r="AP128" s="71">
        <f ca="1">-IF(C128=1,(H128+J128+N128+P128)*'Hulp - basis'!$O$550*'Reeksen (N)'!H128,0)</f>
        <v>0</v>
      </c>
      <c r="AQ128" s="71">
        <f ca="1">-IF(C128=1,(F128+K128+L128+Q128)/2*'Invoer gegevens (N)'!$I$33*'Reeksen (N)'!J128,0)*2</f>
        <v>0</v>
      </c>
      <c r="AR128" s="71">
        <f ca="1">-IF(C128=1,(I128*'Invoer gegevens (N)'!$I$34)*'Reeksen (N)'!J128,0)</f>
        <v>0</v>
      </c>
      <c r="AS128" s="71">
        <f ca="1">-IF(C128=1,(F128+K128+L128+Q128)/2*'Invoer gegevens (N)'!$I$35*'Reeksen (N)'!L128,0)</f>
        <v>0</v>
      </c>
      <c r="AT128" s="71">
        <f ca="1">-IF(C128=1,IF(E128='Invoer gegevens (N)'!$C$17,'Invoer gegevens (N)'!$C$11,AD128)*'Reeksen (N)'!S128*'Invoer gegevens (N)'!$C$18*'Reeksen (N)'!P128,0)</f>
        <v>0</v>
      </c>
      <c r="AU128" s="71">
        <f ca="1">-IF(C128=1,(F128+K128+L128+Q128)/2*'Invoer gegevens (N)'!$I$36*'Reeksen (N)'!H128,0)</f>
        <v>0</v>
      </c>
      <c r="AV128" s="71">
        <v>0</v>
      </c>
      <c r="AW128" s="71">
        <f t="shared" ca="1" si="19"/>
        <v>0</v>
      </c>
      <c r="AX128" s="71">
        <f ca="1">IF(E128&lt;'Invoer gegevens (N)'!$C$17+15,0,IF(E128&gt;'Invoer gegevens (N)'!$C$17+215,0,AW128))</f>
        <v>0</v>
      </c>
      <c r="AY128" s="71">
        <f ca="1">AX128/(1+'Invoer gegevens (N)'!$F$18)^($AZ128-('Invoer gegevens (N)'!$C$17-'Invoer gegevens (N)'!$C$16))/(1+'Invoer gegevens (N)'!$C$39)^('Invoer gegevens (N)'!$C$17-'Invoer gegevens (N)'!$C$16)</f>
        <v>0</v>
      </c>
      <c r="AZ128" s="68">
        <f ca="1">IF(E128-'Invoer gegevens (N)'!$C$17-14.5&lt;0,0,E128-'Invoer gegevens (N)'!$C$17-14.5)</f>
        <v>108.5</v>
      </c>
    </row>
    <row r="129" spans="2:52" x14ac:dyDescent="0.25">
      <c r="B129" s="70">
        <f t="shared" si="20"/>
        <v>125</v>
      </c>
      <c r="C129" s="67">
        <f ca="1">IF(E129-'Invoer gegevens (N)'!$C$17&lt;0,0,1)</f>
        <v>1</v>
      </c>
      <c r="D129" s="68">
        <f t="shared" si="21"/>
        <v>124.5</v>
      </c>
      <c r="E129" s="108">
        <f ca="1">IF('Invoer gegevens (N)'!$C$16="","",E128+1)</f>
        <v>2143</v>
      </c>
      <c r="F129" s="84">
        <f ca="1">IF('Invoer gegevens (N)'!$C$17=E129,'Invoer gegevens (N)'!$C$10,IF(C129=1,K128,0))</f>
        <v>0</v>
      </c>
      <c r="G129" s="96">
        <f ca="1">IF(C129&gt;=1,F129*VLOOKUP(E129,'Reeksen (N)'!$A$5:$B$76,2),0)</f>
        <v>0</v>
      </c>
      <c r="H129" s="84">
        <f ca="1">(1-('Invoer gegevens (N)'!$F$20/12))*F129*MIN('Reeksen (N)'!B129,'Reeksen (N)'!D129)</f>
        <v>0</v>
      </c>
      <c r="I129" s="84">
        <f>IF('Reeksen (N)'!D129&lt;'Reeksen (N)'!B129,('Reeksen (N)'!B129-'Reeksen (N)'!D129)*F129,0)</f>
        <v>0</v>
      </c>
      <c r="J129" s="84">
        <f ca="1">('Invoer gegevens (N)'!$F$20/12)*F128*MIN('Reeksen (N)'!B128,'Reeksen (N)'!D128)</f>
        <v>0</v>
      </c>
      <c r="K129" s="97">
        <f t="shared" ca="1" si="12"/>
        <v>0</v>
      </c>
      <c r="L129" s="84">
        <f ca="1">IF('Invoer gegevens (N)'!$C$17=E129,0,IF(C129=1,Q128,0))</f>
        <v>0</v>
      </c>
      <c r="M129" s="96">
        <f ca="1">IF(C129&gt;=1,L129*VLOOKUP(E129,'Reeksen (N)'!$A$5:$B$76,2),0)</f>
        <v>0</v>
      </c>
      <c r="N129" s="84">
        <f ca="1">(1-('Invoer gegevens (N)'!$F$20/12))*L129*MIN('Reeksen (N)'!B129,'Reeksen (N)'!D129)</f>
        <v>0</v>
      </c>
      <c r="O129" s="84">
        <f>IF('Reeksen (N)'!D129&lt;'Reeksen (N)'!B129,('Reeksen (N)'!B129-'Reeksen (N)'!D129)*L129,0)</f>
        <v>0</v>
      </c>
      <c r="P129" s="84">
        <f ca="1">('Invoer gegevens (N)'!$F$20/12)*L128*MIN('Reeksen (N)'!B128,'Reeksen (N)'!D128)</f>
        <v>0</v>
      </c>
      <c r="Q129" s="84">
        <f t="shared" ca="1" si="13"/>
        <v>0</v>
      </c>
      <c r="R129" s="82">
        <f ca="1">IF('Invoer gegevens (N)'!$C$17=E129,'Invoer gegevens (N)'!$C$11,IF(C129=1,W128,0))</f>
        <v>0</v>
      </c>
      <c r="S129" s="86">
        <f ca="1">IF(C129&gt;=1,R129*VLOOKUP(E129,'Reeksen (N)'!$A$5:$B$76,2),0)</f>
        <v>0</v>
      </c>
      <c r="T129" s="84">
        <f ca="1">(1-('Invoer gegevens (N)'!$F$20/12))*R129*MIN('Reeksen (N)'!B129,'Reeksen (N)'!D129)</f>
        <v>0</v>
      </c>
      <c r="U129" s="84">
        <f>IF('Reeksen (N)'!D129&gt;='Reeksen (N)'!B129,0,IF('Reeksen (N)'!AK129&lt;='Reeksen (N)'!AE129,('Reeksen (N)'!B129-'Reeksen (N)'!D129)*R129,0))</f>
        <v>0</v>
      </c>
      <c r="V129" s="86">
        <f>IF('Reeksen (N)'!D129&gt;='Reeksen (N)'!B129,0,IF('Reeksen (N)'!AK129&gt;'Reeksen (N)'!AE129,('Reeksen (N)'!B129-'Reeksen (N)'!D129)*R129,0))</f>
        <v>0</v>
      </c>
      <c r="W129" s="97">
        <f t="shared" ca="1" si="14"/>
        <v>0</v>
      </c>
      <c r="X129" s="98">
        <f ca="1">IF('Invoer gegevens (N)'!$C$17=E129,'Invoer gegevens (N)'!$C$10-'Invoer gegevens (N)'!$C$11,IF(C129=1,AC128,0))</f>
        <v>0</v>
      </c>
      <c r="Y129" s="98">
        <f ca="1">IF(C129&gt;=1,X129*VLOOKUP(E129,'Reeksen (N)'!$A$5:$B$76,2),0)</f>
        <v>0</v>
      </c>
      <c r="Z129" s="98">
        <f ca="1">(1-('Invoer gegevens (N)'!$F$20/12))*X129*MIN('Reeksen (N)'!B129,'Reeksen (N)'!D129)</f>
        <v>0</v>
      </c>
      <c r="AA129" s="98">
        <f>IF('Reeksen (N)'!D129&gt;='Reeksen (N)'!B129,0,IF('Reeksen (N)'!AK129&lt;='Reeksen (N)'!AE129,('Reeksen (N)'!B129-'Reeksen (N)'!D129)*X129,0))</f>
        <v>0</v>
      </c>
      <c r="AB129" s="98">
        <f>IF('Reeksen (N)'!D129&gt;='Reeksen (N)'!B129,0,IF('Reeksen (N)'!AK129&gt;'Reeksen (N)'!AE129,('Reeksen (N)'!B129-'Reeksen (N)'!D129)*X129,0))</f>
        <v>0</v>
      </c>
      <c r="AC129" s="99">
        <f t="shared" ca="1" si="15"/>
        <v>0</v>
      </c>
      <c r="AD129" s="98">
        <f ca="1">IF('Invoer gegevens (N)'!$C$17=E129,R129,IF(C129=0,0,AE128))</f>
        <v>0</v>
      </c>
      <c r="AE129" s="98">
        <f t="shared" ca="1" si="16"/>
        <v>0</v>
      </c>
      <c r="AF129" s="98">
        <f ca="1">IF('Invoer gegevens (N)'!$C$17=E129,X129,IF(C129=0,0,AG128))</f>
        <v>0</v>
      </c>
      <c r="AG129" s="98">
        <f t="shared" ca="1" si="17"/>
        <v>0</v>
      </c>
      <c r="AH129" s="68"/>
      <c r="AI129" s="71">
        <f ca="1">IF(C129=1,'Reeksen (N)'!AJ129*((F129-G129+F129)/2)*12+'Reeksen (N)'!AK129*((L129-M129+L129)/2)*12,0)</f>
        <v>0</v>
      </c>
      <c r="AJ129" s="71">
        <f ca="1">-AI129*'Invoer gegevens (N)'!$F$28</f>
        <v>0</v>
      </c>
      <c r="AK129" s="71">
        <f t="shared" ca="1" si="11"/>
        <v>0</v>
      </c>
      <c r="AL129" s="71">
        <f ca="1">IF(C129=1,'Reeksen (N)'!AL129*((F129-G129+F129)/2)*12+'Reeksen (N)'!AM129*((L129-M129+L129)/2)*12,0)</f>
        <v>0</v>
      </c>
      <c r="AM129" s="71">
        <f ca="1">-AL129*'Invoer gegevens (N)'!$F$31</f>
        <v>0</v>
      </c>
      <c r="AN129" s="71">
        <f t="shared" ca="1" si="18"/>
        <v>0</v>
      </c>
      <c r="AO129" s="71">
        <f ca="1">IF(C129=1,(H129+J129+N129+P129)*'Reeksen (N)'!AN129,0)</f>
        <v>0</v>
      </c>
      <c r="AP129" s="71">
        <f ca="1">-IF(C129=1,(H129+J129+N129+P129)*'Hulp - basis'!$O$550*'Reeksen (N)'!H129,0)</f>
        <v>0</v>
      </c>
      <c r="AQ129" s="71">
        <f ca="1">-IF(C129=1,(F129+K129+L129+Q129)/2*'Invoer gegevens (N)'!$I$33*'Reeksen (N)'!J129,0)*2</f>
        <v>0</v>
      </c>
      <c r="AR129" s="71">
        <f ca="1">-IF(C129=1,(I129*'Invoer gegevens (N)'!$I$34)*'Reeksen (N)'!J129,0)</f>
        <v>0</v>
      </c>
      <c r="AS129" s="71">
        <f ca="1">-IF(C129=1,(F129+K129+L129+Q129)/2*'Invoer gegevens (N)'!$I$35*'Reeksen (N)'!L129,0)</f>
        <v>0</v>
      </c>
      <c r="AT129" s="71">
        <f ca="1">-IF(C129=1,IF(E129='Invoer gegevens (N)'!$C$17,'Invoer gegevens (N)'!$C$11,AD129)*'Reeksen (N)'!S129*'Invoer gegevens (N)'!$C$18*'Reeksen (N)'!P129,0)</f>
        <v>0</v>
      </c>
      <c r="AU129" s="71">
        <f ca="1">-IF(C129=1,(F129+K129+L129+Q129)/2*'Invoer gegevens (N)'!$I$36*'Reeksen (N)'!H129,0)</f>
        <v>0</v>
      </c>
      <c r="AV129" s="71">
        <v>0</v>
      </c>
      <c r="AW129" s="71">
        <f t="shared" ca="1" si="19"/>
        <v>0</v>
      </c>
      <c r="AX129" s="71">
        <f ca="1">IF(E129&lt;'Invoer gegevens (N)'!$C$17+15,0,IF(E129&gt;'Invoer gegevens (N)'!$C$17+215,0,AW129))</f>
        <v>0</v>
      </c>
      <c r="AY129" s="71">
        <f ca="1">AX129/(1+'Invoer gegevens (N)'!$F$18)^($AZ129-('Invoer gegevens (N)'!$C$17-'Invoer gegevens (N)'!$C$16))/(1+'Invoer gegevens (N)'!$C$39)^('Invoer gegevens (N)'!$C$17-'Invoer gegevens (N)'!$C$16)</f>
        <v>0</v>
      </c>
      <c r="AZ129" s="68">
        <f ca="1">IF(E129-'Invoer gegevens (N)'!$C$17-14.5&lt;0,0,E129-'Invoer gegevens (N)'!$C$17-14.5)</f>
        <v>109.5</v>
      </c>
    </row>
    <row r="130" spans="2:52" x14ac:dyDescent="0.25">
      <c r="B130" s="70">
        <f t="shared" si="20"/>
        <v>126</v>
      </c>
      <c r="C130" s="67">
        <f ca="1">IF(E130-'Invoer gegevens (N)'!$C$17&lt;0,0,1)</f>
        <v>1</v>
      </c>
      <c r="D130" s="68">
        <f t="shared" si="21"/>
        <v>125.5</v>
      </c>
      <c r="E130" s="108">
        <f ca="1">IF('Invoer gegevens (N)'!$C$16="","",E129+1)</f>
        <v>2144</v>
      </c>
      <c r="F130" s="84">
        <f ca="1">IF('Invoer gegevens (N)'!$C$17=E130,'Invoer gegevens (N)'!$C$10,IF(C130=1,K129,0))</f>
        <v>0</v>
      </c>
      <c r="G130" s="96">
        <f ca="1">IF(C130&gt;=1,F130*VLOOKUP(E130,'Reeksen (N)'!$A$5:$B$76,2),0)</f>
        <v>0</v>
      </c>
      <c r="H130" s="84">
        <f ca="1">(1-('Invoer gegevens (N)'!$F$20/12))*F130*MIN('Reeksen (N)'!B130,'Reeksen (N)'!D130)</f>
        <v>0</v>
      </c>
      <c r="I130" s="84">
        <f>IF('Reeksen (N)'!D130&lt;'Reeksen (N)'!B130,('Reeksen (N)'!B130-'Reeksen (N)'!D130)*F130,0)</f>
        <v>0</v>
      </c>
      <c r="J130" s="84">
        <f ca="1">('Invoer gegevens (N)'!$F$20/12)*F129*MIN('Reeksen (N)'!B129,'Reeksen (N)'!D129)</f>
        <v>0</v>
      </c>
      <c r="K130" s="97">
        <f t="shared" ca="1" si="12"/>
        <v>0</v>
      </c>
      <c r="L130" s="84">
        <f ca="1">IF('Invoer gegevens (N)'!$C$17=E130,0,IF(C130=1,Q129,0))</f>
        <v>0</v>
      </c>
      <c r="M130" s="96">
        <f ca="1">IF(C130&gt;=1,L130*VLOOKUP(E130,'Reeksen (N)'!$A$5:$B$76,2),0)</f>
        <v>0</v>
      </c>
      <c r="N130" s="84">
        <f ca="1">(1-('Invoer gegevens (N)'!$F$20/12))*L130*MIN('Reeksen (N)'!B130,'Reeksen (N)'!D130)</f>
        <v>0</v>
      </c>
      <c r="O130" s="84">
        <f>IF('Reeksen (N)'!D130&lt;'Reeksen (N)'!B130,('Reeksen (N)'!B130-'Reeksen (N)'!D130)*L130,0)</f>
        <v>0</v>
      </c>
      <c r="P130" s="84">
        <f ca="1">('Invoer gegevens (N)'!$F$20/12)*L129*MIN('Reeksen (N)'!B129,'Reeksen (N)'!D129)</f>
        <v>0</v>
      </c>
      <c r="Q130" s="84">
        <f t="shared" ca="1" si="13"/>
        <v>0</v>
      </c>
      <c r="R130" s="82">
        <f ca="1">IF('Invoer gegevens (N)'!$C$17=E130,'Invoer gegevens (N)'!$C$11,IF(C130=1,W129,0))</f>
        <v>0</v>
      </c>
      <c r="S130" s="86">
        <f ca="1">IF(C130&gt;=1,R130*VLOOKUP(E130,'Reeksen (N)'!$A$5:$B$76,2),0)</f>
        <v>0</v>
      </c>
      <c r="T130" s="84">
        <f ca="1">(1-('Invoer gegevens (N)'!$F$20/12))*R130*MIN('Reeksen (N)'!B130,'Reeksen (N)'!D130)</f>
        <v>0</v>
      </c>
      <c r="U130" s="84">
        <f>IF('Reeksen (N)'!D130&gt;='Reeksen (N)'!B130,0,IF('Reeksen (N)'!AK130&lt;='Reeksen (N)'!AE130,('Reeksen (N)'!B130-'Reeksen (N)'!D130)*R130,0))</f>
        <v>0</v>
      </c>
      <c r="V130" s="86">
        <f>IF('Reeksen (N)'!D130&gt;='Reeksen (N)'!B130,0,IF('Reeksen (N)'!AK130&gt;'Reeksen (N)'!AE130,('Reeksen (N)'!B130-'Reeksen (N)'!D130)*R130,0))</f>
        <v>0</v>
      </c>
      <c r="W130" s="97">
        <f t="shared" ca="1" si="14"/>
        <v>0</v>
      </c>
      <c r="X130" s="98">
        <f ca="1">IF('Invoer gegevens (N)'!$C$17=E130,'Invoer gegevens (N)'!$C$10-'Invoer gegevens (N)'!$C$11,IF(C130=1,AC129,0))</f>
        <v>0</v>
      </c>
      <c r="Y130" s="98">
        <f ca="1">IF(C130&gt;=1,X130*VLOOKUP(E130,'Reeksen (N)'!$A$5:$B$76,2),0)</f>
        <v>0</v>
      </c>
      <c r="Z130" s="98">
        <f ca="1">(1-('Invoer gegevens (N)'!$F$20/12))*X130*MIN('Reeksen (N)'!B130,'Reeksen (N)'!D130)</f>
        <v>0</v>
      </c>
      <c r="AA130" s="98">
        <f>IF('Reeksen (N)'!D130&gt;='Reeksen (N)'!B130,0,IF('Reeksen (N)'!AK130&lt;='Reeksen (N)'!AE130,('Reeksen (N)'!B130-'Reeksen (N)'!D130)*X130,0))</f>
        <v>0</v>
      </c>
      <c r="AB130" s="98">
        <f>IF('Reeksen (N)'!D130&gt;='Reeksen (N)'!B130,0,IF('Reeksen (N)'!AK130&gt;'Reeksen (N)'!AE130,('Reeksen (N)'!B130-'Reeksen (N)'!D130)*X130,0))</f>
        <v>0</v>
      </c>
      <c r="AC130" s="99">
        <f t="shared" ca="1" si="15"/>
        <v>0</v>
      </c>
      <c r="AD130" s="98">
        <f ca="1">IF('Invoer gegevens (N)'!$C$17=E130,R130,IF(C130=0,0,AE129))</f>
        <v>0</v>
      </c>
      <c r="AE130" s="98">
        <f t="shared" ca="1" si="16"/>
        <v>0</v>
      </c>
      <c r="AF130" s="98">
        <f ca="1">IF('Invoer gegevens (N)'!$C$17=E130,X130,IF(C130=0,0,AG129))</f>
        <v>0</v>
      </c>
      <c r="AG130" s="98">
        <f t="shared" ca="1" si="17"/>
        <v>0</v>
      </c>
      <c r="AH130" s="68"/>
      <c r="AI130" s="71">
        <f ca="1">IF(C130=1,'Reeksen (N)'!AJ130*((F130-G130+F130)/2)*12+'Reeksen (N)'!AK130*((L130-M130+L130)/2)*12,0)</f>
        <v>0</v>
      </c>
      <c r="AJ130" s="71">
        <f ca="1">-AI130*'Invoer gegevens (N)'!$F$28</f>
        <v>0</v>
      </c>
      <c r="AK130" s="71">
        <f t="shared" ca="1" si="11"/>
        <v>0</v>
      </c>
      <c r="AL130" s="71">
        <f ca="1">IF(C130=1,'Reeksen (N)'!AL130*((F130-G130+F130)/2)*12+'Reeksen (N)'!AM130*((L130-M130+L130)/2)*12,0)</f>
        <v>0</v>
      </c>
      <c r="AM130" s="71">
        <f ca="1">-AL130*'Invoer gegevens (N)'!$F$31</f>
        <v>0</v>
      </c>
      <c r="AN130" s="71">
        <f t="shared" ca="1" si="18"/>
        <v>0</v>
      </c>
      <c r="AO130" s="71">
        <f ca="1">IF(C130=1,(H130+J130+N130+P130)*'Reeksen (N)'!AN130,0)</f>
        <v>0</v>
      </c>
      <c r="AP130" s="71">
        <f ca="1">-IF(C130=1,(H130+J130+N130+P130)*'Hulp - basis'!$O$550*'Reeksen (N)'!H130,0)</f>
        <v>0</v>
      </c>
      <c r="AQ130" s="71">
        <f ca="1">-IF(C130=1,(F130+K130+L130+Q130)/2*'Invoer gegevens (N)'!$I$33*'Reeksen (N)'!J130,0)*2</f>
        <v>0</v>
      </c>
      <c r="AR130" s="71">
        <f ca="1">-IF(C130=1,(I130*'Invoer gegevens (N)'!$I$34)*'Reeksen (N)'!J130,0)</f>
        <v>0</v>
      </c>
      <c r="AS130" s="71">
        <f ca="1">-IF(C130=1,(F130+K130+L130+Q130)/2*'Invoer gegevens (N)'!$I$35*'Reeksen (N)'!L130,0)</f>
        <v>0</v>
      </c>
      <c r="AT130" s="71">
        <f ca="1">-IF(C130=1,IF(E130='Invoer gegevens (N)'!$C$17,'Invoer gegevens (N)'!$C$11,AD130)*'Reeksen (N)'!S130*'Invoer gegevens (N)'!$C$18*'Reeksen (N)'!P130,0)</f>
        <v>0</v>
      </c>
      <c r="AU130" s="71">
        <f ca="1">-IF(C130=1,(F130+K130+L130+Q130)/2*'Invoer gegevens (N)'!$I$36*'Reeksen (N)'!H130,0)</f>
        <v>0</v>
      </c>
      <c r="AV130" s="71">
        <v>0</v>
      </c>
      <c r="AW130" s="71">
        <f t="shared" ca="1" si="19"/>
        <v>0</v>
      </c>
      <c r="AX130" s="71">
        <f ca="1">IF(E130&lt;'Invoer gegevens (N)'!$C$17+15,0,IF(E130&gt;'Invoer gegevens (N)'!$C$17+215,0,AW130))</f>
        <v>0</v>
      </c>
      <c r="AY130" s="71">
        <f ca="1">AX130/(1+'Invoer gegevens (N)'!$F$18)^($AZ130-('Invoer gegevens (N)'!$C$17-'Invoer gegevens (N)'!$C$16))/(1+'Invoer gegevens (N)'!$C$39)^('Invoer gegevens (N)'!$C$17-'Invoer gegevens (N)'!$C$16)</f>
        <v>0</v>
      </c>
      <c r="AZ130" s="68">
        <f ca="1">IF(E130-'Invoer gegevens (N)'!$C$17-14.5&lt;0,0,E130-'Invoer gegevens (N)'!$C$17-14.5)</f>
        <v>110.5</v>
      </c>
    </row>
    <row r="131" spans="2:52" x14ac:dyDescent="0.25">
      <c r="B131" s="70">
        <f t="shared" si="20"/>
        <v>127</v>
      </c>
      <c r="C131" s="67">
        <f ca="1">IF(E131-'Invoer gegevens (N)'!$C$17&lt;0,0,1)</f>
        <v>1</v>
      </c>
      <c r="D131" s="68">
        <f t="shared" si="21"/>
        <v>126.5</v>
      </c>
      <c r="E131" s="108">
        <f ca="1">IF('Invoer gegevens (N)'!$C$16="","",E130+1)</f>
        <v>2145</v>
      </c>
      <c r="F131" s="84">
        <f ca="1">IF('Invoer gegevens (N)'!$C$17=E131,'Invoer gegevens (N)'!$C$10,IF(C131=1,K130,0))</f>
        <v>0</v>
      </c>
      <c r="G131" s="96">
        <f ca="1">IF(C131&gt;=1,F131*VLOOKUP(E131,'Reeksen (N)'!$A$5:$B$76,2),0)</f>
        <v>0</v>
      </c>
      <c r="H131" s="84">
        <f ca="1">(1-('Invoer gegevens (N)'!$F$20/12))*F131*MIN('Reeksen (N)'!B131,'Reeksen (N)'!D131)</f>
        <v>0</v>
      </c>
      <c r="I131" s="84">
        <f>IF('Reeksen (N)'!D131&lt;'Reeksen (N)'!B131,('Reeksen (N)'!B131-'Reeksen (N)'!D131)*F131,0)</f>
        <v>0</v>
      </c>
      <c r="J131" s="84">
        <f ca="1">('Invoer gegevens (N)'!$F$20/12)*F130*MIN('Reeksen (N)'!B130,'Reeksen (N)'!D130)</f>
        <v>0</v>
      </c>
      <c r="K131" s="97">
        <f t="shared" ca="1" si="12"/>
        <v>0</v>
      </c>
      <c r="L131" s="84">
        <f ca="1">IF('Invoer gegevens (N)'!$C$17=E131,0,IF(C131=1,Q130,0))</f>
        <v>0</v>
      </c>
      <c r="M131" s="96">
        <f ca="1">IF(C131&gt;=1,L131*VLOOKUP(E131,'Reeksen (N)'!$A$5:$B$76,2),0)</f>
        <v>0</v>
      </c>
      <c r="N131" s="84">
        <f ca="1">(1-('Invoer gegevens (N)'!$F$20/12))*L131*MIN('Reeksen (N)'!B131,'Reeksen (N)'!D131)</f>
        <v>0</v>
      </c>
      <c r="O131" s="84">
        <f>IF('Reeksen (N)'!D131&lt;'Reeksen (N)'!B131,('Reeksen (N)'!B131-'Reeksen (N)'!D131)*L131,0)</f>
        <v>0</v>
      </c>
      <c r="P131" s="84">
        <f ca="1">('Invoer gegevens (N)'!$F$20/12)*L130*MIN('Reeksen (N)'!B130,'Reeksen (N)'!D130)</f>
        <v>0</v>
      </c>
      <c r="Q131" s="84">
        <f t="shared" ca="1" si="13"/>
        <v>0</v>
      </c>
      <c r="R131" s="82">
        <f ca="1">IF('Invoer gegevens (N)'!$C$17=E131,'Invoer gegevens (N)'!$C$11,IF(C131=1,W130,0))</f>
        <v>0</v>
      </c>
      <c r="S131" s="86">
        <f ca="1">IF(C131&gt;=1,R131*VLOOKUP(E131,'Reeksen (N)'!$A$5:$B$76,2),0)</f>
        <v>0</v>
      </c>
      <c r="T131" s="84">
        <f ca="1">(1-('Invoer gegevens (N)'!$F$20/12))*R131*MIN('Reeksen (N)'!B131,'Reeksen (N)'!D131)</f>
        <v>0</v>
      </c>
      <c r="U131" s="84">
        <f>IF('Reeksen (N)'!D131&gt;='Reeksen (N)'!B131,0,IF('Reeksen (N)'!AK131&lt;='Reeksen (N)'!AE131,('Reeksen (N)'!B131-'Reeksen (N)'!D131)*R131,0))</f>
        <v>0</v>
      </c>
      <c r="V131" s="86">
        <f>IF('Reeksen (N)'!D131&gt;='Reeksen (N)'!B131,0,IF('Reeksen (N)'!AK131&gt;'Reeksen (N)'!AE131,('Reeksen (N)'!B131-'Reeksen (N)'!D131)*R131,0))</f>
        <v>0</v>
      </c>
      <c r="W131" s="97">
        <f t="shared" ca="1" si="14"/>
        <v>0</v>
      </c>
      <c r="X131" s="98">
        <f ca="1">IF('Invoer gegevens (N)'!$C$17=E131,'Invoer gegevens (N)'!$C$10-'Invoer gegevens (N)'!$C$11,IF(C131=1,AC130,0))</f>
        <v>0</v>
      </c>
      <c r="Y131" s="98">
        <f ca="1">IF(C131&gt;=1,X131*VLOOKUP(E131,'Reeksen (N)'!$A$5:$B$76,2),0)</f>
        <v>0</v>
      </c>
      <c r="Z131" s="98">
        <f ca="1">(1-('Invoer gegevens (N)'!$F$20/12))*X131*MIN('Reeksen (N)'!B131,'Reeksen (N)'!D131)</f>
        <v>0</v>
      </c>
      <c r="AA131" s="98">
        <f>IF('Reeksen (N)'!D131&gt;='Reeksen (N)'!B131,0,IF('Reeksen (N)'!AK131&lt;='Reeksen (N)'!AE131,('Reeksen (N)'!B131-'Reeksen (N)'!D131)*X131,0))</f>
        <v>0</v>
      </c>
      <c r="AB131" s="98">
        <f>IF('Reeksen (N)'!D131&gt;='Reeksen (N)'!B131,0,IF('Reeksen (N)'!AK131&gt;'Reeksen (N)'!AE131,('Reeksen (N)'!B131-'Reeksen (N)'!D131)*X131,0))</f>
        <v>0</v>
      </c>
      <c r="AC131" s="99">
        <f t="shared" ca="1" si="15"/>
        <v>0</v>
      </c>
      <c r="AD131" s="98">
        <f ca="1">IF('Invoer gegevens (N)'!$C$17=E131,R131,IF(C131=0,0,AE130))</f>
        <v>0</v>
      </c>
      <c r="AE131" s="98">
        <f t="shared" ca="1" si="16"/>
        <v>0</v>
      </c>
      <c r="AF131" s="98">
        <f ca="1">IF('Invoer gegevens (N)'!$C$17=E131,X131,IF(C131=0,0,AG130))</f>
        <v>0</v>
      </c>
      <c r="AG131" s="98">
        <f t="shared" ca="1" si="17"/>
        <v>0</v>
      </c>
      <c r="AH131" s="68"/>
      <c r="AI131" s="71">
        <f ca="1">IF(C131=1,'Reeksen (N)'!AJ131*((F131-G131+F131)/2)*12+'Reeksen (N)'!AK131*((L131-M131+L131)/2)*12,0)</f>
        <v>0</v>
      </c>
      <c r="AJ131" s="71">
        <f ca="1">-AI131*'Invoer gegevens (N)'!$F$28</f>
        <v>0</v>
      </c>
      <c r="AK131" s="71">
        <f t="shared" ca="1" si="11"/>
        <v>0</v>
      </c>
      <c r="AL131" s="71">
        <f ca="1">IF(C131=1,'Reeksen (N)'!AL131*((F131-G131+F131)/2)*12+'Reeksen (N)'!AM131*((L131-M131+L131)/2)*12,0)</f>
        <v>0</v>
      </c>
      <c r="AM131" s="71">
        <f ca="1">-AL131*'Invoer gegevens (N)'!$F$31</f>
        <v>0</v>
      </c>
      <c r="AN131" s="71">
        <f t="shared" ca="1" si="18"/>
        <v>0</v>
      </c>
      <c r="AO131" s="71">
        <f ca="1">IF(C131=1,(H131+J131+N131+P131)*'Reeksen (N)'!AN131,0)</f>
        <v>0</v>
      </c>
      <c r="AP131" s="71">
        <f ca="1">-IF(C131=1,(H131+J131+N131+P131)*'Hulp - basis'!$O$550*'Reeksen (N)'!H131,0)</f>
        <v>0</v>
      </c>
      <c r="AQ131" s="71">
        <f ca="1">-IF(C131=1,(F131+K131+L131+Q131)/2*'Invoer gegevens (N)'!$I$33*'Reeksen (N)'!J131,0)*2</f>
        <v>0</v>
      </c>
      <c r="AR131" s="71">
        <f ca="1">-IF(C131=1,(I131*'Invoer gegevens (N)'!$I$34)*'Reeksen (N)'!J131,0)</f>
        <v>0</v>
      </c>
      <c r="AS131" s="71">
        <f ca="1">-IF(C131=1,(F131+K131+L131+Q131)/2*'Invoer gegevens (N)'!$I$35*'Reeksen (N)'!L131,0)</f>
        <v>0</v>
      </c>
      <c r="AT131" s="71">
        <f ca="1">-IF(C131=1,IF(E131='Invoer gegevens (N)'!$C$17,'Invoer gegevens (N)'!$C$11,AD131)*'Reeksen (N)'!S131*'Invoer gegevens (N)'!$C$18*'Reeksen (N)'!P131,0)</f>
        <v>0</v>
      </c>
      <c r="AU131" s="71">
        <f ca="1">-IF(C131=1,(F131+K131+L131+Q131)/2*'Invoer gegevens (N)'!$I$36*'Reeksen (N)'!H131,0)</f>
        <v>0</v>
      </c>
      <c r="AV131" s="71">
        <v>0</v>
      </c>
      <c r="AW131" s="71">
        <f t="shared" ca="1" si="19"/>
        <v>0</v>
      </c>
      <c r="AX131" s="71">
        <f ca="1">IF(E131&lt;'Invoer gegevens (N)'!$C$17+15,0,IF(E131&gt;'Invoer gegevens (N)'!$C$17+215,0,AW131))</f>
        <v>0</v>
      </c>
      <c r="AY131" s="71">
        <f ca="1">AX131/(1+'Invoer gegevens (N)'!$F$18)^($AZ131-('Invoer gegevens (N)'!$C$17-'Invoer gegevens (N)'!$C$16))/(1+'Invoer gegevens (N)'!$C$39)^('Invoer gegevens (N)'!$C$17-'Invoer gegevens (N)'!$C$16)</f>
        <v>0</v>
      </c>
      <c r="AZ131" s="68">
        <f ca="1">IF(E131-'Invoer gegevens (N)'!$C$17-14.5&lt;0,0,E131-'Invoer gegevens (N)'!$C$17-14.5)</f>
        <v>111.5</v>
      </c>
    </row>
    <row r="132" spans="2:52" x14ac:dyDescent="0.25">
      <c r="B132" s="70">
        <f t="shared" si="20"/>
        <v>128</v>
      </c>
      <c r="C132" s="67">
        <f ca="1">IF(E132-'Invoer gegevens (N)'!$C$17&lt;0,0,1)</f>
        <v>1</v>
      </c>
      <c r="D132" s="68">
        <f t="shared" si="21"/>
        <v>127.5</v>
      </c>
      <c r="E132" s="108">
        <f ca="1">IF('Invoer gegevens (N)'!$C$16="","",E131+1)</f>
        <v>2146</v>
      </c>
      <c r="F132" s="84">
        <f ca="1">IF('Invoer gegevens (N)'!$C$17=E132,'Invoer gegevens (N)'!$C$10,IF(C132=1,K131,0))</f>
        <v>0</v>
      </c>
      <c r="G132" s="96">
        <f ca="1">IF(C132&gt;=1,F132*VLOOKUP(E132,'Reeksen (N)'!$A$5:$B$76,2),0)</f>
        <v>0</v>
      </c>
      <c r="H132" s="84">
        <f ca="1">(1-('Invoer gegevens (N)'!$F$20/12))*F132*MIN('Reeksen (N)'!B132,'Reeksen (N)'!D132)</f>
        <v>0</v>
      </c>
      <c r="I132" s="84">
        <f>IF('Reeksen (N)'!D132&lt;'Reeksen (N)'!B132,('Reeksen (N)'!B132-'Reeksen (N)'!D132)*F132,0)</f>
        <v>0</v>
      </c>
      <c r="J132" s="84">
        <f ca="1">('Invoer gegevens (N)'!$F$20/12)*F131*MIN('Reeksen (N)'!B131,'Reeksen (N)'!D131)</f>
        <v>0</v>
      </c>
      <c r="K132" s="97">
        <f t="shared" ca="1" si="12"/>
        <v>0</v>
      </c>
      <c r="L132" s="84">
        <f ca="1">IF('Invoer gegevens (N)'!$C$17=E132,0,IF(C132=1,Q131,0))</f>
        <v>0</v>
      </c>
      <c r="M132" s="96">
        <f ca="1">IF(C132&gt;=1,L132*VLOOKUP(E132,'Reeksen (N)'!$A$5:$B$76,2),0)</f>
        <v>0</v>
      </c>
      <c r="N132" s="84">
        <f ca="1">(1-('Invoer gegevens (N)'!$F$20/12))*L132*MIN('Reeksen (N)'!B132,'Reeksen (N)'!D132)</f>
        <v>0</v>
      </c>
      <c r="O132" s="84">
        <f>IF('Reeksen (N)'!D132&lt;'Reeksen (N)'!B132,('Reeksen (N)'!B132-'Reeksen (N)'!D132)*L132,0)</f>
        <v>0</v>
      </c>
      <c r="P132" s="84">
        <f ca="1">('Invoer gegevens (N)'!$F$20/12)*L131*MIN('Reeksen (N)'!B131,'Reeksen (N)'!D131)</f>
        <v>0</v>
      </c>
      <c r="Q132" s="84">
        <f t="shared" ca="1" si="13"/>
        <v>0</v>
      </c>
      <c r="R132" s="82">
        <f ca="1">IF('Invoer gegevens (N)'!$C$17=E132,'Invoer gegevens (N)'!$C$11,IF(C132=1,W131,0))</f>
        <v>0</v>
      </c>
      <c r="S132" s="86">
        <f ca="1">IF(C132&gt;=1,R132*VLOOKUP(E132,'Reeksen (N)'!$A$5:$B$76,2),0)</f>
        <v>0</v>
      </c>
      <c r="T132" s="84">
        <f ca="1">(1-('Invoer gegevens (N)'!$F$20/12))*R132*MIN('Reeksen (N)'!B132,'Reeksen (N)'!D132)</f>
        <v>0</v>
      </c>
      <c r="U132" s="84">
        <f>IF('Reeksen (N)'!D132&gt;='Reeksen (N)'!B132,0,IF('Reeksen (N)'!AK132&lt;='Reeksen (N)'!AE132,('Reeksen (N)'!B132-'Reeksen (N)'!D132)*R132,0))</f>
        <v>0</v>
      </c>
      <c r="V132" s="86">
        <f>IF('Reeksen (N)'!D132&gt;='Reeksen (N)'!B132,0,IF('Reeksen (N)'!AK132&gt;'Reeksen (N)'!AE132,('Reeksen (N)'!B132-'Reeksen (N)'!D132)*R132,0))</f>
        <v>0</v>
      </c>
      <c r="W132" s="97">
        <f t="shared" ca="1" si="14"/>
        <v>0</v>
      </c>
      <c r="X132" s="98">
        <f ca="1">IF('Invoer gegevens (N)'!$C$17=E132,'Invoer gegevens (N)'!$C$10-'Invoer gegevens (N)'!$C$11,IF(C132=1,AC131,0))</f>
        <v>0</v>
      </c>
      <c r="Y132" s="98">
        <f ca="1">IF(C132&gt;=1,X132*VLOOKUP(E132,'Reeksen (N)'!$A$5:$B$76,2),0)</f>
        <v>0</v>
      </c>
      <c r="Z132" s="98">
        <f ca="1">(1-('Invoer gegevens (N)'!$F$20/12))*X132*MIN('Reeksen (N)'!B132,'Reeksen (N)'!D132)</f>
        <v>0</v>
      </c>
      <c r="AA132" s="98">
        <f>IF('Reeksen (N)'!D132&gt;='Reeksen (N)'!B132,0,IF('Reeksen (N)'!AK132&lt;='Reeksen (N)'!AE132,('Reeksen (N)'!B132-'Reeksen (N)'!D132)*X132,0))</f>
        <v>0</v>
      </c>
      <c r="AB132" s="98">
        <f>IF('Reeksen (N)'!D132&gt;='Reeksen (N)'!B132,0,IF('Reeksen (N)'!AK132&gt;'Reeksen (N)'!AE132,('Reeksen (N)'!B132-'Reeksen (N)'!D132)*X132,0))</f>
        <v>0</v>
      </c>
      <c r="AC132" s="99">
        <f t="shared" ca="1" si="15"/>
        <v>0</v>
      </c>
      <c r="AD132" s="98">
        <f ca="1">IF('Invoer gegevens (N)'!$C$17=E132,R132,IF(C132=0,0,AE131))</f>
        <v>0</v>
      </c>
      <c r="AE132" s="98">
        <f t="shared" ca="1" si="16"/>
        <v>0</v>
      </c>
      <c r="AF132" s="98">
        <f ca="1">IF('Invoer gegevens (N)'!$C$17=E132,X132,IF(C132=0,0,AG131))</f>
        <v>0</v>
      </c>
      <c r="AG132" s="98">
        <f t="shared" ca="1" si="17"/>
        <v>0</v>
      </c>
      <c r="AH132" s="68"/>
      <c r="AI132" s="71">
        <f ca="1">IF(C132=1,'Reeksen (N)'!AJ132*((F132-G132+F132)/2)*12+'Reeksen (N)'!AK132*((L132-M132+L132)/2)*12,0)</f>
        <v>0</v>
      </c>
      <c r="AJ132" s="71">
        <f ca="1">-AI132*'Invoer gegevens (N)'!$F$28</f>
        <v>0</v>
      </c>
      <c r="AK132" s="71">
        <f t="shared" ca="1" si="11"/>
        <v>0</v>
      </c>
      <c r="AL132" s="71">
        <f ca="1">IF(C132=1,'Reeksen (N)'!AL132*((F132-G132+F132)/2)*12+'Reeksen (N)'!AM132*((L132-M132+L132)/2)*12,0)</f>
        <v>0</v>
      </c>
      <c r="AM132" s="71">
        <f ca="1">-AL132*'Invoer gegevens (N)'!$F$31</f>
        <v>0</v>
      </c>
      <c r="AN132" s="71">
        <f t="shared" ca="1" si="18"/>
        <v>0</v>
      </c>
      <c r="AO132" s="71">
        <f ca="1">IF(C132=1,(H132+J132+N132+P132)*'Reeksen (N)'!AN132,0)</f>
        <v>0</v>
      </c>
      <c r="AP132" s="71">
        <f ca="1">-IF(C132=1,(H132+J132+N132+P132)*'Hulp - basis'!$O$550*'Reeksen (N)'!H132,0)</f>
        <v>0</v>
      </c>
      <c r="AQ132" s="71">
        <f ca="1">-IF(C132=1,(F132+K132+L132+Q132)/2*'Invoer gegevens (N)'!$I$33*'Reeksen (N)'!J132,0)*2</f>
        <v>0</v>
      </c>
      <c r="AR132" s="71">
        <f ca="1">-IF(C132=1,(I132*'Invoer gegevens (N)'!$I$34)*'Reeksen (N)'!J132,0)</f>
        <v>0</v>
      </c>
      <c r="AS132" s="71">
        <f ca="1">-IF(C132=1,(F132+K132+L132+Q132)/2*'Invoer gegevens (N)'!$I$35*'Reeksen (N)'!L132,0)</f>
        <v>0</v>
      </c>
      <c r="AT132" s="71">
        <f ca="1">-IF(C132=1,IF(E132='Invoer gegevens (N)'!$C$17,'Invoer gegevens (N)'!$C$11,AD132)*'Reeksen (N)'!S132*'Invoer gegevens (N)'!$C$18*'Reeksen (N)'!P132,0)</f>
        <v>0</v>
      </c>
      <c r="AU132" s="71">
        <f ca="1">-IF(C132=1,(F132+K132+L132+Q132)/2*'Invoer gegevens (N)'!$I$36*'Reeksen (N)'!H132,0)</f>
        <v>0</v>
      </c>
      <c r="AV132" s="71">
        <v>0</v>
      </c>
      <c r="AW132" s="71">
        <f t="shared" ca="1" si="19"/>
        <v>0</v>
      </c>
      <c r="AX132" s="71">
        <f ca="1">IF(E132&lt;'Invoer gegevens (N)'!$C$17+15,0,IF(E132&gt;'Invoer gegevens (N)'!$C$17+215,0,AW132))</f>
        <v>0</v>
      </c>
      <c r="AY132" s="71">
        <f ca="1">AX132/(1+'Invoer gegevens (N)'!$F$18)^($AZ132-('Invoer gegevens (N)'!$C$17-'Invoer gegevens (N)'!$C$16))/(1+'Invoer gegevens (N)'!$C$39)^('Invoer gegevens (N)'!$C$17-'Invoer gegevens (N)'!$C$16)</f>
        <v>0</v>
      </c>
      <c r="AZ132" s="68">
        <f ca="1">IF(E132-'Invoer gegevens (N)'!$C$17-14.5&lt;0,0,E132-'Invoer gegevens (N)'!$C$17-14.5)</f>
        <v>112.5</v>
      </c>
    </row>
    <row r="133" spans="2:52" x14ac:dyDescent="0.25">
      <c r="B133" s="70">
        <f t="shared" si="20"/>
        <v>129</v>
      </c>
      <c r="C133" s="67">
        <f ca="1">IF(E133-'Invoer gegevens (N)'!$C$17&lt;0,0,1)</f>
        <v>1</v>
      </c>
      <c r="D133" s="68">
        <f t="shared" si="21"/>
        <v>128.5</v>
      </c>
      <c r="E133" s="108">
        <f ca="1">IF('Invoer gegevens (N)'!$C$16="","",E132+1)</f>
        <v>2147</v>
      </c>
      <c r="F133" s="84">
        <f ca="1">IF('Invoer gegevens (N)'!$C$17=E133,'Invoer gegevens (N)'!$C$10,IF(C133=1,K132,0))</f>
        <v>0</v>
      </c>
      <c r="G133" s="96">
        <f ca="1">IF(C133&gt;=1,F133*VLOOKUP(E133,'Reeksen (N)'!$A$5:$B$76,2),0)</f>
        <v>0</v>
      </c>
      <c r="H133" s="84">
        <f ca="1">(1-('Invoer gegevens (N)'!$F$20/12))*F133*MIN('Reeksen (N)'!B133,'Reeksen (N)'!D133)</f>
        <v>0</v>
      </c>
      <c r="I133" s="84">
        <f>IF('Reeksen (N)'!D133&lt;'Reeksen (N)'!B133,('Reeksen (N)'!B133-'Reeksen (N)'!D133)*F133,0)</f>
        <v>0</v>
      </c>
      <c r="J133" s="84">
        <f ca="1">('Invoer gegevens (N)'!$F$20/12)*F132*MIN('Reeksen (N)'!B132,'Reeksen (N)'!D132)</f>
        <v>0</v>
      </c>
      <c r="K133" s="97">
        <f t="shared" ca="1" si="12"/>
        <v>0</v>
      </c>
      <c r="L133" s="84">
        <f ca="1">IF('Invoer gegevens (N)'!$C$17=E133,0,IF(C133=1,Q132,0))</f>
        <v>0</v>
      </c>
      <c r="M133" s="96">
        <f ca="1">IF(C133&gt;=1,L133*VLOOKUP(E133,'Reeksen (N)'!$A$5:$B$76,2),0)</f>
        <v>0</v>
      </c>
      <c r="N133" s="84">
        <f ca="1">(1-('Invoer gegevens (N)'!$F$20/12))*L133*MIN('Reeksen (N)'!B133,'Reeksen (N)'!D133)</f>
        <v>0</v>
      </c>
      <c r="O133" s="84">
        <f>IF('Reeksen (N)'!D133&lt;'Reeksen (N)'!B133,('Reeksen (N)'!B133-'Reeksen (N)'!D133)*L133,0)</f>
        <v>0</v>
      </c>
      <c r="P133" s="84">
        <f ca="1">('Invoer gegevens (N)'!$F$20/12)*L132*MIN('Reeksen (N)'!B132,'Reeksen (N)'!D132)</f>
        <v>0</v>
      </c>
      <c r="Q133" s="84">
        <f t="shared" ca="1" si="13"/>
        <v>0</v>
      </c>
      <c r="R133" s="82">
        <f ca="1">IF('Invoer gegevens (N)'!$C$17=E133,'Invoer gegevens (N)'!$C$11,IF(C133=1,W132,0))</f>
        <v>0</v>
      </c>
      <c r="S133" s="86">
        <f ca="1">IF(C133&gt;=1,R133*VLOOKUP(E133,'Reeksen (N)'!$A$5:$B$76,2),0)</f>
        <v>0</v>
      </c>
      <c r="T133" s="84">
        <f ca="1">(1-('Invoer gegevens (N)'!$F$20/12))*R133*MIN('Reeksen (N)'!B133,'Reeksen (N)'!D133)</f>
        <v>0</v>
      </c>
      <c r="U133" s="84">
        <f>IF('Reeksen (N)'!D133&gt;='Reeksen (N)'!B133,0,IF('Reeksen (N)'!AK133&lt;='Reeksen (N)'!AE133,('Reeksen (N)'!B133-'Reeksen (N)'!D133)*R133,0))</f>
        <v>0</v>
      </c>
      <c r="V133" s="86">
        <f>IF('Reeksen (N)'!D133&gt;='Reeksen (N)'!B133,0,IF('Reeksen (N)'!AK133&gt;'Reeksen (N)'!AE133,('Reeksen (N)'!B133-'Reeksen (N)'!D133)*R133,0))</f>
        <v>0</v>
      </c>
      <c r="W133" s="97">
        <f t="shared" ca="1" si="14"/>
        <v>0</v>
      </c>
      <c r="X133" s="98">
        <f ca="1">IF('Invoer gegevens (N)'!$C$17=E133,'Invoer gegevens (N)'!$C$10-'Invoer gegevens (N)'!$C$11,IF(C133=1,AC132,0))</f>
        <v>0</v>
      </c>
      <c r="Y133" s="98">
        <f ca="1">IF(C133&gt;=1,X133*VLOOKUP(E133,'Reeksen (N)'!$A$5:$B$76,2),0)</f>
        <v>0</v>
      </c>
      <c r="Z133" s="98">
        <f ca="1">(1-('Invoer gegevens (N)'!$F$20/12))*X133*MIN('Reeksen (N)'!B133,'Reeksen (N)'!D133)</f>
        <v>0</v>
      </c>
      <c r="AA133" s="98">
        <f>IF('Reeksen (N)'!D133&gt;='Reeksen (N)'!B133,0,IF('Reeksen (N)'!AK133&lt;='Reeksen (N)'!AE133,('Reeksen (N)'!B133-'Reeksen (N)'!D133)*X133,0))</f>
        <v>0</v>
      </c>
      <c r="AB133" s="98">
        <f>IF('Reeksen (N)'!D133&gt;='Reeksen (N)'!B133,0,IF('Reeksen (N)'!AK133&gt;'Reeksen (N)'!AE133,('Reeksen (N)'!B133-'Reeksen (N)'!D133)*X133,0))</f>
        <v>0</v>
      </c>
      <c r="AC133" s="99">
        <f t="shared" ca="1" si="15"/>
        <v>0</v>
      </c>
      <c r="AD133" s="98">
        <f ca="1">IF('Invoer gegevens (N)'!$C$17=E133,R133,IF(C133=0,0,AE132))</f>
        <v>0</v>
      </c>
      <c r="AE133" s="98">
        <f t="shared" ca="1" si="16"/>
        <v>0</v>
      </c>
      <c r="AF133" s="98">
        <f ca="1">IF('Invoer gegevens (N)'!$C$17=E133,X133,IF(C133=0,0,AG132))</f>
        <v>0</v>
      </c>
      <c r="AG133" s="98">
        <f t="shared" ca="1" si="17"/>
        <v>0</v>
      </c>
      <c r="AH133" s="68"/>
      <c r="AI133" s="71">
        <f ca="1">IF(C133=1,'Reeksen (N)'!AJ133*((F133-G133+F133)/2)*12+'Reeksen (N)'!AK133*((L133-M133+L133)/2)*12,0)</f>
        <v>0</v>
      </c>
      <c r="AJ133" s="71">
        <f ca="1">-AI133*'Invoer gegevens (N)'!$F$28</f>
        <v>0</v>
      </c>
      <c r="AK133" s="71">
        <f t="shared" ref="AK133:AK196" ca="1" si="22">AI133+AJ133</f>
        <v>0</v>
      </c>
      <c r="AL133" s="71">
        <f ca="1">IF(C133=1,'Reeksen (N)'!AL133*((F133-G133+F133)/2)*12+'Reeksen (N)'!AM133*((L133-M133+L133)/2)*12,0)</f>
        <v>0</v>
      </c>
      <c r="AM133" s="71">
        <f ca="1">-AL133*'Invoer gegevens (N)'!$F$31</f>
        <v>0</v>
      </c>
      <c r="AN133" s="71">
        <f t="shared" ca="1" si="18"/>
        <v>0</v>
      </c>
      <c r="AO133" s="71">
        <f ca="1">IF(C133=1,(H133+J133+N133+P133)*'Reeksen (N)'!AN133,0)</f>
        <v>0</v>
      </c>
      <c r="AP133" s="71">
        <f ca="1">-IF(C133=1,(H133+J133+N133+P133)*'Hulp - basis'!$O$550*'Reeksen (N)'!H133,0)</f>
        <v>0</v>
      </c>
      <c r="AQ133" s="71">
        <f ca="1">-IF(C133=1,(F133+K133+L133+Q133)/2*'Invoer gegevens (N)'!$I$33*'Reeksen (N)'!J133,0)*2</f>
        <v>0</v>
      </c>
      <c r="AR133" s="71">
        <f ca="1">-IF(C133=1,(I133*'Invoer gegevens (N)'!$I$34)*'Reeksen (N)'!J133,0)</f>
        <v>0</v>
      </c>
      <c r="AS133" s="71">
        <f ca="1">-IF(C133=1,(F133+K133+L133+Q133)/2*'Invoer gegevens (N)'!$I$35*'Reeksen (N)'!L133,0)</f>
        <v>0</v>
      </c>
      <c r="AT133" s="71">
        <f ca="1">-IF(C133=1,IF(E133='Invoer gegevens (N)'!$C$17,'Invoer gegevens (N)'!$C$11,AD133)*'Reeksen (N)'!S133*'Invoer gegevens (N)'!$C$18*'Reeksen (N)'!P133,0)</f>
        <v>0</v>
      </c>
      <c r="AU133" s="71">
        <f ca="1">-IF(C133=1,(F133+K133+L133+Q133)/2*'Invoer gegevens (N)'!$I$36*'Reeksen (N)'!H133,0)</f>
        <v>0</v>
      </c>
      <c r="AV133" s="71">
        <v>0</v>
      </c>
      <c r="AW133" s="71">
        <f t="shared" ca="1" si="19"/>
        <v>0</v>
      </c>
      <c r="AX133" s="71">
        <f ca="1">IF(E133&lt;'Invoer gegevens (N)'!$C$17+15,0,IF(E133&gt;'Invoer gegevens (N)'!$C$17+215,0,AW133))</f>
        <v>0</v>
      </c>
      <c r="AY133" s="71">
        <f ca="1">AX133/(1+'Invoer gegevens (N)'!$F$18)^($AZ133-('Invoer gegevens (N)'!$C$17-'Invoer gegevens (N)'!$C$16))/(1+'Invoer gegevens (N)'!$C$39)^('Invoer gegevens (N)'!$C$17-'Invoer gegevens (N)'!$C$16)</f>
        <v>0</v>
      </c>
      <c r="AZ133" s="68">
        <f ca="1">IF(E133-'Invoer gegevens (N)'!$C$17-14.5&lt;0,0,E133-'Invoer gegevens (N)'!$C$17-14.5)</f>
        <v>113.5</v>
      </c>
    </row>
    <row r="134" spans="2:52" x14ac:dyDescent="0.25">
      <c r="B134" s="70">
        <f t="shared" si="20"/>
        <v>130</v>
      </c>
      <c r="C134" s="67">
        <f ca="1">IF(E134-'Invoer gegevens (N)'!$C$17&lt;0,0,1)</f>
        <v>1</v>
      </c>
      <c r="D134" s="68">
        <f t="shared" si="21"/>
        <v>129.5</v>
      </c>
      <c r="E134" s="108">
        <f ca="1">IF('Invoer gegevens (N)'!$C$16="","",E133+1)</f>
        <v>2148</v>
      </c>
      <c r="F134" s="84">
        <f ca="1">IF('Invoer gegevens (N)'!$C$17=E134,'Invoer gegevens (N)'!$C$10,IF(C134=1,K133,0))</f>
        <v>0</v>
      </c>
      <c r="G134" s="96">
        <f ca="1">IF(C134&gt;=1,F134*VLOOKUP(E134,'Reeksen (N)'!$A$5:$B$76,2),0)</f>
        <v>0</v>
      </c>
      <c r="H134" s="84">
        <f ca="1">(1-('Invoer gegevens (N)'!$F$20/12))*F134*MIN('Reeksen (N)'!B134,'Reeksen (N)'!D134)</f>
        <v>0</v>
      </c>
      <c r="I134" s="84">
        <f>IF('Reeksen (N)'!D134&lt;'Reeksen (N)'!B134,('Reeksen (N)'!B134-'Reeksen (N)'!D134)*F134,0)</f>
        <v>0</v>
      </c>
      <c r="J134" s="84">
        <f ca="1">('Invoer gegevens (N)'!$F$20/12)*F133*MIN('Reeksen (N)'!B133,'Reeksen (N)'!D133)</f>
        <v>0</v>
      </c>
      <c r="K134" s="97">
        <f t="shared" ref="K134:K197" ca="1" si="23">F134-G134</f>
        <v>0</v>
      </c>
      <c r="L134" s="84">
        <f ca="1">IF('Invoer gegevens (N)'!$C$17=E134,0,IF(C134=1,Q133,0))</f>
        <v>0</v>
      </c>
      <c r="M134" s="96">
        <f ca="1">IF(C134&gt;=1,L134*VLOOKUP(E134,'Reeksen (N)'!$A$5:$B$76,2),0)</f>
        <v>0</v>
      </c>
      <c r="N134" s="84">
        <f ca="1">(1-('Invoer gegevens (N)'!$F$20/12))*L134*MIN('Reeksen (N)'!B134,'Reeksen (N)'!D134)</f>
        <v>0</v>
      </c>
      <c r="O134" s="84">
        <f>IF('Reeksen (N)'!D134&lt;'Reeksen (N)'!B134,('Reeksen (N)'!B134-'Reeksen (N)'!D134)*L134,0)</f>
        <v>0</v>
      </c>
      <c r="P134" s="84">
        <f ca="1">('Invoer gegevens (N)'!$F$20/12)*L133*MIN('Reeksen (N)'!B133,'Reeksen (N)'!D133)</f>
        <v>0</v>
      </c>
      <c r="Q134" s="84">
        <f t="shared" ref="Q134:Q197" ca="1" si="24">L134-M134+I134+O134</f>
        <v>0</v>
      </c>
      <c r="R134" s="82">
        <f ca="1">IF('Invoer gegevens (N)'!$C$17=E134,'Invoer gegevens (N)'!$C$11,IF(C134=1,W133,0))</f>
        <v>0</v>
      </c>
      <c r="S134" s="86">
        <f ca="1">IF(C134&gt;=1,R134*VLOOKUP(E134,'Reeksen (N)'!$A$5:$B$76,2),0)</f>
        <v>0</v>
      </c>
      <c r="T134" s="84">
        <f ca="1">(1-('Invoer gegevens (N)'!$F$20/12))*R134*MIN('Reeksen (N)'!B134,'Reeksen (N)'!D134)</f>
        <v>0</v>
      </c>
      <c r="U134" s="84">
        <f>IF('Reeksen (N)'!D134&gt;='Reeksen (N)'!B134,0,IF('Reeksen (N)'!AK134&lt;='Reeksen (N)'!AE134,('Reeksen (N)'!B134-'Reeksen (N)'!D134)*R134,0))</f>
        <v>0</v>
      </c>
      <c r="V134" s="86">
        <f>IF('Reeksen (N)'!D134&gt;='Reeksen (N)'!B134,0,IF('Reeksen (N)'!AK134&gt;'Reeksen (N)'!AE134,('Reeksen (N)'!B134-'Reeksen (N)'!D134)*R134,0))</f>
        <v>0</v>
      </c>
      <c r="W134" s="97">
        <f t="shared" ref="W134:W197" ca="1" si="25">R134-S134</f>
        <v>0</v>
      </c>
      <c r="X134" s="98">
        <f ca="1">IF('Invoer gegevens (N)'!$C$17=E134,'Invoer gegevens (N)'!$C$10-'Invoer gegevens (N)'!$C$11,IF(C134=1,AC133,0))</f>
        <v>0</v>
      </c>
      <c r="Y134" s="98">
        <f ca="1">IF(C134&gt;=1,X134*VLOOKUP(E134,'Reeksen (N)'!$A$5:$B$76,2),0)</f>
        <v>0</v>
      </c>
      <c r="Z134" s="98">
        <f ca="1">(1-('Invoer gegevens (N)'!$F$20/12))*X134*MIN('Reeksen (N)'!B134,'Reeksen (N)'!D134)</f>
        <v>0</v>
      </c>
      <c r="AA134" s="98">
        <f>IF('Reeksen (N)'!D134&gt;='Reeksen (N)'!B134,0,IF('Reeksen (N)'!AK134&lt;='Reeksen (N)'!AE134,('Reeksen (N)'!B134-'Reeksen (N)'!D134)*X134,0))</f>
        <v>0</v>
      </c>
      <c r="AB134" s="98">
        <f>IF('Reeksen (N)'!D134&gt;='Reeksen (N)'!B134,0,IF('Reeksen (N)'!AK134&gt;'Reeksen (N)'!AE134,('Reeksen (N)'!B134-'Reeksen (N)'!D134)*X134,0))</f>
        <v>0</v>
      </c>
      <c r="AC134" s="99">
        <f t="shared" ref="AC134:AC197" ca="1" si="26">X134-Y134</f>
        <v>0</v>
      </c>
      <c r="AD134" s="98">
        <f ca="1">IF('Invoer gegevens (N)'!$C$17=E134,R134,IF(C134=0,0,AE133))</f>
        <v>0</v>
      </c>
      <c r="AE134" s="98">
        <f t="shared" ref="AE134:AE197" ca="1" si="27">IF(C134=0,0,AD134-S134-V134+AA134)</f>
        <v>0</v>
      </c>
      <c r="AF134" s="98">
        <f ca="1">IF('Invoer gegevens (N)'!$C$17=E134,X134,IF(C134=0,0,AG133))</f>
        <v>0</v>
      </c>
      <c r="AG134" s="98">
        <f t="shared" ref="AG134:AG197" ca="1" si="28">IF(C134=0,0,AF134-Y134-AA134+V134)</f>
        <v>0</v>
      </c>
      <c r="AH134" s="68"/>
      <c r="AI134" s="71">
        <f ca="1">IF(C134=1,'Reeksen (N)'!AJ134*((F134-G134+F134)/2)*12+'Reeksen (N)'!AK134*((L134-M134+L134)/2)*12,0)</f>
        <v>0</v>
      </c>
      <c r="AJ134" s="71">
        <f ca="1">-AI134*'Invoer gegevens (N)'!$F$28</f>
        <v>0</v>
      </c>
      <c r="AK134" s="71">
        <f t="shared" ca="1" si="22"/>
        <v>0</v>
      </c>
      <c r="AL134" s="71">
        <f ca="1">IF(C134=1,'Reeksen (N)'!AL134*((F134-G134+F134)/2)*12+'Reeksen (N)'!AM134*((L134-M134+L134)/2)*12,0)</f>
        <v>0</v>
      </c>
      <c r="AM134" s="71">
        <f ca="1">-AL134*'Invoer gegevens (N)'!$F$31</f>
        <v>0</v>
      </c>
      <c r="AN134" s="71">
        <f t="shared" ref="AN134:AN197" ca="1" si="29">AL134+AM134</f>
        <v>0</v>
      </c>
      <c r="AO134" s="71">
        <f ca="1">IF(C134=1,(H134+J134+N134+P134)*'Reeksen (N)'!AN134,0)</f>
        <v>0</v>
      </c>
      <c r="AP134" s="71">
        <f ca="1">-IF(C134=1,(H134+J134+N134+P134)*'Hulp - basis'!$O$550*'Reeksen (N)'!H134,0)</f>
        <v>0</v>
      </c>
      <c r="AQ134" s="71">
        <f ca="1">-IF(C134=1,(F134+K134+L134+Q134)/2*'Invoer gegevens (N)'!$I$33*'Reeksen (N)'!J134,0)*2</f>
        <v>0</v>
      </c>
      <c r="AR134" s="71">
        <f ca="1">-IF(C134=1,(I134*'Invoer gegevens (N)'!$I$34)*'Reeksen (N)'!J134,0)</f>
        <v>0</v>
      </c>
      <c r="AS134" s="71">
        <f ca="1">-IF(C134=1,(F134+K134+L134+Q134)/2*'Invoer gegevens (N)'!$I$35*'Reeksen (N)'!L134,0)</f>
        <v>0</v>
      </c>
      <c r="AT134" s="71">
        <f ca="1">-IF(C134=1,IF(E134='Invoer gegevens (N)'!$C$17,'Invoer gegevens (N)'!$C$11,AD134)*'Reeksen (N)'!S134*'Invoer gegevens (N)'!$C$18*'Reeksen (N)'!P134,0)</f>
        <v>0</v>
      </c>
      <c r="AU134" s="71">
        <f ca="1">-IF(C134=1,(F134+K134+L134+Q134)/2*'Invoer gegevens (N)'!$I$36*'Reeksen (N)'!H134,0)</f>
        <v>0</v>
      </c>
      <c r="AV134" s="71">
        <v>0</v>
      </c>
      <c r="AW134" s="71">
        <f t="shared" ref="AW134:AW197" ca="1" si="30">SUM(AK134,AN134:AV134)</f>
        <v>0</v>
      </c>
      <c r="AX134" s="71">
        <f ca="1">IF(E134&lt;'Invoer gegevens (N)'!$C$17+15,0,IF(E134&gt;'Invoer gegevens (N)'!$C$17+215,0,AW134))</f>
        <v>0</v>
      </c>
      <c r="AY134" s="71">
        <f ca="1">AX134/(1+'Invoer gegevens (N)'!$F$18)^($AZ134-('Invoer gegevens (N)'!$C$17-'Invoer gegevens (N)'!$C$16))/(1+'Invoer gegevens (N)'!$C$39)^('Invoer gegevens (N)'!$C$17-'Invoer gegevens (N)'!$C$16)</f>
        <v>0</v>
      </c>
      <c r="AZ134" s="68">
        <f ca="1">IF(E134-'Invoer gegevens (N)'!$C$17-14.5&lt;0,0,E134-'Invoer gegevens (N)'!$C$17-14.5)</f>
        <v>114.5</v>
      </c>
    </row>
    <row r="135" spans="2:52" x14ac:dyDescent="0.25">
      <c r="B135" s="70">
        <f t="shared" si="20"/>
        <v>131</v>
      </c>
      <c r="C135" s="67">
        <f ca="1">IF(E135-'Invoer gegevens (N)'!$C$17&lt;0,0,1)</f>
        <v>1</v>
      </c>
      <c r="D135" s="68">
        <f t="shared" si="21"/>
        <v>130.5</v>
      </c>
      <c r="E135" s="108">
        <f ca="1">IF('Invoer gegevens (N)'!$C$16="","",E134+1)</f>
        <v>2149</v>
      </c>
      <c r="F135" s="84">
        <f ca="1">IF('Invoer gegevens (N)'!$C$17=E135,'Invoer gegevens (N)'!$C$10,IF(C135=1,K134,0))</f>
        <v>0</v>
      </c>
      <c r="G135" s="96">
        <f ca="1">IF(C135&gt;=1,F135*VLOOKUP(E135,'Reeksen (N)'!$A$5:$B$76,2),0)</f>
        <v>0</v>
      </c>
      <c r="H135" s="84">
        <f ca="1">(1-('Invoer gegevens (N)'!$F$20/12))*F135*MIN('Reeksen (N)'!B135,'Reeksen (N)'!D135)</f>
        <v>0</v>
      </c>
      <c r="I135" s="84">
        <f>IF('Reeksen (N)'!D135&lt;'Reeksen (N)'!B135,('Reeksen (N)'!B135-'Reeksen (N)'!D135)*F135,0)</f>
        <v>0</v>
      </c>
      <c r="J135" s="84">
        <f ca="1">('Invoer gegevens (N)'!$F$20/12)*F134*MIN('Reeksen (N)'!B134,'Reeksen (N)'!D134)</f>
        <v>0</v>
      </c>
      <c r="K135" s="97">
        <f t="shared" ca="1" si="23"/>
        <v>0</v>
      </c>
      <c r="L135" s="84">
        <f ca="1">IF('Invoer gegevens (N)'!$C$17=E135,0,IF(C135=1,Q134,0))</f>
        <v>0</v>
      </c>
      <c r="M135" s="96">
        <f ca="1">IF(C135&gt;=1,L135*VLOOKUP(E135,'Reeksen (N)'!$A$5:$B$76,2),0)</f>
        <v>0</v>
      </c>
      <c r="N135" s="84">
        <f ca="1">(1-('Invoer gegevens (N)'!$F$20/12))*L135*MIN('Reeksen (N)'!B135,'Reeksen (N)'!D135)</f>
        <v>0</v>
      </c>
      <c r="O135" s="84">
        <f>IF('Reeksen (N)'!D135&lt;'Reeksen (N)'!B135,('Reeksen (N)'!B135-'Reeksen (N)'!D135)*L135,0)</f>
        <v>0</v>
      </c>
      <c r="P135" s="84">
        <f ca="1">('Invoer gegevens (N)'!$F$20/12)*L134*MIN('Reeksen (N)'!B134,'Reeksen (N)'!D134)</f>
        <v>0</v>
      </c>
      <c r="Q135" s="84">
        <f t="shared" ca="1" si="24"/>
        <v>0</v>
      </c>
      <c r="R135" s="82">
        <f ca="1">IF('Invoer gegevens (N)'!$C$17=E135,'Invoer gegevens (N)'!$C$11,IF(C135=1,W134,0))</f>
        <v>0</v>
      </c>
      <c r="S135" s="86">
        <f ca="1">IF(C135&gt;=1,R135*VLOOKUP(E135,'Reeksen (N)'!$A$5:$B$76,2),0)</f>
        <v>0</v>
      </c>
      <c r="T135" s="84">
        <f ca="1">(1-('Invoer gegevens (N)'!$F$20/12))*R135*MIN('Reeksen (N)'!B135,'Reeksen (N)'!D135)</f>
        <v>0</v>
      </c>
      <c r="U135" s="84">
        <f>IF('Reeksen (N)'!D135&gt;='Reeksen (N)'!B135,0,IF('Reeksen (N)'!AK135&lt;='Reeksen (N)'!AE135,('Reeksen (N)'!B135-'Reeksen (N)'!D135)*R135,0))</f>
        <v>0</v>
      </c>
      <c r="V135" s="86">
        <f>IF('Reeksen (N)'!D135&gt;='Reeksen (N)'!B135,0,IF('Reeksen (N)'!AK135&gt;'Reeksen (N)'!AE135,('Reeksen (N)'!B135-'Reeksen (N)'!D135)*R135,0))</f>
        <v>0</v>
      </c>
      <c r="W135" s="97">
        <f t="shared" ca="1" si="25"/>
        <v>0</v>
      </c>
      <c r="X135" s="98">
        <f ca="1">IF('Invoer gegevens (N)'!$C$17=E135,'Invoer gegevens (N)'!$C$10-'Invoer gegevens (N)'!$C$11,IF(C135=1,AC134,0))</f>
        <v>0</v>
      </c>
      <c r="Y135" s="98">
        <f ca="1">IF(C135&gt;=1,X135*VLOOKUP(E135,'Reeksen (N)'!$A$5:$B$76,2),0)</f>
        <v>0</v>
      </c>
      <c r="Z135" s="98">
        <f ca="1">(1-('Invoer gegevens (N)'!$F$20/12))*X135*MIN('Reeksen (N)'!B135,'Reeksen (N)'!D135)</f>
        <v>0</v>
      </c>
      <c r="AA135" s="98">
        <f>IF('Reeksen (N)'!D135&gt;='Reeksen (N)'!B135,0,IF('Reeksen (N)'!AK135&lt;='Reeksen (N)'!AE135,('Reeksen (N)'!B135-'Reeksen (N)'!D135)*X135,0))</f>
        <v>0</v>
      </c>
      <c r="AB135" s="98">
        <f>IF('Reeksen (N)'!D135&gt;='Reeksen (N)'!B135,0,IF('Reeksen (N)'!AK135&gt;'Reeksen (N)'!AE135,('Reeksen (N)'!B135-'Reeksen (N)'!D135)*X135,0))</f>
        <v>0</v>
      </c>
      <c r="AC135" s="99">
        <f t="shared" ca="1" si="26"/>
        <v>0</v>
      </c>
      <c r="AD135" s="98">
        <f ca="1">IF('Invoer gegevens (N)'!$C$17=E135,R135,IF(C135=0,0,AE134))</f>
        <v>0</v>
      </c>
      <c r="AE135" s="98">
        <f t="shared" ca="1" si="27"/>
        <v>0</v>
      </c>
      <c r="AF135" s="98">
        <f ca="1">IF('Invoer gegevens (N)'!$C$17=E135,X135,IF(C135=0,0,AG134))</f>
        <v>0</v>
      </c>
      <c r="AG135" s="98">
        <f t="shared" ca="1" si="28"/>
        <v>0</v>
      </c>
      <c r="AH135" s="68"/>
      <c r="AI135" s="71">
        <f ca="1">IF(C135=1,'Reeksen (N)'!AJ135*((F135-G135+F135)/2)*12+'Reeksen (N)'!AK135*((L135-M135+L135)/2)*12,0)</f>
        <v>0</v>
      </c>
      <c r="AJ135" s="71">
        <f ca="1">-AI135*'Invoer gegevens (N)'!$F$28</f>
        <v>0</v>
      </c>
      <c r="AK135" s="71">
        <f t="shared" ca="1" si="22"/>
        <v>0</v>
      </c>
      <c r="AL135" s="71">
        <f ca="1">IF(C135=1,'Reeksen (N)'!AL135*((F135-G135+F135)/2)*12+'Reeksen (N)'!AM135*((L135-M135+L135)/2)*12,0)</f>
        <v>0</v>
      </c>
      <c r="AM135" s="71">
        <f ca="1">-AL135*'Invoer gegevens (N)'!$F$31</f>
        <v>0</v>
      </c>
      <c r="AN135" s="71">
        <f t="shared" ca="1" si="29"/>
        <v>0</v>
      </c>
      <c r="AO135" s="71">
        <f ca="1">IF(C135=1,(H135+J135+N135+P135)*'Reeksen (N)'!AN135,0)</f>
        <v>0</v>
      </c>
      <c r="AP135" s="71">
        <f ca="1">-IF(C135=1,(H135+J135+N135+P135)*'Hulp - basis'!$O$550*'Reeksen (N)'!H135,0)</f>
        <v>0</v>
      </c>
      <c r="AQ135" s="71">
        <f ca="1">-IF(C135=1,(F135+K135+L135+Q135)/2*'Invoer gegevens (N)'!$I$33*'Reeksen (N)'!J135,0)*2</f>
        <v>0</v>
      </c>
      <c r="AR135" s="71">
        <f ca="1">-IF(C135=1,(I135*'Invoer gegevens (N)'!$I$34)*'Reeksen (N)'!J135,0)</f>
        <v>0</v>
      </c>
      <c r="AS135" s="71">
        <f ca="1">-IF(C135=1,(F135+K135+L135+Q135)/2*'Invoer gegevens (N)'!$I$35*'Reeksen (N)'!L135,0)</f>
        <v>0</v>
      </c>
      <c r="AT135" s="71">
        <f ca="1">-IF(C135=1,IF(E135='Invoer gegevens (N)'!$C$17,'Invoer gegevens (N)'!$C$11,AD135)*'Reeksen (N)'!S135*'Invoer gegevens (N)'!$C$18*'Reeksen (N)'!P135,0)</f>
        <v>0</v>
      </c>
      <c r="AU135" s="71">
        <f ca="1">-IF(C135=1,(F135+K135+L135+Q135)/2*'Invoer gegevens (N)'!$I$36*'Reeksen (N)'!H135,0)</f>
        <v>0</v>
      </c>
      <c r="AV135" s="71">
        <v>0</v>
      </c>
      <c r="AW135" s="71">
        <f t="shared" ca="1" si="30"/>
        <v>0</v>
      </c>
      <c r="AX135" s="71">
        <f ca="1">IF(E135&lt;'Invoer gegevens (N)'!$C$17+15,0,IF(E135&gt;'Invoer gegevens (N)'!$C$17+215,0,AW135))</f>
        <v>0</v>
      </c>
      <c r="AY135" s="71">
        <f ca="1">AX135/(1+'Invoer gegevens (N)'!$F$18)^($AZ135-('Invoer gegevens (N)'!$C$17-'Invoer gegevens (N)'!$C$16))/(1+'Invoer gegevens (N)'!$C$39)^('Invoer gegevens (N)'!$C$17-'Invoer gegevens (N)'!$C$16)</f>
        <v>0</v>
      </c>
      <c r="AZ135" s="68">
        <f ca="1">IF(E135-'Invoer gegevens (N)'!$C$17-14.5&lt;0,0,E135-'Invoer gegevens (N)'!$C$17-14.5)</f>
        <v>115.5</v>
      </c>
    </row>
    <row r="136" spans="2:52" x14ac:dyDescent="0.25">
      <c r="B136" s="70">
        <f t="shared" ref="B136:B199" si="31">B135+1</f>
        <v>132</v>
      </c>
      <c r="C136" s="67">
        <f ca="1">IF(E136-'Invoer gegevens (N)'!$C$17&lt;0,0,1)</f>
        <v>1</v>
      </c>
      <c r="D136" s="68">
        <f t="shared" ref="D136:D199" si="32">D135+1</f>
        <v>131.5</v>
      </c>
      <c r="E136" s="108">
        <f ca="1">IF('Invoer gegevens (N)'!$C$16="","",E135+1)</f>
        <v>2150</v>
      </c>
      <c r="F136" s="84">
        <f ca="1">IF('Invoer gegevens (N)'!$C$17=E136,'Invoer gegevens (N)'!$C$10,IF(C136=1,K135,0))</f>
        <v>0</v>
      </c>
      <c r="G136" s="96">
        <f ca="1">IF(C136&gt;=1,F136*VLOOKUP(E136,'Reeksen (N)'!$A$5:$B$76,2),0)</f>
        <v>0</v>
      </c>
      <c r="H136" s="84">
        <f ca="1">(1-('Invoer gegevens (N)'!$F$20/12))*F136*MIN('Reeksen (N)'!B136,'Reeksen (N)'!D136)</f>
        <v>0</v>
      </c>
      <c r="I136" s="84">
        <f>IF('Reeksen (N)'!D136&lt;'Reeksen (N)'!B136,('Reeksen (N)'!B136-'Reeksen (N)'!D136)*F136,0)</f>
        <v>0</v>
      </c>
      <c r="J136" s="84">
        <f ca="1">('Invoer gegevens (N)'!$F$20/12)*F135*MIN('Reeksen (N)'!B135,'Reeksen (N)'!D135)</f>
        <v>0</v>
      </c>
      <c r="K136" s="97">
        <f t="shared" ca="1" si="23"/>
        <v>0</v>
      </c>
      <c r="L136" s="84">
        <f ca="1">IF('Invoer gegevens (N)'!$C$17=E136,0,IF(C136=1,Q135,0))</f>
        <v>0</v>
      </c>
      <c r="M136" s="96">
        <f ca="1">IF(C136&gt;=1,L136*VLOOKUP(E136,'Reeksen (N)'!$A$5:$B$76,2),0)</f>
        <v>0</v>
      </c>
      <c r="N136" s="84">
        <f ca="1">(1-('Invoer gegevens (N)'!$F$20/12))*L136*MIN('Reeksen (N)'!B136,'Reeksen (N)'!D136)</f>
        <v>0</v>
      </c>
      <c r="O136" s="84">
        <f>IF('Reeksen (N)'!D136&lt;'Reeksen (N)'!B136,('Reeksen (N)'!B136-'Reeksen (N)'!D136)*L136,0)</f>
        <v>0</v>
      </c>
      <c r="P136" s="84">
        <f ca="1">('Invoer gegevens (N)'!$F$20/12)*L135*MIN('Reeksen (N)'!B135,'Reeksen (N)'!D135)</f>
        <v>0</v>
      </c>
      <c r="Q136" s="84">
        <f t="shared" ca="1" si="24"/>
        <v>0</v>
      </c>
      <c r="R136" s="82">
        <f ca="1">IF('Invoer gegevens (N)'!$C$17=E136,'Invoer gegevens (N)'!$C$11,IF(C136=1,W135,0))</f>
        <v>0</v>
      </c>
      <c r="S136" s="86">
        <f ca="1">IF(C136&gt;=1,R136*VLOOKUP(E136,'Reeksen (N)'!$A$5:$B$76,2),0)</f>
        <v>0</v>
      </c>
      <c r="T136" s="84">
        <f ca="1">(1-('Invoer gegevens (N)'!$F$20/12))*R136*MIN('Reeksen (N)'!B136,'Reeksen (N)'!D136)</f>
        <v>0</v>
      </c>
      <c r="U136" s="84">
        <f>IF('Reeksen (N)'!D136&gt;='Reeksen (N)'!B136,0,IF('Reeksen (N)'!AK136&lt;='Reeksen (N)'!AE136,('Reeksen (N)'!B136-'Reeksen (N)'!D136)*R136,0))</f>
        <v>0</v>
      </c>
      <c r="V136" s="86">
        <f>IF('Reeksen (N)'!D136&gt;='Reeksen (N)'!B136,0,IF('Reeksen (N)'!AK136&gt;'Reeksen (N)'!AE136,('Reeksen (N)'!B136-'Reeksen (N)'!D136)*R136,0))</f>
        <v>0</v>
      </c>
      <c r="W136" s="97">
        <f t="shared" ca="1" si="25"/>
        <v>0</v>
      </c>
      <c r="X136" s="98">
        <f ca="1">IF('Invoer gegevens (N)'!$C$17=E136,'Invoer gegevens (N)'!$C$10-'Invoer gegevens (N)'!$C$11,IF(C136=1,AC135,0))</f>
        <v>0</v>
      </c>
      <c r="Y136" s="98">
        <f ca="1">IF(C136&gt;=1,X136*VLOOKUP(E136,'Reeksen (N)'!$A$5:$B$76,2),0)</f>
        <v>0</v>
      </c>
      <c r="Z136" s="98">
        <f ca="1">(1-('Invoer gegevens (N)'!$F$20/12))*X136*MIN('Reeksen (N)'!B136,'Reeksen (N)'!D136)</f>
        <v>0</v>
      </c>
      <c r="AA136" s="98">
        <f>IF('Reeksen (N)'!D136&gt;='Reeksen (N)'!B136,0,IF('Reeksen (N)'!AK136&lt;='Reeksen (N)'!AE136,('Reeksen (N)'!B136-'Reeksen (N)'!D136)*X136,0))</f>
        <v>0</v>
      </c>
      <c r="AB136" s="98">
        <f>IF('Reeksen (N)'!D136&gt;='Reeksen (N)'!B136,0,IF('Reeksen (N)'!AK136&gt;'Reeksen (N)'!AE136,('Reeksen (N)'!B136-'Reeksen (N)'!D136)*X136,0))</f>
        <v>0</v>
      </c>
      <c r="AC136" s="99">
        <f t="shared" ca="1" si="26"/>
        <v>0</v>
      </c>
      <c r="AD136" s="98">
        <f ca="1">IF('Invoer gegevens (N)'!$C$17=E136,R136,IF(C136=0,0,AE135))</f>
        <v>0</v>
      </c>
      <c r="AE136" s="98">
        <f t="shared" ca="1" si="27"/>
        <v>0</v>
      </c>
      <c r="AF136" s="98">
        <f ca="1">IF('Invoer gegevens (N)'!$C$17=E136,X136,IF(C136=0,0,AG135))</f>
        <v>0</v>
      </c>
      <c r="AG136" s="98">
        <f t="shared" ca="1" si="28"/>
        <v>0</v>
      </c>
      <c r="AH136" s="68"/>
      <c r="AI136" s="71">
        <f ca="1">IF(C136=1,'Reeksen (N)'!AJ136*((F136-G136+F136)/2)*12+'Reeksen (N)'!AK136*((L136-M136+L136)/2)*12,0)</f>
        <v>0</v>
      </c>
      <c r="AJ136" s="71">
        <f ca="1">-AI136*'Invoer gegevens (N)'!$F$28</f>
        <v>0</v>
      </c>
      <c r="AK136" s="71">
        <f t="shared" ca="1" si="22"/>
        <v>0</v>
      </c>
      <c r="AL136" s="71">
        <f ca="1">IF(C136=1,'Reeksen (N)'!AL136*((F136-G136+F136)/2)*12+'Reeksen (N)'!AM136*((L136-M136+L136)/2)*12,0)</f>
        <v>0</v>
      </c>
      <c r="AM136" s="71">
        <f ca="1">-AL136*'Invoer gegevens (N)'!$F$31</f>
        <v>0</v>
      </c>
      <c r="AN136" s="71">
        <f t="shared" ca="1" si="29"/>
        <v>0</v>
      </c>
      <c r="AO136" s="71">
        <f ca="1">IF(C136=1,(H136+J136+N136+P136)*'Reeksen (N)'!AN136,0)</f>
        <v>0</v>
      </c>
      <c r="AP136" s="71">
        <f ca="1">-IF(C136=1,(H136+J136+N136+P136)*'Hulp - basis'!$O$550*'Reeksen (N)'!H136,0)</f>
        <v>0</v>
      </c>
      <c r="AQ136" s="71">
        <f ca="1">-IF(C136=1,(F136+K136+L136+Q136)/2*'Invoer gegevens (N)'!$I$33*'Reeksen (N)'!J136,0)*2</f>
        <v>0</v>
      </c>
      <c r="AR136" s="71">
        <f ca="1">-IF(C136=1,(I136*'Invoer gegevens (N)'!$I$34)*'Reeksen (N)'!J136,0)</f>
        <v>0</v>
      </c>
      <c r="AS136" s="71">
        <f ca="1">-IF(C136=1,(F136+K136+L136+Q136)/2*'Invoer gegevens (N)'!$I$35*'Reeksen (N)'!L136,0)</f>
        <v>0</v>
      </c>
      <c r="AT136" s="71">
        <f ca="1">-IF(C136=1,IF(E136='Invoer gegevens (N)'!$C$17,'Invoer gegevens (N)'!$C$11,AD136)*'Reeksen (N)'!S136*'Invoer gegevens (N)'!$C$18*'Reeksen (N)'!P136,0)</f>
        <v>0</v>
      </c>
      <c r="AU136" s="71">
        <f ca="1">-IF(C136=1,(F136+K136+L136+Q136)/2*'Invoer gegevens (N)'!$I$36*'Reeksen (N)'!H136,0)</f>
        <v>0</v>
      </c>
      <c r="AV136" s="71">
        <v>0</v>
      </c>
      <c r="AW136" s="71">
        <f t="shared" ca="1" si="30"/>
        <v>0</v>
      </c>
      <c r="AX136" s="71">
        <f ca="1">IF(E136&lt;'Invoer gegevens (N)'!$C$17+15,0,IF(E136&gt;'Invoer gegevens (N)'!$C$17+215,0,AW136))</f>
        <v>0</v>
      </c>
      <c r="AY136" s="71">
        <f ca="1">AX136/(1+'Invoer gegevens (N)'!$F$18)^($AZ136-('Invoer gegevens (N)'!$C$17-'Invoer gegevens (N)'!$C$16))/(1+'Invoer gegevens (N)'!$C$39)^('Invoer gegevens (N)'!$C$17-'Invoer gegevens (N)'!$C$16)</f>
        <v>0</v>
      </c>
      <c r="AZ136" s="68">
        <f ca="1">IF(E136-'Invoer gegevens (N)'!$C$17-14.5&lt;0,0,E136-'Invoer gegevens (N)'!$C$17-14.5)</f>
        <v>116.5</v>
      </c>
    </row>
    <row r="137" spans="2:52" x14ac:dyDescent="0.25">
      <c r="B137" s="70">
        <f t="shared" si="31"/>
        <v>133</v>
      </c>
      <c r="C137" s="67">
        <f ca="1">IF(E137-'Invoer gegevens (N)'!$C$17&lt;0,0,1)</f>
        <v>1</v>
      </c>
      <c r="D137" s="68">
        <f t="shared" si="32"/>
        <v>132.5</v>
      </c>
      <c r="E137" s="108">
        <f ca="1">IF('Invoer gegevens (N)'!$C$16="","",E136+1)</f>
        <v>2151</v>
      </c>
      <c r="F137" s="84">
        <f ca="1">IF('Invoer gegevens (N)'!$C$17=E137,'Invoer gegevens (N)'!$C$10,IF(C137=1,K136,0))</f>
        <v>0</v>
      </c>
      <c r="G137" s="96">
        <f ca="1">IF(C137&gt;=1,F137*VLOOKUP(E137,'Reeksen (N)'!$A$5:$B$76,2),0)</f>
        <v>0</v>
      </c>
      <c r="H137" s="84">
        <f ca="1">(1-('Invoer gegevens (N)'!$F$20/12))*F137*MIN('Reeksen (N)'!B137,'Reeksen (N)'!D137)</f>
        <v>0</v>
      </c>
      <c r="I137" s="84">
        <f>IF('Reeksen (N)'!D137&lt;'Reeksen (N)'!B137,('Reeksen (N)'!B137-'Reeksen (N)'!D137)*F137,0)</f>
        <v>0</v>
      </c>
      <c r="J137" s="84">
        <f ca="1">('Invoer gegevens (N)'!$F$20/12)*F136*MIN('Reeksen (N)'!B136,'Reeksen (N)'!D136)</f>
        <v>0</v>
      </c>
      <c r="K137" s="97">
        <f t="shared" ca="1" si="23"/>
        <v>0</v>
      </c>
      <c r="L137" s="84">
        <f ca="1">IF('Invoer gegevens (N)'!$C$17=E137,0,IF(C137=1,Q136,0))</f>
        <v>0</v>
      </c>
      <c r="M137" s="96">
        <f ca="1">IF(C137&gt;=1,L137*VLOOKUP(E137,'Reeksen (N)'!$A$5:$B$76,2),0)</f>
        <v>0</v>
      </c>
      <c r="N137" s="84">
        <f ca="1">(1-('Invoer gegevens (N)'!$F$20/12))*L137*MIN('Reeksen (N)'!B137,'Reeksen (N)'!D137)</f>
        <v>0</v>
      </c>
      <c r="O137" s="84">
        <f>IF('Reeksen (N)'!D137&lt;'Reeksen (N)'!B137,('Reeksen (N)'!B137-'Reeksen (N)'!D137)*L137,0)</f>
        <v>0</v>
      </c>
      <c r="P137" s="84">
        <f ca="1">('Invoer gegevens (N)'!$F$20/12)*L136*MIN('Reeksen (N)'!B136,'Reeksen (N)'!D136)</f>
        <v>0</v>
      </c>
      <c r="Q137" s="84">
        <f t="shared" ca="1" si="24"/>
        <v>0</v>
      </c>
      <c r="R137" s="82">
        <f ca="1">IF('Invoer gegevens (N)'!$C$17=E137,'Invoer gegevens (N)'!$C$11,IF(C137=1,W136,0))</f>
        <v>0</v>
      </c>
      <c r="S137" s="86">
        <f ca="1">IF(C137&gt;=1,R137*VLOOKUP(E137,'Reeksen (N)'!$A$5:$B$76,2),0)</f>
        <v>0</v>
      </c>
      <c r="T137" s="84">
        <f ca="1">(1-('Invoer gegevens (N)'!$F$20/12))*R137*MIN('Reeksen (N)'!B137,'Reeksen (N)'!D137)</f>
        <v>0</v>
      </c>
      <c r="U137" s="84">
        <f>IF('Reeksen (N)'!D137&gt;='Reeksen (N)'!B137,0,IF('Reeksen (N)'!AK137&lt;='Reeksen (N)'!AE137,('Reeksen (N)'!B137-'Reeksen (N)'!D137)*R137,0))</f>
        <v>0</v>
      </c>
      <c r="V137" s="86">
        <f>IF('Reeksen (N)'!D137&gt;='Reeksen (N)'!B137,0,IF('Reeksen (N)'!AK137&gt;'Reeksen (N)'!AE137,('Reeksen (N)'!B137-'Reeksen (N)'!D137)*R137,0))</f>
        <v>0</v>
      </c>
      <c r="W137" s="97">
        <f t="shared" ca="1" si="25"/>
        <v>0</v>
      </c>
      <c r="X137" s="98">
        <f ca="1">IF('Invoer gegevens (N)'!$C$17=E137,'Invoer gegevens (N)'!$C$10-'Invoer gegevens (N)'!$C$11,IF(C137=1,AC136,0))</f>
        <v>0</v>
      </c>
      <c r="Y137" s="98">
        <f ca="1">IF(C137&gt;=1,X137*VLOOKUP(E137,'Reeksen (N)'!$A$5:$B$76,2),0)</f>
        <v>0</v>
      </c>
      <c r="Z137" s="98">
        <f ca="1">(1-('Invoer gegevens (N)'!$F$20/12))*X137*MIN('Reeksen (N)'!B137,'Reeksen (N)'!D137)</f>
        <v>0</v>
      </c>
      <c r="AA137" s="98">
        <f>IF('Reeksen (N)'!D137&gt;='Reeksen (N)'!B137,0,IF('Reeksen (N)'!AK137&lt;='Reeksen (N)'!AE137,('Reeksen (N)'!B137-'Reeksen (N)'!D137)*X137,0))</f>
        <v>0</v>
      </c>
      <c r="AB137" s="98">
        <f>IF('Reeksen (N)'!D137&gt;='Reeksen (N)'!B137,0,IF('Reeksen (N)'!AK137&gt;'Reeksen (N)'!AE137,('Reeksen (N)'!B137-'Reeksen (N)'!D137)*X137,0))</f>
        <v>0</v>
      </c>
      <c r="AC137" s="99">
        <f t="shared" ca="1" si="26"/>
        <v>0</v>
      </c>
      <c r="AD137" s="98">
        <f ca="1">IF('Invoer gegevens (N)'!$C$17=E137,R137,IF(C137=0,0,AE136))</f>
        <v>0</v>
      </c>
      <c r="AE137" s="98">
        <f t="shared" ca="1" si="27"/>
        <v>0</v>
      </c>
      <c r="AF137" s="98">
        <f ca="1">IF('Invoer gegevens (N)'!$C$17=E137,X137,IF(C137=0,0,AG136))</f>
        <v>0</v>
      </c>
      <c r="AG137" s="98">
        <f t="shared" ca="1" si="28"/>
        <v>0</v>
      </c>
      <c r="AH137" s="68"/>
      <c r="AI137" s="71">
        <f ca="1">IF(C137=1,'Reeksen (N)'!AJ137*((F137-G137+F137)/2)*12+'Reeksen (N)'!AK137*((L137-M137+L137)/2)*12,0)</f>
        <v>0</v>
      </c>
      <c r="AJ137" s="71">
        <f ca="1">-AI137*'Invoer gegevens (N)'!$F$28</f>
        <v>0</v>
      </c>
      <c r="AK137" s="71">
        <f t="shared" ca="1" si="22"/>
        <v>0</v>
      </c>
      <c r="AL137" s="71">
        <f ca="1">IF(C137=1,'Reeksen (N)'!AL137*((F137-G137+F137)/2)*12+'Reeksen (N)'!AM137*((L137-M137+L137)/2)*12,0)</f>
        <v>0</v>
      </c>
      <c r="AM137" s="71">
        <f ca="1">-AL137*'Invoer gegevens (N)'!$F$31</f>
        <v>0</v>
      </c>
      <c r="AN137" s="71">
        <f t="shared" ca="1" si="29"/>
        <v>0</v>
      </c>
      <c r="AO137" s="71">
        <f ca="1">IF(C137=1,(H137+J137+N137+P137)*'Reeksen (N)'!AN137,0)</f>
        <v>0</v>
      </c>
      <c r="AP137" s="71">
        <f ca="1">-IF(C137=1,(H137+J137+N137+P137)*'Hulp - basis'!$O$550*'Reeksen (N)'!H137,0)</f>
        <v>0</v>
      </c>
      <c r="AQ137" s="71">
        <f ca="1">-IF(C137=1,(F137+K137+L137+Q137)/2*'Invoer gegevens (N)'!$I$33*'Reeksen (N)'!J137,0)*2</f>
        <v>0</v>
      </c>
      <c r="AR137" s="71">
        <f ca="1">-IF(C137=1,(I137*'Invoer gegevens (N)'!$I$34)*'Reeksen (N)'!J137,0)</f>
        <v>0</v>
      </c>
      <c r="AS137" s="71">
        <f ca="1">-IF(C137=1,(F137+K137+L137+Q137)/2*'Invoer gegevens (N)'!$I$35*'Reeksen (N)'!L137,0)</f>
        <v>0</v>
      </c>
      <c r="AT137" s="71">
        <f ca="1">-IF(C137=1,IF(E137='Invoer gegevens (N)'!$C$17,'Invoer gegevens (N)'!$C$11,AD137)*'Reeksen (N)'!S137*'Invoer gegevens (N)'!$C$18*'Reeksen (N)'!P137,0)</f>
        <v>0</v>
      </c>
      <c r="AU137" s="71">
        <f ca="1">-IF(C137=1,(F137+K137+L137+Q137)/2*'Invoer gegevens (N)'!$I$36*'Reeksen (N)'!H137,0)</f>
        <v>0</v>
      </c>
      <c r="AV137" s="71">
        <v>0</v>
      </c>
      <c r="AW137" s="71">
        <f t="shared" ca="1" si="30"/>
        <v>0</v>
      </c>
      <c r="AX137" s="71">
        <f ca="1">IF(E137&lt;'Invoer gegevens (N)'!$C$17+15,0,IF(E137&gt;'Invoer gegevens (N)'!$C$17+215,0,AW137))</f>
        <v>0</v>
      </c>
      <c r="AY137" s="71">
        <f ca="1">AX137/(1+'Invoer gegevens (N)'!$F$18)^($AZ137-('Invoer gegevens (N)'!$C$17-'Invoer gegevens (N)'!$C$16))/(1+'Invoer gegevens (N)'!$C$39)^('Invoer gegevens (N)'!$C$17-'Invoer gegevens (N)'!$C$16)</f>
        <v>0</v>
      </c>
      <c r="AZ137" s="68">
        <f ca="1">IF(E137-'Invoer gegevens (N)'!$C$17-14.5&lt;0,0,E137-'Invoer gegevens (N)'!$C$17-14.5)</f>
        <v>117.5</v>
      </c>
    </row>
    <row r="138" spans="2:52" x14ac:dyDescent="0.25">
      <c r="B138" s="70">
        <f t="shared" si="31"/>
        <v>134</v>
      </c>
      <c r="C138" s="67">
        <f ca="1">IF(E138-'Invoer gegevens (N)'!$C$17&lt;0,0,1)</f>
        <v>1</v>
      </c>
      <c r="D138" s="68">
        <f t="shared" si="32"/>
        <v>133.5</v>
      </c>
      <c r="E138" s="108">
        <f ca="1">IF('Invoer gegevens (N)'!$C$16="","",E137+1)</f>
        <v>2152</v>
      </c>
      <c r="F138" s="84">
        <f ca="1">IF('Invoer gegevens (N)'!$C$17=E138,'Invoer gegevens (N)'!$C$10,IF(C138=1,K137,0))</f>
        <v>0</v>
      </c>
      <c r="G138" s="96">
        <f ca="1">IF(C138&gt;=1,F138*VLOOKUP(E138,'Reeksen (N)'!$A$5:$B$76,2),0)</f>
        <v>0</v>
      </c>
      <c r="H138" s="84">
        <f ca="1">(1-('Invoer gegevens (N)'!$F$20/12))*F138*MIN('Reeksen (N)'!B138,'Reeksen (N)'!D138)</f>
        <v>0</v>
      </c>
      <c r="I138" s="84">
        <f>IF('Reeksen (N)'!D138&lt;'Reeksen (N)'!B138,('Reeksen (N)'!B138-'Reeksen (N)'!D138)*F138,0)</f>
        <v>0</v>
      </c>
      <c r="J138" s="84">
        <f ca="1">('Invoer gegevens (N)'!$F$20/12)*F137*MIN('Reeksen (N)'!B137,'Reeksen (N)'!D137)</f>
        <v>0</v>
      </c>
      <c r="K138" s="97">
        <f t="shared" ca="1" si="23"/>
        <v>0</v>
      </c>
      <c r="L138" s="84">
        <f ca="1">IF('Invoer gegevens (N)'!$C$17=E138,0,IF(C138=1,Q137,0))</f>
        <v>0</v>
      </c>
      <c r="M138" s="96">
        <f ca="1">IF(C138&gt;=1,L138*VLOOKUP(E138,'Reeksen (N)'!$A$5:$B$76,2),0)</f>
        <v>0</v>
      </c>
      <c r="N138" s="84">
        <f ca="1">(1-('Invoer gegevens (N)'!$F$20/12))*L138*MIN('Reeksen (N)'!B138,'Reeksen (N)'!D138)</f>
        <v>0</v>
      </c>
      <c r="O138" s="84">
        <f>IF('Reeksen (N)'!D138&lt;'Reeksen (N)'!B138,('Reeksen (N)'!B138-'Reeksen (N)'!D138)*L138,0)</f>
        <v>0</v>
      </c>
      <c r="P138" s="84">
        <f ca="1">('Invoer gegevens (N)'!$F$20/12)*L137*MIN('Reeksen (N)'!B137,'Reeksen (N)'!D137)</f>
        <v>0</v>
      </c>
      <c r="Q138" s="84">
        <f t="shared" ca="1" si="24"/>
        <v>0</v>
      </c>
      <c r="R138" s="82">
        <f ca="1">IF('Invoer gegevens (N)'!$C$17=E138,'Invoer gegevens (N)'!$C$11,IF(C138=1,W137,0))</f>
        <v>0</v>
      </c>
      <c r="S138" s="86">
        <f ca="1">IF(C138&gt;=1,R138*VLOOKUP(E138,'Reeksen (N)'!$A$5:$B$76,2),0)</f>
        <v>0</v>
      </c>
      <c r="T138" s="84">
        <f ca="1">(1-('Invoer gegevens (N)'!$F$20/12))*R138*MIN('Reeksen (N)'!B138,'Reeksen (N)'!D138)</f>
        <v>0</v>
      </c>
      <c r="U138" s="84">
        <f>IF('Reeksen (N)'!D138&gt;='Reeksen (N)'!B138,0,IF('Reeksen (N)'!AK138&lt;='Reeksen (N)'!AE138,('Reeksen (N)'!B138-'Reeksen (N)'!D138)*R138,0))</f>
        <v>0</v>
      </c>
      <c r="V138" s="86">
        <f>IF('Reeksen (N)'!D138&gt;='Reeksen (N)'!B138,0,IF('Reeksen (N)'!AK138&gt;'Reeksen (N)'!AE138,('Reeksen (N)'!B138-'Reeksen (N)'!D138)*R138,0))</f>
        <v>0</v>
      </c>
      <c r="W138" s="97">
        <f t="shared" ca="1" si="25"/>
        <v>0</v>
      </c>
      <c r="X138" s="98">
        <f ca="1">IF('Invoer gegevens (N)'!$C$17=E138,'Invoer gegevens (N)'!$C$10-'Invoer gegevens (N)'!$C$11,IF(C138=1,AC137,0))</f>
        <v>0</v>
      </c>
      <c r="Y138" s="98">
        <f ca="1">IF(C138&gt;=1,X138*VLOOKUP(E138,'Reeksen (N)'!$A$5:$B$76,2),0)</f>
        <v>0</v>
      </c>
      <c r="Z138" s="98">
        <f ca="1">(1-('Invoer gegevens (N)'!$F$20/12))*X138*MIN('Reeksen (N)'!B138,'Reeksen (N)'!D138)</f>
        <v>0</v>
      </c>
      <c r="AA138" s="98">
        <f>IF('Reeksen (N)'!D138&gt;='Reeksen (N)'!B138,0,IF('Reeksen (N)'!AK138&lt;='Reeksen (N)'!AE138,('Reeksen (N)'!B138-'Reeksen (N)'!D138)*X138,0))</f>
        <v>0</v>
      </c>
      <c r="AB138" s="98">
        <f>IF('Reeksen (N)'!D138&gt;='Reeksen (N)'!B138,0,IF('Reeksen (N)'!AK138&gt;'Reeksen (N)'!AE138,('Reeksen (N)'!B138-'Reeksen (N)'!D138)*X138,0))</f>
        <v>0</v>
      </c>
      <c r="AC138" s="99">
        <f t="shared" ca="1" si="26"/>
        <v>0</v>
      </c>
      <c r="AD138" s="98">
        <f ca="1">IF('Invoer gegevens (N)'!$C$17=E138,R138,IF(C138=0,0,AE137))</f>
        <v>0</v>
      </c>
      <c r="AE138" s="98">
        <f t="shared" ca="1" si="27"/>
        <v>0</v>
      </c>
      <c r="AF138" s="98">
        <f ca="1">IF('Invoer gegevens (N)'!$C$17=E138,X138,IF(C138=0,0,AG137))</f>
        <v>0</v>
      </c>
      <c r="AG138" s="98">
        <f t="shared" ca="1" si="28"/>
        <v>0</v>
      </c>
      <c r="AH138" s="68"/>
      <c r="AI138" s="71">
        <f ca="1">IF(C138=1,'Reeksen (N)'!AJ138*((F138-G138+F138)/2)*12+'Reeksen (N)'!AK138*((L138-M138+L138)/2)*12,0)</f>
        <v>0</v>
      </c>
      <c r="AJ138" s="71">
        <f ca="1">-AI138*'Invoer gegevens (N)'!$F$28</f>
        <v>0</v>
      </c>
      <c r="AK138" s="71">
        <f t="shared" ca="1" si="22"/>
        <v>0</v>
      </c>
      <c r="AL138" s="71">
        <f ca="1">IF(C138=1,'Reeksen (N)'!AL138*((F138-G138+F138)/2)*12+'Reeksen (N)'!AM138*((L138-M138+L138)/2)*12,0)</f>
        <v>0</v>
      </c>
      <c r="AM138" s="71">
        <f ca="1">-AL138*'Invoer gegevens (N)'!$F$31</f>
        <v>0</v>
      </c>
      <c r="AN138" s="71">
        <f t="shared" ca="1" si="29"/>
        <v>0</v>
      </c>
      <c r="AO138" s="71">
        <f ca="1">IF(C138=1,(H138+J138+N138+P138)*'Reeksen (N)'!AN138,0)</f>
        <v>0</v>
      </c>
      <c r="AP138" s="71">
        <f ca="1">-IF(C138=1,(H138+J138+N138+P138)*'Hulp - basis'!$O$550*'Reeksen (N)'!H138,0)</f>
        <v>0</v>
      </c>
      <c r="AQ138" s="71">
        <f ca="1">-IF(C138=1,(F138+K138+L138+Q138)/2*'Invoer gegevens (N)'!$I$33*'Reeksen (N)'!J138,0)*2</f>
        <v>0</v>
      </c>
      <c r="AR138" s="71">
        <f ca="1">-IF(C138=1,(I138*'Invoer gegevens (N)'!$I$34)*'Reeksen (N)'!J138,0)</f>
        <v>0</v>
      </c>
      <c r="AS138" s="71">
        <f ca="1">-IF(C138=1,(F138+K138+L138+Q138)/2*'Invoer gegevens (N)'!$I$35*'Reeksen (N)'!L138,0)</f>
        <v>0</v>
      </c>
      <c r="AT138" s="71">
        <f ca="1">-IF(C138=1,IF(E138='Invoer gegevens (N)'!$C$17,'Invoer gegevens (N)'!$C$11,AD138)*'Reeksen (N)'!S138*'Invoer gegevens (N)'!$C$18*'Reeksen (N)'!P138,0)</f>
        <v>0</v>
      </c>
      <c r="AU138" s="71">
        <f ca="1">-IF(C138=1,(F138+K138+L138+Q138)/2*'Invoer gegevens (N)'!$I$36*'Reeksen (N)'!H138,0)</f>
        <v>0</v>
      </c>
      <c r="AV138" s="71">
        <v>0</v>
      </c>
      <c r="AW138" s="71">
        <f t="shared" ca="1" si="30"/>
        <v>0</v>
      </c>
      <c r="AX138" s="71">
        <f ca="1">IF(E138&lt;'Invoer gegevens (N)'!$C$17+15,0,IF(E138&gt;'Invoer gegevens (N)'!$C$17+215,0,AW138))</f>
        <v>0</v>
      </c>
      <c r="AY138" s="71">
        <f ca="1">AX138/(1+'Invoer gegevens (N)'!$F$18)^($AZ138-('Invoer gegevens (N)'!$C$17-'Invoer gegevens (N)'!$C$16))/(1+'Invoer gegevens (N)'!$C$39)^('Invoer gegevens (N)'!$C$17-'Invoer gegevens (N)'!$C$16)</f>
        <v>0</v>
      </c>
      <c r="AZ138" s="68">
        <f ca="1">IF(E138-'Invoer gegevens (N)'!$C$17-14.5&lt;0,0,E138-'Invoer gegevens (N)'!$C$17-14.5)</f>
        <v>118.5</v>
      </c>
    </row>
    <row r="139" spans="2:52" x14ac:dyDescent="0.25">
      <c r="B139" s="70">
        <f t="shared" si="31"/>
        <v>135</v>
      </c>
      <c r="C139" s="67">
        <f ca="1">IF(E139-'Invoer gegevens (N)'!$C$17&lt;0,0,1)</f>
        <v>1</v>
      </c>
      <c r="D139" s="68">
        <f t="shared" si="32"/>
        <v>134.5</v>
      </c>
      <c r="E139" s="108">
        <f ca="1">IF('Invoer gegevens (N)'!$C$16="","",E138+1)</f>
        <v>2153</v>
      </c>
      <c r="F139" s="84">
        <f ca="1">IF('Invoer gegevens (N)'!$C$17=E139,'Invoer gegevens (N)'!$C$10,IF(C139=1,K138,0))</f>
        <v>0</v>
      </c>
      <c r="G139" s="96">
        <f ca="1">IF(C139&gt;=1,F139*VLOOKUP(E139,'Reeksen (N)'!$A$5:$B$76,2),0)</f>
        <v>0</v>
      </c>
      <c r="H139" s="84">
        <f ca="1">(1-('Invoer gegevens (N)'!$F$20/12))*F139*MIN('Reeksen (N)'!B139,'Reeksen (N)'!D139)</f>
        <v>0</v>
      </c>
      <c r="I139" s="84">
        <f>IF('Reeksen (N)'!D139&lt;'Reeksen (N)'!B139,('Reeksen (N)'!B139-'Reeksen (N)'!D139)*F139,0)</f>
        <v>0</v>
      </c>
      <c r="J139" s="84">
        <f ca="1">('Invoer gegevens (N)'!$F$20/12)*F138*MIN('Reeksen (N)'!B138,'Reeksen (N)'!D138)</f>
        <v>0</v>
      </c>
      <c r="K139" s="97">
        <f t="shared" ca="1" si="23"/>
        <v>0</v>
      </c>
      <c r="L139" s="84">
        <f ca="1">IF('Invoer gegevens (N)'!$C$17=E139,0,IF(C139=1,Q138,0))</f>
        <v>0</v>
      </c>
      <c r="M139" s="96">
        <f ca="1">IF(C139&gt;=1,L139*VLOOKUP(E139,'Reeksen (N)'!$A$5:$B$76,2),0)</f>
        <v>0</v>
      </c>
      <c r="N139" s="84">
        <f ca="1">(1-('Invoer gegevens (N)'!$F$20/12))*L139*MIN('Reeksen (N)'!B139,'Reeksen (N)'!D139)</f>
        <v>0</v>
      </c>
      <c r="O139" s="84">
        <f>IF('Reeksen (N)'!D139&lt;'Reeksen (N)'!B139,('Reeksen (N)'!B139-'Reeksen (N)'!D139)*L139,0)</f>
        <v>0</v>
      </c>
      <c r="P139" s="84">
        <f ca="1">('Invoer gegevens (N)'!$F$20/12)*L138*MIN('Reeksen (N)'!B138,'Reeksen (N)'!D138)</f>
        <v>0</v>
      </c>
      <c r="Q139" s="84">
        <f t="shared" ca="1" si="24"/>
        <v>0</v>
      </c>
      <c r="R139" s="82">
        <f ca="1">IF('Invoer gegevens (N)'!$C$17=E139,'Invoer gegevens (N)'!$C$11,IF(C139=1,W138,0))</f>
        <v>0</v>
      </c>
      <c r="S139" s="86">
        <f ca="1">IF(C139&gt;=1,R139*VLOOKUP(E139,'Reeksen (N)'!$A$5:$B$76,2),0)</f>
        <v>0</v>
      </c>
      <c r="T139" s="84">
        <f ca="1">(1-('Invoer gegevens (N)'!$F$20/12))*R139*MIN('Reeksen (N)'!B139,'Reeksen (N)'!D139)</f>
        <v>0</v>
      </c>
      <c r="U139" s="84">
        <f>IF('Reeksen (N)'!D139&gt;='Reeksen (N)'!B139,0,IF('Reeksen (N)'!AK139&lt;='Reeksen (N)'!AE139,('Reeksen (N)'!B139-'Reeksen (N)'!D139)*R139,0))</f>
        <v>0</v>
      </c>
      <c r="V139" s="86">
        <f>IF('Reeksen (N)'!D139&gt;='Reeksen (N)'!B139,0,IF('Reeksen (N)'!AK139&gt;'Reeksen (N)'!AE139,('Reeksen (N)'!B139-'Reeksen (N)'!D139)*R139,0))</f>
        <v>0</v>
      </c>
      <c r="W139" s="97">
        <f t="shared" ca="1" si="25"/>
        <v>0</v>
      </c>
      <c r="X139" s="98">
        <f ca="1">IF('Invoer gegevens (N)'!$C$17=E139,'Invoer gegevens (N)'!$C$10-'Invoer gegevens (N)'!$C$11,IF(C139=1,AC138,0))</f>
        <v>0</v>
      </c>
      <c r="Y139" s="98">
        <f ca="1">IF(C139&gt;=1,X139*VLOOKUP(E139,'Reeksen (N)'!$A$5:$B$76,2),0)</f>
        <v>0</v>
      </c>
      <c r="Z139" s="98">
        <f ca="1">(1-('Invoer gegevens (N)'!$F$20/12))*X139*MIN('Reeksen (N)'!B139,'Reeksen (N)'!D139)</f>
        <v>0</v>
      </c>
      <c r="AA139" s="98">
        <f>IF('Reeksen (N)'!D139&gt;='Reeksen (N)'!B139,0,IF('Reeksen (N)'!AK139&lt;='Reeksen (N)'!AE139,('Reeksen (N)'!B139-'Reeksen (N)'!D139)*X139,0))</f>
        <v>0</v>
      </c>
      <c r="AB139" s="98">
        <f>IF('Reeksen (N)'!D139&gt;='Reeksen (N)'!B139,0,IF('Reeksen (N)'!AK139&gt;'Reeksen (N)'!AE139,('Reeksen (N)'!B139-'Reeksen (N)'!D139)*X139,0))</f>
        <v>0</v>
      </c>
      <c r="AC139" s="99">
        <f t="shared" ca="1" si="26"/>
        <v>0</v>
      </c>
      <c r="AD139" s="98">
        <f ca="1">IF('Invoer gegevens (N)'!$C$17=E139,R139,IF(C139=0,0,AE138))</f>
        <v>0</v>
      </c>
      <c r="AE139" s="98">
        <f t="shared" ca="1" si="27"/>
        <v>0</v>
      </c>
      <c r="AF139" s="98">
        <f ca="1">IF('Invoer gegevens (N)'!$C$17=E139,X139,IF(C139=0,0,AG138))</f>
        <v>0</v>
      </c>
      <c r="AG139" s="98">
        <f t="shared" ca="1" si="28"/>
        <v>0</v>
      </c>
      <c r="AH139" s="68"/>
      <c r="AI139" s="71">
        <f ca="1">IF(C139=1,'Reeksen (N)'!AJ139*((F139-G139+F139)/2)*12+'Reeksen (N)'!AK139*((L139-M139+L139)/2)*12,0)</f>
        <v>0</v>
      </c>
      <c r="AJ139" s="71">
        <f ca="1">-AI139*'Invoer gegevens (N)'!$F$28</f>
        <v>0</v>
      </c>
      <c r="AK139" s="71">
        <f t="shared" ca="1" si="22"/>
        <v>0</v>
      </c>
      <c r="AL139" s="71">
        <f ca="1">IF(C139=1,'Reeksen (N)'!AL139*((F139-G139+F139)/2)*12+'Reeksen (N)'!AM139*((L139-M139+L139)/2)*12,0)</f>
        <v>0</v>
      </c>
      <c r="AM139" s="71">
        <f ca="1">-AL139*'Invoer gegevens (N)'!$F$31</f>
        <v>0</v>
      </c>
      <c r="AN139" s="71">
        <f t="shared" ca="1" si="29"/>
        <v>0</v>
      </c>
      <c r="AO139" s="71">
        <f ca="1">IF(C139=1,(H139+J139+N139+P139)*'Reeksen (N)'!AN139,0)</f>
        <v>0</v>
      </c>
      <c r="AP139" s="71">
        <f ca="1">-IF(C139=1,(H139+J139+N139+P139)*'Hulp - basis'!$O$550*'Reeksen (N)'!H139,0)</f>
        <v>0</v>
      </c>
      <c r="AQ139" s="71">
        <f ca="1">-IF(C139=1,(F139+K139+L139+Q139)/2*'Invoer gegevens (N)'!$I$33*'Reeksen (N)'!J139,0)*2</f>
        <v>0</v>
      </c>
      <c r="AR139" s="71">
        <f ca="1">-IF(C139=1,(I139*'Invoer gegevens (N)'!$I$34)*'Reeksen (N)'!J139,0)</f>
        <v>0</v>
      </c>
      <c r="AS139" s="71">
        <f ca="1">-IF(C139=1,(F139+K139+L139+Q139)/2*'Invoer gegevens (N)'!$I$35*'Reeksen (N)'!L139,0)</f>
        <v>0</v>
      </c>
      <c r="AT139" s="71">
        <f ca="1">-IF(C139=1,IF(E139='Invoer gegevens (N)'!$C$17,'Invoer gegevens (N)'!$C$11,AD139)*'Reeksen (N)'!S139*'Invoer gegevens (N)'!$C$18*'Reeksen (N)'!P139,0)</f>
        <v>0</v>
      </c>
      <c r="AU139" s="71">
        <f ca="1">-IF(C139=1,(F139+K139+L139+Q139)/2*'Invoer gegevens (N)'!$I$36*'Reeksen (N)'!H139,0)</f>
        <v>0</v>
      </c>
      <c r="AV139" s="71">
        <v>0</v>
      </c>
      <c r="AW139" s="71">
        <f t="shared" ca="1" si="30"/>
        <v>0</v>
      </c>
      <c r="AX139" s="71">
        <f ca="1">IF(E139&lt;'Invoer gegevens (N)'!$C$17+15,0,IF(E139&gt;'Invoer gegevens (N)'!$C$17+215,0,AW139))</f>
        <v>0</v>
      </c>
      <c r="AY139" s="71">
        <f ca="1">AX139/(1+'Invoer gegevens (N)'!$F$18)^($AZ139-('Invoer gegevens (N)'!$C$17-'Invoer gegevens (N)'!$C$16))/(1+'Invoer gegevens (N)'!$C$39)^('Invoer gegevens (N)'!$C$17-'Invoer gegevens (N)'!$C$16)</f>
        <v>0</v>
      </c>
      <c r="AZ139" s="68">
        <f ca="1">IF(E139-'Invoer gegevens (N)'!$C$17-14.5&lt;0,0,E139-'Invoer gegevens (N)'!$C$17-14.5)</f>
        <v>119.5</v>
      </c>
    </row>
    <row r="140" spans="2:52" x14ac:dyDescent="0.25">
      <c r="B140" s="70">
        <f t="shared" si="31"/>
        <v>136</v>
      </c>
      <c r="C140" s="67">
        <f ca="1">IF(E140-'Invoer gegevens (N)'!$C$17&lt;0,0,1)</f>
        <v>1</v>
      </c>
      <c r="D140" s="68">
        <f t="shared" si="32"/>
        <v>135.5</v>
      </c>
      <c r="E140" s="108">
        <f ca="1">IF('Invoer gegevens (N)'!$C$16="","",E139+1)</f>
        <v>2154</v>
      </c>
      <c r="F140" s="84">
        <f ca="1">IF('Invoer gegevens (N)'!$C$17=E140,'Invoer gegevens (N)'!$C$10,IF(C140=1,K139,0))</f>
        <v>0</v>
      </c>
      <c r="G140" s="96">
        <f ca="1">IF(C140&gt;=1,F140*VLOOKUP(E140,'Reeksen (N)'!$A$5:$B$76,2),0)</f>
        <v>0</v>
      </c>
      <c r="H140" s="84">
        <f ca="1">(1-('Invoer gegevens (N)'!$F$20/12))*F140*MIN('Reeksen (N)'!B140,'Reeksen (N)'!D140)</f>
        <v>0</v>
      </c>
      <c r="I140" s="84">
        <f>IF('Reeksen (N)'!D140&lt;'Reeksen (N)'!B140,('Reeksen (N)'!B140-'Reeksen (N)'!D140)*F140,0)</f>
        <v>0</v>
      </c>
      <c r="J140" s="84">
        <f ca="1">('Invoer gegevens (N)'!$F$20/12)*F139*MIN('Reeksen (N)'!B139,'Reeksen (N)'!D139)</f>
        <v>0</v>
      </c>
      <c r="K140" s="97">
        <f t="shared" ca="1" si="23"/>
        <v>0</v>
      </c>
      <c r="L140" s="84">
        <f ca="1">IF('Invoer gegevens (N)'!$C$17=E140,0,IF(C140=1,Q139,0))</f>
        <v>0</v>
      </c>
      <c r="M140" s="96">
        <f ca="1">IF(C140&gt;=1,L140*VLOOKUP(E140,'Reeksen (N)'!$A$5:$B$76,2),0)</f>
        <v>0</v>
      </c>
      <c r="N140" s="84">
        <f ca="1">(1-('Invoer gegevens (N)'!$F$20/12))*L140*MIN('Reeksen (N)'!B140,'Reeksen (N)'!D140)</f>
        <v>0</v>
      </c>
      <c r="O140" s="84">
        <f>IF('Reeksen (N)'!D140&lt;'Reeksen (N)'!B140,('Reeksen (N)'!B140-'Reeksen (N)'!D140)*L140,0)</f>
        <v>0</v>
      </c>
      <c r="P140" s="84">
        <f ca="1">('Invoer gegevens (N)'!$F$20/12)*L139*MIN('Reeksen (N)'!B139,'Reeksen (N)'!D139)</f>
        <v>0</v>
      </c>
      <c r="Q140" s="84">
        <f t="shared" ca="1" si="24"/>
        <v>0</v>
      </c>
      <c r="R140" s="82">
        <f ca="1">IF('Invoer gegevens (N)'!$C$17=E140,'Invoer gegevens (N)'!$C$11,IF(C140=1,W139,0))</f>
        <v>0</v>
      </c>
      <c r="S140" s="86">
        <f ca="1">IF(C140&gt;=1,R140*VLOOKUP(E140,'Reeksen (N)'!$A$5:$B$76,2),0)</f>
        <v>0</v>
      </c>
      <c r="T140" s="84">
        <f ca="1">(1-('Invoer gegevens (N)'!$F$20/12))*R140*MIN('Reeksen (N)'!B140,'Reeksen (N)'!D140)</f>
        <v>0</v>
      </c>
      <c r="U140" s="84">
        <f>IF('Reeksen (N)'!D140&gt;='Reeksen (N)'!B140,0,IF('Reeksen (N)'!AK140&lt;='Reeksen (N)'!AE140,('Reeksen (N)'!B140-'Reeksen (N)'!D140)*R140,0))</f>
        <v>0</v>
      </c>
      <c r="V140" s="86">
        <f>IF('Reeksen (N)'!D140&gt;='Reeksen (N)'!B140,0,IF('Reeksen (N)'!AK140&gt;'Reeksen (N)'!AE140,('Reeksen (N)'!B140-'Reeksen (N)'!D140)*R140,0))</f>
        <v>0</v>
      </c>
      <c r="W140" s="97">
        <f t="shared" ca="1" si="25"/>
        <v>0</v>
      </c>
      <c r="X140" s="98">
        <f ca="1">IF('Invoer gegevens (N)'!$C$17=E140,'Invoer gegevens (N)'!$C$10-'Invoer gegevens (N)'!$C$11,IF(C140=1,AC139,0))</f>
        <v>0</v>
      </c>
      <c r="Y140" s="98">
        <f ca="1">IF(C140&gt;=1,X140*VLOOKUP(E140,'Reeksen (N)'!$A$5:$B$76,2),0)</f>
        <v>0</v>
      </c>
      <c r="Z140" s="98">
        <f ca="1">(1-('Invoer gegevens (N)'!$F$20/12))*X140*MIN('Reeksen (N)'!B140,'Reeksen (N)'!D140)</f>
        <v>0</v>
      </c>
      <c r="AA140" s="98">
        <f>IF('Reeksen (N)'!D140&gt;='Reeksen (N)'!B140,0,IF('Reeksen (N)'!AK140&lt;='Reeksen (N)'!AE140,('Reeksen (N)'!B140-'Reeksen (N)'!D140)*X140,0))</f>
        <v>0</v>
      </c>
      <c r="AB140" s="98">
        <f>IF('Reeksen (N)'!D140&gt;='Reeksen (N)'!B140,0,IF('Reeksen (N)'!AK140&gt;'Reeksen (N)'!AE140,('Reeksen (N)'!B140-'Reeksen (N)'!D140)*X140,0))</f>
        <v>0</v>
      </c>
      <c r="AC140" s="99">
        <f t="shared" ca="1" si="26"/>
        <v>0</v>
      </c>
      <c r="AD140" s="98">
        <f ca="1">IF('Invoer gegevens (N)'!$C$17=E140,R140,IF(C140=0,0,AE139))</f>
        <v>0</v>
      </c>
      <c r="AE140" s="98">
        <f t="shared" ca="1" si="27"/>
        <v>0</v>
      </c>
      <c r="AF140" s="98">
        <f ca="1">IF('Invoer gegevens (N)'!$C$17=E140,X140,IF(C140=0,0,AG139))</f>
        <v>0</v>
      </c>
      <c r="AG140" s="98">
        <f t="shared" ca="1" si="28"/>
        <v>0</v>
      </c>
      <c r="AH140" s="68"/>
      <c r="AI140" s="71">
        <f ca="1">IF(C140=1,'Reeksen (N)'!AJ140*((F140-G140+F140)/2)*12+'Reeksen (N)'!AK140*((L140-M140+L140)/2)*12,0)</f>
        <v>0</v>
      </c>
      <c r="AJ140" s="71">
        <f ca="1">-AI140*'Invoer gegevens (N)'!$F$28</f>
        <v>0</v>
      </c>
      <c r="AK140" s="71">
        <f t="shared" ca="1" si="22"/>
        <v>0</v>
      </c>
      <c r="AL140" s="71">
        <f ca="1">IF(C140=1,'Reeksen (N)'!AL140*((F140-G140+F140)/2)*12+'Reeksen (N)'!AM140*((L140-M140+L140)/2)*12,0)</f>
        <v>0</v>
      </c>
      <c r="AM140" s="71">
        <f ca="1">-AL140*'Invoer gegevens (N)'!$F$31</f>
        <v>0</v>
      </c>
      <c r="AN140" s="71">
        <f t="shared" ca="1" si="29"/>
        <v>0</v>
      </c>
      <c r="AO140" s="71">
        <f ca="1">IF(C140=1,(H140+J140+N140+P140)*'Reeksen (N)'!AN140,0)</f>
        <v>0</v>
      </c>
      <c r="AP140" s="71">
        <f ca="1">-IF(C140=1,(H140+J140+N140+P140)*'Hulp - basis'!$O$550*'Reeksen (N)'!H140,0)</f>
        <v>0</v>
      </c>
      <c r="AQ140" s="71">
        <f ca="1">-IF(C140=1,(F140+K140+L140+Q140)/2*'Invoer gegevens (N)'!$I$33*'Reeksen (N)'!J140,0)*2</f>
        <v>0</v>
      </c>
      <c r="AR140" s="71">
        <f ca="1">-IF(C140=1,(I140*'Invoer gegevens (N)'!$I$34)*'Reeksen (N)'!J140,0)</f>
        <v>0</v>
      </c>
      <c r="AS140" s="71">
        <f ca="1">-IF(C140=1,(F140+K140+L140+Q140)/2*'Invoer gegevens (N)'!$I$35*'Reeksen (N)'!L140,0)</f>
        <v>0</v>
      </c>
      <c r="AT140" s="71">
        <f ca="1">-IF(C140=1,IF(E140='Invoer gegevens (N)'!$C$17,'Invoer gegevens (N)'!$C$11,AD140)*'Reeksen (N)'!S140*'Invoer gegevens (N)'!$C$18*'Reeksen (N)'!P140,0)</f>
        <v>0</v>
      </c>
      <c r="AU140" s="71">
        <f ca="1">-IF(C140=1,(F140+K140+L140+Q140)/2*'Invoer gegevens (N)'!$I$36*'Reeksen (N)'!H140,0)</f>
        <v>0</v>
      </c>
      <c r="AV140" s="71">
        <v>0</v>
      </c>
      <c r="AW140" s="71">
        <f t="shared" ca="1" si="30"/>
        <v>0</v>
      </c>
      <c r="AX140" s="71">
        <f ca="1">IF(E140&lt;'Invoer gegevens (N)'!$C$17+15,0,IF(E140&gt;'Invoer gegevens (N)'!$C$17+215,0,AW140))</f>
        <v>0</v>
      </c>
      <c r="AY140" s="71">
        <f ca="1">AX140/(1+'Invoer gegevens (N)'!$F$18)^($AZ140-('Invoer gegevens (N)'!$C$17-'Invoer gegevens (N)'!$C$16))/(1+'Invoer gegevens (N)'!$C$39)^('Invoer gegevens (N)'!$C$17-'Invoer gegevens (N)'!$C$16)</f>
        <v>0</v>
      </c>
      <c r="AZ140" s="68">
        <f ca="1">IF(E140-'Invoer gegevens (N)'!$C$17-14.5&lt;0,0,E140-'Invoer gegevens (N)'!$C$17-14.5)</f>
        <v>120.5</v>
      </c>
    </row>
    <row r="141" spans="2:52" x14ac:dyDescent="0.25">
      <c r="B141" s="70">
        <f t="shared" si="31"/>
        <v>137</v>
      </c>
      <c r="C141" s="67">
        <f ca="1">IF(E141-'Invoer gegevens (N)'!$C$17&lt;0,0,1)</f>
        <v>1</v>
      </c>
      <c r="D141" s="68">
        <f t="shared" si="32"/>
        <v>136.5</v>
      </c>
      <c r="E141" s="108">
        <f ca="1">IF('Invoer gegevens (N)'!$C$16="","",E140+1)</f>
        <v>2155</v>
      </c>
      <c r="F141" s="84">
        <f ca="1">IF('Invoer gegevens (N)'!$C$17=E141,'Invoer gegevens (N)'!$C$10,IF(C141=1,K140,0))</f>
        <v>0</v>
      </c>
      <c r="G141" s="96">
        <f ca="1">IF(C141&gt;=1,F141*VLOOKUP(E141,'Reeksen (N)'!$A$5:$B$76,2),0)</f>
        <v>0</v>
      </c>
      <c r="H141" s="84">
        <f ca="1">(1-('Invoer gegevens (N)'!$F$20/12))*F141*MIN('Reeksen (N)'!B141,'Reeksen (N)'!D141)</f>
        <v>0</v>
      </c>
      <c r="I141" s="84">
        <f>IF('Reeksen (N)'!D141&lt;'Reeksen (N)'!B141,('Reeksen (N)'!B141-'Reeksen (N)'!D141)*F141,0)</f>
        <v>0</v>
      </c>
      <c r="J141" s="84">
        <f ca="1">('Invoer gegevens (N)'!$F$20/12)*F140*MIN('Reeksen (N)'!B140,'Reeksen (N)'!D140)</f>
        <v>0</v>
      </c>
      <c r="K141" s="97">
        <f t="shared" ca="1" si="23"/>
        <v>0</v>
      </c>
      <c r="L141" s="84">
        <f ca="1">IF('Invoer gegevens (N)'!$C$17=E141,0,IF(C141=1,Q140,0))</f>
        <v>0</v>
      </c>
      <c r="M141" s="96">
        <f ca="1">IF(C141&gt;=1,L141*VLOOKUP(E141,'Reeksen (N)'!$A$5:$B$76,2),0)</f>
        <v>0</v>
      </c>
      <c r="N141" s="84">
        <f ca="1">(1-('Invoer gegevens (N)'!$F$20/12))*L141*MIN('Reeksen (N)'!B141,'Reeksen (N)'!D141)</f>
        <v>0</v>
      </c>
      <c r="O141" s="84">
        <f>IF('Reeksen (N)'!D141&lt;'Reeksen (N)'!B141,('Reeksen (N)'!B141-'Reeksen (N)'!D141)*L141,0)</f>
        <v>0</v>
      </c>
      <c r="P141" s="84">
        <f ca="1">('Invoer gegevens (N)'!$F$20/12)*L140*MIN('Reeksen (N)'!B140,'Reeksen (N)'!D140)</f>
        <v>0</v>
      </c>
      <c r="Q141" s="84">
        <f t="shared" ca="1" si="24"/>
        <v>0</v>
      </c>
      <c r="R141" s="82">
        <f ca="1">IF('Invoer gegevens (N)'!$C$17=E141,'Invoer gegevens (N)'!$C$11,IF(C141=1,W140,0))</f>
        <v>0</v>
      </c>
      <c r="S141" s="86">
        <f ca="1">IF(C141&gt;=1,R141*VLOOKUP(E141,'Reeksen (N)'!$A$5:$B$76,2),0)</f>
        <v>0</v>
      </c>
      <c r="T141" s="84">
        <f ca="1">(1-('Invoer gegevens (N)'!$F$20/12))*R141*MIN('Reeksen (N)'!B141,'Reeksen (N)'!D141)</f>
        <v>0</v>
      </c>
      <c r="U141" s="84">
        <f>IF('Reeksen (N)'!D141&gt;='Reeksen (N)'!B141,0,IF('Reeksen (N)'!AK141&lt;='Reeksen (N)'!AE141,('Reeksen (N)'!B141-'Reeksen (N)'!D141)*R141,0))</f>
        <v>0</v>
      </c>
      <c r="V141" s="86">
        <f>IF('Reeksen (N)'!D141&gt;='Reeksen (N)'!B141,0,IF('Reeksen (N)'!AK141&gt;'Reeksen (N)'!AE141,('Reeksen (N)'!B141-'Reeksen (N)'!D141)*R141,0))</f>
        <v>0</v>
      </c>
      <c r="W141" s="97">
        <f t="shared" ca="1" si="25"/>
        <v>0</v>
      </c>
      <c r="X141" s="98">
        <f ca="1">IF('Invoer gegevens (N)'!$C$17=E141,'Invoer gegevens (N)'!$C$10-'Invoer gegevens (N)'!$C$11,IF(C141=1,AC140,0))</f>
        <v>0</v>
      </c>
      <c r="Y141" s="98">
        <f ca="1">IF(C141&gt;=1,X141*VLOOKUP(E141,'Reeksen (N)'!$A$5:$B$76,2),0)</f>
        <v>0</v>
      </c>
      <c r="Z141" s="98">
        <f ca="1">(1-('Invoer gegevens (N)'!$F$20/12))*X141*MIN('Reeksen (N)'!B141,'Reeksen (N)'!D141)</f>
        <v>0</v>
      </c>
      <c r="AA141" s="98">
        <f>IF('Reeksen (N)'!D141&gt;='Reeksen (N)'!B141,0,IF('Reeksen (N)'!AK141&lt;='Reeksen (N)'!AE141,('Reeksen (N)'!B141-'Reeksen (N)'!D141)*X141,0))</f>
        <v>0</v>
      </c>
      <c r="AB141" s="98">
        <f>IF('Reeksen (N)'!D141&gt;='Reeksen (N)'!B141,0,IF('Reeksen (N)'!AK141&gt;'Reeksen (N)'!AE141,('Reeksen (N)'!B141-'Reeksen (N)'!D141)*X141,0))</f>
        <v>0</v>
      </c>
      <c r="AC141" s="99">
        <f t="shared" ca="1" si="26"/>
        <v>0</v>
      </c>
      <c r="AD141" s="98">
        <f ca="1">IF('Invoer gegevens (N)'!$C$17=E141,R141,IF(C141=0,0,AE140))</f>
        <v>0</v>
      </c>
      <c r="AE141" s="98">
        <f t="shared" ca="1" si="27"/>
        <v>0</v>
      </c>
      <c r="AF141" s="98">
        <f ca="1">IF('Invoer gegevens (N)'!$C$17=E141,X141,IF(C141=0,0,AG140))</f>
        <v>0</v>
      </c>
      <c r="AG141" s="98">
        <f t="shared" ca="1" si="28"/>
        <v>0</v>
      </c>
      <c r="AH141" s="68"/>
      <c r="AI141" s="71">
        <f ca="1">IF(C141=1,'Reeksen (N)'!AJ141*((F141-G141+F141)/2)*12+'Reeksen (N)'!AK141*((L141-M141+L141)/2)*12,0)</f>
        <v>0</v>
      </c>
      <c r="AJ141" s="71">
        <f ca="1">-AI141*'Invoer gegevens (N)'!$F$28</f>
        <v>0</v>
      </c>
      <c r="AK141" s="71">
        <f t="shared" ca="1" si="22"/>
        <v>0</v>
      </c>
      <c r="AL141" s="71">
        <f ca="1">IF(C141=1,'Reeksen (N)'!AL141*((F141-G141+F141)/2)*12+'Reeksen (N)'!AM141*((L141-M141+L141)/2)*12,0)</f>
        <v>0</v>
      </c>
      <c r="AM141" s="71">
        <f ca="1">-AL141*'Invoer gegevens (N)'!$F$31</f>
        <v>0</v>
      </c>
      <c r="AN141" s="71">
        <f t="shared" ca="1" si="29"/>
        <v>0</v>
      </c>
      <c r="AO141" s="71">
        <f ca="1">IF(C141=1,(H141+J141+N141+P141)*'Reeksen (N)'!AN141,0)</f>
        <v>0</v>
      </c>
      <c r="AP141" s="71">
        <f ca="1">-IF(C141=1,(H141+J141+N141+P141)*'Hulp - basis'!$O$550*'Reeksen (N)'!H141,0)</f>
        <v>0</v>
      </c>
      <c r="AQ141" s="71">
        <f ca="1">-IF(C141=1,(F141+K141+L141+Q141)/2*'Invoer gegevens (N)'!$I$33*'Reeksen (N)'!J141,0)*2</f>
        <v>0</v>
      </c>
      <c r="AR141" s="71">
        <f ca="1">-IF(C141=1,(I141*'Invoer gegevens (N)'!$I$34)*'Reeksen (N)'!J141,0)</f>
        <v>0</v>
      </c>
      <c r="AS141" s="71">
        <f ca="1">-IF(C141=1,(F141+K141+L141+Q141)/2*'Invoer gegevens (N)'!$I$35*'Reeksen (N)'!L141,0)</f>
        <v>0</v>
      </c>
      <c r="AT141" s="71">
        <f ca="1">-IF(C141=1,IF(E141='Invoer gegevens (N)'!$C$17,'Invoer gegevens (N)'!$C$11,AD141)*'Reeksen (N)'!S141*'Invoer gegevens (N)'!$C$18*'Reeksen (N)'!P141,0)</f>
        <v>0</v>
      </c>
      <c r="AU141" s="71">
        <f ca="1">-IF(C141=1,(F141+K141+L141+Q141)/2*'Invoer gegevens (N)'!$I$36*'Reeksen (N)'!H141,0)</f>
        <v>0</v>
      </c>
      <c r="AV141" s="71">
        <v>0</v>
      </c>
      <c r="AW141" s="71">
        <f t="shared" ca="1" si="30"/>
        <v>0</v>
      </c>
      <c r="AX141" s="71">
        <f ca="1">IF(E141&lt;'Invoer gegevens (N)'!$C$17+15,0,IF(E141&gt;'Invoer gegevens (N)'!$C$17+215,0,AW141))</f>
        <v>0</v>
      </c>
      <c r="AY141" s="71">
        <f ca="1">AX141/(1+'Invoer gegevens (N)'!$F$18)^($AZ141-('Invoer gegevens (N)'!$C$17-'Invoer gegevens (N)'!$C$16))/(1+'Invoer gegevens (N)'!$C$39)^('Invoer gegevens (N)'!$C$17-'Invoer gegevens (N)'!$C$16)</f>
        <v>0</v>
      </c>
      <c r="AZ141" s="68">
        <f ca="1">IF(E141-'Invoer gegevens (N)'!$C$17-14.5&lt;0,0,E141-'Invoer gegevens (N)'!$C$17-14.5)</f>
        <v>121.5</v>
      </c>
    </row>
    <row r="142" spans="2:52" x14ac:dyDescent="0.25">
      <c r="B142" s="70">
        <f t="shared" si="31"/>
        <v>138</v>
      </c>
      <c r="C142" s="67">
        <f ca="1">IF(E142-'Invoer gegevens (N)'!$C$17&lt;0,0,1)</f>
        <v>1</v>
      </c>
      <c r="D142" s="68">
        <f t="shared" si="32"/>
        <v>137.5</v>
      </c>
      <c r="E142" s="108">
        <f ca="1">IF('Invoer gegevens (N)'!$C$16="","",E141+1)</f>
        <v>2156</v>
      </c>
      <c r="F142" s="84">
        <f ca="1">IF('Invoer gegevens (N)'!$C$17=E142,'Invoer gegevens (N)'!$C$10,IF(C142=1,K141,0))</f>
        <v>0</v>
      </c>
      <c r="G142" s="96">
        <f ca="1">IF(C142&gt;=1,F142*VLOOKUP(E142,'Reeksen (N)'!$A$5:$B$76,2),0)</f>
        <v>0</v>
      </c>
      <c r="H142" s="84">
        <f ca="1">(1-('Invoer gegevens (N)'!$F$20/12))*F142*MIN('Reeksen (N)'!B142,'Reeksen (N)'!D142)</f>
        <v>0</v>
      </c>
      <c r="I142" s="84">
        <f>IF('Reeksen (N)'!D142&lt;'Reeksen (N)'!B142,('Reeksen (N)'!B142-'Reeksen (N)'!D142)*F142,0)</f>
        <v>0</v>
      </c>
      <c r="J142" s="84">
        <f ca="1">('Invoer gegevens (N)'!$F$20/12)*F141*MIN('Reeksen (N)'!B141,'Reeksen (N)'!D141)</f>
        <v>0</v>
      </c>
      <c r="K142" s="97">
        <f t="shared" ca="1" si="23"/>
        <v>0</v>
      </c>
      <c r="L142" s="84">
        <f ca="1">IF('Invoer gegevens (N)'!$C$17=E142,0,IF(C142=1,Q141,0))</f>
        <v>0</v>
      </c>
      <c r="M142" s="96">
        <f ca="1">IF(C142&gt;=1,L142*VLOOKUP(E142,'Reeksen (N)'!$A$5:$B$76,2),0)</f>
        <v>0</v>
      </c>
      <c r="N142" s="84">
        <f ca="1">(1-('Invoer gegevens (N)'!$F$20/12))*L142*MIN('Reeksen (N)'!B142,'Reeksen (N)'!D142)</f>
        <v>0</v>
      </c>
      <c r="O142" s="84">
        <f>IF('Reeksen (N)'!D142&lt;'Reeksen (N)'!B142,('Reeksen (N)'!B142-'Reeksen (N)'!D142)*L142,0)</f>
        <v>0</v>
      </c>
      <c r="P142" s="84">
        <f ca="1">('Invoer gegevens (N)'!$F$20/12)*L141*MIN('Reeksen (N)'!B141,'Reeksen (N)'!D141)</f>
        <v>0</v>
      </c>
      <c r="Q142" s="84">
        <f t="shared" ca="1" si="24"/>
        <v>0</v>
      </c>
      <c r="R142" s="82">
        <f ca="1">IF('Invoer gegevens (N)'!$C$17=E142,'Invoer gegevens (N)'!$C$11,IF(C142=1,W141,0))</f>
        <v>0</v>
      </c>
      <c r="S142" s="86">
        <f ca="1">IF(C142&gt;=1,R142*VLOOKUP(E142,'Reeksen (N)'!$A$5:$B$76,2),0)</f>
        <v>0</v>
      </c>
      <c r="T142" s="84">
        <f ca="1">(1-('Invoer gegevens (N)'!$F$20/12))*R142*MIN('Reeksen (N)'!B142,'Reeksen (N)'!D142)</f>
        <v>0</v>
      </c>
      <c r="U142" s="84">
        <f>IF('Reeksen (N)'!D142&gt;='Reeksen (N)'!B142,0,IF('Reeksen (N)'!AK142&lt;='Reeksen (N)'!AE142,('Reeksen (N)'!B142-'Reeksen (N)'!D142)*R142,0))</f>
        <v>0</v>
      </c>
      <c r="V142" s="86">
        <f>IF('Reeksen (N)'!D142&gt;='Reeksen (N)'!B142,0,IF('Reeksen (N)'!AK142&gt;'Reeksen (N)'!AE142,('Reeksen (N)'!B142-'Reeksen (N)'!D142)*R142,0))</f>
        <v>0</v>
      </c>
      <c r="W142" s="97">
        <f t="shared" ca="1" si="25"/>
        <v>0</v>
      </c>
      <c r="X142" s="98">
        <f ca="1">IF('Invoer gegevens (N)'!$C$17=E142,'Invoer gegevens (N)'!$C$10-'Invoer gegevens (N)'!$C$11,IF(C142=1,AC141,0))</f>
        <v>0</v>
      </c>
      <c r="Y142" s="98">
        <f ca="1">IF(C142&gt;=1,X142*VLOOKUP(E142,'Reeksen (N)'!$A$5:$B$76,2),0)</f>
        <v>0</v>
      </c>
      <c r="Z142" s="98">
        <f ca="1">(1-('Invoer gegevens (N)'!$F$20/12))*X142*MIN('Reeksen (N)'!B142,'Reeksen (N)'!D142)</f>
        <v>0</v>
      </c>
      <c r="AA142" s="98">
        <f>IF('Reeksen (N)'!D142&gt;='Reeksen (N)'!B142,0,IF('Reeksen (N)'!AK142&lt;='Reeksen (N)'!AE142,('Reeksen (N)'!B142-'Reeksen (N)'!D142)*X142,0))</f>
        <v>0</v>
      </c>
      <c r="AB142" s="98">
        <f>IF('Reeksen (N)'!D142&gt;='Reeksen (N)'!B142,0,IF('Reeksen (N)'!AK142&gt;'Reeksen (N)'!AE142,('Reeksen (N)'!B142-'Reeksen (N)'!D142)*X142,0))</f>
        <v>0</v>
      </c>
      <c r="AC142" s="99">
        <f t="shared" ca="1" si="26"/>
        <v>0</v>
      </c>
      <c r="AD142" s="98">
        <f ca="1">IF('Invoer gegevens (N)'!$C$17=E142,R142,IF(C142=0,0,AE141))</f>
        <v>0</v>
      </c>
      <c r="AE142" s="98">
        <f t="shared" ca="1" si="27"/>
        <v>0</v>
      </c>
      <c r="AF142" s="98">
        <f ca="1">IF('Invoer gegevens (N)'!$C$17=E142,X142,IF(C142=0,0,AG141))</f>
        <v>0</v>
      </c>
      <c r="AG142" s="98">
        <f t="shared" ca="1" si="28"/>
        <v>0</v>
      </c>
      <c r="AH142" s="68"/>
      <c r="AI142" s="71">
        <f ca="1">IF(C142=1,'Reeksen (N)'!AJ142*((F142-G142+F142)/2)*12+'Reeksen (N)'!AK142*((L142-M142+L142)/2)*12,0)</f>
        <v>0</v>
      </c>
      <c r="AJ142" s="71">
        <f ca="1">-AI142*'Invoer gegevens (N)'!$F$28</f>
        <v>0</v>
      </c>
      <c r="AK142" s="71">
        <f t="shared" ca="1" si="22"/>
        <v>0</v>
      </c>
      <c r="AL142" s="71">
        <f ca="1">IF(C142=1,'Reeksen (N)'!AL142*((F142-G142+F142)/2)*12+'Reeksen (N)'!AM142*((L142-M142+L142)/2)*12,0)</f>
        <v>0</v>
      </c>
      <c r="AM142" s="71">
        <f ca="1">-AL142*'Invoer gegevens (N)'!$F$31</f>
        <v>0</v>
      </c>
      <c r="AN142" s="71">
        <f t="shared" ca="1" si="29"/>
        <v>0</v>
      </c>
      <c r="AO142" s="71">
        <f ca="1">IF(C142=1,(H142+J142+N142+P142)*'Reeksen (N)'!AN142,0)</f>
        <v>0</v>
      </c>
      <c r="AP142" s="71">
        <f ca="1">-IF(C142=1,(H142+J142+N142+P142)*'Hulp - basis'!$O$550*'Reeksen (N)'!H142,0)</f>
        <v>0</v>
      </c>
      <c r="AQ142" s="71">
        <f ca="1">-IF(C142=1,(F142+K142+L142+Q142)/2*'Invoer gegevens (N)'!$I$33*'Reeksen (N)'!J142,0)*2</f>
        <v>0</v>
      </c>
      <c r="AR142" s="71">
        <f ca="1">-IF(C142=1,(I142*'Invoer gegevens (N)'!$I$34)*'Reeksen (N)'!J142,0)</f>
        <v>0</v>
      </c>
      <c r="AS142" s="71">
        <f ca="1">-IF(C142=1,(F142+K142+L142+Q142)/2*'Invoer gegevens (N)'!$I$35*'Reeksen (N)'!L142,0)</f>
        <v>0</v>
      </c>
      <c r="AT142" s="71">
        <f ca="1">-IF(C142=1,IF(E142='Invoer gegevens (N)'!$C$17,'Invoer gegevens (N)'!$C$11,AD142)*'Reeksen (N)'!S142*'Invoer gegevens (N)'!$C$18*'Reeksen (N)'!P142,0)</f>
        <v>0</v>
      </c>
      <c r="AU142" s="71">
        <f ca="1">-IF(C142=1,(F142+K142+L142+Q142)/2*'Invoer gegevens (N)'!$I$36*'Reeksen (N)'!H142,0)</f>
        <v>0</v>
      </c>
      <c r="AV142" s="71">
        <v>0</v>
      </c>
      <c r="AW142" s="71">
        <f t="shared" ca="1" si="30"/>
        <v>0</v>
      </c>
      <c r="AX142" s="71">
        <f ca="1">IF(E142&lt;'Invoer gegevens (N)'!$C$17+15,0,IF(E142&gt;'Invoer gegevens (N)'!$C$17+215,0,AW142))</f>
        <v>0</v>
      </c>
      <c r="AY142" s="71">
        <f ca="1">AX142/(1+'Invoer gegevens (N)'!$F$18)^($AZ142-('Invoer gegevens (N)'!$C$17-'Invoer gegevens (N)'!$C$16))/(1+'Invoer gegevens (N)'!$C$39)^('Invoer gegevens (N)'!$C$17-'Invoer gegevens (N)'!$C$16)</f>
        <v>0</v>
      </c>
      <c r="AZ142" s="68">
        <f ca="1">IF(E142-'Invoer gegevens (N)'!$C$17-14.5&lt;0,0,E142-'Invoer gegevens (N)'!$C$17-14.5)</f>
        <v>122.5</v>
      </c>
    </row>
    <row r="143" spans="2:52" x14ac:dyDescent="0.25">
      <c r="B143" s="70">
        <f t="shared" si="31"/>
        <v>139</v>
      </c>
      <c r="C143" s="67">
        <f ca="1">IF(E143-'Invoer gegevens (N)'!$C$17&lt;0,0,1)</f>
        <v>1</v>
      </c>
      <c r="D143" s="68">
        <f t="shared" si="32"/>
        <v>138.5</v>
      </c>
      <c r="E143" s="108">
        <f ca="1">IF('Invoer gegevens (N)'!$C$16="","",E142+1)</f>
        <v>2157</v>
      </c>
      <c r="F143" s="84">
        <f ca="1">IF('Invoer gegevens (N)'!$C$17=E143,'Invoer gegevens (N)'!$C$10,IF(C143=1,K142,0))</f>
        <v>0</v>
      </c>
      <c r="G143" s="96">
        <f ca="1">IF(C143&gt;=1,F143*VLOOKUP(E143,'Reeksen (N)'!$A$5:$B$76,2),0)</f>
        <v>0</v>
      </c>
      <c r="H143" s="84">
        <f ca="1">(1-('Invoer gegevens (N)'!$F$20/12))*F143*MIN('Reeksen (N)'!B143,'Reeksen (N)'!D143)</f>
        <v>0</v>
      </c>
      <c r="I143" s="84">
        <f>IF('Reeksen (N)'!D143&lt;'Reeksen (N)'!B143,('Reeksen (N)'!B143-'Reeksen (N)'!D143)*F143,0)</f>
        <v>0</v>
      </c>
      <c r="J143" s="84">
        <f ca="1">('Invoer gegevens (N)'!$F$20/12)*F142*MIN('Reeksen (N)'!B142,'Reeksen (N)'!D142)</f>
        <v>0</v>
      </c>
      <c r="K143" s="97">
        <f t="shared" ca="1" si="23"/>
        <v>0</v>
      </c>
      <c r="L143" s="84">
        <f ca="1">IF('Invoer gegevens (N)'!$C$17=E143,0,IF(C143=1,Q142,0))</f>
        <v>0</v>
      </c>
      <c r="M143" s="96">
        <f ca="1">IF(C143&gt;=1,L143*VLOOKUP(E143,'Reeksen (N)'!$A$5:$B$76,2),0)</f>
        <v>0</v>
      </c>
      <c r="N143" s="84">
        <f ca="1">(1-('Invoer gegevens (N)'!$F$20/12))*L143*MIN('Reeksen (N)'!B143,'Reeksen (N)'!D143)</f>
        <v>0</v>
      </c>
      <c r="O143" s="84">
        <f>IF('Reeksen (N)'!D143&lt;'Reeksen (N)'!B143,('Reeksen (N)'!B143-'Reeksen (N)'!D143)*L143,0)</f>
        <v>0</v>
      </c>
      <c r="P143" s="84">
        <f ca="1">('Invoer gegevens (N)'!$F$20/12)*L142*MIN('Reeksen (N)'!B142,'Reeksen (N)'!D142)</f>
        <v>0</v>
      </c>
      <c r="Q143" s="84">
        <f t="shared" ca="1" si="24"/>
        <v>0</v>
      </c>
      <c r="R143" s="82">
        <f ca="1">IF('Invoer gegevens (N)'!$C$17=E143,'Invoer gegevens (N)'!$C$11,IF(C143=1,W142,0))</f>
        <v>0</v>
      </c>
      <c r="S143" s="86">
        <f ca="1">IF(C143&gt;=1,R143*VLOOKUP(E143,'Reeksen (N)'!$A$5:$B$76,2),0)</f>
        <v>0</v>
      </c>
      <c r="T143" s="84">
        <f ca="1">(1-('Invoer gegevens (N)'!$F$20/12))*R143*MIN('Reeksen (N)'!B143,'Reeksen (N)'!D143)</f>
        <v>0</v>
      </c>
      <c r="U143" s="84">
        <f>IF('Reeksen (N)'!D143&gt;='Reeksen (N)'!B143,0,IF('Reeksen (N)'!AK143&lt;='Reeksen (N)'!AE143,('Reeksen (N)'!B143-'Reeksen (N)'!D143)*R143,0))</f>
        <v>0</v>
      </c>
      <c r="V143" s="86">
        <f>IF('Reeksen (N)'!D143&gt;='Reeksen (N)'!B143,0,IF('Reeksen (N)'!AK143&gt;'Reeksen (N)'!AE143,('Reeksen (N)'!B143-'Reeksen (N)'!D143)*R143,0))</f>
        <v>0</v>
      </c>
      <c r="W143" s="97">
        <f t="shared" ca="1" si="25"/>
        <v>0</v>
      </c>
      <c r="X143" s="98">
        <f ca="1">IF('Invoer gegevens (N)'!$C$17=E143,'Invoer gegevens (N)'!$C$10-'Invoer gegevens (N)'!$C$11,IF(C143=1,AC142,0))</f>
        <v>0</v>
      </c>
      <c r="Y143" s="98">
        <f ca="1">IF(C143&gt;=1,X143*VLOOKUP(E143,'Reeksen (N)'!$A$5:$B$76,2),0)</f>
        <v>0</v>
      </c>
      <c r="Z143" s="98">
        <f ca="1">(1-('Invoer gegevens (N)'!$F$20/12))*X143*MIN('Reeksen (N)'!B143,'Reeksen (N)'!D143)</f>
        <v>0</v>
      </c>
      <c r="AA143" s="98">
        <f>IF('Reeksen (N)'!D143&gt;='Reeksen (N)'!B143,0,IF('Reeksen (N)'!AK143&lt;='Reeksen (N)'!AE143,('Reeksen (N)'!B143-'Reeksen (N)'!D143)*X143,0))</f>
        <v>0</v>
      </c>
      <c r="AB143" s="98">
        <f>IF('Reeksen (N)'!D143&gt;='Reeksen (N)'!B143,0,IF('Reeksen (N)'!AK143&gt;'Reeksen (N)'!AE143,('Reeksen (N)'!B143-'Reeksen (N)'!D143)*X143,0))</f>
        <v>0</v>
      </c>
      <c r="AC143" s="99">
        <f t="shared" ca="1" si="26"/>
        <v>0</v>
      </c>
      <c r="AD143" s="98">
        <f ca="1">IF('Invoer gegevens (N)'!$C$17=E143,R143,IF(C143=0,0,AE142))</f>
        <v>0</v>
      </c>
      <c r="AE143" s="98">
        <f t="shared" ca="1" si="27"/>
        <v>0</v>
      </c>
      <c r="AF143" s="98">
        <f ca="1">IF('Invoer gegevens (N)'!$C$17=E143,X143,IF(C143=0,0,AG142))</f>
        <v>0</v>
      </c>
      <c r="AG143" s="98">
        <f t="shared" ca="1" si="28"/>
        <v>0</v>
      </c>
      <c r="AH143" s="68"/>
      <c r="AI143" s="71">
        <f ca="1">IF(C143=1,'Reeksen (N)'!AJ143*((F143-G143+F143)/2)*12+'Reeksen (N)'!AK143*((L143-M143+L143)/2)*12,0)</f>
        <v>0</v>
      </c>
      <c r="AJ143" s="71">
        <f ca="1">-AI143*'Invoer gegevens (N)'!$F$28</f>
        <v>0</v>
      </c>
      <c r="AK143" s="71">
        <f t="shared" ca="1" si="22"/>
        <v>0</v>
      </c>
      <c r="AL143" s="71">
        <f ca="1">IF(C143=1,'Reeksen (N)'!AL143*((F143-G143+F143)/2)*12+'Reeksen (N)'!AM143*((L143-M143+L143)/2)*12,0)</f>
        <v>0</v>
      </c>
      <c r="AM143" s="71">
        <f ca="1">-AL143*'Invoer gegevens (N)'!$F$31</f>
        <v>0</v>
      </c>
      <c r="AN143" s="71">
        <f t="shared" ca="1" si="29"/>
        <v>0</v>
      </c>
      <c r="AO143" s="71">
        <f ca="1">IF(C143=1,(H143+J143+N143+P143)*'Reeksen (N)'!AN143,0)</f>
        <v>0</v>
      </c>
      <c r="AP143" s="71">
        <f ca="1">-IF(C143=1,(H143+J143+N143+P143)*'Hulp - basis'!$O$550*'Reeksen (N)'!H143,0)</f>
        <v>0</v>
      </c>
      <c r="AQ143" s="71">
        <f ca="1">-IF(C143=1,(F143+K143+L143+Q143)/2*'Invoer gegevens (N)'!$I$33*'Reeksen (N)'!J143,0)*2</f>
        <v>0</v>
      </c>
      <c r="AR143" s="71">
        <f ca="1">-IF(C143=1,(I143*'Invoer gegevens (N)'!$I$34)*'Reeksen (N)'!J143,0)</f>
        <v>0</v>
      </c>
      <c r="AS143" s="71">
        <f ca="1">-IF(C143=1,(F143+K143+L143+Q143)/2*'Invoer gegevens (N)'!$I$35*'Reeksen (N)'!L143,0)</f>
        <v>0</v>
      </c>
      <c r="AT143" s="71">
        <f ca="1">-IF(C143=1,IF(E143='Invoer gegevens (N)'!$C$17,'Invoer gegevens (N)'!$C$11,AD143)*'Reeksen (N)'!S143*'Invoer gegevens (N)'!$C$18*'Reeksen (N)'!P143,0)</f>
        <v>0</v>
      </c>
      <c r="AU143" s="71">
        <f ca="1">-IF(C143=1,(F143+K143+L143+Q143)/2*'Invoer gegevens (N)'!$I$36*'Reeksen (N)'!H143,0)</f>
        <v>0</v>
      </c>
      <c r="AV143" s="71">
        <v>0</v>
      </c>
      <c r="AW143" s="71">
        <f t="shared" ca="1" si="30"/>
        <v>0</v>
      </c>
      <c r="AX143" s="71">
        <f ca="1">IF(E143&lt;'Invoer gegevens (N)'!$C$17+15,0,IF(E143&gt;'Invoer gegevens (N)'!$C$17+215,0,AW143))</f>
        <v>0</v>
      </c>
      <c r="AY143" s="71">
        <f ca="1">AX143/(1+'Invoer gegevens (N)'!$F$18)^($AZ143-('Invoer gegevens (N)'!$C$17-'Invoer gegevens (N)'!$C$16))/(1+'Invoer gegevens (N)'!$C$39)^('Invoer gegevens (N)'!$C$17-'Invoer gegevens (N)'!$C$16)</f>
        <v>0</v>
      </c>
      <c r="AZ143" s="68">
        <f ca="1">IF(E143-'Invoer gegevens (N)'!$C$17-14.5&lt;0,0,E143-'Invoer gegevens (N)'!$C$17-14.5)</f>
        <v>123.5</v>
      </c>
    </row>
    <row r="144" spans="2:52" x14ac:dyDescent="0.25">
      <c r="B144" s="70">
        <f t="shared" si="31"/>
        <v>140</v>
      </c>
      <c r="C144" s="67">
        <f ca="1">IF(E144-'Invoer gegevens (N)'!$C$17&lt;0,0,1)</f>
        <v>1</v>
      </c>
      <c r="D144" s="68">
        <f t="shared" si="32"/>
        <v>139.5</v>
      </c>
      <c r="E144" s="108">
        <f ca="1">IF('Invoer gegevens (N)'!$C$16="","",E143+1)</f>
        <v>2158</v>
      </c>
      <c r="F144" s="84">
        <f ca="1">IF('Invoer gegevens (N)'!$C$17=E144,'Invoer gegevens (N)'!$C$10,IF(C144=1,K143,0))</f>
        <v>0</v>
      </c>
      <c r="G144" s="96">
        <f ca="1">IF(C144&gt;=1,F144*VLOOKUP(E144,'Reeksen (N)'!$A$5:$B$76,2),0)</f>
        <v>0</v>
      </c>
      <c r="H144" s="84">
        <f ca="1">(1-('Invoer gegevens (N)'!$F$20/12))*F144*MIN('Reeksen (N)'!B144,'Reeksen (N)'!D144)</f>
        <v>0</v>
      </c>
      <c r="I144" s="84">
        <f>IF('Reeksen (N)'!D144&lt;'Reeksen (N)'!B144,('Reeksen (N)'!B144-'Reeksen (N)'!D144)*F144,0)</f>
        <v>0</v>
      </c>
      <c r="J144" s="84">
        <f ca="1">('Invoer gegevens (N)'!$F$20/12)*F143*MIN('Reeksen (N)'!B143,'Reeksen (N)'!D143)</f>
        <v>0</v>
      </c>
      <c r="K144" s="97">
        <f t="shared" ca="1" si="23"/>
        <v>0</v>
      </c>
      <c r="L144" s="84">
        <f ca="1">IF('Invoer gegevens (N)'!$C$17=E144,0,IF(C144=1,Q143,0))</f>
        <v>0</v>
      </c>
      <c r="M144" s="96">
        <f ca="1">IF(C144&gt;=1,L144*VLOOKUP(E144,'Reeksen (N)'!$A$5:$B$76,2),0)</f>
        <v>0</v>
      </c>
      <c r="N144" s="84">
        <f ca="1">(1-('Invoer gegevens (N)'!$F$20/12))*L144*MIN('Reeksen (N)'!B144,'Reeksen (N)'!D144)</f>
        <v>0</v>
      </c>
      <c r="O144" s="84">
        <f>IF('Reeksen (N)'!D144&lt;'Reeksen (N)'!B144,('Reeksen (N)'!B144-'Reeksen (N)'!D144)*L144,0)</f>
        <v>0</v>
      </c>
      <c r="P144" s="84">
        <f ca="1">('Invoer gegevens (N)'!$F$20/12)*L143*MIN('Reeksen (N)'!B143,'Reeksen (N)'!D143)</f>
        <v>0</v>
      </c>
      <c r="Q144" s="84">
        <f t="shared" ca="1" si="24"/>
        <v>0</v>
      </c>
      <c r="R144" s="82">
        <f ca="1">IF('Invoer gegevens (N)'!$C$17=E144,'Invoer gegevens (N)'!$C$11,IF(C144=1,W143,0))</f>
        <v>0</v>
      </c>
      <c r="S144" s="86">
        <f ca="1">IF(C144&gt;=1,R144*VLOOKUP(E144,'Reeksen (N)'!$A$5:$B$76,2),0)</f>
        <v>0</v>
      </c>
      <c r="T144" s="84">
        <f ca="1">(1-('Invoer gegevens (N)'!$F$20/12))*R144*MIN('Reeksen (N)'!B144,'Reeksen (N)'!D144)</f>
        <v>0</v>
      </c>
      <c r="U144" s="84">
        <f>IF('Reeksen (N)'!D144&gt;='Reeksen (N)'!B144,0,IF('Reeksen (N)'!AK144&lt;='Reeksen (N)'!AE144,('Reeksen (N)'!B144-'Reeksen (N)'!D144)*R144,0))</f>
        <v>0</v>
      </c>
      <c r="V144" s="86">
        <f>IF('Reeksen (N)'!D144&gt;='Reeksen (N)'!B144,0,IF('Reeksen (N)'!AK144&gt;'Reeksen (N)'!AE144,('Reeksen (N)'!B144-'Reeksen (N)'!D144)*R144,0))</f>
        <v>0</v>
      </c>
      <c r="W144" s="97">
        <f t="shared" ca="1" si="25"/>
        <v>0</v>
      </c>
      <c r="X144" s="98">
        <f ca="1">IF('Invoer gegevens (N)'!$C$17=E144,'Invoer gegevens (N)'!$C$10-'Invoer gegevens (N)'!$C$11,IF(C144=1,AC143,0))</f>
        <v>0</v>
      </c>
      <c r="Y144" s="98">
        <f ca="1">IF(C144&gt;=1,X144*VLOOKUP(E144,'Reeksen (N)'!$A$5:$B$76,2),0)</f>
        <v>0</v>
      </c>
      <c r="Z144" s="98">
        <f ca="1">(1-('Invoer gegevens (N)'!$F$20/12))*X144*MIN('Reeksen (N)'!B144,'Reeksen (N)'!D144)</f>
        <v>0</v>
      </c>
      <c r="AA144" s="98">
        <f>IF('Reeksen (N)'!D144&gt;='Reeksen (N)'!B144,0,IF('Reeksen (N)'!AK144&lt;='Reeksen (N)'!AE144,('Reeksen (N)'!B144-'Reeksen (N)'!D144)*X144,0))</f>
        <v>0</v>
      </c>
      <c r="AB144" s="98">
        <f>IF('Reeksen (N)'!D144&gt;='Reeksen (N)'!B144,0,IF('Reeksen (N)'!AK144&gt;'Reeksen (N)'!AE144,('Reeksen (N)'!B144-'Reeksen (N)'!D144)*X144,0))</f>
        <v>0</v>
      </c>
      <c r="AC144" s="99">
        <f t="shared" ca="1" si="26"/>
        <v>0</v>
      </c>
      <c r="AD144" s="98">
        <f ca="1">IF('Invoer gegevens (N)'!$C$17=E144,R144,IF(C144=0,0,AE143))</f>
        <v>0</v>
      </c>
      <c r="AE144" s="98">
        <f t="shared" ca="1" si="27"/>
        <v>0</v>
      </c>
      <c r="AF144" s="98">
        <f ca="1">IF('Invoer gegevens (N)'!$C$17=E144,X144,IF(C144=0,0,AG143))</f>
        <v>0</v>
      </c>
      <c r="AG144" s="98">
        <f t="shared" ca="1" si="28"/>
        <v>0</v>
      </c>
      <c r="AH144" s="68"/>
      <c r="AI144" s="71">
        <f ca="1">IF(C144=1,'Reeksen (N)'!AJ144*((F144-G144+F144)/2)*12+'Reeksen (N)'!AK144*((L144-M144+L144)/2)*12,0)</f>
        <v>0</v>
      </c>
      <c r="AJ144" s="71">
        <f ca="1">-AI144*'Invoer gegevens (N)'!$F$28</f>
        <v>0</v>
      </c>
      <c r="AK144" s="71">
        <f t="shared" ca="1" si="22"/>
        <v>0</v>
      </c>
      <c r="AL144" s="71">
        <f ca="1">IF(C144=1,'Reeksen (N)'!AL144*((F144-G144+F144)/2)*12+'Reeksen (N)'!AM144*((L144-M144+L144)/2)*12,0)</f>
        <v>0</v>
      </c>
      <c r="AM144" s="71">
        <f ca="1">-AL144*'Invoer gegevens (N)'!$F$31</f>
        <v>0</v>
      </c>
      <c r="AN144" s="71">
        <f t="shared" ca="1" si="29"/>
        <v>0</v>
      </c>
      <c r="AO144" s="71">
        <f ca="1">IF(C144=1,(H144+J144+N144+P144)*'Reeksen (N)'!AN144,0)</f>
        <v>0</v>
      </c>
      <c r="AP144" s="71">
        <f ca="1">-IF(C144=1,(H144+J144+N144+P144)*'Hulp - basis'!$O$550*'Reeksen (N)'!H144,0)</f>
        <v>0</v>
      </c>
      <c r="AQ144" s="71">
        <f ca="1">-IF(C144=1,(F144+K144+L144+Q144)/2*'Invoer gegevens (N)'!$I$33*'Reeksen (N)'!J144,0)*2</f>
        <v>0</v>
      </c>
      <c r="AR144" s="71">
        <f ca="1">-IF(C144=1,(I144*'Invoer gegevens (N)'!$I$34)*'Reeksen (N)'!J144,0)</f>
        <v>0</v>
      </c>
      <c r="AS144" s="71">
        <f ca="1">-IF(C144=1,(F144+K144+L144+Q144)/2*'Invoer gegevens (N)'!$I$35*'Reeksen (N)'!L144,0)</f>
        <v>0</v>
      </c>
      <c r="AT144" s="71">
        <f ca="1">-IF(C144=1,IF(E144='Invoer gegevens (N)'!$C$17,'Invoer gegevens (N)'!$C$11,AD144)*'Reeksen (N)'!S144*'Invoer gegevens (N)'!$C$18*'Reeksen (N)'!P144,0)</f>
        <v>0</v>
      </c>
      <c r="AU144" s="71">
        <f ca="1">-IF(C144=1,(F144+K144+L144+Q144)/2*'Invoer gegevens (N)'!$I$36*'Reeksen (N)'!H144,0)</f>
        <v>0</v>
      </c>
      <c r="AV144" s="71">
        <v>0</v>
      </c>
      <c r="AW144" s="71">
        <f t="shared" ca="1" si="30"/>
        <v>0</v>
      </c>
      <c r="AX144" s="71">
        <f ca="1">IF(E144&lt;'Invoer gegevens (N)'!$C$17+15,0,IF(E144&gt;'Invoer gegevens (N)'!$C$17+215,0,AW144))</f>
        <v>0</v>
      </c>
      <c r="AY144" s="71">
        <f ca="1">AX144/(1+'Invoer gegevens (N)'!$F$18)^($AZ144-('Invoer gegevens (N)'!$C$17-'Invoer gegevens (N)'!$C$16))/(1+'Invoer gegevens (N)'!$C$39)^('Invoer gegevens (N)'!$C$17-'Invoer gegevens (N)'!$C$16)</f>
        <v>0</v>
      </c>
      <c r="AZ144" s="68">
        <f ca="1">IF(E144-'Invoer gegevens (N)'!$C$17-14.5&lt;0,0,E144-'Invoer gegevens (N)'!$C$17-14.5)</f>
        <v>124.5</v>
      </c>
    </row>
    <row r="145" spans="2:52" x14ac:dyDescent="0.25">
      <c r="B145" s="70">
        <f t="shared" si="31"/>
        <v>141</v>
      </c>
      <c r="C145" s="67">
        <f ca="1">IF(E145-'Invoer gegevens (N)'!$C$17&lt;0,0,1)</f>
        <v>1</v>
      </c>
      <c r="D145" s="68">
        <f t="shared" si="32"/>
        <v>140.5</v>
      </c>
      <c r="E145" s="108">
        <f ca="1">IF('Invoer gegevens (N)'!$C$16="","",E144+1)</f>
        <v>2159</v>
      </c>
      <c r="F145" s="84">
        <f ca="1">IF('Invoer gegevens (N)'!$C$17=E145,'Invoer gegevens (N)'!$C$10,IF(C145=1,K144,0))</f>
        <v>0</v>
      </c>
      <c r="G145" s="96">
        <f ca="1">IF(C145&gt;=1,F145*VLOOKUP(E145,'Reeksen (N)'!$A$5:$B$76,2),0)</f>
        <v>0</v>
      </c>
      <c r="H145" s="84">
        <f ca="1">(1-('Invoer gegevens (N)'!$F$20/12))*F145*MIN('Reeksen (N)'!B145,'Reeksen (N)'!D145)</f>
        <v>0</v>
      </c>
      <c r="I145" s="84">
        <f>IF('Reeksen (N)'!D145&lt;'Reeksen (N)'!B145,('Reeksen (N)'!B145-'Reeksen (N)'!D145)*F145,0)</f>
        <v>0</v>
      </c>
      <c r="J145" s="84">
        <f ca="1">('Invoer gegevens (N)'!$F$20/12)*F144*MIN('Reeksen (N)'!B144,'Reeksen (N)'!D144)</f>
        <v>0</v>
      </c>
      <c r="K145" s="97">
        <f t="shared" ca="1" si="23"/>
        <v>0</v>
      </c>
      <c r="L145" s="84">
        <f ca="1">IF('Invoer gegevens (N)'!$C$17=E145,0,IF(C145=1,Q144,0))</f>
        <v>0</v>
      </c>
      <c r="M145" s="96">
        <f ca="1">IF(C145&gt;=1,L145*VLOOKUP(E145,'Reeksen (N)'!$A$5:$B$76,2),0)</f>
        <v>0</v>
      </c>
      <c r="N145" s="84">
        <f ca="1">(1-('Invoer gegevens (N)'!$F$20/12))*L145*MIN('Reeksen (N)'!B145,'Reeksen (N)'!D145)</f>
        <v>0</v>
      </c>
      <c r="O145" s="84">
        <f>IF('Reeksen (N)'!D145&lt;'Reeksen (N)'!B145,('Reeksen (N)'!B145-'Reeksen (N)'!D145)*L145,0)</f>
        <v>0</v>
      </c>
      <c r="P145" s="84">
        <f ca="1">('Invoer gegevens (N)'!$F$20/12)*L144*MIN('Reeksen (N)'!B144,'Reeksen (N)'!D144)</f>
        <v>0</v>
      </c>
      <c r="Q145" s="84">
        <f t="shared" ca="1" si="24"/>
        <v>0</v>
      </c>
      <c r="R145" s="82">
        <f ca="1">IF('Invoer gegevens (N)'!$C$17=E145,'Invoer gegevens (N)'!$C$11,IF(C145=1,W144,0))</f>
        <v>0</v>
      </c>
      <c r="S145" s="86">
        <f ca="1">IF(C145&gt;=1,R145*VLOOKUP(E145,'Reeksen (N)'!$A$5:$B$76,2),0)</f>
        <v>0</v>
      </c>
      <c r="T145" s="84">
        <f ca="1">(1-('Invoer gegevens (N)'!$F$20/12))*R145*MIN('Reeksen (N)'!B145,'Reeksen (N)'!D145)</f>
        <v>0</v>
      </c>
      <c r="U145" s="84">
        <f>IF('Reeksen (N)'!D145&gt;='Reeksen (N)'!B145,0,IF('Reeksen (N)'!AK145&lt;='Reeksen (N)'!AE145,('Reeksen (N)'!B145-'Reeksen (N)'!D145)*R145,0))</f>
        <v>0</v>
      </c>
      <c r="V145" s="86">
        <f>IF('Reeksen (N)'!D145&gt;='Reeksen (N)'!B145,0,IF('Reeksen (N)'!AK145&gt;'Reeksen (N)'!AE145,('Reeksen (N)'!B145-'Reeksen (N)'!D145)*R145,0))</f>
        <v>0</v>
      </c>
      <c r="W145" s="97">
        <f t="shared" ca="1" si="25"/>
        <v>0</v>
      </c>
      <c r="X145" s="98">
        <f ca="1">IF('Invoer gegevens (N)'!$C$17=E145,'Invoer gegevens (N)'!$C$10-'Invoer gegevens (N)'!$C$11,IF(C145=1,AC144,0))</f>
        <v>0</v>
      </c>
      <c r="Y145" s="98">
        <f ca="1">IF(C145&gt;=1,X145*VLOOKUP(E145,'Reeksen (N)'!$A$5:$B$76,2),0)</f>
        <v>0</v>
      </c>
      <c r="Z145" s="98">
        <f ca="1">(1-('Invoer gegevens (N)'!$F$20/12))*X145*MIN('Reeksen (N)'!B145,'Reeksen (N)'!D145)</f>
        <v>0</v>
      </c>
      <c r="AA145" s="98">
        <f>IF('Reeksen (N)'!D145&gt;='Reeksen (N)'!B145,0,IF('Reeksen (N)'!AK145&lt;='Reeksen (N)'!AE145,('Reeksen (N)'!B145-'Reeksen (N)'!D145)*X145,0))</f>
        <v>0</v>
      </c>
      <c r="AB145" s="98">
        <f>IF('Reeksen (N)'!D145&gt;='Reeksen (N)'!B145,0,IF('Reeksen (N)'!AK145&gt;'Reeksen (N)'!AE145,('Reeksen (N)'!B145-'Reeksen (N)'!D145)*X145,0))</f>
        <v>0</v>
      </c>
      <c r="AC145" s="99">
        <f t="shared" ca="1" si="26"/>
        <v>0</v>
      </c>
      <c r="AD145" s="98">
        <f ca="1">IF('Invoer gegevens (N)'!$C$17=E145,R145,IF(C145=0,0,AE144))</f>
        <v>0</v>
      </c>
      <c r="AE145" s="98">
        <f t="shared" ca="1" si="27"/>
        <v>0</v>
      </c>
      <c r="AF145" s="98">
        <f ca="1">IF('Invoer gegevens (N)'!$C$17=E145,X145,IF(C145=0,0,AG144))</f>
        <v>0</v>
      </c>
      <c r="AG145" s="98">
        <f t="shared" ca="1" si="28"/>
        <v>0</v>
      </c>
      <c r="AH145" s="68"/>
      <c r="AI145" s="71">
        <f ca="1">IF(C145=1,'Reeksen (N)'!AJ145*((F145-G145+F145)/2)*12+'Reeksen (N)'!AK145*((L145-M145+L145)/2)*12,0)</f>
        <v>0</v>
      </c>
      <c r="AJ145" s="71">
        <f ca="1">-AI145*'Invoer gegevens (N)'!$F$28</f>
        <v>0</v>
      </c>
      <c r="AK145" s="71">
        <f t="shared" ca="1" si="22"/>
        <v>0</v>
      </c>
      <c r="AL145" s="71">
        <f ca="1">IF(C145=1,'Reeksen (N)'!AL145*((F145-G145+F145)/2)*12+'Reeksen (N)'!AM145*((L145-M145+L145)/2)*12,0)</f>
        <v>0</v>
      </c>
      <c r="AM145" s="71">
        <f ca="1">-AL145*'Invoer gegevens (N)'!$F$31</f>
        <v>0</v>
      </c>
      <c r="AN145" s="71">
        <f t="shared" ca="1" si="29"/>
        <v>0</v>
      </c>
      <c r="AO145" s="71">
        <f ca="1">IF(C145=1,(H145+J145+N145+P145)*'Reeksen (N)'!AN145,0)</f>
        <v>0</v>
      </c>
      <c r="AP145" s="71">
        <f ca="1">-IF(C145=1,(H145+J145+N145+P145)*'Hulp - basis'!$O$550*'Reeksen (N)'!H145,0)</f>
        <v>0</v>
      </c>
      <c r="AQ145" s="71">
        <f ca="1">-IF(C145=1,(F145+K145+L145+Q145)/2*'Invoer gegevens (N)'!$I$33*'Reeksen (N)'!J145,0)*2</f>
        <v>0</v>
      </c>
      <c r="AR145" s="71">
        <f ca="1">-IF(C145=1,(I145*'Invoer gegevens (N)'!$I$34)*'Reeksen (N)'!J145,0)</f>
        <v>0</v>
      </c>
      <c r="AS145" s="71">
        <f ca="1">-IF(C145=1,(F145+K145+L145+Q145)/2*'Invoer gegevens (N)'!$I$35*'Reeksen (N)'!L145,0)</f>
        <v>0</v>
      </c>
      <c r="AT145" s="71">
        <f ca="1">-IF(C145=1,IF(E145='Invoer gegevens (N)'!$C$17,'Invoer gegevens (N)'!$C$11,AD145)*'Reeksen (N)'!S145*'Invoer gegevens (N)'!$C$18*'Reeksen (N)'!P145,0)</f>
        <v>0</v>
      </c>
      <c r="AU145" s="71">
        <f ca="1">-IF(C145=1,(F145+K145+L145+Q145)/2*'Invoer gegevens (N)'!$I$36*'Reeksen (N)'!H145,0)</f>
        <v>0</v>
      </c>
      <c r="AV145" s="71">
        <v>0</v>
      </c>
      <c r="AW145" s="71">
        <f t="shared" ca="1" si="30"/>
        <v>0</v>
      </c>
      <c r="AX145" s="71">
        <f ca="1">IF(E145&lt;'Invoer gegevens (N)'!$C$17+15,0,IF(E145&gt;'Invoer gegevens (N)'!$C$17+215,0,AW145))</f>
        <v>0</v>
      </c>
      <c r="AY145" s="71">
        <f ca="1">AX145/(1+'Invoer gegevens (N)'!$F$18)^($AZ145-('Invoer gegevens (N)'!$C$17-'Invoer gegevens (N)'!$C$16))/(1+'Invoer gegevens (N)'!$C$39)^('Invoer gegevens (N)'!$C$17-'Invoer gegevens (N)'!$C$16)</f>
        <v>0</v>
      </c>
      <c r="AZ145" s="68">
        <f ca="1">IF(E145-'Invoer gegevens (N)'!$C$17-14.5&lt;0,0,E145-'Invoer gegevens (N)'!$C$17-14.5)</f>
        <v>125.5</v>
      </c>
    </row>
    <row r="146" spans="2:52" x14ac:dyDescent="0.25">
      <c r="B146" s="70">
        <f t="shared" si="31"/>
        <v>142</v>
      </c>
      <c r="C146" s="67">
        <f ca="1">IF(E146-'Invoer gegevens (N)'!$C$17&lt;0,0,1)</f>
        <v>1</v>
      </c>
      <c r="D146" s="68">
        <f t="shared" si="32"/>
        <v>141.5</v>
      </c>
      <c r="E146" s="108">
        <f ca="1">IF('Invoer gegevens (N)'!$C$16="","",E145+1)</f>
        <v>2160</v>
      </c>
      <c r="F146" s="84">
        <f ca="1">IF('Invoer gegevens (N)'!$C$17=E146,'Invoer gegevens (N)'!$C$10,IF(C146=1,K145,0))</f>
        <v>0</v>
      </c>
      <c r="G146" s="96">
        <f ca="1">IF(C146&gt;=1,F146*VLOOKUP(E146,'Reeksen (N)'!$A$5:$B$76,2),0)</f>
        <v>0</v>
      </c>
      <c r="H146" s="84">
        <f ca="1">(1-('Invoer gegevens (N)'!$F$20/12))*F146*MIN('Reeksen (N)'!B146,'Reeksen (N)'!D146)</f>
        <v>0</v>
      </c>
      <c r="I146" s="84">
        <f>IF('Reeksen (N)'!D146&lt;'Reeksen (N)'!B146,('Reeksen (N)'!B146-'Reeksen (N)'!D146)*F146,0)</f>
        <v>0</v>
      </c>
      <c r="J146" s="84">
        <f ca="1">('Invoer gegevens (N)'!$F$20/12)*F145*MIN('Reeksen (N)'!B145,'Reeksen (N)'!D145)</f>
        <v>0</v>
      </c>
      <c r="K146" s="97">
        <f t="shared" ca="1" si="23"/>
        <v>0</v>
      </c>
      <c r="L146" s="84">
        <f ca="1">IF('Invoer gegevens (N)'!$C$17=E146,0,IF(C146=1,Q145,0))</f>
        <v>0</v>
      </c>
      <c r="M146" s="96">
        <f ca="1">IF(C146&gt;=1,L146*VLOOKUP(E146,'Reeksen (N)'!$A$5:$B$76,2),0)</f>
        <v>0</v>
      </c>
      <c r="N146" s="84">
        <f ca="1">(1-('Invoer gegevens (N)'!$F$20/12))*L146*MIN('Reeksen (N)'!B146,'Reeksen (N)'!D146)</f>
        <v>0</v>
      </c>
      <c r="O146" s="84">
        <f>IF('Reeksen (N)'!D146&lt;'Reeksen (N)'!B146,('Reeksen (N)'!B146-'Reeksen (N)'!D146)*L146,0)</f>
        <v>0</v>
      </c>
      <c r="P146" s="84">
        <f ca="1">('Invoer gegevens (N)'!$F$20/12)*L145*MIN('Reeksen (N)'!B145,'Reeksen (N)'!D145)</f>
        <v>0</v>
      </c>
      <c r="Q146" s="84">
        <f t="shared" ca="1" si="24"/>
        <v>0</v>
      </c>
      <c r="R146" s="82">
        <f ca="1">IF('Invoer gegevens (N)'!$C$17=E146,'Invoer gegevens (N)'!$C$11,IF(C146=1,W145,0))</f>
        <v>0</v>
      </c>
      <c r="S146" s="86">
        <f ca="1">IF(C146&gt;=1,R146*VLOOKUP(E146,'Reeksen (N)'!$A$5:$B$76,2),0)</f>
        <v>0</v>
      </c>
      <c r="T146" s="84">
        <f ca="1">(1-('Invoer gegevens (N)'!$F$20/12))*R146*MIN('Reeksen (N)'!B146,'Reeksen (N)'!D146)</f>
        <v>0</v>
      </c>
      <c r="U146" s="84">
        <f>IF('Reeksen (N)'!D146&gt;='Reeksen (N)'!B146,0,IF('Reeksen (N)'!AK146&lt;='Reeksen (N)'!AE146,('Reeksen (N)'!B146-'Reeksen (N)'!D146)*R146,0))</f>
        <v>0</v>
      </c>
      <c r="V146" s="86">
        <f>IF('Reeksen (N)'!D146&gt;='Reeksen (N)'!B146,0,IF('Reeksen (N)'!AK146&gt;'Reeksen (N)'!AE146,('Reeksen (N)'!B146-'Reeksen (N)'!D146)*R146,0))</f>
        <v>0</v>
      </c>
      <c r="W146" s="97">
        <f t="shared" ca="1" si="25"/>
        <v>0</v>
      </c>
      <c r="X146" s="98">
        <f ca="1">IF('Invoer gegevens (N)'!$C$17=E146,'Invoer gegevens (N)'!$C$10-'Invoer gegevens (N)'!$C$11,IF(C146=1,AC145,0))</f>
        <v>0</v>
      </c>
      <c r="Y146" s="98">
        <f ca="1">IF(C146&gt;=1,X146*VLOOKUP(E146,'Reeksen (N)'!$A$5:$B$76,2),0)</f>
        <v>0</v>
      </c>
      <c r="Z146" s="98">
        <f ca="1">(1-('Invoer gegevens (N)'!$F$20/12))*X146*MIN('Reeksen (N)'!B146,'Reeksen (N)'!D146)</f>
        <v>0</v>
      </c>
      <c r="AA146" s="98">
        <f>IF('Reeksen (N)'!D146&gt;='Reeksen (N)'!B146,0,IF('Reeksen (N)'!AK146&lt;='Reeksen (N)'!AE146,('Reeksen (N)'!B146-'Reeksen (N)'!D146)*X146,0))</f>
        <v>0</v>
      </c>
      <c r="AB146" s="98">
        <f>IF('Reeksen (N)'!D146&gt;='Reeksen (N)'!B146,0,IF('Reeksen (N)'!AK146&gt;'Reeksen (N)'!AE146,('Reeksen (N)'!B146-'Reeksen (N)'!D146)*X146,0))</f>
        <v>0</v>
      </c>
      <c r="AC146" s="99">
        <f t="shared" ca="1" si="26"/>
        <v>0</v>
      </c>
      <c r="AD146" s="98">
        <f ca="1">IF('Invoer gegevens (N)'!$C$17=E146,R146,IF(C146=0,0,AE145))</f>
        <v>0</v>
      </c>
      <c r="AE146" s="98">
        <f t="shared" ca="1" si="27"/>
        <v>0</v>
      </c>
      <c r="AF146" s="98">
        <f ca="1">IF('Invoer gegevens (N)'!$C$17=E146,X146,IF(C146=0,0,AG145))</f>
        <v>0</v>
      </c>
      <c r="AG146" s="98">
        <f t="shared" ca="1" si="28"/>
        <v>0</v>
      </c>
      <c r="AH146" s="68"/>
      <c r="AI146" s="71">
        <f ca="1">IF(C146=1,'Reeksen (N)'!AJ146*((F146-G146+F146)/2)*12+'Reeksen (N)'!AK146*((L146-M146+L146)/2)*12,0)</f>
        <v>0</v>
      </c>
      <c r="AJ146" s="71">
        <f ca="1">-AI146*'Invoer gegevens (N)'!$F$28</f>
        <v>0</v>
      </c>
      <c r="AK146" s="71">
        <f t="shared" ca="1" si="22"/>
        <v>0</v>
      </c>
      <c r="AL146" s="71">
        <f ca="1">IF(C146=1,'Reeksen (N)'!AL146*((F146-G146+F146)/2)*12+'Reeksen (N)'!AM146*((L146-M146+L146)/2)*12,0)</f>
        <v>0</v>
      </c>
      <c r="AM146" s="71">
        <f ca="1">-AL146*'Invoer gegevens (N)'!$F$31</f>
        <v>0</v>
      </c>
      <c r="AN146" s="71">
        <f t="shared" ca="1" si="29"/>
        <v>0</v>
      </c>
      <c r="AO146" s="71">
        <f ca="1">IF(C146=1,(H146+J146+N146+P146)*'Reeksen (N)'!AN146,0)</f>
        <v>0</v>
      </c>
      <c r="AP146" s="71">
        <f ca="1">-IF(C146=1,(H146+J146+N146+P146)*'Hulp - basis'!$O$550*'Reeksen (N)'!H146,0)</f>
        <v>0</v>
      </c>
      <c r="AQ146" s="71">
        <f ca="1">-IF(C146=1,(F146+K146+L146+Q146)/2*'Invoer gegevens (N)'!$I$33*'Reeksen (N)'!J146,0)*2</f>
        <v>0</v>
      </c>
      <c r="AR146" s="71">
        <f ca="1">-IF(C146=1,(I146*'Invoer gegevens (N)'!$I$34)*'Reeksen (N)'!J146,0)</f>
        <v>0</v>
      </c>
      <c r="AS146" s="71">
        <f ca="1">-IF(C146=1,(F146+K146+L146+Q146)/2*'Invoer gegevens (N)'!$I$35*'Reeksen (N)'!L146,0)</f>
        <v>0</v>
      </c>
      <c r="AT146" s="71">
        <f ca="1">-IF(C146=1,IF(E146='Invoer gegevens (N)'!$C$17,'Invoer gegevens (N)'!$C$11,AD146)*'Reeksen (N)'!S146*'Invoer gegevens (N)'!$C$18*'Reeksen (N)'!P146,0)</f>
        <v>0</v>
      </c>
      <c r="AU146" s="71">
        <f ca="1">-IF(C146=1,(F146+K146+L146+Q146)/2*'Invoer gegevens (N)'!$I$36*'Reeksen (N)'!H146,0)</f>
        <v>0</v>
      </c>
      <c r="AV146" s="71">
        <v>0</v>
      </c>
      <c r="AW146" s="71">
        <f t="shared" ca="1" si="30"/>
        <v>0</v>
      </c>
      <c r="AX146" s="71">
        <f ca="1">IF(E146&lt;'Invoer gegevens (N)'!$C$17+15,0,IF(E146&gt;'Invoer gegevens (N)'!$C$17+215,0,AW146))</f>
        <v>0</v>
      </c>
      <c r="AY146" s="71">
        <f ca="1">AX146/(1+'Invoer gegevens (N)'!$F$18)^($AZ146-('Invoer gegevens (N)'!$C$17-'Invoer gegevens (N)'!$C$16))/(1+'Invoer gegevens (N)'!$C$39)^('Invoer gegevens (N)'!$C$17-'Invoer gegevens (N)'!$C$16)</f>
        <v>0</v>
      </c>
      <c r="AZ146" s="68">
        <f ca="1">IF(E146-'Invoer gegevens (N)'!$C$17-14.5&lt;0,0,E146-'Invoer gegevens (N)'!$C$17-14.5)</f>
        <v>126.5</v>
      </c>
    </row>
    <row r="147" spans="2:52" x14ac:dyDescent="0.25">
      <c r="B147" s="70">
        <f t="shared" si="31"/>
        <v>143</v>
      </c>
      <c r="C147" s="67">
        <f ca="1">IF(E147-'Invoer gegevens (N)'!$C$17&lt;0,0,1)</f>
        <v>1</v>
      </c>
      <c r="D147" s="68">
        <f t="shared" si="32"/>
        <v>142.5</v>
      </c>
      <c r="E147" s="108">
        <f ca="1">IF('Invoer gegevens (N)'!$C$16="","",E146+1)</f>
        <v>2161</v>
      </c>
      <c r="F147" s="84">
        <f ca="1">IF('Invoer gegevens (N)'!$C$17=E147,'Invoer gegevens (N)'!$C$10,IF(C147=1,K146,0))</f>
        <v>0</v>
      </c>
      <c r="G147" s="96">
        <f ca="1">IF(C147&gt;=1,F147*VLOOKUP(E147,'Reeksen (N)'!$A$5:$B$76,2),0)</f>
        <v>0</v>
      </c>
      <c r="H147" s="84">
        <f ca="1">(1-('Invoer gegevens (N)'!$F$20/12))*F147*MIN('Reeksen (N)'!B147,'Reeksen (N)'!D147)</f>
        <v>0</v>
      </c>
      <c r="I147" s="84">
        <f>IF('Reeksen (N)'!D147&lt;'Reeksen (N)'!B147,('Reeksen (N)'!B147-'Reeksen (N)'!D147)*F147,0)</f>
        <v>0</v>
      </c>
      <c r="J147" s="84">
        <f ca="1">('Invoer gegevens (N)'!$F$20/12)*F146*MIN('Reeksen (N)'!B146,'Reeksen (N)'!D146)</f>
        <v>0</v>
      </c>
      <c r="K147" s="97">
        <f t="shared" ca="1" si="23"/>
        <v>0</v>
      </c>
      <c r="L147" s="84">
        <f ca="1">IF('Invoer gegevens (N)'!$C$17=E147,0,IF(C147=1,Q146,0))</f>
        <v>0</v>
      </c>
      <c r="M147" s="96">
        <f ca="1">IF(C147&gt;=1,L147*VLOOKUP(E147,'Reeksen (N)'!$A$5:$B$76,2),0)</f>
        <v>0</v>
      </c>
      <c r="N147" s="84">
        <f ca="1">(1-('Invoer gegevens (N)'!$F$20/12))*L147*MIN('Reeksen (N)'!B147,'Reeksen (N)'!D147)</f>
        <v>0</v>
      </c>
      <c r="O147" s="84">
        <f>IF('Reeksen (N)'!D147&lt;'Reeksen (N)'!B147,('Reeksen (N)'!B147-'Reeksen (N)'!D147)*L147,0)</f>
        <v>0</v>
      </c>
      <c r="P147" s="84">
        <f ca="1">('Invoer gegevens (N)'!$F$20/12)*L146*MIN('Reeksen (N)'!B146,'Reeksen (N)'!D146)</f>
        <v>0</v>
      </c>
      <c r="Q147" s="84">
        <f t="shared" ca="1" si="24"/>
        <v>0</v>
      </c>
      <c r="R147" s="82">
        <f ca="1">IF('Invoer gegevens (N)'!$C$17=E147,'Invoer gegevens (N)'!$C$11,IF(C147=1,W146,0))</f>
        <v>0</v>
      </c>
      <c r="S147" s="86">
        <f ca="1">IF(C147&gt;=1,R147*VLOOKUP(E147,'Reeksen (N)'!$A$5:$B$76,2),0)</f>
        <v>0</v>
      </c>
      <c r="T147" s="84">
        <f ca="1">(1-('Invoer gegevens (N)'!$F$20/12))*R147*MIN('Reeksen (N)'!B147,'Reeksen (N)'!D147)</f>
        <v>0</v>
      </c>
      <c r="U147" s="84">
        <f>IF('Reeksen (N)'!D147&gt;='Reeksen (N)'!B147,0,IF('Reeksen (N)'!AK147&lt;='Reeksen (N)'!AE147,('Reeksen (N)'!B147-'Reeksen (N)'!D147)*R147,0))</f>
        <v>0</v>
      </c>
      <c r="V147" s="86">
        <f>IF('Reeksen (N)'!D147&gt;='Reeksen (N)'!B147,0,IF('Reeksen (N)'!AK147&gt;'Reeksen (N)'!AE147,('Reeksen (N)'!B147-'Reeksen (N)'!D147)*R147,0))</f>
        <v>0</v>
      </c>
      <c r="W147" s="97">
        <f t="shared" ca="1" si="25"/>
        <v>0</v>
      </c>
      <c r="X147" s="98">
        <f ca="1">IF('Invoer gegevens (N)'!$C$17=E147,'Invoer gegevens (N)'!$C$10-'Invoer gegevens (N)'!$C$11,IF(C147=1,AC146,0))</f>
        <v>0</v>
      </c>
      <c r="Y147" s="98">
        <f ca="1">IF(C147&gt;=1,X147*VLOOKUP(E147,'Reeksen (N)'!$A$5:$B$76,2),0)</f>
        <v>0</v>
      </c>
      <c r="Z147" s="98">
        <f ca="1">(1-('Invoer gegevens (N)'!$F$20/12))*X147*MIN('Reeksen (N)'!B147,'Reeksen (N)'!D147)</f>
        <v>0</v>
      </c>
      <c r="AA147" s="98">
        <f>IF('Reeksen (N)'!D147&gt;='Reeksen (N)'!B147,0,IF('Reeksen (N)'!AK147&lt;='Reeksen (N)'!AE147,('Reeksen (N)'!B147-'Reeksen (N)'!D147)*X147,0))</f>
        <v>0</v>
      </c>
      <c r="AB147" s="98">
        <f>IF('Reeksen (N)'!D147&gt;='Reeksen (N)'!B147,0,IF('Reeksen (N)'!AK147&gt;'Reeksen (N)'!AE147,('Reeksen (N)'!B147-'Reeksen (N)'!D147)*X147,0))</f>
        <v>0</v>
      </c>
      <c r="AC147" s="99">
        <f t="shared" ca="1" si="26"/>
        <v>0</v>
      </c>
      <c r="AD147" s="98">
        <f ca="1">IF('Invoer gegevens (N)'!$C$17=E147,R147,IF(C147=0,0,AE146))</f>
        <v>0</v>
      </c>
      <c r="AE147" s="98">
        <f t="shared" ca="1" si="27"/>
        <v>0</v>
      </c>
      <c r="AF147" s="98">
        <f ca="1">IF('Invoer gegevens (N)'!$C$17=E147,X147,IF(C147=0,0,AG146))</f>
        <v>0</v>
      </c>
      <c r="AG147" s="98">
        <f t="shared" ca="1" si="28"/>
        <v>0</v>
      </c>
      <c r="AH147" s="68"/>
      <c r="AI147" s="71">
        <f ca="1">IF(C147=1,'Reeksen (N)'!AJ147*((F147-G147+F147)/2)*12+'Reeksen (N)'!AK147*((L147-M147+L147)/2)*12,0)</f>
        <v>0</v>
      </c>
      <c r="AJ147" s="71">
        <f ca="1">-AI147*'Invoer gegevens (N)'!$F$28</f>
        <v>0</v>
      </c>
      <c r="AK147" s="71">
        <f t="shared" ca="1" si="22"/>
        <v>0</v>
      </c>
      <c r="AL147" s="71">
        <f ca="1">IF(C147=1,'Reeksen (N)'!AL147*((F147-G147+F147)/2)*12+'Reeksen (N)'!AM147*((L147-M147+L147)/2)*12,0)</f>
        <v>0</v>
      </c>
      <c r="AM147" s="71">
        <f ca="1">-AL147*'Invoer gegevens (N)'!$F$31</f>
        <v>0</v>
      </c>
      <c r="AN147" s="71">
        <f t="shared" ca="1" si="29"/>
        <v>0</v>
      </c>
      <c r="AO147" s="71">
        <f ca="1">IF(C147=1,(H147+J147+N147+P147)*'Reeksen (N)'!AN147,0)</f>
        <v>0</v>
      </c>
      <c r="AP147" s="71">
        <f ca="1">-IF(C147=1,(H147+J147+N147+P147)*'Hulp - basis'!$O$550*'Reeksen (N)'!H147,0)</f>
        <v>0</v>
      </c>
      <c r="AQ147" s="71">
        <f ca="1">-IF(C147=1,(F147+K147+L147+Q147)/2*'Invoer gegevens (N)'!$I$33*'Reeksen (N)'!J147,0)*2</f>
        <v>0</v>
      </c>
      <c r="AR147" s="71">
        <f ca="1">-IF(C147=1,(I147*'Invoer gegevens (N)'!$I$34)*'Reeksen (N)'!J147,0)</f>
        <v>0</v>
      </c>
      <c r="AS147" s="71">
        <f ca="1">-IF(C147=1,(F147+K147+L147+Q147)/2*'Invoer gegevens (N)'!$I$35*'Reeksen (N)'!L147,0)</f>
        <v>0</v>
      </c>
      <c r="AT147" s="71">
        <f ca="1">-IF(C147=1,IF(E147='Invoer gegevens (N)'!$C$17,'Invoer gegevens (N)'!$C$11,AD147)*'Reeksen (N)'!S147*'Invoer gegevens (N)'!$C$18*'Reeksen (N)'!P147,0)</f>
        <v>0</v>
      </c>
      <c r="AU147" s="71">
        <f ca="1">-IF(C147=1,(F147+K147+L147+Q147)/2*'Invoer gegevens (N)'!$I$36*'Reeksen (N)'!H147,0)</f>
        <v>0</v>
      </c>
      <c r="AV147" s="71">
        <v>0</v>
      </c>
      <c r="AW147" s="71">
        <f t="shared" ca="1" si="30"/>
        <v>0</v>
      </c>
      <c r="AX147" s="71">
        <f ca="1">IF(E147&lt;'Invoer gegevens (N)'!$C$17+15,0,IF(E147&gt;'Invoer gegevens (N)'!$C$17+215,0,AW147))</f>
        <v>0</v>
      </c>
      <c r="AY147" s="71">
        <f ca="1">AX147/(1+'Invoer gegevens (N)'!$F$18)^($AZ147-('Invoer gegevens (N)'!$C$17-'Invoer gegevens (N)'!$C$16))/(1+'Invoer gegevens (N)'!$C$39)^('Invoer gegevens (N)'!$C$17-'Invoer gegevens (N)'!$C$16)</f>
        <v>0</v>
      </c>
      <c r="AZ147" s="68">
        <f ca="1">IF(E147-'Invoer gegevens (N)'!$C$17-14.5&lt;0,0,E147-'Invoer gegevens (N)'!$C$17-14.5)</f>
        <v>127.5</v>
      </c>
    </row>
    <row r="148" spans="2:52" x14ac:dyDescent="0.25">
      <c r="B148" s="70">
        <f t="shared" si="31"/>
        <v>144</v>
      </c>
      <c r="C148" s="67">
        <f ca="1">IF(E148-'Invoer gegevens (N)'!$C$17&lt;0,0,1)</f>
        <v>1</v>
      </c>
      <c r="D148" s="68">
        <f t="shared" si="32"/>
        <v>143.5</v>
      </c>
      <c r="E148" s="108">
        <f ca="1">IF('Invoer gegevens (N)'!$C$16="","",E147+1)</f>
        <v>2162</v>
      </c>
      <c r="F148" s="84">
        <f ca="1">IF('Invoer gegevens (N)'!$C$17=E148,'Invoer gegevens (N)'!$C$10,IF(C148=1,K147,0))</f>
        <v>0</v>
      </c>
      <c r="G148" s="96">
        <f ca="1">IF(C148&gt;=1,F148*VLOOKUP(E148,'Reeksen (N)'!$A$5:$B$76,2),0)</f>
        <v>0</v>
      </c>
      <c r="H148" s="84">
        <f ca="1">(1-('Invoer gegevens (N)'!$F$20/12))*F148*MIN('Reeksen (N)'!B148,'Reeksen (N)'!D148)</f>
        <v>0</v>
      </c>
      <c r="I148" s="84">
        <f>IF('Reeksen (N)'!D148&lt;'Reeksen (N)'!B148,('Reeksen (N)'!B148-'Reeksen (N)'!D148)*F148,0)</f>
        <v>0</v>
      </c>
      <c r="J148" s="84">
        <f ca="1">('Invoer gegevens (N)'!$F$20/12)*F147*MIN('Reeksen (N)'!B147,'Reeksen (N)'!D147)</f>
        <v>0</v>
      </c>
      <c r="K148" s="97">
        <f t="shared" ca="1" si="23"/>
        <v>0</v>
      </c>
      <c r="L148" s="84">
        <f ca="1">IF('Invoer gegevens (N)'!$C$17=E148,0,IF(C148=1,Q147,0))</f>
        <v>0</v>
      </c>
      <c r="M148" s="96">
        <f ca="1">IF(C148&gt;=1,L148*VLOOKUP(E148,'Reeksen (N)'!$A$5:$B$76,2),0)</f>
        <v>0</v>
      </c>
      <c r="N148" s="84">
        <f ca="1">(1-('Invoer gegevens (N)'!$F$20/12))*L148*MIN('Reeksen (N)'!B148,'Reeksen (N)'!D148)</f>
        <v>0</v>
      </c>
      <c r="O148" s="84">
        <f>IF('Reeksen (N)'!D148&lt;'Reeksen (N)'!B148,('Reeksen (N)'!B148-'Reeksen (N)'!D148)*L148,0)</f>
        <v>0</v>
      </c>
      <c r="P148" s="84">
        <f ca="1">('Invoer gegevens (N)'!$F$20/12)*L147*MIN('Reeksen (N)'!B147,'Reeksen (N)'!D147)</f>
        <v>0</v>
      </c>
      <c r="Q148" s="84">
        <f t="shared" ca="1" si="24"/>
        <v>0</v>
      </c>
      <c r="R148" s="82">
        <f ca="1">IF('Invoer gegevens (N)'!$C$17=E148,'Invoer gegevens (N)'!$C$11,IF(C148=1,W147,0))</f>
        <v>0</v>
      </c>
      <c r="S148" s="86">
        <f ca="1">IF(C148&gt;=1,R148*VLOOKUP(E148,'Reeksen (N)'!$A$5:$B$76,2),0)</f>
        <v>0</v>
      </c>
      <c r="T148" s="84">
        <f ca="1">(1-('Invoer gegevens (N)'!$F$20/12))*R148*MIN('Reeksen (N)'!B148,'Reeksen (N)'!D148)</f>
        <v>0</v>
      </c>
      <c r="U148" s="84">
        <f>IF('Reeksen (N)'!D148&gt;='Reeksen (N)'!B148,0,IF('Reeksen (N)'!AK148&lt;='Reeksen (N)'!AE148,('Reeksen (N)'!B148-'Reeksen (N)'!D148)*R148,0))</f>
        <v>0</v>
      </c>
      <c r="V148" s="86">
        <f>IF('Reeksen (N)'!D148&gt;='Reeksen (N)'!B148,0,IF('Reeksen (N)'!AK148&gt;'Reeksen (N)'!AE148,('Reeksen (N)'!B148-'Reeksen (N)'!D148)*R148,0))</f>
        <v>0</v>
      </c>
      <c r="W148" s="97">
        <f t="shared" ca="1" si="25"/>
        <v>0</v>
      </c>
      <c r="X148" s="98">
        <f ca="1">IF('Invoer gegevens (N)'!$C$17=E148,'Invoer gegevens (N)'!$C$10-'Invoer gegevens (N)'!$C$11,IF(C148=1,AC147,0))</f>
        <v>0</v>
      </c>
      <c r="Y148" s="98">
        <f ca="1">IF(C148&gt;=1,X148*VLOOKUP(E148,'Reeksen (N)'!$A$5:$B$76,2),0)</f>
        <v>0</v>
      </c>
      <c r="Z148" s="98">
        <f ca="1">(1-('Invoer gegevens (N)'!$F$20/12))*X148*MIN('Reeksen (N)'!B148,'Reeksen (N)'!D148)</f>
        <v>0</v>
      </c>
      <c r="AA148" s="98">
        <f>IF('Reeksen (N)'!D148&gt;='Reeksen (N)'!B148,0,IF('Reeksen (N)'!AK148&lt;='Reeksen (N)'!AE148,('Reeksen (N)'!B148-'Reeksen (N)'!D148)*X148,0))</f>
        <v>0</v>
      </c>
      <c r="AB148" s="98">
        <f>IF('Reeksen (N)'!D148&gt;='Reeksen (N)'!B148,0,IF('Reeksen (N)'!AK148&gt;'Reeksen (N)'!AE148,('Reeksen (N)'!B148-'Reeksen (N)'!D148)*X148,0))</f>
        <v>0</v>
      </c>
      <c r="AC148" s="99">
        <f t="shared" ca="1" si="26"/>
        <v>0</v>
      </c>
      <c r="AD148" s="98">
        <f ca="1">IF('Invoer gegevens (N)'!$C$17=E148,R148,IF(C148=0,0,AE147))</f>
        <v>0</v>
      </c>
      <c r="AE148" s="98">
        <f t="shared" ca="1" si="27"/>
        <v>0</v>
      </c>
      <c r="AF148" s="98">
        <f ca="1">IF('Invoer gegevens (N)'!$C$17=E148,X148,IF(C148=0,0,AG147))</f>
        <v>0</v>
      </c>
      <c r="AG148" s="98">
        <f t="shared" ca="1" si="28"/>
        <v>0</v>
      </c>
      <c r="AH148" s="68"/>
      <c r="AI148" s="71">
        <f ca="1">IF(C148=1,'Reeksen (N)'!AJ148*((F148-G148+F148)/2)*12+'Reeksen (N)'!AK148*((L148-M148+L148)/2)*12,0)</f>
        <v>0</v>
      </c>
      <c r="AJ148" s="71">
        <f ca="1">-AI148*'Invoer gegevens (N)'!$F$28</f>
        <v>0</v>
      </c>
      <c r="AK148" s="71">
        <f t="shared" ca="1" si="22"/>
        <v>0</v>
      </c>
      <c r="AL148" s="71">
        <f ca="1">IF(C148=1,'Reeksen (N)'!AL148*((F148-G148+F148)/2)*12+'Reeksen (N)'!AM148*((L148-M148+L148)/2)*12,0)</f>
        <v>0</v>
      </c>
      <c r="AM148" s="71">
        <f ca="1">-AL148*'Invoer gegevens (N)'!$F$31</f>
        <v>0</v>
      </c>
      <c r="AN148" s="71">
        <f t="shared" ca="1" si="29"/>
        <v>0</v>
      </c>
      <c r="AO148" s="71">
        <f ca="1">IF(C148=1,(H148+J148+N148+P148)*'Reeksen (N)'!AN148,0)</f>
        <v>0</v>
      </c>
      <c r="AP148" s="71">
        <f ca="1">-IF(C148=1,(H148+J148+N148+P148)*'Hulp - basis'!$O$550*'Reeksen (N)'!H148,0)</f>
        <v>0</v>
      </c>
      <c r="AQ148" s="71">
        <f ca="1">-IF(C148=1,(F148+K148+L148+Q148)/2*'Invoer gegevens (N)'!$I$33*'Reeksen (N)'!J148,0)*2</f>
        <v>0</v>
      </c>
      <c r="AR148" s="71">
        <f ca="1">-IF(C148=1,(I148*'Invoer gegevens (N)'!$I$34)*'Reeksen (N)'!J148,0)</f>
        <v>0</v>
      </c>
      <c r="AS148" s="71">
        <f ca="1">-IF(C148=1,(F148+K148+L148+Q148)/2*'Invoer gegevens (N)'!$I$35*'Reeksen (N)'!L148,0)</f>
        <v>0</v>
      </c>
      <c r="AT148" s="71">
        <f ca="1">-IF(C148=1,IF(E148='Invoer gegevens (N)'!$C$17,'Invoer gegevens (N)'!$C$11,AD148)*'Reeksen (N)'!S148*'Invoer gegevens (N)'!$C$18*'Reeksen (N)'!P148,0)</f>
        <v>0</v>
      </c>
      <c r="AU148" s="71">
        <f ca="1">-IF(C148=1,(F148+K148+L148+Q148)/2*'Invoer gegevens (N)'!$I$36*'Reeksen (N)'!H148,0)</f>
        <v>0</v>
      </c>
      <c r="AV148" s="71">
        <v>0</v>
      </c>
      <c r="AW148" s="71">
        <f t="shared" ca="1" si="30"/>
        <v>0</v>
      </c>
      <c r="AX148" s="71">
        <f ca="1">IF(E148&lt;'Invoer gegevens (N)'!$C$17+15,0,IF(E148&gt;'Invoer gegevens (N)'!$C$17+215,0,AW148))</f>
        <v>0</v>
      </c>
      <c r="AY148" s="71">
        <f ca="1">AX148/(1+'Invoer gegevens (N)'!$F$18)^($AZ148-('Invoer gegevens (N)'!$C$17-'Invoer gegevens (N)'!$C$16))/(1+'Invoer gegevens (N)'!$C$39)^('Invoer gegevens (N)'!$C$17-'Invoer gegevens (N)'!$C$16)</f>
        <v>0</v>
      </c>
      <c r="AZ148" s="68">
        <f ca="1">IF(E148-'Invoer gegevens (N)'!$C$17-14.5&lt;0,0,E148-'Invoer gegevens (N)'!$C$17-14.5)</f>
        <v>128.5</v>
      </c>
    </row>
    <row r="149" spans="2:52" x14ac:dyDescent="0.25">
      <c r="B149" s="70">
        <f t="shared" si="31"/>
        <v>145</v>
      </c>
      <c r="C149" s="67">
        <f ca="1">IF(E149-'Invoer gegevens (N)'!$C$17&lt;0,0,1)</f>
        <v>1</v>
      </c>
      <c r="D149" s="68">
        <f t="shared" si="32"/>
        <v>144.5</v>
      </c>
      <c r="E149" s="108">
        <f ca="1">IF('Invoer gegevens (N)'!$C$16="","",E148+1)</f>
        <v>2163</v>
      </c>
      <c r="F149" s="84">
        <f ca="1">IF('Invoer gegevens (N)'!$C$17=E149,'Invoer gegevens (N)'!$C$10,IF(C149=1,K148,0))</f>
        <v>0</v>
      </c>
      <c r="G149" s="96">
        <f ca="1">IF(C149&gt;=1,F149*VLOOKUP(E149,'Reeksen (N)'!$A$5:$B$76,2),0)</f>
        <v>0</v>
      </c>
      <c r="H149" s="84">
        <f ca="1">(1-('Invoer gegevens (N)'!$F$20/12))*F149*MIN('Reeksen (N)'!B149,'Reeksen (N)'!D149)</f>
        <v>0</v>
      </c>
      <c r="I149" s="84">
        <f>IF('Reeksen (N)'!D149&lt;'Reeksen (N)'!B149,('Reeksen (N)'!B149-'Reeksen (N)'!D149)*F149,0)</f>
        <v>0</v>
      </c>
      <c r="J149" s="84">
        <f ca="1">('Invoer gegevens (N)'!$F$20/12)*F148*MIN('Reeksen (N)'!B148,'Reeksen (N)'!D148)</f>
        <v>0</v>
      </c>
      <c r="K149" s="97">
        <f t="shared" ca="1" si="23"/>
        <v>0</v>
      </c>
      <c r="L149" s="84">
        <f ca="1">IF('Invoer gegevens (N)'!$C$17=E149,0,IF(C149=1,Q148,0))</f>
        <v>0</v>
      </c>
      <c r="M149" s="96">
        <f ca="1">IF(C149&gt;=1,L149*VLOOKUP(E149,'Reeksen (N)'!$A$5:$B$76,2),0)</f>
        <v>0</v>
      </c>
      <c r="N149" s="84">
        <f ca="1">(1-('Invoer gegevens (N)'!$F$20/12))*L149*MIN('Reeksen (N)'!B149,'Reeksen (N)'!D149)</f>
        <v>0</v>
      </c>
      <c r="O149" s="84">
        <f>IF('Reeksen (N)'!D149&lt;'Reeksen (N)'!B149,('Reeksen (N)'!B149-'Reeksen (N)'!D149)*L149,0)</f>
        <v>0</v>
      </c>
      <c r="P149" s="84">
        <f ca="1">('Invoer gegevens (N)'!$F$20/12)*L148*MIN('Reeksen (N)'!B148,'Reeksen (N)'!D148)</f>
        <v>0</v>
      </c>
      <c r="Q149" s="84">
        <f t="shared" ca="1" si="24"/>
        <v>0</v>
      </c>
      <c r="R149" s="82">
        <f ca="1">IF('Invoer gegevens (N)'!$C$17=E149,'Invoer gegevens (N)'!$C$11,IF(C149=1,W148,0))</f>
        <v>0</v>
      </c>
      <c r="S149" s="86">
        <f ca="1">IF(C149&gt;=1,R149*VLOOKUP(E149,'Reeksen (N)'!$A$5:$B$76,2),0)</f>
        <v>0</v>
      </c>
      <c r="T149" s="84">
        <f ca="1">(1-('Invoer gegevens (N)'!$F$20/12))*R149*MIN('Reeksen (N)'!B149,'Reeksen (N)'!D149)</f>
        <v>0</v>
      </c>
      <c r="U149" s="84">
        <f>IF('Reeksen (N)'!D149&gt;='Reeksen (N)'!B149,0,IF('Reeksen (N)'!AK149&lt;='Reeksen (N)'!AE149,('Reeksen (N)'!B149-'Reeksen (N)'!D149)*R149,0))</f>
        <v>0</v>
      </c>
      <c r="V149" s="86">
        <f>IF('Reeksen (N)'!D149&gt;='Reeksen (N)'!B149,0,IF('Reeksen (N)'!AK149&gt;'Reeksen (N)'!AE149,('Reeksen (N)'!B149-'Reeksen (N)'!D149)*R149,0))</f>
        <v>0</v>
      </c>
      <c r="W149" s="97">
        <f t="shared" ca="1" si="25"/>
        <v>0</v>
      </c>
      <c r="X149" s="98">
        <f ca="1">IF('Invoer gegevens (N)'!$C$17=E149,'Invoer gegevens (N)'!$C$10-'Invoer gegevens (N)'!$C$11,IF(C149=1,AC148,0))</f>
        <v>0</v>
      </c>
      <c r="Y149" s="98">
        <f ca="1">IF(C149&gt;=1,X149*VLOOKUP(E149,'Reeksen (N)'!$A$5:$B$76,2),0)</f>
        <v>0</v>
      </c>
      <c r="Z149" s="98">
        <f ca="1">(1-('Invoer gegevens (N)'!$F$20/12))*X149*MIN('Reeksen (N)'!B149,'Reeksen (N)'!D149)</f>
        <v>0</v>
      </c>
      <c r="AA149" s="98">
        <f>IF('Reeksen (N)'!D149&gt;='Reeksen (N)'!B149,0,IF('Reeksen (N)'!AK149&lt;='Reeksen (N)'!AE149,('Reeksen (N)'!B149-'Reeksen (N)'!D149)*X149,0))</f>
        <v>0</v>
      </c>
      <c r="AB149" s="98">
        <f>IF('Reeksen (N)'!D149&gt;='Reeksen (N)'!B149,0,IF('Reeksen (N)'!AK149&gt;'Reeksen (N)'!AE149,('Reeksen (N)'!B149-'Reeksen (N)'!D149)*X149,0))</f>
        <v>0</v>
      </c>
      <c r="AC149" s="99">
        <f t="shared" ca="1" si="26"/>
        <v>0</v>
      </c>
      <c r="AD149" s="98">
        <f ca="1">IF('Invoer gegevens (N)'!$C$17=E149,R149,IF(C149=0,0,AE148))</f>
        <v>0</v>
      </c>
      <c r="AE149" s="98">
        <f t="shared" ca="1" si="27"/>
        <v>0</v>
      </c>
      <c r="AF149" s="98">
        <f ca="1">IF('Invoer gegevens (N)'!$C$17=E149,X149,IF(C149=0,0,AG148))</f>
        <v>0</v>
      </c>
      <c r="AG149" s="98">
        <f t="shared" ca="1" si="28"/>
        <v>0</v>
      </c>
      <c r="AH149" s="68"/>
      <c r="AI149" s="71">
        <f ca="1">IF(C149=1,'Reeksen (N)'!AJ149*((F149-G149+F149)/2)*12+'Reeksen (N)'!AK149*((L149-M149+L149)/2)*12,0)</f>
        <v>0</v>
      </c>
      <c r="AJ149" s="71">
        <f ca="1">-AI149*'Invoer gegevens (N)'!$F$28</f>
        <v>0</v>
      </c>
      <c r="AK149" s="71">
        <f t="shared" ca="1" si="22"/>
        <v>0</v>
      </c>
      <c r="AL149" s="71">
        <f ca="1">IF(C149=1,'Reeksen (N)'!AL149*((F149-G149+F149)/2)*12+'Reeksen (N)'!AM149*((L149-M149+L149)/2)*12,0)</f>
        <v>0</v>
      </c>
      <c r="AM149" s="71">
        <f ca="1">-AL149*'Invoer gegevens (N)'!$F$31</f>
        <v>0</v>
      </c>
      <c r="AN149" s="71">
        <f t="shared" ca="1" si="29"/>
        <v>0</v>
      </c>
      <c r="AO149" s="71">
        <f ca="1">IF(C149=1,(H149+J149+N149+P149)*'Reeksen (N)'!AN149,0)</f>
        <v>0</v>
      </c>
      <c r="AP149" s="71">
        <f ca="1">-IF(C149=1,(H149+J149+N149+P149)*'Hulp - basis'!$O$550*'Reeksen (N)'!H149,0)</f>
        <v>0</v>
      </c>
      <c r="AQ149" s="71">
        <f ca="1">-IF(C149=1,(F149+K149+L149+Q149)/2*'Invoer gegevens (N)'!$I$33*'Reeksen (N)'!J149,0)*2</f>
        <v>0</v>
      </c>
      <c r="AR149" s="71">
        <f ca="1">-IF(C149=1,(I149*'Invoer gegevens (N)'!$I$34)*'Reeksen (N)'!J149,0)</f>
        <v>0</v>
      </c>
      <c r="AS149" s="71">
        <f ca="1">-IF(C149=1,(F149+K149+L149+Q149)/2*'Invoer gegevens (N)'!$I$35*'Reeksen (N)'!L149,0)</f>
        <v>0</v>
      </c>
      <c r="AT149" s="71">
        <f ca="1">-IF(C149=1,IF(E149='Invoer gegevens (N)'!$C$17,'Invoer gegevens (N)'!$C$11,AD149)*'Reeksen (N)'!S149*'Invoer gegevens (N)'!$C$18*'Reeksen (N)'!P149,0)</f>
        <v>0</v>
      </c>
      <c r="AU149" s="71">
        <f ca="1">-IF(C149=1,(F149+K149+L149+Q149)/2*'Invoer gegevens (N)'!$I$36*'Reeksen (N)'!H149,0)</f>
        <v>0</v>
      </c>
      <c r="AV149" s="71">
        <v>0</v>
      </c>
      <c r="AW149" s="71">
        <f t="shared" ca="1" si="30"/>
        <v>0</v>
      </c>
      <c r="AX149" s="71">
        <f ca="1">IF(E149&lt;'Invoer gegevens (N)'!$C$17+15,0,IF(E149&gt;'Invoer gegevens (N)'!$C$17+215,0,AW149))</f>
        <v>0</v>
      </c>
      <c r="AY149" s="71">
        <f ca="1">AX149/(1+'Invoer gegevens (N)'!$F$18)^($AZ149-('Invoer gegevens (N)'!$C$17-'Invoer gegevens (N)'!$C$16))/(1+'Invoer gegevens (N)'!$C$39)^('Invoer gegevens (N)'!$C$17-'Invoer gegevens (N)'!$C$16)</f>
        <v>0</v>
      </c>
      <c r="AZ149" s="68">
        <f ca="1">IF(E149-'Invoer gegevens (N)'!$C$17-14.5&lt;0,0,E149-'Invoer gegevens (N)'!$C$17-14.5)</f>
        <v>129.5</v>
      </c>
    </row>
    <row r="150" spans="2:52" x14ac:dyDescent="0.25">
      <c r="B150" s="70">
        <f t="shared" si="31"/>
        <v>146</v>
      </c>
      <c r="C150" s="67">
        <f ca="1">IF(E150-'Invoer gegevens (N)'!$C$17&lt;0,0,1)</f>
        <v>1</v>
      </c>
      <c r="D150" s="68">
        <f t="shared" si="32"/>
        <v>145.5</v>
      </c>
      <c r="E150" s="108">
        <f ca="1">IF('Invoer gegevens (N)'!$C$16="","",E149+1)</f>
        <v>2164</v>
      </c>
      <c r="F150" s="84">
        <f ca="1">IF('Invoer gegevens (N)'!$C$17=E150,'Invoer gegevens (N)'!$C$10,IF(C150=1,K149,0))</f>
        <v>0</v>
      </c>
      <c r="G150" s="96">
        <f ca="1">IF(C150&gt;=1,F150*VLOOKUP(E150,'Reeksen (N)'!$A$5:$B$76,2),0)</f>
        <v>0</v>
      </c>
      <c r="H150" s="84">
        <f ca="1">(1-('Invoer gegevens (N)'!$F$20/12))*F150*MIN('Reeksen (N)'!B150,'Reeksen (N)'!D150)</f>
        <v>0</v>
      </c>
      <c r="I150" s="84">
        <f>IF('Reeksen (N)'!D150&lt;'Reeksen (N)'!B150,('Reeksen (N)'!B150-'Reeksen (N)'!D150)*F150,0)</f>
        <v>0</v>
      </c>
      <c r="J150" s="84">
        <f ca="1">('Invoer gegevens (N)'!$F$20/12)*F149*MIN('Reeksen (N)'!B149,'Reeksen (N)'!D149)</f>
        <v>0</v>
      </c>
      <c r="K150" s="97">
        <f t="shared" ca="1" si="23"/>
        <v>0</v>
      </c>
      <c r="L150" s="84">
        <f ca="1">IF('Invoer gegevens (N)'!$C$17=E150,0,IF(C150=1,Q149,0))</f>
        <v>0</v>
      </c>
      <c r="M150" s="96">
        <f ca="1">IF(C150&gt;=1,L150*VLOOKUP(E150,'Reeksen (N)'!$A$5:$B$76,2),0)</f>
        <v>0</v>
      </c>
      <c r="N150" s="84">
        <f ca="1">(1-('Invoer gegevens (N)'!$F$20/12))*L150*MIN('Reeksen (N)'!B150,'Reeksen (N)'!D150)</f>
        <v>0</v>
      </c>
      <c r="O150" s="84">
        <f>IF('Reeksen (N)'!D150&lt;'Reeksen (N)'!B150,('Reeksen (N)'!B150-'Reeksen (N)'!D150)*L150,0)</f>
        <v>0</v>
      </c>
      <c r="P150" s="84">
        <f ca="1">('Invoer gegevens (N)'!$F$20/12)*L149*MIN('Reeksen (N)'!B149,'Reeksen (N)'!D149)</f>
        <v>0</v>
      </c>
      <c r="Q150" s="84">
        <f t="shared" ca="1" si="24"/>
        <v>0</v>
      </c>
      <c r="R150" s="82">
        <f ca="1">IF('Invoer gegevens (N)'!$C$17=E150,'Invoer gegevens (N)'!$C$11,IF(C150=1,W149,0))</f>
        <v>0</v>
      </c>
      <c r="S150" s="86">
        <f ca="1">IF(C150&gt;=1,R150*VLOOKUP(E150,'Reeksen (N)'!$A$5:$B$76,2),0)</f>
        <v>0</v>
      </c>
      <c r="T150" s="84">
        <f ca="1">(1-('Invoer gegevens (N)'!$F$20/12))*R150*MIN('Reeksen (N)'!B150,'Reeksen (N)'!D150)</f>
        <v>0</v>
      </c>
      <c r="U150" s="84">
        <f>IF('Reeksen (N)'!D150&gt;='Reeksen (N)'!B150,0,IF('Reeksen (N)'!AK150&lt;='Reeksen (N)'!AE150,('Reeksen (N)'!B150-'Reeksen (N)'!D150)*R150,0))</f>
        <v>0</v>
      </c>
      <c r="V150" s="86">
        <f>IF('Reeksen (N)'!D150&gt;='Reeksen (N)'!B150,0,IF('Reeksen (N)'!AK150&gt;'Reeksen (N)'!AE150,('Reeksen (N)'!B150-'Reeksen (N)'!D150)*R150,0))</f>
        <v>0</v>
      </c>
      <c r="W150" s="97">
        <f t="shared" ca="1" si="25"/>
        <v>0</v>
      </c>
      <c r="X150" s="98">
        <f ca="1">IF('Invoer gegevens (N)'!$C$17=E150,'Invoer gegevens (N)'!$C$10-'Invoer gegevens (N)'!$C$11,IF(C150=1,AC149,0))</f>
        <v>0</v>
      </c>
      <c r="Y150" s="98">
        <f ca="1">IF(C150&gt;=1,X150*VLOOKUP(E150,'Reeksen (N)'!$A$5:$B$76,2),0)</f>
        <v>0</v>
      </c>
      <c r="Z150" s="98">
        <f ca="1">(1-('Invoer gegevens (N)'!$F$20/12))*X150*MIN('Reeksen (N)'!B150,'Reeksen (N)'!D150)</f>
        <v>0</v>
      </c>
      <c r="AA150" s="98">
        <f>IF('Reeksen (N)'!D150&gt;='Reeksen (N)'!B150,0,IF('Reeksen (N)'!AK150&lt;='Reeksen (N)'!AE150,('Reeksen (N)'!B150-'Reeksen (N)'!D150)*X150,0))</f>
        <v>0</v>
      </c>
      <c r="AB150" s="98">
        <f>IF('Reeksen (N)'!D150&gt;='Reeksen (N)'!B150,0,IF('Reeksen (N)'!AK150&gt;'Reeksen (N)'!AE150,('Reeksen (N)'!B150-'Reeksen (N)'!D150)*X150,0))</f>
        <v>0</v>
      </c>
      <c r="AC150" s="99">
        <f t="shared" ca="1" si="26"/>
        <v>0</v>
      </c>
      <c r="AD150" s="98">
        <f ca="1">IF('Invoer gegevens (N)'!$C$17=E150,R150,IF(C150=0,0,AE149))</f>
        <v>0</v>
      </c>
      <c r="AE150" s="98">
        <f t="shared" ca="1" si="27"/>
        <v>0</v>
      </c>
      <c r="AF150" s="98">
        <f ca="1">IF('Invoer gegevens (N)'!$C$17=E150,X150,IF(C150=0,0,AG149))</f>
        <v>0</v>
      </c>
      <c r="AG150" s="98">
        <f t="shared" ca="1" si="28"/>
        <v>0</v>
      </c>
      <c r="AH150" s="68"/>
      <c r="AI150" s="71">
        <f ca="1">IF(C150=1,'Reeksen (N)'!AJ150*((F150-G150+F150)/2)*12+'Reeksen (N)'!AK150*((L150-M150+L150)/2)*12,0)</f>
        <v>0</v>
      </c>
      <c r="AJ150" s="71">
        <f ca="1">-AI150*'Invoer gegevens (N)'!$F$28</f>
        <v>0</v>
      </c>
      <c r="AK150" s="71">
        <f t="shared" ca="1" si="22"/>
        <v>0</v>
      </c>
      <c r="AL150" s="71">
        <f ca="1">IF(C150=1,'Reeksen (N)'!AL150*((F150-G150+F150)/2)*12+'Reeksen (N)'!AM150*((L150-M150+L150)/2)*12,0)</f>
        <v>0</v>
      </c>
      <c r="AM150" s="71">
        <f ca="1">-AL150*'Invoer gegevens (N)'!$F$31</f>
        <v>0</v>
      </c>
      <c r="AN150" s="71">
        <f t="shared" ca="1" si="29"/>
        <v>0</v>
      </c>
      <c r="AO150" s="71">
        <f ca="1">IF(C150=1,(H150+J150+N150+P150)*'Reeksen (N)'!AN150,0)</f>
        <v>0</v>
      </c>
      <c r="AP150" s="71">
        <f ca="1">-IF(C150=1,(H150+J150+N150+P150)*'Hulp - basis'!$O$550*'Reeksen (N)'!H150,0)</f>
        <v>0</v>
      </c>
      <c r="AQ150" s="71">
        <f ca="1">-IF(C150=1,(F150+K150+L150+Q150)/2*'Invoer gegevens (N)'!$I$33*'Reeksen (N)'!J150,0)*2</f>
        <v>0</v>
      </c>
      <c r="AR150" s="71">
        <f ca="1">-IF(C150=1,(I150*'Invoer gegevens (N)'!$I$34)*'Reeksen (N)'!J150,0)</f>
        <v>0</v>
      </c>
      <c r="AS150" s="71">
        <f ca="1">-IF(C150=1,(F150+K150+L150+Q150)/2*'Invoer gegevens (N)'!$I$35*'Reeksen (N)'!L150,0)</f>
        <v>0</v>
      </c>
      <c r="AT150" s="71">
        <f ca="1">-IF(C150=1,IF(E150='Invoer gegevens (N)'!$C$17,'Invoer gegevens (N)'!$C$11,AD150)*'Reeksen (N)'!S150*'Invoer gegevens (N)'!$C$18*'Reeksen (N)'!P150,0)</f>
        <v>0</v>
      </c>
      <c r="AU150" s="71">
        <f ca="1">-IF(C150=1,(F150+K150+L150+Q150)/2*'Invoer gegevens (N)'!$I$36*'Reeksen (N)'!H150,0)</f>
        <v>0</v>
      </c>
      <c r="AV150" s="71">
        <v>0</v>
      </c>
      <c r="AW150" s="71">
        <f t="shared" ca="1" si="30"/>
        <v>0</v>
      </c>
      <c r="AX150" s="71">
        <f ca="1">IF(E150&lt;'Invoer gegevens (N)'!$C$17+15,0,IF(E150&gt;'Invoer gegevens (N)'!$C$17+215,0,AW150))</f>
        <v>0</v>
      </c>
      <c r="AY150" s="71">
        <f ca="1">AX150/(1+'Invoer gegevens (N)'!$F$18)^($AZ150-('Invoer gegevens (N)'!$C$17-'Invoer gegevens (N)'!$C$16))/(1+'Invoer gegevens (N)'!$C$39)^('Invoer gegevens (N)'!$C$17-'Invoer gegevens (N)'!$C$16)</f>
        <v>0</v>
      </c>
      <c r="AZ150" s="68">
        <f ca="1">IF(E150-'Invoer gegevens (N)'!$C$17-14.5&lt;0,0,E150-'Invoer gegevens (N)'!$C$17-14.5)</f>
        <v>130.5</v>
      </c>
    </row>
    <row r="151" spans="2:52" x14ac:dyDescent="0.25">
      <c r="B151" s="70">
        <f t="shared" si="31"/>
        <v>147</v>
      </c>
      <c r="C151" s="67">
        <f ca="1">IF(E151-'Invoer gegevens (N)'!$C$17&lt;0,0,1)</f>
        <v>1</v>
      </c>
      <c r="D151" s="68">
        <f t="shared" si="32"/>
        <v>146.5</v>
      </c>
      <c r="E151" s="108">
        <f ca="1">IF('Invoer gegevens (N)'!$C$16="","",E150+1)</f>
        <v>2165</v>
      </c>
      <c r="F151" s="84">
        <f ca="1">IF('Invoer gegevens (N)'!$C$17=E151,'Invoer gegevens (N)'!$C$10,IF(C151=1,K150,0))</f>
        <v>0</v>
      </c>
      <c r="G151" s="96">
        <f ca="1">IF(C151&gt;=1,F151*VLOOKUP(E151,'Reeksen (N)'!$A$5:$B$76,2),0)</f>
        <v>0</v>
      </c>
      <c r="H151" s="84">
        <f ca="1">(1-('Invoer gegevens (N)'!$F$20/12))*F151*MIN('Reeksen (N)'!B151,'Reeksen (N)'!D151)</f>
        <v>0</v>
      </c>
      <c r="I151" s="84">
        <f>IF('Reeksen (N)'!D151&lt;'Reeksen (N)'!B151,('Reeksen (N)'!B151-'Reeksen (N)'!D151)*F151,0)</f>
        <v>0</v>
      </c>
      <c r="J151" s="84">
        <f ca="1">('Invoer gegevens (N)'!$F$20/12)*F150*MIN('Reeksen (N)'!B150,'Reeksen (N)'!D150)</f>
        <v>0</v>
      </c>
      <c r="K151" s="97">
        <f t="shared" ca="1" si="23"/>
        <v>0</v>
      </c>
      <c r="L151" s="84">
        <f ca="1">IF('Invoer gegevens (N)'!$C$17=E151,0,IF(C151=1,Q150,0))</f>
        <v>0</v>
      </c>
      <c r="M151" s="96">
        <f ca="1">IF(C151&gt;=1,L151*VLOOKUP(E151,'Reeksen (N)'!$A$5:$B$76,2),0)</f>
        <v>0</v>
      </c>
      <c r="N151" s="84">
        <f ca="1">(1-('Invoer gegevens (N)'!$F$20/12))*L151*MIN('Reeksen (N)'!B151,'Reeksen (N)'!D151)</f>
        <v>0</v>
      </c>
      <c r="O151" s="84">
        <f>IF('Reeksen (N)'!D151&lt;'Reeksen (N)'!B151,('Reeksen (N)'!B151-'Reeksen (N)'!D151)*L151,0)</f>
        <v>0</v>
      </c>
      <c r="P151" s="84">
        <f ca="1">('Invoer gegevens (N)'!$F$20/12)*L150*MIN('Reeksen (N)'!B150,'Reeksen (N)'!D150)</f>
        <v>0</v>
      </c>
      <c r="Q151" s="84">
        <f t="shared" ca="1" si="24"/>
        <v>0</v>
      </c>
      <c r="R151" s="82">
        <f ca="1">IF('Invoer gegevens (N)'!$C$17=E151,'Invoer gegevens (N)'!$C$11,IF(C151=1,W150,0))</f>
        <v>0</v>
      </c>
      <c r="S151" s="86">
        <f ca="1">IF(C151&gt;=1,R151*VLOOKUP(E151,'Reeksen (N)'!$A$5:$B$76,2),0)</f>
        <v>0</v>
      </c>
      <c r="T151" s="84">
        <f ca="1">(1-('Invoer gegevens (N)'!$F$20/12))*R151*MIN('Reeksen (N)'!B151,'Reeksen (N)'!D151)</f>
        <v>0</v>
      </c>
      <c r="U151" s="84">
        <f>IF('Reeksen (N)'!D151&gt;='Reeksen (N)'!B151,0,IF('Reeksen (N)'!AK151&lt;='Reeksen (N)'!AE151,('Reeksen (N)'!B151-'Reeksen (N)'!D151)*R151,0))</f>
        <v>0</v>
      </c>
      <c r="V151" s="86">
        <f>IF('Reeksen (N)'!D151&gt;='Reeksen (N)'!B151,0,IF('Reeksen (N)'!AK151&gt;'Reeksen (N)'!AE151,('Reeksen (N)'!B151-'Reeksen (N)'!D151)*R151,0))</f>
        <v>0</v>
      </c>
      <c r="W151" s="97">
        <f t="shared" ca="1" si="25"/>
        <v>0</v>
      </c>
      <c r="X151" s="98">
        <f ca="1">IF('Invoer gegevens (N)'!$C$17=E151,'Invoer gegevens (N)'!$C$10-'Invoer gegevens (N)'!$C$11,IF(C151=1,AC150,0))</f>
        <v>0</v>
      </c>
      <c r="Y151" s="98">
        <f ca="1">IF(C151&gt;=1,X151*VLOOKUP(E151,'Reeksen (N)'!$A$5:$B$76,2),0)</f>
        <v>0</v>
      </c>
      <c r="Z151" s="98">
        <f ca="1">(1-('Invoer gegevens (N)'!$F$20/12))*X151*MIN('Reeksen (N)'!B151,'Reeksen (N)'!D151)</f>
        <v>0</v>
      </c>
      <c r="AA151" s="98">
        <f>IF('Reeksen (N)'!D151&gt;='Reeksen (N)'!B151,0,IF('Reeksen (N)'!AK151&lt;='Reeksen (N)'!AE151,('Reeksen (N)'!B151-'Reeksen (N)'!D151)*X151,0))</f>
        <v>0</v>
      </c>
      <c r="AB151" s="98">
        <f>IF('Reeksen (N)'!D151&gt;='Reeksen (N)'!B151,0,IF('Reeksen (N)'!AK151&gt;'Reeksen (N)'!AE151,('Reeksen (N)'!B151-'Reeksen (N)'!D151)*X151,0))</f>
        <v>0</v>
      </c>
      <c r="AC151" s="99">
        <f t="shared" ca="1" si="26"/>
        <v>0</v>
      </c>
      <c r="AD151" s="98">
        <f ca="1">IF('Invoer gegevens (N)'!$C$17=E151,R151,IF(C151=0,0,AE150))</f>
        <v>0</v>
      </c>
      <c r="AE151" s="98">
        <f t="shared" ca="1" si="27"/>
        <v>0</v>
      </c>
      <c r="AF151" s="98">
        <f ca="1">IF('Invoer gegevens (N)'!$C$17=E151,X151,IF(C151=0,0,AG150))</f>
        <v>0</v>
      </c>
      <c r="AG151" s="98">
        <f t="shared" ca="1" si="28"/>
        <v>0</v>
      </c>
      <c r="AH151" s="68"/>
      <c r="AI151" s="71">
        <f ca="1">IF(C151=1,'Reeksen (N)'!AJ151*((F151-G151+F151)/2)*12+'Reeksen (N)'!AK151*((L151-M151+L151)/2)*12,0)</f>
        <v>0</v>
      </c>
      <c r="AJ151" s="71">
        <f ca="1">-AI151*'Invoer gegevens (N)'!$F$28</f>
        <v>0</v>
      </c>
      <c r="AK151" s="71">
        <f t="shared" ca="1" si="22"/>
        <v>0</v>
      </c>
      <c r="AL151" s="71">
        <f ca="1">IF(C151=1,'Reeksen (N)'!AL151*((F151-G151+F151)/2)*12+'Reeksen (N)'!AM151*((L151-M151+L151)/2)*12,0)</f>
        <v>0</v>
      </c>
      <c r="AM151" s="71">
        <f ca="1">-AL151*'Invoer gegevens (N)'!$F$31</f>
        <v>0</v>
      </c>
      <c r="AN151" s="71">
        <f t="shared" ca="1" si="29"/>
        <v>0</v>
      </c>
      <c r="AO151" s="71">
        <f ca="1">IF(C151=1,(H151+J151+N151+P151)*'Reeksen (N)'!AN151,0)</f>
        <v>0</v>
      </c>
      <c r="AP151" s="71">
        <f ca="1">-IF(C151=1,(H151+J151+N151+P151)*'Hulp - basis'!$O$550*'Reeksen (N)'!H151,0)</f>
        <v>0</v>
      </c>
      <c r="AQ151" s="71">
        <f ca="1">-IF(C151=1,(F151+K151+L151+Q151)/2*'Invoer gegevens (N)'!$I$33*'Reeksen (N)'!J151,0)*2</f>
        <v>0</v>
      </c>
      <c r="AR151" s="71">
        <f ca="1">-IF(C151=1,(I151*'Invoer gegevens (N)'!$I$34)*'Reeksen (N)'!J151,0)</f>
        <v>0</v>
      </c>
      <c r="AS151" s="71">
        <f ca="1">-IF(C151=1,(F151+K151+L151+Q151)/2*'Invoer gegevens (N)'!$I$35*'Reeksen (N)'!L151,0)</f>
        <v>0</v>
      </c>
      <c r="AT151" s="71">
        <f ca="1">-IF(C151=1,IF(E151='Invoer gegevens (N)'!$C$17,'Invoer gegevens (N)'!$C$11,AD151)*'Reeksen (N)'!S151*'Invoer gegevens (N)'!$C$18*'Reeksen (N)'!P151,0)</f>
        <v>0</v>
      </c>
      <c r="AU151" s="71">
        <f ca="1">-IF(C151=1,(F151+K151+L151+Q151)/2*'Invoer gegevens (N)'!$I$36*'Reeksen (N)'!H151,0)</f>
        <v>0</v>
      </c>
      <c r="AV151" s="71">
        <v>0</v>
      </c>
      <c r="AW151" s="71">
        <f t="shared" ca="1" si="30"/>
        <v>0</v>
      </c>
      <c r="AX151" s="71">
        <f ca="1">IF(E151&lt;'Invoer gegevens (N)'!$C$17+15,0,IF(E151&gt;'Invoer gegevens (N)'!$C$17+215,0,AW151))</f>
        <v>0</v>
      </c>
      <c r="AY151" s="71">
        <f ca="1">AX151/(1+'Invoer gegevens (N)'!$F$18)^($AZ151-('Invoer gegevens (N)'!$C$17-'Invoer gegevens (N)'!$C$16))/(1+'Invoer gegevens (N)'!$C$39)^('Invoer gegevens (N)'!$C$17-'Invoer gegevens (N)'!$C$16)</f>
        <v>0</v>
      </c>
      <c r="AZ151" s="68">
        <f ca="1">IF(E151-'Invoer gegevens (N)'!$C$17-14.5&lt;0,0,E151-'Invoer gegevens (N)'!$C$17-14.5)</f>
        <v>131.5</v>
      </c>
    </row>
    <row r="152" spans="2:52" x14ac:dyDescent="0.25">
      <c r="B152" s="70">
        <f t="shared" si="31"/>
        <v>148</v>
      </c>
      <c r="C152" s="67">
        <f ca="1">IF(E152-'Invoer gegevens (N)'!$C$17&lt;0,0,1)</f>
        <v>1</v>
      </c>
      <c r="D152" s="68">
        <f t="shared" si="32"/>
        <v>147.5</v>
      </c>
      <c r="E152" s="108">
        <f ca="1">IF('Invoer gegevens (N)'!$C$16="","",E151+1)</f>
        <v>2166</v>
      </c>
      <c r="F152" s="84">
        <f ca="1">IF('Invoer gegevens (N)'!$C$17=E152,'Invoer gegevens (N)'!$C$10,IF(C152=1,K151,0))</f>
        <v>0</v>
      </c>
      <c r="G152" s="96">
        <f ca="1">IF(C152&gt;=1,F152*VLOOKUP(E152,'Reeksen (N)'!$A$5:$B$76,2),0)</f>
        <v>0</v>
      </c>
      <c r="H152" s="84">
        <f ca="1">(1-('Invoer gegevens (N)'!$F$20/12))*F152*MIN('Reeksen (N)'!B152,'Reeksen (N)'!D152)</f>
        <v>0</v>
      </c>
      <c r="I152" s="84">
        <f>IF('Reeksen (N)'!D152&lt;'Reeksen (N)'!B152,('Reeksen (N)'!B152-'Reeksen (N)'!D152)*F152,0)</f>
        <v>0</v>
      </c>
      <c r="J152" s="84">
        <f ca="1">('Invoer gegevens (N)'!$F$20/12)*F151*MIN('Reeksen (N)'!B151,'Reeksen (N)'!D151)</f>
        <v>0</v>
      </c>
      <c r="K152" s="97">
        <f t="shared" ca="1" si="23"/>
        <v>0</v>
      </c>
      <c r="L152" s="84">
        <f ca="1">IF('Invoer gegevens (N)'!$C$17=E152,0,IF(C152=1,Q151,0))</f>
        <v>0</v>
      </c>
      <c r="M152" s="96">
        <f ca="1">IF(C152&gt;=1,L152*VLOOKUP(E152,'Reeksen (N)'!$A$5:$B$76,2),0)</f>
        <v>0</v>
      </c>
      <c r="N152" s="84">
        <f ca="1">(1-('Invoer gegevens (N)'!$F$20/12))*L152*MIN('Reeksen (N)'!B152,'Reeksen (N)'!D152)</f>
        <v>0</v>
      </c>
      <c r="O152" s="84">
        <f>IF('Reeksen (N)'!D152&lt;'Reeksen (N)'!B152,('Reeksen (N)'!B152-'Reeksen (N)'!D152)*L152,0)</f>
        <v>0</v>
      </c>
      <c r="P152" s="84">
        <f ca="1">('Invoer gegevens (N)'!$F$20/12)*L151*MIN('Reeksen (N)'!B151,'Reeksen (N)'!D151)</f>
        <v>0</v>
      </c>
      <c r="Q152" s="84">
        <f t="shared" ca="1" si="24"/>
        <v>0</v>
      </c>
      <c r="R152" s="82">
        <f ca="1">IF('Invoer gegevens (N)'!$C$17=E152,'Invoer gegevens (N)'!$C$11,IF(C152=1,W151,0))</f>
        <v>0</v>
      </c>
      <c r="S152" s="86">
        <f ca="1">IF(C152&gt;=1,R152*VLOOKUP(E152,'Reeksen (N)'!$A$5:$B$76,2),0)</f>
        <v>0</v>
      </c>
      <c r="T152" s="84">
        <f ca="1">(1-('Invoer gegevens (N)'!$F$20/12))*R152*MIN('Reeksen (N)'!B152,'Reeksen (N)'!D152)</f>
        <v>0</v>
      </c>
      <c r="U152" s="84">
        <f>IF('Reeksen (N)'!D152&gt;='Reeksen (N)'!B152,0,IF('Reeksen (N)'!AK152&lt;='Reeksen (N)'!AE152,('Reeksen (N)'!B152-'Reeksen (N)'!D152)*R152,0))</f>
        <v>0</v>
      </c>
      <c r="V152" s="86">
        <f>IF('Reeksen (N)'!D152&gt;='Reeksen (N)'!B152,0,IF('Reeksen (N)'!AK152&gt;'Reeksen (N)'!AE152,('Reeksen (N)'!B152-'Reeksen (N)'!D152)*R152,0))</f>
        <v>0</v>
      </c>
      <c r="W152" s="97">
        <f t="shared" ca="1" si="25"/>
        <v>0</v>
      </c>
      <c r="X152" s="98">
        <f ca="1">IF('Invoer gegevens (N)'!$C$17=E152,'Invoer gegevens (N)'!$C$10-'Invoer gegevens (N)'!$C$11,IF(C152=1,AC151,0))</f>
        <v>0</v>
      </c>
      <c r="Y152" s="98">
        <f ca="1">IF(C152&gt;=1,X152*VLOOKUP(E152,'Reeksen (N)'!$A$5:$B$76,2),0)</f>
        <v>0</v>
      </c>
      <c r="Z152" s="98">
        <f ca="1">(1-('Invoer gegevens (N)'!$F$20/12))*X152*MIN('Reeksen (N)'!B152,'Reeksen (N)'!D152)</f>
        <v>0</v>
      </c>
      <c r="AA152" s="98">
        <f>IF('Reeksen (N)'!D152&gt;='Reeksen (N)'!B152,0,IF('Reeksen (N)'!AK152&lt;='Reeksen (N)'!AE152,('Reeksen (N)'!B152-'Reeksen (N)'!D152)*X152,0))</f>
        <v>0</v>
      </c>
      <c r="AB152" s="98">
        <f>IF('Reeksen (N)'!D152&gt;='Reeksen (N)'!B152,0,IF('Reeksen (N)'!AK152&gt;'Reeksen (N)'!AE152,('Reeksen (N)'!B152-'Reeksen (N)'!D152)*X152,0))</f>
        <v>0</v>
      </c>
      <c r="AC152" s="99">
        <f t="shared" ca="1" si="26"/>
        <v>0</v>
      </c>
      <c r="AD152" s="98">
        <f ca="1">IF('Invoer gegevens (N)'!$C$17=E152,R152,IF(C152=0,0,AE151))</f>
        <v>0</v>
      </c>
      <c r="AE152" s="98">
        <f t="shared" ca="1" si="27"/>
        <v>0</v>
      </c>
      <c r="AF152" s="98">
        <f ca="1">IF('Invoer gegevens (N)'!$C$17=E152,X152,IF(C152=0,0,AG151))</f>
        <v>0</v>
      </c>
      <c r="AG152" s="98">
        <f t="shared" ca="1" si="28"/>
        <v>0</v>
      </c>
      <c r="AH152" s="68"/>
      <c r="AI152" s="71">
        <f ca="1">IF(C152=1,'Reeksen (N)'!AJ152*((F152-G152+F152)/2)*12+'Reeksen (N)'!AK152*((L152-M152+L152)/2)*12,0)</f>
        <v>0</v>
      </c>
      <c r="AJ152" s="71">
        <f ca="1">-AI152*'Invoer gegevens (N)'!$F$28</f>
        <v>0</v>
      </c>
      <c r="AK152" s="71">
        <f t="shared" ca="1" si="22"/>
        <v>0</v>
      </c>
      <c r="AL152" s="71">
        <f ca="1">IF(C152=1,'Reeksen (N)'!AL152*((F152-G152+F152)/2)*12+'Reeksen (N)'!AM152*((L152-M152+L152)/2)*12,0)</f>
        <v>0</v>
      </c>
      <c r="AM152" s="71">
        <f ca="1">-AL152*'Invoer gegevens (N)'!$F$31</f>
        <v>0</v>
      </c>
      <c r="AN152" s="71">
        <f t="shared" ca="1" si="29"/>
        <v>0</v>
      </c>
      <c r="AO152" s="71">
        <f ca="1">IF(C152=1,(H152+J152+N152+P152)*'Reeksen (N)'!AN152,0)</f>
        <v>0</v>
      </c>
      <c r="AP152" s="71">
        <f ca="1">-IF(C152=1,(H152+J152+N152+P152)*'Hulp - basis'!$O$550*'Reeksen (N)'!H152,0)</f>
        <v>0</v>
      </c>
      <c r="AQ152" s="71">
        <f ca="1">-IF(C152=1,(F152+K152+L152+Q152)/2*'Invoer gegevens (N)'!$I$33*'Reeksen (N)'!J152,0)*2</f>
        <v>0</v>
      </c>
      <c r="AR152" s="71">
        <f ca="1">-IF(C152=1,(I152*'Invoer gegevens (N)'!$I$34)*'Reeksen (N)'!J152,0)</f>
        <v>0</v>
      </c>
      <c r="AS152" s="71">
        <f ca="1">-IF(C152=1,(F152+K152+L152+Q152)/2*'Invoer gegevens (N)'!$I$35*'Reeksen (N)'!L152,0)</f>
        <v>0</v>
      </c>
      <c r="AT152" s="71">
        <f ca="1">-IF(C152=1,IF(E152='Invoer gegevens (N)'!$C$17,'Invoer gegevens (N)'!$C$11,AD152)*'Reeksen (N)'!S152*'Invoer gegevens (N)'!$C$18*'Reeksen (N)'!P152,0)</f>
        <v>0</v>
      </c>
      <c r="AU152" s="71">
        <f ca="1">-IF(C152=1,(F152+K152+L152+Q152)/2*'Invoer gegevens (N)'!$I$36*'Reeksen (N)'!H152,0)</f>
        <v>0</v>
      </c>
      <c r="AV152" s="71">
        <v>0</v>
      </c>
      <c r="AW152" s="71">
        <f t="shared" ca="1" si="30"/>
        <v>0</v>
      </c>
      <c r="AX152" s="71">
        <f ca="1">IF(E152&lt;'Invoer gegevens (N)'!$C$17+15,0,IF(E152&gt;'Invoer gegevens (N)'!$C$17+215,0,AW152))</f>
        <v>0</v>
      </c>
      <c r="AY152" s="71">
        <f ca="1">AX152/(1+'Invoer gegevens (N)'!$F$18)^($AZ152-('Invoer gegevens (N)'!$C$17-'Invoer gegevens (N)'!$C$16))/(1+'Invoer gegevens (N)'!$C$39)^('Invoer gegevens (N)'!$C$17-'Invoer gegevens (N)'!$C$16)</f>
        <v>0</v>
      </c>
      <c r="AZ152" s="68">
        <f ca="1">IF(E152-'Invoer gegevens (N)'!$C$17-14.5&lt;0,0,E152-'Invoer gegevens (N)'!$C$17-14.5)</f>
        <v>132.5</v>
      </c>
    </row>
    <row r="153" spans="2:52" x14ac:dyDescent="0.25">
      <c r="B153" s="70">
        <f t="shared" si="31"/>
        <v>149</v>
      </c>
      <c r="C153" s="67">
        <f ca="1">IF(E153-'Invoer gegevens (N)'!$C$17&lt;0,0,1)</f>
        <v>1</v>
      </c>
      <c r="D153" s="68">
        <f t="shared" si="32"/>
        <v>148.5</v>
      </c>
      <c r="E153" s="108">
        <f ca="1">IF('Invoer gegevens (N)'!$C$16="","",E152+1)</f>
        <v>2167</v>
      </c>
      <c r="F153" s="84">
        <f ca="1">IF('Invoer gegevens (N)'!$C$17=E153,'Invoer gegevens (N)'!$C$10,IF(C153=1,K152,0))</f>
        <v>0</v>
      </c>
      <c r="G153" s="96">
        <f ca="1">IF(C153&gt;=1,F153*VLOOKUP(E153,'Reeksen (N)'!$A$5:$B$76,2),0)</f>
        <v>0</v>
      </c>
      <c r="H153" s="84">
        <f ca="1">(1-('Invoer gegevens (N)'!$F$20/12))*F153*MIN('Reeksen (N)'!B153,'Reeksen (N)'!D153)</f>
        <v>0</v>
      </c>
      <c r="I153" s="84">
        <f>IF('Reeksen (N)'!D153&lt;'Reeksen (N)'!B153,('Reeksen (N)'!B153-'Reeksen (N)'!D153)*F153,0)</f>
        <v>0</v>
      </c>
      <c r="J153" s="84">
        <f ca="1">('Invoer gegevens (N)'!$F$20/12)*F152*MIN('Reeksen (N)'!B152,'Reeksen (N)'!D152)</f>
        <v>0</v>
      </c>
      <c r="K153" s="97">
        <f t="shared" ca="1" si="23"/>
        <v>0</v>
      </c>
      <c r="L153" s="84">
        <f ca="1">IF('Invoer gegevens (N)'!$C$17=E153,0,IF(C153=1,Q152,0))</f>
        <v>0</v>
      </c>
      <c r="M153" s="96">
        <f ca="1">IF(C153&gt;=1,L153*VLOOKUP(E153,'Reeksen (N)'!$A$5:$B$76,2),0)</f>
        <v>0</v>
      </c>
      <c r="N153" s="84">
        <f ca="1">(1-('Invoer gegevens (N)'!$F$20/12))*L153*MIN('Reeksen (N)'!B153,'Reeksen (N)'!D153)</f>
        <v>0</v>
      </c>
      <c r="O153" s="84">
        <f>IF('Reeksen (N)'!D153&lt;'Reeksen (N)'!B153,('Reeksen (N)'!B153-'Reeksen (N)'!D153)*L153,0)</f>
        <v>0</v>
      </c>
      <c r="P153" s="84">
        <f ca="1">('Invoer gegevens (N)'!$F$20/12)*L152*MIN('Reeksen (N)'!B152,'Reeksen (N)'!D152)</f>
        <v>0</v>
      </c>
      <c r="Q153" s="84">
        <f t="shared" ca="1" si="24"/>
        <v>0</v>
      </c>
      <c r="R153" s="82">
        <f ca="1">IF('Invoer gegevens (N)'!$C$17=E153,'Invoer gegevens (N)'!$C$11,IF(C153=1,W152,0))</f>
        <v>0</v>
      </c>
      <c r="S153" s="86">
        <f ca="1">IF(C153&gt;=1,R153*VLOOKUP(E153,'Reeksen (N)'!$A$5:$B$76,2),0)</f>
        <v>0</v>
      </c>
      <c r="T153" s="84">
        <f ca="1">(1-('Invoer gegevens (N)'!$F$20/12))*R153*MIN('Reeksen (N)'!B153,'Reeksen (N)'!D153)</f>
        <v>0</v>
      </c>
      <c r="U153" s="84">
        <f>IF('Reeksen (N)'!D153&gt;='Reeksen (N)'!B153,0,IF('Reeksen (N)'!AK153&lt;='Reeksen (N)'!AE153,('Reeksen (N)'!B153-'Reeksen (N)'!D153)*R153,0))</f>
        <v>0</v>
      </c>
      <c r="V153" s="86">
        <f>IF('Reeksen (N)'!D153&gt;='Reeksen (N)'!B153,0,IF('Reeksen (N)'!AK153&gt;'Reeksen (N)'!AE153,('Reeksen (N)'!B153-'Reeksen (N)'!D153)*R153,0))</f>
        <v>0</v>
      </c>
      <c r="W153" s="97">
        <f t="shared" ca="1" si="25"/>
        <v>0</v>
      </c>
      <c r="X153" s="98">
        <f ca="1">IF('Invoer gegevens (N)'!$C$17=E153,'Invoer gegevens (N)'!$C$10-'Invoer gegevens (N)'!$C$11,IF(C153=1,AC152,0))</f>
        <v>0</v>
      </c>
      <c r="Y153" s="98">
        <f ca="1">IF(C153&gt;=1,X153*VLOOKUP(E153,'Reeksen (N)'!$A$5:$B$76,2),0)</f>
        <v>0</v>
      </c>
      <c r="Z153" s="98">
        <f ca="1">(1-('Invoer gegevens (N)'!$F$20/12))*X153*MIN('Reeksen (N)'!B153,'Reeksen (N)'!D153)</f>
        <v>0</v>
      </c>
      <c r="AA153" s="98">
        <f>IF('Reeksen (N)'!D153&gt;='Reeksen (N)'!B153,0,IF('Reeksen (N)'!AK153&lt;='Reeksen (N)'!AE153,('Reeksen (N)'!B153-'Reeksen (N)'!D153)*X153,0))</f>
        <v>0</v>
      </c>
      <c r="AB153" s="98">
        <f>IF('Reeksen (N)'!D153&gt;='Reeksen (N)'!B153,0,IF('Reeksen (N)'!AK153&gt;'Reeksen (N)'!AE153,('Reeksen (N)'!B153-'Reeksen (N)'!D153)*X153,0))</f>
        <v>0</v>
      </c>
      <c r="AC153" s="99">
        <f t="shared" ca="1" si="26"/>
        <v>0</v>
      </c>
      <c r="AD153" s="98">
        <f ca="1">IF('Invoer gegevens (N)'!$C$17=E153,R153,IF(C153=0,0,AE152))</f>
        <v>0</v>
      </c>
      <c r="AE153" s="98">
        <f t="shared" ca="1" si="27"/>
        <v>0</v>
      </c>
      <c r="AF153" s="98">
        <f ca="1">IF('Invoer gegevens (N)'!$C$17=E153,X153,IF(C153=0,0,AG152))</f>
        <v>0</v>
      </c>
      <c r="AG153" s="98">
        <f t="shared" ca="1" si="28"/>
        <v>0</v>
      </c>
      <c r="AH153" s="68"/>
      <c r="AI153" s="71">
        <f ca="1">IF(C153=1,'Reeksen (N)'!AJ153*((F153-G153+F153)/2)*12+'Reeksen (N)'!AK153*((L153-M153+L153)/2)*12,0)</f>
        <v>0</v>
      </c>
      <c r="AJ153" s="71">
        <f ca="1">-AI153*'Invoer gegevens (N)'!$F$28</f>
        <v>0</v>
      </c>
      <c r="AK153" s="71">
        <f t="shared" ca="1" si="22"/>
        <v>0</v>
      </c>
      <c r="AL153" s="71">
        <f ca="1">IF(C153=1,'Reeksen (N)'!AL153*((F153-G153+F153)/2)*12+'Reeksen (N)'!AM153*((L153-M153+L153)/2)*12,0)</f>
        <v>0</v>
      </c>
      <c r="AM153" s="71">
        <f ca="1">-AL153*'Invoer gegevens (N)'!$F$31</f>
        <v>0</v>
      </c>
      <c r="AN153" s="71">
        <f t="shared" ca="1" si="29"/>
        <v>0</v>
      </c>
      <c r="AO153" s="71">
        <f ca="1">IF(C153=1,(H153+J153+N153+P153)*'Reeksen (N)'!AN153,0)</f>
        <v>0</v>
      </c>
      <c r="AP153" s="71">
        <f ca="1">-IF(C153=1,(H153+J153+N153+P153)*'Hulp - basis'!$O$550*'Reeksen (N)'!H153,0)</f>
        <v>0</v>
      </c>
      <c r="AQ153" s="71">
        <f ca="1">-IF(C153=1,(F153+K153+L153+Q153)/2*'Invoer gegevens (N)'!$I$33*'Reeksen (N)'!J153,0)*2</f>
        <v>0</v>
      </c>
      <c r="AR153" s="71">
        <f ca="1">-IF(C153=1,(I153*'Invoer gegevens (N)'!$I$34)*'Reeksen (N)'!J153,0)</f>
        <v>0</v>
      </c>
      <c r="AS153" s="71">
        <f ca="1">-IF(C153=1,(F153+K153+L153+Q153)/2*'Invoer gegevens (N)'!$I$35*'Reeksen (N)'!L153,0)</f>
        <v>0</v>
      </c>
      <c r="AT153" s="71">
        <f ca="1">-IF(C153=1,IF(E153='Invoer gegevens (N)'!$C$17,'Invoer gegevens (N)'!$C$11,AD153)*'Reeksen (N)'!S153*'Invoer gegevens (N)'!$C$18*'Reeksen (N)'!P153,0)</f>
        <v>0</v>
      </c>
      <c r="AU153" s="71">
        <f ca="1">-IF(C153=1,(F153+K153+L153+Q153)/2*'Invoer gegevens (N)'!$I$36*'Reeksen (N)'!H153,0)</f>
        <v>0</v>
      </c>
      <c r="AV153" s="71">
        <v>0</v>
      </c>
      <c r="AW153" s="71">
        <f t="shared" ca="1" si="30"/>
        <v>0</v>
      </c>
      <c r="AX153" s="71">
        <f ca="1">IF(E153&lt;'Invoer gegevens (N)'!$C$17+15,0,IF(E153&gt;'Invoer gegevens (N)'!$C$17+215,0,AW153))</f>
        <v>0</v>
      </c>
      <c r="AY153" s="71">
        <f ca="1">AX153/(1+'Invoer gegevens (N)'!$F$18)^($AZ153-('Invoer gegevens (N)'!$C$17-'Invoer gegevens (N)'!$C$16))/(1+'Invoer gegevens (N)'!$C$39)^('Invoer gegevens (N)'!$C$17-'Invoer gegevens (N)'!$C$16)</f>
        <v>0</v>
      </c>
      <c r="AZ153" s="68">
        <f ca="1">IF(E153-'Invoer gegevens (N)'!$C$17-14.5&lt;0,0,E153-'Invoer gegevens (N)'!$C$17-14.5)</f>
        <v>133.5</v>
      </c>
    </row>
    <row r="154" spans="2:52" x14ac:dyDescent="0.25">
      <c r="B154" s="70">
        <f t="shared" si="31"/>
        <v>150</v>
      </c>
      <c r="C154" s="67">
        <f ca="1">IF(E154-'Invoer gegevens (N)'!$C$17&lt;0,0,1)</f>
        <v>1</v>
      </c>
      <c r="D154" s="68">
        <f t="shared" si="32"/>
        <v>149.5</v>
      </c>
      <c r="E154" s="108">
        <f ca="1">IF('Invoer gegevens (N)'!$C$16="","",E153+1)</f>
        <v>2168</v>
      </c>
      <c r="F154" s="84">
        <f ca="1">IF('Invoer gegevens (N)'!$C$17=E154,'Invoer gegevens (N)'!$C$10,IF(C154=1,K153,0))</f>
        <v>0</v>
      </c>
      <c r="G154" s="96">
        <f ca="1">IF(C154&gt;=1,F154*VLOOKUP(E154,'Reeksen (N)'!$A$5:$B$76,2),0)</f>
        <v>0</v>
      </c>
      <c r="H154" s="84">
        <f ca="1">(1-('Invoer gegevens (N)'!$F$20/12))*F154*MIN('Reeksen (N)'!B154,'Reeksen (N)'!D154)</f>
        <v>0</v>
      </c>
      <c r="I154" s="84">
        <f>IF('Reeksen (N)'!D154&lt;'Reeksen (N)'!B154,('Reeksen (N)'!B154-'Reeksen (N)'!D154)*F154,0)</f>
        <v>0</v>
      </c>
      <c r="J154" s="84">
        <f ca="1">('Invoer gegevens (N)'!$F$20/12)*F153*MIN('Reeksen (N)'!B153,'Reeksen (N)'!D153)</f>
        <v>0</v>
      </c>
      <c r="K154" s="97">
        <f t="shared" ca="1" si="23"/>
        <v>0</v>
      </c>
      <c r="L154" s="84">
        <f ca="1">IF('Invoer gegevens (N)'!$C$17=E154,0,IF(C154=1,Q153,0))</f>
        <v>0</v>
      </c>
      <c r="M154" s="96">
        <f ca="1">IF(C154&gt;=1,L154*VLOOKUP(E154,'Reeksen (N)'!$A$5:$B$76,2),0)</f>
        <v>0</v>
      </c>
      <c r="N154" s="84">
        <f ca="1">(1-('Invoer gegevens (N)'!$F$20/12))*L154*MIN('Reeksen (N)'!B154,'Reeksen (N)'!D154)</f>
        <v>0</v>
      </c>
      <c r="O154" s="84">
        <f>IF('Reeksen (N)'!D154&lt;'Reeksen (N)'!B154,('Reeksen (N)'!B154-'Reeksen (N)'!D154)*L154,0)</f>
        <v>0</v>
      </c>
      <c r="P154" s="84">
        <f ca="1">('Invoer gegevens (N)'!$F$20/12)*L153*MIN('Reeksen (N)'!B153,'Reeksen (N)'!D153)</f>
        <v>0</v>
      </c>
      <c r="Q154" s="84">
        <f t="shared" ca="1" si="24"/>
        <v>0</v>
      </c>
      <c r="R154" s="82">
        <f ca="1">IF('Invoer gegevens (N)'!$C$17=E154,'Invoer gegevens (N)'!$C$11,IF(C154=1,W153,0))</f>
        <v>0</v>
      </c>
      <c r="S154" s="86">
        <f ca="1">IF(C154&gt;=1,R154*VLOOKUP(E154,'Reeksen (N)'!$A$5:$B$76,2),0)</f>
        <v>0</v>
      </c>
      <c r="T154" s="84">
        <f ca="1">(1-('Invoer gegevens (N)'!$F$20/12))*R154*MIN('Reeksen (N)'!B154,'Reeksen (N)'!D154)</f>
        <v>0</v>
      </c>
      <c r="U154" s="84">
        <f>IF('Reeksen (N)'!D154&gt;='Reeksen (N)'!B154,0,IF('Reeksen (N)'!AK154&lt;='Reeksen (N)'!AE154,('Reeksen (N)'!B154-'Reeksen (N)'!D154)*R154,0))</f>
        <v>0</v>
      </c>
      <c r="V154" s="86">
        <f>IF('Reeksen (N)'!D154&gt;='Reeksen (N)'!B154,0,IF('Reeksen (N)'!AK154&gt;'Reeksen (N)'!AE154,('Reeksen (N)'!B154-'Reeksen (N)'!D154)*R154,0))</f>
        <v>0</v>
      </c>
      <c r="W154" s="97">
        <f t="shared" ca="1" si="25"/>
        <v>0</v>
      </c>
      <c r="X154" s="98">
        <f ca="1">IF('Invoer gegevens (N)'!$C$17=E154,'Invoer gegevens (N)'!$C$10-'Invoer gegevens (N)'!$C$11,IF(C154=1,AC153,0))</f>
        <v>0</v>
      </c>
      <c r="Y154" s="98">
        <f ca="1">IF(C154&gt;=1,X154*VLOOKUP(E154,'Reeksen (N)'!$A$5:$B$76,2),0)</f>
        <v>0</v>
      </c>
      <c r="Z154" s="98">
        <f ca="1">(1-('Invoer gegevens (N)'!$F$20/12))*X154*MIN('Reeksen (N)'!B154,'Reeksen (N)'!D154)</f>
        <v>0</v>
      </c>
      <c r="AA154" s="98">
        <f>IF('Reeksen (N)'!D154&gt;='Reeksen (N)'!B154,0,IF('Reeksen (N)'!AK154&lt;='Reeksen (N)'!AE154,('Reeksen (N)'!B154-'Reeksen (N)'!D154)*X154,0))</f>
        <v>0</v>
      </c>
      <c r="AB154" s="98">
        <f>IF('Reeksen (N)'!D154&gt;='Reeksen (N)'!B154,0,IF('Reeksen (N)'!AK154&gt;'Reeksen (N)'!AE154,('Reeksen (N)'!B154-'Reeksen (N)'!D154)*X154,0))</f>
        <v>0</v>
      </c>
      <c r="AC154" s="99">
        <f t="shared" ca="1" si="26"/>
        <v>0</v>
      </c>
      <c r="AD154" s="98">
        <f ca="1">IF('Invoer gegevens (N)'!$C$17=E154,R154,IF(C154=0,0,AE153))</f>
        <v>0</v>
      </c>
      <c r="AE154" s="98">
        <f t="shared" ca="1" si="27"/>
        <v>0</v>
      </c>
      <c r="AF154" s="98">
        <f ca="1">IF('Invoer gegevens (N)'!$C$17=E154,X154,IF(C154=0,0,AG153))</f>
        <v>0</v>
      </c>
      <c r="AG154" s="98">
        <f t="shared" ca="1" si="28"/>
        <v>0</v>
      </c>
      <c r="AH154" s="68"/>
      <c r="AI154" s="71">
        <f ca="1">IF(C154=1,'Reeksen (N)'!AJ154*((F154-G154+F154)/2)*12+'Reeksen (N)'!AK154*((L154-M154+L154)/2)*12,0)</f>
        <v>0</v>
      </c>
      <c r="AJ154" s="71">
        <f ca="1">-AI154*'Invoer gegevens (N)'!$F$28</f>
        <v>0</v>
      </c>
      <c r="AK154" s="71">
        <f t="shared" ca="1" si="22"/>
        <v>0</v>
      </c>
      <c r="AL154" s="71">
        <f ca="1">IF(C154=1,'Reeksen (N)'!AL154*((F154-G154+F154)/2)*12+'Reeksen (N)'!AM154*((L154-M154+L154)/2)*12,0)</f>
        <v>0</v>
      </c>
      <c r="AM154" s="71">
        <f ca="1">-AL154*'Invoer gegevens (N)'!$F$31</f>
        <v>0</v>
      </c>
      <c r="AN154" s="71">
        <f t="shared" ca="1" si="29"/>
        <v>0</v>
      </c>
      <c r="AO154" s="71">
        <f ca="1">IF(C154=1,(H154+J154+N154+P154)*'Reeksen (N)'!AN154,0)</f>
        <v>0</v>
      </c>
      <c r="AP154" s="71">
        <f ca="1">-IF(C154=1,(H154+J154+N154+P154)*'Hulp - basis'!$O$550*'Reeksen (N)'!H154,0)</f>
        <v>0</v>
      </c>
      <c r="AQ154" s="71">
        <f ca="1">-IF(C154=1,(F154+K154+L154+Q154)/2*'Invoer gegevens (N)'!$I$33*'Reeksen (N)'!J154,0)*2</f>
        <v>0</v>
      </c>
      <c r="AR154" s="71">
        <f ca="1">-IF(C154=1,(I154*'Invoer gegevens (N)'!$I$34)*'Reeksen (N)'!J154,0)</f>
        <v>0</v>
      </c>
      <c r="AS154" s="71">
        <f ca="1">-IF(C154=1,(F154+K154+L154+Q154)/2*'Invoer gegevens (N)'!$I$35*'Reeksen (N)'!L154,0)</f>
        <v>0</v>
      </c>
      <c r="AT154" s="71">
        <f ca="1">-IF(C154=1,IF(E154='Invoer gegevens (N)'!$C$17,'Invoer gegevens (N)'!$C$11,AD154)*'Reeksen (N)'!S154*'Invoer gegevens (N)'!$C$18*'Reeksen (N)'!P154,0)</f>
        <v>0</v>
      </c>
      <c r="AU154" s="71">
        <f ca="1">-IF(C154=1,(F154+K154+L154+Q154)/2*'Invoer gegevens (N)'!$I$36*'Reeksen (N)'!H154,0)</f>
        <v>0</v>
      </c>
      <c r="AV154" s="71">
        <v>0</v>
      </c>
      <c r="AW154" s="71">
        <f t="shared" ca="1" si="30"/>
        <v>0</v>
      </c>
      <c r="AX154" s="71">
        <f ca="1">IF(E154&lt;'Invoer gegevens (N)'!$C$17+15,0,IF(E154&gt;'Invoer gegevens (N)'!$C$17+215,0,AW154))</f>
        <v>0</v>
      </c>
      <c r="AY154" s="71">
        <f ca="1">AX154/(1+'Invoer gegevens (N)'!$F$18)^($AZ154-('Invoer gegevens (N)'!$C$17-'Invoer gegevens (N)'!$C$16))/(1+'Invoer gegevens (N)'!$C$39)^('Invoer gegevens (N)'!$C$17-'Invoer gegevens (N)'!$C$16)</f>
        <v>0</v>
      </c>
      <c r="AZ154" s="68">
        <f ca="1">IF(E154-'Invoer gegevens (N)'!$C$17-14.5&lt;0,0,E154-'Invoer gegevens (N)'!$C$17-14.5)</f>
        <v>134.5</v>
      </c>
    </row>
    <row r="155" spans="2:52" x14ac:dyDescent="0.25">
      <c r="B155" s="70">
        <f t="shared" si="31"/>
        <v>151</v>
      </c>
      <c r="C155" s="67">
        <f ca="1">IF(E155-'Invoer gegevens (N)'!$C$17&lt;0,0,1)</f>
        <v>1</v>
      </c>
      <c r="D155" s="68">
        <f t="shared" si="32"/>
        <v>150.5</v>
      </c>
      <c r="E155" s="108">
        <f ca="1">IF('Invoer gegevens (N)'!$C$16="","",E154+1)</f>
        <v>2169</v>
      </c>
      <c r="F155" s="84">
        <f ca="1">IF('Invoer gegevens (N)'!$C$17=E155,'Invoer gegevens (N)'!$C$10,IF(C155=1,K154,0))</f>
        <v>0</v>
      </c>
      <c r="G155" s="96">
        <f ca="1">IF(C155&gt;=1,F155*VLOOKUP(E155,'Reeksen (N)'!$A$5:$B$76,2),0)</f>
        <v>0</v>
      </c>
      <c r="H155" s="84">
        <f ca="1">(1-('Invoer gegevens (N)'!$F$20/12))*F155*MIN('Reeksen (N)'!B155,'Reeksen (N)'!D155)</f>
        <v>0</v>
      </c>
      <c r="I155" s="84">
        <f>IF('Reeksen (N)'!D155&lt;'Reeksen (N)'!B155,('Reeksen (N)'!B155-'Reeksen (N)'!D155)*F155,0)</f>
        <v>0</v>
      </c>
      <c r="J155" s="84">
        <f ca="1">('Invoer gegevens (N)'!$F$20/12)*F154*MIN('Reeksen (N)'!B154,'Reeksen (N)'!D154)</f>
        <v>0</v>
      </c>
      <c r="K155" s="97">
        <f t="shared" ca="1" si="23"/>
        <v>0</v>
      </c>
      <c r="L155" s="84">
        <f ca="1">IF('Invoer gegevens (N)'!$C$17=E155,0,IF(C155=1,Q154,0))</f>
        <v>0</v>
      </c>
      <c r="M155" s="96">
        <f ca="1">IF(C155&gt;=1,L155*VLOOKUP(E155,'Reeksen (N)'!$A$5:$B$76,2),0)</f>
        <v>0</v>
      </c>
      <c r="N155" s="84">
        <f ca="1">(1-('Invoer gegevens (N)'!$F$20/12))*L155*MIN('Reeksen (N)'!B155,'Reeksen (N)'!D155)</f>
        <v>0</v>
      </c>
      <c r="O155" s="84">
        <f>IF('Reeksen (N)'!D155&lt;'Reeksen (N)'!B155,('Reeksen (N)'!B155-'Reeksen (N)'!D155)*L155,0)</f>
        <v>0</v>
      </c>
      <c r="P155" s="84">
        <f ca="1">('Invoer gegevens (N)'!$F$20/12)*L154*MIN('Reeksen (N)'!B154,'Reeksen (N)'!D154)</f>
        <v>0</v>
      </c>
      <c r="Q155" s="84">
        <f t="shared" ca="1" si="24"/>
        <v>0</v>
      </c>
      <c r="R155" s="82">
        <f ca="1">IF('Invoer gegevens (N)'!$C$17=E155,'Invoer gegevens (N)'!$C$11,IF(C155=1,W154,0))</f>
        <v>0</v>
      </c>
      <c r="S155" s="86">
        <f ca="1">IF(C155&gt;=1,R155*VLOOKUP(E155,'Reeksen (N)'!$A$5:$B$76,2),0)</f>
        <v>0</v>
      </c>
      <c r="T155" s="84">
        <f ca="1">(1-('Invoer gegevens (N)'!$F$20/12))*R155*MIN('Reeksen (N)'!B155,'Reeksen (N)'!D155)</f>
        <v>0</v>
      </c>
      <c r="U155" s="84">
        <f>IF('Reeksen (N)'!D155&gt;='Reeksen (N)'!B155,0,IF('Reeksen (N)'!AK155&lt;='Reeksen (N)'!AE155,('Reeksen (N)'!B155-'Reeksen (N)'!D155)*R155,0))</f>
        <v>0</v>
      </c>
      <c r="V155" s="86">
        <f>IF('Reeksen (N)'!D155&gt;='Reeksen (N)'!B155,0,IF('Reeksen (N)'!AK155&gt;'Reeksen (N)'!AE155,('Reeksen (N)'!B155-'Reeksen (N)'!D155)*R155,0))</f>
        <v>0</v>
      </c>
      <c r="W155" s="97">
        <f t="shared" ca="1" si="25"/>
        <v>0</v>
      </c>
      <c r="X155" s="98">
        <f ca="1">IF('Invoer gegevens (N)'!$C$17=E155,'Invoer gegevens (N)'!$C$10-'Invoer gegevens (N)'!$C$11,IF(C155=1,AC154,0))</f>
        <v>0</v>
      </c>
      <c r="Y155" s="98">
        <f ca="1">IF(C155&gt;=1,X155*VLOOKUP(E155,'Reeksen (N)'!$A$5:$B$76,2),0)</f>
        <v>0</v>
      </c>
      <c r="Z155" s="98">
        <f ca="1">(1-('Invoer gegevens (N)'!$F$20/12))*X155*MIN('Reeksen (N)'!B155,'Reeksen (N)'!D155)</f>
        <v>0</v>
      </c>
      <c r="AA155" s="98">
        <f>IF('Reeksen (N)'!D155&gt;='Reeksen (N)'!B155,0,IF('Reeksen (N)'!AK155&lt;='Reeksen (N)'!AE155,('Reeksen (N)'!B155-'Reeksen (N)'!D155)*X155,0))</f>
        <v>0</v>
      </c>
      <c r="AB155" s="98">
        <f>IF('Reeksen (N)'!D155&gt;='Reeksen (N)'!B155,0,IF('Reeksen (N)'!AK155&gt;'Reeksen (N)'!AE155,('Reeksen (N)'!B155-'Reeksen (N)'!D155)*X155,0))</f>
        <v>0</v>
      </c>
      <c r="AC155" s="99">
        <f t="shared" ca="1" si="26"/>
        <v>0</v>
      </c>
      <c r="AD155" s="98">
        <f ca="1">IF('Invoer gegevens (N)'!$C$17=E155,R155,IF(C155=0,0,AE154))</f>
        <v>0</v>
      </c>
      <c r="AE155" s="98">
        <f t="shared" ca="1" si="27"/>
        <v>0</v>
      </c>
      <c r="AF155" s="98">
        <f ca="1">IF('Invoer gegevens (N)'!$C$17=E155,X155,IF(C155=0,0,AG154))</f>
        <v>0</v>
      </c>
      <c r="AG155" s="98">
        <f t="shared" ca="1" si="28"/>
        <v>0</v>
      </c>
      <c r="AH155" s="68"/>
      <c r="AI155" s="71">
        <f ca="1">IF(C155=1,'Reeksen (N)'!AJ155*((F155-G155+F155)/2)*12+'Reeksen (N)'!AK155*((L155-M155+L155)/2)*12,0)</f>
        <v>0</v>
      </c>
      <c r="AJ155" s="71">
        <f ca="1">-AI155*'Invoer gegevens (N)'!$F$28</f>
        <v>0</v>
      </c>
      <c r="AK155" s="71">
        <f t="shared" ca="1" si="22"/>
        <v>0</v>
      </c>
      <c r="AL155" s="71">
        <f ca="1">IF(C155=1,'Reeksen (N)'!AL155*((F155-G155+F155)/2)*12+'Reeksen (N)'!AM155*((L155-M155+L155)/2)*12,0)</f>
        <v>0</v>
      </c>
      <c r="AM155" s="71">
        <f ca="1">-AL155*'Invoer gegevens (N)'!$F$31</f>
        <v>0</v>
      </c>
      <c r="AN155" s="71">
        <f t="shared" ca="1" si="29"/>
        <v>0</v>
      </c>
      <c r="AO155" s="71">
        <f ca="1">IF(C155=1,(H155+J155+N155+P155)*'Reeksen (N)'!AN155,0)</f>
        <v>0</v>
      </c>
      <c r="AP155" s="71">
        <f ca="1">-IF(C155=1,(H155+J155+N155+P155)*'Hulp - basis'!$O$550*'Reeksen (N)'!H155,0)</f>
        <v>0</v>
      </c>
      <c r="AQ155" s="71">
        <f ca="1">-IF(C155=1,(F155+K155+L155+Q155)/2*'Invoer gegevens (N)'!$I$33*'Reeksen (N)'!J155,0)*2</f>
        <v>0</v>
      </c>
      <c r="AR155" s="71">
        <f ca="1">-IF(C155=1,(I155*'Invoer gegevens (N)'!$I$34)*'Reeksen (N)'!J155,0)</f>
        <v>0</v>
      </c>
      <c r="AS155" s="71">
        <f ca="1">-IF(C155=1,(F155+K155+L155+Q155)/2*'Invoer gegevens (N)'!$I$35*'Reeksen (N)'!L155,0)</f>
        <v>0</v>
      </c>
      <c r="AT155" s="71">
        <f ca="1">-IF(C155=1,IF(E155='Invoer gegevens (N)'!$C$17,'Invoer gegevens (N)'!$C$11,AD155)*'Reeksen (N)'!S155*'Invoer gegevens (N)'!$C$18*'Reeksen (N)'!P155,0)</f>
        <v>0</v>
      </c>
      <c r="AU155" s="71">
        <f ca="1">-IF(C155=1,(F155+K155+L155+Q155)/2*'Invoer gegevens (N)'!$I$36*'Reeksen (N)'!H155,0)</f>
        <v>0</v>
      </c>
      <c r="AV155" s="71">
        <v>0</v>
      </c>
      <c r="AW155" s="71">
        <f t="shared" ca="1" si="30"/>
        <v>0</v>
      </c>
      <c r="AX155" s="71">
        <f ca="1">IF(E155&lt;'Invoer gegevens (N)'!$C$17+15,0,IF(E155&gt;'Invoer gegevens (N)'!$C$17+215,0,AW155))</f>
        <v>0</v>
      </c>
      <c r="AY155" s="71">
        <f ca="1">AX155/(1+'Invoer gegevens (N)'!$F$18)^($AZ155-('Invoer gegevens (N)'!$C$17-'Invoer gegevens (N)'!$C$16))/(1+'Invoer gegevens (N)'!$C$39)^('Invoer gegevens (N)'!$C$17-'Invoer gegevens (N)'!$C$16)</f>
        <v>0</v>
      </c>
      <c r="AZ155" s="68">
        <f ca="1">IF(E155-'Invoer gegevens (N)'!$C$17-14.5&lt;0,0,E155-'Invoer gegevens (N)'!$C$17-14.5)</f>
        <v>135.5</v>
      </c>
    </row>
    <row r="156" spans="2:52" x14ac:dyDescent="0.25">
      <c r="B156" s="70">
        <f t="shared" si="31"/>
        <v>152</v>
      </c>
      <c r="C156" s="67">
        <f ca="1">IF(E156-'Invoer gegevens (N)'!$C$17&lt;0,0,1)</f>
        <v>1</v>
      </c>
      <c r="D156" s="68">
        <f t="shared" si="32"/>
        <v>151.5</v>
      </c>
      <c r="E156" s="108">
        <f ca="1">IF('Invoer gegevens (N)'!$C$16="","",E155+1)</f>
        <v>2170</v>
      </c>
      <c r="F156" s="84">
        <f ca="1">IF('Invoer gegevens (N)'!$C$17=E156,'Invoer gegevens (N)'!$C$10,IF(C156=1,K155,0))</f>
        <v>0</v>
      </c>
      <c r="G156" s="96">
        <f ca="1">IF(C156&gt;=1,F156*VLOOKUP(E156,'Reeksen (N)'!$A$5:$B$76,2),0)</f>
        <v>0</v>
      </c>
      <c r="H156" s="84">
        <f ca="1">(1-('Invoer gegevens (N)'!$F$20/12))*F156*MIN('Reeksen (N)'!B156,'Reeksen (N)'!D156)</f>
        <v>0</v>
      </c>
      <c r="I156" s="84">
        <f>IF('Reeksen (N)'!D156&lt;'Reeksen (N)'!B156,('Reeksen (N)'!B156-'Reeksen (N)'!D156)*F156,0)</f>
        <v>0</v>
      </c>
      <c r="J156" s="84">
        <f ca="1">('Invoer gegevens (N)'!$F$20/12)*F155*MIN('Reeksen (N)'!B155,'Reeksen (N)'!D155)</f>
        <v>0</v>
      </c>
      <c r="K156" s="97">
        <f t="shared" ca="1" si="23"/>
        <v>0</v>
      </c>
      <c r="L156" s="84">
        <f ca="1">IF('Invoer gegevens (N)'!$C$17=E156,0,IF(C156=1,Q155,0))</f>
        <v>0</v>
      </c>
      <c r="M156" s="96">
        <f ca="1">IF(C156&gt;=1,L156*VLOOKUP(E156,'Reeksen (N)'!$A$5:$B$76,2),0)</f>
        <v>0</v>
      </c>
      <c r="N156" s="84">
        <f ca="1">(1-('Invoer gegevens (N)'!$F$20/12))*L156*MIN('Reeksen (N)'!B156,'Reeksen (N)'!D156)</f>
        <v>0</v>
      </c>
      <c r="O156" s="84">
        <f>IF('Reeksen (N)'!D156&lt;'Reeksen (N)'!B156,('Reeksen (N)'!B156-'Reeksen (N)'!D156)*L156,0)</f>
        <v>0</v>
      </c>
      <c r="P156" s="84">
        <f ca="1">('Invoer gegevens (N)'!$F$20/12)*L155*MIN('Reeksen (N)'!B155,'Reeksen (N)'!D155)</f>
        <v>0</v>
      </c>
      <c r="Q156" s="84">
        <f t="shared" ca="1" si="24"/>
        <v>0</v>
      </c>
      <c r="R156" s="82">
        <f ca="1">IF('Invoer gegevens (N)'!$C$17=E156,'Invoer gegevens (N)'!$C$11,IF(C156=1,W155,0))</f>
        <v>0</v>
      </c>
      <c r="S156" s="86">
        <f ca="1">IF(C156&gt;=1,R156*VLOOKUP(E156,'Reeksen (N)'!$A$5:$B$76,2),0)</f>
        <v>0</v>
      </c>
      <c r="T156" s="84">
        <f ca="1">(1-('Invoer gegevens (N)'!$F$20/12))*R156*MIN('Reeksen (N)'!B156,'Reeksen (N)'!D156)</f>
        <v>0</v>
      </c>
      <c r="U156" s="84">
        <f>IF('Reeksen (N)'!D156&gt;='Reeksen (N)'!B156,0,IF('Reeksen (N)'!AK156&lt;='Reeksen (N)'!AE156,('Reeksen (N)'!B156-'Reeksen (N)'!D156)*R156,0))</f>
        <v>0</v>
      </c>
      <c r="V156" s="86">
        <f>IF('Reeksen (N)'!D156&gt;='Reeksen (N)'!B156,0,IF('Reeksen (N)'!AK156&gt;'Reeksen (N)'!AE156,('Reeksen (N)'!B156-'Reeksen (N)'!D156)*R156,0))</f>
        <v>0</v>
      </c>
      <c r="W156" s="97">
        <f t="shared" ca="1" si="25"/>
        <v>0</v>
      </c>
      <c r="X156" s="98">
        <f ca="1">IF('Invoer gegevens (N)'!$C$17=E156,'Invoer gegevens (N)'!$C$10-'Invoer gegevens (N)'!$C$11,IF(C156=1,AC155,0))</f>
        <v>0</v>
      </c>
      <c r="Y156" s="98">
        <f ca="1">IF(C156&gt;=1,X156*VLOOKUP(E156,'Reeksen (N)'!$A$5:$B$76,2),0)</f>
        <v>0</v>
      </c>
      <c r="Z156" s="98">
        <f ca="1">(1-('Invoer gegevens (N)'!$F$20/12))*X156*MIN('Reeksen (N)'!B156,'Reeksen (N)'!D156)</f>
        <v>0</v>
      </c>
      <c r="AA156" s="98">
        <f>IF('Reeksen (N)'!D156&gt;='Reeksen (N)'!B156,0,IF('Reeksen (N)'!AK156&lt;='Reeksen (N)'!AE156,('Reeksen (N)'!B156-'Reeksen (N)'!D156)*X156,0))</f>
        <v>0</v>
      </c>
      <c r="AB156" s="98">
        <f>IF('Reeksen (N)'!D156&gt;='Reeksen (N)'!B156,0,IF('Reeksen (N)'!AK156&gt;'Reeksen (N)'!AE156,('Reeksen (N)'!B156-'Reeksen (N)'!D156)*X156,0))</f>
        <v>0</v>
      </c>
      <c r="AC156" s="99">
        <f t="shared" ca="1" si="26"/>
        <v>0</v>
      </c>
      <c r="AD156" s="98">
        <f ca="1">IF('Invoer gegevens (N)'!$C$17=E156,R156,IF(C156=0,0,AE155))</f>
        <v>0</v>
      </c>
      <c r="AE156" s="98">
        <f t="shared" ca="1" si="27"/>
        <v>0</v>
      </c>
      <c r="AF156" s="98">
        <f ca="1">IF('Invoer gegevens (N)'!$C$17=E156,X156,IF(C156=0,0,AG155))</f>
        <v>0</v>
      </c>
      <c r="AG156" s="98">
        <f t="shared" ca="1" si="28"/>
        <v>0</v>
      </c>
      <c r="AH156" s="68"/>
      <c r="AI156" s="71">
        <f ca="1">IF(C156=1,'Reeksen (N)'!AJ156*((F156-G156+F156)/2)*12+'Reeksen (N)'!AK156*((L156-M156+L156)/2)*12,0)</f>
        <v>0</v>
      </c>
      <c r="AJ156" s="71">
        <f ca="1">-AI156*'Invoer gegevens (N)'!$F$28</f>
        <v>0</v>
      </c>
      <c r="AK156" s="71">
        <f t="shared" ca="1" si="22"/>
        <v>0</v>
      </c>
      <c r="AL156" s="71">
        <f ca="1">IF(C156=1,'Reeksen (N)'!AL156*((F156-G156+F156)/2)*12+'Reeksen (N)'!AM156*((L156-M156+L156)/2)*12,0)</f>
        <v>0</v>
      </c>
      <c r="AM156" s="71">
        <f ca="1">-AL156*'Invoer gegevens (N)'!$F$31</f>
        <v>0</v>
      </c>
      <c r="AN156" s="71">
        <f t="shared" ca="1" si="29"/>
        <v>0</v>
      </c>
      <c r="AO156" s="71">
        <f ca="1">IF(C156=1,(H156+J156+N156+P156)*'Reeksen (N)'!AN156,0)</f>
        <v>0</v>
      </c>
      <c r="AP156" s="71">
        <f ca="1">-IF(C156=1,(H156+J156+N156+P156)*'Hulp - basis'!$O$550*'Reeksen (N)'!H156,0)</f>
        <v>0</v>
      </c>
      <c r="AQ156" s="71">
        <f ca="1">-IF(C156=1,(F156+K156+L156+Q156)/2*'Invoer gegevens (N)'!$I$33*'Reeksen (N)'!J156,0)*2</f>
        <v>0</v>
      </c>
      <c r="AR156" s="71">
        <f ca="1">-IF(C156=1,(I156*'Invoer gegevens (N)'!$I$34)*'Reeksen (N)'!J156,0)</f>
        <v>0</v>
      </c>
      <c r="AS156" s="71">
        <f ca="1">-IF(C156=1,(F156+K156+L156+Q156)/2*'Invoer gegevens (N)'!$I$35*'Reeksen (N)'!L156,0)</f>
        <v>0</v>
      </c>
      <c r="AT156" s="71">
        <f ca="1">-IF(C156=1,IF(E156='Invoer gegevens (N)'!$C$17,'Invoer gegevens (N)'!$C$11,AD156)*'Reeksen (N)'!S156*'Invoer gegevens (N)'!$C$18*'Reeksen (N)'!P156,0)</f>
        <v>0</v>
      </c>
      <c r="AU156" s="71">
        <f ca="1">-IF(C156=1,(F156+K156+L156+Q156)/2*'Invoer gegevens (N)'!$I$36*'Reeksen (N)'!H156,0)</f>
        <v>0</v>
      </c>
      <c r="AV156" s="71">
        <v>0</v>
      </c>
      <c r="AW156" s="71">
        <f t="shared" ca="1" si="30"/>
        <v>0</v>
      </c>
      <c r="AX156" s="71">
        <f ca="1">IF(E156&lt;'Invoer gegevens (N)'!$C$17+15,0,IF(E156&gt;'Invoer gegevens (N)'!$C$17+215,0,AW156))</f>
        <v>0</v>
      </c>
      <c r="AY156" s="71">
        <f ca="1">AX156/(1+'Invoer gegevens (N)'!$F$18)^($AZ156-('Invoer gegevens (N)'!$C$17-'Invoer gegevens (N)'!$C$16))/(1+'Invoer gegevens (N)'!$C$39)^('Invoer gegevens (N)'!$C$17-'Invoer gegevens (N)'!$C$16)</f>
        <v>0</v>
      </c>
      <c r="AZ156" s="68">
        <f ca="1">IF(E156-'Invoer gegevens (N)'!$C$17-14.5&lt;0,0,E156-'Invoer gegevens (N)'!$C$17-14.5)</f>
        <v>136.5</v>
      </c>
    </row>
    <row r="157" spans="2:52" x14ac:dyDescent="0.25">
      <c r="B157" s="70">
        <f t="shared" si="31"/>
        <v>153</v>
      </c>
      <c r="C157" s="67">
        <f ca="1">IF(E157-'Invoer gegevens (N)'!$C$17&lt;0,0,1)</f>
        <v>1</v>
      </c>
      <c r="D157" s="68">
        <f t="shared" si="32"/>
        <v>152.5</v>
      </c>
      <c r="E157" s="108">
        <f ca="1">IF('Invoer gegevens (N)'!$C$16="","",E156+1)</f>
        <v>2171</v>
      </c>
      <c r="F157" s="84">
        <f ca="1">IF('Invoer gegevens (N)'!$C$17=E157,'Invoer gegevens (N)'!$C$10,IF(C157=1,K156,0))</f>
        <v>0</v>
      </c>
      <c r="G157" s="96">
        <f ca="1">IF(C157&gt;=1,F157*VLOOKUP(E157,'Reeksen (N)'!$A$5:$B$76,2),0)</f>
        <v>0</v>
      </c>
      <c r="H157" s="84">
        <f ca="1">(1-('Invoer gegevens (N)'!$F$20/12))*F157*MIN('Reeksen (N)'!B157,'Reeksen (N)'!D157)</f>
        <v>0</v>
      </c>
      <c r="I157" s="84">
        <f>IF('Reeksen (N)'!D157&lt;'Reeksen (N)'!B157,('Reeksen (N)'!B157-'Reeksen (N)'!D157)*F157,0)</f>
        <v>0</v>
      </c>
      <c r="J157" s="84">
        <f ca="1">('Invoer gegevens (N)'!$F$20/12)*F156*MIN('Reeksen (N)'!B156,'Reeksen (N)'!D156)</f>
        <v>0</v>
      </c>
      <c r="K157" s="97">
        <f t="shared" ca="1" si="23"/>
        <v>0</v>
      </c>
      <c r="L157" s="84">
        <f ca="1">IF('Invoer gegevens (N)'!$C$17=E157,0,IF(C157=1,Q156,0))</f>
        <v>0</v>
      </c>
      <c r="M157" s="96">
        <f ca="1">IF(C157&gt;=1,L157*VLOOKUP(E157,'Reeksen (N)'!$A$5:$B$76,2),0)</f>
        <v>0</v>
      </c>
      <c r="N157" s="84">
        <f ca="1">(1-('Invoer gegevens (N)'!$F$20/12))*L157*MIN('Reeksen (N)'!B157,'Reeksen (N)'!D157)</f>
        <v>0</v>
      </c>
      <c r="O157" s="84">
        <f>IF('Reeksen (N)'!D157&lt;'Reeksen (N)'!B157,('Reeksen (N)'!B157-'Reeksen (N)'!D157)*L157,0)</f>
        <v>0</v>
      </c>
      <c r="P157" s="84">
        <f ca="1">('Invoer gegevens (N)'!$F$20/12)*L156*MIN('Reeksen (N)'!B156,'Reeksen (N)'!D156)</f>
        <v>0</v>
      </c>
      <c r="Q157" s="84">
        <f t="shared" ca="1" si="24"/>
        <v>0</v>
      </c>
      <c r="R157" s="82">
        <f ca="1">IF('Invoer gegevens (N)'!$C$17=E157,'Invoer gegevens (N)'!$C$11,IF(C157=1,W156,0))</f>
        <v>0</v>
      </c>
      <c r="S157" s="86">
        <f ca="1">IF(C157&gt;=1,R157*VLOOKUP(E157,'Reeksen (N)'!$A$5:$B$76,2),0)</f>
        <v>0</v>
      </c>
      <c r="T157" s="84">
        <f ca="1">(1-('Invoer gegevens (N)'!$F$20/12))*R157*MIN('Reeksen (N)'!B157,'Reeksen (N)'!D157)</f>
        <v>0</v>
      </c>
      <c r="U157" s="84">
        <f>IF('Reeksen (N)'!D157&gt;='Reeksen (N)'!B157,0,IF('Reeksen (N)'!AK157&lt;='Reeksen (N)'!AE157,('Reeksen (N)'!B157-'Reeksen (N)'!D157)*R157,0))</f>
        <v>0</v>
      </c>
      <c r="V157" s="86">
        <f>IF('Reeksen (N)'!D157&gt;='Reeksen (N)'!B157,0,IF('Reeksen (N)'!AK157&gt;'Reeksen (N)'!AE157,('Reeksen (N)'!B157-'Reeksen (N)'!D157)*R157,0))</f>
        <v>0</v>
      </c>
      <c r="W157" s="97">
        <f t="shared" ca="1" si="25"/>
        <v>0</v>
      </c>
      <c r="X157" s="98">
        <f ca="1">IF('Invoer gegevens (N)'!$C$17=E157,'Invoer gegevens (N)'!$C$10-'Invoer gegevens (N)'!$C$11,IF(C157=1,AC156,0))</f>
        <v>0</v>
      </c>
      <c r="Y157" s="98">
        <f ca="1">IF(C157&gt;=1,X157*VLOOKUP(E157,'Reeksen (N)'!$A$5:$B$76,2),0)</f>
        <v>0</v>
      </c>
      <c r="Z157" s="98">
        <f ca="1">(1-('Invoer gegevens (N)'!$F$20/12))*X157*MIN('Reeksen (N)'!B157,'Reeksen (N)'!D157)</f>
        <v>0</v>
      </c>
      <c r="AA157" s="98">
        <f>IF('Reeksen (N)'!D157&gt;='Reeksen (N)'!B157,0,IF('Reeksen (N)'!AK157&lt;='Reeksen (N)'!AE157,('Reeksen (N)'!B157-'Reeksen (N)'!D157)*X157,0))</f>
        <v>0</v>
      </c>
      <c r="AB157" s="98">
        <f>IF('Reeksen (N)'!D157&gt;='Reeksen (N)'!B157,0,IF('Reeksen (N)'!AK157&gt;'Reeksen (N)'!AE157,('Reeksen (N)'!B157-'Reeksen (N)'!D157)*X157,0))</f>
        <v>0</v>
      </c>
      <c r="AC157" s="99">
        <f t="shared" ca="1" si="26"/>
        <v>0</v>
      </c>
      <c r="AD157" s="98">
        <f ca="1">IF('Invoer gegevens (N)'!$C$17=E157,R157,IF(C157=0,0,AE156))</f>
        <v>0</v>
      </c>
      <c r="AE157" s="98">
        <f t="shared" ca="1" si="27"/>
        <v>0</v>
      </c>
      <c r="AF157" s="98">
        <f ca="1">IF('Invoer gegevens (N)'!$C$17=E157,X157,IF(C157=0,0,AG156))</f>
        <v>0</v>
      </c>
      <c r="AG157" s="98">
        <f t="shared" ca="1" si="28"/>
        <v>0</v>
      </c>
      <c r="AH157" s="68"/>
      <c r="AI157" s="71">
        <f ca="1">IF(C157=1,'Reeksen (N)'!AJ157*((F157-G157+F157)/2)*12+'Reeksen (N)'!AK157*((L157-M157+L157)/2)*12,0)</f>
        <v>0</v>
      </c>
      <c r="AJ157" s="71">
        <f ca="1">-AI157*'Invoer gegevens (N)'!$F$28</f>
        <v>0</v>
      </c>
      <c r="AK157" s="71">
        <f t="shared" ca="1" si="22"/>
        <v>0</v>
      </c>
      <c r="AL157" s="71">
        <f ca="1">IF(C157=1,'Reeksen (N)'!AL157*((F157-G157+F157)/2)*12+'Reeksen (N)'!AM157*((L157-M157+L157)/2)*12,0)</f>
        <v>0</v>
      </c>
      <c r="AM157" s="71">
        <f ca="1">-AL157*'Invoer gegevens (N)'!$F$31</f>
        <v>0</v>
      </c>
      <c r="AN157" s="71">
        <f t="shared" ca="1" si="29"/>
        <v>0</v>
      </c>
      <c r="AO157" s="71">
        <f ca="1">IF(C157=1,(H157+J157+N157+P157)*'Reeksen (N)'!AN157,0)</f>
        <v>0</v>
      </c>
      <c r="AP157" s="71">
        <f ca="1">-IF(C157=1,(H157+J157+N157+P157)*'Hulp - basis'!$O$550*'Reeksen (N)'!H157,0)</f>
        <v>0</v>
      </c>
      <c r="AQ157" s="71">
        <f ca="1">-IF(C157=1,(F157+K157+L157+Q157)/2*'Invoer gegevens (N)'!$I$33*'Reeksen (N)'!J157,0)*2</f>
        <v>0</v>
      </c>
      <c r="AR157" s="71">
        <f ca="1">-IF(C157=1,(I157*'Invoer gegevens (N)'!$I$34)*'Reeksen (N)'!J157,0)</f>
        <v>0</v>
      </c>
      <c r="AS157" s="71">
        <f ca="1">-IF(C157=1,(F157+K157+L157+Q157)/2*'Invoer gegevens (N)'!$I$35*'Reeksen (N)'!L157,0)</f>
        <v>0</v>
      </c>
      <c r="AT157" s="71">
        <f ca="1">-IF(C157=1,IF(E157='Invoer gegevens (N)'!$C$17,'Invoer gegevens (N)'!$C$11,AD157)*'Reeksen (N)'!S157*'Invoer gegevens (N)'!$C$18*'Reeksen (N)'!P157,0)</f>
        <v>0</v>
      </c>
      <c r="AU157" s="71">
        <f ca="1">-IF(C157=1,(F157+K157+L157+Q157)/2*'Invoer gegevens (N)'!$I$36*'Reeksen (N)'!H157,0)</f>
        <v>0</v>
      </c>
      <c r="AV157" s="71">
        <v>0</v>
      </c>
      <c r="AW157" s="71">
        <f t="shared" ca="1" si="30"/>
        <v>0</v>
      </c>
      <c r="AX157" s="71">
        <f ca="1">IF(E157&lt;'Invoer gegevens (N)'!$C$17+15,0,IF(E157&gt;'Invoer gegevens (N)'!$C$17+215,0,AW157))</f>
        <v>0</v>
      </c>
      <c r="AY157" s="71">
        <f ca="1">AX157/(1+'Invoer gegevens (N)'!$F$18)^($AZ157-('Invoer gegevens (N)'!$C$17-'Invoer gegevens (N)'!$C$16))/(1+'Invoer gegevens (N)'!$C$39)^('Invoer gegevens (N)'!$C$17-'Invoer gegevens (N)'!$C$16)</f>
        <v>0</v>
      </c>
      <c r="AZ157" s="68">
        <f ca="1">IF(E157-'Invoer gegevens (N)'!$C$17-14.5&lt;0,0,E157-'Invoer gegevens (N)'!$C$17-14.5)</f>
        <v>137.5</v>
      </c>
    </row>
    <row r="158" spans="2:52" x14ac:dyDescent="0.25">
      <c r="B158" s="70">
        <f t="shared" si="31"/>
        <v>154</v>
      </c>
      <c r="C158" s="67">
        <f ca="1">IF(E158-'Invoer gegevens (N)'!$C$17&lt;0,0,1)</f>
        <v>1</v>
      </c>
      <c r="D158" s="68">
        <f t="shared" si="32"/>
        <v>153.5</v>
      </c>
      <c r="E158" s="108">
        <f ca="1">IF('Invoer gegevens (N)'!$C$16="","",E157+1)</f>
        <v>2172</v>
      </c>
      <c r="F158" s="84">
        <f ca="1">IF('Invoer gegevens (N)'!$C$17=E158,'Invoer gegevens (N)'!$C$10,IF(C158=1,K157,0))</f>
        <v>0</v>
      </c>
      <c r="G158" s="96">
        <f ca="1">IF(C158&gt;=1,F158*VLOOKUP(E158,'Reeksen (N)'!$A$5:$B$76,2),0)</f>
        <v>0</v>
      </c>
      <c r="H158" s="84">
        <f ca="1">(1-('Invoer gegevens (N)'!$F$20/12))*F158*MIN('Reeksen (N)'!B158,'Reeksen (N)'!D158)</f>
        <v>0</v>
      </c>
      <c r="I158" s="84">
        <f>IF('Reeksen (N)'!D158&lt;'Reeksen (N)'!B158,('Reeksen (N)'!B158-'Reeksen (N)'!D158)*F158,0)</f>
        <v>0</v>
      </c>
      <c r="J158" s="84">
        <f ca="1">('Invoer gegevens (N)'!$F$20/12)*F157*MIN('Reeksen (N)'!B157,'Reeksen (N)'!D157)</f>
        <v>0</v>
      </c>
      <c r="K158" s="97">
        <f t="shared" ca="1" si="23"/>
        <v>0</v>
      </c>
      <c r="L158" s="84">
        <f ca="1">IF('Invoer gegevens (N)'!$C$17=E158,0,IF(C158=1,Q157,0))</f>
        <v>0</v>
      </c>
      <c r="M158" s="96">
        <f ca="1">IF(C158&gt;=1,L158*VLOOKUP(E158,'Reeksen (N)'!$A$5:$B$76,2),0)</f>
        <v>0</v>
      </c>
      <c r="N158" s="84">
        <f ca="1">(1-('Invoer gegevens (N)'!$F$20/12))*L158*MIN('Reeksen (N)'!B158,'Reeksen (N)'!D158)</f>
        <v>0</v>
      </c>
      <c r="O158" s="84">
        <f>IF('Reeksen (N)'!D158&lt;'Reeksen (N)'!B158,('Reeksen (N)'!B158-'Reeksen (N)'!D158)*L158,0)</f>
        <v>0</v>
      </c>
      <c r="P158" s="84">
        <f ca="1">('Invoer gegevens (N)'!$F$20/12)*L157*MIN('Reeksen (N)'!B157,'Reeksen (N)'!D157)</f>
        <v>0</v>
      </c>
      <c r="Q158" s="84">
        <f t="shared" ca="1" si="24"/>
        <v>0</v>
      </c>
      <c r="R158" s="82">
        <f ca="1">IF('Invoer gegevens (N)'!$C$17=E158,'Invoer gegevens (N)'!$C$11,IF(C158=1,W157,0))</f>
        <v>0</v>
      </c>
      <c r="S158" s="86">
        <f ca="1">IF(C158&gt;=1,R158*VLOOKUP(E158,'Reeksen (N)'!$A$5:$B$76,2),0)</f>
        <v>0</v>
      </c>
      <c r="T158" s="84">
        <f ca="1">(1-('Invoer gegevens (N)'!$F$20/12))*R158*MIN('Reeksen (N)'!B158,'Reeksen (N)'!D158)</f>
        <v>0</v>
      </c>
      <c r="U158" s="84">
        <f>IF('Reeksen (N)'!D158&gt;='Reeksen (N)'!B158,0,IF('Reeksen (N)'!AK158&lt;='Reeksen (N)'!AE158,('Reeksen (N)'!B158-'Reeksen (N)'!D158)*R158,0))</f>
        <v>0</v>
      </c>
      <c r="V158" s="86">
        <f>IF('Reeksen (N)'!D158&gt;='Reeksen (N)'!B158,0,IF('Reeksen (N)'!AK158&gt;'Reeksen (N)'!AE158,('Reeksen (N)'!B158-'Reeksen (N)'!D158)*R158,0))</f>
        <v>0</v>
      </c>
      <c r="W158" s="97">
        <f t="shared" ca="1" si="25"/>
        <v>0</v>
      </c>
      <c r="X158" s="98">
        <f ca="1">IF('Invoer gegevens (N)'!$C$17=E158,'Invoer gegevens (N)'!$C$10-'Invoer gegevens (N)'!$C$11,IF(C158=1,AC157,0))</f>
        <v>0</v>
      </c>
      <c r="Y158" s="98">
        <f ca="1">IF(C158&gt;=1,X158*VLOOKUP(E158,'Reeksen (N)'!$A$5:$B$76,2),0)</f>
        <v>0</v>
      </c>
      <c r="Z158" s="98">
        <f ca="1">(1-('Invoer gegevens (N)'!$F$20/12))*X158*MIN('Reeksen (N)'!B158,'Reeksen (N)'!D158)</f>
        <v>0</v>
      </c>
      <c r="AA158" s="98">
        <f>IF('Reeksen (N)'!D158&gt;='Reeksen (N)'!B158,0,IF('Reeksen (N)'!AK158&lt;='Reeksen (N)'!AE158,('Reeksen (N)'!B158-'Reeksen (N)'!D158)*X158,0))</f>
        <v>0</v>
      </c>
      <c r="AB158" s="98">
        <f>IF('Reeksen (N)'!D158&gt;='Reeksen (N)'!B158,0,IF('Reeksen (N)'!AK158&gt;'Reeksen (N)'!AE158,('Reeksen (N)'!B158-'Reeksen (N)'!D158)*X158,0))</f>
        <v>0</v>
      </c>
      <c r="AC158" s="99">
        <f t="shared" ca="1" si="26"/>
        <v>0</v>
      </c>
      <c r="AD158" s="98">
        <f ca="1">IF('Invoer gegevens (N)'!$C$17=E158,R158,IF(C158=0,0,AE157))</f>
        <v>0</v>
      </c>
      <c r="AE158" s="98">
        <f t="shared" ca="1" si="27"/>
        <v>0</v>
      </c>
      <c r="AF158" s="98">
        <f ca="1">IF('Invoer gegevens (N)'!$C$17=E158,X158,IF(C158=0,0,AG157))</f>
        <v>0</v>
      </c>
      <c r="AG158" s="98">
        <f t="shared" ca="1" si="28"/>
        <v>0</v>
      </c>
      <c r="AH158" s="68"/>
      <c r="AI158" s="71">
        <f ca="1">IF(C158=1,'Reeksen (N)'!AJ158*((F158-G158+F158)/2)*12+'Reeksen (N)'!AK158*((L158-M158+L158)/2)*12,0)</f>
        <v>0</v>
      </c>
      <c r="AJ158" s="71">
        <f ca="1">-AI158*'Invoer gegevens (N)'!$F$28</f>
        <v>0</v>
      </c>
      <c r="AK158" s="71">
        <f t="shared" ca="1" si="22"/>
        <v>0</v>
      </c>
      <c r="AL158" s="71">
        <f ca="1">IF(C158=1,'Reeksen (N)'!AL158*((F158-G158+F158)/2)*12+'Reeksen (N)'!AM158*((L158-M158+L158)/2)*12,0)</f>
        <v>0</v>
      </c>
      <c r="AM158" s="71">
        <f ca="1">-AL158*'Invoer gegevens (N)'!$F$31</f>
        <v>0</v>
      </c>
      <c r="AN158" s="71">
        <f t="shared" ca="1" si="29"/>
        <v>0</v>
      </c>
      <c r="AO158" s="71">
        <f ca="1">IF(C158=1,(H158+J158+N158+P158)*'Reeksen (N)'!AN158,0)</f>
        <v>0</v>
      </c>
      <c r="AP158" s="71">
        <f ca="1">-IF(C158=1,(H158+J158+N158+P158)*'Hulp - basis'!$O$550*'Reeksen (N)'!H158,0)</f>
        <v>0</v>
      </c>
      <c r="AQ158" s="71">
        <f ca="1">-IF(C158=1,(F158+K158+L158+Q158)/2*'Invoer gegevens (N)'!$I$33*'Reeksen (N)'!J158,0)*2</f>
        <v>0</v>
      </c>
      <c r="AR158" s="71">
        <f ca="1">-IF(C158=1,(I158*'Invoer gegevens (N)'!$I$34)*'Reeksen (N)'!J158,0)</f>
        <v>0</v>
      </c>
      <c r="AS158" s="71">
        <f ca="1">-IF(C158=1,(F158+K158+L158+Q158)/2*'Invoer gegevens (N)'!$I$35*'Reeksen (N)'!L158,0)</f>
        <v>0</v>
      </c>
      <c r="AT158" s="71">
        <f ca="1">-IF(C158=1,IF(E158='Invoer gegevens (N)'!$C$17,'Invoer gegevens (N)'!$C$11,AD158)*'Reeksen (N)'!S158*'Invoer gegevens (N)'!$C$18*'Reeksen (N)'!P158,0)</f>
        <v>0</v>
      </c>
      <c r="AU158" s="71">
        <f ca="1">-IF(C158=1,(F158+K158+L158+Q158)/2*'Invoer gegevens (N)'!$I$36*'Reeksen (N)'!H158,0)</f>
        <v>0</v>
      </c>
      <c r="AV158" s="71">
        <v>0</v>
      </c>
      <c r="AW158" s="71">
        <f t="shared" ca="1" si="30"/>
        <v>0</v>
      </c>
      <c r="AX158" s="71">
        <f ca="1">IF(E158&lt;'Invoer gegevens (N)'!$C$17+15,0,IF(E158&gt;'Invoer gegevens (N)'!$C$17+215,0,AW158))</f>
        <v>0</v>
      </c>
      <c r="AY158" s="71">
        <f ca="1">AX158/(1+'Invoer gegevens (N)'!$F$18)^($AZ158-('Invoer gegevens (N)'!$C$17-'Invoer gegevens (N)'!$C$16))/(1+'Invoer gegevens (N)'!$C$39)^('Invoer gegevens (N)'!$C$17-'Invoer gegevens (N)'!$C$16)</f>
        <v>0</v>
      </c>
      <c r="AZ158" s="68">
        <f ca="1">IF(E158-'Invoer gegevens (N)'!$C$17-14.5&lt;0,0,E158-'Invoer gegevens (N)'!$C$17-14.5)</f>
        <v>138.5</v>
      </c>
    </row>
    <row r="159" spans="2:52" x14ac:dyDescent="0.25">
      <c r="B159" s="70">
        <f t="shared" si="31"/>
        <v>155</v>
      </c>
      <c r="C159" s="67">
        <f ca="1">IF(E159-'Invoer gegevens (N)'!$C$17&lt;0,0,1)</f>
        <v>1</v>
      </c>
      <c r="D159" s="68">
        <f t="shared" si="32"/>
        <v>154.5</v>
      </c>
      <c r="E159" s="108">
        <f ca="1">IF('Invoer gegevens (N)'!$C$16="","",E158+1)</f>
        <v>2173</v>
      </c>
      <c r="F159" s="84">
        <f ca="1">IF('Invoer gegevens (N)'!$C$17=E159,'Invoer gegevens (N)'!$C$10,IF(C159=1,K158,0))</f>
        <v>0</v>
      </c>
      <c r="G159" s="96">
        <f ca="1">IF(C159&gt;=1,F159*VLOOKUP(E159,'Reeksen (N)'!$A$5:$B$76,2),0)</f>
        <v>0</v>
      </c>
      <c r="H159" s="84">
        <f ca="1">(1-('Invoer gegevens (N)'!$F$20/12))*F159*MIN('Reeksen (N)'!B159,'Reeksen (N)'!D159)</f>
        <v>0</v>
      </c>
      <c r="I159" s="84">
        <f>IF('Reeksen (N)'!D159&lt;'Reeksen (N)'!B159,('Reeksen (N)'!B159-'Reeksen (N)'!D159)*F159,0)</f>
        <v>0</v>
      </c>
      <c r="J159" s="84">
        <f ca="1">('Invoer gegevens (N)'!$F$20/12)*F158*MIN('Reeksen (N)'!B158,'Reeksen (N)'!D158)</f>
        <v>0</v>
      </c>
      <c r="K159" s="97">
        <f t="shared" ca="1" si="23"/>
        <v>0</v>
      </c>
      <c r="L159" s="84">
        <f ca="1">IF('Invoer gegevens (N)'!$C$17=E159,0,IF(C159=1,Q158,0))</f>
        <v>0</v>
      </c>
      <c r="M159" s="96">
        <f ca="1">IF(C159&gt;=1,L159*VLOOKUP(E159,'Reeksen (N)'!$A$5:$B$76,2),0)</f>
        <v>0</v>
      </c>
      <c r="N159" s="84">
        <f ca="1">(1-('Invoer gegevens (N)'!$F$20/12))*L159*MIN('Reeksen (N)'!B159,'Reeksen (N)'!D159)</f>
        <v>0</v>
      </c>
      <c r="O159" s="84">
        <f>IF('Reeksen (N)'!D159&lt;'Reeksen (N)'!B159,('Reeksen (N)'!B159-'Reeksen (N)'!D159)*L159,0)</f>
        <v>0</v>
      </c>
      <c r="P159" s="84">
        <f ca="1">('Invoer gegevens (N)'!$F$20/12)*L158*MIN('Reeksen (N)'!B158,'Reeksen (N)'!D158)</f>
        <v>0</v>
      </c>
      <c r="Q159" s="84">
        <f t="shared" ca="1" si="24"/>
        <v>0</v>
      </c>
      <c r="R159" s="82">
        <f ca="1">IF('Invoer gegevens (N)'!$C$17=E159,'Invoer gegevens (N)'!$C$11,IF(C159=1,W158,0))</f>
        <v>0</v>
      </c>
      <c r="S159" s="86">
        <f ca="1">IF(C159&gt;=1,R159*VLOOKUP(E159,'Reeksen (N)'!$A$5:$B$76,2),0)</f>
        <v>0</v>
      </c>
      <c r="T159" s="84">
        <f ca="1">(1-('Invoer gegevens (N)'!$F$20/12))*R159*MIN('Reeksen (N)'!B159,'Reeksen (N)'!D159)</f>
        <v>0</v>
      </c>
      <c r="U159" s="84">
        <f>IF('Reeksen (N)'!D159&gt;='Reeksen (N)'!B159,0,IF('Reeksen (N)'!AK159&lt;='Reeksen (N)'!AE159,('Reeksen (N)'!B159-'Reeksen (N)'!D159)*R159,0))</f>
        <v>0</v>
      </c>
      <c r="V159" s="86">
        <f>IF('Reeksen (N)'!D159&gt;='Reeksen (N)'!B159,0,IF('Reeksen (N)'!AK159&gt;'Reeksen (N)'!AE159,('Reeksen (N)'!B159-'Reeksen (N)'!D159)*R159,0))</f>
        <v>0</v>
      </c>
      <c r="W159" s="97">
        <f t="shared" ca="1" si="25"/>
        <v>0</v>
      </c>
      <c r="X159" s="98">
        <f ca="1">IF('Invoer gegevens (N)'!$C$17=E159,'Invoer gegevens (N)'!$C$10-'Invoer gegevens (N)'!$C$11,IF(C159=1,AC158,0))</f>
        <v>0</v>
      </c>
      <c r="Y159" s="98">
        <f ca="1">IF(C159&gt;=1,X159*VLOOKUP(E159,'Reeksen (N)'!$A$5:$B$76,2),0)</f>
        <v>0</v>
      </c>
      <c r="Z159" s="98">
        <f ca="1">(1-('Invoer gegevens (N)'!$F$20/12))*X159*MIN('Reeksen (N)'!B159,'Reeksen (N)'!D159)</f>
        <v>0</v>
      </c>
      <c r="AA159" s="98">
        <f>IF('Reeksen (N)'!D159&gt;='Reeksen (N)'!B159,0,IF('Reeksen (N)'!AK159&lt;='Reeksen (N)'!AE159,('Reeksen (N)'!B159-'Reeksen (N)'!D159)*X159,0))</f>
        <v>0</v>
      </c>
      <c r="AB159" s="98">
        <f>IF('Reeksen (N)'!D159&gt;='Reeksen (N)'!B159,0,IF('Reeksen (N)'!AK159&gt;'Reeksen (N)'!AE159,('Reeksen (N)'!B159-'Reeksen (N)'!D159)*X159,0))</f>
        <v>0</v>
      </c>
      <c r="AC159" s="99">
        <f t="shared" ca="1" si="26"/>
        <v>0</v>
      </c>
      <c r="AD159" s="98">
        <f ca="1">IF('Invoer gegevens (N)'!$C$17=E159,R159,IF(C159=0,0,AE158))</f>
        <v>0</v>
      </c>
      <c r="AE159" s="98">
        <f t="shared" ca="1" si="27"/>
        <v>0</v>
      </c>
      <c r="AF159" s="98">
        <f ca="1">IF('Invoer gegevens (N)'!$C$17=E159,X159,IF(C159=0,0,AG158))</f>
        <v>0</v>
      </c>
      <c r="AG159" s="98">
        <f t="shared" ca="1" si="28"/>
        <v>0</v>
      </c>
      <c r="AH159" s="68"/>
      <c r="AI159" s="71">
        <f ca="1">IF(C159=1,'Reeksen (N)'!AJ159*((F159-G159+F159)/2)*12+'Reeksen (N)'!AK159*((L159-M159+L159)/2)*12,0)</f>
        <v>0</v>
      </c>
      <c r="AJ159" s="71">
        <f ca="1">-AI159*'Invoer gegevens (N)'!$F$28</f>
        <v>0</v>
      </c>
      <c r="AK159" s="71">
        <f t="shared" ca="1" si="22"/>
        <v>0</v>
      </c>
      <c r="AL159" s="71">
        <f ca="1">IF(C159=1,'Reeksen (N)'!AL159*((F159-G159+F159)/2)*12+'Reeksen (N)'!AM159*((L159-M159+L159)/2)*12,0)</f>
        <v>0</v>
      </c>
      <c r="AM159" s="71">
        <f ca="1">-AL159*'Invoer gegevens (N)'!$F$31</f>
        <v>0</v>
      </c>
      <c r="AN159" s="71">
        <f t="shared" ca="1" si="29"/>
        <v>0</v>
      </c>
      <c r="AO159" s="71">
        <f ca="1">IF(C159=1,(H159+J159+N159+P159)*'Reeksen (N)'!AN159,0)</f>
        <v>0</v>
      </c>
      <c r="AP159" s="71">
        <f ca="1">-IF(C159=1,(H159+J159+N159+P159)*'Hulp - basis'!$O$550*'Reeksen (N)'!H159,0)</f>
        <v>0</v>
      </c>
      <c r="AQ159" s="71">
        <f ca="1">-IF(C159=1,(F159+K159+L159+Q159)/2*'Invoer gegevens (N)'!$I$33*'Reeksen (N)'!J159,0)*2</f>
        <v>0</v>
      </c>
      <c r="AR159" s="71">
        <f ca="1">-IF(C159=1,(I159*'Invoer gegevens (N)'!$I$34)*'Reeksen (N)'!J159,0)</f>
        <v>0</v>
      </c>
      <c r="AS159" s="71">
        <f ca="1">-IF(C159=1,(F159+K159+L159+Q159)/2*'Invoer gegevens (N)'!$I$35*'Reeksen (N)'!L159,0)</f>
        <v>0</v>
      </c>
      <c r="AT159" s="71">
        <f ca="1">-IF(C159=1,IF(E159='Invoer gegevens (N)'!$C$17,'Invoer gegevens (N)'!$C$11,AD159)*'Reeksen (N)'!S159*'Invoer gegevens (N)'!$C$18*'Reeksen (N)'!P159,0)</f>
        <v>0</v>
      </c>
      <c r="AU159" s="71">
        <f ca="1">-IF(C159=1,(F159+K159+L159+Q159)/2*'Invoer gegevens (N)'!$I$36*'Reeksen (N)'!H159,0)</f>
        <v>0</v>
      </c>
      <c r="AV159" s="71">
        <v>0</v>
      </c>
      <c r="AW159" s="71">
        <f t="shared" ca="1" si="30"/>
        <v>0</v>
      </c>
      <c r="AX159" s="71">
        <f ca="1">IF(E159&lt;'Invoer gegevens (N)'!$C$17+15,0,IF(E159&gt;'Invoer gegevens (N)'!$C$17+215,0,AW159))</f>
        <v>0</v>
      </c>
      <c r="AY159" s="71">
        <f ca="1">AX159/(1+'Invoer gegevens (N)'!$F$18)^($AZ159-('Invoer gegevens (N)'!$C$17-'Invoer gegevens (N)'!$C$16))/(1+'Invoer gegevens (N)'!$C$39)^('Invoer gegevens (N)'!$C$17-'Invoer gegevens (N)'!$C$16)</f>
        <v>0</v>
      </c>
      <c r="AZ159" s="68">
        <f ca="1">IF(E159-'Invoer gegevens (N)'!$C$17-14.5&lt;0,0,E159-'Invoer gegevens (N)'!$C$17-14.5)</f>
        <v>139.5</v>
      </c>
    </row>
    <row r="160" spans="2:52" x14ac:dyDescent="0.25">
      <c r="B160" s="70">
        <f t="shared" si="31"/>
        <v>156</v>
      </c>
      <c r="C160" s="67">
        <f ca="1">IF(E160-'Invoer gegevens (N)'!$C$17&lt;0,0,1)</f>
        <v>1</v>
      </c>
      <c r="D160" s="68">
        <f t="shared" si="32"/>
        <v>155.5</v>
      </c>
      <c r="E160" s="108">
        <f ca="1">IF('Invoer gegevens (N)'!$C$16="","",E159+1)</f>
        <v>2174</v>
      </c>
      <c r="F160" s="84">
        <f ca="1">IF('Invoer gegevens (N)'!$C$17=E160,'Invoer gegevens (N)'!$C$10,IF(C160=1,K159,0))</f>
        <v>0</v>
      </c>
      <c r="G160" s="96">
        <f ca="1">IF(C160&gt;=1,F160*VLOOKUP(E160,'Reeksen (N)'!$A$5:$B$76,2),0)</f>
        <v>0</v>
      </c>
      <c r="H160" s="84">
        <f ca="1">(1-('Invoer gegevens (N)'!$F$20/12))*F160*MIN('Reeksen (N)'!B160,'Reeksen (N)'!D160)</f>
        <v>0</v>
      </c>
      <c r="I160" s="84">
        <f>IF('Reeksen (N)'!D160&lt;'Reeksen (N)'!B160,('Reeksen (N)'!B160-'Reeksen (N)'!D160)*F160,0)</f>
        <v>0</v>
      </c>
      <c r="J160" s="84">
        <f ca="1">('Invoer gegevens (N)'!$F$20/12)*F159*MIN('Reeksen (N)'!B159,'Reeksen (N)'!D159)</f>
        <v>0</v>
      </c>
      <c r="K160" s="97">
        <f t="shared" ca="1" si="23"/>
        <v>0</v>
      </c>
      <c r="L160" s="84">
        <f ca="1">IF('Invoer gegevens (N)'!$C$17=E160,0,IF(C160=1,Q159,0))</f>
        <v>0</v>
      </c>
      <c r="M160" s="96">
        <f ca="1">IF(C160&gt;=1,L160*VLOOKUP(E160,'Reeksen (N)'!$A$5:$B$76,2),0)</f>
        <v>0</v>
      </c>
      <c r="N160" s="84">
        <f ca="1">(1-('Invoer gegevens (N)'!$F$20/12))*L160*MIN('Reeksen (N)'!B160,'Reeksen (N)'!D160)</f>
        <v>0</v>
      </c>
      <c r="O160" s="84">
        <f>IF('Reeksen (N)'!D160&lt;'Reeksen (N)'!B160,('Reeksen (N)'!B160-'Reeksen (N)'!D160)*L160,0)</f>
        <v>0</v>
      </c>
      <c r="P160" s="84">
        <f ca="1">('Invoer gegevens (N)'!$F$20/12)*L159*MIN('Reeksen (N)'!B159,'Reeksen (N)'!D159)</f>
        <v>0</v>
      </c>
      <c r="Q160" s="84">
        <f t="shared" ca="1" si="24"/>
        <v>0</v>
      </c>
      <c r="R160" s="82">
        <f ca="1">IF('Invoer gegevens (N)'!$C$17=E160,'Invoer gegevens (N)'!$C$11,IF(C160=1,W159,0))</f>
        <v>0</v>
      </c>
      <c r="S160" s="86">
        <f ca="1">IF(C160&gt;=1,R160*VLOOKUP(E160,'Reeksen (N)'!$A$5:$B$76,2),0)</f>
        <v>0</v>
      </c>
      <c r="T160" s="84">
        <f ca="1">(1-('Invoer gegevens (N)'!$F$20/12))*R160*MIN('Reeksen (N)'!B160,'Reeksen (N)'!D160)</f>
        <v>0</v>
      </c>
      <c r="U160" s="84">
        <f>IF('Reeksen (N)'!D160&gt;='Reeksen (N)'!B160,0,IF('Reeksen (N)'!AK160&lt;='Reeksen (N)'!AE160,('Reeksen (N)'!B160-'Reeksen (N)'!D160)*R160,0))</f>
        <v>0</v>
      </c>
      <c r="V160" s="86">
        <f>IF('Reeksen (N)'!D160&gt;='Reeksen (N)'!B160,0,IF('Reeksen (N)'!AK160&gt;'Reeksen (N)'!AE160,('Reeksen (N)'!B160-'Reeksen (N)'!D160)*R160,0))</f>
        <v>0</v>
      </c>
      <c r="W160" s="97">
        <f t="shared" ca="1" si="25"/>
        <v>0</v>
      </c>
      <c r="X160" s="98">
        <f ca="1">IF('Invoer gegevens (N)'!$C$17=E160,'Invoer gegevens (N)'!$C$10-'Invoer gegevens (N)'!$C$11,IF(C160=1,AC159,0))</f>
        <v>0</v>
      </c>
      <c r="Y160" s="98">
        <f ca="1">IF(C160&gt;=1,X160*VLOOKUP(E160,'Reeksen (N)'!$A$5:$B$76,2),0)</f>
        <v>0</v>
      </c>
      <c r="Z160" s="98">
        <f ca="1">(1-('Invoer gegevens (N)'!$F$20/12))*X160*MIN('Reeksen (N)'!B160,'Reeksen (N)'!D160)</f>
        <v>0</v>
      </c>
      <c r="AA160" s="98">
        <f>IF('Reeksen (N)'!D160&gt;='Reeksen (N)'!B160,0,IF('Reeksen (N)'!AK160&lt;='Reeksen (N)'!AE160,('Reeksen (N)'!B160-'Reeksen (N)'!D160)*X160,0))</f>
        <v>0</v>
      </c>
      <c r="AB160" s="98">
        <f>IF('Reeksen (N)'!D160&gt;='Reeksen (N)'!B160,0,IF('Reeksen (N)'!AK160&gt;'Reeksen (N)'!AE160,('Reeksen (N)'!B160-'Reeksen (N)'!D160)*X160,0))</f>
        <v>0</v>
      </c>
      <c r="AC160" s="99">
        <f t="shared" ca="1" si="26"/>
        <v>0</v>
      </c>
      <c r="AD160" s="98">
        <f ca="1">IF('Invoer gegevens (N)'!$C$17=E160,R160,IF(C160=0,0,AE159))</f>
        <v>0</v>
      </c>
      <c r="AE160" s="98">
        <f t="shared" ca="1" si="27"/>
        <v>0</v>
      </c>
      <c r="AF160" s="98">
        <f ca="1">IF('Invoer gegevens (N)'!$C$17=E160,X160,IF(C160=0,0,AG159))</f>
        <v>0</v>
      </c>
      <c r="AG160" s="98">
        <f t="shared" ca="1" si="28"/>
        <v>0</v>
      </c>
      <c r="AH160" s="68"/>
      <c r="AI160" s="71">
        <f ca="1">IF(C160=1,'Reeksen (N)'!AJ160*((F160-G160+F160)/2)*12+'Reeksen (N)'!AK160*((L160-M160+L160)/2)*12,0)</f>
        <v>0</v>
      </c>
      <c r="AJ160" s="71">
        <f ca="1">-AI160*'Invoer gegevens (N)'!$F$28</f>
        <v>0</v>
      </c>
      <c r="AK160" s="71">
        <f t="shared" ca="1" si="22"/>
        <v>0</v>
      </c>
      <c r="AL160" s="71">
        <f ca="1">IF(C160=1,'Reeksen (N)'!AL160*((F160-G160+F160)/2)*12+'Reeksen (N)'!AM160*((L160-M160+L160)/2)*12,0)</f>
        <v>0</v>
      </c>
      <c r="AM160" s="71">
        <f ca="1">-AL160*'Invoer gegevens (N)'!$F$31</f>
        <v>0</v>
      </c>
      <c r="AN160" s="71">
        <f t="shared" ca="1" si="29"/>
        <v>0</v>
      </c>
      <c r="AO160" s="71">
        <f ca="1">IF(C160=1,(H160+J160+N160+P160)*'Reeksen (N)'!AN160,0)</f>
        <v>0</v>
      </c>
      <c r="AP160" s="71">
        <f ca="1">-IF(C160=1,(H160+J160+N160+P160)*'Hulp - basis'!$O$550*'Reeksen (N)'!H160,0)</f>
        <v>0</v>
      </c>
      <c r="AQ160" s="71">
        <f ca="1">-IF(C160=1,(F160+K160+L160+Q160)/2*'Invoer gegevens (N)'!$I$33*'Reeksen (N)'!J160,0)*2</f>
        <v>0</v>
      </c>
      <c r="AR160" s="71">
        <f ca="1">-IF(C160=1,(I160*'Invoer gegevens (N)'!$I$34)*'Reeksen (N)'!J160,0)</f>
        <v>0</v>
      </c>
      <c r="AS160" s="71">
        <f ca="1">-IF(C160=1,(F160+K160+L160+Q160)/2*'Invoer gegevens (N)'!$I$35*'Reeksen (N)'!L160,0)</f>
        <v>0</v>
      </c>
      <c r="AT160" s="71">
        <f ca="1">-IF(C160=1,IF(E160='Invoer gegevens (N)'!$C$17,'Invoer gegevens (N)'!$C$11,AD160)*'Reeksen (N)'!S160*'Invoer gegevens (N)'!$C$18*'Reeksen (N)'!P160,0)</f>
        <v>0</v>
      </c>
      <c r="AU160" s="71">
        <f ca="1">-IF(C160=1,(F160+K160+L160+Q160)/2*'Invoer gegevens (N)'!$I$36*'Reeksen (N)'!H160,0)</f>
        <v>0</v>
      </c>
      <c r="AV160" s="71">
        <v>0</v>
      </c>
      <c r="AW160" s="71">
        <f t="shared" ca="1" si="30"/>
        <v>0</v>
      </c>
      <c r="AX160" s="71">
        <f ca="1">IF(E160&lt;'Invoer gegevens (N)'!$C$17+15,0,IF(E160&gt;'Invoer gegevens (N)'!$C$17+215,0,AW160))</f>
        <v>0</v>
      </c>
      <c r="AY160" s="71">
        <f ca="1">AX160/(1+'Invoer gegevens (N)'!$F$18)^($AZ160-('Invoer gegevens (N)'!$C$17-'Invoer gegevens (N)'!$C$16))/(1+'Invoer gegevens (N)'!$C$39)^('Invoer gegevens (N)'!$C$17-'Invoer gegevens (N)'!$C$16)</f>
        <v>0</v>
      </c>
      <c r="AZ160" s="68">
        <f ca="1">IF(E160-'Invoer gegevens (N)'!$C$17-14.5&lt;0,0,E160-'Invoer gegevens (N)'!$C$17-14.5)</f>
        <v>140.5</v>
      </c>
    </row>
    <row r="161" spans="2:52" x14ac:dyDescent="0.25">
      <c r="B161" s="70">
        <f t="shared" si="31"/>
        <v>157</v>
      </c>
      <c r="C161" s="67">
        <f ca="1">IF(E161-'Invoer gegevens (N)'!$C$17&lt;0,0,1)</f>
        <v>1</v>
      </c>
      <c r="D161" s="68">
        <f t="shared" si="32"/>
        <v>156.5</v>
      </c>
      <c r="E161" s="108">
        <f ca="1">IF('Invoer gegevens (N)'!$C$16="","",E160+1)</f>
        <v>2175</v>
      </c>
      <c r="F161" s="84">
        <f ca="1">IF('Invoer gegevens (N)'!$C$17=E161,'Invoer gegevens (N)'!$C$10,IF(C161=1,K160,0))</f>
        <v>0</v>
      </c>
      <c r="G161" s="96">
        <f ca="1">IF(C161&gt;=1,F161*VLOOKUP(E161,'Reeksen (N)'!$A$5:$B$76,2),0)</f>
        <v>0</v>
      </c>
      <c r="H161" s="84">
        <f ca="1">(1-('Invoer gegevens (N)'!$F$20/12))*F161*MIN('Reeksen (N)'!B161,'Reeksen (N)'!D161)</f>
        <v>0</v>
      </c>
      <c r="I161" s="84">
        <f>IF('Reeksen (N)'!D161&lt;'Reeksen (N)'!B161,('Reeksen (N)'!B161-'Reeksen (N)'!D161)*F161,0)</f>
        <v>0</v>
      </c>
      <c r="J161" s="84">
        <f ca="1">('Invoer gegevens (N)'!$F$20/12)*F160*MIN('Reeksen (N)'!B160,'Reeksen (N)'!D160)</f>
        <v>0</v>
      </c>
      <c r="K161" s="97">
        <f t="shared" ca="1" si="23"/>
        <v>0</v>
      </c>
      <c r="L161" s="84">
        <f ca="1">IF('Invoer gegevens (N)'!$C$17=E161,0,IF(C161=1,Q160,0))</f>
        <v>0</v>
      </c>
      <c r="M161" s="96">
        <f ca="1">IF(C161&gt;=1,L161*VLOOKUP(E161,'Reeksen (N)'!$A$5:$B$76,2),0)</f>
        <v>0</v>
      </c>
      <c r="N161" s="84">
        <f ca="1">(1-('Invoer gegevens (N)'!$F$20/12))*L161*MIN('Reeksen (N)'!B161,'Reeksen (N)'!D161)</f>
        <v>0</v>
      </c>
      <c r="O161" s="84">
        <f>IF('Reeksen (N)'!D161&lt;'Reeksen (N)'!B161,('Reeksen (N)'!B161-'Reeksen (N)'!D161)*L161,0)</f>
        <v>0</v>
      </c>
      <c r="P161" s="84">
        <f ca="1">('Invoer gegevens (N)'!$F$20/12)*L160*MIN('Reeksen (N)'!B160,'Reeksen (N)'!D160)</f>
        <v>0</v>
      </c>
      <c r="Q161" s="84">
        <f t="shared" ca="1" si="24"/>
        <v>0</v>
      </c>
      <c r="R161" s="82">
        <f ca="1">IF('Invoer gegevens (N)'!$C$17=E161,'Invoer gegevens (N)'!$C$11,IF(C161=1,W160,0))</f>
        <v>0</v>
      </c>
      <c r="S161" s="86">
        <f ca="1">IF(C161&gt;=1,R161*VLOOKUP(E161,'Reeksen (N)'!$A$5:$B$76,2),0)</f>
        <v>0</v>
      </c>
      <c r="T161" s="84">
        <f ca="1">(1-('Invoer gegevens (N)'!$F$20/12))*R161*MIN('Reeksen (N)'!B161,'Reeksen (N)'!D161)</f>
        <v>0</v>
      </c>
      <c r="U161" s="84">
        <f>IF('Reeksen (N)'!D161&gt;='Reeksen (N)'!B161,0,IF('Reeksen (N)'!AK161&lt;='Reeksen (N)'!AE161,('Reeksen (N)'!B161-'Reeksen (N)'!D161)*R161,0))</f>
        <v>0</v>
      </c>
      <c r="V161" s="86">
        <f>IF('Reeksen (N)'!D161&gt;='Reeksen (N)'!B161,0,IF('Reeksen (N)'!AK161&gt;'Reeksen (N)'!AE161,('Reeksen (N)'!B161-'Reeksen (N)'!D161)*R161,0))</f>
        <v>0</v>
      </c>
      <c r="W161" s="97">
        <f t="shared" ca="1" si="25"/>
        <v>0</v>
      </c>
      <c r="X161" s="98">
        <f ca="1">IF('Invoer gegevens (N)'!$C$17=E161,'Invoer gegevens (N)'!$C$10-'Invoer gegevens (N)'!$C$11,IF(C161=1,AC160,0))</f>
        <v>0</v>
      </c>
      <c r="Y161" s="98">
        <f ca="1">IF(C161&gt;=1,X161*VLOOKUP(E161,'Reeksen (N)'!$A$5:$B$76,2),0)</f>
        <v>0</v>
      </c>
      <c r="Z161" s="98">
        <f ca="1">(1-('Invoer gegevens (N)'!$F$20/12))*X161*MIN('Reeksen (N)'!B161,'Reeksen (N)'!D161)</f>
        <v>0</v>
      </c>
      <c r="AA161" s="98">
        <f>IF('Reeksen (N)'!D161&gt;='Reeksen (N)'!B161,0,IF('Reeksen (N)'!AK161&lt;='Reeksen (N)'!AE161,('Reeksen (N)'!B161-'Reeksen (N)'!D161)*X161,0))</f>
        <v>0</v>
      </c>
      <c r="AB161" s="98">
        <f>IF('Reeksen (N)'!D161&gt;='Reeksen (N)'!B161,0,IF('Reeksen (N)'!AK161&gt;'Reeksen (N)'!AE161,('Reeksen (N)'!B161-'Reeksen (N)'!D161)*X161,0))</f>
        <v>0</v>
      </c>
      <c r="AC161" s="99">
        <f t="shared" ca="1" si="26"/>
        <v>0</v>
      </c>
      <c r="AD161" s="98">
        <f ca="1">IF('Invoer gegevens (N)'!$C$17=E161,R161,IF(C161=0,0,AE160))</f>
        <v>0</v>
      </c>
      <c r="AE161" s="98">
        <f t="shared" ca="1" si="27"/>
        <v>0</v>
      </c>
      <c r="AF161" s="98">
        <f ca="1">IF('Invoer gegevens (N)'!$C$17=E161,X161,IF(C161=0,0,AG160))</f>
        <v>0</v>
      </c>
      <c r="AG161" s="98">
        <f t="shared" ca="1" si="28"/>
        <v>0</v>
      </c>
      <c r="AH161" s="68"/>
      <c r="AI161" s="71">
        <f ca="1">IF(C161=1,'Reeksen (N)'!AJ161*((F161-G161+F161)/2)*12+'Reeksen (N)'!AK161*((L161-M161+L161)/2)*12,0)</f>
        <v>0</v>
      </c>
      <c r="AJ161" s="71">
        <f ca="1">-AI161*'Invoer gegevens (N)'!$F$28</f>
        <v>0</v>
      </c>
      <c r="AK161" s="71">
        <f t="shared" ca="1" si="22"/>
        <v>0</v>
      </c>
      <c r="AL161" s="71">
        <f ca="1">IF(C161=1,'Reeksen (N)'!AL161*((F161-G161+F161)/2)*12+'Reeksen (N)'!AM161*((L161-M161+L161)/2)*12,0)</f>
        <v>0</v>
      </c>
      <c r="AM161" s="71">
        <f ca="1">-AL161*'Invoer gegevens (N)'!$F$31</f>
        <v>0</v>
      </c>
      <c r="AN161" s="71">
        <f t="shared" ca="1" si="29"/>
        <v>0</v>
      </c>
      <c r="AO161" s="71">
        <f ca="1">IF(C161=1,(H161+J161+N161+P161)*'Reeksen (N)'!AN161,0)</f>
        <v>0</v>
      </c>
      <c r="AP161" s="71">
        <f ca="1">-IF(C161=1,(H161+J161+N161+P161)*'Hulp - basis'!$O$550*'Reeksen (N)'!H161,0)</f>
        <v>0</v>
      </c>
      <c r="AQ161" s="71">
        <f ca="1">-IF(C161=1,(F161+K161+L161+Q161)/2*'Invoer gegevens (N)'!$I$33*'Reeksen (N)'!J161,0)*2</f>
        <v>0</v>
      </c>
      <c r="AR161" s="71">
        <f ca="1">-IF(C161=1,(I161*'Invoer gegevens (N)'!$I$34)*'Reeksen (N)'!J161,0)</f>
        <v>0</v>
      </c>
      <c r="AS161" s="71">
        <f ca="1">-IF(C161=1,(F161+K161+L161+Q161)/2*'Invoer gegevens (N)'!$I$35*'Reeksen (N)'!L161,0)</f>
        <v>0</v>
      </c>
      <c r="AT161" s="71">
        <f ca="1">-IF(C161=1,IF(E161='Invoer gegevens (N)'!$C$17,'Invoer gegevens (N)'!$C$11,AD161)*'Reeksen (N)'!S161*'Invoer gegevens (N)'!$C$18*'Reeksen (N)'!P161,0)</f>
        <v>0</v>
      </c>
      <c r="AU161" s="71">
        <f ca="1">-IF(C161=1,(F161+K161+L161+Q161)/2*'Invoer gegevens (N)'!$I$36*'Reeksen (N)'!H161,0)</f>
        <v>0</v>
      </c>
      <c r="AV161" s="71">
        <v>0</v>
      </c>
      <c r="AW161" s="71">
        <f t="shared" ca="1" si="30"/>
        <v>0</v>
      </c>
      <c r="AX161" s="71">
        <f ca="1">IF(E161&lt;'Invoer gegevens (N)'!$C$17+15,0,IF(E161&gt;'Invoer gegevens (N)'!$C$17+215,0,AW161))</f>
        <v>0</v>
      </c>
      <c r="AY161" s="71">
        <f ca="1">AX161/(1+'Invoer gegevens (N)'!$F$18)^($AZ161-('Invoer gegevens (N)'!$C$17-'Invoer gegevens (N)'!$C$16))/(1+'Invoer gegevens (N)'!$C$39)^('Invoer gegevens (N)'!$C$17-'Invoer gegevens (N)'!$C$16)</f>
        <v>0</v>
      </c>
      <c r="AZ161" s="68">
        <f ca="1">IF(E161-'Invoer gegevens (N)'!$C$17-14.5&lt;0,0,E161-'Invoer gegevens (N)'!$C$17-14.5)</f>
        <v>141.5</v>
      </c>
    </row>
    <row r="162" spans="2:52" x14ac:dyDescent="0.25">
      <c r="B162" s="70">
        <f t="shared" si="31"/>
        <v>158</v>
      </c>
      <c r="C162" s="67">
        <f ca="1">IF(E162-'Invoer gegevens (N)'!$C$17&lt;0,0,1)</f>
        <v>1</v>
      </c>
      <c r="D162" s="68">
        <f t="shared" si="32"/>
        <v>157.5</v>
      </c>
      <c r="E162" s="108">
        <f ca="1">IF('Invoer gegevens (N)'!$C$16="","",E161+1)</f>
        <v>2176</v>
      </c>
      <c r="F162" s="84">
        <f ca="1">IF('Invoer gegevens (N)'!$C$17=E162,'Invoer gegevens (N)'!$C$10,IF(C162=1,K161,0))</f>
        <v>0</v>
      </c>
      <c r="G162" s="96">
        <f ca="1">IF(C162&gt;=1,F162*VLOOKUP(E162,'Reeksen (N)'!$A$5:$B$76,2),0)</f>
        <v>0</v>
      </c>
      <c r="H162" s="84">
        <f ca="1">(1-('Invoer gegevens (N)'!$F$20/12))*F162*MIN('Reeksen (N)'!B162,'Reeksen (N)'!D162)</f>
        <v>0</v>
      </c>
      <c r="I162" s="84">
        <f>IF('Reeksen (N)'!D162&lt;'Reeksen (N)'!B162,('Reeksen (N)'!B162-'Reeksen (N)'!D162)*F162,0)</f>
        <v>0</v>
      </c>
      <c r="J162" s="84">
        <f ca="1">('Invoer gegevens (N)'!$F$20/12)*F161*MIN('Reeksen (N)'!B161,'Reeksen (N)'!D161)</f>
        <v>0</v>
      </c>
      <c r="K162" s="97">
        <f t="shared" ca="1" si="23"/>
        <v>0</v>
      </c>
      <c r="L162" s="84">
        <f ca="1">IF('Invoer gegevens (N)'!$C$17=E162,0,IF(C162=1,Q161,0))</f>
        <v>0</v>
      </c>
      <c r="M162" s="96">
        <f ca="1">IF(C162&gt;=1,L162*VLOOKUP(E162,'Reeksen (N)'!$A$5:$B$76,2),0)</f>
        <v>0</v>
      </c>
      <c r="N162" s="84">
        <f ca="1">(1-('Invoer gegevens (N)'!$F$20/12))*L162*MIN('Reeksen (N)'!B162,'Reeksen (N)'!D162)</f>
        <v>0</v>
      </c>
      <c r="O162" s="84">
        <f>IF('Reeksen (N)'!D162&lt;'Reeksen (N)'!B162,('Reeksen (N)'!B162-'Reeksen (N)'!D162)*L162,0)</f>
        <v>0</v>
      </c>
      <c r="P162" s="84">
        <f ca="1">('Invoer gegevens (N)'!$F$20/12)*L161*MIN('Reeksen (N)'!B161,'Reeksen (N)'!D161)</f>
        <v>0</v>
      </c>
      <c r="Q162" s="84">
        <f t="shared" ca="1" si="24"/>
        <v>0</v>
      </c>
      <c r="R162" s="82">
        <f ca="1">IF('Invoer gegevens (N)'!$C$17=E162,'Invoer gegevens (N)'!$C$11,IF(C162=1,W161,0))</f>
        <v>0</v>
      </c>
      <c r="S162" s="86">
        <f ca="1">IF(C162&gt;=1,R162*VLOOKUP(E162,'Reeksen (N)'!$A$5:$B$76,2),0)</f>
        <v>0</v>
      </c>
      <c r="T162" s="84">
        <f ca="1">(1-('Invoer gegevens (N)'!$F$20/12))*R162*MIN('Reeksen (N)'!B162,'Reeksen (N)'!D162)</f>
        <v>0</v>
      </c>
      <c r="U162" s="84">
        <f>IF('Reeksen (N)'!D162&gt;='Reeksen (N)'!B162,0,IF('Reeksen (N)'!AK162&lt;='Reeksen (N)'!AE162,('Reeksen (N)'!B162-'Reeksen (N)'!D162)*R162,0))</f>
        <v>0</v>
      </c>
      <c r="V162" s="86">
        <f>IF('Reeksen (N)'!D162&gt;='Reeksen (N)'!B162,0,IF('Reeksen (N)'!AK162&gt;'Reeksen (N)'!AE162,('Reeksen (N)'!B162-'Reeksen (N)'!D162)*R162,0))</f>
        <v>0</v>
      </c>
      <c r="W162" s="97">
        <f t="shared" ca="1" si="25"/>
        <v>0</v>
      </c>
      <c r="X162" s="98">
        <f ca="1">IF('Invoer gegevens (N)'!$C$17=E162,'Invoer gegevens (N)'!$C$10-'Invoer gegevens (N)'!$C$11,IF(C162=1,AC161,0))</f>
        <v>0</v>
      </c>
      <c r="Y162" s="98">
        <f ca="1">IF(C162&gt;=1,X162*VLOOKUP(E162,'Reeksen (N)'!$A$5:$B$76,2),0)</f>
        <v>0</v>
      </c>
      <c r="Z162" s="98">
        <f ca="1">(1-('Invoer gegevens (N)'!$F$20/12))*X162*MIN('Reeksen (N)'!B162,'Reeksen (N)'!D162)</f>
        <v>0</v>
      </c>
      <c r="AA162" s="98">
        <f>IF('Reeksen (N)'!D162&gt;='Reeksen (N)'!B162,0,IF('Reeksen (N)'!AK162&lt;='Reeksen (N)'!AE162,('Reeksen (N)'!B162-'Reeksen (N)'!D162)*X162,0))</f>
        <v>0</v>
      </c>
      <c r="AB162" s="98">
        <f>IF('Reeksen (N)'!D162&gt;='Reeksen (N)'!B162,0,IF('Reeksen (N)'!AK162&gt;'Reeksen (N)'!AE162,('Reeksen (N)'!B162-'Reeksen (N)'!D162)*X162,0))</f>
        <v>0</v>
      </c>
      <c r="AC162" s="99">
        <f t="shared" ca="1" si="26"/>
        <v>0</v>
      </c>
      <c r="AD162" s="98">
        <f ca="1">IF('Invoer gegevens (N)'!$C$17=E162,R162,IF(C162=0,0,AE161))</f>
        <v>0</v>
      </c>
      <c r="AE162" s="98">
        <f t="shared" ca="1" si="27"/>
        <v>0</v>
      </c>
      <c r="AF162" s="98">
        <f ca="1">IF('Invoer gegevens (N)'!$C$17=E162,X162,IF(C162=0,0,AG161))</f>
        <v>0</v>
      </c>
      <c r="AG162" s="98">
        <f t="shared" ca="1" si="28"/>
        <v>0</v>
      </c>
      <c r="AH162" s="68"/>
      <c r="AI162" s="71">
        <f ca="1">IF(C162=1,'Reeksen (N)'!AJ162*((F162-G162+F162)/2)*12+'Reeksen (N)'!AK162*((L162-M162+L162)/2)*12,0)</f>
        <v>0</v>
      </c>
      <c r="AJ162" s="71">
        <f ca="1">-AI162*'Invoer gegevens (N)'!$F$28</f>
        <v>0</v>
      </c>
      <c r="AK162" s="71">
        <f t="shared" ca="1" si="22"/>
        <v>0</v>
      </c>
      <c r="AL162" s="71">
        <f ca="1">IF(C162=1,'Reeksen (N)'!AL162*((F162-G162+F162)/2)*12+'Reeksen (N)'!AM162*((L162-M162+L162)/2)*12,0)</f>
        <v>0</v>
      </c>
      <c r="AM162" s="71">
        <f ca="1">-AL162*'Invoer gegevens (N)'!$F$31</f>
        <v>0</v>
      </c>
      <c r="AN162" s="71">
        <f t="shared" ca="1" si="29"/>
        <v>0</v>
      </c>
      <c r="AO162" s="71">
        <f ca="1">IF(C162=1,(H162+J162+N162+P162)*'Reeksen (N)'!AN162,0)</f>
        <v>0</v>
      </c>
      <c r="AP162" s="71">
        <f ca="1">-IF(C162=1,(H162+J162+N162+P162)*'Hulp - basis'!$O$550*'Reeksen (N)'!H162,0)</f>
        <v>0</v>
      </c>
      <c r="AQ162" s="71">
        <f ca="1">-IF(C162=1,(F162+K162+L162+Q162)/2*'Invoer gegevens (N)'!$I$33*'Reeksen (N)'!J162,0)*2</f>
        <v>0</v>
      </c>
      <c r="AR162" s="71">
        <f ca="1">-IF(C162=1,(I162*'Invoer gegevens (N)'!$I$34)*'Reeksen (N)'!J162,0)</f>
        <v>0</v>
      </c>
      <c r="AS162" s="71">
        <f ca="1">-IF(C162=1,(F162+K162+L162+Q162)/2*'Invoer gegevens (N)'!$I$35*'Reeksen (N)'!L162,0)</f>
        <v>0</v>
      </c>
      <c r="AT162" s="71">
        <f ca="1">-IF(C162=1,IF(E162='Invoer gegevens (N)'!$C$17,'Invoer gegevens (N)'!$C$11,AD162)*'Reeksen (N)'!S162*'Invoer gegevens (N)'!$C$18*'Reeksen (N)'!P162,0)</f>
        <v>0</v>
      </c>
      <c r="AU162" s="71">
        <f ca="1">-IF(C162=1,(F162+K162+L162+Q162)/2*'Invoer gegevens (N)'!$I$36*'Reeksen (N)'!H162,0)</f>
        <v>0</v>
      </c>
      <c r="AV162" s="71">
        <v>0</v>
      </c>
      <c r="AW162" s="71">
        <f t="shared" ca="1" si="30"/>
        <v>0</v>
      </c>
      <c r="AX162" s="71">
        <f ca="1">IF(E162&lt;'Invoer gegevens (N)'!$C$17+15,0,IF(E162&gt;'Invoer gegevens (N)'!$C$17+215,0,AW162))</f>
        <v>0</v>
      </c>
      <c r="AY162" s="71">
        <f ca="1">AX162/(1+'Invoer gegevens (N)'!$F$18)^($AZ162-('Invoer gegevens (N)'!$C$17-'Invoer gegevens (N)'!$C$16))/(1+'Invoer gegevens (N)'!$C$39)^('Invoer gegevens (N)'!$C$17-'Invoer gegevens (N)'!$C$16)</f>
        <v>0</v>
      </c>
      <c r="AZ162" s="68">
        <f ca="1">IF(E162-'Invoer gegevens (N)'!$C$17-14.5&lt;0,0,E162-'Invoer gegevens (N)'!$C$17-14.5)</f>
        <v>142.5</v>
      </c>
    </row>
    <row r="163" spans="2:52" x14ac:dyDescent="0.25">
      <c r="B163" s="70">
        <f t="shared" si="31"/>
        <v>159</v>
      </c>
      <c r="C163" s="67">
        <f ca="1">IF(E163-'Invoer gegevens (N)'!$C$17&lt;0,0,1)</f>
        <v>1</v>
      </c>
      <c r="D163" s="68">
        <f t="shared" si="32"/>
        <v>158.5</v>
      </c>
      <c r="E163" s="108">
        <f ca="1">IF('Invoer gegevens (N)'!$C$16="","",E162+1)</f>
        <v>2177</v>
      </c>
      <c r="F163" s="84">
        <f ca="1">IF('Invoer gegevens (N)'!$C$17=E163,'Invoer gegevens (N)'!$C$10,IF(C163=1,K162,0))</f>
        <v>0</v>
      </c>
      <c r="G163" s="96">
        <f ca="1">IF(C163&gt;=1,F163*VLOOKUP(E163,'Reeksen (N)'!$A$5:$B$76,2),0)</f>
        <v>0</v>
      </c>
      <c r="H163" s="84">
        <f ca="1">(1-('Invoer gegevens (N)'!$F$20/12))*F163*MIN('Reeksen (N)'!B163,'Reeksen (N)'!D163)</f>
        <v>0</v>
      </c>
      <c r="I163" s="84">
        <f>IF('Reeksen (N)'!D163&lt;'Reeksen (N)'!B163,('Reeksen (N)'!B163-'Reeksen (N)'!D163)*F163,0)</f>
        <v>0</v>
      </c>
      <c r="J163" s="84">
        <f ca="1">('Invoer gegevens (N)'!$F$20/12)*F162*MIN('Reeksen (N)'!B162,'Reeksen (N)'!D162)</f>
        <v>0</v>
      </c>
      <c r="K163" s="97">
        <f t="shared" ca="1" si="23"/>
        <v>0</v>
      </c>
      <c r="L163" s="84">
        <f ca="1">IF('Invoer gegevens (N)'!$C$17=E163,0,IF(C163=1,Q162,0))</f>
        <v>0</v>
      </c>
      <c r="M163" s="96">
        <f ca="1">IF(C163&gt;=1,L163*VLOOKUP(E163,'Reeksen (N)'!$A$5:$B$76,2),0)</f>
        <v>0</v>
      </c>
      <c r="N163" s="84">
        <f ca="1">(1-('Invoer gegevens (N)'!$F$20/12))*L163*MIN('Reeksen (N)'!B163,'Reeksen (N)'!D163)</f>
        <v>0</v>
      </c>
      <c r="O163" s="84">
        <f>IF('Reeksen (N)'!D163&lt;'Reeksen (N)'!B163,('Reeksen (N)'!B163-'Reeksen (N)'!D163)*L163,0)</f>
        <v>0</v>
      </c>
      <c r="P163" s="84">
        <f ca="1">('Invoer gegevens (N)'!$F$20/12)*L162*MIN('Reeksen (N)'!B162,'Reeksen (N)'!D162)</f>
        <v>0</v>
      </c>
      <c r="Q163" s="84">
        <f t="shared" ca="1" si="24"/>
        <v>0</v>
      </c>
      <c r="R163" s="82">
        <f ca="1">IF('Invoer gegevens (N)'!$C$17=E163,'Invoer gegevens (N)'!$C$11,IF(C163=1,W162,0))</f>
        <v>0</v>
      </c>
      <c r="S163" s="86">
        <f ca="1">IF(C163&gt;=1,R163*VLOOKUP(E163,'Reeksen (N)'!$A$5:$B$76,2),0)</f>
        <v>0</v>
      </c>
      <c r="T163" s="84">
        <f ca="1">(1-('Invoer gegevens (N)'!$F$20/12))*R163*MIN('Reeksen (N)'!B163,'Reeksen (N)'!D163)</f>
        <v>0</v>
      </c>
      <c r="U163" s="84">
        <f>IF('Reeksen (N)'!D163&gt;='Reeksen (N)'!B163,0,IF('Reeksen (N)'!AK163&lt;='Reeksen (N)'!AE163,('Reeksen (N)'!B163-'Reeksen (N)'!D163)*R163,0))</f>
        <v>0</v>
      </c>
      <c r="V163" s="86">
        <f>IF('Reeksen (N)'!D163&gt;='Reeksen (N)'!B163,0,IF('Reeksen (N)'!AK163&gt;'Reeksen (N)'!AE163,('Reeksen (N)'!B163-'Reeksen (N)'!D163)*R163,0))</f>
        <v>0</v>
      </c>
      <c r="W163" s="97">
        <f t="shared" ca="1" si="25"/>
        <v>0</v>
      </c>
      <c r="X163" s="98">
        <f ca="1">IF('Invoer gegevens (N)'!$C$17=E163,'Invoer gegevens (N)'!$C$10-'Invoer gegevens (N)'!$C$11,IF(C163=1,AC162,0))</f>
        <v>0</v>
      </c>
      <c r="Y163" s="98">
        <f ca="1">IF(C163&gt;=1,X163*VLOOKUP(E163,'Reeksen (N)'!$A$5:$B$76,2),0)</f>
        <v>0</v>
      </c>
      <c r="Z163" s="98">
        <f ca="1">(1-('Invoer gegevens (N)'!$F$20/12))*X163*MIN('Reeksen (N)'!B163,'Reeksen (N)'!D163)</f>
        <v>0</v>
      </c>
      <c r="AA163" s="98">
        <f>IF('Reeksen (N)'!D163&gt;='Reeksen (N)'!B163,0,IF('Reeksen (N)'!AK163&lt;='Reeksen (N)'!AE163,('Reeksen (N)'!B163-'Reeksen (N)'!D163)*X163,0))</f>
        <v>0</v>
      </c>
      <c r="AB163" s="98">
        <f>IF('Reeksen (N)'!D163&gt;='Reeksen (N)'!B163,0,IF('Reeksen (N)'!AK163&gt;'Reeksen (N)'!AE163,('Reeksen (N)'!B163-'Reeksen (N)'!D163)*X163,0))</f>
        <v>0</v>
      </c>
      <c r="AC163" s="99">
        <f t="shared" ca="1" si="26"/>
        <v>0</v>
      </c>
      <c r="AD163" s="98">
        <f ca="1">IF('Invoer gegevens (N)'!$C$17=E163,R163,IF(C163=0,0,AE162))</f>
        <v>0</v>
      </c>
      <c r="AE163" s="98">
        <f t="shared" ca="1" si="27"/>
        <v>0</v>
      </c>
      <c r="AF163" s="98">
        <f ca="1">IF('Invoer gegevens (N)'!$C$17=E163,X163,IF(C163=0,0,AG162))</f>
        <v>0</v>
      </c>
      <c r="AG163" s="98">
        <f t="shared" ca="1" si="28"/>
        <v>0</v>
      </c>
      <c r="AH163" s="68"/>
      <c r="AI163" s="71">
        <f ca="1">IF(C163=1,'Reeksen (N)'!AJ163*((F163-G163+F163)/2)*12+'Reeksen (N)'!AK163*((L163-M163+L163)/2)*12,0)</f>
        <v>0</v>
      </c>
      <c r="AJ163" s="71">
        <f ca="1">-AI163*'Invoer gegevens (N)'!$F$28</f>
        <v>0</v>
      </c>
      <c r="AK163" s="71">
        <f t="shared" ca="1" si="22"/>
        <v>0</v>
      </c>
      <c r="AL163" s="71">
        <f ca="1">IF(C163=1,'Reeksen (N)'!AL163*((F163-G163+F163)/2)*12+'Reeksen (N)'!AM163*((L163-M163+L163)/2)*12,0)</f>
        <v>0</v>
      </c>
      <c r="AM163" s="71">
        <f ca="1">-AL163*'Invoer gegevens (N)'!$F$31</f>
        <v>0</v>
      </c>
      <c r="AN163" s="71">
        <f t="shared" ca="1" si="29"/>
        <v>0</v>
      </c>
      <c r="AO163" s="71">
        <f ca="1">IF(C163=1,(H163+J163+N163+P163)*'Reeksen (N)'!AN163,0)</f>
        <v>0</v>
      </c>
      <c r="AP163" s="71">
        <f ca="1">-IF(C163=1,(H163+J163+N163+P163)*'Hulp - basis'!$O$550*'Reeksen (N)'!H163,0)</f>
        <v>0</v>
      </c>
      <c r="AQ163" s="71">
        <f ca="1">-IF(C163=1,(F163+K163+L163+Q163)/2*'Invoer gegevens (N)'!$I$33*'Reeksen (N)'!J163,0)*2</f>
        <v>0</v>
      </c>
      <c r="AR163" s="71">
        <f ca="1">-IF(C163=1,(I163*'Invoer gegevens (N)'!$I$34)*'Reeksen (N)'!J163,0)</f>
        <v>0</v>
      </c>
      <c r="AS163" s="71">
        <f ca="1">-IF(C163=1,(F163+K163+L163+Q163)/2*'Invoer gegevens (N)'!$I$35*'Reeksen (N)'!L163,0)</f>
        <v>0</v>
      </c>
      <c r="AT163" s="71">
        <f ca="1">-IF(C163=1,IF(E163='Invoer gegevens (N)'!$C$17,'Invoer gegevens (N)'!$C$11,AD163)*'Reeksen (N)'!S163*'Invoer gegevens (N)'!$C$18*'Reeksen (N)'!P163,0)</f>
        <v>0</v>
      </c>
      <c r="AU163" s="71">
        <f ca="1">-IF(C163=1,(F163+K163+L163+Q163)/2*'Invoer gegevens (N)'!$I$36*'Reeksen (N)'!H163,0)</f>
        <v>0</v>
      </c>
      <c r="AV163" s="71">
        <v>0</v>
      </c>
      <c r="AW163" s="71">
        <f t="shared" ca="1" si="30"/>
        <v>0</v>
      </c>
      <c r="AX163" s="71">
        <f ca="1">IF(E163&lt;'Invoer gegevens (N)'!$C$17+15,0,IF(E163&gt;'Invoer gegevens (N)'!$C$17+215,0,AW163))</f>
        <v>0</v>
      </c>
      <c r="AY163" s="71">
        <f ca="1">AX163/(1+'Invoer gegevens (N)'!$F$18)^($AZ163-('Invoer gegevens (N)'!$C$17-'Invoer gegevens (N)'!$C$16))/(1+'Invoer gegevens (N)'!$C$39)^('Invoer gegevens (N)'!$C$17-'Invoer gegevens (N)'!$C$16)</f>
        <v>0</v>
      </c>
      <c r="AZ163" s="68">
        <f ca="1">IF(E163-'Invoer gegevens (N)'!$C$17-14.5&lt;0,0,E163-'Invoer gegevens (N)'!$C$17-14.5)</f>
        <v>143.5</v>
      </c>
    </row>
    <row r="164" spans="2:52" x14ac:dyDescent="0.25">
      <c r="B164" s="70">
        <f t="shared" si="31"/>
        <v>160</v>
      </c>
      <c r="C164" s="67">
        <f ca="1">IF(E164-'Invoer gegevens (N)'!$C$17&lt;0,0,1)</f>
        <v>1</v>
      </c>
      <c r="D164" s="68">
        <f t="shared" si="32"/>
        <v>159.5</v>
      </c>
      <c r="E164" s="108">
        <f ca="1">IF('Invoer gegevens (N)'!$C$16="","",E163+1)</f>
        <v>2178</v>
      </c>
      <c r="F164" s="84">
        <f ca="1">IF('Invoer gegevens (N)'!$C$17=E164,'Invoer gegevens (N)'!$C$10,IF(C164=1,K163,0))</f>
        <v>0</v>
      </c>
      <c r="G164" s="96">
        <f ca="1">IF(C164&gt;=1,F164*VLOOKUP(E164,'Reeksen (N)'!$A$5:$B$76,2),0)</f>
        <v>0</v>
      </c>
      <c r="H164" s="84">
        <f ca="1">(1-('Invoer gegevens (N)'!$F$20/12))*F164*MIN('Reeksen (N)'!B164,'Reeksen (N)'!D164)</f>
        <v>0</v>
      </c>
      <c r="I164" s="84">
        <f>IF('Reeksen (N)'!D164&lt;'Reeksen (N)'!B164,('Reeksen (N)'!B164-'Reeksen (N)'!D164)*F164,0)</f>
        <v>0</v>
      </c>
      <c r="J164" s="84">
        <f ca="1">('Invoer gegevens (N)'!$F$20/12)*F163*MIN('Reeksen (N)'!B163,'Reeksen (N)'!D163)</f>
        <v>0</v>
      </c>
      <c r="K164" s="97">
        <f t="shared" ca="1" si="23"/>
        <v>0</v>
      </c>
      <c r="L164" s="84">
        <f ca="1">IF('Invoer gegevens (N)'!$C$17=E164,0,IF(C164=1,Q163,0))</f>
        <v>0</v>
      </c>
      <c r="M164" s="96">
        <f ca="1">IF(C164&gt;=1,L164*VLOOKUP(E164,'Reeksen (N)'!$A$5:$B$76,2),0)</f>
        <v>0</v>
      </c>
      <c r="N164" s="84">
        <f ca="1">(1-('Invoer gegevens (N)'!$F$20/12))*L164*MIN('Reeksen (N)'!B164,'Reeksen (N)'!D164)</f>
        <v>0</v>
      </c>
      <c r="O164" s="84">
        <f>IF('Reeksen (N)'!D164&lt;'Reeksen (N)'!B164,('Reeksen (N)'!B164-'Reeksen (N)'!D164)*L164,0)</f>
        <v>0</v>
      </c>
      <c r="P164" s="84">
        <f ca="1">('Invoer gegevens (N)'!$F$20/12)*L163*MIN('Reeksen (N)'!B163,'Reeksen (N)'!D163)</f>
        <v>0</v>
      </c>
      <c r="Q164" s="84">
        <f t="shared" ca="1" si="24"/>
        <v>0</v>
      </c>
      <c r="R164" s="82">
        <f ca="1">IF('Invoer gegevens (N)'!$C$17=E164,'Invoer gegevens (N)'!$C$11,IF(C164=1,W163,0))</f>
        <v>0</v>
      </c>
      <c r="S164" s="86">
        <f ca="1">IF(C164&gt;=1,R164*VLOOKUP(E164,'Reeksen (N)'!$A$5:$B$76,2),0)</f>
        <v>0</v>
      </c>
      <c r="T164" s="84">
        <f ca="1">(1-('Invoer gegevens (N)'!$F$20/12))*R164*MIN('Reeksen (N)'!B164,'Reeksen (N)'!D164)</f>
        <v>0</v>
      </c>
      <c r="U164" s="84">
        <f>IF('Reeksen (N)'!D164&gt;='Reeksen (N)'!B164,0,IF('Reeksen (N)'!AK164&lt;='Reeksen (N)'!AE164,('Reeksen (N)'!B164-'Reeksen (N)'!D164)*R164,0))</f>
        <v>0</v>
      </c>
      <c r="V164" s="86">
        <f>IF('Reeksen (N)'!D164&gt;='Reeksen (N)'!B164,0,IF('Reeksen (N)'!AK164&gt;'Reeksen (N)'!AE164,('Reeksen (N)'!B164-'Reeksen (N)'!D164)*R164,0))</f>
        <v>0</v>
      </c>
      <c r="W164" s="97">
        <f t="shared" ca="1" si="25"/>
        <v>0</v>
      </c>
      <c r="X164" s="98">
        <f ca="1">IF('Invoer gegevens (N)'!$C$17=E164,'Invoer gegevens (N)'!$C$10-'Invoer gegevens (N)'!$C$11,IF(C164=1,AC163,0))</f>
        <v>0</v>
      </c>
      <c r="Y164" s="98">
        <f ca="1">IF(C164&gt;=1,X164*VLOOKUP(E164,'Reeksen (N)'!$A$5:$B$76,2),0)</f>
        <v>0</v>
      </c>
      <c r="Z164" s="98">
        <f ca="1">(1-('Invoer gegevens (N)'!$F$20/12))*X164*MIN('Reeksen (N)'!B164,'Reeksen (N)'!D164)</f>
        <v>0</v>
      </c>
      <c r="AA164" s="98">
        <f>IF('Reeksen (N)'!D164&gt;='Reeksen (N)'!B164,0,IF('Reeksen (N)'!AK164&lt;='Reeksen (N)'!AE164,('Reeksen (N)'!B164-'Reeksen (N)'!D164)*X164,0))</f>
        <v>0</v>
      </c>
      <c r="AB164" s="98">
        <f>IF('Reeksen (N)'!D164&gt;='Reeksen (N)'!B164,0,IF('Reeksen (N)'!AK164&gt;'Reeksen (N)'!AE164,('Reeksen (N)'!B164-'Reeksen (N)'!D164)*X164,0))</f>
        <v>0</v>
      </c>
      <c r="AC164" s="99">
        <f t="shared" ca="1" si="26"/>
        <v>0</v>
      </c>
      <c r="AD164" s="98">
        <f ca="1">IF('Invoer gegevens (N)'!$C$17=E164,R164,IF(C164=0,0,AE163))</f>
        <v>0</v>
      </c>
      <c r="AE164" s="98">
        <f t="shared" ca="1" si="27"/>
        <v>0</v>
      </c>
      <c r="AF164" s="98">
        <f ca="1">IF('Invoer gegevens (N)'!$C$17=E164,X164,IF(C164=0,0,AG163))</f>
        <v>0</v>
      </c>
      <c r="AG164" s="98">
        <f t="shared" ca="1" si="28"/>
        <v>0</v>
      </c>
      <c r="AH164" s="68"/>
      <c r="AI164" s="71">
        <f ca="1">IF(C164=1,'Reeksen (N)'!AJ164*((F164-G164+F164)/2)*12+'Reeksen (N)'!AK164*((L164-M164+L164)/2)*12,0)</f>
        <v>0</v>
      </c>
      <c r="AJ164" s="71">
        <f ca="1">-AI164*'Invoer gegevens (N)'!$F$28</f>
        <v>0</v>
      </c>
      <c r="AK164" s="71">
        <f t="shared" ca="1" si="22"/>
        <v>0</v>
      </c>
      <c r="AL164" s="71">
        <f ca="1">IF(C164=1,'Reeksen (N)'!AL164*((F164-G164+F164)/2)*12+'Reeksen (N)'!AM164*((L164-M164+L164)/2)*12,0)</f>
        <v>0</v>
      </c>
      <c r="AM164" s="71">
        <f ca="1">-AL164*'Invoer gegevens (N)'!$F$31</f>
        <v>0</v>
      </c>
      <c r="AN164" s="71">
        <f t="shared" ca="1" si="29"/>
        <v>0</v>
      </c>
      <c r="AO164" s="71">
        <f ca="1">IF(C164=1,(H164+J164+N164+P164)*'Reeksen (N)'!AN164,0)</f>
        <v>0</v>
      </c>
      <c r="AP164" s="71">
        <f ca="1">-IF(C164=1,(H164+J164+N164+P164)*'Hulp - basis'!$O$550*'Reeksen (N)'!H164,0)</f>
        <v>0</v>
      </c>
      <c r="AQ164" s="71">
        <f ca="1">-IF(C164=1,(F164+K164+L164+Q164)/2*'Invoer gegevens (N)'!$I$33*'Reeksen (N)'!J164,0)*2</f>
        <v>0</v>
      </c>
      <c r="AR164" s="71">
        <f ca="1">-IF(C164=1,(I164*'Invoer gegevens (N)'!$I$34)*'Reeksen (N)'!J164,0)</f>
        <v>0</v>
      </c>
      <c r="AS164" s="71">
        <f ca="1">-IF(C164=1,(F164+K164+L164+Q164)/2*'Invoer gegevens (N)'!$I$35*'Reeksen (N)'!L164,0)</f>
        <v>0</v>
      </c>
      <c r="AT164" s="71">
        <f ca="1">-IF(C164=1,IF(E164='Invoer gegevens (N)'!$C$17,'Invoer gegevens (N)'!$C$11,AD164)*'Reeksen (N)'!S164*'Invoer gegevens (N)'!$C$18*'Reeksen (N)'!P164,0)</f>
        <v>0</v>
      </c>
      <c r="AU164" s="71">
        <f ca="1">-IF(C164=1,(F164+K164+L164+Q164)/2*'Invoer gegevens (N)'!$I$36*'Reeksen (N)'!H164,0)</f>
        <v>0</v>
      </c>
      <c r="AV164" s="71">
        <v>0</v>
      </c>
      <c r="AW164" s="71">
        <f t="shared" ca="1" si="30"/>
        <v>0</v>
      </c>
      <c r="AX164" s="71">
        <f ca="1">IF(E164&lt;'Invoer gegevens (N)'!$C$17+15,0,IF(E164&gt;'Invoer gegevens (N)'!$C$17+215,0,AW164))</f>
        <v>0</v>
      </c>
      <c r="AY164" s="71">
        <f ca="1">AX164/(1+'Invoer gegevens (N)'!$F$18)^($AZ164-('Invoer gegevens (N)'!$C$17-'Invoer gegevens (N)'!$C$16))/(1+'Invoer gegevens (N)'!$C$39)^('Invoer gegevens (N)'!$C$17-'Invoer gegevens (N)'!$C$16)</f>
        <v>0</v>
      </c>
      <c r="AZ164" s="68">
        <f ca="1">IF(E164-'Invoer gegevens (N)'!$C$17-14.5&lt;0,0,E164-'Invoer gegevens (N)'!$C$17-14.5)</f>
        <v>144.5</v>
      </c>
    </row>
    <row r="165" spans="2:52" x14ac:dyDescent="0.25">
      <c r="B165" s="70">
        <f t="shared" si="31"/>
        <v>161</v>
      </c>
      <c r="C165" s="67">
        <f ca="1">IF(E165-'Invoer gegevens (N)'!$C$17&lt;0,0,1)</f>
        <v>1</v>
      </c>
      <c r="D165" s="68">
        <f t="shared" si="32"/>
        <v>160.5</v>
      </c>
      <c r="E165" s="108">
        <f ca="1">IF('Invoer gegevens (N)'!$C$16="","",E164+1)</f>
        <v>2179</v>
      </c>
      <c r="F165" s="84">
        <f ca="1">IF('Invoer gegevens (N)'!$C$17=E165,'Invoer gegevens (N)'!$C$10,IF(C165=1,K164,0))</f>
        <v>0</v>
      </c>
      <c r="G165" s="96">
        <f ca="1">IF(C165&gt;=1,F165*VLOOKUP(E165,'Reeksen (N)'!$A$5:$B$76,2),0)</f>
        <v>0</v>
      </c>
      <c r="H165" s="84">
        <f ca="1">(1-('Invoer gegevens (N)'!$F$20/12))*F165*MIN('Reeksen (N)'!B165,'Reeksen (N)'!D165)</f>
        <v>0</v>
      </c>
      <c r="I165" s="84">
        <f>IF('Reeksen (N)'!D165&lt;'Reeksen (N)'!B165,('Reeksen (N)'!B165-'Reeksen (N)'!D165)*F165,0)</f>
        <v>0</v>
      </c>
      <c r="J165" s="84">
        <f ca="1">('Invoer gegevens (N)'!$F$20/12)*F164*MIN('Reeksen (N)'!B164,'Reeksen (N)'!D164)</f>
        <v>0</v>
      </c>
      <c r="K165" s="97">
        <f t="shared" ca="1" si="23"/>
        <v>0</v>
      </c>
      <c r="L165" s="84">
        <f ca="1">IF('Invoer gegevens (N)'!$C$17=E165,0,IF(C165=1,Q164,0))</f>
        <v>0</v>
      </c>
      <c r="M165" s="96">
        <f ca="1">IF(C165&gt;=1,L165*VLOOKUP(E165,'Reeksen (N)'!$A$5:$B$76,2),0)</f>
        <v>0</v>
      </c>
      <c r="N165" s="84">
        <f ca="1">(1-('Invoer gegevens (N)'!$F$20/12))*L165*MIN('Reeksen (N)'!B165,'Reeksen (N)'!D165)</f>
        <v>0</v>
      </c>
      <c r="O165" s="84">
        <f>IF('Reeksen (N)'!D165&lt;'Reeksen (N)'!B165,('Reeksen (N)'!B165-'Reeksen (N)'!D165)*L165,0)</f>
        <v>0</v>
      </c>
      <c r="P165" s="84">
        <f ca="1">('Invoer gegevens (N)'!$F$20/12)*L164*MIN('Reeksen (N)'!B164,'Reeksen (N)'!D164)</f>
        <v>0</v>
      </c>
      <c r="Q165" s="84">
        <f t="shared" ca="1" si="24"/>
        <v>0</v>
      </c>
      <c r="R165" s="82">
        <f ca="1">IF('Invoer gegevens (N)'!$C$17=E165,'Invoer gegevens (N)'!$C$11,IF(C165=1,W164,0))</f>
        <v>0</v>
      </c>
      <c r="S165" s="86">
        <f ca="1">IF(C165&gt;=1,R165*VLOOKUP(E165,'Reeksen (N)'!$A$5:$B$76,2),0)</f>
        <v>0</v>
      </c>
      <c r="T165" s="84">
        <f ca="1">(1-('Invoer gegevens (N)'!$F$20/12))*R165*MIN('Reeksen (N)'!B165,'Reeksen (N)'!D165)</f>
        <v>0</v>
      </c>
      <c r="U165" s="84">
        <f>IF('Reeksen (N)'!D165&gt;='Reeksen (N)'!B165,0,IF('Reeksen (N)'!AK165&lt;='Reeksen (N)'!AE165,('Reeksen (N)'!B165-'Reeksen (N)'!D165)*R165,0))</f>
        <v>0</v>
      </c>
      <c r="V165" s="86">
        <f>IF('Reeksen (N)'!D165&gt;='Reeksen (N)'!B165,0,IF('Reeksen (N)'!AK165&gt;'Reeksen (N)'!AE165,('Reeksen (N)'!B165-'Reeksen (N)'!D165)*R165,0))</f>
        <v>0</v>
      </c>
      <c r="W165" s="97">
        <f t="shared" ca="1" si="25"/>
        <v>0</v>
      </c>
      <c r="X165" s="98">
        <f ca="1">IF('Invoer gegevens (N)'!$C$17=E165,'Invoer gegevens (N)'!$C$10-'Invoer gegevens (N)'!$C$11,IF(C165=1,AC164,0))</f>
        <v>0</v>
      </c>
      <c r="Y165" s="98">
        <f ca="1">IF(C165&gt;=1,X165*VLOOKUP(E165,'Reeksen (N)'!$A$5:$B$76,2),0)</f>
        <v>0</v>
      </c>
      <c r="Z165" s="98">
        <f ca="1">(1-('Invoer gegevens (N)'!$F$20/12))*X165*MIN('Reeksen (N)'!B165,'Reeksen (N)'!D165)</f>
        <v>0</v>
      </c>
      <c r="AA165" s="98">
        <f>IF('Reeksen (N)'!D165&gt;='Reeksen (N)'!B165,0,IF('Reeksen (N)'!AK165&lt;='Reeksen (N)'!AE165,('Reeksen (N)'!B165-'Reeksen (N)'!D165)*X165,0))</f>
        <v>0</v>
      </c>
      <c r="AB165" s="98">
        <f>IF('Reeksen (N)'!D165&gt;='Reeksen (N)'!B165,0,IF('Reeksen (N)'!AK165&gt;'Reeksen (N)'!AE165,('Reeksen (N)'!B165-'Reeksen (N)'!D165)*X165,0))</f>
        <v>0</v>
      </c>
      <c r="AC165" s="99">
        <f t="shared" ca="1" si="26"/>
        <v>0</v>
      </c>
      <c r="AD165" s="98">
        <f ca="1">IF('Invoer gegevens (N)'!$C$17=E165,R165,IF(C165=0,0,AE164))</f>
        <v>0</v>
      </c>
      <c r="AE165" s="98">
        <f t="shared" ca="1" si="27"/>
        <v>0</v>
      </c>
      <c r="AF165" s="98">
        <f ca="1">IF('Invoer gegevens (N)'!$C$17=E165,X165,IF(C165=0,0,AG164))</f>
        <v>0</v>
      </c>
      <c r="AG165" s="98">
        <f t="shared" ca="1" si="28"/>
        <v>0</v>
      </c>
      <c r="AH165" s="68"/>
      <c r="AI165" s="71">
        <f ca="1">IF(C165=1,'Reeksen (N)'!AJ165*((F165-G165+F165)/2)*12+'Reeksen (N)'!AK165*((L165-M165+L165)/2)*12,0)</f>
        <v>0</v>
      </c>
      <c r="AJ165" s="71">
        <f ca="1">-AI165*'Invoer gegevens (N)'!$F$28</f>
        <v>0</v>
      </c>
      <c r="AK165" s="71">
        <f t="shared" ca="1" si="22"/>
        <v>0</v>
      </c>
      <c r="AL165" s="71">
        <f ca="1">IF(C165=1,'Reeksen (N)'!AL165*((F165-G165+F165)/2)*12+'Reeksen (N)'!AM165*((L165-M165+L165)/2)*12,0)</f>
        <v>0</v>
      </c>
      <c r="AM165" s="71">
        <f ca="1">-AL165*'Invoer gegevens (N)'!$F$31</f>
        <v>0</v>
      </c>
      <c r="AN165" s="71">
        <f t="shared" ca="1" si="29"/>
        <v>0</v>
      </c>
      <c r="AO165" s="71">
        <f ca="1">IF(C165=1,(H165+J165+N165+P165)*'Reeksen (N)'!AN165,0)</f>
        <v>0</v>
      </c>
      <c r="AP165" s="71">
        <f ca="1">-IF(C165=1,(H165+J165+N165+P165)*'Hulp - basis'!$O$550*'Reeksen (N)'!H165,0)</f>
        <v>0</v>
      </c>
      <c r="AQ165" s="71">
        <f ca="1">-IF(C165=1,(F165+K165+L165+Q165)/2*'Invoer gegevens (N)'!$I$33*'Reeksen (N)'!J165,0)*2</f>
        <v>0</v>
      </c>
      <c r="AR165" s="71">
        <f ca="1">-IF(C165=1,(I165*'Invoer gegevens (N)'!$I$34)*'Reeksen (N)'!J165,0)</f>
        <v>0</v>
      </c>
      <c r="AS165" s="71">
        <f ca="1">-IF(C165=1,(F165+K165+L165+Q165)/2*'Invoer gegevens (N)'!$I$35*'Reeksen (N)'!L165,0)</f>
        <v>0</v>
      </c>
      <c r="AT165" s="71">
        <f ca="1">-IF(C165=1,IF(E165='Invoer gegevens (N)'!$C$17,'Invoer gegevens (N)'!$C$11,AD165)*'Reeksen (N)'!S165*'Invoer gegevens (N)'!$C$18*'Reeksen (N)'!P165,0)</f>
        <v>0</v>
      </c>
      <c r="AU165" s="71">
        <f ca="1">-IF(C165=1,(F165+K165+L165+Q165)/2*'Invoer gegevens (N)'!$I$36*'Reeksen (N)'!H165,0)</f>
        <v>0</v>
      </c>
      <c r="AV165" s="71">
        <v>0</v>
      </c>
      <c r="AW165" s="71">
        <f t="shared" ca="1" si="30"/>
        <v>0</v>
      </c>
      <c r="AX165" s="71">
        <f ca="1">IF(E165&lt;'Invoer gegevens (N)'!$C$17+15,0,IF(E165&gt;'Invoer gegevens (N)'!$C$17+215,0,AW165))</f>
        <v>0</v>
      </c>
      <c r="AY165" s="71">
        <f ca="1">AX165/(1+'Invoer gegevens (N)'!$F$18)^($AZ165-('Invoer gegevens (N)'!$C$17-'Invoer gegevens (N)'!$C$16))/(1+'Invoer gegevens (N)'!$C$39)^('Invoer gegevens (N)'!$C$17-'Invoer gegevens (N)'!$C$16)</f>
        <v>0</v>
      </c>
      <c r="AZ165" s="68">
        <f ca="1">IF(E165-'Invoer gegevens (N)'!$C$17-14.5&lt;0,0,E165-'Invoer gegevens (N)'!$C$17-14.5)</f>
        <v>145.5</v>
      </c>
    </row>
    <row r="166" spans="2:52" x14ac:dyDescent="0.25">
      <c r="B166" s="70">
        <f t="shared" si="31"/>
        <v>162</v>
      </c>
      <c r="C166" s="67">
        <f ca="1">IF(E166-'Invoer gegevens (N)'!$C$17&lt;0,0,1)</f>
        <v>1</v>
      </c>
      <c r="D166" s="68">
        <f t="shared" si="32"/>
        <v>161.5</v>
      </c>
      <c r="E166" s="108">
        <f ca="1">IF('Invoer gegevens (N)'!$C$16="","",E165+1)</f>
        <v>2180</v>
      </c>
      <c r="F166" s="84">
        <f ca="1">IF('Invoer gegevens (N)'!$C$17=E166,'Invoer gegevens (N)'!$C$10,IF(C166=1,K165,0))</f>
        <v>0</v>
      </c>
      <c r="G166" s="96">
        <f ca="1">IF(C166&gt;=1,F166*VLOOKUP(E166,'Reeksen (N)'!$A$5:$B$76,2),0)</f>
        <v>0</v>
      </c>
      <c r="H166" s="84">
        <f ca="1">(1-('Invoer gegevens (N)'!$F$20/12))*F166*MIN('Reeksen (N)'!B166,'Reeksen (N)'!D166)</f>
        <v>0</v>
      </c>
      <c r="I166" s="84">
        <f>IF('Reeksen (N)'!D166&lt;'Reeksen (N)'!B166,('Reeksen (N)'!B166-'Reeksen (N)'!D166)*F166,0)</f>
        <v>0</v>
      </c>
      <c r="J166" s="84">
        <f ca="1">('Invoer gegevens (N)'!$F$20/12)*F165*MIN('Reeksen (N)'!B165,'Reeksen (N)'!D165)</f>
        <v>0</v>
      </c>
      <c r="K166" s="97">
        <f t="shared" ca="1" si="23"/>
        <v>0</v>
      </c>
      <c r="L166" s="84">
        <f ca="1">IF('Invoer gegevens (N)'!$C$17=E166,0,IF(C166=1,Q165,0))</f>
        <v>0</v>
      </c>
      <c r="M166" s="96">
        <f ca="1">IF(C166&gt;=1,L166*VLOOKUP(E166,'Reeksen (N)'!$A$5:$B$76,2),0)</f>
        <v>0</v>
      </c>
      <c r="N166" s="84">
        <f ca="1">(1-('Invoer gegevens (N)'!$F$20/12))*L166*MIN('Reeksen (N)'!B166,'Reeksen (N)'!D166)</f>
        <v>0</v>
      </c>
      <c r="O166" s="84">
        <f>IF('Reeksen (N)'!D166&lt;'Reeksen (N)'!B166,('Reeksen (N)'!B166-'Reeksen (N)'!D166)*L166,0)</f>
        <v>0</v>
      </c>
      <c r="P166" s="84">
        <f ca="1">('Invoer gegevens (N)'!$F$20/12)*L165*MIN('Reeksen (N)'!B165,'Reeksen (N)'!D165)</f>
        <v>0</v>
      </c>
      <c r="Q166" s="84">
        <f t="shared" ca="1" si="24"/>
        <v>0</v>
      </c>
      <c r="R166" s="82">
        <f ca="1">IF('Invoer gegevens (N)'!$C$17=E166,'Invoer gegevens (N)'!$C$11,IF(C166=1,W165,0))</f>
        <v>0</v>
      </c>
      <c r="S166" s="86">
        <f ca="1">IF(C166&gt;=1,R166*VLOOKUP(E166,'Reeksen (N)'!$A$5:$B$76,2),0)</f>
        <v>0</v>
      </c>
      <c r="T166" s="84">
        <f ca="1">(1-('Invoer gegevens (N)'!$F$20/12))*R166*MIN('Reeksen (N)'!B166,'Reeksen (N)'!D166)</f>
        <v>0</v>
      </c>
      <c r="U166" s="84">
        <f>IF('Reeksen (N)'!D166&gt;='Reeksen (N)'!B166,0,IF('Reeksen (N)'!AK166&lt;='Reeksen (N)'!AE166,('Reeksen (N)'!B166-'Reeksen (N)'!D166)*R166,0))</f>
        <v>0</v>
      </c>
      <c r="V166" s="86">
        <f>IF('Reeksen (N)'!D166&gt;='Reeksen (N)'!B166,0,IF('Reeksen (N)'!AK166&gt;'Reeksen (N)'!AE166,('Reeksen (N)'!B166-'Reeksen (N)'!D166)*R166,0))</f>
        <v>0</v>
      </c>
      <c r="W166" s="97">
        <f t="shared" ca="1" si="25"/>
        <v>0</v>
      </c>
      <c r="X166" s="98">
        <f ca="1">IF('Invoer gegevens (N)'!$C$17=E166,'Invoer gegevens (N)'!$C$10-'Invoer gegevens (N)'!$C$11,IF(C166=1,AC165,0))</f>
        <v>0</v>
      </c>
      <c r="Y166" s="98">
        <f ca="1">IF(C166&gt;=1,X166*VLOOKUP(E166,'Reeksen (N)'!$A$5:$B$76,2),0)</f>
        <v>0</v>
      </c>
      <c r="Z166" s="98">
        <f ca="1">(1-('Invoer gegevens (N)'!$F$20/12))*X166*MIN('Reeksen (N)'!B166,'Reeksen (N)'!D166)</f>
        <v>0</v>
      </c>
      <c r="AA166" s="98">
        <f>IF('Reeksen (N)'!D166&gt;='Reeksen (N)'!B166,0,IF('Reeksen (N)'!AK166&lt;='Reeksen (N)'!AE166,('Reeksen (N)'!B166-'Reeksen (N)'!D166)*X166,0))</f>
        <v>0</v>
      </c>
      <c r="AB166" s="98">
        <f>IF('Reeksen (N)'!D166&gt;='Reeksen (N)'!B166,0,IF('Reeksen (N)'!AK166&gt;'Reeksen (N)'!AE166,('Reeksen (N)'!B166-'Reeksen (N)'!D166)*X166,0))</f>
        <v>0</v>
      </c>
      <c r="AC166" s="99">
        <f t="shared" ca="1" si="26"/>
        <v>0</v>
      </c>
      <c r="AD166" s="98">
        <f ca="1">IF('Invoer gegevens (N)'!$C$17=E166,R166,IF(C166=0,0,AE165))</f>
        <v>0</v>
      </c>
      <c r="AE166" s="98">
        <f t="shared" ca="1" si="27"/>
        <v>0</v>
      </c>
      <c r="AF166" s="98">
        <f ca="1">IF('Invoer gegevens (N)'!$C$17=E166,X166,IF(C166=0,0,AG165))</f>
        <v>0</v>
      </c>
      <c r="AG166" s="98">
        <f t="shared" ca="1" si="28"/>
        <v>0</v>
      </c>
      <c r="AH166" s="68"/>
      <c r="AI166" s="71">
        <f ca="1">IF(C166=1,'Reeksen (N)'!AJ166*((F166-G166+F166)/2)*12+'Reeksen (N)'!AK166*((L166-M166+L166)/2)*12,0)</f>
        <v>0</v>
      </c>
      <c r="AJ166" s="71">
        <f ca="1">-AI166*'Invoer gegevens (N)'!$F$28</f>
        <v>0</v>
      </c>
      <c r="AK166" s="71">
        <f t="shared" ca="1" si="22"/>
        <v>0</v>
      </c>
      <c r="AL166" s="71">
        <f ca="1">IF(C166=1,'Reeksen (N)'!AL166*((F166-G166+F166)/2)*12+'Reeksen (N)'!AM166*((L166-M166+L166)/2)*12,0)</f>
        <v>0</v>
      </c>
      <c r="AM166" s="71">
        <f ca="1">-AL166*'Invoer gegevens (N)'!$F$31</f>
        <v>0</v>
      </c>
      <c r="AN166" s="71">
        <f t="shared" ca="1" si="29"/>
        <v>0</v>
      </c>
      <c r="AO166" s="71">
        <f ca="1">IF(C166=1,(H166+J166+N166+P166)*'Reeksen (N)'!AN166,0)</f>
        <v>0</v>
      </c>
      <c r="AP166" s="71">
        <f ca="1">-IF(C166=1,(H166+J166+N166+P166)*'Hulp - basis'!$O$550*'Reeksen (N)'!H166,0)</f>
        <v>0</v>
      </c>
      <c r="AQ166" s="71">
        <f ca="1">-IF(C166=1,(F166+K166+L166+Q166)/2*'Invoer gegevens (N)'!$I$33*'Reeksen (N)'!J166,0)*2</f>
        <v>0</v>
      </c>
      <c r="AR166" s="71">
        <f ca="1">-IF(C166=1,(I166*'Invoer gegevens (N)'!$I$34)*'Reeksen (N)'!J166,0)</f>
        <v>0</v>
      </c>
      <c r="AS166" s="71">
        <f ca="1">-IF(C166=1,(F166+K166+L166+Q166)/2*'Invoer gegevens (N)'!$I$35*'Reeksen (N)'!L166,0)</f>
        <v>0</v>
      </c>
      <c r="AT166" s="71">
        <f ca="1">-IF(C166=1,IF(E166='Invoer gegevens (N)'!$C$17,'Invoer gegevens (N)'!$C$11,AD166)*'Reeksen (N)'!S166*'Invoer gegevens (N)'!$C$18*'Reeksen (N)'!P166,0)</f>
        <v>0</v>
      </c>
      <c r="AU166" s="71">
        <f ca="1">-IF(C166=1,(F166+K166+L166+Q166)/2*'Invoer gegevens (N)'!$I$36*'Reeksen (N)'!H166,0)</f>
        <v>0</v>
      </c>
      <c r="AV166" s="71">
        <v>0</v>
      </c>
      <c r="AW166" s="71">
        <f t="shared" ca="1" si="30"/>
        <v>0</v>
      </c>
      <c r="AX166" s="71">
        <f ca="1">IF(E166&lt;'Invoer gegevens (N)'!$C$17+15,0,IF(E166&gt;'Invoer gegevens (N)'!$C$17+215,0,AW166))</f>
        <v>0</v>
      </c>
      <c r="AY166" s="71">
        <f ca="1">AX166/(1+'Invoer gegevens (N)'!$F$18)^($AZ166-('Invoer gegevens (N)'!$C$17-'Invoer gegevens (N)'!$C$16))/(1+'Invoer gegevens (N)'!$C$39)^('Invoer gegevens (N)'!$C$17-'Invoer gegevens (N)'!$C$16)</f>
        <v>0</v>
      </c>
      <c r="AZ166" s="68">
        <f ca="1">IF(E166-'Invoer gegevens (N)'!$C$17-14.5&lt;0,0,E166-'Invoer gegevens (N)'!$C$17-14.5)</f>
        <v>146.5</v>
      </c>
    </row>
    <row r="167" spans="2:52" x14ac:dyDescent="0.25">
      <c r="B167" s="70">
        <f t="shared" si="31"/>
        <v>163</v>
      </c>
      <c r="C167" s="67">
        <f ca="1">IF(E167-'Invoer gegevens (N)'!$C$17&lt;0,0,1)</f>
        <v>1</v>
      </c>
      <c r="D167" s="68">
        <f t="shared" si="32"/>
        <v>162.5</v>
      </c>
      <c r="E167" s="108">
        <f ca="1">IF('Invoer gegevens (N)'!$C$16="","",E166+1)</f>
        <v>2181</v>
      </c>
      <c r="F167" s="84">
        <f ca="1">IF('Invoer gegevens (N)'!$C$17=E167,'Invoer gegevens (N)'!$C$10,IF(C167=1,K166,0))</f>
        <v>0</v>
      </c>
      <c r="G167" s="96">
        <f ca="1">IF(C167&gt;=1,F167*VLOOKUP(E167,'Reeksen (N)'!$A$5:$B$76,2),0)</f>
        <v>0</v>
      </c>
      <c r="H167" s="84">
        <f ca="1">(1-('Invoer gegevens (N)'!$F$20/12))*F167*MIN('Reeksen (N)'!B167,'Reeksen (N)'!D167)</f>
        <v>0</v>
      </c>
      <c r="I167" s="84">
        <f>IF('Reeksen (N)'!D167&lt;'Reeksen (N)'!B167,('Reeksen (N)'!B167-'Reeksen (N)'!D167)*F167,0)</f>
        <v>0</v>
      </c>
      <c r="J167" s="84">
        <f ca="1">('Invoer gegevens (N)'!$F$20/12)*F166*MIN('Reeksen (N)'!B166,'Reeksen (N)'!D166)</f>
        <v>0</v>
      </c>
      <c r="K167" s="97">
        <f t="shared" ca="1" si="23"/>
        <v>0</v>
      </c>
      <c r="L167" s="84">
        <f ca="1">IF('Invoer gegevens (N)'!$C$17=E167,0,IF(C167=1,Q166,0))</f>
        <v>0</v>
      </c>
      <c r="M167" s="96">
        <f ca="1">IF(C167&gt;=1,L167*VLOOKUP(E167,'Reeksen (N)'!$A$5:$B$76,2),0)</f>
        <v>0</v>
      </c>
      <c r="N167" s="84">
        <f ca="1">(1-('Invoer gegevens (N)'!$F$20/12))*L167*MIN('Reeksen (N)'!B167,'Reeksen (N)'!D167)</f>
        <v>0</v>
      </c>
      <c r="O167" s="84">
        <f>IF('Reeksen (N)'!D167&lt;'Reeksen (N)'!B167,('Reeksen (N)'!B167-'Reeksen (N)'!D167)*L167,0)</f>
        <v>0</v>
      </c>
      <c r="P167" s="84">
        <f ca="1">('Invoer gegevens (N)'!$F$20/12)*L166*MIN('Reeksen (N)'!B166,'Reeksen (N)'!D166)</f>
        <v>0</v>
      </c>
      <c r="Q167" s="84">
        <f t="shared" ca="1" si="24"/>
        <v>0</v>
      </c>
      <c r="R167" s="82">
        <f ca="1">IF('Invoer gegevens (N)'!$C$17=E167,'Invoer gegevens (N)'!$C$11,IF(C167=1,W166,0))</f>
        <v>0</v>
      </c>
      <c r="S167" s="86">
        <f ca="1">IF(C167&gt;=1,R167*VLOOKUP(E167,'Reeksen (N)'!$A$5:$B$76,2),0)</f>
        <v>0</v>
      </c>
      <c r="T167" s="84">
        <f ca="1">(1-('Invoer gegevens (N)'!$F$20/12))*R167*MIN('Reeksen (N)'!B167,'Reeksen (N)'!D167)</f>
        <v>0</v>
      </c>
      <c r="U167" s="84">
        <f>IF('Reeksen (N)'!D167&gt;='Reeksen (N)'!B167,0,IF('Reeksen (N)'!AK167&lt;='Reeksen (N)'!AE167,('Reeksen (N)'!B167-'Reeksen (N)'!D167)*R167,0))</f>
        <v>0</v>
      </c>
      <c r="V167" s="86">
        <f>IF('Reeksen (N)'!D167&gt;='Reeksen (N)'!B167,0,IF('Reeksen (N)'!AK167&gt;'Reeksen (N)'!AE167,('Reeksen (N)'!B167-'Reeksen (N)'!D167)*R167,0))</f>
        <v>0</v>
      </c>
      <c r="W167" s="97">
        <f t="shared" ca="1" si="25"/>
        <v>0</v>
      </c>
      <c r="X167" s="98">
        <f ca="1">IF('Invoer gegevens (N)'!$C$17=E167,'Invoer gegevens (N)'!$C$10-'Invoer gegevens (N)'!$C$11,IF(C167=1,AC166,0))</f>
        <v>0</v>
      </c>
      <c r="Y167" s="98">
        <f ca="1">IF(C167&gt;=1,X167*VLOOKUP(E167,'Reeksen (N)'!$A$5:$B$76,2),0)</f>
        <v>0</v>
      </c>
      <c r="Z167" s="98">
        <f ca="1">(1-('Invoer gegevens (N)'!$F$20/12))*X167*MIN('Reeksen (N)'!B167,'Reeksen (N)'!D167)</f>
        <v>0</v>
      </c>
      <c r="AA167" s="98">
        <f>IF('Reeksen (N)'!D167&gt;='Reeksen (N)'!B167,0,IF('Reeksen (N)'!AK167&lt;='Reeksen (N)'!AE167,('Reeksen (N)'!B167-'Reeksen (N)'!D167)*X167,0))</f>
        <v>0</v>
      </c>
      <c r="AB167" s="98">
        <f>IF('Reeksen (N)'!D167&gt;='Reeksen (N)'!B167,0,IF('Reeksen (N)'!AK167&gt;'Reeksen (N)'!AE167,('Reeksen (N)'!B167-'Reeksen (N)'!D167)*X167,0))</f>
        <v>0</v>
      </c>
      <c r="AC167" s="99">
        <f t="shared" ca="1" si="26"/>
        <v>0</v>
      </c>
      <c r="AD167" s="98">
        <f ca="1">IF('Invoer gegevens (N)'!$C$17=E167,R167,IF(C167=0,0,AE166))</f>
        <v>0</v>
      </c>
      <c r="AE167" s="98">
        <f t="shared" ca="1" si="27"/>
        <v>0</v>
      </c>
      <c r="AF167" s="98">
        <f ca="1">IF('Invoer gegevens (N)'!$C$17=E167,X167,IF(C167=0,0,AG166))</f>
        <v>0</v>
      </c>
      <c r="AG167" s="98">
        <f t="shared" ca="1" si="28"/>
        <v>0</v>
      </c>
      <c r="AH167" s="68"/>
      <c r="AI167" s="71">
        <f ca="1">IF(C167=1,'Reeksen (N)'!AJ167*((F167-G167+F167)/2)*12+'Reeksen (N)'!AK167*((L167-M167+L167)/2)*12,0)</f>
        <v>0</v>
      </c>
      <c r="AJ167" s="71">
        <f ca="1">-AI167*'Invoer gegevens (N)'!$F$28</f>
        <v>0</v>
      </c>
      <c r="AK167" s="71">
        <f t="shared" ca="1" si="22"/>
        <v>0</v>
      </c>
      <c r="AL167" s="71">
        <f ca="1">IF(C167=1,'Reeksen (N)'!AL167*((F167-G167+F167)/2)*12+'Reeksen (N)'!AM167*((L167-M167+L167)/2)*12,0)</f>
        <v>0</v>
      </c>
      <c r="AM167" s="71">
        <f ca="1">-AL167*'Invoer gegevens (N)'!$F$31</f>
        <v>0</v>
      </c>
      <c r="AN167" s="71">
        <f t="shared" ca="1" si="29"/>
        <v>0</v>
      </c>
      <c r="AO167" s="71">
        <f ca="1">IF(C167=1,(H167+J167+N167+P167)*'Reeksen (N)'!AN167,0)</f>
        <v>0</v>
      </c>
      <c r="AP167" s="71">
        <f ca="1">-IF(C167=1,(H167+J167+N167+P167)*'Hulp - basis'!$O$550*'Reeksen (N)'!H167,0)</f>
        <v>0</v>
      </c>
      <c r="AQ167" s="71">
        <f ca="1">-IF(C167=1,(F167+K167+L167+Q167)/2*'Invoer gegevens (N)'!$I$33*'Reeksen (N)'!J167,0)*2</f>
        <v>0</v>
      </c>
      <c r="AR167" s="71">
        <f ca="1">-IF(C167=1,(I167*'Invoer gegevens (N)'!$I$34)*'Reeksen (N)'!J167,0)</f>
        <v>0</v>
      </c>
      <c r="AS167" s="71">
        <f ca="1">-IF(C167=1,(F167+K167+L167+Q167)/2*'Invoer gegevens (N)'!$I$35*'Reeksen (N)'!L167,0)</f>
        <v>0</v>
      </c>
      <c r="AT167" s="71">
        <f ca="1">-IF(C167=1,IF(E167='Invoer gegevens (N)'!$C$17,'Invoer gegevens (N)'!$C$11,AD167)*'Reeksen (N)'!S167*'Invoer gegevens (N)'!$C$18*'Reeksen (N)'!P167,0)</f>
        <v>0</v>
      </c>
      <c r="AU167" s="71">
        <f ca="1">-IF(C167=1,(F167+K167+L167+Q167)/2*'Invoer gegevens (N)'!$I$36*'Reeksen (N)'!H167,0)</f>
        <v>0</v>
      </c>
      <c r="AV167" s="71">
        <v>0</v>
      </c>
      <c r="AW167" s="71">
        <f t="shared" ca="1" si="30"/>
        <v>0</v>
      </c>
      <c r="AX167" s="71">
        <f ca="1">IF(E167&lt;'Invoer gegevens (N)'!$C$17+15,0,IF(E167&gt;'Invoer gegevens (N)'!$C$17+215,0,AW167))</f>
        <v>0</v>
      </c>
      <c r="AY167" s="71">
        <f ca="1">AX167/(1+'Invoer gegevens (N)'!$F$18)^($AZ167-('Invoer gegevens (N)'!$C$17-'Invoer gegevens (N)'!$C$16))/(1+'Invoer gegevens (N)'!$C$39)^('Invoer gegevens (N)'!$C$17-'Invoer gegevens (N)'!$C$16)</f>
        <v>0</v>
      </c>
      <c r="AZ167" s="68">
        <f ca="1">IF(E167-'Invoer gegevens (N)'!$C$17-14.5&lt;0,0,E167-'Invoer gegevens (N)'!$C$17-14.5)</f>
        <v>147.5</v>
      </c>
    </row>
    <row r="168" spans="2:52" x14ac:dyDescent="0.25">
      <c r="B168" s="70">
        <f t="shared" si="31"/>
        <v>164</v>
      </c>
      <c r="C168" s="67">
        <f ca="1">IF(E168-'Invoer gegevens (N)'!$C$17&lt;0,0,1)</f>
        <v>1</v>
      </c>
      <c r="D168" s="68">
        <f t="shared" si="32"/>
        <v>163.5</v>
      </c>
      <c r="E168" s="108">
        <f ca="1">IF('Invoer gegevens (N)'!$C$16="","",E167+1)</f>
        <v>2182</v>
      </c>
      <c r="F168" s="84">
        <f ca="1">IF('Invoer gegevens (N)'!$C$17=E168,'Invoer gegevens (N)'!$C$10,IF(C168=1,K167,0))</f>
        <v>0</v>
      </c>
      <c r="G168" s="96">
        <f ca="1">IF(C168&gt;=1,F168*VLOOKUP(E168,'Reeksen (N)'!$A$5:$B$76,2),0)</f>
        <v>0</v>
      </c>
      <c r="H168" s="84">
        <f ca="1">(1-('Invoer gegevens (N)'!$F$20/12))*F168*MIN('Reeksen (N)'!B168,'Reeksen (N)'!D168)</f>
        <v>0</v>
      </c>
      <c r="I168" s="84">
        <f>IF('Reeksen (N)'!D168&lt;'Reeksen (N)'!B168,('Reeksen (N)'!B168-'Reeksen (N)'!D168)*F168,0)</f>
        <v>0</v>
      </c>
      <c r="J168" s="84">
        <f ca="1">('Invoer gegevens (N)'!$F$20/12)*F167*MIN('Reeksen (N)'!B167,'Reeksen (N)'!D167)</f>
        <v>0</v>
      </c>
      <c r="K168" s="97">
        <f t="shared" ca="1" si="23"/>
        <v>0</v>
      </c>
      <c r="L168" s="84">
        <f ca="1">IF('Invoer gegevens (N)'!$C$17=E168,0,IF(C168=1,Q167,0))</f>
        <v>0</v>
      </c>
      <c r="M168" s="96">
        <f ca="1">IF(C168&gt;=1,L168*VLOOKUP(E168,'Reeksen (N)'!$A$5:$B$76,2),0)</f>
        <v>0</v>
      </c>
      <c r="N168" s="84">
        <f ca="1">(1-('Invoer gegevens (N)'!$F$20/12))*L168*MIN('Reeksen (N)'!B168,'Reeksen (N)'!D168)</f>
        <v>0</v>
      </c>
      <c r="O168" s="84">
        <f>IF('Reeksen (N)'!D168&lt;'Reeksen (N)'!B168,('Reeksen (N)'!B168-'Reeksen (N)'!D168)*L168,0)</f>
        <v>0</v>
      </c>
      <c r="P168" s="84">
        <f ca="1">('Invoer gegevens (N)'!$F$20/12)*L167*MIN('Reeksen (N)'!B167,'Reeksen (N)'!D167)</f>
        <v>0</v>
      </c>
      <c r="Q168" s="84">
        <f t="shared" ca="1" si="24"/>
        <v>0</v>
      </c>
      <c r="R168" s="82">
        <f ca="1">IF('Invoer gegevens (N)'!$C$17=E168,'Invoer gegevens (N)'!$C$11,IF(C168=1,W167,0))</f>
        <v>0</v>
      </c>
      <c r="S168" s="86">
        <f ca="1">IF(C168&gt;=1,R168*VLOOKUP(E168,'Reeksen (N)'!$A$5:$B$76,2),0)</f>
        <v>0</v>
      </c>
      <c r="T168" s="84">
        <f ca="1">(1-('Invoer gegevens (N)'!$F$20/12))*R168*MIN('Reeksen (N)'!B168,'Reeksen (N)'!D168)</f>
        <v>0</v>
      </c>
      <c r="U168" s="84">
        <f>IF('Reeksen (N)'!D168&gt;='Reeksen (N)'!B168,0,IF('Reeksen (N)'!AK168&lt;='Reeksen (N)'!AE168,('Reeksen (N)'!B168-'Reeksen (N)'!D168)*R168,0))</f>
        <v>0</v>
      </c>
      <c r="V168" s="86">
        <f>IF('Reeksen (N)'!D168&gt;='Reeksen (N)'!B168,0,IF('Reeksen (N)'!AK168&gt;'Reeksen (N)'!AE168,('Reeksen (N)'!B168-'Reeksen (N)'!D168)*R168,0))</f>
        <v>0</v>
      </c>
      <c r="W168" s="97">
        <f t="shared" ca="1" si="25"/>
        <v>0</v>
      </c>
      <c r="X168" s="98">
        <f ca="1">IF('Invoer gegevens (N)'!$C$17=E168,'Invoer gegevens (N)'!$C$10-'Invoer gegevens (N)'!$C$11,IF(C168=1,AC167,0))</f>
        <v>0</v>
      </c>
      <c r="Y168" s="98">
        <f ca="1">IF(C168&gt;=1,X168*VLOOKUP(E168,'Reeksen (N)'!$A$5:$B$76,2),0)</f>
        <v>0</v>
      </c>
      <c r="Z168" s="98">
        <f ca="1">(1-('Invoer gegevens (N)'!$F$20/12))*X168*MIN('Reeksen (N)'!B168,'Reeksen (N)'!D168)</f>
        <v>0</v>
      </c>
      <c r="AA168" s="98">
        <f>IF('Reeksen (N)'!D168&gt;='Reeksen (N)'!B168,0,IF('Reeksen (N)'!AK168&lt;='Reeksen (N)'!AE168,('Reeksen (N)'!B168-'Reeksen (N)'!D168)*X168,0))</f>
        <v>0</v>
      </c>
      <c r="AB168" s="98">
        <f>IF('Reeksen (N)'!D168&gt;='Reeksen (N)'!B168,0,IF('Reeksen (N)'!AK168&gt;'Reeksen (N)'!AE168,('Reeksen (N)'!B168-'Reeksen (N)'!D168)*X168,0))</f>
        <v>0</v>
      </c>
      <c r="AC168" s="99">
        <f t="shared" ca="1" si="26"/>
        <v>0</v>
      </c>
      <c r="AD168" s="98">
        <f ca="1">IF('Invoer gegevens (N)'!$C$17=E168,R168,IF(C168=0,0,AE167))</f>
        <v>0</v>
      </c>
      <c r="AE168" s="98">
        <f t="shared" ca="1" si="27"/>
        <v>0</v>
      </c>
      <c r="AF168" s="98">
        <f ca="1">IF('Invoer gegevens (N)'!$C$17=E168,X168,IF(C168=0,0,AG167))</f>
        <v>0</v>
      </c>
      <c r="AG168" s="98">
        <f t="shared" ca="1" si="28"/>
        <v>0</v>
      </c>
      <c r="AH168" s="68"/>
      <c r="AI168" s="71">
        <f ca="1">IF(C168=1,'Reeksen (N)'!AJ168*((F168-G168+F168)/2)*12+'Reeksen (N)'!AK168*((L168-M168+L168)/2)*12,0)</f>
        <v>0</v>
      </c>
      <c r="AJ168" s="71">
        <f ca="1">-AI168*'Invoer gegevens (N)'!$F$28</f>
        <v>0</v>
      </c>
      <c r="AK168" s="71">
        <f t="shared" ca="1" si="22"/>
        <v>0</v>
      </c>
      <c r="AL168" s="71">
        <f ca="1">IF(C168=1,'Reeksen (N)'!AL168*((F168-G168+F168)/2)*12+'Reeksen (N)'!AM168*((L168-M168+L168)/2)*12,0)</f>
        <v>0</v>
      </c>
      <c r="AM168" s="71">
        <f ca="1">-AL168*'Invoer gegevens (N)'!$F$31</f>
        <v>0</v>
      </c>
      <c r="AN168" s="71">
        <f t="shared" ca="1" si="29"/>
        <v>0</v>
      </c>
      <c r="AO168" s="71">
        <f ca="1">IF(C168=1,(H168+J168+N168+P168)*'Reeksen (N)'!AN168,0)</f>
        <v>0</v>
      </c>
      <c r="AP168" s="71">
        <f ca="1">-IF(C168=1,(H168+J168+N168+P168)*'Hulp - basis'!$O$550*'Reeksen (N)'!H168,0)</f>
        <v>0</v>
      </c>
      <c r="AQ168" s="71">
        <f ca="1">-IF(C168=1,(F168+K168+L168+Q168)/2*'Invoer gegevens (N)'!$I$33*'Reeksen (N)'!J168,0)*2</f>
        <v>0</v>
      </c>
      <c r="AR168" s="71">
        <f ca="1">-IF(C168=1,(I168*'Invoer gegevens (N)'!$I$34)*'Reeksen (N)'!J168,0)</f>
        <v>0</v>
      </c>
      <c r="AS168" s="71">
        <f ca="1">-IF(C168=1,(F168+K168+L168+Q168)/2*'Invoer gegevens (N)'!$I$35*'Reeksen (N)'!L168,0)</f>
        <v>0</v>
      </c>
      <c r="AT168" s="71">
        <f ca="1">-IF(C168=1,IF(E168='Invoer gegevens (N)'!$C$17,'Invoer gegevens (N)'!$C$11,AD168)*'Reeksen (N)'!S168*'Invoer gegevens (N)'!$C$18*'Reeksen (N)'!P168,0)</f>
        <v>0</v>
      </c>
      <c r="AU168" s="71">
        <f ca="1">-IF(C168=1,(F168+K168+L168+Q168)/2*'Invoer gegevens (N)'!$I$36*'Reeksen (N)'!H168,0)</f>
        <v>0</v>
      </c>
      <c r="AV168" s="71">
        <v>0</v>
      </c>
      <c r="AW168" s="71">
        <f t="shared" ca="1" si="30"/>
        <v>0</v>
      </c>
      <c r="AX168" s="71">
        <f ca="1">IF(E168&lt;'Invoer gegevens (N)'!$C$17+15,0,IF(E168&gt;'Invoer gegevens (N)'!$C$17+215,0,AW168))</f>
        <v>0</v>
      </c>
      <c r="AY168" s="71">
        <f ca="1">AX168/(1+'Invoer gegevens (N)'!$F$18)^($AZ168-('Invoer gegevens (N)'!$C$17-'Invoer gegevens (N)'!$C$16))/(1+'Invoer gegevens (N)'!$C$39)^('Invoer gegevens (N)'!$C$17-'Invoer gegevens (N)'!$C$16)</f>
        <v>0</v>
      </c>
      <c r="AZ168" s="68">
        <f ca="1">IF(E168-'Invoer gegevens (N)'!$C$17-14.5&lt;0,0,E168-'Invoer gegevens (N)'!$C$17-14.5)</f>
        <v>148.5</v>
      </c>
    </row>
    <row r="169" spans="2:52" x14ac:dyDescent="0.25">
      <c r="B169" s="70">
        <f t="shared" si="31"/>
        <v>165</v>
      </c>
      <c r="C169" s="67">
        <f ca="1">IF(E169-'Invoer gegevens (N)'!$C$17&lt;0,0,1)</f>
        <v>1</v>
      </c>
      <c r="D169" s="68">
        <f t="shared" si="32"/>
        <v>164.5</v>
      </c>
      <c r="E169" s="108">
        <f ca="1">IF('Invoer gegevens (N)'!$C$16="","",E168+1)</f>
        <v>2183</v>
      </c>
      <c r="F169" s="84">
        <f ca="1">IF('Invoer gegevens (N)'!$C$17=E169,'Invoer gegevens (N)'!$C$10,IF(C169=1,K168,0))</f>
        <v>0</v>
      </c>
      <c r="G169" s="96">
        <f ca="1">IF(C169&gt;=1,F169*VLOOKUP(E169,'Reeksen (N)'!$A$5:$B$76,2),0)</f>
        <v>0</v>
      </c>
      <c r="H169" s="84">
        <f ca="1">(1-('Invoer gegevens (N)'!$F$20/12))*F169*MIN('Reeksen (N)'!B169,'Reeksen (N)'!D169)</f>
        <v>0</v>
      </c>
      <c r="I169" s="84">
        <f>IF('Reeksen (N)'!D169&lt;'Reeksen (N)'!B169,('Reeksen (N)'!B169-'Reeksen (N)'!D169)*F169,0)</f>
        <v>0</v>
      </c>
      <c r="J169" s="84">
        <f ca="1">('Invoer gegevens (N)'!$F$20/12)*F168*MIN('Reeksen (N)'!B168,'Reeksen (N)'!D168)</f>
        <v>0</v>
      </c>
      <c r="K169" s="97">
        <f t="shared" ca="1" si="23"/>
        <v>0</v>
      </c>
      <c r="L169" s="84">
        <f ca="1">IF('Invoer gegevens (N)'!$C$17=E169,0,IF(C169=1,Q168,0))</f>
        <v>0</v>
      </c>
      <c r="M169" s="96">
        <f ca="1">IF(C169&gt;=1,L169*VLOOKUP(E169,'Reeksen (N)'!$A$5:$B$76,2),0)</f>
        <v>0</v>
      </c>
      <c r="N169" s="84">
        <f ca="1">(1-('Invoer gegevens (N)'!$F$20/12))*L169*MIN('Reeksen (N)'!B169,'Reeksen (N)'!D169)</f>
        <v>0</v>
      </c>
      <c r="O169" s="84">
        <f>IF('Reeksen (N)'!D169&lt;'Reeksen (N)'!B169,('Reeksen (N)'!B169-'Reeksen (N)'!D169)*L169,0)</f>
        <v>0</v>
      </c>
      <c r="P169" s="84">
        <f ca="1">('Invoer gegevens (N)'!$F$20/12)*L168*MIN('Reeksen (N)'!B168,'Reeksen (N)'!D168)</f>
        <v>0</v>
      </c>
      <c r="Q169" s="84">
        <f t="shared" ca="1" si="24"/>
        <v>0</v>
      </c>
      <c r="R169" s="82">
        <f ca="1">IF('Invoer gegevens (N)'!$C$17=E169,'Invoer gegevens (N)'!$C$11,IF(C169=1,W168,0))</f>
        <v>0</v>
      </c>
      <c r="S169" s="86">
        <f ca="1">IF(C169&gt;=1,R169*VLOOKUP(E169,'Reeksen (N)'!$A$5:$B$76,2),0)</f>
        <v>0</v>
      </c>
      <c r="T169" s="84">
        <f ca="1">(1-('Invoer gegevens (N)'!$F$20/12))*R169*MIN('Reeksen (N)'!B169,'Reeksen (N)'!D169)</f>
        <v>0</v>
      </c>
      <c r="U169" s="84">
        <f>IF('Reeksen (N)'!D169&gt;='Reeksen (N)'!B169,0,IF('Reeksen (N)'!AK169&lt;='Reeksen (N)'!AE169,('Reeksen (N)'!B169-'Reeksen (N)'!D169)*R169,0))</f>
        <v>0</v>
      </c>
      <c r="V169" s="86">
        <f>IF('Reeksen (N)'!D169&gt;='Reeksen (N)'!B169,0,IF('Reeksen (N)'!AK169&gt;'Reeksen (N)'!AE169,('Reeksen (N)'!B169-'Reeksen (N)'!D169)*R169,0))</f>
        <v>0</v>
      </c>
      <c r="W169" s="97">
        <f t="shared" ca="1" si="25"/>
        <v>0</v>
      </c>
      <c r="X169" s="98">
        <f ca="1">IF('Invoer gegevens (N)'!$C$17=E169,'Invoer gegevens (N)'!$C$10-'Invoer gegevens (N)'!$C$11,IF(C169=1,AC168,0))</f>
        <v>0</v>
      </c>
      <c r="Y169" s="98">
        <f ca="1">IF(C169&gt;=1,X169*VLOOKUP(E169,'Reeksen (N)'!$A$5:$B$76,2),0)</f>
        <v>0</v>
      </c>
      <c r="Z169" s="98">
        <f ca="1">(1-('Invoer gegevens (N)'!$F$20/12))*X169*MIN('Reeksen (N)'!B169,'Reeksen (N)'!D169)</f>
        <v>0</v>
      </c>
      <c r="AA169" s="98">
        <f>IF('Reeksen (N)'!D169&gt;='Reeksen (N)'!B169,0,IF('Reeksen (N)'!AK169&lt;='Reeksen (N)'!AE169,('Reeksen (N)'!B169-'Reeksen (N)'!D169)*X169,0))</f>
        <v>0</v>
      </c>
      <c r="AB169" s="98">
        <f>IF('Reeksen (N)'!D169&gt;='Reeksen (N)'!B169,0,IF('Reeksen (N)'!AK169&gt;'Reeksen (N)'!AE169,('Reeksen (N)'!B169-'Reeksen (N)'!D169)*X169,0))</f>
        <v>0</v>
      </c>
      <c r="AC169" s="99">
        <f t="shared" ca="1" si="26"/>
        <v>0</v>
      </c>
      <c r="AD169" s="98">
        <f ca="1">IF('Invoer gegevens (N)'!$C$17=E169,R169,IF(C169=0,0,AE168))</f>
        <v>0</v>
      </c>
      <c r="AE169" s="98">
        <f t="shared" ca="1" si="27"/>
        <v>0</v>
      </c>
      <c r="AF169" s="98">
        <f ca="1">IF('Invoer gegevens (N)'!$C$17=E169,X169,IF(C169=0,0,AG168))</f>
        <v>0</v>
      </c>
      <c r="AG169" s="98">
        <f t="shared" ca="1" si="28"/>
        <v>0</v>
      </c>
      <c r="AH169" s="68"/>
      <c r="AI169" s="71">
        <f ca="1">IF(C169=1,'Reeksen (N)'!AJ169*((F169-G169+F169)/2)*12+'Reeksen (N)'!AK169*((L169-M169+L169)/2)*12,0)</f>
        <v>0</v>
      </c>
      <c r="AJ169" s="71">
        <f ca="1">-AI169*'Invoer gegevens (N)'!$F$28</f>
        <v>0</v>
      </c>
      <c r="AK169" s="71">
        <f t="shared" ca="1" si="22"/>
        <v>0</v>
      </c>
      <c r="AL169" s="71">
        <f ca="1">IF(C169=1,'Reeksen (N)'!AL169*((F169-G169+F169)/2)*12+'Reeksen (N)'!AM169*((L169-M169+L169)/2)*12,0)</f>
        <v>0</v>
      </c>
      <c r="AM169" s="71">
        <f ca="1">-AL169*'Invoer gegevens (N)'!$F$31</f>
        <v>0</v>
      </c>
      <c r="AN169" s="71">
        <f t="shared" ca="1" si="29"/>
        <v>0</v>
      </c>
      <c r="AO169" s="71">
        <f ca="1">IF(C169=1,(H169+J169+N169+P169)*'Reeksen (N)'!AN169,0)</f>
        <v>0</v>
      </c>
      <c r="AP169" s="71">
        <f ca="1">-IF(C169=1,(H169+J169+N169+P169)*'Hulp - basis'!$O$550*'Reeksen (N)'!H169,0)</f>
        <v>0</v>
      </c>
      <c r="AQ169" s="71">
        <f ca="1">-IF(C169=1,(F169+K169+L169+Q169)/2*'Invoer gegevens (N)'!$I$33*'Reeksen (N)'!J169,0)*2</f>
        <v>0</v>
      </c>
      <c r="AR169" s="71">
        <f ca="1">-IF(C169=1,(I169*'Invoer gegevens (N)'!$I$34)*'Reeksen (N)'!J169,0)</f>
        <v>0</v>
      </c>
      <c r="AS169" s="71">
        <f ca="1">-IF(C169=1,(F169+K169+L169+Q169)/2*'Invoer gegevens (N)'!$I$35*'Reeksen (N)'!L169,0)</f>
        <v>0</v>
      </c>
      <c r="AT169" s="71">
        <f ca="1">-IF(C169=1,IF(E169='Invoer gegevens (N)'!$C$17,'Invoer gegevens (N)'!$C$11,AD169)*'Reeksen (N)'!S169*'Invoer gegevens (N)'!$C$18*'Reeksen (N)'!P169,0)</f>
        <v>0</v>
      </c>
      <c r="AU169" s="71">
        <f ca="1">-IF(C169=1,(F169+K169+L169+Q169)/2*'Invoer gegevens (N)'!$I$36*'Reeksen (N)'!H169,0)</f>
        <v>0</v>
      </c>
      <c r="AV169" s="71">
        <v>0</v>
      </c>
      <c r="AW169" s="71">
        <f t="shared" ca="1" si="30"/>
        <v>0</v>
      </c>
      <c r="AX169" s="71">
        <f ca="1">IF(E169&lt;'Invoer gegevens (N)'!$C$17+15,0,IF(E169&gt;'Invoer gegevens (N)'!$C$17+215,0,AW169))</f>
        <v>0</v>
      </c>
      <c r="AY169" s="71">
        <f ca="1">AX169/(1+'Invoer gegevens (N)'!$F$18)^($AZ169-('Invoer gegevens (N)'!$C$17-'Invoer gegevens (N)'!$C$16))/(1+'Invoer gegevens (N)'!$C$39)^('Invoer gegevens (N)'!$C$17-'Invoer gegevens (N)'!$C$16)</f>
        <v>0</v>
      </c>
      <c r="AZ169" s="68">
        <f ca="1">IF(E169-'Invoer gegevens (N)'!$C$17-14.5&lt;0,0,E169-'Invoer gegevens (N)'!$C$17-14.5)</f>
        <v>149.5</v>
      </c>
    </row>
    <row r="170" spans="2:52" x14ac:dyDescent="0.25">
      <c r="B170" s="70">
        <f t="shared" si="31"/>
        <v>166</v>
      </c>
      <c r="C170" s="67">
        <f ca="1">IF(E170-'Invoer gegevens (N)'!$C$17&lt;0,0,1)</f>
        <v>1</v>
      </c>
      <c r="D170" s="68">
        <f t="shared" si="32"/>
        <v>165.5</v>
      </c>
      <c r="E170" s="108">
        <f ca="1">IF('Invoer gegevens (N)'!$C$16="","",E169+1)</f>
        <v>2184</v>
      </c>
      <c r="F170" s="84">
        <f ca="1">IF('Invoer gegevens (N)'!$C$17=E170,'Invoer gegevens (N)'!$C$10,IF(C170=1,K169,0))</f>
        <v>0</v>
      </c>
      <c r="G170" s="96">
        <f ca="1">IF(C170&gt;=1,F170*VLOOKUP(E170,'Reeksen (N)'!$A$5:$B$76,2),0)</f>
        <v>0</v>
      </c>
      <c r="H170" s="84">
        <f ca="1">(1-('Invoer gegevens (N)'!$F$20/12))*F170*MIN('Reeksen (N)'!B170,'Reeksen (N)'!D170)</f>
        <v>0</v>
      </c>
      <c r="I170" s="84">
        <f>IF('Reeksen (N)'!D170&lt;'Reeksen (N)'!B170,('Reeksen (N)'!B170-'Reeksen (N)'!D170)*F170,0)</f>
        <v>0</v>
      </c>
      <c r="J170" s="84">
        <f ca="1">('Invoer gegevens (N)'!$F$20/12)*F169*MIN('Reeksen (N)'!B169,'Reeksen (N)'!D169)</f>
        <v>0</v>
      </c>
      <c r="K170" s="97">
        <f t="shared" ca="1" si="23"/>
        <v>0</v>
      </c>
      <c r="L170" s="84">
        <f ca="1">IF('Invoer gegevens (N)'!$C$17=E170,0,IF(C170=1,Q169,0))</f>
        <v>0</v>
      </c>
      <c r="M170" s="96">
        <f ca="1">IF(C170&gt;=1,L170*VLOOKUP(E170,'Reeksen (N)'!$A$5:$B$76,2),0)</f>
        <v>0</v>
      </c>
      <c r="N170" s="84">
        <f ca="1">(1-('Invoer gegevens (N)'!$F$20/12))*L170*MIN('Reeksen (N)'!B170,'Reeksen (N)'!D170)</f>
        <v>0</v>
      </c>
      <c r="O170" s="84">
        <f>IF('Reeksen (N)'!D170&lt;'Reeksen (N)'!B170,('Reeksen (N)'!B170-'Reeksen (N)'!D170)*L170,0)</f>
        <v>0</v>
      </c>
      <c r="P170" s="84">
        <f ca="1">('Invoer gegevens (N)'!$F$20/12)*L169*MIN('Reeksen (N)'!B169,'Reeksen (N)'!D169)</f>
        <v>0</v>
      </c>
      <c r="Q170" s="84">
        <f t="shared" ca="1" si="24"/>
        <v>0</v>
      </c>
      <c r="R170" s="82">
        <f ca="1">IF('Invoer gegevens (N)'!$C$17=E170,'Invoer gegevens (N)'!$C$11,IF(C170=1,W169,0))</f>
        <v>0</v>
      </c>
      <c r="S170" s="86">
        <f ca="1">IF(C170&gt;=1,R170*VLOOKUP(E170,'Reeksen (N)'!$A$5:$B$76,2),0)</f>
        <v>0</v>
      </c>
      <c r="T170" s="84">
        <f ca="1">(1-('Invoer gegevens (N)'!$F$20/12))*R170*MIN('Reeksen (N)'!B170,'Reeksen (N)'!D170)</f>
        <v>0</v>
      </c>
      <c r="U170" s="84">
        <f>IF('Reeksen (N)'!D170&gt;='Reeksen (N)'!B170,0,IF('Reeksen (N)'!AK170&lt;='Reeksen (N)'!AE170,('Reeksen (N)'!B170-'Reeksen (N)'!D170)*R170,0))</f>
        <v>0</v>
      </c>
      <c r="V170" s="86">
        <f>IF('Reeksen (N)'!D170&gt;='Reeksen (N)'!B170,0,IF('Reeksen (N)'!AK170&gt;'Reeksen (N)'!AE170,('Reeksen (N)'!B170-'Reeksen (N)'!D170)*R170,0))</f>
        <v>0</v>
      </c>
      <c r="W170" s="97">
        <f t="shared" ca="1" si="25"/>
        <v>0</v>
      </c>
      <c r="X170" s="98">
        <f ca="1">IF('Invoer gegevens (N)'!$C$17=E170,'Invoer gegevens (N)'!$C$10-'Invoer gegevens (N)'!$C$11,IF(C170=1,AC169,0))</f>
        <v>0</v>
      </c>
      <c r="Y170" s="98">
        <f ca="1">IF(C170&gt;=1,X170*VLOOKUP(E170,'Reeksen (N)'!$A$5:$B$76,2),0)</f>
        <v>0</v>
      </c>
      <c r="Z170" s="98">
        <f ca="1">(1-('Invoer gegevens (N)'!$F$20/12))*X170*MIN('Reeksen (N)'!B170,'Reeksen (N)'!D170)</f>
        <v>0</v>
      </c>
      <c r="AA170" s="98">
        <f>IF('Reeksen (N)'!D170&gt;='Reeksen (N)'!B170,0,IF('Reeksen (N)'!AK170&lt;='Reeksen (N)'!AE170,('Reeksen (N)'!B170-'Reeksen (N)'!D170)*X170,0))</f>
        <v>0</v>
      </c>
      <c r="AB170" s="98">
        <f>IF('Reeksen (N)'!D170&gt;='Reeksen (N)'!B170,0,IF('Reeksen (N)'!AK170&gt;'Reeksen (N)'!AE170,('Reeksen (N)'!B170-'Reeksen (N)'!D170)*X170,0))</f>
        <v>0</v>
      </c>
      <c r="AC170" s="99">
        <f t="shared" ca="1" si="26"/>
        <v>0</v>
      </c>
      <c r="AD170" s="98">
        <f ca="1">IF('Invoer gegevens (N)'!$C$17=E170,R170,IF(C170=0,0,AE169))</f>
        <v>0</v>
      </c>
      <c r="AE170" s="98">
        <f t="shared" ca="1" si="27"/>
        <v>0</v>
      </c>
      <c r="AF170" s="98">
        <f ca="1">IF('Invoer gegevens (N)'!$C$17=E170,X170,IF(C170=0,0,AG169))</f>
        <v>0</v>
      </c>
      <c r="AG170" s="98">
        <f t="shared" ca="1" si="28"/>
        <v>0</v>
      </c>
      <c r="AH170" s="68"/>
      <c r="AI170" s="71">
        <f ca="1">IF(C170=1,'Reeksen (N)'!AJ170*((F170-G170+F170)/2)*12+'Reeksen (N)'!AK170*((L170-M170+L170)/2)*12,0)</f>
        <v>0</v>
      </c>
      <c r="AJ170" s="71">
        <f ca="1">-AI170*'Invoer gegevens (N)'!$F$28</f>
        <v>0</v>
      </c>
      <c r="AK170" s="71">
        <f t="shared" ca="1" si="22"/>
        <v>0</v>
      </c>
      <c r="AL170" s="71">
        <f ca="1">IF(C170=1,'Reeksen (N)'!AL170*((F170-G170+F170)/2)*12+'Reeksen (N)'!AM170*((L170-M170+L170)/2)*12,0)</f>
        <v>0</v>
      </c>
      <c r="AM170" s="71">
        <f ca="1">-AL170*'Invoer gegevens (N)'!$F$31</f>
        <v>0</v>
      </c>
      <c r="AN170" s="71">
        <f t="shared" ca="1" si="29"/>
        <v>0</v>
      </c>
      <c r="AO170" s="71">
        <f ca="1">IF(C170=1,(H170+J170+N170+P170)*'Reeksen (N)'!AN170,0)</f>
        <v>0</v>
      </c>
      <c r="AP170" s="71">
        <f ca="1">-IF(C170=1,(H170+J170+N170+P170)*'Hulp - basis'!$O$550*'Reeksen (N)'!H170,0)</f>
        <v>0</v>
      </c>
      <c r="AQ170" s="71">
        <f ca="1">-IF(C170=1,(F170+K170+L170+Q170)/2*'Invoer gegevens (N)'!$I$33*'Reeksen (N)'!J170,0)*2</f>
        <v>0</v>
      </c>
      <c r="AR170" s="71">
        <f ca="1">-IF(C170=1,(I170*'Invoer gegevens (N)'!$I$34)*'Reeksen (N)'!J170,0)</f>
        <v>0</v>
      </c>
      <c r="AS170" s="71">
        <f ca="1">-IF(C170=1,(F170+K170+L170+Q170)/2*'Invoer gegevens (N)'!$I$35*'Reeksen (N)'!L170,0)</f>
        <v>0</v>
      </c>
      <c r="AT170" s="71">
        <f ca="1">-IF(C170=1,IF(E170='Invoer gegevens (N)'!$C$17,'Invoer gegevens (N)'!$C$11,AD170)*'Reeksen (N)'!S170*'Invoer gegevens (N)'!$C$18*'Reeksen (N)'!P170,0)</f>
        <v>0</v>
      </c>
      <c r="AU170" s="71">
        <f ca="1">-IF(C170=1,(F170+K170+L170+Q170)/2*'Invoer gegevens (N)'!$I$36*'Reeksen (N)'!H170,0)</f>
        <v>0</v>
      </c>
      <c r="AV170" s="71">
        <v>0</v>
      </c>
      <c r="AW170" s="71">
        <f t="shared" ca="1" si="30"/>
        <v>0</v>
      </c>
      <c r="AX170" s="71">
        <f ca="1">IF(E170&lt;'Invoer gegevens (N)'!$C$17+15,0,IF(E170&gt;'Invoer gegevens (N)'!$C$17+215,0,AW170))</f>
        <v>0</v>
      </c>
      <c r="AY170" s="71">
        <f ca="1">AX170/(1+'Invoer gegevens (N)'!$F$18)^($AZ170-('Invoer gegevens (N)'!$C$17-'Invoer gegevens (N)'!$C$16))/(1+'Invoer gegevens (N)'!$C$39)^('Invoer gegevens (N)'!$C$17-'Invoer gegevens (N)'!$C$16)</f>
        <v>0</v>
      </c>
      <c r="AZ170" s="68">
        <f ca="1">IF(E170-'Invoer gegevens (N)'!$C$17-14.5&lt;0,0,E170-'Invoer gegevens (N)'!$C$17-14.5)</f>
        <v>150.5</v>
      </c>
    </row>
    <row r="171" spans="2:52" x14ac:dyDescent="0.25">
      <c r="B171" s="70">
        <f t="shared" si="31"/>
        <v>167</v>
      </c>
      <c r="C171" s="67">
        <f ca="1">IF(E171-'Invoer gegevens (N)'!$C$17&lt;0,0,1)</f>
        <v>1</v>
      </c>
      <c r="D171" s="68">
        <f t="shared" si="32"/>
        <v>166.5</v>
      </c>
      <c r="E171" s="108">
        <f ca="1">IF('Invoer gegevens (N)'!$C$16="","",E170+1)</f>
        <v>2185</v>
      </c>
      <c r="F171" s="84">
        <f ca="1">IF('Invoer gegevens (N)'!$C$17=E171,'Invoer gegevens (N)'!$C$10,IF(C171=1,K170,0))</f>
        <v>0</v>
      </c>
      <c r="G171" s="96">
        <f ca="1">IF(C171&gt;=1,F171*VLOOKUP(E171,'Reeksen (N)'!$A$5:$B$76,2),0)</f>
        <v>0</v>
      </c>
      <c r="H171" s="84">
        <f ca="1">(1-('Invoer gegevens (N)'!$F$20/12))*F171*MIN('Reeksen (N)'!B171,'Reeksen (N)'!D171)</f>
        <v>0</v>
      </c>
      <c r="I171" s="84">
        <f>IF('Reeksen (N)'!D171&lt;'Reeksen (N)'!B171,('Reeksen (N)'!B171-'Reeksen (N)'!D171)*F171,0)</f>
        <v>0</v>
      </c>
      <c r="J171" s="84">
        <f ca="1">('Invoer gegevens (N)'!$F$20/12)*F170*MIN('Reeksen (N)'!B170,'Reeksen (N)'!D170)</f>
        <v>0</v>
      </c>
      <c r="K171" s="97">
        <f t="shared" ca="1" si="23"/>
        <v>0</v>
      </c>
      <c r="L171" s="84">
        <f ca="1">IF('Invoer gegevens (N)'!$C$17=E171,0,IF(C171=1,Q170,0))</f>
        <v>0</v>
      </c>
      <c r="M171" s="96">
        <f ca="1">IF(C171&gt;=1,L171*VLOOKUP(E171,'Reeksen (N)'!$A$5:$B$76,2),0)</f>
        <v>0</v>
      </c>
      <c r="N171" s="84">
        <f ca="1">(1-('Invoer gegevens (N)'!$F$20/12))*L171*MIN('Reeksen (N)'!B171,'Reeksen (N)'!D171)</f>
        <v>0</v>
      </c>
      <c r="O171" s="84">
        <f>IF('Reeksen (N)'!D171&lt;'Reeksen (N)'!B171,('Reeksen (N)'!B171-'Reeksen (N)'!D171)*L171,0)</f>
        <v>0</v>
      </c>
      <c r="P171" s="84">
        <f ca="1">('Invoer gegevens (N)'!$F$20/12)*L170*MIN('Reeksen (N)'!B170,'Reeksen (N)'!D170)</f>
        <v>0</v>
      </c>
      <c r="Q171" s="84">
        <f t="shared" ca="1" si="24"/>
        <v>0</v>
      </c>
      <c r="R171" s="82">
        <f ca="1">IF('Invoer gegevens (N)'!$C$17=E171,'Invoer gegevens (N)'!$C$11,IF(C171=1,W170,0))</f>
        <v>0</v>
      </c>
      <c r="S171" s="86">
        <f ca="1">IF(C171&gt;=1,R171*VLOOKUP(E171,'Reeksen (N)'!$A$5:$B$76,2),0)</f>
        <v>0</v>
      </c>
      <c r="T171" s="84">
        <f ca="1">(1-('Invoer gegevens (N)'!$F$20/12))*R171*MIN('Reeksen (N)'!B171,'Reeksen (N)'!D171)</f>
        <v>0</v>
      </c>
      <c r="U171" s="84">
        <f>IF('Reeksen (N)'!D171&gt;='Reeksen (N)'!B171,0,IF('Reeksen (N)'!AK171&lt;='Reeksen (N)'!AE171,('Reeksen (N)'!B171-'Reeksen (N)'!D171)*R171,0))</f>
        <v>0</v>
      </c>
      <c r="V171" s="86">
        <f>IF('Reeksen (N)'!D171&gt;='Reeksen (N)'!B171,0,IF('Reeksen (N)'!AK171&gt;'Reeksen (N)'!AE171,('Reeksen (N)'!B171-'Reeksen (N)'!D171)*R171,0))</f>
        <v>0</v>
      </c>
      <c r="W171" s="97">
        <f t="shared" ca="1" si="25"/>
        <v>0</v>
      </c>
      <c r="X171" s="98">
        <f ca="1">IF('Invoer gegevens (N)'!$C$17=E171,'Invoer gegevens (N)'!$C$10-'Invoer gegevens (N)'!$C$11,IF(C171=1,AC170,0))</f>
        <v>0</v>
      </c>
      <c r="Y171" s="98">
        <f ca="1">IF(C171&gt;=1,X171*VLOOKUP(E171,'Reeksen (N)'!$A$5:$B$76,2),0)</f>
        <v>0</v>
      </c>
      <c r="Z171" s="98">
        <f ca="1">(1-('Invoer gegevens (N)'!$F$20/12))*X171*MIN('Reeksen (N)'!B171,'Reeksen (N)'!D171)</f>
        <v>0</v>
      </c>
      <c r="AA171" s="98">
        <f>IF('Reeksen (N)'!D171&gt;='Reeksen (N)'!B171,0,IF('Reeksen (N)'!AK171&lt;='Reeksen (N)'!AE171,('Reeksen (N)'!B171-'Reeksen (N)'!D171)*X171,0))</f>
        <v>0</v>
      </c>
      <c r="AB171" s="98">
        <f>IF('Reeksen (N)'!D171&gt;='Reeksen (N)'!B171,0,IF('Reeksen (N)'!AK171&gt;'Reeksen (N)'!AE171,('Reeksen (N)'!B171-'Reeksen (N)'!D171)*X171,0))</f>
        <v>0</v>
      </c>
      <c r="AC171" s="99">
        <f t="shared" ca="1" si="26"/>
        <v>0</v>
      </c>
      <c r="AD171" s="98">
        <f ca="1">IF('Invoer gegevens (N)'!$C$17=E171,R171,IF(C171=0,0,AE170))</f>
        <v>0</v>
      </c>
      <c r="AE171" s="98">
        <f t="shared" ca="1" si="27"/>
        <v>0</v>
      </c>
      <c r="AF171" s="98">
        <f ca="1">IF('Invoer gegevens (N)'!$C$17=E171,X171,IF(C171=0,0,AG170))</f>
        <v>0</v>
      </c>
      <c r="AG171" s="98">
        <f t="shared" ca="1" si="28"/>
        <v>0</v>
      </c>
      <c r="AH171" s="68"/>
      <c r="AI171" s="71">
        <f ca="1">IF(C171=1,'Reeksen (N)'!AJ171*((F171-G171+F171)/2)*12+'Reeksen (N)'!AK171*((L171-M171+L171)/2)*12,0)</f>
        <v>0</v>
      </c>
      <c r="AJ171" s="71">
        <f ca="1">-AI171*'Invoer gegevens (N)'!$F$28</f>
        <v>0</v>
      </c>
      <c r="AK171" s="71">
        <f t="shared" ca="1" si="22"/>
        <v>0</v>
      </c>
      <c r="AL171" s="71">
        <f ca="1">IF(C171=1,'Reeksen (N)'!AL171*((F171-G171+F171)/2)*12+'Reeksen (N)'!AM171*((L171-M171+L171)/2)*12,0)</f>
        <v>0</v>
      </c>
      <c r="AM171" s="71">
        <f ca="1">-AL171*'Invoer gegevens (N)'!$F$31</f>
        <v>0</v>
      </c>
      <c r="AN171" s="71">
        <f t="shared" ca="1" si="29"/>
        <v>0</v>
      </c>
      <c r="AO171" s="71">
        <f ca="1">IF(C171=1,(H171+J171+N171+P171)*'Reeksen (N)'!AN171,0)</f>
        <v>0</v>
      </c>
      <c r="AP171" s="71">
        <f ca="1">-IF(C171=1,(H171+J171+N171+P171)*'Hulp - basis'!$O$550*'Reeksen (N)'!H171,0)</f>
        <v>0</v>
      </c>
      <c r="AQ171" s="71">
        <f ca="1">-IF(C171=1,(F171+K171+L171+Q171)/2*'Invoer gegevens (N)'!$I$33*'Reeksen (N)'!J171,0)*2</f>
        <v>0</v>
      </c>
      <c r="AR171" s="71">
        <f ca="1">-IF(C171=1,(I171*'Invoer gegevens (N)'!$I$34)*'Reeksen (N)'!J171,0)</f>
        <v>0</v>
      </c>
      <c r="AS171" s="71">
        <f ca="1">-IF(C171=1,(F171+K171+L171+Q171)/2*'Invoer gegevens (N)'!$I$35*'Reeksen (N)'!L171,0)</f>
        <v>0</v>
      </c>
      <c r="AT171" s="71">
        <f ca="1">-IF(C171=1,IF(E171='Invoer gegevens (N)'!$C$17,'Invoer gegevens (N)'!$C$11,AD171)*'Reeksen (N)'!S171*'Invoer gegevens (N)'!$C$18*'Reeksen (N)'!P171,0)</f>
        <v>0</v>
      </c>
      <c r="AU171" s="71">
        <f ca="1">-IF(C171=1,(F171+K171+L171+Q171)/2*'Invoer gegevens (N)'!$I$36*'Reeksen (N)'!H171,0)</f>
        <v>0</v>
      </c>
      <c r="AV171" s="71">
        <v>0</v>
      </c>
      <c r="AW171" s="71">
        <f t="shared" ca="1" si="30"/>
        <v>0</v>
      </c>
      <c r="AX171" s="71">
        <f ca="1">IF(E171&lt;'Invoer gegevens (N)'!$C$17+15,0,IF(E171&gt;'Invoer gegevens (N)'!$C$17+215,0,AW171))</f>
        <v>0</v>
      </c>
      <c r="AY171" s="71">
        <f ca="1">AX171/(1+'Invoer gegevens (N)'!$F$18)^($AZ171-('Invoer gegevens (N)'!$C$17-'Invoer gegevens (N)'!$C$16))/(1+'Invoer gegevens (N)'!$C$39)^('Invoer gegevens (N)'!$C$17-'Invoer gegevens (N)'!$C$16)</f>
        <v>0</v>
      </c>
      <c r="AZ171" s="68">
        <f ca="1">IF(E171-'Invoer gegevens (N)'!$C$17-14.5&lt;0,0,E171-'Invoer gegevens (N)'!$C$17-14.5)</f>
        <v>151.5</v>
      </c>
    </row>
    <row r="172" spans="2:52" x14ac:dyDescent="0.25">
      <c r="B172" s="70">
        <f t="shared" si="31"/>
        <v>168</v>
      </c>
      <c r="C172" s="67">
        <f ca="1">IF(E172-'Invoer gegevens (N)'!$C$17&lt;0,0,1)</f>
        <v>1</v>
      </c>
      <c r="D172" s="68">
        <f t="shared" si="32"/>
        <v>167.5</v>
      </c>
      <c r="E172" s="108">
        <f ca="1">IF('Invoer gegevens (N)'!$C$16="","",E171+1)</f>
        <v>2186</v>
      </c>
      <c r="F172" s="84">
        <f ca="1">IF('Invoer gegevens (N)'!$C$17=E172,'Invoer gegevens (N)'!$C$10,IF(C172=1,K171,0))</f>
        <v>0</v>
      </c>
      <c r="G172" s="96">
        <f ca="1">IF(C172&gt;=1,F172*VLOOKUP(E172,'Reeksen (N)'!$A$5:$B$76,2),0)</f>
        <v>0</v>
      </c>
      <c r="H172" s="84">
        <f ca="1">(1-('Invoer gegevens (N)'!$F$20/12))*F172*MIN('Reeksen (N)'!B172,'Reeksen (N)'!D172)</f>
        <v>0</v>
      </c>
      <c r="I172" s="84">
        <f>IF('Reeksen (N)'!D172&lt;'Reeksen (N)'!B172,('Reeksen (N)'!B172-'Reeksen (N)'!D172)*F172,0)</f>
        <v>0</v>
      </c>
      <c r="J172" s="84">
        <f ca="1">('Invoer gegevens (N)'!$F$20/12)*F171*MIN('Reeksen (N)'!B171,'Reeksen (N)'!D171)</f>
        <v>0</v>
      </c>
      <c r="K172" s="97">
        <f t="shared" ca="1" si="23"/>
        <v>0</v>
      </c>
      <c r="L172" s="84">
        <f ca="1">IF('Invoer gegevens (N)'!$C$17=E172,0,IF(C172=1,Q171,0))</f>
        <v>0</v>
      </c>
      <c r="M172" s="96">
        <f ca="1">IF(C172&gt;=1,L172*VLOOKUP(E172,'Reeksen (N)'!$A$5:$B$76,2),0)</f>
        <v>0</v>
      </c>
      <c r="N172" s="84">
        <f ca="1">(1-('Invoer gegevens (N)'!$F$20/12))*L172*MIN('Reeksen (N)'!B172,'Reeksen (N)'!D172)</f>
        <v>0</v>
      </c>
      <c r="O172" s="84">
        <f>IF('Reeksen (N)'!D172&lt;'Reeksen (N)'!B172,('Reeksen (N)'!B172-'Reeksen (N)'!D172)*L172,0)</f>
        <v>0</v>
      </c>
      <c r="P172" s="84">
        <f ca="1">('Invoer gegevens (N)'!$F$20/12)*L171*MIN('Reeksen (N)'!B171,'Reeksen (N)'!D171)</f>
        <v>0</v>
      </c>
      <c r="Q172" s="84">
        <f t="shared" ca="1" si="24"/>
        <v>0</v>
      </c>
      <c r="R172" s="82">
        <f ca="1">IF('Invoer gegevens (N)'!$C$17=E172,'Invoer gegevens (N)'!$C$11,IF(C172=1,W171,0))</f>
        <v>0</v>
      </c>
      <c r="S172" s="86">
        <f ca="1">IF(C172&gt;=1,R172*VLOOKUP(E172,'Reeksen (N)'!$A$5:$B$76,2),0)</f>
        <v>0</v>
      </c>
      <c r="T172" s="84">
        <f ca="1">(1-('Invoer gegevens (N)'!$F$20/12))*R172*MIN('Reeksen (N)'!B172,'Reeksen (N)'!D172)</f>
        <v>0</v>
      </c>
      <c r="U172" s="84">
        <f>IF('Reeksen (N)'!D172&gt;='Reeksen (N)'!B172,0,IF('Reeksen (N)'!AK172&lt;='Reeksen (N)'!AE172,('Reeksen (N)'!B172-'Reeksen (N)'!D172)*R172,0))</f>
        <v>0</v>
      </c>
      <c r="V172" s="86">
        <f>IF('Reeksen (N)'!D172&gt;='Reeksen (N)'!B172,0,IF('Reeksen (N)'!AK172&gt;'Reeksen (N)'!AE172,('Reeksen (N)'!B172-'Reeksen (N)'!D172)*R172,0))</f>
        <v>0</v>
      </c>
      <c r="W172" s="97">
        <f t="shared" ca="1" si="25"/>
        <v>0</v>
      </c>
      <c r="X172" s="98">
        <f ca="1">IF('Invoer gegevens (N)'!$C$17=E172,'Invoer gegevens (N)'!$C$10-'Invoer gegevens (N)'!$C$11,IF(C172=1,AC171,0))</f>
        <v>0</v>
      </c>
      <c r="Y172" s="98">
        <f ca="1">IF(C172&gt;=1,X172*VLOOKUP(E172,'Reeksen (N)'!$A$5:$B$76,2),0)</f>
        <v>0</v>
      </c>
      <c r="Z172" s="98">
        <f ca="1">(1-('Invoer gegevens (N)'!$F$20/12))*X172*MIN('Reeksen (N)'!B172,'Reeksen (N)'!D172)</f>
        <v>0</v>
      </c>
      <c r="AA172" s="98">
        <f>IF('Reeksen (N)'!D172&gt;='Reeksen (N)'!B172,0,IF('Reeksen (N)'!AK172&lt;='Reeksen (N)'!AE172,('Reeksen (N)'!B172-'Reeksen (N)'!D172)*X172,0))</f>
        <v>0</v>
      </c>
      <c r="AB172" s="98">
        <f>IF('Reeksen (N)'!D172&gt;='Reeksen (N)'!B172,0,IF('Reeksen (N)'!AK172&gt;'Reeksen (N)'!AE172,('Reeksen (N)'!B172-'Reeksen (N)'!D172)*X172,0))</f>
        <v>0</v>
      </c>
      <c r="AC172" s="99">
        <f t="shared" ca="1" si="26"/>
        <v>0</v>
      </c>
      <c r="AD172" s="98">
        <f ca="1">IF('Invoer gegevens (N)'!$C$17=E172,R172,IF(C172=0,0,AE171))</f>
        <v>0</v>
      </c>
      <c r="AE172" s="98">
        <f t="shared" ca="1" si="27"/>
        <v>0</v>
      </c>
      <c r="AF172" s="98">
        <f ca="1">IF('Invoer gegevens (N)'!$C$17=E172,X172,IF(C172=0,0,AG171))</f>
        <v>0</v>
      </c>
      <c r="AG172" s="98">
        <f t="shared" ca="1" si="28"/>
        <v>0</v>
      </c>
      <c r="AH172" s="68"/>
      <c r="AI172" s="71">
        <f ca="1">IF(C172=1,'Reeksen (N)'!AJ172*((F172-G172+F172)/2)*12+'Reeksen (N)'!AK172*((L172-M172+L172)/2)*12,0)</f>
        <v>0</v>
      </c>
      <c r="AJ172" s="71">
        <f ca="1">-AI172*'Invoer gegevens (N)'!$F$28</f>
        <v>0</v>
      </c>
      <c r="AK172" s="71">
        <f t="shared" ca="1" si="22"/>
        <v>0</v>
      </c>
      <c r="AL172" s="71">
        <f ca="1">IF(C172=1,'Reeksen (N)'!AL172*((F172-G172+F172)/2)*12+'Reeksen (N)'!AM172*((L172-M172+L172)/2)*12,0)</f>
        <v>0</v>
      </c>
      <c r="AM172" s="71">
        <f ca="1">-AL172*'Invoer gegevens (N)'!$F$31</f>
        <v>0</v>
      </c>
      <c r="AN172" s="71">
        <f t="shared" ca="1" si="29"/>
        <v>0</v>
      </c>
      <c r="AO172" s="71">
        <f ca="1">IF(C172=1,(H172+J172+N172+P172)*'Reeksen (N)'!AN172,0)</f>
        <v>0</v>
      </c>
      <c r="AP172" s="71">
        <f ca="1">-IF(C172=1,(H172+J172+N172+P172)*'Hulp - basis'!$O$550*'Reeksen (N)'!H172,0)</f>
        <v>0</v>
      </c>
      <c r="AQ172" s="71">
        <f ca="1">-IF(C172=1,(F172+K172+L172+Q172)/2*'Invoer gegevens (N)'!$I$33*'Reeksen (N)'!J172,0)*2</f>
        <v>0</v>
      </c>
      <c r="AR172" s="71">
        <f ca="1">-IF(C172=1,(I172*'Invoer gegevens (N)'!$I$34)*'Reeksen (N)'!J172,0)</f>
        <v>0</v>
      </c>
      <c r="AS172" s="71">
        <f ca="1">-IF(C172=1,(F172+K172+L172+Q172)/2*'Invoer gegevens (N)'!$I$35*'Reeksen (N)'!L172,0)</f>
        <v>0</v>
      </c>
      <c r="AT172" s="71">
        <f ca="1">-IF(C172=1,IF(E172='Invoer gegevens (N)'!$C$17,'Invoer gegevens (N)'!$C$11,AD172)*'Reeksen (N)'!S172*'Invoer gegevens (N)'!$C$18*'Reeksen (N)'!P172,0)</f>
        <v>0</v>
      </c>
      <c r="AU172" s="71">
        <f ca="1">-IF(C172=1,(F172+K172+L172+Q172)/2*'Invoer gegevens (N)'!$I$36*'Reeksen (N)'!H172,0)</f>
        <v>0</v>
      </c>
      <c r="AV172" s="71">
        <v>0</v>
      </c>
      <c r="AW172" s="71">
        <f t="shared" ca="1" si="30"/>
        <v>0</v>
      </c>
      <c r="AX172" s="71">
        <f ca="1">IF(E172&lt;'Invoer gegevens (N)'!$C$17+15,0,IF(E172&gt;'Invoer gegevens (N)'!$C$17+215,0,AW172))</f>
        <v>0</v>
      </c>
      <c r="AY172" s="71">
        <f ca="1">AX172/(1+'Invoer gegevens (N)'!$F$18)^($AZ172-('Invoer gegevens (N)'!$C$17-'Invoer gegevens (N)'!$C$16))/(1+'Invoer gegevens (N)'!$C$39)^('Invoer gegevens (N)'!$C$17-'Invoer gegevens (N)'!$C$16)</f>
        <v>0</v>
      </c>
      <c r="AZ172" s="68">
        <f ca="1">IF(E172-'Invoer gegevens (N)'!$C$17-14.5&lt;0,0,E172-'Invoer gegevens (N)'!$C$17-14.5)</f>
        <v>152.5</v>
      </c>
    </row>
    <row r="173" spans="2:52" x14ac:dyDescent="0.25">
      <c r="B173" s="70">
        <f t="shared" si="31"/>
        <v>169</v>
      </c>
      <c r="C173" s="67">
        <f ca="1">IF(E173-'Invoer gegevens (N)'!$C$17&lt;0,0,1)</f>
        <v>1</v>
      </c>
      <c r="D173" s="68">
        <f t="shared" si="32"/>
        <v>168.5</v>
      </c>
      <c r="E173" s="108">
        <f ca="1">IF('Invoer gegevens (N)'!$C$16="","",E172+1)</f>
        <v>2187</v>
      </c>
      <c r="F173" s="84">
        <f ca="1">IF('Invoer gegevens (N)'!$C$17=E173,'Invoer gegevens (N)'!$C$10,IF(C173=1,K172,0))</f>
        <v>0</v>
      </c>
      <c r="G173" s="96">
        <f ca="1">IF(C173&gt;=1,F173*VLOOKUP(E173,'Reeksen (N)'!$A$5:$B$76,2),0)</f>
        <v>0</v>
      </c>
      <c r="H173" s="84">
        <f ca="1">(1-('Invoer gegevens (N)'!$F$20/12))*F173*MIN('Reeksen (N)'!B173,'Reeksen (N)'!D173)</f>
        <v>0</v>
      </c>
      <c r="I173" s="84">
        <f>IF('Reeksen (N)'!D173&lt;'Reeksen (N)'!B173,('Reeksen (N)'!B173-'Reeksen (N)'!D173)*F173,0)</f>
        <v>0</v>
      </c>
      <c r="J173" s="84">
        <f ca="1">('Invoer gegevens (N)'!$F$20/12)*F172*MIN('Reeksen (N)'!B172,'Reeksen (N)'!D172)</f>
        <v>0</v>
      </c>
      <c r="K173" s="97">
        <f t="shared" ca="1" si="23"/>
        <v>0</v>
      </c>
      <c r="L173" s="84">
        <f ca="1">IF('Invoer gegevens (N)'!$C$17=E173,0,IF(C173=1,Q172,0))</f>
        <v>0</v>
      </c>
      <c r="M173" s="96">
        <f ca="1">IF(C173&gt;=1,L173*VLOOKUP(E173,'Reeksen (N)'!$A$5:$B$76,2),0)</f>
        <v>0</v>
      </c>
      <c r="N173" s="84">
        <f ca="1">(1-('Invoer gegevens (N)'!$F$20/12))*L173*MIN('Reeksen (N)'!B173,'Reeksen (N)'!D173)</f>
        <v>0</v>
      </c>
      <c r="O173" s="84">
        <f>IF('Reeksen (N)'!D173&lt;'Reeksen (N)'!B173,('Reeksen (N)'!B173-'Reeksen (N)'!D173)*L173,0)</f>
        <v>0</v>
      </c>
      <c r="P173" s="84">
        <f ca="1">('Invoer gegevens (N)'!$F$20/12)*L172*MIN('Reeksen (N)'!B172,'Reeksen (N)'!D172)</f>
        <v>0</v>
      </c>
      <c r="Q173" s="84">
        <f t="shared" ca="1" si="24"/>
        <v>0</v>
      </c>
      <c r="R173" s="82">
        <f ca="1">IF('Invoer gegevens (N)'!$C$17=E173,'Invoer gegevens (N)'!$C$11,IF(C173=1,W172,0))</f>
        <v>0</v>
      </c>
      <c r="S173" s="86">
        <f ca="1">IF(C173&gt;=1,R173*VLOOKUP(E173,'Reeksen (N)'!$A$5:$B$76,2),0)</f>
        <v>0</v>
      </c>
      <c r="T173" s="84">
        <f ca="1">(1-('Invoer gegevens (N)'!$F$20/12))*R173*MIN('Reeksen (N)'!B173,'Reeksen (N)'!D173)</f>
        <v>0</v>
      </c>
      <c r="U173" s="84">
        <f>IF('Reeksen (N)'!D173&gt;='Reeksen (N)'!B173,0,IF('Reeksen (N)'!AK173&lt;='Reeksen (N)'!AE173,('Reeksen (N)'!B173-'Reeksen (N)'!D173)*R173,0))</f>
        <v>0</v>
      </c>
      <c r="V173" s="86">
        <f>IF('Reeksen (N)'!D173&gt;='Reeksen (N)'!B173,0,IF('Reeksen (N)'!AK173&gt;'Reeksen (N)'!AE173,('Reeksen (N)'!B173-'Reeksen (N)'!D173)*R173,0))</f>
        <v>0</v>
      </c>
      <c r="W173" s="97">
        <f t="shared" ca="1" si="25"/>
        <v>0</v>
      </c>
      <c r="X173" s="98">
        <f ca="1">IF('Invoer gegevens (N)'!$C$17=E173,'Invoer gegevens (N)'!$C$10-'Invoer gegevens (N)'!$C$11,IF(C173=1,AC172,0))</f>
        <v>0</v>
      </c>
      <c r="Y173" s="98">
        <f ca="1">IF(C173&gt;=1,X173*VLOOKUP(E173,'Reeksen (N)'!$A$5:$B$76,2),0)</f>
        <v>0</v>
      </c>
      <c r="Z173" s="98">
        <f ca="1">(1-('Invoer gegevens (N)'!$F$20/12))*X173*MIN('Reeksen (N)'!B173,'Reeksen (N)'!D173)</f>
        <v>0</v>
      </c>
      <c r="AA173" s="98">
        <f>IF('Reeksen (N)'!D173&gt;='Reeksen (N)'!B173,0,IF('Reeksen (N)'!AK173&lt;='Reeksen (N)'!AE173,('Reeksen (N)'!B173-'Reeksen (N)'!D173)*X173,0))</f>
        <v>0</v>
      </c>
      <c r="AB173" s="98">
        <f>IF('Reeksen (N)'!D173&gt;='Reeksen (N)'!B173,0,IF('Reeksen (N)'!AK173&gt;'Reeksen (N)'!AE173,('Reeksen (N)'!B173-'Reeksen (N)'!D173)*X173,0))</f>
        <v>0</v>
      </c>
      <c r="AC173" s="99">
        <f t="shared" ca="1" si="26"/>
        <v>0</v>
      </c>
      <c r="AD173" s="98">
        <f ca="1">IF('Invoer gegevens (N)'!$C$17=E173,R173,IF(C173=0,0,AE172))</f>
        <v>0</v>
      </c>
      <c r="AE173" s="98">
        <f t="shared" ca="1" si="27"/>
        <v>0</v>
      </c>
      <c r="AF173" s="98">
        <f ca="1">IF('Invoer gegevens (N)'!$C$17=E173,X173,IF(C173=0,0,AG172))</f>
        <v>0</v>
      </c>
      <c r="AG173" s="98">
        <f t="shared" ca="1" si="28"/>
        <v>0</v>
      </c>
      <c r="AH173" s="68"/>
      <c r="AI173" s="71">
        <f ca="1">IF(C173=1,'Reeksen (N)'!AJ173*((F173-G173+F173)/2)*12+'Reeksen (N)'!AK173*((L173-M173+L173)/2)*12,0)</f>
        <v>0</v>
      </c>
      <c r="AJ173" s="71">
        <f ca="1">-AI173*'Invoer gegevens (N)'!$F$28</f>
        <v>0</v>
      </c>
      <c r="AK173" s="71">
        <f t="shared" ca="1" si="22"/>
        <v>0</v>
      </c>
      <c r="AL173" s="71">
        <f ca="1">IF(C173=1,'Reeksen (N)'!AL173*((F173-G173+F173)/2)*12+'Reeksen (N)'!AM173*((L173-M173+L173)/2)*12,0)</f>
        <v>0</v>
      </c>
      <c r="AM173" s="71">
        <f ca="1">-AL173*'Invoer gegevens (N)'!$F$31</f>
        <v>0</v>
      </c>
      <c r="AN173" s="71">
        <f t="shared" ca="1" si="29"/>
        <v>0</v>
      </c>
      <c r="AO173" s="71">
        <f ca="1">IF(C173=1,(H173+J173+N173+P173)*'Reeksen (N)'!AN173,0)</f>
        <v>0</v>
      </c>
      <c r="AP173" s="71">
        <f ca="1">-IF(C173=1,(H173+J173+N173+P173)*'Hulp - basis'!$O$550*'Reeksen (N)'!H173,0)</f>
        <v>0</v>
      </c>
      <c r="AQ173" s="71">
        <f ca="1">-IF(C173=1,(F173+K173+L173+Q173)/2*'Invoer gegevens (N)'!$I$33*'Reeksen (N)'!J173,0)*2</f>
        <v>0</v>
      </c>
      <c r="AR173" s="71">
        <f ca="1">-IF(C173=1,(I173*'Invoer gegevens (N)'!$I$34)*'Reeksen (N)'!J173,0)</f>
        <v>0</v>
      </c>
      <c r="AS173" s="71">
        <f ca="1">-IF(C173=1,(F173+K173+L173+Q173)/2*'Invoer gegevens (N)'!$I$35*'Reeksen (N)'!L173,0)</f>
        <v>0</v>
      </c>
      <c r="AT173" s="71">
        <f ca="1">-IF(C173=1,IF(E173='Invoer gegevens (N)'!$C$17,'Invoer gegevens (N)'!$C$11,AD173)*'Reeksen (N)'!S173*'Invoer gegevens (N)'!$C$18*'Reeksen (N)'!P173,0)</f>
        <v>0</v>
      </c>
      <c r="AU173" s="71">
        <f ca="1">-IF(C173=1,(F173+K173+L173+Q173)/2*'Invoer gegevens (N)'!$I$36*'Reeksen (N)'!H173,0)</f>
        <v>0</v>
      </c>
      <c r="AV173" s="71">
        <v>0</v>
      </c>
      <c r="AW173" s="71">
        <f t="shared" ca="1" si="30"/>
        <v>0</v>
      </c>
      <c r="AX173" s="71">
        <f ca="1">IF(E173&lt;'Invoer gegevens (N)'!$C$17+15,0,IF(E173&gt;'Invoer gegevens (N)'!$C$17+215,0,AW173))</f>
        <v>0</v>
      </c>
      <c r="AY173" s="71">
        <f ca="1">AX173/(1+'Invoer gegevens (N)'!$F$18)^($AZ173-('Invoer gegevens (N)'!$C$17-'Invoer gegevens (N)'!$C$16))/(1+'Invoer gegevens (N)'!$C$39)^('Invoer gegevens (N)'!$C$17-'Invoer gegevens (N)'!$C$16)</f>
        <v>0</v>
      </c>
      <c r="AZ173" s="68">
        <f ca="1">IF(E173-'Invoer gegevens (N)'!$C$17-14.5&lt;0,0,E173-'Invoer gegevens (N)'!$C$17-14.5)</f>
        <v>153.5</v>
      </c>
    </row>
    <row r="174" spans="2:52" x14ac:dyDescent="0.25">
      <c r="B174" s="70">
        <f t="shared" si="31"/>
        <v>170</v>
      </c>
      <c r="C174" s="67">
        <f ca="1">IF(E174-'Invoer gegevens (N)'!$C$17&lt;0,0,1)</f>
        <v>1</v>
      </c>
      <c r="D174" s="68">
        <f t="shared" si="32"/>
        <v>169.5</v>
      </c>
      <c r="E174" s="108">
        <f ca="1">IF('Invoer gegevens (N)'!$C$16="","",E173+1)</f>
        <v>2188</v>
      </c>
      <c r="F174" s="84">
        <f ca="1">IF('Invoer gegevens (N)'!$C$17=E174,'Invoer gegevens (N)'!$C$10,IF(C174=1,K173,0))</f>
        <v>0</v>
      </c>
      <c r="G174" s="96">
        <f ca="1">IF(C174&gt;=1,F174*VLOOKUP(E174,'Reeksen (N)'!$A$5:$B$76,2),0)</f>
        <v>0</v>
      </c>
      <c r="H174" s="84">
        <f ca="1">(1-('Invoer gegevens (N)'!$F$20/12))*F174*MIN('Reeksen (N)'!B174,'Reeksen (N)'!D174)</f>
        <v>0</v>
      </c>
      <c r="I174" s="84">
        <f>IF('Reeksen (N)'!D174&lt;'Reeksen (N)'!B174,('Reeksen (N)'!B174-'Reeksen (N)'!D174)*F174,0)</f>
        <v>0</v>
      </c>
      <c r="J174" s="84">
        <f ca="1">('Invoer gegevens (N)'!$F$20/12)*F173*MIN('Reeksen (N)'!B173,'Reeksen (N)'!D173)</f>
        <v>0</v>
      </c>
      <c r="K174" s="97">
        <f t="shared" ca="1" si="23"/>
        <v>0</v>
      </c>
      <c r="L174" s="84">
        <f ca="1">IF('Invoer gegevens (N)'!$C$17=E174,0,IF(C174=1,Q173,0))</f>
        <v>0</v>
      </c>
      <c r="M174" s="96">
        <f ca="1">IF(C174&gt;=1,L174*VLOOKUP(E174,'Reeksen (N)'!$A$5:$B$76,2),0)</f>
        <v>0</v>
      </c>
      <c r="N174" s="84">
        <f ca="1">(1-('Invoer gegevens (N)'!$F$20/12))*L174*MIN('Reeksen (N)'!B174,'Reeksen (N)'!D174)</f>
        <v>0</v>
      </c>
      <c r="O174" s="84">
        <f>IF('Reeksen (N)'!D174&lt;'Reeksen (N)'!B174,('Reeksen (N)'!B174-'Reeksen (N)'!D174)*L174,0)</f>
        <v>0</v>
      </c>
      <c r="P174" s="84">
        <f ca="1">('Invoer gegevens (N)'!$F$20/12)*L173*MIN('Reeksen (N)'!B173,'Reeksen (N)'!D173)</f>
        <v>0</v>
      </c>
      <c r="Q174" s="84">
        <f t="shared" ca="1" si="24"/>
        <v>0</v>
      </c>
      <c r="R174" s="82">
        <f ca="1">IF('Invoer gegevens (N)'!$C$17=E174,'Invoer gegevens (N)'!$C$11,IF(C174=1,W173,0))</f>
        <v>0</v>
      </c>
      <c r="S174" s="86">
        <f ca="1">IF(C174&gt;=1,R174*VLOOKUP(E174,'Reeksen (N)'!$A$5:$B$76,2),0)</f>
        <v>0</v>
      </c>
      <c r="T174" s="84">
        <f ca="1">(1-('Invoer gegevens (N)'!$F$20/12))*R174*MIN('Reeksen (N)'!B174,'Reeksen (N)'!D174)</f>
        <v>0</v>
      </c>
      <c r="U174" s="84">
        <f>IF('Reeksen (N)'!D174&gt;='Reeksen (N)'!B174,0,IF('Reeksen (N)'!AK174&lt;='Reeksen (N)'!AE174,('Reeksen (N)'!B174-'Reeksen (N)'!D174)*R174,0))</f>
        <v>0</v>
      </c>
      <c r="V174" s="86">
        <f>IF('Reeksen (N)'!D174&gt;='Reeksen (N)'!B174,0,IF('Reeksen (N)'!AK174&gt;'Reeksen (N)'!AE174,('Reeksen (N)'!B174-'Reeksen (N)'!D174)*R174,0))</f>
        <v>0</v>
      </c>
      <c r="W174" s="97">
        <f t="shared" ca="1" si="25"/>
        <v>0</v>
      </c>
      <c r="X174" s="98">
        <f ca="1">IF('Invoer gegevens (N)'!$C$17=E174,'Invoer gegevens (N)'!$C$10-'Invoer gegevens (N)'!$C$11,IF(C174=1,AC173,0))</f>
        <v>0</v>
      </c>
      <c r="Y174" s="98">
        <f ca="1">IF(C174&gt;=1,X174*VLOOKUP(E174,'Reeksen (N)'!$A$5:$B$76,2),0)</f>
        <v>0</v>
      </c>
      <c r="Z174" s="98">
        <f ca="1">(1-('Invoer gegevens (N)'!$F$20/12))*X174*MIN('Reeksen (N)'!B174,'Reeksen (N)'!D174)</f>
        <v>0</v>
      </c>
      <c r="AA174" s="98">
        <f>IF('Reeksen (N)'!D174&gt;='Reeksen (N)'!B174,0,IF('Reeksen (N)'!AK174&lt;='Reeksen (N)'!AE174,('Reeksen (N)'!B174-'Reeksen (N)'!D174)*X174,0))</f>
        <v>0</v>
      </c>
      <c r="AB174" s="98">
        <f>IF('Reeksen (N)'!D174&gt;='Reeksen (N)'!B174,0,IF('Reeksen (N)'!AK174&gt;'Reeksen (N)'!AE174,('Reeksen (N)'!B174-'Reeksen (N)'!D174)*X174,0))</f>
        <v>0</v>
      </c>
      <c r="AC174" s="99">
        <f t="shared" ca="1" si="26"/>
        <v>0</v>
      </c>
      <c r="AD174" s="98">
        <f ca="1">IF('Invoer gegevens (N)'!$C$17=E174,R174,IF(C174=0,0,AE173))</f>
        <v>0</v>
      </c>
      <c r="AE174" s="98">
        <f t="shared" ca="1" si="27"/>
        <v>0</v>
      </c>
      <c r="AF174" s="98">
        <f ca="1">IF('Invoer gegevens (N)'!$C$17=E174,X174,IF(C174=0,0,AG173))</f>
        <v>0</v>
      </c>
      <c r="AG174" s="98">
        <f t="shared" ca="1" si="28"/>
        <v>0</v>
      </c>
      <c r="AH174" s="68"/>
      <c r="AI174" s="71">
        <f ca="1">IF(C174=1,'Reeksen (N)'!AJ174*((F174-G174+F174)/2)*12+'Reeksen (N)'!AK174*((L174-M174+L174)/2)*12,0)</f>
        <v>0</v>
      </c>
      <c r="AJ174" s="71">
        <f ca="1">-AI174*'Invoer gegevens (N)'!$F$28</f>
        <v>0</v>
      </c>
      <c r="AK174" s="71">
        <f t="shared" ca="1" si="22"/>
        <v>0</v>
      </c>
      <c r="AL174" s="71">
        <f ca="1">IF(C174=1,'Reeksen (N)'!AL174*((F174-G174+F174)/2)*12+'Reeksen (N)'!AM174*((L174-M174+L174)/2)*12,0)</f>
        <v>0</v>
      </c>
      <c r="AM174" s="71">
        <f ca="1">-AL174*'Invoer gegevens (N)'!$F$31</f>
        <v>0</v>
      </c>
      <c r="AN174" s="71">
        <f t="shared" ca="1" si="29"/>
        <v>0</v>
      </c>
      <c r="AO174" s="71">
        <f ca="1">IF(C174=1,(H174+J174+N174+P174)*'Reeksen (N)'!AN174,0)</f>
        <v>0</v>
      </c>
      <c r="AP174" s="71">
        <f ca="1">-IF(C174=1,(H174+J174+N174+P174)*'Hulp - basis'!$O$550*'Reeksen (N)'!H174,0)</f>
        <v>0</v>
      </c>
      <c r="AQ174" s="71">
        <f ca="1">-IF(C174=1,(F174+K174+L174+Q174)/2*'Invoer gegevens (N)'!$I$33*'Reeksen (N)'!J174,0)*2</f>
        <v>0</v>
      </c>
      <c r="AR174" s="71">
        <f ca="1">-IF(C174=1,(I174*'Invoer gegevens (N)'!$I$34)*'Reeksen (N)'!J174,0)</f>
        <v>0</v>
      </c>
      <c r="AS174" s="71">
        <f ca="1">-IF(C174=1,(F174+K174+L174+Q174)/2*'Invoer gegevens (N)'!$I$35*'Reeksen (N)'!L174,0)</f>
        <v>0</v>
      </c>
      <c r="AT174" s="71">
        <f ca="1">-IF(C174=1,IF(E174='Invoer gegevens (N)'!$C$17,'Invoer gegevens (N)'!$C$11,AD174)*'Reeksen (N)'!S174*'Invoer gegevens (N)'!$C$18*'Reeksen (N)'!P174,0)</f>
        <v>0</v>
      </c>
      <c r="AU174" s="71">
        <f ca="1">-IF(C174=1,(F174+K174+L174+Q174)/2*'Invoer gegevens (N)'!$I$36*'Reeksen (N)'!H174,0)</f>
        <v>0</v>
      </c>
      <c r="AV174" s="71">
        <v>0</v>
      </c>
      <c r="AW174" s="71">
        <f t="shared" ca="1" si="30"/>
        <v>0</v>
      </c>
      <c r="AX174" s="71">
        <f ca="1">IF(E174&lt;'Invoer gegevens (N)'!$C$17+15,0,IF(E174&gt;'Invoer gegevens (N)'!$C$17+215,0,AW174))</f>
        <v>0</v>
      </c>
      <c r="AY174" s="71">
        <f ca="1">AX174/(1+'Invoer gegevens (N)'!$F$18)^($AZ174-('Invoer gegevens (N)'!$C$17-'Invoer gegevens (N)'!$C$16))/(1+'Invoer gegevens (N)'!$C$39)^('Invoer gegevens (N)'!$C$17-'Invoer gegevens (N)'!$C$16)</f>
        <v>0</v>
      </c>
      <c r="AZ174" s="68">
        <f ca="1">IF(E174-'Invoer gegevens (N)'!$C$17-14.5&lt;0,0,E174-'Invoer gegevens (N)'!$C$17-14.5)</f>
        <v>154.5</v>
      </c>
    </row>
    <row r="175" spans="2:52" x14ac:dyDescent="0.25">
      <c r="B175" s="70">
        <f t="shared" si="31"/>
        <v>171</v>
      </c>
      <c r="C175" s="67">
        <f ca="1">IF(E175-'Invoer gegevens (N)'!$C$17&lt;0,0,1)</f>
        <v>1</v>
      </c>
      <c r="D175" s="68">
        <f t="shared" si="32"/>
        <v>170.5</v>
      </c>
      <c r="E175" s="108">
        <f ca="1">IF('Invoer gegevens (N)'!$C$16="","",E174+1)</f>
        <v>2189</v>
      </c>
      <c r="F175" s="84">
        <f ca="1">IF('Invoer gegevens (N)'!$C$17=E175,'Invoer gegevens (N)'!$C$10,IF(C175=1,K174,0))</f>
        <v>0</v>
      </c>
      <c r="G175" s="96">
        <f ca="1">IF(C175&gt;=1,F175*VLOOKUP(E175,'Reeksen (N)'!$A$5:$B$76,2),0)</f>
        <v>0</v>
      </c>
      <c r="H175" s="84">
        <f ca="1">(1-('Invoer gegevens (N)'!$F$20/12))*F175*MIN('Reeksen (N)'!B175,'Reeksen (N)'!D175)</f>
        <v>0</v>
      </c>
      <c r="I175" s="84">
        <f>IF('Reeksen (N)'!D175&lt;'Reeksen (N)'!B175,('Reeksen (N)'!B175-'Reeksen (N)'!D175)*F175,0)</f>
        <v>0</v>
      </c>
      <c r="J175" s="84">
        <f ca="1">('Invoer gegevens (N)'!$F$20/12)*F174*MIN('Reeksen (N)'!B174,'Reeksen (N)'!D174)</f>
        <v>0</v>
      </c>
      <c r="K175" s="97">
        <f t="shared" ca="1" si="23"/>
        <v>0</v>
      </c>
      <c r="L175" s="84">
        <f ca="1">IF('Invoer gegevens (N)'!$C$17=E175,0,IF(C175=1,Q174,0))</f>
        <v>0</v>
      </c>
      <c r="M175" s="96">
        <f ca="1">IF(C175&gt;=1,L175*VLOOKUP(E175,'Reeksen (N)'!$A$5:$B$76,2),0)</f>
        <v>0</v>
      </c>
      <c r="N175" s="84">
        <f ca="1">(1-('Invoer gegevens (N)'!$F$20/12))*L175*MIN('Reeksen (N)'!B175,'Reeksen (N)'!D175)</f>
        <v>0</v>
      </c>
      <c r="O175" s="84">
        <f>IF('Reeksen (N)'!D175&lt;'Reeksen (N)'!B175,('Reeksen (N)'!B175-'Reeksen (N)'!D175)*L175,0)</f>
        <v>0</v>
      </c>
      <c r="P175" s="84">
        <f ca="1">('Invoer gegevens (N)'!$F$20/12)*L174*MIN('Reeksen (N)'!B174,'Reeksen (N)'!D174)</f>
        <v>0</v>
      </c>
      <c r="Q175" s="84">
        <f t="shared" ca="1" si="24"/>
        <v>0</v>
      </c>
      <c r="R175" s="82">
        <f ca="1">IF('Invoer gegevens (N)'!$C$17=E175,'Invoer gegevens (N)'!$C$11,IF(C175=1,W174,0))</f>
        <v>0</v>
      </c>
      <c r="S175" s="86">
        <f ca="1">IF(C175&gt;=1,R175*VLOOKUP(E175,'Reeksen (N)'!$A$5:$B$76,2),0)</f>
        <v>0</v>
      </c>
      <c r="T175" s="84">
        <f ca="1">(1-('Invoer gegevens (N)'!$F$20/12))*R175*MIN('Reeksen (N)'!B175,'Reeksen (N)'!D175)</f>
        <v>0</v>
      </c>
      <c r="U175" s="84">
        <f>IF('Reeksen (N)'!D175&gt;='Reeksen (N)'!B175,0,IF('Reeksen (N)'!AK175&lt;='Reeksen (N)'!AE175,('Reeksen (N)'!B175-'Reeksen (N)'!D175)*R175,0))</f>
        <v>0</v>
      </c>
      <c r="V175" s="86">
        <f>IF('Reeksen (N)'!D175&gt;='Reeksen (N)'!B175,0,IF('Reeksen (N)'!AK175&gt;'Reeksen (N)'!AE175,('Reeksen (N)'!B175-'Reeksen (N)'!D175)*R175,0))</f>
        <v>0</v>
      </c>
      <c r="W175" s="97">
        <f t="shared" ca="1" si="25"/>
        <v>0</v>
      </c>
      <c r="X175" s="98">
        <f ca="1">IF('Invoer gegevens (N)'!$C$17=E175,'Invoer gegevens (N)'!$C$10-'Invoer gegevens (N)'!$C$11,IF(C175=1,AC174,0))</f>
        <v>0</v>
      </c>
      <c r="Y175" s="98">
        <f ca="1">IF(C175&gt;=1,X175*VLOOKUP(E175,'Reeksen (N)'!$A$5:$B$76,2),0)</f>
        <v>0</v>
      </c>
      <c r="Z175" s="98">
        <f ca="1">(1-('Invoer gegevens (N)'!$F$20/12))*X175*MIN('Reeksen (N)'!B175,'Reeksen (N)'!D175)</f>
        <v>0</v>
      </c>
      <c r="AA175" s="98">
        <f>IF('Reeksen (N)'!D175&gt;='Reeksen (N)'!B175,0,IF('Reeksen (N)'!AK175&lt;='Reeksen (N)'!AE175,('Reeksen (N)'!B175-'Reeksen (N)'!D175)*X175,0))</f>
        <v>0</v>
      </c>
      <c r="AB175" s="98">
        <f>IF('Reeksen (N)'!D175&gt;='Reeksen (N)'!B175,0,IF('Reeksen (N)'!AK175&gt;'Reeksen (N)'!AE175,('Reeksen (N)'!B175-'Reeksen (N)'!D175)*X175,0))</f>
        <v>0</v>
      </c>
      <c r="AC175" s="99">
        <f t="shared" ca="1" si="26"/>
        <v>0</v>
      </c>
      <c r="AD175" s="98">
        <f ca="1">IF('Invoer gegevens (N)'!$C$17=E175,R175,IF(C175=0,0,AE174))</f>
        <v>0</v>
      </c>
      <c r="AE175" s="98">
        <f t="shared" ca="1" si="27"/>
        <v>0</v>
      </c>
      <c r="AF175" s="98">
        <f ca="1">IF('Invoer gegevens (N)'!$C$17=E175,X175,IF(C175=0,0,AG174))</f>
        <v>0</v>
      </c>
      <c r="AG175" s="98">
        <f t="shared" ca="1" si="28"/>
        <v>0</v>
      </c>
      <c r="AH175" s="68"/>
      <c r="AI175" s="71">
        <f ca="1">IF(C175=1,'Reeksen (N)'!AJ175*((F175-G175+F175)/2)*12+'Reeksen (N)'!AK175*((L175-M175+L175)/2)*12,0)</f>
        <v>0</v>
      </c>
      <c r="AJ175" s="71">
        <f ca="1">-AI175*'Invoer gegevens (N)'!$F$28</f>
        <v>0</v>
      </c>
      <c r="AK175" s="71">
        <f t="shared" ca="1" si="22"/>
        <v>0</v>
      </c>
      <c r="AL175" s="71">
        <f ca="1">IF(C175=1,'Reeksen (N)'!AL175*((F175-G175+F175)/2)*12+'Reeksen (N)'!AM175*((L175-M175+L175)/2)*12,0)</f>
        <v>0</v>
      </c>
      <c r="AM175" s="71">
        <f ca="1">-AL175*'Invoer gegevens (N)'!$F$31</f>
        <v>0</v>
      </c>
      <c r="AN175" s="71">
        <f t="shared" ca="1" si="29"/>
        <v>0</v>
      </c>
      <c r="AO175" s="71">
        <f ca="1">IF(C175=1,(H175+J175+N175+P175)*'Reeksen (N)'!AN175,0)</f>
        <v>0</v>
      </c>
      <c r="AP175" s="71">
        <f ca="1">-IF(C175=1,(H175+J175+N175+P175)*'Hulp - basis'!$O$550*'Reeksen (N)'!H175,0)</f>
        <v>0</v>
      </c>
      <c r="AQ175" s="71">
        <f ca="1">-IF(C175=1,(F175+K175+L175+Q175)/2*'Invoer gegevens (N)'!$I$33*'Reeksen (N)'!J175,0)*2</f>
        <v>0</v>
      </c>
      <c r="AR175" s="71">
        <f ca="1">-IF(C175=1,(I175*'Invoer gegevens (N)'!$I$34)*'Reeksen (N)'!J175,0)</f>
        <v>0</v>
      </c>
      <c r="AS175" s="71">
        <f ca="1">-IF(C175=1,(F175+K175+L175+Q175)/2*'Invoer gegevens (N)'!$I$35*'Reeksen (N)'!L175,0)</f>
        <v>0</v>
      </c>
      <c r="AT175" s="71">
        <f ca="1">-IF(C175=1,IF(E175='Invoer gegevens (N)'!$C$17,'Invoer gegevens (N)'!$C$11,AD175)*'Reeksen (N)'!S175*'Invoer gegevens (N)'!$C$18*'Reeksen (N)'!P175,0)</f>
        <v>0</v>
      </c>
      <c r="AU175" s="71">
        <f ca="1">-IF(C175=1,(F175+K175+L175+Q175)/2*'Invoer gegevens (N)'!$I$36*'Reeksen (N)'!H175,0)</f>
        <v>0</v>
      </c>
      <c r="AV175" s="71">
        <v>0</v>
      </c>
      <c r="AW175" s="71">
        <f t="shared" ca="1" si="30"/>
        <v>0</v>
      </c>
      <c r="AX175" s="71">
        <f ca="1">IF(E175&lt;'Invoer gegevens (N)'!$C$17+15,0,IF(E175&gt;'Invoer gegevens (N)'!$C$17+215,0,AW175))</f>
        <v>0</v>
      </c>
      <c r="AY175" s="71">
        <f ca="1">AX175/(1+'Invoer gegevens (N)'!$F$18)^($AZ175-('Invoer gegevens (N)'!$C$17-'Invoer gegevens (N)'!$C$16))/(1+'Invoer gegevens (N)'!$C$39)^('Invoer gegevens (N)'!$C$17-'Invoer gegevens (N)'!$C$16)</f>
        <v>0</v>
      </c>
      <c r="AZ175" s="68">
        <f ca="1">IF(E175-'Invoer gegevens (N)'!$C$17-14.5&lt;0,0,E175-'Invoer gegevens (N)'!$C$17-14.5)</f>
        <v>155.5</v>
      </c>
    </row>
    <row r="176" spans="2:52" x14ac:dyDescent="0.25">
      <c r="B176" s="70">
        <f t="shared" si="31"/>
        <v>172</v>
      </c>
      <c r="C176" s="67">
        <f ca="1">IF(E176-'Invoer gegevens (N)'!$C$17&lt;0,0,1)</f>
        <v>1</v>
      </c>
      <c r="D176" s="68">
        <f t="shared" si="32"/>
        <v>171.5</v>
      </c>
      <c r="E176" s="108">
        <f ca="1">IF('Invoer gegevens (N)'!$C$16="","",E175+1)</f>
        <v>2190</v>
      </c>
      <c r="F176" s="84">
        <f ca="1">IF('Invoer gegevens (N)'!$C$17=E176,'Invoer gegevens (N)'!$C$10,IF(C176=1,K175,0))</f>
        <v>0</v>
      </c>
      <c r="G176" s="96">
        <f ca="1">IF(C176&gt;=1,F176*VLOOKUP(E176,'Reeksen (N)'!$A$5:$B$76,2),0)</f>
        <v>0</v>
      </c>
      <c r="H176" s="84">
        <f ca="1">(1-('Invoer gegevens (N)'!$F$20/12))*F176*MIN('Reeksen (N)'!B176,'Reeksen (N)'!D176)</f>
        <v>0</v>
      </c>
      <c r="I176" s="84">
        <f>IF('Reeksen (N)'!D176&lt;'Reeksen (N)'!B176,('Reeksen (N)'!B176-'Reeksen (N)'!D176)*F176,0)</f>
        <v>0</v>
      </c>
      <c r="J176" s="84">
        <f ca="1">('Invoer gegevens (N)'!$F$20/12)*F175*MIN('Reeksen (N)'!B175,'Reeksen (N)'!D175)</f>
        <v>0</v>
      </c>
      <c r="K176" s="97">
        <f t="shared" ca="1" si="23"/>
        <v>0</v>
      </c>
      <c r="L176" s="84">
        <f ca="1">IF('Invoer gegevens (N)'!$C$17=E176,0,IF(C176=1,Q175,0))</f>
        <v>0</v>
      </c>
      <c r="M176" s="96">
        <f ca="1">IF(C176&gt;=1,L176*VLOOKUP(E176,'Reeksen (N)'!$A$5:$B$76,2),0)</f>
        <v>0</v>
      </c>
      <c r="N176" s="84">
        <f ca="1">(1-('Invoer gegevens (N)'!$F$20/12))*L176*MIN('Reeksen (N)'!B176,'Reeksen (N)'!D176)</f>
        <v>0</v>
      </c>
      <c r="O176" s="84">
        <f>IF('Reeksen (N)'!D176&lt;'Reeksen (N)'!B176,('Reeksen (N)'!B176-'Reeksen (N)'!D176)*L176,0)</f>
        <v>0</v>
      </c>
      <c r="P176" s="84">
        <f ca="1">('Invoer gegevens (N)'!$F$20/12)*L175*MIN('Reeksen (N)'!B175,'Reeksen (N)'!D175)</f>
        <v>0</v>
      </c>
      <c r="Q176" s="84">
        <f t="shared" ca="1" si="24"/>
        <v>0</v>
      </c>
      <c r="R176" s="82">
        <f ca="1">IF('Invoer gegevens (N)'!$C$17=E176,'Invoer gegevens (N)'!$C$11,IF(C176=1,W175,0))</f>
        <v>0</v>
      </c>
      <c r="S176" s="86">
        <f ca="1">IF(C176&gt;=1,R176*VLOOKUP(E176,'Reeksen (N)'!$A$5:$B$76,2),0)</f>
        <v>0</v>
      </c>
      <c r="T176" s="84">
        <f ca="1">(1-('Invoer gegevens (N)'!$F$20/12))*R176*MIN('Reeksen (N)'!B176,'Reeksen (N)'!D176)</f>
        <v>0</v>
      </c>
      <c r="U176" s="84">
        <f>IF('Reeksen (N)'!D176&gt;='Reeksen (N)'!B176,0,IF('Reeksen (N)'!AK176&lt;='Reeksen (N)'!AE176,('Reeksen (N)'!B176-'Reeksen (N)'!D176)*R176,0))</f>
        <v>0</v>
      </c>
      <c r="V176" s="86">
        <f>IF('Reeksen (N)'!D176&gt;='Reeksen (N)'!B176,0,IF('Reeksen (N)'!AK176&gt;'Reeksen (N)'!AE176,('Reeksen (N)'!B176-'Reeksen (N)'!D176)*R176,0))</f>
        <v>0</v>
      </c>
      <c r="W176" s="97">
        <f t="shared" ca="1" si="25"/>
        <v>0</v>
      </c>
      <c r="X176" s="98">
        <f ca="1">IF('Invoer gegevens (N)'!$C$17=E176,'Invoer gegevens (N)'!$C$10-'Invoer gegevens (N)'!$C$11,IF(C176=1,AC175,0))</f>
        <v>0</v>
      </c>
      <c r="Y176" s="98">
        <f ca="1">IF(C176&gt;=1,X176*VLOOKUP(E176,'Reeksen (N)'!$A$5:$B$76,2),0)</f>
        <v>0</v>
      </c>
      <c r="Z176" s="98">
        <f ca="1">(1-('Invoer gegevens (N)'!$F$20/12))*X176*MIN('Reeksen (N)'!B176,'Reeksen (N)'!D176)</f>
        <v>0</v>
      </c>
      <c r="AA176" s="98">
        <f>IF('Reeksen (N)'!D176&gt;='Reeksen (N)'!B176,0,IF('Reeksen (N)'!AK176&lt;='Reeksen (N)'!AE176,('Reeksen (N)'!B176-'Reeksen (N)'!D176)*X176,0))</f>
        <v>0</v>
      </c>
      <c r="AB176" s="98">
        <f>IF('Reeksen (N)'!D176&gt;='Reeksen (N)'!B176,0,IF('Reeksen (N)'!AK176&gt;'Reeksen (N)'!AE176,('Reeksen (N)'!B176-'Reeksen (N)'!D176)*X176,0))</f>
        <v>0</v>
      </c>
      <c r="AC176" s="99">
        <f t="shared" ca="1" si="26"/>
        <v>0</v>
      </c>
      <c r="AD176" s="98">
        <f ca="1">IF('Invoer gegevens (N)'!$C$17=E176,R176,IF(C176=0,0,AE175))</f>
        <v>0</v>
      </c>
      <c r="AE176" s="98">
        <f t="shared" ca="1" si="27"/>
        <v>0</v>
      </c>
      <c r="AF176" s="98">
        <f ca="1">IF('Invoer gegevens (N)'!$C$17=E176,X176,IF(C176=0,0,AG175))</f>
        <v>0</v>
      </c>
      <c r="AG176" s="98">
        <f t="shared" ca="1" si="28"/>
        <v>0</v>
      </c>
      <c r="AH176" s="68"/>
      <c r="AI176" s="71">
        <f ca="1">IF(C176=1,'Reeksen (N)'!AJ176*((F176-G176+F176)/2)*12+'Reeksen (N)'!AK176*((L176-M176+L176)/2)*12,0)</f>
        <v>0</v>
      </c>
      <c r="AJ176" s="71">
        <f ca="1">-AI176*'Invoer gegevens (N)'!$F$28</f>
        <v>0</v>
      </c>
      <c r="AK176" s="71">
        <f t="shared" ca="1" si="22"/>
        <v>0</v>
      </c>
      <c r="AL176" s="71">
        <f ca="1">IF(C176=1,'Reeksen (N)'!AL176*((F176-G176+F176)/2)*12+'Reeksen (N)'!AM176*((L176-M176+L176)/2)*12,0)</f>
        <v>0</v>
      </c>
      <c r="AM176" s="71">
        <f ca="1">-AL176*'Invoer gegevens (N)'!$F$31</f>
        <v>0</v>
      </c>
      <c r="AN176" s="71">
        <f t="shared" ca="1" si="29"/>
        <v>0</v>
      </c>
      <c r="AO176" s="71">
        <f ca="1">IF(C176=1,(H176+J176+N176+P176)*'Reeksen (N)'!AN176,0)</f>
        <v>0</v>
      </c>
      <c r="AP176" s="71">
        <f ca="1">-IF(C176=1,(H176+J176+N176+P176)*'Hulp - basis'!$O$550*'Reeksen (N)'!H176,0)</f>
        <v>0</v>
      </c>
      <c r="AQ176" s="71">
        <f ca="1">-IF(C176=1,(F176+K176+L176+Q176)/2*'Invoer gegevens (N)'!$I$33*'Reeksen (N)'!J176,0)*2</f>
        <v>0</v>
      </c>
      <c r="AR176" s="71">
        <f ca="1">-IF(C176=1,(I176*'Invoer gegevens (N)'!$I$34)*'Reeksen (N)'!J176,0)</f>
        <v>0</v>
      </c>
      <c r="AS176" s="71">
        <f ca="1">-IF(C176=1,(F176+K176+L176+Q176)/2*'Invoer gegevens (N)'!$I$35*'Reeksen (N)'!L176,0)</f>
        <v>0</v>
      </c>
      <c r="AT176" s="71">
        <f ca="1">-IF(C176=1,IF(E176='Invoer gegevens (N)'!$C$17,'Invoer gegevens (N)'!$C$11,AD176)*'Reeksen (N)'!S176*'Invoer gegevens (N)'!$C$18*'Reeksen (N)'!P176,0)</f>
        <v>0</v>
      </c>
      <c r="AU176" s="71">
        <f ca="1">-IF(C176=1,(F176+K176+L176+Q176)/2*'Invoer gegevens (N)'!$I$36*'Reeksen (N)'!H176,0)</f>
        <v>0</v>
      </c>
      <c r="AV176" s="71">
        <v>0</v>
      </c>
      <c r="AW176" s="71">
        <f t="shared" ca="1" si="30"/>
        <v>0</v>
      </c>
      <c r="AX176" s="71">
        <f ca="1">IF(E176&lt;'Invoer gegevens (N)'!$C$17+15,0,IF(E176&gt;'Invoer gegevens (N)'!$C$17+215,0,AW176))</f>
        <v>0</v>
      </c>
      <c r="AY176" s="71">
        <f ca="1">AX176/(1+'Invoer gegevens (N)'!$F$18)^($AZ176-('Invoer gegevens (N)'!$C$17-'Invoer gegevens (N)'!$C$16))/(1+'Invoer gegevens (N)'!$C$39)^('Invoer gegevens (N)'!$C$17-'Invoer gegevens (N)'!$C$16)</f>
        <v>0</v>
      </c>
      <c r="AZ176" s="68">
        <f ca="1">IF(E176-'Invoer gegevens (N)'!$C$17-14.5&lt;0,0,E176-'Invoer gegevens (N)'!$C$17-14.5)</f>
        <v>156.5</v>
      </c>
    </row>
    <row r="177" spans="2:52" x14ac:dyDescent="0.25">
      <c r="B177" s="70">
        <f t="shared" si="31"/>
        <v>173</v>
      </c>
      <c r="C177" s="67">
        <f ca="1">IF(E177-'Invoer gegevens (N)'!$C$17&lt;0,0,1)</f>
        <v>1</v>
      </c>
      <c r="D177" s="68">
        <f t="shared" si="32"/>
        <v>172.5</v>
      </c>
      <c r="E177" s="108">
        <f ca="1">IF('Invoer gegevens (N)'!$C$16="","",E176+1)</f>
        <v>2191</v>
      </c>
      <c r="F177" s="84">
        <f ca="1">IF('Invoer gegevens (N)'!$C$17=E177,'Invoer gegevens (N)'!$C$10,IF(C177=1,K176,0))</f>
        <v>0</v>
      </c>
      <c r="G177" s="96">
        <f ca="1">IF(C177&gt;=1,F177*VLOOKUP(E177,'Reeksen (N)'!$A$5:$B$76,2),0)</f>
        <v>0</v>
      </c>
      <c r="H177" s="84">
        <f ca="1">(1-('Invoer gegevens (N)'!$F$20/12))*F177*MIN('Reeksen (N)'!B177,'Reeksen (N)'!D177)</f>
        <v>0</v>
      </c>
      <c r="I177" s="84">
        <f>IF('Reeksen (N)'!D177&lt;'Reeksen (N)'!B177,('Reeksen (N)'!B177-'Reeksen (N)'!D177)*F177,0)</f>
        <v>0</v>
      </c>
      <c r="J177" s="84">
        <f ca="1">('Invoer gegevens (N)'!$F$20/12)*F176*MIN('Reeksen (N)'!B176,'Reeksen (N)'!D176)</f>
        <v>0</v>
      </c>
      <c r="K177" s="97">
        <f t="shared" ca="1" si="23"/>
        <v>0</v>
      </c>
      <c r="L177" s="84">
        <f ca="1">IF('Invoer gegevens (N)'!$C$17=E177,0,IF(C177=1,Q176,0))</f>
        <v>0</v>
      </c>
      <c r="M177" s="96">
        <f ca="1">IF(C177&gt;=1,L177*VLOOKUP(E177,'Reeksen (N)'!$A$5:$B$76,2),0)</f>
        <v>0</v>
      </c>
      <c r="N177" s="84">
        <f ca="1">(1-('Invoer gegevens (N)'!$F$20/12))*L177*MIN('Reeksen (N)'!B177,'Reeksen (N)'!D177)</f>
        <v>0</v>
      </c>
      <c r="O177" s="84">
        <f>IF('Reeksen (N)'!D177&lt;'Reeksen (N)'!B177,('Reeksen (N)'!B177-'Reeksen (N)'!D177)*L177,0)</f>
        <v>0</v>
      </c>
      <c r="P177" s="84">
        <f ca="1">('Invoer gegevens (N)'!$F$20/12)*L176*MIN('Reeksen (N)'!B176,'Reeksen (N)'!D176)</f>
        <v>0</v>
      </c>
      <c r="Q177" s="84">
        <f t="shared" ca="1" si="24"/>
        <v>0</v>
      </c>
      <c r="R177" s="82">
        <f ca="1">IF('Invoer gegevens (N)'!$C$17=E177,'Invoer gegevens (N)'!$C$11,IF(C177=1,W176,0))</f>
        <v>0</v>
      </c>
      <c r="S177" s="86">
        <f ca="1">IF(C177&gt;=1,R177*VLOOKUP(E177,'Reeksen (N)'!$A$5:$B$76,2),0)</f>
        <v>0</v>
      </c>
      <c r="T177" s="84">
        <f ca="1">(1-('Invoer gegevens (N)'!$F$20/12))*R177*MIN('Reeksen (N)'!B177,'Reeksen (N)'!D177)</f>
        <v>0</v>
      </c>
      <c r="U177" s="84">
        <f>IF('Reeksen (N)'!D177&gt;='Reeksen (N)'!B177,0,IF('Reeksen (N)'!AK177&lt;='Reeksen (N)'!AE177,('Reeksen (N)'!B177-'Reeksen (N)'!D177)*R177,0))</f>
        <v>0</v>
      </c>
      <c r="V177" s="86">
        <f>IF('Reeksen (N)'!D177&gt;='Reeksen (N)'!B177,0,IF('Reeksen (N)'!AK177&gt;'Reeksen (N)'!AE177,('Reeksen (N)'!B177-'Reeksen (N)'!D177)*R177,0))</f>
        <v>0</v>
      </c>
      <c r="W177" s="97">
        <f t="shared" ca="1" si="25"/>
        <v>0</v>
      </c>
      <c r="X177" s="98">
        <f ca="1">IF('Invoer gegevens (N)'!$C$17=E177,'Invoer gegevens (N)'!$C$10-'Invoer gegevens (N)'!$C$11,IF(C177=1,AC176,0))</f>
        <v>0</v>
      </c>
      <c r="Y177" s="98">
        <f ca="1">IF(C177&gt;=1,X177*VLOOKUP(E177,'Reeksen (N)'!$A$5:$B$76,2),0)</f>
        <v>0</v>
      </c>
      <c r="Z177" s="98">
        <f ca="1">(1-('Invoer gegevens (N)'!$F$20/12))*X177*MIN('Reeksen (N)'!B177,'Reeksen (N)'!D177)</f>
        <v>0</v>
      </c>
      <c r="AA177" s="98">
        <f>IF('Reeksen (N)'!D177&gt;='Reeksen (N)'!B177,0,IF('Reeksen (N)'!AK177&lt;='Reeksen (N)'!AE177,('Reeksen (N)'!B177-'Reeksen (N)'!D177)*X177,0))</f>
        <v>0</v>
      </c>
      <c r="AB177" s="98">
        <f>IF('Reeksen (N)'!D177&gt;='Reeksen (N)'!B177,0,IF('Reeksen (N)'!AK177&gt;'Reeksen (N)'!AE177,('Reeksen (N)'!B177-'Reeksen (N)'!D177)*X177,0))</f>
        <v>0</v>
      </c>
      <c r="AC177" s="99">
        <f t="shared" ca="1" si="26"/>
        <v>0</v>
      </c>
      <c r="AD177" s="98">
        <f ca="1">IF('Invoer gegevens (N)'!$C$17=E177,R177,IF(C177=0,0,AE176))</f>
        <v>0</v>
      </c>
      <c r="AE177" s="98">
        <f t="shared" ca="1" si="27"/>
        <v>0</v>
      </c>
      <c r="AF177" s="98">
        <f ca="1">IF('Invoer gegevens (N)'!$C$17=E177,X177,IF(C177=0,0,AG176))</f>
        <v>0</v>
      </c>
      <c r="AG177" s="98">
        <f t="shared" ca="1" si="28"/>
        <v>0</v>
      </c>
      <c r="AH177" s="68"/>
      <c r="AI177" s="71">
        <f ca="1">IF(C177=1,'Reeksen (N)'!AJ177*((F177-G177+F177)/2)*12+'Reeksen (N)'!AK177*((L177-M177+L177)/2)*12,0)</f>
        <v>0</v>
      </c>
      <c r="AJ177" s="71">
        <f ca="1">-AI177*'Invoer gegevens (N)'!$F$28</f>
        <v>0</v>
      </c>
      <c r="AK177" s="71">
        <f t="shared" ca="1" si="22"/>
        <v>0</v>
      </c>
      <c r="AL177" s="71">
        <f ca="1">IF(C177=1,'Reeksen (N)'!AL177*((F177-G177+F177)/2)*12+'Reeksen (N)'!AM177*((L177-M177+L177)/2)*12,0)</f>
        <v>0</v>
      </c>
      <c r="AM177" s="71">
        <f ca="1">-AL177*'Invoer gegevens (N)'!$F$31</f>
        <v>0</v>
      </c>
      <c r="AN177" s="71">
        <f t="shared" ca="1" si="29"/>
        <v>0</v>
      </c>
      <c r="AO177" s="71">
        <f ca="1">IF(C177=1,(H177+J177+N177+P177)*'Reeksen (N)'!AN177,0)</f>
        <v>0</v>
      </c>
      <c r="AP177" s="71">
        <f ca="1">-IF(C177=1,(H177+J177+N177+P177)*'Hulp - basis'!$O$550*'Reeksen (N)'!H177,0)</f>
        <v>0</v>
      </c>
      <c r="AQ177" s="71">
        <f ca="1">-IF(C177=1,(F177+K177+L177+Q177)/2*'Invoer gegevens (N)'!$I$33*'Reeksen (N)'!J177,0)*2</f>
        <v>0</v>
      </c>
      <c r="AR177" s="71">
        <f ca="1">-IF(C177=1,(I177*'Invoer gegevens (N)'!$I$34)*'Reeksen (N)'!J177,0)</f>
        <v>0</v>
      </c>
      <c r="AS177" s="71">
        <f ca="1">-IF(C177=1,(F177+K177+L177+Q177)/2*'Invoer gegevens (N)'!$I$35*'Reeksen (N)'!L177,0)</f>
        <v>0</v>
      </c>
      <c r="AT177" s="71">
        <f ca="1">-IF(C177=1,IF(E177='Invoer gegevens (N)'!$C$17,'Invoer gegevens (N)'!$C$11,AD177)*'Reeksen (N)'!S177*'Invoer gegevens (N)'!$C$18*'Reeksen (N)'!P177,0)</f>
        <v>0</v>
      </c>
      <c r="AU177" s="71">
        <f ca="1">-IF(C177=1,(F177+K177+L177+Q177)/2*'Invoer gegevens (N)'!$I$36*'Reeksen (N)'!H177,0)</f>
        <v>0</v>
      </c>
      <c r="AV177" s="71">
        <v>0</v>
      </c>
      <c r="AW177" s="71">
        <f t="shared" ca="1" si="30"/>
        <v>0</v>
      </c>
      <c r="AX177" s="71">
        <f ca="1">IF(E177&lt;'Invoer gegevens (N)'!$C$17+15,0,IF(E177&gt;'Invoer gegevens (N)'!$C$17+215,0,AW177))</f>
        <v>0</v>
      </c>
      <c r="AY177" s="71">
        <f ca="1">AX177/(1+'Invoer gegevens (N)'!$F$18)^($AZ177-('Invoer gegevens (N)'!$C$17-'Invoer gegevens (N)'!$C$16))/(1+'Invoer gegevens (N)'!$C$39)^('Invoer gegevens (N)'!$C$17-'Invoer gegevens (N)'!$C$16)</f>
        <v>0</v>
      </c>
      <c r="AZ177" s="68">
        <f ca="1">IF(E177-'Invoer gegevens (N)'!$C$17-14.5&lt;0,0,E177-'Invoer gegevens (N)'!$C$17-14.5)</f>
        <v>157.5</v>
      </c>
    </row>
    <row r="178" spans="2:52" x14ac:dyDescent="0.25">
      <c r="B178" s="70">
        <f t="shared" si="31"/>
        <v>174</v>
      </c>
      <c r="C178" s="67">
        <f ca="1">IF(E178-'Invoer gegevens (N)'!$C$17&lt;0,0,1)</f>
        <v>1</v>
      </c>
      <c r="D178" s="68">
        <f t="shared" si="32"/>
        <v>173.5</v>
      </c>
      <c r="E178" s="108">
        <f ca="1">IF('Invoer gegevens (N)'!$C$16="","",E177+1)</f>
        <v>2192</v>
      </c>
      <c r="F178" s="84">
        <f ca="1">IF('Invoer gegevens (N)'!$C$17=E178,'Invoer gegevens (N)'!$C$10,IF(C178=1,K177,0))</f>
        <v>0</v>
      </c>
      <c r="G178" s="96">
        <f ca="1">IF(C178&gt;=1,F178*VLOOKUP(E178,'Reeksen (N)'!$A$5:$B$76,2),0)</f>
        <v>0</v>
      </c>
      <c r="H178" s="84">
        <f ca="1">(1-('Invoer gegevens (N)'!$F$20/12))*F178*MIN('Reeksen (N)'!B178,'Reeksen (N)'!D178)</f>
        <v>0</v>
      </c>
      <c r="I178" s="84">
        <f>IF('Reeksen (N)'!D178&lt;'Reeksen (N)'!B178,('Reeksen (N)'!B178-'Reeksen (N)'!D178)*F178,0)</f>
        <v>0</v>
      </c>
      <c r="J178" s="84">
        <f ca="1">('Invoer gegevens (N)'!$F$20/12)*F177*MIN('Reeksen (N)'!B177,'Reeksen (N)'!D177)</f>
        <v>0</v>
      </c>
      <c r="K178" s="97">
        <f t="shared" ca="1" si="23"/>
        <v>0</v>
      </c>
      <c r="L178" s="84">
        <f ca="1">IF('Invoer gegevens (N)'!$C$17=E178,0,IF(C178=1,Q177,0))</f>
        <v>0</v>
      </c>
      <c r="M178" s="96">
        <f ca="1">IF(C178&gt;=1,L178*VLOOKUP(E178,'Reeksen (N)'!$A$5:$B$76,2),0)</f>
        <v>0</v>
      </c>
      <c r="N178" s="84">
        <f ca="1">(1-('Invoer gegevens (N)'!$F$20/12))*L178*MIN('Reeksen (N)'!B178,'Reeksen (N)'!D178)</f>
        <v>0</v>
      </c>
      <c r="O178" s="84">
        <f>IF('Reeksen (N)'!D178&lt;'Reeksen (N)'!B178,('Reeksen (N)'!B178-'Reeksen (N)'!D178)*L178,0)</f>
        <v>0</v>
      </c>
      <c r="P178" s="84">
        <f ca="1">('Invoer gegevens (N)'!$F$20/12)*L177*MIN('Reeksen (N)'!B177,'Reeksen (N)'!D177)</f>
        <v>0</v>
      </c>
      <c r="Q178" s="84">
        <f t="shared" ca="1" si="24"/>
        <v>0</v>
      </c>
      <c r="R178" s="82">
        <f ca="1">IF('Invoer gegevens (N)'!$C$17=E178,'Invoer gegevens (N)'!$C$11,IF(C178=1,W177,0))</f>
        <v>0</v>
      </c>
      <c r="S178" s="86">
        <f ca="1">IF(C178&gt;=1,R178*VLOOKUP(E178,'Reeksen (N)'!$A$5:$B$76,2),0)</f>
        <v>0</v>
      </c>
      <c r="T178" s="84">
        <f ca="1">(1-('Invoer gegevens (N)'!$F$20/12))*R178*MIN('Reeksen (N)'!B178,'Reeksen (N)'!D178)</f>
        <v>0</v>
      </c>
      <c r="U178" s="84">
        <f>IF('Reeksen (N)'!D178&gt;='Reeksen (N)'!B178,0,IF('Reeksen (N)'!AK178&lt;='Reeksen (N)'!AE178,('Reeksen (N)'!B178-'Reeksen (N)'!D178)*R178,0))</f>
        <v>0</v>
      </c>
      <c r="V178" s="86">
        <f>IF('Reeksen (N)'!D178&gt;='Reeksen (N)'!B178,0,IF('Reeksen (N)'!AK178&gt;'Reeksen (N)'!AE178,('Reeksen (N)'!B178-'Reeksen (N)'!D178)*R178,0))</f>
        <v>0</v>
      </c>
      <c r="W178" s="97">
        <f t="shared" ca="1" si="25"/>
        <v>0</v>
      </c>
      <c r="X178" s="98">
        <f ca="1">IF('Invoer gegevens (N)'!$C$17=E178,'Invoer gegevens (N)'!$C$10-'Invoer gegevens (N)'!$C$11,IF(C178=1,AC177,0))</f>
        <v>0</v>
      </c>
      <c r="Y178" s="98">
        <f ca="1">IF(C178&gt;=1,X178*VLOOKUP(E178,'Reeksen (N)'!$A$5:$B$76,2),0)</f>
        <v>0</v>
      </c>
      <c r="Z178" s="98">
        <f ca="1">(1-('Invoer gegevens (N)'!$F$20/12))*X178*MIN('Reeksen (N)'!B178,'Reeksen (N)'!D178)</f>
        <v>0</v>
      </c>
      <c r="AA178" s="98">
        <f>IF('Reeksen (N)'!D178&gt;='Reeksen (N)'!B178,0,IF('Reeksen (N)'!AK178&lt;='Reeksen (N)'!AE178,('Reeksen (N)'!B178-'Reeksen (N)'!D178)*X178,0))</f>
        <v>0</v>
      </c>
      <c r="AB178" s="98">
        <f>IF('Reeksen (N)'!D178&gt;='Reeksen (N)'!B178,0,IF('Reeksen (N)'!AK178&gt;'Reeksen (N)'!AE178,('Reeksen (N)'!B178-'Reeksen (N)'!D178)*X178,0))</f>
        <v>0</v>
      </c>
      <c r="AC178" s="99">
        <f t="shared" ca="1" si="26"/>
        <v>0</v>
      </c>
      <c r="AD178" s="98">
        <f ca="1">IF('Invoer gegevens (N)'!$C$17=E178,R178,IF(C178=0,0,AE177))</f>
        <v>0</v>
      </c>
      <c r="AE178" s="98">
        <f t="shared" ca="1" si="27"/>
        <v>0</v>
      </c>
      <c r="AF178" s="98">
        <f ca="1">IF('Invoer gegevens (N)'!$C$17=E178,X178,IF(C178=0,0,AG177))</f>
        <v>0</v>
      </c>
      <c r="AG178" s="98">
        <f t="shared" ca="1" si="28"/>
        <v>0</v>
      </c>
      <c r="AH178" s="68"/>
      <c r="AI178" s="71">
        <f ca="1">IF(C178=1,'Reeksen (N)'!AJ178*((F178-G178+F178)/2)*12+'Reeksen (N)'!AK178*((L178-M178+L178)/2)*12,0)</f>
        <v>0</v>
      </c>
      <c r="AJ178" s="71">
        <f ca="1">-AI178*'Invoer gegevens (N)'!$F$28</f>
        <v>0</v>
      </c>
      <c r="AK178" s="71">
        <f t="shared" ca="1" si="22"/>
        <v>0</v>
      </c>
      <c r="AL178" s="71">
        <f ca="1">IF(C178=1,'Reeksen (N)'!AL178*((F178-G178+F178)/2)*12+'Reeksen (N)'!AM178*((L178-M178+L178)/2)*12,0)</f>
        <v>0</v>
      </c>
      <c r="AM178" s="71">
        <f ca="1">-AL178*'Invoer gegevens (N)'!$F$31</f>
        <v>0</v>
      </c>
      <c r="AN178" s="71">
        <f t="shared" ca="1" si="29"/>
        <v>0</v>
      </c>
      <c r="AO178" s="71">
        <f ca="1">IF(C178=1,(H178+J178+N178+P178)*'Reeksen (N)'!AN178,0)</f>
        <v>0</v>
      </c>
      <c r="AP178" s="71">
        <f ca="1">-IF(C178=1,(H178+J178+N178+P178)*'Hulp - basis'!$O$550*'Reeksen (N)'!H178,0)</f>
        <v>0</v>
      </c>
      <c r="AQ178" s="71">
        <f ca="1">-IF(C178=1,(F178+K178+L178+Q178)/2*'Invoer gegevens (N)'!$I$33*'Reeksen (N)'!J178,0)*2</f>
        <v>0</v>
      </c>
      <c r="AR178" s="71">
        <f ca="1">-IF(C178=1,(I178*'Invoer gegevens (N)'!$I$34)*'Reeksen (N)'!J178,0)</f>
        <v>0</v>
      </c>
      <c r="AS178" s="71">
        <f ca="1">-IF(C178=1,(F178+K178+L178+Q178)/2*'Invoer gegevens (N)'!$I$35*'Reeksen (N)'!L178,0)</f>
        <v>0</v>
      </c>
      <c r="AT178" s="71">
        <f ca="1">-IF(C178=1,IF(E178='Invoer gegevens (N)'!$C$17,'Invoer gegevens (N)'!$C$11,AD178)*'Reeksen (N)'!S178*'Invoer gegevens (N)'!$C$18*'Reeksen (N)'!P178,0)</f>
        <v>0</v>
      </c>
      <c r="AU178" s="71">
        <f ca="1">-IF(C178=1,(F178+K178+L178+Q178)/2*'Invoer gegevens (N)'!$I$36*'Reeksen (N)'!H178,0)</f>
        <v>0</v>
      </c>
      <c r="AV178" s="71">
        <v>0</v>
      </c>
      <c r="AW178" s="71">
        <f t="shared" ca="1" si="30"/>
        <v>0</v>
      </c>
      <c r="AX178" s="71">
        <f ca="1">IF(E178&lt;'Invoer gegevens (N)'!$C$17+15,0,IF(E178&gt;'Invoer gegevens (N)'!$C$17+215,0,AW178))</f>
        <v>0</v>
      </c>
      <c r="AY178" s="71">
        <f ca="1">AX178/(1+'Invoer gegevens (N)'!$F$18)^($AZ178-('Invoer gegevens (N)'!$C$17-'Invoer gegevens (N)'!$C$16))/(1+'Invoer gegevens (N)'!$C$39)^('Invoer gegevens (N)'!$C$17-'Invoer gegevens (N)'!$C$16)</f>
        <v>0</v>
      </c>
      <c r="AZ178" s="68">
        <f ca="1">IF(E178-'Invoer gegevens (N)'!$C$17-14.5&lt;0,0,E178-'Invoer gegevens (N)'!$C$17-14.5)</f>
        <v>158.5</v>
      </c>
    </row>
    <row r="179" spans="2:52" x14ac:dyDescent="0.25">
      <c r="B179" s="70">
        <f t="shared" si="31"/>
        <v>175</v>
      </c>
      <c r="C179" s="67">
        <f ca="1">IF(E179-'Invoer gegevens (N)'!$C$17&lt;0,0,1)</f>
        <v>1</v>
      </c>
      <c r="D179" s="68">
        <f t="shared" si="32"/>
        <v>174.5</v>
      </c>
      <c r="E179" s="108">
        <f ca="1">IF('Invoer gegevens (N)'!$C$16="","",E178+1)</f>
        <v>2193</v>
      </c>
      <c r="F179" s="84">
        <f ca="1">IF('Invoer gegevens (N)'!$C$17=E179,'Invoer gegevens (N)'!$C$10,IF(C179=1,K178,0))</f>
        <v>0</v>
      </c>
      <c r="G179" s="96">
        <f ca="1">IF(C179&gt;=1,F179*VLOOKUP(E179,'Reeksen (N)'!$A$5:$B$76,2),0)</f>
        <v>0</v>
      </c>
      <c r="H179" s="84">
        <f ca="1">(1-('Invoer gegevens (N)'!$F$20/12))*F179*MIN('Reeksen (N)'!B179,'Reeksen (N)'!D179)</f>
        <v>0</v>
      </c>
      <c r="I179" s="84">
        <f>IF('Reeksen (N)'!D179&lt;'Reeksen (N)'!B179,('Reeksen (N)'!B179-'Reeksen (N)'!D179)*F179,0)</f>
        <v>0</v>
      </c>
      <c r="J179" s="84">
        <f ca="1">('Invoer gegevens (N)'!$F$20/12)*F178*MIN('Reeksen (N)'!B178,'Reeksen (N)'!D178)</f>
        <v>0</v>
      </c>
      <c r="K179" s="97">
        <f t="shared" ca="1" si="23"/>
        <v>0</v>
      </c>
      <c r="L179" s="84">
        <f ca="1">IF('Invoer gegevens (N)'!$C$17=E179,0,IF(C179=1,Q178,0))</f>
        <v>0</v>
      </c>
      <c r="M179" s="96">
        <f ca="1">IF(C179&gt;=1,L179*VLOOKUP(E179,'Reeksen (N)'!$A$5:$B$76,2),0)</f>
        <v>0</v>
      </c>
      <c r="N179" s="84">
        <f ca="1">(1-('Invoer gegevens (N)'!$F$20/12))*L179*MIN('Reeksen (N)'!B179,'Reeksen (N)'!D179)</f>
        <v>0</v>
      </c>
      <c r="O179" s="84">
        <f>IF('Reeksen (N)'!D179&lt;'Reeksen (N)'!B179,('Reeksen (N)'!B179-'Reeksen (N)'!D179)*L179,0)</f>
        <v>0</v>
      </c>
      <c r="P179" s="84">
        <f ca="1">('Invoer gegevens (N)'!$F$20/12)*L178*MIN('Reeksen (N)'!B178,'Reeksen (N)'!D178)</f>
        <v>0</v>
      </c>
      <c r="Q179" s="84">
        <f t="shared" ca="1" si="24"/>
        <v>0</v>
      </c>
      <c r="R179" s="82">
        <f ca="1">IF('Invoer gegevens (N)'!$C$17=E179,'Invoer gegevens (N)'!$C$11,IF(C179=1,W178,0))</f>
        <v>0</v>
      </c>
      <c r="S179" s="86">
        <f ca="1">IF(C179&gt;=1,R179*VLOOKUP(E179,'Reeksen (N)'!$A$5:$B$76,2),0)</f>
        <v>0</v>
      </c>
      <c r="T179" s="84">
        <f ca="1">(1-('Invoer gegevens (N)'!$F$20/12))*R179*MIN('Reeksen (N)'!B179,'Reeksen (N)'!D179)</f>
        <v>0</v>
      </c>
      <c r="U179" s="84">
        <f>IF('Reeksen (N)'!D179&gt;='Reeksen (N)'!B179,0,IF('Reeksen (N)'!AK179&lt;='Reeksen (N)'!AE179,('Reeksen (N)'!B179-'Reeksen (N)'!D179)*R179,0))</f>
        <v>0</v>
      </c>
      <c r="V179" s="86">
        <f>IF('Reeksen (N)'!D179&gt;='Reeksen (N)'!B179,0,IF('Reeksen (N)'!AK179&gt;'Reeksen (N)'!AE179,('Reeksen (N)'!B179-'Reeksen (N)'!D179)*R179,0))</f>
        <v>0</v>
      </c>
      <c r="W179" s="97">
        <f t="shared" ca="1" si="25"/>
        <v>0</v>
      </c>
      <c r="X179" s="98">
        <f ca="1">IF('Invoer gegevens (N)'!$C$17=E179,'Invoer gegevens (N)'!$C$10-'Invoer gegevens (N)'!$C$11,IF(C179=1,AC178,0))</f>
        <v>0</v>
      </c>
      <c r="Y179" s="98">
        <f ca="1">IF(C179&gt;=1,X179*VLOOKUP(E179,'Reeksen (N)'!$A$5:$B$76,2),0)</f>
        <v>0</v>
      </c>
      <c r="Z179" s="98">
        <f ca="1">(1-('Invoer gegevens (N)'!$F$20/12))*X179*MIN('Reeksen (N)'!B179,'Reeksen (N)'!D179)</f>
        <v>0</v>
      </c>
      <c r="AA179" s="98">
        <f>IF('Reeksen (N)'!D179&gt;='Reeksen (N)'!B179,0,IF('Reeksen (N)'!AK179&lt;='Reeksen (N)'!AE179,('Reeksen (N)'!B179-'Reeksen (N)'!D179)*X179,0))</f>
        <v>0</v>
      </c>
      <c r="AB179" s="98">
        <f>IF('Reeksen (N)'!D179&gt;='Reeksen (N)'!B179,0,IF('Reeksen (N)'!AK179&gt;'Reeksen (N)'!AE179,('Reeksen (N)'!B179-'Reeksen (N)'!D179)*X179,0))</f>
        <v>0</v>
      </c>
      <c r="AC179" s="99">
        <f t="shared" ca="1" si="26"/>
        <v>0</v>
      </c>
      <c r="AD179" s="98">
        <f ca="1">IF('Invoer gegevens (N)'!$C$17=E179,R179,IF(C179=0,0,AE178))</f>
        <v>0</v>
      </c>
      <c r="AE179" s="98">
        <f t="shared" ca="1" si="27"/>
        <v>0</v>
      </c>
      <c r="AF179" s="98">
        <f ca="1">IF('Invoer gegevens (N)'!$C$17=E179,X179,IF(C179=0,0,AG178))</f>
        <v>0</v>
      </c>
      <c r="AG179" s="98">
        <f t="shared" ca="1" si="28"/>
        <v>0</v>
      </c>
      <c r="AH179" s="68"/>
      <c r="AI179" s="71">
        <f ca="1">IF(C179=1,'Reeksen (N)'!AJ179*((F179-G179+F179)/2)*12+'Reeksen (N)'!AK179*((L179-M179+L179)/2)*12,0)</f>
        <v>0</v>
      </c>
      <c r="AJ179" s="71">
        <f ca="1">-AI179*'Invoer gegevens (N)'!$F$28</f>
        <v>0</v>
      </c>
      <c r="AK179" s="71">
        <f t="shared" ca="1" si="22"/>
        <v>0</v>
      </c>
      <c r="AL179" s="71">
        <f ca="1">IF(C179=1,'Reeksen (N)'!AL179*((F179-G179+F179)/2)*12+'Reeksen (N)'!AM179*((L179-M179+L179)/2)*12,0)</f>
        <v>0</v>
      </c>
      <c r="AM179" s="71">
        <f ca="1">-AL179*'Invoer gegevens (N)'!$F$31</f>
        <v>0</v>
      </c>
      <c r="AN179" s="71">
        <f t="shared" ca="1" si="29"/>
        <v>0</v>
      </c>
      <c r="AO179" s="71">
        <f ca="1">IF(C179=1,(H179+J179+N179+P179)*'Reeksen (N)'!AN179,0)</f>
        <v>0</v>
      </c>
      <c r="AP179" s="71">
        <f ca="1">-IF(C179=1,(H179+J179+N179+P179)*'Hulp - basis'!$O$550*'Reeksen (N)'!H179,0)</f>
        <v>0</v>
      </c>
      <c r="AQ179" s="71">
        <f ca="1">-IF(C179=1,(F179+K179+L179+Q179)/2*'Invoer gegevens (N)'!$I$33*'Reeksen (N)'!J179,0)*2</f>
        <v>0</v>
      </c>
      <c r="AR179" s="71">
        <f ca="1">-IF(C179=1,(I179*'Invoer gegevens (N)'!$I$34)*'Reeksen (N)'!J179,0)</f>
        <v>0</v>
      </c>
      <c r="AS179" s="71">
        <f ca="1">-IF(C179=1,(F179+K179+L179+Q179)/2*'Invoer gegevens (N)'!$I$35*'Reeksen (N)'!L179,0)</f>
        <v>0</v>
      </c>
      <c r="AT179" s="71">
        <f ca="1">-IF(C179=1,IF(E179='Invoer gegevens (N)'!$C$17,'Invoer gegevens (N)'!$C$11,AD179)*'Reeksen (N)'!S179*'Invoer gegevens (N)'!$C$18*'Reeksen (N)'!P179,0)</f>
        <v>0</v>
      </c>
      <c r="AU179" s="71">
        <f ca="1">-IF(C179=1,(F179+K179+L179+Q179)/2*'Invoer gegevens (N)'!$I$36*'Reeksen (N)'!H179,0)</f>
        <v>0</v>
      </c>
      <c r="AV179" s="71">
        <v>0</v>
      </c>
      <c r="AW179" s="71">
        <f t="shared" ca="1" si="30"/>
        <v>0</v>
      </c>
      <c r="AX179" s="71">
        <f ca="1">IF(E179&lt;'Invoer gegevens (N)'!$C$17+15,0,IF(E179&gt;'Invoer gegevens (N)'!$C$17+215,0,AW179))</f>
        <v>0</v>
      </c>
      <c r="AY179" s="71">
        <f ca="1">AX179/(1+'Invoer gegevens (N)'!$F$18)^($AZ179-('Invoer gegevens (N)'!$C$17-'Invoer gegevens (N)'!$C$16))/(1+'Invoer gegevens (N)'!$C$39)^('Invoer gegevens (N)'!$C$17-'Invoer gegevens (N)'!$C$16)</f>
        <v>0</v>
      </c>
      <c r="AZ179" s="68">
        <f ca="1">IF(E179-'Invoer gegevens (N)'!$C$17-14.5&lt;0,0,E179-'Invoer gegevens (N)'!$C$17-14.5)</f>
        <v>159.5</v>
      </c>
    </row>
    <row r="180" spans="2:52" x14ac:dyDescent="0.25">
      <c r="B180" s="70">
        <f t="shared" si="31"/>
        <v>176</v>
      </c>
      <c r="C180" s="67">
        <f ca="1">IF(E180-'Invoer gegevens (N)'!$C$17&lt;0,0,1)</f>
        <v>1</v>
      </c>
      <c r="D180" s="68">
        <f t="shared" si="32"/>
        <v>175.5</v>
      </c>
      <c r="E180" s="108">
        <f ca="1">IF('Invoer gegevens (N)'!$C$16="","",E179+1)</f>
        <v>2194</v>
      </c>
      <c r="F180" s="84">
        <f ca="1">IF('Invoer gegevens (N)'!$C$17=E180,'Invoer gegevens (N)'!$C$10,IF(C180=1,K179,0))</f>
        <v>0</v>
      </c>
      <c r="G180" s="96">
        <f ca="1">IF(C180&gt;=1,F180*VLOOKUP(E180,'Reeksen (N)'!$A$5:$B$76,2),0)</f>
        <v>0</v>
      </c>
      <c r="H180" s="84">
        <f ca="1">(1-('Invoer gegevens (N)'!$F$20/12))*F180*MIN('Reeksen (N)'!B180,'Reeksen (N)'!D180)</f>
        <v>0</v>
      </c>
      <c r="I180" s="84">
        <f>IF('Reeksen (N)'!D180&lt;'Reeksen (N)'!B180,('Reeksen (N)'!B180-'Reeksen (N)'!D180)*F180,0)</f>
        <v>0</v>
      </c>
      <c r="J180" s="84">
        <f ca="1">('Invoer gegevens (N)'!$F$20/12)*F179*MIN('Reeksen (N)'!B179,'Reeksen (N)'!D179)</f>
        <v>0</v>
      </c>
      <c r="K180" s="97">
        <f t="shared" ca="1" si="23"/>
        <v>0</v>
      </c>
      <c r="L180" s="84">
        <f ca="1">IF('Invoer gegevens (N)'!$C$17=E180,0,IF(C180=1,Q179,0))</f>
        <v>0</v>
      </c>
      <c r="M180" s="96">
        <f ca="1">IF(C180&gt;=1,L180*VLOOKUP(E180,'Reeksen (N)'!$A$5:$B$76,2),0)</f>
        <v>0</v>
      </c>
      <c r="N180" s="84">
        <f ca="1">(1-('Invoer gegevens (N)'!$F$20/12))*L180*MIN('Reeksen (N)'!B180,'Reeksen (N)'!D180)</f>
        <v>0</v>
      </c>
      <c r="O180" s="84">
        <f>IF('Reeksen (N)'!D180&lt;'Reeksen (N)'!B180,('Reeksen (N)'!B180-'Reeksen (N)'!D180)*L180,0)</f>
        <v>0</v>
      </c>
      <c r="P180" s="84">
        <f ca="1">('Invoer gegevens (N)'!$F$20/12)*L179*MIN('Reeksen (N)'!B179,'Reeksen (N)'!D179)</f>
        <v>0</v>
      </c>
      <c r="Q180" s="84">
        <f t="shared" ca="1" si="24"/>
        <v>0</v>
      </c>
      <c r="R180" s="82">
        <f ca="1">IF('Invoer gegevens (N)'!$C$17=E180,'Invoer gegevens (N)'!$C$11,IF(C180=1,W179,0))</f>
        <v>0</v>
      </c>
      <c r="S180" s="86">
        <f ca="1">IF(C180&gt;=1,R180*VLOOKUP(E180,'Reeksen (N)'!$A$5:$B$76,2),0)</f>
        <v>0</v>
      </c>
      <c r="T180" s="84">
        <f ca="1">(1-('Invoer gegevens (N)'!$F$20/12))*R180*MIN('Reeksen (N)'!B180,'Reeksen (N)'!D180)</f>
        <v>0</v>
      </c>
      <c r="U180" s="84">
        <f>IF('Reeksen (N)'!D180&gt;='Reeksen (N)'!B180,0,IF('Reeksen (N)'!AK180&lt;='Reeksen (N)'!AE180,('Reeksen (N)'!B180-'Reeksen (N)'!D180)*R180,0))</f>
        <v>0</v>
      </c>
      <c r="V180" s="86">
        <f>IF('Reeksen (N)'!D180&gt;='Reeksen (N)'!B180,0,IF('Reeksen (N)'!AK180&gt;'Reeksen (N)'!AE180,('Reeksen (N)'!B180-'Reeksen (N)'!D180)*R180,0))</f>
        <v>0</v>
      </c>
      <c r="W180" s="97">
        <f t="shared" ca="1" si="25"/>
        <v>0</v>
      </c>
      <c r="X180" s="98">
        <f ca="1">IF('Invoer gegevens (N)'!$C$17=E180,'Invoer gegevens (N)'!$C$10-'Invoer gegevens (N)'!$C$11,IF(C180=1,AC179,0))</f>
        <v>0</v>
      </c>
      <c r="Y180" s="98">
        <f ca="1">IF(C180&gt;=1,X180*VLOOKUP(E180,'Reeksen (N)'!$A$5:$B$76,2),0)</f>
        <v>0</v>
      </c>
      <c r="Z180" s="98">
        <f ca="1">(1-('Invoer gegevens (N)'!$F$20/12))*X180*MIN('Reeksen (N)'!B180,'Reeksen (N)'!D180)</f>
        <v>0</v>
      </c>
      <c r="AA180" s="98">
        <f>IF('Reeksen (N)'!D180&gt;='Reeksen (N)'!B180,0,IF('Reeksen (N)'!AK180&lt;='Reeksen (N)'!AE180,('Reeksen (N)'!B180-'Reeksen (N)'!D180)*X180,0))</f>
        <v>0</v>
      </c>
      <c r="AB180" s="98">
        <f>IF('Reeksen (N)'!D180&gt;='Reeksen (N)'!B180,0,IF('Reeksen (N)'!AK180&gt;'Reeksen (N)'!AE180,('Reeksen (N)'!B180-'Reeksen (N)'!D180)*X180,0))</f>
        <v>0</v>
      </c>
      <c r="AC180" s="99">
        <f t="shared" ca="1" si="26"/>
        <v>0</v>
      </c>
      <c r="AD180" s="98">
        <f ca="1">IF('Invoer gegevens (N)'!$C$17=E180,R180,IF(C180=0,0,AE179))</f>
        <v>0</v>
      </c>
      <c r="AE180" s="98">
        <f t="shared" ca="1" si="27"/>
        <v>0</v>
      </c>
      <c r="AF180" s="98">
        <f ca="1">IF('Invoer gegevens (N)'!$C$17=E180,X180,IF(C180=0,0,AG179))</f>
        <v>0</v>
      </c>
      <c r="AG180" s="98">
        <f t="shared" ca="1" si="28"/>
        <v>0</v>
      </c>
      <c r="AH180" s="68"/>
      <c r="AI180" s="71">
        <f ca="1">IF(C180=1,'Reeksen (N)'!AJ180*((F180-G180+F180)/2)*12+'Reeksen (N)'!AK180*((L180-M180+L180)/2)*12,0)</f>
        <v>0</v>
      </c>
      <c r="AJ180" s="71">
        <f ca="1">-AI180*'Invoer gegevens (N)'!$F$28</f>
        <v>0</v>
      </c>
      <c r="AK180" s="71">
        <f t="shared" ca="1" si="22"/>
        <v>0</v>
      </c>
      <c r="AL180" s="71">
        <f ca="1">IF(C180=1,'Reeksen (N)'!AL180*((F180-G180+F180)/2)*12+'Reeksen (N)'!AM180*((L180-M180+L180)/2)*12,0)</f>
        <v>0</v>
      </c>
      <c r="AM180" s="71">
        <f ca="1">-AL180*'Invoer gegevens (N)'!$F$31</f>
        <v>0</v>
      </c>
      <c r="AN180" s="71">
        <f t="shared" ca="1" si="29"/>
        <v>0</v>
      </c>
      <c r="AO180" s="71">
        <f ca="1">IF(C180=1,(H180+J180+N180+P180)*'Reeksen (N)'!AN180,0)</f>
        <v>0</v>
      </c>
      <c r="AP180" s="71">
        <f ca="1">-IF(C180=1,(H180+J180+N180+P180)*'Hulp - basis'!$O$550*'Reeksen (N)'!H180,0)</f>
        <v>0</v>
      </c>
      <c r="AQ180" s="71">
        <f ca="1">-IF(C180=1,(F180+K180+L180+Q180)/2*'Invoer gegevens (N)'!$I$33*'Reeksen (N)'!J180,0)*2</f>
        <v>0</v>
      </c>
      <c r="AR180" s="71">
        <f ca="1">-IF(C180=1,(I180*'Invoer gegevens (N)'!$I$34)*'Reeksen (N)'!J180,0)</f>
        <v>0</v>
      </c>
      <c r="AS180" s="71">
        <f ca="1">-IF(C180=1,(F180+K180+L180+Q180)/2*'Invoer gegevens (N)'!$I$35*'Reeksen (N)'!L180,0)</f>
        <v>0</v>
      </c>
      <c r="AT180" s="71">
        <f ca="1">-IF(C180=1,IF(E180='Invoer gegevens (N)'!$C$17,'Invoer gegevens (N)'!$C$11,AD180)*'Reeksen (N)'!S180*'Invoer gegevens (N)'!$C$18*'Reeksen (N)'!P180,0)</f>
        <v>0</v>
      </c>
      <c r="AU180" s="71">
        <f ca="1">-IF(C180=1,(F180+K180+L180+Q180)/2*'Invoer gegevens (N)'!$I$36*'Reeksen (N)'!H180,0)</f>
        <v>0</v>
      </c>
      <c r="AV180" s="71">
        <v>0</v>
      </c>
      <c r="AW180" s="71">
        <f t="shared" ca="1" si="30"/>
        <v>0</v>
      </c>
      <c r="AX180" s="71">
        <f ca="1">IF(E180&lt;'Invoer gegevens (N)'!$C$17+15,0,IF(E180&gt;'Invoer gegevens (N)'!$C$17+215,0,AW180))</f>
        <v>0</v>
      </c>
      <c r="AY180" s="71">
        <f ca="1">AX180/(1+'Invoer gegevens (N)'!$F$18)^($AZ180-('Invoer gegevens (N)'!$C$17-'Invoer gegevens (N)'!$C$16))/(1+'Invoer gegevens (N)'!$C$39)^('Invoer gegevens (N)'!$C$17-'Invoer gegevens (N)'!$C$16)</f>
        <v>0</v>
      </c>
      <c r="AZ180" s="68">
        <f ca="1">IF(E180-'Invoer gegevens (N)'!$C$17-14.5&lt;0,0,E180-'Invoer gegevens (N)'!$C$17-14.5)</f>
        <v>160.5</v>
      </c>
    </row>
    <row r="181" spans="2:52" x14ac:dyDescent="0.25">
      <c r="B181" s="70">
        <f t="shared" si="31"/>
        <v>177</v>
      </c>
      <c r="C181" s="67">
        <f ca="1">IF(E181-'Invoer gegevens (N)'!$C$17&lt;0,0,1)</f>
        <v>1</v>
      </c>
      <c r="D181" s="68">
        <f t="shared" si="32"/>
        <v>176.5</v>
      </c>
      <c r="E181" s="108">
        <f ca="1">IF('Invoer gegevens (N)'!$C$16="","",E180+1)</f>
        <v>2195</v>
      </c>
      <c r="F181" s="84">
        <f ca="1">IF('Invoer gegevens (N)'!$C$17=E181,'Invoer gegevens (N)'!$C$10,IF(C181=1,K180,0))</f>
        <v>0</v>
      </c>
      <c r="G181" s="96">
        <f ca="1">IF(C181&gt;=1,F181*VLOOKUP(E181,'Reeksen (N)'!$A$5:$B$76,2),0)</f>
        <v>0</v>
      </c>
      <c r="H181" s="84">
        <f ca="1">(1-('Invoer gegevens (N)'!$F$20/12))*F181*MIN('Reeksen (N)'!B181,'Reeksen (N)'!D181)</f>
        <v>0</v>
      </c>
      <c r="I181" s="84">
        <f>IF('Reeksen (N)'!D181&lt;'Reeksen (N)'!B181,('Reeksen (N)'!B181-'Reeksen (N)'!D181)*F181,0)</f>
        <v>0</v>
      </c>
      <c r="J181" s="84">
        <f ca="1">('Invoer gegevens (N)'!$F$20/12)*F180*MIN('Reeksen (N)'!B180,'Reeksen (N)'!D180)</f>
        <v>0</v>
      </c>
      <c r="K181" s="97">
        <f t="shared" ca="1" si="23"/>
        <v>0</v>
      </c>
      <c r="L181" s="84">
        <f ca="1">IF('Invoer gegevens (N)'!$C$17=E181,0,IF(C181=1,Q180,0))</f>
        <v>0</v>
      </c>
      <c r="M181" s="96">
        <f ca="1">IF(C181&gt;=1,L181*VLOOKUP(E181,'Reeksen (N)'!$A$5:$B$76,2),0)</f>
        <v>0</v>
      </c>
      <c r="N181" s="84">
        <f ca="1">(1-('Invoer gegevens (N)'!$F$20/12))*L181*MIN('Reeksen (N)'!B181,'Reeksen (N)'!D181)</f>
        <v>0</v>
      </c>
      <c r="O181" s="84">
        <f>IF('Reeksen (N)'!D181&lt;'Reeksen (N)'!B181,('Reeksen (N)'!B181-'Reeksen (N)'!D181)*L181,0)</f>
        <v>0</v>
      </c>
      <c r="P181" s="84">
        <f ca="1">('Invoer gegevens (N)'!$F$20/12)*L180*MIN('Reeksen (N)'!B180,'Reeksen (N)'!D180)</f>
        <v>0</v>
      </c>
      <c r="Q181" s="84">
        <f t="shared" ca="1" si="24"/>
        <v>0</v>
      </c>
      <c r="R181" s="82">
        <f ca="1">IF('Invoer gegevens (N)'!$C$17=E181,'Invoer gegevens (N)'!$C$11,IF(C181=1,W180,0))</f>
        <v>0</v>
      </c>
      <c r="S181" s="86">
        <f ca="1">IF(C181&gt;=1,R181*VLOOKUP(E181,'Reeksen (N)'!$A$5:$B$76,2),0)</f>
        <v>0</v>
      </c>
      <c r="T181" s="84">
        <f ca="1">(1-('Invoer gegevens (N)'!$F$20/12))*R181*MIN('Reeksen (N)'!B181,'Reeksen (N)'!D181)</f>
        <v>0</v>
      </c>
      <c r="U181" s="84">
        <f>IF('Reeksen (N)'!D181&gt;='Reeksen (N)'!B181,0,IF('Reeksen (N)'!AK181&lt;='Reeksen (N)'!AE181,('Reeksen (N)'!B181-'Reeksen (N)'!D181)*R181,0))</f>
        <v>0</v>
      </c>
      <c r="V181" s="86">
        <f>IF('Reeksen (N)'!D181&gt;='Reeksen (N)'!B181,0,IF('Reeksen (N)'!AK181&gt;'Reeksen (N)'!AE181,('Reeksen (N)'!B181-'Reeksen (N)'!D181)*R181,0))</f>
        <v>0</v>
      </c>
      <c r="W181" s="97">
        <f t="shared" ca="1" si="25"/>
        <v>0</v>
      </c>
      <c r="X181" s="98">
        <f ca="1">IF('Invoer gegevens (N)'!$C$17=E181,'Invoer gegevens (N)'!$C$10-'Invoer gegevens (N)'!$C$11,IF(C181=1,AC180,0))</f>
        <v>0</v>
      </c>
      <c r="Y181" s="98">
        <f ca="1">IF(C181&gt;=1,X181*VLOOKUP(E181,'Reeksen (N)'!$A$5:$B$76,2),0)</f>
        <v>0</v>
      </c>
      <c r="Z181" s="98">
        <f ca="1">(1-('Invoer gegevens (N)'!$F$20/12))*X181*MIN('Reeksen (N)'!B181,'Reeksen (N)'!D181)</f>
        <v>0</v>
      </c>
      <c r="AA181" s="98">
        <f>IF('Reeksen (N)'!D181&gt;='Reeksen (N)'!B181,0,IF('Reeksen (N)'!AK181&lt;='Reeksen (N)'!AE181,('Reeksen (N)'!B181-'Reeksen (N)'!D181)*X181,0))</f>
        <v>0</v>
      </c>
      <c r="AB181" s="98">
        <f>IF('Reeksen (N)'!D181&gt;='Reeksen (N)'!B181,0,IF('Reeksen (N)'!AK181&gt;'Reeksen (N)'!AE181,('Reeksen (N)'!B181-'Reeksen (N)'!D181)*X181,0))</f>
        <v>0</v>
      </c>
      <c r="AC181" s="99">
        <f t="shared" ca="1" si="26"/>
        <v>0</v>
      </c>
      <c r="AD181" s="98">
        <f ca="1">IF('Invoer gegevens (N)'!$C$17=E181,R181,IF(C181=0,0,AE180))</f>
        <v>0</v>
      </c>
      <c r="AE181" s="98">
        <f t="shared" ca="1" si="27"/>
        <v>0</v>
      </c>
      <c r="AF181" s="98">
        <f ca="1">IF('Invoer gegevens (N)'!$C$17=E181,X181,IF(C181=0,0,AG180))</f>
        <v>0</v>
      </c>
      <c r="AG181" s="98">
        <f t="shared" ca="1" si="28"/>
        <v>0</v>
      </c>
      <c r="AH181" s="68"/>
      <c r="AI181" s="71">
        <f ca="1">IF(C181=1,'Reeksen (N)'!AJ181*((F181-G181+F181)/2)*12+'Reeksen (N)'!AK181*((L181-M181+L181)/2)*12,0)</f>
        <v>0</v>
      </c>
      <c r="AJ181" s="71">
        <f ca="1">-AI181*'Invoer gegevens (N)'!$F$28</f>
        <v>0</v>
      </c>
      <c r="AK181" s="71">
        <f t="shared" ca="1" si="22"/>
        <v>0</v>
      </c>
      <c r="AL181" s="71">
        <f ca="1">IF(C181=1,'Reeksen (N)'!AL181*((F181-G181+F181)/2)*12+'Reeksen (N)'!AM181*((L181-M181+L181)/2)*12,0)</f>
        <v>0</v>
      </c>
      <c r="AM181" s="71">
        <f ca="1">-AL181*'Invoer gegevens (N)'!$F$31</f>
        <v>0</v>
      </c>
      <c r="AN181" s="71">
        <f t="shared" ca="1" si="29"/>
        <v>0</v>
      </c>
      <c r="AO181" s="71">
        <f ca="1">IF(C181=1,(H181+J181+N181+P181)*'Reeksen (N)'!AN181,0)</f>
        <v>0</v>
      </c>
      <c r="AP181" s="71">
        <f ca="1">-IF(C181=1,(H181+J181+N181+P181)*'Hulp - basis'!$O$550*'Reeksen (N)'!H181,0)</f>
        <v>0</v>
      </c>
      <c r="AQ181" s="71">
        <f ca="1">-IF(C181=1,(F181+K181+L181+Q181)/2*'Invoer gegevens (N)'!$I$33*'Reeksen (N)'!J181,0)*2</f>
        <v>0</v>
      </c>
      <c r="AR181" s="71">
        <f ca="1">-IF(C181=1,(I181*'Invoer gegevens (N)'!$I$34)*'Reeksen (N)'!J181,0)</f>
        <v>0</v>
      </c>
      <c r="AS181" s="71">
        <f ca="1">-IF(C181=1,(F181+K181+L181+Q181)/2*'Invoer gegevens (N)'!$I$35*'Reeksen (N)'!L181,0)</f>
        <v>0</v>
      </c>
      <c r="AT181" s="71">
        <f ca="1">-IF(C181=1,IF(E181='Invoer gegevens (N)'!$C$17,'Invoer gegevens (N)'!$C$11,AD181)*'Reeksen (N)'!S181*'Invoer gegevens (N)'!$C$18*'Reeksen (N)'!P181,0)</f>
        <v>0</v>
      </c>
      <c r="AU181" s="71">
        <f ca="1">-IF(C181=1,(F181+K181+L181+Q181)/2*'Invoer gegevens (N)'!$I$36*'Reeksen (N)'!H181,0)</f>
        <v>0</v>
      </c>
      <c r="AV181" s="71">
        <v>0</v>
      </c>
      <c r="AW181" s="71">
        <f t="shared" ca="1" si="30"/>
        <v>0</v>
      </c>
      <c r="AX181" s="71">
        <f ca="1">IF(E181&lt;'Invoer gegevens (N)'!$C$17+15,0,IF(E181&gt;'Invoer gegevens (N)'!$C$17+215,0,AW181))</f>
        <v>0</v>
      </c>
      <c r="AY181" s="71">
        <f ca="1">AX181/(1+'Invoer gegevens (N)'!$F$18)^($AZ181-('Invoer gegevens (N)'!$C$17-'Invoer gegevens (N)'!$C$16))/(1+'Invoer gegevens (N)'!$C$39)^('Invoer gegevens (N)'!$C$17-'Invoer gegevens (N)'!$C$16)</f>
        <v>0</v>
      </c>
      <c r="AZ181" s="68">
        <f ca="1">IF(E181-'Invoer gegevens (N)'!$C$17-14.5&lt;0,0,E181-'Invoer gegevens (N)'!$C$17-14.5)</f>
        <v>161.5</v>
      </c>
    </row>
    <row r="182" spans="2:52" x14ac:dyDescent="0.25">
      <c r="B182" s="70">
        <f t="shared" si="31"/>
        <v>178</v>
      </c>
      <c r="C182" s="67">
        <f ca="1">IF(E182-'Invoer gegevens (N)'!$C$17&lt;0,0,1)</f>
        <v>1</v>
      </c>
      <c r="D182" s="68">
        <f t="shared" si="32"/>
        <v>177.5</v>
      </c>
      <c r="E182" s="108">
        <f ca="1">IF('Invoer gegevens (N)'!$C$16="","",E181+1)</f>
        <v>2196</v>
      </c>
      <c r="F182" s="84">
        <f ca="1">IF('Invoer gegevens (N)'!$C$17=E182,'Invoer gegevens (N)'!$C$10,IF(C182=1,K181,0))</f>
        <v>0</v>
      </c>
      <c r="G182" s="96">
        <f ca="1">IF(C182&gt;=1,F182*VLOOKUP(E182,'Reeksen (N)'!$A$5:$B$76,2),0)</f>
        <v>0</v>
      </c>
      <c r="H182" s="84">
        <f ca="1">(1-('Invoer gegevens (N)'!$F$20/12))*F182*MIN('Reeksen (N)'!B182,'Reeksen (N)'!D182)</f>
        <v>0</v>
      </c>
      <c r="I182" s="84">
        <f>IF('Reeksen (N)'!D182&lt;'Reeksen (N)'!B182,('Reeksen (N)'!B182-'Reeksen (N)'!D182)*F182,0)</f>
        <v>0</v>
      </c>
      <c r="J182" s="84">
        <f ca="1">('Invoer gegevens (N)'!$F$20/12)*F181*MIN('Reeksen (N)'!B181,'Reeksen (N)'!D181)</f>
        <v>0</v>
      </c>
      <c r="K182" s="97">
        <f t="shared" ca="1" si="23"/>
        <v>0</v>
      </c>
      <c r="L182" s="84">
        <f ca="1">IF('Invoer gegevens (N)'!$C$17=E182,0,IF(C182=1,Q181,0))</f>
        <v>0</v>
      </c>
      <c r="M182" s="96">
        <f ca="1">IF(C182&gt;=1,L182*VLOOKUP(E182,'Reeksen (N)'!$A$5:$B$76,2),0)</f>
        <v>0</v>
      </c>
      <c r="N182" s="84">
        <f ca="1">(1-('Invoer gegevens (N)'!$F$20/12))*L182*MIN('Reeksen (N)'!B182,'Reeksen (N)'!D182)</f>
        <v>0</v>
      </c>
      <c r="O182" s="84">
        <f>IF('Reeksen (N)'!D182&lt;'Reeksen (N)'!B182,('Reeksen (N)'!B182-'Reeksen (N)'!D182)*L182,0)</f>
        <v>0</v>
      </c>
      <c r="P182" s="84">
        <f ca="1">('Invoer gegevens (N)'!$F$20/12)*L181*MIN('Reeksen (N)'!B181,'Reeksen (N)'!D181)</f>
        <v>0</v>
      </c>
      <c r="Q182" s="84">
        <f t="shared" ca="1" si="24"/>
        <v>0</v>
      </c>
      <c r="R182" s="82">
        <f ca="1">IF('Invoer gegevens (N)'!$C$17=E182,'Invoer gegevens (N)'!$C$11,IF(C182=1,W181,0))</f>
        <v>0</v>
      </c>
      <c r="S182" s="86">
        <f ca="1">IF(C182&gt;=1,R182*VLOOKUP(E182,'Reeksen (N)'!$A$5:$B$76,2),0)</f>
        <v>0</v>
      </c>
      <c r="T182" s="84">
        <f ca="1">(1-('Invoer gegevens (N)'!$F$20/12))*R182*MIN('Reeksen (N)'!B182,'Reeksen (N)'!D182)</f>
        <v>0</v>
      </c>
      <c r="U182" s="84">
        <f>IF('Reeksen (N)'!D182&gt;='Reeksen (N)'!B182,0,IF('Reeksen (N)'!AK182&lt;='Reeksen (N)'!AE182,('Reeksen (N)'!B182-'Reeksen (N)'!D182)*R182,0))</f>
        <v>0</v>
      </c>
      <c r="V182" s="86">
        <f>IF('Reeksen (N)'!D182&gt;='Reeksen (N)'!B182,0,IF('Reeksen (N)'!AK182&gt;'Reeksen (N)'!AE182,('Reeksen (N)'!B182-'Reeksen (N)'!D182)*R182,0))</f>
        <v>0</v>
      </c>
      <c r="W182" s="97">
        <f t="shared" ca="1" si="25"/>
        <v>0</v>
      </c>
      <c r="X182" s="98">
        <f ca="1">IF('Invoer gegevens (N)'!$C$17=E182,'Invoer gegevens (N)'!$C$10-'Invoer gegevens (N)'!$C$11,IF(C182=1,AC181,0))</f>
        <v>0</v>
      </c>
      <c r="Y182" s="98">
        <f ca="1">IF(C182&gt;=1,X182*VLOOKUP(E182,'Reeksen (N)'!$A$5:$B$76,2),0)</f>
        <v>0</v>
      </c>
      <c r="Z182" s="98">
        <f ca="1">(1-('Invoer gegevens (N)'!$F$20/12))*X182*MIN('Reeksen (N)'!B182,'Reeksen (N)'!D182)</f>
        <v>0</v>
      </c>
      <c r="AA182" s="98">
        <f>IF('Reeksen (N)'!D182&gt;='Reeksen (N)'!B182,0,IF('Reeksen (N)'!AK182&lt;='Reeksen (N)'!AE182,('Reeksen (N)'!B182-'Reeksen (N)'!D182)*X182,0))</f>
        <v>0</v>
      </c>
      <c r="AB182" s="98">
        <f>IF('Reeksen (N)'!D182&gt;='Reeksen (N)'!B182,0,IF('Reeksen (N)'!AK182&gt;'Reeksen (N)'!AE182,('Reeksen (N)'!B182-'Reeksen (N)'!D182)*X182,0))</f>
        <v>0</v>
      </c>
      <c r="AC182" s="99">
        <f t="shared" ca="1" si="26"/>
        <v>0</v>
      </c>
      <c r="AD182" s="98">
        <f ca="1">IF('Invoer gegevens (N)'!$C$17=E182,R182,IF(C182=0,0,AE181))</f>
        <v>0</v>
      </c>
      <c r="AE182" s="98">
        <f t="shared" ca="1" si="27"/>
        <v>0</v>
      </c>
      <c r="AF182" s="98">
        <f ca="1">IF('Invoer gegevens (N)'!$C$17=E182,X182,IF(C182=0,0,AG181))</f>
        <v>0</v>
      </c>
      <c r="AG182" s="98">
        <f t="shared" ca="1" si="28"/>
        <v>0</v>
      </c>
      <c r="AH182" s="68"/>
      <c r="AI182" s="71">
        <f ca="1">IF(C182=1,'Reeksen (N)'!AJ182*((F182-G182+F182)/2)*12+'Reeksen (N)'!AK182*((L182-M182+L182)/2)*12,0)</f>
        <v>0</v>
      </c>
      <c r="AJ182" s="71">
        <f ca="1">-AI182*'Invoer gegevens (N)'!$F$28</f>
        <v>0</v>
      </c>
      <c r="AK182" s="71">
        <f t="shared" ca="1" si="22"/>
        <v>0</v>
      </c>
      <c r="AL182" s="71">
        <f ca="1">IF(C182=1,'Reeksen (N)'!AL182*((F182-G182+F182)/2)*12+'Reeksen (N)'!AM182*((L182-M182+L182)/2)*12,0)</f>
        <v>0</v>
      </c>
      <c r="AM182" s="71">
        <f ca="1">-AL182*'Invoer gegevens (N)'!$F$31</f>
        <v>0</v>
      </c>
      <c r="AN182" s="71">
        <f t="shared" ca="1" si="29"/>
        <v>0</v>
      </c>
      <c r="AO182" s="71">
        <f ca="1">IF(C182=1,(H182+J182+N182+P182)*'Reeksen (N)'!AN182,0)</f>
        <v>0</v>
      </c>
      <c r="AP182" s="71">
        <f ca="1">-IF(C182=1,(H182+J182+N182+P182)*'Hulp - basis'!$O$550*'Reeksen (N)'!H182,0)</f>
        <v>0</v>
      </c>
      <c r="AQ182" s="71">
        <f ca="1">-IF(C182=1,(F182+K182+L182+Q182)/2*'Invoer gegevens (N)'!$I$33*'Reeksen (N)'!J182,0)*2</f>
        <v>0</v>
      </c>
      <c r="AR182" s="71">
        <f ca="1">-IF(C182=1,(I182*'Invoer gegevens (N)'!$I$34)*'Reeksen (N)'!J182,0)</f>
        <v>0</v>
      </c>
      <c r="AS182" s="71">
        <f ca="1">-IF(C182=1,(F182+K182+L182+Q182)/2*'Invoer gegevens (N)'!$I$35*'Reeksen (N)'!L182,0)</f>
        <v>0</v>
      </c>
      <c r="AT182" s="71">
        <f ca="1">-IF(C182=1,IF(E182='Invoer gegevens (N)'!$C$17,'Invoer gegevens (N)'!$C$11,AD182)*'Reeksen (N)'!S182*'Invoer gegevens (N)'!$C$18*'Reeksen (N)'!P182,0)</f>
        <v>0</v>
      </c>
      <c r="AU182" s="71">
        <f ca="1">-IF(C182=1,(F182+K182+L182+Q182)/2*'Invoer gegevens (N)'!$I$36*'Reeksen (N)'!H182,0)</f>
        <v>0</v>
      </c>
      <c r="AV182" s="71">
        <v>0</v>
      </c>
      <c r="AW182" s="71">
        <f t="shared" ca="1" si="30"/>
        <v>0</v>
      </c>
      <c r="AX182" s="71">
        <f ca="1">IF(E182&lt;'Invoer gegevens (N)'!$C$17+15,0,IF(E182&gt;'Invoer gegevens (N)'!$C$17+215,0,AW182))</f>
        <v>0</v>
      </c>
      <c r="AY182" s="71">
        <f ca="1">AX182/(1+'Invoer gegevens (N)'!$F$18)^($AZ182-('Invoer gegevens (N)'!$C$17-'Invoer gegevens (N)'!$C$16))/(1+'Invoer gegevens (N)'!$C$39)^('Invoer gegevens (N)'!$C$17-'Invoer gegevens (N)'!$C$16)</f>
        <v>0</v>
      </c>
      <c r="AZ182" s="68">
        <f ca="1">IF(E182-'Invoer gegevens (N)'!$C$17-14.5&lt;0,0,E182-'Invoer gegevens (N)'!$C$17-14.5)</f>
        <v>162.5</v>
      </c>
    </row>
    <row r="183" spans="2:52" x14ac:dyDescent="0.25">
      <c r="B183" s="70">
        <f t="shared" si="31"/>
        <v>179</v>
      </c>
      <c r="C183" s="67">
        <f ca="1">IF(E183-'Invoer gegevens (N)'!$C$17&lt;0,0,1)</f>
        <v>1</v>
      </c>
      <c r="D183" s="68">
        <f t="shared" si="32"/>
        <v>178.5</v>
      </c>
      <c r="E183" s="108">
        <f ca="1">IF('Invoer gegevens (N)'!$C$16="","",E182+1)</f>
        <v>2197</v>
      </c>
      <c r="F183" s="84">
        <f ca="1">IF('Invoer gegevens (N)'!$C$17=E183,'Invoer gegevens (N)'!$C$10,IF(C183=1,K182,0))</f>
        <v>0</v>
      </c>
      <c r="G183" s="96">
        <f ca="1">IF(C183&gt;=1,F183*VLOOKUP(E183,'Reeksen (N)'!$A$5:$B$76,2),0)</f>
        <v>0</v>
      </c>
      <c r="H183" s="84">
        <f ca="1">(1-('Invoer gegevens (N)'!$F$20/12))*F183*MIN('Reeksen (N)'!B183,'Reeksen (N)'!D183)</f>
        <v>0</v>
      </c>
      <c r="I183" s="84">
        <f>IF('Reeksen (N)'!D183&lt;'Reeksen (N)'!B183,('Reeksen (N)'!B183-'Reeksen (N)'!D183)*F183,0)</f>
        <v>0</v>
      </c>
      <c r="J183" s="84">
        <f ca="1">('Invoer gegevens (N)'!$F$20/12)*F182*MIN('Reeksen (N)'!B182,'Reeksen (N)'!D182)</f>
        <v>0</v>
      </c>
      <c r="K183" s="97">
        <f t="shared" ca="1" si="23"/>
        <v>0</v>
      </c>
      <c r="L183" s="84">
        <f ca="1">IF('Invoer gegevens (N)'!$C$17=E183,0,IF(C183=1,Q182,0))</f>
        <v>0</v>
      </c>
      <c r="M183" s="96">
        <f ca="1">IF(C183&gt;=1,L183*VLOOKUP(E183,'Reeksen (N)'!$A$5:$B$76,2),0)</f>
        <v>0</v>
      </c>
      <c r="N183" s="84">
        <f ca="1">(1-('Invoer gegevens (N)'!$F$20/12))*L183*MIN('Reeksen (N)'!B183,'Reeksen (N)'!D183)</f>
        <v>0</v>
      </c>
      <c r="O183" s="84">
        <f>IF('Reeksen (N)'!D183&lt;'Reeksen (N)'!B183,('Reeksen (N)'!B183-'Reeksen (N)'!D183)*L183,0)</f>
        <v>0</v>
      </c>
      <c r="P183" s="84">
        <f ca="1">('Invoer gegevens (N)'!$F$20/12)*L182*MIN('Reeksen (N)'!B182,'Reeksen (N)'!D182)</f>
        <v>0</v>
      </c>
      <c r="Q183" s="84">
        <f t="shared" ca="1" si="24"/>
        <v>0</v>
      </c>
      <c r="R183" s="82">
        <f ca="1">IF('Invoer gegevens (N)'!$C$17=E183,'Invoer gegevens (N)'!$C$11,IF(C183=1,W182,0))</f>
        <v>0</v>
      </c>
      <c r="S183" s="86">
        <f ca="1">IF(C183&gt;=1,R183*VLOOKUP(E183,'Reeksen (N)'!$A$5:$B$76,2),0)</f>
        <v>0</v>
      </c>
      <c r="T183" s="84">
        <f ca="1">(1-('Invoer gegevens (N)'!$F$20/12))*R183*MIN('Reeksen (N)'!B183,'Reeksen (N)'!D183)</f>
        <v>0</v>
      </c>
      <c r="U183" s="84">
        <f>IF('Reeksen (N)'!D183&gt;='Reeksen (N)'!B183,0,IF('Reeksen (N)'!AK183&lt;='Reeksen (N)'!AE183,('Reeksen (N)'!B183-'Reeksen (N)'!D183)*R183,0))</f>
        <v>0</v>
      </c>
      <c r="V183" s="86">
        <f>IF('Reeksen (N)'!D183&gt;='Reeksen (N)'!B183,0,IF('Reeksen (N)'!AK183&gt;'Reeksen (N)'!AE183,('Reeksen (N)'!B183-'Reeksen (N)'!D183)*R183,0))</f>
        <v>0</v>
      </c>
      <c r="W183" s="97">
        <f t="shared" ca="1" si="25"/>
        <v>0</v>
      </c>
      <c r="X183" s="98">
        <f ca="1">IF('Invoer gegevens (N)'!$C$17=E183,'Invoer gegevens (N)'!$C$10-'Invoer gegevens (N)'!$C$11,IF(C183=1,AC182,0))</f>
        <v>0</v>
      </c>
      <c r="Y183" s="98">
        <f ca="1">IF(C183&gt;=1,X183*VLOOKUP(E183,'Reeksen (N)'!$A$5:$B$76,2),0)</f>
        <v>0</v>
      </c>
      <c r="Z183" s="98">
        <f ca="1">(1-('Invoer gegevens (N)'!$F$20/12))*X183*MIN('Reeksen (N)'!B183,'Reeksen (N)'!D183)</f>
        <v>0</v>
      </c>
      <c r="AA183" s="98">
        <f>IF('Reeksen (N)'!D183&gt;='Reeksen (N)'!B183,0,IF('Reeksen (N)'!AK183&lt;='Reeksen (N)'!AE183,('Reeksen (N)'!B183-'Reeksen (N)'!D183)*X183,0))</f>
        <v>0</v>
      </c>
      <c r="AB183" s="98">
        <f>IF('Reeksen (N)'!D183&gt;='Reeksen (N)'!B183,0,IF('Reeksen (N)'!AK183&gt;'Reeksen (N)'!AE183,('Reeksen (N)'!B183-'Reeksen (N)'!D183)*X183,0))</f>
        <v>0</v>
      </c>
      <c r="AC183" s="99">
        <f t="shared" ca="1" si="26"/>
        <v>0</v>
      </c>
      <c r="AD183" s="98">
        <f ca="1">IF('Invoer gegevens (N)'!$C$17=E183,R183,IF(C183=0,0,AE182))</f>
        <v>0</v>
      </c>
      <c r="AE183" s="98">
        <f t="shared" ca="1" si="27"/>
        <v>0</v>
      </c>
      <c r="AF183" s="98">
        <f ca="1">IF('Invoer gegevens (N)'!$C$17=E183,X183,IF(C183=0,0,AG182))</f>
        <v>0</v>
      </c>
      <c r="AG183" s="98">
        <f t="shared" ca="1" si="28"/>
        <v>0</v>
      </c>
      <c r="AH183" s="68"/>
      <c r="AI183" s="71">
        <f ca="1">IF(C183=1,'Reeksen (N)'!AJ183*((F183-G183+F183)/2)*12+'Reeksen (N)'!AK183*((L183-M183+L183)/2)*12,0)</f>
        <v>0</v>
      </c>
      <c r="AJ183" s="71">
        <f ca="1">-AI183*'Invoer gegevens (N)'!$F$28</f>
        <v>0</v>
      </c>
      <c r="AK183" s="71">
        <f t="shared" ca="1" si="22"/>
        <v>0</v>
      </c>
      <c r="AL183" s="71">
        <f ca="1">IF(C183=1,'Reeksen (N)'!AL183*((F183-G183+F183)/2)*12+'Reeksen (N)'!AM183*((L183-M183+L183)/2)*12,0)</f>
        <v>0</v>
      </c>
      <c r="AM183" s="71">
        <f ca="1">-AL183*'Invoer gegevens (N)'!$F$31</f>
        <v>0</v>
      </c>
      <c r="AN183" s="71">
        <f t="shared" ca="1" si="29"/>
        <v>0</v>
      </c>
      <c r="AO183" s="71">
        <f ca="1">IF(C183=1,(H183+J183+N183+P183)*'Reeksen (N)'!AN183,0)</f>
        <v>0</v>
      </c>
      <c r="AP183" s="71">
        <f ca="1">-IF(C183=1,(H183+J183+N183+P183)*'Hulp - basis'!$O$550*'Reeksen (N)'!H183,0)</f>
        <v>0</v>
      </c>
      <c r="AQ183" s="71">
        <f ca="1">-IF(C183=1,(F183+K183+L183+Q183)/2*'Invoer gegevens (N)'!$I$33*'Reeksen (N)'!J183,0)*2</f>
        <v>0</v>
      </c>
      <c r="AR183" s="71">
        <f ca="1">-IF(C183=1,(I183*'Invoer gegevens (N)'!$I$34)*'Reeksen (N)'!J183,0)</f>
        <v>0</v>
      </c>
      <c r="AS183" s="71">
        <f ca="1">-IF(C183=1,(F183+K183+L183+Q183)/2*'Invoer gegevens (N)'!$I$35*'Reeksen (N)'!L183,0)</f>
        <v>0</v>
      </c>
      <c r="AT183" s="71">
        <f ca="1">-IF(C183=1,IF(E183='Invoer gegevens (N)'!$C$17,'Invoer gegevens (N)'!$C$11,AD183)*'Reeksen (N)'!S183*'Invoer gegevens (N)'!$C$18*'Reeksen (N)'!P183,0)</f>
        <v>0</v>
      </c>
      <c r="AU183" s="71">
        <f ca="1">-IF(C183=1,(F183+K183+L183+Q183)/2*'Invoer gegevens (N)'!$I$36*'Reeksen (N)'!H183,0)</f>
        <v>0</v>
      </c>
      <c r="AV183" s="71">
        <v>0</v>
      </c>
      <c r="AW183" s="71">
        <f t="shared" ca="1" si="30"/>
        <v>0</v>
      </c>
      <c r="AX183" s="71">
        <f ca="1">IF(E183&lt;'Invoer gegevens (N)'!$C$17+15,0,IF(E183&gt;'Invoer gegevens (N)'!$C$17+215,0,AW183))</f>
        <v>0</v>
      </c>
      <c r="AY183" s="71">
        <f ca="1">AX183/(1+'Invoer gegevens (N)'!$F$18)^($AZ183-('Invoer gegevens (N)'!$C$17-'Invoer gegevens (N)'!$C$16))/(1+'Invoer gegevens (N)'!$C$39)^('Invoer gegevens (N)'!$C$17-'Invoer gegevens (N)'!$C$16)</f>
        <v>0</v>
      </c>
      <c r="AZ183" s="68">
        <f ca="1">IF(E183-'Invoer gegevens (N)'!$C$17-14.5&lt;0,0,E183-'Invoer gegevens (N)'!$C$17-14.5)</f>
        <v>163.5</v>
      </c>
    </row>
    <row r="184" spans="2:52" x14ac:dyDescent="0.25">
      <c r="B184" s="70">
        <f t="shared" si="31"/>
        <v>180</v>
      </c>
      <c r="C184" s="67">
        <f ca="1">IF(E184-'Invoer gegevens (N)'!$C$17&lt;0,0,1)</f>
        <v>1</v>
      </c>
      <c r="D184" s="68">
        <f t="shared" si="32"/>
        <v>179.5</v>
      </c>
      <c r="E184" s="108">
        <f ca="1">IF('Invoer gegevens (N)'!$C$16="","",E183+1)</f>
        <v>2198</v>
      </c>
      <c r="F184" s="84">
        <f ca="1">IF('Invoer gegevens (N)'!$C$17=E184,'Invoer gegevens (N)'!$C$10,IF(C184=1,K183,0))</f>
        <v>0</v>
      </c>
      <c r="G184" s="96">
        <f ca="1">IF(C184&gt;=1,F184*VLOOKUP(E184,'Reeksen (N)'!$A$5:$B$76,2),0)</f>
        <v>0</v>
      </c>
      <c r="H184" s="84">
        <f ca="1">(1-('Invoer gegevens (N)'!$F$20/12))*F184*MIN('Reeksen (N)'!B184,'Reeksen (N)'!D184)</f>
        <v>0</v>
      </c>
      <c r="I184" s="84">
        <f>IF('Reeksen (N)'!D184&lt;'Reeksen (N)'!B184,('Reeksen (N)'!B184-'Reeksen (N)'!D184)*F184,0)</f>
        <v>0</v>
      </c>
      <c r="J184" s="84">
        <f ca="1">('Invoer gegevens (N)'!$F$20/12)*F183*MIN('Reeksen (N)'!B183,'Reeksen (N)'!D183)</f>
        <v>0</v>
      </c>
      <c r="K184" s="97">
        <f t="shared" ca="1" si="23"/>
        <v>0</v>
      </c>
      <c r="L184" s="84">
        <f ca="1">IF('Invoer gegevens (N)'!$C$17=E184,0,IF(C184=1,Q183,0))</f>
        <v>0</v>
      </c>
      <c r="M184" s="96">
        <f ca="1">IF(C184&gt;=1,L184*VLOOKUP(E184,'Reeksen (N)'!$A$5:$B$76,2),0)</f>
        <v>0</v>
      </c>
      <c r="N184" s="84">
        <f ca="1">(1-('Invoer gegevens (N)'!$F$20/12))*L184*MIN('Reeksen (N)'!B184,'Reeksen (N)'!D184)</f>
        <v>0</v>
      </c>
      <c r="O184" s="84">
        <f>IF('Reeksen (N)'!D184&lt;'Reeksen (N)'!B184,('Reeksen (N)'!B184-'Reeksen (N)'!D184)*L184,0)</f>
        <v>0</v>
      </c>
      <c r="P184" s="84">
        <f ca="1">('Invoer gegevens (N)'!$F$20/12)*L183*MIN('Reeksen (N)'!B183,'Reeksen (N)'!D183)</f>
        <v>0</v>
      </c>
      <c r="Q184" s="84">
        <f t="shared" ca="1" si="24"/>
        <v>0</v>
      </c>
      <c r="R184" s="82">
        <f ca="1">IF('Invoer gegevens (N)'!$C$17=E184,'Invoer gegevens (N)'!$C$11,IF(C184=1,W183,0))</f>
        <v>0</v>
      </c>
      <c r="S184" s="86">
        <f ca="1">IF(C184&gt;=1,R184*VLOOKUP(E184,'Reeksen (N)'!$A$5:$B$76,2),0)</f>
        <v>0</v>
      </c>
      <c r="T184" s="84">
        <f ca="1">(1-('Invoer gegevens (N)'!$F$20/12))*R184*MIN('Reeksen (N)'!B184,'Reeksen (N)'!D184)</f>
        <v>0</v>
      </c>
      <c r="U184" s="84">
        <f>IF('Reeksen (N)'!D184&gt;='Reeksen (N)'!B184,0,IF('Reeksen (N)'!AK184&lt;='Reeksen (N)'!AE184,('Reeksen (N)'!B184-'Reeksen (N)'!D184)*R184,0))</f>
        <v>0</v>
      </c>
      <c r="V184" s="86">
        <f>IF('Reeksen (N)'!D184&gt;='Reeksen (N)'!B184,0,IF('Reeksen (N)'!AK184&gt;'Reeksen (N)'!AE184,('Reeksen (N)'!B184-'Reeksen (N)'!D184)*R184,0))</f>
        <v>0</v>
      </c>
      <c r="W184" s="97">
        <f t="shared" ca="1" si="25"/>
        <v>0</v>
      </c>
      <c r="X184" s="98">
        <f ca="1">IF('Invoer gegevens (N)'!$C$17=E184,'Invoer gegevens (N)'!$C$10-'Invoer gegevens (N)'!$C$11,IF(C184=1,AC183,0))</f>
        <v>0</v>
      </c>
      <c r="Y184" s="98">
        <f ca="1">IF(C184&gt;=1,X184*VLOOKUP(E184,'Reeksen (N)'!$A$5:$B$76,2),0)</f>
        <v>0</v>
      </c>
      <c r="Z184" s="98">
        <f ca="1">(1-('Invoer gegevens (N)'!$F$20/12))*X184*MIN('Reeksen (N)'!B184,'Reeksen (N)'!D184)</f>
        <v>0</v>
      </c>
      <c r="AA184" s="98">
        <f>IF('Reeksen (N)'!D184&gt;='Reeksen (N)'!B184,0,IF('Reeksen (N)'!AK184&lt;='Reeksen (N)'!AE184,('Reeksen (N)'!B184-'Reeksen (N)'!D184)*X184,0))</f>
        <v>0</v>
      </c>
      <c r="AB184" s="98">
        <f>IF('Reeksen (N)'!D184&gt;='Reeksen (N)'!B184,0,IF('Reeksen (N)'!AK184&gt;'Reeksen (N)'!AE184,('Reeksen (N)'!B184-'Reeksen (N)'!D184)*X184,0))</f>
        <v>0</v>
      </c>
      <c r="AC184" s="99">
        <f t="shared" ca="1" si="26"/>
        <v>0</v>
      </c>
      <c r="AD184" s="98">
        <f ca="1">IF('Invoer gegevens (N)'!$C$17=E184,R184,IF(C184=0,0,AE183))</f>
        <v>0</v>
      </c>
      <c r="AE184" s="98">
        <f t="shared" ca="1" si="27"/>
        <v>0</v>
      </c>
      <c r="AF184" s="98">
        <f ca="1">IF('Invoer gegevens (N)'!$C$17=E184,X184,IF(C184=0,0,AG183))</f>
        <v>0</v>
      </c>
      <c r="AG184" s="98">
        <f t="shared" ca="1" si="28"/>
        <v>0</v>
      </c>
      <c r="AH184" s="68"/>
      <c r="AI184" s="71">
        <f ca="1">IF(C184=1,'Reeksen (N)'!AJ184*((F184-G184+F184)/2)*12+'Reeksen (N)'!AK184*((L184-M184+L184)/2)*12,0)</f>
        <v>0</v>
      </c>
      <c r="AJ184" s="71">
        <f ca="1">-AI184*'Invoer gegevens (N)'!$F$28</f>
        <v>0</v>
      </c>
      <c r="AK184" s="71">
        <f t="shared" ca="1" si="22"/>
        <v>0</v>
      </c>
      <c r="AL184" s="71">
        <f ca="1">IF(C184=1,'Reeksen (N)'!AL184*((F184-G184+F184)/2)*12+'Reeksen (N)'!AM184*((L184-M184+L184)/2)*12,0)</f>
        <v>0</v>
      </c>
      <c r="AM184" s="71">
        <f ca="1">-AL184*'Invoer gegevens (N)'!$F$31</f>
        <v>0</v>
      </c>
      <c r="AN184" s="71">
        <f t="shared" ca="1" si="29"/>
        <v>0</v>
      </c>
      <c r="AO184" s="71">
        <f ca="1">IF(C184=1,(H184+J184+N184+P184)*'Reeksen (N)'!AN184,0)</f>
        <v>0</v>
      </c>
      <c r="AP184" s="71">
        <f ca="1">-IF(C184=1,(H184+J184+N184+P184)*'Hulp - basis'!$O$550*'Reeksen (N)'!H184,0)</f>
        <v>0</v>
      </c>
      <c r="AQ184" s="71">
        <f ca="1">-IF(C184=1,(F184+K184+L184+Q184)/2*'Invoer gegevens (N)'!$I$33*'Reeksen (N)'!J184,0)*2</f>
        <v>0</v>
      </c>
      <c r="AR184" s="71">
        <f ca="1">-IF(C184=1,(I184*'Invoer gegevens (N)'!$I$34)*'Reeksen (N)'!J184,0)</f>
        <v>0</v>
      </c>
      <c r="AS184" s="71">
        <f ca="1">-IF(C184=1,(F184+K184+L184+Q184)/2*'Invoer gegevens (N)'!$I$35*'Reeksen (N)'!L184,0)</f>
        <v>0</v>
      </c>
      <c r="AT184" s="71">
        <f ca="1">-IF(C184=1,IF(E184='Invoer gegevens (N)'!$C$17,'Invoer gegevens (N)'!$C$11,AD184)*'Reeksen (N)'!S184*'Invoer gegevens (N)'!$C$18*'Reeksen (N)'!P184,0)</f>
        <v>0</v>
      </c>
      <c r="AU184" s="71">
        <f ca="1">-IF(C184=1,(F184+K184+L184+Q184)/2*'Invoer gegevens (N)'!$I$36*'Reeksen (N)'!H184,0)</f>
        <v>0</v>
      </c>
      <c r="AV184" s="71">
        <v>0</v>
      </c>
      <c r="AW184" s="71">
        <f t="shared" ca="1" si="30"/>
        <v>0</v>
      </c>
      <c r="AX184" s="71">
        <f ca="1">IF(E184&lt;'Invoer gegevens (N)'!$C$17+15,0,IF(E184&gt;'Invoer gegevens (N)'!$C$17+215,0,AW184))</f>
        <v>0</v>
      </c>
      <c r="AY184" s="71">
        <f ca="1">AX184/(1+'Invoer gegevens (N)'!$F$18)^($AZ184-('Invoer gegevens (N)'!$C$17-'Invoer gegevens (N)'!$C$16))/(1+'Invoer gegevens (N)'!$C$39)^('Invoer gegevens (N)'!$C$17-'Invoer gegevens (N)'!$C$16)</f>
        <v>0</v>
      </c>
      <c r="AZ184" s="68">
        <f ca="1">IF(E184-'Invoer gegevens (N)'!$C$17-14.5&lt;0,0,E184-'Invoer gegevens (N)'!$C$17-14.5)</f>
        <v>164.5</v>
      </c>
    </row>
    <row r="185" spans="2:52" x14ac:dyDescent="0.25">
      <c r="B185" s="70">
        <f t="shared" si="31"/>
        <v>181</v>
      </c>
      <c r="C185" s="67">
        <f ca="1">IF(E185-'Invoer gegevens (N)'!$C$17&lt;0,0,1)</f>
        <v>1</v>
      </c>
      <c r="D185" s="68">
        <f t="shared" si="32"/>
        <v>180.5</v>
      </c>
      <c r="E185" s="108">
        <f ca="1">IF('Invoer gegevens (N)'!$C$16="","",E184+1)</f>
        <v>2199</v>
      </c>
      <c r="F185" s="84">
        <f ca="1">IF('Invoer gegevens (N)'!$C$17=E185,'Invoer gegevens (N)'!$C$10,IF(C185=1,K184,0))</f>
        <v>0</v>
      </c>
      <c r="G185" s="96">
        <f ca="1">IF(C185&gt;=1,F185*VLOOKUP(E185,'Reeksen (N)'!$A$5:$B$76,2),0)</f>
        <v>0</v>
      </c>
      <c r="H185" s="84">
        <f ca="1">(1-('Invoer gegevens (N)'!$F$20/12))*F185*MIN('Reeksen (N)'!B185,'Reeksen (N)'!D185)</f>
        <v>0</v>
      </c>
      <c r="I185" s="84">
        <f>IF('Reeksen (N)'!D185&lt;'Reeksen (N)'!B185,('Reeksen (N)'!B185-'Reeksen (N)'!D185)*F185,0)</f>
        <v>0</v>
      </c>
      <c r="J185" s="84">
        <f ca="1">('Invoer gegevens (N)'!$F$20/12)*F184*MIN('Reeksen (N)'!B184,'Reeksen (N)'!D184)</f>
        <v>0</v>
      </c>
      <c r="K185" s="97">
        <f t="shared" ca="1" si="23"/>
        <v>0</v>
      </c>
      <c r="L185" s="84">
        <f ca="1">IF('Invoer gegevens (N)'!$C$17=E185,0,IF(C185=1,Q184,0))</f>
        <v>0</v>
      </c>
      <c r="M185" s="96">
        <f ca="1">IF(C185&gt;=1,L185*VLOOKUP(E185,'Reeksen (N)'!$A$5:$B$76,2),0)</f>
        <v>0</v>
      </c>
      <c r="N185" s="84">
        <f ca="1">(1-('Invoer gegevens (N)'!$F$20/12))*L185*MIN('Reeksen (N)'!B185,'Reeksen (N)'!D185)</f>
        <v>0</v>
      </c>
      <c r="O185" s="84">
        <f>IF('Reeksen (N)'!D185&lt;'Reeksen (N)'!B185,('Reeksen (N)'!B185-'Reeksen (N)'!D185)*L185,0)</f>
        <v>0</v>
      </c>
      <c r="P185" s="84">
        <f ca="1">('Invoer gegevens (N)'!$F$20/12)*L184*MIN('Reeksen (N)'!B184,'Reeksen (N)'!D184)</f>
        <v>0</v>
      </c>
      <c r="Q185" s="84">
        <f t="shared" ca="1" si="24"/>
        <v>0</v>
      </c>
      <c r="R185" s="82">
        <f ca="1">IF('Invoer gegevens (N)'!$C$17=E185,'Invoer gegevens (N)'!$C$11,IF(C185=1,W184,0))</f>
        <v>0</v>
      </c>
      <c r="S185" s="86">
        <f ca="1">IF(C185&gt;=1,R185*VLOOKUP(E185,'Reeksen (N)'!$A$5:$B$76,2),0)</f>
        <v>0</v>
      </c>
      <c r="T185" s="84">
        <f ca="1">(1-('Invoer gegevens (N)'!$F$20/12))*R185*MIN('Reeksen (N)'!B185,'Reeksen (N)'!D185)</f>
        <v>0</v>
      </c>
      <c r="U185" s="84">
        <f>IF('Reeksen (N)'!D185&gt;='Reeksen (N)'!B185,0,IF('Reeksen (N)'!AK185&lt;='Reeksen (N)'!AE185,('Reeksen (N)'!B185-'Reeksen (N)'!D185)*R185,0))</f>
        <v>0</v>
      </c>
      <c r="V185" s="86">
        <f>IF('Reeksen (N)'!D185&gt;='Reeksen (N)'!B185,0,IF('Reeksen (N)'!AK185&gt;'Reeksen (N)'!AE185,('Reeksen (N)'!B185-'Reeksen (N)'!D185)*R185,0))</f>
        <v>0</v>
      </c>
      <c r="W185" s="97">
        <f t="shared" ca="1" si="25"/>
        <v>0</v>
      </c>
      <c r="X185" s="98">
        <f ca="1">IF('Invoer gegevens (N)'!$C$17=E185,'Invoer gegevens (N)'!$C$10-'Invoer gegevens (N)'!$C$11,IF(C185=1,AC184,0))</f>
        <v>0</v>
      </c>
      <c r="Y185" s="98">
        <f ca="1">IF(C185&gt;=1,X185*VLOOKUP(E185,'Reeksen (N)'!$A$5:$B$76,2),0)</f>
        <v>0</v>
      </c>
      <c r="Z185" s="98">
        <f ca="1">(1-('Invoer gegevens (N)'!$F$20/12))*X185*MIN('Reeksen (N)'!B185,'Reeksen (N)'!D185)</f>
        <v>0</v>
      </c>
      <c r="AA185" s="98">
        <f>IF('Reeksen (N)'!D185&gt;='Reeksen (N)'!B185,0,IF('Reeksen (N)'!AK185&lt;='Reeksen (N)'!AE185,('Reeksen (N)'!B185-'Reeksen (N)'!D185)*X185,0))</f>
        <v>0</v>
      </c>
      <c r="AB185" s="98">
        <f>IF('Reeksen (N)'!D185&gt;='Reeksen (N)'!B185,0,IF('Reeksen (N)'!AK185&gt;'Reeksen (N)'!AE185,('Reeksen (N)'!B185-'Reeksen (N)'!D185)*X185,0))</f>
        <v>0</v>
      </c>
      <c r="AC185" s="99">
        <f t="shared" ca="1" si="26"/>
        <v>0</v>
      </c>
      <c r="AD185" s="98">
        <f ca="1">IF('Invoer gegevens (N)'!$C$17=E185,R185,IF(C185=0,0,AE184))</f>
        <v>0</v>
      </c>
      <c r="AE185" s="98">
        <f t="shared" ca="1" si="27"/>
        <v>0</v>
      </c>
      <c r="AF185" s="98">
        <f ca="1">IF('Invoer gegevens (N)'!$C$17=E185,X185,IF(C185=0,0,AG184))</f>
        <v>0</v>
      </c>
      <c r="AG185" s="98">
        <f t="shared" ca="1" si="28"/>
        <v>0</v>
      </c>
      <c r="AH185" s="68"/>
      <c r="AI185" s="71">
        <f ca="1">IF(C185=1,'Reeksen (N)'!AJ185*((F185-G185+F185)/2)*12+'Reeksen (N)'!AK185*((L185-M185+L185)/2)*12,0)</f>
        <v>0</v>
      </c>
      <c r="AJ185" s="71">
        <f ca="1">-AI185*'Invoer gegevens (N)'!$F$28</f>
        <v>0</v>
      </c>
      <c r="AK185" s="71">
        <f t="shared" ca="1" si="22"/>
        <v>0</v>
      </c>
      <c r="AL185" s="71">
        <f ca="1">IF(C185=1,'Reeksen (N)'!AL185*((F185-G185+F185)/2)*12+'Reeksen (N)'!AM185*((L185-M185+L185)/2)*12,0)</f>
        <v>0</v>
      </c>
      <c r="AM185" s="71">
        <f ca="1">-AL185*'Invoer gegevens (N)'!$F$31</f>
        <v>0</v>
      </c>
      <c r="AN185" s="71">
        <f t="shared" ca="1" si="29"/>
        <v>0</v>
      </c>
      <c r="AO185" s="71">
        <f ca="1">IF(C185=1,(H185+J185+N185+P185)*'Reeksen (N)'!AN185,0)</f>
        <v>0</v>
      </c>
      <c r="AP185" s="71">
        <f ca="1">-IF(C185=1,(H185+J185+N185+P185)*'Hulp - basis'!$O$550*'Reeksen (N)'!H185,0)</f>
        <v>0</v>
      </c>
      <c r="AQ185" s="71">
        <f ca="1">-IF(C185=1,(F185+K185+L185+Q185)/2*'Invoer gegevens (N)'!$I$33*'Reeksen (N)'!J185,0)*2</f>
        <v>0</v>
      </c>
      <c r="AR185" s="71">
        <f ca="1">-IF(C185=1,(I185*'Invoer gegevens (N)'!$I$34)*'Reeksen (N)'!J185,0)</f>
        <v>0</v>
      </c>
      <c r="AS185" s="71">
        <f ca="1">-IF(C185=1,(F185+K185+L185+Q185)/2*'Invoer gegevens (N)'!$I$35*'Reeksen (N)'!L185,0)</f>
        <v>0</v>
      </c>
      <c r="AT185" s="71">
        <f ca="1">-IF(C185=1,IF(E185='Invoer gegevens (N)'!$C$17,'Invoer gegevens (N)'!$C$11,AD185)*'Reeksen (N)'!S185*'Invoer gegevens (N)'!$C$18*'Reeksen (N)'!P185,0)</f>
        <v>0</v>
      </c>
      <c r="AU185" s="71">
        <f ca="1">-IF(C185=1,(F185+K185+L185+Q185)/2*'Invoer gegevens (N)'!$I$36*'Reeksen (N)'!H185,0)</f>
        <v>0</v>
      </c>
      <c r="AV185" s="71">
        <v>0</v>
      </c>
      <c r="AW185" s="71">
        <f t="shared" ca="1" si="30"/>
        <v>0</v>
      </c>
      <c r="AX185" s="71">
        <f ca="1">IF(E185&lt;'Invoer gegevens (N)'!$C$17+15,0,IF(E185&gt;'Invoer gegevens (N)'!$C$17+215,0,AW185))</f>
        <v>0</v>
      </c>
      <c r="AY185" s="71">
        <f ca="1">AX185/(1+'Invoer gegevens (N)'!$F$18)^($AZ185-('Invoer gegevens (N)'!$C$17-'Invoer gegevens (N)'!$C$16))/(1+'Invoer gegevens (N)'!$C$39)^('Invoer gegevens (N)'!$C$17-'Invoer gegevens (N)'!$C$16)</f>
        <v>0</v>
      </c>
      <c r="AZ185" s="68">
        <f ca="1">IF(E185-'Invoer gegevens (N)'!$C$17-14.5&lt;0,0,E185-'Invoer gegevens (N)'!$C$17-14.5)</f>
        <v>165.5</v>
      </c>
    </row>
    <row r="186" spans="2:52" x14ac:dyDescent="0.25">
      <c r="B186" s="70">
        <f t="shared" si="31"/>
        <v>182</v>
      </c>
      <c r="C186" s="67">
        <f ca="1">IF(E186-'Invoer gegevens (N)'!$C$17&lt;0,0,1)</f>
        <v>1</v>
      </c>
      <c r="D186" s="68">
        <f t="shared" si="32"/>
        <v>181.5</v>
      </c>
      <c r="E186" s="108">
        <f ca="1">IF('Invoer gegevens (N)'!$C$16="","",E185+1)</f>
        <v>2200</v>
      </c>
      <c r="F186" s="84">
        <f ca="1">IF('Invoer gegevens (N)'!$C$17=E186,'Invoer gegevens (N)'!$C$10,IF(C186=1,K185,0))</f>
        <v>0</v>
      </c>
      <c r="G186" s="96">
        <f ca="1">IF(C186&gt;=1,F186*VLOOKUP(E186,'Reeksen (N)'!$A$5:$B$76,2),0)</f>
        <v>0</v>
      </c>
      <c r="H186" s="84">
        <f ca="1">(1-('Invoer gegevens (N)'!$F$20/12))*F186*MIN('Reeksen (N)'!B186,'Reeksen (N)'!D186)</f>
        <v>0</v>
      </c>
      <c r="I186" s="84">
        <f>IF('Reeksen (N)'!D186&lt;'Reeksen (N)'!B186,('Reeksen (N)'!B186-'Reeksen (N)'!D186)*F186,0)</f>
        <v>0</v>
      </c>
      <c r="J186" s="84">
        <f ca="1">('Invoer gegevens (N)'!$F$20/12)*F185*MIN('Reeksen (N)'!B185,'Reeksen (N)'!D185)</f>
        <v>0</v>
      </c>
      <c r="K186" s="97">
        <f t="shared" ca="1" si="23"/>
        <v>0</v>
      </c>
      <c r="L186" s="84">
        <f ca="1">IF('Invoer gegevens (N)'!$C$17=E186,0,IF(C186=1,Q185,0))</f>
        <v>0</v>
      </c>
      <c r="M186" s="96">
        <f ca="1">IF(C186&gt;=1,L186*VLOOKUP(E186,'Reeksen (N)'!$A$5:$B$76,2),0)</f>
        <v>0</v>
      </c>
      <c r="N186" s="84">
        <f ca="1">(1-('Invoer gegevens (N)'!$F$20/12))*L186*MIN('Reeksen (N)'!B186,'Reeksen (N)'!D186)</f>
        <v>0</v>
      </c>
      <c r="O186" s="84">
        <f>IF('Reeksen (N)'!D186&lt;'Reeksen (N)'!B186,('Reeksen (N)'!B186-'Reeksen (N)'!D186)*L186,0)</f>
        <v>0</v>
      </c>
      <c r="P186" s="84">
        <f ca="1">('Invoer gegevens (N)'!$F$20/12)*L185*MIN('Reeksen (N)'!B185,'Reeksen (N)'!D185)</f>
        <v>0</v>
      </c>
      <c r="Q186" s="84">
        <f t="shared" ca="1" si="24"/>
        <v>0</v>
      </c>
      <c r="R186" s="82">
        <f ca="1">IF('Invoer gegevens (N)'!$C$17=E186,'Invoer gegevens (N)'!$C$11,IF(C186=1,W185,0))</f>
        <v>0</v>
      </c>
      <c r="S186" s="86">
        <f ca="1">IF(C186&gt;=1,R186*VLOOKUP(E186,'Reeksen (N)'!$A$5:$B$76,2),0)</f>
        <v>0</v>
      </c>
      <c r="T186" s="84">
        <f ca="1">(1-('Invoer gegevens (N)'!$F$20/12))*R186*MIN('Reeksen (N)'!B186,'Reeksen (N)'!D186)</f>
        <v>0</v>
      </c>
      <c r="U186" s="84">
        <f>IF('Reeksen (N)'!D186&gt;='Reeksen (N)'!B186,0,IF('Reeksen (N)'!AK186&lt;='Reeksen (N)'!AE186,('Reeksen (N)'!B186-'Reeksen (N)'!D186)*R186,0))</f>
        <v>0</v>
      </c>
      <c r="V186" s="86">
        <f>IF('Reeksen (N)'!D186&gt;='Reeksen (N)'!B186,0,IF('Reeksen (N)'!AK186&gt;'Reeksen (N)'!AE186,('Reeksen (N)'!B186-'Reeksen (N)'!D186)*R186,0))</f>
        <v>0</v>
      </c>
      <c r="W186" s="97">
        <f t="shared" ca="1" si="25"/>
        <v>0</v>
      </c>
      <c r="X186" s="98">
        <f ca="1">IF('Invoer gegevens (N)'!$C$17=E186,'Invoer gegevens (N)'!$C$10-'Invoer gegevens (N)'!$C$11,IF(C186=1,AC185,0))</f>
        <v>0</v>
      </c>
      <c r="Y186" s="98">
        <f ca="1">IF(C186&gt;=1,X186*VLOOKUP(E186,'Reeksen (N)'!$A$5:$B$76,2),0)</f>
        <v>0</v>
      </c>
      <c r="Z186" s="98">
        <f ca="1">(1-('Invoer gegevens (N)'!$F$20/12))*X186*MIN('Reeksen (N)'!B186,'Reeksen (N)'!D186)</f>
        <v>0</v>
      </c>
      <c r="AA186" s="98">
        <f>IF('Reeksen (N)'!D186&gt;='Reeksen (N)'!B186,0,IF('Reeksen (N)'!AK186&lt;='Reeksen (N)'!AE186,('Reeksen (N)'!B186-'Reeksen (N)'!D186)*X186,0))</f>
        <v>0</v>
      </c>
      <c r="AB186" s="98">
        <f>IF('Reeksen (N)'!D186&gt;='Reeksen (N)'!B186,0,IF('Reeksen (N)'!AK186&gt;'Reeksen (N)'!AE186,('Reeksen (N)'!B186-'Reeksen (N)'!D186)*X186,0))</f>
        <v>0</v>
      </c>
      <c r="AC186" s="99">
        <f t="shared" ca="1" si="26"/>
        <v>0</v>
      </c>
      <c r="AD186" s="98">
        <f ca="1">IF('Invoer gegevens (N)'!$C$17=E186,R186,IF(C186=0,0,AE185))</f>
        <v>0</v>
      </c>
      <c r="AE186" s="98">
        <f t="shared" ca="1" si="27"/>
        <v>0</v>
      </c>
      <c r="AF186" s="98">
        <f ca="1">IF('Invoer gegevens (N)'!$C$17=E186,X186,IF(C186=0,0,AG185))</f>
        <v>0</v>
      </c>
      <c r="AG186" s="98">
        <f t="shared" ca="1" si="28"/>
        <v>0</v>
      </c>
      <c r="AH186" s="68"/>
      <c r="AI186" s="71">
        <f ca="1">IF(C186=1,'Reeksen (N)'!AJ186*((F186-G186+F186)/2)*12+'Reeksen (N)'!AK186*((L186-M186+L186)/2)*12,0)</f>
        <v>0</v>
      </c>
      <c r="AJ186" s="71">
        <f ca="1">-AI186*'Invoer gegevens (N)'!$F$28</f>
        <v>0</v>
      </c>
      <c r="AK186" s="71">
        <f t="shared" ca="1" si="22"/>
        <v>0</v>
      </c>
      <c r="AL186" s="71">
        <f ca="1">IF(C186=1,'Reeksen (N)'!AL186*((F186-G186+F186)/2)*12+'Reeksen (N)'!AM186*((L186-M186+L186)/2)*12,0)</f>
        <v>0</v>
      </c>
      <c r="AM186" s="71">
        <f ca="1">-AL186*'Invoer gegevens (N)'!$F$31</f>
        <v>0</v>
      </c>
      <c r="AN186" s="71">
        <f t="shared" ca="1" si="29"/>
        <v>0</v>
      </c>
      <c r="AO186" s="71">
        <f ca="1">IF(C186=1,(H186+J186+N186+P186)*'Reeksen (N)'!AN186,0)</f>
        <v>0</v>
      </c>
      <c r="AP186" s="71">
        <f ca="1">-IF(C186=1,(H186+J186+N186+P186)*'Hulp - basis'!$O$550*'Reeksen (N)'!H186,0)</f>
        <v>0</v>
      </c>
      <c r="AQ186" s="71">
        <f ca="1">-IF(C186=1,(F186+K186+L186+Q186)/2*'Invoer gegevens (N)'!$I$33*'Reeksen (N)'!J186,0)*2</f>
        <v>0</v>
      </c>
      <c r="AR186" s="71">
        <f ca="1">-IF(C186=1,(I186*'Invoer gegevens (N)'!$I$34)*'Reeksen (N)'!J186,0)</f>
        <v>0</v>
      </c>
      <c r="AS186" s="71">
        <f ca="1">-IF(C186=1,(F186+K186+L186+Q186)/2*'Invoer gegevens (N)'!$I$35*'Reeksen (N)'!L186,0)</f>
        <v>0</v>
      </c>
      <c r="AT186" s="71">
        <f ca="1">-IF(C186=1,IF(E186='Invoer gegevens (N)'!$C$17,'Invoer gegevens (N)'!$C$11,AD186)*'Reeksen (N)'!S186*'Invoer gegevens (N)'!$C$18*'Reeksen (N)'!P186,0)</f>
        <v>0</v>
      </c>
      <c r="AU186" s="71">
        <f ca="1">-IF(C186=1,(F186+K186+L186+Q186)/2*'Invoer gegevens (N)'!$I$36*'Reeksen (N)'!H186,0)</f>
        <v>0</v>
      </c>
      <c r="AV186" s="71">
        <v>0</v>
      </c>
      <c r="AW186" s="71">
        <f t="shared" ca="1" si="30"/>
        <v>0</v>
      </c>
      <c r="AX186" s="71">
        <f ca="1">IF(E186&lt;'Invoer gegevens (N)'!$C$17+15,0,IF(E186&gt;'Invoer gegevens (N)'!$C$17+215,0,AW186))</f>
        <v>0</v>
      </c>
      <c r="AY186" s="71">
        <f ca="1">AX186/(1+'Invoer gegevens (N)'!$F$18)^($AZ186-('Invoer gegevens (N)'!$C$17-'Invoer gegevens (N)'!$C$16))/(1+'Invoer gegevens (N)'!$C$39)^('Invoer gegevens (N)'!$C$17-'Invoer gegevens (N)'!$C$16)</f>
        <v>0</v>
      </c>
      <c r="AZ186" s="68">
        <f ca="1">IF(E186-'Invoer gegevens (N)'!$C$17-14.5&lt;0,0,E186-'Invoer gegevens (N)'!$C$17-14.5)</f>
        <v>166.5</v>
      </c>
    </row>
    <row r="187" spans="2:52" x14ac:dyDescent="0.25">
      <c r="B187" s="70">
        <f t="shared" si="31"/>
        <v>183</v>
      </c>
      <c r="C187" s="67">
        <f ca="1">IF(E187-'Invoer gegevens (N)'!$C$17&lt;0,0,1)</f>
        <v>1</v>
      </c>
      <c r="D187" s="68">
        <f t="shared" si="32"/>
        <v>182.5</v>
      </c>
      <c r="E187" s="108">
        <f ca="1">IF('Invoer gegevens (N)'!$C$16="","",E186+1)</f>
        <v>2201</v>
      </c>
      <c r="F187" s="84">
        <f ca="1">IF('Invoer gegevens (N)'!$C$17=E187,'Invoer gegevens (N)'!$C$10,IF(C187=1,K186,0))</f>
        <v>0</v>
      </c>
      <c r="G187" s="96">
        <f ca="1">IF(C187&gt;=1,F187*VLOOKUP(E187,'Reeksen (N)'!$A$5:$B$76,2),0)</f>
        <v>0</v>
      </c>
      <c r="H187" s="84">
        <f ca="1">(1-('Invoer gegevens (N)'!$F$20/12))*F187*MIN('Reeksen (N)'!B187,'Reeksen (N)'!D187)</f>
        <v>0</v>
      </c>
      <c r="I187" s="84">
        <f>IF('Reeksen (N)'!D187&lt;'Reeksen (N)'!B187,('Reeksen (N)'!B187-'Reeksen (N)'!D187)*F187,0)</f>
        <v>0</v>
      </c>
      <c r="J187" s="84">
        <f ca="1">('Invoer gegevens (N)'!$F$20/12)*F186*MIN('Reeksen (N)'!B186,'Reeksen (N)'!D186)</f>
        <v>0</v>
      </c>
      <c r="K187" s="97">
        <f t="shared" ca="1" si="23"/>
        <v>0</v>
      </c>
      <c r="L187" s="84">
        <f ca="1">IF('Invoer gegevens (N)'!$C$17=E187,0,IF(C187=1,Q186,0))</f>
        <v>0</v>
      </c>
      <c r="M187" s="96">
        <f ca="1">IF(C187&gt;=1,L187*VLOOKUP(E187,'Reeksen (N)'!$A$5:$B$76,2),0)</f>
        <v>0</v>
      </c>
      <c r="N187" s="84">
        <f ca="1">(1-('Invoer gegevens (N)'!$F$20/12))*L187*MIN('Reeksen (N)'!B187,'Reeksen (N)'!D187)</f>
        <v>0</v>
      </c>
      <c r="O187" s="84">
        <f>IF('Reeksen (N)'!D187&lt;'Reeksen (N)'!B187,('Reeksen (N)'!B187-'Reeksen (N)'!D187)*L187,0)</f>
        <v>0</v>
      </c>
      <c r="P187" s="84">
        <f ca="1">('Invoer gegevens (N)'!$F$20/12)*L186*MIN('Reeksen (N)'!B186,'Reeksen (N)'!D186)</f>
        <v>0</v>
      </c>
      <c r="Q187" s="84">
        <f t="shared" ca="1" si="24"/>
        <v>0</v>
      </c>
      <c r="R187" s="82">
        <f ca="1">IF('Invoer gegevens (N)'!$C$17=E187,'Invoer gegevens (N)'!$C$11,IF(C187=1,W186,0))</f>
        <v>0</v>
      </c>
      <c r="S187" s="86">
        <f ca="1">IF(C187&gt;=1,R187*VLOOKUP(E187,'Reeksen (N)'!$A$5:$B$76,2),0)</f>
        <v>0</v>
      </c>
      <c r="T187" s="84">
        <f ca="1">(1-('Invoer gegevens (N)'!$F$20/12))*R187*MIN('Reeksen (N)'!B187,'Reeksen (N)'!D187)</f>
        <v>0</v>
      </c>
      <c r="U187" s="84">
        <f>IF('Reeksen (N)'!D187&gt;='Reeksen (N)'!B187,0,IF('Reeksen (N)'!AK187&lt;='Reeksen (N)'!AE187,('Reeksen (N)'!B187-'Reeksen (N)'!D187)*R187,0))</f>
        <v>0</v>
      </c>
      <c r="V187" s="86">
        <f>IF('Reeksen (N)'!D187&gt;='Reeksen (N)'!B187,0,IF('Reeksen (N)'!AK187&gt;'Reeksen (N)'!AE187,('Reeksen (N)'!B187-'Reeksen (N)'!D187)*R187,0))</f>
        <v>0</v>
      </c>
      <c r="W187" s="97">
        <f t="shared" ca="1" si="25"/>
        <v>0</v>
      </c>
      <c r="X187" s="98">
        <f ca="1">IF('Invoer gegevens (N)'!$C$17=E187,'Invoer gegevens (N)'!$C$10-'Invoer gegevens (N)'!$C$11,IF(C187=1,AC186,0))</f>
        <v>0</v>
      </c>
      <c r="Y187" s="98">
        <f ca="1">IF(C187&gt;=1,X187*VLOOKUP(E187,'Reeksen (N)'!$A$5:$B$76,2),0)</f>
        <v>0</v>
      </c>
      <c r="Z187" s="98">
        <f ca="1">(1-('Invoer gegevens (N)'!$F$20/12))*X187*MIN('Reeksen (N)'!B187,'Reeksen (N)'!D187)</f>
        <v>0</v>
      </c>
      <c r="AA187" s="98">
        <f>IF('Reeksen (N)'!D187&gt;='Reeksen (N)'!B187,0,IF('Reeksen (N)'!AK187&lt;='Reeksen (N)'!AE187,('Reeksen (N)'!B187-'Reeksen (N)'!D187)*X187,0))</f>
        <v>0</v>
      </c>
      <c r="AB187" s="98">
        <f>IF('Reeksen (N)'!D187&gt;='Reeksen (N)'!B187,0,IF('Reeksen (N)'!AK187&gt;'Reeksen (N)'!AE187,('Reeksen (N)'!B187-'Reeksen (N)'!D187)*X187,0))</f>
        <v>0</v>
      </c>
      <c r="AC187" s="99">
        <f t="shared" ca="1" si="26"/>
        <v>0</v>
      </c>
      <c r="AD187" s="98">
        <f ca="1">IF('Invoer gegevens (N)'!$C$17=E187,R187,IF(C187=0,0,AE186))</f>
        <v>0</v>
      </c>
      <c r="AE187" s="98">
        <f t="shared" ca="1" si="27"/>
        <v>0</v>
      </c>
      <c r="AF187" s="98">
        <f ca="1">IF('Invoer gegevens (N)'!$C$17=E187,X187,IF(C187=0,0,AG186))</f>
        <v>0</v>
      </c>
      <c r="AG187" s="98">
        <f t="shared" ca="1" si="28"/>
        <v>0</v>
      </c>
      <c r="AH187" s="68"/>
      <c r="AI187" s="71">
        <f ca="1">IF(C187=1,'Reeksen (N)'!AJ187*((F187-G187+F187)/2)*12+'Reeksen (N)'!AK187*((L187-M187+L187)/2)*12,0)</f>
        <v>0</v>
      </c>
      <c r="AJ187" s="71">
        <f ca="1">-AI187*'Invoer gegevens (N)'!$F$28</f>
        <v>0</v>
      </c>
      <c r="AK187" s="71">
        <f t="shared" ca="1" si="22"/>
        <v>0</v>
      </c>
      <c r="AL187" s="71">
        <f ca="1">IF(C187=1,'Reeksen (N)'!AL187*((F187-G187+F187)/2)*12+'Reeksen (N)'!AM187*((L187-M187+L187)/2)*12,0)</f>
        <v>0</v>
      </c>
      <c r="AM187" s="71">
        <f ca="1">-AL187*'Invoer gegevens (N)'!$F$31</f>
        <v>0</v>
      </c>
      <c r="AN187" s="71">
        <f t="shared" ca="1" si="29"/>
        <v>0</v>
      </c>
      <c r="AO187" s="71">
        <f ca="1">IF(C187=1,(H187+J187+N187+P187)*'Reeksen (N)'!AN187,0)</f>
        <v>0</v>
      </c>
      <c r="AP187" s="71">
        <f ca="1">-IF(C187=1,(H187+J187+N187+P187)*'Hulp - basis'!$O$550*'Reeksen (N)'!H187,0)</f>
        <v>0</v>
      </c>
      <c r="AQ187" s="71">
        <f ca="1">-IF(C187=1,(F187+K187+L187+Q187)/2*'Invoer gegevens (N)'!$I$33*'Reeksen (N)'!J187,0)*2</f>
        <v>0</v>
      </c>
      <c r="AR187" s="71">
        <f ca="1">-IF(C187=1,(I187*'Invoer gegevens (N)'!$I$34)*'Reeksen (N)'!J187,0)</f>
        <v>0</v>
      </c>
      <c r="AS187" s="71">
        <f ca="1">-IF(C187=1,(F187+K187+L187+Q187)/2*'Invoer gegevens (N)'!$I$35*'Reeksen (N)'!L187,0)</f>
        <v>0</v>
      </c>
      <c r="AT187" s="71">
        <f ca="1">-IF(C187=1,IF(E187='Invoer gegevens (N)'!$C$17,'Invoer gegevens (N)'!$C$11,AD187)*'Reeksen (N)'!S187*'Invoer gegevens (N)'!$C$18*'Reeksen (N)'!P187,0)</f>
        <v>0</v>
      </c>
      <c r="AU187" s="71">
        <f ca="1">-IF(C187=1,(F187+K187+L187+Q187)/2*'Invoer gegevens (N)'!$I$36*'Reeksen (N)'!H187,0)</f>
        <v>0</v>
      </c>
      <c r="AV187" s="71">
        <v>0</v>
      </c>
      <c r="AW187" s="71">
        <f t="shared" ca="1" si="30"/>
        <v>0</v>
      </c>
      <c r="AX187" s="71">
        <f ca="1">IF(E187&lt;'Invoer gegevens (N)'!$C$17+15,0,IF(E187&gt;'Invoer gegevens (N)'!$C$17+215,0,AW187))</f>
        <v>0</v>
      </c>
      <c r="AY187" s="71">
        <f ca="1">AX187/(1+'Invoer gegevens (N)'!$F$18)^($AZ187-('Invoer gegevens (N)'!$C$17-'Invoer gegevens (N)'!$C$16))/(1+'Invoer gegevens (N)'!$C$39)^('Invoer gegevens (N)'!$C$17-'Invoer gegevens (N)'!$C$16)</f>
        <v>0</v>
      </c>
      <c r="AZ187" s="68">
        <f ca="1">IF(E187-'Invoer gegevens (N)'!$C$17-14.5&lt;0,0,E187-'Invoer gegevens (N)'!$C$17-14.5)</f>
        <v>167.5</v>
      </c>
    </row>
    <row r="188" spans="2:52" x14ac:dyDescent="0.25">
      <c r="B188" s="70">
        <f t="shared" si="31"/>
        <v>184</v>
      </c>
      <c r="C188" s="67">
        <f ca="1">IF(E188-'Invoer gegevens (N)'!$C$17&lt;0,0,1)</f>
        <v>1</v>
      </c>
      <c r="D188" s="68">
        <f t="shared" si="32"/>
        <v>183.5</v>
      </c>
      <c r="E188" s="108">
        <f ca="1">IF('Invoer gegevens (N)'!$C$16="","",E187+1)</f>
        <v>2202</v>
      </c>
      <c r="F188" s="84">
        <f ca="1">IF('Invoer gegevens (N)'!$C$17=E188,'Invoer gegevens (N)'!$C$10,IF(C188=1,K187,0))</f>
        <v>0</v>
      </c>
      <c r="G188" s="96">
        <f ca="1">IF(C188&gt;=1,F188*VLOOKUP(E188,'Reeksen (N)'!$A$5:$B$76,2),0)</f>
        <v>0</v>
      </c>
      <c r="H188" s="84">
        <f ca="1">(1-('Invoer gegevens (N)'!$F$20/12))*F188*MIN('Reeksen (N)'!B188,'Reeksen (N)'!D188)</f>
        <v>0</v>
      </c>
      <c r="I188" s="84">
        <f>IF('Reeksen (N)'!D188&lt;'Reeksen (N)'!B188,('Reeksen (N)'!B188-'Reeksen (N)'!D188)*F188,0)</f>
        <v>0</v>
      </c>
      <c r="J188" s="84">
        <f ca="1">('Invoer gegevens (N)'!$F$20/12)*F187*MIN('Reeksen (N)'!B187,'Reeksen (N)'!D187)</f>
        <v>0</v>
      </c>
      <c r="K188" s="97">
        <f t="shared" ca="1" si="23"/>
        <v>0</v>
      </c>
      <c r="L188" s="84">
        <f ca="1">IF('Invoer gegevens (N)'!$C$17=E188,0,IF(C188=1,Q187,0))</f>
        <v>0</v>
      </c>
      <c r="M188" s="96">
        <f ca="1">IF(C188&gt;=1,L188*VLOOKUP(E188,'Reeksen (N)'!$A$5:$B$76,2),0)</f>
        <v>0</v>
      </c>
      <c r="N188" s="84">
        <f ca="1">(1-('Invoer gegevens (N)'!$F$20/12))*L188*MIN('Reeksen (N)'!B188,'Reeksen (N)'!D188)</f>
        <v>0</v>
      </c>
      <c r="O188" s="84">
        <f>IF('Reeksen (N)'!D188&lt;'Reeksen (N)'!B188,('Reeksen (N)'!B188-'Reeksen (N)'!D188)*L188,0)</f>
        <v>0</v>
      </c>
      <c r="P188" s="84">
        <f ca="1">('Invoer gegevens (N)'!$F$20/12)*L187*MIN('Reeksen (N)'!B187,'Reeksen (N)'!D187)</f>
        <v>0</v>
      </c>
      <c r="Q188" s="84">
        <f t="shared" ca="1" si="24"/>
        <v>0</v>
      </c>
      <c r="R188" s="82">
        <f ca="1">IF('Invoer gegevens (N)'!$C$17=E188,'Invoer gegevens (N)'!$C$11,IF(C188=1,W187,0))</f>
        <v>0</v>
      </c>
      <c r="S188" s="86">
        <f ca="1">IF(C188&gt;=1,R188*VLOOKUP(E188,'Reeksen (N)'!$A$5:$B$76,2),0)</f>
        <v>0</v>
      </c>
      <c r="T188" s="84">
        <f ca="1">(1-('Invoer gegevens (N)'!$F$20/12))*R188*MIN('Reeksen (N)'!B188,'Reeksen (N)'!D188)</f>
        <v>0</v>
      </c>
      <c r="U188" s="84">
        <f>IF('Reeksen (N)'!D188&gt;='Reeksen (N)'!B188,0,IF('Reeksen (N)'!AK188&lt;='Reeksen (N)'!AE188,('Reeksen (N)'!B188-'Reeksen (N)'!D188)*R188,0))</f>
        <v>0</v>
      </c>
      <c r="V188" s="86">
        <f>IF('Reeksen (N)'!D188&gt;='Reeksen (N)'!B188,0,IF('Reeksen (N)'!AK188&gt;'Reeksen (N)'!AE188,('Reeksen (N)'!B188-'Reeksen (N)'!D188)*R188,0))</f>
        <v>0</v>
      </c>
      <c r="W188" s="97">
        <f t="shared" ca="1" si="25"/>
        <v>0</v>
      </c>
      <c r="X188" s="98">
        <f ca="1">IF('Invoer gegevens (N)'!$C$17=E188,'Invoer gegevens (N)'!$C$10-'Invoer gegevens (N)'!$C$11,IF(C188=1,AC187,0))</f>
        <v>0</v>
      </c>
      <c r="Y188" s="98">
        <f ca="1">IF(C188&gt;=1,X188*VLOOKUP(E188,'Reeksen (N)'!$A$5:$B$76,2),0)</f>
        <v>0</v>
      </c>
      <c r="Z188" s="98">
        <f ca="1">(1-('Invoer gegevens (N)'!$F$20/12))*X188*MIN('Reeksen (N)'!B188,'Reeksen (N)'!D188)</f>
        <v>0</v>
      </c>
      <c r="AA188" s="98">
        <f>IF('Reeksen (N)'!D188&gt;='Reeksen (N)'!B188,0,IF('Reeksen (N)'!AK188&lt;='Reeksen (N)'!AE188,('Reeksen (N)'!B188-'Reeksen (N)'!D188)*X188,0))</f>
        <v>0</v>
      </c>
      <c r="AB188" s="98">
        <f>IF('Reeksen (N)'!D188&gt;='Reeksen (N)'!B188,0,IF('Reeksen (N)'!AK188&gt;'Reeksen (N)'!AE188,('Reeksen (N)'!B188-'Reeksen (N)'!D188)*X188,0))</f>
        <v>0</v>
      </c>
      <c r="AC188" s="99">
        <f t="shared" ca="1" si="26"/>
        <v>0</v>
      </c>
      <c r="AD188" s="98">
        <f ca="1">IF('Invoer gegevens (N)'!$C$17=E188,R188,IF(C188=0,0,AE187))</f>
        <v>0</v>
      </c>
      <c r="AE188" s="98">
        <f t="shared" ca="1" si="27"/>
        <v>0</v>
      </c>
      <c r="AF188" s="98">
        <f ca="1">IF('Invoer gegevens (N)'!$C$17=E188,X188,IF(C188=0,0,AG187))</f>
        <v>0</v>
      </c>
      <c r="AG188" s="98">
        <f t="shared" ca="1" si="28"/>
        <v>0</v>
      </c>
      <c r="AH188" s="68"/>
      <c r="AI188" s="71">
        <f ca="1">IF(C188=1,'Reeksen (N)'!AJ188*((F188-G188+F188)/2)*12+'Reeksen (N)'!AK188*((L188-M188+L188)/2)*12,0)</f>
        <v>0</v>
      </c>
      <c r="AJ188" s="71">
        <f ca="1">-AI188*'Invoer gegevens (N)'!$F$28</f>
        <v>0</v>
      </c>
      <c r="AK188" s="71">
        <f t="shared" ca="1" si="22"/>
        <v>0</v>
      </c>
      <c r="AL188" s="71">
        <f ca="1">IF(C188=1,'Reeksen (N)'!AL188*((F188-G188+F188)/2)*12+'Reeksen (N)'!AM188*((L188-M188+L188)/2)*12,0)</f>
        <v>0</v>
      </c>
      <c r="AM188" s="71">
        <f ca="1">-AL188*'Invoer gegevens (N)'!$F$31</f>
        <v>0</v>
      </c>
      <c r="AN188" s="71">
        <f t="shared" ca="1" si="29"/>
        <v>0</v>
      </c>
      <c r="AO188" s="71">
        <f ca="1">IF(C188=1,(H188+J188+N188+P188)*'Reeksen (N)'!AN188,0)</f>
        <v>0</v>
      </c>
      <c r="AP188" s="71">
        <f ca="1">-IF(C188=1,(H188+J188+N188+P188)*'Hulp - basis'!$O$550*'Reeksen (N)'!H188,0)</f>
        <v>0</v>
      </c>
      <c r="AQ188" s="71">
        <f ca="1">-IF(C188=1,(F188+K188+L188+Q188)/2*'Invoer gegevens (N)'!$I$33*'Reeksen (N)'!J188,0)*2</f>
        <v>0</v>
      </c>
      <c r="AR188" s="71">
        <f ca="1">-IF(C188=1,(I188*'Invoer gegevens (N)'!$I$34)*'Reeksen (N)'!J188,0)</f>
        <v>0</v>
      </c>
      <c r="AS188" s="71">
        <f ca="1">-IF(C188=1,(F188+K188+L188+Q188)/2*'Invoer gegevens (N)'!$I$35*'Reeksen (N)'!L188,0)</f>
        <v>0</v>
      </c>
      <c r="AT188" s="71">
        <f ca="1">-IF(C188=1,IF(E188='Invoer gegevens (N)'!$C$17,'Invoer gegevens (N)'!$C$11,AD188)*'Reeksen (N)'!S188*'Invoer gegevens (N)'!$C$18*'Reeksen (N)'!P188,0)</f>
        <v>0</v>
      </c>
      <c r="AU188" s="71">
        <f ca="1">-IF(C188=1,(F188+K188+L188+Q188)/2*'Invoer gegevens (N)'!$I$36*'Reeksen (N)'!H188,0)</f>
        <v>0</v>
      </c>
      <c r="AV188" s="71">
        <v>0</v>
      </c>
      <c r="AW188" s="71">
        <f t="shared" ca="1" si="30"/>
        <v>0</v>
      </c>
      <c r="AX188" s="71">
        <f ca="1">IF(E188&lt;'Invoer gegevens (N)'!$C$17+15,0,IF(E188&gt;'Invoer gegevens (N)'!$C$17+215,0,AW188))</f>
        <v>0</v>
      </c>
      <c r="AY188" s="71">
        <f ca="1">AX188/(1+'Invoer gegevens (N)'!$F$18)^($AZ188-('Invoer gegevens (N)'!$C$17-'Invoer gegevens (N)'!$C$16))/(1+'Invoer gegevens (N)'!$C$39)^('Invoer gegevens (N)'!$C$17-'Invoer gegevens (N)'!$C$16)</f>
        <v>0</v>
      </c>
      <c r="AZ188" s="68">
        <f ca="1">IF(E188-'Invoer gegevens (N)'!$C$17-14.5&lt;0,0,E188-'Invoer gegevens (N)'!$C$17-14.5)</f>
        <v>168.5</v>
      </c>
    </row>
    <row r="189" spans="2:52" x14ac:dyDescent="0.25">
      <c r="B189" s="70">
        <f t="shared" si="31"/>
        <v>185</v>
      </c>
      <c r="C189" s="67">
        <f ca="1">IF(E189-'Invoer gegevens (N)'!$C$17&lt;0,0,1)</f>
        <v>1</v>
      </c>
      <c r="D189" s="68">
        <f t="shared" si="32"/>
        <v>184.5</v>
      </c>
      <c r="E189" s="108">
        <f ca="1">IF('Invoer gegevens (N)'!$C$16="","",E188+1)</f>
        <v>2203</v>
      </c>
      <c r="F189" s="84">
        <f ca="1">IF('Invoer gegevens (N)'!$C$17=E189,'Invoer gegevens (N)'!$C$10,IF(C189=1,K188,0))</f>
        <v>0</v>
      </c>
      <c r="G189" s="96">
        <f ca="1">IF(C189&gt;=1,F189*VLOOKUP(E189,'Reeksen (N)'!$A$5:$B$76,2),0)</f>
        <v>0</v>
      </c>
      <c r="H189" s="84">
        <f ca="1">(1-('Invoer gegevens (N)'!$F$20/12))*F189*MIN('Reeksen (N)'!B189,'Reeksen (N)'!D189)</f>
        <v>0</v>
      </c>
      <c r="I189" s="84">
        <f>IF('Reeksen (N)'!D189&lt;'Reeksen (N)'!B189,('Reeksen (N)'!B189-'Reeksen (N)'!D189)*F189,0)</f>
        <v>0</v>
      </c>
      <c r="J189" s="84">
        <f ca="1">('Invoer gegevens (N)'!$F$20/12)*F188*MIN('Reeksen (N)'!B188,'Reeksen (N)'!D188)</f>
        <v>0</v>
      </c>
      <c r="K189" s="97">
        <f t="shared" ca="1" si="23"/>
        <v>0</v>
      </c>
      <c r="L189" s="84">
        <f ca="1">IF('Invoer gegevens (N)'!$C$17=E189,0,IF(C189=1,Q188,0))</f>
        <v>0</v>
      </c>
      <c r="M189" s="96">
        <f ca="1">IF(C189&gt;=1,L189*VLOOKUP(E189,'Reeksen (N)'!$A$5:$B$76,2),0)</f>
        <v>0</v>
      </c>
      <c r="N189" s="84">
        <f ca="1">(1-('Invoer gegevens (N)'!$F$20/12))*L189*MIN('Reeksen (N)'!B189,'Reeksen (N)'!D189)</f>
        <v>0</v>
      </c>
      <c r="O189" s="84">
        <f>IF('Reeksen (N)'!D189&lt;'Reeksen (N)'!B189,('Reeksen (N)'!B189-'Reeksen (N)'!D189)*L189,0)</f>
        <v>0</v>
      </c>
      <c r="P189" s="84">
        <f ca="1">('Invoer gegevens (N)'!$F$20/12)*L188*MIN('Reeksen (N)'!B188,'Reeksen (N)'!D188)</f>
        <v>0</v>
      </c>
      <c r="Q189" s="84">
        <f t="shared" ca="1" si="24"/>
        <v>0</v>
      </c>
      <c r="R189" s="82">
        <f ca="1">IF('Invoer gegevens (N)'!$C$17=E189,'Invoer gegevens (N)'!$C$11,IF(C189=1,W188,0))</f>
        <v>0</v>
      </c>
      <c r="S189" s="86">
        <f ca="1">IF(C189&gt;=1,R189*VLOOKUP(E189,'Reeksen (N)'!$A$5:$B$76,2),0)</f>
        <v>0</v>
      </c>
      <c r="T189" s="84">
        <f ca="1">(1-('Invoer gegevens (N)'!$F$20/12))*R189*MIN('Reeksen (N)'!B189,'Reeksen (N)'!D189)</f>
        <v>0</v>
      </c>
      <c r="U189" s="84">
        <f>IF('Reeksen (N)'!D189&gt;='Reeksen (N)'!B189,0,IF('Reeksen (N)'!AK189&lt;='Reeksen (N)'!AE189,('Reeksen (N)'!B189-'Reeksen (N)'!D189)*R189,0))</f>
        <v>0</v>
      </c>
      <c r="V189" s="86">
        <f>IF('Reeksen (N)'!D189&gt;='Reeksen (N)'!B189,0,IF('Reeksen (N)'!AK189&gt;'Reeksen (N)'!AE189,('Reeksen (N)'!B189-'Reeksen (N)'!D189)*R189,0))</f>
        <v>0</v>
      </c>
      <c r="W189" s="97">
        <f t="shared" ca="1" si="25"/>
        <v>0</v>
      </c>
      <c r="X189" s="98">
        <f ca="1">IF('Invoer gegevens (N)'!$C$17=E189,'Invoer gegevens (N)'!$C$10-'Invoer gegevens (N)'!$C$11,IF(C189=1,AC188,0))</f>
        <v>0</v>
      </c>
      <c r="Y189" s="98">
        <f ca="1">IF(C189&gt;=1,X189*VLOOKUP(E189,'Reeksen (N)'!$A$5:$B$76,2),0)</f>
        <v>0</v>
      </c>
      <c r="Z189" s="98">
        <f ca="1">(1-('Invoer gegevens (N)'!$F$20/12))*X189*MIN('Reeksen (N)'!B189,'Reeksen (N)'!D189)</f>
        <v>0</v>
      </c>
      <c r="AA189" s="98">
        <f>IF('Reeksen (N)'!D189&gt;='Reeksen (N)'!B189,0,IF('Reeksen (N)'!AK189&lt;='Reeksen (N)'!AE189,('Reeksen (N)'!B189-'Reeksen (N)'!D189)*X189,0))</f>
        <v>0</v>
      </c>
      <c r="AB189" s="98">
        <f>IF('Reeksen (N)'!D189&gt;='Reeksen (N)'!B189,0,IF('Reeksen (N)'!AK189&gt;'Reeksen (N)'!AE189,('Reeksen (N)'!B189-'Reeksen (N)'!D189)*X189,0))</f>
        <v>0</v>
      </c>
      <c r="AC189" s="99">
        <f t="shared" ca="1" si="26"/>
        <v>0</v>
      </c>
      <c r="AD189" s="98">
        <f ca="1">IF('Invoer gegevens (N)'!$C$17=E189,R189,IF(C189=0,0,AE188))</f>
        <v>0</v>
      </c>
      <c r="AE189" s="98">
        <f t="shared" ca="1" si="27"/>
        <v>0</v>
      </c>
      <c r="AF189" s="98">
        <f ca="1">IF('Invoer gegevens (N)'!$C$17=E189,X189,IF(C189=0,0,AG188))</f>
        <v>0</v>
      </c>
      <c r="AG189" s="98">
        <f t="shared" ca="1" si="28"/>
        <v>0</v>
      </c>
      <c r="AH189" s="68"/>
      <c r="AI189" s="71">
        <f ca="1">IF(C189=1,'Reeksen (N)'!AJ189*((F189-G189+F189)/2)*12+'Reeksen (N)'!AK189*((L189-M189+L189)/2)*12,0)</f>
        <v>0</v>
      </c>
      <c r="AJ189" s="71">
        <f ca="1">-AI189*'Invoer gegevens (N)'!$F$28</f>
        <v>0</v>
      </c>
      <c r="AK189" s="71">
        <f t="shared" ca="1" si="22"/>
        <v>0</v>
      </c>
      <c r="AL189" s="71">
        <f ca="1">IF(C189=1,'Reeksen (N)'!AL189*((F189-G189+F189)/2)*12+'Reeksen (N)'!AM189*((L189-M189+L189)/2)*12,0)</f>
        <v>0</v>
      </c>
      <c r="AM189" s="71">
        <f ca="1">-AL189*'Invoer gegevens (N)'!$F$31</f>
        <v>0</v>
      </c>
      <c r="AN189" s="71">
        <f t="shared" ca="1" si="29"/>
        <v>0</v>
      </c>
      <c r="AO189" s="71">
        <f ca="1">IF(C189=1,(H189+J189+N189+P189)*'Reeksen (N)'!AN189,0)</f>
        <v>0</v>
      </c>
      <c r="AP189" s="71">
        <f ca="1">-IF(C189=1,(H189+J189+N189+P189)*'Hulp - basis'!$O$550*'Reeksen (N)'!H189,0)</f>
        <v>0</v>
      </c>
      <c r="AQ189" s="71">
        <f ca="1">-IF(C189=1,(F189+K189+L189+Q189)/2*'Invoer gegevens (N)'!$I$33*'Reeksen (N)'!J189,0)*2</f>
        <v>0</v>
      </c>
      <c r="AR189" s="71">
        <f ca="1">-IF(C189=1,(I189*'Invoer gegevens (N)'!$I$34)*'Reeksen (N)'!J189,0)</f>
        <v>0</v>
      </c>
      <c r="AS189" s="71">
        <f ca="1">-IF(C189=1,(F189+K189+L189+Q189)/2*'Invoer gegevens (N)'!$I$35*'Reeksen (N)'!L189,0)</f>
        <v>0</v>
      </c>
      <c r="AT189" s="71">
        <f ca="1">-IF(C189=1,IF(E189='Invoer gegevens (N)'!$C$17,'Invoer gegevens (N)'!$C$11,AD189)*'Reeksen (N)'!S189*'Invoer gegevens (N)'!$C$18*'Reeksen (N)'!P189,0)</f>
        <v>0</v>
      </c>
      <c r="AU189" s="71">
        <f ca="1">-IF(C189=1,(F189+K189+L189+Q189)/2*'Invoer gegevens (N)'!$I$36*'Reeksen (N)'!H189,0)</f>
        <v>0</v>
      </c>
      <c r="AV189" s="71">
        <v>0</v>
      </c>
      <c r="AW189" s="71">
        <f t="shared" ca="1" si="30"/>
        <v>0</v>
      </c>
      <c r="AX189" s="71">
        <f ca="1">IF(E189&lt;'Invoer gegevens (N)'!$C$17+15,0,IF(E189&gt;'Invoer gegevens (N)'!$C$17+215,0,AW189))</f>
        <v>0</v>
      </c>
      <c r="AY189" s="71">
        <f ca="1">AX189/(1+'Invoer gegevens (N)'!$F$18)^($AZ189-('Invoer gegevens (N)'!$C$17-'Invoer gegevens (N)'!$C$16))/(1+'Invoer gegevens (N)'!$C$39)^('Invoer gegevens (N)'!$C$17-'Invoer gegevens (N)'!$C$16)</f>
        <v>0</v>
      </c>
      <c r="AZ189" s="68">
        <f ca="1">IF(E189-'Invoer gegevens (N)'!$C$17-14.5&lt;0,0,E189-'Invoer gegevens (N)'!$C$17-14.5)</f>
        <v>169.5</v>
      </c>
    </row>
    <row r="190" spans="2:52" x14ac:dyDescent="0.25">
      <c r="B190" s="70">
        <f t="shared" si="31"/>
        <v>186</v>
      </c>
      <c r="C190" s="67">
        <f ca="1">IF(E190-'Invoer gegevens (N)'!$C$17&lt;0,0,1)</f>
        <v>1</v>
      </c>
      <c r="D190" s="68">
        <f t="shared" si="32"/>
        <v>185.5</v>
      </c>
      <c r="E190" s="108">
        <f ca="1">IF('Invoer gegevens (N)'!$C$16="","",E189+1)</f>
        <v>2204</v>
      </c>
      <c r="F190" s="84">
        <f ca="1">IF('Invoer gegevens (N)'!$C$17=E190,'Invoer gegevens (N)'!$C$10,IF(C190=1,K189,0))</f>
        <v>0</v>
      </c>
      <c r="G190" s="96">
        <f ca="1">IF(C190&gt;=1,F190*VLOOKUP(E190,'Reeksen (N)'!$A$5:$B$76,2),0)</f>
        <v>0</v>
      </c>
      <c r="H190" s="84">
        <f ca="1">(1-('Invoer gegevens (N)'!$F$20/12))*F190*MIN('Reeksen (N)'!B190,'Reeksen (N)'!D190)</f>
        <v>0</v>
      </c>
      <c r="I190" s="84">
        <f>IF('Reeksen (N)'!D190&lt;'Reeksen (N)'!B190,('Reeksen (N)'!B190-'Reeksen (N)'!D190)*F190,0)</f>
        <v>0</v>
      </c>
      <c r="J190" s="84">
        <f ca="1">('Invoer gegevens (N)'!$F$20/12)*F189*MIN('Reeksen (N)'!B189,'Reeksen (N)'!D189)</f>
        <v>0</v>
      </c>
      <c r="K190" s="97">
        <f t="shared" ca="1" si="23"/>
        <v>0</v>
      </c>
      <c r="L190" s="84">
        <f ca="1">IF('Invoer gegevens (N)'!$C$17=E190,0,IF(C190=1,Q189,0))</f>
        <v>0</v>
      </c>
      <c r="M190" s="96">
        <f ca="1">IF(C190&gt;=1,L190*VLOOKUP(E190,'Reeksen (N)'!$A$5:$B$76,2),0)</f>
        <v>0</v>
      </c>
      <c r="N190" s="84">
        <f ca="1">(1-('Invoer gegevens (N)'!$F$20/12))*L190*MIN('Reeksen (N)'!B190,'Reeksen (N)'!D190)</f>
        <v>0</v>
      </c>
      <c r="O190" s="84">
        <f>IF('Reeksen (N)'!D190&lt;'Reeksen (N)'!B190,('Reeksen (N)'!B190-'Reeksen (N)'!D190)*L190,0)</f>
        <v>0</v>
      </c>
      <c r="P190" s="84">
        <f ca="1">('Invoer gegevens (N)'!$F$20/12)*L189*MIN('Reeksen (N)'!B189,'Reeksen (N)'!D189)</f>
        <v>0</v>
      </c>
      <c r="Q190" s="84">
        <f t="shared" ca="1" si="24"/>
        <v>0</v>
      </c>
      <c r="R190" s="82">
        <f ca="1">IF('Invoer gegevens (N)'!$C$17=E190,'Invoer gegevens (N)'!$C$11,IF(C190=1,W189,0))</f>
        <v>0</v>
      </c>
      <c r="S190" s="86">
        <f ca="1">IF(C190&gt;=1,R190*VLOOKUP(E190,'Reeksen (N)'!$A$5:$B$76,2),0)</f>
        <v>0</v>
      </c>
      <c r="T190" s="84">
        <f ca="1">(1-('Invoer gegevens (N)'!$F$20/12))*R190*MIN('Reeksen (N)'!B190,'Reeksen (N)'!D190)</f>
        <v>0</v>
      </c>
      <c r="U190" s="84">
        <f>IF('Reeksen (N)'!D190&gt;='Reeksen (N)'!B190,0,IF('Reeksen (N)'!AK190&lt;='Reeksen (N)'!AE190,('Reeksen (N)'!B190-'Reeksen (N)'!D190)*R190,0))</f>
        <v>0</v>
      </c>
      <c r="V190" s="86">
        <f>IF('Reeksen (N)'!D190&gt;='Reeksen (N)'!B190,0,IF('Reeksen (N)'!AK190&gt;'Reeksen (N)'!AE190,('Reeksen (N)'!B190-'Reeksen (N)'!D190)*R190,0))</f>
        <v>0</v>
      </c>
      <c r="W190" s="97">
        <f t="shared" ca="1" si="25"/>
        <v>0</v>
      </c>
      <c r="X190" s="98">
        <f ca="1">IF('Invoer gegevens (N)'!$C$17=E190,'Invoer gegevens (N)'!$C$10-'Invoer gegevens (N)'!$C$11,IF(C190=1,AC189,0))</f>
        <v>0</v>
      </c>
      <c r="Y190" s="98">
        <f ca="1">IF(C190&gt;=1,X190*VLOOKUP(E190,'Reeksen (N)'!$A$5:$B$76,2),0)</f>
        <v>0</v>
      </c>
      <c r="Z190" s="98">
        <f ca="1">(1-('Invoer gegevens (N)'!$F$20/12))*X190*MIN('Reeksen (N)'!B190,'Reeksen (N)'!D190)</f>
        <v>0</v>
      </c>
      <c r="AA190" s="98">
        <f>IF('Reeksen (N)'!D190&gt;='Reeksen (N)'!B190,0,IF('Reeksen (N)'!AK190&lt;='Reeksen (N)'!AE190,('Reeksen (N)'!B190-'Reeksen (N)'!D190)*X190,0))</f>
        <v>0</v>
      </c>
      <c r="AB190" s="98">
        <f>IF('Reeksen (N)'!D190&gt;='Reeksen (N)'!B190,0,IF('Reeksen (N)'!AK190&gt;'Reeksen (N)'!AE190,('Reeksen (N)'!B190-'Reeksen (N)'!D190)*X190,0))</f>
        <v>0</v>
      </c>
      <c r="AC190" s="99">
        <f t="shared" ca="1" si="26"/>
        <v>0</v>
      </c>
      <c r="AD190" s="98">
        <f ca="1">IF('Invoer gegevens (N)'!$C$17=E190,R190,IF(C190=0,0,AE189))</f>
        <v>0</v>
      </c>
      <c r="AE190" s="98">
        <f t="shared" ca="1" si="27"/>
        <v>0</v>
      </c>
      <c r="AF190" s="98">
        <f ca="1">IF('Invoer gegevens (N)'!$C$17=E190,X190,IF(C190=0,0,AG189))</f>
        <v>0</v>
      </c>
      <c r="AG190" s="98">
        <f t="shared" ca="1" si="28"/>
        <v>0</v>
      </c>
      <c r="AH190" s="68"/>
      <c r="AI190" s="71">
        <f ca="1">IF(C190=1,'Reeksen (N)'!AJ190*((F190-G190+F190)/2)*12+'Reeksen (N)'!AK190*((L190-M190+L190)/2)*12,0)</f>
        <v>0</v>
      </c>
      <c r="AJ190" s="71">
        <f ca="1">-AI190*'Invoer gegevens (N)'!$F$28</f>
        <v>0</v>
      </c>
      <c r="AK190" s="71">
        <f t="shared" ca="1" si="22"/>
        <v>0</v>
      </c>
      <c r="AL190" s="71">
        <f ca="1">IF(C190=1,'Reeksen (N)'!AL190*((F190-G190+F190)/2)*12+'Reeksen (N)'!AM190*((L190-M190+L190)/2)*12,0)</f>
        <v>0</v>
      </c>
      <c r="AM190" s="71">
        <f ca="1">-AL190*'Invoer gegevens (N)'!$F$31</f>
        <v>0</v>
      </c>
      <c r="AN190" s="71">
        <f t="shared" ca="1" si="29"/>
        <v>0</v>
      </c>
      <c r="AO190" s="71">
        <f ca="1">IF(C190=1,(H190+J190+N190+P190)*'Reeksen (N)'!AN190,0)</f>
        <v>0</v>
      </c>
      <c r="AP190" s="71">
        <f ca="1">-IF(C190=1,(H190+J190+N190+P190)*'Hulp - basis'!$O$550*'Reeksen (N)'!H190,0)</f>
        <v>0</v>
      </c>
      <c r="AQ190" s="71">
        <f ca="1">-IF(C190=1,(F190+K190+L190+Q190)/2*'Invoer gegevens (N)'!$I$33*'Reeksen (N)'!J190,0)*2</f>
        <v>0</v>
      </c>
      <c r="AR190" s="71">
        <f ca="1">-IF(C190=1,(I190*'Invoer gegevens (N)'!$I$34)*'Reeksen (N)'!J190,0)</f>
        <v>0</v>
      </c>
      <c r="AS190" s="71">
        <f ca="1">-IF(C190=1,(F190+K190+L190+Q190)/2*'Invoer gegevens (N)'!$I$35*'Reeksen (N)'!L190,0)</f>
        <v>0</v>
      </c>
      <c r="AT190" s="71">
        <f ca="1">-IF(C190=1,IF(E190='Invoer gegevens (N)'!$C$17,'Invoer gegevens (N)'!$C$11,AD190)*'Reeksen (N)'!S190*'Invoer gegevens (N)'!$C$18*'Reeksen (N)'!P190,0)</f>
        <v>0</v>
      </c>
      <c r="AU190" s="71">
        <f ca="1">-IF(C190=1,(F190+K190+L190+Q190)/2*'Invoer gegevens (N)'!$I$36*'Reeksen (N)'!H190,0)</f>
        <v>0</v>
      </c>
      <c r="AV190" s="71">
        <v>0</v>
      </c>
      <c r="AW190" s="71">
        <f t="shared" ca="1" si="30"/>
        <v>0</v>
      </c>
      <c r="AX190" s="71">
        <f ca="1">IF(E190&lt;'Invoer gegevens (N)'!$C$17+15,0,IF(E190&gt;'Invoer gegevens (N)'!$C$17+215,0,AW190))</f>
        <v>0</v>
      </c>
      <c r="AY190" s="71">
        <f ca="1">AX190/(1+'Invoer gegevens (N)'!$F$18)^($AZ190-('Invoer gegevens (N)'!$C$17-'Invoer gegevens (N)'!$C$16))/(1+'Invoer gegevens (N)'!$C$39)^('Invoer gegevens (N)'!$C$17-'Invoer gegevens (N)'!$C$16)</f>
        <v>0</v>
      </c>
      <c r="AZ190" s="68">
        <f ca="1">IF(E190-'Invoer gegevens (N)'!$C$17-14.5&lt;0,0,E190-'Invoer gegevens (N)'!$C$17-14.5)</f>
        <v>170.5</v>
      </c>
    </row>
    <row r="191" spans="2:52" x14ac:dyDescent="0.25">
      <c r="B191" s="70">
        <f t="shared" si="31"/>
        <v>187</v>
      </c>
      <c r="C191" s="67">
        <f ca="1">IF(E191-'Invoer gegevens (N)'!$C$17&lt;0,0,1)</f>
        <v>1</v>
      </c>
      <c r="D191" s="68">
        <f t="shared" si="32"/>
        <v>186.5</v>
      </c>
      <c r="E191" s="108">
        <f ca="1">IF('Invoer gegevens (N)'!$C$16="","",E190+1)</f>
        <v>2205</v>
      </c>
      <c r="F191" s="84">
        <f ca="1">IF('Invoer gegevens (N)'!$C$17=E191,'Invoer gegevens (N)'!$C$10,IF(C191=1,K190,0))</f>
        <v>0</v>
      </c>
      <c r="G191" s="96">
        <f ca="1">IF(C191&gt;=1,F191*VLOOKUP(E191,'Reeksen (N)'!$A$5:$B$76,2),0)</f>
        <v>0</v>
      </c>
      <c r="H191" s="84">
        <f ca="1">(1-('Invoer gegevens (N)'!$F$20/12))*F191*MIN('Reeksen (N)'!B191,'Reeksen (N)'!D191)</f>
        <v>0</v>
      </c>
      <c r="I191" s="84">
        <f>IF('Reeksen (N)'!D191&lt;'Reeksen (N)'!B191,('Reeksen (N)'!B191-'Reeksen (N)'!D191)*F191,0)</f>
        <v>0</v>
      </c>
      <c r="J191" s="84">
        <f ca="1">('Invoer gegevens (N)'!$F$20/12)*F190*MIN('Reeksen (N)'!B190,'Reeksen (N)'!D190)</f>
        <v>0</v>
      </c>
      <c r="K191" s="97">
        <f t="shared" ca="1" si="23"/>
        <v>0</v>
      </c>
      <c r="L191" s="84">
        <f ca="1">IF('Invoer gegevens (N)'!$C$17=E191,0,IF(C191=1,Q190,0))</f>
        <v>0</v>
      </c>
      <c r="M191" s="96">
        <f ca="1">IF(C191&gt;=1,L191*VLOOKUP(E191,'Reeksen (N)'!$A$5:$B$76,2),0)</f>
        <v>0</v>
      </c>
      <c r="N191" s="84">
        <f ca="1">(1-('Invoer gegevens (N)'!$F$20/12))*L191*MIN('Reeksen (N)'!B191,'Reeksen (N)'!D191)</f>
        <v>0</v>
      </c>
      <c r="O191" s="84">
        <f>IF('Reeksen (N)'!D191&lt;'Reeksen (N)'!B191,('Reeksen (N)'!B191-'Reeksen (N)'!D191)*L191,0)</f>
        <v>0</v>
      </c>
      <c r="P191" s="84">
        <f ca="1">('Invoer gegevens (N)'!$F$20/12)*L190*MIN('Reeksen (N)'!B190,'Reeksen (N)'!D190)</f>
        <v>0</v>
      </c>
      <c r="Q191" s="84">
        <f t="shared" ca="1" si="24"/>
        <v>0</v>
      </c>
      <c r="R191" s="82">
        <f ca="1">IF('Invoer gegevens (N)'!$C$17=E191,'Invoer gegevens (N)'!$C$11,IF(C191=1,W190,0))</f>
        <v>0</v>
      </c>
      <c r="S191" s="86">
        <f ca="1">IF(C191&gt;=1,R191*VLOOKUP(E191,'Reeksen (N)'!$A$5:$B$76,2),0)</f>
        <v>0</v>
      </c>
      <c r="T191" s="84">
        <f ca="1">(1-('Invoer gegevens (N)'!$F$20/12))*R191*MIN('Reeksen (N)'!B191,'Reeksen (N)'!D191)</f>
        <v>0</v>
      </c>
      <c r="U191" s="84">
        <f>IF('Reeksen (N)'!D191&gt;='Reeksen (N)'!B191,0,IF('Reeksen (N)'!AK191&lt;='Reeksen (N)'!AE191,('Reeksen (N)'!B191-'Reeksen (N)'!D191)*R191,0))</f>
        <v>0</v>
      </c>
      <c r="V191" s="86">
        <f>IF('Reeksen (N)'!D191&gt;='Reeksen (N)'!B191,0,IF('Reeksen (N)'!AK191&gt;'Reeksen (N)'!AE191,('Reeksen (N)'!B191-'Reeksen (N)'!D191)*R191,0))</f>
        <v>0</v>
      </c>
      <c r="W191" s="97">
        <f t="shared" ca="1" si="25"/>
        <v>0</v>
      </c>
      <c r="X191" s="98">
        <f ca="1">IF('Invoer gegevens (N)'!$C$17=E191,'Invoer gegevens (N)'!$C$10-'Invoer gegevens (N)'!$C$11,IF(C191=1,AC190,0))</f>
        <v>0</v>
      </c>
      <c r="Y191" s="98">
        <f ca="1">IF(C191&gt;=1,X191*VLOOKUP(E191,'Reeksen (N)'!$A$5:$B$76,2),0)</f>
        <v>0</v>
      </c>
      <c r="Z191" s="98">
        <f ca="1">(1-('Invoer gegevens (N)'!$F$20/12))*X191*MIN('Reeksen (N)'!B191,'Reeksen (N)'!D191)</f>
        <v>0</v>
      </c>
      <c r="AA191" s="98">
        <f>IF('Reeksen (N)'!D191&gt;='Reeksen (N)'!B191,0,IF('Reeksen (N)'!AK191&lt;='Reeksen (N)'!AE191,('Reeksen (N)'!B191-'Reeksen (N)'!D191)*X191,0))</f>
        <v>0</v>
      </c>
      <c r="AB191" s="98">
        <f>IF('Reeksen (N)'!D191&gt;='Reeksen (N)'!B191,0,IF('Reeksen (N)'!AK191&gt;'Reeksen (N)'!AE191,('Reeksen (N)'!B191-'Reeksen (N)'!D191)*X191,0))</f>
        <v>0</v>
      </c>
      <c r="AC191" s="99">
        <f t="shared" ca="1" si="26"/>
        <v>0</v>
      </c>
      <c r="AD191" s="98">
        <f ca="1">IF('Invoer gegevens (N)'!$C$17=E191,R191,IF(C191=0,0,AE190))</f>
        <v>0</v>
      </c>
      <c r="AE191" s="98">
        <f t="shared" ca="1" si="27"/>
        <v>0</v>
      </c>
      <c r="AF191" s="98">
        <f ca="1">IF('Invoer gegevens (N)'!$C$17=E191,X191,IF(C191=0,0,AG190))</f>
        <v>0</v>
      </c>
      <c r="AG191" s="98">
        <f t="shared" ca="1" si="28"/>
        <v>0</v>
      </c>
      <c r="AH191" s="68"/>
      <c r="AI191" s="71">
        <f ca="1">IF(C191=1,'Reeksen (N)'!AJ191*((F191-G191+F191)/2)*12+'Reeksen (N)'!AK191*((L191-M191+L191)/2)*12,0)</f>
        <v>0</v>
      </c>
      <c r="AJ191" s="71">
        <f ca="1">-AI191*'Invoer gegevens (N)'!$F$28</f>
        <v>0</v>
      </c>
      <c r="AK191" s="71">
        <f t="shared" ca="1" si="22"/>
        <v>0</v>
      </c>
      <c r="AL191" s="71">
        <f ca="1">IF(C191=1,'Reeksen (N)'!AL191*((F191-G191+F191)/2)*12+'Reeksen (N)'!AM191*((L191-M191+L191)/2)*12,0)</f>
        <v>0</v>
      </c>
      <c r="AM191" s="71">
        <f ca="1">-AL191*'Invoer gegevens (N)'!$F$31</f>
        <v>0</v>
      </c>
      <c r="AN191" s="71">
        <f t="shared" ca="1" si="29"/>
        <v>0</v>
      </c>
      <c r="AO191" s="71">
        <f ca="1">IF(C191=1,(H191+J191+N191+P191)*'Reeksen (N)'!AN191,0)</f>
        <v>0</v>
      </c>
      <c r="AP191" s="71">
        <f ca="1">-IF(C191=1,(H191+J191+N191+P191)*'Hulp - basis'!$O$550*'Reeksen (N)'!H191,0)</f>
        <v>0</v>
      </c>
      <c r="AQ191" s="71">
        <f ca="1">-IF(C191=1,(F191+K191+L191+Q191)/2*'Invoer gegevens (N)'!$I$33*'Reeksen (N)'!J191,0)*2</f>
        <v>0</v>
      </c>
      <c r="AR191" s="71">
        <f ca="1">-IF(C191=1,(I191*'Invoer gegevens (N)'!$I$34)*'Reeksen (N)'!J191,0)</f>
        <v>0</v>
      </c>
      <c r="AS191" s="71">
        <f ca="1">-IF(C191=1,(F191+K191+L191+Q191)/2*'Invoer gegevens (N)'!$I$35*'Reeksen (N)'!L191,0)</f>
        <v>0</v>
      </c>
      <c r="AT191" s="71">
        <f ca="1">-IF(C191=1,IF(E191='Invoer gegevens (N)'!$C$17,'Invoer gegevens (N)'!$C$11,AD191)*'Reeksen (N)'!S191*'Invoer gegevens (N)'!$C$18*'Reeksen (N)'!P191,0)</f>
        <v>0</v>
      </c>
      <c r="AU191" s="71">
        <f ca="1">-IF(C191=1,(F191+K191+L191+Q191)/2*'Invoer gegevens (N)'!$I$36*'Reeksen (N)'!H191,0)</f>
        <v>0</v>
      </c>
      <c r="AV191" s="71">
        <v>0</v>
      </c>
      <c r="AW191" s="71">
        <f t="shared" ca="1" si="30"/>
        <v>0</v>
      </c>
      <c r="AX191" s="71">
        <f ca="1">IF(E191&lt;'Invoer gegevens (N)'!$C$17+15,0,IF(E191&gt;'Invoer gegevens (N)'!$C$17+215,0,AW191))</f>
        <v>0</v>
      </c>
      <c r="AY191" s="71">
        <f ca="1">AX191/(1+'Invoer gegevens (N)'!$F$18)^($AZ191-('Invoer gegevens (N)'!$C$17-'Invoer gegevens (N)'!$C$16))/(1+'Invoer gegevens (N)'!$C$39)^('Invoer gegevens (N)'!$C$17-'Invoer gegevens (N)'!$C$16)</f>
        <v>0</v>
      </c>
      <c r="AZ191" s="68">
        <f ca="1">IF(E191-'Invoer gegevens (N)'!$C$17-14.5&lt;0,0,E191-'Invoer gegevens (N)'!$C$17-14.5)</f>
        <v>171.5</v>
      </c>
    </row>
    <row r="192" spans="2:52" x14ac:dyDescent="0.25">
      <c r="B192" s="70">
        <f t="shared" si="31"/>
        <v>188</v>
      </c>
      <c r="C192" s="67">
        <f ca="1">IF(E192-'Invoer gegevens (N)'!$C$17&lt;0,0,1)</f>
        <v>1</v>
      </c>
      <c r="D192" s="68">
        <f t="shared" si="32"/>
        <v>187.5</v>
      </c>
      <c r="E192" s="108">
        <f ca="1">IF('Invoer gegevens (N)'!$C$16="","",E191+1)</f>
        <v>2206</v>
      </c>
      <c r="F192" s="84">
        <f ca="1">IF('Invoer gegevens (N)'!$C$17=E192,'Invoer gegevens (N)'!$C$10,IF(C192=1,K191,0))</f>
        <v>0</v>
      </c>
      <c r="G192" s="96">
        <f ca="1">IF(C192&gt;=1,F192*VLOOKUP(E192,'Reeksen (N)'!$A$5:$B$76,2),0)</f>
        <v>0</v>
      </c>
      <c r="H192" s="84">
        <f ca="1">(1-('Invoer gegevens (N)'!$F$20/12))*F192*MIN('Reeksen (N)'!B192,'Reeksen (N)'!D192)</f>
        <v>0</v>
      </c>
      <c r="I192" s="84">
        <f>IF('Reeksen (N)'!D192&lt;'Reeksen (N)'!B192,('Reeksen (N)'!B192-'Reeksen (N)'!D192)*F192,0)</f>
        <v>0</v>
      </c>
      <c r="J192" s="84">
        <f ca="1">('Invoer gegevens (N)'!$F$20/12)*F191*MIN('Reeksen (N)'!B191,'Reeksen (N)'!D191)</f>
        <v>0</v>
      </c>
      <c r="K192" s="97">
        <f t="shared" ca="1" si="23"/>
        <v>0</v>
      </c>
      <c r="L192" s="84">
        <f ca="1">IF('Invoer gegevens (N)'!$C$17=E192,0,IF(C192=1,Q191,0))</f>
        <v>0</v>
      </c>
      <c r="M192" s="96">
        <f ca="1">IF(C192&gt;=1,L192*VLOOKUP(E192,'Reeksen (N)'!$A$5:$B$76,2),0)</f>
        <v>0</v>
      </c>
      <c r="N192" s="84">
        <f ca="1">(1-('Invoer gegevens (N)'!$F$20/12))*L192*MIN('Reeksen (N)'!B192,'Reeksen (N)'!D192)</f>
        <v>0</v>
      </c>
      <c r="O192" s="84">
        <f>IF('Reeksen (N)'!D192&lt;'Reeksen (N)'!B192,('Reeksen (N)'!B192-'Reeksen (N)'!D192)*L192,0)</f>
        <v>0</v>
      </c>
      <c r="P192" s="84">
        <f ca="1">('Invoer gegevens (N)'!$F$20/12)*L191*MIN('Reeksen (N)'!B191,'Reeksen (N)'!D191)</f>
        <v>0</v>
      </c>
      <c r="Q192" s="84">
        <f t="shared" ca="1" si="24"/>
        <v>0</v>
      </c>
      <c r="R192" s="82">
        <f ca="1">IF('Invoer gegevens (N)'!$C$17=E192,'Invoer gegevens (N)'!$C$11,IF(C192=1,W191,0))</f>
        <v>0</v>
      </c>
      <c r="S192" s="86">
        <f ca="1">IF(C192&gt;=1,R192*VLOOKUP(E192,'Reeksen (N)'!$A$5:$B$76,2),0)</f>
        <v>0</v>
      </c>
      <c r="T192" s="84">
        <f ca="1">(1-('Invoer gegevens (N)'!$F$20/12))*R192*MIN('Reeksen (N)'!B192,'Reeksen (N)'!D192)</f>
        <v>0</v>
      </c>
      <c r="U192" s="84">
        <f>IF('Reeksen (N)'!D192&gt;='Reeksen (N)'!B192,0,IF('Reeksen (N)'!AK192&lt;='Reeksen (N)'!AE192,('Reeksen (N)'!B192-'Reeksen (N)'!D192)*R192,0))</f>
        <v>0</v>
      </c>
      <c r="V192" s="86">
        <f>IF('Reeksen (N)'!D192&gt;='Reeksen (N)'!B192,0,IF('Reeksen (N)'!AK192&gt;'Reeksen (N)'!AE192,('Reeksen (N)'!B192-'Reeksen (N)'!D192)*R192,0))</f>
        <v>0</v>
      </c>
      <c r="W192" s="97">
        <f t="shared" ca="1" si="25"/>
        <v>0</v>
      </c>
      <c r="X192" s="98">
        <f ca="1">IF('Invoer gegevens (N)'!$C$17=E192,'Invoer gegevens (N)'!$C$10-'Invoer gegevens (N)'!$C$11,IF(C192=1,AC191,0))</f>
        <v>0</v>
      </c>
      <c r="Y192" s="98">
        <f ca="1">IF(C192&gt;=1,X192*VLOOKUP(E192,'Reeksen (N)'!$A$5:$B$76,2),0)</f>
        <v>0</v>
      </c>
      <c r="Z192" s="98">
        <f ca="1">(1-('Invoer gegevens (N)'!$F$20/12))*X192*MIN('Reeksen (N)'!B192,'Reeksen (N)'!D192)</f>
        <v>0</v>
      </c>
      <c r="AA192" s="98">
        <f>IF('Reeksen (N)'!D192&gt;='Reeksen (N)'!B192,0,IF('Reeksen (N)'!AK192&lt;='Reeksen (N)'!AE192,('Reeksen (N)'!B192-'Reeksen (N)'!D192)*X192,0))</f>
        <v>0</v>
      </c>
      <c r="AB192" s="98">
        <f>IF('Reeksen (N)'!D192&gt;='Reeksen (N)'!B192,0,IF('Reeksen (N)'!AK192&gt;'Reeksen (N)'!AE192,('Reeksen (N)'!B192-'Reeksen (N)'!D192)*X192,0))</f>
        <v>0</v>
      </c>
      <c r="AC192" s="99">
        <f t="shared" ca="1" si="26"/>
        <v>0</v>
      </c>
      <c r="AD192" s="98">
        <f ca="1">IF('Invoer gegevens (N)'!$C$17=E192,R192,IF(C192=0,0,AE191))</f>
        <v>0</v>
      </c>
      <c r="AE192" s="98">
        <f t="shared" ca="1" si="27"/>
        <v>0</v>
      </c>
      <c r="AF192" s="98">
        <f ca="1">IF('Invoer gegevens (N)'!$C$17=E192,X192,IF(C192=0,0,AG191))</f>
        <v>0</v>
      </c>
      <c r="AG192" s="98">
        <f t="shared" ca="1" si="28"/>
        <v>0</v>
      </c>
      <c r="AH192" s="68"/>
      <c r="AI192" s="71">
        <f ca="1">IF(C192=1,'Reeksen (N)'!AJ192*((F192-G192+F192)/2)*12+'Reeksen (N)'!AK192*((L192-M192+L192)/2)*12,0)</f>
        <v>0</v>
      </c>
      <c r="AJ192" s="71">
        <f ca="1">-AI192*'Invoer gegevens (N)'!$F$28</f>
        <v>0</v>
      </c>
      <c r="AK192" s="71">
        <f t="shared" ca="1" si="22"/>
        <v>0</v>
      </c>
      <c r="AL192" s="71">
        <f ca="1">IF(C192=1,'Reeksen (N)'!AL192*((F192-G192+F192)/2)*12+'Reeksen (N)'!AM192*((L192-M192+L192)/2)*12,0)</f>
        <v>0</v>
      </c>
      <c r="AM192" s="71">
        <f ca="1">-AL192*'Invoer gegevens (N)'!$F$31</f>
        <v>0</v>
      </c>
      <c r="AN192" s="71">
        <f t="shared" ca="1" si="29"/>
        <v>0</v>
      </c>
      <c r="AO192" s="71">
        <f ca="1">IF(C192=1,(H192+J192+N192+P192)*'Reeksen (N)'!AN192,0)</f>
        <v>0</v>
      </c>
      <c r="AP192" s="71">
        <f ca="1">-IF(C192=1,(H192+J192+N192+P192)*'Hulp - basis'!$O$550*'Reeksen (N)'!H192,0)</f>
        <v>0</v>
      </c>
      <c r="AQ192" s="71">
        <f ca="1">-IF(C192=1,(F192+K192+L192+Q192)/2*'Invoer gegevens (N)'!$I$33*'Reeksen (N)'!J192,0)*2</f>
        <v>0</v>
      </c>
      <c r="AR192" s="71">
        <f ca="1">-IF(C192=1,(I192*'Invoer gegevens (N)'!$I$34)*'Reeksen (N)'!J192,0)</f>
        <v>0</v>
      </c>
      <c r="AS192" s="71">
        <f ca="1">-IF(C192=1,(F192+K192+L192+Q192)/2*'Invoer gegevens (N)'!$I$35*'Reeksen (N)'!L192,0)</f>
        <v>0</v>
      </c>
      <c r="AT192" s="71">
        <f ca="1">-IF(C192=1,IF(E192='Invoer gegevens (N)'!$C$17,'Invoer gegevens (N)'!$C$11,AD192)*'Reeksen (N)'!S192*'Invoer gegevens (N)'!$C$18*'Reeksen (N)'!P192,0)</f>
        <v>0</v>
      </c>
      <c r="AU192" s="71">
        <f ca="1">-IF(C192=1,(F192+K192+L192+Q192)/2*'Invoer gegevens (N)'!$I$36*'Reeksen (N)'!H192,0)</f>
        <v>0</v>
      </c>
      <c r="AV192" s="71">
        <v>0</v>
      </c>
      <c r="AW192" s="71">
        <f t="shared" ca="1" si="30"/>
        <v>0</v>
      </c>
      <c r="AX192" s="71">
        <f ca="1">IF(E192&lt;'Invoer gegevens (N)'!$C$17+15,0,IF(E192&gt;'Invoer gegevens (N)'!$C$17+215,0,AW192))</f>
        <v>0</v>
      </c>
      <c r="AY192" s="71">
        <f ca="1">AX192/(1+'Invoer gegevens (N)'!$F$18)^($AZ192-('Invoer gegevens (N)'!$C$17-'Invoer gegevens (N)'!$C$16))/(1+'Invoer gegevens (N)'!$C$39)^('Invoer gegevens (N)'!$C$17-'Invoer gegevens (N)'!$C$16)</f>
        <v>0</v>
      </c>
      <c r="AZ192" s="68">
        <f ca="1">IF(E192-'Invoer gegevens (N)'!$C$17-14.5&lt;0,0,E192-'Invoer gegevens (N)'!$C$17-14.5)</f>
        <v>172.5</v>
      </c>
    </row>
    <row r="193" spans="2:52" x14ac:dyDescent="0.25">
      <c r="B193" s="70">
        <f t="shared" si="31"/>
        <v>189</v>
      </c>
      <c r="C193" s="67">
        <f ca="1">IF(E193-'Invoer gegevens (N)'!$C$17&lt;0,0,1)</f>
        <v>1</v>
      </c>
      <c r="D193" s="68">
        <f t="shared" si="32"/>
        <v>188.5</v>
      </c>
      <c r="E193" s="108">
        <f ca="1">IF('Invoer gegevens (N)'!$C$16="","",E192+1)</f>
        <v>2207</v>
      </c>
      <c r="F193" s="84">
        <f ca="1">IF('Invoer gegevens (N)'!$C$17=E193,'Invoer gegevens (N)'!$C$10,IF(C193=1,K192,0))</f>
        <v>0</v>
      </c>
      <c r="G193" s="96">
        <f ca="1">IF(C193&gt;=1,F193*VLOOKUP(E193,'Reeksen (N)'!$A$5:$B$76,2),0)</f>
        <v>0</v>
      </c>
      <c r="H193" s="84">
        <f ca="1">(1-('Invoer gegevens (N)'!$F$20/12))*F193*MIN('Reeksen (N)'!B193,'Reeksen (N)'!D193)</f>
        <v>0</v>
      </c>
      <c r="I193" s="84">
        <f>IF('Reeksen (N)'!D193&lt;'Reeksen (N)'!B193,('Reeksen (N)'!B193-'Reeksen (N)'!D193)*F193,0)</f>
        <v>0</v>
      </c>
      <c r="J193" s="84">
        <f ca="1">('Invoer gegevens (N)'!$F$20/12)*F192*MIN('Reeksen (N)'!B192,'Reeksen (N)'!D192)</f>
        <v>0</v>
      </c>
      <c r="K193" s="97">
        <f t="shared" ca="1" si="23"/>
        <v>0</v>
      </c>
      <c r="L193" s="84">
        <f ca="1">IF('Invoer gegevens (N)'!$C$17=E193,0,IF(C193=1,Q192,0))</f>
        <v>0</v>
      </c>
      <c r="M193" s="96">
        <f ca="1">IF(C193&gt;=1,L193*VLOOKUP(E193,'Reeksen (N)'!$A$5:$B$76,2),0)</f>
        <v>0</v>
      </c>
      <c r="N193" s="84">
        <f ca="1">(1-('Invoer gegevens (N)'!$F$20/12))*L193*MIN('Reeksen (N)'!B193,'Reeksen (N)'!D193)</f>
        <v>0</v>
      </c>
      <c r="O193" s="84">
        <f>IF('Reeksen (N)'!D193&lt;'Reeksen (N)'!B193,('Reeksen (N)'!B193-'Reeksen (N)'!D193)*L193,0)</f>
        <v>0</v>
      </c>
      <c r="P193" s="84">
        <f ca="1">('Invoer gegevens (N)'!$F$20/12)*L192*MIN('Reeksen (N)'!B192,'Reeksen (N)'!D192)</f>
        <v>0</v>
      </c>
      <c r="Q193" s="84">
        <f t="shared" ca="1" si="24"/>
        <v>0</v>
      </c>
      <c r="R193" s="82">
        <f ca="1">IF('Invoer gegevens (N)'!$C$17=E193,'Invoer gegevens (N)'!$C$11,IF(C193=1,W192,0))</f>
        <v>0</v>
      </c>
      <c r="S193" s="86">
        <f ca="1">IF(C193&gt;=1,R193*VLOOKUP(E193,'Reeksen (N)'!$A$5:$B$76,2),0)</f>
        <v>0</v>
      </c>
      <c r="T193" s="84">
        <f ca="1">(1-('Invoer gegevens (N)'!$F$20/12))*R193*MIN('Reeksen (N)'!B193,'Reeksen (N)'!D193)</f>
        <v>0</v>
      </c>
      <c r="U193" s="84">
        <f>IF('Reeksen (N)'!D193&gt;='Reeksen (N)'!B193,0,IF('Reeksen (N)'!AK193&lt;='Reeksen (N)'!AE193,('Reeksen (N)'!B193-'Reeksen (N)'!D193)*R193,0))</f>
        <v>0</v>
      </c>
      <c r="V193" s="86">
        <f>IF('Reeksen (N)'!D193&gt;='Reeksen (N)'!B193,0,IF('Reeksen (N)'!AK193&gt;'Reeksen (N)'!AE193,('Reeksen (N)'!B193-'Reeksen (N)'!D193)*R193,0))</f>
        <v>0</v>
      </c>
      <c r="W193" s="97">
        <f t="shared" ca="1" si="25"/>
        <v>0</v>
      </c>
      <c r="X193" s="98">
        <f ca="1">IF('Invoer gegevens (N)'!$C$17=E193,'Invoer gegevens (N)'!$C$10-'Invoer gegevens (N)'!$C$11,IF(C193=1,AC192,0))</f>
        <v>0</v>
      </c>
      <c r="Y193" s="98">
        <f ca="1">IF(C193&gt;=1,X193*VLOOKUP(E193,'Reeksen (N)'!$A$5:$B$76,2),0)</f>
        <v>0</v>
      </c>
      <c r="Z193" s="98">
        <f ca="1">(1-('Invoer gegevens (N)'!$F$20/12))*X193*MIN('Reeksen (N)'!B193,'Reeksen (N)'!D193)</f>
        <v>0</v>
      </c>
      <c r="AA193" s="98">
        <f>IF('Reeksen (N)'!D193&gt;='Reeksen (N)'!B193,0,IF('Reeksen (N)'!AK193&lt;='Reeksen (N)'!AE193,('Reeksen (N)'!B193-'Reeksen (N)'!D193)*X193,0))</f>
        <v>0</v>
      </c>
      <c r="AB193" s="98">
        <f>IF('Reeksen (N)'!D193&gt;='Reeksen (N)'!B193,0,IF('Reeksen (N)'!AK193&gt;'Reeksen (N)'!AE193,('Reeksen (N)'!B193-'Reeksen (N)'!D193)*X193,0))</f>
        <v>0</v>
      </c>
      <c r="AC193" s="99">
        <f t="shared" ca="1" si="26"/>
        <v>0</v>
      </c>
      <c r="AD193" s="98">
        <f ca="1">IF('Invoer gegevens (N)'!$C$17=E193,R193,IF(C193=0,0,AE192))</f>
        <v>0</v>
      </c>
      <c r="AE193" s="98">
        <f t="shared" ca="1" si="27"/>
        <v>0</v>
      </c>
      <c r="AF193" s="98">
        <f ca="1">IF('Invoer gegevens (N)'!$C$17=E193,X193,IF(C193=0,0,AG192))</f>
        <v>0</v>
      </c>
      <c r="AG193" s="98">
        <f t="shared" ca="1" si="28"/>
        <v>0</v>
      </c>
      <c r="AH193" s="68"/>
      <c r="AI193" s="71">
        <f ca="1">IF(C193=1,'Reeksen (N)'!AJ193*((F193-G193+F193)/2)*12+'Reeksen (N)'!AK193*((L193-M193+L193)/2)*12,0)</f>
        <v>0</v>
      </c>
      <c r="AJ193" s="71">
        <f ca="1">-AI193*'Invoer gegevens (N)'!$F$28</f>
        <v>0</v>
      </c>
      <c r="AK193" s="71">
        <f t="shared" ca="1" si="22"/>
        <v>0</v>
      </c>
      <c r="AL193" s="71">
        <f ca="1">IF(C193=1,'Reeksen (N)'!AL193*((F193-G193+F193)/2)*12+'Reeksen (N)'!AM193*((L193-M193+L193)/2)*12,0)</f>
        <v>0</v>
      </c>
      <c r="AM193" s="71">
        <f ca="1">-AL193*'Invoer gegevens (N)'!$F$31</f>
        <v>0</v>
      </c>
      <c r="AN193" s="71">
        <f t="shared" ca="1" si="29"/>
        <v>0</v>
      </c>
      <c r="AO193" s="71">
        <f ca="1">IF(C193=1,(H193+J193+N193+P193)*'Reeksen (N)'!AN193,0)</f>
        <v>0</v>
      </c>
      <c r="AP193" s="71">
        <f ca="1">-IF(C193=1,(H193+J193+N193+P193)*'Hulp - basis'!$O$550*'Reeksen (N)'!H193,0)</f>
        <v>0</v>
      </c>
      <c r="AQ193" s="71">
        <f ca="1">-IF(C193=1,(F193+K193+L193+Q193)/2*'Invoer gegevens (N)'!$I$33*'Reeksen (N)'!J193,0)*2</f>
        <v>0</v>
      </c>
      <c r="AR193" s="71">
        <f ca="1">-IF(C193=1,(I193*'Invoer gegevens (N)'!$I$34)*'Reeksen (N)'!J193,0)</f>
        <v>0</v>
      </c>
      <c r="AS193" s="71">
        <f ca="1">-IF(C193=1,(F193+K193+L193+Q193)/2*'Invoer gegevens (N)'!$I$35*'Reeksen (N)'!L193,0)</f>
        <v>0</v>
      </c>
      <c r="AT193" s="71">
        <f ca="1">-IF(C193=1,IF(E193='Invoer gegevens (N)'!$C$17,'Invoer gegevens (N)'!$C$11,AD193)*'Reeksen (N)'!S193*'Invoer gegevens (N)'!$C$18*'Reeksen (N)'!P193,0)</f>
        <v>0</v>
      </c>
      <c r="AU193" s="71">
        <f ca="1">-IF(C193=1,(F193+K193+L193+Q193)/2*'Invoer gegevens (N)'!$I$36*'Reeksen (N)'!H193,0)</f>
        <v>0</v>
      </c>
      <c r="AV193" s="71">
        <v>0</v>
      </c>
      <c r="AW193" s="71">
        <f t="shared" ca="1" si="30"/>
        <v>0</v>
      </c>
      <c r="AX193" s="71">
        <f ca="1">IF(E193&lt;'Invoer gegevens (N)'!$C$17+15,0,IF(E193&gt;'Invoer gegevens (N)'!$C$17+215,0,AW193))</f>
        <v>0</v>
      </c>
      <c r="AY193" s="71">
        <f ca="1">AX193/(1+'Invoer gegevens (N)'!$F$18)^($AZ193-('Invoer gegevens (N)'!$C$17-'Invoer gegevens (N)'!$C$16))/(1+'Invoer gegevens (N)'!$C$39)^('Invoer gegevens (N)'!$C$17-'Invoer gegevens (N)'!$C$16)</f>
        <v>0</v>
      </c>
      <c r="AZ193" s="68">
        <f ca="1">IF(E193-'Invoer gegevens (N)'!$C$17-14.5&lt;0,0,E193-'Invoer gegevens (N)'!$C$17-14.5)</f>
        <v>173.5</v>
      </c>
    </row>
    <row r="194" spans="2:52" x14ac:dyDescent="0.25">
      <c r="B194" s="70">
        <f t="shared" si="31"/>
        <v>190</v>
      </c>
      <c r="C194" s="67">
        <f ca="1">IF(E194-'Invoer gegevens (N)'!$C$17&lt;0,0,1)</f>
        <v>1</v>
      </c>
      <c r="D194" s="68">
        <f t="shared" si="32"/>
        <v>189.5</v>
      </c>
      <c r="E194" s="108">
        <f ca="1">IF('Invoer gegevens (N)'!$C$16="","",E193+1)</f>
        <v>2208</v>
      </c>
      <c r="F194" s="84">
        <f ca="1">IF('Invoer gegevens (N)'!$C$17=E194,'Invoer gegevens (N)'!$C$10,IF(C194=1,K193,0))</f>
        <v>0</v>
      </c>
      <c r="G194" s="96">
        <f ca="1">IF(C194&gt;=1,F194*VLOOKUP(E194,'Reeksen (N)'!$A$5:$B$76,2),0)</f>
        <v>0</v>
      </c>
      <c r="H194" s="84">
        <f ca="1">(1-('Invoer gegevens (N)'!$F$20/12))*F194*MIN('Reeksen (N)'!B194,'Reeksen (N)'!D194)</f>
        <v>0</v>
      </c>
      <c r="I194" s="84">
        <f>IF('Reeksen (N)'!D194&lt;'Reeksen (N)'!B194,('Reeksen (N)'!B194-'Reeksen (N)'!D194)*F194,0)</f>
        <v>0</v>
      </c>
      <c r="J194" s="84">
        <f ca="1">('Invoer gegevens (N)'!$F$20/12)*F193*MIN('Reeksen (N)'!B193,'Reeksen (N)'!D193)</f>
        <v>0</v>
      </c>
      <c r="K194" s="97">
        <f t="shared" ca="1" si="23"/>
        <v>0</v>
      </c>
      <c r="L194" s="84">
        <f ca="1">IF('Invoer gegevens (N)'!$C$17=E194,0,IF(C194=1,Q193,0))</f>
        <v>0</v>
      </c>
      <c r="M194" s="96">
        <f ca="1">IF(C194&gt;=1,L194*VLOOKUP(E194,'Reeksen (N)'!$A$5:$B$76,2),0)</f>
        <v>0</v>
      </c>
      <c r="N194" s="84">
        <f ca="1">(1-('Invoer gegevens (N)'!$F$20/12))*L194*MIN('Reeksen (N)'!B194,'Reeksen (N)'!D194)</f>
        <v>0</v>
      </c>
      <c r="O194" s="84">
        <f>IF('Reeksen (N)'!D194&lt;'Reeksen (N)'!B194,('Reeksen (N)'!B194-'Reeksen (N)'!D194)*L194,0)</f>
        <v>0</v>
      </c>
      <c r="P194" s="84">
        <f ca="1">('Invoer gegevens (N)'!$F$20/12)*L193*MIN('Reeksen (N)'!B193,'Reeksen (N)'!D193)</f>
        <v>0</v>
      </c>
      <c r="Q194" s="84">
        <f t="shared" ca="1" si="24"/>
        <v>0</v>
      </c>
      <c r="R194" s="82">
        <f ca="1">IF('Invoer gegevens (N)'!$C$17=E194,'Invoer gegevens (N)'!$C$11,IF(C194=1,W193,0))</f>
        <v>0</v>
      </c>
      <c r="S194" s="86">
        <f ca="1">IF(C194&gt;=1,R194*VLOOKUP(E194,'Reeksen (N)'!$A$5:$B$76,2),0)</f>
        <v>0</v>
      </c>
      <c r="T194" s="84">
        <f ca="1">(1-('Invoer gegevens (N)'!$F$20/12))*R194*MIN('Reeksen (N)'!B194,'Reeksen (N)'!D194)</f>
        <v>0</v>
      </c>
      <c r="U194" s="84">
        <f>IF('Reeksen (N)'!D194&gt;='Reeksen (N)'!B194,0,IF('Reeksen (N)'!AK194&lt;='Reeksen (N)'!AE194,('Reeksen (N)'!B194-'Reeksen (N)'!D194)*R194,0))</f>
        <v>0</v>
      </c>
      <c r="V194" s="86">
        <f>IF('Reeksen (N)'!D194&gt;='Reeksen (N)'!B194,0,IF('Reeksen (N)'!AK194&gt;'Reeksen (N)'!AE194,('Reeksen (N)'!B194-'Reeksen (N)'!D194)*R194,0))</f>
        <v>0</v>
      </c>
      <c r="W194" s="97">
        <f t="shared" ca="1" si="25"/>
        <v>0</v>
      </c>
      <c r="X194" s="98">
        <f ca="1">IF('Invoer gegevens (N)'!$C$17=E194,'Invoer gegevens (N)'!$C$10-'Invoer gegevens (N)'!$C$11,IF(C194=1,AC193,0))</f>
        <v>0</v>
      </c>
      <c r="Y194" s="98">
        <f ca="1">IF(C194&gt;=1,X194*VLOOKUP(E194,'Reeksen (N)'!$A$5:$B$76,2),0)</f>
        <v>0</v>
      </c>
      <c r="Z194" s="98">
        <f ca="1">(1-('Invoer gegevens (N)'!$F$20/12))*X194*MIN('Reeksen (N)'!B194,'Reeksen (N)'!D194)</f>
        <v>0</v>
      </c>
      <c r="AA194" s="98">
        <f>IF('Reeksen (N)'!D194&gt;='Reeksen (N)'!B194,0,IF('Reeksen (N)'!AK194&lt;='Reeksen (N)'!AE194,('Reeksen (N)'!B194-'Reeksen (N)'!D194)*X194,0))</f>
        <v>0</v>
      </c>
      <c r="AB194" s="98">
        <f>IF('Reeksen (N)'!D194&gt;='Reeksen (N)'!B194,0,IF('Reeksen (N)'!AK194&gt;'Reeksen (N)'!AE194,('Reeksen (N)'!B194-'Reeksen (N)'!D194)*X194,0))</f>
        <v>0</v>
      </c>
      <c r="AC194" s="99">
        <f t="shared" ca="1" si="26"/>
        <v>0</v>
      </c>
      <c r="AD194" s="98">
        <f ca="1">IF('Invoer gegevens (N)'!$C$17=E194,R194,IF(C194=0,0,AE193))</f>
        <v>0</v>
      </c>
      <c r="AE194" s="98">
        <f t="shared" ca="1" si="27"/>
        <v>0</v>
      </c>
      <c r="AF194" s="98">
        <f ca="1">IF('Invoer gegevens (N)'!$C$17=E194,X194,IF(C194=0,0,AG193))</f>
        <v>0</v>
      </c>
      <c r="AG194" s="98">
        <f t="shared" ca="1" si="28"/>
        <v>0</v>
      </c>
      <c r="AH194" s="68"/>
      <c r="AI194" s="71">
        <f ca="1">IF(C194=1,'Reeksen (N)'!AJ194*((F194-G194+F194)/2)*12+'Reeksen (N)'!AK194*((L194-M194+L194)/2)*12,0)</f>
        <v>0</v>
      </c>
      <c r="AJ194" s="71">
        <f ca="1">-AI194*'Invoer gegevens (N)'!$F$28</f>
        <v>0</v>
      </c>
      <c r="AK194" s="71">
        <f t="shared" ca="1" si="22"/>
        <v>0</v>
      </c>
      <c r="AL194" s="71">
        <f ca="1">IF(C194=1,'Reeksen (N)'!AL194*((F194-G194+F194)/2)*12+'Reeksen (N)'!AM194*((L194-M194+L194)/2)*12,0)</f>
        <v>0</v>
      </c>
      <c r="AM194" s="71">
        <f ca="1">-AL194*'Invoer gegevens (N)'!$F$31</f>
        <v>0</v>
      </c>
      <c r="AN194" s="71">
        <f t="shared" ca="1" si="29"/>
        <v>0</v>
      </c>
      <c r="AO194" s="71">
        <f ca="1">IF(C194=1,(H194+J194+N194+P194)*'Reeksen (N)'!AN194,0)</f>
        <v>0</v>
      </c>
      <c r="AP194" s="71">
        <f ca="1">-IF(C194=1,(H194+J194+N194+P194)*'Hulp - basis'!$O$550*'Reeksen (N)'!H194,0)</f>
        <v>0</v>
      </c>
      <c r="AQ194" s="71">
        <f ca="1">-IF(C194=1,(F194+K194+L194+Q194)/2*'Invoer gegevens (N)'!$I$33*'Reeksen (N)'!J194,0)*2</f>
        <v>0</v>
      </c>
      <c r="AR194" s="71">
        <f ca="1">-IF(C194=1,(I194*'Invoer gegevens (N)'!$I$34)*'Reeksen (N)'!J194,0)</f>
        <v>0</v>
      </c>
      <c r="AS194" s="71">
        <f ca="1">-IF(C194=1,(F194+K194+L194+Q194)/2*'Invoer gegevens (N)'!$I$35*'Reeksen (N)'!L194,0)</f>
        <v>0</v>
      </c>
      <c r="AT194" s="71">
        <f ca="1">-IF(C194=1,IF(E194='Invoer gegevens (N)'!$C$17,'Invoer gegevens (N)'!$C$11,AD194)*'Reeksen (N)'!S194*'Invoer gegevens (N)'!$C$18*'Reeksen (N)'!P194,0)</f>
        <v>0</v>
      </c>
      <c r="AU194" s="71">
        <f ca="1">-IF(C194=1,(F194+K194+L194+Q194)/2*'Invoer gegevens (N)'!$I$36*'Reeksen (N)'!H194,0)</f>
        <v>0</v>
      </c>
      <c r="AV194" s="71">
        <v>0</v>
      </c>
      <c r="AW194" s="71">
        <f t="shared" ca="1" si="30"/>
        <v>0</v>
      </c>
      <c r="AX194" s="71">
        <f ca="1">IF(E194&lt;'Invoer gegevens (N)'!$C$17+15,0,IF(E194&gt;'Invoer gegevens (N)'!$C$17+215,0,AW194))</f>
        <v>0</v>
      </c>
      <c r="AY194" s="71">
        <f ca="1">AX194/(1+'Invoer gegevens (N)'!$F$18)^($AZ194-('Invoer gegevens (N)'!$C$17-'Invoer gegevens (N)'!$C$16))/(1+'Invoer gegevens (N)'!$C$39)^('Invoer gegevens (N)'!$C$17-'Invoer gegevens (N)'!$C$16)</f>
        <v>0</v>
      </c>
      <c r="AZ194" s="68">
        <f ca="1">IF(E194-'Invoer gegevens (N)'!$C$17-14.5&lt;0,0,E194-'Invoer gegevens (N)'!$C$17-14.5)</f>
        <v>174.5</v>
      </c>
    </row>
    <row r="195" spans="2:52" x14ac:dyDescent="0.25">
      <c r="B195" s="70">
        <f t="shared" si="31"/>
        <v>191</v>
      </c>
      <c r="C195" s="67">
        <f ca="1">IF(E195-'Invoer gegevens (N)'!$C$17&lt;0,0,1)</f>
        <v>1</v>
      </c>
      <c r="D195" s="68">
        <f t="shared" si="32"/>
        <v>190.5</v>
      </c>
      <c r="E195" s="108">
        <f ca="1">IF('Invoer gegevens (N)'!$C$16="","",E194+1)</f>
        <v>2209</v>
      </c>
      <c r="F195" s="84">
        <f ca="1">IF('Invoer gegevens (N)'!$C$17=E195,'Invoer gegevens (N)'!$C$10,IF(C195=1,K194,0))</f>
        <v>0</v>
      </c>
      <c r="G195" s="96">
        <f ca="1">IF(C195&gt;=1,F195*VLOOKUP(E195,'Reeksen (N)'!$A$5:$B$76,2),0)</f>
        <v>0</v>
      </c>
      <c r="H195" s="84">
        <f ca="1">(1-('Invoer gegevens (N)'!$F$20/12))*F195*MIN('Reeksen (N)'!B195,'Reeksen (N)'!D195)</f>
        <v>0</v>
      </c>
      <c r="I195" s="84">
        <f>IF('Reeksen (N)'!D195&lt;'Reeksen (N)'!B195,('Reeksen (N)'!B195-'Reeksen (N)'!D195)*F195,0)</f>
        <v>0</v>
      </c>
      <c r="J195" s="84">
        <f ca="1">('Invoer gegevens (N)'!$F$20/12)*F194*MIN('Reeksen (N)'!B194,'Reeksen (N)'!D194)</f>
        <v>0</v>
      </c>
      <c r="K195" s="97">
        <f t="shared" ca="1" si="23"/>
        <v>0</v>
      </c>
      <c r="L195" s="84">
        <f ca="1">IF('Invoer gegevens (N)'!$C$17=E195,0,IF(C195=1,Q194,0))</f>
        <v>0</v>
      </c>
      <c r="M195" s="96">
        <f ca="1">IF(C195&gt;=1,L195*VLOOKUP(E195,'Reeksen (N)'!$A$5:$B$76,2),0)</f>
        <v>0</v>
      </c>
      <c r="N195" s="84">
        <f ca="1">(1-('Invoer gegevens (N)'!$F$20/12))*L195*MIN('Reeksen (N)'!B195,'Reeksen (N)'!D195)</f>
        <v>0</v>
      </c>
      <c r="O195" s="84">
        <f>IF('Reeksen (N)'!D195&lt;'Reeksen (N)'!B195,('Reeksen (N)'!B195-'Reeksen (N)'!D195)*L195,0)</f>
        <v>0</v>
      </c>
      <c r="P195" s="84">
        <f ca="1">('Invoer gegevens (N)'!$F$20/12)*L194*MIN('Reeksen (N)'!B194,'Reeksen (N)'!D194)</f>
        <v>0</v>
      </c>
      <c r="Q195" s="84">
        <f t="shared" ca="1" si="24"/>
        <v>0</v>
      </c>
      <c r="R195" s="82">
        <f ca="1">IF('Invoer gegevens (N)'!$C$17=E195,'Invoer gegevens (N)'!$C$11,IF(C195=1,W194,0))</f>
        <v>0</v>
      </c>
      <c r="S195" s="86">
        <f ca="1">IF(C195&gt;=1,R195*VLOOKUP(E195,'Reeksen (N)'!$A$5:$B$76,2),0)</f>
        <v>0</v>
      </c>
      <c r="T195" s="84">
        <f ca="1">(1-('Invoer gegevens (N)'!$F$20/12))*R195*MIN('Reeksen (N)'!B195,'Reeksen (N)'!D195)</f>
        <v>0</v>
      </c>
      <c r="U195" s="84">
        <f>IF('Reeksen (N)'!D195&gt;='Reeksen (N)'!B195,0,IF('Reeksen (N)'!AK195&lt;='Reeksen (N)'!AE195,('Reeksen (N)'!B195-'Reeksen (N)'!D195)*R195,0))</f>
        <v>0</v>
      </c>
      <c r="V195" s="86">
        <f>IF('Reeksen (N)'!D195&gt;='Reeksen (N)'!B195,0,IF('Reeksen (N)'!AK195&gt;'Reeksen (N)'!AE195,('Reeksen (N)'!B195-'Reeksen (N)'!D195)*R195,0))</f>
        <v>0</v>
      </c>
      <c r="W195" s="97">
        <f t="shared" ca="1" si="25"/>
        <v>0</v>
      </c>
      <c r="X195" s="98">
        <f ca="1">IF('Invoer gegevens (N)'!$C$17=E195,'Invoer gegevens (N)'!$C$10-'Invoer gegevens (N)'!$C$11,IF(C195=1,AC194,0))</f>
        <v>0</v>
      </c>
      <c r="Y195" s="98">
        <f ca="1">IF(C195&gt;=1,X195*VLOOKUP(E195,'Reeksen (N)'!$A$5:$B$76,2),0)</f>
        <v>0</v>
      </c>
      <c r="Z195" s="98">
        <f ca="1">(1-('Invoer gegevens (N)'!$F$20/12))*X195*MIN('Reeksen (N)'!B195,'Reeksen (N)'!D195)</f>
        <v>0</v>
      </c>
      <c r="AA195" s="98">
        <f>IF('Reeksen (N)'!D195&gt;='Reeksen (N)'!B195,0,IF('Reeksen (N)'!AK195&lt;='Reeksen (N)'!AE195,('Reeksen (N)'!B195-'Reeksen (N)'!D195)*X195,0))</f>
        <v>0</v>
      </c>
      <c r="AB195" s="98">
        <f>IF('Reeksen (N)'!D195&gt;='Reeksen (N)'!B195,0,IF('Reeksen (N)'!AK195&gt;'Reeksen (N)'!AE195,('Reeksen (N)'!B195-'Reeksen (N)'!D195)*X195,0))</f>
        <v>0</v>
      </c>
      <c r="AC195" s="99">
        <f t="shared" ca="1" si="26"/>
        <v>0</v>
      </c>
      <c r="AD195" s="98">
        <f ca="1">IF('Invoer gegevens (N)'!$C$17=E195,R195,IF(C195=0,0,AE194))</f>
        <v>0</v>
      </c>
      <c r="AE195" s="98">
        <f t="shared" ca="1" si="27"/>
        <v>0</v>
      </c>
      <c r="AF195" s="98">
        <f ca="1">IF('Invoer gegevens (N)'!$C$17=E195,X195,IF(C195=0,0,AG194))</f>
        <v>0</v>
      </c>
      <c r="AG195" s="98">
        <f t="shared" ca="1" si="28"/>
        <v>0</v>
      </c>
      <c r="AH195" s="68"/>
      <c r="AI195" s="71">
        <f ca="1">IF(C195=1,'Reeksen (N)'!AJ195*((F195-G195+F195)/2)*12+'Reeksen (N)'!AK195*((L195-M195+L195)/2)*12,0)</f>
        <v>0</v>
      </c>
      <c r="AJ195" s="71">
        <f ca="1">-AI195*'Invoer gegevens (N)'!$F$28</f>
        <v>0</v>
      </c>
      <c r="AK195" s="71">
        <f t="shared" ca="1" si="22"/>
        <v>0</v>
      </c>
      <c r="AL195" s="71">
        <f ca="1">IF(C195=1,'Reeksen (N)'!AL195*((F195-G195+F195)/2)*12+'Reeksen (N)'!AM195*((L195-M195+L195)/2)*12,0)</f>
        <v>0</v>
      </c>
      <c r="AM195" s="71">
        <f ca="1">-AL195*'Invoer gegevens (N)'!$F$31</f>
        <v>0</v>
      </c>
      <c r="AN195" s="71">
        <f t="shared" ca="1" si="29"/>
        <v>0</v>
      </c>
      <c r="AO195" s="71">
        <f ca="1">IF(C195=1,(H195+J195+N195+P195)*'Reeksen (N)'!AN195,0)</f>
        <v>0</v>
      </c>
      <c r="AP195" s="71">
        <f ca="1">-IF(C195=1,(H195+J195+N195+P195)*'Hulp - basis'!$O$550*'Reeksen (N)'!H195,0)</f>
        <v>0</v>
      </c>
      <c r="AQ195" s="71">
        <f ca="1">-IF(C195=1,(F195+K195+L195+Q195)/2*'Invoer gegevens (N)'!$I$33*'Reeksen (N)'!J195,0)*2</f>
        <v>0</v>
      </c>
      <c r="AR195" s="71">
        <f ca="1">-IF(C195=1,(I195*'Invoer gegevens (N)'!$I$34)*'Reeksen (N)'!J195,0)</f>
        <v>0</v>
      </c>
      <c r="AS195" s="71">
        <f ca="1">-IF(C195=1,(F195+K195+L195+Q195)/2*'Invoer gegevens (N)'!$I$35*'Reeksen (N)'!L195,0)</f>
        <v>0</v>
      </c>
      <c r="AT195" s="71">
        <f ca="1">-IF(C195=1,IF(E195='Invoer gegevens (N)'!$C$17,'Invoer gegevens (N)'!$C$11,AD195)*'Reeksen (N)'!S195*'Invoer gegevens (N)'!$C$18*'Reeksen (N)'!P195,0)</f>
        <v>0</v>
      </c>
      <c r="AU195" s="71">
        <f ca="1">-IF(C195=1,(F195+K195+L195+Q195)/2*'Invoer gegevens (N)'!$I$36*'Reeksen (N)'!H195,0)</f>
        <v>0</v>
      </c>
      <c r="AV195" s="71">
        <v>0</v>
      </c>
      <c r="AW195" s="71">
        <f t="shared" ca="1" si="30"/>
        <v>0</v>
      </c>
      <c r="AX195" s="71">
        <f ca="1">IF(E195&lt;'Invoer gegevens (N)'!$C$17+15,0,IF(E195&gt;'Invoer gegevens (N)'!$C$17+215,0,AW195))</f>
        <v>0</v>
      </c>
      <c r="AY195" s="71">
        <f ca="1">AX195/(1+'Invoer gegevens (N)'!$F$18)^($AZ195-('Invoer gegevens (N)'!$C$17-'Invoer gegevens (N)'!$C$16))/(1+'Invoer gegevens (N)'!$C$39)^('Invoer gegevens (N)'!$C$17-'Invoer gegevens (N)'!$C$16)</f>
        <v>0</v>
      </c>
      <c r="AZ195" s="68">
        <f ca="1">IF(E195-'Invoer gegevens (N)'!$C$17-14.5&lt;0,0,E195-'Invoer gegevens (N)'!$C$17-14.5)</f>
        <v>175.5</v>
      </c>
    </row>
    <row r="196" spans="2:52" x14ac:dyDescent="0.25">
      <c r="B196" s="70">
        <f t="shared" si="31"/>
        <v>192</v>
      </c>
      <c r="C196" s="67">
        <f ca="1">IF(E196-'Invoer gegevens (N)'!$C$17&lt;0,0,1)</f>
        <v>1</v>
      </c>
      <c r="D196" s="68">
        <f t="shared" si="32"/>
        <v>191.5</v>
      </c>
      <c r="E196" s="108">
        <f ca="1">IF('Invoer gegevens (N)'!$C$16="","",E195+1)</f>
        <v>2210</v>
      </c>
      <c r="F196" s="84">
        <f ca="1">IF('Invoer gegevens (N)'!$C$17=E196,'Invoer gegevens (N)'!$C$10,IF(C196=1,K195,0))</f>
        <v>0</v>
      </c>
      <c r="G196" s="96">
        <f ca="1">IF(C196&gt;=1,F196*VLOOKUP(E196,'Reeksen (N)'!$A$5:$B$76,2),0)</f>
        <v>0</v>
      </c>
      <c r="H196" s="84">
        <f ca="1">(1-('Invoer gegevens (N)'!$F$20/12))*F196*MIN('Reeksen (N)'!B196,'Reeksen (N)'!D196)</f>
        <v>0</v>
      </c>
      <c r="I196" s="84">
        <f>IF('Reeksen (N)'!D196&lt;'Reeksen (N)'!B196,('Reeksen (N)'!B196-'Reeksen (N)'!D196)*F196,0)</f>
        <v>0</v>
      </c>
      <c r="J196" s="84">
        <f ca="1">('Invoer gegevens (N)'!$F$20/12)*F195*MIN('Reeksen (N)'!B195,'Reeksen (N)'!D195)</f>
        <v>0</v>
      </c>
      <c r="K196" s="97">
        <f t="shared" ca="1" si="23"/>
        <v>0</v>
      </c>
      <c r="L196" s="84">
        <f ca="1">IF('Invoer gegevens (N)'!$C$17=E196,0,IF(C196=1,Q195,0))</f>
        <v>0</v>
      </c>
      <c r="M196" s="96">
        <f ca="1">IF(C196&gt;=1,L196*VLOOKUP(E196,'Reeksen (N)'!$A$5:$B$76,2),0)</f>
        <v>0</v>
      </c>
      <c r="N196" s="84">
        <f ca="1">(1-('Invoer gegevens (N)'!$F$20/12))*L196*MIN('Reeksen (N)'!B196,'Reeksen (N)'!D196)</f>
        <v>0</v>
      </c>
      <c r="O196" s="84">
        <f>IF('Reeksen (N)'!D196&lt;'Reeksen (N)'!B196,('Reeksen (N)'!B196-'Reeksen (N)'!D196)*L196,0)</f>
        <v>0</v>
      </c>
      <c r="P196" s="84">
        <f ca="1">('Invoer gegevens (N)'!$F$20/12)*L195*MIN('Reeksen (N)'!B195,'Reeksen (N)'!D195)</f>
        <v>0</v>
      </c>
      <c r="Q196" s="84">
        <f t="shared" ca="1" si="24"/>
        <v>0</v>
      </c>
      <c r="R196" s="82">
        <f ca="1">IF('Invoer gegevens (N)'!$C$17=E196,'Invoer gegevens (N)'!$C$11,IF(C196=1,W195,0))</f>
        <v>0</v>
      </c>
      <c r="S196" s="86">
        <f ca="1">IF(C196&gt;=1,R196*VLOOKUP(E196,'Reeksen (N)'!$A$5:$B$76,2),0)</f>
        <v>0</v>
      </c>
      <c r="T196" s="84">
        <f ca="1">(1-('Invoer gegevens (N)'!$F$20/12))*R196*MIN('Reeksen (N)'!B196,'Reeksen (N)'!D196)</f>
        <v>0</v>
      </c>
      <c r="U196" s="84">
        <f>IF('Reeksen (N)'!D196&gt;='Reeksen (N)'!B196,0,IF('Reeksen (N)'!AK196&lt;='Reeksen (N)'!AE196,('Reeksen (N)'!B196-'Reeksen (N)'!D196)*R196,0))</f>
        <v>0</v>
      </c>
      <c r="V196" s="86">
        <f>IF('Reeksen (N)'!D196&gt;='Reeksen (N)'!B196,0,IF('Reeksen (N)'!AK196&gt;'Reeksen (N)'!AE196,('Reeksen (N)'!B196-'Reeksen (N)'!D196)*R196,0))</f>
        <v>0</v>
      </c>
      <c r="W196" s="97">
        <f t="shared" ca="1" si="25"/>
        <v>0</v>
      </c>
      <c r="X196" s="98">
        <f ca="1">IF('Invoer gegevens (N)'!$C$17=E196,'Invoer gegevens (N)'!$C$10-'Invoer gegevens (N)'!$C$11,IF(C196=1,AC195,0))</f>
        <v>0</v>
      </c>
      <c r="Y196" s="98">
        <f ca="1">IF(C196&gt;=1,X196*VLOOKUP(E196,'Reeksen (N)'!$A$5:$B$76,2),0)</f>
        <v>0</v>
      </c>
      <c r="Z196" s="98">
        <f ca="1">(1-('Invoer gegevens (N)'!$F$20/12))*X196*MIN('Reeksen (N)'!B196,'Reeksen (N)'!D196)</f>
        <v>0</v>
      </c>
      <c r="AA196" s="98">
        <f>IF('Reeksen (N)'!D196&gt;='Reeksen (N)'!B196,0,IF('Reeksen (N)'!AK196&lt;='Reeksen (N)'!AE196,('Reeksen (N)'!B196-'Reeksen (N)'!D196)*X196,0))</f>
        <v>0</v>
      </c>
      <c r="AB196" s="98">
        <f>IF('Reeksen (N)'!D196&gt;='Reeksen (N)'!B196,0,IF('Reeksen (N)'!AK196&gt;'Reeksen (N)'!AE196,('Reeksen (N)'!B196-'Reeksen (N)'!D196)*X196,0))</f>
        <v>0</v>
      </c>
      <c r="AC196" s="99">
        <f t="shared" ca="1" si="26"/>
        <v>0</v>
      </c>
      <c r="AD196" s="98">
        <f ca="1">IF('Invoer gegevens (N)'!$C$17=E196,R196,IF(C196=0,0,AE195))</f>
        <v>0</v>
      </c>
      <c r="AE196" s="98">
        <f t="shared" ca="1" si="27"/>
        <v>0</v>
      </c>
      <c r="AF196" s="98">
        <f ca="1">IF('Invoer gegevens (N)'!$C$17=E196,X196,IF(C196=0,0,AG195))</f>
        <v>0</v>
      </c>
      <c r="AG196" s="98">
        <f t="shared" ca="1" si="28"/>
        <v>0</v>
      </c>
      <c r="AH196" s="68"/>
      <c r="AI196" s="71">
        <f ca="1">IF(C196=1,'Reeksen (N)'!AJ196*((F196-G196+F196)/2)*12+'Reeksen (N)'!AK196*((L196-M196+L196)/2)*12,0)</f>
        <v>0</v>
      </c>
      <c r="AJ196" s="71">
        <f ca="1">-AI196*'Invoer gegevens (N)'!$F$28</f>
        <v>0</v>
      </c>
      <c r="AK196" s="71">
        <f t="shared" ca="1" si="22"/>
        <v>0</v>
      </c>
      <c r="AL196" s="71">
        <f ca="1">IF(C196=1,'Reeksen (N)'!AL196*((F196-G196+F196)/2)*12+'Reeksen (N)'!AM196*((L196-M196+L196)/2)*12,0)</f>
        <v>0</v>
      </c>
      <c r="AM196" s="71">
        <f ca="1">-AL196*'Invoer gegevens (N)'!$F$31</f>
        <v>0</v>
      </c>
      <c r="AN196" s="71">
        <f t="shared" ca="1" si="29"/>
        <v>0</v>
      </c>
      <c r="AO196" s="71">
        <f ca="1">IF(C196=1,(H196+J196+N196+P196)*'Reeksen (N)'!AN196,0)</f>
        <v>0</v>
      </c>
      <c r="AP196" s="71">
        <f ca="1">-IF(C196=1,(H196+J196+N196+P196)*'Hulp - basis'!$O$550*'Reeksen (N)'!H196,0)</f>
        <v>0</v>
      </c>
      <c r="AQ196" s="71">
        <f ca="1">-IF(C196=1,(F196+K196+L196+Q196)/2*'Invoer gegevens (N)'!$I$33*'Reeksen (N)'!J196,0)*2</f>
        <v>0</v>
      </c>
      <c r="AR196" s="71">
        <f ca="1">-IF(C196=1,(I196*'Invoer gegevens (N)'!$I$34)*'Reeksen (N)'!J196,0)</f>
        <v>0</v>
      </c>
      <c r="AS196" s="71">
        <f ca="1">-IF(C196=1,(F196+K196+L196+Q196)/2*'Invoer gegevens (N)'!$I$35*'Reeksen (N)'!L196,0)</f>
        <v>0</v>
      </c>
      <c r="AT196" s="71">
        <f ca="1">-IF(C196=1,IF(E196='Invoer gegevens (N)'!$C$17,'Invoer gegevens (N)'!$C$11,AD196)*'Reeksen (N)'!S196*'Invoer gegevens (N)'!$C$18*'Reeksen (N)'!P196,0)</f>
        <v>0</v>
      </c>
      <c r="AU196" s="71">
        <f ca="1">-IF(C196=1,(F196+K196+L196+Q196)/2*'Invoer gegevens (N)'!$I$36*'Reeksen (N)'!H196,0)</f>
        <v>0</v>
      </c>
      <c r="AV196" s="71">
        <v>0</v>
      </c>
      <c r="AW196" s="71">
        <f t="shared" ca="1" si="30"/>
        <v>0</v>
      </c>
      <c r="AX196" s="71">
        <f ca="1">IF(E196&lt;'Invoer gegevens (N)'!$C$17+15,0,IF(E196&gt;'Invoer gegevens (N)'!$C$17+215,0,AW196))</f>
        <v>0</v>
      </c>
      <c r="AY196" s="71">
        <f ca="1">AX196/(1+'Invoer gegevens (N)'!$F$18)^($AZ196-('Invoer gegevens (N)'!$C$17-'Invoer gegevens (N)'!$C$16))/(1+'Invoer gegevens (N)'!$C$39)^('Invoer gegevens (N)'!$C$17-'Invoer gegevens (N)'!$C$16)</f>
        <v>0</v>
      </c>
      <c r="AZ196" s="68">
        <f ca="1">IF(E196-'Invoer gegevens (N)'!$C$17-14.5&lt;0,0,E196-'Invoer gegevens (N)'!$C$17-14.5)</f>
        <v>176.5</v>
      </c>
    </row>
    <row r="197" spans="2:52" x14ac:dyDescent="0.25">
      <c r="B197" s="70">
        <f t="shared" si="31"/>
        <v>193</v>
      </c>
      <c r="C197" s="67">
        <f ca="1">IF(E197-'Invoer gegevens (N)'!$C$17&lt;0,0,1)</f>
        <v>1</v>
      </c>
      <c r="D197" s="68">
        <f t="shared" si="32"/>
        <v>192.5</v>
      </c>
      <c r="E197" s="108">
        <f ca="1">IF('Invoer gegevens (N)'!$C$16="","",E196+1)</f>
        <v>2211</v>
      </c>
      <c r="F197" s="84">
        <f ca="1">IF('Invoer gegevens (N)'!$C$17=E197,'Invoer gegevens (N)'!$C$10,IF(C197=1,K196,0))</f>
        <v>0</v>
      </c>
      <c r="G197" s="96">
        <f ca="1">IF(C197&gt;=1,F197*VLOOKUP(E197,'Reeksen (N)'!$A$5:$B$76,2),0)</f>
        <v>0</v>
      </c>
      <c r="H197" s="84">
        <f ca="1">(1-('Invoer gegevens (N)'!$F$20/12))*F197*MIN('Reeksen (N)'!B197,'Reeksen (N)'!D197)</f>
        <v>0</v>
      </c>
      <c r="I197" s="84">
        <f>IF('Reeksen (N)'!D197&lt;'Reeksen (N)'!B197,('Reeksen (N)'!B197-'Reeksen (N)'!D197)*F197,0)</f>
        <v>0</v>
      </c>
      <c r="J197" s="84">
        <f ca="1">('Invoer gegevens (N)'!$F$20/12)*F196*MIN('Reeksen (N)'!B196,'Reeksen (N)'!D196)</f>
        <v>0</v>
      </c>
      <c r="K197" s="97">
        <f t="shared" ca="1" si="23"/>
        <v>0</v>
      </c>
      <c r="L197" s="84">
        <f ca="1">IF('Invoer gegevens (N)'!$C$17=E197,0,IF(C197=1,Q196,0))</f>
        <v>0</v>
      </c>
      <c r="M197" s="96">
        <f ca="1">IF(C197&gt;=1,L197*VLOOKUP(E197,'Reeksen (N)'!$A$5:$B$76,2),0)</f>
        <v>0</v>
      </c>
      <c r="N197" s="84">
        <f ca="1">(1-('Invoer gegevens (N)'!$F$20/12))*L197*MIN('Reeksen (N)'!B197,'Reeksen (N)'!D197)</f>
        <v>0</v>
      </c>
      <c r="O197" s="84">
        <f>IF('Reeksen (N)'!D197&lt;'Reeksen (N)'!B197,('Reeksen (N)'!B197-'Reeksen (N)'!D197)*L197,0)</f>
        <v>0</v>
      </c>
      <c r="P197" s="84">
        <f ca="1">('Invoer gegevens (N)'!$F$20/12)*L196*MIN('Reeksen (N)'!B196,'Reeksen (N)'!D196)</f>
        <v>0</v>
      </c>
      <c r="Q197" s="84">
        <f t="shared" ca="1" si="24"/>
        <v>0</v>
      </c>
      <c r="R197" s="82">
        <f ca="1">IF('Invoer gegevens (N)'!$C$17=E197,'Invoer gegevens (N)'!$C$11,IF(C197=1,W196,0))</f>
        <v>0</v>
      </c>
      <c r="S197" s="86">
        <f ca="1">IF(C197&gt;=1,R197*VLOOKUP(E197,'Reeksen (N)'!$A$5:$B$76,2),0)</f>
        <v>0</v>
      </c>
      <c r="T197" s="84">
        <f ca="1">(1-('Invoer gegevens (N)'!$F$20/12))*R197*MIN('Reeksen (N)'!B197,'Reeksen (N)'!D197)</f>
        <v>0</v>
      </c>
      <c r="U197" s="84">
        <f>IF('Reeksen (N)'!D197&gt;='Reeksen (N)'!B197,0,IF('Reeksen (N)'!AK197&lt;='Reeksen (N)'!AE197,('Reeksen (N)'!B197-'Reeksen (N)'!D197)*R197,0))</f>
        <v>0</v>
      </c>
      <c r="V197" s="86">
        <f>IF('Reeksen (N)'!D197&gt;='Reeksen (N)'!B197,0,IF('Reeksen (N)'!AK197&gt;'Reeksen (N)'!AE197,('Reeksen (N)'!B197-'Reeksen (N)'!D197)*R197,0))</f>
        <v>0</v>
      </c>
      <c r="W197" s="97">
        <f t="shared" ca="1" si="25"/>
        <v>0</v>
      </c>
      <c r="X197" s="98">
        <f ca="1">IF('Invoer gegevens (N)'!$C$17=E197,'Invoer gegevens (N)'!$C$10-'Invoer gegevens (N)'!$C$11,IF(C197=1,AC196,0))</f>
        <v>0</v>
      </c>
      <c r="Y197" s="98">
        <f ca="1">IF(C197&gt;=1,X197*VLOOKUP(E197,'Reeksen (N)'!$A$5:$B$76,2),0)</f>
        <v>0</v>
      </c>
      <c r="Z197" s="98">
        <f ca="1">(1-('Invoer gegevens (N)'!$F$20/12))*X197*MIN('Reeksen (N)'!B197,'Reeksen (N)'!D197)</f>
        <v>0</v>
      </c>
      <c r="AA197" s="98">
        <f>IF('Reeksen (N)'!D197&gt;='Reeksen (N)'!B197,0,IF('Reeksen (N)'!AK197&lt;='Reeksen (N)'!AE197,('Reeksen (N)'!B197-'Reeksen (N)'!D197)*X197,0))</f>
        <v>0</v>
      </c>
      <c r="AB197" s="98">
        <f>IF('Reeksen (N)'!D197&gt;='Reeksen (N)'!B197,0,IF('Reeksen (N)'!AK197&gt;'Reeksen (N)'!AE197,('Reeksen (N)'!B197-'Reeksen (N)'!D197)*X197,0))</f>
        <v>0</v>
      </c>
      <c r="AC197" s="99">
        <f t="shared" ca="1" si="26"/>
        <v>0</v>
      </c>
      <c r="AD197" s="98">
        <f ca="1">IF('Invoer gegevens (N)'!$C$17=E197,R197,IF(C197=0,0,AE196))</f>
        <v>0</v>
      </c>
      <c r="AE197" s="98">
        <f t="shared" ca="1" si="27"/>
        <v>0</v>
      </c>
      <c r="AF197" s="98">
        <f ca="1">IF('Invoer gegevens (N)'!$C$17=E197,X197,IF(C197=0,0,AG196))</f>
        <v>0</v>
      </c>
      <c r="AG197" s="98">
        <f t="shared" ca="1" si="28"/>
        <v>0</v>
      </c>
      <c r="AH197" s="68"/>
      <c r="AI197" s="71">
        <f ca="1">IF(C197=1,'Reeksen (N)'!AJ197*((F197-G197+F197)/2)*12+'Reeksen (N)'!AK197*((L197-M197+L197)/2)*12,0)</f>
        <v>0</v>
      </c>
      <c r="AJ197" s="71">
        <f ca="1">-AI197*'Invoer gegevens (N)'!$F$28</f>
        <v>0</v>
      </c>
      <c r="AK197" s="71">
        <f t="shared" ref="AK197:AK234" ca="1" si="33">AI197+AJ197</f>
        <v>0</v>
      </c>
      <c r="AL197" s="71">
        <f ca="1">IF(C197=1,'Reeksen (N)'!AL197*((F197-G197+F197)/2)*12+'Reeksen (N)'!AM197*((L197-M197+L197)/2)*12,0)</f>
        <v>0</v>
      </c>
      <c r="AM197" s="71">
        <f ca="1">-AL197*'Invoer gegevens (N)'!$F$31</f>
        <v>0</v>
      </c>
      <c r="AN197" s="71">
        <f t="shared" ca="1" si="29"/>
        <v>0</v>
      </c>
      <c r="AO197" s="71">
        <f ca="1">IF(C197=1,(H197+J197+N197+P197)*'Reeksen (N)'!AN197,0)</f>
        <v>0</v>
      </c>
      <c r="AP197" s="71">
        <f ca="1">-IF(C197=1,(H197+J197+N197+P197)*'Hulp - basis'!$O$550*'Reeksen (N)'!H197,0)</f>
        <v>0</v>
      </c>
      <c r="AQ197" s="71">
        <f ca="1">-IF(C197=1,(F197+K197+L197+Q197)/2*'Invoer gegevens (N)'!$I$33*'Reeksen (N)'!J197,0)*2</f>
        <v>0</v>
      </c>
      <c r="AR197" s="71">
        <f ca="1">-IF(C197=1,(I197*'Invoer gegevens (N)'!$I$34)*'Reeksen (N)'!J197,0)</f>
        <v>0</v>
      </c>
      <c r="AS197" s="71">
        <f ca="1">-IF(C197=1,(F197+K197+L197+Q197)/2*'Invoer gegevens (N)'!$I$35*'Reeksen (N)'!L197,0)</f>
        <v>0</v>
      </c>
      <c r="AT197" s="71">
        <f ca="1">-IF(C197=1,IF(E197='Invoer gegevens (N)'!$C$17,'Invoer gegevens (N)'!$C$11,AD197)*'Reeksen (N)'!S197*'Invoer gegevens (N)'!$C$18*'Reeksen (N)'!P197,0)</f>
        <v>0</v>
      </c>
      <c r="AU197" s="71">
        <f ca="1">-IF(C197=1,(F197+K197+L197+Q197)/2*'Invoer gegevens (N)'!$I$36*'Reeksen (N)'!H197,0)</f>
        <v>0</v>
      </c>
      <c r="AV197" s="71">
        <v>0</v>
      </c>
      <c r="AW197" s="71">
        <f t="shared" ca="1" si="30"/>
        <v>0</v>
      </c>
      <c r="AX197" s="71">
        <f ca="1">IF(E197&lt;'Invoer gegevens (N)'!$C$17+15,0,IF(E197&gt;'Invoer gegevens (N)'!$C$17+215,0,AW197))</f>
        <v>0</v>
      </c>
      <c r="AY197" s="71">
        <f ca="1">AX197/(1+'Invoer gegevens (N)'!$F$18)^($AZ197-('Invoer gegevens (N)'!$C$17-'Invoer gegevens (N)'!$C$16))/(1+'Invoer gegevens (N)'!$C$39)^('Invoer gegevens (N)'!$C$17-'Invoer gegevens (N)'!$C$16)</f>
        <v>0</v>
      </c>
      <c r="AZ197" s="68">
        <f ca="1">IF(E197-'Invoer gegevens (N)'!$C$17-14.5&lt;0,0,E197-'Invoer gegevens (N)'!$C$17-14.5)</f>
        <v>177.5</v>
      </c>
    </row>
    <row r="198" spans="2:52" x14ac:dyDescent="0.25">
      <c r="B198" s="70">
        <f t="shared" si="31"/>
        <v>194</v>
      </c>
      <c r="C198" s="67">
        <f ca="1">IF(E198-'Invoer gegevens (N)'!$C$17&lt;0,0,1)</f>
        <v>1</v>
      </c>
      <c r="D198" s="68">
        <f t="shared" si="32"/>
        <v>193.5</v>
      </c>
      <c r="E198" s="108">
        <f ca="1">IF('Invoer gegevens (N)'!$C$16="","",E197+1)</f>
        <v>2212</v>
      </c>
      <c r="F198" s="84">
        <f ca="1">IF('Invoer gegevens (N)'!$C$17=E198,'Invoer gegevens (N)'!$C$10,IF(C198=1,K197,0))</f>
        <v>0</v>
      </c>
      <c r="G198" s="96">
        <f ca="1">IF(C198&gt;=1,F198*VLOOKUP(E198,'Reeksen (N)'!$A$5:$B$76,2),0)</f>
        <v>0</v>
      </c>
      <c r="H198" s="84">
        <f ca="1">(1-('Invoer gegevens (N)'!$F$20/12))*F198*MIN('Reeksen (N)'!B198,'Reeksen (N)'!D198)</f>
        <v>0</v>
      </c>
      <c r="I198" s="84">
        <f>IF('Reeksen (N)'!D198&lt;'Reeksen (N)'!B198,('Reeksen (N)'!B198-'Reeksen (N)'!D198)*F198,0)</f>
        <v>0</v>
      </c>
      <c r="J198" s="84">
        <f ca="1">('Invoer gegevens (N)'!$F$20/12)*F197*MIN('Reeksen (N)'!B197,'Reeksen (N)'!D197)</f>
        <v>0</v>
      </c>
      <c r="K198" s="97">
        <f t="shared" ref="K198:K234" ca="1" si="34">F198-G198</f>
        <v>0</v>
      </c>
      <c r="L198" s="84">
        <f ca="1">IF('Invoer gegevens (N)'!$C$17=E198,0,IF(C198=1,Q197,0))</f>
        <v>0</v>
      </c>
      <c r="M198" s="96">
        <f ca="1">IF(C198&gt;=1,L198*VLOOKUP(E198,'Reeksen (N)'!$A$5:$B$76,2),0)</f>
        <v>0</v>
      </c>
      <c r="N198" s="84">
        <f ca="1">(1-('Invoer gegevens (N)'!$F$20/12))*L198*MIN('Reeksen (N)'!B198,'Reeksen (N)'!D198)</f>
        <v>0</v>
      </c>
      <c r="O198" s="84">
        <f>IF('Reeksen (N)'!D198&lt;'Reeksen (N)'!B198,('Reeksen (N)'!B198-'Reeksen (N)'!D198)*L198,0)</f>
        <v>0</v>
      </c>
      <c r="P198" s="84">
        <f ca="1">('Invoer gegevens (N)'!$F$20/12)*L197*MIN('Reeksen (N)'!B197,'Reeksen (N)'!D197)</f>
        <v>0</v>
      </c>
      <c r="Q198" s="84">
        <f t="shared" ref="Q198:Q234" ca="1" si="35">L198-M198+I198+O198</f>
        <v>0</v>
      </c>
      <c r="R198" s="82">
        <f ca="1">IF('Invoer gegevens (N)'!$C$17=E198,'Invoer gegevens (N)'!$C$11,IF(C198=1,W197,0))</f>
        <v>0</v>
      </c>
      <c r="S198" s="86">
        <f ca="1">IF(C198&gt;=1,R198*VLOOKUP(E198,'Reeksen (N)'!$A$5:$B$76,2),0)</f>
        <v>0</v>
      </c>
      <c r="T198" s="84">
        <f ca="1">(1-('Invoer gegevens (N)'!$F$20/12))*R198*MIN('Reeksen (N)'!B198,'Reeksen (N)'!D198)</f>
        <v>0</v>
      </c>
      <c r="U198" s="84">
        <f>IF('Reeksen (N)'!D198&gt;='Reeksen (N)'!B198,0,IF('Reeksen (N)'!AK198&lt;='Reeksen (N)'!AE198,('Reeksen (N)'!B198-'Reeksen (N)'!D198)*R198,0))</f>
        <v>0</v>
      </c>
      <c r="V198" s="86">
        <f>IF('Reeksen (N)'!D198&gt;='Reeksen (N)'!B198,0,IF('Reeksen (N)'!AK198&gt;'Reeksen (N)'!AE198,('Reeksen (N)'!B198-'Reeksen (N)'!D198)*R198,0))</f>
        <v>0</v>
      </c>
      <c r="W198" s="97">
        <f t="shared" ref="W198:W234" ca="1" si="36">R198-S198</f>
        <v>0</v>
      </c>
      <c r="X198" s="98">
        <f ca="1">IF('Invoer gegevens (N)'!$C$17=E198,'Invoer gegevens (N)'!$C$10-'Invoer gegevens (N)'!$C$11,IF(C198=1,AC197,0))</f>
        <v>0</v>
      </c>
      <c r="Y198" s="98">
        <f ca="1">IF(C198&gt;=1,X198*VLOOKUP(E198,'Reeksen (N)'!$A$5:$B$76,2),0)</f>
        <v>0</v>
      </c>
      <c r="Z198" s="98">
        <f ca="1">(1-('Invoer gegevens (N)'!$F$20/12))*X198*MIN('Reeksen (N)'!B198,'Reeksen (N)'!D198)</f>
        <v>0</v>
      </c>
      <c r="AA198" s="98">
        <f>IF('Reeksen (N)'!D198&gt;='Reeksen (N)'!B198,0,IF('Reeksen (N)'!AK198&lt;='Reeksen (N)'!AE198,('Reeksen (N)'!B198-'Reeksen (N)'!D198)*X198,0))</f>
        <v>0</v>
      </c>
      <c r="AB198" s="98">
        <f>IF('Reeksen (N)'!D198&gt;='Reeksen (N)'!B198,0,IF('Reeksen (N)'!AK198&gt;'Reeksen (N)'!AE198,('Reeksen (N)'!B198-'Reeksen (N)'!D198)*X198,0))</f>
        <v>0</v>
      </c>
      <c r="AC198" s="99">
        <f t="shared" ref="AC198:AC234" ca="1" si="37">X198-Y198</f>
        <v>0</v>
      </c>
      <c r="AD198" s="98">
        <f ca="1">IF('Invoer gegevens (N)'!$C$17=E198,R198,IF(C198=0,0,AE197))</f>
        <v>0</v>
      </c>
      <c r="AE198" s="98">
        <f t="shared" ref="AE198:AE234" ca="1" si="38">IF(C198=0,0,AD198-S198-V198+AA198)</f>
        <v>0</v>
      </c>
      <c r="AF198" s="98">
        <f ca="1">IF('Invoer gegevens (N)'!$C$17=E198,X198,IF(C198=0,0,AG197))</f>
        <v>0</v>
      </c>
      <c r="AG198" s="98">
        <f t="shared" ref="AG198:AG234" ca="1" si="39">IF(C198=0,0,AF198-Y198-AA198+V198)</f>
        <v>0</v>
      </c>
      <c r="AH198" s="68"/>
      <c r="AI198" s="71">
        <f ca="1">IF(C198=1,'Reeksen (N)'!AJ198*((F198-G198+F198)/2)*12+'Reeksen (N)'!AK198*((L198-M198+L198)/2)*12,0)</f>
        <v>0</v>
      </c>
      <c r="AJ198" s="71">
        <f ca="1">-AI198*'Invoer gegevens (N)'!$F$28</f>
        <v>0</v>
      </c>
      <c r="AK198" s="71">
        <f t="shared" ca="1" si="33"/>
        <v>0</v>
      </c>
      <c r="AL198" s="71">
        <f ca="1">IF(C198=1,'Reeksen (N)'!AL198*((F198-G198+F198)/2)*12+'Reeksen (N)'!AM198*((L198-M198+L198)/2)*12,0)</f>
        <v>0</v>
      </c>
      <c r="AM198" s="71">
        <f ca="1">-AL198*'Invoer gegevens (N)'!$F$31</f>
        <v>0</v>
      </c>
      <c r="AN198" s="71">
        <f t="shared" ref="AN198:AN234" ca="1" si="40">AL198+AM198</f>
        <v>0</v>
      </c>
      <c r="AO198" s="71">
        <f ca="1">IF(C198=1,(H198+J198+N198+P198)*'Reeksen (N)'!AN198,0)</f>
        <v>0</v>
      </c>
      <c r="AP198" s="71">
        <f ca="1">-IF(C198=1,(H198+J198+N198+P198)*'Hulp - basis'!$O$550*'Reeksen (N)'!H198,0)</f>
        <v>0</v>
      </c>
      <c r="AQ198" s="71">
        <f ca="1">-IF(C198=1,(F198+K198+L198+Q198)/2*'Invoer gegevens (N)'!$I$33*'Reeksen (N)'!J198,0)*2</f>
        <v>0</v>
      </c>
      <c r="AR198" s="71">
        <f ca="1">-IF(C198=1,(I198*'Invoer gegevens (N)'!$I$34)*'Reeksen (N)'!J198,0)</f>
        <v>0</v>
      </c>
      <c r="AS198" s="71">
        <f ca="1">-IF(C198=1,(F198+K198+L198+Q198)/2*'Invoer gegevens (N)'!$I$35*'Reeksen (N)'!L198,0)</f>
        <v>0</v>
      </c>
      <c r="AT198" s="71">
        <f ca="1">-IF(C198=1,IF(E198='Invoer gegevens (N)'!$C$17,'Invoer gegevens (N)'!$C$11,AD198)*'Reeksen (N)'!S198*'Invoer gegevens (N)'!$C$18*'Reeksen (N)'!P198,0)</f>
        <v>0</v>
      </c>
      <c r="AU198" s="71">
        <f ca="1">-IF(C198=1,(F198+K198+L198+Q198)/2*'Invoer gegevens (N)'!$I$36*'Reeksen (N)'!H198,0)</f>
        <v>0</v>
      </c>
      <c r="AV198" s="71">
        <v>0</v>
      </c>
      <c r="AW198" s="71">
        <f t="shared" ref="AW198:AW234" ca="1" si="41">SUM(AK198,AN198:AV198)</f>
        <v>0</v>
      </c>
      <c r="AX198" s="71">
        <f ca="1">IF(E198&lt;'Invoer gegevens (N)'!$C$17+15,0,IF(E198&gt;'Invoer gegevens (N)'!$C$17+215,0,AW198))</f>
        <v>0</v>
      </c>
      <c r="AY198" s="71">
        <f ca="1">AX198/(1+'Invoer gegevens (N)'!$F$18)^($AZ198-('Invoer gegevens (N)'!$C$17-'Invoer gegevens (N)'!$C$16))/(1+'Invoer gegevens (N)'!$C$39)^('Invoer gegevens (N)'!$C$17-'Invoer gegevens (N)'!$C$16)</f>
        <v>0</v>
      </c>
      <c r="AZ198" s="68">
        <f ca="1">IF(E198-'Invoer gegevens (N)'!$C$17-14.5&lt;0,0,E198-'Invoer gegevens (N)'!$C$17-14.5)</f>
        <v>178.5</v>
      </c>
    </row>
    <row r="199" spans="2:52" x14ac:dyDescent="0.25">
      <c r="B199" s="70">
        <f t="shared" si="31"/>
        <v>195</v>
      </c>
      <c r="C199" s="67">
        <f ca="1">IF(E199-'Invoer gegevens (N)'!$C$17&lt;0,0,1)</f>
        <v>1</v>
      </c>
      <c r="D199" s="68">
        <f t="shared" si="32"/>
        <v>194.5</v>
      </c>
      <c r="E199" s="108">
        <f ca="1">IF('Invoer gegevens (N)'!$C$16="","",E198+1)</f>
        <v>2213</v>
      </c>
      <c r="F199" s="84">
        <f ca="1">IF('Invoer gegevens (N)'!$C$17=E199,'Invoer gegevens (N)'!$C$10,IF(C199=1,K198,0))</f>
        <v>0</v>
      </c>
      <c r="G199" s="96">
        <f ca="1">IF(C199&gt;=1,F199*VLOOKUP(E199,'Reeksen (N)'!$A$5:$B$76,2),0)</f>
        <v>0</v>
      </c>
      <c r="H199" s="84">
        <f ca="1">(1-('Invoer gegevens (N)'!$F$20/12))*F199*MIN('Reeksen (N)'!B199,'Reeksen (N)'!D199)</f>
        <v>0</v>
      </c>
      <c r="I199" s="84">
        <f>IF('Reeksen (N)'!D199&lt;'Reeksen (N)'!B199,('Reeksen (N)'!B199-'Reeksen (N)'!D199)*F199,0)</f>
        <v>0</v>
      </c>
      <c r="J199" s="84">
        <f ca="1">('Invoer gegevens (N)'!$F$20/12)*F198*MIN('Reeksen (N)'!B198,'Reeksen (N)'!D198)</f>
        <v>0</v>
      </c>
      <c r="K199" s="97">
        <f t="shared" ca="1" si="34"/>
        <v>0</v>
      </c>
      <c r="L199" s="84">
        <f ca="1">IF('Invoer gegevens (N)'!$C$17=E199,0,IF(C199=1,Q198,0))</f>
        <v>0</v>
      </c>
      <c r="M199" s="96">
        <f ca="1">IF(C199&gt;=1,L199*VLOOKUP(E199,'Reeksen (N)'!$A$5:$B$76,2),0)</f>
        <v>0</v>
      </c>
      <c r="N199" s="84">
        <f ca="1">(1-('Invoer gegevens (N)'!$F$20/12))*L199*MIN('Reeksen (N)'!B199,'Reeksen (N)'!D199)</f>
        <v>0</v>
      </c>
      <c r="O199" s="84">
        <f>IF('Reeksen (N)'!D199&lt;'Reeksen (N)'!B199,('Reeksen (N)'!B199-'Reeksen (N)'!D199)*L199,0)</f>
        <v>0</v>
      </c>
      <c r="P199" s="84">
        <f ca="1">('Invoer gegevens (N)'!$F$20/12)*L198*MIN('Reeksen (N)'!B198,'Reeksen (N)'!D198)</f>
        <v>0</v>
      </c>
      <c r="Q199" s="84">
        <f t="shared" ca="1" si="35"/>
        <v>0</v>
      </c>
      <c r="R199" s="82">
        <f ca="1">IF('Invoer gegevens (N)'!$C$17=E199,'Invoer gegevens (N)'!$C$11,IF(C199=1,W198,0))</f>
        <v>0</v>
      </c>
      <c r="S199" s="86">
        <f ca="1">IF(C199&gt;=1,R199*VLOOKUP(E199,'Reeksen (N)'!$A$5:$B$76,2),0)</f>
        <v>0</v>
      </c>
      <c r="T199" s="84">
        <f ca="1">(1-('Invoer gegevens (N)'!$F$20/12))*R199*MIN('Reeksen (N)'!B199,'Reeksen (N)'!D199)</f>
        <v>0</v>
      </c>
      <c r="U199" s="84">
        <f>IF('Reeksen (N)'!D199&gt;='Reeksen (N)'!B199,0,IF('Reeksen (N)'!AK199&lt;='Reeksen (N)'!AE199,('Reeksen (N)'!B199-'Reeksen (N)'!D199)*R199,0))</f>
        <v>0</v>
      </c>
      <c r="V199" s="86">
        <f>IF('Reeksen (N)'!D199&gt;='Reeksen (N)'!B199,0,IF('Reeksen (N)'!AK199&gt;'Reeksen (N)'!AE199,('Reeksen (N)'!B199-'Reeksen (N)'!D199)*R199,0))</f>
        <v>0</v>
      </c>
      <c r="W199" s="97">
        <f t="shared" ca="1" si="36"/>
        <v>0</v>
      </c>
      <c r="X199" s="98">
        <f ca="1">IF('Invoer gegevens (N)'!$C$17=E199,'Invoer gegevens (N)'!$C$10-'Invoer gegevens (N)'!$C$11,IF(C199=1,AC198,0))</f>
        <v>0</v>
      </c>
      <c r="Y199" s="98">
        <f ca="1">IF(C199&gt;=1,X199*VLOOKUP(E199,'Reeksen (N)'!$A$5:$B$76,2),0)</f>
        <v>0</v>
      </c>
      <c r="Z199" s="98">
        <f ca="1">(1-('Invoer gegevens (N)'!$F$20/12))*X199*MIN('Reeksen (N)'!B199,'Reeksen (N)'!D199)</f>
        <v>0</v>
      </c>
      <c r="AA199" s="98">
        <f>IF('Reeksen (N)'!D199&gt;='Reeksen (N)'!B199,0,IF('Reeksen (N)'!AK199&lt;='Reeksen (N)'!AE199,('Reeksen (N)'!B199-'Reeksen (N)'!D199)*X199,0))</f>
        <v>0</v>
      </c>
      <c r="AB199" s="98">
        <f>IF('Reeksen (N)'!D199&gt;='Reeksen (N)'!B199,0,IF('Reeksen (N)'!AK199&gt;'Reeksen (N)'!AE199,('Reeksen (N)'!B199-'Reeksen (N)'!D199)*X199,0))</f>
        <v>0</v>
      </c>
      <c r="AC199" s="99">
        <f t="shared" ca="1" si="37"/>
        <v>0</v>
      </c>
      <c r="AD199" s="98">
        <f ca="1">IF('Invoer gegevens (N)'!$C$17=E199,R199,IF(C199=0,0,AE198))</f>
        <v>0</v>
      </c>
      <c r="AE199" s="98">
        <f t="shared" ca="1" si="38"/>
        <v>0</v>
      </c>
      <c r="AF199" s="98">
        <f ca="1">IF('Invoer gegevens (N)'!$C$17=E199,X199,IF(C199=0,0,AG198))</f>
        <v>0</v>
      </c>
      <c r="AG199" s="98">
        <f t="shared" ca="1" si="39"/>
        <v>0</v>
      </c>
      <c r="AH199" s="68"/>
      <c r="AI199" s="71">
        <f ca="1">IF(C199=1,'Reeksen (N)'!AJ199*((F199-G199+F199)/2)*12+'Reeksen (N)'!AK199*((L199-M199+L199)/2)*12,0)</f>
        <v>0</v>
      </c>
      <c r="AJ199" s="71">
        <f ca="1">-AI199*'Invoer gegevens (N)'!$F$28</f>
        <v>0</v>
      </c>
      <c r="AK199" s="71">
        <f t="shared" ca="1" si="33"/>
        <v>0</v>
      </c>
      <c r="AL199" s="71">
        <f ca="1">IF(C199=1,'Reeksen (N)'!AL199*((F199-G199+F199)/2)*12+'Reeksen (N)'!AM199*((L199-M199+L199)/2)*12,0)</f>
        <v>0</v>
      </c>
      <c r="AM199" s="71">
        <f ca="1">-AL199*'Invoer gegevens (N)'!$F$31</f>
        <v>0</v>
      </c>
      <c r="AN199" s="71">
        <f t="shared" ca="1" si="40"/>
        <v>0</v>
      </c>
      <c r="AO199" s="71">
        <f ca="1">IF(C199=1,(H199+J199+N199+P199)*'Reeksen (N)'!AN199,0)</f>
        <v>0</v>
      </c>
      <c r="AP199" s="71">
        <f ca="1">-IF(C199=1,(H199+J199+N199+P199)*'Hulp - basis'!$O$550*'Reeksen (N)'!H199,0)</f>
        <v>0</v>
      </c>
      <c r="AQ199" s="71">
        <f ca="1">-IF(C199=1,(F199+K199+L199+Q199)/2*'Invoer gegevens (N)'!$I$33*'Reeksen (N)'!J199,0)*2</f>
        <v>0</v>
      </c>
      <c r="AR199" s="71">
        <f ca="1">-IF(C199=1,(I199*'Invoer gegevens (N)'!$I$34)*'Reeksen (N)'!J199,0)</f>
        <v>0</v>
      </c>
      <c r="AS199" s="71">
        <f ca="1">-IF(C199=1,(F199+K199+L199+Q199)/2*'Invoer gegevens (N)'!$I$35*'Reeksen (N)'!L199,0)</f>
        <v>0</v>
      </c>
      <c r="AT199" s="71">
        <f ca="1">-IF(C199=1,IF(E199='Invoer gegevens (N)'!$C$17,'Invoer gegevens (N)'!$C$11,AD199)*'Reeksen (N)'!S199*'Invoer gegevens (N)'!$C$18*'Reeksen (N)'!P199,0)</f>
        <v>0</v>
      </c>
      <c r="AU199" s="71">
        <f ca="1">-IF(C199=1,(F199+K199+L199+Q199)/2*'Invoer gegevens (N)'!$I$36*'Reeksen (N)'!H199,0)</f>
        <v>0</v>
      </c>
      <c r="AV199" s="71">
        <v>0</v>
      </c>
      <c r="AW199" s="71">
        <f t="shared" ca="1" si="41"/>
        <v>0</v>
      </c>
      <c r="AX199" s="71">
        <f ca="1">IF(E199&lt;'Invoer gegevens (N)'!$C$17+15,0,IF(E199&gt;'Invoer gegevens (N)'!$C$17+215,0,AW199))</f>
        <v>0</v>
      </c>
      <c r="AY199" s="71">
        <f ca="1">AX199/(1+'Invoer gegevens (N)'!$F$18)^($AZ199-('Invoer gegevens (N)'!$C$17-'Invoer gegevens (N)'!$C$16))/(1+'Invoer gegevens (N)'!$C$39)^('Invoer gegevens (N)'!$C$17-'Invoer gegevens (N)'!$C$16)</f>
        <v>0</v>
      </c>
      <c r="AZ199" s="68">
        <f ca="1">IF(E199-'Invoer gegevens (N)'!$C$17-14.5&lt;0,0,E199-'Invoer gegevens (N)'!$C$17-14.5)</f>
        <v>179.5</v>
      </c>
    </row>
    <row r="200" spans="2:52" x14ac:dyDescent="0.25">
      <c r="B200" s="70">
        <f t="shared" ref="B200:B234" si="42">B199+1</f>
        <v>196</v>
      </c>
      <c r="C200" s="67">
        <f ca="1">IF(E200-'Invoer gegevens (N)'!$C$17&lt;0,0,1)</f>
        <v>1</v>
      </c>
      <c r="D200" s="68">
        <f t="shared" ref="D200:D234" si="43">D199+1</f>
        <v>195.5</v>
      </c>
      <c r="E200" s="108">
        <f ca="1">IF('Invoer gegevens (N)'!$C$16="","",E199+1)</f>
        <v>2214</v>
      </c>
      <c r="F200" s="84">
        <f ca="1">IF('Invoer gegevens (N)'!$C$17=E200,'Invoer gegevens (N)'!$C$10,IF(C200=1,K199,0))</f>
        <v>0</v>
      </c>
      <c r="G200" s="96">
        <f ca="1">IF(C200&gt;=1,F200*VLOOKUP(E200,'Reeksen (N)'!$A$5:$B$76,2),0)</f>
        <v>0</v>
      </c>
      <c r="H200" s="84">
        <f ca="1">(1-('Invoer gegevens (N)'!$F$20/12))*F200*MIN('Reeksen (N)'!B200,'Reeksen (N)'!D200)</f>
        <v>0</v>
      </c>
      <c r="I200" s="84">
        <f>IF('Reeksen (N)'!D200&lt;'Reeksen (N)'!B200,('Reeksen (N)'!B200-'Reeksen (N)'!D200)*F200,0)</f>
        <v>0</v>
      </c>
      <c r="J200" s="84">
        <f ca="1">('Invoer gegevens (N)'!$F$20/12)*F199*MIN('Reeksen (N)'!B199,'Reeksen (N)'!D199)</f>
        <v>0</v>
      </c>
      <c r="K200" s="97">
        <f t="shared" ca="1" si="34"/>
        <v>0</v>
      </c>
      <c r="L200" s="84">
        <f ca="1">IF('Invoer gegevens (N)'!$C$17=E200,0,IF(C200=1,Q199,0))</f>
        <v>0</v>
      </c>
      <c r="M200" s="96">
        <f ca="1">IF(C200&gt;=1,L200*VLOOKUP(E200,'Reeksen (N)'!$A$5:$B$76,2),0)</f>
        <v>0</v>
      </c>
      <c r="N200" s="84">
        <f ca="1">(1-('Invoer gegevens (N)'!$F$20/12))*L200*MIN('Reeksen (N)'!B200,'Reeksen (N)'!D200)</f>
        <v>0</v>
      </c>
      <c r="O200" s="84">
        <f>IF('Reeksen (N)'!D200&lt;'Reeksen (N)'!B200,('Reeksen (N)'!B200-'Reeksen (N)'!D200)*L200,0)</f>
        <v>0</v>
      </c>
      <c r="P200" s="84">
        <f ca="1">('Invoer gegevens (N)'!$F$20/12)*L199*MIN('Reeksen (N)'!B199,'Reeksen (N)'!D199)</f>
        <v>0</v>
      </c>
      <c r="Q200" s="84">
        <f t="shared" ca="1" si="35"/>
        <v>0</v>
      </c>
      <c r="R200" s="82">
        <f ca="1">IF('Invoer gegevens (N)'!$C$17=E200,'Invoer gegevens (N)'!$C$11,IF(C200=1,W199,0))</f>
        <v>0</v>
      </c>
      <c r="S200" s="86">
        <f ca="1">IF(C200&gt;=1,R200*VLOOKUP(E200,'Reeksen (N)'!$A$5:$B$76,2),0)</f>
        <v>0</v>
      </c>
      <c r="T200" s="84">
        <f ca="1">(1-('Invoer gegevens (N)'!$F$20/12))*R200*MIN('Reeksen (N)'!B200,'Reeksen (N)'!D200)</f>
        <v>0</v>
      </c>
      <c r="U200" s="84">
        <f>IF('Reeksen (N)'!D200&gt;='Reeksen (N)'!B200,0,IF('Reeksen (N)'!AK200&lt;='Reeksen (N)'!AE200,('Reeksen (N)'!B200-'Reeksen (N)'!D200)*R200,0))</f>
        <v>0</v>
      </c>
      <c r="V200" s="86">
        <f>IF('Reeksen (N)'!D200&gt;='Reeksen (N)'!B200,0,IF('Reeksen (N)'!AK200&gt;'Reeksen (N)'!AE200,('Reeksen (N)'!B200-'Reeksen (N)'!D200)*R200,0))</f>
        <v>0</v>
      </c>
      <c r="W200" s="97">
        <f t="shared" ca="1" si="36"/>
        <v>0</v>
      </c>
      <c r="X200" s="98">
        <f ca="1">IF('Invoer gegevens (N)'!$C$17=E200,'Invoer gegevens (N)'!$C$10-'Invoer gegevens (N)'!$C$11,IF(C200=1,AC199,0))</f>
        <v>0</v>
      </c>
      <c r="Y200" s="98">
        <f ca="1">IF(C200&gt;=1,X200*VLOOKUP(E200,'Reeksen (N)'!$A$5:$B$76,2),0)</f>
        <v>0</v>
      </c>
      <c r="Z200" s="98">
        <f ca="1">(1-('Invoer gegevens (N)'!$F$20/12))*X200*MIN('Reeksen (N)'!B200,'Reeksen (N)'!D200)</f>
        <v>0</v>
      </c>
      <c r="AA200" s="98">
        <f>IF('Reeksen (N)'!D200&gt;='Reeksen (N)'!B200,0,IF('Reeksen (N)'!AK200&lt;='Reeksen (N)'!AE200,('Reeksen (N)'!B200-'Reeksen (N)'!D200)*X200,0))</f>
        <v>0</v>
      </c>
      <c r="AB200" s="98">
        <f>IF('Reeksen (N)'!D200&gt;='Reeksen (N)'!B200,0,IF('Reeksen (N)'!AK200&gt;'Reeksen (N)'!AE200,('Reeksen (N)'!B200-'Reeksen (N)'!D200)*X200,0))</f>
        <v>0</v>
      </c>
      <c r="AC200" s="99">
        <f t="shared" ca="1" si="37"/>
        <v>0</v>
      </c>
      <c r="AD200" s="98">
        <f ca="1">IF('Invoer gegevens (N)'!$C$17=E200,R200,IF(C200=0,0,AE199))</f>
        <v>0</v>
      </c>
      <c r="AE200" s="98">
        <f t="shared" ca="1" si="38"/>
        <v>0</v>
      </c>
      <c r="AF200" s="98">
        <f ca="1">IF('Invoer gegevens (N)'!$C$17=E200,X200,IF(C200=0,0,AG199))</f>
        <v>0</v>
      </c>
      <c r="AG200" s="98">
        <f t="shared" ca="1" si="39"/>
        <v>0</v>
      </c>
      <c r="AH200" s="68"/>
      <c r="AI200" s="71">
        <f ca="1">IF(C200=1,'Reeksen (N)'!AJ200*((F200-G200+F200)/2)*12+'Reeksen (N)'!AK200*((L200-M200+L200)/2)*12,0)</f>
        <v>0</v>
      </c>
      <c r="AJ200" s="71">
        <f ca="1">-AI200*'Invoer gegevens (N)'!$F$28</f>
        <v>0</v>
      </c>
      <c r="AK200" s="71">
        <f t="shared" ca="1" si="33"/>
        <v>0</v>
      </c>
      <c r="AL200" s="71">
        <f ca="1">IF(C200=1,'Reeksen (N)'!AL200*((F200-G200+F200)/2)*12+'Reeksen (N)'!AM200*((L200-M200+L200)/2)*12,0)</f>
        <v>0</v>
      </c>
      <c r="AM200" s="71">
        <f ca="1">-AL200*'Invoer gegevens (N)'!$F$31</f>
        <v>0</v>
      </c>
      <c r="AN200" s="71">
        <f t="shared" ca="1" si="40"/>
        <v>0</v>
      </c>
      <c r="AO200" s="71">
        <f ca="1">IF(C200=1,(H200+J200+N200+P200)*'Reeksen (N)'!AN200,0)</f>
        <v>0</v>
      </c>
      <c r="AP200" s="71">
        <f ca="1">-IF(C200=1,(H200+J200+N200+P200)*'Hulp - basis'!$O$550*'Reeksen (N)'!H200,0)</f>
        <v>0</v>
      </c>
      <c r="AQ200" s="71">
        <f ca="1">-IF(C200=1,(F200+K200+L200+Q200)/2*'Invoer gegevens (N)'!$I$33*'Reeksen (N)'!J200,0)*2</f>
        <v>0</v>
      </c>
      <c r="AR200" s="71">
        <f ca="1">-IF(C200=1,(I200*'Invoer gegevens (N)'!$I$34)*'Reeksen (N)'!J200,0)</f>
        <v>0</v>
      </c>
      <c r="AS200" s="71">
        <f ca="1">-IF(C200=1,(F200+K200+L200+Q200)/2*'Invoer gegevens (N)'!$I$35*'Reeksen (N)'!L200,0)</f>
        <v>0</v>
      </c>
      <c r="AT200" s="71">
        <f ca="1">-IF(C200=1,IF(E200='Invoer gegevens (N)'!$C$17,'Invoer gegevens (N)'!$C$11,AD200)*'Reeksen (N)'!S200*'Invoer gegevens (N)'!$C$18*'Reeksen (N)'!P200,0)</f>
        <v>0</v>
      </c>
      <c r="AU200" s="71">
        <f ca="1">-IF(C200=1,(F200+K200+L200+Q200)/2*'Invoer gegevens (N)'!$I$36*'Reeksen (N)'!H200,0)</f>
        <v>0</v>
      </c>
      <c r="AV200" s="71">
        <v>0</v>
      </c>
      <c r="AW200" s="71">
        <f t="shared" ca="1" si="41"/>
        <v>0</v>
      </c>
      <c r="AX200" s="71">
        <f ca="1">IF(E200&lt;'Invoer gegevens (N)'!$C$17+15,0,IF(E200&gt;'Invoer gegevens (N)'!$C$17+215,0,AW200))</f>
        <v>0</v>
      </c>
      <c r="AY200" s="71">
        <f ca="1">AX200/(1+'Invoer gegevens (N)'!$F$18)^($AZ200-('Invoer gegevens (N)'!$C$17-'Invoer gegevens (N)'!$C$16))/(1+'Invoer gegevens (N)'!$C$39)^('Invoer gegevens (N)'!$C$17-'Invoer gegevens (N)'!$C$16)</f>
        <v>0</v>
      </c>
      <c r="AZ200" s="68">
        <f ca="1">IF(E200-'Invoer gegevens (N)'!$C$17-14.5&lt;0,0,E200-'Invoer gegevens (N)'!$C$17-14.5)</f>
        <v>180.5</v>
      </c>
    </row>
    <row r="201" spans="2:52" x14ac:dyDescent="0.25">
      <c r="B201" s="70">
        <f t="shared" si="42"/>
        <v>197</v>
      </c>
      <c r="C201" s="67">
        <f ca="1">IF(E201-'Invoer gegevens (N)'!$C$17&lt;0,0,1)</f>
        <v>1</v>
      </c>
      <c r="D201" s="68">
        <f t="shared" si="43"/>
        <v>196.5</v>
      </c>
      <c r="E201" s="108">
        <f ca="1">IF('Invoer gegevens (N)'!$C$16="","",E200+1)</f>
        <v>2215</v>
      </c>
      <c r="F201" s="84">
        <f ca="1">IF('Invoer gegevens (N)'!$C$17=E201,'Invoer gegevens (N)'!$C$10,IF(C201=1,K200,0))</f>
        <v>0</v>
      </c>
      <c r="G201" s="96">
        <f ca="1">IF(C201&gt;=1,F201*VLOOKUP(E201,'Reeksen (N)'!$A$5:$B$76,2),0)</f>
        <v>0</v>
      </c>
      <c r="H201" s="84">
        <f ca="1">(1-('Invoer gegevens (N)'!$F$20/12))*F201*MIN('Reeksen (N)'!B201,'Reeksen (N)'!D201)</f>
        <v>0</v>
      </c>
      <c r="I201" s="84">
        <f>IF('Reeksen (N)'!D201&lt;'Reeksen (N)'!B201,('Reeksen (N)'!B201-'Reeksen (N)'!D201)*F201,0)</f>
        <v>0</v>
      </c>
      <c r="J201" s="84">
        <f ca="1">('Invoer gegevens (N)'!$F$20/12)*F200*MIN('Reeksen (N)'!B200,'Reeksen (N)'!D200)</f>
        <v>0</v>
      </c>
      <c r="K201" s="97">
        <f t="shared" ca="1" si="34"/>
        <v>0</v>
      </c>
      <c r="L201" s="84">
        <f ca="1">IF('Invoer gegevens (N)'!$C$17=E201,0,IF(C201=1,Q200,0))</f>
        <v>0</v>
      </c>
      <c r="M201" s="96">
        <f ca="1">IF(C201&gt;=1,L201*VLOOKUP(E201,'Reeksen (N)'!$A$5:$B$76,2),0)</f>
        <v>0</v>
      </c>
      <c r="N201" s="84">
        <f ca="1">(1-('Invoer gegevens (N)'!$F$20/12))*L201*MIN('Reeksen (N)'!B201,'Reeksen (N)'!D201)</f>
        <v>0</v>
      </c>
      <c r="O201" s="84">
        <f>IF('Reeksen (N)'!D201&lt;'Reeksen (N)'!B201,('Reeksen (N)'!B201-'Reeksen (N)'!D201)*L201,0)</f>
        <v>0</v>
      </c>
      <c r="P201" s="84">
        <f ca="1">('Invoer gegevens (N)'!$F$20/12)*L200*MIN('Reeksen (N)'!B200,'Reeksen (N)'!D200)</f>
        <v>0</v>
      </c>
      <c r="Q201" s="84">
        <f t="shared" ca="1" si="35"/>
        <v>0</v>
      </c>
      <c r="R201" s="82">
        <f ca="1">IF('Invoer gegevens (N)'!$C$17=E201,'Invoer gegevens (N)'!$C$11,IF(C201=1,W200,0))</f>
        <v>0</v>
      </c>
      <c r="S201" s="86">
        <f ca="1">IF(C201&gt;=1,R201*VLOOKUP(E201,'Reeksen (N)'!$A$5:$B$76,2),0)</f>
        <v>0</v>
      </c>
      <c r="T201" s="84">
        <f ca="1">(1-('Invoer gegevens (N)'!$F$20/12))*R201*MIN('Reeksen (N)'!B201,'Reeksen (N)'!D201)</f>
        <v>0</v>
      </c>
      <c r="U201" s="84">
        <f>IF('Reeksen (N)'!D201&gt;='Reeksen (N)'!B201,0,IF('Reeksen (N)'!AK201&lt;='Reeksen (N)'!AE201,('Reeksen (N)'!B201-'Reeksen (N)'!D201)*R201,0))</f>
        <v>0</v>
      </c>
      <c r="V201" s="86">
        <f>IF('Reeksen (N)'!D201&gt;='Reeksen (N)'!B201,0,IF('Reeksen (N)'!AK201&gt;'Reeksen (N)'!AE201,('Reeksen (N)'!B201-'Reeksen (N)'!D201)*R201,0))</f>
        <v>0</v>
      </c>
      <c r="W201" s="97">
        <f t="shared" ca="1" si="36"/>
        <v>0</v>
      </c>
      <c r="X201" s="98">
        <f ca="1">IF('Invoer gegevens (N)'!$C$17=E201,'Invoer gegevens (N)'!$C$10-'Invoer gegevens (N)'!$C$11,IF(C201=1,AC200,0))</f>
        <v>0</v>
      </c>
      <c r="Y201" s="98">
        <f ca="1">IF(C201&gt;=1,X201*VLOOKUP(E201,'Reeksen (N)'!$A$5:$B$76,2),0)</f>
        <v>0</v>
      </c>
      <c r="Z201" s="98">
        <f ca="1">(1-('Invoer gegevens (N)'!$F$20/12))*X201*MIN('Reeksen (N)'!B201,'Reeksen (N)'!D201)</f>
        <v>0</v>
      </c>
      <c r="AA201" s="98">
        <f>IF('Reeksen (N)'!D201&gt;='Reeksen (N)'!B201,0,IF('Reeksen (N)'!AK201&lt;='Reeksen (N)'!AE201,('Reeksen (N)'!B201-'Reeksen (N)'!D201)*X201,0))</f>
        <v>0</v>
      </c>
      <c r="AB201" s="98">
        <f>IF('Reeksen (N)'!D201&gt;='Reeksen (N)'!B201,0,IF('Reeksen (N)'!AK201&gt;'Reeksen (N)'!AE201,('Reeksen (N)'!B201-'Reeksen (N)'!D201)*X201,0))</f>
        <v>0</v>
      </c>
      <c r="AC201" s="99">
        <f t="shared" ca="1" si="37"/>
        <v>0</v>
      </c>
      <c r="AD201" s="98">
        <f ca="1">IF('Invoer gegevens (N)'!$C$17=E201,R201,IF(C201=0,0,AE200))</f>
        <v>0</v>
      </c>
      <c r="AE201" s="98">
        <f t="shared" ca="1" si="38"/>
        <v>0</v>
      </c>
      <c r="AF201" s="98">
        <f ca="1">IF('Invoer gegevens (N)'!$C$17=E201,X201,IF(C201=0,0,AG200))</f>
        <v>0</v>
      </c>
      <c r="AG201" s="98">
        <f t="shared" ca="1" si="39"/>
        <v>0</v>
      </c>
      <c r="AH201" s="68"/>
      <c r="AI201" s="71">
        <f ca="1">IF(C201=1,'Reeksen (N)'!AJ201*((F201-G201+F201)/2)*12+'Reeksen (N)'!AK201*((L201-M201+L201)/2)*12,0)</f>
        <v>0</v>
      </c>
      <c r="AJ201" s="71">
        <f ca="1">-AI201*'Invoer gegevens (N)'!$F$28</f>
        <v>0</v>
      </c>
      <c r="AK201" s="71">
        <f t="shared" ca="1" si="33"/>
        <v>0</v>
      </c>
      <c r="AL201" s="71">
        <f ca="1">IF(C201=1,'Reeksen (N)'!AL201*((F201-G201+F201)/2)*12+'Reeksen (N)'!AM201*((L201-M201+L201)/2)*12,0)</f>
        <v>0</v>
      </c>
      <c r="AM201" s="71">
        <f ca="1">-AL201*'Invoer gegevens (N)'!$F$31</f>
        <v>0</v>
      </c>
      <c r="AN201" s="71">
        <f t="shared" ca="1" si="40"/>
        <v>0</v>
      </c>
      <c r="AO201" s="71">
        <f ca="1">IF(C201=1,(H201+J201+N201+P201)*'Reeksen (N)'!AN201,0)</f>
        <v>0</v>
      </c>
      <c r="AP201" s="71">
        <f ca="1">-IF(C201=1,(H201+J201+N201+P201)*'Hulp - basis'!$O$550*'Reeksen (N)'!H201,0)</f>
        <v>0</v>
      </c>
      <c r="AQ201" s="71">
        <f ca="1">-IF(C201=1,(F201+K201+L201+Q201)/2*'Invoer gegevens (N)'!$I$33*'Reeksen (N)'!J201,0)*2</f>
        <v>0</v>
      </c>
      <c r="AR201" s="71">
        <f ca="1">-IF(C201=1,(I201*'Invoer gegevens (N)'!$I$34)*'Reeksen (N)'!J201,0)</f>
        <v>0</v>
      </c>
      <c r="AS201" s="71">
        <f ca="1">-IF(C201=1,(F201+K201+L201+Q201)/2*'Invoer gegevens (N)'!$I$35*'Reeksen (N)'!L201,0)</f>
        <v>0</v>
      </c>
      <c r="AT201" s="71">
        <f ca="1">-IF(C201=1,IF(E201='Invoer gegevens (N)'!$C$17,'Invoer gegevens (N)'!$C$11,AD201)*'Reeksen (N)'!S201*'Invoer gegevens (N)'!$C$18*'Reeksen (N)'!P201,0)</f>
        <v>0</v>
      </c>
      <c r="AU201" s="71">
        <f ca="1">-IF(C201=1,(F201+K201+L201+Q201)/2*'Invoer gegevens (N)'!$I$36*'Reeksen (N)'!H201,0)</f>
        <v>0</v>
      </c>
      <c r="AV201" s="71">
        <v>0</v>
      </c>
      <c r="AW201" s="71">
        <f t="shared" ca="1" si="41"/>
        <v>0</v>
      </c>
      <c r="AX201" s="71">
        <f ca="1">IF(E201&lt;'Invoer gegevens (N)'!$C$17+15,0,IF(E201&gt;'Invoer gegevens (N)'!$C$17+215,0,AW201))</f>
        <v>0</v>
      </c>
      <c r="AY201" s="71">
        <f ca="1">AX201/(1+'Invoer gegevens (N)'!$F$18)^($AZ201-('Invoer gegevens (N)'!$C$17-'Invoer gegevens (N)'!$C$16))/(1+'Invoer gegevens (N)'!$C$39)^('Invoer gegevens (N)'!$C$17-'Invoer gegevens (N)'!$C$16)</f>
        <v>0</v>
      </c>
      <c r="AZ201" s="68">
        <f ca="1">IF(E201-'Invoer gegevens (N)'!$C$17-14.5&lt;0,0,E201-'Invoer gegevens (N)'!$C$17-14.5)</f>
        <v>181.5</v>
      </c>
    </row>
    <row r="202" spans="2:52" x14ac:dyDescent="0.25">
      <c r="B202" s="70">
        <f t="shared" si="42"/>
        <v>198</v>
      </c>
      <c r="C202" s="67">
        <f ca="1">IF(E202-'Invoer gegevens (N)'!$C$17&lt;0,0,1)</f>
        <v>1</v>
      </c>
      <c r="D202" s="68">
        <f t="shared" si="43"/>
        <v>197.5</v>
      </c>
      <c r="E202" s="108">
        <f ca="1">IF('Invoer gegevens (N)'!$C$16="","",E201+1)</f>
        <v>2216</v>
      </c>
      <c r="F202" s="84">
        <f ca="1">IF('Invoer gegevens (N)'!$C$17=E202,'Invoer gegevens (N)'!$C$10,IF(C202=1,K201,0))</f>
        <v>0</v>
      </c>
      <c r="G202" s="96">
        <f ca="1">IF(C202&gt;=1,F202*VLOOKUP(E202,'Reeksen (N)'!$A$5:$B$76,2),0)</f>
        <v>0</v>
      </c>
      <c r="H202" s="84">
        <f ca="1">(1-('Invoer gegevens (N)'!$F$20/12))*F202*MIN('Reeksen (N)'!B202,'Reeksen (N)'!D202)</f>
        <v>0</v>
      </c>
      <c r="I202" s="84">
        <f>IF('Reeksen (N)'!D202&lt;'Reeksen (N)'!B202,('Reeksen (N)'!B202-'Reeksen (N)'!D202)*F202,0)</f>
        <v>0</v>
      </c>
      <c r="J202" s="84">
        <f ca="1">('Invoer gegevens (N)'!$F$20/12)*F201*MIN('Reeksen (N)'!B201,'Reeksen (N)'!D201)</f>
        <v>0</v>
      </c>
      <c r="K202" s="97">
        <f t="shared" ca="1" si="34"/>
        <v>0</v>
      </c>
      <c r="L202" s="84">
        <f ca="1">IF('Invoer gegevens (N)'!$C$17=E202,0,IF(C202=1,Q201,0))</f>
        <v>0</v>
      </c>
      <c r="M202" s="96">
        <f ca="1">IF(C202&gt;=1,L202*VLOOKUP(E202,'Reeksen (N)'!$A$5:$B$76,2),0)</f>
        <v>0</v>
      </c>
      <c r="N202" s="84">
        <f ca="1">(1-('Invoer gegevens (N)'!$F$20/12))*L202*MIN('Reeksen (N)'!B202,'Reeksen (N)'!D202)</f>
        <v>0</v>
      </c>
      <c r="O202" s="84">
        <f>IF('Reeksen (N)'!D202&lt;'Reeksen (N)'!B202,('Reeksen (N)'!B202-'Reeksen (N)'!D202)*L202,0)</f>
        <v>0</v>
      </c>
      <c r="P202" s="84">
        <f ca="1">('Invoer gegevens (N)'!$F$20/12)*L201*MIN('Reeksen (N)'!B201,'Reeksen (N)'!D201)</f>
        <v>0</v>
      </c>
      <c r="Q202" s="84">
        <f t="shared" ca="1" si="35"/>
        <v>0</v>
      </c>
      <c r="R202" s="82">
        <f ca="1">IF('Invoer gegevens (N)'!$C$17=E202,'Invoer gegevens (N)'!$C$11,IF(C202=1,W201,0))</f>
        <v>0</v>
      </c>
      <c r="S202" s="86">
        <f ca="1">IF(C202&gt;=1,R202*VLOOKUP(E202,'Reeksen (N)'!$A$5:$B$76,2),0)</f>
        <v>0</v>
      </c>
      <c r="T202" s="84">
        <f ca="1">(1-('Invoer gegevens (N)'!$F$20/12))*R202*MIN('Reeksen (N)'!B202,'Reeksen (N)'!D202)</f>
        <v>0</v>
      </c>
      <c r="U202" s="84">
        <f>IF('Reeksen (N)'!D202&gt;='Reeksen (N)'!B202,0,IF('Reeksen (N)'!AK202&lt;='Reeksen (N)'!AE202,('Reeksen (N)'!B202-'Reeksen (N)'!D202)*R202,0))</f>
        <v>0</v>
      </c>
      <c r="V202" s="86">
        <f>IF('Reeksen (N)'!D202&gt;='Reeksen (N)'!B202,0,IF('Reeksen (N)'!AK202&gt;'Reeksen (N)'!AE202,('Reeksen (N)'!B202-'Reeksen (N)'!D202)*R202,0))</f>
        <v>0</v>
      </c>
      <c r="W202" s="97">
        <f t="shared" ca="1" si="36"/>
        <v>0</v>
      </c>
      <c r="X202" s="98">
        <f ca="1">IF('Invoer gegevens (N)'!$C$17=E202,'Invoer gegevens (N)'!$C$10-'Invoer gegevens (N)'!$C$11,IF(C202=1,AC201,0))</f>
        <v>0</v>
      </c>
      <c r="Y202" s="98">
        <f ca="1">IF(C202&gt;=1,X202*VLOOKUP(E202,'Reeksen (N)'!$A$5:$B$76,2),0)</f>
        <v>0</v>
      </c>
      <c r="Z202" s="98">
        <f ca="1">(1-('Invoer gegevens (N)'!$F$20/12))*X202*MIN('Reeksen (N)'!B202,'Reeksen (N)'!D202)</f>
        <v>0</v>
      </c>
      <c r="AA202" s="98">
        <f>IF('Reeksen (N)'!D202&gt;='Reeksen (N)'!B202,0,IF('Reeksen (N)'!AK202&lt;='Reeksen (N)'!AE202,('Reeksen (N)'!B202-'Reeksen (N)'!D202)*X202,0))</f>
        <v>0</v>
      </c>
      <c r="AB202" s="98">
        <f>IF('Reeksen (N)'!D202&gt;='Reeksen (N)'!B202,0,IF('Reeksen (N)'!AK202&gt;'Reeksen (N)'!AE202,('Reeksen (N)'!B202-'Reeksen (N)'!D202)*X202,0))</f>
        <v>0</v>
      </c>
      <c r="AC202" s="99">
        <f t="shared" ca="1" si="37"/>
        <v>0</v>
      </c>
      <c r="AD202" s="98">
        <f ca="1">IF('Invoer gegevens (N)'!$C$17=E202,R202,IF(C202=0,0,AE201))</f>
        <v>0</v>
      </c>
      <c r="AE202" s="98">
        <f t="shared" ca="1" si="38"/>
        <v>0</v>
      </c>
      <c r="AF202" s="98">
        <f ca="1">IF('Invoer gegevens (N)'!$C$17=E202,X202,IF(C202=0,0,AG201))</f>
        <v>0</v>
      </c>
      <c r="AG202" s="98">
        <f t="shared" ca="1" si="39"/>
        <v>0</v>
      </c>
      <c r="AH202" s="68"/>
      <c r="AI202" s="71">
        <f ca="1">IF(C202=1,'Reeksen (N)'!AJ202*((F202-G202+F202)/2)*12+'Reeksen (N)'!AK202*((L202-M202+L202)/2)*12,0)</f>
        <v>0</v>
      </c>
      <c r="AJ202" s="71">
        <f ca="1">-AI202*'Invoer gegevens (N)'!$F$28</f>
        <v>0</v>
      </c>
      <c r="AK202" s="71">
        <f t="shared" ca="1" si="33"/>
        <v>0</v>
      </c>
      <c r="AL202" s="71">
        <f ca="1">IF(C202=1,'Reeksen (N)'!AL202*((F202-G202+F202)/2)*12+'Reeksen (N)'!AM202*((L202-M202+L202)/2)*12,0)</f>
        <v>0</v>
      </c>
      <c r="AM202" s="71">
        <f ca="1">-AL202*'Invoer gegevens (N)'!$F$31</f>
        <v>0</v>
      </c>
      <c r="AN202" s="71">
        <f t="shared" ca="1" si="40"/>
        <v>0</v>
      </c>
      <c r="AO202" s="71">
        <f ca="1">IF(C202=1,(H202+J202+N202+P202)*'Reeksen (N)'!AN202,0)</f>
        <v>0</v>
      </c>
      <c r="AP202" s="71">
        <f ca="1">-IF(C202=1,(H202+J202+N202+P202)*'Hulp - basis'!$O$550*'Reeksen (N)'!H202,0)</f>
        <v>0</v>
      </c>
      <c r="AQ202" s="71">
        <f ca="1">-IF(C202=1,(F202+K202+L202+Q202)/2*'Invoer gegevens (N)'!$I$33*'Reeksen (N)'!J202,0)*2</f>
        <v>0</v>
      </c>
      <c r="AR202" s="71">
        <f ca="1">-IF(C202=1,(I202*'Invoer gegevens (N)'!$I$34)*'Reeksen (N)'!J202,0)</f>
        <v>0</v>
      </c>
      <c r="AS202" s="71">
        <f ca="1">-IF(C202=1,(F202+K202+L202+Q202)/2*'Invoer gegevens (N)'!$I$35*'Reeksen (N)'!L202,0)</f>
        <v>0</v>
      </c>
      <c r="AT202" s="71">
        <f ca="1">-IF(C202=1,IF(E202='Invoer gegevens (N)'!$C$17,'Invoer gegevens (N)'!$C$11,AD202)*'Reeksen (N)'!S202*'Invoer gegevens (N)'!$C$18*'Reeksen (N)'!P202,0)</f>
        <v>0</v>
      </c>
      <c r="AU202" s="71">
        <f ca="1">-IF(C202=1,(F202+K202+L202+Q202)/2*'Invoer gegevens (N)'!$I$36*'Reeksen (N)'!H202,0)</f>
        <v>0</v>
      </c>
      <c r="AV202" s="71">
        <v>0</v>
      </c>
      <c r="AW202" s="71">
        <f t="shared" ca="1" si="41"/>
        <v>0</v>
      </c>
      <c r="AX202" s="71">
        <f ca="1">IF(E202&lt;'Invoer gegevens (N)'!$C$17+15,0,IF(E202&gt;'Invoer gegevens (N)'!$C$17+215,0,AW202))</f>
        <v>0</v>
      </c>
      <c r="AY202" s="71">
        <f ca="1">AX202/(1+'Invoer gegevens (N)'!$F$18)^($AZ202-('Invoer gegevens (N)'!$C$17-'Invoer gegevens (N)'!$C$16))/(1+'Invoer gegevens (N)'!$C$39)^('Invoer gegevens (N)'!$C$17-'Invoer gegevens (N)'!$C$16)</f>
        <v>0</v>
      </c>
      <c r="AZ202" s="68">
        <f ca="1">IF(E202-'Invoer gegevens (N)'!$C$17-14.5&lt;0,0,E202-'Invoer gegevens (N)'!$C$17-14.5)</f>
        <v>182.5</v>
      </c>
    </row>
    <row r="203" spans="2:52" x14ac:dyDescent="0.25">
      <c r="B203" s="70">
        <f t="shared" si="42"/>
        <v>199</v>
      </c>
      <c r="C203" s="67">
        <f ca="1">IF(E203-'Invoer gegevens (N)'!$C$17&lt;0,0,1)</f>
        <v>1</v>
      </c>
      <c r="D203" s="68">
        <f t="shared" si="43"/>
        <v>198.5</v>
      </c>
      <c r="E203" s="108">
        <f ca="1">IF('Invoer gegevens (N)'!$C$16="","",E202+1)</f>
        <v>2217</v>
      </c>
      <c r="F203" s="84">
        <f ca="1">IF('Invoer gegevens (N)'!$C$17=E203,'Invoer gegevens (N)'!$C$10,IF(C203=1,K202,0))</f>
        <v>0</v>
      </c>
      <c r="G203" s="96">
        <f ca="1">IF(C203&gt;=1,F203*VLOOKUP(E203,'Reeksen (N)'!$A$5:$B$76,2),0)</f>
        <v>0</v>
      </c>
      <c r="H203" s="84">
        <f ca="1">(1-('Invoer gegevens (N)'!$F$20/12))*F203*MIN('Reeksen (N)'!B203,'Reeksen (N)'!D203)</f>
        <v>0</v>
      </c>
      <c r="I203" s="84">
        <f>IF('Reeksen (N)'!D203&lt;'Reeksen (N)'!B203,('Reeksen (N)'!B203-'Reeksen (N)'!D203)*F203,0)</f>
        <v>0</v>
      </c>
      <c r="J203" s="84">
        <f ca="1">('Invoer gegevens (N)'!$F$20/12)*F202*MIN('Reeksen (N)'!B202,'Reeksen (N)'!D202)</f>
        <v>0</v>
      </c>
      <c r="K203" s="97">
        <f t="shared" ca="1" si="34"/>
        <v>0</v>
      </c>
      <c r="L203" s="84">
        <f ca="1">IF('Invoer gegevens (N)'!$C$17=E203,0,IF(C203=1,Q202,0))</f>
        <v>0</v>
      </c>
      <c r="M203" s="96">
        <f ca="1">IF(C203&gt;=1,L203*VLOOKUP(E203,'Reeksen (N)'!$A$5:$B$76,2),0)</f>
        <v>0</v>
      </c>
      <c r="N203" s="84">
        <f ca="1">(1-('Invoer gegevens (N)'!$F$20/12))*L203*MIN('Reeksen (N)'!B203,'Reeksen (N)'!D203)</f>
        <v>0</v>
      </c>
      <c r="O203" s="84">
        <f>IF('Reeksen (N)'!D203&lt;'Reeksen (N)'!B203,('Reeksen (N)'!B203-'Reeksen (N)'!D203)*L203,0)</f>
        <v>0</v>
      </c>
      <c r="P203" s="84">
        <f ca="1">('Invoer gegevens (N)'!$F$20/12)*L202*MIN('Reeksen (N)'!B202,'Reeksen (N)'!D202)</f>
        <v>0</v>
      </c>
      <c r="Q203" s="84">
        <f t="shared" ca="1" si="35"/>
        <v>0</v>
      </c>
      <c r="R203" s="82">
        <f ca="1">IF('Invoer gegevens (N)'!$C$17=E203,'Invoer gegevens (N)'!$C$11,IF(C203=1,W202,0))</f>
        <v>0</v>
      </c>
      <c r="S203" s="86">
        <f ca="1">IF(C203&gt;=1,R203*VLOOKUP(E203,'Reeksen (N)'!$A$5:$B$76,2),0)</f>
        <v>0</v>
      </c>
      <c r="T203" s="84">
        <f ca="1">(1-('Invoer gegevens (N)'!$F$20/12))*R203*MIN('Reeksen (N)'!B203,'Reeksen (N)'!D203)</f>
        <v>0</v>
      </c>
      <c r="U203" s="84">
        <f>IF('Reeksen (N)'!D203&gt;='Reeksen (N)'!B203,0,IF('Reeksen (N)'!AK203&lt;='Reeksen (N)'!AE203,('Reeksen (N)'!B203-'Reeksen (N)'!D203)*R203,0))</f>
        <v>0</v>
      </c>
      <c r="V203" s="86">
        <f>IF('Reeksen (N)'!D203&gt;='Reeksen (N)'!B203,0,IF('Reeksen (N)'!AK203&gt;'Reeksen (N)'!AE203,('Reeksen (N)'!B203-'Reeksen (N)'!D203)*R203,0))</f>
        <v>0</v>
      </c>
      <c r="W203" s="97">
        <f t="shared" ca="1" si="36"/>
        <v>0</v>
      </c>
      <c r="X203" s="98">
        <f ca="1">IF('Invoer gegevens (N)'!$C$17=E203,'Invoer gegevens (N)'!$C$10-'Invoer gegevens (N)'!$C$11,IF(C203=1,AC202,0))</f>
        <v>0</v>
      </c>
      <c r="Y203" s="98">
        <f ca="1">IF(C203&gt;=1,X203*VLOOKUP(E203,'Reeksen (N)'!$A$5:$B$76,2),0)</f>
        <v>0</v>
      </c>
      <c r="Z203" s="98">
        <f ca="1">(1-('Invoer gegevens (N)'!$F$20/12))*X203*MIN('Reeksen (N)'!B203,'Reeksen (N)'!D203)</f>
        <v>0</v>
      </c>
      <c r="AA203" s="98">
        <f>IF('Reeksen (N)'!D203&gt;='Reeksen (N)'!B203,0,IF('Reeksen (N)'!AK203&lt;='Reeksen (N)'!AE203,('Reeksen (N)'!B203-'Reeksen (N)'!D203)*X203,0))</f>
        <v>0</v>
      </c>
      <c r="AB203" s="98">
        <f>IF('Reeksen (N)'!D203&gt;='Reeksen (N)'!B203,0,IF('Reeksen (N)'!AK203&gt;'Reeksen (N)'!AE203,('Reeksen (N)'!B203-'Reeksen (N)'!D203)*X203,0))</f>
        <v>0</v>
      </c>
      <c r="AC203" s="99">
        <f t="shared" ca="1" si="37"/>
        <v>0</v>
      </c>
      <c r="AD203" s="98">
        <f ca="1">IF('Invoer gegevens (N)'!$C$17=E203,R203,IF(C203=0,0,AE202))</f>
        <v>0</v>
      </c>
      <c r="AE203" s="98">
        <f t="shared" ca="1" si="38"/>
        <v>0</v>
      </c>
      <c r="AF203" s="98">
        <f ca="1">IF('Invoer gegevens (N)'!$C$17=E203,X203,IF(C203=0,0,AG202))</f>
        <v>0</v>
      </c>
      <c r="AG203" s="98">
        <f t="shared" ca="1" si="39"/>
        <v>0</v>
      </c>
      <c r="AH203" s="68"/>
      <c r="AI203" s="71">
        <f ca="1">IF(C203=1,'Reeksen (N)'!AJ203*((F203-G203+F203)/2)*12+'Reeksen (N)'!AK203*((L203-M203+L203)/2)*12,0)</f>
        <v>0</v>
      </c>
      <c r="AJ203" s="71">
        <f ca="1">-AI203*'Invoer gegevens (N)'!$F$28</f>
        <v>0</v>
      </c>
      <c r="AK203" s="71">
        <f t="shared" ca="1" si="33"/>
        <v>0</v>
      </c>
      <c r="AL203" s="71">
        <f ca="1">IF(C203=1,'Reeksen (N)'!AL203*((F203-G203+F203)/2)*12+'Reeksen (N)'!AM203*((L203-M203+L203)/2)*12,0)</f>
        <v>0</v>
      </c>
      <c r="AM203" s="71">
        <f ca="1">-AL203*'Invoer gegevens (N)'!$F$31</f>
        <v>0</v>
      </c>
      <c r="AN203" s="71">
        <f t="shared" ca="1" si="40"/>
        <v>0</v>
      </c>
      <c r="AO203" s="71">
        <f ca="1">IF(C203=1,(H203+J203+N203+P203)*'Reeksen (N)'!AN203,0)</f>
        <v>0</v>
      </c>
      <c r="AP203" s="71">
        <f ca="1">-IF(C203=1,(H203+J203+N203+P203)*'Hulp - basis'!$O$550*'Reeksen (N)'!H203,0)</f>
        <v>0</v>
      </c>
      <c r="AQ203" s="71">
        <f ca="1">-IF(C203=1,(F203+K203+L203+Q203)/2*'Invoer gegevens (N)'!$I$33*'Reeksen (N)'!J203,0)*2</f>
        <v>0</v>
      </c>
      <c r="AR203" s="71">
        <f ca="1">-IF(C203=1,(I203*'Invoer gegevens (N)'!$I$34)*'Reeksen (N)'!J203,0)</f>
        <v>0</v>
      </c>
      <c r="AS203" s="71">
        <f ca="1">-IF(C203=1,(F203+K203+L203+Q203)/2*'Invoer gegevens (N)'!$I$35*'Reeksen (N)'!L203,0)</f>
        <v>0</v>
      </c>
      <c r="AT203" s="71">
        <f ca="1">-IF(C203=1,IF(E203='Invoer gegevens (N)'!$C$17,'Invoer gegevens (N)'!$C$11,AD203)*'Reeksen (N)'!S203*'Invoer gegevens (N)'!$C$18*'Reeksen (N)'!P203,0)</f>
        <v>0</v>
      </c>
      <c r="AU203" s="71">
        <f ca="1">-IF(C203=1,(F203+K203+L203+Q203)/2*'Invoer gegevens (N)'!$I$36*'Reeksen (N)'!H203,0)</f>
        <v>0</v>
      </c>
      <c r="AV203" s="71">
        <v>0</v>
      </c>
      <c r="AW203" s="71">
        <f t="shared" ca="1" si="41"/>
        <v>0</v>
      </c>
      <c r="AX203" s="71">
        <f ca="1">IF(E203&lt;'Invoer gegevens (N)'!$C$17+15,0,IF(E203&gt;'Invoer gegevens (N)'!$C$17+215,0,AW203))</f>
        <v>0</v>
      </c>
      <c r="AY203" s="71">
        <f ca="1">AX203/(1+'Invoer gegevens (N)'!$F$18)^($AZ203-('Invoer gegevens (N)'!$C$17-'Invoer gegevens (N)'!$C$16))/(1+'Invoer gegevens (N)'!$C$39)^('Invoer gegevens (N)'!$C$17-'Invoer gegevens (N)'!$C$16)</f>
        <v>0</v>
      </c>
      <c r="AZ203" s="68">
        <f ca="1">IF(E203-'Invoer gegevens (N)'!$C$17-14.5&lt;0,0,E203-'Invoer gegevens (N)'!$C$17-14.5)</f>
        <v>183.5</v>
      </c>
    </row>
    <row r="204" spans="2:52" x14ac:dyDescent="0.25">
      <c r="B204" s="70">
        <f t="shared" si="42"/>
        <v>200</v>
      </c>
      <c r="C204" s="67">
        <f ca="1">IF(E204-'Invoer gegevens (N)'!$C$17&lt;0,0,1)</f>
        <v>1</v>
      </c>
      <c r="D204" s="68">
        <f t="shared" si="43"/>
        <v>199.5</v>
      </c>
      <c r="E204" s="108">
        <f ca="1">IF('Invoer gegevens (N)'!$C$16="","",E203+1)</f>
        <v>2218</v>
      </c>
      <c r="F204" s="84">
        <f ca="1">IF('Invoer gegevens (N)'!$C$17=E204,'Invoer gegevens (N)'!$C$10,IF(C204=1,K203,0))</f>
        <v>0</v>
      </c>
      <c r="G204" s="96">
        <f ca="1">IF(C204&gt;=1,F204*VLOOKUP(E204,'Reeksen (N)'!$A$5:$B$76,2),0)</f>
        <v>0</v>
      </c>
      <c r="H204" s="84">
        <f ca="1">(1-('Invoer gegevens (N)'!$F$20/12))*F204*MIN('Reeksen (N)'!B204,'Reeksen (N)'!D204)</f>
        <v>0</v>
      </c>
      <c r="I204" s="84">
        <f>IF('Reeksen (N)'!D204&lt;'Reeksen (N)'!B204,('Reeksen (N)'!B204-'Reeksen (N)'!D204)*F204,0)</f>
        <v>0</v>
      </c>
      <c r="J204" s="84">
        <f ca="1">('Invoer gegevens (N)'!$F$20/12)*F203*MIN('Reeksen (N)'!B203,'Reeksen (N)'!D203)</f>
        <v>0</v>
      </c>
      <c r="K204" s="97">
        <f t="shared" ca="1" si="34"/>
        <v>0</v>
      </c>
      <c r="L204" s="84">
        <f ca="1">IF('Invoer gegevens (N)'!$C$17=E204,0,IF(C204=1,Q203,0))</f>
        <v>0</v>
      </c>
      <c r="M204" s="96">
        <f ca="1">IF(C204&gt;=1,L204*VLOOKUP(E204,'Reeksen (N)'!$A$5:$B$76,2),0)</f>
        <v>0</v>
      </c>
      <c r="N204" s="84">
        <f ca="1">(1-('Invoer gegevens (N)'!$F$20/12))*L204*MIN('Reeksen (N)'!B204,'Reeksen (N)'!D204)</f>
        <v>0</v>
      </c>
      <c r="O204" s="84">
        <f>IF('Reeksen (N)'!D204&lt;'Reeksen (N)'!B204,('Reeksen (N)'!B204-'Reeksen (N)'!D204)*L204,0)</f>
        <v>0</v>
      </c>
      <c r="P204" s="84">
        <f ca="1">('Invoer gegevens (N)'!$F$20/12)*L203*MIN('Reeksen (N)'!B203,'Reeksen (N)'!D203)</f>
        <v>0</v>
      </c>
      <c r="Q204" s="84">
        <f t="shared" ca="1" si="35"/>
        <v>0</v>
      </c>
      <c r="R204" s="82">
        <f ca="1">IF('Invoer gegevens (N)'!$C$17=E204,'Invoer gegevens (N)'!$C$11,IF(C204=1,W203,0))</f>
        <v>0</v>
      </c>
      <c r="S204" s="86">
        <f ca="1">IF(C204&gt;=1,R204*VLOOKUP(E204,'Reeksen (N)'!$A$5:$B$76,2),0)</f>
        <v>0</v>
      </c>
      <c r="T204" s="84">
        <f ca="1">(1-('Invoer gegevens (N)'!$F$20/12))*R204*MIN('Reeksen (N)'!B204,'Reeksen (N)'!D204)</f>
        <v>0</v>
      </c>
      <c r="U204" s="84">
        <f>IF('Reeksen (N)'!D204&gt;='Reeksen (N)'!B204,0,IF('Reeksen (N)'!AK204&lt;='Reeksen (N)'!AE204,('Reeksen (N)'!B204-'Reeksen (N)'!D204)*R204,0))</f>
        <v>0</v>
      </c>
      <c r="V204" s="86">
        <f>IF('Reeksen (N)'!D204&gt;='Reeksen (N)'!B204,0,IF('Reeksen (N)'!AK204&gt;'Reeksen (N)'!AE204,('Reeksen (N)'!B204-'Reeksen (N)'!D204)*R204,0))</f>
        <v>0</v>
      </c>
      <c r="W204" s="97">
        <f t="shared" ca="1" si="36"/>
        <v>0</v>
      </c>
      <c r="X204" s="98">
        <f ca="1">IF('Invoer gegevens (N)'!$C$17=E204,'Invoer gegevens (N)'!$C$10-'Invoer gegevens (N)'!$C$11,IF(C204=1,AC203,0))</f>
        <v>0</v>
      </c>
      <c r="Y204" s="98">
        <f ca="1">IF(C204&gt;=1,X204*VLOOKUP(E204,'Reeksen (N)'!$A$5:$B$76,2),0)</f>
        <v>0</v>
      </c>
      <c r="Z204" s="98">
        <f ca="1">(1-('Invoer gegevens (N)'!$F$20/12))*X204*MIN('Reeksen (N)'!B204,'Reeksen (N)'!D204)</f>
        <v>0</v>
      </c>
      <c r="AA204" s="98">
        <f>IF('Reeksen (N)'!D204&gt;='Reeksen (N)'!B204,0,IF('Reeksen (N)'!AK204&lt;='Reeksen (N)'!AE204,('Reeksen (N)'!B204-'Reeksen (N)'!D204)*X204,0))</f>
        <v>0</v>
      </c>
      <c r="AB204" s="98">
        <f>IF('Reeksen (N)'!D204&gt;='Reeksen (N)'!B204,0,IF('Reeksen (N)'!AK204&gt;'Reeksen (N)'!AE204,('Reeksen (N)'!B204-'Reeksen (N)'!D204)*X204,0))</f>
        <v>0</v>
      </c>
      <c r="AC204" s="99">
        <f t="shared" ca="1" si="37"/>
        <v>0</v>
      </c>
      <c r="AD204" s="98">
        <f ca="1">IF('Invoer gegevens (N)'!$C$17=E204,R204,IF(C204=0,0,AE203))</f>
        <v>0</v>
      </c>
      <c r="AE204" s="98">
        <f t="shared" ca="1" si="38"/>
        <v>0</v>
      </c>
      <c r="AF204" s="98">
        <f ca="1">IF('Invoer gegevens (N)'!$C$17=E204,X204,IF(C204=0,0,AG203))</f>
        <v>0</v>
      </c>
      <c r="AG204" s="98">
        <f t="shared" ca="1" si="39"/>
        <v>0</v>
      </c>
      <c r="AH204" s="68"/>
      <c r="AI204" s="71">
        <f ca="1">IF(C204=1,'Reeksen (N)'!AJ204*((F204-G204+F204)/2)*12+'Reeksen (N)'!AK204*((L204-M204+L204)/2)*12,0)</f>
        <v>0</v>
      </c>
      <c r="AJ204" s="71">
        <f ca="1">-AI204*'Invoer gegevens (N)'!$F$28</f>
        <v>0</v>
      </c>
      <c r="AK204" s="71">
        <f t="shared" ca="1" si="33"/>
        <v>0</v>
      </c>
      <c r="AL204" s="71">
        <f ca="1">IF(C204=1,'Reeksen (N)'!AL204*((F204-G204+F204)/2)*12+'Reeksen (N)'!AM204*((L204-M204+L204)/2)*12,0)</f>
        <v>0</v>
      </c>
      <c r="AM204" s="71">
        <f ca="1">-AL204*'Invoer gegevens (N)'!$F$31</f>
        <v>0</v>
      </c>
      <c r="AN204" s="71">
        <f t="shared" ca="1" si="40"/>
        <v>0</v>
      </c>
      <c r="AO204" s="71">
        <f ca="1">IF(C204=1,(H204+J204+N204+P204)*'Reeksen (N)'!AN204,0)</f>
        <v>0</v>
      </c>
      <c r="AP204" s="71">
        <f ca="1">-IF(C204=1,(H204+J204+N204+P204)*'Hulp - basis'!$O$550*'Reeksen (N)'!H204,0)</f>
        <v>0</v>
      </c>
      <c r="AQ204" s="71">
        <f ca="1">-IF(C204=1,(F204+K204+L204+Q204)/2*'Invoer gegevens (N)'!$I$33*'Reeksen (N)'!J204,0)*2</f>
        <v>0</v>
      </c>
      <c r="AR204" s="71">
        <f ca="1">-IF(C204=1,(I204*'Invoer gegevens (N)'!$I$34)*'Reeksen (N)'!J204,0)</f>
        <v>0</v>
      </c>
      <c r="AS204" s="71">
        <f ca="1">-IF(C204=1,(F204+K204+L204+Q204)/2*'Invoer gegevens (N)'!$I$35*'Reeksen (N)'!L204,0)</f>
        <v>0</v>
      </c>
      <c r="AT204" s="71">
        <f ca="1">-IF(C204=1,IF(E204='Invoer gegevens (N)'!$C$17,'Invoer gegevens (N)'!$C$11,AD204)*'Reeksen (N)'!S204*'Invoer gegevens (N)'!$C$18*'Reeksen (N)'!P204,0)</f>
        <v>0</v>
      </c>
      <c r="AU204" s="71">
        <f ca="1">-IF(C204=1,(F204+K204+L204+Q204)/2*'Invoer gegevens (N)'!$I$36*'Reeksen (N)'!H204,0)</f>
        <v>0</v>
      </c>
      <c r="AV204" s="71">
        <v>0</v>
      </c>
      <c r="AW204" s="71">
        <f t="shared" ca="1" si="41"/>
        <v>0</v>
      </c>
      <c r="AX204" s="71">
        <f ca="1">IF(E204&lt;'Invoer gegevens (N)'!$C$17+15,0,IF(E204&gt;'Invoer gegevens (N)'!$C$17+215,0,AW204))</f>
        <v>0</v>
      </c>
      <c r="AY204" s="71">
        <f ca="1">AX204/(1+'Invoer gegevens (N)'!$F$18)^($AZ204-('Invoer gegevens (N)'!$C$17-'Invoer gegevens (N)'!$C$16))/(1+'Invoer gegevens (N)'!$C$39)^('Invoer gegevens (N)'!$C$17-'Invoer gegevens (N)'!$C$16)</f>
        <v>0</v>
      </c>
      <c r="AZ204" s="68">
        <f ca="1">IF(E204-'Invoer gegevens (N)'!$C$17-14.5&lt;0,0,E204-'Invoer gegevens (N)'!$C$17-14.5)</f>
        <v>184.5</v>
      </c>
    </row>
    <row r="205" spans="2:52" x14ac:dyDescent="0.25">
      <c r="B205" s="70">
        <f t="shared" si="42"/>
        <v>201</v>
      </c>
      <c r="C205" s="67">
        <f ca="1">IF(E205-'Invoer gegevens (N)'!$C$17&lt;0,0,1)</f>
        <v>1</v>
      </c>
      <c r="D205" s="68">
        <f t="shared" si="43"/>
        <v>200.5</v>
      </c>
      <c r="E205" s="108">
        <f ca="1">IF('Invoer gegevens (N)'!$C$16="","",E204+1)</f>
        <v>2219</v>
      </c>
      <c r="F205" s="84">
        <f ca="1">IF('Invoer gegevens (N)'!$C$17=E205,'Invoer gegevens (N)'!$C$10,IF(C205=1,K204,0))</f>
        <v>0</v>
      </c>
      <c r="G205" s="96">
        <f ca="1">IF(C205&gt;=1,F205*VLOOKUP(E205,'Reeksen (N)'!$A$5:$B$76,2),0)</f>
        <v>0</v>
      </c>
      <c r="H205" s="84">
        <f ca="1">(1-('Invoer gegevens (N)'!$F$20/12))*F205*MIN('Reeksen (N)'!B205,'Reeksen (N)'!D205)</f>
        <v>0</v>
      </c>
      <c r="I205" s="84">
        <f>IF('Reeksen (N)'!D205&lt;'Reeksen (N)'!B205,('Reeksen (N)'!B205-'Reeksen (N)'!D205)*F205,0)</f>
        <v>0</v>
      </c>
      <c r="J205" s="84">
        <f ca="1">('Invoer gegevens (N)'!$F$20/12)*F204*MIN('Reeksen (N)'!B204,'Reeksen (N)'!D204)</f>
        <v>0</v>
      </c>
      <c r="K205" s="97">
        <f t="shared" ca="1" si="34"/>
        <v>0</v>
      </c>
      <c r="L205" s="84">
        <f ca="1">IF('Invoer gegevens (N)'!$C$17=E205,0,IF(C205=1,Q204,0))</f>
        <v>0</v>
      </c>
      <c r="M205" s="96">
        <f ca="1">IF(C205&gt;=1,L205*VLOOKUP(E205,'Reeksen (N)'!$A$5:$B$76,2),0)</f>
        <v>0</v>
      </c>
      <c r="N205" s="84">
        <f ca="1">(1-('Invoer gegevens (N)'!$F$20/12))*L205*MIN('Reeksen (N)'!B205,'Reeksen (N)'!D205)</f>
        <v>0</v>
      </c>
      <c r="O205" s="84">
        <f>IF('Reeksen (N)'!D205&lt;'Reeksen (N)'!B205,('Reeksen (N)'!B205-'Reeksen (N)'!D205)*L205,0)</f>
        <v>0</v>
      </c>
      <c r="P205" s="84">
        <f ca="1">('Invoer gegevens (N)'!$F$20/12)*L204*MIN('Reeksen (N)'!B204,'Reeksen (N)'!D204)</f>
        <v>0</v>
      </c>
      <c r="Q205" s="84">
        <f t="shared" ca="1" si="35"/>
        <v>0</v>
      </c>
      <c r="R205" s="82">
        <f ca="1">IF('Invoer gegevens (N)'!$C$17=E205,'Invoer gegevens (N)'!$C$11,IF(C205=1,W204,0))</f>
        <v>0</v>
      </c>
      <c r="S205" s="86">
        <f ca="1">IF(C205&gt;=1,R205*VLOOKUP(E205,'Reeksen (N)'!$A$5:$B$76,2),0)</f>
        <v>0</v>
      </c>
      <c r="T205" s="84">
        <f ca="1">(1-('Invoer gegevens (N)'!$F$20/12))*R205*MIN('Reeksen (N)'!B205,'Reeksen (N)'!D205)</f>
        <v>0</v>
      </c>
      <c r="U205" s="84">
        <f>IF('Reeksen (N)'!D205&gt;='Reeksen (N)'!B205,0,IF('Reeksen (N)'!AK205&lt;='Reeksen (N)'!AE205,('Reeksen (N)'!B205-'Reeksen (N)'!D205)*R205,0))</f>
        <v>0</v>
      </c>
      <c r="V205" s="86">
        <f>IF('Reeksen (N)'!D205&gt;='Reeksen (N)'!B205,0,IF('Reeksen (N)'!AK205&gt;'Reeksen (N)'!AE205,('Reeksen (N)'!B205-'Reeksen (N)'!D205)*R205,0))</f>
        <v>0</v>
      </c>
      <c r="W205" s="97">
        <f t="shared" ca="1" si="36"/>
        <v>0</v>
      </c>
      <c r="X205" s="98">
        <f ca="1">IF('Invoer gegevens (N)'!$C$17=E205,'Invoer gegevens (N)'!$C$10-'Invoer gegevens (N)'!$C$11,IF(C205=1,AC204,0))</f>
        <v>0</v>
      </c>
      <c r="Y205" s="98">
        <f ca="1">IF(C205&gt;=1,X205*VLOOKUP(E205,'Reeksen (N)'!$A$5:$B$76,2),0)</f>
        <v>0</v>
      </c>
      <c r="Z205" s="98">
        <f ca="1">(1-('Invoer gegevens (N)'!$F$20/12))*X205*MIN('Reeksen (N)'!B205,'Reeksen (N)'!D205)</f>
        <v>0</v>
      </c>
      <c r="AA205" s="98">
        <f>IF('Reeksen (N)'!D205&gt;='Reeksen (N)'!B205,0,IF('Reeksen (N)'!AK205&lt;='Reeksen (N)'!AE205,('Reeksen (N)'!B205-'Reeksen (N)'!D205)*X205,0))</f>
        <v>0</v>
      </c>
      <c r="AB205" s="98">
        <f>IF('Reeksen (N)'!D205&gt;='Reeksen (N)'!B205,0,IF('Reeksen (N)'!AK205&gt;'Reeksen (N)'!AE205,('Reeksen (N)'!B205-'Reeksen (N)'!D205)*X205,0))</f>
        <v>0</v>
      </c>
      <c r="AC205" s="99">
        <f t="shared" ca="1" si="37"/>
        <v>0</v>
      </c>
      <c r="AD205" s="98">
        <f ca="1">IF('Invoer gegevens (N)'!$C$17=E205,R205,IF(C205=0,0,AE204))</f>
        <v>0</v>
      </c>
      <c r="AE205" s="98">
        <f t="shared" ca="1" si="38"/>
        <v>0</v>
      </c>
      <c r="AF205" s="98">
        <f ca="1">IF('Invoer gegevens (N)'!$C$17=E205,X205,IF(C205=0,0,AG204))</f>
        <v>0</v>
      </c>
      <c r="AG205" s="98">
        <f t="shared" ca="1" si="39"/>
        <v>0</v>
      </c>
      <c r="AH205" s="68"/>
      <c r="AI205" s="71">
        <f ca="1">IF(C205=1,'Reeksen (N)'!AJ205*((F205-G205+F205)/2)*12+'Reeksen (N)'!AK205*((L205-M205+L205)/2)*12,0)</f>
        <v>0</v>
      </c>
      <c r="AJ205" s="71">
        <f ca="1">-AI205*'Invoer gegevens (N)'!$F$28</f>
        <v>0</v>
      </c>
      <c r="AK205" s="71">
        <f t="shared" ca="1" si="33"/>
        <v>0</v>
      </c>
      <c r="AL205" s="71">
        <f ca="1">IF(C205=1,'Reeksen (N)'!AL205*((F205-G205+F205)/2)*12+'Reeksen (N)'!AM205*((L205-M205+L205)/2)*12,0)</f>
        <v>0</v>
      </c>
      <c r="AM205" s="71">
        <f ca="1">-AL205*'Invoer gegevens (N)'!$F$31</f>
        <v>0</v>
      </c>
      <c r="AN205" s="71">
        <f t="shared" ca="1" si="40"/>
        <v>0</v>
      </c>
      <c r="AO205" s="71">
        <f ca="1">IF(C205=1,(H205+J205+N205+P205)*'Reeksen (N)'!AN205,0)</f>
        <v>0</v>
      </c>
      <c r="AP205" s="71">
        <f ca="1">-IF(C205=1,(H205+J205+N205+P205)*'Hulp - basis'!$O$550*'Reeksen (N)'!H205,0)</f>
        <v>0</v>
      </c>
      <c r="AQ205" s="71">
        <f ca="1">-IF(C205=1,(F205+K205+L205+Q205)/2*'Invoer gegevens (N)'!$I$33*'Reeksen (N)'!J205,0)*2</f>
        <v>0</v>
      </c>
      <c r="AR205" s="71">
        <f ca="1">-IF(C205=1,(I205*'Invoer gegevens (N)'!$I$34)*'Reeksen (N)'!J205,0)</f>
        <v>0</v>
      </c>
      <c r="AS205" s="71">
        <f ca="1">-IF(C205=1,(F205+K205+L205+Q205)/2*'Invoer gegevens (N)'!$I$35*'Reeksen (N)'!L205,0)</f>
        <v>0</v>
      </c>
      <c r="AT205" s="71">
        <f ca="1">-IF(C205=1,IF(E205='Invoer gegevens (N)'!$C$17,'Invoer gegevens (N)'!$C$11,AD205)*'Reeksen (N)'!S205*'Invoer gegevens (N)'!$C$18*'Reeksen (N)'!P205,0)</f>
        <v>0</v>
      </c>
      <c r="AU205" s="71">
        <f ca="1">-IF(C205=1,(F205+K205+L205+Q205)/2*'Invoer gegevens (N)'!$I$36*'Reeksen (N)'!H205,0)</f>
        <v>0</v>
      </c>
      <c r="AV205" s="71">
        <v>0</v>
      </c>
      <c r="AW205" s="71">
        <f t="shared" ca="1" si="41"/>
        <v>0</v>
      </c>
      <c r="AX205" s="71">
        <f ca="1">IF(E205&lt;'Invoer gegevens (N)'!$C$17+15,0,IF(E205&gt;'Invoer gegevens (N)'!$C$17+215,0,AW205))</f>
        <v>0</v>
      </c>
      <c r="AY205" s="71">
        <f ca="1">AX205/(1+'Invoer gegevens (N)'!$F$18)^($AZ205-('Invoer gegevens (N)'!$C$17-'Invoer gegevens (N)'!$C$16))/(1+'Invoer gegevens (N)'!$C$39)^('Invoer gegevens (N)'!$C$17-'Invoer gegevens (N)'!$C$16)</f>
        <v>0</v>
      </c>
      <c r="AZ205" s="68">
        <f ca="1">IF(E205-'Invoer gegevens (N)'!$C$17-14.5&lt;0,0,E205-'Invoer gegevens (N)'!$C$17-14.5)</f>
        <v>185.5</v>
      </c>
    </row>
    <row r="206" spans="2:52" x14ac:dyDescent="0.25">
      <c r="B206" s="70">
        <f t="shared" si="42"/>
        <v>202</v>
      </c>
      <c r="C206" s="67">
        <f ca="1">IF(E206-'Invoer gegevens (N)'!$C$17&lt;0,0,1)</f>
        <v>1</v>
      </c>
      <c r="D206" s="68">
        <f t="shared" si="43"/>
        <v>201.5</v>
      </c>
      <c r="E206" s="108">
        <f ca="1">IF('Invoer gegevens (N)'!$C$16="","",E205+1)</f>
        <v>2220</v>
      </c>
      <c r="F206" s="84">
        <f ca="1">IF('Invoer gegevens (N)'!$C$17=E206,'Invoer gegevens (N)'!$C$10,IF(C206=1,K205,0))</f>
        <v>0</v>
      </c>
      <c r="G206" s="96">
        <f ca="1">IF(C206&gt;=1,F206*VLOOKUP(E206,'Reeksen (N)'!$A$5:$B$76,2),0)</f>
        <v>0</v>
      </c>
      <c r="H206" s="84">
        <f ca="1">(1-('Invoer gegevens (N)'!$F$20/12))*F206*MIN('Reeksen (N)'!B206,'Reeksen (N)'!D206)</f>
        <v>0</v>
      </c>
      <c r="I206" s="84">
        <f>IF('Reeksen (N)'!D206&lt;'Reeksen (N)'!B206,('Reeksen (N)'!B206-'Reeksen (N)'!D206)*F206,0)</f>
        <v>0</v>
      </c>
      <c r="J206" s="84">
        <f ca="1">('Invoer gegevens (N)'!$F$20/12)*F205*MIN('Reeksen (N)'!B205,'Reeksen (N)'!D205)</f>
        <v>0</v>
      </c>
      <c r="K206" s="97">
        <f t="shared" ca="1" si="34"/>
        <v>0</v>
      </c>
      <c r="L206" s="84">
        <f ca="1">IF('Invoer gegevens (N)'!$C$17=E206,0,IF(C206=1,Q205,0))</f>
        <v>0</v>
      </c>
      <c r="M206" s="96">
        <f ca="1">IF(C206&gt;=1,L206*VLOOKUP(E206,'Reeksen (N)'!$A$5:$B$76,2),0)</f>
        <v>0</v>
      </c>
      <c r="N206" s="84">
        <f ca="1">(1-('Invoer gegevens (N)'!$F$20/12))*L206*MIN('Reeksen (N)'!B206,'Reeksen (N)'!D206)</f>
        <v>0</v>
      </c>
      <c r="O206" s="84">
        <f>IF('Reeksen (N)'!D206&lt;'Reeksen (N)'!B206,('Reeksen (N)'!B206-'Reeksen (N)'!D206)*L206,0)</f>
        <v>0</v>
      </c>
      <c r="P206" s="84">
        <f ca="1">('Invoer gegevens (N)'!$F$20/12)*L205*MIN('Reeksen (N)'!B205,'Reeksen (N)'!D205)</f>
        <v>0</v>
      </c>
      <c r="Q206" s="84">
        <f t="shared" ca="1" si="35"/>
        <v>0</v>
      </c>
      <c r="R206" s="82">
        <f ca="1">IF('Invoer gegevens (N)'!$C$17=E206,'Invoer gegevens (N)'!$C$11,IF(C206=1,W205,0))</f>
        <v>0</v>
      </c>
      <c r="S206" s="86">
        <f ca="1">IF(C206&gt;=1,R206*VLOOKUP(E206,'Reeksen (N)'!$A$5:$B$76,2),0)</f>
        <v>0</v>
      </c>
      <c r="T206" s="84">
        <f ca="1">(1-('Invoer gegevens (N)'!$F$20/12))*R206*MIN('Reeksen (N)'!B206,'Reeksen (N)'!D206)</f>
        <v>0</v>
      </c>
      <c r="U206" s="84">
        <f>IF('Reeksen (N)'!D206&gt;='Reeksen (N)'!B206,0,IF('Reeksen (N)'!AK206&lt;='Reeksen (N)'!AE206,('Reeksen (N)'!B206-'Reeksen (N)'!D206)*R206,0))</f>
        <v>0</v>
      </c>
      <c r="V206" s="86">
        <f>IF('Reeksen (N)'!D206&gt;='Reeksen (N)'!B206,0,IF('Reeksen (N)'!AK206&gt;'Reeksen (N)'!AE206,('Reeksen (N)'!B206-'Reeksen (N)'!D206)*R206,0))</f>
        <v>0</v>
      </c>
      <c r="W206" s="97">
        <f t="shared" ca="1" si="36"/>
        <v>0</v>
      </c>
      <c r="X206" s="98">
        <f ca="1">IF('Invoer gegevens (N)'!$C$17=E206,'Invoer gegevens (N)'!$C$10-'Invoer gegevens (N)'!$C$11,IF(C206=1,AC205,0))</f>
        <v>0</v>
      </c>
      <c r="Y206" s="98">
        <f ca="1">IF(C206&gt;=1,X206*VLOOKUP(E206,'Reeksen (N)'!$A$5:$B$76,2),0)</f>
        <v>0</v>
      </c>
      <c r="Z206" s="98">
        <f ca="1">(1-('Invoer gegevens (N)'!$F$20/12))*X206*MIN('Reeksen (N)'!B206,'Reeksen (N)'!D206)</f>
        <v>0</v>
      </c>
      <c r="AA206" s="98">
        <f>IF('Reeksen (N)'!D206&gt;='Reeksen (N)'!B206,0,IF('Reeksen (N)'!AK206&lt;='Reeksen (N)'!AE206,('Reeksen (N)'!B206-'Reeksen (N)'!D206)*X206,0))</f>
        <v>0</v>
      </c>
      <c r="AB206" s="98">
        <f>IF('Reeksen (N)'!D206&gt;='Reeksen (N)'!B206,0,IF('Reeksen (N)'!AK206&gt;'Reeksen (N)'!AE206,('Reeksen (N)'!B206-'Reeksen (N)'!D206)*X206,0))</f>
        <v>0</v>
      </c>
      <c r="AC206" s="99">
        <f t="shared" ca="1" si="37"/>
        <v>0</v>
      </c>
      <c r="AD206" s="98">
        <f ca="1">IF('Invoer gegevens (N)'!$C$17=E206,R206,IF(C206=0,0,AE205))</f>
        <v>0</v>
      </c>
      <c r="AE206" s="98">
        <f t="shared" ca="1" si="38"/>
        <v>0</v>
      </c>
      <c r="AF206" s="98">
        <f ca="1">IF('Invoer gegevens (N)'!$C$17=E206,X206,IF(C206=0,0,AG205))</f>
        <v>0</v>
      </c>
      <c r="AG206" s="98">
        <f t="shared" ca="1" si="39"/>
        <v>0</v>
      </c>
      <c r="AH206" s="68"/>
      <c r="AI206" s="71">
        <f ca="1">IF(C206=1,'Reeksen (N)'!AJ206*((F206-G206+F206)/2)*12+'Reeksen (N)'!AK206*((L206-M206+L206)/2)*12,0)</f>
        <v>0</v>
      </c>
      <c r="AJ206" s="71">
        <f ca="1">-AI206*'Invoer gegevens (N)'!$F$28</f>
        <v>0</v>
      </c>
      <c r="AK206" s="71">
        <f t="shared" ca="1" si="33"/>
        <v>0</v>
      </c>
      <c r="AL206" s="71">
        <f ca="1">IF(C206=1,'Reeksen (N)'!AL206*((F206-G206+F206)/2)*12+'Reeksen (N)'!AM206*((L206-M206+L206)/2)*12,0)</f>
        <v>0</v>
      </c>
      <c r="AM206" s="71">
        <f ca="1">-AL206*'Invoer gegevens (N)'!$F$31</f>
        <v>0</v>
      </c>
      <c r="AN206" s="71">
        <f t="shared" ca="1" si="40"/>
        <v>0</v>
      </c>
      <c r="AO206" s="71">
        <f ca="1">IF(C206=1,(H206+J206+N206+P206)*'Reeksen (N)'!AN206,0)</f>
        <v>0</v>
      </c>
      <c r="AP206" s="71">
        <f ca="1">-IF(C206=1,(H206+J206+N206+P206)*'Hulp - basis'!$O$550*'Reeksen (N)'!H206,0)</f>
        <v>0</v>
      </c>
      <c r="AQ206" s="71">
        <f ca="1">-IF(C206=1,(F206+K206+L206+Q206)/2*'Invoer gegevens (N)'!$I$33*'Reeksen (N)'!J206,0)*2</f>
        <v>0</v>
      </c>
      <c r="AR206" s="71">
        <f ca="1">-IF(C206=1,(I206*'Invoer gegevens (N)'!$I$34)*'Reeksen (N)'!J206,0)</f>
        <v>0</v>
      </c>
      <c r="AS206" s="71">
        <f ca="1">-IF(C206=1,(F206+K206+L206+Q206)/2*'Invoer gegevens (N)'!$I$35*'Reeksen (N)'!L206,0)</f>
        <v>0</v>
      </c>
      <c r="AT206" s="71">
        <f ca="1">-IF(C206=1,IF(E206='Invoer gegevens (N)'!$C$17,'Invoer gegevens (N)'!$C$11,AD206)*'Reeksen (N)'!S206*'Invoer gegevens (N)'!$C$18*'Reeksen (N)'!P206,0)</f>
        <v>0</v>
      </c>
      <c r="AU206" s="71">
        <f ca="1">-IF(C206=1,(F206+K206+L206+Q206)/2*'Invoer gegevens (N)'!$I$36*'Reeksen (N)'!H206,0)</f>
        <v>0</v>
      </c>
      <c r="AV206" s="71">
        <v>0</v>
      </c>
      <c r="AW206" s="71">
        <f t="shared" ca="1" si="41"/>
        <v>0</v>
      </c>
      <c r="AX206" s="71">
        <f ca="1">IF(E206&lt;'Invoer gegevens (N)'!$C$17+15,0,IF(E206&gt;'Invoer gegevens (N)'!$C$17+215,0,AW206))</f>
        <v>0</v>
      </c>
      <c r="AY206" s="71">
        <f ca="1">AX206/(1+'Invoer gegevens (N)'!$F$18)^($AZ206-('Invoer gegevens (N)'!$C$17-'Invoer gegevens (N)'!$C$16))/(1+'Invoer gegevens (N)'!$C$39)^('Invoer gegevens (N)'!$C$17-'Invoer gegevens (N)'!$C$16)</f>
        <v>0</v>
      </c>
      <c r="AZ206" s="68">
        <f ca="1">IF(E206-'Invoer gegevens (N)'!$C$17-14.5&lt;0,0,E206-'Invoer gegevens (N)'!$C$17-14.5)</f>
        <v>186.5</v>
      </c>
    </row>
    <row r="207" spans="2:52" x14ac:dyDescent="0.25">
      <c r="B207" s="70">
        <f t="shared" si="42"/>
        <v>203</v>
      </c>
      <c r="C207" s="67">
        <f ca="1">IF(E207-'Invoer gegevens (N)'!$C$17&lt;0,0,1)</f>
        <v>1</v>
      </c>
      <c r="D207" s="68">
        <f t="shared" si="43"/>
        <v>202.5</v>
      </c>
      <c r="E207" s="108">
        <f ca="1">IF('Invoer gegevens (N)'!$C$16="","",E206+1)</f>
        <v>2221</v>
      </c>
      <c r="F207" s="84">
        <f ca="1">IF('Invoer gegevens (N)'!$C$17=E207,'Invoer gegevens (N)'!$C$10,IF(C207=1,K206,0))</f>
        <v>0</v>
      </c>
      <c r="G207" s="96">
        <f ca="1">IF(C207&gt;=1,F207*VLOOKUP(E207,'Reeksen (N)'!$A$5:$B$76,2),0)</f>
        <v>0</v>
      </c>
      <c r="H207" s="84">
        <f ca="1">(1-('Invoer gegevens (N)'!$F$20/12))*F207*MIN('Reeksen (N)'!B207,'Reeksen (N)'!D207)</f>
        <v>0</v>
      </c>
      <c r="I207" s="84">
        <f>IF('Reeksen (N)'!D207&lt;'Reeksen (N)'!B207,('Reeksen (N)'!B207-'Reeksen (N)'!D207)*F207,0)</f>
        <v>0</v>
      </c>
      <c r="J207" s="84">
        <f ca="1">('Invoer gegevens (N)'!$F$20/12)*F206*MIN('Reeksen (N)'!B206,'Reeksen (N)'!D206)</f>
        <v>0</v>
      </c>
      <c r="K207" s="97">
        <f t="shared" ca="1" si="34"/>
        <v>0</v>
      </c>
      <c r="L207" s="84">
        <f ca="1">IF('Invoer gegevens (N)'!$C$17=E207,0,IF(C207=1,Q206,0))</f>
        <v>0</v>
      </c>
      <c r="M207" s="96">
        <f ca="1">IF(C207&gt;=1,L207*VLOOKUP(E207,'Reeksen (N)'!$A$5:$B$76,2),0)</f>
        <v>0</v>
      </c>
      <c r="N207" s="84">
        <f ca="1">(1-('Invoer gegevens (N)'!$F$20/12))*L207*MIN('Reeksen (N)'!B207,'Reeksen (N)'!D207)</f>
        <v>0</v>
      </c>
      <c r="O207" s="84">
        <f>IF('Reeksen (N)'!D207&lt;'Reeksen (N)'!B207,('Reeksen (N)'!B207-'Reeksen (N)'!D207)*L207,0)</f>
        <v>0</v>
      </c>
      <c r="P207" s="84">
        <f ca="1">('Invoer gegevens (N)'!$F$20/12)*L206*MIN('Reeksen (N)'!B206,'Reeksen (N)'!D206)</f>
        <v>0</v>
      </c>
      <c r="Q207" s="84">
        <f t="shared" ca="1" si="35"/>
        <v>0</v>
      </c>
      <c r="R207" s="82">
        <f ca="1">IF('Invoer gegevens (N)'!$C$17=E207,'Invoer gegevens (N)'!$C$11,IF(C207=1,W206,0))</f>
        <v>0</v>
      </c>
      <c r="S207" s="86">
        <f ca="1">IF(C207&gt;=1,R207*VLOOKUP(E207,'Reeksen (N)'!$A$5:$B$76,2),0)</f>
        <v>0</v>
      </c>
      <c r="T207" s="84">
        <f ca="1">(1-('Invoer gegevens (N)'!$F$20/12))*R207*MIN('Reeksen (N)'!B207,'Reeksen (N)'!D207)</f>
        <v>0</v>
      </c>
      <c r="U207" s="84">
        <f>IF('Reeksen (N)'!D207&gt;='Reeksen (N)'!B207,0,IF('Reeksen (N)'!AK207&lt;='Reeksen (N)'!AE207,('Reeksen (N)'!B207-'Reeksen (N)'!D207)*R207,0))</f>
        <v>0</v>
      </c>
      <c r="V207" s="86">
        <f>IF('Reeksen (N)'!D207&gt;='Reeksen (N)'!B207,0,IF('Reeksen (N)'!AK207&gt;'Reeksen (N)'!AE207,('Reeksen (N)'!B207-'Reeksen (N)'!D207)*R207,0))</f>
        <v>0</v>
      </c>
      <c r="W207" s="97">
        <f t="shared" ca="1" si="36"/>
        <v>0</v>
      </c>
      <c r="X207" s="98">
        <f ca="1">IF('Invoer gegevens (N)'!$C$17=E207,'Invoer gegevens (N)'!$C$10-'Invoer gegevens (N)'!$C$11,IF(C207=1,AC206,0))</f>
        <v>0</v>
      </c>
      <c r="Y207" s="98">
        <f ca="1">IF(C207&gt;=1,X207*VLOOKUP(E207,'Reeksen (N)'!$A$5:$B$76,2),0)</f>
        <v>0</v>
      </c>
      <c r="Z207" s="98">
        <f ca="1">(1-('Invoer gegevens (N)'!$F$20/12))*X207*MIN('Reeksen (N)'!B207,'Reeksen (N)'!D207)</f>
        <v>0</v>
      </c>
      <c r="AA207" s="98">
        <f>IF('Reeksen (N)'!D207&gt;='Reeksen (N)'!B207,0,IF('Reeksen (N)'!AK207&lt;='Reeksen (N)'!AE207,('Reeksen (N)'!B207-'Reeksen (N)'!D207)*X207,0))</f>
        <v>0</v>
      </c>
      <c r="AB207" s="98">
        <f>IF('Reeksen (N)'!D207&gt;='Reeksen (N)'!B207,0,IF('Reeksen (N)'!AK207&gt;'Reeksen (N)'!AE207,('Reeksen (N)'!B207-'Reeksen (N)'!D207)*X207,0))</f>
        <v>0</v>
      </c>
      <c r="AC207" s="99">
        <f t="shared" ca="1" si="37"/>
        <v>0</v>
      </c>
      <c r="AD207" s="98">
        <f ca="1">IF('Invoer gegevens (N)'!$C$17=E207,R207,IF(C207=0,0,AE206))</f>
        <v>0</v>
      </c>
      <c r="AE207" s="98">
        <f t="shared" ca="1" si="38"/>
        <v>0</v>
      </c>
      <c r="AF207" s="98">
        <f ca="1">IF('Invoer gegevens (N)'!$C$17=E207,X207,IF(C207=0,0,AG206))</f>
        <v>0</v>
      </c>
      <c r="AG207" s="98">
        <f t="shared" ca="1" si="39"/>
        <v>0</v>
      </c>
      <c r="AH207" s="68"/>
      <c r="AI207" s="71">
        <f ca="1">IF(C207=1,'Reeksen (N)'!AJ207*((F207-G207+F207)/2)*12+'Reeksen (N)'!AK207*((L207-M207+L207)/2)*12,0)</f>
        <v>0</v>
      </c>
      <c r="AJ207" s="71">
        <f ca="1">-AI207*'Invoer gegevens (N)'!$F$28</f>
        <v>0</v>
      </c>
      <c r="AK207" s="71">
        <f t="shared" ca="1" si="33"/>
        <v>0</v>
      </c>
      <c r="AL207" s="71">
        <f ca="1">IF(C207=1,'Reeksen (N)'!AL207*((F207-G207+F207)/2)*12+'Reeksen (N)'!AM207*((L207-M207+L207)/2)*12,0)</f>
        <v>0</v>
      </c>
      <c r="AM207" s="71">
        <f ca="1">-AL207*'Invoer gegevens (N)'!$F$31</f>
        <v>0</v>
      </c>
      <c r="AN207" s="71">
        <f t="shared" ca="1" si="40"/>
        <v>0</v>
      </c>
      <c r="AO207" s="71">
        <f ca="1">IF(C207=1,(H207+J207+N207+P207)*'Reeksen (N)'!AN207,0)</f>
        <v>0</v>
      </c>
      <c r="AP207" s="71">
        <f ca="1">-IF(C207=1,(H207+J207+N207+P207)*'Hulp - basis'!$O$550*'Reeksen (N)'!H207,0)</f>
        <v>0</v>
      </c>
      <c r="AQ207" s="71">
        <f ca="1">-IF(C207=1,(F207+K207+L207+Q207)/2*'Invoer gegevens (N)'!$I$33*'Reeksen (N)'!J207,0)*2</f>
        <v>0</v>
      </c>
      <c r="AR207" s="71">
        <f ca="1">-IF(C207=1,(I207*'Invoer gegevens (N)'!$I$34)*'Reeksen (N)'!J207,0)</f>
        <v>0</v>
      </c>
      <c r="AS207" s="71">
        <f ca="1">-IF(C207=1,(F207+K207+L207+Q207)/2*'Invoer gegevens (N)'!$I$35*'Reeksen (N)'!L207,0)</f>
        <v>0</v>
      </c>
      <c r="AT207" s="71">
        <f ca="1">-IF(C207=1,IF(E207='Invoer gegevens (N)'!$C$17,'Invoer gegevens (N)'!$C$11,AD207)*'Reeksen (N)'!S207*'Invoer gegevens (N)'!$C$18*'Reeksen (N)'!P207,0)</f>
        <v>0</v>
      </c>
      <c r="AU207" s="71">
        <f ca="1">-IF(C207=1,(F207+K207+L207+Q207)/2*'Invoer gegevens (N)'!$I$36*'Reeksen (N)'!H207,0)</f>
        <v>0</v>
      </c>
      <c r="AV207" s="71">
        <v>0</v>
      </c>
      <c r="AW207" s="71">
        <f t="shared" ca="1" si="41"/>
        <v>0</v>
      </c>
      <c r="AX207" s="71">
        <f ca="1">IF(E207&lt;'Invoer gegevens (N)'!$C$17+15,0,IF(E207&gt;'Invoer gegevens (N)'!$C$17+215,0,AW207))</f>
        <v>0</v>
      </c>
      <c r="AY207" s="71">
        <f ca="1">AX207/(1+'Invoer gegevens (N)'!$F$18)^($AZ207-('Invoer gegevens (N)'!$C$17-'Invoer gegevens (N)'!$C$16))/(1+'Invoer gegevens (N)'!$C$39)^('Invoer gegevens (N)'!$C$17-'Invoer gegevens (N)'!$C$16)</f>
        <v>0</v>
      </c>
      <c r="AZ207" s="68">
        <f ca="1">IF(E207-'Invoer gegevens (N)'!$C$17-14.5&lt;0,0,E207-'Invoer gegevens (N)'!$C$17-14.5)</f>
        <v>187.5</v>
      </c>
    </row>
    <row r="208" spans="2:52" x14ac:dyDescent="0.25">
      <c r="B208" s="70">
        <f t="shared" si="42"/>
        <v>204</v>
      </c>
      <c r="C208" s="67">
        <f ca="1">IF(E208-'Invoer gegevens (N)'!$C$17&lt;0,0,1)</f>
        <v>1</v>
      </c>
      <c r="D208" s="68">
        <f t="shared" si="43"/>
        <v>203.5</v>
      </c>
      <c r="E208" s="108">
        <f ca="1">IF('Invoer gegevens (N)'!$C$16="","",E207+1)</f>
        <v>2222</v>
      </c>
      <c r="F208" s="84">
        <f ca="1">IF('Invoer gegevens (N)'!$C$17=E208,'Invoer gegevens (N)'!$C$10,IF(C208=1,K207,0))</f>
        <v>0</v>
      </c>
      <c r="G208" s="96">
        <f ca="1">IF(C208&gt;=1,F208*VLOOKUP(E208,'Reeksen (N)'!$A$5:$B$76,2),0)</f>
        <v>0</v>
      </c>
      <c r="H208" s="84">
        <f ca="1">(1-('Invoer gegevens (N)'!$F$20/12))*F208*MIN('Reeksen (N)'!B208,'Reeksen (N)'!D208)</f>
        <v>0</v>
      </c>
      <c r="I208" s="84">
        <f>IF('Reeksen (N)'!D208&lt;'Reeksen (N)'!B208,('Reeksen (N)'!B208-'Reeksen (N)'!D208)*F208,0)</f>
        <v>0</v>
      </c>
      <c r="J208" s="84">
        <f ca="1">('Invoer gegevens (N)'!$F$20/12)*F207*MIN('Reeksen (N)'!B207,'Reeksen (N)'!D207)</f>
        <v>0</v>
      </c>
      <c r="K208" s="97">
        <f t="shared" ca="1" si="34"/>
        <v>0</v>
      </c>
      <c r="L208" s="84">
        <f ca="1">IF('Invoer gegevens (N)'!$C$17=E208,0,IF(C208=1,Q207,0))</f>
        <v>0</v>
      </c>
      <c r="M208" s="96">
        <f ca="1">IF(C208&gt;=1,L208*VLOOKUP(E208,'Reeksen (N)'!$A$5:$B$76,2),0)</f>
        <v>0</v>
      </c>
      <c r="N208" s="84">
        <f ca="1">(1-('Invoer gegevens (N)'!$F$20/12))*L208*MIN('Reeksen (N)'!B208,'Reeksen (N)'!D208)</f>
        <v>0</v>
      </c>
      <c r="O208" s="84">
        <f>IF('Reeksen (N)'!D208&lt;'Reeksen (N)'!B208,('Reeksen (N)'!B208-'Reeksen (N)'!D208)*L208,0)</f>
        <v>0</v>
      </c>
      <c r="P208" s="84">
        <f ca="1">('Invoer gegevens (N)'!$F$20/12)*L207*MIN('Reeksen (N)'!B207,'Reeksen (N)'!D207)</f>
        <v>0</v>
      </c>
      <c r="Q208" s="84">
        <f t="shared" ca="1" si="35"/>
        <v>0</v>
      </c>
      <c r="R208" s="82">
        <f ca="1">IF('Invoer gegevens (N)'!$C$17=E208,'Invoer gegevens (N)'!$C$11,IF(C208=1,W207,0))</f>
        <v>0</v>
      </c>
      <c r="S208" s="86">
        <f ca="1">IF(C208&gt;=1,R208*VLOOKUP(E208,'Reeksen (N)'!$A$5:$B$76,2),0)</f>
        <v>0</v>
      </c>
      <c r="T208" s="84">
        <f ca="1">(1-('Invoer gegevens (N)'!$F$20/12))*R208*MIN('Reeksen (N)'!B208,'Reeksen (N)'!D208)</f>
        <v>0</v>
      </c>
      <c r="U208" s="84">
        <f>IF('Reeksen (N)'!D208&gt;='Reeksen (N)'!B208,0,IF('Reeksen (N)'!AK208&lt;='Reeksen (N)'!AE208,('Reeksen (N)'!B208-'Reeksen (N)'!D208)*R208,0))</f>
        <v>0</v>
      </c>
      <c r="V208" s="86">
        <f>IF('Reeksen (N)'!D208&gt;='Reeksen (N)'!B208,0,IF('Reeksen (N)'!AK208&gt;'Reeksen (N)'!AE208,('Reeksen (N)'!B208-'Reeksen (N)'!D208)*R208,0))</f>
        <v>0</v>
      </c>
      <c r="W208" s="97">
        <f t="shared" ca="1" si="36"/>
        <v>0</v>
      </c>
      <c r="X208" s="98">
        <f ca="1">IF('Invoer gegevens (N)'!$C$17=E208,'Invoer gegevens (N)'!$C$10-'Invoer gegevens (N)'!$C$11,IF(C208=1,AC207,0))</f>
        <v>0</v>
      </c>
      <c r="Y208" s="98">
        <f ca="1">IF(C208&gt;=1,X208*VLOOKUP(E208,'Reeksen (N)'!$A$5:$B$76,2),0)</f>
        <v>0</v>
      </c>
      <c r="Z208" s="98">
        <f ca="1">(1-('Invoer gegevens (N)'!$F$20/12))*X208*MIN('Reeksen (N)'!B208,'Reeksen (N)'!D208)</f>
        <v>0</v>
      </c>
      <c r="AA208" s="98">
        <f>IF('Reeksen (N)'!D208&gt;='Reeksen (N)'!B208,0,IF('Reeksen (N)'!AK208&lt;='Reeksen (N)'!AE208,('Reeksen (N)'!B208-'Reeksen (N)'!D208)*X208,0))</f>
        <v>0</v>
      </c>
      <c r="AB208" s="98">
        <f>IF('Reeksen (N)'!D208&gt;='Reeksen (N)'!B208,0,IF('Reeksen (N)'!AK208&gt;'Reeksen (N)'!AE208,('Reeksen (N)'!B208-'Reeksen (N)'!D208)*X208,0))</f>
        <v>0</v>
      </c>
      <c r="AC208" s="99">
        <f t="shared" ca="1" si="37"/>
        <v>0</v>
      </c>
      <c r="AD208" s="98">
        <f ca="1">IF('Invoer gegevens (N)'!$C$17=E208,R208,IF(C208=0,0,AE207))</f>
        <v>0</v>
      </c>
      <c r="AE208" s="98">
        <f t="shared" ca="1" si="38"/>
        <v>0</v>
      </c>
      <c r="AF208" s="98">
        <f ca="1">IF('Invoer gegevens (N)'!$C$17=E208,X208,IF(C208=0,0,AG207))</f>
        <v>0</v>
      </c>
      <c r="AG208" s="98">
        <f t="shared" ca="1" si="39"/>
        <v>0</v>
      </c>
      <c r="AH208" s="68"/>
      <c r="AI208" s="71">
        <f ca="1">IF(C208=1,'Reeksen (N)'!AJ208*((F208-G208+F208)/2)*12+'Reeksen (N)'!AK208*((L208-M208+L208)/2)*12,0)</f>
        <v>0</v>
      </c>
      <c r="AJ208" s="71">
        <f ca="1">-AI208*'Invoer gegevens (N)'!$F$28</f>
        <v>0</v>
      </c>
      <c r="AK208" s="71">
        <f t="shared" ca="1" si="33"/>
        <v>0</v>
      </c>
      <c r="AL208" s="71">
        <f ca="1">IF(C208=1,'Reeksen (N)'!AL208*((F208-G208+F208)/2)*12+'Reeksen (N)'!AM208*((L208-M208+L208)/2)*12,0)</f>
        <v>0</v>
      </c>
      <c r="AM208" s="71">
        <f ca="1">-AL208*'Invoer gegevens (N)'!$F$31</f>
        <v>0</v>
      </c>
      <c r="AN208" s="71">
        <f t="shared" ca="1" si="40"/>
        <v>0</v>
      </c>
      <c r="AO208" s="71">
        <f ca="1">IF(C208=1,(H208+J208+N208+P208)*'Reeksen (N)'!AN208,0)</f>
        <v>0</v>
      </c>
      <c r="AP208" s="71">
        <f ca="1">-IF(C208=1,(H208+J208+N208+P208)*'Hulp - basis'!$O$550*'Reeksen (N)'!H208,0)</f>
        <v>0</v>
      </c>
      <c r="AQ208" s="71">
        <f ca="1">-IF(C208=1,(F208+K208+L208+Q208)/2*'Invoer gegevens (N)'!$I$33*'Reeksen (N)'!J208,0)*2</f>
        <v>0</v>
      </c>
      <c r="AR208" s="71">
        <f ca="1">-IF(C208=1,(I208*'Invoer gegevens (N)'!$I$34)*'Reeksen (N)'!J208,0)</f>
        <v>0</v>
      </c>
      <c r="AS208" s="71">
        <f ca="1">-IF(C208=1,(F208+K208+L208+Q208)/2*'Invoer gegevens (N)'!$I$35*'Reeksen (N)'!L208,0)</f>
        <v>0</v>
      </c>
      <c r="AT208" s="71">
        <f ca="1">-IF(C208=1,IF(E208='Invoer gegevens (N)'!$C$17,'Invoer gegevens (N)'!$C$11,AD208)*'Reeksen (N)'!S208*'Invoer gegevens (N)'!$C$18*'Reeksen (N)'!P208,0)</f>
        <v>0</v>
      </c>
      <c r="AU208" s="71">
        <f ca="1">-IF(C208=1,(F208+K208+L208+Q208)/2*'Invoer gegevens (N)'!$I$36*'Reeksen (N)'!H208,0)</f>
        <v>0</v>
      </c>
      <c r="AV208" s="71">
        <v>0</v>
      </c>
      <c r="AW208" s="71">
        <f t="shared" ca="1" si="41"/>
        <v>0</v>
      </c>
      <c r="AX208" s="71">
        <f ca="1">IF(E208&lt;'Invoer gegevens (N)'!$C$17+15,0,IF(E208&gt;'Invoer gegevens (N)'!$C$17+215,0,AW208))</f>
        <v>0</v>
      </c>
      <c r="AY208" s="71">
        <f ca="1">AX208/(1+'Invoer gegevens (N)'!$F$18)^($AZ208-('Invoer gegevens (N)'!$C$17-'Invoer gegevens (N)'!$C$16))/(1+'Invoer gegevens (N)'!$C$39)^('Invoer gegevens (N)'!$C$17-'Invoer gegevens (N)'!$C$16)</f>
        <v>0</v>
      </c>
      <c r="AZ208" s="68">
        <f ca="1">IF(E208-'Invoer gegevens (N)'!$C$17-14.5&lt;0,0,E208-'Invoer gegevens (N)'!$C$17-14.5)</f>
        <v>188.5</v>
      </c>
    </row>
    <row r="209" spans="2:52" x14ac:dyDescent="0.25">
      <c r="B209" s="70">
        <f t="shared" si="42"/>
        <v>205</v>
      </c>
      <c r="C209" s="67">
        <f ca="1">IF(E209-'Invoer gegevens (N)'!$C$17&lt;0,0,1)</f>
        <v>1</v>
      </c>
      <c r="D209" s="68">
        <f t="shared" si="43"/>
        <v>204.5</v>
      </c>
      <c r="E209" s="108">
        <f ca="1">IF('Invoer gegevens (N)'!$C$16="","",E208+1)</f>
        <v>2223</v>
      </c>
      <c r="F209" s="84">
        <f ca="1">IF('Invoer gegevens (N)'!$C$17=E209,'Invoer gegevens (N)'!$C$10,IF(C209=1,K208,0))</f>
        <v>0</v>
      </c>
      <c r="G209" s="96">
        <f ca="1">IF(C209&gt;=1,F209*VLOOKUP(E209,'Reeksen (N)'!$A$5:$B$76,2),0)</f>
        <v>0</v>
      </c>
      <c r="H209" s="84">
        <f ca="1">(1-('Invoer gegevens (N)'!$F$20/12))*F209*MIN('Reeksen (N)'!B209,'Reeksen (N)'!D209)</f>
        <v>0</v>
      </c>
      <c r="I209" s="84">
        <f>IF('Reeksen (N)'!D209&lt;'Reeksen (N)'!B209,('Reeksen (N)'!B209-'Reeksen (N)'!D209)*F209,0)</f>
        <v>0</v>
      </c>
      <c r="J209" s="84">
        <f ca="1">('Invoer gegevens (N)'!$F$20/12)*F208*MIN('Reeksen (N)'!B208,'Reeksen (N)'!D208)</f>
        <v>0</v>
      </c>
      <c r="K209" s="97">
        <f t="shared" ca="1" si="34"/>
        <v>0</v>
      </c>
      <c r="L209" s="84">
        <f ca="1">IF('Invoer gegevens (N)'!$C$17=E209,0,IF(C209=1,Q208,0))</f>
        <v>0</v>
      </c>
      <c r="M209" s="96">
        <f ca="1">IF(C209&gt;=1,L209*VLOOKUP(E209,'Reeksen (N)'!$A$5:$B$76,2),0)</f>
        <v>0</v>
      </c>
      <c r="N209" s="84">
        <f ca="1">(1-('Invoer gegevens (N)'!$F$20/12))*L209*MIN('Reeksen (N)'!B209,'Reeksen (N)'!D209)</f>
        <v>0</v>
      </c>
      <c r="O209" s="84">
        <f>IF('Reeksen (N)'!D209&lt;'Reeksen (N)'!B209,('Reeksen (N)'!B209-'Reeksen (N)'!D209)*L209,0)</f>
        <v>0</v>
      </c>
      <c r="P209" s="84">
        <f ca="1">('Invoer gegevens (N)'!$F$20/12)*L208*MIN('Reeksen (N)'!B208,'Reeksen (N)'!D208)</f>
        <v>0</v>
      </c>
      <c r="Q209" s="84">
        <f t="shared" ca="1" si="35"/>
        <v>0</v>
      </c>
      <c r="R209" s="82">
        <f ca="1">IF('Invoer gegevens (N)'!$C$17=E209,'Invoer gegevens (N)'!$C$11,IF(C209=1,W208,0))</f>
        <v>0</v>
      </c>
      <c r="S209" s="86">
        <f ca="1">IF(C209&gt;=1,R209*VLOOKUP(E209,'Reeksen (N)'!$A$5:$B$76,2),0)</f>
        <v>0</v>
      </c>
      <c r="T209" s="84">
        <f ca="1">(1-('Invoer gegevens (N)'!$F$20/12))*R209*MIN('Reeksen (N)'!B209,'Reeksen (N)'!D209)</f>
        <v>0</v>
      </c>
      <c r="U209" s="84">
        <f>IF('Reeksen (N)'!D209&gt;='Reeksen (N)'!B209,0,IF('Reeksen (N)'!AK209&lt;='Reeksen (N)'!AE209,('Reeksen (N)'!B209-'Reeksen (N)'!D209)*R209,0))</f>
        <v>0</v>
      </c>
      <c r="V209" s="86">
        <f>IF('Reeksen (N)'!D209&gt;='Reeksen (N)'!B209,0,IF('Reeksen (N)'!AK209&gt;'Reeksen (N)'!AE209,('Reeksen (N)'!B209-'Reeksen (N)'!D209)*R209,0))</f>
        <v>0</v>
      </c>
      <c r="W209" s="97">
        <f t="shared" ca="1" si="36"/>
        <v>0</v>
      </c>
      <c r="X209" s="98">
        <f ca="1">IF('Invoer gegevens (N)'!$C$17=E209,'Invoer gegevens (N)'!$C$10-'Invoer gegevens (N)'!$C$11,IF(C209=1,AC208,0))</f>
        <v>0</v>
      </c>
      <c r="Y209" s="98">
        <f ca="1">IF(C209&gt;=1,X209*VLOOKUP(E209,'Reeksen (N)'!$A$5:$B$76,2),0)</f>
        <v>0</v>
      </c>
      <c r="Z209" s="98">
        <f ca="1">(1-('Invoer gegevens (N)'!$F$20/12))*X209*MIN('Reeksen (N)'!B209,'Reeksen (N)'!D209)</f>
        <v>0</v>
      </c>
      <c r="AA209" s="98">
        <f>IF('Reeksen (N)'!D209&gt;='Reeksen (N)'!B209,0,IF('Reeksen (N)'!AK209&lt;='Reeksen (N)'!AE209,('Reeksen (N)'!B209-'Reeksen (N)'!D209)*X209,0))</f>
        <v>0</v>
      </c>
      <c r="AB209" s="98">
        <f>IF('Reeksen (N)'!D209&gt;='Reeksen (N)'!B209,0,IF('Reeksen (N)'!AK209&gt;'Reeksen (N)'!AE209,('Reeksen (N)'!B209-'Reeksen (N)'!D209)*X209,0))</f>
        <v>0</v>
      </c>
      <c r="AC209" s="99">
        <f t="shared" ca="1" si="37"/>
        <v>0</v>
      </c>
      <c r="AD209" s="98">
        <f ca="1">IF('Invoer gegevens (N)'!$C$17=E209,R209,IF(C209=0,0,AE208))</f>
        <v>0</v>
      </c>
      <c r="AE209" s="98">
        <f t="shared" ca="1" si="38"/>
        <v>0</v>
      </c>
      <c r="AF209" s="98">
        <f ca="1">IF('Invoer gegevens (N)'!$C$17=E209,X209,IF(C209=0,0,AG208))</f>
        <v>0</v>
      </c>
      <c r="AG209" s="98">
        <f t="shared" ca="1" si="39"/>
        <v>0</v>
      </c>
      <c r="AH209" s="68"/>
      <c r="AI209" s="71">
        <f ca="1">IF(C209=1,'Reeksen (N)'!AJ209*((F209-G209+F209)/2)*12+'Reeksen (N)'!AK209*((L209-M209+L209)/2)*12,0)</f>
        <v>0</v>
      </c>
      <c r="AJ209" s="71">
        <f ca="1">-AI209*'Invoer gegevens (N)'!$F$28</f>
        <v>0</v>
      </c>
      <c r="AK209" s="71">
        <f t="shared" ca="1" si="33"/>
        <v>0</v>
      </c>
      <c r="AL209" s="71">
        <f ca="1">IF(C209=1,'Reeksen (N)'!AL209*((F209-G209+F209)/2)*12+'Reeksen (N)'!AM209*((L209-M209+L209)/2)*12,0)</f>
        <v>0</v>
      </c>
      <c r="AM209" s="71">
        <f ca="1">-AL209*'Invoer gegevens (N)'!$F$31</f>
        <v>0</v>
      </c>
      <c r="AN209" s="71">
        <f t="shared" ca="1" si="40"/>
        <v>0</v>
      </c>
      <c r="AO209" s="71">
        <f ca="1">IF(C209=1,(H209+J209+N209+P209)*'Reeksen (N)'!AN209,0)</f>
        <v>0</v>
      </c>
      <c r="AP209" s="71">
        <f ca="1">-IF(C209=1,(H209+J209+N209+P209)*'Hulp - basis'!$O$550*'Reeksen (N)'!H209,0)</f>
        <v>0</v>
      </c>
      <c r="AQ209" s="71">
        <f ca="1">-IF(C209=1,(F209+K209+L209+Q209)/2*'Invoer gegevens (N)'!$I$33*'Reeksen (N)'!J209,0)*2</f>
        <v>0</v>
      </c>
      <c r="AR209" s="71">
        <f ca="1">-IF(C209=1,(I209*'Invoer gegevens (N)'!$I$34)*'Reeksen (N)'!J209,0)</f>
        <v>0</v>
      </c>
      <c r="AS209" s="71">
        <f ca="1">-IF(C209=1,(F209+K209+L209+Q209)/2*'Invoer gegevens (N)'!$I$35*'Reeksen (N)'!L209,0)</f>
        <v>0</v>
      </c>
      <c r="AT209" s="71">
        <f ca="1">-IF(C209=1,IF(E209='Invoer gegevens (N)'!$C$17,'Invoer gegevens (N)'!$C$11,AD209)*'Reeksen (N)'!S209*'Invoer gegevens (N)'!$C$18*'Reeksen (N)'!P209,0)</f>
        <v>0</v>
      </c>
      <c r="AU209" s="71">
        <f ca="1">-IF(C209=1,(F209+K209+L209+Q209)/2*'Invoer gegevens (N)'!$I$36*'Reeksen (N)'!H209,0)</f>
        <v>0</v>
      </c>
      <c r="AV209" s="71">
        <v>0</v>
      </c>
      <c r="AW209" s="71">
        <f t="shared" ca="1" si="41"/>
        <v>0</v>
      </c>
      <c r="AX209" s="71">
        <f ca="1">IF(E209&lt;'Invoer gegevens (N)'!$C$17+15,0,IF(E209&gt;'Invoer gegevens (N)'!$C$17+215,0,AW209))</f>
        <v>0</v>
      </c>
      <c r="AY209" s="71">
        <f ca="1">AX209/(1+'Invoer gegevens (N)'!$F$18)^($AZ209-('Invoer gegevens (N)'!$C$17-'Invoer gegevens (N)'!$C$16))/(1+'Invoer gegevens (N)'!$C$39)^('Invoer gegevens (N)'!$C$17-'Invoer gegevens (N)'!$C$16)</f>
        <v>0</v>
      </c>
      <c r="AZ209" s="68">
        <f ca="1">IF(E209-'Invoer gegevens (N)'!$C$17-14.5&lt;0,0,E209-'Invoer gegevens (N)'!$C$17-14.5)</f>
        <v>189.5</v>
      </c>
    </row>
    <row r="210" spans="2:52" x14ac:dyDescent="0.25">
      <c r="B210" s="70">
        <f t="shared" si="42"/>
        <v>206</v>
      </c>
      <c r="C210" s="67">
        <f ca="1">IF(E210-'Invoer gegevens (N)'!$C$17&lt;0,0,1)</f>
        <v>1</v>
      </c>
      <c r="D210" s="68">
        <f t="shared" si="43"/>
        <v>205.5</v>
      </c>
      <c r="E210" s="108">
        <f ca="1">IF('Invoer gegevens (N)'!$C$16="","",E209+1)</f>
        <v>2224</v>
      </c>
      <c r="F210" s="84">
        <f ca="1">IF('Invoer gegevens (N)'!$C$17=E210,'Invoer gegevens (N)'!$C$10,IF(C210=1,K209,0))</f>
        <v>0</v>
      </c>
      <c r="G210" s="96">
        <f ca="1">IF(C210&gt;=1,F210*VLOOKUP(E210,'Reeksen (N)'!$A$5:$B$76,2),0)</f>
        <v>0</v>
      </c>
      <c r="H210" s="84">
        <f ca="1">(1-('Invoer gegevens (N)'!$F$20/12))*F210*MIN('Reeksen (N)'!B210,'Reeksen (N)'!D210)</f>
        <v>0</v>
      </c>
      <c r="I210" s="84">
        <f>IF('Reeksen (N)'!D210&lt;'Reeksen (N)'!B210,('Reeksen (N)'!B210-'Reeksen (N)'!D210)*F210,0)</f>
        <v>0</v>
      </c>
      <c r="J210" s="84">
        <f ca="1">('Invoer gegevens (N)'!$F$20/12)*F209*MIN('Reeksen (N)'!B209,'Reeksen (N)'!D209)</f>
        <v>0</v>
      </c>
      <c r="K210" s="97">
        <f t="shared" ca="1" si="34"/>
        <v>0</v>
      </c>
      <c r="L210" s="84">
        <f ca="1">IF('Invoer gegevens (N)'!$C$17=E210,0,IF(C210=1,Q209,0))</f>
        <v>0</v>
      </c>
      <c r="M210" s="96">
        <f ca="1">IF(C210&gt;=1,L210*VLOOKUP(E210,'Reeksen (N)'!$A$5:$B$76,2),0)</f>
        <v>0</v>
      </c>
      <c r="N210" s="84">
        <f ca="1">(1-('Invoer gegevens (N)'!$F$20/12))*L210*MIN('Reeksen (N)'!B210,'Reeksen (N)'!D210)</f>
        <v>0</v>
      </c>
      <c r="O210" s="84">
        <f>IF('Reeksen (N)'!D210&lt;'Reeksen (N)'!B210,('Reeksen (N)'!B210-'Reeksen (N)'!D210)*L210,0)</f>
        <v>0</v>
      </c>
      <c r="P210" s="84">
        <f ca="1">('Invoer gegevens (N)'!$F$20/12)*L209*MIN('Reeksen (N)'!B209,'Reeksen (N)'!D209)</f>
        <v>0</v>
      </c>
      <c r="Q210" s="84">
        <f t="shared" ca="1" si="35"/>
        <v>0</v>
      </c>
      <c r="R210" s="82">
        <f ca="1">IF('Invoer gegevens (N)'!$C$17=E210,'Invoer gegevens (N)'!$C$11,IF(C210=1,W209,0))</f>
        <v>0</v>
      </c>
      <c r="S210" s="86">
        <f ca="1">IF(C210&gt;=1,R210*VLOOKUP(E210,'Reeksen (N)'!$A$5:$B$76,2),0)</f>
        <v>0</v>
      </c>
      <c r="T210" s="84">
        <f ca="1">(1-('Invoer gegevens (N)'!$F$20/12))*R210*MIN('Reeksen (N)'!B210,'Reeksen (N)'!D210)</f>
        <v>0</v>
      </c>
      <c r="U210" s="84">
        <f>IF('Reeksen (N)'!D210&gt;='Reeksen (N)'!B210,0,IF('Reeksen (N)'!AK210&lt;='Reeksen (N)'!AE210,('Reeksen (N)'!B210-'Reeksen (N)'!D210)*R210,0))</f>
        <v>0</v>
      </c>
      <c r="V210" s="86">
        <f>IF('Reeksen (N)'!D210&gt;='Reeksen (N)'!B210,0,IF('Reeksen (N)'!AK210&gt;'Reeksen (N)'!AE210,('Reeksen (N)'!B210-'Reeksen (N)'!D210)*R210,0))</f>
        <v>0</v>
      </c>
      <c r="W210" s="97">
        <f t="shared" ca="1" si="36"/>
        <v>0</v>
      </c>
      <c r="X210" s="98">
        <f ca="1">IF('Invoer gegevens (N)'!$C$17=E210,'Invoer gegevens (N)'!$C$10-'Invoer gegevens (N)'!$C$11,IF(C210=1,AC209,0))</f>
        <v>0</v>
      </c>
      <c r="Y210" s="98">
        <f ca="1">IF(C210&gt;=1,X210*VLOOKUP(E210,'Reeksen (N)'!$A$5:$B$76,2),0)</f>
        <v>0</v>
      </c>
      <c r="Z210" s="98">
        <f ca="1">(1-('Invoer gegevens (N)'!$F$20/12))*X210*MIN('Reeksen (N)'!B210,'Reeksen (N)'!D210)</f>
        <v>0</v>
      </c>
      <c r="AA210" s="98">
        <f>IF('Reeksen (N)'!D210&gt;='Reeksen (N)'!B210,0,IF('Reeksen (N)'!AK210&lt;='Reeksen (N)'!AE210,('Reeksen (N)'!B210-'Reeksen (N)'!D210)*X210,0))</f>
        <v>0</v>
      </c>
      <c r="AB210" s="98">
        <f>IF('Reeksen (N)'!D210&gt;='Reeksen (N)'!B210,0,IF('Reeksen (N)'!AK210&gt;'Reeksen (N)'!AE210,('Reeksen (N)'!B210-'Reeksen (N)'!D210)*X210,0))</f>
        <v>0</v>
      </c>
      <c r="AC210" s="99">
        <f t="shared" ca="1" si="37"/>
        <v>0</v>
      </c>
      <c r="AD210" s="98">
        <f ca="1">IF('Invoer gegevens (N)'!$C$17=E210,R210,IF(C210=0,0,AE209))</f>
        <v>0</v>
      </c>
      <c r="AE210" s="98">
        <f t="shared" ca="1" si="38"/>
        <v>0</v>
      </c>
      <c r="AF210" s="98">
        <f ca="1">IF('Invoer gegevens (N)'!$C$17=E210,X210,IF(C210=0,0,AG209))</f>
        <v>0</v>
      </c>
      <c r="AG210" s="98">
        <f t="shared" ca="1" si="39"/>
        <v>0</v>
      </c>
      <c r="AH210" s="68"/>
      <c r="AI210" s="71">
        <f ca="1">IF(C210=1,'Reeksen (N)'!AJ210*((F210-G210+F210)/2)*12+'Reeksen (N)'!AK210*((L210-M210+L210)/2)*12,0)</f>
        <v>0</v>
      </c>
      <c r="AJ210" s="71">
        <f ca="1">-AI210*'Invoer gegevens (N)'!$F$28</f>
        <v>0</v>
      </c>
      <c r="AK210" s="71">
        <f t="shared" ca="1" si="33"/>
        <v>0</v>
      </c>
      <c r="AL210" s="71">
        <f ca="1">IF(C210=1,'Reeksen (N)'!AL210*((F210-G210+F210)/2)*12+'Reeksen (N)'!AM210*((L210-M210+L210)/2)*12,0)</f>
        <v>0</v>
      </c>
      <c r="AM210" s="71">
        <f ca="1">-AL210*'Invoer gegevens (N)'!$F$31</f>
        <v>0</v>
      </c>
      <c r="AN210" s="71">
        <f t="shared" ca="1" si="40"/>
        <v>0</v>
      </c>
      <c r="AO210" s="71">
        <f ca="1">IF(C210=1,(H210+J210+N210+P210)*'Reeksen (N)'!AN210,0)</f>
        <v>0</v>
      </c>
      <c r="AP210" s="71">
        <f ca="1">-IF(C210=1,(H210+J210+N210+P210)*'Hulp - basis'!$O$550*'Reeksen (N)'!H210,0)</f>
        <v>0</v>
      </c>
      <c r="AQ210" s="71">
        <f ca="1">-IF(C210=1,(F210+K210+L210+Q210)/2*'Invoer gegevens (N)'!$I$33*'Reeksen (N)'!J210,0)*2</f>
        <v>0</v>
      </c>
      <c r="AR210" s="71">
        <f ca="1">-IF(C210=1,(I210*'Invoer gegevens (N)'!$I$34)*'Reeksen (N)'!J210,0)</f>
        <v>0</v>
      </c>
      <c r="AS210" s="71">
        <f ca="1">-IF(C210=1,(F210+K210+L210+Q210)/2*'Invoer gegevens (N)'!$I$35*'Reeksen (N)'!L210,0)</f>
        <v>0</v>
      </c>
      <c r="AT210" s="71">
        <f ca="1">-IF(C210=1,IF(E210='Invoer gegevens (N)'!$C$17,'Invoer gegevens (N)'!$C$11,AD210)*'Reeksen (N)'!S210*'Invoer gegevens (N)'!$C$18*'Reeksen (N)'!P210,0)</f>
        <v>0</v>
      </c>
      <c r="AU210" s="71">
        <f ca="1">-IF(C210=1,(F210+K210+L210+Q210)/2*'Invoer gegevens (N)'!$I$36*'Reeksen (N)'!H210,0)</f>
        <v>0</v>
      </c>
      <c r="AV210" s="71">
        <v>0</v>
      </c>
      <c r="AW210" s="71">
        <f t="shared" ca="1" si="41"/>
        <v>0</v>
      </c>
      <c r="AX210" s="71">
        <f ca="1">IF(E210&lt;'Invoer gegevens (N)'!$C$17+15,0,IF(E210&gt;'Invoer gegevens (N)'!$C$17+215,0,AW210))</f>
        <v>0</v>
      </c>
      <c r="AY210" s="71">
        <f ca="1">AX210/(1+'Invoer gegevens (N)'!$F$18)^($AZ210-('Invoer gegevens (N)'!$C$17-'Invoer gegevens (N)'!$C$16))/(1+'Invoer gegevens (N)'!$C$39)^('Invoer gegevens (N)'!$C$17-'Invoer gegevens (N)'!$C$16)</f>
        <v>0</v>
      </c>
      <c r="AZ210" s="68">
        <f ca="1">IF(E210-'Invoer gegevens (N)'!$C$17-14.5&lt;0,0,E210-'Invoer gegevens (N)'!$C$17-14.5)</f>
        <v>190.5</v>
      </c>
    </row>
    <row r="211" spans="2:52" x14ac:dyDescent="0.25">
      <c r="B211" s="70">
        <f t="shared" si="42"/>
        <v>207</v>
      </c>
      <c r="C211" s="67">
        <f ca="1">IF(E211-'Invoer gegevens (N)'!$C$17&lt;0,0,1)</f>
        <v>1</v>
      </c>
      <c r="D211" s="68">
        <f t="shared" si="43"/>
        <v>206.5</v>
      </c>
      <c r="E211" s="108">
        <f ca="1">IF('Invoer gegevens (N)'!$C$16="","",E210+1)</f>
        <v>2225</v>
      </c>
      <c r="F211" s="84">
        <f ca="1">IF('Invoer gegevens (N)'!$C$17=E211,'Invoer gegevens (N)'!$C$10,IF(C211=1,K210,0))</f>
        <v>0</v>
      </c>
      <c r="G211" s="96">
        <f ca="1">IF(C211&gt;=1,F211*VLOOKUP(E211,'Reeksen (N)'!$A$5:$B$76,2),0)</f>
        <v>0</v>
      </c>
      <c r="H211" s="84">
        <f ca="1">(1-('Invoer gegevens (N)'!$F$20/12))*F211*MIN('Reeksen (N)'!B211,'Reeksen (N)'!D211)</f>
        <v>0</v>
      </c>
      <c r="I211" s="84">
        <f>IF('Reeksen (N)'!D211&lt;'Reeksen (N)'!B211,('Reeksen (N)'!B211-'Reeksen (N)'!D211)*F211,0)</f>
        <v>0</v>
      </c>
      <c r="J211" s="84">
        <f ca="1">('Invoer gegevens (N)'!$F$20/12)*F210*MIN('Reeksen (N)'!B210,'Reeksen (N)'!D210)</f>
        <v>0</v>
      </c>
      <c r="K211" s="97">
        <f t="shared" ca="1" si="34"/>
        <v>0</v>
      </c>
      <c r="L211" s="84">
        <f ca="1">IF('Invoer gegevens (N)'!$C$17=E211,0,IF(C211=1,Q210,0))</f>
        <v>0</v>
      </c>
      <c r="M211" s="96">
        <f ca="1">IF(C211&gt;=1,L211*VLOOKUP(E211,'Reeksen (N)'!$A$5:$B$76,2),0)</f>
        <v>0</v>
      </c>
      <c r="N211" s="84">
        <f ca="1">(1-('Invoer gegevens (N)'!$F$20/12))*L211*MIN('Reeksen (N)'!B211,'Reeksen (N)'!D211)</f>
        <v>0</v>
      </c>
      <c r="O211" s="84">
        <f>IF('Reeksen (N)'!D211&lt;'Reeksen (N)'!B211,('Reeksen (N)'!B211-'Reeksen (N)'!D211)*L211,0)</f>
        <v>0</v>
      </c>
      <c r="P211" s="84">
        <f ca="1">('Invoer gegevens (N)'!$F$20/12)*L210*MIN('Reeksen (N)'!B210,'Reeksen (N)'!D210)</f>
        <v>0</v>
      </c>
      <c r="Q211" s="84">
        <f t="shared" ca="1" si="35"/>
        <v>0</v>
      </c>
      <c r="R211" s="82">
        <f ca="1">IF('Invoer gegevens (N)'!$C$17=E211,'Invoer gegevens (N)'!$C$11,IF(C211=1,W210,0))</f>
        <v>0</v>
      </c>
      <c r="S211" s="86">
        <f ca="1">IF(C211&gt;=1,R211*VLOOKUP(E211,'Reeksen (N)'!$A$5:$B$76,2),0)</f>
        <v>0</v>
      </c>
      <c r="T211" s="84">
        <f ca="1">(1-('Invoer gegevens (N)'!$F$20/12))*R211*MIN('Reeksen (N)'!B211,'Reeksen (N)'!D211)</f>
        <v>0</v>
      </c>
      <c r="U211" s="84">
        <f>IF('Reeksen (N)'!D211&gt;='Reeksen (N)'!B211,0,IF('Reeksen (N)'!AK211&lt;='Reeksen (N)'!AE211,('Reeksen (N)'!B211-'Reeksen (N)'!D211)*R211,0))</f>
        <v>0</v>
      </c>
      <c r="V211" s="86">
        <f>IF('Reeksen (N)'!D211&gt;='Reeksen (N)'!B211,0,IF('Reeksen (N)'!AK211&gt;'Reeksen (N)'!AE211,('Reeksen (N)'!B211-'Reeksen (N)'!D211)*R211,0))</f>
        <v>0</v>
      </c>
      <c r="W211" s="97">
        <f t="shared" ca="1" si="36"/>
        <v>0</v>
      </c>
      <c r="X211" s="98">
        <f ca="1">IF('Invoer gegevens (N)'!$C$17=E211,'Invoer gegevens (N)'!$C$10-'Invoer gegevens (N)'!$C$11,IF(C211=1,AC210,0))</f>
        <v>0</v>
      </c>
      <c r="Y211" s="98">
        <f ca="1">IF(C211&gt;=1,X211*VLOOKUP(E211,'Reeksen (N)'!$A$5:$B$76,2),0)</f>
        <v>0</v>
      </c>
      <c r="Z211" s="98">
        <f ca="1">(1-('Invoer gegevens (N)'!$F$20/12))*X211*MIN('Reeksen (N)'!B211,'Reeksen (N)'!D211)</f>
        <v>0</v>
      </c>
      <c r="AA211" s="98">
        <f>IF('Reeksen (N)'!D211&gt;='Reeksen (N)'!B211,0,IF('Reeksen (N)'!AK211&lt;='Reeksen (N)'!AE211,('Reeksen (N)'!B211-'Reeksen (N)'!D211)*X211,0))</f>
        <v>0</v>
      </c>
      <c r="AB211" s="98">
        <f>IF('Reeksen (N)'!D211&gt;='Reeksen (N)'!B211,0,IF('Reeksen (N)'!AK211&gt;'Reeksen (N)'!AE211,('Reeksen (N)'!B211-'Reeksen (N)'!D211)*X211,0))</f>
        <v>0</v>
      </c>
      <c r="AC211" s="99">
        <f t="shared" ca="1" si="37"/>
        <v>0</v>
      </c>
      <c r="AD211" s="98">
        <f ca="1">IF('Invoer gegevens (N)'!$C$17=E211,R211,IF(C211=0,0,AE210))</f>
        <v>0</v>
      </c>
      <c r="AE211" s="98">
        <f t="shared" ca="1" si="38"/>
        <v>0</v>
      </c>
      <c r="AF211" s="98">
        <f ca="1">IF('Invoer gegevens (N)'!$C$17=E211,X211,IF(C211=0,0,AG210))</f>
        <v>0</v>
      </c>
      <c r="AG211" s="98">
        <f t="shared" ca="1" si="39"/>
        <v>0</v>
      </c>
      <c r="AH211" s="68"/>
      <c r="AI211" s="71">
        <f ca="1">IF(C211=1,'Reeksen (N)'!AJ211*((F211-G211+F211)/2)*12+'Reeksen (N)'!AK211*((L211-M211+L211)/2)*12,0)</f>
        <v>0</v>
      </c>
      <c r="AJ211" s="71">
        <f ca="1">-AI211*'Invoer gegevens (N)'!$F$28</f>
        <v>0</v>
      </c>
      <c r="AK211" s="71">
        <f t="shared" ca="1" si="33"/>
        <v>0</v>
      </c>
      <c r="AL211" s="71">
        <f ca="1">IF(C211=1,'Reeksen (N)'!AL211*((F211-G211+F211)/2)*12+'Reeksen (N)'!AM211*((L211-M211+L211)/2)*12,0)</f>
        <v>0</v>
      </c>
      <c r="AM211" s="71">
        <f ca="1">-AL211*'Invoer gegevens (N)'!$F$31</f>
        <v>0</v>
      </c>
      <c r="AN211" s="71">
        <f t="shared" ca="1" si="40"/>
        <v>0</v>
      </c>
      <c r="AO211" s="71">
        <f ca="1">IF(C211=1,(H211+J211+N211+P211)*'Reeksen (N)'!AN211,0)</f>
        <v>0</v>
      </c>
      <c r="AP211" s="71">
        <f ca="1">-IF(C211=1,(H211+J211+N211+P211)*'Hulp - basis'!$O$550*'Reeksen (N)'!H211,0)</f>
        <v>0</v>
      </c>
      <c r="AQ211" s="71">
        <f ca="1">-IF(C211=1,(F211+K211+L211+Q211)/2*'Invoer gegevens (N)'!$I$33*'Reeksen (N)'!J211,0)*2</f>
        <v>0</v>
      </c>
      <c r="AR211" s="71">
        <f ca="1">-IF(C211=1,(I211*'Invoer gegevens (N)'!$I$34)*'Reeksen (N)'!J211,0)</f>
        <v>0</v>
      </c>
      <c r="AS211" s="71">
        <f ca="1">-IF(C211=1,(F211+K211+L211+Q211)/2*'Invoer gegevens (N)'!$I$35*'Reeksen (N)'!L211,0)</f>
        <v>0</v>
      </c>
      <c r="AT211" s="71">
        <f ca="1">-IF(C211=1,IF(E211='Invoer gegevens (N)'!$C$17,'Invoer gegevens (N)'!$C$11,AD211)*'Reeksen (N)'!S211*'Invoer gegevens (N)'!$C$18*'Reeksen (N)'!P211,0)</f>
        <v>0</v>
      </c>
      <c r="AU211" s="71">
        <f ca="1">-IF(C211=1,(F211+K211+L211+Q211)/2*'Invoer gegevens (N)'!$I$36*'Reeksen (N)'!H211,0)</f>
        <v>0</v>
      </c>
      <c r="AV211" s="71">
        <v>0</v>
      </c>
      <c r="AW211" s="71">
        <f t="shared" ca="1" si="41"/>
        <v>0</v>
      </c>
      <c r="AX211" s="71">
        <f ca="1">IF(E211&lt;'Invoer gegevens (N)'!$C$17+15,0,IF(E211&gt;'Invoer gegevens (N)'!$C$17+215,0,AW211))</f>
        <v>0</v>
      </c>
      <c r="AY211" s="71">
        <f ca="1">AX211/(1+'Invoer gegevens (N)'!$F$18)^($AZ211-('Invoer gegevens (N)'!$C$17-'Invoer gegevens (N)'!$C$16))/(1+'Invoer gegevens (N)'!$C$39)^('Invoer gegevens (N)'!$C$17-'Invoer gegevens (N)'!$C$16)</f>
        <v>0</v>
      </c>
      <c r="AZ211" s="68">
        <f ca="1">IF(E211-'Invoer gegevens (N)'!$C$17-14.5&lt;0,0,E211-'Invoer gegevens (N)'!$C$17-14.5)</f>
        <v>191.5</v>
      </c>
    </row>
    <row r="212" spans="2:52" x14ac:dyDescent="0.25">
      <c r="B212" s="70">
        <f t="shared" si="42"/>
        <v>208</v>
      </c>
      <c r="C212" s="67">
        <f ca="1">IF(E212-'Invoer gegevens (N)'!$C$17&lt;0,0,1)</f>
        <v>1</v>
      </c>
      <c r="D212" s="68">
        <f t="shared" si="43"/>
        <v>207.5</v>
      </c>
      <c r="E212" s="108">
        <f ca="1">IF('Invoer gegevens (N)'!$C$16="","",E211+1)</f>
        <v>2226</v>
      </c>
      <c r="F212" s="84">
        <f ca="1">IF('Invoer gegevens (N)'!$C$17=E212,'Invoer gegevens (N)'!$C$10,IF(C212=1,K211,0))</f>
        <v>0</v>
      </c>
      <c r="G212" s="96">
        <f ca="1">IF(C212&gt;=1,F212*VLOOKUP(E212,'Reeksen (N)'!$A$5:$B$76,2),0)</f>
        <v>0</v>
      </c>
      <c r="H212" s="84">
        <f ca="1">(1-('Invoer gegevens (N)'!$F$20/12))*F212*MIN('Reeksen (N)'!B212,'Reeksen (N)'!D212)</f>
        <v>0</v>
      </c>
      <c r="I212" s="84">
        <f>IF('Reeksen (N)'!D212&lt;'Reeksen (N)'!B212,('Reeksen (N)'!B212-'Reeksen (N)'!D212)*F212,0)</f>
        <v>0</v>
      </c>
      <c r="J212" s="84">
        <f ca="1">('Invoer gegevens (N)'!$F$20/12)*F211*MIN('Reeksen (N)'!B211,'Reeksen (N)'!D211)</f>
        <v>0</v>
      </c>
      <c r="K212" s="97">
        <f t="shared" ca="1" si="34"/>
        <v>0</v>
      </c>
      <c r="L212" s="84">
        <f ca="1">IF('Invoer gegevens (N)'!$C$17=E212,0,IF(C212=1,Q211,0))</f>
        <v>0</v>
      </c>
      <c r="M212" s="96">
        <f ca="1">IF(C212&gt;=1,L212*VLOOKUP(E212,'Reeksen (N)'!$A$5:$B$76,2),0)</f>
        <v>0</v>
      </c>
      <c r="N212" s="84">
        <f ca="1">(1-('Invoer gegevens (N)'!$F$20/12))*L212*MIN('Reeksen (N)'!B212,'Reeksen (N)'!D212)</f>
        <v>0</v>
      </c>
      <c r="O212" s="84">
        <f>IF('Reeksen (N)'!D212&lt;'Reeksen (N)'!B212,('Reeksen (N)'!B212-'Reeksen (N)'!D212)*L212,0)</f>
        <v>0</v>
      </c>
      <c r="P212" s="84">
        <f ca="1">('Invoer gegevens (N)'!$F$20/12)*L211*MIN('Reeksen (N)'!B211,'Reeksen (N)'!D211)</f>
        <v>0</v>
      </c>
      <c r="Q212" s="84">
        <f t="shared" ca="1" si="35"/>
        <v>0</v>
      </c>
      <c r="R212" s="82">
        <f ca="1">IF('Invoer gegevens (N)'!$C$17=E212,'Invoer gegevens (N)'!$C$11,IF(C212=1,W211,0))</f>
        <v>0</v>
      </c>
      <c r="S212" s="86">
        <f ca="1">IF(C212&gt;=1,R212*VLOOKUP(E212,'Reeksen (N)'!$A$5:$B$76,2),0)</f>
        <v>0</v>
      </c>
      <c r="T212" s="84">
        <f ca="1">(1-('Invoer gegevens (N)'!$F$20/12))*R212*MIN('Reeksen (N)'!B212,'Reeksen (N)'!D212)</f>
        <v>0</v>
      </c>
      <c r="U212" s="84">
        <f>IF('Reeksen (N)'!D212&gt;='Reeksen (N)'!B212,0,IF('Reeksen (N)'!AK212&lt;='Reeksen (N)'!AE212,('Reeksen (N)'!B212-'Reeksen (N)'!D212)*R212,0))</f>
        <v>0</v>
      </c>
      <c r="V212" s="86">
        <f>IF('Reeksen (N)'!D212&gt;='Reeksen (N)'!B212,0,IF('Reeksen (N)'!AK212&gt;'Reeksen (N)'!AE212,('Reeksen (N)'!B212-'Reeksen (N)'!D212)*R212,0))</f>
        <v>0</v>
      </c>
      <c r="W212" s="97">
        <f t="shared" ca="1" si="36"/>
        <v>0</v>
      </c>
      <c r="X212" s="98">
        <f ca="1">IF('Invoer gegevens (N)'!$C$17=E212,'Invoer gegevens (N)'!$C$10-'Invoer gegevens (N)'!$C$11,IF(C212=1,AC211,0))</f>
        <v>0</v>
      </c>
      <c r="Y212" s="98">
        <f ca="1">IF(C212&gt;=1,X212*VLOOKUP(E212,'Reeksen (N)'!$A$5:$B$76,2),0)</f>
        <v>0</v>
      </c>
      <c r="Z212" s="98">
        <f ca="1">(1-('Invoer gegevens (N)'!$F$20/12))*X212*MIN('Reeksen (N)'!B212,'Reeksen (N)'!D212)</f>
        <v>0</v>
      </c>
      <c r="AA212" s="98">
        <f>IF('Reeksen (N)'!D212&gt;='Reeksen (N)'!B212,0,IF('Reeksen (N)'!AK212&lt;='Reeksen (N)'!AE212,('Reeksen (N)'!B212-'Reeksen (N)'!D212)*X212,0))</f>
        <v>0</v>
      </c>
      <c r="AB212" s="98">
        <f>IF('Reeksen (N)'!D212&gt;='Reeksen (N)'!B212,0,IF('Reeksen (N)'!AK212&gt;'Reeksen (N)'!AE212,('Reeksen (N)'!B212-'Reeksen (N)'!D212)*X212,0))</f>
        <v>0</v>
      </c>
      <c r="AC212" s="99">
        <f t="shared" ca="1" si="37"/>
        <v>0</v>
      </c>
      <c r="AD212" s="98">
        <f ca="1">IF('Invoer gegevens (N)'!$C$17=E212,R212,IF(C212=0,0,AE211))</f>
        <v>0</v>
      </c>
      <c r="AE212" s="98">
        <f t="shared" ca="1" si="38"/>
        <v>0</v>
      </c>
      <c r="AF212" s="98">
        <f ca="1">IF('Invoer gegevens (N)'!$C$17=E212,X212,IF(C212=0,0,AG211))</f>
        <v>0</v>
      </c>
      <c r="AG212" s="98">
        <f t="shared" ca="1" si="39"/>
        <v>0</v>
      </c>
      <c r="AH212" s="68"/>
      <c r="AI212" s="71">
        <f ca="1">IF(C212=1,'Reeksen (N)'!AJ212*((F212-G212+F212)/2)*12+'Reeksen (N)'!AK212*((L212-M212+L212)/2)*12,0)</f>
        <v>0</v>
      </c>
      <c r="AJ212" s="71">
        <f ca="1">-AI212*'Invoer gegevens (N)'!$F$28</f>
        <v>0</v>
      </c>
      <c r="AK212" s="71">
        <f t="shared" ca="1" si="33"/>
        <v>0</v>
      </c>
      <c r="AL212" s="71">
        <f ca="1">IF(C212=1,'Reeksen (N)'!AL212*((F212-G212+F212)/2)*12+'Reeksen (N)'!AM212*((L212-M212+L212)/2)*12,0)</f>
        <v>0</v>
      </c>
      <c r="AM212" s="71">
        <f ca="1">-AL212*'Invoer gegevens (N)'!$F$31</f>
        <v>0</v>
      </c>
      <c r="AN212" s="71">
        <f t="shared" ca="1" si="40"/>
        <v>0</v>
      </c>
      <c r="AO212" s="71">
        <f ca="1">IF(C212=1,(H212+J212+N212+P212)*'Reeksen (N)'!AN212,0)</f>
        <v>0</v>
      </c>
      <c r="AP212" s="71">
        <f ca="1">-IF(C212=1,(H212+J212+N212+P212)*'Hulp - basis'!$O$550*'Reeksen (N)'!H212,0)</f>
        <v>0</v>
      </c>
      <c r="AQ212" s="71">
        <f ca="1">-IF(C212=1,(F212+K212+L212+Q212)/2*'Invoer gegevens (N)'!$I$33*'Reeksen (N)'!J212,0)*2</f>
        <v>0</v>
      </c>
      <c r="AR212" s="71">
        <f ca="1">-IF(C212=1,(I212*'Invoer gegevens (N)'!$I$34)*'Reeksen (N)'!J212,0)</f>
        <v>0</v>
      </c>
      <c r="AS212" s="71">
        <f ca="1">-IF(C212=1,(F212+K212+L212+Q212)/2*'Invoer gegevens (N)'!$I$35*'Reeksen (N)'!L212,0)</f>
        <v>0</v>
      </c>
      <c r="AT212" s="71">
        <f ca="1">-IF(C212=1,IF(E212='Invoer gegevens (N)'!$C$17,'Invoer gegevens (N)'!$C$11,AD212)*'Reeksen (N)'!S212*'Invoer gegevens (N)'!$C$18*'Reeksen (N)'!P212,0)</f>
        <v>0</v>
      </c>
      <c r="AU212" s="71">
        <f ca="1">-IF(C212=1,(F212+K212+L212+Q212)/2*'Invoer gegevens (N)'!$I$36*'Reeksen (N)'!H212,0)</f>
        <v>0</v>
      </c>
      <c r="AV212" s="71">
        <v>0</v>
      </c>
      <c r="AW212" s="71">
        <f t="shared" ca="1" si="41"/>
        <v>0</v>
      </c>
      <c r="AX212" s="71">
        <f ca="1">IF(E212&lt;'Invoer gegevens (N)'!$C$17+15,0,IF(E212&gt;'Invoer gegevens (N)'!$C$17+215,0,AW212))</f>
        <v>0</v>
      </c>
      <c r="AY212" s="71">
        <f ca="1">AX212/(1+'Invoer gegevens (N)'!$F$18)^($AZ212-('Invoer gegevens (N)'!$C$17-'Invoer gegevens (N)'!$C$16))/(1+'Invoer gegevens (N)'!$C$39)^('Invoer gegevens (N)'!$C$17-'Invoer gegevens (N)'!$C$16)</f>
        <v>0</v>
      </c>
      <c r="AZ212" s="68">
        <f ca="1">IF(E212-'Invoer gegevens (N)'!$C$17-14.5&lt;0,0,E212-'Invoer gegevens (N)'!$C$17-14.5)</f>
        <v>192.5</v>
      </c>
    </row>
    <row r="213" spans="2:52" x14ac:dyDescent="0.25">
      <c r="B213" s="70">
        <f t="shared" si="42"/>
        <v>209</v>
      </c>
      <c r="C213" s="67">
        <f ca="1">IF(E213-'Invoer gegevens (N)'!$C$17&lt;0,0,1)</f>
        <v>1</v>
      </c>
      <c r="D213" s="68">
        <f t="shared" si="43"/>
        <v>208.5</v>
      </c>
      <c r="E213" s="108">
        <f ca="1">IF('Invoer gegevens (N)'!$C$16="","",E212+1)</f>
        <v>2227</v>
      </c>
      <c r="F213" s="84">
        <f ca="1">IF('Invoer gegevens (N)'!$C$17=E213,'Invoer gegevens (N)'!$C$10,IF(C213=1,K212,0))</f>
        <v>0</v>
      </c>
      <c r="G213" s="96">
        <f ca="1">IF(C213&gt;=1,F213*VLOOKUP(E213,'Reeksen (N)'!$A$5:$B$76,2),0)</f>
        <v>0</v>
      </c>
      <c r="H213" s="84">
        <f ca="1">(1-('Invoer gegevens (N)'!$F$20/12))*F213*MIN('Reeksen (N)'!B213,'Reeksen (N)'!D213)</f>
        <v>0</v>
      </c>
      <c r="I213" s="84">
        <f>IF('Reeksen (N)'!D213&lt;'Reeksen (N)'!B213,('Reeksen (N)'!B213-'Reeksen (N)'!D213)*F213,0)</f>
        <v>0</v>
      </c>
      <c r="J213" s="84">
        <f ca="1">('Invoer gegevens (N)'!$F$20/12)*F212*MIN('Reeksen (N)'!B212,'Reeksen (N)'!D212)</f>
        <v>0</v>
      </c>
      <c r="K213" s="97">
        <f t="shared" ca="1" si="34"/>
        <v>0</v>
      </c>
      <c r="L213" s="84">
        <f ca="1">IF('Invoer gegevens (N)'!$C$17=E213,0,IF(C213=1,Q212,0))</f>
        <v>0</v>
      </c>
      <c r="M213" s="96">
        <f ca="1">IF(C213&gt;=1,L213*VLOOKUP(E213,'Reeksen (N)'!$A$5:$B$76,2),0)</f>
        <v>0</v>
      </c>
      <c r="N213" s="84">
        <f ca="1">(1-('Invoer gegevens (N)'!$F$20/12))*L213*MIN('Reeksen (N)'!B213,'Reeksen (N)'!D213)</f>
        <v>0</v>
      </c>
      <c r="O213" s="84">
        <f>IF('Reeksen (N)'!D213&lt;'Reeksen (N)'!B213,('Reeksen (N)'!B213-'Reeksen (N)'!D213)*L213,0)</f>
        <v>0</v>
      </c>
      <c r="P213" s="84">
        <f ca="1">('Invoer gegevens (N)'!$F$20/12)*L212*MIN('Reeksen (N)'!B212,'Reeksen (N)'!D212)</f>
        <v>0</v>
      </c>
      <c r="Q213" s="84">
        <f t="shared" ca="1" si="35"/>
        <v>0</v>
      </c>
      <c r="R213" s="82">
        <f ca="1">IF('Invoer gegevens (N)'!$C$17=E213,'Invoer gegevens (N)'!$C$11,IF(C213=1,W212,0))</f>
        <v>0</v>
      </c>
      <c r="S213" s="86">
        <f ca="1">IF(C213&gt;=1,R213*VLOOKUP(E213,'Reeksen (N)'!$A$5:$B$76,2),0)</f>
        <v>0</v>
      </c>
      <c r="T213" s="84">
        <f ca="1">(1-('Invoer gegevens (N)'!$F$20/12))*R213*MIN('Reeksen (N)'!B213,'Reeksen (N)'!D213)</f>
        <v>0</v>
      </c>
      <c r="U213" s="84">
        <f>IF('Reeksen (N)'!D213&gt;='Reeksen (N)'!B213,0,IF('Reeksen (N)'!AK213&lt;='Reeksen (N)'!AE213,('Reeksen (N)'!B213-'Reeksen (N)'!D213)*R213,0))</f>
        <v>0</v>
      </c>
      <c r="V213" s="86">
        <f>IF('Reeksen (N)'!D213&gt;='Reeksen (N)'!B213,0,IF('Reeksen (N)'!AK213&gt;'Reeksen (N)'!AE213,('Reeksen (N)'!B213-'Reeksen (N)'!D213)*R213,0))</f>
        <v>0</v>
      </c>
      <c r="W213" s="97">
        <f t="shared" ca="1" si="36"/>
        <v>0</v>
      </c>
      <c r="X213" s="98">
        <f ca="1">IF('Invoer gegevens (N)'!$C$17=E213,'Invoer gegevens (N)'!$C$10-'Invoer gegevens (N)'!$C$11,IF(C213=1,AC212,0))</f>
        <v>0</v>
      </c>
      <c r="Y213" s="98">
        <f ca="1">IF(C213&gt;=1,X213*VLOOKUP(E213,'Reeksen (N)'!$A$5:$B$76,2),0)</f>
        <v>0</v>
      </c>
      <c r="Z213" s="98">
        <f ca="1">(1-('Invoer gegevens (N)'!$F$20/12))*X213*MIN('Reeksen (N)'!B213,'Reeksen (N)'!D213)</f>
        <v>0</v>
      </c>
      <c r="AA213" s="98">
        <f>IF('Reeksen (N)'!D213&gt;='Reeksen (N)'!B213,0,IF('Reeksen (N)'!AK213&lt;='Reeksen (N)'!AE213,('Reeksen (N)'!B213-'Reeksen (N)'!D213)*X213,0))</f>
        <v>0</v>
      </c>
      <c r="AB213" s="98">
        <f>IF('Reeksen (N)'!D213&gt;='Reeksen (N)'!B213,0,IF('Reeksen (N)'!AK213&gt;'Reeksen (N)'!AE213,('Reeksen (N)'!B213-'Reeksen (N)'!D213)*X213,0))</f>
        <v>0</v>
      </c>
      <c r="AC213" s="99">
        <f t="shared" ca="1" si="37"/>
        <v>0</v>
      </c>
      <c r="AD213" s="98">
        <f ca="1">IF('Invoer gegevens (N)'!$C$17=E213,R213,IF(C213=0,0,AE212))</f>
        <v>0</v>
      </c>
      <c r="AE213" s="98">
        <f t="shared" ca="1" si="38"/>
        <v>0</v>
      </c>
      <c r="AF213" s="98">
        <f ca="1">IF('Invoer gegevens (N)'!$C$17=E213,X213,IF(C213=0,0,AG212))</f>
        <v>0</v>
      </c>
      <c r="AG213" s="98">
        <f t="shared" ca="1" si="39"/>
        <v>0</v>
      </c>
      <c r="AH213" s="68"/>
      <c r="AI213" s="71">
        <f ca="1">IF(C213=1,'Reeksen (N)'!AJ213*((F213-G213+F213)/2)*12+'Reeksen (N)'!AK213*((L213-M213+L213)/2)*12,0)</f>
        <v>0</v>
      </c>
      <c r="AJ213" s="71">
        <f ca="1">-AI213*'Invoer gegevens (N)'!$F$28</f>
        <v>0</v>
      </c>
      <c r="AK213" s="71">
        <f t="shared" ca="1" si="33"/>
        <v>0</v>
      </c>
      <c r="AL213" s="71">
        <f ca="1">IF(C213=1,'Reeksen (N)'!AL213*((F213-G213+F213)/2)*12+'Reeksen (N)'!AM213*((L213-M213+L213)/2)*12,0)</f>
        <v>0</v>
      </c>
      <c r="AM213" s="71">
        <f ca="1">-AL213*'Invoer gegevens (N)'!$F$31</f>
        <v>0</v>
      </c>
      <c r="AN213" s="71">
        <f t="shared" ca="1" si="40"/>
        <v>0</v>
      </c>
      <c r="AO213" s="71">
        <f ca="1">IF(C213=1,(H213+J213+N213+P213)*'Reeksen (N)'!AN213,0)</f>
        <v>0</v>
      </c>
      <c r="AP213" s="71">
        <f ca="1">-IF(C213=1,(H213+J213+N213+P213)*'Hulp - basis'!$O$550*'Reeksen (N)'!H213,0)</f>
        <v>0</v>
      </c>
      <c r="AQ213" s="71">
        <f ca="1">-IF(C213=1,(F213+K213+L213+Q213)/2*'Invoer gegevens (N)'!$I$33*'Reeksen (N)'!J213,0)*2</f>
        <v>0</v>
      </c>
      <c r="AR213" s="71">
        <f ca="1">-IF(C213=1,(I213*'Invoer gegevens (N)'!$I$34)*'Reeksen (N)'!J213,0)</f>
        <v>0</v>
      </c>
      <c r="AS213" s="71">
        <f ca="1">-IF(C213=1,(F213+K213+L213+Q213)/2*'Invoer gegevens (N)'!$I$35*'Reeksen (N)'!L213,0)</f>
        <v>0</v>
      </c>
      <c r="AT213" s="71">
        <f ca="1">-IF(C213=1,IF(E213='Invoer gegevens (N)'!$C$17,'Invoer gegevens (N)'!$C$11,AD213)*'Reeksen (N)'!S213*'Invoer gegevens (N)'!$C$18*'Reeksen (N)'!P213,0)</f>
        <v>0</v>
      </c>
      <c r="AU213" s="71">
        <f ca="1">-IF(C213=1,(F213+K213+L213+Q213)/2*'Invoer gegevens (N)'!$I$36*'Reeksen (N)'!H213,0)</f>
        <v>0</v>
      </c>
      <c r="AV213" s="71">
        <v>0</v>
      </c>
      <c r="AW213" s="71">
        <f t="shared" ca="1" si="41"/>
        <v>0</v>
      </c>
      <c r="AX213" s="71">
        <f ca="1">IF(E213&lt;'Invoer gegevens (N)'!$C$17+15,0,IF(E213&gt;'Invoer gegevens (N)'!$C$17+215,0,AW213))</f>
        <v>0</v>
      </c>
      <c r="AY213" s="71">
        <f ca="1">AX213/(1+'Invoer gegevens (N)'!$F$18)^($AZ213-('Invoer gegevens (N)'!$C$17-'Invoer gegevens (N)'!$C$16))/(1+'Invoer gegevens (N)'!$C$39)^('Invoer gegevens (N)'!$C$17-'Invoer gegevens (N)'!$C$16)</f>
        <v>0</v>
      </c>
      <c r="AZ213" s="68">
        <f ca="1">IF(E213-'Invoer gegevens (N)'!$C$17-14.5&lt;0,0,E213-'Invoer gegevens (N)'!$C$17-14.5)</f>
        <v>193.5</v>
      </c>
    </row>
    <row r="214" spans="2:52" x14ac:dyDescent="0.25">
      <c r="B214" s="70">
        <f t="shared" si="42"/>
        <v>210</v>
      </c>
      <c r="C214" s="67">
        <f ca="1">IF(E214-'Invoer gegevens (N)'!$C$17&lt;0,0,1)</f>
        <v>1</v>
      </c>
      <c r="D214" s="68">
        <f t="shared" si="43"/>
        <v>209.5</v>
      </c>
      <c r="E214" s="108">
        <f ca="1">IF('Invoer gegevens (N)'!$C$16="","",E213+1)</f>
        <v>2228</v>
      </c>
      <c r="F214" s="84">
        <f ca="1">IF('Invoer gegevens (N)'!$C$17=E214,'Invoer gegevens (N)'!$C$10,IF(C214=1,K213,0))</f>
        <v>0</v>
      </c>
      <c r="G214" s="96">
        <f ca="1">IF(C214&gt;=1,F214*VLOOKUP(E214,'Reeksen (N)'!$A$5:$B$76,2),0)</f>
        <v>0</v>
      </c>
      <c r="H214" s="84">
        <f ca="1">(1-('Invoer gegevens (N)'!$F$20/12))*F214*MIN('Reeksen (N)'!B214,'Reeksen (N)'!D214)</f>
        <v>0</v>
      </c>
      <c r="I214" s="84">
        <f>IF('Reeksen (N)'!D214&lt;'Reeksen (N)'!B214,('Reeksen (N)'!B214-'Reeksen (N)'!D214)*F214,0)</f>
        <v>0</v>
      </c>
      <c r="J214" s="84">
        <f ca="1">('Invoer gegevens (N)'!$F$20/12)*F213*MIN('Reeksen (N)'!B213,'Reeksen (N)'!D213)</f>
        <v>0</v>
      </c>
      <c r="K214" s="97">
        <f t="shared" ca="1" si="34"/>
        <v>0</v>
      </c>
      <c r="L214" s="84">
        <f ca="1">IF('Invoer gegevens (N)'!$C$17=E214,0,IF(C214=1,Q213,0))</f>
        <v>0</v>
      </c>
      <c r="M214" s="96">
        <f ca="1">IF(C214&gt;=1,L214*VLOOKUP(E214,'Reeksen (N)'!$A$5:$B$76,2),0)</f>
        <v>0</v>
      </c>
      <c r="N214" s="84">
        <f ca="1">(1-('Invoer gegevens (N)'!$F$20/12))*L214*MIN('Reeksen (N)'!B214,'Reeksen (N)'!D214)</f>
        <v>0</v>
      </c>
      <c r="O214" s="84">
        <f>IF('Reeksen (N)'!D214&lt;'Reeksen (N)'!B214,('Reeksen (N)'!B214-'Reeksen (N)'!D214)*L214,0)</f>
        <v>0</v>
      </c>
      <c r="P214" s="84">
        <f ca="1">('Invoer gegevens (N)'!$F$20/12)*L213*MIN('Reeksen (N)'!B213,'Reeksen (N)'!D213)</f>
        <v>0</v>
      </c>
      <c r="Q214" s="84">
        <f t="shared" ca="1" si="35"/>
        <v>0</v>
      </c>
      <c r="R214" s="82">
        <f ca="1">IF('Invoer gegevens (N)'!$C$17=E214,'Invoer gegevens (N)'!$C$11,IF(C214=1,W213,0))</f>
        <v>0</v>
      </c>
      <c r="S214" s="86">
        <f ca="1">IF(C214&gt;=1,R214*VLOOKUP(E214,'Reeksen (N)'!$A$5:$B$76,2),0)</f>
        <v>0</v>
      </c>
      <c r="T214" s="84">
        <f ca="1">(1-('Invoer gegevens (N)'!$F$20/12))*R214*MIN('Reeksen (N)'!B214,'Reeksen (N)'!D214)</f>
        <v>0</v>
      </c>
      <c r="U214" s="84">
        <f>IF('Reeksen (N)'!D214&gt;='Reeksen (N)'!B214,0,IF('Reeksen (N)'!AK214&lt;='Reeksen (N)'!AE214,('Reeksen (N)'!B214-'Reeksen (N)'!D214)*R214,0))</f>
        <v>0</v>
      </c>
      <c r="V214" s="86">
        <f>IF('Reeksen (N)'!D214&gt;='Reeksen (N)'!B214,0,IF('Reeksen (N)'!AK214&gt;'Reeksen (N)'!AE214,('Reeksen (N)'!B214-'Reeksen (N)'!D214)*R214,0))</f>
        <v>0</v>
      </c>
      <c r="W214" s="97">
        <f t="shared" ca="1" si="36"/>
        <v>0</v>
      </c>
      <c r="X214" s="98">
        <f ca="1">IF('Invoer gegevens (N)'!$C$17=E214,'Invoer gegevens (N)'!$C$10-'Invoer gegevens (N)'!$C$11,IF(C214=1,AC213,0))</f>
        <v>0</v>
      </c>
      <c r="Y214" s="98">
        <f ca="1">IF(C214&gt;=1,X214*VLOOKUP(E214,'Reeksen (N)'!$A$5:$B$76,2),0)</f>
        <v>0</v>
      </c>
      <c r="Z214" s="98">
        <f ca="1">(1-('Invoer gegevens (N)'!$F$20/12))*X214*MIN('Reeksen (N)'!B214,'Reeksen (N)'!D214)</f>
        <v>0</v>
      </c>
      <c r="AA214" s="98">
        <f>IF('Reeksen (N)'!D214&gt;='Reeksen (N)'!B214,0,IF('Reeksen (N)'!AK214&lt;='Reeksen (N)'!AE214,('Reeksen (N)'!B214-'Reeksen (N)'!D214)*X214,0))</f>
        <v>0</v>
      </c>
      <c r="AB214" s="98">
        <f>IF('Reeksen (N)'!D214&gt;='Reeksen (N)'!B214,0,IF('Reeksen (N)'!AK214&gt;'Reeksen (N)'!AE214,('Reeksen (N)'!B214-'Reeksen (N)'!D214)*X214,0))</f>
        <v>0</v>
      </c>
      <c r="AC214" s="99">
        <f t="shared" ca="1" si="37"/>
        <v>0</v>
      </c>
      <c r="AD214" s="98">
        <f ca="1">IF('Invoer gegevens (N)'!$C$17=E214,R214,IF(C214=0,0,AE213))</f>
        <v>0</v>
      </c>
      <c r="AE214" s="98">
        <f t="shared" ca="1" si="38"/>
        <v>0</v>
      </c>
      <c r="AF214" s="98">
        <f ca="1">IF('Invoer gegevens (N)'!$C$17=E214,X214,IF(C214=0,0,AG213))</f>
        <v>0</v>
      </c>
      <c r="AG214" s="98">
        <f t="shared" ca="1" si="39"/>
        <v>0</v>
      </c>
      <c r="AH214" s="68"/>
      <c r="AI214" s="71">
        <f ca="1">IF(C214=1,'Reeksen (N)'!AJ214*((F214-G214+F214)/2)*12+'Reeksen (N)'!AK214*((L214-M214+L214)/2)*12,0)</f>
        <v>0</v>
      </c>
      <c r="AJ214" s="71">
        <f ca="1">-AI214*'Invoer gegevens (N)'!$F$28</f>
        <v>0</v>
      </c>
      <c r="AK214" s="71">
        <f t="shared" ca="1" si="33"/>
        <v>0</v>
      </c>
      <c r="AL214" s="71">
        <f ca="1">IF(C214=1,'Reeksen (N)'!AL214*((F214-G214+F214)/2)*12+'Reeksen (N)'!AM214*((L214-M214+L214)/2)*12,0)</f>
        <v>0</v>
      </c>
      <c r="AM214" s="71">
        <f ca="1">-AL214*'Invoer gegevens (N)'!$F$31</f>
        <v>0</v>
      </c>
      <c r="AN214" s="71">
        <f t="shared" ca="1" si="40"/>
        <v>0</v>
      </c>
      <c r="AO214" s="71">
        <f ca="1">IF(C214=1,(H214+J214+N214+P214)*'Reeksen (N)'!AN214,0)</f>
        <v>0</v>
      </c>
      <c r="AP214" s="71">
        <f ca="1">-IF(C214=1,(H214+J214+N214+P214)*'Hulp - basis'!$O$550*'Reeksen (N)'!H214,0)</f>
        <v>0</v>
      </c>
      <c r="AQ214" s="71">
        <f ca="1">-IF(C214=1,(F214+K214+L214+Q214)/2*'Invoer gegevens (N)'!$I$33*'Reeksen (N)'!J214,0)*2</f>
        <v>0</v>
      </c>
      <c r="AR214" s="71">
        <f ca="1">-IF(C214=1,(I214*'Invoer gegevens (N)'!$I$34)*'Reeksen (N)'!J214,0)</f>
        <v>0</v>
      </c>
      <c r="AS214" s="71">
        <f ca="1">-IF(C214=1,(F214+K214+L214+Q214)/2*'Invoer gegevens (N)'!$I$35*'Reeksen (N)'!L214,0)</f>
        <v>0</v>
      </c>
      <c r="AT214" s="71">
        <f ca="1">-IF(C214=1,IF(E214='Invoer gegevens (N)'!$C$17,'Invoer gegevens (N)'!$C$11,AD214)*'Reeksen (N)'!S214*'Invoer gegevens (N)'!$C$18*'Reeksen (N)'!P214,0)</f>
        <v>0</v>
      </c>
      <c r="AU214" s="71">
        <f ca="1">-IF(C214=1,(F214+K214+L214+Q214)/2*'Invoer gegevens (N)'!$I$36*'Reeksen (N)'!H214,0)</f>
        <v>0</v>
      </c>
      <c r="AV214" s="71">
        <v>0</v>
      </c>
      <c r="AW214" s="71">
        <f t="shared" ca="1" si="41"/>
        <v>0</v>
      </c>
      <c r="AX214" s="71">
        <f ca="1">IF(E214&lt;'Invoer gegevens (N)'!$C$17+15,0,IF(E214&gt;'Invoer gegevens (N)'!$C$17+215,0,AW214))</f>
        <v>0</v>
      </c>
      <c r="AY214" s="71">
        <f ca="1">AX214/(1+'Invoer gegevens (N)'!$F$18)^($AZ214-('Invoer gegevens (N)'!$C$17-'Invoer gegevens (N)'!$C$16))/(1+'Invoer gegevens (N)'!$C$39)^('Invoer gegevens (N)'!$C$17-'Invoer gegevens (N)'!$C$16)</f>
        <v>0</v>
      </c>
      <c r="AZ214" s="68">
        <f ca="1">IF(E214-'Invoer gegevens (N)'!$C$17-14.5&lt;0,0,E214-'Invoer gegevens (N)'!$C$17-14.5)</f>
        <v>194.5</v>
      </c>
    </row>
    <row r="215" spans="2:52" x14ac:dyDescent="0.25">
      <c r="B215" s="70">
        <f t="shared" si="42"/>
        <v>211</v>
      </c>
      <c r="C215" s="67">
        <f ca="1">IF(E215-'Invoer gegevens (N)'!$C$17&lt;0,0,1)</f>
        <v>1</v>
      </c>
      <c r="D215" s="68">
        <f t="shared" si="43"/>
        <v>210.5</v>
      </c>
      <c r="E215" s="108">
        <f ca="1">IF('Invoer gegevens (N)'!$C$16="","",E214+1)</f>
        <v>2229</v>
      </c>
      <c r="F215" s="84">
        <f ca="1">IF('Invoer gegevens (N)'!$C$17=E215,'Invoer gegevens (N)'!$C$10,IF(C215=1,K214,0))</f>
        <v>0</v>
      </c>
      <c r="G215" s="96">
        <f ca="1">IF(C215&gt;=1,F215*VLOOKUP(E215,'Reeksen (N)'!$A$5:$B$76,2),0)</f>
        <v>0</v>
      </c>
      <c r="H215" s="84">
        <f ca="1">(1-('Invoer gegevens (N)'!$F$20/12))*F215*MIN('Reeksen (N)'!B215,'Reeksen (N)'!D215)</f>
        <v>0</v>
      </c>
      <c r="I215" s="84">
        <f>IF('Reeksen (N)'!D215&lt;'Reeksen (N)'!B215,('Reeksen (N)'!B215-'Reeksen (N)'!D215)*F215,0)</f>
        <v>0</v>
      </c>
      <c r="J215" s="84">
        <f ca="1">('Invoer gegevens (N)'!$F$20/12)*F214*MIN('Reeksen (N)'!B214,'Reeksen (N)'!D214)</f>
        <v>0</v>
      </c>
      <c r="K215" s="97">
        <f t="shared" ca="1" si="34"/>
        <v>0</v>
      </c>
      <c r="L215" s="84">
        <f ca="1">IF('Invoer gegevens (N)'!$C$17=E215,0,IF(C215=1,Q214,0))</f>
        <v>0</v>
      </c>
      <c r="M215" s="96">
        <f ca="1">IF(C215&gt;=1,L215*VLOOKUP(E215,'Reeksen (N)'!$A$5:$B$76,2),0)</f>
        <v>0</v>
      </c>
      <c r="N215" s="84">
        <f ca="1">(1-('Invoer gegevens (N)'!$F$20/12))*L215*MIN('Reeksen (N)'!B215,'Reeksen (N)'!D215)</f>
        <v>0</v>
      </c>
      <c r="O215" s="84">
        <f>IF('Reeksen (N)'!D215&lt;'Reeksen (N)'!B215,('Reeksen (N)'!B215-'Reeksen (N)'!D215)*L215,0)</f>
        <v>0</v>
      </c>
      <c r="P215" s="84">
        <f ca="1">('Invoer gegevens (N)'!$F$20/12)*L214*MIN('Reeksen (N)'!B214,'Reeksen (N)'!D214)</f>
        <v>0</v>
      </c>
      <c r="Q215" s="84">
        <f t="shared" ca="1" si="35"/>
        <v>0</v>
      </c>
      <c r="R215" s="82">
        <f ca="1">IF('Invoer gegevens (N)'!$C$17=E215,'Invoer gegevens (N)'!$C$11,IF(C215=1,W214,0))</f>
        <v>0</v>
      </c>
      <c r="S215" s="86">
        <f ca="1">IF(C215&gt;=1,R215*VLOOKUP(E215,'Reeksen (N)'!$A$5:$B$76,2),0)</f>
        <v>0</v>
      </c>
      <c r="T215" s="84">
        <f ca="1">(1-('Invoer gegevens (N)'!$F$20/12))*R215*MIN('Reeksen (N)'!B215,'Reeksen (N)'!D215)</f>
        <v>0</v>
      </c>
      <c r="U215" s="84">
        <f>IF('Reeksen (N)'!D215&gt;='Reeksen (N)'!B215,0,IF('Reeksen (N)'!AK215&lt;='Reeksen (N)'!AE215,('Reeksen (N)'!B215-'Reeksen (N)'!D215)*R215,0))</f>
        <v>0</v>
      </c>
      <c r="V215" s="86">
        <f>IF('Reeksen (N)'!D215&gt;='Reeksen (N)'!B215,0,IF('Reeksen (N)'!AK215&gt;'Reeksen (N)'!AE215,('Reeksen (N)'!B215-'Reeksen (N)'!D215)*R215,0))</f>
        <v>0</v>
      </c>
      <c r="W215" s="97">
        <f t="shared" ca="1" si="36"/>
        <v>0</v>
      </c>
      <c r="X215" s="98">
        <f ca="1">IF('Invoer gegevens (N)'!$C$17=E215,'Invoer gegevens (N)'!$C$10-'Invoer gegevens (N)'!$C$11,IF(C215=1,AC214,0))</f>
        <v>0</v>
      </c>
      <c r="Y215" s="98">
        <f ca="1">IF(C215&gt;=1,X215*VLOOKUP(E215,'Reeksen (N)'!$A$5:$B$76,2),0)</f>
        <v>0</v>
      </c>
      <c r="Z215" s="98">
        <f ca="1">(1-('Invoer gegevens (N)'!$F$20/12))*X215*MIN('Reeksen (N)'!B215,'Reeksen (N)'!D215)</f>
        <v>0</v>
      </c>
      <c r="AA215" s="98">
        <f>IF('Reeksen (N)'!D215&gt;='Reeksen (N)'!B215,0,IF('Reeksen (N)'!AK215&lt;='Reeksen (N)'!AE215,('Reeksen (N)'!B215-'Reeksen (N)'!D215)*X215,0))</f>
        <v>0</v>
      </c>
      <c r="AB215" s="98">
        <f>IF('Reeksen (N)'!D215&gt;='Reeksen (N)'!B215,0,IF('Reeksen (N)'!AK215&gt;'Reeksen (N)'!AE215,('Reeksen (N)'!B215-'Reeksen (N)'!D215)*X215,0))</f>
        <v>0</v>
      </c>
      <c r="AC215" s="99">
        <f t="shared" ca="1" si="37"/>
        <v>0</v>
      </c>
      <c r="AD215" s="98">
        <f ca="1">IF('Invoer gegevens (N)'!$C$17=E215,R215,IF(C215=0,0,AE214))</f>
        <v>0</v>
      </c>
      <c r="AE215" s="98">
        <f t="shared" ca="1" si="38"/>
        <v>0</v>
      </c>
      <c r="AF215" s="98">
        <f ca="1">IF('Invoer gegevens (N)'!$C$17=E215,X215,IF(C215=0,0,AG214))</f>
        <v>0</v>
      </c>
      <c r="AG215" s="98">
        <f t="shared" ca="1" si="39"/>
        <v>0</v>
      </c>
      <c r="AH215" s="68"/>
      <c r="AI215" s="71">
        <f ca="1">IF(C215=1,'Reeksen (N)'!AJ215*((F215-G215+F215)/2)*12+'Reeksen (N)'!AK215*((L215-M215+L215)/2)*12,0)</f>
        <v>0</v>
      </c>
      <c r="AJ215" s="71">
        <f ca="1">-AI215*'Invoer gegevens (N)'!$F$28</f>
        <v>0</v>
      </c>
      <c r="AK215" s="71">
        <f t="shared" ca="1" si="33"/>
        <v>0</v>
      </c>
      <c r="AL215" s="71">
        <f ca="1">IF(C215=1,'Reeksen (N)'!AL215*((F215-G215+F215)/2)*12+'Reeksen (N)'!AM215*((L215-M215+L215)/2)*12,0)</f>
        <v>0</v>
      </c>
      <c r="AM215" s="71">
        <f ca="1">-AL215*'Invoer gegevens (N)'!$F$31</f>
        <v>0</v>
      </c>
      <c r="AN215" s="71">
        <f t="shared" ca="1" si="40"/>
        <v>0</v>
      </c>
      <c r="AO215" s="71">
        <f ca="1">IF(C215=1,(H215+J215+N215+P215)*'Reeksen (N)'!AN215,0)</f>
        <v>0</v>
      </c>
      <c r="AP215" s="71">
        <f ca="1">-IF(C215=1,(H215+J215+N215+P215)*'Hulp - basis'!$O$550*'Reeksen (N)'!H215,0)</f>
        <v>0</v>
      </c>
      <c r="AQ215" s="71">
        <f ca="1">-IF(C215=1,(F215+K215+L215+Q215)/2*'Invoer gegevens (N)'!$I$33*'Reeksen (N)'!J215,0)*2</f>
        <v>0</v>
      </c>
      <c r="AR215" s="71">
        <f ca="1">-IF(C215=1,(I215*'Invoer gegevens (N)'!$I$34)*'Reeksen (N)'!J215,0)</f>
        <v>0</v>
      </c>
      <c r="AS215" s="71">
        <f ca="1">-IF(C215=1,(F215+K215+L215+Q215)/2*'Invoer gegevens (N)'!$I$35*'Reeksen (N)'!L215,0)</f>
        <v>0</v>
      </c>
      <c r="AT215" s="71">
        <f ca="1">-IF(C215=1,IF(E215='Invoer gegevens (N)'!$C$17,'Invoer gegevens (N)'!$C$11,AD215)*'Reeksen (N)'!S215*'Invoer gegevens (N)'!$C$18*'Reeksen (N)'!P215,0)</f>
        <v>0</v>
      </c>
      <c r="AU215" s="71">
        <f ca="1">-IF(C215=1,(F215+K215+L215+Q215)/2*'Invoer gegevens (N)'!$I$36*'Reeksen (N)'!H215,0)</f>
        <v>0</v>
      </c>
      <c r="AV215" s="71">
        <v>0</v>
      </c>
      <c r="AW215" s="71">
        <f t="shared" ca="1" si="41"/>
        <v>0</v>
      </c>
      <c r="AX215" s="71">
        <f ca="1">IF(E215&lt;'Invoer gegevens (N)'!$C$17+15,0,IF(E215&gt;'Invoer gegevens (N)'!$C$17+215,0,AW215))</f>
        <v>0</v>
      </c>
      <c r="AY215" s="71">
        <f ca="1">AX215/(1+'Invoer gegevens (N)'!$F$18)^($AZ215-('Invoer gegevens (N)'!$C$17-'Invoer gegevens (N)'!$C$16))/(1+'Invoer gegevens (N)'!$C$39)^('Invoer gegevens (N)'!$C$17-'Invoer gegevens (N)'!$C$16)</f>
        <v>0</v>
      </c>
      <c r="AZ215" s="68">
        <f ca="1">IF(E215-'Invoer gegevens (N)'!$C$17-14.5&lt;0,0,E215-'Invoer gegevens (N)'!$C$17-14.5)</f>
        <v>195.5</v>
      </c>
    </row>
    <row r="216" spans="2:52" x14ac:dyDescent="0.25">
      <c r="B216" s="70">
        <f t="shared" si="42"/>
        <v>212</v>
      </c>
      <c r="C216" s="67">
        <f ca="1">IF(E216-'Invoer gegevens (N)'!$C$17&lt;0,0,1)</f>
        <v>1</v>
      </c>
      <c r="D216" s="68">
        <f t="shared" si="43"/>
        <v>211.5</v>
      </c>
      <c r="E216" s="108">
        <f ca="1">IF('Invoer gegevens (N)'!$C$16="","",E215+1)</f>
        <v>2230</v>
      </c>
      <c r="F216" s="84">
        <f ca="1">IF('Invoer gegevens (N)'!$C$17=E216,'Invoer gegevens (N)'!$C$10,IF(C216=1,K215,0))</f>
        <v>0</v>
      </c>
      <c r="G216" s="96">
        <f ca="1">IF(C216&gt;=1,F216*VLOOKUP(E216,'Reeksen (N)'!$A$5:$B$76,2),0)</f>
        <v>0</v>
      </c>
      <c r="H216" s="84">
        <f ca="1">(1-('Invoer gegevens (N)'!$F$20/12))*F216*MIN('Reeksen (N)'!B216,'Reeksen (N)'!D216)</f>
        <v>0</v>
      </c>
      <c r="I216" s="84">
        <f>IF('Reeksen (N)'!D216&lt;'Reeksen (N)'!B216,('Reeksen (N)'!B216-'Reeksen (N)'!D216)*F216,0)</f>
        <v>0</v>
      </c>
      <c r="J216" s="84">
        <f ca="1">('Invoer gegevens (N)'!$F$20/12)*F215*MIN('Reeksen (N)'!B215,'Reeksen (N)'!D215)</f>
        <v>0</v>
      </c>
      <c r="K216" s="97">
        <f t="shared" ca="1" si="34"/>
        <v>0</v>
      </c>
      <c r="L216" s="84">
        <f ca="1">IF('Invoer gegevens (N)'!$C$17=E216,0,IF(C216=1,Q215,0))</f>
        <v>0</v>
      </c>
      <c r="M216" s="96">
        <f ca="1">IF(C216&gt;=1,L216*VLOOKUP(E216,'Reeksen (N)'!$A$5:$B$76,2),0)</f>
        <v>0</v>
      </c>
      <c r="N216" s="84">
        <f ca="1">(1-('Invoer gegevens (N)'!$F$20/12))*L216*MIN('Reeksen (N)'!B216,'Reeksen (N)'!D216)</f>
        <v>0</v>
      </c>
      <c r="O216" s="84">
        <f>IF('Reeksen (N)'!D216&lt;'Reeksen (N)'!B216,('Reeksen (N)'!B216-'Reeksen (N)'!D216)*L216,0)</f>
        <v>0</v>
      </c>
      <c r="P216" s="84">
        <f ca="1">('Invoer gegevens (N)'!$F$20/12)*L215*MIN('Reeksen (N)'!B215,'Reeksen (N)'!D215)</f>
        <v>0</v>
      </c>
      <c r="Q216" s="84">
        <f t="shared" ca="1" si="35"/>
        <v>0</v>
      </c>
      <c r="R216" s="82">
        <f ca="1">IF('Invoer gegevens (N)'!$C$17=E216,'Invoer gegevens (N)'!$C$11,IF(C216=1,W215,0))</f>
        <v>0</v>
      </c>
      <c r="S216" s="86">
        <f ca="1">IF(C216&gt;=1,R216*VLOOKUP(E216,'Reeksen (N)'!$A$5:$B$76,2),0)</f>
        <v>0</v>
      </c>
      <c r="T216" s="84">
        <f ca="1">(1-('Invoer gegevens (N)'!$F$20/12))*R216*MIN('Reeksen (N)'!B216,'Reeksen (N)'!D216)</f>
        <v>0</v>
      </c>
      <c r="U216" s="84">
        <f>IF('Reeksen (N)'!D216&gt;='Reeksen (N)'!B216,0,IF('Reeksen (N)'!AK216&lt;='Reeksen (N)'!AE216,('Reeksen (N)'!B216-'Reeksen (N)'!D216)*R216,0))</f>
        <v>0</v>
      </c>
      <c r="V216" s="86">
        <f>IF('Reeksen (N)'!D216&gt;='Reeksen (N)'!B216,0,IF('Reeksen (N)'!AK216&gt;'Reeksen (N)'!AE216,('Reeksen (N)'!B216-'Reeksen (N)'!D216)*R216,0))</f>
        <v>0</v>
      </c>
      <c r="W216" s="97">
        <f t="shared" ca="1" si="36"/>
        <v>0</v>
      </c>
      <c r="X216" s="98">
        <f ca="1">IF('Invoer gegevens (N)'!$C$17=E216,'Invoer gegevens (N)'!$C$10-'Invoer gegevens (N)'!$C$11,IF(C216=1,AC215,0))</f>
        <v>0</v>
      </c>
      <c r="Y216" s="98">
        <f ca="1">IF(C216&gt;=1,X216*VLOOKUP(E216,'Reeksen (N)'!$A$5:$B$76,2),0)</f>
        <v>0</v>
      </c>
      <c r="Z216" s="98">
        <f ca="1">(1-('Invoer gegevens (N)'!$F$20/12))*X216*MIN('Reeksen (N)'!B216,'Reeksen (N)'!D216)</f>
        <v>0</v>
      </c>
      <c r="AA216" s="98">
        <f>IF('Reeksen (N)'!D216&gt;='Reeksen (N)'!B216,0,IF('Reeksen (N)'!AK216&lt;='Reeksen (N)'!AE216,('Reeksen (N)'!B216-'Reeksen (N)'!D216)*X216,0))</f>
        <v>0</v>
      </c>
      <c r="AB216" s="98">
        <f>IF('Reeksen (N)'!D216&gt;='Reeksen (N)'!B216,0,IF('Reeksen (N)'!AK216&gt;'Reeksen (N)'!AE216,('Reeksen (N)'!B216-'Reeksen (N)'!D216)*X216,0))</f>
        <v>0</v>
      </c>
      <c r="AC216" s="99">
        <f t="shared" ca="1" si="37"/>
        <v>0</v>
      </c>
      <c r="AD216" s="98">
        <f ca="1">IF('Invoer gegevens (N)'!$C$17=E216,R216,IF(C216=0,0,AE215))</f>
        <v>0</v>
      </c>
      <c r="AE216" s="98">
        <f t="shared" ca="1" si="38"/>
        <v>0</v>
      </c>
      <c r="AF216" s="98">
        <f ca="1">IF('Invoer gegevens (N)'!$C$17=E216,X216,IF(C216=0,0,AG215))</f>
        <v>0</v>
      </c>
      <c r="AG216" s="98">
        <f t="shared" ca="1" si="39"/>
        <v>0</v>
      </c>
      <c r="AH216" s="68"/>
      <c r="AI216" s="71">
        <f ca="1">IF(C216=1,'Reeksen (N)'!AJ216*((F216-G216+F216)/2)*12+'Reeksen (N)'!AK216*((L216-M216+L216)/2)*12,0)</f>
        <v>0</v>
      </c>
      <c r="AJ216" s="71">
        <f ca="1">-AI216*'Invoer gegevens (N)'!$F$28</f>
        <v>0</v>
      </c>
      <c r="AK216" s="71">
        <f t="shared" ca="1" si="33"/>
        <v>0</v>
      </c>
      <c r="AL216" s="71">
        <f ca="1">IF(C216=1,'Reeksen (N)'!AL216*((F216-G216+F216)/2)*12+'Reeksen (N)'!AM216*((L216-M216+L216)/2)*12,0)</f>
        <v>0</v>
      </c>
      <c r="AM216" s="71">
        <f ca="1">-AL216*'Invoer gegevens (N)'!$F$31</f>
        <v>0</v>
      </c>
      <c r="AN216" s="71">
        <f t="shared" ca="1" si="40"/>
        <v>0</v>
      </c>
      <c r="AO216" s="71">
        <f ca="1">IF(C216=1,(H216+J216+N216+P216)*'Reeksen (N)'!AN216,0)</f>
        <v>0</v>
      </c>
      <c r="AP216" s="71">
        <f ca="1">-IF(C216=1,(H216+J216+N216+P216)*'Hulp - basis'!$O$550*'Reeksen (N)'!H216,0)</f>
        <v>0</v>
      </c>
      <c r="AQ216" s="71">
        <f ca="1">-IF(C216=1,(F216+K216+L216+Q216)/2*'Invoer gegevens (N)'!$I$33*'Reeksen (N)'!J216,0)*2</f>
        <v>0</v>
      </c>
      <c r="AR216" s="71">
        <f ca="1">-IF(C216=1,(I216*'Invoer gegevens (N)'!$I$34)*'Reeksen (N)'!J216,0)</f>
        <v>0</v>
      </c>
      <c r="AS216" s="71">
        <f ca="1">-IF(C216=1,(F216+K216+L216+Q216)/2*'Invoer gegevens (N)'!$I$35*'Reeksen (N)'!L216,0)</f>
        <v>0</v>
      </c>
      <c r="AT216" s="71">
        <f ca="1">-IF(C216=1,IF(E216='Invoer gegevens (N)'!$C$17,'Invoer gegevens (N)'!$C$11,AD216)*'Reeksen (N)'!S216*'Invoer gegevens (N)'!$C$18*'Reeksen (N)'!P216,0)</f>
        <v>0</v>
      </c>
      <c r="AU216" s="71">
        <f ca="1">-IF(C216=1,(F216+K216+L216+Q216)/2*'Invoer gegevens (N)'!$I$36*'Reeksen (N)'!H216,0)</f>
        <v>0</v>
      </c>
      <c r="AV216" s="71">
        <v>0</v>
      </c>
      <c r="AW216" s="71">
        <f t="shared" ca="1" si="41"/>
        <v>0</v>
      </c>
      <c r="AX216" s="71">
        <f ca="1">IF(E216&lt;'Invoer gegevens (N)'!$C$17+15,0,IF(E216&gt;'Invoer gegevens (N)'!$C$17+215,0,AW216))</f>
        <v>0</v>
      </c>
      <c r="AY216" s="71">
        <f ca="1">AX216/(1+'Invoer gegevens (N)'!$F$18)^($AZ216-('Invoer gegevens (N)'!$C$17-'Invoer gegevens (N)'!$C$16))/(1+'Invoer gegevens (N)'!$C$39)^('Invoer gegevens (N)'!$C$17-'Invoer gegevens (N)'!$C$16)</f>
        <v>0</v>
      </c>
      <c r="AZ216" s="68">
        <f ca="1">IF(E216-'Invoer gegevens (N)'!$C$17-14.5&lt;0,0,E216-'Invoer gegevens (N)'!$C$17-14.5)</f>
        <v>196.5</v>
      </c>
    </row>
    <row r="217" spans="2:52" x14ac:dyDescent="0.25">
      <c r="B217" s="70">
        <f t="shared" si="42"/>
        <v>213</v>
      </c>
      <c r="C217" s="67">
        <f ca="1">IF(E217-'Invoer gegevens (N)'!$C$17&lt;0,0,1)</f>
        <v>1</v>
      </c>
      <c r="D217" s="68">
        <f t="shared" si="43"/>
        <v>212.5</v>
      </c>
      <c r="E217" s="108">
        <f ca="1">IF('Invoer gegevens (N)'!$C$16="","",E216+1)</f>
        <v>2231</v>
      </c>
      <c r="F217" s="84">
        <f ca="1">IF('Invoer gegevens (N)'!$C$17=E217,'Invoer gegevens (N)'!$C$10,IF(C217=1,K216,0))</f>
        <v>0</v>
      </c>
      <c r="G217" s="96">
        <f ca="1">IF(C217&gt;=1,F217*VLOOKUP(E217,'Reeksen (N)'!$A$5:$B$76,2),0)</f>
        <v>0</v>
      </c>
      <c r="H217" s="84">
        <f ca="1">(1-('Invoer gegevens (N)'!$F$20/12))*F217*MIN('Reeksen (N)'!B217,'Reeksen (N)'!D217)</f>
        <v>0</v>
      </c>
      <c r="I217" s="84">
        <f>IF('Reeksen (N)'!D217&lt;'Reeksen (N)'!B217,('Reeksen (N)'!B217-'Reeksen (N)'!D217)*F217,0)</f>
        <v>0</v>
      </c>
      <c r="J217" s="84">
        <f ca="1">('Invoer gegevens (N)'!$F$20/12)*F216*MIN('Reeksen (N)'!B216,'Reeksen (N)'!D216)</f>
        <v>0</v>
      </c>
      <c r="K217" s="97">
        <f t="shared" ca="1" si="34"/>
        <v>0</v>
      </c>
      <c r="L217" s="84">
        <f ca="1">IF('Invoer gegevens (N)'!$C$17=E217,0,IF(C217=1,Q216,0))</f>
        <v>0</v>
      </c>
      <c r="M217" s="96">
        <f ca="1">IF(C217&gt;=1,L217*VLOOKUP(E217,'Reeksen (N)'!$A$5:$B$76,2),0)</f>
        <v>0</v>
      </c>
      <c r="N217" s="84">
        <f ca="1">(1-('Invoer gegevens (N)'!$F$20/12))*L217*MIN('Reeksen (N)'!B217,'Reeksen (N)'!D217)</f>
        <v>0</v>
      </c>
      <c r="O217" s="84">
        <f>IF('Reeksen (N)'!D217&lt;'Reeksen (N)'!B217,('Reeksen (N)'!B217-'Reeksen (N)'!D217)*L217,0)</f>
        <v>0</v>
      </c>
      <c r="P217" s="84">
        <f ca="1">('Invoer gegevens (N)'!$F$20/12)*L216*MIN('Reeksen (N)'!B216,'Reeksen (N)'!D216)</f>
        <v>0</v>
      </c>
      <c r="Q217" s="84">
        <f t="shared" ca="1" si="35"/>
        <v>0</v>
      </c>
      <c r="R217" s="82">
        <f ca="1">IF('Invoer gegevens (N)'!$C$17=E217,'Invoer gegevens (N)'!$C$11,IF(C217=1,W216,0))</f>
        <v>0</v>
      </c>
      <c r="S217" s="86">
        <f ca="1">IF(C217&gt;=1,R217*VLOOKUP(E217,'Reeksen (N)'!$A$5:$B$76,2),0)</f>
        <v>0</v>
      </c>
      <c r="T217" s="84">
        <f ca="1">(1-('Invoer gegevens (N)'!$F$20/12))*R217*MIN('Reeksen (N)'!B217,'Reeksen (N)'!D217)</f>
        <v>0</v>
      </c>
      <c r="U217" s="84">
        <f>IF('Reeksen (N)'!D217&gt;='Reeksen (N)'!B217,0,IF('Reeksen (N)'!AK217&lt;='Reeksen (N)'!AE217,('Reeksen (N)'!B217-'Reeksen (N)'!D217)*R217,0))</f>
        <v>0</v>
      </c>
      <c r="V217" s="86">
        <f>IF('Reeksen (N)'!D217&gt;='Reeksen (N)'!B217,0,IF('Reeksen (N)'!AK217&gt;'Reeksen (N)'!AE217,('Reeksen (N)'!B217-'Reeksen (N)'!D217)*R217,0))</f>
        <v>0</v>
      </c>
      <c r="W217" s="97">
        <f t="shared" ca="1" si="36"/>
        <v>0</v>
      </c>
      <c r="X217" s="98">
        <f ca="1">IF('Invoer gegevens (N)'!$C$17=E217,'Invoer gegevens (N)'!$C$10-'Invoer gegevens (N)'!$C$11,IF(C217=1,AC216,0))</f>
        <v>0</v>
      </c>
      <c r="Y217" s="98">
        <f ca="1">IF(C217&gt;=1,X217*VLOOKUP(E217,'Reeksen (N)'!$A$5:$B$76,2),0)</f>
        <v>0</v>
      </c>
      <c r="Z217" s="98">
        <f ca="1">(1-('Invoer gegevens (N)'!$F$20/12))*X217*MIN('Reeksen (N)'!B217,'Reeksen (N)'!D217)</f>
        <v>0</v>
      </c>
      <c r="AA217" s="98">
        <f>IF('Reeksen (N)'!D217&gt;='Reeksen (N)'!B217,0,IF('Reeksen (N)'!AK217&lt;='Reeksen (N)'!AE217,('Reeksen (N)'!B217-'Reeksen (N)'!D217)*X217,0))</f>
        <v>0</v>
      </c>
      <c r="AB217" s="98">
        <f>IF('Reeksen (N)'!D217&gt;='Reeksen (N)'!B217,0,IF('Reeksen (N)'!AK217&gt;'Reeksen (N)'!AE217,('Reeksen (N)'!B217-'Reeksen (N)'!D217)*X217,0))</f>
        <v>0</v>
      </c>
      <c r="AC217" s="99">
        <f t="shared" ca="1" si="37"/>
        <v>0</v>
      </c>
      <c r="AD217" s="98">
        <f ca="1">IF('Invoer gegevens (N)'!$C$17=E217,R217,IF(C217=0,0,AE216))</f>
        <v>0</v>
      </c>
      <c r="AE217" s="98">
        <f t="shared" ca="1" si="38"/>
        <v>0</v>
      </c>
      <c r="AF217" s="98">
        <f ca="1">IF('Invoer gegevens (N)'!$C$17=E217,X217,IF(C217=0,0,AG216))</f>
        <v>0</v>
      </c>
      <c r="AG217" s="98">
        <f t="shared" ca="1" si="39"/>
        <v>0</v>
      </c>
      <c r="AH217" s="68"/>
      <c r="AI217" s="71">
        <f ca="1">IF(C217=1,'Reeksen (N)'!AJ217*((F217-G217+F217)/2)*12+'Reeksen (N)'!AK217*((L217-M217+L217)/2)*12,0)</f>
        <v>0</v>
      </c>
      <c r="AJ217" s="71">
        <f ca="1">-AI217*'Invoer gegevens (N)'!$F$28</f>
        <v>0</v>
      </c>
      <c r="AK217" s="71">
        <f t="shared" ca="1" si="33"/>
        <v>0</v>
      </c>
      <c r="AL217" s="71">
        <f ca="1">IF(C217=1,'Reeksen (N)'!AL217*((F217-G217+F217)/2)*12+'Reeksen (N)'!AM217*((L217-M217+L217)/2)*12,0)</f>
        <v>0</v>
      </c>
      <c r="AM217" s="71">
        <f ca="1">-AL217*'Invoer gegevens (N)'!$F$31</f>
        <v>0</v>
      </c>
      <c r="AN217" s="71">
        <f t="shared" ca="1" si="40"/>
        <v>0</v>
      </c>
      <c r="AO217" s="71">
        <f ca="1">IF(C217=1,(H217+J217+N217+P217)*'Reeksen (N)'!AN217,0)</f>
        <v>0</v>
      </c>
      <c r="AP217" s="71">
        <f ca="1">-IF(C217=1,(H217+J217+N217+P217)*'Hulp - basis'!$O$550*'Reeksen (N)'!H217,0)</f>
        <v>0</v>
      </c>
      <c r="AQ217" s="71">
        <f ca="1">-IF(C217=1,(F217+K217+L217+Q217)/2*'Invoer gegevens (N)'!$I$33*'Reeksen (N)'!J217,0)*2</f>
        <v>0</v>
      </c>
      <c r="AR217" s="71">
        <f ca="1">-IF(C217=1,(I217*'Invoer gegevens (N)'!$I$34)*'Reeksen (N)'!J217,0)</f>
        <v>0</v>
      </c>
      <c r="AS217" s="71">
        <f ca="1">-IF(C217=1,(F217+K217+L217+Q217)/2*'Invoer gegevens (N)'!$I$35*'Reeksen (N)'!L217,0)</f>
        <v>0</v>
      </c>
      <c r="AT217" s="71">
        <f ca="1">-IF(C217=1,IF(E217='Invoer gegevens (N)'!$C$17,'Invoer gegevens (N)'!$C$11,AD217)*'Reeksen (N)'!S217*'Invoer gegevens (N)'!$C$18*'Reeksen (N)'!P217,0)</f>
        <v>0</v>
      </c>
      <c r="AU217" s="71">
        <f ca="1">-IF(C217=1,(F217+K217+L217+Q217)/2*'Invoer gegevens (N)'!$I$36*'Reeksen (N)'!H217,0)</f>
        <v>0</v>
      </c>
      <c r="AV217" s="71">
        <v>0</v>
      </c>
      <c r="AW217" s="71">
        <f t="shared" ca="1" si="41"/>
        <v>0</v>
      </c>
      <c r="AX217" s="71">
        <f ca="1">IF(E217&lt;'Invoer gegevens (N)'!$C$17+15,0,IF(E217&gt;'Invoer gegevens (N)'!$C$17+215,0,AW217))</f>
        <v>0</v>
      </c>
      <c r="AY217" s="71">
        <f ca="1">AX217/(1+'Invoer gegevens (N)'!$F$18)^($AZ217-('Invoer gegevens (N)'!$C$17-'Invoer gegevens (N)'!$C$16))/(1+'Invoer gegevens (N)'!$C$39)^('Invoer gegevens (N)'!$C$17-'Invoer gegevens (N)'!$C$16)</f>
        <v>0</v>
      </c>
      <c r="AZ217" s="68">
        <f ca="1">IF(E217-'Invoer gegevens (N)'!$C$17-14.5&lt;0,0,E217-'Invoer gegevens (N)'!$C$17-14.5)</f>
        <v>197.5</v>
      </c>
    </row>
    <row r="218" spans="2:52" x14ac:dyDescent="0.25">
      <c r="B218" s="70">
        <f t="shared" si="42"/>
        <v>214</v>
      </c>
      <c r="C218" s="67">
        <f ca="1">IF(E218-'Invoer gegevens (N)'!$C$17&lt;0,0,1)</f>
        <v>1</v>
      </c>
      <c r="D218" s="68">
        <f t="shared" si="43"/>
        <v>213.5</v>
      </c>
      <c r="E218" s="108">
        <f ca="1">IF('Invoer gegevens (N)'!$C$16="","",E217+1)</f>
        <v>2232</v>
      </c>
      <c r="F218" s="84">
        <f ca="1">IF('Invoer gegevens (N)'!$C$17=E218,'Invoer gegevens (N)'!$C$10,IF(C218=1,K217,0))</f>
        <v>0</v>
      </c>
      <c r="G218" s="96">
        <f ca="1">IF(C218&gt;=1,F218*VLOOKUP(E218,'Reeksen (N)'!$A$5:$B$76,2),0)</f>
        <v>0</v>
      </c>
      <c r="H218" s="84">
        <f ca="1">(1-('Invoer gegevens (N)'!$F$20/12))*F218*MIN('Reeksen (N)'!B218,'Reeksen (N)'!D218)</f>
        <v>0</v>
      </c>
      <c r="I218" s="84">
        <f>IF('Reeksen (N)'!D218&lt;'Reeksen (N)'!B218,('Reeksen (N)'!B218-'Reeksen (N)'!D218)*F218,0)</f>
        <v>0</v>
      </c>
      <c r="J218" s="84">
        <f ca="1">('Invoer gegevens (N)'!$F$20/12)*F217*MIN('Reeksen (N)'!B217,'Reeksen (N)'!D217)</f>
        <v>0</v>
      </c>
      <c r="K218" s="97">
        <f t="shared" ca="1" si="34"/>
        <v>0</v>
      </c>
      <c r="L218" s="84">
        <f ca="1">IF('Invoer gegevens (N)'!$C$17=E218,0,IF(C218=1,Q217,0))</f>
        <v>0</v>
      </c>
      <c r="M218" s="96">
        <f ca="1">IF(C218&gt;=1,L218*VLOOKUP(E218,'Reeksen (N)'!$A$5:$B$76,2),0)</f>
        <v>0</v>
      </c>
      <c r="N218" s="84">
        <f ca="1">(1-('Invoer gegevens (N)'!$F$20/12))*L218*MIN('Reeksen (N)'!B218,'Reeksen (N)'!D218)</f>
        <v>0</v>
      </c>
      <c r="O218" s="84">
        <f>IF('Reeksen (N)'!D218&lt;'Reeksen (N)'!B218,('Reeksen (N)'!B218-'Reeksen (N)'!D218)*L218,0)</f>
        <v>0</v>
      </c>
      <c r="P218" s="84">
        <f ca="1">('Invoer gegevens (N)'!$F$20/12)*L217*MIN('Reeksen (N)'!B217,'Reeksen (N)'!D217)</f>
        <v>0</v>
      </c>
      <c r="Q218" s="84">
        <f t="shared" ca="1" si="35"/>
        <v>0</v>
      </c>
      <c r="R218" s="82">
        <f ca="1">IF('Invoer gegevens (N)'!$C$17=E218,'Invoer gegevens (N)'!$C$11,IF(C218=1,W217,0))</f>
        <v>0</v>
      </c>
      <c r="S218" s="86">
        <f ca="1">IF(C218&gt;=1,R218*VLOOKUP(E218,'Reeksen (N)'!$A$5:$B$76,2),0)</f>
        <v>0</v>
      </c>
      <c r="T218" s="84">
        <f ca="1">(1-('Invoer gegevens (N)'!$F$20/12))*R218*MIN('Reeksen (N)'!B218,'Reeksen (N)'!D218)</f>
        <v>0</v>
      </c>
      <c r="U218" s="84">
        <f>IF('Reeksen (N)'!D218&gt;='Reeksen (N)'!B218,0,IF('Reeksen (N)'!AK218&lt;='Reeksen (N)'!AE218,('Reeksen (N)'!B218-'Reeksen (N)'!D218)*R218,0))</f>
        <v>0</v>
      </c>
      <c r="V218" s="86">
        <f>IF('Reeksen (N)'!D218&gt;='Reeksen (N)'!B218,0,IF('Reeksen (N)'!AK218&gt;'Reeksen (N)'!AE218,('Reeksen (N)'!B218-'Reeksen (N)'!D218)*R218,0))</f>
        <v>0</v>
      </c>
      <c r="W218" s="97">
        <f t="shared" ca="1" si="36"/>
        <v>0</v>
      </c>
      <c r="X218" s="98">
        <f ca="1">IF('Invoer gegevens (N)'!$C$17=E218,'Invoer gegevens (N)'!$C$10-'Invoer gegevens (N)'!$C$11,IF(C218=1,AC217,0))</f>
        <v>0</v>
      </c>
      <c r="Y218" s="98">
        <f ca="1">IF(C218&gt;=1,X218*VLOOKUP(E218,'Reeksen (N)'!$A$5:$B$76,2),0)</f>
        <v>0</v>
      </c>
      <c r="Z218" s="98">
        <f ca="1">(1-('Invoer gegevens (N)'!$F$20/12))*X218*MIN('Reeksen (N)'!B218,'Reeksen (N)'!D218)</f>
        <v>0</v>
      </c>
      <c r="AA218" s="98">
        <f>IF('Reeksen (N)'!D218&gt;='Reeksen (N)'!B218,0,IF('Reeksen (N)'!AK218&lt;='Reeksen (N)'!AE218,('Reeksen (N)'!B218-'Reeksen (N)'!D218)*X218,0))</f>
        <v>0</v>
      </c>
      <c r="AB218" s="98">
        <f>IF('Reeksen (N)'!D218&gt;='Reeksen (N)'!B218,0,IF('Reeksen (N)'!AK218&gt;'Reeksen (N)'!AE218,('Reeksen (N)'!B218-'Reeksen (N)'!D218)*X218,0))</f>
        <v>0</v>
      </c>
      <c r="AC218" s="99">
        <f t="shared" ca="1" si="37"/>
        <v>0</v>
      </c>
      <c r="AD218" s="98">
        <f ca="1">IF('Invoer gegevens (N)'!$C$17=E218,R218,IF(C218=0,0,AE217))</f>
        <v>0</v>
      </c>
      <c r="AE218" s="98">
        <f t="shared" ca="1" si="38"/>
        <v>0</v>
      </c>
      <c r="AF218" s="98">
        <f ca="1">IF('Invoer gegevens (N)'!$C$17=E218,X218,IF(C218=0,0,AG217))</f>
        <v>0</v>
      </c>
      <c r="AG218" s="98">
        <f t="shared" ca="1" si="39"/>
        <v>0</v>
      </c>
      <c r="AH218" s="68"/>
      <c r="AI218" s="71">
        <f ca="1">IF(C218=1,'Reeksen (N)'!AJ218*((F218-G218+F218)/2)*12+'Reeksen (N)'!AK218*((L218-M218+L218)/2)*12,0)</f>
        <v>0</v>
      </c>
      <c r="AJ218" s="71">
        <f ca="1">-AI218*'Invoer gegevens (N)'!$F$28</f>
        <v>0</v>
      </c>
      <c r="AK218" s="71">
        <f t="shared" ca="1" si="33"/>
        <v>0</v>
      </c>
      <c r="AL218" s="71">
        <f ca="1">IF(C218=1,'Reeksen (N)'!AL218*((F218-G218+F218)/2)*12+'Reeksen (N)'!AM218*((L218-M218+L218)/2)*12,0)</f>
        <v>0</v>
      </c>
      <c r="AM218" s="71">
        <f ca="1">-AL218*'Invoer gegevens (N)'!$F$31</f>
        <v>0</v>
      </c>
      <c r="AN218" s="71">
        <f t="shared" ca="1" si="40"/>
        <v>0</v>
      </c>
      <c r="AO218" s="71">
        <f ca="1">IF(C218=1,(H218+J218+N218+P218)*'Reeksen (N)'!AN218,0)</f>
        <v>0</v>
      </c>
      <c r="AP218" s="71">
        <f ca="1">-IF(C218=1,(H218+J218+N218+P218)*'Hulp - basis'!$O$550*'Reeksen (N)'!H218,0)</f>
        <v>0</v>
      </c>
      <c r="AQ218" s="71">
        <f ca="1">-IF(C218=1,(F218+K218+L218+Q218)/2*'Invoer gegevens (N)'!$I$33*'Reeksen (N)'!J218,0)*2</f>
        <v>0</v>
      </c>
      <c r="AR218" s="71">
        <f ca="1">-IF(C218=1,(I218*'Invoer gegevens (N)'!$I$34)*'Reeksen (N)'!J218,0)</f>
        <v>0</v>
      </c>
      <c r="AS218" s="71">
        <f ca="1">-IF(C218=1,(F218+K218+L218+Q218)/2*'Invoer gegevens (N)'!$I$35*'Reeksen (N)'!L218,0)</f>
        <v>0</v>
      </c>
      <c r="AT218" s="71">
        <f ca="1">-IF(C218=1,IF(E218='Invoer gegevens (N)'!$C$17,'Invoer gegevens (N)'!$C$11,AD218)*'Reeksen (N)'!S218*'Invoer gegevens (N)'!$C$18*'Reeksen (N)'!P218,0)</f>
        <v>0</v>
      </c>
      <c r="AU218" s="71">
        <f ca="1">-IF(C218=1,(F218+K218+L218+Q218)/2*'Invoer gegevens (N)'!$I$36*'Reeksen (N)'!H218,0)</f>
        <v>0</v>
      </c>
      <c r="AV218" s="71">
        <v>0</v>
      </c>
      <c r="AW218" s="71">
        <f t="shared" ca="1" si="41"/>
        <v>0</v>
      </c>
      <c r="AX218" s="71">
        <f ca="1">IF(E218&lt;'Invoer gegevens (N)'!$C$17+15,0,IF(E218&gt;'Invoer gegevens (N)'!$C$17+215,0,AW218))</f>
        <v>0</v>
      </c>
      <c r="AY218" s="71">
        <f ca="1">AX218/(1+'Invoer gegevens (N)'!$F$18)^($AZ218-('Invoer gegevens (N)'!$C$17-'Invoer gegevens (N)'!$C$16))/(1+'Invoer gegevens (N)'!$C$39)^('Invoer gegevens (N)'!$C$17-'Invoer gegevens (N)'!$C$16)</f>
        <v>0</v>
      </c>
      <c r="AZ218" s="68">
        <f ca="1">IF(E218-'Invoer gegevens (N)'!$C$17-14.5&lt;0,0,E218-'Invoer gegevens (N)'!$C$17-14.5)</f>
        <v>198.5</v>
      </c>
    </row>
    <row r="219" spans="2:52" x14ac:dyDescent="0.25">
      <c r="B219" s="70">
        <f t="shared" si="42"/>
        <v>215</v>
      </c>
      <c r="C219" s="67">
        <f ca="1">IF(E219-'Invoer gegevens (N)'!$C$17&lt;0,0,1)</f>
        <v>1</v>
      </c>
      <c r="D219" s="68">
        <f t="shared" si="43"/>
        <v>214.5</v>
      </c>
      <c r="E219" s="108">
        <f ca="1">IF('Invoer gegevens (N)'!$C$16="","",E218+1)</f>
        <v>2233</v>
      </c>
      <c r="F219" s="84">
        <f ca="1">IF('Invoer gegevens (N)'!$C$17=E219,'Invoer gegevens (N)'!$C$10,IF(C219=1,K218,0))</f>
        <v>0</v>
      </c>
      <c r="G219" s="96">
        <f ca="1">IF(C219&gt;=1,F219*VLOOKUP(E219,'Reeksen (N)'!$A$5:$B$76,2),0)</f>
        <v>0</v>
      </c>
      <c r="H219" s="84">
        <f ca="1">(1-('Invoer gegevens (N)'!$F$20/12))*F219*MIN('Reeksen (N)'!B219,'Reeksen (N)'!D219)</f>
        <v>0</v>
      </c>
      <c r="I219" s="84">
        <f>IF('Reeksen (N)'!D219&lt;'Reeksen (N)'!B219,('Reeksen (N)'!B219-'Reeksen (N)'!D219)*F219,0)</f>
        <v>0</v>
      </c>
      <c r="J219" s="84">
        <f ca="1">('Invoer gegevens (N)'!$F$20/12)*F218*MIN('Reeksen (N)'!B218,'Reeksen (N)'!D218)</f>
        <v>0</v>
      </c>
      <c r="K219" s="97">
        <f t="shared" ca="1" si="34"/>
        <v>0</v>
      </c>
      <c r="L219" s="84">
        <f ca="1">IF('Invoer gegevens (N)'!$C$17=E219,0,IF(C219=1,Q218,0))</f>
        <v>0</v>
      </c>
      <c r="M219" s="96">
        <f ca="1">IF(C219&gt;=1,L219*VLOOKUP(E219,'Reeksen (N)'!$A$5:$B$76,2),0)</f>
        <v>0</v>
      </c>
      <c r="N219" s="84">
        <f ca="1">(1-('Invoer gegevens (N)'!$F$20/12))*L219*MIN('Reeksen (N)'!B219,'Reeksen (N)'!D219)</f>
        <v>0</v>
      </c>
      <c r="O219" s="84">
        <f>IF('Reeksen (N)'!D219&lt;'Reeksen (N)'!B219,('Reeksen (N)'!B219-'Reeksen (N)'!D219)*L219,0)</f>
        <v>0</v>
      </c>
      <c r="P219" s="84">
        <f ca="1">('Invoer gegevens (N)'!$F$20/12)*L218*MIN('Reeksen (N)'!B218,'Reeksen (N)'!D218)</f>
        <v>0</v>
      </c>
      <c r="Q219" s="84">
        <f t="shared" ca="1" si="35"/>
        <v>0</v>
      </c>
      <c r="R219" s="82">
        <f ca="1">IF('Invoer gegevens (N)'!$C$17=E219,'Invoer gegevens (N)'!$C$11,IF(C219=1,W218,0))</f>
        <v>0</v>
      </c>
      <c r="S219" s="86">
        <f ca="1">IF(C219&gt;=1,R219*VLOOKUP(E219,'Reeksen (N)'!$A$5:$B$76,2),0)</f>
        <v>0</v>
      </c>
      <c r="T219" s="84">
        <f ca="1">(1-('Invoer gegevens (N)'!$F$20/12))*R219*MIN('Reeksen (N)'!B219,'Reeksen (N)'!D219)</f>
        <v>0</v>
      </c>
      <c r="U219" s="84">
        <f>IF('Reeksen (N)'!D219&gt;='Reeksen (N)'!B219,0,IF('Reeksen (N)'!AK219&lt;='Reeksen (N)'!AE219,('Reeksen (N)'!B219-'Reeksen (N)'!D219)*R219,0))</f>
        <v>0</v>
      </c>
      <c r="V219" s="86">
        <f>IF('Reeksen (N)'!D219&gt;='Reeksen (N)'!B219,0,IF('Reeksen (N)'!AK219&gt;'Reeksen (N)'!AE219,('Reeksen (N)'!B219-'Reeksen (N)'!D219)*R219,0))</f>
        <v>0</v>
      </c>
      <c r="W219" s="97">
        <f t="shared" ca="1" si="36"/>
        <v>0</v>
      </c>
      <c r="X219" s="98">
        <f ca="1">IF('Invoer gegevens (N)'!$C$17=E219,'Invoer gegevens (N)'!$C$10-'Invoer gegevens (N)'!$C$11,IF(C219=1,AC218,0))</f>
        <v>0</v>
      </c>
      <c r="Y219" s="98">
        <f ca="1">IF(C219&gt;=1,X219*VLOOKUP(E219,'Reeksen (N)'!$A$5:$B$76,2),0)</f>
        <v>0</v>
      </c>
      <c r="Z219" s="98">
        <f ca="1">(1-('Invoer gegevens (N)'!$F$20/12))*X219*MIN('Reeksen (N)'!B219,'Reeksen (N)'!D219)</f>
        <v>0</v>
      </c>
      <c r="AA219" s="98">
        <f>IF('Reeksen (N)'!D219&gt;='Reeksen (N)'!B219,0,IF('Reeksen (N)'!AK219&lt;='Reeksen (N)'!AE219,('Reeksen (N)'!B219-'Reeksen (N)'!D219)*X219,0))</f>
        <v>0</v>
      </c>
      <c r="AB219" s="98">
        <f>IF('Reeksen (N)'!D219&gt;='Reeksen (N)'!B219,0,IF('Reeksen (N)'!AK219&gt;'Reeksen (N)'!AE219,('Reeksen (N)'!B219-'Reeksen (N)'!D219)*X219,0))</f>
        <v>0</v>
      </c>
      <c r="AC219" s="99">
        <f t="shared" ca="1" si="37"/>
        <v>0</v>
      </c>
      <c r="AD219" s="98">
        <f ca="1">IF('Invoer gegevens (N)'!$C$17=E219,R219,IF(C219=0,0,AE218))</f>
        <v>0</v>
      </c>
      <c r="AE219" s="98">
        <f t="shared" ca="1" si="38"/>
        <v>0</v>
      </c>
      <c r="AF219" s="98">
        <f ca="1">IF('Invoer gegevens (N)'!$C$17=E219,X219,IF(C219=0,0,AG218))</f>
        <v>0</v>
      </c>
      <c r="AG219" s="98">
        <f t="shared" ca="1" si="39"/>
        <v>0</v>
      </c>
      <c r="AH219" s="68"/>
      <c r="AI219" s="71">
        <f ca="1">IF(C219=1,'Reeksen (N)'!AJ219*((F219-G219+F219)/2)*12+'Reeksen (N)'!AK219*((L219-M219+L219)/2)*12,0)</f>
        <v>0</v>
      </c>
      <c r="AJ219" s="71">
        <f ca="1">-AI219*'Invoer gegevens (N)'!$F$28</f>
        <v>0</v>
      </c>
      <c r="AK219" s="71">
        <f t="shared" ca="1" si="33"/>
        <v>0</v>
      </c>
      <c r="AL219" s="71">
        <f ca="1">IF(C219=1,'Reeksen (N)'!AL219*((F219-G219+F219)/2)*12+'Reeksen (N)'!AM219*((L219-M219+L219)/2)*12,0)</f>
        <v>0</v>
      </c>
      <c r="AM219" s="71">
        <f ca="1">-AL219*'Invoer gegevens (N)'!$F$31</f>
        <v>0</v>
      </c>
      <c r="AN219" s="71">
        <f t="shared" ca="1" si="40"/>
        <v>0</v>
      </c>
      <c r="AO219" s="71">
        <f ca="1">IF(C219=1,(H219+J219+N219+P219)*'Reeksen (N)'!AN219,0)</f>
        <v>0</v>
      </c>
      <c r="AP219" s="71">
        <f ca="1">-IF(C219=1,(H219+J219+N219+P219)*'Hulp - basis'!$O$550*'Reeksen (N)'!H219,0)</f>
        <v>0</v>
      </c>
      <c r="AQ219" s="71">
        <f ca="1">-IF(C219=1,(F219+K219+L219+Q219)/2*'Invoer gegevens (N)'!$I$33*'Reeksen (N)'!J219,0)*2</f>
        <v>0</v>
      </c>
      <c r="AR219" s="71">
        <f ca="1">-IF(C219=1,(I219*'Invoer gegevens (N)'!$I$34)*'Reeksen (N)'!J219,0)</f>
        <v>0</v>
      </c>
      <c r="AS219" s="71">
        <f ca="1">-IF(C219=1,(F219+K219+L219+Q219)/2*'Invoer gegevens (N)'!$I$35*'Reeksen (N)'!L219,0)</f>
        <v>0</v>
      </c>
      <c r="AT219" s="71">
        <f ca="1">-IF(C219=1,IF(E219='Invoer gegevens (N)'!$C$17,'Invoer gegevens (N)'!$C$11,AD219)*'Reeksen (N)'!S219*'Invoer gegevens (N)'!$C$18*'Reeksen (N)'!P219,0)</f>
        <v>0</v>
      </c>
      <c r="AU219" s="71">
        <f ca="1">-IF(C219=1,(F219+K219+L219+Q219)/2*'Invoer gegevens (N)'!$I$36*'Reeksen (N)'!H219,0)</f>
        <v>0</v>
      </c>
      <c r="AV219" s="71">
        <v>0</v>
      </c>
      <c r="AW219" s="71">
        <f t="shared" ca="1" si="41"/>
        <v>0</v>
      </c>
      <c r="AX219" s="71">
        <f ca="1">IF(E219&lt;'Invoer gegevens (N)'!$C$17+15,0,IF(E219&gt;'Invoer gegevens (N)'!$C$17+215,0,AW219))</f>
        <v>0</v>
      </c>
      <c r="AY219" s="71">
        <f ca="1">AX219/(1+'Invoer gegevens (N)'!$F$18)^($AZ219-('Invoer gegevens (N)'!$C$17-'Invoer gegevens (N)'!$C$16))/(1+'Invoer gegevens (N)'!$C$39)^('Invoer gegevens (N)'!$C$17-'Invoer gegevens (N)'!$C$16)</f>
        <v>0</v>
      </c>
      <c r="AZ219" s="68">
        <f ca="1">IF(E219-'Invoer gegevens (N)'!$C$17-14.5&lt;0,0,E219-'Invoer gegevens (N)'!$C$17-14.5)</f>
        <v>199.5</v>
      </c>
    </row>
    <row r="220" spans="2:52" x14ac:dyDescent="0.25">
      <c r="B220" s="70">
        <f t="shared" si="42"/>
        <v>216</v>
      </c>
      <c r="C220" s="67">
        <f ca="1">IF(E220-'Invoer gegevens (N)'!$C$17&lt;0,0,1)</f>
        <v>1</v>
      </c>
      <c r="D220" s="68">
        <f t="shared" si="43"/>
        <v>215.5</v>
      </c>
      <c r="E220" s="108">
        <f ca="1">IF('Invoer gegevens (N)'!$C$16="","",E219+1)</f>
        <v>2234</v>
      </c>
      <c r="F220" s="84">
        <f ca="1">IF('Invoer gegevens (N)'!$C$17=E220,'Invoer gegevens (N)'!$C$10,IF(C220=1,K219,0))</f>
        <v>0</v>
      </c>
      <c r="G220" s="96">
        <f ca="1">IF(C220&gt;=1,F220*VLOOKUP(E220,'Reeksen (N)'!$A$5:$B$76,2),0)</f>
        <v>0</v>
      </c>
      <c r="H220" s="84">
        <f ca="1">(1-('Invoer gegevens (N)'!$F$20/12))*F220*MIN('Reeksen (N)'!B220,'Reeksen (N)'!D220)</f>
        <v>0</v>
      </c>
      <c r="I220" s="84">
        <f>IF('Reeksen (N)'!D220&lt;'Reeksen (N)'!B220,('Reeksen (N)'!B220-'Reeksen (N)'!D220)*F220,0)</f>
        <v>0</v>
      </c>
      <c r="J220" s="84">
        <f ca="1">('Invoer gegevens (N)'!$F$20/12)*F219*MIN('Reeksen (N)'!B219,'Reeksen (N)'!D219)</f>
        <v>0</v>
      </c>
      <c r="K220" s="97">
        <f t="shared" ca="1" si="34"/>
        <v>0</v>
      </c>
      <c r="L220" s="84">
        <f ca="1">IF('Invoer gegevens (N)'!$C$17=E220,0,IF(C220=1,Q219,0))</f>
        <v>0</v>
      </c>
      <c r="M220" s="96">
        <f ca="1">IF(C220&gt;=1,L220*VLOOKUP(E220,'Reeksen (N)'!$A$5:$B$76,2),0)</f>
        <v>0</v>
      </c>
      <c r="N220" s="84">
        <f ca="1">(1-('Invoer gegevens (N)'!$F$20/12))*L220*MIN('Reeksen (N)'!B220,'Reeksen (N)'!D220)</f>
        <v>0</v>
      </c>
      <c r="O220" s="84">
        <f>IF('Reeksen (N)'!D220&lt;'Reeksen (N)'!B220,('Reeksen (N)'!B220-'Reeksen (N)'!D220)*L220,0)</f>
        <v>0</v>
      </c>
      <c r="P220" s="84">
        <f ca="1">('Invoer gegevens (N)'!$F$20/12)*L219*MIN('Reeksen (N)'!B219,'Reeksen (N)'!D219)</f>
        <v>0</v>
      </c>
      <c r="Q220" s="84">
        <f t="shared" ca="1" si="35"/>
        <v>0</v>
      </c>
      <c r="R220" s="82">
        <f ca="1">IF('Invoer gegevens (N)'!$C$17=E220,'Invoer gegevens (N)'!$C$11,IF(C220=1,W219,0))</f>
        <v>0</v>
      </c>
      <c r="S220" s="86">
        <f ca="1">IF(C220&gt;=1,R220*VLOOKUP(E220,'Reeksen (N)'!$A$5:$B$76,2),0)</f>
        <v>0</v>
      </c>
      <c r="T220" s="84">
        <f ca="1">(1-('Invoer gegevens (N)'!$F$20/12))*R220*MIN('Reeksen (N)'!B220,'Reeksen (N)'!D220)</f>
        <v>0</v>
      </c>
      <c r="U220" s="84">
        <f>IF('Reeksen (N)'!D220&gt;='Reeksen (N)'!B220,0,IF('Reeksen (N)'!AK220&lt;='Reeksen (N)'!AE220,('Reeksen (N)'!B220-'Reeksen (N)'!D220)*R220,0))</f>
        <v>0</v>
      </c>
      <c r="V220" s="86">
        <f>IF('Reeksen (N)'!D220&gt;='Reeksen (N)'!B220,0,IF('Reeksen (N)'!AK220&gt;'Reeksen (N)'!AE220,('Reeksen (N)'!B220-'Reeksen (N)'!D220)*R220,0))</f>
        <v>0</v>
      </c>
      <c r="W220" s="97">
        <f t="shared" ca="1" si="36"/>
        <v>0</v>
      </c>
      <c r="X220" s="98">
        <f ca="1">IF('Invoer gegevens (N)'!$C$17=E220,'Invoer gegevens (N)'!$C$10-'Invoer gegevens (N)'!$C$11,IF(C220=1,AC219,0))</f>
        <v>0</v>
      </c>
      <c r="Y220" s="98">
        <f ca="1">IF(C220&gt;=1,X220*VLOOKUP(E220,'Reeksen (N)'!$A$5:$B$76,2),0)</f>
        <v>0</v>
      </c>
      <c r="Z220" s="98">
        <f ca="1">(1-('Invoer gegevens (N)'!$F$20/12))*X220*MIN('Reeksen (N)'!B220,'Reeksen (N)'!D220)</f>
        <v>0</v>
      </c>
      <c r="AA220" s="98">
        <f>IF('Reeksen (N)'!D220&gt;='Reeksen (N)'!B220,0,IF('Reeksen (N)'!AK220&lt;='Reeksen (N)'!AE220,('Reeksen (N)'!B220-'Reeksen (N)'!D220)*X220,0))</f>
        <v>0</v>
      </c>
      <c r="AB220" s="98">
        <f>IF('Reeksen (N)'!D220&gt;='Reeksen (N)'!B220,0,IF('Reeksen (N)'!AK220&gt;'Reeksen (N)'!AE220,('Reeksen (N)'!B220-'Reeksen (N)'!D220)*X220,0))</f>
        <v>0</v>
      </c>
      <c r="AC220" s="99">
        <f t="shared" ca="1" si="37"/>
        <v>0</v>
      </c>
      <c r="AD220" s="98">
        <f ca="1">IF('Invoer gegevens (N)'!$C$17=E220,R220,IF(C220=0,0,AE219))</f>
        <v>0</v>
      </c>
      <c r="AE220" s="98">
        <f t="shared" ca="1" si="38"/>
        <v>0</v>
      </c>
      <c r="AF220" s="98">
        <f ca="1">IF('Invoer gegevens (N)'!$C$17=E220,X220,IF(C220=0,0,AG219))</f>
        <v>0</v>
      </c>
      <c r="AG220" s="98">
        <f t="shared" ca="1" si="39"/>
        <v>0</v>
      </c>
      <c r="AH220" s="68"/>
      <c r="AI220" s="71">
        <f ca="1">IF(C220=1,'Reeksen (N)'!AJ220*((F220-G220+F220)/2)*12+'Reeksen (N)'!AK220*((L220-M220+L220)/2)*12,0)</f>
        <v>0</v>
      </c>
      <c r="AJ220" s="71">
        <f ca="1">-AI220*'Invoer gegevens (N)'!$F$28</f>
        <v>0</v>
      </c>
      <c r="AK220" s="71">
        <f t="shared" ca="1" si="33"/>
        <v>0</v>
      </c>
      <c r="AL220" s="71">
        <f ca="1">IF(C220=1,'Reeksen (N)'!AL220*((F220-G220+F220)/2)*12+'Reeksen (N)'!AM220*((L220-M220+L220)/2)*12,0)</f>
        <v>0</v>
      </c>
      <c r="AM220" s="71">
        <f ca="1">-AL220*'Invoer gegevens (N)'!$F$31</f>
        <v>0</v>
      </c>
      <c r="AN220" s="71">
        <f t="shared" ca="1" si="40"/>
        <v>0</v>
      </c>
      <c r="AO220" s="71">
        <f ca="1">IF(C220=1,(H220+J220+N220+P220)*'Reeksen (N)'!AN220,0)</f>
        <v>0</v>
      </c>
      <c r="AP220" s="71">
        <f ca="1">-IF(C220=1,(H220+J220+N220+P220)*'Hulp - basis'!$O$550*'Reeksen (N)'!H220,0)</f>
        <v>0</v>
      </c>
      <c r="AQ220" s="71">
        <f ca="1">-IF(C220=1,(F220+K220+L220+Q220)/2*'Invoer gegevens (N)'!$I$33*'Reeksen (N)'!J220,0)*2</f>
        <v>0</v>
      </c>
      <c r="AR220" s="71">
        <f ca="1">-IF(C220=1,(I220*'Invoer gegevens (N)'!$I$34)*'Reeksen (N)'!J220,0)</f>
        <v>0</v>
      </c>
      <c r="AS220" s="71">
        <f ca="1">-IF(C220=1,(F220+K220+L220+Q220)/2*'Invoer gegevens (N)'!$I$35*'Reeksen (N)'!L220,0)</f>
        <v>0</v>
      </c>
      <c r="AT220" s="71">
        <f ca="1">-IF(C220=1,IF(E220='Invoer gegevens (N)'!$C$17,'Invoer gegevens (N)'!$C$11,AD220)*'Reeksen (N)'!S220*'Invoer gegevens (N)'!$C$18*'Reeksen (N)'!P220,0)</f>
        <v>0</v>
      </c>
      <c r="AU220" s="71">
        <f ca="1">-IF(C220=1,(F220+K220+L220+Q220)/2*'Invoer gegevens (N)'!$I$36*'Reeksen (N)'!H220,0)</f>
        <v>0</v>
      </c>
      <c r="AV220" s="71">
        <v>0</v>
      </c>
      <c r="AW220" s="71">
        <f t="shared" ca="1" si="41"/>
        <v>0</v>
      </c>
      <c r="AX220" s="71">
        <f ca="1">IF(E220&lt;'Invoer gegevens (N)'!$C$17+15,0,IF(E220&gt;'Invoer gegevens (N)'!$C$17+215,0,AW220))</f>
        <v>0</v>
      </c>
      <c r="AY220" s="71">
        <f ca="1">AX220/(1+'Invoer gegevens (N)'!$F$18)^($AZ220-('Invoer gegevens (N)'!$C$17-'Invoer gegevens (N)'!$C$16))/(1+'Invoer gegevens (N)'!$C$39)^('Invoer gegevens (N)'!$C$17-'Invoer gegevens (N)'!$C$16)</f>
        <v>0</v>
      </c>
      <c r="AZ220" s="68">
        <f ca="1">IF(E220-'Invoer gegevens (N)'!$C$17-14.5&lt;0,0,E220-'Invoer gegevens (N)'!$C$17-14.5)</f>
        <v>200.5</v>
      </c>
    </row>
    <row r="221" spans="2:52" x14ac:dyDescent="0.25">
      <c r="B221" s="70">
        <f t="shared" si="42"/>
        <v>217</v>
      </c>
      <c r="C221" s="67">
        <f ca="1">IF(E221-'Invoer gegevens (N)'!$C$17&lt;0,0,1)</f>
        <v>1</v>
      </c>
      <c r="D221" s="68">
        <f t="shared" si="43"/>
        <v>216.5</v>
      </c>
      <c r="E221" s="108">
        <f ca="1">IF('Invoer gegevens (N)'!$C$16="","",E220+1)</f>
        <v>2235</v>
      </c>
      <c r="F221" s="84">
        <f ca="1">IF('Invoer gegevens (N)'!$C$17=E221,'Invoer gegevens (N)'!$C$10,IF(C221=1,K220,0))</f>
        <v>0</v>
      </c>
      <c r="G221" s="96">
        <f ca="1">IF(C221&gt;=1,F221*VLOOKUP(E221,'Reeksen (N)'!$A$5:$B$76,2),0)</f>
        <v>0</v>
      </c>
      <c r="H221" s="84">
        <f ca="1">(1-('Invoer gegevens (N)'!$F$20/12))*F221*MIN('Reeksen (N)'!B221,'Reeksen (N)'!D221)</f>
        <v>0</v>
      </c>
      <c r="I221" s="84">
        <f>IF('Reeksen (N)'!D221&lt;'Reeksen (N)'!B221,('Reeksen (N)'!B221-'Reeksen (N)'!D221)*F221,0)</f>
        <v>0</v>
      </c>
      <c r="J221" s="84">
        <f ca="1">('Invoer gegevens (N)'!$F$20/12)*F220*MIN('Reeksen (N)'!B220,'Reeksen (N)'!D220)</f>
        <v>0</v>
      </c>
      <c r="K221" s="97">
        <f t="shared" ca="1" si="34"/>
        <v>0</v>
      </c>
      <c r="L221" s="84">
        <f ca="1">IF('Invoer gegevens (N)'!$C$17=E221,0,IF(C221=1,Q220,0))</f>
        <v>0</v>
      </c>
      <c r="M221" s="96">
        <f ca="1">IF(C221&gt;=1,L221*VLOOKUP(E221,'Reeksen (N)'!$A$5:$B$76,2),0)</f>
        <v>0</v>
      </c>
      <c r="N221" s="84">
        <f ca="1">(1-('Invoer gegevens (N)'!$F$20/12))*L221*MIN('Reeksen (N)'!B221,'Reeksen (N)'!D221)</f>
        <v>0</v>
      </c>
      <c r="O221" s="84">
        <f>IF('Reeksen (N)'!D221&lt;'Reeksen (N)'!B221,('Reeksen (N)'!B221-'Reeksen (N)'!D221)*L221,0)</f>
        <v>0</v>
      </c>
      <c r="P221" s="84">
        <f ca="1">('Invoer gegevens (N)'!$F$20/12)*L220*MIN('Reeksen (N)'!B220,'Reeksen (N)'!D220)</f>
        <v>0</v>
      </c>
      <c r="Q221" s="84">
        <f t="shared" ca="1" si="35"/>
        <v>0</v>
      </c>
      <c r="R221" s="82">
        <f ca="1">IF('Invoer gegevens (N)'!$C$17=E221,'Invoer gegevens (N)'!$C$11,IF(C221=1,W220,0))</f>
        <v>0</v>
      </c>
      <c r="S221" s="86">
        <f ca="1">IF(C221&gt;=1,R221*VLOOKUP(E221,'Reeksen (N)'!$A$5:$B$76,2),0)</f>
        <v>0</v>
      </c>
      <c r="T221" s="84">
        <f ca="1">(1-('Invoer gegevens (N)'!$F$20/12))*R221*MIN('Reeksen (N)'!B221,'Reeksen (N)'!D221)</f>
        <v>0</v>
      </c>
      <c r="U221" s="84">
        <f>IF('Reeksen (N)'!D221&gt;='Reeksen (N)'!B221,0,IF('Reeksen (N)'!AK221&lt;='Reeksen (N)'!AE221,('Reeksen (N)'!B221-'Reeksen (N)'!D221)*R221,0))</f>
        <v>0</v>
      </c>
      <c r="V221" s="86">
        <f>IF('Reeksen (N)'!D221&gt;='Reeksen (N)'!B221,0,IF('Reeksen (N)'!AK221&gt;'Reeksen (N)'!AE221,('Reeksen (N)'!B221-'Reeksen (N)'!D221)*R221,0))</f>
        <v>0</v>
      </c>
      <c r="W221" s="97">
        <f t="shared" ca="1" si="36"/>
        <v>0</v>
      </c>
      <c r="X221" s="98">
        <f ca="1">IF('Invoer gegevens (N)'!$C$17=E221,'Invoer gegevens (N)'!$C$10-'Invoer gegevens (N)'!$C$11,IF(C221=1,AC220,0))</f>
        <v>0</v>
      </c>
      <c r="Y221" s="98">
        <f ca="1">IF(C221&gt;=1,X221*VLOOKUP(E221,'Reeksen (N)'!$A$5:$B$76,2),0)</f>
        <v>0</v>
      </c>
      <c r="Z221" s="98">
        <f ca="1">(1-('Invoer gegevens (N)'!$F$20/12))*X221*MIN('Reeksen (N)'!B221,'Reeksen (N)'!D221)</f>
        <v>0</v>
      </c>
      <c r="AA221" s="98">
        <f>IF('Reeksen (N)'!D221&gt;='Reeksen (N)'!B221,0,IF('Reeksen (N)'!AK221&lt;='Reeksen (N)'!AE221,('Reeksen (N)'!B221-'Reeksen (N)'!D221)*X221,0))</f>
        <v>0</v>
      </c>
      <c r="AB221" s="98">
        <f>IF('Reeksen (N)'!D221&gt;='Reeksen (N)'!B221,0,IF('Reeksen (N)'!AK221&gt;'Reeksen (N)'!AE221,('Reeksen (N)'!B221-'Reeksen (N)'!D221)*X221,0))</f>
        <v>0</v>
      </c>
      <c r="AC221" s="99">
        <f t="shared" ca="1" si="37"/>
        <v>0</v>
      </c>
      <c r="AD221" s="98">
        <f ca="1">IF('Invoer gegevens (N)'!$C$17=E221,R221,IF(C221=0,0,AE220))</f>
        <v>0</v>
      </c>
      <c r="AE221" s="98">
        <f t="shared" ca="1" si="38"/>
        <v>0</v>
      </c>
      <c r="AF221" s="98">
        <f ca="1">IF('Invoer gegevens (N)'!$C$17=E221,X221,IF(C221=0,0,AG220))</f>
        <v>0</v>
      </c>
      <c r="AG221" s="98">
        <f t="shared" ca="1" si="39"/>
        <v>0</v>
      </c>
      <c r="AH221" s="68"/>
      <c r="AI221" s="71">
        <f ca="1">IF(C221=1,'Reeksen (N)'!AJ221*((F221-G221+F221)/2)*12+'Reeksen (N)'!AK221*((L221-M221+L221)/2)*12,0)</f>
        <v>0</v>
      </c>
      <c r="AJ221" s="71">
        <f ca="1">-AI221*'Invoer gegevens (N)'!$F$28</f>
        <v>0</v>
      </c>
      <c r="AK221" s="71">
        <f t="shared" ca="1" si="33"/>
        <v>0</v>
      </c>
      <c r="AL221" s="71">
        <f ca="1">IF(C221=1,'Reeksen (N)'!AL221*((F221-G221+F221)/2)*12+'Reeksen (N)'!AM221*((L221-M221+L221)/2)*12,0)</f>
        <v>0</v>
      </c>
      <c r="AM221" s="71">
        <f ca="1">-AL221*'Invoer gegevens (N)'!$F$31</f>
        <v>0</v>
      </c>
      <c r="AN221" s="71">
        <f t="shared" ca="1" si="40"/>
        <v>0</v>
      </c>
      <c r="AO221" s="71">
        <f ca="1">IF(C221=1,(H221+J221+N221+P221)*'Reeksen (N)'!AN221,0)</f>
        <v>0</v>
      </c>
      <c r="AP221" s="71">
        <f ca="1">-IF(C221=1,(H221+J221+N221+P221)*'Hulp - basis'!$O$550*'Reeksen (N)'!H221,0)</f>
        <v>0</v>
      </c>
      <c r="AQ221" s="71">
        <f ca="1">-IF(C221=1,(F221+K221+L221+Q221)/2*'Invoer gegevens (N)'!$I$33*'Reeksen (N)'!J221,0)*2</f>
        <v>0</v>
      </c>
      <c r="AR221" s="71">
        <f ca="1">-IF(C221=1,(I221*'Invoer gegevens (N)'!$I$34)*'Reeksen (N)'!J221,0)</f>
        <v>0</v>
      </c>
      <c r="AS221" s="71">
        <f ca="1">-IF(C221=1,(F221+K221+L221+Q221)/2*'Invoer gegevens (N)'!$I$35*'Reeksen (N)'!L221,0)</f>
        <v>0</v>
      </c>
      <c r="AT221" s="71">
        <f ca="1">-IF(C221=1,IF(E221='Invoer gegevens (N)'!$C$17,'Invoer gegevens (N)'!$C$11,AD221)*'Reeksen (N)'!S221*'Invoer gegevens (N)'!$C$18*'Reeksen (N)'!P221,0)</f>
        <v>0</v>
      </c>
      <c r="AU221" s="71">
        <f ca="1">-IF(C221=1,(F221+K221+L221+Q221)/2*'Invoer gegevens (N)'!$I$36*'Reeksen (N)'!H221,0)</f>
        <v>0</v>
      </c>
      <c r="AV221" s="71">
        <v>0</v>
      </c>
      <c r="AW221" s="71">
        <f t="shared" ca="1" si="41"/>
        <v>0</v>
      </c>
      <c r="AX221" s="71">
        <f ca="1">IF(E221&lt;'Invoer gegevens (N)'!$C$17+15,0,IF(E221&gt;'Invoer gegevens (N)'!$C$17+215,0,AW221))</f>
        <v>0</v>
      </c>
      <c r="AY221" s="71">
        <f ca="1">AX221/(1+'Invoer gegevens (N)'!$F$18)^($AZ221-('Invoer gegevens (N)'!$C$17-'Invoer gegevens (N)'!$C$16))/(1+'Invoer gegevens (N)'!$C$39)^('Invoer gegevens (N)'!$C$17-'Invoer gegevens (N)'!$C$16)</f>
        <v>0</v>
      </c>
      <c r="AZ221" s="68">
        <f ca="1">IF(E221-'Invoer gegevens (N)'!$C$17-14.5&lt;0,0,E221-'Invoer gegevens (N)'!$C$17-14.5)</f>
        <v>201.5</v>
      </c>
    </row>
    <row r="222" spans="2:52" x14ac:dyDescent="0.25">
      <c r="B222" s="70">
        <f t="shared" si="42"/>
        <v>218</v>
      </c>
      <c r="C222" s="67">
        <f ca="1">IF(E222-'Invoer gegevens (N)'!$C$17&lt;0,0,1)</f>
        <v>1</v>
      </c>
      <c r="D222" s="68">
        <f t="shared" si="43"/>
        <v>217.5</v>
      </c>
      <c r="E222" s="108">
        <f ca="1">IF('Invoer gegevens (N)'!$C$16="","",E221+1)</f>
        <v>2236</v>
      </c>
      <c r="F222" s="84">
        <f ca="1">IF('Invoer gegevens (N)'!$C$17=E222,'Invoer gegevens (N)'!$C$10,IF(C222=1,K221,0))</f>
        <v>0</v>
      </c>
      <c r="G222" s="96">
        <f ca="1">IF(C222&gt;=1,F222*VLOOKUP(E222,'Reeksen (N)'!$A$5:$B$76,2),0)</f>
        <v>0</v>
      </c>
      <c r="H222" s="84">
        <f ca="1">(1-('Invoer gegevens (N)'!$F$20/12))*F222*MIN('Reeksen (N)'!B222,'Reeksen (N)'!D222)</f>
        <v>0</v>
      </c>
      <c r="I222" s="84">
        <f>IF('Reeksen (N)'!D222&lt;'Reeksen (N)'!B222,('Reeksen (N)'!B222-'Reeksen (N)'!D222)*F222,0)</f>
        <v>0</v>
      </c>
      <c r="J222" s="84">
        <f ca="1">('Invoer gegevens (N)'!$F$20/12)*F221*MIN('Reeksen (N)'!B221,'Reeksen (N)'!D221)</f>
        <v>0</v>
      </c>
      <c r="K222" s="97">
        <f t="shared" ca="1" si="34"/>
        <v>0</v>
      </c>
      <c r="L222" s="84">
        <f ca="1">IF('Invoer gegevens (N)'!$C$17=E222,0,IF(C222=1,Q221,0))</f>
        <v>0</v>
      </c>
      <c r="M222" s="96">
        <f ca="1">IF(C222&gt;=1,L222*VLOOKUP(E222,'Reeksen (N)'!$A$5:$B$76,2),0)</f>
        <v>0</v>
      </c>
      <c r="N222" s="84">
        <f ca="1">(1-('Invoer gegevens (N)'!$F$20/12))*L222*MIN('Reeksen (N)'!B222,'Reeksen (N)'!D222)</f>
        <v>0</v>
      </c>
      <c r="O222" s="84">
        <f>IF('Reeksen (N)'!D222&lt;'Reeksen (N)'!B222,('Reeksen (N)'!B222-'Reeksen (N)'!D222)*L222,0)</f>
        <v>0</v>
      </c>
      <c r="P222" s="84">
        <f ca="1">('Invoer gegevens (N)'!$F$20/12)*L221*MIN('Reeksen (N)'!B221,'Reeksen (N)'!D221)</f>
        <v>0</v>
      </c>
      <c r="Q222" s="84">
        <f t="shared" ca="1" si="35"/>
        <v>0</v>
      </c>
      <c r="R222" s="82">
        <f ca="1">IF('Invoer gegevens (N)'!$C$17=E222,'Invoer gegevens (N)'!$C$11,IF(C222=1,W221,0))</f>
        <v>0</v>
      </c>
      <c r="S222" s="86">
        <f ca="1">IF(C222&gt;=1,R222*VLOOKUP(E222,'Reeksen (N)'!$A$5:$B$76,2),0)</f>
        <v>0</v>
      </c>
      <c r="T222" s="84">
        <f ca="1">(1-('Invoer gegevens (N)'!$F$20/12))*R222*MIN('Reeksen (N)'!B222,'Reeksen (N)'!D222)</f>
        <v>0</v>
      </c>
      <c r="U222" s="84">
        <f>IF('Reeksen (N)'!D222&gt;='Reeksen (N)'!B222,0,IF('Reeksen (N)'!AK222&lt;='Reeksen (N)'!AE222,('Reeksen (N)'!B222-'Reeksen (N)'!D222)*R222,0))</f>
        <v>0</v>
      </c>
      <c r="V222" s="86">
        <f>IF('Reeksen (N)'!D222&gt;='Reeksen (N)'!B222,0,IF('Reeksen (N)'!AK222&gt;'Reeksen (N)'!AE222,('Reeksen (N)'!B222-'Reeksen (N)'!D222)*R222,0))</f>
        <v>0</v>
      </c>
      <c r="W222" s="97">
        <f t="shared" ca="1" si="36"/>
        <v>0</v>
      </c>
      <c r="X222" s="98">
        <f ca="1">IF('Invoer gegevens (N)'!$C$17=E222,'Invoer gegevens (N)'!$C$10-'Invoer gegevens (N)'!$C$11,IF(C222=1,AC221,0))</f>
        <v>0</v>
      </c>
      <c r="Y222" s="98">
        <f ca="1">IF(C222&gt;=1,X222*VLOOKUP(E222,'Reeksen (N)'!$A$5:$B$76,2),0)</f>
        <v>0</v>
      </c>
      <c r="Z222" s="98">
        <f ca="1">(1-('Invoer gegevens (N)'!$F$20/12))*X222*MIN('Reeksen (N)'!B222,'Reeksen (N)'!D222)</f>
        <v>0</v>
      </c>
      <c r="AA222" s="98">
        <f>IF('Reeksen (N)'!D222&gt;='Reeksen (N)'!B222,0,IF('Reeksen (N)'!AK222&lt;='Reeksen (N)'!AE222,('Reeksen (N)'!B222-'Reeksen (N)'!D222)*X222,0))</f>
        <v>0</v>
      </c>
      <c r="AB222" s="98">
        <f>IF('Reeksen (N)'!D222&gt;='Reeksen (N)'!B222,0,IF('Reeksen (N)'!AK222&gt;'Reeksen (N)'!AE222,('Reeksen (N)'!B222-'Reeksen (N)'!D222)*X222,0))</f>
        <v>0</v>
      </c>
      <c r="AC222" s="99">
        <f t="shared" ca="1" si="37"/>
        <v>0</v>
      </c>
      <c r="AD222" s="98">
        <f ca="1">IF('Invoer gegevens (N)'!$C$17=E222,R222,IF(C222=0,0,AE221))</f>
        <v>0</v>
      </c>
      <c r="AE222" s="98">
        <f t="shared" ca="1" si="38"/>
        <v>0</v>
      </c>
      <c r="AF222" s="98">
        <f ca="1">IF('Invoer gegevens (N)'!$C$17=E222,X222,IF(C222=0,0,AG221))</f>
        <v>0</v>
      </c>
      <c r="AG222" s="98">
        <f t="shared" ca="1" si="39"/>
        <v>0</v>
      </c>
      <c r="AH222" s="68"/>
      <c r="AI222" s="71">
        <f ca="1">IF(C222=1,'Reeksen (N)'!AJ222*((F222-G222+F222)/2)*12+'Reeksen (N)'!AK222*((L222-M222+L222)/2)*12,0)</f>
        <v>0</v>
      </c>
      <c r="AJ222" s="71">
        <f ca="1">-AI222*'Invoer gegevens (N)'!$F$28</f>
        <v>0</v>
      </c>
      <c r="AK222" s="71">
        <f t="shared" ca="1" si="33"/>
        <v>0</v>
      </c>
      <c r="AL222" s="71">
        <f ca="1">IF(C222=1,'Reeksen (N)'!AL222*((F222-G222+F222)/2)*12+'Reeksen (N)'!AM222*((L222-M222+L222)/2)*12,0)</f>
        <v>0</v>
      </c>
      <c r="AM222" s="71">
        <f ca="1">-AL222*'Invoer gegevens (N)'!$F$31</f>
        <v>0</v>
      </c>
      <c r="AN222" s="71">
        <f t="shared" ca="1" si="40"/>
        <v>0</v>
      </c>
      <c r="AO222" s="71">
        <f ca="1">IF(C222=1,(H222+J222+N222+P222)*'Reeksen (N)'!AN222,0)</f>
        <v>0</v>
      </c>
      <c r="AP222" s="71">
        <f ca="1">-IF(C222=1,(H222+J222+N222+P222)*'Hulp - basis'!$O$550*'Reeksen (N)'!H222,0)</f>
        <v>0</v>
      </c>
      <c r="AQ222" s="71">
        <f ca="1">-IF(C222=1,(F222+K222+L222+Q222)/2*'Invoer gegevens (N)'!$I$33*'Reeksen (N)'!J222,0)*2</f>
        <v>0</v>
      </c>
      <c r="AR222" s="71">
        <f ca="1">-IF(C222=1,(I222*'Invoer gegevens (N)'!$I$34)*'Reeksen (N)'!J222,0)</f>
        <v>0</v>
      </c>
      <c r="AS222" s="71">
        <f ca="1">-IF(C222=1,(F222+K222+L222+Q222)/2*'Invoer gegevens (N)'!$I$35*'Reeksen (N)'!L222,0)</f>
        <v>0</v>
      </c>
      <c r="AT222" s="71">
        <f ca="1">-IF(C222=1,IF(E222='Invoer gegevens (N)'!$C$17,'Invoer gegevens (N)'!$C$11,AD222)*'Reeksen (N)'!S222*'Invoer gegevens (N)'!$C$18*'Reeksen (N)'!P222,0)</f>
        <v>0</v>
      </c>
      <c r="AU222" s="71">
        <f ca="1">-IF(C222=1,(F222+K222+L222+Q222)/2*'Invoer gegevens (N)'!$I$36*'Reeksen (N)'!H222,0)</f>
        <v>0</v>
      </c>
      <c r="AV222" s="71">
        <v>0</v>
      </c>
      <c r="AW222" s="71">
        <f t="shared" ca="1" si="41"/>
        <v>0</v>
      </c>
      <c r="AX222" s="71">
        <f ca="1">IF(E222&lt;'Invoer gegevens (N)'!$C$17+15,0,IF(E222&gt;'Invoer gegevens (N)'!$C$17+215,0,AW222))</f>
        <v>0</v>
      </c>
      <c r="AY222" s="71">
        <f ca="1">AX222/(1+'Invoer gegevens (N)'!$F$18)^($AZ222-('Invoer gegevens (N)'!$C$17-'Invoer gegevens (N)'!$C$16))/(1+'Invoer gegevens (N)'!$C$39)^('Invoer gegevens (N)'!$C$17-'Invoer gegevens (N)'!$C$16)</f>
        <v>0</v>
      </c>
      <c r="AZ222" s="68">
        <f ca="1">IF(E222-'Invoer gegevens (N)'!$C$17-14.5&lt;0,0,E222-'Invoer gegevens (N)'!$C$17-14.5)</f>
        <v>202.5</v>
      </c>
    </row>
    <row r="223" spans="2:52" x14ac:dyDescent="0.25">
      <c r="B223" s="70">
        <f t="shared" si="42"/>
        <v>219</v>
      </c>
      <c r="C223" s="67">
        <f ca="1">IF(E223-'Invoer gegevens (N)'!$C$17&lt;0,0,1)</f>
        <v>1</v>
      </c>
      <c r="D223" s="68">
        <f t="shared" si="43"/>
        <v>218.5</v>
      </c>
      <c r="E223" s="108">
        <f ca="1">IF('Invoer gegevens (N)'!$C$16="","",E222+1)</f>
        <v>2237</v>
      </c>
      <c r="F223" s="84">
        <f ca="1">IF('Invoer gegevens (N)'!$C$17=E223,'Invoer gegevens (N)'!$C$10,IF(C223=1,K222,0))</f>
        <v>0</v>
      </c>
      <c r="G223" s="96">
        <f ca="1">IF(C223&gt;=1,F223*VLOOKUP(E223,'Reeksen (N)'!$A$5:$B$76,2),0)</f>
        <v>0</v>
      </c>
      <c r="H223" s="84">
        <f ca="1">(1-('Invoer gegevens (N)'!$F$20/12))*F223*MIN('Reeksen (N)'!B223,'Reeksen (N)'!D223)</f>
        <v>0</v>
      </c>
      <c r="I223" s="84">
        <f>IF('Reeksen (N)'!D223&lt;'Reeksen (N)'!B223,('Reeksen (N)'!B223-'Reeksen (N)'!D223)*F223,0)</f>
        <v>0</v>
      </c>
      <c r="J223" s="84">
        <f ca="1">('Invoer gegevens (N)'!$F$20/12)*F222*MIN('Reeksen (N)'!B222,'Reeksen (N)'!D222)</f>
        <v>0</v>
      </c>
      <c r="K223" s="97">
        <f t="shared" ca="1" si="34"/>
        <v>0</v>
      </c>
      <c r="L223" s="84">
        <f ca="1">IF('Invoer gegevens (N)'!$C$17=E223,0,IF(C223=1,Q222,0))</f>
        <v>0</v>
      </c>
      <c r="M223" s="96">
        <f ca="1">IF(C223&gt;=1,L223*VLOOKUP(E223,'Reeksen (N)'!$A$5:$B$76,2),0)</f>
        <v>0</v>
      </c>
      <c r="N223" s="84">
        <f ca="1">(1-('Invoer gegevens (N)'!$F$20/12))*L223*MIN('Reeksen (N)'!B223,'Reeksen (N)'!D223)</f>
        <v>0</v>
      </c>
      <c r="O223" s="84">
        <f>IF('Reeksen (N)'!D223&lt;'Reeksen (N)'!B223,('Reeksen (N)'!B223-'Reeksen (N)'!D223)*L223,0)</f>
        <v>0</v>
      </c>
      <c r="P223" s="84">
        <f ca="1">('Invoer gegevens (N)'!$F$20/12)*L222*MIN('Reeksen (N)'!B222,'Reeksen (N)'!D222)</f>
        <v>0</v>
      </c>
      <c r="Q223" s="84">
        <f t="shared" ca="1" si="35"/>
        <v>0</v>
      </c>
      <c r="R223" s="82">
        <f ca="1">IF('Invoer gegevens (N)'!$C$17=E223,'Invoer gegevens (N)'!$C$11,IF(C223=1,W222,0))</f>
        <v>0</v>
      </c>
      <c r="S223" s="86">
        <f ca="1">IF(C223&gt;=1,R223*VLOOKUP(E223,'Reeksen (N)'!$A$5:$B$76,2),0)</f>
        <v>0</v>
      </c>
      <c r="T223" s="84">
        <f ca="1">(1-('Invoer gegevens (N)'!$F$20/12))*R223*MIN('Reeksen (N)'!B223,'Reeksen (N)'!D223)</f>
        <v>0</v>
      </c>
      <c r="U223" s="84">
        <f>IF('Reeksen (N)'!D223&gt;='Reeksen (N)'!B223,0,IF('Reeksen (N)'!AK223&lt;='Reeksen (N)'!AE223,('Reeksen (N)'!B223-'Reeksen (N)'!D223)*R223,0))</f>
        <v>0</v>
      </c>
      <c r="V223" s="86">
        <f>IF('Reeksen (N)'!D223&gt;='Reeksen (N)'!B223,0,IF('Reeksen (N)'!AK223&gt;'Reeksen (N)'!AE223,('Reeksen (N)'!B223-'Reeksen (N)'!D223)*R223,0))</f>
        <v>0</v>
      </c>
      <c r="W223" s="97">
        <f t="shared" ca="1" si="36"/>
        <v>0</v>
      </c>
      <c r="X223" s="98">
        <f ca="1">IF('Invoer gegevens (N)'!$C$17=E223,'Invoer gegevens (N)'!$C$10-'Invoer gegevens (N)'!$C$11,IF(C223=1,AC222,0))</f>
        <v>0</v>
      </c>
      <c r="Y223" s="98">
        <f ca="1">IF(C223&gt;=1,X223*VLOOKUP(E223,'Reeksen (N)'!$A$5:$B$76,2),0)</f>
        <v>0</v>
      </c>
      <c r="Z223" s="98">
        <f ca="1">(1-('Invoer gegevens (N)'!$F$20/12))*X223*MIN('Reeksen (N)'!B223,'Reeksen (N)'!D223)</f>
        <v>0</v>
      </c>
      <c r="AA223" s="98">
        <f>IF('Reeksen (N)'!D223&gt;='Reeksen (N)'!B223,0,IF('Reeksen (N)'!AK223&lt;='Reeksen (N)'!AE223,('Reeksen (N)'!B223-'Reeksen (N)'!D223)*X223,0))</f>
        <v>0</v>
      </c>
      <c r="AB223" s="98">
        <f>IF('Reeksen (N)'!D223&gt;='Reeksen (N)'!B223,0,IF('Reeksen (N)'!AK223&gt;'Reeksen (N)'!AE223,('Reeksen (N)'!B223-'Reeksen (N)'!D223)*X223,0))</f>
        <v>0</v>
      </c>
      <c r="AC223" s="99">
        <f t="shared" ca="1" si="37"/>
        <v>0</v>
      </c>
      <c r="AD223" s="98">
        <f ca="1">IF('Invoer gegevens (N)'!$C$17=E223,R223,IF(C223=0,0,AE222))</f>
        <v>0</v>
      </c>
      <c r="AE223" s="98">
        <f t="shared" ca="1" si="38"/>
        <v>0</v>
      </c>
      <c r="AF223" s="98">
        <f ca="1">IF('Invoer gegevens (N)'!$C$17=E223,X223,IF(C223=0,0,AG222))</f>
        <v>0</v>
      </c>
      <c r="AG223" s="98">
        <f t="shared" ca="1" si="39"/>
        <v>0</v>
      </c>
      <c r="AH223" s="68"/>
      <c r="AI223" s="71">
        <f ca="1">IF(C223=1,'Reeksen (N)'!AJ223*((F223-G223+F223)/2)*12+'Reeksen (N)'!AK223*((L223-M223+L223)/2)*12,0)</f>
        <v>0</v>
      </c>
      <c r="AJ223" s="71">
        <f ca="1">-AI223*'Invoer gegevens (N)'!$F$28</f>
        <v>0</v>
      </c>
      <c r="AK223" s="71">
        <f t="shared" ca="1" si="33"/>
        <v>0</v>
      </c>
      <c r="AL223" s="71">
        <f ca="1">IF(C223=1,'Reeksen (N)'!AL223*((F223-G223+F223)/2)*12+'Reeksen (N)'!AM223*((L223-M223+L223)/2)*12,0)</f>
        <v>0</v>
      </c>
      <c r="AM223" s="71">
        <f ca="1">-AL223*'Invoer gegevens (N)'!$F$31</f>
        <v>0</v>
      </c>
      <c r="AN223" s="71">
        <f t="shared" ca="1" si="40"/>
        <v>0</v>
      </c>
      <c r="AO223" s="71">
        <f ca="1">IF(C223=1,(H223+J223+N223+P223)*'Reeksen (N)'!AN223,0)</f>
        <v>0</v>
      </c>
      <c r="AP223" s="71">
        <f ca="1">-IF(C223=1,(H223+J223+N223+P223)*'Hulp - basis'!$O$550*'Reeksen (N)'!H223,0)</f>
        <v>0</v>
      </c>
      <c r="AQ223" s="71">
        <f ca="1">-IF(C223=1,(F223+K223+L223+Q223)/2*'Invoer gegevens (N)'!$I$33*'Reeksen (N)'!J223,0)*2</f>
        <v>0</v>
      </c>
      <c r="AR223" s="71">
        <f ca="1">-IF(C223=1,(I223*'Invoer gegevens (N)'!$I$34)*'Reeksen (N)'!J223,0)</f>
        <v>0</v>
      </c>
      <c r="AS223" s="71">
        <f ca="1">-IF(C223=1,(F223+K223+L223+Q223)/2*'Invoer gegevens (N)'!$I$35*'Reeksen (N)'!L223,0)</f>
        <v>0</v>
      </c>
      <c r="AT223" s="71">
        <f ca="1">-IF(C223=1,IF(E223='Invoer gegevens (N)'!$C$17,'Invoer gegevens (N)'!$C$11,AD223)*'Reeksen (N)'!S223*'Invoer gegevens (N)'!$C$18*'Reeksen (N)'!P223,0)</f>
        <v>0</v>
      </c>
      <c r="AU223" s="71">
        <f ca="1">-IF(C223=1,(F223+K223+L223+Q223)/2*'Invoer gegevens (N)'!$I$36*'Reeksen (N)'!H223,0)</f>
        <v>0</v>
      </c>
      <c r="AV223" s="71">
        <v>0</v>
      </c>
      <c r="AW223" s="71">
        <f t="shared" ca="1" si="41"/>
        <v>0</v>
      </c>
      <c r="AX223" s="71">
        <f ca="1">IF(E223&lt;'Invoer gegevens (N)'!$C$17+15,0,IF(E223&gt;'Invoer gegevens (N)'!$C$17+215,0,AW223))</f>
        <v>0</v>
      </c>
      <c r="AY223" s="71">
        <f ca="1">AX223/(1+'Invoer gegevens (N)'!$F$18)^($AZ223-('Invoer gegevens (N)'!$C$17-'Invoer gegevens (N)'!$C$16))/(1+'Invoer gegevens (N)'!$C$39)^('Invoer gegevens (N)'!$C$17-'Invoer gegevens (N)'!$C$16)</f>
        <v>0</v>
      </c>
      <c r="AZ223" s="68">
        <f ca="1">IF(E223-'Invoer gegevens (N)'!$C$17-14.5&lt;0,0,E223-'Invoer gegevens (N)'!$C$17-14.5)</f>
        <v>203.5</v>
      </c>
    </row>
    <row r="224" spans="2:52" x14ac:dyDescent="0.25">
      <c r="B224" s="70">
        <f t="shared" si="42"/>
        <v>220</v>
      </c>
      <c r="C224" s="67">
        <f ca="1">IF(E224-'Invoer gegevens (N)'!$C$17&lt;0,0,1)</f>
        <v>1</v>
      </c>
      <c r="D224" s="68">
        <f t="shared" si="43"/>
        <v>219.5</v>
      </c>
      <c r="E224" s="108">
        <f ca="1">IF('Invoer gegevens (N)'!$C$16="","",E223+1)</f>
        <v>2238</v>
      </c>
      <c r="F224" s="84">
        <f ca="1">IF('Invoer gegevens (N)'!$C$17=E224,'Invoer gegevens (N)'!$C$10,IF(C224=1,K223,0))</f>
        <v>0</v>
      </c>
      <c r="G224" s="96">
        <f ca="1">IF(C224&gt;=1,F224*VLOOKUP(E224,'Reeksen (N)'!$A$5:$B$76,2),0)</f>
        <v>0</v>
      </c>
      <c r="H224" s="84">
        <f ca="1">(1-('Invoer gegevens (N)'!$F$20/12))*F224*MIN('Reeksen (N)'!B224,'Reeksen (N)'!D224)</f>
        <v>0</v>
      </c>
      <c r="I224" s="84">
        <f>IF('Reeksen (N)'!D224&lt;'Reeksen (N)'!B224,('Reeksen (N)'!B224-'Reeksen (N)'!D224)*F224,0)</f>
        <v>0</v>
      </c>
      <c r="J224" s="84">
        <f ca="1">('Invoer gegevens (N)'!$F$20/12)*F223*MIN('Reeksen (N)'!B223,'Reeksen (N)'!D223)</f>
        <v>0</v>
      </c>
      <c r="K224" s="97">
        <f t="shared" ca="1" si="34"/>
        <v>0</v>
      </c>
      <c r="L224" s="84">
        <f ca="1">IF('Invoer gegevens (N)'!$C$17=E224,0,IF(C224=1,Q223,0))</f>
        <v>0</v>
      </c>
      <c r="M224" s="96">
        <f ca="1">IF(C224&gt;=1,L224*VLOOKUP(E224,'Reeksen (N)'!$A$5:$B$76,2),0)</f>
        <v>0</v>
      </c>
      <c r="N224" s="84">
        <f ca="1">(1-('Invoer gegevens (N)'!$F$20/12))*L224*MIN('Reeksen (N)'!B224,'Reeksen (N)'!D224)</f>
        <v>0</v>
      </c>
      <c r="O224" s="84">
        <f>IF('Reeksen (N)'!D224&lt;'Reeksen (N)'!B224,('Reeksen (N)'!B224-'Reeksen (N)'!D224)*L224,0)</f>
        <v>0</v>
      </c>
      <c r="P224" s="84">
        <f ca="1">('Invoer gegevens (N)'!$F$20/12)*L223*MIN('Reeksen (N)'!B223,'Reeksen (N)'!D223)</f>
        <v>0</v>
      </c>
      <c r="Q224" s="84">
        <f t="shared" ca="1" si="35"/>
        <v>0</v>
      </c>
      <c r="R224" s="82">
        <f ca="1">IF('Invoer gegevens (N)'!$C$17=E224,'Invoer gegevens (N)'!$C$11,IF(C224=1,W223,0))</f>
        <v>0</v>
      </c>
      <c r="S224" s="86">
        <f ca="1">IF(C224&gt;=1,R224*VLOOKUP(E224,'Reeksen (N)'!$A$5:$B$76,2),0)</f>
        <v>0</v>
      </c>
      <c r="T224" s="84">
        <f ca="1">(1-('Invoer gegevens (N)'!$F$20/12))*R224*MIN('Reeksen (N)'!B224,'Reeksen (N)'!D224)</f>
        <v>0</v>
      </c>
      <c r="U224" s="84">
        <f>IF('Reeksen (N)'!D224&gt;='Reeksen (N)'!B224,0,IF('Reeksen (N)'!AK224&lt;='Reeksen (N)'!AE224,('Reeksen (N)'!B224-'Reeksen (N)'!D224)*R224,0))</f>
        <v>0</v>
      </c>
      <c r="V224" s="86">
        <f>IF('Reeksen (N)'!D224&gt;='Reeksen (N)'!B224,0,IF('Reeksen (N)'!AK224&gt;'Reeksen (N)'!AE224,('Reeksen (N)'!B224-'Reeksen (N)'!D224)*R224,0))</f>
        <v>0</v>
      </c>
      <c r="W224" s="97">
        <f t="shared" ca="1" si="36"/>
        <v>0</v>
      </c>
      <c r="X224" s="98">
        <f ca="1">IF('Invoer gegevens (N)'!$C$17=E224,'Invoer gegevens (N)'!$C$10-'Invoer gegevens (N)'!$C$11,IF(C224=1,AC223,0))</f>
        <v>0</v>
      </c>
      <c r="Y224" s="98">
        <f ca="1">IF(C224&gt;=1,X224*VLOOKUP(E224,'Reeksen (N)'!$A$5:$B$76,2),0)</f>
        <v>0</v>
      </c>
      <c r="Z224" s="98">
        <f ca="1">(1-('Invoer gegevens (N)'!$F$20/12))*X224*MIN('Reeksen (N)'!B224,'Reeksen (N)'!D224)</f>
        <v>0</v>
      </c>
      <c r="AA224" s="98">
        <f>IF('Reeksen (N)'!D224&gt;='Reeksen (N)'!B224,0,IF('Reeksen (N)'!AK224&lt;='Reeksen (N)'!AE224,('Reeksen (N)'!B224-'Reeksen (N)'!D224)*X224,0))</f>
        <v>0</v>
      </c>
      <c r="AB224" s="98">
        <f>IF('Reeksen (N)'!D224&gt;='Reeksen (N)'!B224,0,IF('Reeksen (N)'!AK224&gt;'Reeksen (N)'!AE224,('Reeksen (N)'!B224-'Reeksen (N)'!D224)*X224,0))</f>
        <v>0</v>
      </c>
      <c r="AC224" s="99">
        <f t="shared" ca="1" si="37"/>
        <v>0</v>
      </c>
      <c r="AD224" s="98">
        <f ca="1">IF('Invoer gegevens (N)'!$C$17=E224,R224,IF(C224=0,0,AE223))</f>
        <v>0</v>
      </c>
      <c r="AE224" s="98">
        <f t="shared" ca="1" si="38"/>
        <v>0</v>
      </c>
      <c r="AF224" s="98">
        <f ca="1">IF('Invoer gegevens (N)'!$C$17=E224,X224,IF(C224=0,0,AG223))</f>
        <v>0</v>
      </c>
      <c r="AG224" s="98">
        <f t="shared" ca="1" si="39"/>
        <v>0</v>
      </c>
      <c r="AH224" s="68"/>
      <c r="AI224" s="71">
        <f ca="1">IF(C224=1,'Reeksen (N)'!AJ224*((F224-G224+F224)/2)*12+'Reeksen (N)'!AK224*((L224-M224+L224)/2)*12,0)</f>
        <v>0</v>
      </c>
      <c r="AJ224" s="71">
        <f ca="1">-AI224*'Invoer gegevens (N)'!$F$28</f>
        <v>0</v>
      </c>
      <c r="AK224" s="71">
        <f t="shared" ca="1" si="33"/>
        <v>0</v>
      </c>
      <c r="AL224" s="71">
        <f ca="1">IF(C224=1,'Reeksen (N)'!AL224*((F224-G224+F224)/2)*12+'Reeksen (N)'!AM224*((L224-M224+L224)/2)*12,0)</f>
        <v>0</v>
      </c>
      <c r="AM224" s="71">
        <f ca="1">-AL224*'Invoer gegevens (N)'!$F$31</f>
        <v>0</v>
      </c>
      <c r="AN224" s="71">
        <f t="shared" ca="1" si="40"/>
        <v>0</v>
      </c>
      <c r="AO224" s="71">
        <f ca="1">IF(C224=1,(H224+J224+N224+P224)*'Reeksen (N)'!AN224,0)</f>
        <v>0</v>
      </c>
      <c r="AP224" s="71">
        <f ca="1">-IF(C224=1,(H224+J224+N224+P224)*'Hulp - basis'!$O$550*'Reeksen (N)'!H224,0)</f>
        <v>0</v>
      </c>
      <c r="AQ224" s="71">
        <f ca="1">-IF(C224=1,(F224+K224+L224+Q224)/2*'Invoer gegevens (N)'!$I$33*'Reeksen (N)'!J224,0)*2</f>
        <v>0</v>
      </c>
      <c r="AR224" s="71">
        <f ca="1">-IF(C224=1,(I224*'Invoer gegevens (N)'!$I$34)*'Reeksen (N)'!J224,0)</f>
        <v>0</v>
      </c>
      <c r="AS224" s="71">
        <f ca="1">-IF(C224=1,(F224+K224+L224+Q224)/2*'Invoer gegevens (N)'!$I$35*'Reeksen (N)'!L224,0)</f>
        <v>0</v>
      </c>
      <c r="AT224" s="71">
        <f ca="1">-IF(C224=1,IF(E224='Invoer gegevens (N)'!$C$17,'Invoer gegevens (N)'!$C$11,AD224)*'Reeksen (N)'!S224*'Invoer gegevens (N)'!$C$18*'Reeksen (N)'!P224,0)</f>
        <v>0</v>
      </c>
      <c r="AU224" s="71">
        <f ca="1">-IF(C224=1,(F224+K224+L224+Q224)/2*'Invoer gegevens (N)'!$I$36*'Reeksen (N)'!H224,0)</f>
        <v>0</v>
      </c>
      <c r="AV224" s="71">
        <v>0</v>
      </c>
      <c r="AW224" s="71">
        <f t="shared" ca="1" si="41"/>
        <v>0</v>
      </c>
      <c r="AX224" s="71">
        <f ca="1">IF(E224&lt;'Invoer gegevens (N)'!$C$17+15,0,IF(E224&gt;'Invoer gegevens (N)'!$C$17+215,0,AW224))</f>
        <v>0</v>
      </c>
      <c r="AY224" s="71">
        <f ca="1">AX224/(1+'Invoer gegevens (N)'!$F$18)^($AZ224-('Invoer gegevens (N)'!$C$17-'Invoer gegevens (N)'!$C$16))/(1+'Invoer gegevens (N)'!$C$39)^('Invoer gegevens (N)'!$C$17-'Invoer gegevens (N)'!$C$16)</f>
        <v>0</v>
      </c>
      <c r="AZ224" s="68">
        <f ca="1">IF(E224-'Invoer gegevens (N)'!$C$17-14.5&lt;0,0,E224-'Invoer gegevens (N)'!$C$17-14.5)</f>
        <v>204.5</v>
      </c>
    </row>
    <row r="225" spans="1:52" x14ac:dyDescent="0.25">
      <c r="B225" s="70">
        <f t="shared" si="42"/>
        <v>221</v>
      </c>
      <c r="C225" s="67">
        <f ca="1">IF(E225-'Invoer gegevens (N)'!$C$17&lt;0,0,1)</f>
        <v>1</v>
      </c>
      <c r="D225" s="68">
        <f t="shared" si="43"/>
        <v>220.5</v>
      </c>
      <c r="E225" s="108">
        <f ca="1">IF('Invoer gegevens (N)'!$C$16="","",E224+1)</f>
        <v>2239</v>
      </c>
      <c r="F225" s="84">
        <f ca="1">IF('Invoer gegevens (N)'!$C$17=E225,'Invoer gegevens (N)'!$C$10,IF(C225=1,K224,0))</f>
        <v>0</v>
      </c>
      <c r="G225" s="96">
        <f ca="1">IF(C225&gt;=1,F225*VLOOKUP(E225,'Reeksen (N)'!$A$5:$B$76,2),0)</f>
        <v>0</v>
      </c>
      <c r="H225" s="84">
        <f ca="1">(1-('Invoer gegevens (N)'!$F$20/12))*F225*MIN('Reeksen (N)'!B225,'Reeksen (N)'!D225)</f>
        <v>0</v>
      </c>
      <c r="I225" s="84">
        <f>IF('Reeksen (N)'!D225&lt;'Reeksen (N)'!B225,('Reeksen (N)'!B225-'Reeksen (N)'!D225)*F225,0)</f>
        <v>0</v>
      </c>
      <c r="J225" s="84">
        <f ca="1">('Invoer gegevens (N)'!$F$20/12)*F224*MIN('Reeksen (N)'!B224,'Reeksen (N)'!D224)</f>
        <v>0</v>
      </c>
      <c r="K225" s="97">
        <f t="shared" ca="1" si="34"/>
        <v>0</v>
      </c>
      <c r="L225" s="84">
        <f ca="1">IF('Invoer gegevens (N)'!$C$17=E225,0,IF(C225=1,Q224,0))</f>
        <v>0</v>
      </c>
      <c r="M225" s="96">
        <f ca="1">IF(C225&gt;=1,L225*VLOOKUP(E225,'Reeksen (N)'!$A$5:$B$76,2),0)</f>
        <v>0</v>
      </c>
      <c r="N225" s="84">
        <f ca="1">(1-('Invoer gegevens (N)'!$F$20/12))*L225*MIN('Reeksen (N)'!B225,'Reeksen (N)'!D225)</f>
        <v>0</v>
      </c>
      <c r="O225" s="84">
        <f>IF('Reeksen (N)'!D225&lt;'Reeksen (N)'!B225,('Reeksen (N)'!B225-'Reeksen (N)'!D225)*L225,0)</f>
        <v>0</v>
      </c>
      <c r="P225" s="84">
        <f ca="1">('Invoer gegevens (N)'!$F$20/12)*L224*MIN('Reeksen (N)'!B224,'Reeksen (N)'!D224)</f>
        <v>0</v>
      </c>
      <c r="Q225" s="84">
        <f t="shared" ca="1" si="35"/>
        <v>0</v>
      </c>
      <c r="R225" s="82">
        <f ca="1">IF('Invoer gegevens (N)'!$C$17=E225,'Invoer gegevens (N)'!$C$11,IF(C225=1,W224,0))</f>
        <v>0</v>
      </c>
      <c r="S225" s="86">
        <f ca="1">IF(C225&gt;=1,R225*VLOOKUP(E225,'Reeksen (N)'!$A$5:$B$76,2),0)</f>
        <v>0</v>
      </c>
      <c r="T225" s="84">
        <f ca="1">(1-('Invoer gegevens (N)'!$F$20/12))*R225*MIN('Reeksen (N)'!B225,'Reeksen (N)'!D225)</f>
        <v>0</v>
      </c>
      <c r="U225" s="84">
        <f>IF('Reeksen (N)'!D225&gt;='Reeksen (N)'!B225,0,IF('Reeksen (N)'!AK225&lt;='Reeksen (N)'!AE225,('Reeksen (N)'!B225-'Reeksen (N)'!D225)*R225,0))</f>
        <v>0</v>
      </c>
      <c r="V225" s="86">
        <f>IF('Reeksen (N)'!D225&gt;='Reeksen (N)'!B225,0,IF('Reeksen (N)'!AK225&gt;'Reeksen (N)'!AE225,('Reeksen (N)'!B225-'Reeksen (N)'!D225)*R225,0))</f>
        <v>0</v>
      </c>
      <c r="W225" s="97">
        <f t="shared" ca="1" si="36"/>
        <v>0</v>
      </c>
      <c r="X225" s="98">
        <f ca="1">IF('Invoer gegevens (N)'!$C$17=E225,'Invoer gegevens (N)'!$C$10-'Invoer gegevens (N)'!$C$11,IF(C225=1,AC224,0))</f>
        <v>0</v>
      </c>
      <c r="Y225" s="98">
        <f ca="1">IF(C225&gt;=1,X225*VLOOKUP(E225,'Reeksen (N)'!$A$5:$B$76,2),0)</f>
        <v>0</v>
      </c>
      <c r="Z225" s="98">
        <f ca="1">(1-('Invoer gegevens (N)'!$F$20/12))*X225*MIN('Reeksen (N)'!B225,'Reeksen (N)'!D225)</f>
        <v>0</v>
      </c>
      <c r="AA225" s="98">
        <f>IF('Reeksen (N)'!D225&gt;='Reeksen (N)'!B225,0,IF('Reeksen (N)'!AK225&lt;='Reeksen (N)'!AE225,('Reeksen (N)'!B225-'Reeksen (N)'!D225)*X225,0))</f>
        <v>0</v>
      </c>
      <c r="AB225" s="98">
        <f>IF('Reeksen (N)'!D225&gt;='Reeksen (N)'!B225,0,IF('Reeksen (N)'!AK225&gt;'Reeksen (N)'!AE225,('Reeksen (N)'!B225-'Reeksen (N)'!D225)*X225,0))</f>
        <v>0</v>
      </c>
      <c r="AC225" s="99">
        <f t="shared" ca="1" si="37"/>
        <v>0</v>
      </c>
      <c r="AD225" s="98">
        <f ca="1">IF('Invoer gegevens (N)'!$C$17=E225,R225,IF(C225=0,0,AE224))</f>
        <v>0</v>
      </c>
      <c r="AE225" s="98">
        <f t="shared" ca="1" si="38"/>
        <v>0</v>
      </c>
      <c r="AF225" s="98">
        <f ca="1">IF('Invoer gegevens (N)'!$C$17=E225,X225,IF(C225=0,0,AG224))</f>
        <v>0</v>
      </c>
      <c r="AG225" s="98">
        <f t="shared" ca="1" si="39"/>
        <v>0</v>
      </c>
      <c r="AH225" s="68"/>
      <c r="AI225" s="71">
        <f ca="1">IF(C225=1,'Reeksen (N)'!AJ225*((F225-G225+F225)/2)*12+'Reeksen (N)'!AK225*((L225-M225+L225)/2)*12,0)</f>
        <v>0</v>
      </c>
      <c r="AJ225" s="71">
        <f ca="1">-AI225*'Invoer gegevens (N)'!$F$28</f>
        <v>0</v>
      </c>
      <c r="AK225" s="71">
        <f t="shared" ca="1" si="33"/>
        <v>0</v>
      </c>
      <c r="AL225" s="71">
        <f ca="1">IF(C225=1,'Reeksen (N)'!AL225*((F225-G225+F225)/2)*12+'Reeksen (N)'!AM225*((L225-M225+L225)/2)*12,0)</f>
        <v>0</v>
      </c>
      <c r="AM225" s="71">
        <f ca="1">-AL225*'Invoer gegevens (N)'!$F$31</f>
        <v>0</v>
      </c>
      <c r="AN225" s="71">
        <f t="shared" ca="1" si="40"/>
        <v>0</v>
      </c>
      <c r="AO225" s="71">
        <f ca="1">IF(C225=1,(H225+J225+N225+P225)*'Reeksen (N)'!AN225,0)</f>
        <v>0</v>
      </c>
      <c r="AP225" s="71">
        <f ca="1">-IF(C225=1,(H225+J225+N225+P225)*'Hulp - basis'!$O$550*'Reeksen (N)'!H225,0)</f>
        <v>0</v>
      </c>
      <c r="AQ225" s="71">
        <f ca="1">-IF(C225=1,(F225+K225+L225+Q225)/2*'Invoer gegevens (N)'!$I$33*'Reeksen (N)'!J225,0)*2</f>
        <v>0</v>
      </c>
      <c r="AR225" s="71">
        <f ca="1">-IF(C225=1,(I225*'Invoer gegevens (N)'!$I$34)*'Reeksen (N)'!J225,0)</f>
        <v>0</v>
      </c>
      <c r="AS225" s="71">
        <f ca="1">-IF(C225=1,(F225+K225+L225+Q225)/2*'Invoer gegevens (N)'!$I$35*'Reeksen (N)'!L225,0)</f>
        <v>0</v>
      </c>
      <c r="AT225" s="71">
        <f ca="1">-IF(C225=1,IF(E225='Invoer gegevens (N)'!$C$17,'Invoer gegevens (N)'!$C$11,AD225)*'Reeksen (N)'!S225*'Invoer gegevens (N)'!$C$18*'Reeksen (N)'!P225,0)</f>
        <v>0</v>
      </c>
      <c r="AU225" s="71">
        <f ca="1">-IF(C225=1,(F225+K225+L225+Q225)/2*'Invoer gegevens (N)'!$I$36*'Reeksen (N)'!H225,0)</f>
        <v>0</v>
      </c>
      <c r="AV225" s="71">
        <v>0</v>
      </c>
      <c r="AW225" s="71">
        <f t="shared" ca="1" si="41"/>
        <v>0</v>
      </c>
      <c r="AX225" s="71">
        <f ca="1">IF(E225&lt;'Invoer gegevens (N)'!$C$17+15,0,IF(E225&gt;'Invoer gegevens (N)'!$C$17+215,0,AW225))</f>
        <v>0</v>
      </c>
      <c r="AY225" s="71">
        <f ca="1">AX225/(1+'Invoer gegevens (N)'!$F$18)^($AZ225-('Invoer gegevens (N)'!$C$17-'Invoer gegevens (N)'!$C$16))/(1+'Invoer gegevens (N)'!$C$39)^('Invoer gegevens (N)'!$C$17-'Invoer gegevens (N)'!$C$16)</f>
        <v>0</v>
      </c>
      <c r="AZ225" s="68">
        <f ca="1">IF(E225-'Invoer gegevens (N)'!$C$17-14.5&lt;0,0,E225-'Invoer gegevens (N)'!$C$17-14.5)</f>
        <v>205.5</v>
      </c>
    </row>
    <row r="226" spans="1:52" x14ac:dyDescent="0.25">
      <c r="B226" s="70">
        <f t="shared" si="42"/>
        <v>222</v>
      </c>
      <c r="C226" s="67">
        <f ca="1">IF(E226-'Invoer gegevens (N)'!$C$17&lt;0,0,1)</f>
        <v>1</v>
      </c>
      <c r="D226" s="68">
        <f t="shared" si="43"/>
        <v>221.5</v>
      </c>
      <c r="E226" s="108">
        <f ca="1">IF('Invoer gegevens (N)'!$C$16="","",E225+1)</f>
        <v>2240</v>
      </c>
      <c r="F226" s="84">
        <f ca="1">IF('Invoer gegevens (N)'!$C$17=E226,'Invoer gegevens (N)'!$C$10,IF(C226=1,K225,0))</f>
        <v>0</v>
      </c>
      <c r="G226" s="96">
        <f ca="1">IF(C226&gt;=1,F226*VLOOKUP(E226,'Reeksen (N)'!$A$5:$B$76,2),0)</f>
        <v>0</v>
      </c>
      <c r="H226" s="84">
        <f ca="1">(1-('Invoer gegevens (N)'!$F$20/12))*F226*MIN('Reeksen (N)'!B226,'Reeksen (N)'!D226)</f>
        <v>0</v>
      </c>
      <c r="I226" s="84">
        <f>IF('Reeksen (N)'!D226&lt;'Reeksen (N)'!B226,('Reeksen (N)'!B226-'Reeksen (N)'!D226)*F226,0)</f>
        <v>0</v>
      </c>
      <c r="J226" s="84">
        <f ca="1">('Invoer gegevens (N)'!$F$20/12)*F225*MIN('Reeksen (N)'!B225,'Reeksen (N)'!D225)</f>
        <v>0</v>
      </c>
      <c r="K226" s="97">
        <f t="shared" ca="1" si="34"/>
        <v>0</v>
      </c>
      <c r="L226" s="84">
        <f ca="1">IF('Invoer gegevens (N)'!$C$17=E226,0,IF(C226=1,Q225,0))</f>
        <v>0</v>
      </c>
      <c r="M226" s="96">
        <f ca="1">IF(C226&gt;=1,L226*VLOOKUP(E226,'Reeksen (N)'!$A$5:$B$76,2),0)</f>
        <v>0</v>
      </c>
      <c r="N226" s="84">
        <f ca="1">(1-('Invoer gegevens (N)'!$F$20/12))*L226*MIN('Reeksen (N)'!B226,'Reeksen (N)'!D226)</f>
        <v>0</v>
      </c>
      <c r="O226" s="84">
        <f>IF('Reeksen (N)'!D226&lt;'Reeksen (N)'!B226,('Reeksen (N)'!B226-'Reeksen (N)'!D226)*L226,0)</f>
        <v>0</v>
      </c>
      <c r="P226" s="84">
        <f ca="1">('Invoer gegevens (N)'!$F$20/12)*L225*MIN('Reeksen (N)'!B225,'Reeksen (N)'!D225)</f>
        <v>0</v>
      </c>
      <c r="Q226" s="84">
        <f t="shared" ca="1" si="35"/>
        <v>0</v>
      </c>
      <c r="R226" s="82">
        <f ca="1">IF('Invoer gegevens (N)'!$C$17=E226,'Invoer gegevens (N)'!$C$11,IF(C226=1,W225,0))</f>
        <v>0</v>
      </c>
      <c r="S226" s="86">
        <f ca="1">IF(C226&gt;=1,R226*VLOOKUP(E226,'Reeksen (N)'!$A$5:$B$76,2),0)</f>
        <v>0</v>
      </c>
      <c r="T226" s="84">
        <f ca="1">(1-('Invoer gegevens (N)'!$F$20/12))*R226*MIN('Reeksen (N)'!B226,'Reeksen (N)'!D226)</f>
        <v>0</v>
      </c>
      <c r="U226" s="84">
        <f>IF('Reeksen (N)'!D226&gt;='Reeksen (N)'!B226,0,IF('Reeksen (N)'!AK226&lt;='Reeksen (N)'!AE226,('Reeksen (N)'!B226-'Reeksen (N)'!D226)*R226,0))</f>
        <v>0</v>
      </c>
      <c r="V226" s="86">
        <f>IF('Reeksen (N)'!D226&gt;='Reeksen (N)'!B226,0,IF('Reeksen (N)'!AK226&gt;'Reeksen (N)'!AE226,('Reeksen (N)'!B226-'Reeksen (N)'!D226)*R226,0))</f>
        <v>0</v>
      </c>
      <c r="W226" s="97">
        <f t="shared" ca="1" si="36"/>
        <v>0</v>
      </c>
      <c r="X226" s="98">
        <f ca="1">IF('Invoer gegevens (N)'!$C$17=E226,'Invoer gegevens (N)'!$C$10-'Invoer gegevens (N)'!$C$11,IF(C226=1,AC225,0))</f>
        <v>0</v>
      </c>
      <c r="Y226" s="98">
        <f ca="1">IF(C226&gt;=1,X226*VLOOKUP(E226,'Reeksen (N)'!$A$5:$B$76,2),0)</f>
        <v>0</v>
      </c>
      <c r="Z226" s="98">
        <f ca="1">(1-('Invoer gegevens (N)'!$F$20/12))*X226*MIN('Reeksen (N)'!B226,'Reeksen (N)'!D226)</f>
        <v>0</v>
      </c>
      <c r="AA226" s="98">
        <f>IF('Reeksen (N)'!D226&gt;='Reeksen (N)'!B226,0,IF('Reeksen (N)'!AK226&lt;='Reeksen (N)'!AE226,('Reeksen (N)'!B226-'Reeksen (N)'!D226)*X226,0))</f>
        <v>0</v>
      </c>
      <c r="AB226" s="98">
        <f>IF('Reeksen (N)'!D226&gt;='Reeksen (N)'!B226,0,IF('Reeksen (N)'!AK226&gt;'Reeksen (N)'!AE226,('Reeksen (N)'!B226-'Reeksen (N)'!D226)*X226,0))</f>
        <v>0</v>
      </c>
      <c r="AC226" s="99">
        <f t="shared" ca="1" si="37"/>
        <v>0</v>
      </c>
      <c r="AD226" s="98">
        <f ca="1">IF('Invoer gegevens (N)'!$C$17=E226,R226,IF(C226=0,0,AE225))</f>
        <v>0</v>
      </c>
      <c r="AE226" s="98">
        <f t="shared" ca="1" si="38"/>
        <v>0</v>
      </c>
      <c r="AF226" s="98">
        <f ca="1">IF('Invoer gegevens (N)'!$C$17=E226,X226,IF(C226=0,0,AG225))</f>
        <v>0</v>
      </c>
      <c r="AG226" s="98">
        <f t="shared" ca="1" si="39"/>
        <v>0</v>
      </c>
      <c r="AH226" s="68"/>
      <c r="AI226" s="71">
        <f ca="1">IF(C226=1,'Reeksen (N)'!AJ226*((F226-G226+F226)/2)*12+'Reeksen (N)'!AK226*((L226-M226+L226)/2)*12,0)</f>
        <v>0</v>
      </c>
      <c r="AJ226" s="71">
        <f ca="1">-AI226*'Invoer gegevens (N)'!$F$28</f>
        <v>0</v>
      </c>
      <c r="AK226" s="71">
        <f t="shared" ca="1" si="33"/>
        <v>0</v>
      </c>
      <c r="AL226" s="71">
        <f ca="1">IF(C226=1,'Reeksen (N)'!AL226*((F226-G226+F226)/2)*12+'Reeksen (N)'!AM226*((L226-M226+L226)/2)*12,0)</f>
        <v>0</v>
      </c>
      <c r="AM226" s="71">
        <f ca="1">-AL226*'Invoer gegevens (N)'!$F$31</f>
        <v>0</v>
      </c>
      <c r="AN226" s="71">
        <f t="shared" ca="1" si="40"/>
        <v>0</v>
      </c>
      <c r="AO226" s="71">
        <f ca="1">IF(C226=1,(H226+J226+N226+P226)*'Reeksen (N)'!AN226,0)</f>
        <v>0</v>
      </c>
      <c r="AP226" s="71">
        <f ca="1">-IF(C226=1,(H226+J226+N226+P226)*'Hulp - basis'!$O$550*'Reeksen (N)'!H226,0)</f>
        <v>0</v>
      </c>
      <c r="AQ226" s="71">
        <f ca="1">-IF(C226=1,(F226+K226+L226+Q226)/2*'Invoer gegevens (N)'!$I$33*'Reeksen (N)'!J226,0)*2</f>
        <v>0</v>
      </c>
      <c r="AR226" s="71">
        <f ca="1">-IF(C226=1,(I226*'Invoer gegevens (N)'!$I$34)*'Reeksen (N)'!J226,0)</f>
        <v>0</v>
      </c>
      <c r="AS226" s="71">
        <f ca="1">-IF(C226=1,(F226+K226+L226+Q226)/2*'Invoer gegevens (N)'!$I$35*'Reeksen (N)'!L226,0)</f>
        <v>0</v>
      </c>
      <c r="AT226" s="71">
        <f ca="1">-IF(C226=1,IF(E226='Invoer gegevens (N)'!$C$17,'Invoer gegevens (N)'!$C$11,AD226)*'Reeksen (N)'!S226*'Invoer gegevens (N)'!$C$18*'Reeksen (N)'!P226,0)</f>
        <v>0</v>
      </c>
      <c r="AU226" s="71">
        <f ca="1">-IF(C226=1,(F226+K226+L226+Q226)/2*'Invoer gegevens (N)'!$I$36*'Reeksen (N)'!H226,0)</f>
        <v>0</v>
      </c>
      <c r="AV226" s="71">
        <v>0</v>
      </c>
      <c r="AW226" s="71">
        <f t="shared" ca="1" si="41"/>
        <v>0</v>
      </c>
      <c r="AX226" s="71">
        <f ca="1">IF(E226&lt;'Invoer gegevens (N)'!$C$17+15,0,IF(E226&gt;'Invoer gegevens (N)'!$C$17+215,0,AW226))</f>
        <v>0</v>
      </c>
      <c r="AY226" s="71">
        <f ca="1">AX226/(1+'Invoer gegevens (N)'!$F$18)^($AZ226-('Invoer gegevens (N)'!$C$17-'Invoer gegevens (N)'!$C$16))/(1+'Invoer gegevens (N)'!$C$39)^('Invoer gegevens (N)'!$C$17-'Invoer gegevens (N)'!$C$16)</f>
        <v>0</v>
      </c>
      <c r="AZ226" s="68">
        <f ca="1">IF(E226-'Invoer gegevens (N)'!$C$17-14.5&lt;0,0,E226-'Invoer gegevens (N)'!$C$17-14.5)</f>
        <v>206.5</v>
      </c>
    </row>
    <row r="227" spans="1:52" x14ac:dyDescent="0.25">
      <c r="B227" s="70">
        <f t="shared" si="42"/>
        <v>223</v>
      </c>
      <c r="C227" s="67">
        <f ca="1">IF(E227-'Invoer gegevens (N)'!$C$17&lt;0,0,1)</f>
        <v>1</v>
      </c>
      <c r="D227" s="68">
        <f t="shared" si="43"/>
        <v>222.5</v>
      </c>
      <c r="E227" s="108">
        <f ca="1">IF('Invoer gegevens (N)'!$C$16="","",E226+1)</f>
        <v>2241</v>
      </c>
      <c r="F227" s="84">
        <f ca="1">IF('Invoer gegevens (N)'!$C$17=E227,'Invoer gegevens (N)'!$C$10,IF(C227=1,K226,0))</f>
        <v>0</v>
      </c>
      <c r="G227" s="96">
        <f ca="1">IF(C227&gt;=1,F227*VLOOKUP(E227,'Reeksen (N)'!$A$5:$B$76,2),0)</f>
        <v>0</v>
      </c>
      <c r="H227" s="84">
        <f ca="1">(1-('Invoer gegevens (N)'!$F$20/12))*F227*MIN('Reeksen (N)'!B227,'Reeksen (N)'!D227)</f>
        <v>0</v>
      </c>
      <c r="I227" s="84">
        <f>IF('Reeksen (N)'!D227&lt;'Reeksen (N)'!B227,('Reeksen (N)'!B227-'Reeksen (N)'!D227)*F227,0)</f>
        <v>0</v>
      </c>
      <c r="J227" s="84">
        <f ca="1">('Invoer gegevens (N)'!$F$20/12)*F226*MIN('Reeksen (N)'!B226,'Reeksen (N)'!D226)</f>
        <v>0</v>
      </c>
      <c r="K227" s="97">
        <f t="shared" ca="1" si="34"/>
        <v>0</v>
      </c>
      <c r="L227" s="84">
        <f ca="1">IF('Invoer gegevens (N)'!$C$17=E227,0,IF(C227=1,Q226,0))</f>
        <v>0</v>
      </c>
      <c r="M227" s="96">
        <f ca="1">IF(C227&gt;=1,L227*VLOOKUP(E227,'Reeksen (N)'!$A$5:$B$76,2),0)</f>
        <v>0</v>
      </c>
      <c r="N227" s="84">
        <f ca="1">(1-('Invoer gegevens (N)'!$F$20/12))*L227*MIN('Reeksen (N)'!B227,'Reeksen (N)'!D227)</f>
        <v>0</v>
      </c>
      <c r="O227" s="84">
        <f>IF('Reeksen (N)'!D227&lt;'Reeksen (N)'!B227,('Reeksen (N)'!B227-'Reeksen (N)'!D227)*L227,0)</f>
        <v>0</v>
      </c>
      <c r="P227" s="84">
        <f ca="1">('Invoer gegevens (N)'!$F$20/12)*L226*MIN('Reeksen (N)'!B226,'Reeksen (N)'!D226)</f>
        <v>0</v>
      </c>
      <c r="Q227" s="84">
        <f t="shared" ca="1" si="35"/>
        <v>0</v>
      </c>
      <c r="R227" s="82">
        <f ca="1">IF('Invoer gegevens (N)'!$C$17=E227,'Invoer gegevens (N)'!$C$11,IF(C227=1,W226,0))</f>
        <v>0</v>
      </c>
      <c r="S227" s="86">
        <f ca="1">IF(C227&gt;=1,R227*VLOOKUP(E227,'Reeksen (N)'!$A$5:$B$76,2),0)</f>
        <v>0</v>
      </c>
      <c r="T227" s="84">
        <f ca="1">(1-('Invoer gegevens (N)'!$F$20/12))*R227*MIN('Reeksen (N)'!B227,'Reeksen (N)'!D227)</f>
        <v>0</v>
      </c>
      <c r="U227" s="84">
        <f>IF('Reeksen (N)'!D227&gt;='Reeksen (N)'!B227,0,IF('Reeksen (N)'!AK227&lt;='Reeksen (N)'!AE227,('Reeksen (N)'!B227-'Reeksen (N)'!D227)*R227,0))</f>
        <v>0</v>
      </c>
      <c r="V227" s="86">
        <f>IF('Reeksen (N)'!D227&gt;='Reeksen (N)'!B227,0,IF('Reeksen (N)'!AK227&gt;'Reeksen (N)'!AE227,('Reeksen (N)'!B227-'Reeksen (N)'!D227)*R227,0))</f>
        <v>0</v>
      </c>
      <c r="W227" s="97">
        <f t="shared" ca="1" si="36"/>
        <v>0</v>
      </c>
      <c r="X227" s="98">
        <f ca="1">IF('Invoer gegevens (N)'!$C$17=E227,'Invoer gegevens (N)'!$C$10-'Invoer gegevens (N)'!$C$11,IF(C227=1,AC226,0))</f>
        <v>0</v>
      </c>
      <c r="Y227" s="98">
        <f ca="1">IF(C227&gt;=1,X227*VLOOKUP(E227,'Reeksen (N)'!$A$5:$B$76,2),0)</f>
        <v>0</v>
      </c>
      <c r="Z227" s="98">
        <f ca="1">(1-('Invoer gegevens (N)'!$F$20/12))*X227*MIN('Reeksen (N)'!B227,'Reeksen (N)'!D227)</f>
        <v>0</v>
      </c>
      <c r="AA227" s="98">
        <f>IF('Reeksen (N)'!D227&gt;='Reeksen (N)'!B227,0,IF('Reeksen (N)'!AK227&lt;='Reeksen (N)'!AE227,('Reeksen (N)'!B227-'Reeksen (N)'!D227)*X227,0))</f>
        <v>0</v>
      </c>
      <c r="AB227" s="98">
        <f>IF('Reeksen (N)'!D227&gt;='Reeksen (N)'!B227,0,IF('Reeksen (N)'!AK227&gt;'Reeksen (N)'!AE227,('Reeksen (N)'!B227-'Reeksen (N)'!D227)*X227,0))</f>
        <v>0</v>
      </c>
      <c r="AC227" s="99">
        <f t="shared" ca="1" si="37"/>
        <v>0</v>
      </c>
      <c r="AD227" s="98">
        <f ca="1">IF('Invoer gegevens (N)'!$C$17=E227,R227,IF(C227=0,0,AE226))</f>
        <v>0</v>
      </c>
      <c r="AE227" s="98">
        <f t="shared" ca="1" si="38"/>
        <v>0</v>
      </c>
      <c r="AF227" s="98">
        <f ca="1">IF('Invoer gegevens (N)'!$C$17=E227,X227,IF(C227=0,0,AG226))</f>
        <v>0</v>
      </c>
      <c r="AG227" s="98">
        <f t="shared" ca="1" si="39"/>
        <v>0</v>
      </c>
      <c r="AH227" s="68"/>
      <c r="AI227" s="71">
        <f ca="1">IF(C227=1,'Reeksen (N)'!AJ227*((F227-G227+F227)/2)*12+'Reeksen (N)'!AK227*((L227-M227+L227)/2)*12,0)</f>
        <v>0</v>
      </c>
      <c r="AJ227" s="71">
        <f ca="1">-AI227*'Invoer gegevens (N)'!$F$28</f>
        <v>0</v>
      </c>
      <c r="AK227" s="71">
        <f t="shared" ca="1" si="33"/>
        <v>0</v>
      </c>
      <c r="AL227" s="71">
        <f ca="1">IF(C227=1,'Reeksen (N)'!AL227*((F227-G227+F227)/2)*12+'Reeksen (N)'!AM227*((L227-M227+L227)/2)*12,0)</f>
        <v>0</v>
      </c>
      <c r="AM227" s="71">
        <f ca="1">-AL227*'Invoer gegevens (N)'!$F$31</f>
        <v>0</v>
      </c>
      <c r="AN227" s="71">
        <f t="shared" ca="1" si="40"/>
        <v>0</v>
      </c>
      <c r="AO227" s="71">
        <f ca="1">IF(C227=1,(H227+J227+N227+P227)*'Reeksen (N)'!AN227,0)</f>
        <v>0</v>
      </c>
      <c r="AP227" s="71">
        <f ca="1">-IF(C227=1,(H227+J227+N227+P227)*'Hulp - basis'!$O$550*'Reeksen (N)'!H227,0)</f>
        <v>0</v>
      </c>
      <c r="AQ227" s="71">
        <f ca="1">-IF(C227=1,(F227+K227+L227+Q227)/2*'Invoer gegevens (N)'!$I$33*'Reeksen (N)'!J227,0)*2</f>
        <v>0</v>
      </c>
      <c r="AR227" s="71">
        <f ca="1">-IF(C227=1,(I227*'Invoer gegevens (N)'!$I$34)*'Reeksen (N)'!J227,0)</f>
        <v>0</v>
      </c>
      <c r="AS227" s="71">
        <f ca="1">-IF(C227=1,(F227+K227+L227+Q227)/2*'Invoer gegevens (N)'!$I$35*'Reeksen (N)'!L227,0)</f>
        <v>0</v>
      </c>
      <c r="AT227" s="71">
        <f ca="1">-IF(C227=1,IF(E227='Invoer gegevens (N)'!$C$17,'Invoer gegevens (N)'!$C$11,AD227)*'Reeksen (N)'!S227*'Invoer gegevens (N)'!$C$18*'Reeksen (N)'!P227,0)</f>
        <v>0</v>
      </c>
      <c r="AU227" s="71">
        <f ca="1">-IF(C227=1,(F227+K227+L227+Q227)/2*'Invoer gegevens (N)'!$I$36*'Reeksen (N)'!H227,0)</f>
        <v>0</v>
      </c>
      <c r="AV227" s="71">
        <v>0</v>
      </c>
      <c r="AW227" s="71">
        <f t="shared" ca="1" si="41"/>
        <v>0</v>
      </c>
      <c r="AX227" s="71">
        <f ca="1">IF(E227&lt;'Invoer gegevens (N)'!$C$17+15,0,IF(E227&gt;'Invoer gegevens (N)'!$C$17+215,0,AW227))</f>
        <v>0</v>
      </c>
      <c r="AY227" s="71">
        <f ca="1">AX227/(1+'Invoer gegevens (N)'!$F$18)^($AZ227-('Invoer gegevens (N)'!$C$17-'Invoer gegevens (N)'!$C$16))/(1+'Invoer gegevens (N)'!$C$39)^('Invoer gegevens (N)'!$C$17-'Invoer gegevens (N)'!$C$16)</f>
        <v>0</v>
      </c>
      <c r="AZ227" s="68">
        <f ca="1">IF(E227-'Invoer gegevens (N)'!$C$17-14.5&lt;0,0,E227-'Invoer gegevens (N)'!$C$17-14.5)</f>
        <v>207.5</v>
      </c>
    </row>
    <row r="228" spans="1:52" x14ac:dyDescent="0.25">
      <c r="B228" s="70">
        <f t="shared" si="42"/>
        <v>224</v>
      </c>
      <c r="C228" s="67">
        <f ca="1">IF(E228-'Invoer gegevens (N)'!$C$17&lt;0,0,1)</f>
        <v>1</v>
      </c>
      <c r="D228" s="68">
        <f t="shared" si="43"/>
        <v>223.5</v>
      </c>
      <c r="E228" s="108">
        <f ca="1">IF('Invoer gegevens (N)'!$C$16="","",E227+1)</f>
        <v>2242</v>
      </c>
      <c r="F228" s="84">
        <f ca="1">IF('Invoer gegevens (N)'!$C$17=E228,'Invoer gegevens (N)'!$C$10,IF(C228=1,K227,0))</f>
        <v>0</v>
      </c>
      <c r="G228" s="96">
        <f ca="1">IF(C228&gt;=1,F228*VLOOKUP(E228,'Reeksen (N)'!$A$5:$B$76,2),0)</f>
        <v>0</v>
      </c>
      <c r="H228" s="84">
        <f ca="1">(1-('Invoer gegevens (N)'!$F$20/12))*F228*MIN('Reeksen (N)'!B228,'Reeksen (N)'!D228)</f>
        <v>0</v>
      </c>
      <c r="I228" s="84">
        <f>IF('Reeksen (N)'!D228&lt;'Reeksen (N)'!B228,('Reeksen (N)'!B228-'Reeksen (N)'!D228)*F228,0)</f>
        <v>0</v>
      </c>
      <c r="J228" s="84">
        <f ca="1">('Invoer gegevens (N)'!$F$20/12)*F227*MIN('Reeksen (N)'!B227,'Reeksen (N)'!D227)</f>
        <v>0</v>
      </c>
      <c r="K228" s="97">
        <f t="shared" ca="1" si="34"/>
        <v>0</v>
      </c>
      <c r="L228" s="84">
        <f ca="1">IF('Invoer gegevens (N)'!$C$17=E228,0,IF(C228=1,Q227,0))</f>
        <v>0</v>
      </c>
      <c r="M228" s="96">
        <f ca="1">IF(C228&gt;=1,L228*VLOOKUP(E228,'Reeksen (N)'!$A$5:$B$76,2),0)</f>
        <v>0</v>
      </c>
      <c r="N228" s="84">
        <f ca="1">(1-('Invoer gegevens (N)'!$F$20/12))*L228*MIN('Reeksen (N)'!B228,'Reeksen (N)'!D228)</f>
        <v>0</v>
      </c>
      <c r="O228" s="84">
        <f>IF('Reeksen (N)'!D228&lt;'Reeksen (N)'!B228,('Reeksen (N)'!B228-'Reeksen (N)'!D228)*L228,0)</f>
        <v>0</v>
      </c>
      <c r="P228" s="84">
        <f ca="1">('Invoer gegevens (N)'!$F$20/12)*L227*MIN('Reeksen (N)'!B227,'Reeksen (N)'!D227)</f>
        <v>0</v>
      </c>
      <c r="Q228" s="84">
        <f t="shared" ca="1" si="35"/>
        <v>0</v>
      </c>
      <c r="R228" s="82">
        <f ca="1">IF('Invoer gegevens (N)'!$C$17=E228,'Invoer gegevens (N)'!$C$11,IF(C228=1,W227,0))</f>
        <v>0</v>
      </c>
      <c r="S228" s="86">
        <f ca="1">IF(C228&gt;=1,R228*VLOOKUP(E228,'Reeksen (N)'!$A$5:$B$76,2),0)</f>
        <v>0</v>
      </c>
      <c r="T228" s="84">
        <f ca="1">(1-('Invoer gegevens (N)'!$F$20/12))*R228*MIN('Reeksen (N)'!B228,'Reeksen (N)'!D228)</f>
        <v>0</v>
      </c>
      <c r="U228" s="84">
        <f>IF('Reeksen (N)'!D228&gt;='Reeksen (N)'!B228,0,IF('Reeksen (N)'!AK228&lt;='Reeksen (N)'!AE228,('Reeksen (N)'!B228-'Reeksen (N)'!D228)*R228,0))</f>
        <v>0</v>
      </c>
      <c r="V228" s="86">
        <f>IF('Reeksen (N)'!D228&gt;='Reeksen (N)'!B228,0,IF('Reeksen (N)'!AK228&gt;'Reeksen (N)'!AE228,('Reeksen (N)'!B228-'Reeksen (N)'!D228)*R228,0))</f>
        <v>0</v>
      </c>
      <c r="W228" s="97">
        <f t="shared" ca="1" si="36"/>
        <v>0</v>
      </c>
      <c r="X228" s="98">
        <f ca="1">IF('Invoer gegevens (N)'!$C$17=E228,'Invoer gegevens (N)'!$C$10-'Invoer gegevens (N)'!$C$11,IF(C228=1,AC227,0))</f>
        <v>0</v>
      </c>
      <c r="Y228" s="98">
        <f ca="1">IF(C228&gt;=1,X228*VLOOKUP(E228,'Reeksen (N)'!$A$5:$B$76,2),0)</f>
        <v>0</v>
      </c>
      <c r="Z228" s="98">
        <f ca="1">(1-('Invoer gegevens (N)'!$F$20/12))*X228*MIN('Reeksen (N)'!B228,'Reeksen (N)'!D228)</f>
        <v>0</v>
      </c>
      <c r="AA228" s="98">
        <f>IF('Reeksen (N)'!D228&gt;='Reeksen (N)'!B228,0,IF('Reeksen (N)'!AK228&lt;='Reeksen (N)'!AE228,('Reeksen (N)'!B228-'Reeksen (N)'!D228)*X228,0))</f>
        <v>0</v>
      </c>
      <c r="AB228" s="98">
        <f>IF('Reeksen (N)'!D228&gt;='Reeksen (N)'!B228,0,IF('Reeksen (N)'!AK228&gt;'Reeksen (N)'!AE228,('Reeksen (N)'!B228-'Reeksen (N)'!D228)*X228,0))</f>
        <v>0</v>
      </c>
      <c r="AC228" s="99">
        <f t="shared" ca="1" si="37"/>
        <v>0</v>
      </c>
      <c r="AD228" s="98">
        <f ca="1">IF('Invoer gegevens (N)'!$C$17=E228,R228,IF(C228=0,0,AE227))</f>
        <v>0</v>
      </c>
      <c r="AE228" s="98">
        <f t="shared" ca="1" si="38"/>
        <v>0</v>
      </c>
      <c r="AF228" s="98">
        <f ca="1">IF('Invoer gegevens (N)'!$C$17=E228,X228,IF(C228=0,0,AG227))</f>
        <v>0</v>
      </c>
      <c r="AG228" s="98">
        <f t="shared" ca="1" si="39"/>
        <v>0</v>
      </c>
      <c r="AH228" s="68"/>
      <c r="AI228" s="71">
        <f ca="1">IF(C228=1,'Reeksen (N)'!AJ228*((F228-G228+F228)/2)*12+'Reeksen (N)'!AK228*((L228-M228+L228)/2)*12,0)</f>
        <v>0</v>
      </c>
      <c r="AJ228" s="71">
        <f ca="1">-AI228*'Invoer gegevens (N)'!$F$28</f>
        <v>0</v>
      </c>
      <c r="AK228" s="71">
        <f t="shared" ca="1" si="33"/>
        <v>0</v>
      </c>
      <c r="AL228" s="71">
        <f ca="1">IF(C228=1,'Reeksen (N)'!AL228*((F228-G228+F228)/2)*12+'Reeksen (N)'!AM228*((L228-M228+L228)/2)*12,0)</f>
        <v>0</v>
      </c>
      <c r="AM228" s="71">
        <f ca="1">-AL228*'Invoer gegevens (N)'!$F$31</f>
        <v>0</v>
      </c>
      <c r="AN228" s="71">
        <f t="shared" ca="1" si="40"/>
        <v>0</v>
      </c>
      <c r="AO228" s="71">
        <f ca="1">IF(C228=1,(H228+J228+N228+P228)*'Reeksen (N)'!AN228,0)</f>
        <v>0</v>
      </c>
      <c r="AP228" s="71">
        <f ca="1">-IF(C228=1,(H228+J228+N228+P228)*'Hulp - basis'!$O$550*'Reeksen (N)'!H228,0)</f>
        <v>0</v>
      </c>
      <c r="AQ228" s="71">
        <f ca="1">-IF(C228=1,(F228+K228+L228+Q228)/2*'Invoer gegevens (N)'!$I$33*'Reeksen (N)'!J228,0)*2</f>
        <v>0</v>
      </c>
      <c r="AR228" s="71">
        <f ca="1">-IF(C228=1,(I228*'Invoer gegevens (N)'!$I$34)*'Reeksen (N)'!J228,0)</f>
        <v>0</v>
      </c>
      <c r="AS228" s="71">
        <f ca="1">-IF(C228=1,(F228+K228+L228+Q228)/2*'Invoer gegevens (N)'!$I$35*'Reeksen (N)'!L228,0)</f>
        <v>0</v>
      </c>
      <c r="AT228" s="71">
        <f ca="1">-IF(C228=1,IF(E228='Invoer gegevens (N)'!$C$17,'Invoer gegevens (N)'!$C$11,AD228)*'Reeksen (N)'!S228*'Invoer gegevens (N)'!$C$18*'Reeksen (N)'!P228,0)</f>
        <v>0</v>
      </c>
      <c r="AU228" s="71">
        <f ca="1">-IF(C228=1,(F228+K228+L228+Q228)/2*'Invoer gegevens (N)'!$I$36*'Reeksen (N)'!H228,0)</f>
        <v>0</v>
      </c>
      <c r="AV228" s="71">
        <v>0</v>
      </c>
      <c r="AW228" s="71">
        <f t="shared" ca="1" si="41"/>
        <v>0</v>
      </c>
      <c r="AX228" s="71">
        <f ca="1">IF(E228&lt;'Invoer gegevens (N)'!$C$17+15,0,IF(E228&gt;'Invoer gegevens (N)'!$C$17+215,0,AW228))</f>
        <v>0</v>
      </c>
      <c r="AY228" s="71">
        <f ca="1">AX228/(1+'Invoer gegevens (N)'!$F$18)^($AZ228-('Invoer gegevens (N)'!$C$17-'Invoer gegevens (N)'!$C$16))/(1+'Invoer gegevens (N)'!$C$39)^('Invoer gegevens (N)'!$C$17-'Invoer gegevens (N)'!$C$16)</f>
        <v>0</v>
      </c>
      <c r="AZ228" s="68">
        <f ca="1">IF(E228-'Invoer gegevens (N)'!$C$17-14.5&lt;0,0,E228-'Invoer gegevens (N)'!$C$17-14.5)</f>
        <v>208.5</v>
      </c>
    </row>
    <row r="229" spans="1:52" x14ac:dyDescent="0.25">
      <c r="B229" s="70">
        <f t="shared" si="42"/>
        <v>225</v>
      </c>
      <c r="C229" s="67">
        <f ca="1">IF(E229-'Invoer gegevens (N)'!$C$17&lt;0,0,1)</f>
        <v>1</v>
      </c>
      <c r="D229" s="68">
        <f t="shared" si="43"/>
        <v>224.5</v>
      </c>
      <c r="E229" s="108">
        <f ca="1">IF('Invoer gegevens (N)'!$C$16="","",E228+1)</f>
        <v>2243</v>
      </c>
      <c r="F229" s="84">
        <f ca="1">IF('Invoer gegevens (N)'!$C$17=E229,'Invoer gegevens (N)'!$C$10,IF(C229=1,K228,0))</f>
        <v>0</v>
      </c>
      <c r="G229" s="96">
        <f ca="1">IF(C229&gt;=1,F229*VLOOKUP(E229,'Reeksen (N)'!$A$5:$B$76,2),0)</f>
        <v>0</v>
      </c>
      <c r="H229" s="84">
        <f ca="1">(1-('Invoer gegevens (N)'!$F$20/12))*F229*MIN('Reeksen (N)'!B229,'Reeksen (N)'!D229)</f>
        <v>0</v>
      </c>
      <c r="I229" s="84">
        <f>IF('Reeksen (N)'!D229&lt;'Reeksen (N)'!B229,('Reeksen (N)'!B229-'Reeksen (N)'!D229)*F229,0)</f>
        <v>0</v>
      </c>
      <c r="J229" s="84">
        <f ca="1">('Invoer gegevens (N)'!$F$20/12)*F228*MIN('Reeksen (N)'!B228,'Reeksen (N)'!D228)</f>
        <v>0</v>
      </c>
      <c r="K229" s="97">
        <f t="shared" ca="1" si="34"/>
        <v>0</v>
      </c>
      <c r="L229" s="84">
        <f ca="1">IF('Invoer gegevens (N)'!$C$17=E229,0,IF(C229=1,Q228,0))</f>
        <v>0</v>
      </c>
      <c r="M229" s="96">
        <f ca="1">IF(C229&gt;=1,L229*VLOOKUP(E229,'Reeksen (N)'!$A$5:$B$76,2),0)</f>
        <v>0</v>
      </c>
      <c r="N229" s="84">
        <f ca="1">(1-('Invoer gegevens (N)'!$F$20/12))*L229*MIN('Reeksen (N)'!B229,'Reeksen (N)'!D229)</f>
        <v>0</v>
      </c>
      <c r="O229" s="84">
        <f>IF('Reeksen (N)'!D229&lt;'Reeksen (N)'!B229,('Reeksen (N)'!B229-'Reeksen (N)'!D229)*L229,0)</f>
        <v>0</v>
      </c>
      <c r="P229" s="84">
        <f ca="1">('Invoer gegevens (N)'!$F$20/12)*L228*MIN('Reeksen (N)'!B228,'Reeksen (N)'!D228)</f>
        <v>0</v>
      </c>
      <c r="Q229" s="84">
        <f t="shared" ca="1" si="35"/>
        <v>0</v>
      </c>
      <c r="R229" s="82">
        <f ca="1">IF('Invoer gegevens (N)'!$C$17=E229,'Invoer gegevens (N)'!$C$11,IF(C229=1,W228,0))</f>
        <v>0</v>
      </c>
      <c r="S229" s="86">
        <f ca="1">IF(C229&gt;=1,R229*VLOOKUP(E229,'Reeksen (N)'!$A$5:$B$76,2),0)</f>
        <v>0</v>
      </c>
      <c r="T229" s="84">
        <f ca="1">(1-('Invoer gegevens (N)'!$F$20/12))*R229*MIN('Reeksen (N)'!B229,'Reeksen (N)'!D229)</f>
        <v>0</v>
      </c>
      <c r="U229" s="84">
        <f>IF('Reeksen (N)'!D229&gt;='Reeksen (N)'!B229,0,IF('Reeksen (N)'!AK229&lt;='Reeksen (N)'!AE229,('Reeksen (N)'!B229-'Reeksen (N)'!D229)*R229,0))</f>
        <v>0</v>
      </c>
      <c r="V229" s="86">
        <f>IF('Reeksen (N)'!D229&gt;='Reeksen (N)'!B229,0,IF('Reeksen (N)'!AK229&gt;'Reeksen (N)'!AE229,('Reeksen (N)'!B229-'Reeksen (N)'!D229)*R229,0))</f>
        <v>0</v>
      </c>
      <c r="W229" s="97">
        <f t="shared" ca="1" si="36"/>
        <v>0</v>
      </c>
      <c r="X229" s="98">
        <f ca="1">IF('Invoer gegevens (N)'!$C$17=E229,'Invoer gegevens (N)'!$C$10-'Invoer gegevens (N)'!$C$11,IF(C229=1,AC228,0))</f>
        <v>0</v>
      </c>
      <c r="Y229" s="98">
        <f ca="1">IF(C229&gt;=1,X229*VLOOKUP(E229,'Reeksen (N)'!$A$5:$B$76,2),0)</f>
        <v>0</v>
      </c>
      <c r="Z229" s="98">
        <f ca="1">(1-('Invoer gegevens (N)'!$F$20/12))*X229*MIN('Reeksen (N)'!B229,'Reeksen (N)'!D229)</f>
        <v>0</v>
      </c>
      <c r="AA229" s="98">
        <f>IF('Reeksen (N)'!D229&gt;='Reeksen (N)'!B229,0,IF('Reeksen (N)'!AK229&lt;='Reeksen (N)'!AE229,('Reeksen (N)'!B229-'Reeksen (N)'!D229)*X229,0))</f>
        <v>0</v>
      </c>
      <c r="AB229" s="98">
        <f>IF('Reeksen (N)'!D229&gt;='Reeksen (N)'!B229,0,IF('Reeksen (N)'!AK229&gt;'Reeksen (N)'!AE229,('Reeksen (N)'!B229-'Reeksen (N)'!D229)*X229,0))</f>
        <v>0</v>
      </c>
      <c r="AC229" s="99">
        <f t="shared" ca="1" si="37"/>
        <v>0</v>
      </c>
      <c r="AD229" s="98">
        <f ca="1">IF('Invoer gegevens (N)'!$C$17=E229,R229,IF(C229=0,0,AE228))</f>
        <v>0</v>
      </c>
      <c r="AE229" s="98">
        <f t="shared" ca="1" si="38"/>
        <v>0</v>
      </c>
      <c r="AF229" s="98">
        <f ca="1">IF('Invoer gegevens (N)'!$C$17=E229,X229,IF(C229=0,0,AG228))</f>
        <v>0</v>
      </c>
      <c r="AG229" s="98">
        <f t="shared" ca="1" si="39"/>
        <v>0</v>
      </c>
      <c r="AH229" s="68"/>
      <c r="AI229" s="71">
        <f ca="1">IF(C229=1,'Reeksen (N)'!AJ229*((F229-G229+F229)/2)*12+'Reeksen (N)'!AK229*((L229-M229+L229)/2)*12,0)</f>
        <v>0</v>
      </c>
      <c r="AJ229" s="71">
        <f ca="1">-AI229*'Invoer gegevens (N)'!$F$28</f>
        <v>0</v>
      </c>
      <c r="AK229" s="71">
        <f t="shared" ca="1" si="33"/>
        <v>0</v>
      </c>
      <c r="AL229" s="71">
        <f ca="1">IF(C229=1,'Reeksen (N)'!AL229*((F229-G229+F229)/2)*12+'Reeksen (N)'!AM229*((L229-M229+L229)/2)*12,0)</f>
        <v>0</v>
      </c>
      <c r="AM229" s="71">
        <f ca="1">-AL229*'Invoer gegevens (N)'!$F$31</f>
        <v>0</v>
      </c>
      <c r="AN229" s="71">
        <f t="shared" ca="1" si="40"/>
        <v>0</v>
      </c>
      <c r="AO229" s="71">
        <f ca="1">IF(C229=1,(H229+J229+N229+P229)*'Reeksen (N)'!AN229,0)</f>
        <v>0</v>
      </c>
      <c r="AP229" s="71">
        <f ca="1">-IF(C229=1,(H229+J229+N229+P229)*'Hulp - basis'!$O$550*'Reeksen (N)'!H229,0)</f>
        <v>0</v>
      </c>
      <c r="AQ229" s="71">
        <f ca="1">-IF(C229=1,(F229+K229+L229+Q229)/2*'Invoer gegevens (N)'!$I$33*'Reeksen (N)'!J229,0)*2</f>
        <v>0</v>
      </c>
      <c r="AR229" s="71">
        <f ca="1">-IF(C229=1,(I229*'Invoer gegevens (N)'!$I$34)*'Reeksen (N)'!J229,0)</f>
        <v>0</v>
      </c>
      <c r="AS229" s="71">
        <f ca="1">-IF(C229=1,(F229+K229+L229+Q229)/2*'Invoer gegevens (N)'!$I$35*'Reeksen (N)'!L229,0)</f>
        <v>0</v>
      </c>
      <c r="AT229" s="71">
        <f ca="1">-IF(C229=1,IF(E229='Invoer gegevens (N)'!$C$17,'Invoer gegevens (N)'!$C$11,AD229)*'Reeksen (N)'!S229*'Invoer gegevens (N)'!$C$18*'Reeksen (N)'!P229,0)</f>
        <v>0</v>
      </c>
      <c r="AU229" s="71">
        <f ca="1">-IF(C229=1,(F229+K229+L229+Q229)/2*'Invoer gegevens (N)'!$I$36*'Reeksen (N)'!H229,0)</f>
        <v>0</v>
      </c>
      <c r="AV229" s="71">
        <v>0</v>
      </c>
      <c r="AW229" s="71">
        <f t="shared" ca="1" si="41"/>
        <v>0</v>
      </c>
      <c r="AX229" s="71">
        <f ca="1">IF(E229&lt;'Invoer gegevens (N)'!$C$17+15,0,IF(E229&gt;'Invoer gegevens (N)'!$C$17+215,0,AW229))</f>
        <v>0</v>
      </c>
      <c r="AY229" s="71">
        <f ca="1">AX229/(1+'Invoer gegevens (N)'!$F$18)^($AZ229-('Invoer gegevens (N)'!$C$17-'Invoer gegevens (N)'!$C$16))/(1+'Invoer gegevens (N)'!$C$39)^('Invoer gegevens (N)'!$C$17-'Invoer gegevens (N)'!$C$16)</f>
        <v>0</v>
      </c>
      <c r="AZ229" s="68">
        <f ca="1">IF(E229-'Invoer gegevens (N)'!$C$17-14.5&lt;0,0,E229-'Invoer gegevens (N)'!$C$17-14.5)</f>
        <v>209.5</v>
      </c>
    </row>
    <row r="230" spans="1:52" x14ac:dyDescent="0.25">
      <c r="B230" s="70">
        <f t="shared" si="42"/>
        <v>226</v>
      </c>
      <c r="C230" s="67">
        <f ca="1">IF(E230-'Invoer gegevens (N)'!$C$17&lt;0,0,1)</f>
        <v>1</v>
      </c>
      <c r="D230" s="68">
        <f t="shared" si="43"/>
        <v>225.5</v>
      </c>
      <c r="E230" s="108">
        <f ca="1">IF('Invoer gegevens (N)'!$C$16="","",E229+1)</f>
        <v>2244</v>
      </c>
      <c r="F230" s="84">
        <f ca="1">IF('Invoer gegevens (N)'!$C$17=E230,'Invoer gegevens (N)'!$C$10,IF(C230=1,K229,0))</f>
        <v>0</v>
      </c>
      <c r="G230" s="96">
        <f ca="1">IF(C230&gt;=1,F230*VLOOKUP(E230,'Reeksen (N)'!$A$5:$B$76,2),0)</f>
        <v>0</v>
      </c>
      <c r="H230" s="84">
        <f ca="1">(1-('Invoer gegevens (N)'!$F$20/12))*F230*MIN('Reeksen (N)'!B230,'Reeksen (N)'!D230)</f>
        <v>0</v>
      </c>
      <c r="I230" s="84">
        <f>IF('Reeksen (N)'!D230&lt;'Reeksen (N)'!B230,('Reeksen (N)'!B230-'Reeksen (N)'!D230)*F230,0)</f>
        <v>0</v>
      </c>
      <c r="J230" s="84">
        <f ca="1">('Invoer gegevens (N)'!$F$20/12)*F229*MIN('Reeksen (N)'!B229,'Reeksen (N)'!D229)</f>
        <v>0</v>
      </c>
      <c r="K230" s="97">
        <f t="shared" ca="1" si="34"/>
        <v>0</v>
      </c>
      <c r="L230" s="84">
        <f ca="1">IF('Invoer gegevens (N)'!$C$17=E230,0,IF(C230=1,Q229,0))</f>
        <v>0</v>
      </c>
      <c r="M230" s="96">
        <f ca="1">IF(C230&gt;=1,L230*VLOOKUP(E230,'Reeksen (N)'!$A$5:$B$76,2),0)</f>
        <v>0</v>
      </c>
      <c r="N230" s="84">
        <f ca="1">(1-('Invoer gegevens (N)'!$F$20/12))*L230*MIN('Reeksen (N)'!B230,'Reeksen (N)'!D230)</f>
        <v>0</v>
      </c>
      <c r="O230" s="84">
        <f>IF('Reeksen (N)'!D230&lt;'Reeksen (N)'!B230,('Reeksen (N)'!B230-'Reeksen (N)'!D230)*L230,0)</f>
        <v>0</v>
      </c>
      <c r="P230" s="84">
        <f ca="1">('Invoer gegevens (N)'!$F$20/12)*L229*MIN('Reeksen (N)'!B229,'Reeksen (N)'!D229)</f>
        <v>0</v>
      </c>
      <c r="Q230" s="84">
        <f t="shared" ca="1" si="35"/>
        <v>0</v>
      </c>
      <c r="R230" s="82">
        <f ca="1">IF('Invoer gegevens (N)'!$C$17=E230,'Invoer gegevens (N)'!$C$11,IF(C230=1,W229,0))</f>
        <v>0</v>
      </c>
      <c r="S230" s="86">
        <f ca="1">IF(C230&gt;=1,R230*VLOOKUP(E230,'Reeksen (N)'!$A$5:$B$76,2),0)</f>
        <v>0</v>
      </c>
      <c r="T230" s="84">
        <f ca="1">(1-('Invoer gegevens (N)'!$F$20/12))*R230*MIN('Reeksen (N)'!B230,'Reeksen (N)'!D230)</f>
        <v>0</v>
      </c>
      <c r="U230" s="84">
        <f>IF('Reeksen (N)'!D230&gt;='Reeksen (N)'!B230,0,IF('Reeksen (N)'!AK230&lt;='Reeksen (N)'!AE230,('Reeksen (N)'!B230-'Reeksen (N)'!D230)*R230,0))</f>
        <v>0</v>
      </c>
      <c r="V230" s="86">
        <f>IF('Reeksen (N)'!D230&gt;='Reeksen (N)'!B230,0,IF('Reeksen (N)'!AK230&gt;'Reeksen (N)'!AE230,('Reeksen (N)'!B230-'Reeksen (N)'!D230)*R230,0))</f>
        <v>0</v>
      </c>
      <c r="W230" s="97">
        <f t="shared" ca="1" si="36"/>
        <v>0</v>
      </c>
      <c r="X230" s="98">
        <f ca="1">IF('Invoer gegevens (N)'!$C$17=E230,'Invoer gegevens (N)'!$C$10-'Invoer gegevens (N)'!$C$11,IF(C230=1,AC229,0))</f>
        <v>0</v>
      </c>
      <c r="Y230" s="98">
        <f ca="1">IF(C230&gt;=1,X230*VLOOKUP(E230,'Reeksen (N)'!$A$5:$B$76,2),0)</f>
        <v>0</v>
      </c>
      <c r="Z230" s="98">
        <f ca="1">(1-('Invoer gegevens (N)'!$F$20/12))*X230*MIN('Reeksen (N)'!B230,'Reeksen (N)'!D230)</f>
        <v>0</v>
      </c>
      <c r="AA230" s="98">
        <f>IF('Reeksen (N)'!D230&gt;='Reeksen (N)'!B230,0,IF('Reeksen (N)'!AK230&lt;='Reeksen (N)'!AE230,('Reeksen (N)'!B230-'Reeksen (N)'!D230)*X230,0))</f>
        <v>0</v>
      </c>
      <c r="AB230" s="98">
        <f>IF('Reeksen (N)'!D230&gt;='Reeksen (N)'!B230,0,IF('Reeksen (N)'!AK230&gt;'Reeksen (N)'!AE230,('Reeksen (N)'!B230-'Reeksen (N)'!D230)*X230,0))</f>
        <v>0</v>
      </c>
      <c r="AC230" s="99">
        <f t="shared" ca="1" si="37"/>
        <v>0</v>
      </c>
      <c r="AD230" s="98">
        <f ca="1">IF('Invoer gegevens (N)'!$C$17=E230,R230,IF(C230=0,0,AE229))</f>
        <v>0</v>
      </c>
      <c r="AE230" s="98">
        <f t="shared" ca="1" si="38"/>
        <v>0</v>
      </c>
      <c r="AF230" s="98">
        <f ca="1">IF('Invoer gegevens (N)'!$C$17=E230,X230,IF(C230=0,0,AG229))</f>
        <v>0</v>
      </c>
      <c r="AG230" s="98">
        <f t="shared" ca="1" si="39"/>
        <v>0</v>
      </c>
      <c r="AH230" s="68"/>
      <c r="AI230" s="71">
        <f ca="1">IF(C230=1,'Reeksen (N)'!AJ230*((F230-G230+F230)/2)*12+'Reeksen (N)'!AK230*((L230-M230+L230)/2)*12,0)</f>
        <v>0</v>
      </c>
      <c r="AJ230" s="71">
        <f ca="1">-AI230*'Invoer gegevens (N)'!$F$28</f>
        <v>0</v>
      </c>
      <c r="AK230" s="71">
        <f t="shared" ca="1" si="33"/>
        <v>0</v>
      </c>
      <c r="AL230" s="71">
        <f ca="1">IF(C230=1,'Reeksen (N)'!AL230*((F230-G230+F230)/2)*12+'Reeksen (N)'!AM230*((L230-M230+L230)/2)*12,0)</f>
        <v>0</v>
      </c>
      <c r="AM230" s="71">
        <f ca="1">-AL230*'Invoer gegevens (N)'!$F$31</f>
        <v>0</v>
      </c>
      <c r="AN230" s="71">
        <f t="shared" ca="1" si="40"/>
        <v>0</v>
      </c>
      <c r="AO230" s="71">
        <f ca="1">IF(C230=1,(H230+J230+N230+P230)*'Reeksen (N)'!AN230,0)</f>
        <v>0</v>
      </c>
      <c r="AP230" s="71">
        <f ca="1">-IF(C230=1,(H230+J230+N230+P230)*'Hulp - basis'!$O$550*'Reeksen (N)'!H230,0)</f>
        <v>0</v>
      </c>
      <c r="AQ230" s="71">
        <f ca="1">-IF(C230=1,(F230+K230+L230+Q230)/2*'Invoer gegevens (N)'!$I$33*'Reeksen (N)'!J230,0)*2</f>
        <v>0</v>
      </c>
      <c r="AR230" s="71">
        <f ca="1">-IF(C230=1,(I230*'Invoer gegevens (N)'!$I$34)*'Reeksen (N)'!J230,0)</f>
        <v>0</v>
      </c>
      <c r="AS230" s="71">
        <f ca="1">-IF(C230=1,(F230+K230+L230+Q230)/2*'Invoer gegevens (N)'!$I$35*'Reeksen (N)'!L230,0)</f>
        <v>0</v>
      </c>
      <c r="AT230" s="71">
        <f ca="1">-IF(C230=1,IF(E230='Invoer gegevens (N)'!$C$17,'Invoer gegevens (N)'!$C$11,AD230)*'Reeksen (N)'!S230*'Invoer gegevens (N)'!$C$18*'Reeksen (N)'!P230,0)</f>
        <v>0</v>
      </c>
      <c r="AU230" s="71">
        <f ca="1">-IF(C230=1,(F230+K230+L230+Q230)/2*'Invoer gegevens (N)'!$I$36*'Reeksen (N)'!H230,0)</f>
        <v>0</v>
      </c>
      <c r="AV230" s="71">
        <v>0</v>
      </c>
      <c r="AW230" s="71">
        <f t="shared" ca="1" si="41"/>
        <v>0</v>
      </c>
      <c r="AX230" s="71">
        <f ca="1">IF(E230&lt;'Invoer gegevens (N)'!$C$17+15,0,IF(E230&gt;'Invoer gegevens (N)'!$C$17+215,0,AW230))</f>
        <v>0</v>
      </c>
      <c r="AY230" s="71">
        <f ca="1">AX230/(1+'Invoer gegevens (N)'!$F$18)^($AZ230-('Invoer gegevens (N)'!$C$17-'Invoer gegevens (N)'!$C$16))/(1+'Invoer gegevens (N)'!$C$39)^('Invoer gegevens (N)'!$C$17-'Invoer gegevens (N)'!$C$16)</f>
        <v>0</v>
      </c>
      <c r="AZ230" s="68">
        <f ca="1">IF(E230-'Invoer gegevens (N)'!$C$17-14.5&lt;0,0,E230-'Invoer gegevens (N)'!$C$17-14.5)</f>
        <v>210.5</v>
      </c>
    </row>
    <row r="231" spans="1:52" x14ac:dyDescent="0.25">
      <c r="B231" s="70">
        <f t="shared" si="42"/>
        <v>227</v>
      </c>
      <c r="C231" s="67">
        <f ca="1">IF(E231-'Invoer gegevens (N)'!$C$17&lt;0,0,1)</f>
        <v>1</v>
      </c>
      <c r="D231" s="68">
        <f t="shared" si="43"/>
        <v>226.5</v>
      </c>
      <c r="E231" s="108">
        <f ca="1">IF('Invoer gegevens (N)'!$C$16="","",E230+1)</f>
        <v>2245</v>
      </c>
      <c r="F231" s="84">
        <f ca="1">IF('Invoer gegevens (N)'!$C$17=E231,'Invoer gegevens (N)'!$C$10,IF(C231=1,K230,0))</f>
        <v>0</v>
      </c>
      <c r="G231" s="96">
        <f ca="1">IF(C231&gt;=1,F231*VLOOKUP(E231,'Reeksen (N)'!$A$5:$B$76,2),0)</f>
        <v>0</v>
      </c>
      <c r="H231" s="84">
        <f ca="1">(1-('Invoer gegevens (N)'!$F$20/12))*F231*MIN('Reeksen (N)'!B231,'Reeksen (N)'!D231)</f>
        <v>0</v>
      </c>
      <c r="I231" s="84">
        <f>IF('Reeksen (N)'!D231&lt;'Reeksen (N)'!B231,('Reeksen (N)'!B231-'Reeksen (N)'!D231)*F231,0)</f>
        <v>0</v>
      </c>
      <c r="J231" s="84">
        <f ca="1">('Invoer gegevens (N)'!$F$20/12)*F230*MIN('Reeksen (N)'!B230,'Reeksen (N)'!D230)</f>
        <v>0</v>
      </c>
      <c r="K231" s="97">
        <f t="shared" ca="1" si="34"/>
        <v>0</v>
      </c>
      <c r="L231" s="84">
        <f ca="1">IF('Invoer gegevens (N)'!$C$17=E231,0,IF(C231=1,Q230,0))</f>
        <v>0</v>
      </c>
      <c r="M231" s="96">
        <f ca="1">IF(C231&gt;=1,L231*VLOOKUP(E231,'Reeksen (N)'!$A$5:$B$76,2),0)</f>
        <v>0</v>
      </c>
      <c r="N231" s="84">
        <f ca="1">(1-('Invoer gegevens (N)'!$F$20/12))*L231*MIN('Reeksen (N)'!B231,'Reeksen (N)'!D231)</f>
        <v>0</v>
      </c>
      <c r="O231" s="84">
        <f>IF('Reeksen (N)'!D231&lt;'Reeksen (N)'!B231,('Reeksen (N)'!B231-'Reeksen (N)'!D231)*L231,0)</f>
        <v>0</v>
      </c>
      <c r="P231" s="84">
        <f ca="1">('Invoer gegevens (N)'!$F$20/12)*L230*MIN('Reeksen (N)'!B230,'Reeksen (N)'!D230)</f>
        <v>0</v>
      </c>
      <c r="Q231" s="84">
        <f t="shared" ca="1" si="35"/>
        <v>0</v>
      </c>
      <c r="R231" s="82">
        <f ca="1">IF('Invoer gegevens (N)'!$C$17=E231,'Invoer gegevens (N)'!$C$11,IF(C231=1,W230,0))</f>
        <v>0</v>
      </c>
      <c r="S231" s="86">
        <f ca="1">IF(C231&gt;=1,R231*VLOOKUP(E231,'Reeksen (N)'!$A$5:$B$76,2),0)</f>
        <v>0</v>
      </c>
      <c r="T231" s="84">
        <f ca="1">(1-('Invoer gegevens (N)'!$F$20/12))*R231*MIN('Reeksen (N)'!B231,'Reeksen (N)'!D231)</f>
        <v>0</v>
      </c>
      <c r="U231" s="84">
        <f>IF('Reeksen (N)'!D231&gt;='Reeksen (N)'!B231,0,IF('Reeksen (N)'!AK231&lt;='Reeksen (N)'!AE231,('Reeksen (N)'!B231-'Reeksen (N)'!D231)*R231,0))</f>
        <v>0</v>
      </c>
      <c r="V231" s="86">
        <f>IF('Reeksen (N)'!D231&gt;='Reeksen (N)'!B231,0,IF('Reeksen (N)'!AK231&gt;'Reeksen (N)'!AE231,('Reeksen (N)'!B231-'Reeksen (N)'!D231)*R231,0))</f>
        <v>0</v>
      </c>
      <c r="W231" s="97">
        <f t="shared" ca="1" si="36"/>
        <v>0</v>
      </c>
      <c r="X231" s="98">
        <f ca="1">IF('Invoer gegevens (N)'!$C$17=E231,'Invoer gegevens (N)'!$C$10-'Invoer gegevens (N)'!$C$11,IF(C231=1,AC230,0))</f>
        <v>0</v>
      </c>
      <c r="Y231" s="98">
        <f ca="1">IF(C231&gt;=1,X231*VLOOKUP(E231,'Reeksen (N)'!$A$5:$B$76,2),0)</f>
        <v>0</v>
      </c>
      <c r="Z231" s="98">
        <f ca="1">(1-('Invoer gegevens (N)'!$F$20/12))*X231*MIN('Reeksen (N)'!B231,'Reeksen (N)'!D231)</f>
        <v>0</v>
      </c>
      <c r="AA231" s="98">
        <f>IF('Reeksen (N)'!D231&gt;='Reeksen (N)'!B231,0,IF('Reeksen (N)'!AK231&lt;='Reeksen (N)'!AE231,('Reeksen (N)'!B231-'Reeksen (N)'!D231)*X231,0))</f>
        <v>0</v>
      </c>
      <c r="AB231" s="98">
        <f>IF('Reeksen (N)'!D231&gt;='Reeksen (N)'!B231,0,IF('Reeksen (N)'!AK231&gt;'Reeksen (N)'!AE231,('Reeksen (N)'!B231-'Reeksen (N)'!D231)*X231,0))</f>
        <v>0</v>
      </c>
      <c r="AC231" s="99">
        <f t="shared" ca="1" si="37"/>
        <v>0</v>
      </c>
      <c r="AD231" s="98">
        <f ca="1">IF('Invoer gegevens (N)'!$C$17=E231,R231,IF(C231=0,0,AE230))</f>
        <v>0</v>
      </c>
      <c r="AE231" s="98">
        <f t="shared" ca="1" si="38"/>
        <v>0</v>
      </c>
      <c r="AF231" s="98">
        <f ca="1">IF('Invoer gegevens (N)'!$C$17=E231,X231,IF(C231=0,0,AG230))</f>
        <v>0</v>
      </c>
      <c r="AG231" s="98">
        <f t="shared" ca="1" si="39"/>
        <v>0</v>
      </c>
      <c r="AH231" s="68"/>
      <c r="AI231" s="71">
        <f ca="1">IF(C231=1,'Reeksen (N)'!AJ231*((F231-G231+F231)/2)*12+'Reeksen (N)'!AK231*((L231-M231+L231)/2)*12,0)</f>
        <v>0</v>
      </c>
      <c r="AJ231" s="71">
        <f ca="1">-AI231*'Invoer gegevens (N)'!$F$28</f>
        <v>0</v>
      </c>
      <c r="AK231" s="71">
        <f t="shared" ca="1" si="33"/>
        <v>0</v>
      </c>
      <c r="AL231" s="71">
        <f ca="1">IF(C231=1,'Reeksen (N)'!AL231*((F231-G231+F231)/2)*12+'Reeksen (N)'!AM231*((L231-M231+L231)/2)*12,0)</f>
        <v>0</v>
      </c>
      <c r="AM231" s="71">
        <f ca="1">-AL231*'Invoer gegevens (N)'!$F$31</f>
        <v>0</v>
      </c>
      <c r="AN231" s="71">
        <f t="shared" ca="1" si="40"/>
        <v>0</v>
      </c>
      <c r="AO231" s="71">
        <f ca="1">IF(C231=1,(H231+J231+N231+P231)*'Reeksen (N)'!AN231,0)</f>
        <v>0</v>
      </c>
      <c r="AP231" s="71">
        <f ca="1">-IF(C231=1,(H231+J231+N231+P231)*'Hulp - basis'!$O$550*'Reeksen (N)'!H231,0)</f>
        <v>0</v>
      </c>
      <c r="AQ231" s="71">
        <f ca="1">-IF(C231=1,(F231+K231+L231+Q231)/2*'Invoer gegevens (N)'!$I$33*'Reeksen (N)'!J231,0)*2</f>
        <v>0</v>
      </c>
      <c r="AR231" s="71">
        <f ca="1">-IF(C231=1,(I231*'Invoer gegevens (N)'!$I$34)*'Reeksen (N)'!J231,0)</f>
        <v>0</v>
      </c>
      <c r="AS231" s="71">
        <f ca="1">-IF(C231=1,(F231+K231+L231+Q231)/2*'Invoer gegevens (N)'!$I$35*'Reeksen (N)'!L231,0)</f>
        <v>0</v>
      </c>
      <c r="AT231" s="71">
        <f ca="1">-IF(C231=1,IF(E231='Invoer gegevens (N)'!$C$17,'Invoer gegevens (N)'!$C$11,AD231)*'Reeksen (N)'!S231*'Invoer gegevens (N)'!$C$18*'Reeksen (N)'!P231,0)</f>
        <v>0</v>
      </c>
      <c r="AU231" s="71">
        <f ca="1">-IF(C231=1,(F231+K231+L231+Q231)/2*'Invoer gegevens (N)'!$I$36*'Reeksen (N)'!H231,0)</f>
        <v>0</v>
      </c>
      <c r="AV231" s="71">
        <v>0</v>
      </c>
      <c r="AW231" s="71">
        <f t="shared" ca="1" si="41"/>
        <v>0</v>
      </c>
      <c r="AX231" s="71">
        <f ca="1">IF(E231&lt;'Invoer gegevens (N)'!$C$17+15,0,IF(E231&gt;'Invoer gegevens (N)'!$C$17+215,0,AW231))</f>
        <v>0</v>
      </c>
      <c r="AY231" s="71">
        <f ca="1">AX231/(1+'Invoer gegevens (N)'!$F$18)^($AZ231-('Invoer gegevens (N)'!$C$17-'Invoer gegevens (N)'!$C$16))/(1+'Invoer gegevens (N)'!$C$39)^('Invoer gegevens (N)'!$C$17-'Invoer gegevens (N)'!$C$16)</f>
        <v>0</v>
      </c>
      <c r="AZ231" s="68">
        <f ca="1">IF(E231-'Invoer gegevens (N)'!$C$17-14.5&lt;0,0,E231-'Invoer gegevens (N)'!$C$17-14.5)</f>
        <v>211.5</v>
      </c>
    </row>
    <row r="232" spans="1:52" x14ac:dyDescent="0.25">
      <c r="B232" s="70">
        <f t="shared" si="42"/>
        <v>228</v>
      </c>
      <c r="C232" s="67">
        <f ca="1">IF(E232-'Invoer gegevens (N)'!$C$17&lt;0,0,1)</f>
        <v>1</v>
      </c>
      <c r="D232" s="68">
        <f t="shared" si="43"/>
        <v>227.5</v>
      </c>
      <c r="E232" s="108">
        <f ca="1">IF('Invoer gegevens (N)'!$C$16="","",E231+1)</f>
        <v>2246</v>
      </c>
      <c r="F232" s="84">
        <f ca="1">IF('Invoer gegevens (N)'!$C$17=E232,'Invoer gegevens (N)'!$C$10,IF(C232=1,K231,0))</f>
        <v>0</v>
      </c>
      <c r="G232" s="96">
        <f ca="1">IF(C232&gt;=1,F232*VLOOKUP(E232,'Reeksen (N)'!$A$5:$B$76,2),0)</f>
        <v>0</v>
      </c>
      <c r="H232" s="84">
        <f ca="1">(1-('Invoer gegevens (N)'!$F$20/12))*F232*MIN('Reeksen (N)'!B232,'Reeksen (N)'!D232)</f>
        <v>0</v>
      </c>
      <c r="I232" s="84">
        <f>IF('Reeksen (N)'!D232&lt;'Reeksen (N)'!B232,('Reeksen (N)'!B232-'Reeksen (N)'!D232)*F232,0)</f>
        <v>0</v>
      </c>
      <c r="J232" s="84">
        <f ca="1">('Invoer gegevens (N)'!$F$20/12)*F231*MIN('Reeksen (N)'!B231,'Reeksen (N)'!D231)</f>
        <v>0</v>
      </c>
      <c r="K232" s="97">
        <f t="shared" ca="1" si="34"/>
        <v>0</v>
      </c>
      <c r="L232" s="84">
        <f ca="1">IF('Invoer gegevens (N)'!$C$17=E232,0,IF(C232=1,Q231,0))</f>
        <v>0</v>
      </c>
      <c r="M232" s="96">
        <f ca="1">IF(C232&gt;=1,L232*VLOOKUP(E232,'Reeksen (N)'!$A$5:$B$76,2),0)</f>
        <v>0</v>
      </c>
      <c r="N232" s="84">
        <f ca="1">(1-('Invoer gegevens (N)'!$F$20/12))*L232*MIN('Reeksen (N)'!B232,'Reeksen (N)'!D232)</f>
        <v>0</v>
      </c>
      <c r="O232" s="84">
        <f>IF('Reeksen (N)'!D232&lt;'Reeksen (N)'!B232,('Reeksen (N)'!B232-'Reeksen (N)'!D232)*L232,0)</f>
        <v>0</v>
      </c>
      <c r="P232" s="84">
        <f ca="1">('Invoer gegevens (N)'!$F$20/12)*L231*MIN('Reeksen (N)'!B231,'Reeksen (N)'!D231)</f>
        <v>0</v>
      </c>
      <c r="Q232" s="84">
        <f t="shared" ca="1" si="35"/>
        <v>0</v>
      </c>
      <c r="R232" s="82">
        <f ca="1">IF('Invoer gegevens (N)'!$C$17=E232,'Invoer gegevens (N)'!$C$11,IF(C232=1,W231,0))</f>
        <v>0</v>
      </c>
      <c r="S232" s="86">
        <f ca="1">IF(C232&gt;=1,R232*VLOOKUP(E232,'Reeksen (N)'!$A$5:$B$76,2),0)</f>
        <v>0</v>
      </c>
      <c r="T232" s="84">
        <f ca="1">(1-('Invoer gegevens (N)'!$F$20/12))*R232*MIN('Reeksen (N)'!B232,'Reeksen (N)'!D232)</f>
        <v>0</v>
      </c>
      <c r="U232" s="84">
        <f>IF('Reeksen (N)'!D232&gt;='Reeksen (N)'!B232,0,IF('Reeksen (N)'!AK232&lt;='Reeksen (N)'!AE232,('Reeksen (N)'!B232-'Reeksen (N)'!D232)*R232,0))</f>
        <v>0</v>
      </c>
      <c r="V232" s="86">
        <f>IF('Reeksen (N)'!D232&gt;='Reeksen (N)'!B232,0,IF('Reeksen (N)'!AK232&gt;'Reeksen (N)'!AE232,('Reeksen (N)'!B232-'Reeksen (N)'!D232)*R232,0))</f>
        <v>0</v>
      </c>
      <c r="W232" s="97">
        <f t="shared" ca="1" si="36"/>
        <v>0</v>
      </c>
      <c r="X232" s="98">
        <f ca="1">IF('Invoer gegevens (N)'!$C$17=E232,'Invoer gegevens (N)'!$C$10-'Invoer gegevens (N)'!$C$11,IF(C232=1,AC231,0))</f>
        <v>0</v>
      </c>
      <c r="Y232" s="98">
        <f ca="1">IF(C232&gt;=1,X232*VLOOKUP(E232,'Reeksen (N)'!$A$5:$B$76,2),0)</f>
        <v>0</v>
      </c>
      <c r="Z232" s="98">
        <f ca="1">(1-('Invoer gegevens (N)'!$F$20/12))*X232*MIN('Reeksen (N)'!B232,'Reeksen (N)'!D232)</f>
        <v>0</v>
      </c>
      <c r="AA232" s="98">
        <f>IF('Reeksen (N)'!D232&gt;='Reeksen (N)'!B232,0,IF('Reeksen (N)'!AK232&lt;='Reeksen (N)'!AE232,('Reeksen (N)'!B232-'Reeksen (N)'!D232)*X232,0))</f>
        <v>0</v>
      </c>
      <c r="AB232" s="98">
        <f>IF('Reeksen (N)'!D232&gt;='Reeksen (N)'!B232,0,IF('Reeksen (N)'!AK232&gt;'Reeksen (N)'!AE232,('Reeksen (N)'!B232-'Reeksen (N)'!D232)*X232,0))</f>
        <v>0</v>
      </c>
      <c r="AC232" s="99">
        <f t="shared" ca="1" si="37"/>
        <v>0</v>
      </c>
      <c r="AD232" s="98">
        <f ca="1">IF('Invoer gegevens (N)'!$C$17=E232,R232,IF(C232=0,0,AE231))</f>
        <v>0</v>
      </c>
      <c r="AE232" s="98">
        <f t="shared" ca="1" si="38"/>
        <v>0</v>
      </c>
      <c r="AF232" s="98">
        <f ca="1">IF('Invoer gegevens (N)'!$C$17=E232,X232,IF(C232=0,0,AG231))</f>
        <v>0</v>
      </c>
      <c r="AG232" s="98">
        <f t="shared" ca="1" si="39"/>
        <v>0</v>
      </c>
      <c r="AH232" s="68"/>
      <c r="AI232" s="71">
        <f ca="1">IF(C232=1,'Reeksen (N)'!AJ232*((F232-G232+F232)/2)*12+'Reeksen (N)'!AK232*((L232-M232+L232)/2)*12,0)</f>
        <v>0</v>
      </c>
      <c r="AJ232" s="71">
        <f ca="1">-AI232*'Invoer gegevens (N)'!$F$28</f>
        <v>0</v>
      </c>
      <c r="AK232" s="71">
        <f t="shared" ca="1" si="33"/>
        <v>0</v>
      </c>
      <c r="AL232" s="71">
        <f ca="1">IF(C232=1,'Reeksen (N)'!AL232*((F232-G232+F232)/2)*12+'Reeksen (N)'!AM232*((L232-M232+L232)/2)*12,0)</f>
        <v>0</v>
      </c>
      <c r="AM232" s="71">
        <f ca="1">-AL232*'Invoer gegevens (N)'!$F$31</f>
        <v>0</v>
      </c>
      <c r="AN232" s="71">
        <f t="shared" ca="1" si="40"/>
        <v>0</v>
      </c>
      <c r="AO232" s="71">
        <f ca="1">IF(C232=1,(H232+J232+N232+P232)*'Reeksen (N)'!AN232,0)</f>
        <v>0</v>
      </c>
      <c r="AP232" s="71">
        <f ca="1">-IF(C232=1,(H232+J232+N232+P232)*'Hulp - basis'!$O$550*'Reeksen (N)'!H232,0)</f>
        <v>0</v>
      </c>
      <c r="AQ232" s="71">
        <f ca="1">-IF(C232=1,(F232+K232+L232+Q232)/2*'Invoer gegevens (N)'!$I$33*'Reeksen (N)'!J232,0)*2</f>
        <v>0</v>
      </c>
      <c r="AR232" s="71">
        <f ca="1">-IF(C232=1,(I232*'Invoer gegevens (N)'!$I$34)*'Reeksen (N)'!J232,0)</f>
        <v>0</v>
      </c>
      <c r="AS232" s="71">
        <f ca="1">-IF(C232=1,(F232+K232+L232+Q232)/2*'Invoer gegevens (N)'!$I$35*'Reeksen (N)'!L232,0)</f>
        <v>0</v>
      </c>
      <c r="AT232" s="71">
        <f ca="1">-IF(C232=1,IF(E232='Invoer gegevens (N)'!$C$17,'Invoer gegevens (N)'!$C$11,AD232)*'Reeksen (N)'!S232*'Invoer gegevens (N)'!$C$18*'Reeksen (N)'!P232,0)</f>
        <v>0</v>
      </c>
      <c r="AU232" s="71">
        <f ca="1">-IF(C232=1,(F232+K232+L232+Q232)/2*'Invoer gegevens (N)'!$I$36*'Reeksen (N)'!H232,0)</f>
        <v>0</v>
      </c>
      <c r="AV232" s="71">
        <v>0</v>
      </c>
      <c r="AW232" s="71">
        <f t="shared" ca="1" si="41"/>
        <v>0</v>
      </c>
      <c r="AX232" s="71">
        <f ca="1">IF(E232&lt;'Invoer gegevens (N)'!$C$17+15,0,IF(E232&gt;'Invoer gegevens (N)'!$C$17+215,0,AW232))</f>
        <v>0</v>
      </c>
      <c r="AY232" s="71">
        <f ca="1">AX232/(1+'Invoer gegevens (N)'!$F$18)^($AZ232-('Invoer gegevens (N)'!$C$17-'Invoer gegevens (N)'!$C$16))/(1+'Invoer gegevens (N)'!$C$39)^('Invoer gegevens (N)'!$C$17-'Invoer gegevens (N)'!$C$16)</f>
        <v>0</v>
      </c>
      <c r="AZ232" s="68">
        <f ca="1">IF(E232-'Invoer gegevens (N)'!$C$17-14.5&lt;0,0,E232-'Invoer gegevens (N)'!$C$17-14.5)</f>
        <v>212.5</v>
      </c>
    </row>
    <row r="233" spans="1:52" x14ac:dyDescent="0.25">
      <c r="B233" s="70">
        <f t="shared" si="42"/>
        <v>229</v>
      </c>
      <c r="C233" s="67">
        <f ca="1">IF(E233-'Invoer gegevens (N)'!$C$17&lt;0,0,1)</f>
        <v>1</v>
      </c>
      <c r="D233" s="68">
        <f t="shared" si="43"/>
        <v>228.5</v>
      </c>
      <c r="E233" s="108">
        <f ca="1">IF('Invoer gegevens (N)'!$C$16="","",E232+1)</f>
        <v>2247</v>
      </c>
      <c r="F233" s="84">
        <f ca="1">IF('Invoer gegevens (N)'!$C$17=E233,'Invoer gegevens (N)'!$C$10,IF(C233=1,K232,0))</f>
        <v>0</v>
      </c>
      <c r="G233" s="96">
        <f ca="1">IF(C233&gt;=1,F233*VLOOKUP(E233,'Reeksen (N)'!$A$5:$B$76,2),0)</f>
        <v>0</v>
      </c>
      <c r="H233" s="84">
        <f ca="1">(1-('Invoer gegevens (N)'!$F$20/12))*F233*MIN('Reeksen (N)'!B233,'Reeksen (N)'!D233)</f>
        <v>0</v>
      </c>
      <c r="I233" s="84">
        <f>IF('Reeksen (N)'!D233&lt;'Reeksen (N)'!B233,('Reeksen (N)'!B233-'Reeksen (N)'!D233)*F233,0)</f>
        <v>0</v>
      </c>
      <c r="J233" s="84">
        <f ca="1">('Invoer gegevens (N)'!$F$20/12)*F232*MIN('Reeksen (N)'!B232,'Reeksen (N)'!D232)</f>
        <v>0</v>
      </c>
      <c r="K233" s="97">
        <f t="shared" ca="1" si="34"/>
        <v>0</v>
      </c>
      <c r="L233" s="84">
        <f ca="1">IF('Invoer gegevens (N)'!$C$17=E233,0,IF(C233=1,Q232,0))</f>
        <v>0</v>
      </c>
      <c r="M233" s="96">
        <f ca="1">IF(C233&gt;=1,L233*VLOOKUP(E233,'Reeksen (N)'!$A$5:$B$76,2),0)</f>
        <v>0</v>
      </c>
      <c r="N233" s="84">
        <f ca="1">(1-('Invoer gegevens (N)'!$F$20/12))*L233*MIN('Reeksen (N)'!B233,'Reeksen (N)'!D233)</f>
        <v>0</v>
      </c>
      <c r="O233" s="84">
        <f>IF('Reeksen (N)'!D233&lt;'Reeksen (N)'!B233,('Reeksen (N)'!B233-'Reeksen (N)'!D233)*L233,0)</f>
        <v>0</v>
      </c>
      <c r="P233" s="84">
        <f ca="1">('Invoer gegevens (N)'!$F$20/12)*L232*MIN('Reeksen (N)'!B232,'Reeksen (N)'!D232)</f>
        <v>0</v>
      </c>
      <c r="Q233" s="84">
        <f t="shared" ca="1" si="35"/>
        <v>0</v>
      </c>
      <c r="R233" s="82">
        <f ca="1">IF('Invoer gegevens (N)'!$C$17=E233,'Invoer gegevens (N)'!$C$11,IF(C233=1,W232,0))</f>
        <v>0</v>
      </c>
      <c r="S233" s="86">
        <f ca="1">IF(C233&gt;=1,R233*VLOOKUP(E233,'Reeksen (N)'!$A$5:$B$76,2),0)</f>
        <v>0</v>
      </c>
      <c r="T233" s="84">
        <f ca="1">(1-('Invoer gegevens (N)'!$F$20/12))*R233*MIN('Reeksen (N)'!B233,'Reeksen (N)'!D233)</f>
        <v>0</v>
      </c>
      <c r="U233" s="84">
        <f>IF('Reeksen (N)'!D233&gt;='Reeksen (N)'!B233,0,IF('Reeksen (N)'!AK233&lt;='Reeksen (N)'!AE233,('Reeksen (N)'!B233-'Reeksen (N)'!D233)*R233,0))</f>
        <v>0</v>
      </c>
      <c r="V233" s="86">
        <f>IF('Reeksen (N)'!D233&gt;='Reeksen (N)'!B233,0,IF('Reeksen (N)'!AK233&gt;'Reeksen (N)'!AE233,('Reeksen (N)'!B233-'Reeksen (N)'!D233)*R233,0))</f>
        <v>0</v>
      </c>
      <c r="W233" s="97">
        <f t="shared" ca="1" si="36"/>
        <v>0</v>
      </c>
      <c r="X233" s="98">
        <f ca="1">IF('Invoer gegevens (N)'!$C$17=E233,'Invoer gegevens (N)'!$C$10-'Invoer gegevens (N)'!$C$11,IF(C233=1,AC232,0))</f>
        <v>0</v>
      </c>
      <c r="Y233" s="98">
        <f ca="1">IF(C233&gt;=1,X233*VLOOKUP(E233,'Reeksen (N)'!$A$5:$B$76,2),0)</f>
        <v>0</v>
      </c>
      <c r="Z233" s="98">
        <f ca="1">(1-('Invoer gegevens (N)'!$F$20/12))*X233*MIN('Reeksen (N)'!B233,'Reeksen (N)'!D233)</f>
        <v>0</v>
      </c>
      <c r="AA233" s="98">
        <f>IF('Reeksen (N)'!D233&gt;='Reeksen (N)'!B233,0,IF('Reeksen (N)'!AK233&lt;='Reeksen (N)'!AE233,('Reeksen (N)'!B233-'Reeksen (N)'!D233)*X233,0))</f>
        <v>0</v>
      </c>
      <c r="AB233" s="98">
        <f>IF('Reeksen (N)'!D233&gt;='Reeksen (N)'!B233,0,IF('Reeksen (N)'!AK233&gt;'Reeksen (N)'!AE233,('Reeksen (N)'!B233-'Reeksen (N)'!D233)*X233,0))</f>
        <v>0</v>
      </c>
      <c r="AC233" s="99">
        <f t="shared" ca="1" si="37"/>
        <v>0</v>
      </c>
      <c r="AD233" s="98">
        <f ca="1">IF('Invoer gegevens (N)'!$C$17=E233,R233,IF(C233=0,0,AE232))</f>
        <v>0</v>
      </c>
      <c r="AE233" s="98">
        <f t="shared" ca="1" si="38"/>
        <v>0</v>
      </c>
      <c r="AF233" s="98">
        <f ca="1">IF('Invoer gegevens (N)'!$C$17=E233,X233,IF(C233=0,0,AG232))</f>
        <v>0</v>
      </c>
      <c r="AG233" s="98">
        <f t="shared" ca="1" si="39"/>
        <v>0</v>
      </c>
      <c r="AH233" s="68"/>
      <c r="AI233" s="71">
        <f ca="1">IF(C233=1,'Reeksen (N)'!AJ233*((F233-G233+F233)/2)*12+'Reeksen (N)'!AK233*((L233-M233+L233)/2)*12,0)</f>
        <v>0</v>
      </c>
      <c r="AJ233" s="71">
        <f ca="1">-AI233*'Invoer gegevens (N)'!$F$28</f>
        <v>0</v>
      </c>
      <c r="AK233" s="71">
        <f t="shared" ca="1" si="33"/>
        <v>0</v>
      </c>
      <c r="AL233" s="71">
        <f ca="1">IF(C233=1,'Reeksen (N)'!AL233*((F233-G233+F233)/2)*12+'Reeksen (N)'!AM233*((L233-M233+L233)/2)*12,0)</f>
        <v>0</v>
      </c>
      <c r="AM233" s="71">
        <f ca="1">-AL233*'Invoer gegevens (N)'!$F$31</f>
        <v>0</v>
      </c>
      <c r="AN233" s="71">
        <f t="shared" ca="1" si="40"/>
        <v>0</v>
      </c>
      <c r="AO233" s="71">
        <f ca="1">IF(C233=1,(H233+J233+N233+P233)*'Reeksen (N)'!AN233,0)</f>
        <v>0</v>
      </c>
      <c r="AP233" s="71">
        <f ca="1">-IF(C233=1,(H233+J233+N233+P233)*'Hulp - basis'!$O$550*'Reeksen (N)'!H233,0)</f>
        <v>0</v>
      </c>
      <c r="AQ233" s="71">
        <f ca="1">-IF(C233=1,(F233+K233+L233+Q233)/2*'Invoer gegevens (N)'!$I$33*'Reeksen (N)'!J233,0)*2</f>
        <v>0</v>
      </c>
      <c r="AR233" s="71">
        <f ca="1">-IF(C233=1,(I233*'Invoer gegevens (N)'!$I$34)*'Reeksen (N)'!J233,0)</f>
        <v>0</v>
      </c>
      <c r="AS233" s="71">
        <f ca="1">-IF(C233=1,(F233+K233+L233+Q233)/2*'Invoer gegevens (N)'!$I$35*'Reeksen (N)'!L233,0)</f>
        <v>0</v>
      </c>
      <c r="AT233" s="71">
        <f ca="1">-IF(C233=1,IF(E233='Invoer gegevens (N)'!$C$17,'Invoer gegevens (N)'!$C$11,AD233)*'Reeksen (N)'!S233*'Invoer gegevens (N)'!$C$18*'Reeksen (N)'!P233,0)</f>
        <v>0</v>
      </c>
      <c r="AU233" s="71">
        <f ca="1">-IF(C233=1,(F233+K233+L233+Q233)/2*'Invoer gegevens (N)'!$I$36*'Reeksen (N)'!H233,0)</f>
        <v>0</v>
      </c>
      <c r="AV233" s="71">
        <v>0</v>
      </c>
      <c r="AW233" s="71">
        <f t="shared" ca="1" si="41"/>
        <v>0</v>
      </c>
      <c r="AX233" s="71">
        <f ca="1">IF(E233&lt;'Invoer gegevens (N)'!$C$17+15,0,IF(E233&gt;'Invoer gegevens (N)'!$C$17+215,0,AW233))</f>
        <v>0</v>
      </c>
      <c r="AY233" s="71">
        <f ca="1">AX233/(1+'Invoer gegevens (N)'!$F$18)^($AZ233-('Invoer gegevens (N)'!$C$17-'Invoer gegevens (N)'!$C$16))/(1+'Invoer gegevens (N)'!$C$39)^('Invoer gegevens (N)'!$C$17-'Invoer gegevens (N)'!$C$16)</f>
        <v>0</v>
      </c>
      <c r="AZ233" s="68">
        <f ca="1">IF(E233-'Invoer gegevens (N)'!$C$17-14.5&lt;0,0,E233-'Invoer gegevens (N)'!$C$17-14.5)</f>
        <v>213.5</v>
      </c>
    </row>
    <row r="234" spans="1:52" x14ac:dyDescent="0.25">
      <c r="B234" s="70">
        <f t="shared" si="42"/>
        <v>230</v>
      </c>
      <c r="C234" s="67">
        <f ca="1">IF(E234-'Invoer gegevens (N)'!$C$17&lt;0,0,1)</f>
        <v>1</v>
      </c>
      <c r="D234" s="68">
        <f t="shared" si="43"/>
        <v>229.5</v>
      </c>
      <c r="E234" s="108">
        <f ca="1">IF('Invoer gegevens (N)'!$C$16="","",E233+1)</f>
        <v>2248</v>
      </c>
      <c r="F234" s="84">
        <f ca="1">IF('Invoer gegevens (N)'!$C$17=E234,'Invoer gegevens (N)'!$C$10,IF(C234=1,K233,0))</f>
        <v>0</v>
      </c>
      <c r="G234" s="96">
        <f ca="1">IF(C234&gt;=1,F234*VLOOKUP(E234,'Reeksen (N)'!$A$5:$B$76,2),0)</f>
        <v>0</v>
      </c>
      <c r="H234" s="84">
        <f ca="1">(1-('Invoer gegevens (N)'!$F$20/12))*F234*MIN('Reeksen (N)'!B234,'Reeksen (N)'!D234)</f>
        <v>0</v>
      </c>
      <c r="I234" s="84">
        <f>IF('Reeksen (N)'!D234&lt;'Reeksen (N)'!B234,('Reeksen (N)'!B234-'Reeksen (N)'!D234)*F234,0)</f>
        <v>0</v>
      </c>
      <c r="J234" s="84">
        <f ca="1">('Invoer gegevens (N)'!$F$20/12)*F233*MIN('Reeksen (N)'!B233,'Reeksen (N)'!D233)</f>
        <v>0</v>
      </c>
      <c r="K234" s="97">
        <f t="shared" ca="1" si="34"/>
        <v>0</v>
      </c>
      <c r="L234" s="84">
        <f ca="1">IF('Invoer gegevens (N)'!$C$17=E234,0,IF(C234=1,Q233,0))</f>
        <v>0</v>
      </c>
      <c r="M234" s="96">
        <f ca="1">IF(C234&gt;=1,L234*VLOOKUP(E234,'Reeksen (N)'!$A$5:$B$76,2),0)</f>
        <v>0</v>
      </c>
      <c r="N234" s="84">
        <f ca="1">(1-('Invoer gegevens (N)'!$F$20/12))*L234*MIN('Reeksen (N)'!B234,'Reeksen (N)'!D234)</f>
        <v>0</v>
      </c>
      <c r="O234" s="84">
        <f>IF('Reeksen (N)'!D234&lt;'Reeksen (N)'!B234,('Reeksen (N)'!B234-'Reeksen (N)'!D234)*L234,0)</f>
        <v>0</v>
      </c>
      <c r="P234" s="84">
        <f ca="1">('Invoer gegevens (N)'!$F$20/12)*L233*MIN('Reeksen (N)'!B233,'Reeksen (N)'!D233)</f>
        <v>0</v>
      </c>
      <c r="Q234" s="84">
        <f t="shared" ca="1" si="35"/>
        <v>0</v>
      </c>
      <c r="R234" s="82">
        <f ca="1">IF('Invoer gegevens (N)'!$C$17=E234,'Invoer gegevens (N)'!$C$11,IF(C234=1,W233,0))</f>
        <v>0</v>
      </c>
      <c r="S234" s="86">
        <f ca="1">IF(C234&gt;=1,R234*VLOOKUP(E234,'Reeksen (N)'!$A$5:$B$76,2),0)</f>
        <v>0</v>
      </c>
      <c r="T234" s="84">
        <f ca="1">(1-('Invoer gegevens (N)'!$F$20/12))*R234*MIN('Reeksen (N)'!B234,'Reeksen (N)'!D234)</f>
        <v>0</v>
      </c>
      <c r="U234" s="84">
        <f>IF('Reeksen (N)'!D234&gt;='Reeksen (N)'!B234,0,IF('Reeksen (N)'!AK234&lt;='Reeksen (N)'!AE234,('Reeksen (N)'!B234-'Reeksen (N)'!D234)*R234,0))</f>
        <v>0</v>
      </c>
      <c r="V234" s="86">
        <f>IF('Reeksen (N)'!D234&gt;='Reeksen (N)'!B234,0,IF('Reeksen (N)'!AK234&gt;'Reeksen (N)'!AE234,('Reeksen (N)'!B234-'Reeksen (N)'!D234)*R234,0))</f>
        <v>0</v>
      </c>
      <c r="W234" s="97">
        <f t="shared" ca="1" si="36"/>
        <v>0</v>
      </c>
      <c r="X234" s="98">
        <f ca="1">IF('Invoer gegevens (N)'!$C$17=E234,'Invoer gegevens (N)'!$C$10-'Invoer gegevens (N)'!$C$11,IF(C234=1,AC233,0))</f>
        <v>0</v>
      </c>
      <c r="Y234" s="98">
        <f ca="1">IF(C234&gt;=1,X234*VLOOKUP(E234,'Reeksen (N)'!$A$5:$B$76,2),0)</f>
        <v>0</v>
      </c>
      <c r="Z234" s="98">
        <f ca="1">(1-('Invoer gegevens (N)'!$F$20/12))*X234*MIN('Reeksen (N)'!B234,'Reeksen (N)'!D234)</f>
        <v>0</v>
      </c>
      <c r="AA234" s="98">
        <f>IF('Reeksen (N)'!D234&gt;='Reeksen (N)'!B234,0,IF('Reeksen (N)'!AK234&lt;='Reeksen (N)'!AE234,('Reeksen (N)'!B234-'Reeksen (N)'!D234)*X234,0))</f>
        <v>0</v>
      </c>
      <c r="AB234" s="98">
        <f>IF('Reeksen (N)'!D234&gt;='Reeksen (N)'!B234,0,IF('Reeksen (N)'!AK234&gt;'Reeksen (N)'!AE234,('Reeksen (N)'!B234-'Reeksen (N)'!D234)*X234,0))</f>
        <v>0</v>
      </c>
      <c r="AC234" s="99">
        <f t="shared" ca="1" si="37"/>
        <v>0</v>
      </c>
      <c r="AD234" s="98">
        <f ca="1">IF('Invoer gegevens (N)'!$C$17=E234,R234,IF(C234=0,0,AE233))</f>
        <v>0</v>
      </c>
      <c r="AE234" s="98">
        <f t="shared" ca="1" si="38"/>
        <v>0</v>
      </c>
      <c r="AF234" s="98">
        <f ca="1">IF('Invoer gegevens (N)'!$C$17=E234,X234,IF(C234=0,0,AG233))</f>
        <v>0</v>
      </c>
      <c r="AG234" s="98">
        <f t="shared" ca="1" si="39"/>
        <v>0</v>
      </c>
      <c r="AH234" s="68"/>
      <c r="AI234" s="71">
        <f ca="1">IF(C234=1,'Reeksen (N)'!AJ234*((F234-G234+F234)/2)*12+'Reeksen (N)'!AK234*((L234-M234+L234)/2)*12,0)</f>
        <v>0</v>
      </c>
      <c r="AJ234" s="71">
        <f ca="1">-AI234*'Invoer gegevens (N)'!$F$28</f>
        <v>0</v>
      </c>
      <c r="AK234" s="71">
        <f t="shared" ca="1" si="33"/>
        <v>0</v>
      </c>
      <c r="AL234" s="71">
        <f ca="1">IF(C234=1,'Reeksen (N)'!AL234*((F234-G234+F234)/2)*12+'Reeksen (N)'!AM234*((L234-M234+L234)/2)*12,0)</f>
        <v>0</v>
      </c>
      <c r="AM234" s="71">
        <f ca="1">-AL234*'Invoer gegevens (N)'!$F$31</f>
        <v>0</v>
      </c>
      <c r="AN234" s="71">
        <f t="shared" ca="1" si="40"/>
        <v>0</v>
      </c>
      <c r="AO234" s="71">
        <f ca="1">IF(C234=1,(H234+J234+N234+P234)*'Reeksen (N)'!AN234,0)</f>
        <v>0</v>
      </c>
      <c r="AP234" s="71">
        <f ca="1">-IF(C234=1,(H234+J234+N234+P234)*'Hulp - basis'!$O$550*'Reeksen (N)'!H234,0)</f>
        <v>0</v>
      </c>
      <c r="AQ234" s="71">
        <f ca="1">-IF(C234=1,(F234+K234+L234+Q234)/2*'Invoer gegevens (N)'!$I$33*'Reeksen (N)'!J234,0)*2</f>
        <v>0</v>
      </c>
      <c r="AR234" s="71">
        <f ca="1">-IF(C234=1,(I234*'Invoer gegevens (N)'!$I$34)*'Reeksen (N)'!J234,0)</f>
        <v>0</v>
      </c>
      <c r="AS234" s="71">
        <f ca="1">-IF(C234=1,(F234+K234+L234+Q234)/2*'Invoer gegevens (N)'!$I$35*'Reeksen (N)'!L234,0)</f>
        <v>0</v>
      </c>
      <c r="AT234" s="71">
        <f ca="1">-IF(C234=1,IF(E234='Invoer gegevens (N)'!$C$17,'Invoer gegevens (N)'!$C$11,AD234)*'Reeksen (N)'!S234*'Invoer gegevens (N)'!$C$18*'Reeksen (N)'!P234,0)</f>
        <v>0</v>
      </c>
      <c r="AU234" s="71">
        <f ca="1">-IF(C234=1,(F234+K234+L234+Q234)/2*'Invoer gegevens (N)'!$I$36*'Reeksen (N)'!H234,0)</f>
        <v>0</v>
      </c>
      <c r="AV234" s="71">
        <v>0</v>
      </c>
      <c r="AW234" s="71">
        <f t="shared" ca="1" si="41"/>
        <v>0</v>
      </c>
      <c r="AX234" s="71">
        <f ca="1">IF(E234&lt;'Invoer gegevens (N)'!$C$17+15,0,IF(E234&gt;'Invoer gegevens (N)'!$C$17+215,0,AW234))</f>
        <v>0</v>
      </c>
      <c r="AY234" s="71">
        <f ca="1">AX234/(1+'Invoer gegevens (N)'!$F$18)^($AZ234-('Invoer gegevens (N)'!$C$17-'Invoer gegevens (N)'!$C$16))/(1+'Invoer gegevens (N)'!$C$39)^('Invoer gegevens (N)'!$C$17-'Invoer gegevens (N)'!$C$16)</f>
        <v>0</v>
      </c>
      <c r="AZ234" s="68">
        <f ca="1">IF(E234-'Invoer gegevens (N)'!$C$17-14.5&lt;0,0,E234-'Invoer gegevens (N)'!$C$17-14.5)</f>
        <v>214.5</v>
      </c>
    </row>
    <row r="235" spans="1:52" s="105" customFormat="1" x14ac:dyDescent="0.25">
      <c r="A235" s="230"/>
      <c r="B235" s="70"/>
      <c r="C235" s="67"/>
      <c r="D235" s="68"/>
      <c r="E235" s="69"/>
      <c r="F235" s="84"/>
      <c r="G235" s="83"/>
      <c r="H235" s="84"/>
      <c r="I235" s="84"/>
      <c r="J235" s="84"/>
      <c r="K235" s="84"/>
      <c r="L235" s="84"/>
      <c r="M235" s="83"/>
      <c r="N235" s="84"/>
      <c r="O235" s="84"/>
      <c r="P235" s="84"/>
      <c r="Q235" s="84"/>
      <c r="R235" s="84"/>
      <c r="S235" s="86"/>
      <c r="T235" s="84"/>
      <c r="U235" s="84"/>
      <c r="V235" s="86"/>
      <c r="W235" s="84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68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68"/>
    </row>
    <row r="236" spans="1:52" s="105" customFormat="1" x14ac:dyDescent="0.25">
      <c r="A236" s="230"/>
      <c r="B236" s="70"/>
      <c r="C236" s="67"/>
      <c r="D236" s="68"/>
      <c r="E236" s="69"/>
      <c r="F236" s="84"/>
      <c r="G236" s="83"/>
      <c r="H236" s="84"/>
      <c r="I236" s="84"/>
      <c r="J236" s="84"/>
      <c r="K236" s="84"/>
      <c r="L236" s="84"/>
      <c r="M236" s="83"/>
      <c r="N236" s="84"/>
      <c r="O236" s="84"/>
      <c r="P236" s="84"/>
      <c r="Q236" s="84"/>
      <c r="R236" s="84"/>
      <c r="S236" s="86"/>
      <c r="T236" s="84"/>
      <c r="U236" s="84"/>
      <c r="V236" s="86"/>
      <c r="W236" s="84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68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8">
        <f ca="1">SUM(AY5:AY234)</f>
        <v>0</v>
      </c>
      <c r="AZ236" s="68"/>
    </row>
    <row r="237" spans="1:52" s="105" customFormat="1" x14ac:dyDescent="0.25">
      <c r="A237" s="230"/>
      <c r="B237" s="70"/>
      <c r="C237" s="67"/>
      <c r="D237" s="68"/>
      <c r="E237" s="69"/>
      <c r="F237" s="84"/>
      <c r="G237" s="83"/>
      <c r="H237" s="84"/>
      <c r="I237" s="84"/>
      <c r="J237" s="84"/>
      <c r="K237" s="84"/>
      <c r="L237" s="84"/>
      <c r="M237" s="83"/>
      <c r="N237" s="84"/>
      <c r="O237" s="84"/>
      <c r="P237" s="84"/>
      <c r="Q237" s="84"/>
      <c r="R237" s="84"/>
      <c r="S237" s="86"/>
      <c r="T237" s="84"/>
      <c r="U237" s="84"/>
      <c r="V237" s="86"/>
      <c r="W237" s="84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68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68"/>
    </row>
  </sheetData>
  <mergeCells count="31"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W3:W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F2:K2"/>
    <mergeCell ref="L2:Q2"/>
    <mergeCell ref="R2:W2"/>
    <mergeCell ref="X2:AC2"/>
    <mergeCell ref="AD2:AG2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0" orientation="portrait" horizontalDpi="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I37"/>
  <sheetViews>
    <sheetView showGridLines="0" workbookViewId="0">
      <selection activeCell="A6" sqref="A6"/>
    </sheetView>
  </sheetViews>
  <sheetFormatPr defaultColWidth="0" defaultRowHeight="15" zeroHeight="1" x14ac:dyDescent="0.25"/>
  <cols>
    <col min="1" max="1" width="53" style="340" bestFit="1" customWidth="1"/>
    <col min="2" max="2" width="16.140625" style="340" bestFit="1" customWidth="1"/>
    <col min="3" max="3" width="11.140625" style="340" bestFit="1" customWidth="1"/>
    <col min="4" max="4" width="15.28515625" style="340" bestFit="1" customWidth="1"/>
    <col min="5" max="5" width="14.7109375" style="340" bestFit="1" customWidth="1"/>
    <col min="6" max="7" width="15.28515625" style="340" bestFit="1" customWidth="1"/>
    <col min="8" max="8" width="14.7109375" style="340" bestFit="1" customWidth="1"/>
    <col min="9" max="9" width="15.28515625" style="340" bestFit="1" customWidth="1"/>
    <col min="10" max="10" width="9.140625" style="340" hidden="1" customWidth="1"/>
    <col min="11" max="16384" width="9.140625" style="340" hidden="1"/>
  </cols>
  <sheetData>
    <row r="1" spans="1:9" x14ac:dyDescent="0.25">
      <c r="A1" s="283" t="s">
        <v>699</v>
      </c>
      <c r="B1" s="395" t="s">
        <v>665</v>
      </c>
      <c r="C1" s="395"/>
      <c r="D1" s="338"/>
      <c r="E1" s="395" t="s">
        <v>720</v>
      </c>
      <c r="F1" s="395"/>
      <c r="G1" s="339"/>
      <c r="H1" s="338"/>
      <c r="I1" s="283"/>
    </row>
    <row r="2" spans="1:9" x14ac:dyDescent="0.25">
      <c r="A2" s="341"/>
      <c r="B2" s="342" t="s">
        <v>699</v>
      </c>
      <c r="C2" s="342" t="s">
        <v>827</v>
      </c>
      <c r="D2" s="341"/>
      <c r="E2" s="342" t="s">
        <v>699</v>
      </c>
      <c r="F2" s="342" t="s">
        <v>827</v>
      </c>
      <c r="G2" s="341"/>
      <c r="H2" s="342"/>
      <c r="I2" s="341"/>
    </row>
    <row r="3" spans="1:9" x14ac:dyDescent="0.25">
      <c r="A3" s="343" t="s">
        <v>908</v>
      </c>
      <c r="B3" s="344">
        <f ca="1">B9+B15</f>
        <v>0</v>
      </c>
      <c r="C3" s="344">
        <f ca="1">IFERROR(B3/(Dashboard!$C$20+Dashboard!$D$20),0)</f>
        <v>0</v>
      </c>
      <c r="E3" s="344">
        <f ca="1">E9+E15</f>
        <v>0</v>
      </c>
      <c r="F3" s="344">
        <f ca="1">IFERROR(E3/(Dashboard!$C$20+Dashboard!$D$20),0)</f>
        <v>0</v>
      </c>
    </row>
    <row r="4" spans="1:9" x14ac:dyDescent="0.25">
      <c r="A4" s="343" t="s">
        <v>920</v>
      </c>
      <c r="B4" s="344">
        <f ca="1">B10+B16</f>
        <v>0</v>
      </c>
      <c r="C4" s="344">
        <f ca="1">IFERROR(B4/(Dashboard!$C$21+Dashboard!$D$21),0)</f>
        <v>0</v>
      </c>
      <c r="E4" s="344">
        <f ca="1">E10+E16</f>
        <v>0</v>
      </c>
      <c r="F4" s="344">
        <f ca="1">IFERROR(E4/(Dashboard!$C$21+Dashboard!$D$21),0)</f>
        <v>0</v>
      </c>
    </row>
    <row r="5" spans="1:9" x14ac:dyDescent="0.25">
      <c r="A5" s="345" t="s">
        <v>909</v>
      </c>
      <c r="B5" s="346">
        <f ca="1">B3+B4</f>
        <v>0</v>
      </c>
      <c r="C5" s="346" t="e">
        <f ca="1">B5/(Dashboard!$C$22+Dashboard!$D$22)</f>
        <v>#DIV/0!</v>
      </c>
      <c r="D5" s="346"/>
      <c r="E5" s="346">
        <f t="shared" ref="E5" ca="1" si="0">E3+E4</f>
        <v>0</v>
      </c>
      <c r="F5" s="346" t="e">
        <f ca="1">E5/(Dashboard!$C$22+Dashboard!$D$22)</f>
        <v>#DIV/0!</v>
      </c>
    </row>
    <row r="6" spans="1:9" x14ac:dyDescent="0.25"/>
    <row r="7" spans="1:9" x14ac:dyDescent="0.25">
      <c r="A7" s="283" t="s">
        <v>843</v>
      </c>
      <c r="B7" s="395" t="s">
        <v>665</v>
      </c>
      <c r="C7" s="395"/>
      <c r="D7" s="338"/>
      <c r="E7" s="395" t="s">
        <v>720</v>
      </c>
      <c r="F7" s="395"/>
      <c r="G7" s="339"/>
      <c r="H7" s="338"/>
      <c r="I7" s="283"/>
    </row>
    <row r="8" spans="1:9" x14ac:dyDescent="0.25">
      <c r="A8" s="341"/>
      <c r="B8" s="342" t="s">
        <v>699</v>
      </c>
      <c r="C8" s="342" t="s">
        <v>827</v>
      </c>
      <c r="D8" s="341"/>
      <c r="E8" s="342" t="s">
        <v>699</v>
      </c>
      <c r="F8" s="342" t="s">
        <v>827</v>
      </c>
      <c r="G8" s="341"/>
      <c r="H8" s="342"/>
      <c r="I8" s="341"/>
    </row>
    <row r="9" spans="1:9" x14ac:dyDescent="0.25">
      <c r="A9" s="343" t="s">
        <v>908</v>
      </c>
      <c r="B9" s="347">
        <f ca="1">'Marktwaarde in verhuurde staat'!BD31</f>
        <v>0</v>
      </c>
      <c r="C9" s="347">
        <f ca="1">IFERROR(B9/Dashboard!$C$20,0)</f>
        <v>0</v>
      </c>
      <c r="E9" s="347">
        <f ca="1">'Marktwaarde in verhuurde staat'!BD63</f>
        <v>0</v>
      </c>
      <c r="F9" s="347">
        <f ca="1">IFERROR(E9/Dashboard!$C$20,0)</f>
        <v>0</v>
      </c>
      <c r="G9" s="341"/>
      <c r="H9" s="347"/>
      <c r="I9" s="341"/>
    </row>
    <row r="10" spans="1:9" x14ac:dyDescent="0.25">
      <c r="A10" s="343" t="s">
        <v>920</v>
      </c>
      <c r="B10" s="347">
        <f ca="1">C10*Dashboard!$C$21</f>
        <v>0</v>
      </c>
      <c r="C10" s="347">
        <f ca="1">C9/Dashboard!$C$46*IF(Dashboard!$C$21=0,0,1)</f>
        <v>0</v>
      </c>
      <c r="E10" s="347">
        <f ca="1">F10*Dashboard!$C$21</f>
        <v>0</v>
      </c>
      <c r="F10" s="347">
        <f ca="1">F9/Dashboard!$C$46*IF(Dashboard!$C$21=0,0,1)</f>
        <v>0</v>
      </c>
      <c r="G10" s="341"/>
      <c r="H10" s="347"/>
      <c r="I10" s="341"/>
    </row>
    <row r="11" spans="1:9" x14ac:dyDescent="0.25">
      <c r="A11" s="345" t="s">
        <v>909</v>
      </c>
      <c r="B11" s="348">
        <f ca="1">B10+B9</f>
        <v>0</v>
      </c>
      <c r="C11" s="348">
        <f ca="1">IFERROR(B11/Dashboard!$C$22,0)</f>
        <v>0</v>
      </c>
      <c r="D11" s="348"/>
      <c r="E11" s="348">
        <f t="shared" ref="E11" ca="1" si="1">E10+E9</f>
        <v>0</v>
      </c>
      <c r="F11" s="348">
        <f ca="1">IFERROR(E11/Dashboard!$C$22,0)</f>
        <v>0</v>
      </c>
      <c r="G11" s="341"/>
      <c r="H11" s="347"/>
      <c r="I11" s="341"/>
    </row>
    <row r="12" spans="1:9" x14ac:dyDescent="0.25">
      <c r="A12" s="349"/>
      <c r="B12" s="349"/>
      <c r="C12" s="350"/>
      <c r="D12" s="351"/>
      <c r="E12" s="351"/>
      <c r="F12" s="343"/>
      <c r="G12" s="343"/>
      <c r="H12" s="343"/>
      <c r="I12" s="341"/>
    </row>
    <row r="13" spans="1:9" x14ac:dyDescent="0.25">
      <c r="A13" s="283" t="s">
        <v>844</v>
      </c>
      <c r="B13" s="395" t="s">
        <v>665</v>
      </c>
      <c r="C13" s="395"/>
      <c r="D13" s="338"/>
      <c r="E13" s="395" t="s">
        <v>720</v>
      </c>
      <c r="F13" s="395"/>
      <c r="G13" s="339"/>
      <c r="H13" s="338"/>
      <c r="I13" s="283"/>
    </row>
    <row r="14" spans="1:9" x14ac:dyDescent="0.25">
      <c r="A14" s="341"/>
      <c r="B14" s="342" t="s">
        <v>699</v>
      </c>
      <c r="C14" s="342" t="s">
        <v>827</v>
      </c>
      <c r="D14" s="341"/>
      <c r="E14" s="342" t="s">
        <v>699</v>
      </c>
      <c r="F14" s="342" t="s">
        <v>827</v>
      </c>
      <c r="G14" s="341"/>
      <c r="H14" s="342"/>
      <c r="I14" s="341"/>
    </row>
    <row r="15" spans="1:9" x14ac:dyDescent="0.25">
      <c r="A15" s="343" t="s">
        <v>908</v>
      </c>
      <c r="B15" s="347">
        <f ca="1">'Marktwaarde in verhuurde st (N)'!BD31</f>
        <v>0</v>
      </c>
      <c r="C15" s="347">
        <f ca="1">IFERROR(B15/Dashboard!$D$20,0)</f>
        <v>0</v>
      </c>
      <c r="E15" s="347">
        <f ca="1">'Marktwaarde in verhuurde st (N)'!BD63</f>
        <v>0</v>
      </c>
      <c r="F15" s="347">
        <f ca="1">IFERROR(E15/Dashboard!$D$20,0)</f>
        <v>0</v>
      </c>
      <c r="G15" s="341"/>
      <c r="H15" s="347"/>
      <c r="I15" s="341"/>
    </row>
    <row r="16" spans="1:9" x14ac:dyDescent="0.25">
      <c r="A16" s="343" t="s">
        <v>920</v>
      </c>
      <c r="B16" s="347">
        <f ca="1">C16*Dashboard!$D$21</f>
        <v>0</v>
      </c>
      <c r="C16" s="347">
        <f ca="1">C15/Dashboard!$D$46*IF(Dashboard!$D$21=0,0,1)</f>
        <v>0</v>
      </c>
      <c r="E16" s="347">
        <f ca="1">F16*Dashboard!$D$21</f>
        <v>0</v>
      </c>
      <c r="F16" s="347">
        <f ca="1">F15/Dashboard!$D$46*IF(Dashboard!$D$21=0,0,1)</f>
        <v>0</v>
      </c>
      <c r="G16" s="341"/>
      <c r="H16" s="347"/>
      <c r="I16" s="341"/>
    </row>
    <row r="17" spans="1:8" x14ac:dyDescent="0.25">
      <c r="A17" s="345" t="s">
        <v>909</v>
      </c>
      <c r="B17" s="352">
        <f ca="1">B15+B16</f>
        <v>0</v>
      </c>
      <c r="C17" s="348">
        <f ca="1">IFERROR(B17/Dashboard!$D$22,0)</f>
        <v>0</v>
      </c>
      <c r="D17" s="352"/>
      <c r="E17" s="352">
        <f t="shared" ref="E17" ca="1" si="2">E15+E16</f>
        <v>0</v>
      </c>
      <c r="F17" s="348">
        <f ca="1">IFERROR(E17/Dashboard!$D$22,0)</f>
        <v>0</v>
      </c>
      <c r="G17" s="353"/>
      <c r="H17" s="354"/>
    </row>
    <row r="18" spans="1:8" x14ac:dyDescent="0.25">
      <c r="A18" s="353"/>
      <c r="B18" s="353"/>
      <c r="C18" s="353"/>
      <c r="D18" s="353"/>
      <c r="E18" s="355"/>
      <c r="F18" s="353"/>
      <c r="G18" s="353"/>
      <c r="H18" s="354"/>
    </row>
    <row r="19" spans="1:8" hidden="1" x14ac:dyDescent="0.25">
      <c r="A19" s="353"/>
      <c r="B19" s="353"/>
      <c r="C19" s="353"/>
      <c r="D19" s="353"/>
      <c r="E19" s="356"/>
      <c r="F19" s="353"/>
      <c r="G19" s="353"/>
      <c r="H19" s="354"/>
    </row>
    <row r="20" spans="1:8" hidden="1" x14ac:dyDescent="0.25">
      <c r="A20" s="353"/>
      <c r="B20" s="353"/>
      <c r="C20" s="353"/>
      <c r="D20" s="353"/>
      <c r="E20" s="357"/>
      <c r="F20" s="353"/>
      <c r="G20" s="353"/>
      <c r="H20" s="354"/>
    </row>
    <row r="21" spans="1:8" hidden="1" x14ac:dyDescent="0.25">
      <c r="A21" s="353"/>
      <c r="B21" s="353"/>
      <c r="C21" s="353"/>
      <c r="D21" s="353"/>
      <c r="E21" s="358"/>
      <c r="F21" s="353"/>
      <c r="G21" s="353"/>
      <c r="H21" s="354"/>
    </row>
    <row r="22" spans="1:8" hidden="1" x14ac:dyDescent="0.25">
      <c r="A22" s="353"/>
      <c r="B22" s="353"/>
      <c r="C22" s="353"/>
      <c r="D22" s="353"/>
      <c r="E22" s="353"/>
      <c r="F22" s="353"/>
      <c r="G22" s="353"/>
      <c r="H22" s="354"/>
    </row>
    <row r="23" spans="1:8" hidden="1" x14ac:dyDescent="0.25">
      <c r="A23" s="353"/>
      <c r="B23" s="353"/>
      <c r="C23" s="353"/>
      <c r="D23" s="353"/>
      <c r="E23" s="353"/>
      <c r="F23" s="353"/>
      <c r="G23" s="353"/>
      <c r="H23" s="354"/>
    </row>
    <row r="24" spans="1:8" hidden="1" x14ac:dyDescent="0.25">
      <c r="A24" s="353"/>
      <c r="B24" s="353"/>
      <c r="C24" s="353"/>
      <c r="D24" s="353"/>
      <c r="E24" s="353"/>
      <c r="F24" s="353"/>
      <c r="G24" s="353"/>
      <c r="H24" s="354"/>
    </row>
    <row r="25" spans="1:8" hidden="1" x14ac:dyDescent="0.25">
      <c r="A25" s="359"/>
      <c r="B25" s="353"/>
      <c r="C25" s="353"/>
      <c r="D25" s="353"/>
      <c r="E25" s="353"/>
      <c r="F25" s="353"/>
      <c r="G25" s="353"/>
      <c r="H25" s="354"/>
    </row>
    <row r="26" spans="1:8" hidden="1" x14ac:dyDescent="0.25">
      <c r="A26" s="353"/>
      <c r="B26" s="353"/>
      <c r="C26" s="353"/>
      <c r="D26" s="353"/>
      <c r="E26" s="355"/>
      <c r="F26" s="353"/>
      <c r="G26" s="353"/>
      <c r="H26" s="354"/>
    </row>
    <row r="27" spans="1:8" hidden="1" x14ac:dyDescent="0.25">
      <c r="A27" s="353"/>
      <c r="B27" s="353"/>
      <c r="C27" s="353"/>
      <c r="D27" s="353"/>
      <c r="E27" s="356"/>
      <c r="F27" s="353"/>
      <c r="G27" s="353"/>
      <c r="H27" s="354"/>
    </row>
    <row r="28" spans="1:8" hidden="1" x14ac:dyDescent="0.25">
      <c r="A28" s="353"/>
      <c r="B28" s="353"/>
      <c r="C28" s="353"/>
      <c r="D28" s="353"/>
      <c r="E28" s="357"/>
      <c r="F28" s="353"/>
      <c r="G28" s="353"/>
      <c r="H28" s="354"/>
    </row>
    <row r="29" spans="1:8" hidden="1" x14ac:dyDescent="0.25">
      <c r="A29" s="353"/>
      <c r="B29" s="353"/>
      <c r="C29" s="353"/>
      <c r="D29" s="353"/>
      <c r="E29" s="358"/>
      <c r="F29" s="353"/>
      <c r="G29" s="353"/>
      <c r="H29" s="354"/>
    </row>
    <row r="30" spans="1:8" hidden="1" x14ac:dyDescent="0.25">
      <c r="A30" s="341"/>
      <c r="B30" s="341"/>
      <c r="C30" s="341"/>
      <c r="D30" s="341"/>
      <c r="E30" s="341"/>
      <c r="F30" s="341"/>
      <c r="G30" s="341"/>
    </row>
    <row r="31" spans="1:8" hidden="1" x14ac:dyDescent="0.25">
      <c r="A31" s="341"/>
      <c r="B31" s="341"/>
      <c r="C31" s="341"/>
      <c r="D31" s="341"/>
      <c r="E31" s="341"/>
      <c r="F31" s="341"/>
      <c r="G31" s="341"/>
    </row>
    <row r="32" spans="1:8" hidden="1" x14ac:dyDescent="0.25">
      <c r="A32" s="341"/>
      <c r="B32" s="341"/>
      <c r="C32" s="341"/>
      <c r="D32" s="341"/>
      <c r="E32" s="341"/>
      <c r="F32" s="341"/>
      <c r="G32" s="341"/>
    </row>
    <row r="33" spans="1:7" hidden="1" x14ac:dyDescent="0.25">
      <c r="A33" s="341"/>
      <c r="B33" s="341"/>
      <c r="C33" s="341"/>
      <c r="D33" s="341"/>
      <c r="E33" s="341"/>
      <c r="F33" s="341"/>
      <c r="G33" s="341"/>
    </row>
    <row r="34" spans="1:7" hidden="1" x14ac:dyDescent="0.25">
      <c r="A34" s="341"/>
      <c r="B34" s="341"/>
      <c r="C34" s="341"/>
      <c r="D34" s="341"/>
      <c r="E34" s="341"/>
      <c r="F34" s="341"/>
      <c r="G34" s="341"/>
    </row>
    <row r="35" spans="1:7" hidden="1" x14ac:dyDescent="0.25">
      <c r="A35" s="341"/>
      <c r="B35" s="341"/>
      <c r="C35" s="341"/>
      <c r="D35" s="341"/>
      <c r="E35" s="341"/>
      <c r="F35" s="341"/>
      <c r="G35" s="341"/>
    </row>
    <row r="36" spans="1:7" hidden="1" x14ac:dyDescent="0.25">
      <c r="A36" s="341"/>
      <c r="B36" s="341"/>
      <c r="C36" s="341"/>
      <c r="D36" s="341"/>
      <c r="E36" s="341"/>
      <c r="F36" s="341"/>
      <c r="G36" s="341"/>
    </row>
    <row r="37" spans="1:7" hidden="1" x14ac:dyDescent="0.25">
      <c r="A37" s="341"/>
      <c r="B37" s="341"/>
      <c r="C37" s="341"/>
      <c r="D37" s="341"/>
      <c r="E37" s="341"/>
      <c r="F37" s="341"/>
      <c r="G37" s="341"/>
    </row>
  </sheetData>
  <sheetProtection password="CF00" sheet="1" objects="1" scenarios="1"/>
  <mergeCells count="6">
    <mergeCell ref="B1:C1"/>
    <mergeCell ref="E1:F1"/>
    <mergeCell ref="B7:C7"/>
    <mergeCell ref="E7:F7"/>
    <mergeCell ref="B13:C13"/>
    <mergeCell ref="E13:F13"/>
  </mergeCells>
  <pageMargins left="0.7" right="0.7" top="0.75" bottom="0.75" header="0.3" footer="0.3"/>
  <pageSetup paperSize="0" orientation="portrait" horizontalDpi="0" verticalDpi="0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G401"/>
  <sheetViews>
    <sheetView showGridLines="0" topLeftCell="A209" workbookViewId="0">
      <selection activeCell="C58" sqref="C58"/>
    </sheetView>
  </sheetViews>
  <sheetFormatPr defaultColWidth="0" defaultRowHeight="15" zeroHeight="1" x14ac:dyDescent="0.25"/>
  <cols>
    <col min="1" max="1" width="28.85546875" bestFit="1" customWidth="1"/>
    <col min="2" max="2" width="26.140625" bestFit="1" customWidth="1"/>
    <col min="3" max="3" width="26.5703125" bestFit="1" customWidth="1"/>
    <col min="4" max="5" width="26.140625" bestFit="1" customWidth="1"/>
    <col min="6" max="6" width="32.5703125" bestFit="1" customWidth="1"/>
    <col min="7" max="7" width="14.28515625" bestFit="1" customWidth="1"/>
    <col min="8" max="16384" width="9.140625" hidden="1"/>
  </cols>
  <sheetData>
    <row r="1" spans="1:7" x14ac:dyDescent="0.25">
      <c r="A1" s="241" t="s">
        <v>601</v>
      </c>
      <c r="B1" s="4"/>
      <c r="C1" s="4"/>
      <c r="D1" s="4"/>
      <c r="E1" s="4"/>
      <c r="F1" s="4" t="s">
        <v>863</v>
      </c>
      <c r="G1" s="4"/>
    </row>
    <row r="2" spans="1:7" x14ac:dyDescent="0.25">
      <c r="A2" s="55" t="s">
        <v>602</v>
      </c>
      <c r="B2" s="55" t="s">
        <v>603</v>
      </c>
      <c r="C2" s="55" t="s">
        <v>603</v>
      </c>
      <c r="D2" s="55" t="s">
        <v>603</v>
      </c>
      <c r="E2" s="55" t="s">
        <v>603</v>
      </c>
    </row>
    <row r="3" spans="1:7" x14ac:dyDescent="0.25">
      <c r="A3" s="55" t="s">
        <v>602</v>
      </c>
      <c r="B3" s="55" t="s">
        <v>604</v>
      </c>
      <c r="C3" s="55" t="s">
        <v>604</v>
      </c>
      <c r="D3" s="55" t="s">
        <v>604</v>
      </c>
      <c r="E3" s="55" t="s">
        <v>604</v>
      </c>
    </row>
    <row r="4" spans="1:7" x14ac:dyDescent="0.25">
      <c r="A4" s="55" t="s">
        <v>602</v>
      </c>
      <c r="B4" s="55" t="s">
        <v>605</v>
      </c>
      <c r="C4" s="55" t="s">
        <v>605</v>
      </c>
      <c r="D4" s="55" t="s">
        <v>606</v>
      </c>
      <c r="E4" s="55" t="s">
        <v>606</v>
      </c>
    </row>
    <row r="5" spans="1:7" x14ac:dyDescent="0.25">
      <c r="A5" s="55" t="s">
        <v>602</v>
      </c>
      <c r="B5" s="55" t="s">
        <v>607</v>
      </c>
      <c r="C5" s="55" t="s">
        <v>608</v>
      </c>
      <c r="D5" s="55" t="s">
        <v>607</v>
      </c>
      <c r="E5" s="55" t="s">
        <v>608</v>
      </c>
    </row>
    <row r="6" spans="1:7" x14ac:dyDescent="0.25">
      <c r="A6" s="55" t="s">
        <v>609</v>
      </c>
      <c r="B6" s="55" t="s">
        <v>610</v>
      </c>
      <c r="C6" s="55" t="s">
        <v>611</v>
      </c>
      <c r="D6" s="55" t="s">
        <v>610</v>
      </c>
      <c r="E6" s="55" t="s">
        <v>611</v>
      </c>
      <c r="F6" s="230" t="s">
        <v>830</v>
      </c>
      <c r="G6" s="230" t="s">
        <v>831</v>
      </c>
    </row>
    <row r="7" spans="1:7" x14ac:dyDescent="0.25">
      <c r="A7" s="55" t="s">
        <v>176</v>
      </c>
      <c r="B7" s="56" t="s">
        <v>612</v>
      </c>
      <c r="C7" s="56" t="s">
        <v>132</v>
      </c>
      <c r="D7" s="56" t="s">
        <v>613</v>
      </c>
      <c r="E7" s="56" t="s">
        <v>614</v>
      </c>
      <c r="F7" s="230" t="s">
        <v>192</v>
      </c>
      <c r="G7" s="230" t="s">
        <v>65</v>
      </c>
    </row>
    <row r="8" spans="1:7" x14ac:dyDescent="0.25">
      <c r="A8" s="55" t="s">
        <v>177</v>
      </c>
      <c r="B8" s="56" t="s">
        <v>615</v>
      </c>
      <c r="C8" s="56" t="s">
        <v>157</v>
      </c>
      <c r="D8" s="56" t="s">
        <v>616</v>
      </c>
      <c r="E8" s="56" t="s">
        <v>617</v>
      </c>
      <c r="F8" s="230" t="s">
        <v>200</v>
      </c>
      <c r="G8" s="230" t="s">
        <v>65</v>
      </c>
    </row>
    <row r="9" spans="1:7" x14ac:dyDescent="0.25">
      <c r="A9" s="55" t="s">
        <v>178</v>
      </c>
      <c r="B9" s="56" t="s">
        <v>618</v>
      </c>
      <c r="C9" s="56" t="s">
        <v>147</v>
      </c>
      <c r="D9" s="56" t="s">
        <v>619</v>
      </c>
      <c r="E9" s="56" t="s">
        <v>620</v>
      </c>
      <c r="F9" s="230" t="s">
        <v>204</v>
      </c>
      <c r="G9" s="230" t="s">
        <v>65</v>
      </c>
    </row>
    <row r="10" spans="1:7" x14ac:dyDescent="0.25">
      <c r="A10" s="55" t="s">
        <v>179</v>
      </c>
      <c r="B10" s="56" t="s">
        <v>621</v>
      </c>
      <c r="C10" s="56" t="s">
        <v>139</v>
      </c>
      <c r="D10" s="56" t="s">
        <v>622</v>
      </c>
      <c r="E10" s="56" t="s">
        <v>623</v>
      </c>
      <c r="F10" s="230" t="s">
        <v>485</v>
      </c>
      <c r="G10" s="230" t="s">
        <v>65</v>
      </c>
    </row>
    <row r="11" spans="1:7" x14ac:dyDescent="0.25">
      <c r="A11" s="55" t="s">
        <v>180</v>
      </c>
      <c r="B11" s="56" t="s">
        <v>624</v>
      </c>
      <c r="C11" s="56" t="s">
        <v>129</v>
      </c>
      <c r="D11" s="56" t="s">
        <v>613</v>
      </c>
      <c r="E11" s="56" t="s">
        <v>614</v>
      </c>
      <c r="F11" s="230" t="s">
        <v>249</v>
      </c>
      <c r="G11" s="230" t="s">
        <v>65</v>
      </c>
    </row>
    <row r="12" spans="1:7" x14ac:dyDescent="0.25">
      <c r="A12" s="55" t="s">
        <v>181</v>
      </c>
      <c r="B12" s="56" t="s">
        <v>625</v>
      </c>
      <c r="C12" s="56" t="s">
        <v>153</v>
      </c>
      <c r="D12" s="56" t="s">
        <v>619</v>
      </c>
      <c r="E12" s="56" t="s">
        <v>620</v>
      </c>
      <c r="F12" s="230" t="s">
        <v>269</v>
      </c>
      <c r="G12" s="230" t="s">
        <v>65</v>
      </c>
    </row>
    <row r="13" spans="1:7" x14ac:dyDescent="0.25">
      <c r="A13" s="55" t="s">
        <v>182</v>
      </c>
      <c r="B13" s="56" t="s">
        <v>626</v>
      </c>
      <c r="C13" s="56" t="s">
        <v>152</v>
      </c>
      <c r="D13" s="56" t="s">
        <v>619</v>
      </c>
      <c r="E13" s="56" t="s">
        <v>620</v>
      </c>
      <c r="F13" s="230" t="s">
        <v>65</v>
      </c>
      <c r="G13" s="230" t="s">
        <v>65</v>
      </c>
    </row>
    <row r="14" spans="1:7" x14ac:dyDescent="0.25">
      <c r="A14" s="55" t="s">
        <v>183</v>
      </c>
      <c r="B14" s="56" t="s">
        <v>627</v>
      </c>
      <c r="C14" s="56" t="s">
        <v>143</v>
      </c>
      <c r="D14" s="56" t="s">
        <v>619</v>
      </c>
      <c r="E14" s="56" t="s">
        <v>620</v>
      </c>
      <c r="F14" s="230" t="s">
        <v>296</v>
      </c>
      <c r="G14" s="230" t="s">
        <v>65</v>
      </c>
    </row>
    <row r="15" spans="1:7" x14ac:dyDescent="0.25">
      <c r="A15" s="55" t="s">
        <v>184</v>
      </c>
      <c r="B15" s="56" t="s">
        <v>628</v>
      </c>
      <c r="C15" s="56" t="s">
        <v>137</v>
      </c>
      <c r="D15" s="56" t="s">
        <v>622</v>
      </c>
      <c r="E15" s="56" t="s">
        <v>623</v>
      </c>
      <c r="F15" s="230" t="s">
        <v>307</v>
      </c>
      <c r="G15" s="230" t="s">
        <v>65</v>
      </c>
    </row>
    <row r="16" spans="1:7" x14ac:dyDescent="0.25">
      <c r="A16" s="55" t="s">
        <v>185</v>
      </c>
      <c r="B16" s="56" t="s">
        <v>629</v>
      </c>
      <c r="C16" s="56" t="s">
        <v>62</v>
      </c>
      <c r="D16" s="56" t="s">
        <v>622</v>
      </c>
      <c r="E16" s="56" t="s">
        <v>623</v>
      </c>
      <c r="F16" s="230" t="s">
        <v>332</v>
      </c>
      <c r="G16" s="230" t="s">
        <v>65</v>
      </c>
    </row>
    <row r="17" spans="1:7" x14ac:dyDescent="0.25">
      <c r="A17" s="55" t="s">
        <v>186</v>
      </c>
      <c r="B17" s="56" t="s">
        <v>630</v>
      </c>
      <c r="C17" s="56" t="s">
        <v>151</v>
      </c>
      <c r="D17" s="56" t="s">
        <v>619</v>
      </c>
      <c r="E17" s="56" t="s">
        <v>620</v>
      </c>
      <c r="F17" s="230" t="s">
        <v>356</v>
      </c>
      <c r="G17" s="230" t="s">
        <v>65</v>
      </c>
    </row>
    <row r="18" spans="1:7" x14ac:dyDescent="0.25">
      <c r="A18" s="55" t="s">
        <v>187</v>
      </c>
      <c r="B18" s="56" t="s">
        <v>615</v>
      </c>
      <c r="C18" s="56" t="s">
        <v>157</v>
      </c>
      <c r="D18" s="56" t="s">
        <v>616</v>
      </c>
      <c r="E18" s="56" t="s">
        <v>617</v>
      </c>
      <c r="F18" s="230" t="s">
        <v>373</v>
      </c>
      <c r="G18" s="230" t="s">
        <v>65</v>
      </c>
    </row>
    <row r="19" spans="1:7" x14ac:dyDescent="0.25">
      <c r="A19" s="55" t="s">
        <v>188</v>
      </c>
      <c r="B19" s="56" t="s">
        <v>624</v>
      </c>
      <c r="C19" s="56" t="s">
        <v>129</v>
      </c>
      <c r="D19" s="56" t="s">
        <v>613</v>
      </c>
      <c r="E19" s="56" t="s">
        <v>614</v>
      </c>
      <c r="F19" s="230" t="s">
        <v>245</v>
      </c>
      <c r="G19" s="230" t="s">
        <v>65</v>
      </c>
    </row>
    <row r="20" spans="1:7" x14ac:dyDescent="0.25">
      <c r="A20" s="55" t="s">
        <v>189</v>
      </c>
      <c r="B20" s="56" t="s">
        <v>631</v>
      </c>
      <c r="C20" s="56" t="s">
        <v>70</v>
      </c>
      <c r="D20" s="56" t="s">
        <v>619</v>
      </c>
      <c r="E20" s="56" t="s">
        <v>620</v>
      </c>
      <c r="F20" s="230" t="s">
        <v>379</v>
      </c>
      <c r="G20" s="230" t="s">
        <v>65</v>
      </c>
    </row>
    <row r="21" spans="1:7" x14ac:dyDescent="0.25">
      <c r="A21" s="55" t="s">
        <v>190</v>
      </c>
      <c r="B21" s="56" t="s">
        <v>618</v>
      </c>
      <c r="C21" s="56" t="s">
        <v>147</v>
      </c>
      <c r="D21" s="56" t="s">
        <v>619</v>
      </c>
      <c r="E21" s="56" t="s">
        <v>620</v>
      </c>
      <c r="F21" s="230" t="s">
        <v>383</v>
      </c>
      <c r="G21" s="230" t="s">
        <v>65</v>
      </c>
    </row>
    <row r="22" spans="1:7" x14ac:dyDescent="0.25">
      <c r="A22" s="55" t="s">
        <v>73</v>
      </c>
      <c r="B22" s="56" t="s">
        <v>618</v>
      </c>
      <c r="C22" s="56" t="s">
        <v>147</v>
      </c>
      <c r="D22" s="56" t="s">
        <v>619</v>
      </c>
      <c r="E22" s="56" t="s">
        <v>620</v>
      </c>
      <c r="F22" s="230" t="s">
        <v>415</v>
      </c>
      <c r="G22" s="230" t="s">
        <v>65</v>
      </c>
    </row>
    <row r="23" spans="1:7" x14ac:dyDescent="0.25">
      <c r="A23" s="55" t="s">
        <v>191</v>
      </c>
      <c r="B23" s="56" t="s">
        <v>632</v>
      </c>
      <c r="C23" s="56" t="s">
        <v>138</v>
      </c>
      <c r="D23" s="56" t="s">
        <v>622</v>
      </c>
      <c r="E23" s="56" t="s">
        <v>623</v>
      </c>
      <c r="F23" s="230" t="s">
        <v>435</v>
      </c>
      <c r="G23" s="230" t="s">
        <v>65</v>
      </c>
    </row>
    <row r="24" spans="1:7" x14ac:dyDescent="0.25">
      <c r="A24" s="55" t="s">
        <v>192</v>
      </c>
      <c r="B24" s="56" t="s">
        <v>633</v>
      </c>
      <c r="C24" s="56" t="s">
        <v>127</v>
      </c>
      <c r="D24" s="56" t="s">
        <v>613</v>
      </c>
      <c r="E24" s="56" t="s">
        <v>614</v>
      </c>
      <c r="F24" s="230" t="s">
        <v>470</v>
      </c>
      <c r="G24" s="230" t="s">
        <v>65</v>
      </c>
    </row>
    <row r="25" spans="1:7" x14ac:dyDescent="0.25">
      <c r="A25" s="55" t="s">
        <v>193</v>
      </c>
      <c r="B25" s="56" t="s">
        <v>634</v>
      </c>
      <c r="C25" s="56" t="s">
        <v>140</v>
      </c>
      <c r="D25" s="56" t="s">
        <v>622</v>
      </c>
      <c r="E25" s="56" t="s">
        <v>623</v>
      </c>
      <c r="F25" s="230" t="s">
        <v>476</v>
      </c>
      <c r="G25" s="230" t="s">
        <v>65</v>
      </c>
    </row>
    <row r="26" spans="1:7" x14ac:dyDescent="0.25">
      <c r="A26" s="55" t="s">
        <v>194</v>
      </c>
      <c r="B26" s="56" t="s">
        <v>612</v>
      </c>
      <c r="C26" s="56" t="s">
        <v>132</v>
      </c>
      <c r="D26" s="56" t="s">
        <v>613</v>
      </c>
      <c r="E26" s="56" t="s">
        <v>614</v>
      </c>
      <c r="F26" s="230" t="s">
        <v>505</v>
      </c>
      <c r="G26" s="230" t="s">
        <v>65</v>
      </c>
    </row>
    <row r="27" spans="1:7" x14ac:dyDescent="0.25">
      <c r="A27" s="55" t="s">
        <v>195</v>
      </c>
      <c r="B27" s="56" t="s">
        <v>635</v>
      </c>
      <c r="C27" s="56" t="s">
        <v>159</v>
      </c>
      <c r="D27" s="56" t="s">
        <v>616</v>
      </c>
      <c r="E27" s="56" t="s">
        <v>617</v>
      </c>
      <c r="F27" s="230" t="s">
        <v>515</v>
      </c>
      <c r="G27" s="230" t="s">
        <v>65</v>
      </c>
    </row>
    <row r="28" spans="1:7" x14ac:dyDescent="0.25">
      <c r="A28" s="55" t="s">
        <v>196</v>
      </c>
      <c r="B28" s="56" t="s">
        <v>615</v>
      </c>
      <c r="C28" s="56" t="s">
        <v>157</v>
      </c>
      <c r="D28" s="56" t="s">
        <v>616</v>
      </c>
      <c r="E28" s="56" t="s">
        <v>617</v>
      </c>
      <c r="F28" s="230" t="s">
        <v>541</v>
      </c>
      <c r="G28" s="230" t="s">
        <v>65</v>
      </c>
    </row>
    <row r="29" spans="1:7" x14ac:dyDescent="0.25">
      <c r="A29" s="55" t="s">
        <v>197</v>
      </c>
      <c r="B29" s="56" t="s">
        <v>631</v>
      </c>
      <c r="C29" s="56" t="s">
        <v>70</v>
      </c>
      <c r="D29" s="56" t="s">
        <v>619</v>
      </c>
      <c r="E29" s="56" t="s">
        <v>620</v>
      </c>
      <c r="F29" s="230" t="s">
        <v>558</v>
      </c>
      <c r="G29" s="230" t="s">
        <v>65</v>
      </c>
    </row>
    <row r="30" spans="1:7" x14ac:dyDescent="0.25">
      <c r="A30" s="55" t="s">
        <v>198</v>
      </c>
      <c r="B30" s="56" t="s">
        <v>626</v>
      </c>
      <c r="C30" s="56" t="s">
        <v>152</v>
      </c>
      <c r="D30" s="56" t="s">
        <v>619</v>
      </c>
      <c r="E30" s="56" t="s">
        <v>620</v>
      </c>
      <c r="F30" s="230" t="s">
        <v>180</v>
      </c>
      <c r="G30" s="230" t="s">
        <v>63</v>
      </c>
    </row>
    <row r="31" spans="1:7" x14ac:dyDescent="0.25">
      <c r="A31" s="55" t="s">
        <v>199</v>
      </c>
      <c r="B31" s="56" t="s">
        <v>632</v>
      </c>
      <c r="C31" s="56" t="s">
        <v>138</v>
      </c>
      <c r="D31" s="56" t="s">
        <v>622</v>
      </c>
      <c r="E31" s="56" t="s">
        <v>623</v>
      </c>
      <c r="F31" s="230" t="s">
        <v>188</v>
      </c>
      <c r="G31" s="230" t="s">
        <v>63</v>
      </c>
    </row>
    <row r="32" spans="1:7" x14ac:dyDescent="0.25">
      <c r="A32" s="55" t="s">
        <v>200</v>
      </c>
      <c r="B32" s="56" t="s">
        <v>636</v>
      </c>
      <c r="C32" s="56" t="s">
        <v>128</v>
      </c>
      <c r="D32" s="56" t="s">
        <v>613</v>
      </c>
      <c r="E32" s="56" t="s">
        <v>614</v>
      </c>
      <c r="F32" s="230" t="s">
        <v>323</v>
      </c>
      <c r="G32" s="230" t="s">
        <v>63</v>
      </c>
    </row>
    <row r="33" spans="1:7" x14ac:dyDescent="0.25">
      <c r="A33" s="55" t="s">
        <v>201</v>
      </c>
      <c r="B33" s="56" t="s">
        <v>637</v>
      </c>
      <c r="C33" s="56" t="s">
        <v>162</v>
      </c>
      <c r="D33" s="56" t="s">
        <v>616</v>
      </c>
      <c r="E33" s="56" t="s">
        <v>617</v>
      </c>
      <c r="F33" s="230" t="s">
        <v>242</v>
      </c>
      <c r="G33" s="230" t="s">
        <v>63</v>
      </c>
    </row>
    <row r="34" spans="1:7" x14ac:dyDescent="0.25">
      <c r="A34" s="55" t="s">
        <v>202</v>
      </c>
      <c r="B34" s="56" t="s">
        <v>618</v>
      </c>
      <c r="C34" s="56" t="s">
        <v>147</v>
      </c>
      <c r="D34" s="56" t="s">
        <v>619</v>
      </c>
      <c r="E34" s="56" t="s">
        <v>620</v>
      </c>
      <c r="F34" s="230" t="s">
        <v>258</v>
      </c>
      <c r="G34" s="230" t="s">
        <v>63</v>
      </c>
    </row>
    <row r="35" spans="1:7" x14ac:dyDescent="0.25">
      <c r="A35" s="55" t="s">
        <v>203</v>
      </c>
      <c r="B35" s="56" t="s">
        <v>638</v>
      </c>
      <c r="C35" s="56" t="s">
        <v>160</v>
      </c>
      <c r="D35" s="56" t="s">
        <v>616</v>
      </c>
      <c r="E35" s="56" t="s">
        <v>617</v>
      </c>
      <c r="F35" s="230" t="s">
        <v>280</v>
      </c>
      <c r="G35" s="230" t="s">
        <v>63</v>
      </c>
    </row>
    <row r="36" spans="1:7" x14ac:dyDescent="0.25">
      <c r="A36" s="55" t="s">
        <v>204</v>
      </c>
      <c r="B36" s="56" t="s">
        <v>639</v>
      </c>
      <c r="C36" s="56" t="s">
        <v>126</v>
      </c>
      <c r="D36" s="56" t="s">
        <v>613</v>
      </c>
      <c r="E36" s="56" t="s">
        <v>614</v>
      </c>
      <c r="F36" s="230" t="s">
        <v>281</v>
      </c>
      <c r="G36" s="230" t="s">
        <v>63</v>
      </c>
    </row>
    <row r="37" spans="1:7" x14ac:dyDescent="0.25">
      <c r="A37" s="55" t="s">
        <v>205</v>
      </c>
      <c r="B37" s="56" t="s">
        <v>635</v>
      </c>
      <c r="C37" s="56" t="s">
        <v>159</v>
      </c>
      <c r="D37" s="56" t="s">
        <v>616</v>
      </c>
      <c r="E37" s="56" t="s">
        <v>617</v>
      </c>
      <c r="F37" s="230" t="s">
        <v>244</v>
      </c>
      <c r="G37" s="230" t="s">
        <v>63</v>
      </c>
    </row>
    <row r="38" spans="1:7" x14ac:dyDescent="0.25">
      <c r="A38" s="55" t="s">
        <v>206</v>
      </c>
      <c r="B38" s="56" t="s">
        <v>638</v>
      </c>
      <c r="C38" s="56" t="s">
        <v>160</v>
      </c>
      <c r="D38" s="56" t="s">
        <v>616</v>
      </c>
      <c r="E38" s="56" t="s">
        <v>617</v>
      </c>
      <c r="F38" s="230" t="s">
        <v>308</v>
      </c>
      <c r="G38" s="230" t="s">
        <v>63</v>
      </c>
    </row>
    <row r="39" spans="1:7" x14ac:dyDescent="0.25">
      <c r="A39" s="55" t="s">
        <v>207</v>
      </c>
      <c r="B39" s="56" t="s">
        <v>627</v>
      </c>
      <c r="C39" s="56" t="s">
        <v>143</v>
      </c>
      <c r="D39" s="56" t="s">
        <v>619</v>
      </c>
      <c r="E39" s="56" t="s">
        <v>620</v>
      </c>
      <c r="F39" s="230" t="s">
        <v>313</v>
      </c>
      <c r="G39" s="230" t="s">
        <v>63</v>
      </c>
    </row>
    <row r="40" spans="1:7" x14ac:dyDescent="0.25">
      <c r="A40" s="55" t="s">
        <v>208</v>
      </c>
      <c r="B40" s="56" t="s">
        <v>640</v>
      </c>
      <c r="C40" s="56" t="s">
        <v>156</v>
      </c>
      <c r="D40" s="56" t="s">
        <v>616</v>
      </c>
      <c r="E40" s="56" t="s">
        <v>617</v>
      </c>
      <c r="F40" s="230" t="s">
        <v>345</v>
      </c>
      <c r="G40" s="230" t="s">
        <v>63</v>
      </c>
    </row>
    <row r="41" spans="1:7" x14ac:dyDescent="0.25">
      <c r="A41" s="55" t="s">
        <v>209</v>
      </c>
      <c r="B41" s="56" t="s">
        <v>621</v>
      </c>
      <c r="C41" s="56" t="s">
        <v>139</v>
      </c>
      <c r="D41" s="56" t="s">
        <v>622</v>
      </c>
      <c r="E41" s="56" t="s">
        <v>623</v>
      </c>
      <c r="F41" s="230" t="s">
        <v>358</v>
      </c>
      <c r="G41" s="230" t="s">
        <v>63</v>
      </c>
    </row>
    <row r="42" spans="1:7" x14ac:dyDescent="0.25">
      <c r="A42" s="55" t="s">
        <v>210</v>
      </c>
      <c r="B42" s="56" t="s">
        <v>641</v>
      </c>
      <c r="C42" s="56" t="s">
        <v>158</v>
      </c>
      <c r="D42" s="56" t="s">
        <v>616</v>
      </c>
      <c r="E42" s="56" t="s">
        <v>617</v>
      </c>
      <c r="F42" s="230" t="s">
        <v>359</v>
      </c>
      <c r="G42" s="230" t="s">
        <v>63</v>
      </c>
    </row>
    <row r="43" spans="1:7" x14ac:dyDescent="0.25">
      <c r="A43" s="55" t="s">
        <v>211</v>
      </c>
      <c r="B43" s="56" t="s">
        <v>635</v>
      </c>
      <c r="C43" s="56" t="s">
        <v>159</v>
      </c>
      <c r="D43" s="56" t="s">
        <v>616</v>
      </c>
      <c r="E43" s="56" t="s">
        <v>617</v>
      </c>
      <c r="F43" s="230" t="s">
        <v>369</v>
      </c>
      <c r="G43" s="230" t="s">
        <v>63</v>
      </c>
    </row>
    <row r="44" spans="1:7" x14ac:dyDescent="0.25">
      <c r="A44" s="55" t="s">
        <v>212</v>
      </c>
      <c r="B44" s="56" t="s">
        <v>634</v>
      </c>
      <c r="C44" s="56" t="s">
        <v>140</v>
      </c>
      <c r="D44" s="56" t="s">
        <v>622</v>
      </c>
      <c r="E44" s="56" t="s">
        <v>623</v>
      </c>
      <c r="F44" s="230" t="s">
        <v>382</v>
      </c>
      <c r="G44" s="230" t="s">
        <v>63</v>
      </c>
    </row>
    <row r="45" spans="1:7" x14ac:dyDescent="0.25">
      <c r="A45" s="55" t="s">
        <v>213</v>
      </c>
      <c r="B45" s="56" t="s">
        <v>642</v>
      </c>
      <c r="C45" s="56" t="s">
        <v>643</v>
      </c>
      <c r="D45" s="56" t="s">
        <v>619</v>
      </c>
      <c r="E45" s="56" t="s">
        <v>620</v>
      </c>
      <c r="F45" s="230" t="s">
        <v>423</v>
      </c>
      <c r="G45" s="230" t="s">
        <v>63</v>
      </c>
    </row>
    <row r="46" spans="1:7" x14ac:dyDescent="0.25">
      <c r="A46" s="55" t="s">
        <v>323</v>
      </c>
      <c r="B46" s="56" t="s">
        <v>624</v>
      </c>
      <c r="C46" s="56" t="s">
        <v>129</v>
      </c>
      <c r="D46" s="56" t="s">
        <v>613</v>
      </c>
      <c r="E46" s="56" t="s">
        <v>614</v>
      </c>
      <c r="F46" s="230" t="s">
        <v>426</v>
      </c>
      <c r="G46" s="230" t="s">
        <v>63</v>
      </c>
    </row>
    <row r="47" spans="1:7" x14ac:dyDescent="0.25">
      <c r="A47" s="55" t="s">
        <v>243</v>
      </c>
      <c r="B47" s="56" t="s">
        <v>631</v>
      </c>
      <c r="C47" s="56" t="s">
        <v>70</v>
      </c>
      <c r="D47" s="56" t="s">
        <v>619</v>
      </c>
      <c r="E47" s="56" t="s">
        <v>620</v>
      </c>
      <c r="F47" s="230" t="s">
        <v>458</v>
      </c>
      <c r="G47" s="230" t="s">
        <v>63</v>
      </c>
    </row>
    <row r="48" spans="1:7" x14ac:dyDescent="0.25">
      <c r="A48" s="55" t="s">
        <v>214</v>
      </c>
      <c r="B48" s="56" t="s">
        <v>626</v>
      </c>
      <c r="C48" s="56" t="s">
        <v>152</v>
      </c>
      <c r="D48" s="56" t="s">
        <v>619</v>
      </c>
      <c r="E48" s="56" t="s">
        <v>620</v>
      </c>
      <c r="F48" s="230" t="s">
        <v>472</v>
      </c>
      <c r="G48" s="230" t="s">
        <v>63</v>
      </c>
    </row>
    <row r="49" spans="1:7" x14ac:dyDescent="0.25">
      <c r="A49" s="55" t="s">
        <v>215</v>
      </c>
      <c r="B49" s="56" t="s">
        <v>635</v>
      </c>
      <c r="C49" s="56" t="s">
        <v>159</v>
      </c>
      <c r="D49" s="56" t="s">
        <v>616</v>
      </c>
      <c r="E49" s="56" t="s">
        <v>617</v>
      </c>
      <c r="F49" s="230" t="s">
        <v>484</v>
      </c>
      <c r="G49" s="230" t="s">
        <v>63</v>
      </c>
    </row>
    <row r="50" spans="1:7" x14ac:dyDescent="0.25">
      <c r="A50" s="55" t="s">
        <v>216</v>
      </c>
      <c r="B50" s="56" t="s">
        <v>644</v>
      </c>
      <c r="C50" s="56" t="s">
        <v>148</v>
      </c>
      <c r="D50" s="56" t="s">
        <v>619</v>
      </c>
      <c r="E50" s="56" t="s">
        <v>620</v>
      </c>
      <c r="F50" s="230" t="s">
        <v>487</v>
      </c>
      <c r="G50" s="230" t="s">
        <v>63</v>
      </c>
    </row>
    <row r="51" spans="1:7" x14ac:dyDescent="0.25">
      <c r="A51" s="55" t="s">
        <v>217</v>
      </c>
      <c r="B51" s="56" t="s">
        <v>645</v>
      </c>
      <c r="C51" s="56" t="s">
        <v>145</v>
      </c>
      <c r="D51" s="56" t="s">
        <v>619</v>
      </c>
      <c r="E51" s="56" t="s">
        <v>620</v>
      </c>
      <c r="F51" s="230" t="s">
        <v>496</v>
      </c>
      <c r="G51" s="230" t="s">
        <v>63</v>
      </c>
    </row>
    <row r="52" spans="1:7" x14ac:dyDescent="0.25">
      <c r="A52" s="55" t="s">
        <v>218</v>
      </c>
      <c r="B52" s="56" t="s">
        <v>630</v>
      </c>
      <c r="C52" s="56" t="s">
        <v>151</v>
      </c>
      <c r="D52" s="56" t="s">
        <v>619</v>
      </c>
      <c r="E52" s="56" t="s">
        <v>620</v>
      </c>
      <c r="F52" s="230" t="s">
        <v>516</v>
      </c>
      <c r="G52" s="230" t="s">
        <v>63</v>
      </c>
    </row>
    <row r="53" spans="1:7" x14ac:dyDescent="0.25">
      <c r="A53" s="55" t="s">
        <v>219</v>
      </c>
      <c r="B53" s="56" t="s">
        <v>641</v>
      </c>
      <c r="C53" s="56" t="s">
        <v>158</v>
      </c>
      <c r="D53" s="56" t="s">
        <v>616</v>
      </c>
      <c r="E53" s="56" t="s">
        <v>617</v>
      </c>
      <c r="F53" s="230" t="s">
        <v>535</v>
      </c>
      <c r="G53" s="230" t="s">
        <v>63</v>
      </c>
    </row>
    <row r="54" spans="1:7" x14ac:dyDescent="0.25">
      <c r="A54" s="55" t="s">
        <v>485</v>
      </c>
      <c r="B54" s="56" t="s">
        <v>636</v>
      </c>
      <c r="C54" s="56" t="s">
        <v>128</v>
      </c>
      <c r="D54" s="56" t="s">
        <v>613</v>
      </c>
      <c r="E54" s="56" t="s">
        <v>614</v>
      </c>
      <c r="F54" s="230" t="s">
        <v>176</v>
      </c>
      <c r="G54" s="230" t="s">
        <v>61</v>
      </c>
    </row>
    <row r="55" spans="1:7" x14ac:dyDescent="0.25">
      <c r="A55" s="55" t="s">
        <v>220</v>
      </c>
      <c r="B55" s="56" t="s">
        <v>646</v>
      </c>
      <c r="C55" s="56" t="s">
        <v>133</v>
      </c>
      <c r="D55" s="56" t="s">
        <v>613</v>
      </c>
      <c r="E55" s="56" t="s">
        <v>614</v>
      </c>
      <c r="F55" s="230" t="s">
        <v>194</v>
      </c>
      <c r="G55" s="230" t="s">
        <v>61</v>
      </c>
    </row>
    <row r="56" spans="1:7" x14ac:dyDescent="0.25">
      <c r="A56" s="55" t="s">
        <v>221</v>
      </c>
      <c r="B56" s="56" t="s">
        <v>628</v>
      </c>
      <c r="C56" s="56" t="s">
        <v>137</v>
      </c>
      <c r="D56" s="56" t="s">
        <v>622</v>
      </c>
      <c r="E56" s="56" t="s">
        <v>623</v>
      </c>
      <c r="F56" s="230" t="s">
        <v>220</v>
      </c>
      <c r="G56" s="230" t="s">
        <v>61</v>
      </c>
    </row>
    <row r="57" spans="1:7" x14ac:dyDescent="0.25">
      <c r="A57" s="55" t="s">
        <v>222</v>
      </c>
      <c r="B57" s="56" t="s">
        <v>647</v>
      </c>
      <c r="C57" s="56" t="s">
        <v>155</v>
      </c>
      <c r="D57" s="56" t="s">
        <v>619</v>
      </c>
      <c r="E57" s="56" t="s">
        <v>620</v>
      </c>
      <c r="F57" s="230" t="s">
        <v>236</v>
      </c>
      <c r="G57" s="230" t="s">
        <v>61</v>
      </c>
    </row>
    <row r="58" spans="1:7" x14ac:dyDescent="0.25">
      <c r="A58" s="55" t="s">
        <v>223</v>
      </c>
      <c r="B58" s="56" t="s">
        <v>641</v>
      </c>
      <c r="C58" s="56" t="s">
        <v>158</v>
      </c>
      <c r="D58" s="56" t="s">
        <v>616</v>
      </c>
      <c r="E58" s="56" t="s">
        <v>617</v>
      </c>
      <c r="F58" s="230" t="s">
        <v>274</v>
      </c>
      <c r="G58" s="230" t="s">
        <v>61</v>
      </c>
    </row>
    <row r="59" spans="1:7" x14ac:dyDescent="0.25">
      <c r="A59" s="55" t="s">
        <v>224</v>
      </c>
      <c r="B59" s="56" t="s">
        <v>641</v>
      </c>
      <c r="C59" s="56" t="s">
        <v>158</v>
      </c>
      <c r="D59" s="56" t="s">
        <v>616</v>
      </c>
      <c r="E59" s="56" t="s">
        <v>617</v>
      </c>
      <c r="F59" s="230" t="s">
        <v>331</v>
      </c>
      <c r="G59" s="230" t="s">
        <v>61</v>
      </c>
    </row>
    <row r="60" spans="1:7" x14ac:dyDescent="0.25">
      <c r="A60" s="55" t="s">
        <v>225</v>
      </c>
      <c r="B60" s="56" t="s">
        <v>640</v>
      </c>
      <c r="C60" s="56" t="s">
        <v>156</v>
      </c>
      <c r="D60" s="56" t="s">
        <v>616</v>
      </c>
      <c r="E60" s="56" t="s">
        <v>617</v>
      </c>
      <c r="F60" s="230" t="s">
        <v>384</v>
      </c>
      <c r="G60" s="230" t="s">
        <v>61</v>
      </c>
    </row>
    <row r="61" spans="1:7" x14ac:dyDescent="0.25">
      <c r="A61" s="55" t="s">
        <v>226</v>
      </c>
      <c r="B61" s="56" t="s">
        <v>626</v>
      </c>
      <c r="C61" s="56" t="s">
        <v>152</v>
      </c>
      <c r="D61" s="56" t="s">
        <v>619</v>
      </c>
      <c r="E61" s="56" t="s">
        <v>620</v>
      </c>
      <c r="F61" s="230" t="s">
        <v>387</v>
      </c>
      <c r="G61" s="230" t="s">
        <v>61</v>
      </c>
    </row>
    <row r="62" spans="1:7" x14ac:dyDescent="0.25">
      <c r="A62" s="55" t="s">
        <v>227</v>
      </c>
      <c r="B62" s="56" t="s">
        <v>621</v>
      </c>
      <c r="C62" s="56" t="s">
        <v>139</v>
      </c>
      <c r="D62" s="56" t="s">
        <v>622</v>
      </c>
      <c r="E62" s="56" t="s">
        <v>623</v>
      </c>
      <c r="F62" s="230" t="s">
        <v>405</v>
      </c>
      <c r="G62" s="230" t="s">
        <v>61</v>
      </c>
    </row>
    <row r="63" spans="1:7" x14ac:dyDescent="0.25">
      <c r="A63" s="55" t="s">
        <v>228</v>
      </c>
      <c r="B63" s="56" t="s">
        <v>621</v>
      </c>
      <c r="C63" s="56" t="s">
        <v>139</v>
      </c>
      <c r="D63" s="56" t="s">
        <v>622</v>
      </c>
      <c r="E63" s="56" t="s">
        <v>623</v>
      </c>
      <c r="F63" s="230" t="s">
        <v>495</v>
      </c>
      <c r="G63" s="230" t="s">
        <v>61</v>
      </c>
    </row>
    <row r="64" spans="1:7" x14ac:dyDescent="0.25">
      <c r="A64" s="55" t="s">
        <v>229</v>
      </c>
      <c r="B64" s="56" t="s">
        <v>637</v>
      </c>
      <c r="C64" s="56" t="s">
        <v>162</v>
      </c>
      <c r="D64" s="56" t="s">
        <v>616</v>
      </c>
      <c r="E64" s="56" t="s">
        <v>617</v>
      </c>
      <c r="F64" s="230" t="s">
        <v>532</v>
      </c>
      <c r="G64" s="230" t="s">
        <v>61</v>
      </c>
    </row>
    <row r="65" spans="1:7" x14ac:dyDescent="0.25">
      <c r="A65" s="55" t="s">
        <v>230</v>
      </c>
      <c r="B65" s="56" t="s">
        <v>631</v>
      </c>
      <c r="C65" s="56" t="s">
        <v>70</v>
      </c>
      <c r="D65" s="56" t="s">
        <v>619</v>
      </c>
      <c r="E65" s="56" t="s">
        <v>620</v>
      </c>
      <c r="F65" s="230" t="s">
        <v>247</v>
      </c>
      <c r="G65" s="230" t="s">
        <v>61</v>
      </c>
    </row>
    <row r="66" spans="1:7" x14ac:dyDescent="0.25">
      <c r="A66" s="55" t="s">
        <v>231</v>
      </c>
      <c r="B66" s="56" t="s">
        <v>631</v>
      </c>
      <c r="C66" s="56" t="s">
        <v>70</v>
      </c>
      <c r="D66" s="56" t="s">
        <v>619</v>
      </c>
      <c r="E66" s="56" t="s">
        <v>620</v>
      </c>
      <c r="F66" s="230" t="s">
        <v>184</v>
      </c>
      <c r="G66" s="230" t="s">
        <v>69</v>
      </c>
    </row>
    <row r="67" spans="1:7" x14ac:dyDescent="0.25">
      <c r="A67" s="55" t="s">
        <v>232</v>
      </c>
      <c r="B67" s="56" t="s">
        <v>648</v>
      </c>
      <c r="C67" s="56" t="s">
        <v>649</v>
      </c>
      <c r="D67" s="56" t="s">
        <v>622</v>
      </c>
      <c r="E67" s="56" t="s">
        <v>623</v>
      </c>
      <c r="F67" s="230" t="s">
        <v>221</v>
      </c>
      <c r="G67" s="230" t="s">
        <v>69</v>
      </c>
    </row>
    <row r="68" spans="1:7" x14ac:dyDescent="0.25">
      <c r="A68" s="55" t="s">
        <v>233</v>
      </c>
      <c r="B68" s="56" t="s">
        <v>644</v>
      </c>
      <c r="C68" s="56" t="s">
        <v>148</v>
      </c>
      <c r="D68" s="56" t="s">
        <v>619</v>
      </c>
      <c r="E68" s="56" t="s">
        <v>620</v>
      </c>
      <c r="F68" s="230" t="s">
        <v>241</v>
      </c>
      <c r="G68" s="230" t="s">
        <v>69</v>
      </c>
    </row>
    <row r="69" spans="1:7" x14ac:dyDescent="0.25">
      <c r="A69" s="55" t="s">
        <v>234</v>
      </c>
      <c r="B69" s="56" t="s">
        <v>626</v>
      </c>
      <c r="C69" s="56" t="s">
        <v>152</v>
      </c>
      <c r="D69" s="56" t="s">
        <v>619</v>
      </c>
      <c r="E69" s="56" t="s">
        <v>620</v>
      </c>
      <c r="F69" s="230" t="s">
        <v>252</v>
      </c>
      <c r="G69" s="230" t="s">
        <v>69</v>
      </c>
    </row>
    <row r="70" spans="1:7" x14ac:dyDescent="0.25">
      <c r="A70" s="55" t="s">
        <v>235</v>
      </c>
      <c r="B70" s="56" t="s">
        <v>642</v>
      </c>
      <c r="C70" s="56" t="s">
        <v>643</v>
      </c>
      <c r="D70" s="56" t="s">
        <v>619</v>
      </c>
      <c r="E70" s="56" t="s">
        <v>620</v>
      </c>
      <c r="F70" s="230" t="s">
        <v>254</v>
      </c>
      <c r="G70" s="230" t="s">
        <v>69</v>
      </c>
    </row>
    <row r="71" spans="1:7" x14ac:dyDescent="0.25">
      <c r="A71" s="55" t="s">
        <v>236</v>
      </c>
      <c r="B71" s="56" t="s">
        <v>646</v>
      </c>
      <c r="C71" s="56" t="s">
        <v>133</v>
      </c>
      <c r="D71" s="56" t="s">
        <v>613</v>
      </c>
      <c r="E71" s="56" t="s">
        <v>614</v>
      </c>
      <c r="F71" s="230" t="s">
        <v>276</v>
      </c>
      <c r="G71" s="230" t="s">
        <v>69</v>
      </c>
    </row>
    <row r="72" spans="1:7" x14ac:dyDescent="0.25">
      <c r="A72" s="55" t="s">
        <v>237</v>
      </c>
      <c r="B72" s="56" t="s">
        <v>635</v>
      </c>
      <c r="C72" s="56" t="s">
        <v>159</v>
      </c>
      <c r="D72" s="56" t="s">
        <v>616</v>
      </c>
      <c r="E72" s="56" t="s">
        <v>617</v>
      </c>
      <c r="F72" s="230" t="s">
        <v>298</v>
      </c>
      <c r="G72" s="230" t="s">
        <v>69</v>
      </c>
    </row>
    <row r="73" spans="1:7" x14ac:dyDescent="0.25">
      <c r="A73" s="55" t="s">
        <v>238</v>
      </c>
      <c r="B73" s="56" t="s">
        <v>626</v>
      </c>
      <c r="C73" s="56" t="s">
        <v>152</v>
      </c>
      <c r="D73" s="56" t="s">
        <v>619</v>
      </c>
      <c r="E73" s="56" t="s">
        <v>620</v>
      </c>
      <c r="F73" s="230" t="s">
        <v>304</v>
      </c>
      <c r="G73" s="230" t="s">
        <v>69</v>
      </c>
    </row>
    <row r="74" spans="1:7" x14ac:dyDescent="0.25">
      <c r="A74" s="55" t="s">
        <v>239</v>
      </c>
      <c r="B74" s="56" t="s">
        <v>641</v>
      </c>
      <c r="C74" s="56" t="s">
        <v>158</v>
      </c>
      <c r="D74" s="56" t="s">
        <v>616</v>
      </c>
      <c r="E74" s="56" t="s">
        <v>617</v>
      </c>
      <c r="F74" s="230" t="s">
        <v>318</v>
      </c>
      <c r="G74" s="230" t="s">
        <v>69</v>
      </c>
    </row>
    <row r="75" spans="1:7" x14ac:dyDescent="0.25">
      <c r="A75" s="55" t="s">
        <v>240</v>
      </c>
      <c r="B75" s="56" t="s">
        <v>648</v>
      </c>
      <c r="C75" s="56" t="s">
        <v>649</v>
      </c>
      <c r="D75" s="56" t="s">
        <v>622</v>
      </c>
      <c r="E75" s="56" t="s">
        <v>623</v>
      </c>
      <c r="F75" s="230" t="s">
        <v>322</v>
      </c>
      <c r="G75" s="230" t="s">
        <v>69</v>
      </c>
    </row>
    <row r="76" spans="1:7" x14ac:dyDescent="0.25">
      <c r="A76" s="55" t="s">
        <v>241</v>
      </c>
      <c r="B76" s="56" t="s">
        <v>650</v>
      </c>
      <c r="C76" s="56" t="s">
        <v>135</v>
      </c>
      <c r="D76" s="56" t="s">
        <v>622</v>
      </c>
      <c r="E76" s="56" t="s">
        <v>623</v>
      </c>
      <c r="F76" s="230" t="s">
        <v>329</v>
      </c>
      <c r="G76" s="230" t="s">
        <v>69</v>
      </c>
    </row>
    <row r="77" spans="1:7" x14ac:dyDescent="0.25">
      <c r="A77" s="55" t="s">
        <v>242</v>
      </c>
      <c r="B77" s="56" t="s">
        <v>624</v>
      </c>
      <c r="C77" s="56" t="s">
        <v>129</v>
      </c>
      <c r="D77" s="56" t="s">
        <v>613</v>
      </c>
      <c r="E77" s="56" t="s">
        <v>614</v>
      </c>
      <c r="F77" s="230" t="s">
        <v>340</v>
      </c>
      <c r="G77" s="230" t="s">
        <v>69</v>
      </c>
    </row>
    <row r="78" spans="1:7" x14ac:dyDescent="0.25">
      <c r="A78" s="55" t="s">
        <v>248</v>
      </c>
      <c r="B78" s="56" t="s">
        <v>651</v>
      </c>
      <c r="C78" s="56" t="s">
        <v>150</v>
      </c>
      <c r="D78" s="56" t="s">
        <v>619</v>
      </c>
      <c r="E78" s="56" t="s">
        <v>620</v>
      </c>
      <c r="F78" s="230" t="s">
        <v>374</v>
      </c>
      <c r="G78" s="230" t="s">
        <v>69</v>
      </c>
    </row>
    <row r="79" spans="1:7" x14ac:dyDescent="0.25">
      <c r="A79" s="55" t="s">
        <v>249</v>
      </c>
      <c r="B79" s="56" t="s">
        <v>633</v>
      </c>
      <c r="C79" s="56" t="s">
        <v>127</v>
      </c>
      <c r="D79" s="56" t="s">
        <v>613</v>
      </c>
      <c r="E79" s="56" t="s">
        <v>614</v>
      </c>
      <c r="F79" s="230" t="s">
        <v>417</v>
      </c>
      <c r="G79" s="230" t="s">
        <v>69</v>
      </c>
    </row>
    <row r="80" spans="1:7" x14ac:dyDescent="0.25">
      <c r="A80" s="55" t="s">
        <v>251</v>
      </c>
      <c r="B80" s="56" t="s">
        <v>635</v>
      </c>
      <c r="C80" s="56" t="s">
        <v>159</v>
      </c>
      <c r="D80" s="56" t="s">
        <v>616</v>
      </c>
      <c r="E80" s="56" t="s">
        <v>617</v>
      </c>
      <c r="F80" s="230" t="s">
        <v>418</v>
      </c>
      <c r="G80" s="230" t="s">
        <v>69</v>
      </c>
    </row>
    <row r="81" spans="1:7" x14ac:dyDescent="0.25">
      <c r="A81" s="55" t="s">
        <v>252</v>
      </c>
      <c r="B81" s="56" t="s">
        <v>652</v>
      </c>
      <c r="C81" s="56" t="s">
        <v>136</v>
      </c>
      <c r="D81" s="56" t="s">
        <v>622</v>
      </c>
      <c r="E81" s="56" t="s">
        <v>623</v>
      </c>
      <c r="F81" s="230" t="s">
        <v>419</v>
      </c>
      <c r="G81" s="230" t="s">
        <v>69</v>
      </c>
    </row>
    <row r="82" spans="1:7" x14ac:dyDescent="0.25">
      <c r="A82" s="55" t="s">
        <v>253</v>
      </c>
      <c r="B82" s="56" t="s">
        <v>618</v>
      </c>
      <c r="C82" s="56" t="s">
        <v>147</v>
      </c>
      <c r="D82" s="56" t="s">
        <v>619</v>
      </c>
      <c r="E82" s="56" t="s">
        <v>620</v>
      </c>
      <c r="F82" s="230" t="s">
        <v>439</v>
      </c>
      <c r="G82" s="230" t="s">
        <v>69</v>
      </c>
    </row>
    <row r="83" spans="1:7" x14ac:dyDescent="0.25">
      <c r="A83" s="55" t="s">
        <v>254</v>
      </c>
      <c r="B83" s="56" t="s">
        <v>628</v>
      </c>
      <c r="C83" s="56" t="s">
        <v>137</v>
      </c>
      <c r="D83" s="56" t="s">
        <v>622</v>
      </c>
      <c r="E83" s="56" t="s">
        <v>623</v>
      </c>
      <c r="F83" s="230" t="s">
        <v>448</v>
      </c>
      <c r="G83" s="230" t="s">
        <v>69</v>
      </c>
    </row>
    <row r="84" spans="1:7" x14ac:dyDescent="0.25">
      <c r="A84" s="55" t="s">
        <v>255</v>
      </c>
      <c r="B84" s="56" t="s">
        <v>634</v>
      </c>
      <c r="C84" s="56" t="s">
        <v>140</v>
      </c>
      <c r="D84" s="56" t="s">
        <v>622</v>
      </c>
      <c r="E84" s="56" t="s">
        <v>623</v>
      </c>
      <c r="F84" s="230" t="s">
        <v>477</v>
      </c>
      <c r="G84" s="230" t="s">
        <v>69</v>
      </c>
    </row>
    <row r="85" spans="1:7" x14ac:dyDescent="0.25">
      <c r="A85" s="55" t="s">
        <v>256</v>
      </c>
      <c r="B85" s="56" t="s">
        <v>621</v>
      </c>
      <c r="C85" s="56" t="s">
        <v>139</v>
      </c>
      <c r="D85" s="56" t="s">
        <v>622</v>
      </c>
      <c r="E85" s="56" t="s">
        <v>623</v>
      </c>
      <c r="F85" s="230" t="s">
        <v>480</v>
      </c>
      <c r="G85" s="230" t="s">
        <v>69</v>
      </c>
    </row>
    <row r="86" spans="1:7" x14ac:dyDescent="0.25">
      <c r="A86" s="55" t="s">
        <v>257</v>
      </c>
      <c r="B86" s="56" t="s">
        <v>615</v>
      </c>
      <c r="C86" s="56" t="s">
        <v>157</v>
      </c>
      <c r="D86" s="56" t="s">
        <v>616</v>
      </c>
      <c r="E86" s="56" t="s">
        <v>617</v>
      </c>
      <c r="F86" s="230" t="s">
        <v>493</v>
      </c>
      <c r="G86" s="230" t="s">
        <v>69</v>
      </c>
    </row>
    <row r="87" spans="1:7" x14ac:dyDescent="0.25">
      <c r="A87" s="55" t="s">
        <v>258</v>
      </c>
      <c r="B87" s="56" t="s">
        <v>624</v>
      </c>
      <c r="C87" s="56" t="s">
        <v>129</v>
      </c>
      <c r="D87" s="56" t="s">
        <v>613</v>
      </c>
      <c r="E87" s="56" t="s">
        <v>614</v>
      </c>
      <c r="F87" s="230" t="s">
        <v>494</v>
      </c>
      <c r="G87" s="230" t="s">
        <v>69</v>
      </c>
    </row>
    <row r="88" spans="1:7" x14ac:dyDescent="0.25">
      <c r="A88" s="55" t="s">
        <v>259</v>
      </c>
      <c r="B88" s="56" t="s">
        <v>625</v>
      </c>
      <c r="C88" s="56" t="s">
        <v>153</v>
      </c>
      <c r="D88" s="56" t="s">
        <v>619</v>
      </c>
      <c r="E88" s="56" t="s">
        <v>620</v>
      </c>
      <c r="F88" s="230" t="s">
        <v>537</v>
      </c>
      <c r="G88" s="230" t="s">
        <v>69</v>
      </c>
    </row>
    <row r="89" spans="1:7" x14ac:dyDescent="0.25">
      <c r="A89" s="55" t="s">
        <v>260</v>
      </c>
      <c r="B89" s="56" t="s">
        <v>653</v>
      </c>
      <c r="C89" s="56" t="s">
        <v>142</v>
      </c>
      <c r="D89" s="56" t="s">
        <v>619</v>
      </c>
      <c r="E89" s="56" t="s">
        <v>620</v>
      </c>
      <c r="F89" s="230" t="s">
        <v>562</v>
      </c>
      <c r="G89" s="230" t="s">
        <v>69</v>
      </c>
    </row>
    <row r="90" spans="1:7" x14ac:dyDescent="0.25">
      <c r="A90" s="55" t="s">
        <v>261</v>
      </c>
      <c r="B90" s="56" t="s">
        <v>640</v>
      </c>
      <c r="C90" s="56" t="s">
        <v>156</v>
      </c>
      <c r="D90" s="56" t="s">
        <v>616</v>
      </c>
      <c r="E90" s="56" t="s">
        <v>617</v>
      </c>
      <c r="F90" s="230" t="s">
        <v>564</v>
      </c>
      <c r="G90" s="230" t="s">
        <v>69</v>
      </c>
    </row>
    <row r="91" spans="1:7" x14ac:dyDescent="0.25">
      <c r="A91" s="55" t="s">
        <v>262</v>
      </c>
      <c r="B91" s="56" t="s">
        <v>629</v>
      </c>
      <c r="C91" s="56" t="s">
        <v>62</v>
      </c>
      <c r="D91" s="56" t="s">
        <v>622</v>
      </c>
      <c r="E91" s="56" t="s">
        <v>623</v>
      </c>
      <c r="F91" s="230" t="s">
        <v>185</v>
      </c>
      <c r="G91" s="230" t="s">
        <v>62</v>
      </c>
    </row>
    <row r="92" spans="1:7" x14ac:dyDescent="0.25">
      <c r="A92" s="55" t="s">
        <v>263</v>
      </c>
      <c r="B92" s="56" t="s">
        <v>634</v>
      </c>
      <c r="C92" s="56" t="s">
        <v>140</v>
      </c>
      <c r="D92" s="56" t="s">
        <v>622</v>
      </c>
      <c r="E92" s="56" t="s">
        <v>623</v>
      </c>
      <c r="F92" s="230" t="s">
        <v>262</v>
      </c>
      <c r="G92" s="230" t="s">
        <v>62</v>
      </c>
    </row>
    <row r="93" spans="1:7" x14ac:dyDescent="0.25">
      <c r="A93" s="55" t="s">
        <v>264</v>
      </c>
      <c r="B93" s="56" t="s">
        <v>634</v>
      </c>
      <c r="C93" s="56" t="s">
        <v>140</v>
      </c>
      <c r="D93" s="56" t="s">
        <v>622</v>
      </c>
      <c r="E93" s="56" t="s">
        <v>623</v>
      </c>
      <c r="F93" s="230" t="s">
        <v>363</v>
      </c>
      <c r="G93" s="230" t="s">
        <v>62</v>
      </c>
    </row>
    <row r="94" spans="1:7" x14ac:dyDescent="0.25">
      <c r="A94" s="55" t="s">
        <v>265</v>
      </c>
      <c r="B94" s="56" t="s">
        <v>654</v>
      </c>
      <c r="C94" s="56" t="s">
        <v>161</v>
      </c>
      <c r="D94" s="56" t="s">
        <v>616</v>
      </c>
      <c r="E94" s="56" t="s">
        <v>617</v>
      </c>
      <c r="F94" s="230" t="s">
        <v>406</v>
      </c>
      <c r="G94" s="230" t="s">
        <v>62</v>
      </c>
    </row>
    <row r="95" spans="1:7" x14ac:dyDescent="0.25">
      <c r="A95" s="55" t="s">
        <v>266</v>
      </c>
      <c r="B95" s="56" t="s">
        <v>618</v>
      </c>
      <c r="C95" s="56" t="s">
        <v>147</v>
      </c>
      <c r="D95" s="56" t="s">
        <v>619</v>
      </c>
      <c r="E95" s="56" t="s">
        <v>620</v>
      </c>
      <c r="F95" s="230" t="s">
        <v>500</v>
      </c>
      <c r="G95" s="230" t="s">
        <v>62</v>
      </c>
    </row>
    <row r="96" spans="1:7" x14ac:dyDescent="0.25">
      <c r="A96" s="55" t="s">
        <v>267</v>
      </c>
      <c r="B96" s="56" t="s">
        <v>632</v>
      </c>
      <c r="C96" s="56" t="s">
        <v>138</v>
      </c>
      <c r="D96" s="56" t="s">
        <v>622</v>
      </c>
      <c r="E96" s="56" t="s">
        <v>623</v>
      </c>
      <c r="F96" s="230" t="s">
        <v>553</v>
      </c>
      <c r="G96" s="230" t="s">
        <v>62</v>
      </c>
    </row>
    <row r="97" spans="1:7" x14ac:dyDescent="0.25">
      <c r="A97" s="55" t="s">
        <v>268</v>
      </c>
      <c r="B97" s="56" t="s">
        <v>631</v>
      </c>
      <c r="C97" s="56" t="s">
        <v>70</v>
      </c>
      <c r="D97" s="56" t="s">
        <v>619</v>
      </c>
      <c r="E97" s="56" t="s">
        <v>620</v>
      </c>
      <c r="F97" s="230" t="s">
        <v>179</v>
      </c>
      <c r="G97" s="230" t="s">
        <v>64</v>
      </c>
    </row>
    <row r="98" spans="1:7" x14ac:dyDescent="0.25">
      <c r="A98" s="55" t="s">
        <v>269</v>
      </c>
      <c r="B98" s="56" t="s">
        <v>636</v>
      </c>
      <c r="C98" s="56" t="s">
        <v>128</v>
      </c>
      <c r="D98" s="56" t="s">
        <v>613</v>
      </c>
      <c r="E98" s="56" t="s">
        <v>614</v>
      </c>
      <c r="F98" s="230" t="s">
        <v>191</v>
      </c>
      <c r="G98" s="230" t="s">
        <v>64</v>
      </c>
    </row>
    <row r="99" spans="1:7" x14ac:dyDescent="0.25">
      <c r="A99" s="55" t="s">
        <v>270</v>
      </c>
      <c r="B99" s="56" t="s">
        <v>635</v>
      </c>
      <c r="C99" s="56" t="s">
        <v>159</v>
      </c>
      <c r="D99" s="56" t="s">
        <v>616</v>
      </c>
      <c r="E99" s="56" t="s">
        <v>617</v>
      </c>
      <c r="F99" s="230" t="s">
        <v>193</v>
      </c>
      <c r="G99" s="230" t="s">
        <v>64</v>
      </c>
    </row>
    <row r="100" spans="1:7" x14ac:dyDescent="0.25">
      <c r="A100" s="55" t="s">
        <v>271</v>
      </c>
      <c r="B100" s="56" t="s">
        <v>637</v>
      </c>
      <c r="C100" s="56" t="s">
        <v>162</v>
      </c>
      <c r="D100" s="56" t="s">
        <v>616</v>
      </c>
      <c r="E100" s="56" t="s">
        <v>617</v>
      </c>
      <c r="F100" s="230" t="s">
        <v>199</v>
      </c>
      <c r="G100" s="230" t="s">
        <v>64</v>
      </c>
    </row>
    <row r="101" spans="1:7" x14ac:dyDescent="0.25">
      <c r="A101" s="55" t="s">
        <v>272</v>
      </c>
      <c r="B101" s="56" t="s">
        <v>635</v>
      </c>
      <c r="C101" s="56" t="s">
        <v>159</v>
      </c>
      <c r="D101" s="56" t="s">
        <v>616</v>
      </c>
      <c r="E101" s="56" t="s">
        <v>617</v>
      </c>
      <c r="F101" s="230" t="s">
        <v>209</v>
      </c>
      <c r="G101" s="230" t="s">
        <v>64</v>
      </c>
    </row>
    <row r="102" spans="1:7" x14ac:dyDescent="0.25">
      <c r="A102" s="55" t="s">
        <v>273</v>
      </c>
      <c r="B102" s="56" t="s">
        <v>632</v>
      </c>
      <c r="C102" s="56" t="s">
        <v>138</v>
      </c>
      <c r="D102" s="56" t="s">
        <v>622</v>
      </c>
      <c r="E102" s="56" t="s">
        <v>623</v>
      </c>
      <c r="F102" s="230" t="s">
        <v>212</v>
      </c>
      <c r="G102" s="230" t="s">
        <v>64</v>
      </c>
    </row>
    <row r="103" spans="1:7" x14ac:dyDescent="0.25">
      <c r="A103" s="55" t="s">
        <v>274</v>
      </c>
      <c r="B103" s="56" t="s">
        <v>646</v>
      </c>
      <c r="C103" s="56" t="s">
        <v>133</v>
      </c>
      <c r="D103" s="56" t="s">
        <v>613</v>
      </c>
      <c r="E103" s="56" t="s">
        <v>614</v>
      </c>
      <c r="F103" s="230" t="s">
        <v>227</v>
      </c>
      <c r="G103" s="230" t="s">
        <v>64</v>
      </c>
    </row>
    <row r="104" spans="1:7" x14ac:dyDescent="0.25">
      <c r="A104" s="55" t="s">
        <v>275</v>
      </c>
      <c r="B104" s="56" t="s">
        <v>653</v>
      </c>
      <c r="C104" s="56" t="s">
        <v>142</v>
      </c>
      <c r="D104" s="56" t="s">
        <v>619</v>
      </c>
      <c r="E104" s="56" t="s">
        <v>620</v>
      </c>
      <c r="F104" s="230" t="s">
        <v>228</v>
      </c>
      <c r="G104" s="230" t="s">
        <v>64</v>
      </c>
    </row>
    <row r="105" spans="1:7" x14ac:dyDescent="0.25">
      <c r="A105" s="55" t="s">
        <v>276</v>
      </c>
      <c r="B105" s="56" t="s">
        <v>628</v>
      </c>
      <c r="C105" s="56" t="s">
        <v>137</v>
      </c>
      <c r="D105" s="56" t="s">
        <v>622</v>
      </c>
      <c r="E105" s="56" t="s">
        <v>623</v>
      </c>
      <c r="F105" s="230" t="s">
        <v>232</v>
      </c>
      <c r="G105" s="230" t="s">
        <v>64</v>
      </c>
    </row>
    <row r="106" spans="1:7" x14ac:dyDescent="0.25">
      <c r="A106" s="55" t="s">
        <v>277</v>
      </c>
      <c r="B106" s="56" t="s">
        <v>632</v>
      </c>
      <c r="C106" s="56" t="s">
        <v>138</v>
      </c>
      <c r="D106" s="56" t="s">
        <v>622</v>
      </c>
      <c r="E106" s="56" t="s">
        <v>623</v>
      </c>
      <c r="F106" s="230" t="s">
        <v>240</v>
      </c>
      <c r="G106" s="230" t="s">
        <v>64</v>
      </c>
    </row>
    <row r="107" spans="1:7" x14ac:dyDescent="0.25">
      <c r="A107" s="55" t="s">
        <v>278</v>
      </c>
      <c r="B107" s="56" t="s">
        <v>632</v>
      </c>
      <c r="C107" s="56" t="s">
        <v>138</v>
      </c>
      <c r="D107" s="56" t="s">
        <v>622</v>
      </c>
      <c r="E107" s="56" t="s">
        <v>623</v>
      </c>
      <c r="F107" s="230" t="s">
        <v>255</v>
      </c>
      <c r="G107" s="230" t="s">
        <v>64</v>
      </c>
    </row>
    <row r="108" spans="1:7" x14ac:dyDescent="0.25">
      <c r="A108" s="55" t="s">
        <v>279</v>
      </c>
      <c r="B108" s="56" t="s">
        <v>640</v>
      </c>
      <c r="C108" s="56" t="s">
        <v>156</v>
      </c>
      <c r="D108" s="56" t="s">
        <v>616</v>
      </c>
      <c r="E108" s="56" t="s">
        <v>617</v>
      </c>
      <c r="F108" s="230" t="s">
        <v>256</v>
      </c>
      <c r="G108" s="230" t="s">
        <v>64</v>
      </c>
    </row>
    <row r="109" spans="1:7" x14ac:dyDescent="0.25">
      <c r="A109" s="55" t="s">
        <v>280</v>
      </c>
      <c r="B109" s="56" t="s">
        <v>624</v>
      </c>
      <c r="C109" s="56" t="s">
        <v>129</v>
      </c>
      <c r="D109" s="56" t="s">
        <v>613</v>
      </c>
      <c r="E109" s="56" t="s">
        <v>614</v>
      </c>
      <c r="F109" s="230" t="s">
        <v>263</v>
      </c>
      <c r="G109" s="230" t="s">
        <v>64</v>
      </c>
    </row>
    <row r="110" spans="1:7" x14ac:dyDescent="0.25">
      <c r="A110" s="55" t="s">
        <v>281</v>
      </c>
      <c r="B110" s="56" t="s">
        <v>624</v>
      </c>
      <c r="C110" s="56" t="s">
        <v>129</v>
      </c>
      <c r="D110" s="56" t="s">
        <v>613</v>
      </c>
      <c r="E110" s="56" t="s">
        <v>614</v>
      </c>
      <c r="F110" s="230" t="s">
        <v>264</v>
      </c>
      <c r="G110" s="230" t="s">
        <v>64</v>
      </c>
    </row>
    <row r="111" spans="1:7" x14ac:dyDescent="0.25">
      <c r="A111" s="55" t="s">
        <v>244</v>
      </c>
      <c r="B111" s="56" t="s">
        <v>655</v>
      </c>
      <c r="C111" s="56" t="s">
        <v>130</v>
      </c>
      <c r="D111" s="56" t="s">
        <v>656</v>
      </c>
      <c r="E111" s="56" t="s">
        <v>656</v>
      </c>
      <c r="F111" s="230" t="s">
        <v>267</v>
      </c>
      <c r="G111" s="230" t="s">
        <v>64</v>
      </c>
    </row>
    <row r="112" spans="1:7" x14ac:dyDescent="0.25">
      <c r="A112" s="55" t="s">
        <v>282</v>
      </c>
      <c r="B112" s="56" t="s">
        <v>640</v>
      </c>
      <c r="C112" s="56" t="s">
        <v>156</v>
      </c>
      <c r="D112" s="56" t="s">
        <v>616</v>
      </c>
      <c r="E112" s="56" t="s">
        <v>617</v>
      </c>
      <c r="F112" s="230" t="s">
        <v>273</v>
      </c>
      <c r="G112" s="230" t="s">
        <v>64</v>
      </c>
    </row>
    <row r="113" spans="1:7" x14ac:dyDescent="0.25">
      <c r="A113" s="55" t="s">
        <v>283</v>
      </c>
      <c r="B113" s="56" t="s">
        <v>648</v>
      </c>
      <c r="C113" s="56" t="s">
        <v>649</v>
      </c>
      <c r="D113" s="56" t="s">
        <v>622</v>
      </c>
      <c r="E113" s="56" t="s">
        <v>623</v>
      </c>
      <c r="F113" s="230" t="s">
        <v>277</v>
      </c>
      <c r="G113" s="230" t="s">
        <v>64</v>
      </c>
    </row>
    <row r="114" spans="1:7" x14ac:dyDescent="0.25">
      <c r="A114" s="55" t="s">
        <v>284</v>
      </c>
      <c r="B114" s="56" t="s">
        <v>635</v>
      </c>
      <c r="C114" s="56" t="s">
        <v>159</v>
      </c>
      <c r="D114" s="56" t="s">
        <v>616</v>
      </c>
      <c r="E114" s="56" t="s">
        <v>617</v>
      </c>
      <c r="F114" s="230" t="s">
        <v>278</v>
      </c>
      <c r="G114" s="230" t="s">
        <v>64</v>
      </c>
    </row>
    <row r="115" spans="1:7" x14ac:dyDescent="0.25">
      <c r="A115" s="55" t="s">
        <v>285</v>
      </c>
      <c r="B115" s="56" t="s">
        <v>635</v>
      </c>
      <c r="C115" s="56" t="s">
        <v>159</v>
      </c>
      <c r="D115" s="56" t="s">
        <v>616</v>
      </c>
      <c r="E115" s="56" t="s">
        <v>617</v>
      </c>
      <c r="F115" s="230" t="s">
        <v>283</v>
      </c>
      <c r="G115" s="230" t="s">
        <v>64</v>
      </c>
    </row>
    <row r="116" spans="1:7" x14ac:dyDescent="0.25">
      <c r="A116" s="55" t="s">
        <v>286</v>
      </c>
      <c r="B116" s="56" t="s">
        <v>638</v>
      </c>
      <c r="C116" s="56" t="s">
        <v>160</v>
      </c>
      <c r="D116" s="56" t="s">
        <v>616</v>
      </c>
      <c r="E116" s="56" t="s">
        <v>617</v>
      </c>
      <c r="F116" s="230" t="s">
        <v>295</v>
      </c>
      <c r="G116" s="230" t="s">
        <v>64</v>
      </c>
    </row>
    <row r="117" spans="1:7" x14ac:dyDescent="0.25">
      <c r="A117" s="55" t="s">
        <v>287</v>
      </c>
      <c r="B117" s="56" t="s">
        <v>625</v>
      </c>
      <c r="C117" s="56" t="s">
        <v>153</v>
      </c>
      <c r="D117" s="56" t="s">
        <v>619</v>
      </c>
      <c r="E117" s="56" t="s">
        <v>620</v>
      </c>
      <c r="F117" s="230" t="s">
        <v>305</v>
      </c>
      <c r="G117" s="230" t="s">
        <v>64</v>
      </c>
    </row>
    <row r="118" spans="1:7" x14ac:dyDescent="0.25">
      <c r="A118" s="55" t="s">
        <v>288</v>
      </c>
      <c r="B118" s="56" t="s">
        <v>615</v>
      </c>
      <c r="C118" s="56" t="s">
        <v>157</v>
      </c>
      <c r="D118" s="56" t="s">
        <v>616</v>
      </c>
      <c r="E118" s="56" t="s">
        <v>617</v>
      </c>
      <c r="F118" s="230" t="s">
        <v>309</v>
      </c>
      <c r="G118" s="230" t="s">
        <v>64</v>
      </c>
    </row>
    <row r="119" spans="1:7" x14ac:dyDescent="0.25">
      <c r="A119" s="55" t="s">
        <v>289</v>
      </c>
      <c r="B119" s="56" t="s">
        <v>626</v>
      </c>
      <c r="C119" s="56" t="s">
        <v>152</v>
      </c>
      <c r="D119" s="56" t="s">
        <v>619</v>
      </c>
      <c r="E119" s="56" t="s">
        <v>620</v>
      </c>
      <c r="F119" s="230" t="s">
        <v>312</v>
      </c>
      <c r="G119" s="230" t="s">
        <v>64</v>
      </c>
    </row>
    <row r="120" spans="1:7" x14ac:dyDescent="0.25">
      <c r="A120" s="55" t="s">
        <v>290</v>
      </c>
      <c r="B120" s="56" t="s">
        <v>647</v>
      </c>
      <c r="C120" s="56" t="s">
        <v>155</v>
      </c>
      <c r="D120" s="56" t="s">
        <v>619</v>
      </c>
      <c r="E120" s="56" t="s">
        <v>620</v>
      </c>
      <c r="F120" s="230" t="s">
        <v>324</v>
      </c>
      <c r="G120" s="230" t="s">
        <v>64</v>
      </c>
    </row>
    <row r="121" spans="1:7" x14ac:dyDescent="0.25">
      <c r="A121" s="55" t="s">
        <v>291</v>
      </c>
      <c r="B121" s="56" t="s">
        <v>615</v>
      </c>
      <c r="C121" s="56" t="s">
        <v>157</v>
      </c>
      <c r="D121" s="56" t="s">
        <v>616</v>
      </c>
      <c r="E121" s="56" t="s">
        <v>617</v>
      </c>
      <c r="F121" s="230" t="s">
        <v>366</v>
      </c>
      <c r="G121" s="230" t="s">
        <v>64</v>
      </c>
    </row>
    <row r="122" spans="1:7" x14ac:dyDescent="0.25">
      <c r="A122" s="55" t="s">
        <v>292</v>
      </c>
      <c r="B122" s="56" t="s">
        <v>625</v>
      </c>
      <c r="C122" s="56" t="s">
        <v>153</v>
      </c>
      <c r="D122" s="56" t="s">
        <v>619</v>
      </c>
      <c r="E122" s="56" t="s">
        <v>620</v>
      </c>
      <c r="F122" s="230" t="s">
        <v>367</v>
      </c>
      <c r="G122" s="230" t="s">
        <v>64</v>
      </c>
    </row>
    <row r="123" spans="1:7" x14ac:dyDescent="0.25">
      <c r="A123" s="55" t="s">
        <v>293</v>
      </c>
      <c r="B123" s="56" t="s">
        <v>630</v>
      </c>
      <c r="C123" s="56" t="s">
        <v>151</v>
      </c>
      <c r="D123" s="56" t="s">
        <v>619</v>
      </c>
      <c r="E123" s="56" t="s">
        <v>620</v>
      </c>
      <c r="F123" s="230" t="s">
        <v>370</v>
      </c>
      <c r="G123" s="230" t="s">
        <v>64</v>
      </c>
    </row>
    <row r="124" spans="1:7" x14ac:dyDescent="0.25">
      <c r="A124" s="55" t="s">
        <v>294</v>
      </c>
      <c r="B124" s="56" t="s">
        <v>641</v>
      </c>
      <c r="C124" s="56" t="s">
        <v>158</v>
      </c>
      <c r="D124" s="56" t="s">
        <v>616</v>
      </c>
      <c r="E124" s="56" t="s">
        <v>617</v>
      </c>
      <c r="F124" s="230" t="s">
        <v>375</v>
      </c>
      <c r="G124" s="230" t="s">
        <v>64</v>
      </c>
    </row>
    <row r="125" spans="1:7" x14ac:dyDescent="0.25">
      <c r="A125" s="57" t="s">
        <v>462</v>
      </c>
      <c r="B125" s="56" t="s">
        <v>657</v>
      </c>
      <c r="C125" s="56" t="s">
        <v>93</v>
      </c>
      <c r="D125" s="56" t="s">
        <v>619</v>
      </c>
      <c r="E125" s="56" t="s">
        <v>620</v>
      </c>
      <c r="F125" s="230" t="s">
        <v>391</v>
      </c>
      <c r="G125" s="230" t="s">
        <v>64</v>
      </c>
    </row>
    <row r="126" spans="1:7" x14ac:dyDescent="0.25">
      <c r="A126" s="55" t="s">
        <v>295</v>
      </c>
      <c r="B126" s="56" t="s">
        <v>634</v>
      </c>
      <c r="C126" s="56" t="s">
        <v>140</v>
      </c>
      <c r="D126" s="56" t="s">
        <v>622</v>
      </c>
      <c r="E126" s="56" t="s">
        <v>623</v>
      </c>
      <c r="F126" s="230" t="s">
        <v>396</v>
      </c>
      <c r="G126" s="230" t="s">
        <v>64</v>
      </c>
    </row>
    <row r="127" spans="1:7" x14ac:dyDescent="0.25">
      <c r="A127" s="55" t="s">
        <v>65</v>
      </c>
      <c r="B127" s="56" t="s">
        <v>636</v>
      </c>
      <c r="C127" s="56" t="s">
        <v>128</v>
      </c>
      <c r="D127" s="56" t="s">
        <v>613</v>
      </c>
      <c r="E127" s="56" t="s">
        <v>614</v>
      </c>
      <c r="F127" s="230" t="s">
        <v>398</v>
      </c>
      <c r="G127" s="230" t="s">
        <v>64</v>
      </c>
    </row>
    <row r="128" spans="1:7" x14ac:dyDescent="0.25">
      <c r="A128" s="55" t="s">
        <v>296</v>
      </c>
      <c r="B128" s="56" t="s">
        <v>636</v>
      </c>
      <c r="C128" s="56" t="s">
        <v>128</v>
      </c>
      <c r="D128" s="56" t="s">
        <v>613</v>
      </c>
      <c r="E128" s="56" t="s">
        <v>614</v>
      </c>
      <c r="F128" s="230" t="s">
        <v>401</v>
      </c>
      <c r="G128" s="230" t="s">
        <v>64</v>
      </c>
    </row>
    <row r="129" spans="1:7" x14ac:dyDescent="0.25">
      <c r="A129" s="55" t="s">
        <v>297</v>
      </c>
      <c r="B129" s="56" t="s">
        <v>637</v>
      </c>
      <c r="C129" s="56" t="s">
        <v>162</v>
      </c>
      <c r="D129" s="56" t="s">
        <v>616</v>
      </c>
      <c r="E129" s="56" t="s">
        <v>617</v>
      </c>
      <c r="F129" s="230" t="s">
        <v>402</v>
      </c>
      <c r="G129" s="230" t="s">
        <v>64</v>
      </c>
    </row>
    <row r="130" spans="1:7" x14ac:dyDescent="0.25">
      <c r="A130" s="55" t="s">
        <v>298</v>
      </c>
      <c r="B130" s="56" t="s">
        <v>628</v>
      </c>
      <c r="C130" s="56" t="s">
        <v>137</v>
      </c>
      <c r="D130" s="56" t="s">
        <v>622</v>
      </c>
      <c r="E130" s="56" t="s">
        <v>623</v>
      </c>
      <c r="F130" s="230" t="s">
        <v>410</v>
      </c>
      <c r="G130" s="230" t="s">
        <v>64</v>
      </c>
    </row>
    <row r="131" spans="1:7" x14ac:dyDescent="0.25">
      <c r="A131" s="55" t="s">
        <v>299</v>
      </c>
      <c r="B131" s="56" t="s">
        <v>641</v>
      </c>
      <c r="C131" s="56" t="s">
        <v>158</v>
      </c>
      <c r="D131" s="56" t="s">
        <v>616</v>
      </c>
      <c r="E131" s="56" t="s">
        <v>617</v>
      </c>
      <c r="F131" s="230" t="s">
        <v>416</v>
      </c>
      <c r="G131" s="230" t="s">
        <v>64</v>
      </c>
    </row>
    <row r="132" spans="1:7" x14ac:dyDescent="0.25">
      <c r="A132" s="55" t="s">
        <v>300</v>
      </c>
      <c r="B132" s="56" t="s">
        <v>645</v>
      </c>
      <c r="C132" s="56" t="s">
        <v>145</v>
      </c>
      <c r="D132" s="56" t="s">
        <v>619</v>
      </c>
      <c r="E132" s="56" t="s">
        <v>620</v>
      </c>
      <c r="F132" s="230" t="s">
        <v>421</v>
      </c>
      <c r="G132" s="230" t="s">
        <v>64</v>
      </c>
    </row>
    <row r="133" spans="1:7" x14ac:dyDescent="0.25">
      <c r="A133" s="55" t="s">
        <v>301</v>
      </c>
      <c r="B133" s="56" t="s">
        <v>645</v>
      </c>
      <c r="C133" s="56" t="s">
        <v>145</v>
      </c>
      <c r="D133" s="56" t="s">
        <v>619</v>
      </c>
      <c r="E133" s="56" t="s">
        <v>620</v>
      </c>
      <c r="F133" s="230" t="s">
        <v>429</v>
      </c>
      <c r="G133" s="230" t="s">
        <v>64</v>
      </c>
    </row>
    <row r="134" spans="1:7" x14ac:dyDescent="0.25">
      <c r="A134" s="55" t="s">
        <v>302</v>
      </c>
      <c r="B134" s="56" t="s">
        <v>618</v>
      </c>
      <c r="C134" s="56" t="s">
        <v>147</v>
      </c>
      <c r="D134" s="56" t="s">
        <v>619</v>
      </c>
      <c r="E134" s="56" t="s">
        <v>620</v>
      </c>
      <c r="F134" s="230" t="s">
        <v>432</v>
      </c>
      <c r="G134" s="230" t="s">
        <v>64</v>
      </c>
    </row>
    <row r="135" spans="1:7" x14ac:dyDescent="0.25">
      <c r="A135" s="55" t="s">
        <v>303</v>
      </c>
      <c r="B135" s="56" t="s">
        <v>640</v>
      </c>
      <c r="C135" s="56" t="s">
        <v>156</v>
      </c>
      <c r="D135" s="56" t="s">
        <v>616</v>
      </c>
      <c r="E135" s="56" t="s">
        <v>617</v>
      </c>
      <c r="F135" s="230" t="s">
        <v>438</v>
      </c>
      <c r="G135" s="230" t="s">
        <v>64</v>
      </c>
    </row>
    <row r="136" spans="1:7" x14ac:dyDescent="0.25">
      <c r="A136" s="55" t="s">
        <v>304</v>
      </c>
      <c r="B136" s="56" t="s">
        <v>650</v>
      </c>
      <c r="C136" s="56" t="s">
        <v>135</v>
      </c>
      <c r="D136" s="56" t="s">
        <v>622</v>
      </c>
      <c r="E136" s="56" t="s">
        <v>623</v>
      </c>
      <c r="F136" s="230" t="s">
        <v>441</v>
      </c>
      <c r="G136" s="230" t="s">
        <v>64</v>
      </c>
    </row>
    <row r="137" spans="1:7" x14ac:dyDescent="0.25">
      <c r="A137" s="55" t="s">
        <v>305</v>
      </c>
      <c r="B137" s="56" t="s">
        <v>632</v>
      </c>
      <c r="C137" s="56" t="s">
        <v>138</v>
      </c>
      <c r="D137" s="56" t="s">
        <v>622</v>
      </c>
      <c r="E137" s="56" t="s">
        <v>623</v>
      </c>
      <c r="F137" s="230" t="s">
        <v>444</v>
      </c>
      <c r="G137" s="230" t="s">
        <v>64</v>
      </c>
    </row>
    <row r="138" spans="1:7" x14ac:dyDescent="0.25">
      <c r="A138" s="55" t="s">
        <v>306</v>
      </c>
      <c r="B138" s="56" t="s">
        <v>625</v>
      </c>
      <c r="C138" s="56" t="s">
        <v>153</v>
      </c>
      <c r="D138" s="56" t="s">
        <v>619</v>
      </c>
      <c r="E138" s="56" t="s">
        <v>620</v>
      </c>
      <c r="F138" s="230" t="s">
        <v>447</v>
      </c>
      <c r="G138" s="230" t="s">
        <v>64</v>
      </c>
    </row>
    <row r="139" spans="1:7" x14ac:dyDescent="0.25">
      <c r="A139" s="55" t="s">
        <v>307</v>
      </c>
      <c r="B139" s="56" t="s">
        <v>636</v>
      </c>
      <c r="C139" s="56" t="s">
        <v>128</v>
      </c>
      <c r="D139" s="56" t="s">
        <v>613</v>
      </c>
      <c r="E139" s="56" t="s">
        <v>614</v>
      </c>
      <c r="F139" s="230" t="s">
        <v>453</v>
      </c>
      <c r="G139" s="230" t="s">
        <v>64</v>
      </c>
    </row>
    <row r="140" spans="1:7" x14ac:dyDescent="0.25">
      <c r="A140" s="55" t="s">
        <v>308</v>
      </c>
      <c r="B140" s="56" t="s">
        <v>624</v>
      </c>
      <c r="C140" s="56" t="s">
        <v>129</v>
      </c>
      <c r="D140" s="56" t="s">
        <v>613</v>
      </c>
      <c r="E140" s="56" t="s">
        <v>614</v>
      </c>
      <c r="F140" s="230" t="s">
        <v>456</v>
      </c>
      <c r="G140" s="230" t="s">
        <v>64</v>
      </c>
    </row>
    <row r="141" spans="1:7" x14ac:dyDescent="0.25">
      <c r="A141" s="55" t="s">
        <v>309</v>
      </c>
      <c r="B141" s="56" t="s">
        <v>632</v>
      </c>
      <c r="C141" s="56" t="s">
        <v>138</v>
      </c>
      <c r="D141" s="56" t="s">
        <v>622</v>
      </c>
      <c r="E141" s="56" t="s">
        <v>623</v>
      </c>
      <c r="F141" s="230" t="s">
        <v>491</v>
      </c>
      <c r="G141" s="230" t="s">
        <v>64</v>
      </c>
    </row>
    <row r="142" spans="1:7" x14ac:dyDescent="0.25">
      <c r="A142" s="55" t="s">
        <v>310</v>
      </c>
      <c r="B142" s="56" t="s">
        <v>642</v>
      </c>
      <c r="C142" s="56" t="s">
        <v>643</v>
      </c>
      <c r="D142" s="56" t="s">
        <v>619</v>
      </c>
      <c r="E142" s="56" t="s">
        <v>620</v>
      </c>
      <c r="F142" s="230" t="s">
        <v>520</v>
      </c>
      <c r="G142" s="230" t="s">
        <v>64</v>
      </c>
    </row>
    <row r="143" spans="1:7" x14ac:dyDescent="0.25">
      <c r="A143" s="55" t="s">
        <v>311</v>
      </c>
      <c r="B143" s="56" t="s">
        <v>645</v>
      </c>
      <c r="C143" s="56" t="s">
        <v>145</v>
      </c>
      <c r="D143" s="56" t="s">
        <v>619</v>
      </c>
      <c r="E143" s="56" t="s">
        <v>620</v>
      </c>
      <c r="F143" s="230" t="s">
        <v>525</v>
      </c>
      <c r="G143" s="230" t="s">
        <v>64</v>
      </c>
    </row>
    <row r="144" spans="1:7" x14ac:dyDescent="0.25">
      <c r="A144" s="55" t="s">
        <v>312</v>
      </c>
      <c r="B144" s="56" t="s">
        <v>632</v>
      </c>
      <c r="C144" s="56" t="s">
        <v>138</v>
      </c>
      <c r="D144" s="56" t="s">
        <v>622</v>
      </c>
      <c r="E144" s="56" t="s">
        <v>623</v>
      </c>
      <c r="F144" s="230" t="s">
        <v>531</v>
      </c>
      <c r="G144" s="230" t="s">
        <v>64</v>
      </c>
    </row>
    <row r="145" spans="1:7" x14ac:dyDescent="0.25">
      <c r="A145" s="55" t="s">
        <v>313</v>
      </c>
      <c r="B145" s="56" t="s">
        <v>658</v>
      </c>
      <c r="C145" s="56" t="s">
        <v>131</v>
      </c>
      <c r="D145" s="56" t="s">
        <v>613</v>
      </c>
      <c r="E145" s="56" t="s">
        <v>614</v>
      </c>
      <c r="F145" s="230" t="s">
        <v>533</v>
      </c>
      <c r="G145" s="230" t="s">
        <v>64</v>
      </c>
    </row>
    <row r="146" spans="1:7" x14ac:dyDescent="0.25">
      <c r="A146" s="55" t="s">
        <v>314</v>
      </c>
      <c r="B146" s="56" t="s">
        <v>627</v>
      </c>
      <c r="C146" s="56" t="s">
        <v>143</v>
      </c>
      <c r="D146" s="56" t="s">
        <v>619</v>
      </c>
      <c r="E146" s="56" t="s">
        <v>620</v>
      </c>
      <c r="F146" s="230" t="s">
        <v>538</v>
      </c>
      <c r="G146" s="230" t="s">
        <v>64</v>
      </c>
    </row>
    <row r="147" spans="1:7" x14ac:dyDescent="0.25">
      <c r="A147" s="55" t="s">
        <v>315</v>
      </c>
      <c r="B147" s="56" t="s">
        <v>637</v>
      </c>
      <c r="C147" s="56" t="s">
        <v>162</v>
      </c>
      <c r="D147" s="56" t="s">
        <v>616</v>
      </c>
      <c r="E147" s="56" t="s">
        <v>617</v>
      </c>
      <c r="F147" s="230" t="s">
        <v>542</v>
      </c>
      <c r="G147" s="230" t="s">
        <v>64</v>
      </c>
    </row>
    <row r="148" spans="1:7" x14ac:dyDescent="0.25">
      <c r="A148" s="55" t="s">
        <v>316</v>
      </c>
      <c r="B148" s="56" t="s">
        <v>635</v>
      </c>
      <c r="C148" s="56" t="s">
        <v>159</v>
      </c>
      <c r="D148" s="56" t="s">
        <v>616</v>
      </c>
      <c r="E148" s="56" t="s">
        <v>617</v>
      </c>
      <c r="F148" s="230" t="s">
        <v>549</v>
      </c>
      <c r="G148" s="230" t="s">
        <v>64</v>
      </c>
    </row>
    <row r="149" spans="1:7" x14ac:dyDescent="0.25">
      <c r="A149" s="55" t="s">
        <v>317</v>
      </c>
      <c r="B149" s="56" t="s">
        <v>627</v>
      </c>
      <c r="C149" s="56" t="s">
        <v>143</v>
      </c>
      <c r="D149" s="56" t="s">
        <v>619</v>
      </c>
      <c r="E149" s="56" t="s">
        <v>620</v>
      </c>
      <c r="F149" s="230" t="s">
        <v>555</v>
      </c>
      <c r="G149" s="230" t="s">
        <v>64</v>
      </c>
    </row>
    <row r="150" spans="1:7" x14ac:dyDescent="0.25">
      <c r="A150" s="55" t="s">
        <v>250</v>
      </c>
      <c r="B150" s="56" t="s">
        <v>653</v>
      </c>
      <c r="C150" s="56" t="s">
        <v>142</v>
      </c>
      <c r="D150" s="56" t="s">
        <v>619</v>
      </c>
      <c r="E150" s="56" t="s">
        <v>620</v>
      </c>
      <c r="F150" s="230" t="s">
        <v>561</v>
      </c>
      <c r="G150" s="230" t="s">
        <v>64</v>
      </c>
    </row>
    <row r="151" spans="1:7" x14ac:dyDescent="0.25">
      <c r="A151" s="55" t="s">
        <v>318</v>
      </c>
      <c r="B151" s="56" t="s">
        <v>628</v>
      </c>
      <c r="C151" s="56" t="s">
        <v>137</v>
      </c>
      <c r="D151" s="56" t="s">
        <v>622</v>
      </c>
      <c r="E151" s="56" t="s">
        <v>623</v>
      </c>
      <c r="F151" s="230" t="s">
        <v>189</v>
      </c>
      <c r="G151" s="230" t="s">
        <v>70</v>
      </c>
    </row>
    <row r="152" spans="1:7" x14ac:dyDescent="0.25">
      <c r="A152" s="55" t="s">
        <v>319</v>
      </c>
      <c r="B152" s="56" t="s">
        <v>626</v>
      </c>
      <c r="C152" s="56" t="s">
        <v>152</v>
      </c>
      <c r="D152" s="56" t="s">
        <v>619</v>
      </c>
      <c r="E152" s="56" t="s">
        <v>620</v>
      </c>
      <c r="F152" s="230" t="s">
        <v>197</v>
      </c>
      <c r="G152" s="230" t="s">
        <v>70</v>
      </c>
    </row>
    <row r="153" spans="1:7" x14ac:dyDescent="0.25">
      <c r="A153" s="55" t="s">
        <v>320</v>
      </c>
      <c r="B153" s="56" t="s">
        <v>635</v>
      </c>
      <c r="C153" s="56" t="s">
        <v>159</v>
      </c>
      <c r="D153" s="56" t="s">
        <v>616</v>
      </c>
      <c r="E153" s="56" t="s">
        <v>617</v>
      </c>
      <c r="F153" s="230" t="s">
        <v>243</v>
      </c>
      <c r="G153" s="230" t="s">
        <v>70</v>
      </c>
    </row>
    <row r="154" spans="1:7" x14ac:dyDescent="0.25">
      <c r="A154" s="55" t="s">
        <v>321</v>
      </c>
      <c r="B154" s="56" t="s">
        <v>625</v>
      </c>
      <c r="C154" s="56" t="s">
        <v>153</v>
      </c>
      <c r="D154" s="56" t="s">
        <v>619</v>
      </c>
      <c r="E154" s="56" t="s">
        <v>620</v>
      </c>
      <c r="F154" s="230" t="s">
        <v>230</v>
      </c>
      <c r="G154" s="230" t="s">
        <v>70</v>
      </c>
    </row>
    <row r="155" spans="1:7" x14ac:dyDescent="0.25">
      <c r="A155" s="55" t="s">
        <v>322</v>
      </c>
      <c r="B155" s="56" t="s">
        <v>628</v>
      </c>
      <c r="C155" s="56" t="s">
        <v>137</v>
      </c>
      <c r="D155" s="56" t="s">
        <v>622</v>
      </c>
      <c r="E155" s="56" t="s">
        <v>623</v>
      </c>
      <c r="F155" s="230" t="s">
        <v>231</v>
      </c>
      <c r="G155" s="230" t="s">
        <v>70</v>
      </c>
    </row>
    <row r="156" spans="1:7" x14ac:dyDescent="0.25">
      <c r="A156" s="55" t="s">
        <v>463</v>
      </c>
      <c r="B156" s="56" t="s">
        <v>641</v>
      </c>
      <c r="C156" s="56" t="s">
        <v>158</v>
      </c>
      <c r="D156" s="56" t="s">
        <v>616</v>
      </c>
      <c r="E156" s="56" t="s">
        <v>617</v>
      </c>
      <c r="F156" s="230" t="s">
        <v>268</v>
      </c>
      <c r="G156" s="230" t="s">
        <v>70</v>
      </c>
    </row>
    <row r="157" spans="1:7" x14ac:dyDescent="0.25">
      <c r="A157" s="55" t="s">
        <v>324</v>
      </c>
      <c r="B157" s="56" t="s">
        <v>634</v>
      </c>
      <c r="C157" s="56" t="s">
        <v>140</v>
      </c>
      <c r="D157" s="56" t="s">
        <v>622</v>
      </c>
      <c r="E157" s="56" t="s">
        <v>623</v>
      </c>
      <c r="F157" s="230" t="s">
        <v>335</v>
      </c>
      <c r="G157" s="230" t="s">
        <v>70</v>
      </c>
    </row>
    <row r="158" spans="1:7" x14ac:dyDescent="0.25">
      <c r="A158" s="55" t="s">
        <v>325</v>
      </c>
      <c r="B158" s="56" t="s">
        <v>641</v>
      </c>
      <c r="C158" s="56" t="s">
        <v>158</v>
      </c>
      <c r="D158" s="56" t="s">
        <v>616</v>
      </c>
      <c r="E158" s="56" t="s">
        <v>617</v>
      </c>
      <c r="F158" s="230" t="s">
        <v>338</v>
      </c>
      <c r="G158" s="230" t="s">
        <v>70</v>
      </c>
    </row>
    <row r="159" spans="1:7" x14ac:dyDescent="0.25">
      <c r="A159" s="55" t="s">
        <v>326</v>
      </c>
      <c r="B159" s="56" t="s">
        <v>659</v>
      </c>
      <c r="C159" s="56" t="s">
        <v>660</v>
      </c>
      <c r="D159" s="56" t="s">
        <v>619</v>
      </c>
      <c r="E159" s="56" t="s">
        <v>620</v>
      </c>
      <c r="F159" s="230" t="s">
        <v>365</v>
      </c>
      <c r="G159" s="230" t="s">
        <v>70</v>
      </c>
    </row>
    <row r="160" spans="1:7" x14ac:dyDescent="0.25">
      <c r="A160" s="55" t="s">
        <v>327</v>
      </c>
      <c r="B160" s="56" t="s">
        <v>615</v>
      </c>
      <c r="C160" s="56" t="s">
        <v>157</v>
      </c>
      <c r="D160" s="56" t="s">
        <v>616</v>
      </c>
      <c r="E160" s="56" t="s">
        <v>617</v>
      </c>
      <c r="F160" s="230" t="s">
        <v>372</v>
      </c>
      <c r="G160" s="230" t="s">
        <v>70</v>
      </c>
    </row>
    <row r="161" spans="1:7" x14ac:dyDescent="0.25">
      <c r="A161" s="55" t="s">
        <v>328</v>
      </c>
      <c r="B161" s="56" t="s">
        <v>644</v>
      </c>
      <c r="C161" s="56" t="s">
        <v>148</v>
      </c>
      <c r="D161" s="56" t="s">
        <v>619</v>
      </c>
      <c r="E161" s="56" t="s">
        <v>620</v>
      </c>
      <c r="F161" s="230" t="s">
        <v>392</v>
      </c>
      <c r="G161" s="230" t="s">
        <v>70</v>
      </c>
    </row>
    <row r="162" spans="1:7" x14ac:dyDescent="0.25">
      <c r="A162" s="55" t="s">
        <v>329</v>
      </c>
      <c r="B162" s="56" t="s">
        <v>628</v>
      </c>
      <c r="C162" s="56" t="s">
        <v>137</v>
      </c>
      <c r="D162" s="56" t="s">
        <v>622</v>
      </c>
      <c r="E162" s="56" t="s">
        <v>623</v>
      </c>
      <c r="F162" s="230" t="s">
        <v>399</v>
      </c>
      <c r="G162" s="230" t="s">
        <v>70</v>
      </c>
    </row>
    <row r="163" spans="1:7" x14ac:dyDescent="0.25">
      <c r="A163" s="55" t="s">
        <v>330</v>
      </c>
      <c r="B163" s="56" t="s">
        <v>653</v>
      </c>
      <c r="C163" s="56" t="s">
        <v>142</v>
      </c>
      <c r="D163" s="56" t="s">
        <v>619</v>
      </c>
      <c r="E163" s="56" t="s">
        <v>620</v>
      </c>
      <c r="F163" s="230" t="s">
        <v>431</v>
      </c>
      <c r="G163" s="230" t="s">
        <v>70</v>
      </c>
    </row>
    <row r="164" spans="1:7" x14ac:dyDescent="0.25">
      <c r="A164" s="55" t="s">
        <v>331</v>
      </c>
      <c r="B164" s="56" t="s">
        <v>661</v>
      </c>
      <c r="C164" s="56" t="s">
        <v>134</v>
      </c>
      <c r="D164" s="56" t="s">
        <v>613</v>
      </c>
      <c r="E164" s="56" t="s">
        <v>614</v>
      </c>
      <c r="F164" s="230" t="s">
        <v>442</v>
      </c>
      <c r="G164" s="230" t="s">
        <v>70</v>
      </c>
    </row>
    <row r="165" spans="1:7" x14ac:dyDescent="0.25">
      <c r="A165" s="55" t="s">
        <v>332</v>
      </c>
      <c r="B165" s="56" t="s">
        <v>636</v>
      </c>
      <c r="C165" s="56" t="s">
        <v>128</v>
      </c>
      <c r="D165" s="56" t="s">
        <v>613</v>
      </c>
      <c r="E165" s="56" t="s">
        <v>614</v>
      </c>
      <c r="F165" s="230" t="s">
        <v>445</v>
      </c>
      <c r="G165" s="230" t="s">
        <v>70</v>
      </c>
    </row>
    <row r="166" spans="1:7" x14ac:dyDescent="0.25">
      <c r="A166" s="55" t="s">
        <v>333</v>
      </c>
      <c r="B166" s="56" t="s">
        <v>653</v>
      </c>
      <c r="C166" s="56" t="s">
        <v>142</v>
      </c>
      <c r="D166" s="56" t="s">
        <v>619</v>
      </c>
      <c r="E166" s="56" t="s">
        <v>620</v>
      </c>
      <c r="F166" s="230" t="s">
        <v>246</v>
      </c>
      <c r="G166" s="230" t="s">
        <v>70</v>
      </c>
    </row>
    <row r="167" spans="1:7" x14ac:dyDescent="0.25">
      <c r="A167" s="55" t="s">
        <v>334</v>
      </c>
      <c r="B167" s="56" t="s">
        <v>638</v>
      </c>
      <c r="C167" s="56" t="s">
        <v>160</v>
      </c>
      <c r="D167" s="56" t="s">
        <v>616</v>
      </c>
      <c r="E167" s="56" t="s">
        <v>617</v>
      </c>
      <c r="F167" s="230" t="s">
        <v>473</v>
      </c>
      <c r="G167" s="230" t="s">
        <v>70</v>
      </c>
    </row>
    <row r="168" spans="1:7" x14ac:dyDescent="0.25">
      <c r="A168" s="55" t="s">
        <v>335</v>
      </c>
      <c r="B168" s="56" t="s">
        <v>631</v>
      </c>
      <c r="C168" s="56" t="s">
        <v>70</v>
      </c>
      <c r="D168" s="56" t="s">
        <v>619</v>
      </c>
      <c r="E168" s="56" t="s">
        <v>620</v>
      </c>
      <c r="F168" s="230" t="s">
        <v>482</v>
      </c>
      <c r="G168" s="230" t="s">
        <v>70</v>
      </c>
    </row>
    <row r="169" spans="1:7" x14ac:dyDescent="0.25">
      <c r="A169" s="55" t="s">
        <v>336</v>
      </c>
      <c r="B169" s="56" t="s">
        <v>644</v>
      </c>
      <c r="C169" s="56" t="s">
        <v>148</v>
      </c>
      <c r="D169" s="56" t="s">
        <v>619</v>
      </c>
      <c r="E169" s="56" t="s">
        <v>620</v>
      </c>
      <c r="F169" s="230" t="s">
        <v>70</v>
      </c>
      <c r="G169" s="230" t="s">
        <v>75</v>
      </c>
    </row>
    <row r="170" spans="1:7" x14ac:dyDescent="0.25">
      <c r="A170" s="55" t="s">
        <v>337</v>
      </c>
      <c r="B170" s="56" t="s">
        <v>662</v>
      </c>
      <c r="C170" s="56" t="s">
        <v>663</v>
      </c>
      <c r="D170" s="56" t="s">
        <v>619</v>
      </c>
      <c r="E170" s="56" t="s">
        <v>620</v>
      </c>
      <c r="F170" s="230" t="s">
        <v>501</v>
      </c>
      <c r="G170" s="230" t="s">
        <v>70</v>
      </c>
    </row>
    <row r="171" spans="1:7" x14ac:dyDescent="0.25">
      <c r="A171" s="55" t="s">
        <v>338</v>
      </c>
      <c r="B171" s="56" t="s">
        <v>631</v>
      </c>
      <c r="C171" s="56" t="s">
        <v>70</v>
      </c>
      <c r="D171" s="56" t="s">
        <v>619</v>
      </c>
      <c r="E171" s="56" t="s">
        <v>620</v>
      </c>
      <c r="F171" s="230" t="s">
        <v>506</v>
      </c>
      <c r="G171" s="230" t="s">
        <v>70</v>
      </c>
    </row>
    <row r="172" spans="1:7" x14ac:dyDescent="0.25">
      <c r="A172" s="55" t="s">
        <v>339</v>
      </c>
      <c r="B172" s="56" t="s">
        <v>659</v>
      </c>
      <c r="C172" s="56" t="s">
        <v>660</v>
      </c>
      <c r="D172" s="56" t="s">
        <v>619</v>
      </c>
      <c r="E172" s="56" t="s">
        <v>620</v>
      </c>
      <c r="F172" s="230" t="s">
        <v>513</v>
      </c>
      <c r="G172" s="230" t="s">
        <v>70</v>
      </c>
    </row>
    <row r="173" spans="1:7" x14ac:dyDescent="0.25">
      <c r="A173" s="55" t="s">
        <v>340</v>
      </c>
      <c r="B173" s="56" t="s">
        <v>650</v>
      </c>
      <c r="C173" s="56" t="s">
        <v>135</v>
      </c>
      <c r="D173" s="56" t="s">
        <v>622</v>
      </c>
      <c r="E173" s="56" t="s">
        <v>623</v>
      </c>
      <c r="F173" s="230" t="s">
        <v>540</v>
      </c>
      <c r="G173" s="230" t="s">
        <v>70</v>
      </c>
    </row>
    <row r="174" spans="1:7" x14ac:dyDescent="0.25">
      <c r="A174" s="55" t="s">
        <v>341</v>
      </c>
      <c r="B174" s="56" t="s">
        <v>647</v>
      </c>
      <c r="C174" s="56" t="s">
        <v>155</v>
      </c>
      <c r="D174" s="56" t="s">
        <v>619</v>
      </c>
      <c r="E174" s="56" t="s">
        <v>620</v>
      </c>
      <c r="F174" s="230" t="s">
        <v>544</v>
      </c>
      <c r="G174" s="230" t="s">
        <v>70</v>
      </c>
    </row>
    <row r="175" spans="1:7" x14ac:dyDescent="0.25">
      <c r="A175" s="55" t="s">
        <v>342</v>
      </c>
      <c r="B175" s="56" t="s">
        <v>659</v>
      </c>
      <c r="C175" s="56" t="s">
        <v>660</v>
      </c>
      <c r="D175" s="56" t="s">
        <v>619</v>
      </c>
      <c r="E175" s="56" t="s">
        <v>620</v>
      </c>
      <c r="F175" s="230" t="s">
        <v>546</v>
      </c>
      <c r="G175" s="230" t="s">
        <v>70</v>
      </c>
    </row>
    <row r="176" spans="1:7" x14ac:dyDescent="0.25">
      <c r="A176" s="55" t="s">
        <v>343</v>
      </c>
      <c r="B176" s="56" t="s">
        <v>637</v>
      </c>
      <c r="C176" s="56" t="s">
        <v>162</v>
      </c>
      <c r="D176" s="56" t="s">
        <v>616</v>
      </c>
      <c r="E176" s="56" t="s">
        <v>617</v>
      </c>
      <c r="F176" s="230" t="s">
        <v>554</v>
      </c>
      <c r="G176" s="230" t="s">
        <v>70</v>
      </c>
    </row>
    <row r="177" spans="1:7" x14ac:dyDescent="0.25">
      <c r="A177" s="55" t="s">
        <v>344</v>
      </c>
      <c r="B177" s="56" t="s">
        <v>653</v>
      </c>
      <c r="C177" s="56" t="s">
        <v>142</v>
      </c>
      <c r="D177" s="56" t="s">
        <v>619</v>
      </c>
      <c r="E177" s="56" t="s">
        <v>620</v>
      </c>
      <c r="F177" s="230" t="s">
        <v>178</v>
      </c>
      <c r="G177" s="230" t="s">
        <v>68</v>
      </c>
    </row>
    <row r="178" spans="1:7" x14ac:dyDescent="0.25">
      <c r="A178" s="55" t="s">
        <v>345</v>
      </c>
      <c r="B178" s="56" t="s">
        <v>624</v>
      </c>
      <c r="C178" s="56" t="s">
        <v>129</v>
      </c>
      <c r="D178" s="56" t="s">
        <v>613</v>
      </c>
      <c r="E178" s="56" t="s">
        <v>614</v>
      </c>
      <c r="F178" s="230" t="s">
        <v>183</v>
      </c>
      <c r="G178" s="230" t="s">
        <v>68</v>
      </c>
    </row>
    <row r="179" spans="1:7" x14ac:dyDescent="0.25">
      <c r="A179" s="55" t="s">
        <v>346</v>
      </c>
      <c r="B179" s="56" t="s">
        <v>626</v>
      </c>
      <c r="C179" s="56" t="s">
        <v>152</v>
      </c>
      <c r="D179" s="56" t="s">
        <v>619</v>
      </c>
      <c r="E179" s="56" t="s">
        <v>620</v>
      </c>
      <c r="F179" s="230" t="s">
        <v>190</v>
      </c>
      <c r="G179" s="230" t="s">
        <v>68</v>
      </c>
    </row>
    <row r="180" spans="1:7" x14ac:dyDescent="0.25">
      <c r="A180" s="55" t="s">
        <v>347</v>
      </c>
      <c r="B180" s="56" t="s">
        <v>626</v>
      </c>
      <c r="C180" s="56" t="s">
        <v>152</v>
      </c>
      <c r="D180" s="56" t="s">
        <v>619</v>
      </c>
      <c r="E180" s="56" t="s">
        <v>620</v>
      </c>
      <c r="F180" s="230" t="s">
        <v>73</v>
      </c>
      <c r="G180" s="230" t="s">
        <v>73</v>
      </c>
    </row>
    <row r="181" spans="1:7" x14ac:dyDescent="0.25">
      <c r="A181" s="55" t="s">
        <v>349</v>
      </c>
      <c r="B181" s="56" t="s">
        <v>635</v>
      </c>
      <c r="C181" s="56" t="s">
        <v>159</v>
      </c>
      <c r="D181" s="56" t="s">
        <v>616</v>
      </c>
      <c r="E181" s="56" t="s">
        <v>617</v>
      </c>
      <c r="F181" s="230" t="s">
        <v>202</v>
      </c>
      <c r="G181" s="230" t="s">
        <v>68</v>
      </c>
    </row>
    <row r="182" spans="1:7" x14ac:dyDescent="0.25">
      <c r="A182" s="55" t="s">
        <v>350</v>
      </c>
      <c r="B182" s="56" t="s">
        <v>641</v>
      </c>
      <c r="C182" s="56" t="s">
        <v>158</v>
      </c>
      <c r="D182" s="56" t="s">
        <v>616</v>
      </c>
      <c r="E182" s="56" t="s">
        <v>617</v>
      </c>
      <c r="F182" s="230" t="s">
        <v>207</v>
      </c>
      <c r="G182" s="230" t="s">
        <v>68</v>
      </c>
    </row>
    <row r="183" spans="1:7" x14ac:dyDescent="0.25">
      <c r="A183" s="55" t="s">
        <v>351</v>
      </c>
      <c r="B183" s="56" t="s">
        <v>637</v>
      </c>
      <c r="C183" s="56" t="s">
        <v>162</v>
      </c>
      <c r="D183" s="56" t="s">
        <v>616</v>
      </c>
      <c r="E183" s="56" t="s">
        <v>617</v>
      </c>
      <c r="F183" s="230" t="s">
        <v>213</v>
      </c>
      <c r="G183" s="230" t="s">
        <v>68</v>
      </c>
    </row>
    <row r="184" spans="1:7" x14ac:dyDescent="0.25">
      <c r="A184" s="55" t="s">
        <v>352</v>
      </c>
      <c r="B184" s="56" t="s">
        <v>618</v>
      </c>
      <c r="C184" s="56" t="s">
        <v>147</v>
      </c>
      <c r="D184" s="56" t="s">
        <v>619</v>
      </c>
      <c r="E184" s="56" t="s">
        <v>620</v>
      </c>
      <c r="F184" s="230" t="s">
        <v>216</v>
      </c>
      <c r="G184" s="230" t="s">
        <v>68</v>
      </c>
    </row>
    <row r="185" spans="1:7" x14ac:dyDescent="0.25">
      <c r="A185" s="55" t="s">
        <v>353</v>
      </c>
      <c r="B185" s="56" t="s">
        <v>627</v>
      </c>
      <c r="C185" s="56" t="s">
        <v>143</v>
      </c>
      <c r="D185" s="56" t="s">
        <v>619</v>
      </c>
      <c r="E185" s="56" t="s">
        <v>620</v>
      </c>
      <c r="F185" s="230" t="s">
        <v>217</v>
      </c>
      <c r="G185" s="230" t="s">
        <v>68</v>
      </c>
    </row>
    <row r="186" spans="1:7" x14ac:dyDescent="0.25">
      <c r="A186" s="55" t="s">
        <v>354</v>
      </c>
      <c r="B186" s="56" t="s">
        <v>626</v>
      </c>
      <c r="C186" s="56" t="s">
        <v>152</v>
      </c>
      <c r="D186" s="56" t="s">
        <v>619</v>
      </c>
      <c r="E186" s="56" t="s">
        <v>620</v>
      </c>
      <c r="F186" s="230" t="s">
        <v>233</v>
      </c>
      <c r="G186" s="230" t="s">
        <v>68</v>
      </c>
    </row>
    <row r="187" spans="1:7" x14ac:dyDescent="0.25">
      <c r="A187" s="55" t="s">
        <v>355</v>
      </c>
      <c r="B187" s="56" t="s">
        <v>644</v>
      </c>
      <c r="C187" s="56" t="s">
        <v>148</v>
      </c>
      <c r="D187" s="56" t="s">
        <v>619</v>
      </c>
      <c r="E187" s="56" t="s">
        <v>620</v>
      </c>
      <c r="F187" s="230" t="s">
        <v>235</v>
      </c>
      <c r="G187" s="230" t="s">
        <v>68</v>
      </c>
    </row>
    <row r="188" spans="1:7" x14ac:dyDescent="0.25">
      <c r="A188" s="55" t="s">
        <v>356</v>
      </c>
      <c r="B188" s="56" t="s">
        <v>636</v>
      </c>
      <c r="C188" s="56" t="s">
        <v>128</v>
      </c>
      <c r="D188" s="56" t="s">
        <v>613</v>
      </c>
      <c r="E188" s="56" t="s">
        <v>614</v>
      </c>
      <c r="F188" s="230" t="s">
        <v>253</v>
      </c>
      <c r="G188" s="230" t="s">
        <v>68</v>
      </c>
    </row>
    <row r="189" spans="1:7" x14ac:dyDescent="0.25">
      <c r="A189" s="55" t="s">
        <v>357</v>
      </c>
      <c r="B189" s="56" t="s">
        <v>625</v>
      </c>
      <c r="C189" s="56" t="s">
        <v>153</v>
      </c>
      <c r="D189" s="56" t="s">
        <v>619</v>
      </c>
      <c r="E189" s="56" t="s">
        <v>620</v>
      </c>
      <c r="F189" s="230" t="s">
        <v>260</v>
      </c>
      <c r="G189" s="230" t="s">
        <v>68</v>
      </c>
    </row>
    <row r="190" spans="1:7" x14ac:dyDescent="0.25">
      <c r="A190" s="55" t="s">
        <v>358</v>
      </c>
      <c r="B190" s="56" t="s">
        <v>624</v>
      </c>
      <c r="C190" s="56" t="s">
        <v>129</v>
      </c>
      <c r="D190" s="56" t="s">
        <v>613</v>
      </c>
      <c r="E190" s="56" t="s">
        <v>614</v>
      </c>
      <c r="F190" s="230" t="s">
        <v>266</v>
      </c>
      <c r="G190" s="230" t="s">
        <v>68</v>
      </c>
    </row>
    <row r="191" spans="1:7" x14ac:dyDescent="0.25">
      <c r="A191" s="55" t="s">
        <v>359</v>
      </c>
      <c r="B191" s="56" t="s">
        <v>624</v>
      </c>
      <c r="C191" s="56" t="s">
        <v>129</v>
      </c>
      <c r="D191" s="56" t="s">
        <v>613</v>
      </c>
      <c r="E191" s="56" t="s">
        <v>614</v>
      </c>
      <c r="F191" s="230" t="s">
        <v>275</v>
      </c>
      <c r="G191" s="230" t="s">
        <v>68</v>
      </c>
    </row>
    <row r="192" spans="1:7" x14ac:dyDescent="0.25">
      <c r="A192" s="55" t="s">
        <v>360</v>
      </c>
      <c r="B192" s="56" t="s">
        <v>659</v>
      </c>
      <c r="C192" s="56" t="s">
        <v>660</v>
      </c>
      <c r="D192" s="56" t="s">
        <v>619</v>
      </c>
      <c r="E192" s="56" t="s">
        <v>620</v>
      </c>
      <c r="F192" s="230" t="s">
        <v>300</v>
      </c>
      <c r="G192" s="230" t="s">
        <v>68</v>
      </c>
    </row>
    <row r="193" spans="1:7" x14ac:dyDescent="0.25">
      <c r="A193" s="55" t="s">
        <v>361</v>
      </c>
      <c r="B193" s="56" t="s">
        <v>659</v>
      </c>
      <c r="C193" s="56" t="s">
        <v>660</v>
      </c>
      <c r="D193" s="56" t="s">
        <v>619</v>
      </c>
      <c r="E193" s="56" t="s">
        <v>620</v>
      </c>
      <c r="F193" s="230" t="s">
        <v>301</v>
      </c>
      <c r="G193" s="230" t="s">
        <v>68</v>
      </c>
    </row>
    <row r="194" spans="1:7" x14ac:dyDescent="0.25">
      <c r="A194" s="55" t="s">
        <v>362</v>
      </c>
      <c r="B194" s="56" t="s">
        <v>657</v>
      </c>
      <c r="C194" s="56" t="s">
        <v>93</v>
      </c>
      <c r="D194" s="56" t="s">
        <v>619</v>
      </c>
      <c r="E194" s="56" t="s">
        <v>620</v>
      </c>
      <c r="F194" s="230" t="s">
        <v>302</v>
      </c>
      <c r="G194" s="230" t="s">
        <v>68</v>
      </c>
    </row>
    <row r="195" spans="1:7" x14ac:dyDescent="0.25">
      <c r="A195" s="55" t="s">
        <v>363</v>
      </c>
      <c r="B195" s="56" t="s">
        <v>629</v>
      </c>
      <c r="C195" s="56" t="s">
        <v>62</v>
      </c>
      <c r="D195" s="56" t="s">
        <v>622</v>
      </c>
      <c r="E195" s="56" t="s">
        <v>623</v>
      </c>
      <c r="F195" s="230" t="s">
        <v>310</v>
      </c>
      <c r="G195" s="230" t="s">
        <v>68</v>
      </c>
    </row>
    <row r="196" spans="1:7" x14ac:dyDescent="0.25">
      <c r="A196" s="55" t="s">
        <v>364</v>
      </c>
      <c r="B196" s="56" t="s">
        <v>654</v>
      </c>
      <c r="C196" s="56" t="s">
        <v>161</v>
      </c>
      <c r="D196" s="56" t="s">
        <v>616</v>
      </c>
      <c r="E196" s="56" t="s">
        <v>617</v>
      </c>
      <c r="F196" s="230" t="s">
        <v>311</v>
      </c>
      <c r="G196" s="230" t="s">
        <v>68</v>
      </c>
    </row>
    <row r="197" spans="1:7" x14ac:dyDescent="0.25">
      <c r="A197" s="55" t="s">
        <v>365</v>
      </c>
      <c r="B197" s="56" t="s">
        <v>631</v>
      </c>
      <c r="C197" s="56" t="s">
        <v>70</v>
      </c>
      <c r="D197" s="56" t="s">
        <v>619</v>
      </c>
      <c r="E197" s="56" t="s">
        <v>620</v>
      </c>
      <c r="F197" s="230" t="s">
        <v>314</v>
      </c>
      <c r="G197" s="230" t="s">
        <v>68</v>
      </c>
    </row>
    <row r="198" spans="1:7" x14ac:dyDescent="0.25">
      <c r="A198" s="55" t="s">
        <v>366</v>
      </c>
      <c r="B198" s="56" t="s">
        <v>648</v>
      </c>
      <c r="C198" s="56" t="s">
        <v>649</v>
      </c>
      <c r="D198" s="56" t="s">
        <v>622</v>
      </c>
      <c r="E198" s="56" t="s">
        <v>623</v>
      </c>
      <c r="F198" s="230" t="s">
        <v>317</v>
      </c>
      <c r="G198" s="230" t="s">
        <v>68</v>
      </c>
    </row>
    <row r="199" spans="1:7" x14ac:dyDescent="0.25">
      <c r="A199" s="55" t="s">
        <v>367</v>
      </c>
      <c r="B199" s="56" t="s">
        <v>634</v>
      </c>
      <c r="C199" s="56" t="s">
        <v>140</v>
      </c>
      <c r="D199" s="56" t="s">
        <v>622</v>
      </c>
      <c r="E199" s="56" t="s">
        <v>623</v>
      </c>
      <c r="F199" s="230" t="s">
        <v>250</v>
      </c>
      <c r="G199" s="230" t="s">
        <v>68</v>
      </c>
    </row>
    <row r="200" spans="1:7" x14ac:dyDescent="0.25">
      <c r="A200" s="55" t="s">
        <v>368</v>
      </c>
      <c r="B200" s="56" t="s">
        <v>659</v>
      </c>
      <c r="C200" s="56" t="s">
        <v>660</v>
      </c>
      <c r="D200" s="56" t="s">
        <v>619</v>
      </c>
      <c r="E200" s="56" t="s">
        <v>620</v>
      </c>
      <c r="F200" s="230" t="s">
        <v>328</v>
      </c>
      <c r="G200" s="230" t="s">
        <v>68</v>
      </c>
    </row>
    <row r="201" spans="1:7" x14ac:dyDescent="0.25">
      <c r="A201" s="55" t="s">
        <v>369</v>
      </c>
      <c r="B201" s="56" t="s">
        <v>624</v>
      </c>
      <c r="C201" s="56" t="s">
        <v>129</v>
      </c>
      <c r="D201" s="56" t="s">
        <v>613</v>
      </c>
      <c r="E201" s="56" t="s">
        <v>614</v>
      </c>
      <c r="F201" s="230" t="s">
        <v>330</v>
      </c>
      <c r="G201" s="230" t="s">
        <v>68</v>
      </c>
    </row>
    <row r="202" spans="1:7" x14ac:dyDescent="0.25">
      <c r="A202" s="55" t="s">
        <v>370</v>
      </c>
      <c r="B202" s="56" t="s">
        <v>621</v>
      </c>
      <c r="C202" s="56" t="s">
        <v>139</v>
      </c>
      <c r="D202" s="56" t="s">
        <v>622</v>
      </c>
      <c r="E202" s="56" t="s">
        <v>623</v>
      </c>
      <c r="F202" s="230" t="s">
        <v>333</v>
      </c>
      <c r="G202" s="230" t="s">
        <v>68</v>
      </c>
    </row>
    <row r="203" spans="1:7" x14ac:dyDescent="0.25">
      <c r="A203" s="55" t="s">
        <v>371</v>
      </c>
      <c r="B203" s="56" t="s">
        <v>615</v>
      </c>
      <c r="C203" s="56" t="s">
        <v>157</v>
      </c>
      <c r="D203" s="56" t="s">
        <v>616</v>
      </c>
      <c r="E203" s="56" t="s">
        <v>617</v>
      </c>
      <c r="F203" s="230" t="s">
        <v>336</v>
      </c>
      <c r="G203" s="230" t="s">
        <v>68</v>
      </c>
    </row>
    <row r="204" spans="1:7" x14ac:dyDescent="0.25">
      <c r="A204" s="55" t="s">
        <v>372</v>
      </c>
      <c r="B204" s="56" t="s">
        <v>631</v>
      </c>
      <c r="C204" s="56" t="s">
        <v>70</v>
      </c>
      <c r="D204" s="56" t="s">
        <v>619</v>
      </c>
      <c r="E204" s="56" t="s">
        <v>620</v>
      </c>
      <c r="F204" s="230" t="s">
        <v>344</v>
      </c>
      <c r="G204" s="230" t="s">
        <v>68</v>
      </c>
    </row>
    <row r="205" spans="1:7" x14ac:dyDescent="0.25">
      <c r="A205" s="55" t="s">
        <v>373</v>
      </c>
      <c r="B205" s="56" t="s">
        <v>633</v>
      </c>
      <c r="C205" s="56" t="s">
        <v>127</v>
      </c>
      <c r="D205" s="56" t="s">
        <v>613</v>
      </c>
      <c r="E205" s="56" t="s">
        <v>614</v>
      </c>
      <c r="F205" s="230" t="s">
        <v>352</v>
      </c>
      <c r="G205" s="230" t="s">
        <v>68</v>
      </c>
    </row>
    <row r="206" spans="1:7" x14ac:dyDescent="0.25">
      <c r="A206" s="55" t="s">
        <v>374</v>
      </c>
      <c r="B206" s="56" t="s">
        <v>628</v>
      </c>
      <c r="C206" s="56" t="s">
        <v>137</v>
      </c>
      <c r="D206" s="56" t="s">
        <v>622</v>
      </c>
      <c r="E206" s="56" t="s">
        <v>623</v>
      </c>
      <c r="F206" s="230" t="s">
        <v>353</v>
      </c>
      <c r="G206" s="230" t="s">
        <v>68</v>
      </c>
    </row>
    <row r="207" spans="1:7" x14ac:dyDescent="0.25">
      <c r="A207" s="55" t="s">
        <v>375</v>
      </c>
      <c r="B207" s="56" t="s">
        <v>648</v>
      </c>
      <c r="C207" s="56" t="s">
        <v>649</v>
      </c>
      <c r="D207" s="56" t="s">
        <v>622</v>
      </c>
      <c r="E207" s="56" t="s">
        <v>623</v>
      </c>
      <c r="F207" s="230" t="s">
        <v>355</v>
      </c>
      <c r="G207" s="230" t="s">
        <v>68</v>
      </c>
    </row>
    <row r="208" spans="1:7" x14ac:dyDescent="0.25">
      <c r="A208" s="55" t="s">
        <v>376</v>
      </c>
      <c r="B208" s="56" t="s">
        <v>654</v>
      </c>
      <c r="C208" s="56" t="s">
        <v>161</v>
      </c>
      <c r="D208" s="56" t="s">
        <v>616</v>
      </c>
      <c r="E208" s="56" t="s">
        <v>617</v>
      </c>
      <c r="F208" s="230" t="s">
        <v>380</v>
      </c>
      <c r="G208" s="230" t="s">
        <v>68</v>
      </c>
    </row>
    <row r="209" spans="1:7" x14ac:dyDescent="0.25">
      <c r="A209" s="55" t="s">
        <v>377</v>
      </c>
      <c r="B209" s="56" t="s">
        <v>626</v>
      </c>
      <c r="C209" s="56" t="s">
        <v>152</v>
      </c>
      <c r="D209" s="56" t="s">
        <v>619</v>
      </c>
      <c r="E209" s="56" t="s">
        <v>620</v>
      </c>
      <c r="F209" s="230" t="s">
        <v>394</v>
      </c>
      <c r="G209" s="230" t="s">
        <v>68</v>
      </c>
    </row>
    <row r="210" spans="1:7" x14ac:dyDescent="0.25">
      <c r="A210" s="55" t="s">
        <v>378</v>
      </c>
      <c r="B210" s="56" t="s">
        <v>637</v>
      </c>
      <c r="C210" s="56" t="s">
        <v>162</v>
      </c>
      <c r="D210" s="56" t="s">
        <v>616</v>
      </c>
      <c r="E210" s="56" t="s">
        <v>617</v>
      </c>
      <c r="F210" s="230" t="s">
        <v>395</v>
      </c>
      <c r="G210" s="230" t="s">
        <v>68</v>
      </c>
    </row>
    <row r="211" spans="1:7" x14ac:dyDescent="0.25">
      <c r="A211" s="55" t="s">
        <v>245</v>
      </c>
      <c r="B211" s="56" t="s">
        <v>636</v>
      </c>
      <c r="C211" s="56" t="s">
        <v>128</v>
      </c>
      <c r="D211" s="56" t="s">
        <v>613</v>
      </c>
      <c r="E211" s="56" t="s">
        <v>614</v>
      </c>
      <c r="F211" s="230" t="s">
        <v>424</v>
      </c>
      <c r="G211" s="230" t="s">
        <v>68</v>
      </c>
    </row>
    <row r="212" spans="1:7" x14ac:dyDescent="0.25">
      <c r="A212" s="55" t="s">
        <v>379</v>
      </c>
      <c r="B212" s="56" t="s">
        <v>636</v>
      </c>
      <c r="C212" s="56" t="s">
        <v>128</v>
      </c>
      <c r="D212" s="56" t="s">
        <v>613</v>
      </c>
      <c r="E212" s="56" t="s">
        <v>614</v>
      </c>
      <c r="F212" s="230" t="s">
        <v>425</v>
      </c>
      <c r="G212" s="230" t="s">
        <v>68</v>
      </c>
    </row>
    <row r="213" spans="1:7" x14ac:dyDescent="0.25">
      <c r="A213" s="55" t="s">
        <v>380</v>
      </c>
      <c r="B213" s="56" t="s">
        <v>653</v>
      </c>
      <c r="C213" s="56" t="s">
        <v>142</v>
      </c>
      <c r="D213" s="56" t="s">
        <v>619</v>
      </c>
      <c r="E213" s="56" t="s">
        <v>620</v>
      </c>
      <c r="F213" s="230" t="s">
        <v>430</v>
      </c>
      <c r="G213" s="230" t="s">
        <v>68</v>
      </c>
    </row>
    <row r="214" spans="1:7" x14ac:dyDescent="0.25">
      <c r="A214" s="55" t="s">
        <v>381</v>
      </c>
      <c r="B214" s="56" t="s">
        <v>637</v>
      </c>
      <c r="C214" s="56" t="s">
        <v>162</v>
      </c>
      <c r="D214" s="56" t="s">
        <v>616</v>
      </c>
      <c r="E214" s="56" t="s">
        <v>617</v>
      </c>
      <c r="F214" s="230" t="s">
        <v>437</v>
      </c>
      <c r="G214" s="230" t="s">
        <v>68</v>
      </c>
    </row>
    <row r="215" spans="1:7" x14ac:dyDescent="0.25">
      <c r="A215" s="55" t="s">
        <v>382</v>
      </c>
      <c r="B215" s="56" t="s">
        <v>624</v>
      </c>
      <c r="C215" s="56" t="s">
        <v>129</v>
      </c>
      <c r="D215" s="56" t="s">
        <v>613</v>
      </c>
      <c r="E215" s="56" t="s">
        <v>614</v>
      </c>
      <c r="F215" s="230" t="s">
        <v>455</v>
      </c>
      <c r="G215" s="230" t="s">
        <v>68</v>
      </c>
    </row>
    <row r="216" spans="1:7" x14ac:dyDescent="0.25">
      <c r="A216" s="55" t="s">
        <v>383</v>
      </c>
      <c r="B216" s="56" t="s">
        <v>639</v>
      </c>
      <c r="C216" s="56" t="s">
        <v>126</v>
      </c>
      <c r="D216" s="56" t="s">
        <v>613</v>
      </c>
      <c r="E216" s="56" t="s">
        <v>614</v>
      </c>
      <c r="F216" s="230" t="s">
        <v>478</v>
      </c>
      <c r="G216" s="230" t="s">
        <v>68</v>
      </c>
    </row>
    <row r="217" spans="1:7" x14ac:dyDescent="0.25">
      <c r="A217" s="55" t="s">
        <v>384</v>
      </c>
      <c r="B217" s="56" t="s">
        <v>661</v>
      </c>
      <c r="C217" s="56" t="s">
        <v>134</v>
      </c>
      <c r="D217" s="56" t="s">
        <v>613</v>
      </c>
      <c r="E217" s="56" t="s">
        <v>614</v>
      </c>
      <c r="F217" s="230" t="s">
        <v>488</v>
      </c>
      <c r="G217" s="230" t="s">
        <v>68</v>
      </c>
    </row>
    <row r="218" spans="1:7" x14ac:dyDescent="0.25">
      <c r="A218" s="55" t="s">
        <v>385</v>
      </c>
      <c r="B218" s="56" t="s">
        <v>647</v>
      </c>
      <c r="C218" s="56" t="s">
        <v>155</v>
      </c>
      <c r="D218" s="56" t="s">
        <v>619</v>
      </c>
      <c r="E218" s="56" t="s">
        <v>620</v>
      </c>
      <c r="F218" s="230" t="s">
        <v>498</v>
      </c>
      <c r="G218" s="230" t="s">
        <v>68</v>
      </c>
    </row>
    <row r="219" spans="1:7" x14ac:dyDescent="0.25">
      <c r="A219" s="55" t="s">
        <v>386</v>
      </c>
      <c r="B219" s="56" t="s">
        <v>651</v>
      </c>
      <c r="C219" s="56" t="s">
        <v>150</v>
      </c>
      <c r="D219" s="56" t="s">
        <v>619</v>
      </c>
      <c r="E219" s="56" t="s">
        <v>620</v>
      </c>
      <c r="F219" s="230" t="s">
        <v>499</v>
      </c>
      <c r="G219" s="230" t="s">
        <v>68</v>
      </c>
    </row>
    <row r="220" spans="1:7" x14ac:dyDescent="0.25">
      <c r="A220" s="55" t="s">
        <v>387</v>
      </c>
      <c r="B220" s="56" t="s">
        <v>612</v>
      </c>
      <c r="C220" s="56" t="s">
        <v>132</v>
      </c>
      <c r="D220" s="56" t="s">
        <v>613</v>
      </c>
      <c r="E220" s="56" t="s">
        <v>614</v>
      </c>
      <c r="F220" s="230" t="s">
        <v>510</v>
      </c>
      <c r="G220" s="230" t="s">
        <v>68</v>
      </c>
    </row>
    <row r="221" spans="1:7" x14ac:dyDescent="0.25">
      <c r="A221" s="55" t="s">
        <v>388</v>
      </c>
      <c r="B221" s="56" t="s">
        <v>641</v>
      </c>
      <c r="C221" s="56" t="s">
        <v>158</v>
      </c>
      <c r="D221" s="56" t="s">
        <v>616</v>
      </c>
      <c r="E221" s="56" t="s">
        <v>617</v>
      </c>
      <c r="F221" s="230" t="s">
        <v>527</v>
      </c>
      <c r="G221" s="230" t="s">
        <v>68</v>
      </c>
    </row>
    <row r="222" spans="1:7" x14ac:dyDescent="0.25">
      <c r="A222" s="55" t="s">
        <v>389</v>
      </c>
      <c r="B222" s="56" t="s">
        <v>640</v>
      </c>
      <c r="C222" s="56" t="s">
        <v>156</v>
      </c>
      <c r="D222" s="56" t="s">
        <v>616</v>
      </c>
      <c r="E222" s="56" t="s">
        <v>617</v>
      </c>
      <c r="F222" s="230" t="s">
        <v>529</v>
      </c>
      <c r="G222" s="230" t="s">
        <v>68</v>
      </c>
    </row>
    <row r="223" spans="1:7" x14ac:dyDescent="0.25">
      <c r="A223" s="55" t="s">
        <v>390</v>
      </c>
      <c r="B223" s="56" t="s">
        <v>625</v>
      </c>
      <c r="C223" s="56" t="s">
        <v>153</v>
      </c>
      <c r="D223" s="56" t="s">
        <v>619</v>
      </c>
      <c r="E223" s="56" t="s">
        <v>620</v>
      </c>
      <c r="F223" s="230" t="s">
        <v>539</v>
      </c>
      <c r="G223" s="230" t="s">
        <v>68</v>
      </c>
    </row>
    <row r="224" spans="1:7" x14ac:dyDescent="0.25">
      <c r="A224" s="55" t="s">
        <v>391</v>
      </c>
      <c r="B224" s="56" t="s">
        <v>621</v>
      </c>
      <c r="C224" s="56" t="s">
        <v>139</v>
      </c>
      <c r="D224" s="56" t="s">
        <v>622</v>
      </c>
      <c r="E224" s="56" t="s">
        <v>623</v>
      </c>
      <c r="F224" s="230" t="s">
        <v>545</v>
      </c>
      <c r="G224" s="230" t="s">
        <v>68</v>
      </c>
    </row>
    <row r="225" spans="1:7" x14ac:dyDescent="0.25">
      <c r="A225" s="55" t="s">
        <v>392</v>
      </c>
      <c r="B225" s="56" t="s">
        <v>631</v>
      </c>
      <c r="C225" s="56" t="s">
        <v>70</v>
      </c>
      <c r="D225" s="56" t="s">
        <v>619</v>
      </c>
      <c r="E225" s="56" t="s">
        <v>620</v>
      </c>
      <c r="F225" s="230" t="s">
        <v>548</v>
      </c>
      <c r="G225" s="230" t="s">
        <v>68</v>
      </c>
    </row>
    <row r="226" spans="1:7" x14ac:dyDescent="0.25">
      <c r="A226" s="55" t="s">
        <v>393</v>
      </c>
      <c r="B226" s="56" t="s">
        <v>638</v>
      </c>
      <c r="C226" s="56" t="s">
        <v>160</v>
      </c>
      <c r="D226" s="56" t="s">
        <v>616</v>
      </c>
      <c r="E226" s="56" t="s">
        <v>617</v>
      </c>
      <c r="F226" s="230" t="s">
        <v>550</v>
      </c>
      <c r="G226" s="230" t="s">
        <v>68</v>
      </c>
    </row>
    <row r="227" spans="1:7" x14ac:dyDescent="0.25">
      <c r="A227" s="55" t="s">
        <v>394</v>
      </c>
      <c r="B227" s="56" t="s">
        <v>644</v>
      </c>
      <c r="C227" s="56" t="s">
        <v>148</v>
      </c>
      <c r="D227" s="56" t="s">
        <v>619</v>
      </c>
      <c r="E227" s="56" t="s">
        <v>620</v>
      </c>
      <c r="F227" s="230" t="s">
        <v>552</v>
      </c>
      <c r="G227" s="230" t="s">
        <v>68</v>
      </c>
    </row>
    <row r="228" spans="1:7" x14ac:dyDescent="0.25">
      <c r="A228" s="55" t="s">
        <v>395</v>
      </c>
      <c r="B228" s="56" t="s">
        <v>644</v>
      </c>
      <c r="C228" s="56" t="s">
        <v>148</v>
      </c>
      <c r="D228" s="56" t="s">
        <v>619</v>
      </c>
      <c r="E228" s="56" t="s">
        <v>620</v>
      </c>
      <c r="F228" s="230" t="s">
        <v>181</v>
      </c>
      <c r="G228" s="230" t="s">
        <v>72</v>
      </c>
    </row>
    <row r="229" spans="1:7" x14ac:dyDescent="0.25">
      <c r="A229" s="55" t="s">
        <v>396</v>
      </c>
      <c r="B229" s="56" t="s">
        <v>648</v>
      </c>
      <c r="C229" s="56" t="s">
        <v>649</v>
      </c>
      <c r="D229" s="56" t="s">
        <v>622</v>
      </c>
      <c r="E229" s="56" t="s">
        <v>623</v>
      </c>
      <c r="F229" s="230" t="s">
        <v>182</v>
      </c>
      <c r="G229" s="230" t="s">
        <v>72</v>
      </c>
    </row>
    <row r="230" spans="1:7" x14ac:dyDescent="0.25">
      <c r="A230" s="1" t="s">
        <v>348</v>
      </c>
      <c r="B230" s="56" t="s">
        <v>626</v>
      </c>
      <c r="C230" s="56" t="s">
        <v>152</v>
      </c>
      <c r="D230" s="56" t="s">
        <v>619</v>
      </c>
      <c r="E230" s="56" t="s">
        <v>620</v>
      </c>
      <c r="F230" s="230" t="s">
        <v>186</v>
      </c>
      <c r="G230" s="230" t="s">
        <v>72</v>
      </c>
    </row>
    <row r="231" spans="1:7" x14ac:dyDescent="0.25">
      <c r="A231" s="55" t="s">
        <v>397</v>
      </c>
      <c r="B231" s="56" t="s">
        <v>654</v>
      </c>
      <c r="C231" s="56" t="s">
        <v>161</v>
      </c>
      <c r="D231" s="56" t="s">
        <v>616</v>
      </c>
      <c r="E231" s="56" t="s">
        <v>617</v>
      </c>
      <c r="F231" s="230" t="s">
        <v>198</v>
      </c>
      <c r="G231" s="230" t="s">
        <v>72</v>
      </c>
    </row>
    <row r="232" spans="1:7" x14ac:dyDescent="0.25">
      <c r="A232" s="55" t="s">
        <v>398</v>
      </c>
      <c r="B232" s="56" t="s">
        <v>648</v>
      </c>
      <c r="C232" s="56" t="s">
        <v>649</v>
      </c>
      <c r="D232" s="56" t="s">
        <v>622</v>
      </c>
      <c r="E232" s="56" t="s">
        <v>623</v>
      </c>
      <c r="F232" s="230" t="s">
        <v>214</v>
      </c>
      <c r="G232" s="230" t="s">
        <v>72</v>
      </c>
    </row>
    <row r="233" spans="1:7" x14ac:dyDescent="0.25">
      <c r="A233" s="55" t="s">
        <v>399</v>
      </c>
      <c r="B233" s="56" t="s">
        <v>631</v>
      </c>
      <c r="C233" s="56" t="s">
        <v>70</v>
      </c>
      <c r="D233" s="56" t="s">
        <v>619</v>
      </c>
      <c r="E233" s="56" t="s">
        <v>620</v>
      </c>
      <c r="F233" s="230" t="s">
        <v>218</v>
      </c>
      <c r="G233" s="230" t="s">
        <v>72</v>
      </c>
    </row>
    <row r="234" spans="1:7" x14ac:dyDescent="0.25">
      <c r="A234" s="55" t="s">
        <v>400</v>
      </c>
      <c r="B234" s="56" t="s">
        <v>630</v>
      </c>
      <c r="C234" s="56" t="s">
        <v>151</v>
      </c>
      <c r="D234" s="56" t="s">
        <v>619</v>
      </c>
      <c r="E234" s="56" t="s">
        <v>620</v>
      </c>
      <c r="F234" s="230" t="s">
        <v>226</v>
      </c>
      <c r="G234" s="230" t="s">
        <v>72</v>
      </c>
    </row>
    <row r="235" spans="1:7" x14ac:dyDescent="0.25">
      <c r="A235" s="55" t="s">
        <v>401</v>
      </c>
      <c r="B235" s="56" t="s">
        <v>632</v>
      </c>
      <c r="C235" s="56" t="s">
        <v>138</v>
      </c>
      <c r="D235" s="56" t="s">
        <v>622</v>
      </c>
      <c r="E235" s="56" t="s">
        <v>623</v>
      </c>
      <c r="F235" s="230" t="s">
        <v>234</v>
      </c>
      <c r="G235" s="230" t="s">
        <v>72</v>
      </c>
    </row>
    <row r="236" spans="1:7" x14ac:dyDescent="0.25">
      <c r="A236" s="55" t="s">
        <v>402</v>
      </c>
      <c r="B236" s="56" t="s">
        <v>634</v>
      </c>
      <c r="C236" s="56" t="s">
        <v>140</v>
      </c>
      <c r="D236" s="56" t="s">
        <v>622</v>
      </c>
      <c r="E236" s="56" t="s">
        <v>623</v>
      </c>
      <c r="F236" s="230" t="s">
        <v>238</v>
      </c>
      <c r="G236" s="230" t="s">
        <v>72</v>
      </c>
    </row>
    <row r="237" spans="1:7" x14ac:dyDescent="0.25">
      <c r="A237" s="55" t="s">
        <v>404</v>
      </c>
      <c r="B237" s="56" t="s">
        <v>647</v>
      </c>
      <c r="C237" s="56" t="s">
        <v>155</v>
      </c>
      <c r="D237" s="56" t="s">
        <v>619</v>
      </c>
      <c r="E237" s="56" t="s">
        <v>620</v>
      </c>
      <c r="F237" s="230" t="s">
        <v>248</v>
      </c>
      <c r="G237" s="230" t="s">
        <v>72</v>
      </c>
    </row>
    <row r="238" spans="1:7" x14ac:dyDescent="0.25">
      <c r="A238" s="55" t="s">
        <v>405</v>
      </c>
      <c r="B238" s="56" t="s">
        <v>612</v>
      </c>
      <c r="C238" s="56" t="s">
        <v>132</v>
      </c>
      <c r="D238" s="56" t="s">
        <v>613</v>
      </c>
      <c r="E238" s="56" t="s">
        <v>614</v>
      </c>
      <c r="F238" s="230" t="s">
        <v>259</v>
      </c>
      <c r="G238" s="230" t="s">
        <v>72</v>
      </c>
    </row>
    <row r="239" spans="1:7" x14ac:dyDescent="0.25">
      <c r="A239" s="55" t="s">
        <v>406</v>
      </c>
      <c r="B239" s="56" t="s">
        <v>629</v>
      </c>
      <c r="C239" s="56" t="s">
        <v>62</v>
      </c>
      <c r="D239" s="56" t="s">
        <v>622</v>
      </c>
      <c r="E239" s="56" t="s">
        <v>623</v>
      </c>
      <c r="F239" s="230" t="s">
        <v>287</v>
      </c>
      <c r="G239" s="230" t="s">
        <v>72</v>
      </c>
    </row>
    <row r="240" spans="1:7" x14ac:dyDescent="0.25">
      <c r="A240" s="55" t="s">
        <v>407</v>
      </c>
      <c r="B240" s="56" t="s">
        <v>659</v>
      </c>
      <c r="C240" s="56" t="s">
        <v>660</v>
      </c>
      <c r="D240" s="56" t="s">
        <v>619</v>
      </c>
      <c r="E240" s="56" t="s">
        <v>620</v>
      </c>
      <c r="F240" s="230" t="s">
        <v>289</v>
      </c>
      <c r="G240" s="230" t="s">
        <v>72</v>
      </c>
    </row>
    <row r="241" spans="1:7" x14ac:dyDescent="0.25">
      <c r="A241" s="55" t="s">
        <v>408</v>
      </c>
      <c r="B241" s="56" t="s">
        <v>659</v>
      </c>
      <c r="C241" s="56" t="s">
        <v>660</v>
      </c>
      <c r="D241" s="56" t="s">
        <v>619</v>
      </c>
      <c r="E241" s="56" t="s">
        <v>620</v>
      </c>
      <c r="F241" s="230" t="s">
        <v>292</v>
      </c>
      <c r="G241" s="230" t="s">
        <v>72</v>
      </c>
    </row>
    <row r="242" spans="1:7" x14ac:dyDescent="0.25">
      <c r="A242" s="55" t="s">
        <v>409</v>
      </c>
      <c r="B242" s="56" t="s">
        <v>635</v>
      </c>
      <c r="C242" s="56" t="s">
        <v>159</v>
      </c>
      <c r="D242" s="56" t="s">
        <v>616</v>
      </c>
      <c r="E242" s="56" t="s">
        <v>617</v>
      </c>
      <c r="F242" s="230" t="s">
        <v>293</v>
      </c>
      <c r="G242" s="230" t="s">
        <v>72</v>
      </c>
    </row>
    <row r="243" spans="1:7" x14ac:dyDescent="0.25">
      <c r="A243" s="55" t="s">
        <v>410</v>
      </c>
      <c r="B243" s="56" t="s">
        <v>632</v>
      </c>
      <c r="C243" s="56" t="s">
        <v>138</v>
      </c>
      <c r="D243" s="56" t="s">
        <v>622</v>
      </c>
      <c r="E243" s="56" t="s">
        <v>623</v>
      </c>
      <c r="F243" s="24" t="s">
        <v>462</v>
      </c>
      <c r="G243" s="24" t="s">
        <v>462</v>
      </c>
    </row>
    <row r="244" spans="1:7" x14ac:dyDescent="0.25">
      <c r="A244" s="55" t="s">
        <v>411</v>
      </c>
      <c r="B244" s="56" t="s">
        <v>637</v>
      </c>
      <c r="C244" s="56" t="s">
        <v>162</v>
      </c>
      <c r="D244" s="56" t="s">
        <v>616</v>
      </c>
      <c r="E244" s="56" t="s">
        <v>617</v>
      </c>
      <c r="F244" s="230" t="s">
        <v>306</v>
      </c>
      <c r="G244" s="230" t="s">
        <v>72</v>
      </c>
    </row>
    <row r="245" spans="1:7" x14ac:dyDescent="0.25">
      <c r="A245" s="55" t="s">
        <v>412</v>
      </c>
      <c r="B245" s="56" t="s">
        <v>659</v>
      </c>
      <c r="C245" s="56" t="s">
        <v>660</v>
      </c>
      <c r="D245" s="56" t="s">
        <v>619</v>
      </c>
      <c r="E245" s="56" t="s">
        <v>620</v>
      </c>
      <c r="F245" s="230" t="s">
        <v>319</v>
      </c>
      <c r="G245" s="230" t="s">
        <v>72</v>
      </c>
    </row>
    <row r="246" spans="1:7" x14ac:dyDescent="0.25">
      <c r="A246" s="55" t="s">
        <v>413</v>
      </c>
      <c r="B246" s="56" t="s">
        <v>635</v>
      </c>
      <c r="C246" s="56" t="s">
        <v>159</v>
      </c>
      <c r="D246" s="56" t="s">
        <v>616</v>
      </c>
      <c r="E246" s="56" t="s">
        <v>617</v>
      </c>
      <c r="F246" s="230" t="s">
        <v>321</v>
      </c>
      <c r="G246" s="230" t="s">
        <v>72</v>
      </c>
    </row>
    <row r="247" spans="1:7" x14ac:dyDescent="0.25">
      <c r="A247" s="55" t="s">
        <v>414</v>
      </c>
      <c r="B247" s="56" t="s">
        <v>615</v>
      </c>
      <c r="C247" s="56" t="s">
        <v>157</v>
      </c>
      <c r="D247" s="56" t="s">
        <v>616</v>
      </c>
      <c r="E247" s="56" t="s">
        <v>617</v>
      </c>
      <c r="F247" s="230" t="s">
        <v>326</v>
      </c>
      <c r="G247" s="230" t="s">
        <v>72</v>
      </c>
    </row>
    <row r="248" spans="1:7" x14ac:dyDescent="0.25">
      <c r="A248" s="55" t="s">
        <v>415</v>
      </c>
      <c r="B248" s="56" t="s">
        <v>639</v>
      </c>
      <c r="C248" s="56" t="s">
        <v>126</v>
      </c>
      <c r="D248" s="56" t="s">
        <v>613</v>
      </c>
      <c r="E248" s="56" t="s">
        <v>614</v>
      </c>
      <c r="F248" s="230" t="s">
        <v>339</v>
      </c>
      <c r="G248" s="230" t="s">
        <v>72</v>
      </c>
    </row>
    <row r="249" spans="1:7" x14ac:dyDescent="0.25">
      <c r="A249" s="55" t="s">
        <v>416</v>
      </c>
      <c r="B249" s="56" t="s">
        <v>632</v>
      </c>
      <c r="C249" s="56" t="s">
        <v>138</v>
      </c>
      <c r="D249" s="56" t="s">
        <v>622</v>
      </c>
      <c r="E249" s="56" t="s">
        <v>623</v>
      </c>
      <c r="F249" s="230" t="s">
        <v>342</v>
      </c>
      <c r="G249" s="230" t="s">
        <v>72</v>
      </c>
    </row>
    <row r="250" spans="1:7" x14ac:dyDescent="0.25">
      <c r="A250" s="55" t="s">
        <v>417</v>
      </c>
      <c r="B250" s="56" t="s">
        <v>628</v>
      </c>
      <c r="C250" s="56" t="s">
        <v>137</v>
      </c>
      <c r="D250" s="56" t="s">
        <v>622</v>
      </c>
      <c r="E250" s="56" t="s">
        <v>623</v>
      </c>
      <c r="F250" s="230" t="s">
        <v>346</v>
      </c>
      <c r="G250" s="230" t="s">
        <v>72</v>
      </c>
    </row>
    <row r="251" spans="1:7" x14ac:dyDescent="0.25">
      <c r="A251" s="55" t="s">
        <v>418</v>
      </c>
      <c r="B251" s="56" t="s">
        <v>652</v>
      </c>
      <c r="C251" s="56" t="s">
        <v>136</v>
      </c>
      <c r="D251" s="56" t="s">
        <v>622</v>
      </c>
      <c r="E251" s="56" t="s">
        <v>623</v>
      </c>
      <c r="F251" s="230" t="s">
        <v>347</v>
      </c>
      <c r="G251" s="230" t="s">
        <v>72</v>
      </c>
    </row>
    <row r="252" spans="1:7" x14ac:dyDescent="0.25">
      <c r="A252" s="55" t="s">
        <v>419</v>
      </c>
      <c r="B252" s="56" t="s">
        <v>650</v>
      </c>
      <c r="C252" s="56" t="s">
        <v>135</v>
      </c>
      <c r="D252" s="56" t="s">
        <v>622</v>
      </c>
      <c r="E252" s="56" t="s">
        <v>623</v>
      </c>
      <c r="F252" s="230" t="s">
        <v>348</v>
      </c>
      <c r="G252" s="230" t="s">
        <v>72</v>
      </c>
    </row>
    <row r="253" spans="1:7" x14ac:dyDescent="0.25">
      <c r="A253" s="55" t="s">
        <v>420</v>
      </c>
      <c r="B253" s="56" t="s">
        <v>637</v>
      </c>
      <c r="C253" s="56" t="s">
        <v>162</v>
      </c>
      <c r="D253" s="56" t="s">
        <v>616</v>
      </c>
      <c r="E253" s="56" t="s">
        <v>617</v>
      </c>
      <c r="F253" s="230" t="s">
        <v>354</v>
      </c>
      <c r="G253" s="230" t="s">
        <v>72</v>
      </c>
    </row>
    <row r="254" spans="1:7" x14ac:dyDescent="0.25">
      <c r="A254" s="55" t="s">
        <v>421</v>
      </c>
      <c r="B254" s="56" t="s">
        <v>621</v>
      </c>
      <c r="C254" s="56" t="s">
        <v>139</v>
      </c>
      <c r="D254" s="56" t="s">
        <v>622</v>
      </c>
      <c r="E254" s="56" t="s">
        <v>623</v>
      </c>
      <c r="F254" s="230" t="s">
        <v>357</v>
      </c>
      <c r="G254" s="230" t="s">
        <v>72</v>
      </c>
    </row>
    <row r="255" spans="1:7" x14ac:dyDescent="0.25">
      <c r="A255" s="55" t="s">
        <v>422</v>
      </c>
      <c r="B255" s="56" t="s">
        <v>640</v>
      </c>
      <c r="C255" s="56" t="s">
        <v>156</v>
      </c>
      <c r="D255" s="56" t="s">
        <v>616</v>
      </c>
      <c r="E255" s="56" t="s">
        <v>617</v>
      </c>
      <c r="F255" s="230" t="s">
        <v>360</v>
      </c>
      <c r="G255" s="230" t="s">
        <v>72</v>
      </c>
    </row>
    <row r="256" spans="1:7" x14ac:dyDescent="0.25">
      <c r="A256" s="55" t="s">
        <v>423</v>
      </c>
      <c r="B256" s="56" t="s">
        <v>658</v>
      </c>
      <c r="C256" s="56" t="s">
        <v>131</v>
      </c>
      <c r="D256" s="56" t="s">
        <v>613</v>
      </c>
      <c r="E256" s="56" t="s">
        <v>614</v>
      </c>
      <c r="F256" s="230" t="s">
        <v>361</v>
      </c>
      <c r="G256" s="230" t="s">
        <v>72</v>
      </c>
    </row>
    <row r="257" spans="1:7" x14ac:dyDescent="0.25">
      <c r="A257" s="55" t="s">
        <v>424</v>
      </c>
      <c r="B257" s="56" t="s">
        <v>618</v>
      </c>
      <c r="C257" s="56" t="s">
        <v>147</v>
      </c>
      <c r="D257" s="56" t="s">
        <v>619</v>
      </c>
      <c r="E257" s="56" t="s">
        <v>620</v>
      </c>
      <c r="F257" s="230" t="s">
        <v>362</v>
      </c>
      <c r="G257" s="230" t="s">
        <v>72</v>
      </c>
    </row>
    <row r="258" spans="1:7" x14ac:dyDescent="0.25">
      <c r="A258" s="55" t="s">
        <v>425</v>
      </c>
      <c r="B258" s="56" t="s">
        <v>653</v>
      </c>
      <c r="C258" s="56" t="s">
        <v>142</v>
      </c>
      <c r="D258" s="56" t="s">
        <v>619</v>
      </c>
      <c r="E258" s="56" t="s">
        <v>620</v>
      </c>
      <c r="F258" s="230" t="s">
        <v>368</v>
      </c>
      <c r="G258" s="230" t="s">
        <v>72</v>
      </c>
    </row>
    <row r="259" spans="1:7" x14ac:dyDescent="0.25">
      <c r="A259" s="55" t="s">
        <v>426</v>
      </c>
      <c r="B259" s="56" t="s">
        <v>658</v>
      </c>
      <c r="C259" s="56" t="s">
        <v>131</v>
      </c>
      <c r="D259" s="56" t="s">
        <v>613</v>
      </c>
      <c r="E259" s="56" t="s">
        <v>614</v>
      </c>
      <c r="F259" s="230" t="s">
        <v>377</v>
      </c>
      <c r="G259" s="230" t="s">
        <v>72</v>
      </c>
    </row>
    <row r="260" spans="1:7" x14ac:dyDescent="0.25">
      <c r="A260" s="55" t="s">
        <v>427</v>
      </c>
      <c r="B260" s="56" t="s">
        <v>641</v>
      </c>
      <c r="C260" s="56" t="s">
        <v>158</v>
      </c>
      <c r="D260" s="56" t="s">
        <v>616</v>
      </c>
      <c r="E260" s="56" t="s">
        <v>617</v>
      </c>
      <c r="F260" s="230" t="s">
        <v>386</v>
      </c>
      <c r="G260" s="230" t="s">
        <v>72</v>
      </c>
    </row>
    <row r="261" spans="1:7" x14ac:dyDescent="0.25">
      <c r="A261" s="55" t="s">
        <v>428</v>
      </c>
      <c r="B261" s="56" t="s">
        <v>626</v>
      </c>
      <c r="C261" s="56" t="s">
        <v>152</v>
      </c>
      <c r="D261" s="56" t="s">
        <v>619</v>
      </c>
      <c r="E261" s="56" t="s">
        <v>620</v>
      </c>
      <c r="F261" s="230" t="s">
        <v>390</v>
      </c>
      <c r="G261" s="230" t="s">
        <v>72</v>
      </c>
    </row>
    <row r="262" spans="1:7" x14ac:dyDescent="0.25">
      <c r="A262" s="55" t="s">
        <v>429</v>
      </c>
      <c r="B262" s="56" t="s">
        <v>621</v>
      </c>
      <c r="C262" s="56" t="s">
        <v>139</v>
      </c>
      <c r="D262" s="56" t="s">
        <v>622</v>
      </c>
      <c r="E262" s="56" t="s">
        <v>623</v>
      </c>
      <c r="F262" s="230" t="s">
        <v>400</v>
      </c>
      <c r="G262" s="230" t="s">
        <v>72</v>
      </c>
    </row>
    <row r="263" spans="1:7" x14ac:dyDescent="0.25">
      <c r="A263" s="55" t="s">
        <v>430</v>
      </c>
      <c r="B263" s="56" t="s">
        <v>618</v>
      </c>
      <c r="C263" s="56" t="s">
        <v>147</v>
      </c>
      <c r="D263" s="56" t="s">
        <v>619</v>
      </c>
      <c r="E263" s="56" t="s">
        <v>620</v>
      </c>
      <c r="F263" s="230" t="s">
        <v>403</v>
      </c>
      <c r="G263" s="230" t="s">
        <v>72</v>
      </c>
    </row>
    <row r="264" spans="1:7" x14ac:dyDescent="0.25">
      <c r="A264" s="55" t="s">
        <v>431</v>
      </c>
      <c r="B264" s="56" t="s">
        <v>631</v>
      </c>
      <c r="C264" s="56" t="s">
        <v>70</v>
      </c>
      <c r="D264" s="56" t="s">
        <v>619</v>
      </c>
      <c r="E264" s="56" t="s">
        <v>620</v>
      </c>
      <c r="F264" s="230" t="s">
        <v>407</v>
      </c>
      <c r="G264" s="230" t="s">
        <v>72</v>
      </c>
    </row>
    <row r="265" spans="1:7" x14ac:dyDescent="0.25">
      <c r="A265" s="55" t="s">
        <v>432</v>
      </c>
      <c r="B265" s="56" t="s">
        <v>634</v>
      </c>
      <c r="C265" s="56" t="s">
        <v>140</v>
      </c>
      <c r="D265" s="56" t="s">
        <v>622</v>
      </c>
      <c r="E265" s="56" t="s">
        <v>623</v>
      </c>
      <c r="F265" s="230" t="s">
        <v>408</v>
      </c>
      <c r="G265" s="230" t="s">
        <v>72</v>
      </c>
    </row>
    <row r="266" spans="1:7" x14ac:dyDescent="0.25">
      <c r="A266" s="55" t="s">
        <v>433</v>
      </c>
      <c r="B266" s="56" t="s">
        <v>625</v>
      </c>
      <c r="C266" s="56" t="s">
        <v>153</v>
      </c>
      <c r="D266" s="56" t="s">
        <v>619</v>
      </c>
      <c r="E266" s="56" t="s">
        <v>620</v>
      </c>
      <c r="F266" s="230" t="s">
        <v>412</v>
      </c>
      <c r="G266" s="230" t="s">
        <v>72</v>
      </c>
    </row>
    <row r="267" spans="1:7" x14ac:dyDescent="0.25">
      <c r="A267" s="55" t="s">
        <v>434</v>
      </c>
      <c r="B267" s="56" t="s">
        <v>638</v>
      </c>
      <c r="C267" s="56" t="s">
        <v>160</v>
      </c>
      <c r="D267" s="56" t="s">
        <v>616</v>
      </c>
      <c r="E267" s="56" t="s">
        <v>617</v>
      </c>
      <c r="F267" s="230" t="s">
        <v>428</v>
      </c>
      <c r="G267" s="230" t="s">
        <v>72</v>
      </c>
    </row>
    <row r="268" spans="1:7" x14ac:dyDescent="0.25">
      <c r="A268" s="55" t="s">
        <v>435</v>
      </c>
      <c r="B268" s="56" t="s">
        <v>639</v>
      </c>
      <c r="C268" s="56" t="s">
        <v>126</v>
      </c>
      <c r="D268" s="56" t="s">
        <v>613</v>
      </c>
      <c r="E268" s="56" t="s">
        <v>614</v>
      </c>
      <c r="F268" s="230" t="s">
        <v>433</v>
      </c>
      <c r="G268" s="230" t="s">
        <v>72</v>
      </c>
    </row>
    <row r="269" spans="1:7" x14ac:dyDescent="0.25">
      <c r="A269" s="55" t="s">
        <v>436</v>
      </c>
      <c r="B269" s="56" t="s">
        <v>657</v>
      </c>
      <c r="C269" s="56" t="s">
        <v>93</v>
      </c>
      <c r="D269" s="56" t="s">
        <v>619</v>
      </c>
      <c r="E269" s="56" t="s">
        <v>620</v>
      </c>
      <c r="F269" s="230" t="s">
        <v>436</v>
      </c>
      <c r="G269" s="230" t="s">
        <v>72</v>
      </c>
    </row>
    <row r="270" spans="1:7" x14ac:dyDescent="0.25">
      <c r="A270" s="55" t="s">
        <v>437</v>
      </c>
      <c r="B270" s="56" t="s">
        <v>618</v>
      </c>
      <c r="C270" s="56" t="s">
        <v>147</v>
      </c>
      <c r="D270" s="56" t="s">
        <v>619</v>
      </c>
      <c r="E270" s="56" t="s">
        <v>620</v>
      </c>
      <c r="F270" s="230" t="s">
        <v>446</v>
      </c>
      <c r="G270" s="230" t="s">
        <v>72</v>
      </c>
    </row>
    <row r="271" spans="1:7" x14ac:dyDescent="0.25">
      <c r="A271" s="55" t="s">
        <v>438</v>
      </c>
      <c r="B271" s="56" t="s">
        <v>632</v>
      </c>
      <c r="C271" s="56" t="s">
        <v>138</v>
      </c>
      <c r="D271" s="56" t="s">
        <v>622</v>
      </c>
      <c r="E271" s="56" t="s">
        <v>623</v>
      </c>
      <c r="F271" s="230" t="s">
        <v>449</v>
      </c>
      <c r="G271" s="230" t="s">
        <v>72</v>
      </c>
    </row>
    <row r="272" spans="1:7" x14ac:dyDescent="0.25">
      <c r="A272" s="55" t="s">
        <v>439</v>
      </c>
      <c r="B272" s="56" t="s">
        <v>652</v>
      </c>
      <c r="C272" s="56" t="s">
        <v>136</v>
      </c>
      <c r="D272" s="56" t="s">
        <v>622</v>
      </c>
      <c r="E272" s="56" t="s">
        <v>623</v>
      </c>
      <c r="F272" s="230" t="s">
        <v>74</v>
      </c>
      <c r="G272" s="230" t="s">
        <v>74</v>
      </c>
    </row>
    <row r="273" spans="1:7" x14ac:dyDescent="0.25">
      <c r="A273" s="55" t="s">
        <v>440</v>
      </c>
      <c r="B273" s="56" t="s">
        <v>647</v>
      </c>
      <c r="C273" s="56" t="s">
        <v>155</v>
      </c>
      <c r="D273" s="56" t="s">
        <v>619</v>
      </c>
      <c r="E273" s="56" t="s">
        <v>620</v>
      </c>
      <c r="F273" s="230" t="s">
        <v>457</v>
      </c>
      <c r="G273" s="230" t="s">
        <v>72</v>
      </c>
    </row>
    <row r="274" spans="1:7" x14ac:dyDescent="0.25">
      <c r="A274" s="55" t="s">
        <v>441</v>
      </c>
      <c r="B274" s="56" t="s">
        <v>634</v>
      </c>
      <c r="C274" s="56" t="s">
        <v>140</v>
      </c>
      <c r="D274" s="56" t="s">
        <v>622</v>
      </c>
      <c r="E274" s="56" t="s">
        <v>623</v>
      </c>
      <c r="F274" s="230" t="s">
        <v>469</v>
      </c>
      <c r="G274" s="230" t="s">
        <v>72</v>
      </c>
    </row>
    <row r="275" spans="1:7" x14ac:dyDescent="0.25">
      <c r="A275" s="55" t="s">
        <v>442</v>
      </c>
      <c r="B275" s="56" t="s">
        <v>631</v>
      </c>
      <c r="C275" s="56" t="s">
        <v>70</v>
      </c>
      <c r="D275" s="56" t="s">
        <v>619</v>
      </c>
      <c r="E275" s="56" t="s">
        <v>620</v>
      </c>
      <c r="F275" s="230" t="s">
        <v>483</v>
      </c>
      <c r="G275" s="230" t="s">
        <v>72</v>
      </c>
    </row>
    <row r="276" spans="1:7" x14ac:dyDescent="0.25">
      <c r="A276" s="55" t="s">
        <v>443</v>
      </c>
      <c r="B276" s="56" t="s">
        <v>635</v>
      </c>
      <c r="C276" s="56" t="s">
        <v>159</v>
      </c>
      <c r="D276" s="56" t="s">
        <v>616</v>
      </c>
      <c r="E276" s="56" t="s">
        <v>617</v>
      </c>
      <c r="F276" s="230" t="s">
        <v>489</v>
      </c>
      <c r="G276" s="230" t="s">
        <v>72</v>
      </c>
    </row>
    <row r="277" spans="1:7" x14ac:dyDescent="0.25">
      <c r="A277" s="55" t="s">
        <v>444</v>
      </c>
      <c r="B277" s="56" t="s">
        <v>634</v>
      </c>
      <c r="C277" s="56" t="s">
        <v>140</v>
      </c>
      <c r="D277" s="56" t="s">
        <v>622</v>
      </c>
      <c r="E277" s="56" t="s">
        <v>623</v>
      </c>
      <c r="F277" s="230" t="s">
        <v>514</v>
      </c>
      <c r="G277" s="230" t="s">
        <v>72</v>
      </c>
    </row>
    <row r="278" spans="1:7" x14ac:dyDescent="0.25">
      <c r="A278" s="55" t="s">
        <v>445</v>
      </c>
      <c r="B278" s="56" t="s">
        <v>631</v>
      </c>
      <c r="C278" s="56" t="s">
        <v>70</v>
      </c>
      <c r="D278" s="56" t="s">
        <v>619</v>
      </c>
      <c r="E278" s="56" t="s">
        <v>620</v>
      </c>
      <c r="F278" s="230" t="s">
        <v>519</v>
      </c>
      <c r="G278" s="230" t="s">
        <v>72</v>
      </c>
    </row>
    <row r="279" spans="1:7" x14ac:dyDescent="0.25">
      <c r="A279" s="55" t="s">
        <v>446</v>
      </c>
      <c r="B279" s="56" t="s">
        <v>626</v>
      </c>
      <c r="C279" s="56" t="s">
        <v>152</v>
      </c>
      <c r="D279" s="56" t="s">
        <v>619</v>
      </c>
      <c r="E279" s="56" t="s">
        <v>620</v>
      </c>
      <c r="F279" s="230" t="s">
        <v>524</v>
      </c>
      <c r="G279" s="230" t="s">
        <v>72</v>
      </c>
    </row>
    <row r="280" spans="1:7" x14ac:dyDescent="0.25">
      <c r="A280" s="55" t="s">
        <v>447</v>
      </c>
      <c r="B280" s="56" t="s">
        <v>634</v>
      </c>
      <c r="C280" s="56" t="s">
        <v>140</v>
      </c>
      <c r="D280" s="56" t="s">
        <v>622</v>
      </c>
      <c r="E280" s="56" t="s">
        <v>623</v>
      </c>
      <c r="F280" s="230" t="s">
        <v>526</v>
      </c>
      <c r="G280" s="230" t="s">
        <v>72</v>
      </c>
    </row>
    <row r="281" spans="1:7" x14ac:dyDescent="0.25">
      <c r="A281" s="55" t="s">
        <v>448</v>
      </c>
      <c r="B281" s="56" t="s">
        <v>628</v>
      </c>
      <c r="C281" s="56" t="s">
        <v>137</v>
      </c>
      <c r="D281" s="56" t="s">
        <v>622</v>
      </c>
      <c r="E281" s="56" t="s">
        <v>623</v>
      </c>
      <c r="F281" s="230" t="s">
        <v>534</v>
      </c>
      <c r="G281" s="230" t="s">
        <v>72</v>
      </c>
    </row>
    <row r="282" spans="1:7" x14ac:dyDescent="0.25">
      <c r="A282" s="55" t="s">
        <v>449</v>
      </c>
      <c r="B282" s="56" t="s">
        <v>657</v>
      </c>
      <c r="C282" s="56" t="s">
        <v>93</v>
      </c>
      <c r="D282" s="56" t="s">
        <v>619</v>
      </c>
      <c r="E282" s="56" t="s">
        <v>620</v>
      </c>
      <c r="F282" s="230" t="s">
        <v>536</v>
      </c>
      <c r="G282" s="230" t="s">
        <v>72</v>
      </c>
    </row>
    <row r="283" spans="1:7" x14ac:dyDescent="0.25">
      <c r="A283" s="55" t="s">
        <v>450</v>
      </c>
      <c r="B283" s="56" t="s">
        <v>654</v>
      </c>
      <c r="C283" s="56" t="s">
        <v>161</v>
      </c>
      <c r="D283" s="56" t="s">
        <v>616</v>
      </c>
      <c r="E283" s="56" t="s">
        <v>617</v>
      </c>
      <c r="F283" s="230" t="s">
        <v>551</v>
      </c>
      <c r="G283" s="230" t="s">
        <v>72</v>
      </c>
    </row>
    <row r="284" spans="1:7" x14ac:dyDescent="0.25">
      <c r="A284" s="55" t="s">
        <v>451</v>
      </c>
      <c r="B284" s="56" t="s">
        <v>654</v>
      </c>
      <c r="C284" s="56" t="s">
        <v>161</v>
      </c>
      <c r="D284" s="56" t="s">
        <v>616</v>
      </c>
      <c r="E284" s="56" t="s">
        <v>617</v>
      </c>
      <c r="F284" s="230" t="s">
        <v>556</v>
      </c>
      <c r="G284" s="230" t="s">
        <v>72</v>
      </c>
    </row>
    <row r="285" spans="1:7" x14ac:dyDescent="0.25">
      <c r="A285" s="55" t="s">
        <v>246</v>
      </c>
      <c r="B285" s="56" t="s">
        <v>631</v>
      </c>
      <c r="C285" s="56" t="s">
        <v>70</v>
      </c>
      <c r="D285" s="56" t="s">
        <v>619</v>
      </c>
      <c r="E285" s="56" t="s">
        <v>620</v>
      </c>
      <c r="F285" s="230" t="s">
        <v>557</v>
      </c>
      <c r="G285" s="230" t="s">
        <v>72</v>
      </c>
    </row>
    <row r="286" spans="1:7" x14ac:dyDescent="0.25">
      <c r="A286" s="55" t="s">
        <v>452</v>
      </c>
      <c r="B286" s="56" t="s">
        <v>640</v>
      </c>
      <c r="C286" s="56" t="s">
        <v>156</v>
      </c>
      <c r="D286" s="56" t="s">
        <v>616</v>
      </c>
      <c r="E286" s="56" t="s">
        <v>617</v>
      </c>
      <c r="F286" s="230" t="s">
        <v>559</v>
      </c>
      <c r="G286" s="230" t="s">
        <v>72</v>
      </c>
    </row>
    <row r="287" spans="1:7" x14ac:dyDescent="0.25">
      <c r="A287" s="55" t="s">
        <v>74</v>
      </c>
      <c r="B287" s="56" t="s">
        <v>626</v>
      </c>
      <c r="C287" s="56" t="s">
        <v>152</v>
      </c>
      <c r="D287" s="56" t="s">
        <v>619</v>
      </c>
      <c r="E287" s="56" t="s">
        <v>620</v>
      </c>
      <c r="F287" s="230" t="s">
        <v>563</v>
      </c>
      <c r="G287" s="230" t="s">
        <v>72</v>
      </c>
    </row>
    <row r="288" spans="1:7" x14ac:dyDescent="0.25">
      <c r="A288" s="55" t="s">
        <v>453</v>
      </c>
      <c r="B288" s="56" t="s">
        <v>634</v>
      </c>
      <c r="C288" s="56" t="s">
        <v>140</v>
      </c>
      <c r="D288" s="56" t="s">
        <v>622</v>
      </c>
      <c r="E288" s="56" t="s">
        <v>623</v>
      </c>
      <c r="F288" s="230" t="s">
        <v>222</v>
      </c>
      <c r="G288" s="230" t="s">
        <v>71</v>
      </c>
    </row>
    <row r="289" spans="1:7" x14ac:dyDescent="0.25">
      <c r="A289" s="55" t="s">
        <v>454</v>
      </c>
      <c r="B289" s="56" t="s">
        <v>640</v>
      </c>
      <c r="C289" s="56" t="s">
        <v>156</v>
      </c>
      <c r="D289" s="56" t="s">
        <v>616</v>
      </c>
      <c r="E289" s="56" t="s">
        <v>617</v>
      </c>
      <c r="F289" s="230" t="s">
        <v>290</v>
      </c>
      <c r="G289" s="230" t="s">
        <v>71</v>
      </c>
    </row>
    <row r="290" spans="1:7" x14ac:dyDescent="0.25">
      <c r="A290" s="55" t="s">
        <v>455</v>
      </c>
      <c r="B290" s="56" t="s">
        <v>653</v>
      </c>
      <c r="C290" s="56" t="s">
        <v>142</v>
      </c>
      <c r="D290" s="56" t="s">
        <v>619</v>
      </c>
      <c r="E290" s="56" t="s">
        <v>620</v>
      </c>
      <c r="F290" s="230" t="s">
        <v>337</v>
      </c>
      <c r="G290" s="230" t="s">
        <v>71</v>
      </c>
    </row>
    <row r="291" spans="1:7" x14ac:dyDescent="0.25">
      <c r="A291" s="55" t="s">
        <v>456</v>
      </c>
      <c r="B291" s="56" t="s">
        <v>632</v>
      </c>
      <c r="C291" s="56" t="s">
        <v>138</v>
      </c>
      <c r="D291" s="56" t="s">
        <v>622</v>
      </c>
      <c r="E291" s="56" t="s">
        <v>623</v>
      </c>
      <c r="F291" s="230" t="s">
        <v>341</v>
      </c>
      <c r="G291" s="230" t="s">
        <v>71</v>
      </c>
    </row>
    <row r="292" spans="1:7" x14ac:dyDescent="0.25">
      <c r="A292" s="55" t="s">
        <v>457</v>
      </c>
      <c r="B292" s="56" t="s">
        <v>626</v>
      </c>
      <c r="C292" s="56" t="s">
        <v>152</v>
      </c>
      <c r="D292" s="56" t="s">
        <v>619</v>
      </c>
      <c r="E292" s="56" t="s">
        <v>620</v>
      </c>
      <c r="F292" s="230" t="s">
        <v>385</v>
      </c>
      <c r="G292" s="230" t="s">
        <v>71</v>
      </c>
    </row>
    <row r="293" spans="1:7" x14ac:dyDescent="0.25">
      <c r="A293" s="55" t="s">
        <v>458</v>
      </c>
      <c r="B293" s="56" t="s">
        <v>624</v>
      </c>
      <c r="C293" s="56" t="s">
        <v>129</v>
      </c>
      <c r="D293" s="56" t="s">
        <v>613</v>
      </c>
      <c r="E293" s="56" t="s">
        <v>614</v>
      </c>
      <c r="F293" s="230" t="s">
        <v>404</v>
      </c>
      <c r="G293" s="230" t="s">
        <v>71</v>
      </c>
    </row>
    <row r="294" spans="1:7" x14ac:dyDescent="0.25">
      <c r="A294" s="55" t="s">
        <v>459</v>
      </c>
      <c r="B294" s="56" t="s">
        <v>641</v>
      </c>
      <c r="C294" s="56" t="s">
        <v>158</v>
      </c>
      <c r="D294" s="56" t="s">
        <v>616</v>
      </c>
      <c r="E294" s="56" t="s">
        <v>617</v>
      </c>
      <c r="F294" s="230" t="s">
        <v>440</v>
      </c>
      <c r="G294" s="230" t="s">
        <v>71</v>
      </c>
    </row>
    <row r="295" spans="1:7" x14ac:dyDescent="0.25">
      <c r="A295" s="55" t="s">
        <v>460</v>
      </c>
      <c r="B295" s="56" t="s">
        <v>637</v>
      </c>
      <c r="C295" s="56" t="s">
        <v>162</v>
      </c>
      <c r="D295" s="56" t="s">
        <v>616</v>
      </c>
      <c r="E295" s="56" t="s">
        <v>617</v>
      </c>
      <c r="F295" s="230" t="s">
        <v>461</v>
      </c>
      <c r="G295" s="230" t="s">
        <v>71</v>
      </c>
    </row>
    <row r="296" spans="1:7" x14ac:dyDescent="0.25">
      <c r="A296" s="55" t="s">
        <v>461</v>
      </c>
      <c r="B296" s="56" t="s">
        <v>647</v>
      </c>
      <c r="C296" s="56" t="s">
        <v>155</v>
      </c>
      <c r="D296" s="56" t="s">
        <v>619</v>
      </c>
      <c r="E296" s="56" t="s">
        <v>620</v>
      </c>
      <c r="F296" s="230" t="s">
        <v>471</v>
      </c>
      <c r="G296" s="230" t="s">
        <v>71</v>
      </c>
    </row>
    <row r="297" spans="1:7" x14ac:dyDescent="0.25">
      <c r="A297" s="55" t="s">
        <v>464</v>
      </c>
      <c r="B297" s="56" t="s">
        <v>637</v>
      </c>
      <c r="C297" s="56" t="s">
        <v>162</v>
      </c>
      <c r="D297" s="56" t="s">
        <v>616</v>
      </c>
      <c r="E297" s="56" t="s">
        <v>617</v>
      </c>
      <c r="F297" s="230" t="s">
        <v>486</v>
      </c>
      <c r="G297" s="230" t="s">
        <v>71</v>
      </c>
    </row>
    <row r="298" spans="1:7" x14ac:dyDescent="0.25">
      <c r="A298" s="55" t="s">
        <v>465</v>
      </c>
      <c r="B298" s="56" t="s">
        <v>641</v>
      </c>
      <c r="C298" s="56" t="s">
        <v>158</v>
      </c>
      <c r="D298" s="56" t="s">
        <v>616</v>
      </c>
      <c r="E298" s="56" t="s">
        <v>617</v>
      </c>
      <c r="F298" s="230" t="s">
        <v>490</v>
      </c>
      <c r="G298" s="230" t="s">
        <v>71</v>
      </c>
    </row>
    <row r="299" spans="1:7" x14ac:dyDescent="0.25">
      <c r="A299" s="55" t="s">
        <v>466</v>
      </c>
      <c r="B299" s="56" t="s">
        <v>641</v>
      </c>
      <c r="C299" s="56" t="s">
        <v>158</v>
      </c>
      <c r="D299" s="56" t="s">
        <v>616</v>
      </c>
      <c r="E299" s="56" t="s">
        <v>617</v>
      </c>
      <c r="F299" s="230" t="s">
        <v>507</v>
      </c>
      <c r="G299" s="230" t="s">
        <v>71</v>
      </c>
    </row>
    <row r="300" spans="1:7" x14ac:dyDescent="0.25">
      <c r="A300" s="55" t="s">
        <v>467</v>
      </c>
      <c r="B300" s="56" t="s">
        <v>641</v>
      </c>
      <c r="C300" s="56" t="s">
        <v>158</v>
      </c>
      <c r="D300" s="56" t="s">
        <v>616</v>
      </c>
      <c r="E300" s="56" t="s">
        <v>617</v>
      </c>
      <c r="F300" s="230" t="s">
        <v>517</v>
      </c>
      <c r="G300" s="230" t="s">
        <v>71</v>
      </c>
    </row>
    <row r="301" spans="1:7" x14ac:dyDescent="0.25">
      <c r="A301" s="55" t="s">
        <v>468</v>
      </c>
      <c r="B301" s="56" t="s">
        <v>637</v>
      </c>
      <c r="C301" s="56" t="s">
        <v>162</v>
      </c>
      <c r="D301" s="56" t="s">
        <v>616</v>
      </c>
      <c r="E301" s="56" t="s">
        <v>617</v>
      </c>
      <c r="F301" s="230" t="s">
        <v>177</v>
      </c>
      <c r="G301" s="230" t="s">
        <v>67</v>
      </c>
    </row>
    <row r="302" spans="1:7" x14ac:dyDescent="0.25">
      <c r="A302" s="55" t="s">
        <v>469</v>
      </c>
      <c r="B302" s="56" t="s">
        <v>625</v>
      </c>
      <c r="C302" s="56" t="s">
        <v>153</v>
      </c>
      <c r="D302" s="56" t="s">
        <v>619</v>
      </c>
      <c r="E302" s="56" t="s">
        <v>620</v>
      </c>
      <c r="F302" s="230" t="s">
        <v>187</v>
      </c>
      <c r="G302" s="230" t="s">
        <v>67</v>
      </c>
    </row>
    <row r="303" spans="1:7" x14ac:dyDescent="0.25">
      <c r="A303" s="55" t="s">
        <v>470</v>
      </c>
      <c r="B303" s="56" t="s">
        <v>636</v>
      </c>
      <c r="C303" s="56" t="s">
        <v>128</v>
      </c>
      <c r="D303" s="56" t="s">
        <v>613</v>
      </c>
      <c r="E303" s="56" t="s">
        <v>614</v>
      </c>
      <c r="F303" s="230" t="s">
        <v>195</v>
      </c>
      <c r="G303" s="230" t="s">
        <v>67</v>
      </c>
    </row>
    <row r="304" spans="1:7" x14ac:dyDescent="0.25">
      <c r="A304" s="55" t="s">
        <v>471</v>
      </c>
      <c r="B304" s="56" t="s">
        <v>662</v>
      </c>
      <c r="C304" s="56" t="s">
        <v>663</v>
      </c>
      <c r="D304" s="56" t="s">
        <v>619</v>
      </c>
      <c r="E304" s="56" t="s">
        <v>620</v>
      </c>
      <c r="F304" s="230" t="s">
        <v>196</v>
      </c>
      <c r="G304" s="230" t="s">
        <v>67</v>
      </c>
    </row>
    <row r="305" spans="1:7" x14ac:dyDescent="0.25">
      <c r="A305" s="55" t="s">
        <v>472</v>
      </c>
      <c r="B305" s="56" t="s">
        <v>658</v>
      </c>
      <c r="C305" s="56" t="s">
        <v>131</v>
      </c>
      <c r="D305" s="56" t="s">
        <v>613</v>
      </c>
      <c r="E305" s="56" t="s">
        <v>614</v>
      </c>
      <c r="F305" s="230" t="s">
        <v>205</v>
      </c>
      <c r="G305" s="230" t="s">
        <v>67</v>
      </c>
    </row>
    <row r="306" spans="1:7" x14ac:dyDescent="0.25">
      <c r="A306" s="55" t="s">
        <v>473</v>
      </c>
      <c r="B306" s="56" t="s">
        <v>631</v>
      </c>
      <c r="C306" s="56" t="s">
        <v>70</v>
      </c>
      <c r="D306" s="56" t="s">
        <v>619</v>
      </c>
      <c r="E306" s="56" t="s">
        <v>620</v>
      </c>
      <c r="F306" s="230" t="s">
        <v>208</v>
      </c>
      <c r="G306" s="230" t="s">
        <v>67</v>
      </c>
    </row>
    <row r="307" spans="1:7" x14ac:dyDescent="0.25">
      <c r="A307" s="55" t="s">
        <v>474</v>
      </c>
      <c r="B307" s="56" t="s">
        <v>635</v>
      </c>
      <c r="C307" s="56" t="s">
        <v>159</v>
      </c>
      <c r="D307" s="56" t="s">
        <v>616</v>
      </c>
      <c r="E307" s="56" t="s">
        <v>617</v>
      </c>
      <c r="F307" s="230" t="s">
        <v>210</v>
      </c>
      <c r="G307" s="230" t="s">
        <v>67</v>
      </c>
    </row>
    <row r="308" spans="1:7" x14ac:dyDescent="0.25">
      <c r="A308" s="55" t="s">
        <v>475</v>
      </c>
      <c r="B308" s="56" t="s">
        <v>635</v>
      </c>
      <c r="C308" s="56" t="s">
        <v>159</v>
      </c>
      <c r="D308" s="56" t="s">
        <v>616</v>
      </c>
      <c r="E308" s="56" t="s">
        <v>617</v>
      </c>
      <c r="F308" s="230" t="s">
        <v>211</v>
      </c>
      <c r="G308" s="230" t="s">
        <v>67</v>
      </c>
    </row>
    <row r="309" spans="1:7" x14ac:dyDescent="0.25">
      <c r="A309" s="55" t="s">
        <v>403</v>
      </c>
      <c r="B309" s="56" t="s">
        <v>626</v>
      </c>
      <c r="C309" s="56" t="s">
        <v>152</v>
      </c>
      <c r="D309" s="56" t="s">
        <v>619</v>
      </c>
      <c r="E309" s="56" t="s">
        <v>620</v>
      </c>
      <c r="F309" s="230" t="s">
        <v>215</v>
      </c>
      <c r="G309" s="230" t="s">
        <v>67</v>
      </c>
    </row>
    <row r="310" spans="1:7" x14ac:dyDescent="0.25">
      <c r="A310" s="55" t="s">
        <v>476</v>
      </c>
      <c r="B310" s="56" t="s">
        <v>639</v>
      </c>
      <c r="C310" s="56" t="s">
        <v>126</v>
      </c>
      <c r="D310" s="56" t="s">
        <v>613</v>
      </c>
      <c r="E310" s="56" t="s">
        <v>614</v>
      </c>
      <c r="F310" s="230" t="s">
        <v>219</v>
      </c>
      <c r="G310" s="230" t="s">
        <v>67</v>
      </c>
    </row>
    <row r="311" spans="1:7" x14ac:dyDescent="0.25">
      <c r="A311" s="55" t="s">
        <v>477</v>
      </c>
      <c r="B311" s="56" t="s">
        <v>650</v>
      </c>
      <c r="C311" s="56" t="s">
        <v>135</v>
      </c>
      <c r="D311" s="56" t="s">
        <v>622</v>
      </c>
      <c r="E311" s="56" t="s">
        <v>623</v>
      </c>
      <c r="F311" s="230" t="s">
        <v>223</v>
      </c>
      <c r="G311" s="230" t="s">
        <v>67</v>
      </c>
    </row>
    <row r="312" spans="1:7" x14ac:dyDescent="0.25">
      <c r="A312" s="55" t="s">
        <v>478</v>
      </c>
      <c r="B312" s="56" t="s">
        <v>653</v>
      </c>
      <c r="C312" s="56" t="s">
        <v>142</v>
      </c>
      <c r="D312" s="56" t="s">
        <v>619</v>
      </c>
      <c r="E312" s="56" t="s">
        <v>620</v>
      </c>
      <c r="F312" s="230" t="s">
        <v>224</v>
      </c>
      <c r="G312" s="230" t="s">
        <v>67</v>
      </c>
    </row>
    <row r="313" spans="1:7" x14ac:dyDescent="0.25">
      <c r="A313" s="55" t="s">
        <v>479</v>
      </c>
      <c r="B313" s="56" t="s">
        <v>640</v>
      </c>
      <c r="C313" s="56" t="s">
        <v>156</v>
      </c>
      <c r="D313" s="56" t="s">
        <v>616</v>
      </c>
      <c r="E313" s="56" t="s">
        <v>617</v>
      </c>
      <c r="F313" s="230" t="s">
        <v>225</v>
      </c>
      <c r="G313" s="230" t="s">
        <v>67</v>
      </c>
    </row>
    <row r="314" spans="1:7" x14ac:dyDescent="0.25">
      <c r="A314" s="55" t="s">
        <v>480</v>
      </c>
      <c r="B314" s="56" t="s">
        <v>650</v>
      </c>
      <c r="C314" s="56" t="s">
        <v>135</v>
      </c>
      <c r="D314" s="56" t="s">
        <v>622</v>
      </c>
      <c r="E314" s="56" t="s">
        <v>623</v>
      </c>
      <c r="F314" s="230" t="s">
        <v>237</v>
      </c>
      <c r="G314" s="230" t="s">
        <v>67</v>
      </c>
    </row>
    <row r="315" spans="1:7" x14ac:dyDescent="0.25">
      <c r="A315" s="55" t="s">
        <v>481</v>
      </c>
      <c r="B315" s="56" t="s">
        <v>637</v>
      </c>
      <c r="C315" s="56" t="s">
        <v>162</v>
      </c>
      <c r="D315" s="56" t="s">
        <v>616</v>
      </c>
      <c r="E315" s="56" t="s">
        <v>617</v>
      </c>
      <c r="F315" s="230" t="s">
        <v>239</v>
      </c>
      <c r="G315" s="230" t="s">
        <v>67</v>
      </c>
    </row>
    <row r="316" spans="1:7" x14ac:dyDescent="0.25">
      <c r="A316" s="55" t="s">
        <v>482</v>
      </c>
      <c r="B316" s="56" t="s">
        <v>631</v>
      </c>
      <c r="C316" s="56" t="s">
        <v>70</v>
      </c>
      <c r="D316" s="56" t="s">
        <v>619</v>
      </c>
      <c r="E316" s="56" t="s">
        <v>620</v>
      </c>
      <c r="F316" s="230" t="s">
        <v>251</v>
      </c>
      <c r="G316" s="230" t="s">
        <v>67</v>
      </c>
    </row>
    <row r="317" spans="1:7" x14ac:dyDescent="0.25">
      <c r="A317" s="55" t="s">
        <v>483</v>
      </c>
      <c r="B317" s="56" t="s">
        <v>626</v>
      </c>
      <c r="C317" s="56" t="s">
        <v>152</v>
      </c>
      <c r="D317" s="56" t="s">
        <v>619</v>
      </c>
      <c r="E317" s="56" t="s">
        <v>620</v>
      </c>
      <c r="F317" s="230" t="s">
        <v>257</v>
      </c>
      <c r="G317" s="230" t="s">
        <v>67</v>
      </c>
    </row>
    <row r="318" spans="1:7" x14ac:dyDescent="0.25">
      <c r="A318" s="55" t="s">
        <v>484</v>
      </c>
      <c r="B318" s="56" t="s">
        <v>655</v>
      </c>
      <c r="C318" s="56" t="s">
        <v>130</v>
      </c>
      <c r="D318" s="56" t="s">
        <v>613</v>
      </c>
      <c r="E318" s="56" t="s">
        <v>614</v>
      </c>
      <c r="F318" s="230" t="s">
        <v>261</v>
      </c>
      <c r="G318" s="230" t="s">
        <v>67</v>
      </c>
    </row>
    <row r="319" spans="1:7" x14ac:dyDescent="0.25">
      <c r="A319" s="55" t="s">
        <v>486</v>
      </c>
      <c r="B319" s="56" t="s">
        <v>662</v>
      </c>
      <c r="C319" s="56" t="s">
        <v>663</v>
      </c>
      <c r="D319" s="56" t="s">
        <v>619</v>
      </c>
      <c r="E319" s="56" t="s">
        <v>620</v>
      </c>
      <c r="F319" s="230" t="s">
        <v>270</v>
      </c>
      <c r="G319" s="230" t="s">
        <v>67</v>
      </c>
    </row>
    <row r="320" spans="1:7" x14ac:dyDescent="0.25">
      <c r="A320" s="55" t="s">
        <v>487</v>
      </c>
      <c r="B320" s="56" t="s">
        <v>624</v>
      </c>
      <c r="C320" s="56" t="s">
        <v>129</v>
      </c>
      <c r="D320" s="56" t="s">
        <v>613</v>
      </c>
      <c r="E320" s="56" t="s">
        <v>614</v>
      </c>
      <c r="F320" s="230" t="s">
        <v>272</v>
      </c>
      <c r="G320" s="230" t="s">
        <v>67</v>
      </c>
    </row>
    <row r="321" spans="1:7" x14ac:dyDescent="0.25">
      <c r="A321" s="55" t="s">
        <v>488</v>
      </c>
      <c r="B321" s="56" t="s">
        <v>653</v>
      </c>
      <c r="C321" s="56" t="s">
        <v>142</v>
      </c>
      <c r="D321" s="56" t="s">
        <v>619</v>
      </c>
      <c r="E321" s="56" t="s">
        <v>620</v>
      </c>
      <c r="F321" s="230" t="s">
        <v>279</v>
      </c>
      <c r="G321" s="230" t="s">
        <v>67</v>
      </c>
    </row>
    <row r="322" spans="1:7" x14ac:dyDescent="0.25">
      <c r="A322" s="55" t="s">
        <v>489</v>
      </c>
      <c r="B322" s="56" t="s">
        <v>659</v>
      </c>
      <c r="C322" s="56" t="s">
        <v>660</v>
      </c>
      <c r="D322" s="56" t="s">
        <v>619</v>
      </c>
      <c r="E322" s="56" t="s">
        <v>620</v>
      </c>
      <c r="F322" s="230" t="s">
        <v>282</v>
      </c>
      <c r="G322" s="230" t="s">
        <v>67</v>
      </c>
    </row>
    <row r="323" spans="1:7" x14ac:dyDescent="0.25">
      <c r="A323" s="55" t="s">
        <v>490</v>
      </c>
      <c r="B323" s="56" t="s">
        <v>647</v>
      </c>
      <c r="C323" s="56" t="s">
        <v>155</v>
      </c>
      <c r="D323" s="56" t="s">
        <v>619</v>
      </c>
      <c r="E323" s="56" t="s">
        <v>620</v>
      </c>
      <c r="F323" s="230" t="s">
        <v>284</v>
      </c>
      <c r="G323" s="230" t="s">
        <v>67</v>
      </c>
    </row>
    <row r="324" spans="1:7" x14ac:dyDescent="0.25">
      <c r="A324" s="55" t="s">
        <v>491</v>
      </c>
      <c r="B324" s="56" t="s">
        <v>648</v>
      </c>
      <c r="C324" s="56" t="s">
        <v>649</v>
      </c>
      <c r="D324" s="56" t="s">
        <v>622</v>
      </c>
      <c r="E324" s="56" t="s">
        <v>623</v>
      </c>
      <c r="F324" s="230" t="s">
        <v>285</v>
      </c>
      <c r="G324" s="230" t="s">
        <v>67</v>
      </c>
    </row>
    <row r="325" spans="1:7" x14ac:dyDescent="0.25">
      <c r="A325" s="55" t="s">
        <v>492</v>
      </c>
      <c r="B325" s="56" t="s">
        <v>615</v>
      </c>
      <c r="C325" s="56" t="s">
        <v>157</v>
      </c>
      <c r="D325" s="56" t="s">
        <v>616</v>
      </c>
      <c r="E325" s="56" t="s">
        <v>617</v>
      </c>
      <c r="F325" s="230" t="s">
        <v>288</v>
      </c>
      <c r="G325" s="230" t="s">
        <v>67</v>
      </c>
    </row>
    <row r="326" spans="1:7" x14ac:dyDescent="0.25">
      <c r="A326" s="55" t="s">
        <v>493</v>
      </c>
      <c r="B326" s="56" t="s">
        <v>628</v>
      </c>
      <c r="C326" s="56" t="s">
        <v>137</v>
      </c>
      <c r="D326" s="56" t="s">
        <v>622</v>
      </c>
      <c r="E326" s="56" t="s">
        <v>623</v>
      </c>
      <c r="F326" s="230" t="s">
        <v>291</v>
      </c>
      <c r="G326" s="230" t="s">
        <v>67</v>
      </c>
    </row>
    <row r="327" spans="1:7" x14ac:dyDescent="0.25">
      <c r="A327" s="55" t="s">
        <v>494</v>
      </c>
      <c r="B327" s="56" t="s">
        <v>628</v>
      </c>
      <c r="C327" s="56" t="s">
        <v>137</v>
      </c>
      <c r="D327" s="56" t="s">
        <v>622</v>
      </c>
      <c r="E327" s="56" t="s">
        <v>623</v>
      </c>
      <c r="F327" s="230" t="s">
        <v>294</v>
      </c>
      <c r="G327" s="230" t="s">
        <v>67</v>
      </c>
    </row>
    <row r="328" spans="1:7" x14ac:dyDescent="0.25">
      <c r="A328" s="55" t="s">
        <v>495</v>
      </c>
      <c r="B328" s="56" t="s">
        <v>612</v>
      </c>
      <c r="C328" s="56" t="s">
        <v>132</v>
      </c>
      <c r="D328" s="56" t="s">
        <v>613</v>
      </c>
      <c r="E328" s="56" t="s">
        <v>614</v>
      </c>
      <c r="F328" s="230" t="s">
        <v>299</v>
      </c>
      <c r="G328" s="230" t="s">
        <v>67</v>
      </c>
    </row>
    <row r="329" spans="1:7" x14ac:dyDescent="0.25">
      <c r="A329" s="55" t="s">
        <v>496</v>
      </c>
      <c r="B329" s="56" t="s">
        <v>624</v>
      </c>
      <c r="C329" s="56" t="s">
        <v>129</v>
      </c>
      <c r="D329" s="56" t="s">
        <v>613</v>
      </c>
      <c r="E329" s="56" t="s">
        <v>614</v>
      </c>
      <c r="F329" s="230" t="s">
        <v>303</v>
      </c>
      <c r="G329" s="230" t="s">
        <v>67</v>
      </c>
    </row>
    <row r="330" spans="1:7" x14ac:dyDescent="0.25">
      <c r="A330" s="55" t="s">
        <v>497</v>
      </c>
      <c r="B330" s="56" t="s">
        <v>641</v>
      </c>
      <c r="C330" s="56" t="s">
        <v>158</v>
      </c>
      <c r="D330" s="56" t="s">
        <v>616</v>
      </c>
      <c r="E330" s="56" t="s">
        <v>617</v>
      </c>
      <c r="F330" s="230" t="s">
        <v>316</v>
      </c>
      <c r="G330" s="230" t="s">
        <v>67</v>
      </c>
    </row>
    <row r="331" spans="1:7" x14ac:dyDescent="0.25">
      <c r="A331" s="55" t="s">
        <v>498</v>
      </c>
      <c r="B331" s="56" t="s">
        <v>642</v>
      </c>
      <c r="C331" s="56" t="s">
        <v>643</v>
      </c>
      <c r="D331" s="56" t="s">
        <v>619</v>
      </c>
      <c r="E331" s="56" t="s">
        <v>620</v>
      </c>
      <c r="F331" s="230" t="s">
        <v>320</v>
      </c>
      <c r="G331" s="230" t="s">
        <v>67</v>
      </c>
    </row>
    <row r="332" spans="1:7" x14ac:dyDescent="0.25">
      <c r="A332" s="55" t="s">
        <v>499</v>
      </c>
      <c r="B332" s="56" t="s">
        <v>618</v>
      </c>
      <c r="C332" s="56" t="s">
        <v>147</v>
      </c>
      <c r="D332" s="56" t="s">
        <v>619</v>
      </c>
      <c r="E332" s="56" t="s">
        <v>620</v>
      </c>
      <c r="F332" s="230" t="s">
        <v>463</v>
      </c>
      <c r="G332" s="230" t="s">
        <v>67</v>
      </c>
    </row>
    <row r="333" spans="1:7" x14ac:dyDescent="0.25">
      <c r="A333" s="55" t="s">
        <v>500</v>
      </c>
      <c r="B333" s="56" t="s">
        <v>629</v>
      </c>
      <c r="C333" s="56" t="s">
        <v>62</v>
      </c>
      <c r="D333" s="56" t="s">
        <v>622</v>
      </c>
      <c r="E333" s="56" t="s">
        <v>623</v>
      </c>
      <c r="F333" s="230" t="s">
        <v>325</v>
      </c>
      <c r="G333" s="230" t="s">
        <v>67</v>
      </c>
    </row>
    <row r="334" spans="1:7" x14ac:dyDescent="0.25">
      <c r="A334" s="55" t="s">
        <v>70</v>
      </c>
      <c r="B334" s="56" t="s">
        <v>631</v>
      </c>
      <c r="C334" s="56" t="s">
        <v>70</v>
      </c>
      <c r="D334" s="56" t="s">
        <v>619</v>
      </c>
      <c r="E334" s="56" t="s">
        <v>620</v>
      </c>
      <c r="F334" s="230" t="s">
        <v>327</v>
      </c>
      <c r="G334" s="230" t="s">
        <v>67</v>
      </c>
    </row>
    <row r="335" spans="1:7" x14ac:dyDescent="0.25">
      <c r="A335" s="55" t="s">
        <v>501</v>
      </c>
      <c r="B335" s="56" t="s">
        <v>631</v>
      </c>
      <c r="C335" s="56" t="s">
        <v>70</v>
      </c>
      <c r="D335" s="56" t="s">
        <v>619</v>
      </c>
      <c r="E335" s="56" t="s">
        <v>620</v>
      </c>
      <c r="F335" s="230" t="s">
        <v>349</v>
      </c>
      <c r="G335" s="230" t="s">
        <v>67</v>
      </c>
    </row>
    <row r="336" spans="1:7" x14ac:dyDescent="0.25">
      <c r="A336" s="55" t="s">
        <v>502</v>
      </c>
      <c r="B336" s="56" t="s">
        <v>637</v>
      </c>
      <c r="C336" s="56" t="s">
        <v>162</v>
      </c>
      <c r="D336" s="56" t="s">
        <v>616</v>
      </c>
      <c r="E336" s="56" t="s">
        <v>617</v>
      </c>
      <c r="F336" s="230" t="s">
        <v>350</v>
      </c>
      <c r="G336" s="230" t="s">
        <v>67</v>
      </c>
    </row>
    <row r="337" spans="1:7" x14ac:dyDescent="0.25">
      <c r="A337" s="55" t="s">
        <v>503</v>
      </c>
      <c r="B337" s="56" t="s">
        <v>637</v>
      </c>
      <c r="C337" s="56" t="s">
        <v>162</v>
      </c>
      <c r="D337" s="56" t="s">
        <v>616</v>
      </c>
      <c r="E337" s="56" t="s">
        <v>617</v>
      </c>
      <c r="F337" s="230" t="s">
        <v>371</v>
      </c>
      <c r="G337" s="230" t="s">
        <v>67</v>
      </c>
    </row>
    <row r="338" spans="1:7" x14ac:dyDescent="0.25">
      <c r="A338" s="55" t="s">
        <v>504</v>
      </c>
      <c r="B338" s="56" t="s">
        <v>635</v>
      </c>
      <c r="C338" s="56" t="s">
        <v>159</v>
      </c>
      <c r="D338" s="56" t="s">
        <v>616</v>
      </c>
      <c r="E338" s="56" t="s">
        <v>617</v>
      </c>
      <c r="F338" s="230" t="s">
        <v>388</v>
      </c>
      <c r="G338" s="230" t="s">
        <v>67</v>
      </c>
    </row>
    <row r="339" spans="1:7" x14ac:dyDescent="0.25">
      <c r="A339" s="55" t="s">
        <v>505</v>
      </c>
      <c r="B339" s="56" t="s">
        <v>639</v>
      </c>
      <c r="C339" s="56" t="s">
        <v>126</v>
      </c>
      <c r="D339" s="56" t="s">
        <v>613</v>
      </c>
      <c r="E339" s="56" t="s">
        <v>614</v>
      </c>
      <c r="F339" s="230" t="s">
        <v>389</v>
      </c>
      <c r="G339" s="230" t="s">
        <v>67</v>
      </c>
    </row>
    <row r="340" spans="1:7" x14ac:dyDescent="0.25">
      <c r="A340" s="55" t="s">
        <v>506</v>
      </c>
      <c r="B340" s="56" t="s">
        <v>631</v>
      </c>
      <c r="C340" s="56" t="s">
        <v>70</v>
      </c>
      <c r="D340" s="56" t="s">
        <v>619</v>
      </c>
      <c r="E340" s="56" t="s">
        <v>620</v>
      </c>
      <c r="F340" s="230" t="s">
        <v>409</v>
      </c>
      <c r="G340" s="230" t="s">
        <v>67</v>
      </c>
    </row>
    <row r="341" spans="1:7" x14ac:dyDescent="0.25">
      <c r="A341" s="55" t="s">
        <v>507</v>
      </c>
      <c r="B341" s="56" t="s">
        <v>647</v>
      </c>
      <c r="C341" s="56" t="s">
        <v>155</v>
      </c>
      <c r="D341" s="56" t="s">
        <v>619</v>
      </c>
      <c r="E341" s="56" t="s">
        <v>620</v>
      </c>
      <c r="F341" s="230" t="s">
        <v>413</v>
      </c>
      <c r="G341" s="230" t="s">
        <v>67</v>
      </c>
    </row>
    <row r="342" spans="1:7" x14ac:dyDescent="0.25">
      <c r="A342" s="55" t="s">
        <v>508</v>
      </c>
      <c r="B342" s="56" t="s">
        <v>641</v>
      </c>
      <c r="C342" s="56" t="s">
        <v>158</v>
      </c>
      <c r="D342" s="56" t="s">
        <v>616</v>
      </c>
      <c r="E342" s="56" t="s">
        <v>617</v>
      </c>
      <c r="F342" s="230" t="s">
        <v>414</v>
      </c>
      <c r="G342" s="230" t="s">
        <v>67</v>
      </c>
    </row>
    <row r="343" spans="1:7" x14ac:dyDescent="0.25">
      <c r="A343" s="55" t="s">
        <v>509</v>
      </c>
      <c r="B343" s="56" t="s">
        <v>635</v>
      </c>
      <c r="C343" s="56" t="s">
        <v>159</v>
      </c>
      <c r="D343" s="56" t="s">
        <v>616</v>
      </c>
      <c r="E343" s="56" t="s">
        <v>617</v>
      </c>
      <c r="F343" s="230" t="s">
        <v>422</v>
      </c>
      <c r="G343" s="230" t="s">
        <v>67</v>
      </c>
    </row>
    <row r="344" spans="1:7" x14ac:dyDescent="0.25">
      <c r="A344" s="55" t="s">
        <v>510</v>
      </c>
      <c r="B344" s="56" t="s">
        <v>642</v>
      </c>
      <c r="C344" s="56" t="s">
        <v>643</v>
      </c>
      <c r="D344" s="56" t="s">
        <v>619</v>
      </c>
      <c r="E344" s="56" t="s">
        <v>620</v>
      </c>
      <c r="F344" s="230" t="s">
        <v>427</v>
      </c>
      <c r="G344" s="230" t="s">
        <v>67</v>
      </c>
    </row>
    <row r="345" spans="1:7" x14ac:dyDescent="0.25">
      <c r="A345" s="55" t="s">
        <v>511</v>
      </c>
      <c r="B345" s="56" t="s">
        <v>638</v>
      </c>
      <c r="C345" s="56" t="s">
        <v>160</v>
      </c>
      <c r="D345" s="56" t="s">
        <v>616</v>
      </c>
      <c r="E345" s="56" t="s">
        <v>617</v>
      </c>
      <c r="F345" s="230" t="s">
        <v>443</v>
      </c>
      <c r="G345" s="230" t="s">
        <v>67</v>
      </c>
    </row>
    <row r="346" spans="1:7" x14ac:dyDescent="0.25">
      <c r="A346" s="55" t="s">
        <v>512</v>
      </c>
      <c r="B346" s="56" t="s">
        <v>638</v>
      </c>
      <c r="C346" s="56" t="s">
        <v>160</v>
      </c>
      <c r="D346" s="56" t="s">
        <v>616</v>
      </c>
      <c r="E346" s="56" t="s">
        <v>617</v>
      </c>
      <c r="F346" s="230" t="s">
        <v>452</v>
      </c>
      <c r="G346" s="230" t="s">
        <v>67</v>
      </c>
    </row>
    <row r="347" spans="1:7" x14ac:dyDescent="0.25">
      <c r="A347" s="55" t="s">
        <v>513</v>
      </c>
      <c r="B347" s="56" t="s">
        <v>631</v>
      </c>
      <c r="C347" s="56" t="s">
        <v>70</v>
      </c>
      <c r="D347" s="56" t="s">
        <v>619</v>
      </c>
      <c r="E347" s="56" t="s">
        <v>620</v>
      </c>
      <c r="F347" s="230" t="s">
        <v>454</v>
      </c>
      <c r="G347" s="230" t="s">
        <v>67</v>
      </c>
    </row>
    <row r="348" spans="1:7" x14ac:dyDescent="0.25">
      <c r="A348" s="55" t="s">
        <v>514</v>
      </c>
      <c r="B348" s="56" t="s">
        <v>626</v>
      </c>
      <c r="C348" s="56" t="s">
        <v>152</v>
      </c>
      <c r="D348" s="56" t="s">
        <v>619</v>
      </c>
      <c r="E348" s="56" t="s">
        <v>620</v>
      </c>
      <c r="F348" s="230" t="s">
        <v>459</v>
      </c>
      <c r="G348" s="230" t="s">
        <v>67</v>
      </c>
    </row>
    <row r="349" spans="1:7" x14ac:dyDescent="0.25">
      <c r="A349" s="55" t="s">
        <v>515</v>
      </c>
      <c r="B349" s="56" t="s">
        <v>639</v>
      </c>
      <c r="C349" s="56" t="s">
        <v>126</v>
      </c>
      <c r="D349" s="56" t="s">
        <v>613</v>
      </c>
      <c r="E349" s="56" t="s">
        <v>614</v>
      </c>
      <c r="F349" s="230" t="s">
        <v>465</v>
      </c>
      <c r="G349" s="230" t="s">
        <v>67</v>
      </c>
    </row>
    <row r="350" spans="1:7" x14ac:dyDescent="0.25">
      <c r="A350" s="55" t="s">
        <v>516</v>
      </c>
      <c r="B350" s="56" t="s">
        <v>624</v>
      </c>
      <c r="C350" s="56" t="s">
        <v>129</v>
      </c>
      <c r="D350" s="56" t="s">
        <v>613</v>
      </c>
      <c r="E350" s="56" t="s">
        <v>614</v>
      </c>
      <c r="F350" s="230" t="s">
        <v>466</v>
      </c>
      <c r="G350" s="230" t="s">
        <v>67</v>
      </c>
    </row>
    <row r="351" spans="1:7" x14ac:dyDescent="0.25">
      <c r="A351" s="55" t="s">
        <v>517</v>
      </c>
      <c r="B351" s="56" t="s">
        <v>647</v>
      </c>
      <c r="C351" s="56" t="s">
        <v>155</v>
      </c>
      <c r="D351" s="56" t="s">
        <v>619</v>
      </c>
      <c r="E351" s="56" t="s">
        <v>620</v>
      </c>
      <c r="F351" s="230" t="s">
        <v>467</v>
      </c>
      <c r="G351" s="230" t="s">
        <v>67</v>
      </c>
    </row>
    <row r="352" spans="1:7" x14ac:dyDescent="0.25">
      <c r="A352" s="55" t="s">
        <v>518</v>
      </c>
      <c r="B352" s="56" t="s">
        <v>637</v>
      </c>
      <c r="C352" s="56" t="s">
        <v>162</v>
      </c>
      <c r="D352" s="56" t="s">
        <v>616</v>
      </c>
      <c r="E352" s="56" t="s">
        <v>617</v>
      </c>
      <c r="F352" s="230" t="s">
        <v>474</v>
      </c>
      <c r="G352" s="230" t="s">
        <v>67</v>
      </c>
    </row>
    <row r="353" spans="1:7" x14ac:dyDescent="0.25">
      <c r="A353" s="55" t="s">
        <v>519</v>
      </c>
      <c r="B353" s="56" t="s">
        <v>659</v>
      </c>
      <c r="C353" s="56" t="s">
        <v>660</v>
      </c>
      <c r="D353" s="56" t="s">
        <v>619</v>
      </c>
      <c r="E353" s="56" t="s">
        <v>620</v>
      </c>
      <c r="F353" s="230" t="s">
        <v>475</v>
      </c>
      <c r="G353" s="230" t="s">
        <v>67</v>
      </c>
    </row>
    <row r="354" spans="1:7" x14ac:dyDescent="0.25">
      <c r="A354" s="55" t="s">
        <v>520</v>
      </c>
      <c r="B354" s="56" t="s">
        <v>632</v>
      </c>
      <c r="C354" s="56" t="s">
        <v>138</v>
      </c>
      <c r="D354" s="56" t="s">
        <v>622</v>
      </c>
      <c r="E354" s="56" t="s">
        <v>623</v>
      </c>
      <c r="F354" s="230" t="s">
        <v>479</v>
      </c>
      <c r="G354" s="230" t="s">
        <v>67</v>
      </c>
    </row>
    <row r="355" spans="1:7" x14ac:dyDescent="0.25">
      <c r="A355" s="55" t="s">
        <v>521</v>
      </c>
      <c r="B355" s="56" t="s">
        <v>641</v>
      </c>
      <c r="C355" s="56" t="s">
        <v>158</v>
      </c>
      <c r="D355" s="56" t="s">
        <v>616</v>
      </c>
      <c r="E355" s="56" t="s">
        <v>617</v>
      </c>
      <c r="F355" s="230" t="s">
        <v>492</v>
      </c>
      <c r="G355" s="230" t="s">
        <v>67</v>
      </c>
    </row>
    <row r="356" spans="1:7" x14ac:dyDescent="0.25">
      <c r="A356" s="55" t="s">
        <v>522</v>
      </c>
      <c r="B356" s="56" t="s">
        <v>635</v>
      </c>
      <c r="C356" s="56" t="s">
        <v>159</v>
      </c>
      <c r="D356" s="56" t="s">
        <v>616</v>
      </c>
      <c r="E356" s="56" t="s">
        <v>617</v>
      </c>
      <c r="F356" s="230" t="s">
        <v>497</v>
      </c>
      <c r="G356" s="230" t="s">
        <v>67</v>
      </c>
    </row>
    <row r="357" spans="1:7" x14ac:dyDescent="0.25">
      <c r="A357" s="55" t="s">
        <v>523</v>
      </c>
      <c r="B357" s="56" t="s">
        <v>615</v>
      </c>
      <c r="C357" s="56" t="s">
        <v>157</v>
      </c>
      <c r="D357" s="56" t="s">
        <v>616</v>
      </c>
      <c r="E357" s="56" t="s">
        <v>617</v>
      </c>
      <c r="F357" s="230" t="s">
        <v>504</v>
      </c>
      <c r="G357" s="230" t="s">
        <v>67</v>
      </c>
    </row>
    <row r="358" spans="1:7" x14ac:dyDescent="0.25">
      <c r="A358" s="55" t="s">
        <v>524</v>
      </c>
      <c r="B358" s="56" t="s">
        <v>630</v>
      </c>
      <c r="C358" s="56" t="s">
        <v>151</v>
      </c>
      <c r="D358" s="56" t="s">
        <v>619</v>
      </c>
      <c r="E358" s="56" t="s">
        <v>620</v>
      </c>
      <c r="F358" s="230" t="s">
        <v>508</v>
      </c>
      <c r="G358" s="230" t="s">
        <v>67</v>
      </c>
    </row>
    <row r="359" spans="1:7" x14ac:dyDescent="0.25">
      <c r="A359" s="55" t="s">
        <v>525</v>
      </c>
      <c r="B359" s="56" t="s">
        <v>632</v>
      </c>
      <c r="C359" s="56" t="s">
        <v>138</v>
      </c>
      <c r="D359" s="56" t="s">
        <v>622</v>
      </c>
      <c r="E359" s="56" t="s">
        <v>623</v>
      </c>
      <c r="F359" s="230" t="s">
        <v>509</v>
      </c>
      <c r="G359" s="230" t="s">
        <v>67</v>
      </c>
    </row>
    <row r="360" spans="1:7" x14ac:dyDescent="0.25">
      <c r="A360" s="55" t="s">
        <v>526</v>
      </c>
      <c r="B360" s="56" t="s">
        <v>657</v>
      </c>
      <c r="C360" s="56" t="s">
        <v>93</v>
      </c>
      <c r="D360" s="56" t="s">
        <v>619</v>
      </c>
      <c r="E360" s="56" t="s">
        <v>620</v>
      </c>
      <c r="F360" s="230" t="s">
        <v>521</v>
      </c>
      <c r="G360" s="230" t="s">
        <v>67</v>
      </c>
    </row>
    <row r="361" spans="1:7" x14ac:dyDescent="0.25">
      <c r="A361" s="55" t="s">
        <v>527</v>
      </c>
      <c r="B361" s="56" t="s">
        <v>618</v>
      </c>
      <c r="C361" s="56" t="s">
        <v>147</v>
      </c>
      <c r="D361" s="56" t="s">
        <v>619</v>
      </c>
      <c r="E361" s="56" t="s">
        <v>620</v>
      </c>
      <c r="F361" s="230" t="s">
        <v>522</v>
      </c>
      <c r="G361" s="230" t="s">
        <v>67</v>
      </c>
    </row>
    <row r="362" spans="1:7" x14ac:dyDescent="0.25">
      <c r="A362" s="55" t="s">
        <v>528</v>
      </c>
      <c r="B362" s="56" t="s">
        <v>654</v>
      </c>
      <c r="C362" s="56" t="s">
        <v>161</v>
      </c>
      <c r="D362" s="56" t="s">
        <v>616</v>
      </c>
      <c r="E362" s="56" t="s">
        <v>617</v>
      </c>
      <c r="F362" s="230" t="s">
        <v>523</v>
      </c>
      <c r="G362" s="230" t="s">
        <v>67</v>
      </c>
    </row>
    <row r="363" spans="1:7" x14ac:dyDescent="0.25">
      <c r="A363" s="55" t="s">
        <v>529</v>
      </c>
      <c r="B363" s="56" t="s">
        <v>644</v>
      </c>
      <c r="C363" s="56" t="s">
        <v>148</v>
      </c>
      <c r="D363" s="56" t="s">
        <v>619</v>
      </c>
      <c r="E363" s="56" t="s">
        <v>620</v>
      </c>
      <c r="F363" s="230" t="s">
        <v>530</v>
      </c>
      <c r="G363" s="230" t="s">
        <v>67</v>
      </c>
    </row>
    <row r="364" spans="1:7" x14ac:dyDescent="0.25">
      <c r="A364" s="55" t="s">
        <v>530</v>
      </c>
      <c r="B364" s="56" t="s">
        <v>615</v>
      </c>
      <c r="C364" s="56" t="s">
        <v>157</v>
      </c>
      <c r="D364" s="56" t="s">
        <v>616</v>
      </c>
      <c r="E364" s="56" t="s">
        <v>617</v>
      </c>
      <c r="F364" s="230" t="s">
        <v>543</v>
      </c>
      <c r="G364" s="230" t="s">
        <v>67</v>
      </c>
    </row>
    <row r="365" spans="1:7" x14ac:dyDescent="0.25">
      <c r="A365" s="55" t="s">
        <v>531</v>
      </c>
      <c r="B365" s="56" t="s">
        <v>648</v>
      </c>
      <c r="C365" s="56" t="s">
        <v>649</v>
      </c>
      <c r="D365" s="56" t="s">
        <v>622</v>
      </c>
      <c r="E365" s="56" t="s">
        <v>623</v>
      </c>
      <c r="F365" s="230" t="s">
        <v>547</v>
      </c>
      <c r="G365" s="230" t="s">
        <v>67</v>
      </c>
    </row>
    <row r="366" spans="1:7" x14ac:dyDescent="0.25">
      <c r="A366" s="55" t="s">
        <v>532</v>
      </c>
      <c r="B366" s="56" t="s">
        <v>661</v>
      </c>
      <c r="C366" s="56" t="s">
        <v>134</v>
      </c>
      <c r="D366" s="56" t="s">
        <v>613</v>
      </c>
      <c r="E366" s="56" t="s">
        <v>614</v>
      </c>
      <c r="F366" s="230" t="s">
        <v>560</v>
      </c>
      <c r="G366" s="230" t="s">
        <v>67</v>
      </c>
    </row>
    <row r="367" spans="1:7" x14ac:dyDescent="0.25">
      <c r="A367" s="55" t="s">
        <v>533</v>
      </c>
      <c r="B367" s="56" t="s">
        <v>634</v>
      </c>
      <c r="C367" s="56" t="s">
        <v>140</v>
      </c>
      <c r="D367" s="56" t="s">
        <v>622</v>
      </c>
      <c r="E367" s="56" t="s">
        <v>623</v>
      </c>
      <c r="F367" s="230" t="s">
        <v>201</v>
      </c>
      <c r="G367" s="230" t="s">
        <v>66</v>
      </c>
    </row>
    <row r="368" spans="1:7" x14ac:dyDescent="0.25">
      <c r="A368" s="55" t="s">
        <v>534</v>
      </c>
      <c r="B368" s="56" t="s">
        <v>651</v>
      </c>
      <c r="C368" s="56" t="s">
        <v>150</v>
      </c>
      <c r="D368" s="56" t="s">
        <v>619</v>
      </c>
      <c r="E368" s="56" t="s">
        <v>620</v>
      </c>
      <c r="F368" s="230" t="s">
        <v>203</v>
      </c>
      <c r="G368" s="230" t="s">
        <v>66</v>
      </c>
    </row>
    <row r="369" spans="1:7" x14ac:dyDescent="0.25">
      <c r="A369" s="55" t="s">
        <v>535</v>
      </c>
      <c r="B369" s="56" t="s">
        <v>658</v>
      </c>
      <c r="C369" s="56" t="s">
        <v>131</v>
      </c>
      <c r="D369" s="56" t="s">
        <v>613</v>
      </c>
      <c r="E369" s="56" t="s">
        <v>614</v>
      </c>
      <c r="F369" s="230" t="s">
        <v>206</v>
      </c>
      <c r="G369" s="230" t="s">
        <v>66</v>
      </c>
    </row>
    <row r="370" spans="1:7" x14ac:dyDescent="0.25">
      <c r="A370" s="55" t="s">
        <v>536</v>
      </c>
      <c r="B370" s="56" t="s">
        <v>626</v>
      </c>
      <c r="C370" s="56" t="s">
        <v>152</v>
      </c>
      <c r="D370" s="56" t="s">
        <v>619</v>
      </c>
      <c r="E370" s="56" t="s">
        <v>620</v>
      </c>
      <c r="F370" s="230" t="s">
        <v>229</v>
      </c>
      <c r="G370" s="230" t="s">
        <v>66</v>
      </c>
    </row>
    <row r="371" spans="1:7" x14ac:dyDescent="0.25">
      <c r="A371" s="55" t="s">
        <v>537</v>
      </c>
      <c r="B371" s="56" t="s">
        <v>628</v>
      </c>
      <c r="C371" s="56" t="s">
        <v>137</v>
      </c>
      <c r="D371" s="56" t="s">
        <v>622</v>
      </c>
      <c r="E371" s="56" t="s">
        <v>623</v>
      </c>
      <c r="F371" s="230" t="s">
        <v>265</v>
      </c>
      <c r="G371" s="230" t="s">
        <v>66</v>
      </c>
    </row>
    <row r="372" spans="1:7" x14ac:dyDescent="0.25">
      <c r="A372" s="55" t="s">
        <v>538</v>
      </c>
      <c r="B372" s="56" t="s">
        <v>634</v>
      </c>
      <c r="C372" s="56" t="s">
        <v>140</v>
      </c>
      <c r="D372" s="56" t="s">
        <v>622</v>
      </c>
      <c r="E372" s="56" t="s">
        <v>623</v>
      </c>
      <c r="F372" s="230" t="s">
        <v>271</v>
      </c>
      <c r="G372" s="230" t="s">
        <v>66</v>
      </c>
    </row>
    <row r="373" spans="1:7" x14ac:dyDescent="0.25">
      <c r="A373" s="55" t="s">
        <v>539</v>
      </c>
      <c r="B373" s="56" t="s">
        <v>644</v>
      </c>
      <c r="C373" s="56" t="s">
        <v>148</v>
      </c>
      <c r="D373" s="56" t="s">
        <v>619</v>
      </c>
      <c r="E373" s="56" t="s">
        <v>620</v>
      </c>
      <c r="F373" s="230" t="s">
        <v>286</v>
      </c>
      <c r="G373" s="230" t="s">
        <v>66</v>
      </c>
    </row>
    <row r="374" spans="1:7" x14ac:dyDescent="0.25">
      <c r="A374" s="55" t="s">
        <v>540</v>
      </c>
      <c r="B374" s="56" t="s">
        <v>631</v>
      </c>
      <c r="C374" s="56" t="s">
        <v>70</v>
      </c>
      <c r="D374" s="56" t="s">
        <v>619</v>
      </c>
      <c r="E374" s="56" t="s">
        <v>620</v>
      </c>
      <c r="F374" s="230" t="s">
        <v>297</v>
      </c>
      <c r="G374" s="230" t="s">
        <v>66</v>
      </c>
    </row>
    <row r="375" spans="1:7" x14ac:dyDescent="0.25">
      <c r="A375" s="55" t="s">
        <v>541</v>
      </c>
      <c r="B375" s="56" t="s">
        <v>636</v>
      </c>
      <c r="C375" s="56" t="s">
        <v>128</v>
      </c>
      <c r="D375" s="56" t="s">
        <v>613</v>
      </c>
      <c r="E375" s="56" t="s">
        <v>614</v>
      </c>
      <c r="F375" s="230" t="s">
        <v>315</v>
      </c>
      <c r="G375" s="230" t="s">
        <v>66</v>
      </c>
    </row>
    <row r="376" spans="1:7" x14ac:dyDescent="0.25">
      <c r="A376" s="55" t="s">
        <v>542</v>
      </c>
      <c r="B376" s="56" t="s">
        <v>621</v>
      </c>
      <c r="C376" s="56" t="s">
        <v>139</v>
      </c>
      <c r="D376" s="56" t="s">
        <v>622</v>
      </c>
      <c r="E376" s="56" t="s">
        <v>623</v>
      </c>
      <c r="F376" s="230" t="s">
        <v>334</v>
      </c>
      <c r="G376" s="230" t="s">
        <v>66</v>
      </c>
    </row>
    <row r="377" spans="1:7" x14ac:dyDescent="0.25">
      <c r="A377" s="55" t="s">
        <v>543</v>
      </c>
      <c r="B377" s="56" t="s">
        <v>640</v>
      </c>
      <c r="C377" s="56" t="s">
        <v>156</v>
      </c>
      <c r="D377" s="56" t="s">
        <v>616</v>
      </c>
      <c r="E377" s="56" t="s">
        <v>617</v>
      </c>
      <c r="F377" s="230" t="s">
        <v>343</v>
      </c>
      <c r="G377" s="230" t="s">
        <v>66</v>
      </c>
    </row>
    <row r="378" spans="1:7" x14ac:dyDescent="0.25">
      <c r="A378" s="55" t="s">
        <v>544</v>
      </c>
      <c r="B378" s="56" t="s">
        <v>631</v>
      </c>
      <c r="C378" s="56" t="s">
        <v>70</v>
      </c>
      <c r="D378" s="56" t="s">
        <v>619</v>
      </c>
      <c r="E378" s="56" t="s">
        <v>620</v>
      </c>
      <c r="F378" s="230" t="s">
        <v>351</v>
      </c>
      <c r="G378" s="230" t="s">
        <v>66</v>
      </c>
    </row>
    <row r="379" spans="1:7" x14ac:dyDescent="0.25">
      <c r="A379" s="55" t="s">
        <v>247</v>
      </c>
      <c r="B379" s="56" t="s">
        <v>661</v>
      </c>
      <c r="C379" s="56" t="s">
        <v>134</v>
      </c>
      <c r="D379" s="56" t="s">
        <v>613</v>
      </c>
      <c r="E379" s="56" t="s">
        <v>614</v>
      </c>
      <c r="F379" s="230" t="s">
        <v>364</v>
      </c>
      <c r="G379" s="230" t="s">
        <v>66</v>
      </c>
    </row>
    <row r="380" spans="1:7" x14ac:dyDescent="0.25">
      <c r="A380" s="55" t="s">
        <v>545</v>
      </c>
      <c r="B380" s="56" t="s">
        <v>664</v>
      </c>
      <c r="C380" s="56" t="s">
        <v>146</v>
      </c>
      <c r="D380" s="56" t="s">
        <v>619</v>
      </c>
      <c r="E380" s="56" t="s">
        <v>620</v>
      </c>
      <c r="F380" s="230" t="s">
        <v>376</v>
      </c>
      <c r="G380" s="230" t="s">
        <v>66</v>
      </c>
    </row>
    <row r="381" spans="1:7" x14ac:dyDescent="0.25">
      <c r="A381" s="55" t="s">
        <v>546</v>
      </c>
      <c r="B381" s="56" t="s">
        <v>631</v>
      </c>
      <c r="C381" s="56" t="s">
        <v>70</v>
      </c>
      <c r="D381" s="56" t="s">
        <v>619</v>
      </c>
      <c r="E381" s="56" t="s">
        <v>620</v>
      </c>
      <c r="F381" s="230" t="s">
        <v>378</v>
      </c>
      <c r="G381" s="230" t="s">
        <v>66</v>
      </c>
    </row>
    <row r="382" spans="1:7" x14ac:dyDescent="0.25">
      <c r="A382" s="55" t="s">
        <v>547</v>
      </c>
      <c r="B382" s="56" t="s">
        <v>615</v>
      </c>
      <c r="C382" s="56" t="s">
        <v>157</v>
      </c>
      <c r="D382" s="56" t="s">
        <v>616</v>
      </c>
      <c r="E382" s="56" t="s">
        <v>617</v>
      </c>
      <c r="F382" s="230" t="s">
        <v>381</v>
      </c>
      <c r="G382" s="230" t="s">
        <v>66</v>
      </c>
    </row>
    <row r="383" spans="1:7" x14ac:dyDescent="0.25">
      <c r="A383" s="55" t="s">
        <v>548</v>
      </c>
      <c r="B383" s="56" t="s">
        <v>664</v>
      </c>
      <c r="C383" s="56" t="s">
        <v>146</v>
      </c>
      <c r="D383" s="56" t="s">
        <v>619</v>
      </c>
      <c r="E383" s="56" t="s">
        <v>620</v>
      </c>
      <c r="F383" s="230" t="s">
        <v>393</v>
      </c>
      <c r="G383" s="230" t="s">
        <v>66</v>
      </c>
    </row>
    <row r="384" spans="1:7" x14ac:dyDescent="0.25">
      <c r="A384" s="55" t="s">
        <v>549</v>
      </c>
      <c r="B384" s="56" t="s">
        <v>648</v>
      </c>
      <c r="C384" s="56" t="s">
        <v>649</v>
      </c>
      <c r="D384" s="56" t="s">
        <v>622</v>
      </c>
      <c r="E384" s="56" t="s">
        <v>623</v>
      </c>
      <c r="F384" s="230" t="s">
        <v>397</v>
      </c>
      <c r="G384" s="230" t="s">
        <v>66</v>
      </c>
    </row>
    <row r="385" spans="1:7" x14ac:dyDescent="0.25">
      <c r="A385" s="55" t="s">
        <v>550</v>
      </c>
      <c r="B385" s="56" t="s">
        <v>645</v>
      </c>
      <c r="C385" s="56" t="s">
        <v>145</v>
      </c>
      <c r="D385" s="56" t="s">
        <v>619</v>
      </c>
      <c r="E385" s="56" t="s">
        <v>620</v>
      </c>
      <c r="F385" s="230" t="s">
        <v>411</v>
      </c>
      <c r="G385" s="230" t="s">
        <v>66</v>
      </c>
    </row>
    <row r="386" spans="1:7" x14ac:dyDescent="0.25">
      <c r="A386" s="55" t="s">
        <v>551</v>
      </c>
      <c r="B386" s="56" t="s">
        <v>625</v>
      </c>
      <c r="C386" s="56" t="s">
        <v>153</v>
      </c>
      <c r="D386" s="56" t="s">
        <v>619</v>
      </c>
      <c r="E386" s="56" t="s">
        <v>620</v>
      </c>
      <c r="F386" s="230" t="s">
        <v>420</v>
      </c>
      <c r="G386" s="230" t="s">
        <v>66</v>
      </c>
    </row>
    <row r="387" spans="1:7" x14ac:dyDescent="0.25">
      <c r="A387" s="55" t="s">
        <v>552</v>
      </c>
      <c r="B387" s="56" t="s">
        <v>618</v>
      </c>
      <c r="C387" s="56" t="s">
        <v>147</v>
      </c>
      <c r="D387" s="56" t="s">
        <v>619</v>
      </c>
      <c r="E387" s="56" t="s">
        <v>620</v>
      </c>
      <c r="F387" s="230" t="s">
        <v>434</v>
      </c>
      <c r="G387" s="230" t="s">
        <v>66</v>
      </c>
    </row>
    <row r="388" spans="1:7" x14ac:dyDescent="0.25">
      <c r="A388" s="55" t="s">
        <v>553</v>
      </c>
      <c r="B388" s="56" t="s">
        <v>629</v>
      </c>
      <c r="C388" s="56" t="s">
        <v>62</v>
      </c>
      <c r="D388" s="56" t="s">
        <v>622</v>
      </c>
      <c r="E388" s="56" t="s">
        <v>623</v>
      </c>
      <c r="F388" s="230" t="s">
        <v>450</v>
      </c>
      <c r="G388" s="230" t="s">
        <v>66</v>
      </c>
    </row>
    <row r="389" spans="1:7" x14ac:dyDescent="0.25">
      <c r="A389" s="55" t="s">
        <v>554</v>
      </c>
      <c r="B389" s="56" t="s">
        <v>631</v>
      </c>
      <c r="C389" s="56" t="s">
        <v>70</v>
      </c>
      <c r="D389" s="56" t="s">
        <v>619</v>
      </c>
      <c r="E389" s="56" t="s">
        <v>620</v>
      </c>
      <c r="F389" s="230" t="s">
        <v>451</v>
      </c>
      <c r="G389" s="230" t="s">
        <v>66</v>
      </c>
    </row>
    <row r="390" spans="1:7" x14ac:dyDescent="0.25">
      <c r="A390" s="55" t="s">
        <v>555</v>
      </c>
      <c r="B390" s="56" t="s">
        <v>634</v>
      </c>
      <c r="C390" s="56" t="s">
        <v>140</v>
      </c>
      <c r="D390" s="56" t="s">
        <v>622</v>
      </c>
      <c r="E390" s="56" t="s">
        <v>623</v>
      </c>
      <c r="F390" s="230" t="s">
        <v>460</v>
      </c>
      <c r="G390" s="230" t="s">
        <v>66</v>
      </c>
    </row>
    <row r="391" spans="1:7" x14ac:dyDescent="0.25">
      <c r="A391" s="55" t="s">
        <v>556</v>
      </c>
      <c r="B391" s="56" t="s">
        <v>657</v>
      </c>
      <c r="C391" s="56" t="s">
        <v>93</v>
      </c>
      <c r="D391" s="56" t="s">
        <v>619</v>
      </c>
      <c r="E391" s="56" t="s">
        <v>620</v>
      </c>
      <c r="F391" s="230" t="s">
        <v>464</v>
      </c>
      <c r="G391" s="230" t="s">
        <v>66</v>
      </c>
    </row>
    <row r="392" spans="1:7" x14ac:dyDescent="0.25">
      <c r="A392" s="55" t="s">
        <v>557</v>
      </c>
      <c r="B392" s="56" t="s">
        <v>659</v>
      </c>
      <c r="C392" s="56" t="s">
        <v>660</v>
      </c>
      <c r="D392" s="56" t="s">
        <v>619</v>
      </c>
      <c r="E392" s="56" t="s">
        <v>620</v>
      </c>
      <c r="F392" s="230" t="s">
        <v>468</v>
      </c>
      <c r="G392" s="230" t="s">
        <v>66</v>
      </c>
    </row>
    <row r="393" spans="1:7" x14ac:dyDescent="0.25">
      <c r="A393" s="55" t="s">
        <v>558</v>
      </c>
      <c r="B393" s="56" t="s">
        <v>636</v>
      </c>
      <c r="C393" s="56" t="s">
        <v>128</v>
      </c>
      <c r="D393" s="56" t="s">
        <v>613</v>
      </c>
      <c r="E393" s="56" t="s">
        <v>614</v>
      </c>
      <c r="F393" s="230" t="s">
        <v>481</v>
      </c>
      <c r="G393" s="230" t="s">
        <v>66</v>
      </c>
    </row>
    <row r="394" spans="1:7" x14ac:dyDescent="0.25">
      <c r="A394" s="55" t="s">
        <v>559</v>
      </c>
      <c r="B394" s="56" t="s">
        <v>626</v>
      </c>
      <c r="C394" s="56" t="s">
        <v>152</v>
      </c>
      <c r="D394" s="56" t="s">
        <v>619</v>
      </c>
      <c r="E394" s="56" t="s">
        <v>620</v>
      </c>
      <c r="F394" s="230" t="s">
        <v>502</v>
      </c>
      <c r="G394" s="230" t="s">
        <v>66</v>
      </c>
    </row>
    <row r="395" spans="1:7" x14ac:dyDescent="0.25">
      <c r="A395" s="55" t="s">
        <v>560</v>
      </c>
      <c r="B395" s="56" t="s">
        <v>640</v>
      </c>
      <c r="C395" s="56" t="s">
        <v>156</v>
      </c>
      <c r="D395" s="56" t="s">
        <v>616</v>
      </c>
      <c r="E395" s="56" t="s">
        <v>617</v>
      </c>
      <c r="F395" s="230" t="s">
        <v>503</v>
      </c>
      <c r="G395" s="230" t="s">
        <v>66</v>
      </c>
    </row>
    <row r="396" spans="1:7" x14ac:dyDescent="0.25">
      <c r="A396" s="55" t="s">
        <v>561</v>
      </c>
      <c r="B396" s="56" t="s">
        <v>621</v>
      </c>
      <c r="C396" s="56" t="s">
        <v>139</v>
      </c>
      <c r="D396" s="56" t="s">
        <v>622</v>
      </c>
      <c r="E396" s="56" t="s">
        <v>623</v>
      </c>
      <c r="F396" s="230" t="s">
        <v>511</v>
      </c>
      <c r="G396" s="230" t="s">
        <v>66</v>
      </c>
    </row>
    <row r="397" spans="1:7" x14ac:dyDescent="0.25">
      <c r="A397" s="55" t="s">
        <v>562</v>
      </c>
      <c r="B397" s="56" t="s">
        <v>650</v>
      </c>
      <c r="C397" s="56" t="s">
        <v>135</v>
      </c>
      <c r="D397" s="56" t="s">
        <v>622</v>
      </c>
      <c r="E397" s="56" t="s">
        <v>623</v>
      </c>
      <c r="F397" s="230" t="s">
        <v>512</v>
      </c>
      <c r="G397" s="230" t="s">
        <v>66</v>
      </c>
    </row>
    <row r="398" spans="1:7" x14ac:dyDescent="0.25">
      <c r="A398" s="55" t="s">
        <v>563</v>
      </c>
      <c r="B398" s="56" t="s">
        <v>625</v>
      </c>
      <c r="C398" s="56" t="s">
        <v>153</v>
      </c>
      <c r="D398" s="56" t="s">
        <v>619</v>
      </c>
      <c r="E398" s="56" t="s">
        <v>620</v>
      </c>
      <c r="F398" s="230" t="s">
        <v>518</v>
      </c>
      <c r="G398" s="230" t="s">
        <v>66</v>
      </c>
    </row>
    <row r="399" spans="1:7" x14ac:dyDescent="0.25">
      <c r="A399" s="55" t="s">
        <v>564</v>
      </c>
      <c r="B399" s="56" t="s">
        <v>650</v>
      </c>
      <c r="C399" s="56" t="s">
        <v>135</v>
      </c>
      <c r="D399" s="56" t="s">
        <v>622</v>
      </c>
      <c r="E399" s="56" t="s">
        <v>623</v>
      </c>
      <c r="F399" s="230" t="s">
        <v>528</v>
      </c>
      <c r="G399" s="230" t="s">
        <v>66</v>
      </c>
    </row>
    <row r="400" spans="1:7" x14ac:dyDescent="0.25"/>
    <row r="401" x14ac:dyDescent="0.25"/>
  </sheetData>
  <pageMargins left="0.7" right="0.7" top="0.75" bottom="0.75" header="0.3" footer="0.3"/>
  <pageSetup paperSize="0" orientation="portrait" horizontalDpi="0" verticalDpi="0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P602"/>
  <sheetViews>
    <sheetView showGridLines="0" topLeftCell="A574" workbookViewId="0">
      <selection activeCell="E612" sqref="E612"/>
    </sheetView>
  </sheetViews>
  <sheetFormatPr defaultColWidth="0" defaultRowHeight="15" x14ac:dyDescent="0.25"/>
  <cols>
    <col min="1" max="1" width="45.140625" style="24" bestFit="1" customWidth="1"/>
    <col min="2" max="5" width="10.7109375" style="24" customWidth="1"/>
    <col min="6" max="8" width="11.42578125" style="24" customWidth="1"/>
    <col min="9" max="9" width="45.140625" style="24" bestFit="1" customWidth="1"/>
    <col min="10" max="13" width="10.7109375" style="24" customWidth="1"/>
    <col min="14" max="15" width="11.42578125" style="24" customWidth="1"/>
    <col min="16" max="16" width="0" style="24" hidden="1" customWidth="1"/>
    <col min="17" max="16384" width="9.140625" style="24" hidden="1"/>
  </cols>
  <sheetData>
    <row r="1" spans="1:16" x14ac:dyDescent="0.25">
      <c r="A1" s="23" t="s">
        <v>597</v>
      </c>
      <c r="B1" s="23"/>
      <c r="C1" s="23"/>
      <c r="D1" s="23"/>
      <c r="E1" s="23"/>
      <c r="F1" s="23"/>
      <c r="I1" s="23" t="s">
        <v>598</v>
      </c>
      <c r="J1" s="23"/>
      <c r="K1" s="23"/>
      <c r="L1" s="23"/>
      <c r="M1" s="23"/>
      <c r="N1" s="23"/>
    </row>
    <row r="3" spans="1:16" x14ac:dyDescent="0.25">
      <c r="A3" s="23" t="s">
        <v>52</v>
      </c>
      <c r="B3" s="23"/>
      <c r="C3" s="23"/>
      <c r="D3" s="23"/>
      <c r="E3" s="23"/>
      <c r="F3" s="23"/>
      <c r="I3" s="23" t="s">
        <v>52</v>
      </c>
      <c r="J3" s="23"/>
      <c r="K3" s="23"/>
      <c r="L3" s="23"/>
      <c r="M3" s="23"/>
      <c r="N3" s="23"/>
    </row>
    <row r="4" spans="1:16" x14ac:dyDescent="0.25">
      <c r="A4" s="26"/>
      <c r="B4" s="25"/>
      <c r="C4" s="25"/>
      <c r="D4" s="25"/>
      <c r="E4" s="25"/>
      <c r="F4" s="25"/>
      <c r="I4" s="26"/>
      <c r="J4" s="25"/>
      <c r="K4" s="25"/>
      <c r="L4" s="25"/>
      <c r="M4" s="25"/>
      <c r="N4" s="25"/>
    </row>
    <row r="5" spans="1:16" x14ac:dyDescent="0.25">
      <c r="A5" s="27" t="s">
        <v>53</v>
      </c>
      <c r="B5" s="28">
        <v>2015</v>
      </c>
      <c r="C5" s="28">
        <v>2016</v>
      </c>
      <c r="D5" s="28">
        <v>2017</v>
      </c>
      <c r="E5" s="28" t="s">
        <v>54</v>
      </c>
      <c r="F5" s="28"/>
      <c r="I5" s="27" t="s">
        <v>53</v>
      </c>
      <c r="J5" s="28">
        <v>2015</v>
      </c>
      <c r="K5" s="28">
        <v>2016</v>
      </c>
      <c r="L5" s="28">
        <v>2017</v>
      </c>
      <c r="M5" s="28" t="s">
        <v>54</v>
      </c>
      <c r="N5" s="28"/>
    </row>
    <row r="6" spans="1:16" x14ac:dyDescent="0.25">
      <c r="A6" s="24" t="s">
        <v>55</v>
      </c>
      <c r="B6" s="29">
        <v>5.0000000000000001E-3</v>
      </c>
      <c r="C6" s="29">
        <f>Parameters!B2</f>
        <v>1.0999999999999999E-2</v>
      </c>
      <c r="D6" s="29">
        <f>Parameters!C2</f>
        <v>0.02</v>
      </c>
      <c r="E6" s="29">
        <f>Parameters!D2</f>
        <v>0.02</v>
      </c>
      <c r="F6" s="30"/>
      <c r="I6" s="24" t="s">
        <v>55</v>
      </c>
      <c r="J6" s="29">
        <v>5.0000000000000001E-3</v>
      </c>
      <c r="K6" s="29">
        <f>Parameters!B2</f>
        <v>1.0999999999999999E-2</v>
      </c>
      <c r="L6" s="29">
        <f>Parameters!C2</f>
        <v>0.02</v>
      </c>
      <c r="M6" s="29">
        <f>Parameters!D2</f>
        <v>0.02</v>
      </c>
      <c r="N6" s="30"/>
    </row>
    <row r="7" spans="1:16" x14ac:dyDescent="0.25">
      <c r="A7" s="26"/>
      <c r="B7" s="31"/>
      <c r="C7" s="31"/>
      <c r="D7" s="31"/>
      <c r="E7" s="31"/>
      <c r="F7" s="31"/>
      <c r="I7" s="26"/>
      <c r="J7" s="31"/>
      <c r="K7" s="31"/>
      <c r="L7" s="31"/>
      <c r="M7" s="31"/>
      <c r="N7" s="31"/>
    </row>
    <row r="8" spans="1:16" x14ac:dyDescent="0.25">
      <c r="A8" s="27" t="s">
        <v>56</v>
      </c>
      <c r="B8" s="28">
        <v>2015</v>
      </c>
      <c r="C8" s="28">
        <v>2016</v>
      </c>
      <c r="D8" s="28">
        <v>2017</v>
      </c>
      <c r="E8" s="28" t="s">
        <v>54</v>
      </c>
      <c r="F8" s="28"/>
      <c r="I8" s="27" t="s">
        <v>56</v>
      </c>
      <c r="J8" s="28">
        <v>2015</v>
      </c>
      <c r="K8" s="28">
        <v>2016</v>
      </c>
      <c r="L8" s="28">
        <v>2017</v>
      </c>
      <c r="M8" s="28" t="s">
        <v>54</v>
      </c>
      <c r="N8" s="28"/>
    </row>
    <row r="9" spans="1:16" x14ac:dyDescent="0.25">
      <c r="A9" s="24" t="s">
        <v>57</v>
      </c>
      <c r="B9" s="29">
        <v>1.2999999999999999E-2</v>
      </c>
      <c r="C9" s="29">
        <f>Parameters!B3</f>
        <v>1.4E-2</v>
      </c>
      <c r="D9" s="29">
        <f>Parameters!C3</f>
        <v>2.5000000000000001E-2</v>
      </c>
      <c r="E9" s="29">
        <f>Parameters!D3</f>
        <v>2.5000000000000001E-2</v>
      </c>
      <c r="F9" s="30"/>
      <c r="I9" s="24" t="s">
        <v>57</v>
      </c>
      <c r="J9" s="29">
        <v>1.2999999999999999E-2</v>
      </c>
      <c r="K9" s="29">
        <f>Parameters!B3</f>
        <v>1.4E-2</v>
      </c>
      <c r="L9" s="29">
        <f>Parameters!C3</f>
        <v>2.5000000000000001E-2</v>
      </c>
      <c r="M9" s="29">
        <f>Parameters!D3</f>
        <v>2.5000000000000001E-2</v>
      </c>
      <c r="N9" s="30"/>
    </row>
    <row r="10" spans="1:16" x14ac:dyDescent="0.25">
      <c r="A10" s="26"/>
      <c r="B10" s="31"/>
      <c r="C10" s="31"/>
      <c r="D10" s="31"/>
      <c r="E10" s="31"/>
      <c r="F10" s="31"/>
      <c r="I10" s="26"/>
      <c r="J10" s="31"/>
      <c r="K10" s="31"/>
      <c r="L10" s="31"/>
      <c r="M10" s="31"/>
      <c r="N10" s="31"/>
    </row>
    <row r="11" spans="1:16" x14ac:dyDescent="0.25">
      <c r="A11" s="27" t="s">
        <v>58</v>
      </c>
      <c r="B11" s="28">
        <v>2015</v>
      </c>
      <c r="C11" s="28">
        <v>2016</v>
      </c>
      <c r="D11" s="28">
        <v>2017</v>
      </c>
      <c r="E11" s="28" t="s">
        <v>54</v>
      </c>
      <c r="F11" s="28"/>
      <c r="I11" s="27" t="s">
        <v>58</v>
      </c>
      <c r="J11" s="28">
        <v>2015</v>
      </c>
      <c r="K11" s="28">
        <v>2016</v>
      </c>
      <c r="L11" s="28">
        <v>2017</v>
      </c>
      <c r="M11" s="28" t="s">
        <v>54</v>
      </c>
      <c r="N11" s="28"/>
    </row>
    <row r="12" spans="1:16" x14ac:dyDescent="0.25">
      <c r="A12" s="24" t="s">
        <v>59</v>
      </c>
      <c r="B12" s="29">
        <v>1.2999999999999999E-2</v>
      </c>
      <c r="C12" s="29">
        <v>1.4E-2</v>
      </c>
      <c r="D12" s="29">
        <v>2.5000000000000001E-2</v>
      </c>
      <c r="E12" s="29">
        <v>2.5000000000000001E-2</v>
      </c>
      <c r="F12" s="30"/>
      <c r="I12" s="24" t="s">
        <v>59</v>
      </c>
      <c r="J12" s="29">
        <v>1.2999999999999999E-2</v>
      </c>
      <c r="K12" s="29">
        <v>1.4E-2</v>
      </c>
      <c r="L12" s="29">
        <v>2.5000000000000001E-2</v>
      </c>
      <c r="M12" s="29">
        <v>2.5000000000000001E-2</v>
      </c>
      <c r="N12" s="30"/>
    </row>
    <row r="13" spans="1:16" x14ac:dyDescent="0.25">
      <c r="A13" s="26"/>
      <c r="B13" s="31"/>
      <c r="C13" s="31"/>
      <c r="D13" s="31"/>
      <c r="E13" s="31"/>
      <c r="F13" s="31"/>
      <c r="I13" s="26"/>
      <c r="J13" s="31"/>
      <c r="K13" s="31"/>
      <c r="L13" s="31"/>
      <c r="M13" s="31"/>
      <c r="N13" s="31"/>
    </row>
    <row r="14" spans="1:16" x14ac:dyDescent="0.25">
      <c r="A14" s="27" t="s">
        <v>60</v>
      </c>
      <c r="B14" s="28">
        <v>2014</v>
      </c>
      <c r="C14" s="28">
        <v>2015</v>
      </c>
      <c r="D14" s="28">
        <v>2016</v>
      </c>
      <c r="E14" s="28">
        <v>2017</v>
      </c>
      <c r="F14" s="28" t="s">
        <v>54</v>
      </c>
      <c r="I14" s="27" t="s">
        <v>60</v>
      </c>
      <c r="J14" s="28">
        <v>2014</v>
      </c>
      <c r="K14" s="28">
        <v>2015</v>
      </c>
      <c r="L14" s="28">
        <v>2016</v>
      </c>
      <c r="M14" s="28">
        <v>2017</v>
      </c>
      <c r="N14" s="28" t="s">
        <v>54</v>
      </c>
    </row>
    <row r="15" spans="1:16" x14ac:dyDescent="0.25">
      <c r="A15" s="24" t="s">
        <v>61</v>
      </c>
      <c r="B15" s="32">
        <v>1E-3</v>
      </c>
      <c r="C15" s="32">
        <v>1.2E-2</v>
      </c>
      <c r="D15" s="32">
        <v>1.4999999999999999E-2</v>
      </c>
      <c r="E15" s="32">
        <v>1.7000000000000001E-2</v>
      </c>
      <c r="F15" s="32">
        <v>0.02</v>
      </c>
      <c r="G15" s="24">
        <f>IF(A15='Invoer gegevens'!$C$9,1,0)</f>
        <v>1</v>
      </c>
      <c r="I15" s="24" t="s">
        <v>61</v>
      </c>
      <c r="J15" s="32">
        <v>1E-3</v>
      </c>
      <c r="K15" s="32">
        <v>1.2E-2</v>
      </c>
      <c r="L15" s="32">
        <v>1.4999999999999999E-2</v>
      </c>
      <c r="M15" s="32">
        <v>1.7000000000000001E-2</v>
      </c>
      <c r="N15" s="32">
        <v>0.02</v>
      </c>
      <c r="O15" s="24">
        <f>IF(A15='Invoer gegevens'!$C$9,1,0)</f>
        <v>1</v>
      </c>
      <c r="P15" s="33"/>
    </row>
    <row r="16" spans="1:16" x14ac:dyDescent="0.25">
      <c r="A16" s="24" t="s">
        <v>62</v>
      </c>
      <c r="B16" s="32">
        <v>1.6E-2</v>
      </c>
      <c r="C16" s="32">
        <v>2.5999999999999999E-2</v>
      </c>
      <c r="D16" s="32">
        <v>2.4E-2</v>
      </c>
      <c r="E16" s="32">
        <v>2.1999999999999999E-2</v>
      </c>
      <c r="F16" s="32">
        <v>0.02</v>
      </c>
      <c r="G16" s="24">
        <f>IF(A16='Invoer gegevens'!$C$9,1,0)</f>
        <v>0</v>
      </c>
      <c r="I16" s="24" t="s">
        <v>62</v>
      </c>
      <c r="J16" s="32">
        <v>1.6E-2</v>
      </c>
      <c r="K16" s="32">
        <v>2.5999999999999999E-2</v>
      </c>
      <c r="L16" s="32">
        <v>2.4E-2</v>
      </c>
      <c r="M16" s="32">
        <v>2.1999999999999999E-2</v>
      </c>
      <c r="N16" s="32">
        <v>0.02</v>
      </c>
      <c r="O16" s="24">
        <f>IF(A16='Invoer gegevens'!$C$9,1,0)</f>
        <v>0</v>
      </c>
      <c r="P16" s="33"/>
    </row>
    <row r="17" spans="1:16" x14ac:dyDescent="0.25">
      <c r="A17" s="24" t="s">
        <v>63</v>
      </c>
      <c r="B17" s="32">
        <v>-1E-3</v>
      </c>
      <c r="C17" s="32">
        <v>2.4E-2</v>
      </c>
      <c r="D17" s="32">
        <v>2.3E-2</v>
      </c>
      <c r="E17" s="32">
        <v>2.1000000000000001E-2</v>
      </c>
      <c r="F17" s="32">
        <v>0.02</v>
      </c>
      <c r="G17" s="24">
        <f>IF(A17='Invoer gegevens'!$C$9,1,0)</f>
        <v>0</v>
      </c>
      <c r="I17" s="24" t="s">
        <v>63</v>
      </c>
      <c r="J17" s="32">
        <v>-1E-3</v>
      </c>
      <c r="K17" s="32">
        <v>2.4E-2</v>
      </c>
      <c r="L17" s="32">
        <v>2.3E-2</v>
      </c>
      <c r="M17" s="32">
        <v>2.1000000000000001E-2</v>
      </c>
      <c r="N17" s="32">
        <v>0.02</v>
      </c>
      <c r="O17" s="24">
        <f>IF(A17='Invoer gegevens'!$C$9,1,0)</f>
        <v>0</v>
      </c>
      <c r="P17" s="33"/>
    </row>
    <row r="18" spans="1:16" x14ac:dyDescent="0.25">
      <c r="A18" s="24" t="s">
        <v>64</v>
      </c>
      <c r="B18" s="32">
        <v>1.6E-2</v>
      </c>
      <c r="C18" s="32">
        <v>2.1000000000000001E-2</v>
      </c>
      <c r="D18" s="32">
        <v>2.1000000000000001E-2</v>
      </c>
      <c r="E18" s="32">
        <v>0.02</v>
      </c>
      <c r="F18" s="32">
        <v>0.02</v>
      </c>
      <c r="G18" s="24">
        <f>IF(A18='Invoer gegevens'!$C$9,1,0)</f>
        <v>0</v>
      </c>
      <c r="I18" s="24" t="s">
        <v>64</v>
      </c>
      <c r="J18" s="32">
        <v>1.6E-2</v>
      </c>
      <c r="K18" s="32">
        <v>2.1000000000000001E-2</v>
      </c>
      <c r="L18" s="32">
        <v>2.1000000000000001E-2</v>
      </c>
      <c r="M18" s="32">
        <v>0.02</v>
      </c>
      <c r="N18" s="32">
        <v>0.02</v>
      </c>
      <c r="O18" s="24">
        <f>IF(A18='Invoer gegevens'!$C$9,1,0)</f>
        <v>0</v>
      </c>
      <c r="P18" s="33"/>
    </row>
    <row r="19" spans="1:16" x14ac:dyDescent="0.25">
      <c r="A19" s="24" t="s">
        <v>65</v>
      </c>
      <c r="B19" s="30">
        <v>0.02</v>
      </c>
      <c r="C19" s="30">
        <v>2.7E-2</v>
      </c>
      <c r="D19" s="30">
        <v>2.5000000000000001E-2</v>
      </c>
      <c r="E19" s="30">
        <v>2.1999999999999999E-2</v>
      </c>
      <c r="F19" s="30">
        <v>0.02</v>
      </c>
      <c r="G19" s="24">
        <f>IF(A19='Invoer gegevens'!$C$9,1,0)</f>
        <v>0</v>
      </c>
      <c r="I19" s="24" t="s">
        <v>65</v>
      </c>
      <c r="J19" s="30">
        <v>0.02</v>
      </c>
      <c r="K19" s="30">
        <v>2.7E-2</v>
      </c>
      <c r="L19" s="30">
        <v>2.5000000000000001E-2</v>
      </c>
      <c r="M19" s="30">
        <v>2.1999999999999999E-2</v>
      </c>
      <c r="N19" s="30">
        <v>0.02</v>
      </c>
      <c r="O19" s="24">
        <f>IF(A19='Invoer gegevens'!$C$9,1,0)</f>
        <v>0</v>
      </c>
      <c r="P19" s="33"/>
    </row>
    <row r="20" spans="1:16" x14ac:dyDescent="0.25">
      <c r="A20" s="24" t="s">
        <v>66</v>
      </c>
      <c r="B20" s="32">
        <v>1.9E-2</v>
      </c>
      <c r="C20" s="32">
        <v>2.3E-2</v>
      </c>
      <c r="D20" s="32">
        <v>2.1999999999999999E-2</v>
      </c>
      <c r="E20" s="32">
        <v>2.1000000000000001E-2</v>
      </c>
      <c r="F20" s="32">
        <v>0.02</v>
      </c>
      <c r="G20" s="24">
        <f>IF(A20='Invoer gegevens'!$C$9,1,0)</f>
        <v>0</v>
      </c>
      <c r="I20" s="24" t="s">
        <v>66</v>
      </c>
      <c r="J20" s="32">
        <v>1.9E-2</v>
      </c>
      <c r="K20" s="32">
        <v>2.3E-2</v>
      </c>
      <c r="L20" s="32">
        <v>2.1999999999999999E-2</v>
      </c>
      <c r="M20" s="32">
        <v>2.1000000000000001E-2</v>
      </c>
      <c r="N20" s="32">
        <v>0.02</v>
      </c>
      <c r="O20" s="24">
        <f>IF(A20='Invoer gegevens'!$C$9,1,0)</f>
        <v>0</v>
      </c>
      <c r="P20" s="33"/>
    </row>
    <row r="21" spans="1:16" x14ac:dyDescent="0.25">
      <c r="A21" s="24" t="s">
        <v>67</v>
      </c>
      <c r="B21" s="32">
        <v>1.9E-2</v>
      </c>
      <c r="C21" s="32">
        <v>2.1000000000000001E-2</v>
      </c>
      <c r="D21" s="32">
        <v>2.1000000000000001E-2</v>
      </c>
      <c r="E21" s="32">
        <v>0.02</v>
      </c>
      <c r="F21" s="32">
        <v>0.02</v>
      </c>
      <c r="G21" s="24">
        <f>IF(A21='Invoer gegevens'!$C$9,1,0)</f>
        <v>0</v>
      </c>
      <c r="I21" s="24" t="s">
        <v>67</v>
      </c>
      <c r="J21" s="32">
        <v>1.9E-2</v>
      </c>
      <c r="K21" s="32">
        <v>2.1000000000000001E-2</v>
      </c>
      <c r="L21" s="32">
        <v>2.1000000000000001E-2</v>
      </c>
      <c r="M21" s="32">
        <v>0.02</v>
      </c>
      <c r="N21" s="32">
        <v>0.02</v>
      </c>
      <c r="O21" s="24">
        <f>IF(A21='Invoer gegevens'!$C$9,1,0)</f>
        <v>0</v>
      </c>
      <c r="P21" s="33"/>
    </row>
    <row r="22" spans="1:16" x14ac:dyDescent="0.25">
      <c r="A22" s="24" t="s">
        <v>68</v>
      </c>
      <c r="B22" s="32">
        <v>4.4999999999999998E-2</v>
      </c>
      <c r="C22" s="32">
        <v>5.5E-2</v>
      </c>
      <c r="D22" s="32">
        <v>4.2999999999999997E-2</v>
      </c>
      <c r="E22" s="32">
        <v>3.2000000000000001E-2</v>
      </c>
      <c r="F22" s="32">
        <v>0.02</v>
      </c>
      <c r="G22" s="24">
        <f>IF(A22='Invoer gegevens'!$C$9,1,0)</f>
        <v>0</v>
      </c>
      <c r="I22" s="24" t="s">
        <v>68</v>
      </c>
      <c r="J22" s="32">
        <v>4.4999999999999998E-2</v>
      </c>
      <c r="K22" s="32">
        <v>5.5E-2</v>
      </c>
      <c r="L22" s="32">
        <v>4.2999999999999997E-2</v>
      </c>
      <c r="M22" s="32">
        <v>3.2000000000000001E-2</v>
      </c>
      <c r="N22" s="32">
        <v>0.02</v>
      </c>
      <c r="O22" s="24">
        <f>IF(A22='Invoer gegevens'!$C$9,1,0)</f>
        <v>0</v>
      </c>
      <c r="P22" s="33"/>
    </row>
    <row r="23" spans="1:16" x14ac:dyDescent="0.25">
      <c r="A23" s="24" t="s">
        <v>69</v>
      </c>
      <c r="B23" s="32">
        <v>6.0000000000000001E-3</v>
      </c>
      <c r="C23" s="32">
        <v>7.0000000000000001E-3</v>
      </c>
      <c r="D23" s="32">
        <v>1.0999999999999999E-2</v>
      </c>
      <c r="E23" s="32">
        <v>1.6E-2</v>
      </c>
      <c r="F23" s="32">
        <v>0.02</v>
      </c>
      <c r="G23" s="24">
        <f>IF(A23='Invoer gegevens'!$C$9,1,0)</f>
        <v>0</v>
      </c>
      <c r="I23" s="24" t="s">
        <v>69</v>
      </c>
      <c r="J23" s="32">
        <v>6.0000000000000001E-3</v>
      </c>
      <c r="K23" s="32">
        <v>7.0000000000000001E-3</v>
      </c>
      <c r="L23" s="32">
        <v>1.0999999999999999E-2</v>
      </c>
      <c r="M23" s="32">
        <v>1.6E-2</v>
      </c>
      <c r="N23" s="32">
        <v>0.02</v>
      </c>
      <c r="O23" s="24">
        <f>IF(A23='Invoer gegevens'!$C$9,1,0)</f>
        <v>0</v>
      </c>
      <c r="P23" s="33"/>
    </row>
    <row r="24" spans="1:16" x14ac:dyDescent="0.25">
      <c r="A24" s="24" t="s">
        <v>70</v>
      </c>
      <c r="B24" s="32">
        <v>3.7999999999999999E-2</v>
      </c>
      <c r="C24" s="32">
        <v>3.9E-2</v>
      </c>
      <c r="D24" s="32">
        <v>3.3000000000000002E-2</v>
      </c>
      <c r="E24" s="32">
        <v>2.5999999999999999E-2</v>
      </c>
      <c r="F24" s="32">
        <v>0.02</v>
      </c>
      <c r="G24" s="24">
        <f>IF(A24='Invoer gegevens'!$C$9,1,0)</f>
        <v>0</v>
      </c>
      <c r="I24" s="24" t="s">
        <v>70</v>
      </c>
      <c r="J24" s="32">
        <v>3.7999999999999999E-2</v>
      </c>
      <c r="K24" s="32">
        <v>3.9E-2</v>
      </c>
      <c r="L24" s="32">
        <v>3.3000000000000002E-2</v>
      </c>
      <c r="M24" s="32">
        <v>2.5999999999999999E-2</v>
      </c>
      <c r="N24" s="32">
        <v>0.02</v>
      </c>
      <c r="O24" s="24">
        <f>IF(A24='Invoer gegevens'!$C$9,1,0)</f>
        <v>0</v>
      </c>
      <c r="P24" s="33"/>
    </row>
    <row r="25" spans="1:16" x14ac:dyDescent="0.25">
      <c r="A25" s="24" t="s">
        <v>71</v>
      </c>
      <c r="B25" s="32">
        <v>-4.0000000000000001E-3</v>
      </c>
      <c r="C25" s="32">
        <v>-7.0000000000000001E-3</v>
      </c>
      <c r="D25" s="32">
        <v>2E-3</v>
      </c>
      <c r="E25" s="32">
        <v>1.0999999999999999E-2</v>
      </c>
      <c r="F25" s="32">
        <v>0.02</v>
      </c>
      <c r="G25" s="24">
        <f>IF(A25='Invoer gegevens'!$C$9,1,0)</f>
        <v>0</v>
      </c>
      <c r="I25" s="24" t="s">
        <v>71</v>
      </c>
      <c r="J25" s="32">
        <v>-4.0000000000000001E-3</v>
      </c>
      <c r="K25" s="32">
        <v>-7.0000000000000001E-3</v>
      </c>
      <c r="L25" s="32">
        <v>2E-3</v>
      </c>
      <c r="M25" s="32">
        <v>1.0999999999999999E-2</v>
      </c>
      <c r="N25" s="32">
        <v>0.02</v>
      </c>
      <c r="O25" s="24">
        <f>IF(A25='Invoer gegevens'!$C$9,1,0)</f>
        <v>0</v>
      </c>
      <c r="P25" s="33"/>
    </row>
    <row r="26" spans="1:16" x14ac:dyDescent="0.25">
      <c r="A26" s="24" t="s">
        <v>72</v>
      </c>
      <c r="B26" s="32">
        <v>2.4E-2</v>
      </c>
      <c r="C26" s="32">
        <v>3.1E-2</v>
      </c>
      <c r="D26" s="32">
        <v>2.7E-2</v>
      </c>
      <c r="E26" s="32">
        <v>2.4E-2</v>
      </c>
      <c r="F26" s="32">
        <v>0.02</v>
      </c>
      <c r="G26" s="24">
        <f>IF(A26='Invoer gegevens'!$C$9,1,0)</f>
        <v>0</v>
      </c>
      <c r="I26" s="24" t="s">
        <v>72</v>
      </c>
      <c r="J26" s="32">
        <v>2.4E-2</v>
      </c>
      <c r="K26" s="32">
        <v>3.1E-2</v>
      </c>
      <c r="L26" s="32">
        <v>2.7E-2</v>
      </c>
      <c r="M26" s="32">
        <v>2.4E-2</v>
      </c>
      <c r="N26" s="32">
        <v>0.02</v>
      </c>
      <c r="O26" s="24">
        <f>IF(A26='Invoer gegevens'!$C$9,1,0)</f>
        <v>0</v>
      </c>
      <c r="P26" s="33"/>
    </row>
    <row r="27" spans="1:16" x14ac:dyDescent="0.25">
      <c r="A27" s="24" t="s">
        <v>73</v>
      </c>
      <c r="B27" s="32">
        <v>9.0999999999999998E-2</v>
      </c>
      <c r="C27" s="32">
        <v>9.9000000000000005E-2</v>
      </c>
      <c r="D27" s="32">
        <v>7.2999999999999995E-2</v>
      </c>
      <c r="E27" s="32">
        <v>4.5999999999999999E-2</v>
      </c>
      <c r="F27" s="32">
        <v>0.02</v>
      </c>
      <c r="G27" s="24">
        <f>IF(A27='Invoer gegevens'!$C$9,1,0)</f>
        <v>0</v>
      </c>
      <c r="I27" s="24" t="s">
        <v>73</v>
      </c>
      <c r="J27" s="32">
        <v>9.0999999999999998E-2</v>
      </c>
      <c r="K27" s="32">
        <v>9.9000000000000005E-2</v>
      </c>
      <c r="L27" s="32">
        <v>7.2999999999999995E-2</v>
      </c>
      <c r="M27" s="32">
        <v>4.5999999999999999E-2</v>
      </c>
      <c r="N27" s="32">
        <v>0.02</v>
      </c>
      <c r="O27" s="24">
        <f>IF(A27='Invoer gegevens'!$C$9,1,0)</f>
        <v>0</v>
      </c>
      <c r="P27" s="33"/>
    </row>
    <row r="28" spans="1:16" x14ac:dyDescent="0.25">
      <c r="A28" s="24" t="s">
        <v>74</v>
      </c>
      <c r="B28" s="32">
        <v>2.7E-2</v>
      </c>
      <c r="C28" s="32">
        <v>0.05</v>
      </c>
      <c r="D28" s="32">
        <v>0.04</v>
      </c>
      <c r="E28" s="32">
        <v>0.03</v>
      </c>
      <c r="F28" s="32">
        <v>0.02</v>
      </c>
      <c r="G28" s="24">
        <f>IF(A28='Invoer gegevens'!$C$9,1,0)</f>
        <v>0</v>
      </c>
      <c r="I28" s="24" t="s">
        <v>74</v>
      </c>
      <c r="J28" s="32">
        <v>2.7E-2</v>
      </c>
      <c r="K28" s="32">
        <v>0.05</v>
      </c>
      <c r="L28" s="32">
        <v>0.04</v>
      </c>
      <c r="M28" s="32">
        <v>0.03</v>
      </c>
      <c r="N28" s="32">
        <v>0.02</v>
      </c>
      <c r="O28" s="24">
        <f>IF(A28='Invoer gegevens'!$C$9,1,0)</f>
        <v>0</v>
      </c>
      <c r="P28" s="33"/>
    </row>
    <row r="29" spans="1:16" x14ac:dyDescent="0.25">
      <c r="A29" s="24" t="s">
        <v>462</v>
      </c>
      <c r="B29" s="32">
        <v>3.1E-2</v>
      </c>
      <c r="C29" s="32">
        <v>4.1000000000000002E-2</v>
      </c>
      <c r="D29" s="32">
        <v>3.4000000000000002E-2</v>
      </c>
      <c r="E29" s="32">
        <v>2.7E-2</v>
      </c>
      <c r="F29" s="32">
        <v>0.02</v>
      </c>
      <c r="G29" s="24">
        <f>IF(A29='Invoer gegevens'!$C$9,1,0)</f>
        <v>0</v>
      </c>
      <c r="I29" s="24" t="s">
        <v>462</v>
      </c>
      <c r="J29" s="32">
        <v>3.1E-2</v>
      </c>
      <c r="K29" s="32">
        <v>4.1000000000000002E-2</v>
      </c>
      <c r="L29" s="32">
        <v>3.4000000000000002E-2</v>
      </c>
      <c r="M29" s="32">
        <v>2.7E-2</v>
      </c>
      <c r="N29" s="32">
        <v>0.02</v>
      </c>
      <c r="O29" s="24">
        <f>IF(A29='Invoer gegevens'!$C$9,1,0)</f>
        <v>0</v>
      </c>
      <c r="P29" s="33"/>
    </row>
    <row r="30" spans="1:16" x14ac:dyDescent="0.25">
      <c r="A30" s="24" t="s">
        <v>75</v>
      </c>
      <c r="B30" s="32">
        <v>5.5E-2</v>
      </c>
      <c r="C30" s="32">
        <v>7.2999999999999995E-2</v>
      </c>
      <c r="D30" s="32">
        <v>5.5E-2</v>
      </c>
      <c r="E30" s="32">
        <v>3.7999999999999999E-2</v>
      </c>
      <c r="F30" s="32">
        <v>0.02</v>
      </c>
      <c r="G30" s="24">
        <f>IF(A30='Invoer gegevens'!$C$9,1,0)</f>
        <v>0</v>
      </c>
      <c r="I30" s="24" t="s">
        <v>75</v>
      </c>
      <c r="J30" s="32">
        <v>5.5E-2</v>
      </c>
      <c r="K30" s="32">
        <v>7.2999999999999995E-2</v>
      </c>
      <c r="L30" s="32">
        <v>5.5E-2</v>
      </c>
      <c r="M30" s="32">
        <v>3.7999999999999999E-2</v>
      </c>
      <c r="N30" s="32">
        <v>0.02</v>
      </c>
      <c r="O30" s="24">
        <f>IF(A30='Invoer gegevens'!$C$9,1,0)</f>
        <v>0</v>
      </c>
      <c r="P30" s="33"/>
    </row>
    <row r="31" spans="1:16" x14ac:dyDescent="0.25">
      <c r="A31" s="1" t="s">
        <v>856</v>
      </c>
      <c r="B31" s="239">
        <f>SUMPRODUCT(B15:B30,$G$15:$G$30)</f>
        <v>1E-3</v>
      </c>
      <c r="C31" s="239">
        <f>SUMPRODUCT(C15:C30,$G$15:$G$30)</f>
        <v>1.2E-2</v>
      </c>
      <c r="D31" s="239">
        <f>SUMPRODUCT(D15:D30,$G$15:$G$30)</f>
        <v>1.4999999999999999E-2</v>
      </c>
      <c r="E31" s="239">
        <f>SUMPRODUCT(E15:E30,$G$15:$G$30)</f>
        <v>1.7000000000000001E-2</v>
      </c>
      <c r="F31" s="239">
        <f>SUMPRODUCT(F15:F30,$G$15:$G$30)</f>
        <v>0.02</v>
      </c>
      <c r="I31" s="1" t="s">
        <v>856</v>
      </c>
      <c r="J31" s="239">
        <f>SUMPRODUCT(J15:J30,$G$15:$G$30)</f>
        <v>1E-3</v>
      </c>
      <c r="K31" s="239">
        <f>SUMPRODUCT(K15:K30,$G$15:$G$30)</f>
        <v>1.2E-2</v>
      </c>
      <c r="L31" s="239">
        <f>SUMPRODUCT(L15:L30,$G$15:$G$30)</f>
        <v>1.4999999999999999E-2</v>
      </c>
      <c r="M31" s="239">
        <f>SUMPRODUCT(M15:M30,$G$15:$G$30)</f>
        <v>1.7000000000000001E-2</v>
      </c>
      <c r="N31" s="239">
        <f>SUMPRODUCT(N15:N30,$G$15:$G$30)</f>
        <v>0.02</v>
      </c>
      <c r="P31" s="33"/>
    </row>
    <row r="32" spans="1:16" x14ac:dyDescent="0.25">
      <c r="F32" s="34"/>
      <c r="N32" s="34"/>
      <c r="P32" s="33"/>
    </row>
    <row r="33" spans="1:16" x14ac:dyDescent="0.25">
      <c r="A33" s="23" t="s">
        <v>76</v>
      </c>
      <c r="B33" s="23"/>
      <c r="C33" s="23"/>
      <c r="D33" s="23"/>
      <c r="E33" s="23"/>
      <c r="F33" s="23"/>
      <c r="I33" s="23" t="s">
        <v>76</v>
      </c>
      <c r="J33" s="23"/>
      <c r="K33" s="23"/>
      <c r="L33" s="23"/>
      <c r="M33" s="23"/>
      <c r="N33" s="23"/>
      <c r="P33" s="33"/>
    </row>
    <row r="34" spans="1:16" x14ac:dyDescent="0.25">
      <c r="A34" s="24" t="s">
        <v>77</v>
      </c>
      <c r="B34" s="35">
        <v>6.1800000000000001E-2</v>
      </c>
      <c r="F34" s="34"/>
      <c r="I34" s="24" t="s">
        <v>77</v>
      </c>
      <c r="J34" s="35">
        <v>6.1800000000000001E-2</v>
      </c>
      <c r="N34" s="34"/>
    </row>
    <row r="35" spans="1:16" x14ac:dyDescent="0.25">
      <c r="A35" s="24" t="s">
        <v>78</v>
      </c>
      <c r="B35" s="35">
        <v>3.2500000000000001E-2</v>
      </c>
      <c r="F35" s="34"/>
      <c r="I35" s="24" t="s">
        <v>78</v>
      </c>
      <c r="J35" s="35">
        <v>3.2500000000000001E-2</v>
      </c>
      <c r="N35" s="34"/>
    </row>
    <row r="36" spans="1:16" x14ac:dyDescent="0.25">
      <c r="A36" s="24" t="s">
        <v>79</v>
      </c>
      <c r="B36" s="35">
        <v>0.1</v>
      </c>
      <c r="F36" s="34"/>
      <c r="I36" s="24" t="s">
        <v>79</v>
      </c>
      <c r="J36" s="35">
        <v>0.1</v>
      </c>
      <c r="N36" s="34"/>
    </row>
    <row r="37" spans="1:16" x14ac:dyDescent="0.25">
      <c r="A37" s="24" t="s">
        <v>80</v>
      </c>
      <c r="B37" s="35">
        <f>MAX(B35,MIN(B36,B34+SUM(G49:G126)))</f>
        <v>8.4900000000000003E-2</v>
      </c>
      <c r="F37" s="34"/>
      <c r="I37" s="24" t="s">
        <v>80</v>
      </c>
      <c r="J37" s="35">
        <f>MAX(J35,MIN(J36,J34+SUM(O49:O126)))</f>
        <v>4.99E-2</v>
      </c>
      <c r="N37" s="34"/>
    </row>
    <row r="38" spans="1:16" x14ac:dyDescent="0.25">
      <c r="A38" s="5" t="s">
        <v>832</v>
      </c>
      <c r="B38" s="36">
        <f>Dashboard!C24</f>
        <v>31550</v>
      </c>
      <c r="F38" s="37"/>
      <c r="I38" s="24" t="s">
        <v>81</v>
      </c>
      <c r="J38" s="36">
        <f>Dashboard!$D$24</f>
        <v>0</v>
      </c>
      <c r="N38" s="37"/>
    </row>
    <row r="39" spans="1:16" x14ac:dyDescent="0.25">
      <c r="A39" s="5" t="s">
        <v>833</v>
      </c>
      <c r="B39" s="36">
        <f>B38*B37/12</f>
        <v>223.21625000000003</v>
      </c>
      <c r="F39" s="37"/>
      <c r="I39" s="24" t="s">
        <v>82</v>
      </c>
      <c r="J39" s="36">
        <f>J38*J37/12</f>
        <v>0</v>
      </c>
      <c r="N39" s="37"/>
    </row>
    <row r="40" spans="1:16" x14ac:dyDescent="0.25">
      <c r="B40" s="36"/>
      <c r="F40" s="37"/>
      <c r="J40" s="36"/>
      <c r="N40" s="37"/>
    </row>
    <row r="41" spans="1:16" x14ac:dyDescent="0.25">
      <c r="A41" s="27" t="s">
        <v>83</v>
      </c>
      <c r="B41" s="28"/>
      <c r="C41" s="28"/>
      <c r="D41" s="28"/>
      <c r="E41" s="28"/>
      <c r="F41" s="28"/>
      <c r="I41" s="27" t="s">
        <v>83</v>
      </c>
      <c r="J41" s="28"/>
      <c r="K41" s="28"/>
      <c r="L41" s="28"/>
      <c r="M41" s="28"/>
      <c r="N41" s="28"/>
    </row>
    <row r="42" spans="1:16" x14ac:dyDescent="0.25">
      <c r="A42" s="24" t="s">
        <v>84</v>
      </c>
      <c r="B42" s="38" t="s">
        <v>85</v>
      </c>
      <c r="F42" s="34"/>
      <c r="I42" s="24" t="s">
        <v>84</v>
      </c>
      <c r="J42" s="38" t="s">
        <v>85</v>
      </c>
      <c r="N42" s="34"/>
    </row>
    <row r="43" spans="1:16" x14ac:dyDescent="0.25">
      <c r="A43" s="24" t="s">
        <v>86</v>
      </c>
      <c r="B43" s="38" t="s">
        <v>87</v>
      </c>
      <c r="F43" s="34"/>
      <c r="I43" s="24" t="s">
        <v>86</v>
      </c>
      <c r="J43" s="38" t="s">
        <v>87</v>
      </c>
      <c r="N43" s="34"/>
    </row>
    <row r="44" spans="1:16" x14ac:dyDescent="0.25">
      <c r="A44" s="24" t="s">
        <v>88</v>
      </c>
      <c r="B44" s="38" t="s">
        <v>89</v>
      </c>
      <c r="F44" s="34"/>
      <c r="I44" s="24" t="s">
        <v>88</v>
      </c>
      <c r="J44" s="38" t="s">
        <v>89</v>
      </c>
      <c r="N44" s="34"/>
    </row>
    <row r="45" spans="1:16" x14ac:dyDescent="0.25">
      <c r="A45" s="24" t="s">
        <v>90</v>
      </c>
      <c r="B45" s="38" t="s">
        <v>91</v>
      </c>
      <c r="F45" s="34"/>
      <c r="I45" s="24" t="s">
        <v>90</v>
      </c>
      <c r="J45" s="38" t="s">
        <v>91</v>
      </c>
      <c r="N45" s="34"/>
    </row>
    <row r="46" spans="1:16" x14ac:dyDescent="0.25">
      <c r="A46" s="24" t="s">
        <v>92</v>
      </c>
      <c r="B46" s="38" t="s">
        <v>93</v>
      </c>
      <c r="F46" s="34"/>
      <c r="I46" s="24" t="s">
        <v>92</v>
      </c>
      <c r="J46" s="38" t="s">
        <v>93</v>
      </c>
      <c r="N46" s="34"/>
    </row>
    <row r="47" spans="1:16" x14ac:dyDescent="0.25">
      <c r="F47" s="34"/>
      <c r="N47" s="34"/>
    </row>
    <row r="48" spans="1:16" x14ac:dyDescent="0.25">
      <c r="A48" s="27" t="s">
        <v>94</v>
      </c>
      <c r="B48" s="28"/>
      <c r="C48" s="28"/>
      <c r="D48" s="28"/>
      <c r="E48" s="28"/>
      <c r="F48" s="28"/>
      <c r="I48" s="27" t="s">
        <v>94</v>
      </c>
      <c r="J48" s="28"/>
      <c r="K48" s="28"/>
      <c r="L48" s="28"/>
      <c r="M48" s="28"/>
      <c r="N48" s="28"/>
    </row>
    <row r="49" spans="1:15" x14ac:dyDescent="0.25">
      <c r="A49" s="24" t="s">
        <v>95</v>
      </c>
      <c r="B49" s="39">
        <v>3.5000000000000003E-2</v>
      </c>
      <c r="C49" s="40">
        <v>0</v>
      </c>
      <c r="D49" s="40">
        <v>50000</v>
      </c>
      <c r="E49" s="40">
        <f>B38</f>
        <v>31550</v>
      </c>
      <c r="F49" s="41">
        <f>IF(E49&gt;C49,IF(E49&lt;=D49,1,0),0)</f>
        <v>1</v>
      </c>
      <c r="G49" s="42">
        <f>F49*B49</f>
        <v>3.5000000000000003E-2</v>
      </c>
      <c r="H49" s="42"/>
      <c r="I49" s="24" t="s">
        <v>95</v>
      </c>
      <c r="J49" s="39">
        <v>3.5000000000000003E-2</v>
      </c>
      <c r="K49" s="40">
        <v>0</v>
      </c>
      <c r="L49" s="40">
        <v>50000</v>
      </c>
      <c r="M49" s="40">
        <f>J38</f>
        <v>0</v>
      </c>
      <c r="N49" s="41">
        <f>IF(M49&gt;K49,IF(M49&lt;=L49,1,0),0)</f>
        <v>0</v>
      </c>
      <c r="O49" s="42">
        <f>N49*J49</f>
        <v>0</v>
      </c>
    </row>
    <row r="50" spans="1:15" x14ac:dyDescent="0.25">
      <c r="A50" s="24" t="s">
        <v>96</v>
      </c>
      <c r="B50" s="39">
        <v>3.2199999999999999E-2</v>
      </c>
      <c r="C50" s="40">
        <f>C49+50000.01</f>
        <v>50000.01</v>
      </c>
      <c r="D50" s="40">
        <v>75000</v>
      </c>
      <c r="E50" s="40">
        <f>E49</f>
        <v>31550</v>
      </c>
      <c r="F50" s="41">
        <f t="shared" ref="F50:F64" si="0">IF(E50&gt;C50,IF(E50&lt;=D50,1,0),0)</f>
        <v>0</v>
      </c>
      <c r="G50" s="42">
        <f t="shared" ref="G50:G64" si="1">F50*B50</f>
        <v>0</v>
      </c>
      <c r="H50" s="42"/>
      <c r="I50" s="24" t="s">
        <v>96</v>
      </c>
      <c r="J50" s="39">
        <v>3.2199999999999999E-2</v>
      </c>
      <c r="K50" s="40">
        <f>K49+50000.01</f>
        <v>50000.01</v>
      </c>
      <c r="L50" s="40">
        <v>75000</v>
      </c>
      <c r="M50" s="40">
        <f>M49</f>
        <v>0</v>
      </c>
      <c r="N50" s="41">
        <f t="shared" ref="N50:N64" si="2">IF(M50&gt;K50,IF(M50&lt;=L50,1,0),0)</f>
        <v>0</v>
      </c>
      <c r="O50" s="42">
        <f t="shared" ref="O50:O64" si="3">N50*J50</f>
        <v>0</v>
      </c>
    </row>
    <row r="51" spans="1:15" x14ac:dyDescent="0.25">
      <c r="A51" s="24" t="s">
        <v>97</v>
      </c>
      <c r="B51" s="39">
        <v>2.35E-2</v>
      </c>
      <c r="C51" s="40">
        <f>C50+25000</f>
        <v>75000.010000000009</v>
      </c>
      <c r="D51" s="40">
        <v>100000</v>
      </c>
      <c r="E51" s="40">
        <f>E50</f>
        <v>31550</v>
      </c>
      <c r="F51" s="41">
        <f t="shared" si="0"/>
        <v>0</v>
      </c>
      <c r="G51" s="42">
        <f t="shared" si="1"/>
        <v>0</v>
      </c>
      <c r="H51" s="42"/>
      <c r="I51" s="24" t="s">
        <v>97</v>
      </c>
      <c r="J51" s="39">
        <v>2.35E-2</v>
      </c>
      <c r="K51" s="40">
        <f>K50+25000</f>
        <v>75000.010000000009</v>
      </c>
      <c r="L51" s="40">
        <v>100000</v>
      </c>
      <c r="M51" s="40">
        <f>M50</f>
        <v>0</v>
      </c>
      <c r="N51" s="41">
        <f t="shared" si="2"/>
        <v>0</v>
      </c>
      <c r="O51" s="42">
        <f t="shared" si="3"/>
        <v>0</v>
      </c>
    </row>
    <row r="52" spans="1:15" x14ac:dyDescent="0.25">
      <c r="A52" s="24" t="s">
        <v>98</v>
      </c>
      <c r="B52" s="39">
        <v>1.49E-2</v>
      </c>
      <c r="C52" s="40">
        <f t="shared" ref="C52:C60" si="4">C51+25000</f>
        <v>100000.01000000001</v>
      </c>
      <c r="D52" s="40">
        <v>125000</v>
      </c>
      <c r="E52" s="40">
        <f t="shared" ref="E52:E64" si="5">E51</f>
        <v>31550</v>
      </c>
      <c r="F52" s="41">
        <f t="shared" si="0"/>
        <v>0</v>
      </c>
      <c r="G52" s="42">
        <f t="shared" si="1"/>
        <v>0</v>
      </c>
      <c r="H52" s="42"/>
      <c r="I52" s="24" t="s">
        <v>98</v>
      </c>
      <c r="J52" s="39">
        <v>1.49E-2</v>
      </c>
      <c r="K52" s="40">
        <f t="shared" ref="K52:K60" si="6">K51+25000</f>
        <v>100000.01000000001</v>
      </c>
      <c r="L52" s="40">
        <v>125000</v>
      </c>
      <c r="M52" s="40">
        <f t="shared" ref="M52:M64" si="7">M51</f>
        <v>0</v>
      </c>
      <c r="N52" s="41">
        <f t="shared" si="2"/>
        <v>0</v>
      </c>
      <c r="O52" s="42">
        <f t="shared" si="3"/>
        <v>0</v>
      </c>
    </row>
    <row r="53" spans="1:15" x14ac:dyDescent="0.25">
      <c r="A53" s="24" t="s">
        <v>99</v>
      </c>
      <c r="B53" s="39">
        <v>9.2999999999999992E-3</v>
      </c>
      <c r="C53" s="40">
        <f t="shared" si="4"/>
        <v>125000.01000000001</v>
      </c>
      <c r="D53" s="40">
        <v>150000</v>
      </c>
      <c r="E53" s="40">
        <f t="shared" si="5"/>
        <v>31550</v>
      </c>
      <c r="F53" s="41">
        <f t="shared" si="0"/>
        <v>0</v>
      </c>
      <c r="G53" s="42">
        <f t="shared" si="1"/>
        <v>0</v>
      </c>
      <c r="H53" s="42"/>
      <c r="I53" s="24" t="s">
        <v>99</v>
      </c>
      <c r="J53" s="39">
        <v>9.2999999999999992E-3</v>
      </c>
      <c r="K53" s="40">
        <f t="shared" si="6"/>
        <v>125000.01000000001</v>
      </c>
      <c r="L53" s="40">
        <v>150000</v>
      </c>
      <c r="M53" s="40">
        <f t="shared" si="7"/>
        <v>0</v>
      </c>
      <c r="N53" s="41">
        <f t="shared" si="2"/>
        <v>0</v>
      </c>
      <c r="O53" s="42">
        <f t="shared" si="3"/>
        <v>0</v>
      </c>
    </row>
    <row r="54" spans="1:15" x14ac:dyDescent="0.25">
      <c r="A54" s="24" t="s">
        <v>100</v>
      </c>
      <c r="B54" s="39">
        <v>4.1999999999999997E-3</v>
      </c>
      <c r="C54" s="40">
        <f t="shared" si="4"/>
        <v>150000.01</v>
      </c>
      <c r="D54" s="40">
        <v>175000</v>
      </c>
      <c r="E54" s="40">
        <f t="shared" si="5"/>
        <v>31550</v>
      </c>
      <c r="F54" s="41">
        <f t="shared" si="0"/>
        <v>0</v>
      </c>
      <c r="G54" s="42">
        <f t="shared" si="1"/>
        <v>0</v>
      </c>
      <c r="H54" s="42"/>
      <c r="I54" s="24" t="s">
        <v>100</v>
      </c>
      <c r="J54" s="39">
        <v>4.1999999999999997E-3</v>
      </c>
      <c r="K54" s="40">
        <f t="shared" si="6"/>
        <v>150000.01</v>
      </c>
      <c r="L54" s="40">
        <v>175000</v>
      </c>
      <c r="M54" s="40">
        <f t="shared" si="7"/>
        <v>0</v>
      </c>
      <c r="N54" s="41">
        <f t="shared" si="2"/>
        <v>0</v>
      </c>
      <c r="O54" s="42">
        <f t="shared" si="3"/>
        <v>0</v>
      </c>
    </row>
    <row r="55" spans="1:15" x14ac:dyDescent="0.25">
      <c r="A55" s="24" t="s">
        <v>85</v>
      </c>
      <c r="B55" s="39">
        <v>0</v>
      </c>
      <c r="C55" s="40">
        <f t="shared" si="4"/>
        <v>175000.01</v>
      </c>
      <c r="D55" s="40">
        <v>200000</v>
      </c>
      <c r="E55" s="40">
        <f t="shared" si="5"/>
        <v>31550</v>
      </c>
      <c r="F55" s="41">
        <f t="shared" si="0"/>
        <v>0</v>
      </c>
      <c r="G55" s="42">
        <f t="shared" si="1"/>
        <v>0</v>
      </c>
      <c r="H55" s="42"/>
      <c r="I55" s="24" t="s">
        <v>85</v>
      </c>
      <c r="J55" s="39">
        <v>0</v>
      </c>
      <c r="K55" s="40">
        <f t="shared" si="6"/>
        <v>175000.01</v>
      </c>
      <c r="L55" s="40">
        <v>200000</v>
      </c>
      <c r="M55" s="40">
        <f t="shared" si="7"/>
        <v>0</v>
      </c>
      <c r="N55" s="41">
        <f t="shared" si="2"/>
        <v>0</v>
      </c>
      <c r="O55" s="42">
        <f t="shared" si="3"/>
        <v>0</v>
      </c>
    </row>
    <row r="56" spans="1:15" x14ac:dyDescent="0.25">
      <c r="A56" s="24" t="s">
        <v>101</v>
      </c>
      <c r="B56" s="39">
        <v>-2.5000000000000001E-3</v>
      </c>
      <c r="C56" s="40">
        <f t="shared" si="4"/>
        <v>200000.01</v>
      </c>
      <c r="D56" s="40">
        <v>225000</v>
      </c>
      <c r="E56" s="40">
        <f t="shared" si="5"/>
        <v>31550</v>
      </c>
      <c r="F56" s="41">
        <f t="shared" si="0"/>
        <v>0</v>
      </c>
      <c r="G56" s="42">
        <f t="shared" si="1"/>
        <v>0</v>
      </c>
      <c r="H56" s="42"/>
      <c r="I56" s="24" t="s">
        <v>101</v>
      </c>
      <c r="J56" s="39">
        <v>-2.5000000000000001E-3</v>
      </c>
      <c r="K56" s="40">
        <f t="shared" si="6"/>
        <v>200000.01</v>
      </c>
      <c r="L56" s="40">
        <v>225000</v>
      </c>
      <c r="M56" s="40">
        <f t="shared" si="7"/>
        <v>0</v>
      </c>
      <c r="N56" s="41">
        <f t="shared" si="2"/>
        <v>0</v>
      </c>
      <c r="O56" s="42">
        <f t="shared" si="3"/>
        <v>0</v>
      </c>
    </row>
    <row r="57" spans="1:15" x14ac:dyDescent="0.25">
      <c r="A57" s="24" t="s">
        <v>102</v>
      </c>
      <c r="B57" s="39">
        <v>-4.7000000000000002E-3</v>
      </c>
      <c r="C57" s="40">
        <f t="shared" si="4"/>
        <v>225000.01</v>
      </c>
      <c r="D57" s="40">
        <v>250000</v>
      </c>
      <c r="E57" s="40">
        <f t="shared" si="5"/>
        <v>31550</v>
      </c>
      <c r="F57" s="41">
        <f t="shared" si="0"/>
        <v>0</v>
      </c>
      <c r="G57" s="42">
        <f t="shared" si="1"/>
        <v>0</v>
      </c>
      <c r="H57" s="42"/>
      <c r="I57" s="24" t="s">
        <v>102</v>
      </c>
      <c r="J57" s="39">
        <v>-4.7000000000000002E-3</v>
      </c>
      <c r="K57" s="40">
        <f t="shared" si="6"/>
        <v>225000.01</v>
      </c>
      <c r="L57" s="40">
        <v>250000</v>
      </c>
      <c r="M57" s="40">
        <f t="shared" si="7"/>
        <v>0</v>
      </c>
      <c r="N57" s="41">
        <f t="shared" si="2"/>
        <v>0</v>
      </c>
      <c r="O57" s="42">
        <f t="shared" si="3"/>
        <v>0</v>
      </c>
    </row>
    <row r="58" spans="1:15" x14ac:dyDescent="0.25">
      <c r="A58" s="24" t="s">
        <v>103</v>
      </c>
      <c r="B58" s="39">
        <v>-5.4999999999999997E-3</v>
      </c>
      <c r="C58" s="40">
        <f t="shared" si="4"/>
        <v>250000.01</v>
      </c>
      <c r="D58" s="40">
        <v>275000</v>
      </c>
      <c r="E58" s="40">
        <f t="shared" si="5"/>
        <v>31550</v>
      </c>
      <c r="F58" s="41">
        <f t="shared" si="0"/>
        <v>0</v>
      </c>
      <c r="G58" s="42">
        <f t="shared" si="1"/>
        <v>0</v>
      </c>
      <c r="H58" s="42"/>
      <c r="I58" s="24" t="s">
        <v>103</v>
      </c>
      <c r="J58" s="39">
        <v>-5.4999999999999997E-3</v>
      </c>
      <c r="K58" s="40">
        <f t="shared" si="6"/>
        <v>250000.01</v>
      </c>
      <c r="L58" s="40">
        <v>275000</v>
      </c>
      <c r="M58" s="40">
        <f t="shared" si="7"/>
        <v>0</v>
      </c>
      <c r="N58" s="41">
        <f t="shared" si="2"/>
        <v>0</v>
      </c>
      <c r="O58" s="42">
        <f t="shared" si="3"/>
        <v>0</v>
      </c>
    </row>
    <row r="59" spans="1:15" x14ac:dyDescent="0.25">
      <c r="A59" s="24" t="s">
        <v>104</v>
      </c>
      <c r="B59" s="39">
        <v>-6.4999999999999997E-3</v>
      </c>
      <c r="C59" s="40">
        <f t="shared" si="4"/>
        <v>275000.01</v>
      </c>
      <c r="D59" s="40">
        <v>300000</v>
      </c>
      <c r="E59" s="40">
        <f t="shared" si="5"/>
        <v>31550</v>
      </c>
      <c r="F59" s="41">
        <f t="shared" si="0"/>
        <v>0</v>
      </c>
      <c r="G59" s="42">
        <f t="shared" si="1"/>
        <v>0</v>
      </c>
      <c r="H59" s="42"/>
      <c r="I59" s="24" t="s">
        <v>104</v>
      </c>
      <c r="J59" s="39">
        <v>-6.4999999999999997E-3</v>
      </c>
      <c r="K59" s="40">
        <f t="shared" si="6"/>
        <v>275000.01</v>
      </c>
      <c r="L59" s="40">
        <v>300000</v>
      </c>
      <c r="M59" s="40">
        <f t="shared" si="7"/>
        <v>0</v>
      </c>
      <c r="N59" s="41">
        <f t="shared" si="2"/>
        <v>0</v>
      </c>
      <c r="O59" s="42">
        <f t="shared" si="3"/>
        <v>0</v>
      </c>
    </row>
    <row r="60" spans="1:15" x14ac:dyDescent="0.25">
      <c r="A60" s="24" t="s">
        <v>105</v>
      </c>
      <c r="B60" s="39">
        <v>-7.9000000000000008E-3</v>
      </c>
      <c r="C60" s="40">
        <f t="shared" si="4"/>
        <v>300000.01</v>
      </c>
      <c r="D60" s="40">
        <v>350000</v>
      </c>
      <c r="E60" s="40">
        <f t="shared" si="5"/>
        <v>31550</v>
      </c>
      <c r="F60" s="41">
        <f t="shared" si="0"/>
        <v>0</v>
      </c>
      <c r="G60" s="42">
        <f t="shared" si="1"/>
        <v>0</v>
      </c>
      <c r="H60" s="42"/>
      <c r="I60" s="24" t="s">
        <v>105</v>
      </c>
      <c r="J60" s="39">
        <v>-7.9000000000000008E-3</v>
      </c>
      <c r="K60" s="40">
        <f t="shared" si="6"/>
        <v>300000.01</v>
      </c>
      <c r="L60" s="40">
        <v>350000</v>
      </c>
      <c r="M60" s="40">
        <f t="shared" si="7"/>
        <v>0</v>
      </c>
      <c r="N60" s="41">
        <f t="shared" si="2"/>
        <v>0</v>
      </c>
      <c r="O60" s="42">
        <f t="shared" si="3"/>
        <v>0</v>
      </c>
    </row>
    <row r="61" spans="1:15" x14ac:dyDescent="0.25">
      <c r="A61" s="24" t="s">
        <v>106</v>
      </c>
      <c r="B61" s="39">
        <v>-9.2999999999999992E-3</v>
      </c>
      <c r="C61" s="40">
        <v>350000</v>
      </c>
      <c r="D61" s="40">
        <v>400000</v>
      </c>
      <c r="E61" s="40">
        <f t="shared" si="5"/>
        <v>31550</v>
      </c>
      <c r="F61" s="41">
        <f t="shared" si="0"/>
        <v>0</v>
      </c>
      <c r="G61" s="42">
        <f t="shared" si="1"/>
        <v>0</v>
      </c>
      <c r="H61" s="42"/>
      <c r="I61" s="24" t="s">
        <v>106</v>
      </c>
      <c r="J61" s="39">
        <v>-9.2999999999999992E-3</v>
      </c>
      <c r="K61" s="40">
        <v>350000</v>
      </c>
      <c r="L61" s="40">
        <v>400000</v>
      </c>
      <c r="M61" s="40">
        <f t="shared" si="7"/>
        <v>0</v>
      </c>
      <c r="N61" s="41">
        <f t="shared" si="2"/>
        <v>0</v>
      </c>
      <c r="O61" s="42">
        <f t="shared" si="3"/>
        <v>0</v>
      </c>
    </row>
    <row r="62" spans="1:15" x14ac:dyDescent="0.25">
      <c r="A62" s="24" t="s">
        <v>107</v>
      </c>
      <c r="B62" s="39">
        <v>-1.0200000000000001E-2</v>
      </c>
      <c r="C62" s="40">
        <v>400000</v>
      </c>
      <c r="D62" s="40">
        <v>450000</v>
      </c>
      <c r="E62" s="40">
        <f t="shared" si="5"/>
        <v>31550</v>
      </c>
      <c r="F62" s="41">
        <f t="shared" si="0"/>
        <v>0</v>
      </c>
      <c r="G62" s="42">
        <f t="shared" si="1"/>
        <v>0</v>
      </c>
      <c r="H62" s="42"/>
      <c r="I62" s="24" t="s">
        <v>107</v>
      </c>
      <c r="J62" s="39">
        <v>-1.0200000000000001E-2</v>
      </c>
      <c r="K62" s="40">
        <v>400000</v>
      </c>
      <c r="L62" s="40">
        <v>450000</v>
      </c>
      <c r="M62" s="40">
        <f t="shared" si="7"/>
        <v>0</v>
      </c>
      <c r="N62" s="41">
        <f t="shared" si="2"/>
        <v>0</v>
      </c>
      <c r="O62" s="42">
        <f t="shared" si="3"/>
        <v>0</v>
      </c>
    </row>
    <row r="63" spans="1:15" x14ac:dyDescent="0.25">
      <c r="A63" s="24" t="s">
        <v>108</v>
      </c>
      <c r="B63" s="39">
        <v>-1.0800000000000001E-2</v>
      </c>
      <c r="C63" s="40">
        <v>450000</v>
      </c>
      <c r="D63" s="40">
        <v>500000</v>
      </c>
      <c r="E63" s="40">
        <f t="shared" si="5"/>
        <v>31550</v>
      </c>
      <c r="F63" s="41">
        <f t="shared" si="0"/>
        <v>0</v>
      </c>
      <c r="G63" s="42">
        <f t="shared" si="1"/>
        <v>0</v>
      </c>
      <c r="H63" s="42"/>
      <c r="I63" s="24" t="s">
        <v>108</v>
      </c>
      <c r="J63" s="39">
        <v>-1.0800000000000001E-2</v>
      </c>
      <c r="K63" s="40">
        <v>450000</v>
      </c>
      <c r="L63" s="40">
        <v>500000</v>
      </c>
      <c r="M63" s="40">
        <f t="shared" si="7"/>
        <v>0</v>
      </c>
      <c r="N63" s="41">
        <f t="shared" si="2"/>
        <v>0</v>
      </c>
      <c r="O63" s="42">
        <f t="shared" si="3"/>
        <v>0</v>
      </c>
    </row>
    <row r="64" spans="1:15" x14ac:dyDescent="0.25">
      <c r="A64" s="24" t="s">
        <v>109</v>
      </c>
      <c r="B64" s="39">
        <v>-1.4999999999999999E-2</v>
      </c>
      <c r="C64" s="40">
        <v>500000</v>
      </c>
      <c r="D64" s="40">
        <v>999000</v>
      </c>
      <c r="E64" s="40">
        <f t="shared" si="5"/>
        <v>31550</v>
      </c>
      <c r="F64" s="41">
        <f t="shared" si="0"/>
        <v>0</v>
      </c>
      <c r="G64" s="42">
        <f t="shared" si="1"/>
        <v>0</v>
      </c>
      <c r="H64" s="42"/>
      <c r="I64" s="24" t="s">
        <v>109</v>
      </c>
      <c r="J64" s="39">
        <v>-1.4999999999999999E-2</v>
      </c>
      <c r="K64" s="40">
        <v>500000</v>
      </c>
      <c r="L64" s="40">
        <v>999000</v>
      </c>
      <c r="M64" s="40">
        <f t="shared" si="7"/>
        <v>0</v>
      </c>
      <c r="N64" s="41">
        <f t="shared" si="2"/>
        <v>0</v>
      </c>
      <c r="O64" s="42">
        <f t="shared" si="3"/>
        <v>0</v>
      </c>
    </row>
    <row r="66" spans="1:16" x14ac:dyDescent="0.25">
      <c r="A66" s="27" t="s">
        <v>110</v>
      </c>
      <c r="B66" s="28"/>
      <c r="C66" s="28"/>
      <c r="D66" s="28"/>
      <c r="E66" s="28"/>
      <c r="F66" s="28"/>
      <c r="I66" s="27" t="s">
        <v>110</v>
      </c>
      <c r="J66" s="28"/>
      <c r="K66" s="28"/>
      <c r="L66" s="28"/>
      <c r="M66" s="28"/>
      <c r="N66" s="28"/>
    </row>
    <row r="67" spans="1:16" x14ac:dyDescent="0.25">
      <c r="A67" s="24" t="s">
        <v>111</v>
      </c>
      <c r="B67" s="39">
        <v>6.6E-3</v>
      </c>
      <c r="C67" s="44">
        <v>0</v>
      </c>
      <c r="D67" s="44">
        <v>1900</v>
      </c>
      <c r="E67" s="44">
        <f>Dashboard!$C$14</f>
        <v>1970</v>
      </c>
      <c r="F67" s="41">
        <f t="shared" ref="F67:F72" si="8">IF(E67&gt;=C67,IF(E67&lt;D67,1,0),0)</f>
        <v>0</v>
      </c>
      <c r="G67" s="42">
        <f t="shared" ref="G67:G72" si="9">F67*B67</f>
        <v>0</v>
      </c>
      <c r="H67" s="42"/>
      <c r="I67" s="24" t="s">
        <v>111</v>
      </c>
      <c r="J67" s="39">
        <v>6.6E-3</v>
      </c>
      <c r="K67" s="44">
        <v>0</v>
      </c>
      <c r="L67" s="44">
        <v>1900</v>
      </c>
      <c r="M67" s="44">
        <f>Dashboard!$C$14</f>
        <v>1970</v>
      </c>
      <c r="N67" s="41">
        <f t="shared" ref="N67:N72" si="10">IF(M67&gt;=K67,IF(M67&lt;L67,1,0),0)</f>
        <v>0</v>
      </c>
      <c r="O67" s="42">
        <f t="shared" ref="O67:O72" si="11">N67*J67</f>
        <v>0</v>
      </c>
    </row>
    <row r="68" spans="1:16" x14ac:dyDescent="0.25">
      <c r="A68" s="24" t="s">
        <v>112</v>
      </c>
      <c r="B68" s="39">
        <v>6.1999999999999998E-3</v>
      </c>
      <c r="C68" s="44">
        <v>1899.999</v>
      </c>
      <c r="D68" s="44">
        <v>1920</v>
      </c>
      <c r="E68" s="44">
        <f>Dashboard!$C$14</f>
        <v>1970</v>
      </c>
      <c r="F68" s="41">
        <f t="shared" si="8"/>
        <v>0</v>
      </c>
      <c r="G68" s="42">
        <f t="shared" si="9"/>
        <v>0</v>
      </c>
      <c r="H68" s="42"/>
      <c r="I68" s="24" t="s">
        <v>112</v>
      </c>
      <c r="J68" s="39">
        <v>6.1999999999999998E-3</v>
      </c>
      <c r="K68" s="44">
        <v>1899.999</v>
      </c>
      <c r="L68" s="44">
        <v>1920</v>
      </c>
      <c r="M68" s="44">
        <f>Dashboard!$C$14</f>
        <v>1970</v>
      </c>
      <c r="N68" s="41">
        <f t="shared" si="10"/>
        <v>0</v>
      </c>
      <c r="O68" s="42">
        <f t="shared" si="11"/>
        <v>0</v>
      </c>
    </row>
    <row r="69" spans="1:16" x14ac:dyDescent="0.25">
      <c r="A69" s="24" t="s">
        <v>113</v>
      </c>
      <c r="B69" s="39">
        <v>3.8E-3</v>
      </c>
      <c r="C69" s="44">
        <f>C68+20</f>
        <v>1919.999</v>
      </c>
      <c r="D69" s="44">
        <v>1940</v>
      </c>
      <c r="E69" s="44">
        <f>Dashboard!$C$14</f>
        <v>1970</v>
      </c>
      <c r="F69" s="41">
        <f t="shared" si="8"/>
        <v>0</v>
      </c>
      <c r="G69" s="42">
        <f t="shared" si="9"/>
        <v>0</v>
      </c>
      <c r="H69" s="42"/>
      <c r="I69" s="24" t="s">
        <v>113</v>
      </c>
      <c r="J69" s="39">
        <v>3.8E-3</v>
      </c>
      <c r="K69" s="44">
        <f>K68+20</f>
        <v>1919.999</v>
      </c>
      <c r="L69" s="44">
        <v>1940</v>
      </c>
      <c r="M69" s="44">
        <f>Dashboard!$C$14</f>
        <v>1970</v>
      </c>
      <c r="N69" s="41">
        <f t="shared" si="10"/>
        <v>0</v>
      </c>
      <c r="O69" s="42">
        <f t="shared" si="11"/>
        <v>0</v>
      </c>
    </row>
    <row r="70" spans="1:16" x14ac:dyDescent="0.25">
      <c r="A70" s="24" t="s">
        <v>114</v>
      </c>
      <c r="B70" s="39">
        <v>3.0000000000000001E-3</v>
      </c>
      <c r="C70" s="44">
        <f>C69+20</f>
        <v>1939.999</v>
      </c>
      <c r="D70" s="44">
        <v>1970</v>
      </c>
      <c r="E70" s="44">
        <f>Dashboard!$C$14</f>
        <v>1970</v>
      </c>
      <c r="F70" s="41">
        <f t="shared" si="8"/>
        <v>0</v>
      </c>
      <c r="G70" s="42">
        <f t="shared" si="9"/>
        <v>0</v>
      </c>
      <c r="H70" s="42"/>
      <c r="I70" s="24" t="s">
        <v>114</v>
      </c>
      <c r="J70" s="39">
        <v>3.0000000000000001E-3</v>
      </c>
      <c r="K70" s="44">
        <f>K69+20</f>
        <v>1939.999</v>
      </c>
      <c r="L70" s="44">
        <v>1970</v>
      </c>
      <c r="M70" s="44">
        <f>Dashboard!$C$14</f>
        <v>1970</v>
      </c>
      <c r="N70" s="41">
        <f t="shared" si="10"/>
        <v>0</v>
      </c>
      <c r="O70" s="42">
        <f t="shared" si="11"/>
        <v>0</v>
      </c>
    </row>
    <row r="71" spans="1:16" x14ac:dyDescent="0.25">
      <c r="A71" s="24" t="s">
        <v>115</v>
      </c>
      <c r="B71" s="39">
        <v>-1E-4</v>
      </c>
      <c r="C71" s="44">
        <f>C70+30</f>
        <v>1969.999</v>
      </c>
      <c r="D71" s="44">
        <v>1990</v>
      </c>
      <c r="E71" s="44">
        <f>Dashboard!$C$14</f>
        <v>1970</v>
      </c>
      <c r="F71" s="41">
        <f t="shared" si="8"/>
        <v>1</v>
      </c>
      <c r="G71" s="42">
        <f t="shared" si="9"/>
        <v>-1E-4</v>
      </c>
      <c r="H71" s="42"/>
      <c r="I71" s="24" t="s">
        <v>115</v>
      </c>
      <c r="J71" s="39">
        <v>-1E-4</v>
      </c>
      <c r="K71" s="44">
        <f>K70+30</f>
        <v>1969.999</v>
      </c>
      <c r="L71" s="44">
        <v>1990</v>
      </c>
      <c r="M71" s="44">
        <f>Dashboard!$C$14</f>
        <v>1970</v>
      </c>
      <c r="N71" s="41">
        <f t="shared" si="10"/>
        <v>1</v>
      </c>
      <c r="O71" s="42">
        <f t="shared" si="11"/>
        <v>-1E-4</v>
      </c>
    </row>
    <row r="72" spans="1:16" x14ac:dyDescent="0.25">
      <c r="A72" s="24" t="s">
        <v>116</v>
      </c>
      <c r="B72" s="39">
        <v>0</v>
      </c>
      <c r="C72" s="44">
        <f>C71+20</f>
        <v>1989.999</v>
      </c>
      <c r="D72" s="44">
        <v>2100</v>
      </c>
      <c r="E72" s="44">
        <f>Dashboard!$C$14</f>
        <v>1970</v>
      </c>
      <c r="F72" s="41">
        <f t="shared" si="8"/>
        <v>0</v>
      </c>
      <c r="G72" s="42">
        <f t="shared" si="9"/>
        <v>0</v>
      </c>
      <c r="H72" s="42"/>
      <c r="I72" s="24" t="s">
        <v>116</v>
      </c>
      <c r="J72" s="39">
        <v>0</v>
      </c>
      <c r="K72" s="44">
        <f>K71+20</f>
        <v>1989.999</v>
      </c>
      <c r="L72" s="44">
        <v>2100</v>
      </c>
      <c r="M72" s="44">
        <f>Dashboard!$C$14</f>
        <v>1970</v>
      </c>
      <c r="N72" s="41">
        <f t="shared" si="10"/>
        <v>0</v>
      </c>
      <c r="O72" s="42">
        <f t="shared" si="11"/>
        <v>0</v>
      </c>
    </row>
    <row r="74" spans="1:16" x14ac:dyDescent="0.25">
      <c r="A74" s="27" t="s">
        <v>117</v>
      </c>
      <c r="B74" s="28"/>
      <c r="C74" s="28"/>
      <c r="D74" s="28"/>
      <c r="E74" s="28"/>
      <c r="F74" s="28"/>
      <c r="I74" s="27" t="s">
        <v>117</v>
      </c>
      <c r="J74" s="28"/>
      <c r="K74" s="28"/>
      <c r="L74" s="28"/>
      <c r="M74" s="28"/>
      <c r="N74" s="28"/>
    </row>
    <row r="75" spans="1:16" x14ac:dyDescent="0.25">
      <c r="A75" s="24" t="s">
        <v>118</v>
      </c>
      <c r="B75" s="39">
        <v>-2E-3</v>
      </c>
      <c r="C75" s="44" t="str">
        <f>Dashboard!$C$15</f>
        <v>EGW</v>
      </c>
      <c r="F75" s="41">
        <f>IF(C75=A75,1,0)</f>
        <v>1</v>
      </c>
      <c r="G75" s="42">
        <f>F75*B75</f>
        <v>-2E-3</v>
      </c>
      <c r="H75" s="42"/>
      <c r="I75" s="24" t="s">
        <v>118</v>
      </c>
      <c r="J75" s="39">
        <v>-2E-3</v>
      </c>
      <c r="K75" s="44" t="str">
        <f>Dashboard!$C$15</f>
        <v>EGW</v>
      </c>
      <c r="N75" s="41">
        <f>IF(K75=I75,1,0)</f>
        <v>1</v>
      </c>
      <c r="O75" s="42">
        <f>N75*J75</f>
        <v>-2E-3</v>
      </c>
    </row>
    <row r="76" spans="1:16" x14ac:dyDescent="0.25">
      <c r="A76" s="24" t="s">
        <v>89</v>
      </c>
      <c r="B76" s="39">
        <v>0</v>
      </c>
      <c r="C76" s="44" t="str">
        <f>Dashboard!$C$15</f>
        <v>EGW</v>
      </c>
      <c r="F76" s="41">
        <f>IF(C76=A76,1,0)</f>
        <v>0</v>
      </c>
      <c r="G76" s="42">
        <f>F76*B76</f>
        <v>0</v>
      </c>
      <c r="H76" s="42"/>
      <c r="I76" s="24" t="s">
        <v>89</v>
      </c>
      <c r="J76" s="39">
        <v>0</v>
      </c>
      <c r="K76" s="44" t="str">
        <f>Dashboard!$C$15</f>
        <v>EGW</v>
      </c>
      <c r="N76" s="41">
        <f>IF(K76=I76,1,0)</f>
        <v>0</v>
      </c>
      <c r="O76" s="42">
        <f>N76*J76</f>
        <v>0</v>
      </c>
    </row>
    <row r="77" spans="1:16" x14ac:dyDescent="0.25">
      <c r="C77" s="44"/>
      <c r="K77" s="44"/>
    </row>
    <row r="78" spans="1:16" x14ac:dyDescent="0.25">
      <c r="A78" s="27" t="s">
        <v>119</v>
      </c>
      <c r="B78" s="28"/>
      <c r="C78" s="28"/>
      <c r="D78" s="28"/>
      <c r="E78" s="28"/>
      <c r="F78" s="28"/>
      <c r="I78" s="27" t="s">
        <v>119</v>
      </c>
      <c r="J78" s="28"/>
      <c r="K78" s="28"/>
      <c r="L78" s="28"/>
      <c r="M78" s="28"/>
      <c r="N78" s="28"/>
      <c r="P78" s="33"/>
    </row>
    <row r="79" spans="1:16" x14ac:dyDescent="0.25">
      <c r="A79" s="24" t="s">
        <v>120</v>
      </c>
      <c r="B79" s="39">
        <v>-8.3999999999999995E-3</v>
      </c>
      <c r="C79" s="44">
        <v>0</v>
      </c>
      <c r="D79" s="44">
        <v>40</v>
      </c>
      <c r="E79" s="44">
        <f>Dashboard!$C$23</f>
        <v>0</v>
      </c>
      <c r="F79" s="41">
        <f t="shared" ref="F79:F84" si="12">IF(E79&gt;=C79,IF(E79&lt;D79,1,0),0)</f>
        <v>1</v>
      </c>
      <c r="G79" s="42">
        <f t="shared" ref="G79:G84" si="13">F79*B79</f>
        <v>-8.3999999999999995E-3</v>
      </c>
      <c r="H79" s="42"/>
      <c r="I79" s="24" t="s">
        <v>120</v>
      </c>
      <c r="J79" s="39">
        <v>-8.3999999999999995E-3</v>
      </c>
      <c r="K79" s="44">
        <v>0</v>
      </c>
      <c r="L79" s="44">
        <v>40</v>
      </c>
      <c r="M79" s="44">
        <f>Dashboard!$D$23</f>
        <v>0</v>
      </c>
      <c r="N79" s="41">
        <f t="shared" ref="N79:N84" si="14">IF(M79&gt;=K79,IF(M79&lt;L79,1,0),0)</f>
        <v>1</v>
      </c>
      <c r="O79" s="42">
        <f t="shared" ref="O79:O84" si="15">N79*J79</f>
        <v>-8.3999999999999995E-3</v>
      </c>
      <c r="P79" s="43"/>
    </row>
    <row r="80" spans="1:16" x14ac:dyDescent="0.25">
      <c r="A80" s="24" t="s">
        <v>121</v>
      </c>
      <c r="B80" s="39">
        <v>-4.1000000000000003E-3</v>
      </c>
      <c r="C80" s="44">
        <v>40</v>
      </c>
      <c r="D80" s="44">
        <v>70</v>
      </c>
      <c r="E80" s="44">
        <f>Dashboard!$C$23</f>
        <v>0</v>
      </c>
      <c r="F80" s="41">
        <f t="shared" si="12"/>
        <v>0</v>
      </c>
      <c r="G80" s="42">
        <f t="shared" si="13"/>
        <v>0</v>
      </c>
      <c r="H80" s="42"/>
      <c r="I80" s="24" t="s">
        <v>121</v>
      </c>
      <c r="J80" s="39">
        <v>-4.1000000000000003E-3</v>
      </c>
      <c r="K80" s="44">
        <v>40</v>
      </c>
      <c r="L80" s="44">
        <v>70</v>
      </c>
      <c r="M80" s="44">
        <f>Dashboard!$D$23</f>
        <v>0</v>
      </c>
      <c r="N80" s="41">
        <f t="shared" si="14"/>
        <v>0</v>
      </c>
      <c r="O80" s="42">
        <f t="shared" si="15"/>
        <v>0</v>
      </c>
      <c r="P80" s="43"/>
    </row>
    <row r="81" spans="1:16" x14ac:dyDescent="0.25">
      <c r="A81" s="24" t="s">
        <v>122</v>
      </c>
      <c r="B81" s="39">
        <v>-2.3E-3</v>
      </c>
      <c r="C81" s="44">
        <v>70</v>
      </c>
      <c r="D81" s="44">
        <v>100</v>
      </c>
      <c r="E81" s="44">
        <f>Dashboard!$C$23</f>
        <v>0</v>
      </c>
      <c r="F81" s="41">
        <f t="shared" si="12"/>
        <v>0</v>
      </c>
      <c r="G81" s="42">
        <f t="shared" si="13"/>
        <v>0</v>
      </c>
      <c r="H81" s="42"/>
      <c r="I81" s="24" t="s">
        <v>122</v>
      </c>
      <c r="J81" s="39">
        <v>-2.3E-3</v>
      </c>
      <c r="K81" s="44">
        <v>70</v>
      </c>
      <c r="L81" s="44">
        <v>100</v>
      </c>
      <c r="M81" s="44">
        <f>Dashboard!$D$23</f>
        <v>0</v>
      </c>
      <c r="N81" s="41">
        <f t="shared" si="14"/>
        <v>0</v>
      </c>
      <c r="O81" s="42">
        <f t="shared" si="15"/>
        <v>0</v>
      </c>
      <c r="P81" s="43"/>
    </row>
    <row r="82" spans="1:16" x14ac:dyDescent="0.25">
      <c r="A82" s="24" t="s">
        <v>91</v>
      </c>
      <c r="B82" s="39">
        <v>0</v>
      </c>
      <c r="C82" s="44">
        <v>100</v>
      </c>
      <c r="D82" s="44">
        <v>150</v>
      </c>
      <c r="E82" s="44">
        <f>Dashboard!$C$23</f>
        <v>0</v>
      </c>
      <c r="F82" s="41">
        <f t="shared" si="12"/>
        <v>0</v>
      </c>
      <c r="G82" s="42">
        <f t="shared" si="13"/>
        <v>0</v>
      </c>
      <c r="H82" s="42"/>
      <c r="I82" s="24" t="s">
        <v>91</v>
      </c>
      <c r="J82" s="39">
        <v>0</v>
      </c>
      <c r="K82" s="44">
        <v>100</v>
      </c>
      <c r="L82" s="44">
        <v>150</v>
      </c>
      <c r="M82" s="44">
        <f>Dashboard!$D$23</f>
        <v>0</v>
      </c>
      <c r="N82" s="41">
        <f t="shared" si="14"/>
        <v>0</v>
      </c>
      <c r="O82" s="42">
        <f t="shared" si="15"/>
        <v>0</v>
      </c>
      <c r="P82" s="43"/>
    </row>
    <row r="83" spans="1:16" x14ac:dyDescent="0.25">
      <c r="A83" s="24" t="s">
        <v>123</v>
      </c>
      <c r="B83" s="39">
        <v>6.1999999999999998E-3</v>
      </c>
      <c r="C83" s="44">
        <v>150</v>
      </c>
      <c r="D83" s="44">
        <v>200</v>
      </c>
      <c r="E83" s="44">
        <f>Dashboard!$C$23</f>
        <v>0</v>
      </c>
      <c r="F83" s="41">
        <f t="shared" si="12"/>
        <v>0</v>
      </c>
      <c r="G83" s="42">
        <f t="shared" si="13"/>
        <v>0</v>
      </c>
      <c r="H83" s="42"/>
      <c r="I83" s="24" t="s">
        <v>123</v>
      </c>
      <c r="J83" s="39">
        <v>6.1999999999999998E-3</v>
      </c>
      <c r="K83" s="44">
        <v>150</v>
      </c>
      <c r="L83" s="44">
        <v>200</v>
      </c>
      <c r="M83" s="44">
        <f>Dashboard!$D$23</f>
        <v>0</v>
      </c>
      <c r="N83" s="41">
        <f t="shared" si="14"/>
        <v>0</v>
      </c>
      <c r="O83" s="42">
        <f t="shared" si="15"/>
        <v>0</v>
      </c>
    </row>
    <row r="84" spans="1:16" x14ac:dyDescent="0.25">
      <c r="A84" s="24" t="s">
        <v>124</v>
      </c>
      <c r="B84" s="39">
        <v>1.2E-2</v>
      </c>
      <c r="C84" s="44">
        <v>200</v>
      </c>
      <c r="D84" s="44">
        <v>5000</v>
      </c>
      <c r="E84" s="44">
        <f>Dashboard!$C$23</f>
        <v>0</v>
      </c>
      <c r="F84" s="41">
        <f t="shared" si="12"/>
        <v>0</v>
      </c>
      <c r="G84" s="42">
        <f t="shared" si="13"/>
        <v>0</v>
      </c>
      <c r="H84" s="42"/>
      <c r="I84" s="24" t="s">
        <v>124</v>
      </c>
      <c r="J84" s="39">
        <v>1.2E-2</v>
      </c>
      <c r="K84" s="44">
        <v>200</v>
      </c>
      <c r="L84" s="44">
        <v>5000</v>
      </c>
      <c r="M84" s="44">
        <f>Dashboard!$D$23</f>
        <v>0</v>
      </c>
      <c r="N84" s="41">
        <f t="shared" si="14"/>
        <v>0</v>
      </c>
      <c r="O84" s="42">
        <f t="shared" si="15"/>
        <v>0</v>
      </c>
    </row>
    <row r="85" spans="1:16" x14ac:dyDescent="0.25">
      <c r="A85" s="34"/>
      <c r="I85" s="34"/>
    </row>
    <row r="86" spans="1:16" x14ac:dyDescent="0.25">
      <c r="A86" s="27" t="s">
        <v>125</v>
      </c>
      <c r="B86" s="28"/>
      <c r="C86" s="28"/>
      <c r="D86" s="28"/>
      <c r="E86" s="28"/>
      <c r="F86" s="28"/>
      <c r="I86" s="27" t="s">
        <v>125</v>
      </c>
      <c r="J86" s="28"/>
      <c r="K86" s="28"/>
      <c r="L86" s="28"/>
      <c r="M86" s="28"/>
      <c r="N86" s="28"/>
    </row>
    <row r="87" spans="1:16" x14ac:dyDescent="0.25">
      <c r="A87" s="24" t="s">
        <v>139</v>
      </c>
      <c r="B87" s="39">
        <v>-6.6E-3</v>
      </c>
      <c r="C87" s="44" t="str">
        <f>Dashboard!$C$16</f>
        <v>Noord-Drenthe</v>
      </c>
      <c r="F87" s="41">
        <f t="shared" ref="F87:F126" si="16">IF(C87=A87,1,0)</f>
        <v>0</v>
      </c>
      <c r="G87" s="42">
        <f t="shared" ref="G87:G126" si="17">F87*B87</f>
        <v>0</v>
      </c>
      <c r="H87" s="42"/>
      <c r="I87" s="24" t="s">
        <v>139</v>
      </c>
      <c r="J87" s="39">
        <v>-6.6E-3</v>
      </c>
      <c r="K87" s="44" t="str">
        <f>Dashboard!$C$16</f>
        <v>Noord-Drenthe</v>
      </c>
      <c r="N87" s="41">
        <f t="shared" ref="N87:N126" si="18">IF(K87=I87,1,0)</f>
        <v>0</v>
      </c>
      <c r="O87" s="42">
        <f t="shared" ref="O87:O126" si="19">N87*J87</f>
        <v>0</v>
      </c>
    </row>
    <row r="88" spans="1:16" x14ac:dyDescent="0.25">
      <c r="A88" s="24" t="s">
        <v>149</v>
      </c>
      <c r="B88" s="39">
        <v>-2.3E-3</v>
      </c>
      <c r="C88" s="44" t="str">
        <f>Dashboard!$C$16</f>
        <v>Noord-Drenthe</v>
      </c>
      <c r="F88" s="41">
        <f t="shared" si="16"/>
        <v>0</v>
      </c>
      <c r="G88" s="42">
        <f t="shared" si="17"/>
        <v>0</v>
      </c>
      <c r="H88" s="42"/>
      <c r="I88" s="24" t="s">
        <v>149</v>
      </c>
      <c r="J88" s="39">
        <v>-2.3E-3</v>
      </c>
      <c r="K88" s="44" t="str">
        <f>Dashboard!$C$16</f>
        <v>Noord-Drenthe</v>
      </c>
      <c r="N88" s="41">
        <f t="shared" si="18"/>
        <v>0</v>
      </c>
      <c r="O88" s="42">
        <f t="shared" si="19"/>
        <v>0</v>
      </c>
    </row>
    <row r="89" spans="1:16" x14ac:dyDescent="0.25">
      <c r="A89" s="24" t="s">
        <v>145</v>
      </c>
      <c r="B89" s="39">
        <v>-2.3E-3</v>
      </c>
      <c r="C89" s="44" t="str">
        <f>Dashboard!$C$16</f>
        <v>Noord-Drenthe</v>
      </c>
      <c r="F89" s="41">
        <f t="shared" si="16"/>
        <v>0</v>
      </c>
      <c r="G89" s="42">
        <f t="shared" si="17"/>
        <v>0</v>
      </c>
      <c r="H89" s="42"/>
      <c r="I89" s="24" t="s">
        <v>145</v>
      </c>
      <c r="J89" s="39">
        <v>-2.3E-3</v>
      </c>
      <c r="K89" s="44" t="str">
        <f>Dashboard!$C$16</f>
        <v>Noord-Drenthe</v>
      </c>
      <c r="N89" s="41">
        <f t="shared" si="18"/>
        <v>0</v>
      </c>
      <c r="O89" s="42">
        <f t="shared" si="19"/>
        <v>0</v>
      </c>
    </row>
    <row r="90" spans="1:16" x14ac:dyDescent="0.25">
      <c r="A90" s="24" t="s">
        <v>93</v>
      </c>
      <c r="B90" s="39">
        <v>0</v>
      </c>
      <c r="C90" s="44" t="str">
        <f>Dashboard!$C$16</f>
        <v>Noord-Drenthe</v>
      </c>
      <c r="F90" s="41">
        <f t="shared" si="16"/>
        <v>0</v>
      </c>
      <c r="G90" s="42">
        <f t="shared" si="17"/>
        <v>0</v>
      </c>
      <c r="H90" s="42"/>
      <c r="I90" s="24" t="s">
        <v>93</v>
      </c>
      <c r="J90" s="39">
        <v>0</v>
      </c>
      <c r="K90" s="44" t="str">
        <f>Dashboard!$C$16</f>
        <v>Noord-Drenthe</v>
      </c>
      <c r="N90" s="41">
        <f t="shared" si="18"/>
        <v>0</v>
      </c>
      <c r="O90" s="42">
        <f t="shared" si="19"/>
        <v>0</v>
      </c>
    </row>
    <row r="91" spans="1:16" x14ac:dyDescent="0.25">
      <c r="A91" s="24" t="s">
        <v>143</v>
      </c>
      <c r="B91" s="39">
        <v>-4.8999999999999998E-3</v>
      </c>
      <c r="C91" s="44" t="str">
        <f>Dashboard!$C$16</f>
        <v>Noord-Drenthe</v>
      </c>
      <c r="F91" s="41">
        <f t="shared" si="16"/>
        <v>0</v>
      </c>
      <c r="G91" s="42">
        <f t="shared" si="17"/>
        <v>0</v>
      </c>
      <c r="H91" s="42"/>
      <c r="I91" s="24" t="s">
        <v>143</v>
      </c>
      <c r="J91" s="39">
        <v>-4.8999999999999998E-3</v>
      </c>
      <c r="K91" s="44" t="str">
        <f>Dashboard!$C$16</f>
        <v>Noord-Drenthe</v>
      </c>
      <c r="N91" s="41">
        <f t="shared" si="18"/>
        <v>0</v>
      </c>
      <c r="O91" s="42">
        <f t="shared" si="19"/>
        <v>0</v>
      </c>
    </row>
    <row r="92" spans="1:16" x14ac:dyDescent="0.25">
      <c r="A92" s="24" t="s">
        <v>140</v>
      </c>
      <c r="B92" s="39">
        <v>-3.8999999999999998E-3</v>
      </c>
      <c r="C92" s="44" t="str">
        <f>Dashboard!$C$16</f>
        <v>Noord-Drenthe</v>
      </c>
      <c r="F92" s="41">
        <f t="shared" si="16"/>
        <v>0</v>
      </c>
      <c r="G92" s="42">
        <f t="shared" si="17"/>
        <v>0</v>
      </c>
      <c r="H92" s="42"/>
      <c r="I92" s="24" t="s">
        <v>140</v>
      </c>
      <c r="J92" s="39">
        <v>-3.8999999999999998E-3</v>
      </c>
      <c r="K92" s="44" t="str">
        <f>Dashboard!$C$16</f>
        <v>Noord-Drenthe</v>
      </c>
      <c r="N92" s="41">
        <f t="shared" si="18"/>
        <v>0</v>
      </c>
      <c r="O92" s="42">
        <f t="shared" si="19"/>
        <v>0</v>
      </c>
    </row>
    <row r="93" spans="1:16" x14ac:dyDescent="0.25">
      <c r="A93" s="24" t="s">
        <v>150</v>
      </c>
      <c r="B93" s="39">
        <v>-3.2000000000000002E-3</v>
      </c>
      <c r="C93" s="44" t="str">
        <f>Dashboard!$C$16</f>
        <v>Noord-Drenthe</v>
      </c>
      <c r="F93" s="41">
        <f t="shared" si="16"/>
        <v>0</v>
      </c>
      <c r="G93" s="42">
        <f t="shared" si="17"/>
        <v>0</v>
      </c>
      <c r="H93" s="42"/>
      <c r="I93" s="24" t="s">
        <v>150</v>
      </c>
      <c r="J93" s="39">
        <v>-3.2000000000000002E-3</v>
      </c>
      <c r="K93" s="44" t="str">
        <f>Dashboard!$C$16</f>
        <v>Noord-Drenthe</v>
      </c>
      <c r="N93" s="41">
        <f t="shared" si="18"/>
        <v>0</v>
      </c>
      <c r="O93" s="42">
        <f t="shared" si="19"/>
        <v>0</v>
      </c>
    </row>
    <row r="94" spans="1:16" x14ac:dyDescent="0.25">
      <c r="A94" s="24" t="s">
        <v>127</v>
      </c>
      <c r="B94" s="39">
        <v>-8.0000000000000004E-4</v>
      </c>
      <c r="C94" s="44" t="str">
        <f>Dashboard!$C$16</f>
        <v>Noord-Drenthe</v>
      </c>
      <c r="F94" s="41">
        <f t="shared" si="16"/>
        <v>0</v>
      </c>
      <c r="G94" s="42">
        <f t="shared" si="17"/>
        <v>0</v>
      </c>
      <c r="H94" s="42"/>
      <c r="I94" s="24" t="s">
        <v>127</v>
      </c>
      <c r="J94" s="39">
        <v>-8.0000000000000004E-4</v>
      </c>
      <c r="K94" s="44" t="str">
        <f>Dashboard!$C$16</f>
        <v>Noord-Drenthe</v>
      </c>
      <c r="N94" s="41">
        <f t="shared" si="18"/>
        <v>0</v>
      </c>
      <c r="O94" s="42">
        <f t="shared" si="19"/>
        <v>0</v>
      </c>
    </row>
    <row r="95" spans="1:16" x14ac:dyDescent="0.25">
      <c r="A95" s="24" t="s">
        <v>62</v>
      </c>
      <c r="B95" s="39">
        <v>-4.0000000000000002E-4</v>
      </c>
      <c r="C95" s="44" t="str">
        <f>Dashboard!$C$16</f>
        <v>Noord-Drenthe</v>
      </c>
      <c r="F95" s="41">
        <f t="shared" si="16"/>
        <v>0</v>
      </c>
      <c r="G95" s="42">
        <f t="shared" si="17"/>
        <v>0</v>
      </c>
      <c r="H95" s="42"/>
      <c r="I95" s="24" t="s">
        <v>62</v>
      </c>
      <c r="J95" s="39">
        <v>-4.0000000000000002E-4</v>
      </c>
      <c r="K95" s="44" t="str">
        <f>Dashboard!$C$16</f>
        <v>Noord-Drenthe</v>
      </c>
      <c r="N95" s="41">
        <f t="shared" si="18"/>
        <v>0</v>
      </c>
      <c r="O95" s="42">
        <f t="shared" si="19"/>
        <v>0</v>
      </c>
    </row>
    <row r="96" spans="1:16" x14ac:dyDescent="0.25">
      <c r="A96" s="24" t="s">
        <v>147</v>
      </c>
      <c r="B96" s="39">
        <v>4.0000000000000002E-4</v>
      </c>
      <c r="C96" s="44" t="str">
        <f>Dashboard!$C$16</f>
        <v>Noord-Drenthe</v>
      </c>
      <c r="F96" s="41">
        <f t="shared" si="16"/>
        <v>0</v>
      </c>
      <c r="G96" s="42">
        <f t="shared" si="17"/>
        <v>0</v>
      </c>
      <c r="H96" s="42"/>
      <c r="I96" s="24" t="s">
        <v>147</v>
      </c>
      <c r="J96" s="39">
        <v>4.0000000000000002E-4</v>
      </c>
      <c r="K96" s="44" t="str">
        <f>Dashboard!$C$16</f>
        <v>Noord-Drenthe</v>
      </c>
      <c r="N96" s="41">
        <f t="shared" si="18"/>
        <v>0</v>
      </c>
      <c r="O96" s="42">
        <f t="shared" si="19"/>
        <v>0</v>
      </c>
    </row>
    <row r="97" spans="1:15" x14ac:dyDescent="0.25">
      <c r="A97" s="24" t="s">
        <v>152</v>
      </c>
      <c r="B97" s="39">
        <v>-1.4E-3</v>
      </c>
      <c r="C97" s="44" t="str">
        <f>Dashboard!$C$16</f>
        <v>Noord-Drenthe</v>
      </c>
      <c r="F97" s="41">
        <f t="shared" si="16"/>
        <v>0</v>
      </c>
      <c r="G97" s="42">
        <f t="shared" si="17"/>
        <v>0</v>
      </c>
      <c r="H97" s="42"/>
      <c r="I97" s="24" t="s">
        <v>152</v>
      </c>
      <c r="J97" s="39">
        <v>-1.4E-3</v>
      </c>
      <c r="K97" s="44" t="str">
        <f>Dashboard!$C$16</f>
        <v>Noord-Drenthe</v>
      </c>
      <c r="N97" s="41">
        <f t="shared" si="18"/>
        <v>0</v>
      </c>
      <c r="O97" s="42">
        <f t="shared" si="19"/>
        <v>0</v>
      </c>
    </row>
    <row r="98" spans="1:15" x14ac:dyDescent="0.25">
      <c r="A98" s="24" t="s">
        <v>148</v>
      </c>
      <c r="B98" s="39">
        <v>-2E-3</v>
      </c>
      <c r="C98" s="44" t="str">
        <f>Dashboard!$C$16</f>
        <v>Noord-Drenthe</v>
      </c>
      <c r="F98" s="41">
        <f t="shared" si="16"/>
        <v>0</v>
      </c>
      <c r="G98" s="42">
        <f t="shared" si="17"/>
        <v>0</v>
      </c>
      <c r="H98" s="42"/>
      <c r="I98" s="24" t="s">
        <v>148</v>
      </c>
      <c r="J98" s="39">
        <v>-2E-3</v>
      </c>
      <c r="K98" s="44" t="str">
        <f>Dashboard!$C$16</f>
        <v>Noord-Drenthe</v>
      </c>
      <c r="N98" s="41">
        <f t="shared" si="18"/>
        <v>0</v>
      </c>
      <c r="O98" s="42">
        <f t="shared" si="19"/>
        <v>0</v>
      </c>
    </row>
    <row r="99" spans="1:15" x14ac:dyDescent="0.25">
      <c r="A99" s="24" t="s">
        <v>144</v>
      </c>
      <c r="B99" s="39">
        <v>-4.4999999999999997E-3</v>
      </c>
      <c r="C99" s="44" t="str">
        <f>Dashboard!$C$16</f>
        <v>Noord-Drenthe</v>
      </c>
      <c r="F99" s="41">
        <f t="shared" si="16"/>
        <v>0</v>
      </c>
      <c r="G99" s="42">
        <f t="shared" si="17"/>
        <v>0</v>
      </c>
      <c r="H99" s="42"/>
      <c r="I99" s="24" t="s">
        <v>144</v>
      </c>
      <c r="J99" s="39">
        <v>-4.4999999999999997E-3</v>
      </c>
      <c r="K99" s="44" t="str">
        <f>Dashboard!$C$16</f>
        <v>Noord-Drenthe</v>
      </c>
      <c r="N99" s="41">
        <f t="shared" si="18"/>
        <v>0</v>
      </c>
      <c r="O99" s="42">
        <f t="shared" si="19"/>
        <v>0</v>
      </c>
    </row>
    <row r="100" spans="1:15" x14ac:dyDescent="0.25">
      <c r="A100" s="24" t="s">
        <v>142</v>
      </c>
      <c r="B100" s="39">
        <v>-5.7999999999999996E-3</v>
      </c>
      <c r="C100" s="44" t="str">
        <f>Dashboard!$C$16</f>
        <v>Noord-Drenthe</v>
      </c>
      <c r="F100" s="41">
        <f t="shared" si="16"/>
        <v>0</v>
      </c>
      <c r="G100" s="42">
        <f t="shared" si="17"/>
        <v>0</v>
      </c>
      <c r="H100" s="42"/>
      <c r="I100" s="24" t="s">
        <v>142</v>
      </c>
      <c r="J100" s="39">
        <v>-5.7999999999999996E-3</v>
      </c>
      <c r="K100" s="44" t="str">
        <f>Dashboard!$C$16</f>
        <v>Noord-Drenthe</v>
      </c>
      <c r="N100" s="41">
        <f t="shared" si="18"/>
        <v>0</v>
      </c>
      <c r="O100" s="42">
        <f t="shared" si="19"/>
        <v>0</v>
      </c>
    </row>
    <row r="101" spans="1:15" x14ac:dyDescent="0.25">
      <c r="A101" s="24" t="s">
        <v>161</v>
      </c>
      <c r="B101" s="39">
        <v>-6.7999999999999996E-3</v>
      </c>
      <c r="C101" s="44" t="str">
        <f>Dashboard!$C$16</f>
        <v>Noord-Drenthe</v>
      </c>
      <c r="F101" s="41">
        <f t="shared" si="16"/>
        <v>0</v>
      </c>
      <c r="G101" s="42">
        <f t="shared" si="17"/>
        <v>0</v>
      </c>
      <c r="H101" s="42"/>
      <c r="I101" s="24" t="s">
        <v>161</v>
      </c>
      <c r="J101" s="39">
        <v>-6.7999999999999996E-3</v>
      </c>
      <c r="K101" s="44" t="str">
        <f>Dashboard!$C$16</f>
        <v>Noord-Drenthe</v>
      </c>
      <c r="N101" s="41">
        <f t="shared" si="18"/>
        <v>0</v>
      </c>
      <c r="O101" s="42">
        <f t="shared" si="19"/>
        <v>0</v>
      </c>
    </row>
    <row r="102" spans="1:15" x14ac:dyDescent="0.25">
      <c r="A102" s="24" t="s">
        <v>157</v>
      </c>
      <c r="B102" s="39">
        <v>-3.7000000000000002E-3</v>
      </c>
      <c r="C102" s="44" t="str">
        <f>Dashboard!$C$16</f>
        <v>Noord-Drenthe</v>
      </c>
      <c r="F102" s="41">
        <f t="shared" si="16"/>
        <v>0</v>
      </c>
      <c r="G102" s="42">
        <f t="shared" si="17"/>
        <v>0</v>
      </c>
      <c r="H102" s="42"/>
      <c r="I102" s="24" t="s">
        <v>157</v>
      </c>
      <c r="J102" s="39">
        <v>-3.7000000000000002E-3</v>
      </c>
      <c r="K102" s="44" t="str">
        <f>Dashboard!$C$16</f>
        <v>Noord-Drenthe</v>
      </c>
      <c r="N102" s="41">
        <f t="shared" si="18"/>
        <v>0</v>
      </c>
      <c r="O102" s="42">
        <f t="shared" si="19"/>
        <v>0</v>
      </c>
    </row>
    <row r="103" spans="1:15" x14ac:dyDescent="0.25">
      <c r="A103" s="24" t="s">
        <v>132</v>
      </c>
      <c r="B103" s="39">
        <v>-1.4E-3</v>
      </c>
      <c r="C103" s="44" t="str">
        <f>Dashboard!$C$16</f>
        <v>Noord-Drenthe</v>
      </c>
      <c r="F103" s="41">
        <f t="shared" si="16"/>
        <v>1</v>
      </c>
      <c r="G103" s="42">
        <f t="shared" si="17"/>
        <v>-1.4E-3</v>
      </c>
      <c r="H103" s="42"/>
      <c r="I103" s="24" t="s">
        <v>132</v>
      </c>
      <c r="J103" s="39">
        <v>-1.4E-3</v>
      </c>
      <c r="K103" s="44" t="str">
        <f>Dashboard!$C$16</f>
        <v>Noord-Drenthe</v>
      </c>
      <c r="N103" s="41">
        <f t="shared" si="18"/>
        <v>1</v>
      </c>
      <c r="O103" s="42">
        <f t="shared" si="19"/>
        <v>-1.4E-3</v>
      </c>
    </row>
    <row r="104" spans="1:15" x14ac:dyDescent="0.25">
      <c r="A104" s="24" t="s">
        <v>129</v>
      </c>
      <c r="B104" s="39">
        <v>-5.0000000000000001E-3</v>
      </c>
      <c r="C104" s="44" t="str">
        <f>Dashboard!$C$16</f>
        <v>Noord-Drenthe</v>
      </c>
      <c r="F104" s="41">
        <f t="shared" si="16"/>
        <v>0</v>
      </c>
      <c r="G104" s="42">
        <f t="shared" si="17"/>
        <v>0</v>
      </c>
      <c r="H104" s="42"/>
      <c r="I104" s="24" t="s">
        <v>129</v>
      </c>
      <c r="J104" s="39">
        <v>-5.0000000000000001E-3</v>
      </c>
      <c r="K104" s="44" t="str">
        <f>Dashboard!$C$16</f>
        <v>Noord-Drenthe</v>
      </c>
      <c r="N104" s="41">
        <f t="shared" si="18"/>
        <v>0</v>
      </c>
      <c r="O104" s="42">
        <f t="shared" si="19"/>
        <v>0</v>
      </c>
    </row>
    <row r="105" spans="1:15" x14ac:dyDescent="0.25">
      <c r="A105" s="24" t="s">
        <v>160</v>
      </c>
      <c r="B105" s="39">
        <v>-3.7000000000000002E-3</v>
      </c>
      <c r="C105" s="44" t="str">
        <f>Dashboard!$C$16</f>
        <v>Noord-Drenthe</v>
      </c>
      <c r="F105" s="41">
        <f t="shared" si="16"/>
        <v>0</v>
      </c>
      <c r="G105" s="42">
        <f t="shared" si="17"/>
        <v>0</v>
      </c>
      <c r="H105" s="42"/>
      <c r="I105" s="24" t="s">
        <v>160</v>
      </c>
      <c r="J105" s="39">
        <v>-3.7000000000000002E-3</v>
      </c>
      <c r="K105" s="44" t="str">
        <f>Dashboard!$C$16</f>
        <v>Noord-Drenthe</v>
      </c>
      <c r="N105" s="41">
        <f t="shared" si="18"/>
        <v>0</v>
      </c>
      <c r="O105" s="42">
        <f t="shared" si="19"/>
        <v>0</v>
      </c>
    </row>
    <row r="106" spans="1:15" x14ac:dyDescent="0.25">
      <c r="A106" s="24" t="s">
        <v>158</v>
      </c>
      <c r="B106" s="39">
        <v>-5.1000000000000004E-3</v>
      </c>
      <c r="C106" s="44" t="str">
        <f>Dashboard!$C$16</f>
        <v>Noord-Drenthe</v>
      </c>
      <c r="F106" s="41">
        <f t="shared" si="16"/>
        <v>0</v>
      </c>
      <c r="G106" s="42">
        <f t="shared" si="17"/>
        <v>0</v>
      </c>
      <c r="H106" s="42"/>
      <c r="I106" s="24" t="s">
        <v>158</v>
      </c>
      <c r="J106" s="39">
        <v>-5.1000000000000004E-3</v>
      </c>
      <c r="K106" s="44" t="str">
        <f>Dashboard!$C$16</f>
        <v>Noord-Drenthe</v>
      </c>
      <c r="N106" s="41">
        <f t="shared" si="18"/>
        <v>0</v>
      </c>
      <c r="O106" s="42">
        <f t="shared" si="19"/>
        <v>0</v>
      </c>
    </row>
    <row r="107" spans="1:15" x14ac:dyDescent="0.25">
      <c r="A107" s="24" t="s">
        <v>135</v>
      </c>
      <c r="B107" s="39">
        <v>-6.3E-3</v>
      </c>
      <c r="C107" s="44" t="str">
        <f>Dashboard!$C$16</f>
        <v>Noord-Drenthe</v>
      </c>
      <c r="F107" s="41">
        <f t="shared" si="16"/>
        <v>0</v>
      </c>
      <c r="G107" s="42">
        <f t="shared" si="17"/>
        <v>0</v>
      </c>
      <c r="H107" s="42"/>
      <c r="I107" s="24" t="s">
        <v>135</v>
      </c>
      <c r="J107" s="39">
        <v>-6.3E-3</v>
      </c>
      <c r="K107" s="44" t="str">
        <f>Dashboard!$C$16</f>
        <v>Noord-Drenthe</v>
      </c>
      <c r="N107" s="41">
        <f t="shared" si="18"/>
        <v>0</v>
      </c>
      <c r="O107" s="42">
        <f t="shared" si="19"/>
        <v>0</v>
      </c>
    </row>
    <row r="108" spans="1:15" x14ac:dyDescent="0.25">
      <c r="A108" s="24" t="s">
        <v>126</v>
      </c>
      <c r="B108" s="39">
        <v>4.0000000000000002E-4</v>
      </c>
      <c r="C108" s="44" t="str">
        <f>Dashboard!$C$16</f>
        <v>Noord-Drenthe</v>
      </c>
      <c r="F108" s="41">
        <f t="shared" si="16"/>
        <v>0</v>
      </c>
      <c r="G108" s="42">
        <f t="shared" si="17"/>
        <v>0</v>
      </c>
      <c r="H108" s="42"/>
      <c r="I108" s="24" t="s">
        <v>126</v>
      </c>
      <c r="J108" s="39">
        <v>4.0000000000000002E-4</v>
      </c>
      <c r="K108" s="44" t="str">
        <f>Dashboard!$C$16</f>
        <v>Noord-Drenthe</v>
      </c>
      <c r="N108" s="41">
        <f t="shared" si="18"/>
        <v>0</v>
      </c>
      <c r="O108" s="42">
        <f t="shared" si="19"/>
        <v>0</v>
      </c>
    </row>
    <row r="109" spans="1:15" x14ac:dyDescent="0.25">
      <c r="A109" s="24" t="s">
        <v>151</v>
      </c>
      <c r="B109" s="39">
        <v>-6.7999999999999996E-3</v>
      </c>
      <c r="C109" s="44" t="str">
        <f>Dashboard!$C$16</f>
        <v>Noord-Drenthe</v>
      </c>
      <c r="F109" s="41">
        <f t="shared" si="16"/>
        <v>0</v>
      </c>
      <c r="G109" s="42">
        <f t="shared" si="17"/>
        <v>0</v>
      </c>
      <c r="H109" s="42"/>
      <c r="I109" s="24" t="s">
        <v>151</v>
      </c>
      <c r="J109" s="39">
        <v>-6.7999999999999996E-3</v>
      </c>
      <c r="K109" s="44" t="str">
        <f>Dashboard!$C$16</f>
        <v>Noord-Drenthe</v>
      </c>
      <c r="N109" s="41">
        <f t="shared" si="18"/>
        <v>0</v>
      </c>
      <c r="O109" s="42">
        <f t="shared" si="19"/>
        <v>0</v>
      </c>
    </row>
    <row r="110" spans="1:15" x14ac:dyDescent="0.25">
      <c r="A110" s="24" t="s">
        <v>128</v>
      </c>
      <c r="B110" s="39">
        <v>-8.0000000000000004E-4</v>
      </c>
      <c r="C110" s="44" t="str">
        <f>Dashboard!$C$16</f>
        <v>Noord-Drenthe</v>
      </c>
      <c r="F110" s="41">
        <f t="shared" si="16"/>
        <v>0</v>
      </c>
      <c r="G110" s="42">
        <f t="shared" si="17"/>
        <v>0</v>
      </c>
      <c r="H110" s="42"/>
      <c r="I110" s="24" t="s">
        <v>128</v>
      </c>
      <c r="J110" s="39">
        <v>-8.0000000000000004E-4</v>
      </c>
      <c r="K110" s="44" t="str">
        <f>Dashboard!$C$16</f>
        <v>Noord-Drenthe</v>
      </c>
      <c r="N110" s="41">
        <f t="shared" si="18"/>
        <v>0</v>
      </c>
      <c r="O110" s="42">
        <f t="shared" si="19"/>
        <v>0</v>
      </c>
    </row>
    <row r="111" spans="1:15" x14ac:dyDescent="0.25">
      <c r="A111" s="24" t="s">
        <v>155</v>
      </c>
      <c r="B111" s="39">
        <v>-3.5999999999999999E-3</v>
      </c>
      <c r="C111" s="44" t="str">
        <f>Dashboard!$C$16</f>
        <v>Noord-Drenthe</v>
      </c>
      <c r="F111" s="41">
        <f t="shared" si="16"/>
        <v>0</v>
      </c>
      <c r="G111" s="42">
        <f t="shared" si="17"/>
        <v>0</v>
      </c>
      <c r="H111" s="42"/>
      <c r="I111" s="24" t="s">
        <v>155</v>
      </c>
      <c r="J111" s="39">
        <v>-3.5999999999999999E-3</v>
      </c>
      <c r="K111" s="44" t="str">
        <f>Dashboard!$C$16</f>
        <v>Noord-Drenthe</v>
      </c>
      <c r="N111" s="41">
        <f t="shared" si="18"/>
        <v>0</v>
      </c>
      <c r="O111" s="42">
        <f t="shared" si="19"/>
        <v>0</v>
      </c>
    </row>
    <row r="112" spans="1:15" x14ac:dyDescent="0.25">
      <c r="A112" s="34" t="s">
        <v>137</v>
      </c>
      <c r="B112" s="39">
        <v>-4.0000000000000001E-3</v>
      </c>
      <c r="C112" s="44" t="str">
        <f>Dashboard!$C$16</f>
        <v>Noord-Drenthe</v>
      </c>
      <c r="F112" s="41">
        <f t="shared" si="16"/>
        <v>0</v>
      </c>
      <c r="G112" s="42">
        <f t="shared" si="17"/>
        <v>0</v>
      </c>
      <c r="H112" s="42"/>
      <c r="I112" s="34" t="s">
        <v>137</v>
      </c>
      <c r="J112" s="39">
        <v>-4.0000000000000001E-3</v>
      </c>
      <c r="K112" s="44" t="str">
        <f>Dashboard!$C$16</f>
        <v>Noord-Drenthe</v>
      </c>
      <c r="N112" s="41">
        <f t="shared" si="18"/>
        <v>0</v>
      </c>
      <c r="O112" s="42">
        <f t="shared" si="19"/>
        <v>0</v>
      </c>
    </row>
    <row r="113" spans="1:15" x14ac:dyDescent="0.25">
      <c r="A113" s="24" t="s">
        <v>70</v>
      </c>
      <c r="B113" s="39">
        <v>-4.4000000000000003E-3</v>
      </c>
      <c r="C113" s="44" t="str">
        <f>Dashboard!$C$16</f>
        <v>Noord-Drenthe</v>
      </c>
      <c r="F113" s="41">
        <f t="shared" si="16"/>
        <v>0</v>
      </c>
      <c r="G113" s="42">
        <f t="shared" si="17"/>
        <v>0</v>
      </c>
      <c r="H113" s="42"/>
      <c r="I113" s="24" t="s">
        <v>70</v>
      </c>
      <c r="J113" s="39">
        <v>-4.4000000000000003E-3</v>
      </c>
      <c r="K113" s="44" t="str">
        <f>Dashboard!$C$16</f>
        <v>Noord-Drenthe</v>
      </c>
      <c r="N113" s="41">
        <f t="shared" si="18"/>
        <v>0</v>
      </c>
      <c r="O113" s="42">
        <f t="shared" si="19"/>
        <v>0</v>
      </c>
    </row>
    <row r="114" spans="1:15" x14ac:dyDescent="0.25">
      <c r="A114" s="24" t="s">
        <v>138</v>
      </c>
      <c r="B114" s="39">
        <v>-7.1000000000000004E-3</v>
      </c>
      <c r="C114" s="44" t="str">
        <f>Dashboard!$C$16</f>
        <v>Noord-Drenthe</v>
      </c>
      <c r="F114" s="41">
        <f t="shared" si="16"/>
        <v>0</v>
      </c>
      <c r="G114" s="42">
        <f t="shared" si="17"/>
        <v>0</v>
      </c>
      <c r="H114" s="42"/>
      <c r="I114" s="24" t="s">
        <v>138</v>
      </c>
      <c r="J114" s="39">
        <v>-7.1000000000000004E-3</v>
      </c>
      <c r="K114" s="44" t="str">
        <f>Dashboard!$C$16</f>
        <v>Noord-Drenthe</v>
      </c>
      <c r="N114" s="41">
        <f t="shared" si="18"/>
        <v>0</v>
      </c>
      <c r="O114" s="42">
        <f t="shared" si="19"/>
        <v>0</v>
      </c>
    </row>
    <row r="115" spans="1:15" x14ac:dyDescent="0.25">
      <c r="A115" s="24" t="s">
        <v>156</v>
      </c>
      <c r="B115" s="39">
        <v>-3.0000000000000001E-3</v>
      </c>
      <c r="C115" s="44" t="str">
        <f>Dashboard!$C$16</f>
        <v>Noord-Drenthe</v>
      </c>
      <c r="F115" s="41">
        <f t="shared" si="16"/>
        <v>0</v>
      </c>
      <c r="G115" s="42">
        <f t="shared" si="17"/>
        <v>0</v>
      </c>
      <c r="H115" s="42"/>
      <c r="I115" s="24" t="s">
        <v>156</v>
      </c>
      <c r="J115" s="39">
        <v>-3.0000000000000001E-3</v>
      </c>
      <c r="K115" s="44" t="str">
        <f>Dashboard!$C$16</f>
        <v>Noord-Drenthe</v>
      </c>
      <c r="N115" s="41">
        <f t="shared" si="18"/>
        <v>0</v>
      </c>
      <c r="O115" s="42">
        <f t="shared" si="19"/>
        <v>0</v>
      </c>
    </row>
    <row r="116" spans="1:15" x14ac:dyDescent="0.25">
      <c r="A116" s="24" t="s">
        <v>146</v>
      </c>
      <c r="B116" s="39">
        <v>-1.8E-3</v>
      </c>
      <c r="C116" s="44" t="str">
        <f>Dashboard!$C$16</f>
        <v>Noord-Drenthe</v>
      </c>
      <c r="F116" s="41">
        <f t="shared" si="16"/>
        <v>0</v>
      </c>
      <c r="G116" s="42">
        <f t="shared" si="17"/>
        <v>0</v>
      </c>
      <c r="H116" s="42"/>
      <c r="I116" s="24" t="s">
        <v>146</v>
      </c>
      <c r="J116" s="39">
        <v>-1.8E-3</v>
      </c>
      <c r="K116" s="44" t="str">
        <f>Dashboard!$C$16</f>
        <v>Noord-Drenthe</v>
      </c>
      <c r="N116" s="41">
        <f t="shared" si="18"/>
        <v>0</v>
      </c>
      <c r="O116" s="42">
        <f t="shared" si="19"/>
        <v>0</v>
      </c>
    </row>
    <row r="117" spans="1:15" x14ac:dyDescent="0.25">
      <c r="A117" s="24" t="s">
        <v>154</v>
      </c>
      <c r="B117" s="39">
        <v>-3.5999999999999999E-3</v>
      </c>
      <c r="C117" s="44" t="str">
        <f>Dashboard!$C$16</f>
        <v>Noord-Drenthe</v>
      </c>
      <c r="F117" s="41">
        <f t="shared" si="16"/>
        <v>0</v>
      </c>
      <c r="G117" s="42">
        <f t="shared" si="17"/>
        <v>0</v>
      </c>
      <c r="H117" s="42"/>
      <c r="I117" s="24" t="s">
        <v>154</v>
      </c>
      <c r="J117" s="39">
        <v>-3.5999999999999999E-3</v>
      </c>
      <c r="K117" s="44" t="str">
        <f>Dashboard!$C$16</f>
        <v>Noord-Drenthe</v>
      </c>
      <c r="N117" s="41">
        <f t="shared" si="18"/>
        <v>0</v>
      </c>
      <c r="O117" s="42">
        <f t="shared" si="19"/>
        <v>0</v>
      </c>
    </row>
    <row r="118" spans="1:15" x14ac:dyDescent="0.25">
      <c r="A118" s="24" t="s">
        <v>162</v>
      </c>
      <c r="B118" s="39">
        <v>-8.9999999999999998E-4</v>
      </c>
      <c r="C118" s="44" t="str">
        <f>Dashboard!$C$16</f>
        <v>Noord-Drenthe</v>
      </c>
      <c r="F118" s="41">
        <f t="shared" si="16"/>
        <v>0</v>
      </c>
      <c r="G118" s="42">
        <f t="shared" si="17"/>
        <v>0</v>
      </c>
      <c r="H118" s="42"/>
      <c r="I118" s="24" t="s">
        <v>162</v>
      </c>
      <c r="J118" s="39">
        <v>-8.9999999999999998E-4</v>
      </c>
      <c r="K118" s="44" t="str">
        <f>Dashboard!$C$16</f>
        <v>Noord-Drenthe</v>
      </c>
      <c r="N118" s="41">
        <f t="shared" si="18"/>
        <v>0</v>
      </c>
      <c r="O118" s="42">
        <f t="shared" si="19"/>
        <v>0</v>
      </c>
    </row>
    <row r="119" spans="1:15" x14ac:dyDescent="0.25">
      <c r="A119" s="24" t="s">
        <v>133</v>
      </c>
      <c r="B119" s="39">
        <v>5.0000000000000001E-4</v>
      </c>
      <c r="C119" s="44" t="str">
        <f>Dashboard!$C$16</f>
        <v>Noord-Drenthe</v>
      </c>
      <c r="F119" s="41">
        <f t="shared" si="16"/>
        <v>0</v>
      </c>
      <c r="G119" s="42">
        <f t="shared" si="17"/>
        <v>0</v>
      </c>
      <c r="H119" s="42"/>
      <c r="I119" s="24" t="s">
        <v>133</v>
      </c>
      <c r="J119" s="39">
        <v>5.0000000000000001E-4</v>
      </c>
      <c r="K119" s="44" t="str">
        <f>Dashboard!$C$16</f>
        <v>Noord-Drenthe</v>
      </c>
      <c r="N119" s="41">
        <f t="shared" si="18"/>
        <v>0</v>
      </c>
      <c r="O119" s="42">
        <f t="shared" si="19"/>
        <v>0</v>
      </c>
    </row>
    <row r="120" spans="1:15" x14ac:dyDescent="0.25">
      <c r="A120" s="24" t="s">
        <v>131</v>
      </c>
      <c r="B120" s="39">
        <v>-6.3E-3</v>
      </c>
      <c r="C120" s="44" t="str">
        <f>Dashboard!$C$16</f>
        <v>Noord-Drenthe</v>
      </c>
      <c r="F120" s="41">
        <f t="shared" si="16"/>
        <v>0</v>
      </c>
      <c r="G120" s="42">
        <f t="shared" si="17"/>
        <v>0</v>
      </c>
      <c r="H120" s="42"/>
      <c r="I120" s="24" t="s">
        <v>131</v>
      </c>
      <c r="J120" s="39">
        <v>-6.3E-3</v>
      </c>
      <c r="K120" s="44" t="str">
        <f>Dashboard!$C$16</f>
        <v>Noord-Drenthe</v>
      </c>
      <c r="N120" s="41">
        <f t="shared" si="18"/>
        <v>0</v>
      </c>
      <c r="O120" s="42">
        <f t="shared" si="19"/>
        <v>0</v>
      </c>
    </row>
    <row r="121" spans="1:15" x14ac:dyDescent="0.25">
      <c r="A121" s="24" t="s">
        <v>159</v>
      </c>
      <c r="B121" s="39">
        <v>-3.0000000000000001E-3</v>
      </c>
      <c r="C121" s="44" t="str">
        <f>Dashboard!$C$16</f>
        <v>Noord-Drenthe</v>
      </c>
      <c r="F121" s="41">
        <f t="shared" si="16"/>
        <v>0</v>
      </c>
      <c r="G121" s="42">
        <f t="shared" si="17"/>
        <v>0</v>
      </c>
      <c r="H121" s="42"/>
      <c r="I121" s="24" t="s">
        <v>159</v>
      </c>
      <c r="J121" s="39">
        <v>-3.0000000000000001E-3</v>
      </c>
      <c r="K121" s="44" t="str">
        <f>Dashboard!$C$16</f>
        <v>Noord-Drenthe</v>
      </c>
      <c r="N121" s="41">
        <f t="shared" si="18"/>
        <v>0</v>
      </c>
      <c r="O121" s="42">
        <f t="shared" si="19"/>
        <v>0</v>
      </c>
    </row>
    <row r="122" spans="1:15" x14ac:dyDescent="0.25">
      <c r="A122" s="24" t="s">
        <v>153</v>
      </c>
      <c r="B122" s="39">
        <v>-4.5999999999999999E-3</v>
      </c>
      <c r="C122" s="44" t="str">
        <f>Dashboard!$C$16</f>
        <v>Noord-Drenthe</v>
      </c>
      <c r="F122" s="41">
        <f t="shared" si="16"/>
        <v>0</v>
      </c>
      <c r="G122" s="42">
        <f t="shared" si="17"/>
        <v>0</v>
      </c>
      <c r="H122" s="42"/>
      <c r="I122" s="24" t="s">
        <v>153</v>
      </c>
      <c r="J122" s="39">
        <v>-4.5999999999999999E-3</v>
      </c>
      <c r="K122" s="44" t="str">
        <f>Dashboard!$C$16</f>
        <v>Noord-Drenthe</v>
      </c>
      <c r="N122" s="41">
        <f t="shared" si="18"/>
        <v>0</v>
      </c>
      <c r="O122" s="42">
        <f t="shared" si="19"/>
        <v>0</v>
      </c>
    </row>
    <row r="123" spans="1:15" x14ac:dyDescent="0.25">
      <c r="A123" s="24" t="s">
        <v>134</v>
      </c>
      <c r="B123" s="39">
        <v>-4.4000000000000003E-3</v>
      </c>
      <c r="C123" s="44" t="str">
        <f>Dashboard!$C$16</f>
        <v>Noord-Drenthe</v>
      </c>
      <c r="F123" s="41">
        <f t="shared" si="16"/>
        <v>0</v>
      </c>
      <c r="G123" s="42">
        <f t="shared" si="17"/>
        <v>0</v>
      </c>
      <c r="H123" s="42"/>
      <c r="I123" s="24" t="s">
        <v>134</v>
      </c>
      <c r="J123" s="39">
        <v>-4.4000000000000003E-3</v>
      </c>
      <c r="K123" s="44" t="str">
        <f>Dashboard!$C$16</f>
        <v>Noord-Drenthe</v>
      </c>
      <c r="N123" s="41">
        <f t="shared" si="18"/>
        <v>0</v>
      </c>
      <c r="O123" s="42">
        <f t="shared" si="19"/>
        <v>0</v>
      </c>
    </row>
    <row r="124" spans="1:15" x14ac:dyDescent="0.25">
      <c r="A124" s="24" t="s">
        <v>130</v>
      </c>
      <c r="B124" s="39">
        <v>-6.3E-3</v>
      </c>
      <c r="C124" s="44" t="str">
        <f>Dashboard!$C$16</f>
        <v>Noord-Drenthe</v>
      </c>
      <c r="F124" s="41">
        <f t="shared" si="16"/>
        <v>0</v>
      </c>
      <c r="G124" s="42">
        <f t="shared" si="17"/>
        <v>0</v>
      </c>
      <c r="H124" s="42"/>
      <c r="I124" s="24" t="s">
        <v>130</v>
      </c>
      <c r="J124" s="39">
        <v>-6.3E-3</v>
      </c>
      <c r="K124" s="44" t="str">
        <f>Dashboard!$C$16</f>
        <v>Noord-Drenthe</v>
      </c>
      <c r="N124" s="41">
        <f t="shared" si="18"/>
        <v>0</v>
      </c>
      <c r="O124" s="42">
        <f t="shared" si="19"/>
        <v>0</v>
      </c>
    </row>
    <row r="125" spans="1:15" x14ac:dyDescent="0.25">
      <c r="A125" s="24" t="s">
        <v>136</v>
      </c>
      <c r="B125" s="39">
        <v>-4.0000000000000001E-3</v>
      </c>
      <c r="C125" s="44" t="str">
        <f>Dashboard!$C$16</f>
        <v>Noord-Drenthe</v>
      </c>
      <c r="F125" s="41">
        <f t="shared" si="16"/>
        <v>0</v>
      </c>
      <c r="G125" s="42">
        <f t="shared" si="17"/>
        <v>0</v>
      </c>
      <c r="H125" s="42"/>
      <c r="I125" s="24" t="s">
        <v>136</v>
      </c>
      <c r="J125" s="39">
        <v>-4.0000000000000001E-3</v>
      </c>
      <c r="K125" s="44" t="str">
        <f>Dashboard!$C$16</f>
        <v>Noord-Drenthe</v>
      </c>
      <c r="N125" s="41">
        <f t="shared" si="18"/>
        <v>0</v>
      </c>
      <c r="O125" s="42">
        <f t="shared" si="19"/>
        <v>0</v>
      </c>
    </row>
    <row r="126" spans="1:15" x14ac:dyDescent="0.25">
      <c r="A126" s="24" t="s">
        <v>141</v>
      </c>
      <c r="B126" s="39">
        <v>-5.3E-3</v>
      </c>
      <c r="C126" s="44" t="str">
        <f>Dashboard!$C$16</f>
        <v>Noord-Drenthe</v>
      </c>
      <c r="F126" s="41">
        <f t="shared" si="16"/>
        <v>0</v>
      </c>
      <c r="G126" s="42">
        <f t="shared" si="17"/>
        <v>0</v>
      </c>
      <c r="H126" s="42"/>
      <c r="I126" s="24" t="s">
        <v>141</v>
      </c>
      <c r="J126" s="39">
        <v>-5.3E-3</v>
      </c>
      <c r="K126" s="44" t="str">
        <f>Dashboard!$C$16</f>
        <v>Noord-Drenthe</v>
      </c>
      <c r="N126" s="41">
        <f t="shared" si="18"/>
        <v>0</v>
      </c>
      <c r="O126" s="42">
        <f t="shared" si="19"/>
        <v>0</v>
      </c>
    </row>
    <row r="128" spans="1:15" x14ac:dyDescent="0.25">
      <c r="A128" s="23" t="s">
        <v>163</v>
      </c>
      <c r="B128" s="23"/>
      <c r="C128" s="23"/>
      <c r="D128" s="23"/>
      <c r="E128" s="23"/>
      <c r="F128" s="23"/>
      <c r="I128" s="23" t="s">
        <v>163</v>
      </c>
      <c r="J128" s="23"/>
      <c r="K128" s="23"/>
      <c r="L128" s="23"/>
      <c r="M128" s="23"/>
      <c r="N128" s="23"/>
    </row>
    <row r="129" spans="1:16" x14ac:dyDescent="0.25">
      <c r="A129" s="45"/>
      <c r="B129" s="45"/>
      <c r="C129" s="45"/>
      <c r="D129" s="45"/>
      <c r="E129" s="45"/>
      <c r="F129" s="45"/>
      <c r="I129" s="45"/>
      <c r="J129" s="45"/>
      <c r="K129" s="45"/>
      <c r="L129" s="45"/>
      <c r="M129" s="45"/>
      <c r="N129" s="45"/>
    </row>
    <row r="130" spans="1:16" x14ac:dyDescent="0.25">
      <c r="A130" s="27" t="s">
        <v>164</v>
      </c>
      <c r="B130" s="28"/>
      <c r="C130" s="28"/>
      <c r="D130" s="28"/>
      <c r="E130" s="28"/>
      <c r="F130" s="28"/>
      <c r="I130" s="27" t="s">
        <v>164</v>
      </c>
      <c r="J130" s="28"/>
      <c r="K130" s="28"/>
      <c r="L130" s="28"/>
      <c r="M130" s="28"/>
      <c r="N130" s="28"/>
    </row>
    <row r="131" spans="1:16" x14ac:dyDescent="0.25">
      <c r="B131" s="46" t="s">
        <v>165</v>
      </c>
      <c r="C131" s="47" t="s">
        <v>166</v>
      </c>
      <c r="D131" s="47" t="s">
        <v>167</v>
      </c>
      <c r="E131" s="47" t="s">
        <v>168</v>
      </c>
      <c r="F131" s="47" t="s">
        <v>169</v>
      </c>
      <c r="J131" s="46" t="s">
        <v>165</v>
      </c>
      <c r="K131" s="47" t="s">
        <v>166</v>
      </c>
      <c r="L131" s="47" t="s">
        <v>167</v>
      </c>
      <c r="M131" s="47" t="s">
        <v>168</v>
      </c>
      <c r="N131" s="47" t="s">
        <v>169</v>
      </c>
    </row>
    <row r="132" spans="1:16" x14ac:dyDescent="0.25">
      <c r="A132" s="24" t="s">
        <v>118</v>
      </c>
      <c r="B132" s="48">
        <v>909</v>
      </c>
      <c r="C132" s="48">
        <v>994</v>
      </c>
      <c r="D132" s="48">
        <v>835</v>
      </c>
      <c r="E132" s="48">
        <v>891</v>
      </c>
      <c r="F132" s="48">
        <v>882</v>
      </c>
      <c r="I132" s="24" t="s">
        <v>118</v>
      </c>
      <c r="J132" s="48">
        <v>909</v>
      </c>
      <c r="K132" s="48">
        <v>994</v>
      </c>
      <c r="L132" s="48">
        <v>835</v>
      </c>
      <c r="M132" s="48">
        <v>891</v>
      </c>
      <c r="N132" s="48">
        <v>882</v>
      </c>
      <c r="P132" s="33"/>
    </row>
    <row r="133" spans="1:16" x14ac:dyDescent="0.25">
      <c r="A133" s="24" t="s">
        <v>89</v>
      </c>
      <c r="B133" s="48">
        <v>861</v>
      </c>
      <c r="C133" s="48">
        <v>946</v>
      </c>
      <c r="D133" s="48">
        <v>787</v>
      </c>
      <c r="E133" s="48">
        <v>843</v>
      </c>
      <c r="F133" s="48">
        <v>834</v>
      </c>
      <c r="I133" s="24" t="s">
        <v>89</v>
      </c>
      <c r="J133" s="48">
        <v>861</v>
      </c>
      <c r="K133" s="48">
        <v>946</v>
      </c>
      <c r="L133" s="48">
        <v>787</v>
      </c>
      <c r="M133" s="48">
        <v>843</v>
      </c>
      <c r="N133" s="48">
        <v>834</v>
      </c>
      <c r="P133" s="33"/>
    </row>
    <row r="134" spans="1:16" x14ac:dyDescent="0.25">
      <c r="B134" s="48"/>
      <c r="C134" s="48"/>
      <c r="D134" s="48"/>
      <c r="E134" s="48"/>
      <c r="F134" s="48"/>
      <c r="J134" s="48"/>
      <c r="K134" s="48"/>
      <c r="L134" s="48"/>
      <c r="M134" s="48"/>
      <c r="N134" s="48"/>
      <c r="P134" s="33"/>
    </row>
    <row r="135" spans="1:16" x14ac:dyDescent="0.25">
      <c r="B135" s="44">
        <v>0</v>
      </c>
      <c r="C135" s="44">
        <v>1959.99</v>
      </c>
      <c r="D135" s="44">
        <v>1974.99</v>
      </c>
      <c r="E135" s="44">
        <v>1989.99</v>
      </c>
      <c r="F135" s="44">
        <v>2004.99</v>
      </c>
      <c r="J135" s="44">
        <v>0</v>
      </c>
      <c r="K135" s="44">
        <v>1959.99</v>
      </c>
      <c r="L135" s="44">
        <v>1974.99</v>
      </c>
      <c r="M135" s="44">
        <v>1989.99</v>
      </c>
      <c r="N135" s="44">
        <v>2004.99</v>
      </c>
    </row>
    <row r="136" spans="1:16" x14ac:dyDescent="0.25">
      <c r="B136" s="44">
        <v>1959.99</v>
      </c>
      <c r="C136" s="44">
        <v>1975</v>
      </c>
      <c r="D136" s="44">
        <v>1990</v>
      </c>
      <c r="E136" s="44">
        <v>2005</v>
      </c>
      <c r="F136" s="44">
        <v>2100</v>
      </c>
      <c r="J136" s="44">
        <v>1959.99</v>
      </c>
      <c r="K136" s="44">
        <v>1975</v>
      </c>
      <c r="L136" s="44">
        <v>1990</v>
      </c>
      <c r="M136" s="44">
        <v>2005</v>
      </c>
      <c r="N136" s="44">
        <v>2100</v>
      </c>
    </row>
    <row r="137" spans="1:16" x14ac:dyDescent="0.25">
      <c r="B137" s="44">
        <f>Dashboard!$C$14</f>
        <v>1970</v>
      </c>
      <c r="C137" s="44">
        <f>Dashboard!$C$14</f>
        <v>1970</v>
      </c>
      <c r="D137" s="44">
        <f>Dashboard!$C$14</f>
        <v>1970</v>
      </c>
      <c r="E137" s="44">
        <f>Dashboard!$C$14</f>
        <v>1970</v>
      </c>
      <c r="F137" s="44">
        <f>Dashboard!$C$14</f>
        <v>1970</v>
      </c>
      <c r="J137" s="44">
        <f>Dashboard!$C$14</f>
        <v>1970</v>
      </c>
      <c r="K137" s="44">
        <f>Dashboard!$C$14</f>
        <v>1970</v>
      </c>
      <c r="L137" s="44">
        <f>Dashboard!$C$14</f>
        <v>1970</v>
      </c>
      <c r="M137" s="44">
        <f>Dashboard!$C$14</f>
        <v>1970</v>
      </c>
      <c r="N137" s="44">
        <f>Dashboard!$C$14</f>
        <v>1970</v>
      </c>
    </row>
    <row r="138" spans="1:16" x14ac:dyDescent="0.25">
      <c r="B138" s="44">
        <f>IF(B137&gt;=B135,IF(B137&lt;B136,1,0))</f>
        <v>0</v>
      </c>
      <c r="C138" s="44">
        <f>IF(C137&gt;=C135,IF(C137&lt;C136,1,0))</f>
        <v>1</v>
      </c>
      <c r="D138" s="44" t="b">
        <f>IF(D137&gt;=D135,IF(D137&lt;D136,1,0))</f>
        <v>0</v>
      </c>
      <c r="E138" s="44" t="b">
        <f>IF(E137&gt;=E135,IF(E137&lt;E136,1,0))</f>
        <v>0</v>
      </c>
      <c r="F138" s="44" t="b">
        <f>IF(F137&gt;=F135,IF(F137&lt;F136,1,0))</f>
        <v>0</v>
      </c>
      <c r="J138" s="44">
        <f>IF(J137&gt;=J135,IF(J137&lt;J136,1,0))</f>
        <v>0</v>
      </c>
      <c r="K138" s="44">
        <f>IF(K137&gt;=K135,IF(K137&lt;K136,1,0))</f>
        <v>1</v>
      </c>
      <c r="L138" s="44" t="b">
        <f>IF(L137&gt;=L135,IF(L137&lt;L136,1,0))</f>
        <v>0</v>
      </c>
      <c r="M138" s="44" t="b">
        <f>IF(M137&gt;=M135,IF(M137&lt;M136,1,0))</f>
        <v>0</v>
      </c>
      <c r="N138" s="44" t="b">
        <f>IF(N137&gt;=N135,IF(N137&lt;N136,1,0))</f>
        <v>0</v>
      </c>
    </row>
    <row r="139" spans="1:16" x14ac:dyDescent="0.25">
      <c r="B139" s="44">
        <f>IF(C75=A132,1,0)</f>
        <v>1</v>
      </c>
      <c r="C139" s="44">
        <f>B139</f>
        <v>1</v>
      </c>
      <c r="D139" s="44">
        <f t="shared" ref="D139:F140" si="20">C139</f>
        <v>1</v>
      </c>
      <c r="E139" s="44">
        <f t="shared" si="20"/>
        <v>1</v>
      </c>
      <c r="F139" s="44">
        <f t="shared" si="20"/>
        <v>1</v>
      </c>
      <c r="J139" s="44">
        <f>IF(K75=I132,1,0)</f>
        <v>1</v>
      </c>
      <c r="K139" s="44">
        <f t="shared" ref="K139:N140" si="21">J139</f>
        <v>1</v>
      </c>
      <c r="L139" s="44">
        <f t="shared" si="21"/>
        <v>1</v>
      </c>
      <c r="M139" s="44">
        <f t="shared" si="21"/>
        <v>1</v>
      </c>
      <c r="N139" s="44">
        <f t="shared" si="21"/>
        <v>1</v>
      </c>
    </row>
    <row r="140" spans="1:16" x14ac:dyDescent="0.25">
      <c r="B140" s="44">
        <f>IF(C75=A133,1,0)</f>
        <v>0</v>
      </c>
      <c r="C140" s="44">
        <f>B140</f>
        <v>0</v>
      </c>
      <c r="D140" s="44">
        <f t="shared" si="20"/>
        <v>0</v>
      </c>
      <c r="E140" s="44">
        <f t="shared" si="20"/>
        <v>0</v>
      </c>
      <c r="F140" s="44">
        <f t="shared" si="20"/>
        <v>0</v>
      </c>
      <c r="G140" s="49"/>
      <c r="H140" s="49"/>
      <c r="J140" s="44">
        <f>IF(K75=I133,1,0)</f>
        <v>0</v>
      </c>
      <c r="K140" s="44">
        <f t="shared" si="21"/>
        <v>0</v>
      </c>
      <c r="L140" s="44">
        <f t="shared" si="21"/>
        <v>0</v>
      </c>
      <c r="M140" s="44">
        <f t="shared" si="21"/>
        <v>0</v>
      </c>
      <c r="N140" s="44">
        <f t="shared" si="21"/>
        <v>0</v>
      </c>
      <c r="O140" s="49"/>
    </row>
    <row r="141" spans="1:16" x14ac:dyDescent="0.25">
      <c r="B141" s="50">
        <f>B139*B138*B132+B140*B138*B133</f>
        <v>0</v>
      </c>
      <c r="C141" s="50">
        <f>C139*C138*C132+C140*C138*C133</f>
        <v>994</v>
      </c>
      <c r="D141" s="50">
        <f>D139*D138*D132+D140*D138*D133</f>
        <v>0</v>
      </c>
      <c r="E141" s="50">
        <f>E139*E138*E132+E140*E138*E133</f>
        <v>0</v>
      </c>
      <c r="F141" s="50">
        <f>F139*F138*F132+F140*F138*F133</f>
        <v>0</v>
      </c>
      <c r="G141" s="50">
        <f>SUM(B141:F141)</f>
        <v>994</v>
      </c>
      <c r="H141" s="50"/>
      <c r="J141" s="50">
        <f>J139*J138*J132+J140*J138*J133</f>
        <v>0</v>
      </c>
      <c r="K141" s="50">
        <f>K139*K138*K132+K140*K138*K133</f>
        <v>994</v>
      </c>
      <c r="L141" s="50">
        <f>L139*L138*L132+L140*L138*L133</f>
        <v>0</v>
      </c>
      <c r="M141" s="50">
        <f>M139*M138*M132+M140*M138*M133</f>
        <v>0</v>
      </c>
      <c r="N141" s="50">
        <f>N139*N138*N132+N140*N138*N133</f>
        <v>0</v>
      </c>
      <c r="O141" s="50">
        <f>SUM(J141:N141)</f>
        <v>994</v>
      </c>
    </row>
    <row r="142" spans="1:16" x14ac:dyDescent="0.25">
      <c r="B142" s="50"/>
      <c r="C142" s="50"/>
      <c r="D142" s="50"/>
      <c r="E142" s="50"/>
      <c r="F142" s="50"/>
      <c r="G142" s="50"/>
      <c r="H142" s="50"/>
      <c r="J142" s="50"/>
      <c r="K142" s="50"/>
      <c r="L142" s="50"/>
      <c r="M142" s="50"/>
      <c r="N142" s="50"/>
      <c r="O142" s="50"/>
    </row>
    <row r="143" spans="1:16" x14ac:dyDescent="0.25">
      <c r="A143" s="27" t="s">
        <v>170</v>
      </c>
      <c r="B143" s="28"/>
      <c r="C143" s="28"/>
      <c r="D143" s="28"/>
      <c r="E143" s="28"/>
      <c r="F143" s="28"/>
      <c r="G143" s="50"/>
      <c r="H143" s="50"/>
      <c r="I143" s="27" t="s">
        <v>170</v>
      </c>
      <c r="J143" s="28"/>
      <c r="K143" s="28"/>
      <c r="L143" s="28"/>
      <c r="M143" s="28"/>
      <c r="N143" s="28"/>
      <c r="O143" s="50"/>
    </row>
    <row r="144" spans="1:16" x14ac:dyDescent="0.25">
      <c r="A144" s="24" t="s">
        <v>118</v>
      </c>
      <c r="B144" s="48">
        <v>810</v>
      </c>
      <c r="C144" s="44" t="str">
        <f>$C$75</f>
        <v>EGW</v>
      </c>
      <c r="F144" s="41">
        <f>IF(C144=A144,1,0)</f>
        <v>1</v>
      </c>
      <c r="G144" s="50">
        <f>F144*B144</f>
        <v>810</v>
      </c>
      <c r="H144" s="50"/>
      <c r="I144" s="24" t="s">
        <v>118</v>
      </c>
      <c r="J144" s="48">
        <v>810</v>
      </c>
      <c r="K144" s="44" t="str">
        <f>$K$75</f>
        <v>EGW</v>
      </c>
      <c r="N144" s="41">
        <f>IF(K144=I144,1,0)</f>
        <v>1</v>
      </c>
      <c r="O144" s="50">
        <f>N144*J144</f>
        <v>810</v>
      </c>
    </row>
    <row r="145" spans="1:15" x14ac:dyDescent="0.25">
      <c r="A145" s="24" t="s">
        <v>89</v>
      </c>
      <c r="B145" s="48">
        <v>608</v>
      </c>
      <c r="C145" s="44" t="str">
        <f>$C$75</f>
        <v>EGW</v>
      </c>
      <c r="F145" s="41">
        <f>IF(C145=A145,1,0)</f>
        <v>0</v>
      </c>
      <c r="G145" s="50">
        <f>F145*B145</f>
        <v>0</v>
      </c>
      <c r="H145" s="50"/>
      <c r="I145" s="24" t="s">
        <v>89</v>
      </c>
      <c r="J145" s="48">
        <v>608</v>
      </c>
      <c r="K145" s="44" t="str">
        <f>$K$75</f>
        <v>EGW</v>
      </c>
      <c r="N145" s="41">
        <f>IF(K145=I145,1,0)</f>
        <v>0</v>
      </c>
      <c r="O145" s="50">
        <f>N145*J145</f>
        <v>0</v>
      </c>
    </row>
    <row r="146" spans="1:15" x14ac:dyDescent="0.25">
      <c r="G146" s="50"/>
      <c r="H146" s="50"/>
      <c r="O146" s="50"/>
    </row>
    <row r="147" spans="1:15" x14ac:dyDescent="0.25">
      <c r="A147" s="27" t="s">
        <v>171</v>
      </c>
      <c r="B147" s="28"/>
      <c r="C147" s="28"/>
      <c r="D147" s="28"/>
      <c r="E147" s="28"/>
      <c r="F147" s="28"/>
      <c r="G147" s="50"/>
      <c r="H147" s="50"/>
      <c r="I147" s="27" t="s">
        <v>171</v>
      </c>
      <c r="J147" s="28"/>
      <c r="K147" s="28"/>
      <c r="L147" s="28"/>
      <c r="M147" s="28"/>
      <c r="N147" s="28"/>
      <c r="O147" s="50"/>
    </row>
    <row r="148" spans="1:15" x14ac:dyDescent="0.25">
      <c r="A148" s="24" t="s">
        <v>118</v>
      </c>
      <c r="B148" s="48">
        <v>408</v>
      </c>
      <c r="C148" s="44" t="str">
        <f>$C$75</f>
        <v>EGW</v>
      </c>
      <c r="F148" s="41">
        <f>IF(C148=A148,1,0)</f>
        <v>1</v>
      </c>
      <c r="G148" s="50">
        <f>F148*B148</f>
        <v>408</v>
      </c>
      <c r="H148" s="50"/>
      <c r="I148" s="24" t="s">
        <v>118</v>
      </c>
      <c r="J148" s="48">
        <v>408</v>
      </c>
      <c r="K148" s="44" t="str">
        <f>$K$75</f>
        <v>EGW</v>
      </c>
      <c r="N148" s="41">
        <f>IF(K148=I148,1,0)</f>
        <v>1</v>
      </c>
      <c r="O148" s="50">
        <f>N148*J148</f>
        <v>408</v>
      </c>
    </row>
    <row r="149" spans="1:15" x14ac:dyDescent="0.25">
      <c r="A149" s="24" t="s">
        <v>89</v>
      </c>
      <c r="B149" s="48">
        <v>397</v>
      </c>
      <c r="C149" s="44" t="str">
        <f>$C$75</f>
        <v>EGW</v>
      </c>
      <c r="F149" s="41">
        <f>IF(C149=A149,1,0)</f>
        <v>0</v>
      </c>
      <c r="G149" s="50">
        <f>F149*B149</f>
        <v>0</v>
      </c>
      <c r="H149" s="50"/>
      <c r="I149" s="24" t="s">
        <v>89</v>
      </c>
      <c r="J149" s="48">
        <v>397</v>
      </c>
      <c r="K149" s="44" t="str">
        <f>$K$75</f>
        <v>EGW</v>
      </c>
      <c r="N149" s="41">
        <f>IF(K149=I149,1,0)</f>
        <v>0</v>
      </c>
      <c r="O149" s="50">
        <f>N149*J149</f>
        <v>0</v>
      </c>
    </row>
    <row r="150" spans="1:15" x14ac:dyDescent="0.25">
      <c r="G150" s="50"/>
      <c r="H150" s="50"/>
      <c r="O150" s="50"/>
    </row>
    <row r="151" spans="1:15" x14ac:dyDescent="0.25">
      <c r="A151" s="27" t="s">
        <v>172</v>
      </c>
      <c r="B151" s="28"/>
      <c r="C151" s="28"/>
      <c r="D151" s="28"/>
      <c r="E151" s="28"/>
      <c r="F151" s="28"/>
      <c r="I151" s="27" t="s">
        <v>172</v>
      </c>
      <c r="J151" s="28"/>
      <c r="K151" s="28"/>
      <c r="L151" s="28"/>
      <c r="M151" s="28"/>
      <c r="N151" s="28"/>
    </row>
    <row r="152" spans="1:15" x14ac:dyDescent="0.25">
      <c r="A152" s="24" t="s">
        <v>173</v>
      </c>
      <c r="B152" s="34">
        <f>B153+SUM(G155:G547)</f>
        <v>2.4510000000000001E-3</v>
      </c>
      <c r="C152" s="24" t="s">
        <v>174</v>
      </c>
      <c r="G152" s="50">
        <f>B152*$B$38</f>
        <v>77.329049999999995</v>
      </c>
      <c r="H152" s="50"/>
      <c r="I152" s="24" t="s">
        <v>173</v>
      </c>
      <c r="J152" s="34">
        <f>J153+SUM(O155:O547)</f>
        <v>2.4510000000000001E-3</v>
      </c>
      <c r="K152" s="24" t="s">
        <v>174</v>
      </c>
      <c r="O152" s="50">
        <f>J152*$J$38</f>
        <v>0</v>
      </c>
    </row>
    <row r="153" spans="1:15" x14ac:dyDescent="0.25">
      <c r="A153" s="24" t="s">
        <v>175</v>
      </c>
      <c r="B153" s="39">
        <v>1.2999999999999999E-3</v>
      </c>
      <c r="C153" s="24" t="s">
        <v>174</v>
      </c>
      <c r="G153" s="50"/>
      <c r="H153" s="50"/>
      <c r="I153" s="24" t="s">
        <v>175</v>
      </c>
      <c r="J153" s="39">
        <v>1.2999999999999999E-3</v>
      </c>
      <c r="K153" s="24" t="s">
        <v>174</v>
      </c>
      <c r="O153" s="50"/>
    </row>
    <row r="154" spans="1:15" x14ac:dyDescent="0.25">
      <c r="B154" s="39"/>
      <c r="G154" s="50"/>
      <c r="H154" s="50"/>
      <c r="J154" s="39"/>
      <c r="O154" s="50"/>
    </row>
    <row r="155" spans="1:15" x14ac:dyDescent="0.25">
      <c r="A155" s="24" t="s">
        <v>176</v>
      </c>
      <c r="B155" s="39">
        <v>1.1509999999999999E-3</v>
      </c>
      <c r="F155" s="41">
        <f>IF(A155=Dashboard!$C$17,1,0)</f>
        <v>1</v>
      </c>
      <c r="G155" s="51">
        <f>F155*B155</f>
        <v>1.1509999999999999E-3</v>
      </c>
      <c r="H155" s="51"/>
      <c r="I155" s="24" t="s">
        <v>176</v>
      </c>
      <c r="J155" s="39">
        <v>1.1509999999999999E-3</v>
      </c>
      <c r="N155" s="41">
        <f>IF(I155=Dashboard!$C$17,1,0)</f>
        <v>1</v>
      </c>
      <c r="O155" s="51">
        <f>N155*J155</f>
        <v>1.1509999999999999E-3</v>
      </c>
    </row>
    <row r="156" spans="1:15" x14ac:dyDescent="0.25">
      <c r="A156" s="24" t="s">
        <v>177</v>
      </c>
      <c r="B156" s="39">
        <v>1.2149999999999999E-3</v>
      </c>
      <c r="F156" s="41">
        <f>IF(A156=Dashboard!$C$17,1,0)</f>
        <v>0</v>
      </c>
      <c r="G156" s="51">
        <f t="shared" ref="G156:G219" si="22">F156*B156</f>
        <v>0</v>
      </c>
      <c r="H156" s="51"/>
      <c r="I156" s="24" t="s">
        <v>177</v>
      </c>
      <c r="J156" s="39">
        <v>1.2149999999999999E-3</v>
      </c>
      <c r="N156" s="41">
        <f>IF(I156=Dashboard!$C$17,1,0)</f>
        <v>0</v>
      </c>
      <c r="O156" s="51">
        <f t="shared" ref="O156:O219" si="23">N156*J156</f>
        <v>0</v>
      </c>
    </row>
    <row r="157" spans="1:15" x14ac:dyDescent="0.25">
      <c r="A157" s="24" t="s">
        <v>178</v>
      </c>
      <c r="B157" s="39">
        <v>1.207E-3</v>
      </c>
      <c r="F157" s="41">
        <f>IF(A157=Dashboard!$C$17,1,0)</f>
        <v>0</v>
      </c>
      <c r="G157" s="51">
        <f t="shared" si="22"/>
        <v>0</v>
      </c>
      <c r="H157" s="51"/>
      <c r="I157" s="24" t="s">
        <v>178</v>
      </c>
      <c r="J157" s="39">
        <v>1.207E-3</v>
      </c>
      <c r="N157" s="41">
        <f>IF(I157=Dashboard!$C$17,1,0)</f>
        <v>0</v>
      </c>
      <c r="O157" s="51">
        <f t="shared" si="23"/>
        <v>0</v>
      </c>
    </row>
    <row r="158" spans="1:15" x14ac:dyDescent="0.25">
      <c r="A158" s="24" t="s">
        <v>179</v>
      </c>
      <c r="B158" s="39">
        <v>1.24E-3</v>
      </c>
      <c r="F158" s="41">
        <f>IF(A158=Dashboard!$C$17,1,0)</f>
        <v>0</v>
      </c>
      <c r="G158" s="51">
        <f t="shared" si="22"/>
        <v>0</v>
      </c>
      <c r="H158" s="51"/>
      <c r="I158" s="24" t="s">
        <v>179</v>
      </c>
      <c r="J158" s="39">
        <v>1.24E-3</v>
      </c>
      <c r="N158" s="41">
        <f>IF(I158=Dashboard!$C$17,1,0)</f>
        <v>0</v>
      </c>
      <c r="O158" s="51">
        <f t="shared" si="23"/>
        <v>0</v>
      </c>
    </row>
    <row r="159" spans="1:15" x14ac:dyDescent="0.25">
      <c r="A159" s="24" t="s">
        <v>180</v>
      </c>
      <c r="B159" s="39">
        <v>1.7699999999999999E-3</v>
      </c>
      <c r="F159" s="41">
        <f>IF(A159=Dashboard!$C$17,1,0)</f>
        <v>0</v>
      </c>
      <c r="G159" s="51">
        <f t="shared" si="22"/>
        <v>0</v>
      </c>
      <c r="H159" s="51"/>
      <c r="I159" s="24" t="s">
        <v>180</v>
      </c>
      <c r="J159" s="39">
        <v>1.7699999999999999E-3</v>
      </c>
      <c r="N159" s="41">
        <f>IF(I159=Dashboard!$C$17,1,0)</f>
        <v>0</v>
      </c>
      <c r="O159" s="51">
        <f t="shared" si="23"/>
        <v>0</v>
      </c>
    </row>
    <row r="160" spans="1:15" x14ac:dyDescent="0.25">
      <c r="A160" s="24" t="s">
        <v>181</v>
      </c>
      <c r="B160" s="39">
        <v>1.353E-3</v>
      </c>
      <c r="F160" s="41">
        <f>IF(A160=Dashboard!$C$17,1,0)</f>
        <v>0</v>
      </c>
      <c r="G160" s="51">
        <f t="shared" si="22"/>
        <v>0</v>
      </c>
      <c r="H160" s="51"/>
      <c r="I160" s="24" t="s">
        <v>181</v>
      </c>
      <c r="J160" s="39">
        <v>1.353E-3</v>
      </c>
      <c r="N160" s="41">
        <f>IF(I160=Dashboard!$C$17,1,0)</f>
        <v>0</v>
      </c>
      <c r="O160" s="51">
        <f t="shared" si="23"/>
        <v>0</v>
      </c>
    </row>
    <row r="161" spans="1:15" x14ac:dyDescent="0.25">
      <c r="A161" s="24" t="s">
        <v>182</v>
      </c>
      <c r="B161" s="39">
        <v>1.3880000000000001E-3</v>
      </c>
      <c r="F161" s="41">
        <f>IF(A161=Dashboard!$C$17,1,0)</f>
        <v>0</v>
      </c>
      <c r="G161" s="51">
        <f t="shared" si="22"/>
        <v>0</v>
      </c>
      <c r="H161" s="51"/>
      <c r="I161" s="24" t="s">
        <v>182</v>
      </c>
      <c r="J161" s="39">
        <v>1.3880000000000001E-3</v>
      </c>
      <c r="N161" s="41">
        <f>IF(I161=Dashboard!$C$17,1,0)</f>
        <v>0</v>
      </c>
      <c r="O161" s="51">
        <f t="shared" si="23"/>
        <v>0</v>
      </c>
    </row>
    <row r="162" spans="1:15" x14ac:dyDescent="0.25">
      <c r="A162" s="24" t="s">
        <v>183</v>
      </c>
      <c r="B162" s="39">
        <v>1.0199999999999999E-3</v>
      </c>
      <c r="F162" s="41">
        <f>IF(A162=Dashboard!$C$17,1,0)</f>
        <v>0</v>
      </c>
      <c r="G162" s="51">
        <f t="shared" si="22"/>
        <v>0</v>
      </c>
      <c r="H162" s="51"/>
      <c r="I162" s="24" t="s">
        <v>183</v>
      </c>
      <c r="J162" s="39">
        <v>1.0199999999999999E-3</v>
      </c>
      <c r="N162" s="41">
        <f>IF(I162=Dashboard!$C$17,1,0)</f>
        <v>0</v>
      </c>
      <c r="O162" s="51">
        <f t="shared" si="23"/>
        <v>0</v>
      </c>
    </row>
    <row r="163" spans="1:15" x14ac:dyDescent="0.25">
      <c r="A163" s="24" t="s">
        <v>184</v>
      </c>
      <c r="B163" s="39">
        <v>1.763E-3</v>
      </c>
      <c r="F163" s="41">
        <f>IF(A163=Dashboard!$C$17,1,0)</f>
        <v>0</v>
      </c>
      <c r="G163" s="51">
        <f t="shared" si="22"/>
        <v>0</v>
      </c>
      <c r="H163" s="51"/>
      <c r="I163" s="24" t="s">
        <v>184</v>
      </c>
      <c r="J163" s="39">
        <v>1.763E-3</v>
      </c>
      <c r="N163" s="41">
        <f>IF(I163=Dashboard!$C$17,1,0)</f>
        <v>0</v>
      </c>
      <c r="O163" s="51">
        <f t="shared" si="23"/>
        <v>0</v>
      </c>
    </row>
    <row r="164" spans="1:15" x14ac:dyDescent="0.25">
      <c r="A164" s="24" t="s">
        <v>185</v>
      </c>
      <c r="B164" s="39">
        <v>1.5129999999999998E-3</v>
      </c>
      <c r="F164" s="41">
        <f>IF(A164=Dashboard!$C$17,1,0)</f>
        <v>0</v>
      </c>
      <c r="G164" s="51">
        <f t="shared" si="22"/>
        <v>0</v>
      </c>
      <c r="H164" s="51"/>
      <c r="I164" s="24" t="s">
        <v>185</v>
      </c>
      <c r="J164" s="39">
        <v>1.5129999999999998E-3</v>
      </c>
      <c r="N164" s="41">
        <f>IF(I164=Dashboard!$C$17,1,0)</f>
        <v>0</v>
      </c>
      <c r="O164" s="51">
        <f t="shared" si="23"/>
        <v>0</v>
      </c>
    </row>
    <row r="165" spans="1:15" x14ac:dyDescent="0.25">
      <c r="A165" s="24" t="s">
        <v>186</v>
      </c>
      <c r="B165" s="39">
        <v>1.209E-3</v>
      </c>
      <c r="F165" s="41">
        <f>IF(A165=Dashboard!$C$17,1,0)</f>
        <v>0</v>
      </c>
      <c r="G165" s="51">
        <f t="shared" si="22"/>
        <v>0</v>
      </c>
      <c r="H165" s="51"/>
      <c r="I165" s="24" t="s">
        <v>186</v>
      </c>
      <c r="J165" s="39">
        <v>1.209E-3</v>
      </c>
      <c r="N165" s="41">
        <f>IF(I165=Dashboard!$C$17,1,0)</f>
        <v>0</v>
      </c>
      <c r="O165" s="51">
        <f t="shared" si="23"/>
        <v>0</v>
      </c>
    </row>
    <row r="166" spans="1:15" x14ac:dyDescent="0.25">
      <c r="A166" s="24" t="s">
        <v>187</v>
      </c>
      <c r="B166" s="39">
        <v>1.0739999999999999E-3</v>
      </c>
      <c r="F166" s="41">
        <f>IF(A166=Dashboard!$C$17,1,0)</f>
        <v>0</v>
      </c>
      <c r="G166" s="51">
        <f t="shared" si="22"/>
        <v>0</v>
      </c>
      <c r="H166" s="51"/>
      <c r="I166" s="24" t="s">
        <v>187</v>
      </c>
      <c r="J166" s="39">
        <v>1.0739999999999999E-3</v>
      </c>
      <c r="N166" s="41">
        <f>IF(I166=Dashboard!$C$17,1,0)</f>
        <v>0</v>
      </c>
      <c r="O166" s="51">
        <f t="shared" si="23"/>
        <v>0</v>
      </c>
    </row>
    <row r="167" spans="1:15" x14ac:dyDescent="0.25">
      <c r="A167" s="24" t="s">
        <v>188</v>
      </c>
      <c r="B167" s="39">
        <v>9.01E-4</v>
      </c>
      <c r="F167" s="41">
        <f>IF(A167=Dashboard!$C$17,1,0)</f>
        <v>0</v>
      </c>
      <c r="G167" s="51">
        <f t="shared" si="22"/>
        <v>0</v>
      </c>
      <c r="H167" s="51"/>
      <c r="I167" s="24" t="s">
        <v>188</v>
      </c>
      <c r="J167" s="39">
        <v>9.01E-4</v>
      </c>
      <c r="N167" s="41">
        <f>IF(I167=Dashboard!$C$17,1,0)</f>
        <v>0</v>
      </c>
      <c r="O167" s="51">
        <f t="shared" si="23"/>
        <v>0</v>
      </c>
    </row>
    <row r="168" spans="1:15" x14ac:dyDescent="0.25">
      <c r="A168" s="24" t="s">
        <v>189</v>
      </c>
      <c r="B168" s="39">
        <v>1.317E-3</v>
      </c>
      <c r="F168" s="41">
        <f>IF(A168=Dashboard!$C$17,1,0)</f>
        <v>0</v>
      </c>
      <c r="G168" s="51">
        <f t="shared" si="22"/>
        <v>0</v>
      </c>
      <c r="H168" s="51"/>
      <c r="I168" s="24" t="s">
        <v>189</v>
      </c>
      <c r="J168" s="39">
        <v>1.317E-3</v>
      </c>
      <c r="N168" s="41">
        <f>IF(I168=Dashboard!$C$17,1,0)</f>
        <v>0</v>
      </c>
      <c r="O168" s="51">
        <f t="shared" si="23"/>
        <v>0</v>
      </c>
    </row>
    <row r="169" spans="1:15" x14ac:dyDescent="0.25">
      <c r="A169" s="24" t="s">
        <v>190</v>
      </c>
      <c r="B169" s="39">
        <v>9.4189999999999996E-4</v>
      </c>
      <c r="F169" s="41">
        <f>IF(A169=Dashboard!$C$17,1,0)</f>
        <v>0</v>
      </c>
      <c r="G169" s="51">
        <f t="shared" si="22"/>
        <v>0</v>
      </c>
      <c r="H169" s="51"/>
      <c r="I169" s="24" t="s">
        <v>190</v>
      </c>
      <c r="J169" s="39">
        <v>9.4189999999999996E-4</v>
      </c>
      <c r="N169" s="41">
        <f>IF(I169=Dashboard!$C$17,1,0)</f>
        <v>0</v>
      </c>
      <c r="O169" s="51">
        <f t="shared" si="23"/>
        <v>0</v>
      </c>
    </row>
    <row r="170" spans="1:15" x14ac:dyDescent="0.25">
      <c r="A170" s="24" t="s">
        <v>73</v>
      </c>
      <c r="B170" s="39">
        <v>6.2280000000000007E-4</v>
      </c>
      <c r="F170" s="41">
        <f>IF(A170=Dashboard!$C$17,1,0)</f>
        <v>0</v>
      </c>
      <c r="G170" s="51">
        <f t="shared" si="22"/>
        <v>0</v>
      </c>
      <c r="H170" s="51"/>
      <c r="I170" s="24" t="s">
        <v>73</v>
      </c>
      <c r="J170" s="39">
        <v>6.2280000000000007E-4</v>
      </c>
      <c r="N170" s="41">
        <f>IF(I170=Dashboard!$C$17,1,0)</f>
        <v>0</v>
      </c>
      <c r="O170" s="51">
        <f t="shared" si="23"/>
        <v>0</v>
      </c>
    </row>
    <row r="171" spans="1:15" x14ac:dyDescent="0.25">
      <c r="A171" s="24" t="s">
        <v>191</v>
      </c>
      <c r="B171" s="39">
        <v>1.4269999999999999E-3</v>
      </c>
      <c r="F171" s="41">
        <f>IF(A171=Dashboard!$C$17,1,0)</f>
        <v>0</v>
      </c>
      <c r="G171" s="51">
        <f t="shared" si="22"/>
        <v>0</v>
      </c>
      <c r="H171" s="51"/>
      <c r="I171" s="24" t="s">
        <v>191</v>
      </c>
      <c r="J171" s="39">
        <v>1.4269999999999999E-3</v>
      </c>
      <c r="N171" s="41">
        <f>IF(I171=Dashboard!$C$17,1,0)</f>
        <v>0</v>
      </c>
      <c r="O171" s="51">
        <f t="shared" si="23"/>
        <v>0</v>
      </c>
    </row>
    <row r="172" spans="1:15" x14ac:dyDescent="0.25">
      <c r="A172" s="24" t="s">
        <v>192</v>
      </c>
      <c r="B172" s="39">
        <v>2.506E-3</v>
      </c>
      <c r="F172" s="41">
        <f>IF(A172=Dashboard!$C$17,1,0)</f>
        <v>0</v>
      </c>
      <c r="G172" s="51">
        <f t="shared" si="22"/>
        <v>0</v>
      </c>
      <c r="H172" s="51"/>
      <c r="I172" s="24" t="s">
        <v>192</v>
      </c>
      <c r="J172" s="39">
        <v>2.506E-3</v>
      </c>
      <c r="N172" s="41">
        <f>IF(I172=Dashboard!$C$17,1,0)</f>
        <v>0</v>
      </c>
      <c r="O172" s="51">
        <f t="shared" si="23"/>
        <v>0</v>
      </c>
    </row>
    <row r="173" spans="1:15" x14ac:dyDescent="0.25">
      <c r="A173" s="24" t="s">
        <v>193</v>
      </c>
      <c r="B173" s="39">
        <v>2.0100000000000001E-3</v>
      </c>
      <c r="F173" s="41">
        <f>IF(A173=Dashboard!$C$17,1,0)</f>
        <v>0</v>
      </c>
      <c r="G173" s="51">
        <f t="shared" si="22"/>
        <v>0</v>
      </c>
      <c r="H173" s="51"/>
      <c r="I173" s="24" t="s">
        <v>193</v>
      </c>
      <c r="J173" s="39">
        <v>2.0100000000000001E-3</v>
      </c>
      <c r="N173" s="41">
        <f>IF(I173=Dashboard!$C$17,1,0)</f>
        <v>0</v>
      </c>
      <c r="O173" s="51">
        <f t="shared" si="23"/>
        <v>0</v>
      </c>
    </row>
    <row r="174" spans="1:15" x14ac:dyDescent="0.25">
      <c r="A174" s="24" t="s">
        <v>194</v>
      </c>
      <c r="B174" s="39">
        <v>1.7519999999999999E-3</v>
      </c>
      <c r="F174" s="41">
        <f>IF(A174=Dashboard!$C$17,1,0)</f>
        <v>0</v>
      </c>
      <c r="G174" s="51">
        <f t="shared" si="22"/>
        <v>0</v>
      </c>
      <c r="H174" s="51"/>
      <c r="I174" s="24" t="s">
        <v>194</v>
      </c>
      <c r="J174" s="39">
        <v>1.7519999999999999E-3</v>
      </c>
      <c r="N174" s="41">
        <f>IF(I174=Dashboard!$C$17,1,0)</f>
        <v>0</v>
      </c>
      <c r="O174" s="51">
        <f t="shared" si="23"/>
        <v>0</v>
      </c>
    </row>
    <row r="175" spans="1:15" x14ac:dyDescent="0.25">
      <c r="A175" s="24" t="s">
        <v>195</v>
      </c>
      <c r="B175" s="39">
        <v>1.065E-3</v>
      </c>
      <c r="F175" s="41">
        <f>IF(A175=Dashboard!$C$17,1,0)</f>
        <v>0</v>
      </c>
      <c r="G175" s="51">
        <f t="shared" si="22"/>
        <v>0</v>
      </c>
      <c r="H175" s="51"/>
      <c r="I175" s="24" t="s">
        <v>195</v>
      </c>
      <c r="J175" s="39">
        <v>1.065E-3</v>
      </c>
      <c r="N175" s="41">
        <f>IF(I175=Dashboard!$C$17,1,0)</f>
        <v>0</v>
      </c>
      <c r="O175" s="51">
        <f t="shared" si="23"/>
        <v>0</v>
      </c>
    </row>
    <row r="176" spans="1:15" x14ac:dyDescent="0.25">
      <c r="A176" s="24" t="s">
        <v>196</v>
      </c>
      <c r="B176" s="39">
        <v>1.1200000000000001E-3</v>
      </c>
      <c r="F176" s="41">
        <f>IF(A176=Dashboard!$C$17,1,0)</f>
        <v>0</v>
      </c>
      <c r="G176" s="51">
        <f t="shared" si="22"/>
        <v>0</v>
      </c>
      <c r="H176" s="51"/>
      <c r="I176" s="24" t="s">
        <v>196</v>
      </c>
      <c r="J176" s="39">
        <v>1.1200000000000001E-3</v>
      </c>
      <c r="N176" s="41">
        <f>IF(I176=Dashboard!$C$17,1,0)</f>
        <v>0</v>
      </c>
      <c r="O176" s="51">
        <f t="shared" si="23"/>
        <v>0</v>
      </c>
    </row>
    <row r="177" spans="1:15" x14ac:dyDescent="0.25">
      <c r="A177" s="24" t="s">
        <v>197</v>
      </c>
      <c r="B177" s="39">
        <v>1.2520000000000001E-3</v>
      </c>
      <c r="F177" s="41">
        <f>IF(A177=Dashboard!$C$17,1,0)</f>
        <v>0</v>
      </c>
      <c r="G177" s="51">
        <f t="shared" si="22"/>
        <v>0</v>
      </c>
      <c r="H177" s="51"/>
      <c r="I177" s="24" t="s">
        <v>197</v>
      </c>
      <c r="J177" s="39">
        <v>1.2520000000000001E-3</v>
      </c>
      <c r="N177" s="41">
        <f>IF(I177=Dashboard!$C$17,1,0)</f>
        <v>0</v>
      </c>
      <c r="O177" s="51">
        <f t="shared" si="23"/>
        <v>0</v>
      </c>
    </row>
    <row r="178" spans="1:15" x14ac:dyDescent="0.25">
      <c r="A178" s="24" t="s">
        <v>198</v>
      </c>
      <c r="B178" s="39">
        <v>1.232E-3</v>
      </c>
      <c r="F178" s="41">
        <f>IF(A178=Dashboard!$C$17,1,0)</f>
        <v>0</v>
      </c>
      <c r="G178" s="51">
        <f t="shared" si="22"/>
        <v>0</v>
      </c>
      <c r="H178" s="51"/>
      <c r="I178" s="24" t="s">
        <v>198</v>
      </c>
      <c r="J178" s="39">
        <v>1.232E-3</v>
      </c>
      <c r="N178" s="41">
        <f>IF(I178=Dashboard!$C$17,1,0)</f>
        <v>0</v>
      </c>
      <c r="O178" s="51">
        <f t="shared" si="23"/>
        <v>0</v>
      </c>
    </row>
    <row r="179" spans="1:15" x14ac:dyDescent="0.25">
      <c r="A179" s="24" t="s">
        <v>199</v>
      </c>
      <c r="B179" s="39">
        <v>1.0480000000000001E-3</v>
      </c>
      <c r="F179" s="41">
        <f>IF(A179=Dashboard!$C$17,1,0)</f>
        <v>0</v>
      </c>
      <c r="G179" s="51">
        <f t="shared" si="22"/>
        <v>0</v>
      </c>
      <c r="H179" s="51"/>
      <c r="I179" s="24" t="s">
        <v>199</v>
      </c>
      <c r="J179" s="39">
        <v>1.0480000000000001E-3</v>
      </c>
      <c r="N179" s="41">
        <f>IF(I179=Dashboard!$C$17,1,0)</f>
        <v>0</v>
      </c>
      <c r="O179" s="51">
        <f t="shared" si="23"/>
        <v>0</v>
      </c>
    </row>
    <row r="180" spans="1:15" x14ac:dyDescent="0.25">
      <c r="A180" s="24" t="s">
        <v>200</v>
      </c>
      <c r="B180" s="39">
        <v>1.5010000000000002E-3</v>
      </c>
      <c r="F180" s="41">
        <f>IF(A180=Dashboard!$C$17,1,0)</f>
        <v>0</v>
      </c>
      <c r="G180" s="51">
        <f t="shared" si="22"/>
        <v>0</v>
      </c>
      <c r="H180" s="51"/>
      <c r="I180" s="24" t="s">
        <v>200</v>
      </c>
      <c r="J180" s="39">
        <v>1.5010000000000002E-3</v>
      </c>
      <c r="N180" s="41">
        <f>IF(I180=Dashboard!$C$17,1,0)</f>
        <v>0</v>
      </c>
      <c r="O180" s="51">
        <f t="shared" si="23"/>
        <v>0</v>
      </c>
    </row>
    <row r="181" spans="1:15" x14ac:dyDescent="0.25">
      <c r="A181" s="24" t="s">
        <v>201</v>
      </c>
      <c r="B181" s="39">
        <v>1.5349999999999999E-3</v>
      </c>
      <c r="F181" s="41">
        <f>IF(A181=Dashboard!$C$17,1,0)</f>
        <v>0</v>
      </c>
      <c r="G181" s="51">
        <f t="shared" si="22"/>
        <v>0</v>
      </c>
      <c r="H181" s="51"/>
      <c r="I181" s="24" t="s">
        <v>201</v>
      </c>
      <c r="J181" s="39">
        <v>1.5349999999999999E-3</v>
      </c>
      <c r="N181" s="41">
        <f>IF(I181=Dashboard!$C$17,1,0)</f>
        <v>0</v>
      </c>
      <c r="O181" s="51">
        <f t="shared" si="23"/>
        <v>0</v>
      </c>
    </row>
    <row r="182" spans="1:15" x14ac:dyDescent="0.25">
      <c r="A182" s="24" t="s">
        <v>202</v>
      </c>
      <c r="B182" s="39">
        <v>1.1659999999999999E-3</v>
      </c>
      <c r="F182" s="41">
        <f>IF(A182=Dashboard!$C$17,1,0)</f>
        <v>0</v>
      </c>
      <c r="G182" s="51">
        <f t="shared" si="22"/>
        <v>0</v>
      </c>
      <c r="H182" s="51"/>
      <c r="I182" s="24" t="s">
        <v>202</v>
      </c>
      <c r="J182" s="39">
        <v>1.1659999999999999E-3</v>
      </c>
      <c r="N182" s="41">
        <f>IF(I182=Dashboard!$C$17,1,0)</f>
        <v>0</v>
      </c>
      <c r="O182" s="51">
        <f t="shared" si="23"/>
        <v>0</v>
      </c>
    </row>
    <row r="183" spans="1:15" x14ac:dyDescent="0.25">
      <c r="A183" s="24" t="s">
        <v>203</v>
      </c>
      <c r="B183" s="39">
        <v>1.137E-3</v>
      </c>
      <c r="F183" s="41">
        <f>IF(A183=Dashboard!$C$17,1,0)</f>
        <v>0</v>
      </c>
      <c r="G183" s="51">
        <f t="shared" si="22"/>
        <v>0</v>
      </c>
      <c r="H183" s="51"/>
      <c r="I183" s="24" t="s">
        <v>203</v>
      </c>
      <c r="J183" s="39">
        <v>1.137E-3</v>
      </c>
      <c r="N183" s="41">
        <f>IF(I183=Dashboard!$C$17,1,0)</f>
        <v>0</v>
      </c>
      <c r="O183" s="51">
        <f t="shared" si="23"/>
        <v>0</v>
      </c>
    </row>
    <row r="184" spans="1:15" x14ac:dyDescent="0.25">
      <c r="A184" s="24" t="s">
        <v>204</v>
      </c>
      <c r="B184" s="39">
        <v>1.9300000000000001E-3</v>
      </c>
      <c r="F184" s="41">
        <f>IF(A184=Dashboard!$C$17,1,0)</f>
        <v>0</v>
      </c>
      <c r="G184" s="51">
        <f t="shared" si="22"/>
        <v>0</v>
      </c>
      <c r="H184" s="51"/>
      <c r="I184" s="24" t="s">
        <v>204</v>
      </c>
      <c r="J184" s="39">
        <v>1.9300000000000001E-3</v>
      </c>
      <c r="N184" s="41">
        <f>IF(I184=Dashboard!$C$17,1,0)</f>
        <v>0</v>
      </c>
      <c r="O184" s="51">
        <f t="shared" si="23"/>
        <v>0</v>
      </c>
    </row>
    <row r="185" spans="1:15" x14ac:dyDescent="0.25">
      <c r="A185" s="24" t="s">
        <v>205</v>
      </c>
      <c r="B185" s="39">
        <v>1.041E-3</v>
      </c>
      <c r="F185" s="41">
        <f>IF(A185=Dashboard!$C$17,1,0)</f>
        <v>0</v>
      </c>
      <c r="G185" s="51">
        <f t="shared" si="22"/>
        <v>0</v>
      </c>
      <c r="H185" s="51"/>
      <c r="I185" s="24" t="s">
        <v>205</v>
      </c>
      <c r="J185" s="39">
        <v>1.041E-3</v>
      </c>
      <c r="N185" s="41">
        <f>IF(I185=Dashboard!$C$17,1,0)</f>
        <v>0</v>
      </c>
      <c r="O185" s="51">
        <f t="shared" si="23"/>
        <v>0</v>
      </c>
    </row>
    <row r="186" spans="1:15" x14ac:dyDescent="0.25">
      <c r="A186" s="24" t="s">
        <v>206</v>
      </c>
      <c r="B186" s="39">
        <v>1.209E-3</v>
      </c>
      <c r="F186" s="41">
        <f>IF(A186=Dashboard!$C$17,1,0)</f>
        <v>0</v>
      </c>
      <c r="G186" s="51">
        <f t="shared" si="22"/>
        <v>0</v>
      </c>
      <c r="H186" s="51"/>
      <c r="I186" s="24" t="s">
        <v>206</v>
      </c>
      <c r="J186" s="39">
        <v>1.209E-3</v>
      </c>
      <c r="N186" s="41">
        <f>IF(I186=Dashboard!$C$17,1,0)</f>
        <v>0</v>
      </c>
      <c r="O186" s="51">
        <f t="shared" si="23"/>
        <v>0</v>
      </c>
    </row>
    <row r="187" spans="1:15" x14ac:dyDescent="0.25">
      <c r="A187" s="24" t="s">
        <v>207</v>
      </c>
      <c r="B187" s="39">
        <v>1.14E-3</v>
      </c>
      <c r="F187" s="41">
        <f>IF(A187=Dashboard!$C$17,1,0)</f>
        <v>0</v>
      </c>
      <c r="G187" s="51">
        <f t="shared" si="22"/>
        <v>0</v>
      </c>
      <c r="H187" s="51"/>
      <c r="I187" s="24" t="s">
        <v>207</v>
      </c>
      <c r="J187" s="39">
        <v>1.14E-3</v>
      </c>
      <c r="N187" s="41">
        <f>IF(I187=Dashboard!$C$17,1,0)</f>
        <v>0</v>
      </c>
      <c r="O187" s="51">
        <f t="shared" si="23"/>
        <v>0</v>
      </c>
    </row>
    <row r="188" spans="1:15" x14ac:dyDescent="0.25">
      <c r="A188" s="24" t="s">
        <v>208</v>
      </c>
      <c r="B188" s="39">
        <v>1.057E-3</v>
      </c>
      <c r="F188" s="41">
        <f>IF(A188=Dashboard!$C$17,1,0)</f>
        <v>0</v>
      </c>
      <c r="G188" s="51">
        <f t="shared" si="22"/>
        <v>0</v>
      </c>
      <c r="H188" s="51"/>
      <c r="I188" s="24" t="s">
        <v>208</v>
      </c>
      <c r="J188" s="39">
        <v>1.057E-3</v>
      </c>
      <c r="N188" s="41">
        <f>IF(I188=Dashboard!$C$17,1,0)</f>
        <v>0</v>
      </c>
      <c r="O188" s="51">
        <f t="shared" si="23"/>
        <v>0</v>
      </c>
    </row>
    <row r="189" spans="1:15" x14ac:dyDescent="0.25">
      <c r="A189" s="24" t="s">
        <v>209</v>
      </c>
      <c r="B189" s="39">
        <v>1.377E-3</v>
      </c>
      <c r="F189" s="41">
        <f>IF(A189=Dashboard!$C$17,1,0)</f>
        <v>0</v>
      </c>
      <c r="G189" s="51">
        <f t="shared" si="22"/>
        <v>0</v>
      </c>
      <c r="H189" s="51"/>
      <c r="I189" s="24" t="s">
        <v>209</v>
      </c>
      <c r="J189" s="39">
        <v>1.377E-3</v>
      </c>
      <c r="N189" s="41">
        <f>IF(I189=Dashboard!$C$17,1,0)</f>
        <v>0</v>
      </c>
      <c r="O189" s="51">
        <f t="shared" si="23"/>
        <v>0</v>
      </c>
    </row>
    <row r="190" spans="1:15" x14ac:dyDescent="0.25">
      <c r="A190" s="24" t="s">
        <v>210</v>
      </c>
      <c r="B190" s="39">
        <v>1.2459999999999999E-3</v>
      </c>
      <c r="F190" s="41">
        <f>IF(A190=Dashboard!$C$17,1,0)</f>
        <v>0</v>
      </c>
      <c r="G190" s="51">
        <f t="shared" si="22"/>
        <v>0</v>
      </c>
      <c r="H190" s="51"/>
      <c r="I190" s="24" t="s">
        <v>210</v>
      </c>
      <c r="J190" s="39">
        <v>1.2459999999999999E-3</v>
      </c>
      <c r="N190" s="41">
        <f>IF(I190=Dashboard!$C$17,1,0)</f>
        <v>0</v>
      </c>
      <c r="O190" s="51">
        <f t="shared" si="23"/>
        <v>0</v>
      </c>
    </row>
    <row r="191" spans="1:15" x14ac:dyDescent="0.25">
      <c r="A191" s="24" t="s">
        <v>211</v>
      </c>
      <c r="B191" s="39">
        <v>9.812E-4</v>
      </c>
      <c r="F191" s="41">
        <f>IF(A191=Dashboard!$C$17,1,0)</f>
        <v>0</v>
      </c>
      <c r="G191" s="51">
        <f t="shared" si="22"/>
        <v>0</v>
      </c>
      <c r="H191" s="51"/>
      <c r="I191" s="24" t="s">
        <v>211</v>
      </c>
      <c r="J191" s="39">
        <v>9.812E-4</v>
      </c>
      <c r="N191" s="41">
        <f>IF(I191=Dashboard!$C$17,1,0)</f>
        <v>0</v>
      </c>
      <c r="O191" s="51">
        <f t="shared" si="23"/>
        <v>0</v>
      </c>
    </row>
    <row r="192" spans="1:15" x14ac:dyDescent="0.25">
      <c r="A192" s="24" t="s">
        <v>212</v>
      </c>
      <c r="B192" s="39">
        <v>1.76527E-3</v>
      </c>
      <c r="F192" s="41">
        <f>IF(A192=Dashboard!$C$17,1,0)</f>
        <v>0</v>
      </c>
      <c r="G192" s="51">
        <f t="shared" si="22"/>
        <v>0</v>
      </c>
      <c r="H192" s="51"/>
      <c r="I192" s="24" t="s">
        <v>212</v>
      </c>
      <c r="J192" s="39">
        <v>1.76527E-3</v>
      </c>
      <c r="N192" s="41">
        <f>IF(I192=Dashboard!$C$17,1,0)</f>
        <v>0</v>
      </c>
      <c r="O192" s="51">
        <f t="shared" si="23"/>
        <v>0</v>
      </c>
    </row>
    <row r="193" spans="1:15" x14ac:dyDescent="0.25">
      <c r="A193" s="24" t="s">
        <v>213</v>
      </c>
      <c r="B193" s="39">
        <v>1.2929999999999999E-3</v>
      </c>
      <c r="F193" s="41">
        <f>IF(A193=Dashboard!$C$17,1,0)</f>
        <v>0</v>
      </c>
      <c r="G193" s="51">
        <f t="shared" si="22"/>
        <v>0</v>
      </c>
      <c r="H193" s="51"/>
      <c r="I193" s="24" t="s">
        <v>213</v>
      </c>
      <c r="J193" s="39">
        <v>1.2929999999999999E-3</v>
      </c>
      <c r="N193" s="41">
        <f>IF(I193=Dashboard!$C$17,1,0)</f>
        <v>0</v>
      </c>
      <c r="O193" s="51">
        <f t="shared" si="23"/>
        <v>0</v>
      </c>
    </row>
    <row r="194" spans="1:15" x14ac:dyDescent="0.25">
      <c r="A194" s="24" t="s">
        <v>214</v>
      </c>
      <c r="B194" s="39">
        <v>9.8299999999999993E-4</v>
      </c>
      <c r="F194" s="41">
        <f>IF(A194=Dashboard!$C$17,1,0)</f>
        <v>0</v>
      </c>
      <c r="G194" s="51">
        <f t="shared" si="22"/>
        <v>0</v>
      </c>
      <c r="H194" s="51"/>
      <c r="I194" s="24" t="s">
        <v>214</v>
      </c>
      <c r="J194" s="39">
        <v>9.8299999999999993E-4</v>
      </c>
      <c r="N194" s="41">
        <f>IF(I194=Dashboard!$C$17,1,0)</f>
        <v>0</v>
      </c>
      <c r="O194" s="51">
        <f t="shared" si="23"/>
        <v>0</v>
      </c>
    </row>
    <row r="195" spans="1:15" x14ac:dyDescent="0.25">
      <c r="A195" s="24" t="s">
        <v>215</v>
      </c>
      <c r="B195" s="39">
        <v>1.0070000000000001E-3</v>
      </c>
      <c r="F195" s="41">
        <f>IF(A195=Dashboard!$C$17,1,0)</f>
        <v>0</v>
      </c>
      <c r="G195" s="51">
        <f t="shared" si="22"/>
        <v>0</v>
      </c>
      <c r="H195" s="51"/>
      <c r="I195" s="24" t="s">
        <v>215</v>
      </c>
      <c r="J195" s="39">
        <v>1.0070000000000001E-3</v>
      </c>
      <c r="N195" s="41">
        <f>IF(I195=Dashboard!$C$17,1,0)</f>
        <v>0</v>
      </c>
      <c r="O195" s="51">
        <f t="shared" si="23"/>
        <v>0</v>
      </c>
    </row>
    <row r="196" spans="1:15" x14ac:dyDescent="0.25">
      <c r="A196" s="24" t="s">
        <v>216</v>
      </c>
      <c r="B196" s="39">
        <v>1.3023000000000002E-3</v>
      </c>
      <c r="F196" s="41">
        <f>IF(A196=Dashboard!$C$17,1,0)</f>
        <v>0</v>
      </c>
      <c r="G196" s="51">
        <f t="shared" si="22"/>
        <v>0</v>
      </c>
      <c r="H196" s="51"/>
      <c r="I196" s="24" t="s">
        <v>216</v>
      </c>
      <c r="J196" s="39">
        <v>1.3023000000000002E-3</v>
      </c>
      <c r="N196" s="41">
        <f>IF(I196=Dashboard!$C$17,1,0)</f>
        <v>0</v>
      </c>
      <c r="O196" s="51">
        <f t="shared" si="23"/>
        <v>0</v>
      </c>
    </row>
    <row r="197" spans="1:15" x14ac:dyDescent="0.25">
      <c r="A197" s="24" t="s">
        <v>217</v>
      </c>
      <c r="B197" s="39">
        <v>1.127E-3</v>
      </c>
      <c r="F197" s="41">
        <f>IF(A197=Dashboard!$C$17,1,0)</f>
        <v>0</v>
      </c>
      <c r="G197" s="51">
        <f t="shared" si="22"/>
        <v>0</v>
      </c>
      <c r="H197" s="51"/>
      <c r="I197" s="24" t="s">
        <v>217</v>
      </c>
      <c r="J197" s="39">
        <v>1.127E-3</v>
      </c>
      <c r="N197" s="41">
        <f>IF(I197=Dashboard!$C$17,1,0)</f>
        <v>0</v>
      </c>
      <c r="O197" s="51">
        <f t="shared" si="23"/>
        <v>0</v>
      </c>
    </row>
    <row r="198" spans="1:15" x14ac:dyDescent="0.25">
      <c r="A198" s="24" t="s">
        <v>218</v>
      </c>
      <c r="B198" s="39">
        <v>1.4890000000000001E-3</v>
      </c>
      <c r="F198" s="41">
        <f>IF(A198=Dashboard!$C$17,1,0)</f>
        <v>0</v>
      </c>
      <c r="G198" s="51">
        <f t="shared" si="22"/>
        <v>0</v>
      </c>
      <c r="H198" s="51"/>
      <c r="I198" s="24" t="s">
        <v>218</v>
      </c>
      <c r="J198" s="39">
        <v>1.4890000000000001E-3</v>
      </c>
      <c r="N198" s="41">
        <f>IF(I198=Dashboard!$C$17,1,0)</f>
        <v>0</v>
      </c>
      <c r="O198" s="51">
        <f t="shared" si="23"/>
        <v>0</v>
      </c>
    </row>
    <row r="199" spans="1:15" x14ac:dyDescent="0.25">
      <c r="A199" s="24" t="s">
        <v>219</v>
      </c>
      <c r="B199" s="39">
        <v>1.5933E-3</v>
      </c>
      <c r="F199" s="41">
        <f>IF(A199=Dashboard!$C$17,1,0)</f>
        <v>0</v>
      </c>
      <c r="G199" s="51">
        <f t="shared" si="22"/>
        <v>0</v>
      </c>
      <c r="H199" s="51"/>
      <c r="I199" s="24" t="s">
        <v>219</v>
      </c>
      <c r="J199" s="39">
        <v>1.5933E-3</v>
      </c>
      <c r="N199" s="41">
        <f>IF(I199=Dashboard!$C$17,1,0)</f>
        <v>0</v>
      </c>
      <c r="O199" s="51">
        <f t="shared" si="23"/>
        <v>0</v>
      </c>
    </row>
    <row r="200" spans="1:15" x14ac:dyDescent="0.25">
      <c r="A200" s="24" t="s">
        <v>220</v>
      </c>
      <c r="B200" s="39">
        <v>2.0699999999999998E-3</v>
      </c>
      <c r="F200" s="41">
        <f>IF(A200=Dashboard!$C$17,1,0)</f>
        <v>0</v>
      </c>
      <c r="G200" s="51">
        <f t="shared" si="22"/>
        <v>0</v>
      </c>
      <c r="H200" s="51"/>
      <c r="I200" s="24" t="s">
        <v>220</v>
      </c>
      <c r="J200" s="39">
        <v>2.0699999999999998E-3</v>
      </c>
      <c r="N200" s="41">
        <f>IF(I200=Dashboard!$C$17,1,0)</f>
        <v>0</v>
      </c>
      <c r="O200" s="51">
        <f t="shared" si="23"/>
        <v>0</v>
      </c>
    </row>
    <row r="201" spans="1:15" x14ac:dyDescent="0.25">
      <c r="A201" s="24" t="s">
        <v>221</v>
      </c>
      <c r="B201" s="39">
        <v>1.6230000000000001E-3</v>
      </c>
      <c r="F201" s="41">
        <f>IF(A201=Dashboard!$C$17,1,0)</f>
        <v>0</v>
      </c>
      <c r="G201" s="51">
        <f t="shared" si="22"/>
        <v>0</v>
      </c>
      <c r="H201" s="51"/>
      <c r="I201" s="24" t="s">
        <v>221</v>
      </c>
      <c r="J201" s="39">
        <v>1.6230000000000001E-3</v>
      </c>
      <c r="N201" s="41">
        <f>IF(I201=Dashboard!$C$17,1,0)</f>
        <v>0</v>
      </c>
      <c r="O201" s="51">
        <f t="shared" si="23"/>
        <v>0</v>
      </c>
    </row>
    <row r="202" spans="1:15" x14ac:dyDescent="0.25">
      <c r="A202" s="24" t="s">
        <v>222</v>
      </c>
      <c r="B202" s="39">
        <v>1.2740000000000002E-3</v>
      </c>
      <c r="F202" s="41">
        <f>IF(A202=Dashboard!$C$17,1,0)</f>
        <v>0</v>
      </c>
      <c r="G202" s="51">
        <f t="shared" si="22"/>
        <v>0</v>
      </c>
      <c r="H202" s="51"/>
      <c r="I202" s="24" t="s">
        <v>222</v>
      </c>
      <c r="J202" s="39">
        <v>1.2740000000000002E-3</v>
      </c>
      <c r="N202" s="41">
        <f>IF(I202=Dashboard!$C$17,1,0)</f>
        <v>0</v>
      </c>
      <c r="O202" s="51">
        <f t="shared" si="23"/>
        <v>0</v>
      </c>
    </row>
    <row r="203" spans="1:15" x14ac:dyDescent="0.25">
      <c r="A203" s="24" t="s">
        <v>223</v>
      </c>
      <c r="B203" s="39">
        <v>1.1440000000000001E-3</v>
      </c>
      <c r="F203" s="41">
        <f>IF(A203=Dashboard!$C$17,1,0)</f>
        <v>0</v>
      </c>
      <c r="G203" s="51">
        <f t="shared" si="22"/>
        <v>0</v>
      </c>
      <c r="H203" s="51"/>
      <c r="I203" s="24" t="s">
        <v>223</v>
      </c>
      <c r="J203" s="39">
        <v>1.1440000000000001E-3</v>
      </c>
      <c r="N203" s="41">
        <f>IF(I203=Dashboard!$C$17,1,0)</f>
        <v>0</v>
      </c>
      <c r="O203" s="51">
        <f t="shared" si="23"/>
        <v>0</v>
      </c>
    </row>
    <row r="204" spans="1:15" x14ac:dyDescent="0.25">
      <c r="A204" s="24" t="s">
        <v>224</v>
      </c>
      <c r="B204" s="39">
        <v>1.2210000000000001E-3</v>
      </c>
      <c r="F204" s="41">
        <f>IF(A204=Dashboard!$C$17,1,0)</f>
        <v>0</v>
      </c>
      <c r="G204" s="51">
        <f t="shared" si="22"/>
        <v>0</v>
      </c>
      <c r="H204" s="51"/>
      <c r="I204" s="24" t="s">
        <v>224</v>
      </c>
      <c r="J204" s="39">
        <v>1.2210000000000001E-3</v>
      </c>
      <c r="N204" s="41">
        <f>IF(I204=Dashboard!$C$17,1,0)</f>
        <v>0</v>
      </c>
      <c r="O204" s="51">
        <f t="shared" si="23"/>
        <v>0</v>
      </c>
    </row>
    <row r="205" spans="1:15" x14ac:dyDescent="0.25">
      <c r="A205" s="24" t="s">
        <v>225</v>
      </c>
      <c r="B205" s="39">
        <v>1.0580000000000001E-3</v>
      </c>
      <c r="F205" s="41">
        <f>IF(A205=Dashboard!$C$17,1,0)</f>
        <v>0</v>
      </c>
      <c r="G205" s="51">
        <f t="shared" si="22"/>
        <v>0</v>
      </c>
      <c r="H205" s="51"/>
      <c r="I205" s="24" t="s">
        <v>225</v>
      </c>
      <c r="J205" s="39">
        <v>1.0580000000000001E-3</v>
      </c>
      <c r="N205" s="41">
        <f>IF(I205=Dashboard!$C$17,1,0)</f>
        <v>0</v>
      </c>
      <c r="O205" s="51">
        <f t="shared" si="23"/>
        <v>0</v>
      </c>
    </row>
    <row r="206" spans="1:15" x14ac:dyDescent="0.25">
      <c r="A206" s="24" t="s">
        <v>226</v>
      </c>
      <c r="B206" s="39">
        <v>1.072E-3</v>
      </c>
      <c r="F206" s="41">
        <f>IF(A206=Dashboard!$C$17,1,0)</f>
        <v>0</v>
      </c>
      <c r="G206" s="51">
        <f t="shared" si="22"/>
        <v>0</v>
      </c>
      <c r="H206" s="51"/>
      <c r="I206" s="24" t="s">
        <v>226</v>
      </c>
      <c r="J206" s="39">
        <v>1.072E-3</v>
      </c>
      <c r="N206" s="41">
        <f>IF(I206=Dashboard!$C$17,1,0)</f>
        <v>0</v>
      </c>
      <c r="O206" s="51">
        <f t="shared" si="23"/>
        <v>0</v>
      </c>
    </row>
    <row r="207" spans="1:15" x14ac:dyDescent="0.25">
      <c r="A207" s="24" t="s">
        <v>227</v>
      </c>
      <c r="B207" s="39">
        <v>1.261E-3</v>
      </c>
      <c r="F207" s="41">
        <f>IF(A207=Dashboard!$C$17,1,0)</f>
        <v>0</v>
      </c>
      <c r="G207" s="51">
        <f t="shared" si="22"/>
        <v>0</v>
      </c>
      <c r="H207" s="51"/>
      <c r="I207" s="24" t="s">
        <v>227</v>
      </c>
      <c r="J207" s="39">
        <v>1.261E-3</v>
      </c>
      <c r="N207" s="41">
        <f>IF(I207=Dashboard!$C$17,1,0)</f>
        <v>0</v>
      </c>
      <c r="O207" s="51">
        <f t="shared" si="23"/>
        <v>0</v>
      </c>
    </row>
    <row r="208" spans="1:15" x14ac:dyDescent="0.25">
      <c r="A208" s="24" t="s">
        <v>228</v>
      </c>
      <c r="B208" s="39">
        <v>1.08E-3</v>
      </c>
      <c r="F208" s="41">
        <f>IF(A208=Dashboard!$C$17,1,0)</f>
        <v>0</v>
      </c>
      <c r="G208" s="51">
        <f t="shared" si="22"/>
        <v>0</v>
      </c>
      <c r="H208" s="51"/>
      <c r="I208" s="24" t="s">
        <v>228</v>
      </c>
      <c r="J208" s="39">
        <v>1.08E-3</v>
      </c>
      <c r="N208" s="41">
        <f>IF(I208=Dashboard!$C$17,1,0)</f>
        <v>0</v>
      </c>
      <c r="O208" s="51">
        <f t="shared" si="23"/>
        <v>0</v>
      </c>
    </row>
    <row r="209" spans="1:15" x14ac:dyDescent="0.25">
      <c r="A209" s="24" t="s">
        <v>229</v>
      </c>
      <c r="B209" s="39">
        <v>1.7619999999999999E-3</v>
      </c>
      <c r="F209" s="41">
        <f>IF(A209=Dashboard!$C$17,1,0)</f>
        <v>0</v>
      </c>
      <c r="G209" s="51">
        <f t="shared" si="22"/>
        <v>0</v>
      </c>
      <c r="H209" s="51"/>
      <c r="I209" s="24" t="s">
        <v>229</v>
      </c>
      <c r="J209" s="39">
        <v>1.7619999999999999E-3</v>
      </c>
      <c r="N209" s="41">
        <f>IF(I209=Dashboard!$C$17,1,0)</f>
        <v>0</v>
      </c>
      <c r="O209" s="51">
        <f t="shared" si="23"/>
        <v>0</v>
      </c>
    </row>
    <row r="210" spans="1:15" x14ac:dyDescent="0.25">
      <c r="A210" s="24" t="s">
        <v>230</v>
      </c>
      <c r="B210" s="39">
        <v>1.8129999999999999E-3</v>
      </c>
      <c r="F210" s="41">
        <f>IF(A210=Dashboard!$C$17,1,0)</f>
        <v>0</v>
      </c>
      <c r="G210" s="51">
        <f t="shared" si="22"/>
        <v>0</v>
      </c>
      <c r="H210" s="51"/>
      <c r="I210" s="24" t="s">
        <v>230</v>
      </c>
      <c r="J210" s="39">
        <v>1.8129999999999999E-3</v>
      </c>
      <c r="N210" s="41">
        <f>IF(I210=Dashboard!$C$17,1,0)</f>
        <v>0</v>
      </c>
      <c r="O210" s="51">
        <f t="shared" si="23"/>
        <v>0</v>
      </c>
    </row>
    <row r="211" spans="1:15" x14ac:dyDescent="0.25">
      <c r="A211" s="24" t="s">
        <v>231</v>
      </c>
      <c r="B211" s="39">
        <v>1.1130000000000001E-3</v>
      </c>
      <c r="F211" s="41">
        <f>IF(A211=Dashboard!$C$17,1,0)</f>
        <v>0</v>
      </c>
      <c r="G211" s="51">
        <f t="shared" si="22"/>
        <v>0</v>
      </c>
      <c r="H211" s="51"/>
      <c r="I211" s="24" t="s">
        <v>231</v>
      </c>
      <c r="J211" s="39">
        <v>1.1130000000000001E-3</v>
      </c>
      <c r="N211" s="41">
        <f>IF(I211=Dashboard!$C$17,1,0)</f>
        <v>0</v>
      </c>
      <c r="O211" s="51">
        <f t="shared" si="23"/>
        <v>0</v>
      </c>
    </row>
    <row r="212" spans="1:15" x14ac:dyDescent="0.25">
      <c r="A212" s="24" t="s">
        <v>232</v>
      </c>
      <c r="B212" s="39">
        <v>1.2459999999999999E-3</v>
      </c>
      <c r="F212" s="41">
        <f>IF(A212=Dashboard!$C$17,1,0)</f>
        <v>0</v>
      </c>
      <c r="G212" s="51">
        <f t="shared" si="22"/>
        <v>0</v>
      </c>
      <c r="H212" s="51"/>
      <c r="I212" s="24" t="s">
        <v>232</v>
      </c>
      <c r="J212" s="39">
        <v>1.2459999999999999E-3</v>
      </c>
      <c r="N212" s="41">
        <f>IF(I212=Dashboard!$C$17,1,0)</f>
        <v>0</v>
      </c>
      <c r="O212" s="51">
        <f t="shared" si="23"/>
        <v>0</v>
      </c>
    </row>
    <row r="213" spans="1:15" x14ac:dyDescent="0.25">
      <c r="A213" s="24" t="s">
        <v>233</v>
      </c>
      <c r="B213" s="39">
        <v>5.8700000000000007E-4</v>
      </c>
      <c r="F213" s="41">
        <f>IF(A213=Dashboard!$C$17,1,0)</f>
        <v>0</v>
      </c>
      <c r="G213" s="51">
        <f t="shared" si="22"/>
        <v>0</v>
      </c>
      <c r="H213" s="51"/>
      <c r="I213" s="24" t="s">
        <v>233</v>
      </c>
      <c r="J213" s="39">
        <v>5.8700000000000007E-4</v>
      </c>
      <c r="N213" s="41">
        <f>IF(I213=Dashboard!$C$17,1,0)</f>
        <v>0</v>
      </c>
      <c r="O213" s="51">
        <f t="shared" si="23"/>
        <v>0</v>
      </c>
    </row>
    <row r="214" spans="1:15" x14ac:dyDescent="0.25">
      <c r="A214" s="24" t="s">
        <v>234</v>
      </c>
      <c r="B214" s="39">
        <v>1.242E-3</v>
      </c>
      <c r="F214" s="41">
        <f>IF(A214=Dashboard!$C$17,1,0)</f>
        <v>0</v>
      </c>
      <c r="G214" s="51">
        <f t="shared" si="22"/>
        <v>0</v>
      </c>
      <c r="H214" s="51"/>
      <c r="I214" s="24" t="s">
        <v>234</v>
      </c>
      <c r="J214" s="39">
        <v>1.242E-3</v>
      </c>
      <c r="N214" s="41">
        <f>IF(I214=Dashboard!$C$17,1,0)</f>
        <v>0</v>
      </c>
      <c r="O214" s="51">
        <f t="shared" si="23"/>
        <v>0</v>
      </c>
    </row>
    <row r="215" spans="1:15" x14ac:dyDescent="0.25">
      <c r="A215" s="24" t="s">
        <v>235</v>
      </c>
      <c r="B215" s="39">
        <v>1.067E-3</v>
      </c>
      <c r="F215" s="41">
        <f>IF(A215=Dashboard!$C$17,1,0)</f>
        <v>0</v>
      </c>
      <c r="G215" s="51">
        <f t="shared" si="22"/>
        <v>0</v>
      </c>
      <c r="H215" s="51"/>
      <c r="I215" s="24" t="s">
        <v>235</v>
      </c>
      <c r="J215" s="39">
        <v>1.067E-3</v>
      </c>
      <c r="N215" s="41">
        <f>IF(I215=Dashboard!$C$17,1,0)</f>
        <v>0</v>
      </c>
      <c r="O215" s="51">
        <f t="shared" si="23"/>
        <v>0</v>
      </c>
    </row>
    <row r="216" spans="1:15" x14ac:dyDescent="0.25">
      <c r="A216" s="24" t="s">
        <v>236</v>
      </c>
      <c r="B216" s="39">
        <v>1.67E-3</v>
      </c>
      <c r="F216" s="41">
        <f>IF(A216=Dashboard!$C$17,1,0)</f>
        <v>0</v>
      </c>
      <c r="G216" s="51">
        <f t="shared" si="22"/>
        <v>0</v>
      </c>
      <c r="H216" s="51"/>
      <c r="I216" s="24" t="s">
        <v>236</v>
      </c>
      <c r="J216" s="39">
        <v>1.67E-3</v>
      </c>
      <c r="N216" s="41">
        <f>IF(I216=Dashboard!$C$17,1,0)</f>
        <v>0</v>
      </c>
      <c r="O216" s="51">
        <f t="shared" si="23"/>
        <v>0</v>
      </c>
    </row>
    <row r="217" spans="1:15" x14ac:dyDescent="0.25">
      <c r="A217" s="24" t="s">
        <v>237</v>
      </c>
      <c r="B217" s="39">
        <v>1.2970000000000002E-3</v>
      </c>
      <c r="F217" s="41">
        <f>IF(A217=Dashboard!$C$17,1,0)</f>
        <v>0</v>
      </c>
      <c r="G217" s="51">
        <f t="shared" si="22"/>
        <v>0</v>
      </c>
      <c r="H217" s="51"/>
      <c r="I217" s="24" t="s">
        <v>237</v>
      </c>
      <c r="J217" s="39">
        <v>1.2970000000000002E-3</v>
      </c>
      <c r="N217" s="41">
        <f>IF(I217=Dashboard!$C$17,1,0)</f>
        <v>0</v>
      </c>
      <c r="O217" s="51">
        <f t="shared" si="23"/>
        <v>0</v>
      </c>
    </row>
    <row r="218" spans="1:15" x14ac:dyDescent="0.25">
      <c r="A218" s="24" t="s">
        <v>238</v>
      </c>
      <c r="B218" s="39">
        <v>1.155E-3</v>
      </c>
      <c r="F218" s="41">
        <f>IF(A218=Dashboard!$C$17,1,0)</f>
        <v>0</v>
      </c>
      <c r="G218" s="51">
        <f t="shared" si="22"/>
        <v>0</v>
      </c>
      <c r="H218" s="51"/>
      <c r="I218" s="24" t="s">
        <v>238</v>
      </c>
      <c r="J218" s="39">
        <v>1.155E-3</v>
      </c>
      <c r="N218" s="41">
        <f>IF(I218=Dashboard!$C$17,1,0)</f>
        <v>0</v>
      </c>
      <c r="O218" s="51">
        <f t="shared" si="23"/>
        <v>0</v>
      </c>
    </row>
    <row r="219" spans="1:15" x14ac:dyDescent="0.25">
      <c r="A219" s="24" t="s">
        <v>239</v>
      </c>
      <c r="B219" s="39">
        <v>1.1050000000000001E-3</v>
      </c>
      <c r="F219" s="41">
        <f>IF(A219=Dashboard!$C$17,1,0)</f>
        <v>0</v>
      </c>
      <c r="G219" s="51">
        <f t="shared" si="22"/>
        <v>0</v>
      </c>
      <c r="H219" s="51"/>
      <c r="I219" s="24" t="s">
        <v>239</v>
      </c>
      <c r="J219" s="39">
        <v>1.1050000000000001E-3</v>
      </c>
      <c r="N219" s="41">
        <f>IF(I219=Dashboard!$C$17,1,0)</f>
        <v>0</v>
      </c>
      <c r="O219" s="51">
        <f t="shared" si="23"/>
        <v>0</v>
      </c>
    </row>
    <row r="220" spans="1:15" x14ac:dyDescent="0.25">
      <c r="A220" s="24" t="s">
        <v>240</v>
      </c>
      <c r="B220" s="39">
        <v>1.2959999999999998E-3</v>
      </c>
      <c r="F220" s="41">
        <f>IF(A220=Dashboard!$C$17,1,0)</f>
        <v>0</v>
      </c>
      <c r="G220" s="51">
        <f t="shared" ref="G220:G283" si="24">F220*B220</f>
        <v>0</v>
      </c>
      <c r="H220" s="51"/>
      <c r="I220" s="24" t="s">
        <v>240</v>
      </c>
      <c r="J220" s="39">
        <v>1.2959999999999998E-3</v>
      </c>
      <c r="N220" s="41">
        <f>IF(I220=Dashboard!$C$17,1,0)</f>
        <v>0</v>
      </c>
      <c r="O220" s="51">
        <f t="shared" ref="O220:O283" si="25">N220*J220</f>
        <v>0</v>
      </c>
    </row>
    <row r="221" spans="1:15" x14ac:dyDescent="0.25">
      <c r="A221" s="24" t="s">
        <v>241</v>
      </c>
      <c r="B221" s="39">
        <v>1.1250000000000001E-3</v>
      </c>
      <c r="F221" s="41">
        <f>IF(A221=Dashboard!$C$17,1,0)</f>
        <v>0</v>
      </c>
      <c r="G221" s="51">
        <f t="shared" si="24"/>
        <v>0</v>
      </c>
      <c r="H221" s="51"/>
      <c r="I221" s="24" t="s">
        <v>241</v>
      </c>
      <c r="J221" s="39">
        <v>1.1250000000000001E-3</v>
      </c>
      <c r="N221" s="41">
        <f>IF(I221=Dashboard!$C$17,1,0)</f>
        <v>0</v>
      </c>
      <c r="O221" s="51">
        <f t="shared" si="25"/>
        <v>0</v>
      </c>
    </row>
    <row r="222" spans="1:15" x14ac:dyDescent="0.25">
      <c r="A222" s="24" t="s">
        <v>242</v>
      </c>
      <c r="B222" s="39">
        <v>1.4779999999999999E-3</v>
      </c>
      <c r="F222" s="41">
        <f>IF(A222=Dashboard!$C$17,1,0)</f>
        <v>0</v>
      </c>
      <c r="G222" s="51">
        <f t="shared" si="24"/>
        <v>0</v>
      </c>
      <c r="H222" s="51"/>
      <c r="I222" s="24" t="s">
        <v>242</v>
      </c>
      <c r="J222" s="39">
        <v>1.4779999999999999E-3</v>
      </c>
      <c r="N222" s="41">
        <f>IF(I222=Dashboard!$C$17,1,0)</f>
        <v>0</v>
      </c>
      <c r="O222" s="51">
        <f t="shared" si="25"/>
        <v>0</v>
      </c>
    </row>
    <row r="223" spans="1:15" x14ac:dyDescent="0.25">
      <c r="A223" s="24" t="s">
        <v>243</v>
      </c>
      <c r="B223" s="39">
        <v>1.1479999999999999E-3</v>
      </c>
      <c r="F223" s="41">
        <f>IF(A223=Dashboard!$C$17,1,0)</f>
        <v>0</v>
      </c>
      <c r="G223" s="51">
        <f t="shared" si="24"/>
        <v>0</v>
      </c>
      <c r="H223" s="51"/>
      <c r="I223" s="24" t="s">
        <v>243</v>
      </c>
      <c r="J223" s="39">
        <v>1.1479999999999999E-3</v>
      </c>
      <c r="N223" s="41">
        <f>IF(I223=Dashboard!$C$17,1,0)</f>
        <v>0</v>
      </c>
      <c r="O223" s="51">
        <f t="shared" si="25"/>
        <v>0</v>
      </c>
    </row>
    <row r="224" spans="1:15" x14ac:dyDescent="0.25">
      <c r="A224" s="24" t="s">
        <v>244</v>
      </c>
      <c r="B224" s="39">
        <v>1.2600000000000001E-3</v>
      </c>
      <c r="F224" s="41">
        <f>IF(A224=Dashboard!$C$17,1,0)</f>
        <v>0</v>
      </c>
      <c r="G224" s="51">
        <f t="shared" si="24"/>
        <v>0</v>
      </c>
      <c r="H224" s="51"/>
      <c r="I224" s="24" t="s">
        <v>244</v>
      </c>
      <c r="J224" s="39">
        <v>1.2600000000000001E-3</v>
      </c>
      <c r="N224" s="41">
        <f>IF(I224=Dashboard!$C$17,1,0)</f>
        <v>0</v>
      </c>
      <c r="O224" s="51">
        <f t="shared" si="25"/>
        <v>0</v>
      </c>
    </row>
    <row r="225" spans="1:15" x14ac:dyDescent="0.25">
      <c r="A225" s="24" t="s">
        <v>245</v>
      </c>
      <c r="B225" s="39">
        <v>1.781E-3</v>
      </c>
      <c r="F225" s="41">
        <f>IF(A225=Dashboard!$C$17,1,0)</f>
        <v>0</v>
      </c>
      <c r="G225" s="51">
        <f t="shared" si="24"/>
        <v>0</v>
      </c>
      <c r="H225" s="51"/>
      <c r="I225" s="24" t="s">
        <v>245</v>
      </c>
      <c r="J225" s="39">
        <v>1.781E-3</v>
      </c>
      <c r="N225" s="41">
        <f>IF(I225=Dashboard!$C$17,1,0)</f>
        <v>0</v>
      </c>
      <c r="O225" s="51">
        <f t="shared" si="25"/>
        <v>0</v>
      </c>
    </row>
    <row r="226" spans="1:15" x14ac:dyDescent="0.25">
      <c r="A226" s="24" t="s">
        <v>246</v>
      </c>
      <c r="B226" s="39">
        <v>9.5399999999999999E-4</v>
      </c>
      <c r="F226" s="41">
        <f>IF(A226=Dashboard!$C$17,1,0)</f>
        <v>0</v>
      </c>
      <c r="G226" s="51">
        <f t="shared" si="24"/>
        <v>0</v>
      </c>
      <c r="H226" s="51"/>
      <c r="I226" s="24" t="s">
        <v>246</v>
      </c>
      <c r="J226" s="39">
        <v>9.5399999999999999E-4</v>
      </c>
      <c r="N226" s="41">
        <f>IF(I226=Dashboard!$C$17,1,0)</f>
        <v>0</v>
      </c>
      <c r="O226" s="51">
        <f t="shared" si="25"/>
        <v>0</v>
      </c>
    </row>
    <row r="227" spans="1:15" x14ac:dyDescent="0.25">
      <c r="A227" s="24" t="s">
        <v>247</v>
      </c>
      <c r="B227" s="39">
        <v>1.165E-3</v>
      </c>
      <c r="F227" s="41">
        <f>IF(A227=Dashboard!$C$17,1,0)</f>
        <v>0</v>
      </c>
      <c r="G227" s="51">
        <f t="shared" si="24"/>
        <v>0</v>
      </c>
      <c r="H227" s="51"/>
      <c r="I227" s="24" t="s">
        <v>247</v>
      </c>
      <c r="J227" s="39">
        <v>1.165E-3</v>
      </c>
      <c r="N227" s="41">
        <f>IF(I227=Dashboard!$C$17,1,0)</f>
        <v>0</v>
      </c>
      <c r="O227" s="51">
        <f t="shared" si="25"/>
        <v>0</v>
      </c>
    </row>
    <row r="228" spans="1:15" x14ac:dyDescent="0.25">
      <c r="A228" s="24" t="s">
        <v>248</v>
      </c>
      <c r="B228" s="39">
        <v>1.4377000000000001E-3</v>
      </c>
      <c r="F228" s="41">
        <f>IF(A228=Dashboard!$C$17,1,0)</f>
        <v>0</v>
      </c>
      <c r="G228" s="51">
        <f t="shared" si="24"/>
        <v>0</v>
      </c>
      <c r="H228" s="51"/>
      <c r="I228" s="24" t="s">
        <v>248</v>
      </c>
      <c r="J228" s="39">
        <v>1.4377000000000001E-3</v>
      </c>
      <c r="N228" s="41">
        <f>IF(I228=Dashboard!$C$17,1,0)</f>
        <v>0</v>
      </c>
      <c r="O228" s="51">
        <f t="shared" si="25"/>
        <v>0</v>
      </c>
    </row>
    <row r="229" spans="1:15" x14ac:dyDescent="0.25">
      <c r="A229" s="24" t="s">
        <v>249</v>
      </c>
      <c r="B229" s="39">
        <v>1.9500000000000001E-3</v>
      </c>
      <c r="F229" s="41">
        <f>IF(A229=Dashboard!$C$17,1,0)</f>
        <v>0</v>
      </c>
      <c r="G229" s="51">
        <f t="shared" si="24"/>
        <v>0</v>
      </c>
      <c r="H229" s="51"/>
      <c r="I229" s="24" t="s">
        <v>249</v>
      </c>
      <c r="J229" s="39">
        <v>1.9500000000000001E-3</v>
      </c>
      <c r="N229" s="41">
        <f>IF(I229=Dashboard!$C$17,1,0)</f>
        <v>0</v>
      </c>
      <c r="O229" s="51">
        <f t="shared" si="25"/>
        <v>0</v>
      </c>
    </row>
    <row r="230" spans="1:15" x14ac:dyDescent="0.25">
      <c r="A230" s="24" t="s">
        <v>250</v>
      </c>
      <c r="B230" s="39">
        <v>1.4199999999999998E-3</v>
      </c>
      <c r="F230" s="41">
        <f>IF(A230=Dashboard!$C$17,1,0)</f>
        <v>0</v>
      </c>
      <c r="G230" s="51">
        <f t="shared" si="24"/>
        <v>0</v>
      </c>
      <c r="H230" s="51"/>
      <c r="I230" s="24" t="s">
        <v>250</v>
      </c>
      <c r="J230" s="39">
        <v>1.4199999999999998E-3</v>
      </c>
      <c r="N230" s="41">
        <f>IF(I230=Dashboard!$C$17,1,0)</f>
        <v>0</v>
      </c>
      <c r="O230" s="51">
        <f t="shared" si="25"/>
        <v>0</v>
      </c>
    </row>
    <row r="231" spans="1:15" x14ac:dyDescent="0.25">
      <c r="A231" s="24" t="s">
        <v>251</v>
      </c>
      <c r="B231" s="39">
        <v>1.5890000000000001E-3</v>
      </c>
      <c r="F231" s="41">
        <f>IF(A231=Dashboard!$C$17,1,0)</f>
        <v>0</v>
      </c>
      <c r="G231" s="51">
        <f t="shared" si="24"/>
        <v>0</v>
      </c>
      <c r="H231" s="51"/>
      <c r="I231" s="24" t="s">
        <v>251</v>
      </c>
      <c r="J231" s="39">
        <v>1.5890000000000001E-3</v>
      </c>
      <c r="N231" s="41">
        <f>IF(I231=Dashboard!$C$17,1,0)</f>
        <v>0</v>
      </c>
      <c r="O231" s="51">
        <f t="shared" si="25"/>
        <v>0</v>
      </c>
    </row>
    <row r="232" spans="1:15" x14ac:dyDescent="0.25">
      <c r="A232" s="24" t="s">
        <v>252</v>
      </c>
      <c r="B232" s="39">
        <v>1.462E-3</v>
      </c>
      <c r="F232" s="41">
        <f>IF(A232=Dashboard!$C$17,1,0)</f>
        <v>0</v>
      </c>
      <c r="G232" s="51">
        <f t="shared" si="24"/>
        <v>0</v>
      </c>
      <c r="H232" s="51"/>
      <c r="I232" s="24" t="s">
        <v>252</v>
      </c>
      <c r="J232" s="39">
        <v>1.462E-3</v>
      </c>
      <c r="N232" s="41">
        <f>IF(I232=Dashboard!$C$17,1,0)</f>
        <v>0</v>
      </c>
      <c r="O232" s="51">
        <f t="shared" si="25"/>
        <v>0</v>
      </c>
    </row>
    <row r="233" spans="1:15" x14ac:dyDescent="0.25">
      <c r="A233" s="24" t="s">
        <v>253</v>
      </c>
      <c r="B233" s="39">
        <v>1.1200000000000001E-3</v>
      </c>
      <c r="F233" s="41">
        <f>IF(A233=Dashboard!$C$17,1,0)</f>
        <v>0</v>
      </c>
      <c r="G233" s="51">
        <f t="shared" si="24"/>
        <v>0</v>
      </c>
      <c r="H233" s="51"/>
      <c r="I233" s="24" t="s">
        <v>253</v>
      </c>
      <c r="J233" s="39">
        <v>1.1200000000000001E-3</v>
      </c>
      <c r="N233" s="41">
        <f>IF(I233=Dashboard!$C$17,1,0)</f>
        <v>0</v>
      </c>
      <c r="O233" s="51">
        <f t="shared" si="25"/>
        <v>0</v>
      </c>
    </row>
    <row r="234" spans="1:15" x14ac:dyDescent="0.25">
      <c r="A234" s="24" t="s">
        <v>254</v>
      </c>
      <c r="B234" s="39">
        <v>1.4499999999999999E-3</v>
      </c>
      <c r="F234" s="41">
        <f>IF(A234=Dashboard!$C$17,1,0)</f>
        <v>0</v>
      </c>
      <c r="G234" s="51">
        <f t="shared" si="24"/>
        <v>0</v>
      </c>
      <c r="H234" s="51"/>
      <c r="I234" s="24" t="s">
        <v>254</v>
      </c>
      <c r="J234" s="39">
        <v>1.4499999999999999E-3</v>
      </c>
      <c r="N234" s="41">
        <f>IF(I234=Dashboard!$C$17,1,0)</f>
        <v>0</v>
      </c>
      <c r="O234" s="51">
        <f t="shared" si="25"/>
        <v>0</v>
      </c>
    </row>
    <row r="235" spans="1:15" x14ac:dyDescent="0.25">
      <c r="A235" s="24" t="s">
        <v>255</v>
      </c>
      <c r="B235" s="39">
        <v>1.4910000000000001E-3</v>
      </c>
      <c r="F235" s="41">
        <f>IF(A235=Dashboard!$C$17,1,0)</f>
        <v>0</v>
      </c>
      <c r="G235" s="51">
        <f t="shared" si="24"/>
        <v>0</v>
      </c>
      <c r="H235" s="51"/>
      <c r="I235" s="24" t="s">
        <v>255</v>
      </c>
      <c r="J235" s="39">
        <v>1.4910000000000001E-3</v>
      </c>
      <c r="N235" s="41">
        <f>IF(I235=Dashboard!$C$17,1,0)</f>
        <v>0</v>
      </c>
      <c r="O235" s="51">
        <f t="shared" si="25"/>
        <v>0</v>
      </c>
    </row>
    <row r="236" spans="1:15" x14ac:dyDescent="0.25">
      <c r="A236" s="24" t="s">
        <v>256</v>
      </c>
      <c r="B236" s="39">
        <v>1.3320000000000001E-3</v>
      </c>
      <c r="F236" s="41">
        <f>IF(A236=Dashboard!$C$17,1,0)</f>
        <v>0</v>
      </c>
      <c r="G236" s="51">
        <f t="shared" si="24"/>
        <v>0</v>
      </c>
      <c r="H236" s="51"/>
      <c r="I236" s="24" t="s">
        <v>256</v>
      </c>
      <c r="J236" s="39">
        <v>1.3320000000000001E-3</v>
      </c>
      <c r="N236" s="41">
        <f>IF(I236=Dashboard!$C$17,1,0)</f>
        <v>0</v>
      </c>
      <c r="O236" s="51">
        <f t="shared" si="25"/>
        <v>0</v>
      </c>
    </row>
    <row r="237" spans="1:15" x14ac:dyDescent="0.25">
      <c r="A237" s="24" t="s">
        <v>257</v>
      </c>
      <c r="B237" s="39">
        <v>1.3189999999999999E-3</v>
      </c>
      <c r="F237" s="41">
        <f>IF(A237=Dashboard!$C$17,1,0)</f>
        <v>0</v>
      </c>
      <c r="G237" s="51">
        <f t="shared" si="24"/>
        <v>0</v>
      </c>
      <c r="H237" s="51"/>
      <c r="I237" s="24" t="s">
        <v>257</v>
      </c>
      <c r="J237" s="39">
        <v>1.3189999999999999E-3</v>
      </c>
      <c r="N237" s="41">
        <f>IF(I237=Dashboard!$C$17,1,0)</f>
        <v>0</v>
      </c>
      <c r="O237" s="51">
        <f t="shared" si="25"/>
        <v>0</v>
      </c>
    </row>
    <row r="238" spans="1:15" x14ac:dyDescent="0.25">
      <c r="A238" s="24" t="s">
        <v>258</v>
      </c>
      <c r="B238" s="39">
        <v>2.2370000000000003E-3</v>
      </c>
      <c r="F238" s="41">
        <f>IF(A238=Dashboard!$C$17,1,0)</f>
        <v>0</v>
      </c>
      <c r="G238" s="51">
        <f t="shared" si="24"/>
        <v>0</v>
      </c>
      <c r="H238" s="51"/>
      <c r="I238" s="24" t="s">
        <v>258</v>
      </c>
      <c r="J238" s="39">
        <v>2.2370000000000003E-3</v>
      </c>
      <c r="N238" s="41">
        <f>IF(I238=Dashboard!$C$17,1,0)</f>
        <v>0</v>
      </c>
      <c r="O238" s="51">
        <f t="shared" si="25"/>
        <v>0</v>
      </c>
    </row>
    <row r="239" spans="1:15" x14ac:dyDescent="0.25">
      <c r="A239" s="24" t="s">
        <v>259</v>
      </c>
      <c r="B239" s="39">
        <v>1.322E-3</v>
      </c>
      <c r="F239" s="41">
        <f>IF(A239=Dashboard!$C$17,1,0)</f>
        <v>0</v>
      </c>
      <c r="G239" s="51">
        <f t="shared" si="24"/>
        <v>0</v>
      </c>
      <c r="H239" s="51"/>
      <c r="I239" s="24" t="s">
        <v>259</v>
      </c>
      <c r="J239" s="39">
        <v>1.322E-3</v>
      </c>
      <c r="N239" s="41">
        <f>IF(I239=Dashboard!$C$17,1,0)</f>
        <v>0</v>
      </c>
      <c r="O239" s="51">
        <f t="shared" si="25"/>
        <v>0</v>
      </c>
    </row>
    <row r="240" spans="1:15" x14ac:dyDescent="0.25">
      <c r="A240" s="24" t="s">
        <v>260</v>
      </c>
      <c r="B240" s="39">
        <v>9.6000000000000002E-4</v>
      </c>
      <c r="F240" s="41">
        <f>IF(A240=Dashboard!$C$17,1,0)</f>
        <v>0</v>
      </c>
      <c r="G240" s="51">
        <f t="shared" si="24"/>
        <v>0</v>
      </c>
      <c r="H240" s="51"/>
      <c r="I240" s="24" t="s">
        <v>260</v>
      </c>
      <c r="J240" s="39">
        <v>9.6000000000000002E-4</v>
      </c>
      <c r="N240" s="41">
        <f>IF(I240=Dashboard!$C$17,1,0)</f>
        <v>0</v>
      </c>
      <c r="O240" s="51">
        <f t="shared" si="25"/>
        <v>0</v>
      </c>
    </row>
    <row r="241" spans="1:15" x14ac:dyDescent="0.25">
      <c r="A241" s="24" t="s">
        <v>261</v>
      </c>
      <c r="B241" s="39">
        <v>1.137E-3</v>
      </c>
      <c r="F241" s="41">
        <f>IF(A241=Dashboard!$C$17,1,0)</f>
        <v>0</v>
      </c>
      <c r="G241" s="51">
        <f t="shared" si="24"/>
        <v>0</v>
      </c>
      <c r="H241" s="51"/>
      <c r="I241" s="24" t="s">
        <v>261</v>
      </c>
      <c r="J241" s="39">
        <v>1.137E-3</v>
      </c>
      <c r="N241" s="41">
        <f>IF(I241=Dashboard!$C$17,1,0)</f>
        <v>0</v>
      </c>
      <c r="O241" s="51">
        <f t="shared" si="25"/>
        <v>0</v>
      </c>
    </row>
    <row r="242" spans="1:15" x14ac:dyDescent="0.25">
      <c r="A242" s="24" t="s">
        <v>262</v>
      </c>
      <c r="B242" s="39">
        <v>1.6769999999999999E-3</v>
      </c>
      <c r="F242" s="41">
        <f>IF(A242=Dashboard!$C$17,1,0)</f>
        <v>0</v>
      </c>
      <c r="G242" s="51">
        <f t="shared" si="24"/>
        <v>0</v>
      </c>
      <c r="H242" s="51"/>
      <c r="I242" s="24" t="s">
        <v>262</v>
      </c>
      <c r="J242" s="39">
        <v>1.6769999999999999E-3</v>
      </c>
      <c r="N242" s="41">
        <f>IF(I242=Dashboard!$C$17,1,0)</f>
        <v>0</v>
      </c>
      <c r="O242" s="51">
        <f t="shared" si="25"/>
        <v>0</v>
      </c>
    </row>
    <row r="243" spans="1:15" x14ac:dyDescent="0.25">
      <c r="A243" s="24" t="s">
        <v>263</v>
      </c>
      <c r="B243" s="39">
        <v>1.2459999999999999E-3</v>
      </c>
      <c r="F243" s="41">
        <f>IF(A243=Dashboard!$C$17,1,0)</f>
        <v>0</v>
      </c>
      <c r="G243" s="51">
        <f t="shared" si="24"/>
        <v>0</v>
      </c>
      <c r="H243" s="51"/>
      <c r="I243" s="24" t="s">
        <v>263</v>
      </c>
      <c r="J243" s="39">
        <v>1.2459999999999999E-3</v>
      </c>
      <c r="N243" s="41">
        <f>IF(I243=Dashboard!$C$17,1,0)</f>
        <v>0</v>
      </c>
      <c r="O243" s="51">
        <f t="shared" si="25"/>
        <v>0</v>
      </c>
    </row>
    <row r="244" spans="1:15" x14ac:dyDescent="0.25">
      <c r="A244" s="24" t="s">
        <v>264</v>
      </c>
      <c r="B244" s="39">
        <v>1.243E-3</v>
      </c>
      <c r="F244" s="41">
        <f>IF(A244=Dashboard!$C$17,1,0)</f>
        <v>0</v>
      </c>
      <c r="G244" s="51">
        <f t="shared" si="24"/>
        <v>0</v>
      </c>
      <c r="H244" s="51"/>
      <c r="I244" s="24" t="s">
        <v>264</v>
      </c>
      <c r="J244" s="39">
        <v>1.243E-3</v>
      </c>
      <c r="N244" s="41">
        <f>IF(I244=Dashboard!$C$17,1,0)</f>
        <v>0</v>
      </c>
      <c r="O244" s="51">
        <f t="shared" si="25"/>
        <v>0</v>
      </c>
    </row>
    <row r="245" spans="1:15" x14ac:dyDescent="0.25">
      <c r="A245" s="24" t="s">
        <v>265</v>
      </c>
      <c r="B245" s="39">
        <v>1.4432E-3</v>
      </c>
      <c r="F245" s="41">
        <f>IF(A245=Dashboard!$C$17,1,0)</f>
        <v>0</v>
      </c>
      <c r="G245" s="51">
        <f t="shared" si="24"/>
        <v>0</v>
      </c>
      <c r="H245" s="51"/>
      <c r="I245" s="24" t="s">
        <v>265</v>
      </c>
      <c r="J245" s="39">
        <v>1.4432E-3</v>
      </c>
      <c r="N245" s="41">
        <f>IF(I245=Dashboard!$C$17,1,0)</f>
        <v>0</v>
      </c>
      <c r="O245" s="51">
        <f t="shared" si="25"/>
        <v>0</v>
      </c>
    </row>
    <row r="246" spans="1:15" x14ac:dyDescent="0.25">
      <c r="A246" s="24" t="s">
        <v>266</v>
      </c>
      <c r="B246" s="39">
        <v>1.067E-3</v>
      </c>
      <c r="F246" s="41">
        <f>IF(A246=Dashboard!$C$17,1,0)</f>
        <v>0</v>
      </c>
      <c r="G246" s="51">
        <f t="shared" si="24"/>
        <v>0</v>
      </c>
      <c r="H246" s="51"/>
      <c r="I246" s="24" t="s">
        <v>266</v>
      </c>
      <c r="J246" s="39">
        <v>1.067E-3</v>
      </c>
      <c r="N246" s="41">
        <f>IF(I246=Dashboard!$C$17,1,0)</f>
        <v>0</v>
      </c>
      <c r="O246" s="51">
        <f t="shared" si="25"/>
        <v>0</v>
      </c>
    </row>
    <row r="247" spans="1:15" x14ac:dyDescent="0.25">
      <c r="A247" s="24" t="s">
        <v>267</v>
      </c>
      <c r="B247" s="39">
        <v>1.2470000000000001E-3</v>
      </c>
      <c r="F247" s="41">
        <f>IF(A247=Dashboard!$C$17,1,0)</f>
        <v>0</v>
      </c>
      <c r="G247" s="51">
        <f t="shared" si="24"/>
        <v>0</v>
      </c>
      <c r="H247" s="51"/>
      <c r="I247" s="24" t="s">
        <v>267</v>
      </c>
      <c r="J247" s="39">
        <v>1.2470000000000001E-3</v>
      </c>
      <c r="N247" s="41">
        <f>IF(I247=Dashboard!$C$17,1,0)</f>
        <v>0</v>
      </c>
      <c r="O247" s="51">
        <f t="shared" si="25"/>
        <v>0</v>
      </c>
    </row>
    <row r="248" spans="1:15" x14ac:dyDescent="0.25">
      <c r="A248" s="24" t="s">
        <v>268</v>
      </c>
      <c r="B248" s="39">
        <v>1.2909999999999998E-3</v>
      </c>
      <c r="F248" s="41">
        <f>IF(A248=Dashboard!$C$17,1,0)</f>
        <v>0</v>
      </c>
      <c r="G248" s="51">
        <f t="shared" si="24"/>
        <v>0</v>
      </c>
      <c r="H248" s="51"/>
      <c r="I248" s="24" t="s">
        <v>268</v>
      </c>
      <c r="J248" s="39">
        <v>1.2909999999999998E-3</v>
      </c>
      <c r="N248" s="41">
        <f>IF(I248=Dashboard!$C$17,1,0)</f>
        <v>0</v>
      </c>
      <c r="O248" s="51">
        <f t="shared" si="25"/>
        <v>0</v>
      </c>
    </row>
    <row r="249" spans="1:15" x14ac:dyDescent="0.25">
      <c r="A249" s="24" t="s">
        <v>269</v>
      </c>
      <c r="B249" s="39">
        <v>2.2729999999999998E-3</v>
      </c>
      <c r="F249" s="41">
        <f>IF(A249=Dashboard!$C$17,1,0)</f>
        <v>0</v>
      </c>
      <c r="G249" s="51">
        <f t="shared" si="24"/>
        <v>0</v>
      </c>
      <c r="H249" s="51"/>
      <c r="I249" s="24" t="s">
        <v>269</v>
      </c>
      <c r="J249" s="39">
        <v>2.2729999999999998E-3</v>
      </c>
      <c r="N249" s="41">
        <f>IF(I249=Dashboard!$C$17,1,0)</f>
        <v>0</v>
      </c>
      <c r="O249" s="51">
        <f t="shared" si="25"/>
        <v>0</v>
      </c>
    </row>
    <row r="250" spans="1:15" x14ac:dyDescent="0.25">
      <c r="A250" s="24" t="s">
        <v>270</v>
      </c>
      <c r="B250" s="39">
        <v>1.0009999999999999E-3</v>
      </c>
      <c r="F250" s="41">
        <f>IF(A250=Dashboard!$C$17,1,0)</f>
        <v>0</v>
      </c>
      <c r="G250" s="51">
        <f t="shared" si="24"/>
        <v>0</v>
      </c>
      <c r="H250" s="51"/>
      <c r="I250" s="24" t="s">
        <v>270</v>
      </c>
      <c r="J250" s="39">
        <v>1.0009999999999999E-3</v>
      </c>
      <c r="N250" s="41">
        <f>IF(I250=Dashboard!$C$17,1,0)</f>
        <v>0</v>
      </c>
      <c r="O250" s="51">
        <f t="shared" si="25"/>
        <v>0</v>
      </c>
    </row>
    <row r="251" spans="1:15" x14ac:dyDescent="0.25">
      <c r="A251" s="24" t="s">
        <v>271</v>
      </c>
      <c r="B251" s="39">
        <v>1.4649999999999999E-3</v>
      </c>
      <c r="F251" s="41">
        <f>IF(A251=Dashboard!$C$17,1,0)</f>
        <v>0</v>
      </c>
      <c r="G251" s="51">
        <f t="shared" si="24"/>
        <v>0</v>
      </c>
      <c r="H251" s="51"/>
      <c r="I251" s="24" t="s">
        <v>271</v>
      </c>
      <c r="J251" s="39">
        <v>1.4649999999999999E-3</v>
      </c>
      <c r="N251" s="41">
        <f>IF(I251=Dashboard!$C$17,1,0)</f>
        <v>0</v>
      </c>
      <c r="O251" s="51">
        <f t="shared" si="25"/>
        <v>0</v>
      </c>
    </row>
    <row r="252" spans="1:15" x14ac:dyDescent="0.25">
      <c r="A252" s="24" t="s">
        <v>272</v>
      </c>
      <c r="B252" s="39">
        <v>9.5589999999999998E-4</v>
      </c>
      <c r="F252" s="41">
        <f>IF(A252=Dashboard!$C$17,1,0)</f>
        <v>0</v>
      </c>
      <c r="G252" s="51">
        <f t="shared" si="24"/>
        <v>0</v>
      </c>
      <c r="H252" s="51"/>
      <c r="I252" s="24" t="s">
        <v>272</v>
      </c>
      <c r="J252" s="39">
        <v>9.5589999999999998E-4</v>
      </c>
      <c r="N252" s="41">
        <f>IF(I252=Dashboard!$C$17,1,0)</f>
        <v>0</v>
      </c>
      <c r="O252" s="51">
        <f t="shared" si="25"/>
        <v>0</v>
      </c>
    </row>
    <row r="253" spans="1:15" x14ac:dyDescent="0.25">
      <c r="A253" s="24" t="s">
        <v>273</v>
      </c>
      <c r="B253" s="39">
        <v>1.0499999999999999E-3</v>
      </c>
      <c r="F253" s="41">
        <f>IF(A253=Dashboard!$C$17,1,0)</f>
        <v>0</v>
      </c>
      <c r="G253" s="51">
        <f t="shared" si="24"/>
        <v>0</v>
      </c>
      <c r="H253" s="51"/>
      <c r="I253" s="24" t="s">
        <v>273</v>
      </c>
      <c r="J253" s="39">
        <v>1.0499999999999999E-3</v>
      </c>
      <c r="N253" s="41">
        <f>IF(I253=Dashboard!$C$17,1,0)</f>
        <v>0</v>
      </c>
      <c r="O253" s="51">
        <f t="shared" si="25"/>
        <v>0</v>
      </c>
    </row>
    <row r="254" spans="1:15" x14ac:dyDescent="0.25">
      <c r="A254" s="24" t="s">
        <v>274</v>
      </c>
      <c r="B254" s="39">
        <v>2.111E-3</v>
      </c>
      <c r="F254" s="41">
        <f>IF(A254=Dashboard!$C$17,1,0)</f>
        <v>0</v>
      </c>
      <c r="G254" s="51">
        <f t="shared" si="24"/>
        <v>0</v>
      </c>
      <c r="H254" s="51"/>
      <c r="I254" s="24" t="s">
        <v>274</v>
      </c>
      <c r="J254" s="39">
        <v>2.111E-3</v>
      </c>
      <c r="N254" s="41">
        <f>IF(I254=Dashboard!$C$17,1,0)</f>
        <v>0</v>
      </c>
      <c r="O254" s="51">
        <f t="shared" si="25"/>
        <v>0</v>
      </c>
    </row>
    <row r="255" spans="1:15" x14ac:dyDescent="0.25">
      <c r="A255" s="24" t="s">
        <v>275</v>
      </c>
      <c r="B255" s="39">
        <v>1.1310000000000001E-3</v>
      </c>
      <c r="F255" s="41">
        <f>IF(A255=Dashboard!$C$17,1,0)</f>
        <v>0</v>
      </c>
      <c r="G255" s="51">
        <f t="shared" si="24"/>
        <v>0</v>
      </c>
      <c r="H255" s="51"/>
      <c r="I255" s="24" t="s">
        <v>275</v>
      </c>
      <c r="J255" s="39">
        <v>1.1310000000000001E-3</v>
      </c>
      <c r="N255" s="41">
        <f>IF(I255=Dashboard!$C$17,1,0)</f>
        <v>0</v>
      </c>
      <c r="O255" s="51">
        <f t="shared" si="25"/>
        <v>0</v>
      </c>
    </row>
    <row r="256" spans="1:15" x14ac:dyDescent="0.25">
      <c r="A256" s="24" t="s">
        <v>276</v>
      </c>
      <c r="B256" s="39">
        <v>1.7240000000000001E-3</v>
      </c>
      <c r="F256" s="41">
        <f>IF(A256=Dashboard!$C$17,1,0)</f>
        <v>0</v>
      </c>
      <c r="G256" s="51">
        <f t="shared" si="24"/>
        <v>0</v>
      </c>
      <c r="H256" s="51"/>
      <c r="I256" s="24" t="s">
        <v>276</v>
      </c>
      <c r="J256" s="39">
        <v>1.7240000000000001E-3</v>
      </c>
      <c r="N256" s="41">
        <f>IF(I256=Dashboard!$C$17,1,0)</f>
        <v>0</v>
      </c>
      <c r="O256" s="51">
        <f t="shared" si="25"/>
        <v>0</v>
      </c>
    </row>
    <row r="257" spans="1:15" x14ac:dyDescent="0.25">
      <c r="A257" s="24" t="s">
        <v>277</v>
      </c>
      <c r="B257" s="39">
        <v>1.0219999999999999E-3</v>
      </c>
      <c r="F257" s="41">
        <f>IF(A257=Dashboard!$C$17,1,0)</f>
        <v>0</v>
      </c>
      <c r="G257" s="51">
        <f t="shared" si="24"/>
        <v>0</v>
      </c>
      <c r="H257" s="51"/>
      <c r="I257" s="24" t="s">
        <v>277</v>
      </c>
      <c r="J257" s="39">
        <v>1.0219999999999999E-3</v>
      </c>
      <c r="N257" s="41">
        <f>IF(I257=Dashboard!$C$17,1,0)</f>
        <v>0</v>
      </c>
      <c r="O257" s="51">
        <f t="shared" si="25"/>
        <v>0</v>
      </c>
    </row>
    <row r="258" spans="1:15" x14ac:dyDescent="0.25">
      <c r="A258" s="24" t="s">
        <v>278</v>
      </c>
      <c r="B258" s="39">
        <v>1.0709999999999999E-3</v>
      </c>
      <c r="F258" s="41">
        <f>IF(A258=Dashboard!$C$17,1,0)</f>
        <v>0</v>
      </c>
      <c r="G258" s="51">
        <f t="shared" si="24"/>
        <v>0</v>
      </c>
      <c r="H258" s="51"/>
      <c r="I258" s="24" t="s">
        <v>278</v>
      </c>
      <c r="J258" s="39">
        <v>1.0709999999999999E-3</v>
      </c>
      <c r="N258" s="41">
        <f>IF(I258=Dashboard!$C$17,1,0)</f>
        <v>0</v>
      </c>
      <c r="O258" s="51">
        <f t="shared" si="25"/>
        <v>0</v>
      </c>
    </row>
    <row r="259" spans="1:15" x14ac:dyDescent="0.25">
      <c r="A259" s="24" t="s">
        <v>279</v>
      </c>
      <c r="B259" s="39">
        <v>1.1429999999999999E-3</v>
      </c>
      <c r="F259" s="41">
        <f>IF(A259=Dashboard!$C$17,1,0)</f>
        <v>0</v>
      </c>
      <c r="G259" s="51">
        <f t="shared" si="24"/>
        <v>0</v>
      </c>
      <c r="H259" s="51"/>
      <c r="I259" s="24" t="s">
        <v>279</v>
      </c>
      <c r="J259" s="39">
        <v>1.1429999999999999E-3</v>
      </c>
      <c r="N259" s="41">
        <f>IF(I259=Dashboard!$C$17,1,0)</f>
        <v>0</v>
      </c>
      <c r="O259" s="51">
        <f t="shared" si="25"/>
        <v>0</v>
      </c>
    </row>
    <row r="260" spans="1:15" x14ac:dyDescent="0.25">
      <c r="A260" s="24" t="s">
        <v>280</v>
      </c>
      <c r="B260" s="39">
        <v>1.8311E-3</v>
      </c>
      <c r="F260" s="41">
        <f>IF(A260=Dashboard!$C$17,1,0)</f>
        <v>0</v>
      </c>
      <c r="G260" s="51">
        <f t="shared" si="24"/>
        <v>0</v>
      </c>
      <c r="H260" s="51"/>
      <c r="I260" s="24" t="s">
        <v>280</v>
      </c>
      <c r="J260" s="39">
        <v>1.8311E-3</v>
      </c>
      <c r="N260" s="41">
        <f>IF(I260=Dashboard!$C$17,1,0)</f>
        <v>0</v>
      </c>
      <c r="O260" s="51">
        <f t="shared" si="25"/>
        <v>0</v>
      </c>
    </row>
    <row r="261" spans="1:15" x14ac:dyDescent="0.25">
      <c r="A261" s="24" t="s">
        <v>281</v>
      </c>
      <c r="B261" s="39">
        <v>1.5609999999999999E-3</v>
      </c>
      <c r="F261" s="41">
        <f>IF(A261=Dashboard!$C$17,1,0)</f>
        <v>0</v>
      </c>
      <c r="G261" s="51">
        <f t="shared" si="24"/>
        <v>0</v>
      </c>
      <c r="H261" s="51"/>
      <c r="I261" s="24" t="s">
        <v>281</v>
      </c>
      <c r="J261" s="39">
        <v>1.5609999999999999E-3</v>
      </c>
      <c r="N261" s="41">
        <f>IF(I261=Dashboard!$C$17,1,0)</f>
        <v>0</v>
      </c>
      <c r="O261" s="51">
        <f t="shared" si="25"/>
        <v>0</v>
      </c>
    </row>
    <row r="262" spans="1:15" x14ac:dyDescent="0.25">
      <c r="A262" s="24" t="s">
        <v>282</v>
      </c>
      <c r="B262" s="39">
        <v>1.235E-3</v>
      </c>
      <c r="F262" s="41">
        <f>IF(A262=Dashboard!$C$17,1,0)</f>
        <v>0</v>
      </c>
      <c r="G262" s="51">
        <f t="shared" si="24"/>
        <v>0</v>
      </c>
      <c r="H262" s="51"/>
      <c r="I262" s="24" t="s">
        <v>282</v>
      </c>
      <c r="J262" s="39">
        <v>1.235E-3</v>
      </c>
      <c r="N262" s="41">
        <f>IF(I262=Dashboard!$C$17,1,0)</f>
        <v>0</v>
      </c>
      <c r="O262" s="51">
        <f t="shared" si="25"/>
        <v>0</v>
      </c>
    </row>
    <row r="263" spans="1:15" x14ac:dyDescent="0.25">
      <c r="A263" s="24" t="s">
        <v>283</v>
      </c>
      <c r="B263" s="39">
        <v>1.4890000000000001E-3</v>
      </c>
      <c r="F263" s="41">
        <f>IF(A263=Dashboard!$C$17,1,0)</f>
        <v>0</v>
      </c>
      <c r="G263" s="51">
        <f t="shared" si="24"/>
        <v>0</v>
      </c>
      <c r="H263" s="51"/>
      <c r="I263" s="24" t="s">
        <v>283</v>
      </c>
      <c r="J263" s="39">
        <v>1.4890000000000001E-3</v>
      </c>
      <c r="N263" s="41">
        <f>IF(I263=Dashboard!$C$17,1,0)</f>
        <v>0</v>
      </c>
      <c r="O263" s="51">
        <f t="shared" si="25"/>
        <v>0</v>
      </c>
    </row>
    <row r="264" spans="1:15" x14ac:dyDescent="0.25">
      <c r="A264" s="24" t="s">
        <v>284</v>
      </c>
      <c r="B264" s="39">
        <v>8.2199999999999992E-4</v>
      </c>
      <c r="F264" s="41">
        <f>IF(A264=Dashboard!$C$17,1,0)</f>
        <v>0</v>
      </c>
      <c r="G264" s="51">
        <f t="shared" si="24"/>
        <v>0</v>
      </c>
      <c r="H264" s="51"/>
      <c r="I264" s="24" t="s">
        <v>284</v>
      </c>
      <c r="J264" s="39">
        <v>8.2199999999999992E-4</v>
      </c>
      <c r="N264" s="41">
        <f>IF(I264=Dashboard!$C$17,1,0)</f>
        <v>0</v>
      </c>
      <c r="O264" s="51">
        <f t="shared" si="25"/>
        <v>0</v>
      </c>
    </row>
    <row r="265" spans="1:15" x14ac:dyDescent="0.25">
      <c r="A265" s="24" t="s">
        <v>285</v>
      </c>
      <c r="B265" s="39">
        <v>1.8520800000000001E-3</v>
      </c>
      <c r="F265" s="41">
        <f>IF(A265=Dashboard!$C$17,1,0)</f>
        <v>0</v>
      </c>
      <c r="G265" s="51">
        <f t="shared" si="24"/>
        <v>0</v>
      </c>
      <c r="H265" s="51"/>
      <c r="I265" s="24" t="s">
        <v>285</v>
      </c>
      <c r="J265" s="39">
        <v>1.8520800000000001E-3</v>
      </c>
      <c r="N265" s="41">
        <f>IF(I265=Dashboard!$C$17,1,0)</f>
        <v>0</v>
      </c>
      <c r="O265" s="51">
        <f t="shared" si="25"/>
        <v>0</v>
      </c>
    </row>
    <row r="266" spans="1:15" x14ac:dyDescent="0.25">
      <c r="A266" s="24" t="s">
        <v>286</v>
      </c>
      <c r="B266" s="39">
        <v>1.2360000000000001E-3</v>
      </c>
      <c r="F266" s="41">
        <f>IF(A266=Dashboard!$C$17,1,0)</f>
        <v>0</v>
      </c>
      <c r="G266" s="51">
        <f t="shared" si="24"/>
        <v>0</v>
      </c>
      <c r="H266" s="51"/>
      <c r="I266" s="24" t="s">
        <v>286</v>
      </c>
      <c r="J266" s="39">
        <v>1.2360000000000001E-3</v>
      </c>
      <c r="N266" s="41">
        <f>IF(I266=Dashboard!$C$17,1,0)</f>
        <v>0</v>
      </c>
      <c r="O266" s="51">
        <f t="shared" si="25"/>
        <v>0</v>
      </c>
    </row>
    <row r="267" spans="1:15" x14ac:dyDescent="0.25">
      <c r="A267" s="24" t="s">
        <v>287</v>
      </c>
      <c r="B267" s="39">
        <v>1.1790000000000001E-3</v>
      </c>
      <c r="F267" s="41">
        <f>IF(A267=Dashboard!$C$17,1,0)</f>
        <v>0</v>
      </c>
      <c r="G267" s="51">
        <f t="shared" si="24"/>
        <v>0</v>
      </c>
      <c r="H267" s="51"/>
      <c r="I267" s="24" t="s">
        <v>287</v>
      </c>
      <c r="J267" s="39">
        <v>1.1790000000000001E-3</v>
      </c>
      <c r="N267" s="41">
        <f>IF(I267=Dashboard!$C$17,1,0)</f>
        <v>0</v>
      </c>
      <c r="O267" s="51">
        <f t="shared" si="25"/>
        <v>0</v>
      </c>
    </row>
    <row r="268" spans="1:15" x14ac:dyDescent="0.25">
      <c r="A268" s="24" t="s">
        <v>288</v>
      </c>
      <c r="B268" s="39">
        <v>1.018E-3</v>
      </c>
      <c r="F268" s="41">
        <f>IF(A268=Dashboard!$C$17,1,0)</f>
        <v>0</v>
      </c>
      <c r="G268" s="51">
        <f t="shared" si="24"/>
        <v>0</v>
      </c>
      <c r="H268" s="51"/>
      <c r="I268" s="24" t="s">
        <v>288</v>
      </c>
      <c r="J268" s="39">
        <v>1.018E-3</v>
      </c>
      <c r="N268" s="41">
        <f>IF(I268=Dashboard!$C$17,1,0)</f>
        <v>0</v>
      </c>
      <c r="O268" s="51">
        <f t="shared" si="25"/>
        <v>0</v>
      </c>
    </row>
    <row r="269" spans="1:15" x14ac:dyDescent="0.25">
      <c r="A269" s="24" t="s">
        <v>289</v>
      </c>
      <c r="B269" s="39">
        <v>1.1410999999999999E-3</v>
      </c>
      <c r="F269" s="41">
        <f>IF(A269=Dashboard!$C$17,1,0)</f>
        <v>0</v>
      </c>
      <c r="G269" s="51">
        <f t="shared" si="24"/>
        <v>0</v>
      </c>
      <c r="H269" s="51"/>
      <c r="I269" s="24" t="s">
        <v>289</v>
      </c>
      <c r="J269" s="39">
        <v>1.1410999999999999E-3</v>
      </c>
      <c r="N269" s="41">
        <f>IF(I269=Dashboard!$C$17,1,0)</f>
        <v>0</v>
      </c>
      <c r="O269" s="51">
        <f t="shared" si="25"/>
        <v>0</v>
      </c>
    </row>
    <row r="270" spans="1:15" x14ac:dyDescent="0.25">
      <c r="A270" s="24" t="s">
        <v>290</v>
      </c>
      <c r="B270" s="39">
        <v>1.392E-3</v>
      </c>
      <c r="F270" s="41">
        <f>IF(A270=Dashboard!$C$17,1,0)</f>
        <v>0</v>
      </c>
      <c r="G270" s="51">
        <f t="shared" si="24"/>
        <v>0</v>
      </c>
      <c r="H270" s="51"/>
      <c r="I270" s="24" t="s">
        <v>290</v>
      </c>
      <c r="J270" s="39">
        <v>1.392E-3</v>
      </c>
      <c r="N270" s="41">
        <f>IF(I270=Dashboard!$C$17,1,0)</f>
        <v>0</v>
      </c>
      <c r="O270" s="51">
        <f t="shared" si="25"/>
        <v>0</v>
      </c>
    </row>
    <row r="271" spans="1:15" x14ac:dyDescent="0.25">
      <c r="A271" s="24" t="s">
        <v>291</v>
      </c>
      <c r="B271" s="39">
        <v>1.183E-3</v>
      </c>
      <c r="F271" s="41">
        <f>IF(A271=Dashboard!$C$17,1,0)</f>
        <v>0</v>
      </c>
      <c r="G271" s="51">
        <f t="shared" si="24"/>
        <v>0</v>
      </c>
      <c r="H271" s="51"/>
      <c r="I271" s="24" t="s">
        <v>291</v>
      </c>
      <c r="J271" s="39">
        <v>1.183E-3</v>
      </c>
      <c r="N271" s="41">
        <f>IF(I271=Dashboard!$C$17,1,0)</f>
        <v>0</v>
      </c>
      <c r="O271" s="51">
        <f t="shared" si="25"/>
        <v>0</v>
      </c>
    </row>
    <row r="272" spans="1:15" x14ac:dyDescent="0.25">
      <c r="A272" s="24" t="s">
        <v>292</v>
      </c>
      <c r="B272" s="39">
        <v>1.351E-3</v>
      </c>
      <c r="F272" s="41">
        <f>IF(A272=Dashboard!$C$17,1,0)</f>
        <v>0</v>
      </c>
      <c r="G272" s="51">
        <f t="shared" si="24"/>
        <v>0</v>
      </c>
      <c r="H272" s="51"/>
      <c r="I272" s="24" t="s">
        <v>292</v>
      </c>
      <c r="J272" s="39">
        <v>1.351E-3</v>
      </c>
      <c r="N272" s="41">
        <f>IF(I272=Dashboard!$C$17,1,0)</f>
        <v>0</v>
      </c>
      <c r="O272" s="51">
        <f t="shared" si="25"/>
        <v>0</v>
      </c>
    </row>
    <row r="273" spans="1:15" x14ac:dyDescent="0.25">
      <c r="A273" s="24" t="s">
        <v>293</v>
      </c>
      <c r="B273" s="39">
        <v>1.593E-3</v>
      </c>
      <c r="F273" s="41">
        <f>IF(A273=Dashboard!$C$17,1,0)</f>
        <v>0</v>
      </c>
      <c r="G273" s="51">
        <f t="shared" si="24"/>
        <v>0</v>
      </c>
      <c r="H273" s="51"/>
      <c r="I273" s="24" t="s">
        <v>293</v>
      </c>
      <c r="J273" s="39">
        <v>1.593E-3</v>
      </c>
      <c r="N273" s="41">
        <f>IF(I273=Dashboard!$C$17,1,0)</f>
        <v>0</v>
      </c>
      <c r="O273" s="51">
        <f t="shared" si="25"/>
        <v>0</v>
      </c>
    </row>
    <row r="274" spans="1:15" x14ac:dyDescent="0.25">
      <c r="A274" s="24" t="s">
        <v>294</v>
      </c>
      <c r="B274" s="39">
        <v>1.3969999999999998E-3</v>
      </c>
      <c r="F274" s="41">
        <f>IF(A274=Dashboard!$C$17,1,0)</f>
        <v>0</v>
      </c>
      <c r="G274" s="51">
        <f t="shared" si="24"/>
        <v>0</v>
      </c>
      <c r="H274" s="51"/>
      <c r="I274" s="24" t="s">
        <v>294</v>
      </c>
      <c r="J274" s="39">
        <v>1.3969999999999998E-3</v>
      </c>
      <c r="N274" s="41">
        <f>IF(I274=Dashboard!$C$17,1,0)</f>
        <v>0</v>
      </c>
      <c r="O274" s="51">
        <f t="shared" si="25"/>
        <v>0</v>
      </c>
    </row>
    <row r="275" spans="1:15" x14ac:dyDescent="0.25">
      <c r="A275" s="24" t="s">
        <v>295</v>
      </c>
      <c r="B275" s="39">
        <v>9.5399999999999999E-4</v>
      </c>
      <c r="F275" s="41">
        <f>IF(A275=Dashboard!$C$17,1,0)</f>
        <v>0</v>
      </c>
      <c r="G275" s="51">
        <f t="shared" si="24"/>
        <v>0</v>
      </c>
      <c r="H275" s="51"/>
      <c r="I275" s="24" t="s">
        <v>295</v>
      </c>
      <c r="J275" s="39">
        <v>9.5399999999999999E-4</v>
      </c>
      <c r="N275" s="41">
        <f>IF(I275=Dashboard!$C$17,1,0)</f>
        <v>0</v>
      </c>
      <c r="O275" s="51">
        <f t="shared" si="25"/>
        <v>0</v>
      </c>
    </row>
    <row r="276" spans="1:15" x14ac:dyDescent="0.25">
      <c r="A276" s="24" t="s">
        <v>65</v>
      </c>
      <c r="B276" s="39">
        <v>1.7299999999999998E-3</v>
      </c>
      <c r="F276" s="41">
        <f>IF(A276=Dashboard!$C$17,1,0)</f>
        <v>0</v>
      </c>
      <c r="G276" s="51">
        <f t="shared" si="24"/>
        <v>0</v>
      </c>
      <c r="H276" s="51"/>
      <c r="I276" s="24" t="s">
        <v>65</v>
      </c>
      <c r="J276" s="39">
        <v>1.7299999999999998E-3</v>
      </c>
      <c r="N276" s="41">
        <f>IF(I276=Dashboard!$C$17,1,0)</f>
        <v>0</v>
      </c>
      <c r="O276" s="51">
        <f t="shared" si="25"/>
        <v>0</v>
      </c>
    </row>
    <row r="277" spans="1:15" x14ac:dyDescent="0.25">
      <c r="A277" s="24" t="s">
        <v>296</v>
      </c>
      <c r="B277" s="39">
        <v>1.32E-3</v>
      </c>
      <c r="F277" s="41">
        <f>IF(A277=Dashboard!$C$17,1,0)</f>
        <v>0</v>
      </c>
      <c r="G277" s="51">
        <f t="shared" si="24"/>
        <v>0</v>
      </c>
      <c r="H277" s="51"/>
      <c r="I277" s="24" t="s">
        <v>296</v>
      </c>
      <c r="J277" s="39">
        <v>1.32E-3</v>
      </c>
      <c r="N277" s="41">
        <f>IF(I277=Dashboard!$C$17,1,0)</f>
        <v>0</v>
      </c>
      <c r="O277" s="51">
        <f t="shared" si="25"/>
        <v>0</v>
      </c>
    </row>
    <row r="278" spans="1:15" x14ac:dyDescent="0.25">
      <c r="A278" s="24" t="s">
        <v>297</v>
      </c>
      <c r="B278" s="39">
        <v>1.57E-3</v>
      </c>
      <c r="F278" s="41">
        <f>IF(A278=Dashboard!$C$17,1,0)</f>
        <v>0</v>
      </c>
      <c r="G278" s="51">
        <f t="shared" si="24"/>
        <v>0</v>
      </c>
      <c r="H278" s="51"/>
      <c r="I278" s="24" t="s">
        <v>297</v>
      </c>
      <c r="J278" s="39">
        <v>1.57E-3</v>
      </c>
      <c r="N278" s="41">
        <f>IF(I278=Dashboard!$C$17,1,0)</f>
        <v>0</v>
      </c>
      <c r="O278" s="51">
        <f t="shared" si="25"/>
        <v>0</v>
      </c>
    </row>
    <row r="279" spans="1:15" x14ac:dyDescent="0.25">
      <c r="A279" s="24" t="s">
        <v>298</v>
      </c>
      <c r="B279" s="39">
        <v>1.338E-3</v>
      </c>
      <c r="F279" s="41">
        <f>IF(A279=Dashboard!$C$17,1,0)</f>
        <v>0</v>
      </c>
      <c r="G279" s="51">
        <f t="shared" si="24"/>
        <v>0</v>
      </c>
      <c r="H279" s="51"/>
      <c r="I279" s="24" t="s">
        <v>298</v>
      </c>
      <c r="J279" s="39">
        <v>1.338E-3</v>
      </c>
      <c r="N279" s="41">
        <f>IF(I279=Dashboard!$C$17,1,0)</f>
        <v>0</v>
      </c>
      <c r="O279" s="51">
        <f t="shared" si="25"/>
        <v>0</v>
      </c>
    </row>
    <row r="280" spans="1:15" x14ac:dyDescent="0.25">
      <c r="A280" s="24" t="s">
        <v>299</v>
      </c>
      <c r="B280" s="39">
        <v>1.2750000000000001E-3</v>
      </c>
      <c r="F280" s="41">
        <f>IF(A280=Dashboard!$C$17,1,0)</f>
        <v>0</v>
      </c>
      <c r="G280" s="51">
        <f t="shared" si="24"/>
        <v>0</v>
      </c>
      <c r="H280" s="51"/>
      <c r="I280" s="24" t="s">
        <v>299</v>
      </c>
      <c r="J280" s="39">
        <v>1.2750000000000001E-3</v>
      </c>
      <c r="N280" s="41">
        <f>IF(I280=Dashboard!$C$17,1,0)</f>
        <v>0</v>
      </c>
      <c r="O280" s="51">
        <f t="shared" si="25"/>
        <v>0</v>
      </c>
    </row>
    <row r="281" spans="1:15" x14ac:dyDescent="0.25">
      <c r="A281" s="24" t="s">
        <v>300</v>
      </c>
      <c r="B281" s="39">
        <v>1.1953000000000001E-3</v>
      </c>
      <c r="F281" s="41">
        <f>IF(A281=Dashboard!$C$17,1,0)</f>
        <v>0</v>
      </c>
      <c r="G281" s="51">
        <f t="shared" si="24"/>
        <v>0</v>
      </c>
      <c r="H281" s="51"/>
      <c r="I281" s="24" t="s">
        <v>300</v>
      </c>
      <c r="J281" s="39">
        <v>1.1953000000000001E-3</v>
      </c>
      <c r="N281" s="41">
        <f>IF(I281=Dashboard!$C$17,1,0)</f>
        <v>0</v>
      </c>
      <c r="O281" s="51">
        <f t="shared" si="25"/>
        <v>0</v>
      </c>
    </row>
    <row r="282" spans="1:15" x14ac:dyDescent="0.25">
      <c r="A282" s="24" t="s">
        <v>301</v>
      </c>
      <c r="B282" s="39">
        <v>1.2160000000000001E-3</v>
      </c>
      <c r="F282" s="41">
        <f>IF(A282=Dashboard!$C$17,1,0)</f>
        <v>0</v>
      </c>
      <c r="G282" s="51">
        <f t="shared" si="24"/>
        <v>0</v>
      </c>
      <c r="H282" s="51"/>
      <c r="I282" s="24" t="s">
        <v>301</v>
      </c>
      <c r="J282" s="39">
        <v>1.2160000000000001E-3</v>
      </c>
      <c r="N282" s="41">
        <f>IF(I282=Dashboard!$C$17,1,0)</f>
        <v>0</v>
      </c>
      <c r="O282" s="51">
        <f t="shared" si="25"/>
        <v>0</v>
      </c>
    </row>
    <row r="283" spans="1:15" x14ac:dyDescent="0.25">
      <c r="A283" s="24" t="s">
        <v>302</v>
      </c>
      <c r="B283" s="39">
        <v>1.0953E-3</v>
      </c>
      <c r="F283" s="41">
        <f>IF(A283=Dashboard!$C$17,1,0)</f>
        <v>0</v>
      </c>
      <c r="G283" s="51">
        <f t="shared" si="24"/>
        <v>0</v>
      </c>
      <c r="H283" s="51"/>
      <c r="I283" s="24" t="s">
        <v>302</v>
      </c>
      <c r="J283" s="39">
        <v>1.0953E-3</v>
      </c>
      <c r="N283" s="41">
        <f>IF(I283=Dashboard!$C$17,1,0)</f>
        <v>0</v>
      </c>
      <c r="O283" s="51">
        <f t="shared" si="25"/>
        <v>0</v>
      </c>
    </row>
    <row r="284" spans="1:15" x14ac:dyDescent="0.25">
      <c r="A284" s="24" t="s">
        <v>303</v>
      </c>
      <c r="B284" s="39">
        <v>1.139E-3</v>
      </c>
      <c r="F284" s="41">
        <f>IF(A284=Dashboard!$C$17,1,0)</f>
        <v>0</v>
      </c>
      <c r="G284" s="51">
        <f t="shared" ref="G284:G347" si="26">F284*B284</f>
        <v>0</v>
      </c>
      <c r="H284" s="51"/>
      <c r="I284" s="24" t="s">
        <v>303</v>
      </c>
      <c r="J284" s="39">
        <v>1.139E-3</v>
      </c>
      <c r="N284" s="41">
        <f>IF(I284=Dashboard!$C$17,1,0)</f>
        <v>0</v>
      </c>
      <c r="O284" s="51">
        <f t="shared" ref="O284:O347" si="27">N284*J284</f>
        <v>0</v>
      </c>
    </row>
    <row r="285" spans="1:15" x14ac:dyDescent="0.25">
      <c r="A285" s="24" t="s">
        <v>304</v>
      </c>
      <c r="B285" s="39">
        <v>1.1409999999999999E-3</v>
      </c>
      <c r="F285" s="41">
        <f>IF(A285=Dashboard!$C$17,1,0)</f>
        <v>0</v>
      </c>
      <c r="G285" s="51">
        <f t="shared" si="26"/>
        <v>0</v>
      </c>
      <c r="H285" s="51"/>
      <c r="I285" s="24" t="s">
        <v>304</v>
      </c>
      <c r="J285" s="39">
        <v>1.1409999999999999E-3</v>
      </c>
      <c r="N285" s="41">
        <f>IF(I285=Dashboard!$C$17,1,0)</f>
        <v>0</v>
      </c>
      <c r="O285" s="51">
        <f t="shared" si="27"/>
        <v>0</v>
      </c>
    </row>
    <row r="286" spans="1:15" x14ac:dyDescent="0.25">
      <c r="A286" s="24" t="s">
        <v>305</v>
      </c>
      <c r="B286" s="39">
        <v>1.3194000000000001E-3</v>
      </c>
      <c r="F286" s="41">
        <f>IF(A286=Dashboard!$C$17,1,0)</f>
        <v>0</v>
      </c>
      <c r="G286" s="51">
        <f t="shared" si="26"/>
        <v>0</v>
      </c>
      <c r="H286" s="51"/>
      <c r="I286" s="24" t="s">
        <v>305</v>
      </c>
      <c r="J286" s="39">
        <v>1.3194000000000001E-3</v>
      </c>
      <c r="N286" s="41">
        <f>IF(I286=Dashboard!$C$17,1,0)</f>
        <v>0</v>
      </c>
      <c r="O286" s="51">
        <f t="shared" si="27"/>
        <v>0</v>
      </c>
    </row>
    <row r="287" spans="1:15" x14ac:dyDescent="0.25">
      <c r="A287" s="24" t="s">
        <v>306</v>
      </c>
      <c r="B287" s="39">
        <v>1.237E-3</v>
      </c>
      <c r="F287" s="41">
        <f>IF(A287=Dashboard!$C$17,1,0)</f>
        <v>0</v>
      </c>
      <c r="G287" s="51">
        <f t="shared" si="26"/>
        <v>0</v>
      </c>
      <c r="H287" s="51"/>
      <c r="I287" s="24" t="s">
        <v>306</v>
      </c>
      <c r="J287" s="39">
        <v>1.237E-3</v>
      </c>
      <c r="N287" s="41">
        <f>IF(I287=Dashboard!$C$17,1,0)</f>
        <v>0</v>
      </c>
      <c r="O287" s="51">
        <f t="shared" si="27"/>
        <v>0</v>
      </c>
    </row>
    <row r="288" spans="1:15" x14ac:dyDescent="0.25">
      <c r="A288" s="24" t="s">
        <v>307</v>
      </c>
      <c r="B288" s="39">
        <v>1.4480000000000001E-3</v>
      </c>
      <c r="F288" s="41">
        <f>IF(A288=Dashboard!$C$17,1,0)</f>
        <v>0</v>
      </c>
      <c r="G288" s="51">
        <f t="shared" si="26"/>
        <v>0</v>
      </c>
      <c r="H288" s="51"/>
      <c r="I288" s="24" t="s">
        <v>307</v>
      </c>
      <c r="J288" s="39">
        <v>1.4480000000000001E-3</v>
      </c>
      <c r="N288" s="41">
        <f>IF(I288=Dashboard!$C$17,1,0)</f>
        <v>0</v>
      </c>
      <c r="O288" s="51">
        <f t="shared" si="27"/>
        <v>0</v>
      </c>
    </row>
    <row r="289" spans="1:15" x14ac:dyDescent="0.25">
      <c r="A289" s="24" t="s">
        <v>308</v>
      </c>
      <c r="B289" s="39">
        <v>1.2690000000000002E-3</v>
      </c>
      <c r="F289" s="41">
        <f>IF(A289=Dashboard!$C$17,1,0)</f>
        <v>0</v>
      </c>
      <c r="G289" s="51">
        <f t="shared" si="26"/>
        <v>0</v>
      </c>
      <c r="H289" s="51"/>
      <c r="I289" s="24" t="s">
        <v>308</v>
      </c>
      <c r="J289" s="39">
        <v>1.2690000000000002E-3</v>
      </c>
      <c r="N289" s="41">
        <f>IF(I289=Dashboard!$C$17,1,0)</f>
        <v>0</v>
      </c>
      <c r="O289" s="51">
        <f t="shared" si="27"/>
        <v>0</v>
      </c>
    </row>
    <row r="290" spans="1:15" x14ac:dyDescent="0.25">
      <c r="A290" s="24" t="s">
        <v>309</v>
      </c>
      <c r="B290" s="39">
        <v>1.4269999999999999E-3</v>
      </c>
      <c r="F290" s="41">
        <f>IF(A290=Dashboard!$C$17,1,0)</f>
        <v>0</v>
      </c>
      <c r="G290" s="51">
        <f t="shared" si="26"/>
        <v>0</v>
      </c>
      <c r="H290" s="51"/>
      <c r="I290" s="24" t="s">
        <v>309</v>
      </c>
      <c r="J290" s="39">
        <v>1.4269999999999999E-3</v>
      </c>
      <c r="N290" s="41">
        <f>IF(I290=Dashboard!$C$17,1,0)</f>
        <v>0</v>
      </c>
      <c r="O290" s="51">
        <f t="shared" si="27"/>
        <v>0</v>
      </c>
    </row>
    <row r="291" spans="1:15" x14ac:dyDescent="0.25">
      <c r="A291" s="24" t="s">
        <v>310</v>
      </c>
      <c r="B291" s="39">
        <v>1.1899999999999999E-3</v>
      </c>
      <c r="F291" s="41">
        <f>IF(A291=Dashboard!$C$17,1,0)</f>
        <v>0</v>
      </c>
      <c r="G291" s="51">
        <f t="shared" si="26"/>
        <v>0</v>
      </c>
      <c r="H291" s="51"/>
      <c r="I291" s="24" t="s">
        <v>310</v>
      </c>
      <c r="J291" s="39">
        <v>1.1899999999999999E-3</v>
      </c>
      <c r="N291" s="41">
        <f>IF(I291=Dashboard!$C$17,1,0)</f>
        <v>0</v>
      </c>
      <c r="O291" s="51">
        <f t="shared" si="27"/>
        <v>0</v>
      </c>
    </row>
    <row r="292" spans="1:15" x14ac:dyDescent="0.25">
      <c r="A292" s="24" t="s">
        <v>311</v>
      </c>
      <c r="B292" s="39">
        <v>1.09E-3</v>
      </c>
      <c r="F292" s="41">
        <f>IF(A292=Dashboard!$C$17,1,0)</f>
        <v>0</v>
      </c>
      <c r="G292" s="51">
        <f t="shared" si="26"/>
        <v>0</v>
      </c>
      <c r="H292" s="51"/>
      <c r="I292" s="24" t="s">
        <v>311</v>
      </c>
      <c r="J292" s="39">
        <v>1.09E-3</v>
      </c>
      <c r="N292" s="41">
        <f>IF(I292=Dashboard!$C$17,1,0)</f>
        <v>0</v>
      </c>
      <c r="O292" s="51">
        <f t="shared" si="27"/>
        <v>0</v>
      </c>
    </row>
    <row r="293" spans="1:15" x14ac:dyDescent="0.25">
      <c r="A293" s="24" t="s">
        <v>312</v>
      </c>
      <c r="B293" s="39">
        <v>1.6050000000000001E-3</v>
      </c>
      <c r="F293" s="41">
        <f>IF(A293=Dashboard!$C$17,1,0)</f>
        <v>0</v>
      </c>
      <c r="G293" s="51">
        <f t="shared" si="26"/>
        <v>0</v>
      </c>
      <c r="H293" s="51"/>
      <c r="I293" s="24" t="s">
        <v>312</v>
      </c>
      <c r="J293" s="39">
        <v>1.6050000000000001E-3</v>
      </c>
      <c r="N293" s="41">
        <f>IF(I293=Dashboard!$C$17,1,0)</f>
        <v>0</v>
      </c>
      <c r="O293" s="51">
        <f t="shared" si="27"/>
        <v>0</v>
      </c>
    </row>
    <row r="294" spans="1:15" x14ac:dyDescent="0.25">
      <c r="A294" s="24" t="s">
        <v>313</v>
      </c>
      <c r="B294" s="39">
        <v>1.7699999999999999E-3</v>
      </c>
      <c r="F294" s="41">
        <f>IF(A294=Dashboard!$C$17,1,0)</f>
        <v>0</v>
      </c>
      <c r="G294" s="51">
        <f t="shared" si="26"/>
        <v>0</v>
      </c>
      <c r="H294" s="51"/>
      <c r="I294" s="24" t="s">
        <v>313</v>
      </c>
      <c r="J294" s="39">
        <v>1.7699999999999999E-3</v>
      </c>
      <c r="N294" s="41">
        <f>IF(I294=Dashboard!$C$17,1,0)</f>
        <v>0</v>
      </c>
      <c r="O294" s="51">
        <f t="shared" si="27"/>
        <v>0</v>
      </c>
    </row>
    <row r="295" spans="1:15" x14ac:dyDescent="0.25">
      <c r="A295" s="24" t="s">
        <v>314</v>
      </c>
      <c r="B295" s="39">
        <v>1.2476E-3</v>
      </c>
      <c r="F295" s="41">
        <f>IF(A295=Dashboard!$C$17,1,0)</f>
        <v>0</v>
      </c>
      <c r="G295" s="51">
        <f t="shared" si="26"/>
        <v>0</v>
      </c>
      <c r="H295" s="51"/>
      <c r="I295" s="24" t="s">
        <v>314</v>
      </c>
      <c r="J295" s="39">
        <v>1.2476E-3</v>
      </c>
      <c r="N295" s="41">
        <f>IF(I295=Dashboard!$C$17,1,0)</f>
        <v>0</v>
      </c>
      <c r="O295" s="51">
        <f t="shared" si="27"/>
        <v>0</v>
      </c>
    </row>
    <row r="296" spans="1:15" x14ac:dyDescent="0.25">
      <c r="A296" s="24" t="s">
        <v>315</v>
      </c>
      <c r="B296" s="39">
        <v>1.8423900000000002E-3</v>
      </c>
      <c r="F296" s="41">
        <f>IF(A296=Dashboard!$C$17,1,0)</f>
        <v>0</v>
      </c>
      <c r="G296" s="51">
        <f t="shared" si="26"/>
        <v>0</v>
      </c>
      <c r="H296" s="51"/>
      <c r="I296" s="24" t="s">
        <v>315</v>
      </c>
      <c r="J296" s="39">
        <v>1.8423900000000002E-3</v>
      </c>
      <c r="N296" s="41">
        <f>IF(I296=Dashboard!$C$17,1,0)</f>
        <v>0</v>
      </c>
      <c r="O296" s="51">
        <f t="shared" si="27"/>
        <v>0</v>
      </c>
    </row>
    <row r="297" spans="1:15" x14ac:dyDescent="0.25">
      <c r="A297" s="24" t="s">
        <v>316</v>
      </c>
      <c r="B297" s="39">
        <v>1.193E-3</v>
      </c>
      <c r="F297" s="41">
        <f>IF(A297=Dashboard!$C$17,1,0)</f>
        <v>0</v>
      </c>
      <c r="G297" s="51">
        <f t="shared" si="26"/>
        <v>0</v>
      </c>
      <c r="H297" s="51"/>
      <c r="I297" s="24" t="s">
        <v>316</v>
      </c>
      <c r="J297" s="39">
        <v>1.193E-3</v>
      </c>
      <c r="N297" s="41">
        <f>IF(I297=Dashboard!$C$17,1,0)</f>
        <v>0</v>
      </c>
      <c r="O297" s="51">
        <f t="shared" si="27"/>
        <v>0</v>
      </c>
    </row>
    <row r="298" spans="1:15" x14ac:dyDescent="0.25">
      <c r="A298" s="24" t="s">
        <v>317</v>
      </c>
      <c r="B298" s="39">
        <v>9.2200000000000008E-4</v>
      </c>
      <c r="F298" s="41">
        <f>IF(A298=Dashboard!$C$17,1,0)</f>
        <v>0</v>
      </c>
      <c r="G298" s="51">
        <f t="shared" si="26"/>
        <v>0</v>
      </c>
      <c r="H298" s="51"/>
      <c r="I298" s="24" t="s">
        <v>317</v>
      </c>
      <c r="J298" s="39">
        <v>9.2200000000000008E-4</v>
      </c>
      <c r="N298" s="41">
        <f>IF(I298=Dashboard!$C$17,1,0)</f>
        <v>0</v>
      </c>
      <c r="O298" s="51">
        <f t="shared" si="27"/>
        <v>0</v>
      </c>
    </row>
    <row r="299" spans="1:15" x14ac:dyDescent="0.25">
      <c r="A299" s="24" t="s">
        <v>318</v>
      </c>
      <c r="B299" s="39">
        <v>1.4119999999999998E-3</v>
      </c>
      <c r="F299" s="41">
        <f>IF(A299=Dashboard!$C$17,1,0)</f>
        <v>0</v>
      </c>
      <c r="G299" s="51">
        <f t="shared" si="26"/>
        <v>0</v>
      </c>
      <c r="H299" s="51"/>
      <c r="I299" s="24" t="s">
        <v>318</v>
      </c>
      <c r="J299" s="39">
        <v>1.4119999999999998E-3</v>
      </c>
      <c r="N299" s="41">
        <f>IF(I299=Dashboard!$C$17,1,0)</f>
        <v>0</v>
      </c>
      <c r="O299" s="51">
        <f t="shared" si="27"/>
        <v>0</v>
      </c>
    </row>
    <row r="300" spans="1:15" x14ac:dyDescent="0.25">
      <c r="A300" s="24" t="s">
        <v>319</v>
      </c>
      <c r="B300" s="39">
        <v>1.0040000000000001E-3</v>
      </c>
      <c r="F300" s="41">
        <f>IF(A300=Dashboard!$C$17,1,0)</f>
        <v>0</v>
      </c>
      <c r="G300" s="51">
        <f t="shared" si="26"/>
        <v>0</v>
      </c>
      <c r="H300" s="51"/>
      <c r="I300" s="24" t="s">
        <v>319</v>
      </c>
      <c r="J300" s="39">
        <v>1.0040000000000001E-3</v>
      </c>
      <c r="N300" s="41">
        <f>IF(I300=Dashboard!$C$17,1,0)</f>
        <v>0</v>
      </c>
      <c r="O300" s="51">
        <f t="shared" si="27"/>
        <v>0</v>
      </c>
    </row>
    <row r="301" spans="1:15" x14ac:dyDescent="0.25">
      <c r="A301" s="24" t="s">
        <v>320</v>
      </c>
      <c r="B301" s="39">
        <v>1.4580000000000001E-3</v>
      </c>
      <c r="F301" s="41">
        <f>IF(A301=Dashboard!$C$17,1,0)</f>
        <v>0</v>
      </c>
      <c r="G301" s="51">
        <f t="shared" si="26"/>
        <v>0</v>
      </c>
      <c r="H301" s="51"/>
      <c r="I301" s="24" t="s">
        <v>320</v>
      </c>
      <c r="J301" s="39">
        <v>1.4580000000000001E-3</v>
      </c>
      <c r="N301" s="41">
        <f>IF(I301=Dashboard!$C$17,1,0)</f>
        <v>0</v>
      </c>
      <c r="O301" s="51">
        <f t="shared" si="27"/>
        <v>0</v>
      </c>
    </row>
    <row r="302" spans="1:15" x14ac:dyDescent="0.25">
      <c r="A302" s="24" t="s">
        <v>321</v>
      </c>
      <c r="B302" s="39">
        <v>1.4710000000000001E-3</v>
      </c>
      <c r="F302" s="41">
        <f>IF(A302=Dashboard!$C$17,1,0)</f>
        <v>0</v>
      </c>
      <c r="G302" s="51">
        <f t="shared" si="26"/>
        <v>0</v>
      </c>
      <c r="H302" s="51"/>
      <c r="I302" s="24" t="s">
        <v>321</v>
      </c>
      <c r="J302" s="39">
        <v>1.4710000000000001E-3</v>
      </c>
      <c r="N302" s="41">
        <f>IF(I302=Dashboard!$C$17,1,0)</f>
        <v>0</v>
      </c>
      <c r="O302" s="51">
        <f t="shared" si="27"/>
        <v>0</v>
      </c>
    </row>
    <row r="303" spans="1:15" x14ac:dyDescent="0.25">
      <c r="A303" s="24" t="s">
        <v>322</v>
      </c>
      <c r="B303" s="39">
        <v>1.5179999999999998E-3</v>
      </c>
      <c r="F303" s="41">
        <f>IF(A303=Dashboard!$C$17,1,0)</f>
        <v>0</v>
      </c>
      <c r="G303" s="51">
        <f t="shared" si="26"/>
        <v>0</v>
      </c>
      <c r="H303" s="51"/>
      <c r="I303" s="24" t="s">
        <v>322</v>
      </c>
      <c r="J303" s="39">
        <v>1.5179999999999998E-3</v>
      </c>
      <c r="N303" s="41">
        <f>IF(I303=Dashboard!$C$17,1,0)</f>
        <v>0</v>
      </c>
      <c r="O303" s="51">
        <f t="shared" si="27"/>
        <v>0</v>
      </c>
    </row>
    <row r="304" spans="1:15" x14ac:dyDescent="0.25">
      <c r="A304" s="24" t="s">
        <v>323</v>
      </c>
      <c r="B304" s="39">
        <v>2.0430000000000001E-3</v>
      </c>
      <c r="F304" s="41">
        <f>IF(A304=Dashboard!$C$17,1,0)</f>
        <v>0</v>
      </c>
      <c r="G304" s="51">
        <f t="shared" si="26"/>
        <v>0</v>
      </c>
      <c r="H304" s="51"/>
      <c r="I304" s="24" t="s">
        <v>323</v>
      </c>
      <c r="J304" s="39">
        <v>2.0430000000000001E-3</v>
      </c>
      <c r="N304" s="41">
        <f>IF(I304=Dashboard!$C$17,1,0)</f>
        <v>0</v>
      </c>
      <c r="O304" s="51">
        <f t="shared" si="27"/>
        <v>0</v>
      </c>
    </row>
    <row r="305" spans="1:15" x14ac:dyDescent="0.25">
      <c r="A305" s="24" t="s">
        <v>324</v>
      </c>
      <c r="B305" s="39">
        <v>1.8319E-3</v>
      </c>
      <c r="F305" s="41">
        <f>IF(A305=Dashboard!$C$17,1,0)</f>
        <v>0</v>
      </c>
      <c r="G305" s="51">
        <f t="shared" si="26"/>
        <v>0</v>
      </c>
      <c r="H305" s="51"/>
      <c r="I305" s="24" t="s">
        <v>324</v>
      </c>
      <c r="J305" s="39">
        <v>1.8319E-3</v>
      </c>
      <c r="N305" s="41">
        <f>IF(I305=Dashboard!$C$17,1,0)</f>
        <v>0</v>
      </c>
      <c r="O305" s="51">
        <f t="shared" si="27"/>
        <v>0</v>
      </c>
    </row>
    <row r="306" spans="1:15" x14ac:dyDescent="0.25">
      <c r="A306" s="24" t="s">
        <v>325</v>
      </c>
      <c r="B306" s="39">
        <v>1.06062E-3</v>
      </c>
      <c r="F306" s="41">
        <f>IF(A306=Dashboard!$C$17,1,0)</f>
        <v>0</v>
      </c>
      <c r="G306" s="51">
        <f t="shared" si="26"/>
        <v>0</v>
      </c>
      <c r="H306" s="51"/>
      <c r="I306" s="24" t="s">
        <v>325</v>
      </c>
      <c r="J306" s="39">
        <v>1.06062E-3</v>
      </c>
      <c r="N306" s="41">
        <f>IF(I306=Dashboard!$C$17,1,0)</f>
        <v>0</v>
      </c>
      <c r="O306" s="51">
        <f t="shared" si="27"/>
        <v>0</v>
      </c>
    </row>
    <row r="307" spans="1:15" x14ac:dyDescent="0.25">
      <c r="A307" s="24" t="s">
        <v>326</v>
      </c>
      <c r="B307" s="39">
        <v>9.4299999999999994E-4</v>
      </c>
      <c r="F307" s="41">
        <f>IF(A307=Dashboard!$C$17,1,0)</f>
        <v>0</v>
      </c>
      <c r="G307" s="51">
        <f t="shared" si="26"/>
        <v>0</v>
      </c>
      <c r="H307" s="51"/>
      <c r="I307" s="24" t="s">
        <v>326</v>
      </c>
      <c r="J307" s="39">
        <v>9.4299999999999994E-4</v>
      </c>
      <c r="N307" s="41">
        <f>IF(I307=Dashboard!$C$17,1,0)</f>
        <v>0</v>
      </c>
      <c r="O307" s="51">
        <f t="shared" si="27"/>
        <v>0</v>
      </c>
    </row>
    <row r="308" spans="1:15" x14ac:dyDescent="0.25">
      <c r="A308" s="24" t="s">
        <v>327</v>
      </c>
      <c r="B308" s="39">
        <v>1.044E-3</v>
      </c>
      <c r="F308" s="41">
        <f>IF(A308=Dashboard!$C$17,1,0)</f>
        <v>0</v>
      </c>
      <c r="G308" s="51">
        <f t="shared" si="26"/>
        <v>0</v>
      </c>
      <c r="H308" s="51"/>
      <c r="I308" s="24" t="s">
        <v>327</v>
      </c>
      <c r="J308" s="39">
        <v>1.044E-3</v>
      </c>
      <c r="N308" s="41">
        <f>IF(I308=Dashboard!$C$17,1,0)</f>
        <v>0</v>
      </c>
      <c r="O308" s="51">
        <f t="shared" si="27"/>
        <v>0</v>
      </c>
    </row>
    <row r="309" spans="1:15" x14ac:dyDescent="0.25">
      <c r="A309" s="24" t="s">
        <v>328</v>
      </c>
      <c r="B309" s="39">
        <v>1.0140000000000001E-3</v>
      </c>
      <c r="F309" s="41">
        <f>IF(A309=Dashboard!$C$17,1,0)</f>
        <v>0</v>
      </c>
      <c r="G309" s="51">
        <f t="shared" si="26"/>
        <v>0</v>
      </c>
      <c r="H309" s="51"/>
      <c r="I309" s="24" t="s">
        <v>328</v>
      </c>
      <c r="J309" s="39">
        <v>1.0140000000000001E-3</v>
      </c>
      <c r="N309" s="41">
        <f>IF(I309=Dashboard!$C$17,1,0)</f>
        <v>0</v>
      </c>
      <c r="O309" s="51">
        <f t="shared" si="27"/>
        <v>0</v>
      </c>
    </row>
    <row r="310" spans="1:15" x14ac:dyDescent="0.25">
      <c r="A310" s="24" t="s">
        <v>329</v>
      </c>
      <c r="B310" s="39">
        <v>1.1740000000000001E-3</v>
      </c>
      <c r="F310" s="41">
        <f>IF(A310=Dashboard!$C$17,1,0)</f>
        <v>0</v>
      </c>
      <c r="G310" s="51">
        <f t="shared" si="26"/>
        <v>0</v>
      </c>
      <c r="H310" s="51"/>
      <c r="I310" s="24" t="s">
        <v>329</v>
      </c>
      <c r="J310" s="39">
        <v>1.1740000000000001E-3</v>
      </c>
      <c r="N310" s="41">
        <f>IF(I310=Dashboard!$C$17,1,0)</f>
        <v>0</v>
      </c>
      <c r="O310" s="51">
        <f t="shared" si="27"/>
        <v>0</v>
      </c>
    </row>
    <row r="311" spans="1:15" x14ac:dyDescent="0.25">
      <c r="A311" s="24" t="s">
        <v>330</v>
      </c>
      <c r="B311" s="39">
        <v>1.273E-3</v>
      </c>
      <c r="F311" s="41">
        <f>IF(A311=Dashboard!$C$17,1,0)</f>
        <v>0</v>
      </c>
      <c r="G311" s="51">
        <f t="shared" si="26"/>
        <v>0</v>
      </c>
      <c r="H311" s="51"/>
      <c r="I311" s="24" t="s">
        <v>330</v>
      </c>
      <c r="J311" s="39">
        <v>1.273E-3</v>
      </c>
      <c r="N311" s="41">
        <f>IF(I311=Dashboard!$C$17,1,0)</f>
        <v>0</v>
      </c>
      <c r="O311" s="51">
        <f t="shared" si="27"/>
        <v>0</v>
      </c>
    </row>
    <row r="312" spans="1:15" x14ac:dyDescent="0.25">
      <c r="A312" s="24" t="s">
        <v>331</v>
      </c>
      <c r="B312" s="39">
        <v>1.5900000000000001E-3</v>
      </c>
      <c r="F312" s="41">
        <f>IF(A312=Dashboard!$C$17,1,0)</f>
        <v>0</v>
      </c>
      <c r="G312" s="51">
        <f t="shared" si="26"/>
        <v>0</v>
      </c>
      <c r="H312" s="51"/>
      <c r="I312" s="24" t="s">
        <v>331</v>
      </c>
      <c r="J312" s="39">
        <v>1.5900000000000001E-3</v>
      </c>
      <c r="N312" s="41">
        <f>IF(I312=Dashboard!$C$17,1,0)</f>
        <v>0</v>
      </c>
      <c r="O312" s="51">
        <f t="shared" si="27"/>
        <v>0</v>
      </c>
    </row>
    <row r="313" spans="1:15" x14ac:dyDescent="0.25">
      <c r="A313" s="24" t="s">
        <v>332</v>
      </c>
      <c r="B313" s="39">
        <v>1.7489999999999999E-3</v>
      </c>
      <c r="F313" s="41">
        <f>IF(A313=Dashboard!$C$17,1,0)</f>
        <v>0</v>
      </c>
      <c r="G313" s="51">
        <f t="shared" si="26"/>
        <v>0</v>
      </c>
      <c r="H313" s="51"/>
      <c r="I313" s="24" t="s">
        <v>332</v>
      </c>
      <c r="J313" s="39">
        <v>1.7489999999999999E-3</v>
      </c>
      <c r="N313" s="41">
        <f>IF(I313=Dashboard!$C$17,1,0)</f>
        <v>0</v>
      </c>
      <c r="O313" s="51">
        <f t="shared" si="27"/>
        <v>0</v>
      </c>
    </row>
    <row r="314" spans="1:15" x14ac:dyDescent="0.25">
      <c r="A314" s="24" t="s">
        <v>333</v>
      </c>
      <c r="B314" s="39">
        <v>1.1081000000000001E-3</v>
      </c>
      <c r="F314" s="41">
        <f>IF(A314=Dashboard!$C$17,1,0)</f>
        <v>0</v>
      </c>
      <c r="G314" s="51">
        <f t="shared" si="26"/>
        <v>0</v>
      </c>
      <c r="H314" s="51"/>
      <c r="I314" s="24" t="s">
        <v>333</v>
      </c>
      <c r="J314" s="39">
        <v>1.1081000000000001E-3</v>
      </c>
      <c r="N314" s="41">
        <f>IF(I314=Dashboard!$C$17,1,0)</f>
        <v>0</v>
      </c>
      <c r="O314" s="51">
        <f t="shared" si="27"/>
        <v>0</v>
      </c>
    </row>
    <row r="315" spans="1:15" x14ac:dyDescent="0.25">
      <c r="A315" s="24" t="s">
        <v>334</v>
      </c>
      <c r="B315" s="39">
        <v>1.6409999999999999E-3</v>
      </c>
      <c r="F315" s="41">
        <f>IF(A315=Dashboard!$C$17,1,0)</f>
        <v>0</v>
      </c>
      <c r="G315" s="51">
        <f t="shared" si="26"/>
        <v>0</v>
      </c>
      <c r="H315" s="51"/>
      <c r="I315" s="24" t="s">
        <v>334</v>
      </c>
      <c r="J315" s="39">
        <v>1.6409999999999999E-3</v>
      </c>
      <c r="N315" s="41">
        <f>IF(I315=Dashboard!$C$17,1,0)</f>
        <v>0</v>
      </c>
      <c r="O315" s="51">
        <f t="shared" si="27"/>
        <v>0</v>
      </c>
    </row>
    <row r="316" spans="1:15" x14ac:dyDescent="0.25">
      <c r="A316" s="24" t="s">
        <v>335</v>
      </c>
      <c r="B316" s="39">
        <v>1.4219999999999999E-3</v>
      </c>
      <c r="F316" s="41">
        <f>IF(A316=Dashboard!$C$17,1,0)</f>
        <v>0</v>
      </c>
      <c r="G316" s="51">
        <f t="shared" si="26"/>
        <v>0</v>
      </c>
      <c r="H316" s="51"/>
      <c r="I316" s="24" t="s">
        <v>335</v>
      </c>
      <c r="J316" s="39">
        <v>1.4219999999999999E-3</v>
      </c>
      <c r="N316" s="41">
        <f>IF(I316=Dashboard!$C$17,1,0)</f>
        <v>0</v>
      </c>
      <c r="O316" s="51">
        <f t="shared" si="27"/>
        <v>0</v>
      </c>
    </row>
    <row r="317" spans="1:15" x14ac:dyDescent="0.25">
      <c r="A317" s="24" t="s">
        <v>336</v>
      </c>
      <c r="B317" s="39">
        <v>5.8799999999999998E-4</v>
      </c>
      <c r="F317" s="41">
        <f>IF(A317=Dashboard!$C$17,1,0)</f>
        <v>0</v>
      </c>
      <c r="G317" s="51">
        <f t="shared" si="26"/>
        <v>0</v>
      </c>
      <c r="H317" s="51"/>
      <c r="I317" s="24" t="s">
        <v>336</v>
      </c>
      <c r="J317" s="39">
        <v>5.8799999999999998E-4</v>
      </c>
      <c r="N317" s="41">
        <f>IF(I317=Dashboard!$C$17,1,0)</f>
        <v>0</v>
      </c>
      <c r="O317" s="51">
        <f t="shared" si="27"/>
        <v>0</v>
      </c>
    </row>
    <row r="318" spans="1:15" x14ac:dyDescent="0.25">
      <c r="A318" s="24" t="s">
        <v>337</v>
      </c>
      <c r="B318" s="39">
        <v>1.1299999999999999E-3</v>
      </c>
      <c r="F318" s="41">
        <f>IF(A318=Dashboard!$C$17,1,0)</f>
        <v>0</v>
      </c>
      <c r="G318" s="51">
        <f t="shared" si="26"/>
        <v>0</v>
      </c>
      <c r="H318" s="51"/>
      <c r="I318" s="24" t="s">
        <v>337</v>
      </c>
      <c r="J318" s="39">
        <v>1.1299999999999999E-3</v>
      </c>
      <c r="N318" s="41">
        <f>IF(I318=Dashboard!$C$17,1,0)</f>
        <v>0</v>
      </c>
      <c r="O318" s="51">
        <f t="shared" si="27"/>
        <v>0</v>
      </c>
    </row>
    <row r="319" spans="1:15" x14ac:dyDescent="0.25">
      <c r="A319" s="24" t="s">
        <v>338</v>
      </c>
      <c r="B319" s="39">
        <v>1.06E-3</v>
      </c>
      <c r="F319" s="41">
        <f>IF(A319=Dashboard!$C$17,1,0)</f>
        <v>0</v>
      </c>
      <c r="G319" s="51">
        <f t="shared" si="26"/>
        <v>0</v>
      </c>
      <c r="H319" s="51"/>
      <c r="I319" s="24" t="s">
        <v>338</v>
      </c>
      <c r="J319" s="39">
        <v>1.06E-3</v>
      </c>
      <c r="N319" s="41">
        <f>IF(I319=Dashboard!$C$17,1,0)</f>
        <v>0</v>
      </c>
      <c r="O319" s="51">
        <f t="shared" si="27"/>
        <v>0</v>
      </c>
    </row>
    <row r="320" spans="1:15" x14ac:dyDescent="0.25">
      <c r="A320" s="24" t="s">
        <v>339</v>
      </c>
      <c r="B320" s="39">
        <v>1.2509999999999999E-3</v>
      </c>
      <c r="F320" s="41">
        <f>IF(A320=Dashboard!$C$17,1,0)</f>
        <v>0</v>
      </c>
      <c r="G320" s="51">
        <f t="shared" si="26"/>
        <v>0</v>
      </c>
      <c r="H320" s="51"/>
      <c r="I320" s="24" t="s">
        <v>339</v>
      </c>
      <c r="J320" s="39">
        <v>1.2509999999999999E-3</v>
      </c>
      <c r="N320" s="41">
        <f>IF(I320=Dashboard!$C$17,1,0)</f>
        <v>0</v>
      </c>
      <c r="O320" s="51">
        <f t="shared" si="27"/>
        <v>0</v>
      </c>
    </row>
    <row r="321" spans="1:15" x14ac:dyDescent="0.25">
      <c r="A321" s="24" t="s">
        <v>340</v>
      </c>
      <c r="B321" s="39">
        <v>1.1609999999999999E-3</v>
      </c>
      <c r="F321" s="41">
        <f>IF(A321=Dashboard!$C$17,1,0)</f>
        <v>0</v>
      </c>
      <c r="G321" s="51">
        <f t="shared" si="26"/>
        <v>0</v>
      </c>
      <c r="H321" s="51"/>
      <c r="I321" s="24" t="s">
        <v>340</v>
      </c>
      <c r="J321" s="39">
        <v>1.1609999999999999E-3</v>
      </c>
      <c r="N321" s="41">
        <f>IF(I321=Dashboard!$C$17,1,0)</f>
        <v>0</v>
      </c>
      <c r="O321" s="51">
        <f t="shared" si="27"/>
        <v>0</v>
      </c>
    </row>
    <row r="322" spans="1:15" x14ac:dyDescent="0.25">
      <c r="A322" s="24" t="s">
        <v>341</v>
      </c>
      <c r="B322" s="39">
        <v>1.129E-3</v>
      </c>
      <c r="F322" s="41">
        <f>IF(A322=Dashboard!$C$17,1,0)</f>
        <v>0</v>
      </c>
      <c r="G322" s="51">
        <f t="shared" si="26"/>
        <v>0</v>
      </c>
      <c r="H322" s="51"/>
      <c r="I322" s="24" t="s">
        <v>341</v>
      </c>
      <c r="J322" s="39">
        <v>1.129E-3</v>
      </c>
      <c r="N322" s="41">
        <f>IF(I322=Dashboard!$C$17,1,0)</f>
        <v>0</v>
      </c>
      <c r="O322" s="51">
        <f t="shared" si="27"/>
        <v>0</v>
      </c>
    </row>
    <row r="323" spans="1:15" x14ac:dyDescent="0.25">
      <c r="A323" s="24" t="s">
        <v>342</v>
      </c>
      <c r="B323" s="39">
        <v>9.41E-4</v>
      </c>
      <c r="F323" s="41">
        <f>IF(A323=Dashboard!$C$17,1,0)</f>
        <v>0</v>
      </c>
      <c r="G323" s="51">
        <f t="shared" si="26"/>
        <v>0</v>
      </c>
      <c r="H323" s="51"/>
      <c r="I323" s="24" t="s">
        <v>342</v>
      </c>
      <c r="J323" s="39">
        <v>9.41E-4</v>
      </c>
      <c r="N323" s="41">
        <f>IF(I323=Dashboard!$C$17,1,0)</f>
        <v>0</v>
      </c>
      <c r="O323" s="51">
        <f t="shared" si="27"/>
        <v>0</v>
      </c>
    </row>
    <row r="324" spans="1:15" x14ac:dyDescent="0.25">
      <c r="A324" s="24" t="s">
        <v>343</v>
      </c>
      <c r="B324" s="39">
        <v>1.9919999999999998E-3</v>
      </c>
      <c r="F324" s="41">
        <f>IF(A324=Dashboard!$C$17,1,0)</f>
        <v>0</v>
      </c>
      <c r="G324" s="51">
        <f t="shared" si="26"/>
        <v>0</v>
      </c>
      <c r="H324" s="51"/>
      <c r="I324" s="24" t="s">
        <v>343</v>
      </c>
      <c r="J324" s="39">
        <v>1.9919999999999998E-3</v>
      </c>
      <c r="N324" s="41">
        <f>IF(I324=Dashboard!$C$17,1,0)</f>
        <v>0</v>
      </c>
      <c r="O324" s="51">
        <f t="shared" si="27"/>
        <v>0</v>
      </c>
    </row>
    <row r="325" spans="1:15" x14ac:dyDescent="0.25">
      <c r="A325" s="24" t="s">
        <v>344</v>
      </c>
      <c r="B325" s="39">
        <v>8.0000000000000004E-4</v>
      </c>
      <c r="F325" s="41">
        <f>IF(A325=Dashboard!$C$17,1,0)</f>
        <v>0</v>
      </c>
      <c r="G325" s="51">
        <f t="shared" si="26"/>
        <v>0</v>
      </c>
      <c r="H325" s="51"/>
      <c r="I325" s="24" t="s">
        <v>344</v>
      </c>
      <c r="J325" s="39">
        <v>8.0000000000000004E-4</v>
      </c>
      <c r="N325" s="41">
        <f>IF(I325=Dashboard!$C$17,1,0)</f>
        <v>0</v>
      </c>
      <c r="O325" s="51">
        <f t="shared" si="27"/>
        <v>0</v>
      </c>
    </row>
    <row r="326" spans="1:15" x14ac:dyDescent="0.25">
      <c r="A326" s="24" t="s">
        <v>345</v>
      </c>
      <c r="B326" s="39">
        <v>1.354E-3</v>
      </c>
      <c r="F326" s="41">
        <f>IF(A326=Dashboard!$C$17,1,0)</f>
        <v>0</v>
      </c>
      <c r="G326" s="51">
        <f t="shared" si="26"/>
        <v>0</v>
      </c>
      <c r="H326" s="51"/>
      <c r="I326" s="24" t="s">
        <v>345</v>
      </c>
      <c r="J326" s="39">
        <v>1.354E-3</v>
      </c>
      <c r="N326" s="41">
        <f>IF(I326=Dashboard!$C$17,1,0)</f>
        <v>0</v>
      </c>
      <c r="O326" s="51">
        <f t="shared" si="27"/>
        <v>0</v>
      </c>
    </row>
    <row r="327" spans="1:15" x14ac:dyDescent="0.25">
      <c r="A327" s="24" t="s">
        <v>346</v>
      </c>
      <c r="B327" s="39">
        <v>1.3359999999999999E-3</v>
      </c>
      <c r="F327" s="41">
        <f>IF(A327=Dashboard!$C$17,1,0)</f>
        <v>0</v>
      </c>
      <c r="G327" s="51">
        <f t="shared" si="26"/>
        <v>0</v>
      </c>
      <c r="H327" s="51"/>
      <c r="I327" s="24" t="s">
        <v>346</v>
      </c>
      <c r="J327" s="39">
        <v>1.3359999999999999E-3</v>
      </c>
      <c r="N327" s="41">
        <f>IF(I327=Dashboard!$C$17,1,0)</f>
        <v>0</v>
      </c>
      <c r="O327" s="51">
        <f t="shared" si="27"/>
        <v>0</v>
      </c>
    </row>
    <row r="328" spans="1:15" x14ac:dyDescent="0.25">
      <c r="A328" s="24" t="s">
        <v>347</v>
      </c>
      <c r="B328" s="39">
        <v>1.3830000000000001E-3</v>
      </c>
      <c r="F328" s="41">
        <f>IF(A328=Dashboard!$C$17,1,0)</f>
        <v>0</v>
      </c>
      <c r="G328" s="51">
        <f t="shared" si="26"/>
        <v>0</v>
      </c>
      <c r="H328" s="51"/>
      <c r="I328" s="24" t="s">
        <v>347</v>
      </c>
      <c r="J328" s="39">
        <v>1.3830000000000001E-3</v>
      </c>
      <c r="N328" s="41">
        <f>IF(I328=Dashboard!$C$17,1,0)</f>
        <v>0</v>
      </c>
      <c r="O328" s="51">
        <f t="shared" si="27"/>
        <v>0</v>
      </c>
    </row>
    <row r="329" spans="1:15" x14ac:dyDescent="0.25">
      <c r="A329" s="24" t="s">
        <v>348</v>
      </c>
      <c r="B329" s="39">
        <v>1.271E-3</v>
      </c>
      <c r="F329" s="41">
        <f>IF(A329=Dashboard!$C$17,1,0)</f>
        <v>0</v>
      </c>
      <c r="G329" s="51">
        <f t="shared" si="26"/>
        <v>0</v>
      </c>
      <c r="H329" s="51"/>
      <c r="I329" s="24" t="s">
        <v>348</v>
      </c>
      <c r="J329" s="39">
        <v>1.271E-3</v>
      </c>
      <c r="N329" s="41">
        <f>IF(I329=Dashboard!$C$17,1,0)</f>
        <v>0</v>
      </c>
      <c r="O329" s="51">
        <f t="shared" si="27"/>
        <v>0</v>
      </c>
    </row>
    <row r="330" spans="1:15" x14ac:dyDescent="0.25">
      <c r="A330" s="24" t="s">
        <v>349</v>
      </c>
      <c r="B330" s="39">
        <v>9.4766000000000002E-4</v>
      </c>
      <c r="F330" s="41">
        <f>IF(A330=Dashboard!$C$17,1,0)</f>
        <v>0</v>
      </c>
      <c r="G330" s="51">
        <f t="shared" si="26"/>
        <v>0</v>
      </c>
      <c r="H330" s="51"/>
      <c r="I330" s="24" t="s">
        <v>349</v>
      </c>
      <c r="J330" s="39">
        <v>9.4766000000000002E-4</v>
      </c>
      <c r="N330" s="41">
        <f>IF(I330=Dashboard!$C$17,1,0)</f>
        <v>0</v>
      </c>
      <c r="O330" s="51">
        <f t="shared" si="27"/>
        <v>0</v>
      </c>
    </row>
    <row r="331" spans="1:15" x14ac:dyDescent="0.25">
      <c r="A331" s="24" t="s">
        <v>350</v>
      </c>
      <c r="B331" s="39">
        <v>1.0092E-3</v>
      </c>
      <c r="F331" s="41">
        <f>IF(A331=Dashboard!$C$17,1,0)</f>
        <v>0</v>
      </c>
      <c r="G331" s="51">
        <f t="shared" si="26"/>
        <v>0</v>
      </c>
      <c r="H331" s="51"/>
      <c r="I331" s="24" t="s">
        <v>350</v>
      </c>
      <c r="J331" s="39">
        <v>1.0092E-3</v>
      </c>
      <c r="N331" s="41">
        <f>IF(I331=Dashboard!$C$17,1,0)</f>
        <v>0</v>
      </c>
      <c r="O331" s="51">
        <f t="shared" si="27"/>
        <v>0</v>
      </c>
    </row>
    <row r="332" spans="1:15" x14ac:dyDescent="0.25">
      <c r="A332" s="24" t="s">
        <v>351</v>
      </c>
      <c r="B332" s="39">
        <v>1.8851100000000002E-3</v>
      </c>
      <c r="F332" s="41">
        <f>IF(A332=Dashboard!$C$17,1,0)</f>
        <v>0</v>
      </c>
      <c r="G332" s="51">
        <f t="shared" si="26"/>
        <v>0</v>
      </c>
      <c r="H332" s="51"/>
      <c r="I332" s="24" t="s">
        <v>351</v>
      </c>
      <c r="J332" s="39">
        <v>1.8851100000000002E-3</v>
      </c>
      <c r="N332" s="41">
        <f>IF(I332=Dashboard!$C$17,1,0)</f>
        <v>0</v>
      </c>
      <c r="O332" s="51">
        <f t="shared" si="27"/>
        <v>0</v>
      </c>
    </row>
    <row r="333" spans="1:15" x14ac:dyDescent="0.25">
      <c r="A333" s="24" t="s">
        <v>352</v>
      </c>
      <c r="B333" s="39">
        <v>1.1825E-3</v>
      </c>
      <c r="F333" s="41">
        <f>IF(A333=Dashboard!$C$17,1,0)</f>
        <v>0</v>
      </c>
      <c r="G333" s="51">
        <f t="shared" si="26"/>
        <v>0</v>
      </c>
      <c r="H333" s="51"/>
      <c r="I333" s="24" t="s">
        <v>352</v>
      </c>
      <c r="J333" s="39">
        <v>1.1825E-3</v>
      </c>
      <c r="N333" s="41">
        <f>IF(I333=Dashboard!$C$17,1,0)</f>
        <v>0</v>
      </c>
      <c r="O333" s="51">
        <f t="shared" si="27"/>
        <v>0</v>
      </c>
    </row>
    <row r="334" spans="1:15" x14ac:dyDescent="0.25">
      <c r="A334" s="24" t="s">
        <v>353</v>
      </c>
      <c r="B334" s="39">
        <v>1.126E-3</v>
      </c>
      <c r="F334" s="41">
        <f>IF(A334=Dashboard!$C$17,1,0)</f>
        <v>0</v>
      </c>
      <c r="G334" s="51">
        <f t="shared" si="26"/>
        <v>0</v>
      </c>
      <c r="H334" s="51"/>
      <c r="I334" s="24" t="s">
        <v>353</v>
      </c>
      <c r="J334" s="39">
        <v>1.126E-3</v>
      </c>
      <c r="N334" s="41">
        <f>IF(I334=Dashboard!$C$17,1,0)</f>
        <v>0</v>
      </c>
      <c r="O334" s="51">
        <f t="shared" si="27"/>
        <v>0</v>
      </c>
    </row>
    <row r="335" spans="1:15" x14ac:dyDescent="0.25">
      <c r="A335" s="24" t="s">
        <v>354</v>
      </c>
      <c r="B335" s="39">
        <v>1.505E-3</v>
      </c>
      <c r="F335" s="41">
        <f>IF(A335=Dashboard!$C$17,1,0)</f>
        <v>0</v>
      </c>
      <c r="G335" s="51">
        <f t="shared" si="26"/>
        <v>0</v>
      </c>
      <c r="H335" s="51"/>
      <c r="I335" s="24" t="s">
        <v>354</v>
      </c>
      <c r="J335" s="39">
        <v>1.505E-3</v>
      </c>
      <c r="N335" s="41">
        <f>IF(I335=Dashboard!$C$17,1,0)</f>
        <v>0</v>
      </c>
      <c r="O335" s="51">
        <f t="shared" si="27"/>
        <v>0</v>
      </c>
    </row>
    <row r="336" spans="1:15" x14ac:dyDescent="0.25">
      <c r="A336" s="24" t="s">
        <v>355</v>
      </c>
      <c r="B336" s="39">
        <v>1.1919999999999999E-3</v>
      </c>
      <c r="F336" s="41">
        <f>IF(A336=Dashboard!$C$17,1,0)</f>
        <v>0</v>
      </c>
      <c r="G336" s="51">
        <f t="shared" si="26"/>
        <v>0</v>
      </c>
      <c r="H336" s="51"/>
      <c r="I336" s="24" t="s">
        <v>355</v>
      </c>
      <c r="J336" s="39">
        <v>1.1919999999999999E-3</v>
      </c>
      <c r="N336" s="41">
        <f>IF(I336=Dashboard!$C$17,1,0)</f>
        <v>0</v>
      </c>
      <c r="O336" s="51">
        <f t="shared" si="27"/>
        <v>0</v>
      </c>
    </row>
    <row r="337" spans="1:15" x14ac:dyDescent="0.25">
      <c r="A337" s="24" t="s">
        <v>356</v>
      </c>
      <c r="B337" s="39">
        <v>1.7360000000000001E-3</v>
      </c>
      <c r="F337" s="41">
        <f>IF(A337=Dashboard!$C$17,1,0)</f>
        <v>0</v>
      </c>
      <c r="G337" s="51">
        <f t="shared" si="26"/>
        <v>0</v>
      </c>
      <c r="H337" s="51"/>
      <c r="I337" s="24" t="s">
        <v>356</v>
      </c>
      <c r="J337" s="39">
        <v>1.7360000000000001E-3</v>
      </c>
      <c r="N337" s="41">
        <f>IF(I337=Dashboard!$C$17,1,0)</f>
        <v>0</v>
      </c>
      <c r="O337" s="51">
        <f t="shared" si="27"/>
        <v>0</v>
      </c>
    </row>
    <row r="338" spans="1:15" x14ac:dyDescent="0.25">
      <c r="A338" s="24" t="s">
        <v>357</v>
      </c>
      <c r="B338" s="39">
        <v>1.575E-3</v>
      </c>
      <c r="F338" s="41">
        <f>IF(A338=Dashboard!$C$17,1,0)</f>
        <v>0</v>
      </c>
      <c r="G338" s="51">
        <f t="shared" si="26"/>
        <v>0</v>
      </c>
      <c r="H338" s="51"/>
      <c r="I338" s="24" t="s">
        <v>357</v>
      </c>
      <c r="J338" s="39">
        <v>1.575E-3</v>
      </c>
      <c r="N338" s="41">
        <f>IF(I338=Dashboard!$C$17,1,0)</f>
        <v>0</v>
      </c>
      <c r="O338" s="51">
        <f t="shared" si="27"/>
        <v>0</v>
      </c>
    </row>
    <row r="339" spans="1:15" x14ac:dyDescent="0.25">
      <c r="A339" s="24" t="s">
        <v>358</v>
      </c>
      <c r="B339" s="39">
        <v>1.7427E-3</v>
      </c>
      <c r="F339" s="41">
        <f>IF(A339=Dashboard!$C$17,1,0)</f>
        <v>0</v>
      </c>
      <c r="G339" s="51">
        <f t="shared" si="26"/>
        <v>0</v>
      </c>
      <c r="H339" s="51"/>
      <c r="I339" s="24" t="s">
        <v>358</v>
      </c>
      <c r="J339" s="39">
        <v>1.7427E-3</v>
      </c>
      <c r="N339" s="41">
        <f>IF(I339=Dashboard!$C$17,1,0)</f>
        <v>0</v>
      </c>
      <c r="O339" s="51">
        <f t="shared" si="27"/>
        <v>0</v>
      </c>
    </row>
    <row r="340" spans="1:15" x14ac:dyDescent="0.25">
      <c r="A340" s="24" t="s">
        <v>359</v>
      </c>
      <c r="B340" s="39">
        <v>2.2009999999999998E-3</v>
      </c>
      <c r="F340" s="41">
        <f>IF(A340=Dashboard!$C$17,1,0)</f>
        <v>0</v>
      </c>
      <c r="G340" s="51">
        <f t="shared" si="26"/>
        <v>0</v>
      </c>
      <c r="H340" s="51"/>
      <c r="I340" s="24" t="s">
        <v>359</v>
      </c>
      <c r="J340" s="39">
        <v>2.2009999999999998E-3</v>
      </c>
      <c r="N340" s="41">
        <f>IF(I340=Dashboard!$C$17,1,0)</f>
        <v>0</v>
      </c>
      <c r="O340" s="51">
        <f t="shared" si="27"/>
        <v>0</v>
      </c>
    </row>
    <row r="341" spans="1:15" x14ac:dyDescent="0.25">
      <c r="A341" s="24" t="s">
        <v>360</v>
      </c>
      <c r="B341" s="39">
        <v>1.7725E-3</v>
      </c>
      <c r="F341" s="41">
        <f>IF(A341=Dashboard!$C$17,1,0)</f>
        <v>0</v>
      </c>
      <c r="G341" s="51">
        <f t="shared" si="26"/>
        <v>0</v>
      </c>
      <c r="H341" s="51"/>
      <c r="I341" s="24" t="s">
        <v>360</v>
      </c>
      <c r="J341" s="39">
        <v>1.7725E-3</v>
      </c>
      <c r="N341" s="41">
        <f>IF(I341=Dashboard!$C$17,1,0)</f>
        <v>0</v>
      </c>
      <c r="O341" s="51">
        <f t="shared" si="27"/>
        <v>0</v>
      </c>
    </row>
    <row r="342" spans="1:15" x14ac:dyDescent="0.25">
      <c r="A342" s="24" t="s">
        <v>361</v>
      </c>
      <c r="B342" s="39">
        <v>1.7380000000000002E-3</v>
      </c>
      <c r="F342" s="41">
        <f>IF(A342=Dashboard!$C$17,1,0)</f>
        <v>0</v>
      </c>
      <c r="G342" s="51">
        <f t="shared" si="26"/>
        <v>0</v>
      </c>
      <c r="H342" s="51"/>
      <c r="I342" s="24" t="s">
        <v>361</v>
      </c>
      <c r="J342" s="39">
        <v>1.7380000000000002E-3</v>
      </c>
      <c r="N342" s="41">
        <f>IF(I342=Dashboard!$C$17,1,0)</f>
        <v>0</v>
      </c>
      <c r="O342" s="51">
        <f t="shared" si="27"/>
        <v>0</v>
      </c>
    </row>
    <row r="343" spans="1:15" x14ac:dyDescent="0.25">
      <c r="A343" s="24" t="s">
        <v>362</v>
      </c>
      <c r="B343" s="39">
        <v>9.4209999999999997E-4</v>
      </c>
      <c r="F343" s="41">
        <f>IF(A343=Dashboard!$C$17,1,0)</f>
        <v>0</v>
      </c>
      <c r="G343" s="51">
        <f t="shared" si="26"/>
        <v>0</v>
      </c>
      <c r="H343" s="51"/>
      <c r="I343" s="24" t="s">
        <v>362</v>
      </c>
      <c r="J343" s="39">
        <v>9.4209999999999997E-4</v>
      </c>
      <c r="N343" s="41">
        <f>IF(I343=Dashboard!$C$17,1,0)</f>
        <v>0</v>
      </c>
      <c r="O343" s="51">
        <f t="shared" si="27"/>
        <v>0</v>
      </c>
    </row>
    <row r="344" spans="1:15" x14ac:dyDescent="0.25">
      <c r="A344" s="24" t="s">
        <v>363</v>
      </c>
      <c r="B344" s="39">
        <v>2.0010000000000002E-3</v>
      </c>
      <c r="F344" s="41">
        <f>IF(A344=Dashboard!$C$17,1,0)</f>
        <v>0</v>
      </c>
      <c r="G344" s="51">
        <f t="shared" si="26"/>
        <v>0</v>
      </c>
      <c r="H344" s="51"/>
      <c r="I344" s="24" t="s">
        <v>363</v>
      </c>
      <c r="J344" s="39">
        <v>2.0010000000000002E-3</v>
      </c>
      <c r="N344" s="41">
        <f>IF(I344=Dashboard!$C$17,1,0)</f>
        <v>0</v>
      </c>
      <c r="O344" s="51">
        <f t="shared" si="27"/>
        <v>0</v>
      </c>
    </row>
    <row r="345" spans="1:15" x14ac:dyDescent="0.25">
      <c r="A345" s="24" t="s">
        <v>364</v>
      </c>
      <c r="B345" s="39">
        <v>1.134E-3</v>
      </c>
      <c r="F345" s="41">
        <f>IF(A345=Dashboard!$C$17,1,0)</f>
        <v>0</v>
      </c>
      <c r="G345" s="51">
        <f t="shared" si="26"/>
        <v>0</v>
      </c>
      <c r="H345" s="51"/>
      <c r="I345" s="24" t="s">
        <v>364</v>
      </c>
      <c r="J345" s="39">
        <v>1.134E-3</v>
      </c>
      <c r="N345" s="41">
        <f>IF(I345=Dashboard!$C$17,1,0)</f>
        <v>0</v>
      </c>
      <c r="O345" s="51">
        <f t="shared" si="27"/>
        <v>0</v>
      </c>
    </row>
    <row r="346" spans="1:15" x14ac:dyDescent="0.25">
      <c r="A346" s="24" t="s">
        <v>365</v>
      </c>
      <c r="B346" s="39">
        <v>1.189E-3</v>
      </c>
      <c r="F346" s="41">
        <f>IF(A346=Dashboard!$C$17,1,0)</f>
        <v>0</v>
      </c>
      <c r="G346" s="51">
        <f t="shared" si="26"/>
        <v>0</v>
      </c>
      <c r="H346" s="51"/>
      <c r="I346" s="24" t="s">
        <v>365</v>
      </c>
      <c r="J346" s="39">
        <v>1.189E-3</v>
      </c>
      <c r="N346" s="41">
        <f>IF(I346=Dashboard!$C$17,1,0)</f>
        <v>0</v>
      </c>
      <c r="O346" s="51">
        <f t="shared" si="27"/>
        <v>0</v>
      </c>
    </row>
    <row r="347" spans="1:15" x14ac:dyDescent="0.25">
      <c r="A347" s="24" t="s">
        <v>366</v>
      </c>
      <c r="B347" s="39">
        <v>1.1899999999999999E-3</v>
      </c>
      <c r="F347" s="41">
        <f>IF(A347=Dashboard!$C$17,1,0)</f>
        <v>0</v>
      </c>
      <c r="G347" s="51">
        <f t="shared" si="26"/>
        <v>0</v>
      </c>
      <c r="H347" s="51"/>
      <c r="I347" s="24" t="s">
        <v>366</v>
      </c>
      <c r="J347" s="39">
        <v>1.1899999999999999E-3</v>
      </c>
      <c r="N347" s="41">
        <f>IF(I347=Dashboard!$C$17,1,0)</f>
        <v>0</v>
      </c>
      <c r="O347" s="51">
        <f t="shared" si="27"/>
        <v>0</v>
      </c>
    </row>
    <row r="348" spans="1:15" x14ac:dyDescent="0.25">
      <c r="A348" s="24" t="s">
        <v>367</v>
      </c>
      <c r="B348" s="39">
        <v>1.918E-3</v>
      </c>
      <c r="F348" s="41">
        <f>IF(A348=Dashboard!$C$17,1,0)</f>
        <v>0</v>
      </c>
      <c r="G348" s="51">
        <f t="shared" ref="G348:G411" si="28">F348*B348</f>
        <v>0</v>
      </c>
      <c r="H348" s="51"/>
      <c r="I348" s="24" t="s">
        <v>367</v>
      </c>
      <c r="J348" s="39">
        <v>1.918E-3</v>
      </c>
      <c r="N348" s="41">
        <f>IF(I348=Dashboard!$C$17,1,0)</f>
        <v>0</v>
      </c>
      <c r="O348" s="51">
        <f t="shared" ref="O348:O411" si="29">N348*J348</f>
        <v>0</v>
      </c>
    </row>
    <row r="349" spans="1:15" x14ac:dyDescent="0.25">
      <c r="A349" s="24" t="s">
        <v>368</v>
      </c>
      <c r="B349" s="39">
        <v>9.3999999999999997E-4</v>
      </c>
      <c r="F349" s="41">
        <f>IF(A349=Dashboard!$C$17,1,0)</f>
        <v>0</v>
      </c>
      <c r="G349" s="51">
        <f t="shared" si="28"/>
        <v>0</v>
      </c>
      <c r="H349" s="51"/>
      <c r="I349" s="24" t="s">
        <v>368</v>
      </c>
      <c r="J349" s="39">
        <v>9.3999999999999997E-4</v>
      </c>
      <c r="N349" s="41">
        <f>IF(I349=Dashboard!$C$17,1,0)</f>
        <v>0</v>
      </c>
      <c r="O349" s="51">
        <f t="shared" si="29"/>
        <v>0</v>
      </c>
    </row>
    <row r="350" spans="1:15" x14ac:dyDescent="0.25">
      <c r="A350" s="24" t="s">
        <v>369</v>
      </c>
      <c r="B350" s="39">
        <v>1.48E-3</v>
      </c>
      <c r="F350" s="41">
        <f>IF(A350=Dashboard!$C$17,1,0)</f>
        <v>0</v>
      </c>
      <c r="G350" s="51">
        <f t="shared" si="28"/>
        <v>0</v>
      </c>
      <c r="H350" s="51"/>
      <c r="I350" s="24" t="s">
        <v>369</v>
      </c>
      <c r="J350" s="39">
        <v>1.48E-3</v>
      </c>
      <c r="N350" s="41">
        <f>IF(I350=Dashboard!$C$17,1,0)</f>
        <v>0</v>
      </c>
      <c r="O350" s="51">
        <f t="shared" si="29"/>
        <v>0</v>
      </c>
    </row>
    <row r="351" spans="1:15" x14ac:dyDescent="0.25">
      <c r="A351" s="24" t="s">
        <v>370</v>
      </c>
      <c r="B351" s="39">
        <v>9.4700000000000003E-4</v>
      </c>
      <c r="F351" s="41">
        <f>IF(A351=Dashboard!$C$17,1,0)</f>
        <v>0</v>
      </c>
      <c r="G351" s="51">
        <f t="shared" si="28"/>
        <v>0</v>
      </c>
      <c r="H351" s="51"/>
      <c r="I351" s="24" t="s">
        <v>370</v>
      </c>
      <c r="J351" s="39">
        <v>9.4700000000000003E-4</v>
      </c>
      <c r="N351" s="41">
        <f>IF(I351=Dashboard!$C$17,1,0)</f>
        <v>0</v>
      </c>
      <c r="O351" s="51">
        <f t="shared" si="29"/>
        <v>0</v>
      </c>
    </row>
    <row r="352" spans="1:15" x14ac:dyDescent="0.25">
      <c r="A352" s="24" t="s">
        <v>371</v>
      </c>
      <c r="B352" s="39">
        <v>1.3669999999999999E-3</v>
      </c>
      <c r="F352" s="41">
        <f>IF(A352=Dashboard!$C$17,1,0)</f>
        <v>0</v>
      </c>
      <c r="G352" s="51">
        <f t="shared" si="28"/>
        <v>0</v>
      </c>
      <c r="H352" s="51"/>
      <c r="I352" s="24" t="s">
        <v>371</v>
      </c>
      <c r="J352" s="39">
        <v>1.3669999999999999E-3</v>
      </c>
      <c r="N352" s="41">
        <f>IF(I352=Dashboard!$C$17,1,0)</f>
        <v>0</v>
      </c>
      <c r="O352" s="51">
        <f t="shared" si="29"/>
        <v>0</v>
      </c>
    </row>
    <row r="353" spans="1:15" x14ac:dyDescent="0.25">
      <c r="A353" s="24" t="s">
        <v>372</v>
      </c>
      <c r="B353" s="39">
        <v>1.3810000000000001E-3</v>
      </c>
      <c r="F353" s="41">
        <f>IF(A353=Dashboard!$C$17,1,0)</f>
        <v>0</v>
      </c>
      <c r="G353" s="51">
        <f t="shared" si="28"/>
        <v>0</v>
      </c>
      <c r="H353" s="51"/>
      <c r="I353" s="24" t="s">
        <v>372</v>
      </c>
      <c r="J353" s="39">
        <v>1.3810000000000001E-3</v>
      </c>
      <c r="N353" s="41">
        <f>IF(I353=Dashboard!$C$17,1,0)</f>
        <v>0</v>
      </c>
      <c r="O353" s="51">
        <f t="shared" si="29"/>
        <v>0</v>
      </c>
    </row>
    <row r="354" spans="1:15" x14ac:dyDescent="0.25">
      <c r="A354" s="24" t="s">
        <v>373</v>
      </c>
      <c r="B354" s="39">
        <v>1.771E-3</v>
      </c>
      <c r="F354" s="41">
        <f>IF(A354=Dashboard!$C$17,1,0)</f>
        <v>0</v>
      </c>
      <c r="G354" s="51">
        <f t="shared" si="28"/>
        <v>0</v>
      </c>
      <c r="H354" s="51"/>
      <c r="I354" s="24" t="s">
        <v>373</v>
      </c>
      <c r="J354" s="39">
        <v>1.771E-3</v>
      </c>
      <c r="N354" s="41">
        <f>IF(I354=Dashboard!$C$17,1,0)</f>
        <v>0</v>
      </c>
      <c r="O354" s="51">
        <f t="shared" si="29"/>
        <v>0</v>
      </c>
    </row>
    <row r="355" spans="1:15" x14ac:dyDescent="0.25">
      <c r="A355" s="24" t="s">
        <v>374</v>
      </c>
      <c r="B355" s="39">
        <v>1.6489999999999999E-3</v>
      </c>
      <c r="F355" s="41">
        <f>IF(A355=Dashboard!$C$17,1,0)</f>
        <v>0</v>
      </c>
      <c r="G355" s="51">
        <f t="shared" si="28"/>
        <v>0</v>
      </c>
      <c r="H355" s="51"/>
      <c r="I355" s="24" t="s">
        <v>374</v>
      </c>
      <c r="J355" s="39">
        <v>1.6489999999999999E-3</v>
      </c>
      <c r="N355" s="41">
        <f>IF(I355=Dashboard!$C$17,1,0)</f>
        <v>0</v>
      </c>
      <c r="O355" s="51">
        <f t="shared" si="29"/>
        <v>0</v>
      </c>
    </row>
    <row r="356" spans="1:15" x14ac:dyDescent="0.25">
      <c r="A356" s="24" t="s">
        <v>375</v>
      </c>
      <c r="B356" s="39">
        <v>1.096E-3</v>
      </c>
      <c r="F356" s="41">
        <f>IF(A356=Dashboard!$C$17,1,0)</f>
        <v>0</v>
      </c>
      <c r="G356" s="51">
        <f t="shared" si="28"/>
        <v>0</v>
      </c>
      <c r="H356" s="51"/>
      <c r="I356" s="24" t="s">
        <v>375</v>
      </c>
      <c r="J356" s="39">
        <v>1.096E-3</v>
      </c>
      <c r="N356" s="41">
        <f>IF(I356=Dashboard!$C$17,1,0)</f>
        <v>0</v>
      </c>
      <c r="O356" s="51">
        <f t="shared" si="29"/>
        <v>0</v>
      </c>
    </row>
    <row r="357" spans="1:15" x14ac:dyDescent="0.25">
      <c r="A357" s="24" t="s">
        <v>376</v>
      </c>
      <c r="B357" s="39">
        <v>1.0950000000000001E-3</v>
      </c>
      <c r="F357" s="41">
        <f>IF(A357=Dashboard!$C$17,1,0)</f>
        <v>0</v>
      </c>
      <c r="G357" s="51">
        <f t="shared" si="28"/>
        <v>0</v>
      </c>
      <c r="H357" s="51"/>
      <c r="I357" s="24" t="s">
        <v>376</v>
      </c>
      <c r="J357" s="39">
        <v>1.0950000000000001E-3</v>
      </c>
      <c r="N357" s="41">
        <f>IF(I357=Dashboard!$C$17,1,0)</f>
        <v>0</v>
      </c>
      <c r="O357" s="51">
        <f t="shared" si="29"/>
        <v>0</v>
      </c>
    </row>
    <row r="358" spans="1:15" x14ac:dyDescent="0.25">
      <c r="A358" s="24" t="s">
        <v>377</v>
      </c>
      <c r="B358" s="39">
        <v>1.4419999999999999E-3</v>
      </c>
      <c r="F358" s="41">
        <f>IF(A358=Dashboard!$C$17,1,0)</f>
        <v>0</v>
      </c>
      <c r="G358" s="51">
        <f t="shared" si="28"/>
        <v>0</v>
      </c>
      <c r="H358" s="51"/>
      <c r="I358" s="24" t="s">
        <v>377</v>
      </c>
      <c r="J358" s="39">
        <v>1.4419999999999999E-3</v>
      </c>
      <c r="N358" s="41">
        <f>IF(I358=Dashboard!$C$17,1,0)</f>
        <v>0</v>
      </c>
      <c r="O358" s="51">
        <f t="shared" si="29"/>
        <v>0</v>
      </c>
    </row>
    <row r="359" spans="1:15" x14ac:dyDescent="0.25">
      <c r="A359" s="24" t="s">
        <v>378</v>
      </c>
      <c r="B359" s="39">
        <v>1.3900000000000002E-3</v>
      </c>
      <c r="F359" s="41">
        <f>IF(A359=Dashboard!$C$17,1,0)</f>
        <v>0</v>
      </c>
      <c r="G359" s="51">
        <f t="shared" si="28"/>
        <v>0</v>
      </c>
      <c r="H359" s="51"/>
      <c r="I359" s="24" t="s">
        <v>378</v>
      </c>
      <c r="J359" s="39">
        <v>1.3900000000000002E-3</v>
      </c>
      <c r="N359" s="41">
        <f>IF(I359=Dashboard!$C$17,1,0)</f>
        <v>0</v>
      </c>
      <c r="O359" s="51">
        <f t="shared" si="29"/>
        <v>0</v>
      </c>
    </row>
    <row r="360" spans="1:15" x14ac:dyDescent="0.25">
      <c r="A360" s="24" t="s">
        <v>379</v>
      </c>
      <c r="B360" s="39">
        <v>1.2389999999999999E-3</v>
      </c>
      <c r="F360" s="41">
        <f>IF(A360=Dashboard!$C$17,1,0)</f>
        <v>0</v>
      </c>
      <c r="G360" s="51">
        <f t="shared" si="28"/>
        <v>0</v>
      </c>
      <c r="H360" s="51"/>
      <c r="I360" s="24" t="s">
        <v>379</v>
      </c>
      <c r="J360" s="39">
        <v>1.2389999999999999E-3</v>
      </c>
      <c r="N360" s="41">
        <f>IF(I360=Dashboard!$C$17,1,0)</f>
        <v>0</v>
      </c>
      <c r="O360" s="51">
        <f t="shared" si="29"/>
        <v>0</v>
      </c>
    </row>
    <row r="361" spans="1:15" x14ac:dyDescent="0.25">
      <c r="A361" s="24" t="s">
        <v>380</v>
      </c>
      <c r="B361" s="39">
        <v>9.3599999999999998E-4</v>
      </c>
      <c r="F361" s="41">
        <f>IF(A361=Dashboard!$C$17,1,0)</f>
        <v>0</v>
      </c>
      <c r="G361" s="51">
        <f t="shared" si="28"/>
        <v>0</v>
      </c>
      <c r="H361" s="51"/>
      <c r="I361" s="24" t="s">
        <v>380</v>
      </c>
      <c r="J361" s="39">
        <v>9.3599999999999998E-4</v>
      </c>
      <c r="N361" s="41">
        <f>IF(I361=Dashboard!$C$17,1,0)</f>
        <v>0</v>
      </c>
      <c r="O361" s="51">
        <f t="shared" si="29"/>
        <v>0</v>
      </c>
    </row>
    <row r="362" spans="1:15" x14ac:dyDescent="0.25">
      <c r="A362" s="24" t="s">
        <v>381</v>
      </c>
      <c r="B362" s="39">
        <v>1.4189999999999999E-3</v>
      </c>
      <c r="F362" s="41">
        <f>IF(A362=Dashboard!$C$17,1,0)</f>
        <v>0</v>
      </c>
      <c r="G362" s="51">
        <f t="shared" si="28"/>
        <v>0</v>
      </c>
      <c r="H362" s="51"/>
      <c r="I362" s="24" t="s">
        <v>381</v>
      </c>
      <c r="J362" s="39">
        <v>1.4189999999999999E-3</v>
      </c>
      <c r="N362" s="41">
        <f>IF(I362=Dashboard!$C$17,1,0)</f>
        <v>0</v>
      </c>
      <c r="O362" s="51">
        <f t="shared" si="29"/>
        <v>0</v>
      </c>
    </row>
    <row r="363" spans="1:15" x14ac:dyDescent="0.25">
      <c r="A363" s="24" t="s">
        <v>382</v>
      </c>
      <c r="B363" s="39">
        <v>1.498E-3</v>
      </c>
      <c r="F363" s="41">
        <f>IF(A363=Dashboard!$C$17,1,0)</f>
        <v>0</v>
      </c>
      <c r="G363" s="51">
        <f t="shared" si="28"/>
        <v>0</v>
      </c>
      <c r="H363" s="51"/>
      <c r="I363" s="24" t="s">
        <v>382</v>
      </c>
      <c r="J363" s="39">
        <v>1.498E-3</v>
      </c>
      <c r="N363" s="41">
        <f>IF(I363=Dashboard!$C$17,1,0)</f>
        <v>0</v>
      </c>
      <c r="O363" s="51">
        <f t="shared" si="29"/>
        <v>0</v>
      </c>
    </row>
    <row r="364" spans="1:15" x14ac:dyDescent="0.25">
      <c r="A364" s="24" t="s">
        <v>383</v>
      </c>
      <c r="B364" s="39">
        <v>1.691E-3</v>
      </c>
      <c r="F364" s="41">
        <f>IF(A364=Dashboard!$C$17,1,0)</f>
        <v>0</v>
      </c>
      <c r="G364" s="51">
        <f t="shared" si="28"/>
        <v>0</v>
      </c>
      <c r="H364" s="51"/>
      <c r="I364" s="24" t="s">
        <v>383</v>
      </c>
      <c r="J364" s="39">
        <v>1.691E-3</v>
      </c>
      <c r="N364" s="41">
        <f>IF(I364=Dashboard!$C$17,1,0)</f>
        <v>0</v>
      </c>
      <c r="O364" s="51">
        <f t="shared" si="29"/>
        <v>0</v>
      </c>
    </row>
    <row r="365" spans="1:15" x14ac:dyDescent="0.25">
      <c r="A365" s="24" t="s">
        <v>384</v>
      </c>
      <c r="B365" s="39">
        <v>1.34E-3</v>
      </c>
      <c r="F365" s="41">
        <f>IF(A365=Dashboard!$C$17,1,0)</f>
        <v>0</v>
      </c>
      <c r="G365" s="51">
        <f t="shared" si="28"/>
        <v>0</v>
      </c>
      <c r="H365" s="51"/>
      <c r="I365" s="24" t="s">
        <v>384</v>
      </c>
      <c r="J365" s="39">
        <v>1.34E-3</v>
      </c>
      <c r="N365" s="41">
        <f>IF(I365=Dashboard!$C$17,1,0)</f>
        <v>0</v>
      </c>
      <c r="O365" s="51">
        <f t="shared" si="29"/>
        <v>0</v>
      </c>
    </row>
    <row r="366" spans="1:15" x14ac:dyDescent="0.25">
      <c r="A366" s="24" t="s">
        <v>385</v>
      </c>
      <c r="B366" s="39">
        <v>1.0839999999999999E-3</v>
      </c>
      <c r="F366" s="41">
        <f>IF(A366=Dashboard!$C$17,1,0)</f>
        <v>0</v>
      </c>
      <c r="G366" s="51">
        <f t="shared" si="28"/>
        <v>0</v>
      </c>
      <c r="H366" s="51"/>
      <c r="I366" s="24" t="s">
        <v>385</v>
      </c>
      <c r="J366" s="39">
        <v>1.0839999999999999E-3</v>
      </c>
      <c r="N366" s="41">
        <f>IF(I366=Dashboard!$C$17,1,0)</f>
        <v>0</v>
      </c>
      <c r="O366" s="51">
        <f t="shared" si="29"/>
        <v>0</v>
      </c>
    </row>
    <row r="367" spans="1:15" x14ac:dyDescent="0.25">
      <c r="A367" s="24" t="s">
        <v>386</v>
      </c>
      <c r="B367" s="39">
        <v>1.2049999999999999E-3</v>
      </c>
      <c r="F367" s="41">
        <f>IF(A367=Dashboard!$C$17,1,0)</f>
        <v>0</v>
      </c>
      <c r="G367" s="51">
        <f t="shared" si="28"/>
        <v>0</v>
      </c>
      <c r="H367" s="51"/>
      <c r="I367" s="24" t="s">
        <v>386</v>
      </c>
      <c r="J367" s="39">
        <v>1.2049999999999999E-3</v>
      </c>
      <c r="N367" s="41">
        <f>IF(I367=Dashboard!$C$17,1,0)</f>
        <v>0</v>
      </c>
      <c r="O367" s="51">
        <f t="shared" si="29"/>
        <v>0</v>
      </c>
    </row>
    <row r="368" spans="1:15" x14ac:dyDescent="0.25">
      <c r="A368" s="24" t="s">
        <v>387</v>
      </c>
      <c r="B368" s="39">
        <v>1.1429999999999999E-3</v>
      </c>
      <c r="F368" s="41">
        <f>IF(A368=Dashboard!$C$17,1,0)</f>
        <v>0</v>
      </c>
      <c r="G368" s="51">
        <f t="shared" si="28"/>
        <v>0</v>
      </c>
      <c r="H368" s="51"/>
      <c r="I368" s="24" t="s">
        <v>387</v>
      </c>
      <c r="J368" s="39">
        <v>1.1429999999999999E-3</v>
      </c>
      <c r="N368" s="41">
        <f>IF(I368=Dashboard!$C$17,1,0)</f>
        <v>0</v>
      </c>
      <c r="O368" s="51">
        <f t="shared" si="29"/>
        <v>0</v>
      </c>
    </row>
    <row r="369" spans="1:15" x14ac:dyDescent="0.25">
      <c r="A369" s="24" t="s">
        <v>388</v>
      </c>
      <c r="B369" s="39">
        <v>1.493E-3</v>
      </c>
      <c r="F369" s="41">
        <f>IF(A369=Dashboard!$C$17,1,0)</f>
        <v>0</v>
      </c>
      <c r="G369" s="51">
        <f t="shared" si="28"/>
        <v>0</v>
      </c>
      <c r="H369" s="51"/>
      <c r="I369" s="24" t="s">
        <v>388</v>
      </c>
      <c r="J369" s="39">
        <v>1.493E-3</v>
      </c>
      <c r="N369" s="41">
        <f>IF(I369=Dashboard!$C$17,1,0)</f>
        <v>0</v>
      </c>
      <c r="O369" s="51">
        <f t="shared" si="29"/>
        <v>0</v>
      </c>
    </row>
    <row r="370" spans="1:15" x14ac:dyDescent="0.25">
      <c r="A370" s="24" t="s">
        <v>389</v>
      </c>
      <c r="B370" s="39">
        <v>9.7199999999999999E-4</v>
      </c>
      <c r="F370" s="41">
        <f>IF(A370=Dashboard!$C$17,1,0)</f>
        <v>0</v>
      </c>
      <c r="G370" s="51">
        <f t="shared" si="28"/>
        <v>0</v>
      </c>
      <c r="H370" s="51"/>
      <c r="I370" s="24" t="s">
        <v>389</v>
      </c>
      <c r="J370" s="39">
        <v>9.7199999999999999E-4</v>
      </c>
      <c r="N370" s="41">
        <f>IF(I370=Dashboard!$C$17,1,0)</f>
        <v>0</v>
      </c>
      <c r="O370" s="51">
        <f t="shared" si="29"/>
        <v>0</v>
      </c>
    </row>
    <row r="371" spans="1:15" x14ac:dyDescent="0.25">
      <c r="A371" s="24" t="s">
        <v>390</v>
      </c>
      <c r="B371" s="39">
        <v>1.1279999999999999E-3</v>
      </c>
      <c r="F371" s="41">
        <f>IF(A371=Dashboard!$C$17,1,0)</f>
        <v>0</v>
      </c>
      <c r="G371" s="51">
        <f t="shared" si="28"/>
        <v>0</v>
      </c>
      <c r="H371" s="51"/>
      <c r="I371" s="24" t="s">
        <v>390</v>
      </c>
      <c r="J371" s="39">
        <v>1.1279999999999999E-3</v>
      </c>
      <c r="N371" s="41">
        <f>IF(I371=Dashboard!$C$17,1,0)</f>
        <v>0</v>
      </c>
      <c r="O371" s="51">
        <f t="shared" si="29"/>
        <v>0</v>
      </c>
    </row>
    <row r="372" spans="1:15" x14ac:dyDescent="0.25">
      <c r="A372" s="24" t="s">
        <v>391</v>
      </c>
      <c r="B372" s="39">
        <v>1.5399999999999999E-3</v>
      </c>
      <c r="F372" s="41">
        <f>IF(A372=Dashboard!$C$17,1,0)</f>
        <v>0</v>
      </c>
      <c r="G372" s="51">
        <f t="shared" si="28"/>
        <v>0</v>
      </c>
      <c r="H372" s="51"/>
      <c r="I372" s="24" t="s">
        <v>391</v>
      </c>
      <c r="J372" s="39">
        <v>1.5399999999999999E-3</v>
      </c>
      <c r="N372" s="41">
        <f>IF(I372=Dashboard!$C$17,1,0)</f>
        <v>0</v>
      </c>
      <c r="O372" s="51">
        <f t="shared" si="29"/>
        <v>0</v>
      </c>
    </row>
    <row r="373" spans="1:15" x14ac:dyDescent="0.25">
      <c r="A373" s="24" t="s">
        <v>392</v>
      </c>
      <c r="B373" s="39">
        <v>1.3450000000000001E-3</v>
      </c>
      <c r="F373" s="41">
        <f>IF(A373=Dashboard!$C$17,1,0)</f>
        <v>0</v>
      </c>
      <c r="G373" s="51">
        <f t="shared" si="28"/>
        <v>0</v>
      </c>
      <c r="H373" s="51"/>
      <c r="I373" s="24" t="s">
        <v>392</v>
      </c>
      <c r="J373" s="39">
        <v>1.3450000000000001E-3</v>
      </c>
      <c r="N373" s="41">
        <f>IF(I373=Dashboard!$C$17,1,0)</f>
        <v>0</v>
      </c>
      <c r="O373" s="51">
        <f t="shared" si="29"/>
        <v>0</v>
      </c>
    </row>
    <row r="374" spans="1:15" x14ac:dyDescent="0.25">
      <c r="A374" s="24" t="s">
        <v>393</v>
      </c>
      <c r="B374" s="39">
        <v>1.3500000000000001E-3</v>
      </c>
      <c r="F374" s="41">
        <f>IF(A374=Dashboard!$C$17,1,0)</f>
        <v>0</v>
      </c>
      <c r="G374" s="51">
        <f t="shared" si="28"/>
        <v>0</v>
      </c>
      <c r="H374" s="51"/>
      <c r="I374" s="24" t="s">
        <v>393</v>
      </c>
      <c r="J374" s="39">
        <v>1.3500000000000001E-3</v>
      </c>
      <c r="N374" s="41">
        <f>IF(I374=Dashboard!$C$17,1,0)</f>
        <v>0</v>
      </c>
      <c r="O374" s="51">
        <f t="shared" si="29"/>
        <v>0</v>
      </c>
    </row>
    <row r="375" spans="1:15" x14ac:dyDescent="0.25">
      <c r="A375" s="24" t="s">
        <v>394</v>
      </c>
      <c r="B375" s="39">
        <v>1.6100000000000001E-3</v>
      </c>
      <c r="F375" s="41">
        <f>IF(A375=Dashboard!$C$17,1,0)</f>
        <v>0</v>
      </c>
      <c r="G375" s="51">
        <f t="shared" si="28"/>
        <v>0</v>
      </c>
      <c r="H375" s="51"/>
      <c r="I375" s="24" t="s">
        <v>394</v>
      </c>
      <c r="J375" s="39">
        <v>1.6100000000000001E-3</v>
      </c>
      <c r="N375" s="41">
        <f>IF(I375=Dashboard!$C$17,1,0)</f>
        <v>0</v>
      </c>
      <c r="O375" s="51">
        <f t="shared" si="29"/>
        <v>0</v>
      </c>
    </row>
    <row r="376" spans="1:15" x14ac:dyDescent="0.25">
      <c r="A376" s="24" t="s">
        <v>395</v>
      </c>
      <c r="B376" s="39">
        <v>1.0889999999999999E-3</v>
      </c>
      <c r="F376" s="41">
        <f>IF(A376=Dashboard!$C$17,1,0)</f>
        <v>0</v>
      </c>
      <c r="G376" s="51">
        <f t="shared" si="28"/>
        <v>0</v>
      </c>
      <c r="H376" s="51"/>
      <c r="I376" s="24" t="s">
        <v>395</v>
      </c>
      <c r="J376" s="39">
        <v>1.0889999999999999E-3</v>
      </c>
      <c r="N376" s="41">
        <f>IF(I376=Dashboard!$C$17,1,0)</f>
        <v>0</v>
      </c>
      <c r="O376" s="51">
        <f t="shared" si="29"/>
        <v>0</v>
      </c>
    </row>
    <row r="377" spans="1:15" x14ac:dyDescent="0.25">
      <c r="A377" s="24" t="s">
        <v>396</v>
      </c>
      <c r="B377" s="39">
        <v>1.967E-3</v>
      </c>
      <c r="F377" s="41">
        <f>IF(A377=Dashboard!$C$17,1,0)</f>
        <v>0</v>
      </c>
      <c r="G377" s="51">
        <f t="shared" si="28"/>
        <v>0</v>
      </c>
      <c r="H377" s="51"/>
      <c r="I377" s="24" t="s">
        <v>396</v>
      </c>
      <c r="J377" s="39">
        <v>1.967E-3</v>
      </c>
      <c r="N377" s="41">
        <f>IF(I377=Dashboard!$C$17,1,0)</f>
        <v>0</v>
      </c>
      <c r="O377" s="51">
        <f t="shared" si="29"/>
        <v>0</v>
      </c>
    </row>
    <row r="378" spans="1:15" x14ac:dyDescent="0.25">
      <c r="A378" s="24" t="s">
        <v>397</v>
      </c>
      <c r="B378" s="39">
        <v>1.3209999999999999E-3</v>
      </c>
      <c r="F378" s="41">
        <f>IF(A378=Dashboard!$C$17,1,0)</f>
        <v>0</v>
      </c>
      <c r="G378" s="51">
        <f t="shared" si="28"/>
        <v>0</v>
      </c>
      <c r="H378" s="51"/>
      <c r="I378" s="24" t="s">
        <v>397</v>
      </c>
      <c r="J378" s="39">
        <v>1.3209999999999999E-3</v>
      </c>
      <c r="N378" s="41">
        <f>IF(I378=Dashboard!$C$17,1,0)</f>
        <v>0</v>
      </c>
      <c r="O378" s="51">
        <f t="shared" si="29"/>
        <v>0</v>
      </c>
    </row>
    <row r="379" spans="1:15" x14ac:dyDescent="0.25">
      <c r="A379" s="24" t="s">
        <v>398</v>
      </c>
      <c r="B379" s="39">
        <v>1.034E-3</v>
      </c>
      <c r="F379" s="41">
        <f>IF(A379=Dashboard!$C$17,1,0)</f>
        <v>0</v>
      </c>
      <c r="G379" s="51">
        <f t="shared" si="28"/>
        <v>0</v>
      </c>
      <c r="H379" s="51"/>
      <c r="I379" s="24" t="s">
        <v>398</v>
      </c>
      <c r="J379" s="39">
        <v>1.034E-3</v>
      </c>
      <c r="N379" s="41">
        <f>IF(I379=Dashboard!$C$17,1,0)</f>
        <v>0</v>
      </c>
      <c r="O379" s="51">
        <f t="shared" si="29"/>
        <v>0</v>
      </c>
    </row>
    <row r="380" spans="1:15" x14ac:dyDescent="0.25">
      <c r="A380" s="24" t="s">
        <v>399</v>
      </c>
      <c r="B380" s="39">
        <v>1.1590000000000001E-3</v>
      </c>
      <c r="F380" s="41">
        <f>IF(A380=Dashboard!$C$17,1,0)</f>
        <v>0</v>
      </c>
      <c r="G380" s="51">
        <f t="shared" si="28"/>
        <v>0</v>
      </c>
      <c r="H380" s="51"/>
      <c r="I380" s="24" t="s">
        <v>399</v>
      </c>
      <c r="J380" s="39">
        <v>1.1590000000000001E-3</v>
      </c>
      <c r="N380" s="41">
        <f>IF(I380=Dashboard!$C$17,1,0)</f>
        <v>0</v>
      </c>
      <c r="O380" s="51">
        <f t="shared" si="29"/>
        <v>0</v>
      </c>
    </row>
    <row r="381" spans="1:15" x14ac:dyDescent="0.25">
      <c r="A381" s="24" t="s">
        <v>400</v>
      </c>
      <c r="B381" s="39">
        <v>1.5260000000000002E-3</v>
      </c>
      <c r="F381" s="41">
        <f>IF(A381=Dashboard!$C$17,1,0)</f>
        <v>0</v>
      </c>
      <c r="G381" s="51">
        <f t="shared" si="28"/>
        <v>0</v>
      </c>
      <c r="H381" s="51"/>
      <c r="I381" s="24" t="s">
        <v>400</v>
      </c>
      <c r="J381" s="39">
        <v>1.5260000000000002E-3</v>
      </c>
      <c r="N381" s="41">
        <f>IF(I381=Dashboard!$C$17,1,0)</f>
        <v>0</v>
      </c>
      <c r="O381" s="51">
        <f t="shared" si="29"/>
        <v>0</v>
      </c>
    </row>
    <row r="382" spans="1:15" x14ac:dyDescent="0.25">
      <c r="A382" s="24" t="s">
        <v>401</v>
      </c>
      <c r="B382" s="39">
        <v>1.0939999999999999E-3</v>
      </c>
      <c r="F382" s="41">
        <f>IF(A382=Dashboard!$C$17,1,0)</f>
        <v>0</v>
      </c>
      <c r="G382" s="51">
        <f t="shared" si="28"/>
        <v>0</v>
      </c>
      <c r="H382" s="51"/>
      <c r="I382" s="24" t="s">
        <v>401</v>
      </c>
      <c r="J382" s="39">
        <v>1.0939999999999999E-3</v>
      </c>
      <c r="N382" s="41">
        <f>IF(I382=Dashboard!$C$17,1,0)</f>
        <v>0</v>
      </c>
      <c r="O382" s="51">
        <f t="shared" si="29"/>
        <v>0</v>
      </c>
    </row>
    <row r="383" spans="1:15" x14ac:dyDescent="0.25">
      <c r="A383" s="24" t="s">
        <v>402</v>
      </c>
      <c r="B383" s="39">
        <v>2.4129999999999998E-3</v>
      </c>
      <c r="F383" s="41">
        <f>IF(A383=Dashboard!$C$17,1,0)</f>
        <v>0</v>
      </c>
      <c r="G383" s="51">
        <f t="shared" si="28"/>
        <v>0</v>
      </c>
      <c r="H383" s="51"/>
      <c r="I383" s="24" t="s">
        <v>402</v>
      </c>
      <c r="J383" s="39">
        <v>2.4129999999999998E-3</v>
      </c>
      <c r="N383" s="41">
        <f>IF(I383=Dashboard!$C$17,1,0)</f>
        <v>0</v>
      </c>
      <c r="O383" s="51">
        <f t="shared" si="29"/>
        <v>0</v>
      </c>
    </row>
    <row r="384" spans="1:15" x14ac:dyDescent="0.25">
      <c r="A384" s="24" t="s">
        <v>403</v>
      </c>
      <c r="B384" s="39">
        <v>1.44345E-3</v>
      </c>
      <c r="F384" s="41">
        <f>IF(A384=Dashboard!$C$17,1,0)</f>
        <v>0</v>
      </c>
      <c r="G384" s="51">
        <f t="shared" si="28"/>
        <v>0</v>
      </c>
      <c r="H384" s="51"/>
      <c r="I384" s="24" t="s">
        <v>403</v>
      </c>
      <c r="J384" s="39">
        <v>1.44345E-3</v>
      </c>
      <c r="N384" s="41">
        <f>IF(I384=Dashboard!$C$17,1,0)</f>
        <v>0</v>
      </c>
      <c r="O384" s="51">
        <f t="shared" si="29"/>
        <v>0</v>
      </c>
    </row>
    <row r="385" spans="1:15" x14ac:dyDescent="0.25">
      <c r="A385" s="24" t="s">
        <v>404</v>
      </c>
      <c r="B385" s="39">
        <v>1.2929999999999999E-3</v>
      </c>
      <c r="F385" s="41">
        <f>IF(A385=Dashboard!$C$17,1,0)</f>
        <v>0</v>
      </c>
      <c r="G385" s="51">
        <f t="shared" si="28"/>
        <v>0</v>
      </c>
      <c r="H385" s="51"/>
      <c r="I385" s="24" t="s">
        <v>404</v>
      </c>
      <c r="J385" s="39">
        <v>1.2929999999999999E-3</v>
      </c>
      <c r="N385" s="41">
        <f>IF(I385=Dashboard!$C$17,1,0)</f>
        <v>0</v>
      </c>
      <c r="O385" s="51">
        <f t="shared" si="29"/>
        <v>0</v>
      </c>
    </row>
    <row r="386" spans="1:15" x14ac:dyDescent="0.25">
      <c r="A386" s="24" t="s">
        <v>405</v>
      </c>
      <c r="B386" s="39">
        <v>1.2038999999999999E-3</v>
      </c>
      <c r="F386" s="41">
        <f>IF(A386=Dashboard!$C$17,1,0)</f>
        <v>0</v>
      </c>
      <c r="G386" s="51">
        <f t="shared" si="28"/>
        <v>0</v>
      </c>
      <c r="H386" s="51"/>
      <c r="I386" s="24" t="s">
        <v>405</v>
      </c>
      <c r="J386" s="39">
        <v>1.2038999999999999E-3</v>
      </c>
      <c r="N386" s="41">
        <f>IF(I386=Dashboard!$C$17,1,0)</f>
        <v>0</v>
      </c>
      <c r="O386" s="51">
        <f t="shared" si="29"/>
        <v>0</v>
      </c>
    </row>
    <row r="387" spans="1:15" x14ac:dyDescent="0.25">
      <c r="A387" s="24" t="s">
        <v>406</v>
      </c>
      <c r="B387" s="39">
        <v>1.5509999999999999E-3</v>
      </c>
      <c r="F387" s="41">
        <f>IF(A387=Dashboard!$C$17,1,0)</f>
        <v>0</v>
      </c>
      <c r="G387" s="51">
        <f t="shared" si="28"/>
        <v>0</v>
      </c>
      <c r="H387" s="51"/>
      <c r="I387" s="24" t="s">
        <v>406</v>
      </c>
      <c r="J387" s="39">
        <v>1.5509999999999999E-3</v>
      </c>
      <c r="N387" s="41">
        <f>IF(I387=Dashboard!$C$17,1,0)</f>
        <v>0</v>
      </c>
      <c r="O387" s="51">
        <f t="shared" si="29"/>
        <v>0</v>
      </c>
    </row>
    <row r="388" spans="1:15" x14ac:dyDescent="0.25">
      <c r="A388" s="24" t="s">
        <v>407</v>
      </c>
      <c r="B388" s="39">
        <v>1.225E-3</v>
      </c>
      <c r="F388" s="41">
        <f>IF(A388=Dashboard!$C$17,1,0)</f>
        <v>0</v>
      </c>
      <c r="G388" s="51">
        <f t="shared" si="28"/>
        <v>0</v>
      </c>
      <c r="H388" s="51"/>
      <c r="I388" s="24" t="s">
        <v>407</v>
      </c>
      <c r="J388" s="39">
        <v>1.225E-3</v>
      </c>
      <c r="N388" s="41">
        <f>IF(I388=Dashboard!$C$17,1,0)</f>
        <v>0</v>
      </c>
      <c r="O388" s="51">
        <f t="shared" si="29"/>
        <v>0</v>
      </c>
    </row>
    <row r="389" spans="1:15" x14ac:dyDescent="0.25">
      <c r="A389" s="24" t="s">
        <v>408</v>
      </c>
      <c r="B389" s="39">
        <v>8.6900000000000009E-4</v>
      </c>
      <c r="F389" s="41">
        <f>IF(A389=Dashboard!$C$17,1,0)</f>
        <v>0</v>
      </c>
      <c r="G389" s="51">
        <f t="shared" si="28"/>
        <v>0</v>
      </c>
      <c r="H389" s="51"/>
      <c r="I389" s="24" t="s">
        <v>408</v>
      </c>
      <c r="J389" s="39">
        <v>8.6900000000000009E-4</v>
      </c>
      <c r="N389" s="41">
        <f>IF(I389=Dashboard!$C$17,1,0)</f>
        <v>0</v>
      </c>
      <c r="O389" s="51">
        <f t="shared" si="29"/>
        <v>0</v>
      </c>
    </row>
    <row r="390" spans="1:15" x14ac:dyDescent="0.25">
      <c r="A390" s="24" t="s">
        <v>409</v>
      </c>
      <c r="B390" s="39">
        <v>1.7033999999999999E-3</v>
      </c>
      <c r="F390" s="41">
        <f>IF(A390=Dashboard!$C$17,1,0)</f>
        <v>0</v>
      </c>
      <c r="G390" s="51">
        <f t="shared" si="28"/>
        <v>0</v>
      </c>
      <c r="H390" s="51"/>
      <c r="I390" s="24" t="s">
        <v>409</v>
      </c>
      <c r="J390" s="39">
        <v>1.7033999999999999E-3</v>
      </c>
      <c r="N390" s="41">
        <f>IF(I390=Dashboard!$C$17,1,0)</f>
        <v>0</v>
      </c>
      <c r="O390" s="51">
        <f t="shared" si="29"/>
        <v>0</v>
      </c>
    </row>
    <row r="391" spans="1:15" x14ac:dyDescent="0.25">
      <c r="A391" s="24" t="s">
        <v>410</v>
      </c>
      <c r="B391" s="39">
        <v>8.7799999999999998E-4</v>
      </c>
      <c r="F391" s="41">
        <f>IF(A391=Dashboard!$C$17,1,0)</f>
        <v>0</v>
      </c>
      <c r="G391" s="51">
        <f t="shared" si="28"/>
        <v>0</v>
      </c>
      <c r="H391" s="51"/>
      <c r="I391" s="24" t="s">
        <v>410</v>
      </c>
      <c r="J391" s="39">
        <v>8.7799999999999998E-4</v>
      </c>
      <c r="N391" s="41">
        <f>IF(I391=Dashboard!$C$17,1,0)</f>
        <v>0</v>
      </c>
      <c r="O391" s="51">
        <f t="shared" si="29"/>
        <v>0</v>
      </c>
    </row>
    <row r="392" spans="1:15" x14ac:dyDescent="0.25">
      <c r="A392" s="24" t="s">
        <v>411</v>
      </c>
      <c r="B392" s="39">
        <v>1.5559999999999999E-3</v>
      </c>
      <c r="F392" s="41">
        <f>IF(A392=Dashboard!$C$17,1,0)</f>
        <v>0</v>
      </c>
      <c r="G392" s="51">
        <f t="shared" si="28"/>
        <v>0</v>
      </c>
      <c r="H392" s="51"/>
      <c r="I392" s="24" t="s">
        <v>411</v>
      </c>
      <c r="J392" s="39">
        <v>1.5559999999999999E-3</v>
      </c>
      <c r="N392" s="41">
        <f>IF(I392=Dashboard!$C$17,1,0)</f>
        <v>0</v>
      </c>
      <c r="O392" s="51">
        <f t="shared" si="29"/>
        <v>0</v>
      </c>
    </row>
    <row r="393" spans="1:15" x14ac:dyDescent="0.25">
      <c r="A393" s="24" t="s">
        <v>412</v>
      </c>
      <c r="B393" s="39">
        <v>1.2409999999999999E-3</v>
      </c>
      <c r="F393" s="41">
        <f>IF(A393=Dashboard!$C$17,1,0)</f>
        <v>0</v>
      </c>
      <c r="G393" s="51">
        <f t="shared" si="28"/>
        <v>0</v>
      </c>
      <c r="H393" s="51"/>
      <c r="I393" s="24" t="s">
        <v>412</v>
      </c>
      <c r="J393" s="39">
        <v>1.2409999999999999E-3</v>
      </c>
      <c r="N393" s="41">
        <f>IF(I393=Dashboard!$C$17,1,0)</f>
        <v>0</v>
      </c>
      <c r="O393" s="51">
        <f t="shared" si="29"/>
        <v>0</v>
      </c>
    </row>
    <row r="394" spans="1:15" x14ac:dyDescent="0.25">
      <c r="A394" s="24" t="s">
        <v>413</v>
      </c>
      <c r="B394" s="39">
        <v>1.3420000000000001E-3</v>
      </c>
      <c r="F394" s="41">
        <f>IF(A394=Dashboard!$C$17,1,0)</f>
        <v>0</v>
      </c>
      <c r="G394" s="51">
        <f t="shared" si="28"/>
        <v>0</v>
      </c>
      <c r="H394" s="51"/>
      <c r="I394" s="24" t="s">
        <v>413</v>
      </c>
      <c r="J394" s="39">
        <v>1.3420000000000001E-3</v>
      </c>
      <c r="N394" s="41">
        <f>IF(I394=Dashboard!$C$17,1,0)</f>
        <v>0</v>
      </c>
      <c r="O394" s="51">
        <f t="shared" si="29"/>
        <v>0</v>
      </c>
    </row>
    <row r="395" spans="1:15" x14ac:dyDescent="0.25">
      <c r="A395" s="24" t="s">
        <v>414</v>
      </c>
      <c r="B395" s="39">
        <v>1.1749999999999998E-3</v>
      </c>
      <c r="F395" s="41">
        <f>IF(A395=Dashboard!$C$17,1,0)</f>
        <v>0</v>
      </c>
      <c r="G395" s="51">
        <f t="shared" si="28"/>
        <v>0</v>
      </c>
      <c r="H395" s="51"/>
      <c r="I395" s="24" t="s">
        <v>414</v>
      </c>
      <c r="J395" s="39">
        <v>1.1749999999999998E-3</v>
      </c>
      <c r="N395" s="41">
        <f>IF(I395=Dashboard!$C$17,1,0)</f>
        <v>0</v>
      </c>
      <c r="O395" s="51">
        <f t="shared" si="29"/>
        <v>0</v>
      </c>
    </row>
    <row r="396" spans="1:15" x14ac:dyDescent="0.25">
      <c r="A396" s="24" t="s">
        <v>415</v>
      </c>
      <c r="B396" s="39">
        <v>2.5280000000000003E-3</v>
      </c>
      <c r="F396" s="41">
        <f>IF(A396=Dashboard!$C$17,1,0)</f>
        <v>0</v>
      </c>
      <c r="G396" s="51">
        <f t="shared" si="28"/>
        <v>0</v>
      </c>
      <c r="H396" s="51"/>
      <c r="I396" s="24" t="s">
        <v>415</v>
      </c>
      <c r="J396" s="39">
        <v>2.5280000000000003E-3</v>
      </c>
      <c r="N396" s="41">
        <f>IF(I396=Dashboard!$C$17,1,0)</f>
        <v>0</v>
      </c>
      <c r="O396" s="51">
        <f t="shared" si="29"/>
        <v>0</v>
      </c>
    </row>
    <row r="397" spans="1:15" x14ac:dyDescent="0.25">
      <c r="A397" s="24" t="s">
        <v>416</v>
      </c>
      <c r="B397" s="39">
        <v>1.31E-3</v>
      </c>
      <c r="F397" s="41">
        <f>IF(A397=Dashboard!$C$17,1,0)</f>
        <v>0</v>
      </c>
      <c r="G397" s="51">
        <f t="shared" si="28"/>
        <v>0</v>
      </c>
      <c r="H397" s="51"/>
      <c r="I397" s="24" t="s">
        <v>416</v>
      </c>
      <c r="J397" s="39">
        <v>1.31E-3</v>
      </c>
      <c r="N397" s="41">
        <f>IF(I397=Dashboard!$C$17,1,0)</f>
        <v>0</v>
      </c>
      <c r="O397" s="51">
        <f t="shared" si="29"/>
        <v>0</v>
      </c>
    </row>
    <row r="398" spans="1:15" x14ac:dyDescent="0.25">
      <c r="A398" s="24" t="s">
        <v>417</v>
      </c>
      <c r="B398" s="39">
        <v>1.2321999999999999E-3</v>
      </c>
      <c r="F398" s="41">
        <f>IF(A398=Dashboard!$C$17,1,0)</f>
        <v>0</v>
      </c>
      <c r="G398" s="51">
        <f t="shared" si="28"/>
        <v>0</v>
      </c>
      <c r="H398" s="51"/>
      <c r="I398" s="24" t="s">
        <v>417</v>
      </c>
      <c r="J398" s="39">
        <v>1.2321999999999999E-3</v>
      </c>
      <c r="N398" s="41">
        <f>IF(I398=Dashboard!$C$17,1,0)</f>
        <v>0</v>
      </c>
      <c r="O398" s="51">
        <f t="shared" si="29"/>
        <v>0</v>
      </c>
    </row>
    <row r="399" spans="1:15" x14ac:dyDescent="0.25">
      <c r="A399" s="24" t="s">
        <v>418</v>
      </c>
      <c r="B399" s="39">
        <v>1.7360000000000001E-3</v>
      </c>
      <c r="F399" s="41">
        <f>IF(A399=Dashboard!$C$17,1,0)</f>
        <v>0</v>
      </c>
      <c r="G399" s="51">
        <f t="shared" si="28"/>
        <v>0</v>
      </c>
      <c r="H399" s="51"/>
      <c r="I399" s="24" t="s">
        <v>418</v>
      </c>
      <c r="J399" s="39">
        <v>1.7360000000000001E-3</v>
      </c>
      <c r="N399" s="41">
        <f>IF(I399=Dashboard!$C$17,1,0)</f>
        <v>0</v>
      </c>
      <c r="O399" s="51">
        <f t="shared" si="29"/>
        <v>0</v>
      </c>
    </row>
    <row r="400" spans="1:15" x14ac:dyDescent="0.25">
      <c r="A400" s="24" t="s">
        <v>419</v>
      </c>
      <c r="B400" s="39">
        <v>9.8499999999999998E-4</v>
      </c>
      <c r="F400" s="41">
        <f>IF(A400=Dashboard!$C$17,1,0)</f>
        <v>0</v>
      </c>
      <c r="G400" s="51">
        <f t="shared" si="28"/>
        <v>0</v>
      </c>
      <c r="H400" s="51"/>
      <c r="I400" s="24" t="s">
        <v>419</v>
      </c>
      <c r="J400" s="39">
        <v>9.8499999999999998E-4</v>
      </c>
      <c r="N400" s="41">
        <f>IF(I400=Dashboard!$C$17,1,0)</f>
        <v>0</v>
      </c>
      <c r="O400" s="51">
        <f t="shared" si="29"/>
        <v>0</v>
      </c>
    </row>
    <row r="401" spans="1:15" x14ac:dyDescent="0.25">
      <c r="A401" s="24" t="s">
        <v>420</v>
      </c>
      <c r="B401" s="39">
        <v>1.9189999999999999E-3</v>
      </c>
      <c r="F401" s="41">
        <f>IF(A401=Dashboard!$C$17,1,0)</f>
        <v>0</v>
      </c>
      <c r="G401" s="51">
        <f t="shared" si="28"/>
        <v>0</v>
      </c>
      <c r="H401" s="51"/>
      <c r="I401" s="24" t="s">
        <v>420</v>
      </c>
      <c r="J401" s="39">
        <v>1.9189999999999999E-3</v>
      </c>
      <c r="N401" s="41">
        <f>IF(I401=Dashboard!$C$17,1,0)</f>
        <v>0</v>
      </c>
      <c r="O401" s="51">
        <f t="shared" si="29"/>
        <v>0</v>
      </c>
    </row>
    <row r="402" spans="1:15" x14ac:dyDescent="0.25">
      <c r="A402" s="24" t="s">
        <v>421</v>
      </c>
      <c r="B402" s="39">
        <v>1.2700000000000001E-3</v>
      </c>
      <c r="F402" s="41">
        <f>IF(A402=Dashboard!$C$17,1,0)</f>
        <v>0</v>
      </c>
      <c r="G402" s="51">
        <f t="shared" si="28"/>
        <v>0</v>
      </c>
      <c r="H402" s="51"/>
      <c r="I402" s="24" t="s">
        <v>421</v>
      </c>
      <c r="J402" s="39">
        <v>1.2700000000000001E-3</v>
      </c>
      <c r="N402" s="41">
        <f>IF(I402=Dashboard!$C$17,1,0)</f>
        <v>0</v>
      </c>
      <c r="O402" s="51">
        <f t="shared" si="29"/>
        <v>0</v>
      </c>
    </row>
    <row r="403" spans="1:15" x14ac:dyDescent="0.25">
      <c r="A403" s="24" t="s">
        <v>422</v>
      </c>
      <c r="B403" s="39">
        <v>1.1720000000000001E-3</v>
      </c>
      <c r="F403" s="41">
        <f>IF(A403=Dashboard!$C$17,1,0)</f>
        <v>0</v>
      </c>
      <c r="G403" s="51">
        <f t="shared" si="28"/>
        <v>0</v>
      </c>
      <c r="H403" s="51"/>
      <c r="I403" s="24" t="s">
        <v>422</v>
      </c>
      <c r="J403" s="39">
        <v>1.1720000000000001E-3</v>
      </c>
      <c r="N403" s="41">
        <f>IF(I403=Dashboard!$C$17,1,0)</f>
        <v>0</v>
      </c>
      <c r="O403" s="51">
        <f t="shared" si="29"/>
        <v>0</v>
      </c>
    </row>
    <row r="404" spans="1:15" x14ac:dyDescent="0.25">
      <c r="A404" s="24" t="s">
        <v>423</v>
      </c>
      <c r="B404" s="39">
        <v>1.183E-3</v>
      </c>
      <c r="F404" s="41">
        <f>IF(A404=Dashboard!$C$17,1,0)</f>
        <v>0</v>
      </c>
      <c r="G404" s="51">
        <f t="shared" si="28"/>
        <v>0</v>
      </c>
      <c r="H404" s="51"/>
      <c r="I404" s="24" t="s">
        <v>423</v>
      </c>
      <c r="J404" s="39">
        <v>1.183E-3</v>
      </c>
      <c r="N404" s="41">
        <f>IF(I404=Dashboard!$C$17,1,0)</f>
        <v>0</v>
      </c>
      <c r="O404" s="51">
        <f t="shared" si="29"/>
        <v>0</v>
      </c>
    </row>
    <row r="405" spans="1:15" x14ac:dyDescent="0.25">
      <c r="A405" s="24" t="s">
        <v>424</v>
      </c>
      <c r="B405" s="39">
        <v>1.1740000000000001E-3</v>
      </c>
      <c r="F405" s="41">
        <f>IF(A405=Dashboard!$C$17,1,0)</f>
        <v>0</v>
      </c>
      <c r="G405" s="51">
        <f t="shared" si="28"/>
        <v>0</v>
      </c>
      <c r="H405" s="51"/>
      <c r="I405" s="24" t="s">
        <v>424</v>
      </c>
      <c r="J405" s="39">
        <v>1.1740000000000001E-3</v>
      </c>
      <c r="N405" s="41">
        <f>IF(I405=Dashboard!$C$17,1,0)</f>
        <v>0</v>
      </c>
      <c r="O405" s="51">
        <f t="shared" si="29"/>
        <v>0</v>
      </c>
    </row>
    <row r="406" spans="1:15" x14ac:dyDescent="0.25">
      <c r="A406" s="24" t="s">
        <v>425</v>
      </c>
      <c r="B406" s="39">
        <v>1.062E-3</v>
      </c>
      <c r="F406" s="41">
        <f>IF(A406=Dashboard!$C$17,1,0)</f>
        <v>0</v>
      </c>
      <c r="G406" s="51">
        <f t="shared" si="28"/>
        <v>0</v>
      </c>
      <c r="H406" s="51"/>
      <c r="I406" s="24" t="s">
        <v>425</v>
      </c>
      <c r="J406" s="39">
        <v>1.062E-3</v>
      </c>
      <c r="N406" s="41">
        <f>IF(I406=Dashboard!$C$17,1,0)</f>
        <v>0</v>
      </c>
      <c r="O406" s="51">
        <f t="shared" si="29"/>
        <v>0</v>
      </c>
    </row>
    <row r="407" spans="1:15" x14ac:dyDescent="0.25">
      <c r="A407" s="24" t="s">
        <v>426</v>
      </c>
      <c r="B407" s="39">
        <v>1.157E-3</v>
      </c>
      <c r="F407" s="41">
        <f>IF(A407=Dashboard!$C$17,1,0)</f>
        <v>0</v>
      </c>
      <c r="G407" s="51">
        <f t="shared" si="28"/>
        <v>0</v>
      </c>
      <c r="H407" s="51"/>
      <c r="I407" s="24" t="s">
        <v>426</v>
      </c>
      <c r="J407" s="39">
        <v>1.157E-3</v>
      </c>
      <c r="N407" s="41">
        <f>IF(I407=Dashboard!$C$17,1,0)</f>
        <v>0</v>
      </c>
      <c r="O407" s="51">
        <f t="shared" si="29"/>
        <v>0</v>
      </c>
    </row>
    <row r="408" spans="1:15" x14ac:dyDescent="0.25">
      <c r="A408" s="24" t="s">
        <v>427</v>
      </c>
      <c r="B408" s="39">
        <v>1.1899999999999999E-3</v>
      </c>
      <c r="F408" s="41">
        <f>IF(A408=Dashboard!$C$17,1,0)</f>
        <v>0</v>
      </c>
      <c r="G408" s="51">
        <f t="shared" si="28"/>
        <v>0</v>
      </c>
      <c r="H408" s="51"/>
      <c r="I408" s="24" t="s">
        <v>427</v>
      </c>
      <c r="J408" s="39">
        <v>1.1899999999999999E-3</v>
      </c>
      <c r="N408" s="41">
        <f>IF(I408=Dashboard!$C$17,1,0)</f>
        <v>0</v>
      </c>
      <c r="O408" s="51">
        <f t="shared" si="29"/>
        <v>0</v>
      </c>
    </row>
    <row r="409" spans="1:15" x14ac:dyDescent="0.25">
      <c r="A409" s="24" t="s">
        <v>428</v>
      </c>
      <c r="B409" s="39">
        <v>1.4154E-3</v>
      </c>
      <c r="F409" s="41">
        <f>IF(A409=Dashboard!$C$17,1,0)</f>
        <v>0</v>
      </c>
      <c r="G409" s="51">
        <f t="shared" si="28"/>
        <v>0</v>
      </c>
      <c r="H409" s="51"/>
      <c r="I409" s="24" t="s">
        <v>428</v>
      </c>
      <c r="J409" s="39">
        <v>1.4154E-3</v>
      </c>
      <c r="N409" s="41">
        <f>IF(I409=Dashboard!$C$17,1,0)</f>
        <v>0</v>
      </c>
      <c r="O409" s="51">
        <f t="shared" si="29"/>
        <v>0</v>
      </c>
    </row>
    <row r="410" spans="1:15" x14ac:dyDescent="0.25">
      <c r="A410" s="24" t="s">
        <v>429</v>
      </c>
      <c r="B410" s="39">
        <v>1.5149999999999999E-3</v>
      </c>
      <c r="F410" s="41">
        <f>IF(A410=Dashboard!$C$17,1,0)</f>
        <v>0</v>
      </c>
      <c r="G410" s="51">
        <f t="shared" si="28"/>
        <v>0</v>
      </c>
      <c r="H410" s="51"/>
      <c r="I410" s="24" t="s">
        <v>429</v>
      </c>
      <c r="J410" s="39">
        <v>1.5149999999999999E-3</v>
      </c>
      <c r="N410" s="41">
        <f>IF(I410=Dashboard!$C$17,1,0)</f>
        <v>0</v>
      </c>
      <c r="O410" s="51">
        <f t="shared" si="29"/>
        <v>0</v>
      </c>
    </row>
    <row r="411" spans="1:15" x14ac:dyDescent="0.25">
      <c r="A411" s="24" t="s">
        <v>430</v>
      </c>
      <c r="B411" s="39">
        <v>9.2000000000000003E-4</v>
      </c>
      <c r="F411" s="41">
        <f>IF(A411=Dashboard!$C$17,1,0)</f>
        <v>0</v>
      </c>
      <c r="G411" s="51">
        <f t="shared" si="28"/>
        <v>0</v>
      </c>
      <c r="H411" s="51"/>
      <c r="I411" s="24" t="s">
        <v>430</v>
      </c>
      <c r="J411" s="39">
        <v>9.2000000000000003E-4</v>
      </c>
      <c r="N411" s="41">
        <f>IF(I411=Dashboard!$C$17,1,0)</f>
        <v>0</v>
      </c>
      <c r="O411" s="51">
        <f t="shared" si="29"/>
        <v>0</v>
      </c>
    </row>
    <row r="412" spans="1:15" x14ac:dyDescent="0.25">
      <c r="A412" s="24" t="s">
        <v>431</v>
      </c>
      <c r="B412" s="39">
        <v>1.1720000000000001E-3</v>
      </c>
      <c r="F412" s="41">
        <f>IF(A412=Dashboard!$C$17,1,0)</f>
        <v>0</v>
      </c>
      <c r="G412" s="51">
        <f t="shared" ref="G412:G475" si="30">F412*B412</f>
        <v>0</v>
      </c>
      <c r="H412" s="51"/>
      <c r="I412" s="24" t="s">
        <v>431</v>
      </c>
      <c r="J412" s="39">
        <v>1.1720000000000001E-3</v>
      </c>
      <c r="N412" s="41">
        <f>IF(I412=Dashboard!$C$17,1,0)</f>
        <v>0</v>
      </c>
      <c r="O412" s="51">
        <f t="shared" ref="O412:O475" si="31">N412*J412</f>
        <v>0</v>
      </c>
    </row>
    <row r="413" spans="1:15" x14ac:dyDescent="0.25">
      <c r="A413" s="24" t="s">
        <v>432</v>
      </c>
      <c r="B413" s="39">
        <v>1.098E-3</v>
      </c>
      <c r="F413" s="41">
        <f>IF(A413=Dashboard!$C$17,1,0)</f>
        <v>0</v>
      </c>
      <c r="G413" s="51">
        <f t="shared" si="30"/>
        <v>0</v>
      </c>
      <c r="H413" s="51"/>
      <c r="I413" s="24" t="s">
        <v>432</v>
      </c>
      <c r="J413" s="39">
        <v>1.098E-3</v>
      </c>
      <c r="N413" s="41">
        <f>IF(I413=Dashboard!$C$17,1,0)</f>
        <v>0</v>
      </c>
      <c r="O413" s="51">
        <f t="shared" si="31"/>
        <v>0</v>
      </c>
    </row>
    <row r="414" spans="1:15" x14ac:dyDescent="0.25">
      <c r="A414" s="24" t="s">
        <v>433</v>
      </c>
      <c r="B414" s="39">
        <v>1.3439999999999999E-3</v>
      </c>
      <c r="F414" s="41">
        <f>IF(A414=Dashboard!$C$17,1,0)</f>
        <v>0</v>
      </c>
      <c r="G414" s="51">
        <f t="shared" si="30"/>
        <v>0</v>
      </c>
      <c r="H414" s="51"/>
      <c r="I414" s="24" t="s">
        <v>433</v>
      </c>
      <c r="J414" s="39">
        <v>1.3439999999999999E-3</v>
      </c>
      <c r="N414" s="41">
        <f>IF(I414=Dashboard!$C$17,1,0)</f>
        <v>0</v>
      </c>
      <c r="O414" s="51">
        <f t="shared" si="31"/>
        <v>0</v>
      </c>
    </row>
    <row r="415" spans="1:15" x14ac:dyDescent="0.25">
      <c r="A415" s="24" t="s">
        <v>434</v>
      </c>
      <c r="B415" s="39">
        <v>1.013E-3</v>
      </c>
      <c r="F415" s="41">
        <f>IF(A415=Dashboard!$C$17,1,0)</f>
        <v>0</v>
      </c>
      <c r="G415" s="51">
        <f t="shared" si="30"/>
        <v>0</v>
      </c>
      <c r="H415" s="51"/>
      <c r="I415" s="24" t="s">
        <v>434</v>
      </c>
      <c r="J415" s="39">
        <v>1.013E-3</v>
      </c>
      <c r="N415" s="41">
        <f>IF(I415=Dashboard!$C$17,1,0)</f>
        <v>0</v>
      </c>
      <c r="O415" s="51">
        <f t="shared" si="31"/>
        <v>0</v>
      </c>
    </row>
    <row r="416" spans="1:15" x14ac:dyDescent="0.25">
      <c r="A416" s="24" t="s">
        <v>435</v>
      </c>
      <c r="B416" s="39">
        <v>1.9620000000000002E-3</v>
      </c>
      <c r="F416" s="41">
        <f>IF(A416=Dashboard!$C$17,1,0)</f>
        <v>0</v>
      </c>
      <c r="G416" s="51">
        <f t="shared" si="30"/>
        <v>0</v>
      </c>
      <c r="H416" s="51"/>
      <c r="I416" s="24" t="s">
        <v>435</v>
      </c>
      <c r="J416" s="39">
        <v>1.9620000000000002E-3</v>
      </c>
      <c r="N416" s="41">
        <f>IF(I416=Dashboard!$C$17,1,0)</f>
        <v>0</v>
      </c>
      <c r="O416" s="51">
        <f t="shared" si="31"/>
        <v>0</v>
      </c>
    </row>
    <row r="417" spans="1:15" x14ac:dyDescent="0.25">
      <c r="A417" s="24" t="s">
        <v>436</v>
      </c>
      <c r="B417" s="39">
        <v>1.139E-3</v>
      </c>
      <c r="F417" s="41">
        <f>IF(A417=Dashboard!$C$17,1,0)</f>
        <v>0</v>
      </c>
      <c r="G417" s="51">
        <f t="shared" si="30"/>
        <v>0</v>
      </c>
      <c r="H417" s="51"/>
      <c r="I417" s="24" t="s">
        <v>436</v>
      </c>
      <c r="J417" s="39">
        <v>1.139E-3</v>
      </c>
      <c r="N417" s="41">
        <f>IF(I417=Dashboard!$C$17,1,0)</f>
        <v>0</v>
      </c>
      <c r="O417" s="51">
        <f t="shared" si="31"/>
        <v>0</v>
      </c>
    </row>
    <row r="418" spans="1:15" x14ac:dyDescent="0.25">
      <c r="A418" s="24" t="s">
        <v>437</v>
      </c>
      <c r="B418" s="39">
        <v>1.23E-3</v>
      </c>
      <c r="F418" s="41">
        <f>IF(A418=Dashboard!$C$17,1,0)</f>
        <v>0</v>
      </c>
      <c r="G418" s="51">
        <f t="shared" si="30"/>
        <v>0</v>
      </c>
      <c r="H418" s="51"/>
      <c r="I418" s="24" t="s">
        <v>437</v>
      </c>
      <c r="J418" s="39">
        <v>1.23E-3</v>
      </c>
      <c r="N418" s="41">
        <f>IF(I418=Dashboard!$C$17,1,0)</f>
        <v>0</v>
      </c>
      <c r="O418" s="51">
        <f t="shared" si="31"/>
        <v>0</v>
      </c>
    </row>
    <row r="419" spans="1:15" x14ac:dyDescent="0.25">
      <c r="A419" s="24" t="s">
        <v>438</v>
      </c>
      <c r="B419" s="39">
        <v>8.2399999999999997E-4</v>
      </c>
      <c r="F419" s="41">
        <f>IF(A419=Dashboard!$C$17,1,0)</f>
        <v>0</v>
      </c>
      <c r="G419" s="51">
        <f t="shared" si="30"/>
        <v>0</v>
      </c>
      <c r="H419" s="51"/>
      <c r="I419" s="24" t="s">
        <v>438</v>
      </c>
      <c r="J419" s="39">
        <v>8.2399999999999997E-4</v>
      </c>
      <c r="N419" s="41">
        <f>IF(I419=Dashboard!$C$17,1,0)</f>
        <v>0</v>
      </c>
      <c r="O419" s="51">
        <f t="shared" si="31"/>
        <v>0</v>
      </c>
    </row>
    <row r="420" spans="1:15" x14ac:dyDescent="0.25">
      <c r="A420" s="24" t="s">
        <v>439</v>
      </c>
      <c r="B420" s="39">
        <v>1.2620000000000001E-3</v>
      </c>
      <c r="F420" s="41">
        <f>IF(A420=Dashboard!$C$17,1,0)</f>
        <v>0</v>
      </c>
      <c r="G420" s="51">
        <f t="shared" si="30"/>
        <v>0</v>
      </c>
      <c r="H420" s="51"/>
      <c r="I420" s="24" t="s">
        <v>439</v>
      </c>
      <c r="J420" s="39">
        <v>1.2620000000000001E-3</v>
      </c>
      <c r="N420" s="41">
        <f>IF(I420=Dashboard!$C$17,1,0)</f>
        <v>0</v>
      </c>
      <c r="O420" s="51">
        <f t="shared" si="31"/>
        <v>0</v>
      </c>
    </row>
    <row r="421" spans="1:15" x14ac:dyDescent="0.25">
      <c r="A421" s="24" t="s">
        <v>440</v>
      </c>
      <c r="B421" s="39">
        <v>1.103E-3</v>
      </c>
      <c r="F421" s="41">
        <f>IF(A421=Dashboard!$C$17,1,0)</f>
        <v>0</v>
      </c>
      <c r="G421" s="51">
        <f t="shared" si="30"/>
        <v>0</v>
      </c>
      <c r="H421" s="51"/>
      <c r="I421" s="24" t="s">
        <v>440</v>
      </c>
      <c r="J421" s="39">
        <v>1.103E-3</v>
      </c>
      <c r="N421" s="41">
        <f>IF(I421=Dashboard!$C$17,1,0)</f>
        <v>0</v>
      </c>
      <c r="O421" s="51">
        <f t="shared" si="31"/>
        <v>0</v>
      </c>
    </row>
    <row r="422" spans="1:15" x14ac:dyDescent="0.25">
      <c r="A422" s="24" t="s">
        <v>441</v>
      </c>
      <c r="B422" s="39">
        <v>1.204E-3</v>
      </c>
      <c r="F422" s="41">
        <f>IF(A422=Dashboard!$C$17,1,0)</f>
        <v>0</v>
      </c>
      <c r="G422" s="51">
        <f t="shared" si="30"/>
        <v>0</v>
      </c>
      <c r="H422" s="51"/>
      <c r="I422" s="24" t="s">
        <v>441</v>
      </c>
      <c r="J422" s="39">
        <v>1.204E-3</v>
      </c>
      <c r="N422" s="41">
        <f>IF(I422=Dashboard!$C$17,1,0)</f>
        <v>0</v>
      </c>
      <c r="O422" s="51">
        <f t="shared" si="31"/>
        <v>0</v>
      </c>
    </row>
    <row r="423" spans="1:15" x14ac:dyDescent="0.25">
      <c r="A423" s="24" t="s">
        <v>442</v>
      </c>
      <c r="B423" s="39">
        <v>8.0800000000000002E-4</v>
      </c>
      <c r="F423" s="41">
        <f>IF(A423=Dashboard!$C$17,1,0)</f>
        <v>0</v>
      </c>
      <c r="G423" s="51">
        <f t="shared" si="30"/>
        <v>0</v>
      </c>
      <c r="H423" s="51"/>
      <c r="I423" s="24" t="s">
        <v>442</v>
      </c>
      <c r="J423" s="39">
        <v>8.0800000000000002E-4</v>
      </c>
      <c r="N423" s="41">
        <f>IF(I423=Dashboard!$C$17,1,0)</f>
        <v>0</v>
      </c>
      <c r="O423" s="51">
        <f t="shared" si="31"/>
        <v>0</v>
      </c>
    </row>
    <row r="424" spans="1:15" x14ac:dyDescent="0.25">
      <c r="A424" s="24" t="s">
        <v>443</v>
      </c>
      <c r="B424" s="39">
        <v>1.147E-3</v>
      </c>
      <c r="F424" s="41">
        <f>IF(A424=Dashboard!$C$17,1,0)</f>
        <v>0</v>
      </c>
      <c r="G424" s="51">
        <f t="shared" si="30"/>
        <v>0</v>
      </c>
      <c r="H424" s="51"/>
      <c r="I424" s="24" t="s">
        <v>443</v>
      </c>
      <c r="J424" s="39">
        <v>1.147E-3</v>
      </c>
      <c r="N424" s="41">
        <f>IF(I424=Dashboard!$C$17,1,0)</f>
        <v>0</v>
      </c>
      <c r="O424" s="51">
        <f t="shared" si="31"/>
        <v>0</v>
      </c>
    </row>
    <row r="425" spans="1:15" x14ac:dyDescent="0.25">
      <c r="A425" s="24" t="s">
        <v>444</v>
      </c>
      <c r="B425" s="39">
        <v>1.374E-3</v>
      </c>
      <c r="F425" s="41">
        <f>IF(A425=Dashboard!$C$17,1,0)</f>
        <v>0</v>
      </c>
      <c r="G425" s="51">
        <f t="shared" si="30"/>
        <v>0</v>
      </c>
      <c r="H425" s="51"/>
      <c r="I425" s="24" t="s">
        <v>444</v>
      </c>
      <c r="J425" s="39">
        <v>1.374E-3</v>
      </c>
      <c r="N425" s="41">
        <f>IF(I425=Dashboard!$C$17,1,0)</f>
        <v>0</v>
      </c>
      <c r="O425" s="51">
        <f t="shared" si="31"/>
        <v>0</v>
      </c>
    </row>
    <row r="426" spans="1:15" x14ac:dyDescent="0.25">
      <c r="A426" s="24" t="s">
        <v>445</v>
      </c>
      <c r="B426" s="39">
        <v>1.4710000000000001E-3</v>
      </c>
      <c r="F426" s="41">
        <f>IF(A426=Dashboard!$C$17,1,0)</f>
        <v>0</v>
      </c>
      <c r="G426" s="51">
        <f t="shared" si="30"/>
        <v>0</v>
      </c>
      <c r="H426" s="51"/>
      <c r="I426" s="24" t="s">
        <v>445</v>
      </c>
      <c r="J426" s="39">
        <v>1.4710000000000001E-3</v>
      </c>
      <c r="N426" s="41">
        <f>IF(I426=Dashboard!$C$17,1,0)</f>
        <v>0</v>
      </c>
      <c r="O426" s="51">
        <f t="shared" si="31"/>
        <v>0</v>
      </c>
    </row>
    <row r="427" spans="1:15" x14ac:dyDescent="0.25">
      <c r="A427" s="24" t="s">
        <v>446</v>
      </c>
      <c r="B427" s="39">
        <v>1.2800000000000001E-3</v>
      </c>
      <c r="F427" s="41">
        <f>IF(A427=Dashboard!$C$17,1,0)</f>
        <v>0</v>
      </c>
      <c r="G427" s="51">
        <f t="shared" si="30"/>
        <v>0</v>
      </c>
      <c r="H427" s="51"/>
      <c r="I427" s="24" t="s">
        <v>446</v>
      </c>
      <c r="J427" s="39">
        <v>1.2800000000000001E-3</v>
      </c>
      <c r="N427" s="41">
        <f>IF(I427=Dashboard!$C$17,1,0)</f>
        <v>0</v>
      </c>
      <c r="O427" s="51">
        <f t="shared" si="31"/>
        <v>0</v>
      </c>
    </row>
    <row r="428" spans="1:15" x14ac:dyDescent="0.25">
      <c r="A428" s="24" t="s">
        <v>447</v>
      </c>
      <c r="B428" s="39">
        <v>1.364E-3</v>
      </c>
      <c r="F428" s="41">
        <f>IF(A428=Dashboard!$C$17,1,0)</f>
        <v>0</v>
      </c>
      <c r="G428" s="51">
        <f t="shared" si="30"/>
        <v>0</v>
      </c>
      <c r="H428" s="51"/>
      <c r="I428" s="24" t="s">
        <v>447</v>
      </c>
      <c r="J428" s="39">
        <v>1.364E-3</v>
      </c>
      <c r="N428" s="41">
        <f>IF(I428=Dashboard!$C$17,1,0)</f>
        <v>0</v>
      </c>
      <c r="O428" s="51">
        <f t="shared" si="31"/>
        <v>0</v>
      </c>
    </row>
    <row r="429" spans="1:15" x14ac:dyDescent="0.25">
      <c r="A429" s="24" t="s">
        <v>448</v>
      </c>
      <c r="B429" s="39">
        <v>1.077E-3</v>
      </c>
      <c r="F429" s="41">
        <f>IF(A429=Dashboard!$C$17,1,0)</f>
        <v>0</v>
      </c>
      <c r="G429" s="51">
        <f t="shared" si="30"/>
        <v>0</v>
      </c>
      <c r="H429" s="51"/>
      <c r="I429" s="24" t="s">
        <v>448</v>
      </c>
      <c r="J429" s="39">
        <v>1.077E-3</v>
      </c>
      <c r="N429" s="41">
        <f>IF(I429=Dashboard!$C$17,1,0)</f>
        <v>0</v>
      </c>
      <c r="O429" s="51">
        <f t="shared" si="31"/>
        <v>0</v>
      </c>
    </row>
    <row r="430" spans="1:15" x14ac:dyDescent="0.25">
      <c r="A430" s="24" t="s">
        <v>449</v>
      </c>
      <c r="B430" s="39">
        <v>1.2149999999999999E-3</v>
      </c>
      <c r="F430" s="41">
        <f>IF(A430=Dashboard!$C$17,1,0)</f>
        <v>0</v>
      </c>
      <c r="G430" s="51">
        <f t="shared" si="30"/>
        <v>0</v>
      </c>
      <c r="H430" s="51"/>
      <c r="I430" s="24" t="s">
        <v>449</v>
      </c>
      <c r="J430" s="39">
        <v>1.2149999999999999E-3</v>
      </c>
      <c r="N430" s="41">
        <f>IF(I430=Dashboard!$C$17,1,0)</f>
        <v>0</v>
      </c>
      <c r="O430" s="51">
        <f t="shared" si="31"/>
        <v>0</v>
      </c>
    </row>
    <row r="431" spans="1:15" x14ac:dyDescent="0.25">
      <c r="A431" s="24" t="s">
        <v>450</v>
      </c>
      <c r="B431" s="39">
        <v>1.245E-3</v>
      </c>
      <c r="F431" s="41">
        <f>IF(A431=Dashboard!$C$17,1,0)</f>
        <v>0</v>
      </c>
      <c r="G431" s="51">
        <f t="shared" si="30"/>
        <v>0</v>
      </c>
      <c r="H431" s="51"/>
      <c r="I431" s="24" t="s">
        <v>450</v>
      </c>
      <c r="J431" s="39">
        <v>1.245E-3</v>
      </c>
      <c r="N431" s="41">
        <f>IF(I431=Dashboard!$C$17,1,0)</f>
        <v>0</v>
      </c>
      <c r="O431" s="51">
        <f t="shared" si="31"/>
        <v>0</v>
      </c>
    </row>
    <row r="432" spans="1:15" x14ac:dyDescent="0.25">
      <c r="A432" s="24" t="s">
        <v>451</v>
      </c>
      <c r="B432" s="39">
        <v>1.482E-3</v>
      </c>
      <c r="F432" s="41">
        <f>IF(A432=Dashboard!$C$17,1,0)</f>
        <v>0</v>
      </c>
      <c r="G432" s="51">
        <f t="shared" si="30"/>
        <v>0</v>
      </c>
      <c r="H432" s="51"/>
      <c r="I432" s="24" t="s">
        <v>451</v>
      </c>
      <c r="J432" s="39">
        <v>1.482E-3</v>
      </c>
      <c r="N432" s="41">
        <f>IF(I432=Dashboard!$C$17,1,0)</f>
        <v>0</v>
      </c>
      <c r="O432" s="51">
        <f t="shared" si="31"/>
        <v>0</v>
      </c>
    </row>
    <row r="433" spans="1:15" x14ac:dyDescent="0.25">
      <c r="A433" s="24" t="s">
        <v>452</v>
      </c>
      <c r="B433" s="39">
        <v>1.1218999999999999E-3</v>
      </c>
      <c r="F433" s="41">
        <f>IF(A433=Dashboard!$C$17,1,0)</f>
        <v>0</v>
      </c>
      <c r="G433" s="51">
        <f t="shared" si="30"/>
        <v>0</v>
      </c>
      <c r="H433" s="51"/>
      <c r="I433" s="24" t="s">
        <v>452</v>
      </c>
      <c r="J433" s="39">
        <v>1.1218999999999999E-3</v>
      </c>
      <c r="N433" s="41">
        <f>IF(I433=Dashboard!$C$17,1,0)</f>
        <v>0</v>
      </c>
      <c r="O433" s="51">
        <f t="shared" si="31"/>
        <v>0</v>
      </c>
    </row>
    <row r="434" spans="1:15" x14ac:dyDescent="0.25">
      <c r="A434" s="24" t="s">
        <v>74</v>
      </c>
      <c r="B434" s="39">
        <v>1.3129999999999999E-3</v>
      </c>
      <c r="F434" s="41">
        <f>IF(A434=Dashboard!$C$17,1,0)</f>
        <v>0</v>
      </c>
      <c r="G434" s="51">
        <f t="shared" si="30"/>
        <v>0</v>
      </c>
      <c r="H434" s="51"/>
      <c r="I434" s="24" t="s">
        <v>74</v>
      </c>
      <c r="J434" s="39">
        <v>1.3129999999999999E-3</v>
      </c>
      <c r="N434" s="41">
        <f>IF(I434=Dashboard!$C$17,1,0)</f>
        <v>0</v>
      </c>
      <c r="O434" s="51">
        <f t="shared" si="31"/>
        <v>0</v>
      </c>
    </row>
    <row r="435" spans="1:15" x14ac:dyDescent="0.25">
      <c r="A435" s="24" t="s">
        <v>453</v>
      </c>
      <c r="B435" s="39">
        <v>1.07E-3</v>
      </c>
      <c r="F435" s="41">
        <f>IF(A435=Dashboard!$C$17,1,0)</f>
        <v>0</v>
      </c>
      <c r="G435" s="51">
        <f t="shared" si="30"/>
        <v>0</v>
      </c>
      <c r="H435" s="51"/>
      <c r="I435" s="24" t="s">
        <v>453</v>
      </c>
      <c r="J435" s="39">
        <v>1.07E-3</v>
      </c>
      <c r="N435" s="41">
        <f>IF(I435=Dashboard!$C$17,1,0)</f>
        <v>0</v>
      </c>
      <c r="O435" s="51">
        <f t="shared" si="31"/>
        <v>0</v>
      </c>
    </row>
    <row r="436" spans="1:15" x14ac:dyDescent="0.25">
      <c r="A436" s="24" t="s">
        <v>454</v>
      </c>
      <c r="B436" s="39">
        <v>1.1329999999999999E-3</v>
      </c>
      <c r="F436" s="41">
        <f>IF(A436=Dashboard!$C$17,1,0)</f>
        <v>0</v>
      </c>
      <c r="G436" s="51">
        <f t="shared" si="30"/>
        <v>0</v>
      </c>
      <c r="H436" s="51"/>
      <c r="I436" s="24" t="s">
        <v>454</v>
      </c>
      <c r="J436" s="39">
        <v>1.1329999999999999E-3</v>
      </c>
      <c r="N436" s="41">
        <f>IF(I436=Dashboard!$C$17,1,0)</f>
        <v>0</v>
      </c>
      <c r="O436" s="51">
        <f t="shared" si="31"/>
        <v>0</v>
      </c>
    </row>
    <row r="437" spans="1:15" x14ac:dyDescent="0.25">
      <c r="A437" s="24" t="s">
        <v>455</v>
      </c>
      <c r="B437" s="39">
        <v>1.2920000000000002E-3</v>
      </c>
      <c r="F437" s="41">
        <f>IF(A437=Dashboard!$C$17,1,0)</f>
        <v>0</v>
      </c>
      <c r="G437" s="51">
        <f t="shared" si="30"/>
        <v>0</v>
      </c>
      <c r="H437" s="51"/>
      <c r="I437" s="24" t="s">
        <v>455</v>
      </c>
      <c r="J437" s="39">
        <v>1.2920000000000002E-3</v>
      </c>
      <c r="N437" s="41">
        <f>IF(I437=Dashboard!$C$17,1,0)</f>
        <v>0</v>
      </c>
      <c r="O437" s="51">
        <f t="shared" si="31"/>
        <v>0</v>
      </c>
    </row>
    <row r="438" spans="1:15" x14ac:dyDescent="0.25">
      <c r="A438" s="24" t="s">
        <v>456</v>
      </c>
      <c r="B438" s="39">
        <v>1.0660000000000001E-3</v>
      </c>
      <c r="F438" s="41">
        <f>IF(A438=Dashboard!$C$17,1,0)</f>
        <v>0</v>
      </c>
      <c r="G438" s="51">
        <f t="shared" si="30"/>
        <v>0</v>
      </c>
      <c r="H438" s="51"/>
      <c r="I438" s="24" t="s">
        <v>456</v>
      </c>
      <c r="J438" s="39">
        <v>1.0660000000000001E-3</v>
      </c>
      <c r="N438" s="41">
        <f>IF(I438=Dashboard!$C$17,1,0)</f>
        <v>0</v>
      </c>
      <c r="O438" s="51">
        <f t="shared" si="31"/>
        <v>0</v>
      </c>
    </row>
    <row r="439" spans="1:15" x14ac:dyDescent="0.25">
      <c r="A439" s="24" t="s">
        <v>457</v>
      </c>
      <c r="B439" s="39">
        <v>1.33E-3</v>
      </c>
      <c r="F439" s="41">
        <f>IF(A439=Dashboard!$C$17,1,0)</f>
        <v>0</v>
      </c>
      <c r="G439" s="51">
        <f t="shared" si="30"/>
        <v>0</v>
      </c>
      <c r="H439" s="51"/>
      <c r="I439" s="24" t="s">
        <v>457</v>
      </c>
      <c r="J439" s="39">
        <v>1.33E-3</v>
      </c>
      <c r="N439" s="41">
        <f>IF(I439=Dashboard!$C$17,1,0)</f>
        <v>0</v>
      </c>
      <c r="O439" s="51">
        <f t="shared" si="31"/>
        <v>0</v>
      </c>
    </row>
    <row r="440" spans="1:15" x14ac:dyDescent="0.25">
      <c r="A440" s="24" t="s">
        <v>458</v>
      </c>
      <c r="B440" s="39">
        <v>1.0739999999999999E-3</v>
      </c>
      <c r="F440" s="41">
        <f>IF(A440=Dashboard!$C$17,1,0)</f>
        <v>0</v>
      </c>
      <c r="G440" s="51">
        <f t="shared" si="30"/>
        <v>0</v>
      </c>
      <c r="H440" s="51"/>
      <c r="I440" s="24" t="s">
        <v>458</v>
      </c>
      <c r="J440" s="39">
        <v>1.0739999999999999E-3</v>
      </c>
      <c r="N440" s="41">
        <f>IF(I440=Dashboard!$C$17,1,0)</f>
        <v>0</v>
      </c>
      <c r="O440" s="51">
        <f t="shared" si="31"/>
        <v>0</v>
      </c>
    </row>
    <row r="441" spans="1:15" x14ac:dyDescent="0.25">
      <c r="A441" s="24" t="s">
        <v>459</v>
      </c>
      <c r="B441" s="39">
        <v>1.2180000000000001E-3</v>
      </c>
      <c r="F441" s="41">
        <f>IF(A441=Dashboard!$C$17,1,0)</f>
        <v>0</v>
      </c>
      <c r="G441" s="51">
        <f t="shared" si="30"/>
        <v>0</v>
      </c>
      <c r="H441" s="51"/>
      <c r="I441" s="24" t="s">
        <v>459</v>
      </c>
      <c r="J441" s="39">
        <v>1.2180000000000001E-3</v>
      </c>
      <c r="N441" s="41">
        <f>IF(I441=Dashboard!$C$17,1,0)</f>
        <v>0</v>
      </c>
      <c r="O441" s="51">
        <f t="shared" si="31"/>
        <v>0</v>
      </c>
    </row>
    <row r="442" spans="1:15" x14ac:dyDescent="0.25">
      <c r="A442" s="24" t="s">
        <v>460</v>
      </c>
      <c r="B442" s="39">
        <v>1.621E-3</v>
      </c>
      <c r="F442" s="41">
        <f>IF(A442=Dashboard!$C$17,1,0)</f>
        <v>0</v>
      </c>
      <c r="G442" s="51">
        <f t="shared" si="30"/>
        <v>0</v>
      </c>
      <c r="H442" s="51"/>
      <c r="I442" s="24" t="s">
        <v>460</v>
      </c>
      <c r="J442" s="39">
        <v>1.621E-3</v>
      </c>
      <c r="N442" s="41">
        <f>IF(I442=Dashboard!$C$17,1,0)</f>
        <v>0</v>
      </c>
      <c r="O442" s="51">
        <f t="shared" si="31"/>
        <v>0</v>
      </c>
    </row>
    <row r="443" spans="1:15" x14ac:dyDescent="0.25">
      <c r="A443" s="24" t="s">
        <v>461</v>
      </c>
      <c r="B443" s="39">
        <v>1.3339999999999999E-3</v>
      </c>
      <c r="F443" s="41">
        <f>IF(A443=Dashboard!$C$17,1,0)</f>
        <v>0</v>
      </c>
      <c r="G443" s="51">
        <f t="shared" si="30"/>
        <v>0</v>
      </c>
      <c r="H443" s="51"/>
      <c r="I443" s="24" t="s">
        <v>461</v>
      </c>
      <c r="J443" s="39">
        <v>1.3339999999999999E-3</v>
      </c>
      <c r="N443" s="41">
        <f>IF(I443=Dashboard!$C$17,1,0)</f>
        <v>0</v>
      </c>
      <c r="O443" s="51">
        <f t="shared" si="31"/>
        <v>0</v>
      </c>
    </row>
    <row r="444" spans="1:15" x14ac:dyDescent="0.25">
      <c r="A444" s="24" t="s">
        <v>462</v>
      </c>
      <c r="B444" s="39">
        <v>6.87E-4</v>
      </c>
      <c r="F444" s="41">
        <f>IF(A444=Dashboard!$C$17,1,0)</f>
        <v>0</v>
      </c>
      <c r="G444" s="51">
        <f t="shared" si="30"/>
        <v>0</v>
      </c>
      <c r="H444" s="51"/>
      <c r="I444" s="24" t="s">
        <v>462</v>
      </c>
      <c r="J444" s="39">
        <v>6.87E-4</v>
      </c>
      <c r="N444" s="41">
        <f>IF(I444=Dashboard!$C$17,1,0)</f>
        <v>0</v>
      </c>
      <c r="O444" s="51">
        <f t="shared" si="31"/>
        <v>0</v>
      </c>
    </row>
    <row r="445" spans="1:15" x14ac:dyDescent="0.25">
      <c r="A445" s="24" t="s">
        <v>463</v>
      </c>
      <c r="B445" s="39">
        <v>1.0219999999999999E-3</v>
      </c>
      <c r="F445" s="41">
        <f>IF(A445=Dashboard!$C$17,1,0)</f>
        <v>0</v>
      </c>
      <c r="G445" s="51">
        <f t="shared" si="30"/>
        <v>0</v>
      </c>
      <c r="H445" s="51"/>
      <c r="I445" s="24" t="s">
        <v>463</v>
      </c>
      <c r="J445" s="39">
        <v>1.0219999999999999E-3</v>
      </c>
      <c r="N445" s="41">
        <f>IF(I445=Dashboard!$C$17,1,0)</f>
        <v>0</v>
      </c>
      <c r="O445" s="51">
        <f t="shared" si="31"/>
        <v>0</v>
      </c>
    </row>
    <row r="446" spans="1:15" x14ac:dyDescent="0.25">
      <c r="A446" s="24" t="s">
        <v>464</v>
      </c>
      <c r="B446" s="39">
        <v>2.0110000000000002E-3</v>
      </c>
      <c r="F446" s="41">
        <f>IF(A446=Dashboard!$C$17,1,0)</f>
        <v>0</v>
      </c>
      <c r="G446" s="51">
        <f t="shared" si="30"/>
        <v>0</v>
      </c>
      <c r="H446" s="51"/>
      <c r="I446" s="24" t="s">
        <v>464</v>
      </c>
      <c r="J446" s="39">
        <v>2.0110000000000002E-3</v>
      </c>
      <c r="N446" s="41">
        <f>IF(I446=Dashboard!$C$17,1,0)</f>
        <v>0</v>
      </c>
      <c r="O446" s="51">
        <f t="shared" si="31"/>
        <v>0</v>
      </c>
    </row>
    <row r="447" spans="1:15" x14ac:dyDescent="0.25">
      <c r="A447" s="24" t="s">
        <v>465</v>
      </c>
      <c r="B447" s="39">
        <v>1.3664999999999999E-3</v>
      </c>
      <c r="F447" s="41">
        <f>IF(A447=Dashboard!$C$17,1,0)</f>
        <v>0</v>
      </c>
      <c r="G447" s="51">
        <f t="shared" si="30"/>
        <v>0</v>
      </c>
      <c r="H447" s="51"/>
      <c r="I447" s="24" t="s">
        <v>465</v>
      </c>
      <c r="J447" s="39">
        <v>1.3664999999999999E-3</v>
      </c>
      <c r="N447" s="41">
        <f>IF(I447=Dashboard!$C$17,1,0)</f>
        <v>0</v>
      </c>
      <c r="O447" s="51">
        <f t="shared" si="31"/>
        <v>0</v>
      </c>
    </row>
    <row r="448" spans="1:15" x14ac:dyDescent="0.25">
      <c r="A448" s="24" t="s">
        <v>466</v>
      </c>
      <c r="B448" s="39">
        <v>1.24E-3</v>
      </c>
      <c r="F448" s="41">
        <f>IF(A448=Dashboard!$C$17,1,0)</f>
        <v>0</v>
      </c>
      <c r="G448" s="51">
        <f t="shared" si="30"/>
        <v>0</v>
      </c>
      <c r="H448" s="51"/>
      <c r="I448" s="24" t="s">
        <v>466</v>
      </c>
      <c r="J448" s="39">
        <v>1.24E-3</v>
      </c>
      <c r="N448" s="41">
        <f>IF(I448=Dashboard!$C$17,1,0)</f>
        <v>0</v>
      </c>
      <c r="O448" s="51">
        <f t="shared" si="31"/>
        <v>0</v>
      </c>
    </row>
    <row r="449" spans="1:15" x14ac:dyDescent="0.25">
      <c r="A449" s="24" t="s">
        <v>467</v>
      </c>
      <c r="B449" s="39">
        <v>1.3109999999999999E-3</v>
      </c>
      <c r="F449" s="41">
        <f>IF(A449=Dashboard!$C$17,1,0)</f>
        <v>0</v>
      </c>
      <c r="G449" s="51">
        <f t="shared" si="30"/>
        <v>0</v>
      </c>
      <c r="H449" s="51"/>
      <c r="I449" s="24" t="s">
        <v>467</v>
      </c>
      <c r="J449" s="39">
        <v>1.3109999999999999E-3</v>
      </c>
      <c r="N449" s="41">
        <f>IF(I449=Dashboard!$C$17,1,0)</f>
        <v>0</v>
      </c>
      <c r="O449" s="51">
        <f t="shared" si="31"/>
        <v>0</v>
      </c>
    </row>
    <row r="450" spans="1:15" x14ac:dyDescent="0.25">
      <c r="A450" s="24" t="s">
        <v>468</v>
      </c>
      <c r="B450" s="39">
        <v>1.8559999999999998E-3</v>
      </c>
      <c r="F450" s="41">
        <f>IF(A450=Dashboard!$C$17,1,0)</f>
        <v>0</v>
      </c>
      <c r="G450" s="51">
        <f t="shared" si="30"/>
        <v>0</v>
      </c>
      <c r="H450" s="51"/>
      <c r="I450" s="24" t="s">
        <v>468</v>
      </c>
      <c r="J450" s="39">
        <v>1.8559999999999998E-3</v>
      </c>
      <c r="N450" s="41">
        <f>IF(I450=Dashboard!$C$17,1,0)</f>
        <v>0</v>
      </c>
      <c r="O450" s="51">
        <f t="shared" si="31"/>
        <v>0</v>
      </c>
    </row>
    <row r="451" spans="1:15" x14ac:dyDescent="0.25">
      <c r="A451" s="24" t="s">
        <v>469</v>
      </c>
      <c r="B451" s="39">
        <v>1.083E-3</v>
      </c>
      <c r="F451" s="41">
        <f>IF(A451=Dashboard!$C$17,1,0)</f>
        <v>0</v>
      </c>
      <c r="G451" s="51">
        <f t="shared" si="30"/>
        <v>0</v>
      </c>
      <c r="H451" s="51"/>
      <c r="I451" s="24" t="s">
        <v>469</v>
      </c>
      <c r="J451" s="39">
        <v>1.083E-3</v>
      </c>
      <c r="N451" s="41">
        <f>IF(I451=Dashboard!$C$17,1,0)</f>
        <v>0</v>
      </c>
      <c r="O451" s="51">
        <f t="shared" si="31"/>
        <v>0</v>
      </c>
    </row>
    <row r="452" spans="1:15" x14ac:dyDescent="0.25">
      <c r="A452" s="24" t="s">
        <v>470</v>
      </c>
      <c r="B452" s="39">
        <v>1.3600000000000001E-3</v>
      </c>
      <c r="F452" s="41">
        <f>IF(A452=Dashboard!$C$17,1,0)</f>
        <v>0</v>
      </c>
      <c r="G452" s="51">
        <f t="shared" si="30"/>
        <v>0</v>
      </c>
      <c r="H452" s="51"/>
      <c r="I452" s="24" t="s">
        <v>470</v>
      </c>
      <c r="J452" s="39">
        <v>1.3600000000000001E-3</v>
      </c>
      <c r="N452" s="41">
        <f>IF(I452=Dashboard!$C$17,1,0)</f>
        <v>0</v>
      </c>
      <c r="O452" s="51">
        <f t="shared" si="31"/>
        <v>0</v>
      </c>
    </row>
    <row r="453" spans="1:15" x14ac:dyDescent="0.25">
      <c r="A453" s="24" t="s">
        <v>471</v>
      </c>
      <c r="B453" s="39">
        <v>1.1229999999999999E-3</v>
      </c>
      <c r="F453" s="41">
        <f>IF(A453=Dashboard!$C$17,1,0)</f>
        <v>0</v>
      </c>
      <c r="G453" s="51">
        <f t="shared" si="30"/>
        <v>0</v>
      </c>
      <c r="H453" s="51"/>
      <c r="I453" s="24" t="s">
        <v>471</v>
      </c>
      <c r="J453" s="39">
        <v>1.1229999999999999E-3</v>
      </c>
      <c r="N453" s="41">
        <f>IF(I453=Dashboard!$C$17,1,0)</f>
        <v>0</v>
      </c>
      <c r="O453" s="51">
        <f t="shared" si="31"/>
        <v>0</v>
      </c>
    </row>
    <row r="454" spans="1:15" x14ac:dyDescent="0.25">
      <c r="A454" s="24" t="s">
        <v>472</v>
      </c>
      <c r="B454" s="39">
        <v>1.498E-3</v>
      </c>
      <c r="F454" s="41">
        <f>IF(A454=Dashboard!$C$17,1,0)</f>
        <v>0</v>
      </c>
      <c r="G454" s="51">
        <f t="shared" si="30"/>
        <v>0</v>
      </c>
      <c r="H454" s="51"/>
      <c r="I454" s="24" t="s">
        <v>472</v>
      </c>
      <c r="J454" s="39">
        <v>1.498E-3</v>
      </c>
      <c r="N454" s="41">
        <f>IF(I454=Dashboard!$C$17,1,0)</f>
        <v>0</v>
      </c>
      <c r="O454" s="51">
        <f t="shared" si="31"/>
        <v>0</v>
      </c>
    </row>
    <row r="455" spans="1:15" x14ac:dyDescent="0.25">
      <c r="A455" s="24" t="s">
        <v>473</v>
      </c>
      <c r="B455" s="39">
        <v>9.2399999999999991E-4</v>
      </c>
      <c r="F455" s="41">
        <f>IF(A455=Dashboard!$C$17,1,0)</f>
        <v>0</v>
      </c>
      <c r="G455" s="51">
        <f t="shared" si="30"/>
        <v>0</v>
      </c>
      <c r="H455" s="51"/>
      <c r="I455" s="24" t="s">
        <v>473</v>
      </c>
      <c r="J455" s="39">
        <v>9.2399999999999991E-4</v>
      </c>
      <c r="N455" s="41">
        <f>IF(I455=Dashboard!$C$17,1,0)</f>
        <v>0</v>
      </c>
      <c r="O455" s="51">
        <f t="shared" si="31"/>
        <v>0</v>
      </c>
    </row>
    <row r="456" spans="1:15" x14ac:dyDescent="0.25">
      <c r="A456" s="24" t="s">
        <v>474</v>
      </c>
      <c r="B456" s="39">
        <v>1.2999999999999999E-3</v>
      </c>
      <c r="F456" s="41">
        <f>IF(A456=Dashboard!$C$17,1,0)</f>
        <v>0</v>
      </c>
      <c r="G456" s="51">
        <f t="shared" si="30"/>
        <v>0</v>
      </c>
      <c r="H456" s="51"/>
      <c r="I456" s="24" t="s">
        <v>474</v>
      </c>
      <c r="J456" s="39">
        <v>1.2999999999999999E-3</v>
      </c>
      <c r="N456" s="41">
        <f>IF(I456=Dashboard!$C$17,1,0)</f>
        <v>0</v>
      </c>
      <c r="O456" s="51">
        <f t="shared" si="31"/>
        <v>0</v>
      </c>
    </row>
    <row r="457" spans="1:15" x14ac:dyDescent="0.25">
      <c r="A457" s="24" t="s">
        <v>475</v>
      </c>
      <c r="B457" s="39">
        <v>9.2700000000000009E-4</v>
      </c>
      <c r="F457" s="41">
        <f>IF(A457=Dashboard!$C$17,1,0)</f>
        <v>0</v>
      </c>
      <c r="G457" s="51">
        <f t="shared" si="30"/>
        <v>0</v>
      </c>
      <c r="H457" s="51"/>
      <c r="I457" s="24" t="s">
        <v>475</v>
      </c>
      <c r="J457" s="39">
        <v>9.2700000000000009E-4</v>
      </c>
      <c r="N457" s="41">
        <f>IF(I457=Dashboard!$C$17,1,0)</f>
        <v>0</v>
      </c>
      <c r="O457" s="51">
        <f t="shared" si="31"/>
        <v>0</v>
      </c>
    </row>
    <row r="458" spans="1:15" x14ac:dyDescent="0.25">
      <c r="A458" s="24" t="s">
        <v>476</v>
      </c>
      <c r="B458" s="39">
        <v>1.5559999999999999E-3</v>
      </c>
      <c r="F458" s="41">
        <f>IF(A458=Dashboard!$C$17,1,0)</f>
        <v>0</v>
      </c>
      <c r="G458" s="51">
        <f t="shared" si="30"/>
        <v>0</v>
      </c>
      <c r="H458" s="51"/>
      <c r="I458" s="24" t="s">
        <v>476</v>
      </c>
      <c r="J458" s="39">
        <v>1.5559999999999999E-3</v>
      </c>
      <c r="N458" s="41">
        <f>IF(I458=Dashboard!$C$17,1,0)</f>
        <v>0</v>
      </c>
      <c r="O458" s="51">
        <f t="shared" si="31"/>
        <v>0</v>
      </c>
    </row>
    <row r="459" spans="1:15" x14ac:dyDescent="0.25">
      <c r="A459" s="24" t="s">
        <v>477</v>
      </c>
      <c r="B459" s="39">
        <v>1.0460000000000001E-3</v>
      </c>
      <c r="F459" s="41">
        <f>IF(A459=Dashboard!$C$17,1,0)</f>
        <v>0</v>
      </c>
      <c r="G459" s="51">
        <f t="shared" si="30"/>
        <v>0</v>
      </c>
      <c r="H459" s="51"/>
      <c r="I459" s="24" t="s">
        <v>477</v>
      </c>
      <c r="J459" s="39">
        <v>1.0460000000000001E-3</v>
      </c>
      <c r="N459" s="41">
        <f>IF(I459=Dashboard!$C$17,1,0)</f>
        <v>0</v>
      </c>
      <c r="O459" s="51">
        <f t="shared" si="31"/>
        <v>0</v>
      </c>
    </row>
    <row r="460" spans="1:15" x14ac:dyDescent="0.25">
      <c r="A460" s="24" t="s">
        <v>478</v>
      </c>
      <c r="B460" s="39">
        <v>1.3139999999999998E-3</v>
      </c>
      <c r="F460" s="41">
        <f>IF(A460=Dashboard!$C$17,1,0)</f>
        <v>0</v>
      </c>
      <c r="G460" s="51">
        <f t="shared" si="30"/>
        <v>0</v>
      </c>
      <c r="H460" s="51"/>
      <c r="I460" s="24" t="s">
        <v>478</v>
      </c>
      <c r="J460" s="39">
        <v>1.3139999999999998E-3</v>
      </c>
      <c r="N460" s="41">
        <f>IF(I460=Dashboard!$C$17,1,0)</f>
        <v>0</v>
      </c>
      <c r="O460" s="51">
        <f t="shared" si="31"/>
        <v>0</v>
      </c>
    </row>
    <row r="461" spans="1:15" x14ac:dyDescent="0.25">
      <c r="A461" s="24" t="s">
        <v>479</v>
      </c>
      <c r="B461" s="39">
        <v>1.315E-3</v>
      </c>
      <c r="F461" s="41">
        <f>IF(A461=Dashboard!$C$17,1,0)</f>
        <v>0</v>
      </c>
      <c r="G461" s="51">
        <f t="shared" si="30"/>
        <v>0</v>
      </c>
      <c r="H461" s="51"/>
      <c r="I461" s="24" t="s">
        <v>479</v>
      </c>
      <c r="J461" s="39">
        <v>1.315E-3</v>
      </c>
      <c r="N461" s="41">
        <f>IF(I461=Dashboard!$C$17,1,0)</f>
        <v>0</v>
      </c>
      <c r="O461" s="51">
        <f t="shared" si="31"/>
        <v>0</v>
      </c>
    </row>
    <row r="462" spans="1:15" x14ac:dyDescent="0.25">
      <c r="A462" s="24" t="s">
        <v>480</v>
      </c>
      <c r="B462" s="39">
        <v>1.1000000000000001E-3</v>
      </c>
      <c r="F462" s="41">
        <f>IF(A462=Dashboard!$C$17,1,0)</f>
        <v>0</v>
      </c>
      <c r="G462" s="51">
        <f t="shared" si="30"/>
        <v>0</v>
      </c>
      <c r="H462" s="51"/>
      <c r="I462" s="24" t="s">
        <v>480</v>
      </c>
      <c r="J462" s="39">
        <v>1.1000000000000001E-3</v>
      </c>
      <c r="N462" s="41">
        <f>IF(I462=Dashboard!$C$17,1,0)</f>
        <v>0</v>
      </c>
      <c r="O462" s="51">
        <f t="shared" si="31"/>
        <v>0</v>
      </c>
    </row>
    <row r="463" spans="1:15" x14ac:dyDescent="0.25">
      <c r="A463" s="24" t="s">
        <v>481</v>
      </c>
      <c r="B463" s="39">
        <v>1.6459999999999999E-3</v>
      </c>
      <c r="F463" s="41">
        <f>IF(A463=Dashboard!$C$17,1,0)</f>
        <v>0</v>
      </c>
      <c r="G463" s="51">
        <f t="shared" si="30"/>
        <v>0</v>
      </c>
      <c r="H463" s="51"/>
      <c r="I463" s="24" t="s">
        <v>481</v>
      </c>
      <c r="J463" s="39">
        <v>1.6459999999999999E-3</v>
      </c>
      <c r="N463" s="41">
        <f>IF(I463=Dashboard!$C$17,1,0)</f>
        <v>0</v>
      </c>
      <c r="O463" s="51">
        <f t="shared" si="31"/>
        <v>0</v>
      </c>
    </row>
    <row r="464" spans="1:15" x14ac:dyDescent="0.25">
      <c r="A464" s="24" t="s">
        <v>482</v>
      </c>
      <c r="B464" s="39">
        <v>1.3166E-3</v>
      </c>
      <c r="F464" s="41">
        <f>IF(A464=Dashboard!$C$17,1,0)</f>
        <v>0</v>
      </c>
      <c r="G464" s="51">
        <f t="shared" si="30"/>
        <v>0</v>
      </c>
      <c r="H464" s="51"/>
      <c r="I464" s="24" t="s">
        <v>482</v>
      </c>
      <c r="J464" s="39">
        <v>1.3166E-3</v>
      </c>
      <c r="N464" s="41">
        <f>IF(I464=Dashboard!$C$17,1,0)</f>
        <v>0</v>
      </c>
      <c r="O464" s="51">
        <f t="shared" si="31"/>
        <v>0</v>
      </c>
    </row>
    <row r="465" spans="1:15" x14ac:dyDescent="0.25">
      <c r="A465" s="24" t="s">
        <v>483</v>
      </c>
      <c r="B465" s="39">
        <v>9.9599999999999992E-4</v>
      </c>
      <c r="F465" s="41">
        <f>IF(A465=Dashboard!$C$17,1,0)</f>
        <v>0</v>
      </c>
      <c r="G465" s="51">
        <f t="shared" si="30"/>
        <v>0</v>
      </c>
      <c r="H465" s="51"/>
      <c r="I465" s="24" t="s">
        <v>483</v>
      </c>
      <c r="J465" s="39">
        <v>9.9599999999999992E-4</v>
      </c>
      <c r="N465" s="41">
        <f>IF(I465=Dashboard!$C$17,1,0)</f>
        <v>0</v>
      </c>
      <c r="O465" s="51">
        <f t="shared" si="31"/>
        <v>0</v>
      </c>
    </row>
    <row r="466" spans="1:15" x14ac:dyDescent="0.25">
      <c r="A466" s="24" t="s">
        <v>484</v>
      </c>
      <c r="B466" s="39">
        <v>1.436E-3</v>
      </c>
      <c r="F466" s="41">
        <f>IF(A466=Dashboard!$C$17,1,0)</f>
        <v>0</v>
      </c>
      <c r="G466" s="51">
        <f t="shared" si="30"/>
        <v>0</v>
      </c>
      <c r="H466" s="51"/>
      <c r="I466" s="24" t="s">
        <v>484</v>
      </c>
      <c r="J466" s="39">
        <v>1.436E-3</v>
      </c>
      <c r="N466" s="41">
        <f>IF(I466=Dashboard!$C$17,1,0)</f>
        <v>0</v>
      </c>
      <c r="O466" s="51">
        <f t="shared" si="31"/>
        <v>0</v>
      </c>
    </row>
    <row r="467" spans="1:15" x14ac:dyDescent="0.25">
      <c r="A467" s="24" t="s">
        <v>485</v>
      </c>
      <c r="B467" s="39">
        <v>1.892E-3</v>
      </c>
      <c r="F467" s="41">
        <f>IF(A467=Dashboard!$C$17,1,0)</f>
        <v>0</v>
      </c>
      <c r="G467" s="51">
        <f t="shared" si="30"/>
        <v>0</v>
      </c>
      <c r="H467" s="51"/>
      <c r="I467" s="24" t="s">
        <v>485</v>
      </c>
      <c r="J467" s="39">
        <v>1.892E-3</v>
      </c>
      <c r="N467" s="41">
        <f>IF(I467=Dashboard!$C$17,1,0)</f>
        <v>0</v>
      </c>
      <c r="O467" s="51">
        <f t="shared" si="31"/>
        <v>0</v>
      </c>
    </row>
    <row r="468" spans="1:15" x14ac:dyDescent="0.25">
      <c r="A468" s="24" t="s">
        <v>486</v>
      </c>
      <c r="B468" s="39">
        <v>1.47E-3</v>
      </c>
      <c r="F468" s="41">
        <f>IF(A468=Dashboard!$C$17,1,0)</f>
        <v>0</v>
      </c>
      <c r="G468" s="51">
        <f t="shared" si="30"/>
        <v>0</v>
      </c>
      <c r="H468" s="51"/>
      <c r="I468" s="24" t="s">
        <v>486</v>
      </c>
      <c r="J468" s="39">
        <v>1.47E-3</v>
      </c>
      <c r="N468" s="41">
        <f>IF(I468=Dashboard!$C$17,1,0)</f>
        <v>0</v>
      </c>
      <c r="O468" s="51">
        <f t="shared" si="31"/>
        <v>0</v>
      </c>
    </row>
    <row r="469" spans="1:15" x14ac:dyDescent="0.25">
      <c r="A469" s="24" t="s">
        <v>487</v>
      </c>
      <c r="B469" s="39">
        <v>9.1E-4</v>
      </c>
      <c r="F469" s="41">
        <f>IF(A469=Dashboard!$C$17,1,0)</f>
        <v>0</v>
      </c>
      <c r="G469" s="51">
        <f t="shared" si="30"/>
        <v>0</v>
      </c>
      <c r="H469" s="51"/>
      <c r="I469" s="24" t="s">
        <v>487</v>
      </c>
      <c r="J469" s="39">
        <v>9.1E-4</v>
      </c>
      <c r="N469" s="41">
        <f>IF(I469=Dashboard!$C$17,1,0)</f>
        <v>0</v>
      </c>
      <c r="O469" s="51">
        <f t="shared" si="31"/>
        <v>0</v>
      </c>
    </row>
    <row r="470" spans="1:15" x14ac:dyDescent="0.25">
      <c r="A470" s="24" t="s">
        <v>488</v>
      </c>
      <c r="B470" s="39">
        <v>4.57E-4</v>
      </c>
      <c r="F470" s="41">
        <f>IF(A470=Dashboard!$C$17,1,0)</f>
        <v>0</v>
      </c>
      <c r="G470" s="51">
        <f t="shared" si="30"/>
        <v>0</v>
      </c>
      <c r="H470" s="51"/>
      <c r="I470" s="24" t="s">
        <v>488</v>
      </c>
      <c r="J470" s="39">
        <v>4.57E-4</v>
      </c>
      <c r="N470" s="41">
        <f>IF(I470=Dashboard!$C$17,1,0)</f>
        <v>0</v>
      </c>
      <c r="O470" s="51">
        <f t="shared" si="31"/>
        <v>0</v>
      </c>
    </row>
    <row r="471" spans="1:15" x14ac:dyDescent="0.25">
      <c r="A471" s="24" t="s">
        <v>489</v>
      </c>
      <c r="B471" s="39">
        <v>7.8100000000000001E-4</v>
      </c>
      <c r="F471" s="41">
        <f>IF(A471=Dashboard!$C$17,1,0)</f>
        <v>0</v>
      </c>
      <c r="G471" s="51">
        <f t="shared" si="30"/>
        <v>0</v>
      </c>
      <c r="H471" s="51"/>
      <c r="I471" s="24" t="s">
        <v>489</v>
      </c>
      <c r="J471" s="39">
        <v>7.8100000000000001E-4</v>
      </c>
      <c r="N471" s="41">
        <f>IF(I471=Dashboard!$C$17,1,0)</f>
        <v>0</v>
      </c>
      <c r="O471" s="51">
        <f t="shared" si="31"/>
        <v>0</v>
      </c>
    </row>
    <row r="472" spans="1:15" x14ac:dyDescent="0.25">
      <c r="A472" s="24" t="s">
        <v>490</v>
      </c>
      <c r="B472" s="39">
        <v>1.109E-3</v>
      </c>
      <c r="F472" s="41">
        <f>IF(A472=Dashboard!$C$17,1,0)</f>
        <v>0</v>
      </c>
      <c r="G472" s="51">
        <f t="shared" si="30"/>
        <v>0</v>
      </c>
      <c r="H472" s="51"/>
      <c r="I472" s="24" t="s">
        <v>490</v>
      </c>
      <c r="J472" s="39">
        <v>1.109E-3</v>
      </c>
      <c r="N472" s="41">
        <f>IF(I472=Dashboard!$C$17,1,0)</f>
        <v>0</v>
      </c>
      <c r="O472" s="51">
        <f t="shared" si="31"/>
        <v>0</v>
      </c>
    </row>
    <row r="473" spans="1:15" x14ac:dyDescent="0.25">
      <c r="A473" s="24" t="s">
        <v>491</v>
      </c>
      <c r="B473" s="39">
        <v>1.168E-3</v>
      </c>
      <c r="F473" s="41">
        <f>IF(A473=Dashboard!$C$17,1,0)</f>
        <v>0</v>
      </c>
      <c r="G473" s="51">
        <f t="shared" si="30"/>
        <v>0</v>
      </c>
      <c r="H473" s="51"/>
      <c r="I473" s="24" t="s">
        <v>491</v>
      </c>
      <c r="J473" s="39">
        <v>1.168E-3</v>
      </c>
      <c r="N473" s="41">
        <f>IF(I473=Dashboard!$C$17,1,0)</f>
        <v>0</v>
      </c>
      <c r="O473" s="51">
        <f t="shared" si="31"/>
        <v>0</v>
      </c>
    </row>
    <row r="474" spans="1:15" x14ac:dyDescent="0.25">
      <c r="A474" s="24" t="s">
        <v>492</v>
      </c>
      <c r="B474" s="39">
        <v>1.065E-3</v>
      </c>
      <c r="F474" s="41">
        <f>IF(A474=Dashboard!$C$17,1,0)</f>
        <v>0</v>
      </c>
      <c r="G474" s="51">
        <f t="shared" si="30"/>
        <v>0</v>
      </c>
      <c r="H474" s="51"/>
      <c r="I474" s="24" t="s">
        <v>492</v>
      </c>
      <c r="J474" s="39">
        <v>1.065E-3</v>
      </c>
      <c r="N474" s="41">
        <f>IF(I474=Dashboard!$C$17,1,0)</f>
        <v>0</v>
      </c>
      <c r="O474" s="51">
        <f t="shared" si="31"/>
        <v>0</v>
      </c>
    </row>
    <row r="475" spans="1:15" x14ac:dyDescent="0.25">
      <c r="A475" s="24" t="s">
        <v>493</v>
      </c>
      <c r="B475" s="39">
        <v>1.2900000000000001E-3</v>
      </c>
      <c r="F475" s="41">
        <f>IF(A475=Dashboard!$C$17,1,0)</f>
        <v>0</v>
      </c>
      <c r="G475" s="51">
        <f t="shared" si="30"/>
        <v>0</v>
      </c>
      <c r="H475" s="51"/>
      <c r="I475" s="24" t="s">
        <v>493</v>
      </c>
      <c r="J475" s="39">
        <v>1.2900000000000001E-3</v>
      </c>
      <c r="N475" s="41">
        <f>IF(I475=Dashboard!$C$17,1,0)</f>
        <v>0</v>
      </c>
      <c r="O475" s="51">
        <f t="shared" si="31"/>
        <v>0</v>
      </c>
    </row>
    <row r="476" spans="1:15" x14ac:dyDescent="0.25">
      <c r="A476" s="24" t="s">
        <v>494</v>
      </c>
      <c r="B476" s="39">
        <v>1.2080000000000001E-3</v>
      </c>
      <c r="F476" s="41">
        <f>IF(A476=Dashboard!$C$17,1,0)</f>
        <v>0</v>
      </c>
      <c r="G476" s="51">
        <f t="shared" ref="G476:G539" si="32">F476*B476</f>
        <v>0</v>
      </c>
      <c r="H476" s="51"/>
      <c r="I476" s="24" t="s">
        <v>494</v>
      </c>
      <c r="J476" s="39">
        <v>1.2080000000000001E-3</v>
      </c>
      <c r="N476" s="41">
        <f>IF(I476=Dashboard!$C$17,1,0)</f>
        <v>0</v>
      </c>
      <c r="O476" s="51">
        <f t="shared" ref="O476:O539" si="33">N476*J476</f>
        <v>0</v>
      </c>
    </row>
    <row r="477" spans="1:15" x14ac:dyDescent="0.25">
      <c r="A477" s="24" t="s">
        <v>495</v>
      </c>
      <c r="B477" s="39">
        <v>1.163E-3</v>
      </c>
      <c r="F477" s="41">
        <f>IF(A477=Dashboard!$C$17,1,0)</f>
        <v>0</v>
      </c>
      <c r="G477" s="51">
        <f t="shared" si="32"/>
        <v>0</v>
      </c>
      <c r="H477" s="51"/>
      <c r="I477" s="24" t="s">
        <v>495</v>
      </c>
      <c r="J477" s="39">
        <v>1.163E-3</v>
      </c>
      <c r="N477" s="41">
        <f>IF(I477=Dashboard!$C$17,1,0)</f>
        <v>0</v>
      </c>
      <c r="O477" s="51">
        <f t="shared" si="33"/>
        <v>0</v>
      </c>
    </row>
    <row r="478" spans="1:15" x14ac:dyDescent="0.25">
      <c r="A478" s="24" t="s">
        <v>496</v>
      </c>
      <c r="B478" s="39">
        <v>2.0969999999999999E-3</v>
      </c>
      <c r="F478" s="41">
        <f>IF(A478=Dashboard!$C$17,1,0)</f>
        <v>0</v>
      </c>
      <c r="G478" s="51">
        <f t="shared" si="32"/>
        <v>0</v>
      </c>
      <c r="H478" s="51"/>
      <c r="I478" s="24" t="s">
        <v>496</v>
      </c>
      <c r="J478" s="39">
        <v>2.0969999999999999E-3</v>
      </c>
      <c r="N478" s="41">
        <f>IF(I478=Dashboard!$C$17,1,0)</f>
        <v>0</v>
      </c>
      <c r="O478" s="51">
        <f t="shared" si="33"/>
        <v>0</v>
      </c>
    </row>
    <row r="479" spans="1:15" x14ac:dyDescent="0.25">
      <c r="A479" s="24" t="s">
        <v>497</v>
      </c>
      <c r="B479" s="39">
        <v>1.0530000000000001E-3</v>
      </c>
      <c r="F479" s="41">
        <f>IF(A479=Dashboard!$C$17,1,0)</f>
        <v>0</v>
      </c>
      <c r="G479" s="51">
        <f t="shared" si="32"/>
        <v>0</v>
      </c>
      <c r="H479" s="51"/>
      <c r="I479" s="24" t="s">
        <v>497</v>
      </c>
      <c r="J479" s="39">
        <v>1.0530000000000001E-3</v>
      </c>
      <c r="N479" s="41">
        <f>IF(I479=Dashboard!$C$17,1,0)</f>
        <v>0</v>
      </c>
      <c r="O479" s="51">
        <f t="shared" si="33"/>
        <v>0</v>
      </c>
    </row>
    <row r="480" spans="1:15" x14ac:dyDescent="0.25">
      <c r="A480" s="24" t="s">
        <v>498</v>
      </c>
      <c r="B480" s="39">
        <v>1.3650000000000001E-3</v>
      </c>
      <c r="F480" s="41">
        <f>IF(A480=Dashboard!$C$17,1,0)</f>
        <v>0</v>
      </c>
      <c r="G480" s="51">
        <f t="shared" si="32"/>
        <v>0</v>
      </c>
      <c r="H480" s="51"/>
      <c r="I480" s="24" t="s">
        <v>498</v>
      </c>
      <c r="J480" s="39">
        <v>1.3650000000000001E-3</v>
      </c>
      <c r="N480" s="41">
        <f>IF(I480=Dashboard!$C$17,1,0)</f>
        <v>0</v>
      </c>
      <c r="O480" s="51">
        <f t="shared" si="33"/>
        <v>0</v>
      </c>
    </row>
    <row r="481" spans="1:15" x14ac:dyDescent="0.25">
      <c r="A481" s="24" t="s">
        <v>499</v>
      </c>
      <c r="B481" s="39">
        <v>1.2409999999999999E-3</v>
      </c>
      <c r="F481" s="41">
        <f>IF(A481=Dashboard!$C$17,1,0)</f>
        <v>0</v>
      </c>
      <c r="G481" s="51">
        <f t="shared" si="32"/>
        <v>0</v>
      </c>
      <c r="H481" s="51"/>
      <c r="I481" s="24" t="s">
        <v>499</v>
      </c>
      <c r="J481" s="39">
        <v>1.2409999999999999E-3</v>
      </c>
      <c r="N481" s="41">
        <f>IF(I481=Dashboard!$C$17,1,0)</f>
        <v>0</v>
      </c>
      <c r="O481" s="51">
        <f t="shared" si="33"/>
        <v>0</v>
      </c>
    </row>
    <row r="482" spans="1:15" x14ac:dyDescent="0.25">
      <c r="A482" s="24" t="s">
        <v>500</v>
      </c>
      <c r="B482" s="39">
        <v>1.7599999999999998E-3</v>
      </c>
      <c r="F482" s="41">
        <f>IF(A482=Dashboard!$C$17,1,0)</f>
        <v>0</v>
      </c>
      <c r="G482" s="51">
        <f t="shared" si="32"/>
        <v>0</v>
      </c>
      <c r="H482" s="51"/>
      <c r="I482" s="24" t="s">
        <v>500</v>
      </c>
      <c r="J482" s="39">
        <v>1.7599999999999998E-3</v>
      </c>
      <c r="N482" s="41">
        <f>IF(I482=Dashboard!$C$17,1,0)</f>
        <v>0</v>
      </c>
      <c r="O482" s="51">
        <f t="shared" si="33"/>
        <v>0</v>
      </c>
    </row>
    <row r="483" spans="1:15" x14ac:dyDescent="0.25">
      <c r="A483" s="24" t="s">
        <v>70</v>
      </c>
      <c r="B483" s="39">
        <v>1.091E-3</v>
      </c>
      <c r="F483" s="41">
        <f>IF(A483=Dashboard!$C$17,1,0)</f>
        <v>0</v>
      </c>
      <c r="G483" s="51">
        <f t="shared" si="32"/>
        <v>0</v>
      </c>
      <c r="H483" s="51"/>
      <c r="I483" s="24" t="s">
        <v>70</v>
      </c>
      <c r="J483" s="39">
        <v>1.091E-3</v>
      </c>
      <c r="N483" s="41">
        <f>IF(I483=Dashboard!$C$17,1,0)</f>
        <v>0</v>
      </c>
      <c r="O483" s="51">
        <f t="shared" si="33"/>
        <v>0</v>
      </c>
    </row>
    <row r="484" spans="1:15" x14ac:dyDescent="0.25">
      <c r="A484" s="24" t="s">
        <v>501</v>
      </c>
      <c r="B484" s="39">
        <v>1.1919999999999999E-3</v>
      </c>
      <c r="F484" s="41">
        <f>IF(A484=Dashboard!$C$17,1,0)</f>
        <v>0</v>
      </c>
      <c r="G484" s="51">
        <f t="shared" si="32"/>
        <v>0</v>
      </c>
      <c r="H484" s="51"/>
      <c r="I484" s="24" t="s">
        <v>501</v>
      </c>
      <c r="J484" s="39">
        <v>1.1919999999999999E-3</v>
      </c>
      <c r="N484" s="41">
        <f>IF(I484=Dashboard!$C$17,1,0)</f>
        <v>0</v>
      </c>
      <c r="O484" s="51">
        <f t="shared" si="33"/>
        <v>0</v>
      </c>
    </row>
    <row r="485" spans="1:15" x14ac:dyDescent="0.25">
      <c r="A485" s="24" t="s">
        <v>502</v>
      </c>
      <c r="B485" s="39">
        <v>1.4480000000000001E-3</v>
      </c>
      <c r="F485" s="41">
        <f>IF(A485=Dashboard!$C$17,1,0)</f>
        <v>0</v>
      </c>
      <c r="G485" s="51">
        <f t="shared" si="32"/>
        <v>0</v>
      </c>
      <c r="H485" s="51"/>
      <c r="I485" s="24" t="s">
        <v>502</v>
      </c>
      <c r="J485" s="39">
        <v>1.4480000000000001E-3</v>
      </c>
      <c r="N485" s="41">
        <f>IF(I485=Dashboard!$C$17,1,0)</f>
        <v>0</v>
      </c>
      <c r="O485" s="51">
        <f t="shared" si="33"/>
        <v>0</v>
      </c>
    </row>
    <row r="486" spans="1:15" x14ac:dyDescent="0.25">
      <c r="A486" s="24" t="s">
        <v>503</v>
      </c>
      <c r="B486" s="39">
        <v>1.575E-3</v>
      </c>
      <c r="F486" s="41">
        <f>IF(A486=Dashboard!$C$17,1,0)</f>
        <v>0</v>
      </c>
      <c r="G486" s="51">
        <f t="shared" si="32"/>
        <v>0</v>
      </c>
      <c r="H486" s="51"/>
      <c r="I486" s="24" t="s">
        <v>503</v>
      </c>
      <c r="J486" s="39">
        <v>1.575E-3</v>
      </c>
      <c r="N486" s="41">
        <f>IF(I486=Dashboard!$C$17,1,0)</f>
        <v>0</v>
      </c>
      <c r="O486" s="51">
        <f t="shared" si="33"/>
        <v>0</v>
      </c>
    </row>
    <row r="487" spans="1:15" x14ac:dyDescent="0.25">
      <c r="A487" s="24" t="s">
        <v>504</v>
      </c>
      <c r="B487" s="39">
        <v>1.312E-3</v>
      </c>
      <c r="F487" s="41">
        <f>IF(A487=Dashboard!$C$17,1,0)</f>
        <v>0</v>
      </c>
      <c r="G487" s="51">
        <f t="shared" si="32"/>
        <v>0</v>
      </c>
      <c r="H487" s="51"/>
      <c r="I487" s="24" t="s">
        <v>504</v>
      </c>
      <c r="J487" s="39">
        <v>1.312E-3</v>
      </c>
      <c r="N487" s="41">
        <f>IF(I487=Dashboard!$C$17,1,0)</f>
        <v>0</v>
      </c>
      <c r="O487" s="51">
        <f t="shared" si="33"/>
        <v>0</v>
      </c>
    </row>
    <row r="488" spans="1:15" x14ac:dyDescent="0.25">
      <c r="A488" s="24" t="s">
        <v>505</v>
      </c>
      <c r="B488" s="39">
        <v>1.934E-3</v>
      </c>
      <c r="F488" s="41">
        <f>IF(A488=Dashboard!$C$17,1,0)</f>
        <v>0</v>
      </c>
      <c r="G488" s="51">
        <f t="shared" si="32"/>
        <v>0</v>
      </c>
      <c r="H488" s="51"/>
      <c r="I488" s="24" t="s">
        <v>505</v>
      </c>
      <c r="J488" s="39">
        <v>1.934E-3</v>
      </c>
      <c r="N488" s="41">
        <f>IF(I488=Dashboard!$C$17,1,0)</f>
        <v>0</v>
      </c>
      <c r="O488" s="51">
        <f t="shared" si="33"/>
        <v>0</v>
      </c>
    </row>
    <row r="489" spans="1:15" x14ac:dyDescent="0.25">
      <c r="A489" s="24" t="s">
        <v>506</v>
      </c>
      <c r="B489" s="39">
        <v>1.09E-3</v>
      </c>
      <c r="F489" s="41">
        <f>IF(A489=Dashboard!$C$17,1,0)</f>
        <v>0</v>
      </c>
      <c r="G489" s="51">
        <f t="shared" si="32"/>
        <v>0</v>
      </c>
      <c r="H489" s="51"/>
      <c r="I489" s="24" t="s">
        <v>506</v>
      </c>
      <c r="J489" s="39">
        <v>1.09E-3</v>
      </c>
      <c r="N489" s="41">
        <f>IF(I489=Dashboard!$C$17,1,0)</f>
        <v>0</v>
      </c>
      <c r="O489" s="51">
        <f t="shared" si="33"/>
        <v>0</v>
      </c>
    </row>
    <row r="490" spans="1:15" x14ac:dyDescent="0.25">
      <c r="A490" s="24" t="s">
        <v>507</v>
      </c>
      <c r="B490" s="39">
        <v>9.77E-4</v>
      </c>
      <c r="F490" s="41">
        <f>IF(A490=Dashboard!$C$17,1,0)</f>
        <v>0</v>
      </c>
      <c r="G490" s="51">
        <f t="shared" si="32"/>
        <v>0</v>
      </c>
      <c r="H490" s="51"/>
      <c r="I490" s="24" t="s">
        <v>507</v>
      </c>
      <c r="J490" s="39">
        <v>9.77E-4</v>
      </c>
      <c r="N490" s="41">
        <f>IF(I490=Dashboard!$C$17,1,0)</f>
        <v>0</v>
      </c>
      <c r="O490" s="51">
        <f t="shared" si="33"/>
        <v>0</v>
      </c>
    </row>
    <row r="491" spans="1:15" x14ac:dyDescent="0.25">
      <c r="A491" s="24" t="s">
        <v>508</v>
      </c>
      <c r="B491" s="39">
        <v>1.2443999999999999E-3</v>
      </c>
      <c r="F491" s="41">
        <f>IF(A491=Dashboard!$C$17,1,0)</f>
        <v>0</v>
      </c>
      <c r="G491" s="51">
        <f t="shared" si="32"/>
        <v>0</v>
      </c>
      <c r="H491" s="51"/>
      <c r="I491" s="24" t="s">
        <v>508</v>
      </c>
      <c r="J491" s="39">
        <v>1.2443999999999999E-3</v>
      </c>
      <c r="N491" s="41">
        <f>IF(I491=Dashboard!$C$17,1,0)</f>
        <v>0</v>
      </c>
      <c r="O491" s="51">
        <f t="shared" si="33"/>
        <v>0</v>
      </c>
    </row>
    <row r="492" spans="1:15" x14ac:dyDescent="0.25">
      <c r="A492" s="24" t="s">
        <v>509</v>
      </c>
      <c r="B492" s="39">
        <v>1.0040000000000001E-3</v>
      </c>
      <c r="F492" s="41">
        <f>IF(A492=Dashboard!$C$17,1,0)</f>
        <v>0</v>
      </c>
      <c r="G492" s="51">
        <f t="shared" si="32"/>
        <v>0</v>
      </c>
      <c r="H492" s="51"/>
      <c r="I492" s="24" t="s">
        <v>509</v>
      </c>
      <c r="J492" s="39">
        <v>1.0040000000000001E-3</v>
      </c>
      <c r="N492" s="41">
        <f>IF(I492=Dashboard!$C$17,1,0)</f>
        <v>0</v>
      </c>
      <c r="O492" s="51">
        <f t="shared" si="33"/>
        <v>0</v>
      </c>
    </row>
    <row r="493" spans="1:15" x14ac:dyDescent="0.25">
      <c r="A493" s="24" t="s">
        <v>510</v>
      </c>
      <c r="B493" s="39">
        <v>1.178E-3</v>
      </c>
      <c r="F493" s="41">
        <f>IF(A493=Dashboard!$C$17,1,0)</f>
        <v>0</v>
      </c>
      <c r="G493" s="51">
        <f t="shared" si="32"/>
        <v>0</v>
      </c>
      <c r="H493" s="51"/>
      <c r="I493" s="24" t="s">
        <v>510</v>
      </c>
      <c r="J493" s="39">
        <v>1.178E-3</v>
      </c>
      <c r="N493" s="41">
        <f>IF(I493=Dashboard!$C$17,1,0)</f>
        <v>0</v>
      </c>
      <c r="O493" s="51">
        <f t="shared" si="33"/>
        <v>0</v>
      </c>
    </row>
    <row r="494" spans="1:15" x14ac:dyDescent="0.25">
      <c r="A494" s="24" t="s">
        <v>511</v>
      </c>
      <c r="B494" s="39">
        <v>2.0349999999999999E-3</v>
      </c>
      <c r="F494" s="41">
        <f>IF(A494=Dashboard!$C$17,1,0)</f>
        <v>0</v>
      </c>
      <c r="G494" s="51">
        <f t="shared" si="32"/>
        <v>0</v>
      </c>
      <c r="H494" s="51"/>
      <c r="I494" s="24" t="s">
        <v>511</v>
      </c>
      <c r="J494" s="39">
        <v>2.0349999999999999E-3</v>
      </c>
      <c r="N494" s="41">
        <f>IF(I494=Dashboard!$C$17,1,0)</f>
        <v>0</v>
      </c>
      <c r="O494" s="51">
        <f t="shared" si="33"/>
        <v>0</v>
      </c>
    </row>
    <row r="495" spans="1:15" x14ac:dyDescent="0.25">
      <c r="A495" s="24" t="s">
        <v>512</v>
      </c>
      <c r="B495" s="39">
        <v>1.4339999999999999E-3</v>
      </c>
      <c r="F495" s="41">
        <f>IF(A495=Dashboard!$C$17,1,0)</f>
        <v>0</v>
      </c>
      <c r="G495" s="51">
        <f t="shared" si="32"/>
        <v>0</v>
      </c>
      <c r="H495" s="51"/>
      <c r="I495" s="24" t="s">
        <v>512</v>
      </c>
      <c r="J495" s="39">
        <v>1.4339999999999999E-3</v>
      </c>
      <c r="N495" s="41">
        <f>IF(I495=Dashboard!$C$17,1,0)</f>
        <v>0</v>
      </c>
      <c r="O495" s="51">
        <f t="shared" si="33"/>
        <v>0</v>
      </c>
    </row>
    <row r="496" spans="1:15" x14ac:dyDescent="0.25">
      <c r="A496" s="24" t="s">
        <v>513</v>
      </c>
      <c r="B496" s="39">
        <v>1.07E-3</v>
      </c>
      <c r="F496" s="41">
        <f>IF(A496=Dashboard!$C$17,1,0)</f>
        <v>0</v>
      </c>
      <c r="G496" s="51">
        <f t="shared" si="32"/>
        <v>0</v>
      </c>
      <c r="H496" s="51"/>
      <c r="I496" s="24" t="s">
        <v>513</v>
      </c>
      <c r="J496" s="39">
        <v>1.07E-3</v>
      </c>
      <c r="N496" s="41">
        <f>IF(I496=Dashboard!$C$17,1,0)</f>
        <v>0</v>
      </c>
      <c r="O496" s="51">
        <f t="shared" si="33"/>
        <v>0</v>
      </c>
    </row>
    <row r="497" spans="1:15" x14ac:dyDescent="0.25">
      <c r="A497" s="24" t="s">
        <v>514</v>
      </c>
      <c r="B497" s="39">
        <v>1.5349999999999999E-3</v>
      </c>
      <c r="F497" s="41">
        <f>IF(A497=Dashboard!$C$17,1,0)</f>
        <v>0</v>
      </c>
      <c r="G497" s="51">
        <f t="shared" si="32"/>
        <v>0</v>
      </c>
      <c r="H497" s="51"/>
      <c r="I497" s="24" t="s">
        <v>514</v>
      </c>
      <c r="J497" s="39">
        <v>1.5349999999999999E-3</v>
      </c>
      <c r="N497" s="41">
        <f>IF(I497=Dashboard!$C$17,1,0)</f>
        <v>0</v>
      </c>
      <c r="O497" s="51">
        <f t="shared" si="33"/>
        <v>0</v>
      </c>
    </row>
    <row r="498" spans="1:15" x14ac:dyDescent="0.25">
      <c r="A498" s="24" t="s">
        <v>515</v>
      </c>
      <c r="B498" s="39">
        <v>1.374E-3</v>
      </c>
      <c r="F498" s="41">
        <f>IF(A498=Dashboard!$C$17,1,0)</f>
        <v>0</v>
      </c>
      <c r="G498" s="51">
        <f t="shared" si="32"/>
        <v>0</v>
      </c>
      <c r="H498" s="51"/>
      <c r="I498" s="24" t="s">
        <v>515</v>
      </c>
      <c r="J498" s="39">
        <v>1.374E-3</v>
      </c>
      <c r="N498" s="41">
        <f>IF(I498=Dashboard!$C$17,1,0)</f>
        <v>0</v>
      </c>
      <c r="O498" s="51">
        <f t="shared" si="33"/>
        <v>0</v>
      </c>
    </row>
    <row r="499" spans="1:15" x14ac:dyDescent="0.25">
      <c r="A499" s="24" t="s">
        <v>516</v>
      </c>
      <c r="B499" s="39">
        <v>8.7470000000000007E-4</v>
      </c>
      <c r="F499" s="41">
        <f>IF(A499=Dashboard!$C$17,1,0)</f>
        <v>0</v>
      </c>
      <c r="G499" s="51">
        <f t="shared" si="32"/>
        <v>0</v>
      </c>
      <c r="H499" s="51"/>
      <c r="I499" s="24" t="s">
        <v>516</v>
      </c>
      <c r="J499" s="39">
        <v>8.7470000000000007E-4</v>
      </c>
      <c r="N499" s="41">
        <f>IF(I499=Dashboard!$C$17,1,0)</f>
        <v>0</v>
      </c>
      <c r="O499" s="51">
        <f t="shared" si="33"/>
        <v>0</v>
      </c>
    </row>
    <row r="500" spans="1:15" x14ac:dyDescent="0.25">
      <c r="A500" s="24" t="s">
        <v>517</v>
      </c>
      <c r="B500" s="39">
        <v>1.418E-3</v>
      </c>
      <c r="F500" s="41">
        <f>IF(A500=Dashboard!$C$17,1,0)</f>
        <v>0</v>
      </c>
      <c r="G500" s="51">
        <f t="shared" si="32"/>
        <v>0</v>
      </c>
      <c r="H500" s="51"/>
      <c r="I500" s="24" t="s">
        <v>517</v>
      </c>
      <c r="J500" s="39">
        <v>1.418E-3</v>
      </c>
      <c r="N500" s="41">
        <f>IF(I500=Dashboard!$C$17,1,0)</f>
        <v>0</v>
      </c>
      <c r="O500" s="51">
        <f t="shared" si="33"/>
        <v>0</v>
      </c>
    </row>
    <row r="501" spans="1:15" x14ac:dyDescent="0.25">
      <c r="A501" s="24" t="s">
        <v>518</v>
      </c>
      <c r="B501" s="39">
        <v>1.557E-3</v>
      </c>
      <c r="F501" s="41">
        <f>IF(A501=Dashboard!$C$17,1,0)</f>
        <v>0</v>
      </c>
      <c r="G501" s="51">
        <f t="shared" si="32"/>
        <v>0</v>
      </c>
      <c r="H501" s="51"/>
      <c r="I501" s="24" t="s">
        <v>518</v>
      </c>
      <c r="J501" s="39">
        <v>1.557E-3</v>
      </c>
      <c r="N501" s="41">
        <f>IF(I501=Dashboard!$C$17,1,0)</f>
        <v>0</v>
      </c>
      <c r="O501" s="51">
        <f t="shared" si="33"/>
        <v>0</v>
      </c>
    </row>
    <row r="502" spans="1:15" x14ac:dyDescent="0.25">
      <c r="A502" s="24" t="s">
        <v>519</v>
      </c>
      <c r="B502" s="39">
        <v>1.2570000000000001E-3</v>
      </c>
      <c r="F502" s="41">
        <f>IF(A502=Dashboard!$C$17,1,0)</f>
        <v>0</v>
      </c>
      <c r="G502" s="51">
        <f t="shared" si="32"/>
        <v>0</v>
      </c>
      <c r="H502" s="51"/>
      <c r="I502" s="24" t="s">
        <v>519</v>
      </c>
      <c r="J502" s="39">
        <v>1.2570000000000001E-3</v>
      </c>
      <c r="N502" s="41">
        <f>IF(I502=Dashboard!$C$17,1,0)</f>
        <v>0</v>
      </c>
      <c r="O502" s="51">
        <f t="shared" si="33"/>
        <v>0</v>
      </c>
    </row>
    <row r="503" spans="1:15" x14ac:dyDescent="0.25">
      <c r="A503" s="24" t="s">
        <v>520</v>
      </c>
      <c r="B503" s="39">
        <v>1.2790000000000002E-3</v>
      </c>
      <c r="F503" s="41">
        <f>IF(A503=Dashboard!$C$17,1,0)</f>
        <v>0</v>
      </c>
      <c r="G503" s="51">
        <f t="shared" si="32"/>
        <v>0</v>
      </c>
      <c r="H503" s="51"/>
      <c r="I503" s="24" t="s">
        <v>520</v>
      </c>
      <c r="J503" s="39">
        <v>1.2790000000000002E-3</v>
      </c>
      <c r="N503" s="41">
        <f>IF(I503=Dashboard!$C$17,1,0)</f>
        <v>0</v>
      </c>
      <c r="O503" s="51">
        <f t="shared" si="33"/>
        <v>0</v>
      </c>
    </row>
    <row r="504" spans="1:15" x14ac:dyDescent="0.25">
      <c r="A504" s="24" t="s">
        <v>521</v>
      </c>
      <c r="B504" s="39">
        <v>1.266E-3</v>
      </c>
      <c r="F504" s="41">
        <f>IF(A504=Dashboard!$C$17,1,0)</f>
        <v>0</v>
      </c>
      <c r="G504" s="51">
        <f t="shared" si="32"/>
        <v>0</v>
      </c>
      <c r="H504" s="51"/>
      <c r="I504" s="24" t="s">
        <v>521</v>
      </c>
      <c r="J504" s="39">
        <v>1.266E-3</v>
      </c>
      <c r="N504" s="41">
        <f>IF(I504=Dashboard!$C$17,1,0)</f>
        <v>0</v>
      </c>
      <c r="O504" s="51">
        <f t="shared" si="33"/>
        <v>0</v>
      </c>
    </row>
    <row r="505" spans="1:15" x14ac:dyDescent="0.25">
      <c r="A505" s="24" t="s">
        <v>522</v>
      </c>
      <c r="B505" s="39">
        <v>1.1432E-3</v>
      </c>
      <c r="F505" s="41">
        <f>IF(A505=Dashboard!$C$17,1,0)</f>
        <v>0</v>
      </c>
      <c r="G505" s="51">
        <f t="shared" si="32"/>
        <v>0</v>
      </c>
      <c r="H505" s="51"/>
      <c r="I505" s="24" t="s">
        <v>522</v>
      </c>
      <c r="J505" s="39">
        <v>1.1432E-3</v>
      </c>
      <c r="N505" s="41">
        <f>IF(I505=Dashboard!$C$17,1,0)</f>
        <v>0</v>
      </c>
      <c r="O505" s="51">
        <f t="shared" si="33"/>
        <v>0</v>
      </c>
    </row>
    <row r="506" spans="1:15" x14ac:dyDescent="0.25">
      <c r="A506" s="24" t="s">
        <v>523</v>
      </c>
      <c r="B506" s="39">
        <v>1.2049999999999999E-3</v>
      </c>
      <c r="F506" s="41">
        <f>IF(A506=Dashboard!$C$17,1,0)</f>
        <v>0</v>
      </c>
      <c r="G506" s="51">
        <f t="shared" si="32"/>
        <v>0</v>
      </c>
      <c r="H506" s="51"/>
      <c r="I506" s="24" t="s">
        <v>523</v>
      </c>
      <c r="J506" s="39">
        <v>1.2049999999999999E-3</v>
      </c>
      <c r="N506" s="41">
        <f>IF(I506=Dashboard!$C$17,1,0)</f>
        <v>0</v>
      </c>
      <c r="O506" s="51">
        <f t="shared" si="33"/>
        <v>0</v>
      </c>
    </row>
    <row r="507" spans="1:15" x14ac:dyDescent="0.25">
      <c r="A507" s="24" t="s">
        <v>524</v>
      </c>
      <c r="B507" s="39">
        <v>1.498E-3</v>
      </c>
      <c r="F507" s="41">
        <f>IF(A507=Dashboard!$C$17,1,0)</f>
        <v>0</v>
      </c>
      <c r="G507" s="51">
        <f t="shared" si="32"/>
        <v>0</v>
      </c>
      <c r="H507" s="51"/>
      <c r="I507" s="24" t="s">
        <v>524</v>
      </c>
      <c r="J507" s="39">
        <v>1.498E-3</v>
      </c>
      <c r="N507" s="41">
        <f>IF(I507=Dashboard!$C$17,1,0)</f>
        <v>0</v>
      </c>
      <c r="O507" s="51">
        <f t="shared" si="33"/>
        <v>0</v>
      </c>
    </row>
    <row r="508" spans="1:15" x14ac:dyDescent="0.25">
      <c r="A508" s="24" t="s">
        <v>525</v>
      </c>
      <c r="B508" s="39">
        <v>1.4185000000000001E-3</v>
      </c>
      <c r="F508" s="41">
        <f>IF(A508=Dashboard!$C$17,1,0)</f>
        <v>0</v>
      </c>
      <c r="G508" s="51">
        <f t="shared" si="32"/>
        <v>0</v>
      </c>
      <c r="H508" s="51"/>
      <c r="I508" s="24" t="s">
        <v>525</v>
      </c>
      <c r="J508" s="39">
        <v>1.4185000000000001E-3</v>
      </c>
      <c r="N508" s="41">
        <f>IF(I508=Dashboard!$C$17,1,0)</f>
        <v>0</v>
      </c>
      <c r="O508" s="51">
        <f t="shared" si="33"/>
        <v>0</v>
      </c>
    </row>
    <row r="509" spans="1:15" x14ac:dyDescent="0.25">
      <c r="A509" s="24" t="s">
        <v>526</v>
      </c>
      <c r="B509" s="39">
        <v>1.1999999999999999E-3</v>
      </c>
      <c r="F509" s="41">
        <f>IF(A509=Dashboard!$C$17,1,0)</f>
        <v>0</v>
      </c>
      <c r="G509" s="51">
        <f t="shared" si="32"/>
        <v>0</v>
      </c>
      <c r="H509" s="51"/>
      <c r="I509" s="24" t="s">
        <v>526</v>
      </c>
      <c r="J509" s="39">
        <v>1.1999999999999999E-3</v>
      </c>
      <c r="N509" s="41">
        <f>IF(I509=Dashboard!$C$17,1,0)</f>
        <v>0</v>
      </c>
      <c r="O509" s="51">
        <f t="shared" si="33"/>
        <v>0</v>
      </c>
    </row>
    <row r="510" spans="1:15" x14ac:dyDescent="0.25">
      <c r="A510" s="24" t="s">
        <v>527</v>
      </c>
      <c r="B510" s="39">
        <v>1.0680000000000002E-3</v>
      </c>
      <c r="F510" s="41">
        <f>IF(A510=Dashboard!$C$17,1,0)</f>
        <v>0</v>
      </c>
      <c r="G510" s="51">
        <f t="shared" si="32"/>
        <v>0</v>
      </c>
      <c r="H510" s="51"/>
      <c r="I510" s="24" t="s">
        <v>527</v>
      </c>
      <c r="J510" s="39">
        <v>1.0680000000000002E-3</v>
      </c>
      <c r="N510" s="41">
        <f>IF(I510=Dashboard!$C$17,1,0)</f>
        <v>0</v>
      </c>
      <c r="O510" s="51">
        <f t="shared" si="33"/>
        <v>0</v>
      </c>
    </row>
    <row r="511" spans="1:15" x14ac:dyDescent="0.25">
      <c r="A511" s="24" t="s">
        <v>528</v>
      </c>
      <c r="B511" s="39">
        <v>1.1379999999999999E-3</v>
      </c>
      <c r="F511" s="41">
        <f>IF(A511=Dashboard!$C$17,1,0)</f>
        <v>0</v>
      </c>
      <c r="G511" s="51">
        <f t="shared" si="32"/>
        <v>0</v>
      </c>
      <c r="H511" s="51"/>
      <c r="I511" s="24" t="s">
        <v>528</v>
      </c>
      <c r="J511" s="39">
        <v>1.1379999999999999E-3</v>
      </c>
      <c r="N511" s="41">
        <f>IF(I511=Dashboard!$C$17,1,0)</f>
        <v>0</v>
      </c>
      <c r="O511" s="51">
        <f t="shared" si="33"/>
        <v>0</v>
      </c>
    </row>
    <row r="512" spans="1:15" x14ac:dyDescent="0.25">
      <c r="A512" s="24" t="s">
        <v>529</v>
      </c>
      <c r="B512" s="39">
        <v>9.8700000000000003E-4</v>
      </c>
      <c r="F512" s="41">
        <f>IF(A512=Dashboard!$C$17,1,0)</f>
        <v>0</v>
      </c>
      <c r="G512" s="51">
        <f t="shared" si="32"/>
        <v>0</v>
      </c>
      <c r="H512" s="51"/>
      <c r="I512" s="24" t="s">
        <v>529</v>
      </c>
      <c r="J512" s="39">
        <v>9.8700000000000003E-4</v>
      </c>
      <c r="N512" s="41">
        <f>IF(I512=Dashboard!$C$17,1,0)</f>
        <v>0</v>
      </c>
      <c r="O512" s="51">
        <f t="shared" si="33"/>
        <v>0</v>
      </c>
    </row>
    <row r="513" spans="1:15" x14ac:dyDescent="0.25">
      <c r="A513" s="24" t="s">
        <v>530</v>
      </c>
      <c r="B513" s="39">
        <v>1.0460000000000001E-3</v>
      </c>
      <c r="F513" s="41">
        <f>IF(A513=Dashboard!$C$17,1,0)</f>
        <v>0</v>
      </c>
      <c r="G513" s="51">
        <f t="shared" si="32"/>
        <v>0</v>
      </c>
      <c r="H513" s="51"/>
      <c r="I513" s="24" t="s">
        <v>530</v>
      </c>
      <c r="J513" s="39">
        <v>1.0460000000000001E-3</v>
      </c>
      <c r="N513" s="41">
        <f>IF(I513=Dashboard!$C$17,1,0)</f>
        <v>0</v>
      </c>
      <c r="O513" s="51">
        <f t="shared" si="33"/>
        <v>0</v>
      </c>
    </row>
    <row r="514" spans="1:15" x14ac:dyDescent="0.25">
      <c r="A514" s="24" t="s">
        <v>531</v>
      </c>
      <c r="B514" s="39">
        <v>1.2750000000000001E-3</v>
      </c>
      <c r="F514" s="41">
        <f>IF(A514=Dashboard!$C$17,1,0)</f>
        <v>0</v>
      </c>
      <c r="G514" s="51">
        <f t="shared" si="32"/>
        <v>0</v>
      </c>
      <c r="H514" s="51"/>
      <c r="I514" s="24" t="s">
        <v>531</v>
      </c>
      <c r="J514" s="39">
        <v>1.2750000000000001E-3</v>
      </c>
      <c r="N514" s="41">
        <f>IF(I514=Dashboard!$C$17,1,0)</f>
        <v>0</v>
      </c>
      <c r="O514" s="51">
        <f t="shared" si="33"/>
        <v>0</v>
      </c>
    </row>
    <row r="515" spans="1:15" x14ac:dyDescent="0.25">
      <c r="A515" s="24" t="s">
        <v>532</v>
      </c>
      <c r="B515" s="39">
        <v>1.078E-3</v>
      </c>
      <c r="F515" s="41">
        <f>IF(A515=Dashboard!$C$17,1,0)</f>
        <v>0</v>
      </c>
      <c r="G515" s="51">
        <f t="shared" si="32"/>
        <v>0</v>
      </c>
      <c r="H515" s="51"/>
      <c r="I515" s="24" t="s">
        <v>532</v>
      </c>
      <c r="J515" s="39">
        <v>1.078E-3</v>
      </c>
      <c r="N515" s="41">
        <f>IF(I515=Dashboard!$C$17,1,0)</f>
        <v>0</v>
      </c>
      <c r="O515" s="51">
        <f t="shared" si="33"/>
        <v>0</v>
      </c>
    </row>
    <row r="516" spans="1:15" x14ac:dyDescent="0.25">
      <c r="A516" s="24" t="s">
        <v>533</v>
      </c>
      <c r="B516" s="39">
        <v>1.7699999999999999E-3</v>
      </c>
      <c r="F516" s="41">
        <f>IF(A516=Dashboard!$C$17,1,0)</f>
        <v>0</v>
      </c>
      <c r="G516" s="51">
        <f t="shared" si="32"/>
        <v>0</v>
      </c>
      <c r="H516" s="51"/>
      <c r="I516" s="24" t="s">
        <v>533</v>
      </c>
      <c r="J516" s="39">
        <v>1.7699999999999999E-3</v>
      </c>
      <c r="N516" s="41">
        <f>IF(I516=Dashboard!$C$17,1,0)</f>
        <v>0</v>
      </c>
      <c r="O516" s="51">
        <f t="shared" si="33"/>
        <v>0</v>
      </c>
    </row>
    <row r="517" spans="1:15" x14ac:dyDescent="0.25">
      <c r="A517" s="24" t="s">
        <v>534</v>
      </c>
      <c r="B517" s="39">
        <v>1.2909999999999998E-3</v>
      </c>
      <c r="F517" s="41">
        <f>IF(A517=Dashboard!$C$17,1,0)</f>
        <v>0</v>
      </c>
      <c r="G517" s="51">
        <f t="shared" si="32"/>
        <v>0</v>
      </c>
      <c r="H517" s="51"/>
      <c r="I517" s="24" t="s">
        <v>534</v>
      </c>
      <c r="J517" s="39">
        <v>1.2909999999999998E-3</v>
      </c>
      <c r="N517" s="41">
        <f>IF(I517=Dashboard!$C$17,1,0)</f>
        <v>0</v>
      </c>
      <c r="O517" s="51">
        <f t="shared" si="33"/>
        <v>0</v>
      </c>
    </row>
    <row r="518" spans="1:15" x14ac:dyDescent="0.25">
      <c r="A518" s="24" t="s">
        <v>535</v>
      </c>
      <c r="B518" s="39">
        <v>1.5379999999999999E-3</v>
      </c>
      <c r="F518" s="41">
        <f>IF(A518=Dashboard!$C$17,1,0)</f>
        <v>0</v>
      </c>
      <c r="G518" s="51">
        <f t="shared" si="32"/>
        <v>0</v>
      </c>
      <c r="H518" s="51"/>
      <c r="I518" s="24" t="s">
        <v>535</v>
      </c>
      <c r="J518" s="39">
        <v>1.5379999999999999E-3</v>
      </c>
      <c r="N518" s="41">
        <f>IF(I518=Dashboard!$C$17,1,0)</f>
        <v>0</v>
      </c>
      <c r="O518" s="51">
        <f t="shared" si="33"/>
        <v>0</v>
      </c>
    </row>
    <row r="519" spans="1:15" x14ac:dyDescent="0.25">
      <c r="A519" s="24" t="s">
        <v>536</v>
      </c>
      <c r="B519" s="39">
        <v>9.1700000000000006E-4</v>
      </c>
      <c r="F519" s="41">
        <f>IF(A519=Dashboard!$C$17,1,0)</f>
        <v>0</v>
      </c>
      <c r="G519" s="51">
        <f t="shared" si="32"/>
        <v>0</v>
      </c>
      <c r="H519" s="51"/>
      <c r="I519" s="24" t="s">
        <v>536</v>
      </c>
      <c r="J519" s="39">
        <v>9.1700000000000006E-4</v>
      </c>
      <c r="N519" s="41">
        <f>IF(I519=Dashboard!$C$17,1,0)</f>
        <v>0</v>
      </c>
      <c r="O519" s="51">
        <f t="shared" si="33"/>
        <v>0</v>
      </c>
    </row>
    <row r="520" spans="1:15" x14ac:dyDescent="0.25">
      <c r="A520" s="24" t="s">
        <v>537</v>
      </c>
      <c r="B520" s="39">
        <v>1.0839999999999999E-3</v>
      </c>
      <c r="F520" s="41">
        <f>IF(A520=Dashboard!$C$17,1,0)</f>
        <v>0</v>
      </c>
      <c r="G520" s="51">
        <f t="shared" si="32"/>
        <v>0</v>
      </c>
      <c r="H520" s="51"/>
      <c r="I520" s="24" t="s">
        <v>537</v>
      </c>
      <c r="J520" s="39">
        <v>1.0839999999999999E-3</v>
      </c>
      <c r="N520" s="41">
        <f>IF(I520=Dashboard!$C$17,1,0)</f>
        <v>0</v>
      </c>
      <c r="O520" s="51">
        <f t="shared" si="33"/>
        <v>0</v>
      </c>
    </row>
    <row r="521" spans="1:15" x14ac:dyDescent="0.25">
      <c r="A521" s="24" t="s">
        <v>538</v>
      </c>
      <c r="B521" s="39">
        <v>1.1749999999999998E-3</v>
      </c>
      <c r="F521" s="41">
        <f>IF(A521=Dashboard!$C$17,1,0)</f>
        <v>0</v>
      </c>
      <c r="G521" s="51">
        <f t="shared" si="32"/>
        <v>0</v>
      </c>
      <c r="H521" s="51"/>
      <c r="I521" s="24" t="s">
        <v>538</v>
      </c>
      <c r="J521" s="39">
        <v>1.1749999999999998E-3</v>
      </c>
      <c r="N521" s="41">
        <f>IF(I521=Dashboard!$C$17,1,0)</f>
        <v>0</v>
      </c>
      <c r="O521" s="51">
        <f t="shared" si="33"/>
        <v>0</v>
      </c>
    </row>
    <row r="522" spans="1:15" x14ac:dyDescent="0.25">
      <c r="A522" s="24" t="s">
        <v>539</v>
      </c>
      <c r="B522" s="39">
        <v>1.384E-3</v>
      </c>
      <c r="F522" s="41">
        <f>IF(A522=Dashboard!$C$17,1,0)</f>
        <v>0</v>
      </c>
      <c r="G522" s="51">
        <f t="shared" si="32"/>
        <v>0</v>
      </c>
      <c r="H522" s="51"/>
      <c r="I522" s="24" t="s">
        <v>539</v>
      </c>
      <c r="J522" s="39">
        <v>1.384E-3</v>
      </c>
      <c r="N522" s="41">
        <f>IF(I522=Dashboard!$C$17,1,0)</f>
        <v>0</v>
      </c>
      <c r="O522" s="51">
        <f t="shared" si="33"/>
        <v>0</v>
      </c>
    </row>
    <row r="523" spans="1:15" x14ac:dyDescent="0.25">
      <c r="A523" s="24" t="s">
        <v>540</v>
      </c>
      <c r="B523" s="39">
        <v>1.4430000000000001E-3</v>
      </c>
      <c r="F523" s="41">
        <f>IF(A523=Dashboard!$C$17,1,0)</f>
        <v>0</v>
      </c>
      <c r="G523" s="51">
        <f t="shared" si="32"/>
        <v>0</v>
      </c>
      <c r="H523" s="51"/>
      <c r="I523" s="24" t="s">
        <v>540</v>
      </c>
      <c r="J523" s="39">
        <v>1.4430000000000001E-3</v>
      </c>
      <c r="N523" s="41">
        <f>IF(I523=Dashboard!$C$17,1,0)</f>
        <v>0</v>
      </c>
      <c r="O523" s="51">
        <f t="shared" si="33"/>
        <v>0</v>
      </c>
    </row>
    <row r="524" spans="1:15" x14ac:dyDescent="0.25">
      <c r="A524" s="24" t="s">
        <v>541</v>
      </c>
      <c r="B524" s="39">
        <v>1.8749999999999999E-3</v>
      </c>
      <c r="F524" s="41">
        <f>IF(A524=Dashboard!$C$17,1,0)</f>
        <v>0</v>
      </c>
      <c r="G524" s="51">
        <f t="shared" si="32"/>
        <v>0</v>
      </c>
      <c r="H524" s="51"/>
      <c r="I524" s="24" t="s">
        <v>541</v>
      </c>
      <c r="J524" s="39">
        <v>1.8749999999999999E-3</v>
      </c>
      <c r="N524" s="41">
        <f>IF(I524=Dashboard!$C$17,1,0)</f>
        <v>0</v>
      </c>
      <c r="O524" s="51">
        <f t="shared" si="33"/>
        <v>0</v>
      </c>
    </row>
    <row r="525" spans="1:15" x14ac:dyDescent="0.25">
      <c r="A525" s="24" t="s">
        <v>542</v>
      </c>
      <c r="B525" s="39">
        <v>1.1490000000000001E-3</v>
      </c>
      <c r="F525" s="41">
        <f>IF(A525=Dashboard!$C$17,1,0)</f>
        <v>0</v>
      </c>
      <c r="G525" s="51">
        <f t="shared" si="32"/>
        <v>0</v>
      </c>
      <c r="H525" s="51"/>
      <c r="I525" s="24" t="s">
        <v>542</v>
      </c>
      <c r="J525" s="39">
        <v>1.1490000000000001E-3</v>
      </c>
      <c r="N525" s="41">
        <f>IF(I525=Dashboard!$C$17,1,0)</f>
        <v>0</v>
      </c>
      <c r="O525" s="51">
        <f t="shared" si="33"/>
        <v>0</v>
      </c>
    </row>
    <row r="526" spans="1:15" x14ac:dyDescent="0.25">
      <c r="A526" s="24" t="s">
        <v>543</v>
      </c>
      <c r="B526" s="39">
        <v>1.158E-3</v>
      </c>
      <c r="F526" s="41">
        <f>IF(A526=Dashboard!$C$17,1,0)</f>
        <v>0</v>
      </c>
      <c r="G526" s="51">
        <f t="shared" si="32"/>
        <v>0</v>
      </c>
      <c r="H526" s="51"/>
      <c r="I526" s="24" t="s">
        <v>543</v>
      </c>
      <c r="J526" s="39">
        <v>1.158E-3</v>
      </c>
      <c r="N526" s="41">
        <f>IF(I526=Dashboard!$C$17,1,0)</f>
        <v>0</v>
      </c>
      <c r="O526" s="51">
        <f t="shared" si="33"/>
        <v>0</v>
      </c>
    </row>
    <row r="527" spans="1:15" x14ac:dyDescent="0.25">
      <c r="A527" s="24" t="s">
        <v>544</v>
      </c>
      <c r="B527" s="39">
        <v>1.268E-3</v>
      </c>
      <c r="F527" s="41">
        <f>IF(A527=Dashboard!$C$17,1,0)</f>
        <v>0</v>
      </c>
      <c r="G527" s="51">
        <f t="shared" si="32"/>
        <v>0</v>
      </c>
      <c r="H527" s="51"/>
      <c r="I527" s="24" t="s">
        <v>544</v>
      </c>
      <c r="J527" s="39">
        <v>1.268E-3</v>
      </c>
      <c r="N527" s="41">
        <f>IF(I527=Dashboard!$C$17,1,0)</f>
        <v>0</v>
      </c>
      <c r="O527" s="51">
        <f t="shared" si="33"/>
        <v>0</v>
      </c>
    </row>
    <row r="528" spans="1:15" x14ac:dyDescent="0.25">
      <c r="A528" s="24" t="s">
        <v>545</v>
      </c>
      <c r="B528" s="39">
        <v>1.33E-3</v>
      </c>
      <c r="F528" s="41">
        <f>IF(A528=Dashboard!$C$17,1,0)</f>
        <v>0</v>
      </c>
      <c r="G528" s="51">
        <f t="shared" si="32"/>
        <v>0</v>
      </c>
      <c r="H528" s="51"/>
      <c r="I528" s="24" t="s">
        <v>545</v>
      </c>
      <c r="J528" s="39">
        <v>1.33E-3</v>
      </c>
      <c r="N528" s="41">
        <f>IF(I528=Dashboard!$C$17,1,0)</f>
        <v>0</v>
      </c>
      <c r="O528" s="51">
        <f t="shared" si="33"/>
        <v>0</v>
      </c>
    </row>
    <row r="529" spans="1:15" x14ac:dyDescent="0.25">
      <c r="A529" s="24" t="s">
        <v>546</v>
      </c>
      <c r="B529" s="39">
        <v>1.1770000000000001E-3</v>
      </c>
      <c r="F529" s="41">
        <f>IF(A529=Dashboard!$C$17,1,0)</f>
        <v>0</v>
      </c>
      <c r="G529" s="51">
        <f t="shared" si="32"/>
        <v>0</v>
      </c>
      <c r="H529" s="51"/>
      <c r="I529" s="24" t="s">
        <v>546</v>
      </c>
      <c r="J529" s="39">
        <v>1.1770000000000001E-3</v>
      </c>
      <c r="N529" s="41">
        <f>IF(I529=Dashboard!$C$17,1,0)</f>
        <v>0</v>
      </c>
      <c r="O529" s="51">
        <f t="shared" si="33"/>
        <v>0</v>
      </c>
    </row>
    <row r="530" spans="1:15" x14ac:dyDescent="0.25">
      <c r="A530" s="24" t="s">
        <v>547</v>
      </c>
      <c r="B530" s="39">
        <v>1.078E-3</v>
      </c>
      <c r="F530" s="41">
        <f>IF(A530=Dashboard!$C$17,1,0)</f>
        <v>0</v>
      </c>
      <c r="G530" s="51">
        <f t="shared" si="32"/>
        <v>0</v>
      </c>
      <c r="H530" s="51"/>
      <c r="I530" s="24" t="s">
        <v>547</v>
      </c>
      <c r="J530" s="39">
        <v>1.078E-3</v>
      </c>
      <c r="N530" s="41">
        <f>IF(I530=Dashboard!$C$17,1,0)</f>
        <v>0</v>
      </c>
      <c r="O530" s="51">
        <f t="shared" si="33"/>
        <v>0</v>
      </c>
    </row>
    <row r="531" spans="1:15" x14ac:dyDescent="0.25">
      <c r="A531" s="24" t="s">
        <v>548</v>
      </c>
      <c r="B531" s="39">
        <v>1.5210000000000002E-3</v>
      </c>
      <c r="F531" s="41">
        <f>IF(A531=Dashboard!$C$17,1,0)</f>
        <v>0</v>
      </c>
      <c r="G531" s="51">
        <f t="shared" si="32"/>
        <v>0</v>
      </c>
      <c r="H531" s="51"/>
      <c r="I531" s="24" t="s">
        <v>548</v>
      </c>
      <c r="J531" s="39">
        <v>1.5210000000000002E-3</v>
      </c>
      <c r="N531" s="41">
        <f>IF(I531=Dashboard!$C$17,1,0)</f>
        <v>0</v>
      </c>
      <c r="O531" s="51">
        <f t="shared" si="33"/>
        <v>0</v>
      </c>
    </row>
    <row r="532" spans="1:15" x14ac:dyDescent="0.25">
      <c r="A532" s="24" t="s">
        <v>549</v>
      </c>
      <c r="B532" s="39">
        <v>1.238E-3</v>
      </c>
      <c r="F532" s="41">
        <f>IF(A532=Dashboard!$C$17,1,0)</f>
        <v>0</v>
      </c>
      <c r="G532" s="51">
        <f t="shared" si="32"/>
        <v>0</v>
      </c>
      <c r="H532" s="51"/>
      <c r="I532" s="24" t="s">
        <v>549</v>
      </c>
      <c r="J532" s="39">
        <v>1.238E-3</v>
      </c>
      <c r="N532" s="41">
        <f>IF(I532=Dashboard!$C$17,1,0)</f>
        <v>0</v>
      </c>
      <c r="O532" s="51">
        <f t="shared" si="33"/>
        <v>0</v>
      </c>
    </row>
    <row r="533" spans="1:15" x14ac:dyDescent="0.25">
      <c r="A533" s="24" t="s">
        <v>550</v>
      </c>
      <c r="B533" s="39">
        <v>1.263E-3</v>
      </c>
      <c r="F533" s="41">
        <f>IF(A533=Dashboard!$C$17,1,0)</f>
        <v>0</v>
      </c>
      <c r="G533" s="51">
        <f t="shared" si="32"/>
        <v>0</v>
      </c>
      <c r="H533" s="51"/>
      <c r="I533" s="24" t="s">
        <v>550</v>
      </c>
      <c r="J533" s="39">
        <v>1.263E-3</v>
      </c>
      <c r="N533" s="41">
        <f>IF(I533=Dashboard!$C$17,1,0)</f>
        <v>0</v>
      </c>
      <c r="O533" s="51">
        <f t="shared" si="33"/>
        <v>0</v>
      </c>
    </row>
    <row r="534" spans="1:15" x14ac:dyDescent="0.25">
      <c r="A534" s="24" t="s">
        <v>551</v>
      </c>
      <c r="B534" s="39">
        <v>1.237E-3</v>
      </c>
      <c r="F534" s="41">
        <f>IF(A534=Dashboard!$C$17,1,0)</f>
        <v>0</v>
      </c>
      <c r="G534" s="51">
        <f t="shared" si="32"/>
        <v>0</v>
      </c>
      <c r="H534" s="51"/>
      <c r="I534" s="24" t="s">
        <v>551</v>
      </c>
      <c r="J534" s="39">
        <v>1.237E-3</v>
      </c>
      <c r="N534" s="41">
        <f>IF(I534=Dashboard!$C$17,1,0)</f>
        <v>0</v>
      </c>
      <c r="O534" s="51">
        <f t="shared" si="33"/>
        <v>0</v>
      </c>
    </row>
    <row r="535" spans="1:15" x14ac:dyDescent="0.25">
      <c r="A535" s="24" t="s">
        <v>552</v>
      </c>
      <c r="B535" s="39">
        <v>1.0839999999999999E-3</v>
      </c>
      <c r="F535" s="41">
        <f>IF(A535=Dashboard!$C$17,1,0)</f>
        <v>0</v>
      </c>
      <c r="G535" s="51">
        <f t="shared" si="32"/>
        <v>0</v>
      </c>
      <c r="H535" s="51"/>
      <c r="I535" s="24" t="s">
        <v>552</v>
      </c>
      <c r="J535" s="39">
        <v>1.0839999999999999E-3</v>
      </c>
      <c r="N535" s="41">
        <f>IF(I535=Dashboard!$C$17,1,0)</f>
        <v>0</v>
      </c>
      <c r="O535" s="51">
        <f t="shared" si="33"/>
        <v>0</v>
      </c>
    </row>
    <row r="536" spans="1:15" x14ac:dyDescent="0.25">
      <c r="A536" s="24" t="s">
        <v>553</v>
      </c>
      <c r="B536" s="39">
        <v>1.181E-3</v>
      </c>
      <c r="F536" s="41">
        <f>IF(A536=Dashboard!$C$17,1,0)</f>
        <v>0</v>
      </c>
      <c r="G536" s="51">
        <f t="shared" si="32"/>
        <v>0</v>
      </c>
      <c r="H536" s="51"/>
      <c r="I536" s="24" t="s">
        <v>553</v>
      </c>
      <c r="J536" s="39">
        <v>1.181E-3</v>
      </c>
      <c r="N536" s="41">
        <f>IF(I536=Dashboard!$C$17,1,0)</f>
        <v>0</v>
      </c>
      <c r="O536" s="51">
        <f t="shared" si="33"/>
        <v>0</v>
      </c>
    </row>
    <row r="537" spans="1:15" x14ac:dyDescent="0.25">
      <c r="A537" s="24" t="s">
        <v>554</v>
      </c>
      <c r="B537" s="39">
        <v>9.1100000000000003E-4</v>
      </c>
      <c r="F537" s="41">
        <f>IF(A537=Dashboard!$C$17,1,0)</f>
        <v>0</v>
      </c>
      <c r="G537" s="51">
        <f t="shared" si="32"/>
        <v>0</v>
      </c>
      <c r="H537" s="51"/>
      <c r="I537" s="24" t="s">
        <v>554</v>
      </c>
      <c r="J537" s="39">
        <v>9.1100000000000003E-4</v>
      </c>
      <c r="N537" s="41">
        <f>IF(I537=Dashboard!$C$17,1,0)</f>
        <v>0</v>
      </c>
      <c r="O537" s="51">
        <f t="shared" si="33"/>
        <v>0</v>
      </c>
    </row>
    <row r="538" spans="1:15" x14ac:dyDescent="0.25">
      <c r="A538" s="24" t="s">
        <v>555</v>
      </c>
      <c r="B538" s="39">
        <v>1.555E-3</v>
      </c>
      <c r="F538" s="41">
        <f>IF(A538=Dashboard!$C$17,1,0)</f>
        <v>0</v>
      </c>
      <c r="G538" s="51">
        <f t="shared" si="32"/>
        <v>0</v>
      </c>
      <c r="H538" s="51"/>
      <c r="I538" s="24" t="s">
        <v>555</v>
      </c>
      <c r="J538" s="39">
        <v>1.555E-3</v>
      </c>
      <c r="N538" s="41">
        <f>IF(I538=Dashboard!$C$17,1,0)</f>
        <v>0</v>
      </c>
      <c r="O538" s="51">
        <f t="shared" si="33"/>
        <v>0</v>
      </c>
    </row>
    <row r="539" spans="1:15" x14ac:dyDescent="0.25">
      <c r="A539" s="24" t="s">
        <v>556</v>
      </c>
      <c r="B539" s="39">
        <v>1.8879999999999999E-3</v>
      </c>
      <c r="F539" s="41">
        <f>IF(A539=Dashboard!$C$17,1,0)</f>
        <v>0</v>
      </c>
      <c r="G539" s="51">
        <f t="shared" si="32"/>
        <v>0</v>
      </c>
      <c r="H539" s="51"/>
      <c r="I539" s="24" t="s">
        <v>556</v>
      </c>
      <c r="J539" s="39">
        <v>1.8879999999999999E-3</v>
      </c>
      <c r="N539" s="41">
        <f>IF(I539=Dashboard!$C$17,1,0)</f>
        <v>0</v>
      </c>
      <c r="O539" s="51">
        <f t="shared" si="33"/>
        <v>0</v>
      </c>
    </row>
    <row r="540" spans="1:15" x14ac:dyDescent="0.25">
      <c r="A540" s="24" t="s">
        <v>557</v>
      </c>
      <c r="B540" s="39">
        <v>1.2489999999999999E-3</v>
      </c>
      <c r="F540" s="41">
        <f>IF(A540=Dashboard!$C$17,1,0)</f>
        <v>0</v>
      </c>
      <c r="G540" s="51">
        <f t="shared" ref="G540:G547" si="34">F540*B540</f>
        <v>0</v>
      </c>
      <c r="H540" s="51"/>
      <c r="I540" s="24" t="s">
        <v>557</v>
      </c>
      <c r="J540" s="39">
        <v>1.2489999999999999E-3</v>
      </c>
      <c r="N540" s="41">
        <f>IF(I540=Dashboard!$C$17,1,0)</f>
        <v>0</v>
      </c>
      <c r="O540" s="51">
        <f t="shared" ref="O540:O547" si="35">N540*J540</f>
        <v>0</v>
      </c>
    </row>
    <row r="541" spans="1:15" x14ac:dyDescent="0.25">
      <c r="A541" s="24" t="s">
        <v>558</v>
      </c>
      <c r="B541" s="39">
        <v>1.7280000000000002E-3</v>
      </c>
      <c r="F541" s="41">
        <f>IF(A541=Dashboard!$C$17,1,0)</f>
        <v>0</v>
      </c>
      <c r="G541" s="51">
        <f t="shared" si="34"/>
        <v>0</v>
      </c>
      <c r="H541" s="51"/>
      <c r="I541" s="24" t="s">
        <v>558</v>
      </c>
      <c r="J541" s="39">
        <v>1.7280000000000002E-3</v>
      </c>
      <c r="N541" s="41">
        <f>IF(I541=Dashboard!$C$17,1,0)</f>
        <v>0</v>
      </c>
      <c r="O541" s="51">
        <f t="shared" si="35"/>
        <v>0</v>
      </c>
    </row>
    <row r="542" spans="1:15" x14ac:dyDescent="0.25">
      <c r="A542" s="24" t="s">
        <v>559</v>
      </c>
      <c r="B542" s="39">
        <v>1.377E-3</v>
      </c>
      <c r="F542" s="41">
        <f>IF(A542=Dashboard!$C$17,1,0)</f>
        <v>0</v>
      </c>
      <c r="G542" s="51">
        <f t="shared" si="34"/>
        <v>0</v>
      </c>
      <c r="H542" s="51"/>
      <c r="I542" s="24" t="s">
        <v>559</v>
      </c>
      <c r="J542" s="39">
        <v>1.377E-3</v>
      </c>
      <c r="N542" s="41">
        <f>IF(I542=Dashboard!$C$17,1,0)</f>
        <v>0</v>
      </c>
      <c r="O542" s="51">
        <f t="shared" si="35"/>
        <v>0</v>
      </c>
    </row>
    <row r="543" spans="1:15" x14ac:dyDescent="0.25">
      <c r="A543" s="24" t="s">
        <v>560</v>
      </c>
      <c r="B543" s="39">
        <v>1.168E-3</v>
      </c>
      <c r="F543" s="41">
        <f>IF(A543=Dashboard!$C$17,1,0)</f>
        <v>0</v>
      </c>
      <c r="G543" s="51">
        <f t="shared" si="34"/>
        <v>0</v>
      </c>
      <c r="H543" s="51"/>
      <c r="I543" s="24" t="s">
        <v>560</v>
      </c>
      <c r="J543" s="39">
        <v>1.168E-3</v>
      </c>
      <c r="N543" s="41">
        <f>IF(I543=Dashboard!$C$17,1,0)</f>
        <v>0</v>
      </c>
      <c r="O543" s="51">
        <f t="shared" si="35"/>
        <v>0</v>
      </c>
    </row>
    <row r="544" spans="1:15" x14ac:dyDescent="0.25">
      <c r="A544" s="24" t="s">
        <v>561</v>
      </c>
      <c r="B544" s="39">
        <v>1.271E-3</v>
      </c>
      <c r="F544" s="41">
        <f>IF(A544=Dashboard!$C$17,1,0)</f>
        <v>0</v>
      </c>
      <c r="G544" s="51">
        <f t="shared" si="34"/>
        <v>0</v>
      </c>
      <c r="H544" s="51"/>
      <c r="I544" s="24" t="s">
        <v>561</v>
      </c>
      <c r="J544" s="39">
        <v>1.271E-3</v>
      </c>
      <c r="N544" s="41">
        <f>IF(I544=Dashboard!$C$17,1,0)</f>
        <v>0</v>
      </c>
      <c r="O544" s="51">
        <f t="shared" si="35"/>
        <v>0</v>
      </c>
    </row>
    <row r="545" spans="1:15" x14ac:dyDescent="0.25">
      <c r="A545" s="24" t="s">
        <v>562</v>
      </c>
      <c r="B545" s="39">
        <v>1.2049999999999999E-3</v>
      </c>
      <c r="F545" s="41">
        <f>IF(A545=Dashboard!$C$17,1,0)</f>
        <v>0</v>
      </c>
      <c r="G545" s="51">
        <f t="shared" si="34"/>
        <v>0</v>
      </c>
      <c r="H545" s="51"/>
      <c r="I545" s="24" t="s">
        <v>562</v>
      </c>
      <c r="J545" s="39">
        <v>1.2049999999999999E-3</v>
      </c>
      <c r="N545" s="41">
        <f>IF(I545=Dashboard!$C$17,1,0)</f>
        <v>0</v>
      </c>
      <c r="O545" s="51">
        <f t="shared" si="35"/>
        <v>0</v>
      </c>
    </row>
    <row r="546" spans="1:15" x14ac:dyDescent="0.25">
      <c r="A546" s="24" t="s">
        <v>563</v>
      </c>
      <c r="B546" s="39">
        <v>1.3880000000000001E-3</v>
      </c>
      <c r="F546" s="41">
        <f>IF(A546=Dashboard!$C$17,1,0)</f>
        <v>0</v>
      </c>
      <c r="G546" s="51">
        <f t="shared" si="34"/>
        <v>0</v>
      </c>
      <c r="H546" s="51"/>
      <c r="I546" s="24" t="s">
        <v>563</v>
      </c>
      <c r="J546" s="39">
        <v>1.3880000000000001E-3</v>
      </c>
      <c r="N546" s="41">
        <f>IF(I546=Dashboard!$C$17,1,0)</f>
        <v>0</v>
      </c>
      <c r="O546" s="51">
        <f t="shared" si="35"/>
        <v>0</v>
      </c>
    </row>
    <row r="547" spans="1:15" x14ac:dyDescent="0.25">
      <c r="A547" s="24" t="s">
        <v>564</v>
      </c>
      <c r="B547" s="39">
        <v>1.3309999999999999E-3</v>
      </c>
      <c r="F547" s="41">
        <f>IF(A547=Dashboard!$C$17,1,0)</f>
        <v>0</v>
      </c>
      <c r="G547" s="51">
        <f t="shared" si="34"/>
        <v>0</v>
      </c>
      <c r="H547" s="51"/>
      <c r="I547" s="24" t="s">
        <v>564</v>
      </c>
      <c r="J547" s="39">
        <v>1.3309999999999999E-3</v>
      </c>
      <c r="N547" s="41">
        <f>IF(I547=Dashboard!$C$17,1,0)</f>
        <v>0</v>
      </c>
      <c r="O547" s="51">
        <f t="shared" si="35"/>
        <v>0</v>
      </c>
    </row>
    <row r="548" spans="1:15" x14ac:dyDescent="0.25">
      <c r="B548" s="39"/>
      <c r="G548" s="50"/>
      <c r="H548" s="50"/>
      <c r="J548" s="39"/>
      <c r="O548" s="50"/>
    </row>
    <row r="549" spans="1:15" x14ac:dyDescent="0.25">
      <c r="A549" s="27" t="s">
        <v>565</v>
      </c>
      <c r="B549" s="28"/>
      <c r="C549" s="28"/>
      <c r="D549" s="28"/>
      <c r="E549" s="28"/>
      <c r="F549" s="28"/>
      <c r="I549" s="27" t="s">
        <v>565</v>
      </c>
      <c r="J549" s="28"/>
      <c r="K549" s="28"/>
      <c r="L549" s="28"/>
      <c r="M549" s="28"/>
      <c r="N549" s="28"/>
    </row>
    <row r="550" spans="1:15" x14ac:dyDescent="0.25">
      <c r="A550" s="52" t="s">
        <v>566</v>
      </c>
      <c r="B550" s="53">
        <v>1.7000000000000001E-2</v>
      </c>
      <c r="C550" s="52" t="s">
        <v>567</v>
      </c>
      <c r="D550" s="52"/>
      <c r="E550" s="52"/>
      <c r="F550" s="52"/>
      <c r="G550" s="50">
        <f>B550*$B$38</f>
        <v>536.35</v>
      </c>
      <c r="H550" s="50"/>
      <c r="I550" s="52" t="s">
        <v>566</v>
      </c>
      <c r="J550" s="53">
        <v>1.7000000000000001E-2</v>
      </c>
      <c r="K550" s="52" t="s">
        <v>567</v>
      </c>
      <c r="L550" s="52"/>
      <c r="M550" s="52"/>
      <c r="N550" s="52"/>
      <c r="O550" s="50">
        <f>J550*$J$38</f>
        <v>0</v>
      </c>
    </row>
    <row r="552" spans="1:15" x14ac:dyDescent="0.25">
      <c r="A552" s="23" t="s">
        <v>568</v>
      </c>
      <c r="B552" s="23"/>
      <c r="C552" s="23"/>
      <c r="D552" s="23"/>
      <c r="E552" s="23"/>
      <c r="F552" s="23"/>
      <c r="I552" s="23" t="s">
        <v>568</v>
      </c>
      <c r="J552" s="23"/>
      <c r="K552" s="23"/>
      <c r="L552" s="23"/>
      <c r="M552" s="23"/>
      <c r="N552" s="23"/>
    </row>
    <row r="553" spans="1:15" x14ac:dyDescent="0.25">
      <c r="A553" s="24" t="s">
        <v>569</v>
      </c>
      <c r="B553" s="39">
        <v>7.0000000000000001E-3</v>
      </c>
      <c r="I553" s="24" t="s">
        <v>569</v>
      </c>
      <c r="J553" s="39">
        <v>7.0000000000000001E-3</v>
      </c>
    </row>
    <row r="554" spans="1:15" x14ac:dyDescent="0.25">
      <c r="A554" s="24" t="s">
        <v>570</v>
      </c>
      <c r="B554" s="34">
        <f>B553+SUM(G567:G581)</f>
        <v>8.3000000000000001E-3</v>
      </c>
      <c r="I554" s="24" t="s">
        <v>570</v>
      </c>
      <c r="J554" s="34">
        <f>J553+SUM(O567:O581)</f>
        <v>8.3000000000000001E-3</v>
      </c>
    </row>
    <row r="555" spans="1:15" x14ac:dyDescent="0.25">
      <c r="A555" s="24" t="s">
        <v>568</v>
      </c>
      <c r="B555" s="34">
        <f>B554+B558+B559</f>
        <v>7.4899999999999994E-2</v>
      </c>
      <c r="I555" s="24" t="s">
        <v>568</v>
      </c>
      <c r="J555" s="34">
        <f>J554+J558+J559</f>
        <v>7.4899999999999994E-2</v>
      </c>
    </row>
    <row r="557" spans="1:15" x14ac:dyDescent="0.25">
      <c r="A557" s="27" t="s">
        <v>571</v>
      </c>
      <c r="B557" s="28"/>
      <c r="C557" s="28"/>
      <c r="D557" s="28"/>
      <c r="E557" s="28"/>
      <c r="F557" s="28"/>
      <c r="I557" s="27" t="s">
        <v>571</v>
      </c>
      <c r="J557" s="28"/>
      <c r="K557" s="28"/>
      <c r="L557" s="28"/>
      <c r="M557" s="28"/>
      <c r="N557" s="28"/>
    </row>
    <row r="558" spans="1:15" x14ac:dyDescent="0.25">
      <c r="A558" s="24" t="s">
        <v>572</v>
      </c>
      <c r="B558" s="39">
        <v>1.7600000000000001E-2</v>
      </c>
      <c r="I558" s="24" t="s">
        <v>572</v>
      </c>
      <c r="J558" s="39">
        <v>1.7600000000000001E-2</v>
      </c>
    </row>
    <row r="559" spans="1:15" x14ac:dyDescent="0.25">
      <c r="A559" s="24" t="s">
        <v>573</v>
      </c>
      <c r="B559" s="34">
        <v>4.9000000000000002E-2</v>
      </c>
      <c r="I559" s="24" t="s">
        <v>573</v>
      </c>
      <c r="J559" s="34">
        <v>4.9000000000000002E-2</v>
      </c>
    </row>
    <row r="561" spans="1:15" x14ac:dyDescent="0.25">
      <c r="A561" s="27" t="s">
        <v>574</v>
      </c>
      <c r="B561" s="28"/>
      <c r="C561" s="28"/>
      <c r="D561" s="28"/>
      <c r="E561" s="28"/>
      <c r="F561" s="28"/>
      <c r="I561" s="27" t="s">
        <v>574</v>
      </c>
      <c r="J561" s="28"/>
      <c r="K561" s="28"/>
      <c r="L561" s="28"/>
      <c r="M561" s="28"/>
      <c r="N561" s="28"/>
    </row>
    <row r="562" spans="1:15" x14ac:dyDescent="0.25">
      <c r="A562" s="24" t="s">
        <v>575</v>
      </c>
      <c r="B562" s="24" t="s">
        <v>576</v>
      </c>
      <c r="I562" s="24" t="s">
        <v>575</v>
      </c>
      <c r="J562" s="24" t="s">
        <v>576</v>
      </c>
    </row>
    <row r="563" spans="1:15" x14ac:dyDescent="0.25">
      <c r="A563" s="24" t="s">
        <v>577</v>
      </c>
      <c r="B563" s="34" t="s">
        <v>118</v>
      </c>
      <c r="I563" s="24" t="s">
        <v>577</v>
      </c>
      <c r="J563" s="34" t="s">
        <v>118</v>
      </c>
    </row>
    <row r="564" spans="1:15" x14ac:dyDescent="0.25">
      <c r="A564" s="24" t="s">
        <v>578</v>
      </c>
      <c r="B564" s="24" t="s">
        <v>579</v>
      </c>
      <c r="I564" s="24" t="s">
        <v>578</v>
      </c>
      <c r="J564" s="24" t="s">
        <v>579</v>
      </c>
    </row>
    <row r="566" spans="1:15" x14ac:dyDescent="0.25">
      <c r="A566" s="27" t="s">
        <v>580</v>
      </c>
      <c r="B566" s="28"/>
      <c r="C566" s="28"/>
      <c r="D566" s="28"/>
      <c r="E566" s="28"/>
      <c r="F566" s="28"/>
      <c r="I566" s="27" t="s">
        <v>580</v>
      </c>
      <c r="J566" s="28"/>
      <c r="K566" s="28"/>
      <c r="L566" s="28"/>
      <c r="M566" s="28"/>
      <c r="N566" s="28"/>
    </row>
    <row r="567" spans="1:15" x14ac:dyDescent="0.25">
      <c r="A567" s="24" t="s">
        <v>576</v>
      </c>
      <c r="B567" s="34">
        <v>0</v>
      </c>
      <c r="C567" s="44">
        <v>0</v>
      </c>
      <c r="D567" s="44">
        <v>1960</v>
      </c>
      <c r="E567" s="44">
        <f>Dashboard!$C$14</f>
        <v>1970</v>
      </c>
      <c r="F567" s="41">
        <f>IF(E567&gt;=C567,IF(E567&lt;D567,1,0),0)</f>
        <v>0</v>
      </c>
      <c r="G567" s="42">
        <f>F567*B567</f>
        <v>0</v>
      </c>
      <c r="H567" s="42"/>
      <c r="I567" s="24" t="s">
        <v>576</v>
      </c>
      <c r="J567" s="34">
        <v>0</v>
      </c>
      <c r="K567" s="44">
        <v>0</v>
      </c>
      <c r="L567" s="44">
        <v>1960</v>
      </c>
      <c r="M567" s="44">
        <f>Dashboard!$C$14</f>
        <v>1970</v>
      </c>
      <c r="N567" s="41">
        <f>IF(M567&gt;=K567,IF(M567&lt;L567,1,0),0)</f>
        <v>0</v>
      </c>
      <c r="O567" s="42">
        <f>N567*J567</f>
        <v>0</v>
      </c>
    </row>
    <row r="568" spans="1:15" x14ac:dyDescent="0.25">
      <c r="A568" s="24" t="s">
        <v>166</v>
      </c>
      <c r="B568" s="34">
        <v>1.2999999999999999E-3</v>
      </c>
      <c r="C568" s="44">
        <v>1959.999</v>
      </c>
      <c r="D568" s="44">
        <v>1975</v>
      </c>
      <c r="E568" s="44">
        <f>Dashboard!$C$14</f>
        <v>1970</v>
      </c>
      <c r="F568" s="41">
        <f>IF(E568&gt;=C568,IF(E568&lt;D568,1,0),0)</f>
        <v>1</v>
      </c>
      <c r="G568" s="42">
        <f>F568*B568</f>
        <v>1.2999999999999999E-3</v>
      </c>
      <c r="H568" s="42"/>
      <c r="I568" s="24" t="s">
        <v>166</v>
      </c>
      <c r="J568" s="34">
        <v>1.2999999999999999E-3</v>
      </c>
      <c r="K568" s="44">
        <v>1959.999</v>
      </c>
      <c r="L568" s="44">
        <v>1975</v>
      </c>
      <c r="M568" s="44">
        <f>Dashboard!$C$14</f>
        <v>1970</v>
      </c>
      <c r="N568" s="41">
        <f>IF(M568&gt;=K568,IF(M568&lt;L568,1,0),0)</f>
        <v>1</v>
      </c>
      <c r="O568" s="42">
        <f>N568*J568</f>
        <v>1.2999999999999999E-3</v>
      </c>
    </row>
    <row r="569" spans="1:15" x14ac:dyDescent="0.25">
      <c r="A569" s="24" t="s">
        <v>167</v>
      </c>
      <c r="B569" s="34">
        <v>-5.9999999999999995E-4</v>
      </c>
      <c r="C569" s="44">
        <f>C568+15</f>
        <v>1974.999</v>
      </c>
      <c r="D569" s="44">
        <v>1990</v>
      </c>
      <c r="E569" s="44">
        <f>Dashboard!$C$14</f>
        <v>1970</v>
      </c>
      <c r="F569" s="41">
        <f>IF(E569&gt;=C569,IF(E569&lt;D569,1,0),0)</f>
        <v>0</v>
      </c>
      <c r="G569" s="42">
        <f>F569*B569</f>
        <v>0</v>
      </c>
      <c r="H569" s="42"/>
      <c r="I569" s="24" t="s">
        <v>167</v>
      </c>
      <c r="J569" s="34">
        <v>-5.9999999999999995E-4</v>
      </c>
      <c r="K569" s="44">
        <f>K568+15</f>
        <v>1974.999</v>
      </c>
      <c r="L569" s="44">
        <v>1990</v>
      </c>
      <c r="M569" s="44">
        <f>Dashboard!$C$14</f>
        <v>1970</v>
      </c>
      <c r="N569" s="41">
        <f>IF(M569&gt;=K569,IF(M569&lt;L569,1,0),0)</f>
        <v>0</v>
      </c>
      <c r="O569" s="42">
        <f>N569*J569</f>
        <v>0</v>
      </c>
    </row>
    <row r="570" spans="1:15" x14ac:dyDescent="0.25">
      <c r="A570" s="24" t="s">
        <v>168</v>
      </c>
      <c r="B570" s="34">
        <v>-2.5000000000000001E-3</v>
      </c>
      <c r="C570" s="44">
        <f>C569+15</f>
        <v>1989.999</v>
      </c>
      <c r="D570" s="44">
        <v>2005</v>
      </c>
      <c r="E570" s="44">
        <f>Dashboard!$C$14</f>
        <v>1970</v>
      </c>
      <c r="F570" s="41">
        <f>IF(E570&gt;=C570,IF(E570&lt;D570,1,0),0)</f>
        <v>0</v>
      </c>
      <c r="G570" s="42">
        <f>F570*B570</f>
        <v>0</v>
      </c>
      <c r="H570" s="42"/>
      <c r="I570" s="24" t="s">
        <v>168</v>
      </c>
      <c r="J570" s="34">
        <v>-2.5000000000000001E-3</v>
      </c>
      <c r="K570" s="44">
        <f>K569+15</f>
        <v>1989.999</v>
      </c>
      <c r="L570" s="44">
        <v>2005</v>
      </c>
      <c r="M570" s="44">
        <f>Dashboard!$C$14</f>
        <v>1970</v>
      </c>
      <c r="N570" s="41">
        <f>IF(M570&gt;=K570,IF(M570&lt;L570,1,0),0)</f>
        <v>0</v>
      </c>
      <c r="O570" s="42">
        <f>N570*J570</f>
        <v>0</v>
      </c>
    </row>
    <row r="571" spans="1:15" x14ac:dyDescent="0.25">
      <c r="A571" s="24" t="s">
        <v>169</v>
      </c>
      <c r="B571" s="34">
        <v>-5.0000000000000001E-3</v>
      </c>
      <c r="C571" s="44">
        <f>C570+15</f>
        <v>2004.999</v>
      </c>
      <c r="D571" s="44">
        <v>2100</v>
      </c>
      <c r="E571" s="44">
        <f>Dashboard!$C$14</f>
        <v>1970</v>
      </c>
      <c r="F571" s="41">
        <f>IF(E571&gt;=C571,IF(E571&lt;D571,1,0),0)</f>
        <v>0</v>
      </c>
      <c r="G571" s="42">
        <f>F571*B571</f>
        <v>0</v>
      </c>
      <c r="H571" s="42"/>
      <c r="I571" s="24" t="s">
        <v>169</v>
      </c>
      <c r="J571" s="34">
        <v>-5.0000000000000001E-3</v>
      </c>
      <c r="K571" s="44">
        <f>K570+15</f>
        <v>2004.999</v>
      </c>
      <c r="L571" s="44">
        <v>2100</v>
      </c>
      <c r="M571" s="44">
        <f>Dashboard!$C$14</f>
        <v>1970</v>
      </c>
      <c r="N571" s="41">
        <f>IF(M571&gt;=K571,IF(M571&lt;L571,1,0),0)</f>
        <v>0</v>
      </c>
      <c r="O571" s="42">
        <f>N571*J571</f>
        <v>0</v>
      </c>
    </row>
    <row r="572" spans="1:15" x14ac:dyDescent="0.25">
      <c r="C572" s="44"/>
      <c r="D572" s="44"/>
      <c r="E572" s="44"/>
      <c r="F572" s="41"/>
      <c r="G572" s="42"/>
      <c r="H572" s="42"/>
      <c r="K572" s="44"/>
      <c r="L572" s="44"/>
      <c r="M572" s="44"/>
      <c r="N572" s="41"/>
      <c r="O572" s="42"/>
    </row>
    <row r="573" spans="1:15" x14ac:dyDescent="0.25">
      <c r="A573" s="27" t="s">
        <v>581</v>
      </c>
      <c r="B573" s="28"/>
      <c r="C573" s="28"/>
      <c r="D573" s="28"/>
      <c r="E573" s="28"/>
      <c r="F573" s="28"/>
      <c r="I573" s="27" t="s">
        <v>581</v>
      </c>
      <c r="J573" s="28"/>
      <c r="K573" s="28"/>
      <c r="L573" s="28"/>
      <c r="M573" s="28"/>
      <c r="N573" s="28"/>
    </row>
    <row r="574" spans="1:15" x14ac:dyDescent="0.25">
      <c r="A574" s="24" t="s">
        <v>118</v>
      </c>
      <c r="B574" s="34">
        <v>0</v>
      </c>
      <c r="C574" s="44" t="str">
        <f>$C$75</f>
        <v>EGW</v>
      </c>
      <c r="F574" s="41">
        <f>IF(C574=A574,1,0)</f>
        <v>1</v>
      </c>
      <c r="G574" s="51">
        <f>F574*B574</f>
        <v>0</v>
      </c>
      <c r="H574" s="51"/>
      <c r="I574" s="24" t="s">
        <v>118</v>
      </c>
      <c r="J574" s="34">
        <v>0</v>
      </c>
      <c r="K574" s="44" t="str">
        <f>$K$75</f>
        <v>EGW</v>
      </c>
      <c r="N574" s="41">
        <f>IF(K574=I574,1,0)</f>
        <v>1</v>
      </c>
      <c r="O574" s="51">
        <f>N574*J574</f>
        <v>0</v>
      </c>
    </row>
    <row r="575" spans="1:15" x14ac:dyDescent="0.25">
      <c r="A575" s="24" t="s">
        <v>89</v>
      </c>
      <c r="B575" s="34">
        <v>1.5E-3</v>
      </c>
      <c r="C575" s="44" t="str">
        <f>$C$75</f>
        <v>EGW</v>
      </c>
      <c r="F575" s="41">
        <f>IF(C575=A575,1,0)</f>
        <v>0</v>
      </c>
      <c r="G575" s="51">
        <f>F575*B575</f>
        <v>0</v>
      </c>
      <c r="H575" s="51"/>
      <c r="I575" s="24" t="s">
        <v>89</v>
      </c>
      <c r="J575" s="34">
        <v>1.5E-3</v>
      </c>
      <c r="K575" s="44" t="str">
        <f>$K$75</f>
        <v>EGW</v>
      </c>
      <c r="N575" s="41">
        <f>IF(K575=I575,1,0)</f>
        <v>0</v>
      </c>
      <c r="O575" s="51">
        <f>N575*J575</f>
        <v>0</v>
      </c>
    </row>
    <row r="576" spans="1:15" x14ac:dyDescent="0.25">
      <c r="B576" s="34"/>
      <c r="J576" s="34"/>
    </row>
    <row r="577" spans="1:15" x14ac:dyDescent="0.25">
      <c r="A577" s="27" t="s">
        <v>582</v>
      </c>
      <c r="B577" s="28"/>
      <c r="C577" s="28"/>
      <c r="D577" s="28"/>
      <c r="E577" s="28"/>
      <c r="F577" s="28"/>
      <c r="I577" s="27" t="s">
        <v>582</v>
      </c>
      <c r="J577" s="28"/>
      <c r="K577" s="28"/>
      <c r="L577" s="28"/>
      <c r="M577" s="28"/>
      <c r="N577" s="28"/>
    </row>
    <row r="578" spans="1:15" x14ac:dyDescent="0.25">
      <c r="A578" s="24" t="s">
        <v>583</v>
      </c>
      <c r="B578" s="34">
        <v>5.3E-3</v>
      </c>
      <c r="C578" s="44" t="str">
        <f>INDEX(Gebiedsindeling!$A$7:$E$399,MATCH(Dashboard!$C$17,Gebiedsindeling!$A$7:$A$399,0),5)</f>
        <v>Noord-Nederland</v>
      </c>
      <c r="F578" s="41">
        <f>IF(C578=A578,1,0)</f>
        <v>0</v>
      </c>
      <c r="G578" s="51">
        <f>F578*B578</f>
        <v>0</v>
      </c>
      <c r="H578" s="51"/>
      <c r="I578" s="24" t="s">
        <v>583</v>
      </c>
      <c r="J578" s="34">
        <v>5.3E-3</v>
      </c>
      <c r="K578" s="44" t="str">
        <f>INDEX(Gebiedsindeling!$A$7:$E$399,MATCH(Dashboard!$C$17,Gebiedsindeling!$A$7:$A$399,0),5)</f>
        <v>Noord-Nederland</v>
      </c>
      <c r="N578" s="41">
        <f>IF(K578=I578,1,0)</f>
        <v>0</v>
      </c>
      <c r="O578" s="51">
        <f>N578*J578</f>
        <v>0</v>
      </c>
    </row>
    <row r="579" spans="1:15" x14ac:dyDescent="0.25">
      <c r="A579" s="24" t="s">
        <v>584</v>
      </c>
      <c r="B579" s="34">
        <v>3.2000000000000002E-3</v>
      </c>
      <c r="C579" s="44" t="str">
        <f>INDEX(Gebiedsindeling!$A$7:$E$399,MATCH(Dashboard!$C$17,Gebiedsindeling!$A$7:$A$399,0),5)</f>
        <v>Noord-Nederland</v>
      </c>
      <c r="F579" s="41">
        <f>IF(C579=A579,1,0)</f>
        <v>0</v>
      </c>
      <c r="G579" s="51">
        <f>F579*B579</f>
        <v>0</v>
      </c>
      <c r="H579" s="51"/>
      <c r="I579" s="24" t="s">
        <v>584</v>
      </c>
      <c r="J579" s="34">
        <v>3.2000000000000002E-3</v>
      </c>
      <c r="K579" s="44" t="str">
        <f>INDEX(Gebiedsindeling!$A$7:$E$399,MATCH(Dashboard!$C$17,Gebiedsindeling!$A$7:$A$399,0),5)</f>
        <v>Noord-Nederland</v>
      </c>
      <c r="N579" s="41">
        <f>IF(K579=I579,1,0)</f>
        <v>0</v>
      </c>
      <c r="O579" s="51">
        <f>N579*J579</f>
        <v>0</v>
      </c>
    </row>
    <row r="580" spans="1:15" x14ac:dyDescent="0.25">
      <c r="A580" s="24" t="s">
        <v>585</v>
      </c>
      <c r="B580" s="34">
        <v>6.4000000000000003E-3</v>
      </c>
      <c r="C580" s="44" t="str">
        <f>INDEX(Gebiedsindeling!$A$7:$E$399,MATCH(Dashboard!$C$17,Gebiedsindeling!$A$7:$A$399,0),5)</f>
        <v>Noord-Nederland</v>
      </c>
      <c r="F580" s="41">
        <f>IF(C580=A580,1,0)</f>
        <v>0</v>
      </c>
      <c r="G580" s="51">
        <f>F580*B580</f>
        <v>0</v>
      </c>
      <c r="H580" s="51"/>
      <c r="I580" s="24" t="s">
        <v>585</v>
      </c>
      <c r="J580" s="34">
        <v>6.4000000000000003E-3</v>
      </c>
      <c r="K580" s="44" t="str">
        <f>INDEX(Gebiedsindeling!$A$7:$E$399,MATCH(Dashboard!$C$17,Gebiedsindeling!$A$7:$A$399,0),5)</f>
        <v>Noord-Nederland</v>
      </c>
      <c r="N580" s="41">
        <f>IF(K580=I580,1,0)</f>
        <v>0</v>
      </c>
      <c r="O580" s="51">
        <f>N580*J580</f>
        <v>0</v>
      </c>
    </row>
    <row r="581" spans="1:15" x14ac:dyDescent="0.25">
      <c r="A581" s="24" t="s">
        <v>579</v>
      </c>
      <c r="B581" s="34">
        <v>0</v>
      </c>
      <c r="C581" s="44" t="str">
        <f>INDEX(Gebiedsindeling!$A$7:$E$399,MATCH(Dashboard!$C$17,Gebiedsindeling!$A$7:$A$399,0),5)</f>
        <v>Noord-Nederland</v>
      </c>
      <c r="F581" s="41">
        <f>IF(C581=A581,1,0)</f>
        <v>0</v>
      </c>
      <c r="G581" s="51">
        <f>F581*B581</f>
        <v>0</v>
      </c>
      <c r="H581" s="51"/>
      <c r="I581" s="24" t="s">
        <v>579</v>
      </c>
      <c r="J581" s="34">
        <v>0</v>
      </c>
      <c r="K581" s="44" t="str">
        <f>INDEX(Gebiedsindeling!$A$7:$E$399,MATCH(Dashboard!$C$17,Gebiedsindeling!$A$7:$A$399,0),5)</f>
        <v>Noord-Nederland</v>
      </c>
      <c r="N581" s="41">
        <f>IF(K581=I581,1,0)</f>
        <v>0</v>
      </c>
      <c r="O581" s="51">
        <f>N581*J581</f>
        <v>0</v>
      </c>
    </row>
    <row r="583" spans="1:15" x14ac:dyDescent="0.25">
      <c r="A583" s="23" t="s">
        <v>586</v>
      </c>
      <c r="B583" s="23"/>
      <c r="C583" s="23"/>
      <c r="D583" s="23"/>
      <c r="E583" s="23"/>
      <c r="F583" s="23"/>
      <c r="I583" s="23" t="s">
        <v>586</v>
      </c>
      <c r="J583" s="23"/>
      <c r="K583" s="23"/>
      <c r="L583" s="23"/>
      <c r="M583" s="23"/>
      <c r="N583" s="23"/>
    </row>
    <row r="585" spans="1:15" x14ac:dyDescent="0.25">
      <c r="A585" s="27" t="s">
        <v>587</v>
      </c>
      <c r="B585" s="28"/>
      <c r="C585" s="28"/>
      <c r="D585" s="28"/>
      <c r="E585" s="28"/>
      <c r="F585" s="28"/>
      <c r="I585" s="27" t="s">
        <v>587</v>
      </c>
      <c r="J585" s="28"/>
      <c r="K585" s="28"/>
      <c r="L585" s="28"/>
      <c r="M585" s="28"/>
      <c r="N585" s="28"/>
    </row>
    <row r="586" spans="1:15" x14ac:dyDescent="0.25">
      <c r="A586" s="24" t="s">
        <v>588</v>
      </c>
      <c r="B586" s="34">
        <v>0.01</v>
      </c>
      <c r="I586" s="24" t="s">
        <v>588</v>
      </c>
      <c r="J586" s="34">
        <v>0.01</v>
      </c>
    </row>
    <row r="587" spans="1:15" x14ac:dyDescent="0.25">
      <c r="A587" s="24" t="s">
        <v>589</v>
      </c>
      <c r="B587" s="34">
        <v>0.02</v>
      </c>
      <c r="I587" s="24" t="s">
        <v>589</v>
      </c>
      <c r="J587" s="34">
        <v>0.02</v>
      </c>
    </row>
    <row r="588" spans="1:15" x14ac:dyDescent="0.25">
      <c r="A588" s="24" t="s">
        <v>590</v>
      </c>
      <c r="B588" s="34">
        <v>0.03</v>
      </c>
      <c r="I588" s="24" t="s">
        <v>590</v>
      </c>
      <c r="J588" s="34">
        <v>0.03</v>
      </c>
    </row>
    <row r="590" spans="1:15" x14ac:dyDescent="0.25">
      <c r="A590" s="27" t="s">
        <v>591</v>
      </c>
      <c r="B590" s="28"/>
      <c r="C590" s="28"/>
      <c r="D590" s="28"/>
      <c r="E590" s="28"/>
      <c r="F590" s="28"/>
      <c r="I590" s="27" t="s">
        <v>591</v>
      </c>
      <c r="J590" s="28"/>
      <c r="K590" s="28"/>
      <c r="L590" s="28"/>
      <c r="M590" s="28"/>
      <c r="N590" s="28"/>
    </row>
    <row r="591" spans="1:15" x14ac:dyDescent="0.25">
      <c r="A591" s="24" t="s">
        <v>592</v>
      </c>
      <c r="B591" s="48">
        <v>500</v>
      </c>
      <c r="I591" s="24" t="s">
        <v>592</v>
      </c>
      <c r="J591" s="48">
        <v>500</v>
      </c>
    </row>
    <row r="593" spans="1:14" x14ac:dyDescent="0.25">
      <c r="A593" s="27" t="s">
        <v>20</v>
      </c>
      <c r="B593" s="28"/>
      <c r="C593" s="28"/>
      <c r="D593" s="28"/>
      <c r="E593" s="28"/>
      <c r="F593" s="28"/>
      <c r="I593" s="27" t="s">
        <v>20</v>
      </c>
      <c r="J593" s="28"/>
      <c r="K593" s="28"/>
      <c r="L593" s="28"/>
      <c r="M593" s="28"/>
      <c r="N593" s="28"/>
    </row>
    <row r="594" spans="1:14" x14ac:dyDescent="0.25">
      <c r="A594" s="24" t="s">
        <v>593</v>
      </c>
      <c r="B594" s="34">
        <f>Parameters!B8</f>
        <v>0.01</v>
      </c>
      <c r="C594" s="34">
        <f>Parameters!C8</f>
        <v>0.01</v>
      </c>
      <c r="D594" s="34">
        <f>Parameters!D8</f>
        <v>0.01</v>
      </c>
      <c r="I594" s="24" t="s">
        <v>593</v>
      </c>
      <c r="J594" s="34">
        <f>Parameters!B8</f>
        <v>0.01</v>
      </c>
      <c r="K594" s="34">
        <f>Parameters!C8</f>
        <v>0.01</v>
      </c>
      <c r="L594" s="34">
        <f>Parameters!D8</f>
        <v>0.01</v>
      </c>
    </row>
    <row r="595" spans="1:14" x14ac:dyDescent="0.25">
      <c r="B595" s="34"/>
      <c r="J595" s="34"/>
    </row>
    <row r="596" spans="1:14" x14ac:dyDescent="0.25">
      <c r="A596" s="27" t="s">
        <v>594</v>
      </c>
      <c r="B596" s="54"/>
      <c r="C596" s="28"/>
      <c r="D596" s="28"/>
      <c r="E596" s="28"/>
      <c r="F596" s="28"/>
      <c r="I596" s="27" t="s">
        <v>594</v>
      </c>
      <c r="J596" s="54"/>
      <c r="K596" s="28"/>
      <c r="L596" s="28"/>
      <c r="M596" s="28"/>
      <c r="N596" s="28"/>
    </row>
    <row r="597" spans="1:14" x14ac:dyDescent="0.25">
      <c r="A597" s="24" t="s">
        <v>595</v>
      </c>
      <c r="B597" s="34">
        <v>5.0000000000000001E-3</v>
      </c>
      <c r="I597" s="24" t="s">
        <v>595</v>
      </c>
      <c r="J597" s="34">
        <v>5.0000000000000001E-3</v>
      </c>
    </row>
    <row r="598" spans="1:14" x14ac:dyDescent="0.25">
      <c r="B598" s="34"/>
      <c r="J598" s="34"/>
    </row>
    <row r="602" spans="1:14" hidden="1" x14ac:dyDescent="0.25"/>
  </sheetData>
  <sortState ref="I86:N125">
    <sortCondition ref="I8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V504"/>
  <sheetViews>
    <sheetView showGridLines="0" topLeftCell="E7" workbookViewId="0">
      <selection activeCell="E26" sqref="E26:F27"/>
    </sheetView>
  </sheetViews>
  <sheetFormatPr defaultColWidth="0" defaultRowHeight="12.75" zeroHeight="1" x14ac:dyDescent="0.2"/>
  <cols>
    <col min="1" max="1" width="2.28515625" style="113" customWidth="1"/>
    <col min="2" max="2" width="57.28515625" style="113" bestFit="1" customWidth="1"/>
    <col min="3" max="3" width="31.28515625" style="113" bestFit="1" customWidth="1"/>
    <col min="4" max="4" width="2.7109375" style="113" customWidth="1"/>
    <col min="5" max="5" width="57.85546875" style="113" customWidth="1"/>
    <col min="6" max="6" width="20.140625" style="113" customWidth="1"/>
    <col min="7" max="7" width="2.7109375" style="113" customWidth="1"/>
    <col min="8" max="8" width="57.85546875" style="113" bestFit="1" customWidth="1"/>
    <col min="9" max="9" width="15.7109375" style="113" customWidth="1"/>
    <col min="10" max="10" width="10.7109375" style="113" hidden="1" customWidth="1"/>
    <col min="11" max="12" width="8" style="113" hidden="1" customWidth="1"/>
    <col min="13" max="13" width="16.5703125" style="113" hidden="1" customWidth="1"/>
    <col min="14" max="14" width="16.140625" style="113" hidden="1" customWidth="1"/>
    <col min="15" max="15" width="12" style="113" hidden="1" customWidth="1"/>
    <col min="16" max="16" width="10.7109375" style="113" hidden="1" customWidth="1"/>
    <col min="17" max="17" width="13.28515625" style="113" hidden="1" customWidth="1"/>
    <col min="18" max="18" width="12.7109375" style="113" hidden="1" customWidth="1"/>
    <col min="19" max="19" width="4.5703125" style="113" hidden="1" customWidth="1"/>
    <col min="20" max="20" width="5.140625" style="113" hidden="1" customWidth="1"/>
    <col min="21" max="22" width="6.7109375" style="113" hidden="1" customWidth="1"/>
    <col min="23" max="16384" width="9.140625" style="113" hidden="1"/>
  </cols>
  <sheetData>
    <row r="1" spans="1:9" ht="15.75" x14ac:dyDescent="0.25">
      <c r="A1" s="110"/>
      <c r="B1" s="58" t="s">
        <v>744</v>
      </c>
      <c r="C1" s="111"/>
      <c r="D1" s="58"/>
      <c r="E1" s="58"/>
      <c r="F1" s="58"/>
      <c r="G1" s="58"/>
      <c r="H1" s="112"/>
      <c r="I1" s="58"/>
    </row>
    <row r="2" spans="1:9" ht="15" x14ac:dyDescent="0.25">
      <c r="A2" s="110"/>
      <c r="D2" s="45"/>
      <c r="E2" s="45"/>
      <c r="F2" s="45"/>
      <c r="G2" s="45"/>
      <c r="H2" s="45"/>
      <c r="I2" s="45"/>
    </row>
    <row r="3" spans="1:9" ht="15" x14ac:dyDescent="0.25">
      <c r="A3" s="110"/>
      <c r="B3" s="59" t="s">
        <v>745</v>
      </c>
      <c r="C3" s="221" t="s">
        <v>746</v>
      </c>
      <c r="D3" s="45"/>
      <c r="E3" s="45"/>
      <c r="F3" s="45"/>
      <c r="G3" s="45"/>
      <c r="H3" s="45"/>
      <c r="I3" s="45"/>
    </row>
    <row r="4" spans="1:9" ht="15" x14ac:dyDescent="0.25">
      <c r="A4" s="110"/>
      <c r="D4" s="45"/>
      <c r="E4" s="45"/>
      <c r="F4" s="45"/>
      <c r="G4" s="45"/>
      <c r="H4" s="45"/>
      <c r="I4" s="115">
        <v>42551</v>
      </c>
    </row>
    <row r="5" spans="1:9" ht="15" x14ac:dyDescent="0.25">
      <c r="A5" s="110"/>
      <c r="B5" s="27" t="s">
        <v>747</v>
      </c>
      <c r="C5" s="27"/>
      <c r="D5" s="116"/>
      <c r="E5" s="117"/>
      <c r="F5" s="116"/>
      <c r="I5" s="118">
        <f ca="1">NOW()</f>
        <v>43493.516667129632</v>
      </c>
    </row>
    <row r="6" spans="1:9" ht="15" x14ac:dyDescent="0.25">
      <c r="A6" s="110"/>
      <c r="B6" s="59" t="s">
        <v>748</v>
      </c>
      <c r="C6" s="221" t="s">
        <v>665</v>
      </c>
      <c r="D6" s="110"/>
      <c r="E6" s="110"/>
      <c r="F6" s="110"/>
    </row>
    <row r="7" spans="1:9" ht="15" x14ac:dyDescent="0.25">
      <c r="A7" s="110"/>
      <c r="B7" s="119" t="s">
        <v>600</v>
      </c>
      <c r="C7" s="221" t="str">
        <f>Dashboard!C17</f>
        <v>Aa en Hunze</v>
      </c>
      <c r="D7" s="110"/>
      <c r="E7" s="110"/>
      <c r="F7" s="110"/>
    </row>
    <row r="8" spans="1:9" ht="15" x14ac:dyDescent="0.25">
      <c r="A8" s="110"/>
      <c r="B8" s="59" t="s">
        <v>92</v>
      </c>
      <c r="C8" s="223" t="str">
        <f>Dashboard!C16</f>
        <v>Noord-Drenthe</v>
      </c>
    </row>
    <row r="9" spans="1:9" ht="15" x14ac:dyDescent="0.25">
      <c r="A9" s="110"/>
      <c r="B9" s="59" t="s">
        <v>749</v>
      </c>
      <c r="C9" s="223" t="str">
        <f>VLOOKUP($C$7,Gebiedsindeling!$F$7:$G$399,2,FALSE)</f>
        <v>Drenthe</v>
      </c>
      <c r="D9" s="120"/>
      <c r="E9" s="27" t="s">
        <v>750</v>
      </c>
      <c r="F9" s="27"/>
      <c r="G9" s="121"/>
      <c r="H9" s="27" t="s">
        <v>751</v>
      </c>
      <c r="I9" s="27"/>
    </row>
    <row r="10" spans="1:9" ht="15" x14ac:dyDescent="0.25">
      <c r="A10" s="110"/>
      <c r="B10" s="59" t="s">
        <v>666</v>
      </c>
      <c r="C10" s="221">
        <f>Dashboard!C20</f>
        <v>0</v>
      </c>
      <c r="D10" s="122"/>
      <c r="E10" s="123"/>
      <c r="F10" s="123"/>
      <c r="G10" s="119"/>
      <c r="H10" s="123"/>
      <c r="I10" s="123"/>
    </row>
    <row r="11" spans="1:9" ht="15" x14ac:dyDescent="0.25">
      <c r="A11" s="110"/>
      <c r="B11" s="59" t="s">
        <v>756</v>
      </c>
      <c r="C11" s="221">
        <f>Dashboard!C20</f>
        <v>0</v>
      </c>
      <c r="D11" s="122"/>
      <c r="E11" s="64" t="s">
        <v>665</v>
      </c>
      <c r="F11" s="124"/>
      <c r="G11" s="119"/>
      <c r="H11" s="125" t="s">
        <v>752</v>
      </c>
      <c r="I11" s="120"/>
    </row>
    <row r="12" spans="1:9" ht="15" x14ac:dyDescent="0.25">
      <c r="A12" s="110"/>
      <c r="B12" s="222" t="s">
        <v>829</v>
      </c>
      <c r="C12" s="221">
        <f>Dashboard!D20</f>
        <v>0</v>
      </c>
      <c r="D12" s="124"/>
      <c r="E12" s="59" t="s">
        <v>754</v>
      </c>
      <c r="F12" s="114" t="s">
        <v>755</v>
      </c>
      <c r="G12" s="119"/>
      <c r="H12" s="126" t="s">
        <v>568</v>
      </c>
      <c r="I12" s="127">
        <v>5.2499999999999998E-2</v>
      </c>
    </row>
    <row r="13" spans="1:9" ht="15" x14ac:dyDescent="0.25">
      <c r="A13" s="110"/>
      <c r="B13" s="59" t="s">
        <v>761</v>
      </c>
      <c r="C13" s="221" t="str">
        <f>Dashboard!C15</f>
        <v>EGW</v>
      </c>
      <c r="D13" s="124"/>
      <c r="E13" s="59" t="s">
        <v>757</v>
      </c>
      <c r="F13" s="128">
        <f>'Hulp - basis'!B555</f>
        <v>7.4899999999999994E-2</v>
      </c>
      <c r="G13" s="119"/>
      <c r="H13" s="126" t="s">
        <v>758</v>
      </c>
      <c r="I13" s="129">
        <v>5000</v>
      </c>
    </row>
    <row r="14" spans="1:9" ht="15" x14ac:dyDescent="0.25">
      <c r="A14" s="110"/>
      <c r="B14" s="59" t="s">
        <v>86</v>
      </c>
      <c r="C14" s="221">
        <f>Dashboard!C14</f>
        <v>1970</v>
      </c>
      <c r="E14" s="59" t="s">
        <v>739</v>
      </c>
      <c r="F14" s="130" t="s">
        <v>759</v>
      </c>
      <c r="G14" s="119"/>
      <c r="H14" s="126" t="s">
        <v>760</v>
      </c>
      <c r="I14" s="131">
        <v>50</v>
      </c>
    </row>
    <row r="15" spans="1:9" ht="15" x14ac:dyDescent="0.25">
      <c r="A15" s="110"/>
      <c r="B15" s="59" t="s">
        <v>763</v>
      </c>
      <c r="C15" s="224">
        <f>Dashboard!C23</f>
        <v>0</v>
      </c>
      <c r="D15" s="124"/>
      <c r="G15" s="119"/>
      <c r="H15" s="60" t="s">
        <v>762</v>
      </c>
      <c r="I15" s="127">
        <v>0.03</v>
      </c>
    </row>
    <row r="16" spans="1:9" ht="15" x14ac:dyDescent="0.25">
      <c r="A16" s="110"/>
      <c r="B16" s="59" t="s">
        <v>764</v>
      </c>
      <c r="C16" s="221">
        <f ca="1">Dashboard!B8</f>
        <v>2019</v>
      </c>
      <c r="E16" s="64" t="s">
        <v>720</v>
      </c>
      <c r="F16" s="132"/>
      <c r="G16" s="119"/>
    </row>
    <row r="17" spans="1:15" ht="15" x14ac:dyDescent="0.25">
      <c r="A17" s="110"/>
      <c r="B17" s="59" t="s">
        <v>698</v>
      </c>
      <c r="C17" s="221">
        <f>Dashboard!C13</f>
        <v>2019</v>
      </c>
      <c r="D17" s="124"/>
      <c r="E17" s="59" t="s">
        <v>754</v>
      </c>
      <c r="F17" s="114" t="s">
        <v>755</v>
      </c>
      <c r="G17" s="119"/>
    </row>
    <row r="18" spans="1:15" ht="15" customHeight="1" x14ac:dyDescent="0.25">
      <c r="A18" s="110"/>
      <c r="B18" s="59" t="s">
        <v>766</v>
      </c>
      <c r="C18" s="225">
        <f>IF(Dashboard!C26="Ja",Dashboard!C24*(1+Dashboard!C27),Dashboard!C24)</f>
        <v>31550</v>
      </c>
      <c r="D18" s="133"/>
      <c r="E18" s="59" t="s">
        <v>757</v>
      </c>
      <c r="F18" s="128">
        <f>'Hulp - basis'!B555</f>
        <v>7.4899999999999994E-2</v>
      </c>
      <c r="G18" s="119"/>
    </row>
    <row r="19" spans="1:15" ht="15" customHeight="1" x14ac:dyDescent="0.25">
      <c r="A19" s="110"/>
      <c r="B19" s="59" t="s">
        <v>772</v>
      </c>
      <c r="C19" s="135">
        <f>'Hulp - basis'!B588</f>
        <v>0.03</v>
      </c>
      <c r="D19" s="135"/>
      <c r="E19" s="59" t="s">
        <v>739</v>
      </c>
      <c r="F19" s="130" t="s">
        <v>759</v>
      </c>
      <c r="G19" s="119"/>
      <c r="L19" s="124"/>
      <c r="O19" s="136"/>
    </row>
    <row r="20" spans="1:15" ht="15" x14ac:dyDescent="0.25">
      <c r="A20" s="110"/>
      <c r="B20" s="110" t="s">
        <v>775</v>
      </c>
      <c r="C20" s="223" t="s">
        <v>793</v>
      </c>
      <c r="D20" s="119"/>
      <c r="E20" s="59" t="s">
        <v>765</v>
      </c>
      <c r="F20" s="134">
        <v>0</v>
      </c>
      <c r="G20" s="119"/>
      <c r="O20" s="136"/>
    </row>
    <row r="21" spans="1:15" ht="15" x14ac:dyDescent="0.25">
      <c r="A21" s="110"/>
      <c r="D21" s="135"/>
      <c r="E21" s="59"/>
      <c r="F21" s="124"/>
      <c r="G21" s="119"/>
    </row>
    <row r="22" spans="1:15" ht="15" x14ac:dyDescent="0.25">
      <c r="A22" s="110"/>
      <c r="B22" s="27" t="s">
        <v>779</v>
      </c>
      <c r="C22" s="27"/>
      <c r="D22" s="124"/>
      <c r="E22" s="64" t="s">
        <v>767</v>
      </c>
      <c r="F22" s="124"/>
      <c r="G22" s="119"/>
      <c r="H22" s="64" t="s">
        <v>767</v>
      </c>
      <c r="I22" s="59"/>
    </row>
    <row r="23" spans="1:15" ht="15" x14ac:dyDescent="0.25">
      <c r="D23" s="130"/>
      <c r="E23" s="59" t="s">
        <v>768</v>
      </c>
      <c r="F23" s="225">
        <f>Dashboard!C31</f>
        <v>500</v>
      </c>
      <c r="G23" s="119"/>
      <c r="H23" s="59" t="s">
        <v>769</v>
      </c>
      <c r="I23" s="137">
        <v>750</v>
      </c>
      <c r="J23" s="138"/>
      <c r="O23" s="136"/>
    </row>
    <row r="24" spans="1:15" ht="15" x14ac:dyDescent="0.25">
      <c r="A24" s="110"/>
      <c r="B24" s="64" t="s">
        <v>780</v>
      </c>
      <c r="C24" s="59"/>
      <c r="D24" s="119"/>
      <c r="E24" s="119" t="s">
        <v>770</v>
      </c>
      <c r="F24" s="114" t="s">
        <v>755</v>
      </c>
      <c r="G24" s="119"/>
      <c r="H24" s="59" t="s">
        <v>771</v>
      </c>
      <c r="I24" s="140">
        <v>0.9</v>
      </c>
      <c r="N24" s="141"/>
    </row>
    <row r="25" spans="1:15" ht="15" x14ac:dyDescent="0.25">
      <c r="A25" s="110"/>
      <c r="B25" t="s">
        <v>7</v>
      </c>
      <c r="C25" s="146">
        <v>0</v>
      </c>
      <c r="D25" s="130"/>
      <c r="E25" s="59" t="s">
        <v>76</v>
      </c>
      <c r="F25" s="139">
        <f>'Hulp - basis'!B39</f>
        <v>223.21625000000003</v>
      </c>
      <c r="G25" s="119"/>
      <c r="H25" s="59" t="s">
        <v>773</v>
      </c>
      <c r="I25" s="142">
        <f>I23*I24</f>
        <v>675</v>
      </c>
    </row>
    <row r="26" spans="1:15" ht="15" x14ac:dyDescent="0.25">
      <c r="A26" s="110"/>
      <c r="B26" t="s">
        <v>8</v>
      </c>
      <c r="C26" s="146">
        <v>0</v>
      </c>
      <c r="D26" s="130"/>
      <c r="E26" s="59" t="s">
        <v>936</v>
      </c>
      <c r="F26" s="130">
        <f>'Hulp - basis'!B594</f>
        <v>0.01</v>
      </c>
      <c r="G26" s="119"/>
      <c r="H26" s="59" t="s">
        <v>774</v>
      </c>
      <c r="I26" s="143">
        <v>0.01</v>
      </c>
    </row>
    <row r="27" spans="1:15" ht="15" x14ac:dyDescent="0.25">
      <c r="A27" s="110"/>
      <c r="B27" s="64" t="s">
        <v>787</v>
      </c>
      <c r="C27" s="153">
        <v>0</v>
      </c>
      <c r="D27" s="124"/>
      <c r="E27" s="59" t="s">
        <v>937</v>
      </c>
      <c r="F27" s="130">
        <f>'Hulp - basis'!C594</f>
        <v>0.01</v>
      </c>
      <c r="G27" s="119"/>
      <c r="H27" s="59" t="s">
        <v>777</v>
      </c>
      <c r="I27" s="114" t="s">
        <v>666</v>
      </c>
    </row>
    <row r="28" spans="1:15" ht="15" x14ac:dyDescent="0.25">
      <c r="A28" s="110"/>
      <c r="B28" s="59"/>
      <c r="C28" s="145"/>
      <c r="D28" s="130"/>
      <c r="E28" s="59" t="s">
        <v>20</v>
      </c>
      <c r="F28" s="130">
        <f>'Hulp - basis'!D594</f>
        <v>0.01</v>
      </c>
      <c r="G28" s="119"/>
      <c r="H28" s="119"/>
      <c r="I28" s="138"/>
    </row>
    <row r="29" spans="1:15" ht="15" x14ac:dyDescent="0.25">
      <c r="A29" s="110"/>
      <c r="B29" s="64" t="s">
        <v>788</v>
      </c>
      <c r="C29" s="59"/>
      <c r="D29" s="130"/>
      <c r="E29" s="119" t="s">
        <v>776</v>
      </c>
      <c r="F29" s="137">
        <v>0</v>
      </c>
      <c r="G29" s="119"/>
      <c r="H29" s="119"/>
      <c r="I29" s="138"/>
    </row>
    <row r="30" spans="1:15" ht="15" x14ac:dyDescent="0.25">
      <c r="A30" s="110"/>
      <c r="B30" s="59" t="s">
        <v>591</v>
      </c>
      <c r="C30" s="153">
        <v>0</v>
      </c>
      <c r="D30" s="119"/>
      <c r="E30" s="119" t="s">
        <v>778</v>
      </c>
      <c r="F30" s="137">
        <v>0</v>
      </c>
      <c r="G30" s="119"/>
      <c r="H30" s="119"/>
      <c r="I30" s="144"/>
      <c r="J30" s="110"/>
    </row>
    <row r="31" spans="1:15" ht="15" x14ac:dyDescent="0.25">
      <c r="A31" s="110"/>
      <c r="B31" s="59" t="s">
        <v>789</v>
      </c>
      <c r="C31" s="146">
        <v>0</v>
      </c>
      <c r="D31" s="130"/>
      <c r="E31" s="119" t="s">
        <v>21</v>
      </c>
      <c r="F31" s="143">
        <v>0.01</v>
      </c>
      <c r="G31" s="119"/>
      <c r="J31" s="110"/>
    </row>
    <row r="32" spans="1:15" ht="15" x14ac:dyDescent="0.25">
      <c r="A32" s="110"/>
      <c r="B32" s="119"/>
      <c r="C32" s="119"/>
      <c r="D32" s="124"/>
      <c r="H32" s="64" t="s">
        <v>781</v>
      </c>
      <c r="I32" s="59"/>
      <c r="J32" s="110"/>
    </row>
    <row r="33" spans="1:10" ht="15" x14ac:dyDescent="0.25">
      <c r="A33" s="110"/>
      <c r="B33" s="64" t="s">
        <v>790</v>
      </c>
      <c r="C33" s="59"/>
      <c r="D33" s="124"/>
      <c r="H33" s="59" t="s">
        <v>25</v>
      </c>
      <c r="I33" s="137">
        <v>1200</v>
      </c>
      <c r="J33" s="110"/>
    </row>
    <row r="34" spans="1:10" ht="15" x14ac:dyDescent="0.25">
      <c r="A34" s="110"/>
      <c r="B34" s="59" t="s">
        <v>791</v>
      </c>
      <c r="C34" s="226">
        <f ca="1">Dashboard!B8</f>
        <v>2019</v>
      </c>
      <c r="D34" s="124"/>
      <c r="E34" s="64" t="s">
        <v>781</v>
      </c>
      <c r="F34" s="59"/>
      <c r="H34" s="59" t="s">
        <v>782</v>
      </c>
      <c r="I34" s="137">
        <v>850</v>
      </c>
      <c r="J34" s="110"/>
    </row>
    <row r="35" spans="1:10" ht="15" x14ac:dyDescent="0.25">
      <c r="A35" s="110"/>
      <c r="B35" s="59" t="s">
        <v>792</v>
      </c>
      <c r="C35" s="221" t="s">
        <v>793</v>
      </c>
      <c r="D35" s="124"/>
      <c r="E35" s="59" t="s">
        <v>25</v>
      </c>
      <c r="F35" s="139">
        <f>'Hulp - basis'!G141</f>
        <v>994</v>
      </c>
      <c r="G35" s="119"/>
      <c r="H35" s="59" t="s">
        <v>783</v>
      </c>
      <c r="I35" s="137">
        <v>750</v>
      </c>
      <c r="J35" s="110"/>
    </row>
    <row r="36" spans="1:10" ht="15" x14ac:dyDescent="0.25">
      <c r="A36" s="110"/>
      <c r="B36" s="59" t="s">
        <v>794</v>
      </c>
      <c r="C36" s="227">
        <v>1</v>
      </c>
      <c r="D36" s="124"/>
      <c r="E36" s="59" t="s">
        <v>782</v>
      </c>
      <c r="F36" s="139">
        <f>SUM('Hulp - basis'!G144:G145)</f>
        <v>810</v>
      </c>
      <c r="G36" s="119"/>
      <c r="H36" s="59" t="s">
        <v>784</v>
      </c>
      <c r="I36" s="147">
        <v>456</v>
      </c>
      <c r="J36" s="110"/>
    </row>
    <row r="37" spans="1:10" ht="15" x14ac:dyDescent="0.25">
      <c r="A37" s="110"/>
      <c r="B37" s="59" t="s">
        <v>795</v>
      </c>
      <c r="C37" s="157">
        <f>1-'Invoer gegevens'!$C$36</f>
        <v>0</v>
      </c>
      <c r="D37" s="133"/>
      <c r="E37" s="59" t="s">
        <v>783</v>
      </c>
      <c r="F37" s="139">
        <f>SUM('Hulp - basis'!G148:G149)</f>
        <v>408</v>
      </c>
      <c r="G37" s="119"/>
      <c r="H37" s="148"/>
      <c r="I37" s="148"/>
      <c r="J37" s="110"/>
    </row>
    <row r="38" spans="1:10" ht="15" x14ac:dyDescent="0.25">
      <c r="A38" s="110"/>
      <c r="D38" s="149"/>
      <c r="E38" s="59" t="s">
        <v>784</v>
      </c>
      <c r="F38" s="139">
        <f>'Hulp - basis'!G152</f>
        <v>77.329049999999995</v>
      </c>
      <c r="H38" s="125" t="s">
        <v>786</v>
      </c>
      <c r="I38" s="151">
        <v>0</v>
      </c>
      <c r="J38" s="110"/>
    </row>
    <row r="39" spans="1:10" ht="15" x14ac:dyDescent="0.25">
      <c r="A39" s="110"/>
      <c r="B39" s="59" t="s">
        <v>796</v>
      </c>
      <c r="C39" s="228">
        <v>0.01</v>
      </c>
      <c r="D39" s="59"/>
      <c r="H39" s="119"/>
      <c r="I39" s="152"/>
    </row>
    <row r="40" spans="1:10" ht="15" x14ac:dyDescent="0.25">
      <c r="A40" s="110"/>
      <c r="D40" s="59"/>
      <c r="E40" s="150" t="s">
        <v>785</v>
      </c>
      <c r="F40" s="151">
        <f>Dashboard!C20*Dashboard!C49</f>
        <v>0</v>
      </c>
    </row>
    <row r="41" spans="1:10" ht="15" hidden="1" x14ac:dyDescent="0.25">
      <c r="A41" s="110"/>
      <c r="D41" s="149"/>
      <c r="G41" s="123"/>
      <c r="H41" s="123"/>
      <c r="I41" s="123"/>
    </row>
    <row r="42" spans="1:10" ht="15" hidden="1" x14ac:dyDescent="0.25">
      <c r="A42" s="110"/>
      <c r="D42" s="149"/>
      <c r="G42" s="119"/>
      <c r="H42" s="119"/>
      <c r="I42" s="119"/>
    </row>
    <row r="43" spans="1:10" ht="15" hidden="1" x14ac:dyDescent="0.25">
      <c r="A43" s="110"/>
      <c r="D43" s="149"/>
      <c r="E43" s="123"/>
      <c r="F43" s="123"/>
      <c r="G43" s="119"/>
      <c r="H43" s="125"/>
      <c r="I43" s="154"/>
    </row>
    <row r="44" spans="1:10" ht="15" hidden="1" x14ac:dyDescent="0.25">
      <c r="A44" s="110"/>
      <c r="D44" s="149"/>
      <c r="E44" s="119"/>
      <c r="F44" s="119"/>
      <c r="G44" s="119"/>
      <c r="H44" s="126"/>
      <c r="I44" s="155"/>
    </row>
    <row r="45" spans="1:10" ht="15" hidden="1" x14ac:dyDescent="0.25">
      <c r="A45" s="110"/>
      <c r="D45" s="149"/>
      <c r="E45" s="64"/>
      <c r="F45" s="124"/>
      <c r="G45" s="119"/>
      <c r="H45" s="126"/>
      <c r="I45" s="155"/>
    </row>
    <row r="46" spans="1:10" ht="15" hidden="1" x14ac:dyDescent="0.25">
      <c r="A46" s="110"/>
      <c r="D46" s="149"/>
      <c r="E46" s="59"/>
      <c r="F46" s="130"/>
      <c r="G46" s="119"/>
      <c r="H46" s="126"/>
      <c r="I46" s="155"/>
    </row>
    <row r="47" spans="1:10" ht="15" hidden="1" x14ac:dyDescent="0.25">
      <c r="A47" s="110"/>
      <c r="B47" s="160"/>
      <c r="D47" s="119"/>
      <c r="E47" s="59"/>
      <c r="F47" s="130"/>
      <c r="G47" s="119"/>
      <c r="H47" s="126"/>
      <c r="I47" s="155"/>
    </row>
    <row r="48" spans="1:10" ht="15" hidden="1" x14ac:dyDescent="0.25">
      <c r="A48" s="110"/>
      <c r="B48" s="160"/>
      <c r="D48" s="119"/>
      <c r="E48" s="59"/>
      <c r="F48" s="130"/>
      <c r="G48" s="119"/>
      <c r="H48" s="122"/>
      <c r="I48" s="156"/>
    </row>
    <row r="49" spans="1:9" ht="15" hidden="1" x14ac:dyDescent="0.25">
      <c r="A49" s="110"/>
      <c r="B49" s="160"/>
      <c r="D49" s="119"/>
      <c r="E49" s="59"/>
      <c r="F49" s="130"/>
      <c r="G49" s="119"/>
      <c r="H49" s="122"/>
      <c r="I49" s="156"/>
    </row>
    <row r="50" spans="1:9" ht="15" hidden="1" x14ac:dyDescent="0.25">
      <c r="A50" s="110"/>
      <c r="B50" s="160"/>
      <c r="D50" s="119"/>
    </row>
    <row r="51" spans="1:9" ht="15" hidden="1" x14ac:dyDescent="0.25">
      <c r="A51" s="110"/>
      <c r="B51" s="160"/>
    </row>
    <row r="52" spans="1:9" ht="15" hidden="1" x14ac:dyDescent="0.25">
      <c r="A52" s="110"/>
      <c r="B52" s="160"/>
    </row>
    <row r="53" spans="1:9" ht="15" hidden="1" x14ac:dyDescent="0.25">
      <c r="A53" s="110"/>
      <c r="B53" s="160"/>
    </row>
    <row r="54" spans="1:9" ht="15" hidden="1" x14ac:dyDescent="0.25">
      <c r="A54" s="110"/>
      <c r="B54" s="160"/>
    </row>
    <row r="55" spans="1:9" ht="15" hidden="1" x14ac:dyDescent="0.25">
      <c r="A55" s="110"/>
      <c r="B55" s="160"/>
      <c r="G55" s="119"/>
      <c r="H55" s="119"/>
      <c r="I55" s="119"/>
    </row>
    <row r="56" spans="1:9" ht="15" hidden="1" x14ac:dyDescent="0.25">
      <c r="B56" s="160"/>
    </row>
    <row r="57" spans="1:9" ht="15" hidden="1" x14ac:dyDescent="0.25">
      <c r="B57" s="160"/>
      <c r="E57" s="119"/>
      <c r="F57" s="119"/>
    </row>
    <row r="58" spans="1:9" ht="15" hidden="1" x14ac:dyDescent="0.25">
      <c r="B58" s="160"/>
    </row>
    <row r="59" spans="1:9" ht="15" hidden="1" x14ac:dyDescent="0.25">
      <c r="B59" s="160"/>
    </row>
    <row r="60" spans="1:9" ht="15" hidden="1" x14ac:dyDescent="0.25">
      <c r="B60" s="160"/>
    </row>
    <row r="61" spans="1:9" ht="15" hidden="1" x14ac:dyDescent="0.25">
      <c r="B61" s="160"/>
      <c r="E61" s="158"/>
      <c r="F61" s="159"/>
    </row>
    <row r="62" spans="1:9" ht="15" hidden="1" x14ac:dyDescent="0.25">
      <c r="B62" s="160"/>
    </row>
    <row r="63" spans="1:9" ht="15" hidden="1" x14ac:dyDescent="0.25">
      <c r="B63" s="160"/>
    </row>
    <row r="64" spans="1:9" ht="15" hidden="1" x14ac:dyDescent="0.25">
      <c r="B64" s="160"/>
    </row>
    <row r="65" spans="2:2" ht="15" hidden="1" x14ac:dyDescent="0.25">
      <c r="B65" s="160"/>
    </row>
    <row r="66" spans="2:2" ht="15" hidden="1" x14ac:dyDescent="0.25">
      <c r="B66" s="160"/>
    </row>
    <row r="67" spans="2:2" ht="15" hidden="1" x14ac:dyDescent="0.25">
      <c r="B67" s="160"/>
    </row>
    <row r="68" spans="2:2" ht="15" hidden="1" x14ac:dyDescent="0.25">
      <c r="B68" s="160"/>
    </row>
    <row r="69" spans="2:2" ht="15" hidden="1" x14ac:dyDescent="0.25">
      <c r="B69" s="160"/>
    </row>
    <row r="70" spans="2:2" ht="15" hidden="1" x14ac:dyDescent="0.25">
      <c r="B70" s="160"/>
    </row>
    <row r="71" spans="2:2" ht="13.5" hidden="1" customHeight="1" x14ac:dyDescent="0.25">
      <c r="B71" s="160"/>
    </row>
    <row r="72" spans="2:2" ht="15" hidden="1" x14ac:dyDescent="0.25">
      <c r="B72" s="220"/>
    </row>
    <row r="73" spans="2:2" ht="15" hidden="1" x14ac:dyDescent="0.25">
      <c r="B73" s="160"/>
    </row>
    <row r="74" spans="2:2" ht="15" hidden="1" x14ac:dyDescent="0.25">
      <c r="B74" s="160"/>
    </row>
    <row r="75" spans="2:2" ht="15" hidden="1" x14ac:dyDescent="0.25">
      <c r="B75" s="160"/>
    </row>
    <row r="76" spans="2:2" ht="15" hidden="1" x14ac:dyDescent="0.25">
      <c r="B76" s="160"/>
    </row>
    <row r="77" spans="2:2" ht="15" hidden="1" x14ac:dyDescent="0.25">
      <c r="B77" s="160"/>
    </row>
    <row r="78" spans="2:2" ht="15" hidden="1" x14ac:dyDescent="0.25">
      <c r="B78" s="160"/>
    </row>
    <row r="79" spans="2:2" ht="15" hidden="1" x14ac:dyDescent="0.25">
      <c r="B79" s="160"/>
    </row>
    <row r="80" spans="2:2" ht="15" hidden="1" x14ac:dyDescent="0.25">
      <c r="B80" s="160"/>
    </row>
    <row r="81" spans="2:2" ht="15" hidden="1" x14ac:dyDescent="0.25">
      <c r="B81" s="160"/>
    </row>
    <row r="82" spans="2:2" ht="15" hidden="1" x14ac:dyDescent="0.25">
      <c r="B82" s="160"/>
    </row>
    <row r="83" spans="2:2" ht="15" hidden="1" x14ac:dyDescent="0.25">
      <c r="B83" s="160"/>
    </row>
    <row r="84" spans="2:2" ht="15" hidden="1" x14ac:dyDescent="0.25">
      <c r="B84" s="160"/>
    </row>
    <row r="85" spans="2:2" ht="15" hidden="1" x14ac:dyDescent="0.25">
      <c r="B85" s="160"/>
    </row>
    <row r="86" spans="2:2" ht="15" hidden="1" x14ac:dyDescent="0.25">
      <c r="B86" s="160"/>
    </row>
    <row r="87" spans="2:2" hidden="1" x14ac:dyDescent="0.2"/>
    <row r="88" spans="2:2" ht="15" hidden="1" x14ac:dyDescent="0.25">
      <c r="B88" s="160"/>
    </row>
    <row r="89" spans="2:2" ht="15" hidden="1" x14ac:dyDescent="0.25">
      <c r="B89" s="160"/>
    </row>
    <row r="90" spans="2:2" ht="15" hidden="1" x14ac:dyDescent="0.25">
      <c r="B90" s="160"/>
    </row>
    <row r="91" spans="2:2" ht="15" hidden="1" x14ac:dyDescent="0.25">
      <c r="B91" s="160"/>
    </row>
    <row r="92" spans="2:2" ht="15" hidden="1" x14ac:dyDescent="0.25">
      <c r="B92" s="160"/>
    </row>
    <row r="93" spans="2:2" ht="15" hidden="1" x14ac:dyDescent="0.25">
      <c r="B93" s="160"/>
    </row>
    <row r="94" spans="2:2" ht="15" hidden="1" x14ac:dyDescent="0.25">
      <c r="B94" s="160"/>
    </row>
    <row r="95" spans="2:2" ht="15" hidden="1" x14ac:dyDescent="0.25">
      <c r="B95" s="160"/>
    </row>
    <row r="96" spans="2:2" ht="15" hidden="1" x14ac:dyDescent="0.25">
      <c r="B96" s="160"/>
    </row>
    <row r="97" spans="2:2" ht="15" hidden="1" x14ac:dyDescent="0.25">
      <c r="B97" s="160"/>
    </row>
    <row r="98" spans="2:2" ht="15" hidden="1" x14ac:dyDescent="0.25">
      <c r="B98" s="160"/>
    </row>
    <row r="99" spans="2:2" ht="15" hidden="1" x14ac:dyDescent="0.25">
      <c r="B99" s="160"/>
    </row>
    <row r="100" spans="2:2" ht="15" hidden="1" x14ac:dyDescent="0.25">
      <c r="B100" s="160"/>
    </row>
    <row r="101" spans="2:2" ht="15" hidden="1" x14ac:dyDescent="0.25">
      <c r="B101" s="160"/>
    </row>
    <row r="102" spans="2:2" ht="15" hidden="1" x14ac:dyDescent="0.25">
      <c r="B102" s="160"/>
    </row>
    <row r="103" spans="2:2" ht="15" hidden="1" x14ac:dyDescent="0.25">
      <c r="B103" s="160"/>
    </row>
    <row r="104" spans="2:2" hidden="1" x14ac:dyDescent="0.2"/>
    <row r="105" spans="2:2" ht="15" hidden="1" x14ac:dyDescent="0.25">
      <c r="B105" s="160"/>
    </row>
    <row r="106" spans="2:2" ht="15" hidden="1" x14ac:dyDescent="0.25">
      <c r="B106" s="160"/>
    </row>
    <row r="107" spans="2:2" ht="15" hidden="1" x14ac:dyDescent="0.25">
      <c r="B107" s="160"/>
    </row>
    <row r="108" spans="2:2" ht="15" hidden="1" x14ac:dyDescent="0.25">
      <c r="B108" s="160"/>
    </row>
    <row r="109" spans="2:2" hidden="1" x14ac:dyDescent="0.2"/>
    <row r="110" spans="2:2" ht="15" hidden="1" x14ac:dyDescent="0.25">
      <c r="B110" s="24"/>
    </row>
    <row r="111" spans="2:2" ht="15" hidden="1" x14ac:dyDescent="0.25">
      <c r="B111" s="24"/>
    </row>
    <row r="112" spans="2:2" ht="15" hidden="1" x14ac:dyDescent="0.25">
      <c r="B112" s="24"/>
    </row>
    <row r="113" spans="2:2" ht="15" hidden="1" x14ac:dyDescent="0.25">
      <c r="B113" s="24"/>
    </row>
    <row r="114" spans="2:2" ht="15" hidden="1" x14ac:dyDescent="0.25">
      <c r="B114" s="24"/>
    </row>
    <row r="115" spans="2:2" ht="15" hidden="1" x14ac:dyDescent="0.25">
      <c r="B115" s="24"/>
    </row>
    <row r="116" spans="2:2" ht="15" hidden="1" x14ac:dyDescent="0.25">
      <c r="B116" s="24"/>
    </row>
    <row r="117" spans="2:2" ht="15" hidden="1" x14ac:dyDescent="0.25">
      <c r="B117" s="24"/>
    </row>
    <row r="118" spans="2:2" ht="15" hidden="1" x14ac:dyDescent="0.25">
      <c r="B118" s="24"/>
    </row>
    <row r="119" spans="2:2" ht="15" hidden="1" x14ac:dyDescent="0.25">
      <c r="B119" s="24"/>
    </row>
    <row r="120" spans="2:2" ht="15" hidden="1" x14ac:dyDescent="0.25">
      <c r="B120" s="24"/>
    </row>
    <row r="121" spans="2:2" ht="15" hidden="1" x14ac:dyDescent="0.25">
      <c r="B121" s="24"/>
    </row>
    <row r="122" spans="2:2" ht="15" hidden="1" x14ac:dyDescent="0.25">
      <c r="B122" s="24"/>
    </row>
    <row r="123" spans="2:2" ht="15" hidden="1" x14ac:dyDescent="0.25">
      <c r="B123" s="24"/>
    </row>
    <row r="124" spans="2:2" ht="15" hidden="1" x14ac:dyDescent="0.25">
      <c r="B124" s="24"/>
    </row>
    <row r="125" spans="2:2" ht="15" hidden="1" x14ac:dyDescent="0.25">
      <c r="B125" s="24"/>
    </row>
    <row r="126" spans="2:2" ht="15" hidden="1" x14ac:dyDescent="0.25">
      <c r="B126" s="24"/>
    </row>
    <row r="127" spans="2:2" ht="15" hidden="1" x14ac:dyDescent="0.25">
      <c r="B127" s="24"/>
    </row>
    <row r="128" spans="2:2" ht="15" hidden="1" x14ac:dyDescent="0.25">
      <c r="B128" s="24"/>
    </row>
    <row r="129" spans="2:2" ht="15" hidden="1" x14ac:dyDescent="0.25">
      <c r="B129" s="24"/>
    </row>
    <row r="130" spans="2:2" ht="15" hidden="1" x14ac:dyDescent="0.25">
      <c r="B130" s="24"/>
    </row>
    <row r="131" spans="2:2" ht="15" hidden="1" x14ac:dyDescent="0.25">
      <c r="B131" s="24"/>
    </row>
    <row r="132" spans="2:2" ht="15" hidden="1" x14ac:dyDescent="0.25">
      <c r="B132" s="24"/>
    </row>
    <row r="133" spans="2:2" ht="15" hidden="1" x14ac:dyDescent="0.25">
      <c r="B133" s="24"/>
    </row>
    <row r="134" spans="2:2" ht="15" hidden="1" x14ac:dyDescent="0.25">
      <c r="B134" s="24"/>
    </row>
    <row r="135" spans="2:2" ht="15" hidden="1" x14ac:dyDescent="0.25">
      <c r="B135" s="24"/>
    </row>
    <row r="136" spans="2:2" ht="15" hidden="1" x14ac:dyDescent="0.25">
      <c r="B136" s="24"/>
    </row>
    <row r="137" spans="2:2" ht="15" hidden="1" x14ac:dyDescent="0.25">
      <c r="B137" s="24"/>
    </row>
    <row r="138" spans="2:2" ht="15" hidden="1" x14ac:dyDescent="0.25">
      <c r="B138" s="24"/>
    </row>
    <row r="139" spans="2:2" ht="15" hidden="1" x14ac:dyDescent="0.25">
      <c r="B139" s="24"/>
    </row>
    <row r="140" spans="2:2" ht="15" hidden="1" x14ac:dyDescent="0.25">
      <c r="B140" s="24"/>
    </row>
    <row r="141" spans="2:2" ht="15" hidden="1" x14ac:dyDescent="0.25">
      <c r="B141" s="24"/>
    </row>
    <row r="142" spans="2:2" ht="15" hidden="1" x14ac:dyDescent="0.25">
      <c r="B142" s="24"/>
    </row>
    <row r="143" spans="2:2" ht="15" hidden="1" x14ac:dyDescent="0.25">
      <c r="B143" s="24"/>
    </row>
    <row r="144" spans="2:2" ht="15" hidden="1" x14ac:dyDescent="0.25">
      <c r="B144" s="24"/>
    </row>
    <row r="145" spans="2:2" ht="15" hidden="1" x14ac:dyDescent="0.25">
      <c r="B145" s="24"/>
    </row>
    <row r="146" spans="2:2" ht="15" hidden="1" x14ac:dyDescent="0.25">
      <c r="B146" s="24"/>
    </row>
    <row r="147" spans="2:2" ht="15" hidden="1" x14ac:dyDescent="0.25">
      <c r="B147" s="24"/>
    </row>
    <row r="148" spans="2:2" ht="15" hidden="1" x14ac:dyDescent="0.25">
      <c r="B148" s="24"/>
    </row>
    <row r="149" spans="2:2" ht="15" hidden="1" x14ac:dyDescent="0.25">
      <c r="B149" s="24"/>
    </row>
    <row r="150" spans="2:2" ht="15" hidden="1" x14ac:dyDescent="0.25">
      <c r="B150" s="24"/>
    </row>
    <row r="151" spans="2:2" ht="15" hidden="1" x14ac:dyDescent="0.25">
      <c r="B151" s="24"/>
    </row>
    <row r="152" spans="2:2" ht="15" hidden="1" x14ac:dyDescent="0.25">
      <c r="B152" s="24"/>
    </row>
    <row r="153" spans="2:2" ht="15" hidden="1" x14ac:dyDescent="0.25">
      <c r="B153" s="24"/>
    </row>
    <row r="154" spans="2:2" ht="15" hidden="1" x14ac:dyDescent="0.25">
      <c r="B154" s="24"/>
    </row>
    <row r="155" spans="2:2" ht="15" hidden="1" x14ac:dyDescent="0.25">
      <c r="B155" s="24"/>
    </row>
    <row r="156" spans="2:2" ht="15" hidden="1" x14ac:dyDescent="0.25">
      <c r="B156" s="24"/>
    </row>
    <row r="157" spans="2:2" ht="15" hidden="1" x14ac:dyDescent="0.25">
      <c r="B157" s="24"/>
    </row>
    <row r="158" spans="2:2" ht="15" hidden="1" x14ac:dyDescent="0.25">
      <c r="B158" s="24"/>
    </row>
    <row r="159" spans="2:2" ht="15" hidden="1" x14ac:dyDescent="0.25">
      <c r="B159" s="24"/>
    </row>
    <row r="160" spans="2:2" ht="15" hidden="1" x14ac:dyDescent="0.25">
      <c r="B160" s="24"/>
    </row>
    <row r="161" spans="2:2" ht="15" hidden="1" x14ac:dyDescent="0.25">
      <c r="B161" s="24"/>
    </row>
    <row r="162" spans="2:2" ht="15" hidden="1" x14ac:dyDescent="0.25">
      <c r="B162" s="24"/>
    </row>
    <row r="163" spans="2:2" ht="15" hidden="1" x14ac:dyDescent="0.25">
      <c r="B163" s="24"/>
    </row>
    <row r="164" spans="2:2" ht="15" hidden="1" x14ac:dyDescent="0.25">
      <c r="B164" s="24"/>
    </row>
    <row r="165" spans="2:2" ht="15" hidden="1" x14ac:dyDescent="0.25">
      <c r="B165" s="24"/>
    </row>
    <row r="166" spans="2:2" ht="15" hidden="1" x14ac:dyDescent="0.25">
      <c r="B166" s="24"/>
    </row>
    <row r="167" spans="2:2" ht="15" hidden="1" x14ac:dyDescent="0.25">
      <c r="B167" s="24"/>
    </row>
    <row r="168" spans="2:2" ht="15" hidden="1" x14ac:dyDescent="0.25">
      <c r="B168" s="24"/>
    </row>
    <row r="169" spans="2:2" ht="15" hidden="1" x14ac:dyDescent="0.25">
      <c r="B169" s="24"/>
    </row>
    <row r="170" spans="2:2" ht="15" hidden="1" x14ac:dyDescent="0.25">
      <c r="B170" s="24"/>
    </row>
    <row r="171" spans="2:2" ht="15" hidden="1" x14ac:dyDescent="0.25">
      <c r="B171" s="24"/>
    </row>
    <row r="172" spans="2:2" ht="15" hidden="1" x14ac:dyDescent="0.25">
      <c r="B172" s="24"/>
    </row>
    <row r="173" spans="2:2" ht="15" hidden="1" x14ac:dyDescent="0.25">
      <c r="B173" s="24"/>
    </row>
    <row r="174" spans="2:2" ht="15" hidden="1" x14ac:dyDescent="0.25">
      <c r="B174" s="24"/>
    </row>
    <row r="175" spans="2:2" ht="15" hidden="1" x14ac:dyDescent="0.25">
      <c r="B175" s="24"/>
    </row>
    <row r="176" spans="2:2" ht="15" hidden="1" x14ac:dyDescent="0.25">
      <c r="B176" s="24"/>
    </row>
    <row r="177" spans="2:2" ht="15" hidden="1" x14ac:dyDescent="0.25">
      <c r="B177" s="24"/>
    </row>
    <row r="178" spans="2:2" ht="15" hidden="1" x14ac:dyDescent="0.25">
      <c r="B178" s="24"/>
    </row>
    <row r="179" spans="2:2" ht="15" hidden="1" x14ac:dyDescent="0.25">
      <c r="B179" s="24"/>
    </row>
    <row r="180" spans="2:2" ht="15" hidden="1" x14ac:dyDescent="0.25">
      <c r="B180" s="24"/>
    </row>
    <row r="181" spans="2:2" ht="15" hidden="1" x14ac:dyDescent="0.25">
      <c r="B181" s="24"/>
    </row>
    <row r="182" spans="2:2" ht="15" hidden="1" x14ac:dyDescent="0.25">
      <c r="B182" s="24"/>
    </row>
    <row r="183" spans="2:2" ht="15" hidden="1" x14ac:dyDescent="0.25">
      <c r="B183" s="24"/>
    </row>
    <row r="184" spans="2:2" ht="15" hidden="1" x14ac:dyDescent="0.25">
      <c r="B184" s="24"/>
    </row>
    <row r="185" spans="2:2" ht="15" hidden="1" x14ac:dyDescent="0.25">
      <c r="B185" s="24"/>
    </row>
    <row r="186" spans="2:2" ht="15" hidden="1" x14ac:dyDescent="0.25">
      <c r="B186" s="24"/>
    </row>
    <row r="187" spans="2:2" ht="15" hidden="1" x14ac:dyDescent="0.25">
      <c r="B187" s="24"/>
    </row>
    <row r="188" spans="2:2" ht="15" hidden="1" x14ac:dyDescent="0.25">
      <c r="B188" s="24"/>
    </row>
    <row r="189" spans="2:2" ht="15" hidden="1" x14ac:dyDescent="0.25">
      <c r="B189" s="24"/>
    </row>
    <row r="190" spans="2:2" ht="15" hidden="1" x14ac:dyDescent="0.25">
      <c r="B190" s="24"/>
    </row>
    <row r="191" spans="2:2" ht="15" hidden="1" x14ac:dyDescent="0.25">
      <c r="B191" s="24"/>
    </row>
    <row r="192" spans="2:2" ht="15" hidden="1" x14ac:dyDescent="0.25">
      <c r="B192" s="24"/>
    </row>
    <row r="193" spans="2:2" ht="15" hidden="1" x14ac:dyDescent="0.25">
      <c r="B193" s="24"/>
    </row>
    <row r="194" spans="2:2" ht="15" hidden="1" x14ac:dyDescent="0.25">
      <c r="B194" s="24"/>
    </row>
    <row r="195" spans="2:2" ht="15" hidden="1" x14ac:dyDescent="0.25">
      <c r="B195" s="24"/>
    </row>
    <row r="196" spans="2:2" ht="15" hidden="1" x14ac:dyDescent="0.25">
      <c r="B196" s="24"/>
    </row>
    <row r="197" spans="2:2" ht="15" hidden="1" x14ac:dyDescent="0.25">
      <c r="B197" s="24"/>
    </row>
    <row r="198" spans="2:2" ht="15" hidden="1" x14ac:dyDescent="0.25">
      <c r="B198" s="24"/>
    </row>
    <row r="199" spans="2:2" ht="15" hidden="1" x14ac:dyDescent="0.25">
      <c r="B199" s="24"/>
    </row>
    <row r="200" spans="2:2" ht="15" hidden="1" x14ac:dyDescent="0.25">
      <c r="B200" s="24"/>
    </row>
    <row r="201" spans="2:2" ht="15" hidden="1" x14ac:dyDescent="0.25">
      <c r="B201" s="24"/>
    </row>
    <row r="202" spans="2:2" ht="15" hidden="1" x14ac:dyDescent="0.25">
      <c r="B202" s="24"/>
    </row>
    <row r="203" spans="2:2" ht="15" hidden="1" x14ac:dyDescent="0.25">
      <c r="B203" s="24"/>
    </row>
    <row r="204" spans="2:2" ht="15" hidden="1" x14ac:dyDescent="0.25">
      <c r="B204" s="24"/>
    </row>
    <row r="205" spans="2:2" ht="15" hidden="1" x14ac:dyDescent="0.25">
      <c r="B205" s="24"/>
    </row>
    <row r="206" spans="2:2" ht="15" hidden="1" x14ac:dyDescent="0.25">
      <c r="B206" s="24"/>
    </row>
    <row r="207" spans="2:2" ht="15" hidden="1" x14ac:dyDescent="0.25">
      <c r="B207" s="24"/>
    </row>
    <row r="208" spans="2:2" ht="15" hidden="1" x14ac:dyDescent="0.25">
      <c r="B208" s="24"/>
    </row>
    <row r="209" spans="2:2" ht="15" hidden="1" x14ac:dyDescent="0.25">
      <c r="B209" s="24"/>
    </row>
    <row r="210" spans="2:2" ht="15" hidden="1" x14ac:dyDescent="0.25">
      <c r="B210" s="24"/>
    </row>
    <row r="211" spans="2:2" ht="15" hidden="1" x14ac:dyDescent="0.25">
      <c r="B211" s="24"/>
    </row>
    <row r="212" spans="2:2" ht="15" hidden="1" x14ac:dyDescent="0.25">
      <c r="B212" s="24"/>
    </row>
    <row r="213" spans="2:2" ht="15" hidden="1" x14ac:dyDescent="0.25">
      <c r="B213" s="24"/>
    </row>
    <row r="214" spans="2:2" ht="15" hidden="1" x14ac:dyDescent="0.25">
      <c r="B214" s="24"/>
    </row>
    <row r="215" spans="2:2" ht="15" hidden="1" x14ac:dyDescent="0.25">
      <c r="B215" s="24"/>
    </row>
    <row r="216" spans="2:2" ht="15" hidden="1" x14ac:dyDescent="0.25">
      <c r="B216" s="24"/>
    </row>
    <row r="217" spans="2:2" ht="15" hidden="1" x14ac:dyDescent="0.25">
      <c r="B217" s="24"/>
    </row>
    <row r="218" spans="2:2" ht="15" hidden="1" x14ac:dyDescent="0.25">
      <c r="B218" s="24"/>
    </row>
    <row r="219" spans="2:2" ht="15" hidden="1" x14ac:dyDescent="0.25">
      <c r="B219" s="24"/>
    </row>
    <row r="220" spans="2:2" ht="15" hidden="1" x14ac:dyDescent="0.25">
      <c r="B220" s="24"/>
    </row>
    <row r="221" spans="2:2" ht="15" hidden="1" x14ac:dyDescent="0.25">
      <c r="B221" s="24"/>
    </row>
    <row r="222" spans="2:2" ht="15" hidden="1" x14ac:dyDescent="0.25">
      <c r="B222" s="24"/>
    </row>
    <row r="223" spans="2:2" ht="15" hidden="1" x14ac:dyDescent="0.25">
      <c r="B223" s="24"/>
    </row>
    <row r="224" spans="2:2" ht="15" hidden="1" x14ac:dyDescent="0.25">
      <c r="B224" s="24"/>
    </row>
    <row r="225" spans="2:2" ht="15" hidden="1" x14ac:dyDescent="0.25">
      <c r="B225" s="24"/>
    </row>
    <row r="226" spans="2:2" ht="15" hidden="1" x14ac:dyDescent="0.25">
      <c r="B226" s="24"/>
    </row>
    <row r="227" spans="2:2" ht="15" hidden="1" x14ac:dyDescent="0.25">
      <c r="B227" s="24"/>
    </row>
    <row r="228" spans="2:2" ht="15" hidden="1" x14ac:dyDescent="0.25">
      <c r="B228" s="24"/>
    </row>
    <row r="229" spans="2:2" ht="15" hidden="1" x14ac:dyDescent="0.25">
      <c r="B229" s="24"/>
    </row>
    <row r="230" spans="2:2" ht="15" hidden="1" x14ac:dyDescent="0.25">
      <c r="B230" s="24"/>
    </row>
    <row r="231" spans="2:2" ht="15" hidden="1" x14ac:dyDescent="0.25">
      <c r="B231" s="24"/>
    </row>
    <row r="232" spans="2:2" ht="15" hidden="1" x14ac:dyDescent="0.25">
      <c r="B232" s="24"/>
    </row>
    <row r="233" spans="2:2" ht="15" hidden="1" x14ac:dyDescent="0.25">
      <c r="B233" s="24"/>
    </row>
    <row r="234" spans="2:2" ht="15" hidden="1" x14ac:dyDescent="0.25">
      <c r="B234" s="24"/>
    </row>
    <row r="235" spans="2:2" ht="15" hidden="1" x14ac:dyDescent="0.25">
      <c r="B235" s="24"/>
    </row>
    <row r="236" spans="2:2" ht="15" hidden="1" x14ac:dyDescent="0.25">
      <c r="B236" s="24"/>
    </row>
    <row r="237" spans="2:2" ht="15" hidden="1" x14ac:dyDescent="0.25">
      <c r="B237" s="24"/>
    </row>
    <row r="238" spans="2:2" ht="15" hidden="1" x14ac:dyDescent="0.25">
      <c r="B238" s="24"/>
    </row>
    <row r="239" spans="2:2" ht="15" hidden="1" x14ac:dyDescent="0.25">
      <c r="B239" s="24"/>
    </row>
    <row r="240" spans="2:2" ht="15" hidden="1" x14ac:dyDescent="0.25">
      <c r="B240" s="24"/>
    </row>
    <row r="241" spans="2:2" ht="15" hidden="1" x14ac:dyDescent="0.25">
      <c r="B241" s="24"/>
    </row>
    <row r="242" spans="2:2" ht="15" hidden="1" x14ac:dyDescent="0.25">
      <c r="B242" s="24"/>
    </row>
    <row r="243" spans="2:2" ht="15" hidden="1" x14ac:dyDescent="0.25">
      <c r="B243" s="24"/>
    </row>
    <row r="244" spans="2:2" ht="15" hidden="1" x14ac:dyDescent="0.25">
      <c r="B244" s="24"/>
    </row>
    <row r="245" spans="2:2" ht="15" hidden="1" x14ac:dyDescent="0.25">
      <c r="B245" s="24"/>
    </row>
    <row r="246" spans="2:2" ht="15" hidden="1" x14ac:dyDescent="0.25">
      <c r="B246" s="24"/>
    </row>
    <row r="247" spans="2:2" ht="15" hidden="1" x14ac:dyDescent="0.25">
      <c r="B247" s="24"/>
    </row>
    <row r="248" spans="2:2" ht="15" hidden="1" x14ac:dyDescent="0.25">
      <c r="B248" s="24"/>
    </row>
    <row r="249" spans="2:2" ht="15" hidden="1" x14ac:dyDescent="0.25">
      <c r="B249" s="24"/>
    </row>
    <row r="250" spans="2:2" ht="15" hidden="1" x14ac:dyDescent="0.25">
      <c r="B250" s="24"/>
    </row>
    <row r="251" spans="2:2" ht="15" hidden="1" x14ac:dyDescent="0.25">
      <c r="B251" s="24"/>
    </row>
    <row r="252" spans="2:2" ht="15" hidden="1" x14ac:dyDescent="0.25">
      <c r="B252" s="24"/>
    </row>
    <row r="253" spans="2:2" ht="15" hidden="1" x14ac:dyDescent="0.25">
      <c r="B253" s="24"/>
    </row>
    <row r="254" spans="2:2" ht="15" hidden="1" x14ac:dyDescent="0.25">
      <c r="B254" s="24"/>
    </row>
    <row r="255" spans="2:2" ht="15" hidden="1" x14ac:dyDescent="0.25">
      <c r="B255" s="24"/>
    </row>
    <row r="256" spans="2:2" ht="15" hidden="1" x14ac:dyDescent="0.25">
      <c r="B256" s="24"/>
    </row>
    <row r="257" spans="2:2" ht="15" hidden="1" x14ac:dyDescent="0.25">
      <c r="B257" s="24"/>
    </row>
    <row r="258" spans="2:2" ht="15" hidden="1" x14ac:dyDescent="0.25">
      <c r="B258" s="24"/>
    </row>
    <row r="259" spans="2:2" ht="15" hidden="1" x14ac:dyDescent="0.25">
      <c r="B259" s="24"/>
    </row>
    <row r="260" spans="2:2" ht="15" hidden="1" x14ac:dyDescent="0.25">
      <c r="B260" s="24"/>
    </row>
    <row r="261" spans="2:2" ht="15" hidden="1" x14ac:dyDescent="0.25">
      <c r="B261" s="24"/>
    </row>
    <row r="262" spans="2:2" ht="15" hidden="1" x14ac:dyDescent="0.25">
      <c r="B262" s="24"/>
    </row>
    <row r="263" spans="2:2" ht="15" hidden="1" x14ac:dyDescent="0.25">
      <c r="B263" s="24"/>
    </row>
    <row r="264" spans="2:2" ht="15" hidden="1" x14ac:dyDescent="0.25">
      <c r="B264" s="24"/>
    </row>
    <row r="265" spans="2:2" ht="15" hidden="1" x14ac:dyDescent="0.25">
      <c r="B265" s="24"/>
    </row>
    <row r="266" spans="2:2" ht="15" hidden="1" x14ac:dyDescent="0.25">
      <c r="B266" s="24"/>
    </row>
    <row r="267" spans="2:2" ht="15" hidden="1" x14ac:dyDescent="0.25">
      <c r="B267" s="24"/>
    </row>
    <row r="268" spans="2:2" ht="15" hidden="1" x14ac:dyDescent="0.25">
      <c r="B268" s="24"/>
    </row>
    <row r="269" spans="2:2" ht="15" hidden="1" x14ac:dyDescent="0.25">
      <c r="B269" s="24"/>
    </row>
    <row r="270" spans="2:2" ht="15" hidden="1" x14ac:dyDescent="0.25">
      <c r="B270" s="24"/>
    </row>
    <row r="271" spans="2:2" ht="15" hidden="1" x14ac:dyDescent="0.25">
      <c r="B271" s="24"/>
    </row>
    <row r="272" spans="2:2" ht="15" hidden="1" x14ac:dyDescent="0.25">
      <c r="B272" s="24"/>
    </row>
    <row r="273" spans="2:2" ht="15" hidden="1" x14ac:dyDescent="0.25">
      <c r="B273" s="24"/>
    </row>
    <row r="274" spans="2:2" ht="15" hidden="1" x14ac:dyDescent="0.25">
      <c r="B274" s="24"/>
    </row>
    <row r="275" spans="2:2" ht="15" hidden="1" x14ac:dyDescent="0.25">
      <c r="B275" s="24"/>
    </row>
    <row r="276" spans="2:2" ht="15" hidden="1" x14ac:dyDescent="0.25">
      <c r="B276" s="24"/>
    </row>
    <row r="277" spans="2:2" ht="15" hidden="1" x14ac:dyDescent="0.25">
      <c r="B277" s="24"/>
    </row>
    <row r="278" spans="2:2" ht="15" hidden="1" x14ac:dyDescent="0.25">
      <c r="B278" s="24"/>
    </row>
    <row r="279" spans="2:2" ht="15" hidden="1" x14ac:dyDescent="0.25">
      <c r="B279" s="24"/>
    </row>
    <row r="280" spans="2:2" ht="15" hidden="1" x14ac:dyDescent="0.25">
      <c r="B280" s="24"/>
    </row>
    <row r="281" spans="2:2" ht="15" hidden="1" x14ac:dyDescent="0.25">
      <c r="B281" s="24"/>
    </row>
    <row r="282" spans="2:2" ht="15" hidden="1" x14ac:dyDescent="0.25">
      <c r="B282" s="24"/>
    </row>
    <row r="283" spans="2:2" ht="15" hidden="1" x14ac:dyDescent="0.25">
      <c r="B283" s="24"/>
    </row>
    <row r="284" spans="2:2" ht="15" hidden="1" x14ac:dyDescent="0.25">
      <c r="B284" s="24"/>
    </row>
    <row r="285" spans="2:2" ht="15" hidden="1" x14ac:dyDescent="0.25">
      <c r="B285" s="24"/>
    </row>
    <row r="286" spans="2:2" ht="15" hidden="1" x14ac:dyDescent="0.25">
      <c r="B286" s="24"/>
    </row>
    <row r="287" spans="2:2" ht="15" hidden="1" x14ac:dyDescent="0.25">
      <c r="B287" s="24"/>
    </row>
    <row r="288" spans="2:2" ht="15" hidden="1" x14ac:dyDescent="0.25">
      <c r="B288" s="24"/>
    </row>
    <row r="289" spans="2:2" ht="15" hidden="1" x14ac:dyDescent="0.25">
      <c r="B289" s="24"/>
    </row>
    <row r="290" spans="2:2" ht="15" hidden="1" x14ac:dyDescent="0.25">
      <c r="B290" s="24"/>
    </row>
    <row r="291" spans="2:2" ht="15" hidden="1" x14ac:dyDescent="0.25">
      <c r="B291" s="24"/>
    </row>
    <row r="292" spans="2:2" ht="15" hidden="1" x14ac:dyDescent="0.25">
      <c r="B292" s="24"/>
    </row>
    <row r="293" spans="2:2" ht="15" hidden="1" x14ac:dyDescent="0.25">
      <c r="B293" s="24"/>
    </row>
    <row r="294" spans="2:2" ht="15" hidden="1" x14ac:dyDescent="0.25">
      <c r="B294" s="24"/>
    </row>
    <row r="295" spans="2:2" ht="15" hidden="1" x14ac:dyDescent="0.25">
      <c r="B295" s="24"/>
    </row>
    <row r="296" spans="2:2" ht="15" hidden="1" x14ac:dyDescent="0.25">
      <c r="B296" s="24"/>
    </row>
    <row r="297" spans="2:2" ht="15" hidden="1" x14ac:dyDescent="0.25">
      <c r="B297" s="24"/>
    </row>
    <row r="298" spans="2:2" ht="15" hidden="1" x14ac:dyDescent="0.25">
      <c r="B298" s="24"/>
    </row>
    <row r="299" spans="2:2" ht="15" hidden="1" x14ac:dyDescent="0.25">
      <c r="B299" s="24"/>
    </row>
    <row r="300" spans="2:2" ht="15" hidden="1" x14ac:dyDescent="0.25">
      <c r="B300" s="24"/>
    </row>
    <row r="301" spans="2:2" ht="15" hidden="1" x14ac:dyDescent="0.25">
      <c r="B301" s="24"/>
    </row>
    <row r="302" spans="2:2" ht="15" hidden="1" x14ac:dyDescent="0.25">
      <c r="B302" s="24"/>
    </row>
    <row r="303" spans="2:2" ht="15" hidden="1" x14ac:dyDescent="0.25">
      <c r="B303" s="24"/>
    </row>
    <row r="304" spans="2:2" ht="15" hidden="1" x14ac:dyDescent="0.25">
      <c r="B304" s="24"/>
    </row>
    <row r="305" spans="2:2" ht="15" hidden="1" x14ac:dyDescent="0.25">
      <c r="B305" s="24"/>
    </row>
    <row r="306" spans="2:2" ht="15" hidden="1" x14ac:dyDescent="0.25">
      <c r="B306" s="24"/>
    </row>
    <row r="307" spans="2:2" ht="15" hidden="1" x14ac:dyDescent="0.25">
      <c r="B307" s="24"/>
    </row>
    <row r="308" spans="2:2" ht="15" hidden="1" x14ac:dyDescent="0.25">
      <c r="B308" s="24"/>
    </row>
    <row r="309" spans="2:2" ht="15" hidden="1" x14ac:dyDescent="0.25">
      <c r="B309" s="24"/>
    </row>
    <row r="310" spans="2:2" ht="15" hidden="1" x14ac:dyDescent="0.25">
      <c r="B310" s="24"/>
    </row>
    <row r="311" spans="2:2" ht="15" hidden="1" x14ac:dyDescent="0.25">
      <c r="B311" s="24"/>
    </row>
    <row r="312" spans="2:2" ht="15" hidden="1" x14ac:dyDescent="0.25">
      <c r="B312" s="24"/>
    </row>
    <row r="313" spans="2:2" ht="15" hidden="1" x14ac:dyDescent="0.25">
      <c r="B313" s="24"/>
    </row>
    <row r="314" spans="2:2" ht="15" hidden="1" x14ac:dyDescent="0.25">
      <c r="B314" s="24"/>
    </row>
    <row r="315" spans="2:2" ht="15" hidden="1" x14ac:dyDescent="0.25">
      <c r="B315" s="24"/>
    </row>
    <row r="316" spans="2:2" ht="15" hidden="1" x14ac:dyDescent="0.25">
      <c r="B316" s="24"/>
    </row>
    <row r="317" spans="2:2" ht="15" hidden="1" x14ac:dyDescent="0.25">
      <c r="B317" s="24"/>
    </row>
    <row r="318" spans="2:2" ht="15" hidden="1" x14ac:dyDescent="0.25">
      <c r="B318" s="24"/>
    </row>
    <row r="319" spans="2:2" ht="15" hidden="1" x14ac:dyDescent="0.25">
      <c r="B319" s="24"/>
    </row>
    <row r="320" spans="2:2" ht="15" hidden="1" x14ac:dyDescent="0.25">
      <c r="B320" s="24"/>
    </row>
    <row r="321" spans="2:2" ht="15" hidden="1" x14ac:dyDescent="0.25">
      <c r="B321" s="24"/>
    </row>
    <row r="322" spans="2:2" ht="15" hidden="1" x14ac:dyDescent="0.25">
      <c r="B322" s="24"/>
    </row>
    <row r="323" spans="2:2" ht="15" hidden="1" x14ac:dyDescent="0.25">
      <c r="B323" s="24"/>
    </row>
    <row r="324" spans="2:2" ht="15" hidden="1" x14ac:dyDescent="0.25">
      <c r="B324" s="24"/>
    </row>
    <row r="325" spans="2:2" ht="15" hidden="1" x14ac:dyDescent="0.25">
      <c r="B325" s="24"/>
    </row>
    <row r="326" spans="2:2" ht="15" hidden="1" x14ac:dyDescent="0.25">
      <c r="B326" s="24"/>
    </row>
    <row r="327" spans="2:2" ht="15" hidden="1" x14ac:dyDescent="0.25">
      <c r="B327" s="24"/>
    </row>
    <row r="328" spans="2:2" ht="15" hidden="1" x14ac:dyDescent="0.25">
      <c r="B328" s="24"/>
    </row>
    <row r="329" spans="2:2" ht="15" hidden="1" x14ac:dyDescent="0.25">
      <c r="B329" s="24"/>
    </row>
    <row r="330" spans="2:2" ht="15" hidden="1" x14ac:dyDescent="0.25">
      <c r="B330" s="24"/>
    </row>
    <row r="331" spans="2:2" ht="15" hidden="1" x14ac:dyDescent="0.25">
      <c r="B331" s="24"/>
    </row>
    <row r="332" spans="2:2" ht="15" hidden="1" x14ac:dyDescent="0.25">
      <c r="B332" s="24"/>
    </row>
    <row r="333" spans="2:2" ht="15" hidden="1" x14ac:dyDescent="0.25">
      <c r="B333" s="24"/>
    </row>
    <row r="334" spans="2:2" ht="15" hidden="1" x14ac:dyDescent="0.25">
      <c r="B334" s="24"/>
    </row>
    <row r="335" spans="2:2" ht="15" hidden="1" x14ac:dyDescent="0.25">
      <c r="B335" s="24"/>
    </row>
    <row r="336" spans="2:2" ht="15" hidden="1" x14ac:dyDescent="0.25">
      <c r="B336" s="24"/>
    </row>
    <row r="337" spans="2:2" ht="15" hidden="1" x14ac:dyDescent="0.25">
      <c r="B337" s="24"/>
    </row>
    <row r="338" spans="2:2" ht="15" hidden="1" x14ac:dyDescent="0.25">
      <c r="B338" s="24"/>
    </row>
    <row r="339" spans="2:2" ht="15" hidden="1" x14ac:dyDescent="0.25">
      <c r="B339" s="24"/>
    </row>
    <row r="340" spans="2:2" ht="15" hidden="1" x14ac:dyDescent="0.25">
      <c r="B340" s="24"/>
    </row>
    <row r="341" spans="2:2" ht="15" hidden="1" x14ac:dyDescent="0.25">
      <c r="B341" s="24"/>
    </row>
    <row r="342" spans="2:2" ht="15" hidden="1" x14ac:dyDescent="0.25">
      <c r="B342" s="24"/>
    </row>
    <row r="343" spans="2:2" ht="15" hidden="1" x14ac:dyDescent="0.25">
      <c r="B343" s="24"/>
    </row>
    <row r="344" spans="2:2" ht="15" hidden="1" x14ac:dyDescent="0.25">
      <c r="B344" s="24"/>
    </row>
    <row r="345" spans="2:2" ht="15" hidden="1" x14ac:dyDescent="0.25">
      <c r="B345" s="24"/>
    </row>
    <row r="346" spans="2:2" ht="15" hidden="1" x14ac:dyDescent="0.25">
      <c r="B346" s="24"/>
    </row>
    <row r="347" spans="2:2" ht="15" hidden="1" x14ac:dyDescent="0.25">
      <c r="B347" s="24"/>
    </row>
    <row r="348" spans="2:2" ht="15" hidden="1" x14ac:dyDescent="0.25">
      <c r="B348" s="24"/>
    </row>
    <row r="349" spans="2:2" ht="15" hidden="1" x14ac:dyDescent="0.25">
      <c r="B349" s="24"/>
    </row>
    <row r="350" spans="2:2" ht="15" hidden="1" x14ac:dyDescent="0.25">
      <c r="B350" s="24"/>
    </row>
    <row r="351" spans="2:2" ht="15" hidden="1" x14ac:dyDescent="0.25">
      <c r="B351" s="24"/>
    </row>
    <row r="352" spans="2:2" ht="15" hidden="1" x14ac:dyDescent="0.25">
      <c r="B352" s="24"/>
    </row>
    <row r="353" spans="2:2" ht="15" hidden="1" x14ac:dyDescent="0.25">
      <c r="B353" s="24"/>
    </row>
    <row r="354" spans="2:2" ht="15" hidden="1" x14ac:dyDescent="0.25">
      <c r="B354" s="24"/>
    </row>
    <row r="355" spans="2:2" ht="15" hidden="1" x14ac:dyDescent="0.25">
      <c r="B355" s="24"/>
    </row>
    <row r="356" spans="2:2" ht="15" hidden="1" x14ac:dyDescent="0.25">
      <c r="B356" s="24"/>
    </row>
    <row r="357" spans="2:2" ht="15" hidden="1" x14ac:dyDescent="0.25">
      <c r="B357" s="24"/>
    </row>
    <row r="358" spans="2:2" ht="15" hidden="1" x14ac:dyDescent="0.25">
      <c r="B358" s="24"/>
    </row>
    <row r="359" spans="2:2" ht="15" hidden="1" x14ac:dyDescent="0.25">
      <c r="B359" s="24"/>
    </row>
    <row r="360" spans="2:2" ht="15" hidden="1" x14ac:dyDescent="0.25">
      <c r="B360" s="24"/>
    </row>
    <row r="361" spans="2:2" ht="15" hidden="1" x14ac:dyDescent="0.25">
      <c r="B361" s="24"/>
    </row>
    <row r="362" spans="2:2" ht="15" hidden="1" x14ac:dyDescent="0.25">
      <c r="B362" s="24"/>
    </row>
    <row r="363" spans="2:2" ht="15" hidden="1" x14ac:dyDescent="0.25">
      <c r="B363" s="24"/>
    </row>
    <row r="364" spans="2:2" ht="15" hidden="1" x14ac:dyDescent="0.25">
      <c r="B364" s="24"/>
    </row>
    <row r="365" spans="2:2" ht="15" hidden="1" x14ac:dyDescent="0.25">
      <c r="B365" s="24"/>
    </row>
    <row r="366" spans="2:2" ht="15" hidden="1" x14ac:dyDescent="0.25">
      <c r="B366" s="24"/>
    </row>
    <row r="367" spans="2:2" ht="15" hidden="1" x14ac:dyDescent="0.25">
      <c r="B367" s="24"/>
    </row>
    <row r="368" spans="2:2" ht="15" hidden="1" x14ac:dyDescent="0.25">
      <c r="B368" s="24"/>
    </row>
    <row r="369" spans="2:2" ht="15" hidden="1" x14ac:dyDescent="0.25">
      <c r="B369" s="24"/>
    </row>
    <row r="370" spans="2:2" ht="15" hidden="1" x14ac:dyDescent="0.25">
      <c r="B370" s="24"/>
    </row>
    <row r="371" spans="2:2" ht="15" hidden="1" x14ac:dyDescent="0.25">
      <c r="B371" s="24"/>
    </row>
    <row r="372" spans="2:2" ht="15" hidden="1" x14ac:dyDescent="0.25">
      <c r="B372" s="24"/>
    </row>
    <row r="373" spans="2:2" ht="15" hidden="1" x14ac:dyDescent="0.25">
      <c r="B373" s="24"/>
    </row>
    <row r="374" spans="2:2" ht="15" hidden="1" x14ac:dyDescent="0.25">
      <c r="B374" s="24"/>
    </row>
    <row r="375" spans="2:2" ht="15" hidden="1" x14ac:dyDescent="0.25">
      <c r="B375" s="24"/>
    </row>
    <row r="376" spans="2:2" ht="15" hidden="1" x14ac:dyDescent="0.25">
      <c r="B376" s="24"/>
    </row>
    <row r="377" spans="2:2" ht="15" hidden="1" x14ac:dyDescent="0.25">
      <c r="B377" s="24"/>
    </row>
    <row r="378" spans="2:2" ht="15" hidden="1" x14ac:dyDescent="0.25">
      <c r="B378" s="24"/>
    </row>
    <row r="379" spans="2:2" ht="15" hidden="1" x14ac:dyDescent="0.25">
      <c r="B379" s="24"/>
    </row>
    <row r="380" spans="2:2" ht="15" hidden="1" x14ac:dyDescent="0.25">
      <c r="B380" s="24"/>
    </row>
    <row r="381" spans="2:2" ht="15" hidden="1" x14ac:dyDescent="0.25">
      <c r="B381" s="24"/>
    </row>
    <row r="382" spans="2:2" ht="15" hidden="1" x14ac:dyDescent="0.25">
      <c r="B382" s="24"/>
    </row>
    <row r="383" spans="2:2" ht="15" hidden="1" x14ac:dyDescent="0.25">
      <c r="B383" s="24"/>
    </row>
    <row r="384" spans="2:2" ht="15" hidden="1" x14ac:dyDescent="0.25">
      <c r="B384" s="24"/>
    </row>
    <row r="385" spans="2:2" ht="15" hidden="1" x14ac:dyDescent="0.25">
      <c r="B385" s="24"/>
    </row>
    <row r="386" spans="2:2" ht="15" hidden="1" x14ac:dyDescent="0.25">
      <c r="B386" s="24"/>
    </row>
    <row r="387" spans="2:2" ht="15" hidden="1" x14ac:dyDescent="0.25">
      <c r="B387" s="24"/>
    </row>
    <row r="388" spans="2:2" ht="15" hidden="1" x14ac:dyDescent="0.25">
      <c r="B388" s="24"/>
    </row>
    <row r="389" spans="2:2" ht="15" hidden="1" x14ac:dyDescent="0.25">
      <c r="B389" s="24"/>
    </row>
    <row r="390" spans="2:2" ht="15" hidden="1" x14ac:dyDescent="0.25">
      <c r="B390" s="24"/>
    </row>
    <row r="391" spans="2:2" ht="15" hidden="1" x14ac:dyDescent="0.25">
      <c r="B391" s="24"/>
    </row>
    <row r="392" spans="2:2" ht="15" hidden="1" x14ac:dyDescent="0.25">
      <c r="B392" s="24"/>
    </row>
    <row r="393" spans="2:2" ht="15" hidden="1" x14ac:dyDescent="0.25">
      <c r="B393" s="24"/>
    </row>
    <row r="394" spans="2:2" ht="15" hidden="1" x14ac:dyDescent="0.25">
      <c r="B394" s="24"/>
    </row>
    <row r="395" spans="2:2" ht="15" hidden="1" x14ac:dyDescent="0.25">
      <c r="B395" s="24"/>
    </row>
    <row r="396" spans="2:2" ht="15" hidden="1" x14ac:dyDescent="0.25">
      <c r="B396" s="24"/>
    </row>
    <row r="397" spans="2:2" ht="15" hidden="1" x14ac:dyDescent="0.25">
      <c r="B397" s="24"/>
    </row>
    <row r="398" spans="2:2" ht="15" hidden="1" x14ac:dyDescent="0.25">
      <c r="B398" s="24"/>
    </row>
    <row r="399" spans="2:2" ht="15" hidden="1" x14ac:dyDescent="0.25">
      <c r="B399" s="24"/>
    </row>
    <row r="400" spans="2:2" ht="15" hidden="1" x14ac:dyDescent="0.25">
      <c r="B400" s="24"/>
    </row>
    <row r="401" spans="2:2" ht="15" hidden="1" x14ac:dyDescent="0.25">
      <c r="B401" s="24"/>
    </row>
    <row r="402" spans="2:2" ht="15" hidden="1" x14ac:dyDescent="0.25">
      <c r="B402" s="24"/>
    </row>
    <row r="403" spans="2:2" ht="15" hidden="1" x14ac:dyDescent="0.25">
      <c r="B403" s="24"/>
    </row>
    <row r="404" spans="2:2" ht="15" hidden="1" x14ac:dyDescent="0.25">
      <c r="B404" s="24"/>
    </row>
    <row r="405" spans="2:2" ht="15" hidden="1" x14ac:dyDescent="0.25">
      <c r="B405" s="24"/>
    </row>
    <row r="406" spans="2:2" ht="15" hidden="1" x14ac:dyDescent="0.25">
      <c r="B406" s="24"/>
    </row>
    <row r="407" spans="2:2" ht="15" hidden="1" x14ac:dyDescent="0.25">
      <c r="B407" s="24"/>
    </row>
    <row r="408" spans="2:2" ht="15" hidden="1" x14ac:dyDescent="0.25">
      <c r="B408" s="24"/>
    </row>
    <row r="409" spans="2:2" ht="15" hidden="1" x14ac:dyDescent="0.25">
      <c r="B409" s="24"/>
    </row>
    <row r="410" spans="2:2" ht="15" hidden="1" x14ac:dyDescent="0.25">
      <c r="B410" s="24"/>
    </row>
    <row r="411" spans="2:2" ht="15" hidden="1" x14ac:dyDescent="0.25">
      <c r="B411" s="24"/>
    </row>
    <row r="412" spans="2:2" ht="15" hidden="1" x14ac:dyDescent="0.25">
      <c r="B412" s="24"/>
    </row>
    <row r="413" spans="2:2" ht="15" hidden="1" x14ac:dyDescent="0.25">
      <c r="B413" s="24"/>
    </row>
    <row r="414" spans="2:2" ht="15" hidden="1" x14ac:dyDescent="0.25">
      <c r="B414" s="24"/>
    </row>
    <row r="415" spans="2:2" ht="15" hidden="1" x14ac:dyDescent="0.25">
      <c r="B415" s="24"/>
    </row>
    <row r="416" spans="2:2" ht="15" hidden="1" x14ac:dyDescent="0.25">
      <c r="B416" s="24"/>
    </row>
    <row r="417" spans="2:2" ht="15" hidden="1" x14ac:dyDescent="0.25">
      <c r="B417" s="24"/>
    </row>
    <row r="418" spans="2:2" ht="15" hidden="1" x14ac:dyDescent="0.25">
      <c r="B418" s="24"/>
    </row>
    <row r="419" spans="2:2" ht="15" hidden="1" x14ac:dyDescent="0.25">
      <c r="B419" s="24"/>
    </row>
    <row r="420" spans="2:2" ht="15" hidden="1" x14ac:dyDescent="0.25">
      <c r="B420" s="24"/>
    </row>
    <row r="421" spans="2:2" ht="15" hidden="1" x14ac:dyDescent="0.25">
      <c r="B421" s="24"/>
    </row>
    <row r="422" spans="2:2" ht="15" hidden="1" x14ac:dyDescent="0.25">
      <c r="B422" s="24"/>
    </row>
    <row r="423" spans="2:2" ht="15" hidden="1" x14ac:dyDescent="0.25">
      <c r="B423" s="24"/>
    </row>
    <row r="424" spans="2:2" ht="15" hidden="1" x14ac:dyDescent="0.25">
      <c r="B424" s="24"/>
    </row>
    <row r="425" spans="2:2" ht="15" hidden="1" x14ac:dyDescent="0.25">
      <c r="B425" s="24"/>
    </row>
    <row r="426" spans="2:2" ht="15" hidden="1" x14ac:dyDescent="0.25">
      <c r="B426" s="24"/>
    </row>
    <row r="427" spans="2:2" ht="15" hidden="1" x14ac:dyDescent="0.25">
      <c r="B427" s="24"/>
    </row>
    <row r="428" spans="2:2" ht="15" hidden="1" x14ac:dyDescent="0.25">
      <c r="B428" s="24"/>
    </row>
    <row r="429" spans="2:2" ht="15" hidden="1" x14ac:dyDescent="0.25">
      <c r="B429" s="24"/>
    </row>
    <row r="430" spans="2:2" ht="15" hidden="1" x14ac:dyDescent="0.25">
      <c r="B430" s="24"/>
    </row>
    <row r="431" spans="2:2" ht="15" hidden="1" x14ac:dyDescent="0.25">
      <c r="B431" s="24"/>
    </row>
    <row r="432" spans="2:2" ht="15" hidden="1" x14ac:dyDescent="0.25">
      <c r="B432" s="24"/>
    </row>
    <row r="433" spans="2:2" ht="15" hidden="1" x14ac:dyDescent="0.25">
      <c r="B433" s="24"/>
    </row>
    <row r="434" spans="2:2" ht="15" hidden="1" x14ac:dyDescent="0.25">
      <c r="B434" s="24"/>
    </row>
    <row r="435" spans="2:2" ht="15" hidden="1" x14ac:dyDescent="0.25">
      <c r="B435" s="24"/>
    </row>
    <row r="436" spans="2:2" ht="15" hidden="1" x14ac:dyDescent="0.25">
      <c r="B436" s="24"/>
    </row>
    <row r="437" spans="2:2" ht="15" hidden="1" x14ac:dyDescent="0.25">
      <c r="B437" s="24"/>
    </row>
    <row r="438" spans="2:2" ht="15" hidden="1" x14ac:dyDescent="0.25">
      <c r="B438" s="24"/>
    </row>
    <row r="439" spans="2:2" ht="15" hidden="1" x14ac:dyDescent="0.25">
      <c r="B439" s="24"/>
    </row>
    <row r="440" spans="2:2" ht="15" hidden="1" x14ac:dyDescent="0.25">
      <c r="B440" s="24"/>
    </row>
    <row r="441" spans="2:2" ht="15" hidden="1" x14ac:dyDescent="0.25">
      <c r="B441" s="24"/>
    </row>
    <row r="442" spans="2:2" ht="15" hidden="1" x14ac:dyDescent="0.25">
      <c r="B442" s="24"/>
    </row>
    <row r="443" spans="2:2" ht="15" hidden="1" x14ac:dyDescent="0.25">
      <c r="B443" s="24"/>
    </row>
    <row r="444" spans="2:2" ht="15" hidden="1" x14ac:dyDescent="0.25">
      <c r="B444" s="24"/>
    </row>
    <row r="445" spans="2:2" ht="15" hidden="1" x14ac:dyDescent="0.25">
      <c r="B445" s="24"/>
    </row>
    <row r="446" spans="2:2" ht="15" hidden="1" x14ac:dyDescent="0.25">
      <c r="B446" s="24"/>
    </row>
    <row r="447" spans="2:2" ht="15" hidden="1" x14ac:dyDescent="0.25">
      <c r="B447" s="24"/>
    </row>
    <row r="448" spans="2:2" ht="15" hidden="1" x14ac:dyDescent="0.25">
      <c r="B448" s="24"/>
    </row>
    <row r="449" spans="2:2" ht="15" hidden="1" x14ac:dyDescent="0.25">
      <c r="B449" s="24"/>
    </row>
    <row r="450" spans="2:2" ht="15" hidden="1" x14ac:dyDescent="0.25">
      <c r="B450" s="24"/>
    </row>
    <row r="451" spans="2:2" ht="15" hidden="1" x14ac:dyDescent="0.25">
      <c r="B451" s="24"/>
    </row>
    <row r="452" spans="2:2" ht="15" hidden="1" x14ac:dyDescent="0.25">
      <c r="B452" s="24"/>
    </row>
    <row r="453" spans="2:2" ht="15" hidden="1" x14ac:dyDescent="0.25">
      <c r="B453" s="24"/>
    </row>
    <row r="454" spans="2:2" ht="15" hidden="1" x14ac:dyDescent="0.25">
      <c r="B454" s="24"/>
    </row>
    <row r="455" spans="2:2" ht="15" hidden="1" x14ac:dyDescent="0.25">
      <c r="B455" s="24"/>
    </row>
    <row r="456" spans="2:2" ht="15" hidden="1" x14ac:dyDescent="0.25">
      <c r="B456" s="24"/>
    </row>
    <row r="457" spans="2:2" ht="15" hidden="1" x14ac:dyDescent="0.25">
      <c r="B457" s="24"/>
    </row>
    <row r="458" spans="2:2" ht="15" hidden="1" x14ac:dyDescent="0.25">
      <c r="B458" s="24"/>
    </row>
    <row r="459" spans="2:2" ht="15" hidden="1" x14ac:dyDescent="0.25">
      <c r="B459" s="24"/>
    </row>
    <row r="460" spans="2:2" ht="15" hidden="1" x14ac:dyDescent="0.25">
      <c r="B460" s="24"/>
    </row>
    <row r="461" spans="2:2" ht="15" hidden="1" x14ac:dyDescent="0.25">
      <c r="B461" s="24"/>
    </row>
    <row r="462" spans="2:2" ht="15" hidden="1" x14ac:dyDescent="0.25">
      <c r="B462" s="24"/>
    </row>
    <row r="463" spans="2:2" ht="15" hidden="1" x14ac:dyDescent="0.25">
      <c r="B463" s="24"/>
    </row>
    <row r="464" spans="2:2" ht="15" hidden="1" x14ac:dyDescent="0.25">
      <c r="B464" s="24"/>
    </row>
    <row r="465" spans="2:2" ht="15" hidden="1" x14ac:dyDescent="0.25">
      <c r="B465" s="24"/>
    </row>
    <row r="466" spans="2:2" ht="15" hidden="1" x14ac:dyDescent="0.25">
      <c r="B466" s="24"/>
    </row>
    <row r="467" spans="2:2" ht="15" hidden="1" x14ac:dyDescent="0.25">
      <c r="B467" s="24"/>
    </row>
    <row r="468" spans="2:2" ht="15" hidden="1" x14ac:dyDescent="0.25">
      <c r="B468" s="24"/>
    </row>
    <row r="469" spans="2:2" ht="15" hidden="1" x14ac:dyDescent="0.25">
      <c r="B469" s="24"/>
    </row>
    <row r="470" spans="2:2" ht="15" hidden="1" x14ac:dyDescent="0.25">
      <c r="B470" s="24"/>
    </row>
    <row r="471" spans="2:2" ht="15" hidden="1" x14ac:dyDescent="0.25">
      <c r="B471" s="24"/>
    </row>
    <row r="472" spans="2:2" ht="15" hidden="1" x14ac:dyDescent="0.25">
      <c r="B472" s="24"/>
    </row>
    <row r="473" spans="2:2" ht="15" hidden="1" x14ac:dyDescent="0.25">
      <c r="B473" s="24"/>
    </row>
    <row r="474" spans="2:2" ht="15" hidden="1" x14ac:dyDescent="0.25">
      <c r="B474" s="24"/>
    </row>
    <row r="475" spans="2:2" ht="15" hidden="1" x14ac:dyDescent="0.25">
      <c r="B475" s="24"/>
    </row>
    <row r="476" spans="2:2" ht="15" hidden="1" x14ac:dyDescent="0.25">
      <c r="B476" s="24"/>
    </row>
    <row r="477" spans="2:2" ht="15" hidden="1" x14ac:dyDescent="0.25">
      <c r="B477" s="24"/>
    </row>
    <row r="478" spans="2:2" ht="15" hidden="1" x14ac:dyDescent="0.25">
      <c r="B478" s="24"/>
    </row>
    <row r="479" spans="2:2" ht="15" hidden="1" x14ac:dyDescent="0.25">
      <c r="B479" s="24"/>
    </row>
    <row r="480" spans="2:2" ht="15" hidden="1" x14ac:dyDescent="0.25">
      <c r="B480" s="24"/>
    </row>
    <row r="481" spans="2:2" ht="15" hidden="1" x14ac:dyDescent="0.25">
      <c r="B481" s="24"/>
    </row>
    <row r="482" spans="2:2" ht="15" hidden="1" x14ac:dyDescent="0.25">
      <c r="B482" s="24"/>
    </row>
    <row r="483" spans="2:2" ht="15" hidden="1" x14ac:dyDescent="0.25">
      <c r="B483" s="24"/>
    </row>
    <row r="484" spans="2:2" ht="15" hidden="1" x14ac:dyDescent="0.25">
      <c r="B484" s="24"/>
    </row>
    <row r="485" spans="2:2" ht="15" hidden="1" x14ac:dyDescent="0.25">
      <c r="B485" s="24"/>
    </row>
    <row r="486" spans="2:2" ht="15" hidden="1" x14ac:dyDescent="0.25">
      <c r="B486" s="24"/>
    </row>
    <row r="487" spans="2:2" ht="15" hidden="1" x14ac:dyDescent="0.25">
      <c r="B487" s="24"/>
    </row>
    <row r="488" spans="2:2" ht="15" hidden="1" x14ac:dyDescent="0.25">
      <c r="B488" s="24"/>
    </row>
    <row r="489" spans="2:2" ht="15" hidden="1" x14ac:dyDescent="0.25">
      <c r="B489" s="24"/>
    </row>
    <row r="490" spans="2:2" ht="15" hidden="1" x14ac:dyDescent="0.25">
      <c r="B490" s="24"/>
    </row>
    <row r="491" spans="2:2" ht="15" hidden="1" x14ac:dyDescent="0.25">
      <c r="B491" s="24"/>
    </row>
    <row r="492" spans="2:2" ht="15" hidden="1" x14ac:dyDescent="0.25">
      <c r="B492" s="24"/>
    </row>
    <row r="493" spans="2:2" ht="15" hidden="1" x14ac:dyDescent="0.25">
      <c r="B493" s="24"/>
    </row>
    <row r="494" spans="2:2" ht="15" hidden="1" x14ac:dyDescent="0.25">
      <c r="B494" s="24"/>
    </row>
    <row r="495" spans="2:2" ht="15" hidden="1" x14ac:dyDescent="0.25">
      <c r="B495" s="24"/>
    </row>
    <row r="496" spans="2:2" ht="15" hidden="1" x14ac:dyDescent="0.25">
      <c r="B496" s="24"/>
    </row>
    <row r="497" spans="2:2" ht="15" hidden="1" x14ac:dyDescent="0.25">
      <c r="B497" s="24"/>
    </row>
    <row r="498" spans="2:2" ht="15" hidden="1" x14ac:dyDescent="0.25">
      <c r="B498" s="24"/>
    </row>
    <row r="499" spans="2:2" ht="15" hidden="1" x14ac:dyDescent="0.25">
      <c r="B499" s="24"/>
    </row>
    <row r="500" spans="2:2" ht="15" hidden="1" x14ac:dyDescent="0.25">
      <c r="B500" s="24"/>
    </row>
    <row r="501" spans="2:2" ht="15" hidden="1" x14ac:dyDescent="0.25">
      <c r="B501" s="24"/>
    </row>
    <row r="502" spans="2:2" ht="15" hidden="1" x14ac:dyDescent="0.25">
      <c r="B502" s="24"/>
    </row>
    <row r="503" spans="2:2" hidden="1" x14ac:dyDescent="0.2"/>
    <row r="504" spans="2:2" hidden="1" x14ac:dyDescent="0.2"/>
  </sheetData>
  <dataValidations count="4">
    <dataValidation type="list" allowBlank="1" showInputMessage="1" showErrorMessage="1" sqref="F12 F17 F24">
      <formula1>"Matrix,Handmatig"</formula1>
    </dataValidation>
    <dataValidation type="list" allowBlank="1" showInputMessage="1" showErrorMessage="1" sqref="L19">
      <formula1>kl_type</formula1>
    </dataValidation>
    <dataValidation type="list" allowBlank="1" showInputMessage="1" showErrorMessage="1" sqref="D13">
      <formula1>kl_product</formula1>
    </dataValidation>
    <dataValidation type="list" allowBlank="1" showInputMessage="1" showErrorMessage="1" sqref="I27">
      <formula1>"DAEB,niet-DAEB"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/>
  <dimension ref="A1:O504"/>
  <sheetViews>
    <sheetView showGridLines="0" topLeftCell="D5" workbookViewId="0">
      <selection activeCell="I28" sqref="I28"/>
    </sheetView>
  </sheetViews>
  <sheetFormatPr defaultRowHeight="12.75" zeroHeight="1" x14ac:dyDescent="0.2"/>
  <cols>
    <col min="1" max="1" width="2.28515625" style="113" customWidth="1"/>
    <col min="2" max="2" width="57.28515625" style="113" bestFit="1" customWidth="1"/>
    <col min="3" max="3" width="31.28515625" style="113" bestFit="1" customWidth="1"/>
    <col min="4" max="4" width="2.7109375" style="113" customWidth="1"/>
    <col min="5" max="5" width="57.85546875" style="113" customWidth="1"/>
    <col min="6" max="6" width="20.140625" style="113" customWidth="1"/>
    <col min="7" max="7" width="2.7109375" style="113" customWidth="1"/>
    <col min="8" max="8" width="57.85546875" style="113" bestFit="1" customWidth="1"/>
    <col min="9" max="9" width="15.7109375" style="113" customWidth="1"/>
    <col min="10" max="10" width="10.7109375" style="113" bestFit="1" customWidth="1"/>
    <col min="11" max="12" width="8" style="113" bestFit="1" customWidth="1"/>
    <col min="13" max="13" width="16.5703125" style="113" customWidth="1"/>
    <col min="14" max="14" width="16.140625" style="113" customWidth="1"/>
    <col min="15" max="15" width="12" style="113" customWidth="1"/>
    <col min="16" max="16" width="10.7109375" style="113" customWidth="1"/>
    <col min="17" max="17" width="13.28515625" style="113" customWidth="1"/>
    <col min="18" max="18" width="12.7109375" style="113" customWidth="1"/>
    <col min="19" max="19" width="4.5703125" style="113" bestFit="1" customWidth="1"/>
    <col min="20" max="20" width="5.140625" style="113" bestFit="1" customWidth="1"/>
    <col min="21" max="22" width="6.7109375" style="113" bestFit="1" customWidth="1"/>
    <col min="23" max="16384" width="9.140625" style="113"/>
  </cols>
  <sheetData>
    <row r="1" spans="1:9" ht="15.75" x14ac:dyDescent="0.25">
      <c r="A1" s="110"/>
      <c r="B1" s="58" t="s">
        <v>744</v>
      </c>
      <c r="C1" s="111"/>
      <c r="D1" s="58"/>
      <c r="E1" s="58"/>
      <c r="F1" s="58"/>
      <c r="G1" s="58"/>
      <c r="H1" s="112"/>
      <c r="I1" s="58"/>
    </row>
    <row r="2" spans="1:9" ht="15" x14ac:dyDescent="0.25">
      <c r="A2" s="110"/>
      <c r="D2" s="45"/>
      <c r="E2" s="45"/>
      <c r="F2" s="45"/>
      <c r="G2" s="45"/>
      <c r="H2" s="45"/>
      <c r="I2" s="45"/>
    </row>
    <row r="3" spans="1:9" ht="15" x14ac:dyDescent="0.25">
      <c r="A3" s="110"/>
      <c r="B3" s="59" t="s">
        <v>745</v>
      </c>
      <c r="C3" s="221" t="s">
        <v>746</v>
      </c>
      <c r="D3" s="45"/>
      <c r="E3" s="45"/>
      <c r="F3" s="45"/>
      <c r="G3" s="45"/>
      <c r="H3" s="45"/>
      <c r="I3" s="45"/>
    </row>
    <row r="4" spans="1:9" ht="15" x14ac:dyDescent="0.25">
      <c r="A4" s="110"/>
      <c r="D4" s="45"/>
      <c r="E4" s="45"/>
      <c r="F4" s="45"/>
      <c r="G4" s="45"/>
      <c r="H4" s="45"/>
      <c r="I4" s="115">
        <v>42551</v>
      </c>
    </row>
    <row r="5" spans="1:9" ht="15" x14ac:dyDescent="0.25">
      <c r="A5" s="110"/>
      <c r="B5" s="27" t="s">
        <v>747</v>
      </c>
      <c r="C5" s="27"/>
      <c r="D5" s="116"/>
      <c r="E5" s="117"/>
      <c r="F5" s="116"/>
      <c r="I5" s="118">
        <f ca="1">NOW()</f>
        <v>43493.516667013886</v>
      </c>
    </row>
    <row r="6" spans="1:9" ht="15" x14ac:dyDescent="0.25">
      <c r="A6" s="110"/>
      <c r="B6" s="59" t="s">
        <v>748</v>
      </c>
      <c r="C6" s="221" t="s">
        <v>665</v>
      </c>
      <c r="D6" s="110"/>
      <c r="E6" s="110"/>
      <c r="F6" s="110"/>
    </row>
    <row r="7" spans="1:9" ht="15" x14ac:dyDescent="0.25">
      <c r="A7" s="110"/>
      <c r="B7" s="119" t="s">
        <v>600</v>
      </c>
      <c r="C7" s="221" t="str">
        <f>Dashboard!C17</f>
        <v>Aa en Hunze</v>
      </c>
      <c r="D7" s="110"/>
      <c r="E7" s="110"/>
      <c r="F7" s="110"/>
    </row>
    <row r="8" spans="1:9" ht="15" x14ac:dyDescent="0.25">
      <c r="A8" s="110"/>
      <c r="B8" s="59" t="s">
        <v>92</v>
      </c>
      <c r="C8" s="223" t="str">
        <f>Dashboard!C16</f>
        <v>Noord-Drenthe</v>
      </c>
    </row>
    <row r="9" spans="1:9" ht="15" x14ac:dyDescent="0.25">
      <c r="A9" s="110"/>
      <c r="B9" s="59" t="s">
        <v>749</v>
      </c>
      <c r="C9" s="223" t="str">
        <f>VLOOKUP($C$7,Gebiedsindeling!$F$7:$G$399,2,FALSE)</f>
        <v>Drenthe</v>
      </c>
      <c r="D9" s="120"/>
      <c r="E9" s="27" t="s">
        <v>750</v>
      </c>
      <c r="F9" s="27"/>
      <c r="G9" s="121"/>
      <c r="H9" s="27" t="s">
        <v>751</v>
      </c>
      <c r="I9" s="27"/>
    </row>
    <row r="10" spans="1:9" ht="15" x14ac:dyDescent="0.25">
      <c r="A10" s="110"/>
      <c r="B10" s="59" t="s">
        <v>753</v>
      </c>
      <c r="C10" s="221">
        <f>Dashboard!D20</f>
        <v>0</v>
      </c>
      <c r="D10" s="122"/>
      <c r="E10" s="123"/>
      <c r="F10" s="123"/>
      <c r="G10" s="119"/>
      <c r="H10" s="123"/>
      <c r="I10" s="123"/>
    </row>
    <row r="11" spans="1:9" ht="15" x14ac:dyDescent="0.25">
      <c r="A11" s="110"/>
      <c r="B11" s="59" t="s">
        <v>756</v>
      </c>
      <c r="C11" s="221">
        <v>0</v>
      </c>
      <c r="D11" s="122"/>
      <c r="E11" s="64" t="s">
        <v>665</v>
      </c>
      <c r="F11" s="124"/>
      <c r="G11" s="119"/>
      <c r="H11" s="125" t="s">
        <v>752</v>
      </c>
      <c r="I11" s="120"/>
    </row>
    <row r="12" spans="1:9" ht="15" x14ac:dyDescent="0.25">
      <c r="A12" s="110"/>
      <c r="B12" s="222" t="s">
        <v>829</v>
      </c>
      <c r="C12" s="221">
        <f>Dashboard!D20</f>
        <v>0</v>
      </c>
      <c r="D12" s="124"/>
      <c r="E12" s="59" t="s">
        <v>754</v>
      </c>
      <c r="F12" s="114" t="s">
        <v>755</v>
      </c>
      <c r="G12" s="119"/>
      <c r="H12" s="126" t="s">
        <v>568</v>
      </c>
      <c r="I12" s="127">
        <v>5.2499999999999998E-2</v>
      </c>
    </row>
    <row r="13" spans="1:9" ht="15" x14ac:dyDescent="0.25">
      <c r="A13" s="110"/>
      <c r="B13" s="59" t="s">
        <v>761</v>
      </c>
      <c r="C13" s="221" t="str">
        <f>Dashboard!C15</f>
        <v>EGW</v>
      </c>
      <c r="D13" s="124"/>
      <c r="E13" s="59" t="s">
        <v>757</v>
      </c>
      <c r="F13" s="128">
        <f>'Hulp - basis'!J555</f>
        <v>7.4899999999999994E-2</v>
      </c>
      <c r="G13" s="119"/>
      <c r="H13" s="126" t="s">
        <v>758</v>
      </c>
      <c r="I13" s="129">
        <v>5000</v>
      </c>
    </row>
    <row r="14" spans="1:9" ht="15" x14ac:dyDescent="0.25">
      <c r="A14" s="110"/>
      <c r="B14" s="59" t="s">
        <v>86</v>
      </c>
      <c r="C14" s="221">
        <f>Dashboard!C14</f>
        <v>1970</v>
      </c>
      <c r="E14" s="59" t="s">
        <v>739</v>
      </c>
      <c r="F14" s="130" t="s">
        <v>759</v>
      </c>
      <c r="G14" s="119"/>
      <c r="H14" s="126" t="s">
        <v>760</v>
      </c>
      <c r="I14" s="131">
        <v>50</v>
      </c>
    </row>
    <row r="15" spans="1:9" ht="15" x14ac:dyDescent="0.25">
      <c r="A15" s="110"/>
      <c r="B15" s="59" t="s">
        <v>763</v>
      </c>
      <c r="C15" s="224">
        <f>Dashboard!D23</f>
        <v>0</v>
      </c>
      <c r="D15" s="124"/>
      <c r="G15" s="119"/>
      <c r="H15" s="60" t="s">
        <v>762</v>
      </c>
      <c r="I15" s="127">
        <v>0.03</v>
      </c>
    </row>
    <row r="16" spans="1:9" ht="15" x14ac:dyDescent="0.25">
      <c r="A16" s="110"/>
      <c r="B16" s="59" t="s">
        <v>764</v>
      </c>
      <c r="C16" s="221">
        <f ca="1">Dashboard!B8</f>
        <v>2019</v>
      </c>
      <c r="E16" s="64" t="s">
        <v>720</v>
      </c>
      <c r="F16" s="132"/>
      <c r="G16" s="119"/>
    </row>
    <row r="17" spans="1:15" ht="15" x14ac:dyDescent="0.25">
      <c r="A17" s="110"/>
      <c r="B17" s="59" t="s">
        <v>698</v>
      </c>
      <c r="C17" s="221">
        <f>Dashboard!C13</f>
        <v>2019</v>
      </c>
      <c r="D17" s="124"/>
      <c r="E17" s="59" t="s">
        <v>754</v>
      </c>
      <c r="F17" s="114" t="s">
        <v>755</v>
      </c>
      <c r="G17" s="119"/>
    </row>
    <row r="18" spans="1:15" ht="15" customHeight="1" x14ac:dyDescent="0.25">
      <c r="A18" s="110"/>
      <c r="B18" s="59" t="s">
        <v>766</v>
      </c>
      <c r="C18" s="225">
        <f>IF(Dashboard!C26="Ja",Dashboard!D24*(1+Dashboard!D27),Dashboard!D24)</f>
        <v>0</v>
      </c>
      <c r="D18" s="133"/>
      <c r="E18" s="59" t="s">
        <v>757</v>
      </c>
      <c r="F18" s="128">
        <f>'Hulp - basis'!J555</f>
        <v>7.4899999999999994E-2</v>
      </c>
      <c r="G18" s="119"/>
    </row>
    <row r="19" spans="1:15" ht="15" customHeight="1" x14ac:dyDescent="0.25">
      <c r="A19" s="110"/>
      <c r="B19" s="59" t="s">
        <v>772</v>
      </c>
      <c r="C19" s="135">
        <f>'Hulp - basis'!J588</f>
        <v>0.03</v>
      </c>
      <c r="D19" s="135"/>
      <c r="E19" s="59" t="s">
        <v>739</v>
      </c>
      <c r="F19" s="130" t="s">
        <v>759</v>
      </c>
      <c r="G19" s="119"/>
      <c r="L19" s="124"/>
      <c r="O19" s="136"/>
    </row>
    <row r="20" spans="1:15" ht="15" x14ac:dyDescent="0.25">
      <c r="A20" s="110"/>
      <c r="B20" s="110" t="s">
        <v>775</v>
      </c>
      <c r="C20" s="223" t="s">
        <v>793</v>
      </c>
      <c r="D20" s="119"/>
      <c r="E20" s="59" t="s">
        <v>765</v>
      </c>
      <c r="F20" s="134">
        <v>0</v>
      </c>
      <c r="G20" s="119"/>
      <c r="O20" s="136"/>
    </row>
    <row r="21" spans="1:15" ht="15" x14ac:dyDescent="0.25">
      <c r="A21" s="110"/>
      <c r="D21" s="135"/>
      <c r="E21" s="59"/>
      <c r="F21" s="124"/>
      <c r="G21" s="119"/>
    </row>
    <row r="22" spans="1:15" ht="15" x14ac:dyDescent="0.25">
      <c r="A22" s="110"/>
      <c r="B22" s="27" t="s">
        <v>779</v>
      </c>
      <c r="C22" s="27"/>
      <c r="D22" s="124"/>
      <c r="E22" s="64" t="s">
        <v>767</v>
      </c>
      <c r="F22" s="124"/>
      <c r="G22" s="119"/>
      <c r="H22" s="64" t="s">
        <v>767</v>
      </c>
      <c r="I22" s="59"/>
    </row>
    <row r="23" spans="1:15" ht="15" x14ac:dyDescent="0.25">
      <c r="D23" s="130"/>
      <c r="E23" s="59" t="s">
        <v>768</v>
      </c>
      <c r="F23" s="225">
        <f>Dashboard!D31</f>
        <v>0</v>
      </c>
      <c r="G23" s="119"/>
      <c r="H23" s="59" t="s">
        <v>769</v>
      </c>
      <c r="I23" s="137">
        <v>750</v>
      </c>
      <c r="J23" s="138"/>
      <c r="O23" s="136"/>
    </row>
    <row r="24" spans="1:15" ht="15" x14ac:dyDescent="0.25">
      <c r="A24" s="110"/>
      <c r="B24" s="64" t="s">
        <v>780</v>
      </c>
      <c r="C24" s="59"/>
      <c r="D24" s="119"/>
      <c r="E24" s="119" t="s">
        <v>770</v>
      </c>
      <c r="F24" s="114" t="s">
        <v>755</v>
      </c>
      <c r="G24" s="119"/>
      <c r="H24" s="59" t="s">
        <v>771</v>
      </c>
      <c r="I24" s="140">
        <v>0.9</v>
      </c>
      <c r="N24" s="141"/>
    </row>
    <row r="25" spans="1:15" ht="15" x14ac:dyDescent="0.25">
      <c r="A25" s="110"/>
      <c r="B25" s="230" t="s">
        <v>7</v>
      </c>
      <c r="C25" s="146">
        <v>0</v>
      </c>
      <c r="D25" s="130"/>
      <c r="E25" s="59" t="s">
        <v>76</v>
      </c>
      <c r="F25" s="139">
        <f>'Hulp - basis'!J39</f>
        <v>0</v>
      </c>
      <c r="G25" s="119"/>
      <c r="H25" s="59" t="s">
        <v>773</v>
      </c>
      <c r="I25" s="142">
        <f>I23*I24</f>
        <v>675</v>
      </c>
    </row>
    <row r="26" spans="1:15" ht="15" x14ac:dyDescent="0.25">
      <c r="A26" s="110"/>
      <c r="B26" s="230" t="s">
        <v>8</v>
      </c>
      <c r="C26" s="146">
        <v>0</v>
      </c>
      <c r="D26" s="130"/>
      <c r="E26" s="59" t="s">
        <v>936</v>
      </c>
      <c r="F26" s="130">
        <f>'Hulp - basis'!J594</f>
        <v>0.01</v>
      </c>
      <c r="G26" s="119"/>
      <c r="H26" s="59" t="s">
        <v>774</v>
      </c>
      <c r="I26" s="143">
        <v>0.01</v>
      </c>
    </row>
    <row r="27" spans="1:15" ht="15" x14ac:dyDescent="0.25">
      <c r="A27" s="110"/>
      <c r="B27" s="64" t="s">
        <v>787</v>
      </c>
      <c r="C27" s="153">
        <v>0</v>
      </c>
      <c r="D27" s="124"/>
      <c r="E27" s="59" t="s">
        <v>937</v>
      </c>
      <c r="F27" s="130">
        <f>'Hulp - basis'!K594</f>
        <v>0.01</v>
      </c>
      <c r="G27" s="119"/>
      <c r="H27" s="59" t="s">
        <v>777</v>
      </c>
      <c r="I27" s="114" t="s">
        <v>666</v>
      </c>
    </row>
    <row r="28" spans="1:15" ht="15" x14ac:dyDescent="0.25">
      <c r="A28" s="110"/>
      <c r="B28" s="59"/>
      <c r="C28" s="145"/>
      <c r="D28" s="130"/>
      <c r="E28" s="59" t="s">
        <v>20</v>
      </c>
      <c r="F28" s="130">
        <f>'Hulp - basis'!L594</f>
        <v>0.01</v>
      </c>
      <c r="G28" s="119"/>
      <c r="H28" s="119"/>
      <c r="I28" s="138"/>
    </row>
    <row r="29" spans="1:15" ht="15" x14ac:dyDescent="0.25">
      <c r="A29" s="110"/>
      <c r="B29" s="64" t="s">
        <v>788</v>
      </c>
      <c r="C29" s="59"/>
      <c r="D29" s="130"/>
      <c r="E29" s="119" t="s">
        <v>776</v>
      </c>
      <c r="F29" s="137">
        <v>0</v>
      </c>
      <c r="G29" s="119"/>
      <c r="H29" s="119"/>
      <c r="I29" s="138"/>
    </row>
    <row r="30" spans="1:15" ht="15" x14ac:dyDescent="0.25">
      <c r="A30" s="110"/>
      <c r="B30" s="59" t="s">
        <v>591</v>
      </c>
      <c r="C30" s="153">
        <v>0</v>
      </c>
      <c r="D30" s="119"/>
      <c r="E30" s="119" t="s">
        <v>778</v>
      </c>
      <c r="F30" s="137">
        <v>0</v>
      </c>
      <c r="G30" s="119"/>
      <c r="H30" s="119"/>
      <c r="I30" s="144"/>
      <c r="J30" s="110"/>
    </row>
    <row r="31" spans="1:15" ht="15" x14ac:dyDescent="0.25">
      <c r="A31" s="110"/>
      <c r="B31" s="59" t="s">
        <v>789</v>
      </c>
      <c r="C31" s="146">
        <v>0</v>
      </c>
      <c r="D31" s="130"/>
      <c r="E31" s="119" t="s">
        <v>21</v>
      </c>
      <c r="F31" s="143">
        <v>0.01</v>
      </c>
      <c r="G31" s="119"/>
      <c r="J31" s="110"/>
    </row>
    <row r="32" spans="1:15" ht="15" x14ac:dyDescent="0.25">
      <c r="A32" s="110"/>
      <c r="B32" s="119"/>
      <c r="C32" s="119"/>
      <c r="D32" s="124"/>
      <c r="H32" s="64" t="s">
        <v>781</v>
      </c>
      <c r="I32" s="59"/>
      <c r="J32" s="110"/>
    </row>
    <row r="33" spans="1:10" ht="15" x14ac:dyDescent="0.25">
      <c r="A33" s="110"/>
      <c r="B33" s="64" t="s">
        <v>790</v>
      </c>
      <c r="C33" s="59"/>
      <c r="D33" s="124"/>
      <c r="H33" s="59" t="s">
        <v>25</v>
      </c>
      <c r="I33" s="137">
        <v>1200</v>
      </c>
      <c r="J33" s="110"/>
    </row>
    <row r="34" spans="1:10" ht="15" x14ac:dyDescent="0.25">
      <c r="A34" s="110"/>
      <c r="B34" s="59" t="s">
        <v>791</v>
      </c>
      <c r="C34" s="226">
        <f ca="1">Dashboard!B8</f>
        <v>2019</v>
      </c>
      <c r="D34" s="124"/>
      <c r="E34" s="64" t="s">
        <v>781</v>
      </c>
      <c r="F34" s="59"/>
      <c r="H34" s="59" t="s">
        <v>782</v>
      </c>
      <c r="I34" s="137">
        <v>850</v>
      </c>
      <c r="J34" s="110"/>
    </row>
    <row r="35" spans="1:10" ht="15" x14ac:dyDescent="0.25">
      <c r="A35" s="110"/>
      <c r="B35" s="59" t="s">
        <v>792</v>
      </c>
      <c r="C35" s="221" t="s">
        <v>793</v>
      </c>
      <c r="D35" s="124"/>
      <c r="E35" s="59" t="s">
        <v>25</v>
      </c>
      <c r="F35" s="139">
        <f>'Hulp - basis'!O141</f>
        <v>994</v>
      </c>
      <c r="G35" s="119"/>
      <c r="H35" s="59" t="s">
        <v>783</v>
      </c>
      <c r="I35" s="137">
        <v>750</v>
      </c>
      <c r="J35" s="110"/>
    </row>
    <row r="36" spans="1:10" ht="15" x14ac:dyDescent="0.25">
      <c r="A36" s="110"/>
      <c r="B36" s="59" t="s">
        <v>794</v>
      </c>
      <c r="C36" s="227">
        <v>1</v>
      </c>
      <c r="D36" s="124"/>
      <c r="E36" s="59" t="s">
        <v>782</v>
      </c>
      <c r="F36" s="139">
        <f>SUM('Hulp - basis'!O144:O145)</f>
        <v>810</v>
      </c>
      <c r="G36" s="119"/>
      <c r="H36" s="59" t="s">
        <v>784</v>
      </c>
      <c r="I36" s="147">
        <v>456</v>
      </c>
      <c r="J36" s="110"/>
    </row>
    <row r="37" spans="1:10" ht="15" x14ac:dyDescent="0.25">
      <c r="A37" s="110"/>
      <c r="B37" s="59" t="s">
        <v>795</v>
      </c>
      <c r="C37" s="157">
        <f>1-'Invoer gegevens (N)'!$C$36</f>
        <v>0</v>
      </c>
      <c r="D37" s="133"/>
      <c r="E37" s="59" t="s">
        <v>783</v>
      </c>
      <c r="F37" s="139">
        <f>SUM('Hulp - basis'!O148:O149)</f>
        <v>408</v>
      </c>
      <c r="G37" s="119"/>
      <c r="H37" s="148"/>
      <c r="I37" s="148"/>
      <c r="J37" s="110"/>
    </row>
    <row r="38" spans="1:10" ht="15" x14ac:dyDescent="0.25">
      <c r="A38" s="110"/>
      <c r="D38" s="149"/>
      <c r="E38" s="59" t="s">
        <v>784</v>
      </c>
      <c r="F38" s="139">
        <f>'Hulp - basis'!O152</f>
        <v>0</v>
      </c>
      <c r="H38" s="125" t="s">
        <v>786</v>
      </c>
      <c r="I38" s="151">
        <v>0</v>
      </c>
      <c r="J38" s="110"/>
    </row>
    <row r="39" spans="1:10" ht="15" x14ac:dyDescent="0.25">
      <c r="A39" s="110"/>
      <c r="B39" s="59" t="s">
        <v>796</v>
      </c>
      <c r="C39" s="228">
        <v>0.01</v>
      </c>
      <c r="D39" s="59"/>
      <c r="H39" s="119"/>
      <c r="I39" s="152"/>
    </row>
    <row r="40" spans="1:10" ht="15" x14ac:dyDescent="0.25">
      <c r="A40" s="110"/>
      <c r="D40" s="59"/>
      <c r="E40" s="150" t="s">
        <v>785</v>
      </c>
      <c r="F40" s="151">
        <f>Dashboard!D20*Dashboard!D49</f>
        <v>0</v>
      </c>
    </row>
    <row r="41" spans="1:10" ht="15" hidden="1" x14ac:dyDescent="0.25">
      <c r="A41" s="110"/>
      <c r="D41" s="149"/>
      <c r="G41" s="123"/>
      <c r="H41" s="123"/>
      <c r="I41" s="123"/>
    </row>
    <row r="42" spans="1:10" ht="15" hidden="1" x14ac:dyDescent="0.25">
      <c r="A42" s="110"/>
      <c r="D42" s="149"/>
      <c r="G42" s="119"/>
      <c r="H42" s="119"/>
      <c r="I42" s="119"/>
    </row>
    <row r="43" spans="1:10" ht="15" hidden="1" x14ac:dyDescent="0.25">
      <c r="A43" s="110"/>
      <c r="D43" s="149"/>
      <c r="E43" s="123"/>
      <c r="F43" s="123"/>
      <c r="G43" s="119"/>
      <c r="H43" s="125"/>
      <c r="I43" s="154"/>
    </row>
    <row r="44" spans="1:10" ht="15" hidden="1" x14ac:dyDescent="0.25">
      <c r="A44" s="110"/>
      <c r="D44" s="149"/>
      <c r="E44" s="119"/>
      <c r="F44" s="119"/>
      <c r="G44" s="119"/>
      <c r="H44" s="126"/>
      <c r="I44" s="155"/>
    </row>
    <row r="45" spans="1:10" ht="15" hidden="1" x14ac:dyDescent="0.25">
      <c r="A45" s="110"/>
      <c r="D45" s="149"/>
      <c r="E45" s="64"/>
      <c r="F45" s="124"/>
      <c r="G45" s="119"/>
      <c r="H45" s="126"/>
      <c r="I45" s="155"/>
    </row>
    <row r="46" spans="1:10" ht="15" hidden="1" x14ac:dyDescent="0.25">
      <c r="A46" s="110"/>
      <c r="D46" s="149"/>
      <c r="E46" s="59"/>
      <c r="F46" s="130"/>
      <c r="G46" s="119"/>
      <c r="H46" s="126"/>
      <c r="I46" s="155"/>
    </row>
    <row r="47" spans="1:10" ht="15" hidden="1" x14ac:dyDescent="0.25">
      <c r="A47" s="110"/>
      <c r="B47" s="160"/>
      <c r="D47" s="119"/>
      <c r="E47" s="59"/>
      <c r="F47" s="130"/>
      <c r="G47" s="119"/>
      <c r="H47" s="126"/>
      <c r="I47" s="155"/>
    </row>
    <row r="48" spans="1:10" ht="15" hidden="1" x14ac:dyDescent="0.25">
      <c r="A48" s="110"/>
      <c r="B48" s="160"/>
      <c r="D48" s="119"/>
      <c r="E48" s="59"/>
      <c r="F48" s="130"/>
      <c r="G48" s="119"/>
      <c r="H48" s="122"/>
      <c r="I48" s="156"/>
    </row>
    <row r="49" spans="1:9" ht="15" hidden="1" x14ac:dyDescent="0.25">
      <c r="A49" s="110"/>
      <c r="B49" s="160"/>
      <c r="D49" s="119"/>
      <c r="E49" s="59"/>
      <c r="F49" s="130"/>
      <c r="G49" s="119"/>
      <c r="H49" s="122"/>
      <c r="I49" s="156"/>
    </row>
    <row r="50" spans="1:9" ht="15" hidden="1" x14ac:dyDescent="0.25">
      <c r="A50" s="110"/>
      <c r="B50" s="160"/>
      <c r="D50" s="119"/>
    </row>
    <row r="51" spans="1:9" ht="15" hidden="1" x14ac:dyDescent="0.25">
      <c r="A51" s="110"/>
      <c r="B51" s="160"/>
    </row>
    <row r="52" spans="1:9" ht="15" hidden="1" x14ac:dyDescent="0.25">
      <c r="A52" s="110"/>
      <c r="B52" s="160"/>
    </row>
    <row r="53" spans="1:9" ht="15" hidden="1" x14ac:dyDescent="0.25">
      <c r="A53" s="110"/>
      <c r="B53" s="160"/>
    </row>
    <row r="54" spans="1:9" ht="15" hidden="1" x14ac:dyDescent="0.25">
      <c r="A54" s="110"/>
      <c r="B54" s="160"/>
    </row>
    <row r="55" spans="1:9" ht="15" hidden="1" x14ac:dyDescent="0.25">
      <c r="A55" s="110"/>
      <c r="B55" s="160"/>
      <c r="G55" s="119"/>
      <c r="H55" s="119"/>
      <c r="I55" s="119"/>
    </row>
    <row r="56" spans="1:9" ht="15" hidden="1" x14ac:dyDescent="0.25">
      <c r="B56" s="160"/>
    </row>
    <row r="57" spans="1:9" ht="15" hidden="1" x14ac:dyDescent="0.25">
      <c r="B57" s="160"/>
      <c r="E57" s="119"/>
      <c r="F57" s="119"/>
    </row>
    <row r="58" spans="1:9" ht="15" hidden="1" x14ac:dyDescent="0.25">
      <c r="B58" s="160"/>
    </row>
    <row r="59" spans="1:9" ht="15" hidden="1" x14ac:dyDescent="0.25">
      <c r="B59" s="160"/>
    </row>
    <row r="60" spans="1:9" ht="15" hidden="1" x14ac:dyDescent="0.25">
      <c r="B60" s="160"/>
    </row>
    <row r="61" spans="1:9" ht="15" hidden="1" x14ac:dyDescent="0.25">
      <c r="B61" s="160"/>
      <c r="E61" s="158"/>
      <c r="F61" s="159"/>
    </row>
    <row r="62" spans="1:9" ht="15" hidden="1" x14ac:dyDescent="0.25">
      <c r="B62" s="160"/>
    </row>
    <row r="63" spans="1:9" ht="15" hidden="1" x14ac:dyDescent="0.25">
      <c r="B63" s="160"/>
    </row>
    <row r="64" spans="1:9" ht="15" hidden="1" x14ac:dyDescent="0.25">
      <c r="B64" s="160"/>
    </row>
    <row r="65" spans="2:2" ht="15" hidden="1" x14ac:dyDescent="0.25">
      <c r="B65" s="160"/>
    </row>
    <row r="66" spans="2:2" ht="15" hidden="1" x14ac:dyDescent="0.25">
      <c r="B66" s="160"/>
    </row>
    <row r="67" spans="2:2" ht="15" hidden="1" x14ac:dyDescent="0.25">
      <c r="B67" s="160"/>
    </row>
    <row r="68" spans="2:2" ht="15" hidden="1" x14ac:dyDescent="0.25">
      <c r="B68" s="160"/>
    </row>
    <row r="69" spans="2:2" ht="15" hidden="1" x14ac:dyDescent="0.25">
      <c r="B69" s="160"/>
    </row>
    <row r="70" spans="2:2" ht="15" hidden="1" x14ac:dyDescent="0.25">
      <c r="B70" s="160"/>
    </row>
    <row r="71" spans="2:2" ht="13.5" hidden="1" customHeight="1" x14ac:dyDescent="0.25">
      <c r="B71" s="160"/>
    </row>
    <row r="72" spans="2:2" ht="15" hidden="1" x14ac:dyDescent="0.25">
      <c r="B72" s="220"/>
    </row>
    <row r="73" spans="2:2" ht="15" hidden="1" x14ac:dyDescent="0.25">
      <c r="B73" s="160"/>
    </row>
    <row r="74" spans="2:2" ht="15" hidden="1" x14ac:dyDescent="0.25">
      <c r="B74" s="160"/>
    </row>
    <row r="75" spans="2:2" ht="15" hidden="1" x14ac:dyDescent="0.25">
      <c r="B75" s="160"/>
    </row>
    <row r="76" spans="2:2" ht="15" hidden="1" x14ac:dyDescent="0.25">
      <c r="B76" s="160"/>
    </row>
    <row r="77" spans="2:2" ht="15" hidden="1" x14ac:dyDescent="0.25">
      <c r="B77" s="160"/>
    </row>
    <row r="78" spans="2:2" ht="15" hidden="1" x14ac:dyDescent="0.25">
      <c r="B78" s="160"/>
    </row>
    <row r="79" spans="2:2" ht="15" hidden="1" x14ac:dyDescent="0.25">
      <c r="B79" s="160"/>
    </row>
    <row r="80" spans="2:2" ht="15" hidden="1" x14ac:dyDescent="0.25">
      <c r="B80" s="160"/>
    </row>
    <row r="81" spans="2:2" ht="15" hidden="1" x14ac:dyDescent="0.25">
      <c r="B81" s="160"/>
    </row>
    <row r="82" spans="2:2" ht="15" hidden="1" x14ac:dyDescent="0.25">
      <c r="B82" s="160"/>
    </row>
    <row r="83" spans="2:2" ht="15" hidden="1" x14ac:dyDescent="0.25">
      <c r="B83" s="160"/>
    </row>
    <row r="84" spans="2:2" ht="15" hidden="1" x14ac:dyDescent="0.25">
      <c r="B84" s="160"/>
    </row>
    <row r="85" spans="2:2" ht="15" hidden="1" x14ac:dyDescent="0.25">
      <c r="B85" s="160"/>
    </row>
    <row r="86" spans="2:2" ht="15" hidden="1" x14ac:dyDescent="0.25">
      <c r="B86" s="160"/>
    </row>
    <row r="87" spans="2:2" hidden="1" x14ac:dyDescent="0.2"/>
    <row r="88" spans="2:2" ht="15" hidden="1" x14ac:dyDescent="0.25">
      <c r="B88" s="160"/>
    </row>
    <row r="89" spans="2:2" ht="15" hidden="1" x14ac:dyDescent="0.25">
      <c r="B89" s="160"/>
    </row>
    <row r="90" spans="2:2" ht="15" hidden="1" x14ac:dyDescent="0.25">
      <c r="B90" s="160"/>
    </row>
    <row r="91" spans="2:2" ht="15" hidden="1" x14ac:dyDescent="0.25">
      <c r="B91" s="160"/>
    </row>
    <row r="92" spans="2:2" ht="15" hidden="1" x14ac:dyDescent="0.25">
      <c r="B92" s="160"/>
    </row>
    <row r="93" spans="2:2" ht="15" hidden="1" x14ac:dyDescent="0.25">
      <c r="B93" s="160"/>
    </row>
    <row r="94" spans="2:2" ht="15" hidden="1" x14ac:dyDescent="0.25">
      <c r="B94" s="160"/>
    </row>
    <row r="95" spans="2:2" ht="15" hidden="1" x14ac:dyDescent="0.25">
      <c r="B95" s="160"/>
    </row>
    <row r="96" spans="2:2" ht="15" hidden="1" x14ac:dyDescent="0.25">
      <c r="B96" s="160"/>
    </row>
    <row r="97" spans="2:2" ht="15" hidden="1" x14ac:dyDescent="0.25">
      <c r="B97" s="160"/>
    </row>
    <row r="98" spans="2:2" ht="15" hidden="1" x14ac:dyDescent="0.25">
      <c r="B98" s="160"/>
    </row>
    <row r="99" spans="2:2" ht="15" hidden="1" x14ac:dyDescent="0.25">
      <c r="B99" s="160"/>
    </row>
    <row r="100" spans="2:2" ht="15" hidden="1" x14ac:dyDescent="0.25">
      <c r="B100" s="160"/>
    </row>
    <row r="101" spans="2:2" ht="15" hidden="1" x14ac:dyDescent="0.25">
      <c r="B101" s="160"/>
    </row>
    <row r="102" spans="2:2" ht="15" hidden="1" x14ac:dyDescent="0.25">
      <c r="B102" s="160"/>
    </row>
    <row r="103" spans="2:2" ht="15" hidden="1" x14ac:dyDescent="0.25">
      <c r="B103" s="160"/>
    </row>
    <row r="104" spans="2:2" hidden="1" x14ac:dyDescent="0.2"/>
    <row r="105" spans="2:2" ht="15" hidden="1" x14ac:dyDescent="0.25">
      <c r="B105" s="160"/>
    </row>
    <row r="106" spans="2:2" ht="15" hidden="1" x14ac:dyDescent="0.25">
      <c r="B106" s="160"/>
    </row>
    <row r="107" spans="2:2" ht="15" hidden="1" x14ac:dyDescent="0.25">
      <c r="B107" s="160"/>
    </row>
    <row r="108" spans="2:2" ht="15" hidden="1" x14ac:dyDescent="0.25">
      <c r="B108" s="160"/>
    </row>
    <row r="109" spans="2:2" hidden="1" x14ac:dyDescent="0.2"/>
    <row r="110" spans="2:2" ht="15" hidden="1" x14ac:dyDescent="0.25">
      <c r="B110" s="24"/>
    </row>
    <row r="111" spans="2:2" ht="15" hidden="1" x14ac:dyDescent="0.25">
      <c r="B111" s="24"/>
    </row>
    <row r="112" spans="2:2" ht="15" hidden="1" x14ac:dyDescent="0.25">
      <c r="B112" s="24"/>
    </row>
    <row r="113" spans="2:2" ht="15" hidden="1" x14ac:dyDescent="0.25">
      <c r="B113" s="24"/>
    </row>
    <row r="114" spans="2:2" ht="15" hidden="1" x14ac:dyDescent="0.25">
      <c r="B114" s="24"/>
    </row>
    <row r="115" spans="2:2" ht="15" hidden="1" x14ac:dyDescent="0.25">
      <c r="B115" s="24"/>
    </row>
    <row r="116" spans="2:2" ht="15" hidden="1" x14ac:dyDescent="0.25">
      <c r="B116" s="24"/>
    </row>
    <row r="117" spans="2:2" ht="15" hidden="1" x14ac:dyDescent="0.25">
      <c r="B117" s="24"/>
    </row>
    <row r="118" spans="2:2" ht="15" hidden="1" x14ac:dyDescent="0.25">
      <c r="B118" s="24"/>
    </row>
    <row r="119" spans="2:2" ht="15" hidden="1" x14ac:dyDescent="0.25">
      <c r="B119" s="24"/>
    </row>
    <row r="120" spans="2:2" ht="15" hidden="1" x14ac:dyDescent="0.25">
      <c r="B120" s="24"/>
    </row>
    <row r="121" spans="2:2" ht="15" hidden="1" x14ac:dyDescent="0.25">
      <c r="B121" s="24"/>
    </row>
    <row r="122" spans="2:2" ht="15" hidden="1" x14ac:dyDescent="0.25">
      <c r="B122" s="24"/>
    </row>
    <row r="123" spans="2:2" ht="15" hidden="1" x14ac:dyDescent="0.25">
      <c r="B123" s="24"/>
    </row>
    <row r="124" spans="2:2" ht="15" hidden="1" x14ac:dyDescent="0.25">
      <c r="B124" s="24"/>
    </row>
    <row r="125" spans="2:2" ht="15" hidden="1" x14ac:dyDescent="0.25">
      <c r="B125" s="24"/>
    </row>
    <row r="126" spans="2:2" ht="15" hidden="1" x14ac:dyDescent="0.25">
      <c r="B126" s="24"/>
    </row>
    <row r="127" spans="2:2" ht="15" hidden="1" x14ac:dyDescent="0.25">
      <c r="B127" s="24"/>
    </row>
    <row r="128" spans="2:2" ht="15" hidden="1" x14ac:dyDescent="0.25">
      <c r="B128" s="24"/>
    </row>
    <row r="129" spans="2:2" ht="15" hidden="1" x14ac:dyDescent="0.25">
      <c r="B129" s="24"/>
    </row>
    <row r="130" spans="2:2" ht="15" hidden="1" x14ac:dyDescent="0.25">
      <c r="B130" s="24"/>
    </row>
    <row r="131" spans="2:2" ht="15" hidden="1" x14ac:dyDescent="0.25">
      <c r="B131" s="24"/>
    </row>
    <row r="132" spans="2:2" ht="15" hidden="1" x14ac:dyDescent="0.25">
      <c r="B132" s="24"/>
    </row>
    <row r="133" spans="2:2" ht="15" hidden="1" x14ac:dyDescent="0.25">
      <c r="B133" s="24"/>
    </row>
    <row r="134" spans="2:2" ht="15" hidden="1" x14ac:dyDescent="0.25">
      <c r="B134" s="24"/>
    </row>
    <row r="135" spans="2:2" ht="15" hidden="1" x14ac:dyDescent="0.25">
      <c r="B135" s="24"/>
    </row>
    <row r="136" spans="2:2" ht="15" hidden="1" x14ac:dyDescent="0.25">
      <c r="B136" s="24"/>
    </row>
    <row r="137" spans="2:2" ht="15" hidden="1" x14ac:dyDescent="0.25">
      <c r="B137" s="24"/>
    </row>
    <row r="138" spans="2:2" ht="15" hidden="1" x14ac:dyDescent="0.25">
      <c r="B138" s="24"/>
    </row>
    <row r="139" spans="2:2" ht="15" hidden="1" x14ac:dyDescent="0.25">
      <c r="B139" s="24"/>
    </row>
    <row r="140" spans="2:2" ht="15" hidden="1" x14ac:dyDescent="0.25">
      <c r="B140" s="24"/>
    </row>
    <row r="141" spans="2:2" ht="15" hidden="1" x14ac:dyDescent="0.25">
      <c r="B141" s="24"/>
    </row>
    <row r="142" spans="2:2" ht="15" hidden="1" x14ac:dyDescent="0.25">
      <c r="B142" s="24"/>
    </row>
    <row r="143" spans="2:2" ht="15" hidden="1" x14ac:dyDescent="0.25">
      <c r="B143" s="24"/>
    </row>
    <row r="144" spans="2:2" ht="15" hidden="1" x14ac:dyDescent="0.25">
      <c r="B144" s="24"/>
    </row>
    <row r="145" spans="2:2" ht="15" hidden="1" x14ac:dyDescent="0.25">
      <c r="B145" s="24"/>
    </row>
    <row r="146" spans="2:2" ht="15" hidden="1" x14ac:dyDescent="0.25">
      <c r="B146" s="24"/>
    </row>
    <row r="147" spans="2:2" ht="15" hidden="1" x14ac:dyDescent="0.25">
      <c r="B147" s="24"/>
    </row>
    <row r="148" spans="2:2" ht="15" hidden="1" x14ac:dyDescent="0.25">
      <c r="B148" s="24"/>
    </row>
    <row r="149" spans="2:2" ht="15" hidden="1" x14ac:dyDescent="0.25">
      <c r="B149" s="24"/>
    </row>
    <row r="150" spans="2:2" ht="15" hidden="1" x14ac:dyDescent="0.25">
      <c r="B150" s="24"/>
    </row>
    <row r="151" spans="2:2" ht="15" hidden="1" x14ac:dyDescent="0.25">
      <c r="B151" s="24"/>
    </row>
    <row r="152" spans="2:2" ht="15" hidden="1" x14ac:dyDescent="0.25">
      <c r="B152" s="24"/>
    </row>
    <row r="153" spans="2:2" ht="15" hidden="1" x14ac:dyDescent="0.25">
      <c r="B153" s="24"/>
    </row>
    <row r="154" spans="2:2" ht="15" hidden="1" x14ac:dyDescent="0.25">
      <c r="B154" s="24"/>
    </row>
    <row r="155" spans="2:2" ht="15" hidden="1" x14ac:dyDescent="0.25">
      <c r="B155" s="24"/>
    </row>
    <row r="156" spans="2:2" ht="15" hidden="1" x14ac:dyDescent="0.25">
      <c r="B156" s="24"/>
    </row>
    <row r="157" spans="2:2" ht="15" hidden="1" x14ac:dyDescent="0.25">
      <c r="B157" s="24"/>
    </row>
    <row r="158" spans="2:2" ht="15" hidden="1" x14ac:dyDescent="0.25">
      <c r="B158" s="24"/>
    </row>
    <row r="159" spans="2:2" ht="15" hidden="1" x14ac:dyDescent="0.25">
      <c r="B159" s="24"/>
    </row>
    <row r="160" spans="2:2" ht="15" hidden="1" x14ac:dyDescent="0.25">
      <c r="B160" s="24"/>
    </row>
    <row r="161" spans="2:2" ht="15" hidden="1" x14ac:dyDescent="0.25">
      <c r="B161" s="24"/>
    </row>
    <row r="162" spans="2:2" ht="15" hidden="1" x14ac:dyDescent="0.25">
      <c r="B162" s="24"/>
    </row>
    <row r="163" spans="2:2" ht="15" hidden="1" x14ac:dyDescent="0.25">
      <c r="B163" s="24"/>
    </row>
    <row r="164" spans="2:2" ht="15" hidden="1" x14ac:dyDescent="0.25">
      <c r="B164" s="24"/>
    </row>
    <row r="165" spans="2:2" ht="15" hidden="1" x14ac:dyDescent="0.25">
      <c r="B165" s="24"/>
    </row>
    <row r="166" spans="2:2" ht="15" hidden="1" x14ac:dyDescent="0.25">
      <c r="B166" s="24"/>
    </row>
    <row r="167" spans="2:2" ht="15" hidden="1" x14ac:dyDescent="0.25">
      <c r="B167" s="24"/>
    </row>
    <row r="168" spans="2:2" ht="15" hidden="1" x14ac:dyDescent="0.25">
      <c r="B168" s="24"/>
    </row>
    <row r="169" spans="2:2" ht="15" hidden="1" x14ac:dyDescent="0.25">
      <c r="B169" s="24"/>
    </row>
    <row r="170" spans="2:2" ht="15" hidden="1" x14ac:dyDescent="0.25">
      <c r="B170" s="24"/>
    </row>
    <row r="171" spans="2:2" ht="15" hidden="1" x14ac:dyDescent="0.25">
      <c r="B171" s="24"/>
    </row>
    <row r="172" spans="2:2" ht="15" hidden="1" x14ac:dyDescent="0.25">
      <c r="B172" s="24"/>
    </row>
    <row r="173" spans="2:2" ht="15" hidden="1" x14ac:dyDescent="0.25">
      <c r="B173" s="24"/>
    </row>
    <row r="174" spans="2:2" ht="15" hidden="1" x14ac:dyDescent="0.25">
      <c r="B174" s="24"/>
    </row>
    <row r="175" spans="2:2" ht="15" hidden="1" x14ac:dyDescent="0.25">
      <c r="B175" s="24"/>
    </row>
    <row r="176" spans="2:2" ht="15" hidden="1" x14ac:dyDescent="0.25">
      <c r="B176" s="24"/>
    </row>
    <row r="177" spans="2:2" ht="15" hidden="1" x14ac:dyDescent="0.25">
      <c r="B177" s="24"/>
    </row>
    <row r="178" spans="2:2" ht="15" hidden="1" x14ac:dyDescent="0.25">
      <c r="B178" s="24"/>
    </row>
    <row r="179" spans="2:2" ht="15" hidden="1" x14ac:dyDescent="0.25">
      <c r="B179" s="24"/>
    </row>
    <row r="180" spans="2:2" ht="15" hidden="1" x14ac:dyDescent="0.25">
      <c r="B180" s="24"/>
    </row>
    <row r="181" spans="2:2" ht="15" hidden="1" x14ac:dyDescent="0.25">
      <c r="B181" s="24"/>
    </row>
    <row r="182" spans="2:2" ht="15" hidden="1" x14ac:dyDescent="0.25">
      <c r="B182" s="24"/>
    </row>
    <row r="183" spans="2:2" ht="15" hidden="1" x14ac:dyDescent="0.25">
      <c r="B183" s="24"/>
    </row>
    <row r="184" spans="2:2" ht="15" hidden="1" x14ac:dyDescent="0.25">
      <c r="B184" s="24"/>
    </row>
    <row r="185" spans="2:2" ht="15" hidden="1" x14ac:dyDescent="0.25">
      <c r="B185" s="24"/>
    </row>
    <row r="186" spans="2:2" ht="15" hidden="1" x14ac:dyDescent="0.25">
      <c r="B186" s="24"/>
    </row>
    <row r="187" spans="2:2" ht="15" hidden="1" x14ac:dyDescent="0.25">
      <c r="B187" s="24"/>
    </row>
    <row r="188" spans="2:2" ht="15" hidden="1" x14ac:dyDescent="0.25">
      <c r="B188" s="24"/>
    </row>
    <row r="189" spans="2:2" ht="15" hidden="1" x14ac:dyDescent="0.25">
      <c r="B189" s="24"/>
    </row>
    <row r="190" spans="2:2" ht="15" hidden="1" x14ac:dyDescent="0.25">
      <c r="B190" s="24"/>
    </row>
    <row r="191" spans="2:2" ht="15" hidden="1" x14ac:dyDescent="0.25">
      <c r="B191" s="24"/>
    </row>
    <row r="192" spans="2:2" ht="15" hidden="1" x14ac:dyDescent="0.25">
      <c r="B192" s="24"/>
    </row>
    <row r="193" spans="2:2" ht="15" hidden="1" x14ac:dyDescent="0.25">
      <c r="B193" s="24"/>
    </row>
    <row r="194" spans="2:2" ht="15" hidden="1" x14ac:dyDescent="0.25">
      <c r="B194" s="24"/>
    </row>
    <row r="195" spans="2:2" ht="15" hidden="1" x14ac:dyDescent="0.25">
      <c r="B195" s="24"/>
    </row>
    <row r="196" spans="2:2" ht="15" hidden="1" x14ac:dyDescent="0.25">
      <c r="B196" s="24"/>
    </row>
    <row r="197" spans="2:2" ht="15" hidden="1" x14ac:dyDescent="0.25">
      <c r="B197" s="24"/>
    </row>
    <row r="198" spans="2:2" ht="15" hidden="1" x14ac:dyDescent="0.25">
      <c r="B198" s="24"/>
    </row>
    <row r="199" spans="2:2" ht="15" hidden="1" x14ac:dyDescent="0.25">
      <c r="B199" s="24"/>
    </row>
    <row r="200" spans="2:2" ht="15" hidden="1" x14ac:dyDescent="0.25">
      <c r="B200" s="24"/>
    </row>
    <row r="201" spans="2:2" ht="15" hidden="1" x14ac:dyDescent="0.25">
      <c r="B201" s="24"/>
    </row>
    <row r="202" spans="2:2" ht="15" hidden="1" x14ac:dyDescent="0.25">
      <c r="B202" s="24"/>
    </row>
    <row r="203" spans="2:2" ht="15" hidden="1" x14ac:dyDescent="0.25">
      <c r="B203" s="24"/>
    </row>
    <row r="204" spans="2:2" ht="15" hidden="1" x14ac:dyDescent="0.25">
      <c r="B204" s="24"/>
    </row>
    <row r="205" spans="2:2" ht="15" hidden="1" x14ac:dyDescent="0.25">
      <c r="B205" s="24"/>
    </row>
    <row r="206" spans="2:2" ht="15" hidden="1" x14ac:dyDescent="0.25">
      <c r="B206" s="24"/>
    </row>
    <row r="207" spans="2:2" ht="15" hidden="1" x14ac:dyDescent="0.25">
      <c r="B207" s="24"/>
    </row>
    <row r="208" spans="2:2" ht="15" hidden="1" x14ac:dyDescent="0.25">
      <c r="B208" s="24"/>
    </row>
    <row r="209" spans="2:2" ht="15" hidden="1" x14ac:dyDescent="0.25">
      <c r="B209" s="24"/>
    </row>
    <row r="210" spans="2:2" ht="15" hidden="1" x14ac:dyDescent="0.25">
      <c r="B210" s="24"/>
    </row>
    <row r="211" spans="2:2" ht="15" hidden="1" x14ac:dyDescent="0.25">
      <c r="B211" s="24"/>
    </row>
    <row r="212" spans="2:2" ht="15" hidden="1" x14ac:dyDescent="0.25">
      <c r="B212" s="24"/>
    </row>
    <row r="213" spans="2:2" ht="15" hidden="1" x14ac:dyDescent="0.25">
      <c r="B213" s="24"/>
    </row>
    <row r="214" spans="2:2" ht="15" hidden="1" x14ac:dyDescent="0.25">
      <c r="B214" s="24"/>
    </row>
    <row r="215" spans="2:2" ht="15" hidden="1" x14ac:dyDescent="0.25">
      <c r="B215" s="24"/>
    </row>
    <row r="216" spans="2:2" ht="15" hidden="1" x14ac:dyDescent="0.25">
      <c r="B216" s="24"/>
    </row>
    <row r="217" spans="2:2" ht="15" hidden="1" x14ac:dyDescent="0.25">
      <c r="B217" s="24"/>
    </row>
    <row r="218" spans="2:2" ht="15" hidden="1" x14ac:dyDescent="0.25">
      <c r="B218" s="24"/>
    </row>
    <row r="219" spans="2:2" ht="15" hidden="1" x14ac:dyDescent="0.25">
      <c r="B219" s="24"/>
    </row>
    <row r="220" spans="2:2" ht="15" hidden="1" x14ac:dyDescent="0.25">
      <c r="B220" s="24"/>
    </row>
    <row r="221" spans="2:2" ht="15" hidden="1" x14ac:dyDescent="0.25">
      <c r="B221" s="24"/>
    </row>
    <row r="222" spans="2:2" ht="15" hidden="1" x14ac:dyDescent="0.25">
      <c r="B222" s="24"/>
    </row>
    <row r="223" spans="2:2" ht="15" hidden="1" x14ac:dyDescent="0.25">
      <c r="B223" s="24"/>
    </row>
    <row r="224" spans="2:2" ht="15" hidden="1" x14ac:dyDescent="0.25">
      <c r="B224" s="24"/>
    </row>
    <row r="225" spans="2:2" ht="15" hidden="1" x14ac:dyDescent="0.25">
      <c r="B225" s="24"/>
    </row>
    <row r="226" spans="2:2" ht="15" hidden="1" x14ac:dyDescent="0.25">
      <c r="B226" s="24"/>
    </row>
    <row r="227" spans="2:2" ht="15" hidden="1" x14ac:dyDescent="0.25">
      <c r="B227" s="24"/>
    </row>
    <row r="228" spans="2:2" ht="15" hidden="1" x14ac:dyDescent="0.25">
      <c r="B228" s="24"/>
    </row>
    <row r="229" spans="2:2" ht="15" hidden="1" x14ac:dyDescent="0.25">
      <c r="B229" s="24"/>
    </row>
    <row r="230" spans="2:2" ht="15" hidden="1" x14ac:dyDescent="0.25">
      <c r="B230" s="24"/>
    </row>
    <row r="231" spans="2:2" ht="15" hidden="1" x14ac:dyDescent="0.25">
      <c r="B231" s="24"/>
    </row>
    <row r="232" spans="2:2" ht="15" hidden="1" x14ac:dyDescent="0.25">
      <c r="B232" s="24"/>
    </row>
    <row r="233" spans="2:2" ht="15" hidden="1" x14ac:dyDescent="0.25">
      <c r="B233" s="24"/>
    </row>
    <row r="234" spans="2:2" ht="15" hidden="1" x14ac:dyDescent="0.25">
      <c r="B234" s="24"/>
    </row>
    <row r="235" spans="2:2" ht="15" hidden="1" x14ac:dyDescent="0.25">
      <c r="B235" s="24"/>
    </row>
    <row r="236" spans="2:2" ht="15" hidden="1" x14ac:dyDescent="0.25">
      <c r="B236" s="24"/>
    </row>
    <row r="237" spans="2:2" ht="15" hidden="1" x14ac:dyDescent="0.25">
      <c r="B237" s="24"/>
    </row>
    <row r="238" spans="2:2" ht="15" hidden="1" x14ac:dyDescent="0.25">
      <c r="B238" s="24"/>
    </row>
    <row r="239" spans="2:2" ht="15" hidden="1" x14ac:dyDescent="0.25">
      <c r="B239" s="24"/>
    </row>
    <row r="240" spans="2:2" ht="15" hidden="1" x14ac:dyDescent="0.25">
      <c r="B240" s="24"/>
    </row>
    <row r="241" spans="2:2" ht="15" hidden="1" x14ac:dyDescent="0.25">
      <c r="B241" s="24"/>
    </row>
    <row r="242" spans="2:2" ht="15" hidden="1" x14ac:dyDescent="0.25">
      <c r="B242" s="24"/>
    </row>
    <row r="243" spans="2:2" ht="15" hidden="1" x14ac:dyDescent="0.25">
      <c r="B243" s="24"/>
    </row>
    <row r="244" spans="2:2" ht="15" hidden="1" x14ac:dyDescent="0.25">
      <c r="B244" s="24"/>
    </row>
    <row r="245" spans="2:2" ht="15" hidden="1" x14ac:dyDescent="0.25">
      <c r="B245" s="24"/>
    </row>
    <row r="246" spans="2:2" ht="15" hidden="1" x14ac:dyDescent="0.25">
      <c r="B246" s="24"/>
    </row>
    <row r="247" spans="2:2" ht="15" hidden="1" x14ac:dyDescent="0.25">
      <c r="B247" s="24"/>
    </row>
    <row r="248" spans="2:2" ht="15" hidden="1" x14ac:dyDescent="0.25">
      <c r="B248" s="24"/>
    </row>
    <row r="249" spans="2:2" ht="15" hidden="1" x14ac:dyDescent="0.25">
      <c r="B249" s="24"/>
    </row>
    <row r="250" spans="2:2" ht="15" hidden="1" x14ac:dyDescent="0.25">
      <c r="B250" s="24"/>
    </row>
    <row r="251" spans="2:2" ht="15" hidden="1" x14ac:dyDescent="0.25">
      <c r="B251" s="24"/>
    </row>
    <row r="252" spans="2:2" ht="15" hidden="1" x14ac:dyDescent="0.25">
      <c r="B252" s="24"/>
    </row>
    <row r="253" spans="2:2" ht="15" hidden="1" x14ac:dyDescent="0.25">
      <c r="B253" s="24"/>
    </row>
    <row r="254" spans="2:2" ht="15" hidden="1" x14ac:dyDescent="0.25">
      <c r="B254" s="24"/>
    </row>
    <row r="255" spans="2:2" ht="15" hidden="1" x14ac:dyDescent="0.25">
      <c r="B255" s="24"/>
    </row>
    <row r="256" spans="2:2" ht="15" hidden="1" x14ac:dyDescent="0.25">
      <c r="B256" s="24"/>
    </row>
    <row r="257" spans="2:2" ht="15" hidden="1" x14ac:dyDescent="0.25">
      <c r="B257" s="24"/>
    </row>
    <row r="258" spans="2:2" ht="15" hidden="1" x14ac:dyDescent="0.25">
      <c r="B258" s="24"/>
    </row>
    <row r="259" spans="2:2" ht="15" hidden="1" x14ac:dyDescent="0.25">
      <c r="B259" s="24"/>
    </row>
    <row r="260" spans="2:2" ht="15" hidden="1" x14ac:dyDescent="0.25">
      <c r="B260" s="24"/>
    </row>
    <row r="261" spans="2:2" ht="15" hidden="1" x14ac:dyDescent="0.25">
      <c r="B261" s="24"/>
    </row>
    <row r="262" spans="2:2" ht="15" hidden="1" x14ac:dyDescent="0.25">
      <c r="B262" s="24"/>
    </row>
    <row r="263" spans="2:2" ht="15" hidden="1" x14ac:dyDescent="0.25">
      <c r="B263" s="24"/>
    </row>
    <row r="264" spans="2:2" ht="15" hidden="1" x14ac:dyDescent="0.25">
      <c r="B264" s="24"/>
    </row>
    <row r="265" spans="2:2" ht="15" hidden="1" x14ac:dyDescent="0.25">
      <c r="B265" s="24"/>
    </row>
    <row r="266" spans="2:2" ht="15" hidden="1" x14ac:dyDescent="0.25">
      <c r="B266" s="24"/>
    </row>
    <row r="267" spans="2:2" ht="15" hidden="1" x14ac:dyDescent="0.25">
      <c r="B267" s="24"/>
    </row>
    <row r="268" spans="2:2" ht="15" hidden="1" x14ac:dyDescent="0.25">
      <c r="B268" s="24"/>
    </row>
    <row r="269" spans="2:2" ht="15" hidden="1" x14ac:dyDescent="0.25">
      <c r="B269" s="24"/>
    </row>
    <row r="270" spans="2:2" ht="15" hidden="1" x14ac:dyDescent="0.25">
      <c r="B270" s="24"/>
    </row>
    <row r="271" spans="2:2" ht="15" hidden="1" x14ac:dyDescent="0.25">
      <c r="B271" s="24"/>
    </row>
    <row r="272" spans="2:2" ht="15" hidden="1" x14ac:dyDescent="0.25">
      <c r="B272" s="24"/>
    </row>
    <row r="273" spans="2:2" ht="15" hidden="1" x14ac:dyDescent="0.25">
      <c r="B273" s="24"/>
    </row>
    <row r="274" spans="2:2" ht="15" hidden="1" x14ac:dyDescent="0.25">
      <c r="B274" s="24"/>
    </row>
    <row r="275" spans="2:2" ht="15" hidden="1" x14ac:dyDescent="0.25">
      <c r="B275" s="24"/>
    </row>
    <row r="276" spans="2:2" ht="15" hidden="1" x14ac:dyDescent="0.25">
      <c r="B276" s="24"/>
    </row>
    <row r="277" spans="2:2" ht="15" hidden="1" x14ac:dyDescent="0.25">
      <c r="B277" s="24"/>
    </row>
    <row r="278" spans="2:2" ht="15" hidden="1" x14ac:dyDescent="0.25">
      <c r="B278" s="24"/>
    </row>
    <row r="279" spans="2:2" ht="15" hidden="1" x14ac:dyDescent="0.25">
      <c r="B279" s="24"/>
    </row>
    <row r="280" spans="2:2" ht="15" hidden="1" x14ac:dyDescent="0.25">
      <c r="B280" s="24"/>
    </row>
    <row r="281" spans="2:2" ht="15" hidden="1" x14ac:dyDescent="0.25">
      <c r="B281" s="24"/>
    </row>
    <row r="282" spans="2:2" ht="15" hidden="1" x14ac:dyDescent="0.25">
      <c r="B282" s="24"/>
    </row>
    <row r="283" spans="2:2" ht="15" hidden="1" x14ac:dyDescent="0.25">
      <c r="B283" s="24"/>
    </row>
    <row r="284" spans="2:2" ht="15" hidden="1" x14ac:dyDescent="0.25">
      <c r="B284" s="24"/>
    </row>
    <row r="285" spans="2:2" ht="15" hidden="1" x14ac:dyDescent="0.25">
      <c r="B285" s="24"/>
    </row>
    <row r="286" spans="2:2" ht="15" hidden="1" x14ac:dyDescent="0.25">
      <c r="B286" s="24"/>
    </row>
    <row r="287" spans="2:2" ht="15" hidden="1" x14ac:dyDescent="0.25">
      <c r="B287" s="24"/>
    </row>
    <row r="288" spans="2:2" ht="15" hidden="1" x14ac:dyDescent="0.25">
      <c r="B288" s="24"/>
    </row>
    <row r="289" spans="2:2" ht="15" hidden="1" x14ac:dyDescent="0.25">
      <c r="B289" s="24"/>
    </row>
    <row r="290" spans="2:2" ht="15" hidden="1" x14ac:dyDescent="0.25">
      <c r="B290" s="24"/>
    </row>
    <row r="291" spans="2:2" ht="15" hidden="1" x14ac:dyDescent="0.25">
      <c r="B291" s="24"/>
    </row>
    <row r="292" spans="2:2" ht="15" hidden="1" x14ac:dyDescent="0.25">
      <c r="B292" s="24"/>
    </row>
    <row r="293" spans="2:2" ht="15" hidden="1" x14ac:dyDescent="0.25">
      <c r="B293" s="24"/>
    </row>
    <row r="294" spans="2:2" ht="15" hidden="1" x14ac:dyDescent="0.25">
      <c r="B294" s="24"/>
    </row>
    <row r="295" spans="2:2" ht="15" hidden="1" x14ac:dyDescent="0.25">
      <c r="B295" s="24"/>
    </row>
    <row r="296" spans="2:2" ht="15" hidden="1" x14ac:dyDescent="0.25">
      <c r="B296" s="24"/>
    </row>
    <row r="297" spans="2:2" ht="15" hidden="1" x14ac:dyDescent="0.25">
      <c r="B297" s="24"/>
    </row>
    <row r="298" spans="2:2" ht="15" hidden="1" x14ac:dyDescent="0.25">
      <c r="B298" s="24"/>
    </row>
    <row r="299" spans="2:2" ht="15" hidden="1" x14ac:dyDescent="0.25">
      <c r="B299" s="24"/>
    </row>
    <row r="300" spans="2:2" ht="15" hidden="1" x14ac:dyDescent="0.25">
      <c r="B300" s="24"/>
    </row>
    <row r="301" spans="2:2" ht="15" hidden="1" x14ac:dyDescent="0.25">
      <c r="B301" s="24"/>
    </row>
    <row r="302" spans="2:2" ht="15" hidden="1" x14ac:dyDescent="0.25">
      <c r="B302" s="24"/>
    </row>
    <row r="303" spans="2:2" ht="15" hidden="1" x14ac:dyDescent="0.25">
      <c r="B303" s="24"/>
    </row>
    <row r="304" spans="2:2" ht="15" hidden="1" x14ac:dyDescent="0.25">
      <c r="B304" s="24"/>
    </row>
    <row r="305" spans="2:2" ht="15" hidden="1" x14ac:dyDescent="0.25">
      <c r="B305" s="24"/>
    </row>
    <row r="306" spans="2:2" ht="15" hidden="1" x14ac:dyDescent="0.25">
      <c r="B306" s="24"/>
    </row>
    <row r="307" spans="2:2" ht="15" hidden="1" x14ac:dyDescent="0.25">
      <c r="B307" s="24"/>
    </row>
    <row r="308" spans="2:2" ht="15" hidden="1" x14ac:dyDescent="0.25">
      <c r="B308" s="24"/>
    </row>
    <row r="309" spans="2:2" ht="15" hidden="1" x14ac:dyDescent="0.25">
      <c r="B309" s="24"/>
    </row>
    <row r="310" spans="2:2" ht="15" hidden="1" x14ac:dyDescent="0.25">
      <c r="B310" s="24"/>
    </row>
    <row r="311" spans="2:2" ht="15" hidden="1" x14ac:dyDescent="0.25">
      <c r="B311" s="24"/>
    </row>
    <row r="312" spans="2:2" ht="15" hidden="1" x14ac:dyDescent="0.25">
      <c r="B312" s="24"/>
    </row>
    <row r="313" spans="2:2" ht="15" hidden="1" x14ac:dyDescent="0.25">
      <c r="B313" s="24"/>
    </row>
    <row r="314" spans="2:2" ht="15" hidden="1" x14ac:dyDescent="0.25">
      <c r="B314" s="24"/>
    </row>
    <row r="315" spans="2:2" ht="15" hidden="1" x14ac:dyDescent="0.25">
      <c r="B315" s="24"/>
    </row>
    <row r="316" spans="2:2" ht="15" hidden="1" x14ac:dyDescent="0.25">
      <c r="B316" s="24"/>
    </row>
    <row r="317" spans="2:2" ht="15" hidden="1" x14ac:dyDescent="0.25">
      <c r="B317" s="24"/>
    </row>
    <row r="318" spans="2:2" ht="15" hidden="1" x14ac:dyDescent="0.25">
      <c r="B318" s="24"/>
    </row>
    <row r="319" spans="2:2" ht="15" hidden="1" x14ac:dyDescent="0.25">
      <c r="B319" s="24"/>
    </row>
    <row r="320" spans="2:2" ht="15" hidden="1" x14ac:dyDescent="0.25">
      <c r="B320" s="24"/>
    </row>
    <row r="321" spans="2:2" ht="15" hidden="1" x14ac:dyDescent="0.25">
      <c r="B321" s="24"/>
    </row>
    <row r="322" spans="2:2" ht="15" hidden="1" x14ac:dyDescent="0.25">
      <c r="B322" s="24"/>
    </row>
    <row r="323" spans="2:2" ht="15" hidden="1" x14ac:dyDescent="0.25">
      <c r="B323" s="24"/>
    </row>
    <row r="324" spans="2:2" ht="15" hidden="1" x14ac:dyDescent="0.25">
      <c r="B324" s="24"/>
    </row>
    <row r="325" spans="2:2" ht="15" hidden="1" x14ac:dyDescent="0.25">
      <c r="B325" s="24"/>
    </row>
    <row r="326" spans="2:2" ht="15" hidden="1" x14ac:dyDescent="0.25">
      <c r="B326" s="24"/>
    </row>
    <row r="327" spans="2:2" ht="15" hidden="1" x14ac:dyDescent="0.25">
      <c r="B327" s="24"/>
    </row>
    <row r="328" spans="2:2" ht="15" hidden="1" x14ac:dyDescent="0.25">
      <c r="B328" s="24"/>
    </row>
    <row r="329" spans="2:2" ht="15" hidden="1" x14ac:dyDescent="0.25">
      <c r="B329" s="24"/>
    </row>
    <row r="330" spans="2:2" ht="15" hidden="1" x14ac:dyDescent="0.25">
      <c r="B330" s="24"/>
    </row>
    <row r="331" spans="2:2" ht="15" hidden="1" x14ac:dyDescent="0.25">
      <c r="B331" s="24"/>
    </row>
    <row r="332" spans="2:2" ht="15" hidden="1" x14ac:dyDescent="0.25">
      <c r="B332" s="24"/>
    </row>
    <row r="333" spans="2:2" ht="15" hidden="1" x14ac:dyDescent="0.25">
      <c r="B333" s="24"/>
    </row>
    <row r="334" spans="2:2" ht="15" hidden="1" x14ac:dyDescent="0.25">
      <c r="B334" s="24"/>
    </row>
    <row r="335" spans="2:2" ht="15" hidden="1" x14ac:dyDescent="0.25">
      <c r="B335" s="24"/>
    </row>
    <row r="336" spans="2:2" ht="15" hidden="1" x14ac:dyDescent="0.25">
      <c r="B336" s="24"/>
    </row>
    <row r="337" spans="2:2" ht="15" hidden="1" x14ac:dyDescent="0.25">
      <c r="B337" s="24"/>
    </row>
    <row r="338" spans="2:2" ht="15" hidden="1" x14ac:dyDescent="0.25">
      <c r="B338" s="24"/>
    </row>
    <row r="339" spans="2:2" ht="15" hidden="1" x14ac:dyDescent="0.25">
      <c r="B339" s="24"/>
    </row>
    <row r="340" spans="2:2" ht="15" hidden="1" x14ac:dyDescent="0.25">
      <c r="B340" s="24"/>
    </row>
    <row r="341" spans="2:2" ht="15" hidden="1" x14ac:dyDescent="0.25">
      <c r="B341" s="24"/>
    </row>
    <row r="342" spans="2:2" ht="15" hidden="1" x14ac:dyDescent="0.25">
      <c r="B342" s="24"/>
    </row>
    <row r="343" spans="2:2" ht="15" hidden="1" x14ac:dyDescent="0.25">
      <c r="B343" s="24"/>
    </row>
    <row r="344" spans="2:2" ht="15" hidden="1" x14ac:dyDescent="0.25">
      <c r="B344" s="24"/>
    </row>
    <row r="345" spans="2:2" ht="15" hidden="1" x14ac:dyDescent="0.25">
      <c r="B345" s="24"/>
    </row>
    <row r="346" spans="2:2" ht="15" hidden="1" x14ac:dyDescent="0.25">
      <c r="B346" s="24"/>
    </row>
    <row r="347" spans="2:2" ht="15" hidden="1" x14ac:dyDescent="0.25">
      <c r="B347" s="24"/>
    </row>
    <row r="348" spans="2:2" ht="15" hidden="1" x14ac:dyDescent="0.25">
      <c r="B348" s="24"/>
    </row>
    <row r="349" spans="2:2" ht="15" hidden="1" x14ac:dyDescent="0.25">
      <c r="B349" s="24"/>
    </row>
    <row r="350" spans="2:2" ht="15" hidden="1" x14ac:dyDescent="0.25">
      <c r="B350" s="24"/>
    </row>
    <row r="351" spans="2:2" ht="15" hidden="1" x14ac:dyDescent="0.25">
      <c r="B351" s="24"/>
    </row>
    <row r="352" spans="2:2" ht="15" hidden="1" x14ac:dyDescent="0.25">
      <c r="B352" s="24"/>
    </row>
    <row r="353" spans="2:2" ht="15" hidden="1" x14ac:dyDescent="0.25">
      <c r="B353" s="24"/>
    </row>
    <row r="354" spans="2:2" ht="15" hidden="1" x14ac:dyDescent="0.25">
      <c r="B354" s="24"/>
    </row>
    <row r="355" spans="2:2" ht="15" hidden="1" x14ac:dyDescent="0.25">
      <c r="B355" s="24"/>
    </row>
    <row r="356" spans="2:2" ht="15" hidden="1" x14ac:dyDescent="0.25">
      <c r="B356" s="24"/>
    </row>
    <row r="357" spans="2:2" ht="15" hidden="1" x14ac:dyDescent="0.25">
      <c r="B357" s="24"/>
    </row>
    <row r="358" spans="2:2" ht="15" hidden="1" x14ac:dyDescent="0.25">
      <c r="B358" s="24"/>
    </row>
    <row r="359" spans="2:2" ht="15" hidden="1" x14ac:dyDescent="0.25">
      <c r="B359" s="24"/>
    </row>
    <row r="360" spans="2:2" ht="15" hidden="1" x14ac:dyDescent="0.25">
      <c r="B360" s="24"/>
    </row>
    <row r="361" spans="2:2" ht="15" hidden="1" x14ac:dyDescent="0.25">
      <c r="B361" s="24"/>
    </row>
    <row r="362" spans="2:2" ht="15" hidden="1" x14ac:dyDescent="0.25">
      <c r="B362" s="24"/>
    </row>
    <row r="363" spans="2:2" ht="15" hidden="1" x14ac:dyDescent="0.25">
      <c r="B363" s="24"/>
    </row>
    <row r="364" spans="2:2" ht="15" hidden="1" x14ac:dyDescent="0.25">
      <c r="B364" s="24"/>
    </row>
    <row r="365" spans="2:2" ht="15" hidden="1" x14ac:dyDescent="0.25">
      <c r="B365" s="24"/>
    </row>
    <row r="366" spans="2:2" ht="15" hidden="1" x14ac:dyDescent="0.25">
      <c r="B366" s="24"/>
    </row>
    <row r="367" spans="2:2" ht="15" hidden="1" x14ac:dyDescent="0.25">
      <c r="B367" s="24"/>
    </row>
    <row r="368" spans="2:2" ht="15" hidden="1" x14ac:dyDescent="0.25">
      <c r="B368" s="24"/>
    </row>
    <row r="369" spans="2:2" ht="15" hidden="1" x14ac:dyDescent="0.25">
      <c r="B369" s="24"/>
    </row>
    <row r="370" spans="2:2" ht="15" hidden="1" x14ac:dyDescent="0.25">
      <c r="B370" s="24"/>
    </row>
    <row r="371" spans="2:2" ht="15" hidden="1" x14ac:dyDescent="0.25">
      <c r="B371" s="24"/>
    </row>
    <row r="372" spans="2:2" ht="15" hidden="1" x14ac:dyDescent="0.25">
      <c r="B372" s="24"/>
    </row>
    <row r="373" spans="2:2" ht="15" hidden="1" x14ac:dyDescent="0.25">
      <c r="B373" s="24"/>
    </row>
    <row r="374" spans="2:2" ht="15" hidden="1" x14ac:dyDescent="0.25">
      <c r="B374" s="24"/>
    </row>
    <row r="375" spans="2:2" ht="15" hidden="1" x14ac:dyDescent="0.25">
      <c r="B375" s="24"/>
    </row>
    <row r="376" spans="2:2" ht="15" hidden="1" x14ac:dyDescent="0.25">
      <c r="B376" s="24"/>
    </row>
    <row r="377" spans="2:2" ht="15" hidden="1" x14ac:dyDescent="0.25">
      <c r="B377" s="24"/>
    </row>
    <row r="378" spans="2:2" ht="15" hidden="1" x14ac:dyDescent="0.25">
      <c r="B378" s="24"/>
    </row>
    <row r="379" spans="2:2" ht="15" hidden="1" x14ac:dyDescent="0.25">
      <c r="B379" s="24"/>
    </row>
    <row r="380" spans="2:2" ht="15" hidden="1" x14ac:dyDescent="0.25">
      <c r="B380" s="24"/>
    </row>
    <row r="381" spans="2:2" ht="15" hidden="1" x14ac:dyDescent="0.25">
      <c r="B381" s="24"/>
    </row>
    <row r="382" spans="2:2" ht="15" hidden="1" x14ac:dyDescent="0.25">
      <c r="B382" s="24"/>
    </row>
    <row r="383" spans="2:2" ht="15" hidden="1" x14ac:dyDescent="0.25">
      <c r="B383" s="24"/>
    </row>
    <row r="384" spans="2:2" ht="15" hidden="1" x14ac:dyDescent="0.25">
      <c r="B384" s="24"/>
    </row>
    <row r="385" spans="2:2" ht="15" hidden="1" x14ac:dyDescent="0.25">
      <c r="B385" s="24"/>
    </row>
    <row r="386" spans="2:2" ht="15" hidden="1" x14ac:dyDescent="0.25">
      <c r="B386" s="24"/>
    </row>
    <row r="387" spans="2:2" ht="15" hidden="1" x14ac:dyDescent="0.25">
      <c r="B387" s="24"/>
    </row>
    <row r="388" spans="2:2" ht="15" hidden="1" x14ac:dyDescent="0.25">
      <c r="B388" s="24"/>
    </row>
    <row r="389" spans="2:2" ht="15" hidden="1" x14ac:dyDescent="0.25">
      <c r="B389" s="24"/>
    </row>
    <row r="390" spans="2:2" ht="15" hidden="1" x14ac:dyDescent="0.25">
      <c r="B390" s="24"/>
    </row>
    <row r="391" spans="2:2" ht="15" hidden="1" x14ac:dyDescent="0.25">
      <c r="B391" s="24"/>
    </row>
    <row r="392" spans="2:2" ht="15" hidden="1" x14ac:dyDescent="0.25">
      <c r="B392" s="24"/>
    </row>
    <row r="393" spans="2:2" ht="15" hidden="1" x14ac:dyDescent="0.25">
      <c r="B393" s="24"/>
    </row>
    <row r="394" spans="2:2" ht="15" hidden="1" x14ac:dyDescent="0.25">
      <c r="B394" s="24"/>
    </row>
    <row r="395" spans="2:2" ht="15" hidden="1" x14ac:dyDescent="0.25">
      <c r="B395" s="24"/>
    </row>
    <row r="396" spans="2:2" ht="15" hidden="1" x14ac:dyDescent="0.25">
      <c r="B396" s="24"/>
    </row>
    <row r="397" spans="2:2" ht="15" hidden="1" x14ac:dyDescent="0.25">
      <c r="B397" s="24"/>
    </row>
    <row r="398" spans="2:2" ht="15" hidden="1" x14ac:dyDescent="0.25">
      <c r="B398" s="24"/>
    </row>
    <row r="399" spans="2:2" ht="15" hidden="1" x14ac:dyDescent="0.25">
      <c r="B399" s="24"/>
    </row>
    <row r="400" spans="2:2" ht="15" hidden="1" x14ac:dyDescent="0.25">
      <c r="B400" s="24"/>
    </row>
    <row r="401" spans="2:2" ht="15" hidden="1" x14ac:dyDescent="0.25">
      <c r="B401" s="24"/>
    </row>
    <row r="402" spans="2:2" ht="15" hidden="1" x14ac:dyDescent="0.25">
      <c r="B402" s="24"/>
    </row>
    <row r="403" spans="2:2" ht="15" hidden="1" x14ac:dyDescent="0.25">
      <c r="B403" s="24"/>
    </row>
    <row r="404" spans="2:2" ht="15" hidden="1" x14ac:dyDescent="0.25">
      <c r="B404" s="24"/>
    </row>
    <row r="405" spans="2:2" ht="15" hidden="1" x14ac:dyDescent="0.25">
      <c r="B405" s="24"/>
    </row>
    <row r="406" spans="2:2" ht="15" hidden="1" x14ac:dyDescent="0.25">
      <c r="B406" s="24"/>
    </row>
    <row r="407" spans="2:2" ht="15" hidden="1" x14ac:dyDescent="0.25">
      <c r="B407" s="24"/>
    </row>
    <row r="408" spans="2:2" ht="15" hidden="1" x14ac:dyDescent="0.25">
      <c r="B408" s="24"/>
    </row>
    <row r="409" spans="2:2" ht="15" hidden="1" x14ac:dyDescent="0.25">
      <c r="B409" s="24"/>
    </row>
    <row r="410" spans="2:2" ht="15" hidden="1" x14ac:dyDescent="0.25">
      <c r="B410" s="24"/>
    </row>
    <row r="411" spans="2:2" ht="15" hidden="1" x14ac:dyDescent="0.25">
      <c r="B411" s="24"/>
    </row>
    <row r="412" spans="2:2" ht="15" hidden="1" x14ac:dyDescent="0.25">
      <c r="B412" s="24"/>
    </row>
    <row r="413" spans="2:2" ht="15" hidden="1" x14ac:dyDescent="0.25">
      <c r="B413" s="24"/>
    </row>
    <row r="414" spans="2:2" ht="15" hidden="1" x14ac:dyDescent="0.25">
      <c r="B414" s="24"/>
    </row>
    <row r="415" spans="2:2" ht="15" hidden="1" x14ac:dyDescent="0.25">
      <c r="B415" s="24"/>
    </row>
    <row r="416" spans="2:2" ht="15" hidden="1" x14ac:dyDescent="0.25">
      <c r="B416" s="24"/>
    </row>
    <row r="417" spans="2:2" ht="15" hidden="1" x14ac:dyDescent="0.25">
      <c r="B417" s="24"/>
    </row>
    <row r="418" spans="2:2" ht="15" hidden="1" x14ac:dyDescent="0.25">
      <c r="B418" s="24"/>
    </row>
    <row r="419" spans="2:2" ht="15" hidden="1" x14ac:dyDescent="0.25">
      <c r="B419" s="24"/>
    </row>
    <row r="420" spans="2:2" ht="15" hidden="1" x14ac:dyDescent="0.25">
      <c r="B420" s="24"/>
    </row>
    <row r="421" spans="2:2" ht="15" hidden="1" x14ac:dyDescent="0.25">
      <c r="B421" s="24"/>
    </row>
    <row r="422" spans="2:2" ht="15" hidden="1" x14ac:dyDescent="0.25">
      <c r="B422" s="24"/>
    </row>
    <row r="423" spans="2:2" ht="15" hidden="1" x14ac:dyDescent="0.25">
      <c r="B423" s="24"/>
    </row>
    <row r="424" spans="2:2" ht="15" hidden="1" x14ac:dyDescent="0.25">
      <c r="B424" s="24"/>
    </row>
    <row r="425" spans="2:2" ht="15" hidden="1" x14ac:dyDescent="0.25">
      <c r="B425" s="24"/>
    </row>
    <row r="426" spans="2:2" ht="15" hidden="1" x14ac:dyDescent="0.25">
      <c r="B426" s="24"/>
    </row>
    <row r="427" spans="2:2" ht="15" hidden="1" x14ac:dyDescent="0.25">
      <c r="B427" s="24"/>
    </row>
    <row r="428" spans="2:2" ht="15" hidden="1" x14ac:dyDescent="0.25">
      <c r="B428" s="24"/>
    </row>
    <row r="429" spans="2:2" ht="15" hidden="1" x14ac:dyDescent="0.25">
      <c r="B429" s="24"/>
    </row>
    <row r="430" spans="2:2" ht="15" hidden="1" x14ac:dyDescent="0.25">
      <c r="B430" s="24"/>
    </row>
    <row r="431" spans="2:2" ht="15" hidden="1" x14ac:dyDescent="0.25">
      <c r="B431" s="24"/>
    </row>
    <row r="432" spans="2:2" ht="15" hidden="1" x14ac:dyDescent="0.25">
      <c r="B432" s="24"/>
    </row>
    <row r="433" spans="2:2" ht="15" hidden="1" x14ac:dyDescent="0.25">
      <c r="B433" s="24"/>
    </row>
    <row r="434" spans="2:2" ht="15" hidden="1" x14ac:dyDescent="0.25">
      <c r="B434" s="24"/>
    </row>
    <row r="435" spans="2:2" ht="15" hidden="1" x14ac:dyDescent="0.25">
      <c r="B435" s="24"/>
    </row>
    <row r="436" spans="2:2" ht="15" hidden="1" x14ac:dyDescent="0.25">
      <c r="B436" s="24"/>
    </row>
    <row r="437" spans="2:2" ht="15" hidden="1" x14ac:dyDescent="0.25">
      <c r="B437" s="24"/>
    </row>
    <row r="438" spans="2:2" ht="15" hidden="1" x14ac:dyDescent="0.25">
      <c r="B438" s="24"/>
    </row>
    <row r="439" spans="2:2" ht="15" hidden="1" x14ac:dyDescent="0.25">
      <c r="B439" s="24"/>
    </row>
    <row r="440" spans="2:2" ht="15" hidden="1" x14ac:dyDescent="0.25">
      <c r="B440" s="24"/>
    </row>
    <row r="441" spans="2:2" ht="15" hidden="1" x14ac:dyDescent="0.25">
      <c r="B441" s="24"/>
    </row>
    <row r="442" spans="2:2" ht="15" hidden="1" x14ac:dyDescent="0.25">
      <c r="B442" s="24"/>
    </row>
    <row r="443" spans="2:2" ht="15" hidden="1" x14ac:dyDescent="0.25">
      <c r="B443" s="24"/>
    </row>
    <row r="444" spans="2:2" ht="15" hidden="1" x14ac:dyDescent="0.25">
      <c r="B444" s="24"/>
    </row>
    <row r="445" spans="2:2" ht="15" hidden="1" x14ac:dyDescent="0.25">
      <c r="B445" s="24"/>
    </row>
    <row r="446" spans="2:2" ht="15" hidden="1" x14ac:dyDescent="0.25">
      <c r="B446" s="24"/>
    </row>
    <row r="447" spans="2:2" ht="15" hidden="1" x14ac:dyDescent="0.25">
      <c r="B447" s="24"/>
    </row>
    <row r="448" spans="2:2" ht="15" hidden="1" x14ac:dyDescent="0.25">
      <c r="B448" s="24"/>
    </row>
    <row r="449" spans="2:2" ht="15" hidden="1" x14ac:dyDescent="0.25">
      <c r="B449" s="24"/>
    </row>
    <row r="450" spans="2:2" ht="15" hidden="1" x14ac:dyDescent="0.25">
      <c r="B450" s="24"/>
    </row>
    <row r="451" spans="2:2" ht="15" hidden="1" x14ac:dyDescent="0.25">
      <c r="B451" s="24"/>
    </row>
    <row r="452" spans="2:2" ht="15" hidden="1" x14ac:dyDescent="0.25">
      <c r="B452" s="24"/>
    </row>
    <row r="453" spans="2:2" ht="15" hidden="1" x14ac:dyDescent="0.25">
      <c r="B453" s="24"/>
    </row>
    <row r="454" spans="2:2" ht="15" hidden="1" x14ac:dyDescent="0.25">
      <c r="B454" s="24"/>
    </row>
    <row r="455" spans="2:2" ht="15" hidden="1" x14ac:dyDescent="0.25">
      <c r="B455" s="24"/>
    </row>
    <row r="456" spans="2:2" ht="15" hidden="1" x14ac:dyDescent="0.25">
      <c r="B456" s="24"/>
    </row>
    <row r="457" spans="2:2" ht="15" hidden="1" x14ac:dyDescent="0.25">
      <c r="B457" s="24"/>
    </row>
    <row r="458" spans="2:2" ht="15" hidden="1" x14ac:dyDescent="0.25">
      <c r="B458" s="24"/>
    </row>
    <row r="459" spans="2:2" ht="15" hidden="1" x14ac:dyDescent="0.25">
      <c r="B459" s="24"/>
    </row>
    <row r="460" spans="2:2" ht="15" hidden="1" x14ac:dyDescent="0.25">
      <c r="B460" s="24"/>
    </row>
    <row r="461" spans="2:2" ht="15" hidden="1" x14ac:dyDescent="0.25">
      <c r="B461" s="24"/>
    </row>
    <row r="462" spans="2:2" ht="15" hidden="1" x14ac:dyDescent="0.25">
      <c r="B462" s="24"/>
    </row>
    <row r="463" spans="2:2" ht="15" hidden="1" x14ac:dyDescent="0.25">
      <c r="B463" s="24"/>
    </row>
    <row r="464" spans="2:2" ht="15" hidden="1" x14ac:dyDescent="0.25">
      <c r="B464" s="24"/>
    </row>
    <row r="465" spans="2:2" ht="15" hidden="1" x14ac:dyDescent="0.25">
      <c r="B465" s="24"/>
    </row>
    <row r="466" spans="2:2" ht="15" hidden="1" x14ac:dyDescent="0.25">
      <c r="B466" s="24"/>
    </row>
    <row r="467" spans="2:2" ht="15" hidden="1" x14ac:dyDescent="0.25">
      <c r="B467" s="24"/>
    </row>
    <row r="468" spans="2:2" ht="15" hidden="1" x14ac:dyDescent="0.25">
      <c r="B468" s="24"/>
    </row>
    <row r="469" spans="2:2" ht="15" hidden="1" x14ac:dyDescent="0.25">
      <c r="B469" s="24"/>
    </row>
    <row r="470" spans="2:2" ht="15" hidden="1" x14ac:dyDescent="0.25">
      <c r="B470" s="24"/>
    </row>
    <row r="471" spans="2:2" ht="15" hidden="1" x14ac:dyDescent="0.25">
      <c r="B471" s="24"/>
    </row>
    <row r="472" spans="2:2" ht="15" hidden="1" x14ac:dyDescent="0.25">
      <c r="B472" s="24"/>
    </row>
    <row r="473" spans="2:2" ht="15" hidden="1" x14ac:dyDescent="0.25">
      <c r="B473" s="24"/>
    </row>
    <row r="474" spans="2:2" ht="15" hidden="1" x14ac:dyDescent="0.25">
      <c r="B474" s="24"/>
    </row>
    <row r="475" spans="2:2" ht="15" hidden="1" x14ac:dyDescent="0.25">
      <c r="B475" s="24"/>
    </row>
    <row r="476" spans="2:2" ht="15" hidden="1" x14ac:dyDescent="0.25">
      <c r="B476" s="24"/>
    </row>
    <row r="477" spans="2:2" ht="15" hidden="1" x14ac:dyDescent="0.25">
      <c r="B477" s="24"/>
    </row>
    <row r="478" spans="2:2" ht="15" hidden="1" x14ac:dyDescent="0.25">
      <c r="B478" s="24"/>
    </row>
    <row r="479" spans="2:2" ht="15" hidden="1" x14ac:dyDescent="0.25">
      <c r="B479" s="24"/>
    </row>
    <row r="480" spans="2:2" ht="15" hidden="1" x14ac:dyDescent="0.25">
      <c r="B480" s="24"/>
    </row>
    <row r="481" spans="2:2" ht="15" hidden="1" x14ac:dyDescent="0.25">
      <c r="B481" s="24"/>
    </row>
    <row r="482" spans="2:2" ht="15" hidden="1" x14ac:dyDescent="0.25">
      <c r="B482" s="24"/>
    </row>
    <row r="483" spans="2:2" ht="15" hidden="1" x14ac:dyDescent="0.25">
      <c r="B483" s="24"/>
    </row>
    <row r="484" spans="2:2" ht="15" hidden="1" x14ac:dyDescent="0.25">
      <c r="B484" s="24"/>
    </row>
    <row r="485" spans="2:2" ht="15" hidden="1" x14ac:dyDescent="0.25">
      <c r="B485" s="24"/>
    </row>
    <row r="486" spans="2:2" ht="15" hidden="1" x14ac:dyDescent="0.25">
      <c r="B486" s="24"/>
    </row>
    <row r="487" spans="2:2" ht="15" hidden="1" x14ac:dyDescent="0.25">
      <c r="B487" s="24"/>
    </row>
    <row r="488" spans="2:2" ht="15" hidden="1" x14ac:dyDescent="0.25">
      <c r="B488" s="24"/>
    </row>
    <row r="489" spans="2:2" ht="15" hidden="1" x14ac:dyDescent="0.25">
      <c r="B489" s="24"/>
    </row>
    <row r="490" spans="2:2" ht="15" hidden="1" x14ac:dyDescent="0.25">
      <c r="B490" s="24"/>
    </row>
    <row r="491" spans="2:2" ht="15" hidden="1" x14ac:dyDescent="0.25">
      <c r="B491" s="24"/>
    </row>
    <row r="492" spans="2:2" ht="15" hidden="1" x14ac:dyDescent="0.25">
      <c r="B492" s="24"/>
    </row>
    <row r="493" spans="2:2" ht="15" hidden="1" x14ac:dyDescent="0.25">
      <c r="B493" s="24"/>
    </row>
    <row r="494" spans="2:2" ht="15" hidden="1" x14ac:dyDescent="0.25">
      <c r="B494" s="24"/>
    </row>
    <row r="495" spans="2:2" ht="15" hidden="1" x14ac:dyDescent="0.25">
      <c r="B495" s="24"/>
    </row>
    <row r="496" spans="2:2" ht="15" hidden="1" x14ac:dyDescent="0.25">
      <c r="B496" s="24"/>
    </row>
    <row r="497" spans="2:2" ht="15" hidden="1" x14ac:dyDescent="0.25">
      <c r="B497" s="24"/>
    </row>
    <row r="498" spans="2:2" ht="15" hidden="1" x14ac:dyDescent="0.25">
      <c r="B498" s="24"/>
    </row>
    <row r="499" spans="2:2" ht="15" hidden="1" x14ac:dyDescent="0.25">
      <c r="B499" s="24"/>
    </row>
    <row r="500" spans="2:2" ht="15" hidden="1" x14ac:dyDescent="0.25">
      <c r="B500" s="24"/>
    </row>
    <row r="501" spans="2:2" ht="15" hidden="1" x14ac:dyDescent="0.25">
      <c r="B501" s="24"/>
    </row>
    <row r="502" spans="2:2" ht="15" hidden="1" x14ac:dyDescent="0.25">
      <c r="B502" s="24"/>
    </row>
    <row r="503" spans="2:2" hidden="1" x14ac:dyDescent="0.2"/>
    <row r="504" spans="2:2" hidden="1" x14ac:dyDescent="0.2"/>
  </sheetData>
  <dataValidations count="4">
    <dataValidation type="list" allowBlank="1" showInputMessage="1" showErrorMessage="1" sqref="I27">
      <formula1>"DAEB,niet-DAEB"</formula1>
    </dataValidation>
    <dataValidation type="list" allowBlank="1" showInputMessage="1" showErrorMessage="1" sqref="D13">
      <formula1>kl_product</formula1>
    </dataValidation>
    <dataValidation type="list" allowBlank="1" showInputMessage="1" showErrorMessage="1" sqref="L19">
      <formula1>kl_type</formula1>
    </dataValidation>
    <dataValidation type="list" allowBlank="1" showInputMessage="1" showErrorMessage="1" sqref="F12 F17 F24">
      <formula1>"Matrix,Handmatig"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6"/>
  <sheetViews>
    <sheetView showGridLines="0" tabSelected="1" workbookViewId="0">
      <selection activeCell="D6" sqref="D6"/>
    </sheetView>
  </sheetViews>
  <sheetFormatPr defaultColWidth="0" defaultRowHeight="15" zeroHeight="1" x14ac:dyDescent="0.25"/>
  <cols>
    <col min="1" max="1" width="38.7109375" bestFit="1" customWidth="1"/>
    <col min="2" max="3" width="9.140625" customWidth="1"/>
    <col min="4" max="4" width="14.140625" bestFit="1" customWidth="1"/>
    <col min="5" max="5" width="2.5703125" style="230" customWidth="1"/>
    <col min="6" max="6" width="81.42578125" bestFit="1" customWidth="1"/>
    <col min="7" max="7" width="2.7109375" customWidth="1"/>
    <col min="8" max="50" width="0" hidden="1" customWidth="1"/>
    <col min="51" max="16384" width="9.140625" hidden="1"/>
  </cols>
  <sheetData>
    <row r="1" spans="1:50" s="230" customFormat="1" x14ac:dyDescent="0.25">
      <c r="A1" s="283" t="s">
        <v>923</v>
      </c>
      <c r="B1" s="283">
        <f ca="1">Dashboard!B8</f>
        <v>2019</v>
      </c>
      <c r="C1" s="283">
        <f ca="1">B1+1</f>
        <v>2020</v>
      </c>
      <c r="D1" s="283" t="str">
        <f ca="1">C1+1&amp;" en verder"</f>
        <v>2021 en verder</v>
      </c>
      <c r="E1" s="283"/>
      <c r="F1" s="283" t="s">
        <v>928</v>
      </c>
      <c r="G1" s="275"/>
    </row>
    <row r="2" spans="1:50" s="230" customFormat="1" x14ac:dyDescent="0.25">
      <c r="A2" s="275" t="s">
        <v>55</v>
      </c>
      <c r="B2" s="376">
        <v>1.0999999999999999E-2</v>
      </c>
      <c r="C2" s="376">
        <v>0.02</v>
      </c>
      <c r="D2" s="376">
        <v>0.02</v>
      </c>
      <c r="E2" s="307"/>
      <c r="F2" s="275"/>
      <c r="G2" s="275"/>
    </row>
    <row r="3" spans="1:50" s="230" customFormat="1" x14ac:dyDescent="0.25">
      <c r="A3" s="380" t="s">
        <v>57</v>
      </c>
      <c r="B3" s="376">
        <v>1.4E-2</v>
      </c>
      <c r="C3" s="376">
        <v>2.5000000000000001E-2</v>
      </c>
      <c r="D3" s="376">
        <v>2.5000000000000001E-2</v>
      </c>
      <c r="E3" s="307"/>
      <c r="F3" s="275"/>
      <c r="G3" s="275"/>
    </row>
    <row r="4" spans="1:50" s="230" customFormat="1" x14ac:dyDescent="0.25">
      <c r="A4" s="380" t="s">
        <v>59</v>
      </c>
      <c r="B4" s="376">
        <v>1.4E-2</v>
      </c>
      <c r="C4" s="376">
        <v>2.5000000000000001E-2</v>
      </c>
      <c r="D4" s="376">
        <v>2.5000000000000001E-2</v>
      </c>
      <c r="E4" s="307"/>
      <c r="F4" s="275"/>
      <c r="G4" s="275"/>
    </row>
    <row r="5" spans="1:50" s="230" customFormat="1" x14ac:dyDescent="0.25">
      <c r="A5" s="277" t="s">
        <v>812</v>
      </c>
      <c r="B5" s="379">
        <v>720.42</v>
      </c>
      <c r="C5" s="379">
        <v>720.42</v>
      </c>
      <c r="D5" s="379">
        <v>720.42</v>
      </c>
      <c r="E5" s="381"/>
      <c r="F5" s="275" t="s">
        <v>925</v>
      </c>
      <c r="G5" s="275"/>
    </row>
    <row r="6" spans="1:50" s="230" customFormat="1" x14ac:dyDescent="0.25">
      <c r="A6" s="275" t="s">
        <v>927</v>
      </c>
      <c r="B6" s="378">
        <v>-1.9E-3</v>
      </c>
      <c r="C6" s="378">
        <v>-2.0999999999999999E-3</v>
      </c>
      <c r="D6" s="378">
        <v>0</v>
      </c>
      <c r="E6" s="382"/>
      <c r="F6" s="275" t="s">
        <v>931</v>
      </c>
      <c r="G6" s="275"/>
    </row>
    <row r="7" spans="1:50" s="230" customFormat="1" x14ac:dyDescent="0.25">
      <c r="A7" s="275" t="s">
        <v>926</v>
      </c>
      <c r="B7" s="378">
        <v>3.3E-3</v>
      </c>
      <c r="C7" s="378">
        <v>4.7999999999999996E-3</v>
      </c>
      <c r="D7" s="378">
        <v>0.01</v>
      </c>
      <c r="E7" s="382"/>
      <c r="F7" s="275" t="s">
        <v>932</v>
      </c>
      <c r="G7" s="275"/>
    </row>
    <row r="8" spans="1:50" s="230" customFormat="1" x14ac:dyDescent="0.25">
      <c r="A8" s="275" t="s">
        <v>20</v>
      </c>
      <c r="B8" s="378">
        <v>0.01</v>
      </c>
      <c r="C8" s="378">
        <v>0.01</v>
      </c>
      <c r="D8" s="378">
        <v>0.01</v>
      </c>
      <c r="E8" s="382"/>
      <c r="F8" s="275"/>
      <c r="G8" s="275"/>
    </row>
    <row r="9" spans="1:50" s="230" customFormat="1" x14ac:dyDescent="0.25">
      <c r="A9" s="275"/>
      <c r="B9" s="275"/>
      <c r="C9" s="275"/>
      <c r="D9" s="275"/>
      <c r="E9" s="275"/>
      <c r="F9" s="275"/>
      <c r="G9" s="275"/>
    </row>
    <row r="10" spans="1:50" s="230" customFormat="1" x14ac:dyDescent="0.25">
      <c r="A10" s="283" t="s">
        <v>934</v>
      </c>
      <c r="B10" s="283">
        <f ca="1">Dashboard!B8</f>
        <v>2019</v>
      </c>
      <c r="C10" s="283">
        <f ca="1">B10+1</f>
        <v>2020</v>
      </c>
      <c r="D10" s="283" t="str">
        <f ca="1">C10+1&amp;" en verder"</f>
        <v>2021 en verder</v>
      </c>
      <c r="E10" s="283"/>
      <c r="F10" s="283" t="s">
        <v>928</v>
      </c>
      <c r="G10" s="383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2"/>
    </row>
    <row r="11" spans="1:50" x14ac:dyDescent="0.25">
      <c r="A11" s="275" t="s">
        <v>26</v>
      </c>
      <c r="B11" s="377">
        <v>4.9100000000000003E-3</v>
      </c>
      <c r="C11" s="377">
        <v>5.3600000000000002E-3</v>
      </c>
      <c r="D11" s="377">
        <v>5.3600000000000002E-3</v>
      </c>
      <c r="E11" s="384"/>
      <c r="F11" s="275"/>
      <c r="G11" s="275"/>
    </row>
    <row r="12" spans="1:50" x14ac:dyDescent="0.25">
      <c r="A12" s="275" t="s">
        <v>924</v>
      </c>
      <c r="B12" s="376">
        <v>5.0000000000000001E-3</v>
      </c>
      <c r="C12" s="376">
        <v>5.0000000000000001E-3</v>
      </c>
      <c r="D12" s="376">
        <v>5.0000000000000001E-3</v>
      </c>
      <c r="E12" s="307"/>
      <c r="F12" s="275"/>
      <c r="G12" s="275"/>
    </row>
    <row r="13" spans="1:50" x14ac:dyDescent="0.25">
      <c r="A13" s="275"/>
      <c r="B13" s="307"/>
      <c r="C13" s="307"/>
      <c r="D13" s="307"/>
      <c r="E13" s="307"/>
      <c r="F13" s="275"/>
      <c r="G13" s="275"/>
    </row>
    <row r="14" spans="1:50" s="230" customFormat="1" x14ac:dyDescent="0.25">
      <c r="A14" s="283" t="s">
        <v>935</v>
      </c>
      <c r="B14" s="283">
        <f ca="1">Dashboard!B8</f>
        <v>2019</v>
      </c>
      <c r="C14" s="283">
        <f ca="1">B14+1</f>
        <v>2020</v>
      </c>
      <c r="D14" s="283" t="str">
        <f ca="1">C14+1&amp;" en verder"</f>
        <v>2021 en verder</v>
      </c>
      <c r="E14" s="283"/>
      <c r="F14" s="283" t="s">
        <v>928</v>
      </c>
      <c r="G14" s="383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2"/>
    </row>
    <row r="15" spans="1:50" x14ac:dyDescent="0.25">
      <c r="A15" s="275" t="s">
        <v>924</v>
      </c>
      <c r="B15" s="376">
        <v>5.0000000000000001E-3</v>
      </c>
      <c r="C15" s="376">
        <v>5.0000000000000001E-3</v>
      </c>
      <c r="D15" s="376">
        <v>5.0000000000000001E-3</v>
      </c>
      <c r="E15" s="307"/>
      <c r="F15" s="275"/>
      <c r="G15" s="275"/>
    </row>
    <row r="16" spans="1:50" x14ac:dyDescent="0.25">
      <c r="A16" s="275"/>
      <c r="B16" s="275"/>
      <c r="C16" s="275"/>
      <c r="D16" s="275"/>
      <c r="E16" s="275"/>
      <c r="F16" s="275"/>
      <c r="G16" s="275"/>
    </row>
  </sheetData>
  <sheetProtection password="CF00" sheet="1" objects="1" scenarios="1"/>
  <pageMargins left="0.7" right="0.7" top="0.75" bottom="0.75" header="0.3" footer="0.3"/>
  <pageSetup paperSize="0" orientation="portrait" horizontalDpi="0" verticalDpi="0" copies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1:BS267"/>
  <sheetViews>
    <sheetView showGridLines="0" zoomScale="70" zoomScaleNormal="70" workbookViewId="0">
      <selection activeCell="Y6" sqref="Y6"/>
    </sheetView>
  </sheetViews>
  <sheetFormatPr defaultColWidth="0" defaultRowHeight="15" zeroHeight="1" x14ac:dyDescent="0.25"/>
  <cols>
    <col min="1" max="1" width="5" style="121" bestFit="1" customWidth="1"/>
    <col min="2" max="2" width="11" style="189" bestFit="1" customWidth="1"/>
    <col min="3" max="3" width="12.140625" style="189" bestFit="1" customWidth="1"/>
    <col min="4" max="4" width="16.140625" style="189" bestFit="1" customWidth="1"/>
    <col min="5" max="5" width="1.7109375" style="121" customWidth="1"/>
    <col min="6" max="6" width="5" style="121" bestFit="1" customWidth="1"/>
    <col min="7" max="7" width="11.28515625" style="189" bestFit="1" customWidth="1"/>
    <col min="8" max="8" width="11.28515625" style="189" customWidth="1"/>
    <col min="9" max="9" width="18.7109375" style="189" bestFit="1" customWidth="1"/>
    <col min="10" max="10" width="18.7109375" style="189" customWidth="1"/>
    <col min="11" max="11" width="11.7109375" style="189" bestFit="1" customWidth="1"/>
    <col min="12" max="12" width="11.7109375" style="189" customWidth="1"/>
    <col min="13" max="13" width="1.7109375" style="121" customWidth="1"/>
    <col min="14" max="14" width="5" style="121" bestFit="1" customWidth="1"/>
    <col min="15" max="15" width="13.5703125" style="189" customWidth="1"/>
    <col min="16" max="16" width="13.42578125" style="204" bestFit="1" customWidth="1"/>
    <col min="17" max="17" width="1.7109375" style="121" customWidth="1"/>
    <col min="18" max="18" width="6.140625" style="121" customWidth="1"/>
    <col min="19" max="19" width="13.42578125" style="205" customWidth="1"/>
    <col min="20" max="20" width="1.7109375" style="121" customWidth="1"/>
    <col min="21" max="21" width="7.85546875" style="121" bestFit="1" customWidth="1"/>
    <col min="22" max="22" width="7.5703125" style="204" customWidth="1"/>
    <col min="23" max="25" width="9.140625" style="205" customWidth="1"/>
    <col min="26" max="26" width="1.7109375" style="121" customWidth="1"/>
    <col min="27" max="27" width="5.140625" style="121" bestFit="1" customWidth="1"/>
    <col min="28" max="28" width="6" style="121" bestFit="1" customWidth="1"/>
    <col min="29" max="29" width="12.140625" style="206" customWidth="1"/>
    <col min="30" max="30" width="12.28515625" style="121" bestFit="1" customWidth="1"/>
    <col min="31" max="32" width="16.28515625" style="121" customWidth="1"/>
    <col min="33" max="33" width="18.42578125" style="121" customWidth="1"/>
    <col min="34" max="34" width="10.7109375" style="206" customWidth="1"/>
    <col min="35" max="36" width="8.85546875" style="121" customWidth="1"/>
    <col min="37" max="38" width="11.42578125" style="121" customWidth="1"/>
    <col min="39" max="39" width="15.28515625" style="121" bestFit="1" customWidth="1"/>
    <col min="40" max="40" width="15.28515625" style="121" customWidth="1"/>
    <col min="41" max="41" width="1.7109375" style="121" customWidth="1"/>
    <col min="42" max="42" width="5.5703125" style="200" customWidth="1"/>
    <col min="43" max="43" width="15.140625" style="121" customWidth="1"/>
    <col min="44" max="44" width="14" style="204" customWidth="1"/>
    <col min="45" max="45" width="1.7109375" style="121" customWidth="1"/>
    <col min="46" max="46" width="4.85546875" style="121" customWidth="1"/>
    <col min="47" max="47" width="7.85546875" style="121" bestFit="1" customWidth="1"/>
    <col min="48" max="48" width="7.42578125" style="204" bestFit="1" customWidth="1"/>
    <col min="49" max="49" width="8.85546875" style="205" bestFit="1" customWidth="1"/>
    <col min="50" max="50" width="6.140625" style="205" bestFit="1" customWidth="1"/>
    <col min="51" max="51" width="6.140625" style="207" customWidth="1"/>
    <col min="52" max="52" width="6.5703125" style="120" bestFit="1" customWidth="1"/>
    <col min="53" max="53" width="6" style="120" bestFit="1" customWidth="1"/>
    <col min="54" max="54" width="13.140625" style="208" customWidth="1"/>
    <col min="55" max="55" width="17.7109375" style="120" customWidth="1"/>
    <col min="56" max="56" width="11.28515625" style="208" customWidth="1"/>
    <col min="57" max="57" width="17.5703125" style="120" bestFit="1" customWidth="1"/>
    <col min="58" max="58" width="8.140625" style="120" bestFit="1" customWidth="1"/>
    <col min="59" max="59" width="12.140625" style="120" customWidth="1"/>
    <col min="60" max="60" width="9.140625" style="121" customWidth="1"/>
    <col min="61" max="61" width="10.7109375" style="121" bestFit="1" customWidth="1"/>
    <col min="62" max="68" width="9.140625" style="121" customWidth="1"/>
    <col min="69" max="69" width="8.7109375" style="121" bestFit="1" customWidth="1"/>
    <col min="70" max="70" width="13.85546875" style="121" bestFit="1" customWidth="1"/>
    <col min="71" max="71" width="9.140625" style="121" customWidth="1"/>
    <col min="72" max="16384" width="9.140625" style="121" hidden="1"/>
  </cols>
  <sheetData>
    <row r="1" spans="1:71" ht="15.75" x14ac:dyDescent="0.25">
      <c r="A1" s="58" t="s">
        <v>797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R1" s="58" t="s">
        <v>798</v>
      </c>
      <c r="S1" s="23"/>
      <c r="T1" s="23"/>
      <c r="U1" s="23"/>
      <c r="V1" s="23"/>
      <c r="W1" s="23"/>
      <c r="X1" s="23"/>
      <c r="Y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161"/>
      <c r="AP1" s="58" t="s">
        <v>799</v>
      </c>
      <c r="AQ1" s="23"/>
      <c r="AR1" s="23"/>
      <c r="AS1" s="161"/>
      <c r="AT1" s="23"/>
      <c r="AU1" s="23"/>
      <c r="AV1" s="23"/>
      <c r="AW1" s="23"/>
      <c r="AX1" s="23"/>
      <c r="AY1" s="45"/>
      <c r="AZ1" s="23"/>
      <c r="BA1" s="23"/>
      <c r="BB1" s="23"/>
      <c r="BC1" s="23"/>
      <c r="BD1" s="23"/>
      <c r="BE1" s="23"/>
      <c r="BF1" s="23"/>
      <c r="BG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45"/>
    </row>
    <row r="2" spans="1:71" s="119" customForma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R2" s="45"/>
      <c r="S2" s="45"/>
      <c r="T2" s="45"/>
      <c r="U2" s="45"/>
      <c r="V2" s="45"/>
      <c r="W2" s="45"/>
      <c r="X2" s="45"/>
      <c r="Y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</row>
    <row r="3" spans="1:71" s="162" customFormat="1" x14ac:dyDescent="0.25">
      <c r="A3" s="27" t="s">
        <v>668</v>
      </c>
      <c r="B3" s="27" t="s">
        <v>800</v>
      </c>
      <c r="C3" s="27" t="s">
        <v>801</v>
      </c>
      <c r="D3" s="27" t="s">
        <v>802</v>
      </c>
      <c r="F3" s="27" t="s">
        <v>668</v>
      </c>
      <c r="G3" s="27" t="s">
        <v>55</v>
      </c>
      <c r="H3" s="27" t="s">
        <v>803</v>
      </c>
      <c r="I3" s="27" t="s">
        <v>804</v>
      </c>
      <c r="J3" s="27" t="s">
        <v>805</v>
      </c>
      <c r="K3" s="27" t="s">
        <v>806</v>
      </c>
      <c r="L3" s="27" t="s">
        <v>807</v>
      </c>
      <c r="N3" s="27" t="s">
        <v>668</v>
      </c>
      <c r="O3" s="27" t="s">
        <v>808</v>
      </c>
      <c r="P3" s="27" t="s">
        <v>809</v>
      </c>
      <c r="R3" s="27" t="s">
        <v>26</v>
      </c>
      <c r="S3" s="27"/>
      <c r="U3" s="27" t="s">
        <v>810</v>
      </c>
      <c r="V3" s="27"/>
      <c r="W3" s="27"/>
      <c r="X3" s="27"/>
      <c r="Y3" s="27"/>
      <c r="AA3" s="27"/>
      <c r="AB3" s="27"/>
      <c r="AC3" s="27" t="s">
        <v>811</v>
      </c>
      <c r="AD3" s="27" t="s">
        <v>722</v>
      </c>
      <c r="AE3" s="27" t="s">
        <v>812</v>
      </c>
      <c r="AF3" s="27" t="s">
        <v>76</v>
      </c>
      <c r="AG3" s="27" t="s">
        <v>813</v>
      </c>
      <c r="AH3" s="27" t="s">
        <v>814</v>
      </c>
      <c r="AI3" s="396" t="s">
        <v>815</v>
      </c>
      <c r="AJ3" s="396"/>
      <c r="AK3" s="27" t="s">
        <v>816</v>
      </c>
      <c r="AL3" s="27" t="s">
        <v>817</v>
      </c>
      <c r="AM3" s="27" t="s">
        <v>778</v>
      </c>
      <c r="AN3" s="27" t="s">
        <v>84</v>
      </c>
      <c r="AP3" s="27" t="s">
        <v>668</v>
      </c>
      <c r="AQ3" s="27" t="s">
        <v>808</v>
      </c>
      <c r="AR3" s="27" t="s">
        <v>809</v>
      </c>
      <c r="AU3" s="27" t="s">
        <v>818</v>
      </c>
      <c r="AV3" s="27"/>
      <c r="AW3" s="163"/>
      <c r="AX3" s="163"/>
      <c r="AY3" s="164"/>
      <c r="BB3" s="27" t="s">
        <v>811</v>
      </c>
      <c r="BC3" s="27" t="s">
        <v>812</v>
      </c>
      <c r="BD3" s="27" t="s">
        <v>814</v>
      </c>
      <c r="BE3" s="396" t="s">
        <v>815</v>
      </c>
      <c r="BF3" s="396"/>
      <c r="BG3" s="27" t="s">
        <v>816</v>
      </c>
      <c r="BI3" s="396" t="s">
        <v>819</v>
      </c>
      <c r="BJ3" s="396"/>
      <c r="BK3" s="242"/>
      <c r="BL3" s="209"/>
      <c r="BM3" s="242" t="s">
        <v>864</v>
      </c>
      <c r="BN3" s="242" t="s">
        <v>871</v>
      </c>
      <c r="BO3" s="242" t="s">
        <v>873</v>
      </c>
      <c r="BP3" s="242" t="s">
        <v>872</v>
      </c>
      <c r="BQ3" s="242" t="s">
        <v>874</v>
      </c>
      <c r="BR3" s="242" t="s">
        <v>870</v>
      </c>
      <c r="BS3" s="123"/>
    </row>
    <row r="4" spans="1:71" s="162" customFormat="1" x14ac:dyDescent="0.25">
      <c r="A4" s="165"/>
      <c r="B4" s="166"/>
      <c r="C4" s="166"/>
      <c r="D4" s="166"/>
      <c r="F4" s="165"/>
      <c r="G4" s="166"/>
      <c r="H4" s="166"/>
      <c r="I4" s="166"/>
      <c r="J4" s="166"/>
      <c r="K4" s="166"/>
      <c r="L4" s="166"/>
      <c r="N4" s="165"/>
      <c r="O4" s="166"/>
      <c r="P4" s="166"/>
      <c r="R4" s="167"/>
      <c r="S4" s="163"/>
      <c r="V4" s="166" t="s">
        <v>13</v>
      </c>
      <c r="W4" s="167" t="s">
        <v>820</v>
      </c>
      <c r="X4" s="163" t="s">
        <v>692</v>
      </c>
      <c r="Y4" s="163" t="s">
        <v>821</v>
      </c>
      <c r="AA4" s="168" t="s">
        <v>822</v>
      </c>
      <c r="AB4" s="169">
        <f ca="1">AB5</f>
        <v>2019</v>
      </c>
      <c r="AC4" s="170">
        <f>'Invoer gegevens'!$F$23</f>
        <v>500</v>
      </c>
      <c r="AD4" s="171">
        <f>IF(AG4&lt;AE4,MIN(AF4,AG4),AF4)</f>
        <v>223.21625000000003</v>
      </c>
      <c r="AE4" s="172">
        <v>710.68</v>
      </c>
      <c r="AF4" s="171">
        <f>'Invoer gegevens'!$F$25</f>
        <v>223.21625000000003</v>
      </c>
      <c r="AG4" s="171">
        <f>'Invoer gegevens'!$F$23</f>
        <v>500</v>
      </c>
      <c r="AH4" s="171">
        <f>AC4</f>
        <v>500</v>
      </c>
      <c r="AI4" s="173" t="s">
        <v>823</v>
      </c>
      <c r="AJ4" s="174" t="s">
        <v>824</v>
      </c>
      <c r="AK4" s="174" t="s">
        <v>824</v>
      </c>
      <c r="AL4" s="171">
        <v>0</v>
      </c>
      <c r="AM4" s="171">
        <v>0</v>
      </c>
      <c r="AN4" s="175">
        <f>'Hulp - basis'!B38</f>
        <v>31550</v>
      </c>
      <c r="AU4" s="27" t="s">
        <v>825</v>
      </c>
      <c r="AV4" s="27" t="s">
        <v>826</v>
      </c>
      <c r="AW4" s="27" t="s">
        <v>820</v>
      </c>
      <c r="AX4" s="27" t="s">
        <v>699</v>
      </c>
      <c r="AY4" s="123"/>
      <c r="AZ4" s="176">
        <v>41275</v>
      </c>
      <c r="BA4" s="169">
        <f ca="1">BA5</f>
        <v>2019</v>
      </c>
      <c r="BB4" s="170">
        <f>'Invoer gegevens'!$F$23</f>
        <v>500</v>
      </c>
      <c r="BC4" s="171">
        <f>AE4</f>
        <v>710.68</v>
      </c>
      <c r="BD4" s="171">
        <f>AH4</f>
        <v>500</v>
      </c>
      <c r="BE4" s="177" t="s">
        <v>823</v>
      </c>
      <c r="BF4" s="177" t="s">
        <v>824</v>
      </c>
      <c r="BG4" s="177" t="s">
        <v>824</v>
      </c>
    </row>
    <row r="5" spans="1:71" x14ac:dyDescent="0.25">
      <c r="A5" s="178">
        <f>'Invoer gegevens'!$C$23</f>
        <v>0</v>
      </c>
      <c r="B5" s="179">
        <f>Dashboard!$C$25</f>
        <v>0.05</v>
      </c>
      <c r="C5" s="179">
        <f>Dashboard!$C$25</f>
        <v>0.05</v>
      </c>
      <c r="D5" s="179">
        <f>Dashboard!$C$25</f>
        <v>0.05</v>
      </c>
      <c r="E5" s="181"/>
      <c r="F5" s="178">
        <f ca="1">Dashboard!$B$8</f>
        <v>2019</v>
      </c>
      <c r="G5" s="179">
        <f>'Hulp - basis'!C6</f>
        <v>1.0999999999999999E-2</v>
      </c>
      <c r="H5" s="182">
        <f>(1+G5)^0.5</f>
        <v>1.0054849576199536</v>
      </c>
      <c r="I5" s="180">
        <f>'Hulp - basis'!C12</f>
        <v>1.4E-2</v>
      </c>
      <c r="J5" s="182">
        <f>(1+I5)^0.5</f>
        <v>1.0069756700139283</v>
      </c>
      <c r="K5" s="180">
        <f>'Hulp - basis'!C9</f>
        <v>1.4E-2</v>
      </c>
      <c r="L5" s="182">
        <f>(1+K5)^0.5</f>
        <v>1.0069756700139283</v>
      </c>
      <c r="M5" s="181"/>
      <c r="N5" s="178">
        <f ca="1">Dashboard!$B$8</f>
        <v>2019</v>
      </c>
      <c r="O5" s="179">
        <f>VLOOKUP('Invoer gegevens'!$C$9,'Hulp - basis'!$A$15:$F$30,4,FALSE)</f>
        <v>1.4999999999999999E-2</v>
      </c>
      <c r="P5" s="182">
        <f>(1+O5)^0.5</f>
        <v>1.0074720839804943</v>
      </c>
      <c r="R5" s="178">
        <f ca="1">Dashboard!$B$8</f>
        <v>2019</v>
      </c>
      <c r="S5" s="183">
        <v>4.9100000000000003E-3</v>
      </c>
      <c r="U5" s="178">
        <f ca="1">Dashboard!$B$8</f>
        <v>2019</v>
      </c>
      <c r="V5" s="182">
        <f>G5</f>
        <v>1.0999999999999999E-2</v>
      </c>
      <c r="W5" s="180">
        <f>Parameters!B12</f>
        <v>5.0000000000000001E-3</v>
      </c>
      <c r="X5" s="182">
        <f>V5+W5</f>
        <v>1.6E-2</v>
      </c>
      <c r="Y5" s="182">
        <f>(1+X5)^0.5</f>
        <v>1.0079682534683323</v>
      </c>
      <c r="AB5" s="178">
        <f ca="1">Dashboard!$B$8</f>
        <v>2019</v>
      </c>
      <c r="AC5" s="171">
        <f>$AC$4*Y5</f>
        <v>503.98412673416613</v>
      </c>
      <c r="AD5" s="171">
        <f t="shared" ref="AD5:AD68" si="0">IF(AG5&lt;AE5,MIN(AF5,AG5),AF5)</f>
        <v>224.440581671335</v>
      </c>
      <c r="AE5" s="172">
        <f>Parameters!B5</f>
        <v>720.42</v>
      </c>
      <c r="AF5" s="171">
        <f>$AF$4*H5</f>
        <v>224.440581671335</v>
      </c>
      <c r="AG5" s="171">
        <f>ROUND($AG4*(1+V5)^0.5,2)</f>
        <v>502.74</v>
      </c>
      <c r="AH5" s="171">
        <f>ROUND($AH4*(1+V5)^0.5,2)</f>
        <v>502.74</v>
      </c>
      <c r="AI5" s="171">
        <f>SMALL(AC5:AD5,1)</f>
        <v>224.440581671335</v>
      </c>
      <c r="AJ5" s="171">
        <f>IF('Invoer gegevens'!$I$27="DAEB",SMALL(AC5:AD5,1),AC5)</f>
        <v>224.440581671335</v>
      </c>
      <c r="AK5" s="171">
        <f>IF('Invoer gegevens'!$I$27="DAEB",SMALL((AE5:AH5),1),SMALL((AF5:AH5),1))</f>
        <v>224.440581671335</v>
      </c>
      <c r="AL5" s="171">
        <f>ROUND($AL4*(1+V5)^0.5,2)</f>
        <v>0</v>
      </c>
      <c r="AM5" s="171">
        <f>ROUND($AM4*(1+V5)^0.5,2)</f>
        <v>0</v>
      </c>
      <c r="AN5" s="175">
        <f>ROUND($AN4*(1+O5)^0.5,0)</f>
        <v>31786</v>
      </c>
      <c r="AP5" s="184">
        <f ca="1">Dashboard!$B$8</f>
        <v>2019</v>
      </c>
      <c r="AQ5" s="185">
        <f>O5</f>
        <v>1.4999999999999999E-2</v>
      </c>
      <c r="AR5" s="182">
        <f>(1+AQ5)^0.5</f>
        <v>1.0074720839804943</v>
      </c>
      <c r="AU5" s="178">
        <f ca="1">Dashboard!$B$8</f>
        <v>2019</v>
      </c>
      <c r="AV5" s="182">
        <f>G5</f>
        <v>1.0999999999999999E-2</v>
      </c>
      <c r="AW5" s="179">
        <f>W5</f>
        <v>5.0000000000000001E-3</v>
      </c>
      <c r="AX5" s="182">
        <f>AV5+AW5</f>
        <v>1.6E-2</v>
      </c>
      <c r="AY5" s="186"/>
      <c r="BA5" s="178">
        <f ca="1">Dashboard!$B$8</f>
        <v>2019</v>
      </c>
      <c r="BB5" s="171">
        <f>ROUND($BB4*(1+AX5)^0.5,2)</f>
        <v>503.98</v>
      </c>
      <c r="BC5" s="171">
        <f t="shared" ref="BC5:BC68" si="1">AE5</f>
        <v>720.42</v>
      </c>
      <c r="BD5" s="171">
        <f t="shared" ref="BD5:BG32" si="2">AH5</f>
        <v>502.74</v>
      </c>
      <c r="BE5" s="171">
        <f>AI5</f>
        <v>224.440581671335</v>
      </c>
      <c r="BF5" s="171">
        <f t="shared" ref="BF5:BG20" si="3">AJ5</f>
        <v>224.440581671335</v>
      </c>
      <c r="BG5" s="171">
        <f t="shared" si="3"/>
        <v>224.440581671335</v>
      </c>
      <c r="BI5" s="187">
        <f>IF(A5-'Invoer gegevens'!$C$17&lt;0,0,IF(A5-'Invoer gegevens'!$C$17=0,1,IF(A5-'Invoer gegevens'!$C$17&lt;5,2,IF(A5-'Invoer gegevens'!$C$17&lt;15,3,4))))</f>
        <v>0</v>
      </c>
      <c r="BJ5" s="229">
        <f>IF(BI5&lt;1,0,IF(BI5&lt;2,4%,IF(Reeksen!BI5&lt;3,4%,IF(Reeksen!BI5&lt;4,4%*70%,IF(Reeksen!BI5&lt;5,4%*50%)))))</f>
        <v>0</v>
      </c>
      <c r="BK5" s="243"/>
      <c r="BL5" s="243"/>
      <c r="BM5" s="243" t="s">
        <v>865</v>
      </c>
      <c r="BN5" s="245">
        <v>10</v>
      </c>
      <c r="BO5" s="244">
        <v>0.65</v>
      </c>
      <c r="BP5" s="245">
        <v>27</v>
      </c>
      <c r="BQ5" s="244">
        <v>0.22</v>
      </c>
      <c r="BR5" s="244">
        <f>BN5*BO5+BP5*BQ5</f>
        <v>12.440000000000001</v>
      </c>
    </row>
    <row r="6" spans="1:71" x14ac:dyDescent="0.25">
      <c r="A6" s="184">
        <f>A5+1</f>
        <v>1</v>
      </c>
      <c r="B6" s="179">
        <f>Dashboard!$C$25</f>
        <v>0.05</v>
      </c>
      <c r="C6" s="179">
        <f>Dashboard!$C$25</f>
        <v>0.05</v>
      </c>
      <c r="D6" s="179">
        <f>Dashboard!$C$25</f>
        <v>0.05</v>
      </c>
      <c r="E6" s="181"/>
      <c r="F6" s="184">
        <f ca="1">F5+1</f>
        <v>2020</v>
      </c>
      <c r="G6" s="179">
        <f>'Hulp - basis'!D6</f>
        <v>0.02</v>
      </c>
      <c r="H6" s="182">
        <f>H5*(1+G6)</f>
        <v>1.0255946567723526</v>
      </c>
      <c r="I6" s="180">
        <f>'Hulp - basis'!D12</f>
        <v>2.5000000000000001E-2</v>
      </c>
      <c r="J6" s="182">
        <f>J5*(1+I6)</f>
        <v>1.0321500617642765</v>
      </c>
      <c r="K6" s="180">
        <f>'Hulp - basis'!D9</f>
        <v>2.5000000000000001E-2</v>
      </c>
      <c r="L6" s="182">
        <f>L5*(1+K6)</f>
        <v>1.0321500617642765</v>
      </c>
      <c r="M6" s="181"/>
      <c r="N6" s="184">
        <f ca="1">N5+1</f>
        <v>2020</v>
      </c>
      <c r="O6" s="179">
        <f>VLOOKUP('Invoer gegevens'!$C$9,'Hulp - basis'!$A$15:$F$30,5,FALSE)</f>
        <v>1.7000000000000001E-2</v>
      </c>
      <c r="P6" s="182">
        <f>P5*(1+O6)</f>
        <v>1.0245991094081626</v>
      </c>
      <c r="R6" s="184">
        <f ca="1">R5+1</f>
        <v>2020</v>
      </c>
      <c r="S6" s="183">
        <v>5.3600000000000002E-3</v>
      </c>
      <c r="U6" s="184">
        <f ca="1">+U5+1</f>
        <v>2020</v>
      </c>
      <c r="V6" s="182">
        <f t="shared" ref="V6:V69" si="4">G6</f>
        <v>0.02</v>
      </c>
      <c r="W6" s="180">
        <f>Parameters!C12</f>
        <v>5.0000000000000001E-3</v>
      </c>
      <c r="X6" s="182">
        <f t="shared" ref="X6:X69" si="5">V6+W6</f>
        <v>2.5000000000000001E-2</v>
      </c>
      <c r="Y6" s="182">
        <f>Y5*(1+X6)</f>
        <v>1.0331674598050404</v>
      </c>
      <c r="AB6" s="184">
        <f ca="1">AB5+1</f>
        <v>2020</v>
      </c>
      <c r="AC6" s="171">
        <f t="shared" ref="AC6:AC69" si="6">$AC$4*Y6</f>
        <v>516.58372990252019</v>
      </c>
      <c r="AD6" s="171">
        <f t="shared" si="0"/>
        <v>228.92939330476167</v>
      </c>
      <c r="AE6" s="172">
        <f>Parameters!C5</f>
        <v>720.42</v>
      </c>
      <c r="AF6" s="171">
        <f>$AF$4*H6</f>
        <v>228.92939330476167</v>
      </c>
      <c r="AG6" s="171">
        <f>ROUND($AG5*(1+V6)^1,2)</f>
        <v>512.79</v>
      </c>
      <c r="AH6" s="171">
        <f t="shared" ref="AH6:AH69" si="7">ROUND($AH5*(1+V6)^1,2)</f>
        <v>512.79</v>
      </c>
      <c r="AI6" s="171">
        <f t="shared" ref="AI6:AI69" si="8">SMALL(AC6:AD6,1)</f>
        <v>228.92939330476167</v>
      </c>
      <c r="AJ6" s="171">
        <f>IF('Invoer gegevens'!$I$27="DAEB",SMALL(AC6:AD6,1),AC6)</f>
        <v>228.92939330476167</v>
      </c>
      <c r="AK6" s="171">
        <f>IF('Invoer gegevens'!$I$27="DAEB",SMALL((AE6:AH6),1),SMALL((AF6:AH6),1))</f>
        <v>228.92939330476167</v>
      </c>
      <c r="AL6" s="171">
        <f>ROUND($AL5*(1+V6)^1,2)</f>
        <v>0</v>
      </c>
      <c r="AM6" s="171">
        <f>ROUND($AM5*(1+V6)^1,2)</f>
        <v>0</v>
      </c>
      <c r="AN6" s="175">
        <f>ROUND($AN5*(1+O6)^1,0)</f>
        <v>32326</v>
      </c>
      <c r="AP6" s="184">
        <f ca="1">AP5+1</f>
        <v>2020</v>
      </c>
      <c r="AQ6" s="185">
        <f t="shared" ref="AQ6:AQ69" si="9">O6</f>
        <v>1.7000000000000001E-2</v>
      </c>
      <c r="AR6" s="182">
        <f>AR5*(1+AQ6)</f>
        <v>1.0245991094081626</v>
      </c>
      <c r="AU6" s="184">
        <f ca="1">+AU5+1</f>
        <v>2020</v>
      </c>
      <c r="AV6" s="182">
        <f t="shared" ref="AV6:AV69" si="10">G6</f>
        <v>0.02</v>
      </c>
      <c r="AW6" s="179">
        <f t="shared" ref="AW6:AW69" si="11">W6</f>
        <v>5.0000000000000001E-3</v>
      </c>
      <c r="AX6" s="182">
        <f t="shared" ref="AX6:AX69" si="12">AV6+AW6</f>
        <v>2.5000000000000001E-2</v>
      </c>
      <c r="AY6" s="186"/>
      <c r="BA6" s="184">
        <f ca="1">BA5+1</f>
        <v>2020</v>
      </c>
      <c r="BB6" s="171">
        <f t="shared" ref="BB6:BB69" si="13">ROUND($BB5*(1+AX6)^1,2)</f>
        <v>516.58000000000004</v>
      </c>
      <c r="BC6" s="171">
        <f t="shared" si="1"/>
        <v>720.42</v>
      </c>
      <c r="BD6" s="171">
        <f t="shared" si="2"/>
        <v>512.79</v>
      </c>
      <c r="BE6" s="171">
        <f t="shared" si="2"/>
        <v>228.92939330476167</v>
      </c>
      <c r="BF6" s="171">
        <f t="shared" si="3"/>
        <v>228.92939330476167</v>
      </c>
      <c r="BG6" s="171">
        <f t="shared" si="3"/>
        <v>228.92939330476167</v>
      </c>
      <c r="BI6" s="187">
        <f>IF(A6-'Invoer gegevens'!$C$17&lt;0,0,IF(A6-'Invoer gegevens'!$C$17=0,1,IF(A6-'Invoer gegevens'!$C$17&lt;5,2,IF(A6-'Invoer gegevens'!$C$17&lt;15,3,4))))</f>
        <v>0</v>
      </c>
      <c r="BJ6" s="229">
        <f>IF(BI6&lt;1,0,IF(BI6&lt;2,4%,IF(Reeksen!BI6&lt;3,4%,IF(Reeksen!BI6&lt;4,4%*70%,IF(Reeksen!BI6&lt;5,4%*50%)))))</f>
        <v>0</v>
      </c>
      <c r="BK6" s="243"/>
      <c r="BL6" s="243"/>
      <c r="BM6" s="243" t="s">
        <v>866</v>
      </c>
      <c r="BN6" s="245">
        <v>13</v>
      </c>
      <c r="BO6" s="244">
        <v>0.65</v>
      </c>
      <c r="BP6" s="245">
        <v>29</v>
      </c>
      <c r="BQ6" s="244">
        <v>0.22</v>
      </c>
      <c r="BR6" s="244">
        <f t="shared" ref="BR6:BR11" si="14">BN6*BO6+BP6*BQ6</f>
        <v>14.830000000000002</v>
      </c>
    </row>
    <row r="7" spans="1:71" x14ac:dyDescent="0.25">
      <c r="A7" s="184">
        <f t="shared" ref="A7:A70" si="15">A6+1</f>
        <v>2</v>
      </c>
      <c r="B7" s="179">
        <f>Dashboard!$C$25</f>
        <v>0.05</v>
      </c>
      <c r="C7" s="179">
        <f>Dashboard!$C$25</f>
        <v>0.05</v>
      </c>
      <c r="D7" s="179">
        <f>Dashboard!$C$25</f>
        <v>0.05</v>
      </c>
      <c r="E7" s="181"/>
      <c r="F7" s="184">
        <f t="shared" ref="F7:F70" ca="1" si="16">F6+1</f>
        <v>2021</v>
      </c>
      <c r="G7" s="179">
        <f>'Hulp - basis'!E6</f>
        <v>0.02</v>
      </c>
      <c r="H7" s="182">
        <f t="shared" ref="H7:H70" si="17">H6*(1+G7)</f>
        <v>1.0461065499077997</v>
      </c>
      <c r="I7" s="180">
        <f>'Hulp - basis'!E12</f>
        <v>2.5000000000000001E-2</v>
      </c>
      <c r="J7" s="182">
        <f t="shared" ref="J7:J70" si="18">J6*(1+I7)</f>
        <v>1.0579538133083832</v>
      </c>
      <c r="K7" s="180">
        <f>'Hulp - basis'!E9</f>
        <v>2.5000000000000001E-2</v>
      </c>
      <c r="L7" s="182">
        <f t="shared" ref="L7:L70" si="19">L6*(1+K7)</f>
        <v>1.0579538133083832</v>
      </c>
      <c r="M7" s="181"/>
      <c r="N7" s="184">
        <f t="shared" ref="N7:N70" ca="1" si="20">N6+1</f>
        <v>2021</v>
      </c>
      <c r="O7" s="179">
        <f>VLOOKUP('Invoer gegevens'!$C$9,'Hulp - basis'!$A$15:$F$30,6,FALSE)</f>
        <v>0.02</v>
      </c>
      <c r="P7" s="182">
        <f t="shared" ref="P7:P54" si="21">P6*(1+O7)</f>
        <v>1.0450910915963258</v>
      </c>
      <c r="R7" s="184">
        <f t="shared" ref="R7:R70" ca="1" si="22">R6+1</f>
        <v>2021</v>
      </c>
      <c r="S7" s="183">
        <v>5.3600000000000002E-3</v>
      </c>
      <c r="U7" s="184">
        <f t="shared" ref="U7:U70" ca="1" si="23">+U6+1</f>
        <v>2021</v>
      </c>
      <c r="V7" s="182">
        <f t="shared" si="4"/>
        <v>0.02</v>
      </c>
      <c r="W7" s="180">
        <f>Parameters!$D$12</f>
        <v>5.0000000000000001E-3</v>
      </c>
      <c r="X7" s="182">
        <f t="shared" si="5"/>
        <v>2.5000000000000001E-2</v>
      </c>
      <c r="Y7" s="182">
        <f t="shared" ref="Y7:Y70" si="24">Y6*(1+X7)</f>
        <v>1.0589966463001663</v>
      </c>
      <c r="AB7" s="184">
        <f t="shared" ref="AB7:AB70" ca="1" si="25">AB6+1</f>
        <v>2021</v>
      </c>
      <c r="AC7" s="171">
        <f t="shared" si="6"/>
        <v>529.49832315008314</v>
      </c>
      <c r="AD7" s="171">
        <f t="shared" si="0"/>
        <v>233.50798117085694</v>
      </c>
      <c r="AE7" s="172">
        <f>Parameters!D5</f>
        <v>720.42</v>
      </c>
      <c r="AF7" s="171">
        <f t="shared" ref="AF7:AF70" si="26">$AF$4*H7</f>
        <v>233.50798117085694</v>
      </c>
      <c r="AG7" s="171">
        <f t="shared" ref="AG7:AG70" si="27">ROUND($AG6*(1+V7)^1,2)</f>
        <v>523.04999999999995</v>
      </c>
      <c r="AH7" s="171">
        <f t="shared" si="7"/>
        <v>523.04999999999995</v>
      </c>
      <c r="AI7" s="171">
        <f t="shared" si="8"/>
        <v>233.50798117085694</v>
      </c>
      <c r="AJ7" s="171">
        <f>IF('Invoer gegevens'!$I$27="DAEB",SMALL(AC7:AD7,1),AC7)</f>
        <v>233.50798117085694</v>
      </c>
      <c r="AK7" s="171">
        <f>IF('Invoer gegevens'!$I$27="DAEB",SMALL((AE7:AH7),1),SMALL((AF7:AH7),1))</f>
        <v>233.50798117085694</v>
      </c>
      <c r="AL7" s="171">
        <f>ROUND($AL6*(1+V7)^1,2)</f>
        <v>0</v>
      </c>
      <c r="AM7" s="171">
        <f>ROUND($AM6*(1+V7)^1,2)</f>
        <v>0</v>
      </c>
      <c r="AN7" s="175">
        <f t="shared" ref="AN7:AN70" si="28">ROUND($AN6*(1+O7)^1,0)</f>
        <v>32973</v>
      </c>
      <c r="AP7" s="184">
        <f t="shared" ref="AP7:AP70" ca="1" si="29">AP6+1</f>
        <v>2021</v>
      </c>
      <c r="AQ7" s="185">
        <f t="shared" si="9"/>
        <v>0.02</v>
      </c>
      <c r="AR7" s="182">
        <f t="shared" ref="AR7:AR54" si="30">AR6*(1+AQ7)</f>
        <v>1.0450910915963258</v>
      </c>
      <c r="AU7" s="184">
        <f t="shared" ref="AU7:AU70" ca="1" si="31">+AU6+1</f>
        <v>2021</v>
      </c>
      <c r="AV7" s="182">
        <f t="shared" si="10"/>
        <v>0.02</v>
      </c>
      <c r="AW7" s="179">
        <f t="shared" si="11"/>
        <v>5.0000000000000001E-3</v>
      </c>
      <c r="AX7" s="182">
        <f t="shared" si="12"/>
        <v>2.5000000000000001E-2</v>
      </c>
      <c r="AY7" s="186"/>
      <c r="BA7" s="184">
        <f t="shared" ref="BA7:BA70" ca="1" si="32">BA6+1</f>
        <v>2021</v>
      </c>
      <c r="BB7" s="171">
        <f t="shared" si="13"/>
        <v>529.49</v>
      </c>
      <c r="BC7" s="171">
        <f t="shared" si="1"/>
        <v>720.42</v>
      </c>
      <c r="BD7" s="171">
        <f t="shared" si="2"/>
        <v>523.04999999999995</v>
      </c>
      <c r="BE7" s="171">
        <f t="shared" si="2"/>
        <v>233.50798117085694</v>
      </c>
      <c r="BF7" s="171">
        <f t="shared" si="3"/>
        <v>233.50798117085694</v>
      </c>
      <c r="BG7" s="171">
        <f t="shared" si="3"/>
        <v>233.50798117085694</v>
      </c>
      <c r="BI7" s="187">
        <f>IF(A7-'Invoer gegevens'!$C$17&lt;0,0,IF(A7-'Invoer gegevens'!$C$17=0,1,IF(A7-'Invoer gegevens'!$C$17&lt;5,2,IF(A7-'Invoer gegevens'!$C$17&lt;15,3,4))))</f>
        <v>0</v>
      </c>
      <c r="BJ7" s="229">
        <f>IF(BI7&lt;1,0,IF(BI7&lt;2,4%,IF(Reeksen!BI7&lt;3,4%,IF(Reeksen!BI7&lt;4,4%*70%,IF(Reeksen!BI7&lt;5,4%*50%)))))</f>
        <v>0</v>
      </c>
      <c r="BK7" s="243"/>
      <c r="BL7" s="243"/>
      <c r="BM7" s="243" t="s">
        <v>11</v>
      </c>
      <c r="BN7" s="245">
        <v>14</v>
      </c>
      <c r="BO7" s="244">
        <v>0.65</v>
      </c>
      <c r="BP7" s="245">
        <v>29</v>
      </c>
      <c r="BQ7" s="244">
        <v>0.22</v>
      </c>
      <c r="BR7" s="244">
        <f t="shared" si="14"/>
        <v>15.48</v>
      </c>
    </row>
    <row r="8" spans="1:71" x14ac:dyDescent="0.25">
      <c r="A8" s="184">
        <f t="shared" si="15"/>
        <v>3</v>
      </c>
      <c r="B8" s="179">
        <f>Dashboard!$C$25</f>
        <v>0.05</v>
      </c>
      <c r="C8" s="179">
        <f>Dashboard!$C$25</f>
        <v>0.05</v>
      </c>
      <c r="D8" s="179">
        <f>Dashboard!$C$25</f>
        <v>0.05</v>
      </c>
      <c r="E8" s="181"/>
      <c r="F8" s="184">
        <f t="shared" ca="1" si="16"/>
        <v>2022</v>
      </c>
      <c r="G8" s="179">
        <f>G7</f>
        <v>0.02</v>
      </c>
      <c r="H8" s="182">
        <f t="shared" si="17"/>
        <v>1.0670286809059557</v>
      </c>
      <c r="I8" s="179">
        <f>I7</f>
        <v>2.5000000000000001E-2</v>
      </c>
      <c r="J8" s="182">
        <f t="shared" si="18"/>
        <v>1.0844026586410926</v>
      </c>
      <c r="K8" s="179">
        <f>K7</f>
        <v>2.5000000000000001E-2</v>
      </c>
      <c r="L8" s="182">
        <f t="shared" si="19"/>
        <v>1.0844026586410926</v>
      </c>
      <c r="M8" s="181"/>
      <c r="N8" s="184">
        <f t="shared" ca="1" si="20"/>
        <v>2022</v>
      </c>
      <c r="O8" s="179">
        <f>O7</f>
        <v>0.02</v>
      </c>
      <c r="P8" s="182">
        <f t="shared" si="21"/>
        <v>1.0659929134282524</v>
      </c>
      <c r="R8" s="184">
        <f t="shared" ca="1" si="22"/>
        <v>2022</v>
      </c>
      <c r="S8" s="188">
        <f>S7</f>
        <v>5.3600000000000002E-3</v>
      </c>
      <c r="U8" s="184">
        <f t="shared" ca="1" si="23"/>
        <v>2022</v>
      </c>
      <c r="V8" s="182">
        <f t="shared" si="4"/>
        <v>0.02</v>
      </c>
      <c r="W8" s="180">
        <f>Parameters!$D$12</f>
        <v>5.0000000000000001E-3</v>
      </c>
      <c r="X8" s="182">
        <f t="shared" si="5"/>
        <v>2.5000000000000001E-2</v>
      </c>
      <c r="Y8" s="182">
        <f t="shared" si="24"/>
        <v>1.0854715624576703</v>
      </c>
      <c r="AB8" s="184">
        <f t="shared" ca="1" si="25"/>
        <v>2022</v>
      </c>
      <c r="AC8" s="171">
        <f t="shared" si="6"/>
        <v>542.73578122883509</v>
      </c>
      <c r="AD8" s="171">
        <f t="shared" si="0"/>
        <v>238.17814079427407</v>
      </c>
      <c r="AE8" s="171">
        <f>AE7*(1+V8)</f>
        <v>734.82839999999999</v>
      </c>
      <c r="AF8" s="171">
        <f t="shared" si="26"/>
        <v>238.17814079427407</v>
      </c>
      <c r="AG8" s="171">
        <f>ROUND($AG7*(1+V8)^1,2)</f>
        <v>533.51</v>
      </c>
      <c r="AH8" s="171">
        <f t="shared" si="7"/>
        <v>533.51</v>
      </c>
      <c r="AI8" s="171">
        <f t="shared" si="8"/>
        <v>238.17814079427407</v>
      </c>
      <c r="AJ8" s="171">
        <f>IF('Invoer gegevens'!$I$27="DAEB",SMALL(AC8:AD8,1),AC8)</f>
        <v>238.17814079427407</v>
      </c>
      <c r="AK8" s="171">
        <f>IF('Invoer gegevens'!$I$27="DAEB",SMALL((AE8:AH8),1),SMALL((AF8:AH8),1))</f>
        <v>238.17814079427407</v>
      </c>
      <c r="AL8" s="171">
        <f t="shared" ref="AL8:AL71" si="33">ROUND($AL7*(1+V8)^1,2)</f>
        <v>0</v>
      </c>
      <c r="AM8" s="171">
        <f t="shared" ref="AM8:AM71" si="34">ROUND($AM7*(1+V8)^1,2)</f>
        <v>0</v>
      </c>
      <c r="AN8" s="175">
        <f>ROUND($AN7*(1+O8)^1,0)</f>
        <v>33632</v>
      </c>
      <c r="AP8" s="184">
        <f t="shared" ca="1" si="29"/>
        <v>2022</v>
      </c>
      <c r="AQ8" s="185">
        <f t="shared" si="9"/>
        <v>0.02</v>
      </c>
      <c r="AR8" s="182">
        <f t="shared" si="30"/>
        <v>1.0659929134282524</v>
      </c>
      <c r="AU8" s="184">
        <f t="shared" ca="1" si="31"/>
        <v>2022</v>
      </c>
      <c r="AV8" s="182">
        <f t="shared" si="10"/>
        <v>0.02</v>
      </c>
      <c r="AW8" s="179">
        <f t="shared" si="11"/>
        <v>5.0000000000000001E-3</v>
      </c>
      <c r="AX8" s="182">
        <f t="shared" si="12"/>
        <v>2.5000000000000001E-2</v>
      </c>
      <c r="AY8" s="186"/>
      <c r="BA8" s="184">
        <f t="shared" ca="1" si="32"/>
        <v>2022</v>
      </c>
      <c r="BB8" s="171">
        <f t="shared" si="13"/>
        <v>542.73</v>
      </c>
      <c r="BC8" s="171">
        <f t="shared" si="1"/>
        <v>734.82839999999999</v>
      </c>
      <c r="BD8" s="171">
        <f t="shared" si="2"/>
        <v>533.51</v>
      </c>
      <c r="BE8" s="171">
        <f t="shared" si="2"/>
        <v>238.17814079427407</v>
      </c>
      <c r="BF8" s="171">
        <f t="shared" si="3"/>
        <v>238.17814079427407</v>
      </c>
      <c r="BG8" s="171">
        <f t="shared" si="3"/>
        <v>238.17814079427407</v>
      </c>
      <c r="BI8" s="187">
        <f>IF(A8-'Invoer gegevens'!$C$17&lt;0,0,IF(A8-'Invoer gegevens'!$C$17=0,1,IF(A8-'Invoer gegevens'!$C$17&lt;5,2,IF(A8-'Invoer gegevens'!$C$17&lt;15,3,4))))</f>
        <v>0</v>
      </c>
      <c r="BJ8" s="229">
        <f>IF(BI8&lt;1,0,IF(BI8&lt;2,4%,IF(Reeksen!BI8&lt;3,4%,IF(Reeksen!BI8&lt;4,4%*70%,IF(Reeksen!BI8&lt;5,4%*50%)))))</f>
        <v>0</v>
      </c>
      <c r="BK8" s="243"/>
      <c r="BL8" s="243"/>
      <c r="BM8" s="243" t="s">
        <v>867</v>
      </c>
      <c r="BN8" s="245">
        <v>16</v>
      </c>
      <c r="BO8" s="244">
        <v>0.65</v>
      </c>
      <c r="BP8" s="245">
        <v>31</v>
      </c>
      <c r="BQ8" s="244">
        <v>0.22</v>
      </c>
      <c r="BR8" s="244">
        <f t="shared" si="14"/>
        <v>17.22</v>
      </c>
    </row>
    <row r="9" spans="1:71" x14ac:dyDescent="0.25">
      <c r="A9" s="184">
        <f t="shared" si="15"/>
        <v>4</v>
      </c>
      <c r="B9" s="179">
        <f>Dashboard!$C$25</f>
        <v>0.05</v>
      </c>
      <c r="C9" s="179">
        <f>Dashboard!$C$25</f>
        <v>0.05</v>
      </c>
      <c r="D9" s="179">
        <f>Dashboard!$C$25</f>
        <v>0.05</v>
      </c>
      <c r="E9" s="181"/>
      <c r="F9" s="184">
        <f t="shared" ca="1" si="16"/>
        <v>2023</v>
      </c>
      <c r="G9" s="179">
        <f t="shared" ref="G9:K24" si="35">G8</f>
        <v>0.02</v>
      </c>
      <c r="H9" s="182">
        <f t="shared" si="17"/>
        <v>1.0883692545240748</v>
      </c>
      <c r="I9" s="179">
        <f t="shared" si="35"/>
        <v>2.5000000000000001E-2</v>
      </c>
      <c r="J9" s="182">
        <f t="shared" si="18"/>
        <v>1.11151272510712</v>
      </c>
      <c r="K9" s="179">
        <f t="shared" si="35"/>
        <v>2.5000000000000001E-2</v>
      </c>
      <c r="L9" s="182">
        <f t="shared" si="19"/>
        <v>1.11151272510712</v>
      </c>
      <c r="M9" s="181"/>
      <c r="N9" s="184">
        <f t="shared" ca="1" si="20"/>
        <v>2023</v>
      </c>
      <c r="O9" s="179">
        <f t="shared" ref="O9:O72" si="36">O8</f>
        <v>0.02</v>
      </c>
      <c r="P9" s="182">
        <f t="shared" si="21"/>
        <v>1.0873127716968174</v>
      </c>
      <c r="R9" s="184">
        <f t="shared" ca="1" si="22"/>
        <v>2023</v>
      </c>
      <c r="S9" s="188">
        <f>S8</f>
        <v>5.3600000000000002E-3</v>
      </c>
      <c r="U9" s="184">
        <f t="shared" ca="1" si="23"/>
        <v>2023</v>
      </c>
      <c r="V9" s="182">
        <f t="shared" si="4"/>
        <v>0.02</v>
      </c>
      <c r="W9" s="180">
        <f>Parameters!$D$12</f>
        <v>5.0000000000000001E-3</v>
      </c>
      <c r="X9" s="182">
        <f t="shared" si="5"/>
        <v>2.5000000000000001E-2</v>
      </c>
      <c r="Y9" s="182">
        <f t="shared" si="24"/>
        <v>1.1126083515191119</v>
      </c>
      <c r="AB9" s="184">
        <f t="shared" ca="1" si="25"/>
        <v>2023</v>
      </c>
      <c r="AC9" s="171">
        <f t="shared" si="6"/>
        <v>556.30417575955596</v>
      </c>
      <c r="AD9" s="171">
        <f t="shared" si="0"/>
        <v>242.94170361015955</v>
      </c>
      <c r="AE9" s="171">
        <f>AE8*(1+V9)</f>
        <v>749.52496799999994</v>
      </c>
      <c r="AF9" s="171">
        <f t="shared" si="26"/>
        <v>242.94170361015955</v>
      </c>
      <c r="AG9" s="171">
        <f t="shared" si="27"/>
        <v>544.17999999999995</v>
      </c>
      <c r="AH9" s="171">
        <f t="shared" si="7"/>
        <v>544.17999999999995</v>
      </c>
      <c r="AI9" s="171">
        <f>SMALL(AC9:AD9,1)</f>
        <v>242.94170361015955</v>
      </c>
      <c r="AJ9" s="171">
        <f>IF('Invoer gegevens'!$I$27="DAEB",SMALL(AC9:AD9,1),AC9)</f>
        <v>242.94170361015955</v>
      </c>
      <c r="AK9" s="171">
        <f>IF('Invoer gegevens'!$I$27="DAEB",SMALL((AE9:AH9),1),SMALL((AF9:AH9),1))</f>
        <v>242.94170361015955</v>
      </c>
      <c r="AL9" s="171">
        <f t="shared" si="33"/>
        <v>0</v>
      </c>
      <c r="AM9" s="171">
        <f t="shared" si="34"/>
        <v>0</v>
      </c>
      <c r="AN9" s="175">
        <f t="shared" si="28"/>
        <v>34305</v>
      </c>
      <c r="AP9" s="184">
        <f t="shared" ca="1" si="29"/>
        <v>2023</v>
      </c>
      <c r="AQ9" s="185">
        <f t="shared" si="9"/>
        <v>0.02</v>
      </c>
      <c r="AR9" s="182">
        <f t="shared" si="30"/>
        <v>1.0873127716968174</v>
      </c>
      <c r="AU9" s="184">
        <f t="shared" ca="1" si="31"/>
        <v>2023</v>
      </c>
      <c r="AV9" s="182">
        <f t="shared" si="10"/>
        <v>0.02</v>
      </c>
      <c r="AW9" s="179">
        <f t="shared" si="11"/>
        <v>5.0000000000000001E-3</v>
      </c>
      <c r="AX9" s="182">
        <f t="shared" si="12"/>
        <v>2.5000000000000001E-2</v>
      </c>
      <c r="AY9" s="186"/>
      <c r="BA9" s="184">
        <f t="shared" ca="1" si="32"/>
        <v>2023</v>
      </c>
      <c r="BB9" s="171">
        <f t="shared" si="13"/>
        <v>556.29999999999995</v>
      </c>
      <c r="BC9" s="171">
        <f t="shared" si="1"/>
        <v>749.52496799999994</v>
      </c>
      <c r="BD9" s="171">
        <f t="shared" si="2"/>
        <v>544.17999999999995</v>
      </c>
      <c r="BE9" s="171">
        <f t="shared" si="2"/>
        <v>242.94170361015955</v>
      </c>
      <c r="BF9" s="171">
        <f t="shared" si="3"/>
        <v>242.94170361015955</v>
      </c>
      <c r="BG9" s="171">
        <f t="shared" si="3"/>
        <v>242.94170361015955</v>
      </c>
      <c r="BI9" s="187">
        <f>IF(A9-'Invoer gegevens'!$C$17&lt;0,0,IF(A9-'Invoer gegevens'!$C$17=0,1,IF(A9-'Invoer gegevens'!$C$17&lt;5,2,IF(A9-'Invoer gegevens'!$C$17&lt;15,3,4))))</f>
        <v>0</v>
      </c>
      <c r="BJ9" s="229">
        <f>IF(BI9&lt;1,0,IF(BI9&lt;2,4%,IF(Reeksen!BI9&lt;3,4%,IF(Reeksen!BI9&lt;4,4%*70%,IF(Reeksen!BI9&lt;5,4%*50%)))))</f>
        <v>0</v>
      </c>
      <c r="BK9" s="243"/>
      <c r="BL9" s="243"/>
      <c r="BM9" s="243" t="s">
        <v>868</v>
      </c>
      <c r="BN9" s="245">
        <v>17</v>
      </c>
      <c r="BO9" s="244">
        <v>0.65</v>
      </c>
      <c r="BP9" s="245">
        <v>31</v>
      </c>
      <c r="BQ9" s="244">
        <v>0.22</v>
      </c>
      <c r="BR9" s="244">
        <f t="shared" si="14"/>
        <v>17.87</v>
      </c>
    </row>
    <row r="10" spans="1:71" x14ac:dyDescent="0.25">
      <c r="A10" s="184">
        <f t="shared" si="15"/>
        <v>5</v>
      </c>
      <c r="B10" s="179">
        <f>Dashboard!$C$25</f>
        <v>0.05</v>
      </c>
      <c r="C10" s="179">
        <f>Dashboard!$C$25</f>
        <v>0.05</v>
      </c>
      <c r="D10" s="179">
        <f>Dashboard!$C$25</f>
        <v>0.05</v>
      </c>
      <c r="E10" s="181"/>
      <c r="F10" s="184">
        <f t="shared" ca="1" si="16"/>
        <v>2024</v>
      </c>
      <c r="G10" s="179">
        <f t="shared" si="35"/>
        <v>0.02</v>
      </c>
      <c r="H10" s="182">
        <f t="shared" si="17"/>
        <v>1.1101366396145564</v>
      </c>
      <c r="I10" s="179">
        <f t="shared" si="35"/>
        <v>2.5000000000000001E-2</v>
      </c>
      <c r="J10" s="182">
        <f t="shared" si="18"/>
        <v>1.1393005432347978</v>
      </c>
      <c r="K10" s="179">
        <f t="shared" si="35"/>
        <v>2.5000000000000001E-2</v>
      </c>
      <c r="L10" s="182">
        <f t="shared" si="19"/>
        <v>1.1393005432347978</v>
      </c>
      <c r="M10" s="181"/>
      <c r="N10" s="184">
        <f t="shared" ca="1" si="20"/>
        <v>2024</v>
      </c>
      <c r="O10" s="179">
        <f t="shared" si="36"/>
        <v>0.02</v>
      </c>
      <c r="P10" s="182">
        <f t="shared" si="21"/>
        <v>1.1090590271307537</v>
      </c>
      <c r="R10" s="184">
        <f t="shared" ca="1" si="22"/>
        <v>2024</v>
      </c>
      <c r="S10" s="188">
        <f>S9</f>
        <v>5.3600000000000002E-3</v>
      </c>
      <c r="U10" s="184">
        <f t="shared" ca="1" si="23"/>
        <v>2024</v>
      </c>
      <c r="V10" s="182">
        <f t="shared" si="4"/>
        <v>0.02</v>
      </c>
      <c r="W10" s="180">
        <f>Parameters!$D$12</f>
        <v>5.0000000000000001E-3</v>
      </c>
      <c r="X10" s="182">
        <f t="shared" si="5"/>
        <v>2.5000000000000001E-2</v>
      </c>
      <c r="Y10" s="182">
        <f t="shared" si="24"/>
        <v>1.1404235603070896</v>
      </c>
      <c r="AB10" s="184">
        <f t="shared" ca="1" si="25"/>
        <v>2024</v>
      </c>
      <c r="AC10" s="171">
        <f t="shared" si="6"/>
        <v>570.21178015354474</v>
      </c>
      <c r="AD10" s="171">
        <f t="shared" si="0"/>
        <v>247.80053768236277</v>
      </c>
      <c r="AE10" s="171">
        <f t="shared" ref="AE10:AE73" si="37">AE9*(1+V10)</f>
        <v>764.51546736</v>
      </c>
      <c r="AF10" s="171">
        <f t="shared" si="26"/>
        <v>247.80053768236277</v>
      </c>
      <c r="AG10" s="171">
        <f t="shared" si="27"/>
        <v>555.05999999999995</v>
      </c>
      <c r="AH10" s="171">
        <f t="shared" si="7"/>
        <v>555.05999999999995</v>
      </c>
      <c r="AI10" s="171">
        <f t="shared" si="8"/>
        <v>247.80053768236277</v>
      </c>
      <c r="AJ10" s="171">
        <f>IF('Invoer gegevens'!$I$27="DAEB",SMALL(AC10:AD10,1),AC10)</f>
        <v>247.80053768236277</v>
      </c>
      <c r="AK10" s="171">
        <f>IF('Invoer gegevens'!$I$27="DAEB",SMALL((AE10:AH10),1),SMALL((AF10:AH10),1))</f>
        <v>247.80053768236277</v>
      </c>
      <c r="AL10" s="171">
        <f t="shared" si="33"/>
        <v>0</v>
      </c>
      <c r="AM10" s="171">
        <f t="shared" si="34"/>
        <v>0</v>
      </c>
      <c r="AN10" s="175">
        <f t="shared" si="28"/>
        <v>34991</v>
      </c>
      <c r="AP10" s="184">
        <f t="shared" ca="1" si="29"/>
        <v>2024</v>
      </c>
      <c r="AQ10" s="185">
        <f t="shared" si="9"/>
        <v>0.02</v>
      </c>
      <c r="AR10" s="182">
        <f t="shared" si="30"/>
        <v>1.1090590271307537</v>
      </c>
      <c r="AU10" s="184">
        <f t="shared" ca="1" si="31"/>
        <v>2024</v>
      </c>
      <c r="AV10" s="182">
        <f t="shared" si="10"/>
        <v>0.02</v>
      </c>
      <c r="AW10" s="179">
        <f t="shared" si="11"/>
        <v>5.0000000000000001E-3</v>
      </c>
      <c r="AX10" s="182">
        <f t="shared" si="12"/>
        <v>2.5000000000000001E-2</v>
      </c>
      <c r="AY10" s="186"/>
      <c r="BA10" s="184">
        <f t="shared" ca="1" si="32"/>
        <v>2024</v>
      </c>
      <c r="BB10" s="171">
        <f t="shared" si="13"/>
        <v>570.21</v>
      </c>
      <c r="BC10" s="171">
        <f t="shared" si="1"/>
        <v>764.51546736</v>
      </c>
      <c r="BD10" s="171">
        <f t="shared" si="2"/>
        <v>555.05999999999995</v>
      </c>
      <c r="BE10" s="171">
        <f t="shared" si="2"/>
        <v>247.80053768236277</v>
      </c>
      <c r="BF10" s="171">
        <f t="shared" si="3"/>
        <v>247.80053768236277</v>
      </c>
      <c r="BG10" s="171">
        <f t="shared" si="3"/>
        <v>247.80053768236277</v>
      </c>
      <c r="BI10" s="187">
        <f>IF(A10-'Invoer gegevens'!$C$17&lt;0,0,IF(A10-'Invoer gegevens'!$C$17=0,1,IF(A10-'Invoer gegevens'!$C$17&lt;5,2,IF(A10-'Invoer gegevens'!$C$17&lt;15,3,4))))</f>
        <v>0</v>
      </c>
      <c r="BJ10" s="229">
        <f>IF(BI10&lt;1,0,IF(BI10&lt;2,4%,IF(Reeksen!BI10&lt;3,4%,IF(Reeksen!BI10&lt;4,4%*70%,IF(Reeksen!BI10&lt;5,4%*50%)))))</f>
        <v>0</v>
      </c>
      <c r="BK10" s="243"/>
      <c r="BL10" s="243"/>
      <c r="BM10" s="243" t="s">
        <v>869</v>
      </c>
      <c r="BN10" s="245">
        <v>17</v>
      </c>
      <c r="BO10" s="244">
        <v>0.65</v>
      </c>
      <c r="BP10" s="245">
        <v>32</v>
      </c>
      <c r="BQ10" s="244">
        <v>0.22</v>
      </c>
      <c r="BR10" s="244">
        <f t="shared" si="14"/>
        <v>18.09</v>
      </c>
    </row>
    <row r="11" spans="1:71" x14ac:dyDescent="0.25">
      <c r="A11" s="184">
        <f t="shared" si="15"/>
        <v>6</v>
      </c>
      <c r="B11" s="179">
        <f>Dashboard!$C$25</f>
        <v>0.05</v>
      </c>
      <c r="C11" s="179">
        <f>Dashboard!$C$25</f>
        <v>0.05</v>
      </c>
      <c r="D11" s="179">
        <f>Dashboard!$C$25</f>
        <v>0.05</v>
      </c>
      <c r="E11" s="181"/>
      <c r="F11" s="184">
        <f t="shared" ca="1" si="16"/>
        <v>2025</v>
      </c>
      <c r="G11" s="179">
        <f t="shared" si="35"/>
        <v>0.02</v>
      </c>
      <c r="H11" s="182">
        <f t="shared" si="17"/>
        <v>1.1323393724068476</v>
      </c>
      <c r="I11" s="179">
        <f t="shared" si="35"/>
        <v>2.5000000000000001E-2</v>
      </c>
      <c r="J11" s="182">
        <f t="shared" si="18"/>
        <v>1.1677830568156677</v>
      </c>
      <c r="K11" s="179">
        <f t="shared" si="35"/>
        <v>2.5000000000000001E-2</v>
      </c>
      <c r="L11" s="182">
        <f t="shared" si="19"/>
        <v>1.1677830568156677</v>
      </c>
      <c r="M11" s="181"/>
      <c r="N11" s="184">
        <f t="shared" ca="1" si="20"/>
        <v>2025</v>
      </c>
      <c r="O11" s="179">
        <f t="shared" si="36"/>
        <v>0.02</v>
      </c>
      <c r="P11" s="182">
        <f t="shared" si="21"/>
        <v>1.1312402076733687</v>
      </c>
      <c r="R11" s="184">
        <f t="shared" ca="1" si="22"/>
        <v>2025</v>
      </c>
      <c r="S11" s="188">
        <f>S10</f>
        <v>5.3600000000000002E-3</v>
      </c>
      <c r="U11" s="184">
        <f t="shared" ca="1" si="23"/>
        <v>2025</v>
      </c>
      <c r="V11" s="182">
        <f t="shared" si="4"/>
        <v>0.02</v>
      </c>
      <c r="W11" s="180">
        <f>Parameters!$D$12</f>
        <v>5.0000000000000001E-3</v>
      </c>
      <c r="X11" s="182">
        <f t="shared" si="5"/>
        <v>2.5000000000000001E-2</v>
      </c>
      <c r="Y11" s="182">
        <f t="shared" si="24"/>
        <v>1.1689341493147667</v>
      </c>
      <c r="AB11" s="184">
        <f t="shared" ca="1" si="25"/>
        <v>2025</v>
      </c>
      <c r="AC11" s="171">
        <f t="shared" si="6"/>
        <v>584.46707465738336</v>
      </c>
      <c r="AD11" s="171">
        <f t="shared" si="0"/>
        <v>252.75654843601004</v>
      </c>
      <c r="AE11" s="171">
        <f t="shared" si="37"/>
        <v>779.80577670720004</v>
      </c>
      <c r="AF11" s="171">
        <f t="shared" si="26"/>
        <v>252.75654843601004</v>
      </c>
      <c r="AG11" s="171">
        <f t="shared" si="27"/>
        <v>566.16</v>
      </c>
      <c r="AH11" s="171">
        <f t="shared" si="7"/>
        <v>566.16</v>
      </c>
      <c r="AI11" s="171">
        <f t="shared" si="8"/>
        <v>252.75654843601004</v>
      </c>
      <c r="AJ11" s="171">
        <f>IF('Invoer gegevens'!$I$27="DAEB",SMALL(AC11:AD11,1),AC11)</f>
        <v>252.75654843601004</v>
      </c>
      <c r="AK11" s="171">
        <f>IF('Invoer gegevens'!$I$27="DAEB",SMALL((AE11:AH11),1),SMALL((AF11:AH11),1))</f>
        <v>252.75654843601004</v>
      </c>
      <c r="AL11" s="171">
        <f t="shared" si="33"/>
        <v>0</v>
      </c>
      <c r="AM11" s="171">
        <f t="shared" si="34"/>
        <v>0</v>
      </c>
      <c r="AN11" s="175">
        <f t="shared" si="28"/>
        <v>35691</v>
      </c>
      <c r="AP11" s="184">
        <f t="shared" ca="1" si="29"/>
        <v>2025</v>
      </c>
      <c r="AQ11" s="185">
        <f t="shared" si="9"/>
        <v>0.02</v>
      </c>
      <c r="AR11" s="182">
        <f t="shared" si="30"/>
        <v>1.1312402076733687</v>
      </c>
      <c r="AU11" s="184">
        <f t="shared" ca="1" si="31"/>
        <v>2025</v>
      </c>
      <c r="AV11" s="182">
        <f t="shared" si="10"/>
        <v>0.02</v>
      </c>
      <c r="AW11" s="179">
        <f t="shared" si="11"/>
        <v>5.0000000000000001E-3</v>
      </c>
      <c r="AX11" s="182">
        <f t="shared" si="12"/>
        <v>2.5000000000000001E-2</v>
      </c>
      <c r="AY11" s="186"/>
      <c r="BA11" s="184">
        <f t="shared" ca="1" si="32"/>
        <v>2025</v>
      </c>
      <c r="BB11" s="171">
        <f t="shared" si="13"/>
        <v>584.47</v>
      </c>
      <c r="BC11" s="171">
        <f t="shared" si="1"/>
        <v>779.80577670720004</v>
      </c>
      <c r="BD11" s="171">
        <f t="shared" si="2"/>
        <v>566.16</v>
      </c>
      <c r="BE11" s="171">
        <f t="shared" si="2"/>
        <v>252.75654843601004</v>
      </c>
      <c r="BF11" s="171">
        <f t="shared" si="3"/>
        <v>252.75654843601004</v>
      </c>
      <c r="BG11" s="171">
        <f t="shared" si="3"/>
        <v>252.75654843601004</v>
      </c>
      <c r="BI11" s="187">
        <f>IF(A11-'Invoer gegevens'!$C$17&lt;0,0,IF(A11-'Invoer gegevens'!$C$17=0,1,IF(A11-'Invoer gegevens'!$C$17&lt;5,2,IF(A11-'Invoer gegevens'!$C$17&lt;15,3,4))))</f>
        <v>0</v>
      </c>
      <c r="BJ11" s="229">
        <f>IF(BI11&lt;1,0,IF(BI11&lt;2,4%,IF(Reeksen!BI11&lt;3,4%,IF(Reeksen!BI11&lt;4,4%*70%,IF(Reeksen!BI11&lt;5,4%*50%)))))</f>
        <v>0</v>
      </c>
      <c r="BK11" s="243"/>
      <c r="BL11" s="243"/>
      <c r="BM11" s="243" t="s">
        <v>10</v>
      </c>
      <c r="BN11" s="245">
        <v>17</v>
      </c>
      <c r="BO11" s="244">
        <v>0.65</v>
      </c>
      <c r="BP11" s="245">
        <v>33</v>
      </c>
      <c r="BQ11" s="244">
        <v>0.22</v>
      </c>
      <c r="BR11" s="244">
        <f t="shared" si="14"/>
        <v>18.310000000000002</v>
      </c>
    </row>
    <row r="12" spans="1:71" x14ac:dyDescent="0.25">
      <c r="A12" s="184">
        <f t="shared" si="15"/>
        <v>7</v>
      </c>
      <c r="B12" s="179">
        <f>Dashboard!$C$25</f>
        <v>0.05</v>
      </c>
      <c r="C12" s="179">
        <f>Dashboard!$C$25</f>
        <v>0.05</v>
      </c>
      <c r="D12" s="179">
        <f>Dashboard!$C$25</f>
        <v>0.05</v>
      </c>
      <c r="E12" s="181"/>
      <c r="F12" s="184">
        <f t="shared" ca="1" si="16"/>
        <v>2026</v>
      </c>
      <c r="G12" s="179">
        <f t="shared" si="35"/>
        <v>0.02</v>
      </c>
      <c r="H12" s="182">
        <f t="shared" si="17"/>
        <v>1.1549861598549844</v>
      </c>
      <c r="I12" s="179">
        <f t="shared" si="35"/>
        <v>2.5000000000000001E-2</v>
      </c>
      <c r="J12" s="182">
        <f t="shared" si="18"/>
        <v>1.1969776332360593</v>
      </c>
      <c r="K12" s="179">
        <f t="shared" si="35"/>
        <v>2.5000000000000001E-2</v>
      </c>
      <c r="L12" s="182">
        <f t="shared" si="19"/>
        <v>1.1969776332360593</v>
      </c>
      <c r="M12" s="181"/>
      <c r="N12" s="184">
        <f t="shared" ca="1" si="20"/>
        <v>2026</v>
      </c>
      <c r="O12" s="179">
        <f t="shared" si="36"/>
        <v>0.02</v>
      </c>
      <c r="P12" s="182">
        <f t="shared" si="21"/>
        <v>1.1538650118268361</v>
      </c>
      <c r="R12" s="184">
        <f t="shared" ca="1" si="22"/>
        <v>2026</v>
      </c>
      <c r="S12" s="188">
        <f t="shared" ref="S12:S75" si="38">S11</f>
        <v>5.3600000000000002E-3</v>
      </c>
      <c r="U12" s="184">
        <f t="shared" ca="1" si="23"/>
        <v>2026</v>
      </c>
      <c r="V12" s="182">
        <f t="shared" si="4"/>
        <v>0.02</v>
      </c>
      <c r="W12" s="180">
        <f>Parameters!$D$12</f>
        <v>5.0000000000000001E-3</v>
      </c>
      <c r="X12" s="182">
        <f t="shared" si="5"/>
        <v>2.5000000000000001E-2</v>
      </c>
      <c r="Y12" s="182">
        <f t="shared" si="24"/>
        <v>1.1981575030476357</v>
      </c>
      <c r="AB12" s="184">
        <f t="shared" ca="1" si="25"/>
        <v>2026</v>
      </c>
      <c r="AC12" s="171">
        <f t="shared" si="6"/>
        <v>599.0787515238178</v>
      </c>
      <c r="AD12" s="171">
        <f t="shared" si="0"/>
        <v>257.81167940473023</v>
      </c>
      <c r="AE12" s="171">
        <f t="shared" si="37"/>
        <v>795.40189224134406</v>
      </c>
      <c r="AF12" s="171">
        <f t="shared" si="26"/>
        <v>257.81167940473023</v>
      </c>
      <c r="AG12" s="171">
        <f t="shared" si="27"/>
        <v>577.48</v>
      </c>
      <c r="AH12" s="171">
        <f t="shared" si="7"/>
        <v>577.48</v>
      </c>
      <c r="AI12" s="171">
        <f t="shared" si="8"/>
        <v>257.81167940473023</v>
      </c>
      <c r="AJ12" s="171">
        <f>IF('Invoer gegevens'!$I$27="DAEB",SMALL(AC12:AD12,1),AC12)</f>
        <v>257.81167940473023</v>
      </c>
      <c r="AK12" s="171">
        <f>IF('Invoer gegevens'!$I$27="DAEB",SMALL((AE12:AH12),1),SMALL((AF12:AH12),1))</f>
        <v>257.81167940473023</v>
      </c>
      <c r="AL12" s="171">
        <f t="shared" si="33"/>
        <v>0</v>
      </c>
      <c r="AM12" s="171">
        <f t="shared" si="34"/>
        <v>0</v>
      </c>
      <c r="AN12" s="175">
        <f t="shared" si="28"/>
        <v>36405</v>
      </c>
      <c r="AP12" s="184">
        <f t="shared" ca="1" si="29"/>
        <v>2026</v>
      </c>
      <c r="AQ12" s="185">
        <f t="shared" si="9"/>
        <v>0.02</v>
      </c>
      <c r="AR12" s="182">
        <f t="shared" si="30"/>
        <v>1.1538650118268361</v>
      </c>
      <c r="AU12" s="184">
        <f t="shared" ca="1" si="31"/>
        <v>2026</v>
      </c>
      <c r="AV12" s="182">
        <f t="shared" si="10"/>
        <v>0.02</v>
      </c>
      <c r="AW12" s="179">
        <f t="shared" si="11"/>
        <v>5.0000000000000001E-3</v>
      </c>
      <c r="AX12" s="182">
        <f t="shared" si="12"/>
        <v>2.5000000000000001E-2</v>
      </c>
      <c r="AY12" s="186"/>
      <c r="BA12" s="184">
        <f t="shared" ca="1" si="32"/>
        <v>2026</v>
      </c>
      <c r="BB12" s="171">
        <f t="shared" si="13"/>
        <v>599.08000000000004</v>
      </c>
      <c r="BC12" s="171">
        <f t="shared" si="1"/>
        <v>795.40189224134406</v>
      </c>
      <c r="BD12" s="171">
        <f t="shared" si="2"/>
        <v>577.48</v>
      </c>
      <c r="BE12" s="171">
        <f t="shared" si="2"/>
        <v>257.81167940473023</v>
      </c>
      <c r="BF12" s="171">
        <f t="shared" si="3"/>
        <v>257.81167940473023</v>
      </c>
      <c r="BG12" s="171">
        <f t="shared" si="3"/>
        <v>257.81167940473023</v>
      </c>
      <c r="BI12" s="187">
        <f>IF(A12-'Invoer gegevens'!$C$17&lt;0,0,IF(A12-'Invoer gegevens'!$C$17=0,1,IF(A12-'Invoer gegevens'!$C$17&lt;5,2,IF(A12-'Invoer gegevens'!$C$17&lt;15,3,4))))</f>
        <v>0</v>
      </c>
      <c r="BJ12" s="229">
        <f>IF(BI12&lt;1,0,IF(BI12&lt;2,4%,IF(Reeksen!BI12&lt;3,4%,IF(Reeksen!BI12&lt;4,4%*70%,IF(Reeksen!BI12&lt;5,4%*50%)))))</f>
        <v>0</v>
      </c>
      <c r="BK12" s="243"/>
      <c r="BL12" s="243"/>
      <c r="BM12" s="243" t="s">
        <v>894</v>
      </c>
      <c r="BN12" s="245">
        <v>0</v>
      </c>
      <c r="BO12" s="244">
        <v>0</v>
      </c>
      <c r="BP12" s="245">
        <v>0</v>
      </c>
      <c r="BQ12" s="244">
        <v>0</v>
      </c>
      <c r="BR12" s="244">
        <v>0</v>
      </c>
    </row>
    <row r="13" spans="1:71" x14ac:dyDescent="0.25">
      <c r="A13" s="184">
        <f t="shared" si="15"/>
        <v>8</v>
      </c>
      <c r="B13" s="179">
        <f>Dashboard!$C$25</f>
        <v>0.05</v>
      </c>
      <c r="C13" s="179">
        <f>Dashboard!$C$25</f>
        <v>0.05</v>
      </c>
      <c r="D13" s="179">
        <f>Dashboard!$C$25</f>
        <v>0.05</v>
      </c>
      <c r="E13" s="181"/>
      <c r="F13" s="184">
        <f t="shared" ca="1" si="16"/>
        <v>2027</v>
      </c>
      <c r="G13" s="179">
        <f t="shared" si="35"/>
        <v>0.02</v>
      </c>
      <c r="H13" s="182">
        <f t="shared" si="17"/>
        <v>1.1780858830520842</v>
      </c>
      <c r="I13" s="179">
        <f t="shared" si="35"/>
        <v>2.5000000000000001E-2</v>
      </c>
      <c r="J13" s="182">
        <f t="shared" si="18"/>
        <v>1.2269020740669607</v>
      </c>
      <c r="K13" s="179">
        <f t="shared" si="35"/>
        <v>2.5000000000000001E-2</v>
      </c>
      <c r="L13" s="182">
        <f t="shared" si="19"/>
        <v>1.2269020740669607</v>
      </c>
      <c r="M13" s="181"/>
      <c r="N13" s="184">
        <f t="shared" ca="1" si="20"/>
        <v>2027</v>
      </c>
      <c r="O13" s="179">
        <f t="shared" si="36"/>
        <v>0.02</v>
      </c>
      <c r="P13" s="182">
        <f t="shared" si="21"/>
        <v>1.1769423120633729</v>
      </c>
      <c r="R13" s="184">
        <f t="shared" ca="1" si="22"/>
        <v>2027</v>
      </c>
      <c r="S13" s="188">
        <f t="shared" si="38"/>
        <v>5.3600000000000002E-3</v>
      </c>
      <c r="U13" s="184">
        <f t="shared" ca="1" si="23"/>
        <v>2027</v>
      </c>
      <c r="V13" s="182">
        <f t="shared" si="4"/>
        <v>0.02</v>
      </c>
      <c r="W13" s="180">
        <f>Parameters!$D$12</f>
        <v>5.0000000000000001E-3</v>
      </c>
      <c r="X13" s="182">
        <f t="shared" si="5"/>
        <v>2.5000000000000001E-2</v>
      </c>
      <c r="Y13" s="182">
        <f t="shared" si="24"/>
        <v>1.2281114406238265</v>
      </c>
      <c r="AB13" s="184">
        <f t="shared" ca="1" si="25"/>
        <v>2027</v>
      </c>
      <c r="AC13" s="171">
        <f t="shared" si="6"/>
        <v>614.05572031191321</v>
      </c>
      <c r="AD13" s="171">
        <f t="shared" si="0"/>
        <v>262.96791299282484</v>
      </c>
      <c r="AE13" s="171">
        <f t="shared" si="37"/>
        <v>811.30993008617099</v>
      </c>
      <c r="AF13" s="171">
        <f t="shared" si="26"/>
        <v>262.96791299282484</v>
      </c>
      <c r="AG13" s="171">
        <f>ROUND($AG12*(1+V13)^1,2)</f>
        <v>589.03</v>
      </c>
      <c r="AH13" s="171">
        <f t="shared" si="7"/>
        <v>589.03</v>
      </c>
      <c r="AI13" s="171">
        <f t="shared" si="8"/>
        <v>262.96791299282484</v>
      </c>
      <c r="AJ13" s="171">
        <f>IF('Invoer gegevens'!$I$27="DAEB",SMALL(AC13:AD13,1),AC13)</f>
        <v>262.96791299282484</v>
      </c>
      <c r="AK13" s="171">
        <f>IF('Invoer gegevens'!$I$27="DAEB",SMALL((AE13:AH13),1),SMALL((AF13:AH13),1))</f>
        <v>262.96791299282484</v>
      </c>
      <c r="AL13" s="171">
        <f t="shared" si="33"/>
        <v>0</v>
      </c>
      <c r="AM13" s="171">
        <f t="shared" si="34"/>
        <v>0</v>
      </c>
      <c r="AN13" s="175">
        <f t="shared" si="28"/>
        <v>37133</v>
      </c>
      <c r="AP13" s="184">
        <f t="shared" ca="1" si="29"/>
        <v>2027</v>
      </c>
      <c r="AQ13" s="185">
        <f t="shared" si="9"/>
        <v>0.02</v>
      </c>
      <c r="AR13" s="182">
        <f t="shared" si="30"/>
        <v>1.1769423120633729</v>
      </c>
      <c r="AU13" s="184">
        <f t="shared" ca="1" si="31"/>
        <v>2027</v>
      </c>
      <c r="AV13" s="182">
        <f t="shared" si="10"/>
        <v>0.02</v>
      </c>
      <c r="AW13" s="179">
        <f t="shared" si="11"/>
        <v>5.0000000000000001E-3</v>
      </c>
      <c r="AX13" s="182">
        <f t="shared" si="12"/>
        <v>2.5000000000000001E-2</v>
      </c>
      <c r="AY13" s="186"/>
      <c r="BA13" s="184">
        <f t="shared" ca="1" si="32"/>
        <v>2027</v>
      </c>
      <c r="BB13" s="171">
        <f t="shared" si="13"/>
        <v>614.05999999999995</v>
      </c>
      <c r="BC13" s="171">
        <f t="shared" si="1"/>
        <v>811.30993008617099</v>
      </c>
      <c r="BD13" s="171">
        <f t="shared" si="2"/>
        <v>589.03</v>
      </c>
      <c r="BE13" s="171">
        <f t="shared" si="2"/>
        <v>262.96791299282484</v>
      </c>
      <c r="BF13" s="171">
        <f t="shared" si="3"/>
        <v>262.96791299282484</v>
      </c>
      <c r="BG13" s="171">
        <f t="shared" si="3"/>
        <v>262.96791299282484</v>
      </c>
      <c r="BI13" s="187">
        <f>IF(A13-'Invoer gegevens'!$C$17&lt;0,0,IF(A13-'Invoer gegevens'!$C$17=0,1,IF(A13-'Invoer gegevens'!$C$17&lt;5,2,IF(A13-'Invoer gegevens'!$C$17&lt;15,3,4))))</f>
        <v>0</v>
      </c>
      <c r="BJ13" s="229">
        <f>IF(BI13&lt;1,0,IF(BI13&lt;2,4%,IF(Reeksen!BI13&lt;3,4%,IF(Reeksen!BI13&lt;4,4%*70%,IF(Reeksen!BI13&lt;5,4%*50%)))))</f>
        <v>0</v>
      </c>
      <c r="BK13" s="243"/>
      <c r="BL13" s="243" t="s">
        <v>875</v>
      </c>
      <c r="BM13" s="243"/>
      <c r="BN13" s="244" t="s">
        <v>876</v>
      </c>
      <c r="BO13" s="244" t="s">
        <v>877</v>
      </c>
      <c r="BP13" s="244" t="s">
        <v>876</v>
      </c>
      <c r="BQ13" s="244" t="s">
        <v>877</v>
      </c>
      <c r="BR13" s="244"/>
    </row>
    <row r="14" spans="1:71" x14ac:dyDescent="0.25">
      <c r="A14" s="184">
        <f t="shared" si="15"/>
        <v>9</v>
      </c>
      <c r="B14" s="179">
        <f>Dashboard!$C$25</f>
        <v>0.05</v>
      </c>
      <c r="C14" s="179">
        <f>Dashboard!$C$25</f>
        <v>0.05</v>
      </c>
      <c r="D14" s="179">
        <f>Dashboard!$C$25</f>
        <v>0.05</v>
      </c>
      <c r="E14" s="181"/>
      <c r="F14" s="184">
        <f t="shared" ca="1" si="16"/>
        <v>2028</v>
      </c>
      <c r="G14" s="179">
        <f t="shared" si="35"/>
        <v>0.02</v>
      </c>
      <c r="H14" s="182">
        <f t="shared" si="17"/>
        <v>1.2016476007131258</v>
      </c>
      <c r="I14" s="179">
        <f t="shared" si="35"/>
        <v>2.5000000000000001E-2</v>
      </c>
      <c r="J14" s="182">
        <f t="shared" si="18"/>
        <v>1.2575746259186347</v>
      </c>
      <c r="K14" s="179">
        <f t="shared" si="35"/>
        <v>2.5000000000000001E-2</v>
      </c>
      <c r="L14" s="182">
        <f t="shared" si="19"/>
        <v>1.2575746259186347</v>
      </c>
      <c r="M14" s="181"/>
      <c r="N14" s="184">
        <f t="shared" ca="1" si="20"/>
        <v>2028</v>
      </c>
      <c r="O14" s="179">
        <f t="shared" si="36"/>
        <v>0.02</v>
      </c>
      <c r="P14" s="182">
        <f t="shared" si="21"/>
        <v>1.2004811583046404</v>
      </c>
      <c r="R14" s="184">
        <f t="shared" ca="1" si="22"/>
        <v>2028</v>
      </c>
      <c r="S14" s="188">
        <f t="shared" si="38"/>
        <v>5.3600000000000002E-3</v>
      </c>
      <c r="U14" s="184">
        <f t="shared" ca="1" si="23"/>
        <v>2028</v>
      </c>
      <c r="V14" s="182">
        <f t="shared" si="4"/>
        <v>0.02</v>
      </c>
      <c r="W14" s="180">
        <f>Parameters!$D$12</f>
        <v>5.0000000000000001E-3</v>
      </c>
      <c r="X14" s="182">
        <f t="shared" si="5"/>
        <v>2.5000000000000001E-2</v>
      </c>
      <c r="Y14" s="182">
        <f t="shared" si="24"/>
        <v>1.258814226639422</v>
      </c>
      <c r="AB14" s="184">
        <f t="shared" ca="1" si="25"/>
        <v>2028</v>
      </c>
      <c r="AC14" s="171">
        <f t="shared" si="6"/>
        <v>629.40711331971102</v>
      </c>
      <c r="AD14" s="171">
        <f t="shared" si="0"/>
        <v>268.22727125268131</v>
      </c>
      <c r="AE14" s="171">
        <f t="shared" si="37"/>
        <v>827.53612868789446</v>
      </c>
      <c r="AF14" s="171">
        <f t="shared" si="26"/>
        <v>268.22727125268131</v>
      </c>
      <c r="AG14" s="171">
        <f t="shared" si="27"/>
        <v>600.80999999999995</v>
      </c>
      <c r="AH14" s="171">
        <f t="shared" si="7"/>
        <v>600.80999999999995</v>
      </c>
      <c r="AI14" s="171">
        <f t="shared" si="8"/>
        <v>268.22727125268131</v>
      </c>
      <c r="AJ14" s="171">
        <f>IF('Invoer gegevens'!$I$27="DAEB",SMALL(AC14:AD14,1),AC14)</f>
        <v>268.22727125268131</v>
      </c>
      <c r="AK14" s="171">
        <f>IF('Invoer gegevens'!$I$27="DAEB",SMALL((AE14:AH14),1),SMALL((AF14:AH14),1))</f>
        <v>268.22727125268131</v>
      </c>
      <c r="AL14" s="171">
        <f t="shared" si="33"/>
        <v>0</v>
      </c>
      <c r="AM14" s="171">
        <f t="shared" si="34"/>
        <v>0</v>
      </c>
      <c r="AN14" s="175">
        <f t="shared" si="28"/>
        <v>37876</v>
      </c>
      <c r="AP14" s="184">
        <f t="shared" ca="1" si="29"/>
        <v>2028</v>
      </c>
      <c r="AQ14" s="185">
        <f t="shared" si="9"/>
        <v>0.02</v>
      </c>
      <c r="AR14" s="182">
        <f t="shared" si="30"/>
        <v>1.2004811583046404</v>
      </c>
      <c r="AU14" s="184">
        <f t="shared" ca="1" si="31"/>
        <v>2028</v>
      </c>
      <c r="AV14" s="182">
        <f t="shared" si="10"/>
        <v>0.02</v>
      </c>
      <c r="AW14" s="179">
        <f t="shared" si="11"/>
        <v>5.0000000000000001E-3</v>
      </c>
      <c r="AX14" s="182">
        <f t="shared" si="12"/>
        <v>2.5000000000000001E-2</v>
      </c>
      <c r="AY14" s="186"/>
      <c r="BA14" s="184">
        <f t="shared" ca="1" si="32"/>
        <v>2028</v>
      </c>
      <c r="BB14" s="171">
        <f t="shared" si="13"/>
        <v>629.41</v>
      </c>
      <c r="BC14" s="171">
        <f t="shared" si="1"/>
        <v>827.53612868789446</v>
      </c>
      <c r="BD14" s="171">
        <f t="shared" si="2"/>
        <v>600.80999999999995</v>
      </c>
      <c r="BE14" s="171">
        <f t="shared" si="2"/>
        <v>268.22727125268131</v>
      </c>
      <c r="BF14" s="171">
        <f t="shared" si="3"/>
        <v>268.22727125268131</v>
      </c>
      <c r="BG14" s="171">
        <f t="shared" si="3"/>
        <v>268.22727125268131</v>
      </c>
      <c r="BI14" s="187">
        <f>IF(A14-'Invoer gegevens'!$C$17&lt;0,0,IF(A14-'Invoer gegevens'!$C$17=0,1,IF(A14-'Invoer gegevens'!$C$17&lt;5,2,IF(A14-'Invoer gegevens'!$C$17&lt;15,3,4))))</f>
        <v>0</v>
      </c>
      <c r="BJ14" s="229">
        <f>IF(BI14&lt;1,0,IF(BI14&lt;2,4%,IF(Reeksen!BI14&lt;3,4%,IF(Reeksen!BI14&lt;4,4%*70%,IF(Reeksen!BI14&lt;5,4%*50%)))))</f>
        <v>0</v>
      </c>
      <c r="BK14" s="243"/>
      <c r="BL14" s="243" t="s">
        <v>876</v>
      </c>
      <c r="BM14" s="243" t="s">
        <v>878</v>
      </c>
      <c r="BN14" s="243"/>
      <c r="BO14" s="243"/>
      <c r="BP14" s="243"/>
      <c r="BQ14" s="243"/>
      <c r="BR14" s="243"/>
    </row>
    <row r="15" spans="1:71" x14ac:dyDescent="0.25">
      <c r="A15" s="184">
        <f t="shared" si="15"/>
        <v>10</v>
      </c>
      <c r="B15" s="179">
        <f>Dashboard!$C$25</f>
        <v>0.05</v>
      </c>
      <c r="C15" s="179">
        <f>Dashboard!$C$25</f>
        <v>0.05</v>
      </c>
      <c r="D15" s="179">
        <f>Dashboard!$C$25</f>
        <v>0.05</v>
      </c>
      <c r="E15" s="181"/>
      <c r="F15" s="184">
        <f t="shared" ca="1" si="16"/>
        <v>2029</v>
      </c>
      <c r="G15" s="179">
        <f t="shared" si="35"/>
        <v>0.02</v>
      </c>
      <c r="H15" s="182">
        <f t="shared" si="17"/>
        <v>1.2256805527273884</v>
      </c>
      <c r="I15" s="179">
        <f t="shared" si="35"/>
        <v>2.5000000000000001E-2</v>
      </c>
      <c r="J15" s="182">
        <f t="shared" si="18"/>
        <v>1.2890139915666003</v>
      </c>
      <c r="K15" s="179">
        <f t="shared" si="35"/>
        <v>2.5000000000000001E-2</v>
      </c>
      <c r="L15" s="182">
        <f t="shared" si="19"/>
        <v>1.2890139915666003</v>
      </c>
      <c r="M15" s="181"/>
      <c r="N15" s="184">
        <f t="shared" ca="1" si="20"/>
        <v>2029</v>
      </c>
      <c r="O15" s="179">
        <f t="shared" si="36"/>
        <v>0.02</v>
      </c>
      <c r="P15" s="182">
        <f t="shared" si="21"/>
        <v>1.2244907814707333</v>
      </c>
      <c r="R15" s="184">
        <f t="shared" ca="1" si="22"/>
        <v>2029</v>
      </c>
      <c r="S15" s="188">
        <f t="shared" si="38"/>
        <v>5.3600000000000002E-3</v>
      </c>
      <c r="U15" s="184">
        <f t="shared" ca="1" si="23"/>
        <v>2029</v>
      </c>
      <c r="V15" s="182">
        <f t="shared" si="4"/>
        <v>0.02</v>
      </c>
      <c r="W15" s="180">
        <f>Parameters!$D$12</f>
        <v>5.0000000000000001E-3</v>
      </c>
      <c r="X15" s="182">
        <f t="shared" si="5"/>
        <v>2.5000000000000001E-2</v>
      </c>
      <c r="Y15" s="182">
        <f t="shared" si="24"/>
        <v>1.2902845823054074</v>
      </c>
      <c r="AB15" s="184">
        <f t="shared" ca="1" si="25"/>
        <v>2029</v>
      </c>
      <c r="AC15" s="171">
        <f t="shared" si="6"/>
        <v>645.14229115270371</v>
      </c>
      <c r="AD15" s="171">
        <f t="shared" si="0"/>
        <v>273.59181667773493</v>
      </c>
      <c r="AE15" s="171">
        <f t="shared" si="37"/>
        <v>844.08685126165233</v>
      </c>
      <c r="AF15" s="171">
        <f t="shared" si="26"/>
        <v>273.59181667773493</v>
      </c>
      <c r="AG15" s="171">
        <f t="shared" si="27"/>
        <v>612.83000000000004</v>
      </c>
      <c r="AH15" s="171">
        <f t="shared" si="7"/>
        <v>612.83000000000004</v>
      </c>
      <c r="AI15" s="171">
        <f t="shared" si="8"/>
        <v>273.59181667773493</v>
      </c>
      <c r="AJ15" s="171">
        <f>IF('Invoer gegevens'!$I$27="DAEB",SMALL(AC15:AD15,1),AC15)</f>
        <v>273.59181667773493</v>
      </c>
      <c r="AK15" s="171">
        <f>IF('Invoer gegevens'!$I$27="DAEB",SMALL((AE15:AH15),1),SMALL((AF15:AH15),1))</f>
        <v>273.59181667773493</v>
      </c>
      <c r="AL15" s="171">
        <f t="shared" si="33"/>
        <v>0</v>
      </c>
      <c r="AM15" s="171">
        <f t="shared" si="34"/>
        <v>0</v>
      </c>
      <c r="AN15" s="175">
        <f t="shared" si="28"/>
        <v>38634</v>
      </c>
      <c r="AP15" s="184">
        <f t="shared" ca="1" si="29"/>
        <v>2029</v>
      </c>
      <c r="AQ15" s="185">
        <f t="shared" si="9"/>
        <v>0.02</v>
      </c>
      <c r="AR15" s="182">
        <f t="shared" si="30"/>
        <v>1.2244907814707333</v>
      </c>
      <c r="AU15" s="184">
        <f t="shared" ca="1" si="31"/>
        <v>2029</v>
      </c>
      <c r="AV15" s="182">
        <f t="shared" si="10"/>
        <v>0.02</v>
      </c>
      <c r="AW15" s="179">
        <f t="shared" si="11"/>
        <v>5.0000000000000001E-3</v>
      </c>
      <c r="AX15" s="182">
        <f t="shared" si="12"/>
        <v>2.5000000000000001E-2</v>
      </c>
      <c r="AY15" s="186"/>
      <c r="BA15" s="184">
        <f t="shared" ca="1" si="32"/>
        <v>2029</v>
      </c>
      <c r="BB15" s="171">
        <f t="shared" si="13"/>
        <v>645.15</v>
      </c>
      <c r="BC15" s="171">
        <f t="shared" si="1"/>
        <v>844.08685126165233</v>
      </c>
      <c r="BD15" s="171">
        <f t="shared" si="2"/>
        <v>612.83000000000004</v>
      </c>
      <c r="BE15" s="171">
        <f t="shared" si="2"/>
        <v>273.59181667773493</v>
      </c>
      <c r="BF15" s="171">
        <f t="shared" si="3"/>
        <v>273.59181667773493</v>
      </c>
      <c r="BG15" s="171">
        <f t="shared" si="3"/>
        <v>273.59181667773493</v>
      </c>
      <c r="BI15" s="187">
        <f>IF(A15-'Invoer gegevens'!$C$17&lt;0,0,IF(A15-'Invoer gegevens'!$C$17=0,1,IF(A15-'Invoer gegevens'!$C$17&lt;5,2,IF(A15-'Invoer gegevens'!$C$17&lt;15,3,4))))</f>
        <v>0</v>
      </c>
      <c r="BJ15" s="229">
        <f>IF(BI15&lt;1,0,IF(BI15&lt;2,4%,IF(Reeksen!BI15&lt;3,4%,IF(Reeksen!BI15&lt;4,4%*70%,IF(Reeksen!BI15&lt;5,4%*50%)))))</f>
        <v>0</v>
      </c>
      <c r="BK15" s="243"/>
      <c r="BL15" s="243" t="s">
        <v>877</v>
      </c>
      <c r="BM15" s="243" t="s">
        <v>879</v>
      </c>
      <c r="BN15" s="243"/>
      <c r="BO15" s="243"/>
      <c r="BP15" s="243"/>
      <c r="BQ15" s="243"/>
      <c r="BR15" s="243"/>
    </row>
    <row r="16" spans="1:71" x14ac:dyDescent="0.25">
      <c r="A16" s="184">
        <f t="shared" si="15"/>
        <v>11</v>
      </c>
      <c r="B16" s="179">
        <f>Dashboard!$C$25</f>
        <v>0.05</v>
      </c>
      <c r="C16" s="179">
        <f>Dashboard!$C$25</f>
        <v>0.05</v>
      </c>
      <c r="D16" s="179">
        <f>Dashboard!$C$25</f>
        <v>0.05</v>
      </c>
      <c r="E16" s="181"/>
      <c r="F16" s="184">
        <f t="shared" ca="1" si="16"/>
        <v>2030</v>
      </c>
      <c r="G16" s="179">
        <f t="shared" si="35"/>
        <v>0.02</v>
      </c>
      <c r="H16" s="182">
        <f t="shared" si="17"/>
        <v>1.2501941637819363</v>
      </c>
      <c r="I16" s="179">
        <f t="shared" si="35"/>
        <v>2.5000000000000001E-2</v>
      </c>
      <c r="J16" s="182">
        <f t="shared" si="18"/>
        <v>1.3212393413557653</v>
      </c>
      <c r="K16" s="179">
        <f t="shared" si="35"/>
        <v>2.5000000000000001E-2</v>
      </c>
      <c r="L16" s="182">
        <f t="shared" si="19"/>
        <v>1.3212393413557653</v>
      </c>
      <c r="M16" s="181"/>
      <c r="N16" s="184">
        <f t="shared" ca="1" si="20"/>
        <v>2030</v>
      </c>
      <c r="O16" s="179">
        <f t="shared" si="36"/>
        <v>0.02</v>
      </c>
      <c r="P16" s="182">
        <f t="shared" si="21"/>
        <v>1.248980597100148</v>
      </c>
      <c r="R16" s="184">
        <f t="shared" ca="1" si="22"/>
        <v>2030</v>
      </c>
      <c r="S16" s="188">
        <f t="shared" si="38"/>
        <v>5.3600000000000002E-3</v>
      </c>
      <c r="U16" s="184">
        <f t="shared" ca="1" si="23"/>
        <v>2030</v>
      </c>
      <c r="V16" s="182">
        <f t="shared" si="4"/>
        <v>0.02</v>
      </c>
      <c r="W16" s="180">
        <f>Parameters!$D$12</f>
        <v>5.0000000000000001E-3</v>
      </c>
      <c r="X16" s="182">
        <f t="shared" si="5"/>
        <v>2.5000000000000001E-2</v>
      </c>
      <c r="Y16" s="182">
        <f t="shared" si="24"/>
        <v>1.3225416968630426</v>
      </c>
      <c r="AB16" s="184">
        <f t="shared" ca="1" si="25"/>
        <v>2030</v>
      </c>
      <c r="AC16" s="171">
        <f t="shared" si="6"/>
        <v>661.27084843152124</v>
      </c>
      <c r="AD16" s="171">
        <f t="shared" si="0"/>
        <v>279.06365301128966</v>
      </c>
      <c r="AE16" s="171">
        <f t="shared" si="37"/>
        <v>860.96858828688539</v>
      </c>
      <c r="AF16" s="171">
        <f t="shared" si="26"/>
        <v>279.06365301128966</v>
      </c>
      <c r="AG16" s="171">
        <f t="shared" si="27"/>
        <v>625.09</v>
      </c>
      <c r="AH16" s="171">
        <f t="shared" si="7"/>
        <v>625.09</v>
      </c>
      <c r="AI16" s="171">
        <f t="shared" si="8"/>
        <v>279.06365301128966</v>
      </c>
      <c r="AJ16" s="171">
        <f>IF('Invoer gegevens'!$I$27="DAEB",SMALL(AC16:AD16,1),AC16)</f>
        <v>279.06365301128966</v>
      </c>
      <c r="AK16" s="171">
        <f>IF('Invoer gegevens'!$I$27="DAEB",SMALL((AE16:AH16),1),SMALL((AF16:AH16),1))</f>
        <v>279.06365301128966</v>
      </c>
      <c r="AL16" s="171">
        <f t="shared" si="33"/>
        <v>0</v>
      </c>
      <c r="AM16" s="171">
        <f t="shared" si="34"/>
        <v>0</v>
      </c>
      <c r="AN16" s="175">
        <f t="shared" si="28"/>
        <v>39407</v>
      </c>
      <c r="AP16" s="184">
        <f t="shared" ca="1" si="29"/>
        <v>2030</v>
      </c>
      <c r="AQ16" s="185">
        <f t="shared" si="9"/>
        <v>0.02</v>
      </c>
      <c r="AR16" s="182">
        <f t="shared" si="30"/>
        <v>1.248980597100148</v>
      </c>
      <c r="AU16" s="184">
        <f t="shared" ca="1" si="31"/>
        <v>2030</v>
      </c>
      <c r="AV16" s="182">
        <f t="shared" si="10"/>
        <v>0.02</v>
      </c>
      <c r="AW16" s="179">
        <f t="shared" si="11"/>
        <v>5.0000000000000001E-3</v>
      </c>
      <c r="AX16" s="182">
        <f t="shared" si="12"/>
        <v>2.5000000000000001E-2</v>
      </c>
      <c r="AY16" s="186"/>
      <c r="BA16" s="184">
        <f t="shared" ca="1" si="32"/>
        <v>2030</v>
      </c>
      <c r="BB16" s="171">
        <f t="shared" si="13"/>
        <v>661.28</v>
      </c>
      <c r="BC16" s="171">
        <f t="shared" si="1"/>
        <v>860.96858828688539</v>
      </c>
      <c r="BD16" s="171">
        <f t="shared" si="2"/>
        <v>625.09</v>
      </c>
      <c r="BE16" s="171">
        <f t="shared" si="2"/>
        <v>279.06365301128966</v>
      </c>
      <c r="BF16" s="171">
        <f t="shared" si="3"/>
        <v>279.06365301128966</v>
      </c>
      <c r="BG16" s="171">
        <f t="shared" si="3"/>
        <v>279.06365301128966</v>
      </c>
      <c r="BI16" s="187">
        <f>IF(A16-'Invoer gegevens'!$C$17&lt;0,0,IF(A16-'Invoer gegevens'!$C$17=0,1,IF(A16-'Invoer gegevens'!$C$17&lt;5,2,IF(A16-'Invoer gegevens'!$C$17&lt;15,3,4))))</f>
        <v>0</v>
      </c>
      <c r="BJ16" s="229">
        <f>IF(BI16&lt;1,0,IF(BI16&lt;2,4%,IF(Reeksen!BI16&lt;3,4%,IF(Reeksen!BI16&lt;4,4%*70%,IF(Reeksen!BI16&lt;5,4%*50%)))))</f>
        <v>0</v>
      </c>
      <c r="BK16" s="243"/>
      <c r="BL16" s="243"/>
      <c r="BM16" s="243"/>
      <c r="BN16" s="243"/>
      <c r="BO16" s="243"/>
      <c r="BP16" s="243"/>
      <c r="BQ16" s="243"/>
      <c r="BR16" s="243"/>
    </row>
    <row r="17" spans="1:70" x14ac:dyDescent="0.25">
      <c r="A17" s="184">
        <f t="shared" si="15"/>
        <v>12</v>
      </c>
      <c r="B17" s="179">
        <f>Dashboard!$C$25</f>
        <v>0.05</v>
      </c>
      <c r="C17" s="179">
        <f>Dashboard!$C$25</f>
        <v>0.05</v>
      </c>
      <c r="D17" s="179">
        <f>Dashboard!$C$25</f>
        <v>0.05</v>
      </c>
      <c r="E17" s="181"/>
      <c r="F17" s="184">
        <f t="shared" ca="1" si="16"/>
        <v>2031</v>
      </c>
      <c r="G17" s="179">
        <f t="shared" si="35"/>
        <v>0.02</v>
      </c>
      <c r="H17" s="182">
        <f t="shared" si="17"/>
        <v>1.275198047057575</v>
      </c>
      <c r="I17" s="179">
        <f t="shared" si="35"/>
        <v>2.5000000000000001E-2</v>
      </c>
      <c r="J17" s="182">
        <f t="shared" si="18"/>
        <v>1.3542703248896593</v>
      </c>
      <c r="K17" s="179">
        <f t="shared" si="35"/>
        <v>2.5000000000000001E-2</v>
      </c>
      <c r="L17" s="182">
        <f t="shared" si="19"/>
        <v>1.3542703248896593</v>
      </c>
      <c r="M17" s="181"/>
      <c r="N17" s="184">
        <f t="shared" ca="1" si="20"/>
        <v>2031</v>
      </c>
      <c r="O17" s="179">
        <f t="shared" si="36"/>
        <v>0.02</v>
      </c>
      <c r="P17" s="182">
        <f t="shared" si="21"/>
        <v>1.2739602090421509</v>
      </c>
      <c r="R17" s="184">
        <f t="shared" ca="1" si="22"/>
        <v>2031</v>
      </c>
      <c r="S17" s="188">
        <f t="shared" si="38"/>
        <v>5.3600000000000002E-3</v>
      </c>
      <c r="U17" s="184">
        <f t="shared" ca="1" si="23"/>
        <v>2031</v>
      </c>
      <c r="V17" s="182">
        <f t="shared" si="4"/>
        <v>0.02</v>
      </c>
      <c r="W17" s="180">
        <f>Parameters!$D$12</f>
        <v>5.0000000000000001E-3</v>
      </c>
      <c r="X17" s="182">
        <f t="shared" si="5"/>
        <v>2.5000000000000001E-2</v>
      </c>
      <c r="Y17" s="182">
        <f t="shared" si="24"/>
        <v>1.3556052392846185</v>
      </c>
      <c r="AB17" s="184">
        <f t="shared" ca="1" si="25"/>
        <v>2031</v>
      </c>
      <c r="AC17" s="171">
        <f t="shared" si="6"/>
        <v>677.80261964230931</v>
      </c>
      <c r="AD17" s="171">
        <f t="shared" si="0"/>
        <v>284.64492607151544</v>
      </c>
      <c r="AE17" s="171">
        <f t="shared" si="37"/>
        <v>878.18796005262311</v>
      </c>
      <c r="AF17" s="171">
        <f t="shared" si="26"/>
        <v>284.64492607151544</v>
      </c>
      <c r="AG17" s="171">
        <f t="shared" si="27"/>
        <v>637.59</v>
      </c>
      <c r="AH17" s="171">
        <f t="shared" si="7"/>
        <v>637.59</v>
      </c>
      <c r="AI17" s="171">
        <f t="shared" si="8"/>
        <v>284.64492607151544</v>
      </c>
      <c r="AJ17" s="171">
        <f>IF('Invoer gegevens'!$I$27="DAEB",SMALL(AC17:AD17,1),AC17)</f>
        <v>284.64492607151544</v>
      </c>
      <c r="AK17" s="171">
        <f>IF('Invoer gegevens'!$I$27="DAEB",SMALL((AE17:AH17),1),SMALL((AF17:AH17),1))</f>
        <v>284.64492607151544</v>
      </c>
      <c r="AL17" s="171">
        <f t="shared" si="33"/>
        <v>0</v>
      </c>
      <c r="AM17" s="171">
        <f t="shared" si="34"/>
        <v>0</v>
      </c>
      <c r="AN17" s="175">
        <f t="shared" si="28"/>
        <v>40195</v>
      </c>
      <c r="AP17" s="184">
        <f t="shared" ca="1" si="29"/>
        <v>2031</v>
      </c>
      <c r="AQ17" s="185">
        <f t="shared" si="9"/>
        <v>0.02</v>
      </c>
      <c r="AR17" s="182">
        <f t="shared" si="30"/>
        <v>1.2739602090421509</v>
      </c>
      <c r="AU17" s="184">
        <f t="shared" ca="1" si="31"/>
        <v>2031</v>
      </c>
      <c r="AV17" s="182">
        <f t="shared" si="10"/>
        <v>0.02</v>
      </c>
      <c r="AW17" s="179">
        <f t="shared" si="11"/>
        <v>5.0000000000000001E-3</v>
      </c>
      <c r="AX17" s="182">
        <f t="shared" si="12"/>
        <v>2.5000000000000001E-2</v>
      </c>
      <c r="AY17" s="186"/>
      <c r="BA17" s="184">
        <f t="shared" ca="1" si="32"/>
        <v>2031</v>
      </c>
      <c r="BB17" s="171">
        <f t="shared" si="13"/>
        <v>677.81</v>
      </c>
      <c r="BC17" s="171">
        <f t="shared" si="1"/>
        <v>878.18796005262311</v>
      </c>
      <c r="BD17" s="171">
        <f t="shared" si="2"/>
        <v>637.59</v>
      </c>
      <c r="BE17" s="171">
        <f t="shared" si="2"/>
        <v>284.64492607151544</v>
      </c>
      <c r="BF17" s="171">
        <f t="shared" si="3"/>
        <v>284.64492607151544</v>
      </c>
      <c r="BG17" s="171">
        <f t="shared" si="3"/>
        <v>284.64492607151544</v>
      </c>
      <c r="BI17" s="187">
        <f>IF(A17-'Invoer gegevens'!$C$17&lt;0,0,IF(A17-'Invoer gegevens'!$C$17=0,1,IF(A17-'Invoer gegevens'!$C$17&lt;5,2,IF(A17-'Invoer gegevens'!$C$17&lt;15,3,4))))</f>
        <v>0</v>
      </c>
      <c r="BJ17" s="229">
        <f>IF(BI17&lt;1,0,IF(BI17&lt;2,4%,IF(Reeksen!BI17&lt;3,4%,IF(Reeksen!BI17&lt;4,4%*70%,IF(Reeksen!BI17&lt;5,4%*50%)))))</f>
        <v>0</v>
      </c>
      <c r="BK17" s="243"/>
      <c r="BL17" s="243"/>
      <c r="BM17" s="243"/>
      <c r="BN17" s="243"/>
      <c r="BO17" s="243"/>
      <c r="BP17" s="243"/>
      <c r="BQ17" s="243"/>
      <c r="BR17" s="243"/>
    </row>
    <row r="18" spans="1:70" x14ac:dyDescent="0.25">
      <c r="A18" s="184">
        <f t="shared" si="15"/>
        <v>13</v>
      </c>
      <c r="B18" s="179">
        <f>Dashboard!$C$25</f>
        <v>0.05</v>
      </c>
      <c r="C18" s="179">
        <f>Dashboard!$C$25</f>
        <v>0.05</v>
      </c>
      <c r="D18" s="179">
        <f>Dashboard!$C$25</f>
        <v>0.05</v>
      </c>
      <c r="E18" s="181"/>
      <c r="F18" s="184">
        <f t="shared" ca="1" si="16"/>
        <v>2032</v>
      </c>
      <c r="G18" s="179">
        <f t="shared" si="35"/>
        <v>0.02</v>
      </c>
      <c r="H18" s="182">
        <f t="shared" si="17"/>
        <v>1.3007020079987266</v>
      </c>
      <c r="I18" s="179">
        <f t="shared" si="35"/>
        <v>2.5000000000000001E-2</v>
      </c>
      <c r="J18" s="182">
        <f t="shared" si="18"/>
        <v>1.3881270830119006</v>
      </c>
      <c r="K18" s="179">
        <f t="shared" si="35"/>
        <v>2.5000000000000001E-2</v>
      </c>
      <c r="L18" s="182">
        <f t="shared" si="19"/>
        <v>1.3881270830119006</v>
      </c>
      <c r="M18" s="181"/>
      <c r="N18" s="184">
        <f t="shared" ca="1" si="20"/>
        <v>2032</v>
      </c>
      <c r="O18" s="179">
        <f t="shared" si="36"/>
        <v>0.02</v>
      </c>
      <c r="P18" s="182">
        <f t="shared" si="21"/>
        <v>1.2994394132229941</v>
      </c>
      <c r="R18" s="184">
        <f t="shared" ca="1" si="22"/>
        <v>2032</v>
      </c>
      <c r="S18" s="188">
        <f t="shared" si="38"/>
        <v>5.3600000000000002E-3</v>
      </c>
      <c r="U18" s="184">
        <f t="shared" ca="1" si="23"/>
        <v>2032</v>
      </c>
      <c r="V18" s="182">
        <f t="shared" si="4"/>
        <v>0.02</v>
      </c>
      <c r="W18" s="180">
        <f>Parameters!$D$12</f>
        <v>5.0000000000000001E-3</v>
      </c>
      <c r="X18" s="182">
        <f t="shared" si="5"/>
        <v>2.5000000000000001E-2</v>
      </c>
      <c r="Y18" s="182">
        <f t="shared" si="24"/>
        <v>1.3894953702667339</v>
      </c>
      <c r="AB18" s="184">
        <f t="shared" ca="1" si="25"/>
        <v>2032</v>
      </c>
      <c r="AC18" s="171">
        <f t="shared" si="6"/>
        <v>694.74768513336699</v>
      </c>
      <c r="AD18" s="171">
        <f t="shared" si="0"/>
        <v>290.33782459294582</v>
      </c>
      <c r="AE18" s="171">
        <f t="shared" si="37"/>
        <v>895.75171925367556</v>
      </c>
      <c r="AF18" s="171">
        <f t="shared" si="26"/>
        <v>290.33782459294582</v>
      </c>
      <c r="AG18" s="171">
        <f t="shared" si="27"/>
        <v>650.34</v>
      </c>
      <c r="AH18" s="171">
        <f t="shared" si="7"/>
        <v>650.34</v>
      </c>
      <c r="AI18" s="171">
        <f t="shared" si="8"/>
        <v>290.33782459294582</v>
      </c>
      <c r="AJ18" s="171">
        <f>IF('Invoer gegevens'!$I$27="DAEB",SMALL(AC18:AD18,1),AC18)</f>
        <v>290.33782459294582</v>
      </c>
      <c r="AK18" s="171">
        <f>IF('Invoer gegevens'!$I$27="DAEB",SMALL((AE18:AH18),1),SMALL((AF18:AH18),1))</f>
        <v>290.33782459294582</v>
      </c>
      <c r="AL18" s="171">
        <f t="shared" si="33"/>
        <v>0</v>
      </c>
      <c r="AM18" s="171">
        <f t="shared" si="34"/>
        <v>0</v>
      </c>
      <c r="AN18" s="175">
        <f t="shared" si="28"/>
        <v>40999</v>
      </c>
      <c r="AP18" s="184">
        <f t="shared" ca="1" si="29"/>
        <v>2032</v>
      </c>
      <c r="AQ18" s="185">
        <f t="shared" si="9"/>
        <v>0.02</v>
      </c>
      <c r="AR18" s="182">
        <f t="shared" si="30"/>
        <v>1.2994394132229941</v>
      </c>
      <c r="AU18" s="184">
        <f t="shared" ca="1" si="31"/>
        <v>2032</v>
      </c>
      <c r="AV18" s="182">
        <f t="shared" si="10"/>
        <v>0.02</v>
      </c>
      <c r="AW18" s="179">
        <f t="shared" si="11"/>
        <v>5.0000000000000001E-3</v>
      </c>
      <c r="AX18" s="182">
        <f t="shared" si="12"/>
        <v>2.5000000000000001E-2</v>
      </c>
      <c r="AY18" s="186"/>
      <c r="BA18" s="184">
        <f t="shared" ca="1" si="32"/>
        <v>2032</v>
      </c>
      <c r="BB18" s="171">
        <f t="shared" si="13"/>
        <v>694.76</v>
      </c>
      <c r="BC18" s="171">
        <f t="shared" si="1"/>
        <v>895.75171925367556</v>
      </c>
      <c r="BD18" s="171">
        <f t="shared" si="2"/>
        <v>650.34</v>
      </c>
      <c r="BE18" s="171">
        <f t="shared" si="2"/>
        <v>290.33782459294582</v>
      </c>
      <c r="BF18" s="171">
        <f t="shared" si="3"/>
        <v>290.33782459294582</v>
      </c>
      <c r="BG18" s="171">
        <f t="shared" si="3"/>
        <v>290.33782459294582</v>
      </c>
      <c r="BI18" s="187">
        <f>IF(A18-'Invoer gegevens'!$C$17&lt;0,0,IF(A18-'Invoer gegevens'!$C$17=0,1,IF(A18-'Invoer gegevens'!$C$17&lt;5,2,IF(A18-'Invoer gegevens'!$C$17&lt;15,3,4))))</f>
        <v>0</v>
      </c>
      <c r="BJ18" s="229">
        <f>IF(BI18&lt;1,0,IF(BI18&lt;2,4%,IF(Reeksen!BI18&lt;3,4%,IF(Reeksen!BI18&lt;4,4%*70%,IF(Reeksen!BI18&lt;5,4%*50%)))))</f>
        <v>0</v>
      </c>
      <c r="BK18" s="243"/>
      <c r="BL18" s="243"/>
      <c r="BM18" s="243"/>
      <c r="BN18" s="243"/>
      <c r="BO18" s="243"/>
      <c r="BP18" s="243"/>
      <c r="BQ18" s="243"/>
      <c r="BR18" s="243"/>
    </row>
    <row r="19" spans="1:70" x14ac:dyDescent="0.25">
      <c r="A19" s="184">
        <f t="shared" si="15"/>
        <v>14</v>
      </c>
      <c r="B19" s="179">
        <f>Dashboard!$C$25</f>
        <v>0.05</v>
      </c>
      <c r="C19" s="179">
        <f>Dashboard!$C$25</f>
        <v>0.05</v>
      </c>
      <c r="D19" s="179">
        <f>Dashboard!$C$25</f>
        <v>0.05</v>
      </c>
      <c r="E19" s="181"/>
      <c r="F19" s="184">
        <f t="shared" ca="1" si="16"/>
        <v>2033</v>
      </c>
      <c r="G19" s="179">
        <f t="shared" si="35"/>
        <v>0.02</v>
      </c>
      <c r="H19" s="182">
        <f t="shared" si="17"/>
        <v>1.3267160481587013</v>
      </c>
      <c r="I19" s="179">
        <f t="shared" si="35"/>
        <v>2.5000000000000001E-2</v>
      </c>
      <c r="J19" s="182">
        <f t="shared" si="18"/>
        <v>1.422830260087198</v>
      </c>
      <c r="K19" s="179">
        <f t="shared" si="35"/>
        <v>2.5000000000000001E-2</v>
      </c>
      <c r="L19" s="182">
        <f t="shared" si="19"/>
        <v>1.422830260087198</v>
      </c>
      <c r="M19" s="181"/>
      <c r="N19" s="184">
        <f t="shared" ca="1" si="20"/>
        <v>2033</v>
      </c>
      <c r="O19" s="179">
        <f t="shared" si="36"/>
        <v>0.02</v>
      </c>
      <c r="P19" s="182">
        <f t="shared" si="21"/>
        <v>1.3254282014874539</v>
      </c>
      <c r="R19" s="184">
        <f t="shared" ca="1" si="22"/>
        <v>2033</v>
      </c>
      <c r="S19" s="188">
        <f t="shared" si="38"/>
        <v>5.3600000000000002E-3</v>
      </c>
      <c r="U19" s="184">
        <f t="shared" ca="1" si="23"/>
        <v>2033</v>
      </c>
      <c r="V19" s="182">
        <f t="shared" si="4"/>
        <v>0.02</v>
      </c>
      <c r="W19" s="180">
        <f>Parameters!$D$12</f>
        <v>5.0000000000000001E-3</v>
      </c>
      <c r="X19" s="182">
        <f t="shared" si="5"/>
        <v>2.5000000000000001E-2</v>
      </c>
      <c r="Y19" s="182">
        <f t="shared" si="24"/>
        <v>1.4242327545234021</v>
      </c>
      <c r="AB19" s="184">
        <f t="shared" ca="1" si="25"/>
        <v>2033</v>
      </c>
      <c r="AC19" s="171">
        <f t="shared" si="6"/>
        <v>712.11637726170102</v>
      </c>
      <c r="AD19" s="171">
        <f t="shared" si="0"/>
        <v>296.14458108480471</v>
      </c>
      <c r="AE19" s="171">
        <f t="shared" si="37"/>
        <v>913.66675363874913</v>
      </c>
      <c r="AF19" s="171">
        <f t="shared" si="26"/>
        <v>296.14458108480471</v>
      </c>
      <c r="AG19" s="171">
        <f t="shared" si="27"/>
        <v>663.35</v>
      </c>
      <c r="AH19" s="171">
        <f t="shared" si="7"/>
        <v>663.35</v>
      </c>
      <c r="AI19" s="171">
        <f t="shared" si="8"/>
        <v>296.14458108480471</v>
      </c>
      <c r="AJ19" s="171">
        <f>IF('Invoer gegevens'!$I$27="DAEB",SMALL(AC19:AD19,1),AC19)</f>
        <v>296.14458108480471</v>
      </c>
      <c r="AK19" s="171">
        <f>IF('Invoer gegevens'!$I$27="DAEB",SMALL((AE19:AH19),1),SMALL((AF19:AH19),1))</f>
        <v>296.14458108480471</v>
      </c>
      <c r="AL19" s="171">
        <f t="shared" si="33"/>
        <v>0</v>
      </c>
      <c r="AM19" s="171">
        <f t="shared" si="34"/>
        <v>0</v>
      </c>
      <c r="AN19" s="175">
        <f>ROUND($AN18*(1+O19)^1,0)</f>
        <v>41819</v>
      </c>
      <c r="AP19" s="184">
        <f t="shared" ca="1" si="29"/>
        <v>2033</v>
      </c>
      <c r="AQ19" s="185">
        <f t="shared" si="9"/>
        <v>0.02</v>
      </c>
      <c r="AR19" s="182">
        <f t="shared" si="30"/>
        <v>1.3254282014874539</v>
      </c>
      <c r="AU19" s="184">
        <f t="shared" ca="1" si="31"/>
        <v>2033</v>
      </c>
      <c r="AV19" s="182">
        <f t="shared" si="10"/>
        <v>0.02</v>
      </c>
      <c r="AW19" s="179">
        <f t="shared" si="11"/>
        <v>5.0000000000000001E-3</v>
      </c>
      <c r="AX19" s="182">
        <f t="shared" si="12"/>
        <v>2.5000000000000001E-2</v>
      </c>
      <c r="AY19" s="186"/>
      <c r="BA19" s="184">
        <f t="shared" ca="1" si="32"/>
        <v>2033</v>
      </c>
      <c r="BB19" s="171">
        <f t="shared" si="13"/>
        <v>712.13</v>
      </c>
      <c r="BC19" s="171">
        <f t="shared" si="1"/>
        <v>913.66675363874913</v>
      </c>
      <c r="BD19" s="171">
        <f t="shared" si="2"/>
        <v>663.35</v>
      </c>
      <c r="BE19" s="171">
        <f t="shared" si="2"/>
        <v>296.14458108480471</v>
      </c>
      <c r="BF19" s="171">
        <f t="shared" si="3"/>
        <v>296.14458108480471</v>
      </c>
      <c r="BG19" s="171">
        <f t="shared" si="3"/>
        <v>296.14458108480471</v>
      </c>
      <c r="BI19" s="187">
        <f>IF(A19-'Invoer gegevens'!$C$17&lt;0,0,IF(A19-'Invoer gegevens'!$C$17=0,1,IF(A19-'Invoer gegevens'!$C$17&lt;5,2,IF(A19-'Invoer gegevens'!$C$17&lt;15,3,4))))</f>
        <v>0</v>
      </c>
      <c r="BJ19" s="229">
        <f>IF(BI19&lt;1,0,IF(BI19&lt;2,4%,IF(Reeksen!BI19&lt;3,4%,IF(Reeksen!BI19&lt;4,4%*70%,IF(Reeksen!BI19&lt;5,4%*50%)))))</f>
        <v>0</v>
      </c>
      <c r="BK19" s="243"/>
      <c r="BL19" s="243"/>
      <c r="BM19" s="243"/>
      <c r="BN19" s="243"/>
      <c r="BO19" s="243"/>
      <c r="BP19" s="243"/>
      <c r="BQ19" s="243"/>
      <c r="BR19" s="243"/>
    </row>
    <row r="20" spans="1:70" x14ac:dyDescent="0.25">
      <c r="A20" s="184">
        <f t="shared" si="15"/>
        <v>15</v>
      </c>
      <c r="B20" s="179">
        <f>Dashboard!$C$25</f>
        <v>0.05</v>
      </c>
      <c r="C20" s="179">
        <f>Dashboard!$C$25</f>
        <v>0.05</v>
      </c>
      <c r="D20" s="179">
        <f>Dashboard!$C$25</f>
        <v>0.05</v>
      </c>
      <c r="F20" s="184">
        <f t="shared" ca="1" si="16"/>
        <v>2034</v>
      </c>
      <c r="G20" s="179">
        <f t="shared" si="35"/>
        <v>0.02</v>
      </c>
      <c r="H20" s="182">
        <f t="shared" si="17"/>
        <v>1.3532503691218754</v>
      </c>
      <c r="I20" s="179">
        <f t="shared" si="35"/>
        <v>2.5000000000000001E-2</v>
      </c>
      <c r="J20" s="182">
        <f t="shared" si="18"/>
        <v>1.4584010165893779</v>
      </c>
      <c r="K20" s="179">
        <f t="shared" si="35"/>
        <v>2.5000000000000001E-2</v>
      </c>
      <c r="L20" s="182">
        <f t="shared" si="19"/>
        <v>1.4584010165893779</v>
      </c>
      <c r="N20" s="184">
        <f t="shared" ca="1" si="20"/>
        <v>2034</v>
      </c>
      <c r="O20" s="179">
        <f t="shared" si="36"/>
        <v>0.02</v>
      </c>
      <c r="P20" s="182">
        <f t="shared" si="21"/>
        <v>1.351936765517203</v>
      </c>
      <c r="R20" s="184">
        <f t="shared" ca="1" si="22"/>
        <v>2034</v>
      </c>
      <c r="S20" s="188">
        <f t="shared" si="38"/>
        <v>5.3600000000000002E-3</v>
      </c>
      <c r="U20" s="184">
        <f t="shared" ca="1" si="23"/>
        <v>2034</v>
      </c>
      <c r="V20" s="182">
        <f t="shared" si="4"/>
        <v>0.02</v>
      </c>
      <c r="W20" s="180">
        <f>Parameters!$D$12</f>
        <v>5.0000000000000001E-3</v>
      </c>
      <c r="X20" s="182">
        <f t="shared" si="5"/>
        <v>2.5000000000000001E-2</v>
      </c>
      <c r="Y20" s="182">
        <f t="shared" si="24"/>
        <v>1.4598385733864871</v>
      </c>
      <c r="AB20" s="184">
        <f t="shared" ca="1" si="25"/>
        <v>2034</v>
      </c>
      <c r="AC20" s="171">
        <f t="shared" si="6"/>
        <v>729.91928669324352</v>
      </c>
      <c r="AD20" s="171">
        <f t="shared" si="0"/>
        <v>302.06747270650084</v>
      </c>
      <c r="AE20" s="171">
        <f t="shared" si="37"/>
        <v>931.94008871152414</v>
      </c>
      <c r="AF20" s="171">
        <f t="shared" si="26"/>
        <v>302.06747270650084</v>
      </c>
      <c r="AG20" s="171">
        <f t="shared" si="27"/>
        <v>676.62</v>
      </c>
      <c r="AH20" s="171">
        <f t="shared" si="7"/>
        <v>676.62</v>
      </c>
      <c r="AI20" s="171">
        <f t="shared" si="8"/>
        <v>302.06747270650084</v>
      </c>
      <c r="AJ20" s="171">
        <f>IF('Invoer gegevens'!$I$27="DAEB",SMALL(AC20:AD20,1),AC20)</f>
        <v>302.06747270650084</v>
      </c>
      <c r="AK20" s="171">
        <f>IF('Invoer gegevens'!$I$27="DAEB",SMALL((AE20:AH20),1),SMALL((AF20:AH20),1))</f>
        <v>302.06747270650084</v>
      </c>
      <c r="AL20" s="171">
        <f t="shared" si="33"/>
        <v>0</v>
      </c>
      <c r="AM20" s="171">
        <f t="shared" si="34"/>
        <v>0</v>
      </c>
      <c r="AN20" s="175">
        <f t="shared" si="28"/>
        <v>42655</v>
      </c>
      <c r="AP20" s="184">
        <f t="shared" ca="1" si="29"/>
        <v>2034</v>
      </c>
      <c r="AQ20" s="185">
        <f t="shared" si="9"/>
        <v>0.02</v>
      </c>
      <c r="AR20" s="182">
        <f t="shared" si="30"/>
        <v>1.351936765517203</v>
      </c>
      <c r="AU20" s="184">
        <f t="shared" ca="1" si="31"/>
        <v>2034</v>
      </c>
      <c r="AV20" s="182">
        <f t="shared" si="10"/>
        <v>0.02</v>
      </c>
      <c r="AW20" s="179">
        <f t="shared" si="11"/>
        <v>5.0000000000000001E-3</v>
      </c>
      <c r="AX20" s="182">
        <f t="shared" si="12"/>
        <v>2.5000000000000001E-2</v>
      </c>
      <c r="AY20" s="186"/>
      <c r="BA20" s="184">
        <f t="shared" ca="1" si="32"/>
        <v>2034</v>
      </c>
      <c r="BB20" s="171">
        <f t="shared" si="13"/>
        <v>729.93</v>
      </c>
      <c r="BC20" s="171">
        <f t="shared" si="1"/>
        <v>931.94008871152414</v>
      </c>
      <c r="BD20" s="171">
        <f t="shared" si="2"/>
        <v>676.62</v>
      </c>
      <c r="BE20" s="171">
        <f t="shared" si="2"/>
        <v>302.06747270650084</v>
      </c>
      <c r="BF20" s="171">
        <f t="shared" si="3"/>
        <v>302.06747270650084</v>
      </c>
      <c r="BG20" s="171">
        <f t="shared" si="3"/>
        <v>302.06747270650084</v>
      </c>
      <c r="BI20" s="187">
        <f>IF(A20-'Invoer gegevens'!$C$17&lt;0,0,IF(A20-'Invoer gegevens'!$C$17=0,1,IF(A20-'Invoer gegevens'!$C$17&lt;5,2,IF(A20-'Invoer gegevens'!$C$17&lt;15,3,4))))</f>
        <v>0</v>
      </c>
      <c r="BJ20" s="229">
        <f>IF(BI20&lt;1,0,IF(BI20&lt;2,4%,IF(Reeksen!BI20&lt;3,4%,IF(Reeksen!BI20&lt;4,4%*70%,IF(Reeksen!BI20&lt;5,4%*50%)))))</f>
        <v>0</v>
      </c>
      <c r="BK20" s="243"/>
      <c r="BL20" s="243"/>
      <c r="BM20" s="243"/>
      <c r="BN20" s="243"/>
      <c r="BO20" s="243"/>
      <c r="BP20" s="243"/>
      <c r="BQ20" s="243"/>
      <c r="BR20" s="243"/>
    </row>
    <row r="21" spans="1:70" x14ac:dyDescent="0.25">
      <c r="A21" s="184">
        <f t="shared" si="15"/>
        <v>16</v>
      </c>
      <c r="B21" s="179">
        <f>Dashboard!$C$25</f>
        <v>0.05</v>
      </c>
      <c r="C21" s="179">
        <f>Dashboard!$C$25</f>
        <v>0.05</v>
      </c>
      <c r="D21" s="179">
        <f>Dashboard!$C$25</f>
        <v>0.05</v>
      </c>
      <c r="F21" s="184">
        <f t="shared" ca="1" si="16"/>
        <v>2035</v>
      </c>
      <c r="G21" s="179">
        <f t="shared" si="35"/>
        <v>0.02</v>
      </c>
      <c r="H21" s="182">
        <f t="shared" si="17"/>
        <v>1.3803153765043128</v>
      </c>
      <c r="I21" s="179">
        <f t="shared" si="35"/>
        <v>2.5000000000000001E-2</v>
      </c>
      <c r="J21" s="182">
        <f t="shared" si="18"/>
        <v>1.4948610420041122</v>
      </c>
      <c r="K21" s="179">
        <f t="shared" si="35"/>
        <v>2.5000000000000001E-2</v>
      </c>
      <c r="L21" s="182">
        <f t="shared" si="19"/>
        <v>1.4948610420041122</v>
      </c>
      <c r="N21" s="184">
        <f t="shared" ca="1" si="20"/>
        <v>2035</v>
      </c>
      <c r="O21" s="179">
        <f t="shared" si="36"/>
        <v>0.02</v>
      </c>
      <c r="P21" s="182">
        <f t="shared" si="21"/>
        <v>1.3789755008275471</v>
      </c>
      <c r="R21" s="184">
        <f t="shared" ca="1" si="22"/>
        <v>2035</v>
      </c>
      <c r="S21" s="188">
        <f t="shared" si="38"/>
        <v>5.3600000000000002E-3</v>
      </c>
      <c r="U21" s="184">
        <f t="shared" ca="1" si="23"/>
        <v>2035</v>
      </c>
      <c r="V21" s="182">
        <f t="shared" si="4"/>
        <v>0.02</v>
      </c>
      <c r="W21" s="180">
        <f>Parameters!$D$12</f>
        <v>5.0000000000000001E-3</v>
      </c>
      <c r="X21" s="182">
        <f t="shared" si="5"/>
        <v>2.5000000000000001E-2</v>
      </c>
      <c r="Y21" s="182">
        <f t="shared" si="24"/>
        <v>1.4963345377211492</v>
      </c>
      <c r="AB21" s="184">
        <f t="shared" ca="1" si="25"/>
        <v>2035</v>
      </c>
      <c r="AC21" s="171">
        <f t="shared" si="6"/>
        <v>748.16726886057461</v>
      </c>
      <c r="AD21" s="171">
        <f t="shared" si="0"/>
        <v>308.10882216063084</v>
      </c>
      <c r="AE21" s="171">
        <f t="shared" si="37"/>
        <v>950.57889048575464</v>
      </c>
      <c r="AF21" s="171">
        <f t="shared" si="26"/>
        <v>308.10882216063084</v>
      </c>
      <c r="AG21" s="171">
        <f t="shared" si="27"/>
        <v>690.15</v>
      </c>
      <c r="AH21" s="171">
        <f t="shared" si="7"/>
        <v>690.15</v>
      </c>
      <c r="AI21" s="171">
        <f t="shared" si="8"/>
        <v>308.10882216063084</v>
      </c>
      <c r="AJ21" s="171">
        <f>IF('Invoer gegevens'!$I$27="DAEB",SMALL(AC21:AD21,1),AC21)</f>
        <v>308.10882216063084</v>
      </c>
      <c r="AK21" s="171">
        <f>IF('Invoer gegevens'!$I$27="DAEB",SMALL((AE21:AH21),1),SMALL((AF21:AH21),1))</f>
        <v>308.10882216063084</v>
      </c>
      <c r="AL21" s="171">
        <f t="shared" si="33"/>
        <v>0</v>
      </c>
      <c r="AM21" s="171">
        <f t="shared" si="34"/>
        <v>0</v>
      </c>
      <c r="AN21" s="175">
        <f t="shared" si="28"/>
        <v>43508</v>
      </c>
      <c r="AP21" s="184">
        <f t="shared" ca="1" si="29"/>
        <v>2035</v>
      </c>
      <c r="AQ21" s="185">
        <f t="shared" si="9"/>
        <v>0.02</v>
      </c>
      <c r="AR21" s="182">
        <f t="shared" si="30"/>
        <v>1.3789755008275471</v>
      </c>
      <c r="AU21" s="184">
        <f t="shared" ca="1" si="31"/>
        <v>2035</v>
      </c>
      <c r="AV21" s="182">
        <f t="shared" si="10"/>
        <v>0.02</v>
      </c>
      <c r="AW21" s="179">
        <f t="shared" si="11"/>
        <v>5.0000000000000001E-3</v>
      </c>
      <c r="AX21" s="182">
        <f t="shared" si="12"/>
        <v>2.5000000000000001E-2</v>
      </c>
      <c r="AY21" s="186"/>
      <c r="BA21" s="184">
        <f t="shared" ca="1" si="32"/>
        <v>2035</v>
      </c>
      <c r="BB21" s="171">
        <f t="shared" si="13"/>
        <v>748.18</v>
      </c>
      <c r="BC21" s="171">
        <f t="shared" si="1"/>
        <v>950.57889048575464</v>
      </c>
      <c r="BD21" s="171">
        <f t="shared" si="2"/>
        <v>690.15</v>
      </c>
      <c r="BE21" s="171">
        <f t="shared" si="2"/>
        <v>308.10882216063084</v>
      </c>
      <c r="BF21" s="171">
        <f t="shared" si="2"/>
        <v>308.10882216063084</v>
      </c>
      <c r="BG21" s="171">
        <f t="shared" si="2"/>
        <v>308.10882216063084</v>
      </c>
      <c r="BI21" s="187">
        <f>IF(A21-'Invoer gegevens'!$C$17&lt;0,0,IF(A21-'Invoer gegevens'!$C$17=0,1,IF(A21-'Invoer gegevens'!$C$17&lt;5,2,IF(A21-'Invoer gegevens'!$C$17&lt;15,3,4))))</f>
        <v>0</v>
      </c>
      <c r="BJ21" s="229">
        <f>IF(BI21&lt;1,0,IF(BI21&lt;2,4%,IF(Reeksen!BI21&lt;3,4%,IF(Reeksen!BI21&lt;4,4%*70%,IF(Reeksen!BI21&lt;5,4%*50%)))))</f>
        <v>0</v>
      </c>
      <c r="BK21" s="243"/>
      <c r="BL21" s="243"/>
      <c r="BM21" s="243"/>
      <c r="BN21" s="243"/>
      <c r="BO21" s="243"/>
      <c r="BP21" s="243"/>
      <c r="BQ21" s="243"/>
      <c r="BR21" s="243"/>
    </row>
    <row r="22" spans="1:70" x14ac:dyDescent="0.25">
      <c r="A22" s="184">
        <f t="shared" si="15"/>
        <v>17</v>
      </c>
      <c r="B22" s="179">
        <f>Dashboard!$C$25</f>
        <v>0.05</v>
      </c>
      <c r="C22" s="179">
        <f>Dashboard!$C$25</f>
        <v>0.05</v>
      </c>
      <c r="D22" s="179">
        <f>Dashboard!$C$25</f>
        <v>0.05</v>
      </c>
      <c r="F22" s="184">
        <f t="shared" ca="1" si="16"/>
        <v>2036</v>
      </c>
      <c r="G22" s="179">
        <f t="shared" si="35"/>
        <v>0.02</v>
      </c>
      <c r="H22" s="182">
        <f t="shared" si="17"/>
        <v>1.4079216840343991</v>
      </c>
      <c r="I22" s="179">
        <f t="shared" si="35"/>
        <v>2.5000000000000001E-2</v>
      </c>
      <c r="J22" s="182">
        <f t="shared" si="18"/>
        <v>1.5322325680542148</v>
      </c>
      <c r="K22" s="179">
        <f t="shared" si="35"/>
        <v>2.5000000000000001E-2</v>
      </c>
      <c r="L22" s="182">
        <f t="shared" si="19"/>
        <v>1.5322325680542148</v>
      </c>
      <c r="N22" s="184">
        <f t="shared" ca="1" si="20"/>
        <v>2036</v>
      </c>
      <c r="O22" s="179">
        <f t="shared" si="36"/>
        <v>0.02</v>
      </c>
      <c r="P22" s="182">
        <f t="shared" si="21"/>
        <v>1.4065550108440981</v>
      </c>
      <c r="R22" s="184">
        <f t="shared" ca="1" si="22"/>
        <v>2036</v>
      </c>
      <c r="S22" s="188">
        <f t="shared" si="38"/>
        <v>5.3600000000000002E-3</v>
      </c>
      <c r="U22" s="184">
        <f t="shared" ca="1" si="23"/>
        <v>2036</v>
      </c>
      <c r="V22" s="182">
        <f t="shared" si="4"/>
        <v>0.02</v>
      </c>
      <c r="W22" s="180">
        <f>Parameters!$D$12</f>
        <v>5.0000000000000001E-3</v>
      </c>
      <c r="X22" s="182">
        <f t="shared" si="5"/>
        <v>2.5000000000000001E-2</v>
      </c>
      <c r="Y22" s="182">
        <f t="shared" si="24"/>
        <v>1.5337429011641779</v>
      </c>
      <c r="AB22" s="184">
        <f t="shared" ca="1" si="25"/>
        <v>2036</v>
      </c>
      <c r="AC22" s="171">
        <f t="shared" si="6"/>
        <v>766.87145058208898</v>
      </c>
      <c r="AD22" s="171">
        <f t="shared" si="0"/>
        <v>314.27099860384351</v>
      </c>
      <c r="AE22" s="171">
        <f t="shared" si="37"/>
        <v>969.5904682954698</v>
      </c>
      <c r="AF22" s="171">
        <f t="shared" si="26"/>
        <v>314.27099860384351</v>
      </c>
      <c r="AG22" s="171">
        <f t="shared" si="27"/>
        <v>703.95</v>
      </c>
      <c r="AH22" s="171">
        <f t="shared" si="7"/>
        <v>703.95</v>
      </c>
      <c r="AI22" s="171">
        <f t="shared" si="8"/>
        <v>314.27099860384351</v>
      </c>
      <c r="AJ22" s="171">
        <f>IF('Invoer gegevens'!$I$27="DAEB",SMALL(AC22:AD22,1),AC22)</f>
        <v>314.27099860384351</v>
      </c>
      <c r="AK22" s="171">
        <f>IF('Invoer gegevens'!$I$27="DAEB",SMALL((AE22:AH22),1),SMALL((AF22:AH22),1))</f>
        <v>314.27099860384351</v>
      </c>
      <c r="AL22" s="171">
        <f t="shared" si="33"/>
        <v>0</v>
      </c>
      <c r="AM22" s="171">
        <f t="shared" si="34"/>
        <v>0</v>
      </c>
      <c r="AN22" s="175">
        <f t="shared" si="28"/>
        <v>44378</v>
      </c>
      <c r="AP22" s="184">
        <f t="shared" ca="1" si="29"/>
        <v>2036</v>
      </c>
      <c r="AQ22" s="185">
        <f t="shared" si="9"/>
        <v>0.02</v>
      </c>
      <c r="AR22" s="182">
        <f t="shared" si="30"/>
        <v>1.4065550108440981</v>
      </c>
      <c r="AU22" s="184">
        <f t="shared" ca="1" si="31"/>
        <v>2036</v>
      </c>
      <c r="AV22" s="182">
        <f t="shared" si="10"/>
        <v>0.02</v>
      </c>
      <c r="AW22" s="179">
        <f t="shared" si="11"/>
        <v>5.0000000000000001E-3</v>
      </c>
      <c r="AX22" s="182">
        <f t="shared" si="12"/>
        <v>2.5000000000000001E-2</v>
      </c>
      <c r="AY22" s="186"/>
      <c r="BA22" s="184">
        <f t="shared" ca="1" si="32"/>
        <v>2036</v>
      </c>
      <c r="BB22" s="171">
        <f t="shared" si="13"/>
        <v>766.88</v>
      </c>
      <c r="BC22" s="171">
        <f t="shared" si="1"/>
        <v>969.5904682954698</v>
      </c>
      <c r="BD22" s="171">
        <f t="shared" si="2"/>
        <v>703.95</v>
      </c>
      <c r="BE22" s="171">
        <f t="shared" si="2"/>
        <v>314.27099860384351</v>
      </c>
      <c r="BF22" s="171">
        <f t="shared" si="2"/>
        <v>314.27099860384351</v>
      </c>
      <c r="BG22" s="171">
        <f t="shared" si="2"/>
        <v>314.27099860384351</v>
      </c>
      <c r="BI22" s="187">
        <f>IF(A22-'Invoer gegevens'!$C$17&lt;0,0,IF(A22-'Invoer gegevens'!$C$17=0,1,IF(A22-'Invoer gegevens'!$C$17&lt;5,2,IF(A22-'Invoer gegevens'!$C$17&lt;15,3,4))))</f>
        <v>0</v>
      </c>
      <c r="BJ22" s="229">
        <f>IF(BI22&lt;1,0,IF(BI22&lt;2,4%,IF(Reeksen!BI22&lt;3,4%,IF(Reeksen!BI22&lt;4,4%*70%,IF(Reeksen!BI22&lt;5,4%*50%)))))</f>
        <v>0</v>
      </c>
      <c r="BK22" s="243"/>
      <c r="BL22" s="243"/>
      <c r="BM22" s="243"/>
      <c r="BN22" s="243"/>
      <c r="BO22" s="243"/>
      <c r="BP22" s="243"/>
      <c r="BQ22" s="243"/>
      <c r="BR22" s="243"/>
    </row>
    <row r="23" spans="1:70" x14ac:dyDescent="0.25">
      <c r="A23" s="184">
        <f t="shared" si="15"/>
        <v>18</v>
      </c>
      <c r="B23" s="179">
        <f>Dashboard!$C$25</f>
        <v>0.05</v>
      </c>
      <c r="C23" s="179">
        <f>Dashboard!$C$25</f>
        <v>0.05</v>
      </c>
      <c r="D23" s="179">
        <f>Dashboard!$C$25</f>
        <v>0.05</v>
      </c>
      <c r="F23" s="184">
        <f t="shared" ca="1" si="16"/>
        <v>2037</v>
      </c>
      <c r="G23" s="179">
        <f t="shared" si="35"/>
        <v>0.02</v>
      </c>
      <c r="H23" s="182">
        <f t="shared" si="17"/>
        <v>1.436080117715087</v>
      </c>
      <c r="I23" s="179">
        <f t="shared" si="35"/>
        <v>2.5000000000000001E-2</v>
      </c>
      <c r="J23" s="182">
        <f t="shared" si="18"/>
        <v>1.5705383822555701</v>
      </c>
      <c r="K23" s="179">
        <f t="shared" si="35"/>
        <v>2.5000000000000001E-2</v>
      </c>
      <c r="L23" s="182">
        <f t="shared" si="19"/>
        <v>1.5705383822555701</v>
      </c>
      <c r="N23" s="184">
        <f t="shared" ca="1" si="20"/>
        <v>2037</v>
      </c>
      <c r="O23" s="179">
        <f t="shared" si="36"/>
        <v>0.02</v>
      </c>
      <c r="P23" s="182">
        <f t="shared" si="21"/>
        <v>1.4346861110609801</v>
      </c>
      <c r="R23" s="184">
        <f t="shared" ca="1" si="22"/>
        <v>2037</v>
      </c>
      <c r="S23" s="188">
        <f t="shared" si="38"/>
        <v>5.3600000000000002E-3</v>
      </c>
      <c r="U23" s="184">
        <f t="shared" ca="1" si="23"/>
        <v>2037</v>
      </c>
      <c r="V23" s="182">
        <f t="shared" si="4"/>
        <v>0.02</v>
      </c>
      <c r="W23" s="180">
        <f>Parameters!$D$12</f>
        <v>5.0000000000000001E-3</v>
      </c>
      <c r="X23" s="182">
        <f t="shared" si="5"/>
        <v>2.5000000000000001E-2</v>
      </c>
      <c r="Y23" s="182">
        <f t="shared" si="24"/>
        <v>1.5720864736932822</v>
      </c>
      <c r="AB23" s="184">
        <f t="shared" ca="1" si="25"/>
        <v>2037</v>
      </c>
      <c r="AC23" s="171">
        <f t="shared" si="6"/>
        <v>786.04323684664109</v>
      </c>
      <c r="AD23" s="171">
        <f t="shared" si="0"/>
        <v>320.55641857592036</v>
      </c>
      <c r="AE23" s="171">
        <f t="shared" si="37"/>
        <v>988.98227766137927</v>
      </c>
      <c r="AF23" s="171">
        <f t="shared" si="26"/>
        <v>320.55641857592036</v>
      </c>
      <c r="AG23" s="171">
        <f t="shared" si="27"/>
        <v>718.03</v>
      </c>
      <c r="AH23" s="171">
        <f t="shared" si="7"/>
        <v>718.03</v>
      </c>
      <c r="AI23" s="171">
        <f t="shared" si="8"/>
        <v>320.55641857592036</v>
      </c>
      <c r="AJ23" s="171">
        <f>IF('Invoer gegevens'!$I$27="DAEB",SMALL(AC23:AD23,1),AC23)</f>
        <v>320.55641857592036</v>
      </c>
      <c r="AK23" s="171">
        <f>IF('Invoer gegevens'!$I$27="DAEB",SMALL((AE23:AH23),1),SMALL((AF23:AH23),1))</f>
        <v>320.55641857592036</v>
      </c>
      <c r="AL23" s="171">
        <f t="shared" si="33"/>
        <v>0</v>
      </c>
      <c r="AM23" s="171">
        <f t="shared" si="34"/>
        <v>0</v>
      </c>
      <c r="AN23" s="175">
        <f t="shared" si="28"/>
        <v>45266</v>
      </c>
      <c r="AP23" s="184">
        <f t="shared" ca="1" si="29"/>
        <v>2037</v>
      </c>
      <c r="AQ23" s="185">
        <f t="shared" si="9"/>
        <v>0.02</v>
      </c>
      <c r="AR23" s="182">
        <f t="shared" si="30"/>
        <v>1.4346861110609801</v>
      </c>
      <c r="AU23" s="184">
        <f t="shared" ca="1" si="31"/>
        <v>2037</v>
      </c>
      <c r="AV23" s="182">
        <f t="shared" si="10"/>
        <v>0.02</v>
      </c>
      <c r="AW23" s="179">
        <f t="shared" si="11"/>
        <v>5.0000000000000001E-3</v>
      </c>
      <c r="AX23" s="182">
        <f t="shared" si="12"/>
        <v>2.5000000000000001E-2</v>
      </c>
      <c r="AY23" s="186"/>
      <c r="BA23" s="184">
        <f t="shared" ca="1" si="32"/>
        <v>2037</v>
      </c>
      <c r="BB23" s="171">
        <f t="shared" si="13"/>
        <v>786.05</v>
      </c>
      <c r="BC23" s="171">
        <f t="shared" si="1"/>
        <v>988.98227766137927</v>
      </c>
      <c r="BD23" s="171">
        <f t="shared" si="2"/>
        <v>718.03</v>
      </c>
      <c r="BE23" s="171">
        <f t="shared" si="2"/>
        <v>320.55641857592036</v>
      </c>
      <c r="BF23" s="171">
        <f t="shared" si="2"/>
        <v>320.55641857592036</v>
      </c>
      <c r="BG23" s="171">
        <f t="shared" si="2"/>
        <v>320.55641857592036</v>
      </c>
      <c r="BI23" s="187">
        <f>IF(A23-'Invoer gegevens'!$C$17&lt;0,0,IF(A23-'Invoer gegevens'!$C$17=0,1,IF(A23-'Invoer gegevens'!$C$17&lt;5,2,IF(A23-'Invoer gegevens'!$C$17&lt;15,3,4))))</f>
        <v>0</v>
      </c>
      <c r="BJ23" s="229">
        <f>IF(BI23&lt;1,0,IF(BI23&lt;2,4%,IF(Reeksen!BI23&lt;3,4%,IF(Reeksen!BI23&lt;4,4%*70%,IF(Reeksen!BI23&lt;5,4%*50%)))))</f>
        <v>0</v>
      </c>
      <c r="BK23" s="243"/>
      <c r="BL23" s="243"/>
      <c r="BM23" s="243"/>
      <c r="BN23" s="243"/>
      <c r="BO23" s="243"/>
      <c r="BP23" s="243"/>
      <c r="BQ23" s="243"/>
      <c r="BR23" s="243"/>
    </row>
    <row r="24" spans="1:70" x14ac:dyDescent="0.25">
      <c r="A24" s="184">
        <f t="shared" si="15"/>
        <v>19</v>
      </c>
      <c r="B24" s="179">
        <f>Dashboard!$C$25</f>
        <v>0.05</v>
      </c>
      <c r="C24" s="179">
        <f>Dashboard!$C$25</f>
        <v>0.05</v>
      </c>
      <c r="D24" s="179">
        <f>Dashboard!$C$25</f>
        <v>0.05</v>
      </c>
      <c r="F24" s="184">
        <f t="shared" ca="1" si="16"/>
        <v>2038</v>
      </c>
      <c r="G24" s="179">
        <f t="shared" si="35"/>
        <v>0.02</v>
      </c>
      <c r="H24" s="182">
        <f t="shared" si="17"/>
        <v>1.4648017200693888</v>
      </c>
      <c r="I24" s="179">
        <f t="shared" si="35"/>
        <v>2.5000000000000001E-2</v>
      </c>
      <c r="J24" s="182">
        <f t="shared" si="18"/>
        <v>1.6098018418119593</v>
      </c>
      <c r="K24" s="179">
        <f t="shared" si="35"/>
        <v>2.5000000000000001E-2</v>
      </c>
      <c r="L24" s="182">
        <f t="shared" si="19"/>
        <v>1.6098018418119593</v>
      </c>
      <c r="N24" s="184">
        <f t="shared" ca="1" si="20"/>
        <v>2038</v>
      </c>
      <c r="O24" s="179">
        <f t="shared" si="36"/>
        <v>0.02</v>
      </c>
      <c r="P24" s="182">
        <f t="shared" si="21"/>
        <v>1.4633798332821997</v>
      </c>
      <c r="R24" s="184">
        <f t="shared" ca="1" si="22"/>
        <v>2038</v>
      </c>
      <c r="S24" s="188">
        <f t="shared" si="38"/>
        <v>5.3600000000000002E-3</v>
      </c>
      <c r="U24" s="184">
        <f t="shared" ca="1" si="23"/>
        <v>2038</v>
      </c>
      <c r="V24" s="182">
        <f t="shared" si="4"/>
        <v>0.02</v>
      </c>
      <c r="W24" s="180">
        <f>Parameters!$D$12</f>
        <v>5.0000000000000001E-3</v>
      </c>
      <c r="X24" s="182">
        <f t="shared" si="5"/>
        <v>2.5000000000000001E-2</v>
      </c>
      <c r="Y24" s="182">
        <f t="shared" si="24"/>
        <v>1.6113886355356142</v>
      </c>
      <c r="AB24" s="184">
        <f t="shared" ca="1" si="25"/>
        <v>2038</v>
      </c>
      <c r="AC24" s="171">
        <f t="shared" si="6"/>
        <v>805.69431776780709</v>
      </c>
      <c r="AD24" s="171">
        <f t="shared" si="0"/>
        <v>326.96754694743873</v>
      </c>
      <c r="AE24" s="171">
        <f t="shared" si="37"/>
        <v>1008.7619232146069</v>
      </c>
      <c r="AF24" s="171">
        <f t="shared" si="26"/>
        <v>326.96754694743873</v>
      </c>
      <c r="AG24" s="171">
        <f t="shared" si="27"/>
        <v>732.39</v>
      </c>
      <c r="AH24" s="171">
        <f t="shared" si="7"/>
        <v>732.39</v>
      </c>
      <c r="AI24" s="171">
        <f t="shared" si="8"/>
        <v>326.96754694743873</v>
      </c>
      <c r="AJ24" s="171">
        <f>IF('Invoer gegevens'!$I$27="DAEB",SMALL(AC24:AD24,1),AC24)</f>
        <v>326.96754694743873</v>
      </c>
      <c r="AK24" s="171">
        <f>IF('Invoer gegevens'!$I$27="DAEB",SMALL((AE24:AH24),1),SMALL((AF24:AH24),1))</f>
        <v>326.96754694743873</v>
      </c>
      <c r="AL24" s="171">
        <f t="shared" si="33"/>
        <v>0</v>
      </c>
      <c r="AM24" s="171">
        <f t="shared" si="34"/>
        <v>0</v>
      </c>
      <c r="AN24" s="175">
        <f t="shared" si="28"/>
        <v>46171</v>
      </c>
      <c r="AP24" s="184">
        <f t="shared" ca="1" si="29"/>
        <v>2038</v>
      </c>
      <c r="AQ24" s="185">
        <f t="shared" si="9"/>
        <v>0.02</v>
      </c>
      <c r="AR24" s="182">
        <f t="shared" si="30"/>
        <v>1.4633798332821997</v>
      </c>
      <c r="AU24" s="184">
        <f t="shared" ca="1" si="31"/>
        <v>2038</v>
      </c>
      <c r="AV24" s="182">
        <f t="shared" si="10"/>
        <v>0.02</v>
      </c>
      <c r="AW24" s="179">
        <f t="shared" si="11"/>
        <v>5.0000000000000001E-3</v>
      </c>
      <c r="AX24" s="182">
        <f t="shared" si="12"/>
        <v>2.5000000000000001E-2</v>
      </c>
      <c r="AY24" s="186"/>
      <c r="BA24" s="184">
        <f t="shared" ca="1" si="32"/>
        <v>2038</v>
      </c>
      <c r="BB24" s="171">
        <f t="shared" si="13"/>
        <v>805.7</v>
      </c>
      <c r="BC24" s="171">
        <f t="shared" si="1"/>
        <v>1008.7619232146069</v>
      </c>
      <c r="BD24" s="171">
        <f t="shared" si="2"/>
        <v>732.39</v>
      </c>
      <c r="BE24" s="171">
        <f t="shared" si="2"/>
        <v>326.96754694743873</v>
      </c>
      <c r="BF24" s="171">
        <f t="shared" si="2"/>
        <v>326.96754694743873</v>
      </c>
      <c r="BG24" s="171">
        <f t="shared" si="2"/>
        <v>326.96754694743873</v>
      </c>
      <c r="BI24" s="187">
        <f>IF(A24-'Invoer gegevens'!$C$17&lt;0,0,IF(A24-'Invoer gegevens'!$C$17=0,1,IF(A24-'Invoer gegevens'!$C$17&lt;5,2,IF(A24-'Invoer gegevens'!$C$17&lt;15,3,4))))</f>
        <v>0</v>
      </c>
      <c r="BJ24" s="229">
        <f>IF(BI24&lt;1,0,IF(BI24&lt;2,4%,IF(Reeksen!BI24&lt;3,4%,IF(Reeksen!BI24&lt;4,4%*70%,IF(Reeksen!BI24&lt;5,4%*50%)))))</f>
        <v>0</v>
      </c>
      <c r="BK24" s="243"/>
      <c r="BL24" s="243"/>
      <c r="BM24" s="243"/>
      <c r="BN24" s="243"/>
      <c r="BO24" s="243"/>
      <c r="BP24" s="243"/>
      <c r="BQ24" s="243"/>
      <c r="BR24" s="243"/>
    </row>
    <row r="25" spans="1:70" x14ac:dyDescent="0.25">
      <c r="A25" s="184">
        <f t="shared" si="15"/>
        <v>20</v>
      </c>
      <c r="B25" s="179">
        <f>Dashboard!$C$25</f>
        <v>0.05</v>
      </c>
      <c r="C25" s="179">
        <f>Dashboard!$C$25</f>
        <v>0.05</v>
      </c>
      <c r="D25" s="179">
        <f>Dashboard!$C$25</f>
        <v>0.05</v>
      </c>
      <c r="F25" s="184">
        <f t="shared" ca="1" si="16"/>
        <v>2039</v>
      </c>
      <c r="G25" s="179">
        <f t="shared" ref="G25:G88" si="39">G24</f>
        <v>0.02</v>
      </c>
      <c r="H25" s="182">
        <f t="shared" si="17"/>
        <v>1.4940977544707765</v>
      </c>
      <c r="I25" s="179">
        <f t="shared" ref="I25:I88" si="40">I24</f>
        <v>2.5000000000000001E-2</v>
      </c>
      <c r="J25" s="182">
        <f t="shared" si="18"/>
        <v>1.6500468878572581</v>
      </c>
      <c r="K25" s="179">
        <f t="shared" ref="K25:K88" si="41">K24</f>
        <v>2.5000000000000001E-2</v>
      </c>
      <c r="L25" s="182">
        <f t="shared" si="19"/>
        <v>1.6500468878572581</v>
      </c>
      <c r="N25" s="184">
        <f t="shared" ca="1" si="20"/>
        <v>2039</v>
      </c>
      <c r="O25" s="179">
        <f t="shared" si="36"/>
        <v>0.02</v>
      </c>
      <c r="P25" s="182">
        <f t="shared" si="21"/>
        <v>1.4926474299478436</v>
      </c>
      <c r="R25" s="184">
        <f t="shared" ca="1" si="22"/>
        <v>2039</v>
      </c>
      <c r="S25" s="188">
        <f t="shared" si="38"/>
        <v>5.3600000000000002E-3</v>
      </c>
      <c r="U25" s="184">
        <f t="shared" ca="1" si="23"/>
        <v>2039</v>
      </c>
      <c r="V25" s="182">
        <f t="shared" si="4"/>
        <v>0.02</v>
      </c>
      <c r="W25" s="180">
        <f>Parameters!$D$12</f>
        <v>5.0000000000000001E-3</v>
      </c>
      <c r="X25" s="182">
        <f t="shared" si="5"/>
        <v>2.5000000000000001E-2</v>
      </c>
      <c r="Y25" s="182">
        <f t="shared" si="24"/>
        <v>1.6516733514240043</v>
      </c>
      <c r="AB25" s="184">
        <f t="shared" ca="1" si="25"/>
        <v>2039</v>
      </c>
      <c r="AC25" s="171">
        <f t="shared" si="6"/>
        <v>825.83667571200215</v>
      </c>
      <c r="AD25" s="171">
        <f t="shared" si="0"/>
        <v>333.50689788638749</v>
      </c>
      <c r="AE25" s="171">
        <f t="shared" si="37"/>
        <v>1028.937161678899</v>
      </c>
      <c r="AF25" s="171">
        <f t="shared" si="26"/>
        <v>333.50689788638749</v>
      </c>
      <c r="AG25" s="171">
        <f t="shared" si="27"/>
        <v>747.04</v>
      </c>
      <c r="AH25" s="171">
        <f t="shared" si="7"/>
        <v>747.04</v>
      </c>
      <c r="AI25" s="171">
        <f t="shared" si="8"/>
        <v>333.50689788638749</v>
      </c>
      <c r="AJ25" s="171">
        <f>IF('Invoer gegevens'!$I$27="DAEB",SMALL(AC25:AD25,1),AC25)</f>
        <v>333.50689788638749</v>
      </c>
      <c r="AK25" s="171">
        <f>IF('Invoer gegevens'!$I$27="DAEB",SMALL((AE25:AH25),1),SMALL((AF25:AH25),1))</f>
        <v>333.50689788638749</v>
      </c>
      <c r="AL25" s="171">
        <f t="shared" si="33"/>
        <v>0</v>
      </c>
      <c r="AM25" s="171">
        <f t="shared" si="34"/>
        <v>0</v>
      </c>
      <c r="AN25" s="175">
        <f t="shared" si="28"/>
        <v>47094</v>
      </c>
      <c r="AP25" s="184">
        <f t="shared" ca="1" si="29"/>
        <v>2039</v>
      </c>
      <c r="AQ25" s="185">
        <f t="shared" si="9"/>
        <v>0.02</v>
      </c>
      <c r="AR25" s="182">
        <f t="shared" si="30"/>
        <v>1.4926474299478436</v>
      </c>
      <c r="AU25" s="184">
        <f t="shared" ca="1" si="31"/>
        <v>2039</v>
      </c>
      <c r="AV25" s="182">
        <f t="shared" si="10"/>
        <v>0.02</v>
      </c>
      <c r="AW25" s="179">
        <f t="shared" si="11"/>
        <v>5.0000000000000001E-3</v>
      </c>
      <c r="AX25" s="182">
        <f t="shared" si="12"/>
        <v>2.5000000000000001E-2</v>
      </c>
      <c r="AY25" s="186"/>
      <c r="BA25" s="184">
        <f t="shared" ca="1" si="32"/>
        <v>2039</v>
      </c>
      <c r="BB25" s="171">
        <f t="shared" si="13"/>
        <v>825.84</v>
      </c>
      <c r="BC25" s="171">
        <f t="shared" si="1"/>
        <v>1028.937161678899</v>
      </c>
      <c r="BD25" s="171">
        <f t="shared" si="2"/>
        <v>747.04</v>
      </c>
      <c r="BE25" s="171">
        <f t="shared" si="2"/>
        <v>333.50689788638749</v>
      </c>
      <c r="BF25" s="171">
        <f t="shared" si="2"/>
        <v>333.50689788638749</v>
      </c>
      <c r="BG25" s="171">
        <f t="shared" si="2"/>
        <v>333.50689788638749</v>
      </c>
      <c r="BI25" s="187">
        <f>IF(A25-'Invoer gegevens'!$C$17&lt;0,0,IF(A25-'Invoer gegevens'!$C$17=0,1,IF(A25-'Invoer gegevens'!$C$17&lt;5,2,IF(A25-'Invoer gegevens'!$C$17&lt;15,3,4))))</f>
        <v>0</v>
      </c>
      <c r="BJ25" s="229">
        <f>IF(BI25&lt;1,0,IF(BI25&lt;2,4%,IF(Reeksen!BI25&lt;3,4%,IF(Reeksen!BI25&lt;4,4%*70%,IF(Reeksen!BI25&lt;5,4%*50%)))))</f>
        <v>0</v>
      </c>
      <c r="BK25" s="243"/>
      <c r="BL25" s="243"/>
      <c r="BM25" s="243"/>
      <c r="BN25" s="243"/>
      <c r="BO25" s="243"/>
      <c r="BP25" s="243"/>
      <c r="BQ25" s="243"/>
      <c r="BR25" s="243"/>
    </row>
    <row r="26" spans="1:70" x14ac:dyDescent="0.25">
      <c r="A26" s="184">
        <f t="shared" si="15"/>
        <v>21</v>
      </c>
      <c r="B26" s="179">
        <f>Dashboard!$C$25</f>
        <v>0.05</v>
      </c>
      <c r="C26" s="179">
        <f>Dashboard!$C$25</f>
        <v>0.05</v>
      </c>
      <c r="D26" s="179">
        <f>Dashboard!$C$25</f>
        <v>0.05</v>
      </c>
      <c r="F26" s="184">
        <f t="shared" ca="1" si="16"/>
        <v>2040</v>
      </c>
      <c r="G26" s="179">
        <f t="shared" si="39"/>
        <v>0.02</v>
      </c>
      <c r="H26" s="182">
        <f t="shared" si="17"/>
        <v>1.5239797095601921</v>
      </c>
      <c r="I26" s="179">
        <f t="shared" si="40"/>
        <v>2.5000000000000001E-2</v>
      </c>
      <c r="J26" s="182">
        <f t="shared" si="18"/>
        <v>1.6912980600536893</v>
      </c>
      <c r="K26" s="179">
        <f t="shared" si="41"/>
        <v>2.5000000000000001E-2</v>
      </c>
      <c r="L26" s="182">
        <f t="shared" si="19"/>
        <v>1.6912980600536893</v>
      </c>
      <c r="N26" s="184">
        <f t="shared" ca="1" si="20"/>
        <v>2040</v>
      </c>
      <c r="O26" s="179">
        <f t="shared" si="36"/>
        <v>0.02</v>
      </c>
      <c r="P26" s="182">
        <f t="shared" si="21"/>
        <v>1.5225003785468005</v>
      </c>
      <c r="R26" s="184">
        <f t="shared" ca="1" si="22"/>
        <v>2040</v>
      </c>
      <c r="S26" s="188">
        <f t="shared" si="38"/>
        <v>5.3600000000000002E-3</v>
      </c>
      <c r="U26" s="184">
        <f t="shared" ca="1" si="23"/>
        <v>2040</v>
      </c>
      <c r="V26" s="182">
        <f t="shared" si="4"/>
        <v>0.02</v>
      </c>
      <c r="W26" s="180">
        <f>Parameters!$D$12</f>
        <v>5.0000000000000001E-3</v>
      </c>
      <c r="X26" s="182">
        <f t="shared" si="5"/>
        <v>2.5000000000000001E-2</v>
      </c>
      <c r="Y26" s="182">
        <f t="shared" si="24"/>
        <v>1.6929651852096042</v>
      </c>
      <c r="AB26" s="184">
        <f t="shared" ca="1" si="25"/>
        <v>2040</v>
      </c>
      <c r="AC26" s="171">
        <f t="shared" si="6"/>
        <v>846.48259260480211</v>
      </c>
      <c r="AD26" s="171">
        <f t="shared" si="0"/>
        <v>340.17703584411527</v>
      </c>
      <c r="AE26" s="171">
        <f t="shared" si="37"/>
        <v>1049.515904912477</v>
      </c>
      <c r="AF26" s="171">
        <f t="shared" si="26"/>
        <v>340.17703584411527</v>
      </c>
      <c r="AG26" s="171">
        <f t="shared" si="27"/>
        <v>761.98</v>
      </c>
      <c r="AH26" s="171">
        <f t="shared" si="7"/>
        <v>761.98</v>
      </c>
      <c r="AI26" s="171">
        <f t="shared" si="8"/>
        <v>340.17703584411527</v>
      </c>
      <c r="AJ26" s="171">
        <f>IF('Invoer gegevens'!$I$27="DAEB",SMALL(AC26:AD26,1),AC26)</f>
        <v>340.17703584411527</v>
      </c>
      <c r="AK26" s="171">
        <f>IF('Invoer gegevens'!$I$27="DAEB",SMALL((AE26:AH26),1),SMALL((AF26:AH26),1))</f>
        <v>340.17703584411527</v>
      </c>
      <c r="AL26" s="171">
        <f t="shared" si="33"/>
        <v>0</v>
      </c>
      <c r="AM26" s="171">
        <f t="shared" si="34"/>
        <v>0</v>
      </c>
      <c r="AN26" s="175">
        <f t="shared" si="28"/>
        <v>48036</v>
      </c>
      <c r="AP26" s="184">
        <f t="shared" ca="1" si="29"/>
        <v>2040</v>
      </c>
      <c r="AQ26" s="185">
        <f t="shared" si="9"/>
        <v>0.02</v>
      </c>
      <c r="AR26" s="182">
        <f t="shared" si="30"/>
        <v>1.5225003785468005</v>
      </c>
      <c r="AU26" s="184">
        <f t="shared" ca="1" si="31"/>
        <v>2040</v>
      </c>
      <c r="AV26" s="182">
        <f t="shared" si="10"/>
        <v>0.02</v>
      </c>
      <c r="AW26" s="179">
        <f t="shared" si="11"/>
        <v>5.0000000000000001E-3</v>
      </c>
      <c r="AX26" s="182">
        <f t="shared" si="12"/>
        <v>2.5000000000000001E-2</v>
      </c>
      <c r="AY26" s="186"/>
      <c r="BA26" s="184">
        <f t="shared" ca="1" si="32"/>
        <v>2040</v>
      </c>
      <c r="BB26" s="171">
        <f t="shared" si="13"/>
        <v>846.49</v>
      </c>
      <c r="BC26" s="171">
        <f t="shared" si="1"/>
        <v>1049.515904912477</v>
      </c>
      <c r="BD26" s="171">
        <f t="shared" si="2"/>
        <v>761.98</v>
      </c>
      <c r="BE26" s="171">
        <f t="shared" si="2"/>
        <v>340.17703584411527</v>
      </c>
      <c r="BF26" s="171">
        <f t="shared" si="2"/>
        <v>340.17703584411527</v>
      </c>
      <c r="BG26" s="171">
        <f t="shared" si="2"/>
        <v>340.17703584411527</v>
      </c>
      <c r="BI26" s="187">
        <f>IF(A26-'Invoer gegevens'!$C$17&lt;0,0,IF(A26-'Invoer gegevens'!$C$17=0,1,IF(A26-'Invoer gegevens'!$C$17&lt;5,2,IF(A26-'Invoer gegevens'!$C$17&lt;15,3,4))))</f>
        <v>0</v>
      </c>
      <c r="BJ26" s="229">
        <f>IF(BI26&lt;1,0,IF(BI26&lt;2,4%,IF(Reeksen!BI26&lt;3,4%,IF(Reeksen!BI26&lt;4,4%*70%,IF(Reeksen!BI26&lt;5,4%*50%)))))</f>
        <v>0</v>
      </c>
      <c r="BK26" s="243"/>
      <c r="BL26" s="243"/>
      <c r="BM26" s="243"/>
      <c r="BN26" s="243"/>
      <c r="BO26" s="243"/>
      <c r="BP26" s="243"/>
      <c r="BQ26" s="243"/>
      <c r="BR26" s="243"/>
    </row>
    <row r="27" spans="1:70" x14ac:dyDescent="0.25">
      <c r="A27" s="184">
        <f t="shared" si="15"/>
        <v>22</v>
      </c>
      <c r="B27" s="179">
        <f>Dashboard!$C$25</f>
        <v>0.05</v>
      </c>
      <c r="C27" s="179">
        <f>Dashboard!$C$25</f>
        <v>0.05</v>
      </c>
      <c r="D27" s="179">
        <f>Dashboard!$C$25</f>
        <v>0.05</v>
      </c>
      <c r="F27" s="184">
        <f t="shared" ca="1" si="16"/>
        <v>2041</v>
      </c>
      <c r="G27" s="179">
        <f t="shared" si="39"/>
        <v>0.02</v>
      </c>
      <c r="H27" s="182">
        <f t="shared" si="17"/>
        <v>1.5544593037513961</v>
      </c>
      <c r="I27" s="179">
        <f t="shared" si="40"/>
        <v>2.5000000000000001E-2</v>
      </c>
      <c r="J27" s="182">
        <f t="shared" si="18"/>
        <v>1.7335805115550313</v>
      </c>
      <c r="K27" s="179">
        <f t="shared" si="41"/>
        <v>2.5000000000000001E-2</v>
      </c>
      <c r="L27" s="182">
        <f t="shared" si="19"/>
        <v>1.7335805115550313</v>
      </c>
      <c r="N27" s="184">
        <f t="shared" ca="1" si="20"/>
        <v>2041</v>
      </c>
      <c r="O27" s="179">
        <f t="shared" si="36"/>
        <v>0.02</v>
      </c>
      <c r="P27" s="182">
        <f t="shared" si="21"/>
        <v>1.5529503861177365</v>
      </c>
      <c r="R27" s="184">
        <f t="shared" ca="1" si="22"/>
        <v>2041</v>
      </c>
      <c r="S27" s="188">
        <f t="shared" si="38"/>
        <v>5.3600000000000002E-3</v>
      </c>
      <c r="U27" s="184">
        <f t="shared" ca="1" si="23"/>
        <v>2041</v>
      </c>
      <c r="V27" s="182">
        <f t="shared" si="4"/>
        <v>0.02</v>
      </c>
      <c r="W27" s="180">
        <f>Parameters!$D$12</f>
        <v>5.0000000000000001E-3</v>
      </c>
      <c r="X27" s="182">
        <f t="shared" si="5"/>
        <v>2.5000000000000001E-2</v>
      </c>
      <c r="Y27" s="182">
        <f t="shared" si="24"/>
        <v>1.7352893148398441</v>
      </c>
      <c r="AB27" s="184">
        <f t="shared" ca="1" si="25"/>
        <v>2041</v>
      </c>
      <c r="AC27" s="171">
        <f t="shared" si="6"/>
        <v>867.64465741992205</v>
      </c>
      <c r="AD27" s="171">
        <f t="shared" si="0"/>
        <v>346.98057656099763</v>
      </c>
      <c r="AE27" s="171">
        <f t="shared" si="37"/>
        <v>1070.5062230107267</v>
      </c>
      <c r="AF27" s="171">
        <f t="shared" si="26"/>
        <v>346.98057656099763</v>
      </c>
      <c r="AG27" s="171">
        <f t="shared" si="27"/>
        <v>777.22</v>
      </c>
      <c r="AH27" s="171">
        <f t="shared" si="7"/>
        <v>777.22</v>
      </c>
      <c r="AI27" s="171">
        <f t="shared" si="8"/>
        <v>346.98057656099763</v>
      </c>
      <c r="AJ27" s="171">
        <f>IF('Invoer gegevens'!$I$27="DAEB",SMALL(AC27:AD27,1),AC27)</f>
        <v>346.98057656099763</v>
      </c>
      <c r="AK27" s="171">
        <f>IF('Invoer gegevens'!$I$27="DAEB",SMALL((AE27:AH27),1),SMALL((AF27:AH27),1))</f>
        <v>346.98057656099763</v>
      </c>
      <c r="AL27" s="171">
        <f t="shared" si="33"/>
        <v>0</v>
      </c>
      <c r="AM27" s="171">
        <f t="shared" si="34"/>
        <v>0</v>
      </c>
      <c r="AN27" s="175">
        <f t="shared" si="28"/>
        <v>48997</v>
      </c>
      <c r="AP27" s="184">
        <f t="shared" ca="1" si="29"/>
        <v>2041</v>
      </c>
      <c r="AQ27" s="185">
        <f t="shared" si="9"/>
        <v>0.02</v>
      </c>
      <c r="AR27" s="182">
        <f t="shared" si="30"/>
        <v>1.5529503861177365</v>
      </c>
      <c r="AU27" s="184">
        <f t="shared" ca="1" si="31"/>
        <v>2041</v>
      </c>
      <c r="AV27" s="182">
        <f t="shared" si="10"/>
        <v>0.02</v>
      </c>
      <c r="AW27" s="179">
        <f t="shared" si="11"/>
        <v>5.0000000000000001E-3</v>
      </c>
      <c r="AX27" s="182">
        <f t="shared" si="12"/>
        <v>2.5000000000000001E-2</v>
      </c>
      <c r="AY27" s="186"/>
      <c r="BA27" s="184">
        <f t="shared" ca="1" si="32"/>
        <v>2041</v>
      </c>
      <c r="BB27" s="171">
        <f t="shared" si="13"/>
        <v>867.65</v>
      </c>
      <c r="BC27" s="171">
        <f t="shared" si="1"/>
        <v>1070.5062230107267</v>
      </c>
      <c r="BD27" s="171">
        <f t="shared" si="2"/>
        <v>777.22</v>
      </c>
      <c r="BE27" s="171">
        <f t="shared" si="2"/>
        <v>346.98057656099763</v>
      </c>
      <c r="BF27" s="171">
        <f t="shared" si="2"/>
        <v>346.98057656099763</v>
      </c>
      <c r="BG27" s="171">
        <f t="shared" si="2"/>
        <v>346.98057656099763</v>
      </c>
      <c r="BI27" s="187">
        <f>IF(A27-'Invoer gegevens'!$C$17&lt;0,0,IF(A27-'Invoer gegevens'!$C$17=0,1,IF(A27-'Invoer gegevens'!$C$17&lt;5,2,IF(A27-'Invoer gegevens'!$C$17&lt;15,3,4))))</f>
        <v>0</v>
      </c>
      <c r="BJ27" s="229">
        <f>IF(BI27&lt;1,0,IF(BI27&lt;2,4%,IF(Reeksen!BI27&lt;3,4%,IF(Reeksen!BI27&lt;4,4%*70%,IF(Reeksen!BI27&lt;5,4%*50%)))))</f>
        <v>0</v>
      </c>
      <c r="BK27" s="243"/>
      <c r="BL27" s="243"/>
      <c r="BM27" s="243"/>
      <c r="BN27" s="243"/>
      <c r="BO27" s="243"/>
      <c r="BP27" s="243"/>
      <c r="BQ27" s="243"/>
      <c r="BR27" s="243"/>
    </row>
    <row r="28" spans="1:70" x14ac:dyDescent="0.25">
      <c r="A28" s="184">
        <f t="shared" si="15"/>
        <v>23</v>
      </c>
      <c r="B28" s="179">
        <f>Dashboard!$C$25</f>
        <v>0.05</v>
      </c>
      <c r="C28" s="179">
        <f>Dashboard!$C$25</f>
        <v>0.05</v>
      </c>
      <c r="D28" s="179">
        <f>Dashboard!$C$25</f>
        <v>0.05</v>
      </c>
      <c r="F28" s="184">
        <f t="shared" ca="1" si="16"/>
        <v>2042</v>
      </c>
      <c r="G28" s="179">
        <f t="shared" si="39"/>
        <v>0.02</v>
      </c>
      <c r="H28" s="182">
        <f t="shared" si="17"/>
        <v>1.585548489826424</v>
      </c>
      <c r="I28" s="179">
        <f t="shared" si="40"/>
        <v>2.5000000000000001E-2</v>
      </c>
      <c r="J28" s="182">
        <f t="shared" si="18"/>
        <v>1.7769200243439069</v>
      </c>
      <c r="K28" s="179">
        <f t="shared" si="41"/>
        <v>2.5000000000000001E-2</v>
      </c>
      <c r="L28" s="182">
        <f t="shared" si="19"/>
        <v>1.7769200243439069</v>
      </c>
      <c r="N28" s="184">
        <f t="shared" ca="1" si="20"/>
        <v>2042</v>
      </c>
      <c r="O28" s="179">
        <f t="shared" si="36"/>
        <v>0.02</v>
      </c>
      <c r="P28" s="182">
        <f t="shared" si="21"/>
        <v>1.5840093938400912</v>
      </c>
      <c r="R28" s="184">
        <f t="shared" ca="1" si="22"/>
        <v>2042</v>
      </c>
      <c r="S28" s="188">
        <f t="shared" si="38"/>
        <v>5.3600000000000002E-3</v>
      </c>
      <c r="U28" s="184">
        <f t="shared" ca="1" si="23"/>
        <v>2042</v>
      </c>
      <c r="V28" s="182">
        <f t="shared" si="4"/>
        <v>0.02</v>
      </c>
      <c r="W28" s="180">
        <f>Parameters!$D$12</f>
        <v>5.0000000000000001E-3</v>
      </c>
      <c r="X28" s="182">
        <f t="shared" si="5"/>
        <v>2.5000000000000001E-2</v>
      </c>
      <c r="Y28" s="182">
        <f t="shared" si="24"/>
        <v>1.7786715477108399</v>
      </c>
      <c r="AB28" s="184">
        <f t="shared" ca="1" si="25"/>
        <v>2042</v>
      </c>
      <c r="AC28" s="171">
        <f t="shared" si="6"/>
        <v>889.33577385541992</v>
      </c>
      <c r="AD28" s="171">
        <f t="shared" si="0"/>
        <v>353.92018809221759</v>
      </c>
      <c r="AE28" s="171">
        <f t="shared" si="37"/>
        <v>1091.9163474709412</v>
      </c>
      <c r="AF28" s="171">
        <f t="shared" si="26"/>
        <v>353.92018809221759</v>
      </c>
      <c r="AG28" s="171">
        <f t="shared" si="27"/>
        <v>792.76</v>
      </c>
      <c r="AH28" s="171">
        <f t="shared" si="7"/>
        <v>792.76</v>
      </c>
      <c r="AI28" s="171">
        <f t="shared" si="8"/>
        <v>353.92018809221759</v>
      </c>
      <c r="AJ28" s="171">
        <f>IF('Invoer gegevens'!$I$27="DAEB",SMALL(AC28:AD28,1),AC28)</f>
        <v>353.92018809221759</v>
      </c>
      <c r="AK28" s="171">
        <f>IF('Invoer gegevens'!$I$27="DAEB",SMALL((AE28:AH28),1),SMALL((AF28:AH28),1))</f>
        <v>353.92018809221759</v>
      </c>
      <c r="AL28" s="171">
        <f t="shared" si="33"/>
        <v>0</v>
      </c>
      <c r="AM28" s="171">
        <f t="shared" si="34"/>
        <v>0</v>
      </c>
      <c r="AN28" s="175">
        <f t="shared" si="28"/>
        <v>49977</v>
      </c>
      <c r="AP28" s="184">
        <f t="shared" ca="1" si="29"/>
        <v>2042</v>
      </c>
      <c r="AQ28" s="185">
        <f t="shared" si="9"/>
        <v>0.02</v>
      </c>
      <c r="AR28" s="182">
        <f t="shared" si="30"/>
        <v>1.5840093938400912</v>
      </c>
      <c r="AU28" s="184">
        <f t="shared" ca="1" si="31"/>
        <v>2042</v>
      </c>
      <c r="AV28" s="182">
        <f t="shared" si="10"/>
        <v>0.02</v>
      </c>
      <c r="AW28" s="179">
        <f t="shared" si="11"/>
        <v>5.0000000000000001E-3</v>
      </c>
      <c r="AX28" s="182">
        <f t="shared" si="12"/>
        <v>2.5000000000000001E-2</v>
      </c>
      <c r="AY28" s="186"/>
      <c r="BA28" s="184">
        <f t="shared" ca="1" si="32"/>
        <v>2042</v>
      </c>
      <c r="BB28" s="171">
        <f t="shared" si="13"/>
        <v>889.34</v>
      </c>
      <c r="BC28" s="171">
        <f t="shared" si="1"/>
        <v>1091.9163474709412</v>
      </c>
      <c r="BD28" s="171">
        <f t="shared" si="2"/>
        <v>792.76</v>
      </c>
      <c r="BE28" s="171">
        <f t="shared" si="2"/>
        <v>353.92018809221759</v>
      </c>
      <c r="BF28" s="171">
        <f t="shared" si="2"/>
        <v>353.92018809221759</v>
      </c>
      <c r="BG28" s="171">
        <f t="shared" si="2"/>
        <v>353.92018809221759</v>
      </c>
      <c r="BI28" s="187">
        <f>IF(A28-'Invoer gegevens'!$C$17&lt;0,0,IF(A28-'Invoer gegevens'!$C$17=0,1,IF(A28-'Invoer gegevens'!$C$17&lt;5,2,IF(A28-'Invoer gegevens'!$C$17&lt;15,3,4))))</f>
        <v>0</v>
      </c>
      <c r="BJ28" s="229">
        <f>IF(BI28&lt;1,0,IF(BI28&lt;2,4%,IF(Reeksen!BI28&lt;3,4%,IF(Reeksen!BI28&lt;4,4%*70%,IF(Reeksen!BI28&lt;5,4%*50%)))))</f>
        <v>0</v>
      </c>
      <c r="BK28" s="243"/>
      <c r="BL28" s="243"/>
      <c r="BM28" s="243"/>
      <c r="BN28" s="243"/>
      <c r="BO28" s="243"/>
      <c r="BP28" s="243"/>
      <c r="BQ28" s="243"/>
      <c r="BR28" s="243"/>
    </row>
    <row r="29" spans="1:70" x14ac:dyDescent="0.25">
      <c r="A29" s="184">
        <f t="shared" si="15"/>
        <v>24</v>
      </c>
      <c r="B29" s="179">
        <f>Dashboard!$C$25</f>
        <v>0.05</v>
      </c>
      <c r="C29" s="179">
        <f>Dashboard!$C$25</f>
        <v>0.05</v>
      </c>
      <c r="D29" s="179">
        <f>Dashboard!$C$25</f>
        <v>0.05</v>
      </c>
      <c r="F29" s="184">
        <f t="shared" ca="1" si="16"/>
        <v>2043</v>
      </c>
      <c r="G29" s="179">
        <f t="shared" si="39"/>
        <v>0.02</v>
      </c>
      <c r="H29" s="182">
        <f t="shared" si="17"/>
        <v>1.6172594596229526</v>
      </c>
      <c r="I29" s="179">
        <f t="shared" si="40"/>
        <v>2.5000000000000001E-2</v>
      </c>
      <c r="J29" s="182">
        <f t="shared" si="18"/>
        <v>1.8213430249525044</v>
      </c>
      <c r="K29" s="179">
        <f t="shared" si="41"/>
        <v>2.5000000000000001E-2</v>
      </c>
      <c r="L29" s="182">
        <f t="shared" si="19"/>
        <v>1.8213430249525044</v>
      </c>
      <c r="N29" s="184">
        <f t="shared" ca="1" si="20"/>
        <v>2043</v>
      </c>
      <c r="O29" s="179">
        <f t="shared" si="36"/>
        <v>0.02</v>
      </c>
      <c r="P29" s="182">
        <f t="shared" si="21"/>
        <v>1.615689581716893</v>
      </c>
      <c r="R29" s="184">
        <f t="shared" ca="1" si="22"/>
        <v>2043</v>
      </c>
      <c r="S29" s="188">
        <f t="shared" si="38"/>
        <v>5.3600000000000002E-3</v>
      </c>
      <c r="U29" s="184">
        <f t="shared" ca="1" si="23"/>
        <v>2043</v>
      </c>
      <c r="V29" s="182">
        <f t="shared" si="4"/>
        <v>0.02</v>
      </c>
      <c r="W29" s="180">
        <f>Parameters!$D$12</f>
        <v>5.0000000000000001E-3</v>
      </c>
      <c r="X29" s="182">
        <f t="shared" si="5"/>
        <v>2.5000000000000001E-2</v>
      </c>
      <c r="Y29" s="182">
        <f t="shared" si="24"/>
        <v>1.8231383364036107</v>
      </c>
      <c r="AB29" s="184">
        <f t="shared" ca="1" si="25"/>
        <v>2043</v>
      </c>
      <c r="AC29" s="171">
        <f t="shared" si="6"/>
        <v>911.56916820180538</v>
      </c>
      <c r="AD29" s="171">
        <f t="shared" si="0"/>
        <v>360.99859185406194</v>
      </c>
      <c r="AE29" s="171">
        <f t="shared" si="37"/>
        <v>1113.7546744203601</v>
      </c>
      <c r="AF29" s="171">
        <f t="shared" si="26"/>
        <v>360.99859185406194</v>
      </c>
      <c r="AG29" s="171">
        <f t="shared" si="27"/>
        <v>808.62</v>
      </c>
      <c r="AH29" s="171">
        <f t="shared" si="7"/>
        <v>808.62</v>
      </c>
      <c r="AI29" s="171">
        <f t="shared" si="8"/>
        <v>360.99859185406194</v>
      </c>
      <c r="AJ29" s="171">
        <f>IF('Invoer gegevens'!$I$27="DAEB",SMALL(AC29:AD29,1),AC29)</f>
        <v>360.99859185406194</v>
      </c>
      <c r="AK29" s="171">
        <f>IF('Invoer gegevens'!$I$27="DAEB",SMALL((AE29:AH29),1),SMALL((AF29:AH29),1))</f>
        <v>360.99859185406194</v>
      </c>
      <c r="AL29" s="171">
        <f t="shared" si="33"/>
        <v>0</v>
      </c>
      <c r="AM29" s="171">
        <f t="shared" si="34"/>
        <v>0</v>
      </c>
      <c r="AN29" s="175">
        <f t="shared" si="28"/>
        <v>50977</v>
      </c>
      <c r="AP29" s="184">
        <f t="shared" ca="1" si="29"/>
        <v>2043</v>
      </c>
      <c r="AQ29" s="185">
        <f t="shared" si="9"/>
        <v>0.02</v>
      </c>
      <c r="AR29" s="182">
        <f t="shared" si="30"/>
        <v>1.615689581716893</v>
      </c>
      <c r="AU29" s="184">
        <f t="shared" ca="1" si="31"/>
        <v>2043</v>
      </c>
      <c r="AV29" s="182">
        <f t="shared" si="10"/>
        <v>0.02</v>
      </c>
      <c r="AW29" s="179">
        <f t="shared" si="11"/>
        <v>5.0000000000000001E-3</v>
      </c>
      <c r="AX29" s="182">
        <f t="shared" si="12"/>
        <v>2.5000000000000001E-2</v>
      </c>
      <c r="AY29" s="186"/>
      <c r="BA29" s="184">
        <f t="shared" ca="1" si="32"/>
        <v>2043</v>
      </c>
      <c r="BB29" s="171">
        <f t="shared" si="13"/>
        <v>911.57</v>
      </c>
      <c r="BC29" s="171">
        <f t="shared" si="1"/>
        <v>1113.7546744203601</v>
      </c>
      <c r="BD29" s="171">
        <f t="shared" si="2"/>
        <v>808.62</v>
      </c>
      <c r="BE29" s="171">
        <f t="shared" si="2"/>
        <v>360.99859185406194</v>
      </c>
      <c r="BF29" s="171">
        <f t="shared" si="2"/>
        <v>360.99859185406194</v>
      </c>
      <c r="BG29" s="171">
        <f t="shared" si="2"/>
        <v>360.99859185406194</v>
      </c>
      <c r="BI29" s="187">
        <f>IF(A29-'Invoer gegevens'!$C$17&lt;0,0,IF(A29-'Invoer gegevens'!$C$17=0,1,IF(A29-'Invoer gegevens'!$C$17&lt;5,2,IF(A29-'Invoer gegevens'!$C$17&lt;15,3,4))))</f>
        <v>0</v>
      </c>
      <c r="BJ29" s="229">
        <f>IF(BI29&lt;1,0,IF(BI29&lt;2,4%,IF(Reeksen!BI29&lt;3,4%,IF(Reeksen!BI29&lt;4,4%*70%,IF(Reeksen!BI29&lt;5,4%*50%)))))</f>
        <v>0</v>
      </c>
      <c r="BK29" s="243"/>
      <c r="BL29" s="243"/>
      <c r="BM29" s="243"/>
      <c r="BN29" s="243"/>
      <c r="BO29" s="243"/>
      <c r="BP29" s="243"/>
      <c r="BQ29" s="243"/>
      <c r="BR29" s="243"/>
    </row>
    <row r="30" spans="1:70" x14ac:dyDescent="0.25">
      <c r="A30" s="184">
        <f t="shared" si="15"/>
        <v>25</v>
      </c>
      <c r="B30" s="179">
        <f>Dashboard!$C$25</f>
        <v>0.05</v>
      </c>
      <c r="C30" s="179">
        <f>Dashboard!$C$25</f>
        <v>0.05</v>
      </c>
      <c r="D30" s="179">
        <f>Dashboard!$C$25</f>
        <v>0.05</v>
      </c>
      <c r="F30" s="184">
        <f t="shared" ca="1" si="16"/>
        <v>2044</v>
      </c>
      <c r="G30" s="179">
        <f t="shared" si="39"/>
        <v>0.02</v>
      </c>
      <c r="H30" s="182">
        <f t="shared" si="17"/>
        <v>1.6496046488154117</v>
      </c>
      <c r="I30" s="179">
        <f t="shared" si="40"/>
        <v>2.5000000000000001E-2</v>
      </c>
      <c r="J30" s="182">
        <f t="shared" si="18"/>
        <v>1.8668766005763169</v>
      </c>
      <c r="K30" s="179">
        <f t="shared" si="41"/>
        <v>2.5000000000000001E-2</v>
      </c>
      <c r="L30" s="182">
        <f t="shared" si="19"/>
        <v>1.8668766005763169</v>
      </c>
      <c r="N30" s="184">
        <f t="shared" ca="1" si="20"/>
        <v>2044</v>
      </c>
      <c r="O30" s="179">
        <f t="shared" si="36"/>
        <v>0.02</v>
      </c>
      <c r="P30" s="182">
        <f t="shared" si="21"/>
        <v>1.6480033733512309</v>
      </c>
      <c r="R30" s="184">
        <f t="shared" ca="1" si="22"/>
        <v>2044</v>
      </c>
      <c r="S30" s="188">
        <f t="shared" si="38"/>
        <v>5.3600000000000002E-3</v>
      </c>
      <c r="U30" s="184">
        <f t="shared" ca="1" si="23"/>
        <v>2044</v>
      </c>
      <c r="V30" s="182">
        <f t="shared" si="4"/>
        <v>0.02</v>
      </c>
      <c r="W30" s="180">
        <f>Parameters!$D$12</f>
        <v>5.0000000000000001E-3</v>
      </c>
      <c r="X30" s="182">
        <f t="shared" si="5"/>
        <v>2.5000000000000001E-2</v>
      </c>
      <c r="Y30" s="182">
        <f t="shared" si="24"/>
        <v>1.8687167948137007</v>
      </c>
      <c r="AB30" s="184">
        <f t="shared" ca="1" si="25"/>
        <v>2044</v>
      </c>
      <c r="AC30" s="171">
        <f t="shared" si="6"/>
        <v>934.35839740685037</v>
      </c>
      <c r="AD30" s="171">
        <f t="shared" si="0"/>
        <v>368.21856369114317</v>
      </c>
      <c r="AE30" s="171">
        <f t="shared" si="37"/>
        <v>1136.0297679087673</v>
      </c>
      <c r="AF30" s="171">
        <f t="shared" si="26"/>
        <v>368.21856369114317</v>
      </c>
      <c r="AG30" s="171">
        <f t="shared" si="27"/>
        <v>824.79</v>
      </c>
      <c r="AH30" s="171">
        <f t="shared" si="7"/>
        <v>824.79</v>
      </c>
      <c r="AI30" s="171">
        <f t="shared" si="8"/>
        <v>368.21856369114317</v>
      </c>
      <c r="AJ30" s="171">
        <f>IF('Invoer gegevens'!$I$27="DAEB",SMALL(AC30:AD30,1),AC30)</f>
        <v>368.21856369114317</v>
      </c>
      <c r="AK30" s="171">
        <f>IF('Invoer gegevens'!$I$27="DAEB",SMALL((AE30:AH30),1),SMALL((AF30:AH30),1))</f>
        <v>368.21856369114317</v>
      </c>
      <c r="AL30" s="171">
        <f t="shared" si="33"/>
        <v>0</v>
      </c>
      <c r="AM30" s="171">
        <f t="shared" si="34"/>
        <v>0</v>
      </c>
      <c r="AN30" s="175">
        <f t="shared" si="28"/>
        <v>51997</v>
      </c>
      <c r="AP30" s="184">
        <f t="shared" ca="1" si="29"/>
        <v>2044</v>
      </c>
      <c r="AQ30" s="185">
        <f t="shared" si="9"/>
        <v>0.02</v>
      </c>
      <c r="AR30" s="182">
        <f t="shared" si="30"/>
        <v>1.6480033733512309</v>
      </c>
      <c r="AU30" s="184">
        <f t="shared" ca="1" si="31"/>
        <v>2044</v>
      </c>
      <c r="AV30" s="182">
        <f t="shared" si="10"/>
        <v>0.02</v>
      </c>
      <c r="AW30" s="179">
        <f t="shared" si="11"/>
        <v>5.0000000000000001E-3</v>
      </c>
      <c r="AX30" s="182">
        <f t="shared" si="12"/>
        <v>2.5000000000000001E-2</v>
      </c>
      <c r="AY30" s="186"/>
      <c r="BA30" s="184">
        <f t="shared" ca="1" si="32"/>
        <v>2044</v>
      </c>
      <c r="BB30" s="171">
        <f t="shared" si="13"/>
        <v>934.36</v>
      </c>
      <c r="BC30" s="171">
        <f t="shared" si="1"/>
        <v>1136.0297679087673</v>
      </c>
      <c r="BD30" s="171">
        <f t="shared" si="2"/>
        <v>824.79</v>
      </c>
      <c r="BE30" s="171">
        <f t="shared" si="2"/>
        <v>368.21856369114317</v>
      </c>
      <c r="BF30" s="171">
        <f t="shared" si="2"/>
        <v>368.21856369114317</v>
      </c>
      <c r="BG30" s="171">
        <f t="shared" si="2"/>
        <v>368.21856369114317</v>
      </c>
      <c r="BI30" s="187">
        <f>IF(A30-'Invoer gegevens'!$C$17&lt;0,0,IF(A30-'Invoer gegevens'!$C$17=0,1,IF(A30-'Invoer gegevens'!$C$17&lt;5,2,IF(A30-'Invoer gegevens'!$C$17&lt;15,3,4))))</f>
        <v>0</v>
      </c>
      <c r="BJ30" s="229">
        <f>IF(BI30&lt;1,0,IF(BI30&lt;2,4%,IF(Reeksen!BI30&lt;3,4%,IF(Reeksen!BI30&lt;4,4%*70%,IF(Reeksen!BI30&lt;5,4%*50%)))))</f>
        <v>0</v>
      </c>
      <c r="BK30" s="243"/>
      <c r="BL30" s="243"/>
      <c r="BM30" s="243"/>
      <c r="BN30" s="243"/>
      <c r="BO30" s="243"/>
      <c r="BP30" s="243"/>
      <c r="BQ30" s="243"/>
      <c r="BR30" s="243"/>
    </row>
    <row r="31" spans="1:70" x14ac:dyDescent="0.25">
      <c r="A31" s="184">
        <f t="shared" si="15"/>
        <v>26</v>
      </c>
      <c r="B31" s="179">
        <f>Dashboard!$C$25</f>
        <v>0.05</v>
      </c>
      <c r="C31" s="179">
        <f>Dashboard!$C$25</f>
        <v>0.05</v>
      </c>
      <c r="D31" s="179">
        <f>Dashboard!$C$25</f>
        <v>0.05</v>
      </c>
      <c r="F31" s="184">
        <f t="shared" ca="1" si="16"/>
        <v>2045</v>
      </c>
      <c r="G31" s="179">
        <f t="shared" si="39"/>
        <v>0.02</v>
      </c>
      <c r="H31" s="182">
        <f t="shared" si="17"/>
        <v>1.68259674179172</v>
      </c>
      <c r="I31" s="179">
        <f t="shared" si="40"/>
        <v>2.5000000000000001E-2</v>
      </c>
      <c r="J31" s="182">
        <f t="shared" si="18"/>
        <v>1.9135485155907246</v>
      </c>
      <c r="K31" s="179">
        <f t="shared" si="41"/>
        <v>2.5000000000000001E-2</v>
      </c>
      <c r="L31" s="182">
        <f t="shared" si="19"/>
        <v>1.9135485155907246</v>
      </c>
      <c r="N31" s="184">
        <f t="shared" ca="1" si="20"/>
        <v>2045</v>
      </c>
      <c r="O31" s="179">
        <f t="shared" si="36"/>
        <v>0.02</v>
      </c>
      <c r="P31" s="182">
        <f t="shared" si="21"/>
        <v>1.6809634408182557</v>
      </c>
      <c r="R31" s="184">
        <f t="shared" ca="1" si="22"/>
        <v>2045</v>
      </c>
      <c r="S31" s="188">
        <f t="shared" si="38"/>
        <v>5.3600000000000002E-3</v>
      </c>
      <c r="U31" s="184">
        <f t="shared" ca="1" si="23"/>
        <v>2045</v>
      </c>
      <c r="V31" s="182">
        <f t="shared" si="4"/>
        <v>0.02</v>
      </c>
      <c r="W31" s="180">
        <f>Parameters!$D$12</f>
        <v>5.0000000000000001E-3</v>
      </c>
      <c r="X31" s="182">
        <f t="shared" si="5"/>
        <v>2.5000000000000001E-2</v>
      </c>
      <c r="Y31" s="182">
        <f t="shared" si="24"/>
        <v>1.9154347146840431</v>
      </c>
      <c r="AB31" s="184">
        <f t="shared" ca="1" si="25"/>
        <v>2045</v>
      </c>
      <c r="AC31" s="171">
        <f t="shared" si="6"/>
        <v>957.71735734202161</v>
      </c>
      <c r="AD31" s="171">
        <f t="shared" si="0"/>
        <v>375.58293496496606</v>
      </c>
      <c r="AE31" s="171">
        <f t="shared" si="37"/>
        <v>1158.7503632669427</v>
      </c>
      <c r="AF31" s="171">
        <f t="shared" si="26"/>
        <v>375.58293496496606</v>
      </c>
      <c r="AG31" s="171">
        <f t="shared" si="27"/>
        <v>841.29</v>
      </c>
      <c r="AH31" s="171">
        <f t="shared" si="7"/>
        <v>841.29</v>
      </c>
      <c r="AI31" s="171">
        <f t="shared" si="8"/>
        <v>375.58293496496606</v>
      </c>
      <c r="AJ31" s="171">
        <f>IF('Invoer gegevens'!$I$27="DAEB",SMALL(AC31:AD31,1),AC31)</f>
        <v>375.58293496496606</v>
      </c>
      <c r="AK31" s="171">
        <f>IF('Invoer gegevens'!$I$27="DAEB",SMALL((AE31:AH31),1),SMALL((AF31:AH31),1))</f>
        <v>375.58293496496606</v>
      </c>
      <c r="AL31" s="171">
        <f t="shared" si="33"/>
        <v>0</v>
      </c>
      <c r="AM31" s="171">
        <f t="shared" si="34"/>
        <v>0</v>
      </c>
      <c r="AN31" s="175">
        <f t="shared" si="28"/>
        <v>53037</v>
      </c>
      <c r="AP31" s="184">
        <f t="shared" ca="1" si="29"/>
        <v>2045</v>
      </c>
      <c r="AQ31" s="185">
        <f t="shared" si="9"/>
        <v>0.02</v>
      </c>
      <c r="AR31" s="182">
        <f t="shared" si="30"/>
        <v>1.6809634408182557</v>
      </c>
      <c r="AU31" s="184">
        <f t="shared" ca="1" si="31"/>
        <v>2045</v>
      </c>
      <c r="AV31" s="182">
        <f t="shared" si="10"/>
        <v>0.02</v>
      </c>
      <c r="AW31" s="179">
        <f t="shared" si="11"/>
        <v>5.0000000000000001E-3</v>
      </c>
      <c r="AX31" s="182">
        <f t="shared" si="12"/>
        <v>2.5000000000000001E-2</v>
      </c>
      <c r="AY31" s="186"/>
      <c r="BA31" s="184">
        <f t="shared" ca="1" si="32"/>
        <v>2045</v>
      </c>
      <c r="BB31" s="171">
        <f t="shared" si="13"/>
        <v>957.72</v>
      </c>
      <c r="BC31" s="171">
        <f t="shared" si="1"/>
        <v>1158.7503632669427</v>
      </c>
      <c r="BD31" s="171">
        <f t="shared" si="2"/>
        <v>841.29</v>
      </c>
      <c r="BE31" s="171">
        <f t="shared" si="2"/>
        <v>375.58293496496606</v>
      </c>
      <c r="BF31" s="171">
        <f t="shared" si="2"/>
        <v>375.58293496496606</v>
      </c>
      <c r="BG31" s="171">
        <f t="shared" si="2"/>
        <v>375.58293496496606</v>
      </c>
      <c r="BI31" s="187">
        <f>IF(A31-'Invoer gegevens'!$C$17&lt;0,0,IF(A31-'Invoer gegevens'!$C$17=0,1,IF(A31-'Invoer gegevens'!$C$17&lt;5,2,IF(A31-'Invoer gegevens'!$C$17&lt;15,3,4))))</f>
        <v>0</v>
      </c>
      <c r="BJ31" s="229">
        <f>IF(BI31&lt;1,0,IF(BI31&lt;2,4%,IF(Reeksen!BI31&lt;3,4%,IF(Reeksen!BI31&lt;4,4%*70%,IF(Reeksen!BI31&lt;5,4%*50%)))))</f>
        <v>0</v>
      </c>
      <c r="BK31" s="243"/>
      <c r="BL31" s="243"/>
      <c r="BM31" s="243"/>
      <c r="BN31" s="243"/>
      <c r="BO31" s="243"/>
      <c r="BP31" s="243"/>
      <c r="BQ31" s="243"/>
      <c r="BR31" s="243"/>
    </row>
    <row r="32" spans="1:70" x14ac:dyDescent="0.25">
      <c r="A32" s="184">
        <f t="shared" si="15"/>
        <v>27</v>
      </c>
      <c r="B32" s="179">
        <f>Dashboard!$C$25</f>
        <v>0.05</v>
      </c>
      <c r="C32" s="179">
        <f>Dashboard!$C$25</f>
        <v>0.05</v>
      </c>
      <c r="D32" s="179">
        <f>Dashboard!$C$25</f>
        <v>0.05</v>
      </c>
      <c r="F32" s="184">
        <f t="shared" ca="1" si="16"/>
        <v>2046</v>
      </c>
      <c r="G32" s="179">
        <f t="shared" si="39"/>
        <v>0.02</v>
      </c>
      <c r="H32" s="182">
        <f t="shared" si="17"/>
        <v>1.7162486766275544</v>
      </c>
      <c r="I32" s="179">
        <f t="shared" si="40"/>
        <v>2.5000000000000001E-2</v>
      </c>
      <c r="J32" s="182">
        <f t="shared" si="18"/>
        <v>1.9613872284804925</v>
      </c>
      <c r="K32" s="179">
        <f t="shared" si="41"/>
        <v>2.5000000000000001E-2</v>
      </c>
      <c r="L32" s="182">
        <f t="shared" si="19"/>
        <v>1.9613872284804925</v>
      </c>
      <c r="N32" s="184">
        <f t="shared" ca="1" si="20"/>
        <v>2046</v>
      </c>
      <c r="O32" s="179">
        <f t="shared" si="36"/>
        <v>0.02</v>
      </c>
      <c r="P32" s="182">
        <f t="shared" si="21"/>
        <v>1.7145827096346209</v>
      </c>
      <c r="R32" s="184">
        <f t="shared" ca="1" si="22"/>
        <v>2046</v>
      </c>
      <c r="S32" s="188">
        <f t="shared" si="38"/>
        <v>5.3600000000000002E-3</v>
      </c>
      <c r="U32" s="184">
        <f t="shared" ca="1" si="23"/>
        <v>2046</v>
      </c>
      <c r="V32" s="182">
        <f t="shared" si="4"/>
        <v>0.02</v>
      </c>
      <c r="W32" s="180">
        <f>Parameters!$D$12</f>
        <v>5.0000000000000001E-3</v>
      </c>
      <c r="X32" s="182">
        <f t="shared" si="5"/>
        <v>2.5000000000000001E-2</v>
      </c>
      <c r="Y32" s="182">
        <f t="shared" si="24"/>
        <v>1.9633205825511439</v>
      </c>
      <c r="AB32" s="184">
        <f t="shared" ca="1" si="25"/>
        <v>2046</v>
      </c>
      <c r="AC32" s="171">
        <f t="shared" si="6"/>
        <v>981.66029127557192</v>
      </c>
      <c r="AD32" s="171">
        <f t="shared" si="0"/>
        <v>383.0945936642654</v>
      </c>
      <c r="AE32" s="171">
        <f t="shared" si="37"/>
        <v>1181.9253705322815</v>
      </c>
      <c r="AF32" s="171">
        <f t="shared" si="26"/>
        <v>383.0945936642654</v>
      </c>
      <c r="AG32" s="171">
        <f t="shared" si="27"/>
        <v>858.12</v>
      </c>
      <c r="AH32" s="171">
        <f t="shared" si="7"/>
        <v>858.12</v>
      </c>
      <c r="AI32" s="171">
        <f t="shared" si="8"/>
        <v>383.0945936642654</v>
      </c>
      <c r="AJ32" s="171">
        <f>IF('Invoer gegevens'!$I$27="DAEB",SMALL(AC32:AD32,1),AC32)</f>
        <v>383.0945936642654</v>
      </c>
      <c r="AK32" s="171">
        <f>IF('Invoer gegevens'!$I$27="DAEB",SMALL((AE32:AH32),1),SMALL((AF32:AH32),1))</f>
        <v>383.0945936642654</v>
      </c>
      <c r="AL32" s="171">
        <f t="shared" si="33"/>
        <v>0</v>
      </c>
      <c r="AM32" s="171">
        <f t="shared" si="34"/>
        <v>0</v>
      </c>
      <c r="AN32" s="175">
        <f t="shared" si="28"/>
        <v>54098</v>
      </c>
      <c r="AP32" s="184">
        <f t="shared" ca="1" si="29"/>
        <v>2046</v>
      </c>
      <c r="AQ32" s="185">
        <f t="shared" si="9"/>
        <v>0.02</v>
      </c>
      <c r="AR32" s="182">
        <f t="shared" si="30"/>
        <v>1.7145827096346209</v>
      </c>
      <c r="AU32" s="184">
        <f t="shared" ca="1" si="31"/>
        <v>2046</v>
      </c>
      <c r="AV32" s="182">
        <f t="shared" si="10"/>
        <v>0.02</v>
      </c>
      <c r="AW32" s="179">
        <f t="shared" si="11"/>
        <v>5.0000000000000001E-3</v>
      </c>
      <c r="AX32" s="182">
        <f t="shared" si="12"/>
        <v>2.5000000000000001E-2</v>
      </c>
      <c r="AY32" s="186"/>
      <c r="BA32" s="184">
        <f t="shared" ca="1" si="32"/>
        <v>2046</v>
      </c>
      <c r="BB32" s="171">
        <f t="shared" si="13"/>
        <v>981.66</v>
      </c>
      <c r="BC32" s="171">
        <f t="shared" si="1"/>
        <v>1181.9253705322815</v>
      </c>
      <c r="BD32" s="171">
        <f t="shared" si="2"/>
        <v>858.12</v>
      </c>
      <c r="BE32" s="171">
        <f t="shared" si="2"/>
        <v>383.0945936642654</v>
      </c>
      <c r="BF32" s="171">
        <f t="shared" si="2"/>
        <v>383.0945936642654</v>
      </c>
      <c r="BG32" s="171">
        <f t="shared" si="2"/>
        <v>383.0945936642654</v>
      </c>
      <c r="BI32" s="187">
        <f>IF(A32-'Invoer gegevens'!$C$17&lt;0,0,IF(A32-'Invoer gegevens'!$C$17=0,1,IF(A32-'Invoer gegevens'!$C$17&lt;5,2,IF(A32-'Invoer gegevens'!$C$17&lt;15,3,4))))</f>
        <v>0</v>
      </c>
      <c r="BJ32" s="229">
        <f>IF(BI32&lt;1,0,IF(BI32&lt;2,4%,IF(Reeksen!BI32&lt;3,4%,IF(Reeksen!BI32&lt;4,4%*70%,IF(Reeksen!BI32&lt;5,4%*50%)))))</f>
        <v>0</v>
      </c>
      <c r="BK32" s="243"/>
      <c r="BL32" s="243"/>
      <c r="BM32" s="243"/>
      <c r="BN32" s="243"/>
      <c r="BO32" s="243"/>
      <c r="BP32" s="243"/>
      <c r="BQ32" s="243"/>
      <c r="BR32" s="243"/>
    </row>
    <row r="33" spans="1:70" x14ac:dyDescent="0.25">
      <c r="A33" s="184">
        <f t="shared" si="15"/>
        <v>28</v>
      </c>
      <c r="B33" s="179">
        <f>Dashboard!$C$25</f>
        <v>0.05</v>
      </c>
      <c r="C33" s="179">
        <f>Dashboard!$C$25</f>
        <v>0.05</v>
      </c>
      <c r="D33" s="179">
        <f>Dashboard!$C$25</f>
        <v>0.05</v>
      </c>
      <c r="F33" s="184">
        <f t="shared" ca="1" si="16"/>
        <v>2047</v>
      </c>
      <c r="G33" s="179">
        <f t="shared" si="39"/>
        <v>0.02</v>
      </c>
      <c r="H33" s="182">
        <f t="shared" si="17"/>
        <v>1.7505736501601055</v>
      </c>
      <c r="I33" s="179">
        <f t="shared" si="40"/>
        <v>2.5000000000000001E-2</v>
      </c>
      <c r="J33" s="182">
        <f t="shared" si="18"/>
        <v>2.0104219091925049</v>
      </c>
      <c r="K33" s="179">
        <f t="shared" si="41"/>
        <v>2.5000000000000001E-2</v>
      </c>
      <c r="L33" s="182">
        <f t="shared" si="19"/>
        <v>2.0104219091925049</v>
      </c>
      <c r="N33" s="184">
        <f t="shared" ca="1" si="20"/>
        <v>2047</v>
      </c>
      <c r="O33" s="179">
        <f t="shared" si="36"/>
        <v>0.02</v>
      </c>
      <c r="P33" s="182">
        <f t="shared" si="21"/>
        <v>1.7488743638273134</v>
      </c>
      <c r="R33" s="184">
        <f t="shared" ca="1" si="22"/>
        <v>2047</v>
      </c>
      <c r="S33" s="188">
        <f t="shared" si="38"/>
        <v>5.3600000000000002E-3</v>
      </c>
      <c r="U33" s="184">
        <f t="shared" ca="1" si="23"/>
        <v>2047</v>
      </c>
      <c r="V33" s="182">
        <f t="shared" si="4"/>
        <v>0.02</v>
      </c>
      <c r="W33" s="180">
        <f>Parameters!$D$12</f>
        <v>5.0000000000000001E-3</v>
      </c>
      <c r="X33" s="182">
        <f t="shared" si="5"/>
        <v>2.5000000000000001E-2</v>
      </c>
      <c r="Y33" s="182">
        <f t="shared" si="24"/>
        <v>2.0124035971149223</v>
      </c>
      <c r="AB33" s="184">
        <f t="shared" ca="1" si="25"/>
        <v>2047</v>
      </c>
      <c r="AC33" s="171">
        <f t="shared" si="6"/>
        <v>1006.2017985574612</v>
      </c>
      <c r="AD33" s="171">
        <f t="shared" si="0"/>
        <v>390.7564855375507</v>
      </c>
      <c r="AE33" s="171">
        <f t="shared" si="37"/>
        <v>1205.5638779429271</v>
      </c>
      <c r="AF33" s="171">
        <f t="shared" si="26"/>
        <v>390.7564855375507</v>
      </c>
      <c r="AG33" s="171">
        <f t="shared" si="27"/>
        <v>875.28</v>
      </c>
      <c r="AH33" s="171">
        <f t="shared" si="7"/>
        <v>875.28</v>
      </c>
      <c r="AI33" s="171">
        <f t="shared" si="8"/>
        <v>390.7564855375507</v>
      </c>
      <c r="AJ33" s="171">
        <f>IF('Invoer gegevens'!$I$27="DAEB",SMALL(AC33:AD33,1),AC33)</f>
        <v>390.7564855375507</v>
      </c>
      <c r="AK33" s="171">
        <f>IF('Invoer gegevens'!$I$27="DAEB",SMALL((AE33:AH33),1),SMALL((AF33:AH33),1))</f>
        <v>390.7564855375507</v>
      </c>
      <c r="AL33" s="171">
        <f t="shared" si="33"/>
        <v>0</v>
      </c>
      <c r="AM33" s="171">
        <f t="shared" si="34"/>
        <v>0</v>
      </c>
      <c r="AN33" s="175">
        <f t="shared" si="28"/>
        <v>55180</v>
      </c>
      <c r="AP33" s="184">
        <f t="shared" ca="1" si="29"/>
        <v>2047</v>
      </c>
      <c r="AQ33" s="185">
        <f t="shared" si="9"/>
        <v>0.02</v>
      </c>
      <c r="AR33" s="182">
        <f t="shared" si="30"/>
        <v>1.7488743638273134</v>
      </c>
      <c r="AU33" s="184">
        <f t="shared" ca="1" si="31"/>
        <v>2047</v>
      </c>
      <c r="AV33" s="182">
        <f t="shared" si="10"/>
        <v>0.02</v>
      </c>
      <c r="AW33" s="179">
        <f t="shared" si="11"/>
        <v>5.0000000000000001E-3</v>
      </c>
      <c r="AX33" s="182">
        <f t="shared" si="12"/>
        <v>2.5000000000000001E-2</v>
      </c>
      <c r="AY33" s="186"/>
      <c r="BA33" s="184">
        <f t="shared" ca="1" si="32"/>
        <v>2047</v>
      </c>
      <c r="BB33" s="171">
        <f t="shared" si="13"/>
        <v>1006.2</v>
      </c>
      <c r="BC33" s="171">
        <f t="shared" si="1"/>
        <v>1205.5638779429271</v>
      </c>
      <c r="BD33" s="171">
        <f t="shared" ref="BD33:BD64" si="42">AH33</f>
        <v>875.28</v>
      </c>
      <c r="BE33" s="171">
        <f t="shared" ref="BE33:BG96" si="43">AI33</f>
        <v>390.7564855375507</v>
      </c>
      <c r="BF33" s="171">
        <f t="shared" si="43"/>
        <v>390.7564855375507</v>
      </c>
      <c r="BG33" s="171">
        <f t="shared" si="43"/>
        <v>390.7564855375507</v>
      </c>
      <c r="BI33" s="187">
        <f>IF(A33-'Invoer gegevens'!$C$17&lt;0,0,IF(A33-'Invoer gegevens'!$C$17=0,1,IF(A33-'Invoer gegevens'!$C$17&lt;5,2,IF(A33-'Invoer gegevens'!$C$17&lt;15,3,4))))</f>
        <v>0</v>
      </c>
      <c r="BJ33" s="229">
        <f>IF(BI33&lt;1,0,IF(BI33&lt;2,4%,IF(Reeksen!BI33&lt;3,4%,IF(Reeksen!BI33&lt;4,4%*70%,IF(Reeksen!BI33&lt;5,4%*50%)))))</f>
        <v>0</v>
      </c>
      <c r="BK33" s="243"/>
      <c r="BL33" s="243"/>
      <c r="BM33" s="243"/>
      <c r="BN33" s="243"/>
      <c r="BO33" s="243"/>
      <c r="BP33" s="243"/>
      <c r="BQ33" s="243"/>
      <c r="BR33" s="243"/>
    </row>
    <row r="34" spans="1:70" x14ac:dyDescent="0.25">
      <c r="A34" s="184">
        <f t="shared" si="15"/>
        <v>29</v>
      </c>
      <c r="B34" s="179">
        <f>Dashboard!$C$25</f>
        <v>0.05</v>
      </c>
      <c r="C34" s="179">
        <f>Dashboard!$C$25</f>
        <v>0.05</v>
      </c>
      <c r="D34" s="179">
        <f>Dashboard!$C$25</f>
        <v>0.05</v>
      </c>
      <c r="F34" s="184">
        <f t="shared" ca="1" si="16"/>
        <v>2048</v>
      </c>
      <c r="G34" s="179">
        <f t="shared" si="39"/>
        <v>0.02</v>
      </c>
      <c r="H34" s="182">
        <f t="shared" si="17"/>
        <v>1.7855851231633075</v>
      </c>
      <c r="I34" s="179">
        <f t="shared" si="40"/>
        <v>2.5000000000000001E-2</v>
      </c>
      <c r="J34" s="182">
        <f t="shared" si="18"/>
        <v>2.0606824569223172</v>
      </c>
      <c r="K34" s="179">
        <f t="shared" si="41"/>
        <v>2.5000000000000001E-2</v>
      </c>
      <c r="L34" s="182">
        <f t="shared" si="19"/>
        <v>2.0606824569223172</v>
      </c>
      <c r="N34" s="184">
        <f t="shared" ca="1" si="20"/>
        <v>2048</v>
      </c>
      <c r="O34" s="179">
        <f t="shared" si="36"/>
        <v>0.02</v>
      </c>
      <c r="P34" s="182">
        <f t="shared" si="21"/>
        <v>1.7838518511038597</v>
      </c>
      <c r="R34" s="184">
        <f t="shared" ca="1" si="22"/>
        <v>2048</v>
      </c>
      <c r="S34" s="188">
        <f t="shared" si="38"/>
        <v>5.3600000000000002E-3</v>
      </c>
      <c r="U34" s="184">
        <f t="shared" ca="1" si="23"/>
        <v>2048</v>
      </c>
      <c r="V34" s="182">
        <f t="shared" si="4"/>
        <v>0.02</v>
      </c>
      <c r="W34" s="180">
        <f>Parameters!$D$12</f>
        <v>5.0000000000000001E-3</v>
      </c>
      <c r="X34" s="182">
        <f t="shared" si="5"/>
        <v>2.5000000000000001E-2</v>
      </c>
      <c r="Y34" s="182">
        <f t="shared" si="24"/>
        <v>2.0627136870427951</v>
      </c>
      <c r="AB34" s="184">
        <f t="shared" ca="1" si="25"/>
        <v>2048</v>
      </c>
      <c r="AC34" s="171">
        <f t="shared" si="6"/>
        <v>1031.3568435213976</v>
      </c>
      <c r="AD34" s="171">
        <f t="shared" si="0"/>
        <v>398.57161524830173</v>
      </c>
      <c r="AE34" s="171">
        <f t="shared" si="37"/>
        <v>1229.6751555017856</v>
      </c>
      <c r="AF34" s="171">
        <f t="shared" si="26"/>
        <v>398.57161524830173</v>
      </c>
      <c r="AG34" s="171">
        <f t="shared" si="27"/>
        <v>892.79</v>
      </c>
      <c r="AH34" s="171">
        <f t="shared" si="7"/>
        <v>892.79</v>
      </c>
      <c r="AI34" s="171">
        <f t="shared" si="8"/>
        <v>398.57161524830173</v>
      </c>
      <c r="AJ34" s="171">
        <f>IF('Invoer gegevens'!$I$27="DAEB",SMALL(AC34:AD34,1),AC34)</f>
        <v>398.57161524830173</v>
      </c>
      <c r="AK34" s="171">
        <f>IF('Invoer gegevens'!$I$27="DAEB",SMALL((AE34:AH34),1),SMALL((AF34:AH34),1))</f>
        <v>398.57161524830173</v>
      </c>
      <c r="AL34" s="171">
        <f t="shared" si="33"/>
        <v>0</v>
      </c>
      <c r="AM34" s="171">
        <f t="shared" si="34"/>
        <v>0</v>
      </c>
      <c r="AN34" s="175">
        <f t="shared" si="28"/>
        <v>56284</v>
      </c>
      <c r="AP34" s="184">
        <f t="shared" ca="1" si="29"/>
        <v>2048</v>
      </c>
      <c r="AQ34" s="185">
        <f t="shared" si="9"/>
        <v>0.02</v>
      </c>
      <c r="AR34" s="182">
        <f t="shared" si="30"/>
        <v>1.7838518511038597</v>
      </c>
      <c r="AU34" s="184">
        <f t="shared" ca="1" si="31"/>
        <v>2048</v>
      </c>
      <c r="AV34" s="182">
        <f t="shared" si="10"/>
        <v>0.02</v>
      </c>
      <c r="AW34" s="179">
        <f t="shared" si="11"/>
        <v>5.0000000000000001E-3</v>
      </c>
      <c r="AX34" s="182">
        <f t="shared" si="12"/>
        <v>2.5000000000000001E-2</v>
      </c>
      <c r="AY34" s="186"/>
      <c r="BA34" s="184">
        <f t="shared" ca="1" si="32"/>
        <v>2048</v>
      </c>
      <c r="BB34" s="171">
        <f t="shared" si="13"/>
        <v>1031.3599999999999</v>
      </c>
      <c r="BC34" s="171">
        <f t="shared" si="1"/>
        <v>1229.6751555017856</v>
      </c>
      <c r="BD34" s="171">
        <f t="shared" si="42"/>
        <v>892.79</v>
      </c>
      <c r="BE34" s="171">
        <f t="shared" si="43"/>
        <v>398.57161524830173</v>
      </c>
      <c r="BF34" s="171">
        <f t="shared" si="43"/>
        <v>398.57161524830173</v>
      </c>
      <c r="BG34" s="171">
        <f t="shared" si="43"/>
        <v>398.57161524830173</v>
      </c>
      <c r="BI34" s="187">
        <f>IF(A34-'Invoer gegevens'!$C$17&lt;0,0,IF(A34-'Invoer gegevens'!$C$17=0,1,IF(A34-'Invoer gegevens'!$C$17&lt;5,2,IF(A34-'Invoer gegevens'!$C$17&lt;15,3,4))))</f>
        <v>0</v>
      </c>
      <c r="BJ34" s="229">
        <f>IF(BI34&lt;1,0,IF(BI34&lt;2,4%,IF(Reeksen!BI34&lt;3,4%,IF(Reeksen!BI34&lt;4,4%*70%,IF(Reeksen!BI34&lt;5,4%*50%)))))</f>
        <v>0</v>
      </c>
      <c r="BK34" s="243"/>
      <c r="BL34" s="243"/>
      <c r="BM34" s="243"/>
      <c r="BN34" s="243"/>
      <c r="BO34" s="243"/>
      <c r="BP34" s="243"/>
      <c r="BQ34" s="243"/>
      <c r="BR34" s="243"/>
    </row>
    <row r="35" spans="1:70" x14ac:dyDescent="0.25">
      <c r="A35" s="184">
        <f t="shared" si="15"/>
        <v>30</v>
      </c>
      <c r="B35" s="179">
        <f>Dashboard!$C$25</f>
        <v>0.05</v>
      </c>
      <c r="C35" s="179">
        <f>Dashboard!$C$25</f>
        <v>0.05</v>
      </c>
      <c r="D35" s="179">
        <f>Dashboard!$C$25</f>
        <v>0.05</v>
      </c>
      <c r="F35" s="184">
        <f t="shared" ca="1" si="16"/>
        <v>2049</v>
      </c>
      <c r="G35" s="179">
        <f t="shared" si="39"/>
        <v>0.02</v>
      </c>
      <c r="H35" s="182">
        <f t="shared" si="17"/>
        <v>1.8212968256265738</v>
      </c>
      <c r="I35" s="179">
        <f t="shared" si="40"/>
        <v>2.5000000000000001E-2</v>
      </c>
      <c r="J35" s="182">
        <f t="shared" si="18"/>
        <v>2.112199518345375</v>
      </c>
      <c r="K35" s="179">
        <f t="shared" si="41"/>
        <v>2.5000000000000001E-2</v>
      </c>
      <c r="L35" s="182">
        <f t="shared" si="19"/>
        <v>2.112199518345375</v>
      </c>
      <c r="N35" s="184">
        <f t="shared" ca="1" si="20"/>
        <v>2049</v>
      </c>
      <c r="O35" s="179">
        <f t="shared" si="36"/>
        <v>0.02</v>
      </c>
      <c r="P35" s="182">
        <f t="shared" si="21"/>
        <v>1.8195288881259368</v>
      </c>
      <c r="R35" s="184">
        <f t="shared" ca="1" si="22"/>
        <v>2049</v>
      </c>
      <c r="S35" s="188">
        <f t="shared" si="38"/>
        <v>5.3600000000000002E-3</v>
      </c>
      <c r="U35" s="184">
        <f t="shared" ca="1" si="23"/>
        <v>2049</v>
      </c>
      <c r="V35" s="182">
        <f t="shared" si="4"/>
        <v>0.02</v>
      </c>
      <c r="W35" s="180">
        <f>Parameters!$D$12</f>
        <v>5.0000000000000001E-3</v>
      </c>
      <c r="X35" s="182">
        <f t="shared" si="5"/>
        <v>2.5000000000000001E-2</v>
      </c>
      <c r="Y35" s="182">
        <f t="shared" si="24"/>
        <v>2.1142815292188648</v>
      </c>
      <c r="AB35" s="184">
        <f t="shared" ca="1" si="25"/>
        <v>2049</v>
      </c>
      <c r="AC35" s="171">
        <f t="shared" si="6"/>
        <v>1057.1407646094324</v>
      </c>
      <c r="AD35" s="171">
        <f t="shared" si="0"/>
        <v>406.54304755326774</v>
      </c>
      <c r="AE35" s="171">
        <f t="shared" si="37"/>
        <v>1254.2686586118214</v>
      </c>
      <c r="AF35" s="171">
        <f t="shared" si="26"/>
        <v>406.54304755326774</v>
      </c>
      <c r="AG35" s="171">
        <f t="shared" si="27"/>
        <v>910.65</v>
      </c>
      <c r="AH35" s="171">
        <f t="shared" si="7"/>
        <v>910.65</v>
      </c>
      <c r="AI35" s="171">
        <f t="shared" si="8"/>
        <v>406.54304755326774</v>
      </c>
      <c r="AJ35" s="171">
        <f>IF('Invoer gegevens'!$I$27="DAEB",SMALL(AC35:AD35,1),AC35)</f>
        <v>406.54304755326774</v>
      </c>
      <c r="AK35" s="171">
        <f>IF('Invoer gegevens'!$I$27="DAEB",SMALL((AE35:AH35),1),SMALL((AF35:AH35),1))</f>
        <v>406.54304755326774</v>
      </c>
      <c r="AL35" s="171">
        <f t="shared" si="33"/>
        <v>0</v>
      </c>
      <c r="AM35" s="171">
        <f t="shared" si="34"/>
        <v>0</v>
      </c>
      <c r="AN35" s="175">
        <f t="shared" si="28"/>
        <v>57410</v>
      </c>
      <c r="AP35" s="184">
        <f t="shared" ca="1" si="29"/>
        <v>2049</v>
      </c>
      <c r="AQ35" s="185">
        <f t="shared" si="9"/>
        <v>0.02</v>
      </c>
      <c r="AR35" s="182">
        <f t="shared" si="30"/>
        <v>1.8195288881259368</v>
      </c>
      <c r="AU35" s="184">
        <f t="shared" ca="1" si="31"/>
        <v>2049</v>
      </c>
      <c r="AV35" s="182">
        <f t="shared" si="10"/>
        <v>0.02</v>
      </c>
      <c r="AW35" s="179">
        <f t="shared" si="11"/>
        <v>5.0000000000000001E-3</v>
      </c>
      <c r="AX35" s="182">
        <f t="shared" si="12"/>
        <v>2.5000000000000001E-2</v>
      </c>
      <c r="AY35" s="186"/>
      <c r="BA35" s="184">
        <f t="shared" ca="1" si="32"/>
        <v>2049</v>
      </c>
      <c r="BB35" s="171">
        <f t="shared" si="13"/>
        <v>1057.1400000000001</v>
      </c>
      <c r="BC35" s="171">
        <f t="shared" si="1"/>
        <v>1254.2686586118214</v>
      </c>
      <c r="BD35" s="171">
        <f t="shared" si="42"/>
        <v>910.65</v>
      </c>
      <c r="BE35" s="171">
        <f t="shared" si="43"/>
        <v>406.54304755326774</v>
      </c>
      <c r="BF35" s="171">
        <f t="shared" si="43"/>
        <v>406.54304755326774</v>
      </c>
      <c r="BG35" s="171">
        <f t="shared" si="43"/>
        <v>406.54304755326774</v>
      </c>
      <c r="BI35" s="187">
        <f>IF(A35-'Invoer gegevens'!$C$17&lt;0,0,IF(A35-'Invoer gegevens'!$C$17=0,1,IF(A35-'Invoer gegevens'!$C$17&lt;5,2,IF(A35-'Invoer gegevens'!$C$17&lt;15,3,4))))</f>
        <v>0</v>
      </c>
      <c r="BJ35" s="229">
        <f>IF(BI35&lt;1,0,IF(BI35&lt;2,4%,IF(Reeksen!BI35&lt;3,4%,IF(Reeksen!BI35&lt;4,4%*70%,IF(Reeksen!BI35&lt;5,4%*50%)))))</f>
        <v>0</v>
      </c>
      <c r="BK35" s="243"/>
      <c r="BL35" s="243"/>
      <c r="BM35" s="243"/>
      <c r="BN35" s="243"/>
      <c r="BO35" s="243"/>
      <c r="BP35" s="243"/>
      <c r="BQ35" s="243"/>
      <c r="BR35" s="243"/>
    </row>
    <row r="36" spans="1:70" x14ac:dyDescent="0.25">
      <c r="A36" s="184">
        <f t="shared" si="15"/>
        <v>31</v>
      </c>
      <c r="B36" s="179">
        <f>Dashboard!$C$25</f>
        <v>0.05</v>
      </c>
      <c r="C36" s="179">
        <f>Dashboard!$C$25</f>
        <v>0.05</v>
      </c>
      <c r="D36" s="179">
        <f>Dashboard!$C$25</f>
        <v>0.05</v>
      </c>
      <c r="F36" s="184">
        <f t="shared" ca="1" si="16"/>
        <v>2050</v>
      </c>
      <c r="G36" s="179">
        <f t="shared" si="39"/>
        <v>0.02</v>
      </c>
      <c r="H36" s="182">
        <f t="shared" si="17"/>
        <v>1.8577227621391053</v>
      </c>
      <c r="I36" s="179">
        <f t="shared" si="40"/>
        <v>2.5000000000000001E-2</v>
      </c>
      <c r="J36" s="182">
        <f t="shared" si="18"/>
        <v>2.1650045063040091</v>
      </c>
      <c r="K36" s="179">
        <f t="shared" si="41"/>
        <v>2.5000000000000001E-2</v>
      </c>
      <c r="L36" s="182">
        <f t="shared" si="19"/>
        <v>2.1650045063040091</v>
      </c>
      <c r="N36" s="184">
        <f t="shared" ca="1" si="20"/>
        <v>2050</v>
      </c>
      <c r="O36" s="179">
        <f t="shared" si="36"/>
        <v>0.02</v>
      </c>
      <c r="P36" s="182">
        <f t="shared" si="21"/>
        <v>1.8559194658884557</v>
      </c>
      <c r="R36" s="184">
        <f t="shared" ca="1" si="22"/>
        <v>2050</v>
      </c>
      <c r="S36" s="188">
        <f t="shared" si="38"/>
        <v>5.3600000000000002E-3</v>
      </c>
      <c r="U36" s="184">
        <f t="shared" ca="1" si="23"/>
        <v>2050</v>
      </c>
      <c r="V36" s="182">
        <f t="shared" si="4"/>
        <v>0.02</v>
      </c>
      <c r="W36" s="180">
        <f>Parameters!$D$12</f>
        <v>5.0000000000000001E-3</v>
      </c>
      <c r="X36" s="182">
        <f t="shared" si="5"/>
        <v>2.5000000000000001E-2</v>
      </c>
      <c r="Y36" s="182">
        <f t="shared" si="24"/>
        <v>2.1671385674493364</v>
      </c>
      <c r="AB36" s="184">
        <f t="shared" ca="1" si="25"/>
        <v>2050</v>
      </c>
      <c r="AC36" s="171">
        <f t="shared" si="6"/>
        <v>1083.5692837246681</v>
      </c>
      <c r="AD36" s="171">
        <f t="shared" si="0"/>
        <v>414.6739085043331</v>
      </c>
      <c r="AE36" s="171">
        <f t="shared" si="37"/>
        <v>1279.3540317840577</v>
      </c>
      <c r="AF36" s="171">
        <f t="shared" si="26"/>
        <v>414.6739085043331</v>
      </c>
      <c r="AG36" s="171">
        <f t="shared" si="27"/>
        <v>928.86</v>
      </c>
      <c r="AH36" s="171">
        <f t="shared" si="7"/>
        <v>928.86</v>
      </c>
      <c r="AI36" s="171">
        <f t="shared" si="8"/>
        <v>414.6739085043331</v>
      </c>
      <c r="AJ36" s="171">
        <f>IF('Invoer gegevens'!$I$27="DAEB",SMALL(AC36:AD36,1),AC36)</f>
        <v>414.6739085043331</v>
      </c>
      <c r="AK36" s="171">
        <f>IF('Invoer gegevens'!$I$27="DAEB",SMALL((AE36:AH36),1),SMALL((AF36:AH36),1))</f>
        <v>414.6739085043331</v>
      </c>
      <c r="AL36" s="171">
        <f t="shared" si="33"/>
        <v>0</v>
      </c>
      <c r="AM36" s="171">
        <f t="shared" si="34"/>
        <v>0</v>
      </c>
      <c r="AN36" s="175">
        <f t="shared" si="28"/>
        <v>58558</v>
      </c>
      <c r="AP36" s="184">
        <f t="shared" ca="1" si="29"/>
        <v>2050</v>
      </c>
      <c r="AQ36" s="185">
        <f t="shared" si="9"/>
        <v>0.02</v>
      </c>
      <c r="AR36" s="182">
        <f t="shared" si="30"/>
        <v>1.8559194658884557</v>
      </c>
      <c r="AU36" s="184">
        <f t="shared" ca="1" si="31"/>
        <v>2050</v>
      </c>
      <c r="AV36" s="182">
        <f t="shared" si="10"/>
        <v>0.02</v>
      </c>
      <c r="AW36" s="179">
        <f t="shared" si="11"/>
        <v>5.0000000000000001E-3</v>
      </c>
      <c r="AX36" s="182">
        <f t="shared" si="12"/>
        <v>2.5000000000000001E-2</v>
      </c>
      <c r="AY36" s="186"/>
      <c r="BA36" s="184">
        <f t="shared" ca="1" si="32"/>
        <v>2050</v>
      </c>
      <c r="BB36" s="171">
        <f t="shared" si="13"/>
        <v>1083.57</v>
      </c>
      <c r="BC36" s="171">
        <f t="shared" si="1"/>
        <v>1279.3540317840577</v>
      </c>
      <c r="BD36" s="171">
        <f t="shared" si="42"/>
        <v>928.86</v>
      </c>
      <c r="BE36" s="171">
        <f t="shared" si="43"/>
        <v>414.6739085043331</v>
      </c>
      <c r="BF36" s="171">
        <f t="shared" si="43"/>
        <v>414.6739085043331</v>
      </c>
      <c r="BG36" s="171">
        <f t="shared" si="43"/>
        <v>414.6739085043331</v>
      </c>
      <c r="BI36" s="187">
        <f>IF(A36-'Invoer gegevens'!$C$17&lt;0,0,IF(A36-'Invoer gegevens'!$C$17=0,1,IF(A36-'Invoer gegevens'!$C$17&lt;5,2,IF(A36-'Invoer gegevens'!$C$17&lt;15,3,4))))</f>
        <v>0</v>
      </c>
      <c r="BJ36" s="229">
        <f>IF(BI36&lt;1,0,IF(BI36&lt;2,4%,IF(Reeksen!BI36&lt;3,4%,IF(Reeksen!BI36&lt;4,4%*70%,IF(Reeksen!BI36&lt;5,4%*50%)))))</f>
        <v>0</v>
      </c>
      <c r="BK36" s="243"/>
      <c r="BL36" s="243"/>
      <c r="BM36" s="243"/>
      <c r="BN36" s="243"/>
      <c r="BO36" s="243"/>
      <c r="BP36" s="243"/>
      <c r="BQ36" s="243"/>
      <c r="BR36" s="243"/>
    </row>
    <row r="37" spans="1:70" x14ac:dyDescent="0.25">
      <c r="A37" s="184">
        <f t="shared" si="15"/>
        <v>32</v>
      </c>
      <c r="B37" s="179">
        <f>Dashboard!$C$25</f>
        <v>0.05</v>
      </c>
      <c r="C37" s="179">
        <f>Dashboard!$C$25</f>
        <v>0.05</v>
      </c>
      <c r="D37" s="179">
        <f>Dashboard!$C$25</f>
        <v>0.05</v>
      </c>
      <c r="F37" s="184">
        <f t="shared" ca="1" si="16"/>
        <v>2051</v>
      </c>
      <c r="G37" s="179">
        <f t="shared" si="39"/>
        <v>0.02</v>
      </c>
      <c r="H37" s="182">
        <f t="shared" si="17"/>
        <v>1.8948772173818873</v>
      </c>
      <c r="I37" s="179">
        <f t="shared" si="40"/>
        <v>2.5000000000000001E-2</v>
      </c>
      <c r="J37" s="182">
        <f t="shared" si="18"/>
        <v>2.2191296189616092</v>
      </c>
      <c r="K37" s="179">
        <f t="shared" si="41"/>
        <v>2.5000000000000001E-2</v>
      </c>
      <c r="L37" s="182">
        <f t="shared" si="19"/>
        <v>2.2191296189616092</v>
      </c>
      <c r="N37" s="184">
        <f t="shared" ca="1" si="20"/>
        <v>2051</v>
      </c>
      <c r="O37" s="179">
        <f t="shared" si="36"/>
        <v>0.02</v>
      </c>
      <c r="P37" s="182">
        <f t="shared" si="21"/>
        <v>1.8930378552062248</v>
      </c>
      <c r="R37" s="184">
        <f t="shared" ca="1" si="22"/>
        <v>2051</v>
      </c>
      <c r="S37" s="188">
        <f t="shared" si="38"/>
        <v>5.3600000000000002E-3</v>
      </c>
      <c r="U37" s="184">
        <f t="shared" ca="1" si="23"/>
        <v>2051</v>
      </c>
      <c r="V37" s="182">
        <f t="shared" si="4"/>
        <v>0.02</v>
      </c>
      <c r="W37" s="180">
        <f>Parameters!$D$12</f>
        <v>5.0000000000000001E-3</v>
      </c>
      <c r="X37" s="182">
        <f t="shared" si="5"/>
        <v>2.5000000000000001E-2</v>
      </c>
      <c r="Y37" s="182">
        <f t="shared" si="24"/>
        <v>2.2213170316355697</v>
      </c>
      <c r="AB37" s="184">
        <f t="shared" ca="1" si="25"/>
        <v>2051</v>
      </c>
      <c r="AC37" s="171">
        <f t="shared" si="6"/>
        <v>1110.6585158177847</v>
      </c>
      <c r="AD37" s="171">
        <f t="shared" si="0"/>
        <v>422.96738667441974</v>
      </c>
      <c r="AE37" s="171">
        <f t="shared" si="37"/>
        <v>1304.9411124197388</v>
      </c>
      <c r="AF37" s="171">
        <f t="shared" si="26"/>
        <v>422.96738667441974</v>
      </c>
      <c r="AG37" s="171">
        <f t="shared" si="27"/>
        <v>947.44</v>
      </c>
      <c r="AH37" s="171">
        <f t="shared" si="7"/>
        <v>947.44</v>
      </c>
      <c r="AI37" s="171">
        <f t="shared" si="8"/>
        <v>422.96738667441974</v>
      </c>
      <c r="AJ37" s="171">
        <f>IF('Invoer gegevens'!$I$27="DAEB",SMALL(AC37:AD37,1),AC37)</f>
        <v>422.96738667441974</v>
      </c>
      <c r="AK37" s="171">
        <f>IF('Invoer gegevens'!$I$27="DAEB",SMALL((AE37:AH37),1),SMALL((AF37:AH37),1))</f>
        <v>422.96738667441974</v>
      </c>
      <c r="AL37" s="171">
        <f t="shared" si="33"/>
        <v>0</v>
      </c>
      <c r="AM37" s="171">
        <f t="shared" si="34"/>
        <v>0</v>
      </c>
      <c r="AN37" s="175">
        <f t="shared" si="28"/>
        <v>59729</v>
      </c>
      <c r="AP37" s="184">
        <f t="shared" ca="1" si="29"/>
        <v>2051</v>
      </c>
      <c r="AQ37" s="185">
        <f t="shared" si="9"/>
        <v>0.02</v>
      </c>
      <c r="AR37" s="182">
        <f t="shared" si="30"/>
        <v>1.8930378552062248</v>
      </c>
      <c r="AU37" s="184">
        <f t="shared" ca="1" si="31"/>
        <v>2051</v>
      </c>
      <c r="AV37" s="182">
        <f t="shared" si="10"/>
        <v>0.02</v>
      </c>
      <c r="AW37" s="179">
        <f t="shared" si="11"/>
        <v>5.0000000000000001E-3</v>
      </c>
      <c r="AX37" s="182">
        <f t="shared" si="12"/>
        <v>2.5000000000000001E-2</v>
      </c>
      <c r="AY37" s="186"/>
      <c r="BA37" s="184">
        <f t="shared" ca="1" si="32"/>
        <v>2051</v>
      </c>
      <c r="BB37" s="171">
        <f t="shared" si="13"/>
        <v>1110.6600000000001</v>
      </c>
      <c r="BC37" s="171">
        <f t="shared" si="1"/>
        <v>1304.9411124197388</v>
      </c>
      <c r="BD37" s="171">
        <f t="shared" si="42"/>
        <v>947.44</v>
      </c>
      <c r="BE37" s="171">
        <f t="shared" si="43"/>
        <v>422.96738667441974</v>
      </c>
      <c r="BF37" s="171">
        <f t="shared" si="43"/>
        <v>422.96738667441974</v>
      </c>
      <c r="BG37" s="171">
        <f t="shared" si="43"/>
        <v>422.96738667441974</v>
      </c>
      <c r="BI37" s="187">
        <f>IF(A37-'Invoer gegevens'!$C$17&lt;0,0,IF(A37-'Invoer gegevens'!$C$17=0,1,IF(A37-'Invoer gegevens'!$C$17&lt;5,2,IF(A37-'Invoer gegevens'!$C$17&lt;15,3,4))))</f>
        <v>0</v>
      </c>
      <c r="BJ37" s="229">
        <f>IF(BI37&lt;1,0,IF(BI37&lt;2,4%,IF(Reeksen!BI37&lt;3,4%,IF(Reeksen!BI37&lt;4,4%*70%,IF(Reeksen!BI37&lt;5,4%*50%)))))</f>
        <v>0</v>
      </c>
      <c r="BK37" s="243"/>
      <c r="BL37" s="243"/>
      <c r="BM37" s="243"/>
      <c r="BN37" s="243"/>
      <c r="BO37" s="243"/>
      <c r="BP37" s="243"/>
      <c r="BQ37" s="243"/>
      <c r="BR37" s="243"/>
    </row>
    <row r="38" spans="1:70" x14ac:dyDescent="0.25">
      <c r="A38" s="184">
        <f t="shared" si="15"/>
        <v>33</v>
      </c>
      <c r="B38" s="179">
        <f>Dashboard!$C$25</f>
        <v>0.05</v>
      </c>
      <c r="C38" s="179">
        <f>Dashboard!$C$25</f>
        <v>0.05</v>
      </c>
      <c r="D38" s="179">
        <f>Dashboard!$C$25</f>
        <v>0.05</v>
      </c>
      <c r="F38" s="184">
        <f t="shared" ca="1" si="16"/>
        <v>2052</v>
      </c>
      <c r="G38" s="179">
        <f t="shared" si="39"/>
        <v>0.02</v>
      </c>
      <c r="H38" s="182">
        <f t="shared" si="17"/>
        <v>1.932774761729525</v>
      </c>
      <c r="I38" s="179">
        <f t="shared" si="40"/>
        <v>2.5000000000000001E-2</v>
      </c>
      <c r="J38" s="182">
        <f t="shared" si="18"/>
        <v>2.2746078594356494</v>
      </c>
      <c r="K38" s="179">
        <f t="shared" si="41"/>
        <v>2.5000000000000001E-2</v>
      </c>
      <c r="L38" s="182">
        <f t="shared" si="19"/>
        <v>2.2746078594356494</v>
      </c>
      <c r="N38" s="184">
        <f t="shared" ca="1" si="20"/>
        <v>2052</v>
      </c>
      <c r="O38" s="179">
        <f t="shared" si="36"/>
        <v>0.02</v>
      </c>
      <c r="P38" s="182">
        <f t="shared" si="21"/>
        <v>1.9308986123103493</v>
      </c>
      <c r="R38" s="184">
        <f t="shared" ca="1" si="22"/>
        <v>2052</v>
      </c>
      <c r="S38" s="188">
        <f t="shared" si="38"/>
        <v>5.3600000000000002E-3</v>
      </c>
      <c r="U38" s="184">
        <f t="shared" ca="1" si="23"/>
        <v>2052</v>
      </c>
      <c r="V38" s="182">
        <f t="shared" si="4"/>
        <v>0.02</v>
      </c>
      <c r="W38" s="180">
        <f>Parameters!$D$12</f>
        <v>5.0000000000000001E-3</v>
      </c>
      <c r="X38" s="182">
        <f t="shared" si="5"/>
        <v>2.5000000000000001E-2</v>
      </c>
      <c r="Y38" s="182">
        <f t="shared" si="24"/>
        <v>2.2768499574264589</v>
      </c>
      <c r="AB38" s="184">
        <f t="shared" ca="1" si="25"/>
        <v>2052</v>
      </c>
      <c r="AC38" s="171">
        <f t="shared" si="6"/>
        <v>1138.4249787132294</v>
      </c>
      <c r="AD38" s="171">
        <f t="shared" si="0"/>
        <v>431.42673440790816</v>
      </c>
      <c r="AE38" s="171">
        <f t="shared" si="37"/>
        <v>1331.0399346681336</v>
      </c>
      <c r="AF38" s="171">
        <f t="shared" si="26"/>
        <v>431.42673440790816</v>
      </c>
      <c r="AG38" s="171">
        <f t="shared" si="27"/>
        <v>966.39</v>
      </c>
      <c r="AH38" s="171">
        <f t="shared" si="7"/>
        <v>966.39</v>
      </c>
      <c r="AI38" s="171">
        <f t="shared" si="8"/>
        <v>431.42673440790816</v>
      </c>
      <c r="AJ38" s="171">
        <f>IF('Invoer gegevens'!$I$27="DAEB",SMALL(AC38:AD38,1),AC38)</f>
        <v>431.42673440790816</v>
      </c>
      <c r="AK38" s="171">
        <f>IF('Invoer gegevens'!$I$27="DAEB",SMALL((AE38:AH38),1),SMALL((AF38:AH38),1))</f>
        <v>431.42673440790816</v>
      </c>
      <c r="AL38" s="171">
        <f t="shared" si="33"/>
        <v>0</v>
      </c>
      <c r="AM38" s="171">
        <f t="shared" si="34"/>
        <v>0</v>
      </c>
      <c r="AN38" s="175">
        <f t="shared" si="28"/>
        <v>60924</v>
      </c>
      <c r="AP38" s="184">
        <f t="shared" ca="1" si="29"/>
        <v>2052</v>
      </c>
      <c r="AQ38" s="185">
        <f t="shared" si="9"/>
        <v>0.02</v>
      </c>
      <c r="AR38" s="182">
        <f t="shared" si="30"/>
        <v>1.9308986123103493</v>
      </c>
      <c r="AU38" s="184">
        <f t="shared" ca="1" si="31"/>
        <v>2052</v>
      </c>
      <c r="AV38" s="182">
        <f t="shared" si="10"/>
        <v>0.02</v>
      </c>
      <c r="AW38" s="179">
        <f t="shared" si="11"/>
        <v>5.0000000000000001E-3</v>
      </c>
      <c r="AX38" s="182">
        <f t="shared" si="12"/>
        <v>2.5000000000000001E-2</v>
      </c>
      <c r="AY38" s="186"/>
      <c r="BA38" s="184">
        <f t="shared" ca="1" si="32"/>
        <v>2052</v>
      </c>
      <c r="BB38" s="171">
        <f t="shared" si="13"/>
        <v>1138.43</v>
      </c>
      <c r="BC38" s="171">
        <f t="shared" si="1"/>
        <v>1331.0399346681336</v>
      </c>
      <c r="BD38" s="171">
        <f t="shared" si="42"/>
        <v>966.39</v>
      </c>
      <c r="BE38" s="171">
        <f t="shared" si="43"/>
        <v>431.42673440790816</v>
      </c>
      <c r="BF38" s="171">
        <f t="shared" si="43"/>
        <v>431.42673440790816</v>
      </c>
      <c r="BG38" s="171">
        <f t="shared" si="43"/>
        <v>431.42673440790816</v>
      </c>
      <c r="BI38" s="187">
        <f>IF(A38-'Invoer gegevens'!$C$17&lt;0,0,IF(A38-'Invoer gegevens'!$C$17=0,1,IF(A38-'Invoer gegevens'!$C$17&lt;5,2,IF(A38-'Invoer gegevens'!$C$17&lt;15,3,4))))</f>
        <v>0</v>
      </c>
      <c r="BJ38" s="229">
        <f>IF(BI38&lt;1,0,IF(BI38&lt;2,4%,IF(Reeksen!BI38&lt;3,4%,IF(Reeksen!BI38&lt;4,4%*70%,IF(Reeksen!BI38&lt;5,4%*50%)))))</f>
        <v>0</v>
      </c>
      <c r="BK38" s="243"/>
      <c r="BL38" s="243"/>
      <c r="BM38" s="243"/>
      <c r="BN38" s="243"/>
      <c r="BO38" s="243"/>
      <c r="BP38" s="243"/>
      <c r="BQ38" s="243"/>
      <c r="BR38" s="243"/>
    </row>
    <row r="39" spans="1:70" x14ac:dyDescent="0.25">
      <c r="A39" s="184">
        <f t="shared" si="15"/>
        <v>34</v>
      </c>
      <c r="B39" s="179">
        <f>Dashboard!$C$25</f>
        <v>0.05</v>
      </c>
      <c r="C39" s="179">
        <f>Dashboard!$C$25</f>
        <v>0.05</v>
      </c>
      <c r="D39" s="179">
        <f>Dashboard!$C$25</f>
        <v>0.05</v>
      </c>
      <c r="F39" s="184">
        <f t="shared" ca="1" si="16"/>
        <v>2053</v>
      </c>
      <c r="G39" s="179">
        <f t="shared" si="39"/>
        <v>0.02</v>
      </c>
      <c r="H39" s="182">
        <f t="shared" si="17"/>
        <v>1.9714302569641156</v>
      </c>
      <c r="I39" s="179">
        <f t="shared" si="40"/>
        <v>2.5000000000000001E-2</v>
      </c>
      <c r="J39" s="182">
        <f t="shared" si="18"/>
        <v>2.3314730559215402</v>
      </c>
      <c r="K39" s="179">
        <f t="shared" si="41"/>
        <v>2.5000000000000001E-2</v>
      </c>
      <c r="L39" s="182">
        <f t="shared" si="19"/>
        <v>2.3314730559215402</v>
      </c>
      <c r="N39" s="184">
        <f t="shared" ca="1" si="20"/>
        <v>2053</v>
      </c>
      <c r="O39" s="179">
        <f t="shared" si="36"/>
        <v>0.02</v>
      </c>
      <c r="P39" s="182">
        <f t="shared" si="21"/>
        <v>1.9695165845565563</v>
      </c>
      <c r="R39" s="184">
        <f t="shared" ca="1" si="22"/>
        <v>2053</v>
      </c>
      <c r="S39" s="188">
        <f t="shared" si="38"/>
        <v>5.3600000000000002E-3</v>
      </c>
      <c r="U39" s="184">
        <f t="shared" ca="1" si="23"/>
        <v>2053</v>
      </c>
      <c r="V39" s="182">
        <f t="shared" si="4"/>
        <v>0.02</v>
      </c>
      <c r="W39" s="180">
        <f>Parameters!$D$12</f>
        <v>5.0000000000000001E-3</v>
      </c>
      <c r="X39" s="182">
        <f t="shared" si="5"/>
        <v>2.5000000000000001E-2</v>
      </c>
      <c r="Y39" s="182">
        <f t="shared" si="24"/>
        <v>2.3337712063621203</v>
      </c>
      <c r="AB39" s="184">
        <f t="shared" ca="1" si="25"/>
        <v>2053</v>
      </c>
      <c r="AC39" s="171">
        <f t="shared" si="6"/>
        <v>1166.8856031810601</v>
      </c>
      <c r="AD39" s="171">
        <f t="shared" si="0"/>
        <v>440.0552690960663</v>
      </c>
      <c r="AE39" s="171">
        <f t="shared" si="37"/>
        <v>1357.6607333614963</v>
      </c>
      <c r="AF39" s="171">
        <f t="shared" si="26"/>
        <v>440.0552690960663</v>
      </c>
      <c r="AG39" s="171">
        <f t="shared" si="27"/>
        <v>985.72</v>
      </c>
      <c r="AH39" s="171">
        <f t="shared" si="7"/>
        <v>985.72</v>
      </c>
      <c r="AI39" s="171">
        <f t="shared" si="8"/>
        <v>440.0552690960663</v>
      </c>
      <c r="AJ39" s="171">
        <f>IF('Invoer gegevens'!$I$27="DAEB",SMALL(AC39:AD39,1),AC39)</f>
        <v>440.0552690960663</v>
      </c>
      <c r="AK39" s="171">
        <f>IF('Invoer gegevens'!$I$27="DAEB",SMALL((AE39:AH39),1),SMALL((AF39:AH39),1))</f>
        <v>440.0552690960663</v>
      </c>
      <c r="AL39" s="171">
        <f t="shared" si="33"/>
        <v>0</v>
      </c>
      <c r="AM39" s="171">
        <f t="shared" si="34"/>
        <v>0</v>
      </c>
      <c r="AN39" s="175">
        <f t="shared" si="28"/>
        <v>62142</v>
      </c>
      <c r="AP39" s="184">
        <f t="shared" ca="1" si="29"/>
        <v>2053</v>
      </c>
      <c r="AQ39" s="185">
        <f t="shared" si="9"/>
        <v>0.02</v>
      </c>
      <c r="AR39" s="182">
        <f t="shared" si="30"/>
        <v>1.9695165845565563</v>
      </c>
      <c r="AU39" s="184">
        <f t="shared" ca="1" si="31"/>
        <v>2053</v>
      </c>
      <c r="AV39" s="182">
        <f t="shared" si="10"/>
        <v>0.02</v>
      </c>
      <c r="AW39" s="179">
        <f t="shared" si="11"/>
        <v>5.0000000000000001E-3</v>
      </c>
      <c r="AX39" s="182">
        <f t="shared" si="12"/>
        <v>2.5000000000000001E-2</v>
      </c>
      <c r="AY39" s="186"/>
      <c r="BA39" s="184">
        <f t="shared" ca="1" si="32"/>
        <v>2053</v>
      </c>
      <c r="BB39" s="171">
        <f t="shared" si="13"/>
        <v>1166.8900000000001</v>
      </c>
      <c r="BC39" s="171">
        <f t="shared" si="1"/>
        <v>1357.6607333614963</v>
      </c>
      <c r="BD39" s="171">
        <f t="shared" si="42"/>
        <v>985.72</v>
      </c>
      <c r="BE39" s="171">
        <f t="shared" si="43"/>
        <v>440.0552690960663</v>
      </c>
      <c r="BF39" s="171">
        <f t="shared" si="43"/>
        <v>440.0552690960663</v>
      </c>
      <c r="BG39" s="171">
        <f t="shared" si="43"/>
        <v>440.0552690960663</v>
      </c>
      <c r="BI39" s="187">
        <f>IF(A39-'Invoer gegevens'!$C$17&lt;0,0,IF(A39-'Invoer gegevens'!$C$17=0,1,IF(A39-'Invoer gegevens'!$C$17&lt;5,2,IF(A39-'Invoer gegevens'!$C$17&lt;15,3,4))))</f>
        <v>0</v>
      </c>
      <c r="BJ39" s="229">
        <f>IF(BI39&lt;1,0,IF(BI39&lt;2,4%,IF(Reeksen!BI39&lt;3,4%,IF(Reeksen!BI39&lt;4,4%*70%,IF(Reeksen!BI39&lt;5,4%*50%)))))</f>
        <v>0</v>
      </c>
      <c r="BK39" s="243"/>
      <c r="BL39" s="243"/>
      <c r="BM39" s="243"/>
      <c r="BN39" s="243"/>
      <c r="BO39" s="243"/>
      <c r="BP39" s="243"/>
      <c r="BQ39" s="243"/>
      <c r="BR39" s="243"/>
    </row>
    <row r="40" spans="1:70" x14ac:dyDescent="0.25">
      <c r="A40" s="184">
        <f t="shared" si="15"/>
        <v>35</v>
      </c>
      <c r="B40" s="179">
        <f>Dashboard!$C$25</f>
        <v>0.05</v>
      </c>
      <c r="C40" s="179">
        <f>Dashboard!$C$25</f>
        <v>0.05</v>
      </c>
      <c r="D40" s="179">
        <f>Dashboard!$C$25</f>
        <v>0.05</v>
      </c>
      <c r="F40" s="184">
        <f t="shared" ca="1" si="16"/>
        <v>2054</v>
      </c>
      <c r="G40" s="179">
        <f t="shared" si="39"/>
        <v>0.02</v>
      </c>
      <c r="H40" s="182">
        <f t="shared" si="17"/>
        <v>2.0108588621033978</v>
      </c>
      <c r="I40" s="179">
        <f t="shared" si="40"/>
        <v>2.5000000000000001E-2</v>
      </c>
      <c r="J40" s="182">
        <f t="shared" si="18"/>
        <v>2.3897598823195785</v>
      </c>
      <c r="K40" s="179">
        <f t="shared" si="41"/>
        <v>2.5000000000000001E-2</v>
      </c>
      <c r="L40" s="182">
        <f t="shared" si="19"/>
        <v>2.3897598823195785</v>
      </c>
      <c r="N40" s="184">
        <f t="shared" ca="1" si="20"/>
        <v>2054</v>
      </c>
      <c r="O40" s="179">
        <f t="shared" si="36"/>
        <v>0.02</v>
      </c>
      <c r="P40" s="182">
        <f t="shared" si="21"/>
        <v>2.0089069162476876</v>
      </c>
      <c r="R40" s="184">
        <f t="shared" ca="1" si="22"/>
        <v>2054</v>
      </c>
      <c r="S40" s="188">
        <f t="shared" si="38"/>
        <v>5.3600000000000002E-3</v>
      </c>
      <c r="U40" s="184">
        <f t="shared" ca="1" si="23"/>
        <v>2054</v>
      </c>
      <c r="V40" s="182">
        <f t="shared" si="4"/>
        <v>0.02</v>
      </c>
      <c r="W40" s="180">
        <f>Parameters!$D$12</f>
        <v>5.0000000000000001E-3</v>
      </c>
      <c r="X40" s="182">
        <f t="shared" si="5"/>
        <v>2.5000000000000001E-2</v>
      </c>
      <c r="Y40" s="182">
        <f t="shared" si="24"/>
        <v>2.3921154865211731</v>
      </c>
      <c r="AB40" s="184">
        <f t="shared" ca="1" si="25"/>
        <v>2054</v>
      </c>
      <c r="AC40" s="171">
        <f t="shared" si="6"/>
        <v>1196.0577432605864</v>
      </c>
      <c r="AD40" s="171">
        <f t="shared" si="0"/>
        <v>448.85637447798763</v>
      </c>
      <c r="AE40" s="171">
        <f t="shared" si="37"/>
        <v>1384.8139480287264</v>
      </c>
      <c r="AF40" s="171">
        <f t="shared" si="26"/>
        <v>448.85637447798763</v>
      </c>
      <c r="AG40" s="171">
        <f t="shared" si="27"/>
        <v>1005.43</v>
      </c>
      <c r="AH40" s="171">
        <f t="shared" si="7"/>
        <v>1005.43</v>
      </c>
      <c r="AI40" s="171">
        <f t="shared" si="8"/>
        <v>448.85637447798763</v>
      </c>
      <c r="AJ40" s="171">
        <f>IF('Invoer gegevens'!$I$27="DAEB",SMALL(AC40:AD40,1),AC40)</f>
        <v>448.85637447798763</v>
      </c>
      <c r="AK40" s="171">
        <f>IF('Invoer gegevens'!$I$27="DAEB",SMALL((AE40:AH40),1),SMALL((AF40:AH40),1))</f>
        <v>448.85637447798763</v>
      </c>
      <c r="AL40" s="171">
        <f t="shared" si="33"/>
        <v>0</v>
      </c>
      <c r="AM40" s="171">
        <f t="shared" si="34"/>
        <v>0</v>
      </c>
      <c r="AN40" s="175">
        <f t="shared" si="28"/>
        <v>63385</v>
      </c>
      <c r="AP40" s="184">
        <f t="shared" ca="1" si="29"/>
        <v>2054</v>
      </c>
      <c r="AQ40" s="185">
        <f t="shared" si="9"/>
        <v>0.02</v>
      </c>
      <c r="AR40" s="182">
        <f t="shared" si="30"/>
        <v>2.0089069162476876</v>
      </c>
      <c r="AU40" s="184">
        <f t="shared" ca="1" si="31"/>
        <v>2054</v>
      </c>
      <c r="AV40" s="182">
        <f t="shared" si="10"/>
        <v>0.02</v>
      </c>
      <c r="AW40" s="179">
        <f t="shared" si="11"/>
        <v>5.0000000000000001E-3</v>
      </c>
      <c r="AX40" s="182">
        <f t="shared" si="12"/>
        <v>2.5000000000000001E-2</v>
      </c>
      <c r="AY40" s="186"/>
      <c r="BA40" s="184">
        <f t="shared" ca="1" si="32"/>
        <v>2054</v>
      </c>
      <c r="BB40" s="171">
        <f t="shared" si="13"/>
        <v>1196.06</v>
      </c>
      <c r="BC40" s="171">
        <f t="shared" si="1"/>
        <v>1384.8139480287264</v>
      </c>
      <c r="BD40" s="171">
        <f t="shared" si="42"/>
        <v>1005.43</v>
      </c>
      <c r="BE40" s="171">
        <f t="shared" si="43"/>
        <v>448.85637447798763</v>
      </c>
      <c r="BF40" s="171">
        <f t="shared" si="43"/>
        <v>448.85637447798763</v>
      </c>
      <c r="BG40" s="171">
        <f t="shared" si="43"/>
        <v>448.85637447798763</v>
      </c>
      <c r="BI40" s="187">
        <f>IF(A40-'Invoer gegevens'!$C$17&lt;0,0,IF(A40-'Invoer gegevens'!$C$17=0,1,IF(A40-'Invoer gegevens'!$C$17&lt;5,2,IF(A40-'Invoer gegevens'!$C$17&lt;15,3,4))))</f>
        <v>0</v>
      </c>
      <c r="BJ40" s="229">
        <f>IF(BI40&lt;1,0,IF(BI40&lt;2,4%,IF(Reeksen!BI40&lt;3,4%,IF(Reeksen!BI40&lt;4,4%*70%,IF(Reeksen!BI40&lt;5,4%*50%)))))</f>
        <v>0</v>
      </c>
      <c r="BK40" s="243"/>
      <c r="BL40" s="243"/>
      <c r="BM40" s="243"/>
      <c r="BN40" s="243"/>
      <c r="BO40" s="243"/>
      <c r="BP40" s="243"/>
      <c r="BQ40" s="243"/>
      <c r="BR40" s="243"/>
    </row>
    <row r="41" spans="1:70" x14ac:dyDescent="0.25">
      <c r="A41" s="184">
        <f t="shared" si="15"/>
        <v>36</v>
      </c>
      <c r="B41" s="179">
        <f>Dashboard!$C$25</f>
        <v>0.05</v>
      </c>
      <c r="C41" s="179">
        <f>Dashboard!$C$25</f>
        <v>0.05</v>
      </c>
      <c r="D41" s="179">
        <f>Dashboard!$C$25</f>
        <v>0.05</v>
      </c>
      <c r="F41" s="184">
        <f t="shared" ca="1" si="16"/>
        <v>2055</v>
      </c>
      <c r="G41" s="179">
        <f t="shared" si="39"/>
        <v>0.02</v>
      </c>
      <c r="H41" s="182">
        <f t="shared" si="17"/>
        <v>2.0510760393454657</v>
      </c>
      <c r="I41" s="179">
        <f t="shared" si="40"/>
        <v>2.5000000000000001E-2</v>
      </c>
      <c r="J41" s="182">
        <f t="shared" si="18"/>
        <v>2.4495038793775676</v>
      </c>
      <c r="K41" s="179">
        <f t="shared" si="41"/>
        <v>2.5000000000000001E-2</v>
      </c>
      <c r="L41" s="182">
        <f t="shared" si="19"/>
        <v>2.4495038793775676</v>
      </c>
      <c r="N41" s="184">
        <f t="shared" ca="1" si="20"/>
        <v>2055</v>
      </c>
      <c r="O41" s="179">
        <f t="shared" si="36"/>
        <v>0.02</v>
      </c>
      <c r="P41" s="182">
        <f t="shared" si="21"/>
        <v>2.0490850545726413</v>
      </c>
      <c r="R41" s="184">
        <f t="shared" ca="1" si="22"/>
        <v>2055</v>
      </c>
      <c r="S41" s="188">
        <f t="shared" si="38"/>
        <v>5.3600000000000002E-3</v>
      </c>
      <c r="U41" s="184">
        <f t="shared" ca="1" si="23"/>
        <v>2055</v>
      </c>
      <c r="V41" s="182">
        <f t="shared" si="4"/>
        <v>0.02</v>
      </c>
      <c r="W41" s="180">
        <f>Parameters!$D$12</f>
        <v>5.0000000000000001E-3</v>
      </c>
      <c r="X41" s="182">
        <f t="shared" si="5"/>
        <v>2.5000000000000001E-2</v>
      </c>
      <c r="Y41" s="182">
        <f t="shared" si="24"/>
        <v>2.4519183736842023</v>
      </c>
      <c r="AB41" s="184">
        <f t="shared" ca="1" si="25"/>
        <v>2055</v>
      </c>
      <c r="AC41" s="171">
        <f t="shared" si="6"/>
        <v>1225.9591868421012</v>
      </c>
      <c r="AD41" s="171">
        <f t="shared" si="0"/>
        <v>457.83350196754736</v>
      </c>
      <c r="AE41" s="171">
        <f t="shared" si="37"/>
        <v>1412.5102269893009</v>
      </c>
      <c r="AF41" s="171">
        <f t="shared" si="26"/>
        <v>457.83350196754736</v>
      </c>
      <c r="AG41" s="171">
        <f t="shared" si="27"/>
        <v>1025.54</v>
      </c>
      <c r="AH41" s="171">
        <f t="shared" si="7"/>
        <v>1025.54</v>
      </c>
      <c r="AI41" s="171">
        <f t="shared" si="8"/>
        <v>457.83350196754736</v>
      </c>
      <c r="AJ41" s="171">
        <f>IF('Invoer gegevens'!$I$27="DAEB",SMALL(AC41:AD41,1),AC41)</f>
        <v>457.83350196754736</v>
      </c>
      <c r="AK41" s="171">
        <f>IF('Invoer gegevens'!$I$27="DAEB",SMALL((AE41:AH41),1),SMALL((AF41:AH41),1))</f>
        <v>457.83350196754736</v>
      </c>
      <c r="AL41" s="171">
        <f t="shared" si="33"/>
        <v>0</v>
      </c>
      <c r="AM41" s="171">
        <f t="shared" si="34"/>
        <v>0</v>
      </c>
      <c r="AN41" s="175">
        <f t="shared" si="28"/>
        <v>64653</v>
      </c>
      <c r="AP41" s="184">
        <f t="shared" ca="1" si="29"/>
        <v>2055</v>
      </c>
      <c r="AQ41" s="185">
        <f t="shared" si="9"/>
        <v>0.02</v>
      </c>
      <c r="AR41" s="182">
        <f t="shared" si="30"/>
        <v>2.0490850545726413</v>
      </c>
      <c r="AU41" s="184">
        <f t="shared" ca="1" si="31"/>
        <v>2055</v>
      </c>
      <c r="AV41" s="182">
        <f t="shared" si="10"/>
        <v>0.02</v>
      </c>
      <c r="AW41" s="179">
        <f t="shared" si="11"/>
        <v>5.0000000000000001E-3</v>
      </c>
      <c r="AX41" s="182">
        <f t="shared" si="12"/>
        <v>2.5000000000000001E-2</v>
      </c>
      <c r="AY41" s="186"/>
      <c r="BA41" s="184">
        <f t="shared" ca="1" si="32"/>
        <v>2055</v>
      </c>
      <c r="BB41" s="171">
        <f t="shared" si="13"/>
        <v>1225.96</v>
      </c>
      <c r="BC41" s="171">
        <f t="shared" si="1"/>
        <v>1412.5102269893009</v>
      </c>
      <c r="BD41" s="171">
        <f t="shared" si="42"/>
        <v>1025.54</v>
      </c>
      <c r="BE41" s="171">
        <f t="shared" si="43"/>
        <v>457.83350196754736</v>
      </c>
      <c r="BF41" s="171">
        <f t="shared" si="43"/>
        <v>457.83350196754736</v>
      </c>
      <c r="BG41" s="171">
        <f t="shared" si="43"/>
        <v>457.83350196754736</v>
      </c>
      <c r="BI41" s="187">
        <f>IF(A41-'Invoer gegevens'!$C$17&lt;0,0,IF(A41-'Invoer gegevens'!$C$17=0,1,IF(A41-'Invoer gegevens'!$C$17&lt;5,2,IF(A41-'Invoer gegevens'!$C$17&lt;15,3,4))))</f>
        <v>0</v>
      </c>
      <c r="BJ41" s="229">
        <f>IF(BI41&lt;1,0,IF(BI41&lt;2,4%,IF(Reeksen!BI41&lt;3,4%,IF(Reeksen!BI41&lt;4,4%*70%,IF(Reeksen!BI41&lt;5,4%*50%)))))</f>
        <v>0</v>
      </c>
      <c r="BK41" s="243"/>
      <c r="BL41" s="243"/>
      <c r="BM41" s="243"/>
      <c r="BN41" s="243"/>
      <c r="BO41" s="243"/>
      <c r="BP41" s="243"/>
      <c r="BQ41" s="243"/>
      <c r="BR41" s="243"/>
    </row>
    <row r="42" spans="1:70" x14ac:dyDescent="0.25">
      <c r="A42" s="184">
        <f t="shared" si="15"/>
        <v>37</v>
      </c>
      <c r="B42" s="179">
        <f>Dashboard!$C$25</f>
        <v>0.05</v>
      </c>
      <c r="C42" s="179">
        <f>Dashboard!$C$25</f>
        <v>0.05</v>
      </c>
      <c r="D42" s="179">
        <f>Dashboard!$C$25</f>
        <v>0.05</v>
      </c>
      <c r="F42" s="184">
        <f t="shared" ca="1" si="16"/>
        <v>2056</v>
      </c>
      <c r="G42" s="179">
        <f t="shared" si="39"/>
        <v>0.02</v>
      </c>
      <c r="H42" s="182">
        <f t="shared" si="17"/>
        <v>2.092097560132375</v>
      </c>
      <c r="I42" s="179">
        <f t="shared" si="40"/>
        <v>2.5000000000000001E-2</v>
      </c>
      <c r="J42" s="182">
        <f t="shared" si="18"/>
        <v>2.5107414763620066</v>
      </c>
      <c r="K42" s="179">
        <f t="shared" si="41"/>
        <v>2.5000000000000001E-2</v>
      </c>
      <c r="L42" s="182">
        <f t="shared" si="19"/>
        <v>2.5107414763620066</v>
      </c>
      <c r="N42" s="184">
        <f t="shared" ca="1" si="20"/>
        <v>2056</v>
      </c>
      <c r="O42" s="179">
        <f t="shared" si="36"/>
        <v>0.02</v>
      </c>
      <c r="P42" s="182">
        <f t="shared" si="21"/>
        <v>2.0900667556640942</v>
      </c>
      <c r="R42" s="184">
        <f t="shared" ca="1" si="22"/>
        <v>2056</v>
      </c>
      <c r="S42" s="188">
        <f t="shared" si="38"/>
        <v>5.3600000000000002E-3</v>
      </c>
      <c r="U42" s="184">
        <f t="shared" ca="1" si="23"/>
        <v>2056</v>
      </c>
      <c r="V42" s="182">
        <f t="shared" si="4"/>
        <v>0.02</v>
      </c>
      <c r="W42" s="180">
        <f>Parameters!$D$12</f>
        <v>5.0000000000000001E-3</v>
      </c>
      <c r="X42" s="182">
        <f t="shared" si="5"/>
        <v>2.5000000000000001E-2</v>
      </c>
      <c r="Y42" s="182">
        <f t="shared" si="24"/>
        <v>2.5132163330263073</v>
      </c>
      <c r="AB42" s="184">
        <f t="shared" ca="1" si="25"/>
        <v>2056</v>
      </c>
      <c r="AC42" s="171">
        <f t="shared" si="6"/>
        <v>1256.6081665131537</v>
      </c>
      <c r="AD42" s="171">
        <f t="shared" si="0"/>
        <v>466.99017200689832</v>
      </c>
      <c r="AE42" s="171">
        <f t="shared" si="37"/>
        <v>1440.7604315290869</v>
      </c>
      <c r="AF42" s="171">
        <f t="shared" si="26"/>
        <v>466.99017200689832</v>
      </c>
      <c r="AG42" s="171">
        <f t="shared" si="27"/>
        <v>1046.05</v>
      </c>
      <c r="AH42" s="171">
        <f t="shared" si="7"/>
        <v>1046.05</v>
      </c>
      <c r="AI42" s="171">
        <f t="shared" si="8"/>
        <v>466.99017200689832</v>
      </c>
      <c r="AJ42" s="171">
        <f>IF('Invoer gegevens'!$I$27="DAEB",SMALL(AC42:AD42,1),AC42)</f>
        <v>466.99017200689832</v>
      </c>
      <c r="AK42" s="171">
        <f>IF('Invoer gegevens'!$I$27="DAEB",SMALL((AE42:AH42),1),SMALL((AF42:AH42),1))</f>
        <v>466.99017200689832</v>
      </c>
      <c r="AL42" s="171">
        <f t="shared" si="33"/>
        <v>0</v>
      </c>
      <c r="AM42" s="171">
        <f t="shared" si="34"/>
        <v>0</v>
      </c>
      <c r="AN42" s="175">
        <f t="shared" si="28"/>
        <v>65946</v>
      </c>
      <c r="AP42" s="184">
        <f t="shared" ca="1" si="29"/>
        <v>2056</v>
      </c>
      <c r="AQ42" s="185">
        <f t="shared" si="9"/>
        <v>0.02</v>
      </c>
      <c r="AR42" s="182">
        <f t="shared" si="30"/>
        <v>2.0900667556640942</v>
      </c>
      <c r="AU42" s="184">
        <f t="shared" ca="1" si="31"/>
        <v>2056</v>
      </c>
      <c r="AV42" s="182">
        <f t="shared" si="10"/>
        <v>0.02</v>
      </c>
      <c r="AW42" s="179">
        <f t="shared" si="11"/>
        <v>5.0000000000000001E-3</v>
      </c>
      <c r="AX42" s="182">
        <f t="shared" si="12"/>
        <v>2.5000000000000001E-2</v>
      </c>
      <c r="AY42" s="186"/>
      <c r="BA42" s="184">
        <f t="shared" ca="1" si="32"/>
        <v>2056</v>
      </c>
      <c r="BB42" s="171">
        <f t="shared" si="13"/>
        <v>1256.6099999999999</v>
      </c>
      <c r="BC42" s="171">
        <f t="shared" si="1"/>
        <v>1440.7604315290869</v>
      </c>
      <c r="BD42" s="171">
        <f t="shared" si="42"/>
        <v>1046.05</v>
      </c>
      <c r="BE42" s="171">
        <f t="shared" si="43"/>
        <v>466.99017200689832</v>
      </c>
      <c r="BF42" s="171">
        <f t="shared" si="43"/>
        <v>466.99017200689832</v>
      </c>
      <c r="BG42" s="171">
        <f t="shared" si="43"/>
        <v>466.99017200689832</v>
      </c>
      <c r="BI42" s="187">
        <f>IF(A42-'Invoer gegevens'!$C$17&lt;0,0,IF(A42-'Invoer gegevens'!$C$17=0,1,IF(A42-'Invoer gegevens'!$C$17&lt;5,2,IF(A42-'Invoer gegevens'!$C$17&lt;15,3,4))))</f>
        <v>0</v>
      </c>
      <c r="BJ42" s="229">
        <f>IF(BI42&lt;1,0,IF(BI42&lt;2,4%,IF(Reeksen!BI42&lt;3,4%,IF(Reeksen!BI42&lt;4,4%*70%,IF(Reeksen!BI42&lt;5,4%*50%)))))</f>
        <v>0</v>
      </c>
      <c r="BK42" s="243"/>
      <c r="BL42" s="243"/>
      <c r="BM42" s="243"/>
      <c r="BN42" s="243"/>
      <c r="BO42" s="243"/>
      <c r="BP42" s="243"/>
      <c r="BQ42" s="243"/>
      <c r="BR42" s="243"/>
    </row>
    <row r="43" spans="1:70" x14ac:dyDescent="0.25">
      <c r="A43" s="184">
        <f t="shared" si="15"/>
        <v>38</v>
      </c>
      <c r="B43" s="179">
        <f>Dashboard!$C$25</f>
        <v>0.05</v>
      </c>
      <c r="C43" s="179">
        <f>Dashboard!$C$25</f>
        <v>0.05</v>
      </c>
      <c r="D43" s="179">
        <f>Dashboard!$C$25</f>
        <v>0.05</v>
      </c>
      <c r="F43" s="184">
        <f t="shared" ca="1" si="16"/>
        <v>2057</v>
      </c>
      <c r="G43" s="179">
        <f t="shared" si="39"/>
        <v>0.02</v>
      </c>
      <c r="H43" s="182">
        <f t="shared" si="17"/>
        <v>2.1339395113350226</v>
      </c>
      <c r="I43" s="179">
        <f t="shared" si="40"/>
        <v>2.5000000000000001E-2</v>
      </c>
      <c r="J43" s="182">
        <f t="shared" si="18"/>
        <v>2.5735100132710564</v>
      </c>
      <c r="K43" s="179">
        <f t="shared" si="41"/>
        <v>2.5000000000000001E-2</v>
      </c>
      <c r="L43" s="182">
        <f t="shared" si="19"/>
        <v>2.5735100132710564</v>
      </c>
      <c r="N43" s="184">
        <f t="shared" ca="1" si="20"/>
        <v>2057</v>
      </c>
      <c r="O43" s="179">
        <f t="shared" si="36"/>
        <v>0.02</v>
      </c>
      <c r="P43" s="182">
        <f t="shared" si="21"/>
        <v>2.1318680907773762</v>
      </c>
      <c r="R43" s="184">
        <f t="shared" ca="1" si="22"/>
        <v>2057</v>
      </c>
      <c r="S43" s="188">
        <f t="shared" si="38"/>
        <v>5.3600000000000002E-3</v>
      </c>
      <c r="U43" s="184">
        <f t="shared" ca="1" si="23"/>
        <v>2057</v>
      </c>
      <c r="V43" s="182">
        <f t="shared" si="4"/>
        <v>0.02</v>
      </c>
      <c r="W43" s="180">
        <f>Parameters!$D$12</f>
        <v>5.0000000000000001E-3</v>
      </c>
      <c r="X43" s="182">
        <f t="shared" si="5"/>
        <v>2.5000000000000001E-2</v>
      </c>
      <c r="Y43" s="182">
        <f t="shared" si="24"/>
        <v>2.576046741351965</v>
      </c>
      <c r="AB43" s="184">
        <f t="shared" ca="1" si="25"/>
        <v>2057</v>
      </c>
      <c r="AC43" s="171">
        <f t="shared" si="6"/>
        <v>1288.0233706759825</v>
      </c>
      <c r="AD43" s="171">
        <f t="shared" si="0"/>
        <v>476.3299754470363</v>
      </c>
      <c r="AE43" s="171">
        <f t="shared" si="37"/>
        <v>1469.5756401596686</v>
      </c>
      <c r="AF43" s="171">
        <f t="shared" si="26"/>
        <v>476.3299754470363</v>
      </c>
      <c r="AG43" s="171">
        <f t="shared" si="27"/>
        <v>1066.97</v>
      </c>
      <c r="AH43" s="171">
        <f t="shared" si="7"/>
        <v>1066.97</v>
      </c>
      <c r="AI43" s="171">
        <f t="shared" si="8"/>
        <v>476.3299754470363</v>
      </c>
      <c r="AJ43" s="171">
        <f>IF('Invoer gegevens'!$I$27="DAEB",SMALL(AC43:AD43,1),AC43)</f>
        <v>476.3299754470363</v>
      </c>
      <c r="AK43" s="171">
        <f>IF('Invoer gegevens'!$I$27="DAEB",SMALL((AE43:AH43),1),SMALL((AF43:AH43),1))</f>
        <v>476.3299754470363</v>
      </c>
      <c r="AL43" s="171">
        <f t="shared" si="33"/>
        <v>0</v>
      </c>
      <c r="AM43" s="171">
        <f t="shared" si="34"/>
        <v>0</v>
      </c>
      <c r="AN43" s="175">
        <f t="shared" si="28"/>
        <v>67265</v>
      </c>
      <c r="AP43" s="184">
        <f t="shared" ca="1" si="29"/>
        <v>2057</v>
      </c>
      <c r="AQ43" s="185">
        <f t="shared" si="9"/>
        <v>0.02</v>
      </c>
      <c r="AR43" s="182">
        <f t="shared" si="30"/>
        <v>2.1318680907773762</v>
      </c>
      <c r="AU43" s="184">
        <f t="shared" ca="1" si="31"/>
        <v>2057</v>
      </c>
      <c r="AV43" s="182">
        <f t="shared" si="10"/>
        <v>0.02</v>
      </c>
      <c r="AW43" s="179">
        <f t="shared" si="11"/>
        <v>5.0000000000000001E-3</v>
      </c>
      <c r="AX43" s="182">
        <f t="shared" si="12"/>
        <v>2.5000000000000001E-2</v>
      </c>
      <c r="AY43" s="186"/>
      <c r="BA43" s="184">
        <f t="shared" ca="1" si="32"/>
        <v>2057</v>
      </c>
      <c r="BB43" s="171">
        <f t="shared" si="13"/>
        <v>1288.03</v>
      </c>
      <c r="BC43" s="171">
        <f t="shared" si="1"/>
        <v>1469.5756401596686</v>
      </c>
      <c r="BD43" s="171">
        <f t="shared" si="42"/>
        <v>1066.97</v>
      </c>
      <c r="BE43" s="171">
        <f t="shared" si="43"/>
        <v>476.3299754470363</v>
      </c>
      <c r="BF43" s="171">
        <f t="shared" si="43"/>
        <v>476.3299754470363</v>
      </c>
      <c r="BG43" s="171">
        <f t="shared" si="43"/>
        <v>476.3299754470363</v>
      </c>
      <c r="BI43" s="187">
        <f>IF(A43-'Invoer gegevens'!$C$17&lt;0,0,IF(A43-'Invoer gegevens'!$C$17=0,1,IF(A43-'Invoer gegevens'!$C$17&lt;5,2,IF(A43-'Invoer gegevens'!$C$17&lt;15,3,4))))</f>
        <v>0</v>
      </c>
      <c r="BJ43" s="229">
        <f>IF(BI43&lt;1,0,IF(BI43&lt;2,4%,IF(Reeksen!BI43&lt;3,4%,IF(Reeksen!BI43&lt;4,4%*70%,IF(Reeksen!BI43&lt;5,4%*50%)))))</f>
        <v>0</v>
      </c>
      <c r="BK43" s="243"/>
      <c r="BL43" s="243"/>
      <c r="BM43" s="243"/>
      <c r="BN43" s="243"/>
      <c r="BO43" s="243"/>
      <c r="BP43" s="243"/>
      <c r="BQ43" s="243"/>
      <c r="BR43" s="243"/>
    </row>
    <row r="44" spans="1:70" x14ac:dyDescent="0.25">
      <c r="A44" s="184">
        <f t="shared" si="15"/>
        <v>39</v>
      </c>
      <c r="B44" s="179">
        <f>Dashboard!$C$25</f>
        <v>0.05</v>
      </c>
      <c r="C44" s="179">
        <f>Dashboard!$C$25</f>
        <v>0.05</v>
      </c>
      <c r="D44" s="179">
        <f>Dashboard!$C$25</f>
        <v>0.05</v>
      </c>
      <c r="F44" s="184">
        <f t="shared" ca="1" si="16"/>
        <v>2058</v>
      </c>
      <c r="G44" s="179">
        <f t="shared" si="39"/>
        <v>0.02</v>
      </c>
      <c r="H44" s="182">
        <f t="shared" si="17"/>
        <v>2.1766183015617231</v>
      </c>
      <c r="I44" s="179">
        <f t="shared" si="40"/>
        <v>2.5000000000000001E-2</v>
      </c>
      <c r="J44" s="182">
        <f t="shared" si="18"/>
        <v>2.6378477636028328</v>
      </c>
      <c r="K44" s="179">
        <f t="shared" si="41"/>
        <v>2.5000000000000001E-2</v>
      </c>
      <c r="L44" s="182">
        <f t="shared" si="19"/>
        <v>2.6378477636028328</v>
      </c>
      <c r="N44" s="184">
        <f t="shared" ca="1" si="20"/>
        <v>2058</v>
      </c>
      <c r="O44" s="179">
        <f t="shared" si="36"/>
        <v>0.02</v>
      </c>
      <c r="P44" s="182">
        <f t="shared" si="21"/>
        <v>2.1745054525929239</v>
      </c>
      <c r="R44" s="184">
        <f t="shared" ca="1" si="22"/>
        <v>2058</v>
      </c>
      <c r="S44" s="188">
        <f t="shared" si="38"/>
        <v>5.3600000000000002E-3</v>
      </c>
      <c r="U44" s="184">
        <f t="shared" ca="1" si="23"/>
        <v>2058</v>
      </c>
      <c r="V44" s="182">
        <f t="shared" si="4"/>
        <v>0.02</v>
      </c>
      <c r="W44" s="180">
        <f>Parameters!$D$12</f>
        <v>5.0000000000000001E-3</v>
      </c>
      <c r="X44" s="182">
        <f t="shared" si="5"/>
        <v>2.5000000000000001E-2</v>
      </c>
      <c r="Y44" s="182">
        <f t="shared" si="24"/>
        <v>2.6404479098857641</v>
      </c>
      <c r="AB44" s="184">
        <f t="shared" ca="1" si="25"/>
        <v>2058</v>
      </c>
      <c r="AC44" s="171">
        <f t="shared" si="6"/>
        <v>1320.2239549428821</v>
      </c>
      <c r="AD44" s="171">
        <f t="shared" si="0"/>
        <v>485.85657495597707</v>
      </c>
      <c r="AE44" s="171">
        <f t="shared" si="37"/>
        <v>1498.967152962862</v>
      </c>
      <c r="AF44" s="171">
        <f t="shared" si="26"/>
        <v>485.85657495597707</v>
      </c>
      <c r="AG44" s="171">
        <f t="shared" si="27"/>
        <v>1088.31</v>
      </c>
      <c r="AH44" s="171">
        <f t="shared" si="7"/>
        <v>1088.31</v>
      </c>
      <c r="AI44" s="171">
        <f t="shared" si="8"/>
        <v>485.85657495597707</v>
      </c>
      <c r="AJ44" s="171">
        <f>IF('Invoer gegevens'!$I$27="DAEB",SMALL(AC44:AD44,1),AC44)</f>
        <v>485.85657495597707</v>
      </c>
      <c r="AK44" s="171">
        <f>IF('Invoer gegevens'!$I$27="DAEB",SMALL((AE44:AH44),1),SMALL((AF44:AH44),1))</f>
        <v>485.85657495597707</v>
      </c>
      <c r="AL44" s="171">
        <f t="shared" si="33"/>
        <v>0</v>
      </c>
      <c r="AM44" s="171">
        <f t="shared" si="34"/>
        <v>0</v>
      </c>
      <c r="AN44" s="175">
        <f t="shared" si="28"/>
        <v>68610</v>
      </c>
      <c r="AP44" s="184">
        <f t="shared" ca="1" si="29"/>
        <v>2058</v>
      </c>
      <c r="AQ44" s="185">
        <f t="shared" si="9"/>
        <v>0.02</v>
      </c>
      <c r="AR44" s="182">
        <f t="shared" si="30"/>
        <v>2.1745054525929239</v>
      </c>
      <c r="AU44" s="184">
        <f t="shared" ca="1" si="31"/>
        <v>2058</v>
      </c>
      <c r="AV44" s="182">
        <f t="shared" si="10"/>
        <v>0.02</v>
      </c>
      <c r="AW44" s="179">
        <f t="shared" si="11"/>
        <v>5.0000000000000001E-3</v>
      </c>
      <c r="AX44" s="182">
        <f t="shared" si="12"/>
        <v>2.5000000000000001E-2</v>
      </c>
      <c r="AY44" s="186"/>
      <c r="BA44" s="184">
        <f t="shared" ca="1" si="32"/>
        <v>2058</v>
      </c>
      <c r="BB44" s="171">
        <f t="shared" si="13"/>
        <v>1320.23</v>
      </c>
      <c r="BC44" s="171">
        <f t="shared" si="1"/>
        <v>1498.967152962862</v>
      </c>
      <c r="BD44" s="171">
        <f t="shared" si="42"/>
        <v>1088.31</v>
      </c>
      <c r="BE44" s="171">
        <f t="shared" si="43"/>
        <v>485.85657495597707</v>
      </c>
      <c r="BF44" s="171">
        <f t="shared" si="43"/>
        <v>485.85657495597707</v>
      </c>
      <c r="BG44" s="171">
        <f t="shared" si="43"/>
        <v>485.85657495597707</v>
      </c>
      <c r="BI44" s="187">
        <f>IF(A44-'Invoer gegevens'!$C$17&lt;0,0,IF(A44-'Invoer gegevens'!$C$17=0,1,IF(A44-'Invoer gegevens'!$C$17&lt;5,2,IF(A44-'Invoer gegevens'!$C$17&lt;15,3,4))))</f>
        <v>0</v>
      </c>
      <c r="BJ44" s="229">
        <f>IF(BI44&lt;1,0,IF(BI44&lt;2,4%,IF(Reeksen!BI44&lt;3,4%,IF(Reeksen!BI44&lt;4,4%*70%,IF(Reeksen!BI44&lt;5,4%*50%)))))</f>
        <v>0</v>
      </c>
      <c r="BK44" s="243"/>
      <c r="BL44" s="243"/>
      <c r="BM44" s="243"/>
      <c r="BN44" s="243"/>
      <c r="BO44" s="243"/>
      <c r="BP44" s="243"/>
      <c r="BQ44" s="243"/>
      <c r="BR44" s="243"/>
    </row>
    <row r="45" spans="1:70" x14ac:dyDescent="0.25">
      <c r="A45" s="184">
        <f t="shared" si="15"/>
        <v>40</v>
      </c>
      <c r="B45" s="179">
        <f>Dashboard!$C$25</f>
        <v>0.05</v>
      </c>
      <c r="C45" s="179">
        <f>Dashboard!$C$25</f>
        <v>0.05</v>
      </c>
      <c r="D45" s="179">
        <f>Dashboard!$C$25</f>
        <v>0.05</v>
      </c>
      <c r="F45" s="184">
        <f t="shared" ca="1" si="16"/>
        <v>2059</v>
      </c>
      <c r="G45" s="179">
        <f t="shared" si="39"/>
        <v>0.02</v>
      </c>
      <c r="H45" s="182">
        <f t="shared" si="17"/>
        <v>2.2201506675929576</v>
      </c>
      <c r="I45" s="179">
        <f t="shared" si="40"/>
        <v>2.5000000000000001E-2</v>
      </c>
      <c r="J45" s="182">
        <f t="shared" si="18"/>
        <v>2.7037939576929033</v>
      </c>
      <c r="K45" s="179">
        <f t="shared" si="41"/>
        <v>2.5000000000000001E-2</v>
      </c>
      <c r="L45" s="182">
        <f t="shared" si="19"/>
        <v>2.7037939576929033</v>
      </c>
      <c r="N45" s="184">
        <f t="shared" ca="1" si="20"/>
        <v>2059</v>
      </c>
      <c r="O45" s="179">
        <f t="shared" si="36"/>
        <v>0.02</v>
      </c>
      <c r="P45" s="182">
        <f t="shared" si="21"/>
        <v>2.2179955616447824</v>
      </c>
      <c r="R45" s="184">
        <f t="shared" ca="1" si="22"/>
        <v>2059</v>
      </c>
      <c r="S45" s="188">
        <f t="shared" si="38"/>
        <v>5.3600000000000002E-3</v>
      </c>
      <c r="U45" s="184">
        <f t="shared" ca="1" si="23"/>
        <v>2059</v>
      </c>
      <c r="V45" s="182">
        <f t="shared" si="4"/>
        <v>0.02</v>
      </c>
      <c r="W45" s="180">
        <f>Parameters!$D$12</f>
        <v>5.0000000000000001E-3</v>
      </c>
      <c r="X45" s="182">
        <f t="shared" si="5"/>
        <v>2.5000000000000001E-2</v>
      </c>
      <c r="Y45" s="182">
        <f t="shared" si="24"/>
        <v>2.7064591076329081</v>
      </c>
      <c r="AB45" s="184">
        <f t="shared" ca="1" si="25"/>
        <v>2059</v>
      </c>
      <c r="AC45" s="171">
        <f t="shared" si="6"/>
        <v>1353.229553816454</v>
      </c>
      <c r="AD45" s="171">
        <f t="shared" si="0"/>
        <v>495.57370645509661</v>
      </c>
      <c r="AE45" s="171">
        <f t="shared" si="37"/>
        <v>1528.9464960221192</v>
      </c>
      <c r="AF45" s="171">
        <f t="shared" si="26"/>
        <v>495.57370645509661</v>
      </c>
      <c r="AG45" s="171">
        <f t="shared" si="27"/>
        <v>1110.08</v>
      </c>
      <c r="AH45" s="171">
        <f t="shared" si="7"/>
        <v>1110.08</v>
      </c>
      <c r="AI45" s="171">
        <f t="shared" si="8"/>
        <v>495.57370645509661</v>
      </c>
      <c r="AJ45" s="171">
        <f>IF('Invoer gegevens'!$I$27="DAEB",SMALL(AC45:AD45,1),AC45)</f>
        <v>495.57370645509661</v>
      </c>
      <c r="AK45" s="171">
        <f>IF('Invoer gegevens'!$I$27="DAEB",SMALL((AE45:AH45),1),SMALL((AF45:AH45),1))</f>
        <v>495.57370645509661</v>
      </c>
      <c r="AL45" s="171">
        <f t="shared" si="33"/>
        <v>0</v>
      </c>
      <c r="AM45" s="171">
        <f t="shared" si="34"/>
        <v>0</v>
      </c>
      <c r="AN45" s="175">
        <f t="shared" si="28"/>
        <v>69982</v>
      </c>
      <c r="AP45" s="184">
        <f t="shared" ca="1" si="29"/>
        <v>2059</v>
      </c>
      <c r="AQ45" s="185">
        <f t="shared" si="9"/>
        <v>0.02</v>
      </c>
      <c r="AR45" s="182">
        <f t="shared" si="30"/>
        <v>2.2179955616447824</v>
      </c>
      <c r="AU45" s="184">
        <f t="shared" ca="1" si="31"/>
        <v>2059</v>
      </c>
      <c r="AV45" s="182">
        <f t="shared" si="10"/>
        <v>0.02</v>
      </c>
      <c r="AW45" s="179">
        <f t="shared" si="11"/>
        <v>5.0000000000000001E-3</v>
      </c>
      <c r="AX45" s="182">
        <f t="shared" si="12"/>
        <v>2.5000000000000001E-2</v>
      </c>
      <c r="AY45" s="186"/>
      <c r="BA45" s="184">
        <f t="shared" ca="1" si="32"/>
        <v>2059</v>
      </c>
      <c r="BB45" s="171">
        <f t="shared" si="13"/>
        <v>1353.24</v>
      </c>
      <c r="BC45" s="171">
        <f t="shared" si="1"/>
        <v>1528.9464960221192</v>
      </c>
      <c r="BD45" s="171">
        <f t="shared" si="42"/>
        <v>1110.08</v>
      </c>
      <c r="BE45" s="171">
        <f t="shared" si="43"/>
        <v>495.57370645509661</v>
      </c>
      <c r="BF45" s="171">
        <f t="shared" si="43"/>
        <v>495.57370645509661</v>
      </c>
      <c r="BG45" s="171">
        <f t="shared" si="43"/>
        <v>495.57370645509661</v>
      </c>
      <c r="BI45" s="187">
        <f>IF(A45-'Invoer gegevens'!$C$17&lt;0,0,IF(A45-'Invoer gegevens'!$C$17=0,1,IF(A45-'Invoer gegevens'!$C$17&lt;5,2,IF(A45-'Invoer gegevens'!$C$17&lt;15,3,4))))</f>
        <v>0</v>
      </c>
      <c r="BJ45" s="229">
        <f>IF(BI45&lt;1,0,IF(BI45&lt;2,4%,IF(Reeksen!BI45&lt;3,4%,IF(Reeksen!BI45&lt;4,4%*70%,IF(Reeksen!BI45&lt;5,4%*50%)))))</f>
        <v>0</v>
      </c>
      <c r="BK45" s="243"/>
      <c r="BL45" s="243"/>
      <c r="BM45" s="243"/>
      <c r="BN45" s="243"/>
      <c r="BO45" s="243"/>
      <c r="BP45" s="243"/>
      <c r="BQ45" s="243"/>
      <c r="BR45" s="243"/>
    </row>
    <row r="46" spans="1:70" x14ac:dyDescent="0.25">
      <c r="A46" s="184">
        <f t="shared" si="15"/>
        <v>41</v>
      </c>
      <c r="B46" s="179">
        <f>Dashboard!$C$25</f>
        <v>0.05</v>
      </c>
      <c r="C46" s="179">
        <f>Dashboard!$C$25</f>
        <v>0.05</v>
      </c>
      <c r="D46" s="179">
        <f>Dashboard!$C$25</f>
        <v>0.05</v>
      </c>
      <c r="F46" s="184">
        <f t="shared" ca="1" si="16"/>
        <v>2060</v>
      </c>
      <c r="G46" s="179">
        <f t="shared" si="39"/>
        <v>0.02</v>
      </c>
      <c r="H46" s="182">
        <f t="shared" si="17"/>
        <v>2.2645536809448168</v>
      </c>
      <c r="I46" s="179">
        <f t="shared" si="40"/>
        <v>2.5000000000000001E-2</v>
      </c>
      <c r="J46" s="182">
        <f t="shared" si="18"/>
        <v>2.7713888066352257</v>
      </c>
      <c r="K46" s="179">
        <f t="shared" si="41"/>
        <v>2.5000000000000001E-2</v>
      </c>
      <c r="L46" s="182">
        <f t="shared" si="19"/>
        <v>2.7713888066352257</v>
      </c>
      <c r="N46" s="184">
        <f t="shared" ca="1" si="20"/>
        <v>2060</v>
      </c>
      <c r="O46" s="179">
        <f t="shared" si="36"/>
        <v>0.02</v>
      </c>
      <c r="P46" s="182">
        <f t="shared" si="21"/>
        <v>2.2623554728776782</v>
      </c>
      <c r="R46" s="184">
        <f t="shared" ca="1" si="22"/>
        <v>2060</v>
      </c>
      <c r="S46" s="188">
        <f t="shared" si="38"/>
        <v>5.3600000000000002E-3</v>
      </c>
      <c r="U46" s="184">
        <f t="shared" ca="1" si="23"/>
        <v>2060</v>
      </c>
      <c r="V46" s="182">
        <f t="shared" si="4"/>
        <v>0.02</v>
      </c>
      <c r="W46" s="180">
        <f>Parameters!$D$12</f>
        <v>5.0000000000000001E-3</v>
      </c>
      <c r="X46" s="182">
        <f t="shared" si="5"/>
        <v>2.5000000000000001E-2</v>
      </c>
      <c r="Y46" s="182">
        <f t="shared" si="24"/>
        <v>2.7741205853237307</v>
      </c>
      <c r="AB46" s="184">
        <f t="shared" ca="1" si="25"/>
        <v>2060</v>
      </c>
      <c r="AC46" s="171">
        <f t="shared" si="6"/>
        <v>1387.0602926618653</v>
      </c>
      <c r="AD46" s="171">
        <f t="shared" si="0"/>
        <v>505.48518058419853</v>
      </c>
      <c r="AE46" s="171">
        <f t="shared" si="37"/>
        <v>1559.5254259425615</v>
      </c>
      <c r="AF46" s="171">
        <f t="shared" si="26"/>
        <v>505.48518058419853</v>
      </c>
      <c r="AG46" s="171">
        <f t="shared" si="27"/>
        <v>1132.28</v>
      </c>
      <c r="AH46" s="171">
        <f t="shared" si="7"/>
        <v>1132.28</v>
      </c>
      <c r="AI46" s="171">
        <f t="shared" si="8"/>
        <v>505.48518058419853</v>
      </c>
      <c r="AJ46" s="171">
        <f>IF('Invoer gegevens'!$I$27="DAEB",SMALL(AC46:AD46,1),AC46)</f>
        <v>505.48518058419853</v>
      </c>
      <c r="AK46" s="171">
        <f>IF('Invoer gegevens'!$I$27="DAEB",SMALL((AE46:AH46),1),SMALL((AF46:AH46),1))</f>
        <v>505.48518058419853</v>
      </c>
      <c r="AL46" s="171">
        <f t="shared" si="33"/>
        <v>0</v>
      </c>
      <c r="AM46" s="171">
        <f t="shared" si="34"/>
        <v>0</v>
      </c>
      <c r="AN46" s="175">
        <f t="shared" si="28"/>
        <v>71382</v>
      </c>
      <c r="AP46" s="184">
        <f t="shared" ca="1" si="29"/>
        <v>2060</v>
      </c>
      <c r="AQ46" s="185">
        <f t="shared" si="9"/>
        <v>0.02</v>
      </c>
      <c r="AR46" s="182">
        <f t="shared" si="30"/>
        <v>2.2623554728776782</v>
      </c>
      <c r="AU46" s="184">
        <f t="shared" ca="1" si="31"/>
        <v>2060</v>
      </c>
      <c r="AV46" s="182">
        <f t="shared" si="10"/>
        <v>0.02</v>
      </c>
      <c r="AW46" s="179">
        <f t="shared" si="11"/>
        <v>5.0000000000000001E-3</v>
      </c>
      <c r="AX46" s="182">
        <f t="shared" si="12"/>
        <v>2.5000000000000001E-2</v>
      </c>
      <c r="AY46" s="186"/>
      <c r="BA46" s="184">
        <f t="shared" ca="1" si="32"/>
        <v>2060</v>
      </c>
      <c r="BB46" s="171">
        <f t="shared" si="13"/>
        <v>1387.07</v>
      </c>
      <c r="BC46" s="171">
        <f t="shared" si="1"/>
        <v>1559.5254259425615</v>
      </c>
      <c r="BD46" s="171">
        <f t="shared" si="42"/>
        <v>1132.28</v>
      </c>
      <c r="BE46" s="171">
        <f t="shared" si="43"/>
        <v>505.48518058419853</v>
      </c>
      <c r="BF46" s="171">
        <f t="shared" si="43"/>
        <v>505.48518058419853</v>
      </c>
      <c r="BG46" s="171">
        <f t="shared" si="43"/>
        <v>505.48518058419853</v>
      </c>
      <c r="BI46" s="187">
        <f>IF(A46-'Invoer gegevens'!$C$17&lt;0,0,IF(A46-'Invoer gegevens'!$C$17=0,1,IF(A46-'Invoer gegevens'!$C$17&lt;5,2,IF(A46-'Invoer gegevens'!$C$17&lt;15,3,4))))</f>
        <v>0</v>
      </c>
      <c r="BJ46" s="229">
        <f>IF(BI46&lt;1,0,IF(BI46&lt;2,4%,IF(Reeksen!BI46&lt;3,4%,IF(Reeksen!BI46&lt;4,4%*70%,IF(Reeksen!BI46&lt;5,4%*50%)))))</f>
        <v>0</v>
      </c>
      <c r="BK46" s="243"/>
      <c r="BL46" s="243"/>
      <c r="BM46" s="243"/>
      <c r="BN46" s="243"/>
      <c r="BO46" s="243"/>
      <c r="BP46" s="243"/>
      <c r="BQ46" s="243"/>
      <c r="BR46" s="243"/>
    </row>
    <row r="47" spans="1:70" x14ac:dyDescent="0.25">
      <c r="A47" s="184">
        <f t="shared" si="15"/>
        <v>42</v>
      </c>
      <c r="B47" s="179">
        <f>Dashboard!$C$25</f>
        <v>0.05</v>
      </c>
      <c r="C47" s="179">
        <f>Dashboard!$C$25</f>
        <v>0.05</v>
      </c>
      <c r="D47" s="179">
        <f>Dashboard!$C$25</f>
        <v>0.05</v>
      </c>
      <c r="F47" s="184">
        <f t="shared" ca="1" si="16"/>
        <v>2061</v>
      </c>
      <c r="G47" s="179">
        <f t="shared" si="39"/>
        <v>0.02</v>
      </c>
      <c r="H47" s="182">
        <f t="shared" si="17"/>
        <v>2.3098447545637133</v>
      </c>
      <c r="I47" s="179">
        <f t="shared" si="40"/>
        <v>2.5000000000000001E-2</v>
      </c>
      <c r="J47" s="182">
        <f t="shared" si="18"/>
        <v>2.8406735268011061</v>
      </c>
      <c r="K47" s="179">
        <f t="shared" si="41"/>
        <v>2.5000000000000001E-2</v>
      </c>
      <c r="L47" s="182">
        <f t="shared" si="19"/>
        <v>2.8406735268011061</v>
      </c>
      <c r="N47" s="184">
        <f t="shared" ca="1" si="20"/>
        <v>2061</v>
      </c>
      <c r="O47" s="179">
        <f t="shared" si="36"/>
        <v>0.02</v>
      </c>
      <c r="P47" s="182">
        <f t="shared" si="21"/>
        <v>2.3076025823352317</v>
      </c>
      <c r="R47" s="184">
        <f t="shared" ca="1" si="22"/>
        <v>2061</v>
      </c>
      <c r="S47" s="188">
        <f t="shared" si="38"/>
        <v>5.3600000000000002E-3</v>
      </c>
      <c r="U47" s="184">
        <f t="shared" ca="1" si="23"/>
        <v>2061</v>
      </c>
      <c r="V47" s="182">
        <f t="shared" si="4"/>
        <v>0.02</v>
      </c>
      <c r="W47" s="180">
        <f>Parameters!$D$12</f>
        <v>5.0000000000000001E-3</v>
      </c>
      <c r="X47" s="182">
        <f t="shared" si="5"/>
        <v>2.5000000000000001E-2</v>
      </c>
      <c r="Y47" s="182">
        <f t="shared" si="24"/>
        <v>2.8434735999568237</v>
      </c>
      <c r="AB47" s="184">
        <f t="shared" ca="1" si="25"/>
        <v>2061</v>
      </c>
      <c r="AC47" s="171">
        <f t="shared" si="6"/>
        <v>1421.7367999784119</v>
      </c>
      <c r="AD47" s="171">
        <f t="shared" si="0"/>
        <v>515.59488419588251</v>
      </c>
      <c r="AE47" s="171">
        <f t="shared" si="37"/>
        <v>1590.7159344614126</v>
      </c>
      <c r="AF47" s="171">
        <f t="shared" si="26"/>
        <v>515.59488419588251</v>
      </c>
      <c r="AG47" s="171">
        <f t="shared" si="27"/>
        <v>1154.93</v>
      </c>
      <c r="AH47" s="171">
        <f t="shared" si="7"/>
        <v>1154.93</v>
      </c>
      <c r="AI47" s="171">
        <f t="shared" si="8"/>
        <v>515.59488419588251</v>
      </c>
      <c r="AJ47" s="171">
        <f>IF('Invoer gegevens'!$I$27="DAEB",SMALL(AC47:AD47,1),AC47)</f>
        <v>515.59488419588251</v>
      </c>
      <c r="AK47" s="171">
        <f>IF('Invoer gegevens'!$I$27="DAEB",SMALL((AE47:AH47),1),SMALL((AF47:AH47),1))</f>
        <v>515.59488419588251</v>
      </c>
      <c r="AL47" s="171">
        <f t="shared" si="33"/>
        <v>0</v>
      </c>
      <c r="AM47" s="171">
        <f t="shared" si="34"/>
        <v>0</v>
      </c>
      <c r="AN47" s="175">
        <f t="shared" si="28"/>
        <v>72810</v>
      </c>
      <c r="AP47" s="184">
        <f t="shared" ca="1" si="29"/>
        <v>2061</v>
      </c>
      <c r="AQ47" s="185">
        <f t="shared" si="9"/>
        <v>0.02</v>
      </c>
      <c r="AR47" s="182">
        <f t="shared" si="30"/>
        <v>2.3076025823352317</v>
      </c>
      <c r="AU47" s="184">
        <f t="shared" ca="1" si="31"/>
        <v>2061</v>
      </c>
      <c r="AV47" s="182">
        <f t="shared" si="10"/>
        <v>0.02</v>
      </c>
      <c r="AW47" s="179">
        <f t="shared" si="11"/>
        <v>5.0000000000000001E-3</v>
      </c>
      <c r="AX47" s="182">
        <f t="shared" si="12"/>
        <v>2.5000000000000001E-2</v>
      </c>
      <c r="AY47" s="186"/>
      <c r="BA47" s="184">
        <f t="shared" ca="1" si="32"/>
        <v>2061</v>
      </c>
      <c r="BB47" s="171">
        <f t="shared" si="13"/>
        <v>1421.75</v>
      </c>
      <c r="BC47" s="171">
        <f t="shared" si="1"/>
        <v>1590.7159344614126</v>
      </c>
      <c r="BD47" s="171">
        <f t="shared" si="42"/>
        <v>1154.93</v>
      </c>
      <c r="BE47" s="171">
        <f t="shared" si="43"/>
        <v>515.59488419588251</v>
      </c>
      <c r="BF47" s="171">
        <f t="shared" si="43"/>
        <v>515.59488419588251</v>
      </c>
      <c r="BG47" s="171">
        <f t="shared" si="43"/>
        <v>515.59488419588251</v>
      </c>
      <c r="BI47" s="187">
        <f>IF(A47-'Invoer gegevens'!$C$17&lt;0,0,IF(A47-'Invoer gegevens'!$C$17=0,1,IF(A47-'Invoer gegevens'!$C$17&lt;5,2,IF(A47-'Invoer gegevens'!$C$17&lt;15,3,4))))</f>
        <v>0</v>
      </c>
      <c r="BJ47" s="229">
        <f>IF(BI47&lt;1,0,IF(BI47&lt;2,4%,IF(Reeksen!BI47&lt;3,4%,IF(Reeksen!BI47&lt;4,4%*70%,IF(Reeksen!BI47&lt;5,4%*50%)))))</f>
        <v>0</v>
      </c>
      <c r="BK47" s="243"/>
      <c r="BL47" s="243"/>
      <c r="BM47" s="243"/>
      <c r="BN47" s="243"/>
      <c r="BO47" s="243"/>
      <c r="BP47" s="243"/>
      <c r="BQ47" s="243"/>
      <c r="BR47" s="243"/>
    </row>
    <row r="48" spans="1:70" x14ac:dyDescent="0.25">
      <c r="A48" s="184">
        <f t="shared" si="15"/>
        <v>43</v>
      </c>
      <c r="B48" s="179">
        <f>Dashboard!$C$25</f>
        <v>0.05</v>
      </c>
      <c r="C48" s="179">
        <f>Dashboard!$C$25</f>
        <v>0.05</v>
      </c>
      <c r="D48" s="179">
        <f>Dashboard!$C$25</f>
        <v>0.05</v>
      </c>
      <c r="F48" s="184">
        <f t="shared" ca="1" si="16"/>
        <v>2062</v>
      </c>
      <c r="G48" s="179">
        <f t="shared" si="39"/>
        <v>0.02</v>
      </c>
      <c r="H48" s="182">
        <f t="shared" si="17"/>
        <v>2.3560416496549874</v>
      </c>
      <c r="I48" s="179">
        <f t="shared" si="40"/>
        <v>2.5000000000000001E-2</v>
      </c>
      <c r="J48" s="182">
        <f t="shared" si="18"/>
        <v>2.9116903649711334</v>
      </c>
      <c r="K48" s="179">
        <f t="shared" si="41"/>
        <v>2.5000000000000001E-2</v>
      </c>
      <c r="L48" s="182">
        <f t="shared" si="19"/>
        <v>2.9116903649711334</v>
      </c>
      <c r="N48" s="184">
        <f t="shared" ca="1" si="20"/>
        <v>2062</v>
      </c>
      <c r="O48" s="179">
        <f t="shared" si="36"/>
        <v>0.02</v>
      </c>
      <c r="P48" s="182">
        <f t="shared" si="21"/>
        <v>2.3537546339819366</v>
      </c>
      <c r="R48" s="184">
        <f t="shared" ca="1" si="22"/>
        <v>2062</v>
      </c>
      <c r="S48" s="188">
        <f t="shared" si="38"/>
        <v>5.3600000000000002E-3</v>
      </c>
      <c r="U48" s="184">
        <f t="shared" ca="1" si="23"/>
        <v>2062</v>
      </c>
      <c r="V48" s="182">
        <f t="shared" si="4"/>
        <v>0.02</v>
      </c>
      <c r="W48" s="180">
        <f>Parameters!$D$12</f>
        <v>5.0000000000000001E-3</v>
      </c>
      <c r="X48" s="182">
        <f t="shared" si="5"/>
        <v>2.5000000000000001E-2</v>
      </c>
      <c r="Y48" s="182">
        <f t="shared" si="24"/>
        <v>2.9145604399557441</v>
      </c>
      <c r="AB48" s="184">
        <f t="shared" ca="1" si="25"/>
        <v>2062</v>
      </c>
      <c r="AC48" s="171">
        <f t="shared" si="6"/>
        <v>1457.2802199778721</v>
      </c>
      <c r="AD48" s="171">
        <f t="shared" si="0"/>
        <v>525.90678187980018</v>
      </c>
      <c r="AE48" s="171">
        <f t="shared" si="37"/>
        <v>1622.5302531506409</v>
      </c>
      <c r="AF48" s="171">
        <f t="shared" si="26"/>
        <v>525.90678187980018</v>
      </c>
      <c r="AG48" s="171">
        <f t="shared" si="27"/>
        <v>1178.03</v>
      </c>
      <c r="AH48" s="171">
        <f t="shared" si="7"/>
        <v>1178.03</v>
      </c>
      <c r="AI48" s="171">
        <f t="shared" si="8"/>
        <v>525.90678187980018</v>
      </c>
      <c r="AJ48" s="171">
        <f>IF('Invoer gegevens'!$I$27="DAEB",SMALL(AC48:AD48,1),AC48)</f>
        <v>525.90678187980018</v>
      </c>
      <c r="AK48" s="171">
        <f>IF('Invoer gegevens'!$I$27="DAEB",SMALL((AE48:AH48),1),SMALL((AF48:AH48),1))</f>
        <v>525.90678187980018</v>
      </c>
      <c r="AL48" s="171">
        <f t="shared" si="33"/>
        <v>0</v>
      </c>
      <c r="AM48" s="171">
        <f t="shared" si="34"/>
        <v>0</v>
      </c>
      <c r="AN48" s="175">
        <f t="shared" si="28"/>
        <v>74266</v>
      </c>
      <c r="AP48" s="184">
        <f t="shared" ca="1" si="29"/>
        <v>2062</v>
      </c>
      <c r="AQ48" s="185">
        <f t="shared" si="9"/>
        <v>0.02</v>
      </c>
      <c r="AR48" s="182">
        <f t="shared" si="30"/>
        <v>2.3537546339819366</v>
      </c>
      <c r="AU48" s="184">
        <f t="shared" ca="1" si="31"/>
        <v>2062</v>
      </c>
      <c r="AV48" s="182">
        <f t="shared" si="10"/>
        <v>0.02</v>
      </c>
      <c r="AW48" s="179">
        <f t="shared" si="11"/>
        <v>5.0000000000000001E-3</v>
      </c>
      <c r="AX48" s="182">
        <f t="shared" si="12"/>
        <v>2.5000000000000001E-2</v>
      </c>
      <c r="AY48" s="186"/>
      <c r="BA48" s="184">
        <f t="shared" ca="1" si="32"/>
        <v>2062</v>
      </c>
      <c r="BB48" s="171">
        <f t="shared" si="13"/>
        <v>1457.29</v>
      </c>
      <c r="BC48" s="171">
        <f t="shared" si="1"/>
        <v>1622.5302531506409</v>
      </c>
      <c r="BD48" s="171">
        <f t="shared" si="42"/>
        <v>1178.03</v>
      </c>
      <c r="BE48" s="171">
        <f t="shared" si="43"/>
        <v>525.90678187980018</v>
      </c>
      <c r="BF48" s="171">
        <f t="shared" si="43"/>
        <v>525.90678187980018</v>
      </c>
      <c r="BG48" s="171">
        <f t="shared" si="43"/>
        <v>525.90678187980018</v>
      </c>
      <c r="BI48" s="187">
        <f>IF(A48-'Invoer gegevens'!$C$17&lt;0,0,IF(A48-'Invoer gegevens'!$C$17=0,1,IF(A48-'Invoer gegevens'!$C$17&lt;5,2,IF(A48-'Invoer gegevens'!$C$17&lt;15,3,4))))</f>
        <v>0</v>
      </c>
      <c r="BJ48" s="229">
        <f>IF(BI48&lt;1,0,IF(BI48&lt;2,4%,IF(Reeksen!BI48&lt;3,4%,IF(Reeksen!BI48&lt;4,4%*70%,IF(Reeksen!BI48&lt;5,4%*50%)))))</f>
        <v>0</v>
      </c>
      <c r="BK48" s="243"/>
      <c r="BL48" s="243"/>
      <c r="BM48" s="243"/>
      <c r="BN48" s="243"/>
      <c r="BO48" s="243"/>
      <c r="BP48" s="243"/>
      <c r="BQ48" s="243"/>
      <c r="BR48" s="243"/>
    </row>
    <row r="49" spans="1:70" x14ac:dyDescent="0.25">
      <c r="A49" s="184">
        <f t="shared" si="15"/>
        <v>44</v>
      </c>
      <c r="B49" s="179">
        <f>Dashboard!$C$25</f>
        <v>0.05</v>
      </c>
      <c r="C49" s="179">
        <f>Dashboard!$C$25</f>
        <v>0.05</v>
      </c>
      <c r="D49" s="179">
        <f>Dashboard!$C$25</f>
        <v>0.05</v>
      </c>
      <c r="F49" s="184">
        <f t="shared" ca="1" si="16"/>
        <v>2063</v>
      </c>
      <c r="G49" s="179">
        <f t="shared" si="39"/>
        <v>0.02</v>
      </c>
      <c r="H49" s="182">
        <f t="shared" si="17"/>
        <v>2.4031624826480873</v>
      </c>
      <c r="I49" s="179">
        <f t="shared" si="40"/>
        <v>2.5000000000000001E-2</v>
      </c>
      <c r="J49" s="182">
        <f t="shared" si="18"/>
        <v>2.9844826240954117</v>
      </c>
      <c r="K49" s="179">
        <f t="shared" si="41"/>
        <v>2.5000000000000001E-2</v>
      </c>
      <c r="L49" s="182">
        <f t="shared" si="19"/>
        <v>2.9844826240954117</v>
      </c>
      <c r="N49" s="184">
        <f t="shared" ca="1" si="20"/>
        <v>2063</v>
      </c>
      <c r="O49" s="179">
        <f t="shared" si="36"/>
        <v>0.02</v>
      </c>
      <c r="P49" s="182">
        <f t="shared" si="21"/>
        <v>2.4008297266615752</v>
      </c>
      <c r="R49" s="184">
        <f t="shared" ca="1" si="22"/>
        <v>2063</v>
      </c>
      <c r="S49" s="188">
        <f t="shared" si="38"/>
        <v>5.3600000000000002E-3</v>
      </c>
      <c r="U49" s="184">
        <f t="shared" ca="1" si="23"/>
        <v>2063</v>
      </c>
      <c r="V49" s="182">
        <f t="shared" si="4"/>
        <v>0.02</v>
      </c>
      <c r="W49" s="180">
        <f>Parameters!$D$12</f>
        <v>5.0000000000000001E-3</v>
      </c>
      <c r="X49" s="182">
        <f t="shared" si="5"/>
        <v>2.5000000000000001E-2</v>
      </c>
      <c r="Y49" s="182">
        <f t="shared" si="24"/>
        <v>2.9874244509546375</v>
      </c>
      <c r="AB49" s="184">
        <f t="shared" ca="1" si="25"/>
        <v>2063</v>
      </c>
      <c r="AC49" s="171">
        <f t="shared" si="6"/>
        <v>1493.7122254773187</v>
      </c>
      <c r="AD49" s="171">
        <f t="shared" si="0"/>
        <v>536.42491751739624</v>
      </c>
      <c r="AE49" s="171">
        <f t="shared" si="37"/>
        <v>1654.9808582136536</v>
      </c>
      <c r="AF49" s="171">
        <f t="shared" si="26"/>
        <v>536.42491751739624</v>
      </c>
      <c r="AG49" s="171">
        <f t="shared" si="27"/>
        <v>1201.5899999999999</v>
      </c>
      <c r="AH49" s="171">
        <f t="shared" si="7"/>
        <v>1201.5899999999999</v>
      </c>
      <c r="AI49" s="171">
        <f t="shared" si="8"/>
        <v>536.42491751739624</v>
      </c>
      <c r="AJ49" s="171">
        <f>IF('Invoer gegevens'!$I$27="DAEB",SMALL(AC49:AD49,1),AC49)</f>
        <v>536.42491751739624</v>
      </c>
      <c r="AK49" s="171">
        <f>IF('Invoer gegevens'!$I$27="DAEB",SMALL((AE49:AH49),1),SMALL((AF49:AH49),1))</f>
        <v>536.42491751739624</v>
      </c>
      <c r="AL49" s="171">
        <f t="shared" si="33"/>
        <v>0</v>
      </c>
      <c r="AM49" s="171">
        <f t="shared" si="34"/>
        <v>0</v>
      </c>
      <c r="AN49" s="175">
        <f t="shared" si="28"/>
        <v>75751</v>
      </c>
      <c r="AP49" s="184">
        <f t="shared" ca="1" si="29"/>
        <v>2063</v>
      </c>
      <c r="AQ49" s="185">
        <f t="shared" si="9"/>
        <v>0.02</v>
      </c>
      <c r="AR49" s="182">
        <f t="shared" si="30"/>
        <v>2.4008297266615752</v>
      </c>
      <c r="AU49" s="184">
        <f t="shared" ca="1" si="31"/>
        <v>2063</v>
      </c>
      <c r="AV49" s="182">
        <f t="shared" si="10"/>
        <v>0.02</v>
      </c>
      <c r="AW49" s="179">
        <f t="shared" si="11"/>
        <v>5.0000000000000001E-3</v>
      </c>
      <c r="AX49" s="182">
        <f t="shared" si="12"/>
        <v>2.5000000000000001E-2</v>
      </c>
      <c r="AY49" s="186"/>
      <c r="BA49" s="184">
        <f t="shared" ca="1" si="32"/>
        <v>2063</v>
      </c>
      <c r="BB49" s="171">
        <f t="shared" si="13"/>
        <v>1493.72</v>
      </c>
      <c r="BC49" s="171">
        <f t="shared" si="1"/>
        <v>1654.9808582136536</v>
      </c>
      <c r="BD49" s="171">
        <f t="shared" si="42"/>
        <v>1201.5899999999999</v>
      </c>
      <c r="BE49" s="171">
        <f t="shared" si="43"/>
        <v>536.42491751739624</v>
      </c>
      <c r="BF49" s="171">
        <f t="shared" si="43"/>
        <v>536.42491751739624</v>
      </c>
      <c r="BG49" s="171">
        <f t="shared" si="43"/>
        <v>536.42491751739624</v>
      </c>
      <c r="BI49" s="187">
        <f>IF(A49-'Invoer gegevens'!$C$17&lt;0,0,IF(A49-'Invoer gegevens'!$C$17=0,1,IF(A49-'Invoer gegevens'!$C$17&lt;5,2,IF(A49-'Invoer gegevens'!$C$17&lt;15,3,4))))</f>
        <v>0</v>
      </c>
      <c r="BJ49" s="229">
        <f>IF(BI49&lt;1,0,IF(BI49&lt;2,4%,IF(Reeksen!BI49&lt;3,4%,IF(Reeksen!BI49&lt;4,4%*70%,IF(Reeksen!BI49&lt;5,4%*50%)))))</f>
        <v>0</v>
      </c>
      <c r="BK49" s="243"/>
      <c r="BL49" s="243"/>
      <c r="BM49" s="243"/>
      <c r="BN49" s="243"/>
      <c r="BO49" s="243"/>
      <c r="BP49" s="243"/>
      <c r="BQ49" s="243"/>
      <c r="BR49" s="243"/>
    </row>
    <row r="50" spans="1:70" x14ac:dyDescent="0.25">
      <c r="A50" s="184">
        <f t="shared" si="15"/>
        <v>45</v>
      </c>
      <c r="B50" s="179">
        <f>Dashboard!$C$25</f>
        <v>0.05</v>
      </c>
      <c r="C50" s="179">
        <f>Dashboard!$C$25</f>
        <v>0.05</v>
      </c>
      <c r="D50" s="179">
        <f>Dashboard!$C$25</f>
        <v>0.05</v>
      </c>
      <c r="F50" s="184">
        <f t="shared" ca="1" si="16"/>
        <v>2064</v>
      </c>
      <c r="G50" s="179">
        <f t="shared" si="39"/>
        <v>0.02</v>
      </c>
      <c r="H50" s="182">
        <f t="shared" si="17"/>
        <v>2.4512257323010491</v>
      </c>
      <c r="I50" s="179">
        <f t="shared" si="40"/>
        <v>2.5000000000000001E-2</v>
      </c>
      <c r="J50" s="182">
        <f t="shared" si="18"/>
        <v>3.0590946896977966</v>
      </c>
      <c r="K50" s="179">
        <f t="shared" si="41"/>
        <v>2.5000000000000001E-2</v>
      </c>
      <c r="L50" s="182">
        <f t="shared" si="19"/>
        <v>3.0590946896977966</v>
      </c>
      <c r="N50" s="184">
        <f t="shared" ca="1" si="20"/>
        <v>2064</v>
      </c>
      <c r="O50" s="179">
        <f t="shared" si="36"/>
        <v>0.02</v>
      </c>
      <c r="P50" s="182">
        <f t="shared" si="21"/>
        <v>2.4488463211948068</v>
      </c>
      <c r="R50" s="184">
        <f t="shared" ca="1" si="22"/>
        <v>2064</v>
      </c>
      <c r="S50" s="188">
        <f t="shared" si="38"/>
        <v>5.3600000000000002E-3</v>
      </c>
      <c r="U50" s="184">
        <f t="shared" ca="1" si="23"/>
        <v>2064</v>
      </c>
      <c r="V50" s="182">
        <f t="shared" si="4"/>
        <v>0.02</v>
      </c>
      <c r="W50" s="180">
        <f>Parameters!$D$12</f>
        <v>5.0000000000000001E-3</v>
      </c>
      <c r="X50" s="182">
        <f t="shared" si="5"/>
        <v>2.5000000000000001E-2</v>
      </c>
      <c r="Y50" s="182">
        <f t="shared" si="24"/>
        <v>3.0621100622285033</v>
      </c>
      <c r="AB50" s="184">
        <f t="shared" ca="1" si="25"/>
        <v>2064</v>
      </c>
      <c r="AC50" s="171">
        <f t="shared" si="6"/>
        <v>1531.0550311142517</v>
      </c>
      <c r="AD50" s="171">
        <f t="shared" si="0"/>
        <v>547.15341586774412</v>
      </c>
      <c r="AE50" s="171">
        <f t="shared" si="37"/>
        <v>1688.0804753779266</v>
      </c>
      <c r="AF50" s="171">
        <f t="shared" si="26"/>
        <v>547.15341586774412</v>
      </c>
      <c r="AG50" s="171">
        <f t="shared" si="27"/>
        <v>1225.6199999999999</v>
      </c>
      <c r="AH50" s="171">
        <f t="shared" si="7"/>
        <v>1225.6199999999999</v>
      </c>
      <c r="AI50" s="171">
        <f t="shared" si="8"/>
        <v>547.15341586774412</v>
      </c>
      <c r="AJ50" s="171">
        <f>IF('Invoer gegevens'!$I$27="DAEB",SMALL(AC50:AD50,1),AC50)</f>
        <v>547.15341586774412</v>
      </c>
      <c r="AK50" s="171">
        <f>IF('Invoer gegevens'!$I$27="DAEB",SMALL((AE50:AH50),1),SMALL((AF50:AH50),1))</f>
        <v>547.15341586774412</v>
      </c>
      <c r="AL50" s="171">
        <f t="shared" si="33"/>
        <v>0</v>
      </c>
      <c r="AM50" s="171">
        <f t="shared" si="34"/>
        <v>0</v>
      </c>
      <c r="AN50" s="175">
        <f t="shared" si="28"/>
        <v>77266</v>
      </c>
      <c r="AP50" s="184">
        <f t="shared" ca="1" si="29"/>
        <v>2064</v>
      </c>
      <c r="AQ50" s="185">
        <f t="shared" si="9"/>
        <v>0.02</v>
      </c>
      <c r="AR50" s="182">
        <f t="shared" si="30"/>
        <v>2.4488463211948068</v>
      </c>
      <c r="AU50" s="184">
        <f t="shared" ca="1" si="31"/>
        <v>2064</v>
      </c>
      <c r="AV50" s="182">
        <f t="shared" si="10"/>
        <v>0.02</v>
      </c>
      <c r="AW50" s="179">
        <f t="shared" si="11"/>
        <v>5.0000000000000001E-3</v>
      </c>
      <c r="AX50" s="182">
        <f t="shared" si="12"/>
        <v>2.5000000000000001E-2</v>
      </c>
      <c r="AY50" s="186"/>
      <c r="BA50" s="184">
        <f t="shared" ca="1" si="32"/>
        <v>2064</v>
      </c>
      <c r="BB50" s="171">
        <f t="shared" si="13"/>
        <v>1531.06</v>
      </c>
      <c r="BC50" s="171">
        <f t="shared" si="1"/>
        <v>1688.0804753779266</v>
      </c>
      <c r="BD50" s="171">
        <f t="shared" si="42"/>
        <v>1225.6199999999999</v>
      </c>
      <c r="BE50" s="171">
        <f t="shared" si="43"/>
        <v>547.15341586774412</v>
      </c>
      <c r="BF50" s="171">
        <f t="shared" si="43"/>
        <v>547.15341586774412</v>
      </c>
      <c r="BG50" s="171">
        <f t="shared" si="43"/>
        <v>547.15341586774412</v>
      </c>
      <c r="BI50" s="187">
        <f>IF(A50-'Invoer gegevens'!$C$17&lt;0,0,IF(A50-'Invoer gegevens'!$C$17=0,1,IF(A50-'Invoer gegevens'!$C$17&lt;5,2,IF(A50-'Invoer gegevens'!$C$17&lt;15,3,4))))</f>
        <v>0</v>
      </c>
      <c r="BJ50" s="229">
        <f>IF(BI50&lt;1,0,IF(BI50&lt;2,4%,IF(Reeksen!BI50&lt;3,4%,IF(Reeksen!BI50&lt;4,4%*70%,IF(Reeksen!BI50&lt;5,4%*50%)))))</f>
        <v>0</v>
      </c>
      <c r="BK50" s="243"/>
      <c r="BL50" s="243"/>
      <c r="BM50" s="243"/>
      <c r="BN50" s="243"/>
      <c r="BO50" s="243"/>
      <c r="BP50" s="243"/>
      <c r="BQ50" s="243"/>
      <c r="BR50" s="243"/>
    </row>
    <row r="51" spans="1:70" x14ac:dyDescent="0.25">
      <c r="A51" s="184">
        <f t="shared" si="15"/>
        <v>46</v>
      </c>
      <c r="B51" s="179">
        <f>Dashboard!$C$25</f>
        <v>0.05</v>
      </c>
      <c r="C51" s="179">
        <f>Dashboard!$C$25</f>
        <v>0.05</v>
      </c>
      <c r="D51" s="179">
        <f>Dashboard!$C$25</f>
        <v>0.05</v>
      </c>
      <c r="F51" s="184">
        <f t="shared" ca="1" si="16"/>
        <v>2065</v>
      </c>
      <c r="G51" s="179">
        <f t="shared" si="39"/>
        <v>0.02</v>
      </c>
      <c r="H51" s="182">
        <f t="shared" si="17"/>
        <v>2.5002502469470702</v>
      </c>
      <c r="I51" s="179">
        <f t="shared" si="40"/>
        <v>2.5000000000000001E-2</v>
      </c>
      <c r="J51" s="182">
        <f t="shared" si="18"/>
        <v>3.1355720569402412</v>
      </c>
      <c r="K51" s="179">
        <f t="shared" si="41"/>
        <v>2.5000000000000001E-2</v>
      </c>
      <c r="L51" s="182">
        <f t="shared" si="19"/>
        <v>3.1355720569402412</v>
      </c>
      <c r="N51" s="184">
        <f t="shared" ca="1" si="20"/>
        <v>2065</v>
      </c>
      <c r="O51" s="179">
        <f t="shared" si="36"/>
        <v>0.02</v>
      </c>
      <c r="P51" s="182">
        <f t="shared" si="21"/>
        <v>2.4978232476187032</v>
      </c>
      <c r="R51" s="184">
        <f t="shared" ca="1" si="22"/>
        <v>2065</v>
      </c>
      <c r="S51" s="188">
        <f t="shared" si="38"/>
        <v>5.3600000000000002E-3</v>
      </c>
      <c r="U51" s="184">
        <f t="shared" ca="1" si="23"/>
        <v>2065</v>
      </c>
      <c r="V51" s="182">
        <f t="shared" si="4"/>
        <v>0.02</v>
      </c>
      <c r="W51" s="180">
        <f>Parameters!$D$12</f>
        <v>5.0000000000000001E-3</v>
      </c>
      <c r="X51" s="182">
        <f t="shared" si="5"/>
        <v>2.5000000000000001E-2</v>
      </c>
      <c r="Y51" s="182">
        <f t="shared" si="24"/>
        <v>3.1386628137842156</v>
      </c>
      <c r="AB51" s="184">
        <f t="shared" ca="1" si="25"/>
        <v>2065</v>
      </c>
      <c r="AC51" s="171">
        <f t="shared" si="6"/>
        <v>1569.3314068921079</v>
      </c>
      <c r="AD51" s="171">
        <f t="shared" si="0"/>
        <v>558.09648418509903</v>
      </c>
      <c r="AE51" s="171">
        <f t="shared" si="37"/>
        <v>1721.8420848854853</v>
      </c>
      <c r="AF51" s="171">
        <f t="shared" si="26"/>
        <v>558.09648418509903</v>
      </c>
      <c r="AG51" s="171">
        <f t="shared" si="27"/>
        <v>1250.1300000000001</v>
      </c>
      <c r="AH51" s="171">
        <f t="shared" si="7"/>
        <v>1250.1300000000001</v>
      </c>
      <c r="AI51" s="171">
        <f t="shared" si="8"/>
        <v>558.09648418509903</v>
      </c>
      <c r="AJ51" s="171">
        <f>IF('Invoer gegevens'!$I$27="DAEB",SMALL(AC51:AD51,1),AC51)</f>
        <v>558.09648418509903</v>
      </c>
      <c r="AK51" s="171">
        <f>IF('Invoer gegevens'!$I$27="DAEB",SMALL((AE51:AH51),1),SMALL((AF51:AH51),1))</f>
        <v>558.09648418509903</v>
      </c>
      <c r="AL51" s="171">
        <f t="shared" si="33"/>
        <v>0</v>
      </c>
      <c r="AM51" s="171">
        <f t="shared" si="34"/>
        <v>0</v>
      </c>
      <c r="AN51" s="175">
        <f t="shared" si="28"/>
        <v>78811</v>
      </c>
      <c r="AP51" s="184">
        <f t="shared" ca="1" si="29"/>
        <v>2065</v>
      </c>
      <c r="AQ51" s="185">
        <f t="shared" si="9"/>
        <v>0.02</v>
      </c>
      <c r="AR51" s="182">
        <f t="shared" si="30"/>
        <v>2.4978232476187032</v>
      </c>
      <c r="AU51" s="184">
        <f t="shared" ca="1" si="31"/>
        <v>2065</v>
      </c>
      <c r="AV51" s="182">
        <f t="shared" si="10"/>
        <v>0.02</v>
      </c>
      <c r="AW51" s="179">
        <f t="shared" si="11"/>
        <v>5.0000000000000001E-3</v>
      </c>
      <c r="AX51" s="182">
        <f t="shared" si="12"/>
        <v>2.5000000000000001E-2</v>
      </c>
      <c r="AY51" s="186"/>
      <c r="BA51" s="184">
        <f t="shared" ca="1" si="32"/>
        <v>2065</v>
      </c>
      <c r="BB51" s="171">
        <f t="shared" si="13"/>
        <v>1569.34</v>
      </c>
      <c r="BC51" s="171">
        <f t="shared" si="1"/>
        <v>1721.8420848854853</v>
      </c>
      <c r="BD51" s="171">
        <f t="shared" si="42"/>
        <v>1250.1300000000001</v>
      </c>
      <c r="BE51" s="171">
        <f t="shared" si="43"/>
        <v>558.09648418509903</v>
      </c>
      <c r="BF51" s="171">
        <f t="shared" si="43"/>
        <v>558.09648418509903</v>
      </c>
      <c r="BG51" s="171">
        <f t="shared" si="43"/>
        <v>558.09648418509903</v>
      </c>
      <c r="BI51" s="187">
        <f>IF(A51-'Invoer gegevens'!$C$17&lt;0,0,IF(A51-'Invoer gegevens'!$C$17=0,1,IF(A51-'Invoer gegevens'!$C$17&lt;5,2,IF(A51-'Invoer gegevens'!$C$17&lt;15,3,4))))</f>
        <v>0</v>
      </c>
      <c r="BJ51" s="229">
        <f>IF(BI51&lt;1,0,IF(BI51&lt;2,4%,IF(Reeksen!BI51&lt;3,4%,IF(Reeksen!BI51&lt;4,4%*70%,IF(Reeksen!BI51&lt;5,4%*50%)))))</f>
        <v>0</v>
      </c>
      <c r="BK51" s="243"/>
      <c r="BL51" s="243"/>
      <c r="BM51" s="243"/>
      <c r="BN51" s="243"/>
      <c r="BO51" s="243"/>
      <c r="BP51" s="243"/>
      <c r="BQ51" s="243"/>
      <c r="BR51" s="243"/>
    </row>
    <row r="52" spans="1:70" x14ac:dyDescent="0.25">
      <c r="A52" s="184">
        <f t="shared" si="15"/>
        <v>47</v>
      </c>
      <c r="B52" s="179">
        <f>Dashboard!$C$25</f>
        <v>0.05</v>
      </c>
      <c r="C52" s="179">
        <f>Dashboard!$C$25</f>
        <v>0.05</v>
      </c>
      <c r="D52" s="179">
        <f>Dashboard!$C$25</f>
        <v>0.05</v>
      </c>
      <c r="F52" s="184">
        <f t="shared" ca="1" si="16"/>
        <v>2066</v>
      </c>
      <c r="G52" s="179">
        <f t="shared" si="39"/>
        <v>0.02</v>
      </c>
      <c r="H52" s="182">
        <f t="shared" si="17"/>
        <v>2.5502552518860115</v>
      </c>
      <c r="I52" s="179">
        <f t="shared" si="40"/>
        <v>2.5000000000000001E-2</v>
      </c>
      <c r="J52" s="182">
        <f t="shared" si="18"/>
        <v>3.213961358363747</v>
      </c>
      <c r="K52" s="179">
        <f t="shared" si="41"/>
        <v>2.5000000000000001E-2</v>
      </c>
      <c r="L52" s="182">
        <f t="shared" si="19"/>
        <v>3.213961358363747</v>
      </c>
      <c r="N52" s="184">
        <f t="shared" ca="1" si="20"/>
        <v>2066</v>
      </c>
      <c r="O52" s="179">
        <f t="shared" si="36"/>
        <v>0.02</v>
      </c>
      <c r="P52" s="182">
        <f t="shared" si="21"/>
        <v>2.5477797125710775</v>
      </c>
      <c r="R52" s="184">
        <f t="shared" ca="1" si="22"/>
        <v>2066</v>
      </c>
      <c r="S52" s="188">
        <f t="shared" si="38"/>
        <v>5.3600000000000002E-3</v>
      </c>
      <c r="U52" s="184">
        <f t="shared" ca="1" si="23"/>
        <v>2066</v>
      </c>
      <c r="V52" s="182">
        <f t="shared" si="4"/>
        <v>0.02</v>
      </c>
      <c r="W52" s="180">
        <f>Parameters!$D$12</f>
        <v>5.0000000000000001E-3</v>
      </c>
      <c r="X52" s="182">
        <f t="shared" si="5"/>
        <v>2.5000000000000001E-2</v>
      </c>
      <c r="Y52" s="182">
        <f t="shared" si="24"/>
        <v>3.2171293841288207</v>
      </c>
      <c r="AB52" s="184">
        <f t="shared" ca="1" si="25"/>
        <v>2066</v>
      </c>
      <c r="AC52" s="171">
        <f t="shared" si="6"/>
        <v>1608.5646920644103</v>
      </c>
      <c r="AD52" s="171">
        <f t="shared" si="0"/>
        <v>569.25841386880097</v>
      </c>
      <c r="AE52" s="171">
        <f t="shared" si="37"/>
        <v>1756.278926583195</v>
      </c>
      <c r="AF52" s="171">
        <f t="shared" si="26"/>
        <v>569.25841386880097</v>
      </c>
      <c r="AG52" s="171">
        <f t="shared" si="27"/>
        <v>1275.1300000000001</v>
      </c>
      <c r="AH52" s="171">
        <f t="shared" si="7"/>
        <v>1275.1300000000001</v>
      </c>
      <c r="AI52" s="171">
        <f t="shared" si="8"/>
        <v>569.25841386880097</v>
      </c>
      <c r="AJ52" s="171">
        <f>IF('Invoer gegevens'!$I$27="DAEB",SMALL(AC52:AD52,1),AC52)</f>
        <v>569.25841386880097</v>
      </c>
      <c r="AK52" s="171">
        <f>IF('Invoer gegevens'!$I$27="DAEB",SMALL((AE52:AH52),1),SMALL((AF52:AH52),1))</f>
        <v>569.25841386880097</v>
      </c>
      <c r="AL52" s="171">
        <f t="shared" si="33"/>
        <v>0</v>
      </c>
      <c r="AM52" s="171">
        <f t="shared" si="34"/>
        <v>0</v>
      </c>
      <c r="AN52" s="175">
        <f t="shared" si="28"/>
        <v>80387</v>
      </c>
      <c r="AP52" s="184">
        <f t="shared" ca="1" si="29"/>
        <v>2066</v>
      </c>
      <c r="AQ52" s="185">
        <f t="shared" si="9"/>
        <v>0.02</v>
      </c>
      <c r="AR52" s="182">
        <f t="shared" si="30"/>
        <v>2.5477797125710775</v>
      </c>
      <c r="AU52" s="184">
        <f t="shared" ca="1" si="31"/>
        <v>2066</v>
      </c>
      <c r="AV52" s="182">
        <f t="shared" si="10"/>
        <v>0.02</v>
      </c>
      <c r="AW52" s="179">
        <f t="shared" si="11"/>
        <v>5.0000000000000001E-3</v>
      </c>
      <c r="AX52" s="182">
        <f t="shared" si="12"/>
        <v>2.5000000000000001E-2</v>
      </c>
      <c r="AY52" s="186"/>
      <c r="BA52" s="184">
        <f t="shared" ca="1" si="32"/>
        <v>2066</v>
      </c>
      <c r="BB52" s="171">
        <f t="shared" si="13"/>
        <v>1608.57</v>
      </c>
      <c r="BC52" s="171">
        <f t="shared" si="1"/>
        <v>1756.278926583195</v>
      </c>
      <c r="BD52" s="171">
        <f t="shared" si="42"/>
        <v>1275.1300000000001</v>
      </c>
      <c r="BE52" s="171">
        <f t="shared" si="43"/>
        <v>569.25841386880097</v>
      </c>
      <c r="BF52" s="171">
        <f t="shared" si="43"/>
        <v>569.25841386880097</v>
      </c>
      <c r="BG52" s="171">
        <f t="shared" si="43"/>
        <v>569.25841386880097</v>
      </c>
      <c r="BI52" s="187">
        <f>IF(A52-'Invoer gegevens'!$C$17&lt;0,0,IF(A52-'Invoer gegevens'!$C$17=0,1,IF(A52-'Invoer gegevens'!$C$17&lt;5,2,IF(A52-'Invoer gegevens'!$C$17&lt;15,3,4))))</f>
        <v>0</v>
      </c>
      <c r="BJ52" s="229">
        <f>IF(BI52&lt;1,0,IF(BI52&lt;2,4%,IF(Reeksen!BI52&lt;3,4%,IF(Reeksen!BI52&lt;4,4%*70%,IF(Reeksen!BI52&lt;5,4%*50%)))))</f>
        <v>0</v>
      </c>
      <c r="BK52" s="243"/>
      <c r="BL52" s="243"/>
      <c r="BM52" s="243"/>
      <c r="BN52" s="243"/>
      <c r="BO52" s="243"/>
      <c r="BP52" s="243"/>
      <c r="BQ52" s="243"/>
      <c r="BR52" s="243"/>
    </row>
    <row r="53" spans="1:70" x14ac:dyDescent="0.25">
      <c r="A53" s="184">
        <f t="shared" si="15"/>
        <v>48</v>
      </c>
      <c r="B53" s="179">
        <f>Dashboard!$C$25</f>
        <v>0.05</v>
      </c>
      <c r="C53" s="179">
        <f>Dashboard!$C$25</f>
        <v>0.05</v>
      </c>
      <c r="D53" s="179">
        <f>Dashboard!$C$25</f>
        <v>0.05</v>
      </c>
      <c r="F53" s="184">
        <f t="shared" ca="1" si="16"/>
        <v>2067</v>
      </c>
      <c r="G53" s="179">
        <f t="shared" si="39"/>
        <v>0.02</v>
      </c>
      <c r="H53" s="182">
        <f t="shared" si="17"/>
        <v>2.6012603569237318</v>
      </c>
      <c r="I53" s="179">
        <f t="shared" si="40"/>
        <v>2.5000000000000001E-2</v>
      </c>
      <c r="J53" s="182">
        <f t="shared" si="18"/>
        <v>3.2943103923228403</v>
      </c>
      <c r="K53" s="179">
        <f t="shared" si="41"/>
        <v>2.5000000000000001E-2</v>
      </c>
      <c r="L53" s="182">
        <f t="shared" si="19"/>
        <v>3.2943103923228403</v>
      </c>
      <c r="N53" s="184">
        <f t="shared" ca="1" si="20"/>
        <v>2067</v>
      </c>
      <c r="O53" s="179">
        <f t="shared" si="36"/>
        <v>0.02</v>
      </c>
      <c r="P53" s="182">
        <f t="shared" si="21"/>
        <v>2.598735306822499</v>
      </c>
      <c r="R53" s="184">
        <f t="shared" ca="1" si="22"/>
        <v>2067</v>
      </c>
      <c r="S53" s="188">
        <f t="shared" si="38"/>
        <v>5.3600000000000002E-3</v>
      </c>
      <c r="U53" s="184">
        <f t="shared" ca="1" si="23"/>
        <v>2067</v>
      </c>
      <c r="V53" s="182">
        <f t="shared" si="4"/>
        <v>0.02</v>
      </c>
      <c r="W53" s="180">
        <f>Parameters!$D$12</f>
        <v>5.0000000000000001E-3</v>
      </c>
      <c r="X53" s="182">
        <f t="shared" si="5"/>
        <v>2.5000000000000001E-2</v>
      </c>
      <c r="Y53" s="182">
        <f t="shared" si="24"/>
        <v>3.297557618732041</v>
      </c>
      <c r="AB53" s="184">
        <f t="shared" ca="1" si="25"/>
        <v>2067</v>
      </c>
      <c r="AC53" s="171">
        <f t="shared" si="6"/>
        <v>1648.7788093660206</v>
      </c>
      <c r="AD53" s="171">
        <f t="shared" si="0"/>
        <v>580.64358214617698</v>
      </c>
      <c r="AE53" s="171">
        <f t="shared" si="37"/>
        <v>1791.4045051148589</v>
      </c>
      <c r="AF53" s="171">
        <f t="shared" si="26"/>
        <v>580.64358214617698</v>
      </c>
      <c r="AG53" s="171">
        <f t="shared" si="27"/>
        <v>1300.6300000000001</v>
      </c>
      <c r="AH53" s="171">
        <f t="shared" si="7"/>
        <v>1300.6300000000001</v>
      </c>
      <c r="AI53" s="171">
        <f t="shared" si="8"/>
        <v>580.64358214617698</v>
      </c>
      <c r="AJ53" s="171">
        <f>IF('Invoer gegevens'!$I$27="DAEB",SMALL(AC53:AD53,1),AC53)</f>
        <v>580.64358214617698</v>
      </c>
      <c r="AK53" s="171">
        <f>IF('Invoer gegevens'!$I$27="DAEB",SMALL((AE53:AH53),1),SMALL((AF53:AH53),1))</f>
        <v>580.64358214617698</v>
      </c>
      <c r="AL53" s="171">
        <f t="shared" si="33"/>
        <v>0</v>
      </c>
      <c r="AM53" s="171">
        <f t="shared" si="34"/>
        <v>0</v>
      </c>
      <c r="AN53" s="175">
        <f t="shared" si="28"/>
        <v>81995</v>
      </c>
      <c r="AP53" s="184">
        <f t="shared" ca="1" si="29"/>
        <v>2067</v>
      </c>
      <c r="AQ53" s="185">
        <f t="shared" si="9"/>
        <v>0.02</v>
      </c>
      <c r="AR53" s="182">
        <f t="shared" si="30"/>
        <v>2.598735306822499</v>
      </c>
      <c r="AU53" s="184">
        <f t="shared" ca="1" si="31"/>
        <v>2067</v>
      </c>
      <c r="AV53" s="182">
        <f t="shared" si="10"/>
        <v>0.02</v>
      </c>
      <c r="AW53" s="179">
        <f t="shared" si="11"/>
        <v>5.0000000000000001E-3</v>
      </c>
      <c r="AX53" s="182">
        <f t="shared" si="12"/>
        <v>2.5000000000000001E-2</v>
      </c>
      <c r="AY53" s="186"/>
      <c r="BA53" s="184">
        <f t="shared" ca="1" si="32"/>
        <v>2067</v>
      </c>
      <c r="BB53" s="171">
        <f t="shared" si="13"/>
        <v>1648.78</v>
      </c>
      <c r="BC53" s="171">
        <f t="shared" si="1"/>
        <v>1791.4045051148589</v>
      </c>
      <c r="BD53" s="171">
        <f t="shared" si="42"/>
        <v>1300.6300000000001</v>
      </c>
      <c r="BE53" s="171">
        <f t="shared" si="43"/>
        <v>580.64358214617698</v>
      </c>
      <c r="BF53" s="171">
        <f t="shared" si="43"/>
        <v>580.64358214617698</v>
      </c>
      <c r="BG53" s="171">
        <f t="shared" si="43"/>
        <v>580.64358214617698</v>
      </c>
      <c r="BI53" s="187">
        <f>IF(A53-'Invoer gegevens'!$C$17&lt;0,0,IF(A53-'Invoer gegevens'!$C$17=0,1,IF(A53-'Invoer gegevens'!$C$17&lt;5,2,IF(A53-'Invoer gegevens'!$C$17&lt;15,3,4))))</f>
        <v>0</v>
      </c>
      <c r="BJ53" s="229">
        <f>IF(BI53&lt;1,0,IF(BI53&lt;2,4%,IF(Reeksen!BI53&lt;3,4%,IF(Reeksen!BI53&lt;4,4%*70%,IF(Reeksen!BI53&lt;5,4%*50%)))))</f>
        <v>0</v>
      </c>
      <c r="BK53" s="243"/>
      <c r="BL53" s="243"/>
      <c r="BM53" s="243"/>
      <c r="BN53" s="243"/>
      <c r="BO53" s="243"/>
      <c r="BP53" s="243"/>
      <c r="BQ53" s="243"/>
      <c r="BR53" s="243"/>
    </row>
    <row r="54" spans="1:70" x14ac:dyDescent="0.25">
      <c r="A54" s="184">
        <f t="shared" si="15"/>
        <v>49</v>
      </c>
      <c r="B54" s="179">
        <f>Dashboard!$C$25</f>
        <v>0.05</v>
      </c>
      <c r="C54" s="179">
        <f>Dashboard!$C$25</f>
        <v>0.05</v>
      </c>
      <c r="D54" s="179">
        <f>Dashboard!$C$25</f>
        <v>0.05</v>
      </c>
      <c r="F54" s="184">
        <f t="shared" ca="1" si="16"/>
        <v>2068</v>
      </c>
      <c r="G54" s="179">
        <f t="shared" si="39"/>
        <v>0.02</v>
      </c>
      <c r="H54" s="182">
        <f t="shared" si="17"/>
        <v>2.6532855640622066</v>
      </c>
      <c r="I54" s="179">
        <f t="shared" si="40"/>
        <v>2.5000000000000001E-2</v>
      </c>
      <c r="J54" s="182">
        <f t="shared" si="18"/>
        <v>3.376668152130911</v>
      </c>
      <c r="K54" s="179">
        <f t="shared" si="41"/>
        <v>2.5000000000000001E-2</v>
      </c>
      <c r="L54" s="182">
        <f t="shared" si="19"/>
        <v>3.376668152130911</v>
      </c>
      <c r="N54" s="184">
        <f t="shared" ca="1" si="20"/>
        <v>2068</v>
      </c>
      <c r="O54" s="179">
        <f t="shared" si="36"/>
        <v>0.02</v>
      </c>
      <c r="P54" s="182">
        <f t="shared" si="21"/>
        <v>2.6507100129589491</v>
      </c>
      <c r="R54" s="184">
        <f t="shared" ca="1" si="22"/>
        <v>2068</v>
      </c>
      <c r="S54" s="188">
        <f t="shared" si="38"/>
        <v>5.3600000000000002E-3</v>
      </c>
      <c r="U54" s="184">
        <f t="shared" ca="1" si="23"/>
        <v>2068</v>
      </c>
      <c r="V54" s="182">
        <f t="shared" si="4"/>
        <v>0.02</v>
      </c>
      <c r="W54" s="180">
        <f>Parameters!$D$12</f>
        <v>5.0000000000000001E-3</v>
      </c>
      <c r="X54" s="182">
        <f t="shared" si="5"/>
        <v>2.5000000000000001E-2</v>
      </c>
      <c r="Y54" s="182">
        <f t="shared" si="24"/>
        <v>3.3799965592003418</v>
      </c>
      <c r="AB54" s="184">
        <f t="shared" ca="1" si="25"/>
        <v>2068</v>
      </c>
      <c r="AC54" s="171">
        <f t="shared" si="6"/>
        <v>1689.9982796001709</v>
      </c>
      <c r="AD54" s="171">
        <f t="shared" si="0"/>
        <v>592.25645378910065</v>
      </c>
      <c r="AE54" s="171">
        <f t="shared" si="37"/>
        <v>1827.2325952171561</v>
      </c>
      <c r="AF54" s="171">
        <f t="shared" si="26"/>
        <v>592.25645378910065</v>
      </c>
      <c r="AG54" s="171">
        <f t="shared" si="27"/>
        <v>1326.64</v>
      </c>
      <c r="AH54" s="171">
        <f t="shared" si="7"/>
        <v>1326.64</v>
      </c>
      <c r="AI54" s="171">
        <f t="shared" si="8"/>
        <v>592.25645378910065</v>
      </c>
      <c r="AJ54" s="171">
        <f>IF('Invoer gegevens'!$I$27="DAEB",SMALL(AC54:AD54,1),AC54)</f>
        <v>592.25645378910065</v>
      </c>
      <c r="AK54" s="171">
        <f>IF('Invoer gegevens'!$I$27="DAEB",SMALL((AE54:AH54),1),SMALL((AF54:AH54),1))</f>
        <v>592.25645378910065</v>
      </c>
      <c r="AL54" s="171">
        <f t="shared" si="33"/>
        <v>0</v>
      </c>
      <c r="AM54" s="171">
        <f t="shared" si="34"/>
        <v>0</v>
      </c>
      <c r="AN54" s="175">
        <f t="shared" si="28"/>
        <v>83635</v>
      </c>
      <c r="AP54" s="184">
        <f t="shared" ca="1" si="29"/>
        <v>2068</v>
      </c>
      <c r="AQ54" s="185">
        <f t="shared" si="9"/>
        <v>0.02</v>
      </c>
      <c r="AR54" s="182">
        <f t="shared" si="30"/>
        <v>2.6507100129589491</v>
      </c>
      <c r="AU54" s="184">
        <f t="shared" ca="1" si="31"/>
        <v>2068</v>
      </c>
      <c r="AV54" s="182">
        <f t="shared" si="10"/>
        <v>0.02</v>
      </c>
      <c r="AW54" s="179">
        <f t="shared" si="11"/>
        <v>5.0000000000000001E-3</v>
      </c>
      <c r="AX54" s="182">
        <f t="shared" si="12"/>
        <v>2.5000000000000001E-2</v>
      </c>
      <c r="AY54" s="186"/>
      <c r="BA54" s="184">
        <f t="shared" ca="1" si="32"/>
        <v>2068</v>
      </c>
      <c r="BB54" s="171">
        <f t="shared" si="13"/>
        <v>1690</v>
      </c>
      <c r="BC54" s="171">
        <f t="shared" si="1"/>
        <v>1827.2325952171561</v>
      </c>
      <c r="BD54" s="171">
        <f t="shared" si="42"/>
        <v>1326.64</v>
      </c>
      <c r="BE54" s="171">
        <f t="shared" si="43"/>
        <v>592.25645378910065</v>
      </c>
      <c r="BF54" s="171">
        <f t="shared" si="43"/>
        <v>592.25645378910065</v>
      </c>
      <c r="BG54" s="171">
        <f t="shared" si="43"/>
        <v>592.25645378910065</v>
      </c>
      <c r="BI54" s="187">
        <f>IF(A54-'Invoer gegevens'!$C$17&lt;0,0,IF(A54-'Invoer gegevens'!$C$17=0,1,IF(A54-'Invoer gegevens'!$C$17&lt;5,2,IF(A54-'Invoer gegevens'!$C$17&lt;15,3,4))))</f>
        <v>0</v>
      </c>
      <c r="BJ54" s="229">
        <f>IF(BI54&lt;1,0,IF(BI54&lt;2,4%,IF(Reeksen!BI54&lt;3,4%,IF(Reeksen!BI54&lt;4,4%*70%,IF(Reeksen!BI54&lt;5,4%*50%)))))</f>
        <v>0</v>
      </c>
      <c r="BK54" s="243"/>
      <c r="BL54" s="243"/>
      <c r="BM54" s="243"/>
      <c r="BN54" s="243"/>
      <c r="BO54" s="243"/>
      <c r="BP54" s="243"/>
      <c r="BQ54" s="243"/>
      <c r="BR54" s="243"/>
    </row>
    <row r="55" spans="1:70" x14ac:dyDescent="0.25">
      <c r="A55" s="184">
        <f t="shared" si="15"/>
        <v>50</v>
      </c>
      <c r="B55" s="179">
        <f>Dashboard!$C$25</f>
        <v>0.05</v>
      </c>
      <c r="C55" s="179">
        <f>Dashboard!$C$25</f>
        <v>0.05</v>
      </c>
      <c r="D55" s="179">
        <f>Dashboard!$C$25</f>
        <v>0.05</v>
      </c>
      <c r="E55" s="189"/>
      <c r="F55" s="184">
        <f t="shared" ca="1" si="16"/>
        <v>2069</v>
      </c>
      <c r="G55" s="179">
        <f t="shared" si="39"/>
        <v>0.02</v>
      </c>
      <c r="H55" s="182">
        <f t="shared" si="17"/>
        <v>2.7063512753434509</v>
      </c>
      <c r="I55" s="179">
        <f t="shared" si="40"/>
        <v>2.5000000000000001E-2</v>
      </c>
      <c r="J55" s="182">
        <f t="shared" si="18"/>
        <v>3.4610848559341836</v>
      </c>
      <c r="K55" s="179">
        <f t="shared" si="41"/>
        <v>2.5000000000000001E-2</v>
      </c>
      <c r="L55" s="182">
        <f t="shared" si="19"/>
        <v>3.4610848559341836</v>
      </c>
      <c r="M55" s="189"/>
      <c r="N55" s="184">
        <f t="shared" ca="1" si="20"/>
        <v>2069</v>
      </c>
      <c r="O55" s="179">
        <f t="shared" si="36"/>
        <v>0.02</v>
      </c>
      <c r="P55" s="182">
        <f>P54*(1+O55)</f>
        <v>2.7037242132181283</v>
      </c>
      <c r="R55" s="184">
        <f t="shared" ca="1" si="22"/>
        <v>2069</v>
      </c>
      <c r="S55" s="188">
        <f t="shared" si="38"/>
        <v>5.3600000000000002E-3</v>
      </c>
      <c r="U55" s="184">
        <f t="shared" ca="1" si="23"/>
        <v>2069</v>
      </c>
      <c r="V55" s="182">
        <f t="shared" si="4"/>
        <v>0.02</v>
      </c>
      <c r="W55" s="180">
        <f>Parameters!$D$12</f>
        <v>5.0000000000000001E-3</v>
      </c>
      <c r="X55" s="182">
        <f t="shared" si="5"/>
        <v>2.5000000000000001E-2</v>
      </c>
      <c r="Y55" s="182">
        <f t="shared" si="24"/>
        <v>3.46449647318035</v>
      </c>
      <c r="AA55" s="189"/>
      <c r="AB55" s="184">
        <f t="shared" ca="1" si="25"/>
        <v>2069</v>
      </c>
      <c r="AC55" s="171">
        <f t="shared" si="6"/>
        <v>1732.2482365901751</v>
      </c>
      <c r="AD55" s="171">
        <f t="shared" si="0"/>
        <v>604.10158286488263</v>
      </c>
      <c r="AE55" s="171">
        <f t="shared" si="37"/>
        <v>1863.7772471214994</v>
      </c>
      <c r="AF55" s="171">
        <f t="shared" si="26"/>
        <v>604.10158286488263</v>
      </c>
      <c r="AG55" s="171">
        <f t="shared" si="27"/>
        <v>1353.17</v>
      </c>
      <c r="AH55" s="171">
        <f t="shared" si="7"/>
        <v>1353.17</v>
      </c>
      <c r="AI55" s="171">
        <f t="shared" si="8"/>
        <v>604.10158286488263</v>
      </c>
      <c r="AJ55" s="171">
        <f>IF('Invoer gegevens'!$I$27="DAEB",SMALL(AC55:AD55,1),AC55)</f>
        <v>604.10158286488263</v>
      </c>
      <c r="AK55" s="171">
        <f>IF('Invoer gegevens'!$I$27="DAEB",SMALL((AE55:AH55),1),SMALL((AF55:AH55),1))</f>
        <v>604.10158286488263</v>
      </c>
      <c r="AL55" s="171">
        <f t="shared" si="33"/>
        <v>0</v>
      </c>
      <c r="AM55" s="171">
        <f t="shared" si="34"/>
        <v>0</v>
      </c>
      <c r="AN55" s="175">
        <f t="shared" si="28"/>
        <v>85308</v>
      </c>
      <c r="AP55" s="184">
        <f t="shared" ca="1" si="29"/>
        <v>2069</v>
      </c>
      <c r="AQ55" s="185">
        <f t="shared" si="9"/>
        <v>0.02</v>
      </c>
      <c r="AR55" s="182">
        <f>AR54*(1+AQ55)</f>
        <v>2.7037242132181283</v>
      </c>
      <c r="AU55" s="184">
        <f t="shared" ca="1" si="31"/>
        <v>2069</v>
      </c>
      <c r="AV55" s="182">
        <f t="shared" si="10"/>
        <v>0.02</v>
      </c>
      <c r="AW55" s="179">
        <f t="shared" si="11"/>
        <v>5.0000000000000001E-3</v>
      </c>
      <c r="AX55" s="182">
        <f t="shared" si="12"/>
        <v>2.5000000000000001E-2</v>
      </c>
      <c r="AY55" s="186"/>
      <c r="AZ55" s="190"/>
      <c r="BA55" s="184">
        <f t="shared" ca="1" si="32"/>
        <v>2069</v>
      </c>
      <c r="BB55" s="171">
        <f t="shared" si="13"/>
        <v>1732.25</v>
      </c>
      <c r="BC55" s="171">
        <f t="shared" si="1"/>
        <v>1863.7772471214994</v>
      </c>
      <c r="BD55" s="171">
        <f t="shared" si="42"/>
        <v>1353.17</v>
      </c>
      <c r="BE55" s="171">
        <f t="shared" si="43"/>
        <v>604.10158286488263</v>
      </c>
      <c r="BF55" s="171">
        <f t="shared" si="43"/>
        <v>604.10158286488263</v>
      </c>
      <c r="BG55" s="171">
        <f t="shared" si="43"/>
        <v>604.10158286488263</v>
      </c>
      <c r="BI55" s="187">
        <f>IF(A55-'Invoer gegevens'!$C$17&lt;0,0,IF(A55-'Invoer gegevens'!$C$17=0,1,IF(A55-'Invoer gegevens'!$C$17&lt;5,2,IF(A55-'Invoer gegevens'!$C$17&lt;15,3,4))))</f>
        <v>0</v>
      </c>
      <c r="BJ55" s="229">
        <f>IF(BI55&lt;1,0,IF(BI55&lt;2,4%,IF(Reeksen!BI55&lt;3,4%,IF(Reeksen!BI55&lt;4,4%*70%,IF(Reeksen!BI55&lt;5,4%*50%)))))</f>
        <v>0</v>
      </c>
      <c r="BK55" s="243"/>
      <c r="BL55" s="243"/>
      <c r="BM55" s="243"/>
      <c r="BN55" s="243"/>
      <c r="BO55" s="243"/>
      <c r="BP55" s="243"/>
      <c r="BQ55" s="243"/>
      <c r="BR55" s="243"/>
    </row>
    <row r="56" spans="1:70" x14ac:dyDescent="0.25">
      <c r="A56" s="184">
        <f t="shared" si="15"/>
        <v>51</v>
      </c>
      <c r="B56" s="179">
        <f>Dashboard!$C$25</f>
        <v>0.05</v>
      </c>
      <c r="C56" s="179">
        <f>Dashboard!$C$25</f>
        <v>0.05</v>
      </c>
      <c r="D56" s="179">
        <f>Dashboard!$C$25</f>
        <v>0.05</v>
      </c>
      <c r="E56" s="189"/>
      <c r="F56" s="184">
        <f t="shared" ca="1" si="16"/>
        <v>2070</v>
      </c>
      <c r="G56" s="179">
        <f t="shared" si="39"/>
        <v>0.02</v>
      </c>
      <c r="H56" s="182">
        <f t="shared" si="17"/>
        <v>2.7604783008503198</v>
      </c>
      <c r="I56" s="179">
        <f t="shared" si="40"/>
        <v>2.5000000000000001E-2</v>
      </c>
      <c r="J56" s="182">
        <f t="shared" si="18"/>
        <v>3.5476119773325379</v>
      </c>
      <c r="K56" s="179">
        <f t="shared" si="41"/>
        <v>2.5000000000000001E-2</v>
      </c>
      <c r="L56" s="182">
        <f t="shared" si="19"/>
        <v>3.5476119773325379</v>
      </c>
      <c r="M56" s="189"/>
      <c r="N56" s="184">
        <f t="shared" ca="1" si="20"/>
        <v>2070</v>
      </c>
      <c r="O56" s="179">
        <f t="shared" si="36"/>
        <v>0.02</v>
      </c>
      <c r="P56" s="182">
        <f>P55*(1+O56)</f>
        <v>2.7577986974824911</v>
      </c>
      <c r="R56" s="184">
        <f t="shared" ca="1" si="22"/>
        <v>2070</v>
      </c>
      <c r="S56" s="188">
        <f t="shared" si="38"/>
        <v>5.3600000000000002E-3</v>
      </c>
      <c r="U56" s="184">
        <f t="shared" ca="1" si="23"/>
        <v>2070</v>
      </c>
      <c r="V56" s="182">
        <f t="shared" si="4"/>
        <v>0.02</v>
      </c>
      <c r="W56" s="180">
        <f>Parameters!$D$12</f>
        <v>5.0000000000000001E-3</v>
      </c>
      <c r="X56" s="182">
        <f t="shared" si="5"/>
        <v>2.5000000000000001E-2</v>
      </c>
      <c r="Y56" s="182">
        <f t="shared" si="24"/>
        <v>3.5511088850098584</v>
      </c>
      <c r="AA56" s="189"/>
      <c r="AB56" s="184">
        <f t="shared" ca="1" si="25"/>
        <v>2070</v>
      </c>
      <c r="AC56" s="171">
        <f t="shared" si="6"/>
        <v>1775.5544425049293</v>
      </c>
      <c r="AD56" s="171">
        <f t="shared" si="0"/>
        <v>616.18361452218028</v>
      </c>
      <c r="AE56" s="171">
        <f t="shared" si="37"/>
        <v>1901.0527920639295</v>
      </c>
      <c r="AF56" s="171">
        <f t="shared" si="26"/>
        <v>616.18361452218028</v>
      </c>
      <c r="AG56" s="171">
        <f t="shared" si="27"/>
        <v>1380.23</v>
      </c>
      <c r="AH56" s="171">
        <f t="shared" si="7"/>
        <v>1380.23</v>
      </c>
      <c r="AI56" s="171">
        <f t="shared" si="8"/>
        <v>616.18361452218028</v>
      </c>
      <c r="AJ56" s="171">
        <f>IF('Invoer gegevens'!$I$27="DAEB",SMALL(AC56:AD56,1),AC56)</f>
        <v>616.18361452218028</v>
      </c>
      <c r="AK56" s="171">
        <f>IF('Invoer gegevens'!$I$27="DAEB",SMALL((AE56:AH56),1),SMALL((AF56:AH56),1))</f>
        <v>616.18361452218028</v>
      </c>
      <c r="AL56" s="171">
        <f t="shared" si="33"/>
        <v>0</v>
      </c>
      <c r="AM56" s="171">
        <f t="shared" si="34"/>
        <v>0</v>
      </c>
      <c r="AN56" s="175">
        <f t="shared" si="28"/>
        <v>87014</v>
      </c>
      <c r="AP56" s="184">
        <f t="shared" ca="1" si="29"/>
        <v>2070</v>
      </c>
      <c r="AQ56" s="185">
        <f t="shared" si="9"/>
        <v>0.02</v>
      </c>
      <c r="AR56" s="182">
        <f>AR55*(1+AQ56)</f>
        <v>2.7577986974824911</v>
      </c>
      <c r="AU56" s="184">
        <f t="shared" ca="1" si="31"/>
        <v>2070</v>
      </c>
      <c r="AV56" s="182">
        <f t="shared" si="10"/>
        <v>0.02</v>
      </c>
      <c r="AW56" s="179">
        <f t="shared" si="11"/>
        <v>5.0000000000000001E-3</v>
      </c>
      <c r="AX56" s="182">
        <f t="shared" si="12"/>
        <v>2.5000000000000001E-2</v>
      </c>
      <c r="AY56" s="186"/>
      <c r="AZ56" s="190"/>
      <c r="BA56" s="184">
        <f t="shared" ca="1" si="32"/>
        <v>2070</v>
      </c>
      <c r="BB56" s="171">
        <f t="shared" si="13"/>
        <v>1775.56</v>
      </c>
      <c r="BC56" s="171">
        <f t="shared" si="1"/>
        <v>1901.0527920639295</v>
      </c>
      <c r="BD56" s="171">
        <f t="shared" si="42"/>
        <v>1380.23</v>
      </c>
      <c r="BE56" s="171">
        <f t="shared" si="43"/>
        <v>616.18361452218028</v>
      </c>
      <c r="BF56" s="171">
        <f t="shared" si="43"/>
        <v>616.18361452218028</v>
      </c>
      <c r="BG56" s="171">
        <f t="shared" si="43"/>
        <v>616.18361452218028</v>
      </c>
      <c r="BI56" s="187">
        <f>IF(A56-'Invoer gegevens'!$C$17&lt;0,0,IF(A56-'Invoer gegevens'!$C$17=0,1,IF(A56-'Invoer gegevens'!$C$17&lt;5,2,IF(A56-'Invoer gegevens'!$C$17&lt;15,3,4))))</f>
        <v>0</v>
      </c>
      <c r="BJ56" s="229">
        <f>IF(BI56&lt;1,0,IF(BI56&lt;2,4%,IF(Reeksen!BI56&lt;3,4%,IF(Reeksen!BI56&lt;4,4%*70%,IF(Reeksen!BI56&lt;5,4%*50%)))))</f>
        <v>0</v>
      </c>
      <c r="BK56" s="243"/>
      <c r="BL56" s="243"/>
      <c r="BM56" s="243"/>
      <c r="BN56" s="243"/>
      <c r="BO56" s="243"/>
      <c r="BP56" s="243"/>
      <c r="BQ56" s="243"/>
      <c r="BR56" s="243"/>
    </row>
    <row r="57" spans="1:70" x14ac:dyDescent="0.25">
      <c r="A57" s="184">
        <f t="shared" si="15"/>
        <v>52</v>
      </c>
      <c r="B57" s="179">
        <f>Dashboard!$C$25</f>
        <v>0.05</v>
      </c>
      <c r="C57" s="179">
        <f>Dashboard!$C$25</f>
        <v>0.05</v>
      </c>
      <c r="D57" s="179">
        <f>Dashboard!$C$25</f>
        <v>0.05</v>
      </c>
      <c r="E57" s="189"/>
      <c r="F57" s="184">
        <f t="shared" ca="1" si="16"/>
        <v>2071</v>
      </c>
      <c r="G57" s="179">
        <f t="shared" si="39"/>
        <v>0.02</v>
      </c>
      <c r="H57" s="182">
        <f t="shared" si="17"/>
        <v>2.8156878668673264</v>
      </c>
      <c r="I57" s="179">
        <f t="shared" si="40"/>
        <v>2.5000000000000001E-2</v>
      </c>
      <c r="J57" s="182">
        <f t="shared" si="18"/>
        <v>3.6363022767658508</v>
      </c>
      <c r="K57" s="179">
        <f t="shared" si="41"/>
        <v>2.5000000000000001E-2</v>
      </c>
      <c r="L57" s="182">
        <f t="shared" si="19"/>
        <v>3.6363022767658508</v>
      </c>
      <c r="M57" s="189"/>
      <c r="N57" s="184">
        <f t="shared" ca="1" si="20"/>
        <v>2071</v>
      </c>
      <c r="O57" s="179">
        <f t="shared" si="36"/>
        <v>0.02</v>
      </c>
      <c r="P57" s="182">
        <f>P56*(1+O57)</f>
        <v>2.812954671432141</v>
      </c>
      <c r="R57" s="184">
        <f t="shared" ca="1" si="22"/>
        <v>2071</v>
      </c>
      <c r="S57" s="188">
        <f t="shared" si="38"/>
        <v>5.3600000000000002E-3</v>
      </c>
      <c r="U57" s="184">
        <f t="shared" ca="1" si="23"/>
        <v>2071</v>
      </c>
      <c r="V57" s="182">
        <f t="shared" si="4"/>
        <v>0.02</v>
      </c>
      <c r="W57" s="180">
        <f>Parameters!$D$12</f>
        <v>5.0000000000000001E-3</v>
      </c>
      <c r="X57" s="182">
        <f t="shared" si="5"/>
        <v>2.5000000000000001E-2</v>
      </c>
      <c r="Y57" s="182">
        <f t="shared" si="24"/>
        <v>3.6398866071351046</v>
      </c>
      <c r="AA57" s="189"/>
      <c r="AB57" s="184">
        <f t="shared" ca="1" si="25"/>
        <v>2071</v>
      </c>
      <c r="AC57" s="171">
        <f t="shared" si="6"/>
        <v>1819.9433035675522</v>
      </c>
      <c r="AD57" s="171">
        <f t="shared" si="0"/>
        <v>628.50728681262399</v>
      </c>
      <c r="AE57" s="171">
        <f t="shared" si="37"/>
        <v>1939.0738479052081</v>
      </c>
      <c r="AF57" s="171">
        <f t="shared" si="26"/>
        <v>628.50728681262399</v>
      </c>
      <c r="AG57" s="171">
        <f t="shared" si="27"/>
        <v>1407.83</v>
      </c>
      <c r="AH57" s="171">
        <f t="shared" si="7"/>
        <v>1407.83</v>
      </c>
      <c r="AI57" s="171">
        <f t="shared" si="8"/>
        <v>628.50728681262399</v>
      </c>
      <c r="AJ57" s="171">
        <f>IF('Invoer gegevens'!$I$27="DAEB",SMALL(AC57:AD57,1),AC57)</f>
        <v>628.50728681262399</v>
      </c>
      <c r="AK57" s="171">
        <f>IF('Invoer gegevens'!$I$27="DAEB",SMALL((AE57:AH57),1),SMALL((AF57:AH57),1))</f>
        <v>628.50728681262399</v>
      </c>
      <c r="AL57" s="171">
        <f t="shared" si="33"/>
        <v>0</v>
      </c>
      <c r="AM57" s="171">
        <f t="shared" si="34"/>
        <v>0</v>
      </c>
      <c r="AN57" s="175">
        <f t="shared" si="28"/>
        <v>88754</v>
      </c>
      <c r="AP57" s="184">
        <f t="shared" ca="1" si="29"/>
        <v>2071</v>
      </c>
      <c r="AQ57" s="185">
        <f t="shared" si="9"/>
        <v>0.02</v>
      </c>
      <c r="AR57" s="182">
        <f>AR56*(1+AQ57)</f>
        <v>2.812954671432141</v>
      </c>
      <c r="AU57" s="184">
        <f t="shared" ca="1" si="31"/>
        <v>2071</v>
      </c>
      <c r="AV57" s="182">
        <f t="shared" si="10"/>
        <v>0.02</v>
      </c>
      <c r="AW57" s="179">
        <f t="shared" si="11"/>
        <v>5.0000000000000001E-3</v>
      </c>
      <c r="AX57" s="182">
        <f t="shared" si="12"/>
        <v>2.5000000000000001E-2</v>
      </c>
      <c r="AY57" s="186"/>
      <c r="AZ57" s="190"/>
      <c r="BA57" s="184">
        <f t="shared" ca="1" si="32"/>
        <v>2071</v>
      </c>
      <c r="BB57" s="171">
        <f t="shared" si="13"/>
        <v>1819.95</v>
      </c>
      <c r="BC57" s="171">
        <f t="shared" si="1"/>
        <v>1939.0738479052081</v>
      </c>
      <c r="BD57" s="171">
        <f t="shared" si="42"/>
        <v>1407.83</v>
      </c>
      <c r="BE57" s="171">
        <f t="shared" si="43"/>
        <v>628.50728681262399</v>
      </c>
      <c r="BF57" s="171">
        <f t="shared" si="43"/>
        <v>628.50728681262399</v>
      </c>
      <c r="BG57" s="171">
        <f t="shared" si="43"/>
        <v>628.50728681262399</v>
      </c>
      <c r="BI57" s="187">
        <f>IF(A57-'Invoer gegevens'!$C$17&lt;0,0,IF(A57-'Invoer gegevens'!$C$17=0,1,IF(A57-'Invoer gegevens'!$C$17&lt;5,2,IF(A57-'Invoer gegevens'!$C$17&lt;15,3,4))))</f>
        <v>0</v>
      </c>
      <c r="BJ57" s="229">
        <f>IF(BI57&lt;1,0,IF(BI57&lt;2,4%,IF(Reeksen!BI57&lt;3,4%,IF(Reeksen!BI57&lt;4,4%*70%,IF(Reeksen!BI57&lt;5,4%*50%)))))</f>
        <v>0</v>
      </c>
      <c r="BK57" s="243"/>
      <c r="BL57" s="243"/>
      <c r="BM57" s="243"/>
      <c r="BN57" s="243"/>
      <c r="BO57" s="243"/>
      <c r="BP57" s="243"/>
      <c r="BQ57" s="243"/>
      <c r="BR57" s="243"/>
    </row>
    <row r="58" spans="1:70" x14ac:dyDescent="0.25">
      <c r="A58" s="184">
        <f t="shared" si="15"/>
        <v>53</v>
      </c>
      <c r="B58" s="179">
        <f>Dashboard!$C$25</f>
        <v>0.05</v>
      </c>
      <c r="C58" s="179">
        <f>Dashboard!$C$25</f>
        <v>0.05</v>
      </c>
      <c r="D58" s="179">
        <f>Dashboard!$C$25</f>
        <v>0.05</v>
      </c>
      <c r="E58" s="189"/>
      <c r="F58" s="184">
        <f t="shared" ca="1" si="16"/>
        <v>2072</v>
      </c>
      <c r="G58" s="179">
        <f t="shared" si="39"/>
        <v>0.02</v>
      </c>
      <c r="H58" s="182">
        <f t="shared" si="17"/>
        <v>2.8720016242046729</v>
      </c>
      <c r="I58" s="179">
        <f t="shared" si="40"/>
        <v>2.5000000000000001E-2</v>
      </c>
      <c r="J58" s="182">
        <f t="shared" si="18"/>
        <v>3.7272098336849968</v>
      </c>
      <c r="K58" s="179">
        <f t="shared" si="41"/>
        <v>2.5000000000000001E-2</v>
      </c>
      <c r="L58" s="182">
        <f t="shared" si="19"/>
        <v>3.7272098336849968</v>
      </c>
      <c r="M58" s="189"/>
      <c r="N58" s="184">
        <f t="shared" ca="1" si="20"/>
        <v>2072</v>
      </c>
      <c r="O58" s="179">
        <f t="shared" si="36"/>
        <v>0.02</v>
      </c>
      <c r="P58" s="182">
        <f t="shared" ref="P58:P121" si="44">P57*(1+O58)</f>
        <v>2.8692137648607838</v>
      </c>
      <c r="R58" s="184">
        <f t="shared" ca="1" si="22"/>
        <v>2072</v>
      </c>
      <c r="S58" s="188">
        <f t="shared" si="38"/>
        <v>5.3600000000000002E-3</v>
      </c>
      <c r="U58" s="184">
        <f t="shared" ca="1" si="23"/>
        <v>2072</v>
      </c>
      <c r="V58" s="182">
        <f t="shared" si="4"/>
        <v>0.02</v>
      </c>
      <c r="W58" s="180">
        <f>Parameters!$D$12</f>
        <v>5.0000000000000001E-3</v>
      </c>
      <c r="X58" s="182">
        <f t="shared" si="5"/>
        <v>2.5000000000000001E-2</v>
      </c>
      <c r="Y58" s="182">
        <f t="shared" si="24"/>
        <v>3.730883772313482</v>
      </c>
      <c r="AA58" s="189"/>
      <c r="AB58" s="184">
        <f t="shared" ca="1" si="25"/>
        <v>2072</v>
      </c>
      <c r="AC58" s="171">
        <f t="shared" si="6"/>
        <v>1865.441886156741</v>
      </c>
      <c r="AD58" s="171">
        <f t="shared" si="0"/>
        <v>641.07743254887635</v>
      </c>
      <c r="AE58" s="171">
        <f t="shared" si="37"/>
        <v>1977.8553248633123</v>
      </c>
      <c r="AF58" s="171">
        <f t="shared" si="26"/>
        <v>641.07743254887635</v>
      </c>
      <c r="AG58" s="171">
        <f t="shared" si="27"/>
        <v>1435.99</v>
      </c>
      <c r="AH58" s="171">
        <f t="shared" si="7"/>
        <v>1435.99</v>
      </c>
      <c r="AI58" s="171">
        <f t="shared" si="8"/>
        <v>641.07743254887635</v>
      </c>
      <c r="AJ58" s="171">
        <f>IF('Invoer gegevens'!$I$27="DAEB",SMALL(AC58:AD58,1),AC58)</f>
        <v>641.07743254887635</v>
      </c>
      <c r="AK58" s="171">
        <f>IF('Invoer gegevens'!$I$27="DAEB",SMALL((AE58:AH58),1),SMALL((AF58:AH58),1))</f>
        <v>641.07743254887635</v>
      </c>
      <c r="AL58" s="171">
        <f t="shared" si="33"/>
        <v>0</v>
      </c>
      <c r="AM58" s="171">
        <f t="shared" si="34"/>
        <v>0</v>
      </c>
      <c r="AN58" s="175">
        <f t="shared" si="28"/>
        <v>90529</v>
      </c>
      <c r="AP58" s="184">
        <f t="shared" ca="1" si="29"/>
        <v>2072</v>
      </c>
      <c r="AQ58" s="185">
        <f t="shared" si="9"/>
        <v>0.02</v>
      </c>
      <c r="AR58" s="182">
        <f t="shared" ref="AR58:AR121" si="45">AR57*(1+AQ58)</f>
        <v>2.8692137648607838</v>
      </c>
      <c r="AU58" s="184">
        <f t="shared" ca="1" si="31"/>
        <v>2072</v>
      </c>
      <c r="AV58" s="182">
        <f t="shared" si="10"/>
        <v>0.02</v>
      </c>
      <c r="AW58" s="179">
        <f t="shared" si="11"/>
        <v>5.0000000000000001E-3</v>
      </c>
      <c r="AX58" s="182">
        <f t="shared" si="12"/>
        <v>2.5000000000000001E-2</v>
      </c>
      <c r="AY58" s="186"/>
      <c r="AZ58" s="190"/>
      <c r="BA58" s="184">
        <f t="shared" ca="1" si="32"/>
        <v>2072</v>
      </c>
      <c r="BB58" s="171">
        <f t="shared" si="13"/>
        <v>1865.45</v>
      </c>
      <c r="BC58" s="171">
        <f t="shared" si="1"/>
        <v>1977.8553248633123</v>
      </c>
      <c r="BD58" s="171">
        <f t="shared" si="42"/>
        <v>1435.99</v>
      </c>
      <c r="BE58" s="171">
        <f t="shared" si="43"/>
        <v>641.07743254887635</v>
      </c>
      <c r="BF58" s="171">
        <f t="shared" si="43"/>
        <v>641.07743254887635</v>
      </c>
      <c r="BG58" s="171">
        <f t="shared" si="43"/>
        <v>641.07743254887635</v>
      </c>
      <c r="BI58" s="187">
        <f>IF(A58-'Invoer gegevens'!$C$17&lt;0,0,IF(A58-'Invoer gegevens'!$C$17=0,1,IF(A58-'Invoer gegevens'!$C$17&lt;5,2,IF(A58-'Invoer gegevens'!$C$17&lt;15,3,4))))</f>
        <v>0</v>
      </c>
      <c r="BJ58" s="229">
        <f>IF(BI58&lt;1,0,IF(BI58&lt;2,4%,IF(Reeksen!BI58&lt;3,4%,IF(Reeksen!BI58&lt;4,4%*70%,IF(Reeksen!BI58&lt;5,4%*50%)))))</f>
        <v>0</v>
      </c>
      <c r="BK58" s="243"/>
      <c r="BL58" s="243"/>
      <c r="BM58" s="243"/>
      <c r="BN58" s="243"/>
      <c r="BO58" s="243"/>
      <c r="BP58" s="243"/>
      <c r="BQ58" s="243"/>
      <c r="BR58" s="243"/>
    </row>
    <row r="59" spans="1:70" x14ac:dyDescent="0.25">
      <c r="A59" s="184">
        <f t="shared" si="15"/>
        <v>54</v>
      </c>
      <c r="B59" s="179">
        <f>Dashboard!$C$25</f>
        <v>0.05</v>
      </c>
      <c r="C59" s="179">
        <f>Dashboard!$C$25</f>
        <v>0.05</v>
      </c>
      <c r="D59" s="179">
        <f>Dashboard!$C$25</f>
        <v>0.05</v>
      </c>
      <c r="E59" s="189"/>
      <c r="F59" s="184">
        <f t="shared" ca="1" si="16"/>
        <v>2073</v>
      </c>
      <c r="G59" s="179">
        <f t="shared" si="39"/>
        <v>0.02</v>
      </c>
      <c r="H59" s="182">
        <f t="shared" si="17"/>
        <v>2.9294416566887662</v>
      </c>
      <c r="I59" s="179">
        <f t="shared" si="40"/>
        <v>2.5000000000000001E-2</v>
      </c>
      <c r="J59" s="182">
        <f t="shared" si="18"/>
        <v>3.8203900795271215</v>
      </c>
      <c r="K59" s="179">
        <f t="shared" si="41"/>
        <v>2.5000000000000001E-2</v>
      </c>
      <c r="L59" s="182">
        <f t="shared" si="19"/>
        <v>3.8203900795271215</v>
      </c>
      <c r="M59" s="189"/>
      <c r="N59" s="184">
        <f t="shared" ca="1" si="20"/>
        <v>2073</v>
      </c>
      <c r="O59" s="179">
        <f t="shared" si="36"/>
        <v>0.02</v>
      </c>
      <c r="P59" s="182">
        <f t="shared" si="44"/>
        <v>2.9265980401579994</v>
      </c>
      <c r="R59" s="184">
        <f t="shared" ca="1" si="22"/>
        <v>2073</v>
      </c>
      <c r="S59" s="188">
        <f t="shared" si="38"/>
        <v>5.3600000000000002E-3</v>
      </c>
      <c r="U59" s="184">
        <f t="shared" ca="1" si="23"/>
        <v>2073</v>
      </c>
      <c r="V59" s="182">
        <f t="shared" si="4"/>
        <v>0.02</v>
      </c>
      <c r="W59" s="180">
        <f>Parameters!$D$12</f>
        <v>5.0000000000000001E-3</v>
      </c>
      <c r="X59" s="182">
        <f t="shared" si="5"/>
        <v>2.5000000000000001E-2</v>
      </c>
      <c r="Y59" s="182">
        <f t="shared" si="24"/>
        <v>3.8241558666213189</v>
      </c>
      <c r="AA59" s="189"/>
      <c r="AB59" s="184">
        <f t="shared" ca="1" si="25"/>
        <v>2073</v>
      </c>
      <c r="AC59" s="171">
        <f t="shared" si="6"/>
        <v>1912.0779333106595</v>
      </c>
      <c r="AD59" s="171">
        <f t="shared" si="0"/>
        <v>653.89898119985389</v>
      </c>
      <c r="AE59" s="171">
        <f t="shared" si="37"/>
        <v>2017.4124313605785</v>
      </c>
      <c r="AF59" s="171">
        <f t="shared" si="26"/>
        <v>653.89898119985389</v>
      </c>
      <c r="AG59" s="171">
        <f t="shared" si="27"/>
        <v>1464.71</v>
      </c>
      <c r="AH59" s="171">
        <f t="shared" si="7"/>
        <v>1464.71</v>
      </c>
      <c r="AI59" s="171">
        <f t="shared" si="8"/>
        <v>653.89898119985389</v>
      </c>
      <c r="AJ59" s="171">
        <f>IF('Invoer gegevens'!$I$27="DAEB",SMALL(AC59:AD59,1),AC59)</f>
        <v>653.89898119985389</v>
      </c>
      <c r="AK59" s="171">
        <f>IF('Invoer gegevens'!$I$27="DAEB",SMALL((AE59:AH59),1),SMALL((AF59:AH59),1))</f>
        <v>653.89898119985389</v>
      </c>
      <c r="AL59" s="171">
        <f t="shared" si="33"/>
        <v>0</v>
      </c>
      <c r="AM59" s="171">
        <f t="shared" si="34"/>
        <v>0</v>
      </c>
      <c r="AN59" s="175">
        <f t="shared" si="28"/>
        <v>92340</v>
      </c>
      <c r="AP59" s="184">
        <f t="shared" ca="1" si="29"/>
        <v>2073</v>
      </c>
      <c r="AQ59" s="185">
        <f t="shared" si="9"/>
        <v>0.02</v>
      </c>
      <c r="AR59" s="182">
        <f t="shared" si="45"/>
        <v>2.9265980401579994</v>
      </c>
      <c r="AU59" s="184">
        <f t="shared" ca="1" si="31"/>
        <v>2073</v>
      </c>
      <c r="AV59" s="182">
        <f t="shared" si="10"/>
        <v>0.02</v>
      </c>
      <c r="AW59" s="179">
        <f t="shared" si="11"/>
        <v>5.0000000000000001E-3</v>
      </c>
      <c r="AX59" s="182">
        <f t="shared" si="12"/>
        <v>2.5000000000000001E-2</v>
      </c>
      <c r="AY59" s="186"/>
      <c r="AZ59" s="190"/>
      <c r="BA59" s="184">
        <f t="shared" ca="1" si="32"/>
        <v>2073</v>
      </c>
      <c r="BB59" s="171">
        <f t="shared" si="13"/>
        <v>1912.09</v>
      </c>
      <c r="BC59" s="171">
        <f t="shared" si="1"/>
        <v>2017.4124313605785</v>
      </c>
      <c r="BD59" s="171">
        <f t="shared" si="42"/>
        <v>1464.71</v>
      </c>
      <c r="BE59" s="171">
        <f t="shared" si="43"/>
        <v>653.89898119985389</v>
      </c>
      <c r="BF59" s="171">
        <f t="shared" si="43"/>
        <v>653.89898119985389</v>
      </c>
      <c r="BG59" s="171">
        <f t="shared" si="43"/>
        <v>653.89898119985389</v>
      </c>
      <c r="BI59" s="187">
        <f>IF(A59-'Invoer gegevens'!$C$17&lt;0,0,IF(A59-'Invoer gegevens'!$C$17=0,1,IF(A59-'Invoer gegevens'!$C$17&lt;5,2,IF(A59-'Invoer gegevens'!$C$17&lt;15,3,4))))</f>
        <v>0</v>
      </c>
      <c r="BJ59" s="229">
        <f>IF(BI59&lt;1,0,IF(BI59&lt;2,4%,IF(Reeksen!BI59&lt;3,4%,IF(Reeksen!BI59&lt;4,4%*70%,IF(Reeksen!BI59&lt;5,4%*50%)))))</f>
        <v>0</v>
      </c>
      <c r="BK59" s="243"/>
      <c r="BL59" s="243"/>
      <c r="BM59" s="243"/>
      <c r="BN59" s="243"/>
      <c r="BO59" s="243"/>
      <c r="BP59" s="243"/>
      <c r="BQ59" s="243"/>
      <c r="BR59" s="243"/>
    </row>
    <row r="60" spans="1:70" x14ac:dyDescent="0.25">
      <c r="A60" s="184">
        <f t="shared" si="15"/>
        <v>55</v>
      </c>
      <c r="B60" s="179">
        <f>Dashboard!$C$25</f>
        <v>0.05</v>
      </c>
      <c r="C60" s="179">
        <f>Dashboard!$C$25</f>
        <v>0.05</v>
      </c>
      <c r="D60" s="179">
        <f>Dashboard!$C$25</f>
        <v>0.05</v>
      </c>
      <c r="E60" s="189"/>
      <c r="F60" s="184">
        <f t="shared" ca="1" si="16"/>
        <v>2074</v>
      </c>
      <c r="G60" s="179">
        <f t="shared" si="39"/>
        <v>0.02</v>
      </c>
      <c r="H60" s="182">
        <f t="shared" si="17"/>
        <v>2.9880304898225414</v>
      </c>
      <c r="I60" s="179">
        <f t="shared" si="40"/>
        <v>2.5000000000000001E-2</v>
      </c>
      <c r="J60" s="182">
        <f t="shared" si="18"/>
        <v>3.9158998315152993</v>
      </c>
      <c r="K60" s="179">
        <f t="shared" si="41"/>
        <v>2.5000000000000001E-2</v>
      </c>
      <c r="L60" s="182">
        <f t="shared" si="19"/>
        <v>3.9158998315152993</v>
      </c>
      <c r="M60" s="189"/>
      <c r="N60" s="184">
        <f t="shared" ca="1" si="20"/>
        <v>2074</v>
      </c>
      <c r="O60" s="179">
        <f t="shared" si="36"/>
        <v>0.02</v>
      </c>
      <c r="P60" s="182">
        <f t="shared" si="44"/>
        <v>2.9851300009611594</v>
      </c>
      <c r="R60" s="184">
        <f t="shared" ca="1" si="22"/>
        <v>2074</v>
      </c>
      <c r="S60" s="188">
        <f t="shared" si="38"/>
        <v>5.3600000000000002E-3</v>
      </c>
      <c r="U60" s="184">
        <f t="shared" ca="1" si="23"/>
        <v>2074</v>
      </c>
      <c r="V60" s="182">
        <f t="shared" si="4"/>
        <v>0.02</v>
      </c>
      <c r="W60" s="180">
        <f>Parameters!$D$12</f>
        <v>5.0000000000000001E-3</v>
      </c>
      <c r="X60" s="182">
        <f t="shared" si="5"/>
        <v>2.5000000000000001E-2</v>
      </c>
      <c r="Y60" s="182">
        <f t="shared" si="24"/>
        <v>3.9197597632868515</v>
      </c>
      <c r="AA60" s="189"/>
      <c r="AB60" s="184">
        <f t="shared" ca="1" si="25"/>
        <v>2074</v>
      </c>
      <c r="AC60" s="171">
        <f t="shared" si="6"/>
        <v>1959.8798816434257</v>
      </c>
      <c r="AD60" s="171">
        <f t="shared" si="0"/>
        <v>666.97696082385096</v>
      </c>
      <c r="AE60" s="171">
        <f t="shared" si="37"/>
        <v>2057.7606799877899</v>
      </c>
      <c r="AF60" s="171">
        <f t="shared" si="26"/>
        <v>666.97696082385096</v>
      </c>
      <c r="AG60" s="171">
        <f t="shared" si="27"/>
        <v>1494</v>
      </c>
      <c r="AH60" s="171">
        <f t="shared" si="7"/>
        <v>1494</v>
      </c>
      <c r="AI60" s="171">
        <f t="shared" si="8"/>
        <v>666.97696082385096</v>
      </c>
      <c r="AJ60" s="171">
        <f>IF('Invoer gegevens'!$I$27="DAEB",SMALL(AC60:AD60,1),AC60)</f>
        <v>666.97696082385096</v>
      </c>
      <c r="AK60" s="171">
        <f>IF('Invoer gegevens'!$I$27="DAEB",SMALL((AE60:AH60),1),SMALL((AF60:AH60),1))</f>
        <v>666.97696082385096</v>
      </c>
      <c r="AL60" s="171">
        <f t="shared" si="33"/>
        <v>0</v>
      </c>
      <c r="AM60" s="171">
        <f t="shared" si="34"/>
        <v>0</v>
      </c>
      <c r="AN60" s="175">
        <f t="shared" si="28"/>
        <v>94187</v>
      </c>
      <c r="AP60" s="184">
        <f t="shared" ca="1" si="29"/>
        <v>2074</v>
      </c>
      <c r="AQ60" s="185">
        <f t="shared" si="9"/>
        <v>0.02</v>
      </c>
      <c r="AR60" s="182">
        <f t="shared" si="45"/>
        <v>2.9851300009611594</v>
      </c>
      <c r="AU60" s="184">
        <f t="shared" ca="1" si="31"/>
        <v>2074</v>
      </c>
      <c r="AV60" s="182">
        <f t="shared" si="10"/>
        <v>0.02</v>
      </c>
      <c r="AW60" s="179">
        <f t="shared" si="11"/>
        <v>5.0000000000000001E-3</v>
      </c>
      <c r="AX60" s="182">
        <f t="shared" si="12"/>
        <v>2.5000000000000001E-2</v>
      </c>
      <c r="AY60" s="186"/>
      <c r="AZ60" s="190"/>
      <c r="BA60" s="184">
        <f t="shared" ca="1" si="32"/>
        <v>2074</v>
      </c>
      <c r="BB60" s="171">
        <f t="shared" si="13"/>
        <v>1959.89</v>
      </c>
      <c r="BC60" s="171">
        <f t="shared" si="1"/>
        <v>2057.7606799877899</v>
      </c>
      <c r="BD60" s="171">
        <f t="shared" si="42"/>
        <v>1494</v>
      </c>
      <c r="BE60" s="171">
        <f t="shared" si="43"/>
        <v>666.97696082385096</v>
      </c>
      <c r="BF60" s="171">
        <f t="shared" si="43"/>
        <v>666.97696082385096</v>
      </c>
      <c r="BG60" s="171">
        <f t="shared" si="43"/>
        <v>666.97696082385096</v>
      </c>
      <c r="BI60" s="187">
        <f>IF(A60-'Invoer gegevens'!$C$17&lt;0,0,IF(A60-'Invoer gegevens'!$C$17=0,1,IF(A60-'Invoer gegevens'!$C$17&lt;5,2,IF(A60-'Invoer gegevens'!$C$17&lt;15,3,4))))</f>
        <v>0</v>
      </c>
      <c r="BJ60" s="229">
        <f>IF(BI60&lt;1,0,IF(BI60&lt;2,4%,IF(Reeksen!BI60&lt;3,4%,IF(Reeksen!BI60&lt;4,4%*70%,IF(Reeksen!BI60&lt;5,4%*50%)))))</f>
        <v>0</v>
      </c>
      <c r="BK60" s="243"/>
      <c r="BL60" s="243"/>
      <c r="BM60" s="243"/>
      <c r="BN60" s="243"/>
      <c r="BO60" s="243"/>
      <c r="BP60" s="243"/>
      <c r="BQ60" s="243"/>
      <c r="BR60" s="243"/>
    </row>
    <row r="61" spans="1:70" x14ac:dyDescent="0.25">
      <c r="A61" s="184">
        <f t="shared" si="15"/>
        <v>56</v>
      </c>
      <c r="B61" s="179">
        <f>Dashboard!$C$25</f>
        <v>0.05</v>
      </c>
      <c r="C61" s="179">
        <f>Dashboard!$C$25</f>
        <v>0.05</v>
      </c>
      <c r="D61" s="179">
        <f>Dashboard!$C$25</f>
        <v>0.05</v>
      </c>
      <c r="E61" s="189"/>
      <c r="F61" s="184">
        <f t="shared" ca="1" si="16"/>
        <v>2075</v>
      </c>
      <c r="G61" s="179">
        <f t="shared" si="39"/>
        <v>0.02</v>
      </c>
      <c r="H61" s="182">
        <f t="shared" si="17"/>
        <v>3.0477910996189923</v>
      </c>
      <c r="I61" s="179">
        <f t="shared" si="40"/>
        <v>2.5000000000000001E-2</v>
      </c>
      <c r="J61" s="182">
        <f t="shared" si="18"/>
        <v>4.0137973273031813</v>
      </c>
      <c r="K61" s="179">
        <f t="shared" si="41"/>
        <v>2.5000000000000001E-2</v>
      </c>
      <c r="L61" s="182">
        <f t="shared" si="19"/>
        <v>4.0137973273031813</v>
      </c>
      <c r="M61" s="189"/>
      <c r="N61" s="184">
        <f t="shared" ca="1" si="20"/>
        <v>2075</v>
      </c>
      <c r="O61" s="179">
        <f t="shared" si="36"/>
        <v>0.02</v>
      </c>
      <c r="P61" s="182">
        <f t="shared" si="44"/>
        <v>3.0448326009803828</v>
      </c>
      <c r="R61" s="184">
        <f t="shared" ca="1" si="22"/>
        <v>2075</v>
      </c>
      <c r="S61" s="188">
        <f t="shared" si="38"/>
        <v>5.3600000000000002E-3</v>
      </c>
      <c r="U61" s="184">
        <f t="shared" ca="1" si="23"/>
        <v>2075</v>
      </c>
      <c r="V61" s="182">
        <f t="shared" si="4"/>
        <v>0.02</v>
      </c>
      <c r="W61" s="180">
        <f>Parameters!$D$12</f>
        <v>5.0000000000000001E-3</v>
      </c>
      <c r="X61" s="182">
        <f t="shared" si="5"/>
        <v>2.5000000000000001E-2</v>
      </c>
      <c r="Y61" s="182">
        <f t="shared" si="24"/>
        <v>4.0177537573690225</v>
      </c>
      <c r="AA61" s="189"/>
      <c r="AB61" s="184">
        <f t="shared" ca="1" si="25"/>
        <v>2075</v>
      </c>
      <c r="AC61" s="171">
        <f t="shared" si="6"/>
        <v>2008.8768786845112</v>
      </c>
      <c r="AD61" s="171">
        <f t="shared" si="0"/>
        <v>680.31650004032804</v>
      </c>
      <c r="AE61" s="171">
        <f t="shared" si="37"/>
        <v>2098.9158935875457</v>
      </c>
      <c r="AF61" s="171">
        <f t="shared" si="26"/>
        <v>680.31650004032804</v>
      </c>
      <c r="AG61" s="171">
        <f t="shared" si="27"/>
        <v>1523.88</v>
      </c>
      <c r="AH61" s="171">
        <f t="shared" si="7"/>
        <v>1523.88</v>
      </c>
      <c r="AI61" s="171">
        <f t="shared" si="8"/>
        <v>680.31650004032804</v>
      </c>
      <c r="AJ61" s="171">
        <f>IF('Invoer gegevens'!$I$27="DAEB",SMALL(AC61:AD61,1),AC61)</f>
        <v>680.31650004032804</v>
      </c>
      <c r="AK61" s="171">
        <f>IF('Invoer gegevens'!$I$27="DAEB",SMALL((AE61:AH61),1),SMALL((AF61:AH61),1))</f>
        <v>680.31650004032804</v>
      </c>
      <c r="AL61" s="171">
        <f t="shared" si="33"/>
        <v>0</v>
      </c>
      <c r="AM61" s="171">
        <f t="shared" si="34"/>
        <v>0</v>
      </c>
      <c r="AN61" s="175">
        <f t="shared" si="28"/>
        <v>96071</v>
      </c>
      <c r="AP61" s="184">
        <f t="shared" ca="1" si="29"/>
        <v>2075</v>
      </c>
      <c r="AQ61" s="185">
        <f t="shared" si="9"/>
        <v>0.02</v>
      </c>
      <c r="AR61" s="182">
        <f t="shared" si="45"/>
        <v>3.0448326009803828</v>
      </c>
      <c r="AU61" s="184">
        <f t="shared" ca="1" si="31"/>
        <v>2075</v>
      </c>
      <c r="AV61" s="182">
        <f t="shared" si="10"/>
        <v>0.02</v>
      </c>
      <c r="AW61" s="179">
        <f t="shared" si="11"/>
        <v>5.0000000000000001E-3</v>
      </c>
      <c r="AX61" s="182">
        <f t="shared" si="12"/>
        <v>2.5000000000000001E-2</v>
      </c>
      <c r="AY61" s="186"/>
      <c r="AZ61" s="190"/>
      <c r="BA61" s="184">
        <f t="shared" ca="1" si="32"/>
        <v>2075</v>
      </c>
      <c r="BB61" s="171">
        <f t="shared" si="13"/>
        <v>2008.89</v>
      </c>
      <c r="BC61" s="171">
        <f t="shared" si="1"/>
        <v>2098.9158935875457</v>
      </c>
      <c r="BD61" s="171">
        <f t="shared" si="42"/>
        <v>1523.88</v>
      </c>
      <c r="BE61" s="171">
        <f t="shared" si="43"/>
        <v>680.31650004032804</v>
      </c>
      <c r="BF61" s="171">
        <f t="shared" si="43"/>
        <v>680.31650004032804</v>
      </c>
      <c r="BG61" s="171">
        <f t="shared" si="43"/>
        <v>680.31650004032804</v>
      </c>
      <c r="BI61" s="187">
        <f>IF(A61-'Invoer gegevens'!$C$17&lt;0,0,IF(A61-'Invoer gegevens'!$C$17=0,1,IF(A61-'Invoer gegevens'!$C$17&lt;5,2,IF(A61-'Invoer gegevens'!$C$17&lt;15,3,4))))</f>
        <v>0</v>
      </c>
      <c r="BJ61" s="229">
        <f>IF(BI61&lt;1,0,IF(BI61&lt;2,4%,IF(Reeksen!BI61&lt;3,4%,IF(Reeksen!BI61&lt;4,4%*70%,IF(Reeksen!BI61&lt;5,4%*50%)))))</f>
        <v>0</v>
      </c>
      <c r="BK61" s="243"/>
      <c r="BL61" s="243"/>
      <c r="BM61" s="243"/>
      <c r="BN61" s="243"/>
      <c r="BO61" s="243"/>
      <c r="BP61" s="243"/>
      <c r="BQ61" s="243"/>
      <c r="BR61" s="243"/>
    </row>
    <row r="62" spans="1:70" x14ac:dyDescent="0.25">
      <c r="A62" s="184">
        <f t="shared" si="15"/>
        <v>57</v>
      </c>
      <c r="B62" s="179">
        <f>Dashboard!$C$25</f>
        <v>0.05</v>
      </c>
      <c r="C62" s="179">
        <f>Dashboard!$C$25</f>
        <v>0.05</v>
      </c>
      <c r="D62" s="179">
        <f>Dashboard!$C$25</f>
        <v>0.05</v>
      </c>
      <c r="E62" s="189"/>
      <c r="F62" s="184">
        <f t="shared" ca="1" si="16"/>
        <v>2076</v>
      </c>
      <c r="G62" s="179">
        <f t="shared" si="39"/>
        <v>0.02</v>
      </c>
      <c r="H62" s="182">
        <f t="shared" si="17"/>
        <v>3.1087469216113721</v>
      </c>
      <c r="I62" s="179">
        <f t="shared" si="40"/>
        <v>2.5000000000000001E-2</v>
      </c>
      <c r="J62" s="182">
        <f t="shared" si="18"/>
        <v>4.1141422604857603</v>
      </c>
      <c r="K62" s="179">
        <f t="shared" si="41"/>
        <v>2.5000000000000001E-2</v>
      </c>
      <c r="L62" s="182">
        <f t="shared" si="19"/>
        <v>4.1141422604857603</v>
      </c>
      <c r="M62" s="189"/>
      <c r="N62" s="184">
        <f t="shared" ca="1" si="20"/>
        <v>2076</v>
      </c>
      <c r="O62" s="179">
        <f t="shared" si="36"/>
        <v>0.02</v>
      </c>
      <c r="P62" s="182">
        <f t="shared" si="44"/>
        <v>3.1057292529999905</v>
      </c>
      <c r="R62" s="184">
        <f t="shared" ca="1" si="22"/>
        <v>2076</v>
      </c>
      <c r="S62" s="188">
        <f t="shared" si="38"/>
        <v>5.3600000000000002E-3</v>
      </c>
      <c r="U62" s="184">
        <f t="shared" ca="1" si="23"/>
        <v>2076</v>
      </c>
      <c r="V62" s="182">
        <f t="shared" si="4"/>
        <v>0.02</v>
      </c>
      <c r="W62" s="180">
        <f>Parameters!$D$12</f>
        <v>5.0000000000000001E-3</v>
      </c>
      <c r="X62" s="182">
        <f t="shared" si="5"/>
        <v>2.5000000000000001E-2</v>
      </c>
      <c r="Y62" s="182">
        <f t="shared" si="24"/>
        <v>4.1181976013032475</v>
      </c>
      <c r="AA62" s="189"/>
      <c r="AB62" s="184">
        <f t="shared" ca="1" si="25"/>
        <v>2076</v>
      </c>
      <c r="AC62" s="171">
        <f t="shared" si="6"/>
        <v>2059.0988006516236</v>
      </c>
      <c r="AD62" s="171">
        <f t="shared" si="0"/>
        <v>693.92283004113449</v>
      </c>
      <c r="AE62" s="171">
        <f t="shared" si="37"/>
        <v>2140.8942114592965</v>
      </c>
      <c r="AF62" s="171">
        <f t="shared" si="26"/>
        <v>693.92283004113449</v>
      </c>
      <c r="AG62" s="171">
        <f t="shared" si="27"/>
        <v>1554.36</v>
      </c>
      <c r="AH62" s="171">
        <f t="shared" si="7"/>
        <v>1554.36</v>
      </c>
      <c r="AI62" s="171">
        <f t="shared" si="8"/>
        <v>693.92283004113449</v>
      </c>
      <c r="AJ62" s="171">
        <f>IF('Invoer gegevens'!$I$27="DAEB",SMALL(AC62:AD62,1),AC62)</f>
        <v>693.92283004113449</v>
      </c>
      <c r="AK62" s="171">
        <f>IF('Invoer gegevens'!$I$27="DAEB",SMALL((AE62:AH62),1),SMALL((AF62:AH62),1))</f>
        <v>693.92283004113449</v>
      </c>
      <c r="AL62" s="171">
        <f t="shared" si="33"/>
        <v>0</v>
      </c>
      <c r="AM62" s="171">
        <f t="shared" si="34"/>
        <v>0</v>
      </c>
      <c r="AN62" s="175">
        <f t="shared" si="28"/>
        <v>97992</v>
      </c>
      <c r="AP62" s="184">
        <f t="shared" ca="1" si="29"/>
        <v>2076</v>
      </c>
      <c r="AQ62" s="185">
        <f t="shared" si="9"/>
        <v>0.02</v>
      </c>
      <c r="AR62" s="182">
        <f t="shared" si="45"/>
        <v>3.1057292529999905</v>
      </c>
      <c r="AU62" s="184">
        <f t="shared" ca="1" si="31"/>
        <v>2076</v>
      </c>
      <c r="AV62" s="182">
        <f t="shared" si="10"/>
        <v>0.02</v>
      </c>
      <c r="AW62" s="179">
        <f t="shared" si="11"/>
        <v>5.0000000000000001E-3</v>
      </c>
      <c r="AX62" s="182">
        <f t="shared" si="12"/>
        <v>2.5000000000000001E-2</v>
      </c>
      <c r="AY62" s="186"/>
      <c r="AZ62" s="190"/>
      <c r="BA62" s="184">
        <f t="shared" ca="1" si="32"/>
        <v>2076</v>
      </c>
      <c r="BB62" s="171">
        <f t="shared" si="13"/>
        <v>2059.11</v>
      </c>
      <c r="BC62" s="171">
        <f t="shared" si="1"/>
        <v>2140.8942114592965</v>
      </c>
      <c r="BD62" s="171">
        <f t="shared" si="42"/>
        <v>1554.36</v>
      </c>
      <c r="BE62" s="171">
        <f t="shared" si="43"/>
        <v>693.92283004113449</v>
      </c>
      <c r="BF62" s="171">
        <f t="shared" si="43"/>
        <v>693.92283004113449</v>
      </c>
      <c r="BG62" s="171">
        <f t="shared" si="43"/>
        <v>693.92283004113449</v>
      </c>
      <c r="BI62" s="187">
        <f>IF(A62-'Invoer gegevens'!$C$17&lt;0,0,IF(A62-'Invoer gegevens'!$C$17=0,1,IF(A62-'Invoer gegevens'!$C$17&lt;5,2,IF(A62-'Invoer gegevens'!$C$17&lt;15,3,4))))</f>
        <v>0</v>
      </c>
      <c r="BJ62" s="229">
        <f>IF(BI62&lt;1,0,IF(BI62&lt;2,4%,IF(Reeksen!BI62&lt;3,4%,IF(Reeksen!BI62&lt;4,4%*70%,IF(Reeksen!BI62&lt;5,4%*50%)))))</f>
        <v>0</v>
      </c>
      <c r="BK62" s="243"/>
      <c r="BL62" s="243"/>
      <c r="BM62" s="243"/>
      <c r="BN62" s="243"/>
      <c r="BO62" s="243"/>
      <c r="BP62" s="243"/>
      <c r="BQ62" s="243"/>
      <c r="BR62" s="243"/>
    </row>
    <row r="63" spans="1:70" x14ac:dyDescent="0.25">
      <c r="A63" s="184">
        <f t="shared" si="15"/>
        <v>58</v>
      </c>
      <c r="B63" s="179">
        <f>Dashboard!$C$25</f>
        <v>0.05</v>
      </c>
      <c r="C63" s="179">
        <f>Dashboard!$C$25</f>
        <v>0.05</v>
      </c>
      <c r="D63" s="179">
        <f>Dashboard!$C$25</f>
        <v>0.05</v>
      </c>
      <c r="E63" s="189"/>
      <c r="F63" s="184">
        <f t="shared" ca="1" si="16"/>
        <v>2077</v>
      </c>
      <c r="G63" s="179">
        <f t="shared" si="39"/>
        <v>0.02</v>
      </c>
      <c r="H63" s="182">
        <f t="shared" si="17"/>
        <v>3.1709218600435998</v>
      </c>
      <c r="I63" s="179">
        <f t="shared" si="40"/>
        <v>2.5000000000000001E-2</v>
      </c>
      <c r="J63" s="182">
        <f t="shared" si="18"/>
        <v>4.2169958169979038</v>
      </c>
      <c r="K63" s="179">
        <f t="shared" si="41"/>
        <v>2.5000000000000001E-2</v>
      </c>
      <c r="L63" s="182">
        <f t="shared" si="19"/>
        <v>4.2169958169979038</v>
      </c>
      <c r="M63" s="189"/>
      <c r="N63" s="184">
        <f t="shared" ca="1" si="20"/>
        <v>2077</v>
      </c>
      <c r="O63" s="179">
        <f t="shared" si="36"/>
        <v>0.02</v>
      </c>
      <c r="P63" s="182">
        <f t="shared" si="44"/>
        <v>3.1678438380599903</v>
      </c>
      <c r="R63" s="184">
        <f t="shared" ca="1" si="22"/>
        <v>2077</v>
      </c>
      <c r="S63" s="188">
        <f t="shared" si="38"/>
        <v>5.3600000000000002E-3</v>
      </c>
      <c r="U63" s="184">
        <f t="shared" ca="1" si="23"/>
        <v>2077</v>
      </c>
      <c r="V63" s="182">
        <f t="shared" si="4"/>
        <v>0.02</v>
      </c>
      <c r="W63" s="180">
        <f>Parameters!$D$12</f>
        <v>5.0000000000000001E-3</v>
      </c>
      <c r="X63" s="182">
        <f t="shared" si="5"/>
        <v>2.5000000000000001E-2</v>
      </c>
      <c r="Y63" s="182">
        <f t="shared" si="24"/>
        <v>4.2211525413358286</v>
      </c>
      <c r="AA63" s="189"/>
      <c r="AB63" s="184">
        <f t="shared" ca="1" si="25"/>
        <v>2077</v>
      </c>
      <c r="AC63" s="171">
        <f t="shared" si="6"/>
        <v>2110.5762706679143</v>
      </c>
      <c r="AD63" s="171">
        <f t="shared" si="0"/>
        <v>707.80128664195729</v>
      </c>
      <c r="AE63" s="171">
        <f t="shared" si="37"/>
        <v>2183.7120956884823</v>
      </c>
      <c r="AF63" s="171">
        <f t="shared" si="26"/>
        <v>707.80128664195729</v>
      </c>
      <c r="AG63" s="171">
        <f t="shared" si="27"/>
        <v>1585.45</v>
      </c>
      <c r="AH63" s="171">
        <f t="shared" si="7"/>
        <v>1585.45</v>
      </c>
      <c r="AI63" s="171">
        <f t="shared" si="8"/>
        <v>707.80128664195729</v>
      </c>
      <c r="AJ63" s="171">
        <f>IF('Invoer gegevens'!$I$27="DAEB",SMALL(AC63:AD63,1),AC63)</f>
        <v>707.80128664195729</v>
      </c>
      <c r="AK63" s="171">
        <f>IF('Invoer gegevens'!$I$27="DAEB",SMALL((AE63:AH63),1),SMALL((AF63:AH63),1))</f>
        <v>707.80128664195729</v>
      </c>
      <c r="AL63" s="171">
        <f t="shared" si="33"/>
        <v>0</v>
      </c>
      <c r="AM63" s="171">
        <f t="shared" si="34"/>
        <v>0</v>
      </c>
      <c r="AN63" s="175">
        <f t="shared" si="28"/>
        <v>99952</v>
      </c>
      <c r="AP63" s="184">
        <f t="shared" ca="1" si="29"/>
        <v>2077</v>
      </c>
      <c r="AQ63" s="185">
        <f t="shared" si="9"/>
        <v>0.02</v>
      </c>
      <c r="AR63" s="182">
        <f t="shared" si="45"/>
        <v>3.1678438380599903</v>
      </c>
      <c r="AU63" s="184">
        <f t="shared" ca="1" si="31"/>
        <v>2077</v>
      </c>
      <c r="AV63" s="182">
        <f t="shared" si="10"/>
        <v>0.02</v>
      </c>
      <c r="AW63" s="179">
        <f t="shared" si="11"/>
        <v>5.0000000000000001E-3</v>
      </c>
      <c r="AX63" s="182">
        <f t="shared" si="12"/>
        <v>2.5000000000000001E-2</v>
      </c>
      <c r="AY63" s="186"/>
      <c r="AZ63" s="190"/>
      <c r="BA63" s="184">
        <f t="shared" ca="1" si="32"/>
        <v>2077</v>
      </c>
      <c r="BB63" s="171">
        <f t="shared" si="13"/>
        <v>2110.59</v>
      </c>
      <c r="BC63" s="171">
        <f t="shared" si="1"/>
        <v>2183.7120956884823</v>
      </c>
      <c r="BD63" s="171">
        <f t="shared" si="42"/>
        <v>1585.45</v>
      </c>
      <c r="BE63" s="171">
        <f t="shared" si="43"/>
        <v>707.80128664195729</v>
      </c>
      <c r="BF63" s="171">
        <f t="shared" si="43"/>
        <v>707.80128664195729</v>
      </c>
      <c r="BG63" s="171">
        <f t="shared" si="43"/>
        <v>707.80128664195729</v>
      </c>
      <c r="BI63" s="187">
        <f>IF(A63-'Invoer gegevens'!$C$17&lt;0,0,IF(A63-'Invoer gegevens'!$C$17=0,1,IF(A63-'Invoer gegevens'!$C$17&lt;5,2,IF(A63-'Invoer gegevens'!$C$17&lt;15,3,4))))</f>
        <v>0</v>
      </c>
      <c r="BJ63" s="229">
        <f>IF(BI63&lt;1,0,IF(BI63&lt;2,4%,IF(Reeksen!BI63&lt;3,4%,IF(Reeksen!BI63&lt;4,4%*70%,IF(Reeksen!BI63&lt;5,4%*50%)))))</f>
        <v>0</v>
      </c>
      <c r="BK63" s="243"/>
      <c r="BL63" s="243"/>
      <c r="BM63" s="243"/>
      <c r="BN63" s="243"/>
      <c r="BO63" s="243"/>
      <c r="BP63" s="243"/>
      <c r="BQ63" s="243"/>
      <c r="BR63" s="243"/>
    </row>
    <row r="64" spans="1:70" x14ac:dyDescent="0.25">
      <c r="A64" s="184">
        <f t="shared" si="15"/>
        <v>59</v>
      </c>
      <c r="B64" s="179">
        <f>Dashboard!$C$25</f>
        <v>0.05</v>
      </c>
      <c r="C64" s="179">
        <f>Dashboard!$C$25</f>
        <v>0.05</v>
      </c>
      <c r="D64" s="179">
        <f>Dashboard!$C$25</f>
        <v>0.05</v>
      </c>
      <c r="E64" s="189"/>
      <c r="F64" s="184">
        <f t="shared" ca="1" si="16"/>
        <v>2078</v>
      </c>
      <c r="G64" s="179">
        <f t="shared" si="39"/>
        <v>0.02</v>
      </c>
      <c r="H64" s="182">
        <f t="shared" si="17"/>
        <v>3.2343402972444717</v>
      </c>
      <c r="I64" s="179">
        <f t="shared" si="40"/>
        <v>2.5000000000000001E-2</v>
      </c>
      <c r="J64" s="182">
        <f t="shared" si="18"/>
        <v>4.3224207124228506</v>
      </c>
      <c r="K64" s="179">
        <f t="shared" si="41"/>
        <v>2.5000000000000001E-2</v>
      </c>
      <c r="L64" s="182">
        <f t="shared" si="19"/>
        <v>4.3224207124228506</v>
      </c>
      <c r="M64" s="189"/>
      <c r="N64" s="184">
        <f t="shared" ca="1" si="20"/>
        <v>2078</v>
      </c>
      <c r="O64" s="179">
        <f t="shared" si="36"/>
        <v>0.02</v>
      </c>
      <c r="P64" s="182">
        <f t="shared" si="44"/>
        <v>3.2312007148211901</v>
      </c>
      <c r="R64" s="184">
        <f t="shared" ca="1" si="22"/>
        <v>2078</v>
      </c>
      <c r="S64" s="188">
        <f t="shared" si="38"/>
        <v>5.3600000000000002E-3</v>
      </c>
      <c r="U64" s="184">
        <f t="shared" ca="1" si="23"/>
        <v>2078</v>
      </c>
      <c r="V64" s="182">
        <f t="shared" si="4"/>
        <v>0.02</v>
      </c>
      <c r="W64" s="180">
        <f>Parameters!$D$12</f>
        <v>5.0000000000000001E-3</v>
      </c>
      <c r="X64" s="182">
        <f t="shared" si="5"/>
        <v>2.5000000000000001E-2</v>
      </c>
      <c r="Y64" s="182">
        <f t="shared" si="24"/>
        <v>4.3266813548692236</v>
      </c>
      <c r="AA64" s="189"/>
      <c r="AB64" s="184">
        <f t="shared" ca="1" si="25"/>
        <v>2078</v>
      </c>
      <c r="AC64" s="171">
        <f t="shared" si="6"/>
        <v>2163.3406774346117</v>
      </c>
      <c r="AD64" s="171">
        <f t="shared" si="0"/>
        <v>721.9573123747964</v>
      </c>
      <c r="AE64" s="171">
        <f t="shared" si="37"/>
        <v>2227.3863376022518</v>
      </c>
      <c r="AF64" s="171">
        <f t="shared" si="26"/>
        <v>721.9573123747964</v>
      </c>
      <c r="AG64" s="171">
        <f t="shared" si="27"/>
        <v>1617.16</v>
      </c>
      <c r="AH64" s="171">
        <f t="shared" si="7"/>
        <v>1617.16</v>
      </c>
      <c r="AI64" s="171">
        <f t="shared" si="8"/>
        <v>721.9573123747964</v>
      </c>
      <c r="AJ64" s="171">
        <f>IF('Invoer gegevens'!$I$27="DAEB",SMALL(AC64:AD64,1),AC64)</f>
        <v>721.9573123747964</v>
      </c>
      <c r="AK64" s="171">
        <f>IF('Invoer gegevens'!$I$27="DAEB",SMALL((AE64:AH64),1),SMALL((AF64:AH64),1))</f>
        <v>721.9573123747964</v>
      </c>
      <c r="AL64" s="171">
        <f t="shared" si="33"/>
        <v>0</v>
      </c>
      <c r="AM64" s="171">
        <f t="shared" si="34"/>
        <v>0</v>
      </c>
      <c r="AN64" s="175">
        <f t="shared" si="28"/>
        <v>101951</v>
      </c>
      <c r="AP64" s="184">
        <f t="shared" ca="1" si="29"/>
        <v>2078</v>
      </c>
      <c r="AQ64" s="185">
        <f t="shared" si="9"/>
        <v>0.02</v>
      </c>
      <c r="AR64" s="182">
        <f t="shared" si="45"/>
        <v>3.2312007148211901</v>
      </c>
      <c r="AU64" s="184">
        <f t="shared" ca="1" si="31"/>
        <v>2078</v>
      </c>
      <c r="AV64" s="182">
        <f t="shared" si="10"/>
        <v>0.02</v>
      </c>
      <c r="AW64" s="179">
        <f t="shared" si="11"/>
        <v>5.0000000000000001E-3</v>
      </c>
      <c r="AX64" s="182">
        <f t="shared" si="12"/>
        <v>2.5000000000000001E-2</v>
      </c>
      <c r="AY64" s="186"/>
      <c r="AZ64" s="190"/>
      <c r="BA64" s="184">
        <f t="shared" ca="1" si="32"/>
        <v>2078</v>
      </c>
      <c r="BB64" s="171">
        <f t="shared" si="13"/>
        <v>2163.35</v>
      </c>
      <c r="BC64" s="171">
        <f t="shared" si="1"/>
        <v>2227.3863376022518</v>
      </c>
      <c r="BD64" s="171">
        <f t="shared" si="42"/>
        <v>1617.16</v>
      </c>
      <c r="BE64" s="171">
        <f t="shared" si="43"/>
        <v>721.9573123747964</v>
      </c>
      <c r="BF64" s="171">
        <f t="shared" si="43"/>
        <v>721.9573123747964</v>
      </c>
      <c r="BG64" s="171">
        <f t="shared" si="43"/>
        <v>721.9573123747964</v>
      </c>
      <c r="BI64" s="187">
        <f>IF(A64-'Invoer gegevens'!$C$17&lt;0,0,IF(A64-'Invoer gegevens'!$C$17=0,1,IF(A64-'Invoer gegevens'!$C$17&lt;5,2,IF(A64-'Invoer gegevens'!$C$17&lt;15,3,4))))</f>
        <v>0</v>
      </c>
      <c r="BJ64" s="229">
        <f>IF(BI64&lt;1,0,IF(BI64&lt;2,4%,IF(Reeksen!BI64&lt;3,4%,IF(Reeksen!BI64&lt;4,4%*70%,IF(Reeksen!BI64&lt;5,4%*50%)))))</f>
        <v>0</v>
      </c>
      <c r="BK64" s="243"/>
      <c r="BL64" s="243"/>
      <c r="BM64" s="243"/>
      <c r="BN64" s="243"/>
      <c r="BO64" s="243"/>
      <c r="BP64" s="243"/>
      <c r="BQ64" s="243"/>
      <c r="BR64" s="243"/>
    </row>
    <row r="65" spans="1:70" x14ac:dyDescent="0.25">
      <c r="A65" s="184">
        <f t="shared" si="15"/>
        <v>60</v>
      </c>
      <c r="B65" s="179">
        <f>Dashboard!$C$25</f>
        <v>0.05</v>
      </c>
      <c r="C65" s="179">
        <f>Dashboard!$C$25</f>
        <v>0.05</v>
      </c>
      <c r="D65" s="179">
        <f>Dashboard!$C$25</f>
        <v>0.05</v>
      </c>
      <c r="E65" s="189"/>
      <c r="F65" s="184">
        <f t="shared" ca="1" si="16"/>
        <v>2079</v>
      </c>
      <c r="G65" s="179">
        <f t="shared" si="39"/>
        <v>0.02</v>
      </c>
      <c r="H65" s="182">
        <f t="shared" si="17"/>
        <v>3.2990271031893612</v>
      </c>
      <c r="I65" s="179">
        <f t="shared" si="40"/>
        <v>2.5000000000000001E-2</v>
      </c>
      <c r="J65" s="182">
        <f t="shared" si="18"/>
        <v>4.4304812302334211</v>
      </c>
      <c r="K65" s="179">
        <f t="shared" si="41"/>
        <v>2.5000000000000001E-2</v>
      </c>
      <c r="L65" s="182">
        <f t="shared" si="19"/>
        <v>4.4304812302334211</v>
      </c>
      <c r="M65" s="189"/>
      <c r="N65" s="184">
        <f t="shared" ca="1" si="20"/>
        <v>2079</v>
      </c>
      <c r="O65" s="179">
        <f t="shared" si="36"/>
        <v>0.02</v>
      </c>
      <c r="P65" s="182">
        <f t="shared" si="44"/>
        <v>3.2958247291176139</v>
      </c>
      <c r="R65" s="184">
        <f t="shared" ca="1" si="22"/>
        <v>2079</v>
      </c>
      <c r="S65" s="188">
        <f t="shared" si="38"/>
        <v>5.3600000000000002E-3</v>
      </c>
      <c r="U65" s="184">
        <f t="shared" ca="1" si="23"/>
        <v>2079</v>
      </c>
      <c r="V65" s="182">
        <f t="shared" si="4"/>
        <v>0.02</v>
      </c>
      <c r="W65" s="180">
        <f>Parameters!$D$12</f>
        <v>5.0000000000000001E-3</v>
      </c>
      <c r="X65" s="182">
        <f t="shared" si="5"/>
        <v>2.5000000000000001E-2</v>
      </c>
      <c r="Y65" s="182">
        <f t="shared" si="24"/>
        <v>4.4348483887409538</v>
      </c>
      <c r="AA65" s="189"/>
      <c r="AB65" s="184">
        <f t="shared" ca="1" si="25"/>
        <v>2079</v>
      </c>
      <c r="AC65" s="171">
        <f t="shared" si="6"/>
        <v>2217.4241943704769</v>
      </c>
      <c r="AD65" s="171">
        <f t="shared" si="0"/>
        <v>736.39645862229236</v>
      </c>
      <c r="AE65" s="171">
        <f t="shared" si="37"/>
        <v>2271.9340643542969</v>
      </c>
      <c r="AF65" s="171">
        <f t="shared" si="26"/>
        <v>736.39645862229236</v>
      </c>
      <c r="AG65" s="171">
        <f t="shared" si="27"/>
        <v>1649.5</v>
      </c>
      <c r="AH65" s="171">
        <f t="shared" si="7"/>
        <v>1649.5</v>
      </c>
      <c r="AI65" s="171">
        <f t="shared" si="8"/>
        <v>736.39645862229236</v>
      </c>
      <c r="AJ65" s="171">
        <f>IF('Invoer gegevens'!$I$27="DAEB",SMALL(AC65:AD65,1),AC65)</f>
        <v>736.39645862229236</v>
      </c>
      <c r="AK65" s="171">
        <f>IF('Invoer gegevens'!$I$27="DAEB",SMALL((AE65:AH65),1),SMALL((AF65:AH65),1))</f>
        <v>736.39645862229236</v>
      </c>
      <c r="AL65" s="171">
        <f t="shared" si="33"/>
        <v>0</v>
      </c>
      <c r="AM65" s="171">
        <f t="shared" si="34"/>
        <v>0</v>
      </c>
      <c r="AN65" s="175">
        <f t="shared" si="28"/>
        <v>103990</v>
      </c>
      <c r="AP65" s="184">
        <f t="shared" ca="1" si="29"/>
        <v>2079</v>
      </c>
      <c r="AQ65" s="185">
        <f t="shared" si="9"/>
        <v>0.02</v>
      </c>
      <c r="AR65" s="182">
        <f t="shared" si="45"/>
        <v>3.2958247291176139</v>
      </c>
      <c r="AU65" s="184">
        <f t="shared" ca="1" si="31"/>
        <v>2079</v>
      </c>
      <c r="AV65" s="182">
        <f t="shared" si="10"/>
        <v>0.02</v>
      </c>
      <c r="AW65" s="179">
        <f t="shared" si="11"/>
        <v>5.0000000000000001E-3</v>
      </c>
      <c r="AX65" s="182">
        <f t="shared" si="12"/>
        <v>2.5000000000000001E-2</v>
      </c>
      <c r="AY65" s="186"/>
      <c r="AZ65" s="190"/>
      <c r="BA65" s="184">
        <f t="shared" ca="1" si="32"/>
        <v>2079</v>
      </c>
      <c r="BB65" s="171">
        <f t="shared" si="13"/>
        <v>2217.4299999999998</v>
      </c>
      <c r="BC65" s="171">
        <f t="shared" si="1"/>
        <v>2271.9340643542969</v>
      </c>
      <c r="BD65" s="171">
        <f t="shared" ref="BD65:BD97" si="46">AH65</f>
        <v>1649.5</v>
      </c>
      <c r="BE65" s="171">
        <f t="shared" si="43"/>
        <v>736.39645862229236</v>
      </c>
      <c r="BF65" s="171">
        <f t="shared" si="43"/>
        <v>736.39645862229236</v>
      </c>
      <c r="BG65" s="171">
        <f t="shared" si="43"/>
        <v>736.39645862229236</v>
      </c>
      <c r="BI65" s="187">
        <f>IF(A65-'Invoer gegevens'!$C$17&lt;0,0,IF(A65-'Invoer gegevens'!$C$17=0,1,IF(A65-'Invoer gegevens'!$C$17&lt;5,2,IF(A65-'Invoer gegevens'!$C$17&lt;15,3,4))))</f>
        <v>0</v>
      </c>
      <c r="BJ65" s="229">
        <f>IF(BI65&lt;1,0,IF(BI65&lt;2,4%,IF(Reeksen!BI65&lt;3,4%,IF(Reeksen!BI65&lt;4,4%*70%,IF(Reeksen!BI65&lt;5,4%*50%)))))</f>
        <v>0</v>
      </c>
      <c r="BK65" s="243"/>
      <c r="BL65" s="243"/>
      <c r="BM65" s="243"/>
      <c r="BN65" s="243"/>
      <c r="BO65" s="243"/>
      <c r="BP65" s="243"/>
      <c r="BQ65" s="243"/>
      <c r="BR65" s="243"/>
    </row>
    <row r="66" spans="1:70" x14ac:dyDescent="0.25">
      <c r="A66" s="184">
        <f t="shared" si="15"/>
        <v>61</v>
      </c>
      <c r="B66" s="179">
        <f>Dashboard!$C$25</f>
        <v>0.05</v>
      </c>
      <c r="C66" s="179">
        <f>Dashboard!$C$25</f>
        <v>0.05</v>
      </c>
      <c r="D66" s="179">
        <f>Dashboard!$C$25</f>
        <v>0.05</v>
      </c>
      <c r="E66" s="189"/>
      <c r="F66" s="184">
        <f t="shared" ca="1" si="16"/>
        <v>2080</v>
      </c>
      <c r="G66" s="179">
        <f t="shared" si="39"/>
        <v>0.02</v>
      </c>
      <c r="H66" s="182">
        <f t="shared" si="17"/>
        <v>3.3650076452531485</v>
      </c>
      <c r="I66" s="179">
        <f t="shared" si="40"/>
        <v>2.5000000000000001E-2</v>
      </c>
      <c r="J66" s="182">
        <f t="shared" si="18"/>
        <v>4.5412432609892566</v>
      </c>
      <c r="K66" s="179">
        <f t="shared" si="41"/>
        <v>2.5000000000000001E-2</v>
      </c>
      <c r="L66" s="182">
        <f t="shared" si="19"/>
        <v>4.5412432609892566</v>
      </c>
      <c r="M66" s="189"/>
      <c r="N66" s="184">
        <f t="shared" ca="1" si="20"/>
        <v>2080</v>
      </c>
      <c r="O66" s="179">
        <f t="shared" si="36"/>
        <v>0.02</v>
      </c>
      <c r="P66" s="182">
        <f t="shared" si="44"/>
        <v>3.3617412236999664</v>
      </c>
      <c r="R66" s="184">
        <f t="shared" ca="1" si="22"/>
        <v>2080</v>
      </c>
      <c r="S66" s="188">
        <f t="shared" si="38"/>
        <v>5.3600000000000002E-3</v>
      </c>
      <c r="U66" s="184">
        <f t="shared" ca="1" si="23"/>
        <v>2080</v>
      </c>
      <c r="V66" s="182">
        <f t="shared" si="4"/>
        <v>0.02</v>
      </c>
      <c r="W66" s="180">
        <f>Parameters!$D$12</f>
        <v>5.0000000000000001E-3</v>
      </c>
      <c r="X66" s="182">
        <f t="shared" si="5"/>
        <v>2.5000000000000001E-2</v>
      </c>
      <c r="Y66" s="182">
        <f t="shared" si="24"/>
        <v>4.5457195984594776</v>
      </c>
      <c r="AA66" s="189"/>
      <c r="AB66" s="184">
        <f t="shared" ca="1" si="25"/>
        <v>2080</v>
      </c>
      <c r="AC66" s="171">
        <f t="shared" si="6"/>
        <v>2272.8597992297387</v>
      </c>
      <c r="AD66" s="171">
        <f t="shared" si="0"/>
        <v>751.12438779473825</v>
      </c>
      <c r="AE66" s="171">
        <f t="shared" si="37"/>
        <v>2317.3727456413831</v>
      </c>
      <c r="AF66" s="171">
        <f t="shared" si="26"/>
        <v>751.12438779473825</v>
      </c>
      <c r="AG66" s="171">
        <f t="shared" si="27"/>
        <v>1682.49</v>
      </c>
      <c r="AH66" s="171">
        <f t="shared" si="7"/>
        <v>1682.49</v>
      </c>
      <c r="AI66" s="171">
        <f t="shared" si="8"/>
        <v>751.12438779473825</v>
      </c>
      <c r="AJ66" s="171">
        <f>IF('Invoer gegevens'!$I$27="DAEB",SMALL(AC66:AD66,1),AC66)</f>
        <v>751.12438779473825</v>
      </c>
      <c r="AK66" s="171">
        <f>IF('Invoer gegevens'!$I$27="DAEB",SMALL((AE66:AH66),1),SMALL((AF66:AH66),1))</f>
        <v>751.12438779473825</v>
      </c>
      <c r="AL66" s="171">
        <f t="shared" si="33"/>
        <v>0</v>
      </c>
      <c r="AM66" s="171">
        <f t="shared" si="34"/>
        <v>0</v>
      </c>
      <c r="AN66" s="175">
        <f t="shared" si="28"/>
        <v>106070</v>
      </c>
      <c r="AP66" s="184">
        <f t="shared" ca="1" si="29"/>
        <v>2080</v>
      </c>
      <c r="AQ66" s="185">
        <f t="shared" si="9"/>
        <v>0.02</v>
      </c>
      <c r="AR66" s="182">
        <f t="shared" si="45"/>
        <v>3.3617412236999664</v>
      </c>
      <c r="AU66" s="184">
        <f t="shared" ca="1" si="31"/>
        <v>2080</v>
      </c>
      <c r="AV66" s="182">
        <f t="shared" si="10"/>
        <v>0.02</v>
      </c>
      <c r="AW66" s="179">
        <f t="shared" si="11"/>
        <v>5.0000000000000001E-3</v>
      </c>
      <c r="AX66" s="182">
        <f t="shared" si="12"/>
        <v>2.5000000000000001E-2</v>
      </c>
      <c r="AY66" s="186"/>
      <c r="AZ66" s="190"/>
      <c r="BA66" s="184">
        <f t="shared" ca="1" si="32"/>
        <v>2080</v>
      </c>
      <c r="BB66" s="171">
        <f t="shared" si="13"/>
        <v>2272.87</v>
      </c>
      <c r="BC66" s="171">
        <f t="shared" si="1"/>
        <v>2317.3727456413831</v>
      </c>
      <c r="BD66" s="171">
        <f t="shared" si="46"/>
        <v>1682.49</v>
      </c>
      <c r="BE66" s="171">
        <f t="shared" si="43"/>
        <v>751.12438779473825</v>
      </c>
      <c r="BF66" s="171">
        <f t="shared" si="43"/>
        <v>751.12438779473825</v>
      </c>
      <c r="BG66" s="171">
        <f t="shared" si="43"/>
        <v>751.12438779473825</v>
      </c>
      <c r="BI66" s="187">
        <f>IF(A66-'Invoer gegevens'!$C$17&lt;0,0,IF(A66-'Invoer gegevens'!$C$17=0,1,IF(A66-'Invoer gegevens'!$C$17&lt;5,2,IF(A66-'Invoer gegevens'!$C$17&lt;15,3,4))))</f>
        <v>0</v>
      </c>
      <c r="BJ66" s="229">
        <f>IF(BI66&lt;1,0,IF(BI66&lt;2,4%,IF(Reeksen!BI66&lt;3,4%,IF(Reeksen!BI66&lt;4,4%*70%,IF(Reeksen!BI66&lt;5,4%*50%)))))</f>
        <v>0</v>
      </c>
      <c r="BK66" s="243"/>
      <c r="BL66" s="243"/>
      <c r="BM66" s="243"/>
      <c r="BN66" s="243"/>
      <c r="BO66" s="243"/>
      <c r="BP66" s="243"/>
      <c r="BQ66" s="243"/>
      <c r="BR66" s="243"/>
    </row>
    <row r="67" spans="1:70" x14ac:dyDescent="0.25">
      <c r="A67" s="184">
        <f t="shared" si="15"/>
        <v>62</v>
      </c>
      <c r="B67" s="179">
        <f>Dashboard!$C$25</f>
        <v>0.05</v>
      </c>
      <c r="C67" s="179">
        <f>Dashboard!$C$25</f>
        <v>0.05</v>
      </c>
      <c r="D67" s="179">
        <f>Dashboard!$C$25</f>
        <v>0.05</v>
      </c>
      <c r="E67" s="189"/>
      <c r="F67" s="184">
        <f t="shared" ca="1" si="16"/>
        <v>2081</v>
      </c>
      <c r="G67" s="179">
        <f t="shared" si="39"/>
        <v>0.02</v>
      </c>
      <c r="H67" s="182">
        <f t="shared" si="17"/>
        <v>3.4323077981582117</v>
      </c>
      <c r="I67" s="179">
        <f t="shared" si="40"/>
        <v>2.5000000000000001E-2</v>
      </c>
      <c r="J67" s="182">
        <f t="shared" si="18"/>
        <v>4.6547743425139876</v>
      </c>
      <c r="K67" s="179">
        <f t="shared" si="41"/>
        <v>2.5000000000000001E-2</v>
      </c>
      <c r="L67" s="182">
        <f t="shared" si="19"/>
        <v>4.6547743425139876</v>
      </c>
      <c r="M67" s="189"/>
      <c r="N67" s="184">
        <f t="shared" ca="1" si="20"/>
        <v>2081</v>
      </c>
      <c r="O67" s="179">
        <f t="shared" si="36"/>
        <v>0.02</v>
      </c>
      <c r="P67" s="182">
        <f t="shared" si="44"/>
        <v>3.4289760481739657</v>
      </c>
      <c r="R67" s="184">
        <f t="shared" ca="1" si="22"/>
        <v>2081</v>
      </c>
      <c r="S67" s="188">
        <f t="shared" si="38"/>
        <v>5.3600000000000002E-3</v>
      </c>
      <c r="U67" s="184">
        <f t="shared" ca="1" si="23"/>
        <v>2081</v>
      </c>
      <c r="V67" s="182">
        <f t="shared" si="4"/>
        <v>0.02</v>
      </c>
      <c r="W67" s="180">
        <f>Parameters!$D$12</f>
        <v>5.0000000000000001E-3</v>
      </c>
      <c r="X67" s="182">
        <f t="shared" si="5"/>
        <v>2.5000000000000001E-2</v>
      </c>
      <c r="Y67" s="182">
        <f t="shared" si="24"/>
        <v>4.6593625884209642</v>
      </c>
      <c r="AA67" s="189"/>
      <c r="AB67" s="184">
        <f t="shared" ca="1" si="25"/>
        <v>2081</v>
      </c>
      <c r="AC67" s="171">
        <f t="shared" si="6"/>
        <v>2329.6812942104821</v>
      </c>
      <c r="AD67" s="171">
        <f t="shared" si="0"/>
        <v>766.14687555063301</v>
      </c>
      <c r="AE67" s="171">
        <f t="shared" si="37"/>
        <v>2363.7202005542108</v>
      </c>
      <c r="AF67" s="171">
        <f t="shared" si="26"/>
        <v>766.14687555063301</v>
      </c>
      <c r="AG67" s="171">
        <f t="shared" si="27"/>
        <v>1716.14</v>
      </c>
      <c r="AH67" s="171">
        <f t="shared" si="7"/>
        <v>1716.14</v>
      </c>
      <c r="AI67" s="171">
        <f t="shared" si="8"/>
        <v>766.14687555063301</v>
      </c>
      <c r="AJ67" s="171">
        <f>IF('Invoer gegevens'!$I$27="DAEB",SMALL(AC67:AD67,1),AC67)</f>
        <v>766.14687555063301</v>
      </c>
      <c r="AK67" s="171">
        <f>IF('Invoer gegevens'!$I$27="DAEB",SMALL((AE67:AH67),1),SMALL((AF67:AH67),1))</f>
        <v>766.14687555063301</v>
      </c>
      <c r="AL67" s="171">
        <f t="shared" si="33"/>
        <v>0</v>
      </c>
      <c r="AM67" s="171">
        <f t="shared" si="34"/>
        <v>0</v>
      </c>
      <c r="AN67" s="175">
        <f t="shared" si="28"/>
        <v>108191</v>
      </c>
      <c r="AP67" s="184">
        <f t="shared" ca="1" si="29"/>
        <v>2081</v>
      </c>
      <c r="AQ67" s="185">
        <f t="shared" si="9"/>
        <v>0.02</v>
      </c>
      <c r="AR67" s="182">
        <f t="shared" si="45"/>
        <v>3.4289760481739657</v>
      </c>
      <c r="AU67" s="184">
        <f t="shared" ca="1" si="31"/>
        <v>2081</v>
      </c>
      <c r="AV67" s="182">
        <f t="shared" si="10"/>
        <v>0.02</v>
      </c>
      <c r="AW67" s="179">
        <f t="shared" si="11"/>
        <v>5.0000000000000001E-3</v>
      </c>
      <c r="AX67" s="182">
        <f t="shared" si="12"/>
        <v>2.5000000000000001E-2</v>
      </c>
      <c r="AY67" s="186"/>
      <c r="AZ67" s="190"/>
      <c r="BA67" s="184">
        <f t="shared" ca="1" si="32"/>
        <v>2081</v>
      </c>
      <c r="BB67" s="171">
        <f t="shared" si="13"/>
        <v>2329.69</v>
      </c>
      <c r="BC67" s="171">
        <f t="shared" si="1"/>
        <v>2363.7202005542108</v>
      </c>
      <c r="BD67" s="171">
        <f t="shared" si="46"/>
        <v>1716.14</v>
      </c>
      <c r="BE67" s="171">
        <f t="shared" si="43"/>
        <v>766.14687555063301</v>
      </c>
      <c r="BF67" s="171">
        <f t="shared" si="43"/>
        <v>766.14687555063301</v>
      </c>
      <c r="BG67" s="171">
        <f t="shared" si="43"/>
        <v>766.14687555063301</v>
      </c>
      <c r="BI67" s="187">
        <f>IF(A67-'Invoer gegevens'!$C$17&lt;0,0,IF(A67-'Invoer gegevens'!$C$17=0,1,IF(A67-'Invoer gegevens'!$C$17&lt;5,2,IF(A67-'Invoer gegevens'!$C$17&lt;15,3,4))))</f>
        <v>0</v>
      </c>
      <c r="BJ67" s="229">
        <f>IF(BI67&lt;1,0,IF(BI67&lt;2,4%,IF(Reeksen!BI67&lt;3,4%,IF(Reeksen!BI67&lt;4,4%*70%,IF(Reeksen!BI67&lt;5,4%*50%)))))</f>
        <v>0</v>
      </c>
      <c r="BK67" s="243"/>
      <c r="BL67" s="243"/>
      <c r="BM67" s="243"/>
      <c r="BN67" s="243"/>
      <c r="BO67" s="243"/>
      <c r="BP67" s="243"/>
      <c r="BQ67" s="243"/>
      <c r="BR67" s="243"/>
    </row>
    <row r="68" spans="1:70" x14ac:dyDescent="0.25">
      <c r="A68" s="184">
        <f t="shared" si="15"/>
        <v>63</v>
      </c>
      <c r="B68" s="179">
        <f>Dashboard!$C$25</f>
        <v>0.05</v>
      </c>
      <c r="C68" s="179">
        <f>Dashboard!$C$25</f>
        <v>0.05</v>
      </c>
      <c r="D68" s="179">
        <f>Dashboard!$C$25</f>
        <v>0.05</v>
      </c>
      <c r="E68" s="189"/>
      <c r="F68" s="184">
        <f t="shared" ca="1" si="16"/>
        <v>2082</v>
      </c>
      <c r="G68" s="179">
        <f t="shared" si="39"/>
        <v>0.02</v>
      </c>
      <c r="H68" s="182">
        <f t="shared" si="17"/>
        <v>3.5009539541213761</v>
      </c>
      <c r="I68" s="179">
        <f t="shared" si="40"/>
        <v>2.5000000000000001E-2</v>
      </c>
      <c r="J68" s="182">
        <f t="shared" si="18"/>
        <v>4.7711437010768369</v>
      </c>
      <c r="K68" s="179">
        <f t="shared" si="41"/>
        <v>2.5000000000000001E-2</v>
      </c>
      <c r="L68" s="182">
        <f t="shared" si="19"/>
        <v>4.7711437010768369</v>
      </c>
      <c r="M68" s="189"/>
      <c r="N68" s="184">
        <f t="shared" ca="1" si="20"/>
        <v>2082</v>
      </c>
      <c r="O68" s="179">
        <f t="shared" si="36"/>
        <v>0.02</v>
      </c>
      <c r="P68" s="182">
        <f t="shared" si="44"/>
        <v>3.4975555691374449</v>
      </c>
      <c r="R68" s="184">
        <f t="shared" ca="1" si="22"/>
        <v>2082</v>
      </c>
      <c r="S68" s="188">
        <f t="shared" si="38"/>
        <v>5.3600000000000002E-3</v>
      </c>
      <c r="U68" s="184">
        <f t="shared" ca="1" si="23"/>
        <v>2082</v>
      </c>
      <c r="V68" s="182">
        <f t="shared" si="4"/>
        <v>0.02</v>
      </c>
      <c r="W68" s="180">
        <f>Parameters!$D$12</f>
        <v>5.0000000000000001E-3</v>
      </c>
      <c r="X68" s="182">
        <f t="shared" si="5"/>
        <v>2.5000000000000001E-2</v>
      </c>
      <c r="Y68" s="182">
        <f t="shared" si="24"/>
        <v>4.775846653131488</v>
      </c>
      <c r="AA68" s="189"/>
      <c r="AB68" s="184">
        <f t="shared" ca="1" si="25"/>
        <v>2082</v>
      </c>
      <c r="AC68" s="171">
        <f t="shared" si="6"/>
        <v>2387.923326565744</v>
      </c>
      <c r="AD68" s="171">
        <f t="shared" si="0"/>
        <v>781.46981306164571</v>
      </c>
      <c r="AE68" s="171">
        <f t="shared" si="37"/>
        <v>2410.994604565295</v>
      </c>
      <c r="AF68" s="171">
        <f t="shared" si="26"/>
        <v>781.46981306164571</v>
      </c>
      <c r="AG68" s="171">
        <f t="shared" si="27"/>
        <v>1750.46</v>
      </c>
      <c r="AH68" s="171">
        <f t="shared" si="7"/>
        <v>1750.46</v>
      </c>
      <c r="AI68" s="171">
        <f t="shared" si="8"/>
        <v>781.46981306164571</v>
      </c>
      <c r="AJ68" s="171">
        <f>IF('Invoer gegevens'!$I$27="DAEB",SMALL(AC68:AD68,1),AC68)</f>
        <v>781.46981306164571</v>
      </c>
      <c r="AK68" s="171">
        <f>IF('Invoer gegevens'!$I$27="DAEB",SMALL((AE68:AH68),1),SMALL((AF68:AH68),1))</f>
        <v>781.46981306164571</v>
      </c>
      <c r="AL68" s="171">
        <f t="shared" si="33"/>
        <v>0</v>
      </c>
      <c r="AM68" s="171">
        <f t="shared" si="34"/>
        <v>0</v>
      </c>
      <c r="AN68" s="175">
        <f t="shared" si="28"/>
        <v>110355</v>
      </c>
      <c r="AP68" s="184">
        <f t="shared" ca="1" si="29"/>
        <v>2082</v>
      </c>
      <c r="AQ68" s="185">
        <f t="shared" si="9"/>
        <v>0.02</v>
      </c>
      <c r="AR68" s="182">
        <f t="shared" si="45"/>
        <v>3.4975555691374449</v>
      </c>
      <c r="AU68" s="184">
        <f t="shared" ca="1" si="31"/>
        <v>2082</v>
      </c>
      <c r="AV68" s="182">
        <f t="shared" si="10"/>
        <v>0.02</v>
      </c>
      <c r="AW68" s="179">
        <f t="shared" si="11"/>
        <v>5.0000000000000001E-3</v>
      </c>
      <c r="AX68" s="182">
        <f t="shared" si="12"/>
        <v>2.5000000000000001E-2</v>
      </c>
      <c r="AY68" s="186"/>
      <c r="AZ68" s="190"/>
      <c r="BA68" s="184">
        <f t="shared" ca="1" si="32"/>
        <v>2082</v>
      </c>
      <c r="BB68" s="171">
        <f t="shared" si="13"/>
        <v>2387.9299999999998</v>
      </c>
      <c r="BC68" s="171">
        <f t="shared" si="1"/>
        <v>2410.994604565295</v>
      </c>
      <c r="BD68" s="171">
        <f t="shared" si="46"/>
        <v>1750.46</v>
      </c>
      <c r="BE68" s="171">
        <f t="shared" si="43"/>
        <v>781.46981306164571</v>
      </c>
      <c r="BF68" s="171">
        <f t="shared" si="43"/>
        <v>781.46981306164571</v>
      </c>
      <c r="BG68" s="171">
        <f t="shared" si="43"/>
        <v>781.46981306164571</v>
      </c>
      <c r="BI68" s="187">
        <f>IF(A68-'Invoer gegevens'!$C$17&lt;0,0,IF(A68-'Invoer gegevens'!$C$17=0,1,IF(A68-'Invoer gegevens'!$C$17&lt;5,2,IF(A68-'Invoer gegevens'!$C$17&lt;15,3,4))))</f>
        <v>0</v>
      </c>
      <c r="BJ68" s="229">
        <f>IF(BI68&lt;1,0,IF(BI68&lt;2,4%,IF(Reeksen!BI68&lt;3,4%,IF(Reeksen!BI68&lt;4,4%*70%,IF(Reeksen!BI68&lt;5,4%*50%)))))</f>
        <v>0</v>
      </c>
      <c r="BK68" s="243"/>
      <c r="BL68" s="243"/>
      <c r="BM68" s="243"/>
      <c r="BN68" s="243"/>
      <c r="BO68" s="243"/>
      <c r="BP68" s="243"/>
      <c r="BQ68" s="243"/>
      <c r="BR68" s="243"/>
    </row>
    <row r="69" spans="1:70" x14ac:dyDescent="0.25">
      <c r="A69" s="184">
        <f t="shared" si="15"/>
        <v>64</v>
      </c>
      <c r="B69" s="179">
        <f>Dashboard!$C$25</f>
        <v>0.05</v>
      </c>
      <c r="C69" s="179">
        <f>Dashboard!$C$25</f>
        <v>0.05</v>
      </c>
      <c r="D69" s="179">
        <f>Dashboard!$C$25</f>
        <v>0.05</v>
      </c>
      <c r="E69" s="189"/>
      <c r="F69" s="184">
        <f t="shared" ca="1" si="16"/>
        <v>2083</v>
      </c>
      <c r="G69" s="179">
        <f t="shared" si="39"/>
        <v>0.02</v>
      </c>
      <c r="H69" s="182">
        <f t="shared" si="17"/>
        <v>3.5709730332038037</v>
      </c>
      <c r="I69" s="179">
        <f t="shared" si="40"/>
        <v>2.5000000000000001E-2</v>
      </c>
      <c r="J69" s="182">
        <f t="shared" si="18"/>
        <v>4.8904222936037574</v>
      </c>
      <c r="K69" s="179">
        <f t="shared" si="41"/>
        <v>2.5000000000000001E-2</v>
      </c>
      <c r="L69" s="182">
        <f t="shared" si="19"/>
        <v>4.8904222936037574</v>
      </c>
      <c r="M69" s="189"/>
      <c r="N69" s="184">
        <f t="shared" ca="1" si="20"/>
        <v>2083</v>
      </c>
      <c r="O69" s="179">
        <f t="shared" si="36"/>
        <v>0.02</v>
      </c>
      <c r="P69" s="182">
        <f t="shared" si="44"/>
        <v>3.5675066805201938</v>
      </c>
      <c r="R69" s="184">
        <f t="shared" ca="1" si="22"/>
        <v>2083</v>
      </c>
      <c r="S69" s="188">
        <f t="shared" si="38"/>
        <v>5.3600000000000002E-3</v>
      </c>
      <c r="U69" s="184">
        <f t="shared" ca="1" si="23"/>
        <v>2083</v>
      </c>
      <c r="V69" s="182">
        <f t="shared" si="4"/>
        <v>0.02</v>
      </c>
      <c r="W69" s="180">
        <f>Parameters!$D$12</f>
        <v>5.0000000000000001E-3</v>
      </c>
      <c r="X69" s="182">
        <f t="shared" si="5"/>
        <v>2.5000000000000001E-2</v>
      </c>
      <c r="Y69" s="182">
        <f t="shared" si="24"/>
        <v>4.8952428194597752</v>
      </c>
      <c r="AA69" s="189"/>
      <c r="AB69" s="184">
        <f t="shared" ca="1" si="25"/>
        <v>2083</v>
      </c>
      <c r="AC69" s="171">
        <f t="shared" si="6"/>
        <v>2447.6214097298875</v>
      </c>
      <c r="AD69" s="171">
        <f t="shared" ref="AD69:AD132" si="47">IF(AG69&lt;AE69,MIN(AF69,AG69),AF69)</f>
        <v>797.09920932287866</v>
      </c>
      <c r="AE69" s="171">
        <f t="shared" si="37"/>
        <v>2459.2144966566011</v>
      </c>
      <c r="AF69" s="171">
        <f t="shared" si="26"/>
        <v>797.09920932287866</v>
      </c>
      <c r="AG69" s="171">
        <f t="shared" si="27"/>
        <v>1785.47</v>
      </c>
      <c r="AH69" s="171">
        <f t="shared" si="7"/>
        <v>1785.47</v>
      </c>
      <c r="AI69" s="171">
        <f t="shared" si="8"/>
        <v>797.09920932287866</v>
      </c>
      <c r="AJ69" s="171">
        <f>IF('Invoer gegevens'!$I$27="DAEB",SMALL(AC69:AD69,1),AC69)</f>
        <v>797.09920932287866</v>
      </c>
      <c r="AK69" s="171">
        <f>IF('Invoer gegevens'!$I$27="DAEB",SMALL((AE69:AH69),1),SMALL((AF69:AH69),1))</f>
        <v>797.09920932287866</v>
      </c>
      <c r="AL69" s="171">
        <f t="shared" si="33"/>
        <v>0</v>
      </c>
      <c r="AM69" s="171">
        <f t="shared" si="34"/>
        <v>0</v>
      </c>
      <c r="AN69" s="175">
        <f t="shared" si="28"/>
        <v>112562</v>
      </c>
      <c r="AP69" s="184">
        <f t="shared" ca="1" si="29"/>
        <v>2083</v>
      </c>
      <c r="AQ69" s="185">
        <f t="shared" si="9"/>
        <v>0.02</v>
      </c>
      <c r="AR69" s="182">
        <f t="shared" si="45"/>
        <v>3.5675066805201938</v>
      </c>
      <c r="AU69" s="184">
        <f t="shared" ca="1" si="31"/>
        <v>2083</v>
      </c>
      <c r="AV69" s="182">
        <f t="shared" si="10"/>
        <v>0.02</v>
      </c>
      <c r="AW69" s="179">
        <f t="shared" si="11"/>
        <v>5.0000000000000001E-3</v>
      </c>
      <c r="AX69" s="182">
        <f t="shared" si="12"/>
        <v>2.5000000000000001E-2</v>
      </c>
      <c r="AY69" s="186"/>
      <c r="AZ69" s="190"/>
      <c r="BA69" s="184">
        <f t="shared" ca="1" si="32"/>
        <v>2083</v>
      </c>
      <c r="BB69" s="171">
        <f t="shared" si="13"/>
        <v>2447.63</v>
      </c>
      <c r="BC69" s="171">
        <f t="shared" ref="BC69:BC132" si="48">AE69</f>
        <v>2459.2144966566011</v>
      </c>
      <c r="BD69" s="171">
        <f t="shared" si="46"/>
        <v>1785.47</v>
      </c>
      <c r="BE69" s="171">
        <f t="shared" si="43"/>
        <v>797.09920932287866</v>
      </c>
      <c r="BF69" s="171">
        <f t="shared" si="43"/>
        <v>797.09920932287866</v>
      </c>
      <c r="BG69" s="171">
        <f t="shared" si="43"/>
        <v>797.09920932287866</v>
      </c>
      <c r="BI69" s="187">
        <f>IF(A69-'Invoer gegevens'!$C$17&lt;0,0,IF(A69-'Invoer gegevens'!$C$17=0,1,IF(A69-'Invoer gegevens'!$C$17&lt;5,2,IF(A69-'Invoer gegevens'!$C$17&lt;15,3,4))))</f>
        <v>0</v>
      </c>
      <c r="BJ69" s="229">
        <f>IF(BI69&lt;1,0,IF(BI69&lt;2,4%,IF(Reeksen!BI69&lt;3,4%,IF(Reeksen!BI69&lt;4,4%*70%,IF(Reeksen!BI69&lt;5,4%*50%)))))</f>
        <v>0</v>
      </c>
      <c r="BK69" s="243"/>
      <c r="BL69" s="243"/>
      <c r="BM69" s="243"/>
      <c r="BN69" s="243"/>
      <c r="BO69" s="243"/>
      <c r="BP69" s="243"/>
      <c r="BQ69" s="243"/>
      <c r="BR69" s="243"/>
    </row>
    <row r="70" spans="1:70" x14ac:dyDescent="0.25">
      <c r="A70" s="184">
        <f t="shared" si="15"/>
        <v>65</v>
      </c>
      <c r="B70" s="179">
        <f>Dashboard!$C$25</f>
        <v>0.05</v>
      </c>
      <c r="C70" s="179">
        <f>Dashboard!$C$25</f>
        <v>0.05</v>
      </c>
      <c r="D70" s="179">
        <f>Dashboard!$C$25</f>
        <v>0.05</v>
      </c>
      <c r="E70" s="189"/>
      <c r="F70" s="184">
        <f t="shared" ca="1" si="16"/>
        <v>2084</v>
      </c>
      <c r="G70" s="179">
        <f t="shared" si="39"/>
        <v>0.02</v>
      </c>
      <c r="H70" s="182">
        <f t="shared" si="17"/>
        <v>3.64239249386788</v>
      </c>
      <c r="I70" s="179">
        <f t="shared" si="40"/>
        <v>2.5000000000000001E-2</v>
      </c>
      <c r="J70" s="182">
        <f t="shared" si="18"/>
        <v>5.0126828509438512</v>
      </c>
      <c r="K70" s="179">
        <f t="shared" si="41"/>
        <v>2.5000000000000001E-2</v>
      </c>
      <c r="L70" s="182">
        <f t="shared" si="19"/>
        <v>5.0126828509438512</v>
      </c>
      <c r="M70" s="189"/>
      <c r="N70" s="184">
        <f t="shared" ca="1" si="20"/>
        <v>2084</v>
      </c>
      <c r="O70" s="179">
        <f t="shared" si="36"/>
        <v>0.02</v>
      </c>
      <c r="P70" s="182">
        <f t="shared" si="44"/>
        <v>3.6388568141305977</v>
      </c>
      <c r="R70" s="184">
        <f t="shared" ca="1" si="22"/>
        <v>2084</v>
      </c>
      <c r="S70" s="188">
        <f t="shared" si="38"/>
        <v>5.3600000000000002E-3</v>
      </c>
      <c r="U70" s="184">
        <f t="shared" ca="1" si="23"/>
        <v>2084</v>
      </c>
      <c r="V70" s="182">
        <f t="shared" ref="V70:V133" si="49">G70</f>
        <v>0.02</v>
      </c>
      <c r="W70" s="180">
        <f>Parameters!$D$12</f>
        <v>5.0000000000000001E-3</v>
      </c>
      <c r="X70" s="182">
        <f t="shared" ref="X70:X133" si="50">V70+W70</f>
        <v>2.5000000000000001E-2</v>
      </c>
      <c r="Y70" s="182">
        <f t="shared" si="24"/>
        <v>5.0176238899462691</v>
      </c>
      <c r="AA70" s="189"/>
      <c r="AB70" s="184">
        <f t="shared" ca="1" si="25"/>
        <v>2084</v>
      </c>
      <c r="AC70" s="171">
        <f t="shared" ref="AC70:AC133" si="51">$AC$4*Y70</f>
        <v>2508.8119449731344</v>
      </c>
      <c r="AD70" s="171">
        <f t="shared" si="47"/>
        <v>813.04119350933627</v>
      </c>
      <c r="AE70" s="171">
        <f t="shared" si="37"/>
        <v>2508.3987865897334</v>
      </c>
      <c r="AF70" s="171">
        <f t="shared" si="26"/>
        <v>813.04119350933627</v>
      </c>
      <c r="AG70" s="171">
        <f t="shared" si="27"/>
        <v>1821.18</v>
      </c>
      <c r="AH70" s="171">
        <f t="shared" ref="AH70:AH133" si="52">ROUND($AH69*(1+V70)^1,2)</f>
        <v>1821.18</v>
      </c>
      <c r="AI70" s="171">
        <f t="shared" ref="AI70:AI133" si="53">SMALL(AC70:AD70,1)</f>
        <v>813.04119350933627</v>
      </c>
      <c r="AJ70" s="171">
        <f>IF('Invoer gegevens'!$I$27="DAEB",SMALL(AC70:AD70,1),AC70)</f>
        <v>813.04119350933627</v>
      </c>
      <c r="AK70" s="171">
        <f>IF('Invoer gegevens'!$I$27="DAEB",SMALL((AE70:AH70),1),SMALL((AF70:AH70),1))</f>
        <v>813.04119350933627</v>
      </c>
      <c r="AL70" s="171">
        <f t="shared" si="33"/>
        <v>0</v>
      </c>
      <c r="AM70" s="171">
        <f t="shared" si="34"/>
        <v>0</v>
      </c>
      <c r="AN70" s="175">
        <f t="shared" si="28"/>
        <v>114813</v>
      </c>
      <c r="AP70" s="184">
        <f t="shared" ca="1" si="29"/>
        <v>2084</v>
      </c>
      <c r="AQ70" s="185">
        <f t="shared" ref="AQ70:AQ133" si="54">O70</f>
        <v>0.02</v>
      </c>
      <c r="AR70" s="182">
        <f t="shared" si="45"/>
        <v>3.6388568141305977</v>
      </c>
      <c r="AU70" s="184">
        <f t="shared" ca="1" si="31"/>
        <v>2084</v>
      </c>
      <c r="AV70" s="182">
        <f t="shared" ref="AV70:AV133" si="55">G70</f>
        <v>0.02</v>
      </c>
      <c r="AW70" s="179">
        <f t="shared" ref="AW70:AW133" si="56">W70</f>
        <v>5.0000000000000001E-3</v>
      </c>
      <c r="AX70" s="182">
        <f t="shared" ref="AX70:AX133" si="57">AV70+AW70</f>
        <v>2.5000000000000001E-2</v>
      </c>
      <c r="AY70" s="186"/>
      <c r="AZ70" s="190"/>
      <c r="BA70" s="184">
        <f t="shared" ca="1" si="32"/>
        <v>2084</v>
      </c>
      <c r="BB70" s="171">
        <f t="shared" ref="BB70:BB133" si="58">ROUND($BB69*(1+AX70)^1,2)</f>
        <v>2508.8200000000002</v>
      </c>
      <c r="BC70" s="171">
        <f t="shared" si="48"/>
        <v>2508.3987865897334</v>
      </c>
      <c r="BD70" s="171">
        <f t="shared" si="46"/>
        <v>1821.18</v>
      </c>
      <c r="BE70" s="171">
        <f t="shared" si="43"/>
        <v>813.04119350933627</v>
      </c>
      <c r="BF70" s="171">
        <f t="shared" si="43"/>
        <v>813.04119350933627</v>
      </c>
      <c r="BG70" s="171">
        <f t="shared" si="43"/>
        <v>813.04119350933627</v>
      </c>
      <c r="BI70" s="187">
        <f>IF(A70-'Invoer gegevens'!$C$17&lt;0,0,IF(A70-'Invoer gegevens'!$C$17=0,1,IF(A70-'Invoer gegevens'!$C$17&lt;5,2,IF(A70-'Invoer gegevens'!$C$17&lt;15,3,4))))</f>
        <v>0</v>
      </c>
      <c r="BJ70" s="229">
        <f>IF(BI70&lt;1,0,IF(BI70&lt;2,4%,IF(Reeksen!BI70&lt;3,4%,IF(Reeksen!BI70&lt;4,4%*70%,IF(Reeksen!BI70&lt;5,4%*50%)))))</f>
        <v>0</v>
      </c>
      <c r="BK70" s="243"/>
      <c r="BL70" s="243"/>
      <c r="BM70" s="243"/>
      <c r="BN70" s="243"/>
      <c r="BO70" s="243"/>
      <c r="BP70" s="243"/>
      <c r="BQ70" s="243"/>
      <c r="BR70" s="243"/>
    </row>
    <row r="71" spans="1:70" x14ac:dyDescent="0.25">
      <c r="A71" s="184">
        <f t="shared" ref="A71:A134" si="59">A70+1</f>
        <v>66</v>
      </c>
      <c r="B71" s="179">
        <f>Dashboard!$C$25</f>
        <v>0.05</v>
      </c>
      <c r="C71" s="179">
        <f>Dashboard!$C$25</f>
        <v>0.05</v>
      </c>
      <c r="D71" s="179">
        <f>Dashboard!$C$25</f>
        <v>0.05</v>
      </c>
      <c r="E71" s="189"/>
      <c r="F71" s="184">
        <f t="shared" ref="F71:F134" ca="1" si="60">F70+1</f>
        <v>2085</v>
      </c>
      <c r="G71" s="179">
        <f t="shared" si="39"/>
        <v>0.02</v>
      </c>
      <c r="H71" s="182">
        <f t="shared" ref="H71:H134" si="61">H70*(1+G71)</f>
        <v>3.7152403437452377</v>
      </c>
      <c r="I71" s="179">
        <f t="shared" si="40"/>
        <v>2.5000000000000001E-2</v>
      </c>
      <c r="J71" s="182">
        <f t="shared" ref="J71:J134" si="62">J70*(1+I71)</f>
        <v>5.1379999222174471</v>
      </c>
      <c r="K71" s="179">
        <f t="shared" si="41"/>
        <v>2.5000000000000001E-2</v>
      </c>
      <c r="L71" s="182">
        <f t="shared" ref="L71:L134" si="63">L70*(1+K71)</f>
        <v>5.1379999222174471</v>
      </c>
      <c r="M71" s="189"/>
      <c r="N71" s="184">
        <f t="shared" ref="N71:N134" ca="1" si="64">N70+1</f>
        <v>2085</v>
      </c>
      <c r="O71" s="179">
        <f t="shared" si="36"/>
        <v>0.02</v>
      </c>
      <c r="P71" s="182">
        <f t="shared" si="44"/>
        <v>3.7116339504132099</v>
      </c>
      <c r="R71" s="184">
        <f t="shared" ref="R71:R134" ca="1" si="65">R70+1</f>
        <v>2085</v>
      </c>
      <c r="S71" s="188">
        <f t="shared" si="38"/>
        <v>5.3600000000000002E-3</v>
      </c>
      <c r="U71" s="184">
        <f t="shared" ref="U71:U134" ca="1" si="66">+U70+1</f>
        <v>2085</v>
      </c>
      <c r="V71" s="182">
        <f t="shared" si="49"/>
        <v>0.02</v>
      </c>
      <c r="W71" s="180">
        <f>Parameters!$D$12</f>
        <v>5.0000000000000001E-3</v>
      </c>
      <c r="X71" s="182">
        <f t="shared" si="50"/>
        <v>2.5000000000000001E-2</v>
      </c>
      <c r="Y71" s="182">
        <f t="shared" ref="Y71:Y134" si="67">Y70*(1+X71)</f>
        <v>5.1430644871949251</v>
      </c>
      <c r="AA71" s="189"/>
      <c r="AB71" s="184">
        <f t="shared" ref="AB71:AB134" ca="1" si="68">AB70+1</f>
        <v>2085</v>
      </c>
      <c r="AC71" s="171">
        <f t="shared" si="51"/>
        <v>2571.5322435974626</v>
      </c>
      <c r="AD71" s="171">
        <f t="shared" si="47"/>
        <v>829.30201737952302</v>
      </c>
      <c r="AE71" s="171">
        <f t="shared" si="37"/>
        <v>2558.5667623215281</v>
      </c>
      <c r="AF71" s="171">
        <f t="shared" ref="AF71:AF134" si="69">$AF$4*H71</f>
        <v>829.30201737952302</v>
      </c>
      <c r="AG71" s="171">
        <f t="shared" ref="AG71:AG76" si="70">ROUND($AG70*(1+V71)^1,2)</f>
        <v>1857.6</v>
      </c>
      <c r="AH71" s="171">
        <f t="shared" si="52"/>
        <v>1857.6</v>
      </c>
      <c r="AI71" s="171">
        <f t="shared" si="53"/>
        <v>829.30201737952302</v>
      </c>
      <c r="AJ71" s="171">
        <f>IF('Invoer gegevens'!$I$27="DAEB",SMALL(AC71:AD71,1),AC71)</f>
        <v>829.30201737952302</v>
      </c>
      <c r="AK71" s="171">
        <f>IF('Invoer gegevens'!$I$27="DAEB",SMALL((AE71:AH71),1),SMALL((AF71:AH71),1))</f>
        <v>829.30201737952302</v>
      </c>
      <c r="AL71" s="171">
        <f t="shared" si="33"/>
        <v>0</v>
      </c>
      <c r="AM71" s="171">
        <f t="shared" si="34"/>
        <v>0</v>
      </c>
      <c r="AN71" s="175">
        <f t="shared" ref="AN71:AN134" si="71">ROUND($AN70*(1+O71)^1,0)</f>
        <v>117109</v>
      </c>
      <c r="AP71" s="184">
        <f t="shared" ref="AP71:AP134" ca="1" si="72">AP70+1</f>
        <v>2085</v>
      </c>
      <c r="AQ71" s="185">
        <f t="shared" si="54"/>
        <v>0.02</v>
      </c>
      <c r="AR71" s="182">
        <f t="shared" si="45"/>
        <v>3.7116339504132099</v>
      </c>
      <c r="AU71" s="184">
        <f t="shared" ref="AU71:AU134" ca="1" si="73">+AU70+1</f>
        <v>2085</v>
      </c>
      <c r="AV71" s="182">
        <f t="shared" si="55"/>
        <v>0.02</v>
      </c>
      <c r="AW71" s="179">
        <f t="shared" si="56"/>
        <v>5.0000000000000001E-3</v>
      </c>
      <c r="AX71" s="182">
        <f t="shared" si="57"/>
        <v>2.5000000000000001E-2</v>
      </c>
      <c r="AY71" s="186"/>
      <c r="AZ71" s="190"/>
      <c r="BA71" s="184">
        <f t="shared" ref="BA71:BA134" ca="1" si="74">BA70+1</f>
        <v>2085</v>
      </c>
      <c r="BB71" s="171">
        <f t="shared" si="58"/>
        <v>2571.54</v>
      </c>
      <c r="BC71" s="171">
        <f t="shared" si="48"/>
        <v>2558.5667623215281</v>
      </c>
      <c r="BD71" s="171">
        <f t="shared" si="46"/>
        <v>1857.6</v>
      </c>
      <c r="BE71" s="171">
        <f t="shared" si="43"/>
        <v>829.30201737952302</v>
      </c>
      <c r="BF71" s="171">
        <f t="shared" si="43"/>
        <v>829.30201737952302</v>
      </c>
      <c r="BG71" s="171">
        <f t="shared" si="43"/>
        <v>829.30201737952302</v>
      </c>
      <c r="BI71" s="187">
        <f>IF(A71-'Invoer gegevens'!$C$17&lt;0,0,IF(A71-'Invoer gegevens'!$C$17=0,1,IF(A71-'Invoer gegevens'!$C$17&lt;5,2,IF(A71-'Invoer gegevens'!$C$17&lt;15,3,4))))</f>
        <v>0</v>
      </c>
      <c r="BJ71" s="229">
        <f>IF(BI71&lt;1,0,IF(BI71&lt;2,4%,IF(Reeksen!BI71&lt;3,4%,IF(Reeksen!BI71&lt;4,4%*70%,IF(Reeksen!BI71&lt;5,4%*50%)))))</f>
        <v>0</v>
      </c>
      <c r="BK71" s="243"/>
      <c r="BL71" s="243"/>
      <c r="BM71" s="243"/>
      <c r="BN71" s="243"/>
      <c r="BO71" s="243"/>
      <c r="BP71" s="243"/>
      <c r="BQ71" s="243"/>
      <c r="BR71" s="243"/>
    </row>
    <row r="72" spans="1:70" x14ac:dyDescent="0.25">
      <c r="A72" s="184">
        <f t="shared" si="59"/>
        <v>67</v>
      </c>
      <c r="B72" s="179">
        <f>Dashboard!$C$25</f>
        <v>0.05</v>
      </c>
      <c r="C72" s="179">
        <f>Dashboard!$C$25</f>
        <v>0.05</v>
      </c>
      <c r="D72" s="179">
        <f>Dashboard!$C$25</f>
        <v>0.05</v>
      </c>
      <c r="E72" s="189"/>
      <c r="F72" s="184">
        <f t="shared" ca="1" si="60"/>
        <v>2086</v>
      </c>
      <c r="G72" s="179">
        <f t="shared" si="39"/>
        <v>0.02</v>
      </c>
      <c r="H72" s="182">
        <f t="shared" si="61"/>
        <v>3.7895451506201425</v>
      </c>
      <c r="I72" s="179">
        <f t="shared" si="40"/>
        <v>2.5000000000000001E-2</v>
      </c>
      <c r="J72" s="182">
        <f t="shared" si="62"/>
        <v>5.2664499202728825</v>
      </c>
      <c r="K72" s="179">
        <f t="shared" si="41"/>
        <v>2.5000000000000001E-2</v>
      </c>
      <c r="L72" s="182">
        <f t="shared" si="63"/>
        <v>5.2664499202728825</v>
      </c>
      <c r="M72" s="189"/>
      <c r="N72" s="184">
        <f t="shared" ca="1" si="64"/>
        <v>2086</v>
      </c>
      <c r="O72" s="179">
        <f t="shared" si="36"/>
        <v>0.02</v>
      </c>
      <c r="P72" s="182">
        <f t="shared" si="44"/>
        <v>3.785866629421474</v>
      </c>
      <c r="R72" s="184">
        <f t="shared" ca="1" si="65"/>
        <v>2086</v>
      </c>
      <c r="S72" s="188">
        <f t="shared" si="38"/>
        <v>5.3600000000000002E-3</v>
      </c>
      <c r="U72" s="184">
        <f t="shared" ca="1" si="66"/>
        <v>2086</v>
      </c>
      <c r="V72" s="182">
        <f t="shared" si="49"/>
        <v>0.02</v>
      </c>
      <c r="W72" s="180">
        <f>Parameters!$D$12</f>
        <v>5.0000000000000001E-3</v>
      </c>
      <c r="X72" s="182">
        <f t="shared" si="50"/>
        <v>2.5000000000000001E-2</v>
      </c>
      <c r="Y72" s="182">
        <f t="shared" si="67"/>
        <v>5.271641099374798</v>
      </c>
      <c r="AA72" s="189"/>
      <c r="AB72" s="184">
        <f t="shared" ca="1" si="68"/>
        <v>2086</v>
      </c>
      <c r="AC72" s="171">
        <f t="shared" si="51"/>
        <v>2635.8205496873989</v>
      </c>
      <c r="AD72" s="171">
        <f t="shared" si="47"/>
        <v>845.88805772711351</v>
      </c>
      <c r="AE72" s="171">
        <f t="shared" si="37"/>
        <v>2609.7380975679589</v>
      </c>
      <c r="AF72" s="171">
        <f t="shared" si="69"/>
        <v>845.88805772711351</v>
      </c>
      <c r="AG72" s="171">
        <f t="shared" si="70"/>
        <v>1894.75</v>
      </c>
      <c r="AH72" s="171">
        <f t="shared" si="52"/>
        <v>1894.75</v>
      </c>
      <c r="AI72" s="171">
        <f t="shared" si="53"/>
        <v>845.88805772711351</v>
      </c>
      <c r="AJ72" s="171">
        <f>IF('Invoer gegevens'!$I$27="DAEB",SMALL(AC72:AD72,1),AC72)</f>
        <v>845.88805772711351</v>
      </c>
      <c r="AK72" s="171">
        <f>IF('Invoer gegevens'!$I$27="DAEB",SMALL((AE72:AH72),1),SMALL((AF72:AH72),1))</f>
        <v>845.88805772711351</v>
      </c>
      <c r="AL72" s="171">
        <f t="shared" ref="AL72:AL135" si="75">ROUND($AL71*(1+V72)^1,2)</f>
        <v>0</v>
      </c>
      <c r="AM72" s="171">
        <f t="shared" ref="AM72:AM135" si="76">ROUND($AM71*(1+V72)^1,2)</f>
        <v>0</v>
      </c>
      <c r="AN72" s="175">
        <f t="shared" si="71"/>
        <v>119451</v>
      </c>
      <c r="AP72" s="184">
        <f t="shared" ca="1" si="72"/>
        <v>2086</v>
      </c>
      <c r="AQ72" s="185">
        <f t="shared" si="54"/>
        <v>0.02</v>
      </c>
      <c r="AR72" s="182">
        <f t="shared" si="45"/>
        <v>3.785866629421474</v>
      </c>
      <c r="AU72" s="184">
        <f t="shared" ca="1" si="73"/>
        <v>2086</v>
      </c>
      <c r="AV72" s="182">
        <f t="shared" si="55"/>
        <v>0.02</v>
      </c>
      <c r="AW72" s="179">
        <f t="shared" si="56"/>
        <v>5.0000000000000001E-3</v>
      </c>
      <c r="AX72" s="182">
        <f t="shared" si="57"/>
        <v>2.5000000000000001E-2</v>
      </c>
      <c r="AY72" s="186"/>
      <c r="AZ72" s="190"/>
      <c r="BA72" s="184">
        <f t="shared" ca="1" si="74"/>
        <v>2086</v>
      </c>
      <c r="BB72" s="171">
        <f t="shared" si="58"/>
        <v>2635.83</v>
      </c>
      <c r="BC72" s="171">
        <f t="shared" si="48"/>
        <v>2609.7380975679589</v>
      </c>
      <c r="BD72" s="171">
        <f t="shared" si="46"/>
        <v>1894.75</v>
      </c>
      <c r="BE72" s="171">
        <f t="shared" si="43"/>
        <v>845.88805772711351</v>
      </c>
      <c r="BF72" s="171">
        <f t="shared" si="43"/>
        <v>845.88805772711351</v>
      </c>
      <c r="BG72" s="171">
        <f t="shared" si="43"/>
        <v>845.88805772711351</v>
      </c>
      <c r="BI72" s="187">
        <f>IF(A72-'Invoer gegevens'!$C$17&lt;0,0,IF(A72-'Invoer gegevens'!$C$17=0,1,IF(A72-'Invoer gegevens'!$C$17&lt;5,2,IF(A72-'Invoer gegevens'!$C$17&lt;15,3,4))))</f>
        <v>0</v>
      </c>
      <c r="BJ72" s="229">
        <f>IF(BI72&lt;1,0,IF(BI72&lt;2,4%,IF(Reeksen!BI72&lt;3,4%,IF(Reeksen!BI72&lt;4,4%*70%,IF(Reeksen!BI72&lt;5,4%*50%)))))</f>
        <v>0</v>
      </c>
      <c r="BK72" s="243"/>
      <c r="BL72" s="243"/>
      <c r="BM72" s="243"/>
      <c r="BN72" s="243"/>
      <c r="BO72" s="243"/>
      <c r="BP72" s="243"/>
      <c r="BQ72" s="243"/>
      <c r="BR72" s="243"/>
    </row>
    <row r="73" spans="1:70" x14ac:dyDescent="0.25">
      <c r="A73" s="184">
        <f t="shared" si="59"/>
        <v>68</v>
      </c>
      <c r="B73" s="179">
        <f>Dashboard!$C$25</f>
        <v>0.05</v>
      </c>
      <c r="C73" s="179">
        <f>Dashboard!$C$25</f>
        <v>0.05</v>
      </c>
      <c r="D73" s="179">
        <f>Dashboard!$C$25</f>
        <v>0.05</v>
      </c>
      <c r="E73" s="189"/>
      <c r="F73" s="184">
        <f t="shared" ca="1" si="60"/>
        <v>2087</v>
      </c>
      <c r="G73" s="179">
        <f t="shared" si="39"/>
        <v>0.02</v>
      </c>
      <c r="H73" s="182">
        <f t="shared" si="61"/>
        <v>3.8653360536325456</v>
      </c>
      <c r="I73" s="179">
        <f t="shared" si="40"/>
        <v>2.5000000000000001E-2</v>
      </c>
      <c r="J73" s="182">
        <f t="shared" si="62"/>
        <v>5.3981111682797041</v>
      </c>
      <c r="K73" s="179">
        <f t="shared" si="41"/>
        <v>2.5000000000000001E-2</v>
      </c>
      <c r="L73" s="182">
        <f t="shared" si="63"/>
        <v>5.3981111682797041</v>
      </c>
      <c r="M73" s="189"/>
      <c r="N73" s="184">
        <f t="shared" ca="1" si="64"/>
        <v>2087</v>
      </c>
      <c r="O73" s="179">
        <f t="shared" ref="O73:O136" si="77">O72</f>
        <v>0.02</v>
      </c>
      <c r="P73" s="182">
        <f t="shared" si="44"/>
        <v>3.8615839620099037</v>
      </c>
      <c r="R73" s="184">
        <f t="shared" ca="1" si="65"/>
        <v>2087</v>
      </c>
      <c r="S73" s="188">
        <f t="shared" si="38"/>
        <v>5.3600000000000002E-3</v>
      </c>
      <c r="U73" s="184">
        <f t="shared" ca="1" si="66"/>
        <v>2087</v>
      </c>
      <c r="V73" s="182">
        <f t="shared" si="49"/>
        <v>0.02</v>
      </c>
      <c r="W73" s="180">
        <f>Parameters!$D$12</f>
        <v>5.0000000000000001E-3</v>
      </c>
      <c r="X73" s="182">
        <f t="shared" si="50"/>
        <v>2.5000000000000001E-2</v>
      </c>
      <c r="Y73" s="182">
        <f t="shared" si="67"/>
        <v>5.4034321268591672</v>
      </c>
      <c r="AA73" s="189"/>
      <c r="AB73" s="184">
        <f t="shared" ca="1" si="68"/>
        <v>2087</v>
      </c>
      <c r="AC73" s="171">
        <f t="shared" si="51"/>
        <v>2701.7160634295838</v>
      </c>
      <c r="AD73" s="171">
        <f t="shared" si="47"/>
        <v>862.8058188816558</v>
      </c>
      <c r="AE73" s="171">
        <f t="shared" si="37"/>
        <v>2661.9328595193183</v>
      </c>
      <c r="AF73" s="171">
        <f t="shared" si="69"/>
        <v>862.8058188816558</v>
      </c>
      <c r="AG73" s="171">
        <f t="shared" si="70"/>
        <v>1932.65</v>
      </c>
      <c r="AH73" s="171">
        <f t="shared" si="52"/>
        <v>1932.65</v>
      </c>
      <c r="AI73" s="171">
        <f t="shared" si="53"/>
        <v>862.8058188816558</v>
      </c>
      <c r="AJ73" s="171">
        <f>IF('Invoer gegevens'!$I$27="DAEB",SMALL(AC73:AD73,1),AC73)</f>
        <v>862.8058188816558</v>
      </c>
      <c r="AK73" s="171">
        <f>IF('Invoer gegevens'!$I$27="DAEB",SMALL((AE73:AH73),1),SMALL((AF73:AH73),1))</f>
        <v>862.8058188816558</v>
      </c>
      <c r="AL73" s="171">
        <f t="shared" si="75"/>
        <v>0</v>
      </c>
      <c r="AM73" s="171">
        <f t="shared" si="76"/>
        <v>0</v>
      </c>
      <c r="AN73" s="175">
        <f t="shared" si="71"/>
        <v>121840</v>
      </c>
      <c r="AP73" s="184">
        <f t="shared" ca="1" si="72"/>
        <v>2087</v>
      </c>
      <c r="AQ73" s="185">
        <f t="shared" si="54"/>
        <v>0.02</v>
      </c>
      <c r="AR73" s="182">
        <f t="shared" si="45"/>
        <v>3.8615839620099037</v>
      </c>
      <c r="AU73" s="184">
        <f t="shared" ca="1" si="73"/>
        <v>2087</v>
      </c>
      <c r="AV73" s="182">
        <f t="shared" si="55"/>
        <v>0.02</v>
      </c>
      <c r="AW73" s="179">
        <f t="shared" si="56"/>
        <v>5.0000000000000001E-3</v>
      </c>
      <c r="AX73" s="182">
        <f t="shared" si="57"/>
        <v>2.5000000000000001E-2</v>
      </c>
      <c r="AY73" s="186"/>
      <c r="AZ73" s="190"/>
      <c r="BA73" s="184">
        <f t="shared" ca="1" si="74"/>
        <v>2087</v>
      </c>
      <c r="BB73" s="171">
        <f t="shared" si="58"/>
        <v>2701.73</v>
      </c>
      <c r="BC73" s="171">
        <f t="shared" si="48"/>
        <v>2661.9328595193183</v>
      </c>
      <c r="BD73" s="171">
        <f t="shared" si="46"/>
        <v>1932.65</v>
      </c>
      <c r="BE73" s="171">
        <f t="shared" si="43"/>
        <v>862.8058188816558</v>
      </c>
      <c r="BF73" s="171">
        <f t="shared" si="43"/>
        <v>862.8058188816558</v>
      </c>
      <c r="BG73" s="171">
        <f t="shared" si="43"/>
        <v>862.8058188816558</v>
      </c>
      <c r="BI73" s="187">
        <f>IF(A73-'Invoer gegevens'!$C$17&lt;0,0,IF(A73-'Invoer gegevens'!$C$17=0,1,IF(A73-'Invoer gegevens'!$C$17&lt;5,2,IF(A73-'Invoer gegevens'!$C$17&lt;15,3,4))))</f>
        <v>0</v>
      </c>
      <c r="BJ73" s="229">
        <f>IF(BI73&lt;1,0,IF(BI73&lt;2,4%,IF(Reeksen!BI73&lt;3,4%,IF(Reeksen!BI73&lt;4,4%*70%,IF(Reeksen!BI73&lt;5,4%*50%)))))</f>
        <v>0</v>
      </c>
      <c r="BK73" s="243"/>
      <c r="BL73" s="243"/>
      <c r="BM73" s="243"/>
      <c r="BN73" s="243"/>
      <c r="BO73" s="243"/>
      <c r="BP73" s="243"/>
      <c r="BQ73" s="243"/>
      <c r="BR73" s="243"/>
    </row>
    <row r="74" spans="1:70" x14ac:dyDescent="0.25">
      <c r="A74" s="184">
        <f t="shared" si="59"/>
        <v>69</v>
      </c>
      <c r="B74" s="179">
        <f>Dashboard!$C$25</f>
        <v>0.05</v>
      </c>
      <c r="C74" s="179">
        <f>Dashboard!$C$25</f>
        <v>0.05</v>
      </c>
      <c r="D74" s="179">
        <f>Dashboard!$C$25</f>
        <v>0.05</v>
      </c>
      <c r="E74" s="189"/>
      <c r="F74" s="184">
        <f t="shared" ca="1" si="60"/>
        <v>2088</v>
      </c>
      <c r="G74" s="179">
        <f t="shared" si="39"/>
        <v>0.02</v>
      </c>
      <c r="H74" s="182">
        <f t="shared" si="61"/>
        <v>3.9426427747051966</v>
      </c>
      <c r="I74" s="179">
        <f t="shared" si="40"/>
        <v>2.5000000000000001E-2</v>
      </c>
      <c r="J74" s="182">
        <f t="shared" si="62"/>
        <v>5.5330639474866965</v>
      </c>
      <c r="K74" s="179">
        <f t="shared" si="41"/>
        <v>2.5000000000000001E-2</v>
      </c>
      <c r="L74" s="182">
        <f t="shared" si="63"/>
        <v>5.5330639474866965</v>
      </c>
      <c r="M74" s="189"/>
      <c r="N74" s="184">
        <f t="shared" ca="1" si="64"/>
        <v>2088</v>
      </c>
      <c r="O74" s="179">
        <f t="shared" si="77"/>
        <v>0.02</v>
      </c>
      <c r="P74" s="182">
        <f t="shared" si="44"/>
        <v>3.9388156412501019</v>
      </c>
      <c r="R74" s="184">
        <f t="shared" ca="1" si="65"/>
        <v>2088</v>
      </c>
      <c r="S74" s="188">
        <f t="shared" si="38"/>
        <v>5.3600000000000002E-3</v>
      </c>
      <c r="U74" s="184">
        <f t="shared" ca="1" si="66"/>
        <v>2088</v>
      </c>
      <c r="V74" s="182">
        <f t="shared" si="49"/>
        <v>0.02</v>
      </c>
      <c r="W74" s="180">
        <f>Parameters!$D$12</f>
        <v>5.0000000000000001E-3</v>
      </c>
      <c r="X74" s="182">
        <f t="shared" si="50"/>
        <v>2.5000000000000001E-2</v>
      </c>
      <c r="Y74" s="182">
        <f t="shared" si="67"/>
        <v>5.538517930030646</v>
      </c>
      <c r="AA74" s="189"/>
      <c r="AB74" s="184">
        <f t="shared" ca="1" si="68"/>
        <v>2088</v>
      </c>
      <c r="AC74" s="171">
        <f t="shared" si="51"/>
        <v>2769.2589650153232</v>
      </c>
      <c r="AD74" s="171">
        <f t="shared" si="47"/>
        <v>880.06193525928893</v>
      </c>
      <c r="AE74" s="171">
        <f t="shared" ref="AE74:AE137" si="78">AE73*(1+V74)</f>
        <v>2715.1715167097045</v>
      </c>
      <c r="AF74" s="171">
        <f t="shared" si="69"/>
        <v>880.06193525928893</v>
      </c>
      <c r="AG74" s="171">
        <f t="shared" si="70"/>
        <v>1971.3</v>
      </c>
      <c r="AH74" s="171">
        <f t="shared" si="52"/>
        <v>1971.3</v>
      </c>
      <c r="AI74" s="171">
        <f t="shared" si="53"/>
        <v>880.06193525928893</v>
      </c>
      <c r="AJ74" s="171">
        <f>IF('Invoer gegevens'!$I$27="DAEB",SMALL(AC74:AD74,1),AC74)</f>
        <v>880.06193525928893</v>
      </c>
      <c r="AK74" s="171">
        <f>IF('Invoer gegevens'!$I$27="DAEB",SMALL((AE74:AH74),1),SMALL((AF74:AH74),1))</f>
        <v>880.06193525928893</v>
      </c>
      <c r="AL74" s="171">
        <f t="shared" si="75"/>
        <v>0</v>
      </c>
      <c r="AM74" s="171">
        <f t="shared" si="76"/>
        <v>0</v>
      </c>
      <c r="AN74" s="175">
        <f t="shared" si="71"/>
        <v>124277</v>
      </c>
      <c r="AP74" s="184">
        <f t="shared" ca="1" si="72"/>
        <v>2088</v>
      </c>
      <c r="AQ74" s="185">
        <f t="shared" si="54"/>
        <v>0.02</v>
      </c>
      <c r="AR74" s="182">
        <f t="shared" si="45"/>
        <v>3.9388156412501019</v>
      </c>
      <c r="AU74" s="184">
        <f t="shared" ca="1" si="73"/>
        <v>2088</v>
      </c>
      <c r="AV74" s="182">
        <f t="shared" si="55"/>
        <v>0.02</v>
      </c>
      <c r="AW74" s="179">
        <f t="shared" si="56"/>
        <v>5.0000000000000001E-3</v>
      </c>
      <c r="AX74" s="182">
        <f t="shared" si="57"/>
        <v>2.5000000000000001E-2</v>
      </c>
      <c r="AY74" s="186"/>
      <c r="AZ74" s="190"/>
      <c r="BA74" s="184">
        <f t="shared" ca="1" si="74"/>
        <v>2088</v>
      </c>
      <c r="BB74" s="171">
        <f t="shared" si="58"/>
        <v>2769.27</v>
      </c>
      <c r="BC74" s="171">
        <f t="shared" si="48"/>
        <v>2715.1715167097045</v>
      </c>
      <c r="BD74" s="171">
        <f t="shared" si="46"/>
        <v>1971.3</v>
      </c>
      <c r="BE74" s="171">
        <f t="shared" si="43"/>
        <v>880.06193525928893</v>
      </c>
      <c r="BF74" s="171">
        <f t="shared" si="43"/>
        <v>880.06193525928893</v>
      </c>
      <c r="BG74" s="171">
        <f t="shared" si="43"/>
        <v>880.06193525928893</v>
      </c>
      <c r="BI74" s="187">
        <f>IF(A74-'Invoer gegevens'!$C$17&lt;0,0,IF(A74-'Invoer gegevens'!$C$17=0,1,IF(A74-'Invoer gegevens'!$C$17&lt;5,2,IF(A74-'Invoer gegevens'!$C$17&lt;15,3,4))))</f>
        <v>0</v>
      </c>
      <c r="BJ74" s="229">
        <f>IF(BI74&lt;1,0,IF(BI74&lt;2,4%,IF(Reeksen!BI74&lt;3,4%,IF(Reeksen!BI74&lt;4,4%*70%,IF(Reeksen!BI74&lt;5,4%*50%)))))</f>
        <v>0</v>
      </c>
      <c r="BK74" s="243"/>
      <c r="BL74" s="243"/>
      <c r="BM74" s="243"/>
      <c r="BN74" s="243"/>
      <c r="BO74" s="243"/>
      <c r="BP74" s="243"/>
      <c r="BQ74" s="243"/>
      <c r="BR74" s="243"/>
    </row>
    <row r="75" spans="1:70" x14ac:dyDescent="0.25">
      <c r="A75" s="184">
        <f t="shared" si="59"/>
        <v>70</v>
      </c>
      <c r="B75" s="179">
        <f>Dashboard!$C$25</f>
        <v>0.05</v>
      </c>
      <c r="C75" s="179">
        <f>Dashboard!$C$25</f>
        <v>0.05</v>
      </c>
      <c r="D75" s="179">
        <f>Dashboard!$C$25</f>
        <v>0.05</v>
      </c>
      <c r="E75" s="189"/>
      <c r="F75" s="184">
        <f t="shared" ca="1" si="60"/>
        <v>2089</v>
      </c>
      <c r="G75" s="179">
        <f t="shared" si="39"/>
        <v>0.02</v>
      </c>
      <c r="H75" s="182">
        <f t="shared" si="61"/>
        <v>4.0214956301993006</v>
      </c>
      <c r="I75" s="179">
        <f t="shared" si="40"/>
        <v>2.5000000000000001E-2</v>
      </c>
      <c r="J75" s="182">
        <f t="shared" si="62"/>
        <v>5.6713905461738632</v>
      </c>
      <c r="K75" s="179">
        <f t="shared" si="41"/>
        <v>2.5000000000000001E-2</v>
      </c>
      <c r="L75" s="182">
        <f t="shared" si="63"/>
        <v>5.6713905461738632</v>
      </c>
      <c r="M75" s="189"/>
      <c r="N75" s="184">
        <f t="shared" ca="1" si="64"/>
        <v>2089</v>
      </c>
      <c r="O75" s="179">
        <f t="shared" si="77"/>
        <v>0.02</v>
      </c>
      <c r="P75" s="182">
        <f t="shared" si="44"/>
        <v>4.0175919540751037</v>
      </c>
      <c r="R75" s="184">
        <f t="shared" ca="1" si="65"/>
        <v>2089</v>
      </c>
      <c r="S75" s="188">
        <f t="shared" si="38"/>
        <v>5.3600000000000002E-3</v>
      </c>
      <c r="U75" s="184">
        <f t="shared" ca="1" si="66"/>
        <v>2089</v>
      </c>
      <c r="V75" s="182">
        <f t="shared" si="49"/>
        <v>0.02</v>
      </c>
      <c r="W75" s="180">
        <f>Parameters!$D$12</f>
        <v>5.0000000000000001E-3</v>
      </c>
      <c r="X75" s="182">
        <f t="shared" si="50"/>
        <v>2.5000000000000001E-2</v>
      </c>
      <c r="Y75" s="182">
        <f t="shared" si="67"/>
        <v>5.6769808782814115</v>
      </c>
      <c r="AA75" s="189"/>
      <c r="AB75" s="184">
        <f t="shared" ca="1" si="68"/>
        <v>2089</v>
      </c>
      <c r="AC75" s="171">
        <f t="shared" si="51"/>
        <v>2838.4904391407058</v>
      </c>
      <c r="AD75" s="171">
        <f t="shared" si="47"/>
        <v>897.66317396447471</v>
      </c>
      <c r="AE75" s="171">
        <f t="shared" si="78"/>
        <v>2769.4749470438987</v>
      </c>
      <c r="AF75" s="171">
        <f t="shared" si="69"/>
        <v>897.66317396447471</v>
      </c>
      <c r="AG75" s="171">
        <f t="shared" si="70"/>
        <v>2010.73</v>
      </c>
      <c r="AH75" s="171">
        <f t="shared" si="52"/>
        <v>2010.73</v>
      </c>
      <c r="AI75" s="171">
        <f t="shared" si="53"/>
        <v>897.66317396447471</v>
      </c>
      <c r="AJ75" s="171">
        <f>IF('Invoer gegevens'!$I$27="DAEB",SMALL(AC75:AD75,1),AC75)</f>
        <v>897.66317396447471</v>
      </c>
      <c r="AK75" s="171">
        <f>IF('Invoer gegevens'!$I$27="DAEB",SMALL((AE75:AH75),1),SMALL((AF75:AH75),1))</f>
        <v>897.66317396447471</v>
      </c>
      <c r="AL75" s="171">
        <f t="shared" si="75"/>
        <v>0</v>
      </c>
      <c r="AM75" s="171">
        <f t="shared" si="76"/>
        <v>0</v>
      </c>
      <c r="AN75" s="175">
        <f t="shared" si="71"/>
        <v>126763</v>
      </c>
      <c r="AP75" s="184">
        <f t="shared" ca="1" si="72"/>
        <v>2089</v>
      </c>
      <c r="AQ75" s="185">
        <f t="shared" si="54"/>
        <v>0.02</v>
      </c>
      <c r="AR75" s="182">
        <f t="shared" si="45"/>
        <v>4.0175919540751037</v>
      </c>
      <c r="AU75" s="184">
        <f t="shared" ca="1" si="73"/>
        <v>2089</v>
      </c>
      <c r="AV75" s="182">
        <f t="shared" si="55"/>
        <v>0.02</v>
      </c>
      <c r="AW75" s="179">
        <f t="shared" si="56"/>
        <v>5.0000000000000001E-3</v>
      </c>
      <c r="AX75" s="182">
        <f t="shared" si="57"/>
        <v>2.5000000000000001E-2</v>
      </c>
      <c r="AY75" s="186"/>
      <c r="AZ75" s="190"/>
      <c r="BA75" s="184">
        <f t="shared" ca="1" si="74"/>
        <v>2089</v>
      </c>
      <c r="BB75" s="171">
        <f t="shared" si="58"/>
        <v>2838.5</v>
      </c>
      <c r="BC75" s="171">
        <f t="shared" si="48"/>
        <v>2769.4749470438987</v>
      </c>
      <c r="BD75" s="171">
        <f t="shared" si="46"/>
        <v>2010.73</v>
      </c>
      <c r="BE75" s="171">
        <f t="shared" si="43"/>
        <v>897.66317396447471</v>
      </c>
      <c r="BF75" s="171">
        <f t="shared" si="43"/>
        <v>897.66317396447471</v>
      </c>
      <c r="BG75" s="171">
        <f t="shared" si="43"/>
        <v>897.66317396447471</v>
      </c>
      <c r="BI75" s="187">
        <f>IF(A75-'Invoer gegevens'!$C$17&lt;0,0,IF(A75-'Invoer gegevens'!$C$17=0,1,IF(A75-'Invoer gegevens'!$C$17&lt;5,2,IF(A75-'Invoer gegevens'!$C$17&lt;15,3,4))))</f>
        <v>0</v>
      </c>
      <c r="BJ75" s="229">
        <f>IF(BI75&lt;1,0,IF(BI75&lt;2,4%,IF(Reeksen!BI75&lt;3,4%,IF(Reeksen!BI75&lt;4,4%*70%,IF(Reeksen!BI75&lt;5,4%*50%)))))</f>
        <v>0</v>
      </c>
      <c r="BK75" s="243"/>
      <c r="BL75" s="243"/>
      <c r="BM75" s="243"/>
      <c r="BN75" s="243"/>
      <c r="BO75" s="243"/>
      <c r="BP75" s="243"/>
      <c r="BQ75" s="243"/>
      <c r="BR75" s="243"/>
    </row>
    <row r="76" spans="1:70" x14ac:dyDescent="0.25">
      <c r="A76" s="184">
        <f t="shared" si="59"/>
        <v>71</v>
      </c>
      <c r="B76" s="179">
        <f>Dashboard!$C$25</f>
        <v>0.05</v>
      </c>
      <c r="C76" s="179">
        <f>Dashboard!$C$25</f>
        <v>0.05</v>
      </c>
      <c r="D76" s="179">
        <f>Dashboard!$C$25</f>
        <v>0.05</v>
      </c>
      <c r="E76" s="189"/>
      <c r="F76" s="184">
        <f t="shared" ca="1" si="60"/>
        <v>2090</v>
      </c>
      <c r="G76" s="179">
        <f t="shared" si="39"/>
        <v>0.02</v>
      </c>
      <c r="H76" s="182">
        <f t="shared" si="61"/>
        <v>4.1019255428032864</v>
      </c>
      <c r="I76" s="179">
        <f t="shared" si="40"/>
        <v>2.5000000000000001E-2</v>
      </c>
      <c r="J76" s="182">
        <f t="shared" si="62"/>
        <v>5.8131753098282095</v>
      </c>
      <c r="K76" s="179">
        <f t="shared" si="41"/>
        <v>2.5000000000000001E-2</v>
      </c>
      <c r="L76" s="182">
        <f t="shared" si="63"/>
        <v>5.8131753098282095</v>
      </c>
      <c r="M76" s="189"/>
      <c r="N76" s="184">
        <f t="shared" ca="1" si="64"/>
        <v>2090</v>
      </c>
      <c r="O76" s="179">
        <f t="shared" si="77"/>
        <v>0.02</v>
      </c>
      <c r="P76" s="182">
        <f t="shared" si="44"/>
        <v>4.0979437931566061</v>
      </c>
      <c r="R76" s="184">
        <f t="shared" ca="1" si="65"/>
        <v>2090</v>
      </c>
      <c r="S76" s="188">
        <f t="shared" ref="S76:S139" si="79">S75</f>
        <v>5.3600000000000002E-3</v>
      </c>
      <c r="U76" s="184">
        <f t="shared" ca="1" si="66"/>
        <v>2090</v>
      </c>
      <c r="V76" s="182">
        <f t="shared" si="49"/>
        <v>0.02</v>
      </c>
      <c r="W76" s="180">
        <f>Parameters!$D$12</f>
        <v>5.0000000000000001E-3</v>
      </c>
      <c r="X76" s="182">
        <f t="shared" si="50"/>
        <v>2.5000000000000001E-2</v>
      </c>
      <c r="Y76" s="182">
        <f t="shared" si="67"/>
        <v>5.8189054002384459</v>
      </c>
      <c r="AA76" s="189"/>
      <c r="AB76" s="184">
        <f t="shared" ca="1" si="68"/>
        <v>2090</v>
      </c>
      <c r="AC76" s="171">
        <f t="shared" si="51"/>
        <v>2909.4527001192228</v>
      </c>
      <c r="AD76" s="171">
        <f t="shared" si="47"/>
        <v>915.6164374437642</v>
      </c>
      <c r="AE76" s="171">
        <f t="shared" si="78"/>
        <v>2824.8644459847769</v>
      </c>
      <c r="AF76" s="171">
        <f t="shared" si="69"/>
        <v>915.6164374437642</v>
      </c>
      <c r="AG76" s="171">
        <f t="shared" si="70"/>
        <v>2050.94</v>
      </c>
      <c r="AH76" s="171">
        <f t="shared" si="52"/>
        <v>2050.94</v>
      </c>
      <c r="AI76" s="171">
        <f t="shared" si="53"/>
        <v>915.6164374437642</v>
      </c>
      <c r="AJ76" s="171">
        <f>IF('Invoer gegevens'!$I$27="DAEB",SMALL(AC76:AD76,1),AC76)</f>
        <v>915.6164374437642</v>
      </c>
      <c r="AK76" s="171">
        <f>IF('Invoer gegevens'!$I$27="DAEB",SMALL((AE76:AH76),1),SMALL((AF76:AH76),1))</f>
        <v>915.6164374437642</v>
      </c>
      <c r="AL76" s="171">
        <f t="shared" si="75"/>
        <v>0</v>
      </c>
      <c r="AM76" s="171">
        <f t="shared" si="76"/>
        <v>0</v>
      </c>
      <c r="AN76" s="175">
        <f t="shared" si="71"/>
        <v>129298</v>
      </c>
      <c r="AP76" s="184">
        <f t="shared" ca="1" si="72"/>
        <v>2090</v>
      </c>
      <c r="AQ76" s="185">
        <f t="shared" si="54"/>
        <v>0.02</v>
      </c>
      <c r="AR76" s="182">
        <f t="shared" si="45"/>
        <v>4.0979437931566061</v>
      </c>
      <c r="AU76" s="184">
        <f t="shared" ca="1" si="73"/>
        <v>2090</v>
      </c>
      <c r="AV76" s="182">
        <f t="shared" si="55"/>
        <v>0.02</v>
      </c>
      <c r="AW76" s="179">
        <f t="shared" si="56"/>
        <v>5.0000000000000001E-3</v>
      </c>
      <c r="AX76" s="182">
        <f t="shared" si="57"/>
        <v>2.5000000000000001E-2</v>
      </c>
      <c r="AY76" s="186"/>
      <c r="AZ76" s="190"/>
      <c r="BA76" s="184">
        <f t="shared" ca="1" si="74"/>
        <v>2090</v>
      </c>
      <c r="BB76" s="171">
        <f t="shared" si="58"/>
        <v>2909.46</v>
      </c>
      <c r="BC76" s="171">
        <f t="shared" si="48"/>
        <v>2824.8644459847769</v>
      </c>
      <c r="BD76" s="171">
        <f t="shared" si="46"/>
        <v>2050.94</v>
      </c>
      <c r="BE76" s="171">
        <f t="shared" si="43"/>
        <v>915.6164374437642</v>
      </c>
      <c r="BF76" s="171">
        <f t="shared" si="43"/>
        <v>915.6164374437642</v>
      </c>
      <c r="BG76" s="171">
        <f t="shared" si="43"/>
        <v>915.6164374437642</v>
      </c>
      <c r="BI76" s="187">
        <f>IF(A76-'Invoer gegevens'!$C$17&lt;0,0,IF(A76-'Invoer gegevens'!$C$17=0,1,IF(A76-'Invoer gegevens'!$C$17&lt;5,2,IF(A76-'Invoer gegevens'!$C$17&lt;15,3,4))))</f>
        <v>0</v>
      </c>
      <c r="BJ76" s="229">
        <f>IF(BI76&lt;1,0,IF(BI76&lt;2,4%,IF(Reeksen!BI76&lt;3,4%,IF(Reeksen!BI76&lt;4,4%*70%,IF(Reeksen!BI76&lt;5,4%*50%)))))</f>
        <v>0</v>
      </c>
      <c r="BK76" s="243"/>
      <c r="BL76" s="243"/>
      <c r="BM76" s="243"/>
      <c r="BN76" s="243"/>
      <c r="BO76" s="243"/>
      <c r="BP76" s="243"/>
      <c r="BQ76" s="243"/>
      <c r="BR76" s="243"/>
    </row>
    <row r="77" spans="1:70" x14ac:dyDescent="0.25">
      <c r="A77" s="184">
        <f t="shared" si="59"/>
        <v>72</v>
      </c>
      <c r="B77" s="179">
        <f>Dashboard!$C$25</f>
        <v>0.05</v>
      </c>
      <c r="C77" s="179">
        <f>Dashboard!$C$25</f>
        <v>0.05</v>
      </c>
      <c r="D77" s="179">
        <f>Dashboard!$C$25</f>
        <v>0.05</v>
      </c>
      <c r="E77" s="189"/>
      <c r="F77" s="184">
        <f t="shared" ca="1" si="60"/>
        <v>2091</v>
      </c>
      <c r="G77" s="179">
        <f t="shared" si="39"/>
        <v>0.02</v>
      </c>
      <c r="H77" s="182">
        <f t="shared" si="61"/>
        <v>4.1839640536593521</v>
      </c>
      <c r="I77" s="179">
        <f t="shared" si="40"/>
        <v>2.5000000000000001E-2</v>
      </c>
      <c r="J77" s="182">
        <f t="shared" si="62"/>
        <v>5.9585046925739142</v>
      </c>
      <c r="K77" s="179">
        <f t="shared" si="41"/>
        <v>2.5000000000000001E-2</v>
      </c>
      <c r="L77" s="182">
        <f t="shared" si="63"/>
        <v>5.9585046925739142</v>
      </c>
      <c r="M77" s="189"/>
      <c r="N77" s="184">
        <f t="shared" ca="1" si="64"/>
        <v>2091</v>
      </c>
      <c r="O77" s="179">
        <f t="shared" si="77"/>
        <v>0.02</v>
      </c>
      <c r="P77" s="182">
        <f t="shared" si="44"/>
        <v>4.1799026690197385</v>
      </c>
      <c r="R77" s="184">
        <f t="shared" ca="1" si="65"/>
        <v>2091</v>
      </c>
      <c r="S77" s="188">
        <f t="shared" si="79"/>
        <v>5.3600000000000002E-3</v>
      </c>
      <c r="U77" s="184">
        <f t="shared" ca="1" si="66"/>
        <v>2091</v>
      </c>
      <c r="V77" s="182">
        <f t="shared" si="49"/>
        <v>0.02</v>
      </c>
      <c r="W77" s="180">
        <f>Parameters!$D$12</f>
        <v>5.0000000000000001E-3</v>
      </c>
      <c r="X77" s="182">
        <f t="shared" si="50"/>
        <v>2.5000000000000001E-2</v>
      </c>
      <c r="Y77" s="182">
        <f t="shared" si="67"/>
        <v>5.9643780352444065</v>
      </c>
      <c r="AA77" s="189"/>
      <c r="AB77" s="184">
        <f t="shared" ca="1" si="68"/>
        <v>2091</v>
      </c>
      <c r="AC77" s="171">
        <f t="shared" si="51"/>
        <v>2982.1890176222032</v>
      </c>
      <c r="AD77" s="171">
        <f t="shared" si="47"/>
        <v>933.9287661926395</v>
      </c>
      <c r="AE77" s="171">
        <f t="shared" si="78"/>
        <v>2881.3617349044725</v>
      </c>
      <c r="AF77" s="171">
        <f t="shared" si="69"/>
        <v>933.9287661926395</v>
      </c>
      <c r="AG77" s="171">
        <f t="shared" ref="AG77:AG140" si="80">ROUND($AG76*(1+V77)^1,2)</f>
        <v>2091.96</v>
      </c>
      <c r="AH77" s="171">
        <f t="shared" si="52"/>
        <v>2091.96</v>
      </c>
      <c r="AI77" s="171">
        <f t="shared" si="53"/>
        <v>933.9287661926395</v>
      </c>
      <c r="AJ77" s="171">
        <f>IF('Invoer gegevens'!$I$27="DAEB",SMALL(AC77:AD77,1),AC77)</f>
        <v>933.9287661926395</v>
      </c>
      <c r="AK77" s="171">
        <f>IF('Invoer gegevens'!$I$27="DAEB",SMALL((AE77:AH77),1),SMALL((AF77:AH77),1))</f>
        <v>933.9287661926395</v>
      </c>
      <c r="AL77" s="171">
        <f t="shared" si="75"/>
        <v>0</v>
      </c>
      <c r="AM77" s="171">
        <f t="shared" si="76"/>
        <v>0</v>
      </c>
      <c r="AN77" s="175">
        <f t="shared" si="71"/>
        <v>131884</v>
      </c>
      <c r="AP77" s="184">
        <f t="shared" ca="1" si="72"/>
        <v>2091</v>
      </c>
      <c r="AQ77" s="185">
        <f t="shared" si="54"/>
        <v>0.02</v>
      </c>
      <c r="AR77" s="182">
        <f t="shared" si="45"/>
        <v>4.1799026690197385</v>
      </c>
      <c r="AU77" s="184">
        <f t="shared" ca="1" si="73"/>
        <v>2091</v>
      </c>
      <c r="AV77" s="182">
        <f t="shared" si="55"/>
        <v>0.02</v>
      </c>
      <c r="AW77" s="179">
        <f t="shared" si="56"/>
        <v>5.0000000000000001E-3</v>
      </c>
      <c r="AX77" s="182">
        <f t="shared" si="57"/>
        <v>2.5000000000000001E-2</v>
      </c>
      <c r="AY77" s="186"/>
      <c r="AZ77" s="190"/>
      <c r="BA77" s="184">
        <f t="shared" ca="1" si="74"/>
        <v>2091</v>
      </c>
      <c r="BB77" s="171">
        <f t="shared" si="58"/>
        <v>2982.2</v>
      </c>
      <c r="BC77" s="171">
        <f t="shared" si="48"/>
        <v>2881.3617349044725</v>
      </c>
      <c r="BD77" s="171">
        <f t="shared" si="46"/>
        <v>2091.96</v>
      </c>
      <c r="BE77" s="171">
        <f t="shared" si="43"/>
        <v>933.9287661926395</v>
      </c>
      <c r="BF77" s="171">
        <f t="shared" si="43"/>
        <v>933.9287661926395</v>
      </c>
      <c r="BG77" s="171">
        <f t="shared" si="43"/>
        <v>933.9287661926395</v>
      </c>
      <c r="BI77" s="187">
        <f>IF(A77-'Invoer gegevens'!$C$17&lt;0,0,IF(A77-'Invoer gegevens'!$C$17=0,1,IF(A77-'Invoer gegevens'!$C$17&lt;5,2,IF(A77-'Invoer gegevens'!$C$17&lt;15,3,4))))</f>
        <v>0</v>
      </c>
      <c r="BJ77" s="229">
        <f>IF(BI77&lt;1,0,IF(BI77&lt;2,4%,IF(Reeksen!BI77&lt;3,4%,IF(Reeksen!BI77&lt;4,4%*70%,IF(Reeksen!BI77&lt;5,4%*50%)))))</f>
        <v>0</v>
      </c>
      <c r="BK77" s="243"/>
      <c r="BL77" s="243"/>
      <c r="BM77" s="243"/>
      <c r="BN77" s="243"/>
      <c r="BO77" s="243"/>
      <c r="BP77" s="243"/>
      <c r="BQ77" s="243"/>
      <c r="BR77" s="243"/>
    </row>
    <row r="78" spans="1:70" x14ac:dyDescent="0.25">
      <c r="A78" s="184">
        <f t="shared" si="59"/>
        <v>73</v>
      </c>
      <c r="B78" s="179">
        <f>Dashboard!$C$25</f>
        <v>0.05</v>
      </c>
      <c r="C78" s="179">
        <f>Dashboard!$C$25</f>
        <v>0.05</v>
      </c>
      <c r="D78" s="179">
        <f>Dashboard!$C$25</f>
        <v>0.05</v>
      </c>
      <c r="E78" s="189"/>
      <c r="F78" s="184">
        <f t="shared" ca="1" si="60"/>
        <v>2092</v>
      </c>
      <c r="G78" s="179">
        <f t="shared" si="39"/>
        <v>0.02</v>
      </c>
      <c r="H78" s="182">
        <f t="shared" si="61"/>
        <v>4.2676433347325391</v>
      </c>
      <c r="I78" s="179">
        <f t="shared" si="40"/>
        <v>2.5000000000000001E-2</v>
      </c>
      <c r="J78" s="182">
        <f t="shared" si="62"/>
        <v>6.1074673098882615</v>
      </c>
      <c r="K78" s="179">
        <f t="shared" si="41"/>
        <v>2.5000000000000001E-2</v>
      </c>
      <c r="L78" s="182">
        <f t="shared" si="63"/>
        <v>6.1074673098882615</v>
      </c>
      <c r="M78" s="189"/>
      <c r="N78" s="184">
        <f t="shared" ca="1" si="64"/>
        <v>2092</v>
      </c>
      <c r="O78" s="179">
        <f t="shared" si="77"/>
        <v>0.02</v>
      </c>
      <c r="P78" s="182">
        <f t="shared" si="44"/>
        <v>4.2635007224001331</v>
      </c>
      <c r="R78" s="184">
        <f t="shared" ca="1" si="65"/>
        <v>2092</v>
      </c>
      <c r="S78" s="188">
        <f t="shared" si="79"/>
        <v>5.3600000000000002E-3</v>
      </c>
      <c r="U78" s="184">
        <f t="shared" ca="1" si="66"/>
        <v>2092</v>
      </c>
      <c r="V78" s="182">
        <f t="shared" si="49"/>
        <v>0.02</v>
      </c>
      <c r="W78" s="180">
        <f>Parameters!$D$12</f>
        <v>5.0000000000000001E-3</v>
      </c>
      <c r="X78" s="182">
        <f t="shared" si="50"/>
        <v>2.5000000000000001E-2</v>
      </c>
      <c r="Y78" s="182">
        <f t="shared" si="67"/>
        <v>6.113487486125516</v>
      </c>
      <c r="AA78" s="189"/>
      <c r="AB78" s="184">
        <f t="shared" ca="1" si="68"/>
        <v>2092</v>
      </c>
      <c r="AC78" s="171">
        <f t="shared" si="51"/>
        <v>3056.7437430627579</v>
      </c>
      <c r="AD78" s="171">
        <f t="shared" si="47"/>
        <v>952.60734151649228</v>
      </c>
      <c r="AE78" s="171">
        <f t="shared" si="78"/>
        <v>2938.9889696025621</v>
      </c>
      <c r="AF78" s="171">
        <f t="shared" si="69"/>
        <v>952.60734151649228</v>
      </c>
      <c r="AG78" s="171">
        <f t="shared" si="80"/>
        <v>2133.8000000000002</v>
      </c>
      <c r="AH78" s="171">
        <f t="shared" si="52"/>
        <v>2133.8000000000002</v>
      </c>
      <c r="AI78" s="171">
        <f t="shared" si="53"/>
        <v>952.60734151649228</v>
      </c>
      <c r="AJ78" s="171">
        <f>IF('Invoer gegevens'!$I$27="DAEB",SMALL(AC78:AD78,1),AC78)</f>
        <v>952.60734151649228</v>
      </c>
      <c r="AK78" s="171">
        <f>IF('Invoer gegevens'!$I$27="DAEB",SMALL((AE78:AH78),1),SMALL((AF78:AH78),1))</f>
        <v>952.60734151649228</v>
      </c>
      <c r="AL78" s="171">
        <f t="shared" si="75"/>
        <v>0</v>
      </c>
      <c r="AM78" s="171">
        <f t="shared" si="76"/>
        <v>0</v>
      </c>
      <c r="AN78" s="175">
        <f t="shared" si="71"/>
        <v>134522</v>
      </c>
      <c r="AP78" s="184">
        <f t="shared" ca="1" si="72"/>
        <v>2092</v>
      </c>
      <c r="AQ78" s="185">
        <f t="shared" si="54"/>
        <v>0.02</v>
      </c>
      <c r="AR78" s="182">
        <f t="shared" si="45"/>
        <v>4.2635007224001331</v>
      </c>
      <c r="AU78" s="184">
        <f t="shared" ca="1" si="73"/>
        <v>2092</v>
      </c>
      <c r="AV78" s="182">
        <f t="shared" si="55"/>
        <v>0.02</v>
      </c>
      <c r="AW78" s="179">
        <f t="shared" si="56"/>
        <v>5.0000000000000001E-3</v>
      </c>
      <c r="AX78" s="182">
        <f t="shared" si="57"/>
        <v>2.5000000000000001E-2</v>
      </c>
      <c r="AY78" s="186"/>
      <c r="AZ78" s="190"/>
      <c r="BA78" s="184">
        <f t="shared" ca="1" si="74"/>
        <v>2092</v>
      </c>
      <c r="BB78" s="171">
        <f t="shared" si="58"/>
        <v>3056.76</v>
      </c>
      <c r="BC78" s="171">
        <f t="shared" si="48"/>
        <v>2938.9889696025621</v>
      </c>
      <c r="BD78" s="171">
        <f t="shared" si="46"/>
        <v>2133.8000000000002</v>
      </c>
      <c r="BE78" s="171">
        <f t="shared" si="43"/>
        <v>952.60734151649228</v>
      </c>
      <c r="BF78" s="171">
        <f t="shared" si="43"/>
        <v>952.60734151649228</v>
      </c>
      <c r="BG78" s="171">
        <f t="shared" si="43"/>
        <v>952.60734151649228</v>
      </c>
      <c r="BI78" s="187">
        <f>IF(A78-'Invoer gegevens'!$C$17&lt;0,0,IF(A78-'Invoer gegevens'!$C$17=0,1,IF(A78-'Invoer gegevens'!$C$17&lt;5,2,IF(A78-'Invoer gegevens'!$C$17&lt;15,3,4))))</f>
        <v>0</v>
      </c>
      <c r="BJ78" s="229">
        <f>IF(BI78&lt;1,0,IF(BI78&lt;2,4%,IF(Reeksen!BI78&lt;3,4%,IF(Reeksen!BI78&lt;4,4%*70%,IF(Reeksen!BI78&lt;5,4%*50%)))))</f>
        <v>0</v>
      </c>
      <c r="BK78" s="243"/>
      <c r="BL78" s="243"/>
      <c r="BM78" s="243"/>
      <c r="BN78" s="243"/>
      <c r="BO78" s="243"/>
      <c r="BP78" s="243"/>
      <c r="BQ78" s="243"/>
      <c r="BR78" s="243"/>
    </row>
    <row r="79" spans="1:70" x14ac:dyDescent="0.25">
      <c r="A79" s="184">
        <f t="shared" si="59"/>
        <v>74</v>
      </c>
      <c r="B79" s="179">
        <f>Dashboard!$C$25</f>
        <v>0.05</v>
      </c>
      <c r="C79" s="179">
        <f>Dashboard!$C$25</f>
        <v>0.05</v>
      </c>
      <c r="D79" s="179">
        <f>Dashboard!$C$25</f>
        <v>0.05</v>
      </c>
      <c r="E79" s="189"/>
      <c r="F79" s="184">
        <f t="shared" ca="1" si="60"/>
        <v>2093</v>
      </c>
      <c r="G79" s="179">
        <f t="shared" si="39"/>
        <v>0.02</v>
      </c>
      <c r="H79" s="182">
        <f t="shared" si="61"/>
        <v>4.3529962014271897</v>
      </c>
      <c r="I79" s="179">
        <f t="shared" si="40"/>
        <v>2.5000000000000001E-2</v>
      </c>
      <c r="J79" s="182">
        <f t="shared" si="62"/>
        <v>6.2601539926354679</v>
      </c>
      <c r="K79" s="179">
        <f t="shared" si="41"/>
        <v>2.5000000000000001E-2</v>
      </c>
      <c r="L79" s="182">
        <f t="shared" si="63"/>
        <v>6.2601539926354679</v>
      </c>
      <c r="M79" s="189"/>
      <c r="N79" s="184">
        <f t="shared" ca="1" si="64"/>
        <v>2093</v>
      </c>
      <c r="O79" s="179">
        <f t="shared" si="77"/>
        <v>0.02</v>
      </c>
      <c r="P79" s="182">
        <f t="shared" si="44"/>
        <v>4.3487707368481354</v>
      </c>
      <c r="R79" s="184">
        <f t="shared" ca="1" si="65"/>
        <v>2093</v>
      </c>
      <c r="S79" s="188">
        <f t="shared" si="79"/>
        <v>5.3600000000000002E-3</v>
      </c>
      <c r="U79" s="184">
        <f t="shared" ca="1" si="66"/>
        <v>2093</v>
      </c>
      <c r="V79" s="182">
        <f t="shared" si="49"/>
        <v>0.02</v>
      </c>
      <c r="W79" s="180">
        <f>Parameters!$D$12</f>
        <v>5.0000000000000001E-3</v>
      </c>
      <c r="X79" s="182">
        <f t="shared" si="50"/>
        <v>2.5000000000000001E-2</v>
      </c>
      <c r="Y79" s="182">
        <f t="shared" si="67"/>
        <v>6.2663246732786533</v>
      </c>
      <c r="AA79" s="189"/>
      <c r="AB79" s="184">
        <f t="shared" ca="1" si="68"/>
        <v>2093</v>
      </c>
      <c r="AC79" s="171">
        <f t="shared" si="51"/>
        <v>3133.1623366393264</v>
      </c>
      <c r="AD79" s="171">
        <f t="shared" si="47"/>
        <v>971.65948834682206</v>
      </c>
      <c r="AE79" s="171">
        <f t="shared" si="78"/>
        <v>2997.7687489946134</v>
      </c>
      <c r="AF79" s="171">
        <f t="shared" si="69"/>
        <v>971.65948834682206</v>
      </c>
      <c r="AG79" s="171">
        <f t="shared" si="80"/>
        <v>2176.48</v>
      </c>
      <c r="AH79" s="171">
        <f t="shared" si="52"/>
        <v>2176.48</v>
      </c>
      <c r="AI79" s="171">
        <f t="shared" si="53"/>
        <v>971.65948834682206</v>
      </c>
      <c r="AJ79" s="171">
        <f>IF('Invoer gegevens'!$I$27="DAEB",SMALL(AC79:AD79,1),AC79)</f>
        <v>971.65948834682206</v>
      </c>
      <c r="AK79" s="171">
        <f>IF('Invoer gegevens'!$I$27="DAEB",SMALL((AE79:AH79),1),SMALL((AF79:AH79),1))</f>
        <v>971.65948834682206</v>
      </c>
      <c r="AL79" s="171">
        <f t="shared" si="75"/>
        <v>0</v>
      </c>
      <c r="AM79" s="171">
        <f t="shared" si="76"/>
        <v>0</v>
      </c>
      <c r="AN79" s="175">
        <f t="shared" si="71"/>
        <v>137212</v>
      </c>
      <c r="AP79" s="184">
        <f t="shared" ca="1" si="72"/>
        <v>2093</v>
      </c>
      <c r="AQ79" s="185">
        <f t="shared" si="54"/>
        <v>0.02</v>
      </c>
      <c r="AR79" s="182">
        <f t="shared" si="45"/>
        <v>4.3487707368481354</v>
      </c>
      <c r="AU79" s="184">
        <f t="shared" ca="1" si="73"/>
        <v>2093</v>
      </c>
      <c r="AV79" s="182">
        <f t="shared" si="55"/>
        <v>0.02</v>
      </c>
      <c r="AW79" s="179">
        <f t="shared" si="56"/>
        <v>5.0000000000000001E-3</v>
      </c>
      <c r="AX79" s="182">
        <f t="shared" si="57"/>
        <v>2.5000000000000001E-2</v>
      </c>
      <c r="AY79" s="186"/>
      <c r="AZ79" s="190"/>
      <c r="BA79" s="184">
        <f t="shared" ca="1" si="74"/>
        <v>2093</v>
      </c>
      <c r="BB79" s="171">
        <f t="shared" si="58"/>
        <v>3133.18</v>
      </c>
      <c r="BC79" s="171">
        <f t="shared" si="48"/>
        <v>2997.7687489946134</v>
      </c>
      <c r="BD79" s="171">
        <f t="shared" si="46"/>
        <v>2176.48</v>
      </c>
      <c r="BE79" s="171">
        <f t="shared" si="43"/>
        <v>971.65948834682206</v>
      </c>
      <c r="BF79" s="171">
        <f t="shared" si="43"/>
        <v>971.65948834682206</v>
      </c>
      <c r="BG79" s="171">
        <f t="shared" si="43"/>
        <v>971.65948834682206</v>
      </c>
      <c r="BI79" s="187">
        <f>IF(A79-'Invoer gegevens'!$C$17&lt;0,0,IF(A79-'Invoer gegevens'!$C$17=0,1,IF(A79-'Invoer gegevens'!$C$17&lt;5,2,IF(A79-'Invoer gegevens'!$C$17&lt;15,3,4))))</f>
        <v>0</v>
      </c>
      <c r="BJ79" s="229">
        <f>IF(BI79&lt;1,0,IF(BI79&lt;2,4%,IF(Reeksen!BI79&lt;3,4%,IF(Reeksen!BI79&lt;4,4%*70%,IF(Reeksen!BI79&lt;5,4%*50%)))))</f>
        <v>0</v>
      </c>
      <c r="BK79" s="243"/>
      <c r="BL79" s="243"/>
      <c r="BM79" s="243"/>
      <c r="BN79" s="243"/>
      <c r="BO79" s="243"/>
      <c r="BP79" s="243"/>
      <c r="BQ79" s="243"/>
      <c r="BR79" s="243"/>
    </row>
    <row r="80" spans="1:70" x14ac:dyDescent="0.25">
      <c r="A80" s="184">
        <f t="shared" si="59"/>
        <v>75</v>
      </c>
      <c r="B80" s="179">
        <f>Dashboard!$C$25</f>
        <v>0.05</v>
      </c>
      <c r="C80" s="179">
        <f>Dashboard!$C$25</f>
        <v>0.05</v>
      </c>
      <c r="D80" s="179">
        <f>Dashboard!$C$25</f>
        <v>0.05</v>
      </c>
      <c r="E80" s="189"/>
      <c r="F80" s="184">
        <f t="shared" ca="1" si="60"/>
        <v>2094</v>
      </c>
      <c r="G80" s="179">
        <f t="shared" si="39"/>
        <v>0.02</v>
      </c>
      <c r="H80" s="182">
        <f t="shared" si="61"/>
        <v>4.4400561254557331</v>
      </c>
      <c r="I80" s="179">
        <f t="shared" si="40"/>
        <v>2.5000000000000001E-2</v>
      </c>
      <c r="J80" s="182">
        <f t="shared" si="62"/>
        <v>6.4166578424513538</v>
      </c>
      <c r="K80" s="179">
        <f t="shared" si="41"/>
        <v>2.5000000000000001E-2</v>
      </c>
      <c r="L80" s="182">
        <f t="shared" si="63"/>
        <v>6.4166578424513538</v>
      </c>
      <c r="M80" s="189"/>
      <c r="N80" s="184">
        <f t="shared" ca="1" si="64"/>
        <v>2094</v>
      </c>
      <c r="O80" s="179">
        <f t="shared" si="77"/>
        <v>0.02</v>
      </c>
      <c r="P80" s="182">
        <f t="shared" si="44"/>
        <v>4.4357461515850982</v>
      </c>
      <c r="R80" s="184">
        <f t="shared" ca="1" si="65"/>
        <v>2094</v>
      </c>
      <c r="S80" s="188">
        <f t="shared" si="79"/>
        <v>5.3600000000000002E-3</v>
      </c>
      <c r="U80" s="184">
        <f t="shared" ca="1" si="66"/>
        <v>2094</v>
      </c>
      <c r="V80" s="182">
        <f t="shared" si="49"/>
        <v>0.02</v>
      </c>
      <c r="W80" s="180">
        <f>Parameters!$D$12</f>
        <v>5.0000000000000001E-3</v>
      </c>
      <c r="X80" s="182">
        <f t="shared" si="50"/>
        <v>2.5000000000000001E-2</v>
      </c>
      <c r="Y80" s="182">
        <f t="shared" si="67"/>
        <v>6.4229827901106189</v>
      </c>
      <c r="AA80" s="189"/>
      <c r="AB80" s="184">
        <f t="shared" ca="1" si="68"/>
        <v>2094</v>
      </c>
      <c r="AC80" s="171">
        <f t="shared" si="51"/>
        <v>3211.4913950553096</v>
      </c>
      <c r="AD80" s="171">
        <f t="shared" si="47"/>
        <v>991.09267811375844</v>
      </c>
      <c r="AE80" s="171">
        <f t="shared" si="78"/>
        <v>3057.7241239745058</v>
      </c>
      <c r="AF80" s="171">
        <f t="shared" si="69"/>
        <v>991.09267811375844</v>
      </c>
      <c r="AG80" s="171">
        <f t="shared" si="80"/>
        <v>2220.0100000000002</v>
      </c>
      <c r="AH80" s="171">
        <f t="shared" si="52"/>
        <v>2220.0100000000002</v>
      </c>
      <c r="AI80" s="171">
        <f t="shared" si="53"/>
        <v>991.09267811375844</v>
      </c>
      <c r="AJ80" s="171">
        <f>IF('Invoer gegevens'!$I$27="DAEB",SMALL(AC80:AD80,1),AC80)</f>
        <v>991.09267811375844</v>
      </c>
      <c r="AK80" s="171">
        <f>IF('Invoer gegevens'!$I$27="DAEB",SMALL((AE80:AH80),1),SMALL((AF80:AH80),1))</f>
        <v>991.09267811375844</v>
      </c>
      <c r="AL80" s="171">
        <f t="shared" si="75"/>
        <v>0</v>
      </c>
      <c r="AM80" s="171">
        <f t="shared" si="76"/>
        <v>0</v>
      </c>
      <c r="AN80" s="175">
        <f t="shared" si="71"/>
        <v>139956</v>
      </c>
      <c r="AP80" s="184">
        <f t="shared" ca="1" si="72"/>
        <v>2094</v>
      </c>
      <c r="AQ80" s="185">
        <f t="shared" si="54"/>
        <v>0.02</v>
      </c>
      <c r="AR80" s="182">
        <f t="shared" si="45"/>
        <v>4.4357461515850982</v>
      </c>
      <c r="AU80" s="184">
        <f t="shared" ca="1" si="73"/>
        <v>2094</v>
      </c>
      <c r="AV80" s="182">
        <f t="shared" si="55"/>
        <v>0.02</v>
      </c>
      <c r="AW80" s="179">
        <f t="shared" si="56"/>
        <v>5.0000000000000001E-3</v>
      </c>
      <c r="AX80" s="182">
        <f t="shared" si="57"/>
        <v>2.5000000000000001E-2</v>
      </c>
      <c r="AY80" s="186"/>
      <c r="AZ80" s="190"/>
      <c r="BA80" s="184">
        <f t="shared" ca="1" si="74"/>
        <v>2094</v>
      </c>
      <c r="BB80" s="171">
        <f t="shared" si="58"/>
        <v>3211.51</v>
      </c>
      <c r="BC80" s="171">
        <f t="shared" si="48"/>
        <v>3057.7241239745058</v>
      </c>
      <c r="BD80" s="171">
        <f t="shared" si="46"/>
        <v>2220.0100000000002</v>
      </c>
      <c r="BE80" s="171">
        <f t="shared" si="43"/>
        <v>991.09267811375844</v>
      </c>
      <c r="BF80" s="171">
        <f t="shared" si="43"/>
        <v>991.09267811375844</v>
      </c>
      <c r="BG80" s="171">
        <f t="shared" si="43"/>
        <v>991.09267811375844</v>
      </c>
      <c r="BI80" s="187">
        <f>IF(A80-'Invoer gegevens'!$C$17&lt;0,0,IF(A80-'Invoer gegevens'!$C$17=0,1,IF(A80-'Invoer gegevens'!$C$17&lt;5,2,IF(A80-'Invoer gegevens'!$C$17&lt;15,3,4))))</f>
        <v>0</v>
      </c>
      <c r="BJ80" s="229">
        <f>IF(BI80&lt;1,0,IF(BI80&lt;2,4%,IF(Reeksen!BI80&lt;3,4%,IF(Reeksen!BI80&lt;4,4%*70%,IF(Reeksen!BI80&lt;5,4%*50%)))))</f>
        <v>0</v>
      </c>
      <c r="BK80" s="243"/>
      <c r="BL80" s="243"/>
      <c r="BM80" s="243"/>
      <c r="BN80" s="243"/>
      <c r="BO80" s="243"/>
      <c r="BP80" s="243"/>
      <c r="BQ80" s="243"/>
      <c r="BR80" s="243"/>
    </row>
    <row r="81" spans="1:70" x14ac:dyDescent="0.25">
      <c r="A81" s="184">
        <f t="shared" si="59"/>
        <v>76</v>
      </c>
      <c r="B81" s="179">
        <f>Dashboard!$C$25</f>
        <v>0.05</v>
      </c>
      <c r="C81" s="179">
        <f>Dashboard!$C$25</f>
        <v>0.05</v>
      </c>
      <c r="D81" s="179">
        <f>Dashboard!$C$25</f>
        <v>0.05</v>
      </c>
      <c r="E81" s="189"/>
      <c r="F81" s="184">
        <f t="shared" ca="1" si="60"/>
        <v>2095</v>
      </c>
      <c r="G81" s="179">
        <f t="shared" si="39"/>
        <v>0.02</v>
      </c>
      <c r="H81" s="182">
        <f t="shared" si="61"/>
        <v>4.5288572479648481</v>
      </c>
      <c r="I81" s="179">
        <f t="shared" si="40"/>
        <v>2.5000000000000001E-2</v>
      </c>
      <c r="J81" s="182">
        <f t="shared" si="62"/>
        <v>6.5770742885126374</v>
      </c>
      <c r="K81" s="179">
        <f t="shared" si="41"/>
        <v>2.5000000000000001E-2</v>
      </c>
      <c r="L81" s="182">
        <f t="shared" si="63"/>
        <v>6.5770742885126374</v>
      </c>
      <c r="M81" s="189"/>
      <c r="N81" s="184">
        <f t="shared" ca="1" si="64"/>
        <v>2095</v>
      </c>
      <c r="O81" s="179">
        <f t="shared" si="77"/>
        <v>0.02</v>
      </c>
      <c r="P81" s="182">
        <f t="shared" si="44"/>
        <v>4.5244610746168004</v>
      </c>
      <c r="R81" s="184">
        <f t="shared" ca="1" si="65"/>
        <v>2095</v>
      </c>
      <c r="S81" s="188">
        <f t="shared" si="79"/>
        <v>5.3600000000000002E-3</v>
      </c>
      <c r="U81" s="184">
        <f t="shared" ca="1" si="66"/>
        <v>2095</v>
      </c>
      <c r="V81" s="182">
        <f t="shared" si="49"/>
        <v>0.02</v>
      </c>
      <c r="W81" s="180">
        <f>Parameters!$D$12</f>
        <v>5.0000000000000001E-3</v>
      </c>
      <c r="X81" s="182">
        <f t="shared" si="50"/>
        <v>2.5000000000000001E-2</v>
      </c>
      <c r="Y81" s="182">
        <f t="shared" si="67"/>
        <v>6.5835573598633834</v>
      </c>
      <c r="AA81" s="189"/>
      <c r="AB81" s="184">
        <f t="shared" ca="1" si="68"/>
        <v>2095</v>
      </c>
      <c r="AC81" s="171">
        <f t="shared" si="51"/>
        <v>3291.7786799316918</v>
      </c>
      <c r="AD81" s="171">
        <f t="shared" si="47"/>
        <v>1010.9145316760337</v>
      </c>
      <c r="AE81" s="171">
        <f t="shared" si="78"/>
        <v>3118.8786064539959</v>
      </c>
      <c r="AF81" s="171">
        <f t="shared" si="69"/>
        <v>1010.9145316760337</v>
      </c>
      <c r="AG81" s="171">
        <f t="shared" si="80"/>
        <v>2264.41</v>
      </c>
      <c r="AH81" s="171">
        <f t="shared" si="52"/>
        <v>2264.41</v>
      </c>
      <c r="AI81" s="171">
        <f t="shared" si="53"/>
        <v>1010.9145316760337</v>
      </c>
      <c r="AJ81" s="171">
        <f>IF('Invoer gegevens'!$I$27="DAEB",SMALL(AC81:AD81,1),AC81)</f>
        <v>1010.9145316760337</v>
      </c>
      <c r="AK81" s="171">
        <f>IF('Invoer gegevens'!$I$27="DAEB",SMALL((AE81:AH81),1),SMALL((AF81:AH81),1))</f>
        <v>1010.9145316760337</v>
      </c>
      <c r="AL81" s="171">
        <f t="shared" si="75"/>
        <v>0</v>
      </c>
      <c r="AM81" s="171">
        <f t="shared" si="76"/>
        <v>0</v>
      </c>
      <c r="AN81" s="175">
        <f t="shared" si="71"/>
        <v>142755</v>
      </c>
      <c r="AP81" s="184">
        <f t="shared" ca="1" si="72"/>
        <v>2095</v>
      </c>
      <c r="AQ81" s="185">
        <f t="shared" si="54"/>
        <v>0.02</v>
      </c>
      <c r="AR81" s="182">
        <f t="shared" si="45"/>
        <v>4.5244610746168004</v>
      </c>
      <c r="AU81" s="184">
        <f t="shared" ca="1" si="73"/>
        <v>2095</v>
      </c>
      <c r="AV81" s="182">
        <f t="shared" si="55"/>
        <v>0.02</v>
      </c>
      <c r="AW81" s="179">
        <f t="shared" si="56"/>
        <v>5.0000000000000001E-3</v>
      </c>
      <c r="AX81" s="182">
        <f t="shared" si="57"/>
        <v>2.5000000000000001E-2</v>
      </c>
      <c r="AY81" s="186"/>
      <c r="AZ81" s="190"/>
      <c r="BA81" s="184">
        <f t="shared" ca="1" si="74"/>
        <v>2095</v>
      </c>
      <c r="BB81" s="171">
        <f t="shared" si="58"/>
        <v>3291.8</v>
      </c>
      <c r="BC81" s="171">
        <f t="shared" si="48"/>
        <v>3118.8786064539959</v>
      </c>
      <c r="BD81" s="171">
        <f t="shared" si="46"/>
        <v>2264.41</v>
      </c>
      <c r="BE81" s="171">
        <f t="shared" si="43"/>
        <v>1010.9145316760337</v>
      </c>
      <c r="BF81" s="171">
        <f t="shared" si="43"/>
        <v>1010.9145316760337</v>
      </c>
      <c r="BG81" s="171">
        <f t="shared" si="43"/>
        <v>1010.9145316760337</v>
      </c>
      <c r="BI81" s="187">
        <f>IF(A81-'Invoer gegevens'!$C$17&lt;0,0,IF(A81-'Invoer gegevens'!$C$17=0,1,IF(A81-'Invoer gegevens'!$C$17&lt;5,2,IF(A81-'Invoer gegevens'!$C$17&lt;15,3,4))))</f>
        <v>0</v>
      </c>
      <c r="BJ81" s="229">
        <f>IF(BI81&lt;1,0,IF(BI81&lt;2,4%,IF(Reeksen!BI81&lt;3,4%,IF(Reeksen!BI81&lt;4,4%*70%,IF(Reeksen!BI81&lt;5,4%*50%)))))</f>
        <v>0</v>
      </c>
      <c r="BK81" s="243"/>
      <c r="BL81" s="243"/>
      <c r="BM81" s="243"/>
      <c r="BN81" s="243"/>
      <c r="BO81" s="243"/>
      <c r="BP81" s="243"/>
      <c r="BQ81" s="243"/>
      <c r="BR81" s="243"/>
    </row>
    <row r="82" spans="1:70" x14ac:dyDescent="0.25">
      <c r="A82" s="184">
        <f t="shared" si="59"/>
        <v>77</v>
      </c>
      <c r="B82" s="179">
        <f>Dashboard!$C$25</f>
        <v>0.05</v>
      </c>
      <c r="C82" s="179">
        <f>Dashboard!$C$25</f>
        <v>0.05</v>
      </c>
      <c r="D82" s="179">
        <f>Dashboard!$C$25</f>
        <v>0.05</v>
      </c>
      <c r="E82" s="189"/>
      <c r="F82" s="184">
        <f t="shared" ca="1" si="60"/>
        <v>2096</v>
      </c>
      <c r="G82" s="179">
        <f t="shared" si="39"/>
        <v>0.02</v>
      </c>
      <c r="H82" s="182">
        <f t="shared" si="61"/>
        <v>4.6194343929241448</v>
      </c>
      <c r="I82" s="179">
        <f t="shared" si="40"/>
        <v>2.5000000000000001E-2</v>
      </c>
      <c r="J82" s="182">
        <f t="shared" si="62"/>
        <v>6.7415011457254526</v>
      </c>
      <c r="K82" s="179">
        <f t="shared" si="41"/>
        <v>2.5000000000000001E-2</v>
      </c>
      <c r="L82" s="182">
        <f t="shared" si="63"/>
        <v>6.7415011457254526</v>
      </c>
      <c r="M82" s="189"/>
      <c r="N82" s="184">
        <f t="shared" ca="1" si="64"/>
        <v>2096</v>
      </c>
      <c r="O82" s="179">
        <f t="shared" si="77"/>
        <v>0.02</v>
      </c>
      <c r="P82" s="182">
        <f t="shared" si="44"/>
        <v>4.6149502961091367</v>
      </c>
      <c r="R82" s="184">
        <f t="shared" ca="1" si="65"/>
        <v>2096</v>
      </c>
      <c r="S82" s="188">
        <f t="shared" si="79"/>
        <v>5.3600000000000002E-3</v>
      </c>
      <c r="U82" s="184">
        <f t="shared" ca="1" si="66"/>
        <v>2096</v>
      </c>
      <c r="V82" s="182">
        <f t="shared" si="49"/>
        <v>0.02</v>
      </c>
      <c r="W82" s="180">
        <f>Parameters!$D$12</f>
        <v>5.0000000000000001E-3</v>
      </c>
      <c r="X82" s="182">
        <f t="shared" si="50"/>
        <v>2.5000000000000001E-2</v>
      </c>
      <c r="Y82" s="182">
        <f t="shared" si="67"/>
        <v>6.7481462938599677</v>
      </c>
      <c r="AA82" s="189"/>
      <c r="AB82" s="184">
        <f t="shared" ca="1" si="68"/>
        <v>2096</v>
      </c>
      <c r="AC82" s="171">
        <f t="shared" si="51"/>
        <v>3374.073146929984</v>
      </c>
      <c r="AD82" s="171">
        <f t="shared" si="47"/>
        <v>1031.1328223095543</v>
      </c>
      <c r="AE82" s="171">
        <f t="shared" si="78"/>
        <v>3181.2561785830758</v>
      </c>
      <c r="AF82" s="171">
        <f t="shared" si="69"/>
        <v>1031.1328223095543</v>
      </c>
      <c r="AG82" s="171">
        <f t="shared" si="80"/>
        <v>2309.6999999999998</v>
      </c>
      <c r="AH82" s="171">
        <f t="shared" si="52"/>
        <v>2309.6999999999998</v>
      </c>
      <c r="AI82" s="171">
        <f t="shared" si="53"/>
        <v>1031.1328223095543</v>
      </c>
      <c r="AJ82" s="171">
        <f>IF('Invoer gegevens'!$I$27="DAEB",SMALL(AC82:AD82,1),AC82)</f>
        <v>1031.1328223095543</v>
      </c>
      <c r="AK82" s="171">
        <f>IF('Invoer gegevens'!$I$27="DAEB",SMALL((AE82:AH82),1),SMALL((AF82:AH82),1))</f>
        <v>1031.1328223095543</v>
      </c>
      <c r="AL82" s="171">
        <f t="shared" si="75"/>
        <v>0</v>
      </c>
      <c r="AM82" s="171">
        <f t="shared" si="76"/>
        <v>0</v>
      </c>
      <c r="AN82" s="175">
        <f t="shared" si="71"/>
        <v>145610</v>
      </c>
      <c r="AP82" s="184">
        <f t="shared" ca="1" si="72"/>
        <v>2096</v>
      </c>
      <c r="AQ82" s="185">
        <f t="shared" si="54"/>
        <v>0.02</v>
      </c>
      <c r="AR82" s="182">
        <f t="shared" si="45"/>
        <v>4.6149502961091367</v>
      </c>
      <c r="AU82" s="184">
        <f t="shared" ca="1" si="73"/>
        <v>2096</v>
      </c>
      <c r="AV82" s="182">
        <f t="shared" si="55"/>
        <v>0.02</v>
      </c>
      <c r="AW82" s="179">
        <f t="shared" si="56"/>
        <v>5.0000000000000001E-3</v>
      </c>
      <c r="AX82" s="182">
        <f t="shared" si="57"/>
        <v>2.5000000000000001E-2</v>
      </c>
      <c r="AY82" s="186"/>
      <c r="AZ82" s="190"/>
      <c r="BA82" s="184">
        <f t="shared" ca="1" si="74"/>
        <v>2096</v>
      </c>
      <c r="BB82" s="171">
        <f t="shared" si="58"/>
        <v>3374.1</v>
      </c>
      <c r="BC82" s="171">
        <f t="shared" si="48"/>
        <v>3181.2561785830758</v>
      </c>
      <c r="BD82" s="171">
        <f t="shared" si="46"/>
        <v>2309.6999999999998</v>
      </c>
      <c r="BE82" s="171">
        <f t="shared" si="43"/>
        <v>1031.1328223095543</v>
      </c>
      <c r="BF82" s="171">
        <f t="shared" si="43"/>
        <v>1031.1328223095543</v>
      </c>
      <c r="BG82" s="171">
        <f t="shared" si="43"/>
        <v>1031.1328223095543</v>
      </c>
      <c r="BI82" s="187">
        <f>IF(A82-'Invoer gegevens'!$C$17&lt;0,0,IF(A82-'Invoer gegevens'!$C$17=0,1,IF(A82-'Invoer gegevens'!$C$17&lt;5,2,IF(A82-'Invoer gegevens'!$C$17&lt;15,3,4))))</f>
        <v>0</v>
      </c>
      <c r="BJ82" s="229">
        <f>IF(BI82&lt;1,0,IF(BI82&lt;2,4%,IF(Reeksen!BI82&lt;3,4%,IF(Reeksen!BI82&lt;4,4%*70%,IF(Reeksen!BI82&lt;5,4%*50%)))))</f>
        <v>0</v>
      </c>
      <c r="BK82" s="243"/>
      <c r="BL82" s="243"/>
      <c r="BM82" s="243"/>
      <c r="BN82" s="243"/>
      <c r="BO82" s="243"/>
      <c r="BP82" s="243"/>
      <c r="BQ82" s="243"/>
      <c r="BR82" s="243"/>
    </row>
    <row r="83" spans="1:70" x14ac:dyDescent="0.25">
      <c r="A83" s="184">
        <f t="shared" si="59"/>
        <v>78</v>
      </c>
      <c r="B83" s="179">
        <f>Dashboard!$C$25</f>
        <v>0.05</v>
      </c>
      <c r="C83" s="179">
        <f>Dashboard!$C$25</f>
        <v>0.05</v>
      </c>
      <c r="D83" s="179">
        <f>Dashboard!$C$25</f>
        <v>0.05</v>
      </c>
      <c r="E83" s="189"/>
      <c r="F83" s="184">
        <f t="shared" ca="1" si="60"/>
        <v>2097</v>
      </c>
      <c r="G83" s="179">
        <f t="shared" si="39"/>
        <v>0.02</v>
      </c>
      <c r="H83" s="182">
        <f t="shared" si="61"/>
        <v>4.7118230807826276</v>
      </c>
      <c r="I83" s="179">
        <f t="shared" si="40"/>
        <v>2.5000000000000001E-2</v>
      </c>
      <c r="J83" s="182">
        <f t="shared" si="62"/>
        <v>6.9100386743685887</v>
      </c>
      <c r="K83" s="179">
        <f t="shared" si="41"/>
        <v>2.5000000000000001E-2</v>
      </c>
      <c r="L83" s="182">
        <f t="shared" si="63"/>
        <v>6.9100386743685887</v>
      </c>
      <c r="M83" s="189"/>
      <c r="N83" s="184">
        <f t="shared" ca="1" si="64"/>
        <v>2097</v>
      </c>
      <c r="O83" s="179">
        <f t="shared" si="77"/>
        <v>0.02</v>
      </c>
      <c r="P83" s="182">
        <f t="shared" si="44"/>
        <v>4.7072493020313191</v>
      </c>
      <c r="R83" s="184">
        <f t="shared" ca="1" si="65"/>
        <v>2097</v>
      </c>
      <c r="S83" s="188">
        <f t="shared" si="79"/>
        <v>5.3600000000000002E-3</v>
      </c>
      <c r="U83" s="184">
        <f t="shared" ca="1" si="66"/>
        <v>2097</v>
      </c>
      <c r="V83" s="182">
        <f t="shared" si="49"/>
        <v>0.02</v>
      </c>
      <c r="W83" s="180">
        <f>Parameters!$D$12</f>
        <v>5.0000000000000001E-3</v>
      </c>
      <c r="X83" s="182">
        <f t="shared" si="50"/>
        <v>2.5000000000000001E-2</v>
      </c>
      <c r="Y83" s="182">
        <f t="shared" si="67"/>
        <v>6.9168499512064665</v>
      </c>
      <c r="AA83" s="189"/>
      <c r="AB83" s="184">
        <f t="shared" ca="1" si="68"/>
        <v>2097</v>
      </c>
      <c r="AC83" s="171">
        <f t="shared" si="51"/>
        <v>3458.4249756032332</v>
      </c>
      <c r="AD83" s="171">
        <f t="shared" si="47"/>
        <v>1051.7554787557453</v>
      </c>
      <c r="AE83" s="171">
        <f t="shared" si="78"/>
        <v>3244.8813021547376</v>
      </c>
      <c r="AF83" s="171">
        <f t="shared" si="69"/>
        <v>1051.7554787557453</v>
      </c>
      <c r="AG83" s="171">
        <f t="shared" si="80"/>
        <v>2355.89</v>
      </c>
      <c r="AH83" s="171">
        <f t="shared" si="52"/>
        <v>2355.89</v>
      </c>
      <c r="AI83" s="171">
        <f t="shared" si="53"/>
        <v>1051.7554787557453</v>
      </c>
      <c r="AJ83" s="171">
        <f>IF('Invoer gegevens'!$I$27="DAEB",SMALL(AC83:AD83,1),AC83)</f>
        <v>1051.7554787557453</v>
      </c>
      <c r="AK83" s="171">
        <f>IF('Invoer gegevens'!$I$27="DAEB",SMALL((AE83:AH83),1),SMALL((AF83:AH83),1))</f>
        <v>1051.7554787557453</v>
      </c>
      <c r="AL83" s="171">
        <f t="shared" si="75"/>
        <v>0</v>
      </c>
      <c r="AM83" s="171">
        <f t="shared" si="76"/>
        <v>0</v>
      </c>
      <c r="AN83" s="175">
        <f t="shared" si="71"/>
        <v>148522</v>
      </c>
      <c r="AP83" s="184">
        <f t="shared" ca="1" si="72"/>
        <v>2097</v>
      </c>
      <c r="AQ83" s="185">
        <f t="shared" si="54"/>
        <v>0.02</v>
      </c>
      <c r="AR83" s="182">
        <f t="shared" si="45"/>
        <v>4.7072493020313191</v>
      </c>
      <c r="AU83" s="184">
        <f t="shared" ca="1" si="73"/>
        <v>2097</v>
      </c>
      <c r="AV83" s="182">
        <f t="shared" si="55"/>
        <v>0.02</v>
      </c>
      <c r="AW83" s="179">
        <f t="shared" si="56"/>
        <v>5.0000000000000001E-3</v>
      </c>
      <c r="AX83" s="182">
        <f t="shared" si="57"/>
        <v>2.5000000000000001E-2</v>
      </c>
      <c r="AY83" s="186"/>
      <c r="AZ83" s="190"/>
      <c r="BA83" s="184">
        <f t="shared" ca="1" si="74"/>
        <v>2097</v>
      </c>
      <c r="BB83" s="171">
        <f t="shared" si="58"/>
        <v>3458.45</v>
      </c>
      <c r="BC83" s="171">
        <f t="shared" si="48"/>
        <v>3244.8813021547376</v>
      </c>
      <c r="BD83" s="171">
        <f t="shared" si="46"/>
        <v>2355.89</v>
      </c>
      <c r="BE83" s="171">
        <f t="shared" si="43"/>
        <v>1051.7554787557453</v>
      </c>
      <c r="BF83" s="171">
        <f t="shared" si="43"/>
        <v>1051.7554787557453</v>
      </c>
      <c r="BG83" s="171">
        <f t="shared" si="43"/>
        <v>1051.7554787557453</v>
      </c>
      <c r="BI83" s="187">
        <f>IF(A83-'Invoer gegevens'!$C$17&lt;0,0,IF(A83-'Invoer gegevens'!$C$17=0,1,IF(A83-'Invoer gegevens'!$C$17&lt;5,2,IF(A83-'Invoer gegevens'!$C$17&lt;15,3,4))))</f>
        <v>0</v>
      </c>
      <c r="BJ83" s="229">
        <f>IF(BI83&lt;1,0,IF(BI83&lt;2,4%,IF(Reeksen!BI83&lt;3,4%,IF(Reeksen!BI83&lt;4,4%*70%,IF(Reeksen!BI83&lt;5,4%*50%)))))</f>
        <v>0</v>
      </c>
      <c r="BK83" s="243"/>
      <c r="BL83" s="243"/>
      <c r="BM83" s="243"/>
      <c r="BN83" s="243"/>
      <c r="BO83" s="243"/>
      <c r="BP83" s="243"/>
      <c r="BQ83" s="243"/>
      <c r="BR83" s="243"/>
    </row>
    <row r="84" spans="1:70" x14ac:dyDescent="0.25">
      <c r="A84" s="184">
        <f t="shared" si="59"/>
        <v>79</v>
      </c>
      <c r="B84" s="179">
        <f>Dashboard!$C$25</f>
        <v>0.05</v>
      </c>
      <c r="C84" s="179">
        <f>Dashboard!$C$25</f>
        <v>0.05</v>
      </c>
      <c r="D84" s="179">
        <f>Dashboard!$C$25</f>
        <v>0.05</v>
      </c>
      <c r="E84" s="189"/>
      <c r="F84" s="184">
        <f t="shared" ca="1" si="60"/>
        <v>2098</v>
      </c>
      <c r="G84" s="179">
        <f t="shared" si="39"/>
        <v>0.02</v>
      </c>
      <c r="H84" s="182">
        <f t="shared" si="61"/>
        <v>4.8060595423982804</v>
      </c>
      <c r="I84" s="179">
        <f t="shared" si="40"/>
        <v>2.5000000000000001E-2</v>
      </c>
      <c r="J84" s="182">
        <f t="shared" si="62"/>
        <v>7.0827896412278024</v>
      </c>
      <c r="K84" s="179">
        <f t="shared" si="41"/>
        <v>2.5000000000000001E-2</v>
      </c>
      <c r="L84" s="182">
        <f t="shared" si="63"/>
        <v>7.0827896412278024</v>
      </c>
      <c r="M84" s="189"/>
      <c r="N84" s="184">
        <f t="shared" ca="1" si="64"/>
        <v>2098</v>
      </c>
      <c r="O84" s="179">
        <f t="shared" si="77"/>
        <v>0.02</v>
      </c>
      <c r="P84" s="182">
        <f t="shared" si="44"/>
        <v>4.8013942880719451</v>
      </c>
      <c r="R84" s="184">
        <f t="shared" ca="1" si="65"/>
        <v>2098</v>
      </c>
      <c r="S84" s="188">
        <f t="shared" si="79"/>
        <v>5.3600000000000002E-3</v>
      </c>
      <c r="U84" s="184">
        <f t="shared" ca="1" si="66"/>
        <v>2098</v>
      </c>
      <c r="V84" s="182">
        <f t="shared" si="49"/>
        <v>0.02</v>
      </c>
      <c r="W84" s="180">
        <f>Parameters!$D$12</f>
        <v>5.0000000000000001E-3</v>
      </c>
      <c r="X84" s="182">
        <f t="shared" si="50"/>
        <v>2.5000000000000001E-2</v>
      </c>
      <c r="Y84" s="182">
        <f t="shared" si="67"/>
        <v>7.089771199986628</v>
      </c>
      <c r="AA84" s="189"/>
      <c r="AB84" s="184">
        <f t="shared" ca="1" si="68"/>
        <v>2098</v>
      </c>
      <c r="AC84" s="171">
        <f t="shared" si="51"/>
        <v>3544.8855999933139</v>
      </c>
      <c r="AD84" s="171">
        <f t="shared" si="47"/>
        <v>1072.7905883308604</v>
      </c>
      <c r="AE84" s="171">
        <f t="shared" si="78"/>
        <v>3309.7789281978326</v>
      </c>
      <c r="AF84" s="171">
        <f t="shared" si="69"/>
        <v>1072.7905883308604</v>
      </c>
      <c r="AG84" s="171">
        <f t="shared" si="80"/>
        <v>2403.0100000000002</v>
      </c>
      <c r="AH84" s="171">
        <f t="shared" si="52"/>
        <v>2403.0100000000002</v>
      </c>
      <c r="AI84" s="171">
        <f t="shared" si="53"/>
        <v>1072.7905883308604</v>
      </c>
      <c r="AJ84" s="171">
        <f>IF('Invoer gegevens'!$I$27="DAEB",SMALL(AC84:AD84,1),AC84)</f>
        <v>1072.7905883308604</v>
      </c>
      <c r="AK84" s="171">
        <f>IF('Invoer gegevens'!$I$27="DAEB",SMALL((AE84:AH84),1),SMALL((AF84:AH84),1))</f>
        <v>1072.7905883308604</v>
      </c>
      <c r="AL84" s="171">
        <f t="shared" si="75"/>
        <v>0</v>
      </c>
      <c r="AM84" s="171">
        <f t="shared" si="76"/>
        <v>0</v>
      </c>
      <c r="AN84" s="175">
        <f t="shared" si="71"/>
        <v>151492</v>
      </c>
      <c r="AP84" s="184">
        <f t="shared" ca="1" si="72"/>
        <v>2098</v>
      </c>
      <c r="AQ84" s="185">
        <f t="shared" si="54"/>
        <v>0.02</v>
      </c>
      <c r="AR84" s="182">
        <f t="shared" si="45"/>
        <v>4.8013942880719451</v>
      </c>
      <c r="AU84" s="184">
        <f t="shared" ca="1" si="73"/>
        <v>2098</v>
      </c>
      <c r="AV84" s="182">
        <f t="shared" si="55"/>
        <v>0.02</v>
      </c>
      <c r="AW84" s="179">
        <f t="shared" si="56"/>
        <v>5.0000000000000001E-3</v>
      </c>
      <c r="AX84" s="182">
        <f t="shared" si="57"/>
        <v>2.5000000000000001E-2</v>
      </c>
      <c r="AY84" s="186"/>
      <c r="AZ84" s="190"/>
      <c r="BA84" s="184">
        <f t="shared" ca="1" si="74"/>
        <v>2098</v>
      </c>
      <c r="BB84" s="171">
        <f t="shared" si="58"/>
        <v>3544.91</v>
      </c>
      <c r="BC84" s="171">
        <f t="shared" si="48"/>
        <v>3309.7789281978326</v>
      </c>
      <c r="BD84" s="171">
        <f t="shared" si="46"/>
        <v>2403.0100000000002</v>
      </c>
      <c r="BE84" s="171">
        <f t="shared" si="43"/>
        <v>1072.7905883308604</v>
      </c>
      <c r="BF84" s="171">
        <f t="shared" si="43"/>
        <v>1072.7905883308604</v>
      </c>
      <c r="BG84" s="171">
        <f t="shared" si="43"/>
        <v>1072.7905883308604</v>
      </c>
      <c r="BI84" s="187">
        <f>IF(A84-'Invoer gegevens'!$C$17&lt;0,0,IF(A84-'Invoer gegevens'!$C$17=0,1,IF(A84-'Invoer gegevens'!$C$17&lt;5,2,IF(A84-'Invoer gegevens'!$C$17&lt;15,3,4))))</f>
        <v>0</v>
      </c>
      <c r="BJ84" s="229">
        <f>IF(BI84&lt;1,0,IF(BI84&lt;2,4%,IF(Reeksen!BI84&lt;3,4%,IF(Reeksen!BI84&lt;4,4%*70%,IF(Reeksen!BI84&lt;5,4%*50%)))))</f>
        <v>0</v>
      </c>
      <c r="BK84" s="243"/>
      <c r="BL84" s="243"/>
      <c r="BM84" s="243"/>
      <c r="BN84" s="243"/>
      <c r="BO84" s="243"/>
      <c r="BP84" s="243"/>
      <c r="BQ84" s="243"/>
      <c r="BR84" s="243"/>
    </row>
    <row r="85" spans="1:70" x14ac:dyDescent="0.25">
      <c r="A85" s="184">
        <f t="shared" si="59"/>
        <v>80</v>
      </c>
      <c r="B85" s="179">
        <f>Dashboard!$C$25</f>
        <v>0.05</v>
      </c>
      <c r="C85" s="179">
        <f>Dashboard!$C$25</f>
        <v>0.05</v>
      </c>
      <c r="D85" s="179">
        <f>Dashboard!$C$25</f>
        <v>0.05</v>
      </c>
      <c r="E85" s="189"/>
      <c r="F85" s="184">
        <f t="shared" ca="1" si="60"/>
        <v>2099</v>
      </c>
      <c r="G85" s="179">
        <f t="shared" si="39"/>
        <v>0.02</v>
      </c>
      <c r="H85" s="182">
        <f t="shared" si="61"/>
        <v>4.9021807332462464</v>
      </c>
      <c r="I85" s="179">
        <f t="shared" si="40"/>
        <v>2.5000000000000001E-2</v>
      </c>
      <c r="J85" s="182">
        <f t="shared" si="62"/>
        <v>7.2598593822584965</v>
      </c>
      <c r="K85" s="179">
        <f t="shared" si="41"/>
        <v>2.5000000000000001E-2</v>
      </c>
      <c r="L85" s="182">
        <f t="shared" si="63"/>
        <v>7.2598593822584965</v>
      </c>
      <c r="M85" s="189"/>
      <c r="N85" s="184">
        <f t="shared" ca="1" si="64"/>
        <v>2099</v>
      </c>
      <c r="O85" s="179">
        <f t="shared" si="77"/>
        <v>0.02</v>
      </c>
      <c r="P85" s="182">
        <f t="shared" si="44"/>
        <v>4.8974221738333839</v>
      </c>
      <c r="R85" s="184">
        <f t="shared" ca="1" si="65"/>
        <v>2099</v>
      </c>
      <c r="S85" s="188">
        <f t="shared" si="79"/>
        <v>5.3600000000000002E-3</v>
      </c>
      <c r="U85" s="184">
        <f t="shared" ca="1" si="66"/>
        <v>2099</v>
      </c>
      <c r="V85" s="182">
        <f t="shared" si="49"/>
        <v>0.02</v>
      </c>
      <c r="W85" s="180">
        <f>Parameters!$D$12</f>
        <v>5.0000000000000001E-3</v>
      </c>
      <c r="X85" s="182">
        <f t="shared" si="50"/>
        <v>2.5000000000000001E-2</v>
      </c>
      <c r="Y85" s="182">
        <f t="shared" si="67"/>
        <v>7.2670154799862932</v>
      </c>
      <c r="AA85" s="189"/>
      <c r="AB85" s="184">
        <f t="shared" ca="1" si="68"/>
        <v>2099</v>
      </c>
      <c r="AC85" s="171">
        <f t="shared" si="51"/>
        <v>3633.5077399931465</v>
      </c>
      <c r="AD85" s="171">
        <f t="shared" si="47"/>
        <v>1094.2464000974776</v>
      </c>
      <c r="AE85" s="171">
        <f t="shared" si="78"/>
        <v>3375.9745067617891</v>
      </c>
      <c r="AF85" s="171">
        <f t="shared" si="69"/>
        <v>1094.2464000974776</v>
      </c>
      <c r="AG85" s="171">
        <f t="shared" si="80"/>
        <v>2451.0700000000002</v>
      </c>
      <c r="AH85" s="171">
        <f t="shared" si="52"/>
        <v>2451.0700000000002</v>
      </c>
      <c r="AI85" s="171">
        <f t="shared" si="53"/>
        <v>1094.2464000974776</v>
      </c>
      <c r="AJ85" s="171">
        <f>IF('Invoer gegevens'!$I$27="DAEB",SMALL(AC85:AD85,1),AC85)</f>
        <v>1094.2464000974776</v>
      </c>
      <c r="AK85" s="171">
        <f>IF('Invoer gegevens'!$I$27="DAEB",SMALL((AE85:AH85),1),SMALL((AF85:AH85),1))</f>
        <v>1094.2464000974776</v>
      </c>
      <c r="AL85" s="171">
        <f t="shared" si="75"/>
        <v>0</v>
      </c>
      <c r="AM85" s="171">
        <f t="shared" si="76"/>
        <v>0</v>
      </c>
      <c r="AN85" s="175">
        <f t="shared" si="71"/>
        <v>154522</v>
      </c>
      <c r="AP85" s="184">
        <f t="shared" ca="1" si="72"/>
        <v>2099</v>
      </c>
      <c r="AQ85" s="185">
        <f t="shared" si="54"/>
        <v>0.02</v>
      </c>
      <c r="AR85" s="182">
        <f t="shared" si="45"/>
        <v>4.8974221738333839</v>
      </c>
      <c r="AU85" s="184">
        <f t="shared" ca="1" si="73"/>
        <v>2099</v>
      </c>
      <c r="AV85" s="182">
        <f t="shared" si="55"/>
        <v>0.02</v>
      </c>
      <c r="AW85" s="179">
        <f t="shared" si="56"/>
        <v>5.0000000000000001E-3</v>
      </c>
      <c r="AX85" s="182">
        <f t="shared" si="57"/>
        <v>2.5000000000000001E-2</v>
      </c>
      <c r="AY85" s="186"/>
      <c r="AZ85" s="190"/>
      <c r="BA85" s="184">
        <f t="shared" ca="1" si="74"/>
        <v>2099</v>
      </c>
      <c r="BB85" s="171">
        <f t="shared" si="58"/>
        <v>3633.53</v>
      </c>
      <c r="BC85" s="171">
        <f t="shared" si="48"/>
        <v>3375.9745067617891</v>
      </c>
      <c r="BD85" s="171">
        <f t="shared" si="46"/>
        <v>2451.0700000000002</v>
      </c>
      <c r="BE85" s="171">
        <f t="shared" si="43"/>
        <v>1094.2464000974776</v>
      </c>
      <c r="BF85" s="171">
        <f t="shared" si="43"/>
        <v>1094.2464000974776</v>
      </c>
      <c r="BG85" s="171">
        <f t="shared" si="43"/>
        <v>1094.2464000974776</v>
      </c>
      <c r="BI85" s="187">
        <f>IF(A85-'Invoer gegevens'!$C$17&lt;0,0,IF(A85-'Invoer gegevens'!$C$17=0,1,IF(A85-'Invoer gegevens'!$C$17&lt;5,2,IF(A85-'Invoer gegevens'!$C$17&lt;15,3,4))))</f>
        <v>0</v>
      </c>
      <c r="BJ85" s="229">
        <f>IF(BI85&lt;1,0,IF(BI85&lt;2,4%,IF(Reeksen!BI85&lt;3,4%,IF(Reeksen!BI85&lt;4,4%*70%,IF(Reeksen!BI85&lt;5,4%*50%)))))</f>
        <v>0</v>
      </c>
      <c r="BK85" s="243"/>
      <c r="BL85" s="243"/>
      <c r="BM85" s="243"/>
      <c r="BN85" s="243"/>
      <c r="BO85" s="243"/>
      <c r="BP85" s="243"/>
      <c r="BQ85" s="243"/>
      <c r="BR85" s="243"/>
    </row>
    <row r="86" spans="1:70" x14ac:dyDescent="0.25">
      <c r="A86" s="184">
        <f t="shared" si="59"/>
        <v>81</v>
      </c>
      <c r="B86" s="179">
        <f>Dashboard!$C$25</f>
        <v>0.05</v>
      </c>
      <c r="C86" s="179">
        <f>Dashboard!$C$25</f>
        <v>0.05</v>
      </c>
      <c r="D86" s="179">
        <f>Dashboard!$C$25</f>
        <v>0.05</v>
      </c>
      <c r="E86" s="189"/>
      <c r="F86" s="184">
        <f t="shared" ca="1" si="60"/>
        <v>2100</v>
      </c>
      <c r="G86" s="179">
        <f t="shared" si="39"/>
        <v>0.02</v>
      </c>
      <c r="H86" s="182">
        <f t="shared" si="61"/>
        <v>5.0002243479111712</v>
      </c>
      <c r="I86" s="179">
        <f t="shared" si="40"/>
        <v>2.5000000000000001E-2</v>
      </c>
      <c r="J86" s="182">
        <f t="shared" si="62"/>
        <v>7.4413558668149582</v>
      </c>
      <c r="K86" s="179">
        <f t="shared" si="41"/>
        <v>2.5000000000000001E-2</v>
      </c>
      <c r="L86" s="182">
        <f t="shared" si="63"/>
        <v>7.4413558668149582</v>
      </c>
      <c r="M86" s="189"/>
      <c r="N86" s="184">
        <f t="shared" ca="1" si="64"/>
        <v>2100</v>
      </c>
      <c r="O86" s="179">
        <f t="shared" si="77"/>
        <v>0.02</v>
      </c>
      <c r="P86" s="182">
        <f t="shared" si="44"/>
        <v>4.9953706173100514</v>
      </c>
      <c r="R86" s="184">
        <f t="shared" ca="1" si="65"/>
        <v>2100</v>
      </c>
      <c r="S86" s="188">
        <f t="shared" si="79"/>
        <v>5.3600000000000002E-3</v>
      </c>
      <c r="U86" s="184">
        <f t="shared" ca="1" si="66"/>
        <v>2100</v>
      </c>
      <c r="V86" s="182">
        <f t="shared" si="49"/>
        <v>0.02</v>
      </c>
      <c r="W86" s="180">
        <f>Parameters!$D$12</f>
        <v>5.0000000000000001E-3</v>
      </c>
      <c r="X86" s="182">
        <f t="shared" si="50"/>
        <v>2.5000000000000001E-2</v>
      </c>
      <c r="Y86" s="182">
        <f t="shared" si="67"/>
        <v>7.4486908669859497</v>
      </c>
      <c r="AA86" s="189"/>
      <c r="AB86" s="184">
        <f t="shared" ca="1" si="68"/>
        <v>2100</v>
      </c>
      <c r="AC86" s="171">
        <f t="shared" si="51"/>
        <v>3724.3454334929747</v>
      </c>
      <c r="AD86" s="171">
        <f t="shared" si="47"/>
        <v>1116.131328099427</v>
      </c>
      <c r="AE86" s="171">
        <f t="shared" si="78"/>
        <v>3443.4939968970248</v>
      </c>
      <c r="AF86" s="171">
        <f t="shared" si="69"/>
        <v>1116.131328099427</v>
      </c>
      <c r="AG86" s="171">
        <f t="shared" si="80"/>
        <v>2500.09</v>
      </c>
      <c r="AH86" s="171">
        <f t="shared" si="52"/>
        <v>2500.09</v>
      </c>
      <c r="AI86" s="171">
        <f t="shared" si="53"/>
        <v>1116.131328099427</v>
      </c>
      <c r="AJ86" s="171">
        <f>IF('Invoer gegevens'!$I$27="DAEB",SMALL(AC86:AD86,1),AC86)</f>
        <v>1116.131328099427</v>
      </c>
      <c r="AK86" s="171">
        <f>IF('Invoer gegevens'!$I$27="DAEB",SMALL((AE86:AH86),1),SMALL((AF86:AH86),1))</f>
        <v>1116.131328099427</v>
      </c>
      <c r="AL86" s="171">
        <f t="shared" si="75"/>
        <v>0</v>
      </c>
      <c r="AM86" s="171">
        <f t="shared" si="76"/>
        <v>0</v>
      </c>
      <c r="AN86" s="175">
        <f t="shared" si="71"/>
        <v>157612</v>
      </c>
      <c r="AP86" s="184">
        <f t="shared" ca="1" si="72"/>
        <v>2100</v>
      </c>
      <c r="AQ86" s="185">
        <f t="shared" si="54"/>
        <v>0.02</v>
      </c>
      <c r="AR86" s="182">
        <f t="shared" si="45"/>
        <v>4.9953706173100514</v>
      </c>
      <c r="AU86" s="184">
        <f t="shared" ca="1" si="73"/>
        <v>2100</v>
      </c>
      <c r="AV86" s="182">
        <f t="shared" si="55"/>
        <v>0.02</v>
      </c>
      <c r="AW86" s="179">
        <f t="shared" si="56"/>
        <v>5.0000000000000001E-3</v>
      </c>
      <c r="AX86" s="182">
        <f t="shared" si="57"/>
        <v>2.5000000000000001E-2</v>
      </c>
      <c r="AY86" s="186"/>
      <c r="AZ86" s="190"/>
      <c r="BA86" s="184">
        <f t="shared" ca="1" si="74"/>
        <v>2100</v>
      </c>
      <c r="BB86" s="171">
        <f t="shared" si="58"/>
        <v>3724.37</v>
      </c>
      <c r="BC86" s="171">
        <f t="shared" si="48"/>
        <v>3443.4939968970248</v>
      </c>
      <c r="BD86" s="171">
        <f t="shared" si="46"/>
        <v>2500.09</v>
      </c>
      <c r="BE86" s="171">
        <f t="shared" si="43"/>
        <v>1116.131328099427</v>
      </c>
      <c r="BF86" s="171">
        <f t="shared" si="43"/>
        <v>1116.131328099427</v>
      </c>
      <c r="BG86" s="171">
        <f t="shared" si="43"/>
        <v>1116.131328099427</v>
      </c>
      <c r="BI86" s="187">
        <f>IF(A86-'Invoer gegevens'!$C$17&lt;0,0,IF(A86-'Invoer gegevens'!$C$17=0,1,IF(A86-'Invoer gegevens'!$C$17&lt;5,2,IF(A86-'Invoer gegevens'!$C$17&lt;15,3,4))))</f>
        <v>0</v>
      </c>
      <c r="BJ86" s="229">
        <f>IF(BI86&lt;1,0,IF(BI86&lt;2,4%,IF(Reeksen!BI86&lt;3,4%,IF(Reeksen!BI86&lt;4,4%*70%,IF(Reeksen!BI86&lt;5,4%*50%)))))</f>
        <v>0</v>
      </c>
      <c r="BK86" s="243"/>
      <c r="BL86" s="243"/>
      <c r="BM86" s="243"/>
      <c r="BN86" s="243"/>
      <c r="BO86" s="243"/>
      <c r="BP86" s="243"/>
      <c r="BQ86" s="243"/>
      <c r="BR86" s="243"/>
    </row>
    <row r="87" spans="1:70" x14ac:dyDescent="0.25">
      <c r="A87" s="184">
        <f t="shared" si="59"/>
        <v>82</v>
      </c>
      <c r="B87" s="179">
        <f>Dashboard!$C$25</f>
        <v>0.05</v>
      </c>
      <c r="C87" s="179">
        <f>Dashboard!$C$25</f>
        <v>0.05</v>
      </c>
      <c r="D87" s="179">
        <f>Dashboard!$C$25</f>
        <v>0.05</v>
      </c>
      <c r="E87" s="189"/>
      <c r="F87" s="184">
        <f t="shared" ca="1" si="60"/>
        <v>2101</v>
      </c>
      <c r="G87" s="179">
        <f t="shared" si="39"/>
        <v>0.02</v>
      </c>
      <c r="H87" s="182">
        <f t="shared" si="61"/>
        <v>5.1002288348693945</v>
      </c>
      <c r="I87" s="179">
        <f t="shared" si="40"/>
        <v>2.5000000000000001E-2</v>
      </c>
      <c r="J87" s="182">
        <f t="shared" si="62"/>
        <v>7.6273897634853318</v>
      </c>
      <c r="K87" s="179">
        <f t="shared" si="41"/>
        <v>2.5000000000000001E-2</v>
      </c>
      <c r="L87" s="182">
        <f t="shared" si="63"/>
        <v>7.6273897634853318</v>
      </c>
      <c r="M87" s="189"/>
      <c r="N87" s="184">
        <f t="shared" ca="1" si="64"/>
        <v>2101</v>
      </c>
      <c r="O87" s="179">
        <f t="shared" si="77"/>
        <v>0.02</v>
      </c>
      <c r="P87" s="182">
        <f t="shared" si="44"/>
        <v>5.0952780296562521</v>
      </c>
      <c r="R87" s="184">
        <f t="shared" ca="1" si="65"/>
        <v>2101</v>
      </c>
      <c r="S87" s="188">
        <f t="shared" si="79"/>
        <v>5.3600000000000002E-3</v>
      </c>
      <c r="U87" s="184">
        <f t="shared" ca="1" si="66"/>
        <v>2101</v>
      </c>
      <c r="V87" s="182">
        <f t="shared" si="49"/>
        <v>0.02</v>
      </c>
      <c r="W87" s="180">
        <f>Parameters!$D$12</f>
        <v>5.0000000000000001E-3</v>
      </c>
      <c r="X87" s="182">
        <f t="shared" si="50"/>
        <v>2.5000000000000001E-2</v>
      </c>
      <c r="Y87" s="182">
        <f t="shared" si="67"/>
        <v>7.6349081386605979</v>
      </c>
      <c r="AA87" s="189"/>
      <c r="AB87" s="184">
        <f t="shared" ca="1" si="68"/>
        <v>2101</v>
      </c>
      <c r="AC87" s="171">
        <f t="shared" si="51"/>
        <v>3817.4540693302988</v>
      </c>
      <c r="AD87" s="171">
        <f t="shared" si="47"/>
        <v>1138.4539546614155</v>
      </c>
      <c r="AE87" s="171">
        <f t="shared" si="78"/>
        <v>3512.3638768349651</v>
      </c>
      <c r="AF87" s="171">
        <f t="shared" si="69"/>
        <v>1138.4539546614155</v>
      </c>
      <c r="AG87" s="171">
        <f t="shared" si="80"/>
        <v>2550.09</v>
      </c>
      <c r="AH87" s="171">
        <f t="shared" si="52"/>
        <v>2550.09</v>
      </c>
      <c r="AI87" s="171">
        <f t="shared" si="53"/>
        <v>1138.4539546614155</v>
      </c>
      <c r="AJ87" s="171">
        <f>IF('Invoer gegevens'!$I$27="DAEB",SMALL(AC87:AD87,1),AC87)</f>
        <v>1138.4539546614155</v>
      </c>
      <c r="AK87" s="171">
        <f>IF('Invoer gegevens'!$I$27="DAEB",SMALL((AE87:AH87),1),SMALL((AF87:AH87),1))</f>
        <v>1138.4539546614155</v>
      </c>
      <c r="AL87" s="171">
        <f t="shared" si="75"/>
        <v>0</v>
      </c>
      <c r="AM87" s="171">
        <f t="shared" si="76"/>
        <v>0</v>
      </c>
      <c r="AN87" s="175">
        <f t="shared" si="71"/>
        <v>160764</v>
      </c>
      <c r="AP87" s="184">
        <f t="shared" ca="1" si="72"/>
        <v>2101</v>
      </c>
      <c r="AQ87" s="185">
        <f t="shared" si="54"/>
        <v>0.02</v>
      </c>
      <c r="AR87" s="182">
        <f t="shared" si="45"/>
        <v>5.0952780296562521</v>
      </c>
      <c r="AU87" s="184">
        <f t="shared" ca="1" si="73"/>
        <v>2101</v>
      </c>
      <c r="AV87" s="182">
        <f t="shared" si="55"/>
        <v>0.02</v>
      </c>
      <c r="AW87" s="179">
        <f t="shared" si="56"/>
        <v>5.0000000000000001E-3</v>
      </c>
      <c r="AX87" s="182">
        <f t="shared" si="57"/>
        <v>2.5000000000000001E-2</v>
      </c>
      <c r="AY87" s="186"/>
      <c r="AZ87" s="190"/>
      <c r="BA87" s="184">
        <f t="shared" ca="1" si="74"/>
        <v>2101</v>
      </c>
      <c r="BB87" s="171">
        <f t="shared" si="58"/>
        <v>3817.48</v>
      </c>
      <c r="BC87" s="171">
        <f t="shared" si="48"/>
        <v>3512.3638768349651</v>
      </c>
      <c r="BD87" s="171">
        <f t="shared" si="46"/>
        <v>2550.09</v>
      </c>
      <c r="BE87" s="171">
        <f t="shared" si="43"/>
        <v>1138.4539546614155</v>
      </c>
      <c r="BF87" s="171">
        <f t="shared" si="43"/>
        <v>1138.4539546614155</v>
      </c>
      <c r="BG87" s="171">
        <f t="shared" si="43"/>
        <v>1138.4539546614155</v>
      </c>
      <c r="BI87" s="187">
        <f>IF(A87-'Invoer gegevens'!$C$17&lt;0,0,IF(A87-'Invoer gegevens'!$C$17=0,1,IF(A87-'Invoer gegevens'!$C$17&lt;5,2,IF(A87-'Invoer gegevens'!$C$17&lt;15,3,4))))</f>
        <v>0</v>
      </c>
      <c r="BJ87" s="229">
        <f>IF(BI87&lt;1,0,IF(BI87&lt;2,4%,IF(Reeksen!BI87&lt;3,4%,IF(Reeksen!BI87&lt;4,4%*70%,IF(Reeksen!BI87&lt;5,4%*50%)))))</f>
        <v>0</v>
      </c>
      <c r="BK87" s="243"/>
      <c r="BL87" s="243"/>
      <c r="BM87" s="243"/>
      <c r="BN87" s="243"/>
      <c r="BO87" s="243"/>
      <c r="BP87" s="243"/>
      <c r="BQ87" s="243"/>
      <c r="BR87" s="243"/>
    </row>
    <row r="88" spans="1:70" x14ac:dyDescent="0.25">
      <c r="A88" s="184">
        <f t="shared" si="59"/>
        <v>83</v>
      </c>
      <c r="B88" s="179">
        <f>Dashboard!$C$25</f>
        <v>0.05</v>
      </c>
      <c r="C88" s="179">
        <f>Dashboard!$C$25</f>
        <v>0.05</v>
      </c>
      <c r="D88" s="179">
        <f>Dashboard!$C$25</f>
        <v>0.05</v>
      </c>
      <c r="E88" s="189"/>
      <c r="F88" s="184">
        <f t="shared" ca="1" si="60"/>
        <v>2102</v>
      </c>
      <c r="G88" s="179">
        <f t="shared" si="39"/>
        <v>0.02</v>
      </c>
      <c r="H88" s="182">
        <f t="shared" si="61"/>
        <v>5.2022334115667821</v>
      </c>
      <c r="I88" s="179">
        <f t="shared" si="40"/>
        <v>2.5000000000000001E-2</v>
      </c>
      <c r="J88" s="182">
        <f t="shared" si="62"/>
        <v>7.8180745075724642</v>
      </c>
      <c r="K88" s="179">
        <f t="shared" si="41"/>
        <v>2.5000000000000001E-2</v>
      </c>
      <c r="L88" s="182">
        <f t="shared" si="63"/>
        <v>7.8180745075724642</v>
      </c>
      <c r="M88" s="189"/>
      <c r="N88" s="184">
        <f t="shared" ca="1" si="64"/>
        <v>2102</v>
      </c>
      <c r="O88" s="179">
        <f t="shared" si="77"/>
        <v>0.02</v>
      </c>
      <c r="P88" s="182">
        <f t="shared" si="44"/>
        <v>5.1971835902493773</v>
      </c>
      <c r="R88" s="184">
        <f t="shared" ca="1" si="65"/>
        <v>2102</v>
      </c>
      <c r="S88" s="188">
        <f t="shared" si="79"/>
        <v>5.3600000000000002E-3</v>
      </c>
      <c r="U88" s="184">
        <f t="shared" ca="1" si="66"/>
        <v>2102</v>
      </c>
      <c r="V88" s="182">
        <f t="shared" si="49"/>
        <v>0.02</v>
      </c>
      <c r="W88" s="180">
        <f>Parameters!$D$12</f>
        <v>5.0000000000000001E-3</v>
      </c>
      <c r="X88" s="182">
        <f t="shared" si="50"/>
        <v>2.5000000000000001E-2</v>
      </c>
      <c r="Y88" s="182">
        <f t="shared" si="67"/>
        <v>7.825780842127112</v>
      </c>
      <c r="AA88" s="189"/>
      <c r="AB88" s="184">
        <f t="shared" ca="1" si="68"/>
        <v>2102</v>
      </c>
      <c r="AC88" s="171">
        <f t="shared" si="51"/>
        <v>3912.890421063556</v>
      </c>
      <c r="AD88" s="171">
        <f t="shared" si="47"/>
        <v>1161.2230337546439</v>
      </c>
      <c r="AE88" s="171">
        <f t="shared" si="78"/>
        <v>3582.6111543716647</v>
      </c>
      <c r="AF88" s="171">
        <f t="shared" si="69"/>
        <v>1161.2230337546439</v>
      </c>
      <c r="AG88" s="171">
        <f t="shared" si="80"/>
        <v>2601.09</v>
      </c>
      <c r="AH88" s="171">
        <f t="shared" si="52"/>
        <v>2601.09</v>
      </c>
      <c r="AI88" s="171">
        <f t="shared" si="53"/>
        <v>1161.2230337546439</v>
      </c>
      <c r="AJ88" s="171">
        <f>IF('Invoer gegevens'!$I$27="DAEB",SMALL(AC88:AD88,1),AC88)</f>
        <v>1161.2230337546439</v>
      </c>
      <c r="AK88" s="171">
        <f>IF('Invoer gegevens'!$I$27="DAEB",SMALL((AE88:AH88),1),SMALL((AF88:AH88),1))</f>
        <v>1161.2230337546439</v>
      </c>
      <c r="AL88" s="171">
        <f t="shared" si="75"/>
        <v>0</v>
      </c>
      <c r="AM88" s="171">
        <f t="shared" si="76"/>
        <v>0</v>
      </c>
      <c r="AN88" s="175">
        <f t="shared" si="71"/>
        <v>163979</v>
      </c>
      <c r="AP88" s="184">
        <f t="shared" ca="1" si="72"/>
        <v>2102</v>
      </c>
      <c r="AQ88" s="185">
        <f t="shared" si="54"/>
        <v>0.02</v>
      </c>
      <c r="AR88" s="182">
        <f t="shared" si="45"/>
        <v>5.1971835902493773</v>
      </c>
      <c r="AU88" s="184">
        <f t="shared" ca="1" si="73"/>
        <v>2102</v>
      </c>
      <c r="AV88" s="182">
        <f t="shared" si="55"/>
        <v>0.02</v>
      </c>
      <c r="AW88" s="179">
        <f t="shared" si="56"/>
        <v>5.0000000000000001E-3</v>
      </c>
      <c r="AX88" s="182">
        <f t="shared" si="57"/>
        <v>2.5000000000000001E-2</v>
      </c>
      <c r="AY88" s="186"/>
      <c r="AZ88" s="190"/>
      <c r="BA88" s="184">
        <f t="shared" ca="1" si="74"/>
        <v>2102</v>
      </c>
      <c r="BB88" s="171">
        <f t="shared" si="58"/>
        <v>3912.92</v>
      </c>
      <c r="BC88" s="171">
        <f t="shared" si="48"/>
        <v>3582.6111543716647</v>
      </c>
      <c r="BD88" s="171">
        <f t="shared" si="46"/>
        <v>2601.09</v>
      </c>
      <c r="BE88" s="171">
        <f t="shared" si="43"/>
        <v>1161.2230337546439</v>
      </c>
      <c r="BF88" s="171">
        <f t="shared" si="43"/>
        <v>1161.2230337546439</v>
      </c>
      <c r="BG88" s="171">
        <f t="shared" si="43"/>
        <v>1161.2230337546439</v>
      </c>
      <c r="BI88" s="187">
        <f>IF(A88-'Invoer gegevens'!$C$17&lt;0,0,IF(A88-'Invoer gegevens'!$C$17=0,1,IF(A88-'Invoer gegevens'!$C$17&lt;5,2,IF(A88-'Invoer gegevens'!$C$17&lt;15,3,4))))</f>
        <v>0</v>
      </c>
      <c r="BJ88" s="229">
        <f>IF(BI88&lt;1,0,IF(BI88&lt;2,4%,IF(Reeksen!BI88&lt;3,4%,IF(Reeksen!BI88&lt;4,4%*70%,IF(Reeksen!BI88&lt;5,4%*50%)))))</f>
        <v>0</v>
      </c>
      <c r="BK88" s="243"/>
      <c r="BL88" s="243"/>
      <c r="BM88" s="243"/>
      <c r="BN88" s="243"/>
      <c r="BO88" s="243"/>
      <c r="BP88" s="243"/>
      <c r="BQ88" s="243"/>
      <c r="BR88" s="243"/>
    </row>
    <row r="89" spans="1:70" x14ac:dyDescent="0.25">
      <c r="A89" s="184">
        <f t="shared" si="59"/>
        <v>84</v>
      </c>
      <c r="B89" s="179">
        <f>Dashboard!$C$25</f>
        <v>0.05</v>
      </c>
      <c r="C89" s="179">
        <f>Dashboard!$C$25</f>
        <v>0.05</v>
      </c>
      <c r="D89" s="179">
        <f>Dashboard!$C$25</f>
        <v>0.05</v>
      </c>
      <c r="E89" s="189"/>
      <c r="F89" s="184">
        <f t="shared" ca="1" si="60"/>
        <v>2103</v>
      </c>
      <c r="G89" s="179">
        <f t="shared" ref="G89:G152" si="81">G88</f>
        <v>0.02</v>
      </c>
      <c r="H89" s="182">
        <f t="shared" si="61"/>
        <v>5.3062780797981182</v>
      </c>
      <c r="I89" s="179">
        <f t="shared" ref="I89:I152" si="82">I88</f>
        <v>2.5000000000000001E-2</v>
      </c>
      <c r="J89" s="182">
        <f t="shared" si="62"/>
        <v>8.0135263702617756</v>
      </c>
      <c r="K89" s="179">
        <f t="shared" ref="K89:K152" si="83">K88</f>
        <v>2.5000000000000001E-2</v>
      </c>
      <c r="L89" s="182">
        <f t="shared" si="63"/>
        <v>8.0135263702617756</v>
      </c>
      <c r="M89" s="189"/>
      <c r="N89" s="184">
        <f t="shared" ca="1" si="64"/>
        <v>2103</v>
      </c>
      <c r="O89" s="179">
        <f t="shared" si="77"/>
        <v>0.02</v>
      </c>
      <c r="P89" s="182">
        <f t="shared" si="44"/>
        <v>5.301127262054365</v>
      </c>
      <c r="R89" s="184">
        <f t="shared" ca="1" si="65"/>
        <v>2103</v>
      </c>
      <c r="S89" s="188">
        <f t="shared" si="79"/>
        <v>5.3600000000000002E-3</v>
      </c>
      <c r="U89" s="184">
        <f t="shared" ca="1" si="66"/>
        <v>2103</v>
      </c>
      <c r="V89" s="182">
        <f t="shared" si="49"/>
        <v>0.02</v>
      </c>
      <c r="W89" s="180">
        <f>Parameters!$D$12</f>
        <v>5.0000000000000001E-3</v>
      </c>
      <c r="X89" s="182">
        <f t="shared" si="50"/>
        <v>2.5000000000000001E-2</v>
      </c>
      <c r="Y89" s="182">
        <f t="shared" si="67"/>
        <v>8.0214253631802883</v>
      </c>
      <c r="AA89" s="189"/>
      <c r="AB89" s="184">
        <f t="shared" ca="1" si="68"/>
        <v>2103</v>
      </c>
      <c r="AC89" s="171">
        <f t="shared" si="51"/>
        <v>4010.7126815901443</v>
      </c>
      <c r="AD89" s="171">
        <f t="shared" si="47"/>
        <v>1184.4474944297369</v>
      </c>
      <c r="AE89" s="171">
        <f t="shared" si="78"/>
        <v>3654.2633774590981</v>
      </c>
      <c r="AF89" s="171">
        <f t="shared" si="69"/>
        <v>1184.4474944297369</v>
      </c>
      <c r="AG89" s="171">
        <f t="shared" si="80"/>
        <v>2653.11</v>
      </c>
      <c r="AH89" s="171">
        <f t="shared" si="52"/>
        <v>2653.11</v>
      </c>
      <c r="AI89" s="171">
        <f t="shared" si="53"/>
        <v>1184.4474944297369</v>
      </c>
      <c r="AJ89" s="171">
        <f>IF('Invoer gegevens'!$I$27="DAEB",SMALL(AC89:AD89,1),AC89)</f>
        <v>1184.4474944297369</v>
      </c>
      <c r="AK89" s="171">
        <f>IF('Invoer gegevens'!$I$27="DAEB",SMALL((AE89:AH89),1),SMALL((AF89:AH89),1))</f>
        <v>1184.4474944297369</v>
      </c>
      <c r="AL89" s="171">
        <f t="shared" si="75"/>
        <v>0</v>
      </c>
      <c r="AM89" s="171">
        <f t="shared" si="76"/>
        <v>0</v>
      </c>
      <c r="AN89" s="175">
        <f t="shared" si="71"/>
        <v>167259</v>
      </c>
      <c r="AP89" s="184">
        <f t="shared" ca="1" si="72"/>
        <v>2103</v>
      </c>
      <c r="AQ89" s="185">
        <f t="shared" si="54"/>
        <v>0.02</v>
      </c>
      <c r="AR89" s="182">
        <f t="shared" si="45"/>
        <v>5.301127262054365</v>
      </c>
      <c r="AU89" s="184">
        <f t="shared" ca="1" si="73"/>
        <v>2103</v>
      </c>
      <c r="AV89" s="182">
        <f t="shared" si="55"/>
        <v>0.02</v>
      </c>
      <c r="AW89" s="179">
        <f t="shared" si="56"/>
        <v>5.0000000000000001E-3</v>
      </c>
      <c r="AX89" s="182">
        <f t="shared" si="57"/>
        <v>2.5000000000000001E-2</v>
      </c>
      <c r="AY89" s="186"/>
      <c r="AZ89" s="190"/>
      <c r="BA89" s="184">
        <f t="shared" ca="1" si="74"/>
        <v>2103</v>
      </c>
      <c r="BB89" s="171">
        <f t="shared" si="58"/>
        <v>4010.74</v>
      </c>
      <c r="BC89" s="171">
        <f t="shared" si="48"/>
        <v>3654.2633774590981</v>
      </c>
      <c r="BD89" s="171">
        <f t="shared" si="46"/>
        <v>2653.11</v>
      </c>
      <c r="BE89" s="171">
        <f t="shared" si="43"/>
        <v>1184.4474944297369</v>
      </c>
      <c r="BF89" s="171">
        <f t="shared" si="43"/>
        <v>1184.4474944297369</v>
      </c>
      <c r="BG89" s="171">
        <f t="shared" si="43"/>
        <v>1184.4474944297369</v>
      </c>
      <c r="BI89" s="187">
        <f>IF(A89-'Invoer gegevens'!$C$17&lt;0,0,IF(A89-'Invoer gegevens'!$C$17=0,1,IF(A89-'Invoer gegevens'!$C$17&lt;5,2,IF(A89-'Invoer gegevens'!$C$17&lt;15,3,4))))</f>
        <v>0</v>
      </c>
      <c r="BJ89" s="229">
        <f>IF(BI89&lt;1,0,IF(BI89&lt;2,4%,IF(Reeksen!BI89&lt;3,4%,IF(Reeksen!BI89&lt;4,4%*70%,IF(Reeksen!BI89&lt;5,4%*50%)))))</f>
        <v>0</v>
      </c>
      <c r="BK89" s="243"/>
      <c r="BL89" s="243"/>
      <c r="BM89" s="243"/>
      <c r="BN89" s="243"/>
      <c r="BO89" s="243"/>
      <c r="BP89" s="243"/>
      <c r="BQ89" s="243"/>
      <c r="BR89" s="243"/>
    </row>
    <row r="90" spans="1:70" x14ac:dyDescent="0.25">
      <c r="A90" s="184">
        <f t="shared" si="59"/>
        <v>85</v>
      </c>
      <c r="B90" s="179">
        <f>Dashboard!$C$25</f>
        <v>0.05</v>
      </c>
      <c r="C90" s="179">
        <f>Dashboard!$C$25</f>
        <v>0.05</v>
      </c>
      <c r="D90" s="179">
        <f>Dashboard!$C$25</f>
        <v>0.05</v>
      </c>
      <c r="E90" s="189"/>
      <c r="F90" s="184">
        <f t="shared" ca="1" si="60"/>
        <v>2104</v>
      </c>
      <c r="G90" s="179">
        <f t="shared" si="81"/>
        <v>0.02</v>
      </c>
      <c r="H90" s="182">
        <f t="shared" si="61"/>
        <v>5.4124036413940804</v>
      </c>
      <c r="I90" s="179">
        <f t="shared" si="82"/>
        <v>2.5000000000000001E-2</v>
      </c>
      <c r="J90" s="182">
        <f t="shared" si="62"/>
        <v>8.2138645295183199</v>
      </c>
      <c r="K90" s="179">
        <f t="shared" si="83"/>
        <v>2.5000000000000001E-2</v>
      </c>
      <c r="L90" s="182">
        <f t="shared" si="63"/>
        <v>8.2138645295183199</v>
      </c>
      <c r="M90" s="189"/>
      <c r="N90" s="184">
        <f t="shared" ca="1" si="64"/>
        <v>2104</v>
      </c>
      <c r="O90" s="179">
        <f t="shared" si="77"/>
        <v>0.02</v>
      </c>
      <c r="P90" s="182">
        <f t="shared" si="44"/>
        <v>5.4071498072954522</v>
      </c>
      <c r="R90" s="184">
        <f t="shared" ca="1" si="65"/>
        <v>2104</v>
      </c>
      <c r="S90" s="188">
        <f t="shared" si="79"/>
        <v>5.3600000000000002E-3</v>
      </c>
      <c r="U90" s="184">
        <f t="shared" ca="1" si="66"/>
        <v>2104</v>
      </c>
      <c r="V90" s="182">
        <f t="shared" si="49"/>
        <v>0.02</v>
      </c>
      <c r="W90" s="180">
        <f>Parameters!$D$12</f>
        <v>5.0000000000000001E-3</v>
      </c>
      <c r="X90" s="182">
        <f t="shared" si="50"/>
        <v>2.5000000000000001E-2</v>
      </c>
      <c r="Y90" s="182">
        <f t="shared" si="67"/>
        <v>8.221960997259794</v>
      </c>
      <c r="AA90" s="189"/>
      <c r="AB90" s="184">
        <f t="shared" ca="1" si="68"/>
        <v>2104</v>
      </c>
      <c r="AC90" s="171">
        <f t="shared" si="51"/>
        <v>4110.9804986298968</v>
      </c>
      <c r="AD90" s="171">
        <f t="shared" si="47"/>
        <v>1208.1364443183315</v>
      </c>
      <c r="AE90" s="171">
        <f t="shared" si="78"/>
        <v>3727.3486450082801</v>
      </c>
      <c r="AF90" s="171">
        <f t="shared" si="69"/>
        <v>1208.1364443183315</v>
      </c>
      <c r="AG90" s="171">
        <f t="shared" si="80"/>
        <v>2706.17</v>
      </c>
      <c r="AH90" s="171">
        <f t="shared" si="52"/>
        <v>2706.17</v>
      </c>
      <c r="AI90" s="171">
        <f t="shared" si="53"/>
        <v>1208.1364443183315</v>
      </c>
      <c r="AJ90" s="171">
        <f>IF('Invoer gegevens'!$I$27="DAEB",SMALL(AC90:AD90,1),AC90)</f>
        <v>1208.1364443183315</v>
      </c>
      <c r="AK90" s="171">
        <f>IF('Invoer gegevens'!$I$27="DAEB",SMALL((AE90:AH90),1),SMALL((AF90:AH90),1))</f>
        <v>1208.1364443183315</v>
      </c>
      <c r="AL90" s="171">
        <f t="shared" si="75"/>
        <v>0</v>
      </c>
      <c r="AM90" s="171">
        <f t="shared" si="76"/>
        <v>0</v>
      </c>
      <c r="AN90" s="175">
        <f t="shared" si="71"/>
        <v>170604</v>
      </c>
      <c r="AP90" s="184">
        <f t="shared" ca="1" si="72"/>
        <v>2104</v>
      </c>
      <c r="AQ90" s="185">
        <f t="shared" si="54"/>
        <v>0.02</v>
      </c>
      <c r="AR90" s="182">
        <f t="shared" si="45"/>
        <v>5.4071498072954522</v>
      </c>
      <c r="AU90" s="184">
        <f t="shared" ca="1" si="73"/>
        <v>2104</v>
      </c>
      <c r="AV90" s="182">
        <f t="shared" si="55"/>
        <v>0.02</v>
      </c>
      <c r="AW90" s="179">
        <f t="shared" si="56"/>
        <v>5.0000000000000001E-3</v>
      </c>
      <c r="AX90" s="182">
        <f t="shared" si="57"/>
        <v>2.5000000000000001E-2</v>
      </c>
      <c r="AY90" s="186"/>
      <c r="AZ90" s="190"/>
      <c r="BA90" s="184">
        <f t="shared" ca="1" si="74"/>
        <v>2104</v>
      </c>
      <c r="BB90" s="171">
        <f t="shared" si="58"/>
        <v>4111.01</v>
      </c>
      <c r="BC90" s="171">
        <f t="shared" si="48"/>
        <v>3727.3486450082801</v>
      </c>
      <c r="BD90" s="171">
        <f t="shared" si="46"/>
        <v>2706.17</v>
      </c>
      <c r="BE90" s="171">
        <f t="shared" si="43"/>
        <v>1208.1364443183315</v>
      </c>
      <c r="BF90" s="171">
        <f t="shared" si="43"/>
        <v>1208.1364443183315</v>
      </c>
      <c r="BG90" s="171">
        <f t="shared" si="43"/>
        <v>1208.1364443183315</v>
      </c>
      <c r="BI90" s="187">
        <f>IF(A90-'Invoer gegevens'!$C$17&lt;0,0,IF(A90-'Invoer gegevens'!$C$17=0,1,IF(A90-'Invoer gegevens'!$C$17&lt;5,2,IF(A90-'Invoer gegevens'!$C$17&lt;15,3,4))))</f>
        <v>0</v>
      </c>
      <c r="BJ90" s="229">
        <f>IF(BI90&lt;1,0,IF(BI90&lt;2,4%,IF(Reeksen!BI90&lt;3,4%,IF(Reeksen!BI90&lt;4,4%*70%,IF(Reeksen!BI90&lt;5,4%*50%)))))</f>
        <v>0</v>
      </c>
      <c r="BK90" s="243"/>
      <c r="BL90" s="243"/>
      <c r="BM90" s="243"/>
      <c r="BN90" s="243"/>
      <c r="BO90" s="243"/>
      <c r="BP90" s="243"/>
      <c r="BQ90" s="243"/>
      <c r="BR90" s="243"/>
    </row>
    <row r="91" spans="1:70" x14ac:dyDescent="0.25">
      <c r="A91" s="184">
        <f t="shared" si="59"/>
        <v>86</v>
      </c>
      <c r="B91" s="179">
        <f>Dashboard!$C$25</f>
        <v>0.05</v>
      </c>
      <c r="C91" s="179">
        <f>Dashboard!$C$25</f>
        <v>0.05</v>
      </c>
      <c r="D91" s="179">
        <f>Dashboard!$C$25</f>
        <v>0.05</v>
      </c>
      <c r="E91" s="189"/>
      <c r="F91" s="184">
        <f t="shared" ca="1" si="60"/>
        <v>2105</v>
      </c>
      <c r="G91" s="179">
        <f t="shared" si="81"/>
        <v>0.02</v>
      </c>
      <c r="H91" s="182">
        <f t="shared" si="61"/>
        <v>5.5206517142219624</v>
      </c>
      <c r="I91" s="179">
        <f t="shared" si="82"/>
        <v>2.5000000000000001E-2</v>
      </c>
      <c r="J91" s="182">
        <f t="shared" si="62"/>
        <v>8.4192111427562768</v>
      </c>
      <c r="K91" s="179">
        <f t="shared" si="83"/>
        <v>2.5000000000000001E-2</v>
      </c>
      <c r="L91" s="182">
        <f t="shared" si="63"/>
        <v>8.4192111427562768</v>
      </c>
      <c r="M91" s="189"/>
      <c r="N91" s="184">
        <f t="shared" ca="1" si="64"/>
        <v>2105</v>
      </c>
      <c r="O91" s="179">
        <f t="shared" si="77"/>
        <v>0.02</v>
      </c>
      <c r="P91" s="182">
        <f t="shared" si="44"/>
        <v>5.5152928034413611</v>
      </c>
      <c r="R91" s="184">
        <f t="shared" ca="1" si="65"/>
        <v>2105</v>
      </c>
      <c r="S91" s="188">
        <f t="shared" si="79"/>
        <v>5.3600000000000002E-3</v>
      </c>
      <c r="U91" s="184">
        <f t="shared" ca="1" si="66"/>
        <v>2105</v>
      </c>
      <c r="V91" s="182">
        <f t="shared" si="49"/>
        <v>0.02</v>
      </c>
      <c r="W91" s="180">
        <f>Parameters!$D$12</f>
        <v>5.0000000000000001E-3</v>
      </c>
      <c r="X91" s="182">
        <f t="shared" si="50"/>
        <v>2.5000000000000001E-2</v>
      </c>
      <c r="Y91" s="182">
        <f t="shared" si="67"/>
        <v>8.4275100221912886</v>
      </c>
      <c r="AA91" s="189"/>
      <c r="AB91" s="184">
        <f t="shared" ca="1" si="68"/>
        <v>2105</v>
      </c>
      <c r="AC91" s="171">
        <f t="shared" si="51"/>
        <v>4213.7550110956445</v>
      </c>
      <c r="AD91" s="171">
        <f t="shared" si="47"/>
        <v>1232.2991732046983</v>
      </c>
      <c r="AE91" s="171">
        <f t="shared" si="78"/>
        <v>3801.8956179084457</v>
      </c>
      <c r="AF91" s="171">
        <f t="shared" si="69"/>
        <v>1232.2991732046983</v>
      </c>
      <c r="AG91" s="171">
        <f t="shared" si="80"/>
        <v>2760.29</v>
      </c>
      <c r="AH91" s="171">
        <f t="shared" si="52"/>
        <v>2760.29</v>
      </c>
      <c r="AI91" s="171">
        <f t="shared" si="53"/>
        <v>1232.2991732046983</v>
      </c>
      <c r="AJ91" s="171">
        <f>IF('Invoer gegevens'!$I$27="DAEB",SMALL(AC91:AD91,1),AC91)</f>
        <v>1232.2991732046983</v>
      </c>
      <c r="AK91" s="171">
        <f>IF('Invoer gegevens'!$I$27="DAEB",SMALL((AE91:AH91),1),SMALL((AF91:AH91),1))</f>
        <v>1232.2991732046983</v>
      </c>
      <c r="AL91" s="171">
        <f t="shared" si="75"/>
        <v>0</v>
      </c>
      <c r="AM91" s="171">
        <f t="shared" si="76"/>
        <v>0</v>
      </c>
      <c r="AN91" s="175">
        <f t="shared" si="71"/>
        <v>174016</v>
      </c>
      <c r="AP91" s="184">
        <f t="shared" ca="1" si="72"/>
        <v>2105</v>
      </c>
      <c r="AQ91" s="185">
        <f t="shared" si="54"/>
        <v>0.02</v>
      </c>
      <c r="AR91" s="182">
        <f t="shared" si="45"/>
        <v>5.5152928034413611</v>
      </c>
      <c r="AU91" s="184">
        <f t="shared" ca="1" si="73"/>
        <v>2105</v>
      </c>
      <c r="AV91" s="182">
        <f t="shared" si="55"/>
        <v>0.02</v>
      </c>
      <c r="AW91" s="179">
        <f t="shared" si="56"/>
        <v>5.0000000000000001E-3</v>
      </c>
      <c r="AX91" s="182">
        <f t="shared" si="57"/>
        <v>2.5000000000000001E-2</v>
      </c>
      <c r="AY91" s="186"/>
      <c r="AZ91" s="190"/>
      <c r="BA91" s="184">
        <f t="shared" ca="1" si="74"/>
        <v>2105</v>
      </c>
      <c r="BB91" s="171">
        <f t="shared" si="58"/>
        <v>4213.79</v>
      </c>
      <c r="BC91" s="171">
        <f t="shared" si="48"/>
        <v>3801.8956179084457</v>
      </c>
      <c r="BD91" s="171">
        <f t="shared" si="46"/>
        <v>2760.29</v>
      </c>
      <c r="BE91" s="171">
        <f t="shared" si="43"/>
        <v>1232.2991732046983</v>
      </c>
      <c r="BF91" s="171">
        <f t="shared" si="43"/>
        <v>1232.2991732046983</v>
      </c>
      <c r="BG91" s="171">
        <f t="shared" si="43"/>
        <v>1232.2991732046983</v>
      </c>
      <c r="BI91" s="187">
        <f>IF(A91-'Invoer gegevens'!$C$17&lt;0,0,IF(A91-'Invoer gegevens'!$C$17=0,1,IF(A91-'Invoer gegevens'!$C$17&lt;5,2,IF(A91-'Invoer gegevens'!$C$17&lt;15,3,4))))</f>
        <v>0</v>
      </c>
      <c r="BJ91" s="229">
        <f>IF(BI91&lt;1,0,IF(BI91&lt;2,4%,IF(Reeksen!BI91&lt;3,4%,IF(Reeksen!BI91&lt;4,4%*70%,IF(Reeksen!BI91&lt;5,4%*50%)))))</f>
        <v>0</v>
      </c>
      <c r="BK91" s="243"/>
      <c r="BL91" s="243"/>
      <c r="BM91" s="243"/>
      <c r="BN91" s="243"/>
      <c r="BO91" s="243"/>
      <c r="BP91" s="243"/>
      <c r="BQ91" s="243"/>
      <c r="BR91" s="243"/>
    </row>
    <row r="92" spans="1:70" x14ac:dyDescent="0.25">
      <c r="A92" s="184">
        <f t="shared" si="59"/>
        <v>87</v>
      </c>
      <c r="B92" s="179">
        <f>Dashboard!$C$25</f>
        <v>0.05</v>
      </c>
      <c r="C92" s="179">
        <f>Dashboard!$C$25</f>
        <v>0.05</v>
      </c>
      <c r="D92" s="179">
        <f>Dashboard!$C$25</f>
        <v>0.05</v>
      </c>
      <c r="E92" s="189"/>
      <c r="F92" s="184">
        <f t="shared" ca="1" si="60"/>
        <v>2106</v>
      </c>
      <c r="G92" s="179">
        <f t="shared" si="81"/>
        <v>0.02</v>
      </c>
      <c r="H92" s="182">
        <f t="shared" si="61"/>
        <v>5.631064748506402</v>
      </c>
      <c r="I92" s="179">
        <f t="shared" si="82"/>
        <v>2.5000000000000001E-2</v>
      </c>
      <c r="J92" s="182">
        <f t="shared" si="62"/>
        <v>8.6296914213251839</v>
      </c>
      <c r="K92" s="179">
        <f t="shared" si="83"/>
        <v>2.5000000000000001E-2</v>
      </c>
      <c r="L92" s="182">
        <f t="shared" si="63"/>
        <v>8.6296914213251839</v>
      </c>
      <c r="M92" s="189"/>
      <c r="N92" s="184">
        <f t="shared" ca="1" si="64"/>
        <v>2106</v>
      </c>
      <c r="O92" s="179">
        <f t="shared" si="77"/>
        <v>0.02</v>
      </c>
      <c r="P92" s="182">
        <f t="shared" si="44"/>
        <v>5.6255986595101888</v>
      </c>
      <c r="R92" s="184">
        <f t="shared" ca="1" si="65"/>
        <v>2106</v>
      </c>
      <c r="S92" s="188">
        <f t="shared" si="79"/>
        <v>5.3600000000000002E-3</v>
      </c>
      <c r="U92" s="184">
        <f t="shared" ca="1" si="66"/>
        <v>2106</v>
      </c>
      <c r="V92" s="182">
        <f t="shared" si="49"/>
        <v>0.02</v>
      </c>
      <c r="W92" s="180">
        <f>Parameters!$D$12</f>
        <v>5.0000000000000001E-3</v>
      </c>
      <c r="X92" s="182">
        <f t="shared" si="50"/>
        <v>2.5000000000000001E-2</v>
      </c>
      <c r="Y92" s="182">
        <f t="shared" si="67"/>
        <v>8.6381977727460697</v>
      </c>
      <c r="AA92" s="189"/>
      <c r="AB92" s="184">
        <f t="shared" ca="1" si="68"/>
        <v>2106</v>
      </c>
      <c r="AC92" s="171">
        <f t="shared" si="51"/>
        <v>4319.0988863730345</v>
      </c>
      <c r="AD92" s="171">
        <f t="shared" si="47"/>
        <v>1256.9451566687924</v>
      </c>
      <c r="AE92" s="171">
        <f t="shared" si="78"/>
        <v>3877.9335302666145</v>
      </c>
      <c r="AF92" s="171">
        <f t="shared" si="69"/>
        <v>1256.9451566687924</v>
      </c>
      <c r="AG92" s="171">
        <f t="shared" si="80"/>
        <v>2815.5</v>
      </c>
      <c r="AH92" s="171">
        <f t="shared" si="52"/>
        <v>2815.5</v>
      </c>
      <c r="AI92" s="171">
        <f t="shared" si="53"/>
        <v>1256.9451566687924</v>
      </c>
      <c r="AJ92" s="171">
        <f>IF('Invoer gegevens'!$I$27="DAEB",SMALL(AC92:AD92,1),AC92)</f>
        <v>1256.9451566687924</v>
      </c>
      <c r="AK92" s="171">
        <f>IF('Invoer gegevens'!$I$27="DAEB",SMALL((AE92:AH92),1),SMALL((AF92:AH92),1))</f>
        <v>1256.9451566687924</v>
      </c>
      <c r="AL92" s="171">
        <f t="shared" si="75"/>
        <v>0</v>
      </c>
      <c r="AM92" s="171">
        <f t="shared" si="76"/>
        <v>0</v>
      </c>
      <c r="AN92" s="175">
        <f t="shared" si="71"/>
        <v>177496</v>
      </c>
      <c r="AP92" s="184">
        <f t="shared" ca="1" si="72"/>
        <v>2106</v>
      </c>
      <c r="AQ92" s="185">
        <f t="shared" si="54"/>
        <v>0.02</v>
      </c>
      <c r="AR92" s="182">
        <f t="shared" si="45"/>
        <v>5.6255986595101888</v>
      </c>
      <c r="AU92" s="184">
        <f t="shared" ca="1" si="73"/>
        <v>2106</v>
      </c>
      <c r="AV92" s="182">
        <f t="shared" si="55"/>
        <v>0.02</v>
      </c>
      <c r="AW92" s="179">
        <f t="shared" si="56"/>
        <v>5.0000000000000001E-3</v>
      </c>
      <c r="AX92" s="182">
        <f t="shared" si="57"/>
        <v>2.5000000000000001E-2</v>
      </c>
      <c r="AY92" s="186"/>
      <c r="AZ92" s="190"/>
      <c r="BA92" s="184">
        <f t="shared" ca="1" si="74"/>
        <v>2106</v>
      </c>
      <c r="BB92" s="171">
        <f t="shared" si="58"/>
        <v>4319.13</v>
      </c>
      <c r="BC92" s="171">
        <f t="shared" si="48"/>
        <v>3877.9335302666145</v>
      </c>
      <c r="BD92" s="171">
        <f t="shared" si="46"/>
        <v>2815.5</v>
      </c>
      <c r="BE92" s="171">
        <f t="shared" si="43"/>
        <v>1256.9451566687924</v>
      </c>
      <c r="BF92" s="171">
        <f t="shared" si="43"/>
        <v>1256.9451566687924</v>
      </c>
      <c r="BG92" s="171">
        <f t="shared" si="43"/>
        <v>1256.9451566687924</v>
      </c>
      <c r="BI92" s="187">
        <f>IF(A92-'Invoer gegevens'!$C$17&lt;0,0,IF(A92-'Invoer gegevens'!$C$17=0,1,IF(A92-'Invoer gegevens'!$C$17&lt;5,2,IF(A92-'Invoer gegevens'!$C$17&lt;15,3,4))))</f>
        <v>0</v>
      </c>
      <c r="BJ92" s="229">
        <f>IF(BI92&lt;1,0,IF(BI92&lt;2,4%,IF(Reeksen!BI92&lt;3,4%,IF(Reeksen!BI92&lt;4,4%*70%,IF(Reeksen!BI92&lt;5,4%*50%)))))</f>
        <v>0</v>
      </c>
      <c r="BK92" s="243"/>
      <c r="BL92" s="243"/>
      <c r="BM92" s="243"/>
      <c r="BN92" s="243"/>
      <c r="BO92" s="243"/>
      <c r="BP92" s="243"/>
      <c r="BQ92" s="243"/>
      <c r="BR92" s="243"/>
    </row>
    <row r="93" spans="1:70" x14ac:dyDescent="0.25">
      <c r="A93" s="184">
        <f t="shared" si="59"/>
        <v>88</v>
      </c>
      <c r="B93" s="179">
        <f>Dashboard!$C$25</f>
        <v>0.05</v>
      </c>
      <c r="C93" s="179">
        <f>Dashboard!$C$25</f>
        <v>0.05</v>
      </c>
      <c r="D93" s="179">
        <f>Dashboard!$C$25</f>
        <v>0.05</v>
      </c>
      <c r="E93" s="189"/>
      <c r="F93" s="184">
        <f t="shared" ca="1" si="60"/>
        <v>2107</v>
      </c>
      <c r="G93" s="179">
        <f t="shared" si="81"/>
        <v>0.02</v>
      </c>
      <c r="H93" s="182">
        <f t="shared" si="61"/>
        <v>5.7436860434765302</v>
      </c>
      <c r="I93" s="179">
        <f t="shared" si="82"/>
        <v>2.5000000000000001E-2</v>
      </c>
      <c r="J93" s="182">
        <f t="shared" si="62"/>
        <v>8.8454337068583122</v>
      </c>
      <c r="K93" s="179">
        <f t="shared" si="83"/>
        <v>2.5000000000000001E-2</v>
      </c>
      <c r="L93" s="182">
        <f t="shared" si="63"/>
        <v>8.8454337068583122</v>
      </c>
      <c r="M93" s="189"/>
      <c r="N93" s="184">
        <f t="shared" ca="1" si="64"/>
        <v>2107</v>
      </c>
      <c r="O93" s="179">
        <f t="shared" si="77"/>
        <v>0.02</v>
      </c>
      <c r="P93" s="182">
        <f t="shared" si="44"/>
        <v>5.7381106327003923</v>
      </c>
      <c r="R93" s="184">
        <f t="shared" ca="1" si="65"/>
        <v>2107</v>
      </c>
      <c r="S93" s="188">
        <f t="shared" si="79"/>
        <v>5.3600000000000002E-3</v>
      </c>
      <c r="U93" s="184">
        <f t="shared" ca="1" si="66"/>
        <v>2107</v>
      </c>
      <c r="V93" s="182">
        <f t="shared" si="49"/>
        <v>0.02</v>
      </c>
      <c r="W93" s="180">
        <f>Parameters!$D$12</f>
        <v>5.0000000000000001E-3</v>
      </c>
      <c r="X93" s="182">
        <f t="shared" si="50"/>
        <v>2.5000000000000001E-2</v>
      </c>
      <c r="Y93" s="182">
        <f t="shared" si="67"/>
        <v>8.8541527170647214</v>
      </c>
      <c r="AA93" s="189"/>
      <c r="AB93" s="184">
        <f t="shared" ca="1" si="68"/>
        <v>2107</v>
      </c>
      <c r="AC93" s="171">
        <f t="shared" si="51"/>
        <v>4427.0763585323602</v>
      </c>
      <c r="AD93" s="171">
        <f t="shared" si="47"/>
        <v>1282.0840598021682</v>
      </c>
      <c r="AE93" s="171">
        <f t="shared" si="78"/>
        <v>3955.4922008719468</v>
      </c>
      <c r="AF93" s="171">
        <f t="shared" si="69"/>
        <v>1282.0840598021682</v>
      </c>
      <c r="AG93" s="171">
        <f t="shared" si="80"/>
        <v>2871.81</v>
      </c>
      <c r="AH93" s="171">
        <f t="shared" si="52"/>
        <v>2871.81</v>
      </c>
      <c r="AI93" s="171">
        <f t="shared" si="53"/>
        <v>1282.0840598021682</v>
      </c>
      <c r="AJ93" s="171">
        <f>IF('Invoer gegevens'!$I$27="DAEB",SMALL(AC93:AD93,1),AC93)</f>
        <v>1282.0840598021682</v>
      </c>
      <c r="AK93" s="171">
        <f>IF('Invoer gegevens'!$I$27="DAEB",SMALL((AE93:AH93),1),SMALL((AF93:AH93),1))</f>
        <v>1282.0840598021682</v>
      </c>
      <c r="AL93" s="171">
        <f t="shared" si="75"/>
        <v>0</v>
      </c>
      <c r="AM93" s="171">
        <f t="shared" si="76"/>
        <v>0</v>
      </c>
      <c r="AN93" s="175">
        <f t="shared" si="71"/>
        <v>181046</v>
      </c>
      <c r="AP93" s="184">
        <f t="shared" ca="1" si="72"/>
        <v>2107</v>
      </c>
      <c r="AQ93" s="185">
        <f t="shared" si="54"/>
        <v>0.02</v>
      </c>
      <c r="AR93" s="182">
        <f t="shared" si="45"/>
        <v>5.7381106327003923</v>
      </c>
      <c r="AU93" s="184">
        <f t="shared" ca="1" si="73"/>
        <v>2107</v>
      </c>
      <c r="AV93" s="182">
        <f t="shared" si="55"/>
        <v>0.02</v>
      </c>
      <c r="AW93" s="179">
        <f t="shared" si="56"/>
        <v>5.0000000000000001E-3</v>
      </c>
      <c r="AX93" s="182">
        <f t="shared" si="57"/>
        <v>2.5000000000000001E-2</v>
      </c>
      <c r="AY93" s="186"/>
      <c r="AZ93" s="190"/>
      <c r="BA93" s="184">
        <f t="shared" ca="1" si="74"/>
        <v>2107</v>
      </c>
      <c r="BB93" s="171">
        <f t="shared" si="58"/>
        <v>4427.1099999999997</v>
      </c>
      <c r="BC93" s="171">
        <f t="shared" si="48"/>
        <v>3955.4922008719468</v>
      </c>
      <c r="BD93" s="171">
        <f t="shared" si="46"/>
        <v>2871.81</v>
      </c>
      <c r="BE93" s="171">
        <f t="shared" si="43"/>
        <v>1282.0840598021682</v>
      </c>
      <c r="BF93" s="171">
        <f t="shared" si="43"/>
        <v>1282.0840598021682</v>
      </c>
      <c r="BG93" s="171">
        <f t="shared" si="43"/>
        <v>1282.0840598021682</v>
      </c>
      <c r="BI93" s="187">
        <f>IF(A93-'Invoer gegevens'!$C$17&lt;0,0,IF(A93-'Invoer gegevens'!$C$17=0,1,IF(A93-'Invoer gegevens'!$C$17&lt;5,2,IF(A93-'Invoer gegevens'!$C$17&lt;15,3,4))))</f>
        <v>0</v>
      </c>
      <c r="BJ93" s="229">
        <f>IF(BI93&lt;1,0,IF(BI93&lt;2,4%,IF(Reeksen!BI93&lt;3,4%,IF(Reeksen!BI93&lt;4,4%*70%,IF(Reeksen!BI93&lt;5,4%*50%)))))</f>
        <v>0</v>
      </c>
      <c r="BK93" s="243"/>
      <c r="BL93" s="243"/>
      <c r="BM93" s="243"/>
      <c r="BN93" s="243"/>
      <c r="BO93" s="243"/>
      <c r="BP93" s="243"/>
      <c r="BQ93" s="243"/>
      <c r="BR93" s="243"/>
    </row>
    <row r="94" spans="1:70" x14ac:dyDescent="0.25">
      <c r="A94" s="184">
        <f t="shared" si="59"/>
        <v>89</v>
      </c>
      <c r="B94" s="179">
        <f>Dashboard!$C$25</f>
        <v>0.05</v>
      </c>
      <c r="C94" s="179">
        <f>Dashboard!$C$25</f>
        <v>0.05</v>
      </c>
      <c r="D94" s="179">
        <f>Dashboard!$C$25</f>
        <v>0.05</v>
      </c>
      <c r="E94" s="189"/>
      <c r="F94" s="184">
        <f t="shared" ca="1" si="60"/>
        <v>2108</v>
      </c>
      <c r="G94" s="179">
        <f t="shared" si="81"/>
        <v>0.02</v>
      </c>
      <c r="H94" s="182">
        <f t="shared" si="61"/>
        <v>5.8585597643460607</v>
      </c>
      <c r="I94" s="179">
        <f t="shared" si="82"/>
        <v>2.5000000000000001E-2</v>
      </c>
      <c r="J94" s="182">
        <f t="shared" si="62"/>
        <v>9.0665695495297687</v>
      </c>
      <c r="K94" s="179">
        <f t="shared" si="83"/>
        <v>2.5000000000000001E-2</v>
      </c>
      <c r="L94" s="182">
        <f t="shared" si="63"/>
        <v>9.0665695495297687</v>
      </c>
      <c r="M94" s="189"/>
      <c r="N94" s="184">
        <f t="shared" ca="1" si="64"/>
        <v>2108</v>
      </c>
      <c r="O94" s="179">
        <f t="shared" si="77"/>
        <v>0.02</v>
      </c>
      <c r="P94" s="182">
        <f t="shared" si="44"/>
        <v>5.8528728453544003</v>
      </c>
      <c r="R94" s="184">
        <f t="shared" ca="1" si="65"/>
        <v>2108</v>
      </c>
      <c r="S94" s="188">
        <f t="shared" si="79"/>
        <v>5.3600000000000002E-3</v>
      </c>
      <c r="U94" s="184">
        <f t="shared" ca="1" si="66"/>
        <v>2108</v>
      </c>
      <c r="V94" s="182">
        <f t="shared" si="49"/>
        <v>0.02</v>
      </c>
      <c r="W94" s="180">
        <f>Parameters!$D$12</f>
        <v>5.0000000000000001E-3</v>
      </c>
      <c r="X94" s="182">
        <f t="shared" si="50"/>
        <v>2.5000000000000001E-2</v>
      </c>
      <c r="Y94" s="182">
        <f t="shared" si="67"/>
        <v>9.0755065349913391</v>
      </c>
      <c r="AA94" s="189"/>
      <c r="AB94" s="184">
        <f t="shared" ca="1" si="68"/>
        <v>2108</v>
      </c>
      <c r="AC94" s="171">
        <f t="shared" si="51"/>
        <v>4537.7532674956692</v>
      </c>
      <c r="AD94" s="171">
        <f t="shared" si="47"/>
        <v>1307.7257409982114</v>
      </c>
      <c r="AE94" s="171">
        <f t="shared" si="78"/>
        <v>4034.602044889386</v>
      </c>
      <c r="AF94" s="171">
        <f t="shared" si="69"/>
        <v>1307.7257409982114</v>
      </c>
      <c r="AG94" s="171">
        <f t="shared" si="80"/>
        <v>2929.25</v>
      </c>
      <c r="AH94" s="171">
        <f t="shared" si="52"/>
        <v>2929.25</v>
      </c>
      <c r="AI94" s="171">
        <f t="shared" si="53"/>
        <v>1307.7257409982114</v>
      </c>
      <c r="AJ94" s="171">
        <f>IF('Invoer gegevens'!$I$27="DAEB",SMALL(AC94:AD94,1),AC94)</f>
        <v>1307.7257409982114</v>
      </c>
      <c r="AK94" s="171">
        <f>IF('Invoer gegevens'!$I$27="DAEB",SMALL((AE94:AH94),1),SMALL((AF94:AH94),1))</f>
        <v>1307.7257409982114</v>
      </c>
      <c r="AL94" s="171">
        <f t="shared" si="75"/>
        <v>0</v>
      </c>
      <c r="AM94" s="171">
        <f t="shared" si="76"/>
        <v>0</v>
      </c>
      <c r="AN94" s="175">
        <f t="shared" si="71"/>
        <v>184667</v>
      </c>
      <c r="AP94" s="184">
        <f t="shared" ca="1" si="72"/>
        <v>2108</v>
      </c>
      <c r="AQ94" s="185">
        <f t="shared" si="54"/>
        <v>0.02</v>
      </c>
      <c r="AR94" s="182">
        <f t="shared" si="45"/>
        <v>5.8528728453544003</v>
      </c>
      <c r="AU94" s="184">
        <f t="shared" ca="1" si="73"/>
        <v>2108</v>
      </c>
      <c r="AV94" s="182">
        <f t="shared" si="55"/>
        <v>0.02</v>
      </c>
      <c r="AW94" s="179">
        <f t="shared" si="56"/>
        <v>5.0000000000000001E-3</v>
      </c>
      <c r="AX94" s="182">
        <f t="shared" si="57"/>
        <v>2.5000000000000001E-2</v>
      </c>
      <c r="AY94" s="186"/>
      <c r="AZ94" s="190"/>
      <c r="BA94" s="184">
        <f t="shared" ca="1" si="74"/>
        <v>2108</v>
      </c>
      <c r="BB94" s="171">
        <f t="shared" si="58"/>
        <v>4537.79</v>
      </c>
      <c r="BC94" s="171">
        <f t="shared" si="48"/>
        <v>4034.602044889386</v>
      </c>
      <c r="BD94" s="171">
        <f t="shared" si="46"/>
        <v>2929.25</v>
      </c>
      <c r="BE94" s="171">
        <f t="shared" si="43"/>
        <v>1307.7257409982114</v>
      </c>
      <c r="BF94" s="171">
        <f t="shared" si="43"/>
        <v>1307.7257409982114</v>
      </c>
      <c r="BG94" s="171">
        <f t="shared" si="43"/>
        <v>1307.7257409982114</v>
      </c>
      <c r="BI94" s="187">
        <f>IF(A94-'Invoer gegevens'!$C$17&lt;0,0,IF(A94-'Invoer gegevens'!$C$17=0,1,IF(A94-'Invoer gegevens'!$C$17&lt;5,2,IF(A94-'Invoer gegevens'!$C$17&lt;15,3,4))))</f>
        <v>0</v>
      </c>
      <c r="BJ94" s="229">
        <f>IF(BI94&lt;1,0,IF(BI94&lt;2,4%,IF(Reeksen!BI94&lt;3,4%,IF(Reeksen!BI94&lt;4,4%*70%,IF(Reeksen!BI94&lt;5,4%*50%)))))</f>
        <v>0</v>
      </c>
      <c r="BK94" s="243"/>
      <c r="BL94" s="243"/>
      <c r="BM94" s="243"/>
      <c r="BN94" s="243"/>
      <c r="BO94" s="243"/>
      <c r="BP94" s="243"/>
      <c r="BQ94" s="243"/>
      <c r="BR94" s="243"/>
    </row>
    <row r="95" spans="1:70" x14ac:dyDescent="0.25">
      <c r="A95" s="184">
        <f t="shared" si="59"/>
        <v>90</v>
      </c>
      <c r="B95" s="179">
        <f>Dashboard!$C$25</f>
        <v>0.05</v>
      </c>
      <c r="C95" s="179">
        <f>Dashboard!$C$25</f>
        <v>0.05</v>
      </c>
      <c r="D95" s="179">
        <f>Dashboard!$C$25</f>
        <v>0.05</v>
      </c>
      <c r="E95" s="189"/>
      <c r="F95" s="184">
        <f t="shared" ca="1" si="60"/>
        <v>2109</v>
      </c>
      <c r="G95" s="179">
        <f t="shared" si="81"/>
        <v>0.02</v>
      </c>
      <c r="H95" s="182">
        <f t="shared" si="61"/>
        <v>5.9757309596329824</v>
      </c>
      <c r="I95" s="179">
        <f t="shared" si="82"/>
        <v>2.5000000000000001E-2</v>
      </c>
      <c r="J95" s="182">
        <f t="shared" si="62"/>
        <v>9.2932337882680116</v>
      </c>
      <c r="K95" s="179">
        <f t="shared" si="83"/>
        <v>2.5000000000000001E-2</v>
      </c>
      <c r="L95" s="182">
        <f t="shared" si="63"/>
        <v>9.2932337882680116</v>
      </c>
      <c r="M95" s="189"/>
      <c r="N95" s="184">
        <f t="shared" ca="1" si="64"/>
        <v>2109</v>
      </c>
      <c r="O95" s="179">
        <f t="shared" si="77"/>
        <v>0.02</v>
      </c>
      <c r="P95" s="182">
        <f t="shared" si="44"/>
        <v>5.9699303022614885</v>
      </c>
      <c r="R95" s="184">
        <f t="shared" ca="1" si="65"/>
        <v>2109</v>
      </c>
      <c r="S95" s="188">
        <f t="shared" si="79"/>
        <v>5.3600000000000002E-3</v>
      </c>
      <c r="U95" s="184">
        <f t="shared" ca="1" si="66"/>
        <v>2109</v>
      </c>
      <c r="V95" s="182">
        <f t="shared" si="49"/>
        <v>0.02</v>
      </c>
      <c r="W95" s="180">
        <f>Parameters!$D$12</f>
        <v>5.0000000000000001E-3</v>
      </c>
      <c r="X95" s="182">
        <f t="shared" si="50"/>
        <v>2.5000000000000001E-2</v>
      </c>
      <c r="Y95" s="182">
        <f t="shared" si="67"/>
        <v>9.3023941983661214</v>
      </c>
      <c r="AA95" s="189"/>
      <c r="AB95" s="184">
        <f t="shared" ca="1" si="68"/>
        <v>2109</v>
      </c>
      <c r="AC95" s="171">
        <f t="shared" si="51"/>
        <v>4651.1970991830603</v>
      </c>
      <c r="AD95" s="171">
        <f t="shared" si="47"/>
        <v>1333.8802558181758</v>
      </c>
      <c r="AE95" s="171">
        <f t="shared" si="78"/>
        <v>4115.2940857871736</v>
      </c>
      <c r="AF95" s="171">
        <f t="shared" si="69"/>
        <v>1333.8802558181758</v>
      </c>
      <c r="AG95" s="171">
        <f t="shared" si="80"/>
        <v>2987.84</v>
      </c>
      <c r="AH95" s="171">
        <f t="shared" si="52"/>
        <v>2987.84</v>
      </c>
      <c r="AI95" s="171">
        <f t="shared" si="53"/>
        <v>1333.8802558181758</v>
      </c>
      <c r="AJ95" s="171">
        <f>IF('Invoer gegevens'!$I$27="DAEB",SMALL(AC95:AD95,1),AC95)</f>
        <v>1333.8802558181758</v>
      </c>
      <c r="AK95" s="171">
        <f>IF('Invoer gegevens'!$I$27="DAEB",SMALL((AE95:AH95),1),SMALL((AF95:AH95),1))</f>
        <v>1333.8802558181758</v>
      </c>
      <c r="AL95" s="171">
        <f t="shared" si="75"/>
        <v>0</v>
      </c>
      <c r="AM95" s="171">
        <f t="shared" si="76"/>
        <v>0</v>
      </c>
      <c r="AN95" s="175">
        <f t="shared" si="71"/>
        <v>188360</v>
      </c>
      <c r="AP95" s="184">
        <f t="shared" ca="1" si="72"/>
        <v>2109</v>
      </c>
      <c r="AQ95" s="185">
        <f t="shared" si="54"/>
        <v>0.02</v>
      </c>
      <c r="AR95" s="182">
        <f t="shared" si="45"/>
        <v>5.9699303022614885</v>
      </c>
      <c r="AU95" s="184">
        <f t="shared" ca="1" si="73"/>
        <v>2109</v>
      </c>
      <c r="AV95" s="182">
        <f t="shared" si="55"/>
        <v>0.02</v>
      </c>
      <c r="AW95" s="179">
        <f t="shared" si="56"/>
        <v>5.0000000000000001E-3</v>
      </c>
      <c r="AX95" s="182">
        <f t="shared" si="57"/>
        <v>2.5000000000000001E-2</v>
      </c>
      <c r="AY95" s="186"/>
      <c r="AZ95" s="190"/>
      <c r="BA95" s="184">
        <f t="shared" ca="1" si="74"/>
        <v>2109</v>
      </c>
      <c r="BB95" s="171">
        <f t="shared" si="58"/>
        <v>4651.2299999999996</v>
      </c>
      <c r="BC95" s="171">
        <f t="shared" si="48"/>
        <v>4115.2940857871736</v>
      </c>
      <c r="BD95" s="171">
        <f t="shared" si="46"/>
        <v>2987.84</v>
      </c>
      <c r="BE95" s="171">
        <f t="shared" si="43"/>
        <v>1333.8802558181758</v>
      </c>
      <c r="BF95" s="171">
        <f t="shared" si="43"/>
        <v>1333.8802558181758</v>
      </c>
      <c r="BG95" s="171">
        <f t="shared" si="43"/>
        <v>1333.8802558181758</v>
      </c>
      <c r="BI95" s="187">
        <f>IF(A95-'Invoer gegevens'!$C$17&lt;0,0,IF(A95-'Invoer gegevens'!$C$17=0,1,IF(A95-'Invoer gegevens'!$C$17&lt;5,2,IF(A95-'Invoer gegevens'!$C$17&lt;15,3,4))))</f>
        <v>0</v>
      </c>
      <c r="BJ95" s="229">
        <f>IF(BI95&lt;1,0,IF(BI95&lt;2,4%,IF(Reeksen!BI95&lt;3,4%,IF(Reeksen!BI95&lt;4,4%*70%,IF(Reeksen!BI95&lt;5,4%*50%)))))</f>
        <v>0</v>
      </c>
      <c r="BK95" s="243"/>
      <c r="BL95" s="243"/>
      <c r="BM95" s="243"/>
      <c r="BN95" s="243"/>
      <c r="BO95" s="243"/>
      <c r="BP95" s="243"/>
      <c r="BQ95" s="243"/>
      <c r="BR95" s="243"/>
    </row>
    <row r="96" spans="1:70" x14ac:dyDescent="0.25">
      <c r="A96" s="184">
        <f t="shared" si="59"/>
        <v>91</v>
      </c>
      <c r="B96" s="179">
        <f>Dashboard!$C$25</f>
        <v>0.05</v>
      </c>
      <c r="C96" s="179">
        <f>Dashboard!$C$25</f>
        <v>0.05</v>
      </c>
      <c r="D96" s="179">
        <f>Dashboard!$C$25</f>
        <v>0.05</v>
      </c>
      <c r="E96" s="189"/>
      <c r="F96" s="184">
        <f t="shared" ca="1" si="60"/>
        <v>2110</v>
      </c>
      <c r="G96" s="179">
        <f t="shared" si="81"/>
        <v>0.02</v>
      </c>
      <c r="H96" s="182">
        <f t="shared" si="61"/>
        <v>6.0952455788256419</v>
      </c>
      <c r="I96" s="179">
        <f t="shared" si="82"/>
        <v>2.5000000000000001E-2</v>
      </c>
      <c r="J96" s="182">
        <f t="shared" si="62"/>
        <v>9.5255646329747119</v>
      </c>
      <c r="K96" s="179">
        <f t="shared" si="83"/>
        <v>2.5000000000000001E-2</v>
      </c>
      <c r="L96" s="182">
        <f t="shared" si="63"/>
        <v>9.5255646329747119</v>
      </c>
      <c r="M96" s="189"/>
      <c r="N96" s="184">
        <f t="shared" ca="1" si="64"/>
        <v>2110</v>
      </c>
      <c r="O96" s="179">
        <f t="shared" si="77"/>
        <v>0.02</v>
      </c>
      <c r="P96" s="182">
        <f t="shared" si="44"/>
        <v>6.0893289083067179</v>
      </c>
      <c r="R96" s="184">
        <f t="shared" ca="1" si="65"/>
        <v>2110</v>
      </c>
      <c r="S96" s="188">
        <f t="shared" si="79"/>
        <v>5.3600000000000002E-3</v>
      </c>
      <c r="U96" s="184">
        <f t="shared" ca="1" si="66"/>
        <v>2110</v>
      </c>
      <c r="V96" s="182">
        <f t="shared" si="49"/>
        <v>0.02</v>
      </c>
      <c r="W96" s="180">
        <f>Parameters!$D$12</f>
        <v>5.0000000000000001E-3</v>
      </c>
      <c r="X96" s="182">
        <f t="shared" si="50"/>
        <v>2.5000000000000001E-2</v>
      </c>
      <c r="Y96" s="182">
        <f t="shared" si="67"/>
        <v>9.5349540533252739</v>
      </c>
      <c r="AA96" s="189"/>
      <c r="AB96" s="184">
        <f t="shared" ca="1" si="68"/>
        <v>2110</v>
      </c>
      <c r="AC96" s="171">
        <f t="shared" si="51"/>
        <v>4767.4770266626374</v>
      </c>
      <c r="AD96" s="171">
        <f t="shared" si="47"/>
        <v>1360.5578609345393</v>
      </c>
      <c r="AE96" s="171">
        <f t="shared" si="78"/>
        <v>4197.599967502917</v>
      </c>
      <c r="AF96" s="171">
        <f t="shared" si="69"/>
        <v>1360.5578609345393</v>
      </c>
      <c r="AG96" s="171">
        <f t="shared" si="80"/>
        <v>3047.6</v>
      </c>
      <c r="AH96" s="171">
        <f t="shared" si="52"/>
        <v>3047.6</v>
      </c>
      <c r="AI96" s="171">
        <f t="shared" si="53"/>
        <v>1360.5578609345393</v>
      </c>
      <c r="AJ96" s="171">
        <f>IF('Invoer gegevens'!$I$27="DAEB",SMALL(AC96:AD96,1),AC96)</f>
        <v>1360.5578609345393</v>
      </c>
      <c r="AK96" s="171">
        <f>IF('Invoer gegevens'!$I$27="DAEB",SMALL((AE96:AH96),1),SMALL((AF96:AH96),1))</f>
        <v>1360.5578609345393</v>
      </c>
      <c r="AL96" s="171">
        <f t="shared" si="75"/>
        <v>0</v>
      </c>
      <c r="AM96" s="171">
        <f t="shared" si="76"/>
        <v>0</v>
      </c>
      <c r="AN96" s="175">
        <f t="shared" si="71"/>
        <v>192127</v>
      </c>
      <c r="AP96" s="184">
        <f t="shared" ca="1" si="72"/>
        <v>2110</v>
      </c>
      <c r="AQ96" s="185">
        <f t="shared" si="54"/>
        <v>0.02</v>
      </c>
      <c r="AR96" s="182">
        <f t="shared" si="45"/>
        <v>6.0893289083067179</v>
      </c>
      <c r="AU96" s="184">
        <f t="shared" ca="1" si="73"/>
        <v>2110</v>
      </c>
      <c r="AV96" s="182">
        <f t="shared" si="55"/>
        <v>0.02</v>
      </c>
      <c r="AW96" s="179">
        <f t="shared" si="56"/>
        <v>5.0000000000000001E-3</v>
      </c>
      <c r="AX96" s="182">
        <f t="shared" si="57"/>
        <v>2.5000000000000001E-2</v>
      </c>
      <c r="AY96" s="186"/>
      <c r="AZ96" s="190"/>
      <c r="BA96" s="184">
        <f t="shared" ca="1" si="74"/>
        <v>2110</v>
      </c>
      <c r="BB96" s="171">
        <f t="shared" si="58"/>
        <v>4767.51</v>
      </c>
      <c r="BC96" s="171">
        <f t="shared" si="48"/>
        <v>4197.599967502917</v>
      </c>
      <c r="BD96" s="171">
        <f t="shared" si="46"/>
        <v>3047.6</v>
      </c>
      <c r="BE96" s="171">
        <f t="shared" si="43"/>
        <v>1360.5578609345393</v>
      </c>
      <c r="BF96" s="171">
        <f t="shared" si="43"/>
        <v>1360.5578609345393</v>
      </c>
      <c r="BG96" s="171">
        <f t="shared" si="43"/>
        <v>1360.5578609345393</v>
      </c>
      <c r="BI96" s="187">
        <f>IF(A96-'Invoer gegevens'!$C$17&lt;0,0,IF(A96-'Invoer gegevens'!$C$17=0,1,IF(A96-'Invoer gegevens'!$C$17&lt;5,2,IF(A96-'Invoer gegevens'!$C$17&lt;15,3,4))))</f>
        <v>0</v>
      </c>
      <c r="BJ96" s="229">
        <f>IF(BI96&lt;1,0,IF(BI96&lt;2,4%,IF(Reeksen!BI96&lt;3,4%,IF(Reeksen!BI96&lt;4,4%*70%,IF(Reeksen!BI96&lt;5,4%*50%)))))</f>
        <v>0</v>
      </c>
      <c r="BK96" s="243"/>
      <c r="BL96" s="243"/>
      <c r="BM96" s="243"/>
      <c r="BN96" s="243"/>
      <c r="BO96" s="243"/>
      <c r="BP96" s="243"/>
      <c r="BQ96" s="243"/>
      <c r="BR96" s="243"/>
    </row>
    <row r="97" spans="1:70" x14ac:dyDescent="0.25">
      <c r="A97" s="184">
        <f t="shared" si="59"/>
        <v>92</v>
      </c>
      <c r="B97" s="179">
        <f>Dashboard!$C$25</f>
        <v>0.05</v>
      </c>
      <c r="C97" s="179">
        <f>Dashboard!$C$25</f>
        <v>0.05</v>
      </c>
      <c r="D97" s="179">
        <f>Dashboard!$C$25</f>
        <v>0.05</v>
      </c>
      <c r="E97" s="189"/>
      <c r="F97" s="184">
        <f t="shared" ca="1" si="60"/>
        <v>2111</v>
      </c>
      <c r="G97" s="179">
        <f t="shared" si="81"/>
        <v>0.02</v>
      </c>
      <c r="H97" s="182">
        <f t="shared" si="61"/>
        <v>6.2171504904021546</v>
      </c>
      <c r="I97" s="179">
        <f t="shared" si="82"/>
        <v>2.5000000000000001E-2</v>
      </c>
      <c r="J97" s="182">
        <f t="shared" si="62"/>
        <v>9.7637037487990792</v>
      </c>
      <c r="K97" s="179">
        <f t="shared" si="83"/>
        <v>2.5000000000000001E-2</v>
      </c>
      <c r="L97" s="182">
        <f t="shared" si="63"/>
        <v>9.7637037487990792</v>
      </c>
      <c r="M97" s="189"/>
      <c r="N97" s="184">
        <f t="shared" ca="1" si="64"/>
        <v>2111</v>
      </c>
      <c r="O97" s="179">
        <f t="shared" si="77"/>
        <v>0.02</v>
      </c>
      <c r="P97" s="182">
        <f t="shared" si="44"/>
        <v>6.2111154864728526</v>
      </c>
      <c r="R97" s="184">
        <f t="shared" ca="1" si="65"/>
        <v>2111</v>
      </c>
      <c r="S97" s="188">
        <f t="shared" si="79"/>
        <v>5.3600000000000002E-3</v>
      </c>
      <c r="U97" s="184">
        <f t="shared" ca="1" si="66"/>
        <v>2111</v>
      </c>
      <c r="V97" s="182">
        <f t="shared" si="49"/>
        <v>0.02</v>
      </c>
      <c r="W97" s="180">
        <f>Parameters!$D$12</f>
        <v>5.0000000000000001E-3</v>
      </c>
      <c r="X97" s="182">
        <f t="shared" si="50"/>
        <v>2.5000000000000001E-2</v>
      </c>
      <c r="Y97" s="182">
        <f t="shared" si="67"/>
        <v>9.7733279046584052</v>
      </c>
      <c r="AA97" s="189"/>
      <c r="AB97" s="184">
        <f t="shared" ca="1" si="68"/>
        <v>2111</v>
      </c>
      <c r="AC97" s="171">
        <f t="shared" si="51"/>
        <v>4886.6639523292024</v>
      </c>
      <c r="AD97" s="171">
        <f t="shared" si="47"/>
        <v>1387.76901815323</v>
      </c>
      <c r="AE97" s="171">
        <f t="shared" si="78"/>
        <v>4281.5519668529751</v>
      </c>
      <c r="AF97" s="171">
        <f t="shared" si="69"/>
        <v>1387.76901815323</v>
      </c>
      <c r="AG97" s="171">
        <f t="shared" si="80"/>
        <v>3108.55</v>
      </c>
      <c r="AH97" s="171">
        <f t="shared" si="52"/>
        <v>3108.55</v>
      </c>
      <c r="AI97" s="171">
        <f t="shared" si="53"/>
        <v>1387.76901815323</v>
      </c>
      <c r="AJ97" s="171">
        <f>IF('Invoer gegevens'!$I$27="DAEB",SMALL(AC97:AD97,1),AC97)</f>
        <v>1387.76901815323</v>
      </c>
      <c r="AK97" s="171">
        <f>IF('Invoer gegevens'!$I$27="DAEB",SMALL((AE97:AH97),1),SMALL((AF97:AH97),1))</f>
        <v>1387.76901815323</v>
      </c>
      <c r="AL97" s="171">
        <f t="shared" si="75"/>
        <v>0</v>
      </c>
      <c r="AM97" s="171">
        <f t="shared" si="76"/>
        <v>0</v>
      </c>
      <c r="AN97" s="175">
        <f t="shared" si="71"/>
        <v>195970</v>
      </c>
      <c r="AP97" s="184">
        <f t="shared" ca="1" si="72"/>
        <v>2111</v>
      </c>
      <c r="AQ97" s="185">
        <f t="shared" si="54"/>
        <v>0.02</v>
      </c>
      <c r="AR97" s="182">
        <f t="shared" si="45"/>
        <v>6.2111154864728526</v>
      </c>
      <c r="AU97" s="184">
        <f t="shared" ca="1" si="73"/>
        <v>2111</v>
      </c>
      <c r="AV97" s="182">
        <f t="shared" si="55"/>
        <v>0.02</v>
      </c>
      <c r="AW97" s="179">
        <f t="shared" si="56"/>
        <v>5.0000000000000001E-3</v>
      </c>
      <c r="AX97" s="182">
        <f t="shared" si="57"/>
        <v>2.5000000000000001E-2</v>
      </c>
      <c r="AY97" s="186"/>
      <c r="AZ97" s="190"/>
      <c r="BA97" s="184">
        <f t="shared" ca="1" si="74"/>
        <v>2111</v>
      </c>
      <c r="BB97" s="171">
        <f t="shared" si="58"/>
        <v>4886.7</v>
      </c>
      <c r="BC97" s="171">
        <f t="shared" si="48"/>
        <v>4281.5519668529751</v>
      </c>
      <c r="BD97" s="171">
        <f t="shared" si="46"/>
        <v>3108.55</v>
      </c>
      <c r="BE97" s="171">
        <f>AI97</f>
        <v>1387.76901815323</v>
      </c>
      <c r="BF97" s="171">
        <f>AJ97</f>
        <v>1387.76901815323</v>
      </c>
      <c r="BG97" s="171">
        <f>AK97</f>
        <v>1387.76901815323</v>
      </c>
      <c r="BI97" s="187">
        <f>IF(A97-'Invoer gegevens'!$C$17&lt;0,0,IF(A97-'Invoer gegevens'!$C$17=0,1,IF(A97-'Invoer gegevens'!$C$17&lt;5,2,IF(A97-'Invoer gegevens'!$C$17&lt;15,3,4))))</f>
        <v>0</v>
      </c>
      <c r="BJ97" s="229">
        <f>IF(BI97&lt;1,0,IF(BI97&lt;2,4%,IF(Reeksen!BI97&lt;3,4%,IF(Reeksen!BI97&lt;4,4%*70%,IF(Reeksen!BI97&lt;5,4%*50%)))))</f>
        <v>0</v>
      </c>
      <c r="BK97" s="243"/>
      <c r="BL97" s="243"/>
      <c r="BM97" s="243"/>
      <c r="BN97" s="243"/>
      <c r="BO97" s="243"/>
      <c r="BP97" s="243"/>
      <c r="BQ97" s="243"/>
      <c r="BR97" s="243"/>
    </row>
    <row r="98" spans="1:70" x14ac:dyDescent="0.25">
      <c r="A98" s="184">
        <f t="shared" si="59"/>
        <v>93</v>
      </c>
      <c r="B98" s="179">
        <f>Dashboard!$C$25</f>
        <v>0.05</v>
      </c>
      <c r="C98" s="179">
        <f>Dashboard!$C$25</f>
        <v>0.05</v>
      </c>
      <c r="D98" s="179">
        <f>Dashboard!$C$25</f>
        <v>0.05</v>
      </c>
      <c r="E98" s="189"/>
      <c r="F98" s="184">
        <f t="shared" ca="1" si="60"/>
        <v>2112</v>
      </c>
      <c r="G98" s="179">
        <f t="shared" si="81"/>
        <v>0.02</v>
      </c>
      <c r="H98" s="182">
        <f t="shared" si="61"/>
        <v>6.3414935002101975</v>
      </c>
      <c r="I98" s="179">
        <f t="shared" si="82"/>
        <v>2.5000000000000001E-2</v>
      </c>
      <c r="J98" s="182">
        <f t="shared" si="62"/>
        <v>10.007796342519056</v>
      </c>
      <c r="K98" s="179">
        <f t="shared" si="83"/>
        <v>2.5000000000000001E-2</v>
      </c>
      <c r="L98" s="182">
        <f t="shared" si="63"/>
        <v>10.007796342519056</v>
      </c>
      <c r="M98" s="189"/>
      <c r="N98" s="184">
        <f t="shared" ca="1" si="64"/>
        <v>2112</v>
      </c>
      <c r="O98" s="179">
        <f t="shared" si="77"/>
        <v>0.02</v>
      </c>
      <c r="P98" s="182">
        <f t="shared" si="44"/>
        <v>6.3353377962023094</v>
      </c>
      <c r="R98" s="184">
        <f t="shared" ca="1" si="65"/>
        <v>2112</v>
      </c>
      <c r="S98" s="188">
        <f t="shared" si="79"/>
        <v>5.3600000000000002E-3</v>
      </c>
      <c r="U98" s="184">
        <f t="shared" ca="1" si="66"/>
        <v>2112</v>
      </c>
      <c r="V98" s="182">
        <f t="shared" si="49"/>
        <v>0.02</v>
      </c>
      <c r="W98" s="180">
        <f>Parameters!$D$12</f>
        <v>5.0000000000000001E-3</v>
      </c>
      <c r="X98" s="182">
        <f t="shared" si="50"/>
        <v>2.5000000000000001E-2</v>
      </c>
      <c r="Y98" s="182">
        <f t="shared" si="67"/>
        <v>10.017661102274865</v>
      </c>
      <c r="AA98" s="189"/>
      <c r="AB98" s="184">
        <f t="shared" ca="1" si="68"/>
        <v>2112</v>
      </c>
      <c r="AC98" s="171">
        <f t="shared" si="51"/>
        <v>5008.8305511374319</v>
      </c>
      <c r="AD98" s="171">
        <f t="shared" si="47"/>
        <v>1415.5243985162947</v>
      </c>
      <c r="AE98" s="171">
        <f t="shared" si="78"/>
        <v>4367.1830061900346</v>
      </c>
      <c r="AF98" s="171">
        <f t="shared" si="69"/>
        <v>1415.5243985162947</v>
      </c>
      <c r="AG98" s="171">
        <f t="shared" si="80"/>
        <v>3170.72</v>
      </c>
      <c r="AH98" s="171">
        <f t="shared" si="52"/>
        <v>3170.72</v>
      </c>
      <c r="AI98" s="171">
        <f t="shared" si="53"/>
        <v>1415.5243985162947</v>
      </c>
      <c r="AJ98" s="171">
        <f>IF('Invoer gegevens'!$I$27="DAEB",SMALL(AC98:AD98,1),AC98)</f>
        <v>1415.5243985162947</v>
      </c>
      <c r="AK98" s="171">
        <f>IF('Invoer gegevens'!$I$27="DAEB",SMALL((AE98:AH98),1),SMALL((AF98:AH98),1))</f>
        <v>1415.5243985162947</v>
      </c>
      <c r="AL98" s="171">
        <f t="shared" si="75"/>
        <v>0</v>
      </c>
      <c r="AM98" s="171">
        <f t="shared" si="76"/>
        <v>0</v>
      </c>
      <c r="AN98" s="175">
        <f t="shared" si="71"/>
        <v>199889</v>
      </c>
      <c r="AP98" s="184">
        <f t="shared" ca="1" si="72"/>
        <v>2112</v>
      </c>
      <c r="AQ98" s="185">
        <f t="shared" si="54"/>
        <v>0.02</v>
      </c>
      <c r="AR98" s="182">
        <f t="shared" si="45"/>
        <v>6.3353377962023094</v>
      </c>
      <c r="AU98" s="184">
        <f t="shared" ca="1" si="73"/>
        <v>2112</v>
      </c>
      <c r="AV98" s="182">
        <f t="shared" si="55"/>
        <v>0.02</v>
      </c>
      <c r="AW98" s="179">
        <f t="shared" si="56"/>
        <v>5.0000000000000001E-3</v>
      </c>
      <c r="AX98" s="182">
        <f t="shared" si="57"/>
        <v>2.5000000000000001E-2</v>
      </c>
      <c r="AY98" s="186"/>
      <c r="AZ98" s="190"/>
      <c r="BA98" s="184">
        <f t="shared" ca="1" si="74"/>
        <v>2112</v>
      </c>
      <c r="BB98" s="171">
        <f t="shared" si="58"/>
        <v>5008.87</v>
      </c>
      <c r="BC98" s="171">
        <f t="shared" si="48"/>
        <v>4367.1830061900346</v>
      </c>
      <c r="BD98" s="171">
        <f t="shared" ref="BD98:BG161" si="84">AH98</f>
        <v>3170.72</v>
      </c>
      <c r="BE98" s="171">
        <f t="shared" si="84"/>
        <v>1415.5243985162947</v>
      </c>
      <c r="BF98" s="171">
        <f t="shared" si="84"/>
        <v>1415.5243985162947</v>
      </c>
      <c r="BG98" s="171">
        <f t="shared" si="84"/>
        <v>1415.5243985162947</v>
      </c>
      <c r="BI98" s="187">
        <f>IF(A98-'Invoer gegevens'!$C$17&lt;0,0,IF(A98-'Invoer gegevens'!$C$17=0,1,IF(A98-'Invoer gegevens'!$C$17&lt;5,2,IF(A98-'Invoer gegevens'!$C$17&lt;15,3,4))))</f>
        <v>0</v>
      </c>
      <c r="BJ98" s="229">
        <f>IF(BI98&lt;1,0,IF(BI98&lt;2,4%,IF(Reeksen!BI98&lt;3,4%,IF(Reeksen!BI98&lt;4,4%*70%,IF(Reeksen!BI98&lt;5,4%*50%)))))</f>
        <v>0</v>
      </c>
      <c r="BK98" s="243"/>
      <c r="BL98" s="243"/>
      <c r="BM98" s="243"/>
      <c r="BN98" s="243"/>
      <c r="BO98" s="243"/>
      <c r="BP98" s="243"/>
      <c r="BQ98" s="243"/>
      <c r="BR98" s="243"/>
    </row>
    <row r="99" spans="1:70" x14ac:dyDescent="0.25">
      <c r="A99" s="184">
        <f t="shared" si="59"/>
        <v>94</v>
      </c>
      <c r="B99" s="179">
        <f>Dashboard!$C$25</f>
        <v>0.05</v>
      </c>
      <c r="C99" s="179">
        <f>Dashboard!$C$25</f>
        <v>0.05</v>
      </c>
      <c r="D99" s="179">
        <f>Dashboard!$C$25</f>
        <v>0.05</v>
      </c>
      <c r="E99" s="189"/>
      <c r="F99" s="184">
        <f t="shared" ca="1" si="60"/>
        <v>2113</v>
      </c>
      <c r="G99" s="179">
        <f t="shared" si="81"/>
        <v>0.02</v>
      </c>
      <c r="H99" s="182">
        <f t="shared" si="61"/>
        <v>6.4683233702144012</v>
      </c>
      <c r="I99" s="179">
        <f t="shared" si="82"/>
        <v>2.5000000000000001E-2</v>
      </c>
      <c r="J99" s="182">
        <f t="shared" si="62"/>
        <v>10.25799125108203</v>
      </c>
      <c r="K99" s="179">
        <f t="shared" si="83"/>
        <v>2.5000000000000001E-2</v>
      </c>
      <c r="L99" s="182">
        <f t="shared" si="63"/>
        <v>10.25799125108203</v>
      </c>
      <c r="M99" s="189"/>
      <c r="N99" s="184">
        <f t="shared" ca="1" si="64"/>
        <v>2113</v>
      </c>
      <c r="O99" s="179">
        <f t="shared" si="77"/>
        <v>0.02</v>
      </c>
      <c r="P99" s="182">
        <f t="shared" si="44"/>
        <v>6.4620445521263559</v>
      </c>
      <c r="R99" s="184">
        <f t="shared" ca="1" si="65"/>
        <v>2113</v>
      </c>
      <c r="S99" s="188">
        <f t="shared" si="79"/>
        <v>5.3600000000000002E-3</v>
      </c>
      <c r="U99" s="184">
        <f t="shared" ca="1" si="66"/>
        <v>2113</v>
      </c>
      <c r="V99" s="182">
        <f t="shared" si="49"/>
        <v>0.02</v>
      </c>
      <c r="W99" s="180">
        <f>Parameters!$D$12</f>
        <v>5.0000000000000001E-3</v>
      </c>
      <c r="X99" s="182">
        <f t="shared" si="50"/>
        <v>2.5000000000000001E-2</v>
      </c>
      <c r="Y99" s="182">
        <f t="shared" si="67"/>
        <v>10.268102629831736</v>
      </c>
      <c r="AA99" s="189"/>
      <c r="AB99" s="184">
        <f t="shared" ca="1" si="68"/>
        <v>2113</v>
      </c>
      <c r="AC99" s="171">
        <f t="shared" si="51"/>
        <v>5134.0513149158678</v>
      </c>
      <c r="AD99" s="171">
        <f t="shared" si="47"/>
        <v>1443.8348864866205</v>
      </c>
      <c r="AE99" s="171">
        <f t="shared" si="78"/>
        <v>4454.5266663138354</v>
      </c>
      <c r="AF99" s="171">
        <f t="shared" si="69"/>
        <v>1443.8348864866205</v>
      </c>
      <c r="AG99" s="171">
        <f t="shared" si="80"/>
        <v>3234.13</v>
      </c>
      <c r="AH99" s="171">
        <f t="shared" si="52"/>
        <v>3234.13</v>
      </c>
      <c r="AI99" s="171">
        <f t="shared" si="53"/>
        <v>1443.8348864866205</v>
      </c>
      <c r="AJ99" s="171">
        <f>IF('Invoer gegevens'!$I$27="DAEB",SMALL(AC99:AD99,1),AC99)</f>
        <v>1443.8348864866205</v>
      </c>
      <c r="AK99" s="171">
        <f>IF('Invoer gegevens'!$I$27="DAEB",SMALL((AE99:AH99),1),SMALL((AF99:AH99),1))</f>
        <v>1443.8348864866205</v>
      </c>
      <c r="AL99" s="171">
        <f t="shared" si="75"/>
        <v>0</v>
      </c>
      <c r="AM99" s="171">
        <f t="shared" si="76"/>
        <v>0</v>
      </c>
      <c r="AN99" s="175">
        <f t="shared" si="71"/>
        <v>203887</v>
      </c>
      <c r="AP99" s="184">
        <f t="shared" ca="1" si="72"/>
        <v>2113</v>
      </c>
      <c r="AQ99" s="185">
        <f t="shared" si="54"/>
        <v>0.02</v>
      </c>
      <c r="AR99" s="182">
        <f t="shared" si="45"/>
        <v>6.4620445521263559</v>
      </c>
      <c r="AU99" s="184">
        <f t="shared" ca="1" si="73"/>
        <v>2113</v>
      </c>
      <c r="AV99" s="182">
        <f t="shared" si="55"/>
        <v>0.02</v>
      </c>
      <c r="AW99" s="179">
        <f t="shared" si="56"/>
        <v>5.0000000000000001E-3</v>
      </c>
      <c r="AX99" s="182">
        <f t="shared" si="57"/>
        <v>2.5000000000000001E-2</v>
      </c>
      <c r="AY99" s="186"/>
      <c r="AZ99" s="190"/>
      <c r="BA99" s="184">
        <f t="shared" ca="1" si="74"/>
        <v>2113</v>
      </c>
      <c r="BB99" s="171">
        <f t="shared" si="58"/>
        <v>5134.09</v>
      </c>
      <c r="BC99" s="171">
        <f t="shared" si="48"/>
        <v>4454.5266663138354</v>
      </c>
      <c r="BD99" s="171">
        <f t="shared" si="84"/>
        <v>3234.13</v>
      </c>
      <c r="BE99" s="171">
        <f t="shared" si="84"/>
        <v>1443.8348864866205</v>
      </c>
      <c r="BF99" s="171">
        <f t="shared" si="84"/>
        <v>1443.8348864866205</v>
      </c>
      <c r="BG99" s="171">
        <f t="shared" si="84"/>
        <v>1443.8348864866205</v>
      </c>
      <c r="BI99" s="187">
        <f>IF(A99-'Invoer gegevens'!$C$17&lt;0,0,IF(A99-'Invoer gegevens'!$C$17=0,1,IF(A99-'Invoer gegevens'!$C$17&lt;5,2,IF(A99-'Invoer gegevens'!$C$17&lt;15,3,4))))</f>
        <v>0</v>
      </c>
      <c r="BJ99" s="229">
        <f>IF(BI99&lt;1,0,IF(BI99&lt;2,4%,IF(Reeksen!BI99&lt;3,4%,IF(Reeksen!BI99&lt;4,4%*70%,IF(Reeksen!BI99&lt;5,4%*50%)))))</f>
        <v>0</v>
      </c>
      <c r="BK99" s="243"/>
      <c r="BL99" s="243"/>
      <c r="BM99" s="243"/>
      <c r="BN99" s="243"/>
      <c r="BO99" s="243"/>
      <c r="BP99" s="243"/>
      <c r="BQ99" s="243"/>
      <c r="BR99" s="243"/>
    </row>
    <row r="100" spans="1:70" x14ac:dyDescent="0.25">
      <c r="A100" s="184">
        <f t="shared" si="59"/>
        <v>95</v>
      </c>
      <c r="B100" s="179">
        <f>Dashboard!$C$25</f>
        <v>0.05</v>
      </c>
      <c r="C100" s="179">
        <f>Dashboard!$C$25</f>
        <v>0.05</v>
      </c>
      <c r="D100" s="179">
        <f>Dashboard!$C$25</f>
        <v>0.05</v>
      </c>
      <c r="E100" s="189"/>
      <c r="F100" s="184">
        <f t="shared" ca="1" si="60"/>
        <v>2114</v>
      </c>
      <c r="G100" s="179">
        <f t="shared" si="81"/>
        <v>0.02</v>
      </c>
      <c r="H100" s="182">
        <f t="shared" si="61"/>
        <v>6.597689837618689</v>
      </c>
      <c r="I100" s="179">
        <f t="shared" si="82"/>
        <v>2.5000000000000001E-2</v>
      </c>
      <c r="J100" s="182">
        <f t="shared" si="62"/>
        <v>10.51444103235908</v>
      </c>
      <c r="K100" s="179">
        <f t="shared" si="83"/>
        <v>2.5000000000000001E-2</v>
      </c>
      <c r="L100" s="182">
        <f t="shared" si="63"/>
        <v>10.51444103235908</v>
      </c>
      <c r="M100" s="189"/>
      <c r="N100" s="184">
        <f t="shared" ca="1" si="64"/>
        <v>2114</v>
      </c>
      <c r="O100" s="179">
        <f t="shared" si="77"/>
        <v>0.02</v>
      </c>
      <c r="P100" s="182">
        <f t="shared" si="44"/>
        <v>6.591285443168883</v>
      </c>
      <c r="R100" s="184">
        <f t="shared" ca="1" si="65"/>
        <v>2114</v>
      </c>
      <c r="S100" s="188">
        <f t="shared" si="79"/>
        <v>5.3600000000000002E-3</v>
      </c>
      <c r="U100" s="184">
        <f t="shared" ca="1" si="66"/>
        <v>2114</v>
      </c>
      <c r="V100" s="182">
        <f t="shared" si="49"/>
        <v>0.02</v>
      </c>
      <c r="W100" s="180">
        <f>Parameters!$D$12</f>
        <v>5.0000000000000001E-3</v>
      </c>
      <c r="X100" s="182">
        <f t="shared" si="50"/>
        <v>2.5000000000000001E-2</v>
      </c>
      <c r="Y100" s="182">
        <f t="shared" si="67"/>
        <v>10.524805195577528</v>
      </c>
      <c r="AA100" s="189"/>
      <c r="AB100" s="184">
        <f t="shared" ca="1" si="68"/>
        <v>2114</v>
      </c>
      <c r="AC100" s="171">
        <f t="shared" si="51"/>
        <v>5262.4025977887641</v>
      </c>
      <c r="AD100" s="171">
        <f t="shared" si="47"/>
        <v>1472.7115842163528</v>
      </c>
      <c r="AE100" s="171">
        <f t="shared" si="78"/>
        <v>4543.6171996401126</v>
      </c>
      <c r="AF100" s="171">
        <f t="shared" si="69"/>
        <v>1472.7115842163528</v>
      </c>
      <c r="AG100" s="171">
        <f t="shared" si="80"/>
        <v>3298.81</v>
      </c>
      <c r="AH100" s="171">
        <f t="shared" si="52"/>
        <v>3298.81</v>
      </c>
      <c r="AI100" s="171">
        <f t="shared" si="53"/>
        <v>1472.7115842163528</v>
      </c>
      <c r="AJ100" s="171">
        <f>IF('Invoer gegevens'!$I$27="DAEB",SMALL(AC100:AD100,1),AC100)</f>
        <v>1472.7115842163528</v>
      </c>
      <c r="AK100" s="171">
        <f>IF('Invoer gegevens'!$I$27="DAEB",SMALL((AE100:AH100),1),SMALL((AF100:AH100),1))</f>
        <v>1472.7115842163528</v>
      </c>
      <c r="AL100" s="171">
        <f t="shared" si="75"/>
        <v>0</v>
      </c>
      <c r="AM100" s="171">
        <f t="shared" si="76"/>
        <v>0</v>
      </c>
      <c r="AN100" s="175">
        <f t="shared" si="71"/>
        <v>207965</v>
      </c>
      <c r="AP100" s="184">
        <f t="shared" ca="1" si="72"/>
        <v>2114</v>
      </c>
      <c r="AQ100" s="185">
        <f t="shared" si="54"/>
        <v>0.02</v>
      </c>
      <c r="AR100" s="182">
        <f t="shared" si="45"/>
        <v>6.591285443168883</v>
      </c>
      <c r="AU100" s="184">
        <f t="shared" ca="1" si="73"/>
        <v>2114</v>
      </c>
      <c r="AV100" s="182">
        <f t="shared" si="55"/>
        <v>0.02</v>
      </c>
      <c r="AW100" s="179">
        <f t="shared" si="56"/>
        <v>5.0000000000000001E-3</v>
      </c>
      <c r="AX100" s="182">
        <f t="shared" si="57"/>
        <v>2.5000000000000001E-2</v>
      </c>
      <c r="AY100" s="186"/>
      <c r="AZ100" s="190"/>
      <c r="BA100" s="184">
        <f t="shared" ca="1" si="74"/>
        <v>2114</v>
      </c>
      <c r="BB100" s="171">
        <f t="shared" si="58"/>
        <v>5262.44</v>
      </c>
      <c r="BC100" s="171">
        <f t="shared" si="48"/>
        <v>4543.6171996401126</v>
      </c>
      <c r="BD100" s="171">
        <f t="shared" si="84"/>
        <v>3298.81</v>
      </c>
      <c r="BE100" s="171">
        <f t="shared" si="84"/>
        <v>1472.7115842163528</v>
      </c>
      <c r="BF100" s="171">
        <f t="shared" si="84"/>
        <v>1472.7115842163528</v>
      </c>
      <c r="BG100" s="171">
        <f t="shared" si="84"/>
        <v>1472.7115842163528</v>
      </c>
      <c r="BI100" s="187">
        <f>IF(A100-'Invoer gegevens'!$C$17&lt;0,0,IF(A100-'Invoer gegevens'!$C$17=0,1,IF(A100-'Invoer gegevens'!$C$17&lt;5,2,IF(A100-'Invoer gegevens'!$C$17&lt;15,3,4))))</f>
        <v>0</v>
      </c>
      <c r="BJ100" s="229">
        <f>IF(BI100&lt;1,0,IF(BI100&lt;2,4%,IF(Reeksen!BI100&lt;3,4%,IF(Reeksen!BI100&lt;4,4%*70%,IF(Reeksen!BI100&lt;5,4%*50%)))))</f>
        <v>0</v>
      </c>
      <c r="BK100" s="243"/>
      <c r="BL100" s="243"/>
      <c r="BM100" s="243"/>
      <c r="BN100" s="243"/>
      <c r="BO100" s="243"/>
      <c r="BP100" s="243"/>
      <c r="BQ100" s="243"/>
      <c r="BR100" s="243"/>
    </row>
    <row r="101" spans="1:70" x14ac:dyDescent="0.25">
      <c r="A101" s="184">
        <f t="shared" si="59"/>
        <v>96</v>
      </c>
      <c r="B101" s="179">
        <f>Dashboard!$C$25</f>
        <v>0.05</v>
      </c>
      <c r="C101" s="179">
        <f>Dashboard!$C$25</f>
        <v>0.05</v>
      </c>
      <c r="D101" s="179">
        <f>Dashboard!$C$25</f>
        <v>0.05</v>
      </c>
      <c r="E101" s="189"/>
      <c r="F101" s="184">
        <f t="shared" ca="1" si="60"/>
        <v>2115</v>
      </c>
      <c r="G101" s="179">
        <f t="shared" si="81"/>
        <v>0.02</v>
      </c>
      <c r="H101" s="182">
        <f t="shared" si="61"/>
        <v>6.7296436343710626</v>
      </c>
      <c r="I101" s="179">
        <f t="shared" si="82"/>
        <v>2.5000000000000001E-2</v>
      </c>
      <c r="J101" s="182">
        <f t="shared" si="62"/>
        <v>10.777302058168056</v>
      </c>
      <c r="K101" s="179">
        <f t="shared" si="83"/>
        <v>2.5000000000000001E-2</v>
      </c>
      <c r="L101" s="182">
        <f t="shared" si="63"/>
        <v>10.777302058168056</v>
      </c>
      <c r="M101" s="189"/>
      <c r="N101" s="184">
        <f t="shared" ca="1" si="64"/>
        <v>2115</v>
      </c>
      <c r="O101" s="179">
        <f t="shared" si="77"/>
        <v>0.02</v>
      </c>
      <c r="P101" s="182">
        <f t="shared" si="44"/>
        <v>6.7231111520322608</v>
      </c>
      <c r="R101" s="184">
        <f t="shared" ca="1" si="65"/>
        <v>2115</v>
      </c>
      <c r="S101" s="188">
        <f t="shared" si="79"/>
        <v>5.3600000000000002E-3</v>
      </c>
      <c r="U101" s="184">
        <f t="shared" ca="1" si="66"/>
        <v>2115</v>
      </c>
      <c r="V101" s="182">
        <f t="shared" si="49"/>
        <v>0.02</v>
      </c>
      <c r="W101" s="180">
        <f>Parameters!$D$12</f>
        <v>5.0000000000000001E-3</v>
      </c>
      <c r="X101" s="182">
        <f t="shared" si="50"/>
        <v>2.5000000000000001E-2</v>
      </c>
      <c r="Y101" s="182">
        <f t="shared" si="67"/>
        <v>10.787925325466965</v>
      </c>
      <c r="AA101" s="189"/>
      <c r="AB101" s="184">
        <f t="shared" ca="1" si="68"/>
        <v>2115</v>
      </c>
      <c r="AC101" s="171">
        <f t="shared" si="51"/>
        <v>5393.9626627334828</v>
      </c>
      <c r="AD101" s="171">
        <f t="shared" si="47"/>
        <v>1502.1658159006799</v>
      </c>
      <c r="AE101" s="171">
        <f t="shared" si="78"/>
        <v>4634.4895436329152</v>
      </c>
      <c r="AF101" s="171">
        <f t="shared" si="69"/>
        <v>1502.1658159006799</v>
      </c>
      <c r="AG101" s="171">
        <f t="shared" si="80"/>
        <v>3364.79</v>
      </c>
      <c r="AH101" s="171">
        <f t="shared" si="52"/>
        <v>3364.79</v>
      </c>
      <c r="AI101" s="171">
        <f t="shared" si="53"/>
        <v>1502.1658159006799</v>
      </c>
      <c r="AJ101" s="171">
        <f>IF('Invoer gegevens'!$I$27="DAEB",SMALL(AC101:AD101,1),AC101)</f>
        <v>1502.1658159006799</v>
      </c>
      <c r="AK101" s="171">
        <f>IF('Invoer gegevens'!$I$27="DAEB",SMALL((AE101:AH101),1),SMALL((AF101:AH101),1))</f>
        <v>1502.1658159006799</v>
      </c>
      <c r="AL101" s="171">
        <f t="shared" si="75"/>
        <v>0</v>
      </c>
      <c r="AM101" s="171">
        <f t="shared" si="76"/>
        <v>0</v>
      </c>
      <c r="AN101" s="175">
        <f t="shared" si="71"/>
        <v>212124</v>
      </c>
      <c r="AP101" s="184">
        <f t="shared" ca="1" si="72"/>
        <v>2115</v>
      </c>
      <c r="AQ101" s="185">
        <f t="shared" si="54"/>
        <v>0.02</v>
      </c>
      <c r="AR101" s="182">
        <f t="shared" si="45"/>
        <v>6.7231111520322608</v>
      </c>
      <c r="AU101" s="184">
        <f t="shared" ca="1" si="73"/>
        <v>2115</v>
      </c>
      <c r="AV101" s="182">
        <f t="shared" si="55"/>
        <v>0.02</v>
      </c>
      <c r="AW101" s="179">
        <f t="shared" si="56"/>
        <v>5.0000000000000001E-3</v>
      </c>
      <c r="AX101" s="182">
        <f t="shared" si="57"/>
        <v>2.5000000000000001E-2</v>
      </c>
      <c r="AY101" s="186"/>
      <c r="AZ101" s="190"/>
      <c r="BA101" s="184">
        <f t="shared" ca="1" si="74"/>
        <v>2115</v>
      </c>
      <c r="BB101" s="171">
        <f t="shared" si="58"/>
        <v>5394</v>
      </c>
      <c r="BC101" s="171">
        <f t="shared" si="48"/>
        <v>4634.4895436329152</v>
      </c>
      <c r="BD101" s="171">
        <f t="shared" si="84"/>
        <v>3364.79</v>
      </c>
      <c r="BE101" s="171">
        <f t="shared" si="84"/>
        <v>1502.1658159006799</v>
      </c>
      <c r="BF101" s="171">
        <f t="shared" si="84"/>
        <v>1502.1658159006799</v>
      </c>
      <c r="BG101" s="171">
        <f t="shared" si="84"/>
        <v>1502.1658159006799</v>
      </c>
      <c r="BI101" s="187">
        <f>IF(A101-'Invoer gegevens'!$C$17&lt;0,0,IF(A101-'Invoer gegevens'!$C$17=0,1,IF(A101-'Invoer gegevens'!$C$17&lt;5,2,IF(A101-'Invoer gegevens'!$C$17&lt;15,3,4))))</f>
        <v>0</v>
      </c>
      <c r="BJ101" s="229">
        <f>IF(BI101&lt;1,0,IF(BI101&lt;2,4%,IF(Reeksen!BI101&lt;3,4%,IF(Reeksen!BI101&lt;4,4%*70%,IF(Reeksen!BI101&lt;5,4%*50%)))))</f>
        <v>0</v>
      </c>
      <c r="BK101" s="243"/>
      <c r="BL101" s="243"/>
      <c r="BM101" s="243"/>
      <c r="BN101" s="243"/>
      <c r="BO101" s="243"/>
      <c r="BP101" s="243"/>
      <c r="BQ101" s="243"/>
      <c r="BR101" s="243"/>
    </row>
    <row r="102" spans="1:70" x14ac:dyDescent="0.25">
      <c r="A102" s="184">
        <f t="shared" si="59"/>
        <v>97</v>
      </c>
      <c r="B102" s="179">
        <f>Dashboard!$C$25</f>
        <v>0.05</v>
      </c>
      <c r="C102" s="179">
        <f>Dashboard!$C$25</f>
        <v>0.05</v>
      </c>
      <c r="D102" s="179">
        <f>Dashboard!$C$25</f>
        <v>0.05</v>
      </c>
      <c r="E102" s="189"/>
      <c r="F102" s="184">
        <f t="shared" ca="1" si="60"/>
        <v>2116</v>
      </c>
      <c r="G102" s="179">
        <f t="shared" si="81"/>
        <v>0.02</v>
      </c>
      <c r="H102" s="182">
        <f t="shared" si="61"/>
        <v>6.8642365070584841</v>
      </c>
      <c r="I102" s="179">
        <f t="shared" si="82"/>
        <v>2.5000000000000001E-2</v>
      </c>
      <c r="J102" s="182">
        <f t="shared" si="62"/>
        <v>11.046734609622256</v>
      </c>
      <c r="K102" s="179">
        <f t="shared" si="83"/>
        <v>2.5000000000000001E-2</v>
      </c>
      <c r="L102" s="182">
        <f t="shared" si="63"/>
        <v>11.046734609622256</v>
      </c>
      <c r="M102" s="189"/>
      <c r="N102" s="184">
        <f t="shared" ca="1" si="64"/>
        <v>2116</v>
      </c>
      <c r="O102" s="179">
        <f t="shared" si="77"/>
        <v>0.02</v>
      </c>
      <c r="P102" s="182">
        <f t="shared" si="44"/>
        <v>6.8575733750729064</v>
      </c>
      <c r="R102" s="184">
        <f t="shared" ca="1" si="65"/>
        <v>2116</v>
      </c>
      <c r="S102" s="188">
        <f t="shared" si="79"/>
        <v>5.3600000000000002E-3</v>
      </c>
      <c r="U102" s="184">
        <f t="shared" ca="1" si="66"/>
        <v>2116</v>
      </c>
      <c r="V102" s="182">
        <f t="shared" si="49"/>
        <v>0.02</v>
      </c>
      <c r="W102" s="180">
        <f>Parameters!$D$12</f>
        <v>5.0000000000000001E-3</v>
      </c>
      <c r="X102" s="182">
        <f t="shared" si="50"/>
        <v>2.5000000000000001E-2</v>
      </c>
      <c r="Y102" s="182">
        <f t="shared" si="67"/>
        <v>11.057623458603638</v>
      </c>
      <c r="AA102" s="189"/>
      <c r="AB102" s="184">
        <f t="shared" ca="1" si="68"/>
        <v>2116</v>
      </c>
      <c r="AC102" s="171">
        <f t="shared" si="51"/>
        <v>5528.8117293018195</v>
      </c>
      <c r="AD102" s="171">
        <f t="shared" si="47"/>
        <v>1532.2091322186936</v>
      </c>
      <c r="AE102" s="171">
        <f t="shared" si="78"/>
        <v>4727.1793345055739</v>
      </c>
      <c r="AF102" s="171">
        <f t="shared" si="69"/>
        <v>1532.2091322186936</v>
      </c>
      <c r="AG102" s="171">
        <f t="shared" si="80"/>
        <v>3432.09</v>
      </c>
      <c r="AH102" s="171">
        <f t="shared" si="52"/>
        <v>3432.09</v>
      </c>
      <c r="AI102" s="171">
        <f t="shared" si="53"/>
        <v>1532.2091322186936</v>
      </c>
      <c r="AJ102" s="171">
        <f>IF('Invoer gegevens'!$I$27="DAEB",SMALL(AC102:AD102,1),AC102)</f>
        <v>1532.2091322186936</v>
      </c>
      <c r="AK102" s="171">
        <f>IF('Invoer gegevens'!$I$27="DAEB",SMALL((AE102:AH102),1),SMALL((AF102:AH102),1))</f>
        <v>1532.2091322186936</v>
      </c>
      <c r="AL102" s="171">
        <f t="shared" si="75"/>
        <v>0</v>
      </c>
      <c r="AM102" s="171">
        <f t="shared" si="76"/>
        <v>0</v>
      </c>
      <c r="AN102" s="175">
        <f t="shared" si="71"/>
        <v>216366</v>
      </c>
      <c r="AP102" s="184">
        <f t="shared" ca="1" si="72"/>
        <v>2116</v>
      </c>
      <c r="AQ102" s="185">
        <f t="shared" si="54"/>
        <v>0.02</v>
      </c>
      <c r="AR102" s="182">
        <f t="shared" si="45"/>
        <v>6.8575733750729064</v>
      </c>
      <c r="AU102" s="184">
        <f t="shared" ca="1" si="73"/>
        <v>2116</v>
      </c>
      <c r="AV102" s="182">
        <f t="shared" si="55"/>
        <v>0.02</v>
      </c>
      <c r="AW102" s="179">
        <f t="shared" si="56"/>
        <v>5.0000000000000001E-3</v>
      </c>
      <c r="AX102" s="182">
        <f t="shared" si="57"/>
        <v>2.5000000000000001E-2</v>
      </c>
      <c r="AY102" s="186"/>
      <c r="AZ102" s="190"/>
      <c r="BA102" s="184">
        <f t="shared" ca="1" si="74"/>
        <v>2116</v>
      </c>
      <c r="BB102" s="171">
        <f t="shared" si="58"/>
        <v>5528.85</v>
      </c>
      <c r="BC102" s="171">
        <f t="shared" si="48"/>
        <v>4727.1793345055739</v>
      </c>
      <c r="BD102" s="171">
        <f t="shared" si="84"/>
        <v>3432.09</v>
      </c>
      <c r="BE102" s="171">
        <f t="shared" si="84"/>
        <v>1532.2091322186936</v>
      </c>
      <c r="BF102" s="171">
        <f t="shared" si="84"/>
        <v>1532.2091322186936</v>
      </c>
      <c r="BG102" s="171">
        <f t="shared" si="84"/>
        <v>1532.2091322186936</v>
      </c>
      <c r="BI102" s="187">
        <f>IF(A102-'Invoer gegevens'!$C$17&lt;0,0,IF(A102-'Invoer gegevens'!$C$17=0,1,IF(A102-'Invoer gegevens'!$C$17&lt;5,2,IF(A102-'Invoer gegevens'!$C$17&lt;15,3,4))))</f>
        <v>0</v>
      </c>
      <c r="BJ102" s="229">
        <f>IF(BI102&lt;1,0,IF(BI102&lt;2,4%,IF(Reeksen!BI102&lt;3,4%,IF(Reeksen!BI102&lt;4,4%*70%,IF(Reeksen!BI102&lt;5,4%*50%)))))</f>
        <v>0</v>
      </c>
      <c r="BK102" s="243"/>
      <c r="BL102" s="243"/>
      <c r="BM102" s="243"/>
      <c r="BN102" s="243"/>
      <c r="BO102" s="243"/>
      <c r="BP102" s="243"/>
      <c r="BQ102" s="243"/>
      <c r="BR102" s="243"/>
    </row>
    <row r="103" spans="1:70" x14ac:dyDescent="0.25">
      <c r="A103" s="184">
        <f t="shared" si="59"/>
        <v>98</v>
      </c>
      <c r="B103" s="179">
        <f>Dashboard!$C$25</f>
        <v>0.05</v>
      </c>
      <c r="C103" s="179">
        <f>Dashboard!$C$25</f>
        <v>0.05</v>
      </c>
      <c r="D103" s="179">
        <f>Dashboard!$C$25</f>
        <v>0.05</v>
      </c>
      <c r="E103" s="189"/>
      <c r="F103" s="184">
        <f t="shared" ca="1" si="60"/>
        <v>2117</v>
      </c>
      <c r="G103" s="179">
        <f t="shared" si="81"/>
        <v>0.02</v>
      </c>
      <c r="H103" s="182">
        <f t="shared" si="61"/>
        <v>7.001521237199654</v>
      </c>
      <c r="I103" s="179">
        <f t="shared" si="82"/>
        <v>2.5000000000000001E-2</v>
      </c>
      <c r="J103" s="182">
        <f t="shared" si="62"/>
        <v>11.322902974862812</v>
      </c>
      <c r="K103" s="179">
        <f t="shared" si="83"/>
        <v>2.5000000000000001E-2</v>
      </c>
      <c r="L103" s="182">
        <f t="shared" si="63"/>
        <v>11.322902974862812</v>
      </c>
      <c r="M103" s="189"/>
      <c r="N103" s="184">
        <f t="shared" ca="1" si="64"/>
        <v>2117</v>
      </c>
      <c r="O103" s="179">
        <f t="shared" si="77"/>
        <v>0.02</v>
      </c>
      <c r="P103" s="182">
        <f t="shared" si="44"/>
        <v>6.9947248425743647</v>
      </c>
      <c r="R103" s="184">
        <f t="shared" ca="1" si="65"/>
        <v>2117</v>
      </c>
      <c r="S103" s="188">
        <f t="shared" si="79"/>
        <v>5.3600000000000002E-3</v>
      </c>
      <c r="U103" s="184">
        <f t="shared" ca="1" si="66"/>
        <v>2117</v>
      </c>
      <c r="V103" s="182">
        <f t="shared" si="49"/>
        <v>0.02</v>
      </c>
      <c r="W103" s="180">
        <f>Parameters!$D$12</f>
        <v>5.0000000000000001E-3</v>
      </c>
      <c r="X103" s="182">
        <f t="shared" si="50"/>
        <v>2.5000000000000001E-2</v>
      </c>
      <c r="Y103" s="182">
        <f t="shared" si="67"/>
        <v>11.334064045068729</v>
      </c>
      <c r="AA103" s="189"/>
      <c r="AB103" s="184">
        <f t="shared" ca="1" si="68"/>
        <v>2117</v>
      </c>
      <c r="AC103" s="171">
        <f t="shared" si="51"/>
        <v>5667.0320225343648</v>
      </c>
      <c r="AD103" s="171">
        <f t="shared" si="47"/>
        <v>1562.8533148630675</v>
      </c>
      <c r="AE103" s="171">
        <f t="shared" si="78"/>
        <v>4821.7229211956856</v>
      </c>
      <c r="AF103" s="171">
        <f t="shared" si="69"/>
        <v>1562.8533148630675</v>
      </c>
      <c r="AG103" s="171">
        <f t="shared" si="80"/>
        <v>3500.73</v>
      </c>
      <c r="AH103" s="171">
        <f t="shared" si="52"/>
        <v>3500.73</v>
      </c>
      <c r="AI103" s="171">
        <f t="shared" si="53"/>
        <v>1562.8533148630675</v>
      </c>
      <c r="AJ103" s="171">
        <f>IF('Invoer gegevens'!$I$27="DAEB",SMALL(AC103:AD103,1),AC103)</f>
        <v>1562.8533148630675</v>
      </c>
      <c r="AK103" s="171">
        <f>IF('Invoer gegevens'!$I$27="DAEB",SMALL((AE103:AH103),1),SMALL((AF103:AH103),1))</f>
        <v>1562.8533148630675</v>
      </c>
      <c r="AL103" s="171">
        <f t="shared" si="75"/>
        <v>0</v>
      </c>
      <c r="AM103" s="171">
        <f t="shared" si="76"/>
        <v>0</v>
      </c>
      <c r="AN103" s="175">
        <f t="shared" si="71"/>
        <v>220693</v>
      </c>
      <c r="AP103" s="184">
        <f t="shared" ca="1" si="72"/>
        <v>2117</v>
      </c>
      <c r="AQ103" s="185">
        <f t="shared" si="54"/>
        <v>0.02</v>
      </c>
      <c r="AR103" s="182">
        <f t="shared" si="45"/>
        <v>6.9947248425743647</v>
      </c>
      <c r="AU103" s="184">
        <f t="shared" ca="1" si="73"/>
        <v>2117</v>
      </c>
      <c r="AV103" s="182">
        <f t="shared" si="55"/>
        <v>0.02</v>
      </c>
      <c r="AW103" s="179">
        <f t="shared" si="56"/>
        <v>5.0000000000000001E-3</v>
      </c>
      <c r="AX103" s="182">
        <f t="shared" si="57"/>
        <v>2.5000000000000001E-2</v>
      </c>
      <c r="AY103" s="186"/>
      <c r="AZ103" s="190"/>
      <c r="BA103" s="184">
        <f t="shared" ca="1" si="74"/>
        <v>2117</v>
      </c>
      <c r="BB103" s="171">
        <f t="shared" si="58"/>
        <v>5667.07</v>
      </c>
      <c r="BC103" s="171">
        <f t="shared" si="48"/>
        <v>4821.7229211956856</v>
      </c>
      <c r="BD103" s="171">
        <f t="shared" si="84"/>
        <v>3500.73</v>
      </c>
      <c r="BE103" s="171">
        <f t="shared" si="84"/>
        <v>1562.8533148630675</v>
      </c>
      <c r="BF103" s="171">
        <f t="shared" si="84"/>
        <v>1562.8533148630675</v>
      </c>
      <c r="BG103" s="171">
        <f t="shared" si="84"/>
        <v>1562.8533148630675</v>
      </c>
      <c r="BI103" s="187">
        <f>IF(A103-'Invoer gegevens'!$C$17&lt;0,0,IF(A103-'Invoer gegevens'!$C$17=0,1,IF(A103-'Invoer gegevens'!$C$17&lt;5,2,IF(A103-'Invoer gegevens'!$C$17&lt;15,3,4))))</f>
        <v>0</v>
      </c>
      <c r="BJ103" s="229">
        <f>IF(BI103&lt;1,0,IF(BI103&lt;2,4%,IF(Reeksen!BI103&lt;3,4%,IF(Reeksen!BI103&lt;4,4%*70%,IF(Reeksen!BI103&lt;5,4%*50%)))))</f>
        <v>0</v>
      </c>
      <c r="BK103" s="243"/>
      <c r="BL103" s="243"/>
      <c r="BM103" s="243"/>
      <c r="BN103" s="243"/>
      <c r="BO103" s="243"/>
      <c r="BP103" s="243"/>
      <c r="BQ103" s="243"/>
      <c r="BR103" s="243"/>
    </row>
    <row r="104" spans="1:70" x14ac:dyDescent="0.25">
      <c r="A104" s="184">
        <f t="shared" si="59"/>
        <v>99</v>
      </c>
      <c r="B104" s="179">
        <f>Dashboard!$C$25</f>
        <v>0.05</v>
      </c>
      <c r="C104" s="179">
        <f>Dashboard!$C$25</f>
        <v>0.05</v>
      </c>
      <c r="D104" s="179">
        <f>Dashboard!$C$25</f>
        <v>0.05</v>
      </c>
      <c r="E104" s="189"/>
      <c r="F104" s="184">
        <f t="shared" ca="1" si="60"/>
        <v>2118</v>
      </c>
      <c r="G104" s="179">
        <f t="shared" si="81"/>
        <v>0.02</v>
      </c>
      <c r="H104" s="182">
        <f t="shared" si="61"/>
        <v>7.1415516619436472</v>
      </c>
      <c r="I104" s="179">
        <f t="shared" si="82"/>
        <v>2.5000000000000001E-2</v>
      </c>
      <c r="J104" s="182">
        <f t="shared" si="62"/>
        <v>11.605975549234381</v>
      </c>
      <c r="K104" s="179">
        <f t="shared" si="83"/>
        <v>2.5000000000000001E-2</v>
      </c>
      <c r="L104" s="182">
        <f t="shared" si="63"/>
        <v>11.605975549234381</v>
      </c>
      <c r="M104" s="189"/>
      <c r="N104" s="184">
        <f t="shared" ca="1" si="64"/>
        <v>2118</v>
      </c>
      <c r="O104" s="179">
        <f t="shared" si="77"/>
        <v>0.02</v>
      </c>
      <c r="P104" s="182">
        <f t="shared" si="44"/>
        <v>7.1346193394258517</v>
      </c>
      <c r="R104" s="184">
        <f t="shared" ca="1" si="65"/>
        <v>2118</v>
      </c>
      <c r="S104" s="188">
        <f t="shared" si="79"/>
        <v>5.3600000000000002E-3</v>
      </c>
      <c r="U104" s="184">
        <f t="shared" ca="1" si="66"/>
        <v>2118</v>
      </c>
      <c r="V104" s="182">
        <f t="shared" si="49"/>
        <v>0.02</v>
      </c>
      <c r="W104" s="180">
        <f>Parameters!$D$12</f>
        <v>5.0000000000000001E-3</v>
      </c>
      <c r="X104" s="182">
        <f t="shared" si="50"/>
        <v>2.5000000000000001E-2</v>
      </c>
      <c r="Y104" s="182">
        <f t="shared" si="67"/>
        <v>11.617415646195447</v>
      </c>
      <c r="AA104" s="189"/>
      <c r="AB104" s="184">
        <f t="shared" ca="1" si="68"/>
        <v>2118</v>
      </c>
      <c r="AC104" s="171">
        <f t="shared" si="51"/>
        <v>5808.7078230977231</v>
      </c>
      <c r="AD104" s="171">
        <f t="shared" si="47"/>
        <v>1594.1103811603289</v>
      </c>
      <c r="AE104" s="171">
        <f t="shared" si="78"/>
        <v>4918.1573796195989</v>
      </c>
      <c r="AF104" s="171">
        <f t="shared" si="69"/>
        <v>1594.1103811603289</v>
      </c>
      <c r="AG104" s="171">
        <f t="shared" si="80"/>
        <v>3570.74</v>
      </c>
      <c r="AH104" s="171">
        <f t="shared" si="52"/>
        <v>3570.74</v>
      </c>
      <c r="AI104" s="171">
        <f t="shared" si="53"/>
        <v>1594.1103811603289</v>
      </c>
      <c r="AJ104" s="171">
        <f>IF('Invoer gegevens'!$I$27="DAEB",SMALL(AC104:AD104,1),AC104)</f>
        <v>1594.1103811603289</v>
      </c>
      <c r="AK104" s="171">
        <f>IF('Invoer gegevens'!$I$27="DAEB",SMALL((AE104:AH104),1),SMALL((AF104:AH104),1))</f>
        <v>1594.1103811603289</v>
      </c>
      <c r="AL104" s="171">
        <f t="shared" si="75"/>
        <v>0</v>
      </c>
      <c r="AM104" s="171">
        <f t="shared" si="76"/>
        <v>0</v>
      </c>
      <c r="AN104" s="175">
        <f t="shared" si="71"/>
        <v>225107</v>
      </c>
      <c r="AP104" s="184">
        <f t="shared" ca="1" si="72"/>
        <v>2118</v>
      </c>
      <c r="AQ104" s="185">
        <f t="shared" si="54"/>
        <v>0.02</v>
      </c>
      <c r="AR104" s="182">
        <f t="shared" si="45"/>
        <v>7.1346193394258517</v>
      </c>
      <c r="AU104" s="184">
        <f t="shared" ca="1" si="73"/>
        <v>2118</v>
      </c>
      <c r="AV104" s="182">
        <f t="shared" si="55"/>
        <v>0.02</v>
      </c>
      <c r="AW104" s="179">
        <f t="shared" si="56"/>
        <v>5.0000000000000001E-3</v>
      </c>
      <c r="AX104" s="182">
        <f t="shared" si="57"/>
        <v>2.5000000000000001E-2</v>
      </c>
      <c r="AY104" s="186"/>
      <c r="AZ104" s="190"/>
      <c r="BA104" s="184">
        <f t="shared" ca="1" si="74"/>
        <v>2118</v>
      </c>
      <c r="BB104" s="171">
        <f t="shared" si="58"/>
        <v>5808.75</v>
      </c>
      <c r="BC104" s="171">
        <f t="shared" si="48"/>
        <v>4918.1573796195989</v>
      </c>
      <c r="BD104" s="171">
        <f t="shared" si="84"/>
        <v>3570.74</v>
      </c>
      <c r="BE104" s="171">
        <f t="shared" si="84"/>
        <v>1594.1103811603289</v>
      </c>
      <c r="BF104" s="171">
        <f t="shared" si="84"/>
        <v>1594.1103811603289</v>
      </c>
      <c r="BG104" s="171">
        <f t="shared" si="84"/>
        <v>1594.1103811603289</v>
      </c>
      <c r="BI104" s="187">
        <f>IF(A104-'Invoer gegevens'!$C$17&lt;0,0,IF(A104-'Invoer gegevens'!$C$17=0,1,IF(A104-'Invoer gegevens'!$C$17&lt;5,2,IF(A104-'Invoer gegevens'!$C$17&lt;15,3,4))))</f>
        <v>0</v>
      </c>
      <c r="BJ104" s="229">
        <f>IF(BI104&lt;1,0,IF(BI104&lt;2,4%,IF(Reeksen!BI104&lt;3,4%,IF(Reeksen!BI104&lt;4,4%*70%,IF(Reeksen!BI104&lt;5,4%*50%)))))</f>
        <v>0</v>
      </c>
      <c r="BK104" s="243"/>
      <c r="BL104" s="243"/>
      <c r="BM104" s="243"/>
      <c r="BN104" s="243"/>
      <c r="BO104" s="243"/>
      <c r="BP104" s="243"/>
      <c r="BQ104" s="243"/>
      <c r="BR104" s="243"/>
    </row>
    <row r="105" spans="1:70" x14ac:dyDescent="0.25">
      <c r="A105" s="184">
        <f t="shared" si="59"/>
        <v>100</v>
      </c>
      <c r="B105" s="179">
        <f>Dashboard!$C$25</f>
        <v>0.05</v>
      </c>
      <c r="C105" s="179">
        <f>Dashboard!$C$25</f>
        <v>0.05</v>
      </c>
      <c r="D105" s="179">
        <f>Dashboard!$C$25</f>
        <v>0.05</v>
      </c>
      <c r="E105" s="189"/>
      <c r="F105" s="184">
        <f t="shared" ca="1" si="60"/>
        <v>2119</v>
      </c>
      <c r="G105" s="179">
        <f t="shared" si="81"/>
        <v>0.02</v>
      </c>
      <c r="H105" s="182">
        <f t="shared" si="61"/>
        <v>7.2843826951825204</v>
      </c>
      <c r="I105" s="179">
        <f t="shared" si="82"/>
        <v>2.5000000000000001E-2</v>
      </c>
      <c r="J105" s="182">
        <f t="shared" si="62"/>
        <v>11.89612493796524</v>
      </c>
      <c r="K105" s="179">
        <f t="shared" si="83"/>
        <v>2.5000000000000001E-2</v>
      </c>
      <c r="L105" s="182">
        <f t="shared" si="63"/>
        <v>11.89612493796524</v>
      </c>
      <c r="M105" s="189"/>
      <c r="N105" s="184">
        <f t="shared" ca="1" si="64"/>
        <v>2119</v>
      </c>
      <c r="O105" s="179">
        <f t="shared" si="77"/>
        <v>0.02</v>
      </c>
      <c r="P105" s="182">
        <f t="shared" si="44"/>
        <v>7.2773117262143687</v>
      </c>
      <c r="R105" s="184">
        <f t="shared" ca="1" si="65"/>
        <v>2119</v>
      </c>
      <c r="S105" s="188">
        <f t="shared" si="79"/>
        <v>5.3600000000000002E-3</v>
      </c>
      <c r="U105" s="184">
        <f t="shared" ca="1" si="66"/>
        <v>2119</v>
      </c>
      <c r="V105" s="182">
        <f t="shared" si="49"/>
        <v>0.02</v>
      </c>
      <c r="W105" s="180">
        <f>Parameters!$D$12</f>
        <v>5.0000000000000001E-3</v>
      </c>
      <c r="X105" s="182">
        <f t="shared" si="50"/>
        <v>2.5000000000000001E-2</v>
      </c>
      <c r="Y105" s="182">
        <f t="shared" si="67"/>
        <v>11.907851037350332</v>
      </c>
      <c r="AA105" s="189"/>
      <c r="AB105" s="184">
        <f t="shared" ca="1" si="68"/>
        <v>2119</v>
      </c>
      <c r="AC105" s="171">
        <f t="shared" si="51"/>
        <v>5953.9255186751661</v>
      </c>
      <c r="AD105" s="171">
        <f t="shared" si="47"/>
        <v>1625.9925887835354</v>
      </c>
      <c r="AE105" s="171">
        <f t="shared" si="78"/>
        <v>5016.5205272119911</v>
      </c>
      <c r="AF105" s="171">
        <f t="shared" si="69"/>
        <v>1625.9925887835354</v>
      </c>
      <c r="AG105" s="171">
        <f t="shared" si="80"/>
        <v>3642.15</v>
      </c>
      <c r="AH105" s="171">
        <f t="shared" si="52"/>
        <v>3642.15</v>
      </c>
      <c r="AI105" s="171">
        <f t="shared" si="53"/>
        <v>1625.9925887835354</v>
      </c>
      <c r="AJ105" s="171">
        <f>IF('Invoer gegevens'!$I$27="DAEB",SMALL(AC105:AD105,1),AC105)</f>
        <v>1625.9925887835354</v>
      </c>
      <c r="AK105" s="171">
        <f>IF('Invoer gegevens'!$I$27="DAEB",SMALL((AE105:AH105),1),SMALL((AF105:AH105),1))</f>
        <v>1625.9925887835354</v>
      </c>
      <c r="AL105" s="171">
        <f t="shared" si="75"/>
        <v>0</v>
      </c>
      <c r="AM105" s="171">
        <f t="shared" si="76"/>
        <v>0</v>
      </c>
      <c r="AN105" s="175">
        <f t="shared" si="71"/>
        <v>229609</v>
      </c>
      <c r="AP105" s="184">
        <f t="shared" ca="1" si="72"/>
        <v>2119</v>
      </c>
      <c r="AQ105" s="185">
        <f t="shared" si="54"/>
        <v>0.02</v>
      </c>
      <c r="AR105" s="182">
        <f t="shared" si="45"/>
        <v>7.2773117262143687</v>
      </c>
      <c r="AU105" s="184">
        <f t="shared" ca="1" si="73"/>
        <v>2119</v>
      </c>
      <c r="AV105" s="182">
        <f t="shared" si="55"/>
        <v>0.02</v>
      </c>
      <c r="AW105" s="179">
        <f t="shared" si="56"/>
        <v>5.0000000000000001E-3</v>
      </c>
      <c r="AX105" s="182">
        <f t="shared" si="57"/>
        <v>2.5000000000000001E-2</v>
      </c>
      <c r="AY105" s="186"/>
      <c r="AZ105" s="190"/>
      <c r="BA105" s="184">
        <f t="shared" ca="1" si="74"/>
        <v>2119</v>
      </c>
      <c r="BB105" s="171">
        <f t="shared" si="58"/>
        <v>5953.97</v>
      </c>
      <c r="BC105" s="171">
        <f t="shared" si="48"/>
        <v>5016.5205272119911</v>
      </c>
      <c r="BD105" s="171">
        <f t="shared" si="84"/>
        <v>3642.15</v>
      </c>
      <c r="BE105" s="171">
        <f t="shared" si="84"/>
        <v>1625.9925887835354</v>
      </c>
      <c r="BF105" s="171">
        <f t="shared" si="84"/>
        <v>1625.9925887835354</v>
      </c>
      <c r="BG105" s="171">
        <f t="shared" si="84"/>
        <v>1625.9925887835354</v>
      </c>
      <c r="BI105" s="187">
        <f>IF(A105-'Invoer gegevens'!$C$17&lt;0,0,IF(A105-'Invoer gegevens'!$C$17=0,1,IF(A105-'Invoer gegevens'!$C$17&lt;5,2,IF(A105-'Invoer gegevens'!$C$17&lt;15,3,4))))</f>
        <v>0</v>
      </c>
      <c r="BJ105" s="229">
        <f>IF(BI105&lt;1,0,IF(BI105&lt;2,4%,IF(Reeksen!BI105&lt;3,4%,IF(Reeksen!BI105&lt;4,4%*70%,IF(Reeksen!BI105&lt;5,4%*50%)))))</f>
        <v>0</v>
      </c>
      <c r="BK105" s="243"/>
      <c r="BL105" s="243"/>
      <c r="BM105" s="243"/>
      <c r="BN105" s="243"/>
      <c r="BO105" s="243"/>
      <c r="BP105" s="243"/>
      <c r="BQ105" s="243"/>
      <c r="BR105" s="243"/>
    </row>
    <row r="106" spans="1:70" x14ac:dyDescent="0.25">
      <c r="A106" s="184">
        <f t="shared" si="59"/>
        <v>101</v>
      </c>
      <c r="B106" s="179">
        <f>Dashboard!$C$25</f>
        <v>0.05</v>
      </c>
      <c r="C106" s="179">
        <f>Dashboard!$C$25</f>
        <v>0.05</v>
      </c>
      <c r="D106" s="179">
        <f>Dashboard!$C$25</f>
        <v>0.05</v>
      </c>
      <c r="E106" s="189"/>
      <c r="F106" s="184">
        <f t="shared" ca="1" si="60"/>
        <v>2120</v>
      </c>
      <c r="G106" s="179">
        <f t="shared" si="81"/>
        <v>0.02</v>
      </c>
      <c r="H106" s="182">
        <f t="shared" si="61"/>
        <v>7.4300703490861713</v>
      </c>
      <c r="I106" s="179">
        <f t="shared" si="82"/>
        <v>2.5000000000000001E-2</v>
      </c>
      <c r="J106" s="182">
        <f t="shared" si="62"/>
        <v>12.193528061414369</v>
      </c>
      <c r="K106" s="179">
        <f t="shared" si="83"/>
        <v>2.5000000000000001E-2</v>
      </c>
      <c r="L106" s="182">
        <f t="shared" si="63"/>
        <v>12.193528061414369</v>
      </c>
      <c r="M106" s="189"/>
      <c r="N106" s="184">
        <f t="shared" ca="1" si="64"/>
        <v>2120</v>
      </c>
      <c r="O106" s="179">
        <f t="shared" si="77"/>
        <v>0.02</v>
      </c>
      <c r="P106" s="182">
        <f t="shared" si="44"/>
        <v>7.4228579607386562</v>
      </c>
      <c r="R106" s="184">
        <f t="shared" ca="1" si="65"/>
        <v>2120</v>
      </c>
      <c r="S106" s="188">
        <f t="shared" si="79"/>
        <v>5.3600000000000002E-3</v>
      </c>
      <c r="U106" s="184">
        <f t="shared" ca="1" si="66"/>
        <v>2120</v>
      </c>
      <c r="V106" s="182">
        <f t="shared" si="49"/>
        <v>0.02</v>
      </c>
      <c r="W106" s="180">
        <f>Parameters!$D$12</f>
        <v>5.0000000000000001E-3</v>
      </c>
      <c r="X106" s="182">
        <f t="shared" si="50"/>
        <v>2.5000000000000001E-2</v>
      </c>
      <c r="Y106" s="182">
        <f t="shared" si="67"/>
        <v>12.205547313284089</v>
      </c>
      <c r="AA106" s="189"/>
      <c r="AB106" s="184">
        <f t="shared" ca="1" si="68"/>
        <v>2120</v>
      </c>
      <c r="AC106" s="171">
        <f t="shared" si="51"/>
        <v>6102.7736566420444</v>
      </c>
      <c r="AD106" s="171">
        <f t="shared" si="47"/>
        <v>1658.5124405592062</v>
      </c>
      <c r="AE106" s="171">
        <f t="shared" si="78"/>
        <v>5116.8509377562314</v>
      </c>
      <c r="AF106" s="171">
        <f t="shared" si="69"/>
        <v>1658.5124405592062</v>
      </c>
      <c r="AG106" s="171">
        <f t="shared" si="80"/>
        <v>3714.99</v>
      </c>
      <c r="AH106" s="171">
        <f t="shared" si="52"/>
        <v>3714.99</v>
      </c>
      <c r="AI106" s="171">
        <f t="shared" si="53"/>
        <v>1658.5124405592062</v>
      </c>
      <c r="AJ106" s="171">
        <f>IF('Invoer gegevens'!$I$27="DAEB",SMALL(AC106:AD106,1),AC106)</f>
        <v>1658.5124405592062</v>
      </c>
      <c r="AK106" s="171">
        <f>IF('Invoer gegevens'!$I$27="DAEB",SMALL((AE106:AH106),1),SMALL((AF106:AH106),1))</f>
        <v>1658.5124405592062</v>
      </c>
      <c r="AL106" s="171">
        <f t="shared" si="75"/>
        <v>0</v>
      </c>
      <c r="AM106" s="171">
        <f t="shared" si="76"/>
        <v>0</v>
      </c>
      <c r="AN106" s="175">
        <f t="shared" si="71"/>
        <v>234201</v>
      </c>
      <c r="AP106" s="184">
        <f t="shared" ca="1" si="72"/>
        <v>2120</v>
      </c>
      <c r="AQ106" s="185">
        <f t="shared" si="54"/>
        <v>0.02</v>
      </c>
      <c r="AR106" s="182">
        <f t="shared" si="45"/>
        <v>7.4228579607386562</v>
      </c>
      <c r="AU106" s="184">
        <f t="shared" ca="1" si="73"/>
        <v>2120</v>
      </c>
      <c r="AV106" s="182">
        <f t="shared" si="55"/>
        <v>0.02</v>
      </c>
      <c r="AW106" s="179">
        <f t="shared" si="56"/>
        <v>5.0000000000000001E-3</v>
      </c>
      <c r="AX106" s="182">
        <f t="shared" si="57"/>
        <v>2.5000000000000001E-2</v>
      </c>
      <c r="AY106" s="186"/>
      <c r="AZ106" s="190"/>
      <c r="BA106" s="184">
        <f t="shared" ca="1" si="74"/>
        <v>2120</v>
      </c>
      <c r="BB106" s="171">
        <f t="shared" si="58"/>
        <v>6102.82</v>
      </c>
      <c r="BC106" s="171">
        <f t="shared" si="48"/>
        <v>5116.8509377562314</v>
      </c>
      <c r="BD106" s="171">
        <f t="shared" si="84"/>
        <v>3714.99</v>
      </c>
      <c r="BE106" s="171">
        <f t="shared" si="84"/>
        <v>1658.5124405592062</v>
      </c>
      <c r="BF106" s="171">
        <f t="shared" si="84"/>
        <v>1658.5124405592062</v>
      </c>
      <c r="BG106" s="171">
        <f t="shared" si="84"/>
        <v>1658.5124405592062</v>
      </c>
      <c r="BI106" s="187">
        <f>IF(A106-'Invoer gegevens'!$C$17&lt;0,0,IF(A106-'Invoer gegevens'!$C$17=0,1,IF(A106-'Invoer gegevens'!$C$17&lt;5,2,IF(A106-'Invoer gegevens'!$C$17&lt;15,3,4))))</f>
        <v>0</v>
      </c>
      <c r="BJ106" s="229">
        <f>IF(BI106&lt;1,0,IF(BI106&lt;2,4%,IF(Reeksen!BI106&lt;3,4%,IF(Reeksen!BI106&lt;4,4%*70%,IF(Reeksen!BI106&lt;5,4%*50%)))))</f>
        <v>0</v>
      </c>
      <c r="BK106" s="243"/>
      <c r="BL106" s="243"/>
      <c r="BM106" s="243"/>
      <c r="BN106" s="243"/>
      <c r="BO106" s="243"/>
      <c r="BP106" s="243"/>
      <c r="BQ106" s="243"/>
      <c r="BR106" s="243"/>
    </row>
    <row r="107" spans="1:70" x14ac:dyDescent="0.25">
      <c r="A107" s="184">
        <f t="shared" si="59"/>
        <v>102</v>
      </c>
      <c r="B107" s="179">
        <f>Dashboard!$C$25</f>
        <v>0.05</v>
      </c>
      <c r="C107" s="179">
        <f>Dashboard!$C$25</f>
        <v>0.05</v>
      </c>
      <c r="D107" s="179">
        <f>Dashboard!$C$25</f>
        <v>0.05</v>
      </c>
      <c r="E107" s="189"/>
      <c r="F107" s="184">
        <f t="shared" ca="1" si="60"/>
        <v>2121</v>
      </c>
      <c r="G107" s="179">
        <f t="shared" si="81"/>
        <v>0.02</v>
      </c>
      <c r="H107" s="182">
        <f t="shared" si="61"/>
        <v>7.5786717560678944</v>
      </c>
      <c r="I107" s="179">
        <f t="shared" si="82"/>
        <v>2.5000000000000001E-2</v>
      </c>
      <c r="J107" s="182">
        <f t="shared" si="62"/>
        <v>12.498366262949727</v>
      </c>
      <c r="K107" s="179">
        <f t="shared" si="83"/>
        <v>2.5000000000000001E-2</v>
      </c>
      <c r="L107" s="182">
        <f t="shared" si="63"/>
        <v>12.498366262949727</v>
      </c>
      <c r="M107" s="189"/>
      <c r="N107" s="184">
        <f t="shared" ca="1" si="64"/>
        <v>2121</v>
      </c>
      <c r="O107" s="179">
        <f t="shared" si="77"/>
        <v>0.02</v>
      </c>
      <c r="P107" s="182">
        <f t="shared" si="44"/>
        <v>7.5713151199534297</v>
      </c>
      <c r="R107" s="184">
        <f t="shared" ca="1" si="65"/>
        <v>2121</v>
      </c>
      <c r="S107" s="188">
        <f t="shared" si="79"/>
        <v>5.3600000000000002E-3</v>
      </c>
      <c r="U107" s="184">
        <f t="shared" ca="1" si="66"/>
        <v>2121</v>
      </c>
      <c r="V107" s="182">
        <f t="shared" si="49"/>
        <v>0.02</v>
      </c>
      <c r="W107" s="180">
        <f>Parameters!$D$12</f>
        <v>5.0000000000000001E-3</v>
      </c>
      <c r="X107" s="182">
        <f t="shared" si="50"/>
        <v>2.5000000000000001E-2</v>
      </c>
      <c r="Y107" s="182">
        <f t="shared" si="67"/>
        <v>12.510685996116191</v>
      </c>
      <c r="AA107" s="189"/>
      <c r="AB107" s="184">
        <f t="shared" ca="1" si="68"/>
        <v>2121</v>
      </c>
      <c r="AC107" s="171">
        <f t="shared" si="51"/>
        <v>6255.3429980580959</v>
      </c>
      <c r="AD107" s="171">
        <f t="shared" si="47"/>
        <v>1691.6826893703903</v>
      </c>
      <c r="AE107" s="171">
        <f t="shared" si="78"/>
        <v>5219.1879565113559</v>
      </c>
      <c r="AF107" s="171">
        <f t="shared" si="69"/>
        <v>1691.6826893703903</v>
      </c>
      <c r="AG107" s="171">
        <f t="shared" si="80"/>
        <v>3789.29</v>
      </c>
      <c r="AH107" s="171">
        <f t="shared" si="52"/>
        <v>3789.29</v>
      </c>
      <c r="AI107" s="171">
        <f t="shared" si="53"/>
        <v>1691.6826893703903</v>
      </c>
      <c r="AJ107" s="171">
        <f>IF('Invoer gegevens'!$I$27="DAEB",SMALL(AC107:AD107,1),AC107)</f>
        <v>1691.6826893703903</v>
      </c>
      <c r="AK107" s="171">
        <f>IF('Invoer gegevens'!$I$27="DAEB",SMALL((AE107:AH107),1),SMALL((AF107:AH107),1))</f>
        <v>1691.6826893703903</v>
      </c>
      <c r="AL107" s="171">
        <f t="shared" si="75"/>
        <v>0</v>
      </c>
      <c r="AM107" s="171">
        <f t="shared" si="76"/>
        <v>0</v>
      </c>
      <c r="AN107" s="175">
        <f t="shared" si="71"/>
        <v>238885</v>
      </c>
      <c r="AP107" s="184">
        <f t="shared" ca="1" si="72"/>
        <v>2121</v>
      </c>
      <c r="AQ107" s="185">
        <f t="shared" si="54"/>
        <v>0.02</v>
      </c>
      <c r="AR107" s="182">
        <f t="shared" si="45"/>
        <v>7.5713151199534297</v>
      </c>
      <c r="AU107" s="184">
        <f t="shared" ca="1" si="73"/>
        <v>2121</v>
      </c>
      <c r="AV107" s="182">
        <f t="shared" si="55"/>
        <v>0.02</v>
      </c>
      <c r="AW107" s="179">
        <f t="shared" si="56"/>
        <v>5.0000000000000001E-3</v>
      </c>
      <c r="AX107" s="182">
        <f t="shared" si="57"/>
        <v>2.5000000000000001E-2</v>
      </c>
      <c r="AY107" s="186"/>
      <c r="AZ107" s="190"/>
      <c r="BA107" s="184">
        <f t="shared" ca="1" si="74"/>
        <v>2121</v>
      </c>
      <c r="BB107" s="171">
        <f t="shared" si="58"/>
        <v>6255.39</v>
      </c>
      <c r="BC107" s="171">
        <f t="shared" si="48"/>
        <v>5219.1879565113559</v>
      </c>
      <c r="BD107" s="171">
        <f t="shared" si="84"/>
        <v>3789.29</v>
      </c>
      <c r="BE107" s="171">
        <f t="shared" si="84"/>
        <v>1691.6826893703903</v>
      </c>
      <c r="BF107" s="171">
        <f t="shared" si="84"/>
        <v>1691.6826893703903</v>
      </c>
      <c r="BG107" s="171">
        <f t="shared" si="84"/>
        <v>1691.6826893703903</v>
      </c>
      <c r="BI107" s="187">
        <f>IF(A107-'Invoer gegevens'!$C$17&lt;0,0,IF(A107-'Invoer gegevens'!$C$17=0,1,IF(A107-'Invoer gegevens'!$C$17&lt;5,2,IF(A107-'Invoer gegevens'!$C$17&lt;15,3,4))))</f>
        <v>0</v>
      </c>
      <c r="BJ107" s="229">
        <f>IF(BI107&lt;1,0,IF(BI107&lt;2,4%,IF(Reeksen!BI107&lt;3,4%,IF(Reeksen!BI107&lt;4,4%*70%,IF(Reeksen!BI107&lt;5,4%*50%)))))</f>
        <v>0</v>
      </c>
      <c r="BK107" s="243"/>
      <c r="BL107" s="243"/>
      <c r="BM107" s="243"/>
      <c r="BN107" s="243"/>
      <c r="BO107" s="243"/>
      <c r="BP107" s="243"/>
      <c r="BQ107" s="243"/>
      <c r="BR107" s="243"/>
    </row>
    <row r="108" spans="1:70" x14ac:dyDescent="0.25">
      <c r="A108" s="184">
        <f t="shared" si="59"/>
        <v>103</v>
      </c>
      <c r="B108" s="179">
        <f>Dashboard!$C$25</f>
        <v>0.05</v>
      </c>
      <c r="C108" s="179">
        <f>Dashboard!$C$25</f>
        <v>0.05</v>
      </c>
      <c r="D108" s="179">
        <f>Dashboard!$C$25</f>
        <v>0.05</v>
      </c>
      <c r="E108" s="189"/>
      <c r="F108" s="184">
        <f t="shared" ca="1" si="60"/>
        <v>2122</v>
      </c>
      <c r="G108" s="179">
        <f t="shared" si="81"/>
        <v>0.02</v>
      </c>
      <c r="H108" s="182">
        <f t="shared" si="61"/>
        <v>7.7302451911892529</v>
      </c>
      <c r="I108" s="179">
        <f t="shared" si="82"/>
        <v>2.5000000000000001E-2</v>
      </c>
      <c r="J108" s="182">
        <f t="shared" si="62"/>
        <v>12.81082541952347</v>
      </c>
      <c r="K108" s="179">
        <f t="shared" si="83"/>
        <v>2.5000000000000001E-2</v>
      </c>
      <c r="L108" s="182">
        <f t="shared" si="63"/>
        <v>12.81082541952347</v>
      </c>
      <c r="M108" s="189"/>
      <c r="N108" s="184">
        <f t="shared" ca="1" si="64"/>
        <v>2122</v>
      </c>
      <c r="O108" s="179">
        <f t="shared" si="77"/>
        <v>0.02</v>
      </c>
      <c r="P108" s="182">
        <f t="shared" si="44"/>
        <v>7.7227414223524979</v>
      </c>
      <c r="R108" s="184">
        <f t="shared" ca="1" si="65"/>
        <v>2122</v>
      </c>
      <c r="S108" s="188">
        <f t="shared" si="79"/>
        <v>5.3600000000000002E-3</v>
      </c>
      <c r="U108" s="184">
        <f t="shared" ca="1" si="66"/>
        <v>2122</v>
      </c>
      <c r="V108" s="182">
        <f t="shared" si="49"/>
        <v>0.02</v>
      </c>
      <c r="W108" s="180">
        <f>Parameters!$D$12</f>
        <v>5.0000000000000001E-3</v>
      </c>
      <c r="X108" s="182">
        <f t="shared" si="50"/>
        <v>2.5000000000000001E-2</v>
      </c>
      <c r="Y108" s="182">
        <f t="shared" si="67"/>
        <v>12.823453146019094</v>
      </c>
      <c r="AA108" s="189"/>
      <c r="AB108" s="184">
        <f t="shared" ca="1" si="68"/>
        <v>2122</v>
      </c>
      <c r="AC108" s="171">
        <f t="shared" si="51"/>
        <v>6411.7265730095469</v>
      </c>
      <c r="AD108" s="171">
        <f t="shared" si="47"/>
        <v>1725.5163431577982</v>
      </c>
      <c r="AE108" s="171">
        <f t="shared" si="78"/>
        <v>5323.5717156415831</v>
      </c>
      <c r="AF108" s="171">
        <f t="shared" si="69"/>
        <v>1725.5163431577982</v>
      </c>
      <c r="AG108" s="171">
        <f t="shared" si="80"/>
        <v>3865.08</v>
      </c>
      <c r="AH108" s="171">
        <f t="shared" si="52"/>
        <v>3865.08</v>
      </c>
      <c r="AI108" s="171">
        <f t="shared" si="53"/>
        <v>1725.5163431577982</v>
      </c>
      <c r="AJ108" s="171">
        <f>IF('Invoer gegevens'!$I$27="DAEB",SMALL(AC108:AD108,1),AC108)</f>
        <v>1725.5163431577982</v>
      </c>
      <c r="AK108" s="171">
        <f>IF('Invoer gegevens'!$I$27="DAEB",SMALL((AE108:AH108),1),SMALL((AF108:AH108),1))</f>
        <v>1725.5163431577982</v>
      </c>
      <c r="AL108" s="171">
        <f t="shared" si="75"/>
        <v>0</v>
      </c>
      <c r="AM108" s="171">
        <f t="shared" si="76"/>
        <v>0</v>
      </c>
      <c r="AN108" s="175">
        <f t="shared" si="71"/>
        <v>243663</v>
      </c>
      <c r="AP108" s="184">
        <f t="shared" ca="1" si="72"/>
        <v>2122</v>
      </c>
      <c r="AQ108" s="185">
        <f t="shared" si="54"/>
        <v>0.02</v>
      </c>
      <c r="AR108" s="182">
        <f t="shared" si="45"/>
        <v>7.7227414223524979</v>
      </c>
      <c r="AU108" s="184">
        <f t="shared" ca="1" si="73"/>
        <v>2122</v>
      </c>
      <c r="AV108" s="182">
        <f t="shared" si="55"/>
        <v>0.02</v>
      </c>
      <c r="AW108" s="179">
        <f t="shared" si="56"/>
        <v>5.0000000000000001E-3</v>
      </c>
      <c r="AX108" s="182">
        <f t="shared" si="57"/>
        <v>2.5000000000000001E-2</v>
      </c>
      <c r="AY108" s="186"/>
      <c r="AZ108" s="190"/>
      <c r="BA108" s="184">
        <f t="shared" ca="1" si="74"/>
        <v>2122</v>
      </c>
      <c r="BB108" s="171">
        <f t="shared" si="58"/>
        <v>6411.77</v>
      </c>
      <c r="BC108" s="171">
        <f t="shared" si="48"/>
        <v>5323.5717156415831</v>
      </c>
      <c r="BD108" s="171">
        <f t="shared" si="84"/>
        <v>3865.08</v>
      </c>
      <c r="BE108" s="171">
        <f t="shared" si="84"/>
        <v>1725.5163431577982</v>
      </c>
      <c r="BF108" s="171">
        <f t="shared" si="84"/>
        <v>1725.5163431577982</v>
      </c>
      <c r="BG108" s="171">
        <f t="shared" si="84"/>
        <v>1725.5163431577982</v>
      </c>
      <c r="BI108" s="187">
        <f>IF(A108-'Invoer gegevens'!$C$17&lt;0,0,IF(A108-'Invoer gegevens'!$C$17=0,1,IF(A108-'Invoer gegevens'!$C$17&lt;5,2,IF(A108-'Invoer gegevens'!$C$17&lt;15,3,4))))</f>
        <v>0</v>
      </c>
      <c r="BJ108" s="229">
        <f>IF(BI108&lt;1,0,IF(BI108&lt;2,4%,IF(Reeksen!BI108&lt;3,4%,IF(Reeksen!BI108&lt;4,4%*70%,IF(Reeksen!BI108&lt;5,4%*50%)))))</f>
        <v>0</v>
      </c>
      <c r="BK108" s="243"/>
      <c r="BL108" s="243"/>
      <c r="BM108" s="243"/>
      <c r="BN108" s="243"/>
      <c r="BO108" s="243"/>
      <c r="BP108" s="243"/>
      <c r="BQ108" s="243"/>
      <c r="BR108" s="243"/>
    </row>
    <row r="109" spans="1:70" x14ac:dyDescent="0.25">
      <c r="A109" s="184">
        <f t="shared" si="59"/>
        <v>104</v>
      </c>
      <c r="B109" s="179">
        <f>Dashboard!$C$25</f>
        <v>0.05</v>
      </c>
      <c r="C109" s="179">
        <f>Dashboard!$C$25</f>
        <v>0.05</v>
      </c>
      <c r="D109" s="179">
        <f>Dashboard!$C$25</f>
        <v>0.05</v>
      </c>
      <c r="E109" s="189"/>
      <c r="F109" s="184">
        <f t="shared" ca="1" si="60"/>
        <v>2123</v>
      </c>
      <c r="G109" s="179">
        <f t="shared" si="81"/>
        <v>0.02</v>
      </c>
      <c r="H109" s="182">
        <f t="shared" si="61"/>
        <v>7.8848500950130385</v>
      </c>
      <c r="I109" s="179">
        <f t="shared" si="82"/>
        <v>2.5000000000000001E-2</v>
      </c>
      <c r="J109" s="182">
        <f t="shared" si="62"/>
        <v>13.131096055011556</v>
      </c>
      <c r="K109" s="179">
        <f t="shared" si="83"/>
        <v>2.5000000000000001E-2</v>
      </c>
      <c r="L109" s="182">
        <f t="shared" si="63"/>
        <v>13.131096055011556</v>
      </c>
      <c r="M109" s="189"/>
      <c r="N109" s="184">
        <f t="shared" ca="1" si="64"/>
        <v>2123</v>
      </c>
      <c r="O109" s="179">
        <f t="shared" si="77"/>
        <v>0.02</v>
      </c>
      <c r="P109" s="182">
        <f t="shared" si="44"/>
        <v>7.8771962507995479</v>
      </c>
      <c r="R109" s="184">
        <f t="shared" ca="1" si="65"/>
        <v>2123</v>
      </c>
      <c r="S109" s="188">
        <f t="shared" si="79"/>
        <v>5.3600000000000002E-3</v>
      </c>
      <c r="U109" s="184">
        <f t="shared" ca="1" si="66"/>
        <v>2123</v>
      </c>
      <c r="V109" s="182">
        <f t="shared" si="49"/>
        <v>0.02</v>
      </c>
      <c r="W109" s="180">
        <f>Parameters!$D$12</f>
        <v>5.0000000000000001E-3</v>
      </c>
      <c r="X109" s="182">
        <f t="shared" si="50"/>
        <v>2.5000000000000001E-2</v>
      </c>
      <c r="Y109" s="182">
        <f t="shared" si="67"/>
        <v>13.144039474669571</v>
      </c>
      <c r="AA109" s="189"/>
      <c r="AB109" s="184">
        <f t="shared" ca="1" si="68"/>
        <v>2123</v>
      </c>
      <c r="AC109" s="171">
        <f t="shared" si="51"/>
        <v>6572.0197373347855</v>
      </c>
      <c r="AD109" s="171">
        <f t="shared" si="47"/>
        <v>1760.0266700209545</v>
      </c>
      <c r="AE109" s="171">
        <f t="shared" si="78"/>
        <v>5430.0431499544147</v>
      </c>
      <c r="AF109" s="171">
        <f t="shared" si="69"/>
        <v>1760.0266700209545</v>
      </c>
      <c r="AG109" s="171">
        <f t="shared" si="80"/>
        <v>3942.38</v>
      </c>
      <c r="AH109" s="171">
        <f t="shared" si="52"/>
        <v>3942.38</v>
      </c>
      <c r="AI109" s="171">
        <f t="shared" si="53"/>
        <v>1760.0266700209545</v>
      </c>
      <c r="AJ109" s="171">
        <f>IF('Invoer gegevens'!$I$27="DAEB",SMALL(AC109:AD109,1),AC109)</f>
        <v>1760.0266700209545</v>
      </c>
      <c r="AK109" s="171">
        <f>IF('Invoer gegevens'!$I$27="DAEB",SMALL((AE109:AH109),1),SMALL((AF109:AH109),1))</f>
        <v>1760.0266700209545</v>
      </c>
      <c r="AL109" s="171">
        <f t="shared" si="75"/>
        <v>0</v>
      </c>
      <c r="AM109" s="171">
        <f t="shared" si="76"/>
        <v>0</v>
      </c>
      <c r="AN109" s="175">
        <f t="shared" si="71"/>
        <v>248536</v>
      </c>
      <c r="AP109" s="184">
        <f t="shared" ca="1" si="72"/>
        <v>2123</v>
      </c>
      <c r="AQ109" s="185">
        <f t="shared" si="54"/>
        <v>0.02</v>
      </c>
      <c r="AR109" s="182">
        <f t="shared" si="45"/>
        <v>7.8771962507995479</v>
      </c>
      <c r="AU109" s="184">
        <f t="shared" ca="1" si="73"/>
        <v>2123</v>
      </c>
      <c r="AV109" s="182">
        <f t="shared" si="55"/>
        <v>0.02</v>
      </c>
      <c r="AW109" s="179">
        <f t="shared" si="56"/>
        <v>5.0000000000000001E-3</v>
      </c>
      <c r="AX109" s="182">
        <f t="shared" si="57"/>
        <v>2.5000000000000001E-2</v>
      </c>
      <c r="AY109" s="186"/>
      <c r="AZ109" s="190"/>
      <c r="BA109" s="184">
        <f t="shared" ca="1" si="74"/>
        <v>2123</v>
      </c>
      <c r="BB109" s="171">
        <f t="shared" si="58"/>
        <v>6572.06</v>
      </c>
      <c r="BC109" s="171">
        <f t="shared" si="48"/>
        <v>5430.0431499544147</v>
      </c>
      <c r="BD109" s="171">
        <f t="shared" si="84"/>
        <v>3942.38</v>
      </c>
      <c r="BE109" s="171">
        <f t="shared" si="84"/>
        <v>1760.0266700209545</v>
      </c>
      <c r="BF109" s="171">
        <f t="shared" si="84"/>
        <v>1760.0266700209545</v>
      </c>
      <c r="BG109" s="171">
        <f t="shared" si="84"/>
        <v>1760.0266700209545</v>
      </c>
      <c r="BI109" s="187">
        <f>IF(A109-'Invoer gegevens'!$C$17&lt;0,0,IF(A109-'Invoer gegevens'!$C$17=0,1,IF(A109-'Invoer gegevens'!$C$17&lt;5,2,IF(A109-'Invoer gegevens'!$C$17&lt;15,3,4))))</f>
        <v>0</v>
      </c>
      <c r="BJ109" s="229">
        <f>IF(BI109&lt;1,0,IF(BI109&lt;2,4%,IF(Reeksen!BI109&lt;3,4%,IF(Reeksen!BI109&lt;4,4%*70%,IF(Reeksen!BI109&lt;5,4%*50%)))))</f>
        <v>0</v>
      </c>
      <c r="BK109" s="243"/>
      <c r="BL109" s="243"/>
      <c r="BM109" s="243"/>
      <c r="BN109" s="243"/>
      <c r="BO109" s="243"/>
      <c r="BP109" s="243"/>
      <c r="BQ109" s="243"/>
      <c r="BR109" s="243"/>
    </row>
    <row r="110" spans="1:70" x14ac:dyDescent="0.25">
      <c r="A110" s="184">
        <f t="shared" si="59"/>
        <v>105</v>
      </c>
      <c r="B110" s="179">
        <f>Dashboard!$C$25</f>
        <v>0.05</v>
      </c>
      <c r="C110" s="179">
        <f>Dashboard!$C$25</f>
        <v>0.05</v>
      </c>
      <c r="D110" s="179">
        <f>Dashboard!$C$25</f>
        <v>0.05</v>
      </c>
      <c r="E110" s="189"/>
      <c r="F110" s="184">
        <f t="shared" ca="1" si="60"/>
        <v>2124</v>
      </c>
      <c r="G110" s="179">
        <f t="shared" si="81"/>
        <v>0.02</v>
      </c>
      <c r="H110" s="182">
        <f t="shared" si="61"/>
        <v>8.0425470969132995</v>
      </c>
      <c r="I110" s="179">
        <f t="shared" si="82"/>
        <v>2.5000000000000001E-2</v>
      </c>
      <c r="J110" s="182">
        <f t="shared" si="62"/>
        <v>13.459373456386844</v>
      </c>
      <c r="K110" s="179">
        <f t="shared" si="83"/>
        <v>2.5000000000000001E-2</v>
      </c>
      <c r="L110" s="182">
        <f t="shared" si="63"/>
        <v>13.459373456386844</v>
      </c>
      <c r="M110" s="189"/>
      <c r="N110" s="184">
        <f t="shared" ca="1" si="64"/>
        <v>2124</v>
      </c>
      <c r="O110" s="179">
        <f t="shared" si="77"/>
        <v>0.02</v>
      </c>
      <c r="P110" s="182">
        <f t="shared" si="44"/>
        <v>8.0347401758155392</v>
      </c>
      <c r="R110" s="184">
        <f t="shared" ca="1" si="65"/>
        <v>2124</v>
      </c>
      <c r="S110" s="188">
        <f t="shared" si="79"/>
        <v>5.3600000000000002E-3</v>
      </c>
      <c r="U110" s="184">
        <f t="shared" ca="1" si="66"/>
        <v>2124</v>
      </c>
      <c r="V110" s="182">
        <f t="shared" si="49"/>
        <v>0.02</v>
      </c>
      <c r="W110" s="180">
        <f>Parameters!$D$12</f>
        <v>5.0000000000000001E-3</v>
      </c>
      <c r="X110" s="182">
        <f t="shared" si="50"/>
        <v>2.5000000000000001E-2</v>
      </c>
      <c r="Y110" s="182">
        <f t="shared" si="67"/>
        <v>13.472640461536308</v>
      </c>
      <c r="AA110" s="189"/>
      <c r="AB110" s="184">
        <f t="shared" ca="1" si="68"/>
        <v>2124</v>
      </c>
      <c r="AC110" s="171">
        <f t="shared" si="51"/>
        <v>6736.320230768154</v>
      </c>
      <c r="AD110" s="171">
        <f t="shared" si="47"/>
        <v>1795.2272034213736</v>
      </c>
      <c r="AE110" s="171">
        <f t="shared" si="78"/>
        <v>5538.6440129535031</v>
      </c>
      <c r="AF110" s="171">
        <f t="shared" si="69"/>
        <v>1795.2272034213736</v>
      </c>
      <c r="AG110" s="171">
        <f t="shared" si="80"/>
        <v>4021.23</v>
      </c>
      <c r="AH110" s="171">
        <f t="shared" si="52"/>
        <v>4021.23</v>
      </c>
      <c r="AI110" s="171">
        <f t="shared" si="53"/>
        <v>1795.2272034213736</v>
      </c>
      <c r="AJ110" s="171">
        <f>IF('Invoer gegevens'!$I$27="DAEB",SMALL(AC110:AD110,1),AC110)</f>
        <v>1795.2272034213736</v>
      </c>
      <c r="AK110" s="171">
        <f>IF('Invoer gegevens'!$I$27="DAEB",SMALL((AE110:AH110),1),SMALL((AF110:AH110),1))</f>
        <v>1795.2272034213736</v>
      </c>
      <c r="AL110" s="171">
        <f t="shared" si="75"/>
        <v>0</v>
      </c>
      <c r="AM110" s="171">
        <f t="shared" si="76"/>
        <v>0</v>
      </c>
      <c r="AN110" s="175">
        <f t="shared" si="71"/>
        <v>253507</v>
      </c>
      <c r="AP110" s="184">
        <f t="shared" ca="1" si="72"/>
        <v>2124</v>
      </c>
      <c r="AQ110" s="185">
        <f t="shared" si="54"/>
        <v>0.02</v>
      </c>
      <c r="AR110" s="182">
        <f t="shared" si="45"/>
        <v>8.0347401758155392</v>
      </c>
      <c r="AU110" s="184">
        <f t="shared" ca="1" si="73"/>
        <v>2124</v>
      </c>
      <c r="AV110" s="182">
        <f t="shared" si="55"/>
        <v>0.02</v>
      </c>
      <c r="AW110" s="179">
        <f t="shared" si="56"/>
        <v>5.0000000000000001E-3</v>
      </c>
      <c r="AX110" s="182">
        <f t="shared" si="57"/>
        <v>2.5000000000000001E-2</v>
      </c>
      <c r="AY110" s="186"/>
      <c r="AZ110" s="190"/>
      <c r="BA110" s="184">
        <f t="shared" ca="1" si="74"/>
        <v>2124</v>
      </c>
      <c r="BB110" s="171">
        <f t="shared" si="58"/>
        <v>6736.36</v>
      </c>
      <c r="BC110" s="171">
        <f t="shared" si="48"/>
        <v>5538.6440129535031</v>
      </c>
      <c r="BD110" s="171">
        <f t="shared" si="84"/>
        <v>4021.23</v>
      </c>
      <c r="BE110" s="171">
        <f t="shared" si="84"/>
        <v>1795.2272034213736</v>
      </c>
      <c r="BF110" s="171">
        <f t="shared" si="84"/>
        <v>1795.2272034213736</v>
      </c>
      <c r="BG110" s="171">
        <f t="shared" si="84"/>
        <v>1795.2272034213736</v>
      </c>
      <c r="BI110" s="187">
        <f>IF(A110-'Invoer gegevens'!$C$17&lt;0,0,IF(A110-'Invoer gegevens'!$C$17=0,1,IF(A110-'Invoer gegevens'!$C$17&lt;5,2,IF(A110-'Invoer gegevens'!$C$17&lt;15,3,4))))</f>
        <v>0</v>
      </c>
      <c r="BJ110" s="229">
        <f>IF(BI110&lt;1,0,IF(BI110&lt;2,4%,IF(Reeksen!BI110&lt;3,4%,IF(Reeksen!BI110&lt;4,4%*70%,IF(Reeksen!BI110&lt;5,4%*50%)))))</f>
        <v>0</v>
      </c>
      <c r="BK110" s="243"/>
      <c r="BL110" s="243"/>
      <c r="BM110" s="243"/>
      <c r="BN110" s="243"/>
      <c r="BO110" s="243"/>
      <c r="BP110" s="243"/>
      <c r="BQ110" s="243"/>
      <c r="BR110" s="243"/>
    </row>
    <row r="111" spans="1:70" x14ac:dyDescent="0.25">
      <c r="A111" s="184">
        <f t="shared" si="59"/>
        <v>106</v>
      </c>
      <c r="B111" s="179">
        <f>Dashboard!$C$25</f>
        <v>0.05</v>
      </c>
      <c r="C111" s="179">
        <f>Dashboard!$C$25</f>
        <v>0.05</v>
      </c>
      <c r="D111" s="179">
        <f>Dashboard!$C$25</f>
        <v>0.05</v>
      </c>
      <c r="E111" s="189"/>
      <c r="F111" s="184">
        <f t="shared" ca="1" si="60"/>
        <v>2125</v>
      </c>
      <c r="G111" s="179">
        <f t="shared" si="81"/>
        <v>0.02</v>
      </c>
      <c r="H111" s="182">
        <f t="shared" si="61"/>
        <v>8.2033980388515655</v>
      </c>
      <c r="I111" s="179">
        <f t="shared" si="82"/>
        <v>2.5000000000000001E-2</v>
      </c>
      <c r="J111" s="182">
        <f t="shared" si="62"/>
        <v>13.795857792796514</v>
      </c>
      <c r="K111" s="179">
        <f t="shared" si="83"/>
        <v>2.5000000000000001E-2</v>
      </c>
      <c r="L111" s="182">
        <f t="shared" si="63"/>
        <v>13.795857792796514</v>
      </c>
      <c r="M111" s="189"/>
      <c r="N111" s="184">
        <f t="shared" ca="1" si="64"/>
        <v>2125</v>
      </c>
      <c r="O111" s="179">
        <f t="shared" si="77"/>
        <v>0.02</v>
      </c>
      <c r="P111" s="182">
        <f t="shared" si="44"/>
        <v>8.1954349793318499</v>
      </c>
      <c r="R111" s="184">
        <f t="shared" ca="1" si="65"/>
        <v>2125</v>
      </c>
      <c r="S111" s="188">
        <f t="shared" si="79"/>
        <v>5.3600000000000002E-3</v>
      </c>
      <c r="U111" s="184">
        <f t="shared" ca="1" si="66"/>
        <v>2125</v>
      </c>
      <c r="V111" s="182">
        <f t="shared" si="49"/>
        <v>0.02</v>
      </c>
      <c r="W111" s="180">
        <f>Parameters!$D$12</f>
        <v>5.0000000000000001E-3</v>
      </c>
      <c r="X111" s="182">
        <f t="shared" si="50"/>
        <v>2.5000000000000001E-2</v>
      </c>
      <c r="Y111" s="182">
        <f t="shared" si="67"/>
        <v>13.809456473074714</v>
      </c>
      <c r="AA111" s="189"/>
      <c r="AB111" s="184">
        <f t="shared" ca="1" si="68"/>
        <v>2125</v>
      </c>
      <c r="AC111" s="171">
        <f t="shared" si="51"/>
        <v>6904.7282365373576</v>
      </c>
      <c r="AD111" s="171">
        <f t="shared" si="47"/>
        <v>1831.131747489801</v>
      </c>
      <c r="AE111" s="171">
        <f t="shared" si="78"/>
        <v>5649.4168932125731</v>
      </c>
      <c r="AF111" s="171">
        <f t="shared" si="69"/>
        <v>1831.131747489801</v>
      </c>
      <c r="AG111" s="171">
        <f t="shared" si="80"/>
        <v>4101.6499999999996</v>
      </c>
      <c r="AH111" s="171">
        <f t="shared" si="52"/>
        <v>4101.6499999999996</v>
      </c>
      <c r="AI111" s="171">
        <f t="shared" si="53"/>
        <v>1831.131747489801</v>
      </c>
      <c r="AJ111" s="171">
        <f>IF('Invoer gegevens'!$I$27="DAEB",SMALL(AC111:AD111,1),AC111)</f>
        <v>1831.131747489801</v>
      </c>
      <c r="AK111" s="171">
        <f>IF('Invoer gegevens'!$I$27="DAEB",SMALL((AE111:AH111),1),SMALL((AF111:AH111),1))</f>
        <v>1831.131747489801</v>
      </c>
      <c r="AL111" s="171">
        <f t="shared" si="75"/>
        <v>0</v>
      </c>
      <c r="AM111" s="171">
        <f t="shared" si="76"/>
        <v>0</v>
      </c>
      <c r="AN111" s="175">
        <f t="shared" si="71"/>
        <v>258577</v>
      </c>
      <c r="AP111" s="184">
        <f t="shared" ca="1" si="72"/>
        <v>2125</v>
      </c>
      <c r="AQ111" s="185">
        <f t="shared" si="54"/>
        <v>0.02</v>
      </c>
      <c r="AR111" s="182">
        <f t="shared" si="45"/>
        <v>8.1954349793318499</v>
      </c>
      <c r="AU111" s="184">
        <f t="shared" ca="1" si="73"/>
        <v>2125</v>
      </c>
      <c r="AV111" s="182">
        <f t="shared" si="55"/>
        <v>0.02</v>
      </c>
      <c r="AW111" s="179">
        <f t="shared" si="56"/>
        <v>5.0000000000000001E-3</v>
      </c>
      <c r="AX111" s="182">
        <f t="shared" si="57"/>
        <v>2.5000000000000001E-2</v>
      </c>
      <c r="AY111" s="186"/>
      <c r="AZ111" s="190"/>
      <c r="BA111" s="184">
        <f t="shared" ca="1" si="74"/>
        <v>2125</v>
      </c>
      <c r="BB111" s="171">
        <f t="shared" si="58"/>
        <v>6904.77</v>
      </c>
      <c r="BC111" s="171">
        <f t="shared" si="48"/>
        <v>5649.4168932125731</v>
      </c>
      <c r="BD111" s="171">
        <f t="shared" si="84"/>
        <v>4101.6499999999996</v>
      </c>
      <c r="BE111" s="171">
        <f t="shared" si="84"/>
        <v>1831.131747489801</v>
      </c>
      <c r="BF111" s="171">
        <f t="shared" si="84"/>
        <v>1831.131747489801</v>
      </c>
      <c r="BG111" s="171">
        <f t="shared" si="84"/>
        <v>1831.131747489801</v>
      </c>
      <c r="BI111" s="187">
        <f>IF(A111-'Invoer gegevens'!$C$17&lt;0,0,IF(A111-'Invoer gegevens'!$C$17=0,1,IF(A111-'Invoer gegevens'!$C$17&lt;5,2,IF(A111-'Invoer gegevens'!$C$17&lt;15,3,4))))</f>
        <v>0</v>
      </c>
      <c r="BJ111" s="229">
        <f>IF(BI111&lt;1,0,IF(BI111&lt;2,4%,IF(Reeksen!BI111&lt;3,4%,IF(Reeksen!BI111&lt;4,4%*70%,IF(Reeksen!BI111&lt;5,4%*50%)))))</f>
        <v>0</v>
      </c>
      <c r="BK111" s="243"/>
      <c r="BL111" s="243"/>
      <c r="BM111" s="243"/>
      <c r="BN111" s="243"/>
      <c r="BO111" s="243"/>
      <c r="BP111" s="243"/>
      <c r="BQ111" s="243"/>
      <c r="BR111" s="243"/>
    </row>
    <row r="112" spans="1:70" x14ac:dyDescent="0.25">
      <c r="A112" s="184">
        <f t="shared" si="59"/>
        <v>107</v>
      </c>
      <c r="B112" s="179">
        <f>Dashboard!$C$25</f>
        <v>0.05</v>
      </c>
      <c r="C112" s="179">
        <f>Dashboard!$C$25</f>
        <v>0.05</v>
      </c>
      <c r="D112" s="179">
        <f>Dashboard!$C$25</f>
        <v>0.05</v>
      </c>
      <c r="E112" s="189"/>
      <c r="F112" s="184">
        <f t="shared" ca="1" si="60"/>
        <v>2126</v>
      </c>
      <c r="G112" s="179">
        <f t="shared" si="81"/>
        <v>0.02</v>
      </c>
      <c r="H112" s="182">
        <f t="shared" si="61"/>
        <v>8.3674659996285978</v>
      </c>
      <c r="I112" s="179">
        <f t="shared" si="82"/>
        <v>2.5000000000000001E-2</v>
      </c>
      <c r="J112" s="182">
        <f t="shared" si="62"/>
        <v>14.140754237616425</v>
      </c>
      <c r="K112" s="179">
        <f t="shared" si="83"/>
        <v>2.5000000000000001E-2</v>
      </c>
      <c r="L112" s="182">
        <f t="shared" si="63"/>
        <v>14.140754237616425</v>
      </c>
      <c r="M112" s="189"/>
      <c r="N112" s="184">
        <f t="shared" ca="1" si="64"/>
        <v>2126</v>
      </c>
      <c r="O112" s="179">
        <f t="shared" si="77"/>
        <v>0.02</v>
      </c>
      <c r="P112" s="182">
        <f t="shared" si="44"/>
        <v>8.3593436789184867</v>
      </c>
      <c r="R112" s="184">
        <f t="shared" ca="1" si="65"/>
        <v>2126</v>
      </c>
      <c r="S112" s="188">
        <f t="shared" si="79"/>
        <v>5.3600000000000002E-3</v>
      </c>
      <c r="U112" s="184">
        <f t="shared" ca="1" si="66"/>
        <v>2126</v>
      </c>
      <c r="V112" s="182">
        <f t="shared" si="49"/>
        <v>0.02</v>
      </c>
      <c r="W112" s="180">
        <f>Parameters!$D$12</f>
        <v>5.0000000000000001E-3</v>
      </c>
      <c r="X112" s="182">
        <f t="shared" si="50"/>
        <v>2.5000000000000001E-2</v>
      </c>
      <c r="Y112" s="182">
        <f t="shared" si="67"/>
        <v>14.15469288490158</v>
      </c>
      <c r="AA112" s="189"/>
      <c r="AB112" s="184">
        <f t="shared" ca="1" si="68"/>
        <v>2126</v>
      </c>
      <c r="AC112" s="171">
        <f t="shared" si="51"/>
        <v>7077.3464424507902</v>
      </c>
      <c r="AD112" s="171">
        <f t="shared" si="47"/>
        <v>1867.7543824395973</v>
      </c>
      <c r="AE112" s="171">
        <f t="shared" si="78"/>
        <v>5762.4052310768247</v>
      </c>
      <c r="AF112" s="171">
        <f t="shared" si="69"/>
        <v>1867.7543824395973</v>
      </c>
      <c r="AG112" s="171">
        <f t="shared" si="80"/>
        <v>4183.68</v>
      </c>
      <c r="AH112" s="171">
        <f t="shared" si="52"/>
        <v>4183.68</v>
      </c>
      <c r="AI112" s="171">
        <f t="shared" si="53"/>
        <v>1867.7543824395973</v>
      </c>
      <c r="AJ112" s="171">
        <f>IF('Invoer gegevens'!$I$27="DAEB",SMALL(AC112:AD112,1),AC112)</f>
        <v>1867.7543824395973</v>
      </c>
      <c r="AK112" s="171">
        <f>IF('Invoer gegevens'!$I$27="DAEB",SMALL((AE112:AH112),1),SMALL((AF112:AH112),1))</f>
        <v>1867.7543824395973</v>
      </c>
      <c r="AL112" s="171">
        <f t="shared" si="75"/>
        <v>0</v>
      </c>
      <c r="AM112" s="171">
        <f t="shared" si="76"/>
        <v>0</v>
      </c>
      <c r="AN112" s="175">
        <f t="shared" si="71"/>
        <v>263749</v>
      </c>
      <c r="AP112" s="184">
        <f t="shared" ca="1" si="72"/>
        <v>2126</v>
      </c>
      <c r="AQ112" s="185">
        <f t="shared" si="54"/>
        <v>0.02</v>
      </c>
      <c r="AR112" s="182">
        <f t="shared" si="45"/>
        <v>8.3593436789184867</v>
      </c>
      <c r="AU112" s="184">
        <f t="shared" ca="1" si="73"/>
        <v>2126</v>
      </c>
      <c r="AV112" s="182">
        <f t="shared" si="55"/>
        <v>0.02</v>
      </c>
      <c r="AW112" s="179">
        <f t="shared" si="56"/>
        <v>5.0000000000000001E-3</v>
      </c>
      <c r="AX112" s="182">
        <f t="shared" si="57"/>
        <v>2.5000000000000001E-2</v>
      </c>
      <c r="AY112" s="186"/>
      <c r="AZ112" s="190"/>
      <c r="BA112" s="184">
        <f t="shared" ca="1" si="74"/>
        <v>2126</v>
      </c>
      <c r="BB112" s="171">
        <f t="shared" si="58"/>
        <v>7077.39</v>
      </c>
      <c r="BC112" s="171">
        <f t="shared" si="48"/>
        <v>5762.4052310768247</v>
      </c>
      <c r="BD112" s="171">
        <f t="shared" si="84"/>
        <v>4183.68</v>
      </c>
      <c r="BE112" s="171">
        <f t="shared" si="84"/>
        <v>1867.7543824395973</v>
      </c>
      <c r="BF112" s="171">
        <f t="shared" si="84"/>
        <v>1867.7543824395973</v>
      </c>
      <c r="BG112" s="171">
        <f t="shared" si="84"/>
        <v>1867.7543824395973</v>
      </c>
      <c r="BI112" s="187">
        <f>IF(A112-'Invoer gegevens'!$C$17&lt;0,0,IF(A112-'Invoer gegevens'!$C$17=0,1,IF(A112-'Invoer gegevens'!$C$17&lt;5,2,IF(A112-'Invoer gegevens'!$C$17&lt;15,3,4))))</f>
        <v>0</v>
      </c>
      <c r="BJ112" s="229">
        <f>IF(BI112&lt;1,0,IF(BI112&lt;2,4%,IF(Reeksen!BI112&lt;3,4%,IF(Reeksen!BI112&lt;4,4%*70%,IF(Reeksen!BI112&lt;5,4%*50%)))))</f>
        <v>0</v>
      </c>
      <c r="BK112" s="243"/>
      <c r="BL112" s="243"/>
      <c r="BM112" s="243"/>
      <c r="BN112" s="243"/>
      <c r="BO112" s="243"/>
      <c r="BP112" s="243"/>
      <c r="BQ112" s="243"/>
      <c r="BR112" s="243"/>
    </row>
    <row r="113" spans="1:70" x14ac:dyDescent="0.25">
      <c r="A113" s="184">
        <f t="shared" si="59"/>
        <v>108</v>
      </c>
      <c r="B113" s="179">
        <f>Dashboard!$C$25</f>
        <v>0.05</v>
      </c>
      <c r="C113" s="179">
        <f>Dashboard!$C$25</f>
        <v>0.05</v>
      </c>
      <c r="D113" s="179">
        <f>Dashboard!$C$25</f>
        <v>0.05</v>
      </c>
      <c r="E113" s="189"/>
      <c r="F113" s="184">
        <f t="shared" ca="1" si="60"/>
        <v>2127</v>
      </c>
      <c r="G113" s="179">
        <f t="shared" si="81"/>
        <v>0.02</v>
      </c>
      <c r="H113" s="182">
        <f t="shared" si="61"/>
        <v>8.5348153196211705</v>
      </c>
      <c r="I113" s="179">
        <f t="shared" si="82"/>
        <v>2.5000000000000001E-2</v>
      </c>
      <c r="J113" s="182">
        <f t="shared" si="62"/>
        <v>14.494273093556835</v>
      </c>
      <c r="K113" s="179">
        <f t="shared" si="83"/>
        <v>2.5000000000000001E-2</v>
      </c>
      <c r="L113" s="182">
        <f t="shared" si="63"/>
        <v>14.494273093556835</v>
      </c>
      <c r="M113" s="189"/>
      <c r="N113" s="184">
        <f t="shared" ca="1" si="64"/>
        <v>2127</v>
      </c>
      <c r="O113" s="179">
        <f t="shared" si="77"/>
        <v>0.02</v>
      </c>
      <c r="P113" s="182">
        <f t="shared" si="44"/>
        <v>8.5265305524968564</v>
      </c>
      <c r="R113" s="184">
        <f t="shared" ca="1" si="65"/>
        <v>2127</v>
      </c>
      <c r="S113" s="188">
        <f t="shared" si="79"/>
        <v>5.3600000000000002E-3</v>
      </c>
      <c r="U113" s="184">
        <f t="shared" ca="1" si="66"/>
        <v>2127</v>
      </c>
      <c r="V113" s="182">
        <f t="shared" si="49"/>
        <v>0.02</v>
      </c>
      <c r="W113" s="180">
        <f>Parameters!$D$12</f>
        <v>5.0000000000000001E-3</v>
      </c>
      <c r="X113" s="182">
        <f t="shared" si="50"/>
        <v>2.5000000000000001E-2</v>
      </c>
      <c r="Y113" s="182">
        <f t="shared" si="67"/>
        <v>14.508560207024118</v>
      </c>
      <c r="AA113" s="189"/>
      <c r="AB113" s="184">
        <f t="shared" ca="1" si="68"/>
        <v>2127</v>
      </c>
      <c r="AC113" s="171">
        <f t="shared" si="51"/>
        <v>7254.2801035120592</v>
      </c>
      <c r="AD113" s="171">
        <f t="shared" si="47"/>
        <v>1905.1094700883893</v>
      </c>
      <c r="AE113" s="171">
        <f t="shared" si="78"/>
        <v>5877.6533356983609</v>
      </c>
      <c r="AF113" s="171">
        <f t="shared" si="69"/>
        <v>1905.1094700883893</v>
      </c>
      <c r="AG113" s="171">
        <f t="shared" si="80"/>
        <v>4267.3500000000004</v>
      </c>
      <c r="AH113" s="171">
        <f t="shared" si="52"/>
        <v>4267.3500000000004</v>
      </c>
      <c r="AI113" s="171">
        <f t="shared" si="53"/>
        <v>1905.1094700883893</v>
      </c>
      <c r="AJ113" s="171">
        <f>IF('Invoer gegevens'!$I$27="DAEB",SMALL(AC113:AD113,1),AC113)</f>
        <v>1905.1094700883893</v>
      </c>
      <c r="AK113" s="171">
        <f>IF('Invoer gegevens'!$I$27="DAEB",SMALL((AE113:AH113),1),SMALL((AF113:AH113),1))</f>
        <v>1905.1094700883893</v>
      </c>
      <c r="AL113" s="171">
        <f t="shared" si="75"/>
        <v>0</v>
      </c>
      <c r="AM113" s="171">
        <f t="shared" si="76"/>
        <v>0</v>
      </c>
      <c r="AN113" s="175">
        <f t="shared" si="71"/>
        <v>269024</v>
      </c>
      <c r="AP113" s="184">
        <f t="shared" ca="1" si="72"/>
        <v>2127</v>
      </c>
      <c r="AQ113" s="185">
        <f t="shared" si="54"/>
        <v>0.02</v>
      </c>
      <c r="AR113" s="182">
        <f t="shared" si="45"/>
        <v>8.5265305524968564</v>
      </c>
      <c r="AU113" s="184">
        <f t="shared" ca="1" si="73"/>
        <v>2127</v>
      </c>
      <c r="AV113" s="182">
        <f t="shared" si="55"/>
        <v>0.02</v>
      </c>
      <c r="AW113" s="179">
        <f t="shared" si="56"/>
        <v>5.0000000000000001E-3</v>
      </c>
      <c r="AX113" s="182">
        <f t="shared" si="57"/>
        <v>2.5000000000000001E-2</v>
      </c>
      <c r="AY113" s="186"/>
      <c r="AZ113" s="190"/>
      <c r="BA113" s="184">
        <f t="shared" ca="1" si="74"/>
        <v>2127</v>
      </c>
      <c r="BB113" s="171">
        <f t="shared" si="58"/>
        <v>7254.32</v>
      </c>
      <c r="BC113" s="171">
        <f t="shared" si="48"/>
        <v>5877.6533356983609</v>
      </c>
      <c r="BD113" s="171">
        <f t="shared" si="84"/>
        <v>4267.3500000000004</v>
      </c>
      <c r="BE113" s="171">
        <f t="shared" si="84"/>
        <v>1905.1094700883893</v>
      </c>
      <c r="BF113" s="171">
        <f t="shared" si="84"/>
        <v>1905.1094700883893</v>
      </c>
      <c r="BG113" s="171">
        <f t="shared" si="84"/>
        <v>1905.1094700883893</v>
      </c>
      <c r="BI113" s="187">
        <f>IF(A113-'Invoer gegevens'!$C$17&lt;0,0,IF(A113-'Invoer gegevens'!$C$17=0,1,IF(A113-'Invoer gegevens'!$C$17&lt;5,2,IF(A113-'Invoer gegevens'!$C$17&lt;15,3,4))))</f>
        <v>0</v>
      </c>
      <c r="BJ113" s="229">
        <f>IF(BI113&lt;1,0,IF(BI113&lt;2,4%,IF(Reeksen!BI113&lt;3,4%,IF(Reeksen!BI113&lt;4,4%*70%,IF(Reeksen!BI113&lt;5,4%*50%)))))</f>
        <v>0</v>
      </c>
      <c r="BK113" s="243"/>
      <c r="BL113" s="243"/>
      <c r="BM113" s="243"/>
      <c r="BN113" s="243"/>
      <c r="BO113" s="243"/>
      <c r="BP113" s="243"/>
      <c r="BQ113" s="243"/>
      <c r="BR113" s="243"/>
    </row>
    <row r="114" spans="1:70" x14ac:dyDescent="0.25">
      <c r="A114" s="184">
        <f t="shared" si="59"/>
        <v>109</v>
      </c>
      <c r="B114" s="179">
        <f>Dashboard!$C$25</f>
        <v>0.05</v>
      </c>
      <c r="C114" s="179">
        <f>Dashboard!$C$25</f>
        <v>0.05</v>
      </c>
      <c r="D114" s="179">
        <f>Dashboard!$C$25</f>
        <v>0.05</v>
      </c>
      <c r="E114" s="189"/>
      <c r="F114" s="184">
        <f t="shared" ca="1" si="60"/>
        <v>2128</v>
      </c>
      <c r="G114" s="179">
        <f t="shared" si="81"/>
        <v>0.02</v>
      </c>
      <c r="H114" s="182">
        <f t="shared" si="61"/>
        <v>8.7055116260135943</v>
      </c>
      <c r="I114" s="179">
        <f t="shared" si="82"/>
        <v>2.5000000000000001E-2</v>
      </c>
      <c r="J114" s="182">
        <f t="shared" si="62"/>
        <v>14.856629920895754</v>
      </c>
      <c r="K114" s="179">
        <f t="shared" si="83"/>
        <v>2.5000000000000001E-2</v>
      </c>
      <c r="L114" s="182">
        <f t="shared" si="63"/>
        <v>14.856629920895754</v>
      </c>
      <c r="M114" s="189"/>
      <c r="N114" s="184">
        <f t="shared" ca="1" si="64"/>
        <v>2128</v>
      </c>
      <c r="O114" s="179">
        <f t="shared" si="77"/>
        <v>0.02</v>
      </c>
      <c r="P114" s="182">
        <f t="shared" si="44"/>
        <v>8.6970611635467936</v>
      </c>
      <c r="R114" s="184">
        <f t="shared" ca="1" si="65"/>
        <v>2128</v>
      </c>
      <c r="S114" s="188">
        <f t="shared" si="79"/>
        <v>5.3600000000000002E-3</v>
      </c>
      <c r="U114" s="184">
        <f t="shared" ca="1" si="66"/>
        <v>2128</v>
      </c>
      <c r="V114" s="182">
        <f t="shared" si="49"/>
        <v>0.02</v>
      </c>
      <c r="W114" s="180">
        <f>Parameters!$D$12</f>
        <v>5.0000000000000001E-3</v>
      </c>
      <c r="X114" s="182">
        <f t="shared" si="50"/>
        <v>2.5000000000000001E-2</v>
      </c>
      <c r="Y114" s="182">
        <f t="shared" si="67"/>
        <v>14.871274212199719</v>
      </c>
      <c r="AA114" s="189"/>
      <c r="AB114" s="184">
        <f t="shared" ca="1" si="68"/>
        <v>2128</v>
      </c>
      <c r="AC114" s="171">
        <f t="shared" si="51"/>
        <v>7435.637106099859</v>
      </c>
      <c r="AD114" s="171">
        <f t="shared" si="47"/>
        <v>1943.2116594901572</v>
      </c>
      <c r="AE114" s="171">
        <f t="shared" si="78"/>
        <v>5995.2064024123283</v>
      </c>
      <c r="AF114" s="171">
        <f t="shared" si="69"/>
        <v>1943.2116594901572</v>
      </c>
      <c r="AG114" s="171">
        <f t="shared" si="80"/>
        <v>4352.7</v>
      </c>
      <c r="AH114" s="171">
        <f t="shared" si="52"/>
        <v>4352.7</v>
      </c>
      <c r="AI114" s="171">
        <f t="shared" si="53"/>
        <v>1943.2116594901572</v>
      </c>
      <c r="AJ114" s="171">
        <f>IF('Invoer gegevens'!$I$27="DAEB",SMALL(AC114:AD114,1),AC114)</f>
        <v>1943.2116594901572</v>
      </c>
      <c r="AK114" s="171">
        <f>IF('Invoer gegevens'!$I$27="DAEB",SMALL((AE114:AH114),1),SMALL((AF114:AH114),1))</f>
        <v>1943.2116594901572</v>
      </c>
      <c r="AL114" s="171">
        <f t="shared" si="75"/>
        <v>0</v>
      </c>
      <c r="AM114" s="171">
        <f t="shared" si="76"/>
        <v>0</v>
      </c>
      <c r="AN114" s="175">
        <f t="shared" si="71"/>
        <v>274404</v>
      </c>
      <c r="AP114" s="184">
        <f t="shared" ca="1" si="72"/>
        <v>2128</v>
      </c>
      <c r="AQ114" s="185">
        <f t="shared" si="54"/>
        <v>0.02</v>
      </c>
      <c r="AR114" s="182">
        <f t="shared" si="45"/>
        <v>8.6970611635467936</v>
      </c>
      <c r="AU114" s="184">
        <f t="shared" ca="1" si="73"/>
        <v>2128</v>
      </c>
      <c r="AV114" s="182">
        <f t="shared" si="55"/>
        <v>0.02</v>
      </c>
      <c r="AW114" s="179">
        <f t="shared" si="56"/>
        <v>5.0000000000000001E-3</v>
      </c>
      <c r="AX114" s="182">
        <f t="shared" si="57"/>
        <v>2.5000000000000001E-2</v>
      </c>
      <c r="AY114" s="186"/>
      <c r="AZ114" s="190"/>
      <c r="BA114" s="184">
        <f t="shared" ca="1" si="74"/>
        <v>2128</v>
      </c>
      <c r="BB114" s="171">
        <f t="shared" si="58"/>
        <v>7435.68</v>
      </c>
      <c r="BC114" s="171">
        <f t="shared" si="48"/>
        <v>5995.2064024123283</v>
      </c>
      <c r="BD114" s="171">
        <f t="shared" si="84"/>
        <v>4352.7</v>
      </c>
      <c r="BE114" s="171">
        <f t="shared" si="84"/>
        <v>1943.2116594901572</v>
      </c>
      <c r="BF114" s="171">
        <f t="shared" si="84"/>
        <v>1943.2116594901572</v>
      </c>
      <c r="BG114" s="171">
        <f t="shared" si="84"/>
        <v>1943.2116594901572</v>
      </c>
      <c r="BI114" s="187">
        <f>IF(A114-'Invoer gegevens'!$C$17&lt;0,0,IF(A114-'Invoer gegevens'!$C$17=0,1,IF(A114-'Invoer gegevens'!$C$17&lt;5,2,IF(A114-'Invoer gegevens'!$C$17&lt;15,3,4))))</f>
        <v>0</v>
      </c>
      <c r="BJ114" s="229">
        <f>IF(BI114&lt;1,0,IF(BI114&lt;2,4%,IF(Reeksen!BI114&lt;3,4%,IF(Reeksen!BI114&lt;4,4%*70%,IF(Reeksen!BI114&lt;5,4%*50%)))))</f>
        <v>0</v>
      </c>
      <c r="BK114" s="243"/>
      <c r="BL114" s="243"/>
      <c r="BM114" s="243"/>
      <c r="BN114" s="243"/>
      <c r="BO114" s="243"/>
      <c r="BP114" s="243"/>
      <c r="BQ114" s="243"/>
      <c r="BR114" s="243"/>
    </row>
    <row r="115" spans="1:70" x14ac:dyDescent="0.25">
      <c r="A115" s="184">
        <f t="shared" si="59"/>
        <v>110</v>
      </c>
      <c r="B115" s="179">
        <f>Dashboard!$C$25</f>
        <v>0.05</v>
      </c>
      <c r="C115" s="179">
        <f>Dashboard!$C$25</f>
        <v>0.05</v>
      </c>
      <c r="D115" s="179">
        <f>Dashboard!$C$25</f>
        <v>0.05</v>
      </c>
      <c r="E115" s="189"/>
      <c r="F115" s="184">
        <f t="shared" ca="1" si="60"/>
        <v>2129</v>
      </c>
      <c r="G115" s="179">
        <f t="shared" si="81"/>
        <v>0.02</v>
      </c>
      <c r="H115" s="182">
        <f t="shared" si="61"/>
        <v>8.8796218585338664</v>
      </c>
      <c r="I115" s="179">
        <f t="shared" si="82"/>
        <v>2.5000000000000001E-2</v>
      </c>
      <c r="J115" s="182">
        <f t="shared" si="62"/>
        <v>15.228045668918147</v>
      </c>
      <c r="K115" s="179">
        <f t="shared" si="83"/>
        <v>2.5000000000000001E-2</v>
      </c>
      <c r="L115" s="182">
        <f t="shared" si="63"/>
        <v>15.228045668918147</v>
      </c>
      <c r="M115" s="189"/>
      <c r="N115" s="184">
        <f t="shared" ca="1" si="64"/>
        <v>2129</v>
      </c>
      <c r="O115" s="179">
        <f t="shared" si="77"/>
        <v>0.02</v>
      </c>
      <c r="P115" s="182">
        <f t="shared" si="44"/>
        <v>8.8710023868177288</v>
      </c>
      <c r="R115" s="184">
        <f t="shared" ca="1" si="65"/>
        <v>2129</v>
      </c>
      <c r="S115" s="188">
        <f t="shared" si="79"/>
        <v>5.3600000000000002E-3</v>
      </c>
      <c r="U115" s="184">
        <f t="shared" ca="1" si="66"/>
        <v>2129</v>
      </c>
      <c r="V115" s="182">
        <f t="shared" si="49"/>
        <v>0.02</v>
      </c>
      <c r="W115" s="180">
        <f>Parameters!$D$12</f>
        <v>5.0000000000000001E-3</v>
      </c>
      <c r="X115" s="182">
        <f t="shared" si="50"/>
        <v>2.5000000000000001E-2</v>
      </c>
      <c r="Y115" s="182">
        <f t="shared" si="67"/>
        <v>15.24305606750471</v>
      </c>
      <c r="AA115" s="189"/>
      <c r="AB115" s="184">
        <f t="shared" ca="1" si="68"/>
        <v>2129</v>
      </c>
      <c r="AC115" s="171">
        <f t="shared" si="51"/>
        <v>7621.5280337523554</v>
      </c>
      <c r="AD115" s="171">
        <f t="shared" si="47"/>
        <v>1982.0758926799604</v>
      </c>
      <c r="AE115" s="171">
        <f t="shared" si="78"/>
        <v>6115.1105304605753</v>
      </c>
      <c r="AF115" s="171">
        <f t="shared" si="69"/>
        <v>1982.0758926799604</v>
      </c>
      <c r="AG115" s="171">
        <f t="shared" si="80"/>
        <v>4439.75</v>
      </c>
      <c r="AH115" s="171">
        <f t="shared" si="52"/>
        <v>4439.75</v>
      </c>
      <c r="AI115" s="171">
        <f t="shared" si="53"/>
        <v>1982.0758926799604</v>
      </c>
      <c r="AJ115" s="171">
        <f>IF('Invoer gegevens'!$I$27="DAEB",SMALL(AC115:AD115,1),AC115)</f>
        <v>1982.0758926799604</v>
      </c>
      <c r="AK115" s="171">
        <f>IF('Invoer gegevens'!$I$27="DAEB",SMALL((AE115:AH115),1),SMALL((AF115:AH115),1))</f>
        <v>1982.0758926799604</v>
      </c>
      <c r="AL115" s="171">
        <f t="shared" si="75"/>
        <v>0</v>
      </c>
      <c r="AM115" s="171">
        <f t="shared" si="76"/>
        <v>0</v>
      </c>
      <c r="AN115" s="175">
        <f t="shared" si="71"/>
        <v>279892</v>
      </c>
      <c r="AP115" s="184">
        <f t="shared" ca="1" si="72"/>
        <v>2129</v>
      </c>
      <c r="AQ115" s="185">
        <f t="shared" si="54"/>
        <v>0.02</v>
      </c>
      <c r="AR115" s="182">
        <f t="shared" si="45"/>
        <v>8.8710023868177288</v>
      </c>
      <c r="AU115" s="184">
        <f t="shared" ca="1" si="73"/>
        <v>2129</v>
      </c>
      <c r="AV115" s="182">
        <f t="shared" si="55"/>
        <v>0.02</v>
      </c>
      <c r="AW115" s="179">
        <f t="shared" si="56"/>
        <v>5.0000000000000001E-3</v>
      </c>
      <c r="AX115" s="182">
        <f t="shared" si="57"/>
        <v>2.5000000000000001E-2</v>
      </c>
      <c r="AY115" s="186"/>
      <c r="AZ115" s="190"/>
      <c r="BA115" s="184">
        <f t="shared" ca="1" si="74"/>
        <v>2129</v>
      </c>
      <c r="BB115" s="171">
        <f t="shared" si="58"/>
        <v>7621.57</v>
      </c>
      <c r="BC115" s="171">
        <f t="shared" si="48"/>
        <v>6115.1105304605753</v>
      </c>
      <c r="BD115" s="171">
        <f t="shared" si="84"/>
        <v>4439.75</v>
      </c>
      <c r="BE115" s="171">
        <f t="shared" si="84"/>
        <v>1982.0758926799604</v>
      </c>
      <c r="BF115" s="171">
        <f t="shared" si="84"/>
        <v>1982.0758926799604</v>
      </c>
      <c r="BG115" s="171">
        <f t="shared" si="84"/>
        <v>1982.0758926799604</v>
      </c>
      <c r="BI115" s="187">
        <f>IF(A115-'Invoer gegevens'!$C$17&lt;0,0,IF(A115-'Invoer gegevens'!$C$17=0,1,IF(A115-'Invoer gegevens'!$C$17&lt;5,2,IF(A115-'Invoer gegevens'!$C$17&lt;15,3,4))))</f>
        <v>0</v>
      </c>
      <c r="BJ115" s="229">
        <f>IF(BI115&lt;1,0,IF(BI115&lt;2,4%,IF(Reeksen!BI115&lt;3,4%,IF(Reeksen!BI115&lt;4,4%*70%,IF(Reeksen!BI115&lt;5,4%*50%)))))</f>
        <v>0</v>
      </c>
      <c r="BK115" s="243"/>
      <c r="BL115" s="243"/>
      <c r="BM115" s="243"/>
      <c r="BN115" s="243"/>
      <c r="BO115" s="243"/>
      <c r="BP115" s="243"/>
      <c r="BQ115" s="243"/>
      <c r="BR115" s="243"/>
    </row>
    <row r="116" spans="1:70" x14ac:dyDescent="0.25">
      <c r="A116" s="184">
        <f t="shared" si="59"/>
        <v>111</v>
      </c>
      <c r="B116" s="179">
        <f>Dashboard!$C$25</f>
        <v>0.05</v>
      </c>
      <c r="C116" s="179">
        <f>Dashboard!$C$25</f>
        <v>0.05</v>
      </c>
      <c r="D116" s="179">
        <f>Dashboard!$C$25</f>
        <v>0.05</v>
      </c>
      <c r="E116" s="189"/>
      <c r="F116" s="184">
        <f t="shared" ca="1" si="60"/>
        <v>2130</v>
      </c>
      <c r="G116" s="179">
        <f t="shared" si="81"/>
        <v>0.02</v>
      </c>
      <c r="H116" s="182">
        <f t="shared" si="61"/>
        <v>9.0572142957045436</v>
      </c>
      <c r="I116" s="179">
        <f t="shared" si="82"/>
        <v>2.5000000000000001E-2</v>
      </c>
      <c r="J116" s="182">
        <f t="shared" si="62"/>
        <v>15.608746810641099</v>
      </c>
      <c r="K116" s="179">
        <f t="shared" si="83"/>
        <v>2.5000000000000001E-2</v>
      </c>
      <c r="L116" s="182">
        <f t="shared" si="63"/>
        <v>15.608746810641099</v>
      </c>
      <c r="M116" s="189"/>
      <c r="N116" s="184">
        <f t="shared" ca="1" si="64"/>
        <v>2130</v>
      </c>
      <c r="O116" s="179">
        <f t="shared" si="77"/>
        <v>0.02</v>
      </c>
      <c r="P116" s="182">
        <f t="shared" si="44"/>
        <v>9.0484224345540838</v>
      </c>
      <c r="R116" s="184">
        <f t="shared" ca="1" si="65"/>
        <v>2130</v>
      </c>
      <c r="S116" s="188">
        <f t="shared" si="79"/>
        <v>5.3600000000000002E-3</v>
      </c>
      <c r="U116" s="184">
        <f t="shared" ca="1" si="66"/>
        <v>2130</v>
      </c>
      <c r="V116" s="182">
        <f t="shared" si="49"/>
        <v>0.02</v>
      </c>
      <c r="W116" s="180">
        <f>Parameters!$D$12</f>
        <v>5.0000000000000001E-3</v>
      </c>
      <c r="X116" s="182">
        <f t="shared" si="50"/>
        <v>2.5000000000000001E-2</v>
      </c>
      <c r="Y116" s="182">
        <f t="shared" si="67"/>
        <v>15.624132469192327</v>
      </c>
      <c r="AA116" s="189"/>
      <c r="AB116" s="184">
        <f t="shared" ca="1" si="68"/>
        <v>2130</v>
      </c>
      <c r="AC116" s="171">
        <f t="shared" si="51"/>
        <v>7812.0662345961637</v>
      </c>
      <c r="AD116" s="171">
        <f t="shared" si="47"/>
        <v>2021.7174105335596</v>
      </c>
      <c r="AE116" s="171">
        <f t="shared" si="78"/>
        <v>6237.4127410697865</v>
      </c>
      <c r="AF116" s="171">
        <f t="shared" si="69"/>
        <v>2021.7174105335596</v>
      </c>
      <c r="AG116" s="171">
        <f t="shared" si="80"/>
        <v>4528.55</v>
      </c>
      <c r="AH116" s="171">
        <f t="shared" si="52"/>
        <v>4528.55</v>
      </c>
      <c r="AI116" s="171">
        <f t="shared" si="53"/>
        <v>2021.7174105335596</v>
      </c>
      <c r="AJ116" s="171">
        <f>IF('Invoer gegevens'!$I$27="DAEB",SMALL(AC116:AD116,1),AC116)</f>
        <v>2021.7174105335596</v>
      </c>
      <c r="AK116" s="171">
        <f>IF('Invoer gegevens'!$I$27="DAEB",SMALL((AE116:AH116),1),SMALL((AF116:AH116),1))</f>
        <v>2021.7174105335596</v>
      </c>
      <c r="AL116" s="171">
        <f t="shared" si="75"/>
        <v>0</v>
      </c>
      <c r="AM116" s="171">
        <f t="shared" si="76"/>
        <v>0</v>
      </c>
      <c r="AN116" s="175">
        <f t="shared" si="71"/>
        <v>285490</v>
      </c>
      <c r="AP116" s="184">
        <f t="shared" ca="1" si="72"/>
        <v>2130</v>
      </c>
      <c r="AQ116" s="185">
        <f t="shared" si="54"/>
        <v>0.02</v>
      </c>
      <c r="AR116" s="182">
        <f t="shared" si="45"/>
        <v>9.0484224345540838</v>
      </c>
      <c r="AU116" s="184">
        <f t="shared" ca="1" si="73"/>
        <v>2130</v>
      </c>
      <c r="AV116" s="182">
        <f t="shared" si="55"/>
        <v>0.02</v>
      </c>
      <c r="AW116" s="179">
        <f t="shared" si="56"/>
        <v>5.0000000000000001E-3</v>
      </c>
      <c r="AX116" s="182">
        <f t="shared" si="57"/>
        <v>2.5000000000000001E-2</v>
      </c>
      <c r="AY116" s="186"/>
      <c r="AZ116" s="190"/>
      <c r="BA116" s="184">
        <f t="shared" ca="1" si="74"/>
        <v>2130</v>
      </c>
      <c r="BB116" s="171">
        <f t="shared" si="58"/>
        <v>7812.11</v>
      </c>
      <c r="BC116" s="171">
        <f t="shared" si="48"/>
        <v>6237.4127410697865</v>
      </c>
      <c r="BD116" s="171">
        <f t="shared" si="84"/>
        <v>4528.55</v>
      </c>
      <c r="BE116" s="171">
        <f t="shared" si="84"/>
        <v>2021.7174105335596</v>
      </c>
      <c r="BF116" s="171">
        <f t="shared" si="84"/>
        <v>2021.7174105335596</v>
      </c>
      <c r="BG116" s="171">
        <f t="shared" si="84"/>
        <v>2021.7174105335596</v>
      </c>
      <c r="BI116" s="187">
        <f>IF(A116-'Invoer gegevens'!$C$17&lt;0,0,IF(A116-'Invoer gegevens'!$C$17=0,1,IF(A116-'Invoer gegevens'!$C$17&lt;5,2,IF(A116-'Invoer gegevens'!$C$17&lt;15,3,4))))</f>
        <v>0</v>
      </c>
      <c r="BJ116" s="229">
        <f>IF(BI116&lt;1,0,IF(BI116&lt;2,4%,IF(Reeksen!BI116&lt;3,4%,IF(Reeksen!BI116&lt;4,4%*70%,IF(Reeksen!BI116&lt;5,4%*50%)))))</f>
        <v>0</v>
      </c>
      <c r="BK116" s="243"/>
      <c r="BL116" s="243"/>
      <c r="BM116" s="243"/>
      <c r="BN116" s="243"/>
      <c r="BO116" s="243"/>
      <c r="BP116" s="243"/>
      <c r="BQ116" s="243"/>
      <c r="BR116" s="243"/>
    </row>
    <row r="117" spans="1:70" x14ac:dyDescent="0.25">
      <c r="A117" s="184">
        <f t="shared" si="59"/>
        <v>112</v>
      </c>
      <c r="B117" s="179">
        <f>Dashboard!$C$25</f>
        <v>0.05</v>
      </c>
      <c r="C117" s="179">
        <f>Dashboard!$C$25</f>
        <v>0.05</v>
      </c>
      <c r="D117" s="179">
        <f>Dashboard!$C$25</f>
        <v>0.05</v>
      </c>
      <c r="E117" s="189"/>
      <c r="F117" s="184">
        <f t="shared" ca="1" si="60"/>
        <v>2131</v>
      </c>
      <c r="G117" s="179">
        <f t="shared" si="81"/>
        <v>0.02</v>
      </c>
      <c r="H117" s="182">
        <f t="shared" si="61"/>
        <v>9.238358581618634</v>
      </c>
      <c r="I117" s="179">
        <f t="shared" si="82"/>
        <v>2.5000000000000001E-2</v>
      </c>
      <c r="J117" s="182">
        <f t="shared" si="62"/>
        <v>15.998965480907126</v>
      </c>
      <c r="K117" s="179">
        <f t="shared" si="83"/>
        <v>2.5000000000000001E-2</v>
      </c>
      <c r="L117" s="182">
        <f t="shared" si="63"/>
        <v>15.998965480907126</v>
      </c>
      <c r="M117" s="189"/>
      <c r="N117" s="184">
        <f t="shared" ca="1" si="64"/>
        <v>2131</v>
      </c>
      <c r="O117" s="179">
        <f t="shared" si="77"/>
        <v>0.02</v>
      </c>
      <c r="P117" s="182">
        <f t="shared" si="44"/>
        <v>9.2293908832451663</v>
      </c>
      <c r="R117" s="184">
        <f t="shared" ca="1" si="65"/>
        <v>2131</v>
      </c>
      <c r="S117" s="188">
        <f t="shared" si="79"/>
        <v>5.3600000000000002E-3</v>
      </c>
      <c r="U117" s="184">
        <f t="shared" ca="1" si="66"/>
        <v>2131</v>
      </c>
      <c r="V117" s="182">
        <f t="shared" si="49"/>
        <v>0.02</v>
      </c>
      <c r="W117" s="180">
        <f>Parameters!$D$12</f>
        <v>5.0000000000000001E-3</v>
      </c>
      <c r="X117" s="182">
        <f t="shared" si="50"/>
        <v>2.5000000000000001E-2</v>
      </c>
      <c r="Y117" s="182">
        <f t="shared" si="67"/>
        <v>16.014735780922134</v>
      </c>
      <c r="AA117" s="189"/>
      <c r="AB117" s="184">
        <f t="shared" ca="1" si="68"/>
        <v>2131</v>
      </c>
      <c r="AC117" s="171">
        <f t="shared" si="51"/>
        <v>8007.367890461067</v>
      </c>
      <c r="AD117" s="171">
        <f t="shared" si="47"/>
        <v>2062.1517587442308</v>
      </c>
      <c r="AE117" s="171">
        <f t="shared" si="78"/>
        <v>6362.1609958911822</v>
      </c>
      <c r="AF117" s="171">
        <f t="shared" si="69"/>
        <v>2062.1517587442308</v>
      </c>
      <c r="AG117" s="171">
        <f t="shared" si="80"/>
        <v>4619.12</v>
      </c>
      <c r="AH117" s="171">
        <f t="shared" si="52"/>
        <v>4619.12</v>
      </c>
      <c r="AI117" s="171">
        <f t="shared" si="53"/>
        <v>2062.1517587442308</v>
      </c>
      <c r="AJ117" s="171">
        <f>IF('Invoer gegevens'!$I$27="DAEB",SMALL(AC117:AD117,1),AC117)</f>
        <v>2062.1517587442308</v>
      </c>
      <c r="AK117" s="171">
        <f>IF('Invoer gegevens'!$I$27="DAEB",SMALL((AE117:AH117),1),SMALL((AF117:AH117),1))</f>
        <v>2062.1517587442308</v>
      </c>
      <c r="AL117" s="171">
        <f t="shared" si="75"/>
        <v>0</v>
      </c>
      <c r="AM117" s="171">
        <f t="shared" si="76"/>
        <v>0</v>
      </c>
      <c r="AN117" s="175">
        <f t="shared" si="71"/>
        <v>291200</v>
      </c>
      <c r="AP117" s="184">
        <f t="shared" ca="1" si="72"/>
        <v>2131</v>
      </c>
      <c r="AQ117" s="185">
        <f t="shared" si="54"/>
        <v>0.02</v>
      </c>
      <c r="AR117" s="182">
        <f t="shared" si="45"/>
        <v>9.2293908832451663</v>
      </c>
      <c r="AU117" s="184">
        <f t="shared" ca="1" si="73"/>
        <v>2131</v>
      </c>
      <c r="AV117" s="182">
        <f t="shared" si="55"/>
        <v>0.02</v>
      </c>
      <c r="AW117" s="179">
        <f t="shared" si="56"/>
        <v>5.0000000000000001E-3</v>
      </c>
      <c r="AX117" s="182">
        <f t="shared" si="57"/>
        <v>2.5000000000000001E-2</v>
      </c>
      <c r="AY117" s="186"/>
      <c r="AZ117" s="190"/>
      <c r="BA117" s="184">
        <f t="shared" ca="1" si="74"/>
        <v>2131</v>
      </c>
      <c r="BB117" s="171">
        <f t="shared" si="58"/>
        <v>8007.41</v>
      </c>
      <c r="BC117" s="171">
        <f t="shared" si="48"/>
        <v>6362.1609958911822</v>
      </c>
      <c r="BD117" s="171">
        <f t="shared" si="84"/>
        <v>4619.12</v>
      </c>
      <c r="BE117" s="171">
        <f t="shared" si="84"/>
        <v>2062.1517587442308</v>
      </c>
      <c r="BF117" s="171">
        <f t="shared" si="84"/>
        <v>2062.1517587442308</v>
      </c>
      <c r="BG117" s="171">
        <f t="shared" si="84"/>
        <v>2062.1517587442308</v>
      </c>
      <c r="BI117" s="187">
        <f>IF(A117-'Invoer gegevens'!$C$17&lt;0,0,IF(A117-'Invoer gegevens'!$C$17=0,1,IF(A117-'Invoer gegevens'!$C$17&lt;5,2,IF(A117-'Invoer gegevens'!$C$17&lt;15,3,4))))</f>
        <v>0</v>
      </c>
      <c r="BJ117" s="229">
        <f>IF(BI117&lt;1,0,IF(BI117&lt;2,4%,IF(Reeksen!BI117&lt;3,4%,IF(Reeksen!BI117&lt;4,4%*70%,IF(Reeksen!BI117&lt;5,4%*50%)))))</f>
        <v>0</v>
      </c>
      <c r="BK117" s="243"/>
      <c r="BL117" s="243"/>
      <c r="BM117" s="243"/>
      <c r="BN117" s="243"/>
      <c r="BO117" s="243"/>
      <c r="BP117" s="243"/>
      <c r="BQ117" s="243"/>
      <c r="BR117" s="243"/>
    </row>
    <row r="118" spans="1:70" x14ac:dyDescent="0.25">
      <c r="A118" s="184">
        <f t="shared" si="59"/>
        <v>113</v>
      </c>
      <c r="B118" s="179">
        <f>Dashboard!$C$25</f>
        <v>0.05</v>
      </c>
      <c r="C118" s="179">
        <f>Dashboard!$C$25</f>
        <v>0.05</v>
      </c>
      <c r="D118" s="179">
        <f>Dashboard!$C$25</f>
        <v>0.05</v>
      </c>
      <c r="E118" s="189"/>
      <c r="F118" s="184">
        <f t="shared" ca="1" si="60"/>
        <v>2132</v>
      </c>
      <c r="G118" s="179">
        <f t="shared" si="81"/>
        <v>0.02</v>
      </c>
      <c r="H118" s="182">
        <f t="shared" si="61"/>
        <v>9.4231257532510071</v>
      </c>
      <c r="I118" s="179">
        <f t="shared" si="82"/>
        <v>2.5000000000000001E-2</v>
      </c>
      <c r="J118" s="182">
        <f t="shared" si="62"/>
        <v>16.398939617929802</v>
      </c>
      <c r="K118" s="179">
        <f t="shared" si="83"/>
        <v>2.5000000000000001E-2</v>
      </c>
      <c r="L118" s="182">
        <f t="shared" si="63"/>
        <v>16.398939617929802</v>
      </c>
      <c r="M118" s="189"/>
      <c r="N118" s="184">
        <f t="shared" ca="1" si="64"/>
        <v>2132</v>
      </c>
      <c r="O118" s="179">
        <f t="shared" si="77"/>
        <v>0.02</v>
      </c>
      <c r="P118" s="182">
        <f t="shared" si="44"/>
        <v>9.4139787009100697</v>
      </c>
      <c r="R118" s="184">
        <f t="shared" ca="1" si="65"/>
        <v>2132</v>
      </c>
      <c r="S118" s="188">
        <f t="shared" si="79"/>
        <v>5.3600000000000002E-3</v>
      </c>
      <c r="U118" s="184">
        <f t="shared" ca="1" si="66"/>
        <v>2132</v>
      </c>
      <c r="V118" s="182">
        <f t="shared" si="49"/>
        <v>0.02</v>
      </c>
      <c r="W118" s="180">
        <f>Parameters!$D$12</f>
        <v>5.0000000000000001E-3</v>
      </c>
      <c r="X118" s="182">
        <f t="shared" si="50"/>
        <v>2.5000000000000001E-2</v>
      </c>
      <c r="Y118" s="182">
        <f t="shared" si="67"/>
        <v>16.415104175445187</v>
      </c>
      <c r="AA118" s="189"/>
      <c r="AB118" s="184">
        <f t="shared" ca="1" si="68"/>
        <v>2132</v>
      </c>
      <c r="AC118" s="171">
        <f t="shared" si="51"/>
        <v>8207.5520877225936</v>
      </c>
      <c r="AD118" s="171">
        <f t="shared" si="47"/>
        <v>2103.3947939191153</v>
      </c>
      <c r="AE118" s="171">
        <f t="shared" si="78"/>
        <v>6489.404215809006</v>
      </c>
      <c r="AF118" s="171">
        <f t="shared" si="69"/>
        <v>2103.3947939191153</v>
      </c>
      <c r="AG118" s="171">
        <f t="shared" si="80"/>
        <v>4711.5</v>
      </c>
      <c r="AH118" s="171">
        <f t="shared" si="52"/>
        <v>4711.5</v>
      </c>
      <c r="AI118" s="171">
        <f t="shared" si="53"/>
        <v>2103.3947939191153</v>
      </c>
      <c r="AJ118" s="171">
        <f>IF('Invoer gegevens'!$I$27="DAEB",SMALL(AC118:AD118,1),AC118)</f>
        <v>2103.3947939191153</v>
      </c>
      <c r="AK118" s="171">
        <f>IF('Invoer gegevens'!$I$27="DAEB",SMALL((AE118:AH118),1),SMALL((AF118:AH118),1))</f>
        <v>2103.3947939191153</v>
      </c>
      <c r="AL118" s="171">
        <f t="shared" si="75"/>
        <v>0</v>
      </c>
      <c r="AM118" s="171">
        <f t="shared" si="76"/>
        <v>0</v>
      </c>
      <c r="AN118" s="175">
        <f t="shared" si="71"/>
        <v>297024</v>
      </c>
      <c r="AP118" s="184">
        <f t="shared" ca="1" si="72"/>
        <v>2132</v>
      </c>
      <c r="AQ118" s="185">
        <f t="shared" si="54"/>
        <v>0.02</v>
      </c>
      <c r="AR118" s="182">
        <f t="shared" si="45"/>
        <v>9.4139787009100697</v>
      </c>
      <c r="AU118" s="184">
        <f t="shared" ca="1" si="73"/>
        <v>2132</v>
      </c>
      <c r="AV118" s="182">
        <f t="shared" si="55"/>
        <v>0.02</v>
      </c>
      <c r="AW118" s="179">
        <f t="shared" si="56"/>
        <v>5.0000000000000001E-3</v>
      </c>
      <c r="AX118" s="182">
        <f t="shared" si="57"/>
        <v>2.5000000000000001E-2</v>
      </c>
      <c r="AY118" s="186"/>
      <c r="AZ118" s="190"/>
      <c r="BA118" s="184">
        <f t="shared" ca="1" si="74"/>
        <v>2132</v>
      </c>
      <c r="BB118" s="171">
        <f t="shared" si="58"/>
        <v>8207.6</v>
      </c>
      <c r="BC118" s="171">
        <f t="shared" si="48"/>
        <v>6489.404215809006</v>
      </c>
      <c r="BD118" s="171">
        <f t="shared" si="84"/>
        <v>4711.5</v>
      </c>
      <c r="BE118" s="171">
        <f t="shared" si="84"/>
        <v>2103.3947939191153</v>
      </c>
      <c r="BF118" s="171">
        <f t="shared" si="84"/>
        <v>2103.3947939191153</v>
      </c>
      <c r="BG118" s="171">
        <f t="shared" si="84"/>
        <v>2103.3947939191153</v>
      </c>
      <c r="BI118" s="187">
        <f>IF(A118-'Invoer gegevens'!$C$17&lt;0,0,IF(A118-'Invoer gegevens'!$C$17=0,1,IF(A118-'Invoer gegevens'!$C$17&lt;5,2,IF(A118-'Invoer gegevens'!$C$17&lt;15,3,4))))</f>
        <v>0</v>
      </c>
      <c r="BJ118" s="229">
        <f>IF(BI118&lt;1,0,IF(BI118&lt;2,4%,IF(Reeksen!BI118&lt;3,4%,IF(Reeksen!BI118&lt;4,4%*70%,IF(Reeksen!BI118&lt;5,4%*50%)))))</f>
        <v>0</v>
      </c>
      <c r="BK118" s="243"/>
      <c r="BL118" s="243"/>
      <c r="BM118" s="243"/>
      <c r="BN118" s="243"/>
      <c r="BO118" s="243"/>
      <c r="BP118" s="243"/>
      <c r="BQ118" s="243"/>
      <c r="BR118" s="243"/>
    </row>
    <row r="119" spans="1:70" x14ac:dyDescent="0.25">
      <c r="A119" s="184">
        <f t="shared" si="59"/>
        <v>114</v>
      </c>
      <c r="B119" s="179">
        <f>Dashboard!$C$25</f>
        <v>0.05</v>
      </c>
      <c r="C119" s="179">
        <f>Dashboard!$C$25</f>
        <v>0.05</v>
      </c>
      <c r="D119" s="179">
        <f>Dashboard!$C$25</f>
        <v>0.05</v>
      </c>
      <c r="E119" s="189"/>
      <c r="F119" s="184">
        <f t="shared" ca="1" si="60"/>
        <v>2133</v>
      </c>
      <c r="G119" s="179">
        <f t="shared" si="81"/>
        <v>0.02</v>
      </c>
      <c r="H119" s="182">
        <f t="shared" si="61"/>
        <v>9.6115882683160265</v>
      </c>
      <c r="I119" s="179">
        <f t="shared" si="82"/>
        <v>2.5000000000000001E-2</v>
      </c>
      <c r="J119" s="182">
        <f t="shared" si="62"/>
        <v>16.808913108378047</v>
      </c>
      <c r="K119" s="179">
        <f t="shared" si="83"/>
        <v>2.5000000000000001E-2</v>
      </c>
      <c r="L119" s="182">
        <f t="shared" si="63"/>
        <v>16.808913108378047</v>
      </c>
      <c r="M119" s="189"/>
      <c r="N119" s="184">
        <f t="shared" ca="1" si="64"/>
        <v>2133</v>
      </c>
      <c r="O119" s="179">
        <f t="shared" si="77"/>
        <v>0.02</v>
      </c>
      <c r="P119" s="182">
        <f t="shared" si="44"/>
        <v>9.6022582749282712</v>
      </c>
      <c r="R119" s="184">
        <f t="shared" ca="1" si="65"/>
        <v>2133</v>
      </c>
      <c r="S119" s="188">
        <f t="shared" si="79"/>
        <v>5.3600000000000002E-3</v>
      </c>
      <c r="U119" s="184">
        <f t="shared" ca="1" si="66"/>
        <v>2133</v>
      </c>
      <c r="V119" s="182">
        <f t="shared" si="49"/>
        <v>0.02</v>
      </c>
      <c r="W119" s="180">
        <f>Parameters!$D$12</f>
        <v>5.0000000000000001E-3</v>
      </c>
      <c r="X119" s="182">
        <f t="shared" si="50"/>
        <v>2.5000000000000001E-2</v>
      </c>
      <c r="Y119" s="182">
        <f t="shared" si="67"/>
        <v>16.825481779831314</v>
      </c>
      <c r="AA119" s="189"/>
      <c r="AB119" s="184">
        <f t="shared" ca="1" si="68"/>
        <v>2133</v>
      </c>
      <c r="AC119" s="171">
        <f t="shared" si="51"/>
        <v>8412.7408899156562</v>
      </c>
      <c r="AD119" s="171">
        <f t="shared" si="47"/>
        <v>2145.4626897974977</v>
      </c>
      <c r="AE119" s="171">
        <f t="shared" si="78"/>
        <v>6619.1923001251862</v>
      </c>
      <c r="AF119" s="171">
        <f t="shared" si="69"/>
        <v>2145.4626897974977</v>
      </c>
      <c r="AG119" s="171">
        <f t="shared" si="80"/>
        <v>4805.7299999999996</v>
      </c>
      <c r="AH119" s="171">
        <f t="shared" si="52"/>
        <v>4805.7299999999996</v>
      </c>
      <c r="AI119" s="171">
        <f t="shared" si="53"/>
        <v>2145.4626897974977</v>
      </c>
      <c r="AJ119" s="171">
        <f>IF('Invoer gegevens'!$I$27="DAEB",SMALL(AC119:AD119,1),AC119)</f>
        <v>2145.4626897974977</v>
      </c>
      <c r="AK119" s="171">
        <f>IF('Invoer gegevens'!$I$27="DAEB",SMALL((AE119:AH119),1),SMALL((AF119:AH119),1))</f>
        <v>2145.4626897974977</v>
      </c>
      <c r="AL119" s="171">
        <f t="shared" si="75"/>
        <v>0</v>
      </c>
      <c r="AM119" s="171">
        <f t="shared" si="76"/>
        <v>0</v>
      </c>
      <c r="AN119" s="175">
        <f t="shared" si="71"/>
        <v>302964</v>
      </c>
      <c r="AP119" s="184">
        <f t="shared" ca="1" si="72"/>
        <v>2133</v>
      </c>
      <c r="AQ119" s="185">
        <f t="shared" si="54"/>
        <v>0.02</v>
      </c>
      <c r="AR119" s="182">
        <f t="shared" si="45"/>
        <v>9.6022582749282712</v>
      </c>
      <c r="AU119" s="184">
        <f t="shared" ca="1" si="73"/>
        <v>2133</v>
      </c>
      <c r="AV119" s="182">
        <f t="shared" si="55"/>
        <v>0.02</v>
      </c>
      <c r="AW119" s="179">
        <f t="shared" si="56"/>
        <v>5.0000000000000001E-3</v>
      </c>
      <c r="AX119" s="182">
        <f t="shared" si="57"/>
        <v>2.5000000000000001E-2</v>
      </c>
      <c r="AY119" s="186"/>
      <c r="AZ119" s="190"/>
      <c r="BA119" s="184">
        <f t="shared" ca="1" si="74"/>
        <v>2133</v>
      </c>
      <c r="BB119" s="171">
        <f t="shared" si="58"/>
        <v>8412.7900000000009</v>
      </c>
      <c r="BC119" s="171">
        <f t="shared" si="48"/>
        <v>6619.1923001251862</v>
      </c>
      <c r="BD119" s="171">
        <f t="shared" si="84"/>
        <v>4805.7299999999996</v>
      </c>
      <c r="BE119" s="171">
        <f t="shared" si="84"/>
        <v>2145.4626897974977</v>
      </c>
      <c r="BF119" s="171">
        <f t="shared" si="84"/>
        <v>2145.4626897974977</v>
      </c>
      <c r="BG119" s="171">
        <f t="shared" si="84"/>
        <v>2145.4626897974977</v>
      </c>
      <c r="BI119" s="187">
        <f>IF(A119-'Invoer gegevens'!$C$17&lt;0,0,IF(A119-'Invoer gegevens'!$C$17=0,1,IF(A119-'Invoer gegevens'!$C$17&lt;5,2,IF(A119-'Invoer gegevens'!$C$17&lt;15,3,4))))</f>
        <v>0</v>
      </c>
      <c r="BJ119" s="229">
        <f>IF(BI119&lt;1,0,IF(BI119&lt;2,4%,IF(Reeksen!BI119&lt;3,4%,IF(Reeksen!BI119&lt;4,4%*70%,IF(Reeksen!BI119&lt;5,4%*50%)))))</f>
        <v>0</v>
      </c>
      <c r="BK119" s="243"/>
      <c r="BL119" s="243"/>
      <c r="BM119" s="243"/>
      <c r="BN119" s="243"/>
      <c r="BO119" s="243"/>
      <c r="BP119" s="243"/>
      <c r="BQ119" s="243"/>
      <c r="BR119" s="243"/>
    </row>
    <row r="120" spans="1:70" x14ac:dyDescent="0.25">
      <c r="A120" s="184">
        <f t="shared" si="59"/>
        <v>115</v>
      </c>
      <c r="B120" s="179">
        <f>Dashboard!$C$25</f>
        <v>0.05</v>
      </c>
      <c r="C120" s="179">
        <f>Dashboard!$C$25</f>
        <v>0.05</v>
      </c>
      <c r="D120" s="179">
        <f>Dashboard!$C$25</f>
        <v>0.05</v>
      </c>
      <c r="E120" s="189"/>
      <c r="F120" s="184">
        <f t="shared" ca="1" si="60"/>
        <v>2134</v>
      </c>
      <c r="G120" s="179">
        <f t="shared" si="81"/>
        <v>0.02</v>
      </c>
      <c r="H120" s="182">
        <f t="shared" si="61"/>
        <v>9.8038200336823476</v>
      </c>
      <c r="I120" s="179">
        <f t="shared" si="82"/>
        <v>2.5000000000000001E-2</v>
      </c>
      <c r="J120" s="182">
        <f t="shared" si="62"/>
        <v>17.229135936087495</v>
      </c>
      <c r="K120" s="179">
        <f t="shared" si="83"/>
        <v>2.5000000000000001E-2</v>
      </c>
      <c r="L120" s="182">
        <f t="shared" si="63"/>
        <v>17.229135936087495</v>
      </c>
      <c r="M120" s="189"/>
      <c r="N120" s="184">
        <f t="shared" ca="1" si="64"/>
        <v>2134</v>
      </c>
      <c r="O120" s="179">
        <f t="shared" si="77"/>
        <v>0.02</v>
      </c>
      <c r="P120" s="182">
        <f t="shared" si="44"/>
        <v>9.7943034404268374</v>
      </c>
      <c r="R120" s="184">
        <f t="shared" ca="1" si="65"/>
        <v>2134</v>
      </c>
      <c r="S120" s="188">
        <f t="shared" si="79"/>
        <v>5.3600000000000002E-3</v>
      </c>
      <c r="U120" s="184">
        <f t="shared" ca="1" si="66"/>
        <v>2134</v>
      </c>
      <c r="V120" s="182">
        <f t="shared" si="49"/>
        <v>0.02</v>
      </c>
      <c r="W120" s="180">
        <f>Parameters!$D$12</f>
        <v>5.0000000000000001E-3</v>
      </c>
      <c r="X120" s="182">
        <f t="shared" si="50"/>
        <v>2.5000000000000001E-2</v>
      </c>
      <c r="Y120" s="182">
        <f t="shared" si="67"/>
        <v>17.246118824327095</v>
      </c>
      <c r="AA120" s="189"/>
      <c r="AB120" s="184">
        <f t="shared" ca="1" si="68"/>
        <v>2134</v>
      </c>
      <c r="AC120" s="171">
        <f t="shared" si="51"/>
        <v>8623.0594121635477</v>
      </c>
      <c r="AD120" s="171">
        <f t="shared" si="47"/>
        <v>2188.3719435934477</v>
      </c>
      <c r="AE120" s="171">
        <f t="shared" si="78"/>
        <v>6751.5761461276898</v>
      </c>
      <c r="AF120" s="171">
        <f t="shared" si="69"/>
        <v>2188.3719435934477</v>
      </c>
      <c r="AG120" s="171">
        <f t="shared" si="80"/>
        <v>4901.84</v>
      </c>
      <c r="AH120" s="171">
        <f t="shared" si="52"/>
        <v>4901.84</v>
      </c>
      <c r="AI120" s="171">
        <f t="shared" si="53"/>
        <v>2188.3719435934477</v>
      </c>
      <c r="AJ120" s="171">
        <f>IF('Invoer gegevens'!$I$27="DAEB",SMALL(AC120:AD120,1),AC120)</f>
        <v>2188.3719435934477</v>
      </c>
      <c r="AK120" s="171">
        <f>IF('Invoer gegevens'!$I$27="DAEB",SMALL((AE120:AH120),1),SMALL((AF120:AH120),1))</f>
        <v>2188.3719435934477</v>
      </c>
      <c r="AL120" s="171">
        <f t="shared" si="75"/>
        <v>0</v>
      </c>
      <c r="AM120" s="171">
        <f t="shared" si="76"/>
        <v>0</v>
      </c>
      <c r="AN120" s="175">
        <f t="shared" si="71"/>
        <v>309023</v>
      </c>
      <c r="AP120" s="184">
        <f t="shared" ca="1" si="72"/>
        <v>2134</v>
      </c>
      <c r="AQ120" s="185">
        <f t="shared" si="54"/>
        <v>0.02</v>
      </c>
      <c r="AR120" s="182">
        <f t="shared" si="45"/>
        <v>9.7943034404268374</v>
      </c>
      <c r="AU120" s="184">
        <f t="shared" ca="1" si="73"/>
        <v>2134</v>
      </c>
      <c r="AV120" s="182">
        <f t="shared" si="55"/>
        <v>0.02</v>
      </c>
      <c r="AW120" s="179">
        <f t="shared" si="56"/>
        <v>5.0000000000000001E-3</v>
      </c>
      <c r="AX120" s="182">
        <f t="shared" si="57"/>
        <v>2.5000000000000001E-2</v>
      </c>
      <c r="AY120" s="186"/>
      <c r="AZ120" s="190"/>
      <c r="BA120" s="184">
        <f t="shared" ca="1" si="74"/>
        <v>2134</v>
      </c>
      <c r="BB120" s="171">
        <f t="shared" si="58"/>
        <v>8623.11</v>
      </c>
      <c r="BC120" s="171">
        <f t="shared" si="48"/>
        <v>6751.5761461276898</v>
      </c>
      <c r="BD120" s="171">
        <f t="shared" si="84"/>
        <v>4901.84</v>
      </c>
      <c r="BE120" s="171">
        <f t="shared" si="84"/>
        <v>2188.3719435934477</v>
      </c>
      <c r="BF120" s="171">
        <f t="shared" si="84"/>
        <v>2188.3719435934477</v>
      </c>
      <c r="BG120" s="171">
        <f t="shared" si="84"/>
        <v>2188.3719435934477</v>
      </c>
      <c r="BI120" s="187">
        <f>IF(A120-'Invoer gegevens'!$C$17&lt;0,0,IF(A120-'Invoer gegevens'!$C$17=0,1,IF(A120-'Invoer gegevens'!$C$17&lt;5,2,IF(A120-'Invoer gegevens'!$C$17&lt;15,3,4))))</f>
        <v>0</v>
      </c>
      <c r="BJ120" s="229">
        <f>IF(BI120&lt;1,0,IF(BI120&lt;2,4%,IF(Reeksen!BI120&lt;3,4%,IF(Reeksen!BI120&lt;4,4%*70%,IF(Reeksen!BI120&lt;5,4%*50%)))))</f>
        <v>0</v>
      </c>
      <c r="BK120" s="243"/>
      <c r="BL120" s="243"/>
      <c r="BM120" s="243"/>
      <c r="BN120" s="243"/>
      <c r="BO120" s="243"/>
      <c r="BP120" s="243"/>
      <c r="BQ120" s="243"/>
      <c r="BR120" s="243"/>
    </row>
    <row r="121" spans="1:70" x14ac:dyDescent="0.25">
      <c r="A121" s="184">
        <f t="shared" si="59"/>
        <v>116</v>
      </c>
      <c r="B121" s="179">
        <f>Dashboard!$C$25</f>
        <v>0.05</v>
      </c>
      <c r="C121" s="179">
        <f>Dashboard!$C$25</f>
        <v>0.05</v>
      </c>
      <c r="D121" s="179">
        <f>Dashboard!$C$25</f>
        <v>0.05</v>
      </c>
      <c r="E121" s="189"/>
      <c r="F121" s="184">
        <f t="shared" ca="1" si="60"/>
        <v>2135</v>
      </c>
      <c r="G121" s="179">
        <f t="shared" si="81"/>
        <v>0.02</v>
      </c>
      <c r="H121" s="182">
        <f t="shared" si="61"/>
        <v>9.9998964343559944</v>
      </c>
      <c r="I121" s="179">
        <f t="shared" si="82"/>
        <v>2.5000000000000001E-2</v>
      </c>
      <c r="J121" s="182">
        <f t="shared" si="62"/>
        <v>17.659864334489679</v>
      </c>
      <c r="K121" s="179">
        <f t="shared" si="83"/>
        <v>2.5000000000000001E-2</v>
      </c>
      <c r="L121" s="182">
        <f t="shared" si="63"/>
        <v>17.659864334489679</v>
      </c>
      <c r="M121" s="189"/>
      <c r="N121" s="184">
        <f t="shared" ca="1" si="64"/>
        <v>2135</v>
      </c>
      <c r="O121" s="179">
        <f t="shared" si="77"/>
        <v>0.02</v>
      </c>
      <c r="P121" s="182">
        <f t="shared" si="44"/>
        <v>9.9901895092353747</v>
      </c>
      <c r="R121" s="184">
        <f t="shared" ca="1" si="65"/>
        <v>2135</v>
      </c>
      <c r="S121" s="188">
        <f t="shared" si="79"/>
        <v>5.3600000000000002E-3</v>
      </c>
      <c r="U121" s="184">
        <f t="shared" ca="1" si="66"/>
        <v>2135</v>
      </c>
      <c r="V121" s="182">
        <f t="shared" si="49"/>
        <v>0.02</v>
      </c>
      <c r="W121" s="180">
        <f>Parameters!$D$12</f>
        <v>5.0000000000000001E-3</v>
      </c>
      <c r="X121" s="182">
        <f t="shared" si="50"/>
        <v>2.5000000000000001E-2</v>
      </c>
      <c r="Y121" s="182">
        <f t="shared" si="67"/>
        <v>17.677271794935269</v>
      </c>
      <c r="AA121" s="189"/>
      <c r="AB121" s="184">
        <f t="shared" ca="1" si="68"/>
        <v>2135</v>
      </c>
      <c r="AC121" s="171">
        <f t="shared" si="51"/>
        <v>8838.635897467635</v>
      </c>
      <c r="AD121" s="171">
        <f t="shared" si="47"/>
        <v>2232.1393824653164</v>
      </c>
      <c r="AE121" s="171">
        <f t="shared" si="78"/>
        <v>6886.6076690502441</v>
      </c>
      <c r="AF121" s="171">
        <f t="shared" si="69"/>
        <v>2232.1393824653164</v>
      </c>
      <c r="AG121" s="171">
        <f t="shared" si="80"/>
        <v>4999.88</v>
      </c>
      <c r="AH121" s="171">
        <f t="shared" si="52"/>
        <v>4999.88</v>
      </c>
      <c r="AI121" s="171">
        <f t="shared" si="53"/>
        <v>2232.1393824653164</v>
      </c>
      <c r="AJ121" s="171">
        <f>IF('Invoer gegevens'!$I$27="DAEB",SMALL(AC121:AD121,1),AC121)</f>
        <v>2232.1393824653164</v>
      </c>
      <c r="AK121" s="171">
        <f>IF('Invoer gegevens'!$I$27="DAEB",SMALL((AE121:AH121),1),SMALL((AF121:AH121),1))</f>
        <v>2232.1393824653164</v>
      </c>
      <c r="AL121" s="171">
        <f t="shared" si="75"/>
        <v>0</v>
      </c>
      <c r="AM121" s="171">
        <f t="shared" si="76"/>
        <v>0</v>
      </c>
      <c r="AN121" s="175">
        <f t="shared" si="71"/>
        <v>315203</v>
      </c>
      <c r="AP121" s="184">
        <f t="shared" ca="1" si="72"/>
        <v>2135</v>
      </c>
      <c r="AQ121" s="185">
        <f t="shared" si="54"/>
        <v>0.02</v>
      </c>
      <c r="AR121" s="182">
        <f t="shared" si="45"/>
        <v>9.9901895092353747</v>
      </c>
      <c r="AU121" s="184">
        <f t="shared" ca="1" si="73"/>
        <v>2135</v>
      </c>
      <c r="AV121" s="182">
        <f t="shared" si="55"/>
        <v>0.02</v>
      </c>
      <c r="AW121" s="179">
        <f t="shared" si="56"/>
        <v>5.0000000000000001E-3</v>
      </c>
      <c r="AX121" s="182">
        <f t="shared" si="57"/>
        <v>2.5000000000000001E-2</v>
      </c>
      <c r="AY121" s="186"/>
      <c r="AZ121" s="190"/>
      <c r="BA121" s="184">
        <f t="shared" ca="1" si="74"/>
        <v>2135</v>
      </c>
      <c r="BB121" s="171">
        <f t="shared" si="58"/>
        <v>8838.69</v>
      </c>
      <c r="BC121" s="171">
        <f t="shared" si="48"/>
        <v>6886.6076690502441</v>
      </c>
      <c r="BD121" s="171">
        <f t="shared" si="84"/>
        <v>4999.88</v>
      </c>
      <c r="BE121" s="171">
        <f t="shared" si="84"/>
        <v>2232.1393824653164</v>
      </c>
      <c r="BF121" s="171">
        <f t="shared" si="84"/>
        <v>2232.1393824653164</v>
      </c>
      <c r="BG121" s="171">
        <f t="shared" si="84"/>
        <v>2232.1393824653164</v>
      </c>
      <c r="BI121" s="187">
        <f>IF(A121-'Invoer gegevens'!$C$17&lt;0,0,IF(A121-'Invoer gegevens'!$C$17=0,1,IF(A121-'Invoer gegevens'!$C$17&lt;5,2,IF(A121-'Invoer gegevens'!$C$17&lt;15,3,4))))</f>
        <v>0</v>
      </c>
      <c r="BJ121" s="229">
        <f>IF(BI121&lt;1,0,IF(BI121&lt;2,4%,IF(Reeksen!BI121&lt;3,4%,IF(Reeksen!BI121&lt;4,4%*70%,IF(Reeksen!BI121&lt;5,4%*50%)))))</f>
        <v>0</v>
      </c>
      <c r="BK121" s="243"/>
      <c r="BL121" s="243"/>
      <c r="BM121" s="243"/>
      <c r="BN121" s="243"/>
      <c r="BO121" s="243"/>
      <c r="BP121" s="243"/>
      <c r="BQ121" s="243"/>
      <c r="BR121" s="243"/>
    </row>
    <row r="122" spans="1:70" x14ac:dyDescent="0.25">
      <c r="A122" s="184">
        <f t="shared" si="59"/>
        <v>117</v>
      </c>
      <c r="B122" s="179">
        <f>Dashboard!$C$25</f>
        <v>0.05</v>
      </c>
      <c r="C122" s="179">
        <f>Dashboard!$C$25</f>
        <v>0.05</v>
      </c>
      <c r="D122" s="179">
        <f>Dashboard!$C$25</f>
        <v>0.05</v>
      </c>
      <c r="E122" s="189"/>
      <c r="F122" s="184">
        <f t="shared" ca="1" si="60"/>
        <v>2136</v>
      </c>
      <c r="G122" s="179">
        <f t="shared" si="81"/>
        <v>0.02</v>
      </c>
      <c r="H122" s="182">
        <f t="shared" si="61"/>
        <v>10.199894363043114</v>
      </c>
      <c r="I122" s="179">
        <f t="shared" si="82"/>
        <v>2.5000000000000001E-2</v>
      </c>
      <c r="J122" s="182">
        <f t="shared" si="62"/>
        <v>18.101360942851919</v>
      </c>
      <c r="K122" s="179">
        <f t="shared" si="83"/>
        <v>2.5000000000000001E-2</v>
      </c>
      <c r="L122" s="182">
        <f t="shared" si="63"/>
        <v>18.101360942851919</v>
      </c>
      <c r="M122" s="189"/>
      <c r="N122" s="184">
        <f t="shared" ca="1" si="64"/>
        <v>2136</v>
      </c>
      <c r="O122" s="179">
        <f t="shared" si="77"/>
        <v>0.02</v>
      </c>
      <c r="P122" s="182">
        <f t="shared" ref="P122:P185" si="85">P121*(1+O122)</f>
        <v>10.189993299420083</v>
      </c>
      <c r="R122" s="184">
        <f t="shared" ca="1" si="65"/>
        <v>2136</v>
      </c>
      <c r="S122" s="188">
        <f t="shared" si="79"/>
        <v>5.3600000000000002E-3</v>
      </c>
      <c r="U122" s="184">
        <f t="shared" ca="1" si="66"/>
        <v>2136</v>
      </c>
      <c r="V122" s="182">
        <f t="shared" si="49"/>
        <v>0.02</v>
      </c>
      <c r="W122" s="180">
        <f>Parameters!$D$12</f>
        <v>5.0000000000000001E-3</v>
      </c>
      <c r="X122" s="182">
        <f t="shared" si="50"/>
        <v>2.5000000000000001E-2</v>
      </c>
      <c r="Y122" s="182">
        <f t="shared" si="67"/>
        <v>18.119203589808649</v>
      </c>
      <c r="AA122" s="189"/>
      <c r="AB122" s="184">
        <f t="shared" ca="1" si="68"/>
        <v>2136</v>
      </c>
      <c r="AC122" s="171">
        <f t="shared" si="51"/>
        <v>9059.6017949043235</v>
      </c>
      <c r="AD122" s="171">
        <f t="shared" si="47"/>
        <v>2276.7821701146227</v>
      </c>
      <c r="AE122" s="171">
        <f t="shared" si="78"/>
        <v>7024.3398224312496</v>
      </c>
      <c r="AF122" s="171">
        <f t="shared" si="69"/>
        <v>2276.7821701146227</v>
      </c>
      <c r="AG122" s="171">
        <f t="shared" si="80"/>
        <v>5099.88</v>
      </c>
      <c r="AH122" s="171">
        <f t="shared" si="52"/>
        <v>5099.88</v>
      </c>
      <c r="AI122" s="171">
        <f t="shared" si="53"/>
        <v>2276.7821701146227</v>
      </c>
      <c r="AJ122" s="171">
        <f>IF('Invoer gegevens'!$I$27="DAEB",SMALL(AC122:AD122,1),AC122)</f>
        <v>2276.7821701146227</v>
      </c>
      <c r="AK122" s="171">
        <f>IF('Invoer gegevens'!$I$27="DAEB",SMALL((AE122:AH122),1),SMALL((AF122:AH122),1))</f>
        <v>2276.7821701146227</v>
      </c>
      <c r="AL122" s="171">
        <f t="shared" si="75"/>
        <v>0</v>
      </c>
      <c r="AM122" s="171">
        <f t="shared" si="76"/>
        <v>0</v>
      </c>
      <c r="AN122" s="175">
        <f t="shared" si="71"/>
        <v>321507</v>
      </c>
      <c r="AP122" s="184">
        <f t="shared" ca="1" si="72"/>
        <v>2136</v>
      </c>
      <c r="AQ122" s="185">
        <f t="shared" si="54"/>
        <v>0.02</v>
      </c>
      <c r="AR122" s="182">
        <f t="shared" ref="AR122:AR185" si="86">AR121*(1+AQ122)</f>
        <v>10.189993299420083</v>
      </c>
      <c r="AU122" s="184">
        <f t="shared" ca="1" si="73"/>
        <v>2136</v>
      </c>
      <c r="AV122" s="182">
        <f t="shared" si="55"/>
        <v>0.02</v>
      </c>
      <c r="AW122" s="179">
        <f t="shared" si="56"/>
        <v>5.0000000000000001E-3</v>
      </c>
      <c r="AX122" s="182">
        <f t="shared" si="57"/>
        <v>2.5000000000000001E-2</v>
      </c>
      <c r="AY122" s="186"/>
      <c r="AZ122" s="190"/>
      <c r="BA122" s="184">
        <f t="shared" ca="1" si="74"/>
        <v>2136</v>
      </c>
      <c r="BB122" s="171">
        <f t="shared" si="58"/>
        <v>9059.66</v>
      </c>
      <c r="BC122" s="171">
        <f t="shared" si="48"/>
        <v>7024.3398224312496</v>
      </c>
      <c r="BD122" s="171">
        <f t="shared" si="84"/>
        <v>5099.88</v>
      </c>
      <c r="BE122" s="171">
        <f t="shared" si="84"/>
        <v>2276.7821701146227</v>
      </c>
      <c r="BF122" s="171">
        <f t="shared" si="84"/>
        <v>2276.7821701146227</v>
      </c>
      <c r="BG122" s="171">
        <f t="shared" si="84"/>
        <v>2276.7821701146227</v>
      </c>
      <c r="BI122" s="187">
        <f>IF(A122-'Invoer gegevens'!$C$17&lt;0,0,IF(A122-'Invoer gegevens'!$C$17=0,1,IF(A122-'Invoer gegevens'!$C$17&lt;5,2,IF(A122-'Invoer gegevens'!$C$17&lt;15,3,4))))</f>
        <v>0</v>
      </c>
      <c r="BJ122" s="229">
        <f>IF(BI122&lt;1,0,IF(BI122&lt;2,4%,IF(Reeksen!BI122&lt;3,4%,IF(Reeksen!BI122&lt;4,4%*70%,IF(Reeksen!BI122&lt;5,4%*50%)))))</f>
        <v>0</v>
      </c>
      <c r="BK122" s="243"/>
      <c r="BL122" s="243"/>
      <c r="BM122" s="243"/>
      <c r="BN122" s="243"/>
      <c r="BO122" s="243"/>
      <c r="BP122" s="243"/>
      <c r="BQ122" s="243"/>
      <c r="BR122" s="243"/>
    </row>
    <row r="123" spans="1:70" x14ac:dyDescent="0.25">
      <c r="A123" s="184">
        <f t="shared" si="59"/>
        <v>118</v>
      </c>
      <c r="B123" s="179">
        <f>Dashboard!$C$25</f>
        <v>0.05</v>
      </c>
      <c r="C123" s="179">
        <f>Dashboard!$C$25</f>
        <v>0.05</v>
      </c>
      <c r="D123" s="179">
        <f>Dashboard!$C$25</f>
        <v>0.05</v>
      </c>
      <c r="E123" s="189"/>
      <c r="F123" s="184">
        <f t="shared" ca="1" si="60"/>
        <v>2137</v>
      </c>
      <c r="G123" s="179">
        <f t="shared" si="81"/>
        <v>0.02</v>
      </c>
      <c r="H123" s="182">
        <f t="shared" si="61"/>
        <v>10.403892250303977</v>
      </c>
      <c r="I123" s="179">
        <f t="shared" si="82"/>
        <v>2.5000000000000001E-2</v>
      </c>
      <c r="J123" s="182">
        <f t="shared" si="62"/>
        <v>18.553894966423215</v>
      </c>
      <c r="K123" s="179">
        <f t="shared" si="83"/>
        <v>2.5000000000000001E-2</v>
      </c>
      <c r="L123" s="182">
        <f t="shared" si="63"/>
        <v>18.553894966423215</v>
      </c>
      <c r="M123" s="189"/>
      <c r="N123" s="184">
        <f t="shared" ca="1" si="64"/>
        <v>2137</v>
      </c>
      <c r="O123" s="179">
        <f t="shared" si="77"/>
        <v>0.02</v>
      </c>
      <c r="P123" s="182">
        <f t="shared" si="85"/>
        <v>10.393793165408484</v>
      </c>
      <c r="R123" s="184">
        <f t="shared" ca="1" si="65"/>
        <v>2137</v>
      </c>
      <c r="S123" s="188">
        <f t="shared" si="79"/>
        <v>5.3600000000000002E-3</v>
      </c>
      <c r="U123" s="184">
        <f t="shared" ca="1" si="66"/>
        <v>2137</v>
      </c>
      <c r="V123" s="182">
        <f t="shared" si="49"/>
        <v>0.02</v>
      </c>
      <c r="W123" s="180">
        <f>Parameters!$D$12</f>
        <v>5.0000000000000001E-3</v>
      </c>
      <c r="X123" s="182">
        <f t="shared" si="50"/>
        <v>2.5000000000000001E-2</v>
      </c>
      <c r="Y123" s="182">
        <f t="shared" si="67"/>
        <v>18.572183679553863</v>
      </c>
      <c r="AA123" s="189"/>
      <c r="AB123" s="184">
        <f t="shared" ca="1" si="68"/>
        <v>2137</v>
      </c>
      <c r="AC123" s="171">
        <f t="shared" si="51"/>
        <v>9286.091839776931</v>
      </c>
      <c r="AD123" s="171">
        <f t="shared" si="47"/>
        <v>2322.3178135169155</v>
      </c>
      <c r="AE123" s="171">
        <f t="shared" si="78"/>
        <v>7164.8266188798743</v>
      </c>
      <c r="AF123" s="171">
        <f t="shared" si="69"/>
        <v>2322.3178135169155</v>
      </c>
      <c r="AG123" s="171">
        <f t="shared" si="80"/>
        <v>5201.88</v>
      </c>
      <c r="AH123" s="171">
        <f t="shared" si="52"/>
        <v>5201.88</v>
      </c>
      <c r="AI123" s="171">
        <f t="shared" si="53"/>
        <v>2322.3178135169155</v>
      </c>
      <c r="AJ123" s="171">
        <f>IF('Invoer gegevens'!$I$27="DAEB",SMALL(AC123:AD123,1),AC123)</f>
        <v>2322.3178135169155</v>
      </c>
      <c r="AK123" s="171">
        <f>IF('Invoer gegevens'!$I$27="DAEB",SMALL((AE123:AH123),1),SMALL((AF123:AH123),1))</f>
        <v>2322.3178135169155</v>
      </c>
      <c r="AL123" s="171">
        <f t="shared" si="75"/>
        <v>0</v>
      </c>
      <c r="AM123" s="171">
        <f t="shared" si="76"/>
        <v>0</v>
      </c>
      <c r="AN123" s="175">
        <f t="shared" si="71"/>
        <v>327937</v>
      </c>
      <c r="AP123" s="184">
        <f t="shared" ca="1" si="72"/>
        <v>2137</v>
      </c>
      <c r="AQ123" s="185">
        <f t="shared" si="54"/>
        <v>0.02</v>
      </c>
      <c r="AR123" s="182">
        <f t="shared" si="86"/>
        <v>10.393793165408484</v>
      </c>
      <c r="AU123" s="184">
        <f t="shared" ca="1" si="73"/>
        <v>2137</v>
      </c>
      <c r="AV123" s="182">
        <f t="shared" si="55"/>
        <v>0.02</v>
      </c>
      <c r="AW123" s="179">
        <f t="shared" si="56"/>
        <v>5.0000000000000001E-3</v>
      </c>
      <c r="AX123" s="182">
        <f t="shared" si="57"/>
        <v>2.5000000000000001E-2</v>
      </c>
      <c r="AY123" s="186"/>
      <c r="AZ123" s="190"/>
      <c r="BA123" s="184">
        <f t="shared" ca="1" si="74"/>
        <v>2137</v>
      </c>
      <c r="BB123" s="171">
        <f t="shared" si="58"/>
        <v>9286.15</v>
      </c>
      <c r="BC123" s="171">
        <f t="shared" si="48"/>
        <v>7164.8266188798743</v>
      </c>
      <c r="BD123" s="171">
        <f t="shared" si="84"/>
        <v>5201.88</v>
      </c>
      <c r="BE123" s="171">
        <f t="shared" si="84"/>
        <v>2322.3178135169155</v>
      </c>
      <c r="BF123" s="171">
        <f t="shared" si="84"/>
        <v>2322.3178135169155</v>
      </c>
      <c r="BG123" s="171">
        <f t="shared" si="84"/>
        <v>2322.3178135169155</v>
      </c>
      <c r="BI123" s="187">
        <f>IF(A123-'Invoer gegevens'!$C$17&lt;0,0,IF(A123-'Invoer gegevens'!$C$17=0,1,IF(A123-'Invoer gegevens'!$C$17&lt;5,2,IF(A123-'Invoer gegevens'!$C$17&lt;15,3,4))))</f>
        <v>0</v>
      </c>
      <c r="BJ123" s="229">
        <f>IF(BI123&lt;1,0,IF(BI123&lt;2,4%,IF(Reeksen!BI123&lt;3,4%,IF(Reeksen!BI123&lt;4,4%*70%,IF(Reeksen!BI123&lt;5,4%*50%)))))</f>
        <v>0</v>
      </c>
      <c r="BK123" s="243"/>
      <c r="BL123" s="243"/>
      <c r="BM123" s="243"/>
      <c r="BN123" s="243"/>
      <c r="BO123" s="243"/>
      <c r="BP123" s="243"/>
      <c r="BQ123" s="243"/>
      <c r="BR123" s="243"/>
    </row>
    <row r="124" spans="1:70" x14ac:dyDescent="0.25">
      <c r="A124" s="184">
        <f t="shared" si="59"/>
        <v>119</v>
      </c>
      <c r="B124" s="179">
        <f>Dashboard!$C$25</f>
        <v>0.05</v>
      </c>
      <c r="C124" s="179">
        <f>Dashboard!$C$25</f>
        <v>0.05</v>
      </c>
      <c r="D124" s="179">
        <f>Dashboard!$C$25</f>
        <v>0.05</v>
      </c>
      <c r="E124" s="189"/>
      <c r="F124" s="184">
        <f t="shared" ca="1" si="60"/>
        <v>2138</v>
      </c>
      <c r="G124" s="179">
        <f t="shared" si="81"/>
        <v>0.02</v>
      </c>
      <c r="H124" s="182">
        <f t="shared" si="61"/>
        <v>10.611970095310058</v>
      </c>
      <c r="I124" s="179">
        <f t="shared" si="82"/>
        <v>2.5000000000000001E-2</v>
      </c>
      <c r="J124" s="182">
        <f t="shared" si="62"/>
        <v>19.017742340583794</v>
      </c>
      <c r="K124" s="179">
        <f t="shared" si="83"/>
        <v>2.5000000000000001E-2</v>
      </c>
      <c r="L124" s="182">
        <f t="shared" si="63"/>
        <v>19.017742340583794</v>
      </c>
      <c r="M124" s="189"/>
      <c r="N124" s="184">
        <f t="shared" ca="1" si="64"/>
        <v>2138</v>
      </c>
      <c r="O124" s="179">
        <f t="shared" si="77"/>
        <v>0.02</v>
      </c>
      <c r="P124" s="182">
        <f t="shared" si="85"/>
        <v>10.601669028716653</v>
      </c>
      <c r="R124" s="184">
        <f t="shared" ca="1" si="65"/>
        <v>2138</v>
      </c>
      <c r="S124" s="188">
        <f t="shared" si="79"/>
        <v>5.3600000000000002E-3</v>
      </c>
      <c r="U124" s="184">
        <f t="shared" ca="1" si="66"/>
        <v>2138</v>
      </c>
      <c r="V124" s="182">
        <f t="shared" si="49"/>
        <v>0.02</v>
      </c>
      <c r="W124" s="180">
        <f>Parameters!$D$12</f>
        <v>5.0000000000000001E-3</v>
      </c>
      <c r="X124" s="182">
        <f t="shared" si="50"/>
        <v>2.5000000000000001E-2</v>
      </c>
      <c r="Y124" s="182">
        <f t="shared" si="67"/>
        <v>19.036488271542709</v>
      </c>
      <c r="AA124" s="189"/>
      <c r="AB124" s="184">
        <f t="shared" ca="1" si="68"/>
        <v>2138</v>
      </c>
      <c r="AC124" s="171">
        <f t="shared" si="51"/>
        <v>9518.2441357713542</v>
      </c>
      <c r="AD124" s="171">
        <f t="shared" si="47"/>
        <v>2368.7641697872541</v>
      </c>
      <c r="AE124" s="171">
        <f t="shared" si="78"/>
        <v>7308.1231512574723</v>
      </c>
      <c r="AF124" s="171">
        <f t="shared" si="69"/>
        <v>2368.7641697872541</v>
      </c>
      <c r="AG124" s="171">
        <f t="shared" si="80"/>
        <v>5305.92</v>
      </c>
      <c r="AH124" s="171">
        <f t="shared" si="52"/>
        <v>5305.92</v>
      </c>
      <c r="AI124" s="171">
        <f t="shared" si="53"/>
        <v>2368.7641697872541</v>
      </c>
      <c r="AJ124" s="171">
        <f>IF('Invoer gegevens'!$I$27="DAEB",SMALL(AC124:AD124,1),AC124)</f>
        <v>2368.7641697872541</v>
      </c>
      <c r="AK124" s="171">
        <f>IF('Invoer gegevens'!$I$27="DAEB",SMALL((AE124:AH124),1),SMALL((AF124:AH124),1))</f>
        <v>2368.7641697872541</v>
      </c>
      <c r="AL124" s="171">
        <f t="shared" si="75"/>
        <v>0</v>
      </c>
      <c r="AM124" s="171">
        <f t="shared" si="76"/>
        <v>0</v>
      </c>
      <c r="AN124" s="175">
        <f t="shared" si="71"/>
        <v>334496</v>
      </c>
      <c r="AP124" s="184">
        <f t="shared" ca="1" si="72"/>
        <v>2138</v>
      </c>
      <c r="AQ124" s="185">
        <f t="shared" si="54"/>
        <v>0.02</v>
      </c>
      <c r="AR124" s="182">
        <f t="shared" si="86"/>
        <v>10.601669028716653</v>
      </c>
      <c r="AU124" s="184">
        <f t="shared" ca="1" si="73"/>
        <v>2138</v>
      </c>
      <c r="AV124" s="182">
        <f t="shared" si="55"/>
        <v>0.02</v>
      </c>
      <c r="AW124" s="179">
        <f t="shared" si="56"/>
        <v>5.0000000000000001E-3</v>
      </c>
      <c r="AX124" s="182">
        <f t="shared" si="57"/>
        <v>2.5000000000000001E-2</v>
      </c>
      <c r="AY124" s="186"/>
      <c r="AZ124" s="190"/>
      <c r="BA124" s="184">
        <f t="shared" ca="1" si="74"/>
        <v>2138</v>
      </c>
      <c r="BB124" s="171">
        <f t="shared" si="58"/>
        <v>9518.2999999999993</v>
      </c>
      <c r="BC124" s="171">
        <f t="shared" si="48"/>
        <v>7308.1231512574723</v>
      </c>
      <c r="BD124" s="171">
        <f t="shared" si="84"/>
        <v>5305.92</v>
      </c>
      <c r="BE124" s="171">
        <f t="shared" si="84"/>
        <v>2368.7641697872541</v>
      </c>
      <c r="BF124" s="171">
        <f t="shared" si="84"/>
        <v>2368.7641697872541</v>
      </c>
      <c r="BG124" s="171">
        <f t="shared" si="84"/>
        <v>2368.7641697872541</v>
      </c>
      <c r="BI124" s="187">
        <f>IF(A124-'Invoer gegevens'!$C$17&lt;0,0,IF(A124-'Invoer gegevens'!$C$17=0,1,IF(A124-'Invoer gegevens'!$C$17&lt;5,2,IF(A124-'Invoer gegevens'!$C$17&lt;15,3,4))))</f>
        <v>0</v>
      </c>
      <c r="BJ124" s="229">
        <f>IF(BI124&lt;1,0,IF(BI124&lt;2,4%,IF(Reeksen!BI124&lt;3,4%,IF(Reeksen!BI124&lt;4,4%*70%,IF(Reeksen!BI124&lt;5,4%*50%)))))</f>
        <v>0</v>
      </c>
      <c r="BK124" s="243"/>
      <c r="BL124" s="243"/>
      <c r="BM124" s="243"/>
      <c r="BN124" s="243"/>
      <c r="BO124" s="243"/>
      <c r="BP124" s="243"/>
      <c r="BQ124" s="243"/>
      <c r="BR124" s="243"/>
    </row>
    <row r="125" spans="1:70" x14ac:dyDescent="0.25">
      <c r="A125" s="184">
        <f t="shared" si="59"/>
        <v>120</v>
      </c>
      <c r="B125" s="179">
        <f>Dashboard!$C$25</f>
        <v>0.05</v>
      </c>
      <c r="C125" s="179">
        <f>Dashboard!$C$25</f>
        <v>0.05</v>
      </c>
      <c r="D125" s="179">
        <f>Dashboard!$C$25</f>
        <v>0.05</v>
      </c>
      <c r="E125" s="189"/>
      <c r="F125" s="184">
        <f t="shared" ca="1" si="60"/>
        <v>2139</v>
      </c>
      <c r="G125" s="179">
        <f t="shared" si="81"/>
        <v>0.02</v>
      </c>
      <c r="H125" s="182">
        <f t="shared" si="61"/>
        <v>10.824209497216259</v>
      </c>
      <c r="I125" s="179">
        <f t="shared" si="82"/>
        <v>2.5000000000000001E-2</v>
      </c>
      <c r="J125" s="182">
        <f t="shared" si="62"/>
        <v>19.493185899098389</v>
      </c>
      <c r="K125" s="179">
        <f t="shared" si="83"/>
        <v>2.5000000000000001E-2</v>
      </c>
      <c r="L125" s="182">
        <f t="shared" si="63"/>
        <v>19.493185899098389</v>
      </c>
      <c r="M125" s="189"/>
      <c r="N125" s="184">
        <f t="shared" ca="1" si="64"/>
        <v>2139</v>
      </c>
      <c r="O125" s="179">
        <f t="shared" si="77"/>
        <v>0.02</v>
      </c>
      <c r="P125" s="182">
        <f t="shared" si="85"/>
        <v>10.813702409290986</v>
      </c>
      <c r="R125" s="184">
        <f t="shared" ca="1" si="65"/>
        <v>2139</v>
      </c>
      <c r="S125" s="188">
        <f t="shared" si="79"/>
        <v>5.3600000000000002E-3</v>
      </c>
      <c r="U125" s="184">
        <f t="shared" ca="1" si="66"/>
        <v>2139</v>
      </c>
      <c r="V125" s="182">
        <f t="shared" si="49"/>
        <v>0.02</v>
      </c>
      <c r="W125" s="180">
        <f>Parameters!$D$12</f>
        <v>5.0000000000000001E-3</v>
      </c>
      <c r="X125" s="182">
        <f t="shared" si="50"/>
        <v>2.5000000000000001E-2</v>
      </c>
      <c r="Y125" s="182">
        <f t="shared" si="67"/>
        <v>19.512400478331276</v>
      </c>
      <c r="AA125" s="189"/>
      <c r="AB125" s="184">
        <f t="shared" ca="1" si="68"/>
        <v>2139</v>
      </c>
      <c r="AC125" s="171">
        <f t="shared" si="51"/>
        <v>9756.2002391656388</v>
      </c>
      <c r="AD125" s="171">
        <f t="shared" si="47"/>
        <v>2416.1394531829992</v>
      </c>
      <c r="AE125" s="171">
        <f t="shared" si="78"/>
        <v>7454.2856142826222</v>
      </c>
      <c r="AF125" s="171">
        <f t="shared" si="69"/>
        <v>2416.1394531829992</v>
      </c>
      <c r="AG125" s="171">
        <f t="shared" si="80"/>
        <v>5412.04</v>
      </c>
      <c r="AH125" s="171">
        <f t="shared" si="52"/>
        <v>5412.04</v>
      </c>
      <c r="AI125" s="171">
        <f t="shared" si="53"/>
        <v>2416.1394531829992</v>
      </c>
      <c r="AJ125" s="171">
        <f>IF('Invoer gegevens'!$I$27="DAEB",SMALL(AC125:AD125,1),AC125)</f>
        <v>2416.1394531829992</v>
      </c>
      <c r="AK125" s="171">
        <f>IF('Invoer gegevens'!$I$27="DAEB",SMALL((AE125:AH125),1),SMALL((AF125:AH125),1))</f>
        <v>2416.1394531829992</v>
      </c>
      <c r="AL125" s="171">
        <f t="shared" si="75"/>
        <v>0</v>
      </c>
      <c r="AM125" s="171">
        <f t="shared" si="76"/>
        <v>0</v>
      </c>
      <c r="AN125" s="175">
        <f t="shared" si="71"/>
        <v>341186</v>
      </c>
      <c r="AP125" s="184">
        <f t="shared" ca="1" si="72"/>
        <v>2139</v>
      </c>
      <c r="AQ125" s="185">
        <f t="shared" si="54"/>
        <v>0.02</v>
      </c>
      <c r="AR125" s="182">
        <f t="shared" si="86"/>
        <v>10.813702409290986</v>
      </c>
      <c r="AU125" s="184">
        <f t="shared" ca="1" si="73"/>
        <v>2139</v>
      </c>
      <c r="AV125" s="182">
        <f t="shared" si="55"/>
        <v>0.02</v>
      </c>
      <c r="AW125" s="179">
        <f t="shared" si="56"/>
        <v>5.0000000000000001E-3</v>
      </c>
      <c r="AX125" s="182">
        <f t="shared" si="57"/>
        <v>2.5000000000000001E-2</v>
      </c>
      <c r="AY125" s="186"/>
      <c r="AZ125" s="190"/>
      <c r="BA125" s="184">
        <f t="shared" ca="1" si="74"/>
        <v>2139</v>
      </c>
      <c r="BB125" s="171">
        <f t="shared" si="58"/>
        <v>9756.26</v>
      </c>
      <c r="BC125" s="171">
        <f t="shared" si="48"/>
        <v>7454.2856142826222</v>
      </c>
      <c r="BD125" s="171">
        <f t="shared" si="84"/>
        <v>5412.04</v>
      </c>
      <c r="BE125" s="171">
        <f t="shared" si="84"/>
        <v>2416.1394531829992</v>
      </c>
      <c r="BF125" s="171">
        <f t="shared" si="84"/>
        <v>2416.1394531829992</v>
      </c>
      <c r="BG125" s="171">
        <f t="shared" si="84"/>
        <v>2416.1394531829992</v>
      </c>
      <c r="BI125" s="187">
        <f>IF(A125-'Invoer gegevens'!$C$17&lt;0,0,IF(A125-'Invoer gegevens'!$C$17=0,1,IF(A125-'Invoer gegevens'!$C$17&lt;5,2,IF(A125-'Invoer gegevens'!$C$17&lt;15,3,4))))</f>
        <v>0</v>
      </c>
      <c r="BJ125" s="229">
        <f>IF(BI125&lt;1,0,IF(BI125&lt;2,4%,IF(Reeksen!BI125&lt;3,4%,IF(Reeksen!BI125&lt;4,4%*70%,IF(Reeksen!BI125&lt;5,4%*50%)))))</f>
        <v>0</v>
      </c>
      <c r="BK125" s="243"/>
      <c r="BL125" s="243"/>
      <c r="BM125" s="243"/>
      <c r="BN125" s="243"/>
      <c r="BO125" s="243"/>
      <c r="BP125" s="243"/>
      <c r="BQ125" s="243"/>
      <c r="BR125" s="243"/>
    </row>
    <row r="126" spans="1:70" x14ac:dyDescent="0.25">
      <c r="A126" s="184">
        <f t="shared" si="59"/>
        <v>121</v>
      </c>
      <c r="B126" s="179">
        <f>Dashboard!$C$25</f>
        <v>0.05</v>
      </c>
      <c r="C126" s="179">
        <f>Dashboard!$C$25</f>
        <v>0.05</v>
      </c>
      <c r="D126" s="179">
        <f>Dashboard!$C$25</f>
        <v>0.05</v>
      </c>
      <c r="E126" s="189"/>
      <c r="F126" s="184">
        <f t="shared" ca="1" si="60"/>
        <v>2140</v>
      </c>
      <c r="G126" s="179">
        <f t="shared" si="81"/>
        <v>0.02</v>
      </c>
      <c r="H126" s="182">
        <f t="shared" si="61"/>
        <v>11.040693687160584</v>
      </c>
      <c r="I126" s="179">
        <f t="shared" si="82"/>
        <v>2.5000000000000001E-2</v>
      </c>
      <c r="J126" s="182">
        <f t="shared" si="62"/>
        <v>19.980515546575848</v>
      </c>
      <c r="K126" s="179">
        <f t="shared" si="83"/>
        <v>2.5000000000000001E-2</v>
      </c>
      <c r="L126" s="182">
        <f t="shared" si="63"/>
        <v>19.980515546575848</v>
      </c>
      <c r="M126" s="189"/>
      <c r="N126" s="184">
        <f t="shared" ca="1" si="64"/>
        <v>2140</v>
      </c>
      <c r="O126" s="179">
        <f t="shared" si="77"/>
        <v>0.02</v>
      </c>
      <c r="P126" s="182">
        <f t="shared" si="85"/>
        <v>11.029976457476806</v>
      </c>
      <c r="R126" s="184">
        <f t="shared" ca="1" si="65"/>
        <v>2140</v>
      </c>
      <c r="S126" s="188">
        <f t="shared" si="79"/>
        <v>5.3600000000000002E-3</v>
      </c>
      <c r="U126" s="184">
        <f t="shared" ca="1" si="66"/>
        <v>2140</v>
      </c>
      <c r="V126" s="182">
        <f t="shared" si="49"/>
        <v>0.02</v>
      </c>
      <c r="W126" s="180">
        <f>Parameters!$D$12</f>
        <v>5.0000000000000001E-3</v>
      </c>
      <c r="X126" s="182">
        <f t="shared" si="50"/>
        <v>2.5000000000000001E-2</v>
      </c>
      <c r="Y126" s="182">
        <f t="shared" si="67"/>
        <v>20.000210490289557</v>
      </c>
      <c r="AA126" s="189"/>
      <c r="AB126" s="184">
        <f t="shared" ca="1" si="68"/>
        <v>2140</v>
      </c>
      <c r="AC126" s="171">
        <f t="shared" si="51"/>
        <v>10000.105245144779</v>
      </c>
      <c r="AD126" s="171">
        <f t="shared" si="47"/>
        <v>2464.4622422466591</v>
      </c>
      <c r="AE126" s="171">
        <f t="shared" si="78"/>
        <v>7603.3713265682745</v>
      </c>
      <c r="AF126" s="171">
        <f t="shared" si="69"/>
        <v>2464.4622422466591</v>
      </c>
      <c r="AG126" s="171">
        <f t="shared" si="80"/>
        <v>5520.28</v>
      </c>
      <c r="AH126" s="171">
        <f t="shared" si="52"/>
        <v>5520.28</v>
      </c>
      <c r="AI126" s="171">
        <f t="shared" si="53"/>
        <v>2464.4622422466591</v>
      </c>
      <c r="AJ126" s="171">
        <f>IF('Invoer gegevens'!$I$27="DAEB",SMALL(AC126:AD126,1),AC126)</f>
        <v>2464.4622422466591</v>
      </c>
      <c r="AK126" s="171">
        <f>IF('Invoer gegevens'!$I$27="DAEB",SMALL((AE126:AH126),1),SMALL((AF126:AH126),1))</f>
        <v>2464.4622422466591</v>
      </c>
      <c r="AL126" s="171">
        <f t="shared" si="75"/>
        <v>0</v>
      </c>
      <c r="AM126" s="171">
        <f t="shared" si="76"/>
        <v>0</v>
      </c>
      <c r="AN126" s="175">
        <f t="shared" si="71"/>
        <v>348010</v>
      </c>
      <c r="AP126" s="184">
        <f t="shared" ca="1" si="72"/>
        <v>2140</v>
      </c>
      <c r="AQ126" s="185">
        <f t="shared" si="54"/>
        <v>0.02</v>
      </c>
      <c r="AR126" s="182">
        <f t="shared" si="86"/>
        <v>11.029976457476806</v>
      </c>
      <c r="AU126" s="184">
        <f t="shared" ca="1" si="73"/>
        <v>2140</v>
      </c>
      <c r="AV126" s="182">
        <f t="shared" si="55"/>
        <v>0.02</v>
      </c>
      <c r="AW126" s="179">
        <f t="shared" si="56"/>
        <v>5.0000000000000001E-3</v>
      </c>
      <c r="AX126" s="182">
        <f t="shared" si="57"/>
        <v>2.5000000000000001E-2</v>
      </c>
      <c r="AY126" s="186"/>
      <c r="AZ126" s="190"/>
      <c r="BA126" s="184">
        <f t="shared" ca="1" si="74"/>
        <v>2140</v>
      </c>
      <c r="BB126" s="171">
        <f t="shared" si="58"/>
        <v>10000.17</v>
      </c>
      <c r="BC126" s="171">
        <f t="shared" si="48"/>
        <v>7603.3713265682745</v>
      </c>
      <c r="BD126" s="171">
        <f t="shared" si="84"/>
        <v>5520.28</v>
      </c>
      <c r="BE126" s="171">
        <f t="shared" si="84"/>
        <v>2464.4622422466591</v>
      </c>
      <c r="BF126" s="171">
        <f t="shared" si="84"/>
        <v>2464.4622422466591</v>
      </c>
      <c r="BG126" s="171">
        <f t="shared" si="84"/>
        <v>2464.4622422466591</v>
      </c>
      <c r="BI126" s="187">
        <f>IF(A126-'Invoer gegevens'!$C$17&lt;0,0,IF(A126-'Invoer gegevens'!$C$17=0,1,IF(A126-'Invoer gegevens'!$C$17&lt;5,2,IF(A126-'Invoer gegevens'!$C$17&lt;15,3,4))))</f>
        <v>0</v>
      </c>
      <c r="BJ126" s="229">
        <f>IF(BI126&lt;1,0,IF(BI126&lt;2,4%,IF(Reeksen!BI126&lt;3,4%,IF(Reeksen!BI126&lt;4,4%*70%,IF(Reeksen!BI126&lt;5,4%*50%)))))</f>
        <v>0</v>
      </c>
      <c r="BK126" s="243"/>
      <c r="BL126" s="243"/>
      <c r="BM126" s="243"/>
      <c r="BN126" s="243"/>
      <c r="BO126" s="243"/>
      <c r="BP126" s="243"/>
      <c r="BQ126" s="243"/>
      <c r="BR126" s="243"/>
    </row>
    <row r="127" spans="1:70" x14ac:dyDescent="0.25">
      <c r="A127" s="184">
        <f t="shared" si="59"/>
        <v>122</v>
      </c>
      <c r="B127" s="179">
        <f>Dashboard!$C$25</f>
        <v>0.05</v>
      </c>
      <c r="C127" s="179">
        <f>Dashboard!$C$25</f>
        <v>0.05</v>
      </c>
      <c r="D127" s="179">
        <f>Dashboard!$C$25</f>
        <v>0.05</v>
      </c>
      <c r="E127" s="189"/>
      <c r="F127" s="184">
        <f t="shared" ca="1" si="60"/>
        <v>2141</v>
      </c>
      <c r="G127" s="179">
        <f t="shared" si="81"/>
        <v>0.02</v>
      </c>
      <c r="H127" s="182">
        <f t="shared" si="61"/>
        <v>11.261507560903796</v>
      </c>
      <c r="I127" s="179">
        <f t="shared" si="82"/>
        <v>2.5000000000000001E-2</v>
      </c>
      <c r="J127" s="182">
        <f t="shared" si="62"/>
        <v>20.480028435240243</v>
      </c>
      <c r="K127" s="179">
        <f t="shared" si="83"/>
        <v>2.5000000000000001E-2</v>
      </c>
      <c r="L127" s="182">
        <f t="shared" si="63"/>
        <v>20.480028435240243</v>
      </c>
      <c r="M127" s="189"/>
      <c r="N127" s="184">
        <f t="shared" ca="1" si="64"/>
        <v>2141</v>
      </c>
      <c r="O127" s="179">
        <f t="shared" si="77"/>
        <v>0.02</v>
      </c>
      <c r="P127" s="182">
        <f t="shared" si="85"/>
        <v>11.250575986626343</v>
      </c>
      <c r="R127" s="184">
        <f t="shared" ca="1" si="65"/>
        <v>2141</v>
      </c>
      <c r="S127" s="188">
        <f t="shared" si="79"/>
        <v>5.3600000000000002E-3</v>
      </c>
      <c r="U127" s="184">
        <f t="shared" ca="1" si="66"/>
        <v>2141</v>
      </c>
      <c r="V127" s="182">
        <f t="shared" si="49"/>
        <v>0.02</v>
      </c>
      <c r="W127" s="180">
        <f>Parameters!$D$12</f>
        <v>5.0000000000000001E-3</v>
      </c>
      <c r="X127" s="182">
        <f t="shared" si="50"/>
        <v>2.5000000000000001E-2</v>
      </c>
      <c r="Y127" s="182">
        <f t="shared" si="67"/>
        <v>20.500215752546794</v>
      </c>
      <c r="AA127" s="189"/>
      <c r="AB127" s="184">
        <f t="shared" ca="1" si="68"/>
        <v>2141</v>
      </c>
      <c r="AC127" s="171">
        <f t="shared" si="51"/>
        <v>10250.107876273396</v>
      </c>
      <c r="AD127" s="171">
        <f t="shared" si="47"/>
        <v>2513.7514870915925</v>
      </c>
      <c r="AE127" s="171">
        <f t="shared" si="78"/>
        <v>7755.4387530996401</v>
      </c>
      <c r="AF127" s="171">
        <f t="shared" si="69"/>
        <v>2513.7514870915925</v>
      </c>
      <c r="AG127" s="171">
        <f t="shared" si="80"/>
        <v>5630.69</v>
      </c>
      <c r="AH127" s="171">
        <f t="shared" si="52"/>
        <v>5630.69</v>
      </c>
      <c r="AI127" s="171">
        <f t="shared" si="53"/>
        <v>2513.7514870915925</v>
      </c>
      <c r="AJ127" s="171">
        <f>IF('Invoer gegevens'!$I$27="DAEB",SMALL(AC127:AD127,1),AC127)</f>
        <v>2513.7514870915925</v>
      </c>
      <c r="AK127" s="171">
        <f>IF('Invoer gegevens'!$I$27="DAEB",SMALL((AE127:AH127),1),SMALL((AF127:AH127),1))</f>
        <v>2513.7514870915925</v>
      </c>
      <c r="AL127" s="171">
        <f t="shared" si="75"/>
        <v>0</v>
      </c>
      <c r="AM127" s="171">
        <f t="shared" si="76"/>
        <v>0</v>
      </c>
      <c r="AN127" s="175">
        <f t="shared" si="71"/>
        <v>354970</v>
      </c>
      <c r="AP127" s="184">
        <f t="shared" ca="1" si="72"/>
        <v>2141</v>
      </c>
      <c r="AQ127" s="185">
        <f t="shared" si="54"/>
        <v>0.02</v>
      </c>
      <c r="AR127" s="182">
        <f t="shared" si="86"/>
        <v>11.250575986626343</v>
      </c>
      <c r="AU127" s="184">
        <f t="shared" ca="1" si="73"/>
        <v>2141</v>
      </c>
      <c r="AV127" s="182">
        <f t="shared" si="55"/>
        <v>0.02</v>
      </c>
      <c r="AW127" s="179">
        <f t="shared" si="56"/>
        <v>5.0000000000000001E-3</v>
      </c>
      <c r="AX127" s="182">
        <f t="shared" si="57"/>
        <v>2.5000000000000001E-2</v>
      </c>
      <c r="AY127" s="186"/>
      <c r="AZ127" s="190"/>
      <c r="BA127" s="184">
        <f t="shared" ca="1" si="74"/>
        <v>2141</v>
      </c>
      <c r="BB127" s="171">
        <f t="shared" si="58"/>
        <v>10250.17</v>
      </c>
      <c r="BC127" s="171">
        <f t="shared" si="48"/>
        <v>7755.4387530996401</v>
      </c>
      <c r="BD127" s="171">
        <f t="shared" si="84"/>
        <v>5630.69</v>
      </c>
      <c r="BE127" s="171">
        <f t="shared" si="84"/>
        <v>2513.7514870915925</v>
      </c>
      <c r="BF127" s="171">
        <f t="shared" si="84"/>
        <v>2513.7514870915925</v>
      </c>
      <c r="BG127" s="171">
        <f t="shared" si="84"/>
        <v>2513.7514870915925</v>
      </c>
      <c r="BI127" s="187">
        <f>IF(A127-'Invoer gegevens'!$C$17&lt;0,0,IF(A127-'Invoer gegevens'!$C$17=0,1,IF(A127-'Invoer gegevens'!$C$17&lt;5,2,IF(A127-'Invoer gegevens'!$C$17&lt;15,3,4))))</f>
        <v>0</v>
      </c>
      <c r="BJ127" s="229">
        <f>IF(BI127&lt;1,0,IF(BI127&lt;2,4%,IF(Reeksen!BI127&lt;3,4%,IF(Reeksen!BI127&lt;4,4%*70%,IF(Reeksen!BI127&lt;5,4%*50%)))))</f>
        <v>0</v>
      </c>
      <c r="BK127" s="243"/>
      <c r="BL127" s="243"/>
      <c r="BM127" s="243"/>
      <c r="BN127" s="243"/>
      <c r="BO127" s="243"/>
      <c r="BP127" s="243"/>
      <c r="BQ127" s="243"/>
      <c r="BR127" s="243"/>
    </row>
    <row r="128" spans="1:70" x14ac:dyDescent="0.25">
      <c r="A128" s="184">
        <f t="shared" si="59"/>
        <v>123</v>
      </c>
      <c r="B128" s="179">
        <f>Dashboard!$C$25</f>
        <v>0.05</v>
      </c>
      <c r="C128" s="179">
        <f>Dashboard!$C$25</f>
        <v>0.05</v>
      </c>
      <c r="D128" s="179">
        <f>Dashboard!$C$25</f>
        <v>0.05</v>
      </c>
      <c r="E128" s="189"/>
      <c r="F128" s="184">
        <f t="shared" ca="1" si="60"/>
        <v>2142</v>
      </c>
      <c r="G128" s="179">
        <f t="shared" si="81"/>
        <v>0.02</v>
      </c>
      <c r="H128" s="182">
        <f t="shared" si="61"/>
        <v>11.486737712121872</v>
      </c>
      <c r="I128" s="179">
        <f t="shared" si="82"/>
        <v>2.5000000000000001E-2</v>
      </c>
      <c r="J128" s="182">
        <f t="shared" si="62"/>
        <v>20.992029146121247</v>
      </c>
      <c r="K128" s="179">
        <f t="shared" si="83"/>
        <v>2.5000000000000001E-2</v>
      </c>
      <c r="L128" s="182">
        <f t="shared" si="63"/>
        <v>20.992029146121247</v>
      </c>
      <c r="M128" s="189"/>
      <c r="N128" s="184">
        <f t="shared" ca="1" si="64"/>
        <v>2142</v>
      </c>
      <c r="O128" s="179">
        <f t="shared" si="77"/>
        <v>0.02</v>
      </c>
      <c r="P128" s="182">
        <f t="shared" si="85"/>
        <v>11.47558750635887</v>
      </c>
      <c r="R128" s="184">
        <f t="shared" ca="1" si="65"/>
        <v>2142</v>
      </c>
      <c r="S128" s="188">
        <f t="shared" si="79"/>
        <v>5.3600000000000002E-3</v>
      </c>
      <c r="U128" s="184">
        <f t="shared" ca="1" si="66"/>
        <v>2142</v>
      </c>
      <c r="V128" s="182">
        <f t="shared" si="49"/>
        <v>0.02</v>
      </c>
      <c r="W128" s="180">
        <f>Parameters!$D$12</f>
        <v>5.0000000000000001E-3</v>
      </c>
      <c r="X128" s="182">
        <f t="shared" si="50"/>
        <v>2.5000000000000001E-2</v>
      </c>
      <c r="Y128" s="182">
        <f t="shared" si="67"/>
        <v>21.012721146360462</v>
      </c>
      <c r="AA128" s="189"/>
      <c r="AB128" s="184">
        <f t="shared" ca="1" si="68"/>
        <v>2142</v>
      </c>
      <c r="AC128" s="171">
        <f t="shared" si="51"/>
        <v>10506.360573180231</v>
      </c>
      <c r="AD128" s="171">
        <f t="shared" si="47"/>
        <v>2564.026516833424</v>
      </c>
      <c r="AE128" s="171">
        <f t="shared" si="78"/>
        <v>7910.5475281616327</v>
      </c>
      <c r="AF128" s="171">
        <f t="shared" si="69"/>
        <v>2564.026516833424</v>
      </c>
      <c r="AG128" s="171">
        <f t="shared" si="80"/>
        <v>5743.3</v>
      </c>
      <c r="AH128" s="171">
        <f t="shared" si="52"/>
        <v>5743.3</v>
      </c>
      <c r="AI128" s="171">
        <f t="shared" si="53"/>
        <v>2564.026516833424</v>
      </c>
      <c r="AJ128" s="171">
        <f>IF('Invoer gegevens'!$I$27="DAEB",SMALL(AC128:AD128,1),AC128)</f>
        <v>2564.026516833424</v>
      </c>
      <c r="AK128" s="171">
        <f>IF('Invoer gegevens'!$I$27="DAEB",SMALL((AE128:AH128),1),SMALL((AF128:AH128),1))</f>
        <v>2564.026516833424</v>
      </c>
      <c r="AL128" s="171">
        <f t="shared" si="75"/>
        <v>0</v>
      </c>
      <c r="AM128" s="171">
        <f t="shared" si="76"/>
        <v>0</v>
      </c>
      <c r="AN128" s="175">
        <f t="shared" si="71"/>
        <v>362069</v>
      </c>
      <c r="AP128" s="184">
        <f t="shared" ca="1" si="72"/>
        <v>2142</v>
      </c>
      <c r="AQ128" s="185">
        <f t="shared" si="54"/>
        <v>0.02</v>
      </c>
      <c r="AR128" s="182">
        <f t="shared" si="86"/>
        <v>11.47558750635887</v>
      </c>
      <c r="AU128" s="184">
        <f t="shared" ca="1" si="73"/>
        <v>2142</v>
      </c>
      <c r="AV128" s="182">
        <f t="shared" si="55"/>
        <v>0.02</v>
      </c>
      <c r="AW128" s="179">
        <f t="shared" si="56"/>
        <v>5.0000000000000001E-3</v>
      </c>
      <c r="AX128" s="182">
        <f t="shared" si="57"/>
        <v>2.5000000000000001E-2</v>
      </c>
      <c r="AY128" s="186"/>
      <c r="AZ128" s="190"/>
      <c r="BA128" s="184">
        <f t="shared" ca="1" si="74"/>
        <v>2142</v>
      </c>
      <c r="BB128" s="171">
        <f t="shared" si="58"/>
        <v>10506.42</v>
      </c>
      <c r="BC128" s="171">
        <f t="shared" si="48"/>
        <v>7910.5475281616327</v>
      </c>
      <c r="BD128" s="171">
        <f t="shared" si="84"/>
        <v>5743.3</v>
      </c>
      <c r="BE128" s="171">
        <f t="shared" si="84"/>
        <v>2564.026516833424</v>
      </c>
      <c r="BF128" s="171">
        <f t="shared" si="84"/>
        <v>2564.026516833424</v>
      </c>
      <c r="BG128" s="171">
        <f t="shared" si="84"/>
        <v>2564.026516833424</v>
      </c>
      <c r="BI128" s="187">
        <f>IF(A128-'Invoer gegevens'!$C$17&lt;0,0,IF(A128-'Invoer gegevens'!$C$17=0,1,IF(A128-'Invoer gegevens'!$C$17&lt;5,2,IF(A128-'Invoer gegevens'!$C$17&lt;15,3,4))))</f>
        <v>0</v>
      </c>
      <c r="BJ128" s="229">
        <f>IF(BI128&lt;1,0,IF(BI128&lt;2,4%,IF(Reeksen!BI128&lt;3,4%,IF(Reeksen!BI128&lt;4,4%*70%,IF(Reeksen!BI128&lt;5,4%*50%)))))</f>
        <v>0</v>
      </c>
      <c r="BK128" s="243"/>
      <c r="BL128" s="243"/>
      <c r="BM128" s="243"/>
      <c r="BN128" s="243"/>
      <c r="BO128" s="243"/>
      <c r="BP128" s="243"/>
      <c r="BQ128" s="243"/>
      <c r="BR128" s="243"/>
    </row>
    <row r="129" spans="1:70" x14ac:dyDescent="0.25">
      <c r="A129" s="184">
        <f t="shared" si="59"/>
        <v>124</v>
      </c>
      <c r="B129" s="179">
        <f>Dashboard!$C$25</f>
        <v>0.05</v>
      </c>
      <c r="C129" s="179">
        <f>Dashboard!$C$25</f>
        <v>0.05</v>
      </c>
      <c r="D129" s="179">
        <f>Dashboard!$C$25</f>
        <v>0.05</v>
      </c>
      <c r="E129" s="189"/>
      <c r="F129" s="184">
        <f t="shared" ca="1" si="60"/>
        <v>2143</v>
      </c>
      <c r="G129" s="179">
        <f t="shared" si="81"/>
        <v>0.02</v>
      </c>
      <c r="H129" s="182">
        <f t="shared" si="61"/>
        <v>11.71647246636431</v>
      </c>
      <c r="I129" s="179">
        <f t="shared" si="82"/>
        <v>2.5000000000000001E-2</v>
      </c>
      <c r="J129" s="182">
        <f t="shared" si="62"/>
        <v>21.516829874774277</v>
      </c>
      <c r="K129" s="179">
        <f t="shared" si="83"/>
        <v>2.5000000000000001E-2</v>
      </c>
      <c r="L129" s="182">
        <f t="shared" si="63"/>
        <v>21.516829874774277</v>
      </c>
      <c r="M129" s="189"/>
      <c r="N129" s="184">
        <f t="shared" ca="1" si="64"/>
        <v>2143</v>
      </c>
      <c r="O129" s="179">
        <f t="shared" si="77"/>
        <v>0.02</v>
      </c>
      <c r="P129" s="182">
        <f t="shared" si="85"/>
        <v>11.705099256486047</v>
      </c>
      <c r="R129" s="184">
        <f t="shared" ca="1" si="65"/>
        <v>2143</v>
      </c>
      <c r="S129" s="188">
        <f t="shared" si="79"/>
        <v>5.3600000000000002E-3</v>
      </c>
      <c r="U129" s="184">
        <f t="shared" ca="1" si="66"/>
        <v>2143</v>
      </c>
      <c r="V129" s="182">
        <f t="shared" si="49"/>
        <v>0.02</v>
      </c>
      <c r="W129" s="180">
        <f>Parameters!$D$12</f>
        <v>5.0000000000000001E-3</v>
      </c>
      <c r="X129" s="182">
        <f t="shared" si="50"/>
        <v>2.5000000000000001E-2</v>
      </c>
      <c r="Y129" s="182">
        <f t="shared" si="67"/>
        <v>21.53803917501947</v>
      </c>
      <c r="AA129" s="189"/>
      <c r="AB129" s="184">
        <f t="shared" ca="1" si="68"/>
        <v>2143</v>
      </c>
      <c r="AC129" s="171">
        <f t="shared" si="51"/>
        <v>10769.019587509736</v>
      </c>
      <c r="AD129" s="171">
        <f t="shared" si="47"/>
        <v>2615.307047170093</v>
      </c>
      <c r="AE129" s="171">
        <f t="shared" si="78"/>
        <v>8068.7584787248652</v>
      </c>
      <c r="AF129" s="171">
        <f t="shared" si="69"/>
        <v>2615.307047170093</v>
      </c>
      <c r="AG129" s="171">
        <f t="shared" si="80"/>
        <v>5858.17</v>
      </c>
      <c r="AH129" s="171">
        <f t="shared" si="52"/>
        <v>5858.17</v>
      </c>
      <c r="AI129" s="171">
        <f t="shared" si="53"/>
        <v>2615.307047170093</v>
      </c>
      <c r="AJ129" s="171">
        <f>IF('Invoer gegevens'!$I$27="DAEB",SMALL(AC129:AD129,1),AC129)</f>
        <v>2615.307047170093</v>
      </c>
      <c r="AK129" s="171">
        <f>IF('Invoer gegevens'!$I$27="DAEB",SMALL((AE129:AH129),1),SMALL((AF129:AH129),1))</f>
        <v>2615.307047170093</v>
      </c>
      <c r="AL129" s="171">
        <f t="shared" si="75"/>
        <v>0</v>
      </c>
      <c r="AM129" s="171">
        <f t="shared" si="76"/>
        <v>0</v>
      </c>
      <c r="AN129" s="175">
        <f t="shared" si="71"/>
        <v>369310</v>
      </c>
      <c r="AP129" s="184">
        <f t="shared" ca="1" si="72"/>
        <v>2143</v>
      </c>
      <c r="AQ129" s="185">
        <f t="shared" si="54"/>
        <v>0.02</v>
      </c>
      <c r="AR129" s="182">
        <f t="shared" si="86"/>
        <v>11.705099256486047</v>
      </c>
      <c r="AU129" s="184">
        <f t="shared" ca="1" si="73"/>
        <v>2143</v>
      </c>
      <c r="AV129" s="182">
        <f t="shared" si="55"/>
        <v>0.02</v>
      </c>
      <c r="AW129" s="179">
        <f t="shared" si="56"/>
        <v>5.0000000000000001E-3</v>
      </c>
      <c r="AX129" s="182">
        <f t="shared" si="57"/>
        <v>2.5000000000000001E-2</v>
      </c>
      <c r="AY129" s="186"/>
      <c r="AZ129" s="190"/>
      <c r="BA129" s="184">
        <f t="shared" ca="1" si="74"/>
        <v>2143</v>
      </c>
      <c r="BB129" s="171">
        <f t="shared" si="58"/>
        <v>10769.08</v>
      </c>
      <c r="BC129" s="171">
        <f t="shared" si="48"/>
        <v>8068.7584787248652</v>
      </c>
      <c r="BD129" s="171">
        <f t="shared" si="84"/>
        <v>5858.17</v>
      </c>
      <c r="BE129" s="171">
        <f t="shared" si="84"/>
        <v>2615.307047170093</v>
      </c>
      <c r="BF129" s="171">
        <f t="shared" si="84"/>
        <v>2615.307047170093</v>
      </c>
      <c r="BG129" s="171">
        <f t="shared" si="84"/>
        <v>2615.307047170093</v>
      </c>
      <c r="BI129" s="187">
        <f>IF(A129-'Invoer gegevens'!$C$17&lt;0,0,IF(A129-'Invoer gegevens'!$C$17=0,1,IF(A129-'Invoer gegevens'!$C$17&lt;5,2,IF(A129-'Invoer gegevens'!$C$17&lt;15,3,4))))</f>
        <v>0</v>
      </c>
      <c r="BJ129" s="229">
        <f>IF(BI129&lt;1,0,IF(BI129&lt;2,4%,IF(Reeksen!BI129&lt;3,4%,IF(Reeksen!BI129&lt;4,4%*70%,IF(Reeksen!BI129&lt;5,4%*50%)))))</f>
        <v>0</v>
      </c>
      <c r="BK129" s="243"/>
      <c r="BL129" s="243"/>
      <c r="BM129" s="243"/>
      <c r="BN129" s="243"/>
      <c r="BO129" s="243"/>
      <c r="BP129" s="243"/>
      <c r="BQ129" s="243"/>
      <c r="BR129" s="243"/>
    </row>
    <row r="130" spans="1:70" x14ac:dyDescent="0.25">
      <c r="A130" s="184">
        <f t="shared" si="59"/>
        <v>125</v>
      </c>
      <c r="B130" s="179">
        <f>Dashboard!$C$25</f>
        <v>0.05</v>
      </c>
      <c r="C130" s="179">
        <f>Dashboard!$C$25</f>
        <v>0.05</v>
      </c>
      <c r="D130" s="179">
        <f>Dashboard!$C$25</f>
        <v>0.05</v>
      </c>
      <c r="E130" s="189"/>
      <c r="F130" s="184">
        <f t="shared" ca="1" si="60"/>
        <v>2144</v>
      </c>
      <c r="G130" s="179">
        <f t="shared" si="81"/>
        <v>0.02</v>
      </c>
      <c r="H130" s="182">
        <f t="shared" si="61"/>
        <v>11.950801915691597</v>
      </c>
      <c r="I130" s="179">
        <f t="shared" si="82"/>
        <v>2.5000000000000001E-2</v>
      </c>
      <c r="J130" s="182">
        <f t="shared" si="62"/>
        <v>22.054750621643631</v>
      </c>
      <c r="K130" s="179">
        <f t="shared" si="83"/>
        <v>2.5000000000000001E-2</v>
      </c>
      <c r="L130" s="182">
        <f t="shared" si="63"/>
        <v>22.054750621643631</v>
      </c>
      <c r="M130" s="189"/>
      <c r="N130" s="184">
        <f t="shared" ca="1" si="64"/>
        <v>2144</v>
      </c>
      <c r="O130" s="179">
        <f t="shared" si="77"/>
        <v>0.02</v>
      </c>
      <c r="P130" s="182">
        <f t="shared" si="85"/>
        <v>11.939201241615768</v>
      </c>
      <c r="R130" s="184">
        <f t="shared" ca="1" si="65"/>
        <v>2144</v>
      </c>
      <c r="S130" s="188">
        <f t="shared" si="79"/>
        <v>5.3600000000000002E-3</v>
      </c>
      <c r="U130" s="184">
        <f t="shared" ca="1" si="66"/>
        <v>2144</v>
      </c>
      <c r="V130" s="182">
        <f t="shared" si="49"/>
        <v>0.02</v>
      </c>
      <c r="W130" s="180">
        <f>Parameters!$D$12</f>
        <v>5.0000000000000001E-3</v>
      </c>
      <c r="X130" s="182">
        <f t="shared" si="50"/>
        <v>2.5000000000000001E-2</v>
      </c>
      <c r="Y130" s="182">
        <f t="shared" si="67"/>
        <v>22.076490154394957</v>
      </c>
      <c r="AA130" s="189"/>
      <c r="AB130" s="184">
        <f t="shared" ca="1" si="68"/>
        <v>2144</v>
      </c>
      <c r="AC130" s="171">
        <f t="shared" si="51"/>
        <v>11038.245077197478</v>
      </c>
      <c r="AD130" s="171">
        <f t="shared" si="47"/>
        <v>2667.6131881134947</v>
      </c>
      <c r="AE130" s="171">
        <f t="shared" si="78"/>
        <v>8230.1336482993629</v>
      </c>
      <c r="AF130" s="171">
        <f t="shared" si="69"/>
        <v>2667.6131881134947</v>
      </c>
      <c r="AG130" s="171">
        <f t="shared" si="80"/>
        <v>5975.33</v>
      </c>
      <c r="AH130" s="171">
        <f t="shared" si="52"/>
        <v>5975.33</v>
      </c>
      <c r="AI130" s="171">
        <f t="shared" si="53"/>
        <v>2667.6131881134947</v>
      </c>
      <c r="AJ130" s="171">
        <f>IF('Invoer gegevens'!$I$27="DAEB",SMALL(AC130:AD130,1),AC130)</f>
        <v>2667.6131881134947</v>
      </c>
      <c r="AK130" s="171">
        <f>IF('Invoer gegevens'!$I$27="DAEB",SMALL((AE130:AH130),1),SMALL((AF130:AH130),1))</f>
        <v>2667.6131881134947</v>
      </c>
      <c r="AL130" s="171">
        <f t="shared" si="75"/>
        <v>0</v>
      </c>
      <c r="AM130" s="171">
        <f t="shared" si="76"/>
        <v>0</v>
      </c>
      <c r="AN130" s="175">
        <f t="shared" si="71"/>
        <v>376696</v>
      </c>
      <c r="AP130" s="184">
        <f t="shared" ca="1" si="72"/>
        <v>2144</v>
      </c>
      <c r="AQ130" s="185">
        <f t="shared" si="54"/>
        <v>0.02</v>
      </c>
      <c r="AR130" s="182">
        <f t="shared" si="86"/>
        <v>11.939201241615768</v>
      </c>
      <c r="AU130" s="184">
        <f t="shared" ca="1" si="73"/>
        <v>2144</v>
      </c>
      <c r="AV130" s="182">
        <f t="shared" si="55"/>
        <v>0.02</v>
      </c>
      <c r="AW130" s="179">
        <f t="shared" si="56"/>
        <v>5.0000000000000001E-3</v>
      </c>
      <c r="AX130" s="182">
        <f t="shared" si="57"/>
        <v>2.5000000000000001E-2</v>
      </c>
      <c r="AY130" s="186"/>
      <c r="AZ130" s="190"/>
      <c r="BA130" s="184">
        <f t="shared" ca="1" si="74"/>
        <v>2144</v>
      </c>
      <c r="BB130" s="171">
        <f t="shared" si="58"/>
        <v>11038.31</v>
      </c>
      <c r="BC130" s="171">
        <f t="shared" si="48"/>
        <v>8230.1336482993629</v>
      </c>
      <c r="BD130" s="171">
        <f t="shared" si="84"/>
        <v>5975.33</v>
      </c>
      <c r="BE130" s="171">
        <f t="shared" si="84"/>
        <v>2667.6131881134947</v>
      </c>
      <c r="BF130" s="171">
        <f t="shared" si="84"/>
        <v>2667.6131881134947</v>
      </c>
      <c r="BG130" s="171">
        <f t="shared" si="84"/>
        <v>2667.6131881134947</v>
      </c>
      <c r="BI130" s="187">
        <f>IF(A130-'Invoer gegevens'!$C$17&lt;0,0,IF(A130-'Invoer gegevens'!$C$17=0,1,IF(A130-'Invoer gegevens'!$C$17&lt;5,2,IF(A130-'Invoer gegevens'!$C$17&lt;15,3,4))))</f>
        <v>0</v>
      </c>
      <c r="BJ130" s="229">
        <f>IF(BI130&lt;1,0,IF(BI130&lt;2,4%,IF(Reeksen!BI130&lt;3,4%,IF(Reeksen!BI130&lt;4,4%*70%,IF(Reeksen!BI130&lt;5,4%*50%)))))</f>
        <v>0</v>
      </c>
      <c r="BK130" s="243"/>
      <c r="BL130" s="243"/>
      <c r="BM130" s="243"/>
      <c r="BN130" s="243"/>
      <c r="BO130" s="243"/>
      <c r="BP130" s="243"/>
      <c r="BQ130" s="243"/>
      <c r="BR130" s="243"/>
    </row>
    <row r="131" spans="1:70" x14ac:dyDescent="0.25">
      <c r="A131" s="184">
        <f t="shared" si="59"/>
        <v>126</v>
      </c>
      <c r="B131" s="179">
        <f>Dashboard!$C$25</f>
        <v>0.05</v>
      </c>
      <c r="C131" s="179">
        <f>Dashboard!$C$25</f>
        <v>0.05</v>
      </c>
      <c r="D131" s="179">
        <f>Dashboard!$C$25</f>
        <v>0.05</v>
      </c>
      <c r="E131" s="189"/>
      <c r="F131" s="184">
        <f t="shared" ca="1" si="60"/>
        <v>2145</v>
      </c>
      <c r="G131" s="179">
        <f t="shared" si="81"/>
        <v>0.02</v>
      </c>
      <c r="H131" s="182">
        <f t="shared" si="61"/>
        <v>12.189817954005429</v>
      </c>
      <c r="I131" s="179">
        <f t="shared" si="82"/>
        <v>2.5000000000000001E-2</v>
      </c>
      <c r="J131" s="182">
        <f t="shared" si="62"/>
        <v>22.606119387184719</v>
      </c>
      <c r="K131" s="179">
        <f t="shared" si="83"/>
        <v>2.5000000000000001E-2</v>
      </c>
      <c r="L131" s="182">
        <f t="shared" si="63"/>
        <v>22.606119387184719</v>
      </c>
      <c r="M131" s="189"/>
      <c r="N131" s="184">
        <f t="shared" ca="1" si="64"/>
        <v>2145</v>
      </c>
      <c r="O131" s="179">
        <f t="shared" si="77"/>
        <v>0.02</v>
      </c>
      <c r="P131" s="182">
        <f t="shared" si="85"/>
        <v>12.177985266448083</v>
      </c>
      <c r="R131" s="184">
        <f t="shared" ca="1" si="65"/>
        <v>2145</v>
      </c>
      <c r="S131" s="188">
        <f t="shared" si="79"/>
        <v>5.3600000000000002E-3</v>
      </c>
      <c r="U131" s="184">
        <f t="shared" ca="1" si="66"/>
        <v>2145</v>
      </c>
      <c r="V131" s="182">
        <f t="shared" si="49"/>
        <v>0.02</v>
      </c>
      <c r="W131" s="180">
        <f>Parameters!$D$12</f>
        <v>5.0000000000000001E-3</v>
      </c>
      <c r="X131" s="182">
        <f t="shared" si="50"/>
        <v>2.5000000000000001E-2</v>
      </c>
      <c r="Y131" s="182">
        <f t="shared" si="67"/>
        <v>22.628402408254829</v>
      </c>
      <c r="AA131" s="189"/>
      <c r="AB131" s="184">
        <f t="shared" ca="1" si="68"/>
        <v>2145</v>
      </c>
      <c r="AC131" s="171">
        <f t="shared" si="51"/>
        <v>11314.201204127414</v>
      </c>
      <c r="AD131" s="171">
        <f t="shared" si="47"/>
        <v>2720.9654518757648</v>
      </c>
      <c r="AE131" s="171">
        <f t="shared" si="78"/>
        <v>8394.7363212653509</v>
      </c>
      <c r="AF131" s="171">
        <f t="shared" si="69"/>
        <v>2720.9654518757648</v>
      </c>
      <c r="AG131" s="171">
        <f t="shared" si="80"/>
        <v>6094.84</v>
      </c>
      <c r="AH131" s="171">
        <f t="shared" si="52"/>
        <v>6094.84</v>
      </c>
      <c r="AI131" s="171">
        <f t="shared" si="53"/>
        <v>2720.9654518757648</v>
      </c>
      <c r="AJ131" s="171">
        <f>IF('Invoer gegevens'!$I$27="DAEB",SMALL(AC131:AD131,1),AC131)</f>
        <v>2720.9654518757648</v>
      </c>
      <c r="AK131" s="171">
        <f>IF('Invoer gegevens'!$I$27="DAEB",SMALL((AE131:AH131),1),SMALL((AF131:AH131),1))</f>
        <v>2720.9654518757648</v>
      </c>
      <c r="AL131" s="171">
        <f t="shared" si="75"/>
        <v>0</v>
      </c>
      <c r="AM131" s="171">
        <f t="shared" si="76"/>
        <v>0</v>
      </c>
      <c r="AN131" s="175">
        <f t="shared" si="71"/>
        <v>384230</v>
      </c>
      <c r="AP131" s="184">
        <f t="shared" ca="1" si="72"/>
        <v>2145</v>
      </c>
      <c r="AQ131" s="185">
        <f t="shared" si="54"/>
        <v>0.02</v>
      </c>
      <c r="AR131" s="182">
        <f t="shared" si="86"/>
        <v>12.177985266448083</v>
      </c>
      <c r="AU131" s="184">
        <f t="shared" ca="1" si="73"/>
        <v>2145</v>
      </c>
      <c r="AV131" s="182">
        <f t="shared" si="55"/>
        <v>0.02</v>
      </c>
      <c r="AW131" s="179">
        <f t="shared" si="56"/>
        <v>5.0000000000000001E-3</v>
      </c>
      <c r="AX131" s="182">
        <f t="shared" si="57"/>
        <v>2.5000000000000001E-2</v>
      </c>
      <c r="AY131" s="186"/>
      <c r="AZ131" s="190"/>
      <c r="BA131" s="184">
        <f t="shared" ca="1" si="74"/>
        <v>2145</v>
      </c>
      <c r="BB131" s="171">
        <f t="shared" si="58"/>
        <v>11314.27</v>
      </c>
      <c r="BC131" s="171">
        <f t="shared" si="48"/>
        <v>8394.7363212653509</v>
      </c>
      <c r="BD131" s="171">
        <f t="shared" si="84"/>
        <v>6094.84</v>
      </c>
      <c r="BE131" s="171">
        <f t="shared" si="84"/>
        <v>2720.9654518757648</v>
      </c>
      <c r="BF131" s="171">
        <f t="shared" si="84"/>
        <v>2720.9654518757648</v>
      </c>
      <c r="BG131" s="171">
        <f t="shared" si="84"/>
        <v>2720.9654518757648</v>
      </c>
      <c r="BI131" s="187">
        <f>IF(A131-'Invoer gegevens'!$C$17&lt;0,0,IF(A131-'Invoer gegevens'!$C$17=0,1,IF(A131-'Invoer gegevens'!$C$17&lt;5,2,IF(A131-'Invoer gegevens'!$C$17&lt;15,3,4))))</f>
        <v>0</v>
      </c>
      <c r="BJ131" s="229">
        <f>IF(BI131&lt;1,0,IF(BI131&lt;2,4%,IF(Reeksen!BI131&lt;3,4%,IF(Reeksen!BI131&lt;4,4%*70%,IF(Reeksen!BI131&lt;5,4%*50%)))))</f>
        <v>0</v>
      </c>
      <c r="BK131" s="243"/>
      <c r="BL131" s="243"/>
      <c r="BM131" s="243"/>
      <c r="BN131" s="243"/>
      <c r="BO131" s="243"/>
      <c r="BP131" s="243"/>
      <c r="BQ131" s="243"/>
      <c r="BR131" s="243"/>
    </row>
    <row r="132" spans="1:70" x14ac:dyDescent="0.25">
      <c r="A132" s="184">
        <f t="shared" si="59"/>
        <v>127</v>
      </c>
      <c r="B132" s="179">
        <f>Dashboard!$C$25</f>
        <v>0.05</v>
      </c>
      <c r="C132" s="179">
        <f>Dashboard!$C$25</f>
        <v>0.05</v>
      </c>
      <c r="D132" s="179">
        <f>Dashboard!$C$25</f>
        <v>0.05</v>
      </c>
      <c r="E132" s="189"/>
      <c r="F132" s="184">
        <f t="shared" ca="1" si="60"/>
        <v>2146</v>
      </c>
      <c r="G132" s="179">
        <f t="shared" si="81"/>
        <v>0.02</v>
      </c>
      <c r="H132" s="182">
        <f t="shared" si="61"/>
        <v>12.433614313085538</v>
      </c>
      <c r="I132" s="179">
        <f t="shared" si="82"/>
        <v>2.5000000000000001E-2</v>
      </c>
      <c r="J132" s="182">
        <f t="shared" si="62"/>
        <v>23.171272371864337</v>
      </c>
      <c r="K132" s="179">
        <f t="shared" si="83"/>
        <v>2.5000000000000001E-2</v>
      </c>
      <c r="L132" s="182">
        <f t="shared" si="63"/>
        <v>23.171272371864337</v>
      </c>
      <c r="M132" s="189"/>
      <c r="N132" s="184">
        <f t="shared" ca="1" si="64"/>
        <v>2146</v>
      </c>
      <c r="O132" s="179">
        <f t="shared" si="77"/>
        <v>0.02</v>
      </c>
      <c r="P132" s="182">
        <f t="shared" si="85"/>
        <v>12.421544971777045</v>
      </c>
      <c r="R132" s="184">
        <f t="shared" ca="1" si="65"/>
        <v>2146</v>
      </c>
      <c r="S132" s="188">
        <f t="shared" si="79"/>
        <v>5.3600000000000002E-3</v>
      </c>
      <c r="U132" s="184">
        <f t="shared" ca="1" si="66"/>
        <v>2146</v>
      </c>
      <c r="V132" s="182">
        <f t="shared" si="49"/>
        <v>0.02</v>
      </c>
      <c r="W132" s="180">
        <f>Parameters!$D$12</f>
        <v>5.0000000000000001E-3</v>
      </c>
      <c r="X132" s="182">
        <f t="shared" si="50"/>
        <v>2.5000000000000001E-2</v>
      </c>
      <c r="Y132" s="182">
        <f t="shared" si="67"/>
        <v>23.194112468461196</v>
      </c>
      <c r="AA132" s="189"/>
      <c r="AB132" s="184">
        <f t="shared" ca="1" si="68"/>
        <v>2146</v>
      </c>
      <c r="AC132" s="171">
        <f t="shared" si="51"/>
        <v>11597.056234230598</v>
      </c>
      <c r="AD132" s="171">
        <f t="shared" si="47"/>
        <v>2775.3847609132804</v>
      </c>
      <c r="AE132" s="171">
        <f t="shared" si="78"/>
        <v>8562.6310476906583</v>
      </c>
      <c r="AF132" s="171">
        <f t="shared" si="69"/>
        <v>2775.3847609132804</v>
      </c>
      <c r="AG132" s="171">
        <f t="shared" si="80"/>
        <v>6216.74</v>
      </c>
      <c r="AH132" s="171">
        <f t="shared" si="52"/>
        <v>6216.74</v>
      </c>
      <c r="AI132" s="171">
        <f t="shared" si="53"/>
        <v>2775.3847609132804</v>
      </c>
      <c r="AJ132" s="171">
        <f>IF('Invoer gegevens'!$I$27="DAEB",SMALL(AC132:AD132,1),AC132)</f>
        <v>2775.3847609132804</v>
      </c>
      <c r="AK132" s="171">
        <f>IF('Invoer gegevens'!$I$27="DAEB",SMALL((AE132:AH132),1),SMALL((AF132:AH132),1))</f>
        <v>2775.3847609132804</v>
      </c>
      <c r="AL132" s="171">
        <f t="shared" si="75"/>
        <v>0</v>
      </c>
      <c r="AM132" s="171">
        <f t="shared" si="76"/>
        <v>0</v>
      </c>
      <c r="AN132" s="175">
        <f t="shared" si="71"/>
        <v>391915</v>
      </c>
      <c r="AP132" s="184">
        <f t="shared" ca="1" si="72"/>
        <v>2146</v>
      </c>
      <c r="AQ132" s="185">
        <f t="shared" si="54"/>
        <v>0.02</v>
      </c>
      <c r="AR132" s="182">
        <f t="shared" si="86"/>
        <v>12.421544971777045</v>
      </c>
      <c r="AU132" s="184">
        <f t="shared" ca="1" si="73"/>
        <v>2146</v>
      </c>
      <c r="AV132" s="182">
        <f t="shared" si="55"/>
        <v>0.02</v>
      </c>
      <c r="AW132" s="179">
        <f t="shared" si="56"/>
        <v>5.0000000000000001E-3</v>
      </c>
      <c r="AX132" s="182">
        <f t="shared" si="57"/>
        <v>2.5000000000000001E-2</v>
      </c>
      <c r="AY132" s="186"/>
      <c r="AZ132" s="190"/>
      <c r="BA132" s="184">
        <f t="shared" ca="1" si="74"/>
        <v>2146</v>
      </c>
      <c r="BB132" s="171">
        <f t="shared" si="58"/>
        <v>11597.13</v>
      </c>
      <c r="BC132" s="171">
        <f t="shared" si="48"/>
        <v>8562.6310476906583</v>
      </c>
      <c r="BD132" s="171">
        <f t="shared" si="84"/>
        <v>6216.74</v>
      </c>
      <c r="BE132" s="171">
        <f t="shared" si="84"/>
        <v>2775.3847609132804</v>
      </c>
      <c r="BF132" s="171">
        <f t="shared" si="84"/>
        <v>2775.3847609132804</v>
      </c>
      <c r="BG132" s="171">
        <f t="shared" si="84"/>
        <v>2775.3847609132804</v>
      </c>
      <c r="BI132" s="187">
        <f>IF(A132-'Invoer gegevens'!$C$17&lt;0,0,IF(A132-'Invoer gegevens'!$C$17=0,1,IF(A132-'Invoer gegevens'!$C$17&lt;5,2,IF(A132-'Invoer gegevens'!$C$17&lt;15,3,4))))</f>
        <v>0</v>
      </c>
      <c r="BJ132" s="229">
        <f>IF(BI132&lt;1,0,IF(BI132&lt;2,4%,IF(Reeksen!BI132&lt;3,4%,IF(Reeksen!BI132&lt;4,4%*70%,IF(Reeksen!BI132&lt;5,4%*50%)))))</f>
        <v>0</v>
      </c>
      <c r="BK132" s="243"/>
      <c r="BL132" s="243"/>
      <c r="BM132" s="243"/>
      <c r="BN132" s="243"/>
      <c r="BO132" s="243"/>
      <c r="BP132" s="243"/>
      <c r="BQ132" s="243"/>
      <c r="BR132" s="243"/>
    </row>
    <row r="133" spans="1:70" x14ac:dyDescent="0.25">
      <c r="A133" s="184">
        <f t="shared" si="59"/>
        <v>128</v>
      </c>
      <c r="B133" s="179">
        <f>Dashboard!$C$25</f>
        <v>0.05</v>
      </c>
      <c r="C133" s="179">
        <f>Dashboard!$C$25</f>
        <v>0.05</v>
      </c>
      <c r="D133" s="179">
        <f>Dashboard!$C$25</f>
        <v>0.05</v>
      </c>
      <c r="E133" s="189"/>
      <c r="F133" s="184">
        <f t="shared" ca="1" si="60"/>
        <v>2147</v>
      </c>
      <c r="G133" s="179">
        <f t="shared" si="81"/>
        <v>0.02</v>
      </c>
      <c r="H133" s="182">
        <f t="shared" si="61"/>
        <v>12.682286599347249</v>
      </c>
      <c r="I133" s="179">
        <f t="shared" si="82"/>
        <v>2.5000000000000001E-2</v>
      </c>
      <c r="J133" s="182">
        <f t="shared" si="62"/>
        <v>23.750554181160943</v>
      </c>
      <c r="K133" s="179">
        <f t="shared" si="83"/>
        <v>2.5000000000000001E-2</v>
      </c>
      <c r="L133" s="182">
        <f t="shared" si="63"/>
        <v>23.750554181160943</v>
      </c>
      <c r="M133" s="189"/>
      <c r="N133" s="184">
        <f t="shared" ca="1" si="64"/>
        <v>2147</v>
      </c>
      <c r="O133" s="179">
        <f t="shared" si="77"/>
        <v>0.02</v>
      </c>
      <c r="P133" s="182">
        <f t="shared" si="85"/>
        <v>12.669975871212587</v>
      </c>
      <c r="R133" s="184">
        <f t="shared" ca="1" si="65"/>
        <v>2147</v>
      </c>
      <c r="S133" s="188">
        <f t="shared" si="79"/>
        <v>5.3600000000000002E-3</v>
      </c>
      <c r="U133" s="184">
        <f t="shared" ca="1" si="66"/>
        <v>2147</v>
      </c>
      <c r="V133" s="182">
        <f t="shared" si="49"/>
        <v>0.02</v>
      </c>
      <c r="W133" s="180">
        <f>Parameters!$D$12</f>
        <v>5.0000000000000001E-3</v>
      </c>
      <c r="X133" s="182">
        <f t="shared" si="50"/>
        <v>2.5000000000000001E-2</v>
      </c>
      <c r="Y133" s="182">
        <f t="shared" si="67"/>
        <v>23.773965280172725</v>
      </c>
      <c r="AA133" s="189"/>
      <c r="AB133" s="184">
        <f t="shared" ca="1" si="68"/>
        <v>2147</v>
      </c>
      <c r="AC133" s="171">
        <f t="shared" si="51"/>
        <v>11886.982640086362</v>
      </c>
      <c r="AD133" s="171">
        <f t="shared" ref="AD133:AD196" si="87">IF(AG133&lt;AE133,MIN(AF133,AG133),AF133)</f>
        <v>2830.8924561315457</v>
      </c>
      <c r="AE133" s="171">
        <f t="shared" si="78"/>
        <v>8733.883668644472</v>
      </c>
      <c r="AF133" s="171">
        <f t="shared" si="69"/>
        <v>2830.8924561315457</v>
      </c>
      <c r="AG133" s="171">
        <f t="shared" si="80"/>
        <v>6341.07</v>
      </c>
      <c r="AH133" s="171">
        <f t="shared" si="52"/>
        <v>6341.07</v>
      </c>
      <c r="AI133" s="171">
        <f t="shared" si="53"/>
        <v>2830.8924561315457</v>
      </c>
      <c r="AJ133" s="171">
        <f>IF('Invoer gegevens'!$I$27="DAEB",SMALL(AC133:AD133,1),AC133)</f>
        <v>2830.8924561315457</v>
      </c>
      <c r="AK133" s="171">
        <f>IF('Invoer gegevens'!$I$27="DAEB",SMALL((AE133:AH133),1),SMALL((AF133:AH133),1))</f>
        <v>2830.8924561315457</v>
      </c>
      <c r="AL133" s="171">
        <f t="shared" si="75"/>
        <v>0</v>
      </c>
      <c r="AM133" s="171">
        <f t="shared" si="76"/>
        <v>0</v>
      </c>
      <c r="AN133" s="175">
        <f t="shared" si="71"/>
        <v>399753</v>
      </c>
      <c r="AP133" s="184">
        <f t="shared" ca="1" si="72"/>
        <v>2147</v>
      </c>
      <c r="AQ133" s="185">
        <f t="shared" si="54"/>
        <v>0.02</v>
      </c>
      <c r="AR133" s="182">
        <f t="shared" si="86"/>
        <v>12.669975871212587</v>
      </c>
      <c r="AU133" s="184">
        <f t="shared" ca="1" si="73"/>
        <v>2147</v>
      </c>
      <c r="AV133" s="182">
        <f t="shared" si="55"/>
        <v>0.02</v>
      </c>
      <c r="AW133" s="179">
        <f t="shared" si="56"/>
        <v>5.0000000000000001E-3</v>
      </c>
      <c r="AX133" s="182">
        <f t="shared" si="57"/>
        <v>2.5000000000000001E-2</v>
      </c>
      <c r="AY133" s="186"/>
      <c r="AZ133" s="190"/>
      <c r="BA133" s="184">
        <f t="shared" ca="1" si="74"/>
        <v>2147</v>
      </c>
      <c r="BB133" s="171">
        <f t="shared" si="58"/>
        <v>11887.06</v>
      </c>
      <c r="BC133" s="171">
        <f t="shared" ref="BC133:BC196" si="88">AE133</f>
        <v>8733.883668644472</v>
      </c>
      <c r="BD133" s="171">
        <f t="shared" si="84"/>
        <v>6341.07</v>
      </c>
      <c r="BE133" s="171">
        <f t="shared" si="84"/>
        <v>2830.8924561315457</v>
      </c>
      <c r="BF133" s="171">
        <f t="shared" si="84"/>
        <v>2830.8924561315457</v>
      </c>
      <c r="BG133" s="171">
        <f t="shared" si="84"/>
        <v>2830.8924561315457</v>
      </c>
      <c r="BI133" s="187">
        <f>IF(A133-'Invoer gegevens'!$C$17&lt;0,0,IF(A133-'Invoer gegevens'!$C$17=0,1,IF(A133-'Invoer gegevens'!$C$17&lt;5,2,IF(A133-'Invoer gegevens'!$C$17&lt;15,3,4))))</f>
        <v>0</v>
      </c>
      <c r="BJ133" s="229">
        <f>IF(BI133&lt;1,0,IF(BI133&lt;2,4%,IF(Reeksen!BI133&lt;3,4%,IF(Reeksen!BI133&lt;4,4%*70%,IF(Reeksen!BI133&lt;5,4%*50%)))))</f>
        <v>0</v>
      </c>
      <c r="BK133" s="243"/>
      <c r="BL133" s="243"/>
      <c r="BM133" s="243"/>
      <c r="BN133" s="243"/>
      <c r="BO133" s="243"/>
      <c r="BP133" s="243"/>
      <c r="BQ133" s="243"/>
      <c r="BR133" s="243"/>
    </row>
    <row r="134" spans="1:70" x14ac:dyDescent="0.25">
      <c r="A134" s="184">
        <f t="shared" si="59"/>
        <v>129</v>
      </c>
      <c r="B134" s="179">
        <f>Dashboard!$C$25</f>
        <v>0.05</v>
      </c>
      <c r="C134" s="179">
        <f>Dashboard!$C$25</f>
        <v>0.05</v>
      </c>
      <c r="D134" s="179">
        <f>Dashboard!$C$25</f>
        <v>0.05</v>
      </c>
      <c r="E134" s="189"/>
      <c r="F134" s="184">
        <f t="shared" ca="1" si="60"/>
        <v>2148</v>
      </c>
      <c r="G134" s="179">
        <f t="shared" si="81"/>
        <v>0.02</v>
      </c>
      <c r="H134" s="182">
        <f t="shared" si="61"/>
        <v>12.935932331334193</v>
      </c>
      <c r="I134" s="179">
        <f t="shared" si="82"/>
        <v>2.5000000000000001E-2</v>
      </c>
      <c r="J134" s="182">
        <f t="shared" si="62"/>
        <v>24.344318035689966</v>
      </c>
      <c r="K134" s="179">
        <f t="shared" si="83"/>
        <v>2.5000000000000001E-2</v>
      </c>
      <c r="L134" s="182">
        <f t="shared" si="63"/>
        <v>24.344318035689966</v>
      </c>
      <c r="M134" s="189"/>
      <c r="N134" s="184">
        <f t="shared" ca="1" si="64"/>
        <v>2148</v>
      </c>
      <c r="O134" s="179">
        <f t="shared" si="77"/>
        <v>0.02</v>
      </c>
      <c r="P134" s="182">
        <f t="shared" si="85"/>
        <v>12.92337538863684</v>
      </c>
      <c r="R134" s="184">
        <f t="shared" ca="1" si="65"/>
        <v>2148</v>
      </c>
      <c r="S134" s="188">
        <f t="shared" si="79"/>
        <v>5.3600000000000002E-3</v>
      </c>
      <c r="U134" s="184">
        <f t="shared" ca="1" si="66"/>
        <v>2148</v>
      </c>
      <c r="V134" s="182">
        <f t="shared" ref="V134:V197" si="89">G134</f>
        <v>0.02</v>
      </c>
      <c r="W134" s="180">
        <f>Parameters!$D$12</f>
        <v>5.0000000000000001E-3</v>
      </c>
      <c r="X134" s="182">
        <f t="shared" ref="X134:X197" si="90">V134+W134</f>
        <v>2.5000000000000001E-2</v>
      </c>
      <c r="Y134" s="182">
        <f t="shared" si="67"/>
        <v>24.368314412177039</v>
      </c>
      <c r="AA134" s="189"/>
      <c r="AB134" s="184">
        <f t="shared" ca="1" si="68"/>
        <v>2148</v>
      </c>
      <c r="AC134" s="171">
        <f t="shared" ref="AC134:AC197" si="91">$AC$4*Y134</f>
        <v>12184.157206088519</v>
      </c>
      <c r="AD134" s="171">
        <f t="shared" si="87"/>
        <v>2887.5103052541763</v>
      </c>
      <c r="AE134" s="171">
        <f t="shared" si="78"/>
        <v>8908.5613420173613</v>
      </c>
      <c r="AF134" s="171">
        <f t="shared" si="69"/>
        <v>2887.5103052541763</v>
      </c>
      <c r="AG134" s="171">
        <f t="shared" si="80"/>
        <v>6467.89</v>
      </c>
      <c r="AH134" s="171">
        <f t="shared" ref="AH134:AH197" si="92">ROUND($AH133*(1+V134)^1,2)</f>
        <v>6467.89</v>
      </c>
      <c r="AI134" s="171">
        <f t="shared" ref="AI134:AI197" si="93">SMALL(AC134:AD134,1)</f>
        <v>2887.5103052541763</v>
      </c>
      <c r="AJ134" s="171">
        <f>IF('Invoer gegevens'!$I$27="DAEB",SMALL(AC134:AD134,1),AC134)</f>
        <v>2887.5103052541763</v>
      </c>
      <c r="AK134" s="171">
        <f>IF('Invoer gegevens'!$I$27="DAEB",SMALL((AE134:AH134),1),SMALL((AF134:AH134),1))</f>
        <v>2887.5103052541763</v>
      </c>
      <c r="AL134" s="171">
        <f t="shared" si="75"/>
        <v>0</v>
      </c>
      <c r="AM134" s="171">
        <f t="shared" si="76"/>
        <v>0</v>
      </c>
      <c r="AN134" s="175">
        <f t="shared" si="71"/>
        <v>407748</v>
      </c>
      <c r="AP134" s="184">
        <f t="shared" ca="1" si="72"/>
        <v>2148</v>
      </c>
      <c r="AQ134" s="185">
        <f t="shared" ref="AQ134:AQ197" si="94">O134</f>
        <v>0.02</v>
      </c>
      <c r="AR134" s="182">
        <f t="shared" si="86"/>
        <v>12.92337538863684</v>
      </c>
      <c r="AU134" s="184">
        <f t="shared" ca="1" si="73"/>
        <v>2148</v>
      </c>
      <c r="AV134" s="182">
        <f t="shared" ref="AV134:AV197" si="95">G134</f>
        <v>0.02</v>
      </c>
      <c r="AW134" s="179">
        <f t="shared" ref="AW134:AW197" si="96">W134</f>
        <v>5.0000000000000001E-3</v>
      </c>
      <c r="AX134" s="182">
        <f t="shared" ref="AX134:AX197" si="97">AV134+AW134</f>
        <v>2.5000000000000001E-2</v>
      </c>
      <c r="AY134" s="186"/>
      <c r="AZ134" s="190"/>
      <c r="BA134" s="184">
        <f t="shared" ca="1" si="74"/>
        <v>2148</v>
      </c>
      <c r="BB134" s="171">
        <f t="shared" ref="BB134:BB197" si="98">ROUND($BB133*(1+AX134)^1,2)</f>
        <v>12184.24</v>
      </c>
      <c r="BC134" s="171">
        <f t="shared" si="88"/>
        <v>8908.5613420173613</v>
      </c>
      <c r="BD134" s="171">
        <f t="shared" si="84"/>
        <v>6467.89</v>
      </c>
      <c r="BE134" s="171">
        <f t="shared" si="84"/>
        <v>2887.5103052541763</v>
      </c>
      <c r="BF134" s="171">
        <f t="shared" si="84"/>
        <v>2887.5103052541763</v>
      </c>
      <c r="BG134" s="171">
        <f t="shared" si="84"/>
        <v>2887.5103052541763</v>
      </c>
      <c r="BI134" s="187">
        <f>IF(A134-'Invoer gegevens'!$C$17&lt;0,0,IF(A134-'Invoer gegevens'!$C$17=0,1,IF(A134-'Invoer gegevens'!$C$17&lt;5,2,IF(A134-'Invoer gegevens'!$C$17&lt;15,3,4))))</f>
        <v>0</v>
      </c>
      <c r="BJ134" s="229">
        <f>IF(BI134&lt;1,0,IF(BI134&lt;2,4%,IF(Reeksen!BI134&lt;3,4%,IF(Reeksen!BI134&lt;4,4%*70%,IF(Reeksen!BI134&lt;5,4%*50%)))))</f>
        <v>0</v>
      </c>
      <c r="BK134" s="243"/>
      <c r="BL134" s="243"/>
      <c r="BM134" s="243"/>
      <c r="BN134" s="243"/>
      <c r="BO134" s="243"/>
      <c r="BP134" s="243"/>
      <c r="BQ134" s="243"/>
      <c r="BR134" s="243"/>
    </row>
    <row r="135" spans="1:70" x14ac:dyDescent="0.25">
      <c r="A135" s="184">
        <f t="shared" ref="A135:A198" si="99">A134+1</f>
        <v>130</v>
      </c>
      <c r="B135" s="179">
        <f>Dashboard!$C$25</f>
        <v>0.05</v>
      </c>
      <c r="C135" s="179">
        <f>Dashboard!$C$25</f>
        <v>0.05</v>
      </c>
      <c r="D135" s="179">
        <f>Dashboard!$C$25</f>
        <v>0.05</v>
      </c>
      <c r="E135" s="189"/>
      <c r="F135" s="184">
        <f t="shared" ref="F135:F198" ca="1" si="100">F134+1</f>
        <v>2149</v>
      </c>
      <c r="G135" s="179">
        <f t="shared" si="81"/>
        <v>0.02</v>
      </c>
      <c r="H135" s="182">
        <f t="shared" ref="H135:H198" si="101">H134*(1+G135)</f>
        <v>13.194650977960878</v>
      </c>
      <c r="I135" s="179">
        <f t="shared" si="82"/>
        <v>2.5000000000000001E-2</v>
      </c>
      <c r="J135" s="182">
        <f t="shared" ref="J135:J198" si="102">J134*(1+I135)</f>
        <v>24.952925986582212</v>
      </c>
      <c r="K135" s="179">
        <f t="shared" si="83"/>
        <v>2.5000000000000001E-2</v>
      </c>
      <c r="L135" s="182">
        <f t="shared" ref="L135:L198" si="103">L134*(1+K135)</f>
        <v>24.952925986582212</v>
      </c>
      <c r="M135" s="189"/>
      <c r="N135" s="184">
        <f t="shared" ref="N135:N198" ca="1" si="104">N134+1</f>
        <v>2149</v>
      </c>
      <c r="O135" s="179">
        <f t="shared" si="77"/>
        <v>0.02</v>
      </c>
      <c r="P135" s="182">
        <f t="shared" si="85"/>
        <v>13.181842896409577</v>
      </c>
      <c r="R135" s="184">
        <f t="shared" ref="R135:R198" ca="1" si="105">R134+1</f>
        <v>2149</v>
      </c>
      <c r="S135" s="188">
        <f t="shared" si="79"/>
        <v>5.3600000000000002E-3</v>
      </c>
      <c r="U135" s="184">
        <f t="shared" ref="U135:U198" ca="1" si="106">+U134+1</f>
        <v>2149</v>
      </c>
      <c r="V135" s="182">
        <f t="shared" si="89"/>
        <v>0.02</v>
      </c>
      <c r="W135" s="180">
        <f>Parameters!$D$12</f>
        <v>5.0000000000000001E-3</v>
      </c>
      <c r="X135" s="182">
        <f t="shared" si="90"/>
        <v>2.5000000000000001E-2</v>
      </c>
      <c r="Y135" s="182">
        <f t="shared" ref="Y135:Y198" si="107">Y134*(1+X135)</f>
        <v>24.977522272481462</v>
      </c>
      <c r="AA135" s="189"/>
      <c r="AB135" s="184">
        <f t="shared" ref="AB135:AB198" ca="1" si="108">AB134+1</f>
        <v>2149</v>
      </c>
      <c r="AC135" s="171">
        <f t="shared" si="91"/>
        <v>12488.761136240732</v>
      </c>
      <c r="AD135" s="171">
        <f t="shared" si="87"/>
        <v>2945.2605113592604</v>
      </c>
      <c r="AE135" s="171">
        <f t="shared" si="78"/>
        <v>9086.7325688577093</v>
      </c>
      <c r="AF135" s="171">
        <f t="shared" ref="AF135:AF198" si="109">$AF$4*H135</f>
        <v>2945.2605113592604</v>
      </c>
      <c r="AG135" s="171">
        <f t="shared" si="80"/>
        <v>6597.25</v>
      </c>
      <c r="AH135" s="171">
        <f t="shared" si="92"/>
        <v>6597.25</v>
      </c>
      <c r="AI135" s="171">
        <f t="shared" si="93"/>
        <v>2945.2605113592604</v>
      </c>
      <c r="AJ135" s="171">
        <f>IF('Invoer gegevens'!$I$27="DAEB",SMALL(AC135:AD135,1),AC135)</f>
        <v>2945.2605113592604</v>
      </c>
      <c r="AK135" s="171">
        <f>IF('Invoer gegevens'!$I$27="DAEB",SMALL((AE135:AH135),1),SMALL((AF135:AH135),1))</f>
        <v>2945.2605113592604</v>
      </c>
      <c r="AL135" s="171">
        <f t="shared" si="75"/>
        <v>0</v>
      </c>
      <c r="AM135" s="171">
        <f t="shared" si="76"/>
        <v>0</v>
      </c>
      <c r="AN135" s="175">
        <f t="shared" ref="AN135:AN198" si="110">ROUND($AN134*(1+O135)^1,0)</f>
        <v>415903</v>
      </c>
      <c r="AP135" s="184">
        <f t="shared" ref="AP135:AP198" ca="1" si="111">AP134+1</f>
        <v>2149</v>
      </c>
      <c r="AQ135" s="185">
        <f t="shared" si="94"/>
        <v>0.02</v>
      </c>
      <c r="AR135" s="182">
        <f t="shared" si="86"/>
        <v>13.181842896409577</v>
      </c>
      <c r="AU135" s="184">
        <f t="shared" ref="AU135:AU198" ca="1" si="112">+AU134+1</f>
        <v>2149</v>
      </c>
      <c r="AV135" s="182">
        <f t="shared" si="95"/>
        <v>0.02</v>
      </c>
      <c r="AW135" s="179">
        <f t="shared" si="96"/>
        <v>5.0000000000000001E-3</v>
      </c>
      <c r="AX135" s="182">
        <f t="shared" si="97"/>
        <v>2.5000000000000001E-2</v>
      </c>
      <c r="AY135" s="186"/>
      <c r="AZ135" s="190"/>
      <c r="BA135" s="184">
        <f t="shared" ref="BA135:BA198" ca="1" si="113">BA134+1</f>
        <v>2149</v>
      </c>
      <c r="BB135" s="171">
        <f t="shared" si="98"/>
        <v>12488.85</v>
      </c>
      <c r="BC135" s="171">
        <f t="shared" si="88"/>
        <v>9086.7325688577093</v>
      </c>
      <c r="BD135" s="171">
        <f t="shared" si="84"/>
        <v>6597.25</v>
      </c>
      <c r="BE135" s="171">
        <f t="shared" si="84"/>
        <v>2945.2605113592604</v>
      </c>
      <c r="BF135" s="171">
        <f t="shared" si="84"/>
        <v>2945.2605113592604</v>
      </c>
      <c r="BG135" s="171">
        <f t="shared" si="84"/>
        <v>2945.2605113592604</v>
      </c>
      <c r="BI135" s="187">
        <f>IF(A135-'Invoer gegevens'!$C$17&lt;0,0,IF(A135-'Invoer gegevens'!$C$17=0,1,IF(A135-'Invoer gegevens'!$C$17&lt;5,2,IF(A135-'Invoer gegevens'!$C$17&lt;15,3,4))))</f>
        <v>0</v>
      </c>
      <c r="BJ135" s="229">
        <f>IF(BI135&lt;1,0,IF(BI135&lt;2,4%,IF(Reeksen!BI135&lt;3,4%,IF(Reeksen!BI135&lt;4,4%*70%,IF(Reeksen!BI135&lt;5,4%*50%)))))</f>
        <v>0</v>
      </c>
      <c r="BK135" s="243"/>
      <c r="BL135" s="243"/>
      <c r="BM135" s="243"/>
      <c r="BN135" s="243"/>
      <c r="BO135" s="243"/>
      <c r="BP135" s="243"/>
      <c r="BQ135" s="243"/>
      <c r="BR135" s="243"/>
    </row>
    <row r="136" spans="1:70" x14ac:dyDescent="0.25">
      <c r="A136" s="184">
        <f t="shared" si="99"/>
        <v>131</v>
      </c>
      <c r="B136" s="179">
        <f>Dashboard!$C$25</f>
        <v>0.05</v>
      </c>
      <c r="C136" s="179">
        <f>Dashboard!$C$25</f>
        <v>0.05</v>
      </c>
      <c r="D136" s="179">
        <f>Dashboard!$C$25</f>
        <v>0.05</v>
      </c>
      <c r="E136" s="189"/>
      <c r="F136" s="184">
        <f t="shared" ca="1" si="100"/>
        <v>2150</v>
      </c>
      <c r="G136" s="179">
        <f t="shared" si="81"/>
        <v>0.02</v>
      </c>
      <c r="H136" s="182">
        <f t="shared" si="101"/>
        <v>13.458543997520096</v>
      </c>
      <c r="I136" s="179">
        <f t="shared" si="82"/>
        <v>2.5000000000000001E-2</v>
      </c>
      <c r="J136" s="182">
        <f t="shared" si="102"/>
        <v>25.576749136246764</v>
      </c>
      <c r="K136" s="179">
        <f t="shared" si="83"/>
        <v>2.5000000000000001E-2</v>
      </c>
      <c r="L136" s="182">
        <f t="shared" si="103"/>
        <v>25.576749136246764</v>
      </c>
      <c r="M136" s="189"/>
      <c r="N136" s="184">
        <f t="shared" ca="1" si="104"/>
        <v>2150</v>
      </c>
      <c r="O136" s="179">
        <f t="shared" si="77"/>
        <v>0.02</v>
      </c>
      <c r="P136" s="182">
        <f t="shared" si="85"/>
        <v>13.44547975433777</v>
      </c>
      <c r="R136" s="184">
        <f t="shared" ca="1" si="105"/>
        <v>2150</v>
      </c>
      <c r="S136" s="188">
        <f t="shared" si="79"/>
        <v>5.3600000000000002E-3</v>
      </c>
      <c r="U136" s="184">
        <f t="shared" ca="1" si="106"/>
        <v>2150</v>
      </c>
      <c r="V136" s="182">
        <f t="shared" si="89"/>
        <v>0.02</v>
      </c>
      <c r="W136" s="180">
        <f>Parameters!$D$12</f>
        <v>5.0000000000000001E-3</v>
      </c>
      <c r="X136" s="182">
        <f t="shared" si="90"/>
        <v>2.5000000000000001E-2</v>
      </c>
      <c r="Y136" s="182">
        <f t="shared" si="107"/>
        <v>25.601960329293497</v>
      </c>
      <c r="AA136" s="189"/>
      <c r="AB136" s="184">
        <f t="shared" ca="1" si="108"/>
        <v>2150</v>
      </c>
      <c r="AC136" s="171">
        <f t="shared" si="91"/>
        <v>12800.980164646749</v>
      </c>
      <c r="AD136" s="171">
        <f t="shared" si="87"/>
        <v>3004.1657215864457</v>
      </c>
      <c r="AE136" s="171">
        <f t="shared" si="78"/>
        <v>9268.4672202348629</v>
      </c>
      <c r="AF136" s="171">
        <f t="shared" si="109"/>
        <v>3004.1657215864457</v>
      </c>
      <c r="AG136" s="171">
        <f t="shared" si="80"/>
        <v>6729.2</v>
      </c>
      <c r="AH136" s="171">
        <f t="shared" si="92"/>
        <v>6729.2</v>
      </c>
      <c r="AI136" s="171">
        <f t="shared" si="93"/>
        <v>3004.1657215864457</v>
      </c>
      <c r="AJ136" s="171">
        <f>IF('Invoer gegevens'!$I$27="DAEB",SMALL(AC136:AD136,1),AC136)</f>
        <v>3004.1657215864457</v>
      </c>
      <c r="AK136" s="171">
        <f>IF('Invoer gegevens'!$I$27="DAEB",SMALL((AE136:AH136),1),SMALL((AF136:AH136),1))</f>
        <v>3004.1657215864457</v>
      </c>
      <c r="AL136" s="171">
        <f t="shared" ref="AL136:AL199" si="114">ROUND($AL135*(1+V136)^1,2)</f>
        <v>0</v>
      </c>
      <c r="AM136" s="171">
        <f t="shared" ref="AM136:AM199" si="115">ROUND($AM135*(1+V136)^1,2)</f>
        <v>0</v>
      </c>
      <c r="AN136" s="175">
        <f t="shared" si="110"/>
        <v>424221</v>
      </c>
      <c r="AP136" s="184">
        <f t="shared" ca="1" si="111"/>
        <v>2150</v>
      </c>
      <c r="AQ136" s="185">
        <f t="shared" si="94"/>
        <v>0.02</v>
      </c>
      <c r="AR136" s="182">
        <f t="shared" si="86"/>
        <v>13.44547975433777</v>
      </c>
      <c r="AU136" s="184">
        <f t="shared" ca="1" si="112"/>
        <v>2150</v>
      </c>
      <c r="AV136" s="182">
        <f t="shared" si="95"/>
        <v>0.02</v>
      </c>
      <c r="AW136" s="179">
        <f t="shared" si="96"/>
        <v>5.0000000000000001E-3</v>
      </c>
      <c r="AX136" s="182">
        <f t="shared" si="97"/>
        <v>2.5000000000000001E-2</v>
      </c>
      <c r="AY136" s="186"/>
      <c r="AZ136" s="190"/>
      <c r="BA136" s="184">
        <f t="shared" ca="1" si="113"/>
        <v>2150</v>
      </c>
      <c r="BB136" s="171">
        <f t="shared" si="98"/>
        <v>12801.07</v>
      </c>
      <c r="BC136" s="171">
        <f t="shared" si="88"/>
        <v>9268.4672202348629</v>
      </c>
      <c r="BD136" s="171">
        <f t="shared" si="84"/>
        <v>6729.2</v>
      </c>
      <c r="BE136" s="171">
        <f t="shared" si="84"/>
        <v>3004.1657215864457</v>
      </c>
      <c r="BF136" s="171">
        <f t="shared" si="84"/>
        <v>3004.1657215864457</v>
      </c>
      <c r="BG136" s="171">
        <f t="shared" si="84"/>
        <v>3004.1657215864457</v>
      </c>
      <c r="BI136" s="187">
        <f>IF(A136-'Invoer gegevens'!$C$17&lt;0,0,IF(A136-'Invoer gegevens'!$C$17=0,1,IF(A136-'Invoer gegevens'!$C$17&lt;5,2,IF(A136-'Invoer gegevens'!$C$17&lt;15,3,4))))</f>
        <v>0</v>
      </c>
      <c r="BJ136" s="229">
        <f>IF(BI136&lt;1,0,IF(BI136&lt;2,4%,IF(Reeksen!BI136&lt;3,4%,IF(Reeksen!BI136&lt;4,4%*70%,IF(Reeksen!BI136&lt;5,4%*50%)))))</f>
        <v>0</v>
      </c>
      <c r="BK136" s="243"/>
      <c r="BL136" s="243"/>
      <c r="BM136" s="243"/>
      <c r="BN136" s="243"/>
      <c r="BO136" s="243"/>
      <c r="BP136" s="243"/>
      <c r="BQ136" s="243"/>
      <c r="BR136" s="243"/>
    </row>
    <row r="137" spans="1:70" x14ac:dyDescent="0.25">
      <c r="A137" s="184">
        <f t="shared" si="99"/>
        <v>132</v>
      </c>
      <c r="B137" s="179">
        <f>Dashboard!$C$25</f>
        <v>0.05</v>
      </c>
      <c r="C137" s="179">
        <f>Dashboard!$C$25</f>
        <v>0.05</v>
      </c>
      <c r="D137" s="179">
        <f>Dashboard!$C$25</f>
        <v>0.05</v>
      </c>
      <c r="E137" s="189"/>
      <c r="F137" s="184">
        <f t="shared" ca="1" si="100"/>
        <v>2151</v>
      </c>
      <c r="G137" s="179">
        <f t="shared" si="81"/>
        <v>0.02</v>
      </c>
      <c r="H137" s="182">
        <f t="shared" si="101"/>
        <v>13.727714877470497</v>
      </c>
      <c r="I137" s="179">
        <f t="shared" si="82"/>
        <v>2.5000000000000001E-2</v>
      </c>
      <c r="J137" s="182">
        <f t="shared" si="102"/>
        <v>26.216167864652931</v>
      </c>
      <c r="K137" s="179">
        <f t="shared" si="83"/>
        <v>2.5000000000000001E-2</v>
      </c>
      <c r="L137" s="182">
        <f t="shared" si="103"/>
        <v>26.216167864652931</v>
      </c>
      <c r="M137" s="189"/>
      <c r="N137" s="184">
        <f t="shared" ca="1" si="104"/>
        <v>2151</v>
      </c>
      <c r="O137" s="179">
        <f t="shared" ref="O137:O200" si="116">O136</f>
        <v>0.02</v>
      </c>
      <c r="P137" s="182">
        <f t="shared" si="85"/>
        <v>13.714389349424525</v>
      </c>
      <c r="R137" s="184">
        <f t="shared" ca="1" si="105"/>
        <v>2151</v>
      </c>
      <c r="S137" s="188">
        <f t="shared" si="79"/>
        <v>5.3600000000000002E-3</v>
      </c>
      <c r="U137" s="184">
        <f t="shared" ca="1" si="106"/>
        <v>2151</v>
      </c>
      <c r="V137" s="182">
        <f t="shared" si="89"/>
        <v>0.02</v>
      </c>
      <c r="W137" s="180">
        <f>Parameters!$D$12</f>
        <v>5.0000000000000001E-3</v>
      </c>
      <c r="X137" s="182">
        <f t="shared" si="90"/>
        <v>2.5000000000000001E-2</v>
      </c>
      <c r="Y137" s="182">
        <f t="shared" si="107"/>
        <v>26.242009337525833</v>
      </c>
      <c r="AA137" s="189"/>
      <c r="AB137" s="184">
        <f t="shared" ca="1" si="108"/>
        <v>2151</v>
      </c>
      <c r="AC137" s="171">
        <f t="shared" si="91"/>
        <v>13121.004668762916</v>
      </c>
      <c r="AD137" s="171">
        <f t="shared" si="87"/>
        <v>3064.2490360181741</v>
      </c>
      <c r="AE137" s="171">
        <f t="shared" si="78"/>
        <v>9453.8365646395596</v>
      </c>
      <c r="AF137" s="171">
        <f t="shared" si="109"/>
        <v>3064.2490360181741</v>
      </c>
      <c r="AG137" s="171">
        <f t="shared" si="80"/>
        <v>6863.78</v>
      </c>
      <c r="AH137" s="171">
        <f t="shared" si="92"/>
        <v>6863.78</v>
      </c>
      <c r="AI137" s="171">
        <f t="shared" si="93"/>
        <v>3064.2490360181741</v>
      </c>
      <c r="AJ137" s="171">
        <f>IF('Invoer gegevens'!$I$27="DAEB",SMALL(AC137:AD137,1),AC137)</f>
        <v>3064.2490360181741</v>
      </c>
      <c r="AK137" s="171">
        <f>IF('Invoer gegevens'!$I$27="DAEB",SMALL((AE137:AH137),1),SMALL((AF137:AH137),1))</f>
        <v>3064.2490360181741</v>
      </c>
      <c r="AL137" s="171">
        <f t="shared" si="114"/>
        <v>0</v>
      </c>
      <c r="AM137" s="171">
        <f t="shared" si="115"/>
        <v>0</v>
      </c>
      <c r="AN137" s="175">
        <f t="shared" si="110"/>
        <v>432705</v>
      </c>
      <c r="AP137" s="184">
        <f t="shared" ca="1" si="111"/>
        <v>2151</v>
      </c>
      <c r="AQ137" s="185">
        <f t="shared" si="94"/>
        <v>0.02</v>
      </c>
      <c r="AR137" s="182">
        <f t="shared" si="86"/>
        <v>13.714389349424525</v>
      </c>
      <c r="AU137" s="184">
        <f t="shared" ca="1" si="112"/>
        <v>2151</v>
      </c>
      <c r="AV137" s="182">
        <f t="shared" si="95"/>
        <v>0.02</v>
      </c>
      <c r="AW137" s="179">
        <f t="shared" si="96"/>
        <v>5.0000000000000001E-3</v>
      </c>
      <c r="AX137" s="182">
        <f t="shared" si="97"/>
        <v>2.5000000000000001E-2</v>
      </c>
      <c r="AY137" s="186"/>
      <c r="AZ137" s="190"/>
      <c r="BA137" s="184">
        <f t="shared" ca="1" si="113"/>
        <v>2151</v>
      </c>
      <c r="BB137" s="171">
        <f t="shared" si="98"/>
        <v>13121.1</v>
      </c>
      <c r="BC137" s="171">
        <f t="shared" si="88"/>
        <v>9453.8365646395596</v>
      </c>
      <c r="BD137" s="171">
        <f t="shared" si="84"/>
        <v>6863.78</v>
      </c>
      <c r="BE137" s="171">
        <f t="shared" si="84"/>
        <v>3064.2490360181741</v>
      </c>
      <c r="BF137" s="171">
        <f t="shared" si="84"/>
        <v>3064.2490360181741</v>
      </c>
      <c r="BG137" s="171">
        <f t="shared" si="84"/>
        <v>3064.2490360181741</v>
      </c>
      <c r="BI137" s="187">
        <f>IF(A137-'Invoer gegevens'!$C$17&lt;0,0,IF(A137-'Invoer gegevens'!$C$17=0,1,IF(A137-'Invoer gegevens'!$C$17&lt;5,2,IF(A137-'Invoer gegevens'!$C$17&lt;15,3,4))))</f>
        <v>0</v>
      </c>
      <c r="BJ137" s="229">
        <f>IF(BI137&lt;1,0,IF(BI137&lt;2,4%,IF(Reeksen!BI137&lt;3,4%,IF(Reeksen!BI137&lt;4,4%*70%,IF(Reeksen!BI137&lt;5,4%*50%)))))</f>
        <v>0</v>
      </c>
      <c r="BK137" s="243"/>
      <c r="BL137" s="243"/>
      <c r="BM137" s="243"/>
      <c r="BN137" s="243"/>
      <c r="BO137" s="243"/>
      <c r="BP137" s="243"/>
      <c r="BQ137" s="243"/>
      <c r="BR137" s="243"/>
    </row>
    <row r="138" spans="1:70" x14ac:dyDescent="0.25">
      <c r="A138" s="184">
        <f t="shared" si="99"/>
        <v>133</v>
      </c>
      <c r="B138" s="179">
        <f>Dashboard!$C$25</f>
        <v>0.05</v>
      </c>
      <c r="C138" s="179">
        <f>Dashboard!$C$25</f>
        <v>0.05</v>
      </c>
      <c r="D138" s="179">
        <f>Dashboard!$C$25</f>
        <v>0.05</v>
      </c>
      <c r="E138" s="189"/>
      <c r="F138" s="184">
        <f t="shared" ca="1" si="100"/>
        <v>2152</v>
      </c>
      <c r="G138" s="179">
        <f t="shared" si="81"/>
        <v>0.02</v>
      </c>
      <c r="H138" s="182">
        <f t="shared" si="101"/>
        <v>14.002269175019906</v>
      </c>
      <c r="I138" s="179">
        <f t="shared" si="82"/>
        <v>2.5000000000000001E-2</v>
      </c>
      <c r="J138" s="182">
        <f t="shared" si="102"/>
        <v>26.871572061269251</v>
      </c>
      <c r="K138" s="179">
        <f t="shared" si="83"/>
        <v>2.5000000000000001E-2</v>
      </c>
      <c r="L138" s="182">
        <f t="shared" si="103"/>
        <v>26.871572061269251</v>
      </c>
      <c r="M138" s="189"/>
      <c r="N138" s="184">
        <f t="shared" ca="1" si="104"/>
        <v>2152</v>
      </c>
      <c r="O138" s="179">
        <f t="shared" si="116"/>
        <v>0.02</v>
      </c>
      <c r="P138" s="182">
        <f t="shared" si="85"/>
        <v>13.988677136413017</v>
      </c>
      <c r="R138" s="184">
        <f t="shared" ca="1" si="105"/>
        <v>2152</v>
      </c>
      <c r="S138" s="188">
        <f t="shared" si="79"/>
        <v>5.3600000000000002E-3</v>
      </c>
      <c r="U138" s="184">
        <f t="shared" ca="1" si="106"/>
        <v>2152</v>
      </c>
      <c r="V138" s="182">
        <f t="shared" si="89"/>
        <v>0.02</v>
      </c>
      <c r="W138" s="180">
        <f>Parameters!$D$12</f>
        <v>5.0000000000000001E-3</v>
      </c>
      <c r="X138" s="182">
        <f t="shared" si="90"/>
        <v>2.5000000000000001E-2</v>
      </c>
      <c r="Y138" s="182">
        <f t="shared" si="107"/>
        <v>26.898059570963976</v>
      </c>
      <c r="AA138" s="189"/>
      <c r="AB138" s="184">
        <f t="shared" ca="1" si="108"/>
        <v>2152</v>
      </c>
      <c r="AC138" s="171">
        <f t="shared" si="91"/>
        <v>13449.029785481987</v>
      </c>
      <c r="AD138" s="171">
        <f t="shared" si="87"/>
        <v>3125.5340167385375</v>
      </c>
      <c r="AE138" s="171">
        <f t="shared" ref="AE138:AE201" si="117">AE137*(1+V138)</f>
        <v>9642.9132959323506</v>
      </c>
      <c r="AF138" s="171">
        <f t="shared" si="109"/>
        <v>3125.5340167385375</v>
      </c>
      <c r="AG138" s="171">
        <f t="shared" si="80"/>
        <v>7001.06</v>
      </c>
      <c r="AH138" s="171">
        <f t="shared" si="92"/>
        <v>7001.06</v>
      </c>
      <c r="AI138" s="171">
        <f t="shared" si="93"/>
        <v>3125.5340167385375</v>
      </c>
      <c r="AJ138" s="171">
        <f>IF('Invoer gegevens'!$I$27="DAEB",SMALL(AC138:AD138,1),AC138)</f>
        <v>3125.5340167385375</v>
      </c>
      <c r="AK138" s="171">
        <f>IF('Invoer gegevens'!$I$27="DAEB",SMALL((AE138:AH138),1),SMALL((AF138:AH138),1))</f>
        <v>3125.5340167385375</v>
      </c>
      <c r="AL138" s="171">
        <f t="shared" si="114"/>
        <v>0</v>
      </c>
      <c r="AM138" s="171">
        <f t="shared" si="115"/>
        <v>0</v>
      </c>
      <c r="AN138" s="175">
        <f t="shared" si="110"/>
        <v>441359</v>
      </c>
      <c r="AP138" s="184">
        <f t="shared" ca="1" si="111"/>
        <v>2152</v>
      </c>
      <c r="AQ138" s="185">
        <f t="shared" si="94"/>
        <v>0.02</v>
      </c>
      <c r="AR138" s="182">
        <f t="shared" si="86"/>
        <v>13.988677136413017</v>
      </c>
      <c r="AU138" s="184">
        <f t="shared" ca="1" si="112"/>
        <v>2152</v>
      </c>
      <c r="AV138" s="182">
        <f t="shared" si="95"/>
        <v>0.02</v>
      </c>
      <c r="AW138" s="179">
        <f t="shared" si="96"/>
        <v>5.0000000000000001E-3</v>
      </c>
      <c r="AX138" s="182">
        <f t="shared" si="97"/>
        <v>2.5000000000000001E-2</v>
      </c>
      <c r="AY138" s="186"/>
      <c r="AZ138" s="190"/>
      <c r="BA138" s="184">
        <f t="shared" ca="1" si="113"/>
        <v>2152</v>
      </c>
      <c r="BB138" s="171">
        <f t="shared" si="98"/>
        <v>13449.13</v>
      </c>
      <c r="BC138" s="171">
        <f t="shared" si="88"/>
        <v>9642.9132959323506</v>
      </c>
      <c r="BD138" s="171">
        <f t="shared" si="84"/>
        <v>7001.06</v>
      </c>
      <c r="BE138" s="171">
        <f t="shared" si="84"/>
        <v>3125.5340167385375</v>
      </c>
      <c r="BF138" s="171">
        <f t="shared" si="84"/>
        <v>3125.5340167385375</v>
      </c>
      <c r="BG138" s="171">
        <f t="shared" si="84"/>
        <v>3125.5340167385375</v>
      </c>
      <c r="BI138" s="187">
        <f>IF(A138-'Invoer gegevens'!$C$17&lt;0,0,IF(A138-'Invoer gegevens'!$C$17=0,1,IF(A138-'Invoer gegevens'!$C$17&lt;5,2,IF(A138-'Invoer gegevens'!$C$17&lt;15,3,4))))</f>
        <v>0</v>
      </c>
      <c r="BJ138" s="229">
        <f>IF(BI138&lt;1,0,IF(BI138&lt;2,4%,IF(Reeksen!BI138&lt;3,4%,IF(Reeksen!BI138&lt;4,4%*70%,IF(Reeksen!BI138&lt;5,4%*50%)))))</f>
        <v>0</v>
      </c>
      <c r="BK138" s="243"/>
      <c r="BL138" s="243"/>
      <c r="BM138" s="243"/>
      <c r="BN138" s="243"/>
      <c r="BO138" s="243"/>
      <c r="BP138" s="243"/>
      <c r="BQ138" s="243"/>
      <c r="BR138" s="243"/>
    </row>
    <row r="139" spans="1:70" x14ac:dyDescent="0.25">
      <c r="A139" s="184">
        <f t="shared" si="99"/>
        <v>134</v>
      </c>
      <c r="B139" s="179">
        <f>Dashboard!$C$25</f>
        <v>0.05</v>
      </c>
      <c r="C139" s="179">
        <f>Dashboard!$C$25</f>
        <v>0.05</v>
      </c>
      <c r="D139" s="179">
        <f>Dashboard!$C$25</f>
        <v>0.05</v>
      </c>
      <c r="E139" s="189"/>
      <c r="F139" s="184">
        <f t="shared" ca="1" si="100"/>
        <v>2153</v>
      </c>
      <c r="G139" s="179">
        <f t="shared" si="81"/>
        <v>0.02</v>
      </c>
      <c r="H139" s="182">
        <f t="shared" si="101"/>
        <v>14.282314558520305</v>
      </c>
      <c r="I139" s="179">
        <f t="shared" si="82"/>
        <v>2.5000000000000001E-2</v>
      </c>
      <c r="J139" s="182">
        <f t="shared" si="102"/>
        <v>27.543361362800979</v>
      </c>
      <c r="K139" s="179">
        <f t="shared" si="83"/>
        <v>2.5000000000000001E-2</v>
      </c>
      <c r="L139" s="182">
        <f t="shared" si="103"/>
        <v>27.543361362800979</v>
      </c>
      <c r="M139" s="189"/>
      <c r="N139" s="184">
        <f t="shared" ca="1" si="104"/>
        <v>2153</v>
      </c>
      <c r="O139" s="179">
        <f t="shared" si="116"/>
        <v>0.02</v>
      </c>
      <c r="P139" s="182">
        <f t="shared" si="85"/>
        <v>14.268450679141278</v>
      </c>
      <c r="R139" s="184">
        <f t="shared" ca="1" si="105"/>
        <v>2153</v>
      </c>
      <c r="S139" s="188">
        <f t="shared" si="79"/>
        <v>5.3600000000000002E-3</v>
      </c>
      <c r="U139" s="184">
        <f t="shared" ca="1" si="106"/>
        <v>2153</v>
      </c>
      <c r="V139" s="182">
        <f t="shared" si="89"/>
        <v>0.02</v>
      </c>
      <c r="W139" s="180">
        <f>Parameters!$D$12</f>
        <v>5.0000000000000001E-3</v>
      </c>
      <c r="X139" s="182">
        <f t="shared" si="90"/>
        <v>2.5000000000000001E-2</v>
      </c>
      <c r="Y139" s="182">
        <f t="shared" si="107"/>
        <v>27.570511060238072</v>
      </c>
      <c r="AA139" s="189"/>
      <c r="AB139" s="184">
        <f t="shared" ca="1" si="108"/>
        <v>2153</v>
      </c>
      <c r="AC139" s="171">
        <f t="shared" si="91"/>
        <v>13785.255530119037</v>
      </c>
      <c r="AD139" s="171">
        <f t="shared" si="87"/>
        <v>3188.0446970733083</v>
      </c>
      <c r="AE139" s="171">
        <f t="shared" si="117"/>
        <v>9835.7715618509974</v>
      </c>
      <c r="AF139" s="171">
        <f t="shared" si="109"/>
        <v>3188.0446970733083</v>
      </c>
      <c r="AG139" s="171">
        <f t="shared" si="80"/>
        <v>7141.08</v>
      </c>
      <c r="AH139" s="171">
        <f t="shared" si="92"/>
        <v>7141.08</v>
      </c>
      <c r="AI139" s="171">
        <f t="shared" si="93"/>
        <v>3188.0446970733083</v>
      </c>
      <c r="AJ139" s="171">
        <f>IF('Invoer gegevens'!$I$27="DAEB",SMALL(AC139:AD139,1),AC139)</f>
        <v>3188.0446970733083</v>
      </c>
      <c r="AK139" s="171">
        <f>IF('Invoer gegevens'!$I$27="DAEB",SMALL((AE139:AH139),1),SMALL((AF139:AH139),1))</f>
        <v>3188.0446970733083</v>
      </c>
      <c r="AL139" s="171">
        <f t="shared" si="114"/>
        <v>0</v>
      </c>
      <c r="AM139" s="171">
        <f t="shared" si="115"/>
        <v>0</v>
      </c>
      <c r="AN139" s="175">
        <f t="shared" si="110"/>
        <v>450186</v>
      </c>
      <c r="AP139" s="184">
        <f t="shared" ca="1" si="111"/>
        <v>2153</v>
      </c>
      <c r="AQ139" s="185">
        <f t="shared" si="94"/>
        <v>0.02</v>
      </c>
      <c r="AR139" s="182">
        <f t="shared" si="86"/>
        <v>14.268450679141278</v>
      </c>
      <c r="AU139" s="184">
        <f t="shared" ca="1" si="112"/>
        <v>2153</v>
      </c>
      <c r="AV139" s="182">
        <f t="shared" si="95"/>
        <v>0.02</v>
      </c>
      <c r="AW139" s="179">
        <f t="shared" si="96"/>
        <v>5.0000000000000001E-3</v>
      </c>
      <c r="AX139" s="182">
        <f t="shared" si="97"/>
        <v>2.5000000000000001E-2</v>
      </c>
      <c r="AY139" s="186"/>
      <c r="AZ139" s="190"/>
      <c r="BA139" s="184">
        <f t="shared" ca="1" si="113"/>
        <v>2153</v>
      </c>
      <c r="BB139" s="171">
        <f t="shared" si="98"/>
        <v>13785.36</v>
      </c>
      <c r="BC139" s="171">
        <f t="shared" si="88"/>
        <v>9835.7715618509974</v>
      </c>
      <c r="BD139" s="171">
        <f t="shared" si="84"/>
        <v>7141.08</v>
      </c>
      <c r="BE139" s="171">
        <f t="shared" si="84"/>
        <v>3188.0446970733083</v>
      </c>
      <c r="BF139" s="171">
        <f t="shared" si="84"/>
        <v>3188.0446970733083</v>
      </c>
      <c r="BG139" s="171">
        <f t="shared" si="84"/>
        <v>3188.0446970733083</v>
      </c>
      <c r="BI139" s="187">
        <f>IF(A139-'Invoer gegevens'!$C$17&lt;0,0,IF(A139-'Invoer gegevens'!$C$17=0,1,IF(A139-'Invoer gegevens'!$C$17&lt;5,2,IF(A139-'Invoer gegevens'!$C$17&lt;15,3,4))))</f>
        <v>0</v>
      </c>
      <c r="BJ139" s="229">
        <f>IF(BI139&lt;1,0,IF(BI139&lt;2,4%,IF(Reeksen!BI139&lt;3,4%,IF(Reeksen!BI139&lt;4,4%*70%,IF(Reeksen!BI139&lt;5,4%*50%)))))</f>
        <v>0</v>
      </c>
      <c r="BK139" s="243"/>
      <c r="BL139" s="243"/>
      <c r="BM139" s="243"/>
      <c r="BN139" s="243"/>
      <c r="BO139" s="243"/>
      <c r="BP139" s="243"/>
      <c r="BQ139" s="243"/>
      <c r="BR139" s="243"/>
    </row>
    <row r="140" spans="1:70" x14ac:dyDescent="0.25">
      <c r="A140" s="184">
        <f t="shared" si="99"/>
        <v>135</v>
      </c>
      <c r="B140" s="179">
        <f>Dashboard!$C$25</f>
        <v>0.05</v>
      </c>
      <c r="C140" s="179">
        <f>Dashboard!$C$25</f>
        <v>0.05</v>
      </c>
      <c r="D140" s="179">
        <f>Dashboard!$C$25</f>
        <v>0.05</v>
      </c>
      <c r="E140" s="189"/>
      <c r="F140" s="184">
        <f t="shared" ca="1" si="100"/>
        <v>2154</v>
      </c>
      <c r="G140" s="179">
        <f t="shared" si="81"/>
        <v>0.02</v>
      </c>
      <c r="H140" s="182">
        <f t="shared" si="101"/>
        <v>14.567960849690712</v>
      </c>
      <c r="I140" s="179">
        <f t="shared" si="82"/>
        <v>2.5000000000000001E-2</v>
      </c>
      <c r="J140" s="182">
        <f t="shared" si="102"/>
        <v>28.231945396871001</v>
      </c>
      <c r="K140" s="179">
        <f t="shared" si="83"/>
        <v>2.5000000000000001E-2</v>
      </c>
      <c r="L140" s="182">
        <f t="shared" si="103"/>
        <v>28.231945396871001</v>
      </c>
      <c r="M140" s="189"/>
      <c r="N140" s="184">
        <f t="shared" ca="1" si="104"/>
        <v>2154</v>
      </c>
      <c r="O140" s="179">
        <f t="shared" si="116"/>
        <v>0.02</v>
      </c>
      <c r="P140" s="182">
        <f t="shared" si="85"/>
        <v>14.553819692724105</v>
      </c>
      <c r="R140" s="184">
        <f t="shared" ca="1" si="105"/>
        <v>2154</v>
      </c>
      <c r="S140" s="188">
        <f t="shared" ref="S140:S203" si="118">S139</f>
        <v>5.3600000000000002E-3</v>
      </c>
      <c r="U140" s="184">
        <f t="shared" ca="1" si="106"/>
        <v>2154</v>
      </c>
      <c r="V140" s="182">
        <f t="shared" si="89"/>
        <v>0.02</v>
      </c>
      <c r="W140" s="180">
        <f>Parameters!$D$12</f>
        <v>5.0000000000000001E-3</v>
      </c>
      <c r="X140" s="182">
        <f t="shared" si="90"/>
        <v>2.5000000000000001E-2</v>
      </c>
      <c r="Y140" s="182">
        <f t="shared" si="107"/>
        <v>28.259773836744021</v>
      </c>
      <c r="AA140" s="189"/>
      <c r="AB140" s="184">
        <f t="shared" ca="1" si="108"/>
        <v>2154</v>
      </c>
      <c r="AC140" s="171">
        <f t="shared" si="91"/>
        <v>14129.886918372011</v>
      </c>
      <c r="AD140" s="171">
        <f t="shared" si="87"/>
        <v>3251.805591014775</v>
      </c>
      <c r="AE140" s="171">
        <f t="shared" si="117"/>
        <v>10032.486993088018</v>
      </c>
      <c r="AF140" s="171">
        <f t="shared" si="109"/>
        <v>3251.805591014775</v>
      </c>
      <c r="AG140" s="171">
        <f t="shared" si="80"/>
        <v>7283.9</v>
      </c>
      <c r="AH140" s="171">
        <f t="shared" si="92"/>
        <v>7283.9</v>
      </c>
      <c r="AI140" s="171">
        <f t="shared" si="93"/>
        <v>3251.805591014775</v>
      </c>
      <c r="AJ140" s="171">
        <f>IF('Invoer gegevens'!$I$27="DAEB",SMALL(AC140:AD140,1),AC140)</f>
        <v>3251.805591014775</v>
      </c>
      <c r="AK140" s="171">
        <f>IF('Invoer gegevens'!$I$27="DAEB",SMALL((AE140:AH140),1),SMALL((AF140:AH140),1))</f>
        <v>3251.805591014775</v>
      </c>
      <c r="AL140" s="171">
        <f t="shared" si="114"/>
        <v>0</v>
      </c>
      <c r="AM140" s="171">
        <f t="shared" si="115"/>
        <v>0</v>
      </c>
      <c r="AN140" s="175">
        <f t="shared" si="110"/>
        <v>459190</v>
      </c>
      <c r="AP140" s="184">
        <f t="shared" ca="1" si="111"/>
        <v>2154</v>
      </c>
      <c r="AQ140" s="185">
        <f t="shared" si="94"/>
        <v>0.02</v>
      </c>
      <c r="AR140" s="182">
        <f t="shared" si="86"/>
        <v>14.553819692724105</v>
      </c>
      <c r="AU140" s="184">
        <f t="shared" ca="1" si="112"/>
        <v>2154</v>
      </c>
      <c r="AV140" s="182">
        <f t="shared" si="95"/>
        <v>0.02</v>
      </c>
      <c r="AW140" s="179">
        <f t="shared" si="96"/>
        <v>5.0000000000000001E-3</v>
      </c>
      <c r="AX140" s="182">
        <f t="shared" si="97"/>
        <v>2.5000000000000001E-2</v>
      </c>
      <c r="AY140" s="186"/>
      <c r="AZ140" s="190"/>
      <c r="BA140" s="184">
        <f t="shared" ca="1" si="113"/>
        <v>2154</v>
      </c>
      <c r="BB140" s="171">
        <f t="shared" si="98"/>
        <v>14129.99</v>
      </c>
      <c r="BC140" s="171">
        <f t="shared" si="88"/>
        <v>10032.486993088018</v>
      </c>
      <c r="BD140" s="171">
        <f t="shared" si="84"/>
        <v>7283.9</v>
      </c>
      <c r="BE140" s="171">
        <f t="shared" si="84"/>
        <v>3251.805591014775</v>
      </c>
      <c r="BF140" s="171">
        <f t="shared" si="84"/>
        <v>3251.805591014775</v>
      </c>
      <c r="BG140" s="171">
        <f t="shared" si="84"/>
        <v>3251.805591014775</v>
      </c>
      <c r="BI140" s="187">
        <f>IF(A140-'Invoer gegevens'!$C$17&lt;0,0,IF(A140-'Invoer gegevens'!$C$17=0,1,IF(A140-'Invoer gegevens'!$C$17&lt;5,2,IF(A140-'Invoer gegevens'!$C$17&lt;15,3,4))))</f>
        <v>0</v>
      </c>
      <c r="BJ140" s="229">
        <f>IF(BI140&lt;1,0,IF(BI140&lt;2,4%,IF(Reeksen!BI140&lt;3,4%,IF(Reeksen!BI140&lt;4,4%*70%,IF(Reeksen!BI140&lt;5,4%*50%)))))</f>
        <v>0</v>
      </c>
      <c r="BK140" s="243"/>
      <c r="BL140" s="243"/>
      <c r="BM140" s="243"/>
      <c r="BN140" s="243"/>
      <c r="BO140" s="243"/>
      <c r="BP140" s="243"/>
      <c r="BQ140" s="243"/>
      <c r="BR140" s="243"/>
    </row>
    <row r="141" spans="1:70" x14ac:dyDescent="0.25">
      <c r="A141" s="184">
        <f t="shared" si="99"/>
        <v>136</v>
      </c>
      <c r="B141" s="179">
        <f>Dashboard!$C$25</f>
        <v>0.05</v>
      </c>
      <c r="C141" s="179">
        <f>Dashboard!$C$25</f>
        <v>0.05</v>
      </c>
      <c r="D141" s="179">
        <f>Dashboard!$C$25</f>
        <v>0.05</v>
      </c>
      <c r="E141" s="189"/>
      <c r="F141" s="184">
        <f t="shared" ca="1" si="100"/>
        <v>2155</v>
      </c>
      <c r="G141" s="179">
        <f t="shared" si="81"/>
        <v>0.02</v>
      </c>
      <c r="H141" s="182">
        <f t="shared" si="101"/>
        <v>14.859320066684527</v>
      </c>
      <c r="I141" s="179">
        <f t="shared" si="82"/>
        <v>2.5000000000000001E-2</v>
      </c>
      <c r="J141" s="182">
        <f t="shared" si="102"/>
        <v>28.937744031792775</v>
      </c>
      <c r="K141" s="179">
        <f t="shared" si="83"/>
        <v>2.5000000000000001E-2</v>
      </c>
      <c r="L141" s="182">
        <f t="shared" si="103"/>
        <v>28.937744031792775</v>
      </c>
      <c r="M141" s="189"/>
      <c r="N141" s="184">
        <f t="shared" ca="1" si="104"/>
        <v>2155</v>
      </c>
      <c r="O141" s="179">
        <f t="shared" si="116"/>
        <v>0.02</v>
      </c>
      <c r="P141" s="182">
        <f t="shared" si="85"/>
        <v>14.844896086578586</v>
      </c>
      <c r="R141" s="184">
        <f t="shared" ca="1" si="105"/>
        <v>2155</v>
      </c>
      <c r="S141" s="188">
        <f t="shared" si="118"/>
        <v>5.3600000000000002E-3</v>
      </c>
      <c r="U141" s="184">
        <f t="shared" ca="1" si="106"/>
        <v>2155</v>
      </c>
      <c r="V141" s="182">
        <f t="shared" si="89"/>
        <v>0.02</v>
      </c>
      <c r="W141" s="180">
        <f>Parameters!$D$12</f>
        <v>5.0000000000000001E-3</v>
      </c>
      <c r="X141" s="182">
        <f t="shared" si="90"/>
        <v>2.5000000000000001E-2</v>
      </c>
      <c r="Y141" s="182">
        <f t="shared" si="107"/>
        <v>28.96626818266262</v>
      </c>
      <c r="AA141" s="189"/>
      <c r="AB141" s="184">
        <f t="shared" ca="1" si="108"/>
        <v>2155</v>
      </c>
      <c r="AC141" s="171">
        <f t="shared" si="91"/>
        <v>14483.134091331311</v>
      </c>
      <c r="AD141" s="171">
        <f t="shared" si="87"/>
        <v>3316.8417028350705</v>
      </c>
      <c r="AE141" s="171">
        <f t="shared" si="117"/>
        <v>10233.136732949779</v>
      </c>
      <c r="AF141" s="171">
        <f t="shared" si="109"/>
        <v>3316.8417028350705</v>
      </c>
      <c r="AG141" s="171">
        <f t="shared" ref="AG141:AG204" si="119">ROUND($AG140*(1+V141)^1,2)</f>
        <v>7429.58</v>
      </c>
      <c r="AH141" s="171">
        <f t="shared" si="92"/>
        <v>7429.58</v>
      </c>
      <c r="AI141" s="171">
        <f t="shared" si="93"/>
        <v>3316.8417028350705</v>
      </c>
      <c r="AJ141" s="171">
        <f>IF('Invoer gegevens'!$I$27="DAEB",SMALL(AC141:AD141,1),AC141)</f>
        <v>3316.8417028350705</v>
      </c>
      <c r="AK141" s="171">
        <f>IF('Invoer gegevens'!$I$27="DAEB",SMALL((AE141:AH141),1),SMALL((AF141:AH141),1))</f>
        <v>3316.8417028350705</v>
      </c>
      <c r="AL141" s="171">
        <f t="shared" si="114"/>
        <v>0</v>
      </c>
      <c r="AM141" s="171">
        <f t="shared" si="115"/>
        <v>0</v>
      </c>
      <c r="AN141" s="175">
        <f t="shared" si="110"/>
        <v>468374</v>
      </c>
      <c r="AP141" s="184">
        <f t="shared" ca="1" si="111"/>
        <v>2155</v>
      </c>
      <c r="AQ141" s="185">
        <f t="shared" si="94"/>
        <v>0.02</v>
      </c>
      <c r="AR141" s="182">
        <f t="shared" si="86"/>
        <v>14.844896086578586</v>
      </c>
      <c r="AU141" s="184">
        <f t="shared" ca="1" si="112"/>
        <v>2155</v>
      </c>
      <c r="AV141" s="182">
        <f t="shared" si="95"/>
        <v>0.02</v>
      </c>
      <c r="AW141" s="179">
        <f t="shared" si="96"/>
        <v>5.0000000000000001E-3</v>
      </c>
      <c r="AX141" s="182">
        <f t="shared" si="97"/>
        <v>2.5000000000000001E-2</v>
      </c>
      <c r="AY141" s="186"/>
      <c r="AZ141" s="190"/>
      <c r="BA141" s="184">
        <f t="shared" ca="1" si="113"/>
        <v>2155</v>
      </c>
      <c r="BB141" s="171">
        <f t="shared" si="98"/>
        <v>14483.24</v>
      </c>
      <c r="BC141" s="171">
        <f t="shared" si="88"/>
        <v>10233.136732949779</v>
      </c>
      <c r="BD141" s="171">
        <f t="shared" si="84"/>
        <v>7429.58</v>
      </c>
      <c r="BE141" s="171">
        <f t="shared" si="84"/>
        <v>3316.8417028350705</v>
      </c>
      <c r="BF141" s="171">
        <f t="shared" si="84"/>
        <v>3316.8417028350705</v>
      </c>
      <c r="BG141" s="171">
        <f t="shared" si="84"/>
        <v>3316.8417028350705</v>
      </c>
      <c r="BI141" s="187">
        <f>IF(A141-'Invoer gegevens'!$C$17&lt;0,0,IF(A141-'Invoer gegevens'!$C$17=0,1,IF(A141-'Invoer gegevens'!$C$17&lt;5,2,IF(A141-'Invoer gegevens'!$C$17&lt;15,3,4))))</f>
        <v>0</v>
      </c>
      <c r="BJ141" s="229">
        <f>IF(BI141&lt;1,0,IF(BI141&lt;2,4%,IF(Reeksen!BI141&lt;3,4%,IF(Reeksen!BI141&lt;4,4%*70%,IF(Reeksen!BI141&lt;5,4%*50%)))))</f>
        <v>0</v>
      </c>
      <c r="BK141" s="243"/>
      <c r="BL141" s="243"/>
      <c r="BM141" s="243"/>
      <c r="BN141" s="243"/>
      <c r="BO141" s="243"/>
      <c r="BP141" s="243"/>
      <c r="BQ141" s="243"/>
      <c r="BR141" s="243"/>
    </row>
    <row r="142" spans="1:70" x14ac:dyDescent="0.25">
      <c r="A142" s="184">
        <f t="shared" si="99"/>
        <v>137</v>
      </c>
      <c r="B142" s="179">
        <f>Dashboard!$C$25</f>
        <v>0.05</v>
      </c>
      <c r="C142" s="179">
        <f>Dashboard!$C$25</f>
        <v>0.05</v>
      </c>
      <c r="D142" s="179">
        <f>Dashboard!$C$25</f>
        <v>0.05</v>
      </c>
      <c r="E142" s="189"/>
      <c r="F142" s="184">
        <f t="shared" ca="1" si="100"/>
        <v>2156</v>
      </c>
      <c r="G142" s="179">
        <f t="shared" si="81"/>
        <v>0.02</v>
      </c>
      <c r="H142" s="182">
        <f t="shared" si="101"/>
        <v>15.156506468018218</v>
      </c>
      <c r="I142" s="179">
        <f t="shared" si="82"/>
        <v>2.5000000000000001E-2</v>
      </c>
      <c r="J142" s="182">
        <f t="shared" si="102"/>
        <v>29.661187632587591</v>
      </c>
      <c r="K142" s="179">
        <f t="shared" si="83"/>
        <v>2.5000000000000001E-2</v>
      </c>
      <c r="L142" s="182">
        <f t="shared" si="103"/>
        <v>29.661187632587591</v>
      </c>
      <c r="M142" s="189"/>
      <c r="N142" s="184">
        <f t="shared" ca="1" si="104"/>
        <v>2156</v>
      </c>
      <c r="O142" s="179">
        <f t="shared" si="116"/>
        <v>0.02</v>
      </c>
      <c r="P142" s="182">
        <f t="shared" si="85"/>
        <v>15.141794008310159</v>
      </c>
      <c r="R142" s="184">
        <f t="shared" ca="1" si="105"/>
        <v>2156</v>
      </c>
      <c r="S142" s="188">
        <f t="shared" si="118"/>
        <v>5.3600000000000002E-3</v>
      </c>
      <c r="U142" s="184">
        <f t="shared" ca="1" si="106"/>
        <v>2156</v>
      </c>
      <c r="V142" s="182">
        <f t="shared" si="89"/>
        <v>0.02</v>
      </c>
      <c r="W142" s="180">
        <f>Parameters!$D$12</f>
        <v>5.0000000000000001E-3</v>
      </c>
      <c r="X142" s="182">
        <f t="shared" si="90"/>
        <v>2.5000000000000001E-2</v>
      </c>
      <c r="Y142" s="182">
        <f t="shared" si="107"/>
        <v>29.690424887229184</v>
      </c>
      <c r="AA142" s="189"/>
      <c r="AB142" s="184">
        <f t="shared" ca="1" si="108"/>
        <v>2156</v>
      </c>
      <c r="AC142" s="171">
        <f t="shared" si="91"/>
        <v>14845.212443614591</v>
      </c>
      <c r="AD142" s="171">
        <f t="shared" si="87"/>
        <v>3383.1785368917722</v>
      </c>
      <c r="AE142" s="171">
        <f t="shared" si="117"/>
        <v>10437.799467608775</v>
      </c>
      <c r="AF142" s="171">
        <f t="shared" si="109"/>
        <v>3383.1785368917722</v>
      </c>
      <c r="AG142" s="171">
        <f t="shared" si="119"/>
        <v>7578.17</v>
      </c>
      <c r="AH142" s="171">
        <f t="shared" si="92"/>
        <v>7578.17</v>
      </c>
      <c r="AI142" s="171">
        <f t="shared" si="93"/>
        <v>3383.1785368917722</v>
      </c>
      <c r="AJ142" s="171">
        <f>IF('Invoer gegevens'!$I$27="DAEB",SMALL(AC142:AD142,1),AC142)</f>
        <v>3383.1785368917722</v>
      </c>
      <c r="AK142" s="171">
        <f>IF('Invoer gegevens'!$I$27="DAEB",SMALL((AE142:AH142),1),SMALL((AF142:AH142),1))</f>
        <v>3383.1785368917722</v>
      </c>
      <c r="AL142" s="171">
        <f t="shared" si="114"/>
        <v>0</v>
      </c>
      <c r="AM142" s="171">
        <f t="shared" si="115"/>
        <v>0</v>
      </c>
      <c r="AN142" s="175">
        <f t="shared" si="110"/>
        <v>477741</v>
      </c>
      <c r="AP142" s="184">
        <f t="shared" ca="1" si="111"/>
        <v>2156</v>
      </c>
      <c r="AQ142" s="185">
        <f t="shared" si="94"/>
        <v>0.02</v>
      </c>
      <c r="AR142" s="182">
        <f t="shared" si="86"/>
        <v>15.141794008310159</v>
      </c>
      <c r="AU142" s="184">
        <f t="shared" ca="1" si="112"/>
        <v>2156</v>
      </c>
      <c r="AV142" s="182">
        <f t="shared" si="95"/>
        <v>0.02</v>
      </c>
      <c r="AW142" s="179">
        <f t="shared" si="96"/>
        <v>5.0000000000000001E-3</v>
      </c>
      <c r="AX142" s="182">
        <f t="shared" si="97"/>
        <v>2.5000000000000001E-2</v>
      </c>
      <c r="AY142" s="186"/>
      <c r="AZ142" s="190"/>
      <c r="BA142" s="184">
        <f t="shared" ca="1" si="113"/>
        <v>2156</v>
      </c>
      <c r="BB142" s="171">
        <f t="shared" si="98"/>
        <v>14845.32</v>
      </c>
      <c r="BC142" s="171">
        <f t="shared" si="88"/>
        <v>10437.799467608775</v>
      </c>
      <c r="BD142" s="171">
        <f t="shared" si="84"/>
        <v>7578.17</v>
      </c>
      <c r="BE142" s="171">
        <f t="shared" si="84"/>
        <v>3383.1785368917722</v>
      </c>
      <c r="BF142" s="171">
        <f t="shared" si="84"/>
        <v>3383.1785368917722</v>
      </c>
      <c r="BG142" s="171">
        <f t="shared" si="84"/>
        <v>3383.1785368917722</v>
      </c>
      <c r="BI142" s="187">
        <f>IF(A142-'Invoer gegevens'!$C$17&lt;0,0,IF(A142-'Invoer gegevens'!$C$17=0,1,IF(A142-'Invoer gegevens'!$C$17&lt;5,2,IF(A142-'Invoer gegevens'!$C$17&lt;15,3,4))))</f>
        <v>0</v>
      </c>
      <c r="BJ142" s="229">
        <f>IF(BI142&lt;1,0,IF(BI142&lt;2,4%,IF(Reeksen!BI142&lt;3,4%,IF(Reeksen!BI142&lt;4,4%*70%,IF(Reeksen!BI142&lt;5,4%*50%)))))</f>
        <v>0</v>
      </c>
      <c r="BK142" s="243"/>
      <c r="BL142" s="243"/>
      <c r="BM142" s="243"/>
      <c r="BN142" s="243"/>
      <c r="BO142" s="243"/>
      <c r="BP142" s="243"/>
      <c r="BQ142" s="243"/>
      <c r="BR142" s="243"/>
    </row>
    <row r="143" spans="1:70" x14ac:dyDescent="0.25">
      <c r="A143" s="184">
        <f t="shared" si="99"/>
        <v>138</v>
      </c>
      <c r="B143" s="179">
        <f>Dashboard!$C$25</f>
        <v>0.05</v>
      </c>
      <c r="C143" s="179">
        <f>Dashboard!$C$25</f>
        <v>0.05</v>
      </c>
      <c r="D143" s="179">
        <f>Dashboard!$C$25</f>
        <v>0.05</v>
      </c>
      <c r="E143" s="189"/>
      <c r="F143" s="184">
        <f t="shared" ca="1" si="100"/>
        <v>2157</v>
      </c>
      <c r="G143" s="179">
        <f t="shared" si="81"/>
        <v>0.02</v>
      </c>
      <c r="H143" s="182">
        <f t="shared" si="101"/>
        <v>15.459636597378584</v>
      </c>
      <c r="I143" s="179">
        <f t="shared" si="82"/>
        <v>2.5000000000000001E-2</v>
      </c>
      <c r="J143" s="182">
        <f t="shared" si="102"/>
        <v>30.402717323402278</v>
      </c>
      <c r="K143" s="179">
        <f t="shared" si="83"/>
        <v>2.5000000000000001E-2</v>
      </c>
      <c r="L143" s="182">
        <f t="shared" si="103"/>
        <v>30.402717323402278</v>
      </c>
      <c r="M143" s="189"/>
      <c r="N143" s="184">
        <f t="shared" ca="1" si="104"/>
        <v>2157</v>
      </c>
      <c r="O143" s="179">
        <f t="shared" si="116"/>
        <v>0.02</v>
      </c>
      <c r="P143" s="182">
        <f t="shared" si="85"/>
        <v>15.444629888476362</v>
      </c>
      <c r="R143" s="184">
        <f t="shared" ca="1" si="105"/>
        <v>2157</v>
      </c>
      <c r="S143" s="188">
        <f t="shared" si="118"/>
        <v>5.3600000000000002E-3</v>
      </c>
      <c r="U143" s="184">
        <f t="shared" ca="1" si="106"/>
        <v>2157</v>
      </c>
      <c r="V143" s="182">
        <f t="shared" si="89"/>
        <v>0.02</v>
      </c>
      <c r="W143" s="180">
        <f>Parameters!$D$12</f>
        <v>5.0000000000000001E-3</v>
      </c>
      <c r="X143" s="182">
        <f t="shared" si="90"/>
        <v>2.5000000000000001E-2</v>
      </c>
      <c r="Y143" s="182">
        <f t="shared" si="107"/>
        <v>30.432685509409911</v>
      </c>
      <c r="AA143" s="189"/>
      <c r="AB143" s="184">
        <f t="shared" ca="1" si="108"/>
        <v>2157</v>
      </c>
      <c r="AC143" s="171">
        <f t="shared" si="91"/>
        <v>15216.342754704956</v>
      </c>
      <c r="AD143" s="171">
        <f t="shared" si="87"/>
        <v>3450.8421076296077</v>
      </c>
      <c r="AE143" s="171">
        <f t="shared" si="117"/>
        <v>10646.55545696095</v>
      </c>
      <c r="AF143" s="171">
        <f t="shared" si="109"/>
        <v>3450.8421076296077</v>
      </c>
      <c r="AG143" s="171">
        <f t="shared" si="119"/>
        <v>7729.73</v>
      </c>
      <c r="AH143" s="171">
        <f t="shared" si="92"/>
        <v>7729.73</v>
      </c>
      <c r="AI143" s="171">
        <f t="shared" si="93"/>
        <v>3450.8421076296077</v>
      </c>
      <c r="AJ143" s="171">
        <f>IF('Invoer gegevens'!$I$27="DAEB",SMALL(AC143:AD143,1),AC143)</f>
        <v>3450.8421076296077</v>
      </c>
      <c r="AK143" s="171">
        <f>IF('Invoer gegevens'!$I$27="DAEB",SMALL((AE143:AH143),1),SMALL((AF143:AH143),1))</f>
        <v>3450.8421076296077</v>
      </c>
      <c r="AL143" s="171">
        <f t="shared" si="114"/>
        <v>0</v>
      </c>
      <c r="AM143" s="171">
        <f t="shared" si="115"/>
        <v>0</v>
      </c>
      <c r="AN143" s="175">
        <f t="shared" si="110"/>
        <v>487296</v>
      </c>
      <c r="AP143" s="184">
        <f t="shared" ca="1" si="111"/>
        <v>2157</v>
      </c>
      <c r="AQ143" s="185">
        <f t="shared" si="94"/>
        <v>0.02</v>
      </c>
      <c r="AR143" s="182">
        <f t="shared" si="86"/>
        <v>15.444629888476362</v>
      </c>
      <c r="AU143" s="184">
        <f t="shared" ca="1" si="112"/>
        <v>2157</v>
      </c>
      <c r="AV143" s="182">
        <f t="shared" si="95"/>
        <v>0.02</v>
      </c>
      <c r="AW143" s="179">
        <f t="shared" si="96"/>
        <v>5.0000000000000001E-3</v>
      </c>
      <c r="AX143" s="182">
        <f t="shared" si="97"/>
        <v>2.5000000000000001E-2</v>
      </c>
      <c r="AY143" s="186"/>
      <c r="AZ143" s="190"/>
      <c r="BA143" s="184">
        <f t="shared" ca="1" si="113"/>
        <v>2157</v>
      </c>
      <c r="BB143" s="171">
        <f t="shared" si="98"/>
        <v>15216.45</v>
      </c>
      <c r="BC143" s="171">
        <f t="shared" si="88"/>
        <v>10646.55545696095</v>
      </c>
      <c r="BD143" s="171">
        <f t="shared" si="84"/>
        <v>7729.73</v>
      </c>
      <c r="BE143" s="171">
        <f t="shared" si="84"/>
        <v>3450.8421076296077</v>
      </c>
      <c r="BF143" s="171">
        <f t="shared" si="84"/>
        <v>3450.8421076296077</v>
      </c>
      <c r="BG143" s="171">
        <f t="shared" si="84"/>
        <v>3450.8421076296077</v>
      </c>
      <c r="BI143" s="187">
        <f>IF(A143-'Invoer gegevens'!$C$17&lt;0,0,IF(A143-'Invoer gegevens'!$C$17=0,1,IF(A143-'Invoer gegevens'!$C$17&lt;5,2,IF(A143-'Invoer gegevens'!$C$17&lt;15,3,4))))</f>
        <v>0</v>
      </c>
      <c r="BJ143" s="229">
        <f>IF(BI143&lt;1,0,IF(BI143&lt;2,4%,IF(Reeksen!BI143&lt;3,4%,IF(Reeksen!BI143&lt;4,4%*70%,IF(Reeksen!BI143&lt;5,4%*50%)))))</f>
        <v>0</v>
      </c>
      <c r="BK143" s="243"/>
      <c r="BL143" s="243"/>
      <c r="BM143" s="243"/>
      <c r="BN143" s="243"/>
      <c r="BO143" s="243"/>
      <c r="BP143" s="243"/>
      <c r="BQ143" s="243"/>
      <c r="BR143" s="243"/>
    </row>
    <row r="144" spans="1:70" x14ac:dyDescent="0.25">
      <c r="A144" s="184">
        <f t="shared" si="99"/>
        <v>139</v>
      </c>
      <c r="B144" s="179">
        <f>Dashboard!$C$25</f>
        <v>0.05</v>
      </c>
      <c r="C144" s="179">
        <f>Dashboard!$C$25</f>
        <v>0.05</v>
      </c>
      <c r="D144" s="179">
        <f>Dashboard!$C$25</f>
        <v>0.05</v>
      </c>
      <c r="E144" s="189"/>
      <c r="F144" s="184">
        <f t="shared" ca="1" si="100"/>
        <v>2158</v>
      </c>
      <c r="G144" s="179">
        <f t="shared" si="81"/>
        <v>0.02</v>
      </c>
      <c r="H144" s="182">
        <f t="shared" si="101"/>
        <v>15.768829329326156</v>
      </c>
      <c r="I144" s="179">
        <f t="shared" si="82"/>
        <v>2.5000000000000001E-2</v>
      </c>
      <c r="J144" s="182">
        <f t="shared" si="102"/>
        <v>31.162785256487332</v>
      </c>
      <c r="K144" s="179">
        <f t="shared" si="83"/>
        <v>2.5000000000000001E-2</v>
      </c>
      <c r="L144" s="182">
        <f t="shared" si="103"/>
        <v>31.162785256487332</v>
      </c>
      <c r="M144" s="189"/>
      <c r="N144" s="184">
        <f t="shared" ca="1" si="104"/>
        <v>2158</v>
      </c>
      <c r="O144" s="179">
        <f t="shared" si="116"/>
        <v>0.02</v>
      </c>
      <c r="P144" s="182">
        <f t="shared" si="85"/>
        <v>15.75352248624589</v>
      </c>
      <c r="R144" s="184">
        <f t="shared" ca="1" si="105"/>
        <v>2158</v>
      </c>
      <c r="S144" s="188">
        <f t="shared" si="118"/>
        <v>5.3600000000000002E-3</v>
      </c>
      <c r="U144" s="184">
        <f t="shared" ca="1" si="106"/>
        <v>2158</v>
      </c>
      <c r="V144" s="182">
        <f t="shared" si="89"/>
        <v>0.02</v>
      </c>
      <c r="W144" s="180">
        <f>Parameters!$D$12</f>
        <v>5.0000000000000001E-3</v>
      </c>
      <c r="X144" s="182">
        <f t="shared" si="90"/>
        <v>2.5000000000000001E-2</v>
      </c>
      <c r="Y144" s="182">
        <f t="shared" si="107"/>
        <v>31.193502647145156</v>
      </c>
      <c r="AA144" s="189"/>
      <c r="AB144" s="184">
        <f t="shared" ca="1" si="108"/>
        <v>2158</v>
      </c>
      <c r="AC144" s="171">
        <f t="shared" si="91"/>
        <v>15596.751323572578</v>
      </c>
      <c r="AD144" s="171">
        <f t="shared" si="87"/>
        <v>3519.8589497821999</v>
      </c>
      <c r="AE144" s="171">
        <f t="shared" si="117"/>
        <v>10859.48656610017</v>
      </c>
      <c r="AF144" s="171">
        <f t="shared" si="109"/>
        <v>3519.8589497821999</v>
      </c>
      <c r="AG144" s="171">
        <f t="shared" si="119"/>
        <v>7884.32</v>
      </c>
      <c r="AH144" s="171">
        <f t="shared" si="92"/>
        <v>7884.32</v>
      </c>
      <c r="AI144" s="171">
        <f t="shared" si="93"/>
        <v>3519.8589497821999</v>
      </c>
      <c r="AJ144" s="171">
        <f>IF('Invoer gegevens'!$I$27="DAEB",SMALL(AC144:AD144,1),AC144)</f>
        <v>3519.8589497821999</v>
      </c>
      <c r="AK144" s="171">
        <f>IF('Invoer gegevens'!$I$27="DAEB",SMALL((AE144:AH144),1),SMALL((AF144:AH144),1))</f>
        <v>3519.8589497821999</v>
      </c>
      <c r="AL144" s="171">
        <f t="shared" si="114"/>
        <v>0</v>
      </c>
      <c r="AM144" s="171">
        <f t="shared" si="115"/>
        <v>0</v>
      </c>
      <c r="AN144" s="175">
        <f t="shared" si="110"/>
        <v>497042</v>
      </c>
      <c r="AP144" s="184">
        <f t="shared" ca="1" si="111"/>
        <v>2158</v>
      </c>
      <c r="AQ144" s="185">
        <f t="shared" si="94"/>
        <v>0.02</v>
      </c>
      <c r="AR144" s="182">
        <f t="shared" si="86"/>
        <v>15.75352248624589</v>
      </c>
      <c r="AU144" s="184">
        <f t="shared" ca="1" si="112"/>
        <v>2158</v>
      </c>
      <c r="AV144" s="182">
        <f t="shared" si="95"/>
        <v>0.02</v>
      </c>
      <c r="AW144" s="179">
        <f t="shared" si="96"/>
        <v>5.0000000000000001E-3</v>
      </c>
      <c r="AX144" s="182">
        <f t="shared" si="97"/>
        <v>2.5000000000000001E-2</v>
      </c>
      <c r="AY144" s="186"/>
      <c r="AZ144" s="190"/>
      <c r="BA144" s="184">
        <f t="shared" ca="1" si="113"/>
        <v>2158</v>
      </c>
      <c r="BB144" s="171">
        <f t="shared" si="98"/>
        <v>15596.86</v>
      </c>
      <c r="BC144" s="171">
        <f t="shared" si="88"/>
        <v>10859.48656610017</v>
      </c>
      <c r="BD144" s="171">
        <f t="shared" si="84"/>
        <v>7884.32</v>
      </c>
      <c r="BE144" s="171">
        <f t="shared" si="84"/>
        <v>3519.8589497821999</v>
      </c>
      <c r="BF144" s="171">
        <f t="shared" si="84"/>
        <v>3519.8589497821999</v>
      </c>
      <c r="BG144" s="171">
        <f t="shared" si="84"/>
        <v>3519.8589497821999</v>
      </c>
      <c r="BI144" s="187">
        <f>IF(A144-'Invoer gegevens'!$C$17&lt;0,0,IF(A144-'Invoer gegevens'!$C$17=0,1,IF(A144-'Invoer gegevens'!$C$17&lt;5,2,IF(A144-'Invoer gegevens'!$C$17&lt;15,3,4))))</f>
        <v>0</v>
      </c>
      <c r="BJ144" s="229">
        <f>IF(BI144&lt;1,0,IF(BI144&lt;2,4%,IF(Reeksen!BI144&lt;3,4%,IF(Reeksen!BI144&lt;4,4%*70%,IF(Reeksen!BI144&lt;5,4%*50%)))))</f>
        <v>0</v>
      </c>
      <c r="BK144" s="243"/>
      <c r="BL144" s="243"/>
      <c r="BM144" s="243"/>
      <c r="BN144" s="243"/>
      <c r="BO144" s="243"/>
      <c r="BP144" s="243"/>
      <c r="BQ144" s="243"/>
      <c r="BR144" s="243"/>
    </row>
    <row r="145" spans="1:70" x14ac:dyDescent="0.25">
      <c r="A145" s="184">
        <f t="shared" si="99"/>
        <v>140</v>
      </c>
      <c r="B145" s="179">
        <f>Dashboard!$C$25</f>
        <v>0.05</v>
      </c>
      <c r="C145" s="179">
        <f>Dashboard!$C$25</f>
        <v>0.05</v>
      </c>
      <c r="D145" s="179">
        <f>Dashboard!$C$25</f>
        <v>0.05</v>
      </c>
      <c r="E145" s="189"/>
      <c r="F145" s="184">
        <f t="shared" ca="1" si="100"/>
        <v>2159</v>
      </c>
      <c r="G145" s="179">
        <f t="shared" si="81"/>
        <v>0.02</v>
      </c>
      <c r="H145" s="182">
        <f t="shared" si="101"/>
        <v>16.08420591591268</v>
      </c>
      <c r="I145" s="179">
        <f t="shared" si="82"/>
        <v>2.5000000000000001E-2</v>
      </c>
      <c r="J145" s="182">
        <f t="shared" si="102"/>
        <v>31.941854887899513</v>
      </c>
      <c r="K145" s="179">
        <f t="shared" si="83"/>
        <v>2.5000000000000001E-2</v>
      </c>
      <c r="L145" s="182">
        <f t="shared" si="103"/>
        <v>31.941854887899513</v>
      </c>
      <c r="M145" s="189"/>
      <c r="N145" s="184">
        <f t="shared" ca="1" si="104"/>
        <v>2159</v>
      </c>
      <c r="O145" s="179">
        <f t="shared" si="116"/>
        <v>0.02</v>
      </c>
      <c r="P145" s="182">
        <f t="shared" si="85"/>
        <v>16.068592935970809</v>
      </c>
      <c r="R145" s="184">
        <f t="shared" ca="1" si="105"/>
        <v>2159</v>
      </c>
      <c r="S145" s="188">
        <f t="shared" si="118"/>
        <v>5.3600000000000002E-3</v>
      </c>
      <c r="U145" s="184">
        <f t="shared" ca="1" si="106"/>
        <v>2159</v>
      </c>
      <c r="V145" s="182">
        <f t="shared" si="89"/>
        <v>0.02</v>
      </c>
      <c r="W145" s="180">
        <f>Parameters!$D$12</f>
        <v>5.0000000000000001E-3</v>
      </c>
      <c r="X145" s="182">
        <f t="shared" si="90"/>
        <v>2.5000000000000001E-2</v>
      </c>
      <c r="Y145" s="182">
        <f t="shared" si="107"/>
        <v>31.97334021332378</v>
      </c>
      <c r="AA145" s="189"/>
      <c r="AB145" s="184">
        <f t="shared" ca="1" si="108"/>
        <v>2159</v>
      </c>
      <c r="AC145" s="171">
        <f t="shared" si="91"/>
        <v>15986.67010666189</v>
      </c>
      <c r="AD145" s="171">
        <f t="shared" si="87"/>
        <v>3590.2561287778444</v>
      </c>
      <c r="AE145" s="171">
        <f t="shared" si="117"/>
        <v>11076.676297422173</v>
      </c>
      <c r="AF145" s="171">
        <f t="shared" si="109"/>
        <v>3590.2561287778444</v>
      </c>
      <c r="AG145" s="171">
        <f t="shared" si="119"/>
        <v>8042.01</v>
      </c>
      <c r="AH145" s="171">
        <f t="shared" si="92"/>
        <v>8042.01</v>
      </c>
      <c r="AI145" s="171">
        <f t="shared" si="93"/>
        <v>3590.2561287778444</v>
      </c>
      <c r="AJ145" s="171">
        <f>IF('Invoer gegevens'!$I$27="DAEB",SMALL(AC145:AD145,1),AC145)</f>
        <v>3590.2561287778444</v>
      </c>
      <c r="AK145" s="171">
        <f>IF('Invoer gegevens'!$I$27="DAEB",SMALL((AE145:AH145),1),SMALL((AF145:AH145),1))</f>
        <v>3590.2561287778444</v>
      </c>
      <c r="AL145" s="171">
        <f t="shared" si="114"/>
        <v>0</v>
      </c>
      <c r="AM145" s="171">
        <f t="shared" si="115"/>
        <v>0</v>
      </c>
      <c r="AN145" s="175">
        <f t="shared" si="110"/>
        <v>506983</v>
      </c>
      <c r="AP145" s="184">
        <f t="shared" ca="1" si="111"/>
        <v>2159</v>
      </c>
      <c r="AQ145" s="185">
        <f t="shared" si="94"/>
        <v>0.02</v>
      </c>
      <c r="AR145" s="182">
        <f t="shared" si="86"/>
        <v>16.068592935970809</v>
      </c>
      <c r="AU145" s="184">
        <f t="shared" ca="1" si="112"/>
        <v>2159</v>
      </c>
      <c r="AV145" s="182">
        <f t="shared" si="95"/>
        <v>0.02</v>
      </c>
      <c r="AW145" s="179">
        <f t="shared" si="96"/>
        <v>5.0000000000000001E-3</v>
      </c>
      <c r="AX145" s="182">
        <f t="shared" si="97"/>
        <v>2.5000000000000001E-2</v>
      </c>
      <c r="AY145" s="186"/>
      <c r="AZ145" s="190"/>
      <c r="BA145" s="184">
        <f t="shared" ca="1" si="113"/>
        <v>2159</v>
      </c>
      <c r="BB145" s="171">
        <f t="shared" si="98"/>
        <v>15986.78</v>
      </c>
      <c r="BC145" s="171">
        <f t="shared" si="88"/>
        <v>11076.676297422173</v>
      </c>
      <c r="BD145" s="171">
        <f t="shared" si="84"/>
        <v>8042.01</v>
      </c>
      <c r="BE145" s="171">
        <f t="shared" si="84"/>
        <v>3590.2561287778444</v>
      </c>
      <c r="BF145" s="171">
        <f t="shared" si="84"/>
        <v>3590.2561287778444</v>
      </c>
      <c r="BG145" s="171">
        <f t="shared" si="84"/>
        <v>3590.2561287778444</v>
      </c>
      <c r="BI145" s="187">
        <f>IF(A145-'Invoer gegevens'!$C$17&lt;0,0,IF(A145-'Invoer gegevens'!$C$17=0,1,IF(A145-'Invoer gegevens'!$C$17&lt;5,2,IF(A145-'Invoer gegevens'!$C$17&lt;15,3,4))))</f>
        <v>0</v>
      </c>
      <c r="BJ145" s="229">
        <f>IF(BI145&lt;1,0,IF(BI145&lt;2,4%,IF(Reeksen!BI145&lt;3,4%,IF(Reeksen!BI145&lt;4,4%*70%,IF(Reeksen!BI145&lt;5,4%*50%)))))</f>
        <v>0</v>
      </c>
      <c r="BK145" s="243"/>
      <c r="BL145" s="243"/>
      <c r="BM145" s="243"/>
      <c r="BN145" s="243"/>
      <c r="BO145" s="243"/>
      <c r="BP145" s="243"/>
      <c r="BQ145" s="243"/>
      <c r="BR145" s="243"/>
    </row>
    <row r="146" spans="1:70" x14ac:dyDescent="0.25">
      <c r="A146" s="184">
        <f t="shared" si="99"/>
        <v>141</v>
      </c>
      <c r="B146" s="179">
        <f>Dashboard!$C$25</f>
        <v>0.05</v>
      </c>
      <c r="C146" s="179">
        <f>Dashboard!$C$25</f>
        <v>0.05</v>
      </c>
      <c r="D146" s="179">
        <f>Dashboard!$C$25</f>
        <v>0.05</v>
      </c>
      <c r="E146" s="189"/>
      <c r="F146" s="184">
        <f t="shared" ca="1" si="100"/>
        <v>2160</v>
      </c>
      <c r="G146" s="179">
        <f t="shared" si="81"/>
        <v>0.02</v>
      </c>
      <c r="H146" s="182">
        <f t="shared" si="101"/>
        <v>16.405890034230932</v>
      </c>
      <c r="I146" s="179">
        <f t="shared" si="82"/>
        <v>2.5000000000000001E-2</v>
      </c>
      <c r="J146" s="182">
        <f t="shared" si="102"/>
        <v>32.740401260096995</v>
      </c>
      <c r="K146" s="179">
        <f t="shared" si="83"/>
        <v>2.5000000000000001E-2</v>
      </c>
      <c r="L146" s="182">
        <f t="shared" si="103"/>
        <v>32.740401260096995</v>
      </c>
      <c r="M146" s="189"/>
      <c r="N146" s="184">
        <f t="shared" ca="1" si="104"/>
        <v>2160</v>
      </c>
      <c r="O146" s="179">
        <f t="shared" si="116"/>
        <v>0.02</v>
      </c>
      <c r="P146" s="182">
        <f t="shared" si="85"/>
        <v>16.389964794690226</v>
      </c>
      <c r="R146" s="184">
        <f t="shared" ca="1" si="105"/>
        <v>2160</v>
      </c>
      <c r="S146" s="188">
        <f t="shared" si="118"/>
        <v>5.3600000000000002E-3</v>
      </c>
      <c r="U146" s="184">
        <f t="shared" ca="1" si="106"/>
        <v>2160</v>
      </c>
      <c r="V146" s="182">
        <f t="shared" si="89"/>
        <v>0.02</v>
      </c>
      <c r="W146" s="180">
        <f>Parameters!$D$12</f>
        <v>5.0000000000000001E-3</v>
      </c>
      <c r="X146" s="182">
        <f t="shared" si="90"/>
        <v>2.5000000000000001E-2</v>
      </c>
      <c r="Y146" s="182">
        <f t="shared" si="107"/>
        <v>32.772673718656876</v>
      </c>
      <c r="AA146" s="189"/>
      <c r="AB146" s="184">
        <f t="shared" ca="1" si="108"/>
        <v>2160</v>
      </c>
      <c r="AC146" s="171">
        <f t="shared" si="91"/>
        <v>16386.336859328439</v>
      </c>
      <c r="AD146" s="171">
        <f t="shared" si="87"/>
        <v>3662.0612513534006</v>
      </c>
      <c r="AE146" s="171">
        <f t="shared" si="117"/>
        <v>11298.209823370617</v>
      </c>
      <c r="AF146" s="171">
        <f t="shared" si="109"/>
        <v>3662.0612513534006</v>
      </c>
      <c r="AG146" s="171">
        <f t="shared" si="119"/>
        <v>8202.85</v>
      </c>
      <c r="AH146" s="171">
        <f t="shared" si="92"/>
        <v>8202.85</v>
      </c>
      <c r="AI146" s="171">
        <f t="shared" si="93"/>
        <v>3662.0612513534006</v>
      </c>
      <c r="AJ146" s="171">
        <f>IF('Invoer gegevens'!$I$27="DAEB",SMALL(AC146:AD146,1),AC146)</f>
        <v>3662.0612513534006</v>
      </c>
      <c r="AK146" s="171">
        <f>IF('Invoer gegevens'!$I$27="DAEB",SMALL((AE146:AH146),1),SMALL((AF146:AH146),1))</f>
        <v>3662.0612513534006</v>
      </c>
      <c r="AL146" s="171">
        <f t="shared" si="114"/>
        <v>0</v>
      </c>
      <c r="AM146" s="171">
        <f t="shared" si="115"/>
        <v>0</v>
      </c>
      <c r="AN146" s="175">
        <f t="shared" si="110"/>
        <v>517123</v>
      </c>
      <c r="AP146" s="184">
        <f t="shared" ca="1" si="111"/>
        <v>2160</v>
      </c>
      <c r="AQ146" s="185">
        <f t="shared" si="94"/>
        <v>0.02</v>
      </c>
      <c r="AR146" s="182">
        <f t="shared" si="86"/>
        <v>16.389964794690226</v>
      </c>
      <c r="AU146" s="184">
        <f t="shared" ca="1" si="112"/>
        <v>2160</v>
      </c>
      <c r="AV146" s="182">
        <f t="shared" si="95"/>
        <v>0.02</v>
      </c>
      <c r="AW146" s="179">
        <f t="shared" si="96"/>
        <v>5.0000000000000001E-3</v>
      </c>
      <c r="AX146" s="182">
        <f t="shared" si="97"/>
        <v>2.5000000000000001E-2</v>
      </c>
      <c r="AY146" s="186"/>
      <c r="AZ146" s="190"/>
      <c r="BA146" s="184">
        <f t="shared" ca="1" si="113"/>
        <v>2160</v>
      </c>
      <c r="BB146" s="171">
        <f t="shared" si="98"/>
        <v>16386.45</v>
      </c>
      <c r="BC146" s="171">
        <f t="shared" si="88"/>
        <v>11298.209823370617</v>
      </c>
      <c r="BD146" s="171">
        <f t="shared" si="84"/>
        <v>8202.85</v>
      </c>
      <c r="BE146" s="171">
        <f t="shared" si="84"/>
        <v>3662.0612513534006</v>
      </c>
      <c r="BF146" s="171">
        <f t="shared" si="84"/>
        <v>3662.0612513534006</v>
      </c>
      <c r="BG146" s="171">
        <f t="shared" si="84"/>
        <v>3662.0612513534006</v>
      </c>
      <c r="BI146" s="187">
        <f>IF(A146-'Invoer gegevens'!$C$17&lt;0,0,IF(A146-'Invoer gegevens'!$C$17=0,1,IF(A146-'Invoer gegevens'!$C$17&lt;5,2,IF(A146-'Invoer gegevens'!$C$17&lt;15,3,4))))</f>
        <v>0</v>
      </c>
      <c r="BJ146" s="229">
        <f>IF(BI146&lt;1,0,IF(BI146&lt;2,4%,IF(Reeksen!BI146&lt;3,4%,IF(Reeksen!BI146&lt;4,4%*70%,IF(Reeksen!BI146&lt;5,4%*50%)))))</f>
        <v>0</v>
      </c>
      <c r="BK146" s="243"/>
      <c r="BL146" s="243"/>
      <c r="BM146" s="243"/>
      <c r="BN146" s="243"/>
      <c r="BO146" s="243"/>
      <c r="BP146" s="243"/>
      <c r="BQ146" s="243"/>
      <c r="BR146" s="243"/>
    </row>
    <row r="147" spans="1:70" x14ac:dyDescent="0.25">
      <c r="A147" s="184">
        <f t="shared" si="99"/>
        <v>142</v>
      </c>
      <c r="B147" s="179">
        <f>Dashboard!$C$25</f>
        <v>0.05</v>
      </c>
      <c r="C147" s="179">
        <f>Dashboard!$C$25</f>
        <v>0.05</v>
      </c>
      <c r="D147" s="179">
        <f>Dashboard!$C$25</f>
        <v>0.05</v>
      </c>
      <c r="E147" s="189"/>
      <c r="F147" s="184">
        <f t="shared" ca="1" si="100"/>
        <v>2161</v>
      </c>
      <c r="G147" s="179">
        <f t="shared" si="81"/>
        <v>0.02</v>
      </c>
      <c r="H147" s="182">
        <f t="shared" si="101"/>
        <v>16.734007834915552</v>
      </c>
      <c r="I147" s="179">
        <f t="shared" si="82"/>
        <v>2.5000000000000001E-2</v>
      </c>
      <c r="J147" s="182">
        <f t="shared" si="102"/>
        <v>33.558911291599415</v>
      </c>
      <c r="K147" s="179">
        <f t="shared" si="83"/>
        <v>2.5000000000000001E-2</v>
      </c>
      <c r="L147" s="182">
        <f t="shared" si="103"/>
        <v>33.558911291599415</v>
      </c>
      <c r="M147" s="189"/>
      <c r="N147" s="184">
        <f t="shared" ca="1" si="104"/>
        <v>2161</v>
      </c>
      <c r="O147" s="179">
        <f t="shared" si="116"/>
        <v>0.02</v>
      </c>
      <c r="P147" s="182">
        <f t="shared" si="85"/>
        <v>16.71776409058403</v>
      </c>
      <c r="R147" s="184">
        <f t="shared" ca="1" si="105"/>
        <v>2161</v>
      </c>
      <c r="S147" s="188">
        <f t="shared" si="118"/>
        <v>5.3600000000000002E-3</v>
      </c>
      <c r="U147" s="184">
        <f t="shared" ca="1" si="106"/>
        <v>2161</v>
      </c>
      <c r="V147" s="182">
        <f t="shared" si="89"/>
        <v>0.02</v>
      </c>
      <c r="W147" s="180">
        <f>Parameters!$D$12</f>
        <v>5.0000000000000001E-3</v>
      </c>
      <c r="X147" s="182">
        <f t="shared" si="90"/>
        <v>2.5000000000000001E-2</v>
      </c>
      <c r="Y147" s="182">
        <f t="shared" si="107"/>
        <v>33.591990561623291</v>
      </c>
      <c r="AA147" s="189"/>
      <c r="AB147" s="184">
        <f t="shared" ca="1" si="108"/>
        <v>2161</v>
      </c>
      <c r="AC147" s="171">
        <f t="shared" si="91"/>
        <v>16795.995280811647</v>
      </c>
      <c r="AD147" s="171">
        <f t="shared" si="87"/>
        <v>3735.3024763804692</v>
      </c>
      <c r="AE147" s="171">
        <f t="shared" si="117"/>
        <v>11524.174019838028</v>
      </c>
      <c r="AF147" s="171">
        <f t="shared" si="109"/>
        <v>3735.3024763804692</v>
      </c>
      <c r="AG147" s="171">
        <f t="shared" si="119"/>
        <v>8366.91</v>
      </c>
      <c r="AH147" s="171">
        <f t="shared" si="92"/>
        <v>8366.91</v>
      </c>
      <c r="AI147" s="171">
        <f t="shared" si="93"/>
        <v>3735.3024763804692</v>
      </c>
      <c r="AJ147" s="171">
        <f>IF('Invoer gegevens'!$I$27="DAEB",SMALL(AC147:AD147,1),AC147)</f>
        <v>3735.3024763804692</v>
      </c>
      <c r="AK147" s="171">
        <f>IF('Invoer gegevens'!$I$27="DAEB",SMALL((AE147:AH147),1),SMALL((AF147:AH147),1))</f>
        <v>3735.3024763804692</v>
      </c>
      <c r="AL147" s="171">
        <f t="shared" si="114"/>
        <v>0</v>
      </c>
      <c r="AM147" s="171">
        <f t="shared" si="115"/>
        <v>0</v>
      </c>
      <c r="AN147" s="175">
        <f t="shared" si="110"/>
        <v>527465</v>
      </c>
      <c r="AP147" s="184">
        <f t="shared" ca="1" si="111"/>
        <v>2161</v>
      </c>
      <c r="AQ147" s="185">
        <f t="shared" si="94"/>
        <v>0.02</v>
      </c>
      <c r="AR147" s="182">
        <f t="shared" si="86"/>
        <v>16.71776409058403</v>
      </c>
      <c r="AU147" s="184">
        <f t="shared" ca="1" si="112"/>
        <v>2161</v>
      </c>
      <c r="AV147" s="182">
        <f t="shared" si="95"/>
        <v>0.02</v>
      </c>
      <c r="AW147" s="179">
        <f t="shared" si="96"/>
        <v>5.0000000000000001E-3</v>
      </c>
      <c r="AX147" s="182">
        <f t="shared" si="97"/>
        <v>2.5000000000000001E-2</v>
      </c>
      <c r="AY147" s="186"/>
      <c r="AZ147" s="190"/>
      <c r="BA147" s="184">
        <f t="shared" ca="1" si="113"/>
        <v>2161</v>
      </c>
      <c r="BB147" s="171">
        <f t="shared" si="98"/>
        <v>16796.11</v>
      </c>
      <c r="BC147" s="171">
        <f t="shared" si="88"/>
        <v>11524.174019838028</v>
      </c>
      <c r="BD147" s="171">
        <f t="shared" si="84"/>
        <v>8366.91</v>
      </c>
      <c r="BE147" s="171">
        <f t="shared" si="84"/>
        <v>3735.3024763804692</v>
      </c>
      <c r="BF147" s="171">
        <f t="shared" si="84"/>
        <v>3735.3024763804692</v>
      </c>
      <c r="BG147" s="171">
        <f t="shared" si="84"/>
        <v>3735.3024763804692</v>
      </c>
      <c r="BI147" s="187">
        <f>IF(A147-'Invoer gegevens'!$C$17&lt;0,0,IF(A147-'Invoer gegevens'!$C$17=0,1,IF(A147-'Invoer gegevens'!$C$17&lt;5,2,IF(A147-'Invoer gegevens'!$C$17&lt;15,3,4))))</f>
        <v>0</v>
      </c>
      <c r="BJ147" s="229">
        <f>IF(BI147&lt;1,0,IF(BI147&lt;2,4%,IF(Reeksen!BI147&lt;3,4%,IF(Reeksen!BI147&lt;4,4%*70%,IF(Reeksen!BI147&lt;5,4%*50%)))))</f>
        <v>0</v>
      </c>
      <c r="BK147" s="243"/>
      <c r="BL147" s="243"/>
      <c r="BM147" s="243"/>
      <c r="BN147" s="243"/>
      <c r="BO147" s="243"/>
      <c r="BP147" s="243"/>
      <c r="BQ147" s="243"/>
      <c r="BR147" s="243"/>
    </row>
    <row r="148" spans="1:70" x14ac:dyDescent="0.25">
      <c r="A148" s="184">
        <f t="shared" si="99"/>
        <v>143</v>
      </c>
      <c r="B148" s="179">
        <f>Dashboard!$C$25</f>
        <v>0.05</v>
      </c>
      <c r="C148" s="179">
        <f>Dashboard!$C$25</f>
        <v>0.05</v>
      </c>
      <c r="D148" s="179">
        <f>Dashboard!$C$25</f>
        <v>0.05</v>
      </c>
      <c r="E148" s="189"/>
      <c r="F148" s="184">
        <f t="shared" ca="1" si="100"/>
        <v>2162</v>
      </c>
      <c r="G148" s="179">
        <f t="shared" si="81"/>
        <v>0.02</v>
      </c>
      <c r="H148" s="182">
        <f t="shared" si="101"/>
        <v>17.068687991613864</v>
      </c>
      <c r="I148" s="179">
        <f t="shared" si="82"/>
        <v>2.5000000000000001E-2</v>
      </c>
      <c r="J148" s="182">
        <f t="shared" si="102"/>
        <v>34.397884073889401</v>
      </c>
      <c r="K148" s="179">
        <f t="shared" si="83"/>
        <v>2.5000000000000001E-2</v>
      </c>
      <c r="L148" s="182">
        <f t="shared" si="103"/>
        <v>34.397884073889401</v>
      </c>
      <c r="M148" s="189"/>
      <c r="N148" s="184">
        <f t="shared" ca="1" si="104"/>
        <v>2162</v>
      </c>
      <c r="O148" s="179">
        <f t="shared" si="116"/>
        <v>0.02</v>
      </c>
      <c r="P148" s="182">
        <f t="shared" si="85"/>
        <v>17.052119372395712</v>
      </c>
      <c r="R148" s="184">
        <f t="shared" ca="1" si="105"/>
        <v>2162</v>
      </c>
      <c r="S148" s="188">
        <f t="shared" si="118"/>
        <v>5.3600000000000002E-3</v>
      </c>
      <c r="U148" s="184">
        <f t="shared" ca="1" si="106"/>
        <v>2162</v>
      </c>
      <c r="V148" s="182">
        <f t="shared" si="89"/>
        <v>0.02</v>
      </c>
      <c r="W148" s="180">
        <f>Parameters!$D$12</f>
        <v>5.0000000000000001E-3</v>
      </c>
      <c r="X148" s="182">
        <f t="shared" si="90"/>
        <v>2.5000000000000001E-2</v>
      </c>
      <c r="Y148" s="182">
        <f t="shared" si="107"/>
        <v>34.431790325663869</v>
      </c>
      <c r="AA148" s="189"/>
      <c r="AB148" s="184">
        <f t="shared" ca="1" si="108"/>
        <v>2162</v>
      </c>
      <c r="AC148" s="171">
        <f t="shared" si="91"/>
        <v>17215.895162831934</v>
      </c>
      <c r="AD148" s="171">
        <f t="shared" si="87"/>
        <v>3810.0085259080788</v>
      </c>
      <c r="AE148" s="171">
        <f t="shared" si="117"/>
        <v>11754.657500234789</v>
      </c>
      <c r="AF148" s="171">
        <f t="shared" si="109"/>
        <v>3810.0085259080788</v>
      </c>
      <c r="AG148" s="171">
        <f t="shared" si="119"/>
        <v>8534.25</v>
      </c>
      <c r="AH148" s="171">
        <f t="shared" si="92"/>
        <v>8534.25</v>
      </c>
      <c r="AI148" s="171">
        <f t="shared" si="93"/>
        <v>3810.0085259080788</v>
      </c>
      <c r="AJ148" s="171">
        <f>IF('Invoer gegevens'!$I$27="DAEB",SMALL(AC148:AD148,1),AC148)</f>
        <v>3810.0085259080788</v>
      </c>
      <c r="AK148" s="171">
        <f>IF('Invoer gegevens'!$I$27="DAEB",SMALL((AE148:AH148),1),SMALL((AF148:AH148),1))</f>
        <v>3810.0085259080788</v>
      </c>
      <c r="AL148" s="171">
        <f t="shared" si="114"/>
        <v>0</v>
      </c>
      <c r="AM148" s="171">
        <f t="shared" si="115"/>
        <v>0</v>
      </c>
      <c r="AN148" s="175">
        <f t="shared" si="110"/>
        <v>538014</v>
      </c>
      <c r="AP148" s="184">
        <f t="shared" ca="1" si="111"/>
        <v>2162</v>
      </c>
      <c r="AQ148" s="185">
        <f t="shared" si="94"/>
        <v>0.02</v>
      </c>
      <c r="AR148" s="182">
        <f t="shared" si="86"/>
        <v>17.052119372395712</v>
      </c>
      <c r="AU148" s="184">
        <f t="shared" ca="1" si="112"/>
        <v>2162</v>
      </c>
      <c r="AV148" s="182">
        <f t="shared" si="95"/>
        <v>0.02</v>
      </c>
      <c r="AW148" s="179">
        <f t="shared" si="96"/>
        <v>5.0000000000000001E-3</v>
      </c>
      <c r="AX148" s="182">
        <f t="shared" si="97"/>
        <v>2.5000000000000001E-2</v>
      </c>
      <c r="AY148" s="186"/>
      <c r="AZ148" s="190"/>
      <c r="BA148" s="184">
        <f t="shared" ca="1" si="113"/>
        <v>2162</v>
      </c>
      <c r="BB148" s="171">
        <f t="shared" si="98"/>
        <v>17216.009999999998</v>
      </c>
      <c r="BC148" s="171">
        <f t="shared" si="88"/>
        <v>11754.657500234789</v>
      </c>
      <c r="BD148" s="171">
        <f t="shared" si="84"/>
        <v>8534.25</v>
      </c>
      <c r="BE148" s="171">
        <f t="shared" si="84"/>
        <v>3810.0085259080788</v>
      </c>
      <c r="BF148" s="171">
        <f t="shared" si="84"/>
        <v>3810.0085259080788</v>
      </c>
      <c r="BG148" s="171">
        <f t="shared" si="84"/>
        <v>3810.0085259080788</v>
      </c>
      <c r="BI148" s="187">
        <f>IF(A148-'Invoer gegevens'!$C$17&lt;0,0,IF(A148-'Invoer gegevens'!$C$17=0,1,IF(A148-'Invoer gegevens'!$C$17&lt;5,2,IF(A148-'Invoer gegevens'!$C$17&lt;15,3,4))))</f>
        <v>0</v>
      </c>
      <c r="BJ148" s="229">
        <f>IF(BI148&lt;1,0,IF(BI148&lt;2,4%,IF(Reeksen!BI148&lt;3,4%,IF(Reeksen!BI148&lt;4,4%*70%,IF(Reeksen!BI148&lt;5,4%*50%)))))</f>
        <v>0</v>
      </c>
      <c r="BK148" s="243"/>
      <c r="BL148" s="243"/>
      <c r="BM148" s="243"/>
      <c r="BN148" s="243"/>
      <c r="BO148" s="243"/>
      <c r="BP148" s="243"/>
      <c r="BQ148" s="243"/>
      <c r="BR148" s="243"/>
    </row>
    <row r="149" spans="1:70" x14ac:dyDescent="0.25">
      <c r="A149" s="184">
        <f t="shared" si="99"/>
        <v>144</v>
      </c>
      <c r="B149" s="179">
        <f>Dashboard!$C$25</f>
        <v>0.05</v>
      </c>
      <c r="C149" s="179">
        <f>Dashboard!$C$25</f>
        <v>0.05</v>
      </c>
      <c r="D149" s="179">
        <f>Dashboard!$C$25</f>
        <v>0.05</v>
      </c>
      <c r="E149" s="189"/>
      <c r="F149" s="184">
        <f t="shared" ca="1" si="100"/>
        <v>2163</v>
      </c>
      <c r="G149" s="179">
        <f t="shared" si="81"/>
        <v>0.02</v>
      </c>
      <c r="H149" s="182">
        <f t="shared" si="101"/>
        <v>17.41006175144614</v>
      </c>
      <c r="I149" s="179">
        <f t="shared" si="82"/>
        <v>2.5000000000000001E-2</v>
      </c>
      <c r="J149" s="182">
        <f t="shared" si="102"/>
        <v>35.257831175736634</v>
      </c>
      <c r="K149" s="179">
        <f t="shared" si="83"/>
        <v>2.5000000000000001E-2</v>
      </c>
      <c r="L149" s="182">
        <f t="shared" si="103"/>
        <v>35.257831175736634</v>
      </c>
      <c r="M149" s="189"/>
      <c r="N149" s="184">
        <f t="shared" ca="1" si="104"/>
        <v>2163</v>
      </c>
      <c r="O149" s="179">
        <f t="shared" si="116"/>
        <v>0.02</v>
      </c>
      <c r="P149" s="182">
        <f t="shared" si="85"/>
        <v>17.393161759843625</v>
      </c>
      <c r="R149" s="184">
        <f t="shared" ca="1" si="105"/>
        <v>2163</v>
      </c>
      <c r="S149" s="188">
        <f t="shared" si="118"/>
        <v>5.3600000000000002E-3</v>
      </c>
      <c r="U149" s="184">
        <f t="shared" ca="1" si="106"/>
        <v>2163</v>
      </c>
      <c r="V149" s="182">
        <f t="shared" si="89"/>
        <v>0.02</v>
      </c>
      <c r="W149" s="180">
        <f>Parameters!$D$12</f>
        <v>5.0000000000000001E-3</v>
      </c>
      <c r="X149" s="182">
        <f t="shared" si="90"/>
        <v>2.5000000000000001E-2</v>
      </c>
      <c r="Y149" s="182">
        <f t="shared" si="107"/>
        <v>35.292585083805463</v>
      </c>
      <c r="AA149" s="189"/>
      <c r="AB149" s="184">
        <f t="shared" ca="1" si="108"/>
        <v>2163</v>
      </c>
      <c r="AC149" s="171">
        <f t="shared" si="91"/>
        <v>17646.292541902731</v>
      </c>
      <c r="AD149" s="171">
        <f t="shared" si="87"/>
        <v>3886.2086964262398</v>
      </c>
      <c r="AE149" s="171">
        <f t="shared" si="117"/>
        <v>11989.750650239484</v>
      </c>
      <c r="AF149" s="171">
        <f t="shared" si="109"/>
        <v>3886.2086964262398</v>
      </c>
      <c r="AG149" s="171">
        <f t="shared" si="119"/>
        <v>8704.94</v>
      </c>
      <c r="AH149" s="171">
        <f t="shared" si="92"/>
        <v>8704.94</v>
      </c>
      <c r="AI149" s="171">
        <f t="shared" si="93"/>
        <v>3886.2086964262398</v>
      </c>
      <c r="AJ149" s="171">
        <f>IF('Invoer gegevens'!$I$27="DAEB",SMALL(AC149:AD149,1),AC149)</f>
        <v>3886.2086964262398</v>
      </c>
      <c r="AK149" s="171">
        <f>IF('Invoer gegevens'!$I$27="DAEB",SMALL((AE149:AH149),1),SMALL((AF149:AH149),1))</f>
        <v>3886.2086964262398</v>
      </c>
      <c r="AL149" s="171">
        <f t="shared" si="114"/>
        <v>0</v>
      </c>
      <c r="AM149" s="171">
        <f t="shared" si="115"/>
        <v>0</v>
      </c>
      <c r="AN149" s="175">
        <f t="shared" si="110"/>
        <v>548774</v>
      </c>
      <c r="AP149" s="184">
        <f t="shared" ca="1" si="111"/>
        <v>2163</v>
      </c>
      <c r="AQ149" s="185">
        <f t="shared" si="94"/>
        <v>0.02</v>
      </c>
      <c r="AR149" s="182">
        <f t="shared" si="86"/>
        <v>17.393161759843625</v>
      </c>
      <c r="AU149" s="184">
        <f t="shared" ca="1" si="112"/>
        <v>2163</v>
      </c>
      <c r="AV149" s="182">
        <f t="shared" si="95"/>
        <v>0.02</v>
      </c>
      <c r="AW149" s="179">
        <f t="shared" si="96"/>
        <v>5.0000000000000001E-3</v>
      </c>
      <c r="AX149" s="182">
        <f t="shared" si="97"/>
        <v>2.5000000000000001E-2</v>
      </c>
      <c r="AY149" s="186"/>
      <c r="AZ149" s="190"/>
      <c r="BA149" s="184">
        <f t="shared" ca="1" si="113"/>
        <v>2163</v>
      </c>
      <c r="BB149" s="171">
        <f t="shared" si="98"/>
        <v>17646.41</v>
      </c>
      <c r="BC149" s="171">
        <f t="shared" si="88"/>
        <v>11989.750650239484</v>
      </c>
      <c r="BD149" s="171">
        <f t="shared" si="84"/>
        <v>8704.94</v>
      </c>
      <c r="BE149" s="171">
        <f t="shared" si="84"/>
        <v>3886.2086964262398</v>
      </c>
      <c r="BF149" s="171">
        <f t="shared" si="84"/>
        <v>3886.2086964262398</v>
      </c>
      <c r="BG149" s="171">
        <f t="shared" si="84"/>
        <v>3886.2086964262398</v>
      </c>
      <c r="BI149" s="187">
        <f>IF(A149-'Invoer gegevens'!$C$17&lt;0,0,IF(A149-'Invoer gegevens'!$C$17=0,1,IF(A149-'Invoer gegevens'!$C$17&lt;5,2,IF(A149-'Invoer gegevens'!$C$17&lt;15,3,4))))</f>
        <v>0</v>
      </c>
      <c r="BJ149" s="229">
        <f>IF(BI149&lt;1,0,IF(BI149&lt;2,4%,IF(Reeksen!BI149&lt;3,4%,IF(Reeksen!BI149&lt;4,4%*70%,IF(Reeksen!BI149&lt;5,4%*50%)))))</f>
        <v>0</v>
      </c>
      <c r="BK149" s="243"/>
      <c r="BL149" s="243"/>
      <c r="BM149" s="243"/>
      <c r="BN149" s="243"/>
      <c r="BO149" s="243"/>
      <c r="BP149" s="243"/>
      <c r="BQ149" s="243"/>
      <c r="BR149" s="243"/>
    </row>
    <row r="150" spans="1:70" x14ac:dyDescent="0.25">
      <c r="A150" s="184">
        <f t="shared" si="99"/>
        <v>145</v>
      </c>
      <c r="B150" s="179">
        <f>Dashboard!$C$25</f>
        <v>0.05</v>
      </c>
      <c r="C150" s="179">
        <f>Dashboard!$C$25</f>
        <v>0.05</v>
      </c>
      <c r="D150" s="179">
        <f>Dashboard!$C$25</f>
        <v>0.05</v>
      </c>
      <c r="E150" s="189"/>
      <c r="F150" s="184">
        <f t="shared" ca="1" si="100"/>
        <v>2164</v>
      </c>
      <c r="G150" s="179">
        <f t="shared" si="81"/>
        <v>0.02</v>
      </c>
      <c r="H150" s="182">
        <f t="shared" si="101"/>
        <v>17.758262986475064</v>
      </c>
      <c r="I150" s="179">
        <f t="shared" si="82"/>
        <v>2.5000000000000001E-2</v>
      </c>
      <c r="J150" s="182">
        <f t="shared" si="102"/>
        <v>36.139276955130043</v>
      </c>
      <c r="K150" s="179">
        <f t="shared" si="83"/>
        <v>2.5000000000000001E-2</v>
      </c>
      <c r="L150" s="182">
        <f t="shared" si="103"/>
        <v>36.139276955130043</v>
      </c>
      <c r="M150" s="189"/>
      <c r="N150" s="184">
        <f t="shared" ca="1" si="104"/>
        <v>2164</v>
      </c>
      <c r="O150" s="179">
        <f t="shared" si="116"/>
        <v>0.02</v>
      </c>
      <c r="P150" s="182">
        <f t="shared" si="85"/>
        <v>17.741024995040497</v>
      </c>
      <c r="R150" s="184">
        <f t="shared" ca="1" si="105"/>
        <v>2164</v>
      </c>
      <c r="S150" s="188">
        <f t="shared" si="118"/>
        <v>5.3600000000000002E-3</v>
      </c>
      <c r="U150" s="184">
        <f t="shared" ca="1" si="106"/>
        <v>2164</v>
      </c>
      <c r="V150" s="182">
        <f t="shared" si="89"/>
        <v>0.02</v>
      </c>
      <c r="W150" s="180">
        <f>Parameters!$D$12</f>
        <v>5.0000000000000001E-3</v>
      </c>
      <c r="X150" s="182">
        <f t="shared" si="90"/>
        <v>2.5000000000000001E-2</v>
      </c>
      <c r="Y150" s="182">
        <f t="shared" si="107"/>
        <v>36.174899710900597</v>
      </c>
      <c r="AA150" s="189"/>
      <c r="AB150" s="184">
        <f t="shared" ca="1" si="108"/>
        <v>2164</v>
      </c>
      <c r="AC150" s="171">
        <f t="shared" si="91"/>
        <v>18087.449855450297</v>
      </c>
      <c r="AD150" s="171">
        <f t="shared" si="87"/>
        <v>3963.9328703547649</v>
      </c>
      <c r="AE150" s="171">
        <f t="shared" si="117"/>
        <v>12229.545663244275</v>
      </c>
      <c r="AF150" s="171">
        <f t="shared" si="109"/>
        <v>3963.9328703547649</v>
      </c>
      <c r="AG150" s="171">
        <f t="shared" si="119"/>
        <v>8879.0400000000009</v>
      </c>
      <c r="AH150" s="171">
        <f t="shared" si="92"/>
        <v>8879.0400000000009</v>
      </c>
      <c r="AI150" s="171">
        <f t="shared" si="93"/>
        <v>3963.9328703547649</v>
      </c>
      <c r="AJ150" s="171">
        <f>IF('Invoer gegevens'!$I$27="DAEB",SMALL(AC150:AD150,1),AC150)</f>
        <v>3963.9328703547649</v>
      </c>
      <c r="AK150" s="171">
        <f>IF('Invoer gegevens'!$I$27="DAEB",SMALL((AE150:AH150),1),SMALL((AF150:AH150),1))</f>
        <v>3963.9328703547649</v>
      </c>
      <c r="AL150" s="171">
        <f t="shared" si="114"/>
        <v>0</v>
      </c>
      <c r="AM150" s="171">
        <f t="shared" si="115"/>
        <v>0</v>
      </c>
      <c r="AN150" s="175">
        <f t="shared" si="110"/>
        <v>559749</v>
      </c>
      <c r="AP150" s="184">
        <f t="shared" ca="1" si="111"/>
        <v>2164</v>
      </c>
      <c r="AQ150" s="185">
        <f t="shared" si="94"/>
        <v>0.02</v>
      </c>
      <c r="AR150" s="182">
        <f t="shared" si="86"/>
        <v>17.741024995040497</v>
      </c>
      <c r="AU150" s="184">
        <f t="shared" ca="1" si="112"/>
        <v>2164</v>
      </c>
      <c r="AV150" s="182">
        <f t="shared" si="95"/>
        <v>0.02</v>
      </c>
      <c r="AW150" s="179">
        <f t="shared" si="96"/>
        <v>5.0000000000000001E-3</v>
      </c>
      <c r="AX150" s="182">
        <f t="shared" si="97"/>
        <v>2.5000000000000001E-2</v>
      </c>
      <c r="AY150" s="186"/>
      <c r="AZ150" s="190"/>
      <c r="BA150" s="184">
        <f t="shared" ca="1" si="113"/>
        <v>2164</v>
      </c>
      <c r="BB150" s="171">
        <f t="shared" si="98"/>
        <v>18087.57</v>
      </c>
      <c r="BC150" s="171">
        <f t="shared" si="88"/>
        <v>12229.545663244275</v>
      </c>
      <c r="BD150" s="171">
        <f t="shared" si="84"/>
        <v>8879.0400000000009</v>
      </c>
      <c r="BE150" s="171">
        <f t="shared" si="84"/>
        <v>3963.9328703547649</v>
      </c>
      <c r="BF150" s="171">
        <f t="shared" si="84"/>
        <v>3963.9328703547649</v>
      </c>
      <c r="BG150" s="171">
        <f t="shared" si="84"/>
        <v>3963.9328703547649</v>
      </c>
      <c r="BI150" s="187">
        <f>IF(A150-'Invoer gegevens'!$C$17&lt;0,0,IF(A150-'Invoer gegevens'!$C$17=0,1,IF(A150-'Invoer gegevens'!$C$17&lt;5,2,IF(A150-'Invoer gegevens'!$C$17&lt;15,3,4))))</f>
        <v>0</v>
      </c>
      <c r="BJ150" s="229">
        <f>IF(BI150&lt;1,0,IF(BI150&lt;2,4%,IF(Reeksen!BI150&lt;3,4%,IF(Reeksen!BI150&lt;4,4%*70%,IF(Reeksen!BI150&lt;5,4%*50%)))))</f>
        <v>0</v>
      </c>
      <c r="BK150" s="243"/>
      <c r="BL150" s="243"/>
      <c r="BM150" s="243"/>
      <c r="BN150" s="243"/>
      <c r="BO150" s="243"/>
      <c r="BP150" s="243"/>
      <c r="BQ150" s="243"/>
      <c r="BR150" s="243"/>
    </row>
    <row r="151" spans="1:70" x14ac:dyDescent="0.25">
      <c r="A151" s="184">
        <f t="shared" si="99"/>
        <v>146</v>
      </c>
      <c r="B151" s="179">
        <f>Dashboard!$C$25</f>
        <v>0.05</v>
      </c>
      <c r="C151" s="179">
        <f>Dashboard!$C$25</f>
        <v>0.05</v>
      </c>
      <c r="D151" s="179">
        <f>Dashboard!$C$25</f>
        <v>0.05</v>
      </c>
      <c r="E151" s="189"/>
      <c r="F151" s="184">
        <f t="shared" ca="1" si="100"/>
        <v>2165</v>
      </c>
      <c r="G151" s="179">
        <f t="shared" si="81"/>
        <v>0.02</v>
      </c>
      <c r="H151" s="182">
        <f t="shared" si="101"/>
        <v>18.113428246204567</v>
      </c>
      <c r="I151" s="179">
        <f t="shared" si="82"/>
        <v>2.5000000000000001E-2</v>
      </c>
      <c r="J151" s="182">
        <f t="shared" si="102"/>
        <v>37.042758879008289</v>
      </c>
      <c r="K151" s="179">
        <f t="shared" si="83"/>
        <v>2.5000000000000001E-2</v>
      </c>
      <c r="L151" s="182">
        <f t="shared" si="103"/>
        <v>37.042758879008289</v>
      </c>
      <c r="M151" s="189"/>
      <c r="N151" s="184">
        <f t="shared" ca="1" si="104"/>
        <v>2165</v>
      </c>
      <c r="O151" s="179">
        <f t="shared" si="116"/>
        <v>0.02</v>
      </c>
      <c r="P151" s="182">
        <f t="shared" si="85"/>
        <v>18.095845494941308</v>
      </c>
      <c r="R151" s="184">
        <f t="shared" ca="1" si="105"/>
        <v>2165</v>
      </c>
      <c r="S151" s="188">
        <f t="shared" si="118"/>
        <v>5.3600000000000002E-3</v>
      </c>
      <c r="U151" s="184">
        <f t="shared" ca="1" si="106"/>
        <v>2165</v>
      </c>
      <c r="V151" s="182">
        <f t="shared" si="89"/>
        <v>0.02</v>
      </c>
      <c r="W151" s="180">
        <f>Parameters!$D$12</f>
        <v>5.0000000000000001E-3</v>
      </c>
      <c r="X151" s="182">
        <f t="shared" si="90"/>
        <v>2.5000000000000001E-2</v>
      </c>
      <c r="Y151" s="182">
        <f t="shared" si="107"/>
        <v>37.079272203673106</v>
      </c>
      <c r="AA151" s="189"/>
      <c r="AB151" s="184">
        <f t="shared" ca="1" si="108"/>
        <v>2165</v>
      </c>
      <c r="AC151" s="171">
        <f t="shared" si="91"/>
        <v>18539.636101836553</v>
      </c>
      <c r="AD151" s="171">
        <f t="shared" si="87"/>
        <v>4043.2115277618609</v>
      </c>
      <c r="AE151" s="171">
        <f t="shared" si="117"/>
        <v>12474.13657650916</v>
      </c>
      <c r="AF151" s="171">
        <f t="shared" si="109"/>
        <v>4043.2115277618609</v>
      </c>
      <c r="AG151" s="171">
        <f t="shared" si="119"/>
        <v>9056.6200000000008</v>
      </c>
      <c r="AH151" s="171">
        <f t="shared" si="92"/>
        <v>9056.6200000000008</v>
      </c>
      <c r="AI151" s="171">
        <f t="shared" si="93"/>
        <v>4043.2115277618609</v>
      </c>
      <c r="AJ151" s="171">
        <f>IF('Invoer gegevens'!$I$27="DAEB",SMALL(AC151:AD151,1),AC151)</f>
        <v>4043.2115277618609</v>
      </c>
      <c r="AK151" s="171">
        <f>IF('Invoer gegevens'!$I$27="DAEB",SMALL((AE151:AH151),1),SMALL((AF151:AH151),1))</f>
        <v>4043.2115277618609</v>
      </c>
      <c r="AL151" s="171">
        <f t="shared" si="114"/>
        <v>0</v>
      </c>
      <c r="AM151" s="171">
        <f t="shared" si="115"/>
        <v>0</v>
      </c>
      <c r="AN151" s="175">
        <f t="shared" si="110"/>
        <v>570944</v>
      </c>
      <c r="AP151" s="184">
        <f t="shared" ca="1" si="111"/>
        <v>2165</v>
      </c>
      <c r="AQ151" s="185">
        <f t="shared" si="94"/>
        <v>0.02</v>
      </c>
      <c r="AR151" s="182">
        <f t="shared" si="86"/>
        <v>18.095845494941308</v>
      </c>
      <c r="AU151" s="184">
        <f t="shared" ca="1" si="112"/>
        <v>2165</v>
      </c>
      <c r="AV151" s="182">
        <f t="shared" si="95"/>
        <v>0.02</v>
      </c>
      <c r="AW151" s="179">
        <f t="shared" si="96"/>
        <v>5.0000000000000001E-3</v>
      </c>
      <c r="AX151" s="182">
        <f t="shared" si="97"/>
        <v>2.5000000000000001E-2</v>
      </c>
      <c r="AY151" s="186"/>
      <c r="AZ151" s="190"/>
      <c r="BA151" s="184">
        <f t="shared" ca="1" si="113"/>
        <v>2165</v>
      </c>
      <c r="BB151" s="171">
        <f t="shared" si="98"/>
        <v>18539.759999999998</v>
      </c>
      <c r="BC151" s="171">
        <f t="shared" si="88"/>
        <v>12474.13657650916</v>
      </c>
      <c r="BD151" s="171">
        <f t="shared" si="84"/>
        <v>9056.6200000000008</v>
      </c>
      <c r="BE151" s="171">
        <f t="shared" si="84"/>
        <v>4043.2115277618609</v>
      </c>
      <c r="BF151" s="171">
        <f t="shared" si="84"/>
        <v>4043.2115277618609</v>
      </c>
      <c r="BG151" s="171">
        <f t="shared" si="84"/>
        <v>4043.2115277618609</v>
      </c>
      <c r="BI151" s="187">
        <f>IF(A151-'Invoer gegevens'!$C$17&lt;0,0,IF(A151-'Invoer gegevens'!$C$17=0,1,IF(A151-'Invoer gegevens'!$C$17&lt;5,2,IF(A151-'Invoer gegevens'!$C$17&lt;15,3,4))))</f>
        <v>0</v>
      </c>
      <c r="BJ151" s="229">
        <f>IF(BI151&lt;1,0,IF(BI151&lt;2,4%,IF(Reeksen!BI151&lt;3,4%,IF(Reeksen!BI151&lt;4,4%*70%,IF(Reeksen!BI151&lt;5,4%*50%)))))</f>
        <v>0</v>
      </c>
      <c r="BK151" s="243"/>
      <c r="BL151" s="243"/>
      <c r="BM151" s="243"/>
      <c r="BN151" s="243"/>
      <c r="BO151" s="243"/>
      <c r="BP151" s="243"/>
      <c r="BQ151" s="243"/>
      <c r="BR151" s="243"/>
    </row>
    <row r="152" spans="1:70" x14ac:dyDescent="0.25">
      <c r="A152" s="184">
        <f t="shared" si="99"/>
        <v>147</v>
      </c>
      <c r="B152" s="179">
        <f>Dashboard!$C$25</f>
        <v>0.05</v>
      </c>
      <c r="C152" s="179">
        <f>Dashboard!$C$25</f>
        <v>0.05</v>
      </c>
      <c r="D152" s="179">
        <f>Dashboard!$C$25</f>
        <v>0.05</v>
      </c>
      <c r="E152" s="189"/>
      <c r="F152" s="184">
        <f t="shared" ca="1" si="100"/>
        <v>2166</v>
      </c>
      <c r="G152" s="179">
        <f t="shared" si="81"/>
        <v>0.02</v>
      </c>
      <c r="H152" s="182">
        <f t="shared" si="101"/>
        <v>18.475696811128657</v>
      </c>
      <c r="I152" s="179">
        <f t="shared" si="82"/>
        <v>2.5000000000000001E-2</v>
      </c>
      <c r="J152" s="182">
        <f t="shared" si="102"/>
        <v>37.968827850983494</v>
      </c>
      <c r="K152" s="179">
        <f t="shared" si="83"/>
        <v>2.5000000000000001E-2</v>
      </c>
      <c r="L152" s="182">
        <f t="shared" si="103"/>
        <v>37.968827850983494</v>
      </c>
      <c r="M152" s="189"/>
      <c r="N152" s="184">
        <f t="shared" ca="1" si="104"/>
        <v>2166</v>
      </c>
      <c r="O152" s="179">
        <f t="shared" si="116"/>
        <v>0.02</v>
      </c>
      <c r="P152" s="182">
        <f t="shared" si="85"/>
        <v>18.457762404840135</v>
      </c>
      <c r="R152" s="184">
        <f t="shared" ca="1" si="105"/>
        <v>2166</v>
      </c>
      <c r="S152" s="188">
        <f t="shared" si="118"/>
        <v>5.3600000000000002E-3</v>
      </c>
      <c r="U152" s="184">
        <f t="shared" ca="1" si="106"/>
        <v>2166</v>
      </c>
      <c r="V152" s="182">
        <f t="shared" si="89"/>
        <v>0.02</v>
      </c>
      <c r="W152" s="180">
        <f>Parameters!$D$12</f>
        <v>5.0000000000000001E-3</v>
      </c>
      <c r="X152" s="182">
        <f t="shared" si="90"/>
        <v>2.5000000000000001E-2</v>
      </c>
      <c r="Y152" s="182">
        <f t="shared" si="107"/>
        <v>38.006254008764934</v>
      </c>
      <c r="AA152" s="189"/>
      <c r="AB152" s="184">
        <f t="shared" ca="1" si="108"/>
        <v>2166</v>
      </c>
      <c r="AC152" s="171">
        <f t="shared" si="91"/>
        <v>19003.127004382466</v>
      </c>
      <c r="AD152" s="171">
        <f t="shared" si="87"/>
        <v>4124.075758317098</v>
      </c>
      <c r="AE152" s="171">
        <f t="shared" si="117"/>
        <v>12723.619308039342</v>
      </c>
      <c r="AF152" s="171">
        <f t="shared" si="109"/>
        <v>4124.075758317098</v>
      </c>
      <c r="AG152" s="171">
        <f t="shared" si="119"/>
        <v>9237.75</v>
      </c>
      <c r="AH152" s="171">
        <f t="shared" si="92"/>
        <v>9237.75</v>
      </c>
      <c r="AI152" s="171">
        <f t="shared" si="93"/>
        <v>4124.075758317098</v>
      </c>
      <c r="AJ152" s="171">
        <f>IF('Invoer gegevens'!$I$27="DAEB",SMALL(AC152:AD152,1),AC152)</f>
        <v>4124.075758317098</v>
      </c>
      <c r="AK152" s="171">
        <f>IF('Invoer gegevens'!$I$27="DAEB",SMALL((AE152:AH152),1),SMALL((AF152:AH152),1))</f>
        <v>4124.075758317098</v>
      </c>
      <c r="AL152" s="171">
        <f t="shared" si="114"/>
        <v>0</v>
      </c>
      <c r="AM152" s="171">
        <f t="shared" si="115"/>
        <v>0</v>
      </c>
      <c r="AN152" s="175">
        <f t="shared" si="110"/>
        <v>582363</v>
      </c>
      <c r="AP152" s="184">
        <f t="shared" ca="1" si="111"/>
        <v>2166</v>
      </c>
      <c r="AQ152" s="185">
        <f t="shared" si="94"/>
        <v>0.02</v>
      </c>
      <c r="AR152" s="182">
        <f t="shared" si="86"/>
        <v>18.457762404840135</v>
      </c>
      <c r="AU152" s="184">
        <f t="shared" ca="1" si="112"/>
        <v>2166</v>
      </c>
      <c r="AV152" s="182">
        <f t="shared" si="95"/>
        <v>0.02</v>
      </c>
      <c r="AW152" s="179">
        <f t="shared" si="96"/>
        <v>5.0000000000000001E-3</v>
      </c>
      <c r="AX152" s="182">
        <f t="shared" si="97"/>
        <v>2.5000000000000001E-2</v>
      </c>
      <c r="AY152" s="186"/>
      <c r="AZ152" s="190"/>
      <c r="BA152" s="184">
        <f t="shared" ca="1" si="113"/>
        <v>2166</v>
      </c>
      <c r="BB152" s="171">
        <f t="shared" si="98"/>
        <v>19003.25</v>
      </c>
      <c r="BC152" s="171">
        <f t="shared" si="88"/>
        <v>12723.619308039342</v>
      </c>
      <c r="BD152" s="171">
        <f t="shared" si="84"/>
        <v>9237.75</v>
      </c>
      <c r="BE152" s="171">
        <f t="shared" si="84"/>
        <v>4124.075758317098</v>
      </c>
      <c r="BF152" s="171">
        <f t="shared" si="84"/>
        <v>4124.075758317098</v>
      </c>
      <c r="BG152" s="171">
        <f t="shared" si="84"/>
        <v>4124.075758317098</v>
      </c>
      <c r="BI152" s="187">
        <f>IF(A152-'Invoer gegevens'!$C$17&lt;0,0,IF(A152-'Invoer gegevens'!$C$17=0,1,IF(A152-'Invoer gegevens'!$C$17&lt;5,2,IF(A152-'Invoer gegevens'!$C$17&lt;15,3,4))))</f>
        <v>0</v>
      </c>
      <c r="BJ152" s="229">
        <f>IF(BI152&lt;1,0,IF(BI152&lt;2,4%,IF(Reeksen!BI152&lt;3,4%,IF(Reeksen!BI152&lt;4,4%*70%,IF(Reeksen!BI152&lt;5,4%*50%)))))</f>
        <v>0</v>
      </c>
      <c r="BK152" s="243"/>
      <c r="BL152" s="243"/>
      <c r="BM152" s="243"/>
      <c r="BN152" s="243"/>
      <c r="BO152" s="243"/>
      <c r="BP152" s="243"/>
      <c r="BQ152" s="243"/>
      <c r="BR152" s="243"/>
    </row>
    <row r="153" spans="1:70" x14ac:dyDescent="0.25">
      <c r="A153" s="184">
        <f t="shared" si="99"/>
        <v>148</v>
      </c>
      <c r="B153" s="179">
        <f>Dashboard!$C$25</f>
        <v>0.05</v>
      </c>
      <c r="C153" s="179">
        <f>Dashboard!$C$25</f>
        <v>0.05</v>
      </c>
      <c r="D153" s="179">
        <f>Dashboard!$C$25</f>
        <v>0.05</v>
      </c>
      <c r="E153" s="189"/>
      <c r="F153" s="184">
        <f t="shared" ca="1" si="100"/>
        <v>2167</v>
      </c>
      <c r="G153" s="179">
        <f t="shared" ref="G153:G216" si="120">G152</f>
        <v>0.02</v>
      </c>
      <c r="H153" s="182">
        <f t="shared" si="101"/>
        <v>18.845210747351231</v>
      </c>
      <c r="I153" s="179">
        <f t="shared" ref="I153:I216" si="121">I152</f>
        <v>2.5000000000000001E-2</v>
      </c>
      <c r="J153" s="182">
        <f t="shared" si="102"/>
        <v>38.918048547258081</v>
      </c>
      <c r="K153" s="179">
        <f t="shared" ref="K153:K216" si="122">K152</f>
        <v>2.5000000000000001E-2</v>
      </c>
      <c r="L153" s="182">
        <f t="shared" si="103"/>
        <v>38.918048547258081</v>
      </c>
      <c r="M153" s="189"/>
      <c r="N153" s="184">
        <f t="shared" ca="1" si="104"/>
        <v>2167</v>
      </c>
      <c r="O153" s="179">
        <f t="shared" si="116"/>
        <v>0.02</v>
      </c>
      <c r="P153" s="182">
        <f t="shared" si="85"/>
        <v>18.826917652936938</v>
      </c>
      <c r="R153" s="184">
        <f t="shared" ca="1" si="105"/>
        <v>2167</v>
      </c>
      <c r="S153" s="188">
        <f t="shared" si="118"/>
        <v>5.3600000000000002E-3</v>
      </c>
      <c r="U153" s="184">
        <f t="shared" ca="1" si="106"/>
        <v>2167</v>
      </c>
      <c r="V153" s="182">
        <f t="shared" si="89"/>
        <v>0.02</v>
      </c>
      <c r="W153" s="180">
        <f>Parameters!$D$12</f>
        <v>5.0000000000000001E-3</v>
      </c>
      <c r="X153" s="182">
        <f t="shared" si="90"/>
        <v>2.5000000000000001E-2</v>
      </c>
      <c r="Y153" s="182">
        <f t="shared" si="107"/>
        <v>38.956410358984051</v>
      </c>
      <c r="AA153" s="189"/>
      <c r="AB153" s="184">
        <f t="shared" ca="1" si="108"/>
        <v>2167</v>
      </c>
      <c r="AC153" s="171">
        <f t="shared" si="91"/>
        <v>19478.205179492026</v>
      </c>
      <c r="AD153" s="171">
        <f t="shared" si="87"/>
        <v>4206.5572734834395</v>
      </c>
      <c r="AE153" s="171">
        <f t="shared" si="117"/>
        <v>12978.091694200129</v>
      </c>
      <c r="AF153" s="171">
        <f t="shared" si="109"/>
        <v>4206.5572734834395</v>
      </c>
      <c r="AG153" s="171">
        <f t="shared" si="119"/>
        <v>9422.51</v>
      </c>
      <c r="AH153" s="171">
        <f t="shared" si="92"/>
        <v>9422.51</v>
      </c>
      <c r="AI153" s="171">
        <f t="shared" si="93"/>
        <v>4206.5572734834395</v>
      </c>
      <c r="AJ153" s="171">
        <f>IF('Invoer gegevens'!$I$27="DAEB",SMALL(AC153:AD153,1),AC153)</f>
        <v>4206.5572734834395</v>
      </c>
      <c r="AK153" s="171">
        <f>IF('Invoer gegevens'!$I$27="DAEB",SMALL((AE153:AH153),1),SMALL((AF153:AH153),1))</f>
        <v>4206.5572734834395</v>
      </c>
      <c r="AL153" s="171">
        <f t="shared" si="114"/>
        <v>0</v>
      </c>
      <c r="AM153" s="171">
        <f t="shared" si="115"/>
        <v>0</v>
      </c>
      <c r="AN153" s="175">
        <f t="shared" si="110"/>
        <v>594010</v>
      </c>
      <c r="AP153" s="184">
        <f t="shared" ca="1" si="111"/>
        <v>2167</v>
      </c>
      <c r="AQ153" s="185">
        <f t="shared" si="94"/>
        <v>0.02</v>
      </c>
      <c r="AR153" s="182">
        <f t="shared" si="86"/>
        <v>18.826917652936938</v>
      </c>
      <c r="AU153" s="184">
        <f t="shared" ca="1" si="112"/>
        <v>2167</v>
      </c>
      <c r="AV153" s="182">
        <f t="shared" si="95"/>
        <v>0.02</v>
      </c>
      <c r="AW153" s="179">
        <f t="shared" si="96"/>
        <v>5.0000000000000001E-3</v>
      </c>
      <c r="AX153" s="182">
        <f t="shared" si="97"/>
        <v>2.5000000000000001E-2</v>
      </c>
      <c r="AY153" s="186"/>
      <c r="AZ153" s="190"/>
      <c r="BA153" s="184">
        <f t="shared" ca="1" si="113"/>
        <v>2167</v>
      </c>
      <c r="BB153" s="171">
        <f t="shared" si="98"/>
        <v>19478.330000000002</v>
      </c>
      <c r="BC153" s="171">
        <f t="shared" si="88"/>
        <v>12978.091694200129</v>
      </c>
      <c r="BD153" s="171">
        <f t="shared" si="84"/>
        <v>9422.51</v>
      </c>
      <c r="BE153" s="171">
        <f t="shared" si="84"/>
        <v>4206.5572734834395</v>
      </c>
      <c r="BF153" s="171">
        <f t="shared" si="84"/>
        <v>4206.5572734834395</v>
      </c>
      <c r="BG153" s="171">
        <f t="shared" si="84"/>
        <v>4206.5572734834395</v>
      </c>
      <c r="BI153" s="187">
        <f>IF(A153-'Invoer gegevens'!$C$17&lt;0,0,IF(A153-'Invoer gegevens'!$C$17=0,1,IF(A153-'Invoer gegevens'!$C$17&lt;5,2,IF(A153-'Invoer gegevens'!$C$17&lt;15,3,4))))</f>
        <v>0</v>
      </c>
      <c r="BJ153" s="229">
        <f>IF(BI153&lt;1,0,IF(BI153&lt;2,4%,IF(Reeksen!BI153&lt;3,4%,IF(Reeksen!BI153&lt;4,4%*70%,IF(Reeksen!BI153&lt;5,4%*50%)))))</f>
        <v>0</v>
      </c>
      <c r="BK153" s="243"/>
      <c r="BL153" s="243"/>
      <c r="BM153" s="243"/>
      <c r="BN153" s="243"/>
      <c r="BO153" s="243"/>
      <c r="BP153" s="243"/>
      <c r="BQ153" s="243"/>
      <c r="BR153" s="243"/>
    </row>
    <row r="154" spans="1:70" x14ac:dyDescent="0.25">
      <c r="A154" s="184">
        <f t="shared" si="99"/>
        <v>149</v>
      </c>
      <c r="B154" s="179">
        <f>Dashboard!$C$25</f>
        <v>0.05</v>
      </c>
      <c r="C154" s="179">
        <f>Dashboard!$C$25</f>
        <v>0.05</v>
      </c>
      <c r="D154" s="179">
        <f>Dashboard!$C$25</f>
        <v>0.05</v>
      </c>
      <c r="E154" s="189"/>
      <c r="F154" s="184">
        <f t="shared" ca="1" si="100"/>
        <v>2168</v>
      </c>
      <c r="G154" s="179">
        <f t="shared" si="120"/>
        <v>0.02</v>
      </c>
      <c r="H154" s="182">
        <f t="shared" si="101"/>
        <v>19.222114962298257</v>
      </c>
      <c r="I154" s="179">
        <f t="shared" si="121"/>
        <v>2.5000000000000001E-2</v>
      </c>
      <c r="J154" s="182">
        <f t="shared" si="102"/>
        <v>39.890999760939529</v>
      </c>
      <c r="K154" s="179">
        <f t="shared" si="122"/>
        <v>2.5000000000000001E-2</v>
      </c>
      <c r="L154" s="182">
        <f t="shared" si="103"/>
        <v>39.890999760939529</v>
      </c>
      <c r="M154" s="189"/>
      <c r="N154" s="184">
        <f t="shared" ca="1" si="104"/>
        <v>2168</v>
      </c>
      <c r="O154" s="179">
        <f t="shared" si="116"/>
        <v>0.02</v>
      </c>
      <c r="P154" s="182">
        <f t="shared" si="85"/>
        <v>19.203456005995676</v>
      </c>
      <c r="R154" s="184">
        <f t="shared" ca="1" si="105"/>
        <v>2168</v>
      </c>
      <c r="S154" s="188">
        <f t="shared" si="118"/>
        <v>5.3600000000000002E-3</v>
      </c>
      <c r="U154" s="184">
        <f t="shared" ca="1" si="106"/>
        <v>2168</v>
      </c>
      <c r="V154" s="182">
        <f t="shared" si="89"/>
        <v>0.02</v>
      </c>
      <c r="W154" s="180">
        <f>Parameters!$D$12</f>
        <v>5.0000000000000001E-3</v>
      </c>
      <c r="X154" s="182">
        <f t="shared" si="90"/>
        <v>2.5000000000000001E-2</v>
      </c>
      <c r="Y154" s="182">
        <f t="shared" si="107"/>
        <v>39.93032061795865</v>
      </c>
      <c r="AA154" s="189"/>
      <c r="AB154" s="184">
        <f t="shared" ca="1" si="108"/>
        <v>2168</v>
      </c>
      <c r="AC154" s="171">
        <f t="shared" si="91"/>
        <v>19965.160308979324</v>
      </c>
      <c r="AD154" s="171">
        <f t="shared" si="87"/>
        <v>4290.6884189531092</v>
      </c>
      <c r="AE154" s="171">
        <f t="shared" si="117"/>
        <v>13237.653528084133</v>
      </c>
      <c r="AF154" s="171">
        <f t="shared" si="109"/>
        <v>4290.6884189531092</v>
      </c>
      <c r="AG154" s="171">
        <f t="shared" si="119"/>
        <v>9610.9599999999991</v>
      </c>
      <c r="AH154" s="171">
        <f t="shared" si="92"/>
        <v>9610.9599999999991</v>
      </c>
      <c r="AI154" s="171">
        <f t="shared" si="93"/>
        <v>4290.6884189531092</v>
      </c>
      <c r="AJ154" s="171">
        <f>IF('Invoer gegevens'!$I$27="DAEB",SMALL(AC154:AD154,1),AC154)</f>
        <v>4290.6884189531092</v>
      </c>
      <c r="AK154" s="171">
        <f>IF('Invoer gegevens'!$I$27="DAEB",SMALL((AE154:AH154),1),SMALL((AF154:AH154),1))</f>
        <v>4290.6884189531092</v>
      </c>
      <c r="AL154" s="171">
        <f t="shared" si="114"/>
        <v>0</v>
      </c>
      <c r="AM154" s="171">
        <f t="shared" si="115"/>
        <v>0</v>
      </c>
      <c r="AN154" s="175">
        <f t="shared" si="110"/>
        <v>605890</v>
      </c>
      <c r="AP154" s="184">
        <f t="shared" ca="1" si="111"/>
        <v>2168</v>
      </c>
      <c r="AQ154" s="185">
        <f t="shared" si="94"/>
        <v>0.02</v>
      </c>
      <c r="AR154" s="182">
        <f t="shared" si="86"/>
        <v>19.203456005995676</v>
      </c>
      <c r="AU154" s="184">
        <f t="shared" ca="1" si="112"/>
        <v>2168</v>
      </c>
      <c r="AV154" s="182">
        <f t="shared" si="95"/>
        <v>0.02</v>
      </c>
      <c r="AW154" s="179">
        <f t="shared" si="96"/>
        <v>5.0000000000000001E-3</v>
      </c>
      <c r="AX154" s="182">
        <f t="shared" si="97"/>
        <v>2.5000000000000001E-2</v>
      </c>
      <c r="AY154" s="186"/>
      <c r="AZ154" s="190"/>
      <c r="BA154" s="184">
        <f t="shared" ca="1" si="113"/>
        <v>2168</v>
      </c>
      <c r="BB154" s="171">
        <f t="shared" si="98"/>
        <v>19965.29</v>
      </c>
      <c r="BC154" s="171">
        <f t="shared" si="88"/>
        <v>13237.653528084133</v>
      </c>
      <c r="BD154" s="171">
        <f t="shared" si="84"/>
        <v>9610.9599999999991</v>
      </c>
      <c r="BE154" s="171">
        <f t="shared" si="84"/>
        <v>4290.6884189531092</v>
      </c>
      <c r="BF154" s="171">
        <f t="shared" si="84"/>
        <v>4290.6884189531092</v>
      </c>
      <c r="BG154" s="171">
        <f t="shared" si="84"/>
        <v>4290.6884189531092</v>
      </c>
      <c r="BI154" s="187">
        <f>IF(A154-'Invoer gegevens'!$C$17&lt;0,0,IF(A154-'Invoer gegevens'!$C$17=0,1,IF(A154-'Invoer gegevens'!$C$17&lt;5,2,IF(A154-'Invoer gegevens'!$C$17&lt;15,3,4))))</f>
        <v>0</v>
      </c>
      <c r="BJ154" s="229">
        <f>IF(BI154&lt;1,0,IF(BI154&lt;2,4%,IF(Reeksen!BI154&lt;3,4%,IF(Reeksen!BI154&lt;4,4%*70%,IF(Reeksen!BI154&lt;5,4%*50%)))))</f>
        <v>0</v>
      </c>
      <c r="BK154" s="243"/>
      <c r="BL154" s="243"/>
      <c r="BM154" s="243"/>
      <c r="BN154" s="243"/>
      <c r="BO154" s="243"/>
      <c r="BP154" s="243"/>
      <c r="BQ154" s="243"/>
      <c r="BR154" s="243"/>
    </row>
    <row r="155" spans="1:70" x14ac:dyDescent="0.25">
      <c r="A155" s="184">
        <f t="shared" si="99"/>
        <v>150</v>
      </c>
      <c r="B155" s="179">
        <f>Dashboard!$C$25</f>
        <v>0.05</v>
      </c>
      <c r="C155" s="179">
        <f>Dashboard!$C$25</f>
        <v>0.05</v>
      </c>
      <c r="D155" s="179">
        <f>Dashboard!$C$25</f>
        <v>0.05</v>
      </c>
      <c r="E155" s="189"/>
      <c r="F155" s="184">
        <f t="shared" ca="1" si="100"/>
        <v>2169</v>
      </c>
      <c r="G155" s="179">
        <f t="shared" si="120"/>
        <v>0.02</v>
      </c>
      <c r="H155" s="182">
        <f t="shared" si="101"/>
        <v>19.606557261544221</v>
      </c>
      <c r="I155" s="179">
        <f t="shared" si="121"/>
        <v>2.5000000000000001E-2</v>
      </c>
      <c r="J155" s="182">
        <f t="shared" si="102"/>
        <v>40.888274754963014</v>
      </c>
      <c r="K155" s="179">
        <f t="shared" si="122"/>
        <v>2.5000000000000001E-2</v>
      </c>
      <c r="L155" s="182">
        <f t="shared" si="103"/>
        <v>40.888274754963014</v>
      </c>
      <c r="M155" s="189"/>
      <c r="N155" s="184">
        <f t="shared" ca="1" si="104"/>
        <v>2169</v>
      </c>
      <c r="O155" s="179">
        <f t="shared" si="116"/>
        <v>0.02</v>
      </c>
      <c r="P155" s="182">
        <f t="shared" si="85"/>
        <v>19.58752512611559</v>
      </c>
      <c r="R155" s="184">
        <f t="shared" ca="1" si="105"/>
        <v>2169</v>
      </c>
      <c r="S155" s="188">
        <f t="shared" si="118"/>
        <v>5.3600000000000002E-3</v>
      </c>
      <c r="U155" s="184">
        <f t="shared" ca="1" si="106"/>
        <v>2169</v>
      </c>
      <c r="V155" s="182">
        <f t="shared" si="89"/>
        <v>0.02</v>
      </c>
      <c r="W155" s="180">
        <f>Parameters!$D$12</f>
        <v>5.0000000000000001E-3</v>
      </c>
      <c r="X155" s="182">
        <f t="shared" si="90"/>
        <v>2.5000000000000001E-2</v>
      </c>
      <c r="Y155" s="182">
        <f t="shared" si="107"/>
        <v>40.928578633407611</v>
      </c>
      <c r="AA155" s="189"/>
      <c r="AB155" s="184">
        <f t="shared" ca="1" si="108"/>
        <v>2169</v>
      </c>
      <c r="AC155" s="171">
        <f t="shared" si="91"/>
        <v>20464.289316703806</v>
      </c>
      <c r="AD155" s="171">
        <f t="shared" si="87"/>
        <v>4376.5021873321712</v>
      </c>
      <c r="AE155" s="171">
        <f t="shared" si="117"/>
        <v>13502.406598645815</v>
      </c>
      <c r="AF155" s="171">
        <f t="shared" si="109"/>
        <v>4376.5021873321712</v>
      </c>
      <c r="AG155" s="171">
        <f t="shared" si="119"/>
        <v>9803.18</v>
      </c>
      <c r="AH155" s="171">
        <f t="shared" si="92"/>
        <v>9803.18</v>
      </c>
      <c r="AI155" s="171">
        <f t="shared" si="93"/>
        <v>4376.5021873321712</v>
      </c>
      <c r="AJ155" s="171">
        <f>IF('Invoer gegevens'!$I$27="DAEB",SMALL(AC155:AD155,1),AC155)</f>
        <v>4376.5021873321712</v>
      </c>
      <c r="AK155" s="171">
        <f>IF('Invoer gegevens'!$I$27="DAEB",SMALL((AE155:AH155),1),SMALL((AF155:AH155),1))</f>
        <v>4376.5021873321712</v>
      </c>
      <c r="AL155" s="171">
        <f t="shared" si="114"/>
        <v>0</v>
      </c>
      <c r="AM155" s="171">
        <f t="shared" si="115"/>
        <v>0</v>
      </c>
      <c r="AN155" s="175">
        <f t="shared" si="110"/>
        <v>618008</v>
      </c>
      <c r="AP155" s="184">
        <f t="shared" ca="1" si="111"/>
        <v>2169</v>
      </c>
      <c r="AQ155" s="185">
        <f t="shared" si="94"/>
        <v>0.02</v>
      </c>
      <c r="AR155" s="182">
        <f t="shared" si="86"/>
        <v>19.58752512611559</v>
      </c>
      <c r="AU155" s="184">
        <f t="shared" ca="1" si="112"/>
        <v>2169</v>
      </c>
      <c r="AV155" s="182">
        <f t="shared" si="95"/>
        <v>0.02</v>
      </c>
      <c r="AW155" s="179">
        <f t="shared" si="96"/>
        <v>5.0000000000000001E-3</v>
      </c>
      <c r="AX155" s="182">
        <f t="shared" si="97"/>
        <v>2.5000000000000001E-2</v>
      </c>
      <c r="AY155" s="186"/>
      <c r="AZ155" s="190"/>
      <c r="BA155" s="184">
        <f t="shared" ca="1" si="113"/>
        <v>2169</v>
      </c>
      <c r="BB155" s="171">
        <f t="shared" si="98"/>
        <v>20464.419999999998</v>
      </c>
      <c r="BC155" s="171">
        <f t="shared" si="88"/>
        <v>13502.406598645815</v>
      </c>
      <c r="BD155" s="171">
        <f t="shared" si="84"/>
        <v>9803.18</v>
      </c>
      <c r="BE155" s="171">
        <f t="shared" si="84"/>
        <v>4376.5021873321712</v>
      </c>
      <c r="BF155" s="171">
        <f t="shared" si="84"/>
        <v>4376.5021873321712</v>
      </c>
      <c r="BG155" s="171">
        <f t="shared" si="84"/>
        <v>4376.5021873321712</v>
      </c>
      <c r="BI155" s="187">
        <f>IF(A155-'Invoer gegevens'!$C$17&lt;0,0,IF(A155-'Invoer gegevens'!$C$17=0,1,IF(A155-'Invoer gegevens'!$C$17&lt;5,2,IF(A155-'Invoer gegevens'!$C$17&lt;15,3,4))))</f>
        <v>0</v>
      </c>
      <c r="BJ155" s="229">
        <f>IF(BI155&lt;1,0,IF(BI155&lt;2,4%,IF(Reeksen!BI155&lt;3,4%,IF(Reeksen!BI155&lt;4,4%*70%,IF(Reeksen!BI155&lt;5,4%*50%)))))</f>
        <v>0</v>
      </c>
      <c r="BK155" s="243"/>
      <c r="BL155" s="243"/>
      <c r="BM155" s="243"/>
      <c r="BN155" s="243"/>
      <c r="BO155" s="243"/>
      <c r="BP155" s="243"/>
      <c r="BQ155" s="243"/>
      <c r="BR155" s="243"/>
    </row>
    <row r="156" spans="1:70" x14ac:dyDescent="0.25">
      <c r="A156" s="184">
        <f t="shared" si="99"/>
        <v>151</v>
      </c>
      <c r="B156" s="179">
        <f>Dashboard!$C$25</f>
        <v>0.05</v>
      </c>
      <c r="C156" s="179">
        <f>Dashboard!$C$25</f>
        <v>0.05</v>
      </c>
      <c r="D156" s="179">
        <f>Dashboard!$C$25</f>
        <v>0.05</v>
      </c>
      <c r="E156" s="189"/>
      <c r="F156" s="184">
        <f t="shared" ca="1" si="100"/>
        <v>2170</v>
      </c>
      <c r="G156" s="179">
        <f t="shared" si="120"/>
        <v>0.02</v>
      </c>
      <c r="H156" s="182">
        <f t="shared" si="101"/>
        <v>19.998688406775106</v>
      </c>
      <c r="I156" s="179">
        <f t="shared" si="121"/>
        <v>2.5000000000000001E-2</v>
      </c>
      <c r="J156" s="182">
        <f t="shared" si="102"/>
        <v>41.910481623837086</v>
      </c>
      <c r="K156" s="179">
        <f t="shared" si="122"/>
        <v>2.5000000000000001E-2</v>
      </c>
      <c r="L156" s="182">
        <f t="shared" si="103"/>
        <v>41.910481623837086</v>
      </c>
      <c r="M156" s="189"/>
      <c r="N156" s="184">
        <f t="shared" ca="1" si="104"/>
        <v>2170</v>
      </c>
      <c r="O156" s="179">
        <f t="shared" si="116"/>
        <v>0.02</v>
      </c>
      <c r="P156" s="182">
        <f t="shared" si="85"/>
        <v>19.979275628637904</v>
      </c>
      <c r="R156" s="184">
        <f t="shared" ca="1" si="105"/>
        <v>2170</v>
      </c>
      <c r="S156" s="188">
        <f t="shared" si="118"/>
        <v>5.3600000000000002E-3</v>
      </c>
      <c r="U156" s="184">
        <f t="shared" ca="1" si="106"/>
        <v>2170</v>
      </c>
      <c r="V156" s="182">
        <f t="shared" si="89"/>
        <v>0.02</v>
      </c>
      <c r="W156" s="180">
        <f>Parameters!$D$12</f>
        <v>5.0000000000000001E-3</v>
      </c>
      <c r="X156" s="182">
        <f t="shared" si="90"/>
        <v>2.5000000000000001E-2</v>
      </c>
      <c r="Y156" s="182">
        <f t="shared" si="107"/>
        <v>41.951793099242799</v>
      </c>
      <c r="AA156" s="189"/>
      <c r="AB156" s="184">
        <f t="shared" ca="1" si="108"/>
        <v>2170</v>
      </c>
      <c r="AC156" s="171">
        <f t="shared" si="91"/>
        <v>20975.8965496214</v>
      </c>
      <c r="AD156" s="171">
        <f t="shared" si="87"/>
        <v>4464.0322310788142</v>
      </c>
      <c r="AE156" s="171">
        <f t="shared" si="117"/>
        <v>13772.454730618732</v>
      </c>
      <c r="AF156" s="171">
        <f t="shared" si="109"/>
        <v>4464.0322310788142</v>
      </c>
      <c r="AG156" s="171">
        <f t="shared" si="119"/>
        <v>9999.24</v>
      </c>
      <c r="AH156" s="171">
        <f t="shared" si="92"/>
        <v>9999.24</v>
      </c>
      <c r="AI156" s="171">
        <f t="shared" si="93"/>
        <v>4464.0322310788142</v>
      </c>
      <c r="AJ156" s="171">
        <f>IF('Invoer gegevens'!$I$27="DAEB",SMALL(AC156:AD156,1),AC156)</f>
        <v>4464.0322310788142</v>
      </c>
      <c r="AK156" s="171">
        <f>IF('Invoer gegevens'!$I$27="DAEB",SMALL((AE156:AH156),1),SMALL((AF156:AH156),1))</f>
        <v>4464.0322310788142</v>
      </c>
      <c r="AL156" s="171">
        <f t="shared" si="114"/>
        <v>0</v>
      </c>
      <c r="AM156" s="171">
        <f t="shared" si="115"/>
        <v>0</v>
      </c>
      <c r="AN156" s="175">
        <f t="shared" si="110"/>
        <v>630368</v>
      </c>
      <c r="AP156" s="184">
        <f t="shared" ca="1" si="111"/>
        <v>2170</v>
      </c>
      <c r="AQ156" s="185">
        <f t="shared" si="94"/>
        <v>0.02</v>
      </c>
      <c r="AR156" s="182">
        <f t="shared" si="86"/>
        <v>19.979275628637904</v>
      </c>
      <c r="AU156" s="184">
        <f t="shared" ca="1" si="112"/>
        <v>2170</v>
      </c>
      <c r="AV156" s="182">
        <f t="shared" si="95"/>
        <v>0.02</v>
      </c>
      <c r="AW156" s="179">
        <f t="shared" si="96"/>
        <v>5.0000000000000001E-3</v>
      </c>
      <c r="AX156" s="182">
        <f t="shared" si="97"/>
        <v>2.5000000000000001E-2</v>
      </c>
      <c r="AY156" s="186"/>
      <c r="AZ156" s="190"/>
      <c r="BA156" s="184">
        <f t="shared" ca="1" si="113"/>
        <v>2170</v>
      </c>
      <c r="BB156" s="171">
        <f t="shared" si="98"/>
        <v>20976.03</v>
      </c>
      <c r="BC156" s="171">
        <f t="shared" si="88"/>
        <v>13772.454730618732</v>
      </c>
      <c r="BD156" s="171">
        <f t="shared" si="84"/>
        <v>9999.24</v>
      </c>
      <c r="BE156" s="171">
        <f t="shared" si="84"/>
        <v>4464.0322310788142</v>
      </c>
      <c r="BF156" s="171">
        <f t="shared" si="84"/>
        <v>4464.0322310788142</v>
      </c>
      <c r="BG156" s="171">
        <f t="shared" si="84"/>
        <v>4464.0322310788142</v>
      </c>
      <c r="BI156" s="187">
        <f>IF(A156-'Invoer gegevens'!$C$17&lt;0,0,IF(A156-'Invoer gegevens'!$C$17=0,1,IF(A156-'Invoer gegevens'!$C$17&lt;5,2,IF(A156-'Invoer gegevens'!$C$17&lt;15,3,4))))</f>
        <v>0</v>
      </c>
      <c r="BJ156" s="229">
        <f>IF(BI156&lt;1,0,IF(BI156&lt;2,4%,IF(Reeksen!BI156&lt;3,4%,IF(Reeksen!BI156&lt;4,4%*70%,IF(Reeksen!BI156&lt;5,4%*50%)))))</f>
        <v>0</v>
      </c>
      <c r="BK156" s="243"/>
      <c r="BL156" s="243"/>
      <c r="BM156" s="243"/>
      <c r="BN156" s="243"/>
      <c r="BO156" s="243"/>
      <c r="BP156" s="243"/>
      <c r="BQ156" s="243"/>
      <c r="BR156" s="243"/>
    </row>
    <row r="157" spans="1:70" x14ac:dyDescent="0.25">
      <c r="A157" s="184">
        <f t="shared" si="99"/>
        <v>152</v>
      </c>
      <c r="B157" s="179">
        <f>Dashboard!$C$25</f>
        <v>0.05</v>
      </c>
      <c r="C157" s="179">
        <f>Dashboard!$C$25</f>
        <v>0.05</v>
      </c>
      <c r="D157" s="179">
        <f>Dashboard!$C$25</f>
        <v>0.05</v>
      </c>
      <c r="E157" s="189"/>
      <c r="F157" s="184">
        <f t="shared" ca="1" si="100"/>
        <v>2171</v>
      </c>
      <c r="G157" s="179">
        <f t="shared" si="120"/>
        <v>0.02</v>
      </c>
      <c r="H157" s="182">
        <f t="shared" si="101"/>
        <v>20.398662174910609</v>
      </c>
      <c r="I157" s="179">
        <f t="shared" si="121"/>
        <v>2.5000000000000001E-2</v>
      </c>
      <c r="J157" s="182">
        <f t="shared" si="102"/>
        <v>42.958243664433006</v>
      </c>
      <c r="K157" s="179">
        <f t="shared" si="122"/>
        <v>2.5000000000000001E-2</v>
      </c>
      <c r="L157" s="182">
        <f t="shared" si="103"/>
        <v>42.958243664433006</v>
      </c>
      <c r="M157" s="189"/>
      <c r="N157" s="184">
        <f t="shared" ca="1" si="104"/>
        <v>2171</v>
      </c>
      <c r="O157" s="179">
        <f t="shared" si="116"/>
        <v>0.02</v>
      </c>
      <c r="P157" s="182">
        <f t="shared" si="85"/>
        <v>20.378861141210663</v>
      </c>
      <c r="R157" s="184">
        <f t="shared" ca="1" si="105"/>
        <v>2171</v>
      </c>
      <c r="S157" s="188">
        <f t="shared" si="118"/>
        <v>5.3600000000000002E-3</v>
      </c>
      <c r="U157" s="184">
        <f t="shared" ca="1" si="106"/>
        <v>2171</v>
      </c>
      <c r="V157" s="182">
        <f t="shared" si="89"/>
        <v>0.02</v>
      </c>
      <c r="W157" s="180">
        <f>Parameters!$D$12</f>
        <v>5.0000000000000001E-3</v>
      </c>
      <c r="X157" s="182">
        <f t="shared" si="90"/>
        <v>2.5000000000000001E-2</v>
      </c>
      <c r="Y157" s="182">
        <f t="shared" si="107"/>
        <v>43.000587926723867</v>
      </c>
      <c r="AA157" s="189"/>
      <c r="AB157" s="184">
        <f t="shared" ca="1" si="108"/>
        <v>2171</v>
      </c>
      <c r="AC157" s="171">
        <f t="shared" si="91"/>
        <v>21500.293963361932</v>
      </c>
      <c r="AD157" s="171">
        <f t="shared" si="87"/>
        <v>4553.3128757003906</v>
      </c>
      <c r="AE157" s="171">
        <f t="shared" si="117"/>
        <v>14047.903825231107</v>
      </c>
      <c r="AF157" s="171">
        <f t="shared" si="109"/>
        <v>4553.3128757003906</v>
      </c>
      <c r="AG157" s="171">
        <f t="shared" si="119"/>
        <v>10199.219999999999</v>
      </c>
      <c r="AH157" s="171">
        <f t="shared" si="92"/>
        <v>10199.219999999999</v>
      </c>
      <c r="AI157" s="171">
        <f t="shared" si="93"/>
        <v>4553.3128757003906</v>
      </c>
      <c r="AJ157" s="171">
        <f>IF('Invoer gegevens'!$I$27="DAEB",SMALL(AC157:AD157,1),AC157)</f>
        <v>4553.3128757003906</v>
      </c>
      <c r="AK157" s="171">
        <f>IF('Invoer gegevens'!$I$27="DAEB",SMALL((AE157:AH157),1),SMALL((AF157:AH157),1))</f>
        <v>4553.3128757003906</v>
      </c>
      <c r="AL157" s="171">
        <f t="shared" si="114"/>
        <v>0</v>
      </c>
      <c r="AM157" s="171">
        <f t="shared" si="115"/>
        <v>0</v>
      </c>
      <c r="AN157" s="175">
        <f t="shared" si="110"/>
        <v>642975</v>
      </c>
      <c r="AP157" s="184">
        <f t="shared" ca="1" si="111"/>
        <v>2171</v>
      </c>
      <c r="AQ157" s="185">
        <f t="shared" si="94"/>
        <v>0.02</v>
      </c>
      <c r="AR157" s="182">
        <f t="shared" si="86"/>
        <v>20.378861141210663</v>
      </c>
      <c r="AU157" s="184">
        <f t="shared" ca="1" si="112"/>
        <v>2171</v>
      </c>
      <c r="AV157" s="182">
        <f t="shared" si="95"/>
        <v>0.02</v>
      </c>
      <c r="AW157" s="179">
        <f t="shared" si="96"/>
        <v>5.0000000000000001E-3</v>
      </c>
      <c r="AX157" s="182">
        <f t="shared" si="97"/>
        <v>2.5000000000000001E-2</v>
      </c>
      <c r="AY157" s="186"/>
      <c r="AZ157" s="190"/>
      <c r="BA157" s="184">
        <f t="shared" ca="1" si="113"/>
        <v>2171</v>
      </c>
      <c r="BB157" s="171">
        <f t="shared" si="98"/>
        <v>21500.43</v>
      </c>
      <c r="BC157" s="171">
        <f t="shared" si="88"/>
        <v>14047.903825231107</v>
      </c>
      <c r="BD157" s="171">
        <f t="shared" si="84"/>
        <v>10199.219999999999</v>
      </c>
      <c r="BE157" s="171">
        <f t="shared" si="84"/>
        <v>4553.3128757003906</v>
      </c>
      <c r="BF157" s="171">
        <f t="shared" si="84"/>
        <v>4553.3128757003906</v>
      </c>
      <c r="BG157" s="171">
        <f t="shared" si="84"/>
        <v>4553.3128757003906</v>
      </c>
      <c r="BI157" s="187">
        <f>IF(A157-'Invoer gegevens'!$C$17&lt;0,0,IF(A157-'Invoer gegevens'!$C$17=0,1,IF(A157-'Invoer gegevens'!$C$17&lt;5,2,IF(A157-'Invoer gegevens'!$C$17&lt;15,3,4))))</f>
        <v>0</v>
      </c>
      <c r="BJ157" s="229">
        <f>IF(BI157&lt;1,0,IF(BI157&lt;2,4%,IF(Reeksen!BI157&lt;3,4%,IF(Reeksen!BI157&lt;4,4%*70%,IF(Reeksen!BI157&lt;5,4%*50%)))))</f>
        <v>0</v>
      </c>
      <c r="BK157" s="243"/>
      <c r="BL157" s="243"/>
      <c r="BM157" s="243"/>
      <c r="BN157" s="243"/>
      <c r="BO157" s="243"/>
      <c r="BP157" s="243"/>
      <c r="BQ157" s="243"/>
      <c r="BR157" s="243"/>
    </row>
    <row r="158" spans="1:70" x14ac:dyDescent="0.25">
      <c r="A158" s="184">
        <f t="shared" si="99"/>
        <v>153</v>
      </c>
      <c r="B158" s="179">
        <f>Dashboard!$C$25</f>
        <v>0.05</v>
      </c>
      <c r="C158" s="179">
        <f>Dashboard!$C$25</f>
        <v>0.05</v>
      </c>
      <c r="D158" s="179">
        <f>Dashboard!$C$25</f>
        <v>0.05</v>
      </c>
      <c r="E158" s="189"/>
      <c r="F158" s="184">
        <f t="shared" ca="1" si="100"/>
        <v>2172</v>
      </c>
      <c r="G158" s="179">
        <f t="shared" si="120"/>
        <v>0.02</v>
      </c>
      <c r="H158" s="182">
        <f t="shared" si="101"/>
        <v>20.80663541840882</v>
      </c>
      <c r="I158" s="179">
        <f t="shared" si="121"/>
        <v>2.5000000000000001E-2</v>
      </c>
      <c r="J158" s="182">
        <f t="shared" si="102"/>
        <v>44.032199756043831</v>
      </c>
      <c r="K158" s="179">
        <f t="shared" si="122"/>
        <v>2.5000000000000001E-2</v>
      </c>
      <c r="L158" s="182">
        <f t="shared" si="103"/>
        <v>44.032199756043831</v>
      </c>
      <c r="M158" s="189"/>
      <c r="N158" s="184">
        <f t="shared" ca="1" si="104"/>
        <v>2172</v>
      </c>
      <c r="O158" s="179">
        <f t="shared" si="116"/>
        <v>0.02</v>
      </c>
      <c r="P158" s="182">
        <f t="shared" si="85"/>
        <v>20.786438364034876</v>
      </c>
      <c r="R158" s="184">
        <f t="shared" ca="1" si="105"/>
        <v>2172</v>
      </c>
      <c r="S158" s="188">
        <f t="shared" si="118"/>
        <v>5.3600000000000002E-3</v>
      </c>
      <c r="U158" s="184">
        <f t="shared" ca="1" si="106"/>
        <v>2172</v>
      </c>
      <c r="V158" s="182">
        <f t="shared" si="89"/>
        <v>0.02</v>
      </c>
      <c r="W158" s="180">
        <f>Parameters!$D$12</f>
        <v>5.0000000000000001E-3</v>
      </c>
      <c r="X158" s="182">
        <f t="shared" si="90"/>
        <v>2.5000000000000001E-2</v>
      </c>
      <c r="Y158" s="182">
        <f t="shared" si="107"/>
        <v>44.075602624891957</v>
      </c>
      <c r="AA158" s="189"/>
      <c r="AB158" s="184">
        <f t="shared" ca="1" si="108"/>
        <v>2172</v>
      </c>
      <c r="AC158" s="171">
        <f t="shared" si="91"/>
        <v>22037.801312445979</v>
      </c>
      <c r="AD158" s="171">
        <f t="shared" si="87"/>
        <v>4644.3791332143983</v>
      </c>
      <c r="AE158" s="171">
        <f t="shared" si="117"/>
        <v>14328.86190173573</v>
      </c>
      <c r="AF158" s="171">
        <f t="shared" si="109"/>
        <v>4644.3791332143983</v>
      </c>
      <c r="AG158" s="171">
        <f t="shared" si="119"/>
        <v>10403.200000000001</v>
      </c>
      <c r="AH158" s="171">
        <f t="shared" si="92"/>
        <v>10403.200000000001</v>
      </c>
      <c r="AI158" s="171">
        <f t="shared" si="93"/>
        <v>4644.3791332143983</v>
      </c>
      <c r="AJ158" s="171">
        <f>IF('Invoer gegevens'!$I$27="DAEB",SMALL(AC158:AD158,1),AC158)</f>
        <v>4644.3791332143983</v>
      </c>
      <c r="AK158" s="171">
        <f>IF('Invoer gegevens'!$I$27="DAEB",SMALL((AE158:AH158),1),SMALL((AF158:AH158),1))</f>
        <v>4644.3791332143983</v>
      </c>
      <c r="AL158" s="171">
        <f t="shared" si="114"/>
        <v>0</v>
      </c>
      <c r="AM158" s="171">
        <f t="shared" si="115"/>
        <v>0</v>
      </c>
      <c r="AN158" s="175">
        <f t="shared" si="110"/>
        <v>655835</v>
      </c>
      <c r="AP158" s="184">
        <f t="shared" ca="1" si="111"/>
        <v>2172</v>
      </c>
      <c r="AQ158" s="185">
        <f t="shared" si="94"/>
        <v>0.02</v>
      </c>
      <c r="AR158" s="182">
        <f t="shared" si="86"/>
        <v>20.786438364034876</v>
      </c>
      <c r="AU158" s="184">
        <f t="shared" ca="1" si="112"/>
        <v>2172</v>
      </c>
      <c r="AV158" s="182">
        <f t="shared" si="95"/>
        <v>0.02</v>
      </c>
      <c r="AW158" s="179">
        <f t="shared" si="96"/>
        <v>5.0000000000000001E-3</v>
      </c>
      <c r="AX158" s="182">
        <f t="shared" si="97"/>
        <v>2.5000000000000001E-2</v>
      </c>
      <c r="AY158" s="186"/>
      <c r="AZ158" s="190"/>
      <c r="BA158" s="184">
        <f t="shared" ca="1" si="113"/>
        <v>2172</v>
      </c>
      <c r="BB158" s="171">
        <f t="shared" si="98"/>
        <v>22037.94</v>
      </c>
      <c r="BC158" s="171">
        <f t="shared" si="88"/>
        <v>14328.86190173573</v>
      </c>
      <c r="BD158" s="171">
        <f t="shared" si="84"/>
        <v>10403.200000000001</v>
      </c>
      <c r="BE158" s="171">
        <f t="shared" si="84"/>
        <v>4644.3791332143983</v>
      </c>
      <c r="BF158" s="171">
        <f t="shared" si="84"/>
        <v>4644.3791332143983</v>
      </c>
      <c r="BG158" s="171">
        <f t="shared" si="84"/>
        <v>4644.3791332143983</v>
      </c>
      <c r="BI158" s="187">
        <f>IF(A158-'Invoer gegevens'!$C$17&lt;0,0,IF(A158-'Invoer gegevens'!$C$17=0,1,IF(A158-'Invoer gegevens'!$C$17&lt;5,2,IF(A158-'Invoer gegevens'!$C$17&lt;15,3,4))))</f>
        <v>0</v>
      </c>
      <c r="BJ158" s="229">
        <f>IF(BI158&lt;1,0,IF(BI158&lt;2,4%,IF(Reeksen!BI158&lt;3,4%,IF(Reeksen!BI158&lt;4,4%*70%,IF(Reeksen!BI158&lt;5,4%*50%)))))</f>
        <v>0</v>
      </c>
      <c r="BK158" s="243"/>
      <c r="BL158" s="243"/>
      <c r="BM158" s="243"/>
      <c r="BN158" s="243"/>
      <c r="BO158" s="243"/>
      <c r="BP158" s="243"/>
      <c r="BQ158" s="243"/>
      <c r="BR158" s="243"/>
    </row>
    <row r="159" spans="1:70" x14ac:dyDescent="0.25">
      <c r="A159" s="184">
        <f t="shared" si="99"/>
        <v>154</v>
      </c>
      <c r="B159" s="179">
        <f>Dashboard!$C$25</f>
        <v>0.05</v>
      </c>
      <c r="C159" s="179">
        <f>Dashboard!$C$25</f>
        <v>0.05</v>
      </c>
      <c r="D159" s="179">
        <f>Dashboard!$C$25</f>
        <v>0.05</v>
      </c>
      <c r="E159" s="189"/>
      <c r="F159" s="184">
        <f t="shared" ca="1" si="100"/>
        <v>2173</v>
      </c>
      <c r="G159" s="179">
        <f t="shared" si="120"/>
        <v>0.02</v>
      </c>
      <c r="H159" s="182">
        <f t="shared" si="101"/>
        <v>21.222768126776998</v>
      </c>
      <c r="I159" s="179">
        <f t="shared" si="121"/>
        <v>2.5000000000000001E-2</v>
      </c>
      <c r="J159" s="182">
        <f t="shared" si="102"/>
        <v>45.133004749944924</v>
      </c>
      <c r="K159" s="179">
        <f t="shared" si="122"/>
        <v>2.5000000000000001E-2</v>
      </c>
      <c r="L159" s="182">
        <f t="shared" si="103"/>
        <v>45.133004749944924</v>
      </c>
      <c r="M159" s="189"/>
      <c r="N159" s="184">
        <f t="shared" ca="1" si="104"/>
        <v>2173</v>
      </c>
      <c r="O159" s="179">
        <f t="shared" si="116"/>
        <v>0.02</v>
      </c>
      <c r="P159" s="182">
        <f t="shared" si="85"/>
        <v>21.202167131315573</v>
      </c>
      <c r="R159" s="184">
        <f t="shared" ca="1" si="105"/>
        <v>2173</v>
      </c>
      <c r="S159" s="188">
        <f t="shared" si="118"/>
        <v>5.3600000000000002E-3</v>
      </c>
      <c r="U159" s="184">
        <f t="shared" ca="1" si="106"/>
        <v>2173</v>
      </c>
      <c r="V159" s="182">
        <f t="shared" si="89"/>
        <v>0.02</v>
      </c>
      <c r="W159" s="180">
        <f>Parameters!$D$12</f>
        <v>5.0000000000000001E-3</v>
      </c>
      <c r="X159" s="182">
        <f t="shared" si="90"/>
        <v>2.5000000000000001E-2</v>
      </c>
      <c r="Y159" s="182">
        <f t="shared" si="107"/>
        <v>45.177492690514249</v>
      </c>
      <c r="AA159" s="189"/>
      <c r="AB159" s="184">
        <f t="shared" ca="1" si="108"/>
        <v>2173</v>
      </c>
      <c r="AC159" s="171">
        <f t="shared" si="91"/>
        <v>22588.746345257125</v>
      </c>
      <c r="AD159" s="171">
        <f t="shared" si="87"/>
        <v>4737.2667158786871</v>
      </c>
      <c r="AE159" s="171">
        <f t="shared" si="117"/>
        <v>14615.439139770446</v>
      </c>
      <c r="AF159" s="171">
        <f t="shared" si="109"/>
        <v>4737.2667158786871</v>
      </c>
      <c r="AG159" s="171">
        <f t="shared" si="119"/>
        <v>10611.26</v>
      </c>
      <c r="AH159" s="171">
        <f t="shared" si="92"/>
        <v>10611.26</v>
      </c>
      <c r="AI159" s="171">
        <f t="shared" si="93"/>
        <v>4737.2667158786871</v>
      </c>
      <c r="AJ159" s="171">
        <f>IF('Invoer gegevens'!$I$27="DAEB",SMALL(AC159:AD159,1),AC159)</f>
        <v>4737.2667158786871</v>
      </c>
      <c r="AK159" s="171">
        <f>IF('Invoer gegevens'!$I$27="DAEB",SMALL((AE159:AH159),1),SMALL((AF159:AH159),1))</f>
        <v>4737.2667158786871</v>
      </c>
      <c r="AL159" s="171">
        <f t="shared" si="114"/>
        <v>0</v>
      </c>
      <c r="AM159" s="171">
        <f t="shared" si="115"/>
        <v>0</v>
      </c>
      <c r="AN159" s="175">
        <f t="shared" si="110"/>
        <v>668952</v>
      </c>
      <c r="AP159" s="184">
        <f t="shared" ca="1" si="111"/>
        <v>2173</v>
      </c>
      <c r="AQ159" s="185">
        <f t="shared" si="94"/>
        <v>0.02</v>
      </c>
      <c r="AR159" s="182">
        <f t="shared" si="86"/>
        <v>21.202167131315573</v>
      </c>
      <c r="AU159" s="184">
        <f t="shared" ca="1" si="112"/>
        <v>2173</v>
      </c>
      <c r="AV159" s="182">
        <f t="shared" si="95"/>
        <v>0.02</v>
      </c>
      <c r="AW159" s="179">
        <f t="shared" si="96"/>
        <v>5.0000000000000001E-3</v>
      </c>
      <c r="AX159" s="182">
        <f t="shared" si="97"/>
        <v>2.5000000000000001E-2</v>
      </c>
      <c r="AY159" s="186"/>
      <c r="AZ159" s="190"/>
      <c r="BA159" s="184">
        <f t="shared" ca="1" si="113"/>
        <v>2173</v>
      </c>
      <c r="BB159" s="171">
        <f t="shared" si="98"/>
        <v>22588.89</v>
      </c>
      <c r="BC159" s="171">
        <f t="shared" si="88"/>
        <v>14615.439139770446</v>
      </c>
      <c r="BD159" s="171">
        <f t="shared" si="84"/>
        <v>10611.26</v>
      </c>
      <c r="BE159" s="171">
        <f t="shared" si="84"/>
        <v>4737.2667158786871</v>
      </c>
      <c r="BF159" s="171">
        <f t="shared" si="84"/>
        <v>4737.2667158786871</v>
      </c>
      <c r="BG159" s="171">
        <f t="shared" si="84"/>
        <v>4737.2667158786871</v>
      </c>
      <c r="BI159" s="187">
        <f>IF(A159-'Invoer gegevens'!$C$17&lt;0,0,IF(A159-'Invoer gegevens'!$C$17=0,1,IF(A159-'Invoer gegevens'!$C$17&lt;5,2,IF(A159-'Invoer gegevens'!$C$17&lt;15,3,4))))</f>
        <v>0</v>
      </c>
      <c r="BJ159" s="229">
        <f>IF(BI159&lt;1,0,IF(BI159&lt;2,4%,IF(Reeksen!BI159&lt;3,4%,IF(Reeksen!BI159&lt;4,4%*70%,IF(Reeksen!BI159&lt;5,4%*50%)))))</f>
        <v>0</v>
      </c>
      <c r="BK159" s="243"/>
      <c r="BL159" s="243"/>
      <c r="BM159" s="243"/>
      <c r="BN159" s="243"/>
      <c r="BO159" s="243"/>
      <c r="BP159" s="243"/>
      <c r="BQ159" s="243"/>
      <c r="BR159" s="243"/>
    </row>
    <row r="160" spans="1:70" x14ac:dyDescent="0.25">
      <c r="A160" s="184">
        <f t="shared" si="99"/>
        <v>155</v>
      </c>
      <c r="B160" s="179">
        <f>Dashboard!$C$25</f>
        <v>0.05</v>
      </c>
      <c r="C160" s="179">
        <f>Dashboard!$C$25</f>
        <v>0.05</v>
      </c>
      <c r="D160" s="179">
        <f>Dashboard!$C$25</f>
        <v>0.05</v>
      </c>
      <c r="E160" s="189"/>
      <c r="F160" s="184">
        <f t="shared" ca="1" si="100"/>
        <v>2174</v>
      </c>
      <c r="G160" s="179">
        <f t="shared" si="120"/>
        <v>0.02</v>
      </c>
      <c r="H160" s="182">
        <f t="shared" si="101"/>
        <v>21.647223489312537</v>
      </c>
      <c r="I160" s="179">
        <f t="shared" si="121"/>
        <v>2.5000000000000001E-2</v>
      </c>
      <c r="J160" s="182">
        <f t="shared" si="102"/>
        <v>46.261329868693544</v>
      </c>
      <c r="K160" s="179">
        <f t="shared" si="122"/>
        <v>2.5000000000000001E-2</v>
      </c>
      <c r="L160" s="182">
        <f t="shared" si="103"/>
        <v>46.261329868693544</v>
      </c>
      <c r="M160" s="189"/>
      <c r="N160" s="184">
        <f t="shared" ca="1" si="104"/>
        <v>2174</v>
      </c>
      <c r="O160" s="179">
        <f t="shared" si="116"/>
        <v>0.02</v>
      </c>
      <c r="P160" s="182">
        <f t="shared" si="85"/>
        <v>21.626210473941885</v>
      </c>
      <c r="R160" s="184">
        <f t="shared" ca="1" si="105"/>
        <v>2174</v>
      </c>
      <c r="S160" s="188">
        <f t="shared" si="118"/>
        <v>5.3600000000000002E-3</v>
      </c>
      <c r="U160" s="184">
        <f t="shared" ca="1" si="106"/>
        <v>2174</v>
      </c>
      <c r="V160" s="182">
        <f t="shared" si="89"/>
        <v>0.02</v>
      </c>
      <c r="W160" s="180">
        <f>Parameters!$D$12</f>
        <v>5.0000000000000001E-3</v>
      </c>
      <c r="X160" s="182">
        <f t="shared" si="90"/>
        <v>2.5000000000000001E-2</v>
      </c>
      <c r="Y160" s="182">
        <f t="shared" si="107"/>
        <v>46.306930007777105</v>
      </c>
      <c r="AA160" s="189"/>
      <c r="AB160" s="184">
        <f t="shared" ca="1" si="108"/>
        <v>2174</v>
      </c>
      <c r="AC160" s="171">
        <f t="shared" si="91"/>
        <v>23153.465003888552</v>
      </c>
      <c r="AD160" s="171">
        <f t="shared" si="87"/>
        <v>4832.0120501962601</v>
      </c>
      <c r="AE160" s="171">
        <f t="shared" si="117"/>
        <v>14907.747922565855</v>
      </c>
      <c r="AF160" s="171">
        <f t="shared" si="109"/>
        <v>4832.0120501962601</v>
      </c>
      <c r="AG160" s="171">
        <f t="shared" si="119"/>
        <v>10823.49</v>
      </c>
      <c r="AH160" s="171">
        <f t="shared" si="92"/>
        <v>10823.49</v>
      </c>
      <c r="AI160" s="171">
        <f t="shared" si="93"/>
        <v>4832.0120501962601</v>
      </c>
      <c r="AJ160" s="171">
        <f>IF('Invoer gegevens'!$I$27="DAEB",SMALL(AC160:AD160,1),AC160)</f>
        <v>4832.0120501962601</v>
      </c>
      <c r="AK160" s="171">
        <f>IF('Invoer gegevens'!$I$27="DAEB",SMALL((AE160:AH160),1),SMALL((AF160:AH160),1))</f>
        <v>4832.0120501962601</v>
      </c>
      <c r="AL160" s="171">
        <f t="shared" si="114"/>
        <v>0</v>
      </c>
      <c r="AM160" s="171">
        <f t="shared" si="115"/>
        <v>0</v>
      </c>
      <c r="AN160" s="175">
        <f t="shared" si="110"/>
        <v>682331</v>
      </c>
      <c r="AP160" s="184">
        <f t="shared" ca="1" si="111"/>
        <v>2174</v>
      </c>
      <c r="AQ160" s="185">
        <f t="shared" si="94"/>
        <v>0.02</v>
      </c>
      <c r="AR160" s="182">
        <f t="shared" si="86"/>
        <v>21.626210473941885</v>
      </c>
      <c r="AU160" s="184">
        <f t="shared" ca="1" si="112"/>
        <v>2174</v>
      </c>
      <c r="AV160" s="182">
        <f t="shared" si="95"/>
        <v>0.02</v>
      </c>
      <c r="AW160" s="179">
        <f t="shared" si="96"/>
        <v>5.0000000000000001E-3</v>
      </c>
      <c r="AX160" s="182">
        <f t="shared" si="97"/>
        <v>2.5000000000000001E-2</v>
      </c>
      <c r="AY160" s="186"/>
      <c r="AZ160" s="190"/>
      <c r="BA160" s="184">
        <f t="shared" ca="1" si="113"/>
        <v>2174</v>
      </c>
      <c r="BB160" s="171">
        <f t="shared" si="98"/>
        <v>23153.61</v>
      </c>
      <c r="BC160" s="171">
        <f t="shared" si="88"/>
        <v>14907.747922565855</v>
      </c>
      <c r="BD160" s="171">
        <f t="shared" si="84"/>
        <v>10823.49</v>
      </c>
      <c r="BE160" s="171">
        <f t="shared" si="84"/>
        <v>4832.0120501962601</v>
      </c>
      <c r="BF160" s="171">
        <f t="shared" si="84"/>
        <v>4832.0120501962601</v>
      </c>
      <c r="BG160" s="171">
        <f t="shared" si="84"/>
        <v>4832.0120501962601</v>
      </c>
      <c r="BI160" s="187">
        <f>IF(A160-'Invoer gegevens'!$C$17&lt;0,0,IF(A160-'Invoer gegevens'!$C$17=0,1,IF(A160-'Invoer gegevens'!$C$17&lt;5,2,IF(A160-'Invoer gegevens'!$C$17&lt;15,3,4))))</f>
        <v>0</v>
      </c>
      <c r="BJ160" s="229">
        <f>IF(BI160&lt;1,0,IF(BI160&lt;2,4%,IF(Reeksen!BI160&lt;3,4%,IF(Reeksen!BI160&lt;4,4%*70%,IF(Reeksen!BI160&lt;5,4%*50%)))))</f>
        <v>0</v>
      </c>
      <c r="BK160" s="243"/>
      <c r="BL160" s="243"/>
      <c r="BM160" s="243"/>
      <c r="BN160" s="243"/>
      <c r="BO160" s="243"/>
      <c r="BP160" s="243"/>
      <c r="BQ160" s="243"/>
      <c r="BR160" s="243"/>
    </row>
    <row r="161" spans="1:70" x14ac:dyDescent="0.25">
      <c r="A161" s="184">
        <f t="shared" si="99"/>
        <v>156</v>
      </c>
      <c r="B161" s="179">
        <f>Dashboard!$C$25</f>
        <v>0.05</v>
      </c>
      <c r="C161" s="179">
        <f>Dashboard!$C$25</f>
        <v>0.05</v>
      </c>
      <c r="D161" s="179">
        <f>Dashboard!$C$25</f>
        <v>0.05</v>
      </c>
      <c r="E161" s="189"/>
      <c r="F161" s="184">
        <f t="shared" ca="1" si="100"/>
        <v>2175</v>
      </c>
      <c r="G161" s="179">
        <f t="shared" si="120"/>
        <v>0.02</v>
      </c>
      <c r="H161" s="182">
        <f t="shared" si="101"/>
        <v>22.080167959098787</v>
      </c>
      <c r="I161" s="179">
        <f t="shared" si="121"/>
        <v>2.5000000000000001E-2</v>
      </c>
      <c r="J161" s="182">
        <f t="shared" si="102"/>
        <v>47.417863115410881</v>
      </c>
      <c r="K161" s="179">
        <f t="shared" si="122"/>
        <v>2.5000000000000001E-2</v>
      </c>
      <c r="L161" s="182">
        <f t="shared" si="103"/>
        <v>47.417863115410881</v>
      </c>
      <c r="M161" s="189"/>
      <c r="N161" s="184">
        <f t="shared" ca="1" si="104"/>
        <v>2175</v>
      </c>
      <c r="O161" s="179">
        <f t="shared" si="116"/>
        <v>0.02</v>
      </c>
      <c r="P161" s="182">
        <f t="shared" si="85"/>
        <v>22.058734683420724</v>
      </c>
      <c r="R161" s="184">
        <f t="shared" ca="1" si="105"/>
        <v>2175</v>
      </c>
      <c r="S161" s="188">
        <f t="shared" si="118"/>
        <v>5.3600000000000002E-3</v>
      </c>
      <c r="U161" s="184">
        <f t="shared" ca="1" si="106"/>
        <v>2175</v>
      </c>
      <c r="V161" s="182">
        <f t="shared" si="89"/>
        <v>0.02</v>
      </c>
      <c r="W161" s="180">
        <f>Parameters!$D$12</f>
        <v>5.0000000000000001E-3</v>
      </c>
      <c r="X161" s="182">
        <f t="shared" si="90"/>
        <v>2.5000000000000001E-2</v>
      </c>
      <c r="Y161" s="182">
        <f t="shared" si="107"/>
        <v>47.464603257971525</v>
      </c>
      <c r="AA161" s="189"/>
      <c r="AB161" s="184">
        <f t="shared" ca="1" si="108"/>
        <v>2175</v>
      </c>
      <c r="AC161" s="171">
        <f t="shared" si="91"/>
        <v>23732.301628985762</v>
      </c>
      <c r="AD161" s="171">
        <f t="shared" si="87"/>
        <v>4928.6522912001856</v>
      </c>
      <c r="AE161" s="171">
        <f t="shared" si="117"/>
        <v>15205.902881017173</v>
      </c>
      <c r="AF161" s="171">
        <f t="shared" si="109"/>
        <v>4928.6522912001856</v>
      </c>
      <c r="AG161" s="171">
        <f t="shared" si="119"/>
        <v>11039.96</v>
      </c>
      <c r="AH161" s="171">
        <f t="shared" si="92"/>
        <v>11039.96</v>
      </c>
      <c r="AI161" s="171">
        <f t="shared" si="93"/>
        <v>4928.6522912001856</v>
      </c>
      <c r="AJ161" s="171">
        <f>IF('Invoer gegevens'!$I$27="DAEB",SMALL(AC161:AD161,1),AC161)</f>
        <v>4928.6522912001856</v>
      </c>
      <c r="AK161" s="171">
        <f>IF('Invoer gegevens'!$I$27="DAEB",SMALL((AE161:AH161),1),SMALL((AF161:AH161),1))</f>
        <v>4928.6522912001856</v>
      </c>
      <c r="AL161" s="171">
        <f t="shared" si="114"/>
        <v>0</v>
      </c>
      <c r="AM161" s="171">
        <f t="shared" si="115"/>
        <v>0</v>
      </c>
      <c r="AN161" s="175">
        <f t="shared" si="110"/>
        <v>695978</v>
      </c>
      <c r="AP161" s="184">
        <f t="shared" ca="1" si="111"/>
        <v>2175</v>
      </c>
      <c r="AQ161" s="185">
        <f t="shared" si="94"/>
        <v>0.02</v>
      </c>
      <c r="AR161" s="182">
        <f t="shared" si="86"/>
        <v>22.058734683420724</v>
      </c>
      <c r="AU161" s="184">
        <f t="shared" ca="1" si="112"/>
        <v>2175</v>
      </c>
      <c r="AV161" s="182">
        <f t="shared" si="95"/>
        <v>0.02</v>
      </c>
      <c r="AW161" s="179">
        <f t="shared" si="96"/>
        <v>5.0000000000000001E-3</v>
      </c>
      <c r="AX161" s="182">
        <f t="shared" si="97"/>
        <v>2.5000000000000001E-2</v>
      </c>
      <c r="AY161" s="186"/>
      <c r="AZ161" s="190"/>
      <c r="BA161" s="184">
        <f t="shared" ca="1" si="113"/>
        <v>2175</v>
      </c>
      <c r="BB161" s="171">
        <f t="shared" si="98"/>
        <v>23732.45</v>
      </c>
      <c r="BC161" s="171">
        <f t="shared" si="88"/>
        <v>15205.902881017173</v>
      </c>
      <c r="BD161" s="171">
        <f t="shared" si="84"/>
        <v>11039.96</v>
      </c>
      <c r="BE161" s="171">
        <f t="shared" si="84"/>
        <v>4928.6522912001856</v>
      </c>
      <c r="BF161" s="171">
        <f t="shared" si="84"/>
        <v>4928.6522912001856</v>
      </c>
      <c r="BG161" s="171">
        <f t="shared" ref="BG161:BG224" si="123">AK161</f>
        <v>4928.6522912001856</v>
      </c>
      <c r="BI161" s="187">
        <f>IF(A161-'Invoer gegevens'!$C$17&lt;0,0,IF(A161-'Invoer gegevens'!$C$17=0,1,IF(A161-'Invoer gegevens'!$C$17&lt;5,2,IF(A161-'Invoer gegevens'!$C$17&lt;15,3,4))))</f>
        <v>0</v>
      </c>
      <c r="BJ161" s="229">
        <f>IF(BI161&lt;1,0,IF(BI161&lt;2,4%,IF(Reeksen!BI161&lt;3,4%,IF(Reeksen!BI161&lt;4,4%*70%,IF(Reeksen!BI161&lt;5,4%*50%)))))</f>
        <v>0</v>
      </c>
      <c r="BK161" s="243"/>
      <c r="BL161" s="243"/>
      <c r="BM161" s="243"/>
      <c r="BN161" s="243"/>
      <c r="BO161" s="243"/>
      <c r="BP161" s="243"/>
      <c r="BQ161" s="243"/>
      <c r="BR161" s="243"/>
    </row>
    <row r="162" spans="1:70" x14ac:dyDescent="0.25">
      <c r="A162" s="184">
        <f t="shared" si="99"/>
        <v>157</v>
      </c>
      <c r="B162" s="179">
        <f>Dashboard!$C$25</f>
        <v>0.05</v>
      </c>
      <c r="C162" s="179">
        <f>Dashboard!$C$25</f>
        <v>0.05</v>
      </c>
      <c r="D162" s="179">
        <f>Dashboard!$C$25</f>
        <v>0.05</v>
      </c>
      <c r="E162" s="189"/>
      <c r="F162" s="184">
        <f t="shared" ca="1" si="100"/>
        <v>2176</v>
      </c>
      <c r="G162" s="179">
        <f t="shared" si="120"/>
        <v>0.02</v>
      </c>
      <c r="H162" s="182">
        <f t="shared" si="101"/>
        <v>22.521771318280763</v>
      </c>
      <c r="I162" s="179">
        <f t="shared" si="121"/>
        <v>2.5000000000000001E-2</v>
      </c>
      <c r="J162" s="182">
        <f t="shared" si="102"/>
        <v>48.603309693296147</v>
      </c>
      <c r="K162" s="179">
        <f t="shared" si="122"/>
        <v>2.5000000000000001E-2</v>
      </c>
      <c r="L162" s="182">
        <f t="shared" si="103"/>
        <v>48.603309693296147</v>
      </c>
      <c r="M162" s="189"/>
      <c r="N162" s="184">
        <f t="shared" ca="1" si="104"/>
        <v>2176</v>
      </c>
      <c r="O162" s="179">
        <f t="shared" si="116"/>
        <v>0.02</v>
      </c>
      <c r="P162" s="182">
        <f t="shared" si="85"/>
        <v>22.499909377089139</v>
      </c>
      <c r="R162" s="184">
        <f t="shared" ca="1" si="105"/>
        <v>2176</v>
      </c>
      <c r="S162" s="188">
        <f t="shared" si="118"/>
        <v>5.3600000000000002E-3</v>
      </c>
      <c r="U162" s="184">
        <f t="shared" ca="1" si="106"/>
        <v>2176</v>
      </c>
      <c r="V162" s="182">
        <f t="shared" si="89"/>
        <v>0.02</v>
      </c>
      <c r="W162" s="180">
        <f>Parameters!$D$12</f>
        <v>5.0000000000000001E-3</v>
      </c>
      <c r="X162" s="182">
        <f t="shared" si="90"/>
        <v>2.5000000000000001E-2</v>
      </c>
      <c r="Y162" s="182">
        <f t="shared" si="107"/>
        <v>48.651218339420808</v>
      </c>
      <c r="AA162" s="189"/>
      <c r="AB162" s="184">
        <f t="shared" ca="1" si="108"/>
        <v>2176</v>
      </c>
      <c r="AC162" s="171">
        <f t="shared" si="91"/>
        <v>24325.609169710406</v>
      </c>
      <c r="AD162" s="171">
        <f t="shared" si="87"/>
        <v>5027.2253370241888</v>
      </c>
      <c r="AE162" s="171">
        <f t="shared" si="117"/>
        <v>15510.020938637517</v>
      </c>
      <c r="AF162" s="171">
        <f t="shared" si="109"/>
        <v>5027.2253370241888</v>
      </c>
      <c r="AG162" s="171">
        <f t="shared" si="119"/>
        <v>11260.76</v>
      </c>
      <c r="AH162" s="171">
        <f t="shared" si="92"/>
        <v>11260.76</v>
      </c>
      <c r="AI162" s="171">
        <f t="shared" si="93"/>
        <v>5027.2253370241888</v>
      </c>
      <c r="AJ162" s="171">
        <f>IF('Invoer gegevens'!$I$27="DAEB",SMALL(AC162:AD162,1),AC162)</f>
        <v>5027.2253370241888</v>
      </c>
      <c r="AK162" s="171">
        <f>IF('Invoer gegevens'!$I$27="DAEB",SMALL((AE162:AH162),1),SMALL((AF162:AH162),1))</f>
        <v>5027.2253370241888</v>
      </c>
      <c r="AL162" s="171">
        <f t="shared" si="114"/>
        <v>0</v>
      </c>
      <c r="AM162" s="171">
        <f t="shared" si="115"/>
        <v>0</v>
      </c>
      <c r="AN162" s="175">
        <f t="shared" si="110"/>
        <v>709898</v>
      </c>
      <c r="AP162" s="184">
        <f t="shared" ca="1" si="111"/>
        <v>2176</v>
      </c>
      <c r="AQ162" s="185">
        <f t="shared" si="94"/>
        <v>0.02</v>
      </c>
      <c r="AR162" s="182">
        <f t="shared" si="86"/>
        <v>22.499909377089139</v>
      </c>
      <c r="AU162" s="184">
        <f t="shared" ca="1" si="112"/>
        <v>2176</v>
      </c>
      <c r="AV162" s="182">
        <f t="shared" si="95"/>
        <v>0.02</v>
      </c>
      <c r="AW162" s="179">
        <f t="shared" si="96"/>
        <v>5.0000000000000001E-3</v>
      </c>
      <c r="AX162" s="182">
        <f t="shared" si="97"/>
        <v>2.5000000000000001E-2</v>
      </c>
      <c r="AY162" s="186"/>
      <c r="AZ162" s="190"/>
      <c r="BA162" s="184">
        <f t="shared" ca="1" si="113"/>
        <v>2176</v>
      </c>
      <c r="BB162" s="171">
        <f t="shared" si="98"/>
        <v>24325.759999999998</v>
      </c>
      <c r="BC162" s="171">
        <f t="shared" si="88"/>
        <v>15510.020938637517</v>
      </c>
      <c r="BD162" s="171">
        <f t="shared" ref="BD162:BG225" si="124">AH162</f>
        <v>11260.76</v>
      </c>
      <c r="BE162" s="171">
        <f t="shared" si="124"/>
        <v>5027.2253370241888</v>
      </c>
      <c r="BF162" s="171">
        <f t="shared" si="124"/>
        <v>5027.2253370241888</v>
      </c>
      <c r="BG162" s="171">
        <f t="shared" si="123"/>
        <v>5027.2253370241888</v>
      </c>
      <c r="BI162" s="187">
        <f>IF(A162-'Invoer gegevens'!$C$17&lt;0,0,IF(A162-'Invoer gegevens'!$C$17=0,1,IF(A162-'Invoer gegevens'!$C$17&lt;5,2,IF(A162-'Invoer gegevens'!$C$17&lt;15,3,4))))</f>
        <v>0</v>
      </c>
      <c r="BJ162" s="229">
        <f>IF(BI162&lt;1,0,IF(BI162&lt;2,4%,IF(Reeksen!BI162&lt;3,4%,IF(Reeksen!BI162&lt;4,4%*70%,IF(Reeksen!BI162&lt;5,4%*50%)))))</f>
        <v>0</v>
      </c>
      <c r="BK162" s="243"/>
      <c r="BL162" s="243"/>
      <c r="BM162" s="243"/>
      <c r="BN162" s="243"/>
      <c r="BO162" s="243"/>
      <c r="BP162" s="243"/>
      <c r="BQ162" s="243"/>
      <c r="BR162" s="243"/>
    </row>
    <row r="163" spans="1:70" x14ac:dyDescent="0.25">
      <c r="A163" s="184">
        <f t="shared" si="99"/>
        <v>158</v>
      </c>
      <c r="B163" s="179">
        <f>Dashboard!$C$25</f>
        <v>0.05</v>
      </c>
      <c r="C163" s="179">
        <f>Dashboard!$C$25</f>
        <v>0.05</v>
      </c>
      <c r="D163" s="179">
        <f>Dashboard!$C$25</f>
        <v>0.05</v>
      </c>
      <c r="E163" s="189"/>
      <c r="F163" s="184">
        <f t="shared" ca="1" si="100"/>
        <v>2177</v>
      </c>
      <c r="G163" s="179">
        <f t="shared" si="120"/>
        <v>0.02</v>
      </c>
      <c r="H163" s="182">
        <f t="shared" si="101"/>
        <v>22.972206744646378</v>
      </c>
      <c r="I163" s="179">
        <f t="shared" si="121"/>
        <v>2.5000000000000001E-2</v>
      </c>
      <c r="J163" s="182">
        <f t="shared" si="102"/>
        <v>49.818392435628546</v>
      </c>
      <c r="K163" s="179">
        <f t="shared" si="122"/>
        <v>2.5000000000000001E-2</v>
      </c>
      <c r="L163" s="182">
        <f t="shared" si="103"/>
        <v>49.818392435628546</v>
      </c>
      <c r="M163" s="189"/>
      <c r="N163" s="184">
        <f t="shared" ca="1" si="104"/>
        <v>2177</v>
      </c>
      <c r="O163" s="179">
        <f t="shared" si="116"/>
        <v>0.02</v>
      </c>
      <c r="P163" s="182">
        <f t="shared" si="85"/>
        <v>22.949907564630923</v>
      </c>
      <c r="R163" s="184">
        <f t="shared" ca="1" si="105"/>
        <v>2177</v>
      </c>
      <c r="S163" s="188">
        <f t="shared" si="118"/>
        <v>5.3600000000000002E-3</v>
      </c>
      <c r="U163" s="184">
        <f t="shared" ca="1" si="106"/>
        <v>2177</v>
      </c>
      <c r="V163" s="182">
        <f t="shared" si="89"/>
        <v>0.02</v>
      </c>
      <c r="W163" s="180">
        <f>Parameters!$D$12</f>
        <v>5.0000000000000001E-3</v>
      </c>
      <c r="X163" s="182">
        <f t="shared" si="90"/>
        <v>2.5000000000000001E-2</v>
      </c>
      <c r="Y163" s="182">
        <f t="shared" si="107"/>
        <v>49.867498797906322</v>
      </c>
      <c r="AA163" s="189"/>
      <c r="AB163" s="184">
        <f t="shared" ca="1" si="108"/>
        <v>2177</v>
      </c>
      <c r="AC163" s="171">
        <f t="shared" si="91"/>
        <v>24933.749398953161</v>
      </c>
      <c r="AD163" s="171">
        <f t="shared" si="87"/>
        <v>5127.7698437646732</v>
      </c>
      <c r="AE163" s="171">
        <f t="shared" si="117"/>
        <v>15820.221357410268</v>
      </c>
      <c r="AF163" s="171">
        <f t="shared" si="109"/>
        <v>5127.7698437646732</v>
      </c>
      <c r="AG163" s="171">
        <f t="shared" si="119"/>
        <v>11485.98</v>
      </c>
      <c r="AH163" s="171">
        <f t="shared" si="92"/>
        <v>11485.98</v>
      </c>
      <c r="AI163" s="171">
        <f t="shared" si="93"/>
        <v>5127.7698437646732</v>
      </c>
      <c r="AJ163" s="171">
        <f>IF('Invoer gegevens'!$I$27="DAEB",SMALL(AC163:AD163,1),AC163)</f>
        <v>5127.7698437646732</v>
      </c>
      <c r="AK163" s="171">
        <f>IF('Invoer gegevens'!$I$27="DAEB",SMALL((AE163:AH163),1),SMALL((AF163:AH163),1))</f>
        <v>5127.7698437646732</v>
      </c>
      <c r="AL163" s="171">
        <f t="shared" si="114"/>
        <v>0</v>
      </c>
      <c r="AM163" s="171">
        <f t="shared" si="115"/>
        <v>0</v>
      </c>
      <c r="AN163" s="175">
        <f t="shared" si="110"/>
        <v>724096</v>
      </c>
      <c r="AP163" s="184">
        <f t="shared" ca="1" si="111"/>
        <v>2177</v>
      </c>
      <c r="AQ163" s="185">
        <f t="shared" si="94"/>
        <v>0.02</v>
      </c>
      <c r="AR163" s="182">
        <f t="shared" si="86"/>
        <v>22.949907564630923</v>
      </c>
      <c r="AU163" s="184">
        <f t="shared" ca="1" si="112"/>
        <v>2177</v>
      </c>
      <c r="AV163" s="182">
        <f t="shared" si="95"/>
        <v>0.02</v>
      </c>
      <c r="AW163" s="179">
        <f t="shared" si="96"/>
        <v>5.0000000000000001E-3</v>
      </c>
      <c r="AX163" s="182">
        <f t="shared" si="97"/>
        <v>2.5000000000000001E-2</v>
      </c>
      <c r="AY163" s="186"/>
      <c r="AZ163" s="190"/>
      <c r="BA163" s="184">
        <f t="shared" ca="1" si="113"/>
        <v>2177</v>
      </c>
      <c r="BB163" s="171">
        <f t="shared" si="98"/>
        <v>24933.9</v>
      </c>
      <c r="BC163" s="171">
        <f t="shared" si="88"/>
        <v>15820.221357410268</v>
      </c>
      <c r="BD163" s="171">
        <f t="shared" si="124"/>
        <v>11485.98</v>
      </c>
      <c r="BE163" s="171">
        <f t="shared" si="124"/>
        <v>5127.7698437646732</v>
      </c>
      <c r="BF163" s="171">
        <f t="shared" si="124"/>
        <v>5127.7698437646732</v>
      </c>
      <c r="BG163" s="171">
        <f t="shared" si="123"/>
        <v>5127.7698437646732</v>
      </c>
      <c r="BI163" s="187">
        <f>IF(A163-'Invoer gegevens'!$C$17&lt;0,0,IF(A163-'Invoer gegevens'!$C$17=0,1,IF(A163-'Invoer gegevens'!$C$17&lt;5,2,IF(A163-'Invoer gegevens'!$C$17&lt;15,3,4))))</f>
        <v>0</v>
      </c>
      <c r="BJ163" s="229">
        <f>IF(BI163&lt;1,0,IF(BI163&lt;2,4%,IF(Reeksen!BI163&lt;3,4%,IF(Reeksen!BI163&lt;4,4%*70%,IF(Reeksen!BI163&lt;5,4%*50%)))))</f>
        <v>0</v>
      </c>
      <c r="BK163" s="243"/>
      <c r="BL163" s="243"/>
      <c r="BM163" s="243"/>
      <c r="BN163" s="243"/>
      <c r="BO163" s="243"/>
      <c r="BP163" s="243"/>
      <c r="BQ163" s="243"/>
      <c r="BR163" s="243"/>
    </row>
    <row r="164" spans="1:70" x14ac:dyDescent="0.25">
      <c r="A164" s="184">
        <f t="shared" si="99"/>
        <v>159</v>
      </c>
      <c r="B164" s="179">
        <f>Dashboard!$C$25</f>
        <v>0.05</v>
      </c>
      <c r="C164" s="179">
        <f>Dashboard!$C$25</f>
        <v>0.05</v>
      </c>
      <c r="D164" s="179">
        <f>Dashboard!$C$25</f>
        <v>0.05</v>
      </c>
      <c r="E164" s="189"/>
      <c r="F164" s="184">
        <f t="shared" ca="1" si="100"/>
        <v>2178</v>
      </c>
      <c r="G164" s="179">
        <f t="shared" si="120"/>
        <v>0.02</v>
      </c>
      <c r="H164" s="182">
        <f t="shared" si="101"/>
        <v>23.431650879539305</v>
      </c>
      <c r="I164" s="179">
        <f t="shared" si="121"/>
        <v>2.5000000000000001E-2</v>
      </c>
      <c r="J164" s="182">
        <f t="shared" si="102"/>
        <v>51.063852246519254</v>
      </c>
      <c r="K164" s="179">
        <f t="shared" si="122"/>
        <v>2.5000000000000001E-2</v>
      </c>
      <c r="L164" s="182">
        <f t="shared" si="103"/>
        <v>51.063852246519254</v>
      </c>
      <c r="M164" s="189"/>
      <c r="N164" s="184">
        <f t="shared" ca="1" si="104"/>
        <v>2178</v>
      </c>
      <c r="O164" s="179">
        <f t="shared" si="116"/>
        <v>0.02</v>
      </c>
      <c r="P164" s="182">
        <f t="shared" si="85"/>
        <v>23.408905715923542</v>
      </c>
      <c r="R164" s="184">
        <f t="shared" ca="1" si="105"/>
        <v>2178</v>
      </c>
      <c r="S164" s="188">
        <f t="shared" si="118"/>
        <v>5.3600000000000002E-3</v>
      </c>
      <c r="U164" s="184">
        <f t="shared" ca="1" si="106"/>
        <v>2178</v>
      </c>
      <c r="V164" s="182">
        <f t="shared" si="89"/>
        <v>0.02</v>
      </c>
      <c r="W164" s="180">
        <f>Parameters!$D$12</f>
        <v>5.0000000000000001E-3</v>
      </c>
      <c r="X164" s="182">
        <f t="shared" si="90"/>
        <v>2.5000000000000001E-2</v>
      </c>
      <c r="Y164" s="182">
        <f t="shared" si="107"/>
        <v>51.114186267853974</v>
      </c>
      <c r="AA164" s="189"/>
      <c r="AB164" s="184">
        <f t="shared" ca="1" si="108"/>
        <v>2178</v>
      </c>
      <c r="AC164" s="171">
        <f t="shared" si="91"/>
        <v>25557.093133926988</v>
      </c>
      <c r="AD164" s="171">
        <f t="shared" si="87"/>
        <v>5230.3252406399661</v>
      </c>
      <c r="AE164" s="171">
        <f t="shared" si="117"/>
        <v>16136.625784558473</v>
      </c>
      <c r="AF164" s="171">
        <f t="shared" si="109"/>
        <v>5230.3252406399661</v>
      </c>
      <c r="AG164" s="171">
        <f t="shared" si="119"/>
        <v>11715.7</v>
      </c>
      <c r="AH164" s="171">
        <f t="shared" si="92"/>
        <v>11715.7</v>
      </c>
      <c r="AI164" s="171">
        <f t="shared" si="93"/>
        <v>5230.3252406399661</v>
      </c>
      <c r="AJ164" s="171">
        <f>IF('Invoer gegevens'!$I$27="DAEB",SMALL(AC164:AD164,1),AC164)</f>
        <v>5230.3252406399661</v>
      </c>
      <c r="AK164" s="171">
        <f>IF('Invoer gegevens'!$I$27="DAEB",SMALL((AE164:AH164),1),SMALL((AF164:AH164),1))</f>
        <v>5230.3252406399661</v>
      </c>
      <c r="AL164" s="171">
        <f t="shared" si="114"/>
        <v>0</v>
      </c>
      <c r="AM164" s="171">
        <f t="shared" si="115"/>
        <v>0</v>
      </c>
      <c r="AN164" s="175">
        <f t="shared" si="110"/>
        <v>738578</v>
      </c>
      <c r="AP164" s="184">
        <f t="shared" ca="1" si="111"/>
        <v>2178</v>
      </c>
      <c r="AQ164" s="185">
        <f t="shared" si="94"/>
        <v>0.02</v>
      </c>
      <c r="AR164" s="182">
        <f t="shared" si="86"/>
        <v>23.408905715923542</v>
      </c>
      <c r="AU164" s="184">
        <f t="shared" ca="1" si="112"/>
        <v>2178</v>
      </c>
      <c r="AV164" s="182">
        <f t="shared" si="95"/>
        <v>0.02</v>
      </c>
      <c r="AW164" s="179">
        <f t="shared" si="96"/>
        <v>5.0000000000000001E-3</v>
      </c>
      <c r="AX164" s="182">
        <f t="shared" si="97"/>
        <v>2.5000000000000001E-2</v>
      </c>
      <c r="AY164" s="186"/>
      <c r="AZ164" s="190"/>
      <c r="BA164" s="184">
        <f t="shared" ca="1" si="113"/>
        <v>2178</v>
      </c>
      <c r="BB164" s="171">
        <f t="shared" si="98"/>
        <v>25557.25</v>
      </c>
      <c r="BC164" s="171">
        <f t="shared" si="88"/>
        <v>16136.625784558473</v>
      </c>
      <c r="BD164" s="171">
        <f t="shared" si="124"/>
        <v>11715.7</v>
      </c>
      <c r="BE164" s="171">
        <f t="shared" si="124"/>
        <v>5230.3252406399661</v>
      </c>
      <c r="BF164" s="171">
        <f t="shared" si="124"/>
        <v>5230.3252406399661</v>
      </c>
      <c r="BG164" s="171">
        <f t="shared" si="123"/>
        <v>5230.3252406399661</v>
      </c>
      <c r="BI164" s="187">
        <f>IF(A164-'Invoer gegevens'!$C$17&lt;0,0,IF(A164-'Invoer gegevens'!$C$17=0,1,IF(A164-'Invoer gegevens'!$C$17&lt;5,2,IF(A164-'Invoer gegevens'!$C$17&lt;15,3,4))))</f>
        <v>0</v>
      </c>
      <c r="BJ164" s="229">
        <f>IF(BI164&lt;1,0,IF(BI164&lt;2,4%,IF(Reeksen!BI164&lt;3,4%,IF(Reeksen!BI164&lt;4,4%*70%,IF(Reeksen!BI164&lt;5,4%*50%)))))</f>
        <v>0</v>
      </c>
      <c r="BK164" s="243"/>
      <c r="BL164" s="243"/>
      <c r="BM164" s="243"/>
      <c r="BN164" s="243"/>
      <c r="BO164" s="243"/>
      <c r="BP164" s="243"/>
      <c r="BQ164" s="243"/>
      <c r="BR164" s="243"/>
    </row>
    <row r="165" spans="1:70" x14ac:dyDescent="0.25">
      <c r="A165" s="184">
        <f t="shared" si="99"/>
        <v>160</v>
      </c>
      <c r="B165" s="179">
        <f>Dashboard!$C$25</f>
        <v>0.05</v>
      </c>
      <c r="C165" s="179">
        <f>Dashboard!$C$25</f>
        <v>0.05</v>
      </c>
      <c r="D165" s="179">
        <f>Dashboard!$C$25</f>
        <v>0.05</v>
      </c>
      <c r="E165" s="189"/>
      <c r="F165" s="184">
        <f t="shared" ca="1" si="100"/>
        <v>2179</v>
      </c>
      <c r="G165" s="179">
        <f t="shared" si="120"/>
        <v>0.02</v>
      </c>
      <c r="H165" s="182">
        <f t="shared" si="101"/>
        <v>23.900283897130091</v>
      </c>
      <c r="I165" s="179">
        <f t="shared" si="121"/>
        <v>2.5000000000000001E-2</v>
      </c>
      <c r="J165" s="182">
        <f t="shared" si="102"/>
        <v>52.340448552682233</v>
      </c>
      <c r="K165" s="179">
        <f t="shared" si="122"/>
        <v>2.5000000000000001E-2</v>
      </c>
      <c r="L165" s="182">
        <f t="shared" si="103"/>
        <v>52.340448552682233</v>
      </c>
      <c r="M165" s="189"/>
      <c r="N165" s="184">
        <f t="shared" ca="1" si="104"/>
        <v>2179</v>
      </c>
      <c r="O165" s="179">
        <f t="shared" si="116"/>
        <v>0.02</v>
      </c>
      <c r="P165" s="182">
        <f t="shared" si="85"/>
        <v>23.877083830242015</v>
      </c>
      <c r="R165" s="184">
        <f t="shared" ca="1" si="105"/>
        <v>2179</v>
      </c>
      <c r="S165" s="188">
        <f t="shared" si="118"/>
        <v>5.3600000000000002E-3</v>
      </c>
      <c r="U165" s="184">
        <f t="shared" ca="1" si="106"/>
        <v>2179</v>
      </c>
      <c r="V165" s="182">
        <f t="shared" si="89"/>
        <v>0.02</v>
      </c>
      <c r="W165" s="180">
        <f>Parameters!$D$12</f>
        <v>5.0000000000000001E-3</v>
      </c>
      <c r="X165" s="182">
        <f t="shared" si="90"/>
        <v>2.5000000000000001E-2</v>
      </c>
      <c r="Y165" s="182">
        <f t="shared" si="107"/>
        <v>52.392040924550315</v>
      </c>
      <c r="AA165" s="189"/>
      <c r="AB165" s="184">
        <f t="shared" ca="1" si="108"/>
        <v>2179</v>
      </c>
      <c r="AC165" s="171">
        <f t="shared" si="91"/>
        <v>26196.020462275159</v>
      </c>
      <c r="AD165" s="171">
        <f t="shared" si="87"/>
        <v>5334.9317454527654</v>
      </c>
      <c r="AE165" s="171">
        <f t="shared" si="117"/>
        <v>16459.358300249642</v>
      </c>
      <c r="AF165" s="171">
        <f t="shared" si="109"/>
        <v>5334.9317454527654</v>
      </c>
      <c r="AG165" s="171">
        <f t="shared" si="119"/>
        <v>11950.01</v>
      </c>
      <c r="AH165" s="171">
        <f t="shared" si="92"/>
        <v>11950.01</v>
      </c>
      <c r="AI165" s="171">
        <f t="shared" si="93"/>
        <v>5334.9317454527654</v>
      </c>
      <c r="AJ165" s="171">
        <f>IF('Invoer gegevens'!$I$27="DAEB",SMALL(AC165:AD165,1),AC165)</f>
        <v>5334.9317454527654</v>
      </c>
      <c r="AK165" s="171">
        <f>IF('Invoer gegevens'!$I$27="DAEB",SMALL((AE165:AH165),1),SMALL((AF165:AH165),1))</f>
        <v>5334.9317454527654</v>
      </c>
      <c r="AL165" s="171">
        <f t="shared" si="114"/>
        <v>0</v>
      </c>
      <c r="AM165" s="171">
        <f t="shared" si="115"/>
        <v>0</v>
      </c>
      <c r="AN165" s="175">
        <f t="shared" si="110"/>
        <v>753350</v>
      </c>
      <c r="AP165" s="184">
        <f t="shared" ca="1" si="111"/>
        <v>2179</v>
      </c>
      <c r="AQ165" s="185">
        <f t="shared" si="94"/>
        <v>0.02</v>
      </c>
      <c r="AR165" s="182">
        <f t="shared" si="86"/>
        <v>23.877083830242015</v>
      </c>
      <c r="AU165" s="184">
        <f t="shared" ca="1" si="112"/>
        <v>2179</v>
      </c>
      <c r="AV165" s="182">
        <f t="shared" si="95"/>
        <v>0.02</v>
      </c>
      <c r="AW165" s="179">
        <f t="shared" si="96"/>
        <v>5.0000000000000001E-3</v>
      </c>
      <c r="AX165" s="182">
        <f t="shared" si="97"/>
        <v>2.5000000000000001E-2</v>
      </c>
      <c r="AY165" s="186"/>
      <c r="AZ165" s="190"/>
      <c r="BA165" s="184">
        <f t="shared" ca="1" si="113"/>
        <v>2179</v>
      </c>
      <c r="BB165" s="171">
        <f t="shared" si="98"/>
        <v>26196.18</v>
      </c>
      <c r="BC165" s="171">
        <f t="shared" si="88"/>
        <v>16459.358300249642</v>
      </c>
      <c r="BD165" s="171">
        <f t="shared" si="124"/>
        <v>11950.01</v>
      </c>
      <c r="BE165" s="171">
        <f t="shared" si="124"/>
        <v>5334.9317454527654</v>
      </c>
      <c r="BF165" s="171">
        <f t="shared" si="124"/>
        <v>5334.9317454527654</v>
      </c>
      <c r="BG165" s="171">
        <f t="shared" si="123"/>
        <v>5334.9317454527654</v>
      </c>
      <c r="BI165" s="187">
        <f>IF(A165-'Invoer gegevens'!$C$17&lt;0,0,IF(A165-'Invoer gegevens'!$C$17=0,1,IF(A165-'Invoer gegevens'!$C$17&lt;5,2,IF(A165-'Invoer gegevens'!$C$17&lt;15,3,4))))</f>
        <v>0</v>
      </c>
      <c r="BJ165" s="229">
        <f>IF(BI165&lt;1,0,IF(BI165&lt;2,4%,IF(Reeksen!BI165&lt;3,4%,IF(Reeksen!BI165&lt;4,4%*70%,IF(Reeksen!BI165&lt;5,4%*50%)))))</f>
        <v>0</v>
      </c>
      <c r="BK165" s="243"/>
      <c r="BL165" s="243"/>
      <c r="BM165" s="243"/>
      <c r="BN165" s="243"/>
      <c r="BO165" s="243"/>
      <c r="BP165" s="243"/>
      <c r="BQ165" s="243"/>
      <c r="BR165" s="243"/>
    </row>
    <row r="166" spans="1:70" x14ac:dyDescent="0.25">
      <c r="A166" s="184">
        <f t="shared" si="99"/>
        <v>161</v>
      </c>
      <c r="B166" s="179">
        <f>Dashboard!$C$25</f>
        <v>0.05</v>
      </c>
      <c r="C166" s="179">
        <f>Dashboard!$C$25</f>
        <v>0.05</v>
      </c>
      <c r="D166" s="179">
        <f>Dashboard!$C$25</f>
        <v>0.05</v>
      </c>
      <c r="E166" s="189"/>
      <c r="F166" s="184">
        <f t="shared" ca="1" si="100"/>
        <v>2180</v>
      </c>
      <c r="G166" s="179">
        <f t="shared" si="120"/>
        <v>0.02</v>
      </c>
      <c r="H166" s="182">
        <f t="shared" si="101"/>
        <v>24.378289575072692</v>
      </c>
      <c r="I166" s="179">
        <f t="shared" si="121"/>
        <v>2.5000000000000001E-2</v>
      </c>
      <c r="J166" s="182">
        <f t="shared" si="102"/>
        <v>53.648959766499281</v>
      </c>
      <c r="K166" s="179">
        <f t="shared" si="122"/>
        <v>2.5000000000000001E-2</v>
      </c>
      <c r="L166" s="182">
        <f t="shared" si="103"/>
        <v>53.648959766499281</v>
      </c>
      <c r="M166" s="189"/>
      <c r="N166" s="184">
        <f t="shared" ca="1" si="104"/>
        <v>2180</v>
      </c>
      <c r="O166" s="179">
        <f t="shared" si="116"/>
        <v>0.02</v>
      </c>
      <c r="P166" s="182">
        <f t="shared" si="85"/>
        <v>24.354625506846855</v>
      </c>
      <c r="R166" s="184">
        <f t="shared" ca="1" si="105"/>
        <v>2180</v>
      </c>
      <c r="S166" s="188">
        <f t="shared" si="118"/>
        <v>5.3600000000000002E-3</v>
      </c>
      <c r="U166" s="184">
        <f t="shared" ca="1" si="106"/>
        <v>2180</v>
      </c>
      <c r="V166" s="182">
        <f t="shared" si="89"/>
        <v>0.02</v>
      </c>
      <c r="W166" s="180">
        <f>Parameters!$D$12</f>
        <v>5.0000000000000001E-3</v>
      </c>
      <c r="X166" s="182">
        <f t="shared" si="90"/>
        <v>2.5000000000000001E-2</v>
      </c>
      <c r="Y166" s="182">
        <f t="shared" si="107"/>
        <v>53.701841947664072</v>
      </c>
      <c r="AA166" s="189"/>
      <c r="AB166" s="184">
        <f t="shared" ca="1" si="108"/>
        <v>2180</v>
      </c>
      <c r="AC166" s="171">
        <f t="shared" si="91"/>
        <v>26850.920973832035</v>
      </c>
      <c r="AD166" s="171">
        <f t="shared" si="87"/>
        <v>5441.6303803618202</v>
      </c>
      <c r="AE166" s="171">
        <f t="shared" si="117"/>
        <v>16788.545466254636</v>
      </c>
      <c r="AF166" s="171">
        <f t="shared" si="109"/>
        <v>5441.6303803618202</v>
      </c>
      <c r="AG166" s="171">
        <f t="shared" si="119"/>
        <v>12189.01</v>
      </c>
      <c r="AH166" s="171">
        <f t="shared" si="92"/>
        <v>12189.01</v>
      </c>
      <c r="AI166" s="171">
        <f t="shared" si="93"/>
        <v>5441.6303803618202</v>
      </c>
      <c r="AJ166" s="171">
        <f>IF('Invoer gegevens'!$I$27="DAEB",SMALL(AC166:AD166,1),AC166)</f>
        <v>5441.6303803618202</v>
      </c>
      <c r="AK166" s="171">
        <f>IF('Invoer gegevens'!$I$27="DAEB",SMALL((AE166:AH166),1),SMALL((AF166:AH166),1))</f>
        <v>5441.6303803618202</v>
      </c>
      <c r="AL166" s="171">
        <f t="shared" si="114"/>
        <v>0</v>
      </c>
      <c r="AM166" s="171">
        <f t="shared" si="115"/>
        <v>0</v>
      </c>
      <c r="AN166" s="175">
        <f t="shared" si="110"/>
        <v>768417</v>
      </c>
      <c r="AP166" s="184">
        <f t="shared" ca="1" si="111"/>
        <v>2180</v>
      </c>
      <c r="AQ166" s="185">
        <f t="shared" si="94"/>
        <v>0.02</v>
      </c>
      <c r="AR166" s="182">
        <f t="shared" si="86"/>
        <v>24.354625506846855</v>
      </c>
      <c r="AU166" s="184">
        <f t="shared" ca="1" si="112"/>
        <v>2180</v>
      </c>
      <c r="AV166" s="182">
        <f t="shared" si="95"/>
        <v>0.02</v>
      </c>
      <c r="AW166" s="179">
        <f t="shared" si="96"/>
        <v>5.0000000000000001E-3</v>
      </c>
      <c r="AX166" s="182">
        <f t="shared" si="97"/>
        <v>2.5000000000000001E-2</v>
      </c>
      <c r="AY166" s="186"/>
      <c r="AZ166" s="190"/>
      <c r="BA166" s="184">
        <f t="shared" ca="1" si="113"/>
        <v>2180</v>
      </c>
      <c r="BB166" s="171">
        <f t="shared" si="98"/>
        <v>26851.08</v>
      </c>
      <c r="BC166" s="171">
        <f t="shared" si="88"/>
        <v>16788.545466254636</v>
      </c>
      <c r="BD166" s="171">
        <f t="shared" si="124"/>
        <v>12189.01</v>
      </c>
      <c r="BE166" s="171">
        <f t="shared" si="124"/>
        <v>5441.6303803618202</v>
      </c>
      <c r="BF166" s="171">
        <f t="shared" si="124"/>
        <v>5441.6303803618202</v>
      </c>
      <c r="BG166" s="171">
        <f t="shared" si="123"/>
        <v>5441.6303803618202</v>
      </c>
      <c r="BI166" s="187">
        <f>IF(A166-'Invoer gegevens'!$C$17&lt;0,0,IF(A166-'Invoer gegevens'!$C$17=0,1,IF(A166-'Invoer gegevens'!$C$17&lt;5,2,IF(A166-'Invoer gegevens'!$C$17&lt;15,3,4))))</f>
        <v>0</v>
      </c>
      <c r="BJ166" s="229">
        <f>IF(BI166&lt;1,0,IF(BI166&lt;2,4%,IF(Reeksen!BI166&lt;3,4%,IF(Reeksen!BI166&lt;4,4%*70%,IF(Reeksen!BI166&lt;5,4%*50%)))))</f>
        <v>0</v>
      </c>
      <c r="BK166" s="243"/>
      <c r="BL166" s="243"/>
      <c r="BM166" s="243"/>
      <c r="BN166" s="243"/>
      <c r="BO166" s="243"/>
      <c r="BP166" s="243"/>
      <c r="BQ166" s="243"/>
      <c r="BR166" s="243"/>
    </row>
    <row r="167" spans="1:70" x14ac:dyDescent="0.25">
      <c r="A167" s="184">
        <f t="shared" si="99"/>
        <v>162</v>
      </c>
      <c r="B167" s="179">
        <f>Dashboard!$C$25</f>
        <v>0.05</v>
      </c>
      <c r="C167" s="179">
        <f>Dashboard!$C$25</f>
        <v>0.05</v>
      </c>
      <c r="D167" s="179">
        <f>Dashboard!$C$25</f>
        <v>0.05</v>
      </c>
      <c r="E167" s="189"/>
      <c r="F167" s="184">
        <f t="shared" ca="1" si="100"/>
        <v>2181</v>
      </c>
      <c r="G167" s="179">
        <f t="shared" si="120"/>
        <v>0.02</v>
      </c>
      <c r="H167" s="182">
        <f t="shared" si="101"/>
        <v>24.865855366574145</v>
      </c>
      <c r="I167" s="179">
        <f t="shared" si="121"/>
        <v>2.5000000000000001E-2</v>
      </c>
      <c r="J167" s="182">
        <f t="shared" si="102"/>
        <v>54.990183760661758</v>
      </c>
      <c r="K167" s="179">
        <f t="shared" si="122"/>
        <v>2.5000000000000001E-2</v>
      </c>
      <c r="L167" s="182">
        <f t="shared" si="103"/>
        <v>54.990183760661758</v>
      </c>
      <c r="M167" s="189"/>
      <c r="N167" s="184">
        <f t="shared" ca="1" si="104"/>
        <v>2181</v>
      </c>
      <c r="O167" s="179">
        <f t="shared" si="116"/>
        <v>0.02</v>
      </c>
      <c r="P167" s="182">
        <f t="shared" si="85"/>
        <v>24.841718016983791</v>
      </c>
      <c r="R167" s="184">
        <f t="shared" ca="1" si="105"/>
        <v>2181</v>
      </c>
      <c r="S167" s="188">
        <f t="shared" si="118"/>
        <v>5.3600000000000002E-3</v>
      </c>
      <c r="U167" s="184">
        <f t="shared" ca="1" si="106"/>
        <v>2181</v>
      </c>
      <c r="V167" s="182">
        <f t="shared" si="89"/>
        <v>0.02</v>
      </c>
      <c r="W167" s="180">
        <f>Parameters!$D$12</f>
        <v>5.0000000000000001E-3</v>
      </c>
      <c r="X167" s="182">
        <f t="shared" si="90"/>
        <v>2.5000000000000001E-2</v>
      </c>
      <c r="Y167" s="182">
        <f t="shared" si="107"/>
        <v>55.044387996355667</v>
      </c>
      <c r="AA167" s="189"/>
      <c r="AB167" s="184">
        <f t="shared" ca="1" si="108"/>
        <v>2181</v>
      </c>
      <c r="AC167" s="171">
        <f t="shared" si="91"/>
        <v>27522.193998177834</v>
      </c>
      <c r="AD167" s="171">
        <f t="shared" si="87"/>
        <v>5550.4629879690565</v>
      </c>
      <c r="AE167" s="171">
        <f t="shared" si="117"/>
        <v>17124.316375579729</v>
      </c>
      <c r="AF167" s="171">
        <f t="shared" si="109"/>
        <v>5550.4629879690565</v>
      </c>
      <c r="AG167" s="171">
        <f t="shared" si="119"/>
        <v>12432.79</v>
      </c>
      <c r="AH167" s="171">
        <f t="shared" si="92"/>
        <v>12432.79</v>
      </c>
      <c r="AI167" s="171">
        <f t="shared" si="93"/>
        <v>5550.4629879690565</v>
      </c>
      <c r="AJ167" s="171">
        <f>IF('Invoer gegevens'!$I$27="DAEB",SMALL(AC167:AD167,1),AC167)</f>
        <v>5550.4629879690565</v>
      </c>
      <c r="AK167" s="171">
        <f>IF('Invoer gegevens'!$I$27="DAEB",SMALL((AE167:AH167),1),SMALL((AF167:AH167),1))</f>
        <v>5550.4629879690565</v>
      </c>
      <c r="AL167" s="171">
        <f t="shared" si="114"/>
        <v>0</v>
      </c>
      <c r="AM167" s="171">
        <f t="shared" si="115"/>
        <v>0</v>
      </c>
      <c r="AN167" s="175">
        <f t="shared" si="110"/>
        <v>783785</v>
      </c>
      <c r="AP167" s="184">
        <f t="shared" ca="1" si="111"/>
        <v>2181</v>
      </c>
      <c r="AQ167" s="185">
        <f t="shared" si="94"/>
        <v>0.02</v>
      </c>
      <c r="AR167" s="182">
        <f t="shared" si="86"/>
        <v>24.841718016983791</v>
      </c>
      <c r="AU167" s="184">
        <f t="shared" ca="1" si="112"/>
        <v>2181</v>
      </c>
      <c r="AV167" s="182">
        <f t="shared" si="95"/>
        <v>0.02</v>
      </c>
      <c r="AW167" s="179">
        <f t="shared" si="96"/>
        <v>5.0000000000000001E-3</v>
      </c>
      <c r="AX167" s="182">
        <f t="shared" si="97"/>
        <v>2.5000000000000001E-2</v>
      </c>
      <c r="AY167" s="186"/>
      <c r="AZ167" s="190"/>
      <c r="BA167" s="184">
        <f t="shared" ca="1" si="113"/>
        <v>2181</v>
      </c>
      <c r="BB167" s="171">
        <f t="shared" si="98"/>
        <v>27522.36</v>
      </c>
      <c r="BC167" s="171">
        <f t="shared" si="88"/>
        <v>17124.316375579729</v>
      </c>
      <c r="BD167" s="171">
        <f t="shared" si="124"/>
        <v>12432.79</v>
      </c>
      <c r="BE167" s="171">
        <f t="shared" si="124"/>
        <v>5550.4629879690565</v>
      </c>
      <c r="BF167" s="171">
        <f t="shared" si="124"/>
        <v>5550.4629879690565</v>
      </c>
      <c r="BG167" s="171">
        <f t="shared" si="123"/>
        <v>5550.4629879690565</v>
      </c>
      <c r="BI167" s="187">
        <f>IF(A167-'Invoer gegevens'!$C$17&lt;0,0,IF(A167-'Invoer gegevens'!$C$17=0,1,IF(A167-'Invoer gegevens'!$C$17&lt;5,2,IF(A167-'Invoer gegevens'!$C$17&lt;15,3,4))))</f>
        <v>0</v>
      </c>
      <c r="BJ167" s="229">
        <f>IF(BI167&lt;1,0,IF(BI167&lt;2,4%,IF(Reeksen!BI167&lt;3,4%,IF(Reeksen!BI167&lt;4,4%*70%,IF(Reeksen!BI167&lt;5,4%*50%)))))</f>
        <v>0</v>
      </c>
      <c r="BK167" s="243"/>
      <c r="BL167" s="243"/>
      <c r="BM167" s="243"/>
      <c r="BN167" s="243"/>
      <c r="BO167" s="243"/>
      <c r="BP167" s="243"/>
      <c r="BQ167" s="243"/>
      <c r="BR167" s="243"/>
    </row>
    <row r="168" spans="1:70" x14ac:dyDescent="0.25">
      <c r="A168" s="184">
        <f t="shared" si="99"/>
        <v>163</v>
      </c>
      <c r="B168" s="179">
        <f>Dashboard!$C$25</f>
        <v>0.05</v>
      </c>
      <c r="C168" s="179">
        <f>Dashboard!$C$25</f>
        <v>0.05</v>
      </c>
      <c r="D168" s="179">
        <f>Dashboard!$C$25</f>
        <v>0.05</v>
      </c>
      <c r="E168" s="189"/>
      <c r="F168" s="184">
        <f t="shared" ca="1" si="100"/>
        <v>2182</v>
      </c>
      <c r="G168" s="179">
        <f t="shared" si="120"/>
        <v>0.02</v>
      </c>
      <c r="H168" s="182">
        <f t="shared" si="101"/>
        <v>25.363172473905628</v>
      </c>
      <c r="I168" s="179">
        <f t="shared" si="121"/>
        <v>2.5000000000000001E-2</v>
      </c>
      <c r="J168" s="182">
        <f t="shared" si="102"/>
        <v>56.364938354678294</v>
      </c>
      <c r="K168" s="179">
        <f t="shared" si="122"/>
        <v>2.5000000000000001E-2</v>
      </c>
      <c r="L168" s="182">
        <f t="shared" si="103"/>
        <v>56.364938354678294</v>
      </c>
      <c r="M168" s="189"/>
      <c r="N168" s="184">
        <f t="shared" ca="1" si="104"/>
        <v>2182</v>
      </c>
      <c r="O168" s="179">
        <f t="shared" si="116"/>
        <v>0.02</v>
      </c>
      <c r="P168" s="182">
        <f t="shared" si="85"/>
        <v>25.338552377323467</v>
      </c>
      <c r="R168" s="184">
        <f t="shared" ca="1" si="105"/>
        <v>2182</v>
      </c>
      <c r="S168" s="188">
        <f t="shared" si="118"/>
        <v>5.3600000000000002E-3</v>
      </c>
      <c r="U168" s="184">
        <f t="shared" ca="1" si="106"/>
        <v>2182</v>
      </c>
      <c r="V168" s="182">
        <f t="shared" si="89"/>
        <v>0.02</v>
      </c>
      <c r="W168" s="180">
        <f>Parameters!$D$12</f>
        <v>5.0000000000000001E-3</v>
      </c>
      <c r="X168" s="182">
        <f t="shared" si="90"/>
        <v>2.5000000000000001E-2</v>
      </c>
      <c r="Y168" s="182">
        <f t="shared" si="107"/>
        <v>56.420497696264555</v>
      </c>
      <c r="AA168" s="189"/>
      <c r="AB168" s="184">
        <f t="shared" ca="1" si="108"/>
        <v>2182</v>
      </c>
      <c r="AC168" s="171">
        <f t="shared" si="91"/>
        <v>28210.248848132276</v>
      </c>
      <c r="AD168" s="171">
        <f t="shared" si="87"/>
        <v>5661.4722477284377</v>
      </c>
      <c r="AE168" s="171">
        <f t="shared" si="117"/>
        <v>17466.802703091322</v>
      </c>
      <c r="AF168" s="171">
        <f t="shared" si="109"/>
        <v>5661.4722477284377</v>
      </c>
      <c r="AG168" s="171">
        <f t="shared" si="119"/>
        <v>12681.45</v>
      </c>
      <c r="AH168" s="171">
        <f t="shared" si="92"/>
        <v>12681.45</v>
      </c>
      <c r="AI168" s="171">
        <f t="shared" si="93"/>
        <v>5661.4722477284377</v>
      </c>
      <c r="AJ168" s="171">
        <f>IF('Invoer gegevens'!$I$27="DAEB",SMALL(AC168:AD168,1),AC168)</f>
        <v>5661.4722477284377</v>
      </c>
      <c r="AK168" s="171">
        <f>IF('Invoer gegevens'!$I$27="DAEB",SMALL((AE168:AH168),1),SMALL((AF168:AH168),1))</f>
        <v>5661.4722477284377</v>
      </c>
      <c r="AL168" s="171">
        <f t="shared" si="114"/>
        <v>0</v>
      </c>
      <c r="AM168" s="171">
        <f t="shared" si="115"/>
        <v>0</v>
      </c>
      <c r="AN168" s="175">
        <f t="shared" si="110"/>
        <v>799461</v>
      </c>
      <c r="AP168" s="184">
        <f t="shared" ca="1" si="111"/>
        <v>2182</v>
      </c>
      <c r="AQ168" s="185">
        <f t="shared" si="94"/>
        <v>0.02</v>
      </c>
      <c r="AR168" s="182">
        <f t="shared" si="86"/>
        <v>25.338552377323467</v>
      </c>
      <c r="AU168" s="184">
        <f t="shared" ca="1" si="112"/>
        <v>2182</v>
      </c>
      <c r="AV168" s="182">
        <f t="shared" si="95"/>
        <v>0.02</v>
      </c>
      <c r="AW168" s="179">
        <f t="shared" si="96"/>
        <v>5.0000000000000001E-3</v>
      </c>
      <c r="AX168" s="182">
        <f t="shared" si="97"/>
        <v>2.5000000000000001E-2</v>
      </c>
      <c r="AY168" s="186"/>
      <c r="AZ168" s="190"/>
      <c r="BA168" s="184">
        <f t="shared" ca="1" si="113"/>
        <v>2182</v>
      </c>
      <c r="BB168" s="171">
        <f t="shared" si="98"/>
        <v>28210.42</v>
      </c>
      <c r="BC168" s="171">
        <f t="shared" si="88"/>
        <v>17466.802703091322</v>
      </c>
      <c r="BD168" s="171">
        <f t="shared" si="124"/>
        <v>12681.45</v>
      </c>
      <c r="BE168" s="171">
        <f t="shared" si="124"/>
        <v>5661.4722477284377</v>
      </c>
      <c r="BF168" s="171">
        <f t="shared" si="124"/>
        <v>5661.4722477284377</v>
      </c>
      <c r="BG168" s="171">
        <f t="shared" si="123"/>
        <v>5661.4722477284377</v>
      </c>
      <c r="BI168" s="187">
        <f>IF(A168-'Invoer gegevens'!$C$17&lt;0,0,IF(A168-'Invoer gegevens'!$C$17=0,1,IF(A168-'Invoer gegevens'!$C$17&lt;5,2,IF(A168-'Invoer gegevens'!$C$17&lt;15,3,4))))</f>
        <v>0</v>
      </c>
      <c r="BJ168" s="229">
        <f>IF(BI168&lt;1,0,IF(BI168&lt;2,4%,IF(Reeksen!BI168&lt;3,4%,IF(Reeksen!BI168&lt;4,4%*70%,IF(Reeksen!BI168&lt;5,4%*50%)))))</f>
        <v>0</v>
      </c>
      <c r="BK168" s="243"/>
      <c r="BL168" s="243"/>
      <c r="BM168" s="243"/>
      <c r="BN168" s="243"/>
      <c r="BO168" s="243"/>
      <c r="BP168" s="243"/>
      <c r="BQ168" s="243"/>
      <c r="BR168" s="243"/>
    </row>
    <row r="169" spans="1:70" x14ac:dyDescent="0.25">
      <c r="A169" s="184">
        <f t="shared" si="99"/>
        <v>164</v>
      </c>
      <c r="B169" s="179">
        <f>Dashboard!$C$25</f>
        <v>0.05</v>
      </c>
      <c r="C169" s="179">
        <f>Dashboard!$C$25</f>
        <v>0.05</v>
      </c>
      <c r="D169" s="179">
        <f>Dashboard!$C$25</f>
        <v>0.05</v>
      </c>
      <c r="E169" s="189"/>
      <c r="F169" s="184">
        <f t="shared" ca="1" si="100"/>
        <v>2183</v>
      </c>
      <c r="G169" s="179">
        <f t="shared" si="120"/>
        <v>0.02</v>
      </c>
      <c r="H169" s="182">
        <f t="shared" si="101"/>
        <v>25.870435923383742</v>
      </c>
      <c r="I169" s="179">
        <f t="shared" si="121"/>
        <v>2.5000000000000001E-2</v>
      </c>
      <c r="J169" s="182">
        <f t="shared" si="102"/>
        <v>57.774061813545245</v>
      </c>
      <c r="K169" s="179">
        <f t="shared" si="122"/>
        <v>2.5000000000000001E-2</v>
      </c>
      <c r="L169" s="182">
        <f t="shared" si="103"/>
        <v>57.774061813545245</v>
      </c>
      <c r="M169" s="189"/>
      <c r="N169" s="184">
        <f t="shared" ca="1" si="104"/>
        <v>2183</v>
      </c>
      <c r="O169" s="179">
        <f t="shared" si="116"/>
        <v>0.02</v>
      </c>
      <c r="P169" s="182">
        <f t="shared" si="85"/>
        <v>25.845323424869935</v>
      </c>
      <c r="R169" s="184">
        <f t="shared" ca="1" si="105"/>
        <v>2183</v>
      </c>
      <c r="S169" s="188">
        <f t="shared" si="118"/>
        <v>5.3600000000000002E-3</v>
      </c>
      <c r="U169" s="184">
        <f t="shared" ca="1" si="106"/>
        <v>2183</v>
      </c>
      <c r="V169" s="182">
        <f t="shared" si="89"/>
        <v>0.02</v>
      </c>
      <c r="W169" s="180">
        <f>Parameters!$D$12</f>
        <v>5.0000000000000001E-3</v>
      </c>
      <c r="X169" s="182">
        <f t="shared" si="90"/>
        <v>2.5000000000000001E-2</v>
      </c>
      <c r="Y169" s="182">
        <f t="shared" si="107"/>
        <v>57.831010138671161</v>
      </c>
      <c r="AA169" s="189"/>
      <c r="AB169" s="184">
        <f t="shared" ca="1" si="108"/>
        <v>2183</v>
      </c>
      <c r="AC169" s="171">
        <f t="shared" si="91"/>
        <v>28915.505069335581</v>
      </c>
      <c r="AD169" s="171">
        <f t="shared" si="87"/>
        <v>5774.7016926830065</v>
      </c>
      <c r="AE169" s="171">
        <f t="shared" si="117"/>
        <v>17816.138757153149</v>
      </c>
      <c r="AF169" s="171">
        <f t="shared" si="109"/>
        <v>5774.7016926830065</v>
      </c>
      <c r="AG169" s="171">
        <f t="shared" si="119"/>
        <v>12935.08</v>
      </c>
      <c r="AH169" s="171">
        <f t="shared" si="92"/>
        <v>12935.08</v>
      </c>
      <c r="AI169" s="171">
        <f t="shared" si="93"/>
        <v>5774.7016926830065</v>
      </c>
      <c r="AJ169" s="171">
        <f>IF('Invoer gegevens'!$I$27="DAEB",SMALL(AC169:AD169,1),AC169)</f>
        <v>5774.7016926830065</v>
      </c>
      <c r="AK169" s="171">
        <f>IF('Invoer gegevens'!$I$27="DAEB",SMALL((AE169:AH169),1),SMALL((AF169:AH169),1))</f>
        <v>5774.7016926830065</v>
      </c>
      <c r="AL169" s="171">
        <f t="shared" si="114"/>
        <v>0</v>
      </c>
      <c r="AM169" s="171">
        <f t="shared" si="115"/>
        <v>0</v>
      </c>
      <c r="AN169" s="175">
        <f t="shared" si="110"/>
        <v>815450</v>
      </c>
      <c r="AP169" s="184">
        <f t="shared" ca="1" si="111"/>
        <v>2183</v>
      </c>
      <c r="AQ169" s="185">
        <f t="shared" si="94"/>
        <v>0.02</v>
      </c>
      <c r="AR169" s="182">
        <f t="shared" si="86"/>
        <v>25.845323424869935</v>
      </c>
      <c r="AU169" s="184">
        <f t="shared" ca="1" si="112"/>
        <v>2183</v>
      </c>
      <c r="AV169" s="182">
        <f t="shared" si="95"/>
        <v>0.02</v>
      </c>
      <c r="AW169" s="179">
        <f t="shared" si="96"/>
        <v>5.0000000000000001E-3</v>
      </c>
      <c r="AX169" s="182">
        <f t="shared" si="97"/>
        <v>2.5000000000000001E-2</v>
      </c>
      <c r="AY169" s="186"/>
      <c r="AZ169" s="190"/>
      <c r="BA169" s="184">
        <f t="shared" ca="1" si="113"/>
        <v>2183</v>
      </c>
      <c r="BB169" s="171">
        <f t="shared" si="98"/>
        <v>28915.68</v>
      </c>
      <c r="BC169" s="171">
        <f t="shared" si="88"/>
        <v>17816.138757153149</v>
      </c>
      <c r="BD169" s="171">
        <f t="shared" si="124"/>
        <v>12935.08</v>
      </c>
      <c r="BE169" s="171">
        <f t="shared" si="124"/>
        <v>5774.7016926830065</v>
      </c>
      <c r="BF169" s="171">
        <f t="shared" si="124"/>
        <v>5774.7016926830065</v>
      </c>
      <c r="BG169" s="171">
        <f t="shared" si="123"/>
        <v>5774.7016926830065</v>
      </c>
      <c r="BI169" s="187">
        <f>IF(A169-'Invoer gegevens'!$C$17&lt;0,0,IF(A169-'Invoer gegevens'!$C$17=0,1,IF(A169-'Invoer gegevens'!$C$17&lt;5,2,IF(A169-'Invoer gegevens'!$C$17&lt;15,3,4))))</f>
        <v>0</v>
      </c>
      <c r="BJ169" s="229">
        <f>IF(BI169&lt;1,0,IF(BI169&lt;2,4%,IF(Reeksen!BI169&lt;3,4%,IF(Reeksen!BI169&lt;4,4%*70%,IF(Reeksen!BI169&lt;5,4%*50%)))))</f>
        <v>0</v>
      </c>
      <c r="BK169" s="243"/>
      <c r="BL169" s="243"/>
      <c r="BM169" s="243"/>
      <c r="BN169" s="243"/>
      <c r="BO169" s="243"/>
      <c r="BP169" s="243"/>
      <c r="BQ169" s="243"/>
      <c r="BR169" s="243"/>
    </row>
    <row r="170" spans="1:70" x14ac:dyDescent="0.25">
      <c r="A170" s="184">
        <f t="shared" si="99"/>
        <v>165</v>
      </c>
      <c r="B170" s="179">
        <f>Dashboard!$C$25</f>
        <v>0.05</v>
      </c>
      <c r="C170" s="179">
        <f>Dashboard!$C$25</f>
        <v>0.05</v>
      </c>
      <c r="D170" s="179">
        <f>Dashboard!$C$25</f>
        <v>0.05</v>
      </c>
      <c r="E170" s="189"/>
      <c r="F170" s="184">
        <f t="shared" ca="1" si="100"/>
        <v>2184</v>
      </c>
      <c r="G170" s="179">
        <f t="shared" si="120"/>
        <v>0.02</v>
      </c>
      <c r="H170" s="182">
        <f t="shared" si="101"/>
        <v>26.387844641851416</v>
      </c>
      <c r="I170" s="179">
        <f t="shared" si="121"/>
        <v>2.5000000000000001E-2</v>
      </c>
      <c r="J170" s="182">
        <f t="shared" si="102"/>
        <v>59.218413358883872</v>
      </c>
      <c r="K170" s="179">
        <f t="shared" si="122"/>
        <v>2.5000000000000001E-2</v>
      </c>
      <c r="L170" s="182">
        <f t="shared" si="103"/>
        <v>59.218413358883872</v>
      </c>
      <c r="M170" s="189"/>
      <c r="N170" s="184">
        <f t="shared" ca="1" si="104"/>
        <v>2184</v>
      </c>
      <c r="O170" s="179">
        <f t="shared" si="116"/>
        <v>0.02</v>
      </c>
      <c r="P170" s="182">
        <f t="shared" si="85"/>
        <v>26.362229893367335</v>
      </c>
      <c r="R170" s="184">
        <f t="shared" ca="1" si="105"/>
        <v>2184</v>
      </c>
      <c r="S170" s="188">
        <f t="shared" si="118"/>
        <v>5.3600000000000002E-3</v>
      </c>
      <c r="U170" s="184">
        <f t="shared" ca="1" si="106"/>
        <v>2184</v>
      </c>
      <c r="V170" s="182">
        <f t="shared" si="89"/>
        <v>0.02</v>
      </c>
      <c r="W170" s="180">
        <f>Parameters!$D$12</f>
        <v>5.0000000000000001E-3</v>
      </c>
      <c r="X170" s="182">
        <f t="shared" si="90"/>
        <v>2.5000000000000001E-2</v>
      </c>
      <c r="Y170" s="182">
        <f t="shared" si="107"/>
        <v>59.276785392137931</v>
      </c>
      <c r="AA170" s="189"/>
      <c r="AB170" s="184">
        <f t="shared" ca="1" si="108"/>
        <v>2184</v>
      </c>
      <c r="AC170" s="171">
        <f t="shared" si="91"/>
        <v>29638.392696068964</v>
      </c>
      <c r="AD170" s="171">
        <f t="shared" si="87"/>
        <v>5890.1957265366673</v>
      </c>
      <c r="AE170" s="171">
        <f t="shared" si="117"/>
        <v>18172.461532296213</v>
      </c>
      <c r="AF170" s="171">
        <f t="shared" si="109"/>
        <v>5890.1957265366673</v>
      </c>
      <c r="AG170" s="171">
        <f t="shared" si="119"/>
        <v>13193.78</v>
      </c>
      <c r="AH170" s="171">
        <f t="shared" si="92"/>
        <v>13193.78</v>
      </c>
      <c r="AI170" s="171">
        <f t="shared" si="93"/>
        <v>5890.1957265366673</v>
      </c>
      <c r="AJ170" s="171">
        <f>IF('Invoer gegevens'!$I$27="DAEB",SMALL(AC170:AD170,1),AC170)</f>
        <v>5890.1957265366673</v>
      </c>
      <c r="AK170" s="171">
        <f>IF('Invoer gegevens'!$I$27="DAEB",SMALL((AE170:AH170),1),SMALL((AF170:AH170),1))</f>
        <v>5890.1957265366673</v>
      </c>
      <c r="AL170" s="171">
        <f t="shared" si="114"/>
        <v>0</v>
      </c>
      <c r="AM170" s="171">
        <f t="shared" si="115"/>
        <v>0</v>
      </c>
      <c r="AN170" s="175">
        <f t="shared" si="110"/>
        <v>831759</v>
      </c>
      <c r="AP170" s="184">
        <f t="shared" ca="1" si="111"/>
        <v>2184</v>
      </c>
      <c r="AQ170" s="185">
        <f t="shared" si="94"/>
        <v>0.02</v>
      </c>
      <c r="AR170" s="182">
        <f t="shared" si="86"/>
        <v>26.362229893367335</v>
      </c>
      <c r="AU170" s="184">
        <f t="shared" ca="1" si="112"/>
        <v>2184</v>
      </c>
      <c r="AV170" s="182">
        <f t="shared" si="95"/>
        <v>0.02</v>
      </c>
      <c r="AW170" s="179">
        <f t="shared" si="96"/>
        <v>5.0000000000000001E-3</v>
      </c>
      <c r="AX170" s="182">
        <f t="shared" si="97"/>
        <v>2.5000000000000001E-2</v>
      </c>
      <c r="AY170" s="186"/>
      <c r="AZ170" s="190"/>
      <c r="BA170" s="184">
        <f t="shared" ca="1" si="113"/>
        <v>2184</v>
      </c>
      <c r="BB170" s="171">
        <f t="shared" si="98"/>
        <v>29638.57</v>
      </c>
      <c r="BC170" s="171">
        <f t="shared" si="88"/>
        <v>18172.461532296213</v>
      </c>
      <c r="BD170" s="171">
        <f t="shared" si="124"/>
        <v>13193.78</v>
      </c>
      <c r="BE170" s="171">
        <f t="shared" si="124"/>
        <v>5890.1957265366673</v>
      </c>
      <c r="BF170" s="171">
        <f t="shared" si="124"/>
        <v>5890.1957265366673</v>
      </c>
      <c r="BG170" s="171">
        <f t="shared" si="123"/>
        <v>5890.1957265366673</v>
      </c>
      <c r="BI170" s="187">
        <f>IF(A170-'Invoer gegevens'!$C$17&lt;0,0,IF(A170-'Invoer gegevens'!$C$17=0,1,IF(A170-'Invoer gegevens'!$C$17&lt;5,2,IF(A170-'Invoer gegevens'!$C$17&lt;15,3,4))))</f>
        <v>0</v>
      </c>
      <c r="BJ170" s="229">
        <f>IF(BI170&lt;1,0,IF(BI170&lt;2,4%,IF(Reeksen!BI170&lt;3,4%,IF(Reeksen!BI170&lt;4,4%*70%,IF(Reeksen!BI170&lt;5,4%*50%)))))</f>
        <v>0</v>
      </c>
      <c r="BK170" s="243"/>
      <c r="BL170" s="243"/>
      <c r="BM170" s="243"/>
      <c r="BN170" s="243"/>
      <c r="BO170" s="243"/>
      <c r="BP170" s="243"/>
      <c r="BQ170" s="243"/>
      <c r="BR170" s="243"/>
    </row>
    <row r="171" spans="1:70" x14ac:dyDescent="0.25">
      <c r="A171" s="184">
        <f t="shared" si="99"/>
        <v>166</v>
      </c>
      <c r="B171" s="179">
        <f>Dashboard!$C$25</f>
        <v>0.05</v>
      </c>
      <c r="C171" s="179">
        <f>Dashboard!$C$25</f>
        <v>0.05</v>
      </c>
      <c r="D171" s="179">
        <f>Dashboard!$C$25</f>
        <v>0.05</v>
      </c>
      <c r="E171" s="189"/>
      <c r="F171" s="184">
        <f t="shared" ca="1" si="100"/>
        <v>2185</v>
      </c>
      <c r="G171" s="179">
        <f t="shared" si="120"/>
        <v>0.02</v>
      </c>
      <c r="H171" s="182">
        <f t="shared" si="101"/>
        <v>26.915601534688445</v>
      </c>
      <c r="I171" s="179">
        <f t="shared" si="121"/>
        <v>2.5000000000000001E-2</v>
      </c>
      <c r="J171" s="182">
        <f t="shared" si="102"/>
        <v>60.698873692855962</v>
      </c>
      <c r="K171" s="179">
        <f t="shared" si="122"/>
        <v>2.5000000000000001E-2</v>
      </c>
      <c r="L171" s="182">
        <f t="shared" si="103"/>
        <v>60.698873692855962</v>
      </c>
      <c r="M171" s="189"/>
      <c r="N171" s="184">
        <f t="shared" ca="1" si="104"/>
        <v>2185</v>
      </c>
      <c r="O171" s="179">
        <f t="shared" si="116"/>
        <v>0.02</v>
      </c>
      <c r="P171" s="182">
        <f t="shared" si="85"/>
        <v>26.889474491234683</v>
      </c>
      <c r="R171" s="184">
        <f t="shared" ca="1" si="105"/>
        <v>2185</v>
      </c>
      <c r="S171" s="188">
        <f t="shared" si="118"/>
        <v>5.3600000000000002E-3</v>
      </c>
      <c r="U171" s="184">
        <f t="shared" ca="1" si="106"/>
        <v>2185</v>
      </c>
      <c r="V171" s="182">
        <f t="shared" si="89"/>
        <v>0.02</v>
      </c>
      <c r="W171" s="180">
        <f>Parameters!$D$12</f>
        <v>5.0000000000000001E-3</v>
      </c>
      <c r="X171" s="182">
        <f t="shared" si="90"/>
        <v>2.5000000000000001E-2</v>
      </c>
      <c r="Y171" s="182">
        <f t="shared" si="107"/>
        <v>60.758705026941371</v>
      </c>
      <c r="AA171" s="189"/>
      <c r="AB171" s="184">
        <f t="shared" ca="1" si="108"/>
        <v>2185</v>
      </c>
      <c r="AC171" s="171">
        <f t="shared" si="91"/>
        <v>30379.352513470687</v>
      </c>
      <c r="AD171" s="171">
        <f t="shared" si="87"/>
        <v>6007.9996410674003</v>
      </c>
      <c r="AE171" s="171">
        <f t="shared" si="117"/>
        <v>18535.910762942138</v>
      </c>
      <c r="AF171" s="171">
        <f t="shared" si="109"/>
        <v>6007.9996410674003</v>
      </c>
      <c r="AG171" s="171">
        <f t="shared" si="119"/>
        <v>13457.66</v>
      </c>
      <c r="AH171" s="171">
        <f t="shared" si="92"/>
        <v>13457.66</v>
      </c>
      <c r="AI171" s="171">
        <f t="shared" si="93"/>
        <v>6007.9996410674003</v>
      </c>
      <c r="AJ171" s="171">
        <f>IF('Invoer gegevens'!$I$27="DAEB",SMALL(AC171:AD171,1),AC171)</f>
        <v>6007.9996410674003</v>
      </c>
      <c r="AK171" s="171">
        <f>IF('Invoer gegevens'!$I$27="DAEB",SMALL((AE171:AH171),1),SMALL((AF171:AH171),1))</f>
        <v>6007.9996410674003</v>
      </c>
      <c r="AL171" s="171">
        <f t="shared" si="114"/>
        <v>0</v>
      </c>
      <c r="AM171" s="171">
        <f t="shared" si="115"/>
        <v>0</v>
      </c>
      <c r="AN171" s="175">
        <f t="shared" si="110"/>
        <v>848394</v>
      </c>
      <c r="AP171" s="184">
        <f t="shared" ca="1" si="111"/>
        <v>2185</v>
      </c>
      <c r="AQ171" s="185">
        <f t="shared" si="94"/>
        <v>0.02</v>
      </c>
      <c r="AR171" s="182">
        <f t="shared" si="86"/>
        <v>26.889474491234683</v>
      </c>
      <c r="AU171" s="184">
        <f t="shared" ca="1" si="112"/>
        <v>2185</v>
      </c>
      <c r="AV171" s="182">
        <f t="shared" si="95"/>
        <v>0.02</v>
      </c>
      <c r="AW171" s="179">
        <f t="shared" si="96"/>
        <v>5.0000000000000001E-3</v>
      </c>
      <c r="AX171" s="182">
        <f t="shared" si="97"/>
        <v>2.5000000000000001E-2</v>
      </c>
      <c r="AY171" s="186"/>
      <c r="AZ171" s="190"/>
      <c r="BA171" s="184">
        <f t="shared" ca="1" si="113"/>
        <v>2185</v>
      </c>
      <c r="BB171" s="171">
        <f t="shared" si="98"/>
        <v>30379.53</v>
      </c>
      <c r="BC171" s="171">
        <f t="shared" si="88"/>
        <v>18535.910762942138</v>
      </c>
      <c r="BD171" s="171">
        <f t="shared" si="124"/>
        <v>13457.66</v>
      </c>
      <c r="BE171" s="171">
        <f t="shared" si="124"/>
        <v>6007.9996410674003</v>
      </c>
      <c r="BF171" s="171">
        <f t="shared" si="124"/>
        <v>6007.9996410674003</v>
      </c>
      <c r="BG171" s="171">
        <f t="shared" si="123"/>
        <v>6007.9996410674003</v>
      </c>
      <c r="BI171" s="187">
        <f>IF(A171-'Invoer gegevens'!$C$17&lt;0,0,IF(A171-'Invoer gegevens'!$C$17=0,1,IF(A171-'Invoer gegevens'!$C$17&lt;5,2,IF(A171-'Invoer gegevens'!$C$17&lt;15,3,4))))</f>
        <v>0</v>
      </c>
      <c r="BJ171" s="229">
        <f>IF(BI171&lt;1,0,IF(BI171&lt;2,4%,IF(Reeksen!BI171&lt;3,4%,IF(Reeksen!BI171&lt;4,4%*70%,IF(Reeksen!BI171&lt;5,4%*50%)))))</f>
        <v>0</v>
      </c>
      <c r="BK171" s="243"/>
      <c r="BL171" s="243"/>
      <c r="BM171" s="243"/>
      <c r="BN171" s="243"/>
      <c r="BO171" s="243"/>
      <c r="BP171" s="243"/>
      <c r="BQ171" s="243"/>
      <c r="BR171" s="243"/>
    </row>
    <row r="172" spans="1:70" x14ac:dyDescent="0.25">
      <c r="A172" s="184">
        <f t="shared" si="99"/>
        <v>167</v>
      </c>
      <c r="B172" s="179">
        <f>Dashboard!$C$25</f>
        <v>0.05</v>
      </c>
      <c r="C172" s="179">
        <f>Dashboard!$C$25</f>
        <v>0.05</v>
      </c>
      <c r="D172" s="179">
        <f>Dashboard!$C$25</f>
        <v>0.05</v>
      </c>
      <c r="E172" s="189"/>
      <c r="F172" s="184">
        <f t="shared" ca="1" si="100"/>
        <v>2186</v>
      </c>
      <c r="G172" s="179">
        <f t="shared" si="120"/>
        <v>0.02</v>
      </c>
      <c r="H172" s="182">
        <f t="shared" si="101"/>
        <v>27.453913565382216</v>
      </c>
      <c r="I172" s="179">
        <f t="shared" si="121"/>
        <v>2.5000000000000001E-2</v>
      </c>
      <c r="J172" s="182">
        <f t="shared" si="102"/>
        <v>62.216345535177354</v>
      </c>
      <c r="K172" s="179">
        <f t="shared" si="122"/>
        <v>2.5000000000000001E-2</v>
      </c>
      <c r="L172" s="182">
        <f t="shared" si="103"/>
        <v>62.216345535177354</v>
      </c>
      <c r="M172" s="189"/>
      <c r="N172" s="184">
        <f t="shared" ca="1" si="104"/>
        <v>2186</v>
      </c>
      <c r="O172" s="179">
        <f t="shared" si="116"/>
        <v>0.02</v>
      </c>
      <c r="P172" s="182">
        <f t="shared" si="85"/>
        <v>27.427263981059376</v>
      </c>
      <c r="R172" s="184">
        <f t="shared" ca="1" si="105"/>
        <v>2186</v>
      </c>
      <c r="S172" s="188">
        <f t="shared" si="118"/>
        <v>5.3600000000000002E-3</v>
      </c>
      <c r="U172" s="184">
        <f t="shared" ca="1" si="106"/>
        <v>2186</v>
      </c>
      <c r="V172" s="182">
        <f t="shared" si="89"/>
        <v>0.02</v>
      </c>
      <c r="W172" s="180">
        <f>Parameters!$D$12</f>
        <v>5.0000000000000001E-3</v>
      </c>
      <c r="X172" s="182">
        <f t="shared" si="90"/>
        <v>2.5000000000000001E-2</v>
      </c>
      <c r="Y172" s="182">
        <f t="shared" si="107"/>
        <v>62.277672652614896</v>
      </c>
      <c r="AA172" s="189"/>
      <c r="AB172" s="184">
        <f t="shared" ca="1" si="108"/>
        <v>2186</v>
      </c>
      <c r="AC172" s="171">
        <f t="shared" si="91"/>
        <v>31138.83632630745</v>
      </c>
      <c r="AD172" s="171">
        <f t="shared" si="87"/>
        <v>6128.1596338887484</v>
      </c>
      <c r="AE172" s="171">
        <f t="shared" si="117"/>
        <v>18906.628978200981</v>
      </c>
      <c r="AF172" s="171">
        <f t="shared" si="109"/>
        <v>6128.1596338887484</v>
      </c>
      <c r="AG172" s="171">
        <f t="shared" si="119"/>
        <v>13726.81</v>
      </c>
      <c r="AH172" s="171">
        <f t="shared" si="92"/>
        <v>13726.81</v>
      </c>
      <c r="AI172" s="171">
        <f t="shared" si="93"/>
        <v>6128.1596338887484</v>
      </c>
      <c r="AJ172" s="171">
        <f>IF('Invoer gegevens'!$I$27="DAEB",SMALL(AC172:AD172,1),AC172)</f>
        <v>6128.1596338887484</v>
      </c>
      <c r="AK172" s="171">
        <f>IF('Invoer gegevens'!$I$27="DAEB",SMALL((AE172:AH172),1),SMALL((AF172:AH172),1))</f>
        <v>6128.1596338887484</v>
      </c>
      <c r="AL172" s="171">
        <f t="shared" si="114"/>
        <v>0</v>
      </c>
      <c r="AM172" s="171">
        <f t="shared" si="115"/>
        <v>0</v>
      </c>
      <c r="AN172" s="175">
        <f t="shared" si="110"/>
        <v>865362</v>
      </c>
      <c r="AP172" s="184">
        <f t="shared" ca="1" si="111"/>
        <v>2186</v>
      </c>
      <c r="AQ172" s="185">
        <f t="shared" si="94"/>
        <v>0.02</v>
      </c>
      <c r="AR172" s="182">
        <f t="shared" si="86"/>
        <v>27.427263981059376</v>
      </c>
      <c r="AU172" s="184">
        <f t="shared" ca="1" si="112"/>
        <v>2186</v>
      </c>
      <c r="AV172" s="182">
        <f t="shared" si="95"/>
        <v>0.02</v>
      </c>
      <c r="AW172" s="179">
        <f t="shared" si="96"/>
        <v>5.0000000000000001E-3</v>
      </c>
      <c r="AX172" s="182">
        <f t="shared" si="97"/>
        <v>2.5000000000000001E-2</v>
      </c>
      <c r="AY172" s="186"/>
      <c r="AZ172" s="190"/>
      <c r="BA172" s="184">
        <f t="shared" ca="1" si="113"/>
        <v>2186</v>
      </c>
      <c r="BB172" s="171">
        <f t="shared" si="98"/>
        <v>31139.02</v>
      </c>
      <c r="BC172" s="171">
        <f t="shared" si="88"/>
        <v>18906.628978200981</v>
      </c>
      <c r="BD172" s="171">
        <f t="shared" si="124"/>
        <v>13726.81</v>
      </c>
      <c r="BE172" s="171">
        <f t="shared" si="124"/>
        <v>6128.1596338887484</v>
      </c>
      <c r="BF172" s="171">
        <f t="shared" si="124"/>
        <v>6128.1596338887484</v>
      </c>
      <c r="BG172" s="171">
        <f t="shared" si="123"/>
        <v>6128.1596338887484</v>
      </c>
      <c r="BI172" s="187">
        <f>IF(A172-'Invoer gegevens'!$C$17&lt;0,0,IF(A172-'Invoer gegevens'!$C$17=0,1,IF(A172-'Invoer gegevens'!$C$17&lt;5,2,IF(A172-'Invoer gegevens'!$C$17&lt;15,3,4))))</f>
        <v>0</v>
      </c>
      <c r="BJ172" s="229">
        <f>IF(BI172&lt;1,0,IF(BI172&lt;2,4%,IF(Reeksen!BI172&lt;3,4%,IF(Reeksen!BI172&lt;4,4%*70%,IF(Reeksen!BI172&lt;5,4%*50%)))))</f>
        <v>0</v>
      </c>
      <c r="BK172" s="243"/>
      <c r="BL172" s="243"/>
      <c r="BM172" s="243"/>
      <c r="BN172" s="243"/>
      <c r="BO172" s="243"/>
      <c r="BP172" s="243"/>
      <c r="BQ172" s="243"/>
      <c r="BR172" s="243"/>
    </row>
    <row r="173" spans="1:70" x14ac:dyDescent="0.25">
      <c r="A173" s="184">
        <f t="shared" si="99"/>
        <v>168</v>
      </c>
      <c r="B173" s="179">
        <f>Dashboard!$C$25</f>
        <v>0.05</v>
      </c>
      <c r="C173" s="179">
        <f>Dashboard!$C$25</f>
        <v>0.05</v>
      </c>
      <c r="D173" s="179">
        <f>Dashboard!$C$25</f>
        <v>0.05</v>
      </c>
      <c r="E173" s="189"/>
      <c r="F173" s="184">
        <f t="shared" ca="1" si="100"/>
        <v>2187</v>
      </c>
      <c r="G173" s="179">
        <f t="shared" si="120"/>
        <v>0.02</v>
      </c>
      <c r="H173" s="182">
        <f t="shared" si="101"/>
        <v>28.002991836689862</v>
      </c>
      <c r="I173" s="179">
        <f t="shared" si="121"/>
        <v>2.5000000000000001E-2</v>
      </c>
      <c r="J173" s="182">
        <f t="shared" si="102"/>
        <v>63.771754173556779</v>
      </c>
      <c r="K173" s="179">
        <f t="shared" si="122"/>
        <v>2.5000000000000001E-2</v>
      </c>
      <c r="L173" s="182">
        <f t="shared" si="103"/>
        <v>63.771754173556779</v>
      </c>
      <c r="M173" s="189"/>
      <c r="N173" s="184">
        <f t="shared" ca="1" si="104"/>
        <v>2187</v>
      </c>
      <c r="O173" s="179">
        <f t="shared" si="116"/>
        <v>0.02</v>
      </c>
      <c r="P173" s="182">
        <f t="shared" si="85"/>
        <v>27.975809260680563</v>
      </c>
      <c r="R173" s="184">
        <f t="shared" ca="1" si="105"/>
        <v>2187</v>
      </c>
      <c r="S173" s="188">
        <f t="shared" si="118"/>
        <v>5.3600000000000002E-3</v>
      </c>
      <c r="U173" s="184">
        <f t="shared" ca="1" si="106"/>
        <v>2187</v>
      </c>
      <c r="V173" s="182">
        <f t="shared" si="89"/>
        <v>0.02</v>
      </c>
      <c r="W173" s="180">
        <f>Parameters!$D$12</f>
        <v>5.0000000000000001E-3</v>
      </c>
      <c r="X173" s="182">
        <f t="shared" si="90"/>
        <v>2.5000000000000001E-2</v>
      </c>
      <c r="Y173" s="182">
        <f t="shared" si="107"/>
        <v>63.834614468930262</v>
      </c>
      <c r="AA173" s="189"/>
      <c r="AB173" s="184">
        <f t="shared" ca="1" si="108"/>
        <v>2187</v>
      </c>
      <c r="AC173" s="171">
        <f t="shared" si="91"/>
        <v>31917.30723446513</v>
      </c>
      <c r="AD173" s="171">
        <f t="shared" si="87"/>
        <v>6250.7228265665244</v>
      </c>
      <c r="AE173" s="171">
        <f t="shared" si="117"/>
        <v>19284.761557764999</v>
      </c>
      <c r="AF173" s="171">
        <f t="shared" si="109"/>
        <v>6250.7228265665244</v>
      </c>
      <c r="AG173" s="171">
        <f t="shared" si="119"/>
        <v>14001.35</v>
      </c>
      <c r="AH173" s="171">
        <f t="shared" si="92"/>
        <v>14001.35</v>
      </c>
      <c r="AI173" s="171">
        <f t="shared" si="93"/>
        <v>6250.7228265665244</v>
      </c>
      <c r="AJ173" s="171">
        <f>IF('Invoer gegevens'!$I$27="DAEB",SMALL(AC173:AD173,1),AC173)</f>
        <v>6250.7228265665244</v>
      </c>
      <c r="AK173" s="171">
        <f>IF('Invoer gegevens'!$I$27="DAEB",SMALL((AE173:AH173),1),SMALL((AF173:AH173),1))</f>
        <v>6250.7228265665244</v>
      </c>
      <c r="AL173" s="171">
        <f t="shared" si="114"/>
        <v>0</v>
      </c>
      <c r="AM173" s="171">
        <f t="shared" si="115"/>
        <v>0</v>
      </c>
      <c r="AN173" s="175">
        <f t="shared" si="110"/>
        <v>882669</v>
      </c>
      <c r="AP173" s="184">
        <f t="shared" ca="1" si="111"/>
        <v>2187</v>
      </c>
      <c r="AQ173" s="185">
        <f t="shared" si="94"/>
        <v>0.02</v>
      </c>
      <c r="AR173" s="182">
        <f t="shared" si="86"/>
        <v>27.975809260680563</v>
      </c>
      <c r="AU173" s="184">
        <f t="shared" ca="1" si="112"/>
        <v>2187</v>
      </c>
      <c r="AV173" s="182">
        <f t="shared" si="95"/>
        <v>0.02</v>
      </c>
      <c r="AW173" s="179">
        <f t="shared" si="96"/>
        <v>5.0000000000000001E-3</v>
      </c>
      <c r="AX173" s="182">
        <f t="shared" si="97"/>
        <v>2.5000000000000001E-2</v>
      </c>
      <c r="AY173" s="186"/>
      <c r="AZ173" s="190"/>
      <c r="BA173" s="184">
        <f t="shared" ca="1" si="113"/>
        <v>2187</v>
      </c>
      <c r="BB173" s="171">
        <f t="shared" si="98"/>
        <v>31917.5</v>
      </c>
      <c r="BC173" s="171">
        <f t="shared" si="88"/>
        <v>19284.761557764999</v>
      </c>
      <c r="BD173" s="171">
        <f t="shared" si="124"/>
        <v>14001.35</v>
      </c>
      <c r="BE173" s="171">
        <f t="shared" si="124"/>
        <v>6250.7228265665244</v>
      </c>
      <c r="BF173" s="171">
        <f t="shared" si="124"/>
        <v>6250.7228265665244</v>
      </c>
      <c r="BG173" s="171">
        <f t="shared" si="123"/>
        <v>6250.7228265665244</v>
      </c>
      <c r="BI173" s="187">
        <f>IF(A173-'Invoer gegevens'!$C$17&lt;0,0,IF(A173-'Invoer gegevens'!$C$17=0,1,IF(A173-'Invoer gegevens'!$C$17&lt;5,2,IF(A173-'Invoer gegevens'!$C$17&lt;15,3,4))))</f>
        <v>0</v>
      </c>
      <c r="BJ173" s="229">
        <f>IF(BI173&lt;1,0,IF(BI173&lt;2,4%,IF(Reeksen!BI173&lt;3,4%,IF(Reeksen!BI173&lt;4,4%*70%,IF(Reeksen!BI173&lt;5,4%*50%)))))</f>
        <v>0</v>
      </c>
      <c r="BK173" s="243"/>
      <c r="BL173" s="243"/>
      <c r="BM173" s="243"/>
      <c r="BN173" s="243"/>
      <c r="BO173" s="243"/>
      <c r="BP173" s="243"/>
      <c r="BQ173" s="243"/>
      <c r="BR173" s="243"/>
    </row>
    <row r="174" spans="1:70" x14ac:dyDescent="0.25">
      <c r="A174" s="184">
        <f t="shared" si="99"/>
        <v>169</v>
      </c>
      <c r="B174" s="179">
        <f>Dashboard!$C$25</f>
        <v>0.05</v>
      </c>
      <c r="C174" s="179">
        <f>Dashboard!$C$25</f>
        <v>0.05</v>
      </c>
      <c r="D174" s="179">
        <f>Dashboard!$C$25</f>
        <v>0.05</v>
      </c>
      <c r="E174" s="189"/>
      <c r="F174" s="184">
        <f t="shared" ca="1" si="100"/>
        <v>2188</v>
      </c>
      <c r="G174" s="179">
        <f t="shared" si="120"/>
        <v>0.02</v>
      </c>
      <c r="H174" s="182">
        <f t="shared" si="101"/>
        <v>28.563051673423661</v>
      </c>
      <c r="I174" s="179">
        <f t="shared" si="121"/>
        <v>2.5000000000000001E-2</v>
      </c>
      <c r="J174" s="182">
        <f t="shared" si="102"/>
        <v>65.366048027895687</v>
      </c>
      <c r="K174" s="179">
        <f t="shared" si="122"/>
        <v>2.5000000000000001E-2</v>
      </c>
      <c r="L174" s="182">
        <f t="shared" si="103"/>
        <v>65.366048027895687</v>
      </c>
      <c r="M174" s="189"/>
      <c r="N174" s="184">
        <f t="shared" ca="1" si="104"/>
        <v>2188</v>
      </c>
      <c r="O174" s="179">
        <f t="shared" si="116"/>
        <v>0.02</v>
      </c>
      <c r="P174" s="182">
        <f t="shared" si="85"/>
        <v>28.535325445894173</v>
      </c>
      <c r="R174" s="184">
        <f t="shared" ca="1" si="105"/>
        <v>2188</v>
      </c>
      <c r="S174" s="188">
        <f t="shared" si="118"/>
        <v>5.3600000000000002E-3</v>
      </c>
      <c r="U174" s="184">
        <f t="shared" ca="1" si="106"/>
        <v>2188</v>
      </c>
      <c r="V174" s="182">
        <f t="shared" si="89"/>
        <v>0.02</v>
      </c>
      <c r="W174" s="180">
        <f>Parameters!$D$12</f>
        <v>5.0000000000000001E-3</v>
      </c>
      <c r="X174" s="182">
        <f t="shared" si="90"/>
        <v>2.5000000000000001E-2</v>
      </c>
      <c r="Y174" s="182">
        <f t="shared" si="107"/>
        <v>65.43047983065351</v>
      </c>
      <c r="AA174" s="189"/>
      <c r="AB174" s="184">
        <f t="shared" ca="1" si="108"/>
        <v>2188</v>
      </c>
      <c r="AC174" s="171">
        <f t="shared" si="91"/>
        <v>32715.239915326754</v>
      </c>
      <c r="AD174" s="171">
        <f t="shared" si="87"/>
        <v>6375.7372830978557</v>
      </c>
      <c r="AE174" s="171">
        <f t="shared" si="117"/>
        <v>19670.456788920299</v>
      </c>
      <c r="AF174" s="171">
        <f t="shared" si="109"/>
        <v>6375.7372830978557</v>
      </c>
      <c r="AG174" s="171">
        <f t="shared" si="119"/>
        <v>14281.38</v>
      </c>
      <c r="AH174" s="171">
        <f t="shared" si="92"/>
        <v>14281.38</v>
      </c>
      <c r="AI174" s="171">
        <f t="shared" si="93"/>
        <v>6375.7372830978557</v>
      </c>
      <c r="AJ174" s="171">
        <f>IF('Invoer gegevens'!$I$27="DAEB",SMALL(AC174:AD174,1),AC174)</f>
        <v>6375.7372830978557</v>
      </c>
      <c r="AK174" s="171">
        <f>IF('Invoer gegevens'!$I$27="DAEB",SMALL((AE174:AH174),1),SMALL((AF174:AH174),1))</f>
        <v>6375.7372830978557</v>
      </c>
      <c r="AL174" s="171">
        <f t="shared" si="114"/>
        <v>0</v>
      </c>
      <c r="AM174" s="171">
        <f t="shared" si="115"/>
        <v>0</v>
      </c>
      <c r="AN174" s="175">
        <f t="shared" si="110"/>
        <v>900322</v>
      </c>
      <c r="AP174" s="184">
        <f t="shared" ca="1" si="111"/>
        <v>2188</v>
      </c>
      <c r="AQ174" s="185">
        <f t="shared" si="94"/>
        <v>0.02</v>
      </c>
      <c r="AR174" s="182">
        <f t="shared" si="86"/>
        <v>28.535325445894173</v>
      </c>
      <c r="AU174" s="184">
        <f t="shared" ca="1" si="112"/>
        <v>2188</v>
      </c>
      <c r="AV174" s="182">
        <f t="shared" si="95"/>
        <v>0.02</v>
      </c>
      <c r="AW174" s="179">
        <f t="shared" si="96"/>
        <v>5.0000000000000001E-3</v>
      </c>
      <c r="AX174" s="182">
        <f t="shared" si="97"/>
        <v>2.5000000000000001E-2</v>
      </c>
      <c r="AY174" s="186"/>
      <c r="AZ174" s="190"/>
      <c r="BA174" s="184">
        <f t="shared" ca="1" si="113"/>
        <v>2188</v>
      </c>
      <c r="BB174" s="171">
        <f t="shared" si="98"/>
        <v>32715.439999999999</v>
      </c>
      <c r="BC174" s="171">
        <f t="shared" si="88"/>
        <v>19670.456788920299</v>
      </c>
      <c r="BD174" s="171">
        <f t="shared" si="124"/>
        <v>14281.38</v>
      </c>
      <c r="BE174" s="171">
        <f t="shared" si="124"/>
        <v>6375.7372830978557</v>
      </c>
      <c r="BF174" s="171">
        <f t="shared" si="124"/>
        <v>6375.7372830978557</v>
      </c>
      <c r="BG174" s="171">
        <f t="shared" si="123"/>
        <v>6375.7372830978557</v>
      </c>
      <c r="BI174" s="187">
        <f>IF(A174-'Invoer gegevens'!$C$17&lt;0,0,IF(A174-'Invoer gegevens'!$C$17=0,1,IF(A174-'Invoer gegevens'!$C$17&lt;5,2,IF(A174-'Invoer gegevens'!$C$17&lt;15,3,4))))</f>
        <v>0</v>
      </c>
      <c r="BJ174" s="229">
        <f>IF(BI174&lt;1,0,IF(BI174&lt;2,4%,IF(Reeksen!BI174&lt;3,4%,IF(Reeksen!BI174&lt;4,4%*70%,IF(Reeksen!BI174&lt;5,4%*50%)))))</f>
        <v>0</v>
      </c>
      <c r="BK174" s="243"/>
      <c r="BL174" s="243"/>
      <c r="BM174" s="243"/>
      <c r="BN174" s="243"/>
      <c r="BO174" s="243"/>
      <c r="BP174" s="243"/>
      <c r="BQ174" s="243"/>
      <c r="BR174" s="243"/>
    </row>
    <row r="175" spans="1:70" x14ac:dyDescent="0.25">
      <c r="A175" s="184">
        <f t="shared" si="99"/>
        <v>170</v>
      </c>
      <c r="B175" s="179">
        <f>Dashboard!$C$25</f>
        <v>0.05</v>
      </c>
      <c r="C175" s="179">
        <f>Dashboard!$C$25</f>
        <v>0.05</v>
      </c>
      <c r="D175" s="179">
        <f>Dashboard!$C$25</f>
        <v>0.05</v>
      </c>
      <c r="E175" s="189"/>
      <c r="F175" s="184">
        <f t="shared" ca="1" si="100"/>
        <v>2189</v>
      </c>
      <c r="G175" s="179">
        <f t="shared" si="120"/>
        <v>0.02</v>
      </c>
      <c r="H175" s="182">
        <f t="shared" si="101"/>
        <v>29.134312706892135</v>
      </c>
      <c r="I175" s="179">
        <f t="shared" si="121"/>
        <v>2.5000000000000001E-2</v>
      </c>
      <c r="J175" s="182">
        <f t="shared" si="102"/>
        <v>67.000199228593075</v>
      </c>
      <c r="K175" s="179">
        <f t="shared" si="122"/>
        <v>2.5000000000000001E-2</v>
      </c>
      <c r="L175" s="182">
        <f t="shared" si="103"/>
        <v>67.000199228593075</v>
      </c>
      <c r="M175" s="189"/>
      <c r="N175" s="184">
        <f t="shared" ca="1" si="104"/>
        <v>2189</v>
      </c>
      <c r="O175" s="179">
        <f t="shared" si="116"/>
        <v>0.02</v>
      </c>
      <c r="P175" s="182">
        <f t="shared" si="85"/>
        <v>29.106031954812057</v>
      </c>
      <c r="R175" s="184">
        <f t="shared" ca="1" si="105"/>
        <v>2189</v>
      </c>
      <c r="S175" s="188">
        <f t="shared" si="118"/>
        <v>5.3600000000000002E-3</v>
      </c>
      <c r="U175" s="184">
        <f t="shared" ca="1" si="106"/>
        <v>2189</v>
      </c>
      <c r="V175" s="182">
        <f t="shared" si="89"/>
        <v>0.02</v>
      </c>
      <c r="W175" s="180">
        <f>Parameters!$D$12</f>
        <v>5.0000000000000001E-3</v>
      </c>
      <c r="X175" s="182">
        <f t="shared" si="90"/>
        <v>2.5000000000000001E-2</v>
      </c>
      <c r="Y175" s="182">
        <f t="shared" si="107"/>
        <v>67.066241826419841</v>
      </c>
      <c r="AA175" s="189"/>
      <c r="AB175" s="184">
        <f t="shared" ca="1" si="108"/>
        <v>2189</v>
      </c>
      <c r="AC175" s="171">
        <f t="shared" si="91"/>
        <v>33533.120913209917</v>
      </c>
      <c r="AD175" s="171">
        <f t="shared" si="87"/>
        <v>6503.2520287598127</v>
      </c>
      <c r="AE175" s="171">
        <f t="shared" si="117"/>
        <v>20063.865924698704</v>
      </c>
      <c r="AF175" s="171">
        <f t="shared" si="109"/>
        <v>6503.2520287598127</v>
      </c>
      <c r="AG175" s="171">
        <f t="shared" si="119"/>
        <v>14567.01</v>
      </c>
      <c r="AH175" s="171">
        <f t="shared" si="92"/>
        <v>14567.01</v>
      </c>
      <c r="AI175" s="171">
        <f t="shared" si="93"/>
        <v>6503.2520287598127</v>
      </c>
      <c r="AJ175" s="171">
        <f>IF('Invoer gegevens'!$I$27="DAEB",SMALL(AC175:AD175,1),AC175)</f>
        <v>6503.2520287598127</v>
      </c>
      <c r="AK175" s="171">
        <f>IF('Invoer gegevens'!$I$27="DAEB",SMALL((AE175:AH175),1),SMALL((AF175:AH175),1))</f>
        <v>6503.2520287598127</v>
      </c>
      <c r="AL175" s="171">
        <f t="shared" si="114"/>
        <v>0</v>
      </c>
      <c r="AM175" s="171">
        <f t="shared" si="115"/>
        <v>0</v>
      </c>
      <c r="AN175" s="175">
        <f t="shared" si="110"/>
        <v>918328</v>
      </c>
      <c r="AP175" s="184">
        <f t="shared" ca="1" si="111"/>
        <v>2189</v>
      </c>
      <c r="AQ175" s="185">
        <f t="shared" si="94"/>
        <v>0.02</v>
      </c>
      <c r="AR175" s="182">
        <f t="shared" si="86"/>
        <v>29.106031954812057</v>
      </c>
      <c r="AU175" s="184">
        <f t="shared" ca="1" si="112"/>
        <v>2189</v>
      </c>
      <c r="AV175" s="182">
        <f t="shared" si="95"/>
        <v>0.02</v>
      </c>
      <c r="AW175" s="179">
        <f t="shared" si="96"/>
        <v>5.0000000000000001E-3</v>
      </c>
      <c r="AX175" s="182">
        <f t="shared" si="97"/>
        <v>2.5000000000000001E-2</v>
      </c>
      <c r="AY175" s="186"/>
      <c r="AZ175" s="190"/>
      <c r="BA175" s="184">
        <f t="shared" ca="1" si="113"/>
        <v>2189</v>
      </c>
      <c r="BB175" s="171">
        <f t="shared" si="98"/>
        <v>33533.33</v>
      </c>
      <c r="BC175" s="171">
        <f t="shared" si="88"/>
        <v>20063.865924698704</v>
      </c>
      <c r="BD175" s="171">
        <f t="shared" si="124"/>
        <v>14567.01</v>
      </c>
      <c r="BE175" s="171">
        <f t="shared" si="124"/>
        <v>6503.2520287598127</v>
      </c>
      <c r="BF175" s="171">
        <f t="shared" si="124"/>
        <v>6503.2520287598127</v>
      </c>
      <c r="BG175" s="171">
        <f t="shared" si="123"/>
        <v>6503.2520287598127</v>
      </c>
      <c r="BI175" s="187">
        <f>IF(A175-'Invoer gegevens'!$C$17&lt;0,0,IF(A175-'Invoer gegevens'!$C$17=0,1,IF(A175-'Invoer gegevens'!$C$17&lt;5,2,IF(A175-'Invoer gegevens'!$C$17&lt;15,3,4))))</f>
        <v>0</v>
      </c>
      <c r="BJ175" s="229">
        <f>IF(BI175&lt;1,0,IF(BI175&lt;2,4%,IF(Reeksen!BI175&lt;3,4%,IF(Reeksen!BI175&lt;4,4%*70%,IF(Reeksen!BI175&lt;5,4%*50%)))))</f>
        <v>0</v>
      </c>
      <c r="BK175" s="243"/>
      <c r="BL175" s="243"/>
      <c r="BM175" s="243"/>
      <c r="BN175" s="243"/>
      <c r="BO175" s="243"/>
      <c r="BP175" s="243"/>
      <c r="BQ175" s="243"/>
      <c r="BR175" s="243"/>
    </row>
    <row r="176" spans="1:70" x14ac:dyDescent="0.25">
      <c r="A176" s="184">
        <f t="shared" si="99"/>
        <v>171</v>
      </c>
      <c r="B176" s="179">
        <f>Dashboard!$C$25</f>
        <v>0.05</v>
      </c>
      <c r="C176" s="179">
        <f>Dashboard!$C$25</f>
        <v>0.05</v>
      </c>
      <c r="D176" s="179">
        <f>Dashboard!$C$25</f>
        <v>0.05</v>
      </c>
      <c r="E176" s="189"/>
      <c r="F176" s="184">
        <f t="shared" ca="1" si="100"/>
        <v>2190</v>
      </c>
      <c r="G176" s="179">
        <f t="shared" si="120"/>
        <v>0.02</v>
      </c>
      <c r="H176" s="182">
        <f t="shared" si="101"/>
        <v>29.716998961029979</v>
      </c>
      <c r="I176" s="179">
        <f t="shared" si="121"/>
        <v>2.5000000000000001E-2</v>
      </c>
      <c r="J176" s="182">
        <f t="shared" si="102"/>
        <v>68.675204209307893</v>
      </c>
      <c r="K176" s="179">
        <f t="shared" si="122"/>
        <v>2.5000000000000001E-2</v>
      </c>
      <c r="L176" s="182">
        <f t="shared" si="103"/>
        <v>68.675204209307893</v>
      </c>
      <c r="M176" s="189"/>
      <c r="N176" s="184">
        <f t="shared" ca="1" si="104"/>
        <v>2190</v>
      </c>
      <c r="O176" s="179">
        <f t="shared" si="116"/>
        <v>0.02</v>
      </c>
      <c r="P176" s="182">
        <f t="shared" si="85"/>
        <v>29.688152593908299</v>
      </c>
      <c r="R176" s="184">
        <f t="shared" ca="1" si="105"/>
        <v>2190</v>
      </c>
      <c r="S176" s="188">
        <f t="shared" si="118"/>
        <v>5.3600000000000002E-3</v>
      </c>
      <c r="U176" s="184">
        <f t="shared" ca="1" si="106"/>
        <v>2190</v>
      </c>
      <c r="V176" s="182">
        <f t="shared" si="89"/>
        <v>0.02</v>
      </c>
      <c r="W176" s="180">
        <f>Parameters!$D$12</f>
        <v>5.0000000000000001E-3</v>
      </c>
      <c r="X176" s="182">
        <f t="shared" si="90"/>
        <v>2.5000000000000001E-2</v>
      </c>
      <c r="Y176" s="182">
        <f t="shared" si="107"/>
        <v>68.742897872080334</v>
      </c>
      <c r="AA176" s="189"/>
      <c r="AB176" s="184">
        <f t="shared" ca="1" si="108"/>
        <v>2190</v>
      </c>
      <c r="AC176" s="171">
        <f t="shared" si="91"/>
        <v>34371.448936040164</v>
      </c>
      <c r="AD176" s="171">
        <f t="shared" si="87"/>
        <v>6633.3170693350094</v>
      </c>
      <c r="AE176" s="171">
        <f t="shared" si="117"/>
        <v>20465.143243192681</v>
      </c>
      <c r="AF176" s="171">
        <f t="shared" si="109"/>
        <v>6633.3170693350094</v>
      </c>
      <c r="AG176" s="171">
        <f t="shared" si="119"/>
        <v>14858.35</v>
      </c>
      <c r="AH176" s="171">
        <f t="shared" si="92"/>
        <v>14858.35</v>
      </c>
      <c r="AI176" s="171">
        <f t="shared" si="93"/>
        <v>6633.3170693350094</v>
      </c>
      <c r="AJ176" s="171">
        <f>IF('Invoer gegevens'!$I$27="DAEB",SMALL(AC176:AD176,1),AC176)</f>
        <v>6633.3170693350094</v>
      </c>
      <c r="AK176" s="171">
        <f>IF('Invoer gegevens'!$I$27="DAEB",SMALL((AE176:AH176),1),SMALL((AF176:AH176),1))</f>
        <v>6633.3170693350094</v>
      </c>
      <c r="AL176" s="171">
        <f t="shared" si="114"/>
        <v>0</v>
      </c>
      <c r="AM176" s="171">
        <f t="shared" si="115"/>
        <v>0</v>
      </c>
      <c r="AN176" s="175">
        <f t="shared" si="110"/>
        <v>936695</v>
      </c>
      <c r="AP176" s="184">
        <f t="shared" ca="1" si="111"/>
        <v>2190</v>
      </c>
      <c r="AQ176" s="185">
        <f t="shared" si="94"/>
        <v>0.02</v>
      </c>
      <c r="AR176" s="182">
        <f t="shared" si="86"/>
        <v>29.688152593908299</v>
      </c>
      <c r="AU176" s="184">
        <f t="shared" ca="1" si="112"/>
        <v>2190</v>
      </c>
      <c r="AV176" s="182">
        <f t="shared" si="95"/>
        <v>0.02</v>
      </c>
      <c r="AW176" s="179">
        <f t="shared" si="96"/>
        <v>5.0000000000000001E-3</v>
      </c>
      <c r="AX176" s="182">
        <f t="shared" si="97"/>
        <v>2.5000000000000001E-2</v>
      </c>
      <c r="AY176" s="186"/>
      <c r="AZ176" s="190"/>
      <c r="BA176" s="184">
        <f t="shared" ca="1" si="113"/>
        <v>2190</v>
      </c>
      <c r="BB176" s="171">
        <f t="shared" si="98"/>
        <v>34371.660000000003</v>
      </c>
      <c r="BC176" s="171">
        <f t="shared" si="88"/>
        <v>20465.143243192681</v>
      </c>
      <c r="BD176" s="171">
        <f t="shared" si="124"/>
        <v>14858.35</v>
      </c>
      <c r="BE176" s="171">
        <f t="shared" si="124"/>
        <v>6633.3170693350094</v>
      </c>
      <c r="BF176" s="171">
        <f t="shared" si="124"/>
        <v>6633.3170693350094</v>
      </c>
      <c r="BG176" s="171">
        <f t="shared" si="123"/>
        <v>6633.3170693350094</v>
      </c>
      <c r="BI176" s="187">
        <f>IF(A176-'Invoer gegevens'!$C$17&lt;0,0,IF(A176-'Invoer gegevens'!$C$17=0,1,IF(A176-'Invoer gegevens'!$C$17&lt;5,2,IF(A176-'Invoer gegevens'!$C$17&lt;15,3,4))))</f>
        <v>0</v>
      </c>
      <c r="BJ176" s="229">
        <f>IF(BI176&lt;1,0,IF(BI176&lt;2,4%,IF(Reeksen!BI176&lt;3,4%,IF(Reeksen!BI176&lt;4,4%*70%,IF(Reeksen!BI176&lt;5,4%*50%)))))</f>
        <v>0</v>
      </c>
      <c r="BK176" s="243"/>
      <c r="BL176" s="243"/>
      <c r="BM176" s="243"/>
      <c r="BN176" s="243"/>
      <c r="BO176" s="243"/>
      <c r="BP176" s="243"/>
      <c r="BQ176" s="243"/>
      <c r="BR176" s="243"/>
    </row>
    <row r="177" spans="1:70" x14ac:dyDescent="0.25">
      <c r="A177" s="184">
        <f t="shared" si="99"/>
        <v>172</v>
      </c>
      <c r="B177" s="179">
        <f>Dashboard!$C$25</f>
        <v>0.05</v>
      </c>
      <c r="C177" s="179">
        <f>Dashboard!$C$25</f>
        <v>0.05</v>
      </c>
      <c r="D177" s="179">
        <f>Dashboard!$C$25</f>
        <v>0.05</v>
      </c>
      <c r="E177" s="189"/>
      <c r="F177" s="184">
        <f t="shared" ca="1" si="100"/>
        <v>2191</v>
      </c>
      <c r="G177" s="179">
        <f t="shared" si="120"/>
        <v>0.02</v>
      </c>
      <c r="H177" s="182">
        <f t="shared" si="101"/>
        <v>30.311338940250579</v>
      </c>
      <c r="I177" s="179">
        <f t="shared" si="121"/>
        <v>2.5000000000000001E-2</v>
      </c>
      <c r="J177" s="182">
        <f t="shared" si="102"/>
        <v>70.392084314540583</v>
      </c>
      <c r="K177" s="179">
        <f t="shared" si="122"/>
        <v>2.5000000000000001E-2</v>
      </c>
      <c r="L177" s="182">
        <f t="shared" si="103"/>
        <v>70.392084314540583</v>
      </c>
      <c r="M177" s="189"/>
      <c r="N177" s="184">
        <f t="shared" ca="1" si="104"/>
        <v>2191</v>
      </c>
      <c r="O177" s="179">
        <f t="shared" si="116"/>
        <v>0.02</v>
      </c>
      <c r="P177" s="182">
        <f t="shared" si="85"/>
        <v>30.281915645786466</v>
      </c>
      <c r="R177" s="184">
        <f t="shared" ca="1" si="105"/>
        <v>2191</v>
      </c>
      <c r="S177" s="188">
        <f t="shared" si="118"/>
        <v>5.3600000000000002E-3</v>
      </c>
      <c r="U177" s="184">
        <f t="shared" ca="1" si="106"/>
        <v>2191</v>
      </c>
      <c r="V177" s="182">
        <f t="shared" si="89"/>
        <v>0.02</v>
      </c>
      <c r="W177" s="180">
        <f>Parameters!$D$12</f>
        <v>5.0000000000000001E-3</v>
      </c>
      <c r="X177" s="182">
        <f t="shared" si="90"/>
        <v>2.5000000000000001E-2</v>
      </c>
      <c r="Y177" s="182">
        <f t="shared" si="107"/>
        <v>70.461470318882334</v>
      </c>
      <c r="AA177" s="189"/>
      <c r="AB177" s="184">
        <f t="shared" ca="1" si="108"/>
        <v>2191</v>
      </c>
      <c r="AC177" s="171">
        <f t="shared" si="91"/>
        <v>35230.735159441167</v>
      </c>
      <c r="AD177" s="171">
        <f t="shared" si="87"/>
        <v>6765.9834107217093</v>
      </c>
      <c r="AE177" s="171">
        <f t="shared" si="117"/>
        <v>20874.446108056534</v>
      </c>
      <c r="AF177" s="171">
        <f t="shared" si="109"/>
        <v>6765.9834107217093</v>
      </c>
      <c r="AG177" s="171">
        <f t="shared" si="119"/>
        <v>15155.52</v>
      </c>
      <c r="AH177" s="171">
        <f t="shared" si="92"/>
        <v>15155.52</v>
      </c>
      <c r="AI177" s="171">
        <f t="shared" si="93"/>
        <v>6765.9834107217093</v>
      </c>
      <c r="AJ177" s="171">
        <f>IF('Invoer gegevens'!$I$27="DAEB",SMALL(AC177:AD177,1),AC177)</f>
        <v>6765.9834107217093</v>
      </c>
      <c r="AK177" s="171">
        <f>IF('Invoer gegevens'!$I$27="DAEB",SMALL((AE177:AH177),1),SMALL((AF177:AH177),1))</f>
        <v>6765.9834107217093</v>
      </c>
      <c r="AL177" s="171">
        <f t="shared" si="114"/>
        <v>0</v>
      </c>
      <c r="AM177" s="171">
        <f t="shared" si="115"/>
        <v>0</v>
      </c>
      <c r="AN177" s="175">
        <f t="shared" si="110"/>
        <v>955429</v>
      </c>
      <c r="AP177" s="184">
        <f t="shared" ca="1" si="111"/>
        <v>2191</v>
      </c>
      <c r="AQ177" s="185">
        <f t="shared" si="94"/>
        <v>0.02</v>
      </c>
      <c r="AR177" s="182">
        <f t="shared" si="86"/>
        <v>30.281915645786466</v>
      </c>
      <c r="AU177" s="184">
        <f t="shared" ca="1" si="112"/>
        <v>2191</v>
      </c>
      <c r="AV177" s="182">
        <f t="shared" si="95"/>
        <v>0.02</v>
      </c>
      <c r="AW177" s="179">
        <f t="shared" si="96"/>
        <v>5.0000000000000001E-3</v>
      </c>
      <c r="AX177" s="182">
        <f t="shared" si="97"/>
        <v>2.5000000000000001E-2</v>
      </c>
      <c r="AY177" s="186"/>
      <c r="AZ177" s="190"/>
      <c r="BA177" s="184">
        <f t="shared" ca="1" si="113"/>
        <v>2191</v>
      </c>
      <c r="BB177" s="171">
        <f t="shared" si="98"/>
        <v>35230.949999999997</v>
      </c>
      <c r="BC177" s="171">
        <f t="shared" si="88"/>
        <v>20874.446108056534</v>
      </c>
      <c r="BD177" s="171">
        <f t="shared" si="124"/>
        <v>15155.52</v>
      </c>
      <c r="BE177" s="171">
        <f t="shared" si="124"/>
        <v>6765.9834107217093</v>
      </c>
      <c r="BF177" s="171">
        <f t="shared" si="124"/>
        <v>6765.9834107217093</v>
      </c>
      <c r="BG177" s="171">
        <f t="shared" si="123"/>
        <v>6765.9834107217093</v>
      </c>
      <c r="BI177" s="187">
        <f>IF(A177-'Invoer gegevens'!$C$17&lt;0,0,IF(A177-'Invoer gegevens'!$C$17=0,1,IF(A177-'Invoer gegevens'!$C$17&lt;5,2,IF(A177-'Invoer gegevens'!$C$17&lt;15,3,4))))</f>
        <v>0</v>
      </c>
      <c r="BJ177" s="229">
        <f>IF(BI177&lt;1,0,IF(BI177&lt;2,4%,IF(Reeksen!BI177&lt;3,4%,IF(Reeksen!BI177&lt;4,4%*70%,IF(Reeksen!BI177&lt;5,4%*50%)))))</f>
        <v>0</v>
      </c>
      <c r="BK177" s="243"/>
      <c r="BL177" s="243"/>
      <c r="BM177" s="243"/>
      <c r="BN177" s="243"/>
      <c r="BO177" s="243"/>
      <c r="BP177" s="243"/>
      <c r="BQ177" s="243"/>
      <c r="BR177" s="243"/>
    </row>
    <row r="178" spans="1:70" x14ac:dyDescent="0.25">
      <c r="A178" s="184">
        <f t="shared" si="99"/>
        <v>173</v>
      </c>
      <c r="B178" s="179">
        <f>Dashboard!$C$25</f>
        <v>0.05</v>
      </c>
      <c r="C178" s="179">
        <f>Dashboard!$C$25</f>
        <v>0.05</v>
      </c>
      <c r="D178" s="179">
        <f>Dashboard!$C$25</f>
        <v>0.05</v>
      </c>
      <c r="E178" s="189"/>
      <c r="F178" s="184">
        <f t="shared" ca="1" si="100"/>
        <v>2192</v>
      </c>
      <c r="G178" s="179">
        <f t="shared" si="120"/>
        <v>0.02</v>
      </c>
      <c r="H178" s="182">
        <f t="shared" si="101"/>
        <v>30.917565719055592</v>
      </c>
      <c r="I178" s="179">
        <f t="shared" si="121"/>
        <v>2.5000000000000001E-2</v>
      </c>
      <c r="J178" s="182">
        <f t="shared" si="102"/>
        <v>72.15188642240409</v>
      </c>
      <c r="K178" s="179">
        <f t="shared" si="122"/>
        <v>2.5000000000000001E-2</v>
      </c>
      <c r="L178" s="182">
        <f t="shared" si="103"/>
        <v>72.15188642240409</v>
      </c>
      <c r="M178" s="189"/>
      <c r="N178" s="184">
        <f t="shared" ca="1" si="104"/>
        <v>2192</v>
      </c>
      <c r="O178" s="179">
        <f t="shared" si="116"/>
        <v>0.02</v>
      </c>
      <c r="P178" s="182">
        <f t="shared" si="85"/>
        <v>30.887553958702195</v>
      </c>
      <c r="R178" s="184">
        <f t="shared" ca="1" si="105"/>
        <v>2192</v>
      </c>
      <c r="S178" s="188">
        <f t="shared" si="118"/>
        <v>5.3600000000000002E-3</v>
      </c>
      <c r="U178" s="184">
        <f t="shared" ca="1" si="106"/>
        <v>2192</v>
      </c>
      <c r="V178" s="182">
        <f t="shared" si="89"/>
        <v>0.02</v>
      </c>
      <c r="W178" s="180">
        <f>Parameters!$D$12</f>
        <v>5.0000000000000001E-3</v>
      </c>
      <c r="X178" s="182">
        <f t="shared" si="90"/>
        <v>2.5000000000000001E-2</v>
      </c>
      <c r="Y178" s="182">
        <f t="shared" si="107"/>
        <v>72.223007076854387</v>
      </c>
      <c r="AA178" s="189"/>
      <c r="AB178" s="184">
        <f t="shared" ca="1" si="108"/>
        <v>2192</v>
      </c>
      <c r="AC178" s="171">
        <f t="shared" si="91"/>
        <v>36111.503538427191</v>
      </c>
      <c r="AD178" s="171">
        <f t="shared" si="87"/>
        <v>6901.3030789361437</v>
      </c>
      <c r="AE178" s="171">
        <f t="shared" si="117"/>
        <v>21291.935030217664</v>
      </c>
      <c r="AF178" s="171">
        <f t="shared" si="109"/>
        <v>6901.3030789361437</v>
      </c>
      <c r="AG178" s="171">
        <f t="shared" si="119"/>
        <v>15458.63</v>
      </c>
      <c r="AH178" s="171">
        <f t="shared" si="92"/>
        <v>15458.63</v>
      </c>
      <c r="AI178" s="171">
        <f t="shared" si="93"/>
        <v>6901.3030789361437</v>
      </c>
      <c r="AJ178" s="171">
        <f>IF('Invoer gegevens'!$I$27="DAEB",SMALL(AC178:AD178,1),AC178)</f>
        <v>6901.3030789361437</v>
      </c>
      <c r="AK178" s="171">
        <f>IF('Invoer gegevens'!$I$27="DAEB",SMALL((AE178:AH178),1),SMALL((AF178:AH178),1))</f>
        <v>6901.3030789361437</v>
      </c>
      <c r="AL178" s="171">
        <f t="shared" si="114"/>
        <v>0</v>
      </c>
      <c r="AM178" s="171">
        <f t="shared" si="115"/>
        <v>0</v>
      </c>
      <c r="AN178" s="175">
        <f t="shared" si="110"/>
        <v>974538</v>
      </c>
      <c r="AP178" s="184">
        <f t="shared" ca="1" si="111"/>
        <v>2192</v>
      </c>
      <c r="AQ178" s="185">
        <f t="shared" si="94"/>
        <v>0.02</v>
      </c>
      <c r="AR178" s="182">
        <f t="shared" si="86"/>
        <v>30.887553958702195</v>
      </c>
      <c r="AU178" s="184">
        <f t="shared" ca="1" si="112"/>
        <v>2192</v>
      </c>
      <c r="AV178" s="182">
        <f t="shared" si="95"/>
        <v>0.02</v>
      </c>
      <c r="AW178" s="179">
        <f t="shared" si="96"/>
        <v>5.0000000000000001E-3</v>
      </c>
      <c r="AX178" s="182">
        <f t="shared" si="97"/>
        <v>2.5000000000000001E-2</v>
      </c>
      <c r="AY178" s="186"/>
      <c r="AZ178" s="190"/>
      <c r="BA178" s="184">
        <f t="shared" ca="1" si="113"/>
        <v>2192</v>
      </c>
      <c r="BB178" s="171">
        <f t="shared" si="98"/>
        <v>36111.72</v>
      </c>
      <c r="BC178" s="171">
        <f t="shared" si="88"/>
        <v>21291.935030217664</v>
      </c>
      <c r="BD178" s="171">
        <f t="shared" si="124"/>
        <v>15458.63</v>
      </c>
      <c r="BE178" s="171">
        <f t="shared" si="124"/>
        <v>6901.3030789361437</v>
      </c>
      <c r="BF178" s="171">
        <f t="shared" si="124"/>
        <v>6901.3030789361437</v>
      </c>
      <c r="BG178" s="171">
        <f t="shared" si="123"/>
        <v>6901.3030789361437</v>
      </c>
      <c r="BI178" s="187">
        <f>IF(A178-'Invoer gegevens'!$C$17&lt;0,0,IF(A178-'Invoer gegevens'!$C$17=0,1,IF(A178-'Invoer gegevens'!$C$17&lt;5,2,IF(A178-'Invoer gegevens'!$C$17&lt;15,3,4))))</f>
        <v>0</v>
      </c>
      <c r="BJ178" s="229">
        <f>IF(BI178&lt;1,0,IF(BI178&lt;2,4%,IF(Reeksen!BI178&lt;3,4%,IF(Reeksen!BI178&lt;4,4%*70%,IF(Reeksen!BI178&lt;5,4%*50%)))))</f>
        <v>0</v>
      </c>
      <c r="BK178" s="243"/>
      <c r="BL178" s="243"/>
      <c r="BM178" s="243"/>
      <c r="BN178" s="243"/>
      <c r="BO178" s="243"/>
      <c r="BP178" s="243"/>
      <c r="BQ178" s="243"/>
      <c r="BR178" s="243"/>
    </row>
    <row r="179" spans="1:70" x14ac:dyDescent="0.25">
      <c r="A179" s="184">
        <f t="shared" si="99"/>
        <v>174</v>
      </c>
      <c r="B179" s="179">
        <f>Dashboard!$C$25</f>
        <v>0.05</v>
      </c>
      <c r="C179" s="179">
        <f>Dashboard!$C$25</f>
        <v>0.05</v>
      </c>
      <c r="D179" s="179">
        <f>Dashboard!$C$25</f>
        <v>0.05</v>
      </c>
      <c r="E179" s="189"/>
      <c r="F179" s="184">
        <f t="shared" ca="1" si="100"/>
        <v>2193</v>
      </c>
      <c r="G179" s="179">
        <f t="shared" si="120"/>
        <v>0.02</v>
      </c>
      <c r="H179" s="182">
        <f t="shared" si="101"/>
        <v>31.535917033436704</v>
      </c>
      <c r="I179" s="179">
        <f t="shared" si="121"/>
        <v>2.5000000000000001E-2</v>
      </c>
      <c r="J179" s="182">
        <f t="shared" si="102"/>
        <v>73.955683582964184</v>
      </c>
      <c r="K179" s="179">
        <f t="shared" si="122"/>
        <v>2.5000000000000001E-2</v>
      </c>
      <c r="L179" s="182">
        <f t="shared" si="103"/>
        <v>73.955683582964184</v>
      </c>
      <c r="M179" s="189"/>
      <c r="N179" s="184">
        <f t="shared" ca="1" si="104"/>
        <v>2193</v>
      </c>
      <c r="O179" s="179">
        <f t="shared" si="116"/>
        <v>0.02</v>
      </c>
      <c r="P179" s="182">
        <f t="shared" si="85"/>
        <v>31.505305037876241</v>
      </c>
      <c r="R179" s="184">
        <f t="shared" ca="1" si="105"/>
        <v>2193</v>
      </c>
      <c r="S179" s="188">
        <f t="shared" si="118"/>
        <v>5.3600000000000002E-3</v>
      </c>
      <c r="U179" s="184">
        <f t="shared" ca="1" si="106"/>
        <v>2193</v>
      </c>
      <c r="V179" s="182">
        <f t="shared" si="89"/>
        <v>0.02</v>
      </c>
      <c r="W179" s="180">
        <f>Parameters!$D$12</f>
        <v>5.0000000000000001E-3</v>
      </c>
      <c r="X179" s="182">
        <f t="shared" si="90"/>
        <v>2.5000000000000001E-2</v>
      </c>
      <c r="Y179" s="182">
        <f t="shared" si="107"/>
        <v>74.028582253775738</v>
      </c>
      <c r="AA179" s="189"/>
      <c r="AB179" s="184">
        <f t="shared" ca="1" si="108"/>
        <v>2193</v>
      </c>
      <c r="AC179" s="171">
        <f t="shared" si="91"/>
        <v>37014.291126887867</v>
      </c>
      <c r="AD179" s="171">
        <f t="shared" si="87"/>
        <v>7039.3291405148666</v>
      </c>
      <c r="AE179" s="171">
        <f t="shared" si="117"/>
        <v>21717.773730822017</v>
      </c>
      <c r="AF179" s="171">
        <f t="shared" si="109"/>
        <v>7039.3291405148666</v>
      </c>
      <c r="AG179" s="171">
        <f t="shared" si="119"/>
        <v>15767.8</v>
      </c>
      <c r="AH179" s="171">
        <f t="shared" si="92"/>
        <v>15767.8</v>
      </c>
      <c r="AI179" s="171">
        <f t="shared" si="93"/>
        <v>7039.3291405148666</v>
      </c>
      <c r="AJ179" s="171">
        <f>IF('Invoer gegevens'!$I$27="DAEB",SMALL(AC179:AD179,1),AC179)</f>
        <v>7039.3291405148666</v>
      </c>
      <c r="AK179" s="171">
        <f>IF('Invoer gegevens'!$I$27="DAEB",SMALL((AE179:AH179),1),SMALL((AF179:AH179),1))</f>
        <v>7039.3291405148666</v>
      </c>
      <c r="AL179" s="171">
        <f t="shared" si="114"/>
        <v>0</v>
      </c>
      <c r="AM179" s="171">
        <f t="shared" si="115"/>
        <v>0</v>
      </c>
      <c r="AN179" s="175">
        <f t="shared" si="110"/>
        <v>994029</v>
      </c>
      <c r="AP179" s="184">
        <f t="shared" ca="1" si="111"/>
        <v>2193</v>
      </c>
      <c r="AQ179" s="185">
        <f t="shared" si="94"/>
        <v>0.02</v>
      </c>
      <c r="AR179" s="182">
        <f t="shared" si="86"/>
        <v>31.505305037876241</v>
      </c>
      <c r="AU179" s="184">
        <f t="shared" ca="1" si="112"/>
        <v>2193</v>
      </c>
      <c r="AV179" s="182">
        <f t="shared" si="95"/>
        <v>0.02</v>
      </c>
      <c r="AW179" s="179">
        <f t="shared" si="96"/>
        <v>5.0000000000000001E-3</v>
      </c>
      <c r="AX179" s="182">
        <f t="shared" si="97"/>
        <v>2.5000000000000001E-2</v>
      </c>
      <c r="AY179" s="186"/>
      <c r="AZ179" s="190"/>
      <c r="BA179" s="184">
        <f t="shared" ca="1" si="113"/>
        <v>2193</v>
      </c>
      <c r="BB179" s="171">
        <f t="shared" si="98"/>
        <v>37014.51</v>
      </c>
      <c r="BC179" s="171">
        <f t="shared" si="88"/>
        <v>21717.773730822017</v>
      </c>
      <c r="BD179" s="171">
        <f t="shared" si="124"/>
        <v>15767.8</v>
      </c>
      <c r="BE179" s="171">
        <f t="shared" si="124"/>
        <v>7039.3291405148666</v>
      </c>
      <c r="BF179" s="171">
        <f t="shared" si="124"/>
        <v>7039.3291405148666</v>
      </c>
      <c r="BG179" s="171">
        <f t="shared" si="123"/>
        <v>7039.3291405148666</v>
      </c>
      <c r="BI179" s="187">
        <f>IF(A179-'Invoer gegevens'!$C$17&lt;0,0,IF(A179-'Invoer gegevens'!$C$17=0,1,IF(A179-'Invoer gegevens'!$C$17&lt;5,2,IF(A179-'Invoer gegevens'!$C$17&lt;15,3,4))))</f>
        <v>0</v>
      </c>
      <c r="BJ179" s="229">
        <f>IF(BI179&lt;1,0,IF(BI179&lt;2,4%,IF(Reeksen!BI179&lt;3,4%,IF(Reeksen!BI179&lt;4,4%*70%,IF(Reeksen!BI179&lt;5,4%*50%)))))</f>
        <v>0</v>
      </c>
      <c r="BK179" s="243"/>
      <c r="BL179" s="243"/>
      <c r="BM179" s="243"/>
      <c r="BN179" s="243"/>
      <c r="BO179" s="243"/>
      <c r="BP179" s="243"/>
      <c r="BQ179" s="243"/>
      <c r="BR179" s="243"/>
    </row>
    <row r="180" spans="1:70" x14ac:dyDescent="0.25">
      <c r="A180" s="184">
        <f t="shared" si="99"/>
        <v>175</v>
      </c>
      <c r="B180" s="179">
        <f>Dashboard!$C$25</f>
        <v>0.05</v>
      </c>
      <c r="C180" s="179">
        <f>Dashboard!$C$25</f>
        <v>0.05</v>
      </c>
      <c r="D180" s="179">
        <f>Dashboard!$C$25</f>
        <v>0.05</v>
      </c>
      <c r="E180" s="189"/>
      <c r="F180" s="184">
        <f t="shared" ca="1" si="100"/>
        <v>2194</v>
      </c>
      <c r="G180" s="179">
        <f t="shared" si="120"/>
        <v>0.02</v>
      </c>
      <c r="H180" s="182">
        <f t="shared" si="101"/>
        <v>32.166635374105439</v>
      </c>
      <c r="I180" s="179">
        <f t="shared" si="121"/>
        <v>2.5000000000000001E-2</v>
      </c>
      <c r="J180" s="182">
        <f t="shared" si="102"/>
        <v>75.804575672538277</v>
      </c>
      <c r="K180" s="179">
        <f t="shared" si="122"/>
        <v>2.5000000000000001E-2</v>
      </c>
      <c r="L180" s="182">
        <f t="shared" si="103"/>
        <v>75.804575672538277</v>
      </c>
      <c r="M180" s="189"/>
      <c r="N180" s="184">
        <f t="shared" ca="1" si="104"/>
        <v>2194</v>
      </c>
      <c r="O180" s="179">
        <f t="shared" si="116"/>
        <v>0.02</v>
      </c>
      <c r="P180" s="182">
        <f t="shared" si="85"/>
        <v>32.135411138633764</v>
      </c>
      <c r="R180" s="184">
        <f t="shared" ca="1" si="105"/>
        <v>2194</v>
      </c>
      <c r="S180" s="188">
        <f t="shared" si="118"/>
        <v>5.3600000000000002E-3</v>
      </c>
      <c r="U180" s="184">
        <f t="shared" ca="1" si="106"/>
        <v>2194</v>
      </c>
      <c r="V180" s="182">
        <f t="shared" si="89"/>
        <v>0.02</v>
      </c>
      <c r="W180" s="180">
        <f>Parameters!$D$12</f>
        <v>5.0000000000000001E-3</v>
      </c>
      <c r="X180" s="182">
        <f t="shared" si="90"/>
        <v>2.5000000000000001E-2</v>
      </c>
      <c r="Y180" s="182">
        <f t="shared" si="107"/>
        <v>75.879296810120124</v>
      </c>
      <c r="AA180" s="189"/>
      <c r="AB180" s="184">
        <f t="shared" ca="1" si="108"/>
        <v>2194</v>
      </c>
      <c r="AC180" s="171">
        <f t="shared" si="91"/>
        <v>37939.648405060063</v>
      </c>
      <c r="AD180" s="171">
        <f t="shared" si="87"/>
        <v>7180.1157233251643</v>
      </c>
      <c r="AE180" s="171">
        <f t="shared" si="117"/>
        <v>22152.129205438458</v>
      </c>
      <c r="AF180" s="171">
        <f t="shared" si="109"/>
        <v>7180.1157233251643</v>
      </c>
      <c r="AG180" s="171">
        <f t="shared" si="119"/>
        <v>16083.16</v>
      </c>
      <c r="AH180" s="171">
        <f t="shared" si="92"/>
        <v>16083.16</v>
      </c>
      <c r="AI180" s="171">
        <f t="shared" si="93"/>
        <v>7180.1157233251643</v>
      </c>
      <c r="AJ180" s="171">
        <f>IF('Invoer gegevens'!$I$27="DAEB",SMALL(AC180:AD180,1),AC180)</f>
        <v>7180.1157233251643</v>
      </c>
      <c r="AK180" s="171">
        <f>IF('Invoer gegevens'!$I$27="DAEB",SMALL((AE180:AH180),1),SMALL((AF180:AH180),1))</f>
        <v>7180.1157233251643</v>
      </c>
      <c r="AL180" s="171">
        <f t="shared" si="114"/>
        <v>0</v>
      </c>
      <c r="AM180" s="171">
        <f t="shared" si="115"/>
        <v>0</v>
      </c>
      <c r="AN180" s="175">
        <f t="shared" si="110"/>
        <v>1013910</v>
      </c>
      <c r="AP180" s="184">
        <f t="shared" ca="1" si="111"/>
        <v>2194</v>
      </c>
      <c r="AQ180" s="185">
        <f t="shared" si="94"/>
        <v>0.02</v>
      </c>
      <c r="AR180" s="182">
        <f t="shared" si="86"/>
        <v>32.135411138633764</v>
      </c>
      <c r="AU180" s="184">
        <f t="shared" ca="1" si="112"/>
        <v>2194</v>
      </c>
      <c r="AV180" s="182">
        <f t="shared" si="95"/>
        <v>0.02</v>
      </c>
      <c r="AW180" s="179">
        <f t="shared" si="96"/>
        <v>5.0000000000000001E-3</v>
      </c>
      <c r="AX180" s="182">
        <f t="shared" si="97"/>
        <v>2.5000000000000001E-2</v>
      </c>
      <c r="AY180" s="186"/>
      <c r="AZ180" s="190"/>
      <c r="BA180" s="184">
        <f t="shared" ca="1" si="113"/>
        <v>2194</v>
      </c>
      <c r="BB180" s="171">
        <f t="shared" si="98"/>
        <v>37939.870000000003</v>
      </c>
      <c r="BC180" s="171">
        <f t="shared" si="88"/>
        <v>22152.129205438458</v>
      </c>
      <c r="BD180" s="171">
        <f t="shared" si="124"/>
        <v>16083.16</v>
      </c>
      <c r="BE180" s="171">
        <f t="shared" si="124"/>
        <v>7180.1157233251643</v>
      </c>
      <c r="BF180" s="171">
        <f t="shared" si="124"/>
        <v>7180.1157233251643</v>
      </c>
      <c r="BG180" s="171">
        <f t="shared" si="123"/>
        <v>7180.1157233251643</v>
      </c>
      <c r="BI180" s="187">
        <f>IF(A180-'Invoer gegevens'!$C$17&lt;0,0,IF(A180-'Invoer gegevens'!$C$17=0,1,IF(A180-'Invoer gegevens'!$C$17&lt;5,2,IF(A180-'Invoer gegevens'!$C$17&lt;15,3,4))))</f>
        <v>0</v>
      </c>
      <c r="BJ180" s="229">
        <f>IF(BI180&lt;1,0,IF(BI180&lt;2,4%,IF(Reeksen!BI180&lt;3,4%,IF(Reeksen!BI180&lt;4,4%*70%,IF(Reeksen!BI180&lt;5,4%*50%)))))</f>
        <v>0</v>
      </c>
      <c r="BK180" s="243"/>
      <c r="BL180" s="243"/>
      <c r="BM180" s="243"/>
      <c r="BN180" s="243"/>
      <c r="BO180" s="243"/>
      <c r="BP180" s="243"/>
      <c r="BQ180" s="243"/>
      <c r="BR180" s="243"/>
    </row>
    <row r="181" spans="1:70" x14ac:dyDescent="0.25">
      <c r="A181" s="184">
        <f t="shared" si="99"/>
        <v>176</v>
      </c>
      <c r="B181" s="179">
        <f>Dashboard!$C$25</f>
        <v>0.05</v>
      </c>
      <c r="C181" s="179">
        <f>Dashboard!$C$25</f>
        <v>0.05</v>
      </c>
      <c r="D181" s="179">
        <f>Dashboard!$C$25</f>
        <v>0.05</v>
      </c>
      <c r="E181" s="189"/>
      <c r="F181" s="184">
        <f t="shared" ca="1" si="100"/>
        <v>2195</v>
      </c>
      <c r="G181" s="179">
        <f t="shared" si="120"/>
        <v>0.02</v>
      </c>
      <c r="H181" s="182">
        <f t="shared" si="101"/>
        <v>32.809968081587549</v>
      </c>
      <c r="I181" s="179">
        <f t="shared" si="121"/>
        <v>2.5000000000000001E-2</v>
      </c>
      <c r="J181" s="182">
        <f t="shared" si="102"/>
        <v>77.699690064351728</v>
      </c>
      <c r="K181" s="179">
        <f t="shared" si="122"/>
        <v>2.5000000000000001E-2</v>
      </c>
      <c r="L181" s="182">
        <f t="shared" si="103"/>
        <v>77.699690064351728</v>
      </c>
      <c r="M181" s="189"/>
      <c r="N181" s="184">
        <f t="shared" ca="1" si="104"/>
        <v>2195</v>
      </c>
      <c r="O181" s="179">
        <f t="shared" si="116"/>
        <v>0.02</v>
      </c>
      <c r="P181" s="182">
        <f t="shared" si="85"/>
        <v>32.778119361406439</v>
      </c>
      <c r="R181" s="184">
        <f t="shared" ca="1" si="105"/>
        <v>2195</v>
      </c>
      <c r="S181" s="188">
        <f t="shared" si="118"/>
        <v>5.3600000000000002E-3</v>
      </c>
      <c r="U181" s="184">
        <f t="shared" ca="1" si="106"/>
        <v>2195</v>
      </c>
      <c r="V181" s="182">
        <f t="shared" si="89"/>
        <v>0.02</v>
      </c>
      <c r="W181" s="180">
        <f>Parameters!$D$12</f>
        <v>5.0000000000000001E-3</v>
      </c>
      <c r="X181" s="182">
        <f t="shared" si="90"/>
        <v>2.5000000000000001E-2</v>
      </c>
      <c r="Y181" s="182">
        <f t="shared" si="107"/>
        <v>77.77627923037312</v>
      </c>
      <c r="AA181" s="189"/>
      <c r="AB181" s="184">
        <f t="shared" ca="1" si="108"/>
        <v>2195</v>
      </c>
      <c r="AC181" s="171">
        <f t="shared" si="91"/>
        <v>38888.139615186563</v>
      </c>
      <c r="AD181" s="171">
        <f t="shared" si="87"/>
        <v>7323.7180377916675</v>
      </c>
      <c r="AE181" s="171">
        <f t="shared" si="117"/>
        <v>22595.171789547228</v>
      </c>
      <c r="AF181" s="171">
        <f t="shared" si="109"/>
        <v>7323.7180377916675</v>
      </c>
      <c r="AG181" s="171">
        <f t="shared" si="119"/>
        <v>16404.82</v>
      </c>
      <c r="AH181" s="171">
        <f t="shared" si="92"/>
        <v>16404.82</v>
      </c>
      <c r="AI181" s="171">
        <f t="shared" si="93"/>
        <v>7323.7180377916675</v>
      </c>
      <c r="AJ181" s="171">
        <f>IF('Invoer gegevens'!$I$27="DAEB",SMALL(AC181:AD181,1),AC181)</f>
        <v>7323.7180377916675</v>
      </c>
      <c r="AK181" s="171">
        <f>IF('Invoer gegevens'!$I$27="DAEB",SMALL((AE181:AH181),1),SMALL((AF181:AH181),1))</f>
        <v>7323.7180377916675</v>
      </c>
      <c r="AL181" s="171">
        <f t="shared" si="114"/>
        <v>0</v>
      </c>
      <c r="AM181" s="171">
        <f t="shared" si="115"/>
        <v>0</v>
      </c>
      <c r="AN181" s="175">
        <f t="shared" si="110"/>
        <v>1034188</v>
      </c>
      <c r="AP181" s="184">
        <f t="shared" ca="1" si="111"/>
        <v>2195</v>
      </c>
      <c r="AQ181" s="185">
        <f t="shared" si="94"/>
        <v>0.02</v>
      </c>
      <c r="AR181" s="182">
        <f t="shared" si="86"/>
        <v>32.778119361406439</v>
      </c>
      <c r="AU181" s="184">
        <f t="shared" ca="1" si="112"/>
        <v>2195</v>
      </c>
      <c r="AV181" s="182">
        <f t="shared" si="95"/>
        <v>0.02</v>
      </c>
      <c r="AW181" s="179">
        <f t="shared" si="96"/>
        <v>5.0000000000000001E-3</v>
      </c>
      <c r="AX181" s="182">
        <f t="shared" si="97"/>
        <v>2.5000000000000001E-2</v>
      </c>
      <c r="AY181" s="186"/>
      <c r="AZ181" s="190"/>
      <c r="BA181" s="184">
        <f t="shared" ca="1" si="113"/>
        <v>2195</v>
      </c>
      <c r="BB181" s="171">
        <f t="shared" si="98"/>
        <v>38888.370000000003</v>
      </c>
      <c r="BC181" s="171">
        <f t="shared" si="88"/>
        <v>22595.171789547228</v>
      </c>
      <c r="BD181" s="171">
        <f t="shared" si="124"/>
        <v>16404.82</v>
      </c>
      <c r="BE181" s="171">
        <f t="shared" si="124"/>
        <v>7323.7180377916675</v>
      </c>
      <c r="BF181" s="171">
        <f t="shared" si="124"/>
        <v>7323.7180377916675</v>
      </c>
      <c r="BG181" s="171">
        <f t="shared" si="123"/>
        <v>7323.7180377916675</v>
      </c>
      <c r="BI181" s="187">
        <f>IF(A181-'Invoer gegevens'!$C$17&lt;0,0,IF(A181-'Invoer gegevens'!$C$17=0,1,IF(A181-'Invoer gegevens'!$C$17&lt;5,2,IF(A181-'Invoer gegevens'!$C$17&lt;15,3,4))))</f>
        <v>0</v>
      </c>
      <c r="BJ181" s="229">
        <f>IF(BI181&lt;1,0,IF(BI181&lt;2,4%,IF(Reeksen!BI181&lt;3,4%,IF(Reeksen!BI181&lt;4,4%*70%,IF(Reeksen!BI181&lt;5,4%*50%)))))</f>
        <v>0</v>
      </c>
      <c r="BK181" s="243"/>
      <c r="BL181" s="243"/>
      <c r="BM181" s="243"/>
      <c r="BN181" s="243"/>
      <c r="BO181" s="243"/>
      <c r="BP181" s="243"/>
      <c r="BQ181" s="243"/>
      <c r="BR181" s="243"/>
    </row>
    <row r="182" spans="1:70" x14ac:dyDescent="0.25">
      <c r="A182" s="184">
        <f t="shared" si="99"/>
        <v>177</v>
      </c>
      <c r="B182" s="179">
        <f>Dashboard!$C$25</f>
        <v>0.05</v>
      </c>
      <c r="C182" s="179">
        <f>Dashboard!$C$25</f>
        <v>0.05</v>
      </c>
      <c r="D182" s="179">
        <f>Dashboard!$C$25</f>
        <v>0.05</v>
      </c>
      <c r="E182" s="189"/>
      <c r="F182" s="184">
        <f t="shared" ca="1" si="100"/>
        <v>2196</v>
      </c>
      <c r="G182" s="179">
        <f t="shared" si="120"/>
        <v>0.02</v>
      </c>
      <c r="H182" s="182">
        <f t="shared" si="101"/>
        <v>33.466167443219298</v>
      </c>
      <c r="I182" s="179">
        <f t="shared" si="121"/>
        <v>2.5000000000000001E-2</v>
      </c>
      <c r="J182" s="182">
        <f t="shared" si="102"/>
        <v>79.642182315960511</v>
      </c>
      <c r="K182" s="179">
        <f t="shared" si="122"/>
        <v>2.5000000000000001E-2</v>
      </c>
      <c r="L182" s="182">
        <f t="shared" si="103"/>
        <v>79.642182315960511</v>
      </c>
      <c r="M182" s="189"/>
      <c r="N182" s="184">
        <f t="shared" ca="1" si="104"/>
        <v>2196</v>
      </c>
      <c r="O182" s="179">
        <f t="shared" si="116"/>
        <v>0.02</v>
      </c>
      <c r="P182" s="182">
        <f t="shared" si="85"/>
        <v>33.433681748634569</v>
      </c>
      <c r="R182" s="184">
        <f t="shared" ca="1" si="105"/>
        <v>2196</v>
      </c>
      <c r="S182" s="188">
        <f t="shared" si="118"/>
        <v>5.3600000000000002E-3</v>
      </c>
      <c r="U182" s="184">
        <f t="shared" ca="1" si="106"/>
        <v>2196</v>
      </c>
      <c r="V182" s="182">
        <f t="shared" si="89"/>
        <v>0.02</v>
      </c>
      <c r="W182" s="180">
        <f>Parameters!$D$12</f>
        <v>5.0000000000000001E-3</v>
      </c>
      <c r="X182" s="182">
        <f t="shared" si="90"/>
        <v>2.5000000000000001E-2</v>
      </c>
      <c r="Y182" s="182">
        <f t="shared" si="107"/>
        <v>79.720686211132445</v>
      </c>
      <c r="AA182" s="189"/>
      <c r="AB182" s="184">
        <f t="shared" ca="1" si="108"/>
        <v>2196</v>
      </c>
      <c r="AC182" s="171">
        <f t="shared" si="91"/>
        <v>39860.343105566222</v>
      </c>
      <c r="AD182" s="171">
        <f t="shared" si="87"/>
        <v>7470.1923985475005</v>
      </c>
      <c r="AE182" s="171">
        <f t="shared" si="117"/>
        <v>23047.075225338172</v>
      </c>
      <c r="AF182" s="171">
        <f t="shared" si="109"/>
        <v>7470.1923985475005</v>
      </c>
      <c r="AG182" s="171">
        <f t="shared" si="119"/>
        <v>16732.919999999998</v>
      </c>
      <c r="AH182" s="171">
        <f t="shared" si="92"/>
        <v>16732.919999999998</v>
      </c>
      <c r="AI182" s="171">
        <f t="shared" si="93"/>
        <v>7470.1923985475005</v>
      </c>
      <c r="AJ182" s="171">
        <f>IF('Invoer gegevens'!$I$27="DAEB",SMALL(AC182:AD182,1),AC182)</f>
        <v>7470.1923985475005</v>
      </c>
      <c r="AK182" s="171">
        <f>IF('Invoer gegevens'!$I$27="DAEB",SMALL((AE182:AH182),1),SMALL((AF182:AH182),1))</f>
        <v>7470.1923985475005</v>
      </c>
      <c r="AL182" s="171">
        <f t="shared" si="114"/>
        <v>0</v>
      </c>
      <c r="AM182" s="171">
        <f t="shared" si="115"/>
        <v>0</v>
      </c>
      <c r="AN182" s="175">
        <f t="shared" si="110"/>
        <v>1054872</v>
      </c>
      <c r="AP182" s="184">
        <f t="shared" ca="1" si="111"/>
        <v>2196</v>
      </c>
      <c r="AQ182" s="185">
        <f t="shared" si="94"/>
        <v>0.02</v>
      </c>
      <c r="AR182" s="182">
        <f t="shared" si="86"/>
        <v>33.433681748634569</v>
      </c>
      <c r="AU182" s="184">
        <f t="shared" ca="1" si="112"/>
        <v>2196</v>
      </c>
      <c r="AV182" s="182">
        <f t="shared" si="95"/>
        <v>0.02</v>
      </c>
      <c r="AW182" s="179">
        <f t="shared" si="96"/>
        <v>5.0000000000000001E-3</v>
      </c>
      <c r="AX182" s="182">
        <f t="shared" si="97"/>
        <v>2.5000000000000001E-2</v>
      </c>
      <c r="AY182" s="186"/>
      <c r="AZ182" s="190"/>
      <c r="BA182" s="184">
        <f t="shared" ca="1" si="113"/>
        <v>2196</v>
      </c>
      <c r="BB182" s="171">
        <f t="shared" si="98"/>
        <v>39860.58</v>
      </c>
      <c r="BC182" s="171">
        <f t="shared" si="88"/>
        <v>23047.075225338172</v>
      </c>
      <c r="BD182" s="171">
        <f t="shared" si="124"/>
        <v>16732.919999999998</v>
      </c>
      <c r="BE182" s="171">
        <f t="shared" si="124"/>
        <v>7470.1923985475005</v>
      </c>
      <c r="BF182" s="171">
        <f t="shared" si="124"/>
        <v>7470.1923985475005</v>
      </c>
      <c r="BG182" s="171">
        <f t="shared" si="123"/>
        <v>7470.1923985475005</v>
      </c>
      <c r="BI182" s="187">
        <f>IF(A182-'Invoer gegevens'!$C$17&lt;0,0,IF(A182-'Invoer gegevens'!$C$17=0,1,IF(A182-'Invoer gegevens'!$C$17&lt;5,2,IF(A182-'Invoer gegevens'!$C$17&lt;15,3,4))))</f>
        <v>0</v>
      </c>
      <c r="BJ182" s="229">
        <f>IF(BI182&lt;1,0,IF(BI182&lt;2,4%,IF(Reeksen!BI182&lt;3,4%,IF(Reeksen!BI182&lt;4,4%*70%,IF(Reeksen!BI182&lt;5,4%*50%)))))</f>
        <v>0</v>
      </c>
      <c r="BK182" s="243"/>
      <c r="BL182" s="243"/>
      <c r="BM182" s="243"/>
      <c r="BN182" s="243"/>
      <c r="BO182" s="243"/>
      <c r="BP182" s="243"/>
      <c r="BQ182" s="243"/>
      <c r="BR182" s="243"/>
    </row>
    <row r="183" spans="1:70" x14ac:dyDescent="0.25">
      <c r="A183" s="184">
        <f t="shared" si="99"/>
        <v>178</v>
      </c>
      <c r="B183" s="179">
        <f>Dashboard!$C$25</f>
        <v>0.05</v>
      </c>
      <c r="C183" s="179">
        <f>Dashboard!$C$25</f>
        <v>0.05</v>
      </c>
      <c r="D183" s="179">
        <f>Dashboard!$C$25</f>
        <v>0.05</v>
      </c>
      <c r="E183" s="189"/>
      <c r="F183" s="184">
        <f t="shared" ca="1" si="100"/>
        <v>2197</v>
      </c>
      <c r="G183" s="179">
        <f t="shared" si="120"/>
        <v>0.02</v>
      </c>
      <c r="H183" s="182">
        <f t="shared" si="101"/>
        <v>34.135490792083687</v>
      </c>
      <c r="I183" s="179">
        <f t="shared" si="121"/>
        <v>2.5000000000000001E-2</v>
      </c>
      <c r="J183" s="182">
        <f t="shared" si="102"/>
        <v>81.633236873859516</v>
      </c>
      <c r="K183" s="179">
        <f t="shared" si="122"/>
        <v>2.5000000000000001E-2</v>
      </c>
      <c r="L183" s="182">
        <f t="shared" si="103"/>
        <v>81.633236873859516</v>
      </c>
      <c r="M183" s="189"/>
      <c r="N183" s="184">
        <f t="shared" ca="1" si="104"/>
        <v>2197</v>
      </c>
      <c r="O183" s="179">
        <f t="shared" si="116"/>
        <v>0.02</v>
      </c>
      <c r="P183" s="182">
        <f t="shared" si="85"/>
        <v>34.102355383607261</v>
      </c>
      <c r="R183" s="184">
        <f t="shared" ca="1" si="105"/>
        <v>2197</v>
      </c>
      <c r="S183" s="188">
        <f t="shared" si="118"/>
        <v>5.3600000000000002E-3</v>
      </c>
      <c r="U183" s="184">
        <f t="shared" ca="1" si="106"/>
        <v>2197</v>
      </c>
      <c r="V183" s="182">
        <f t="shared" si="89"/>
        <v>0.02</v>
      </c>
      <c r="W183" s="180">
        <f>Parameters!$D$12</f>
        <v>5.0000000000000001E-3</v>
      </c>
      <c r="X183" s="182">
        <f t="shared" si="90"/>
        <v>2.5000000000000001E-2</v>
      </c>
      <c r="Y183" s="182">
        <f t="shared" si="107"/>
        <v>81.713703366410755</v>
      </c>
      <c r="AA183" s="189"/>
      <c r="AB183" s="184">
        <f t="shared" ca="1" si="108"/>
        <v>2197</v>
      </c>
      <c r="AC183" s="171">
        <f t="shared" si="91"/>
        <v>40856.851683205379</v>
      </c>
      <c r="AD183" s="171">
        <f t="shared" si="87"/>
        <v>7619.5962465184512</v>
      </c>
      <c r="AE183" s="171">
        <f t="shared" si="117"/>
        <v>23508.016729844938</v>
      </c>
      <c r="AF183" s="171">
        <f t="shared" si="109"/>
        <v>7619.5962465184512</v>
      </c>
      <c r="AG183" s="171">
        <f t="shared" si="119"/>
        <v>17067.580000000002</v>
      </c>
      <c r="AH183" s="171">
        <f t="shared" si="92"/>
        <v>17067.580000000002</v>
      </c>
      <c r="AI183" s="171">
        <f t="shared" si="93"/>
        <v>7619.5962465184512</v>
      </c>
      <c r="AJ183" s="171">
        <f>IF('Invoer gegevens'!$I$27="DAEB",SMALL(AC183:AD183,1),AC183)</f>
        <v>7619.5962465184512</v>
      </c>
      <c r="AK183" s="171">
        <f>IF('Invoer gegevens'!$I$27="DAEB",SMALL((AE183:AH183),1),SMALL((AF183:AH183),1))</f>
        <v>7619.5962465184512</v>
      </c>
      <c r="AL183" s="171">
        <f t="shared" si="114"/>
        <v>0</v>
      </c>
      <c r="AM183" s="171">
        <f t="shared" si="115"/>
        <v>0</v>
      </c>
      <c r="AN183" s="175">
        <f t="shared" si="110"/>
        <v>1075969</v>
      </c>
      <c r="AP183" s="184">
        <f t="shared" ca="1" si="111"/>
        <v>2197</v>
      </c>
      <c r="AQ183" s="185">
        <f t="shared" si="94"/>
        <v>0.02</v>
      </c>
      <c r="AR183" s="182">
        <f t="shared" si="86"/>
        <v>34.102355383607261</v>
      </c>
      <c r="AU183" s="184">
        <f t="shared" ca="1" si="112"/>
        <v>2197</v>
      </c>
      <c r="AV183" s="182">
        <f t="shared" si="95"/>
        <v>0.02</v>
      </c>
      <c r="AW183" s="179">
        <f t="shared" si="96"/>
        <v>5.0000000000000001E-3</v>
      </c>
      <c r="AX183" s="182">
        <f t="shared" si="97"/>
        <v>2.5000000000000001E-2</v>
      </c>
      <c r="AY183" s="186"/>
      <c r="AZ183" s="190"/>
      <c r="BA183" s="184">
        <f t="shared" ca="1" si="113"/>
        <v>2197</v>
      </c>
      <c r="BB183" s="171">
        <f t="shared" si="98"/>
        <v>40857.089999999997</v>
      </c>
      <c r="BC183" s="171">
        <f t="shared" si="88"/>
        <v>23508.016729844938</v>
      </c>
      <c r="BD183" s="171">
        <f t="shared" si="124"/>
        <v>17067.580000000002</v>
      </c>
      <c r="BE183" s="171">
        <f t="shared" si="124"/>
        <v>7619.5962465184512</v>
      </c>
      <c r="BF183" s="171">
        <f t="shared" si="124"/>
        <v>7619.5962465184512</v>
      </c>
      <c r="BG183" s="171">
        <f t="shared" si="123"/>
        <v>7619.5962465184512</v>
      </c>
      <c r="BI183" s="187">
        <f>IF(A183-'Invoer gegevens'!$C$17&lt;0,0,IF(A183-'Invoer gegevens'!$C$17=0,1,IF(A183-'Invoer gegevens'!$C$17&lt;5,2,IF(A183-'Invoer gegevens'!$C$17&lt;15,3,4))))</f>
        <v>0</v>
      </c>
      <c r="BJ183" s="229">
        <f>IF(BI183&lt;1,0,IF(BI183&lt;2,4%,IF(Reeksen!BI183&lt;3,4%,IF(Reeksen!BI183&lt;4,4%*70%,IF(Reeksen!BI183&lt;5,4%*50%)))))</f>
        <v>0</v>
      </c>
      <c r="BK183" s="243"/>
      <c r="BL183" s="243"/>
      <c r="BM183" s="243"/>
      <c r="BN183" s="243"/>
      <c r="BO183" s="243"/>
      <c r="BP183" s="243"/>
      <c r="BQ183" s="243"/>
      <c r="BR183" s="243"/>
    </row>
    <row r="184" spans="1:70" x14ac:dyDescent="0.25">
      <c r="A184" s="184">
        <f t="shared" si="99"/>
        <v>179</v>
      </c>
      <c r="B184" s="179">
        <f>Dashboard!$C$25</f>
        <v>0.05</v>
      </c>
      <c r="C184" s="179">
        <f>Dashboard!$C$25</f>
        <v>0.05</v>
      </c>
      <c r="D184" s="179">
        <f>Dashboard!$C$25</f>
        <v>0.05</v>
      </c>
      <c r="E184" s="189"/>
      <c r="F184" s="184">
        <f t="shared" ca="1" si="100"/>
        <v>2198</v>
      </c>
      <c r="G184" s="179">
        <f t="shared" si="120"/>
        <v>0.02</v>
      </c>
      <c r="H184" s="182">
        <f t="shared" si="101"/>
        <v>34.818200607925363</v>
      </c>
      <c r="I184" s="179">
        <f t="shared" si="121"/>
        <v>2.5000000000000001E-2</v>
      </c>
      <c r="J184" s="182">
        <f t="shared" si="102"/>
        <v>83.674067795705994</v>
      </c>
      <c r="K184" s="179">
        <f t="shared" si="122"/>
        <v>2.5000000000000001E-2</v>
      </c>
      <c r="L184" s="182">
        <f t="shared" si="103"/>
        <v>83.674067795705994</v>
      </c>
      <c r="M184" s="189"/>
      <c r="N184" s="184">
        <f t="shared" ca="1" si="104"/>
        <v>2198</v>
      </c>
      <c r="O184" s="179">
        <f t="shared" si="116"/>
        <v>0.02</v>
      </c>
      <c r="P184" s="182">
        <f t="shared" si="85"/>
        <v>34.784402491279408</v>
      </c>
      <c r="R184" s="184">
        <f t="shared" ca="1" si="105"/>
        <v>2198</v>
      </c>
      <c r="S184" s="188">
        <f t="shared" si="118"/>
        <v>5.3600000000000002E-3</v>
      </c>
      <c r="U184" s="184">
        <f t="shared" ca="1" si="106"/>
        <v>2198</v>
      </c>
      <c r="V184" s="182">
        <f t="shared" si="89"/>
        <v>0.02</v>
      </c>
      <c r="W184" s="180">
        <f>Parameters!$D$12</f>
        <v>5.0000000000000001E-3</v>
      </c>
      <c r="X184" s="182">
        <f t="shared" si="90"/>
        <v>2.5000000000000001E-2</v>
      </c>
      <c r="Y184" s="182">
        <f t="shared" si="107"/>
        <v>83.756545950571009</v>
      </c>
      <c r="AA184" s="189"/>
      <c r="AB184" s="184">
        <f t="shared" ca="1" si="108"/>
        <v>2198</v>
      </c>
      <c r="AC184" s="171">
        <f t="shared" si="91"/>
        <v>41878.272975285501</v>
      </c>
      <c r="AD184" s="171">
        <f t="shared" si="87"/>
        <v>7771.988171448821</v>
      </c>
      <c r="AE184" s="171">
        <f t="shared" si="117"/>
        <v>23978.177064441836</v>
      </c>
      <c r="AF184" s="171">
        <f t="shared" si="109"/>
        <v>7771.988171448821</v>
      </c>
      <c r="AG184" s="171">
        <f t="shared" si="119"/>
        <v>17408.93</v>
      </c>
      <c r="AH184" s="171">
        <f t="shared" si="92"/>
        <v>17408.93</v>
      </c>
      <c r="AI184" s="171">
        <f t="shared" si="93"/>
        <v>7771.988171448821</v>
      </c>
      <c r="AJ184" s="171">
        <f>IF('Invoer gegevens'!$I$27="DAEB",SMALL(AC184:AD184,1),AC184)</f>
        <v>7771.988171448821</v>
      </c>
      <c r="AK184" s="171">
        <f>IF('Invoer gegevens'!$I$27="DAEB",SMALL((AE184:AH184),1),SMALL((AF184:AH184),1))</f>
        <v>7771.988171448821</v>
      </c>
      <c r="AL184" s="171">
        <f t="shared" si="114"/>
        <v>0</v>
      </c>
      <c r="AM184" s="171">
        <f t="shared" si="115"/>
        <v>0</v>
      </c>
      <c r="AN184" s="175">
        <f t="shared" si="110"/>
        <v>1097488</v>
      </c>
      <c r="AP184" s="184">
        <f t="shared" ca="1" si="111"/>
        <v>2198</v>
      </c>
      <c r="AQ184" s="185">
        <f t="shared" si="94"/>
        <v>0.02</v>
      </c>
      <c r="AR184" s="182">
        <f t="shared" si="86"/>
        <v>34.784402491279408</v>
      </c>
      <c r="AU184" s="184">
        <f t="shared" ca="1" si="112"/>
        <v>2198</v>
      </c>
      <c r="AV184" s="182">
        <f t="shared" si="95"/>
        <v>0.02</v>
      </c>
      <c r="AW184" s="179">
        <f t="shared" si="96"/>
        <v>5.0000000000000001E-3</v>
      </c>
      <c r="AX184" s="182">
        <f t="shared" si="97"/>
        <v>2.5000000000000001E-2</v>
      </c>
      <c r="AY184" s="186"/>
      <c r="AZ184" s="190"/>
      <c r="BA184" s="184">
        <f t="shared" ca="1" si="113"/>
        <v>2198</v>
      </c>
      <c r="BB184" s="171">
        <f t="shared" si="98"/>
        <v>41878.519999999997</v>
      </c>
      <c r="BC184" s="171">
        <f t="shared" si="88"/>
        <v>23978.177064441836</v>
      </c>
      <c r="BD184" s="171">
        <f t="shared" si="124"/>
        <v>17408.93</v>
      </c>
      <c r="BE184" s="171">
        <f t="shared" si="124"/>
        <v>7771.988171448821</v>
      </c>
      <c r="BF184" s="171">
        <f t="shared" si="124"/>
        <v>7771.988171448821</v>
      </c>
      <c r="BG184" s="171">
        <f t="shared" si="123"/>
        <v>7771.988171448821</v>
      </c>
      <c r="BI184" s="187">
        <f>IF(A184-'Invoer gegevens'!$C$17&lt;0,0,IF(A184-'Invoer gegevens'!$C$17=0,1,IF(A184-'Invoer gegevens'!$C$17&lt;5,2,IF(A184-'Invoer gegevens'!$C$17&lt;15,3,4))))</f>
        <v>0</v>
      </c>
      <c r="BJ184" s="229">
        <f>IF(BI184&lt;1,0,IF(BI184&lt;2,4%,IF(Reeksen!BI184&lt;3,4%,IF(Reeksen!BI184&lt;4,4%*70%,IF(Reeksen!BI184&lt;5,4%*50%)))))</f>
        <v>0</v>
      </c>
      <c r="BK184" s="243"/>
      <c r="BL184" s="243"/>
      <c r="BM184" s="243"/>
      <c r="BN184" s="243"/>
      <c r="BO184" s="243"/>
      <c r="BP184" s="243"/>
      <c r="BQ184" s="243"/>
      <c r="BR184" s="243"/>
    </row>
    <row r="185" spans="1:70" x14ac:dyDescent="0.25">
      <c r="A185" s="184">
        <f t="shared" si="99"/>
        <v>180</v>
      </c>
      <c r="B185" s="179">
        <f>Dashboard!$C$25</f>
        <v>0.05</v>
      </c>
      <c r="C185" s="179">
        <f>Dashboard!$C$25</f>
        <v>0.05</v>
      </c>
      <c r="D185" s="179">
        <f>Dashboard!$C$25</f>
        <v>0.05</v>
      </c>
      <c r="E185" s="189"/>
      <c r="F185" s="184">
        <f t="shared" ca="1" si="100"/>
        <v>2199</v>
      </c>
      <c r="G185" s="179">
        <f t="shared" si="120"/>
        <v>0.02</v>
      </c>
      <c r="H185" s="182">
        <f t="shared" si="101"/>
        <v>35.514564620083867</v>
      </c>
      <c r="I185" s="179">
        <f t="shared" si="121"/>
        <v>2.5000000000000001E-2</v>
      </c>
      <c r="J185" s="182">
        <f t="shared" si="102"/>
        <v>85.765919490598634</v>
      </c>
      <c r="K185" s="179">
        <f t="shared" si="122"/>
        <v>2.5000000000000001E-2</v>
      </c>
      <c r="L185" s="182">
        <f t="shared" si="103"/>
        <v>85.765919490598634</v>
      </c>
      <c r="M185" s="189"/>
      <c r="N185" s="184">
        <f t="shared" ca="1" si="104"/>
        <v>2199</v>
      </c>
      <c r="O185" s="179">
        <f t="shared" si="116"/>
        <v>0.02</v>
      </c>
      <c r="P185" s="182">
        <f t="shared" si="85"/>
        <v>35.480090541105</v>
      </c>
      <c r="R185" s="184">
        <f t="shared" ca="1" si="105"/>
        <v>2199</v>
      </c>
      <c r="S185" s="188">
        <f t="shared" si="118"/>
        <v>5.3600000000000002E-3</v>
      </c>
      <c r="U185" s="184">
        <f t="shared" ca="1" si="106"/>
        <v>2199</v>
      </c>
      <c r="V185" s="182">
        <f t="shared" si="89"/>
        <v>0.02</v>
      </c>
      <c r="W185" s="180">
        <f>Parameters!$D$12</f>
        <v>5.0000000000000001E-3</v>
      </c>
      <c r="X185" s="182">
        <f t="shared" si="90"/>
        <v>2.5000000000000001E-2</v>
      </c>
      <c r="Y185" s="182">
        <f t="shared" si="107"/>
        <v>85.850459599335281</v>
      </c>
      <c r="AA185" s="189"/>
      <c r="AB185" s="184">
        <f t="shared" ca="1" si="108"/>
        <v>2199</v>
      </c>
      <c r="AC185" s="171">
        <f t="shared" si="91"/>
        <v>42925.229799667643</v>
      </c>
      <c r="AD185" s="171">
        <f t="shared" si="87"/>
        <v>7927.4279348777964</v>
      </c>
      <c r="AE185" s="171">
        <f t="shared" si="117"/>
        <v>24457.740605730673</v>
      </c>
      <c r="AF185" s="171">
        <f t="shared" si="109"/>
        <v>7927.4279348777964</v>
      </c>
      <c r="AG185" s="171">
        <f t="shared" si="119"/>
        <v>17757.11</v>
      </c>
      <c r="AH185" s="171">
        <f t="shared" si="92"/>
        <v>17757.11</v>
      </c>
      <c r="AI185" s="171">
        <f t="shared" si="93"/>
        <v>7927.4279348777964</v>
      </c>
      <c r="AJ185" s="171">
        <f>IF('Invoer gegevens'!$I$27="DAEB",SMALL(AC185:AD185,1),AC185)</f>
        <v>7927.4279348777964</v>
      </c>
      <c r="AK185" s="171">
        <f>IF('Invoer gegevens'!$I$27="DAEB",SMALL((AE185:AH185),1),SMALL((AF185:AH185),1))</f>
        <v>7927.4279348777964</v>
      </c>
      <c r="AL185" s="171">
        <f t="shared" si="114"/>
        <v>0</v>
      </c>
      <c r="AM185" s="171">
        <f t="shared" si="115"/>
        <v>0</v>
      </c>
      <c r="AN185" s="175">
        <f t="shared" si="110"/>
        <v>1119438</v>
      </c>
      <c r="AP185" s="184">
        <f t="shared" ca="1" si="111"/>
        <v>2199</v>
      </c>
      <c r="AQ185" s="185">
        <f t="shared" si="94"/>
        <v>0.02</v>
      </c>
      <c r="AR185" s="182">
        <f t="shared" si="86"/>
        <v>35.480090541105</v>
      </c>
      <c r="AU185" s="184">
        <f t="shared" ca="1" si="112"/>
        <v>2199</v>
      </c>
      <c r="AV185" s="182">
        <f t="shared" si="95"/>
        <v>0.02</v>
      </c>
      <c r="AW185" s="179">
        <f t="shared" si="96"/>
        <v>5.0000000000000001E-3</v>
      </c>
      <c r="AX185" s="182">
        <f t="shared" si="97"/>
        <v>2.5000000000000001E-2</v>
      </c>
      <c r="AY185" s="186"/>
      <c r="AZ185" s="190"/>
      <c r="BA185" s="184">
        <f t="shared" ca="1" si="113"/>
        <v>2199</v>
      </c>
      <c r="BB185" s="171">
        <f t="shared" si="98"/>
        <v>42925.48</v>
      </c>
      <c r="BC185" s="171">
        <f t="shared" si="88"/>
        <v>24457.740605730673</v>
      </c>
      <c r="BD185" s="171">
        <f t="shared" si="124"/>
        <v>17757.11</v>
      </c>
      <c r="BE185" s="171">
        <f t="shared" si="124"/>
        <v>7927.4279348777964</v>
      </c>
      <c r="BF185" s="171">
        <f t="shared" si="124"/>
        <v>7927.4279348777964</v>
      </c>
      <c r="BG185" s="171">
        <f t="shared" si="123"/>
        <v>7927.4279348777964</v>
      </c>
      <c r="BI185" s="187">
        <f>IF(A185-'Invoer gegevens'!$C$17&lt;0,0,IF(A185-'Invoer gegevens'!$C$17=0,1,IF(A185-'Invoer gegevens'!$C$17&lt;5,2,IF(A185-'Invoer gegevens'!$C$17&lt;15,3,4))))</f>
        <v>0</v>
      </c>
      <c r="BJ185" s="229">
        <f>IF(BI185&lt;1,0,IF(BI185&lt;2,4%,IF(Reeksen!BI185&lt;3,4%,IF(Reeksen!BI185&lt;4,4%*70%,IF(Reeksen!BI185&lt;5,4%*50%)))))</f>
        <v>0</v>
      </c>
      <c r="BK185" s="243"/>
      <c r="BL185" s="243"/>
      <c r="BM185" s="243"/>
      <c r="BN185" s="243"/>
      <c r="BO185" s="243"/>
      <c r="BP185" s="243"/>
      <c r="BQ185" s="243"/>
      <c r="BR185" s="243"/>
    </row>
    <row r="186" spans="1:70" x14ac:dyDescent="0.25">
      <c r="A186" s="184">
        <f t="shared" si="99"/>
        <v>181</v>
      </c>
      <c r="B186" s="179">
        <f>Dashboard!$C$25</f>
        <v>0.05</v>
      </c>
      <c r="C186" s="179">
        <f>Dashboard!$C$25</f>
        <v>0.05</v>
      </c>
      <c r="D186" s="179">
        <f>Dashboard!$C$25</f>
        <v>0.05</v>
      </c>
      <c r="E186" s="189"/>
      <c r="F186" s="184">
        <f t="shared" ca="1" si="100"/>
        <v>2200</v>
      </c>
      <c r="G186" s="179">
        <f t="shared" si="120"/>
        <v>0.02</v>
      </c>
      <c r="H186" s="182">
        <f t="shared" si="101"/>
        <v>36.224855912485545</v>
      </c>
      <c r="I186" s="179">
        <f t="shared" si="121"/>
        <v>2.5000000000000001E-2</v>
      </c>
      <c r="J186" s="182">
        <f t="shared" si="102"/>
        <v>87.910067477863592</v>
      </c>
      <c r="K186" s="179">
        <f t="shared" si="122"/>
        <v>2.5000000000000001E-2</v>
      </c>
      <c r="L186" s="182">
        <f t="shared" si="103"/>
        <v>87.910067477863592</v>
      </c>
      <c r="M186" s="189"/>
      <c r="N186" s="184">
        <f t="shared" ca="1" si="104"/>
        <v>2200</v>
      </c>
      <c r="O186" s="179">
        <f t="shared" si="116"/>
        <v>0.02</v>
      </c>
      <c r="P186" s="182">
        <f t="shared" ref="P186:P234" si="125">P185*(1+O186)</f>
        <v>36.1896923519271</v>
      </c>
      <c r="R186" s="184">
        <f t="shared" ca="1" si="105"/>
        <v>2200</v>
      </c>
      <c r="S186" s="188">
        <f t="shared" si="118"/>
        <v>5.3600000000000002E-3</v>
      </c>
      <c r="U186" s="184">
        <f t="shared" ca="1" si="106"/>
        <v>2200</v>
      </c>
      <c r="V186" s="182">
        <f t="shared" si="89"/>
        <v>0.02</v>
      </c>
      <c r="W186" s="180">
        <f>Parameters!$D$12</f>
        <v>5.0000000000000001E-3</v>
      </c>
      <c r="X186" s="182">
        <f t="shared" si="90"/>
        <v>2.5000000000000001E-2</v>
      </c>
      <c r="Y186" s="182">
        <f t="shared" si="107"/>
        <v>87.996721089318655</v>
      </c>
      <c r="AA186" s="189"/>
      <c r="AB186" s="184">
        <f t="shared" ca="1" si="108"/>
        <v>2200</v>
      </c>
      <c r="AC186" s="171">
        <f t="shared" si="91"/>
        <v>43998.360544659328</v>
      </c>
      <c r="AD186" s="171">
        <f t="shared" si="87"/>
        <v>8085.9764935753528</v>
      </c>
      <c r="AE186" s="171">
        <f t="shared" si="117"/>
        <v>24946.895417845288</v>
      </c>
      <c r="AF186" s="171">
        <f t="shared" si="109"/>
        <v>8085.9764935753528</v>
      </c>
      <c r="AG186" s="171">
        <f t="shared" si="119"/>
        <v>18112.25</v>
      </c>
      <c r="AH186" s="171">
        <f t="shared" si="92"/>
        <v>18112.25</v>
      </c>
      <c r="AI186" s="171">
        <f t="shared" si="93"/>
        <v>8085.9764935753528</v>
      </c>
      <c r="AJ186" s="171">
        <f>IF('Invoer gegevens'!$I$27="DAEB",SMALL(AC186:AD186,1),AC186)</f>
        <v>8085.9764935753528</v>
      </c>
      <c r="AK186" s="171">
        <f>IF('Invoer gegevens'!$I$27="DAEB",SMALL((AE186:AH186),1),SMALL((AF186:AH186),1))</f>
        <v>8085.9764935753528</v>
      </c>
      <c r="AL186" s="171">
        <f t="shared" si="114"/>
        <v>0</v>
      </c>
      <c r="AM186" s="171">
        <f t="shared" si="115"/>
        <v>0</v>
      </c>
      <c r="AN186" s="175">
        <f t="shared" si="110"/>
        <v>1141827</v>
      </c>
      <c r="AP186" s="184">
        <f t="shared" ca="1" si="111"/>
        <v>2200</v>
      </c>
      <c r="AQ186" s="185">
        <f t="shared" si="94"/>
        <v>0.02</v>
      </c>
      <c r="AR186" s="182">
        <f t="shared" ref="AR186:AR234" si="126">AR185*(1+AQ186)</f>
        <v>36.1896923519271</v>
      </c>
      <c r="AU186" s="184">
        <f t="shared" ca="1" si="112"/>
        <v>2200</v>
      </c>
      <c r="AV186" s="182">
        <f t="shared" si="95"/>
        <v>0.02</v>
      </c>
      <c r="AW186" s="179">
        <f t="shared" si="96"/>
        <v>5.0000000000000001E-3</v>
      </c>
      <c r="AX186" s="182">
        <f t="shared" si="97"/>
        <v>2.5000000000000001E-2</v>
      </c>
      <c r="AY186" s="186"/>
      <c r="AZ186" s="190"/>
      <c r="BA186" s="184">
        <f t="shared" ca="1" si="113"/>
        <v>2200</v>
      </c>
      <c r="BB186" s="171">
        <f t="shared" si="98"/>
        <v>43998.62</v>
      </c>
      <c r="BC186" s="171">
        <f t="shared" si="88"/>
        <v>24946.895417845288</v>
      </c>
      <c r="BD186" s="171">
        <f t="shared" si="124"/>
        <v>18112.25</v>
      </c>
      <c r="BE186" s="171">
        <f t="shared" si="124"/>
        <v>8085.9764935753528</v>
      </c>
      <c r="BF186" s="171">
        <f t="shared" si="124"/>
        <v>8085.9764935753528</v>
      </c>
      <c r="BG186" s="171">
        <f t="shared" si="123"/>
        <v>8085.9764935753528</v>
      </c>
      <c r="BI186" s="187">
        <f>IF(A186-'Invoer gegevens'!$C$17&lt;0,0,IF(A186-'Invoer gegevens'!$C$17=0,1,IF(A186-'Invoer gegevens'!$C$17&lt;5,2,IF(A186-'Invoer gegevens'!$C$17&lt;15,3,4))))</f>
        <v>0</v>
      </c>
      <c r="BJ186" s="229">
        <f>IF(BI186&lt;1,0,IF(BI186&lt;2,4%,IF(Reeksen!BI186&lt;3,4%,IF(Reeksen!BI186&lt;4,4%*70%,IF(Reeksen!BI186&lt;5,4%*50%)))))</f>
        <v>0</v>
      </c>
      <c r="BK186" s="243"/>
      <c r="BL186" s="243"/>
      <c r="BM186" s="243"/>
      <c r="BN186" s="243"/>
      <c r="BO186" s="243"/>
      <c r="BP186" s="243"/>
      <c r="BQ186" s="243"/>
      <c r="BR186" s="243"/>
    </row>
    <row r="187" spans="1:70" x14ac:dyDescent="0.25">
      <c r="A187" s="184">
        <f t="shared" si="99"/>
        <v>182</v>
      </c>
      <c r="B187" s="179">
        <f>Dashboard!$C$25</f>
        <v>0.05</v>
      </c>
      <c r="C187" s="179">
        <f>Dashboard!$C$25</f>
        <v>0.05</v>
      </c>
      <c r="D187" s="179">
        <f>Dashboard!$C$25</f>
        <v>0.05</v>
      </c>
      <c r="E187" s="189"/>
      <c r="F187" s="184">
        <f t="shared" ca="1" si="100"/>
        <v>2201</v>
      </c>
      <c r="G187" s="179">
        <f t="shared" si="120"/>
        <v>0.02</v>
      </c>
      <c r="H187" s="182">
        <f t="shared" si="101"/>
        <v>36.949353030735253</v>
      </c>
      <c r="I187" s="179">
        <f t="shared" si="121"/>
        <v>2.5000000000000001E-2</v>
      </c>
      <c r="J187" s="182">
        <f t="shared" si="102"/>
        <v>90.107819164810181</v>
      </c>
      <c r="K187" s="179">
        <f t="shared" si="122"/>
        <v>2.5000000000000001E-2</v>
      </c>
      <c r="L187" s="182">
        <f t="shared" si="103"/>
        <v>90.107819164810181</v>
      </c>
      <c r="M187" s="189"/>
      <c r="N187" s="184">
        <f t="shared" ca="1" si="104"/>
        <v>2201</v>
      </c>
      <c r="O187" s="179">
        <f t="shared" si="116"/>
        <v>0.02</v>
      </c>
      <c r="P187" s="182">
        <f t="shared" si="125"/>
        <v>36.913486198965643</v>
      </c>
      <c r="R187" s="184">
        <f t="shared" ca="1" si="105"/>
        <v>2201</v>
      </c>
      <c r="S187" s="188">
        <f t="shared" si="118"/>
        <v>5.3600000000000002E-3</v>
      </c>
      <c r="U187" s="184">
        <f t="shared" ca="1" si="106"/>
        <v>2201</v>
      </c>
      <c r="V187" s="182">
        <f t="shared" si="89"/>
        <v>0.02</v>
      </c>
      <c r="W187" s="180">
        <f>Parameters!$D$12</f>
        <v>5.0000000000000001E-3</v>
      </c>
      <c r="X187" s="182">
        <f t="shared" si="90"/>
        <v>2.5000000000000001E-2</v>
      </c>
      <c r="Y187" s="182">
        <f t="shared" si="107"/>
        <v>90.196639116551609</v>
      </c>
      <c r="AA187" s="189"/>
      <c r="AB187" s="184">
        <f t="shared" ca="1" si="108"/>
        <v>2201</v>
      </c>
      <c r="AC187" s="171">
        <f t="shared" si="91"/>
        <v>45098.319558275805</v>
      </c>
      <c r="AD187" s="171">
        <f t="shared" si="87"/>
        <v>8247.6960234468588</v>
      </c>
      <c r="AE187" s="171">
        <f t="shared" si="117"/>
        <v>25445.833326202195</v>
      </c>
      <c r="AF187" s="171">
        <f t="shared" si="109"/>
        <v>8247.6960234468588</v>
      </c>
      <c r="AG187" s="171">
        <f t="shared" si="119"/>
        <v>18474.5</v>
      </c>
      <c r="AH187" s="171">
        <f t="shared" si="92"/>
        <v>18474.5</v>
      </c>
      <c r="AI187" s="171">
        <f t="shared" si="93"/>
        <v>8247.6960234468588</v>
      </c>
      <c r="AJ187" s="171">
        <f>IF('Invoer gegevens'!$I$27="DAEB",SMALL(AC187:AD187,1),AC187)</f>
        <v>8247.6960234468588</v>
      </c>
      <c r="AK187" s="171">
        <f>IF('Invoer gegevens'!$I$27="DAEB",SMALL((AE187:AH187),1),SMALL((AF187:AH187),1))</f>
        <v>8247.6960234468588</v>
      </c>
      <c r="AL187" s="171">
        <f t="shared" si="114"/>
        <v>0</v>
      </c>
      <c r="AM187" s="171">
        <f t="shared" si="115"/>
        <v>0</v>
      </c>
      <c r="AN187" s="175">
        <f t="shared" si="110"/>
        <v>1164664</v>
      </c>
      <c r="AP187" s="184">
        <f t="shared" ca="1" si="111"/>
        <v>2201</v>
      </c>
      <c r="AQ187" s="185">
        <f t="shared" si="94"/>
        <v>0.02</v>
      </c>
      <c r="AR187" s="182">
        <f t="shared" si="126"/>
        <v>36.913486198965643</v>
      </c>
      <c r="AU187" s="184">
        <f t="shared" ca="1" si="112"/>
        <v>2201</v>
      </c>
      <c r="AV187" s="182">
        <f t="shared" si="95"/>
        <v>0.02</v>
      </c>
      <c r="AW187" s="179">
        <f t="shared" si="96"/>
        <v>5.0000000000000001E-3</v>
      </c>
      <c r="AX187" s="182">
        <f t="shared" si="97"/>
        <v>2.5000000000000001E-2</v>
      </c>
      <c r="AY187" s="186"/>
      <c r="AZ187" s="190"/>
      <c r="BA187" s="184">
        <f t="shared" ca="1" si="113"/>
        <v>2201</v>
      </c>
      <c r="BB187" s="171">
        <f t="shared" si="98"/>
        <v>45098.59</v>
      </c>
      <c r="BC187" s="171">
        <f t="shared" si="88"/>
        <v>25445.833326202195</v>
      </c>
      <c r="BD187" s="171">
        <f t="shared" si="124"/>
        <v>18474.5</v>
      </c>
      <c r="BE187" s="171">
        <f t="shared" si="124"/>
        <v>8247.6960234468588</v>
      </c>
      <c r="BF187" s="171">
        <f t="shared" si="124"/>
        <v>8247.6960234468588</v>
      </c>
      <c r="BG187" s="171">
        <f t="shared" si="123"/>
        <v>8247.6960234468588</v>
      </c>
      <c r="BI187" s="187">
        <f>IF(A187-'Invoer gegevens'!$C$17&lt;0,0,IF(A187-'Invoer gegevens'!$C$17=0,1,IF(A187-'Invoer gegevens'!$C$17&lt;5,2,IF(A187-'Invoer gegevens'!$C$17&lt;15,3,4))))</f>
        <v>0</v>
      </c>
      <c r="BJ187" s="229">
        <f>IF(BI187&lt;1,0,IF(BI187&lt;2,4%,IF(Reeksen!BI187&lt;3,4%,IF(Reeksen!BI187&lt;4,4%*70%,IF(Reeksen!BI187&lt;5,4%*50%)))))</f>
        <v>0</v>
      </c>
      <c r="BK187" s="243"/>
      <c r="BL187" s="243"/>
      <c r="BM187" s="243"/>
      <c r="BN187" s="243"/>
      <c r="BO187" s="243"/>
      <c r="BP187" s="243"/>
      <c r="BQ187" s="243"/>
      <c r="BR187" s="243"/>
    </row>
    <row r="188" spans="1:70" x14ac:dyDescent="0.25">
      <c r="A188" s="184">
        <f t="shared" si="99"/>
        <v>183</v>
      </c>
      <c r="B188" s="179">
        <f>Dashboard!$C$25</f>
        <v>0.05</v>
      </c>
      <c r="C188" s="179">
        <f>Dashboard!$C$25</f>
        <v>0.05</v>
      </c>
      <c r="D188" s="179">
        <f>Dashboard!$C$25</f>
        <v>0.05</v>
      </c>
      <c r="E188" s="189"/>
      <c r="F188" s="184">
        <f t="shared" ca="1" si="100"/>
        <v>2202</v>
      </c>
      <c r="G188" s="179">
        <f t="shared" si="120"/>
        <v>0.02</v>
      </c>
      <c r="H188" s="182">
        <f t="shared" si="101"/>
        <v>37.688340091349957</v>
      </c>
      <c r="I188" s="179">
        <f t="shared" si="121"/>
        <v>2.5000000000000001E-2</v>
      </c>
      <c r="J188" s="182">
        <f t="shared" si="102"/>
        <v>92.360514643930429</v>
      </c>
      <c r="K188" s="179">
        <f t="shared" si="122"/>
        <v>2.5000000000000001E-2</v>
      </c>
      <c r="L188" s="182">
        <f t="shared" si="103"/>
        <v>92.360514643930429</v>
      </c>
      <c r="M188" s="189"/>
      <c r="N188" s="184">
        <f t="shared" ca="1" si="104"/>
        <v>2202</v>
      </c>
      <c r="O188" s="179">
        <f t="shared" si="116"/>
        <v>0.02</v>
      </c>
      <c r="P188" s="182">
        <f t="shared" si="125"/>
        <v>37.651755922944957</v>
      </c>
      <c r="R188" s="184">
        <f t="shared" ca="1" si="105"/>
        <v>2202</v>
      </c>
      <c r="S188" s="188">
        <f t="shared" si="118"/>
        <v>5.3600000000000002E-3</v>
      </c>
      <c r="U188" s="184">
        <f t="shared" ca="1" si="106"/>
        <v>2202</v>
      </c>
      <c r="V188" s="182">
        <f t="shared" si="89"/>
        <v>0.02</v>
      </c>
      <c r="W188" s="180">
        <f>Parameters!$D$12</f>
        <v>5.0000000000000001E-3</v>
      </c>
      <c r="X188" s="182">
        <f t="shared" si="90"/>
        <v>2.5000000000000001E-2</v>
      </c>
      <c r="Y188" s="182">
        <f t="shared" si="107"/>
        <v>92.451555094465391</v>
      </c>
      <c r="AA188" s="189"/>
      <c r="AB188" s="184">
        <f t="shared" ca="1" si="108"/>
        <v>2202</v>
      </c>
      <c r="AC188" s="171">
        <f t="shared" si="91"/>
        <v>46225.777547232698</v>
      </c>
      <c r="AD188" s="171">
        <f t="shared" si="87"/>
        <v>8412.649943915796</v>
      </c>
      <c r="AE188" s="171">
        <f t="shared" si="117"/>
        <v>25954.74999272624</v>
      </c>
      <c r="AF188" s="171">
        <f t="shared" si="109"/>
        <v>8412.649943915796</v>
      </c>
      <c r="AG188" s="171">
        <f t="shared" si="119"/>
        <v>18843.990000000002</v>
      </c>
      <c r="AH188" s="171">
        <f t="shared" si="92"/>
        <v>18843.990000000002</v>
      </c>
      <c r="AI188" s="171">
        <f t="shared" si="93"/>
        <v>8412.649943915796</v>
      </c>
      <c r="AJ188" s="171">
        <f>IF('Invoer gegevens'!$I$27="DAEB",SMALL(AC188:AD188,1),AC188)</f>
        <v>8412.649943915796</v>
      </c>
      <c r="AK188" s="171">
        <f>IF('Invoer gegevens'!$I$27="DAEB",SMALL((AE188:AH188),1),SMALL((AF188:AH188),1))</f>
        <v>8412.649943915796</v>
      </c>
      <c r="AL188" s="171">
        <f t="shared" si="114"/>
        <v>0</v>
      </c>
      <c r="AM188" s="171">
        <f t="shared" si="115"/>
        <v>0</v>
      </c>
      <c r="AN188" s="175">
        <f t="shared" si="110"/>
        <v>1187957</v>
      </c>
      <c r="AP188" s="184">
        <f t="shared" ca="1" si="111"/>
        <v>2202</v>
      </c>
      <c r="AQ188" s="185">
        <f t="shared" si="94"/>
        <v>0.02</v>
      </c>
      <c r="AR188" s="182">
        <f t="shared" si="126"/>
        <v>37.651755922944957</v>
      </c>
      <c r="AU188" s="184">
        <f t="shared" ca="1" si="112"/>
        <v>2202</v>
      </c>
      <c r="AV188" s="182">
        <f t="shared" si="95"/>
        <v>0.02</v>
      </c>
      <c r="AW188" s="179">
        <f t="shared" si="96"/>
        <v>5.0000000000000001E-3</v>
      </c>
      <c r="AX188" s="182">
        <f t="shared" si="97"/>
        <v>2.5000000000000001E-2</v>
      </c>
      <c r="AY188" s="186"/>
      <c r="AZ188" s="190"/>
      <c r="BA188" s="184">
        <f t="shared" ca="1" si="113"/>
        <v>2202</v>
      </c>
      <c r="BB188" s="171">
        <f t="shared" si="98"/>
        <v>46226.05</v>
      </c>
      <c r="BC188" s="171">
        <f t="shared" si="88"/>
        <v>25954.74999272624</v>
      </c>
      <c r="BD188" s="171">
        <f t="shared" si="124"/>
        <v>18843.990000000002</v>
      </c>
      <c r="BE188" s="171">
        <f t="shared" si="124"/>
        <v>8412.649943915796</v>
      </c>
      <c r="BF188" s="171">
        <f t="shared" si="124"/>
        <v>8412.649943915796</v>
      </c>
      <c r="BG188" s="171">
        <f t="shared" si="123"/>
        <v>8412.649943915796</v>
      </c>
      <c r="BI188" s="187">
        <f>IF(A188-'Invoer gegevens'!$C$17&lt;0,0,IF(A188-'Invoer gegevens'!$C$17=0,1,IF(A188-'Invoer gegevens'!$C$17&lt;5,2,IF(A188-'Invoer gegevens'!$C$17&lt;15,3,4))))</f>
        <v>0</v>
      </c>
      <c r="BJ188" s="229">
        <f>IF(BI188&lt;1,0,IF(BI188&lt;2,4%,IF(Reeksen!BI188&lt;3,4%,IF(Reeksen!BI188&lt;4,4%*70%,IF(Reeksen!BI188&lt;5,4%*50%)))))</f>
        <v>0</v>
      </c>
      <c r="BK188" s="243"/>
      <c r="BL188" s="243"/>
      <c r="BM188" s="243"/>
      <c r="BN188" s="243"/>
      <c r="BO188" s="243"/>
      <c r="BP188" s="243"/>
      <c r="BQ188" s="243"/>
      <c r="BR188" s="243"/>
    </row>
    <row r="189" spans="1:70" x14ac:dyDescent="0.25">
      <c r="A189" s="184">
        <f t="shared" si="99"/>
        <v>184</v>
      </c>
      <c r="B189" s="179">
        <f>Dashboard!$C$25</f>
        <v>0.05</v>
      </c>
      <c r="C189" s="179">
        <f>Dashboard!$C$25</f>
        <v>0.05</v>
      </c>
      <c r="D189" s="179">
        <f>Dashboard!$C$25</f>
        <v>0.05</v>
      </c>
      <c r="E189" s="189"/>
      <c r="F189" s="184">
        <f t="shared" ca="1" si="100"/>
        <v>2203</v>
      </c>
      <c r="G189" s="179">
        <f t="shared" si="120"/>
        <v>0.02</v>
      </c>
      <c r="H189" s="182">
        <f t="shared" si="101"/>
        <v>38.442106893176955</v>
      </c>
      <c r="I189" s="179">
        <f t="shared" si="121"/>
        <v>2.5000000000000001E-2</v>
      </c>
      <c r="J189" s="182">
        <f t="shared" si="102"/>
        <v>94.669527510028686</v>
      </c>
      <c r="K189" s="179">
        <f t="shared" si="122"/>
        <v>2.5000000000000001E-2</v>
      </c>
      <c r="L189" s="182">
        <f t="shared" si="103"/>
        <v>94.669527510028686</v>
      </c>
      <c r="M189" s="189"/>
      <c r="N189" s="184">
        <f t="shared" ca="1" si="104"/>
        <v>2203</v>
      </c>
      <c r="O189" s="179">
        <f t="shared" si="116"/>
        <v>0.02</v>
      </c>
      <c r="P189" s="182">
        <f t="shared" si="125"/>
        <v>38.404791041403854</v>
      </c>
      <c r="R189" s="184">
        <f t="shared" ca="1" si="105"/>
        <v>2203</v>
      </c>
      <c r="S189" s="188">
        <f t="shared" si="118"/>
        <v>5.3600000000000002E-3</v>
      </c>
      <c r="U189" s="184">
        <f t="shared" ca="1" si="106"/>
        <v>2203</v>
      </c>
      <c r="V189" s="182">
        <f t="shared" si="89"/>
        <v>0.02</v>
      </c>
      <c r="W189" s="180">
        <f>Parameters!$D$12</f>
        <v>5.0000000000000001E-3</v>
      </c>
      <c r="X189" s="182">
        <f t="shared" si="90"/>
        <v>2.5000000000000001E-2</v>
      </c>
      <c r="Y189" s="182">
        <f t="shared" si="107"/>
        <v>94.762843971827024</v>
      </c>
      <c r="AA189" s="189"/>
      <c r="AB189" s="184">
        <f t="shared" ca="1" si="108"/>
        <v>2203</v>
      </c>
      <c r="AC189" s="171">
        <f t="shared" si="91"/>
        <v>47381.421985913512</v>
      </c>
      <c r="AD189" s="171">
        <f t="shared" si="87"/>
        <v>8580.9029427941114</v>
      </c>
      <c r="AE189" s="171">
        <f t="shared" si="117"/>
        <v>26473.844992580765</v>
      </c>
      <c r="AF189" s="171">
        <f t="shared" si="109"/>
        <v>8580.9029427941114</v>
      </c>
      <c r="AG189" s="171">
        <f t="shared" si="119"/>
        <v>19220.87</v>
      </c>
      <c r="AH189" s="171">
        <f t="shared" si="92"/>
        <v>19220.87</v>
      </c>
      <c r="AI189" s="171">
        <f t="shared" si="93"/>
        <v>8580.9029427941114</v>
      </c>
      <c r="AJ189" s="171">
        <f>IF('Invoer gegevens'!$I$27="DAEB",SMALL(AC189:AD189,1),AC189)</f>
        <v>8580.9029427941114</v>
      </c>
      <c r="AK189" s="171">
        <f>IF('Invoer gegevens'!$I$27="DAEB",SMALL((AE189:AH189),1),SMALL((AF189:AH189),1))</f>
        <v>8580.9029427941114</v>
      </c>
      <c r="AL189" s="171">
        <f t="shared" si="114"/>
        <v>0</v>
      </c>
      <c r="AM189" s="171">
        <f t="shared" si="115"/>
        <v>0</v>
      </c>
      <c r="AN189" s="175">
        <f t="shared" si="110"/>
        <v>1211716</v>
      </c>
      <c r="AP189" s="184">
        <f t="shared" ca="1" si="111"/>
        <v>2203</v>
      </c>
      <c r="AQ189" s="185">
        <f t="shared" si="94"/>
        <v>0.02</v>
      </c>
      <c r="AR189" s="182">
        <f t="shared" si="126"/>
        <v>38.404791041403854</v>
      </c>
      <c r="AU189" s="184">
        <f t="shared" ca="1" si="112"/>
        <v>2203</v>
      </c>
      <c r="AV189" s="182">
        <f t="shared" si="95"/>
        <v>0.02</v>
      </c>
      <c r="AW189" s="179">
        <f t="shared" si="96"/>
        <v>5.0000000000000001E-3</v>
      </c>
      <c r="AX189" s="182">
        <f t="shared" si="97"/>
        <v>2.5000000000000001E-2</v>
      </c>
      <c r="AY189" s="186"/>
      <c r="AZ189" s="190"/>
      <c r="BA189" s="184">
        <f t="shared" ca="1" si="113"/>
        <v>2203</v>
      </c>
      <c r="BB189" s="171">
        <f t="shared" si="98"/>
        <v>47381.7</v>
      </c>
      <c r="BC189" s="171">
        <f t="shared" si="88"/>
        <v>26473.844992580765</v>
      </c>
      <c r="BD189" s="171">
        <f t="shared" si="124"/>
        <v>19220.87</v>
      </c>
      <c r="BE189" s="171">
        <f t="shared" si="124"/>
        <v>8580.9029427941114</v>
      </c>
      <c r="BF189" s="171">
        <f t="shared" si="124"/>
        <v>8580.9029427941114</v>
      </c>
      <c r="BG189" s="171">
        <f t="shared" si="123"/>
        <v>8580.9029427941114</v>
      </c>
      <c r="BI189" s="187">
        <f>IF(A189-'Invoer gegevens'!$C$17&lt;0,0,IF(A189-'Invoer gegevens'!$C$17=0,1,IF(A189-'Invoer gegevens'!$C$17&lt;5,2,IF(A189-'Invoer gegevens'!$C$17&lt;15,3,4))))</f>
        <v>0</v>
      </c>
      <c r="BJ189" s="229">
        <f>IF(BI189&lt;1,0,IF(BI189&lt;2,4%,IF(Reeksen!BI189&lt;3,4%,IF(Reeksen!BI189&lt;4,4%*70%,IF(Reeksen!BI189&lt;5,4%*50%)))))</f>
        <v>0</v>
      </c>
      <c r="BK189" s="243"/>
      <c r="BL189" s="243"/>
      <c r="BM189" s="243"/>
      <c r="BN189" s="243"/>
      <c r="BO189" s="243"/>
      <c r="BP189" s="243"/>
      <c r="BQ189" s="243"/>
      <c r="BR189" s="243"/>
    </row>
    <row r="190" spans="1:70" x14ac:dyDescent="0.25">
      <c r="A190" s="184">
        <f t="shared" si="99"/>
        <v>185</v>
      </c>
      <c r="B190" s="179">
        <f>Dashboard!$C$25</f>
        <v>0.05</v>
      </c>
      <c r="C190" s="179">
        <f>Dashboard!$C$25</f>
        <v>0.05</v>
      </c>
      <c r="D190" s="179">
        <f>Dashboard!$C$25</f>
        <v>0.05</v>
      </c>
      <c r="E190" s="189"/>
      <c r="F190" s="184">
        <f t="shared" ca="1" si="100"/>
        <v>2204</v>
      </c>
      <c r="G190" s="179">
        <f t="shared" si="120"/>
        <v>0.02</v>
      </c>
      <c r="H190" s="182">
        <f t="shared" si="101"/>
        <v>39.210949031040492</v>
      </c>
      <c r="I190" s="179">
        <f t="shared" si="121"/>
        <v>2.5000000000000001E-2</v>
      </c>
      <c r="J190" s="182">
        <f t="shared" si="102"/>
        <v>97.036265697779399</v>
      </c>
      <c r="K190" s="179">
        <f t="shared" si="122"/>
        <v>2.5000000000000001E-2</v>
      </c>
      <c r="L190" s="182">
        <f t="shared" si="103"/>
        <v>97.036265697779399</v>
      </c>
      <c r="M190" s="189"/>
      <c r="N190" s="184">
        <f t="shared" ca="1" si="104"/>
        <v>2204</v>
      </c>
      <c r="O190" s="179">
        <f t="shared" si="116"/>
        <v>0.02</v>
      </c>
      <c r="P190" s="182">
        <f t="shared" si="125"/>
        <v>39.172886862231934</v>
      </c>
      <c r="R190" s="184">
        <f t="shared" ca="1" si="105"/>
        <v>2204</v>
      </c>
      <c r="S190" s="188">
        <f t="shared" si="118"/>
        <v>5.3600000000000002E-3</v>
      </c>
      <c r="U190" s="184">
        <f t="shared" ca="1" si="106"/>
        <v>2204</v>
      </c>
      <c r="V190" s="182">
        <f t="shared" si="89"/>
        <v>0.02</v>
      </c>
      <c r="W190" s="180">
        <f>Parameters!$D$12</f>
        <v>5.0000000000000001E-3</v>
      </c>
      <c r="X190" s="182">
        <f t="shared" si="90"/>
        <v>2.5000000000000001E-2</v>
      </c>
      <c r="Y190" s="182">
        <f t="shared" si="107"/>
        <v>97.131915071122691</v>
      </c>
      <c r="AA190" s="189"/>
      <c r="AB190" s="184">
        <f t="shared" ca="1" si="108"/>
        <v>2204</v>
      </c>
      <c r="AC190" s="171">
        <f t="shared" si="91"/>
        <v>48565.957535561349</v>
      </c>
      <c r="AD190" s="171">
        <f t="shared" si="87"/>
        <v>8752.5210016499932</v>
      </c>
      <c r="AE190" s="171">
        <f t="shared" si="117"/>
        <v>27003.321892432381</v>
      </c>
      <c r="AF190" s="171">
        <f t="shared" si="109"/>
        <v>8752.5210016499932</v>
      </c>
      <c r="AG190" s="171">
        <f t="shared" si="119"/>
        <v>19605.29</v>
      </c>
      <c r="AH190" s="171">
        <f t="shared" si="92"/>
        <v>19605.29</v>
      </c>
      <c r="AI190" s="171">
        <f t="shared" si="93"/>
        <v>8752.5210016499932</v>
      </c>
      <c r="AJ190" s="171">
        <f>IF('Invoer gegevens'!$I$27="DAEB",SMALL(AC190:AD190,1),AC190)</f>
        <v>8752.5210016499932</v>
      </c>
      <c r="AK190" s="171">
        <f>IF('Invoer gegevens'!$I$27="DAEB",SMALL((AE190:AH190),1),SMALL((AF190:AH190),1))</f>
        <v>8752.5210016499932</v>
      </c>
      <c r="AL190" s="171">
        <f t="shared" si="114"/>
        <v>0</v>
      </c>
      <c r="AM190" s="171">
        <f t="shared" si="115"/>
        <v>0</v>
      </c>
      <c r="AN190" s="175">
        <f t="shared" si="110"/>
        <v>1235950</v>
      </c>
      <c r="AP190" s="184">
        <f t="shared" ca="1" si="111"/>
        <v>2204</v>
      </c>
      <c r="AQ190" s="185">
        <f t="shared" si="94"/>
        <v>0.02</v>
      </c>
      <c r="AR190" s="182">
        <f t="shared" si="126"/>
        <v>39.172886862231934</v>
      </c>
      <c r="AU190" s="184">
        <f t="shared" ca="1" si="112"/>
        <v>2204</v>
      </c>
      <c r="AV190" s="182">
        <f t="shared" si="95"/>
        <v>0.02</v>
      </c>
      <c r="AW190" s="179">
        <f t="shared" si="96"/>
        <v>5.0000000000000001E-3</v>
      </c>
      <c r="AX190" s="182">
        <f t="shared" si="97"/>
        <v>2.5000000000000001E-2</v>
      </c>
      <c r="AY190" s="186"/>
      <c r="AZ190" s="190"/>
      <c r="BA190" s="184">
        <f t="shared" ca="1" si="113"/>
        <v>2204</v>
      </c>
      <c r="BB190" s="171">
        <f t="shared" si="98"/>
        <v>48566.239999999998</v>
      </c>
      <c r="BC190" s="171">
        <f t="shared" si="88"/>
        <v>27003.321892432381</v>
      </c>
      <c r="BD190" s="171">
        <f t="shared" si="124"/>
        <v>19605.29</v>
      </c>
      <c r="BE190" s="171">
        <f t="shared" si="124"/>
        <v>8752.5210016499932</v>
      </c>
      <c r="BF190" s="171">
        <f t="shared" si="124"/>
        <v>8752.5210016499932</v>
      </c>
      <c r="BG190" s="171">
        <f t="shared" si="123"/>
        <v>8752.5210016499932</v>
      </c>
      <c r="BI190" s="187">
        <f>IF(A190-'Invoer gegevens'!$C$17&lt;0,0,IF(A190-'Invoer gegevens'!$C$17=0,1,IF(A190-'Invoer gegevens'!$C$17&lt;5,2,IF(A190-'Invoer gegevens'!$C$17&lt;15,3,4))))</f>
        <v>0</v>
      </c>
      <c r="BJ190" s="229">
        <f>IF(BI190&lt;1,0,IF(BI190&lt;2,4%,IF(Reeksen!BI190&lt;3,4%,IF(Reeksen!BI190&lt;4,4%*70%,IF(Reeksen!BI190&lt;5,4%*50%)))))</f>
        <v>0</v>
      </c>
      <c r="BK190" s="243"/>
      <c r="BL190" s="243"/>
      <c r="BM190" s="243"/>
      <c r="BN190" s="243"/>
      <c r="BO190" s="243"/>
      <c r="BP190" s="243"/>
      <c r="BQ190" s="243"/>
      <c r="BR190" s="243"/>
    </row>
    <row r="191" spans="1:70" x14ac:dyDescent="0.25">
      <c r="A191" s="184">
        <f t="shared" si="99"/>
        <v>186</v>
      </c>
      <c r="B191" s="179">
        <f>Dashboard!$C$25</f>
        <v>0.05</v>
      </c>
      <c r="C191" s="179">
        <f>Dashboard!$C$25</f>
        <v>0.05</v>
      </c>
      <c r="D191" s="179">
        <f>Dashboard!$C$25</f>
        <v>0.05</v>
      </c>
      <c r="E191" s="189"/>
      <c r="F191" s="184">
        <f t="shared" ca="1" si="100"/>
        <v>2205</v>
      </c>
      <c r="G191" s="179">
        <f t="shared" si="120"/>
        <v>0.02</v>
      </c>
      <c r="H191" s="182">
        <f t="shared" si="101"/>
        <v>39.995168011661306</v>
      </c>
      <c r="I191" s="179">
        <f t="shared" si="121"/>
        <v>2.5000000000000001E-2</v>
      </c>
      <c r="J191" s="182">
        <f t="shared" si="102"/>
        <v>99.462172340223873</v>
      </c>
      <c r="K191" s="179">
        <f t="shared" si="122"/>
        <v>2.5000000000000001E-2</v>
      </c>
      <c r="L191" s="182">
        <f t="shared" si="103"/>
        <v>99.462172340223873</v>
      </c>
      <c r="M191" s="189"/>
      <c r="N191" s="184">
        <f t="shared" ca="1" si="104"/>
        <v>2205</v>
      </c>
      <c r="O191" s="179">
        <f t="shared" si="116"/>
        <v>0.02</v>
      </c>
      <c r="P191" s="182">
        <f t="shared" si="125"/>
        <v>39.956344599476573</v>
      </c>
      <c r="R191" s="184">
        <f t="shared" ca="1" si="105"/>
        <v>2205</v>
      </c>
      <c r="S191" s="188">
        <f t="shared" si="118"/>
        <v>5.3600000000000002E-3</v>
      </c>
      <c r="U191" s="184">
        <f t="shared" ca="1" si="106"/>
        <v>2205</v>
      </c>
      <c r="V191" s="182">
        <f t="shared" si="89"/>
        <v>0.02</v>
      </c>
      <c r="W191" s="180">
        <f>Parameters!$D$12</f>
        <v>5.0000000000000001E-3</v>
      </c>
      <c r="X191" s="182">
        <f t="shared" si="90"/>
        <v>2.5000000000000001E-2</v>
      </c>
      <c r="Y191" s="182">
        <f t="shared" si="107"/>
        <v>99.560212947900752</v>
      </c>
      <c r="AA191" s="189"/>
      <c r="AB191" s="184">
        <f t="shared" ca="1" si="108"/>
        <v>2205</v>
      </c>
      <c r="AC191" s="171">
        <f t="shared" si="91"/>
        <v>49780.106473950378</v>
      </c>
      <c r="AD191" s="171">
        <f t="shared" si="87"/>
        <v>8927.5714216829947</v>
      </c>
      <c r="AE191" s="171">
        <f t="shared" si="117"/>
        <v>27543.388330281028</v>
      </c>
      <c r="AF191" s="171">
        <f t="shared" si="109"/>
        <v>8927.5714216829947</v>
      </c>
      <c r="AG191" s="171">
        <f t="shared" si="119"/>
        <v>19997.400000000001</v>
      </c>
      <c r="AH191" s="171">
        <f t="shared" si="92"/>
        <v>19997.400000000001</v>
      </c>
      <c r="AI191" s="171">
        <f t="shared" si="93"/>
        <v>8927.5714216829947</v>
      </c>
      <c r="AJ191" s="171">
        <f>IF('Invoer gegevens'!$I$27="DAEB",SMALL(AC191:AD191,1),AC191)</f>
        <v>8927.5714216829947</v>
      </c>
      <c r="AK191" s="171">
        <f>IF('Invoer gegevens'!$I$27="DAEB",SMALL((AE191:AH191),1),SMALL((AF191:AH191),1))</f>
        <v>8927.5714216829947</v>
      </c>
      <c r="AL191" s="171">
        <f t="shared" si="114"/>
        <v>0</v>
      </c>
      <c r="AM191" s="171">
        <f t="shared" si="115"/>
        <v>0</v>
      </c>
      <c r="AN191" s="175">
        <f t="shared" si="110"/>
        <v>1260669</v>
      </c>
      <c r="AP191" s="184">
        <f t="shared" ca="1" si="111"/>
        <v>2205</v>
      </c>
      <c r="AQ191" s="185">
        <f t="shared" si="94"/>
        <v>0.02</v>
      </c>
      <c r="AR191" s="182">
        <f t="shared" si="126"/>
        <v>39.956344599476573</v>
      </c>
      <c r="AU191" s="184">
        <f t="shared" ca="1" si="112"/>
        <v>2205</v>
      </c>
      <c r="AV191" s="182">
        <f t="shared" si="95"/>
        <v>0.02</v>
      </c>
      <c r="AW191" s="179">
        <f t="shared" si="96"/>
        <v>5.0000000000000001E-3</v>
      </c>
      <c r="AX191" s="182">
        <f t="shared" si="97"/>
        <v>2.5000000000000001E-2</v>
      </c>
      <c r="AY191" s="186"/>
      <c r="AZ191" s="190"/>
      <c r="BA191" s="184">
        <f t="shared" ca="1" si="113"/>
        <v>2205</v>
      </c>
      <c r="BB191" s="171">
        <f t="shared" si="98"/>
        <v>49780.4</v>
      </c>
      <c r="BC191" s="171">
        <f t="shared" si="88"/>
        <v>27543.388330281028</v>
      </c>
      <c r="BD191" s="171">
        <f t="shared" si="124"/>
        <v>19997.400000000001</v>
      </c>
      <c r="BE191" s="171">
        <f t="shared" si="124"/>
        <v>8927.5714216829947</v>
      </c>
      <c r="BF191" s="171">
        <f t="shared" si="124"/>
        <v>8927.5714216829947</v>
      </c>
      <c r="BG191" s="171">
        <f t="shared" si="123"/>
        <v>8927.5714216829947</v>
      </c>
      <c r="BI191" s="187">
        <f>IF(A191-'Invoer gegevens'!$C$17&lt;0,0,IF(A191-'Invoer gegevens'!$C$17=0,1,IF(A191-'Invoer gegevens'!$C$17&lt;5,2,IF(A191-'Invoer gegevens'!$C$17&lt;15,3,4))))</f>
        <v>0</v>
      </c>
      <c r="BJ191" s="229">
        <f>IF(BI191&lt;1,0,IF(BI191&lt;2,4%,IF(Reeksen!BI191&lt;3,4%,IF(Reeksen!BI191&lt;4,4%*70%,IF(Reeksen!BI191&lt;5,4%*50%)))))</f>
        <v>0</v>
      </c>
      <c r="BK191" s="243"/>
      <c r="BL191" s="243"/>
      <c r="BM191" s="243"/>
      <c r="BN191" s="243"/>
      <c r="BO191" s="243"/>
      <c r="BP191" s="243"/>
      <c r="BQ191" s="243"/>
      <c r="BR191" s="243"/>
    </row>
    <row r="192" spans="1:70" x14ac:dyDescent="0.25">
      <c r="A192" s="184">
        <f t="shared" si="99"/>
        <v>187</v>
      </c>
      <c r="B192" s="179">
        <f>Dashboard!$C$25</f>
        <v>0.05</v>
      </c>
      <c r="C192" s="179">
        <f>Dashboard!$C$25</f>
        <v>0.05</v>
      </c>
      <c r="D192" s="179">
        <f>Dashboard!$C$25</f>
        <v>0.05</v>
      </c>
      <c r="E192" s="189"/>
      <c r="F192" s="184">
        <f t="shared" ca="1" si="100"/>
        <v>2206</v>
      </c>
      <c r="G192" s="179">
        <f t="shared" si="120"/>
        <v>0.02</v>
      </c>
      <c r="H192" s="182">
        <f t="shared" si="101"/>
        <v>40.795071371894537</v>
      </c>
      <c r="I192" s="179">
        <f t="shared" si="121"/>
        <v>2.5000000000000001E-2</v>
      </c>
      <c r="J192" s="182">
        <f t="shared" si="102"/>
        <v>101.94872664872946</v>
      </c>
      <c r="K192" s="179">
        <f t="shared" si="122"/>
        <v>2.5000000000000001E-2</v>
      </c>
      <c r="L192" s="182">
        <f t="shared" si="103"/>
        <v>101.94872664872946</v>
      </c>
      <c r="M192" s="189"/>
      <c r="N192" s="184">
        <f t="shared" ca="1" si="104"/>
        <v>2206</v>
      </c>
      <c r="O192" s="179">
        <f t="shared" si="116"/>
        <v>0.02</v>
      </c>
      <c r="P192" s="182">
        <f t="shared" si="125"/>
        <v>40.755471491466103</v>
      </c>
      <c r="R192" s="184">
        <f t="shared" ca="1" si="105"/>
        <v>2206</v>
      </c>
      <c r="S192" s="188">
        <f t="shared" si="118"/>
        <v>5.3600000000000002E-3</v>
      </c>
      <c r="U192" s="184">
        <f t="shared" ca="1" si="106"/>
        <v>2206</v>
      </c>
      <c r="V192" s="182">
        <f t="shared" si="89"/>
        <v>0.02</v>
      </c>
      <c r="W192" s="180">
        <f>Parameters!$D$12</f>
        <v>5.0000000000000001E-3</v>
      </c>
      <c r="X192" s="182">
        <f t="shared" si="90"/>
        <v>2.5000000000000001E-2</v>
      </c>
      <c r="Y192" s="182">
        <f t="shared" si="107"/>
        <v>102.04921827159826</v>
      </c>
      <c r="AA192" s="189"/>
      <c r="AB192" s="184">
        <f t="shared" ca="1" si="108"/>
        <v>2206</v>
      </c>
      <c r="AC192" s="171">
        <f t="shared" si="91"/>
        <v>51024.609135799132</v>
      </c>
      <c r="AD192" s="171">
        <f t="shared" si="87"/>
        <v>9106.1228501166552</v>
      </c>
      <c r="AE192" s="171">
        <f t="shared" si="117"/>
        <v>28094.256096886649</v>
      </c>
      <c r="AF192" s="171">
        <f t="shared" si="109"/>
        <v>9106.1228501166552</v>
      </c>
      <c r="AG192" s="171">
        <f t="shared" si="119"/>
        <v>20397.349999999999</v>
      </c>
      <c r="AH192" s="171">
        <f t="shared" si="92"/>
        <v>20397.349999999999</v>
      </c>
      <c r="AI192" s="171">
        <f t="shared" si="93"/>
        <v>9106.1228501166552</v>
      </c>
      <c r="AJ192" s="171">
        <f>IF('Invoer gegevens'!$I$27="DAEB",SMALL(AC192:AD192,1),AC192)</f>
        <v>9106.1228501166552</v>
      </c>
      <c r="AK192" s="171">
        <f>IF('Invoer gegevens'!$I$27="DAEB",SMALL((AE192:AH192),1),SMALL((AF192:AH192),1))</f>
        <v>9106.1228501166552</v>
      </c>
      <c r="AL192" s="171">
        <f t="shared" si="114"/>
        <v>0</v>
      </c>
      <c r="AM192" s="171">
        <f t="shared" si="115"/>
        <v>0</v>
      </c>
      <c r="AN192" s="175">
        <f t="shared" si="110"/>
        <v>1285882</v>
      </c>
      <c r="AP192" s="184">
        <f t="shared" ca="1" si="111"/>
        <v>2206</v>
      </c>
      <c r="AQ192" s="185">
        <f t="shared" si="94"/>
        <v>0.02</v>
      </c>
      <c r="AR192" s="182">
        <f t="shared" si="126"/>
        <v>40.755471491466103</v>
      </c>
      <c r="AU192" s="184">
        <f t="shared" ca="1" si="112"/>
        <v>2206</v>
      </c>
      <c r="AV192" s="182">
        <f t="shared" si="95"/>
        <v>0.02</v>
      </c>
      <c r="AW192" s="179">
        <f t="shared" si="96"/>
        <v>5.0000000000000001E-3</v>
      </c>
      <c r="AX192" s="182">
        <f t="shared" si="97"/>
        <v>2.5000000000000001E-2</v>
      </c>
      <c r="AY192" s="186"/>
      <c r="AZ192" s="190"/>
      <c r="BA192" s="184">
        <f t="shared" ca="1" si="113"/>
        <v>2206</v>
      </c>
      <c r="BB192" s="171">
        <f t="shared" si="98"/>
        <v>51024.91</v>
      </c>
      <c r="BC192" s="171">
        <f t="shared" si="88"/>
        <v>28094.256096886649</v>
      </c>
      <c r="BD192" s="171">
        <f t="shared" si="124"/>
        <v>20397.349999999999</v>
      </c>
      <c r="BE192" s="171">
        <f t="shared" si="124"/>
        <v>9106.1228501166552</v>
      </c>
      <c r="BF192" s="171">
        <f t="shared" si="124"/>
        <v>9106.1228501166552</v>
      </c>
      <c r="BG192" s="171">
        <f t="shared" si="123"/>
        <v>9106.1228501166552</v>
      </c>
      <c r="BI192" s="187">
        <f>IF(A192-'Invoer gegevens'!$C$17&lt;0,0,IF(A192-'Invoer gegevens'!$C$17=0,1,IF(A192-'Invoer gegevens'!$C$17&lt;5,2,IF(A192-'Invoer gegevens'!$C$17&lt;15,3,4))))</f>
        <v>0</v>
      </c>
      <c r="BJ192" s="229">
        <f>IF(BI192&lt;1,0,IF(BI192&lt;2,4%,IF(Reeksen!BI192&lt;3,4%,IF(Reeksen!BI192&lt;4,4%*70%,IF(Reeksen!BI192&lt;5,4%*50%)))))</f>
        <v>0</v>
      </c>
      <c r="BK192" s="243"/>
      <c r="BL192" s="243"/>
      <c r="BM192" s="243"/>
      <c r="BN192" s="243"/>
      <c r="BO192" s="243"/>
      <c r="BP192" s="243"/>
      <c r="BQ192" s="243"/>
      <c r="BR192" s="243"/>
    </row>
    <row r="193" spans="1:70" x14ac:dyDescent="0.25">
      <c r="A193" s="184">
        <f t="shared" si="99"/>
        <v>188</v>
      </c>
      <c r="B193" s="179">
        <f>Dashboard!$C$25</f>
        <v>0.05</v>
      </c>
      <c r="C193" s="179">
        <f>Dashboard!$C$25</f>
        <v>0.05</v>
      </c>
      <c r="D193" s="179">
        <f>Dashboard!$C$25</f>
        <v>0.05</v>
      </c>
      <c r="E193" s="189"/>
      <c r="F193" s="184">
        <f t="shared" ca="1" si="100"/>
        <v>2207</v>
      </c>
      <c r="G193" s="179">
        <f t="shared" si="120"/>
        <v>0.02</v>
      </c>
      <c r="H193" s="182">
        <f t="shared" si="101"/>
        <v>41.61097279933243</v>
      </c>
      <c r="I193" s="179">
        <f t="shared" si="121"/>
        <v>2.5000000000000001E-2</v>
      </c>
      <c r="J193" s="182">
        <f t="shared" si="102"/>
        <v>104.49744481494768</v>
      </c>
      <c r="K193" s="179">
        <f t="shared" si="122"/>
        <v>2.5000000000000001E-2</v>
      </c>
      <c r="L193" s="182">
        <f t="shared" si="103"/>
        <v>104.49744481494768</v>
      </c>
      <c r="M193" s="189"/>
      <c r="N193" s="184">
        <f t="shared" ca="1" si="104"/>
        <v>2207</v>
      </c>
      <c r="O193" s="179">
        <f t="shared" si="116"/>
        <v>0.02</v>
      </c>
      <c r="P193" s="182">
        <f t="shared" si="125"/>
        <v>41.570580921295424</v>
      </c>
      <c r="R193" s="184">
        <f t="shared" ca="1" si="105"/>
        <v>2207</v>
      </c>
      <c r="S193" s="188">
        <f t="shared" si="118"/>
        <v>5.3600000000000002E-3</v>
      </c>
      <c r="U193" s="184">
        <f t="shared" ca="1" si="106"/>
        <v>2207</v>
      </c>
      <c r="V193" s="182">
        <f t="shared" si="89"/>
        <v>0.02</v>
      </c>
      <c r="W193" s="180">
        <f>Parameters!$D$12</f>
        <v>5.0000000000000001E-3</v>
      </c>
      <c r="X193" s="182">
        <f t="shared" si="90"/>
        <v>2.5000000000000001E-2</v>
      </c>
      <c r="Y193" s="182">
        <f t="shared" si="107"/>
        <v>104.60044872838822</v>
      </c>
      <c r="AA193" s="189"/>
      <c r="AB193" s="184">
        <f t="shared" ca="1" si="108"/>
        <v>2207</v>
      </c>
      <c r="AC193" s="171">
        <f t="shared" si="91"/>
        <v>52300.22436419411</v>
      </c>
      <c r="AD193" s="171">
        <f t="shared" si="87"/>
        <v>9288.2453071189884</v>
      </c>
      <c r="AE193" s="171">
        <f t="shared" si="117"/>
        <v>28656.141218824381</v>
      </c>
      <c r="AF193" s="171">
        <f t="shared" si="109"/>
        <v>9288.2453071189884</v>
      </c>
      <c r="AG193" s="171">
        <f t="shared" si="119"/>
        <v>20805.3</v>
      </c>
      <c r="AH193" s="171">
        <f t="shared" si="92"/>
        <v>20805.3</v>
      </c>
      <c r="AI193" s="171">
        <f t="shared" si="93"/>
        <v>9288.2453071189884</v>
      </c>
      <c r="AJ193" s="171">
        <f>IF('Invoer gegevens'!$I$27="DAEB",SMALL(AC193:AD193,1),AC193)</f>
        <v>9288.2453071189884</v>
      </c>
      <c r="AK193" s="171">
        <f>IF('Invoer gegevens'!$I$27="DAEB",SMALL((AE193:AH193),1),SMALL((AF193:AH193),1))</f>
        <v>9288.2453071189884</v>
      </c>
      <c r="AL193" s="171">
        <f t="shared" si="114"/>
        <v>0</v>
      </c>
      <c r="AM193" s="171">
        <f t="shared" si="115"/>
        <v>0</v>
      </c>
      <c r="AN193" s="175">
        <f t="shared" si="110"/>
        <v>1311600</v>
      </c>
      <c r="AP193" s="184">
        <f t="shared" ca="1" si="111"/>
        <v>2207</v>
      </c>
      <c r="AQ193" s="185">
        <f t="shared" si="94"/>
        <v>0.02</v>
      </c>
      <c r="AR193" s="182">
        <f t="shared" si="126"/>
        <v>41.570580921295424</v>
      </c>
      <c r="AU193" s="184">
        <f t="shared" ca="1" si="112"/>
        <v>2207</v>
      </c>
      <c r="AV193" s="182">
        <f t="shared" si="95"/>
        <v>0.02</v>
      </c>
      <c r="AW193" s="179">
        <f t="shared" si="96"/>
        <v>5.0000000000000001E-3</v>
      </c>
      <c r="AX193" s="182">
        <f t="shared" si="97"/>
        <v>2.5000000000000001E-2</v>
      </c>
      <c r="AY193" s="186"/>
      <c r="AZ193" s="190"/>
      <c r="BA193" s="184">
        <f t="shared" ca="1" si="113"/>
        <v>2207</v>
      </c>
      <c r="BB193" s="171">
        <f t="shared" si="98"/>
        <v>52300.53</v>
      </c>
      <c r="BC193" s="171">
        <f t="shared" si="88"/>
        <v>28656.141218824381</v>
      </c>
      <c r="BD193" s="171">
        <f t="shared" si="124"/>
        <v>20805.3</v>
      </c>
      <c r="BE193" s="171">
        <f t="shared" si="124"/>
        <v>9288.2453071189884</v>
      </c>
      <c r="BF193" s="171">
        <f t="shared" si="124"/>
        <v>9288.2453071189884</v>
      </c>
      <c r="BG193" s="171">
        <f t="shared" si="123"/>
        <v>9288.2453071189884</v>
      </c>
      <c r="BI193" s="187">
        <f>IF(A193-'Invoer gegevens'!$C$17&lt;0,0,IF(A193-'Invoer gegevens'!$C$17=0,1,IF(A193-'Invoer gegevens'!$C$17&lt;5,2,IF(A193-'Invoer gegevens'!$C$17&lt;15,3,4))))</f>
        <v>0</v>
      </c>
      <c r="BJ193" s="229">
        <f>IF(BI193&lt;1,0,IF(BI193&lt;2,4%,IF(Reeksen!BI193&lt;3,4%,IF(Reeksen!BI193&lt;4,4%*70%,IF(Reeksen!BI193&lt;5,4%*50%)))))</f>
        <v>0</v>
      </c>
      <c r="BK193" s="243"/>
      <c r="BL193" s="243"/>
      <c r="BM193" s="243"/>
      <c r="BN193" s="243"/>
      <c r="BO193" s="243"/>
      <c r="BP193" s="243"/>
      <c r="BQ193" s="243"/>
      <c r="BR193" s="243"/>
    </row>
    <row r="194" spans="1:70" x14ac:dyDescent="0.25">
      <c r="A194" s="184">
        <f t="shared" si="99"/>
        <v>189</v>
      </c>
      <c r="B194" s="179">
        <f>Dashboard!$C$25</f>
        <v>0.05</v>
      </c>
      <c r="C194" s="179">
        <f>Dashboard!$C$25</f>
        <v>0.05</v>
      </c>
      <c r="D194" s="179">
        <f>Dashboard!$C$25</f>
        <v>0.05</v>
      </c>
      <c r="E194" s="189"/>
      <c r="F194" s="184">
        <f t="shared" ca="1" si="100"/>
        <v>2208</v>
      </c>
      <c r="G194" s="179">
        <f t="shared" si="120"/>
        <v>0.02</v>
      </c>
      <c r="H194" s="182">
        <f t="shared" si="101"/>
        <v>42.443192255319076</v>
      </c>
      <c r="I194" s="179">
        <f t="shared" si="121"/>
        <v>2.5000000000000001E-2</v>
      </c>
      <c r="J194" s="182">
        <f t="shared" si="102"/>
        <v>107.10988093532137</v>
      </c>
      <c r="K194" s="179">
        <f t="shared" si="122"/>
        <v>2.5000000000000001E-2</v>
      </c>
      <c r="L194" s="182">
        <f t="shared" si="103"/>
        <v>107.10988093532137</v>
      </c>
      <c r="M194" s="189"/>
      <c r="N194" s="184">
        <f t="shared" ca="1" si="104"/>
        <v>2208</v>
      </c>
      <c r="O194" s="179">
        <f t="shared" si="116"/>
        <v>0.02</v>
      </c>
      <c r="P194" s="182">
        <f t="shared" si="125"/>
        <v>42.401992539721334</v>
      </c>
      <c r="R194" s="184">
        <f t="shared" ca="1" si="105"/>
        <v>2208</v>
      </c>
      <c r="S194" s="188">
        <f t="shared" si="118"/>
        <v>5.3600000000000002E-3</v>
      </c>
      <c r="U194" s="184">
        <f t="shared" ca="1" si="106"/>
        <v>2208</v>
      </c>
      <c r="V194" s="182">
        <f t="shared" si="89"/>
        <v>0.02</v>
      </c>
      <c r="W194" s="180">
        <f>Parameters!$D$12</f>
        <v>5.0000000000000001E-3</v>
      </c>
      <c r="X194" s="182">
        <f t="shared" si="90"/>
        <v>2.5000000000000001E-2</v>
      </c>
      <c r="Y194" s="182">
        <f t="shared" si="107"/>
        <v>107.21545994659792</v>
      </c>
      <c r="AA194" s="189"/>
      <c r="AB194" s="184">
        <f t="shared" ca="1" si="108"/>
        <v>2208</v>
      </c>
      <c r="AC194" s="171">
        <f t="shared" si="91"/>
        <v>53607.729973298956</v>
      </c>
      <c r="AD194" s="171">
        <f t="shared" si="87"/>
        <v>9474.0102132613683</v>
      </c>
      <c r="AE194" s="171">
        <f t="shared" si="117"/>
        <v>29229.26404320087</v>
      </c>
      <c r="AF194" s="171">
        <f t="shared" si="109"/>
        <v>9474.0102132613683</v>
      </c>
      <c r="AG194" s="171">
        <f t="shared" si="119"/>
        <v>21221.41</v>
      </c>
      <c r="AH194" s="171">
        <f t="shared" si="92"/>
        <v>21221.41</v>
      </c>
      <c r="AI194" s="171">
        <f t="shared" si="93"/>
        <v>9474.0102132613683</v>
      </c>
      <c r="AJ194" s="171">
        <f>IF('Invoer gegevens'!$I$27="DAEB",SMALL(AC194:AD194,1),AC194)</f>
        <v>9474.0102132613683</v>
      </c>
      <c r="AK194" s="171">
        <f>IF('Invoer gegevens'!$I$27="DAEB",SMALL((AE194:AH194),1),SMALL((AF194:AH194),1))</f>
        <v>9474.0102132613683</v>
      </c>
      <c r="AL194" s="171">
        <f t="shared" si="114"/>
        <v>0</v>
      </c>
      <c r="AM194" s="171">
        <f t="shared" si="115"/>
        <v>0</v>
      </c>
      <c r="AN194" s="175">
        <f t="shared" si="110"/>
        <v>1337832</v>
      </c>
      <c r="AP194" s="184">
        <f t="shared" ca="1" si="111"/>
        <v>2208</v>
      </c>
      <c r="AQ194" s="185">
        <f t="shared" si="94"/>
        <v>0.02</v>
      </c>
      <c r="AR194" s="182">
        <f t="shared" si="126"/>
        <v>42.401992539721334</v>
      </c>
      <c r="AU194" s="184">
        <f t="shared" ca="1" si="112"/>
        <v>2208</v>
      </c>
      <c r="AV194" s="182">
        <f t="shared" si="95"/>
        <v>0.02</v>
      </c>
      <c r="AW194" s="179">
        <f t="shared" si="96"/>
        <v>5.0000000000000001E-3</v>
      </c>
      <c r="AX194" s="182">
        <f t="shared" si="97"/>
        <v>2.5000000000000001E-2</v>
      </c>
      <c r="AY194" s="186"/>
      <c r="AZ194" s="190"/>
      <c r="BA194" s="184">
        <f t="shared" ca="1" si="113"/>
        <v>2208</v>
      </c>
      <c r="BB194" s="171">
        <f t="shared" si="98"/>
        <v>53608.04</v>
      </c>
      <c r="BC194" s="171">
        <f t="shared" si="88"/>
        <v>29229.26404320087</v>
      </c>
      <c r="BD194" s="171">
        <f t="shared" si="124"/>
        <v>21221.41</v>
      </c>
      <c r="BE194" s="171">
        <f t="shared" si="124"/>
        <v>9474.0102132613683</v>
      </c>
      <c r="BF194" s="171">
        <f t="shared" si="124"/>
        <v>9474.0102132613683</v>
      </c>
      <c r="BG194" s="171">
        <f t="shared" si="123"/>
        <v>9474.0102132613683</v>
      </c>
      <c r="BI194" s="187">
        <f>IF(A194-'Invoer gegevens'!$C$17&lt;0,0,IF(A194-'Invoer gegevens'!$C$17=0,1,IF(A194-'Invoer gegevens'!$C$17&lt;5,2,IF(A194-'Invoer gegevens'!$C$17&lt;15,3,4))))</f>
        <v>0</v>
      </c>
      <c r="BJ194" s="229">
        <f>IF(BI194&lt;1,0,IF(BI194&lt;2,4%,IF(Reeksen!BI194&lt;3,4%,IF(Reeksen!BI194&lt;4,4%*70%,IF(Reeksen!BI194&lt;5,4%*50%)))))</f>
        <v>0</v>
      </c>
      <c r="BK194" s="243"/>
      <c r="BL194" s="243"/>
      <c r="BM194" s="243"/>
      <c r="BN194" s="243"/>
      <c r="BO194" s="243"/>
      <c r="BP194" s="243"/>
      <c r="BQ194" s="243"/>
      <c r="BR194" s="243"/>
    </row>
    <row r="195" spans="1:70" x14ac:dyDescent="0.25">
      <c r="A195" s="184">
        <f t="shared" si="99"/>
        <v>190</v>
      </c>
      <c r="B195" s="179">
        <f>Dashboard!$C$25</f>
        <v>0.05</v>
      </c>
      <c r="C195" s="179">
        <f>Dashboard!$C$25</f>
        <v>0.05</v>
      </c>
      <c r="D195" s="179">
        <f>Dashboard!$C$25</f>
        <v>0.05</v>
      </c>
      <c r="E195" s="189"/>
      <c r="F195" s="184">
        <f t="shared" ca="1" si="100"/>
        <v>2209</v>
      </c>
      <c r="G195" s="179">
        <f t="shared" si="120"/>
        <v>0.02</v>
      </c>
      <c r="H195" s="182">
        <f t="shared" si="101"/>
        <v>43.292056100425455</v>
      </c>
      <c r="I195" s="179">
        <f t="shared" si="121"/>
        <v>2.5000000000000001E-2</v>
      </c>
      <c r="J195" s="182">
        <f t="shared" si="102"/>
        <v>109.78762795870439</v>
      </c>
      <c r="K195" s="179">
        <f t="shared" si="122"/>
        <v>2.5000000000000001E-2</v>
      </c>
      <c r="L195" s="182">
        <f t="shared" si="103"/>
        <v>109.78762795870439</v>
      </c>
      <c r="M195" s="189"/>
      <c r="N195" s="184">
        <f t="shared" ca="1" si="104"/>
        <v>2209</v>
      </c>
      <c r="O195" s="179">
        <f t="shared" si="116"/>
        <v>0.02</v>
      </c>
      <c r="P195" s="182">
        <f t="shared" si="125"/>
        <v>43.250032390515763</v>
      </c>
      <c r="R195" s="184">
        <f t="shared" ca="1" si="105"/>
        <v>2209</v>
      </c>
      <c r="S195" s="188">
        <f t="shared" si="118"/>
        <v>5.3600000000000002E-3</v>
      </c>
      <c r="U195" s="184">
        <f t="shared" ca="1" si="106"/>
        <v>2209</v>
      </c>
      <c r="V195" s="182">
        <f t="shared" si="89"/>
        <v>0.02</v>
      </c>
      <c r="W195" s="180">
        <f>Parameters!$D$12</f>
        <v>5.0000000000000001E-3</v>
      </c>
      <c r="X195" s="182">
        <f t="shared" si="90"/>
        <v>2.5000000000000001E-2</v>
      </c>
      <c r="Y195" s="182">
        <f t="shared" si="107"/>
        <v>109.89584644526286</v>
      </c>
      <c r="AA195" s="189"/>
      <c r="AB195" s="184">
        <f t="shared" ca="1" si="108"/>
        <v>2209</v>
      </c>
      <c r="AC195" s="171">
        <f t="shared" si="91"/>
        <v>54947.923222631434</v>
      </c>
      <c r="AD195" s="171">
        <f t="shared" si="87"/>
        <v>9663.4904175265947</v>
      </c>
      <c r="AE195" s="171">
        <f t="shared" si="117"/>
        <v>29813.84932406489</v>
      </c>
      <c r="AF195" s="171">
        <f t="shared" si="109"/>
        <v>9663.4904175265947</v>
      </c>
      <c r="AG195" s="171">
        <f t="shared" si="119"/>
        <v>21645.84</v>
      </c>
      <c r="AH195" s="171">
        <f t="shared" si="92"/>
        <v>21645.84</v>
      </c>
      <c r="AI195" s="171">
        <f t="shared" si="93"/>
        <v>9663.4904175265947</v>
      </c>
      <c r="AJ195" s="171">
        <f>IF('Invoer gegevens'!$I$27="DAEB",SMALL(AC195:AD195,1),AC195)</f>
        <v>9663.4904175265947</v>
      </c>
      <c r="AK195" s="171">
        <f>IF('Invoer gegevens'!$I$27="DAEB",SMALL((AE195:AH195),1),SMALL((AF195:AH195),1))</f>
        <v>9663.4904175265947</v>
      </c>
      <c r="AL195" s="171">
        <f t="shared" si="114"/>
        <v>0</v>
      </c>
      <c r="AM195" s="171">
        <f t="shared" si="115"/>
        <v>0</v>
      </c>
      <c r="AN195" s="175">
        <f t="shared" si="110"/>
        <v>1364589</v>
      </c>
      <c r="AP195" s="184">
        <f t="shared" ca="1" si="111"/>
        <v>2209</v>
      </c>
      <c r="AQ195" s="185">
        <f t="shared" si="94"/>
        <v>0.02</v>
      </c>
      <c r="AR195" s="182">
        <f t="shared" si="126"/>
        <v>43.250032390515763</v>
      </c>
      <c r="AU195" s="184">
        <f t="shared" ca="1" si="112"/>
        <v>2209</v>
      </c>
      <c r="AV195" s="182">
        <f t="shared" si="95"/>
        <v>0.02</v>
      </c>
      <c r="AW195" s="179">
        <f t="shared" si="96"/>
        <v>5.0000000000000001E-3</v>
      </c>
      <c r="AX195" s="182">
        <f t="shared" si="97"/>
        <v>2.5000000000000001E-2</v>
      </c>
      <c r="AY195" s="186"/>
      <c r="AZ195" s="190"/>
      <c r="BA195" s="184">
        <f t="shared" ca="1" si="113"/>
        <v>2209</v>
      </c>
      <c r="BB195" s="171">
        <f t="shared" si="98"/>
        <v>54948.24</v>
      </c>
      <c r="BC195" s="171">
        <f t="shared" si="88"/>
        <v>29813.84932406489</v>
      </c>
      <c r="BD195" s="171">
        <f t="shared" si="124"/>
        <v>21645.84</v>
      </c>
      <c r="BE195" s="171">
        <f t="shared" si="124"/>
        <v>9663.4904175265947</v>
      </c>
      <c r="BF195" s="171">
        <f t="shared" si="124"/>
        <v>9663.4904175265947</v>
      </c>
      <c r="BG195" s="171">
        <f t="shared" si="123"/>
        <v>9663.4904175265947</v>
      </c>
      <c r="BI195" s="187">
        <f>IF(A195-'Invoer gegevens'!$C$17&lt;0,0,IF(A195-'Invoer gegevens'!$C$17=0,1,IF(A195-'Invoer gegevens'!$C$17&lt;5,2,IF(A195-'Invoer gegevens'!$C$17&lt;15,3,4))))</f>
        <v>0</v>
      </c>
      <c r="BJ195" s="229">
        <f>IF(BI195&lt;1,0,IF(BI195&lt;2,4%,IF(Reeksen!BI195&lt;3,4%,IF(Reeksen!BI195&lt;4,4%*70%,IF(Reeksen!BI195&lt;5,4%*50%)))))</f>
        <v>0</v>
      </c>
      <c r="BK195" s="243"/>
      <c r="BL195" s="243"/>
      <c r="BM195" s="243"/>
      <c r="BN195" s="243"/>
      <c r="BO195" s="243"/>
      <c r="BP195" s="243"/>
      <c r="BQ195" s="243"/>
      <c r="BR195" s="243"/>
    </row>
    <row r="196" spans="1:70" x14ac:dyDescent="0.25">
      <c r="A196" s="184">
        <f t="shared" si="99"/>
        <v>191</v>
      </c>
      <c r="B196" s="179">
        <f>Dashboard!$C$25</f>
        <v>0.05</v>
      </c>
      <c r="C196" s="179">
        <f>Dashboard!$C$25</f>
        <v>0.05</v>
      </c>
      <c r="D196" s="179">
        <f>Dashboard!$C$25</f>
        <v>0.05</v>
      </c>
      <c r="E196" s="189"/>
      <c r="F196" s="184">
        <f t="shared" ca="1" si="100"/>
        <v>2210</v>
      </c>
      <c r="G196" s="179">
        <f t="shared" si="120"/>
        <v>0.02</v>
      </c>
      <c r="H196" s="182">
        <f t="shared" si="101"/>
        <v>44.157897222433967</v>
      </c>
      <c r="I196" s="179">
        <f t="shared" si="121"/>
        <v>2.5000000000000001E-2</v>
      </c>
      <c r="J196" s="182">
        <f t="shared" si="102"/>
        <v>112.53231865767199</v>
      </c>
      <c r="K196" s="179">
        <f t="shared" si="122"/>
        <v>2.5000000000000001E-2</v>
      </c>
      <c r="L196" s="182">
        <f t="shared" si="103"/>
        <v>112.53231865767199</v>
      </c>
      <c r="M196" s="189"/>
      <c r="N196" s="184">
        <f t="shared" ca="1" si="104"/>
        <v>2210</v>
      </c>
      <c r="O196" s="179">
        <f t="shared" si="116"/>
        <v>0.02</v>
      </c>
      <c r="P196" s="182">
        <f t="shared" si="125"/>
        <v>44.115033038326082</v>
      </c>
      <c r="R196" s="184">
        <f t="shared" ca="1" si="105"/>
        <v>2210</v>
      </c>
      <c r="S196" s="188">
        <f t="shared" si="118"/>
        <v>5.3600000000000002E-3</v>
      </c>
      <c r="U196" s="184">
        <f t="shared" ca="1" si="106"/>
        <v>2210</v>
      </c>
      <c r="V196" s="182">
        <f t="shared" si="89"/>
        <v>0.02</v>
      </c>
      <c r="W196" s="180">
        <f>Parameters!$D$12</f>
        <v>5.0000000000000001E-3</v>
      </c>
      <c r="X196" s="182">
        <f t="shared" si="90"/>
        <v>2.5000000000000001E-2</v>
      </c>
      <c r="Y196" s="182">
        <f t="shared" si="107"/>
        <v>112.64324260639442</v>
      </c>
      <c r="AA196" s="189"/>
      <c r="AB196" s="184">
        <f t="shared" ca="1" si="108"/>
        <v>2210</v>
      </c>
      <c r="AC196" s="171">
        <f t="shared" si="91"/>
        <v>56321.621303197215</v>
      </c>
      <c r="AD196" s="171">
        <f t="shared" si="87"/>
        <v>9856.7602258771276</v>
      </c>
      <c r="AE196" s="171">
        <f t="shared" si="117"/>
        <v>30410.126310546188</v>
      </c>
      <c r="AF196" s="171">
        <f t="shared" si="109"/>
        <v>9856.7602258771276</v>
      </c>
      <c r="AG196" s="171">
        <f t="shared" si="119"/>
        <v>22078.76</v>
      </c>
      <c r="AH196" s="171">
        <f t="shared" si="92"/>
        <v>22078.76</v>
      </c>
      <c r="AI196" s="171">
        <f t="shared" si="93"/>
        <v>9856.7602258771276</v>
      </c>
      <c r="AJ196" s="171">
        <f>IF('Invoer gegevens'!$I$27="DAEB",SMALL(AC196:AD196,1),AC196)</f>
        <v>9856.7602258771276</v>
      </c>
      <c r="AK196" s="171">
        <f>IF('Invoer gegevens'!$I$27="DAEB",SMALL((AE196:AH196),1),SMALL((AF196:AH196),1))</f>
        <v>9856.7602258771276</v>
      </c>
      <c r="AL196" s="171">
        <f t="shared" si="114"/>
        <v>0</v>
      </c>
      <c r="AM196" s="171">
        <f t="shared" si="115"/>
        <v>0</v>
      </c>
      <c r="AN196" s="175">
        <f t="shared" si="110"/>
        <v>1391881</v>
      </c>
      <c r="AP196" s="184">
        <f t="shared" ca="1" si="111"/>
        <v>2210</v>
      </c>
      <c r="AQ196" s="185">
        <f t="shared" si="94"/>
        <v>0.02</v>
      </c>
      <c r="AR196" s="182">
        <f t="shared" si="126"/>
        <v>44.115033038326082</v>
      </c>
      <c r="AU196" s="184">
        <f t="shared" ca="1" si="112"/>
        <v>2210</v>
      </c>
      <c r="AV196" s="182">
        <f t="shared" si="95"/>
        <v>0.02</v>
      </c>
      <c r="AW196" s="179">
        <f t="shared" si="96"/>
        <v>5.0000000000000001E-3</v>
      </c>
      <c r="AX196" s="182">
        <f t="shared" si="97"/>
        <v>2.5000000000000001E-2</v>
      </c>
      <c r="AY196" s="186"/>
      <c r="AZ196" s="190"/>
      <c r="BA196" s="184">
        <f t="shared" ca="1" si="113"/>
        <v>2210</v>
      </c>
      <c r="BB196" s="171">
        <f t="shared" si="98"/>
        <v>56321.95</v>
      </c>
      <c r="BC196" s="171">
        <f t="shared" si="88"/>
        <v>30410.126310546188</v>
      </c>
      <c r="BD196" s="171">
        <f t="shared" si="124"/>
        <v>22078.76</v>
      </c>
      <c r="BE196" s="171">
        <f t="shared" si="124"/>
        <v>9856.7602258771276</v>
      </c>
      <c r="BF196" s="171">
        <f t="shared" si="124"/>
        <v>9856.7602258771276</v>
      </c>
      <c r="BG196" s="171">
        <f t="shared" si="123"/>
        <v>9856.7602258771276</v>
      </c>
      <c r="BI196" s="187">
        <f>IF(A196-'Invoer gegevens'!$C$17&lt;0,0,IF(A196-'Invoer gegevens'!$C$17=0,1,IF(A196-'Invoer gegevens'!$C$17&lt;5,2,IF(A196-'Invoer gegevens'!$C$17&lt;15,3,4))))</f>
        <v>0</v>
      </c>
      <c r="BJ196" s="229">
        <f>IF(BI196&lt;1,0,IF(BI196&lt;2,4%,IF(Reeksen!BI196&lt;3,4%,IF(Reeksen!BI196&lt;4,4%*70%,IF(Reeksen!BI196&lt;5,4%*50%)))))</f>
        <v>0</v>
      </c>
      <c r="BK196" s="243"/>
      <c r="BL196" s="243"/>
      <c r="BM196" s="243"/>
      <c r="BN196" s="243"/>
      <c r="BO196" s="243"/>
      <c r="BP196" s="243"/>
      <c r="BQ196" s="243"/>
      <c r="BR196" s="243"/>
    </row>
    <row r="197" spans="1:70" x14ac:dyDescent="0.25">
      <c r="A197" s="184">
        <f t="shared" si="99"/>
        <v>192</v>
      </c>
      <c r="B197" s="179">
        <f>Dashboard!$C$25</f>
        <v>0.05</v>
      </c>
      <c r="C197" s="179">
        <f>Dashboard!$C$25</f>
        <v>0.05</v>
      </c>
      <c r="D197" s="179">
        <f>Dashboard!$C$25</f>
        <v>0.05</v>
      </c>
      <c r="E197" s="189"/>
      <c r="F197" s="184">
        <f t="shared" ca="1" si="100"/>
        <v>2211</v>
      </c>
      <c r="G197" s="179">
        <f t="shared" si="120"/>
        <v>0.02</v>
      </c>
      <c r="H197" s="182">
        <f t="shared" si="101"/>
        <v>45.04105516688265</v>
      </c>
      <c r="I197" s="179">
        <f t="shared" si="121"/>
        <v>2.5000000000000001E-2</v>
      </c>
      <c r="J197" s="182">
        <f t="shared" si="102"/>
        <v>115.34562662411378</v>
      </c>
      <c r="K197" s="179">
        <f t="shared" si="122"/>
        <v>2.5000000000000001E-2</v>
      </c>
      <c r="L197" s="182">
        <f t="shared" si="103"/>
        <v>115.34562662411378</v>
      </c>
      <c r="M197" s="189"/>
      <c r="N197" s="184">
        <f t="shared" ca="1" si="104"/>
        <v>2211</v>
      </c>
      <c r="O197" s="179">
        <f t="shared" si="116"/>
        <v>0.02</v>
      </c>
      <c r="P197" s="182">
        <f t="shared" si="125"/>
        <v>44.997333699092607</v>
      </c>
      <c r="R197" s="184">
        <f t="shared" ca="1" si="105"/>
        <v>2211</v>
      </c>
      <c r="S197" s="188">
        <f t="shared" si="118"/>
        <v>5.3600000000000002E-3</v>
      </c>
      <c r="U197" s="184">
        <f t="shared" ca="1" si="106"/>
        <v>2211</v>
      </c>
      <c r="V197" s="182">
        <f t="shared" si="89"/>
        <v>0.02</v>
      </c>
      <c r="W197" s="180">
        <f>Parameters!$D$12</f>
        <v>5.0000000000000001E-3</v>
      </c>
      <c r="X197" s="182">
        <f t="shared" si="90"/>
        <v>2.5000000000000001E-2</v>
      </c>
      <c r="Y197" s="182">
        <f t="shared" si="107"/>
        <v>115.45932367155427</v>
      </c>
      <c r="AA197" s="189"/>
      <c r="AB197" s="184">
        <f t="shared" ca="1" si="108"/>
        <v>2211</v>
      </c>
      <c r="AC197" s="171">
        <f t="shared" si="91"/>
        <v>57729.661835777137</v>
      </c>
      <c r="AD197" s="171">
        <f t="shared" ref="AD197:AD234" si="127">IF(AG197&lt;AE197,MIN(AF197,AG197),AF197)</f>
        <v>10053.89543039467</v>
      </c>
      <c r="AE197" s="171">
        <f t="shared" si="117"/>
        <v>31018.328836757111</v>
      </c>
      <c r="AF197" s="171">
        <f t="shared" si="109"/>
        <v>10053.89543039467</v>
      </c>
      <c r="AG197" s="171">
        <f t="shared" si="119"/>
        <v>22520.34</v>
      </c>
      <c r="AH197" s="171">
        <f t="shared" si="92"/>
        <v>22520.34</v>
      </c>
      <c r="AI197" s="171">
        <f t="shared" si="93"/>
        <v>10053.89543039467</v>
      </c>
      <c r="AJ197" s="171">
        <f>IF('Invoer gegevens'!$I$27="DAEB",SMALL(AC197:AD197,1),AC197)</f>
        <v>10053.89543039467</v>
      </c>
      <c r="AK197" s="171">
        <f>IF('Invoer gegevens'!$I$27="DAEB",SMALL((AE197:AH197),1),SMALL((AF197:AH197),1))</f>
        <v>10053.89543039467</v>
      </c>
      <c r="AL197" s="171">
        <f t="shared" si="114"/>
        <v>0</v>
      </c>
      <c r="AM197" s="171">
        <f t="shared" si="115"/>
        <v>0</v>
      </c>
      <c r="AN197" s="175">
        <f t="shared" si="110"/>
        <v>1419719</v>
      </c>
      <c r="AP197" s="184">
        <f t="shared" ca="1" si="111"/>
        <v>2211</v>
      </c>
      <c r="AQ197" s="185">
        <f t="shared" si="94"/>
        <v>0.02</v>
      </c>
      <c r="AR197" s="182">
        <f t="shared" si="126"/>
        <v>44.997333699092607</v>
      </c>
      <c r="AU197" s="184">
        <f t="shared" ca="1" si="112"/>
        <v>2211</v>
      </c>
      <c r="AV197" s="182">
        <f t="shared" si="95"/>
        <v>0.02</v>
      </c>
      <c r="AW197" s="179">
        <f t="shared" si="96"/>
        <v>5.0000000000000001E-3</v>
      </c>
      <c r="AX197" s="182">
        <f t="shared" si="97"/>
        <v>2.5000000000000001E-2</v>
      </c>
      <c r="AY197" s="186"/>
      <c r="AZ197" s="190"/>
      <c r="BA197" s="184">
        <f t="shared" ca="1" si="113"/>
        <v>2211</v>
      </c>
      <c r="BB197" s="171">
        <f t="shared" si="98"/>
        <v>57730</v>
      </c>
      <c r="BC197" s="171">
        <f t="shared" ref="BC197:BC234" si="128">AE197</f>
        <v>31018.328836757111</v>
      </c>
      <c r="BD197" s="171">
        <f t="shared" si="124"/>
        <v>22520.34</v>
      </c>
      <c r="BE197" s="171">
        <f t="shared" si="124"/>
        <v>10053.89543039467</v>
      </c>
      <c r="BF197" s="171">
        <f t="shared" si="124"/>
        <v>10053.89543039467</v>
      </c>
      <c r="BG197" s="171">
        <f t="shared" si="123"/>
        <v>10053.89543039467</v>
      </c>
      <c r="BI197" s="187">
        <f>IF(A197-'Invoer gegevens'!$C$17&lt;0,0,IF(A197-'Invoer gegevens'!$C$17=0,1,IF(A197-'Invoer gegevens'!$C$17&lt;5,2,IF(A197-'Invoer gegevens'!$C$17&lt;15,3,4))))</f>
        <v>0</v>
      </c>
      <c r="BJ197" s="229">
        <f>IF(BI197&lt;1,0,IF(BI197&lt;2,4%,IF(Reeksen!BI197&lt;3,4%,IF(Reeksen!BI197&lt;4,4%*70%,IF(Reeksen!BI197&lt;5,4%*50%)))))</f>
        <v>0</v>
      </c>
      <c r="BK197" s="243"/>
      <c r="BL197" s="243"/>
      <c r="BM197" s="243"/>
      <c r="BN197" s="243"/>
      <c r="BO197" s="243"/>
      <c r="BP197" s="243"/>
      <c r="BQ197" s="243"/>
      <c r="BR197" s="243"/>
    </row>
    <row r="198" spans="1:70" x14ac:dyDescent="0.25">
      <c r="A198" s="184">
        <f t="shared" si="99"/>
        <v>193</v>
      </c>
      <c r="B198" s="179">
        <f>Dashboard!$C$25</f>
        <v>0.05</v>
      </c>
      <c r="C198" s="179">
        <f>Dashboard!$C$25</f>
        <v>0.05</v>
      </c>
      <c r="D198" s="179">
        <f>Dashboard!$C$25</f>
        <v>0.05</v>
      </c>
      <c r="E198" s="189"/>
      <c r="F198" s="184">
        <f t="shared" ca="1" si="100"/>
        <v>2212</v>
      </c>
      <c r="G198" s="179">
        <f t="shared" si="120"/>
        <v>0.02</v>
      </c>
      <c r="H198" s="182">
        <f t="shared" si="101"/>
        <v>45.941876270220305</v>
      </c>
      <c r="I198" s="179">
        <f t="shared" si="121"/>
        <v>2.5000000000000001E-2</v>
      </c>
      <c r="J198" s="182">
        <f t="shared" si="102"/>
        <v>118.22926728971662</v>
      </c>
      <c r="K198" s="179">
        <f t="shared" si="122"/>
        <v>2.5000000000000001E-2</v>
      </c>
      <c r="L198" s="182">
        <f t="shared" si="103"/>
        <v>118.22926728971662</v>
      </c>
      <c r="M198" s="189"/>
      <c r="N198" s="184">
        <f t="shared" ca="1" si="104"/>
        <v>2212</v>
      </c>
      <c r="O198" s="179">
        <f t="shared" si="116"/>
        <v>0.02</v>
      </c>
      <c r="P198" s="182">
        <f t="shared" si="125"/>
        <v>45.897280373074459</v>
      </c>
      <c r="R198" s="184">
        <f t="shared" ca="1" si="105"/>
        <v>2212</v>
      </c>
      <c r="S198" s="188">
        <f t="shared" si="118"/>
        <v>5.3600000000000002E-3</v>
      </c>
      <c r="U198" s="184">
        <f t="shared" ca="1" si="106"/>
        <v>2212</v>
      </c>
      <c r="V198" s="182">
        <f t="shared" ref="V198:V234" si="129">G198</f>
        <v>0.02</v>
      </c>
      <c r="W198" s="180">
        <f>Parameters!$D$12</f>
        <v>5.0000000000000001E-3</v>
      </c>
      <c r="X198" s="182">
        <f t="shared" ref="X198:X234" si="130">V198+W198</f>
        <v>2.5000000000000001E-2</v>
      </c>
      <c r="Y198" s="182">
        <f t="shared" si="107"/>
        <v>118.34580676334312</v>
      </c>
      <c r="AA198" s="189"/>
      <c r="AB198" s="184">
        <f t="shared" ca="1" si="108"/>
        <v>2212</v>
      </c>
      <c r="AC198" s="171">
        <f t="shared" ref="AC198:AC234" si="131">$AC$4*Y198</f>
        <v>59172.90338167156</v>
      </c>
      <c r="AD198" s="171">
        <f t="shared" si="127"/>
        <v>10254.973339002565</v>
      </c>
      <c r="AE198" s="171">
        <f t="shared" si="117"/>
        <v>31638.695413492253</v>
      </c>
      <c r="AF198" s="171">
        <f t="shared" si="109"/>
        <v>10254.973339002565</v>
      </c>
      <c r="AG198" s="171">
        <f t="shared" si="119"/>
        <v>22970.75</v>
      </c>
      <c r="AH198" s="171">
        <f t="shared" ref="AH198:AH234" si="132">ROUND($AH197*(1+V198)^1,2)</f>
        <v>22970.75</v>
      </c>
      <c r="AI198" s="171">
        <f t="shared" ref="AI198:AI234" si="133">SMALL(AC198:AD198,1)</f>
        <v>10254.973339002565</v>
      </c>
      <c r="AJ198" s="171">
        <f>IF('Invoer gegevens'!$I$27="DAEB",SMALL(AC198:AD198,1),AC198)</f>
        <v>10254.973339002565</v>
      </c>
      <c r="AK198" s="171">
        <f>IF('Invoer gegevens'!$I$27="DAEB",SMALL((AE198:AH198),1),SMALL((AF198:AH198),1))</f>
        <v>10254.973339002565</v>
      </c>
      <c r="AL198" s="171">
        <f t="shared" si="114"/>
        <v>0</v>
      </c>
      <c r="AM198" s="171">
        <f t="shared" si="115"/>
        <v>0</v>
      </c>
      <c r="AN198" s="175">
        <f t="shared" si="110"/>
        <v>1448113</v>
      </c>
      <c r="AP198" s="184">
        <f t="shared" ca="1" si="111"/>
        <v>2212</v>
      </c>
      <c r="AQ198" s="185">
        <f t="shared" ref="AQ198:AQ234" si="134">O198</f>
        <v>0.02</v>
      </c>
      <c r="AR198" s="182">
        <f t="shared" si="126"/>
        <v>45.897280373074459</v>
      </c>
      <c r="AU198" s="184">
        <f t="shared" ca="1" si="112"/>
        <v>2212</v>
      </c>
      <c r="AV198" s="182">
        <f t="shared" ref="AV198:AV234" si="135">G198</f>
        <v>0.02</v>
      </c>
      <c r="AW198" s="179">
        <f t="shared" ref="AW198:AW234" si="136">W198</f>
        <v>5.0000000000000001E-3</v>
      </c>
      <c r="AX198" s="182">
        <f t="shared" ref="AX198:AX234" si="137">AV198+AW198</f>
        <v>2.5000000000000001E-2</v>
      </c>
      <c r="AY198" s="186"/>
      <c r="AZ198" s="190"/>
      <c r="BA198" s="184">
        <f t="shared" ca="1" si="113"/>
        <v>2212</v>
      </c>
      <c r="BB198" s="171">
        <f t="shared" ref="BB198:BB234" si="138">ROUND($BB197*(1+AX198)^1,2)</f>
        <v>59173.25</v>
      </c>
      <c r="BC198" s="171">
        <f t="shared" si="128"/>
        <v>31638.695413492253</v>
      </c>
      <c r="BD198" s="171">
        <f t="shared" si="124"/>
        <v>22970.75</v>
      </c>
      <c r="BE198" s="171">
        <f t="shared" si="124"/>
        <v>10254.973339002565</v>
      </c>
      <c r="BF198" s="171">
        <f t="shared" si="124"/>
        <v>10254.973339002565</v>
      </c>
      <c r="BG198" s="171">
        <f t="shared" si="123"/>
        <v>10254.973339002565</v>
      </c>
      <c r="BI198" s="187">
        <f>IF(A198-'Invoer gegevens'!$C$17&lt;0,0,IF(A198-'Invoer gegevens'!$C$17=0,1,IF(A198-'Invoer gegevens'!$C$17&lt;5,2,IF(A198-'Invoer gegevens'!$C$17&lt;15,3,4))))</f>
        <v>0</v>
      </c>
      <c r="BJ198" s="229">
        <f>IF(BI198&lt;1,0,IF(BI198&lt;2,4%,IF(Reeksen!BI198&lt;3,4%,IF(Reeksen!BI198&lt;4,4%*70%,IF(Reeksen!BI198&lt;5,4%*50%)))))</f>
        <v>0</v>
      </c>
      <c r="BK198" s="243"/>
      <c r="BL198" s="243"/>
      <c r="BM198" s="243"/>
      <c r="BN198" s="243"/>
      <c r="BO198" s="243"/>
      <c r="BP198" s="243"/>
      <c r="BQ198" s="243"/>
      <c r="BR198" s="243"/>
    </row>
    <row r="199" spans="1:70" x14ac:dyDescent="0.25">
      <c r="A199" s="184">
        <f t="shared" ref="A199:A234" si="139">A198+1</f>
        <v>194</v>
      </c>
      <c r="B199" s="179">
        <f>Dashboard!$C$25</f>
        <v>0.05</v>
      </c>
      <c r="C199" s="179">
        <f>Dashboard!$C$25</f>
        <v>0.05</v>
      </c>
      <c r="D199" s="179">
        <f>Dashboard!$C$25</f>
        <v>0.05</v>
      </c>
      <c r="E199" s="189"/>
      <c r="F199" s="184">
        <f t="shared" ref="F199:F234" ca="1" si="140">F198+1</f>
        <v>2213</v>
      </c>
      <c r="G199" s="179">
        <f t="shared" si="120"/>
        <v>0.02</v>
      </c>
      <c r="H199" s="182">
        <f t="shared" ref="H199:H234" si="141">H198*(1+G199)</f>
        <v>46.860713795624712</v>
      </c>
      <c r="I199" s="179">
        <f t="shared" si="121"/>
        <v>2.5000000000000001E-2</v>
      </c>
      <c r="J199" s="182">
        <f t="shared" ref="J199:J234" si="142">J198*(1+I199)</f>
        <v>121.18499897195952</v>
      </c>
      <c r="K199" s="179">
        <f t="shared" si="122"/>
        <v>2.5000000000000001E-2</v>
      </c>
      <c r="L199" s="182">
        <f t="shared" ref="L199:L234" si="143">L198*(1+K199)</f>
        <v>121.18499897195952</v>
      </c>
      <c r="M199" s="189"/>
      <c r="N199" s="184">
        <f t="shared" ref="N199:N234" ca="1" si="144">N198+1</f>
        <v>2213</v>
      </c>
      <c r="O199" s="179">
        <f t="shared" si="116"/>
        <v>0.02</v>
      </c>
      <c r="P199" s="182">
        <f t="shared" si="125"/>
        <v>46.815225980535949</v>
      </c>
      <c r="R199" s="184">
        <f t="shared" ref="R199:R234" ca="1" si="145">R198+1</f>
        <v>2213</v>
      </c>
      <c r="S199" s="188">
        <f t="shared" si="118"/>
        <v>5.3600000000000002E-3</v>
      </c>
      <c r="U199" s="184">
        <f t="shared" ref="U199:U234" ca="1" si="146">+U198+1</f>
        <v>2213</v>
      </c>
      <c r="V199" s="182">
        <f t="shared" si="129"/>
        <v>0.02</v>
      </c>
      <c r="W199" s="180">
        <f>Parameters!$D$12</f>
        <v>5.0000000000000001E-3</v>
      </c>
      <c r="X199" s="182">
        <f t="shared" si="130"/>
        <v>2.5000000000000001E-2</v>
      </c>
      <c r="Y199" s="182">
        <f t="shared" ref="Y199:Y234" si="147">Y198*(1+X199)</f>
        <v>121.30445193242669</v>
      </c>
      <c r="AA199" s="189"/>
      <c r="AB199" s="184">
        <f t="shared" ref="AB199:AB234" ca="1" si="148">AB198+1</f>
        <v>2213</v>
      </c>
      <c r="AC199" s="171">
        <f t="shared" si="131"/>
        <v>60652.225966213344</v>
      </c>
      <c r="AD199" s="171">
        <f t="shared" si="127"/>
        <v>10460.072805782616</v>
      </c>
      <c r="AE199" s="171">
        <f t="shared" si="117"/>
        <v>32271.469321762099</v>
      </c>
      <c r="AF199" s="171">
        <f t="shared" ref="AF199:AF234" si="149">$AF$4*H199</f>
        <v>10460.072805782616</v>
      </c>
      <c r="AG199" s="171">
        <f t="shared" si="119"/>
        <v>23430.17</v>
      </c>
      <c r="AH199" s="171">
        <f t="shared" si="132"/>
        <v>23430.17</v>
      </c>
      <c r="AI199" s="171">
        <f t="shared" si="133"/>
        <v>10460.072805782616</v>
      </c>
      <c r="AJ199" s="171">
        <f>IF('Invoer gegevens'!$I$27="DAEB",SMALL(AC199:AD199,1),AC199)</f>
        <v>10460.072805782616</v>
      </c>
      <c r="AK199" s="171">
        <f>IF('Invoer gegevens'!$I$27="DAEB",SMALL((AE199:AH199),1),SMALL((AF199:AH199),1))</f>
        <v>10460.072805782616</v>
      </c>
      <c r="AL199" s="171">
        <f t="shared" si="114"/>
        <v>0</v>
      </c>
      <c r="AM199" s="171">
        <f t="shared" si="115"/>
        <v>0</v>
      </c>
      <c r="AN199" s="175">
        <f t="shared" ref="AN199:AN234" si="150">ROUND($AN198*(1+O199)^1,0)</f>
        <v>1477075</v>
      </c>
      <c r="AP199" s="184">
        <f t="shared" ref="AP199:AP234" ca="1" si="151">AP198+1</f>
        <v>2213</v>
      </c>
      <c r="AQ199" s="185">
        <f t="shared" si="134"/>
        <v>0.02</v>
      </c>
      <c r="AR199" s="182">
        <f t="shared" si="126"/>
        <v>46.815225980535949</v>
      </c>
      <c r="AU199" s="184">
        <f t="shared" ref="AU199:AU234" ca="1" si="152">+AU198+1</f>
        <v>2213</v>
      </c>
      <c r="AV199" s="182">
        <f t="shared" si="135"/>
        <v>0.02</v>
      </c>
      <c r="AW199" s="179">
        <f t="shared" si="136"/>
        <v>5.0000000000000001E-3</v>
      </c>
      <c r="AX199" s="182">
        <f t="shared" si="137"/>
        <v>2.5000000000000001E-2</v>
      </c>
      <c r="AY199" s="186"/>
      <c r="AZ199" s="190"/>
      <c r="BA199" s="184">
        <f t="shared" ref="BA199:BA234" ca="1" si="153">BA198+1</f>
        <v>2213</v>
      </c>
      <c r="BB199" s="171">
        <f t="shared" si="138"/>
        <v>60652.58</v>
      </c>
      <c r="BC199" s="171">
        <f t="shared" si="128"/>
        <v>32271.469321762099</v>
      </c>
      <c r="BD199" s="171">
        <f t="shared" si="124"/>
        <v>23430.17</v>
      </c>
      <c r="BE199" s="171">
        <f t="shared" si="124"/>
        <v>10460.072805782616</v>
      </c>
      <c r="BF199" s="171">
        <f t="shared" si="124"/>
        <v>10460.072805782616</v>
      </c>
      <c r="BG199" s="171">
        <f t="shared" si="123"/>
        <v>10460.072805782616</v>
      </c>
      <c r="BI199" s="187">
        <f>IF(A199-'Invoer gegevens'!$C$17&lt;0,0,IF(A199-'Invoer gegevens'!$C$17=0,1,IF(A199-'Invoer gegevens'!$C$17&lt;5,2,IF(A199-'Invoer gegevens'!$C$17&lt;15,3,4))))</f>
        <v>0</v>
      </c>
      <c r="BJ199" s="229">
        <f>IF(BI199&lt;1,0,IF(BI199&lt;2,4%,IF(Reeksen!BI199&lt;3,4%,IF(Reeksen!BI199&lt;4,4%*70%,IF(Reeksen!BI199&lt;5,4%*50%)))))</f>
        <v>0</v>
      </c>
      <c r="BK199" s="243"/>
      <c r="BL199" s="243"/>
      <c r="BM199" s="243"/>
      <c r="BN199" s="243"/>
      <c r="BO199" s="243"/>
      <c r="BP199" s="243"/>
      <c r="BQ199" s="243"/>
      <c r="BR199" s="243"/>
    </row>
    <row r="200" spans="1:70" x14ac:dyDescent="0.25">
      <c r="A200" s="184">
        <f t="shared" si="139"/>
        <v>195</v>
      </c>
      <c r="B200" s="179">
        <f>Dashboard!$C$25</f>
        <v>0.05</v>
      </c>
      <c r="C200" s="179">
        <f>Dashboard!$C$25</f>
        <v>0.05</v>
      </c>
      <c r="D200" s="179">
        <f>Dashboard!$C$25</f>
        <v>0.05</v>
      </c>
      <c r="E200" s="189"/>
      <c r="F200" s="184">
        <f t="shared" ca="1" si="140"/>
        <v>2214</v>
      </c>
      <c r="G200" s="179">
        <f t="shared" si="120"/>
        <v>0.02</v>
      </c>
      <c r="H200" s="182">
        <f t="shared" si="141"/>
        <v>47.797928071537207</v>
      </c>
      <c r="I200" s="179">
        <f t="shared" si="121"/>
        <v>2.5000000000000001E-2</v>
      </c>
      <c r="J200" s="182">
        <f t="shared" si="142"/>
        <v>124.2146239462585</v>
      </c>
      <c r="K200" s="179">
        <f t="shared" si="122"/>
        <v>2.5000000000000001E-2</v>
      </c>
      <c r="L200" s="182">
        <f t="shared" si="143"/>
        <v>124.2146239462585</v>
      </c>
      <c r="M200" s="189"/>
      <c r="N200" s="184">
        <f t="shared" ca="1" si="144"/>
        <v>2214</v>
      </c>
      <c r="O200" s="179">
        <f t="shared" si="116"/>
        <v>0.02</v>
      </c>
      <c r="P200" s="182">
        <f t="shared" si="125"/>
        <v>47.751530500146671</v>
      </c>
      <c r="R200" s="184">
        <f t="shared" ca="1" si="145"/>
        <v>2214</v>
      </c>
      <c r="S200" s="188">
        <f t="shared" si="118"/>
        <v>5.3600000000000002E-3</v>
      </c>
      <c r="U200" s="184">
        <f t="shared" ca="1" si="146"/>
        <v>2214</v>
      </c>
      <c r="V200" s="182">
        <f t="shared" si="129"/>
        <v>0.02</v>
      </c>
      <c r="W200" s="180">
        <f>Parameters!$D$12</f>
        <v>5.0000000000000001E-3</v>
      </c>
      <c r="X200" s="182">
        <f t="shared" si="130"/>
        <v>2.5000000000000001E-2</v>
      </c>
      <c r="Y200" s="182">
        <f t="shared" si="147"/>
        <v>124.33706323073734</v>
      </c>
      <c r="AA200" s="189"/>
      <c r="AB200" s="184">
        <f t="shared" ca="1" si="148"/>
        <v>2214</v>
      </c>
      <c r="AC200" s="171">
        <f t="shared" si="131"/>
        <v>62168.531615368673</v>
      </c>
      <c r="AD200" s="171">
        <f t="shared" si="127"/>
        <v>10669.274261898268</v>
      </c>
      <c r="AE200" s="171">
        <f t="shared" si="117"/>
        <v>32916.898708197339</v>
      </c>
      <c r="AF200" s="171">
        <f t="shared" si="149"/>
        <v>10669.274261898268</v>
      </c>
      <c r="AG200" s="171">
        <f t="shared" si="119"/>
        <v>23898.77</v>
      </c>
      <c r="AH200" s="171">
        <f t="shared" si="132"/>
        <v>23898.77</v>
      </c>
      <c r="AI200" s="171">
        <f t="shared" si="133"/>
        <v>10669.274261898268</v>
      </c>
      <c r="AJ200" s="171">
        <f>IF('Invoer gegevens'!$I$27="DAEB",SMALL(AC200:AD200,1),AC200)</f>
        <v>10669.274261898268</v>
      </c>
      <c r="AK200" s="171">
        <f>IF('Invoer gegevens'!$I$27="DAEB",SMALL((AE200:AH200),1),SMALL((AF200:AH200),1))</f>
        <v>10669.274261898268</v>
      </c>
      <c r="AL200" s="171">
        <f t="shared" ref="AL200:AL234" si="154">ROUND($AL199*(1+V200)^1,2)</f>
        <v>0</v>
      </c>
      <c r="AM200" s="171">
        <f t="shared" ref="AM200:AM234" si="155">ROUND($AM199*(1+V200)^1,2)</f>
        <v>0</v>
      </c>
      <c r="AN200" s="175">
        <f t="shared" si="150"/>
        <v>1506617</v>
      </c>
      <c r="AP200" s="184">
        <f t="shared" ca="1" si="151"/>
        <v>2214</v>
      </c>
      <c r="AQ200" s="185">
        <f t="shared" si="134"/>
        <v>0.02</v>
      </c>
      <c r="AR200" s="182">
        <f t="shared" si="126"/>
        <v>47.751530500146671</v>
      </c>
      <c r="AU200" s="184">
        <f t="shared" ca="1" si="152"/>
        <v>2214</v>
      </c>
      <c r="AV200" s="182">
        <f t="shared" si="135"/>
        <v>0.02</v>
      </c>
      <c r="AW200" s="179">
        <f t="shared" si="136"/>
        <v>5.0000000000000001E-3</v>
      </c>
      <c r="AX200" s="182">
        <f t="shared" si="137"/>
        <v>2.5000000000000001E-2</v>
      </c>
      <c r="AY200" s="186"/>
      <c r="AZ200" s="190"/>
      <c r="BA200" s="184">
        <f t="shared" ca="1" si="153"/>
        <v>2214</v>
      </c>
      <c r="BB200" s="171">
        <f t="shared" si="138"/>
        <v>62168.89</v>
      </c>
      <c r="BC200" s="171">
        <f t="shared" si="128"/>
        <v>32916.898708197339</v>
      </c>
      <c r="BD200" s="171">
        <f t="shared" si="124"/>
        <v>23898.77</v>
      </c>
      <c r="BE200" s="171">
        <f t="shared" si="124"/>
        <v>10669.274261898268</v>
      </c>
      <c r="BF200" s="171">
        <f t="shared" si="124"/>
        <v>10669.274261898268</v>
      </c>
      <c r="BG200" s="171">
        <f t="shared" si="123"/>
        <v>10669.274261898268</v>
      </c>
      <c r="BI200" s="187">
        <f>IF(A200-'Invoer gegevens'!$C$17&lt;0,0,IF(A200-'Invoer gegevens'!$C$17=0,1,IF(A200-'Invoer gegevens'!$C$17&lt;5,2,IF(A200-'Invoer gegevens'!$C$17&lt;15,3,4))))</f>
        <v>0</v>
      </c>
      <c r="BJ200" s="229">
        <f>IF(BI200&lt;1,0,IF(BI200&lt;2,4%,IF(Reeksen!BI200&lt;3,4%,IF(Reeksen!BI200&lt;4,4%*70%,IF(Reeksen!BI200&lt;5,4%*50%)))))</f>
        <v>0</v>
      </c>
      <c r="BK200" s="243"/>
      <c r="BL200" s="243"/>
      <c r="BM200" s="243"/>
      <c r="BN200" s="243"/>
      <c r="BO200" s="243"/>
      <c r="BP200" s="243"/>
      <c r="BQ200" s="243"/>
      <c r="BR200" s="243"/>
    </row>
    <row r="201" spans="1:70" x14ac:dyDescent="0.25">
      <c r="A201" s="184">
        <f t="shared" si="139"/>
        <v>196</v>
      </c>
      <c r="B201" s="179">
        <f>Dashboard!$C$25</f>
        <v>0.05</v>
      </c>
      <c r="C201" s="179">
        <f>Dashboard!$C$25</f>
        <v>0.05</v>
      </c>
      <c r="D201" s="179">
        <f>Dashboard!$C$25</f>
        <v>0.05</v>
      </c>
      <c r="E201" s="189"/>
      <c r="F201" s="184">
        <f t="shared" ca="1" si="140"/>
        <v>2215</v>
      </c>
      <c r="G201" s="179">
        <f t="shared" si="120"/>
        <v>0.02</v>
      </c>
      <c r="H201" s="182">
        <f t="shared" si="141"/>
        <v>48.753886632967955</v>
      </c>
      <c r="I201" s="179">
        <f t="shared" si="121"/>
        <v>2.5000000000000001E-2</v>
      </c>
      <c r="J201" s="182">
        <f t="shared" si="142"/>
        <v>127.31998954491495</v>
      </c>
      <c r="K201" s="179">
        <f t="shared" si="122"/>
        <v>2.5000000000000001E-2</v>
      </c>
      <c r="L201" s="182">
        <f t="shared" si="143"/>
        <v>127.31998954491495</v>
      </c>
      <c r="M201" s="189"/>
      <c r="N201" s="184">
        <f t="shared" ca="1" si="144"/>
        <v>2215</v>
      </c>
      <c r="O201" s="179">
        <f t="shared" ref="O201:O234" si="156">O200</f>
        <v>0.02</v>
      </c>
      <c r="P201" s="182">
        <f t="shared" si="125"/>
        <v>48.706561110149607</v>
      </c>
      <c r="R201" s="184">
        <f t="shared" ca="1" si="145"/>
        <v>2215</v>
      </c>
      <c r="S201" s="188">
        <f t="shared" si="118"/>
        <v>5.3600000000000002E-3</v>
      </c>
      <c r="U201" s="184">
        <f t="shared" ca="1" si="146"/>
        <v>2215</v>
      </c>
      <c r="V201" s="182">
        <f t="shared" si="129"/>
        <v>0.02</v>
      </c>
      <c r="W201" s="180">
        <f>Parameters!$D$12</f>
        <v>5.0000000000000001E-3</v>
      </c>
      <c r="X201" s="182">
        <f t="shared" si="130"/>
        <v>2.5000000000000001E-2</v>
      </c>
      <c r="Y201" s="182">
        <f t="shared" si="147"/>
        <v>127.44548981150577</v>
      </c>
      <c r="AA201" s="189"/>
      <c r="AB201" s="184">
        <f t="shared" ca="1" si="148"/>
        <v>2215</v>
      </c>
      <c r="AC201" s="171">
        <f t="shared" si="131"/>
        <v>63722.744905752887</v>
      </c>
      <c r="AD201" s="171">
        <f t="shared" si="127"/>
        <v>10882.659747136235</v>
      </c>
      <c r="AE201" s="171">
        <f t="shared" si="117"/>
        <v>33575.23668236129</v>
      </c>
      <c r="AF201" s="171">
        <f t="shared" si="149"/>
        <v>10882.659747136235</v>
      </c>
      <c r="AG201" s="171">
        <f t="shared" si="119"/>
        <v>24376.75</v>
      </c>
      <c r="AH201" s="171">
        <f t="shared" si="132"/>
        <v>24376.75</v>
      </c>
      <c r="AI201" s="171">
        <f t="shared" si="133"/>
        <v>10882.659747136235</v>
      </c>
      <c r="AJ201" s="171">
        <f>IF('Invoer gegevens'!$I$27="DAEB",SMALL(AC201:AD201,1),AC201)</f>
        <v>10882.659747136235</v>
      </c>
      <c r="AK201" s="171">
        <f>IF('Invoer gegevens'!$I$27="DAEB",SMALL((AE201:AH201),1),SMALL((AF201:AH201),1))</f>
        <v>10882.659747136235</v>
      </c>
      <c r="AL201" s="171">
        <f t="shared" si="154"/>
        <v>0</v>
      </c>
      <c r="AM201" s="171">
        <f t="shared" si="155"/>
        <v>0</v>
      </c>
      <c r="AN201" s="175">
        <f t="shared" si="150"/>
        <v>1536749</v>
      </c>
      <c r="AP201" s="184">
        <f t="shared" ca="1" si="151"/>
        <v>2215</v>
      </c>
      <c r="AQ201" s="185">
        <f t="shared" si="134"/>
        <v>0.02</v>
      </c>
      <c r="AR201" s="182">
        <f t="shared" si="126"/>
        <v>48.706561110149607</v>
      </c>
      <c r="AU201" s="184">
        <f t="shared" ca="1" si="152"/>
        <v>2215</v>
      </c>
      <c r="AV201" s="182">
        <f t="shared" si="135"/>
        <v>0.02</v>
      </c>
      <c r="AW201" s="179">
        <f t="shared" si="136"/>
        <v>5.0000000000000001E-3</v>
      </c>
      <c r="AX201" s="182">
        <f t="shared" si="137"/>
        <v>2.5000000000000001E-2</v>
      </c>
      <c r="AY201" s="186"/>
      <c r="AZ201" s="190"/>
      <c r="BA201" s="184">
        <f t="shared" ca="1" si="153"/>
        <v>2215</v>
      </c>
      <c r="BB201" s="171">
        <f t="shared" si="138"/>
        <v>63723.11</v>
      </c>
      <c r="BC201" s="171">
        <f t="shared" si="128"/>
        <v>33575.23668236129</v>
      </c>
      <c r="BD201" s="171">
        <f t="shared" si="124"/>
        <v>24376.75</v>
      </c>
      <c r="BE201" s="171">
        <f t="shared" si="124"/>
        <v>10882.659747136235</v>
      </c>
      <c r="BF201" s="171">
        <f t="shared" si="124"/>
        <v>10882.659747136235</v>
      </c>
      <c r="BG201" s="171">
        <f t="shared" si="123"/>
        <v>10882.659747136235</v>
      </c>
      <c r="BI201" s="187">
        <f>IF(A201-'Invoer gegevens'!$C$17&lt;0,0,IF(A201-'Invoer gegevens'!$C$17=0,1,IF(A201-'Invoer gegevens'!$C$17&lt;5,2,IF(A201-'Invoer gegevens'!$C$17&lt;15,3,4))))</f>
        <v>0</v>
      </c>
      <c r="BJ201" s="229">
        <f>IF(BI201&lt;1,0,IF(BI201&lt;2,4%,IF(Reeksen!BI201&lt;3,4%,IF(Reeksen!BI201&lt;4,4%*70%,IF(Reeksen!BI201&lt;5,4%*50%)))))</f>
        <v>0</v>
      </c>
      <c r="BK201" s="243"/>
      <c r="BL201" s="243"/>
      <c r="BM201" s="243"/>
      <c r="BN201" s="243"/>
      <c r="BO201" s="243"/>
      <c r="BP201" s="243"/>
      <c r="BQ201" s="243"/>
      <c r="BR201" s="243"/>
    </row>
    <row r="202" spans="1:70" x14ac:dyDescent="0.25">
      <c r="A202" s="184">
        <f t="shared" si="139"/>
        <v>197</v>
      </c>
      <c r="B202" s="179">
        <f>Dashboard!$C$25</f>
        <v>0.05</v>
      </c>
      <c r="C202" s="179">
        <f>Dashboard!$C$25</f>
        <v>0.05</v>
      </c>
      <c r="D202" s="179">
        <f>Dashboard!$C$25</f>
        <v>0.05</v>
      </c>
      <c r="E202" s="189"/>
      <c r="F202" s="184">
        <f t="shared" ca="1" si="140"/>
        <v>2216</v>
      </c>
      <c r="G202" s="179">
        <f t="shared" si="120"/>
        <v>0.02</v>
      </c>
      <c r="H202" s="182">
        <f t="shared" si="141"/>
        <v>49.728964365627313</v>
      </c>
      <c r="I202" s="179">
        <f t="shared" si="121"/>
        <v>2.5000000000000001E-2</v>
      </c>
      <c r="J202" s="182">
        <f t="shared" si="142"/>
        <v>130.5029892835378</v>
      </c>
      <c r="K202" s="179">
        <f t="shared" si="122"/>
        <v>2.5000000000000001E-2</v>
      </c>
      <c r="L202" s="182">
        <f t="shared" si="143"/>
        <v>130.5029892835378</v>
      </c>
      <c r="M202" s="189"/>
      <c r="N202" s="184">
        <f t="shared" ca="1" si="144"/>
        <v>2216</v>
      </c>
      <c r="O202" s="179">
        <f t="shared" si="156"/>
        <v>0.02</v>
      </c>
      <c r="P202" s="182">
        <f t="shared" si="125"/>
        <v>49.680692332352599</v>
      </c>
      <c r="R202" s="184">
        <f t="shared" ca="1" si="145"/>
        <v>2216</v>
      </c>
      <c r="S202" s="188">
        <f t="shared" si="118"/>
        <v>5.3600000000000002E-3</v>
      </c>
      <c r="U202" s="184">
        <f t="shared" ca="1" si="146"/>
        <v>2216</v>
      </c>
      <c r="V202" s="182">
        <f t="shared" si="129"/>
        <v>0.02</v>
      </c>
      <c r="W202" s="180">
        <f>Parameters!$D$12</f>
        <v>5.0000000000000001E-3</v>
      </c>
      <c r="X202" s="182">
        <f t="shared" si="130"/>
        <v>2.5000000000000001E-2</v>
      </c>
      <c r="Y202" s="182">
        <f t="shared" si="147"/>
        <v>130.63162705679341</v>
      </c>
      <c r="AA202" s="189"/>
      <c r="AB202" s="184">
        <f t="shared" ca="1" si="148"/>
        <v>2216</v>
      </c>
      <c r="AC202" s="171">
        <f t="shared" si="131"/>
        <v>65315.813528396706</v>
      </c>
      <c r="AD202" s="171">
        <f t="shared" si="127"/>
        <v>11100.312942078959</v>
      </c>
      <c r="AE202" s="171">
        <f t="shared" ref="AE202:AE234" si="157">AE201*(1+V202)</f>
        <v>34246.741416008517</v>
      </c>
      <c r="AF202" s="171">
        <f t="shared" si="149"/>
        <v>11100.312942078959</v>
      </c>
      <c r="AG202" s="171">
        <f t="shared" si="119"/>
        <v>24864.29</v>
      </c>
      <c r="AH202" s="171">
        <f t="shared" si="132"/>
        <v>24864.29</v>
      </c>
      <c r="AI202" s="171">
        <f t="shared" si="133"/>
        <v>11100.312942078959</v>
      </c>
      <c r="AJ202" s="171">
        <f>IF('Invoer gegevens'!$I$27="DAEB",SMALL(AC202:AD202,1),AC202)</f>
        <v>11100.312942078959</v>
      </c>
      <c r="AK202" s="171">
        <f>IF('Invoer gegevens'!$I$27="DAEB",SMALL((AE202:AH202),1),SMALL((AF202:AH202),1))</f>
        <v>11100.312942078959</v>
      </c>
      <c r="AL202" s="171">
        <f t="shared" si="154"/>
        <v>0</v>
      </c>
      <c r="AM202" s="171">
        <f t="shared" si="155"/>
        <v>0</v>
      </c>
      <c r="AN202" s="175">
        <f t="shared" si="150"/>
        <v>1567484</v>
      </c>
      <c r="AP202" s="184">
        <f t="shared" ca="1" si="151"/>
        <v>2216</v>
      </c>
      <c r="AQ202" s="185">
        <f t="shared" si="134"/>
        <v>0.02</v>
      </c>
      <c r="AR202" s="182">
        <f t="shared" si="126"/>
        <v>49.680692332352599</v>
      </c>
      <c r="AU202" s="184">
        <f t="shared" ca="1" si="152"/>
        <v>2216</v>
      </c>
      <c r="AV202" s="182">
        <f t="shared" si="135"/>
        <v>0.02</v>
      </c>
      <c r="AW202" s="179">
        <f t="shared" si="136"/>
        <v>5.0000000000000001E-3</v>
      </c>
      <c r="AX202" s="182">
        <f t="shared" si="137"/>
        <v>2.5000000000000001E-2</v>
      </c>
      <c r="AY202" s="186"/>
      <c r="AZ202" s="190"/>
      <c r="BA202" s="184">
        <f t="shared" ca="1" si="153"/>
        <v>2216</v>
      </c>
      <c r="BB202" s="171">
        <f t="shared" si="138"/>
        <v>65316.19</v>
      </c>
      <c r="BC202" s="171">
        <f t="shared" si="128"/>
        <v>34246.741416008517</v>
      </c>
      <c r="BD202" s="171">
        <f t="shared" si="124"/>
        <v>24864.29</v>
      </c>
      <c r="BE202" s="171">
        <f t="shared" si="124"/>
        <v>11100.312942078959</v>
      </c>
      <c r="BF202" s="171">
        <f t="shared" si="124"/>
        <v>11100.312942078959</v>
      </c>
      <c r="BG202" s="171">
        <f t="shared" si="123"/>
        <v>11100.312942078959</v>
      </c>
      <c r="BI202" s="187">
        <f>IF(A202-'Invoer gegevens'!$C$17&lt;0,0,IF(A202-'Invoer gegevens'!$C$17=0,1,IF(A202-'Invoer gegevens'!$C$17&lt;5,2,IF(A202-'Invoer gegevens'!$C$17&lt;15,3,4))))</f>
        <v>0</v>
      </c>
      <c r="BJ202" s="229">
        <f>IF(BI202&lt;1,0,IF(BI202&lt;2,4%,IF(Reeksen!BI202&lt;3,4%,IF(Reeksen!BI202&lt;4,4%*70%,IF(Reeksen!BI202&lt;5,4%*50%)))))</f>
        <v>0</v>
      </c>
      <c r="BK202" s="243"/>
      <c r="BL202" s="243"/>
      <c r="BM202" s="243"/>
      <c r="BN202" s="243"/>
      <c r="BO202" s="243"/>
      <c r="BP202" s="243"/>
      <c r="BQ202" s="243"/>
      <c r="BR202" s="243"/>
    </row>
    <row r="203" spans="1:70" x14ac:dyDescent="0.25">
      <c r="A203" s="184">
        <f t="shared" si="139"/>
        <v>198</v>
      </c>
      <c r="B203" s="179">
        <f>Dashboard!$C$25</f>
        <v>0.05</v>
      </c>
      <c r="C203" s="179">
        <f>Dashboard!$C$25</f>
        <v>0.05</v>
      </c>
      <c r="D203" s="179">
        <f>Dashboard!$C$25</f>
        <v>0.05</v>
      </c>
      <c r="E203" s="189"/>
      <c r="F203" s="184">
        <f t="shared" ca="1" si="140"/>
        <v>2217</v>
      </c>
      <c r="G203" s="179">
        <f t="shared" si="120"/>
        <v>0.02</v>
      </c>
      <c r="H203" s="182">
        <f t="shared" si="141"/>
        <v>50.72354365293986</v>
      </c>
      <c r="I203" s="179">
        <f t="shared" si="121"/>
        <v>2.5000000000000001E-2</v>
      </c>
      <c r="J203" s="182">
        <f t="shared" si="142"/>
        <v>133.76556401562624</v>
      </c>
      <c r="K203" s="179">
        <f t="shared" si="122"/>
        <v>2.5000000000000001E-2</v>
      </c>
      <c r="L203" s="182">
        <f t="shared" si="143"/>
        <v>133.76556401562624</v>
      </c>
      <c r="M203" s="189"/>
      <c r="N203" s="184">
        <f t="shared" ca="1" si="144"/>
        <v>2217</v>
      </c>
      <c r="O203" s="179">
        <f t="shared" si="156"/>
        <v>0.02</v>
      </c>
      <c r="P203" s="182">
        <f t="shared" si="125"/>
        <v>50.67430617899965</v>
      </c>
      <c r="R203" s="184">
        <f t="shared" ca="1" si="145"/>
        <v>2217</v>
      </c>
      <c r="S203" s="188">
        <f t="shared" si="118"/>
        <v>5.3600000000000002E-3</v>
      </c>
      <c r="U203" s="184">
        <f t="shared" ca="1" si="146"/>
        <v>2217</v>
      </c>
      <c r="V203" s="182">
        <f t="shared" si="129"/>
        <v>0.02</v>
      </c>
      <c r="W203" s="180">
        <f>Parameters!$D$12</f>
        <v>5.0000000000000001E-3</v>
      </c>
      <c r="X203" s="182">
        <f t="shared" si="130"/>
        <v>2.5000000000000001E-2</v>
      </c>
      <c r="Y203" s="182">
        <f t="shared" si="147"/>
        <v>133.89741773321322</v>
      </c>
      <c r="AA203" s="189"/>
      <c r="AB203" s="184">
        <f t="shared" ca="1" si="148"/>
        <v>2217</v>
      </c>
      <c r="AC203" s="171">
        <f t="shared" si="131"/>
        <v>66948.708866606612</v>
      </c>
      <c r="AD203" s="171">
        <f t="shared" si="127"/>
        <v>11322.319200920538</v>
      </c>
      <c r="AE203" s="171">
        <f t="shared" si="157"/>
        <v>34931.676244328686</v>
      </c>
      <c r="AF203" s="171">
        <f t="shared" si="149"/>
        <v>11322.319200920538</v>
      </c>
      <c r="AG203" s="171">
        <f t="shared" si="119"/>
        <v>25361.58</v>
      </c>
      <c r="AH203" s="171">
        <f t="shared" si="132"/>
        <v>25361.58</v>
      </c>
      <c r="AI203" s="171">
        <f t="shared" si="133"/>
        <v>11322.319200920538</v>
      </c>
      <c r="AJ203" s="171">
        <f>IF('Invoer gegevens'!$I$27="DAEB",SMALL(AC203:AD203,1),AC203)</f>
        <v>11322.319200920538</v>
      </c>
      <c r="AK203" s="171">
        <f>IF('Invoer gegevens'!$I$27="DAEB",SMALL((AE203:AH203),1),SMALL((AF203:AH203),1))</f>
        <v>11322.319200920538</v>
      </c>
      <c r="AL203" s="171">
        <f t="shared" si="154"/>
        <v>0</v>
      </c>
      <c r="AM203" s="171">
        <f t="shared" si="155"/>
        <v>0</v>
      </c>
      <c r="AN203" s="175">
        <f t="shared" si="150"/>
        <v>1598834</v>
      </c>
      <c r="AP203" s="184">
        <f t="shared" ca="1" si="151"/>
        <v>2217</v>
      </c>
      <c r="AQ203" s="185">
        <f t="shared" si="134"/>
        <v>0.02</v>
      </c>
      <c r="AR203" s="182">
        <f t="shared" si="126"/>
        <v>50.67430617899965</v>
      </c>
      <c r="AU203" s="184">
        <f t="shared" ca="1" si="152"/>
        <v>2217</v>
      </c>
      <c r="AV203" s="182">
        <f t="shared" si="135"/>
        <v>0.02</v>
      </c>
      <c r="AW203" s="179">
        <f t="shared" si="136"/>
        <v>5.0000000000000001E-3</v>
      </c>
      <c r="AX203" s="182">
        <f t="shared" si="137"/>
        <v>2.5000000000000001E-2</v>
      </c>
      <c r="AY203" s="186"/>
      <c r="AZ203" s="190"/>
      <c r="BA203" s="184">
        <f t="shared" ca="1" si="153"/>
        <v>2217</v>
      </c>
      <c r="BB203" s="171">
        <f t="shared" si="138"/>
        <v>66949.09</v>
      </c>
      <c r="BC203" s="171">
        <f t="shared" si="128"/>
        <v>34931.676244328686</v>
      </c>
      <c r="BD203" s="171">
        <f t="shared" si="124"/>
        <v>25361.58</v>
      </c>
      <c r="BE203" s="171">
        <f t="shared" si="124"/>
        <v>11322.319200920538</v>
      </c>
      <c r="BF203" s="171">
        <f t="shared" si="124"/>
        <v>11322.319200920538</v>
      </c>
      <c r="BG203" s="171">
        <f t="shared" si="123"/>
        <v>11322.319200920538</v>
      </c>
      <c r="BI203" s="187">
        <f>IF(A203-'Invoer gegevens'!$C$17&lt;0,0,IF(A203-'Invoer gegevens'!$C$17=0,1,IF(A203-'Invoer gegevens'!$C$17&lt;5,2,IF(A203-'Invoer gegevens'!$C$17&lt;15,3,4))))</f>
        <v>0</v>
      </c>
      <c r="BJ203" s="229">
        <f>IF(BI203&lt;1,0,IF(BI203&lt;2,4%,IF(Reeksen!BI203&lt;3,4%,IF(Reeksen!BI203&lt;4,4%*70%,IF(Reeksen!BI203&lt;5,4%*50%)))))</f>
        <v>0</v>
      </c>
      <c r="BK203" s="243"/>
      <c r="BL203" s="243"/>
      <c r="BM203" s="243"/>
      <c r="BN203" s="243"/>
      <c r="BO203" s="243"/>
      <c r="BP203" s="243"/>
      <c r="BQ203" s="243"/>
      <c r="BR203" s="243"/>
    </row>
    <row r="204" spans="1:70" x14ac:dyDescent="0.25">
      <c r="A204" s="184">
        <f t="shared" si="139"/>
        <v>199</v>
      </c>
      <c r="B204" s="179">
        <f>Dashboard!$C$25</f>
        <v>0.05</v>
      </c>
      <c r="C204" s="179">
        <f>Dashboard!$C$25</f>
        <v>0.05</v>
      </c>
      <c r="D204" s="179">
        <f>Dashboard!$C$25</f>
        <v>0.05</v>
      </c>
      <c r="E204" s="189"/>
      <c r="F204" s="184">
        <f t="shared" ca="1" si="140"/>
        <v>2218</v>
      </c>
      <c r="G204" s="179">
        <f t="shared" si="120"/>
        <v>0.02</v>
      </c>
      <c r="H204" s="182">
        <f t="shared" si="141"/>
        <v>51.738014525998658</v>
      </c>
      <c r="I204" s="179">
        <f t="shared" si="121"/>
        <v>2.5000000000000001E-2</v>
      </c>
      <c r="J204" s="182">
        <f t="shared" si="142"/>
        <v>137.10970311601687</v>
      </c>
      <c r="K204" s="179">
        <f t="shared" si="122"/>
        <v>2.5000000000000001E-2</v>
      </c>
      <c r="L204" s="182">
        <f t="shared" si="143"/>
        <v>137.10970311601687</v>
      </c>
      <c r="M204" s="189"/>
      <c r="N204" s="184">
        <f t="shared" ca="1" si="144"/>
        <v>2218</v>
      </c>
      <c r="O204" s="179">
        <f t="shared" si="156"/>
        <v>0.02</v>
      </c>
      <c r="P204" s="182">
        <f t="shared" si="125"/>
        <v>51.687792302579645</v>
      </c>
      <c r="R204" s="184">
        <f t="shared" ca="1" si="145"/>
        <v>2218</v>
      </c>
      <c r="S204" s="188">
        <f t="shared" ref="S204:S234" si="158">S203</f>
        <v>5.3600000000000002E-3</v>
      </c>
      <c r="U204" s="184">
        <f t="shared" ca="1" si="146"/>
        <v>2218</v>
      </c>
      <c r="V204" s="182">
        <f t="shared" si="129"/>
        <v>0.02</v>
      </c>
      <c r="W204" s="180">
        <f>Parameters!$D$12</f>
        <v>5.0000000000000001E-3</v>
      </c>
      <c r="X204" s="182">
        <f t="shared" si="130"/>
        <v>2.5000000000000001E-2</v>
      </c>
      <c r="Y204" s="182">
        <f t="shared" si="147"/>
        <v>137.24485317654353</v>
      </c>
      <c r="AA204" s="189"/>
      <c r="AB204" s="184">
        <f t="shared" ca="1" si="148"/>
        <v>2218</v>
      </c>
      <c r="AC204" s="171">
        <f t="shared" si="131"/>
        <v>68622.426588271759</v>
      </c>
      <c r="AD204" s="171">
        <f t="shared" si="127"/>
        <v>11548.76558493895</v>
      </c>
      <c r="AE204" s="171">
        <f t="shared" si="157"/>
        <v>35630.309769215259</v>
      </c>
      <c r="AF204" s="171">
        <f t="shared" si="149"/>
        <v>11548.76558493895</v>
      </c>
      <c r="AG204" s="171">
        <f t="shared" si="119"/>
        <v>25868.81</v>
      </c>
      <c r="AH204" s="171">
        <f t="shared" si="132"/>
        <v>25868.81</v>
      </c>
      <c r="AI204" s="171">
        <f t="shared" si="133"/>
        <v>11548.76558493895</v>
      </c>
      <c r="AJ204" s="171">
        <f>IF('Invoer gegevens'!$I$27="DAEB",SMALL(AC204:AD204,1),AC204)</f>
        <v>11548.76558493895</v>
      </c>
      <c r="AK204" s="171">
        <f>IF('Invoer gegevens'!$I$27="DAEB",SMALL((AE204:AH204),1),SMALL((AF204:AH204),1))</f>
        <v>11548.76558493895</v>
      </c>
      <c r="AL204" s="171">
        <f t="shared" si="154"/>
        <v>0</v>
      </c>
      <c r="AM204" s="171">
        <f t="shared" si="155"/>
        <v>0</v>
      </c>
      <c r="AN204" s="175">
        <f t="shared" si="150"/>
        <v>1630811</v>
      </c>
      <c r="AP204" s="184">
        <f t="shared" ca="1" si="151"/>
        <v>2218</v>
      </c>
      <c r="AQ204" s="185">
        <f t="shared" si="134"/>
        <v>0.02</v>
      </c>
      <c r="AR204" s="182">
        <f t="shared" si="126"/>
        <v>51.687792302579645</v>
      </c>
      <c r="AU204" s="184">
        <f t="shared" ca="1" si="152"/>
        <v>2218</v>
      </c>
      <c r="AV204" s="182">
        <f t="shared" si="135"/>
        <v>0.02</v>
      </c>
      <c r="AW204" s="179">
        <f t="shared" si="136"/>
        <v>5.0000000000000001E-3</v>
      </c>
      <c r="AX204" s="182">
        <f t="shared" si="137"/>
        <v>2.5000000000000001E-2</v>
      </c>
      <c r="AY204" s="186"/>
      <c r="AZ204" s="190"/>
      <c r="BA204" s="184">
        <f t="shared" ca="1" si="153"/>
        <v>2218</v>
      </c>
      <c r="BB204" s="171">
        <f t="shared" si="138"/>
        <v>68622.820000000007</v>
      </c>
      <c r="BC204" s="171">
        <f t="shared" si="128"/>
        <v>35630.309769215259</v>
      </c>
      <c r="BD204" s="171">
        <f t="shared" si="124"/>
        <v>25868.81</v>
      </c>
      <c r="BE204" s="171">
        <f t="shared" si="124"/>
        <v>11548.76558493895</v>
      </c>
      <c r="BF204" s="171">
        <f t="shared" si="124"/>
        <v>11548.76558493895</v>
      </c>
      <c r="BG204" s="171">
        <f t="shared" si="123"/>
        <v>11548.76558493895</v>
      </c>
      <c r="BI204" s="187">
        <f>IF(A204-'Invoer gegevens'!$C$17&lt;0,0,IF(A204-'Invoer gegevens'!$C$17=0,1,IF(A204-'Invoer gegevens'!$C$17&lt;5,2,IF(A204-'Invoer gegevens'!$C$17&lt;15,3,4))))</f>
        <v>0</v>
      </c>
      <c r="BJ204" s="229">
        <f>IF(BI204&lt;1,0,IF(BI204&lt;2,4%,IF(Reeksen!BI204&lt;3,4%,IF(Reeksen!BI204&lt;4,4%*70%,IF(Reeksen!BI204&lt;5,4%*50%)))))</f>
        <v>0</v>
      </c>
      <c r="BK204" s="243"/>
      <c r="BL204" s="243"/>
      <c r="BM204" s="243"/>
      <c r="BN204" s="243"/>
      <c r="BO204" s="243"/>
      <c r="BP204" s="243"/>
      <c r="BQ204" s="243"/>
      <c r="BR204" s="243"/>
    </row>
    <row r="205" spans="1:70" x14ac:dyDescent="0.25">
      <c r="A205" s="184">
        <f t="shared" si="139"/>
        <v>200</v>
      </c>
      <c r="B205" s="179">
        <f>Dashboard!$C$25</f>
        <v>0.05</v>
      </c>
      <c r="C205" s="179">
        <f>Dashboard!$C$25</f>
        <v>0.05</v>
      </c>
      <c r="D205" s="179">
        <f>Dashboard!$C$25</f>
        <v>0.05</v>
      </c>
      <c r="E205" s="189"/>
      <c r="F205" s="184">
        <f t="shared" ca="1" si="140"/>
        <v>2219</v>
      </c>
      <c r="G205" s="179">
        <f t="shared" si="120"/>
        <v>0.02</v>
      </c>
      <c r="H205" s="182">
        <f t="shared" si="141"/>
        <v>52.772774816518634</v>
      </c>
      <c r="I205" s="179">
        <f t="shared" si="121"/>
        <v>2.5000000000000001E-2</v>
      </c>
      <c r="J205" s="182">
        <f t="shared" si="142"/>
        <v>140.53744569391728</v>
      </c>
      <c r="K205" s="179">
        <f t="shared" si="122"/>
        <v>2.5000000000000001E-2</v>
      </c>
      <c r="L205" s="182">
        <f t="shared" si="143"/>
        <v>140.53744569391728</v>
      </c>
      <c r="M205" s="189"/>
      <c r="N205" s="184">
        <f t="shared" ca="1" si="144"/>
        <v>2219</v>
      </c>
      <c r="O205" s="179">
        <f t="shared" si="156"/>
        <v>0.02</v>
      </c>
      <c r="P205" s="182">
        <f t="shared" si="125"/>
        <v>52.721548148631236</v>
      </c>
      <c r="R205" s="184">
        <f t="shared" ca="1" si="145"/>
        <v>2219</v>
      </c>
      <c r="S205" s="188">
        <f t="shared" si="158"/>
        <v>5.3600000000000002E-3</v>
      </c>
      <c r="U205" s="184">
        <f t="shared" ca="1" si="146"/>
        <v>2219</v>
      </c>
      <c r="V205" s="182">
        <f t="shared" si="129"/>
        <v>0.02</v>
      </c>
      <c r="W205" s="180">
        <f>Parameters!$D$12</f>
        <v>5.0000000000000001E-3</v>
      </c>
      <c r="X205" s="182">
        <f t="shared" si="130"/>
        <v>2.5000000000000001E-2</v>
      </c>
      <c r="Y205" s="182">
        <f t="shared" si="147"/>
        <v>140.6759745059571</v>
      </c>
      <c r="AA205" s="189"/>
      <c r="AB205" s="184">
        <f t="shared" ca="1" si="148"/>
        <v>2219</v>
      </c>
      <c r="AC205" s="171">
        <f t="shared" si="131"/>
        <v>70337.98725297855</v>
      </c>
      <c r="AD205" s="171">
        <f t="shared" si="127"/>
        <v>11779.74089663773</v>
      </c>
      <c r="AE205" s="171">
        <f t="shared" si="157"/>
        <v>36342.915964599568</v>
      </c>
      <c r="AF205" s="171">
        <f t="shared" si="149"/>
        <v>11779.74089663773</v>
      </c>
      <c r="AG205" s="171">
        <f t="shared" ref="AG205:AG234" si="159">ROUND($AG204*(1+V205)^1,2)</f>
        <v>26386.19</v>
      </c>
      <c r="AH205" s="171">
        <f t="shared" si="132"/>
        <v>26386.19</v>
      </c>
      <c r="AI205" s="171">
        <f t="shared" si="133"/>
        <v>11779.74089663773</v>
      </c>
      <c r="AJ205" s="171">
        <f>IF('Invoer gegevens'!$I$27="DAEB",SMALL(AC205:AD205,1),AC205)</f>
        <v>11779.74089663773</v>
      </c>
      <c r="AK205" s="171">
        <f>IF('Invoer gegevens'!$I$27="DAEB",SMALL((AE205:AH205),1),SMALL((AF205:AH205),1))</f>
        <v>11779.74089663773</v>
      </c>
      <c r="AL205" s="171">
        <f t="shared" si="154"/>
        <v>0</v>
      </c>
      <c r="AM205" s="171">
        <f t="shared" si="155"/>
        <v>0</v>
      </c>
      <c r="AN205" s="175">
        <f t="shared" si="150"/>
        <v>1663427</v>
      </c>
      <c r="AP205" s="184">
        <f t="shared" ca="1" si="151"/>
        <v>2219</v>
      </c>
      <c r="AQ205" s="185">
        <f t="shared" si="134"/>
        <v>0.02</v>
      </c>
      <c r="AR205" s="182">
        <f t="shared" si="126"/>
        <v>52.721548148631236</v>
      </c>
      <c r="AU205" s="184">
        <f t="shared" ca="1" si="152"/>
        <v>2219</v>
      </c>
      <c r="AV205" s="182">
        <f t="shared" si="135"/>
        <v>0.02</v>
      </c>
      <c r="AW205" s="179">
        <f t="shared" si="136"/>
        <v>5.0000000000000001E-3</v>
      </c>
      <c r="AX205" s="182">
        <f t="shared" si="137"/>
        <v>2.5000000000000001E-2</v>
      </c>
      <c r="AY205" s="186"/>
      <c r="AZ205" s="190"/>
      <c r="BA205" s="184">
        <f t="shared" ca="1" si="153"/>
        <v>2219</v>
      </c>
      <c r="BB205" s="171">
        <f t="shared" si="138"/>
        <v>70338.39</v>
      </c>
      <c r="BC205" s="171">
        <f t="shared" si="128"/>
        <v>36342.915964599568</v>
      </c>
      <c r="BD205" s="171">
        <f t="shared" si="124"/>
        <v>26386.19</v>
      </c>
      <c r="BE205" s="171">
        <f t="shared" si="124"/>
        <v>11779.74089663773</v>
      </c>
      <c r="BF205" s="171">
        <f t="shared" si="124"/>
        <v>11779.74089663773</v>
      </c>
      <c r="BG205" s="171">
        <f t="shared" si="123"/>
        <v>11779.74089663773</v>
      </c>
      <c r="BI205" s="187">
        <f>IF(A205-'Invoer gegevens'!$C$17&lt;0,0,IF(A205-'Invoer gegevens'!$C$17=0,1,IF(A205-'Invoer gegevens'!$C$17&lt;5,2,IF(A205-'Invoer gegevens'!$C$17&lt;15,3,4))))</f>
        <v>0</v>
      </c>
      <c r="BJ205" s="229">
        <f>IF(BI205&lt;1,0,IF(BI205&lt;2,4%,IF(Reeksen!BI205&lt;3,4%,IF(Reeksen!BI205&lt;4,4%*70%,IF(Reeksen!BI205&lt;5,4%*50%)))))</f>
        <v>0</v>
      </c>
      <c r="BK205" s="243"/>
      <c r="BL205" s="243"/>
      <c r="BM205" s="243"/>
      <c r="BN205" s="243"/>
      <c r="BO205" s="243"/>
      <c r="BP205" s="243"/>
      <c r="BQ205" s="243"/>
      <c r="BR205" s="243"/>
    </row>
    <row r="206" spans="1:70" x14ac:dyDescent="0.25">
      <c r="A206" s="184">
        <f t="shared" si="139"/>
        <v>201</v>
      </c>
      <c r="B206" s="179">
        <f>Dashboard!$C$25</f>
        <v>0.05</v>
      </c>
      <c r="C206" s="179">
        <f>Dashboard!$C$25</f>
        <v>0.05</v>
      </c>
      <c r="D206" s="179">
        <f>Dashboard!$C$25</f>
        <v>0.05</v>
      </c>
      <c r="E206" s="189"/>
      <c r="F206" s="184">
        <f t="shared" ca="1" si="140"/>
        <v>2220</v>
      </c>
      <c r="G206" s="179">
        <f t="shared" si="120"/>
        <v>0.02</v>
      </c>
      <c r="H206" s="182">
        <f t="shared" si="141"/>
        <v>53.828230312849008</v>
      </c>
      <c r="I206" s="179">
        <f t="shared" si="121"/>
        <v>2.5000000000000001E-2</v>
      </c>
      <c r="J206" s="182">
        <f t="shared" si="142"/>
        <v>144.05088183626521</v>
      </c>
      <c r="K206" s="179">
        <f t="shared" si="122"/>
        <v>2.5000000000000001E-2</v>
      </c>
      <c r="L206" s="182">
        <f t="shared" si="143"/>
        <v>144.05088183626521</v>
      </c>
      <c r="M206" s="189"/>
      <c r="N206" s="184">
        <f t="shared" ca="1" si="144"/>
        <v>2220</v>
      </c>
      <c r="O206" s="179">
        <f t="shared" si="156"/>
        <v>0.02</v>
      </c>
      <c r="P206" s="182">
        <f t="shared" si="125"/>
        <v>53.77597911160386</v>
      </c>
      <c r="R206" s="184">
        <f t="shared" ca="1" si="145"/>
        <v>2220</v>
      </c>
      <c r="S206" s="188">
        <f t="shared" si="158"/>
        <v>5.3600000000000002E-3</v>
      </c>
      <c r="U206" s="184">
        <f t="shared" ca="1" si="146"/>
        <v>2220</v>
      </c>
      <c r="V206" s="182">
        <f t="shared" si="129"/>
        <v>0.02</v>
      </c>
      <c r="W206" s="180">
        <f>Parameters!$D$12</f>
        <v>5.0000000000000001E-3</v>
      </c>
      <c r="X206" s="182">
        <f t="shared" si="130"/>
        <v>2.5000000000000001E-2</v>
      </c>
      <c r="Y206" s="182">
        <f t="shared" si="147"/>
        <v>144.19287386860603</v>
      </c>
      <c r="AA206" s="189"/>
      <c r="AB206" s="184">
        <f t="shared" ca="1" si="148"/>
        <v>2220</v>
      </c>
      <c r="AC206" s="171">
        <f t="shared" si="131"/>
        <v>72096.436934303012</v>
      </c>
      <c r="AD206" s="171">
        <f t="shared" si="127"/>
        <v>12015.335714570485</v>
      </c>
      <c r="AE206" s="171">
        <f t="shared" si="157"/>
        <v>37069.774283891558</v>
      </c>
      <c r="AF206" s="171">
        <f t="shared" si="149"/>
        <v>12015.335714570485</v>
      </c>
      <c r="AG206" s="171">
        <f t="shared" si="159"/>
        <v>26913.91</v>
      </c>
      <c r="AH206" s="171">
        <f t="shared" si="132"/>
        <v>26913.91</v>
      </c>
      <c r="AI206" s="171">
        <f t="shared" si="133"/>
        <v>12015.335714570485</v>
      </c>
      <c r="AJ206" s="171">
        <f>IF('Invoer gegevens'!$I$27="DAEB",SMALL(AC206:AD206,1),AC206)</f>
        <v>12015.335714570485</v>
      </c>
      <c r="AK206" s="171">
        <f>IF('Invoer gegevens'!$I$27="DAEB",SMALL((AE206:AH206),1),SMALL((AF206:AH206),1))</f>
        <v>12015.335714570485</v>
      </c>
      <c r="AL206" s="171">
        <f t="shared" si="154"/>
        <v>0</v>
      </c>
      <c r="AM206" s="171">
        <f t="shared" si="155"/>
        <v>0</v>
      </c>
      <c r="AN206" s="175">
        <f t="shared" si="150"/>
        <v>1696696</v>
      </c>
      <c r="AP206" s="184">
        <f t="shared" ca="1" si="151"/>
        <v>2220</v>
      </c>
      <c r="AQ206" s="185">
        <f t="shared" si="134"/>
        <v>0.02</v>
      </c>
      <c r="AR206" s="182">
        <f t="shared" si="126"/>
        <v>53.77597911160386</v>
      </c>
      <c r="AU206" s="184">
        <f t="shared" ca="1" si="152"/>
        <v>2220</v>
      </c>
      <c r="AV206" s="182">
        <f t="shared" si="135"/>
        <v>0.02</v>
      </c>
      <c r="AW206" s="179">
        <f t="shared" si="136"/>
        <v>5.0000000000000001E-3</v>
      </c>
      <c r="AX206" s="182">
        <f t="shared" si="137"/>
        <v>2.5000000000000001E-2</v>
      </c>
      <c r="AY206" s="186"/>
      <c r="AZ206" s="190"/>
      <c r="BA206" s="184">
        <f t="shared" ca="1" si="153"/>
        <v>2220</v>
      </c>
      <c r="BB206" s="171">
        <f t="shared" si="138"/>
        <v>72096.850000000006</v>
      </c>
      <c r="BC206" s="171">
        <f t="shared" si="128"/>
        <v>37069.774283891558</v>
      </c>
      <c r="BD206" s="171">
        <f t="shared" si="124"/>
        <v>26913.91</v>
      </c>
      <c r="BE206" s="171">
        <f t="shared" si="124"/>
        <v>12015.335714570485</v>
      </c>
      <c r="BF206" s="171">
        <f t="shared" si="124"/>
        <v>12015.335714570485</v>
      </c>
      <c r="BG206" s="171">
        <f t="shared" si="123"/>
        <v>12015.335714570485</v>
      </c>
      <c r="BI206" s="187">
        <f>IF(A206-'Invoer gegevens'!$C$17&lt;0,0,IF(A206-'Invoer gegevens'!$C$17=0,1,IF(A206-'Invoer gegevens'!$C$17&lt;5,2,IF(A206-'Invoer gegevens'!$C$17&lt;15,3,4))))</f>
        <v>0</v>
      </c>
      <c r="BJ206" s="229">
        <f>IF(BI206&lt;1,0,IF(BI206&lt;2,4%,IF(Reeksen!BI206&lt;3,4%,IF(Reeksen!BI206&lt;4,4%*70%,IF(Reeksen!BI206&lt;5,4%*50%)))))</f>
        <v>0</v>
      </c>
      <c r="BK206" s="243"/>
      <c r="BL206" s="243"/>
      <c r="BM206" s="243"/>
      <c r="BN206" s="243"/>
      <c r="BO206" s="243"/>
      <c r="BP206" s="243"/>
      <c r="BQ206" s="243"/>
      <c r="BR206" s="243"/>
    </row>
    <row r="207" spans="1:70" x14ac:dyDescent="0.25">
      <c r="A207" s="184">
        <f t="shared" si="139"/>
        <v>202</v>
      </c>
      <c r="B207" s="179">
        <f>Dashboard!$C$25</f>
        <v>0.05</v>
      </c>
      <c r="C207" s="179">
        <f>Dashboard!$C$25</f>
        <v>0.05</v>
      </c>
      <c r="D207" s="179">
        <f>Dashboard!$C$25</f>
        <v>0.05</v>
      </c>
      <c r="E207" s="189"/>
      <c r="F207" s="184">
        <f t="shared" ca="1" si="140"/>
        <v>2221</v>
      </c>
      <c r="G207" s="179">
        <f t="shared" si="120"/>
        <v>0.02</v>
      </c>
      <c r="H207" s="182">
        <f t="shared" si="141"/>
        <v>54.904794919105989</v>
      </c>
      <c r="I207" s="179">
        <f t="shared" si="121"/>
        <v>2.5000000000000001E-2</v>
      </c>
      <c r="J207" s="182">
        <f t="shared" si="142"/>
        <v>147.65215388217183</v>
      </c>
      <c r="K207" s="179">
        <f t="shared" si="122"/>
        <v>2.5000000000000001E-2</v>
      </c>
      <c r="L207" s="182">
        <f t="shared" si="143"/>
        <v>147.65215388217183</v>
      </c>
      <c r="M207" s="189"/>
      <c r="N207" s="184">
        <f t="shared" ca="1" si="144"/>
        <v>2221</v>
      </c>
      <c r="O207" s="179">
        <f t="shared" si="156"/>
        <v>0.02</v>
      </c>
      <c r="P207" s="182">
        <f t="shared" si="125"/>
        <v>54.851498693835936</v>
      </c>
      <c r="R207" s="184">
        <f t="shared" ca="1" si="145"/>
        <v>2221</v>
      </c>
      <c r="S207" s="188">
        <f t="shared" si="158"/>
        <v>5.3600000000000002E-3</v>
      </c>
      <c r="U207" s="184">
        <f t="shared" ca="1" si="146"/>
        <v>2221</v>
      </c>
      <c r="V207" s="182">
        <f t="shared" si="129"/>
        <v>0.02</v>
      </c>
      <c r="W207" s="180">
        <f>Parameters!$D$12</f>
        <v>5.0000000000000001E-3</v>
      </c>
      <c r="X207" s="182">
        <f t="shared" si="130"/>
        <v>2.5000000000000001E-2</v>
      </c>
      <c r="Y207" s="182">
        <f t="shared" si="147"/>
        <v>147.79769571532117</v>
      </c>
      <c r="AA207" s="189"/>
      <c r="AB207" s="184">
        <f t="shared" ca="1" si="148"/>
        <v>2221</v>
      </c>
      <c r="AC207" s="171">
        <f t="shared" si="131"/>
        <v>73898.847857660585</v>
      </c>
      <c r="AD207" s="171">
        <f t="shared" si="127"/>
        <v>12255.642428861895</v>
      </c>
      <c r="AE207" s="171">
        <f t="shared" si="157"/>
        <v>37811.169769569387</v>
      </c>
      <c r="AF207" s="171">
        <f t="shared" si="149"/>
        <v>12255.642428861895</v>
      </c>
      <c r="AG207" s="171">
        <f t="shared" si="159"/>
        <v>27452.19</v>
      </c>
      <c r="AH207" s="171">
        <f t="shared" si="132"/>
        <v>27452.19</v>
      </c>
      <c r="AI207" s="171">
        <f t="shared" si="133"/>
        <v>12255.642428861895</v>
      </c>
      <c r="AJ207" s="171">
        <f>IF('Invoer gegevens'!$I$27="DAEB",SMALL(AC207:AD207,1),AC207)</f>
        <v>12255.642428861895</v>
      </c>
      <c r="AK207" s="171">
        <f>IF('Invoer gegevens'!$I$27="DAEB",SMALL((AE207:AH207),1),SMALL((AF207:AH207),1))</f>
        <v>12255.642428861895</v>
      </c>
      <c r="AL207" s="171">
        <f t="shared" si="154"/>
        <v>0</v>
      </c>
      <c r="AM207" s="171">
        <f t="shared" si="155"/>
        <v>0</v>
      </c>
      <c r="AN207" s="175">
        <f t="shared" si="150"/>
        <v>1730630</v>
      </c>
      <c r="AP207" s="184">
        <f t="shared" ca="1" si="151"/>
        <v>2221</v>
      </c>
      <c r="AQ207" s="185">
        <f t="shared" si="134"/>
        <v>0.02</v>
      </c>
      <c r="AR207" s="182">
        <f t="shared" si="126"/>
        <v>54.851498693835936</v>
      </c>
      <c r="AU207" s="184">
        <f t="shared" ca="1" si="152"/>
        <v>2221</v>
      </c>
      <c r="AV207" s="182">
        <f t="shared" si="135"/>
        <v>0.02</v>
      </c>
      <c r="AW207" s="179">
        <f t="shared" si="136"/>
        <v>5.0000000000000001E-3</v>
      </c>
      <c r="AX207" s="182">
        <f t="shared" si="137"/>
        <v>2.5000000000000001E-2</v>
      </c>
      <c r="AY207" s="186"/>
      <c r="AZ207" s="190"/>
      <c r="BA207" s="184">
        <f t="shared" ca="1" si="153"/>
        <v>2221</v>
      </c>
      <c r="BB207" s="171">
        <f t="shared" si="138"/>
        <v>73899.27</v>
      </c>
      <c r="BC207" s="171">
        <f t="shared" si="128"/>
        <v>37811.169769569387</v>
      </c>
      <c r="BD207" s="171">
        <f t="shared" si="124"/>
        <v>27452.19</v>
      </c>
      <c r="BE207" s="171">
        <f t="shared" si="124"/>
        <v>12255.642428861895</v>
      </c>
      <c r="BF207" s="171">
        <f t="shared" si="124"/>
        <v>12255.642428861895</v>
      </c>
      <c r="BG207" s="171">
        <f t="shared" si="123"/>
        <v>12255.642428861895</v>
      </c>
      <c r="BI207" s="187">
        <f>IF(A207-'Invoer gegevens'!$C$17&lt;0,0,IF(A207-'Invoer gegevens'!$C$17=0,1,IF(A207-'Invoer gegevens'!$C$17&lt;5,2,IF(A207-'Invoer gegevens'!$C$17&lt;15,3,4))))</f>
        <v>0</v>
      </c>
      <c r="BJ207" s="229">
        <f>IF(BI207&lt;1,0,IF(BI207&lt;2,4%,IF(Reeksen!BI207&lt;3,4%,IF(Reeksen!BI207&lt;4,4%*70%,IF(Reeksen!BI207&lt;5,4%*50%)))))</f>
        <v>0</v>
      </c>
      <c r="BK207" s="243"/>
      <c r="BL207" s="243"/>
      <c r="BM207" s="243"/>
      <c r="BN207" s="243"/>
      <c r="BO207" s="243"/>
      <c r="BP207" s="243"/>
      <c r="BQ207" s="243"/>
      <c r="BR207" s="243"/>
    </row>
    <row r="208" spans="1:70" x14ac:dyDescent="0.25">
      <c r="A208" s="184">
        <f t="shared" si="139"/>
        <v>203</v>
      </c>
      <c r="B208" s="179">
        <f>Dashboard!$C$25</f>
        <v>0.05</v>
      </c>
      <c r="C208" s="179">
        <f>Dashboard!$C$25</f>
        <v>0.05</v>
      </c>
      <c r="D208" s="179">
        <f>Dashboard!$C$25</f>
        <v>0.05</v>
      </c>
      <c r="E208" s="189"/>
      <c r="F208" s="184">
        <f t="shared" ca="1" si="140"/>
        <v>2222</v>
      </c>
      <c r="G208" s="179">
        <f t="shared" si="120"/>
        <v>0.02</v>
      </c>
      <c r="H208" s="182">
        <f t="shared" si="141"/>
        <v>56.002890817488108</v>
      </c>
      <c r="I208" s="179">
        <f t="shared" si="121"/>
        <v>2.5000000000000001E-2</v>
      </c>
      <c r="J208" s="182">
        <f t="shared" si="142"/>
        <v>151.34345772922612</v>
      </c>
      <c r="K208" s="179">
        <f t="shared" si="122"/>
        <v>2.5000000000000001E-2</v>
      </c>
      <c r="L208" s="182">
        <f t="shared" si="143"/>
        <v>151.34345772922612</v>
      </c>
      <c r="M208" s="189"/>
      <c r="N208" s="184">
        <f t="shared" ca="1" si="144"/>
        <v>2222</v>
      </c>
      <c r="O208" s="179">
        <f t="shared" si="156"/>
        <v>0.02</v>
      </c>
      <c r="P208" s="182">
        <f t="shared" si="125"/>
        <v>55.948528667712658</v>
      </c>
      <c r="R208" s="184">
        <f t="shared" ca="1" si="145"/>
        <v>2222</v>
      </c>
      <c r="S208" s="188">
        <f t="shared" si="158"/>
        <v>5.3600000000000002E-3</v>
      </c>
      <c r="U208" s="184">
        <f t="shared" ca="1" si="146"/>
        <v>2222</v>
      </c>
      <c r="V208" s="182">
        <f t="shared" si="129"/>
        <v>0.02</v>
      </c>
      <c r="W208" s="180">
        <f>Parameters!$D$12</f>
        <v>5.0000000000000001E-3</v>
      </c>
      <c r="X208" s="182">
        <f t="shared" si="130"/>
        <v>2.5000000000000001E-2</v>
      </c>
      <c r="Y208" s="182">
        <f t="shared" si="147"/>
        <v>151.49263810820418</v>
      </c>
      <c r="AA208" s="189"/>
      <c r="AB208" s="184">
        <f t="shared" ca="1" si="148"/>
        <v>2222</v>
      </c>
      <c r="AC208" s="171">
        <f t="shared" si="131"/>
        <v>75746.319054102089</v>
      </c>
      <c r="AD208" s="171">
        <f t="shared" si="127"/>
        <v>12500.755277439132</v>
      </c>
      <c r="AE208" s="171">
        <f t="shared" si="157"/>
        <v>38567.393164960777</v>
      </c>
      <c r="AF208" s="171">
        <f t="shared" si="149"/>
        <v>12500.755277439132</v>
      </c>
      <c r="AG208" s="171">
        <f t="shared" si="159"/>
        <v>28001.23</v>
      </c>
      <c r="AH208" s="171">
        <f t="shared" si="132"/>
        <v>28001.23</v>
      </c>
      <c r="AI208" s="171">
        <f t="shared" si="133"/>
        <v>12500.755277439132</v>
      </c>
      <c r="AJ208" s="171">
        <f>IF('Invoer gegevens'!$I$27="DAEB",SMALL(AC208:AD208,1),AC208)</f>
        <v>12500.755277439132</v>
      </c>
      <c r="AK208" s="171">
        <f>IF('Invoer gegevens'!$I$27="DAEB",SMALL((AE208:AH208),1),SMALL((AF208:AH208),1))</f>
        <v>12500.755277439132</v>
      </c>
      <c r="AL208" s="171">
        <f t="shared" si="154"/>
        <v>0</v>
      </c>
      <c r="AM208" s="171">
        <f t="shared" si="155"/>
        <v>0</v>
      </c>
      <c r="AN208" s="175">
        <f t="shared" si="150"/>
        <v>1765243</v>
      </c>
      <c r="AP208" s="184">
        <f t="shared" ca="1" si="151"/>
        <v>2222</v>
      </c>
      <c r="AQ208" s="185">
        <f t="shared" si="134"/>
        <v>0.02</v>
      </c>
      <c r="AR208" s="182">
        <f t="shared" si="126"/>
        <v>55.948528667712658</v>
      </c>
      <c r="AU208" s="184">
        <f t="shared" ca="1" si="152"/>
        <v>2222</v>
      </c>
      <c r="AV208" s="182">
        <f t="shared" si="135"/>
        <v>0.02</v>
      </c>
      <c r="AW208" s="179">
        <f t="shared" si="136"/>
        <v>5.0000000000000001E-3</v>
      </c>
      <c r="AX208" s="182">
        <f t="shared" si="137"/>
        <v>2.5000000000000001E-2</v>
      </c>
      <c r="AY208" s="186"/>
      <c r="AZ208" s="190"/>
      <c r="BA208" s="184">
        <f t="shared" ca="1" si="153"/>
        <v>2222</v>
      </c>
      <c r="BB208" s="171">
        <f t="shared" si="138"/>
        <v>75746.75</v>
      </c>
      <c r="BC208" s="171">
        <f t="shared" si="128"/>
        <v>38567.393164960777</v>
      </c>
      <c r="BD208" s="171">
        <f t="shared" si="124"/>
        <v>28001.23</v>
      </c>
      <c r="BE208" s="171">
        <f t="shared" si="124"/>
        <v>12500.755277439132</v>
      </c>
      <c r="BF208" s="171">
        <f t="shared" si="124"/>
        <v>12500.755277439132</v>
      </c>
      <c r="BG208" s="171">
        <f t="shared" si="123"/>
        <v>12500.755277439132</v>
      </c>
      <c r="BI208" s="187">
        <f>IF(A208-'Invoer gegevens'!$C$17&lt;0,0,IF(A208-'Invoer gegevens'!$C$17=0,1,IF(A208-'Invoer gegevens'!$C$17&lt;5,2,IF(A208-'Invoer gegevens'!$C$17&lt;15,3,4))))</f>
        <v>0</v>
      </c>
      <c r="BJ208" s="229">
        <f>IF(BI208&lt;1,0,IF(BI208&lt;2,4%,IF(Reeksen!BI208&lt;3,4%,IF(Reeksen!BI208&lt;4,4%*70%,IF(Reeksen!BI208&lt;5,4%*50%)))))</f>
        <v>0</v>
      </c>
      <c r="BK208" s="243"/>
      <c r="BL208" s="243"/>
      <c r="BM208" s="243"/>
      <c r="BN208" s="243"/>
      <c r="BO208" s="243"/>
      <c r="BP208" s="243"/>
      <c r="BQ208" s="243"/>
      <c r="BR208" s="243"/>
    </row>
    <row r="209" spans="1:70" x14ac:dyDescent="0.25">
      <c r="A209" s="184">
        <f t="shared" si="139"/>
        <v>204</v>
      </c>
      <c r="B209" s="179">
        <f>Dashboard!$C$25</f>
        <v>0.05</v>
      </c>
      <c r="C209" s="179">
        <f>Dashboard!$C$25</f>
        <v>0.05</v>
      </c>
      <c r="D209" s="179">
        <f>Dashboard!$C$25</f>
        <v>0.05</v>
      </c>
      <c r="E209" s="189"/>
      <c r="F209" s="184">
        <f t="shared" ca="1" si="140"/>
        <v>2223</v>
      </c>
      <c r="G209" s="179">
        <f t="shared" si="120"/>
        <v>0.02</v>
      </c>
      <c r="H209" s="182">
        <f t="shared" si="141"/>
        <v>57.122948633837872</v>
      </c>
      <c r="I209" s="179">
        <f t="shared" si="121"/>
        <v>2.5000000000000001E-2</v>
      </c>
      <c r="J209" s="182">
        <f t="shared" si="142"/>
        <v>155.12704417245675</v>
      </c>
      <c r="K209" s="179">
        <f t="shared" si="122"/>
        <v>2.5000000000000001E-2</v>
      </c>
      <c r="L209" s="182">
        <f t="shared" si="143"/>
        <v>155.12704417245675</v>
      </c>
      <c r="M209" s="189"/>
      <c r="N209" s="184">
        <f t="shared" ca="1" si="144"/>
        <v>2223</v>
      </c>
      <c r="O209" s="179">
        <f t="shared" si="156"/>
        <v>0.02</v>
      </c>
      <c r="P209" s="182">
        <f t="shared" si="125"/>
        <v>57.067499241066912</v>
      </c>
      <c r="R209" s="184">
        <f t="shared" ca="1" si="145"/>
        <v>2223</v>
      </c>
      <c r="S209" s="188">
        <f t="shared" si="158"/>
        <v>5.3600000000000002E-3</v>
      </c>
      <c r="U209" s="184">
        <f t="shared" ca="1" si="146"/>
        <v>2223</v>
      </c>
      <c r="V209" s="182">
        <f t="shared" si="129"/>
        <v>0.02</v>
      </c>
      <c r="W209" s="180">
        <f>Parameters!$D$12</f>
        <v>5.0000000000000001E-3</v>
      </c>
      <c r="X209" s="182">
        <f t="shared" si="130"/>
        <v>2.5000000000000001E-2</v>
      </c>
      <c r="Y209" s="182">
        <f t="shared" si="147"/>
        <v>155.27995406090926</v>
      </c>
      <c r="AA209" s="189"/>
      <c r="AB209" s="184">
        <f t="shared" ca="1" si="148"/>
        <v>2223</v>
      </c>
      <c r="AC209" s="171">
        <f t="shared" si="131"/>
        <v>77639.977030454625</v>
      </c>
      <c r="AD209" s="171">
        <f t="shared" si="127"/>
        <v>12750.770382987914</v>
      </c>
      <c r="AE209" s="171">
        <f t="shared" si="157"/>
        <v>39338.741028259996</v>
      </c>
      <c r="AF209" s="171">
        <f t="shared" si="149"/>
        <v>12750.770382987914</v>
      </c>
      <c r="AG209" s="171">
        <f t="shared" si="159"/>
        <v>28561.25</v>
      </c>
      <c r="AH209" s="171">
        <f t="shared" si="132"/>
        <v>28561.25</v>
      </c>
      <c r="AI209" s="171">
        <f t="shared" si="133"/>
        <v>12750.770382987914</v>
      </c>
      <c r="AJ209" s="171">
        <f>IF('Invoer gegevens'!$I$27="DAEB",SMALL(AC209:AD209,1),AC209)</f>
        <v>12750.770382987914</v>
      </c>
      <c r="AK209" s="171">
        <f>IF('Invoer gegevens'!$I$27="DAEB",SMALL((AE209:AH209),1),SMALL((AF209:AH209),1))</f>
        <v>12750.770382987914</v>
      </c>
      <c r="AL209" s="171">
        <f t="shared" si="154"/>
        <v>0</v>
      </c>
      <c r="AM209" s="171">
        <f t="shared" si="155"/>
        <v>0</v>
      </c>
      <c r="AN209" s="175">
        <f t="shared" si="150"/>
        <v>1800548</v>
      </c>
      <c r="AP209" s="184">
        <f t="shared" ca="1" si="151"/>
        <v>2223</v>
      </c>
      <c r="AQ209" s="185">
        <f t="shared" si="134"/>
        <v>0.02</v>
      </c>
      <c r="AR209" s="182">
        <f t="shared" si="126"/>
        <v>57.067499241066912</v>
      </c>
      <c r="AU209" s="184">
        <f t="shared" ca="1" si="152"/>
        <v>2223</v>
      </c>
      <c r="AV209" s="182">
        <f t="shared" si="135"/>
        <v>0.02</v>
      </c>
      <c r="AW209" s="179">
        <f t="shared" si="136"/>
        <v>5.0000000000000001E-3</v>
      </c>
      <c r="AX209" s="182">
        <f t="shared" si="137"/>
        <v>2.5000000000000001E-2</v>
      </c>
      <c r="AY209" s="186"/>
      <c r="AZ209" s="190"/>
      <c r="BA209" s="184">
        <f t="shared" ca="1" si="153"/>
        <v>2223</v>
      </c>
      <c r="BB209" s="171">
        <f t="shared" si="138"/>
        <v>77640.42</v>
      </c>
      <c r="BC209" s="171">
        <f t="shared" si="128"/>
        <v>39338.741028259996</v>
      </c>
      <c r="BD209" s="171">
        <f t="shared" si="124"/>
        <v>28561.25</v>
      </c>
      <c r="BE209" s="171">
        <f t="shared" si="124"/>
        <v>12750.770382987914</v>
      </c>
      <c r="BF209" s="171">
        <f t="shared" si="124"/>
        <v>12750.770382987914</v>
      </c>
      <c r="BG209" s="171">
        <f t="shared" si="123"/>
        <v>12750.770382987914</v>
      </c>
      <c r="BI209" s="187">
        <f>IF(A209-'Invoer gegevens'!$C$17&lt;0,0,IF(A209-'Invoer gegevens'!$C$17=0,1,IF(A209-'Invoer gegevens'!$C$17&lt;5,2,IF(A209-'Invoer gegevens'!$C$17&lt;15,3,4))))</f>
        <v>0</v>
      </c>
      <c r="BJ209" s="229">
        <f>IF(BI209&lt;1,0,IF(BI209&lt;2,4%,IF(Reeksen!BI209&lt;3,4%,IF(Reeksen!BI209&lt;4,4%*70%,IF(Reeksen!BI209&lt;5,4%*50%)))))</f>
        <v>0</v>
      </c>
      <c r="BK209" s="243"/>
      <c r="BL209" s="243"/>
      <c r="BM209" s="243"/>
      <c r="BN209" s="243"/>
      <c r="BO209" s="243"/>
      <c r="BP209" s="243"/>
      <c r="BQ209" s="243"/>
      <c r="BR209" s="243"/>
    </row>
    <row r="210" spans="1:70" x14ac:dyDescent="0.25">
      <c r="A210" s="184">
        <f t="shared" si="139"/>
        <v>205</v>
      </c>
      <c r="B210" s="179">
        <f>Dashboard!$C$25</f>
        <v>0.05</v>
      </c>
      <c r="C210" s="179">
        <f>Dashboard!$C$25</f>
        <v>0.05</v>
      </c>
      <c r="D210" s="179">
        <f>Dashboard!$C$25</f>
        <v>0.05</v>
      </c>
      <c r="E210" s="189"/>
      <c r="F210" s="184">
        <f t="shared" ca="1" si="140"/>
        <v>2224</v>
      </c>
      <c r="G210" s="179">
        <f t="shared" si="120"/>
        <v>0.02</v>
      </c>
      <c r="H210" s="182">
        <f t="shared" si="141"/>
        <v>58.265407606514628</v>
      </c>
      <c r="I210" s="179">
        <f t="shared" si="121"/>
        <v>2.5000000000000001E-2</v>
      </c>
      <c r="J210" s="182">
        <f t="shared" si="142"/>
        <v>159.00522027676814</v>
      </c>
      <c r="K210" s="179">
        <f t="shared" si="122"/>
        <v>2.5000000000000001E-2</v>
      </c>
      <c r="L210" s="182">
        <f t="shared" si="143"/>
        <v>159.00522027676814</v>
      </c>
      <c r="M210" s="189"/>
      <c r="N210" s="184">
        <f t="shared" ca="1" si="144"/>
        <v>2224</v>
      </c>
      <c r="O210" s="179">
        <f t="shared" si="156"/>
        <v>0.02</v>
      </c>
      <c r="P210" s="182">
        <f t="shared" si="125"/>
        <v>58.208849225888251</v>
      </c>
      <c r="R210" s="184">
        <f t="shared" ca="1" si="145"/>
        <v>2224</v>
      </c>
      <c r="S210" s="188">
        <f t="shared" si="158"/>
        <v>5.3600000000000002E-3</v>
      </c>
      <c r="U210" s="184">
        <f t="shared" ca="1" si="146"/>
        <v>2224</v>
      </c>
      <c r="V210" s="182">
        <f t="shared" si="129"/>
        <v>0.02</v>
      </c>
      <c r="W210" s="180">
        <f>Parameters!$D$12</f>
        <v>5.0000000000000001E-3</v>
      </c>
      <c r="X210" s="182">
        <f t="shared" si="130"/>
        <v>2.5000000000000001E-2</v>
      </c>
      <c r="Y210" s="182">
        <f t="shared" si="147"/>
        <v>159.16195291243199</v>
      </c>
      <c r="AA210" s="189"/>
      <c r="AB210" s="184">
        <f t="shared" ca="1" si="148"/>
        <v>2224</v>
      </c>
      <c r="AC210" s="171">
        <f t="shared" si="131"/>
        <v>79580.976456215998</v>
      </c>
      <c r="AD210" s="171">
        <f t="shared" si="127"/>
        <v>13005.785790647673</v>
      </c>
      <c r="AE210" s="171">
        <f t="shared" si="157"/>
        <v>40125.515848825198</v>
      </c>
      <c r="AF210" s="171">
        <f t="shared" si="149"/>
        <v>13005.785790647673</v>
      </c>
      <c r="AG210" s="171">
        <f t="shared" si="159"/>
        <v>29132.48</v>
      </c>
      <c r="AH210" s="171">
        <f t="shared" si="132"/>
        <v>29132.48</v>
      </c>
      <c r="AI210" s="171">
        <f t="shared" si="133"/>
        <v>13005.785790647673</v>
      </c>
      <c r="AJ210" s="171">
        <f>IF('Invoer gegevens'!$I$27="DAEB",SMALL(AC210:AD210,1),AC210)</f>
        <v>13005.785790647673</v>
      </c>
      <c r="AK210" s="171">
        <f>IF('Invoer gegevens'!$I$27="DAEB",SMALL((AE210:AH210),1),SMALL((AF210:AH210),1))</f>
        <v>13005.785790647673</v>
      </c>
      <c r="AL210" s="171">
        <f t="shared" si="154"/>
        <v>0</v>
      </c>
      <c r="AM210" s="171">
        <f t="shared" si="155"/>
        <v>0</v>
      </c>
      <c r="AN210" s="175">
        <f t="shared" si="150"/>
        <v>1836559</v>
      </c>
      <c r="AP210" s="184">
        <f t="shared" ca="1" si="151"/>
        <v>2224</v>
      </c>
      <c r="AQ210" s="185">
        <f t="shared" si="134"/>
        <v>0.02</v>
      </c>
      <c r="AR210" s="182">
        <f t="shared" si="126"/>
        <v>58.208849225888251</v>
      </c>
      <c r="AU210" s="184">
        <f t="shared" ca="1" si="152"/>
        <v>2224</v>
      </c>
      <c r="AV210" s="182">
        <f t="shared" si="135"/>
        <v>0.02</v>
      </c>
      <c r="AW210" s="179">
        <f t="shared" si="136"/>
        <v>5.0000000000000001E-3</v>
      </c>
      <c r="AX210" s="182">
        <f t="shared" si="137"/>
        <v>2.5000000000000001E-2</v>
      </c>
      <c r="AY210" s="186"/>
      <c r="AZ210" s="190"/>
      <c r="BA210" s="184">
        <f t="shared" ca="1" si="153"/>
        <v>2224</v>
      </c>
      <c r="BB210" s="171">
        <f t="shared" si="138"/>
        <v>79581.429999999993</v>
      </c>
      <c r="BC210" s="171">
        <f t="shared" si="128"/>
        <v>40125.515848825198</v>
      </c>
      <c r="BD210" s="171">
        <f t="shared" si="124"/>
        <v>29132.48</v>
      </c>
      <c r="BE210" s="171">
        <f t="shared" si="124"/>
        <v>13005.785790647673</v>
      </c>
      <c r="BF210" s="171">
        <f t="shared" si="124"/>
        <v>13005.785790647673</v>
      </c>
      <c r="BG210" s="171">
        <f t="shared" si="123"/>
        <v>13005.785790647673</v>
      </c>
      <c r="BI210" s="187">
        <f>IF(A210-'Invoer gegevens'!$C$17&lt;0,0,IF(A210-'Invoer gegevens'!$C$17=0,1,IF(A210-'Invoer gegevens'!$C$17&lt;5,2,IF(A210-'Invoer gegevens'!$C$17&lt;15,3,4))))</f>
        <v>0</v>
      </c>
      <c r="BJ210" s="229">
        <f>IF(BI210&lt;1,0,IF(BI210&lt;2,4%,IF(Reeksen!BI210&lt;3,4%,IF(Reeksen!BI210&lt;4,4%*70%,IF(Reeksen!BI210&lt;5,4%*50%)))))</f>
        <v>0</v>
      </c>
      <c r="BK210" s="243"/>
      <c r="BL210" s="243"/>
      <c r="BM210" s="243"/>
      <c r="BN210" s="243"/>
      <c r="BO210" s="243"/>
      <c r="BP210" s="243"/>
      <c r="BQ210" s="243"/>
      <c r="BR210" s="243"/>
    </row>
    <row r="211" spans="1:70" x14ac:dyDescent="0.25">
      <c r="A211" s="184">
        <f t="shared" si="139"/>
        <v>206</v>
      </c>
      <c r="B211" s="179">
        <f>Dashboard!$C$25</f>
        <v>0.05</v>
      </c>
      <c r="C211" s="179">
        <f>Dashboard!$C$25</f>
        <v>0.05</v>
      </c>
      <c r="D211" s="179">
        <f>Dashboard!$C$25</f>
        <v>0.05</v>
      </c>
      <c r="E211" s="189"/>
      <c r="F211" s="184">
        <f t="shared" ca="1" si="140"/>
        <v>2225</v>
      </c>
      <c r="G211" s="179">
        <f t="shared" si="120"/>
        <v>0.02</v>
      </c>
      <c r="H211" s="182">
        <f t="shared" si="141"/>
        <v>59.430715758644922</v>
      </c>
      <c r="I211" s="179">
        <f t="shared" si="121"/>
        <v>2.5000000000000001E-2</v>
      </c>
      <c r="J211" s="182">
        <f t="shared" si="142"/>
        <v>162.98035078368733</v>
      </c>
      <c r="K211" s="179">
        <f t="shared" si="122"/>
        <v>2.5000000000000001E-2</v>
      </c>
      <c r="L211" s="182">
        <f t="shared" si="143"/>
        <v>162.98035078368733</v>
      </c>
      <c r="M211" s="189"/>
      <c r="N211" s="184">
        <f t="shared" ca="1" si="144"/>
        <v>2225</v>
      </c>
      <c r="O211" s="179">
        <f t="shared" si="156"/>
        <v>0.02</v>
      </c>
      <c r="P211" s="182">
        <f t="shared" si="125"/>
        <v>59.373026210406017</v>
      </c>
      <c r="R211" s="184">
        <f t="shared" ca="1" si="145"/>
        <v>2225</v>
      </c>
      <c r="S211" s="188">
        <f t="shared" si="158"/>
        <v>5.3600000000000002E-3</v>
      </c>
      <c r="U211" s="184">
        <f t="shared" ca="1" si="146"/>
        <v>2225</v>
      </c>
      <c r="V211" s="182">
        <f t="shared" si="129"/>
        <v>0.02</v>
      </c>
      <c r="W211" s="180">
        <f>Parameters!$D$12</f>
        <v>5.0000000000000001E-3</v>
      </c>
      <c r="X211" s="182">
        <f t="shared" si="130"/>
        <v>2.5000000000000001E-2</v>
      </c>
      <c r="Y211" s="182">
        <f t="shared" si="147"/>
        <v>163.14100173524278</v>
      </c>
      <c r="AA211" s="189"/>
      <c r="AB211" s="184">
        <f t="shared" ca="1" si="148"/>
        <v>2225</v>
      </c>
      <c r="AC211" s="171">
        <f t="shared" si="131"/>
        <v>81570.500867621391</v>
      </c>
      <c r="AD211" s="171">
        <f t="shared" si="127"/>
        <v>13265.901506460626</v>
      </c>
      <c r="AE211" s="171">
        <f t="shared" si="157"/>
        <v>40928.026165801704</v>
      </c>
      <c r="AF211" s="171">
        <f t="shared" si="149"/>
        <v>13265.901506460626</v>
      </c>
      <c r="AG211" s="171">
        <f t="shared" si="159"/>
        <v>29715.13</v>
      </c>
      <c r="AH211" s="171">
        <f t="shared" si="132"/>
        <v>29715.13</v>
      </c>
      <c r="AI211" s="171">
        <f t="shared" si="133"/>
        <v>13265.901506460626</v>
      </c>
      <c r="AJ211" s="171">
        <f>IF('Invoer gegevens'!$I$27="DAEB",SMALL(AC211:AD211,1),AC211)</f>
        <v>13265.901506460626</v>
      </c>
      <c r="AK211" s="171">
        <f>IF('Invoer gegevens'!$I$27="DAEB",SMALL((AE211:AH211),1),SMALL((AF211:AH211),1))</f>
        <v>13265.901506460626</v>
      </c>
      <c r="AL211" s="171">
        <f t="shared" si="154"/>
        <v>0</v>
      </c>
      <c r="AM211" s="171">
        <f t="shared" si="155"/>
        <v>0</v>
      </c>
      <c r="AN211" s="175">
        <f t="shared" si="150"/>
        <v>1873290</v>
      </c>
      <c r="AP211" s="184">
        <f t="shared" ca="1" si="151"/>
        <v>2225</v>
      </c>
      <c r="AQ211" s="185">
        <f t="shared" si="134"/>
        <v>0.02</v>
      </c>
      <c r="AR211" s="182">
        <f t="shared" si="126"/>
        <v>59.373026210406017</v>
      </c>
      <c r="AU211" s="184">
        <f t="shared" ca="1" si="152"/>
        <v>2225</v>
      </c>
      <c r="AV211" s="182">
        <f t="shared" si="135"/>
        <v>0.02</v>
      </c>
      <c r="AW211" s="179">
        <f t="shared" si="136"/>
        <v>5.0000000000000001E-3</v>
      </c>
      <c r="AX211" s="182">
        <f t="shared" si="137"/>
        <v>2.5000000000000001E-2</v>
      </c>
      <c r="AY211" s="186"/>
      <c r="AZ211" s="190"/>
      <c r="BA211" s="184">
        <f t="shared" ca="1" si="153"/>
        <v>2225</v>
      </c>
      <c r="BB211" s="171">
        <f t="shared" si="138"/>
        <v>81570.97</v>
      </c>
      <c r="BC211" s="171">
        <f t="shared" si="128"/>
        <v>40928.026165801704</v>
      </c>
      <c r="BD211" s="171">
        <f t="shared" si="124"/>
        <v>29715.13</v>
      </c>
      <c r="BE211" s="171">
        <f t="shared" si="124"/>
        <v>13265.901506460626</v>
      </c>
      <c r="BF211" s="171">
        <f t="shared" si="124"/>
        <v>13265.901506460626</v>
      </c>
      <c r="BG211" s="171">
        <f t="shared" si="123"/>
        <v>13265.901506460626</v>
      </c>
      <c r="BI211" s="187">
        <f>IF(A211-'Invoer gegevens'!$C$17&lt;0,0,IF(A211-'Invoer gegevens'!$C$17=0,1,IF(A211-'Invoer gegevens'!$C$17&lt;5,2,IF(A211-'Invoer gegevens'!$C$17&lt;15,3,4))))</f>
        <v>0</v>
      </c>
      <c r="BJ211" s="229">
        <f>IF(BI211&lt;1,0,IF(BI211&lt;2,4%,IF(Reeksen!BI211&lt;3,4%,IF(Reeksen!BI211&lt;4,4%*70%,IF(Reeksen!BI211&lt;5,4%*50%)))))</f>
        <v>0</v>
      </c>
      <c r="BK211" s="243"/>
      <c r="BL211" s="243"/>
      <c r="BM211" s="243"/>
      <c r="BN211" s="243"/>
      <c r="BO211" s="243"/>
      <c r="BP211" s="243"/>
      <c r="BQ211" s="243"/>
      <c r="BR211" s="243"/>
    </row>
    <row r="212" spans="1:70" x14ac:dyDescent="0.25">
      <c r="A212" s="184">
        <f t="shared" si="139"/>
        <v>207</v>
      </c>
      <c r="B212" s="179">
        <f>Dashboard!$C$25</f>
        <v>0.05</v>
      </c>
      <c r="C212" s="179">
        <f>Dashboard!$C$25</f>
        <v>0.05</v>
      </c>
      <c r="D212" s="179">
        <f>Dashboard!$C$25</f>
        <v>0.05</v>
      </c>
      <c r="E212" s="189"/>
      <c r="F212" s="184">
        <f t="shared" ca="1" si="140"/>
        <v>2226</v>
      </c>
      <c r="G212" s="179">
        <f t="shared" si="120"/>
        <v>0.02</v>
      </c>
      <c r="H212" s="182">
        <f t="shared" si="141"/>
        <v>60.619330073817821</v>
      </c>
      <c r="I212" s="179">
        <f t="shared" si="121"/>
        <v>2.5000000000000001E-2</v>
      </c>
      <c r="J212" s="182">
        <f t="shared" si="142"/>
        <v>167.0548595532795</v>
      </c>
      <c r="K212" s="179">
        <f t="shared" si="122"/>
        <v>2.5000000000000001E-2</v>
      </c>
      <c r="L212" s="182">
        <f t="shared" si="143"/>
        <v>167.0548595532795</v>
      </c>
      <c r="M212" s="189"/>
      <c r="N212" s="184">
        <f t="shared" ca="1" si="144"/>
        <v>2226</v>
      </c>
      <c r="O212" s="179">
        <f t="shared" si="156"/>
        <v>0.02</v>
      </c>
      <c r="P212" s="182">
        <f t="shared" si="125"/>
        <v>60.560486734614138</v>
      </c>
      <c r="R212" s="184">
        <f t="shared" ca="1" si="145"/>
        <v>2226</v>
      </c>
      <c r="S212" s="188">
        <f t="shared" si="158"/>
        <v>5.3600000000000002E-3</v>
      </c>
      <c r="U212" s="184">
        <f t="shared" ca="1" si="146"/>
        <v>2226</v>
      </c>
      <c r="V212" s="182">
        <f t="shared" si="129"/>
        <v>0.02</v>
      </c>
      <c r="W212" s="180">
        <f>Parameters!$D$12</f>
        <v>5.0000000000000001E-3</v>
      </c>
      <c r="X212" s="182">
        <f t="shared" si="130"/>
        <v>2.5000000000000001E-2</v>
      </c>
      <c r="Y212" s="182">
        <f t="shared" si="147"/>
        <v>167.21952677862384</v>
      </c>
      <c r="AA212" s="189"/>
      <c r="AB212" s="184">
        <f t="shared" ca="1" si="148"/>
        <v>2226</v>
      </c>
      <c r="AC212" s="171">
        <f t="shared" si="131"/>
        <v>83609.76338931192</v>
      </c>
      <c r="AD212" s="171">
        <f t="shared" si="127"/>
        <v>13531.219536589839</v>
      </c>
      <c r="AE212" s="171">
        <f t="shared" si="157"/>
        <v>41746.586689117736</v>
      </c>
      <c r="AF212" s="171">
        <f t="shared" si="149"/>
        <v>13531.219536589839</v>
      </c>
      <c r="AG212" s="171">
        <f t="shared" si="159"/>
        <v>30309.43</v>
      </c>
      <c r="AH212" s="171">
        <f t="shared" si="132"/>
        <v>30309.43</v>
      </c>
      <c r="AI212" s="171">
        <f t="shared" si="133"/>
        <v>13531.219536589839</v>
      </c>
      <c r="AJ212" s="171">
        <f>IF('Invoer gegevens'!$I$27="DAEB",SMALL(AC212:AD212,1),AC212)</f>
        <v>13531.219536589839</v>
      </c>
      <c r="AK212" s="171">
        <f>IF('Invoer gegevens'!$I$27="DAEB",SMALL((AE212:AH212),1),SMALL((AF212:AH212),1))</f>
        <v>13531.219536589839</v>
      </c>
      <c r="AL212" s="171">
        <f t="shared" si="154"/>
        <v>0</v>
      </c>
      <c r="AM212" s="171">
        <f t="shared" si="155"/>
        <v>0</v>
      </c>
      <c r="AN212" s="175">
        <f t="shared" si="150"/>
        <v>1910756</v>
      </c>
      <c r="AP212" s="184">
        <f t="shared" ca="1" si="151"/>
        <v>2226</v>
      </c>
      <c r="AQ212" s="185">
        <f t="shared" si="134"/>
        <v>0.02</v>
      </c>
      <c r="AR212" s="182">
        <f t="shared" si="126"/>
        <v>60.560486734614138</v>
      </c>
      <c r="AU212" s="184">
        <f t="shared" ca="1" si="152"/>
        <v>2226</v>
      </c>
      <c r="AV212" s="182">
        <f t="shared" si="135"/>
        <v>0.02</v>
      </c>
      <c r="AW212" s="179">
        <f t="shared" si="136"/>
        <v>5.0000000000000001E-3</v>
      </c>
      <c r="AX212" s="182">
        <f t="shared" si="137"/>
        <v>2.5000000000000001E-2</v>
      </c>
      <c r="AY212" s="186"/>
      <c r="AZ212" s="190"/>
      <c r="BA212" s="184">
        <f t="shared" ca="1" si="153"/>
        <v>2226</v>
      </c>
      <c r="BB212" s="171">
        <f t="shared" si="138"/>
        <v>83610.240000000005</v>
      </c>
      <c r="BC212" s="171">
        <f t="shared" si="128"/>
        <v>41746.586689117736</v>
      </c>
      <c r="BD212" s="171">
        <f t="shared" si="124"/>
        <v>30309.43</v>
      </c>
      <c r="BE212" s="171">
        <f t="shared" si="124"/>
        <v>13531.219536589839</v>
      </c>
      <c r="BF212" s="171">
        <f t="shared" si="124"/>
        <v>13531.219536589839</v>
      </c>
      <c r="BG212" s="171">
        <f t="shared" si="123"/>
        <v>13531.219536589839</v>
      </c>
      <c r="BI212" s="187">
        <f>IF(A212-'Invoer gegevens'!$C$17&lt;0,0,IF(A212-'Invoer gegevens'!$C$17=0,1,IF(A212-'Invoer gegevens'!$C$17&lt;5,2,IF(A212-'Invoer gegevens'!$C$17&lt;15,3,4))))</f>
        <v>0</v>
      </c>
      <c r="BJ212" s="229">
        <f>IF(BI212&lt;1,0,IF(BI212&lt;2,4%,IF(Reeksen!BI212&lt;3,4%,IF(Reeksen!BI212&lt;4,4%*70%,IF(Reeksen!BI212&lt;5,4%*50%)))))</f>
        <v>0</v>
      </c>
      <c r="BK212" s="243"/>
      <c r="BL212" s="243"/>
      <c r="BM212" s="243"/>
      <c r="BN212" s="243"/>
      <c r="BO212" s="243"/>
      <c r="BP212" s="243"/>
      <c r="BQ212" s="243"/>
      <c r="BR212" s="243"/>
    </row>
    <row r="213" spans="1:70" x14ac:dyDescent="0.25">
      <c r="A213" s="184">
        <f t="shared" si="139"/>
        <v>208</v>
      </c>
      <c r="B213" s="179">
        <f>Dashboard!$C$25</f>
        <v>0.05</v>
      </c>
      <c r="C213" s="179">
        <f>Dashboard!$C$25</f>
        <v>0.05</v>
      </c>
      <c r="D213" s="179">
        <f>Dashboard!$C$25</f>
        <v>0.05</v>
      </c>
      <c r="E213" s="189"/>
      <c r="F213" s="184">
        <f t="shared" ca="1" si="140"/>
        <v>2227</v>
      </c>
      <c r="G213" s="179">
        <f t="shared" si="120"/>
        <v>0.02</v>
      </c>
      <c r="H213" s="182">
        <f t="shared" si="141"/>
        <v>61.831716675294182</v>
      </c>
      <c r="I213" s="179">
        <f t="shared" si="121"/>
        <v>2.5000000000000001E-2</v>
      </c>
      <c r="J213" s="182">
        <f t="shared" si="142"/>
        <v>171.23123104211146</v>
      </c>
      <c r="K213" s="179">
        <f t="shared" si="122"/>
        <v>2.5000000000000001E-2</v>
      </c>
      <c r="L213" s="182">
        <f t="shared" si="143"/>
        <v>171.23123104211146</v>
      </c>
      <c r="M213" s="189"/>
      <c r="N213" s="184">
        <f t="shared" ca="1" si="144"/>
        <v>2227</v>
      </c>
      <c r="O213" s="179">
        <f t="shared" si="156"/>
        <v>0.02</v>
      </c>
      <c r="P213" s="182">
        <f t="shared" si="125"/>
        <v>61.77169646930642</v>
      </c>
      <c r="R213" s="184">
        <f t="shared" ca="1" si="145"/>
        <v>2227</v>
      </c>
      <c r="S213" s="188">
        <f t="shared" si="158"/>
        <v>5.3600000000000002E-3</v>
      </c>
      <c r="U213" s="184">
        <f t="shared" ca="1" si="146"/>
        <v>2227</v>
      </c>
      <c r="V213" s="182">
        <f t="shared" si="129"/>
        <v>0.02</v>
      </c>
      <c r="W213" s="180">
        <f>Parameters!$D$12</f>
        <v>5.0000000000000001E-3</v>
      </c>
      <c r="X213" s="182">
        <f t="shared" si="130"/>
        <v>2.5000000000000001E-2</v>
      </c>
      <c r="Y213" s="182">
        <f t="shared" si="147"/>
        <v>171.40001494808942</v>
      </c>
      <c r="AA213" s="189"/>
      <c r="AB213" s="184">
        <f t="shared" ca="1" si="148"/>
        <v>2227</v>
      </c>
      <c r="AC213" s="171">
        <f t="shared" si="131"/>
        <v>85700.007474044716</v>
      </c>
      <c r="AD213" s="171">
        <f t="shared" si="127"/>
        <v>13801.843927321637</v>
      </c>
      <c r="AE213" s="171">
        <f t="shared" si="157"/>
        <v>42581.518422900088</v>
      </c>
      <c r="AF213" s="171">
        <f t="shared" si="149"/>
        <v>13801.843927321637</v>
      </c>
      <c r="AG213" s="171">
        <f t="shared" si="159"/>
        <v>30915.62</v>
      </c>
      <c r="AH213" s="171">
        <f t="shared" si="132"/>
        <v>30915.62</v>
      </c>
      <c r="AI213" s="171">
        <f t="shared" si="133"/>
        <v>13801.843927321637</v>
      </c>
      <c r="AJ213" s="171">
        <f>IF('Invoer gegevens'!$I$27="DAEB",SMALL(AC213:AD213,1),AC213)</f>
        <v>13801.843927321637</v>
      </c>
      <c r="AK213" s="171">
        <f>IF('Invoer gegevens'!$I$27="DAEB",SMALL((AE213:AH213),1),SMALL((AF213:AH213),1))</f>
        <v>13801.843927321637</v>
      </c>
      <c r="AL213" s="171">
        <f t="shared" si="154"/>
        <v>0</v>
      </c>
      <c r="AM213" s="171">
        <f t="shared" si="155"/>
        <v>0</v>
      </c>
      <c r="AN213" s="175">
        <f t="shared" si="150"/>
        <v>1948971</v>
      </c>
      <c r="AP213" s="184">
        <f t="shared" ca="1" si="151"/>
        <v>2227</v>
      </c>
      <c r="AQ213" s="185">
        <f t="shared" si="134"/>
        <v>0.02</v>
      </c>
      <c r="AR213" s="182">
        <f t="shared" si="126"/>
        <v>61.77169646930642</v>
      </c>
      <c r="AU213" s="184">
        <f t="shared" ca="1" si="152"/>
        <v>2227</v>
      </c>
      <c r="AV213" s="182">
        <f t="shared" si="135"/>
        <v>0.02</v>
      </c>
      <c r="AW213" s="179">
        <f t="shared" si="136"/>
        <v>5.0000000000000001E-3</v>
      </c>
      <c r="AX213" s="182">
        <f t="shared" si="137"/>
        <v>2.5000000000000001E-2</v>
      </c>
      <c r="AY213" s="186"/>
      <c r="AZ213" s="190"/>
      <c r="BA213" s="184">
        <f t="shared" ca="1" si="153"/>
        <v>2227</v>
      </c>
      <c r="BB213" s="171">
        <f t="shared" si="138"/>
        <v>85700.5</v>
      </c>
      <c r="BC213" s="171">
        <f t="shared" si="128"/>
        <v>42581.518422900088</v>
      </c>
      <c r="BD213" s="171">
        <f t="shared" si="124"/>
        <v>30915.62</v>
      </c>
      <c r="BE213" s="171">
        <f t="shared" si="124"/>
        <v>13801.843927321637</v>
      </c>
      <c r="BF213" s="171">
        <f t="shared" si="124"/>
        <v>13801.843927321637</v>
      </c>
      <c r="BG213" s="171">
        <f t="shared" si="123"/>
        <v>13801.843927321637</v>
      </c>
      <c r="BI213" s="187">
        <f>IF(A213-'Invoer gegevens'!$C$17&lt;0,0,IF(A213-'Invoer gegevens'!$C$17=0,1,IF(A213-'Invoer gegevens'!$C$17&lt;5,2,IF(A213-'Invoer gegevens'!$C$17&lt;15,3,4))))</f>
        <v>0</v>
      </c>
      <c r="BJ213" s="229">
        <f>IF(BI213&lt;1,0,IF(BI213&lt;2,4%,IF(Reeksen!BI213&lt;3,4%,IF(Reeksen!BI213&lt;4,4%*70%,IF(Reeksen!BI213&lt;5,4%*50%)))))</f>
        <v>0</v>
      </c>
      <c r="BK213" s="243"/>
      <c r="BL213" s="243"/>
      <c r="BM213" s="243"/>
      <c r="BN213" s="243"/>
      <c r="BO213" s="243"/>
      <c r="BP213" s="243"/>
      <c r="BQ213" s="243"/>
      <c r="BR213" s="243"/>
    </row>
    <row r="214" spans="1:70" x14ac:dyDescent="0.25">
      <c r="A214" s="184">
        <f t="shared" si="139"/>
        <v>209</v>
      </c>
      <c r="B214" s="179">
        <f>Dashboard!$C$25</f>
        <v>0.05</v>
      </c>
      <c r="C214" s="179">
        <f>Dashboard!$C$25</f>
        <v>0.05</v>
      </c>
      <c r="D214" s="179">
        <f>Dashboard!$C$25</f>
        <v>0.05</v>
      </c>
      <c r="E214" s="189"/>
      <c r="F214" s="184">
        <f t="shared" ca="1" si="140"/>
        <v>2228</v>
      </c>
      <c r="G214" s="179">
        <f t="shared" si="120"/>
        <v>0.02</v>
      </c>
      <c r="H214" s="182">
        <f t="shared" si="141"/>
        <v>63.068351008800065</v>
      </c>
      <c r="I214" s="179">
        <f t="shared" si="121"/>
        <v>2.5000000000000001E-2</v>
      </c>
      <c r="J214" s="182">
        <f t="shared" si="142"/>
        <v>175.51201181816424</v>
      </c>
      <c r="K214" s="179">
        <f t="shared" si="122"/>
        <v>2.5000000000000001E-2</v>
      </c>
      <c r="L214" s="182">
        <f t="shared" si="143"/>
        <v>175.51201181816424</v>
      </c>
      <c r="M214" s="189"/>
      <c r="N214" s="184">
        <f t="shared" ca="1" si="144"/>
        <v>2228</v>
      </c>
      <c r="O214" s="179">
        <f t="shared" si="156"/>
        <v>0.02</v>
      </c>
      <c r="P214" s="182">
        <f t="shared" si="125"/>
        <v>63.007130398692553</v>
      </c>
      <c r="R214" s="184">
        <f t="shared" ca="1" si="145"/>
        <v>2228</v>
      </c>
      <c r="S214" s="188">
        <f t="shared" si="158"/>
        <v>5.3600000000000002E-3</v>
      </c>
      <c r="U214" s="184">
        <f t="shared" ca="1" si="146"/>
        <v>2228</v>
      </c>
      <c r="V214" s="182">
        <f t="shared" si="129"/>
        <v>0.02</v>
      </c>
      <c r="W214" s="180">
        <f>Parameters!$D$12</f>
        <v>5.0000000000000001E-3</v>
      </c>
      <c r="X214" s="182">
        <f t="shared" si="130"/>
        <v>2.5000000000000001E-2</v>
      </c>
      <c r="Y214" s="182">
        <f t="shared" si="147"/>
        <v>175.68501532179164</v>
      </c>
      <c r="AA214" s="189"/>
      <c r="AB214" s="184">
        <f t="shared" ca="1" si="148"/>
        <v>2228</v>
      </c>
      <c r="AC214" s="171">
        <f t="shared" si="131"/>
        <v>87842.507660895819</v>
      </c>
      <c r="AD214" s="171">
        <f t="shared" si="127"/>
        <v>14077.88080586807</v>
      </c>
      <c r="AE214" s="171">
        <f t="shared" si="157"/>
        <v>43433.148791358093</v>
      </c>
      <c r="AF214" s="171">
        <f t="shared" si="149"/>
        <v>14077.88080586807</v>
      </c>
      <c r="AG214" s="171">
        <f t="shared" si="159"/>
        <v>31533.93</v>
      </c>
      <c r="AH214" s="171">
        <f t="shared" si="132"/>
        <v>31533.93</v>
      </c>
      <c r="AI214" s="171">
        <f t="shared" si="133"/>
        <v>14077.88080586807</v>
      </c>
      <c r="AJ214" s="171">
        <f>IF('Invoer gegevens'!$I$27="DAEB",SMALL(AC214:AD214,1),AC214)</f>
        <v>14077.88080586807</v>
      </c>
      <c r="AK214" s="171">
        <f>IF('Invoer gegevens'!$I$27="DAEB",SMALL((AE214:AH214),1),SMALL((AF214:AH214),1))</f>
        <v>14077.88080586807</v>
      </c>
      <c r="AL214" s="171">
        <f t="shared" si="154"/>
        <v>0</v>
      </c>
      <c r="AM214" s="171">
        <f t="shared" si="155"/>
        <v>0</v>
      </c>
      <c r="AN214" s="175">
        <f t="shared" si="150"/>
        <v>1987950</v>
      </c>
      <c r="AP214" s="184">
        <f t="shared" ca="1" si="151"/>
        <v>2228</v>
      </c>
      <c r="AQ214" s="185">
        <f t="shared" si="134"/>
        <v>0.02</v>
      </c>
      <c r="AR214" s="182">
        <f t="shared" si="126"/>
        <v>63.007130398692553</v>
      </c>
      <c r="AU214" s="184">
        <f t="shared" ca="1" si="152"/>
        <v>2228</v>
      </c>
      <c r="AV214" s="182">
        <f t="shared" si="135"/>
        <v>0.02</v>
      </c>
      <c r="AW214" s="179">
        <f t="shared" si="136"/>
        <v>5.0000000000000001E-3</v>
      </c>
      <c r="AX214" s="182">
        <f t="shared" si="137"/>
        <v>2.5000000000000001E-2</v>
      </c>
      <c r="AY214" s="186"/>
      <c r="AZ214" s="190"/>
      <c r="BA214" s="184">
        <f t="shared" ca="1" si="153"/>
        <v>2228</v>
      </c>
      <c r="BB214" s="171">
        <f t="shared" si="138"/>
        <v>87843.01</v>
      </c>
      <c r="BC214" s="171">
        <f t="shared" si="128"/>
        <v>43433.148791358093</v>
      </c>
      <c r="BD214" s="171">
        <f t="shared" si="124"/>
        <v>31533.93</v>
      </c>
      <c r="BE214" s="171">
        <f t="shared" si="124"/>
        <v>14077.88080586807</v>
      </c>
      <c r="BF214" s="171">
        <f t="shared" si="124"/>
        <v>14077.88080586807</v>
      </c>
      <c r="BG214" s="171">
        <f t="shared" si="123"/>
        <v>14077.88080586807</v>
      </c>
      <c r="BI214" s="187">
        <f>IF(A214-'Invoer gegevens'!$C$17&lt;0,0,IF(A214-'Invoer gegevens'!$C$17=0,1,IF(A214-'Invoer gegevens'!$C$17&lt;5,2,IF(A214-'Invoer gegevens'!$C$17&lt;15,3,4))))</f>
        <v>0</v>
      </c>
      <c r="BJ214" s="229">
        <f>IF(BI214&lt;1,0,IF(BI214&lt;2,4%,IF(Reeksen!BI214&lt;3,4%,IF(Reeksen!BI214&lt;4,4%*70%,IF(Reeksen!BI214&lt;5,4%*50%)))))</f>
        <v>0</v>
      </c>
      <c r="BK214" s="243"/>
      <c r="BL214" s="243"/>
      <c r="BM214" s="243"/>
      <c r="BN214" s="243"/>
      <c r="BO214" s="243"/>
      <c r="BP214" s="243"/>
      <c r="BQ214" s="243"/>
      <c r="BR214" s="243"/>
    </row>
    <row r="215" spans="1:70" x14ac:dyDescent="0.25">
      <c r="A215" s="184">
        <f t="shared" si="139"/>
        <v>210</v>
      </c>
      <c r="B215" s="179">
        <f>Dashboard!$C$25</f>
        <v>0.05</v>
      </c>
      <c r="C215" s="179">
        <f>Dashboard!$C$25</f>
        <v>0.05</v>
      </c>
      <c r="D215" s="179">
        <f>Dashboard!$C$25</f>
        <v>0.05</v>
      </c>
      <c r="E215" s="189"/>
      <c r="F215" s="184">
        <f t="shared" ca="1" si="140"/>
        <v>2229</v>
      </c>
      <c r="G215" s="179">
        <f t="shared" si="120"/>
        <v>0.02</v>
      </c>
      <c r="H215" s="182">
        <f t="shared" si="141"/>
        <v>64.32971802897606</v>
      </c>
      <c r="I215" s="179">
        <f t="shared" si="121"/>
        <v>2.5000000000000001E-2</v>
      </c>
      <c r="J215" s="182">
        <f t="shared" si="142"/>
        <v>179.89981211361834</v>
      </c>
      <c r="K215" s="179">
        <f t="shared" si="122"/>
        <v>2.5000000000000001E-2</v>
      </c>
      <c r="L215" s="182">
        <f t="shared" si="143"/>
        <v>179.89981211361834</v>
      </c>
      <c r="M215" s="189"/>
      <c r="N215" s="184">
        <f t="shared" ca="1" si="144"/>
        <v>2229</v>
      </c>
      <c r="O215" s="179">
        <f t="shared" si="156"/>
        <v>0.02</v>
      </c>
      <c r="P215" s="182">
        <f t="shared" si="125"/>
        <v>64.2672730066664</v>
      </c>
      <c r="R215" s="184">
        <f t="shared" ca="1" si="145"/>
        <v>2229</v>
      </c>
      <c r="S215" s="188">
        <f t="shared" si="158"/>
        <v>5.3600000000000002E-3</v>
      </c>
      <c r="U215" s="184">
        <f t="shared" ca="1" si="146"/>
        <v>2229</v>
      </c>
      <c r="V215" s="182">
        <f t="shared" si="129"/>
        <v>0.02</v>
      </c>
      <c r="W215" s="180">
        <f>Parameters!$D$12</f>
        <v>5.0000000000000001E-3</v>
      </c>
      <c r="X215" s="182">
        <f t="shared" si="130"/>
        <v>2.5000000000000001E-2</v>
      </c>
      <c r="Y215" s="182">
        <f t="shared" si="147"/>
        <v>180.07714070483641</v>
      </c>
      <c r="AA215" s="189"/>
      <c r="AB215" s="184">
        <f t="shared" ca="1" si="148"/>
        <v>2229</v>
      </c>
      <c r="AC215" s="171">
        <f t="shared" si="131"/>
        <v>90038.570352418203</v>
      </c>
      <c r="AD215" s="171">
        <f t="shared" si="127"/>
        <v>14359.438421985429</v>
      </c>
      <c r="AE215" s="171">
        <f t="shared" si="157"/>
        <v>44301.811767185252</v>
      </c>
      <c r="AF215" s="171">
        <f t="shared" si="149"/>
        <v>14359.438421985429</v>
      </c>
      <c r="AG215" s="171">
        <f t="shared" si="159"/>
        <v>32164.61</v>
      </c>
      <c r="AH215" s="171">
        <f t="shared" si="132"/>
        <v>32164.61</v>
      </c>
      <c r="AI215" s="171">
        <f t="shared" si="133"/>
        <v>14359.438421985429</v>
      </c>
      <c r="AJ215" s="171">
        <f>IF('Invoer gegevens'!$I$27="DAEB",SMALL(AC215:AD215,1),AC215)</f>
        <v>14359.438421985429</v>
      </c>
      <c r="AK215" s="171">
        <f>IF('Invoer gegevens'!$I$27="DAEB",SMALL((AE215:AH215),1),SMALL((AF215:AH215),1))</f>
        <v>14359.438421985429</v>
      </c>
      <c r="AL215" s="171">
        <f t="shared" si="154"/>
        <v>0</v>
      </c>
      <c r="AM215" s="171">
        <f t="shared" si="155"/>
        <v>0</v>
      </c>
      <c r="AN215" s="175">
        <f t="shared" si="150"/>
        <v>2027709</v>
      </c>
      <c r="AP215" s="184">
        <f t="shared" ca="1" si="151"/>
        <v>2229</v>
      </c>
      <c r="AQ215" s="185">
        <f t="shared" si="134"/>
        <v>0.02</v>
      </c>
      <c r="AR215" s="182">
        <f t="shared" si="126"/>
        <v>64.2672730066664</v>
      </c>
      <c r="AU215" s="184">
        <f t="shared" ca="1" si="152"/>
        <v>2229</v>
      </c>
      <c r="AV215" s="182">
        <f t="shared" si="135"/>
        <v>0.02</v>
      </c>
      <c r="AW215" s="179">
        <f t="shared" si="136"/>
        <v>5.0000000000000001E-3</v>
      </c>
      <c r="AX215" s="182">
        <f t="shared" si="137"/>
        <v>2.5000000000000001E-2</v>
      </c>
      <c r="AY215" s="186"/>
      <c r="AZ215" s="190"/>
      <c r="BA215" s="184">
        <f t="shared" ca="1" si="153"/>
        <v>2229</v>
      </c>
      <c r="BB215" s="171">
        <f t="shared" si="138"/>
        <v>90039.09</v>
      </c>
      <c r="BC215" s="171">
        <f t="shared" si="128"/>
        <v>44301.811767185252</v>
      </c>
      <c r="BD215" s="171">
        <f t="shared" si="124"/>
        <v>32164.61</v>
      </c>
      <c r="BE215" s="171">
        <f t="shared" si="124"/>
        <v>14359.438421985429</v>
      </c>
      <c r="BF215" s="171">
        <f t="shared" si="124"/>
        <v>14359.438421985429</v>
      </c>
      <c r="BG215" s="171">
        <f t="shared" si="123"/>
        <v>14359.438421985429</v>
      </c>
      <c r="BI215" s="187">
        <f>IF(A215-'Invoer gegevens'!$C$17&lt;0,0,IF(A215-'Invoer gegevens'!$C$17=0,1,IF(A215-'Invoer gegevens'!$C$17&lt;5,2,IF(A215-'Invoer gegevens'!$C$17&lt;15,3,4))))</f>
        <v>0</v>
      </c>
      <c r="BJ215" s="229">
        <f>IF(BI215&lt;1,0,IF(BI215&lt;2,4%,IF(Reeksen!BI215&lt;3,4%,IF(Reeksen!BI215&lt;4,4%*70%,IF(Reeksen!BI215&lt;5,4%*50%)))))</f>
        <v>0</v>
      </c>
      <c r="BK215" s="243"/>
      <c r="BL215" s="243"/>
      <c r="BM215" s="243"/>
      <c r="BN215" s="243"/>
      <c r="BO215" s="243"/>
      <c r="BP215" s="243"/>
      <c r="BQ215" s="243"/>
      <c r="BR215" s="243"/>
    </row>
    <row r="216" spans="1:70" x14ac:dyDescent="0.25">
      <c r="A216" s="184">
        <f t="shared" si="139"/>
        <v>211</v>
      </c>
      <c r="B216" s="179">
        <f>Dashboard!$C$25</f>
        <v>0.05</v>
      </c>
      <c r="C216" s="179">
        <f>Dashboard!$C$25</f>
        <v>0.05</v>
      </c>
      <c r="D216" s="179">
        <f>Dashboard!$C$25</f>
        <v>0.05</v>
      </c>
      <c r="E216" s="189"/>
      <c r="F216" s="184">
        <f t="shared" ca="1" si="140"/>
        <v>2230</v>
      </c>
      <c r="G216" s="179">
        <f t="shared" si="120"/>
        <v>0.02</v>
      </c>
      <c r="H216" s="182">
        <f t="shared" si="141"/>
        <v>65.616312389555588</v>
      </c>
      <c r="I216" s="179">
        <f t="shared" si="121"/>
        <v>2.5000000000000001E-2</v>
      </c>
      <c r="J216" s="182">
        <f t="shared" si="142"/>
        <v>184.39730741645877</v>
      </c>
      <c r="K216" s="179">
        <f t="shared" si="122"/>
        <v>2.5000000000000001E-2</v>
      </c>
      <c r="L216" s="182">
        <f t="shared" si="143"/>
        <v>184.39730741645877</v>
      </c>
      <c r="M216" s="189"/>
      <c r="N216" s="184">
        <f t="shared" ca="1" si="144"/>
        <v>2230</v>
      </c>
      <c r="O216" s="179">
        <f t="shared" si="156"/>
        <v>0.02</v>
      </c>
      <c r="P216" s="182">
        <f t="shared" si="125"/>
        <v>65.552618466799728</v>
      </c>
      <c r="R216" s="184">
        <f t="shared" ca="1" si="145"/>
        <v>2230</v>
      </c>
      <c r="S216" s="188">
        <f t="shared" si="158"/>
        <v>5.3600000000000002E-3</v>
      </c>
      <c r="U216" s="184">
        <f t="shared" ca="1" si="146"/>
        <v>2230</v>
      </c>
      <c r="V216" s="182">
        <f t="shared" si="129"/>
        <v>0.02</v>
      </c>
      <c r="W216" s="180">
        <f>Parameters!$D$12</f>
        <v>5.0000000000000001E-3</v>
      </c>
      <c r="X216" s="182">
        <f t="shared" si="130"/>
        <v>2.5000000000000001E-2</v>
      </c>
      <c r="Y216" s="182">
        <f t="shared" si="147"/>
        <v>184.57906922245729</v>
      </c>
      <c r="AA216" s="189"/>
      <c r="AB216" s="184">
        <f t="shared" ca="1" si="148"/>
        <v>2230</v>
      </c>
      <c r="AC216" s="171">
        <f t="shared" si="131"/>
        <v>92289.53461122865</v>
      </c>
      <c r="AD216" s="171">
        <f t="shared" si="127"/>
        <v>14646.627190425139</v>
      </c>
      <c r="AE216" s="171">
        <f t="shared" si="157"/>
        <v>45187.848002528961</v>
      </c>
      <c r="AF216" s="171">
        <f t="shared" si="149"/>
        <v>14646.627190425139</v>
      </c>
      <c r="AG216" s="171">
        <f t="shared" si="159"/>
        <v>32807.9</v>
      </c>
      <c r="AH216" s="171">
        <f t="shared" si="132"/>
        <v>32807.9</v>
      </c>
      <c r="AI216" s="171">
        <f t="shared" si="133"/>
        <v>14646.627190425139</v>
      </c>
      <c r="AJ216" s="171">
        <f>IF('Invoer gegevens'!$I$27="DAEB",SMALL(AC216:AD216,1),AC216)</f>
        <v>14646.627190425139</v>
      </c>
      <c r="AK216" s="171">
        <f>IF('Invoer gegevens'!$I$27="DAEB",SMALL((AE216:AH216),1),SMALL((AF216:AH216),1))</f>
        <v>14646.627190425139</v>
      </c>
      <c r="AL216" s="171">
        <f t="shared" si="154"/>
        <v>0</v>
      </c>
      <c r="AM216" s="171">
        <f t="shared" si="155"/>
        <v>0</v>
      </c>
      <c r="AN216" s="175">
        <f t="shared" si="150"/>
        <v>2068263</v>
      </c>
      <c r="AP216" s="184">
        <f t="shared" ca="1" si="151"/>
        <v>2230</v>
      </c>
      <c r="AQ216" s="185">
        <f t="shared" si="134"/>
        <v>0.02</v>
      </c>
      <c r="AR216" s="182">
        <f t="shared" si="126"/>
        <v>65.552618466799728</v>
      </c>
      <c r="AU216" s="184">
        <f t="shared" ca="1" si="152"/>
        <v>2230</v>
      </c>
      <c r="AV216" s="182">
        <f t="shared" si="135"/>
        <v>0.02</v>
      </c>
      <c r="AW216" s="179">
        <f t="shared" si="136"/>
        <v>5.0000000000000001E-3</v>
      </c>
      <c r="AX216" s="182">
        <f t="shared" si="137"/>
        <v>2.5000000000000001E-2</v>
      </c>
      <c r="AY216" s="186"/>
      <c r="AZ216" s="190"/>
      <c r="BA216" s="184">
        <f t="shared" ca="1" si="153"/>
        <v>2230</v>
      </c>
      <c r="BB216" s="171">
        <f t="shared" si="138"/>
        <v>92290.07</v>
      </c>
      <c r="BC216" s="171">
        <f t="shared" si="128"/>
        <v>45187.848002528961</v>
      </c>
      <c r="BD216" s="171">
        <f t="shared" si="124"/>
        <v>32807.9</v>
      </c>
      <c r="BE216" s="171">
        <f t="shared" si="124"/>
        <v>14646.627190425139</v>
      </c>
      <c r="BF216" s="171">
        <f t="shared" si="124"/>
        <v>14646.627190425139</v>
      </c>
      <c r="BG216" s="171">
        <f t="shared" si="123"/>
        <v>14646.627190425139</v>
      </c>
      <c r="BI216" s="187">
        <f>IF(A216-'Invoer gegevens'!$C$17&lt;0,0,IF(A216-'Invoer gegevens'!$C$17=0,1,IF(A216-'Invoer gegevens'!$C$17&lt;5,2,IF(A216-'Invoer gegevens'!$C$17&lt;15,3,4))))</f>
        <v>0</v>
      </c>
      <c r="BJ216" s="229">
        <f>IF(BI216&lt;1,0,IF(BI216&lt;2,4%,IF(Reeksen!BI216&lt;3,4%,IF(Reeksen!BI216&lt;4,4%*70%,IF(Reeksen!BI216&lt;5,4%*50%)))))</f>
        <v>0</v>
      </c>
      <c r="BK216" s="243"/>
      <c r="BL216" s="243"/>
      <c r="BM216" s="243"/>
      <c r="BN216" s="243"/>
      <c r="BO216" s="243"/>
      <c r="BP216" s="243"/>
      <c r="BQ216" s="243"/>
      <c r="BR216" s="243"/>
    </row>
    <row r="217" spans="1:70" x14ac:dyDescent="0.25">
      <c r="A217" s="184">
        <f t="shared" si="139"/>
        <v>212</v>
      </c>
      <c r="B217" s="179">
        <f>Dashboard!$C$25</f>
        <v>0.05</v>
      </c>
      <c r="C217" s="179">
        <f>Dashboard!$C$25</f>
        <v>0.05</v>
      </c>
      <c r="D217" s="179">
        <f>Dashboard!$C$25</f>
        <v>0.05</v>
      </c>
      <c r="E217" s="189"/>
      <c r="F217" s="184">
        <f t="shared" ca="1" si="140"/>
        <v>2231</v>
      </c>
      <c r="G217" s="179">
        <f t="shared" ref="G217:G234" si="160">G216</f>
        <v>0.02</v>
      </c>
      <c r="H217" s="182">
        <f t="shared" si="141"/>
        <v>66.928638637346708</v>
      </c>
      <c r="I217" s="179">
        <f t="shared" ref="I217:I234" si="161">I216</f>
        <v>2.5000000000000001E-2</v>
      </c>
      <c r="J217" s="182">
        <f t="shared" si="142"/>
        <v>189.00724010187022</v>
      </c>
      <c r="K217" s="179">
        <f t="shared" ref="K217:K234" si="162">K216</f>
        <v>2.5000000000000001E-2</v>
      </c>
      <c r="L217" s="182">
        <f t="shared" si="143"/>
        <v>189.00724010187022</v>
      </c>
      <c r="M217" s="189"/>
      <c r="N217" s="184">
        <f t="shared" ca="1" si="144"/>
        <v>2231</v>
      </c>
      <c r="O217" s="179">
        <f t="shared" si="156"/>
        <v>0.02</v>
      </c>
      <c r="P217" s="182">
        <f t="shared" si="125"/>
        <v>66.863670836135725</v>
      </c>
      <c r="R217" s="184">
        <f t="shared" ca="1" si="145"/>
        <v>2231</v>
      </c>
      <c r="S217" s="188">
        <f t="shared" si="158"/>
        <v>5.3600000000000002E-3</v>
      </c>
      <c r="U217" s="184">
        <f t="shared" ca="1" si="146"/>
        <v>2231</v>
      </c>
      <c r="V217" s="182">
        <f t="shared" si="129"/>
        <v>0.02</v>
      </c>
      <c r="W217" s="180">
        <f>Parameters!$D$12</f>
        <v>5.0000000000000001E-3</v>
      </c>
      <c r="X217" s="182">
        <f t="shared" si="130"/>
        <v>2.5000000000000001E-2</v>
      </c>
      <c r="Y217" s="182">
        <f t="shared" si="147"/>
        <v>189.19354595301871</v>
      </c>
      <c r="AA217" s="189"/>
      <c r="AB217" s="184">
        <f t="shared" ca="1" si="148"/>
        <v>2231</v>
      </c>
      <c r="AC217" s="171">
        <f t="shared" si="131"/>
        <v>94596.772976509354</v>
      </c>
      <c r="AD217" s="171">
        <f t="shared" si="127"/>
        <v>14939.559734233644</v>
      </c>
      <c r="AE217" s="171">
        <f t="shared" si="157"/>
        <v>46091.604962579542</v>
      </c>
      <c r="AF217" s="171">
        <f t="shared" si="149"/>
        <v>14939.559734233644</v>
      </c>
      <c r="AG217" s="171">
        <f t="shared" si="159"/>
        <v>33464.06</v>
      </c>
      <c r="AH217" s="171">
        <f t="shared" si="132"/>
        <v>33464.06</v>
      </c>
      <c r="AI217" s="171">
        <f t="shared" si="133"/>
        <v>14939.559734233644</v>
      </c>
      <c r="AJ217" s="171">
        <f>IF('Invoer gegevens'!$I$27="DAEB",SMALL(AC217:AD217,1),AC217)</f>
        <v>14939.559734233644</v>
      </c>
      <c r="AK217" s="171">
        <f>IF('Invoer gegevens'!$I$27="DAEB",SMALL((AE217:AH217),1),SMALL((AF217:AH217),1))</f>
        <v>14939.559734233644</v>
      </c>
      <c r="AL217" s="171">
        <f t="shared" si="154"/>
        <v>0</v>
      </c>
      <c r="AM217" s="171">
        <f t="shared" si="155"/>
        <v>0</v>
      </c>
      <c r="AN217" s="175">
        <f t="shared" si="150"/>
        <v>2109628</v>
      </c>
      <c r="AP217" s="184">
        <f t="shared" ca="1" si="151"/>
        <v>2231</v>
      </c>
      <c r="AQ217" s="185">
        <f t="shared" si="134"/>
        <v>0.02</v>
      </c>
      <c r="AR217" s="182">
        <f t="shared" si="126"/>
        <v>66.863670836135725</v>
      </c>
      <c r="AU217" s="184">
        <f t="shared" ca="1" si="152"/>
        <v>2231</v>
      </c>
      <c r="AV217" s="182">
        <f t="shared" si="135"/>
        <v>0.02</v>
      </c>
      <c r="AW217" s="179">
        <f t="shared" si="136"/>
        <v>5.0000000000000001E-3</v>
      </c>
      <c r="AX217" s="182">
        <f t="shared" si="137"/>
        <v>2.5000000000000001E-2</v>
      </c>
      <c r="AY217" s="186"/>
      <c r="AZ217" s="190"/>
      <c r="BA217" s="184">
        <f t="shared" ca="1" si="153"/>
        <v>2231</v>
      </c>
      <c r="BB217" s="171">
        <f t="shared" si="138"/>
        <v>94597.32</v>
      </c>
      <c r="BC217" s="171">
        <f t="shared" si="128"/>
        <v>46091.604962579542</v>
      </c>
      <c r="BD217" s="171">
        <f t="shared" si="124"/>
        <v>33464.06</v>
      </c>
      <c r="BE217" s="171">
        <f t="shared" si="124"/>
        <v>14939.559734233644</v>
      </c>
      <c r="BF217" s="171">
        <f t="shared" si="124"/>
        <v>14939.559734233644</v>
      </c>
      <c r="BG217" s="171">
        <f t="shared" si="123"/>
        <v>14939.559734233644</v>
      </c>
      <c r="BI217" s="187">
        <f>IF(A217-'Invoer gegevens'!$C$17&lt;0,0,IF(A217-'Invoer gegevens'!$C$17=0,1,IF(A217-'Invoer gegevens'!$C$17&lt;5,2,IF(A217-'Invoer gegevens'!$C$17&lt;15,3,4))))</f>
        <v>0</v>
      </c>
      <c r="BJ217" s="229">
        <f>IF(BI217&lt;1,0,IF(BI217&lt;2,4%,IF(Reeksen!BI217&lt;3,4%,IF(Reeksen!BI217&lt;4,4%*70%,IF(Reeksen!BI217&lt;5,4%*50%)))))</f>
        <v>0</v>
      </c>
      <c r="BK217" s="243"/>
      <c r="BL217" s="243"/>
      <c r="BM217" s="243"/>
      <c r="BN217" s="243"/>
      <c r="BO217" s="243"/>
      <c r="BP217" s="243"/>
      <c r="BQ217" s="243"/>
      <c r="BR217" s="243"/>
    </row>
    <row r="218" spans="1:70" x14ac:dyDescent="0.25">
      <c r="A218" s="184">
        <f t="shared" si="139"/>
        <v>213</v>
      </c>
      <c r="B218" s="179">
        <f>Dashboard!$C$25</f>
        <v>0.05</v>
      </c>
      <c r="C218" s="179">
        <f>Dashboard!$C$25</f>
        <v>0.05</v>
      </c>
      <c r="D218" s="179">
        <f>Dashboard!$C$25</f>
        <v>0.05</v>
      </c>
      <c r="E218" s="189"/>
      <c r="F218" s="184">
        <f t="shared" ca="1" si="140"/>
        <v>2232</v>
      </c>
      <c r="G218" s="179">
        <f t="shared" si="160"/>
        <v>0.02</v>
      </c>
      <c r="H218" s="182">
        <f t="shared" si="141"/>
        <v>68.267211410093637</v>
      </c>
      <c r="I218" s="179">
        <f t="shared" si="161"/>
        <v>2.5000000000000001E-2</v>
      </c>
      <c r="J218" s="182">
        <f t="shared" si="142"/>
        <v>193.73242110441697</v>
      </c>
      <c r="K218" s="179">
        <f t="shared" si="162"/>
        <v>2.5000000000000001E-2</v>
      </c>
      <c r="L218" s="182">
        <f t="shared" si="143"/>
        <v>193.73242110441697</v>
      </c>
      <c r="M218" s="189"/>
      <c r="N218" s="184">
        <f t="shared" ca="1" si="144"/>
        <v>2232</v>
      </c>
      <c r="O218" s="179">
        <f t="shared" si="156"/>
        <v>0.02</v>
      </c>
      <c r="P218" s="182">
        <f t="shared" si="125"/>
        <v>68.200944252858434</v>
      </c>
      <c r="R218" s="184">
        <f t="shared" ca="1" si="145"/>
        <v>2232</v>
      </c>
      <c r="S218" s="188">
        <f t="shared" si="158"/>
        <v>5.3600000000000002E-3</v>
      </c>
      <c r="U218" s="184">
        <f t="shared" ca="1" si="146"/>
        <v>2232</v>
      </c>
      <c r="V218" s="182">
        <f t="shared" si="129"/>
        <v>0.02</v>
      </c>
      <c r="W218" s="180">
        <f>Parameters!$D$12</f>
        <v>5.0000000000000001E-3</v>
      </c>
      <c r="X218" s="182">
        <f t="shared" si="130"/>
        <v>2.5000000000000001E-2</v>
      </c>
      <c r="Y218" s="182">
        <f t="shared" si="147"/>
        <v>193.92338460184416</v>
      </c>
      <c r="AA218" s="189"/>
      <c r="AB218" s="184">
        <f t="shared" ca="1" si="148"/>
        <v>2232</v>
      </c>
      <c r="AC218" s="171">
        <f t="shared" si="131"/>
        <v>96961.692300922077</v>
      </c>
      <c r="AD218" s="171">
        <f t="shared" si="127"/>
        <v>15238.350928918317</v>
      </c>
      <c r="AE218" s="171">
        <f t="shared" si="157"/>
        <v>47013.437061831137</v>
      </c>
      <c r="AF218" s="171">
        <f t="shared" si="149"/>
        <v>15238.350928918317</v>
      </c>
      <c r="AG218" s="171">
        <f t="shared" si="159"/>
        <v>34133.339999999997</v>
      </c>
      <c r="AH218" s="171">
        <f t="shared" si="132"/>
        <v>34133.339999999997</v>
      </c>
      <c r="AI218" s="171">
        <f t="shared" si="133"/>
        <v>15238.350928918317</v>
      </c>
      <c r="AJ218" s="171">
        <f>IF('Invoer gegevens'!$I$27="DAEB",SMALL(AC218:AD218,1),AC218)</f>
        <v>15238.350928918317</v>
      </c>
      <c r="AK218" s="171">
        <f>IF('Invoer gegevens'!$I$27="DAEB",SMALL((AE218:AH218),1),SMALL((AF218:AH218),1))</f>
        <v>15238.350928918317</v>
      </c>
      <c r="AL218" s="171">
        <f t="shared" si="154"/>
        <v>0</v>
      </c>
      <c r="AM218" s="171">
        <f t="shared" si="155"/>
        <v>0</v>
      </c>
      <c r="AN218" s="175">
        <f t="shared" si="150"/>
        <v>2151821</v>
      </c>
      <c r="AP218" s="184">
        <f t="shared" ca="1" si="151"/>
        <v>2232</v>
      </c>
      <c r="AQ218" s="185">
        <f t="shared" si="134"/>
        <v>0.02</v>
      </c>
      <c r="AR218" s="182">
        <f t="shared" si="126"/>
        <v>68.200944252858434</v>
      </c>
      <c r="AU218" s="184">
        <f t="shared" ca="1" si="152"/>
        <v>2232</v>
      </c>
      <c r="AV218" s="182">
        <f t="shared" si="135"/>
        <v>0.02</v>
      </c>
      <c r="AW218" s="179">
        <f t="shared" si="136"/>
        <v>5.0000000000000001E-3</v>
      </c>
      <c r="AX218" s="182">
        <f t="shared" si="137"/>
        <v>2.5000000000000001E-2</v>
      </c>
      <c r="AY218" s="186"/>
      <c r="AZ218" s="190"/>
      <c r="BA218" s="184">
        <f t="shared" ca="1" si="153"/>
        <v>2232</v>
      </c>
      <c r="BB218" s="171">
        <f t="shared" si="138"/>
        <v>96962.25</v>
      </c>
      <c r="BC218" s="171">
        <f t="shared" si="128"/>
        <v>47013.437061831137</v>
      </c>
      <c r="BD218" s="171">
        <f t="shared" si="124"/>
        <v>34133.339999999997</v>
      </c>
      <c r="BE218" s="171">
        <f t="shared" si="124"/>
        <v>15238.350928918317</v>
      </c>
      <c r="BF218" s="171">
        <f t="shared" si="124"/>
        <v>15238.350928918317</v>
      </c>
      <c r="BG218" s="171">
        <f t="shared" si="123"/>
        <v>15238.350928918317</v>
      </c>
      <c r="BI218" s="187">
        <f>IF(A218-'Invoer gegevens'!$C$17&lt;0,0,IF(A218-'Invoer gegevens'!$C$17=0,1,IF(A218-'Invoer gegevens'!$C$17&lt;5,2,IF(A218-'Invoer gegevens'!$C$17&lt;15,3,4))))</f>
        <v>0</v>
      </c>
      <c r="BJ218" s="229">
        <f>IF(BI218&lt;1,0,IF(BI218&lt;2,4%,IF(Reeksen!BI218&lt;3,4%,IF(Reeksen!BI218&lt;4,4%*70%,IF(Reeksen!BI218&lt;5,4%*50%)))))</f>
        <v>0</v>
      </c>
      <c r="BK218" s="243"/>
      <c r="BL218" s="243"/>
      <c r="BM218" s="243"/>
      <c r="BN218" s="243"/>
      <c r="BO218" s="243"/>
      <c r="BP218" s="243"/>
      <c r="BQ218" s="243"/>
      <c r="BR218" s="243"/>
    </row>
    <row r="219" spans="1:70" x14ac:dyDescent="0.25">
      <c r="A219" s="184">
        <f t="shared" si="139"/>
        <v>214</v>
      </c>
      <c r="B219" s="179">
        <f>Dashboard!$C$25</f>
        <v>0.05</v>
      </c>
      <c r="C219" s="179">
        <f>Dashboard!$C$25</f>
        <v>0.05</v>
      </c>
      <c r="D219" s="179">
        <f>Dashboard!$C$25</f>
        <v>0.05</v>
      </c>
      <c r="E219" s="189"/>
      <c r="F219" s="184">
        <f t="shared" ca="1" si="140"/>
        <v>2233</v>
      </c>
      <c r="G219" s="179">
        <f t="shared" si="160"/>
        <v>0.02</v>
      </c>
      <c r="H219" s="182">
        <f t="shared" si="141"/>
        <v>69.632555638295514</v>
      </c>
      <c r="I219" s="179">
        <f t="shared" si="161"/>
        <v>2.5000000000000001E-2</v>
      </c>
      <c r="J219" s="182">
        <f t="shared" si="142"/>
        <v>198.57573163202738</v>
      </c>
      <c r="K219" s="179">
        <f t="shared" si="162"/>
        <v>2.5000000000000001E-2</v>
      </c>
      <c r="L219" s="182">
        <f t="shared" si="143"/>
        <v>198.57573163202738</v>
      </c>
      <c r="M219" s="189"/>
      <c r="N219" s="184">
        <f t="shared" ca="1" si="144"/>
        <v>2233</v>
      </c>
      <c r="O219" s="179">
        <f t="shared" si="156"/>
        <v>0.02</v>
      </c>
      <c r="P219" s="182">
        <f t="shared" si="125"/>
        <v>69.564963137915598</v>
      </c>
      <c r="R219" s="184">
        <f t="shared" ca="1" si="145"/>
        <v>2233</v>
      </c>
      <c r="S219" s="188">
        <f t="shared" si="158"/>
        <v>5.3600000000000002E-3</v>
      </c>
      <c r="U219" s="184">
        <f t="shared" ca="1" si="146"/>
        <v>2233</v>
      </c>
      <c r="V219" s="182">
        <f t="shared" si="129"/>
        <v>0.02</v>
      </c>
      <c r="W219" s="180">
        <f>Parameters!$D$12</f>
        <v>5.0000000000000001E-3</v>
      </c>
      <c r="X219" s="182">
        <f t="shared" si="130"/>
        <v>2.5000000000000001E-2</v>
      </c>
      <c r="Y219" s="182">
        <f t="shared" si="147"/>
        <v>198.77146921689024</v>
      </c>
      <c r="AA219" s="189"/>
      <c r="AB219" s="184">
        <f t="shared" ca="1" si="148"/>
        <v>2233</v>
      </c>
      <c r="AC219" s="171">
        <f t="shared" si="131"/>
        <v>99385.734608445113</v>
      </c>
      <c r="AD219" s="171">
        <f t="shared" si="127"/>
        <v>15543.117947496683</v>
      </c>
      <c r="AE219" s="171">
        <f t="shared" si="157"/>
        <v>47953.705803067758</v>
      </c>
      <c r="AF219" s="171">
        <f t="shared" si="149"/>
        <v>15543.117947496683</v>
      </c>
      <c r="AG219" s="171">
        <f t="shared" si="159"/>
        <v>34816.01</v>
      </c>
      <c r="AH219" s="171">
        <f t="shared" si="132"/>
        <v>34816.01</v>
      </c>
      <c r="AI219" s="171">
        <f t="shared" si="133"/>
        <v>15543.117947496683</v>
      </c>
      <c r="AJ219" s="171">
        <f>IF('Invoer gegevens'!$I$27="DAEB",SMALL(AC219:AD219,1),AC219)</f>
        <v>15543.117947496683</v>
      </c>
      <c r="AK219" s="171">
        <f>IF('Invoer gegevens'!$I$27="DAEB",SMALL((AE219:AH219),1),SMALL((AF219:AH219),1))</f>
        <v>15543.117947496683</v>
      </c>
      <c r="AL219" s="171">
        <f t="shared" si="154"/>
        <v>0</v>
      </c>
      <c r="AM219" s="171">
        <f t="shared" si="155"/>
        <v>0</v>
      </c>
      <c r="AN219" s="175">
        <f t="shared" si="150"/>
        <v>2194857</v>
      </c>
      <c r="AP219" s="184">
        <f t="shared" ca="1" si="151"/>
        <v>2233</v>
      </c>
      <c r="AQ219" s="185">
        <f t="shared" si="134"/>
        <v>0.02</v>
      </c>
      <c r="AR219" s="182">
        <f t="shared" si="126"/>
        <v>69.564963137915598</v>
      </c>
      <c r="AU219" s="184">
        <f t="shared" ca="1" si="152"/>
        <v>2233</v>
      </c>
      <c r="AV219" s="182">
        <f t="shared" si="135"/>
        <v>0.02</v>
      </c>
      <c r="AW219" s="179">
        <f t="shared" si="136"/>
        <v>5.0000000000000001E-3</v>
      </c>
      <c r="AX219" s="182">
        <f t="shared" si="137"/>
        <v>2.5000000000000001E-2</v>
      </c>
      <c r="AY219" s="186"/>
      <c r="AZ219" s="190"/>
      <c r="BA219" s="184">
        <f t="shared" ca="1" si="153"/>
        <v>2233</v>
      </c>
      <c r="BB219" s="171">
        <f t="shared" si="138"/>
        <v>99386.31</v>
      </c>
      <c r="BC219" s="171">
        <f t="shared" si="128"/>
        <v>47953.705803067758</v>
      </c>
      <c r="BD219" s="171">
        <f t="shared" si="124"/>
        <v>34816.01</v>
      </c>
      <c r="BE219" s="171">
        <f t="shared" si="124"/>
        <v>15543.117947496683</v>
      </c>
      <c r="BF219" s="171">
        <f t="shared" si="124"/>
        <v>15543.117947496683</v>
      </c>
      <c r="BG219" s="171">
        <f t="shared" si="123"/>
        <v>15543.117947496683</v>
      </c>
      <c r="BI219" s="187">
        <f>IF(A219-'Invoer gegevens'!$C$17&lt;0,0,IF(A219-'Invoer gegevens'!$C$17=0,1,IF(A219-'Invoer gegevens'!$C$17&lt;5,2,IF(A219-'Invoer gegevens'!$C$17&lt;15,3,4))))</f>
        <v>0</v>
      </c>
      <c r="BJ219" s="229">
        <f>IF(BI219&lt;1,0,IF(BI219&lt;2,4%,IF(Reeksen!BI219&lt;3,4%,IF(Reeksen!BI219&lt;4,4%*70%,IF(Reeksen!BI219&lt;5,4%*50%)))))</f>
        <v>0</v>
      </c>
      <c r="BK219" s="243"/>
      <c r="BL219" s="243"/>
      <c r="BM219" s="243"/>
      <c r="BN219" s="243"/>
      <c r="BO219" s="243"/>
      <c r="BP219" s="243"/>
      <c r="BQ219" s="243"/>
      <c r="BR219" s="243"/>
    </row>
    <row r="220" spans="1:70" x14ac:dyDescent="0.25">
      <c r="A220" s="184">
        <f t="shared" si="139"/>
        <v>215</v>
      </c>
      <c r="B220" s="179">
        <f>Dashboard!$C$25</f>
        <v>0.05</v>
      </c>
      <c r="C220" s="179">
        <f>Dashboard!$C$25</f>
        <v>0.05</v>
      </c>
      <c r="D220" s="179">
        <f>Dashboard!$C$25</f>
        <v>0.05</v>
      </c>
      <c r="E220" s="189"/>
      <c r="F220" s="184">
        <f t="shared" ca="1" si="140"/>
        <v>2234</v>
      </c>
      <c r="G220" s="179">
        <f t="shared" si="160"/>
        <v>0.02</v>
      </c>
      <c r="H220" s="182">
        <f t="shared" si="141"/>
        <v>71.025206751061432</v>
      </c>
      <c r="I220" s="179">
        <f t="shared" si="161"/>
        <v>2.5000000000000001E-2</v>
      </c>
      <c r="J220" s="182">
        <f t="shared" si="142"/>
        <v>203.54012492282806</v>
      </c>
      <c r="K220" s="179">
        <f t="shared" si="162"/>
        <v>2.5000000000000001E-2</v>
      </c>
      <c r="L220" s="182">
        <f t="shared" si="143"/>
        <v>203.54012492282806</v>
      </c>
      <c r="M220" s="189"/>
      <c r="N220" s="184">
        <f t="shared" ca="1" si="144"/>
        <v>2234</v>
      </c>
      <c r="O220" s="179">
        <f t="shared" si="156"/>
        <v>0.02</v>
      </c>
      <c r="P220" s="182">
        <f t="shared" si="125"/>
        <v>70.956262400673907</v>
      </c>
      <c r="R220" s="184">
        <f t="shared" ca="1" si="145"/>
        <v>2234</v>
      </c>
      <c r="S220" s="188">
        <f t="shared" si="158"/>
        <v>5.3600000000000002E-3</v>
      </c>
      <c r="U220" s="184">
        <f t="shared" ca="1" si="146"/>
        <v>2234</v>
      </c>
      <c r="V220" s="182">
        <f t="shared" si="129"/>
        <v>0.02</v>
      </c>
      <c r="W220" s="180">
        <f>Parameters!$D$12</f>
        <v>5.0000000000000001E-3</v>
      </c>
      <c r="X220" s="182">
        <f t="shared" si="130"/>
        <v>2.5000000000000001E-2</v>
      </c>
      <c r="Y220" s="182">
        <f t="shared" si="147"/>
        <v>203.74075594731246</v>
      </c>
      <c r="AA220" s="189"/>
      <c r="AB220" s="184">
        <f t="shared" ca="1" si="148"/>
        <v>2234</v>
      </c>
      <c r="AC220" s="171">
        <f t="shared" si="131"/>
        <v>101870.37797365623</v>
      </c>
      <c r="AD220" s="171">
        <f t="shared" si="127"/>
        <v>15853.980306446618</v>
      </c>
      <c r="AE220" s="171">
        <f t="shared" si="157"/>
        <v>48912.779919129112</v>
      </c>
      <c r="AF220" s="171">
        <f t="shared" si="149"/>
        <v>15853.980306446618</v>
      </c>
      <c r="AG220" s="171">
        <f t="shared" si="159"/>
        <v>35512.33</v>
      </c>
      <c r="AH220" s="171">
        <f t="shared" si="132"/>
        <v>35512.33</v>
      </c>
      <c r="AI220" s="171">
        <f t="shared" si="133"/>
        <v>15853.980306446618</v>
      </c>
      <c r="AJ220" s="171">
        <f>IF('Invoer gegevens'!$I$27="DAEB",SMALL(AC220:AD220,1),AC220)</f>
        <v>15853.980306446618</v>
      </c>
      <c r="AK220" s="171">
        <f>IF('Invoer gegevens'!$I$27="DAEB",SMALL((AE220:AH220),1),SMALL((AF220:AH220),1))</f>
        <v>15853.980306446618</v>
      </c>
      <c r="AL220" s="171">
        <f t="shared" si="154"/>
        <v>0</v>
      </c>
      <c r="AM220" s="171">
        <f t="shared" si="155"/>
        <v>0</v>
      </c>
      <c r="AN220" s="175">
        <f t="shared" si="150"/>
        <v>2238754</v>
      </c>
      <c r="AP220" s="184">
        <f t="shared" ca="1" si="151"/>
        <v>2234</v>
      </c>
      <c r="AQ220" s="185">
        <f t="shared" si="134"/>
        <v>0.02</v>
      </c>
      <c r="AR220" s="182">
        <f t="shared" si="126"/>
        <v>70.956262400673907</v>
      </c>
      <c r="AU220" s="184">
        <f t="shared" ca="1" si="152"/>
        <v>2234</v>
      </c>
      <c r="AV220" s="182">
        <f t="shared" si="135"/>
        <v>0.02</v>
      </c>
      <c r="AW220" s="179">
        <f t="shared" si="136"/>
        <v>5.0000000000000001E-3</v>
      </c>
      <c r="AX220" s="182">
        <f t="shared" si="137"/>
        <v>2.5000000000000001E-2</v>
      </c>
      <c r="AY220" s="186"/>
      <c r="AZ220" s="190"/>
      <c r="BA220" s="184">
        <f t="shared" ca="1" si="153"/>
        <v>2234</v>
      </c>
      <c r="BB220" s="171">
        <f t="shared" si="138"/>
        <v>101870.97</v>
      </c>
      <c r="BC220" s="171">
        <f t="shared" si="128"/>
        <v>48912.779919129112</v>
      </c>
      <c r="BD220" s="171">
        <f t="shared" si="124"/>
        <v>35512.33</v>
      </c>
      <c r="BE220" s="171">
        <f t="shared" si="124"/>
        <v>15853.980306446618</v>
      </c>
      <c r="BF220" s="171">
        <f t="shared" si="124"/>
        <v>15853.980306446618</v>
      </c>
      <c r="BG220" s="171">
        <f t="shared" si="123"/>
        <v>15853.980306446618</v>
      </c>
      <c r="BI220" s="187">
        <f>IF(A220-'Invoer gegevens'!$C$17&lt;0,0,IF(A220-'Invoer gegevens'!$C$17=0,1,IF(A220-'Invoer gegevens'!$C$17&lt;5,2,IF(A220-'Invoer gegevens'!$C$17&lt;15,3,4))))</f>
        <v>0</v>
      </c>
      <c r="BJ220" s="229">
        <f>IF(BI220&lt;1,0,IF(BI220&lt;2,4%,IF(Reeksen!BI220&lt;3,4%,IF(Reeksen!BI220&lt;4,4%*70%,IF(Reeksen!BI220&lt;5,4%*50%)))))</f>
        <v>0</v>
      </c>
      <c r="BK220" s="243"/>
      <c r="BL220" s="243"/>
      <c r="BM220" s="243"/>
      <c r="BN220" s="243"/>
      <c r="BO220" s="243"/>
      <c r="BP220" s="243"/>
      <c r="BQ220" s="243"/>
      <c r="BR220" s="243"/>
    </row>
    <row r="221" spans="1:70" x14ac:dyDescent="0.25">
      <c r="A221" s="184">
        <f t="shared" si="139"/>
        <v>216</v>
      </c>
      <c r="B221" s="179">
        <f>Dashboard!$C$25</f>
        <v>0.05</v>
      </c>
      <c r="C221" s="179">
        <f>Dashboard!$C$25</f>
        <v>0.05</v>
      </c>
      <c r="D221" s="179">
        <f>Dashboard!$C$25</f>
        <v>0.05</v>
      </c>
      <c r="E221" s="189"/>
      <c r="F221" s="184">
        <f t="shared" ca="1" si="140"/>
        <v>2235</v>
      </c>
      <c r="G221" s="179">
        <f t="shared" si="160"/>
        <v>0.02</v>
      </c>
      <c r="H221" s="182">
        <f t="shared" si="141"/>
        <v>72.445710886082665</v>
      </c>
      <c r="I221" s="179">
        <f t="shared" si="161"/>
        <v>2.5000000000000001E-2</v>
      </c>
      <c r="J221" s="182">
        <f t="shared" si="142"/>
        <v>208.62862804589875</v>
      </c>
      <c r="K221" s="179">
        <f t="shared" si="162"/>
        <v>2.5000000000000001E-2</v>
      </c>
      <c r="L221" s="182">
        <f t="shared" si="143"/>
        <v>208.62862804589875</v>
      </c>
      <c r="M221" s="189"/>
      <c r="N221" s="184">
        <f t="shared" ca="1" si="144"/>
        <v>2235</v>
      </c>
      <c r="O221" s="179">
        <f t="shared" si="156"/>
        <v>0.02</v>
      </c>
      <c r="P221" s="182">
        <f t="shared" si="125"/>
        <v>72.375387648687393</v>
      </c>
      <c r="R221" s="184">
        <f t="shared" ca="1" si="145"/>
        <v>2235</v>
      </c>
      <c r="S221" s="188">
        <f t="shared" si="158"/>
        <v>5.3600000000000002E-3</v>
      </c>
      <c r="U221" s="184">
        <f t="shared" ca="1" si="146"/>
        <v>2235</v>
      </c>
      <c r="V221" s="182">
        <f t="shared" si="129"/>
        <v>0.02</v>
      </c>
      <c r="W221" s="180">
        <f>Parameters!$D$12</f>
        <v>5.0000000000000001E-3</v>
      </c>
      <c r="X221" s="182">
        <f t="shared" si="130"/>
        <v>2.5000000000000001E-2</v>
      </c>
      <c r="Y221" s="182">
        <f t="shared" si="147"/>
        <v>208.83427484599525</v>
      </c>
      <c r="AA221" s="189"/>
      <c r="AB221" s="184">
        <f t="shared" ca="1" si="148"/>
        <v>2235</v>
      </c>
      <c r="AC221" s="171">
        <f t="shared" si="131"/>
        <v>104417.13742299762</v>
      </c>
      <c r="AD221" s="171">
        <f t="shared" si="127"/>
        <v>16171.059912575553</v>
      </c>
      <c r="AE221" s="171">
        <f t="shared" si="157"/>
        <v>49891.035517511693</v>
      </c>
      <c r="AF221" s="171">
        <f t="shared" si="149"/>
        <v>16171.059912575553</v>
      </c>
      <c r="AG221" s="171">
        <f t="shared" si="159"/>
        <v>36222.58</v>
      </c>
      <c r="AH221" s="171">
        <f t="shared" si="132"/>
        <v>36222.58</v>
      </c>
      <c r="AI221" s="171">
        <f t="shared" si="133"/>
        <v>16171.059912575553</v>
      </c>
      <c r="AJ221" s="171">
        <f>IF('Invoer gegevens'!$I$27="DAEB",SMALL(AC221:AD221,1),AC221)</f>
        <v>16171.059912575553</v>
      </c>
      <c r="AK221" s="171">
        <f>IF('Invoer gegevens'!$I$27="DAEB",SMALL((AE221:AH221),1),SMALL((AF221:AH221),1))</f>
        <v>16171.059912575553</v>
      </c>
      <c r="AL221" s="171">
        <f t="shared" si="154"/>
        <v>0</v>
      </c>
      <c r="AM221" s="171">
        <f t="shared" si="155"/>
        <v>0</v>
      </c>
      <c r="AN221" s="175">
        <f t="shared" si="150"/>
        <v>2283529</v>
      </c>
      <c r="AP221" s="184">
        <f t="shared" ca="1" si="151"/>
        <v>2235</v>
      </c>
      <c r="AQ221" s="185">
        <f t="shared" si="134"/>
        <v>0.02</v>
      </c>
      <c r="AR221" s="182">
        <f t="shared" si="126"/>
        <v>72.375387648687393</v>
      </c>
      <c r="AU221" s="184">
        <f t="shared" ca="1" si="152"/>
        <v>2235</v>
      </c>
      <c r="AV221" s="182">
        <f t="shared" si="135"/>
        <v>0.02</v>
      </c>
      <c r="AW221" s="179">
        <f t="shared" si="136"/>
        <v>5.0000000000000001E-3</v>
      </c>
      <c r="AX221" s="182">
        <f t="shared" si="137"/>
        <v>2.5000000000000001E-2</v>
      </c>
      <c r="AY221" s="186"/>
      <c r="AZ221" s="190"/>
      <c r="BA221" s="184">
        <f t="shared" ca="1" si="153"/>
        <v>2235</v>
      </c>
      <c r="BB221" s="171">
        <f t="shared" si="138"/>
        <v>104417.74</v>
      </c>
      <c r="BC221" s="171">
        <f t="shared" si="128"/>
        <v>49891.035517511693</v>
      </c>
      <c r="BD221" s="171">
        <f t="shared" si="124"/>
        <v>36222.58</v>
      </c>
      <c r="BE221" s="171">
        <f t="shared" si="124"/>
        <v>16171.059912575553</v>
      </c>
      <c r="BF221" s="171">
        <f t="shared" si="124"/>
        <v>16171.059912575553</v>
      </c>
      <c r="BG221" s="171">
        <f t="shared" si="123"/>
        <v>16171.059912575553</v>
      </c>
      <c r="BI221" s="187">
        <f>IF(A221-'Invoer gegevens'!$C$17&lt;0,0,IF(A221-'Invoer gegevens'!$C$17=0,1,IF(A221-'Invoer gegevens'!$C$17&lt;5,2,IF(A221-'Invoer gegevens'!$C$17&lt;15,3,4))))</f>
        <v>0</v>
      </c>
      <c r="BJ221" s="229">
        <f>IF(BI221&lt;1,0,IF(BI221&lt;2,4%,IF(Reeksen!BI221&lt;3,4%,IF(Reeksen!BI221&lt;4,4%*70%,IF(Reeksen!BI221&lt;5,4%*50%)))))</f>
        <v>0</v>
      </c>
      <c r="BK221" s="243"/>
      <c r="BL221" s="243"/>
      <c r="BM221" s="243"/>
      <c r="BN221" s="243"/>
      <c r="BO221" s="243"/>
      <c r="BP221" s="243"/>
      <c r="BQ221" s="243"/>
      <c r="BR221" s="243"/>
    </row>
    <row r="222" spans="1:70" x14ac:dyDescent="0.25">
      <c r="A222" s="184">
        <f t="shared" si="139"/>
        <v>217</v>
      </c>
      <c r="B222" s="179">
        <f>Dashboard!$C$25</f>
        <v>0.05</v>
      </c>
      <c r="C222" s="179">
        <f>Dashboard!$C$25</f>
        <v>0.05</v>
      </c>
      <c r="D222" s="179">
        <f>Dashboard!$C$25</f>
        <v>0.05</v>
      </c>
      <c r="E222" s="189"/>
      <c r="F222" s="184">
        <f t="shared" ca="1" si="140"/>
        <v>2236</v>
      </c>
      <c r="G222" s="179">
        <f t="shared" si="160"/>
        <v>0.02</v>
      </c>
      <c r="H222" s="182">
        <f t="shared" si="141"/>
        <v>73.894625103804316</v>
      </c>
      <c r="I222" s="179">
        <f t="shared" si="161"/>
        <v>2.5000000000000001E-2</v>
      </c>
      <c r="J222" s="182">
        <f t="shared" si="142"/>
        <v>213.8443437470462</v>
      </c>
      <c r="K222" s="179">
        <f t="shared" si="162"/>
        <v>2.5000000000000001E-2</v>
      </c>
      <c r="L222" s="182">
        <f t="shared" si="143"/>
        <v>213.8443437470462</v>
      </c>
      <c r="M222" s="189"/>
      <c r="N222" s="184">
        <f t="shared" ca="1" si="144"/>
        <v>2236</v>
      </c>
      <c r="O222" s="179">
        <f t="shared" si="156"/>
        <v>0.02</v>
      </c>
      <c r="P222" s="182">
        <f t="shared" si="125"/>
        <v>73.822895401661143</v>
      </c>
      <c r="R222" s="184">
        <f t="shared" ca="1" si="145"/>
        <v>2236</v>
      </c>
      <c r="S222" s="188">
        <f t="shared" si="158"/>
        <v>5.3600000000000002E-3</v>
      </c>
      <c r="U222" s="184">
        <f t="shared" ca="1" si="146"/>
        <v>2236</v>
      </c>
      <c r="V222" s="182">
        <f t="shared" si="129"/>
        <v>0.02</v>
      </c>
      <c r="W222" s="180">
        <f>Parameters!$D$12</f>
        <v>5.0000000000000001E-3</v>
      </c>
      <c r="X222" s="182">
        <f t="shared" si="130"/>
        <v>2.5000000000000001E-2</v>
      </c>
      <c r="Y222" s="182">
        <f t="shared" si="147"/>
        <v>214.05513171714512</v>
      </c>
      <c r="AA222" s="189"/>
      <c r="AB222" s="184">
        <f t="shared" ca="1" si="148"/>
        <v>2236</v>
      </c>
      <c r="AC222" s="171">
        <f t="shared" si="131"/>
        <v>107027.56585857256</v>
      </c>
      <c r="AD222" s="171">
        <f t="shared" si="127"/>
        <v>16494.481110827062</v>
      </c>
      <c r="AE222" s="171">
        <f t="shared" si="157"/>
        <v>50888.856227861928</v>
      </c>
      <c r="AF222" s="171">
        <f t="shared" si="149"/>
        <v>16494.481110827062</v>
      </c>
      <c r="AG222" s="171">
        <f t="shared" si="159"/>
        <v>36947.03</v>
      </c>
      <c r="AH222" s="171">
        <f t="shared" si="132"/>
        <v>36947.03</v>
      </c>
      <c r="AI222" s="171">
        <f t="shared" si="133"/>
        <v>16494.481110827062</v>
      </c>
      <c r="AJ222" s="171">
        <f>IF('Invoer gegevens'!$I$27="DAEB",SMALL(AC222:AD222,1),AC222)</f>
        <v>16494.481110827062</v>
      </c>
      <c r="AK222" s="171">
        <f>IF('Invoer gegevens'!$I$27="DAEB",SMALL((AE222:AH222),1),SMALL((AF222:AH222),1))</f>
        <v>16494.481110827062</v>
      </c>
      <c r="AL222" s="171">
        <f t="shared" si="154"/>
        <v>0</v>
      </c>
      <c r="AM222" s="171">
        <f t="shared" si="155"/>
        <v>0</v>
      </c>
      <c r="AN222" s="175">
        <f t="shared" si="150"/>
        <v>2329200</v>
      </c>
      <c r="AP222" s="184">
        <f t="shared" ca="1" si="151"/>
        <v>2236</v>
      </c>
      <c r="AQ222" s="185">
        <f t="shared" si="134"/>
        <v>0.02</v>
      </c>
      <c r="AR222" s="182">
        <f t="shared" si="126"/>
        <v>73.822895401661143</v>
      </c>
      <c r="AU222" s="184">
        <f t="shared" ca="1" si="152"/>
        <v>2236</v>
      </c>
      <c r="AV222" s="182">
        <f t="shared" si="135"/>
        <v>0.02</v>
      </c>
      <c r="AW222" s="179">
        <f t="shared" si="136"/>
        <v>5.0000000000000001E-3</v>
      </c>
      <c r="AX222" s="182">
        <f t="shared" si="137"/>
        <v>2.5000000000000001E-2</v>
      </c>
      <c r="AY222" s="186"/>
      <c r="AZ222" s="190"/>
      <c r="BA222" s="184">
        <f t="shared" ca="1" si="153"/>
        <v>2236</v>
      </c>
      <c r="BB222" s="171">
        <f t="shared" si="138"/>
        <v>107028.18</v>
      </c>
      <c r="BC222" s="171">
        <f t="shared" si="128"/>
        <v>50888.856227861928</v>
      </c>
      <c r="BD222" s="171">
        <f t="shared" si="124"/>
        <v>36947.03</v>
      </c>
      <c r="BE222" s="171">
        <f t="shared" si="124"/>
        <v>16494.481110827062</v>
      </c>
      <c r="BF222" s="171">
        <f t="shared" si="124"/>
        <v>16494.481110827062</v>
      </c>
      <c r="BG222" s="171">
        <f t="shared" si="123"/>
        <v>16494.481110827062</v>
      </c>
      <c r="BI222" s="187">
        <f>IF(A222-'Invoer gegevens'!$C$17&lt;0,0,IF(A222-'Invoer gegevens'!$C$17=0,1,IF(A222-'Invoer gegevens'!$C$17&lt;5,2,IF(A222-'Invoer gegevens'!$C$17&lt;15,3,4))))</f>
        <v>0</v>
      </c>
      <c r="BJ222" s="229">
        <f>IF(BI222&lt;1,0,IF(BI222&lt;2,4%,IF(Reeksen!BI222&lt;3,4%,IF(Reeksen!BI222&lt;4,4%*70%,IF(Reeksen!BI222&lt;5,4%*50%)))))</f>
        <v>0</v>
      </c>
      <c r="BK222" s="243"/>
      <c r="BL222" s="243"/>
      <c r="BM222" s="243"/>
      <c r="BN222" s="243"/>
      <c r="BO222" s="243"/>
      <c r="BP222" s="243"/>
      <c r="BQ222" s="243"/>
      <c r="BR222" s="243"/>
    </row>
    <row r="223" spans="1:70" x14ac:dyDescent="0.25">
      <c r="A223" s="184">
        <f t="shared" si="139"/>
        <v>218</v>
      </c>
      <c r="B223" s="179">
        <f>Dashboard!$C$25</f>
        <v>0.05</v>
      </c>
      <c r="C223" s="179">
        <f>Dashboard!$C$25</f>
        <v>0.05</v>
      </c>
      <c r="D223" s="179">
        <f>Dashboard!$C$25</f>
        <v>0.05</v>
      </c>
      <c r="E223" s="189"/>
      <c r="F223" s="184">
        <f t="shared" ca="1" si="140"/>
        <v>2237</v>
      </c>
      <c r="G223" s="179">
        <f t="shared" si="160"/>
        <v>0.02</v>
      </c>
      <c r="H223" s="182">
        <f t="shared" si="141"/>
        <v>75.372517605880404</v>
      </c>
      <c r="I223" s="179">
        <f t="shared" si="161"/>
        <v>2.5000000000000001E-2</v>
      </c>
      <c r="J223" s="182">
        <f t="shared" si="142"/>
        <v>219.19045234072235</v>
      </c>
      <c r="K223" s="179">
        <f t="shared" si="162"/>
        <v>2.5000000000000001E-2</v>
      </c>
      <c r="L223" s="182">
        <f t="shared" si="143"/>
        <v>219.19045234072235</v>
      </c>
      <c r="M223" s="189"/>
      <c r="N223" s="184">
        <f t="shared" ca="1" si="144"/>
        <v>2237</v>
      </c>
      <c r="O223" s="179">
        <f t="shared" si="156"/>
        <v>0.02</v>
      </c>
      <c r="P223" s="182">
        <f t="shared" si="125"/>
        <v>75.299353309694368</v>
      </c>
      <c r="R223" s="184">
        <f t="shared" ca="1" si="145"/>
        <v>2237</v>
      </c>
      <c r="S223" s="188">
        <f t="shared" si="158"/>
        <v>5.3600000000000002E-3</v>
      </c>
      <c r="U223" s="184">
        <f t="shared" ca="1" si="146"/>
        <v>2237</v>
      </c>
      <c r="V223" s="182">
        <f t="shared" si="129"/>
        <v>0.02</v>
      </c>
      <c r="W223" s="180">
        <f>Parameters!$D$12</f>
        <v>5.0000000000000001E-3</v>
      </c>
      <c r="X223" s="182">
        <f t="shared" si="130"/>
        <v>2.5000000000000001E-2</v>
      </c>
      <c r="Y223" s="182">
        <f t="shared" si="147"/>
        <v>219.40651001007373</v>
      </c>
      <c r="AA223" s="189"/>
      <c r="AB223" s="184">
        <f t="shared" ca="1" si="148"/>
        <v>2237</v>
      </c>
      <c r="AC223" s="171">
        <f t="shared" si="131"/>
        <v>109703.25500503686</v>
      </c>
      <c r="AD223" s="171">
        <f t="shared" si="127"/>
        <v>16824.370733043605</v>
      </c>
      <c r="AE223" s="171">
        <f t="shared" si="157"/>
        <v>51906.633352419165</v>
      </c>
      <c r="AF223" s="171">
        <f t="shared" si="149"/>
        <v>16824.370733043605</v>
      </c>
      <c r="AG223" s="171">
        <f t="shared" si="159"/>
        <v>37685.97</v>
      </c>
      <c r="AH223" s="171">
        <f t="shared" si="132"/>
        <v>37685.97</v>
      </c>
      <c r="AI223" s="171">
        <f t="shared" si="133"/>
        <v>16824.370733043605</v>
      </c>
      <c r="AJ223" s="171">
        <f>IF('Invoer gegevens'!$I$27="DAEB",SMALL(AC223:AD223,1),AC223)</f>
        <v>16824.370733043605</v>
      </c>
      <c r="AK223" s="171">
        <f>IF('Invoer gegevens'!$I$27="DAEB",SMALL((AE223:AH223),1),SMALL((AF223:AH223),1))</f>
        <v>16824.370733043605</v>
      </c>
      <c r="AL223" s="171">
        <f t="shared" si="154"/>
        <v>0</v>
      </c>
      <c r="AM223" s="171">
        <f t="shared" si="155"/>
        <v>0</v>
      </c>
      <c r="AN223" s="175">
        <f t="shared" si="150"/>
        <v>2375784</v>
      </c>
      <c r="AP223" s="184">
        <f t="shared" ca="1" si="151"/>
        <v>2237</v>
      </c>
      <c r="AQ223" s="185">
        <f t="shared" si="134"/>
        <v>0.02</v>
      </c>
      <c r="AR223" s="182">
        <f t="shared" si="126"/>
        <v>75.299353309694368</v>
      </c>
      <c r="AU223" s="184">
        <f t="shared" ca="1" si="152"/>
        <v>2237</v>
      </c>
      <c r="AV223" s="182">
        <f t="shared" si="135"/>
        <v>0.02</v>
      </c>
      <c r="AW223" s="179">
        <f t="shared" si="136"/>
        <v>5.0000000000000001E-3</v>
      </c>
      <c r="AX223" s="182">
        <f t="shared" si="137"/>
        <v>2.5000000000000001E-2</v>
      </c>
      <c r="AY223" s="186"/>
      <c r="AZ223" s="190"/>
      <c r="BA223" s="184">
        <f t="shared" ca="1" si="153"/>
        <v>2237</v>
      </c>
      <c r="BB223" s="171">
        <f t="shared" si="138"/>
        <v>109703.88</v>
      </c>
      <c r="BC223" s="171">
        <f t="shared" si="128"/>
        <v>51906.633352419165</v>
      </c>
      <c r="BD223" s="171">
        <f t="shared" si="124"/>
        <v>37685.97</v>
      </c>
      <c r="BE223" s="171">
        <f t="shared" si="124"/>
        <v>16824.370733043605</v>
      </c>
      <c r="BF223" s="171">
        <f t="shared" si="124"/>
        <v>16824.370733043605</v>
      </c>
      <c r="BG223" s="171">
        <f t="shared" si="123"/>
        <v>16824.370733043605</v>
      </c>
      <c r="BI223" s="187">
        <f>IF(A223-'Invoer gegevens'!$C$17&lt;0,0,IF(A223-'Invoer gegevens'!$C$17=0,1,IF(A223-'Invoer gegevens'!$C$17&lt;5,2,IF(A223-'Invoer gegevens'!$C$17&lt;15,3,4))))</f>
        <v>0</v>
      </c>
      <c r="BJ223" s="229">
        <f>IF(BI223&lt;1,0,IF(BI223&lt;2,4%,IF(Reeksen!BI223&lt;3,4%,IF(Reeksen!BI223&lt;4,4%*70%,IF(Reeksen!BI223&lt;5,4%*50%)))))</f>
        <v>0</v>
      </c>
      <c r="BK223" s="243"/>
      <c r="BL223" s="243"/>
      <c r="BM223" s="243"/>
      <c r="BN223" s="243"/>
      <c r="BO223" s="243"/>
      <c r="BP223" s="243"/>
      <c r="BQ223" s="243"/>
      <c r="BR223" s="243"/>
    </row>
    <row r="224" spans="1:70" x14ac:dyDescent="0.25">
      <c r="A224" s="184">
        <f t="shared" si="139"/>
        <v>219</v>
      </c>
      <c r="B224" s="179">
        <f>Dashboard!$C$25</f>
        <v>0.05</v>
      </c>
      <c r="C224" s="179">
        <f>Dashboard!$C$25</f>
        <v>0.05</v>
      </c>
      <c r="D224" s="179">
        <f>Dashboard!$C$25</f>
        <v>0.05</v>
      </c>
      <c r="E224" s="189"/>
      <c r="F224" s="184">
        <f t="shared" ca="1" si="140"/>
        <v>2238</v>
      </c>
      <c r="G224" s="179">
        <f t="shared" si="160"/>
        <v>0.02</v>
      </c>
      <c r="H224" s="182">
        <f t="shared" si="141"/>
        <v>76.879967957998019</v>
      </c>
      <c r="I224" s="179">
        <f t="shared" si="161"/>
        <v>2.5000000000000001E-2</v>
      </c>
      <c r="J224" s="182">
        <f t="shared" si="142"/>
        <v>224.6702136492404</v>
      </c>
      <c r="K224" s="179">
        <f t="shared" si="162"/>
        <v>2.5000000000000001E-2</v>
      </c>
      <c r="L224" s="182">
        <f t="shared" si="143"/>
        <v>224.6702136492404</v>
      </c>
      <c r="M224" s="189"/>
      <c r="N224" s="184">
        <f t="shared" ca="1" si="144"/>
        <v>2238</v>
      </c>
      <c r="O224" s="179">
        <f t="shared" si="156"/>
        <v>0.02</v>
      </c>
      <c r="P224" s="182">
        <f t="shared" si="125"/>
        <v>76.80534037588825</v>
      </c>
      <c r="R224" s="184">
        <f t="shared" ca="1" si="145"/>
        <v>2238</v>
      </c>
      <c r="S224" s="188">
        <f t="shared" si="158"/>
        <v>5.3600000000000002E-3</v>
      </c>
      <c r="U224" s="184">
        <f t="shared" ca="1" si="146"/>
        <v>2238</v>
      </c>
      <c r="V224" s="182">
        <f t="shared" si="129"/>
        <v>0.02</v>
      </c>
      <c r="W224" s="180">
        <f>Parameters!$D$12</f>
        <v>5.0000000000000001E-3</v>
      </c>
      <c r="X224" s="182">
        <f t="shared" si="130"/>
        <v>2.5000000000000001E-2</v>
      </c>
      <c r="Y224" s="182">
        <f t="shared" si="147"/>
        <v>224.89167276032555</v>
      </c>
      <c r="AA224" s="189"/>
      <c r="AB224" s="184">
        <f t="shared" ca="1" si="148"/>
        <v>2238</v>
      </c>
      <c r="AC224" s="171">
        <f t="shared" si="131"/>
        <v>112445.83638016277</v>
      </c>
      <c r="AD224" s="171">
        <f t="shared" si="127"/>
        <v>17160.858147704479</v>
      </c>
      <c r="AE224" s="171">
        <f t="shared" si="157"/>
        <v>52944.766019467548</v>
      </c>
      <c r="AF224" s="171">
        <f t="shared" si="149"/>
        <v>17160.858147704479</v>
      </c>
      <c r="AG224" s="171">
        <f t="shared" si="159"/>
        <v>38439.69</v>
      </c>
      <c r="AH224" s="171">
        <f t="shared" si="132"/>
        <v>38439.69</v>
      </c>
      <c r="AI224" s="171">
        <f t="shared" si="133"/>
        <v>17160.858147704479</v>
      </c>
      <c r="AJ224" s="171">
        <f>IF('Invoer gegevens'!$I$27="DAEB",SMALL(AC224:AD224,1),AC224)</f>
        <v>17160.858147704479</v>
      </c>
      <c r="AK224" s="171">
        <f>IF('Invoer gegevens'!$I$27="DAEB",SMALL((AE224:AH224),1),SMALL((AF224:AH224),1))</f>
        <v>17160.858147704479</v>
      </c>
      <c r="AL224" s="171">
        <f t="shared" si="154"/>
        <v>0</v>
      </c>
      <c r="AM224" s="171">
        <f t="shared" si="155"/>
        <v>0</v>
      </c>
      <c r="AN224" s="175">
        <f t="shared" si="150"/>
        <v>2423300</v>
      </c>
      <c r="AP224" s="184">
        <f t="shared" ca="1" si="151"/>
        <v>2238</v>
      </c>
      <c r="AQ224" s="185">
        <f t="shared" si="134"/>
        <v>0.02</v>
      </c>
      <c r="AR224" s="182">
        <f t="shared" si="126"/>
        <v>76.80534037588825</v>
      </c>
      <c r="AU224" s="184">
        <f t="shared" ca="1" si="152"/>
        <v>2238</v>
      </c>
      <c r="AV224" s="182">
        <f t="shared" si="135"/>
        <v>0.02</v>
      </c>
      <c r="AW224" s="179">
        <f t="shared" si="136"/>
        <v>5.0000000000000001E-3</v>
      </c>
      <c r="AX224" s="182">
        <f t="shared" si="137"/>
        <v>2.5000000000000001E-2</v>
      </c>
      <c r="AY224" s="186"/>
      <c r="AZ224" s="190"/>
      <c r="BA224" s="184">
        <f t="shared" ca="1" si="153"/>
        <v>2238</v>
      </c>
      <c r="BB224" s="171">
        <f t="shared" si="138"/>
        <v>112446.48</v>
      </c>
      <c r="BC224" s="171">
        <f t="shared" si="128"/>
        <v>52944.766019467548</v>
      </c>
      <c r="BD224" s="171">
        <f t="shared" si="124"/>
        <v>38439.69</v>
      </c>
      <c r="BE224" s="171">
        <f t="shared" si="124"/>
        <v>17160.858147704479</v>
      </c>
      <c r="BF224" s="171">
        <f t="shared" si="124"/>
        <v>17160.858147704479</v>
      </c>
      <c r="BG224" s="171">
        <f t="shared" si="123"/>
        <v>17160.858147704479</v>
      </c>
      <c r="BI224" s="187">
        <f>IF(A224-'Invoer gegevens'!$C$17&lt;0,0,IF(A224-'Invoer gegevens'!$C$17=0,1,IF(A224-'Invoer gegevens'!$C$17&lt;5,2,IF(A224-'Invoer gegevens'!$C$17&lt;15,3,4))))</f>
        <v>0</v>
      </c>
      <c r="BJ224" s="229">
        <f>IF(BI224&lt;1,0,IF(BI224&lt;2,4%,IF(Reeksen!BI224&lt;3,4%,IF(Reeksen!BI224&lt;4,4%*70%,IF(Reeksen!BI224&lt;5,4%*50%)))))</f>
        <v>0</v>
      </c>
      <c r="BK224" s="243"/>
      <c r="BL224" s="243"/>
      <c r="BM224" s="243"/>
      <c r="BN224" s="243"/>
      <c r="BO224" s="243"/>
      <c r="BP224" s="243"/>
      <c r="BQ224" s="243"/>
      <c r="BR224" s="243"/>
    </row>
    <row r="225" spans="1:70" x14ac:dyDescent="0.25">
      <c r="A225" s="184">
        <f t="shared" si="139"/>
        <v>220</v>
      </c>
      <c r="B225" s="179">
        <f>Dashboard!$C$25</f>
        <v>0.05</v>
      </c>
      <c r="C225" s="179">
        <f>Dashboard!$C$25</f>
        <v>0.05</v>
      </c>
      <c r="D225" s="179">
        <f>Dashboard!$C$25</f>
        <v>0.05</v>
      </c>
      <c r="E225" s="189"/>
      <c r="F225" s="184">
        <f t="shared" ca="1" si="140"/>
        <v>2239</v>
      </c>
      <c r="G225" s="179">
        <f t="shared" si="160"/>
        <v>0.02</v>
      </c>
      <c r="H225" s="182">
        <f t="shared" si="141"/>
        <v>78.417567317157975</v>
      </c>
      <c r="I225" s="179">
        <f t="shared" si="161"/>
        <v>2.5000000000000001E-2</v>
      </c>
      <c r="J225" s="182">
        <f t="shared" si="142"/>
        <v>230.28696899047139</v>
      </c>
      <c r="K225" s="179">
        <f t="shared" si="162"/>
        <v>2.5000000000000001E-2</v>
      </c>
      <c r="L225" s="182">
        <f t="shared" si="143"/>
        <v>230.28696899047139</v>
      </c>
      <c r="M225" s="189"/>
      <c r="N225" s="184">
        <f t="shared" ca="1" si="144"/>
        <v>2239</v>
      </c>
      <c r="O225" s="179">
        <f t="shared" si="156"/>
        <v>0.02</v>
      </c>
      <c r="P225" s="182">
        <f t="shared" si="125"/>
        <v>78.341447183406018</v>
      </c>
      <c r="R225" s="184">
        <f t="shared" ca="1" si="145"/>
        <v>2239</v>
      </c>
      <c r="S225" s="188">
        <f t="shared" si="158"/>
        <v>5.3600000000000002E-3</v>
      </c>
      <c r="U225" s="184">
        <f t="shared" ca="1" si="146"/>
        <v>2239</v>
      </c>
      <c r="V225" s="182">
        <f t="shared" si="129"/>
        <v>0.02</v>
      </c>
      <c r="W225" s="180">
        <f>Parameters!$D$12</f>
        <v>5.0000000000000001E-3</v>
      </c>
      <c r="X225" s="182">
        <f t="shared" si="130"/>
        <v>2.5000000000000001E-2</v>
      </c>
      <c r="Y225" s="182">
        <f t="shared" si="147"/>
        <v>230.51396457933367</v>
      </c>
      <c r="AA225" s="189"/>
      <c r="AB225" s="184">
        <f t="shared" ca="1" si="148"/>
        <v>2239</v>
      </c>
      <c r="AC225" s="171">
        <f t="shared" si="131"/>
        <v>115256.98228966683</v>
      </c>
      <c r="AD225" s="171">
        <f t="shared" si="127"/>
        <v>17504.075310658565</v>
      </c>
      <c r="AE225" s="171">
        <f t="shared" si="157"/>
        <v>54003.661339856902</v>
      </c>
      <c r="AF225" s="171">
        <f t="shared" si="149"/>
        <v>17504.075310658565</v>
      </c>
      <c r="AG225" s="171">
        <f t="shared" si="159"/>
        <v>39208.480000000003</v>
      </c>
      <c r="AH225" s="171">
        <f t="shared" si="132"/>
        <v>39208.480000000003</v>
      </c>
      <c r="AI225" s="171">
        <f t="shared" si="133"/>
        <v>17504.075310658565</v>
      </c>
      <c r="AJ225" s="171">
        <f>IF('Invoer gegevens'!$I$27="DAEB",SMALL(AC225:AD225,1),AC225)</f>
        <v>17504.075310658565</v>
      </c>
      <c r="AK225" s="171">
        <f>IF('Invoer gegevens'!$I$27="DAEB",SMALL((AE225:AH225),1),SMALL((AF225:AH225),1))</f>
        <v>17504.075310658565</v>
      </c>
      <c r="AL225" s="171">
        <f t="shared" si="154"/>
        <v>0</v>
      </c>
      <c r="AM225" s="171">
        <f t="shared" si="155"/>
        <v>0</v>
      </c>
      <c r="AN225" s="175">
        <f t="shared" si="150"/>
        <v>2471766</v>
      </c>
      <c r="AP225" s="184">
        <f t="shared" ca="1" si="151"/>
        <v>2239</v>
      </c>
      <c r="AQ225" s="185">
        <f t="shared" si="134"/>
        <v>0.02</v>
      </c>
      <c r="AR225" s="182">
        <f t="shared" si="126"/>
        <v>78.341447183406018</v>
      </c>
      <c r="AU225" s="184">
        <f t="shared" ca="1" si="152"/>
        <v>2239</v>
      </c>
      <c r="AV225" s="182">
        <f t="shared" si="135"/>
        <v>0.02</v>
      </c>
      <c r="AW225" s="179">
        <f t="shared" si="136"/>
        <v>5.0000000000000001E-3</v>
      </c>
      <c r="AX225" s="182">
        <f t="shared" si="137"/>
        <v>2.5000000000000001E-2</v>
      </c>
      <c r="AY225" s="186"/>
      <c r="AZ225" s="190"/>
      <c r="BA225" s="184">
        <f t="shared" ca="1" si="153"/>
        <v>2239</v>
      </c>
      <c r="BB225" s="171">
        <f t="shared" si="138"/>
        <v>115257.64</v>
      </c>
      <c r="BC225" s="171">
        <f t="shared" si="128"/>
        <v>54003.661339856902</v>
      </c>
      <c r="BD225" s="171">
        <f t="shared" si="124"/>
        <v>39208.480000000003</v>
      </c>
      <c r="BE225" s="171">
        <f t="shared" si="124"/>
        <v>17504.075310658565</v>
      </c>
      <c r="BF225" s="171">
        <f t="shared" si="124"/>
        <v>17504.075310658565</v>
      </c>
      <c r="BG225" s="171">
        <f t="shared" si="124"/>
        <v>17504.075310658565</v>
      </c>
      <c r="BI225" s="187">
        <f>IF(A225-'Invoer gegevens'!$C$17&lt;0,0,IF(A225-'Invoer gegevens'!$C$17=0,1,IF(A225-'Invoer gegevens'!$C$17&lt;5,2,IF(A225-'Invoer gegevens'!$C$17&lt;15,3,4))))</f>
        <v>0</v>
      </c>
      <c r="BJ225" s="229">
        <f>IF(BI225&lt;1,0,IF(BI225&lt;2,4%,IF(Reeksen!BI225&lt;3,4%,IF(Reeksen!BI225&lt;4,4%*70%,IF(Reeksen!BI225&lt;5,4%*50%)))))</f>
        <v>0</v>
      </c>
      <c r="BK225" s="243"/>
      <c r="BL225" s="243"/>
      <c r="BM225" s="243"/>
      <c r="BN225" s="243"/>
      <c r="BO225" s="243"/>
      <c r="BP225" s="243"/>
      <c r="BQ225" s="243"/>
      <c r="BR225" s="243"/>
    </row>
    <row r="226" spans="1:70" x14ac:dyDescent="0.25">
      <c r="A226" s="184">
        <f t="shared" si="139"/>
        <v>221</v>
      </c>
      <c r="B226" s="179">
        <f>Dashboard!$C$25</f>
        <v>0.05</v>
      </c>
      <c r="C226" s="179">
        <f>Dashboard!$C$25</f>
        <v>0.05</v>
      </c>
      <c r="D226" s="179">
        <f>Dashboard!$C$25</f>
        <v>0.05</v>
      </c>
      <c r="E226" s="189"/>
      <c r="F226" s="184">
        <f t="shared" ca="1" si="140"/>
        <v>2240</v>
      </c>
      <c r="G226" s="179">
        <f t="shared" si="160"/>
        <v>0.02</v>
      </c>
      <c r="H226" s="182">
        <f t="shared" si="141"/>
        <v>79.985918663501138</v>
      </c>
      <c r="I226" s="179">
        <f t="shared" si="161"/>
        <v>2.5000000000000001E-2</v>
      </c>
      <c r="J226" s="182">
        <f t="shared" si="142"/>
        <v>236.04414321523316</v>
      </c>
      <c r="K226" s="179">
        <f t="shared" si="162"/>
        <v>2.5000000000000001E-2</v>
      </c>
      <c r="L226" s="182">
        <f t="shared" si="143"/>
        <v>236.04414321523316</v>
      </c>
      <c r="M226" s="189"/>
      <c r="N226" s="184">
        <f t="shared" ca="1" si="144"/>
        <v>2240</v>
      </c>
      <c r="O226" s="179">
        <f t="shared" si="156"/>
        <v>0.02</v>
      </c>
      <c r="P226" s="182">
        <f t="shared" si="125"/>
        <v>79.908276127074146</v>
      </c>
      <c r="R226" s="184">
        <f t="shared" ca="1" si="145"/>
        <v>2240</v>
      </c>
      <c r="S226" s="188">
        <f t="shared" si="158"/>
        <v>5.3600000000000002E-3</v>
      </c>
      <c r="U226" s="184">
        <f t="shared" ca="1" si="146"/>
        <v>2240</v>
      </c>
      <c r="V226" s="182">
        <f t="shared" si="129"/>
        <v>0.02</v>
      </c>
      <c r="W226" s="180">
        <f>Parameters!$D$12</f>
        <v>5.0000000000000001E-3</v>
      </c>
      <c r="X226" s="182">
        <f t="shared" si="130"/>
        <v>2.5000000000000001E-2</v>
      </c>
      <c r="Y226" s="182">
        <f t="shared" si="147"/>
        <v>236.27681369381699</v>
      </c>
      <c r="AA226" s="189"/>
      <c r="AB226" s="184">
        <f t="shared" ca="1" si="148"/>
        <v>2240</v>
      </c>
      <c r="AC226" s="171">
        <f t="shared" si="131"/>
        <v>118138.40684690849</v>
      </c>
      <c r="AD226" s="171">
        <f t="shared" si="127"/>
        <v>17854.156816871739</v>
      </c>
      <c r="AE226" s="171">
        <f t="shared" si="157"/>
        <v>55083.734566654042</v>
      </c>
      <c r="AF226" s="171">
        <f t="shared" si="149"/>
        <v>17854.156816871739</v>
      </c>
      <c r="AG226" s="171">
        <f t="shared" si="159"/>
        <v>39992.65</v>
      </c>
      <c r="AH226" s="171">
        <f t="shared" si="132"/>
        <v>39992.65</v>
      </c>
      <c r="AI226" s="171">
        <f t="shared" si="133"/>
        <v>17854.156816871739</v>
      </c>
      <c r="AJ226" s="171">
        <f>IF('Invoer gegevens'!$I$27="DAEB",SMALL(AC226:AD226,1),AC226)</f>
        <v>17854.156816871739</v>
      </c>
      <c r="AK226" s="171">
        <f>IF('Invoer gegevens'!$I$27="DAEB",SMALL((AE226:AH226),1),SMALL((AF226:AH226),1))</f>
        <v>17854.156816871739</v>
      </c>
      <c r="AL226" s="171">
        <f t="shared" si="154"/>
        <v>0</v>
      </c>
      <c r="AM226" s="171">
        <f t="shared" si="155"/>
        <v>0</v>
      </c>
      <c r="AN226" s="175">
        <f t="shared" si="150"/>
        <v>2521201</v>
      </c>
      <c r="AP226" s="184">
        <f t="shared" ca="1" si="151"/>
        <v>2240</v>
      </c>
      <c r="AQ226" s="185">
        <f t="shared" si="134"/>
        <v>0.02</v>
      </c>
      <c r="AR226" s="182">
        <f t="shared" si="126"/>
        <v>79.908276127074146</v>
      </c>
      <c r="AU226" s="184">
        <f t="shared" ca="1" si="152"/>
        <v>2240</v>
      </c>
      <c r="AV226" s="182">
        <f t="shared" si="135"/>
        <v>0.02</v>
      </c>
      <c r="AW226" s="179">
        <f t="shared" si="136"/>
        <v>5.0000000000000001E-3</v>
      </c>
      <c r="AX226" s="182">
        <f t="shared" si="137"/>
        <v>2.5000000000000001E-2</v>
      </c>
      <c r="AY226" s="186"/>
      <c r="AZ226" s="190"/>
      <c r="BA226" s="184">
        <f t="shared" ca="1" si="153"/>
        <v>2240</v>
      </c>
      <c r="BB226" s="171">
        <f t="shared" si="138"/>
        <v>118139.08</v>
      </c>
      <c r="BC226" s="171">
        <f t="shared" si="128"/>
        <v>55083.734566654042</v>
      </c>
      <c r="BD226" s="171">
        <f t="shared" ref="BD226:BG234" si="163">AH226</f>
        <v>39992.65</v>
      </c>
      <c r="BE226" s="171">
        <f t="shared" si="163"/>
        <v>17854.156816871739</v>
      </c>
      <c r="BF226" s="171">
        <f t="shared" si="163"/>
        <v>17854.156816871739</v>
      </c>
      <c r="BG226" s="171">
        <f t="shared" si="163"/>
        <v>17854.156816871739</v>
      </c>
      <c r="BI226" s="187">
        <f>IF(A226-'Invoer gegevens'!$C$17&lt;0,0,IF(A226-'Invoer gegevens'!$C$17=0,1,IF(A226-'Invoer gegevens'!$C$17&lt;5,2,IF(A226-'Invoer gegevens'!$C$17&lt;15,3,4))))</f>
        <v>0</v>
      </c>
      <c r="BJ226" s="229">
        <f>IF(BI226&lt;1,0,IF(BI226&lt;2,4%,IF(Reeksen!BI226&lt;3,4%,IF(Reeksen!BI226&lt;4,4%*70%,IF(Reeksen!BI226&lt;5,4%*50%)))))</f>
        <v>0</v>
      </c>
      <c r="BK226" s="243"/>
      <c r="BL226" s="243"/>
      <c r="BM226" s="243"/>
      <c r="BN226" s="243"/>
      <c r="BO226" s="243"/>
      <c r="BP226" s="243"/>
      <c r="BQ226" s="243"/>
      <c r="BR226" s="243"/>
    </row>
    <row r="227" spans="1:70" x14ac:dyDescent="0.25">
      <c r="A227" s="184">
        <f t="shared" si="139"/>
        <v>222</v>
      </c>
      <c r="B227" s="179">
        <f>Dashboard!$C$25</f>
        <v>0.05</v>
      </c>
      <c r="C227" s="179">
        <f>Dashboard!$C$25</f>
        <v>0.05</v>
      </c>
      <c r="D227" s="179">
        <f>Dashboard!$C$25</f>
        <v>0.05</v>
      </c>
      <c r="E227" s="189"/>
      <c r="F227" s="184">
        <f t="shared" ca="1" si="140"/>
        <v>2241</v>
      </c>
      <c r="G227" s="179">
        <f t="shared" si="160"/>
        <v>0.02</v>
      </c>
      <c r="H227" s="182">
        <f t="shared" si="141"/>
        <v>81.585637036771161</v>
      </c>
      <c r="I227" s="179">
        <f t="shared" si="161"/>
        <v>2.5000000000000001E-2</v>
      </c>
      <c r="J227" s="182">
        <f t="shared" si="142"/>
        <v>241.94524679561397</v>
      </c>
      <c r="K227" s="179">
        <f t="shared" si="162"/>
        <v>2.5000000000000001E-2</v>
      </c>
      <c r="L227" s="182">
        <f t="shared" si="143"/>
        <v>241.94524679561397</v>
      </c>
      <c r="M227" s="189"/>
      <c r="N227" s="184">
        <f t="shared" ca="1" si="144"/>
        <v>2241</v>
      </c>
      <c r="O227" s="179">
        <f t="shared" si="156"/>
        <v>0.02</v>
      </c>
      <c r="P227" s="182">
        <f t="shared" si="125"/>
        <v>81.506441649615624</v>
      </c>
      <c r="R227" s="184">
        <f t="shared" ca="1" si="145"/>
        <v>2241</v>
      </c>
      <c r="S227" s="188">
        <f t="shared" si="158"/>
        <v>5.3600000000000002E-3</v>
      </c>
      <c r="U227" s="184">
        <f t="shared" ca="1" si="146"/>
        <v>2241</v>
      </c>
      <c r="V227" s="182">
        <f t="shared" si="129"/>
        <v>0.02</v>
      </c>
      <c r="W227" s="180">
        <f>Parameters!$D$12</f>
        <v>5.0000000000000001E-3</v>
      </c>
      <c r="X227" s="182">
        <f t="shared" si="130"/>
        <v>2.5000000000000001E-2</v>
      </c>
      <c r="Y227" s="182">
        <f t="shared" si="147"/>
        <v>242.18373403616241</v>
      </c>
      <c r="AA227" s="189"/>
      <c r="AB227" s="184">
        <f t="shared" ca="1" si="148"/>
        <v>2241</v>
      </c>
      <c r="AC227" s="171">
        <f t="shared" si="131"/>
        <v>121091.8670180812</v>
      </c>
      <c r="AD227" s="171">
        <f t="shared" si="127"/>
        <v>18211.239953209173</v>
      </c>
      <c r="AE227" s="171">
        <f t="shared" si="157"/>
        <v>56185.409257987121</v>
      </c>
      <c r="AF227" s="171">
        <f t="shared" si="149"/>
        <v>18211.239953209173</v>
      </c>
      <c r="AG227" s="171">
        <f t="shared" si="159"/>
        <v>40792.5</v>
      </c>
      <c r="AH227" s="171">
        <f t="shared" si="132"/>
        <v>40792.5</v>
      </c>
      <c r="AI227" s="171">
        <f t="shared" si="133"/>
        <v>18211.239953209173</v>
      </c>
      <c r="AJ227" s="171">
        <f>IF('Invoer gegevens'!$I$27="DAEB",SMALL(AC227:AD227,1),AC227)</f>
        <v>18211.239953209173</v>
      </c>
      <c r="AK227" s="171">
        <f>IF('Invoer gegevens'!$I$27="DAEB",SMALL((AE227:AH227),1),SMALL((AF227:AH227),1))</f>
        <v>18211.239953209173</v>
      </c>
      <c r="AL227" s="171">
        <f t="shared" si="154"/>
        <v>0</v>
      </c>
      <c r="AM227" s="171">
        <f t="shared" si="155"/>
        <v>0</v>
      </c>
      <c r="AN227" s="175">
        <f t="shared" si="150"/>
        <v>2571625</v>
      </c>
      <c r="AP227" s="184">
        <f t="shared" ca="1" si="151"/>
        <v>2241</v>
      </c>
      <c r="AQ227" s="185">
        <f t="shared" si="134"/>
        <v>0.02</v>
      </c>
      <c r="AR227" s="182">
        <f t="shared" si="126"/>
        <v>81.506441649615624</v>
      </c>
      <c r="AU227" s="184">
        <f t="shared" ca="1" si="152"/>
        <v>2241</v>
      </c>
      <c r="AV227" s="182">
        <f t="shared" si="135"/>
        <v>0.02</v>
      </c>
      <c r="AW227" s="179">
        <f t="shared" si="136"/>
        <v>5.0000000000000001E-3</v>
      </c>
      <c r="AX227" s="182">
        <f t="shared" si="137"/>
        <v>2.5000000000000001E-2</v>
      </c>
      <c r="AY227" s="186"/>
      <c r="AZ227" s="190"/>
      <c r="BA227" s="184">
        <f t="shared" ca="1" si="153"/>
        <v>2241</v>
      </c>
      <c r="BB227" s="171">
        <f t="shared" si="138"/>
        <v>121092.56</v>
      </c>
      <c r="BC227" s="171">
        <f t="shared" si="128"/>
        <v>56185.409257987121</v>
      </c>
      <c r="BD227" s="171">
        <f t="shared" si="163"/>
        <v>40792.5</v>
      </c>
      <c r="BE227" s="171">
        <f t="shared" si="163"/>
        <v>18211.239953209173</v>
      </c>
      <c r="BF227" s="171">
        <f t="shared" si="163"/>
        <v>18211.239953209173</v>
      </c>
      <c r="BG227" s="171">
        <f t="shared" si="163"/>
        <v>18211.239953209173</v>
      </c>
      <c r="BI227" s="187">
        <f>IF(A227-'Invoer gegevens'!$C$17&lt;0,0,IF(A227-'Invoer gegevens'!$C$17=0,1,IF(A227-'Invoer gegevens'!$C$17&lt;5,2,IF(A227-'Invoer gegevens'!$C$17&lt;15,3,4))))</f>
        <v>0</v>
      </c>
      <c r="BJ227" s="229">
        <f>IF(BI227&lt;1,0,IF(BI227&lt;2,4%,IF(Reeksen!BI227&lt;3,4%,IF(Reeksen!BI227&lt;4,4%*70%,IF(Reeksen!BI227&lt;5,4%*50%)))))</f>
        <v>0</v>
      </c>
      <c r="BK227" s="243"/>
      <c r="BL227" s="243"/>
      <c r="BM227" s="243"/>
      <c r="BN227" s="243"/>
      <c r="BO227" s="243"/>
      <c r="BP227" s="243"/>
      <c r="BQ227" s="243"/>
      <c r="BR227" s="243"/>
    </row>
    <row r="228" spans="1:70" x14ac:dyDescent="0.25">
      <c r="A228" s="184">
        <f t="shared" si="139"/>
        <v>223</v>
      </c>
      <c r="B228" s="179">
        <f>Dashboard!$C$25</f>
        <v>0.05</v>
      </c>
      <c r="C228" s="179">
        <f>Dashboard!$C$25</f>
        <v>0.05</v>
      </c>
      <c r="D228" s="179">
        <f>Dashboard!$C$25</f>
        <v>0.05</v>
      </c>
      <c r="E228" s="189"/>
      <c r="F228" s="184">
        <f t="shared" ca="1" si="140"/>
        <v>2242</v>
      </c>
      <c r="G228" s="179">
        <f t="shared" si="160"/>
        <v>0.02</v>
      </c>
      <c r="H228" s="182">
        <f t="shared" si="141"/>
        <v>83.217349777506584</v>
      </c>
      <c r="I228" s="179">
        <f t="shared" si="161"/>
        <v>2.5000000000000001E-2</v>
      </c>
      <c r="J228" s="182">
        <f t="shared" si="142"/>
        <v>247.99387796550428</v>
      </c>
      <c r="K228" s="179">
        <f t="shared" si="162"/>
        <v>2.5000000000000001E-2</v>
      </c>
      <c r="L228" s="182">
        <f t="shared" si="143"/>
        <v>247.99387796550428</v>
      </c>
      <c r="M228" s="189"/>
      <c r="N228" s="184">
        <f t="shared" ca="1" si="144"/>
        <v>2242</v>
      </c>
      <c r="O228" s="179">
        <f t="shared" si="156"/>
        <v>0.02</v>
      </c>
      <c r="P228" s="182">
        <f t="shared" si="125"/>
        <v>83.136570482607937</v>
      </c>
      <c r="R228" s="184">
        <f t="shared" ca="1" si="145"/>
        <v>2242</v>
      </c>
      <c r="S228" s="188">
        <f t="shared" si="158"/>
        <v>5.3600000000000002E-3</v>
      </c>
      <c r="U228" s="184">
        <f t="shared" ca="1" si="146"/>
        <v>2242</v>
      </c>
      <c r="V228" s="182">
        <f t="shared" si="129"/>
        <v>0.02</v>
      </c>
      <c r="W228" s="180">
        <f>Parameters!$D$12</f>
        <v>5.0000000000000001E-3</v>
      </c>
      <c r="X228" s="182">
        <f t="shared" si="130"/>
        <v>2.5000000000000001E-2</v>
      </c>
      <c r="Y228" s="182">
        <f t="shared" si="147"/>
        <v>248.23832738706645</v>
      </c>
      <c r="AA228" s="189"/>
      <c r="AB228" s="184">
        <f t="shared" ca="1" si="148"/>
        <v>2242</v>
      </c>
      <c r="AC228" s="171">
        <f t="shared" si="131"/>
        <v>124119.16369353322</v>
      </c>
      <c r="AD228" s="171">
        <f t="shared" si="127"/>
        <v>18575.464752273358</v>
      </c>
      <c r="AE228" s="171">
        <f t="shared" si="157"/>
        <v>57309.117443146868</v>
      </c>
      <c r="AF228" s="171">
        <f t="shared" si="149"/>
        <v>18575.464752273358</v>
      </c>
      <c r="AG228" s="171">
        <f t="shared" si="159"/>
        <v>41608.35</v>
      </c>
      <c r="AH228" s="171">
        <f t="shared" si="132"/>
        <v>41608.35</v>
      </c>
      <c r="AI228" s="171">
        <f t="shared" si="133"/>
        <v>18575.464752273358</v>
      </c>
      <c r="AJ228" s="171">
        <f>IF('Invoer gegevens'!$I$27="DAEB",SMALL(AC228:AD228,1),AC228)</f>
        <v>18575.464752273358</v>
      </c>
      <c r="AK228" s="171">
        <f>IF('Invoer gegevens'!$I$27="DAEB",SMALL((AE228:AH228),1),SMALL((AF228:AH228),1))</f>
        <v>18575.464752273358</v>
      </c>
      <c r="AL228" s="171">
        <f t="shared" si="154"/>
        <v>0</v>
      </c>
      <c r="AM228" s="171">
        <f t="shared" si="155"/>
        <v>0</v>
      </c>
      <c r="AN228" s="175">
        <f t="shared" si="150"/>
        <v>2623058</v>
      </c>
      <c r="AP228" s="184">
        <f t="shared" ca="1" si="151"/>
        <v>2242</v>
      </c>
      <c r="AQ228" s="185">
        <f t="shared" si="134"/>
        <v>0.02</v>
      </c>
      <c r="AR228" s="182">
        <f t="shared" si="126"/>
        <v>83.136570482607937</v>
      </c>
      <c r="AU228" s="184">
        <f t="shared" ca="1" si="152"/>
        <v>2242</v>
      </c>
      <c r="AV228" s="182">
        <f t="shared" si="135"/>
        <v>0.02</v>
      </c>
      <c r="AW228" s="179">
        <f t="shared" si="136"/>
        <v>5.0000000000000001E-3</v>
      </c>
      <c r="AX228" s="182">
        <f t="shared" si="137"/>
        <v>2.5000000000000001E-2</v>
      </c>
      <c r="AY228" s="186"/>
      <c r="AZ228" s="190"/>
      <c r="BA228" s="184">
        <f t="shared" ca="1" si="153"/>
        <v>2242</v>
      </c>
      <c r="BB228" s="171">
        <f t="shared" si="138"/>
        <v>124119.87</v>
      </c>
      <c r="BC228" s="171">
        <f t="shared" si="128"/>
        <v>57309.117443146868</v>
      </c>
      <c r="BD228" s="171">
        <f t="shared" si="163"/>
        <v>41608.35</v>
      </c>
      <c r="BE228" s="171">
        <f t="shared" si="163"/>
        <v>18575.464752273358</v>
      </c>
      <c r="BF228" s="171">
        <f t="shared" si="163"/>
        <v>18575.464752273358</v>
      </c>
      <c r="BG228" s="171">
        <f t="shared" si="163"/>
        <v>18575.464752273358</v>
      </c>
      <c r="BI228" s="187">
        <f>IF(A228-'Invoer gegevens'!$C$17&lt;0,0,IF(A228-'Invoer gegevens'!$C$17=0,1,IF(A228-'Invoer gegevens'!$C$17&lt;5,2,IF(A228-'Invoer gegevens'!$C$17&lt;15,3,4))))</f>
        <v>0</v>
      </c>
      <c r="BJ228" s="229">
        <f>IF(BI228&lt;1,0,IF(BI228&lt;2,4%,IF(Reeksen!BI228&lt;3,4%,IF(Reeksen!BI228&lt;4,4%*70%,IF(Reeksen!BI228&lt;5,4%*50%)))))</f>
        <v>0</v>
      </c>
      <c r="BK228" s="243"/>
      <c r="BL228" s="243"/>
      <c r="BM228" s="243"/>
      <c r="BN228" s="243"/>
      <c r="BO228" s="243"/>
      <c r="BP228" s="243"/>
      <c r="BQ228" s="243"/>
      <c r="BR228" s="243"/>
    </row>
    <row r="229" spans="1:70" x14ac:dyDescent="0.25">
      <c r="A229" s="184">
        <f t="shared" si="139"/>
        <v>224</v>
      </c>
      <c r="B229" s="179">
        <f>Dashboard!$C$25</f>
        <v>0.05</v>
      </c>
      <c r="C229" s="179">
        <f>Dashboard!$C$25</f>
        <v>0.05</v>
      </c>
      <c r="D229" s="179">
        <f>Dashboard!$C$25</f>
        <v>0.05</v>
      </c>
      <c r="E229" s="189"/>
      <c r="F229" s="184">
        <f t="shared" ca="1" si="140"/>
        <v>2243</v>
      </c>
      <c r="G229" s="179">
        <f t="shared" si="160"/>
        <v>0.02</v>
      </c>
      <c r="H229" s="182">
        <f t="shared" si="141"/>
        <v>84.881696773056717</v>
      </c>
      <c r="I229" s="179">
        <f t="shared" si="161"/>
        <v>2.5000000000000001E-2</v>
      </c>
      <c r="J229" s="182">
        <f t="shared" si="142"/>
        <v>254.19372491464188</v>
      </c>
      <c r="K229" s="179">
        <f t="shared" si="162"/>
        <v>2.5000000000000001E-2</v>
      </c>
      <c r="L229" s="182">
        <f t="shared" si="143"/>
        <v>254.19372491464188</v>
      </c>
      <c r="M229" s="189"/>
      <c r="N229" s="184">
        <f t="shared" ca="1" si="144"/>
        <v>2243</v>
      </c>
      <c r="O229" s="179">
        <f t="shared" si="156"/>
        <v>0.02</v>
      </c>
      <c r="P229" s="182">
        <f t="shared" si="125"/>
        <v>84.799301892260104</v>
      </c>
      <c r="R229" s="184">
        <f t="shared" ca="1" si="145"/>
        <v>2243</v>
      </c>
      <c r="S229" s="188">
        <f t="shared" si="158"/>
        <v>5.3600000000000002E-3</v>
      </c>
      <c r="U229" s="184">
        <f t="shared" ca="1" si="146"/>
        <v>2243</v>
      </c>
      <c r="V229" s="182">
        <f t="shared" si="129"/>
        <v>0.02</v>
      </c>
      <c r="W229" s="180">
        <f>Parameters!$D$12</f>
        <v>5.0000000000000001E-3</v>
      </c>
      <c r="X229" s="182">
        <f t="shared" si="130"/>
        <v>2.5000000000000001E-2</v>
      </c>
      <c r="Y229" s="182">
        <f t="shared" si="147"/>
        <v>254.44428557174308</v>
      </c>
      <c r="AA229" s="189"/>
      <c r="AB229" s="184">
        <f t="shared" ca="1" si="148"/>
        <v>2243</v>
      </c>
      <c r="AC229" s="171">
        <f t="shared" si="131"/>
        <v>127222.14278587155</v>
      </c>
      <c r="AD229" s="171">
        <f t="shared" si="127"/>
        <v>18946.974047318825</v>
      </c>
      <c r="AE229" s="171">
        <f t="shared" si="157"/>
        <v>58455.299792009806</v>
      </c>
      <c r="AF229" s="171">
        <f t="shared" si="149"/>
        <v>18946.974047318825</v>
      </c>
      <c r="AG229" s="171">
        <f t="shared" si="159"/>
        <v>42440.52</v>
      </c>
      <c r="AH229" s="171">
        <f t="shared" si="132"/>
        <v>42440.52</v>
      </c>
      <c r="AI229" s="171">
        <f t="shared" si="133"/>
        <v>18946.974047318825</v>
      </c>
      <c r="AJ229" s="171">
        <f>IF('Invoer gegevens'!$I$27="DAEB",SMALL(AC229:AD229,1),AC229)</f>
        <v>18946.974047318825</v>
      </c>
      <c r="AK229" s="171">
        <f>IF('Invoer gegevens'!$I$27="DAEB",SMALL((AE229:AH229),1),SMALL((AF229:AH229),1))</f>
        <v>18946.974047318825</v>
      </c>
      <c r="AL229" s="171">
        <f t="shared" si="154"/>
        <v>0</v>
      </c>
      <c r="AM229" s="171">
        <f t="shared" si="155"/>
        <v>0</v>
      </c>
      <c r="AN229" s="175">
        <f t="shared" si="150"/>
        <v>2675519</v>
      </c>
      <c r="AP229" s="184">
        <f t="shared" ca="1" si="151"/>
        <v>2243</v>
      </c>
      <c r="AQ229" s="185">
        <f t="shared" si="134"/>
        <v>0.02</v>
      </c>
      <c r="AR229" s="182">
        <f t="shared" si="126"/>
        <v>84.799301892260104</v>
      </c>
      <c r="AU229" s="184">
        <f t="shared" ca="1" si="152"/>
        <v>2243</v>
      </c>
      <c r="AV229" s="182">
        <f t="shared" si="135"/>
        <v>0.02</v>
      </c>
      <c r="AW229" s="179">
        <f t="shared" si="136"/>
        <v>5.0000000000000001E-3</v>
      </c>
      <c r="AX229" s="182">
        <f t="shared" si="137"/>
        <v>2.5000000000000001E-2</v>
      </c>
      <c r="AY229" s="186"/>
      <c r="AZ229" s="190"/>
      <c r="BA229" s="184">
        <f t="shared" ca="1" si="153"/>
        <v>2243</v>
      </c>
      <c r="BB229" s="171">
        <f t="shared" si="138"/>
        <v>127222.87</v>
      </c>
      <c r="BC229" s="171">
        <f t="shared" si="128"/>
        <v>58455.299792009806</v>
      </c>
      <c r="BD229" s="171">
        <f t="shared" si="163"/>
        <v>42440.52</v>
      </c>
      <c r="BE229" s="171">
        <f t="shared" si="163"/>
        <v>18946.974047318825</v>
      </c>
      <c r="BF229" s="171">
        <f t="shared" si="163"/>
        <v>18946.974047318825</v>
      </c>
      <c r="BG229" s="171">
        <f t="shared" si="163"/>
        <v>18946.974047318825</v>
      </c>
      <c r="BI229" s="187">
        <f>IF(A229-'Invoer gegevens'!$C$17&lt;0,0,IF(A229-'Invoer gegevens'!$C$17=0,1,IF(A229-'Invoer gegevens'!$C$17&lt;5,2,IF(A229-'Invoer gegevens'!$C$17&lt;15,3,4))))</f>
        <v>0</v>
      </c>
      <c r="BJ229" s="229">
        <f>IF(BI229&lt;1,0,IF(BI229&lt;2,4%,IF(Reeksen!BI229&lt;3,4%,IF(Reeksen!BI229&lt;4,4%*70%,IF(Reeksen!BI229&lt;5,4%*50%)))))</f>
        <v>0</v>
      </c>
      <c r="BK229" s="243"/>
      <c r="BL229" s="243"/>
      <c r="BM229" s="243"/>
      <c r="BN229" s="243"/>
      <c r="BO229" s="243"/>
      <c r="BP229" s="243"/>
      <c r="BQ229" s="243"/>
      <c r="BR229" s="243"/>
    </row>
    <row r="230" spans="1:70" x14ac:dyDescent="0.25">
      <c r="A230" s="184">
        <f t="shared" si="139"/>
        <v>225</v>
      </c>
      <c r="B230" s="179">
        <f>Dashboard!$C$25</f>
        <v>0.05</v>
      </c>
      <c r="C230" s="179">
        <f>Dashboard!$C$25</f>
        <v>0.05</v>
      </c>
      <c r="D230" s="179">
        <f>Dashboard!$C$25</f>
        <v>0.05</v>
      </c>
      <c r="E230" s="189"/>
      <c r="F230" s="184">
        <f t="shared" ca="1" si="140"/>
        <v>2244</v>
      </c>
      <c r="G230" s="179">
        <f t="shared" si="160"/>
        <v>0.02</v>
      </c>
      <c r="H230" s="182">
        <f t="shared" si="141"/>
        <v>86.579330708517858</v>
      </c>
      <c r="I230" s="179">
        <f t="shared" si="161"/>
        <v>2.5000000000000001E-2</v>
      </c>
      <c r="J230" s="182">
        <f t="shared" si="142"/>
        <v>260.54856803750789</v>
      </c>
      <c r="K230" s="179">
        <f t="shared" si="162"/>
        <v>2.5000000000000001E-2</v>
      </c>
      <c r="L230" s="182">
        <f t="shared" si="143"/>
        <v>260.54856803750789</v>
      </c>
      <c r="M230" s="189"/>
      <c r="N230" s="184">
        <f t="shared" ca="1" si="144"/>
        <v>2244</v>
      </c>
      <c r="O230" s="179">
        <f t="shared" si="156"/>
        <v>0.02</v>
      </c>
      <c r="P230" s="182">
        <f t="shared" si="125"/>
        <v>86.495287930105306</v>
      </c>
      <c r="R230" s="184">
        <f t="shared" ca="1" si="145"/>
        <v>2244</v>
      </c>
      <c r="S230" s="188">
        <f t="shared" si="158"/>
        <v>5.3600000000000002E-3</v>
      </c>
      <c r="U230" s="184">
        <f t="shared" ca="1" si="146"/>
        <v>2244</v>
      </c>
      <c r="V230" s="182">
        <f t="shared" si="129"/>
        <v>0.02</v>
      </c>
      <c r="W230" s="180">
        <f>Parameters!$D$12</f>
        <v>5.0000000000000001E-3</v>
      </c>
      <c r="X230" s="182">
        <f t="shared" si="130"/>
        <v>2.5000000000000001E-2</v>
      </c>
      <c r="Y230" s="182">
        <f t="shared" si="147"/>
        <v>260.80539271103663</v>
      </c>
      <c r="AA230" s="189"/>
      <c r="AB230" s="184">
        <f t="shared" ca="1" si="148"/>
        <v>2244</v>
      </c>
      <c r="AC230" s="171">
        <f t="shared" si="131"/>
        <v>130402.69635551832</v>
      </c>
      <c r="AD230" s="171">
        <f t="shared" si="127"/>
        <v>19325.913528265202</v>
      </c>
      <c r="AE230" s="171">
        <f t="shared" si="157"/>
        <v>59624.405787850003</v>
      </c>
      <c r="AF230" s="171">
        <f t="shared" si="149"/>
        <v>19325.913528265202</v>
      </c>
      <c r="AG230" s="171">
        <f t="shared" si="159"/>
        <v>43289.33</v>
      </c>
      <c r="AH230" s="171">
        <f t="shared" si="132"/>
        <v>43289.33</v>
      </c>
      <c r="AI230" s="171">
        <f t="shared" si="133"/>
        <v>19325.913528265202</v>
      </c>
      <c r="AJ230" s="171">
        <f>IF('Invoer gegevens'!$I$27="DAEB",SMALL(AC230:AD230,1),AC230)</f>
        <v>19325.913528265202</v>
      </c>
      <c r="AK230" s="171">
        <f>IF('Invoer gegevens'!$I$27="DAEB",SMALL((AE230:AH230),1),SMALL((AF230:AH230),1))</f>
        <v>19325.913528265202</v>
      </c>
      <c r="AL230" s="171">
        <f t="shared" si="154"/>
        <v>0</v>
      </c>
      <c r="AM230" s="171">
        <f t="shared" si="155"/>
        <v>0</v>
      </c>
      <c r="AN230" s="175">
        <f t="shared" si="150"/>
        <v>2729029</v>
      </c>
      <c r="AP230" s="184">
        <f t="shared" ca="1" si="151"/>
        <v>2244</v>
      </c>
      <c r="AQ230" s="185">
        <f t="shared" si="134"/>
        <v>0.02</v>
      </c>
      <c r="AR230" s="182">
        <f t="shared" si="126"/>
        <v>86.495287930105306</v>
      </c>
      <c r="AU230" s="184">
        <f t="shared" ca="1" si="152"/>
        <v>2244</v>
      </c>
      <c r="AV230" s="182">
        <f t="shared" si="135"/>
        <v>0.02</v>
      </c>
      <c r="AW230" s="179">
        <f t="shared" si="136"/>
        <v>5.0000000000000001E-3</v>
      </c>
      <c r="AX230" s="182">
        <f t="shared" si="137"/>
        <v>2.5000000000000001E-2</v>
      </c>
      <c r="AY230" s="186"/>
      <c r="AZ230" s="190"/>
      <c r="BA230" s="184">
        <f t="shared" ca="1" si="153"/>
        <v>2244</v>
      </c>
      <c r="BB230" s="171">
        <f t="shared" si="138"/>
        <v>130403.44</v>
      </c>
      <c r="BC230" s="171">
        <f t="shared" si="128"/>
        <v>59624.405787850003</v>
      </c>
      <c r="BD230" s="171">
        <f t="shared" si="163"/>
        <v>43289.33</v>
      </c>
      <c r="BE230" s="171">
        <f t="shared" si="163"/>
        <v>19325.913528265202</v>
      </c>
      <c r="BF230" s="171">
        <f t="shared" si="163"/>
        <v>19325.913528265202</v>
      </c>
      <c r="BG230" s="171">
        <f t="shared" si="163"/>
        <v>19325.913528265202</v>
      </c>
      <c r="BI230" s="187">
        <f>IF(A230-'Invoer gegevens'!$C$17&lt;0,0,IF(A230-'Invoer gegevens'!$C$17=0,1,IF(A230-'Invoer gegevens'!$C$17&lt;5,2,IF(A230-'Invoer gegevens'!$C$17&lt;15,3,4))))</f>
        <v>0</v>
      </c>
      <c r="BJ230" s="229">
        <f>IF(BI230&lt;1,0,IF(BI230&lt;2,4%,IF(Reeksen!BI230&lt;3,4%,IF(Reeksen!BI230&lt;4,4%*70%,IF(Reeksen!BI230&lt;5,4%*50%)))))</f>
        <v>0</v>
      </c>
      <c r="BK230" s="243"/>
      <c r="BL230" s="243"/>
      <c r="BM230" s="243"/>
      <c r="BN230" s="243"/>
      <c r="BO230" s="243"/>
      <c r="BP230" s="243"/>
      <c r="BQ230" s="243"/>
      <c r="BR230" s="243"/>
    </row>
    <row r="231" spans="1:70" x14ac:dyDescent="0.25">
      <c r="A231" s="184">
        <f t="shared" si="139"/>
        <v>226</v>
      </c>
      <c r="B231" s="179">
        <f>Dashboard!$C$25</f>
        <v>0.05</v>
      </c>
      <c r="C231" s="179">
        <f>Dashboard!$C$25</f>
        <v>0.05</v>
      </c>
      <c r="D231" s="179">
        <f>Dashboard!$C$25</f>
        <v>0.05</v>
      </c>
      <c r="E231" s="189"/>
      <c r="F231" s="184">
        <f t="shared" ca="1" si="140"/>
        <v>2245</v>
      </c>
      <c r="G231" s="179">
        <f t="shared" si="160"/>
        <v>0.02</v>
      </c>
      <c r="H231" s="182">
        <f t="shared" si="141"/>
        <v>88.310917322688212</v>
      </c>
      <c r="I231" s="179">
        <f t="shared" si="161"/>
        <v>2.5000000000000001E-2</v>
      </c>
      <c r="J231" s="182">
        <f t="shared" si="142"/>
        <v>267.06228223844556</v>
      </c>
      <c r="K231" s="179">
        <f t="shared" si="162"/>
        <v>2.5000000000000001E-2</v>
      </c>
      <c r="L231" s="182">
        <f t="shared" si="143"/>
        <v>267.06228223844556</v>
      </c>
      <c r="M231" s="189"/>
      <c r="N231" s="184">
        <f t="shared" ca="1" si="144"/>
        <v>2245</v>
      </c>
      <c r="O231" s="179">
        <f t="shared" si="156"/>
        <v>0.02</v>
      </c>
      <c r="P231" s="182">
        <f t="shared" si="125"/>
        <v>88.225193688707407</v>
      </c>
      <c r="R231" s="184">
        <f t="shared" ca="1" si="145"/>
        <v>2245</v>
      </c>
      <c r="S231" s="188">
        <f t="shared" si="158"/>
        <v>5.3600000000000002E-3</v>
      </c>
      <c r="U231" s="184">
        <f t="shared" ca="1" si="146"/>
        <v>2245</v>
      </c>
      <c r="V231" s="182">
        <f t="shared" si="129"/>
        <v>0.02</v>
      </c>
      <c r="W231" s="180">
        <f>Parameters!$D$12</f>
        <v>5.0000000000000001E-3</v>
      </c>
      <c r="X231" s="182">
        <f t="shared" si="130"/>
        <v>2.5000000000000001E-2</v>
      </c>
      <c r="Y231" s="182">
        <f t="shared" si="147"/>
        <v>267.32552752881253</v>
      </c>
      <c r="AA231" s="189"/>
      <c r="AB231" s="184">
        <f t="shared" ca="1" si="148"/>
        <v>2245</v>
      </c>
      <c r="AC231" s="171">
        <f t="shared" si="131"/>
        <v>133662.76376440626</v>
      </c>
      <c r="AD231" s="171">
        <f t="shared" si="127"/>
        <v>19712.431798830505</v>
      </c>
      <c r="AE231" s="171">
        <f t="shared" si="157"/>
        <v>60816.893903607001</v>
      </c>
      <c r="AF231" s="171">
        <f t="shared" si="149"/>
        <v>19712.431798830505</v>
      </c>
      <c r="AG231" s="171">
        <f t="shared" si="159"/>
        <v>44155.12</v>
      </c>
      <c r="AH231" s="171">
        <f t="shared" si="132"/>
        <v>44155.12</v>
      </c>
      <c r="AI231" s="171">
        <f t="shared" si="133"/>
        <v>19712.431798830505</v>
      </c>
      <c r="AJ231" s="171">
        <f>IF('Invoer gegevens'!$I$27="DAEB",SMALL(AC231:AD231,1),AC231)</f>
        <v>19712.431798830505</v>
      </c>
      <c r="AK231" s="171">
        <f>IF('Invoer gegevens'!$I$27="DAEB",SMALL((AE231:AH231),1),SMALL((AF231:AH231),1))</f>
        <v>19712.431798830505</v>
      </c>
      <c r="AL231" s="171">
        <f t="shared" si="154"/>
        <v>0</v>
      </c>
      <c r="AM231" s="171">
        <f t="shared" si="155"/>
        <v>0</v>
      </c>
      <c r="AN231" s="175">
        <f t="shared" si="150"/>
        <v>2783610</v>
      </c>
      <c r="AP231" s="184">
        <f t="shared" ca="1" si="151"/>
        <v>2245</v>
      </c>
      <c r="AQ231" s="185">
        <f t="shared" si="134"/>
        <v>0.02</v>
      </c>
      <c r="AR231" s="182">
        <f t="shared" si="126"/>
        <v>88.225193688707407</v>
      </c>
      <c r="AU231" s="184">
        <f t="shared" ca="1" si="152"/>
        <v>2245</v>
      </c>
      <c r="AV231" s="182">
        <f t="shared" si="135"/>
        <v>0.02</v>
      </c>
      <c r="AW231" s="179">
        <f t="shared" si="136"/>
        <v>5.0000000000000001E-3</v>
      </c>
      <c r="AX231" s="182">
        <f t="shared" si="137"/>
        <v>2.5000000000000001E-2</v>
      </c>
      <c r="AY231" s="186"/>
      <c r="AZ231" s="190"/>
      <c r="BA231" s="184">
        <f t="shared" ca="1" si="153"/>
        <v>2245</v>
      </c>
      <c r="BB231" s="171">
        <f t="shared" si="138"/>
        <v>133663.53</v>
      </c>
      <c r="BC231" s="171">
        <f t="shared" si="128"/>
        <v>60816.893903607001</v>
      </c>
      <c r="BD231" s="171">
        <f t="shared" si="163"/>
        <v>44155.12</v>
      </c>
      <c r="BE231" s="171">
        <f t="shared" si="163"/>
        <v>19712.431798830505</v>
      </c>
      <c r="BF231" s="171">
        <f t="shared" si="163"/>
        <v>19712.431798830505</v>
      </c>
      <c r="BG231" s="171">
        <f t="shared" si="163"/>
        <v>19712.431798830505</v>
      </c>
      <c r="BI231" s="187">
        <f>IF(A231-'Invoer gegevens'!$C$17&lt;0,0,IF(A231-'Invoer gegevens'!$C$17=0,1,IF(A231-'Invoer gegevens'!$C$17&lt;5,2,IF(A231-'Invoer gegevens'!$C$17&lt;15,3,4))))</f>
        <v>0</v>
      </c>
      <c r="BJ231" s="229">
        <f>IF(BI231&lt;1,0,IF(BI231&lt;2,4%,IF(Reeksen!BI231&lt;3,4%,IF(Reeksen!BI231&lt;4,4%*70%,IF(Reeksen!BI231&lt;5,4%*50%)))))</f>
        <v>0</v>
      </c>
      <c r="BK231" s="243"/>
      <c r="BL231" s="243"/>
      <c r="BM231" s="243"/>
      <c r="BN231" s="243"/>
      <c r="BO231" s="243"/>
      <c r="BP231" s="243"/>
      <c r="BQ231" s="243"/>
      <c r="BR231" s="243"/>
    </row>
    <row r="232" spans="1:70" x14ac:dyDescent="0.25">
      <c r="A232" s="184">
        <f t="shared" si="139"/>
        <v>227</v>
      </c>
      <c r="B232" s="179">
        <f>Dashboard!$C$25</f>
        <v>0.05</v>
      </c>
      <c r="C232" s="179">
        <f>Dashboard!$C$25</f>
        <v>0.05</v>
      </c>
      <c r="D232" s="179">
        <f>Dashboard!$C$25</f>
        <v>0.05</v>
      </c>
      <c r="E232" s="189"/>
      <c r="F232" s="184">
        <f t="shared" ca="1" si="140"/>
        <v>2246</v>
      </c>
      <c r="G232" s="179">
        <f t="shared" si="160"/>
        <v>0.02</v>
      </c>
      <c r="H232" s="182">
        <f t="shared" si="141"/>
        <v>90.077135669141981</v>
      </c>
      <c r="I232" s="179">
        <f t="shared" si="161"/>
        <v>2.5000000000000001E-2</v>
      </c>
      <c r="J232" s="182">
        <f t="shared" si="142"/>
        <v>273.73883929440666</v>
      </c>
      <c r="K232" s="179">
        <f t="shared" si="162"/>
        <v>2.5000000000000001E-2</v>
      </c>
      <c r="L232" s="182">
        <f t="shared" si="143"/>
        <v>273.73883929440666</v>
      </c>
      <c r="M232" s="189"/>
      <c r="N232" s="184">
        <f t="shared" ca="1" si="144"/>
        <v>2246</v>
      </c>
      <c r="O232" s="179">
        <f t="shared" si="156"/>
        <v>0.02</v>
      </c>
      <c r="P232" s="182">
        <f t="shared" si="125"/>
        <v>89.989697562481552</v>
      </c>
      <c r="R232" s="184">
        <f t="shared" ca="1" si="145"/>
        <v>2246</v>
      </c>
      <c r="S232" s="188">
        <f t="shared" si="158"/>
        <v>5.3600000000000002E-3</v>
      </c>
      <c r="U232" s="184">
        <f t="shared" ca="1" si="146"/>
        <v>2246</v>
      </c>
      <c r="V232" s="182">
        <f t="shared" si="129"/>
        <v>0.02</v>
      </c>
      <c r="W232" s="180">
        <f>Parameters!$D$12</f>
        <v>5.0000000000000001E-3</v>
      </c>
      <c r="X232" s="182">
        <f t="shared" si="130"/>
        <v>2.5000000000000001E-2</v>
      </c>
      <c r="Y232" s="182">
        <f t="shared" si="147"/>
        <v>274.00866571703284</v>
      </c>
      <c r="AA232" s="189"/>
      <c r="AB232" s="184">
        <f t="shared" ca="1" si="148"/>
        <v>2246</v>
      </c>
      <c r="AC232" s="171">
        <f t="shared" si="131"/>
        <v>137004.33285851643</v>
      </c>
      <c r="AD232" s="171">
        <f t="shared" si="127"/>
        <v>20106.680434807116</v>
      </c>
      <c r="AE232" s="171">
        <f t="shared" si="157"/>
        <v>62033.23178167914</v>
      </c>
      <c r="AF232" s="171">
        <f t="shared" si="149"/>
        <v>20106.680434807116</v>
      </c>
      <c r="AG232" s="171">
        <f t="shared" si="159"/>
        <v>45038.22</v>
      </c>
      <c r="AH232" s="171">
        <f t="shared" si="132"/>
        <v>45038.22</v>
      </c>
      <c r="AI232" s="171">
        <f t="shared" si="133"/>
        <v>20106.680434807116</v>
      </c>
      <c r="AJ232" s="171">
        <f>IF('Invoer gegevens'!$I$27="DAEB",SMALL(AC232:AD232,1),AC232)</f>
        <v>20106.680434807116</v>
      </c>
      <c r="AK232" s="171">
        <f>IF('Invoer gegevens'!$I$27="DAEB",SMALL((AE232:AH232),1),SMALL((AF232:AH232),1))</f>
        <v>20106.680434807116</v>
      </c>
      <c r="AL232" s="171">
        <f t="shared" si="154"/>
        <v>0</v>
      </c>
      <c r="AM232" s="171">
        <f t="shared" si="155"/>
        <v>0</v>
      </c>
      <c r="AN232" s="175">
        <f t="shared" si="150"/>
        <v>2839282</v>
      </c>
      <c r="AP232" s="184">
        <f t="shared" ca="1" si="151"/>
        <v>2246</v>
      </c>
      <c r="AQ232" s="185">
        <f t="shared" si="134"/>
        <v>0.02</v>
      </c>
      <c r="AR232" s="182">
        <f t="shared" si="126"/>
        <v>89.989697562481552</v>
      </c>
      <c r="AU232" s="184">
        <f t="shared" ca="1" si="152"/>
        <v>2246</v>
      </c>
      <c r="AV232" s="182">
        <f t="shared" si="135"/>
        <v>0.02</v>
      </c>
      <c r="AW232" s="179">
        <f t="shared" si="136"/>
        <v>5.0000000000000001E-3</v>
      </c>
      <c r="AX232" s="182">
        <f t="shared" si="137"/>
        <v>2.5000000000000001E-2</v>
      </c>
      <c r="AY232" s="186"/>
      <c r="AZ232" s="190"/>
      <c r="BA232" s="184">
        <f t="shared" ca="1" si="153"/>
        <v>2246</v>
      </c>
      <c r="BB232" s="171">
        <f t="shared" si="138"/>
        <v>137005.12</v>
      </c>
      <c r="BC232" s="171">
        <f t="shared" si="128"/>
        <v>62033.23178167914</v>
      </c>
      <c r="BD232" s="171">
        <f t="shared" si="163"/>
        <v>45038.22</v>
      </c>
      <c r="BE232" s="171">
        <f t="shared" si="163"/>
        <v>20106.680434807116</v>
      </c>
      <c r="BF232" s="171">
        <f t="shared" si="163"/>
        <v>20106.680434807116</v>
      </c>
      <c r="BG232" s="171">
        <f t="shared" si="163"/>
        <v>20106.680434807116</v>
      </c>
      <c r="BI232" s="187">
        <f>IF(A232-'Invoer gegevens'!$C$17&lt;0,0,IF(A232-'Invoer gegevens'!$C$17=0,1,IF(A232-'Invoer gegevens'!$C$17&lt;5,2,IF(A232-'Invoer gegevens'!$C$17&lt;15,3,4))))</f>
        <v>0</v>
      </c>
      <c r="BJ232" s="229">
        <f>IF(BI232&lt;1,0,IF(BI232&lt;2,4%,IF(Reeksen!BI232&lt;3,4%,IF(Reeksen!BI232&lt;4,4%*70%,IF(Reeksen!BI232&lt;5,4%*50%)))))</f>
        <v>0</v>
      </c>
      <c r="BK232" s="243"/>
      <c r="BL232" s="243"/>
      <c r="BM232" s="243"/>
      <c r="BN232" s="243"/>
      <c r="BO232" s="243"/>
      <c r="BP232" s="243"/>
      <c r="BQ232" s="243"/>
      <c r="BR232" s="243"/>
    </row>
    <row r="233" spans="1:70" x14ac:dyDescent="0.25">
      <c r="A233" s="184">
        <f t="shared" si="139"/>
        <v>228</v>
      </c>
      <c r="B233" s="179">
        <f>Dashboard!$C$25</f>
        <v>0.05</v>
      </c>
      <c r="C233" s="179">
        <f>Dashboard!$C$25</f>
        <v>0.05</v>
      </c>
      <c r="D233" s="179">
        <f>Dashboard!$C$25</f>
        <v>0.05</v>
      </c>
      <c r="E233" s="189"/>
      <c r="F233" s="184">
        <f t="shared" ca="1" si="140"/>
        <v>2247</v>
      </c>
      <c r="G233" s="179">
        <f t="shared" si="160"/>
        <v>0.02</v>
      </c>
      <c r="H233" s="182">
        <f t="shared" si="141"/>
        <v>91.878678382524825</v>
      </c>
      <c r="I233" s="179">
        <f t="shared" si="161"/>
        <v>2.5000000000000001E-2</v>
      </c>
      <c r="J233" s="182">
        <f t="shared" si="142"/>
        <v>280.5823102767668</v>
      </c>
      <c r="K233" s="179">
        <f t="shared" si="162"/>
        <v>2.5000000000000001E-2</v>
      </c>
      <c r="L233" s="182">
        <f t="shared" si="143"/>
        <v>280.5823102767668</v>
      </c>
      <c r="M233" s="189"/>
      <c r="N233" s="184">
        <f t="shared" ca="1" si="144"/>
        <v>2247</v>
      </c>
      <c r="O233" s="179">
        <f t="shared" si="156"/>
        <v>0.02</v>
      </c>
      <c r="P233" s="182">
        <f t="shared" si="125"/>
        <v>91.789491513731178</v>
      </c>
      <c r="R233" s="184">
        <f t="shared" ca="1" si="145"/>
        <v>2247</v>
      </c>
      <c r="S233" s="188">
        <f t="shared" si="158"/>
        <v>5.3600000000000002E-3</v>
      </c>
      <c r="U233" s="184">
        <f t="shared" ca="1" si="146"/>
        <v>2247</v>
      </c>
      <c r="V233" s="182">
        <f t="shared" si="129"/>
        <v>0.02</v>
      </c>
      <c r="W233" s="180">
        <f>Parameters!$D$12</f>
        <v>5.0000000000000001E-3</v>
      </c>
      <c r="X233" s="182">
        <f t="shared" si="130"/>
        <v>2.5000000000000001E-2</v>
      </c>
      <c r="Y233" s="182">
        <f t="shared" si="147"/>
        <v>280.85888235995861</v>
      </c>
      <c r="AA233" s="189"/>
      <c r="AB233" s="184">
        <f t="shared" ca="1" si="148"/>
        <v>2247</v>
      </c>
      <c r="AC233" s="171">
        <f t="shared" si="131"/>
        <v>140429.4411799793</v>
      </c>
      <c r="AD233" s="171">
        <f t="shared" si="127"/>
        <v>20508.814043503258</v>
      </c>
      <c r="AE233" s="171">
        <f t="shared" si="157"/>
        <v>63273.896417312724</v>
      </c>
      <c r="AF233" s="171">
        <f t="shared" si="149"/>
        <v>20508.814043503258</v>
      </c>
      <c r="AG233" s="171">
        <f t="shared" si="159"/>
        <v>45938.98</v>
      </c>
      <c r="AH233" s="171">
        <f t="shared" si="132"/>
        <v>45938.98</v>
      </c>
      <c r="AI233" s="171">
        <f t="shared" si="133"/>
        <v>20508.814043503258</v>
      </c>
      <c r="AJ233" s="171">
        <f>IF('Invoer gegevens'!$I$27="DAEB",SMALL(AC233:AD233,1),AC233)</f>
        <v>20508.814043503258</v>
      </c>
      <c r="AK233" s="171">
        <f>IF('Invoer gegevens'!$I$27="DAEB",SMALL((AE233:AH233),1),SMALL((AF233:AH233),1))</f>
        <v>20508.814043503258</v>
      </c>
      <c r="AL233" s="171">
        <f t="shared" si="154"/>
        <v>0</v>
      </c>
      <c r="AM233" s="171">
        <f t="shared" si="155"/>
        <v>0</v>
      </c>
      <c r="AN233" s="175">
        <f t="shared" si="150"/>
        <v>2896068</v>
      </c>
      <c r="AP233" s="184">
        <f t="shared" ca="1" si="151"/>
        <v>2247</v>
      </c>
      <c r="AQ233" s="185">
        <f t="shared" si="134"/>
        <v>0.02</v>
      </c>
      <c r="AR233" s="182">
        <f t="shared" si="126"/>
        <v>91.789491513731178</v>
      </c>
      <c r="AU233" s="184">
        <f t="shared" ca="1" si="152"/>
        <v>2247</v>
      </c>
      <c r="AV233" s="182">
        <f t="shared" si="135"/>
        <v>0.02</v>
      </c>
      <c r="AW233" s="179">
        <f t="shared" si="136"/>
        <v>5.0000000000000001E-3</v>
      </c>
      <c r="AX233" s="182">
        <f t="shared" si="137"/>
        <v>2.5000000000000001E-2</v>
      </c>
      <c r="AY233" s="186"/>
      <c r="AZ233" s="190"/>
      <c r="BA233" s="184">
        <f t="shared" ca="1" si="153"/>
        <v>2247</v>
      </c>
      <c r="BB233" s="171">
        <f t="shared" si="138"/>
        <v>140430.25</v>
      </c>
      <c r="BC233" s="171">
        <f t="shared" si="128"/>
        <v>63273.896417312724</v>
      </c>
      <c r="BD233" s="171">
        <f t="shared" si="163"/>
        <v>45938.98</v>
      </c>
      <c r="BE233" s="171">
        <f t="shared" si="163"/>
        <v>20508.814043503258</v>
      </c>
      <c r="BF233" s="171">
        <f t="shared" si="163"/>
        <v>20508.814043503258</v>
      </c>
      <c r="BG233" s="171">
        <f t="shared" si="163"/>
        <v>20508.814043503258</v>
      </c>
      <c r="BI233" s="187">
        <f>IF(A233-'Invoer gegevens'!$C$17&lt;0,0,IF(A233-'Invoer gegevens'!$C$17=0,1,IF(A233-'Invoer gegevens'!$C$17&lt;5,2,IF(A233-'Invoer gegevens'!$C$17&lt;15,3,4))))</f>
        <v>0</v>
      </c>
      <c r="BJ233" s="229">
        <f>IF(BI233&lt;1,0,IF(BI233&lt;2,4%,IF(Reeksen!BI233&lt;3,4%,IF(Reeksen!BI233&lt;4,4%*70%,IF(Reeksen!BI233&lt;5,4%*50%)))))</f>
        <v>0</v>
      </c>
      <c r="BK233" s="243"/>
      <c r="BL233" s="243"/>
      <c r="BM233" s="243"/>
      <c r="BN233" s="243"/>
      <c r="BO233" s="243"/>
      <c r="BP233" s="243"/>
      <c r="BQ233" s="243"/>
      <c r="BR233" s="243"/>
    </row>
    <row r="234" spans="1:70" x14ac:dyDescent="0.25">
      <c r="A234" s="191">
        <f t="shared" si="139"/>
        <v>229</v>
      </c>
      <c r="B234" s="179">
        <f>Dashboard!$C$25</f>
        <v>0.05</v>
      </c>
      <c r="C234" s="179">
        <f>Dashboard!$C$25</f>
        <v>0.05</v>
      </c>
      <c r="D234" s="179">
        <f>Dashboard!$C$25</f>
        <v>0.05</v>
      </c>
      <c r="E234" s="189"/>
      <c r="F234" s="191">
        <f t="shared" ca="1" si="140"/>
        <v>2248</v>
      </c>
      <c r="G234" s="192">
        <f t="shared" si="160"/>
        <v>0.02</v>
      </c>
      <c r="H234" s="193">
        <f t="shared" si="141"/>
        <v>93.71625195017532</v>
      </c>
      <c r="I234" s="192">
        <f t="shared" si="161"/>
        <v>2.5000000000000001E-2</v>
      </c>
      <c r="J234" s="193">
        <f t="shared" si="142"/>
        <v>287.59686803368595</v>
      </c>
      <c r="K234" s="192">
        <f t="shared" si="162"/>
        <v>2.5000000000000001E-2</v>
      </c>
      <c r="L234" s="193">
        <f t="shared" si="143"/>
        <v>287.59686803368595</v>
      </c>
      <c r="M234" s="189"/>
      <c r="N234" s="191">
        <f t="shared" ca="1" si="144"/>
        <v>2248</v>
      </c>
      <c r="O234" s="179">
        <f t="shared" si="156"/>
        <v>0.02</v>
      </c>
      <c r="P234" s="193">
        <f t="shared" si="125"/>
        <v>93.625281344005799</v>
      </c>
      <c r="R234" s="191">
        <f t="shared" ca="1" si="145"/>
        <v>2248</v>
      </c>
      <c r="S234" s="194">
        <f t="shared" si="158"/>
        <v>5.3600000000000002E-3</v>
      </c>
      <c r="U234" s="191">
        <f t="shared" ca="1" si="146"/>
        <v>2248</v>
      </c>
      <c r="V234" s="193">
        <f t="shared" si="129"/>
        <v>0.02</v>
      </c>
      <c r="W234" s="180">
        <f>Parameters!$D$12</f>
        <v>5.0000000000000001E-3</v>
      </c>
      <c r="X234" s="193">
        <f t="shared" si="130"/>
        <v>2.5000000000000001E-2</v>
      </c>
      <c r="Y234" s="193">
        <f t="shared" si="147"/>
        <v>287.88035441895755</v>
      </c>
      <c r="AA234" s="189"/>
      <c r="AB234" s="191">
        <f t="shared" ca="1" si="148"/>
        <v>2248</v>
      </c>
      <c r="AC234" s="195">
        <f t="shared" si="131"/>
        <v>143940.17720947877</v>
      </c>
      <c r="AD234" s="195">
        <f t="shared" si="127"/>
        <v>20918.990324373324</v>
      </c>
      <c r="AE234" s="195">
        <f t="shared" si="157"/>
        <v>64539.37434565898</v>
      </c>
      <c r="AF234" s="195">
        <f t="shared" si="149"/>
        <v>20918.990324373324</v>
      </c>
      <c r="AG234" s="195">
        <f t="shared" si="159"/>
        <v>46857.760000000002</v>
      </c>
      <c r="AH234" s="195">
        <f t="shared" si="132"/>
        <v>46857.760000000002</v>
      </c>
      <c r="AI234" s="195">
        <f t="shared" si="133"/>
        <v>20918.990324373324</v>
      </c>
      <c r="AJ234" s="171">
        <f>IF('Invoer gegevens'!$I$27="DAEB",SMALL(AC234:AD234,1),AC234)</f>
        <v>20918.990324373324</v>
      </c>
      <c r="AK234" s="171">
        <f>IF('Invoer gegevens'!$I$27="DAEB",SMALL((AE234:AH234),1),SMALL((AF234:AH234),1))</f>
        <v>20918.990324373324</v>
      </c>
      <c r="AL234" s="195">
        <f t="shared" si="154"/>
        <v>0</v>
      </c>
      <c r="AM234" s="195">
        <f t="shared" si="155"/>
        <v>0</v>
      </c>
      <c r="AN234" s="196">
        <f t="shared" si="150"/>
        <v>2953989</v>
      </c>
      <c r="AP234" s="191">
        <f t="shared" ca="1" si="151"/>
        <v>2248</v>
      </c>
      <c r="AQ234" s="197">
        <f t="shared" si="134"/>
        <v>0.02</v>
      </c>
      <c r="AR234" s="193">
        <f t="shared" si="126"/>
        <v>93.625281344005799</v>
      </c>
      <c r="AU234" s="191">
        <f t="shared" ca="1" si="152"/>
        <v>2248</v>
      </c>
      <c r="AV234" s="193">
        <f t="shared" si="135"/>
        <v>0.02</v>
      </c>
      <c r="AW234" s="192">
        <f t="shared" si="136"/>
        <v>5.0000000000000001E-3</v>
      </c>
      <c r="AX234" s="193">
        <f t="shared" si="137"/>
        <v>2.5000000000000001E-2</v>
      </c>
      <c r="AY234" s="186"/>
      <c r="AZ234" s="190"/>
      <c r="BA234" s="191">
        <f t="shared" ca="1" si="153"/>
        <v>2248</v>
      </c>
      <c r="BB234" s="195">
        <f t="shared" si="138"/>
        <v>143941.01</v>
      </c>
      <c r="BC234" s="195">
        <f t="shared" si="128"/>
        <v>64539.37434565898</v>
      </c>
      <c r="BD234" s="195">
        <f t="shared" si="163"/>
        <v>46857.760000000002</v>
      </c>
      <c r="BE234" s="195">
        <f t="shared" si="163"/>
        <v>20918.990324373324</v>
      </c>
      <c r="BF234" s="195">
        <f t="shared" si="163"/>
        <v>20918.990324373324</v>
      </c>
      <c r="BG234" s="195">
        <f t="shared" si="163"/>
        <v>20918.990324373324</v>
      </c>
      <c r="BI234" s="187">
        <f>IF(A234-'Invoer gegevens'!$C$17&lt;0,0,IF(A234-'Invoer gegevens'!$C$17=0,1,IF(A234-'Invoer gegevens'!$C$17&lt;5,2,IF(A234-'Invoer gegevens'!$C$17&lt;15,3,4))))</f>
        <v>0</v>
      </c>
      <c r="BJ234" s="229">
        <f>IF(BI234&lt;1,0,IF(BI234&lt;2,4%,IF(Reeksen!BI234&lt;3,4%,IF(Reeksen!BI234&lt;4,4%*70%,IF(Reeksen!BI234&lt;5,4%*50%)))))</f>
        <v>0</v>
      </c>
      <c r="BK234" s="243"/>
      <c r="BL234" s="243"/>
      <c r="BM234" s="243"/>
      <c r="BN234" s="243"/>
      <c r="BO234" s="243"/>
      <c r="BP234" s="243"/>
      <c r="BQ234" s="243"/>
      <c r="BR234" s="243"/>
    </row>
    <row r="235" spans="1:70" s="200" customFormat="1" x14ac:dyDescent="0.25">
      <c r="A235" s="126"/>
      <c r="B235" s="198"/>
      <c r="C235" s="198"/>
      <c r="D235" s="198"/>
      <c r="E235" s="79"/>
      <c r="F235" s="126"/>
      <c r="G235" s="198"/>
      <c r="H235" s="199"/>
      <c r="I235" s="198"/>
      <c r="J235" s="199"/>
      <c r="K235" s="198"/>
      <c r="L235" s="199"/>
      <c r="M235" s="79"/>
      <c r="N235" s="126"/>
      <c r="O235" s="198"/>
      <c r="P235" s="199"/>
      <c r="R235" s="126"/>
      <c r="S235" s="201"/>
      <c r="U235" s="126"/>
      <c r="V235" s="199"/>
      <c r="W235" s="198"/>
      <c r="X235" s="199"/>
      <c r="Y235" s="199"/>
      <c r="AA235" s="79"/>
      <c r="AB235" s="126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3"/>
      <c r="AP235" s="126"/>
      <c r="AQ235" s="79"/>
      <c r="AR235" s="199"/>
      <c r="AU235" s="126"/>
      <c r="AV235" s="199"/>
      <c r="AW235" s="198"/>
      <c r="AX235" s="199"/>
      <c r="AY235" s="186"/>
      <c r="AZ235" s="198"/>
      <c r="BA235" s="126"/>
      <c r="BB235" s="202"/>
      <c r="BC235" s="202"/>
      <c r="BD235" s="202"/>
      <c r="BE235" s="202"/>
      <c r="BF235" s="202"/>
      <c r="BG235" s="202"/>
      <c r="BL235" s="243"/>
      <c r="BM235" s="243"/>
      <c r="BN235" s="243"/>
      <c r="BO235" s="243"/>
      <c r="BP235" s="243"/>
      <c r="BQ235" s="243"/>
      <c r="BR235" s="243"/>
    </row>
    <row r="236" spans="1:70" hidden="1" x14ac:dyDescent="0.25">
      <c r="A236" s="126"/>
      <c r="B236" s="198"/>
      <c r="C236" s="198"/>
      <c r="D236" s="198"/>
      <c r="E236" s="79"/>
      <c r="F236" s="126"/>
      <c r="G236" s="198"/>
      <c r="H236" s="199"/>
      <c r="I236" s="198"/>
      <c r="J236" s="199"/>
      <c r="K236" s="198"/>
      <c r="L236" s="199"/>
      <c r="M236" s="79"/>
      <c r="N236" s="126"/>
      <c r="O236" s="198"/>
      <c r="P236" s="199"/>
      <c r="Q236" s="200"/>
      <c r="R236" s="126"/>
      <c r="S236" s="201"/>
      <c r="T236" s="200"/>
      <c r="U236" s="126"/>
      <c r="V236" s="199"/>
      <c r="W236" s="198"/>
      <c r="X236" s="199"/>
      <c r="Y236" s="199"/>
      <c r="Z236" s="200"/>
      <c r="AA236" s="79"/>
      <c r="AB236" s="126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3"/>
      <c r="AO236" s="200"/>
      <c r="AP236" s="126"/>
      <c r="AQ236" s="79"/>
      <c r="AR236" s="199"/>
      <c r="AS236" s="200"/>
      <c r="AT236" s="200"/>
      <c r="AU236" s="126"/>
      <c r="AV236" s="199"/>
      <c r="AW236" s="198"/>
      <c r="AX236" s="199"/>
      <c r="AY236" s="186"/>
      <c r="AZ236" s="198"/>
      <c r="BA236" s="126"/>
      <c r="BB236" s="202"/>
      <c r="BC236" s="202"/>
      <c r="BD236" s="202"/>
      <c r="BE236" s="202"/>
      <c r="BF236" s="202"/>
      <c r="BG236" s="202"/>
      <c r="BL236" s="200"/>
      <c r="BM236" s="200"/>
      <c r="BN236" s="200"/>
      <c r="BO236" s="200"/>
      <c r="BP236" s="200"/>
      <c r="BQ236" s="200"/>
      <c r="BR236" s="200"/>
    </row>
    <row r="237" spans="1:70" hidden="1" x14ac:dyDescent="0.25">
      <c r="A237" s="126"/>
      <c r="B237" s="198"/>
      <c r="C237" s="198"/>
      <c r="D237" s="198"/>
      <c r="E237" s="79"/>
      <c r="F237" s="126"/>
      <c r="G237" s="198"/>
      <c r="H237" s="199"/>
      <c r="I237" s="198"/>
      <c r="J237" s="199"/>
      <c r="K237" s="198"/>
      <c r="L237" s="199"/>
      <c r="M237" s="79"/>
      <c r="N237" s="126"/>
      <c r="O237" s="198"/>
      <c r="P237" s="199"/>
      <c r="Q237" s="200"/>
      <c r="R237" s="126"/>
      <c r="S237" s="201"/>
      <c r="T237" s="200"/>
      <c r="U237" s="126"/>
      <c r="V237" s="199"/>
      <c r="W237" s="198"/>
      <c r="X237" s="199"/>
      <c r="Y237" s="199"/>
      <c r="Z237" s="200"/>
      <c r="AA237" s="79"/>
      <c r="AB237" s="126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3"/>
      <c r="AO237" s="200"/>
      <c r="AP237" s="126"/>
      <c r="AQ237" s="79"/>
      <c r="AR237" s="199"/>
      <c r="AS237" s="200"/>
      <c r="AT237" s="200"/>
      <c r="AU237" s="126"/>
      <c r="AV237" s="199"/>
      <c r="AW237" s="198"/>
      <c r="AX237" s="199"/>
      <c r="AY237" s="186"/>
      <c r="AZ237" s="198"/>
      <c r="BA237" s="126"/>
      <c r="BB237" s="202"/>
      <c r="BC237" s="202"/>
      <c r="BD237" s="202"/>
      <c r="BE237" s="202"/>
      <c r="BF237" s="202"/>
      <c r="BG237" s="202"/>
    </row>
    <row r="238" spans="1:70" hidden="1" x14ac:dyDescent="0.25">
      <c r="A238" s="126"/>
      <c r="B238" s="198"/>
      <c r="C238" s="198"/>
      <c r="D238" s="198"/>
      <c r="E238" s="79"/>
      <c r="F238" s="126"/>
      <c r="G238" s="198"/>
      <c r="H238" s="199"/>
      <c r="I238" s="198"/>
      <c r="J238" s="199"/>
      <c r="K238" s="198"/>
      <c r="L238" s="199"/>
      <c r="M238" s="79"/>
      <c r="N238" s="126"/>
      <c r="O238" s="198"/>
      <c r="P238" s="199"/>
      <c r="Q238" s="200"/>
      <c r="R238" s="126"/>
      <c r="S238" s="201"/>
      <c r="T238" s="200"/>
      <c r="U238" s="126"/>
      <c r="V238" s="199"/>
      <c r="W238" s="198"/>
      <c r="X238" s="199"/>
      <c r="Y238" s="199"/>
      <c r="Z238" s="200"/>
      <c r="AA238" s="79"/>
      <c r="AB238" s="126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3"/>
      <c r="AO238" s="200"/>
      <c r="AP238" s="126"/>
      <c r="AQ238" s="79"/>
      <c r="AR238" s="199"/>
      <c r="AS238" s="200"/>
      <c r="AT238" s="200"/>
      <c r="AU238" s="126"/>
      <c r="AV238" s="199"/>
      <c r="AW238" s="198"/>
      <c r="AX238" s="199"/>
      <c r="AY238" s="186"/>
      <c r="AZ238" s="198"/>
      <c r="BA238" s="126"/>
      <c r="BB238" s="202"/>
      <c r="BC238" s="202"/>
      <c r="BD238" s="202"/>
      <c r="BE238" s="202"/>
      <c r="BF238" s="202"/>
      <c r="BG238" s="202"/>
    </row>
    <row r="239" spans="1:70" hidden="1" x14ac:dyDescent="0.25">
      <c r="A239" s="126"/>
      <c r="B239" s="198"/>
      <c r="C239" s="198"/>
      <c r="D239" s="198"/>
      <c r="E239" s="79"/>
      <c r="F239" s="126"/>
      <c r="G239" s="198"/>
      <c r="H239" s="199"/>
      <c r="I239" s="198"/>
      <c r="J239" s="199"/>
      <c r="K239" s="198"/>
      <c r="L239" s="199"/>
      <c r="M239" s="79"/>
      <c r="N239" s="126"/>
      <c r="O239" s="198"/>
      <c r="P239" s="199"/>
      <c r="Q239" s="200"/>
      <c r="R239" s="126"/>
      <c r="S239" s="201"/>
      <c r="T239" s="200"/>
      <c r="U239" s="126"/>
      <c r="V239" s="199"/>
      <c r="W239" s="198"/>
      <c r="X239" s="199"/>
      <c r="Y239" s="199"/>
      <c r="Z239" s="200"/>
      <c r="AA239" s="79"/>
      <c r="AB239" s="126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3"/>
      <c r="AO239" s="200"/>
      <c r="AP239" s="126"/>
      <c r="AQ239" s="79"/>
      <c r="AR239" s="199"/>
      <c r="AS239" s="200"/>
      <c r="AT239" s="200"/>
      <c r="AU239" s="126"/>
      <c r="AV239" s="199"/>
      <c r="AW239" s="198"/>
      <c r="AX239" s="199"/>
      <c r="AY239" s="186"/>
      <c r="AZ239" s="198"/>
      <c r="BA239" s="126"/>
      <c r="BB239" s="202"/>
      <c r="BC239" s="202"/>
      <c r="BD239" s="202"/>
      <c r="BE239" s="202"/>
      <c r="BF239" s="202"/>
      <c r="BG239" s="202"/>
    </row>
    <row r="240" spans="1:70" hidden="1" x14ac:dyDescent="0.25">
      <c r="A240" s="126"/>
      <c r="B240" s="198"/>
      <c r="C240" s="198"/>
      <c r="D240" s="198"/>
      <c r="E240" s="79"/>
      <c r="F240" s="126"/>
      <c r="G240" s="198"/>
      <c r="H240" s="199"/>
      <c r="I240" s="198"/>
      <c r="J240" s="199"/>
      <c r="K240" s="198"/>
      <c r="L240" s="199"/>
      <c r="M240" s="79"/>
      <c r="N240" s="126"/>
      <c r="O240" s="198"/>
      <c r="P240" s="199"/>
      <c r="Q240" s="200"/>
      <c r="R240" s="126"/>
      <c r="S240" s="201"/>
      <c r="T240" s="200"/>
      <c r="U240" s="126"/>
      <c r="V240" s="199"/>
      <c r="W240" s="198"/>
      <c r="X240" s="199"/>
      <c r="Y240" s="199"/>
      <c r="Z240" s="200"/>
      <c r="AA240" s="79"/>
      <c r="AB240" s="126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3"/>
      <c r="AO240" s="200"/>
      <c r="AP240" s="126"/>
      <c r="AQ240" s="79"/>
      <c r="AR240" s="199"/>
      <c r="AS240" s="200"/>
      <c r="AT240" s="200"/>
      <c r="AU240" s="126"/>
      <c r="AV240" s="199"/>
      <c r="AW240" s="198"/>
      <c r="AX240" s="199"/>
      <c r="AY240" s="186"/>
      <c r="AZ240" s="198"/>
      <c r="BA240" s="126"/>
      <c r="BB240" s="202"/>
      <c r="BC240" s="202"/>
      <c r="BD240" s="202"/>
      <c r="BE240" s="202"/>
      <c r="BF240" s="202"/>
      <c r="BG240" s="202"/>
    </row>
    <row r="241" spans="1:59" hidden="1" x14ac:dyDescent="0.25">
      <c r="A241" s="126"/>
      <c r="B241" s="198"/>
      <c r="C241" s="198"/>
      <c r="D241" s="198"/>
      <c r="E241" s="79"/>
      <c r="F241" s="126"/>
      <c r="G241" s="198"/>
      <c r="H241" s="199"/>
      <c r="I241" s="198"/>
      <c r="J241" s="199"/>
      <c r="K241" s="198"/>
      <c r="L241" s="199"/>
      <c r="M241" s="79"/>
      <c r="N241" s="126"/>
      <c r="O241" s="198"/>
      <c r="P241" s="199"/>
      <c r="Q241" s="200"/>
      <c r="R241" s="126"/>
      <c r="S241" s="201"/>
      <c r="T241" s="200"/>
      <c r="U241" s="126"/>
      <c r="V241" s="199"/>
      <c r="W241" s="198"/>
      <c r="X241" s="199"/>
      <c r="Y241" s="199"/>
      <c r="Z241" s="200"/>
      <c r="AA241" s="79"/>
      <c r="AB241" s="126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3"/>
      <c r="AO241" s="200"/>
      <c r="AP241" s="126"/>
      <c r="AQ241" s="79"/>
      <c r="AR241" s="199"/>
      <c r="AS241" s="200"/>
      <c r="AT241" s="200"/>
      <c r="AU241" s="126"/>
      <c r="AV241" s="199"/>
      <c r="AW241" s="198"/>
      <c r="AX241" s="199"/>
      <c r="AY241" s="186"/>
      <c r="AZ241" s="198"/>
      <c r="BA241" s="126"/>
      <c r="BB241" s="202"/>
      <c r="BC241" s="202"/>
      <c r="BD241" s="202"/>
      <c r="BE241" s="202"/>
      <c r="BF241" s="202"/>
      <c r="BG241" s="202"/>
    </row>
    <row r="242" spans="1:59" hidden="1" x14ac:dyDescent="0.25">
      <c r="A242" s="126"/>
      <c r="B242" s="198"/>
      <c r="C242" s="198"/>
      <c r="D242" s="198"/>
      <c r="E242" s="79"/>
      <c r="F242" s="126"/>
      <c r="G242" s="198"/>
      <c r="H242" s="199"/>
      <c r="I242" s="198"/>
      <c r="J242" s="199"/>
      <c r="K242" s="198"/>
      <c r="L242" s="199"/>
      <c r="M242" s="79"/>
      <c r="N242" s="126"/>
      <c r="O242" s="198"/>
      <c r="P242" s="199"/>
      <c r="Q242" s="200"/>
      <c r="R242" s="126"/>
      <c r="S242" s="201"/>
      <c r="T242" s="200"/>
      <c r="U242" s="126"/>
      <c r="V242" s="199"/>
      <c r="W242" s="198"/>
      <c r="X242" s="199"/>
      <c r="Y242" s="199"/>
      <c r="Z242" s="200"/>
      <c r="AA242" s="79"/>
      <c r="AB242" s="126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3"/>
      <c r="AO242" s="200"/>
      <c r="AP242" s="126"/>
      <c r="AQ242" s="79"/>
      <c r="AR242" s="199"/>
      <c r="AS242" s="200"/>
      <c r="AT242" s="200"/>
      <c r="AU242" s="126"/>
      <c r="AV242" s="199"/>
      <c r="AW242" s="198"/>
      <c r="AX242" s="199"/>
      <c r="AY242" s="186"/>
      <c r="AZ242" s="198"/>
      <c r="BA242" s="126"/>
      <c r="BB242" s="202"/>
      <c r="BC242" s="202"/>
      <c r="BD242" s="202"/>
      <c r="BE242" s="202"/>
      <c r="BF242" s="202"/>
      <c r="BG242" s="202"/>
    </row>
    <row r="243" spans="1:59" hidden="1" x14ac:dyDescent="0.25">
      <c r="A243" s="126"/>
      <c r="B243" s="198"/>
      <c r="C243" s="198"/>
      <c r="D243" s="198"/>
      <c r="E243" s="79"/>
      <c r="F243" s="126"/>
      <c r="G243" s="198"/>
      <c r="H243" s="199"/>
      <c r="I243" s="198"/>
      <c r="J243" s="199"/>
      <c r="K243" s="198"/>
      <c r="L243" s="199"/>
      <c r="M243" s="79"/>
      <c r="N243" s="126"/>
      <c r="O243" s="198"/>
      <c r="P243" s="199"/>
      <c r="Q243" s="200"/>
      <c r="R243" s="126"/>
      <c r="S243" s="201"/>
      <c r="T243" s="200"/>
      <c r="U243" s="126"/>
      <c r="V243" s="199"/>
      <c r="W243" s="198"/>
      <c r="X243" s="199"/>
      <c r="Y243" s="199"/>
      <c r="Z243" s="200"/>
      <c r="AA243" s="79"/>
      <c r="AB243" s="126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3"/>
      <c r="AO243" s="200"/>
      <c r="AP243" s="126"/>
      <c r="AQ243" s="79"/>
      <c r="AR243" s="199"/>
      <c r="AS243" s="200"/>
      <c r="AT243" s="200"/>
      <c r="AU243" s="126"/>
      <c r="AV243" s="199"/>
      <c r="AW243" s="198"/>
      <c r="AX243" s="199"/>
      <c r="AY243" s="186"/>
      <c r="AZ243" s="198"/>
      <c r="BA243" s="126"/>
      <c r="BB243" s="202"/>
      <c r="BC243" s="202"/>
      <c r="BD243" s="202"/>
      <c r="BE243" s="202"/>
      <c r="BF243" s="202"/>
      <c r="BG243" s="202"/>
    </row>
    <row r="244" spans="1:59" hidden="1" x14ac:dyDescent="0.25">
      <c r="A244" s="126"/>
      <c r="B244" s="198"/>
      <c r="C244" s="198"/>
      <c r="D244" s="198"/>
      <c r="E244" s="79"/>
      <c r="F244" s="126"/>
      <c r="G244" s="198"/>
      <c r="H244" s="199"/>
      <c r="I244" s="198"/>
      <c r="J244" s="199"/>
      <c r="K244" s="198"/>
      <c r="L244" s="199"/>
      <c r="M244" s="79"/>
      <c r="N244" s="126"/>
      <c r="O244" s="198"/>
      <c r="P244" s="199"/>
      <c r="Q244" s="200"/>
      <c r="R244" s="126"/>
      <c r="S244" s="201"/>
      <c r="T244" s="200"/>
      <c r="U244" s="126"/>
      <c r="V244" s="199"/>
      <c r="W244" s="198"/>
      <c r="X244" s="199"/>
      <c r="Y244" s="199"/>
      <c r="Z244" s="200"/>
      <c r="AA244" s="79"/>
      <c r="AB244" s="126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3"/>
      <c r="AO244" s="200"/>
      <c r="AP244" s="126"/>
      <c r="AQ244" s="79"/>
      <c r="AR244" s="199"/>
      <c r="AS244" s="200"/>
      <c r="AT244" s="200"/>
      <c r="AU244" s="126"/>
      <c r="AV244" s="199"/>
      <c r="AW244" s="198"/>
      <c r="AX244" s="199"/>
      <c r="AY244" s="186"/>
      <c r="AZ244" s="198"/>
      <c r="BA244" s="126"/>
      <c r="BB244" s="202"/>
      <c r="BC244" s="202"/>
      <c r="BD244" s="202"/>
      <c r="BE244" s="202"/>
      <c r="BF244" s="202"/>
      <c r="BG244" s="202"/>
    </row>
    <row r="245" spans="1:59" hidden="1" x14ac:dyDescent="0.25">
      <c r="A245" s="126"/>
      <c r="B245" s="198"/>
      <c r="C245" s="198"/>
      <c r="D245" s="198"/>
      <c r="E245" s="79"/>
      <c r="F245" s="126"/>
      <c r="G245" s="198"/>
      <c r="H245" s="199"/>
      <c r="I245" s="198"/>
      <c r="J245" s="199"/>
      <c r="K245" s="198"/>
      <c r="L245" s="199"/>
      <c r="M245" s="79"/>
      <c r="N245" s="126"/>
      <c r="O245" s="198"/>
      <c r="P245" s="199"/>
      <c r="Q245" s="200"/>
      <c r="R245" s="126"/>
      <c r="S245" s="201"/>
      <c r="T245" s="200"/>
      <c r="U245" s="126"/>
      <c r="V245" s="199"/>
      <c r="W245" s="198"/>
      <c r="X245" s="199"/>
      <c r="Y245" s="199"/>
      <c r="Z245" s="200"/>
      <c r="AA245" s="79"/>
      <c r="AB245" s="126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3"/>
      <c r="AO245" s="200"/>
      <c r="AP245" s="126"/>
      <c r="AQ245" s="79"/>
      <c r="AR245" s="199"/>
      <c r="AS245" s="200"/>
      <c r="AT245" s="200"/>
      <c r="AU245" s="126"/>
      <c r="AV245" s="199"/>
      <c r="AW245" s="198"/>
      <c r="AX245" s="199"/>
      <c r="AY245" s="186"/>
      <c r="AZ245" s="198"/>
      <c r="BA245" s="126"/>
      <c r="BB245" s="202"/>
      <c r="BC245" s="202"/>
      <c r="BD245" s="202"/>
      <c r="BE245" s="202"/>
      <c r="BF245" s="202"/>
      <c r="BG245" s="202"/>
    </row>
    <row r="246" spans="1:59" hidden="1" x14ac:dyDescent="0.25">
      <c r="A246" s="126"/>
      <c r="B246" s="198"/>
      <c r="C246" s="198"/>
      <c r="D246" s="198"/>
      <c r="E246" s="79"/>
      <c r="F246" s="126"/>
      <c r="G246" s="198"/>
      <c r="H246" s="199"/>
      <c r="I246" s="198"/>
      <c r="J246" s="199"/>
      <c r="K246" s="198"/>
      <c r="L246" s="199"/>
      <c r="M246" s="79"/>
      <c r="N246" s="126"/>
      <c r="O246" s="198"/>
      <c r="P246" s="199"/>
      <c r="Q246" s="200"/>
      <c r="R246" s="126"/>
      <c r="S246" s="201"/>
      <c r="T246" s="200"/>
      <c r="U246" s="126"/>
      <c r="V246" s="199"/>
      <c r="W246" s="198"/>
      <c r="X246" s="199"/>
      <c r="Y246" s="199"/>
      <c r="Z246" s="200"/>
      <c r="AA246" s="79"/>
      <c r="AB246" s="126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3"/>
      <c r="AO246" s="200"/>
      <c r="AP246" s="126"/>
      <c r="AQ246" s="79"/>
      <c r="AR246" s="199"/>
      <c r="AS246" s="200"/>
      <c r="AT246" s="200"/>
      <c r="AU246" s="126"/>
      <c r="AV246" s="199"/>
      <c r="AW246" s="198"/>
      <c r="AX246" s="199"/>
      <c r="AY246" s="186"/>
      <c r="AZ246" s="198"/>
      <c r="BA246" s="126"/>
      <c r="BB246" s="202"/>
      <c r="BC246" s="202"/>
      <c r="BD246" s="202"/>
      <c r="BE246" s="202"/>
      <c r="BF246" s="202"/>
      <c r="BG246" s="202"/>
    </row>
    <row r="247" spans="1:59" hidden="1" x14ac:dyDescent="0.25">
      <c r="A247" s="126"/>
      <c r="B247" s="198"/>
      <c r="C247" s="198"/>
      <c r="D247" s="198"/>
      <c r="E247" s="79"/>
      <c r="F247" s="126"/>
      <c r="G247" s="198"/>
      <c r="H247" s="199"/>
      <c r="I247" s="198"/>
      <c r="J247" s="199"/>
      <c r="K247" s="198"/>
      <c r="L247" s="199"/>
      <c r="M247" s="79"/>
      <c r="N247" s="126"/>
      <c r="O247" s="198"/>
      <c r="P247" s="199"/>
      <c r="Q247" s="200"/>
      <c r="R247" s="126"/>
      <c r="S247" s="201"/>
      <c r="T247" s="200"/>
      <c r="U247" s="126"/>
      <c r="V247" s="199"/>
      <c r="W247" s="198"/>
      <c r="X247" s="199"/>
      <c r="Y247" s="199"/>
      <c r="Z247" s="200"/>
      <c r="AA247" s="79"/>
      <c r="AB247" s="126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3"/>
      <c r="AO247" s="200"/>
      <c r="AP247" s="126"/>
      <c r="AQ247" s="79"/>
      <c r="AR247" s="199"/>
      <c r="AS247" s="200"/>
      <c r="AT247" s="200"/>
      <c r="AU247" s="126"/>
      <c r="AV247" s="199"/>
      <c r="AW247" s="198"/>
      <c r="AX247" s="199"/>
      <c r="AY247" s="186"/>
      <c r="AZ247" s="198"/>
      <c r="BA247" s="126"/>
      <c r="BB247" s="202"/>
      <c r="BC247" s="202"/>
      <c r="BD247" s="202"/>
      <c r="BE247" s="202"/>
      <c r="BF247" s="202"/>
      <c r="BG247" s="202"/>
    </row>
    <row r="248" spans="1:59" hidden="1" x14ac:dyDescent="0.25">
      <c r="A248" s="126"/>
      <c r="B248" s="198"/>
      <c r="C248" s="198"/>
      <c r="D248" s="198"/>
      <c r="E248" s="79"/>
      <c r="F248" s="126"/>
      <c r="G248" s="198"/>
      <c r="H248" s="199"/>
      <c r="I248" s="198"/>
      <c r="J248" s="199"/>
      <c r="K248" s="198"/>
      <c r="L248" s="199"/>
      <c r="M248" s="79"/>
      <c r="N248" s="126"/>
      <c r="O248" s="198"/>
      <c r="P248" s="199"/>
      <c r="Q248" s="200"/>
      <c r="R248" s="126"/>
      <c r="S248" s="201"/>
      <c r="T248" s="200"/>
      <c r="U248" s="126"/>
      <c r="V248" s="199"/>
      <c r="W248" s="198"/>
      <c r="X248" s="199"/>
      <c r="Y248" s="199"/>
      <c r="Z248" s="200"/>
      <c r="AA248" s="79"/>
      <c r="AB248" s="126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3"/>
      <c r="AO248" s="200"/>
      <c r="AP248" s="126"/>
      <c r="AQ248" s="79"/>
      <c r="AR248" s="199"/>
      <c r="AS248" s="200"/>
      <c r="AT248" s="200"/>
      <c r="AU248" s="126"/>
      <c r="AV248" s="199"/>
      <c r="AW248" s="198"/>
      <c r="AX248" s="199"/>
      <c r="AY248" s="186"/>
      <c r="AZ248" s="198"/>
      <c r="BA248" s="126"/>
      <c r="BB248" s="202"/>
      <c r="BC248" s="202"/>
      <c r="BD248" s="202"/>
      <c r="BE248" s="202"/>
      <c r="BF248" s="202"/>
      <c r="BG248" s="202"/>
    </row>
    <row r="249" spans="1:59" hidden="1" x14ac:dyDescent="0.25">
      <c r="A249" s="126"/>
      <c r="B249" s="198"/>
      <c r="C249" s="198"/>
      <c r="D249" s="198"/>
      <c r="E249" s="79"/>
      <c r="F249" s="126"/>
      <c r="G249" s="198"/>
      <c r="H249" s="199"/>
      <c r="I249" s="198"/>
      <c r="J249" s="199"/>
      <c r="K249" s="198"/>
      <c r="L249" s="199"/>
      <c r="M249" s="79"/>
      <c r="N249" s="126"/>
      <c r="O249" s="198"/>
      <c r="P249" s="199"/>
      <c r="Q249" s="200"/>
      <c r="R249" s="126"/>
      <c r="S249" s="201"/>
      <c r="T249" s="200"/>
      <c r="U249" s="126"/>
      <c r="V249" s="199"/>
      <c r="W249" s="198"/>
      <c r="X249" s="199"/>
      <c r="Y249" s="199"/>
      <c r="Z249" s="200"/>
      <c r="AA249" s="79"/>
      <c r="AB249" s="126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3"/>
      <c r="AO249" s="200"/>
      <c r="AP249" s="126"/>
      <c r="AQ249" s="79"/>
      <c r="AR249" s="199"/>
      <c r="AS249" s="200"/>
      <c r="AT249" s="200"/>
      <c r="AU249" s="126"/>
      <c r="AV249" s="199"/>
      <c r="AW249" s="198"/>
      <c r="AX249" s="199"/>
      <c r="AY249" s="186"/>
      <c r="AZ249" s="198"/>
      <c r="BA249" s="126"/>
      <c r="BB249" s="202"/>
      <c r="BC249" s="202"/>
      <c r="BD249" s="202"/>
      <c r="BE249" s="202"/>
      <c r="BF249" s="202"/>
      <c r="BG249" s="202"/>
    </row>
    <row r="250" spans="1:59" hidden="1" x14ac:dyDescent="0.25">
      <c r="A250" s="126"/>
      <c r="B250" s="198"/>
      <c r="C250" s="198"/>
      <c r="D250" s="198"/>
      <c r="E250" s="79"/>
      <c r="F250" s="126"/>
      <c r="G250" s="198"/>
      <c r="H250" s="199"/>
      <c r="I250" s="198"/>
      <c r="J250" s="199"/>
      <c r="K250" s="198"/>
      <c r="L250" s="199"/>
      <c r="M250" s="79"/>
      <c r="N250" s="126"/>
      <c r="O250" s="198"/>
      <c r="P250" s="199"/>
      <c r="Q250" s="200"/>
      <c r="R250" s="126"/>
      <c r="S250" s="201"/>
      <c r="T250" s="200"/>
      <c r="U250" s="126"/>
      <c r="V250" s="199"/>
      <c r="W250" s="198"/>
      <c r="X250" s="199"/>
      <c r="Y250" s="199"/>
      <c r="Z250" s="200"/>
      <c r="AA250" s="79"/>
      <c r="AB250" s="126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3"/>
      <c r="AO250" s="200"/>
      <c r="AP250" s="126"/>
      <c r="AQ250" s="79"/>
      <c r="AR250" s="199"/>
      <c r="AS250" s="200"/>
      <c r="AT250" s="200"/>
      <c r="AU250" s="126"/>
      <c r="AV250" s="199"/>
      <c r="AW250" s="198"/>
      <c r="AX250" s="199"/>
      <c r="AY250" s="186"/>
      <c r="AZ250" s="198"/>
      <c r="BA250" s="126"/>
      <c r="BB250" s="202"/>
      <c r="BC250" s="202"/>
      <c r="BD250" s="202"/>
      <c r="BE250" s="202"/>
      <c r="BF250" s="202"/>
      <c r="BG250" s="202"/>
    </row>
    <row r="251" spans="1:59" hidden="1" x14ac:dyDescent="0.25">
      <c r="A251" s="126"/>
      <c r="B251" s="198"/>
      <c r="C251" s="198"/>
      <c r="D251" s="198"/>
      <c r="E251" s="79"/>
      <c r="F251" s="126"/>
      <c r="G251" s="198"/>
      <c r="H251" s="199"/>
      <c r="I251" s="198"/>
      <c r="J251" s="199"/>
      <c r="K251" s="198"/>
      <c r="L251" s="199"/>
      <c r="M251" s="79"/>
      <c r="N251" s="126"/>
      <c r="O251" s="198"/>
      <c r="P251" s="199"/>
      <c r="Q251" s="200"/>
      <c r="R251" s="126"/>
      <c r="S251" s="201"/>
      <c r="T251" s="200"/>
      <c r="U251" s="126"/>
      <c r="V251" s="199"/>
      <c r="W251" s="198"/>
      <c r="X251" s="199"/>
      <c r="Y251" s="199"/>
      <c r="Z251" s="200"/>
      <c r="AA251" s="79"/>
      <c r="AB251" s="126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3"/>
      <c r="AO251" s="200"/>
      <c r="AP251" s="126"/>
      <c r="AQ251" s="79"/>
      <c r="AR251" s="199"/>
      <c r="AS251" s="200"/>
      <c r="AT251" s="200"/>
      <c r="AU251" s="126"/>
      <c r="AV251" s="199"/>
      <c r="AW251" s="198"/>
      <c r="AX251" s="199"/>
      <c r="AY251" s="186"/>
      <c r="AZ251" s="198"/>
      <c r="BA251" s="126"/>
      <c r="BB251" s="202"/>
      <c r="BC251" s="202"/>
      <c r="BD251" s="202"/>
      <c r="BE251" s="202"/>
      <c r="BF251" s="202"/>
      <c r="BG251" s="202"/>
    </row>
    <row r="252" spans="1:59" hidden="1" x14ac:dyDescent="0.25">
      <c r="A252" s="126"/>
      <c r="B252" s="198"/>
      <c r="C252" s="198"/>
      <c r="D252" s="198"/>
      <c r="E252" s="79"/>
      <c r="F252" s="126"/>
      <c r="G252" s="198"/>
      <c r="H252" s="199"/>
      <c r="I252" s="198"/>
      <c r="J252" s="199"/>
      <c r="K252" s="198"/>
      <c r="L252" s="199"/>
      <c r="M252" s="79"/>
      <c r="N252" s="126"/>
      <c r="O252" s="198"/>
      <c r="P252" s="199"/>
      <c r="Q252" s="200"/>
      <c r="R252" s="126"/>
      <c r="S252" s="201"/>
      <c r="T252" s="200"/>
      <c r="U252" s="126"/>
      <c r="V252" s="199"/>
      <c r="W252" s="198"/>
      <c r="X252" s="199"/>
      <c r="Y252" s="199"/>
      <c r="Z252" s="200"/>
      <c r="AA252" s="79"/>
      <c r="AB252" s="126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3"/>
      <c r="AO252" s="200"/>
      <c r="AP252" s="126"/>
      <c r="AQ252" s="79"/>
      <c r="AR252" s="199"/>
      <c r="AS252" s="200"/>
      <c r="AT252" s="200"/>
      <c r="AU252" s="126"/>
      <c r="AV252" s="199"/>
      <c r="AW252" s="198"/>
      <c r="AX252" s="199"/>
      <c r="AY252" s="186"/>
      <c r="AZ252" s="198"/>
      <c r="BA252" s="126"/>
      <c r="BB252" s="202"/>
      <c r="BC252" s="202"/>
      <c r="BD252" s="202"/>
      <c r="BE252" s="202"/>
      <c r="BF252" s="202"/>
      <c r="BG252" s="202"/>
    </row>
    <row r="253" spans="1:59" hidden="1" x14ac:dyDescent="0.25">
      <c r="A253" s="126"/>
      <c r="B253" s="198"/>
      <c r="C253" s="198"/>
      <c r="D253" s="198"/>
      <c r="E253" s="79"/>
      <c r="F253" s="126"/>
      <c r="G253" s="198"/>
      <c r="H253" s="199"/>
      <c r="I253" s="198"/>
      <c r="J253" s="199"/>
      <c r="K253" s="198"/>
      <c r="L253" s="199"/>
      <c r="M253" s="79"/>
      <c r="N253" s="126"/>
      <c r="O253" s="198"/>
      <c r="P253" s="199"/>
      <c r="Q253" s="200"/>
      <c r="R253" s="126"/>
      <c r="S253" s="201"/>
      <c r="T253" s="200"/>
      <c r="U253" s="126"/>
      <c r="V253" s="199"/>
      <c r="W253" s="198"/>
      <c r="X253" s="199"/>
      <c r="Y253" s="199"/>
      <c r="Z253" s="200"/>
      <c r="AA253" s="79"/>
      <c r="AB253" s="126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3"/>
      <c r="AO253" s="200"/>
      <c r="AP253" s="126"/>
      <c r="AQ253" s="79"/>
      <c r="AR253" s="199"/>
      <c r="AS253" s="200"/>
      <c r="AT253" s="200"/>
      <c r="AU253" s="126"/>
      <c r="AV253" s="199"/>
      <c r="AW253" s="198"/>
      <c r="AX253" s="199"/>
      <c r="AY253" s="186"/>
      <c r="AZ253" s="198"/>
      <c r="BA253" s="126"/>
      <c r="BB253" s="202"/>
      <c r="BC253" s="202"/>
      <c r="BD253" s="202"/>
      <c r="BE253" s="202"/>
      <c r="BF253" s="202"/>
      <c r="BG253" s="202"/>
    </row>
    <row r="254" spans="1:59" hidden="1" x14ac:dyDescent="0.25">
      <c r="A254" s="126"/>
      <c r="B254" s="198"/>
      <c r="C254" s="198"/>
      <c r="D254" s="198"/>
      <c r="E254" s="79"/>
      <c r="F254" s="126"/>
      <c r="G254" s="198"/>
      <c r="H254" s="199"/>
      <c r="I254" s="198"/>
      <c r="J254" s="199"/>
      <c r="K254" s="198"/>
      <c r="L254" s="199"/>
      <c r="M254" s="79"/>
      <c r="N254" s="126"/>
      <c r="O254" s="198"/>
      <c r="P254" s="199"/>
      <c r="Q254" s="200"/>
      <c r="R254" s="126"/>
      <c r="S254" s="201"/>
      <c r="T254" s="200"/>
      <c r="U254" s="126"/>
      <c r="V254" s="199"/>
      <c r="W254" s="198"/>
      <c r="X254" s="199"/>
      <c r="Y254" s="199"/>
      <c r="Z254" s="200"/>
      <c r="AA254" s="79"/>
      <c r="AB254" s="126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3"/>
      <c r="AO254" s="200"/>
      <c r="AP254" s="126"/>
      <c r="AQ254" s="79"/>
      <c r="AR254" s="199"/>
      <c r="AS254" s="200"/>
      <c r="AT254" s="200"/>
      <c r="AU254" s="126"/>
      <c r="AV254" s="199"/>
      <c r="AW254" s="198"/>
      <c r="AX254" s="199"/>
      <c r="AY254" s="186"/>
      <c r="AZ254" s="198"/>
      <c r="BA254" s="126"/>
      <c r="BB254" s="202"/>
      <c r="BC254" s="202"/>
      <c r="BD254" s="202"/>
      <c r="BE254" s="202"/>
      <c r="BF254" s="202"/>
      <c r="BG254" s="202"/>
    </row>
    <row r="255" spans="1:59" hidden="1" x14ac:dyDescent="0.25">
      <c r="A255" s="126"/>
      <c r="B255" s="198"/>
      <c r="C255" s="198"/>
      <c r="D255" s="198"/>
      <c r="E255" s="79"/>
      <c r="F255" s="126"/>
      <c r="G255" s="198"/>
      <c r="H255" s="199"/>
      <c r="I255" s="198"/>
      <c r="J255" s="199"/>
      <c r="K255" s="198"/>
      <c r="L255" s="199"/>
      <c r="M255" s="79"/>
      <c r="N255" s="126"/>
      <c r="O255" s="198"/>
      <c r="P255" s="199"/>
      <c r="Q255" s="200"/>
      <c r="R255" s="126"/>
      <c r="S255" s="201"/>
      <c r="T255" s="200"/>
      <c r="U255" s="126"/>
      <c r="V255" s="199"/>
      <c r="W255" s="198"/>
      <c r="X255" s="199"/>
      <c r="Y255" s="199"/>
      <c r="Z255" s="200"/>
      <c r="AA255" s="79"/>
      <c r="AB255" s="126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3"/>
      <c r="AO255" s="200"/>
      <c r="AP255" s="126"/>
      <c r="AQ255" s="79"/>
      <c r="AR255" s="199"/>
      <c r="AS255" s="200"/>
      <c r="AT255" s="200"/>
      <c r="AU255" s="126"/>
      <c r="AV255" s="199"/>
      <c r="AW255" s="198"/>
      <c r="AX255" s="199"/>
      <c r="AY255" s="186"/>
      <c r="AZ255" s="198"/>
      <c r="BA255" s="126"/>
      <c r="BB255" s="202"/>
      <c r="BC255" s="202"/>
      <c r="BD255" s="202"/>
      <c r="BE255" s="202"/>
      <c r="BF255" s="202"/>
      <c r="BG255" s="202"/>
    </row>
    <row r="256" spans="1:59" hidden="1" x14ac:dyDescent="0.25">
      <c r="A256" s="126"/>
      <c r="B256" s="198"/>
      <c r="C256" s="198"/>
      <c r="D256" s="198"/>
      <c r="E256" s="79"/>
      <c r="F256" s="126"/>
      <c r="G256" s="198"/>
      <c r="H256" s="199"/>
      <c r="I256" s="198"/>
      <c r="J256" s="199"/>
      <c r="K256" s="198"/>
      <c r="L256" s="199"/>
      <c r="M256" s="79"/>
      <c r="N256" s="126"/>
      <c r="O256" s="198"/>
      <c r="P256" s="199"/>
      <c r="Q256" s="200"/>
      <c r="R256" s="126"/>
      <c r="S256" s="201"/>
      <c r="T256" s="200"/>
      <c r="U256" s="126"/>
      <c r="V256" s="199"/>
      <c r="W256" s="198"/>
      <c r="X256" s="199"/>
      <c r="Y256" s="199"/>
      <c r="Z256" s="200"/>
      <c r="AA256" s="79"/>
      <c r="AB256" s="126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3"/>
      <c r="AO256" s="200"/>
      <c r="AP256" s="126"/>
      <c r="AQ256" s="79"/>
      <c r="AR256" s="199"/>
      <c r="AS256" s="200"/>
      <c r="AT256" s="200"/>
      <c r="AU256" s="126"/>
      <c r="AV256" s="199"/>
      <c r="AW256" s="198"/>
      <c r="AX256" s="199"/>
      <c r="AY256" s="186"/>
      <c r="AZ256" s="198"/>
      <c r="BA256" s="126"/>
      <c r="BB256" s="202"/>
      <c r="BC256" s="202"/>
      <c r="BD256" s="202"/>
      <c r="BE256" s="202"/>
      <c r="BF256" s="202"/>
      <c r="BG256" s="202"/>
    </row>
    <row r="257" spans="1:59" hidden="1" x14ac:dyDescent="0.25">
      <c r="A257" s="126"/>
      <c r="B257" s="198"/>
      <c r="C257" s="198"/>
      <c r="D257" s="198"/>
      <c r="E257" s="79"/>
      <c r="F257" s="126"/>
      <c r="G257" s="198"/>
      <c r="H257" s="199"/>
      <c r="I257" s="198"/>
      <c r="J257" s="199"/>
      <c r="K257" s="198"/>
      <c r="L257" s="199"/>
      <c r="M257" s="79"/>
      <c r="N257" s="126"/>
      <c r="O257" s="198"/>
      <c r="P257" s="199"/>
      <c r="Q257" s="200"/>
      <c r="R257" s="126"/>
      <c r="S257" s="201"/>
      <c r="T257" s="200"/>
      <c r="U257" s="126"/>
      <c r="V257" s="199"/>
      <c r="W257" s="198"/>
      <c r="X257" s="199"/>
      <c r="Y257" s="199"/>
      <c r="Z257" s="200"/>
      <c r="AA257" s="79"/>
      <c r="AB257" s="126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3"/>
      <c r="AO257" s="200"/>
      <c r="AP257" s="126"/>
      <c r="AQ257" s="79"/>
      <c r="AR257" s="199"/>
      <c r="AS257" s="200"/>
      <c r="AT257" s="200"/>
      <c r="AU257" s="126"/>
      <c r="AV257" s="199"/>
      <c r="AW257" s="198"/>
      <c r="AX257" s="199"/>
      <c r="AY257" s="186"/>
      <c r="AZ257" s="198"/>
      <c r="BA257" s="126"/>
      <c r="BB257" s="202"/>
      <c r="BC257" s="202"/>
      <c r="BD257" s="202"/>
      <c r="BE257" s="202"/>
      <c r="BF257" s="202"/>
      <c r="BG257" s="202"/>
    </row>
    <row r="258" spans="1:59" hidden="1" x14ac:dyDescent="0.25">
      <c r="A258" s="126"/>
      <c r="B258" s="198"/>
      <c r="C258" s="198"/>
      <c r="D258" s="198"/>
      <c r="E258" s="79"/>
      <c r="F258" s="126"/>
      <c r="G258" s="198"/>
      <c r="H258" s="199"/>
      <c r="I258" s="198"/>
      <c r="J258" s="199"/>
      <c r="K258" s="198"/>
      <c r="L258" s="199"/>
      <c r="M258" s="79"/>
      <c r="N258" s="126"/>
      <c r="O258" s="198"/>
      <c r="P258" s="199"/>
      <c r="Q258" s="200"/>
      <c r="R258" s="126"/>
      <c r="S258" s="201"/>
      <c r="T258" s="200"/>
      <c r="U258" s="126"/>
      <c r="V258" s="199"/>
      <c r="W258" s="198"/>
      <c r="X258" s="199"/>
      <c r="Y258" s="199"/>
      <c r="Z258" s="200"/>
      <c r="AA258" s="79"/>
      <c r="AB258" s="126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3"/>
      <c r="AO258" s="200"/>
      <c r="AP258" s="126"/>
      <c r="AQ258" s="79"/>
      <c r="AR258" s="199"/>
      <c r="AS258" s="200"/>
      <c r="AT258" s="200"/>
      <c r="AU258" s="126"/>
      <c r="AV258" s="199"/>
      <c r="AW258" s="198"/>
      <c r="AX258" s="199"/>
      <c r="AY258" s="186"/>
      <c r="AZ258" s="198"/>
      <c r="BA258" s="126"/>
      <c r="BB258" s="202"/>
      <c r="BC258" s="202"/>
      <c r="BD258" s="202"/>
      <c r="BE258" s="202"/>
      <c r="BF258" s="202"/>
      <c r="BG258" s="202"/>
    </row>
    <row r="259" spans="1:59" hidden="1" x14ac:dyDescent="0.25">
      <c r="A259" s="126"/>
      <c r="B259" s="198"/>
      <c r="C259" s="198"/>
      <c r="D259" s="198"/>
      <c r="E259" s="79"/>
      <c r="F259" s="126"/>
      <c r="G259" s="198"/>
      <c r="H259" s="199"/>
      <c r="I259" s="198"/>
      <c r="J259" s="199"/>
      <c r="K259" s="198"/>
      <c r="L259" s="199"/>
      <c r="M259" s="79"/>
      <c r="N259" s="126"/>
      <c r="O259" s="198"/>
      <c r="P259" s="199"/>
      <c r="Q259" s="200"/>
      <c r="R259" s="126"/>
      <c r="S259" s="201"/>
      <c r="T259" s="200"/>
      <c r="U259" s="126"/>
      <c r="V259" s="199"/>
      <c r="W259" s="198"/>
      <c r="X259" s="199"/>
      <c r="Y259" s="199"/>
      <c r="Z259" s="200"/>
      <c r="AA259" s="79"/>
      <c r="AB259" s="126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3"/>
      <c r="AO259" s="200"/>
      <c r="AP259" s="126"/>
      <c r="AQ259" s="79"/>
      <c r="AR259" s="199"/>
      <c r="AS259" s="200"/>
      <c r="AT259" s="200"/>
      <c r="AU259" s="126"/>
      <c r="AV259" s="199"/>
      <c r="AW259" s="198"/>
      <c r="AX259" s="199"/>
      <c r="AY259" s="186"/>
      <c r="AZ259" s="198"/>
      <c r="BA259" s="126"/>
      <c r="BB259" s="202"/>
      <c r="BC259" s="202"/>
      <c r="BD259" s="202"/>
      <c r="BE259" s="202"/>
      <c r="BF259" s="202"/>
      <c r="BG259" s="202"/>
    </row>
    <row r="260" spans="1:59" hidden="1" x14ac:dyDescent="0.25">
      <c r="A260" s="126"/>
      <c r="B260" s="198"/>
      <c r="C260" s="198"/>
      <c r="D260" s="198"/>
      <c r="E260" s="79"/>
      <c r="F260" s="126"/>
      <c r="G260" s="198"/>
      <c r="H260" s="199"/>
      <c r="I260" s="198"/>
      <c r="J260" s="199"/>
      <c r="K260" s="198"/>
      <c r="L260" s="199"/>
      <c r="M260" s="79"/>
      <c r="N260" s="126"/>
      <c r="O260" s="198"/>
      <c r="P260" s="199"/>
      <c r="Q260" s="200"/>
      <c r="R260" s="126"/>
      <c r="S260" s="201"/>
      <c r="T260" s="200"/>
      <c r="U260" s="126"/>
      <c r="V260" s="199"/>
      <c r="W260" s="198"/>
      <c r="X260" s="199"/>
      <c r="Y260" s="199"/>
      <c r="Z260" s="200"/>
      <c r="AA260" s="79"/>
      <c r="AB260" s="126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3"/>
      <c r="AO260" s="200"/>
      <c r="AP260" s="126"/>
      <c r="AQ260" s="79"/>
      <c r="AR260" s="199"/>
      <c r="AS260" s="200"/>
      <c r="AT260" s="200"/>
      <c r="AU260" s="126"/>
      <c r="AV260" s="199"/>
      <c r="AW260" s="198"/>
      <c r="AX260" s="199"/>
      <c r="AY260" s="186"/>
      <c r="AZ260" s="198"/>
      <c r="BA260" s="126"/>
      <c r="BB260" s="202"/>
      <c r="BC260" s="202"/>
      <c r="BD260" s="202"/>
      <c r="BE260" s="202"/>
      <c r="BF260" s="202"/>
      <c r="BG260" s="202"/>
    </row>
    <row r="261" spans="1:59" hidden="1" x14ac:dyDescent="0.25">
      <c r="A261" s="126"/>
      <c r="B261" s="198"/>
      <c r="C261" s="198"/>
      <c r="D261" s="198"/>
      <c r="E261" s="79"/>
      <c r="F261" s="126"/>
      <c r="G261" s="198"/>
      <c r="H261" s="199"/>
      <c r="I261" s="198"/>
      <c r="J261" s="199"/>
      <c r="K261" s="198"/>
      <c r="L261" s="199"/>
      <c r="M261" s="79"/>
      <c r="N261" s="126"/>
      <c r="O261" s="198"/>
      <c r="P261" s="199"/>
      <c r="Q261" s="200"/>
      <c r="R261" s="126"/>
      <c r="S261" s="201"/>
      <c r="T261" s="200"/>
      <c r="U261" s="126"/>
      <c r="V261" s="199"/>
      <c r="W261" s="198"/>
      <c r="X261" s="199"/>
      <c r="Y261" s="199"/>
      <c r="Z261" s="200"/>
      <c r="AA261" s="79"/>
      <c r="AB261" s="126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3"/>
      <c r="AO261" s="200"/>
      <c r="AP261" s="126"/>
      <c r="AQ261" s="79"/>
      <c r="AR261" s="199"/>
      <c r="AS261" s="200"/>
      <c r="AT261" s="200"/>
      <c r="AU261" s="126"/>
      <c r="AV261" s="199"/>
      <c r="AW261" s="198"/>
      <c r="AX261" s="199"/>
      <c r="AY261" s="186"/>
      <c r="AZ261" s="198"/>
      <c r="BA261" s="126"/>
      <c r="BB261" s="202"/>
      <c r="BC261" s="202"/>
      <c r="BD261" s="202"/>
      <c r="BE261" s="202"/>
      <c r="BF261" s="202"/>
      <c r="BG261" s="202"/>
    </row>
    <row r="262" spans="1:59" hidden="1" x14ac:dyDescent="0.25">
      <c r="A262" s="126"/>
      <c r="B262" s="198"/>
      <c r="C262" s="198"/>
      <c r="D262" s="198"/>
      <c r="E262" s="79"/>
      <c r="F262" s="126"/>
      <c r="G262" s="198"/>
      <c r="H262" s="199"/>
      <c r="I262" s="198"/>
      <c r="J262" s="199"/>
      <c r="K262" s="198"/>
      <c r="L262" s="199"/>
      <c r="M262" s="79"/>
      <c r="N262" s="126"/>
      <c r="O262" s="198"/>
      <c r="P262" s="199"/>
      <c r="Q262" s="200"/>
      <c r="R262" s="126"/>
      <c r="S262" s="201"/>
      <c r="T262" s="200"/>
      <c r="U262" s="126"/>
      <c r="V262" s="199"/>
      <c r="W262" s="198"/>
      <c r="X262" s="199"/>
      <c r="Y262" s="199"/>
      <c r="Z262" s="200"/>
      <c r="AA262" s="79"/>
      <c r="AB262" s="126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3"/>
      <c r="AO262" s="200"/>
      <c r="AP262" s="126"/>
      <c r="AQ262" s="79"/>
      <c r="AR262" s="199"/>
      <c r="AS262" s="200"/>
      <c r="AT262" s="200"/>
      <c r="AU262" s="126"/>
      <c r="AV262" s="199"/>
      <c r="AW262" s="198"/>
      <c r="AX262" s="199"/>
      <c r="AY262" s="186"/>
      <c r="AZ262" s="198"/>
      <c r="BA262" s="126"/>
      <c r="BB262" s="202"/>
      <c r="BC262" s="202"/>
      <c r="BD262" s="202"/>
      <c r="BE262" s="202"/>
      <c r="BF262" s="202"/>
      <c r="BG262" s="202"/>
    </row>
    <row r="263" spans="1:59" hidden="1" x14ac:dyDescent="0.25">
      <c r="A263" s="126"/>
      <c r="B263" s="198"/>
      <c r="C263" s="198"/>
      <c r="D263" s="198"/>
      <c r="E263" s="79"/>
      <c r="F263" s="126"/>
      <c r="G263" s="198"/>
      <c r="H263" s="199"/>
      <c r="I263" s="198"/>
      <c r="J263" s="199"/>
      <c r="K263" s="198"/>
      <c r="L263" s="199"/>
      <c r="M263" s="79"/>
      <c r="N263" s="126"/>
      <c r="O263" s="198"/>
      <c r="P263" s="199"/>
      <c r="Q263" s="200"/>
      <c r="R263" s="126"/>
      <c r="S263" s="201"/>
      <c r="T263" s="200"/>
      <c r="U263" s="126"/>
      <c r="V263" s="199"/>
      <c r="W263" s="198"/>
      <c r="X263" s="199"/>
      <c r="Y263" s="199"/>
      <c r="Z263" s="200"/>
      <c r="AA263" s="79"/>
      <c r="AB263" s="126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3"/>
      <c r="AO263" s="200"/>
      <c r="AP263" s="126"/>
      <c r="AQ263" s="79"/>
      <c r="AR263" s="199"/>
      <c r="AS263" s="200"/>
      <c r="AT263" s="200"/>
      <c r="AU263" s="126"/>
      <c r="AV263" s="199"/>
      <c r="AW263" s="198"/>
      <c r="AX263" s="199"/>
      <c r="AY263" s="186"/>
      <c r="AZ263" s="198"/>
      <c r="BA263" s="126"/>
      <c r="BB263" s="202"/>
      <c r="BC263" s="202"/>
      <c r="BD263" s="202"/>
      <c r="BE263" s="202"/>
      <c r="BF263" s="202"/>
      <c r="BG263" s="202"/>
    </row>
    <row r="264" spans="1:59" hidden="1" x14ac:dyDescent="0.25">
      <c r="A264" s="126"/>
      <c r="B264" s="198"/>
      <c r="C264" s="198"/>
      <c r="D264" s="198"/>
      <c r="E264" s="79"/>
      <c r="F264" s="126"/>
      <c r="G264" s="198"/>
      <c r="H264" s="199"/>
      <c r="I264" s="198"/>
      <c r="J264" s="199"/>
      <c r="K264" s="198"/>
      <c r="L264" s="199"/>
      <c r="M264" s="79"/>
      <c r="N264" s="126"/>
      <c r="O264" s="198"/>
      <c r="P264" s="199"/>
      <c r="Q264" s="200"/>
      <c r="R264" s="126"/>
      <c r="S264" s="201"/>
      <c r="T264" s="200"/>
      <c r="U264" s="126"/>
      <c r="V264" s="199"/>
      <c r="W264" s="198"/>
      <c r="X264" s="199"/>
      <c r="Y264" s="199"/>
      <c r="Z264" s="200"/>
      <c r="AA264" s="79"/>
      <c r="AB264" s="126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3"/>
      <c r="AO264" s="200"/>
      <c r="AP264" s="126"/>
      <c r="AQ264" s="79"/>
      <c r="AR264" s="199"/>
      <c r="AS264" s="200"/>
      <c r="AT264" s="200"/>
      <c r="AU264" s="126"/>
      <c r="AV264" s="199"/>
      <c r="AW264" s="198"/>
      <c r="AX264" s="199"/>
      <c r="AY264" s="186"/>
      <c r="AZ264" s="198"/>
      <c r="BA264" s="126"/>
      <c r="BB264" s="202"/>
      <c r="BC264" s="202"/>
      <c r="BD264" s="202"/>
      <c r="BE264" s="202"/>
      <c r="BF264" s="202"/>
      <c r="BG264" s="202"/>
    </row>
    <row r="265" spans="1:59" hidden="1" x14ac:dyDescent="0.25">
      <c r="A265" s="126"/>
      <c r="B265" s="198"/>
      <c r="C265" s="198"/>
      <c r="D265" s="198"/>
      <c r="E265" s="79"/>
      <c r="F265" s="126"/>
      <c r="G265" s="198"/>
      <c r="H265" s="199"/>
      <c r="I265" s="198"/>
      <c r="J265" s="199"/>
      <c r="K265" s="198"/>
      <c r="L265" s="199"/>
      <c r="M265" s="79"/>
      <c r="N265" s="126"/>
      <c r="O265" s="198"/>
      <c r="P265" s="199"/>
      <c r="Q265" s="200"/>
      <c r="R265" s="126"/>
      <c r="S265" s="201"/>
      <c r="T265" s="200"/>
      <c r="U265" s="126"/>
      <c r="V265" s="199"/>
      <c r="W265" s="198"/>
      <c r="X265" s="199"/>
      <c r="Y265" s="199"/>
      <c r="Z265" s="200"/>
      <c r="AA265" s="79"/>
      <c r="AB265" s="126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3"/>
      <c r="AO265" s="200"/>
      <c r="AP265" s="126"/>
      <c r="AQ265" s="79"/>
      <c r="AR265" s="199"/>
      <c r="AS265" s="200"/>
      <c r="AT265" s="200"/>
      <c r="AU265" s="126"/>
      <c r="AV265" s="199"/>
      <c r="AW265" s="198"/>
      <c r="AX265" s="199"/>
      <c r="AY265" s="186"/>
      <c r="AZ265" s="198"/>
      <c r="BA265" s="126"/>
      <c r="BB265" s="202"/>
      <c r="BC265" s="202"/>
      <c r="BD265" s="202"/>
      <c r="BE265" s="202"/>
      <c r="BF265" s="202"/>
      <c r="BG265" s="202"/>
    </row>
    <row r="266" spans="1:59" hidden="1" x14ac:dyDescent="0.25">
      <c r="A266" s="126"/>
      <c r="B266" s="198"/>
      <c r="C266" s="198"/>
      <c r="D266" s="198"/>
      <c r="E266" s="79"/>
      <c r="F266" s="126"/>
      <c r="G266" s="198"/>
      <c r="H266" s="199"/>
      <c r="I266" s="198"/>
      <c r="J266" s="199"/>
      <c r="K266" s="198"/>
      <c r="L266" s="199"/>
      <c r="M266" s="79"/>
      <c r="N266" s="126"/>
      <c r="O266" s="198"/>
      <c r="P266" s="199"/>
      <c r="Q266" s="200"/>
      <c r="R266" s="126"/>
      <c r="S266" s="201"/>
      <c r="T266" s="200"/>
      <c r="U266" s="126"/>
      <c r="V266" s="199"/>
      <c r="W266" s="198"/>
      <c r="X266" s="199"/>
      <c r="Y266" s="199"/>
      <c r="Z266" s="200"/>
      <c r="AA266" s="79"/>
      <c r="AB266" s="126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3"/>
      <c r="AO266" s="200"/>
      <c r="AP266" s="126"/>
      <c r="AQ266" s="79"/>
      <c r="AR266" s="199"/>
      <c r="AS266" s="200"/>
      <c r="AT266" s="200"/>
      <c r="AU266" s="126"/>
      <c r="AV266" s="199"/>
      <c r="AW266" s="198"/>
      <c r="AX266" s="199"/>
      <c r="AY266" s="186"/>
      <c r="AZ266" s="198"/>
      <c r="BA266" s="126"/>
      <c r="BB266" s="202"/>
      <c r="BC266" s="202"/>
      <c r="BD266" s="202"/>
      <c r="BE266" s="202"/>
      <c r="BF266" s="202"/>
      <c r="BG266" s="202"/>
    </row>
    <row r="267" spans="1:59" hidden="1" x14ac:dyDescent="0.25"/>
  </sheetData>
  <protectedRanges>
    <protectedRange sqref="C3:G3" name="Bereik1_4"/>
    <protectedRange sqref="C4:G4" name="Bereik1_6"/>
    <protectedRange sqref="E5:G5" name="Bereik1_7"/>
    <protectedRange sqref="E6:G6 E8:V8 O9:O234 BS8:IJ8 AL8:BH8 X8:AI8" name="Bereik1_8"/>
  </protectedRanges>
  <mergeCells count="3">
    <mergeCell ref="AI3:AJ3"/>
    <mergeCell ref="BE3:BF3"/>
    <mergeCell ref="BI3:BJ3"/>
  </mergeCells>
  <pageMargins left="0.7" right="0.7" top="0.75" bottom="0.75" header="0.3" footer="0.3"/>
  <pageSetup paperSize="0" orientation="portrait" horizontalDpi="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26</vt:i4>
      </vt:variant>
      <vt:variant>
        <vt:lpstr>Benoemde bereiken</vt:lpstr>
      </vt:variant>
      <vt:variant>
        <vt:i4>2</vt:i4>
      </vt:variant>
    </vt:vector>
  </HeadingPairs>
  <TitlesOfParts>
    <vt:vector size="28" baseType="lpstr">
      <vt:lpstr>Dashboard</vt:lpstr>
      <vt:lpstr>Exploitatie</vt:lpstr>
      <vt:lpstr>Resultaat marktwaardering</vt:lpstr>
      <vt:lpstr>Gebiedsindeling</vt:lpstr>
      <vt:lpstr>Hulp - basis</vt:lpstr>
      <vt:lpstr>Invoer gegevens</vt:lpstr>
      <vt:lpstr>Invoer gegevens (N)</vt:lpstr>
      <vt:lpstr>Parameters</vt:lpstr>
      <vt:lpstr>Reeksen</vt:lpstr>
      <vt:lpstr>Reeksen (N)</vt:lpstr>
      <vt:lpstr>Marktwaarde in verhuurde staat</vt:lpstr>
      <vt:lpstr>Marktwaarde in verhuurde st (N)</vt:lpstr>
      <vt:lpstr>Beleidswaarde</vt:lpstr>
      <vt:lpstr>Beleidswaarde (N)</vt:lpstr>
      <vt:lpstr>Bedrijfswaarde</vt:lpstr>
      <vt:lpstr>Bedrijfswaarde (N)</vt:lpstr>
      <vt:lpstr>RW - MW - DE - DE</vt:lpstr>
      <vt:lpstr>RW - MW - DE - DE (N)</vt:lpstr>
      <vt:lpstr>RW - MW - DE - UP</vt:lpstr>
      <vt:lpstr>RW - MW - DE - UP (N)</vt:lpstr>
      <vt:lpstr>RW - MW - UP</vt:lpstr>
      <vt:lpstr>RW - MW - UP (N)</vt:lpstr>
      <vt:lpstr>RW - BW - DE</vt:lpstr>
      <vt:lpstr>RW - BW - DE (N)</vt:lpstr>
      <vt:lpstr>RW - BW - UP</vt:lpstr>
      <vt:lpstr>RW - BW - UP (N)</vt:lpstr>
      <vt:lpstr>COROP</vt:lpstr>
      <vt:lpstr>GEMEENTE</vt:lpstr>
    </vt:vector>
  </TitlesOfParts>
  <Company>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daan.vanvulpen</dc:creator>
  <cp:lastModifiedBy>Wim Vierling</cp:lastModifiedBy>
  <dcterms:created xsi:type="dcterms:W3CDTF">2016-01-11T15:20:16Z</dcterms:created>
  <dcterms:modified xsi:type="dcterms:W3CDTF">2019-01-28T11:24:01Z</dcterms:modified>
</cp:coreProperties>
</file>